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nh sách công việc" sheetId="2" state="visible" r:id="rId2"/>
    <sheet xmlns:r="http://schemas.openxmlformats.org/officeDocument/2006/relationships" name="Thống kê"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333333"/>
      <sz val="20"/>
    </font>
    <font>
      <color rgb="00666666"/>
      <sz val="12"/>
    </font>
    <font>
      <b val="1"/>
      <color rgb="000066CC"/>
      <sz val="14"/>
    </font>
    <font>
      <color rgb="00666666"/>
    </font>
    <font>
      <b val="1"/>
      <color rgb="00333333"/>
    </font>
    <font>
      <b val="1"/>
      <color rgb="00FFFFFF"/>
    </font>
    <font>
      <color rgb="000563C1"/>
      <u val="single"/>
    </font>
    <font>
      <b val="1"/>
      <color rgb="00333333"/>
      <sz val="16"/>
    </font>
    <font>
      <b val="1"/>
      <color rgb="000066CC"/>
      <sz val="12"/>
    </font>
  </fonts>
  <fills count="4">
    <fill>
      <patternFill/>
    </fill>
    <fill>
      <patternFill patternType="gray125"/>
    </fill>
    <fill>
      <patternFill patternType="solid">
        <fgColor rgb="00333333"/>
        <bgColor rgb="00333333"/>
      </patternFill>
    </fill>
    <fill>
      <patternFill patternType="solid">
        <fgColor rgb="00F9F9F9"/>
        <bgColor rgb="00F9F9F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0" fillId="0" borderId="0" applyAlignment="1" pivotButton="0" quotePrefix="0" xfId="0">
      <alignment horizontal="center"/>
    </xf>
    <xf numFmtId="0" fontId="7" fillId="0" borderId="0" pivotButton="0" quotePrefix="0" xfId="0"/>
    <xf numFmtId="0" fontId="0" fillId="3" borderId="0" applyAlignment="1" pivotButton="0" quotePrefix="0" xfId="0">
      <alignment horizontal="center"/>
    </xf>
    <xf numFmtId="0" fontId="0" fillId="3" borderId="0" pivotButton="0" quotePrefix="0" xfId="0"/>
    <xf numFmtId="0" fontId="7" fillId="3" borderId="0" pivotButton="0" quotePrefix="0" xfId="0"/>
    <xf numFmtId="0" fontId="8" fillId="0" borderId="0" applyAlignment="1" pivotButton="0" quotePrefix="0" xfId="0">
      <alignment horizontal="center"/>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12"/>
  <sheetViews>
    <sheetView showGridLines="0" workbookViewId="0">
      <selection activeCell="A1" sqref="A1"/>
    </sheetView>
  </sheetViews>
  <sheetFormatPr baseColWidth="8" defaultRowHeight="15"/>
  <cols>
    <col width="3" customWidth="1" min="1" max="1"/>
    <col width="25" customWidth="1" min="2" max="2"/>
    <col width="5" customWidth="1" min="3" max="3"/>
    <col width="35" customWidth="1" min="4" max="4"/>
  </cols>
  <sheetData>
    <row r="2" ht="35" customHeight="1">
      <c r="B2" s="1" t="inlineStr">
        <is>
          <t>BÁO CÁO THÔNG TIN TUYỂN DỤNG CAREERVIET</t>
        </is>
      </c>
    </row>
    <row r="4">
      <c r="B4" s="2" t="inlineStr">
        <is>
          <t>Dữ liệu được thu thập từ CareerViet.vn</t>
        </is>
      </c>
    </row>
    <row r="7">
      <c r="B7" s="3" t="inlineStr">
        <is>
          <t>TỔNG QUAN</t>
        </is>
      </c>
    </row>
    <row r="9">
      <c r="B9" s="4" t="inlineStr">
        <is>
          <t>Tổng số công việc</t>
        </is>
      </c>
      <c r="D9" s="5" t="n">
        <v>22218</v>
      </c>
    </row>
    <row r="10">
      <c r="B10" s="4" t="inlineStr">
        <is>
          <t>Số công ty</t>
        </is>
      </c>
      <c r="D10" s="5" t="n">
        <v>3193</v>
      </c>
    </row>
    <row r="11">
      <c r="B11" s="4" t="inlineStr">
        <is>
          <t>Số địa điểm</t>
        </is>
      </c>
      <c r="D11" s="5" t="n">
        <v>1012</v>
      </c>
    </row>
    <row r="12">
      <c r="B12" s="4" t="inlineStr">
        <is>
          <t>Ngày cập nhật</t>
        </is>
      </c>
      <c r="D12" s="5" t="inlineStr">
        <is>
          <t>17/03/2026</t>
        </is>
      </c>
    </row>
  </sheetData>
  <mergeCells count="2">
    <mergeCell ref="B2:G2"/>
    <mergeCell ref="B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M22220"/>
  <sheetViews>
    <sheetView showGridLines="0" workbookViewId="0">
      <selection activeCell="A1" sqref="A1"/>
    </sheetView>
  </sheetViews>
  <sheetFormatPr baseColWidth="8" defaultRowHeight="15"/>
  <cols>
    <col width="3" customWidth="1" min="1" max="1"/>
    <col width="6" customWidth="1" min="2" max="2"/>
    <col width="40" customWidth="1" min="3" max="3"/>
    <col width="35" customWidth="1" min="4" max="4"/>
    <col width="15" customWidth="1" min="5" max="5"/>
    <col width="18" customWidth="1" min="6" max="6"/>
    <col width="14" customWidth="1" min="7" max="7"/>
    <col width="14" customWidth="1" min="8" max="8"/>
    <col width="14" customWidth="1" min="9" max="9"/>
    <col width="30" customWidth="1" min="10" max="10"/>
    <col width="18" customWidth="1" min="11" max="11"/>
    <col width="18" customWidth="1" min="12" max="12"/>
  </cols>
  <sheetData>
    <row r="2" ht="30" customHeight="1">
      <c r="B2" s="6" t="inlineStr">
        <is>
          <t>STT</t>
        </is>
      </c>
      <c r="C2" s="6" t="inlineStr">
        <is>
          <t>Tiêu đề công việc</t>
        </is>
      </c>
      <c r="D2" s="6" t="inlineStr">
        <is>
          <t>Công ty</t>
        </is>
      </c>
      <c r="E2" s="6" t="inlineStr">
        <is>
          <t>Mức lương</t>
        </is>
      </c>
      <c r="F2" s="6" t="inlineStr">
        <is>
          <t>Địa điểm</t>
        </is>
      </c>
      <c r="G2" s="6" t="inlineStr">
        <is>
          <t>Ngày đăng</t>
        </is>
      </c>
      <c r="H2" s="6" t="inlineStr">
        <is>
          <t>Ngày hết hạn</t>
        </is>
      </c>
      <c r="I2" s="6" t="inlineStr">
        <is>
          <t>Ngày cập nhật</t>
        </is>
      </c>
      <c r="J2" s="6" t="inlineStr">
        <is>
          <t>Ngành hoạt động</t>
        </is>
      </c>
      <c r="K2" s="6" t="inlineStr">
        <is>
          <t>Kinh nghiệm</t>
        </is>
      </c>
      <c r="L2" s="6" t="inlineStr">
        <is>
          <t>Link</t>
        </is>
      </c>
    </row>
    <row r="3">
      <c r="B3" s="7" t="n">
        <v>1</v>
      </c>
      <c r="C3" t="inlineStr">
        <is>
          <t>Nhân Viên Bảo Trì Điện Công Nghiệp(Mới)</t>
        </is>
      </c>
      <c r="D3" t="inlineStr">
        <is>
          <t>Công Ty Cổ phần Tập Đoàn KIDO</t>
        </is>
      </c>
      <c r="E3" t="inlineStr">
        <is>
          <t>Lương:Cạnh tranh</t>
        </is>
      </c>
      <c r="F3" t="inlineStr">
        <is>
          <t>Hồ Chí Minh</t>
        </is>
      </c>
      <c r="G3" t="inlineStr">
        <is>
          <t>17-04-2026</t>
        </is>
      </c>
      <c r="H3" t="inlineStr">
        <is>
          <t>17/04/2026</t>
        </is>
      </c>
      <c r="I3" t="inlineStr">
        <is>
          <t>17/03/2026</t>
        </is>
      </c>
      <c r="J3" t="inlineStr">
        <is>
          <t>Điện / Điện tử / Điện lạnh / Điện công nghiệp</t>
        </is>
      </c>
      <c r="K3" t="inlineStr">
        <is>
          <t>1 - 2 Năm</t>
        </is>
      </c>
      <c r="L3" s="8">
        <f>HYPERLINK("https://careerviet.vn/vi/tim-viec-lam/nhan-vien-bao-tri-dien-cong-nghiep.35C6D0B2.html","Xem chi tiết")</f>
        <v/>
      </c>
    </row>
    <row r="4">
      <c r="B4" s="9" t="n">
        <v>2</v>
      </c>
      <c r="C4" s="10" t="inlineStr">
        <is>
          <t>KẾ TOÁN THANH TOÁN, THUẾ(Mới)</t>
        </is>
      </c>
      <c r="D4" s="10" t="inlineStr">
        <is>
          <t>CÔNG TY TNHH ASTRO ENGINEERING VN</t>
        </is>
      </c>
      <c r="E4" s="10" t="inlineStr">
        <is>
          <t>Lương:12 Tr - 17 Tr VND</t>
        </is>
      </c>
      <c r="F4" s="10" t="inlineStr">
        <is>
          <t>Bình Dương</t>
        </is>
      </c>
      <c r="G4" s="10" t="inlineStr">
        <is>
          <t>30-04-2026</t>
        </is>
      </c>
      <c r="H4" s="10" t="inlineStr">
        <is>
          <t>30/04/2026</t>
        </is>
      </c>
      <c r="I4" s="10" t="inlineStr">
        <is>
          <t>17/03/2026</t>
        </is>
      </c>
      <c r="J4" s="10" t="inlineStr">
        <is>
          <t>Kế toán / Kiểm toán</t>
        </is>
      </c>
      <c r="K4" s="10" t="inlineStr">
        <is>
          <t>2 - 5 Năm</t>
        </is>
      </c>
      <c r="L4" s="11">
        <f>HYPERLINK("https://careerviet.vn/vi/tim-viec-lam/ke-toan-thanh-toan-thue.35C6D0B9.html","Xem chi tiết")</f>
        <v/>
      </c>
      <c r="M4" s="10" t="n"/>
    </row>
    <row r="5">
      <c r="B5" s="7" t="n">
        <v>3</v>
      </c>
      <c r="C5" t="inlineStr">
        <is>
          <t>Kỹ sư QS Hiện trường(Mới)</t>
        </is>
      </c>
      <c r="D5" t="inlineStr">
        <is>
          <t>Công ty Cổ Phần Ánh Dương Building</t>
        </is>
      </c>
      <c r="E5" t="inlineStr">
        <is>
          <t>Lương:20 Tr - 25 Tr VND</t>
        </is>
      </c>
      <c r="F5" t="inlineStr">
        <is>
          <t>Hồ Chí MinhHải DươngHà Nam</t>
        </is>
      </c>
      <c r="G5" t="inlineStr">
        <is>
          <t>30-04-2026</t>
        </is>
      </c>
      <c r="H5" t="inlineStr">
        <is>
          <t>30/04/2026</t>
        </is>
      </c>
      <c r="I5" t="inlineStr">
        <is>
          <t>17/03/2026</t>
        </is>
      </c>
      <c r="J5" t="inlineStr">
        <is>
          <t>Xây dựng</t>
        </is>
      </c>
      <c r="K5" t="inlineStr">
        <is>
          <t>2 - 3 Năm</t>
        </is>
      </c>
      <c r="L5" s="8">
        <f>HYPERLINK("https://careerviet.vn/vi/tim-viec-lam/ky-su-qs-hien-truong.35C6D096.html","Xem chi tiết")</f>
        <v/>
      </c>
    </row>
    <row r="6">
      <c r="B6" s="9" t="n">
        <v>4</v>
      </c>
      <c r="C6" s="10" t="inlineStr">
        <is>
          <t>Nhân Viên Kinh Doanh Cước Vận Tải Đường Biển, Đường Hàng Không Quốc Tế (Sales Executive) [HCM , ĐÀ NẴNG , HÀ NỘI](Mới)</t>
        </is>
      </c>
      <c r="D6" s="10" t="inlineStr">
        <is>
          <t>DACO Logistics</t>
        </is>
      </c>
      <c r="E6" s="10" t="inlineStr">
        <is>
          <t>Lương:Cạnh tranh</t>
        </is>
      </c>
      <c r="F6" s="10" t="inlineStr">
        <is>
          <t>Hà NộiHồ Chí MinhĐà Nẵng</t>
        </is>
      </c>
      <c r="G6" s="10" t="inlineStr">
        <is>
          <t>16-04-2026</t>
        </is>
      </c>
      <c r="H6" s="10" t="inlineStr">
        <is>
          <t>16/04/2026</t>
        </is>
      </c>
      <c r="I6" s="10" t="inlineStr">
        <is>
          <t>17/03/2026</t>
        </is>
      </c>
      <c r="J6" s="10" t="inlineStr">
        <is>
          <t>Bán hàng / Kinh doanh, Xuất nhập khẩu, Hàng hải</t>
        </is>
      </c>
      <c r="K6" s="10" t="inlineStr">
        <is>
          <t>N/A</t>
        </is>
      </c>
      <c r="L6" s="11">
        <f>HYPERLINK("https://careerviet.vn/vi/tim-viec-lam/nhan-vien-kinh-doanh-cuoc-van-tai-duong-bien-duong-hang-khong-quoc-te-sales-executive-hcm-da-nang-ha-noi.35C6CD0D.html","Xem chi tiết")</f>
        <v/>
      </c>
      <c r="M6" s="10" t="n"/>
    </row>
    <row r="7">
      <c r="B7" s="7" t="n">
        <v>5</v>
      </c>
      <c r="C7" t="inlineStr">
        <is>
          <t>Giám đốc nhân sự</t>
        </is>
      </c>
      <c r="D7" t="inlineStr">
        <is>
          <t>Bảo mật</t>
        </is>
      </c>
      <c r="E7" t="inlineStr">
        <is>
          <t>Lương:25 Tr - 35 Tr VND</t>
        </is>
      </c>
      <c r="F7" t="inlineStr">
        <is>
          <t>Hồ Chí Minh</t>
        </is>
      </c>
      <c r="G7" t="inlineStr">
        <is>
          <t>31-05-2026</t>
        </is>
      </c>
      <c r="H7" t="inlineStr">
        <is>
          <t>31/05/2026</t>
        </is>
      </c>
      <c r="I7" t="inlineStr">
        <is>
          <t>17/03/2026</t>
        </is>
      </c>
      <c r="J7" t="inlineStr">
        <is>
          <t>Dầu khí, Bán lẻ / Bán sỉ, Sản xuất / Vận hành sản xuất</t>
        </is>
      </c>
      <c r="K7" t="inlineStr">
        <is>
          <t>Trên 5 Năm</t>
        </is>
      </c>
      <c r="L7" s="8">
        <f>HYPERLINK("https://careerviet.vn/vi/tim-viec-lam/giam-doc-nhan-su.35C6BDB4.html","Xem chi tiết")</f>
        <v/>
      </c>
    </row>
    <row r="8">
      <c r="B8" s="9" t="n">
        <v>6</v>
      </c>
      <c r="C8" s="10" t="inlineStr">
        <is>
          <t>Chuyên Viên Vận Hành Sàn Thương Mại Điện Tử(Mới)</t>
        </is>
      </c>
      <c r="D8" s="10" t="inlineStr">
        <is>
          <t>CÔNG TY TNHH THƯƠNG MẠI DỊCH VỤ MOCHICA</t>
        </is>
      </c>
      <c r="E8" s="10" t="inlineStr">
        <is>
          <t>Lương:12 Tr - 15 Tr VND</t>
        </is>
      </c>
      <c r="F8" s="10" t="inlineStr">
        <is>
          <t>Hồ Chí Minh</t>
        </is>
      </c>
      <c r="G8" s="10" t="inlineStr">
        <is>
          <t>16-04-2026</t>
        </is>
      </c>
      <c r="H8" s="10" t="inlineStr">
        <is>
          <t>16/04/2026</t>
        </is>
      </c>
      <c r="I8" s="10" t="inlineStr">
        <is>
          <t>17/03/2026</t>
        </is>
      </c>
      <c r="J8" s="10" t="inlineStr">
        <is>
          <t>Thương mại điện tử, Tiếp thị / Marketing, Bán hàng / Kinh doanh</t>
        </is>
      </c>
      <c r="K8" s="10" t="inlineStr">
        <is>
          <t>Trên 2 Năm</t>
        </is>
      </c>
      <c r="L8" s="11">
        <f>HYPERLINK("https://careerviet.vn/vi/tim-viec-lam/chuyen-vien-van-hanh-san-thuong-mai-dien-tu.35C6D0A4.html","Xem chi tiết")</f>
        <v/>
      </c>
      <c r="M8" s="10" t="n"/>
    </row>
    <row r="9">
      <c r="B9" s="7" t="n">
        <v>7</v>
      </c>
      <c r="C9" t="inlineStr">
        <is>
          <t>Chuyên viên Phân tích định lượng - Nhóm Quản lý rủi ro tín dụng(Mới)</t>
        </is>
      </c>
      <c r="D9" t="inlineStr">
        <is>
          <t>NGÂN HÀNG TMCP NGOẠI THƯƠNG VIỆT NAM (VIETCOMBANK)</t>
        </is>
      </c>
      <c r="E9" t="inlineStr">
        <is>
          <t>Lương:Cạnh tranh</t>
        </is>
      </c>
      <c r="F9" t="inlineStr">
        <is>
          <t>Hà Nội</t>
        </is>
      </c>
      <c r="G9" t="inlineStr">
        <is>
          <t>30-03-2026</t>
        </is>
      </c>
      <c r="H9" t="inlineStr">
        <is>
          <t>30/03/2026</t>
        </is>
      </c>
      <c r="I9" t="inlineStr">
        <is>
          <t>17/03/2026</t>
        </is>
      </c>
      <c r="J9" t="inlineStr">
        <is>
          <t>Ngân hàng, Luật / Pháp lý, Tài chính / Đầu tư</t>
        </is>
      </c>
      <c r="K9" t="inlineStr">
        <is>
          <t>Trên 3 Năm</t>
        </is>
      </c>
      <c r="L9" s="8">
        <f>HYPERLINK("https://careerviet.vn/vi/tim-viec-lam/chuyen-vien-phan-tich-dinh-luong-nhom-quan-ly-rui-ro-tin-dung.35C6D0A8.html","Xem chi tiết")</f>
        <v/>
      </c>
    </row>
    <row r="10">
      <c r="B10" s="9" t="n">
        <v>8</v>
      </c>
      <c r="C10" s="10" t="inlineStr">
        <is>
          <t>Performance Marketing Manager (Amazon)(Mới)</t>
        </is>
      </c>
      <c r="D10" s="10" t="inlineStr">
        <is>
          <t>Công Ty Cổ Phần TEECOM</t>
        </is>
      </c>
      <c r="E10" s="10" t="inlineStr">
        <is>
          <t>Lương:Cạnh tranh</t>
        </is>
      </c>
      <c r="F10" s="10" t="inlineStr">
        <is>
          <t>Hồ Chí Minh</t>
        </is>
      </c>
      <c r="G10" s="10" t="inlineStr">
        <is>
          <t>15-04-2026</t>
        </is>
      </c>
      <c r="H10" s="10" t="inlineStr">
        <is>
          <t>15/04/2026</t>
        </is>
      </c>
      <c r="I10" s="10" t="inlineStr">
        <is>
          <t>17/03/2026</t>
        </is>
      </c>
      <c r="J10" s="10" t="inlineStr">
        <is>
          <t>Tiếp thị trực tuyến, Thương mại điện tử, Tiếp thị / Marketing</t>
        </is>
      </c>
      <c r="K10" s="10" t="inlineStr">
        <is>
          <t>4 - 5 Năm</t>
        </is>
      </c>
      <c r="L10" s="11">
        <f>HYPERLINK("https://careerviet.vn/vi/tim-viec-lam/performance-marketing-manager-amazon.35C6D0AA.html","Xem chi tiết")</f>
        <v/>
      </c>
      <c r="M10" s="10" t="n"/>
    </row>
    <row r="11">
      <c r="B11" s="7" t="n">
        <v>9</v>
      </c>
      <c r="C11" t="inlineStr">
        <is>
          <t>Chuyên Viên Kinh Doanh(Mới)</t>
        </is>
      </c>
      <c r="D11" t="inlineStr">
        <is>
          <t>Công ty SuperShip</t>
        </is>
      </c>
      <c r="E11" t="inlineStr">
        <is>
          <t>Lương:8 Tr - 15 Tr VND</t>
        </is>
      </c>
      <c r="F11" t="inlineStr">
        <is>
          <t>Hồ Chí Minh</t>
        </is>
      </c>
      <c r="G11" t="inlineStr">
        <is>
          <t>17-04-2026</t>
        </is>
      </c>
      <c r="H11" t="inlineStr">
        <is>
          <t>17/04/2026</t>
        </is>
      </c>
      <c r="I11" t="inlineStr">
        <is>
          <t>17/03/2026</t>
        </is>
      </c>
      <c r="J11" t="inlineStr">
        <is>
          <t>Bán hàng / Kinh doanh, Tiếp thị / Marketing, Thương mại điện tử</t>
        </is>
      </c>
      <c r="K11" t="inlineStr">
        <is>
          <t>Lên đến 1 Năm</t>
        </is>
      </c>
      <c r="L11" s="8">
        <f>HYPERLINK("https://careerviet.vn/vi/tim-viec-lam/chuyen-vien-kinh-doanh.35C6D02E.html","Xem chi tiết")</f>
        <v/>
      </c>
    </row>
    <row r="12">
      <c r="B12" s="9" t="n">
        <v>10</v>
      </c>
      <c r="C12" s="10" t="inlineStr">
        <is>
          <t>Customer Service Supervisor - FMCG(Mới)</t>
        </is>
      </c>
      <c r="D12" s="10" t="inlineStr">
        <is>
          <t>Masan Consumer</t>
        </is>
      </c>
      <c r="E12" s="10" t="inlineStr">
        <is>
          <t>Lương:20 Tr - 30 Tr VND</t>
        </is>
      </c>
      <c r="F12" s="10" t="inlineStr">
        <is>
          <t>Hồ Chí Minh</t>
        </is>
      </c>
      <c r="G12" s="10" t="inlineStr">
        <is>
          <t>31-05-2026</t>
        </is>
      </c>
      <c r="H12" s="10" t="inlineStr">
        <is>
          <t>31/05/2026</t>
        </is>
      </c>
      <c r="I12" s="10" t="inlineStr">
        <is>
          <t>17/03/2026</t>
        </is>
      </c>
      <c r="J12" s="10" t="inlineStr">
        <is>
          <t>Thực phẩm &amp; Đồ uống, Xuất nhập khẩu</t>
        </is>
      </c>
      <c r="K12" s="10" t="inlineStr">
        <is>
          <t>2 - 5 Năm</t>
        </is>
      </c>
      <c r="L12" s="11">
        <f>HYPERLINK("https://careerviet.vn/vi/tim-viec-lam/customer-service-supervisor-fmcg.35C6D0A2.html","Xem chi tiết")</f>
        <v/>
      </c>
      <c r="M12" s="10" t="n"/>
    </row>
    <row r="13">
      <c r="B13" s="7" t="n">
        <v>11</v>
      </c>
      <c r="C13" t="inlineStr">
        <is>
          <t>Chăm Sóc Khách Hàng B2B(Mới)</t>
        </is>
      </c>
      <c r="D13" t="inlineStr">
        <is>
          <t>Bảo mật</t>
        </is>
      </c>
      <c r="E13" t="inlineStr">
        <is>
          <t>Lương:Cạnh tranh</t>
        </is>
      </c>
      <c r="F13" t="inlineStr">
        <is>
          <t>Hồ Chí Minh</t>
        </is>
      </c>
      <c r="G13" t="inlineStr">
        <is>
          <t>31-03-2026</t>
        </is>
      </c>
      <c r="H13" t="inlineStr">
        <is>
          <t>31/03/2026</t>
        </is>
      </c>
      <c r="I13" t="inlineStr">
        <is>
          <t>17/03/2026</t>
        </is>
      </c>
      <c r="J13" t="inlineStr">
        <is>
          <t>Thương mại điện tử, Tư vấn, Dệt may / Da giày / Thời trang</t>
        </is>
      </c>
      <c r="K13" t="inlineStr">
        <is>
          <t>Trên 2 Năm</t>
        </is>
      </c>
      <c r="L13" s="8">
        <f>HYPERLINK("https://careerviet.vn/vi/tim-viec-lam/cham-soc-khach-hang-b2b.35C6CFA3.html","Xem chi tiết")</f>
        <v/>
      </c>
    </row>
    <row r="14">
      <c r="B14" s="9" t="n">
        <v>12</v>
      </c>
      <c r="C14" s="10" t="inlineStr">
        <is>
          <t>Kỹ sư QS ( Ban quản lý dự án vừa và nhỏ)(Mới)</t>
        </is>
      </c>
      <c r="D14" s="10" t="inlineStr">
        <is>
          <t>CÔNG TY CỔ PHẦN EUROWINDOW HOLDING</t>
        </is>
      </c>
      <c r="E14" s="10" t="inlineStr">
        <is>
          <t>Lương:Cạnh tranh</t>
        </is>
      </c>
      <c r="F14" s="10" t="inlineStr">
        <is>
          <t>Hà Nội</t>
        </is>
      </c>
      <c r="G14" s="10" t="inlineStr">
        <is>
          <t>20-04-2026</t>
        </is>
      </c>
      <c r="H14" s="10" t="inlineStr">
        <is>
          <t>20/04/2026</t>
        </is>
      </c>
      <c r="I14" s="10" t="inlineStr">
        <is>
          <t>17/03/2026</t>
        </is>
      </c>
      <c r="J14" s="10" t="inlineStr">
        <is>
          <t>Xây dựng</t>
        </is>
      </c>
      <c r="K14" s="10" t="inlineStr">
        <is>
          <t>3 - 5 Năm</t>
        </is>
      </c>
      <c r="L14" s="11">
        <f>HYPERLINK("https://careerviet.vn/vi/tim-viec-lam/ky-su-qs-ban-quan-ly-du-an-vua-va-nho.35C6D091.html","Xem chi tiết")</f>
        <v/>
      </c>
      <c r="M14" s="10" t="n"/>
    </row>
    <row r="15">
      <c r="B15" s="7" t="n">
        <v>13</v>
      </c>
      <c r="C15" t="inlineStr">
        <is>
          <t>Thư ký hành chính(Mới)</t>
        </is>
      </c>
      <c r="D15" t="inlineStr">
        <is>
          <t>CÔNG TY CỔ PHẦN EUROWINDOW HOLDING</t>
        </is>
      </c>
      <c r="E15" t="inlineStr">
        <is>
          <t>Lương:Cạnh tranh</t>
        </is>
      </c>
      <c r="F15" t="inlineStr">
        <is>
          <t>Hà Nội</t>
        </is>
      </c>
      <c r="G15" t="inlineStr">
        <is>
          <t>05-04-2026</t>
        </is>
      </c>
      <c r="H15" t="inlineStr">
        <is>
          <t>05/04/2026</t>
        </is>
      </c>
      <c r="I15" t="inlineStr">
        <is>
          <t>17/03/2026</t>
        </is>
      </c>
      <c r="J15" t="inlineStr">
        <is>
          <t>Hành chính / Thư ký</t>
        </is>
      </c>
      <c r="K15" t="inlineStr">
        <is>
          <t>Chưa có kinh nghiệm</t>
        </is>
      </c>
      <c r="L15" s="8">
        <f>HYPERLINK("https://careerviet.vn/vi/tim-viec-lam/thu-ky-hanh-chinh.35C6D08F.html","Xem chi tiết")</f>
        <v/>
      </c>
    </row>
    <row r="16">
      <c r="B16" s="9" t="n">
        <v>14</v>
      </c>
      <c r="C16" s="10" t="inlineStr">
        <is>
          <t>Store Supervisor - Luxury Fashion - HCM(Mới)</t>
        </is>
      </c>
      <c r="D16" s="10" t="inlineStr">
        <is>
          <t>Công Ty Cổ Phần Thời Trang &amp; Mỹ Phẩm Duy Anh (DAFC)</t>
        </is>
      </c>
      <c r="E16" s="10" t="inlineStr">
        <is>
          <t>Lương:Cạnh tranh</t>
        </is>
      </c>
      <c r="F16" s="10" t="inlineStr">
        <is>
          <t>Hồ Chí Minh</t>
        </is>
      </c>
      <c r="G16" s="10" t="inlineStr">
        <is>
          <t>15-04-2026</t>
        </is>
      </c>
      <c r="H16" s="10" t="inlineStr">
        <is>
          <t>15/04/2026</t>
        </is>
      </c>
      <c r="I16" s="10" t="inlineStr">
        <is>
          <t>17/03/2026</t>
        </is>
      </c>
      <c r="J16" s="10" t="inlineStr">
        <is>
          <t>Bán lẻ / Bán sỉ, Bán hàng / Kinh doanh, Dệt may / Da giày / Thời trang</t>
        </is>
      </c>
      <c r="K16" s="10" t="inlineStr">
        <is>
          <t>2 - 4 Năm</t>
        </is>
      </c>
      <c r="L16" s="11">
        <f>HYPERLINK("https://careerviet.vn/vi/tim-viec-lam/store-supervisor-luxury-fashion-hcm.35C6D0AF.html","Xem chi tiết")</f>
        <v/>
      </c>
      <c r="M16" s="10" t="n"/>
    </row>
    <row r="17">
      <c r="B17" s="7" t="n">
        <v>15</v>
      </c>
      <c r="C17" t="inlineStr">
        <is>
          <t>KCS, Kỹ Thuật Vận Hành Sản Xuất Gạo(Mới)</t>
        </is>
      </c>
      <c r="D17" t="inlineStr">
        <is>
          <t>Công Ty Cổ Phần Lương Thực A AN</t>
        </is>
      </c>
      <c r="E17" t="inlineStr">
        <is>
          <t>Lương:9 Tr - 11 Tr VND</t>
        </is>
      </c>
      <c r="F17" t="inlineStr">
        <is>
          <t>An Giang</t>
        </is>
      </c>
      <c r="G17" t="inlineStr">
        <is>
          <t>17-04-2026</t>
        </is>
      </c>
      <c r="H17" t="inlineStr">
        <is>
          <t>17/04/2026</t>
        </is>
      </c>
      <c r="I17" t="inlineStr">
        <is>
          <t>17/03/2026</t>
        </is>
      </c>
      <c r="J17" t="inlineStr">
        <is>
          <t>Điện / Điện tử / Điện lạnh / Điện công nghiệp, Cơ khí / Ô tô / Tự động hóa</t>
        </is>
      </c>
      <c r="K17" t="inlineStr">
        <is>
          <t>1 - 3 Năm</t>
        </is>
      </c>
      <c r="L17" s="8">
        <f>HYPERLINK("https://careerviet.vn/vi/tim-viec-lam/kcs-ky-thuat-van-hanh-san-xuat-gao.35C6D092.html","Xem chi tiết")</f>
        <v/>
      </c>
    </row>
    <row r="18">
      <c r="B18" s="9" t="n">
        <v>16</v>
      </c>
      <c r="C18" s="10" t="inlineStr">
        <is>
          <t>Nhân viên phát triển đại lý - Oversea Sales [HCM,HN](Mới)</t>
        </is>
      </c>
      <c r="D18" s="10" t="inlineStr">
        <is>
          <t>DACO Logistics</t>
        </is>
      </c>
      <c r="E18" s="10" t="inlineStr">
        <is>
          <t>Lương:Cạnh tranh</t>
        </is>
      </c>
      <c r="F18" s="10" t="inlineStr">
        <is>
          <t>Hà NộiHồ Chí MinhĐà Nẵng</t>
        </is>
      </c>
      <c r="G18" s="10" t="inlineStr">
        <is>
          <t>16-04-2026</t>
        </is>
      </c>
      <c r="H18" s="10" t="inlineStr">
        <is>
          <t>16/04/2026</t>
        </is>
      </c>
      <c r="I18" s="10" t="inlineStr">
        <is>
          <t>17/03/2026</t>
        </is>
      </c>
      <c r="J18" s="10" t="inlineStr">
        <is>
          <t>Bán hàng / Kinh doanh, Xuất nhập khẩu, Hàng hải</t>
        </is>
      </c>
      <c r="K18" s="10" t="inlineStr">
        <is>
          <t>N/A</t>
        </is>
      </c>
      <c r="L18" s="11">
        <f>HYPERLINK("https://careerviet.vn/vi/tim-viec-lam/nhan-vien-phat-trien-dai-ly-oversea-sales-hcm-hn.35C6CD09.html","Xem chi tiết")</f>
        <v/>
      </c>
      <c r="M18" s="10" t="n"/>
    </row>
    <row r="19">
      <c r="B19" s="7" t="n">
        <v>17</v>
      </c>
      <c r="C19" t="inlineStr">
        <is>
          <t>Cán Bộ Giám Sát Kỹ Thuật Miền Nam (Xây Dựng/Hạ Tầng/ M&amp;E/ Trắc Đạc)(Mới)</t>
        </is>
      </c>
      <c r="D19" t="inlineStr">
        <is>
          <t>VINHOMES - Tập đoàn Vingroup</t>
        </is>
      </c>
      <c r="E19" t="inlineStr">
        <is>
          <t>Lương:Trên 46 Tr VND</t>
        </is>
      </c>
      <c r="F19" t="inlineStr">
        <is>
          <t>Hồ Chí MinhKhánh Hòa</t>
        </is>
      </c>
      <c r="G19" t="inlineStr">
        <is>
          <t>30-04-2026</t>
        </is>
      </c>
      <c r="H19" t="inlineStr">
        <is>
          <t>30/04/2026</t>
        </is>
      </c>
      <c r="I19" t="inlineStr">
        <is>
          <t>17/03/2026</t>
        </is>
      </c>
      <c r="J19" t="inlineStr">
        <is>
          <t>Điện / Điện tử / Điện lạnh / Điện công nghiệp, Kiến trúc, Xây dựng</t>
        </is>
      </c>
      <c r="K19" t="inlineStr">
        <is>
          <t>3 - 5 NămĐịa điểm</t>
        </is>
      </c>
      <c r="L19" s="8">
        <f>HYPERLINK("https://careerviet.vn/vi/tim-viec-lam/can-bo-giam-sat-ky-thuat-mien-nam-xay-dung-ha-tang-m-e-trac-dac.35C6D06D.html","Xem chi tiết")</f>
        <v/>
      </c>
    </row>
    <row r="20">
      <c r="B20" s="9" t="n">
        <v>18</v>
      </c>
      <c r="C20" s="10" t="inlineStr">
        <is>
          <t>Cán bộ Kỹ thuật (Giám sát Thi công)(Mới)</t>
        </is>
      </c>
      <c r="D20" s="10" t="inlineStr">
        <is>
          <t>Công ty Cổ phần Xhome Cần Thơ</t>
        </is>
      </c>
      <c r="E20" s="10" t="inlineStr">
        <is>
          <t>Lương:9 Tr - 15 Tr VND</t>
        </is>
      </c>
      <c r="F20" s="10" t="inlineStr">
        <is>
          <t>Cần Thơ</t>
        </is>
      </c>
      <c r="G20" s="10" t="inlineStr">
        <is>
          <t>25-04-2026</t>
        </is>
      </c>
      <c r="H20" s="10" t="inlineStr">
        <is>
          <t>25/04/2026</t>
        </is>
      </c>
      <c r="I20" s="10" t="inlineStr">
        <is>
          <t>17/03/2026</t>
        </is>
      </c>
      <c r="J20" s="10" t="inlineStr">
        <is>
          <t>Xây dựng, Kiến trúc</t>
        </is>
      </c>
      <c r="K20" s="10" t="inlineStr">
        <is>
          <t>2 - 3 Năm</t>
        </is>
      </c>
      <c r="L20" s="11">
        <f>HYPERLINK("https://careerviet.vn/vi/tim-viec-lam/can-bo-ky-thuat-giam-sat-thi-cong.35C6D083.html","Xem chi tiết")</f>
        <v/>
      </c>
      <c r="M20" s="10" t="n"/>
    </row>
    <row r="21">
      <c r="B21" s="7" t="n">
        <v>19</v>
      </c>
      <c r="C21" t="inlineStr">
        <is>
          <t>CV/ CVC/ CVCC Quản lý an toàn Kho quỹ - Phòng Nghiệp vụ và Quản lý Kho quỹ - Khối Vận hành(Mới)</t>
        </is>
      </c>
      <c r="D21" t="inlineStr">
        <is>
          <t>Ngân Hàng TMCP Quốc Dân (NCB)</t>
        </is>
      </c>
      <c r="E21" t="inlineStr">
        <is>
          <t>Lương:Cạnh tranh</t>
        </is>
      </c>
      <c r="F21" t="inlineStr">
        <is>
          <t>Hà Nội</t>
        </is>
      </c>
      <c r="G21" t="inlineStr">
        <is>
          <t>17-04-2026</t>
        </is>
      </c>
      <c r="H21" t="inlineStr">
        <is>
          <t>17/04/2026</t>
        </is>
      </c>
      <c r="I21" t="inlineStr">
        <is>
          <t>17/03/2026</t>
        </is>
      </c>
      <c r="J21" t="inlineStr">
        <is>
          <t>Ngân hàng, Quản lý điều hành</t>
        </is>
      </c>
      <c r="K21" t="inlineStr">
        <is>
          <t>Trên 1 Năm</t>
        </is>
      </c>
      <c r="L21" s="8">
        <f>HYPERLINK("https://careerviet.vn/vi/tim-viec-lam/cv-cvc-cvcc-quan-ly-an-toan-kho-quy-phong-nghiep-vu-va-quan-ly-kho-quy-khoi-van-hanh.35C6D08B.html","Xem chi tiết")</f>
        <v/>
      </c>
    </row>
    <row r="22">
      <c r="B22" s="9" t="n">
        <v>20</v>
      </c>
      <c r="C22" s="10" t="inlineStr">
        <is>
          <t>Giám đốc Quan hệ Khách hàng Ưu tiên - NCB Hưng Yên(Mới)</t>
        </is>
      </c>
      <c r="D22" s="10" t="inlineStr">
        <is>
          <t>Ngân Hàng TMCP Quốc Dân (NCB)</t>
        </is>
      </c>
      <c r="E22" s="10" t="inlineStr">
        <is>
          <t>Lương:Cạnh tranh</t>
        </is>
      </c>
      <c r="F22" s="10" t="inlineStr">
        <is>
          <t>Hưng Yên</t>
        </is>
      </c>
      <c r="G22" s="10" t="inlineStr">
        <is>
          <t>17-04-2026</t>
        </is>
      </c>
      <c r="H22" s="10" t="inlineStr">
        <is>
          <t>17/04/2026</t>
        </is>
      </c>
      <c r="I22" s="10" t="inlineStr">
        <is>
          <t>17/03/2026</t>
        </is>
      </c>
      <c r="J22" s="10" t="inlineStr">
        <is>
          <t>Bán hàng / Kinh doanh, Ngân hàng, Tư vấn</t>
        </is>
      </c>
      <c r="K22" s="10" t="inlineStr">
        <is>
          <t>1 - 3 Năm</t>
        </is>
      </c>
      <c r="L22" s="11">
        <f>HYPERLINK("https://careerviet.vn/vi/tim-viec-lam/giam-doc-quan-he-khach-hang-uu-tien-ncb-hung-yen.35C6D087.html","Xem chi tiết")</f>
        <v/>
      </c>
      <c r="M22" s="10" t="n"/>
    </row>
    <row r="23">
      <c r="B23" s="7" t="n">
        <v>21</v>
      </c>
      <c r="C23" t="inlineStr">
        <is>
          <t>Kế toán thanh toán  - Thu nhập hấp dẫn(Mới)</t>
        </is>
      </c>
      <c r="D23" t="inlineStr">
        <is>
          <t>CÔNG TY CỔ PHẦN ĐỊA ỐC HDMON VILLAS</t>
        </is>
      </c>
      <c r="E23" t="inlineStr">
        <is>
          <t>Lương:Cạnh tranh</t>
        </is>
      </c>
      <c r="F23" t="inlineStr">
        <is>
          <t>Hà Nội</t>
        </is>
      </c>
      <c r="G23" t="inlineStr">
        <is>
          <t>20-04-2026</t>
        </is>
      </c>
      <c r="H23" t="inlineStr">
        <is>
          <t>20/04/2026</t>
        </is>
      </c>
      <c r="I23" t="inlineStr">
        <is>
          <t>17/03/2026</t>
        </is>
      </c>
      <c r="J23" t="inlineStr">
        <is>
          <t>Kế toán / Kiểm toán, Xây dựng, Bất động sản</t>
        </is>
      </c>
      <c r="K23" t="inlineStr">
        <is>
          <t>2 - 3 Năm</t>
        </is>
      </c>
      <c r="L23" s="8">
        <f>HYPERLINK("https://careerviet.vn/vi/tim-viec-lam/ke-toan-thanh-toan-thu-nhap-hap-dan.35C6D06F.html","Xem chi tiết")</f>
        <v/>
      </c>
    </row>
    <row r="24">
      <c r="B24" s="9" t="n">
        <v>22</v>
      </c>
      <c r="C24" s="10" t="inlineStr">
        <is>
          <t>Nhân Viên Mua Hàng Biết Tiếng Anh, Tiếng Trung(Mới)</t>
        </is>
      </c>
      <c r="D24" s="10" t="inlineStr">
        <is>
          <t>CÔNG TY TNHH NGUYÊN LIỆU Y PHỤC</t>
        </is>
      </c>
      <c r="E24" s="10" t="inlineStr">
        <is>
          <t>Lương:Cạnh tranh</t>
        </is>
      </c>
      <c r="F24" s="10" t="inlineStr">
        <is>
          <t>Hồ Chí Minh</t>
        </is>
      </c>
      <c r="G24" s="10" t="inlineStr">
        <is>
          <t>17-04-2026</t>
        </is>
      </c>
      <c r="H24" s="10" t="inlineStr">
        <is>
          <t>17/04/2026</t>
        </is>
      </c>
      <c r="I24" s="10" t="inlineStr">
        <is>
          <t>17/03/2026</t>
        </is>
      </c>
      <c r="J24" s="10" t="inlineStr">
        <is>
          <t>Thu mua / Vật tư, Bán hàng / Kinh doanh, Xuất nhập khẩu</t>
        </is>
      </c>
      <c r="K24" s="10" t="inlineStr">
        <is>
          <t>N/A</t>
        </is>
      </c>
      <c r="L24" s="11">
        <f>HYPERLINK("https://careerviet.vn/vi/tim-viec-lam/nhan-vien-mua-hang-biet-tieng-anh-tieng-trung.35C6D039.html","Xem chi tiết")</f>
        <v/>
      </c>
      <c r="M24" s="10" t="n"/>
    </row>
    <row r="25">
      <c r="B25" s="7" t="n">
        <v>23</v>
      </c>
      <c r="C25" t="inlineStr">
        <is>
          <t>Trưởng nhóm Ứng Dụng Sản phẩm (Thiết bị xét nghiệm)(Mới)</t>
        </is>
      </c>
      <c r="D25" t="inlineStr">
        <is>
          <t>Công ty TNHH Thiết bị y tế Phương Đông</t>
        </is>
      </c>
      <c r="E25" t="inlineStr">
        <is>
          <t>Lương:Cạnh tranh</t>
        </is>
      </c>
      <c r="F25" t="inlineStr">
        <is>
          <t>Hà Nội</t>
        </is>
      </c>
      <c r="G25" t="inlineStr">
        <is>
          <t>24-04-2026</t>
        </is>
      </c>
      <c r="H25" t="inlineStr">
        <is>
          <t>24/04/2026</t>
        </is>
      </c>
      <c r="I25" t="inlineStr">
        <is>
          <t>17/03/2026</t>
        </is>
      </c>
      <c r="J25" t="inlineStr">
        <is>
          <t>Y tế / Chăm sóc sức khỏe / Thẩm mỹ / Làm đẹp</t>
        </is>
      </c>
      <c r="K25" t="inlineStr">
        <is>
          <t>Lên đến 3 Năm</t>
        </is>
      </c>
      <c r="L25" s="8">
        <f>HYPERLINK("https://careerviet.vn/vi/tim-viec-lam/truong-nhom-ung-dung-san-pham-thiet-bi-xet-nghiem.35C6D081.html","Xem chi tiết")</f>
        <v/>
      </c>
    </row>
    <row r="26">
      <c r="B26" s="9" t="n">
        <v>24</v>
      </c>
      <c r="C26" s="10" t="inlineStr">
        <is>
          <t>HR Data Analyst(Mới)</t>
        </is>
      </c>
      <c r="D26" s="10" t="inlineStr">
        <is>
          <t>Ngân hàng TMCP Phát triển TP.HCM (HDBank)</t>
        </is>
      </c>
      <c r="E26" s="10" t="inlineStr">
        <is>
          <t>Lương:Cạnh tranh</t>
        </is>
      </c>
      <c r="F26" s="10" t="inlineStr">
        <is>
          <t>Hồ Chí Minh</t>
        </is>
      </c>
      <c r="G26" s="10" t="inlineStr">
        <is>
          <t>31-03-2026</t>
        </is>
      </c>
      <c r="H26" s="10" t="inlineStr">
        <is>
          <t>31/03/2026</t>
        </is>
      </c>
      <c r="I26" s="10" t="inlineStr">
        <is>
          <t>17/03/2026</t>
        </is>
      </c>
      <c r="J26" s="10" t="inlineStr">
        <is>
          <t>Nhân sự</t>
        </is>
      </c>
      <c r="K26" s="10" t="inlineStr">
        <is>
          <t>Trên 2 Năm</t>
        </is>
      </c>
      <c r="L26" s="11">
        <f>HYPERLINK("https://careerviet.vn/vi/tim-viec-lam/hr-data-analyst.35C6D062.html","Xem chi tiết")</f>
        <v/>
      </c>
      <c r="M26" s="10" t="n"/>
    </row>
    <row r="27">
      <c r="B27" s="7" t="n">
        <v>25</v>
      </c>
      <c r="C27" t="inlineStr">
        <is>
          <t>Nhân viên Thiết kế nội thất (3D)(Mới)</t>
        </is>
      </c>
      <c r="D27" t="inlineStr">
        <is>
          <t>Công ty TNHH Thiết kế nội thất &amp; Xây dựng SIO</t>
        </is>
      </c>
      <c r="E27" t="inlineStr">
        <is>
          <t>Lương:15 Tr - 20 Tr VND</t>
        </is>
      </c>
      <c r="F27" t="inlineStr">
        <is>
          <t>Hồ Chí Minh</t>
        </is>
      </c>
      <c r="G27" t="inlineStr">
        <is>
          <t>31-08-2026</t>
        </is>
      </c>
      <c r="H27" t="inlineStr">
        <is>
          <t>31/08/2026</t>
        </is>
      </c>
      <c r="I27" t="inlineStr">
        <is>
          <t>17/03/2026</t>
        </is>
      </c>
      <c r="J27" t="inlineStr">
        <is>
          <t>Nội ngoại thất, Mỹ thuật / Nghệ thuật / Thiết kế</t>
        </is>
      </c>
      <c r="K27" t="inlineStr">
        <is>
          <t>3 - 5 Năm</t>
        </is>
      </c>
      <c r="L27" s="8">
        <f>HYPERLINK("https://careerviet.vn/vi/tim-viec-lam/nhan-vien-thiet-ke-noi-that-3d.35C6D03E.html","Xem chi tiết")</f>
        <v/>
      </c>
    </row>
    <row r="28">
      <c r="B28" s="9" t="n">
        <v>26</v>
      </c>
      <c r="C28" s="10" t="inlineStr">
        <is>
          <t>Nhân Viên Content Marketing(Mới)</t>
        </is>
      </c>
      <c r="D28" s="10" t="inlineStr">
        <is>
          <t>Công Ty TNHH Tư Vấn Du Học New World</t>
        </is>
      </c>
      <c r="E28" s="10" t="inlineStr">
        <is>
          <t>Lương:Cạnh tranh</t>
        </is>
      </c>
      <c r="F28" s="10" t="inlineStr">
        <is>
          <t>Hồ Chí Minh</t>
        </is>
      </c>
      <c r="G28" s="10" t="inlineStr">
        <is>
          <t>17-04-2026</t>
        </is>
      </c>
      <c r="H28" s="10" t="inlineStr">
        <is>
          <t>17/04/2026</t>
        </is>
      </c>
      <c r="I28" s="10" t="inlineStr">
        <is>
          <t>17/03/2026</t>
        </is>
      </c>
      <c r="J28" s="10" t="inlineStr">
        <is>
          <t>Tiếp thị / Marketing, Truyền hình / Báo chí / Biên tập, Quảng cáo / Đối ngoại / Truyền Thông</t>
        </is>
      </c>
      <c r="K28" s="10" t="inlineStr">
        <is>
          <t>Không yêu cầu kinh nghiệm</t>
        </is>
      </c>
      <c r="L28" s="11">
        <f>HYPERLINK("https://careerviet.vn/vi/tim-viec-lam/nhan-vien-content-marketing.35C6D033.html","Xem chi tiết")</f>
        <v/>
      </c>
      <c r="M28" s="10" t="n"/>
    </row>
    <row r="29">
      <c r="B29" s="7" t="n">
        <v>27</v>
      </c>
      <c r="C29" t="inlineStr">
        <is>
          <t>Phó phòng tài chính kế toán(Mới)</t>
        </is>
      </c>
      <c r="D29" t="inlineStr">
        <is>
          <t>CÔNG TY CỔ PHẦN NHIỆT ĐIỆN AN KHÁNH - BẮC GIANG</t>
        </is>
      </c>
      <c r="E29" t="inlineStr">
        <is>
          <t>Lương:20 Tr - 25 Tr VND</t>
        </is>
      </c>
      <c r="F29" t="inlineStr">
        <is>
          <t>Bắc NinhBắc Giang</t>
        </is>
      </c>
      <c r="G29" t="inlineStr">
        <is>
          <t>30-04-2026</t>
        </is>
      </c>
      <c r="H29" t="inlineStr">
        <is>
          <t>30/04/2026</t>
        </is>
      </c>
      <c r="I29" t="inlineStr">
        <is>
          <t>17/03/2026</t>
        </is>
      </c>
      <c r="J29" t="inlineStr">
        <is>
          <t>Tài chính / Đầu tư, Kế toán / Kiểm toán, Quản lý điều hành</t>
        </is>
      </c>
      <c r="K29" t="inlineStr">
        <is>
          <t>Trên 5 Năm</t>
        </is>
      </c>
      <c r="L29" s="8">
        <f>HYPERLINK("https://careerviet.vn/vi/tim-viec-lam/pho-phong-tai-chinh-ke-toan.35C6CFDC.html","Xem chi tiết")</f>
        <v/>
      </c>
    </row>
    <row r="30">
      <c r="B30" s="9" t="n">
        <v>28</v>
      </c>
      <c r="C30" s="10" t="inlineStr">
        <is>
          <t>128590 - Tiếng Nhật - Nhân viên Hành chính Tổng vụ - ngành Công nghệ Thông tin(Mới)</t>
        </is>
      </c>
      <c r="D30" s="10" t="inlineStr">
        <is>
          <t>RGF HR Agent Vietnam Co., LTD</t>
        </is>
      </c>
      <c r="E30" s="10" t="inlineStr">
        <is>
          <t>Lương:13 Tr - 20 Tr VND</t>
        </is>
      </c>
      <c r="F30" s="10" t="inlineStr">
        <is>
          <t>Hà Nội</t>
        </is>
      </c>
      <c r="G30" s="10" t="inlineStr">
        <is>
          <t>17-04-2026</t>
        </is>
      </c>
      <c r="H30" s="10" t="inlineStr">
        <is>
          <t>17/04/2026</t>
        </is>
      </c>
      <c r="I30" s="10" t="inlineStr">
        <is>
          <t>17/03/2026</t>
        </is>
      </c>
      <c r="J30" s="10" t="inlineStr">
        <is>
          <t>Nhân sự, Hành chính / Thư ký, Quản lý điều hành</t>
        </is>
      </c>
      <c r="K30" s="10" t="inlineStr">
        <is>
          <t>Trên 2 Năm</t>
        </is>
      </c>
      <c r="L30" s="11">
        <f>HYPERLINK("https://careerviet.vn/vi/tim-viec-lam/128590-tieng-nhat-nhan-vien-hanh-chinh-tong-vu-nganh-cong-nghe-thong-tin.35C6D060.html","Xem chi tiết")</f>
        <v/>
      </c>
      <c r="M30" s="10" t="n"/>
    </row>
    <row r="31">
      <c r="B31" s="7" t="n">
        <v>29</v>
      </c>
      <c r="C31" t="inlineStr">
        <is>
          <t>Kế toán thanh toán(Mới)</t>
        </is>
      </c>
      <c r="D31" t="inlineStr">
        <is>
          <t>CÔNG TY CỔ PHẦN NHIỆT ĐIỆN AN KHÁNH - BẮC GIANG</t>
        </is>
      </c>
      <c r="E31" t="inlineStr">
        <is>
          <t>Lương:10 Tr - 15 Tr VND</t>
        </is>
      </c>
      <c r="F31" t="inlineStr">
        <is>
          <t>Bắc NinhBắc Giang</t>
        </is>
      </c>
      <c r="G31" t="inlineStr">
        <is>
          <t>29-04-2026</t>
        </is>
      </c>
      <c r="H31" t="inlineStr">
        <is>
          <t>29/04/2026</t>
        </is>
      </c>
      <c r="I31" t="inlineStr">
        <is>
          <t>17/03/2026</t>
        </is>
      </c>
      <c r="J31" t="inlineStr">
        <is>
          <t>Kế toán / Kiểm toán, Điện / Điện tử / Điện lạnh / Điện công nghiệp</t>
        </is>
      </c>
      <c r="K31" t="inlineStr">
        <is>
          <t>Trên 3 Năm</t>
        </is>
      </c>
      <c r="L31" s="8">
        <f>HYPERLINK("https://careerviet.vn/vi/tim-viec-lam/ke-toan-thanh-toan.35C6CFF4.html","Xem chi tiết")</f>
        <v/>
      </c>
    </row>
    <row r="32">
      <c r="B32" s="9" t="n">
        <v>30</v>
      </c>
      <c r="C32" s="10" t="inlineStr">
        <is>
          <t>Project Executive(Mới)</t>
        </is>
      </c>
      <c r="D32" s="10" t="inlineStr">
        <is>
          <t>Công ty TNHH Olam Việt Nam</t>
        </is>
      </c>
      <c r="E32" s="10" t="inlineStr">
        <is>
          <t>Lương:Cạnh tranh</t>
        </is>
      </c>
      <c r="F32" s="10" t="inlineStr">
        <is>
          <t>Đồng Nai</t>
        </is>
      </c>
      <c r="G32" s="10" t="inlineStr">
        <is>
          <t>25-04-2026</t>
        </is>
      </c>
      <c r="H32" s="10" t="inlineStr">
        <is>
          <t>25/04/2026</t>
        </is>
      </c>
      <c r="I32" s="10" t="inlineStr">
        <is>
          <t>17/03/2026</t>
        </is>
      </c>
      <c r="J32" s="10" t="inlineStr">
        <is>
          <t>Bảo trì / Sửa chữa, Cơ khí / Ô tô / Tự động hóa, Điện / Điện tử / Điện lạnh / Điện công nghiệp</t>
        </is>
      </c>
      <c r="K32" s="10" t="inlineStr">
        <is>
          <t>4 Năm</t>
        </is>
      </c>
      <c r="L32" s="11">
        <f>HYPERLINK("https://careerviet.vn/vi/tim-viec-lam/project-executive.35C6D043.html","Xem chi tiết")</f>
        <v/>
      </c>
      <c r="M32" s="10" t="n"/>
    </row>
    <row r="33">
      <c r="B33" s="7" t="n">
        <v>31</v>
      </c>
      <c r="C33" t="inlineStr">
        <is>
          <t>Event Manager</t>
        </is>
      </c>
      <c r="D33" t="inlineStr">
        <is>
          <t>EDGE MARKETING SOLUTIONS</t>
        </is>
      </c>
      <c r="E33" t="inlineStr">
        <is>
          <t>Lương:Cạnh tranh</t>
        </is>
      </c>
      <c r="F33" t="inlineStr">
        <is>
          <t>Hồ Chí Minh</t>
        </is>
      </c>
      <c r="G33" t="inlineStr">
        <is>
          <t>07-04-2026</t>
        </is>
      </c>
      <c r="H33" t="inlineStr">
        <is>
          <t>07/04/2026</t>
        </is>
      </c>
      <c r="I33" t="inlineStr">
        <is>
          <t>17/03/2026</t>
        </is>
      </c>
      <c r="J33" t="inlineStr">
        <is>
          <t>Tổ chức sự kiện</t>
        </is>
      </c>
      <c r="K33" t="inlineStr">
        <is>
          <t>4 - 9 Năm</t>
        </is>
      </c>
      <c r="L33" s="8">
        <f>HYPERLINK("https://careerviet.vn/vi/tim-viec-lam/event-manager.35C6B580.html","Xem chi tiết")</f>
        <v/>
      </c>
    </row>
    <row r="34">
      <c r="B34" s="9" t="n">
        <v>32</v>
      </c>
      <c r="C34" s="10" t="inlineStr">
        <is>
          <t>Trưởng Phòng Kế Hoạch Vật tư(Mới)</t>
        </is>
      </c>
      <c r="D34" s="10" t="inlineStr">
        <is>
          <t>CÔNG TY CỔ PHẦN NHIỆT ĐIỆN AN KHÁNH - BẮC GIANG</t>
        </is>
      </c>
      <c r="E34" s="10" t="inlineStr">
        <is>
          <t>Lương:40 Tr - 50 Tr VND</t>
        </is>
      </c>
      <c r="F34" s="10" t="inlineStr">
        <is>
          <t>Bắc NinhBắc Giang</t>
        </is>
      </c>
      <c r="G34" s="10" t="inlineStr">
        <is>
          <t>30-04-2026</t>
        </is>
      </c>
      <c r="H34" s="10" t="inlineStr">
        <is>
          <t>30/04/2026</t>
        </is>
      </c>
      <c r="I34" s="10" t="inlineStr">
        <is>
          <t>17/03/2026</t>
        </is>
      </c>
      <c r="J34" s="10" t="inlineStr">
        <is>
          <t>Thu mua / Vật tư, Cơ khí / Ô tô / Tự động hóa, Điện / Điện tử / Điện lạnh / Điện công nghiệp</t>
        </is>
      </c>
      <c r="K34" s="10" t="inlineStr">
        <is>
          <t>Trên 5 Năm</t>
        </is>
      </c>
      <c r="L34" s="11">
        <f>HYPERLINK("https://careerviet.vn/vi/tim-viec-lam/truong-phong-ke-hoach-vat-tu.35C6D013.html","Xem chi tiết")</f>
        <v/>
      </c>
      <c r="M34" s="10" t="n"/>
    </row>
    <row r="35">
      <c r="B35" s="7" t="n">
        <v>33</v>
      </c>
      <c r="C35" t="inlineStr">
        <is>
          <t>Sales Engineering Automotive – Kỹ Sư Bán Hàng Ô Tô(Mới)</t>
        </is>
      </c>
      <c r="D35" t="inlineStr">
        <is>
          <t>Công Ty TNHH Ninh Vân</t>
        </is>
      </c>
      <c r="E35" t="inlineStr">
        <is>
          <t>Lương:Trên 10 Tr VND</t>
        </is>
      </c>
      <c r="F35" t="inlineStr">
        <is>
          <t>Hồ Chí MinhĐà Nẵng</t>
        </is>
      </c>
      <c r="G35" t="inlineStr">
        <is>
          <t>16-04-2026</t>
        </is>
      </c>
      <c r="H35" t="inlineStr">
        <is>
          <t>16/04/2026</t>
        </is>
      </c>
      <c r="I35" t="inlineStr">
        <is>
          <t>17/03/2026</t>
        </is>
      </c>
      <c r="J35" t="inlineStr">
        <is>
          <t>Bán hàng / Kinh doanh, Cơ khí / Ô tô / Tự động hóa, Bán Hàng Kỹ Thuật</t>
        </is>
      </c>
      <c r="K35" t="inlineStr">
        <is>
          <t>N/A</t>
        </is>
      </c>
      <c r="L35" s="8">
        <f>HYPERLINK("https://careerviet.vn/vi/tim-viec-lam/sales-engineering-automotive-ky-su-ban-hang-o-to.35C6D049.html","Xem chi tiết")</f>
        <v/>
      </c>
    </row>
    <row r="36">
      <c r="B36" s="9" t="n">
        <v>34</v>
      </c>
      <c r="C36" s="10" t="inlineStr">
        <is>
          <t>128631 - Service Engineer - Water Treatment(Mới)</t>
        </is>
      </c>
      <c r="D36" s="10" t="inlineStr">
        <is>
          <t>RGF HR Agent Vietnam Co., LTD</t>
        </is>
      </c>
      <c r="E36" s="10" t="inlineStr">
        <is>
          <t>Lương:20 Tr - 25 Tr VND</t>
        </is>
      </c>
      <c r="F36" s="10" t="inlineStr">
        <is>
          <t>Hà Nội</t>
        </is>
      </c>
      <c r="G36" s="10" t="inlineStr">
        <is>
          <t>17-04-2026</t>
        </is>
      </c>
      <c r="H36" s="10" t="inlineStr">
        <is>
          <t>17/04/2026</t>
        </is>
      </c>
      <c r="I36" s="10" t="inlineStr">
        <is>
          <t>17/03/2026</t>
        </is>
      </c>
      <c r="J36" s="10" t="inlineStr">
        <is>
          <t>Bán Hàng Kỹ Thuật, Dịch vụ khách hàng, Ngành khác</t>
        </is>
      </c>
      <c r="K36" s="10" t="inlineStr">
        <is>
          <t>Trên 2 Năm</t>
        </is>
      </c>
      <c r="L36" s="11">
        <f>HYPERLINK("https://careerviet.vn/vi/tim-viec-lam/128631-service-engineer-water-treatment.35C6D04F.html","Xem chi tiết")</f>
        <v/>
      </c>
      <c r="M36" s="10" t="n"/>
    </row>
    <row r="37">
      <c r="B37" s="7" t="n">
        <v>35</v>
      </c>
      <c r="C37" t="inlineStr">
        <is>
          <t>Nhân Viên Kinh Doanh(Mới)</t>
        </is>
      </c>
      <c r="D37" t="inlineStr">
        <is>
          <t>Công Ty Cổ Phần Hanotech Việt Nam</t>
        </is>
      </c>
      <c r="E37" t="inlineStr">
        <is>
          <t>Lương:10 Tr - 30 Tr VND</t>
        </is>
      </c>
      <c r="F37" t="inlineStr">
        <is>
          <t>Hà Nội</t>
        </is>
      </c>
      <c r="G37" t="inlineStr">
        <is>
          <t>16-04-2026</t>
        </is>
      </c>
      <c r="H37" t="inlineStr">
        <is>
          <t>16/04/2026</t>
        </is>
      </c>
      <c r="I37" t="inlineStr">
        <is>
          <t>17/03/2026</t>
        </is>
      </c>
      <c r="J37" t="inlineStr">
        <is>
          <t>Bán hàng / Kinh doanh, Hóa học, Tiếp thị / Marketing</t>
        </is>
      </c>
      <c r="K37" t="inlineStr">
        <is>
          <t>Trên 2 Năm</t>
        </is>
      </c>
      <c r="L37" s="8">
        <f>HYPERLINK("https://careerviet.vn/vi/tim-viec-lam/nhan-vien-kinh-doanh.35C6D041.html","Xem chi tiết")</f>
        <v/>
      </c>
    </row>
    <row r="38">
      <c r="B38" s="9" t="n">
        <v>36</v>
      </c>
      <c r="C38" s="10" t="inlineStr">
        <is>
          <t>Trưởng nhóm bán hàng(Mới)</t>
        </is>
      </c>
      <c r="D38" s="10" t="inlineStr">
        <is>
          <t>CÔNG TY CỔ PHẦN NĂNG LƯỢNG XANH ON ENERGY</t>
        </is>
      </c>
      <c r="E38" s="10" t="inlineStr">
        <is>
          <t>Lương:Cạnh tranh</t>
        </is>
      </c>
      <c r="F38" s="10" t="inlineStr">
        <is>
          <t>Hồ Chí MinhHà Nội</t>
        </is>
      </c>
      <c r="G38" s="10" t="inlineStr">
        <is>
          <t>30-04-2026</t>
        </is>
      </c>
      <c r="H38" s="10" t="inlineStr">
        <is>
          <t>30/04/2026</t>
        </is>
      </c>
      <c r="I38" s="10" t="inlineStr">
        <is>
          <t>17/03/2026</t>
        </is>
      </c>
      <c r="J38" s="10" t="inlineStr">
        <is>
          <t>Bán hàng / Kinh doanh, Tiếp thị / Marketing, Bán Hàng Kỹ Thuật</t>
        </is>
      </c>
      <c r="K38" s="10" t="inlineStr">
        <is>
          <t>1 - 2 Năm</t>
        </is>
      </c>
      <c r="L38" s="11">
        <f>HYPERLINK("https://careerviet.vn/vi/tim-viec-lam/truong-nhom-ban-hang.35C6D02A.html","Xem chi tiết")</f>
        <v/>
      </c>
      <c r="M38" s="10" t="n"/>
    </row>
    <row r="39">
      <c r="B39" s="7" t="n">
        <v>37</v>
      </c>
      <c r="C39" t="inlineStr">
        <is>
          <t>Kế toán trưởng(Mới)</t>
        </is>
      </c>
      <c r="D39" t="inlineStr">
        <is>
          <t>CÔNG TY CỔ PHẦN PHÁT TRIỂN VÀ THƯƠNG MẠI MINH DŨNG</t>
        </is>
      </c>
      <c r="E39" t="inlineStr">
        <is>
          <t>Lương:25 Tr - 30 Tr VND</t>
        </is>
      </c>
      <c r="F39" t="inlineStr">
        <is>
          <t>Hà Nội</t>
        </is>
      </c>
      <c r="G39" t="inlineStr">
        <is>
          <t>30-04-2026</t>
        </is>
      </c>
      <c r="H39" t="inlineStr">
        <is>
          <t>30/04/2026</t>
        </is>
      </c>
      <c r="I39" t="inlineStr">
        <is>
          <t>17/03/2026</t>
        </is>
      </c>
      <c r="J39" t="inlineStr">
        <is>
          <t>Kế toán / Kiểm toán, Tài chính / Đầu tư</t>
        </is>
      </c>
      <c r="K39" t="inlineStr">
        <is>
          <t>4 - 5 Năm</t>
        </is>
      </c>
      <c r="L39" s="8">
        <f>HYPERLINK("https://careerviet.vn/vi/tim-viec-lam/ke-toan-truong.35C6CE89.html","Xem chi tiết")</f>
        <v/>
      </c>
    </row>
    <row r="40">
      <c r="B40" s="9" t="n">
        <v>38</v>
      </c>
      <c r="C40" s="10" t="inlineStr">
        <is>
          <t>Nhân viên Chuỗi cung ứng(Mới)</t>
        </is>
      </c>
      <c r="D40" s="10" t="inlineStr">
        <is>
          <t>DUYTAN Holding</t>
        </is>
      </c>
      <c r="E40" s="10" t="inlineStr">
        <is>
          <t>Lương:Cạnh tranh</t>
        </is>
      </c>
      <c r="F40" s="10" t="inlineStr">
        <is>
          <t>Hồ Chí Minh</t>
        </is>
      </c>
      <c r="G40" s="10" t="inlineStr">
        <is>
          <t>30-03-2026</t>
        </is>
      </c>
      <c r="H40" s="10" t="inlineStr">
        <is>
          <t>30/03/2026</t>
        </is>
      </c>
      <c r="I40" s="10" t="inlineStr">
        <is>
          <t>17/03/2026</t>
        </is>
      </c>
      <c r="J40" s="10" t="inlineStr">
        <is>
          <t>Sản xuất / Vận hành sản xuất, Vận chuyển / Giao nhận / Kho vận</t>
        </is>
      </c>
      <c r="K40" s="10" t="inlineStr">
        <is>
          <t>1 - 5 Năm</t>
        </is>
      </c>
      <c r="L40" s="11">
        <f>HYPERLINK("https://careerviet.vn/vi/tim-viec-lam/nhan-vien-chuoi-cung-ung.35C6CFF9.html","Xem chi tiết")</f>
        <v/>
      </c>
      <c r="M40" s="10" t="n"/>
    </row>
    <row r="41">
      <c r="B41" s="7" t="n">
        <v>39</v>
      </c>
      <c r="C41" t="inlineStr">
        <is>
          <t>Organization Development Assistant Manager(Mới)</t>
        </is>
      </c>
      <c r="D41" t="inlineStr">
        <is>
          <t>Vietnam Furniture Resources (VFR)</t>
        </is>
      </c>
      <c r="E41" t="inlineStr">
        <is>
          <t>Lương:Cạnh tranh</t>
        </is>
      </c>
      <c r="F41" t="inlineStr">
        <is>
          <t>Bình Dương</t>
        </is>
      </c>
      <c r="G41" t="inlineStr">
        <is>
          <t>30-04-2026</t>
        </is>
      </c>
      <c r="H41" t="inlineStr">
        <is>
          <t>30/04/2026</t>
        </is>
      </c>
      <c r="I41" t="inlineStr">
        <is>
          <t>17/03/2026</t>
        </is>
      </c>
      <c r="J41" t="inlineStr">
        <is>
          <t>Giáo dục / Đào tạo, Nhân sự, Hành chính / Thư ký</t>
        </is>
      </c>
      <c r="K41" t="inlineStr">
        <is>
          <t>Chưa có kinh nghiệm</t>
        </is>
      </c>
      <c r="L41" s="8">
        <f>HYPERLINK("https://careerviet.vn/vi/tim-viec-lam/organization-development-assistant-manager.35C6CE7E.html","Xem chi tiết")</f>
        <v/>
      </c>
    </row>
    <row r="42">
      <c r="B42" s="9" t="n">
        <v>40</v>
      </c>
      <c r="C42" s="10" t="inlineStr">
        <is>
          <t>KỸ SƯ LẮP DỰNG TURBINE GIÓ(Mới)</t>
        </is>
      </c>
      <c r="D42" s="10" t="inlineStr">
        <is>
          <t>CÔNG TY TNHH INFINITY LOGISTICS</t>
        </is>
      </c>
      <c r="E42" s="10" t="inlineStr">
        <is>
          <t>Lương:25 Tr - 35 Tr VND</t>
        </is>
      </c>
      <c r="F42" s="10" t="inlineStr">
        <is>
          <t>Hồ Chí Minh</t>
        </is>
      </c>
      <c r="G42" s="10" t="inlineStr">
        <is>
          <t>30-04-2026</t>
        </is>
      </c>
      <c r="H42" s="10" t="inlineStr">
        <is>
          <t>30/04/2026</t>
        </is>
      </c>
      <c r="I42" s="10" t="inlineStr">
        <is>
          <t>17/03/2026</t>
        </is>
      </c>
      <c r="J42" s="10" t="inlineStr">
        <is>
          <t>Vận chuyển / Giao nhận / Kho vận, Điện / Điện tử / Điện lạnh / Điện công nghiệp, Xây dựng</t>
        </is>
      </c>
      <c r="K42" s="10" t="inlineStr">
        <is>
          <t>2 - 3 Năm</t>
        </is>
      </c>
      <c r="L42" s="11">
        <f>HYPERLINK("https://careerviet.vn/vi/tim-viec-lam/ky-su-lap-dung-turbine-gio.35C6CFFC.html","Xem chi tiết")</f>
        <v/>
      </c>
      <c r="M42" s="10" t="n"/>
    </row>
    <row r="43">
      <c r="B43" s="7" t="n">
        <v>41</v>
      </c>
      <c r="C43" t="inlineStr">
        <is>
          <t>Sales Engineer B2B(Mới)</t>
        </is>
      </c>
      <c r="D43" t="inlineStr">
        <is>
          <t>CÔNG TY TNHH SX HIỆP PHƯỚC THÀNH</t>
        </is>
      </c>
      <c r="E43" t="inlineStr">
        <is>
          <t>Lương:15 Tr - 25 Tr VND</t>
        </is>
      </c>
      <c r="F43" t="inlineStr">
        <is>
          <t>Hồ Chí Minh</t>
        </is>
      </c>
      <c r="G43" t="inlineStr">
        <is>
          <t>16-04-2026</t>
        </is>
      </c>
      <c r="H43" t="inlineStr">
        <is>
          <t>16/04/2026</t>
        </is>
      </c>
      <c r="I43" t="inlineStr">
        <is>
          <t>17/03/2026</t>
        </is>
      </c>
      <c r="J43" t="inlineStr">
        <is>
          <t>Bán hàng / Kinh doanh, Cơ khí / Ô tô / Tự động hóa, Hóa học</t>
        </is>
      </c>
      <c r="K43" t="inlineStr">
        <is>
          <t>2 - 5 Năm</t>
        </is>
      </c>
      <c r="L43" s="8">
        <f>HYPERLINK("https://careerviet.vn/vi/tim-viec-lam/sales-engineer-b2b.35C6CFDD.html","Xem chi tiết")</f>
        <v/>
      </c>
    </row>
    <row r="44">
      <c r="B44" s="9" t="n">
        <v>42</v>
      </c>
      <c r="C44" s="10" t="inlineStr">
        <is>
          <t>Accounting Assistant Manager(Mới)</t>
        </is>
      </c>
      <c r="D44" s="10" t="inlineStr">
        <is>
          <t>Rochdale Spears Co., Ltd.</t>
        </is>
      </c>
      <c r="E44" s="10" t="inlineStr">
        <is>
          <t>Lương:Cạnh tranh</t>
        </is>
      </c>
      <c r="F44" s="10" t="inlineStr">
        <is>
          <t>Bình Dương</t>
        </is>
      </c>
      <c r="G44" s="10" t="inlineStr">
        <is>
          <t>16-04-2026</t>
        </is>
      </c>
      <c r="H44" s="10" t="inlineStr">
        <is>
          <t>16/04/2026</t>
        </is>
      </c>
      <c r="I44" s="10" t="inlineStr">
        <is>
          <t>17/03/2026</t>
        </is>
      </c>
      <c r="J44" s="10" t="inlineStr">
        <is>
          <t>Kế toán / Kiểm toán</t>
        </is>
      </c>
      <c r="K44" s="10" t="inlineStr">
        <is>
          <t>3 - 5 Năm</t>
        </is>
      </c>
      <c r="L44" s="11">
        <f>HYPERLINK("https://careerviet.vn/vi/tim-viec-lam/accounting-assistant-manager.35C6CF24.html","Xem chi tiết")</f>
        <v/>
      </c>
      <c r="M44" s="10" t="n"/>
    </row>
    <row r="45">
      <c r="B45" s="7" t="n">
        <v>43</v>
      </c>
      <c r="C45" t="inlineStr">
        <is>
          <t>Export Sales Nội Thất(Mới)</t>
        </is>
      </c>
      <c r="D45" t="inlineStr">
        <is>
          <t>Nội Thất Mỹ Khang</t>
        </is>
      </c>
      <c r="E45" t="inlineStr">
        <is>
          <t>Lương:Cạnh tranh</t>
        </is>
      </c>
      <c r="F45" t="inlineStr">
        <is>
          <t>Hồ Chí Minh</t>
        </is>
      </c>
      <c r="G45" t="inlineStr">
        <is>
          <t>05-04-2026</t>
        </is>
      </c>
      <c r="H45" t="inlineStr">
        <is>
          <t>05/04/2026</t>
        </is>
      </c>
      <c r="I45" t="inlineStr">
        <is>
          <t>17/03/2026</t>
        </is>
      </c>
      <c r="J45" t="inlineStr">
        <is>
          <t>Bán hàng / Kinh doanh, Nội ngoại thất, Đồ gỗ</t>
        </is>
      </c>
      <c r="K45" t="inlineStr">
        <is>
          <t>3 - 5 Năm</t>
        </is>
      </c>
      <c r="L45" s="8">
        <f>HYPERLINK("https://careerviet.vn/vi/tim-viec-lam/export-sales-noi-that.35C6CF11.html","Xem chi tiết")</f>
        <v/>
      </c>
    </row>
    <row r="46">
      <c r="B46" s="9" t="n">
        <v>44</v>
      </c>
      <c r="C46" s="10" t="inlineStr">
        <is>
          <t>[HẢI PHÒNG] Nhân viên Pháp lý Thu hồi công nợ(Mới)</t>
        </is>
      </c>
      <c r="D46" s="10" t="inlineStr">
        <is>
          <t>Công ty Cho thuê Tài chính TNHH MTV Quốc tế Chailease - CN Hà Nội</t>
        </is>
      </c>
      <c r="E46" s="10" t="inlineStr">
        <is>
          <t>Lương:Cạnh tranh</t>
        </is>
      </c>
      <c r="F46" s="10" t="inlineStr">
        <is>
          <t>Hải Phòng</t>
        </is>
      </c>
      <c r="G46" s="10" t="inlineStr">
        <is>
          <t>30-04-2026</t>
        </is>
      </c>
      <c r="H46" s="10" t="inlineStr">
        <is>
          <t>30/04/2026</t>
        </is>
      </c>
      <c r="I46" s="10" t="inlineStr">
        <is>
          <t>17/03/2026</t>
        </is>
      </c>
      <c r="J46" s="10" t="inlineStr">
        <is>
          <t>Luật / Pháp lý, Tài chính / Đầu tư</t>
        </is>
      </c>
      <c r="K46" s="10" t="inlineStr">
        <is>
          <t>1 - 2 Năm</t>
        </is>
      </c>
      <c r="L46" s="11">
        <f>HYPERLINK("https://careerviet.vn/vi/tim-viec-lam/hai-phong-nhan-vien-phap-ly-thu-hoi-cong-no.35C6CFED.html","Xem chi tiết")</f>
        <v/>
      </c>
      <c r="M46" s="10" t="n"/>
    </row>
    <row r="47">
      <c r="B47" s="7" t="n">
        <v>45</v>
      </c>
      <c r="C47" t="inlineStr">
        <is>
          <t>Interior Concept Designer(Mới)</t>
        </is>
      </c>
      <c r="D47" t="inlineStr">
        <is>
          <t>Công ty Cổ Phần Unity Architects</t>
        </is>
      </c>
      <c r="E47" t="inlineStr">
        <is>
          <t>Lương:Cạnh tranh</t>
        </is>
      </c>
      <c r="F47" t="inlineStr">
        <is>
          <t>Hồ Chí Minh</t>
        </is>
      </c>
      <c r="G47" t="inlineStr">
        <is>
          <t>17-04-2026</t>
        </is>
      </c>
      <c r="H47" t="inlineStr">
        <is>
          <t>17/04/2026</t>
        </is>
      </c>
      <c r="I47" t="inlineStr">
        <is>
          <t>17/03/2026</t>
        </is>
      </c>
      <c r="J47" t="inlineStr">
        <is>
          <t>Mỹ thuật / Nghệ thuật / Thiết kế, Kiến trúc, Nội ngoại thất</t>
        </is>
      </c>
      <c r="K47" t="inlineStr">
        <is>
          <t>Trên 3 Năm</t>
        </is>
      </c>
      <c r="L47" s="8">
        <f>HYPERLINK("https://careerviet.vn/vi/tim-viec-lam/interior-concept-designer.35C6CF16.html","Xem chi tiết")</f>
        <v/>
      </c>
    </row>
    <row r="48">
      <c r="B48" s="9" t="n">
        <v>46</v>
      </c>
      <c r="C48" s="10" t="inlineStr">
        <is>
          <t>KẾ TOÁN TỔNG HỢP(Mới)</t>
        </is>
      </c>
      <c r="D48" s="10" t="inlineStr">
        <is>
          <t>Công Ty Cổ Phần Tập Đoàn Đèo Cả</t>
        </is>
      </c>
      <c r="E48" s="10" t="inlineStr">
        <is>
          <t>Lương:18 Tr - 25 Tr VND</t>
        </is>
      </c>
      <c r="F48" s="10" t="inlineStr">
        <is>
          <t>Hồ Chí Minh</t>
        </is>
      </c>
      <c r="G48" s="10" t="inlineStr">
        <is>
          <t>17-04-2026</t>
        </is>
      </c>
      <c r="H48" s="10" t="inlineStr">
        <is>
          <t>17/04/2026</t>
        </is>
      </c>
      <c r="I48" s="10" t="inlineStr">
        <is>
          <t>17/03/2026</t>
        </is>
      </c>
      <c r="J48" s="10" t="inlineStr">
        <is>
          <t>Kế toán / Kiểm toán, Xây dựng</t>
        </is>
      </c>
      <c r="K48" s="10" t="inlineStr">
        <is>
          <t>N/A</t>
        </is>
      </c>
      <c r="L48" s="11">
        <f>HYPERLINK("https://careerviet.vn/vi/tim-viec-lam/ke-toan-tong-hop.35C6D00C.html","Xem chi tiết")</f>
        <v/>
      </c>
      <c r="M48" s="10" t="n"/>
    </row>
    <row r="49">
      <c r="B49" s="7" t="n">
        <v>47</v>
      </c>
      <c r="C49" t="inlineStr">
        <is>
          <t>QA/ Quản Lý Chất Lượng(Mới)</t>
        </is>
      </c>
      <c r="D49" t="inlineStr">
        <is>
          <t>Công ty CP Thiết Bị Và Hóa Chất Đông Nam</t>
        </is>
      </c>
      <c r="E49" t="inlineStr">
        <is>
          <t>Lương:Cạnh tranh</t>
        </is>
      </c>
      <c r="F49" t="inlineStr">
        <is>
          <t>Hồ Chí Minh</t>
        </is>
      </c>
      <c r="G49" t="inlineStr">
        <is>
          <t>17-04-2026</t>
        </is>
      </c>
      <c r="H49" t="inlineStr">
        <is>
          <t>17/04/2026</t>
        </is>
      </c>
      <c r="I49" t="inlineStr">
        <is>
          <t>17/03/2026</t>
        </is>
      </c>
      <c r="J49" t="inlineStr">
        <is>
          <t>Quản lý chất lượng (QA/QC), Dược phẩm/ Hóa Mỹ Phẩm, Công nghệ sinh học</t>
        </is>
      </c>
      <c r="K49" t="inlineStr">
        <is>
          <t>2 - 3 Năm</t>
        </is>
      </c>
      <c r="L49" s="8">
        <f>HYPERLINK("https://careerviet.vn/vi/tim-viec-lam/qa-quan-ly-chat-luong.35C6CE85.html","Xem chi tiết")</f>
        <v/>
      </c>
    </row>
    <row r="50">
      <c r="B50" s="9" t="n">
        <v>48</v>
      </c>
      <c r="C50" s="10" t="inlineStr">
        <is>
          <t>Kỹ sư QA QC(Mới)</t>
        </is>
      </c>
      <c r="D50" s="10" t="inlineStr">
        <is>
          <t>Công ty Cổ phần Xây dựng CBC</t>
        </is>
      </c>
      <c r="E50" s="10" t="inlineStr">
        <is>
          <t>Lương:15 Tr - 20 Tr VND</t>
        </is>
      </c>
      <c r="F50" s="10" t="inlineStr">
        <is>
          <t>Quảng Ninh</t>
        </is>
      </c>
      <c r="G50" s="10" t="inlineStr">
        <is>
          <t>30-04-2026</t>
        </is>
      </c>
      <c r="H50" s="10" t="inlineStr">
        <is>
          <t>30/04/2026</t>
        </is>
      </c>
      <c r="I50" s="10" t="inlineStr">
        <is>
          <t>17/03/2026</t>
        </is>
      </c>
      <c r="J50" s="10" t="inlineStr">
        <is>
          <t>Xây dựng, Kiến trúc</t>
        </is>
      </c>
      <c r="K50" s="10" t="inlineStr">
        <is>
          <t>1 - 3 Năm</t>
        </is>
      </c>
      <c r="L50" s="11">
        <f>HYPERLINK("https://careerviet.vn/vi/tim-viec-lam/ky-su-qa-qc.35C6CF14.html","Xem chi tiết")</f>
        <v/>
      </c>
      <c r="M50" s="10" t="n"/>
    </row>
    <row r="51">
      <c r="B51" s="7" t="n">
        <v>49</v>
      </c>
      <c r="C51" t="inlineStr">
        <is>
          <t>Nhân Viên SX Môi Trường Vi Sinh &amp; Ống Lấy Máu(Mới)</t>
        </is>
      </c>
      <c r="D51" t="inlineStr">
        <is>
          <t>Công ty CP Thiết Bị Và Hóa Chất Đông Nam</t>
        </is>
      </c>
      <c r="E51" t="inlineStr">
        <is>
          <t>Lương:Cạnh tranh</t>
        </is>
      </c>
      <c r="F51" t="inlineStr">
        <is>
          <t>Hồ Chí Minh</t>
        </is>
      </c>
      <c r="G51" t="inlineStr">
        <is>
          <t>17-04-2026</t>
        </is>
      </c>
      <c r="H51" t="inlineStr">
        <is>
          <t>17/04/2026</t>
        </is>
      </c>
      <c r="I51" t="inlineStr">
        <is>
          <t>17/03/2026</t>
        </is>
      </c>
      <c r="J51" t="inlineStr">
        <is>
          <t>Công nghệ sinh học, Sản xuất / Vận hành sản xuất, Quản lý chất lượng (QA/QC)</t>
        </is>
      </c>
      <c r="K51" t="inlineStr">
        <is>
          <t>N/A</t>
        </is>
      </c>
      <c r="L51" s="8">
        <f>HYPERLINK("https://careerviet.vn/vi/tim-viec-lam/nhan-vien-sx-moi-truong-vi-sinh-ong-lay-mau.35C6CE81.html","Xem chi tiết")</f>
        <v/>
      </c>
    </row>
    <row r="52">
      <c r="B52" s="9" t="n">
        <v>50</v>
      </c>
      <c r="C52" s="10" t="inlineStr">
        <is>
          <t>[ĐÀ NẴNG]- GIÁM SÁT KINH DOANH HÀNG FOOD DAESANG(Mới)</t>
        </is>
      </c>
      <c r="D52" s="10" t="inlineStr">
        <is>
          <t>CÔNG TY TNHH DAESANG VIỆT NAM</t>
        </is>
      </c>
      <c r="E52" s="10" t="inlineStr">
        <is>
          <t>Lương:13 Tr - 17 Tr VND</t>
        </is>
      </c>
      <c r="F52" s="10" t="inlineStr">
        <is>
          <t>Đà Nẵng</t>
        </is>
      </c>
      <c r="G52" s="10" t="inlineStr">
        <is>
          <t>30-04-2026</t>
        </is>
      </c>
      <c r="H52" s="10" t="inlineStr">
        <is>
          <t>30/04/2026</t>
        </is>
      </c>
      <c r="I52" s="10" t="inlineStr">
        <is>
          <t>17/03/2026</t>
        </is>
      </c>
      <c r="J52" s="10" t="inlineStr">
        <is>
          <t>Bán hàng / Kinh doanh, Bán lẻ / Bán sỉ, Dịch vụ khách hàng</t>
        </is>
      </c>
      <c r="K52" s="10" t="inlineStr">
        <is>
          <t>1 - 2 Năm</t>
        </is>
      </c>
      <c r="L52" s="11">
        <f>HYPERLINK("https://careerviet.vn/vi/tim-viec-lam/da-nang-giam-sat-kinh-doanh-hang-food-daesang.35C6CEFD.html","Xem chi tiết")</f>
        <v/>
      </c>
      <c r="M52" s="10" t="n"/>
    </row>
    <row r="53">
      <c r="B53" s="7" t="n">
        <v>51</v>
      </c>
      <c r="C53" t="inlineStr">
        <is>
          <t>Nhân Viên Quản Lý Chất Lượng/ QC Staff(Mới)</t>
        </is>
      </c>
      <c r="D53" t="inlineStr">
        <is>
          <t>CÔNG TY TRÁCH NHIỆM HỮU HẠN AK VINA</t>
        </is>
      </c>
      <c r="E53" t="inlineStr">
        <is>
          <t>Lương:Cạnh tranh</t>
        </is>
      </c>
      <c r="F53" t="inlineStr">
        <is>
          <t>Đồng Nai</t>
        </is>
      </c>
      <c r="G53" t="inlineStr">
        <is>
          <t>16-04-2026</t>
        </is>
      </c>
      <c r="H53" t="inlineStr">
        <is>
          <t>16/04/2026</t>
        </is>
      </c>
      <c r="I53" t="inlineStr">
        <is>
          <t>17/03/2026</t>
        </is>
      </c>
      <c r="J53" t="inlineStr">
        <is>
          <t>Hóa học, Sản xuất / Vận hành sản xuất, Quản lý chất lượng (QA/QC)</t>
        </is>
      </c>
      <c r="K53" t="inlineStr">
        <is>
          <t>1 - 4 Năm</t>
        </is>
      </c>
      <c r="L53" s="8">
        <f>HYPERLINK("https://careerviet.vn/vi/tim-viec-lam/nhan-vien-quan-ly-chat-luong-qc-staff.35C6CFCA.html","Xem chi tiết")</f>
        <v/>
      </c>
    </row>
    <row r="54">
      <c r="B54" s="9" t="n">
        <v>52</v>
      </c>
      <c r="C54" s="10" t="inlineStr">
        <is>
          <t>Bếp trưởng Hệ thống khách sạn A25(Mới)</t>
        </is>
      </c>
      <c r="D54" s="10" t="inlineStr">
        <is>
          <t>Công Ty Cổ Phần A25 Hotel</t>
        </is>
      </c>
      <c r="E54" s="10" t="inlineStr">
        <is>
          <t>Lương:35 Tr - 50 Tr VND</t>
        </is>
      </c>
      <c r="F54" s="10" t="inlineStr">
        <is>
          <t>Hà Nội</t>
        </is>
      </c>
      <c r="G54" s="10" t="inlineStr">
        <is>
          <t>30-04-2026</t>
        </is>
      </c>
      <c r="H54" s="10" t="inlineStr">
        <is>
          <t>30/04/2026</t>
        </is>
      </c>
      <c r="I54" s="10" t="inlineStr">
        <is>
          <t>17/03/2026</t>
        </is>
      </c>
      <c r="J54" s="10" t="inlineStr">
        <is>
          <t>Quản lý điều hành, Nhà hàng / Khách sạn</t>
        </is>
      </c>
      <c r="K54" s="10" t="inlineStr">
        <is>
          <t>3 - 5 Năm</t>
        </is>
      </c>
      <c r="L54" s="11">
        <f>HYPERLINK("https://careerviet.vn/vi/tim-viec-lam/bep-truong-he-thong-khach-san-a25.35C6CF0B.html","Xem chi tiết")</f>
        <v/>
      </c>
      <c r="M54" s="10" t="n"/>
    </row>
    <row r="55">
      <c r="B55" s="7" t="n">
        <v>53</v>
      </c>
      <c r="C55" t="inlineStr">
        <is>
          <t>128398 - Senior Graphic Designer - Marketing Agency(Mới)</t>
        </is>
      </c>
      <c r="D55" t="inlineStr">
        <is>
          <t>RGF HR Agent Vietnam Co., LTD</t>
        </is>
      </c>
      <c r="E55" t="inlineStr">
        <is>
          <t>Lương:25 Tr - 35 Tr VND</t>
        </is>
      </c>
      <c r="F55" t="inlineStr">
        <is>
          <t>Hồ Chí Minh</t>
        </is>
      </c>
      <c r="G55" t="inlineStr">
        <is>
          <t>30-04-2026</t>
        </is>
      </c>
      <c r="H55" t="inlineStr">
        <is>
          <t>30/04/2026</t>
        </is>
      </c>
      <c r="I55" t="inlineStr">
        <is>
          <t>17/03/2026</t>
        </is>
      </c>
      <c r="J55" t="inlineStr">
        <is>
          <t>Tiếp thị / Marketing, Mỹ thuật / Nghệ thuật / Thiết kế</t>
        </is>
      </c>
      <c r="K55" t="inlineStr">
        <is>
          <t>Trên 5 Năm</t>
        </is>
      </c>
      <c r="L55" s="8">
        <f>HYPERLINK("https://careerviet.vn/vi/tim-viec-lam/128398-senior-graphic-designer-marketing-agency.35C6BFCC.html","Xem chi tiết")</f>
        <v/>
      </c>
    </row>
    <row r="56">
      <c r="B56" s="9" t="n">
        <v>54</v>
      </c>
      <c r="C56" s="10" t="inlineStr">
        <is>
          <t>Kỹ Sư Vận Hành Máy Sản Xuất(Mới)</t>
        </is>
      </c>
      <c r="D56" s="10" t="inlineStr">
        <is>
          <t>Công ty CP Thiết Bị Và Hóa Chất Đông Nam</t>
        </is>
      </c>
      <c r="E56" s="10" t="inlineStr">
        <is>
          <t>Lương:12 Tr - 30 Tr VND</t>
        </is>
      </c>
      <c r="F56" s="10" t="inlineStr">
        <is>
          <t>Hồ Chí Minh</t>
        </is>
      </c>
      <c r="G56" s="10" t="inlineStr">
        <is>
          <t>17-04-2026</t>
        </is>
      </c>
      <c r="H56" s="10" t="inlineStr">
        <is>
          <t>17/04/2026</t>
        </is>
      </c>
      <c r="I56" s="10" t="inlineStr">
        <is>
          <t>17/03/2026</t>
        </is>
      </c>
      <c r="J56" s="10" t="inlineStr">
        <is>
          <t>Sản xuất / Vận hành sản xuất, Cơ khí / Ô tô / Tự động hóa, Điện / Điện tử / Điện lạnh / Điện công nghiệp</t>
        </is>
      </c>
      <c r="K56" s="10" t="inlineStr">
        <is>
          <t>Trên 3 Năm</t>
        </is>
      </c>
      <c r="L56" s="11">
        <f>HYPERLINK("https://careerviet.vn/vi/tim-viec-lam/ky-su-van-hanh-may-san-xuat.35C6CE77.html","Xem chi tiết")</f>
        <v/>
      </c>
      <c r="M56" s="10" t="n"/>
    </row>
    <row r="57">
      <c r="B57" s="7" t="n">
        <v>55</v>
      </c>
      <c r="C57" t="inlineStr">
        <is>
          <t>128760 - Japanese Speaking - Sales Staff - Trading(Mới)</t>
        </is>
      </c>
      <c r="D57" t="inlineStr">
        <is>
          <t>RGF HR Agent Vietnam Co., LTD</t>
        </is>
      </c>
      <c r="E57" t="inlineStr">
        <is>
          <t>Lương:30 Tr - 50 Tr VND</t>
        </is>
      </c>
      <c r="F57" t="inlineStr">
        <is>
          <t>Hồ Chí Minh</t>
        </is>
      </c>
      <c r="G57" t="inlineStr">
        <is>
          <t>31-03-2026</t>
        </is>
      </c>
      <c r="H57" t="inlineStr">
        <is>
          <t>31/03/2026</t>
        </is>
      </c>
      <c r="I57" t="inlineStr">
        <is>
          <t>17/03/2026</t>
        </is>
      </c>
      <c r="J57" t="inlineStr">
        <is>
          <t>Bán hàng / Kinh doanh</t>
        </is>
      </c>
      <c r="K57" t="inlineStr">
        <is>
          <t>3 - 5 Năm</t>
        </is>
      </c>
      <c r="L57" s="8">
        <f>HYPERLINK("https://careerviet.vn/vi/tim-viec-lam/128760-japanese-speaking-sales-staff-trading.35C6CEF0.html","Xem chi tiết")</f>
        <v/>
      </c>
    </row>
    <row r="58">
      <c r="B58" s="9" t="n">
        <v>56</v>
      </c>
      <c r="C58" s="10" t="inlineStr">
        <is>
          <t>[ĐÀ NẴNG]- BIÊN/PHIÊN DỊCH TIẾNG HÀN(Mới)</t>
        </is>
      </c>
      <c r="D58" s="10" t="inlineStr">
        <is>
          <t>CÔNG TY TNHH DAESANG VIỆT NAM</t>
        </is>
      </c>
      <c r="E58" s="10" t="inlineStr">
        <is>
          <t>Lương:13 Tr - 16 Tr VND</t>
        </is>
      </c>
      <c r="F58" s="10" t="inlineStr">
        <is>
          <t>Đà Nẵng</t>
        </is>
      </c>
      <c r="G58" s="10" t="inlineStr">
        <is>
          <t>30-04-2026</t>
        </is>
      </c>
      <c r="H58" s="10" t="inlineStr">
        <is>
          <t>30/04/2026</t>
        </is>
      </c>
      <c r="I58" s="10" t="inlineStr">
        <is>
          <t>17/03/2026</t>
        </is>
      </c>
      <c r="J58" s="10" t="inlineStr">
        <is>
          <t>Biên phiên dịch</t>
        </is>
      </c>
      <c r="K58" s="10" t="inlineStr">
        <is>
          <t>N/A</t>
        </is>
      </c>
      <c r="L58" s="11">
        <f>HYPERLINK("https://careerviet.vn/vi/tim-viec-lam/da-nang-bien-phien-dich-tieng-han.35C6CEDE.html","Xem chi tiết")</f>
        <v/>
      </c>
      <c r="M58" s="10" t="n"/>
    </row>
    <row r="59">
      <c r="B59" s="7" t="n">
        <v>57</v>
      </c>
      <c r="C59" t="inlineStr">
        <is>
          <t>Chuyên viên chăm sóc khách hàng(Mới)</t>
        </is>
      </c>
      <c r="D59" t="inlineStr">
        <is>
          <t>Công Ty TNHH Zeder Việt Nam</t>
        </is>
      </c>
      <c r="E59" t="inlineStr">
        <is>
          <t>Lương:Cạnh tranh</t>
        </is>
      </c>
      <c r="F59" t="inlineStr">
        <is>
          <t>Hà Nội</t>
        </is>
      </c>
      <c r="G59" t="inlineStr">
        <is>
          <t>30-05-2026</t>
        </is>
      </c>
      <c r="H59" t="inlineStr">
        <is>
          <t>30/05/2026</t>
        </is>
      </c>
      <c r="I59" t="inlineStr">
        <is>
          <t>17/03/2026</t>
        </is>
      </c>
      <c r="J59" t="inlineStr">
        <is>
          <t>Bán hàng / Kinh doanh, Dịch vụ khách hàng, Tiếp thị trực tuyến</t>
        </is>
      </c>
      <c r="K59" t="inlineStr">
        <is>
          <t>1 - 2 Năm</t>
        </is>
      </c>
      <c r="L59" s="8">
        <f>HYPERLINK("https://careerviet.vn/vi/tim-viec-lam/chuyen-vien-cham-soc-khach-hang.35C6CEE6.html","Xem chi tiết")</f>
        <v/>
      </c>
    </row>
    <row r="60">
      <c r="B60" s="9" t="n">
        <v>58</v>
      </c>
      <c r="C60" s="10" t="inlineStr">
        <is>
          <t>(HÀ NỘI) Chuyên Viên Cao Cấp Quản Lý Bán Hàng - Ngân Hàng Doanh Nghiệp(Mới)</t>
        </is>
      </c>
      <c r="D60" s="10" t="inlineStr">
        <is>
          <t>Ngân hàng TMCP Phát triển TP.HCM (HDBank)</t>
        </is>
      </c>
      <c r="E60" s="10" t="inlineStr">
        <is>
          <t>Lương:20 Tr - 40 Tr VND</t>
        </is>
      </c>
      <c r="F60" s="10" t="inlineStr">
        <is>
          <t>Hà Nội</t>
        </is>
      </c>
      <c r="G60" s="10" t="inlineStr">
        <is>
          <t>16-05-2026</t>
        </is>
      </c>
      <c r="H60" s="10" t="inlineStr">
        <is>
          <t>16/05/2026</t>
        </is>
      </c>
      <c r="I60" s="10" t="inlineStr">
        <is>
          <t>17/03/2026</t>
        </is>
      </c>
      <c r="J60" s="10" t="inlineStr">
        <is>
          <t>Ngân hàng</t>
        </is>
      </c>
      <c r="K60" s="10" t="inlineStr">
        <is>
          <t>3 - 5 Năm</t>
        </is>
      </c>
      <c r="L60" s="11">
        <f>HYPERLINK("https://careerviet.vn/vi/tim-viec-lam/ha-noi-chuyen-vien-cao-cap-quan-ly-ban-hang-ngan-hang-doanh-nghiep.35C6CEE0.html","Xem chi tiết")</f>
        <v/>
      </c>
      <c r="M60" s="10" t="n"/>
    </row>
    <row r="61">
      <c r="B61" s="7" t="n">
        <v>59</v>
      </c>
      <c r="C61" t="inlineStr">
        <is>
          <t>SRM FI - GIÁM ĐỐC CAO CẤP QHKH ĐỊNH CHẾ TÀI CHÍNH (HÀ NỘI)(Mới)</t>
        </is>
      </c>
      <c r="D61" t="inlineStr">
        <is>
          <t>Ngân hàng TMCP Phát triển TP.HCM (HDBank)</t>
        </is>
      </c>
      <c r="E61" t="inlineStr">
        <is>
          <t>Lương:30 Tr - 60 Tr VND</t>
        </is>
      </c>
      <c r="F61" t="inlineStr">
        <is>
          <t>Hà Nội</t>
        </is>
      </c>
      <c r="G61" t="inlineStr">
        <is>
          <t>16-04-2026</t>
        </is>
      </c>
      <c r="H61" t="inlineStr">
        <is>
          <t>16/04/2026</t>
        </is>
      </c>
      <c r="I61" t="inlineStr">
        <is>
          <t>17/03/2026</t>
        </is>
      </c>
      <c r="J61" t="inlineStr">
        <is>
          <t>Ngân hàng, Tài chính / Đầu tư, Bán hàng / Kinh doanh</t>
        </is>
      </c>
      <c r="K61" t="inlineStr">
        <is>
          <t>3 - 8 Năm</t>
        </is>
      </c>
      <c r="L61" s="8">
        <f>HYPERLINK("https://careerviet.vn/vi/tim-viec-lam/srm-fi-giam-doc-cao-cap-qhkh-dinh-che-tai-chinh-ha-noi.35C6CED6.html","Xem chi tiết")</f>
        <v/>
      </c>
    </row>
    <row r="62">
      <c r="B62" s="9" t="n">
        <v>60</v>
      </c>
      <c r="C62" s="10" t="inlineStr">
        <is>
          <t>Nhân Viên Thiết Kế Hệ Thống Điều Hòa Không Khí - Dự Án(Mới)</t>
        </is>
      </c>
      <c r="D62" s="10" t="inlineStr">
        <is>
          <t>Công ty CP Nagakawa</t>
        </is>
      </c>
      <c r="E62" s="10" t="inlineStr">
        <is>
          <t>Lương:15 Tr - 20 Tr VND</t>
        </is>
      </c>
      <c r="F62" s="10" t="inlineStr">
        <is>
          <t>Hà Nội</t>
        </is>
      </c>
      <c r="G62" s="10" t="inlineStr">
        <is>
          <t>30-04-2026</t>
        </is>
      </c>
      <c r="H62" s="10" t="inlineStr">
        <is>
          <t>30/04/2026</t>
        </is>
      </c>
      <c r="I62" s="10" t="inlineStr">
        <is>
          <t>17/03/2026</t>
        </is>
      </c>
      <c r="J62" s="10" t="inlineStr">
        <is>
          <t>Điện / Điện tử / Điện lạnh / Điện công nghiệp, Bảo trì / Sửa chữa, Cơ khí / Ô tô / Tự động hóa</t>
        </is>
      </c>
      <c r="K62" s="10" t="inlineStr">
        <is>
          <t>1 - 3 Năm</t>
        </is>
      </c>
      <c r="L62" s="11">
        <f>HYPERLINK("https://careerviet.vn/vi/tim-viec-lam/nhan-vien-thiet-ke-he-thong-dieu-hoa-khong-khi-du-an.35C6CEDB.html","Xem chi tiết")</f>
        <v/>
      </c>
      <c r="M62" s="10" t="n"/>
    </row>
    <row r="63">
      <c r="B63" s="7" t="n">
        <v>61</v>
      </c>
      <c r="C63" t="inlineStr">
        <is>
          <t>Business Development &amp; Strategy Manager (HO - 000212_SHO-EXE-005-004-151-1)(Mới)</t>
        </is>
      </c>
      <c r="D63" t="inlineStr">
        <is>
          <t>Central Brand &amp; Specialty Việt Nam</t>
        </is>
      </c>
      <c r="E63" t="inlineStr">
        <is>
          <t>Lương:Cạnh tranh</t>
        </is>
      </c>
      <c r="F63" t="inlineStr">
        <is>
          <t>Hồ Chí Minh</t>
        </is>
      </c>
      <c r="G63" t="inlineStr">
        <is>
          <t>16-04-2026</t>
        </is>
      </c>
      <c r="H63" t="inlineStr">
        <is>
          <t>16/04/2026</t>
        </is>
      </c>
      <c r="I63" t="inlineStr">
        <is>
          <t>17/03/2026</t>
        </is>
      </c>
      <c r="J63" t="inlineStr">
        <is>
          <t>Bán lẻ / Bán sỉ, Quản lý điều hành, Tài chính / Đầu tư</t>
        </is>
      </c>
      <c r="K63" t="inlineStr">
        <is>
          <t>3 - 5 Năm</t>
        </is>
      </c>
      <c r="L63" s="8">
        <f>HYPERLINK("https://careerviet.vn/vi/tim-viec-lam/business-development-strategy-manager-ho-000212_sho-exe-005-004-151-1.35C6CECB.html","Xem chi tiết")</f>
        <v/>
      </c>
    </row>
    <row r="64">
      <c r="B64" s="9" t="n">
        <v>62</v>
      </c>
      <c r="C64" s="10" t="inlineStr">
        <is>
          <t>Trưởng Phòng Nhân Sự(Mới)</t>
        </is>
      </c>
      <c r="D64" s="10" t="inlineStr">
        <is>
          <t>CÔNG TY CỔ PHẦN PHÁT TRIỂN CÔNG TRÌNH VÀ HẠ TẦNG KỸ THUẬT SBI</t>
        </is>
      </c>
      <c r="E64" s="10" t="inlineStr">
        <is>
          <t>Lương:15 Tr - 20 Tr VND</t>
        </is>
      </c>
      <c r="F64" s="10" t="inlineStr">
        <is>
          <t>Hà Nội</t>
        </is>
      </c>
      <c r="G64" s="10" t="inlineStr">
        <is>
          <t>16-04-2026</t>
        </is>
      </c>
      <c r="H64" s="10" t="inlineStr">
        <is>
          <t>16/04/2026</t>
        </is>
      </c>
      <c r="I64" s="10" t="inlineStr">
        <is>
          <t>17/03/2026</t>
        </is>
      </c>
      <c r="J64" s="10" t="inlineStr">
        <is>
          <t>Nhân sự, Quản lý điều hành, Hành chính / Thư ký</t>
        </is>
      </c>
      <c r="K64" s="10" t="inlineStr">
        <is>
          <t>Trên 2 Năm</t>
        </is>
      </c>
      <c r="L64" s="11">
        <f>HYPERLINK("https://careerviet.vn/vi/tim-viec-lam/truong-phong-nhan-su.35C6CD03.html","Xem chi tiết")</f>
        <v/>
      </c>
      <c r="M64" s="10" t="n"/>
    </row>
    <row r="65">
      <c r="B65" s="7" t="n">
        <v>63</v>
      </c>
      <c r="C65" t="inlineStr">
        <is>
          <t>Chuyên viên vận hành sàn thương mại điện tử(Mới)</t>
        </is>
      </c>
      <c r="D65" t="inlineStr">
        <is>
          <t>Công Ty CP Thời Trang Sơn Kim</t>
        </is>
      </c>
      <c r="E65" t="inlineStr">
        <is>
          <t>Lương:12 Tr - 16 Tr VND</t>
        </is>
      </c>
      <c r="F65" t="inlineStr">
        <is>
          <t>Hồ Chí Minh</t>
        </is>
      </c>
      <c r="G65" t="inlineStr">
        <is>
          <t>30-04-2026</t>
        </is>
      </c>
      <c r="H65" t="inlineStr">
        <is>
          <t>30/04/2026</t>
        </is>
      </c>
      <c r="I65" t="inlineStr">
        <is>
          <t>17/03/2026</t>
        </is>
      </c>
      <c r="J65" t="inlineStr">
        <is>
          <t>Bán lẻ / Bán sỉ, Thương mại điện tử, Dệt may / Da giày / Thời trang</t>
        </is>
      </c>
      <c r="K65" t="inlineStr">
        <is>
          <t>2 - 3 Năm</t>
        </is>
      </c>
      <c r="L65" s="8">
        <f>HYPERLINK("https://careerviet.vn/vi/tim-viec-lam/chuyen-vien-van-hanh-san-thuong-mai-dien-tu.35C6CEC2.html","Xem chi tiết")</f>
        <v/>
      </c>
    </row>
    <row r="66">
      <c r="B66" s="9" t="n">
        <v>64</v>
      </c>
      <c r="C66" s="10" t="inlineStr">
        <is>
          <t>Kế Toán Tổng Hợp(Mới)</t>
        </is>
      </c>
      <c r="D66" s="10" t="inlineStr">
        <is>
          <t>CÔNG TY CỔ PHẦN PHÁT TRIỂN CÔNG TRÌNH VÀ HẠ TẦNG KỸ THUẬT SBI</t>
        </is>
      </c>
      <c r="E66" s="10" t="inlineStr">
        <is>
          <t>Lương:15 Tr - 20 Tr VND</t>
        </is>
      </c>
      <c r="F66" s="10" t="inlineStr">
        <is>
          <t>Hà Nội</t>
        </is>
      </c>
      <c r="G66" s="10" t="inlineStr">
        <is>
          <t>16-04-2026</t>
        </is>
      </c>
      <c r="H66" s="10" t="inlineStr">
        <is>
          <t>16/04/2026</t>
        </is>
      </c>
      <c r="I66" s="10" t="inlineStr">
        <is>
          <t>17/03/2026</t>
        </is>
      </c>
      <c r="J66" s="10" t="inlineStr">
        <is>
          <t>Kế toán / Kiểm toán, Tài chính / Đầu tư, Xây dựng</t>
        </is>
      </c>
      <c r="K66" s="10" t="inlineStr">
        <is>
          <t>Trên 5 Năm</t>
        </is>
      </c>
      <c r="L66" s="11">
        <f>HYPERLINK("https://careerviet.vn/vi/tim-viec-lam/ke-toan-tong-hop.35C6CCFF.html","Xem chi tiết")</f>
        <v/>
      </c>
      <c r="M66" s="10" t="n"/>
    </row>
    <row r="67">
      <c r="B67" s="7" t="n">
        <v>65</v>
      </c>
      <c r="C67" t="inlineStr">
        <is>
          <t>Graphic Designer (Focus on Label Design)(Mới)</t>
        </is>
      </c>
      <c r="D67" t="inlineStr">
        <is>
          <t>Công Ty Cổ Phần Y&amp;B</t>
        </is>
      </c>
      <c r="E67" t="inlineStr">
        <is>
          <t>Lương:20 Tr - 23 Tr VND</t>
        </is>
      </c>
      <c r="F67" t="inlineStr">
        <is>
          <t>Hồ Chí Minh</t>
        </is>
      </c>
      <c r="G67" t="inlineStr">
        <is>
          <t>30-04-2026</t>
        </is>
      </c>
      <c r="H67" t="inlineStr">
        <is>
          <t>30/04/2026</t>
        </is>
      </c>
      <c r="I67" t="inlineStr">
        <is>
          <t>17/03/2026</t>
        </is>
      </c>
      <c r="J67" t="inlineStr">
        <is>
          <t>Mỹ thuật / Nghệ thuật / Thiết kế</t>
        </is>
      </c>
      <c r="K67" t="inlineStr">
        <is>
          <t>3 - 4 Năm</t>
        </is>
      </c>
      <c r="L67" s="8">
        <f>HYPERLINK("https://careerviet.vn/vi/tim-viec-lam/graphic-designer-focus-on-label-design.35C6CEC8.html","Xem chi tiết")</f>
        <v/>
      </c>
    </row>
    <row r="68">
      <c r="B68" s="9" t="n">
        <v>66</v>
      </c>
      <c r="C68" s="10" t="inlineStr">
        <is>
          <t>PHÓ GIÁM ĐỐC KINH DOANH (PHỤ TRÁCH PHÁT TRIỂN ĐẠI LÝ)(Mới)</t>
        </is>
      </c>
      <c r="D68" s="10" t="inlineStr">
        <is>
          <t>CÔNG TY CỔ PHẦN SOLIA GROUP</t>
        </is>
      </c>
      <c r="E68" s="10" t="inlineStr">
        <is>
          <t>Lương:Cạnh tranh</t>
        </is>
      </c>
      <c r="F68" s="10" t="inlineStr">
        <is>
          <t>Hồ Chí Minh</t>
        </is>
      </c>
      <c r="G68" s="10" t="inlineStr">
        <is>
          <t>16-04-2026</t>
        </is>
      </c>
      <c r="H68" s="10" t="inlineStr">
        <is>
          <t>16/04/2026</t>
        </is>
      </c>
      <c r="I68" s="10" t="inlineStr">
        <is>
          <t>17/03/2026</t>
        </is>
      </c>
      <c r="J68" s="10" t="inlineStr">
        <is>
          <t>Bán hàng / Kinh doanh, Quản lý điều hành, Bất động sản</t>
        </is>
      </c>
      <c r="K68" s="10" t="inlineStr">
        <is>
          <t>2 - 3 Năm</t>
        </is>
      </c>
      <c r="L68" s="11">
        <f>HYPERLINK("https://careerviet.vn/vi/tim-viec-lam/pho-giam-doc-kinh-doanh-phu-trach-phat-trien-dai-ly.35C6CDA1.html","Xem chi tiết")</f>
        <v/>
      </c>
      <c r="M68" s="10" t="n"/>
    </row>
    <row r="69">
      <c r="B69" s="7" t="n">
        <v>67</v>
      </c>
      <c r="C69" t="inlineStr">
        <is>
          <t>Project Sales Nội Thất(Mới)</t>
        </is>
      </c>
      <c r="D69" t="inlineStr">
        <is>
          <t>Nội Thất Mỹ Khang</t>
        </is>
      </c>
      <c r="E69" t="inlineStr">
        <is>
          <t>Lương:Cạnh tranh</t>
        </is>
      </c>
      <c r="F69" t="inlineStr">
        <is>
          <t>Hồ Chí Minh</t>
        </is>
      </c>
      <c r="G69" t="inlineStr">
        <is>
          <t>05-04-2026</t>
        </is>
      </c>
      <c r="H69" t="inlineStr">
        <is>
          <t>05/04/2026</t>
        </is>
      </c>
      <c r="I69" t="inlineStr">
        <is>
          <t>17/03/2026</t>
        </is>
      </c>
      <c r="J69" t="inlineStr">
        <is>
          <t>Bán hàng / Kinh doanh, Đồ gỗ, Nội ngoại thất</t>
        </is>
      </c>
      <c r="K69" t="inlineStr">
        <is>
          <t>3 - 5 Năm</t>
        </is>
      </c>
      <c r="L69" s="8">
        <f>HYPERLINK("https://careerviet.vn/vi/tim-viec-lam/project-sales-noi-that.35C6CEBF.html","Xem chi tiết")</f>
        <v/>
      </c>
    </row>
    <row r="70">
      <c r="B70" s="9" t="n">
        <v>68</v>
      </c>
      <c r="C70" s="10" t="inlineStr">
        <is>
          <t>Nhân viên Marketing(Mới)</t>
        </is>
      </c>
      <c r="D70" s="10" t="inlineStr">
        <is>
          <t>CÔNG TY TNHH DENIS G.M.</t>
        </is>
      </c>
      <c r="E70" s="10" t="inlineStr">
        <is>
          <t>Lương:12 Tr - 13 Tr VND</t>
        </is>
      </c>
      <c r="F70" s="10" t="inlineStr">
        <is>
          <t>Bình Dương</t>
        </is>
      </c>
      <c r="G70" s="10" t="inlineStr">
        <is>
          <t>17-04-2026</t>
        </is>
      </c>
      <c r="H70" s="10" t="inlineStr">
        <is>
          <t>17/04/2026</t>
        </is>
      </c>
      <c r="I70" s="10" t="inlineStr">
        <is>
          <t>17/03/2026</t>
        </is>
      </c>
      <c r="J70" s="10" t="inlineStr">
        <is>
          <t>Tiếp thị / Marketing, Bán hàng / Kinh doanh, Tiếp thị trực tuyến</t>
        </is>
      </c>
      <c r="K70" s="10" t="inlineStr">
        <is>
          <t>1 - 2 Năm</t>
        </is>
      </c>
      <c r="L70" s="11">
        <f>HYPERLINK("https://careerviet.vn/vi/tim-viec-lam/nhan-vien-marketing.35C6CEAE.html","Xem chi tiết")</f>
        <v/>
      </c>
      <c r="M70" s="10" t="n"/>
    </row>
    <row r="71">
      <c r="B71" s="7" t="n">
        <v>69</v>
      </c>
      <c r="C71" t="inlineStr">
        <is>
          <t>Kỹ Sư Điện(Mới)</t>
        </is>
      </c>
      <c r="D71" t="inlineStr">
        <is>
          <t>Công ty cổ phần tư vấn và xây dựng KM Việt Nam</t>
        </is>
      </c>
      <c r="E71" t="inlineStr">
        <is>
          <t>Lương:12 Tr - 20 Tr VND</t>
        </is>
      </c>
      <c r="F71" t="inlineStr">
        <is>
          <t>Hà Nội</t>
        </is>
      </c>
      <c r="G71" t="inlineStr">
        <is>
          <t>16-04-2026</t>
        </is>
      </c>
      <c r="H71" t="inlineStr">
        <is>
          <t>16/04/2026</t>
        </is>
      </c>
      <c r="I71" t="inlineStr">
        <is>
          <t>17/03/2026</t>
        </is>
      </c>
      <c r="J71" t="inlineStr">
        <is>
          <t>Điện / Điện tử / Điện lạnh / Điện công nghiệp, Xây dựng, Tư vấn</t>
        </is>
      </c>
      <c r="K71" t="inlineStr">
        <is>
          <t>N/A</t>
        </is>
      </c>
      <c r="L71" s="8">
        <f>HYPERLINK("https://careerviet.vn/vi/tim-viec-lam/ky-su-dien.35C6CEB3.html","Xem chi tiết")</f>
        <v/>
      </c>
    </row>
    <row r="72">
      <c r="B72" s="9" t="n">
        <v>70</v>
      </c>
      <c r="C72" s="10" t="inlineStr">
        <is>
          <t>Nhân Viên Kế Toán – Hỗ Trợ Bán Hàng(Mới)</t>
        </is>
      </c>
      <c r="D72" s="10" t="inlineStr">
        <is>
          <t>Công Ty TNHH Ninh Vân</t>
        </is>
      </c>
      <c r="E72" s="10" t="inlineStr">
        <is>
          <t>Lương:8 Tr - 15 Tr VND</t>
        </is>
      </c>
      <c r="F72" s="10" t="inlineStr">
        <is>
          <t>Hồ Chí Minh</t>
        </is>
      </c>
      <c r="G72" s="10" t="inlineStr">
        <is>
          <t>16-04-2026</t>
        </is>
      </c>
      <c r="H72" s="10" t="inlineStr">
        <is>
          <t>16/04/2026</t>
        </is>
      </c>
      <c r="I72" s="10" t="inlineStr">
        <is>
          <t>17/03/2026</t>
        </is>
      </c>
      <c r="J72" s="10" t="inlineStr">
        <is>
          <t>Kế toán / Kiểm toán, Tài chính / Đầu tư, Hành chính / Thư ký</t>
        </is>
      </c>
      <c r="K72" s="10" t="inlineStr">
        <is>
          <t>Trên 1 Năm</t>
        </is>
      </c>
      <c r="L72" s="11">
        <f>HYPERLINK("https://careerviet.vn/vi/tim-viec-lam/nhan-vien-ke-toan-ho-tro-ban-hang.35C6D04D.html","Xem chi tiết")</f>
        <v/>
      </c>
      <c r="M72" s="10" t="n"/>
    </row>
    <row r="73">
      <c r="B73" s="7" t="n">
        <v>71</v>
      </c>
      <c r="C73" t="inlineStr">
        <is>
          <t>TỔ TRƯỞNG QC (THỰC PHẨM)(Mới)</t>
        </is>
      </c>
      <c r="D73" t="inlineStr">
        <is>
          <t>CÔNG TY TNHH DENIS G.M.</t>
        </is>
      </c>
      <c r="E73" t="inlineStr">
        <is>
          <t>Lương:11 Tr - 13 Tr VND</t>
        </is>
      </c>
      <c r="F73" t="inlineStr">
        <is>
          <t>Bình Dương</t>
        </is>
      </c>
      <c r="G73" t="inlineStr">
        <is>
          <t>17-04-2026</t>
        </is>
      </c>
      <c r="H73" t="inlineStr">
        <is>
          <t>17/04/2026</t>
        </is>
      </c>
      <c r="I73" t="inlineStr">
        <is>
          <t>17/03/2026</t>
        </is>
      </c>
      <c r="J73" t="inlineStr">
        <is>
          <t>Thực phẩm &amp; Đồ uống, Quản lý chất lượng (QA/QC), Ngành khác</t>
        </is>
      </c>
      <c r="K73" t="inlineStr">
        <is>
          <t>1 - 2 Năm</t>
        </is>
      </c>
      <c r="L73" s="8">
        <f>HYPERLINK("https://careerviet.vn/vi/tim-viec-lam/to-truong-qc-thuc-pham.35C6CEB2.html","Xem chi tiết")</f>
        <v/>
      </c>
    </row>
    <row r="74">
      <c r="B74" s="9" t="n">
        <v>72</v>
      </c>
      <c r="C74" s="10" t="inlineStr">
        <is>
          <t>Import &amp; Export Customs Clearance Team Leader(Mới)</t>
        </is>
      </c>
      <c r="D74" s="10" t="inlineStr">
        <is>
          <t>BETRIMEX - Công Ty Cổ Phần Xuất Nhập Khẩu Bến Tre</t>
        </is>
      </c>
      <c r="E74" s="10" t="inlineStr">
        <is>
          <t>Lương:Cạnh tranh</t>
        </is>
      </c>
      <c r="F74" s="10" t="inlineStr">
        <is>
          <t>Hồ Chí Minh</t>
        </is>
      </c>
      <c r="G74" s="10" t="inlineStr">
        <is>
          <t>04-04-2026</t>
        </is>
      </c>
      <c r="H74" s="10" t="inlineStr">
        <is>
          <t>04/04/2026</t>
        </is>
      </c>
      <c r="I74" s="10" t="inlineStr">
        <is>
          <t>17/03/2026</t>
        </is>
      </c>
      <c r="J74" s="10" t="inlineStr">
        <is>
          <t>Xuất nhập khẩu</t>
        </is>
      </c>
      <c r="K74" s="10" t="inlineStr">
        <is>
          <t>3 - 5 Năm</t>
        </is>
      </c>
      <c r="L74" s="11">
        <f>HYPERLINK("https://careerviet.vn/vi/tim-viec-lam/import-export-customs-clearance-team-leader.35C6CEBE.html","Xem chi tiết")</f>
        <v/>
      </c>
      <c r="M74" s="10" t="n"/>
    </row>
    <row r="75">
      <c r="B75" s="7" t="n">
        <v>73</v>
      </c>
      <c r="C75" t="inlineStr">
        <is>
          <t>Admin Staff(Mới)</t>
        </is>
      </c>
      <c r="D75" t="inlineStr">
        <is>
          <t>Công Ty TNHH Getabec Việt Nam</t>
        </is>
      </c>
      <c r="E75" t="inlineStr">
        <is>
          <t>Lương:Cạnh tranh</t>
        </is>
      </c>
      <c r="F75" t="inlineStr">
        <is>
          <t>Hồ Chí Minh</t>
        </is>
      </c>
      <c r="G75" t="inlineStr">
        <is>
          <t>30-04-2026</t>
        </is>
      </c>
      <c r="H75" t="inlineStr">
        <is>
          <t>30/04/2026</t>
        </is>
      </c>
      <c r="I75" t="inlineStr">
        <is>
          <t>17/03/2026</t>
        </is>
      </c>
      <c r="J75" t="inlineStr">
        <is>
          <t>Bán hàng / Kinh doanh, Hành chính / Thư ký</t>
        </is>
      </c>
      <c r="K75" t="inlineStr">
        <is>
          <t>1 - 2 Năm</t>
        </is>
      </c>
      <c r="L75" s="8">
        <f>HYPERLINK("https://careerviet.vn/vi/tim-viec-lam/admin-staff.35C6CEB0.html","Xem chi tiết")</f>
        <v/>
      </c>
    </row>
    <row r="76">
      <c r="B76" s="9" t="n">
        <v>74</v>
      </c>
      <c r="C76" s="10" t="inlineStr">
        <is>
          <t>Kế toán công nợ(Mới)</t>
        </is>
      </c>
      <c r="D76" s="10" t="inlineStr">
        <is>
          <t>Shinpoong Daewoo Pharma</t>
        </is>
      </c>
      <c r="E76" s="10" t="inlineStr">
        <is>
          <t>Lương:Cạnh tranh</t>
        </is>
      </c>
      <c r="F76" s="10" t="inlineStr">
        <is>
          <t>Hồ Chí Minh</t>
        </is>
      </c>
      <c r="G76" s="10" t="inlineStr">
        <is>
          <t>17-04-2026</t>
        </is>
      </c>
      <c r="H76" s="10" t="inlineStr">
        <is>
          <t>17/04/2026</t>
        </is>
      </c>
      <c r="I76" s="10" t="inlineStr">
        <is>
          <t>17/03/2026</t>
        </is>
      </c>
      <c r="J76" s="10" t="inlineStr">
        <is>
          <t>Kế toán / Kiểm toán, Dược phẩm/ Hóa Mỹ Phẩm, Y tế / Chăm sóc sức khỏe / Thẩm mỹ / Làm đẹp</t>
        </is>
      </c>
      <c r="K76" s="10" t="inlineStr">
        <is>
          <t>1 - 5 Năm</t>
        </is>
      </c>
      <c r="L76" s="11">
        <f>HYPERLINK("https://careerviet.vn/vi/tim-viec-lam/ke-toan-cong-no.35C6CE8F.html","Xem chi tiết")</f>
        <v/>
      </c>
      <c r="M76" s="10" t="n"/>
    </row>
    <row r="77">
      <c r="B77" s="7" t="n">
        <v>75</v>
      </c>
      <c r="C77" t="inlineStr">
        <is>
          <t>Chuyên viên Pháp chế(Mới)</t>
        </is>
      </c>
      <c r="D77" t="inlineStr">
        <is>
          <t>TẬP ĐOÀN NAMGROUP</t>
        </is>
      </c>
      <c r="E77" t="inlineStr">
        <is>
          <t>Lương:Cạnh tranh</t>
        </is>
      </c>
      <c r="F77" t="inlineStr">
        <is>
          <t>Hồ Chí Minh</t>
        </is>
      </c>
      <c r="G77" t="inlineStr">
        <is>
          <t>15-05-2026</t>
        </is>
      </c>
      <c r="H77" t="inlineStr">
        <is>
          <t>15/05/2026</t>
        </is>
      </c>
      <c r="I77" t="inlineStr">
        <is>
          <t>17/03/2026</t>
        </is>
      </c>
      <c r="J77" t="inlineStr">
        <is>
          <t>Bất động sản</t>
        </is>
      </c>
      <c r="K77" t="inlineStr">
        <is>
          <t>Chưa có kinh nghiệm</t>
        </is>
      </c>
      <c r="L77" s="8">
        <f>HYPERLINK("https://careerviet.vn/vi/tim-viec-lam/chuyen-vien-phap-che.35C6CEBD.html","Xem chi tiết")</f>
        <v/>
      </c>
    </row>
    <row r="78">
      <c r="B78" s="9" t="n">
        <v>76</v>
      </c>
      <c r="C78" s="10" t="inlineStr">
        <is>
          <t>Chuyên viên Thu Mua(Mới)</t>
        </is>
      </c>
      <c r="D78" s="10" t="inlineStr">
        <is>
          <t>Cà Phê Muối Chú Long</t>
        </is>
      </c>
      <c r="E78" s="10" t="inlineStr">
        <is>
          <t>Lương:Cạnh tranh</t>
        </is>
      </c>
      <c r="F78" s="10" t="inlineStr">
        <is>
          <t>Hồ Chí Minh</t>
        </is>
      </c>
      <c r="G78" s="10" t="inlineStr">
        <is>
          <t>18-04-2026</t>
        </is>
      </c>
      <c r="H78" s="10" t="inlineStr">
        <is>
          <t>18/04/2026</t>
        </is>
      </c>
      <c r="I78" s="10" t="inlineStr">
        <is>
          <t>17/03/2026</t>
        </is>
      </c>
      <c r="J78" s="10" t="inlineStr">
        <is>
          <t>Thực phẩm &amp; Đồ uống, Thu mua / Vật tư, Nhà hàng / Khách sạn</t>
        </is>
      </c>
      <c r="K78" s="10" t="inlineStr">
        <is>
          <t>3 - 4 Năm</t>
        </is>
      </c>
      <c r="L78" s="11">
        <f>HYPERLINK("https://careerviet.vn/vi/tim-viec-lam/chuyen-vien-thu-mua.35C6D02D.html","Xem chi tiết")</f>
        <v/>
      </c>
      <c r="M78" s="10" t="n"/>
    </row>
    <row r="79">
      <c r="B79" s="7" t="n">
        <v>77</v>
      </c>
      <c r="C79" t="inlineStr">
        <is>
          <t>Chuyên viên Cấp cao Đào Tạo và Phát triển</t>
        </is>
      </c>
      <c r="D79" t="inlineStr">
        <is>
          <t>CÔNG TY TNHH MỘT THÀNH VIÊN SÀN GIAO DỊCH BẤT ĐỘNG SẢN NAM LONG</t>
        </is>
      </c>
      <c r="E79" t="inlineStr">
        <is>
          <t>Lương:Cạnh tranh</t>
        </is>
      </c>
      <c r="F79" t="inlineStr">
        <is>
          <t>Hồ Chí Minh</t>
        </is>
      </c>
      <c r="G79" t="inlineStr">
        <is>
          <t>31-03-2026</t>
        </is>
      </c>
      <c r="H79" t="inlineStr">
        <is>
          <t>31/03/2026</t>
        </is>
      </c>
      <c r="I79" t="inlineStr">
        <is>
          <t>17/03/2026</t>
        </is>
      </c>
      <c r="J79" t="inlineStr">
        <is>
          <t>Giáo dục / Đào tạo, Quản lý điều hành, Bất động sản</t>
        </is>
      </c>
      <c r="K79" t="inlineStr">
        <is>
          <t>1 - 2 Năm</t>
        </is>
      </c>
      <c r="L79" s="8">
        <f>HYPERLINK("https://careerviet.vn/vi/tim-viec-lam/chuyen-vien-cap-cao-dao-tao-va-phat-trien.35C6B0DE.html","Xem chi tiết")</f>
        <v/>
      </c>
    </row>
    <row r="80">
      <c r="B80" s="9" t="n">
        <v>78</v>
      </c>
      <c r="C80" s="10" t="inlineStr">
        <is>
          <t>IT Manager(Mới)</t>
        </is>
      </c>
      <c r="D80" s="10" t="inlineStr">
        <is>
          <t>Công Ty TNHH Quốc Tế Chutex</t>
        </is>
      </c>
      <c r="E80" s="10" t="inlineStr">
        <is>
          <t>Lương:Cạnh tranh</t>
        </is>
      </c>
      <c r="F80" s="10" t="inlineStr">
        <is>
          <t>Bình Dương</t>
        </is>
      </c>
      <c r="G80" s="10" t="inlineStr">
        <is>
          <t>16-04-2026</t>
        </is>
      </c>
      <c r="H80" s="10" t="inlineStr">
        <is>
          <t>16/04/2026</t>
        </is>
      </c>
      <c r="I80" s="10" t="inlineStr">
        <is>
          <t>17/03/2026</t>
        </is>
      </c>
      <c r="J80" s="10" t="inlineStr">
        <is>
          <t>CNTT - Phần mềm, CNTT - Phần cứng / Mạng, Quản lý điều hành</t>
        </is>
      </c>
      <c r="K80" s="10" t="inlineStr">
        <is>
          <t>12 - 15 Năm</t>
        </is>
      </c>
      <c r="L80" s="11">
        <f>HYPERLINK("https://careerviet.vn/vi/tim-viec-lam/it-manager.35C6CEAD.html","Xem chi tiết")</f>
        <v/>
      </c>
      <c r="M80" s="10" t="n"/>
    </row>
    <row r="81">
      <c r="B81" s="7" t="n">
        <v>79</v>
      </c>
      <c r="C81" t="inlineStr">
        <is>
          <t>Giám Sát Kho(Mới)</t>
        </is>
      </c>
      <c r="D81" t="inlineStr">
        <is>
          <t>CÔNG TY CỔ PHẦN CHẾ BIẾN THỰC PHẨM HOÀNG SƠN</t>
        </is>
      </c>
      <c r="E81" t="inlineStr">
        <is>
          <t>Lương:15 Tr - 18 Tr VND</t>
        </is>
      </c>
      <c r="F81" t="inlineStr">
        <is>
          <t>Bình Dương</t>
        </is>
      </c>
      <c r="G81" t="inlineStr">
        <is>
          <t>30-04-2026</t>
        </is>
      </c>
      <c r="H81" t="inlineStr">
        <is>
          <t>30/04/2026</t>
        </is>
      </c>
      <c r="I81" t="inlineStr">
        <is>
          <t>17/03/2026</t>
        </is>
      </c>
      <c r="J81" t="inlineStr">
        <is>
          <t>Vận chuyển / Giao nhận / Kho vận, Thực phẩm &amp; Đồ uống, Sản xuất / Vận hành sản xuất</t>
        </is>
      </c>
      <c r="K81" t="inlineStr">
        <is>
          <t>2 - 5 Năm</t>
        </is>
      </c>
      <c r="L81" s="8">
        <f>HYPERLINK("https://careerviet.vn/vi/tim-viec-lam/giam-sat-kho.35C6D04C.html","Xem chi tiết")</f>
        <v/>
      </c>
    </row>
    <row r="82">
      <c r="B82" s="9" t="n">
        <v>80</v>
      </c>
      <c r="C82" s="10" t="inlineStr">
        <is>
          <t>128794 - Design Staff (Executive - Senior Executive) - Real Estate(Mới)</t>
        </is>
      </c>
      <c r="D82" s="10" t="inlineStr">
        <is>
          <t>RGF HR Agent Vietnam Co., LTD</t>
        </is>
      </c>
      <c r="E82" s="10" t="inlineStr">
        <is>
          <t>Lương:38 Tr - 38 Tr VND</t>
        </is>
      </c>
      <c r="F82" s="10" t="inlineStr">
        <is>
          <t>Hà Nội</t>
        </is>
      </c>
      <c r="G82" s="10" t="inlineStr">
        <is>
          <t>17-04-2026</t>
        </is>
      </c>
      <c r="H82" s="10" t="inlineStr">
        <is>
          <t>17/04/2026</t>
        </is>
      </c>
      <c r="I82" s="10" t="inlineStr">
        <is>
          <t>17/03/2026</t>
        </is>
      </c>
      <c r="J82" s="10" t="inlineStr">
        <is>
          <t>Bất động sản, Mỹ thuật / Nghệ thuật / Thiết kế, Kiến trúc</t>
        </is>
      </c>
      <c r="K82" s="10" t="inlineStr">
        <is>
          <t>Trên 2 Năm</t>
        </is>
      </c>
      <c r="L82" s="11">
        <f>HYPERLINK("https://careerviet.vn/vi/tim-viec-lam/128794-design-staff-executive-senior-executive-real-estate.35C6D03A.html","Xem chi tiết")</f>
        <v/>
      </c>
      <c r="M82" s="10" t="n"/>
    </row>
    <row r="83">
      <c r="B83" s="7" t="n">
        <v>81</v>
      </c>
      <c r="C83" t="inlineStr">
        <is>
          <t>Chuyên Viên Biện Pháp Thi Công(Mới)</t>
        </is>
      </c>
      <c r="D83" t="inlineStr">
        <is>
          <t>Công ty Cổ Phần Ánh Dương Building</t>
        </is>
      </c>
      <c r="E83" t="inlineStr">
        <is>
          <t>Lương:18 Tr - 25 Tr VND</t>
        </is>
      </c>
      <c r="F83" t="inlineStr">
        <is>
          <t>Hồ Chí Minh</t>
        </is>
      </c>
      <c r="G83" t="inlineStr">
        <is>
          <t>30-04-2026</t>
        </is>
      </c>
      <c r="H83" t="inlineStr">
        <is>
          <t>30/04/2026</t>
        </is>
      </c>
      <c r="I83" t="inlineStr">
        <is>
          <t>17/03/2026</t>
        </is>
      </c>
      <c r="J83" t="inlineStr">
        <is>
          <t>Xây dựng</t>
        </is>
      </c>
      <c r="K83" t="inlineStr">
        <is>
          <t>2 - 3 Năm</t>
        </is>
      </c>
      <c r="L83" s="8">
        <f>HYPERLINK("https://careerviet.vn/vi/tim-viec-lam/chuyen-vien-bien-phap-thi-cong.35C6CFB1.html","Xem chi tiết")</f>
        <v/>
      </c>
    </row>
    <row r="84">
      <c r="B84" s="9" t="n">
        <v>82</v>
      </c>
      <c r="C84" s="10" t="inlineStr">
        <is>
          <t>Import Export staff(Mới)</t>
        </is>
      </c>
      <c r="D84" s="10" t="inlineStr">
        <is>
          <t>Công Ty TNHH Sewoon Medical Vina</t>
        </is>
      </c>
      <c r="E84" s="10" t="inlineStr">
        <is>
          <t>Lương:Cạnh tranh</t>
        </is>
      </c>
      <c r="F84" s="10" t="inlineStr">
        <is>
          <t>Bình Dương</t>
        </is>
      </c>
      <c r="G84" s="10" t="inlineStr">
        <is>
          <t>31-03-2026</t>
        </is>
      </c>
      <c r="H84" s="10" t="inlineStr">
        <is>
          <t>31/03/2026</t>
        </is>
      </c>
      <c r="I84" s="10" t="inlineStr">
        <is>
          <t>17/03/2026</t>
        </is>
      </c>
      <c r="J84" s="10" t="inlineStr">
        <is>
          <t>Xuất nhập khẩu, Vận chuyển / Giao nhận / Kho vận</t>
        </is>
      </c>
      <c r="K84" s="10" t="inlineStr">
        <is>
          <t>Trên 2 Năm</t>
        </is>
      </c>
      <c r="L84" s="11">
        <f>HYPERLINK("https://careerviet.vn/vi/tim-viec-lam/import-export-staff.35C6CE96.html","Xem chi tiết")</f>
        <v/>
      </c>
      <c r="M84" s="10" t="n"/>
    </row>
    <row r="85">
      <c r="B85" s="7" t="n">
        <v>83</v>
      </c>
      <c r="C85" t="inlineStr">
        <is>
          <t>HR Information System (HRIS) Specialist</t>
        </is>
      </c>
      <c r="D85" t="inlineStr">
        <is>
          <t>Công Ty TNHH Zeder Việt Nam</t>
        </is>
      </c>
      <c r="E85" t="inlineStr">
        <is>
          <t>Lương:Cạnh tranh</t>
        </is>
      </c>
      <c r="F85" t="inlineStr">
        <is>
          <t>Đồng Nai</t>
        </is>
      </c>
      <c r="G85" t="inlineStr">
        <is>
          <t>31-03-2026</t>
        </is>
      </c>
      <c r="H85" t="inlineStr">
        <is>
          <t>31/03/2026</t>
        </is>
      </c>
      <c r="I85" t="inlineStr">
        <is>
          <t>17/03/2026</t>
        </is>
      </c>
      <c r="J85" t="inlineStr">
        <is>
          <t>Nhân sự, CNTT - Phần mềm, Thống kê</t>
        </is>
      </c>
      <c r="K85" t="inlineStr">
        <is>
          <t>Không yêu cầu kinh nghiệm</t>
        </is>
      </c>
      <c r="L85" s="8">
        <f>HYPERLINK("https://careerviet.vn/vi/tim-viec-lam/hr-information-system-hris-specialist.35C68FD2.html","Xem chi tiết")</f>
        <v/>
      </c>
    </row>
    <row r="86">
      <c r="B86" s="9" t="n">
        <v>84</v>
      </c>
      <c r="C86" s="10" t="inlineStr">
        <is>
          <t>Nhân viên khai báo hải quan xuất nhập khẩu(Mới)</t>
        </is>
      </c>
      <c r="D86" s="10" t="inlineStr">
        <is>
          <t>CÔNG TY TNHH SECUREACH LOGISTICS</t>
        </is>
      </c>
      <c r="E86" s="10" t="inlineStr">
        <is>
          <t>Lương:10 Tr - 16 Tr VND</t>
        </is>
      </c>
      <c r="F86" s="10" t="inlineStr">
        <is>
          <t>Hồ Chí Minh</t>
        </is>
      </c>
      <c r="G86" s="10" t="inlineStr">
        <is>
          <t>16-04-2026</t>
        </is>
      </c>
      <c r="H86" s="10" t="inlineStr">
        <is>
          <t>16/04/2026</t>
        </is>
      </c>
      <c r="I86" s="10" t="inlineStr">
        <is>
          <t>17/03/2026</t>
        </is>
      </c>
      <c r="J86" s="10" t="inlineStr">
        <is>
          <t>Vận chuyển / Giao nhận / Kho vận, Xuất nhập khẩu, Hàng hải</t>
        </is>
      </c>
      <c r="K86" s="10" t="inlineStr">
        <is>
          <t>2 - 5 Năm</t>
        </is>
      </c>
      <c r="L86" s="11">
        <f>HYPERLINK("https://careerviet.vn/vi/tim-viec-lam/nhan-vien-khai-bao-hai-quan-xuat-nhap-khau.35C6CEA3.html","Xem chi tiết")</f>
        <v/>
      </c>
      <c r="M86" s="10" t="n"/>
    </row>
    <row r="87">
      <c r="B87" s="7" t="n">
        <v>85</v>
      </c>
      <c r="C87" t="inlineStr">
        <is>
          <t>B2B Sales Development Executive(Mới)</t>
        </is>
      </c>
      <c r="D87" t="inlineStr">
        <is>
          <t>CÔNG TY CỔ PHẦN TRU-LIFE VIỆT NAM</t>
        </is>
      </c>
      <c r="E87" t="inlineStr">
        <is>
          <t>Lương:14 Tr - 16 Tr VND</t>
        </is>
      </c>
      <c r="F87" t="inlineStr">
        <is>
          <t>Hồ Chí Minh</t>
        </is>
      </c>
      <c r="G87" t="inlineStr">
        <is>
          <t>16-04-2026</t>
        </is>
      </c>
      <c r="H87" t="inlineStr">
        <is>
          <t>16/04/2026</t>
        </is>
      </c>
      <c r="I87" t="inlineStr">
        <is>
          <t>17/03/2026</t>
        </is>
      </c>
      <c r="J87" t="inlineStr">
        <is>
          <t>Bán hàng / Kinh doanh, Thực phẩm &amp; Đồ uống, Bán lẻ / Bán sỉ</t>
        </is>
      </c>
      <c r="K87" t="inlineStr">
        <is>
          <t>Trên 2 Năm</t>
        </is>
      </c>
      <c r="L87" s="8">
        <f>HYPERLINK("https://careerviet.vn/vi/tim-viec-lam/b2b-sales-development-executive.35C6CEA7.html","Xem chi tiết")</f>
        <v/>
      </c>
    </row>
    <row r="88">
      <c r="B88" s="9" t="n">
        <v>86</v>
      </c>
      <c r="C88" s="10" t="inlineStr">
        <is>
          <t>QUẢN LÝ DỰ ÁN/ PROJECT MANAGER(Mới)</t>
        </is>
      </c>
      <c r="D88" s="10" t="inlineStr">
        <is>
          <t>CÔNG TY CP THƯƠNG MẠI - DỊCH VỤ SAO NAM AN</t>
        </is>
      </c>
      <c r="E88" s="10" t="inlineStr">
        <is>
          <t>Lương:22 Tr - 27 Tr VND</t>
        </is>
      </c>
      <c r="F88" s="10" t="inlineStr">
        <is>
          <t>Hồ Chí Minh</t>
        </is>
      </c>
      <c r="G88" s="10" t="inlineStr">
        <is>
          <t>17-04-2026</t>
        </is>
      </c>
      <c r="H88" s="10" t="inlineStr">
        <is>
          <t>17/04/2026</t>
        </is>
      </c>
      <c r="I88" s="10" t="inlineStr">
        <is>
          <t>17/03/2026</t>
        </is>
      </c>
      <c r="J88" s="10" t="inlineStr">
        <is>
          <t>Bưu chính viễn thông, Điện / Điện tử / Điện lạnh / Điện công nghiệp, CNTT - Phần cứng / Mạng</t>
        </is>
      </c>
      <c r="K88" s="10" t="inlineStr">
        <is>
          <t>Trên 3 Năm</t>
        </is>
      </c>
      <c r="L88" s="11">
        <f>HYPERLINK("https://careerviet.vn/vi/tim-viec-lam/quan-ly-du-an-project-manager.35C6CE88.html","Xem chi tiết")</f>
        <v/>
      </c>
      <c r="M88" s="10" t="n"/>
    </row>
    <row r="89">
      <c r="B89" s="7" t="n">
        <v>87</v>
      </c>
      <c r="C89" t="inlineStr">
        <is>
          <t>Nhân viên hiện trường giao nhận xuất nhập khẩu (OPS)(Mới)</t>
        </is>
      </c>
      <c r="D89" t="inlineStr">
        <is>
          <t>CÔNG TY TNHH SECUREACH LOGISTICS</t>
        </is>
      </c>
      <c r="E89" t="inlineStr">
        <is>
          <t>Lương:10 Tr - 16 Tr VND</t>
        </is>
      </c>
      <c r="F89" t="inlineStr">
        <is>
          <t>Hồ Chí Minh</t>
        </is>
      </c>
      <c r="G89" t="inlineStr">
        <is>
          <t>16-04-2026</t>
        </is>
      </c>
      <c r="H89" t="inlineStr">
        <is>
          <t>16/04/2026</t>
        </is>
      </c>
      <c r="I89" t="inlineStr">
        <is>
          <t>17/03/2026</t>
        </is>
      </c>
      <c r="J89" t="inlineStr">
        <is>
          <t>Dịch vụ khách hàng, Vận chuyển / Giao nhận / Kho vận, Xuất nhập khẩu</t>
        </is>
      </c>
      <c r="K89" t="inlineStr">
        <is>
          <t>2 - 3 Năm</t>
        </is>
      </c>
      <c r="L89" s="8">
        <f>HYPERLINK("https://careerviet.vn/vi/tim-viec-lam/nhan-vien-hien-truong-giao-nhan-xuat-nhap-khau-ops.35C6CEA5.html","Xem chi tiết")</f>
        <v/>
      </c>
    </row>
    <row r="90">
      <c r="B90" s="9" t="n">
        <v>88</v>
      </c>
      <c r="C90" s="10" t="inlineStr">
        <is>
          <t>Nhân Viên Kinh Doanh Ô Tô Tải, Sơ Mi Rơ Mooc Và Các Thiết Bị Vận Tải(Mới)</t>
        </is>
      </c>
      <c r="D90" s="10" t="inlineStr">
        <is>
          <t>CÔNG TY CỔ PHẦN ĐẦU TƯ Ô TÔ HẢI ÂU</t>
        </is>
      </c>
      <c r="E90" s="10" t="inlineStr">
        <is>
          <t>Lương:7 Tr - 10 Tr VND</t>
        </is>
      </c>
      <c r="F90" s="10" t="inlineStr">
        <is>
          <t>Hà NộiHồ Chí MinhToàn quốc</t>
        </is>
      </c>
      <c r="G90" s="10" t="inlineStr">
        <is>
          <t>17-04-2026</t>
        </is>
      </c>
      <c r="H90" s="10" t="inlineStr">
        <is>
          <t>17/04/2026</t>
        </is>
      </c>
      <c r="I90" s="10" t="inlineStr">
        <is>
          <t>17/03/2026</t>
        </is>
      </c>
      <c r="J90" s="10" t="inlineStr">
        <is>
          <t>N/A</t>
        </is>
      </c>
      <c r="K90" s="10" t="inlineStr">
        <is>
          <t>N/A</t>
        </is>
      </c>
      <c r="L90" s="11">
        <f>HYPERLINK("https://careerviet.vn/vi/tim-viec-lam/nhan-vien-kinh-doanh-o-to-tai-so-mi-ro-mooc-va-cac-thiet-bi-van-tai.35C6CE6F.html","Xem chi tiết")</f>
        <v/>
      </c>
      <c r="M90" s="10" t="n"/>
    </row>
    <row r="91">
      <c r="B91" s="7" t="n">
        <v>89</v>
      </c>
      <c r="C91" t="inlineStr">
        <is>
          <t>Chuyên viên tuyển dụng(Mới)</t>
        </is>
      </c>
      <c r="D91" t="inlineStr">
        <is>
          <t>TRƯỜNG PHỔ THÔNG LIÊN CẤP H.A.S</t>
        </is>
      </c>
      <c r="E91" t="inlineStr">
        <is>
          <t>Lương:13 Tr - 16 Tr VND</t>
        </is>
      </c>
      <c r="F91" t="inlineStr">
        <is>
          <t>Hà Nội</t>
        </is>
      </c>
      <c r="G91" t="inlineStr">
        <is>
          <t>30-04-2026</t>
        </is>
      </c>
      <c r="H91" t="inlineStr">
        <is>
          <t>30/04/2026</t>
        </is>
      </c>
      <c r="I91" t="inlineStr">
        <is>
          <t>17/03/2026</t>
        </is>
      </c>
      <c r="J91" t="inlineStr">
        <is>
          <t>Nhân sự, Giáo dục / Đào tạo</t>
        </is>
      </c>
      <c r="K91" t="inlineStr">
        <is>
          <t>2 - 3 Năm</t>
        </is>
      </c>
      <c r="L91" s="8">
        <f>HYPERLINK("https://careerviet.vn/vi/tim-viec-lam/chuyen-vien-tuyen-dung.35C6CD99.html","Xem chi tiết")</f>
        <v/>
      </c>
    </row>
    <row r="92">
      <c r="B92" s="9" t="n">
        <v>90</v>
      </c>
      <c r="C92" s="10" t="inlineStr">
        <is>
          <t>Nhân Viên Hành Chính – Nhân Sự(Mới)</t>
        </is>
      </c>
      <c r="D92" s="10" t="inlineStr">
        <is>
          <t>Công Ty TNHH Chế Biến Thực Phẩm Thương Mại Pha Lê</t>
        </is>
      </c>
      <c r="E92" s="10" t="inlineStr">
        <is>
          <t>Lương:15 Tr - 20 Tr VND</t>
        </is>
      </c>
      <c r="F92" s="10" t="inlineStr">
        <is>
          <t>Đồng Nai</t>
        </is>
      </c>
      <c r="G92" s="10" t="inlineStr">
        <is>
          <t>16-04-2026</t>
        </is>
      </c>
      <c r="H92" s="10" t="inlineStr">
        <is>
          <t>16/04/2026</t>
        </is>
      </c>
      <c r="I92" s="10" t="inlineStr">
        <is>
          <t>17/03/2026</t>
        </is>
      </c>
      <c r="J92" s="10" t="inlineStr">
        <is>
          <t>Hành chính / Thư ký, Nhân sự, Sản xuất / Vận hành sản xuất</t>
        </is>
      </c>
      <c r="K92" s="10" t="inlineStr">
        <is>
          <t>Trên 3 Năm</t>
        </is>
      </c>
      <c r="L92" s="11">
        <f>HYPERLINK("https://careerviet.vn/vi/tim-viec-lam/nhan-vien-hanh-chinh-nhan-su.35C6CCEB.html","Xem chi tiết")</f>
        <v/>
      </c>
      <c r="M92" s="10" t="n"/>
    </row>
    <row r="93">
      <c r="B93" s="7" t="n">
        <v>91</v>
      </c>
      <c r="C93" t="inlineStr">
        <is>
          <t>Phó phòng Thanh quyết toán (QS Xây dựng)(Mới)</t>
        </is>
      </c>
      <c r="D93" t="inlineStr">
        <is>
          <t>CÔNG TY CỔ PHẦN TẬP ĐOÀN GDC</t>
        </is>
      </c>
      <c r="E93" t="inlineStr">
        <is>
          <t>Lương:25 Tr - 35 Tr VND</t>
        </is>
      </c>
      <c r="F93" t="inlineStr">
        <is>
          <t>Hà Nội</t>
        </is>
      </c>
      <c r="G93" t="inlineStr">
        <is>
          <t>17-04-2026</t>
        </is>
      </c>
      <c r="H93" t="inlineStr">
        <is>
          <t>17/04/2026</t>
        </is>
      </c>
      <c r="I93" t="inlineStr">
        <is>
          <t>17/03/2026</t>
        </is>
      </c>
      <c r="J93" t="inlineStr">
        <is>
          <t>Xây dựng</t>
        </is>
      </c>
      <c r="K93" t="inlineStr">
        <is>
          <t>4 - 7 Năm</t>
        </is>
      </c>
      <c r="L93" s="8">
        <f>HYPERLINK("https://careerviet.vn/vi/tim-viec-lam/pho-phong-thanh-quyet-toan-qs-xay-dung.35C6CE74.html","Xem chi tiết")</f>
        <v/>
      </c>
    </row>
    <row r="94">
      <c r="B94" s="9" t="n">
        <v>92</v>
      </c>
      <c r="C94" s="10" t="inlineStr">
        <is>
          <t>Nhân viên Bác sỹ cây trồng(Mới)</t>
        </is>
      </c>
      <c r="D94" s="10" t="inlineStr">
        <is>
          <t>Cty TNHH Một Thành Viên Bảo Vệ Thực Vật Sài Gòn</t>
        </is>
      </c>
      <c r="E94" s="10" t="inlineStr">
        <is>
          <t>Lương:Cạnh tranh</t>
        </is>
      </c>
      <c r="F94" s="10" t="inlineStr">
        <is>
          <t>Hà Nội</t>
        </is>
      </c>
      <c r="G94" s="10" t="inlineStr">
        <is>
          <t>15-04-2026</t>
        </is>
      </c>
      <c r="H94" s="10" t="inlineStr">
        <is>
          <t>15/04/2026</t>
        </is>
      </c>
      <c r="I94" s="10" t="inlineStr">
        <is>
          <t>17/03/2026</t>
        </is>
      </c>
      <c r="J94" s="10" t="inlineStr">
        <is>
          <t>Nông nghiệp, Bán hàng / Kinh doanh</t>
        </is>
      </c>
      <c r="K94" s="10" t="inlineStr">
        <is>
          <t>N/A</t>
        </is>
      </c>
      <c r="L94" s="11">
        <f>HYPERLINK("https://careerviet.vn/vi/tim-viec-lam/nhan-vien-bac-sy-cay-trong.35C6CB34.html","Xem chi tiết")</f>
        <v/>
      </c>
      <c r="M94" s="10" t="n"/>
    </row>
    <row r="95">
      <c r="B95" s="7" t="n">
        <v>93</v>
      </c>
      <c r="C95" t="inlineStr">
        <is>
          <t>Giám Thị Trông Thi (Part-time)(Mới)</t>
        </is>
      </c>
      <c r="D95" t="inlineStr">
        <is>
          <t>CÔNG TY TNHH BRITISH COUNCIL (VIỆT NAM)</t>
        </is>
      </c>
      <c r="E95" t="inlineStr">
        <is>
          <t>Lương:Cạnh tranh</t>
        </is>
      </c>
      <c r="F95" t="inlineStr">
        <is>
          <t>Bình ĐịnhQuảng NinhNghệ An</t>
        </is>
      </c>
      <c r="G95" t="inlineStr">
        <is>
          <t>15-04-2026</t>
        </is>
      </c>
      <c r="H95" t="inlineStr">
        <is>
          <t>15/04/2026</t>
        </is>
      </c>
      <c r="I95" t="inlineStr">
        <is>
          <t>17/03/2026</t>
        </is>
      </c>
      <c r="J95" t="inlineStr">
        <is>
          <t>Giáo dục / Đào tạo, Biên phiên dịch, Mới tốt nghiệp / Thực tập</t>
        </is>
      </c>
      <c r="K95" t="inlineStr">
        <is>
          <t>N/A</t>
        </is>
      </c>
      <c r="L95" s="8">
        <f>HYPERLINK("https://careerviet.vn/vi/tim-viec-lam/giam-thi-trong-thi-part-time.35C6CCDC.html","Xem chi tiết")</f>
        <v/>
      </c>
    </row>
    <row r="96">
      <c r="B96" s="9" t="n">
        <v>94</v>
      </c>
      <c r="C96" s="10" t="inlineStr">
        <is>
          <t>Chuyên Viên Sale Du lịch Inbound(Mới)</t>
        </is>
      </c>
      <c r="D96" s="10" t="inlineStr">
        <is>
          <t>Công ty cổ phần dịch vụ du lịch và nghỉ dưỡng Hello Asia</t>
        </is>
      </c>
      <c r="E96" s="10" t="inlineStr">
        <is>
          <t>Lương:9 Tr - 13 Tr VND</t>
        </is>
      </c>
      <c r="F96" s="10" t="inlineStr">
        <is>
          <t>Hà Nội</t>
        </is>
      </c>
      <c r="G96" s="10" t="inlineStr">
        <is>
          <t>17-04-2026</t>
        </is>
      </c>
      <c r="H96" s="10" t="inlineStr">
        <is>
          <t>17/04/2026</t>
        </is>
      </c>
      <c r="I96" s="10" t="inlineStr">
        <is>
          <t>17/03/2026</t>
        </is>
      </c>
      <c r="J96" s="10" t="inlineStr">
        <is>
          <t>Du lịch, Bán hàng / Kinh doanh, Dịch vụ khách hàng</t>
        </is>
      </c>
      <c r="K96" s="10" t="inlineStr">
        <is>
          <t>N/A</t>
        </is>
      </c>
      <c r="L96" s="11">
        <f>HYPERLINK("https://careerviet.vn/vi/tim-viec-lam/chuyen-vien-sale-du-lich-inbound.35C6CE58.html","Xem chi tiết")</f>
        <v/>
      </c>
      <c r="M96" s="10" t="n"/>
    </row>
    <row r="97">
      <c r="B97" s="7" t="n">
        <v>95</v>
      </c>
      <c r="C97" t="inlineStr">
        <is>
          <t>Nhân Viên Kinh Doanh B2B</t>
        </is>
      </c>
      <c r="D97" t="inlineStr">
        <is>
          <t>Công Ty TNHH Thương Mại &amp; Công Nghệ Vinatoken</t>
        </is>
      </c>
      <c r="E97" t="inlineStr">
        <is>
          <t>Lương:10 Tr - 25 Tr VND</t>
        </is>
      </c>
      <c r="F97" t="inlineStr">
        <is>
          <t>Hồ Chí Minh</t>
        </is>
      </c>
      <c r="G97" t="inlineStr">
        <is>
          <t>10-04-2026</t>
        </is>
      </c>
      <c r="H97" t="inlineStr">
        <is>
          <t>10/04/2026</t>
        </is>
      </c>
      <c r="I97" t="inlineStr">
        <is>
          <t>17/03/2026</t>
        </is>
      </c>
      <c r="J97" t="inlineStr">
        <is>
          <t>Bán hàng / Kinh doanh, Bán Hàng Kỹ Thuật, Tư vấn</t>
        </is>
      </c>
      <c r="K97" t="inlineStr">
        <is>
          <t>N/A</t>
        </is>
      </c>
      <c r="L97" s="8">
        <f>HYPERLINK("https://careerviet.vn/vi/tim-viec-lam/nhan-vien-kinh-doanh-b2b.35C6BEDF.html","Xem chi tiết")</f>
        <v/>
      </c>
    </row>
    <row r="98">
      <c r="B98" s="9" t="n">
        <v>96</v>
      </c>
      <c r="C98" s="10" t="inlineStr">
        <is>
          <t>Nhân Viên Tư Vấn &amp; Chăm Sóc Khách Hàng(Mới)</t>
        </is>
      </c>
      <c r="D98" s="10" t="inlineStr">
        <is>
          <t>CÔNG TY TNHH THƯƠNG MẠI BERK GEORGE</t>
        </is>
      </c>
      <c r="E98" s="10" t="inlineStr">
        <is>
          <t>Lương:13 Tr - 30 Tr VND</t>
        </is>
      </c>
      <c r="F98" s="10" t="inlineStr">
        <is>
          <t>Hồ Chí Minh</t>
        </is>
      </c>
      <c r="G98" s="10" t="inlineStr">
        <is>
          <t>17-04-2026</t>
        </is>
      </c>
      <c r="H98" s="10" t="inlineStr">
        <is>
          <t>17/04/2026</t>
        </is>
      </c>
      <c r="I98" s="10" t="inlineStr">
        <is>
          <t>17/03/2026</t>
        </is>
      </c>
      <c r="J98" s="10" t="inlineStr">
        <is>
          <t>Bán hàng / Kinh doanh, Tư vấn, Dịch vụ khách hàng</t>
        </is>
      </c>
      <c r="K98" s="10" t="inlineStr">
        <is>
          <t>N/A</t>
        </is>
      </c>
      <c r="L98" s="11">
        <f>HYPERLINK("https://careerviet.vn/vi/tim-viec-lam/nhan-vien-tu-van-cham-soc-khach-hang.35C6CE69.html","Xem chi tiết")</f>
        <v/>
      </c>
      <c r="M98" s="10" t="n"/>
    </row>
    <row r="99">
      <c r="B99" s="7" t="n">
        <v>97</v>
      </c>
      <c r="C99" t="inlineStr">
        <is>
          <t>Store Accountant (Kế Toán Hàng Tồn Kho)(Mới)</t>
        </is>
      </c>
      <c r="D99" t="inlineStr">
        <is>
          <t>CÔNG TY CỔ PHẦN KING FOOD MARKET</t>
        </is>
      </c>
      <c r="E99" t="inlineStr">
        <is>
          <t>Lương:9 Tr - 12 Tr VND</t>
        </is>
      </c>
      <c r="F99" t="inlineStr">
        <is>
          <t>Hồ Chí Minh</t>
        </is>
      </c>
      <c r="G99" t="inlineStr">
        <is>
          <t>17-04-2026</t>
        </is>
      </c>
      <c r="H99" t="inlineStr">
        <is>
          <t>17/04/2026</t>
        </is>
      </c>
      <c r="I99" t="inlineStr">
        <is>
          <t>17/03/2026</t>
        </is>
      </c>
      <c r="J99" t="inlineStr">
        <is>
          <t>Bán lẻ / Bán sỉ, Kế toán / Kiểm toán</t>
        </is>
      </c>
      <c r="K99" t="inlineStr">
        <is>
          <t>2 - 3 Năm</t>
        </is>
      </c>
      <c r="L99" s="8">
        <f>HYPERLINK("https://careerviet.vn/vi/tim-viec-lam/store-accountant-ke-toan-hang-ton-kho.35C6D012.html","Xem chi tiết")</f>
        <v/>
      </c>
    </row>
    <row r="100">
      <c r="B100" s="9" t="n">
        <v>98</v>
      </c>
      <c r="C100" s="10" t="inlineStr">
        <is>
          <t>Nhân viên Tài chính(Mới)</t>
        </is>
      </c>
      <c r="D100" s="10" t="inlineStr">
        <is>
          <t>Cty TNHH Một Thành Viên Bảo Vệ Thực Vật Sài Gòn</t>
        </is>
      </c>
      <c r="E100" s="10" t="inlineStr">
        <is>
          <t>Lương:Cạnh tranh</t>
        </is>
      </c>
      <c r="F100" s="10" t="inlineStr">
        <is>
          <t>Hồ Chí Minh</t>
        </is>
      </c>
      <c r="G100" s="10" t="inlineStr">
        <is>
          <t>15-04-2026</t>
        </is>
      </c>
      <c r="H100" s="10" t="inlineStr">
        <is>
          <t>15/04/2026</t>
        </is>
      </c>
      <c r="I100" s="10" t="inlineStr">
        <is>
          <t>17/03/2026</t>
        </is>
      </c>
      <c r="J100" s="10" t="inlineStr">
        <is>
          <t>Tài chính / Đầu tư, Chứng khoán</t>
        </is>
      </c>
      <c r="K100" s="10" t="inlineStr">
        <is>
          <t>1 - 2 Năm</t>
        </is>
      </c>
      <c r="L100" s="11">
        <f>HYPERLINK("https://careerviet.vn/vi/tim-viec-lam/nhan-vien-tai-chinh.35C6CB37.html","Xem chi tiết")</f>
        <v/>
      </c>
      <c r="M100" s="10" t="n"/>
    </row>
    <row r="101">
      <c r="B101" s="7" t="n">
        <v>99</v>
      </c>
      <c r="C101" t="inlineStr">
        <is>
          <t>Chuyên viên Dữ liệu và báo cáo - Dự án Core Banking(Mới)</t>
        </is>
      </c>
      <c r="D101" t="inlineStr">
        <is>
          <t>BVBank - Ngân hàng Bản Việt</t>
        </is>
      </c>
      <c r="E101" t="inlineStr">
        <is>
          <t>Lương:Cạnh tranh</t>
        </is>
      </c>
      <c r="F101" t="inlineStr">
        <is>
          <t>Hồ Chí Minh</t>
        </is>
      </c>
      <c r="G101" t="inlineStr">
        <is>
          <t>16-04-2026</t>
        </is>
      </c>
      <c r="H101" t="inlineStr">
        <is>
          <t>16/04/2026</t>
        </is>
      </c>
      <c r="I101" t="inlineStr">
        <is>
          <t>17/03/2026</t>
        </is>
      </c>
      <c r="J101" t="inlineStr">
        <is>
          <t>Ngân hàng, Tài chính / Đầu tư, CNTT - Phần mềm</t>
        </is>
      </c>
      <c r="K101" t="inlineStr">
        <is>
          <t>5 - 7 Năm</t>
        </is>
      </c>
      <c r="L101" s="8">
        <f>HYPERLINK("https://careerviet.vn/vi/tim-viec-lam/chuyen-vien-du-lieu-va-bao-cao-du-an-core-banking.35C6CE7C.html","Xem chi tiết")</f>
        <v/>
      </c>
    </row>
    <row r="102">
      <c r="B102" s="9" t="n">
        <v>100</v>
      </c>
      <c r="C102" s="10" t="inlineStr">
        <is>
          <t>Kế toán tổng hợp(Mới)</t>
        </is>
      </c>
      <c r="D102" s="10" t="inlineStr">
        <is>
          <t>Công ty CP Xây Dựng AN PHÚ GIA - APGCONS</t>
        </is>
      </c>
      <c r="E102" s="10" t="inlineStr">
        <is>
          <t>Lương:17 Tr - 20 Tr VND</t>
        </is>
      </c>
      <c r="F102" s="10" t="inlineStr">
        <is>
          <t>Hồ Chí Minh</t>
        </is>
      </c>
      <c r="G102" s="10" t="inlineStr">
        <is>
          <t>18-04-2026</t>
        </is>
      </c>
      <c r="H102" s="10" t="inlineStr">
        <is>
          <t>18/04/2026</t>
        </is>
      </c>
      <c r="I102" s="10" t="inlineStr">
        <is>
          <t>17/03/2026</t>
        </is>
      </c>
      <c r="J102" s="10" t="inlineStr">
        <is>
          <t>Kiến trúc, Xây dựng, Kế toán / Kiểm toán</t>
        </is>
      </c>
      <c r="K102" s="10" t="inlineStr">
        <is>
          <t>3 - 5 Năm</t>
        </is>
      </c>
      <c r="L102" s="11">
        <f>HYPERLINK("https://careerviet.vn/vi/tim-viec-lam/ke-toan-tong-hop.35C6CD70.html","Xem chi tiết")</f>
        <v/>
      </c>
      <c r="M102" s="10" t="n"/>
    </row>
    <row r="103">
      <c r="B103" s="7" t="n">
        <v>101</v>
      </c>
      <c r="C103" t="inlineStr">
        <is>
          <t>Kế toán thuế</t>
        </is>
      </c>
      <c r="D103" t="inlineStr">
        <is>
          <t>Công ty Cổ phần Dược phẩm Bến Tre</t>
        </is>
      </c>
      <c r="E103" t="inlineStr">
        <is>
          <t>Lương:15 Tr - 18 Tr VND</t>
        </is>
      </c>
      <c r="F103" t="inlineStr">
        <is>
          <t>Hồ Chí Minh</t>
        </is>
      </c>
      <c r="G103" t="inlineStr">
        <is>
          <t>31-03-2026</t>
        </is>
      </c>
      <c r="H103" t="inlineStr">
        <is>
          <t>31/03/2026</t>
        </is>
      </c>
      <c r="I103" t="inlineStr">
        <is>
          <t>17/03/2026</t>
        </is>
      </c>
      <c r="J103" t="inlineStr">
        <is>
          <t>Kế toán / Kiểm toán, Tài chính / Đầu tư</t>
        </is>
      </c>
      <c r="K103" t="inlineStr">
        <is>
          <t>2 - 3 Năm</t>
        </is>
      </c>
      <c r="L103" s="8">
        <f>HYPERLINK("https://careerviet.vn/vi/tim-viec-lam/ke-toan-thue.35C6BD7A.html","Xem chi tiết")</f>
        <v/>
      </c>
    </row>
    <row r="104">
      <c r="B104" s="9" t="n">
        <v>102</v>
      </c>
      <c r="C104" s="10" t="inlineStr">
        <is>
          <t>Chỉ Huy Trưởng(Mới)</t>
        </is>
      </c>
      <c r="D104" s="10" t="inlineStr">
        <is>
          <t>Công Ty TNHH J.G</t>
        </is>
      </c>
      <c r="E104" s="10" t="inlineStr">
        <is>
          <t>Lương:Cạnh tranh</t>
        </is>
      </c>
      <c r="F104" s="10" t="inlineStr">
        <is>
          <t>Hồ Chí Minh</t>
        </is>
      </c>
      <c r="G104" s="10" t="inlineStr">
        <is>
          <t>17-05-2026</t>
        </is>
      </c>
      <c r="H104" s="10" t="inlineStr">
        <is>
          <t>17/05/2026</t>
        </is>
      </c>
      <c r="I104" s="10" t="inlineStr">
        <is>
          <t>17/03/2026</t>
        </is>
      </c>
      <c r="J104" s="10" t="inlineStr">
        <is>
          <t>Kiến trúc, Xây dựng, Nội ngoại thất</t>
        </is>
      </c>
      <c r="K104" s="10" t="inlineStr">
        <is>
          <t>5 - 7 Năm</t>
        </is>
      </c>
      <c r="L104" s="11">
        <f>HYPERLINK("https://careerviet.vn/vi/tim-viec-lam/chi-huy-truong.35C6CE7F.html","Xem chi tiết")</f>
        <v/>
      </c>
      <c r="M104" s="10" t="n"/>
    </row>
    <row r="105">
      <c r="B105" s="7" t="n">
        <v>103</v>
      </c>
      <c r="C105" t="inlineStr">
        <is>
          <t>TUYỂN KỸ SƯ CƠ ĐIỆN (MEP ENGINEER) – HÀ NỘI – LƯƠNG 15TR ĐẾN 40TR+</t>
        </is>
      </c>
      <c r="D105" t="inlineStr">
        <is>
          <t>Công Ty Cổ Phần Thương Mại và Xây Lắp Cơ Điện Probuild</t>
        </is>
      </c>
      <c r="E105" t="inlineStr">
        <is>
          <t>Lương:15 Tr - 40 Tr VND</t>
        </is>
      </c>
      <c r="F105" t="inlineStr">
        <is>
          <t>Hà Nội</t>
        </is>
      </c>
      <c r="G105" t="inlineStr">
        <is>
          <t>30-04-2026</t>
        </is>
      </c>
      <c r="H105" t="inlineStr">
        <is>
          <t>30/04/2026</t>
        </is>
      </c>
      <c r="I105" t="inlineStr">
        <is>
          <t>17/03/2026</t>
        </is>
      </c>
      <c r="J105" t="inlineStr">
        <is>
          <t>Cơ khí / Ô tô / Tự động hóa, Điện / Điện tử / Điện lạnh / Điện công nghiệp, Bảo trì / Sửa chữa</t>
        </is>
      </c>
      <c r="K105" t="inlineStr">
        <is>
          <t>Lên đến 1 Năm</t>
        </is>
      </c>
      <c r="L105" s="8">
        <f>HYPERLINK("https://careerviet.vn/vi/tim-viec-lam/tuyen-ky-su-co-dien-mep-engineer-ha-noi-luong-15tr-den-40tr.35C6BD69.html","Xem chi tiết")</f>
        <v/>
      </c>
    </row>
    <row r="106">
      <c r="B106" s="9" t="n">
        <v>104</v>
      </c>
      <c r="C106" s="10" t="inlineStr">
        <is>
          <t>Giám Sát- Chỉ Huy Trưởng Công Trình Nội Thất</t>
        </is>
      </c>
      <c r="D106" s="10" t="inlineStr">
        <is>
          <t>Công Ty Cổ Phần Trang Trí Nội Thất P.I.P</t>
        </is>
      </c>
      <c r="E106" s="10" t="inlineStr">
        <is>
          <t>Lương:12 Tr - 25 Tr VND</t>
        </is>
      </c>
      <c r="F106" s="10" t="inlineStr">
        <is>
          <t>Hồ Chí Minh</t>
        </is>
      </c>
      <c r="G106" s="10" t="inlineStr">
        <is>
          <t>11-04-2026</t>
        </is>
      </c>
      <c r="H106" s="10" t="inlineStr">
        <is>
          <t>11/04/2026</t>
        </is>
      </c>
      <c r="I106" s="10" t="inlineStr">
        <is>
          <t>17/03/2026</t>
        </is>
      </c>
      <c r="J106" s="10" t="inlineStr">
        <is>
          <t>Kiến trúc, Xây dựng, Nội ngoại thất</t>
        </is>
      </c>
      <c r="K106" s="10" t="inlineStr">
        <is>
          <t>1 - 2 Năm</t>
        </is>
      </c>
      <c r="L106" s="11">
        <f>HYPERLINK("https://careerviet.vn/vi/tim-viec-lam/giam-sat-chi-huy-truong-cong-trinh-noi-that.35C6BE9D.html","Xem chi tiết")</f>
        <v/>
      </c>
      <c r="M106" s="10" t="n"/>
    </row>
    <row r="107">
      <c r="B107" s="7" t="n">
        <v>105</v>
      </c>
      <c r="C107" t="inlineStr">
        <is>
          <t>Nhân Viên Kế Toán Thuế</t>
        </is>
      </c>
      <c r="D107" t="inlineStr">
        <is>
          <t>Công Ty TNHH Thương Mại &amp; Công Nghệ Vinatoken</t>
        </is>
      </c>
      <c r="E107" t="inlineStr">
        <is>
          <t>Lương:14 Tr - 17 Tr VND</t>
        </is>
      </c>
      <c r="F107" t="inlineStr">
        <is>
          <t>Hồ Chí Minh</t>
        </is>
      </c>
      <c r="G107" t="inlineStr">
        <is>
          <t>09-04-2026</t>
        </is>
      </c>
      <c r="H107" t="inlineStr">
        <is>
          <t>09/04/2026</t>
        </is>
      </c>
      <c r="I107" t="inlineStr">
        <is>
          <t>17/03/2026</t>
        </is>
      </c>
      <c r="J107" t="inlineStr">
        <is>
          <t>Tài chính / Đầu tư, Thống kê, Kế toán / Kiểm toán</t>
        </is>
      </c>
      <c r="K107" t="inlineStr">
        <is>
          <t>Trên 2 Năm</t>
        </is>
      </c>
      <c r="L107" s="8">
        <f>HYPERLINK("https://careerviet.vn/vi/tim-viec-lam/nhan-vien-ke-toan-thue.35C6BD2F.html","Xem chi tiết")</f>
        <v/>
      </c>
    </row>
    <row r="108">
      <c r="B108" s="9" t="n">
        <v>106</v>
      </c>
      <c r="C108" s="10" t="inlineStr">
        <is>
          <t>Nhân Viên Triển Khai Kỹ Thuật (Tuyển gấp)</t>
        </is>
      </c>
      <c r="D108" s="10" t="inlineStr">
        <is>
          <t>CÔNG TY CỔ PHẦN MOZAX GROUP</t>
        </is>
      </c>
      <c r="E108" s="10" t="inlineStr">
        <is>
          <t>Lương:8 Tr - 15 Tr VND</t>
        </is>
      </c>
      <c r="F108" s="10" t="inlineStr">
        <is>
          <t>Hà Nội</t>
        </is>
      </c>
      <c r="G108" s="10" t="inlineStr">
        <is>
          <t>30-04-2026</t>
        </is>
      </c>
      <c r="H108" s="10" t="inlineStr">
        <is>
          <t>30/04/2026</t>
        </is>
      </c>
      <c r="I108" s="10" t="inlineStr">
        <is>
          <t>17/03/2026</t>
        </is>
      </c>
      <c r="J108" s="10" t="inlineStr">
        <is>
          <t>Nội ngoại thất, Kiến trúc, Xây dựng</t>
        </is>
      </c>
      <c r="K108" s="10" t="inlineStr">
        <is>
          <t>1 - 2 Năm</t>
        </is>
      </c>
      <c r="L108" s="11">
        <f>HYPERLINK("https://careerviet.vn/vi/tim-viec-lam/nhan-vien-trien-khai-ky-thuat-tuyen-gap.35C6BCCD.html","Xem chi tiết")</f>
        <v/>
      </c>
      <c r="M108" s="10" t="n"/>
    </row>
    <row r="109">
      <c r="B109" s="7" t="n">
        <v>107</v>
      </c>
      <c r="C109" t="inlineStr">
        <is>
          <t>Nhân Viên Concept 3D Nội Thất (Tuyển gấp)</t>
        </is>
      </c>
      <c r="D109" t="inlineStr">
        <is>
          <t>CÔNG TY CỔ PHẦN MOZAX GROUP</t>
        </is>
      </c>
      <c r="E109" t="inlineStr">
        <is>
          <t>Lương:8 Tr - 15 Tr VND</t>
        </is>
      </c>
      <c r="F109" t="inlineStr">
        <is>
          <t>Hà Nội</t>
        </is>
      </c>
      <c r="G109" t="inlineStr">
        <is>
          <t>09-04-2026</t>
        </is>
      </c>
      <c r="H109" t="inlineStr">
        <is>
          <t>09/04/2026</t>
        </is>
      </c>
      <c r="I109" t="inlineStr">
        <is>
          <t>17/03/2026</t>
        </is>
      </c>
      <c r="J109" t="inlineStr">
        <is>
          <t>Nội ngoại thất, Kiến trúc, Quản lý điều hành</t>
        </is>
      </c>
      <c r="K109" t="inlineStr">
        <is>
          <t>1 - 2 Năm</t>
        </is>
      </c>
      <c r="L109" s="8">
        <f>HYPERLINK("https://careerviet.vn/vi/tim-viec-lam/nhan-vien-concept-3d-noi-that-tuyen-gap.35C6BCC3.html","Xem chi tiết")</f>
        <v/>
      </c>
    </row>
    <row r="110">
      <c r="B110" s="9" t="n">
        <v>108</v>
      </c>
      <c r="C110" s="10" t="inlineStr">
        <is>
          <t>Giám Sát Nội Thất (Tuyển gấp)</t>
        </is>
      </c>
      <c r="D110" s="10" t="inlineStr">
        <is>
          <t>CÔNG TY CỔ PHẦN MOZAX GROUP</t>
        </is>
      </c>
      <c r="E110" s="10" t="inlineStr">
        <is>
          <t>Lương:Cạnh tranh</t>
        </is>
      </c>
      <c r="F110" s="10" t="inlineStr">
        <is>
          <t>Hà Nội</t>
        </is>
      </c>
      <c r="G110" s="10" t="inlineStr">
        <is>
          <t>06-05-2026</t>
        </is>
      </c>
      <c r="H110" s="10" t="inlineStr">
        <is>
          <t>06/05/2026</t>
        </is>
      </c>
      <c r="I110" s="10" t="inlineStr">
        <is>
          <t>17/03/2026</t>
        </is>
      </c>
      <c r="J110" s="10" t="inlineStr">
        <is>
          <t>Nội ngoại thất, Kiến trúc, Quản lý điều hành</t>
        </is>
      </c>
      <c r="K110" s="10" t="inlineStr">
        <is>
          <t>1 - 2 Năm</t>
        </is>
      </c>
      <c r="L110" s="11">
        <f>HYPERLINK("https://careerviet.vn/vi/tim-viec-lam/giam-sat-noi-that-tuyen-gap.35C6BCBB.html","Xem chi tiết")</f>
        <v/>
      </c>
      <c r="M110" s="10" t="n"/>
    </row>
    <row r="111">
      <c r="B111" s="7" t="n">
        <v>109</v>
      </c>
      <c r="C111" t="inlineStr">
        <is>
          <t>Luxury Real Estate Consultant</t>
        </is>
      </c>
      <c r="D111" t="inlineStr">
        <is>
          <t>S&amp;S Group</t>
        </is>
      </c>
      <c r="E111" t="inlineStr">
        <is>
          <t>Lương:Cạnh tranh</t>
        </is>
      </c>
      <c r="F111" t="inlineStr">
        <is>
          <t>Hồ Chí Minh</t>
        </is>
      </c>
      <c r="G111" t="inlineStr">
        <is>
          <t>30-04-2026</t>
        </is>
      </c>
      <c r="H111" t="inlineStr">
        <is>
          <t>30/04/2026</t>
        </is>
      </c>
      <c r="I111" t="inlineStr">
        <is>
          <t>17/03/2026</t>
        </is>
      </c>
      <c r="J111" t="inlineStr">
        <is>
          <t>Bán hàng / Kinh doanh, Dịch vụ khách hàng, Bất động sản</t>
        </is>
      </c>
      <c r="K111" t="inlineStr">
        <is>
          <t>2 - 4 Năm</t>
        </is>
      </c>
      <c r="L111" s="8">
        <f>HYPERLINK("https://careerviet.vn/vi/tim-viec-lam/luxury-real-estate-consultant.35C6BC3B.html","Xem chi tiết")</f>
        <v/>
      </c>
    </row>
    <row r="112">
      <c r="B112" s="9" t="n">
        <v>110</v>
      </c>
      <c r="C112" s="10" t="inlineStr">
        <is>
          <t>Kĩ sư giám sát xây dựng (Đi làm ngay)</t>
        </is>
      </c>
      <c r="D112" s="10" t="inlineStr">
        <is>
          <t>Công ty CP Xây Dựng Bông Sen Vàng - Golden Lotus Construction</t>
        </is>
      </c>
      <c r="E112" s="10" t="inlineStr">
        <is>
          <t>Lương:15 Tr - 25 Tr VND</t>
        </is>
      </c>
      <c r="F112" s="10" t="inlineStr">
        <is>
          <t>Nghệ AnĐồng NaiAn Giang</t>
        </is>
      </c>
      <c r="G112" s="10" t="inlineStr">
        <is>
          <t>10-04-2026</t>
        </is>
      </c>
      <c r="H112" s="10" t="inlineStr">
        <is>
          <t>10/04/2026</t>
        </is>
      </c>
      <c r="I112" s="10" t="inlineStr">
        <is>
          <t>17/03/2026</t>
        </is>
      </c>
      <c r="J112" s="10" t="inlineStr">
        <is>
          <t>Xây dựng, Bất động sản, Kiến trúc</t>
        </is>
      </c>
      <c r="K112" s="10" t="inlineStr">
        <is>
          <t>1 - 10 Năm</t>
        </is>
      </c>
      <c r="L112" s="11">
        <f>HYPERLINK("https://careerviet.vn/vi/tim-viec-lam/ki-su-giam-sat-xay-dung-di-lam-ngay.35C6B9A1.html","Xem chi tiết")</f>
        <v/>
      </c>
      <c r="M112" s="10" t="n"/>
    </row>
    <row r="113">
      <c r="B113" s="7" t="n">
        <v>111</v>
      </c>
      <c r="C113" t="inlineStr">
        <is>
          <t>Operation Executive Freight Fwd - Nhân Viên Chứng Từ Hàng Ocean Freight</t>
        </is>
      </c>
      <c r="D113" t="inlineStr">
        <is>
          <t>RHENUS LOGISTICS LTD,.</t>
        </is>
      </c>
      <c r="E113" t="inlineStr">
        <is>
          <t>Lương:Cạnh tranh</t>
        </is>
      </c>
      <c r="F113" t="inlineStr">
        <is>
          <t>Hà NộiHồ Chí Minh</t>
        </is>
      </c>
      <c r="G113" t="inlineStr">
        <is>
          <t>08-04-2026</t>
        </is>
      </c>
      <c r="H113" t="inlineStr">
        <is>
          <t>08/04/2026</t>
        </is>
      </c>
      <c r="I113" t="inlineStr">
        <is>
          <t>17/03/2026</t>
        </is>
      </c>
      <c r="J113" t="inlineStr">
        <is>
          <t>Vận chuyển / Giao nhận / Kho vận, Xuất nhập khẩu, Sản xuất / Vận hành sản xuất</t>
        </is>
      </c>
      <c r="K113" t="inlineStr">
        <is>
          <t>1 - 2 Năm</t>
        </is>
      </c>
      <c r="L113" s="8">
        <f>HYPERLINK("https://careerviet.vn/vi/tim-viec-lam/operation-executive-freight-fwd-nhan-vien-chung-tu-hang-ocean-freight.35C6B879.html","Xem chi tiết")</f>
        <v/>
      </c>
    </row>
    <row r="114">
      <c r="B114" s="9" t="n">
        <v>112</v>
      </c>
      <c r="C114" s="10" t="inlineStr">
        <is>
          <t>Kế toán trưởng chi nhánh Tây Nguyên</t>
        </is>
      </c>
      <c r="D114" s="10" t="inlineStr">
        <is>
          <t>Công ty Cổ phần Dược phẩm Bến Tre</t>
        </is>
      </c>
      <c r="E114" s="10" t="inlineStr">
        <is>
          <t>Lương:Cạnh tranh</t>
        </is>
      </c>
      <c r="F114" s="10" t="inlineStr">
        <is>
          <t>KV Tây Nguyên</t>
        </is>
      </c>
      <c r="G114" s="10" t="inlineStr">
        <is>
          <t>31-03-2026</t>
        </is>
      </c>
      <c r="H114" s="10" t="inlineStr">
        <is>
          <t>31/03/2026</t>
        </is>
      </c>
      <c r="I114" s="10" t="inlineStr">
        <is>
          <t>17/03/2026</t>
        </is>
      </c>
      <c r="J114" s="10" t="inlineStr">
        <is>
          <t>Kế toán / Kiểm toán, Tài chính / Đầu tư</t>
        </is>
      </c>
      <c r="K114" s="10" t="inlineStr">
        <is>
          <t>3 - 5 Năm</t>
        </is>
      </c>
      <c r="L114" s="11">
        <f>HYPERLINK("https://careerviet.vn/vi/tim-viec-lam/ke-toan-truong-chi-nhanh-tay-nguyen.35C6BC3C.html","Xem chi tiết")</f>
        <v/>
      </c>
      <c r="M114" s="10" t="n"/>
    </row>
    <row r="115">
      <c r="B115" s="7" t="n">
        <v>113</v>
      </c>
      <c r="C115" t="inlineStr">
        <is>
          <t>Chuyên gia/Chuyên viên cấp cao Chính sách và Phát triển tổ chức</t>
        </is>
      </c>
      <c r="D115" t="inlineStr">
        <is>
          <t>BIM Group</t>
        </is>
      </c>
      <c r="E115" t="inlineStr">
        <is>
          <t>Lương:Cạnh tranh</t>
        </is>
      </c>
      <c r="F115" t="inlineStr">
        <is>
          <t>Hà Nội</t>
        </is>
      </c>
      <c r="G115" t="inlineStr">
        <is>
          <t>31-05-2026</t>
        </is>
      </c>
      <c r="H115" t="inlineStr">
        <is>
          <t>31/05/2026</t>
        </is>
      </c>
      <c r="I115" t="inlineStr">
        <is>
          <t>17/03/2026</t>
        </is>
      </c>
      <c r="J115" t="inlineStr">
        <is>
          <t>Nhân sự</t>
        </is>
      </c>
      <c r="K115" t="inlineStr">
        <is>
          <t>Trên 3 Năm</t>
        </is>
      </c>
      <c r="L115" s="8">
        <f>HYPERLINK("https://careerviet.vn/vi/tim-viec-lam/chuyen-gia-chuyen-vien-cap-cao-chinh-sach-va-phat-trien-to-chuc.35C6BAA0.html","Xem chi tiết")</f>
        <v/>
      </c>
    </row>
    <row r="116">
      <c r="B116" s="9" t="n">
        <v>114</v>
      </c>
      <c r="C116" s="10" t="inlineStr">
        <is>
          <t>Pricing /Procurement Executive (Freight FWD)</t>
        </is>
      </c>
      <c r="D116" s="10" t="inlineStr">
        <is>
          <t>RHENUS LOGISTICS LTD,.</t>
        </is>
      </c>
      <c r="E116" s="10" t="inlineStr">
        <is>
          <t>Lương:Cạnh tranh</t>
        </is>
      </c>
      <c r="F116" s="10" t="inlineStr">
        <is>
          <t>Hồ Chí MinhHà Nội</t>
        </is>
      </c>
      <c r="G116" s="10" t="inlineStr">
        <is>
          <t>08-04-2026</t>
        </is>
      </c>
      <c r="H116" s="10" t="inlineStr">
        <is>
          <t>08/04/2026</t>
        </is>
      </c>
      <c r="I116" s="10" t="inlineStr">
        <is>
          <t>17/03/2026</t>
        </is>
      </c>
      <c r="J116" s="10" t="inlineStr">
        <is>
          <t>Vận chuyển / Giao nhận / Kho vận, Thu mua / Vật tư, Xuất nhập khẩu</t>
        </is>
      </c>
      <c r="K116" s="10" t="inlineStr">
        <is>
          <t>1 - 3 Năm</t>
        </is>
      </c>
      <c r="L116" s="11">
        <f>HYPERLINK("https://careerviet.vn/vi/tim-viec-lam/pricing-procurement-executive-freight-fwd.35C6B87A.html","Xem chi tiết")</f>
        <v/>
      </c>
      <c r="M116" s="10" t="n"/>
    </row>
    <row r="117">
      <c r="B117" s="7" t="n">
        <v>115</v>
      </c>
      <c r="C117" t="inlineStr">
        <is>
          <t>Nhân Viên Kinh Doanh</t>
        </is>
      </c>
      <c r="D117" t="inlineStr">
        <is>
          <t>Công ty TNHH Quốc Tế Đại Cát Á</t>
        </is>
      </c>
      <c r="E117" t="inlineStr">
        <is>
          <t>Lương:25 Tr - 50 Tr VND</t>
        </is>
      </c>
      <c r="F117" t="inlineStr">
        <is>
          <t>Hồ Chí Minh</t>
        </is>
      </c>
      <c r="G117" t="inlineStr">
        <is>
          <t>30-04-2026</t>
        </is>
      </c>
      <c r="H117" t="inlineStr">
        <is>
          <t>30/04/2026</t>
        </is>
      </c>
      <c r="I117" t="inlineStr">
        <is>
          <t>17/03/2026</t>
        </is>
      </c>
      <c r="J117" t="inlineStr">
        <is>
          <t>Tiếp thị / Marketing, Bán hàng / Kinh doanh, Dược phẩm/ Hóa Mỹ Phẩm</t>
        </is>
      </c>
      <c r="K117" t="inlineStr">
        <is>
          <t>Trên 1 Năm</t>
        </is>
      </c>
      <c r="L117" s="8">
        <f>HYPERLINK("https://careerviet.vn/vi/tim-viec-lam/nhan-vien-kinh-doanh.35C6B8C9.html","Xem chi tiết")</f>
        <v/>
      </c>
    </row>
    <row r="118">
      <c r="B118" s="9" t="n">
        <v>116</v>
      </c>
      <c r="C118" s="10" t="inlineStr">
        <is>
          <t>Nhân Viên Mua Hàng Tiêu Dùng</t>
        </is>
      </c>
      <c r="D118" s="10" t="inlineStr">
        <is>
          <t>Công ty cổ phần Dược Phẩm Savi</t>
        </is>
      </c>
      <c r="E118" s="10" t="inlineStr">
        <is>
          <t>Lương:Cạnh tranh</t>
        </is>
      </c>
      <c r="F118" s="10" t="inlineStr">
        <is>
          <t>Hồ Chí Minh</t>
        </is>
      </c>
      <c r="G118" s="10" t="inlineStr">
        <is>
          <t>08-04-2026</t>
        </is>
      </c>
      <c r="H118" s="10" t="inlineStr">
        <is>
          <t>08/04/2026</t>
        </is>
      </c>
      <c r="I118" s="10" t="inlineStr">
        <is>
          <t>17/03/2026</t>
        </is>
      </c>
      <c r="J118" s="10" t="inlineStr">
        <is>
          <t>Dược phẩm/ Hóa Mỹ Phẩm, Xuất nhập khẩu, Thu mua / Vật tư</t>
        </is>
      </c>
      <c r="K118" s="10" t="inlineStr">
        <is>
          <t>3 - 5 Năm</t>
        </is>
      </c>
      <c r="L118" s="11">
        <f>HYPERLINK("https://careerviet.vn/vi/tim-viec-lam/nhan-vien-mua-hang-tieu-dung.35C6B851.html","Xem chi tiết")</f>
        <v/>
      </c>
      <c r="M118" s="10" t="n"/>
    </row>
    <row r="119">
      <c r="B119" s="7" t="n">
        <v>117</v>
      </c>
      <c r="C119" t="inlineStr">
        <is>
          <t>Giám đốc Phát triển KD/Giám đốc Quan hệ Khách hàng/Chuyên viên Kinh doanh MIC Tràng An</t>
        </is>
      </c>
      <c r="D119" t="inlineStr">
        <is>
          <t>Tổng Công ty Cổ phần Bảo hiểm Quân đội (MIC)</t>
        </is>
      </c>
      <c r="E119" t="inlineStr">
        <is>
          <t>Lương:Cạnh tranh</t>
        </is>
      </c>
      <c r="F119" t="inlineStr">
        <is>
          <t>Hà Nội</t>
        </is>
      </c>
      <c r="G119" t="inlineStr">
        <is>
          <t>29-06-2026</t>
        </is>
      </c>
      <c r="H119" t="inlineStr">
        <is>
          <t>29/06/2026</t>
        </is>
      </c>
      <c r="I119" t="inlineStr">
        <is>
          <t>17/03/2026</t>
        </is>
      </c>
      <c r="J119" t="inlineStr">
        <is>
          <t>Ngân hàng, Bảo hiểm, Bán hàng / Kinh doanh</t>
        </is>
      </c>
      <c r="K119" t="inlineStr">
        <is>
          <t>Trên 1 Năm</t>
        </is>
      </c>
      <c r="L119" s="8">
        <f>HYPERLINK("https://careerviet.vn/vi/tim-viec-lam/giam-doc-phat-trien-kd-giam-doc-quan-he-khach-hang-chuyen-vien-kinh-doanh-mic-trang-an.35C6BBE1.html","Xem chi tiết")</f>
        <v/>
      </c>
    </row>
    <row r="120">
      <c r="B120" s="9" t="n">
        <v>118</v>
      </c>
      <c r="C120" s="10" t="inlineStr">
        <is>
          <t>Nhân Viên Kỹ Thuật</t>
        </is>
      </c>
      <c r="D120" s="10" t="inlineStr">
        <is>
          <t>CÔNG TY TNHH ĐÚC BÌNH ĐƯỜNG</t>
        </is>
      </c>
      <c r="E120" s="10" t="inlineStr">
        <is>
          <t>Lương:Cạnh tranh</t>
        </is>
      </c>
      <c r="F120" s="10" t="inlineStr">
        <is>
          <t>Bình Dương</t>
        </is>
      </c>
      <c r="G120" s="10" t="inlineStr">
        <is>
          <t>08-04-2026</t>
        </is>
      </c>
      <c r="H120" s="10" t="inlineStr">
        <is>
          <t>08/04/2026</t>
        </is>
      </c>
      <c r="I120" s="10" t="inlineStr">
        <is>
          <t>17/03/2026</t>
        </is>
      </c>
      <c r="J120" s="10" t="inlineStr">
        <is>
          <t>Hàng hải, Cơ khí / Ô tô / Tự động hóa, Bảo trì / Sửa chữa</t>
        </is>
      </c>
      <c r="K120" s="10" t="inlineStr">
        <is>
          <t>1 - 5 Năm</t>
        </is>
      </c>
      <c r="L120" s="11">
        <f>HYPERLINK("https://careerviet.vn/vi/tim-viec-lam/nhan-vien-ky-thuat.35C6B802.html","Xem chi tiết")</f>
        <v/>
      </c>
      <c r="M120" s="10" t="n"/>
    </row>
    <row r="121">
      <c r="B121" s="7" t="n">
        <v>119</v>
      </c>
      <c r="C121" t="inlineStr">
        <is>
          <t>Kế toán trưởng - ngành Sản xuất</t>
        </is>
      </c>
      <c r="D121" t="inlineStr">
        <is>
          <t>Công Ty Cổ Phần Bột - Thực Phẩm Tài Ký</t>
        </is>
      </c>
      <c r="E121" t="inlineStr">
        <is>
          <t>Lương:Cạnh tranh</t>
        </is>
      </c>
      <c r="F121" t="inlineStr">
        <is>
          <t>Hồ Chí Minh</t>
        </is>
      </c>
      <c r="G121" t="inlineStr">
        <is>
          <t>09-04-2026</t>
        </is>
      </c>
      <c r="H121" t="inlineStr">
        <is>
          <t>09/04/2026</t>
        </is>
      </c>
      <c r="I121" t="inlineStr">
        <is>
          <t>17/03/2026</t>
        </is>
      </c>
      <c r="J121" t="inlineStr">
        <is>
          <t>Kế toán / Kiểm toán, Bán lẻ / Bán sỉ, Thực phẩm &amp; Đồ uống</t>
        </is>
      </c>
      <c r="K121" t="inlineStr">
        <is>
          <t>7 - 10 Năm</t>
        </is>
      </c>
      <c r="L121" s="8">
        <f>HYPERLINK("https://careerviet.vn/vi/tim-viec-lam/ke-toan-truong-nganh-san-xuat.35C6B766.html","Xem chi tiết")</f>
        <v/>
      </c>
    </row>
    <row r="122">
      <c r="B122" s="9" t="n">
        <v>120</v>
      </c>
      <c r="C122" s="10" t="inlineStr">
        <is>
          <t>Nhân viên Bảo trì Cơ điện</t>
        </is>
      </c>
      <c r="D122" s="10" t="inlineStr">
        <is>
          <t>Công ty Cổ phần Đầu tư Asia Dragon</t>
        </is>
      </c>
      <c r="E122" s="10" t="inlineStr">
        <is>
          <t>Lương:11 Tr - 18 Tr VND</t>
        </is>
      </c>
      <c r="F122" s="10" t="inlineStr">
        <is>
          <t>Hồ Chí Minh</t>
        </is>
      </c>
      <c r="G122" s="10" t="inlineStr">
        <is>
          <t>08-04-2026</t>
        </is>
      </c>
      <c r="H122" s="10" t="inlineStr">
        <is>
          <t>08/04/2026</t>
        </is>
      </c>
      <c r="I122" s="10" t="inlineStr">
        <is>
          <t>17/03/2026</t>
        </is>
      </c>
      <c r="J122" s="10" t="inlineStr">
        <is>
          <t>Cơ khí / Ô tô / Tự động hóa, Điện / Điện tử / Điện lạnh / Điện công nghiệp, Sản xuất / Vận hành sản xuất</t>
        </is>
      </c>
      <c r="K122" s="10" t="inlineStr">
        <is>
          <t>1 - 3 Năm</t>
        </is>
      </c>
      <c r="L122" s="11">
        <f>HYPERLINK("https://careerviet.vn/vi/tim-viec-lam/nhan-vien-bao-tri-co-dien.35C6B67C.html","Xem chi tiết")</f>
        <v/>
      </c>
      <c r="M122" s="10" t="n"/>
    </row>
    <row r="123">
      <c r="B123" s="7" t="n">
        <v>121</v>
      </c>
      <c r="C123" t="inlineStr">
        <is>
          <t>Trợ lý phiên dịch tiếng Hàn</t>
        </is>
      </c>
      <c r="D123" t="inlineStr">
        <is>
          <t>CÔNG TY TNHH VINA SUNWOO</t>
        </is>
      </c>
      <c r="E123" t="inlineStr">
        <is>
          <t>Lương:Cạnh tranh</t>
        </is>
      </c>
      <c r="F123" t="inlineStr">
        <is>
          <t>Đồng Nai</t>
        </is>
      </c>
      <c r="G123" t="inlineStr">
        <is>
          <t>08-04-2026</t>
        </is>
      </c>
      <c r="H123" t="inlineStr">
        <is>
          <t>08/04/2026</t>
        </is>
      </c>
      <c r="I123" t="inlineStr">
        <is>
          <t>17/03/2026</t>
        </is>
      </c>
      <c r="J123" t="inlineStr">
        <is>
          <t>Biên phiên dịch, Sản xuất / Vận hành sản xuất, Hành chính / Thư ký</t>
        </is>
      </c>
      <c r="K123" t="inlineStr">
        <is>
          <t>Trên 1 Năm</t>
        </is>
      </c>
      <c r="L123" s="8">
        <f>HYPERLINK("https://careerviet.vn/vi/tim-viec-lam/tro-ly-phien-dich-tieng-han.35C6B684.html","Xem chi tiết")</f>
        <v/>
      </c>
    </row>
    <row r="124">
      <c r="B124" s="9" t="n">
        <v>122</v>
      </c>
      <c r="C124" s="10" t="inlineStr">
        <is>
          <t>Kế toán tổng hợp</t>
        </is>
      </c>
      <c r="D124" s="10" t="inlineStr">
        <is>
          <t>Công ty Cổ phần Dược phẩm Bến Tre</t>
        </is>
      </c>
      <c r="E124" s="10" t="inlineStr">
        <is>
          <t>Lương:20 Tr - 26 Tr VND</t>
        </is>
      </c>
      <c r="F124" s="10" t="inlineStr">
        <is>
          <t>Hồ Chí Minh</t>
        </is>
      </c>
      <c r="G124" s="10" t="inlineStr">
        <is>
          <t>31-03-2026</t>
        </is>
      </c>
      <c r="H124" s="10" t="inlineStr">
        <is>
          <t>31/03/2026</t>
        </is>
      </c>
      <c r="I124" s="10" t="inlineStr">
        <is>
          <t>17/03/2026</t>
        </is>
      </c>
      <c r="J124" s="10" t="inlineStr">
        <is>
          <t>Kế toán / Kiểm toán, Tài chính / Đầu tư</t>
        </is>
      </c>
      <c r="K124" s="10" t="inlineStr">
        <is>
          <t>3 - 5 Năm</t>
        </is>
      </c>
      <c r="L124" s="11">
        <f>HYPERLINK("https://careerviet.vn/vi/tim-viec-lam/ke-toan-tong-hop.35C6BA81.html","Xem chi tiết")</f>
        <v/>
      </c>
      <c r="M124" s="10" t="n"/>
    </row>
    <row r="125">
      <c r="B125" s="7" t="n">
        <v>123</v>
      </c>
      <c r="C125" t="inlineStr">
        <is>
          <t>Nhân viên Kế hoạch Sản xuất</t>
        </is>
      </c>
      <c r="D125" t="inlineStr">
        <is>
          <t>Công ty Cổ phần Đầu tư Asia Dragon</t>
        </is>
      </c>
      <c r="E125" t="inlineStr">
        <is>
          <t>Lương:14 Tr - 20 Tr VND</t>
        </is>
      </c>
      <c r="F125" t="inlineStr">
        <is>
          <t>Hồ Chí Minh</t>
        </is>
      </c>
      <c r="G125" t="inlineStr">
        <is>
          <t>08-04-2026</t>
        </is>
      </c>
      <c r="H125" t="inlineStr">
        <is>
          <t>08/04/2026</t>
        </is>
      </c>
      <c r="I125" t="inlineStr">
        <is>
          <t>17/03/2026</t>
        </is>
      </c>
      <c r="J125" t="inlineStr">
        <is>
          <t>Sản xuất / Vận hành sản xuất, Cơ khí / Ô tô / Tự động hóa</t>
        </is>
      </c>
      <c r="K125" t="inlineStr">
        <is>
          <t>3 - 5 Năm</t>
        </is>
      </c>
      <c r="L125" s="8">
        <f>HYPERLINK("https://careerviet.vn/vi/tim-viec-lam/nhan-vien-ke-hoach-san-xuat.35C6B67B.html","Xem chi tiết")</f>
        <v/>
      </c>
    </row>
    <row r="126">
      <c r="B126" s="9" t="n">
        <v>124</v>
      </c>
      <c r="C126" s="10" t="inlineStr">
        <is>
          <t>FP&amp;A Executive</t>
        </is>
      </c>
      <c r="D126" s="10" t="inlineStr">
        <is>
          <t>CÔNG TY CỔ PHẦN I GROUP</t>
        </is>
      </c>
      <c r="E126" s="10" t="inlineStr">
        <is>
          <t>Lương:18 Tr - 20 Tr VND</t>
        </is>
      </c>
      <c r="F126" s="10" t="inlineStr">
        <is>
          <t>Hồ Chí Minh</t>
        </is>
      </c>
      <c r="G126" s="10" t="inlineStr">
        <is>
          <t>11-04-2026</t>
        </is>
      </c>
      <c r="H126" s="10" t="inlineStr">
        <is>
          <t>11/04/2026</t>
        </is>
      </c>
      <c r="I126" s="10" t="inlineStr">
        <is>
          <t>17/03/2026</t>
        </is>
      </c>
      <c r="J126" s="10" t="inlineStr">
        <is>
          <t>Tài chính / Đầu tư, Kế toán / Kiểm toán, Thủy sản / Hải sản</t>
        </is>
      </c>
      <c r="K126" s="10" t="inlineStr">
        <is>
          <t>3 - 5 Năm</t>
        </is>
      </c>
      <c r="L126" s="11">
        <f>HYPERLINK("https://careerviet.vn/vi/tim-viec-lam/fp-a-executive.35C6B6A2.html","Xem chi tiết")</f>
        <v/>
      </c>
      <c r="M126" s="10" t="n"/>
    </row>
    <row r="127">
      <c r="B127" s="7" t="n">
        <v>125</v>
      </c>
      <c r="C127" t="inlineStr">
        <is>
          <t>Nhân viên kế toán công nợ</t>
        </is>
      </c>
      <c r="D127" t="inlineStr">
        <is>
          <t>Công ty Cổ phần Dược phẩm Bến Tre</t>
        </is>
      </c>
      <c r="E127" t="inlineStr">
        <is>
          <t>Lương:12 Tr - 15 Tr VND</t>
        </is>
      </c>
      <c r="F127" t="inlineStr">
        <is>
          <t>Hồ Chí Minh</t>
        </is>
      </c>
      <c r="G127" t="inlineStr">
        <is>
          <t>31-03-2026</t>
        </is>
      </c>
      <c r="H127" t="inlineStr">
        <is>
          <t>31/03/2026</t>
        </is>
      </c>
      <c r="I127" t="inlineStr">
        <is>
          <t>17/03/2026</t>
        </is>
      </c>
      <c r="J127" t="inlineStr">
        <is>
          <t>Kế toán / Kiểm toán, Tài chính / Đầu tư</t>
        </is>
      </c>
      <c r="K127" t="inlineStr">
        <is>
          <t>Chưa có kinh nghiệm</t>
        </is>
      </c>
      <c r="L127" s="8">
        <f>HYPERLINK("https://careerviet.vn/vi/tim-viec-lam/nhan-vien-ke-toan-cong-no.35C6B963.html","Xem chi tiết")</f>
        <v/>
      </c>
    </row>
    <row r="128">
      <c r="B128" s="9" t="n">
        <v>126</v>
      </c>
      <c r="C128" s="10" t="inlineStr">
        <is>
          <t>[Phú Quốc] - Kỹ Sư/ Kỹ Thuật Viên Dịch Vụ Sửa Chữa Điều Hòa Không Khí</t>
        </is>
      </c>
      <c r="D128" s="10" t="inlineStr">
        <is>
          <t>Daikin Air Conditioning (Vietnam) Joint Stock Company</t>
        </is>
      </c>
      <c r="E128" s="10" t="inlineStr">
        <is>
          <t>Lương:Cạnh tranh</t>
        </is>
      </c>
      <c r="F128" s="10" t="inlineStr">
        <is>
          <t>Kiên GiangAn Giang</t>
        </is>
      </c>
      <c r="G128" s="10" t="inlineStr">
        <is>
          <t>08-04-2026</t>
        </is>
      </c>
      <c r="H128" s="10" t="inlineStr">
        <is>
          <t>08/04/2026</t>
        </is>
      </c>
      <c r="I128" s="10" t="inlineStr">
        <is>
          <t>17/03/2026</t>
        </is>
      </c>
      <c r="J128" s="10" t="inlineStr">
        <is>
          <t>Điện / Điện tử / Điện lạnh / Điện công nghiệp, Bảo trì / Sửa chữa</t>
        </is>
      </c>
      <c r="K128" s="10" t="inlineStr">
        <is>
          <t>1 - 2 Năm</t>
        </is>
      </c>
      <c r="L128" s="11">
        <f>HYPERLINK("https://careerviet.vn/vi/tim-viec-lam/phu-quoc-ky-su-ky-thuat-vien-dich-vu-sua-chua-dieu-hoa-khong-khi.35C6B675.html","Xem chi tiết")</f>
        <v/>
      </c>
      <c r="M128" s="10" t="n"/>
    </row>
    <row r="129">
      <c r="B129" s="7" t="n">
        <v>127</v>
      </c>
      <c r="C129" t="inlineStr">
        <is>
          <t>Nhân viên kinh doanh thị trường (LCB: 7-15tr + hoa hồng + phụ cấp)</t>
        </is>
      </c>
      <c r="D129" t="inlineStr">
        <is>
          <t>CÔNG TY CỔ PHẦN DATYSO VIỆT NAM</t>
        </is>
      </c>
      <c r="E129" t="inlineStr">
        <is>
          <t>Lương:7 Tr - 15 Tr VND</t>
        </is>
      </c>
      <c r="F129" t="inlineStr">
        <is>
          <t>Hà Nội</t>
        </is>
      </c>
      <c r="G129" t="inlineStr">
        <is>
          <t>20-04-2026</t>
        </is>
      </c>
      <c r="H129" t="inlineStr">
        <is>
          <t>20/04/2026</t>
        </is>
      </c>
      <c r="I129" t="inlineStr">
        <is>
          <t>17/03/2026</t>
        </is>
      </c>
      <c r="J129" t="inlineStr">
        <is>
          <t>Tốt nghiệp chuyên ngành: Marketing, QTKD, Kinh tế, kỹ thuật hoặc các ngành liên quan. Yêu cầu Giới tính: Nam/Nữ; Tối thiểu từ 6 tháng</t>
        </is>
      </c>
      <c r="K129" t="inlineStr">
        <is>
          <t>Lên đến 1 Năm</t>
        </is>
      </c>
      <c r="L129" s="8">
        <f>HYPERLINK("https://careerviet.vn/vi/tim-viec-lam/nhan-vien-kinh-doanh-thi-truong-lcb-7-15tr-hoa-hong-phu-cap.35C6B892.html","Xem chi tiết")</f>
        <v/>
      </c>
    </row>
    <row r="130">
      <c r="B130" s="9" t="n">
        <v>128</v>
      </c>
      <c r="C130" s="10" t="inlineStr">
        <is>
          <t>Service Sales Engineer/Staff</t>
        </is>
      </c>
      <c r="D130" s="10" t="inlineStr">
        <is>
          <t>Daikin Air Conditioning (Vietnam) Joint Stock Company</t>
        </is>
      </c>
      <c r="E130" s="10" t="inlineStr">
        <is>
          <t>Lương:Cạnh tranh</t>
        </is>
      </c>
      <c r="F130" s="10" t="inlineStr">
        <is>
          <t>Hồ Chí Minh</t>
        </is>
      </c>
      <c r="G130" s="10" t="inlineStr">
        <is>
          <t>08-04-2026</t>
        </is>
      </c>
      <c r="H130" s="10" t="inlineStr">
        <is>
          <t>08/04/2026</t>
        </is>
      </c>
      <c r="I130" s="10" t="inlineStr">
        <is>
          <t>17/03/2026</t>
        </is>
      </c>
      <c r="J130" s="10" t="inlineStr">
        <is>
          <t>Bán hàng / Kinh doanh, Điện / Điện tử / Điện lạnh / Điện công nghiệp, Bán Hàng Kỹ Thuật</t>
        </is>
      </c>
      <c r="K130" s="10" t="inlineStr">
        <is>
          <t>Trên 1 Năm</t>
        </is>
      </c>
      <c r="L130" s="11">
        <f>HYPERLINK("https://careerviet.vn/vi/tim-viec-lam/service-sales-engineer-staff.35C6B671.html","Xem chi tiết")</f>
        <v/>
      </c>
      <c r="M130" s="10" t="n"/>
    </row>
    <row r="131">
      <c r="B131" s="7" t="n">
        <v>129</v>
      </c>
      <c r="C131" t="inlineStr">
        <is>
          <t>Kế Toán Trưởng</t>
        </is>
      </c>
      <c r="D131" t="inlineStr">
        <is>
          <t>CÔNG TY TNHH KHÔNG GIAN EVA KGE</t>
        </is>
      </c>
      <c r="E131" t="inlineStr">
        <is>
          <t>Lương:20 Tr - 25 Tr VND</t>
        </is>
      </c>
      <c r="F131" t="inlineStr">
        <is>
          <t>Hà Nội</t>
        </is>
      </c>
      <c r="G131" t="inlineStr">
        <is>
          <t>06-04-2026</t>
        </is>
      </c>
      <c r="H131" t="inlineStr">
        <is>
          <t>06/04/2026</t>
        </is>
      </c>
      <c r="I131" t="inlineStr">
        <is>
          <t>17/03/2026</t>
        </is>
      </c>
      <c r="J131" t="inlineStr">
        <is>
          <t>N/A</t>
        </is>
      </c>
      <c r="K131" t="inlineStr">
        <is>
          <t>N/A</t>
        </is>
      </c>
      <c r="L131" s="8">
        <f>HYPERLINK("https://careerviet.vn/vi/tim-viec-lam/ke-toan-truong.35C6B534.html","Xem chi tiết")</f>
        <v/>
      </c>
    </row>
    <row r="132">
      <c r="B132" s="9" t="n">
        <v>130</v>
      </c>
      <c r="C132" s="10" t="inlineStr">
        <is>
          <t>Trưởng Phòng Thiết Kế</t>
        </is>
      </c>
      <c r="D132" s="10" t="inlineStr">
        <is>
          <t>Công ty tnhh sản xuất và thi công nội thất Hometalk</t>
        </is>
      </c>
      <c r="E132" s="10" t="inlineStr">
        <is>
          <t>Lương:15 Tr - 25 Tr VND</t>
        </is>
      </c>
      <c r="F132" s="10" t="inlineStr">
        <is>
          <t>Hồ Chí Minh</t>
        </is>
      </c>
      <c r="G132" s="10" t="inlineStr">
        <is>
          <t>09-04-2026</t>
        </is>
      </c>
      <c r="H132" s="10" t="inlineStr">
        <is>
          <t>09/04/2026</t>
        </is>
      </c>
      <c r="I132" s="10" t="inlineStr">
        <is>
          <t>17/03/2026</t>
        </is>
      </c>
      <c r="J132" s="10" t="inlineStr">
        <is>
          <t>Mỹ thuật / Nghệ thuật / Thiết kế, Kiến trúc, Nội ngoại thất</t>
        </is>
      </c>
      <c r="K132" s="10" t="inlineStr">
        <is>
          <t>Trên 1 Năm</t>
        </is>
      </c>
      <c r="L132" s="11">
        <f>HYPERLINK("https://careerviet.vn/vi/tim-viec-lam/truong-phong-thiet-ke.35C6BB04.html","Xem chi tiết")</f>
        <v/>
      </c>
      <c r="M132" s="10" t="n"/>
    </row>
    <row r="133">
      <c r="B133" s="7" t="n">
        <v>131</v>
      </c>
      <c r="C133" t="inlineStr">
        <is>
          <t>Kế toán thuế</t>
        </is>
      </c>
      <c r="D133" t="inlineStr">
        <is>
          <t>Công ty Cổ phần Đồng phục Phương Thảo</t>
        </is>
      </c>
      <c r="E133" t="inlineStr">
        <is>
          <t>Lương:15 Tr - 20 Tr VND</t>
        </is>
      </c>
      <c r="F133" t="inlineStr">
        <is>
          <t>Hà Nội</t>
        </is>
      </c>
      <c r="G133" t="inlineStr">
        <is>
          <t>31-03-2026</t>
        </is>
      </c>
      <c r="H133" t="inlineStr">
        <is>
          <t>31/03/2026</t>
        </is>
      </c>
      <c r="I133" t="inlineStr">
        <is>
          <t>17/03/2026</t>
        </is>
      </c>
      <c r="J133" t="inlineStr">
        <is>
          <t>Dệt may / Da giày / Thời trang, Kế toán / Kiểm toán</t>
        </is>
      </c>
      <c r="K133" t="inlineStr">
        <is>
          <t>2 - 3 Năm</t>
        </is>
      </c>
      <c r="L133" s="8">
        <f>HYPERLINK("https://careerviet.vn/vi/tim-viec-lam/ke-toan-thue.35C6B94F.html","Xem chi tiết")</f>
        <v/>
      </c>
    </row>
    <row r="134">
      <c r="B134" s="9" t="n">
        <v>132</v>
      </c>
      <c r="C134" s="10" t="inlineStr">
        <is>
          <t>Kỹ sư Bảo trì - sửa chữa (Bà Rịa-Vũng Tàu)</t>
        </is>
      </c>
      <c r="D134" s="10" t="inlineStr">
        <is>
          <t>Daikin Air Conditioning (Vietnam) Joint Stock Company</t>
        </is>
      </c>
      <c r="E134" s="10" t="inlineStr">
        <is>
          <t>Lương:Cạnh tranh</t>
        </is>
      </c>
      <c r="F134" s="10" t="inlineStr">
        <is>
          <t>Bà Rịa - Vũng Tàu</t>
        </is>
      </c>
      <c r="G134" s="10" t="inlineStr">
        <is>
          <t>08-04-2026</t>
        </is>
      </c>
      <c r="H134" s="10" t="inlineStr">
        <is>
          <t>08/04/2026</t>
        </is>
      </c>
      <c r="I134" s="10" t="inlineStr">
        <is>
          <t>17/03/2026</t>
        </is>
      </c>
      <c r="J134" s="10" t="inlineStr">
        <is>
          <t>Bảo trì / Sửa chữa, Điện / Điện tử / Điện lạnh / Điện công nghiệp</t>
        </is>
      </c>
      <c r="K134" s="10" t="inlineStr">
        <is>
          <t>Trên 3 Năm</t>
        </is>
      </c>
      <c r="L134" s="11">
        <f>HYPERLINK("https://careerviet.vn/vi/tim-viec-lam/ky-su-bao-tri-sua-chua-ba-ria-vung-tau.35C6B676.html","Xem chi tiết")</f>
        <v/>
      </c>
      <c r="M134" s="10" t="n"/>
    </row>
    <row r="135">
      <c r="B135" s="7" t="n">
        <v>133</v>
      </c>
      <c r="C135" t="inlineStr">
        <is>
          <t>Technical Support Engineer (Design)</t>
        </is>
      </c>
      <c r="D135" t="inlineStr">
        <is>
          <t>Daikin Air Conditioning (Vietnam) Joint Stock Company</t>
        </is>
      </c>
      <c r="E135" t="inlineStr">
        <is>
          <t>Lương:Cạnh tranh</t>
        </is>
      </c>
      <c r="F135" t="inlineStr">
        <is>
          <t>Hồ Chí Minh</t>
        </is>
      </c>
      <c r="G135" t="inlineStr">
        <is>
          <t>08-04-2026</t>
        </is>
      </c>
      <c r="H135" t="inlineStr">
        <is>
          <t>08/04/2026</t>
        </is>
      </c>
      <c r="I135" t="inlineStr">
        <is>
          <t>17/03/2026</t>
        </is>
      </c>
      <c r="J135" t="inlineStr">
        <is>
          <t>Điện / Điện tử / Điện lạnh / Điện công nghiệp, Bán Hàng Kỹ Thuật, Mỹ thuật / Nghệ thuật / Thiết kế</t>
        </is>
      </c>
      <c r="K135" t="inlineStr">
        <is>
          <t>Lên đến 1 Năm</t>
        </is>
      </c>
      <c r="L135" s="8">
        <f>HYPERLINK("https://careerviet.vn/vi/tim-viec-lam/technical-support-engineer-design.35C6B674.html","Xem chi tiết")</f>
        <v/>
      </c>
    </row>
    <row r="136">
      <c r="B136" s="9" t="n">
        <v>134</v>
      </c>
      <c r="C136" s="10" t="inlineStr">
        <is>
          <t>Nhân Viên Thiết Kế Nội Thất 3D</t>
        </is>
      </c>
      <c r="D136" s="10" t="inlineStr">
        <is>
          <t>CÔNG TY TNHH KIẾN TRÚC - NỘI THẤT S.HOUSING</t>
        </is>
      </c>
      <c r="E136" s="10" t="inlineStr">
        <is>
          <t>Lương:Cạnh tranh</t>
        </is>
      </c>
      <c r="F136" s="10" t="inlineStr">
        <is>
          <t>Hồ Chí Minh</t>
        </is>
      </c>
      <c r="G136" s="10" t="inlineStr">
        <is>
          <t>30-04-2026</t>
        </is>
      </c>
      <c r="H136" s="10" t="inlineStr">
        <is>
          <t>30/04/2026</t>
        </is>
      </c>
      <c r="I136" s="10" t="inlineStr">
        <is>
          <t>17/03/2026</t>
        </is>
      </c>
      <c r="J136" s="10" t="inlineStr">
        <is>
          <t>Xây dựng, Nội ngoại thất, Mỹ thuật / Nghệ thuật / Thiết kế</t>
        </is>
      </c>
      <c r="K136" s="10" t="inlineStr">
        <is>
          <t>2 - 5 Năm</t>
        </is>
      </c>
      <c r="L136" s="11">
        <f>HYPERLINK("https://careerviet.vn/vi/tim-viec-lam/nhan-vien-thiet-ke-noi-that-3d.35C6B525.html","Xem chi tiết")</f>
        <v/>
      </c>
      <c r="M136" s="10" t="n"/>
    </row>
    <row r="137">
      <c r="B137" s="7" t="n">
        <v>135</v>
      </c>
      <c r="C137" t="inlineStr">
        <is>
          <t>Senior Accountant (Inventory, Costing)</t>
        </is>
      </c>
      <c r="D137" t="inlineStr">
        <is>
          <t>Công ty TNHH Cung ứng Nhựa đường</t>
        </is>
      </c>
      <c r="E137" t="inlineStr">
        <is>
          <t>Lương:Cạnh tranh</t>
        </is>
      </c>
      <c r="F137" t="inlineStr">
        <is>
          <t>Hà Nội</t>
        </is>
      </c>
      <c r="G137" t="inlineStr">
        <is>
          <t>30-04-2026</t>
        </is>
      </c>
      <c r="H137" t="inlineStr">
        <is>
          <t>30/04/2026</t>
        </is>
      </c>
      <c r="I137" t="inlineStr">
        <is>
          <t>17/03/2026</t>
        </is>
      </c>
      <c r="J137" t="inlineStr">
        <is>
          <t>Kế toán / Kiểm toán, Tài chính / Đầu tư, Tư vấn</t>
        </is>
      </c>
      <c r="K137" t="inlineStr">
        <is>
          <t>2 - 5 Năm</t>
        </is>
      </c>
      <c r="L137" s="8">
        <f>HYPERLINK("https://careerviet.vn/vi/tim-viec-lam/senior-accountant-inventory-costing.35C6B470.html","Xem chi tiết")</f>
        <v/>
      </c>
    </row>
    <row r="138">
      <c r="B138" s="9" t="n">
        <v>136</v>
      </c>
      <c r="C138" s="10" t="inlineStr">
        <is>
          <t>[HCM] Project Sales Engineer (HVAC background)</t>
        </is>
      </c>
      <c r="D138" s="10" t="inlineStr">
        <is>
          <t>Daikin Air Conditioning (Vietnam) Joint Stock Company</t>
        </is>
      </c>
      <c r="E138" s="10" t="inlineStr">
        <is>
          <t>Lương:Cạnh tranh</t>
        </is>
      </c>
      <c r="F138" s="10" t="inlineStr">
        <is>
          <t>Hồ Chí Minh</t>
        </is>
      </c>
      <c r="G138" s="10" t="inlineStr">
        <is>
          <t>08-04-2026</t>
        </is>
      </c>
      <c r="H138" s="10" t="inlineStr">
        <is>
          <t>08/04/2026</t>
        </is>
      </c>
      <c r="I138" s="10" t="inlineStr">
        <is>
          <t>17/03/2026</t>
        </is>
      </c>
      <c r="J138" s="10" t="inlineStr">
        <is>
          <t>Điện / Điện tử / Điện lạnh / Điện công nghiệp, Bán hàng / Kinh doanh, Bán Hàng Kỹ Thuật</t>
        </is>
      </c>
      <c r="K138" s="10" t="inlineStr">
        <is>
          <t>Trên 2 Năm</t>
        </is>
      </c>
      <c r="L138" s="11">
        <f>HYPERLINK("https://careerviet.vn/vi/tim-viec-lam/hcm-project-sales-engineer-hvac-background.35C6B673.html","Xem chi tiết")</f>
        <v/>
      </c>
      <c r="M138" s="10" t="n"/>
    </row>
    <row r="139">
      <c r="B139" s="7" t="n">
        <v>137</v>
      </c>
      <c r="C139" t="inlineStr">
        <is>
          <t>Makeup Trainer</t>
        </is>
      </c>
      <c r="D139" t="inlineStr">
        <is>
          <t>CÔNG TY TNHH AN HẢI VN</t>
        </is>
      </c>
      <c r="E139" t="inlineStr">
        <is>
          <t>Lương:Cạnh tranh</t>
        </is>
      </c>
      <c r="F139" t="inlineStr">
        <is>
          <t>Hồ Chí Minh</t>
        </is>
      </c>
      <c r="G139" t="inlineStr">
        <is>
          <t>05-04-2026</t>
        </is>
      </c>
      <c r="H139" t="inlineStr">
        <is>
          <t>05/04/2026</t>
        </is>
      </c>
      <c r="I139" t="inlineStr">
        <is>
          <t>17/03/2026</t>
        </is>
      </c>
      <c r="J139" t="inlineStr">
        <is>
          <t>Giáo dục / Đào tạo, Y tế / Chăm sóc sức khỏe / Thẩm mỹ / Làm đẹp, Mỹ thuật / Nghệ thuật / Thiết kế</t>
        </is>
      </c>
      <c r="K139" t="inlineStr">
        <is>
          <t>1 - 5 Năm</t>
        </is>
      </c>
      <c r="L139" s="8">
        <f>HYPERLINK("https://careerviet.vn/vi/tim-viec-lam/makeup-trainer.35C6B467.html","Xem chi tiết")</f>
        <v/>
      </c>
    </row>
    <row r="140">
      <c r="B140" s="9" t="n">
        <v>138</v>
      </c>
      <c r="C140" s="10" t="inlineStr">
        <is>
          <t>Trợ lý Tổng Giám Đốc</t>
        </is>
      </c>
      <c r="D140" s="10" t="inlineStr">
        <is>
          <t>Công ty Cổ phần Đầu tư Asia Dragon</t>
        </is>
      </c>
      <c r="E140" s="10" t="inlineStr">
        <is>
          <t>Lương:25 Tr - 50 Tr VND</t>
        </is>
      </c>
      <c r="F140" s="10" t="inlineStr">
        <is>
          <t>Hồ Chí Minh</t>
        </is>
      </c>
      <c r="G140" s="10" t="inlineStr">
        <is>
          <t>08-04-2026</t>
        </is>
      </c>
      <c r="H140" s="10" t="inlineStr">
        <is>
          <t>08/04/2026</t>
        </is>
      </c>
      <c r="I140" s="10" t="inlineStr">
        <is>
          <t>17/03/2026</t>
        </is>
      </c>
      <c r="J140" s="10" t="inlineStr">
        <is>
          <t>Hành chính / Thư ký, Sản xuất / Vận hành sản xuất</t>
        </is>
      </c>
      <c r="K140" s="10" t="inlineStr">
        <is>
          <t>3 - 5 Năm</t>
        </is>
      </c>
      <c r="L140" s="11">
        <f>HYPERLINK("https://careerviet.vn/vi/tim-viec-lam/tro-ly-tong-giam-doc.35C6B679.html","Xem chi tiết")</f>
        <v/>
      </c>
      <c r="M140" s="10" t="n"/>
    </row>
    <row r="141">
      <c r="B141" s="7" t="n">
        <v>139</v>
      </c>
      <c r="C141" t="inlineStr">
        <is>
          <t>Chuyên viên Nhân sự (C&amp;B &amp; Tuyển dụng)</t>
        </is>
      </c>
      <c r="D141" t="inlineStr">
        <is>
          <t>CÔNG TY CỔ PHẦN TẬP ĐOÀN THIÊN KHÔI – CHI NHÁNH HỒ CHÍ MINH</t>
        </is>
      </c>
      <c r="E141" t="inlineStr">
        <is>
          <t>Lương:15 Tr - 17 Tr VND</t>
        </is>
      </c>
      <c r="F141" t="inlineStr">
        <is>
          <t>Hồ Chí Minh</t>
        </is>
      </c>
      <c r="G141" t="inlineStr">
        <is>
          <t>31-03-2026</t>
        </is>
      </c>
      <c r="H141" t="inlineStr">
        <is>
          <t>31/03/2026</t>
        </is>
      </c>
      <c r="I141" t="inlineStr">
        <is>
          <t>17/03/2026</t>
        </is>
      </c>
      <c r="J141" t="inlineStr">
        <is>
          <t>Nhân sự, Bất động sản, Luật / Pháp lý</t>
        </is>
      </c>
      <c r="K141" t="inlineStr">
        <is>
          <t>3 - 5 Năm</t>
        </is>
      </c>
      <c r="L141" s="8">
        <f>HYPERLINK("https://careerviet.vn/vi/tim-viec-lam/chuyen-vien-nhan-su-c-b-tuyen-dung.35C6B486.html","Xem chi tiết")</f>
        <v/>
      </c>
    </row>
    <row r="142">
      <c r="B142" s="9" t="n">
        <v>140</v>
      </c>
      <c r="C142" s="10" t="inlineStr">
        <is>
          <t>Tổ Trưởng Sản Xuất</t>
        </is>
      </c>
      <c r="D142" s="10" t="inlineStr">
        <is>
          <t>Công ty Cổ phần Đầu tư Asia Dragon</t>
        </is>
      </c>
      <c r="E142" s="10" t="inlineStr">
        <is>
          <t>Lương:12 Tr - 16 Tr VND</t>
        </is>
      </c>
      <c r="F142" s="10" t="inlineStr">
        <is>
          <t>Hồ Chí Minh</t>
        </is>
      </c>
      <c r="G142" s="10" t="inlineStr">
        <is>
          <t>08-04-2026</t>
        </is>
      </c>
      <c r="H142" s="10" t="inlineStr">
        <is>
          <t>08/04/2026</t>
        </is>
      </c>
      <c r="I142" s="10" t="inlineStr">
        <is>
          <t>17/03/2026</t>
        </is>
      </c>
      <c r="J142" s="10" t="inlineStr">
        <is>
          <t>Sản xuất / Vận hành sản xuất, Cơ khí / Ô tô / Tự động hóa</t>
        </is>
      </c>
      <c r="K142" s="10" t="inlineStr">
        <is>
          <t>2 - 3 Năm</t>
        </is>
      </c>
      <c r="L142" s="11">
        <f>HYPERLINK("https://careerviet.vn/vi/tim-viec-lam/to-truong-san-xuat.35C6B678.html","Xem chi tiết")</f>
        <v/>
      </c>
      <c r="M142" s="10" t="n"/>
    </row>
    <row r="143">
      <c r="B143" s="7" t="n">
        <v>141</v>
      </c>
      <c r="C143" t="inlineStr">
        <is>
          <t>Chuyên Viên Thầu Phụ</t>
        </is>
      </c>
      <c r="D143" t="inlineStr">
        <is>
          <t>CÔNG TY CỔ PHẦN XÂY DỰNG WORLD STEEL</t>
        </is>
      </c>
      <c r="E143" t="inlineStr">
        <is>
          <t>Lương:Cạnh tranh</t>
        </is>
      </c>
      <c r="F143" t="inlineStr">
        <is>
          <t>Hồ Chí Minh</t>
        </is>
      </c>
      <c r="G143" t="inlineStr">
        <is>
          <t>05-04-2026</t>
        </is>
      </c>
      <c r="H143" t="inlineStr">
        <is>
          <t>05/04/2026</t>
        </is>
      </c>
      <c r="I143" t="inlineStr">
        <is>
          <t>17/03/2026</t>
        </is>
      </c>
      <c r="J143" t="inlineStr">
        <is>
          <t>Tài chính / Đầu tư, Kiến trúc, Xây dựng</t>
        </is>
      </c>
      <c r="K143" t="inlineStr">
        <is>
          <t>2 - 3 Năm</t>
        </is>
      </c>
      <c r="L143" s="8">
        <f>HYPERLINK("https://careerviet.vn/vi/tim-viec-lam/chuyen-vien-thau-phu.35C6B266.html","Xem chi tiết")</f>
        <v/>
      </c>
    </row>
    <row r="144">
      <c r="B144" s="9" t="n">
        <v>142</v>
      </c>
      <c r="C144" s="10" t="inlineStr">
        <is>
          <t>Nhân viên Tiếp tân</t>
        </is>
      </c>
      <c r="D144" s="10" t="inlineStr">
        <is>
          <t>Công Ty TNHH DV Trợ Thính Quang Đức</t>
        </is>
      </c>
      <c r="E144" s="10" t="inlineStr">
        <is>
          <t>Lương:Cạnh tranh</t>
        </is>
      </c>
      <c r="F144" s="10" t="inlineStr">
        <is>
          <t>Hà Nội</t>
        </is>
      </c>
      <c r="G144" s="10" t="inlineStr">
        <is>
          <t>06-04-2026</t>
        </is>
      </c>
      <c r="H144" s="10" t="inlineStr">
        <is>
          <t>06/04/2026</t>
        </is>
      </c>
      <c r="I144" s="10" t="inlineStr">
        <is>
          <t>17/03/2026</t>
        </is>
      </c>
      <c r="J144" s="10" t="inlineStr">
        <is>
          <t>Bán hàng / Kinh doanh, Hành chính / Thư ký, Bán lẻ / Bán sỉ</t>
        </is>
      </c>
      <c r="K144" s="10" t="inlineStr">
        <is>
          <t>1 - 2 Năm</t>
        </is>
      </c>
      <c r="L144" s="11">
        <f>HYPERLINK("https://careerviet.vn/vi/tim-viec-lam/nhan-vien-tiep-tan.35C6B462.html","Xem chi tiết")</f>
        <v/>
      </c>
      <c r="M144" s="10" t="n"/>
    </row>
    <row r="145">
      <c r="B145" s="7" t="n">
        <v>143</v>
      </c>
      <c r="C145" t="inlineStr">
        <is>
          <t>Kỹ Sư Cloud/AI - Cloud Engineer</t>
        </is>
      </c>
      <c r="D145" t="inlineStr">
        <is>
          <t>Công ty Cổ phần Viễn thông - Tin học Bưu điện</t>
        </is>
      </c>
      <c r="E145" t="inlineStr">
        <is>
          <t>Lương:Cạnh tranh</t>
        </is>
      </c>
      <c r="F145" t="inlineStr">
        <is>
          <t>Hà Nội</t>
        </is>
      </c>
      <c r="G145" t="inlineStr">
        <is>
          <t>09-04-2026</t>
        </is>
      </c>
      <c r="H145" t="inlineStr">
        <is>
          <t>09/04/2026</t>
        </is>
      </c>
      <c r="I145" t="inlineStr">
        <is>
          <t>17/03/2026</t>
        </is>
      </c>
      <c r="J145" t="inlineStr">
        <is>
          <t>CNTT - Phần cứng / Mạng, CNTT - Phần mềm, Hành chính / Thư ký</t>
        </is>
      </c>
      <c r="K145" t="inlineStr">
        <is>
          <t>Trên 5 Năm</t>
        </is>
      </c>
      <c r="L145" s="8">
        <f>HYPERLINK("https://careerviet.vn/vi/tim-viec-lam/ky-su-cloud-ai-cloud-engineer.35C6BCA7.html","Xem chi tiết")</f>
        <v/>
      </c>
    </row>
    <row r="146">
      <c r="B146" s="9" t="n">
        <v>144</v>
      </c>
      <c r="C146" s="10" t="inlineStr">
        <is>
          <t>Kiến Trúc Sư</t>
        </is>
      </c>
      <c r="D146" s="10" t="inlineStr">
        <is>
          <t>CÔNG TY CỔ PHẦN THIẾT KẾ VÀ XÂY DỰNG ONECONS</t>
        </is>
      </c>
      <c r="E146" s="10" t="inlineStr">
        <is>
          <t>Lương:17 Tr - 27 Tr VND</t>
        </is>
      </c>
      <c r="F146" s="10" t="inlineStr">
        <is>
          <t>Hồ Chí Minh</t>
        </is>
      </c>
      <c r="G146" s="10" t="inlineStr">
        <is>
          <t>05-04-2026</t>
        </is>
      </c>
      <c r="H146" s="10" t="inlineStr">
        <is>
          <t>05/04/2026</t>
        </is>
      </c>
      <c r="I146" s="10" t="inlineStr">
        <is>
          <t>17/03/2026</t>
        </is>
      </c>
      <c r="J146" s="10" t="inlineStr">
        <is>
          <t>Kiến trúc, Xây dựng, Bất động sản</t>
        </is>
      </c>
      <c r="K146" s="10" t="inlineStr">
        <is>
          <t>Trên 3 Năm</t>
        </is>
      </c>
      <c r="L146" s="11">
        <f>HYPERLINK("https://careerviet.vn/vi/tim-viec-lam/kien-truc-su.35C6B3CB.html","Xem chi tiết")</f>
        <v/>
      </c>
      <c r="M146" s="10" t="n"/>
    </row>
    <row r="147">
      <c r="B147" s="7" t="n">
        <v>145</v>
      </c>
      <c r="C147" t="inlineStr">
        <is>
          <t>Giám Sát Hệ Thống Điện</t>
        </is>
      </c>
      <c r="D147" t="inlineStr">
        <is>
          <t>CÔNG TY TNHH ĐẦU TƯ CHUYỂN GIAO CÔNG NGHỆ TOÀN CẦU</t>
        </is>
      </c>
      <c r="E147" t="inlineStr">
        <is>
          <t>Lương:12 Tr - 25 Tr VND</t>
        </is>
      </c>
      <c r="F147" t="inlineStr">
        <is>
          <t>Hồ Chí MinhĐồng NaiBình Dương</t>
        </is>
      </c>
      <c r="G147" t="inlineStr">
        <is>
          <t>09-04-2026</t>
        </is>
      </c>
      <c r="H147" t="inlineStr">
        <is>
          <t>09/04/2026</t>
        </is>
      </c>
      <c r="I147" t="inlineStr">
        <is>
          <t>17/03/2026</t>
        </is>
      </c>
      <c r="J147" t="inlineStr">
        <is>
          <t>Điện / Điện tử / Điện lạnh / Điện công nghiệp, Cơ khí / Ô tô / Tự động hóa, Xây dựng</t>
        </is>
      </c>
      <c r="K147" t="inlineStr">
        <is>
          <t>3 - 5 Năm</t>
        </is>
      </c>
      <c r="L147" s="8">
        <f>HYPERLINK("https://careerviet.vn/vi/tim-viec-lam/giam-sat-he-thong-dien.35C6BDFD.html","Xem chi tiết")</f>
        <v/>
      </c>
    </row>
    <row r="148">
      <c r="B148" s="9" t="n">
        <v>146</v>
      </c>
      <c r="C148" s="10" t="inlineStr">
        <is>
          <t>Receptionist cum Admin Executive</t>
        </is>
      </c>
      <c r="D148" s="10" t="inlineStr">
        <is>
          <t>CÔNG TY CỔ PHẦN PCM</t>
        </is>
      </c>
      <c r="E148" s="10" t="inlineStr">
        <is>
          <t>Lương:Cạnh tranh</t>
        </is>
      </c>
      <c r="F148" s="10" t="inlineStr">
        <is>
          <t>Hồ Chí Minh</t>
        </is>
      </c>
      <c r="G148" s="10" t="inlineStr">
        <is>
          <t>05-04-2026</t>
        </is>
      </c>
      <c r="H148" s="10" t="inlineStr">
        <is>
          <t>05/04/2026</t>
        </is>
      </c>
      <c r="I148" s="10" t="inlineStr">
        <is>
          <t>17/03/2026</t>
        </is>
      </c>
      <c r="J148" s="10" t="inlineStr">
        <is>
          <t>Dịch vụ khách hàng, Hành chính / Thư ký</t>
        </is>
      </c>
      <c r="K148" s="10" t="inlineStr">
        <is>
          <t>Lên đến 1 Năm</t>
        </is>
      </c>
      <c r="L148" s="11">
        <f>HYPERLINK("https://careerviet.vn/vi/tim-viec-lam/receptionist-cum-admin-executive.35C6B2C2.html","Xem chi tiết")</f>
        <v/>
      </c>
      <c r="M148" s="10" t="n"/>
    </row>
    <row r="149">
      <c r="B149" s="7" t="n">
        <v>147</v>
      </c>
      <c r="C149" t="inlineStr">
        <is>
          <t>Giám Sát Bán Hàng - Tây Ninh</t>
        </is>
      </c>
      <c r="D149" t="inlineStr">
        <is>
          <t>Coca-Cola Beverages Vietnam</t>
        </is>
      </c>
      <c r="E149" t="inlineStr">
        <is>
          <t>Lương:Cạnh tranh</t>
        </is>
      </c>
      <c r="F149" t="inlineStr">
        <is>
          <t>Tây Ninh</t>
        </is>
      </c>
      <c r="G149" t="inlineStr">
        <is>
          <t>30-04-2026</t>
        </is>
      </c>
      <c r="H149" t="inlineStr">
        <is>
          <t>30/04/2026</t>
        </is>
      </c>
      <c r="I149" t="inlineStr">
        <is>
          <t>17/03/2026</t>
        </is>
      </c>
      <c r="J149" t="inlineStr">
        <is>
          <t>Bán lẻ / Bán sỉ, Bán hàng / Kinh doanh</t>
        </is>
      </c>
      <c r="K149" t="inlineStr">
        <is>
          <t>1 - 10 Năm</t>
        </is>
      </c>
      <c r="L149" s="8">
        <f>HYPERLINK("https://careerviet.vn/vi/tim-viec-lam/giam-sat-ban-hang-tay-ninh.35C6B454.html","Xem chi tiết")</f>
        <v/>
      </c>
    </row>
    <row r="150">
      <c r="B150" s="9" t="n">
        <v>148</v>
      </c>
      <c r="C150" s="10" t="inlineStr">
        <is>
          <t>Sales Engineer/Kỹ Sư Bán Hàng (Bình Dương)</t>
        </is>
      </c>
      <c r="D150" s="10" t="inlineStr">
        <is>
          <t>Daikin Air Conditioning (Vietnam) Joint Stock Company</t>
        </is>
      </c>
      <c r="E150" s="10" t="inlineStr">
        <is>
          <t>Lương:Cạnh tranh</t>
        </is>
      </c>
      <c r="F150" s="10" t="inlineStr">
        <is>
          <t>Bình Dương</t>
        </is>
      </c>
      <c r="G150" s="10" t="inlineStr">
        <is>
          <t>08-04-2026</t>
        </is>
      </c>
      <c r="H150" s="10" t="inlineStr">
        <is>
          <t>08/04/2026</t>
        </is>
      </c>
      <c r="I150" s="10" t="inlineStr">
        <is>
          <t>17/03/2026</t>
        </is>
      </c>
      <c r="J150" s="10" t="inlineStr">
        <is>
          <t>Bán hàng / Kinh doanh, Bán Hàng Kỹ Thuật, Điện / Điện tử / Điện lạnh / Điện công nghiệp</t>
        </is>
      </c>
      <c r="K150" s="10" t="inlineStr">
        <is>
          <t>1 - 3 Năm</t>
        </is>
      </c>
      <c r="L150" s="11">
        <f>HYPERLINK("https://careerviet.vn/vi/tim-viec-lam/sales-engineer-ky-su-ban-hang-binh-duong.35C6B66F.html","Xem chi tiết")</f>
        <v/>
      </c>
      <c r="M150" s="10" t="n"/>
    </row>
    <row r="151">
      <c r="B151" s="7" t="n">
        <v>149</v>
      </c>
      <c r="C151" t="inlineStr">
        <is>
          <t>GIÁM ĐỐC DỰ ÁN KHU VỰC MIỀN TRUNG &amp; MIỀN BẮC</t>
        </is>
      </c>
      <c r="D151" t="inlineStr">
        <is>
          <t>Công Ty TNHH Xây Dựng và Nội Thất Cao Cấp Alliance</t>
        </is>
      </c>
      <c r="E151" t="inlineStr">
        <is>
          <t>Lương:Cạnh tranh</t>
        </is>
      </c>
      <c r="F151" t="inlineStr">
        <is>
          <t>Hà NộiĐà Nẵng</t>
        </is>
      </c>
      <c r="G151" t="inlineStr">
        <is>
          <t>15-04-2026</t>
        </is>
      </c>
      <c r="H151" t="inlineStr">
        <is>
          <t>15/04/2026</t>
        </is>
      </c>
      <c r="I151" t="inlineStr">
        <is>
          <t>17/03/2026</t>
        </is>
      </c>
      <c r="J151" t="inlineStr">
        <is>
          <t>Xây dựng, Nội ngoại thất, Quản lý điều hành</t>
        </is>
      </c>
      <c r="K151" t="inlineStr">
        <is>
          <t>5 - 15 Năm</t>
        </is>
      </c>
      <c r="L151" s="8">
        <f>HYPERLINK("https://careerviet.vn/vi/tim-viec-lam/giam-doc-du-an-khu-vuc-mien-trung-mien-bac.35C6BAAD.html","Xem chi tiết")</f>
        <v/>
      </c>
    </row>
    <row r="152">
      <c r="B152" s="9" t="n">
        <v>150</v>
      </c>
      <c r="C152" s="10" t="inlineStr">
        <is>
          <t>Chuyên viên Kế toán quản trị</t>
        </is>
      </c>
      <c r="D152" s="10" t="inlineStr">
        <is>
          <t>Công Ty Cổ Phần Bột - Thực Phẩm Tài Ký</t>
        </is>
      </c>
      <c r="E152" s="10" t="inlineStr">
        <is>
          <t>Lương:Cạnh tranh</t>
        </is>
      </c>
      <c r="F152" s="10" t="inlineStr">
        <is>
          <t>Hồ Chí Minh</t>
        </is>
      </c>
      <c r="G152" s="10" t="inlineStr">
        <is>
          <t>31-03-2026</t>
        </is>
      </c>
      <c r="H152" s="10" t="inlineStr">
        <is>
          <t>31/03/2026</t>
        </is>
      </c>
      <c r="I152" s="10" t="inlineStr">
        <is>
          <t>17/03/2026</t>
        </is>
      </c>
      <c r="J152" s="10" t="inlineStr">
        <is>
          <t>Tài chính / Đầu tư, Kế toán / Kiểm toán</t>
        </is>
      </c>
      <c r="K152" s="10" t="inlineStr">
        <is>
          <t>2 - 5 Năm</t>
        </is>
      </c>
      <c r="L152" s="11">
        <f>HYPERLINK("https://careerviet.vn/vi/tim-viec-lam/chuyen-vien-ke-toan-quan-tri.35C6B3F8.html","Xem chi tiết")</f>
        <v/>
      </c>
      <c r="M152" s="10" t="n"/>
    </row>
    <row r="153">
      <c r="B153" s="7" t="n">
        <v>151</v>
      </c>
      <c r="C153" t="inlineStr">
        <is>
          <t>Nhân Viên Kinh Doanh</t>
        </is>
      </c>
      <c r="D153" t="inlineStr">
        <is>
          <t>CÔNG TY TNHH SELLUP BY TECHPRO</t>
        </is>
      </c>
      <c r="E153" t="inlineStr">
        <is>
          <t>Lương:Cạnh tranh</t>
        </is>
      </c>
      <c r="F153" t="inlineStr">
        <is>
          <t>Hồ Chí Minh</t>
        </is>
      </c>
      <c r="G153" t="inlineStr">
        <is>
          <t>05-04-2026</t>
        </is>
      </c>
      <c r="H153" t="inlineStr">
        <is>
          <t>05/04/2026</t>
        </is>
      </c>
      <c r="I153" t="inlineStr">
        <is>
          <t>17/03/2026</t>
        </is>
      </c>
      <c r="J153" t="inlineStr">
        <is>
          <t>Bán hàng / Kinh doanh, Tiếp thị / Marketing, Quảng cáo / Đối ngoại / Truyền Thông</t>
        </is>
      </c>
      <c r="K153" t="inlineStr">
        <is>
          <t>Trên 1 Năm</t>
        </is>
      </c>
      <c r="L153" s="8">
        <f>HYPERLINK("https://careerviet.vn/vi/tim-viec-lam/nhan-vien-kinh-doanh.35C6B24E.html","Xem chi tiết")</f>
        <v/>
      </c>
    </row>
    <row r="154">
      <c r="B154" s="9" t="n">
        <v>152</v>
      </c>
      <c r="C154" s="10" t="inlineStr">
        <is>
          <t>[JHN0037789] Phụ trách/ Giám sát Kế toán nhà máy QN - Accounting Supervisor</t>
        </is>
      </c>
      <c r="D154" s="10" t="inlineStr">
        <is>
          <t>Iconic Co.,Ltd</t>
        </is>
      </c>
      <c r="E154" s="10" t="inlineStr">
        <is>
          <t>Lương:Cạnh tranh</t>
        </is>
      </c>
      <c r="F154" s="10" t="inlineStr">
        <is>
          <t>Quảng Ninh</t>
        </is>
      </c>
      <c r="G154" s="10" t="inlineStr">
        <is>
          <t>30-04-2026</t>
        </is>
      </c>
      <c r="H154" s="10" t="inlineStr">
        <is>
          <t>30/04/2026</t>
        </is>
      </c>
      <c r="I154" s="10" t="inlineStr">
        <is>
          <t>17/03/2026</t>
        </is>
      </c>
      <c r="J154" s="10" t="inlineStr">
        <is>
          <t>Kế toán / Kiểm toán, Sản xuất / Vận hành sản xuất</t>
        </is>
      </c>
      <c r="K154" s="10" t="inlineStr">
        <is>
          <t>Trên 1 Năm</t>
        </is>
      </c>
      <c r="L154" s="11">
        <f>HYPERLINK("https://careerviet.vn/vi/tim-viec-lam/jhn0037789-phu-trach-giam-sat-ke-toan-nha-may-qn-accounting-supervisor.35C6BB22.html","Xem chi tiết")</f>
        <v/>
      </c>
      <c r="M154" s="10" t="n"/>
    </row>
    <row r="155">
      <c r="B155" s="7" t="n">
        <v>153</v>
      </c>
      <c r="C155" t="inlineStr">
        <is>
          <t>Finance Business Partner Supervisor</t>
        </is>
      </c>
      <c r="D155" t="inlineStr">
        <is>
          <t>Công Ty Hoàng An Nhiên</t>
        </is>
      </c>
      <c r="E155" t="inlineStr">
        <is>
          <t>Lương:Cạnh tranh</t>
        </is>
      </c>
      <c r="F155" t="inlineStr">
        <is>
          <t>Hồ Chí Minh</t>
        </is>
      </c>
      <c r="G155" t="inlineStr">
        <is>
          <t>30-04-2026</t>
        </is>
      </c>
      <c r="H155" t="inlineStr">
        <is>
          <t>30/04/2026</t>
        </is>
      </c>
      <c r="I155" t="inlineStr">
        <is>
          <t>17/03/2026</t>
        </is>
      </c>
      <c r="J155" t="inlineStr">
        <is>
          <t>Bán lẻ / Bán sỉ, Tài chính / Đầu tư</t>
        </is>
      </c>
      <c r="K155" t="inlineStr">
        <is>
          <t>5 - 6 Năm</t>
        </is>
      </c>
      <c r="L155" s="8">
        <f>HYPERLINK("https://careerviet.vn/vi/tim-viec-lam/finance-business-partner-supervisor.35C6BCEB.html","Xem chi tiết")</f>
        <v/>
      </c>
    </row>
    <row r="156">
      <c r="B156" s="9" t="n">
        <v>154</v>
      </c>
      <c r="C156" s="10" t="inlineStr">
        <is>
          <t>Nhân Viên Thủ Kho - Không Yêu Cầu Kinh Nghiệm</t>
        </is>
      </c>
      <c r="D156" s="10" t="inlineStr">
        <is>
          <t>Công Ty TNHH Tập Đoàn Rita Võ</t>
        </is>
      </c>
      <c r="E156" s="10" t="inlineStr">
        <is>
          <t>Lương:8 Tr - 9 Tr VND</t>
        </is>
      </c>
      <c r="F156" s="10" t="inlineStr">
        <is>
          <t>Hải Phòng</t>
        </is>
      </c>
      <c r="G156" s="10" t="inlineStr">
        <is>
          <t>10-04-2026</t>
        </is>
      </c>
      <c r="H156" s="10" t="inlineStr">
        <is>
          <t>10/04/2026</t>
        </is>
      </c>
      <c r="I156" s="10" t="inlineStr">
        <is>
          <t>17/03/2026</t>
        </is>
      </c>
      <c r="J156" s="10" t="inlineStr">
        <is>
          <t>Hành chính / Thư ký, Kế toán / Kiểm toán, Vận chuyển / Giao nhận / Kho vận</t>
        </is>
      </c>
      <c r="K156" s="10" t="inlineStr">
        <is>
          <t>N/A</t>
        </is>
      </c>
      <c r="L156" s="11">
        <f>HYPERLINK("https://careerviet.vn/vi/tim-viec-lam/nhan-vien-thu-kho-khong-yeu-cau-kinh-nghiem.35C6BA9C.html","Xem chi tiết")</f>
        <v/>
      </c>
      <c r="M156" s="10" t="n"/>
    </row>
    <row r="157">
      <c r="B157" s="7" t="n">
        <v>155</v>
      </c>
      <c r="C157" t="inlineStr">
        <is>
          <t>Nhân viên tổng vụ</t>
        </is>
      </c>
      <c r="D157" t="inlineStr">
        <is>
          <t>CÔNG TY TNHH KCC (VIỆT NAM NHƠN TRẠCH)</t>
        </is>
      </c>
      <c r="E157" t="inlineStr">
        <is>
          <t>Lương:18 Tr - 20 Tr VND</t>
        </is>
      </c>
      <c r="F157" t="inlineStr">
        <is>
          <t>Đồng Nai</t>
        </is>
      </c>
      <c r="G157" t="inlineStr">
        <is>
          <t>01-05-2026</t>
        </is>
      </c>
      <c r="H157" t="inlineStr">
        <is>
          <t>01/05/2026</t>
        </is>
      </c>
      <c r="I157" t="inlineStr">
        <is>
          <t>17/03/2026</t>
        </is>
      </c>
      <c r="J157" t="inlineStr">
        <is>
          <t>Nhân sự, Biên phiên dịch</t>
        </is>
      </c>
      <c r="K157" t="inlineStr">
        <is>
          <t>1 - 10 Năm</t>
        </is>
      </c>
      <c r="L157" s="8">
        <f>HYPERLINK("https://careerviet.vn/vi/tim-viec-lam/nhan-vien-tong-vu.35C6BB6C.html","Xem chi tiết")</f>
        <v/>
      </c>
    </row>
    <row r="158">
      <c r="B158" s="9" t="n">
        <v>156</v>
      </c>
      <c r="C158" s="10" t="inlineStr">
        <is>
          <t>Sales/ Business Developement (Ecommerce - Thương Mại Điện Tử)</t>
        </is>
      </c>
      <c r="D158" s="10" t="inlineStr">
        <is>
          <t>Công ty Cổ phần Công nghệ UpBase</t>
        </is>
      </c>
      <c r="E158" s="10" t="inlineStr">
        <is>
          <t>Lương:20 Tr - 40 Tr VND</t>
        </is>
      </c>
      <c r="F158" s="10" t="inlineStr">
        <is>
          <t>Hà Nội</t>
        </is>
      </c>
      <c r="G158" s="10" t="inlineStr">
        <is>
          <t>30-04-2026</t>
        </is>
      </c>
      <c r="H158" s="10" t="inlineStr">
        <is>
          <t>30/04/2026</t>
        </is>
      </c>
      <c r="I158" s="10" t="inlineStr">
        <is>
          <t>17/03/2026</t>
        </is>
      </c>
      <c r="J158" s="10" t="inlineStr">
        <is>
          <t>Tiếp thị / Marketing, Bán hàng / Kinh doanh, Thương mại điện tử</t>
        </is>
      </c>
      <c r="K158" s="10" t="inlineStr">
        <is>
          <t>3 - 5 Năm</t>
        </is>
      </c>
      <c r="L158" s="11">
        <f>HYPERLINK("https://careerviet.vn/vi/tim-viec-lam/sales-business-developement-ecommerce-thuong-mai-dien-tu.35C6BD78.html","Xem chi tiết")</f>
        <v/>
      </c>
      <c r="M158" s="10" t="n"/>
    </row>
    <row r="159">
      <c r="B159" s="7" t="n">
        <v>157</v>
      </c>
      <c r="C159" t="inlineStr">
        <is>
          <t>Brand &amp; Communications Manager</t>
        </is>
      </c>
      <c r="D159" t="inlineStr">
        <is>
          <t>Công Ty TNHH Map Pacific Singapore</t>
        </is>
      </c>
      <c r="E159" t="inlineStr">
        <is>
          <t>Lương:Cạnh tranh</t>
        </is>
      </c>
      <c r="F159" t="inlineStr">
        <is>
          <t>Đồng Nai</t>
        </is>
      </c>
      <c r="G159" t="inlineStr">
        <is>
          <t>30-04-2026</t>
        </is>
      </c>
      <c r="H159" t="inlineStr">
        <is>
          <t>30/04/2026</t>
        </is>
      </c>
      <c r="I159" t="inlineStr">
        <is>
          <t>17/03/2026</t>
        </is>
      </c>
      <c r="J159" t="inlineStr">
        <is>
          <t>Tiếp thị / Marketing, Quảng cáo / Đối ngoại / Truyền Thông</t>
        </is>
      </c>
      <c r="K159" t="inlineStr">
        <is>
          <t>3 - 10 Năm</t>
        </is>
      </c>
      <c r="L159" s="8">
        <f>HYPERLINK("https://careerviet.vn/vi/tim-viec-lam/brand-communications-manager.35C6BC1B.html","Xem chi tiết")</f>
        <v/>
      </c>
    </row>
    <row r="160">
      <c r="B160" s="9" t="n">
        <v>158</v>
      </c>
      <c r="C160" s="10" t="inlineStr">
        <is>
          <t>Nhân viên hành chính phòng Kế hoạch tổng hợp</t>
        </is>
      </c>
      <c r="D160" s="10" t="inlineStr">
        <is>
          <t>CÔNG TY TNHH ĐẦU TƯ Y TẾ QUỐC TẾ DND – SÀI GÒN</t>
        </is>
      </c>
      <c r="E160" s="10" t="inlineStr">
        <is>
          <t>Lương:Cạnh tranh</t>
        </is>
      </c>
      <c r="F160" s="10" t="inlineStr">
        <is>
          <t>Hà Nội</t>
        </is>
      </c>
      <c r="G160" s="10" t="inlineStr">
        <is>
          <t>02-04-2026</t>
        </is>
      </c>
      <c r="H160" s="10" t="inlineStr">
        <is>
          <t>02/04/2026</t>
        </is>
      </c>
      <c r="I160" s="10" t="inlineStr">
        <is>
          <t>17/03/2026</t>
        </is>
      </c>
      <c r="J160" s="10" t="inlineStr">
        <is>
          <t>Y tế / Chăm sóc sức khỏe / Thẩm mỹ / Làm đẹp, Hành chính / Thư ký, Thống kê</t>
        </is>
      </c>
      <c r="K160" s="10" t="inlineStr">
        <is>
          <t>1 - 2 Năm</t>
        </is>
      </c>
      <c r="L160" s="11">
        <f>HYPERLINK("https://careerviet.vn/vi/tim-viec-lam/nhan-vien-hanh-chinh-phong-ke-hoach-tong-hop.35C6BB27.html","Xem chi tiết")</f>
        <v/>
      </c>
      <c r="M160" s="10" t="n"/>
    </row>
    <row r="161">
      <c r="B161" s="7" t="n">
        <v>159</v>
      </c>
      <c r="C161" t="inlineStr">
        <is>
          <t>Trợ lý giám đốc vận hành (Tiếng Nhật)</t>
        </is>
      </c>
      <c r="D161" t="inlineStr">
        <is>
          <t>Công ty TNHH Anabuki Interior Design</t>
        </is>
      </c>
      <c r="E161" t="inlineStr">
        <is>
          <t>Lương:18 Tr - 20 Tr VND</t>
        </is>
      </c>
      <c r="F161" t="inlineStr">
        <is>
          <t>Hồ Chí Minh</t>
        </is>
      </c>
      <c r="G161" t="inlineStr">
        <is>
          <t>27-03-2026</t>
        </is>
      </c>
      <c r="H161" t="inlineStr">
        <is>
          <t>27/03/2026</t>
        </is>
      </c>
      <c r="I161" t="inlineStr">
        <is>
          <t>17/03/2026</t>
        </is>
      </c>
      <c r="J161" t="inlineStr">
        <is>
          <t>Nội ngoại thất, Hành chính / Thư ký, Biên phiên dịch</t>
        </is>
      </c>
      <c r="K161" t="inlineStr">
        <is>
          <t>N/A</t>
        </is>
      </c>
      <c r="L161" s="8">
        <f>HYPERLINK("https://careerviet.vn/vi/tim-viec-lam/tro-ly-giam-doc-van-hanh-tieng-nhat.35C6BBFA.html","Xem chi tiết")</f>
        <v/>
      </c>
    </row>
    <row r="162">
      <c r="B162" s="9" t="n">
        <v>160</v>
      </c>
      <c r="C162" s="10" t="inlineStr">
        <is>
          <t>Nhân Viên Khai Triển Lập Trình</t>
        </is>
      </c>
      <c r="D162" s="10" t="inlineStr">
        <is>
          <t>CÔNG TY TNHH SẢN XUẤT THƯƠNG MẠI VÀ DỊCH VỤ HUỲNH ĐỨC</t>
        </is>
      </c>
      <c r="E162" s="10" t="inlineStr">
        <is>
          <t>Lương:Cạnh tranh</t>
        </is>
      </c>
      <c r="F162" s="10" t="inlineStr">
        <is>
          <t>Đồng Nai</t>
        </is>
      </c>
      <c r="G162" s="10" t="inlineStr">
        <is>
          <t>09-04-2026</t>
        </is>
      </c>
      <c r="H162" s="10" t="inlineStr">
        <is>
          <t>09/04/2026</t>
        </is>
      </c>
      <c r="I162" s="10" t="inlineStr">
        <is>
          <t>17/03/2026</t>
        </is>
      </c>
      <c r="J162" s="10" t="inlineStr">
        <is>
          <t>Sản xuất / Vận hành sản xuất, Cơ khí / Ô tô / Tự động hóa</t>
        </is>
      </c>
      <c r="K162" s="10" t="inlineStr">
        <is>
          <t>Trên 2 Năm</t>
        </is>
      </c>
      <c r="L162" s="11">
        <f>HYPERLINK("https://careerviet.vn/vi/tim-viec-lam/nhan-vien-khai-trien-lap-trinh.35C6BB20.html","Xem chi tiết")</f>
        <v/>
      </c>
      <c r="M162" s="10" t="n"/>
    </row>
    <row r="163">
      <c r="B163" s="7" t="n">
        <v>161</v>
      </c>
      <c r="C163" t="inlineStr">
        <is>
          <t>kế toán</t>
        </is>
      </c>
      <c r="D163" t="inlineStr">
        <is>
          <t>Công Ty Cổ Phần Xây Lắp Công Nghiệp Nhà Bè</t>
        </is>
      </c>
      <c r="E163" t="inlineStr">
        <is>
          <t>Lương:Cạnh tranh</t>
        </is>
      </c>
      <c r="F163" t="inlineStr">
        <is>
          <t>Hồ Chí Minh</t>
        </is>
      </c>
      <c r="G163" t="inlineStr">
        <is>
          <t>31-03-2026</t>
        </is>
      </c>
      <c r="H163" t="inlineStr">
        <is>
          <t>31/03/2026</t>
        </is>
      </c>
      <c r="I163" t="inlineStr">
        <is>
          <t>17/03/2026</t>
        </is>
      </c>
      <c r="J163" t="inlineStr">
        <is>
          <t>Kế toán / Kiểm toán</t>
        </is>
      </c>
      <c r="K163" t="inlineStr">
        <is>
          <t>2 - 3 Năm</t>
        </is>
      </c>
      <c r="L163" s="8">
        <f>HYPERLINK("https://careerviet.vn/vi/tim-viec-lam/ke-toan.35C6BC3D.html","Xem chi tiết")</f>
        <v/>
      </c>
    </row>
    <row r="164">
      <c r="B164" s="9" t="n">
        <v>162</v>
      </c>
      <c r="C164" s="10" t="inlineStr">
        <is>
          <t>Senior Sourcing Engineer</t>
        </is>
      </c>
      <c r="D164" s="10" t="inlineStr">
        <is>
          <t>Nextern Vietnam Co.</t>
        </is>
      </c>
      <c r="E164" s="10" t="inlineStr">
        <is>
          <t>Lương:Cạnh tranh</t>
        </is>
      </c>
      <c r="F164" s="10" t="inlineStr">
        <is>
          <t>Bình Dương</t>
        </is>
      </c>
      <c r="G164" s="10" t="inlineStr">
        <is>
          <t>10-04-2026</t>
        </is>
      </c>
      <c r="H164" s="10" t="inlineStr">
        <is>
          <t>10/04/2026</t>
        </is>
      </c>
      <c r="I164" s="10" t="inlineStr">
        <is>
          <t>17/03/2026</t>
        </is>
      </c>
      <c r="J164" s="10" t="inlineStr">
        <is>
          <t>Cơ khí / Ô tô / Tự động hóa, Điện / Điện tử / Điện lạnh / Điện công nghiệp</t>
        </is>
      </c>
      <c r="K164" s="10" t="inlineStr">
        <is>
          <t>N/A</t>
        </is>
      </c>
      <c r="L164" s="11">
        <f>HYPERLINK("https://careerviet.vn/vi/tim-viec-lam/senior-sourcing-engineer.35C6BA5B.html","Xem chi tiết")</f>
        <v/>
      </c>
      <c r="M164" s="10" t="n"/>
    </row>
    <row r="165">
      <c r="B165" s="7" t="n">
        <v>163</v>
      </c>
      <c r="C165" t="inlineStr">
        <is>
          <t>Quản lý Xuất khẩu (Mảng xi măng)</t>
        </is>
      </c>
      <c r="D165" t="inlineStr">
        <is>
          <t>Công Ty Cổ Phần Tập Đoàn TH</t>
        </is>
      </c>
      <c r="E165" t="inlineStr">
        <is>
          <t>Lương:30 Tr - 40 Tr VND</t>
        </is>
      </c>
      <c r="F165" t="inlineStr">
        <is>
          <t>Hà Nội</t>
        </is>
      </c>
      <c r="G165" t="inlineStr">
        <is>
          <t>09-04-2026</t>
        </is>
      </c>
      <c r="H165" t="inlineStr">
        <is>
          <t>09/04/2026</t>
        </is>
      </c>
      <c r="I165" t="inlineStr">
        <is>
          <t>17/03/2026</t>
        </is>
      </c>
      <c r="J165" t="inlineStr">
        <is>
          <t>Xuất nhập khẩu</t>
        </is>
      </c>
      <c r="K165" t="inlineStr">
        <is>
          <t>3 - 5 Năm</t>
        </is>
      </c>
      <c r="L165" s="8">
        <f>HYPERLINK("https://careerviet.vn/vi/tim-viec-lam/quan-ly-xuat-khau-mang-xi-mang.35C6BDBA.html","Xem chi tiết")</f>
        <v/>
      </c>
    </row>
    <row r="166">
      <c r="B166" s="9" t="n">
        <v>164</v>
      </c>
      <c r="C166" s="10" t="inlineStr">
        <is>
          <t>Kỹ sư kết cấu xây dưng</t>
        </is>
      </c>
      <c r="D166" s="10" t="inlineStr">
        <is>
          <t>Công ty Cổ phần Xây dựng CBC</t>
        </is>
      </c>
      <c r="E166" s="10" t="inlineStr">
        <is>
          <t>Lương:18 Tr - 25 Tr VND</t>
        </is>
      </c>
      <c r="F166" s="10" t="inlineStr">
        <is>
          <t>Hồ Chí Minh</t>
        </is>
      </c>
      <c r="G166" s="10" t="inlineStr">
        <is>
          <t>30-04-2026</t>
        </is>
      </c>
      <c r="H166" s="10" t="inlineStr">
        <is>
          <t>30/04/2026</t>
        </is>
      </c>
      <c r="I166" s="10" t="inlineStr">
        <is>
          <t>17/03/2026</t>
        </is>
      </c>
      <c r="J166" s="10" t="inlineStr">
        <is>
          <t>Xây dựng</t>
        </is>
      </c>
      <c r="K166" s="10" t="inlineStr">
        <is>
          <t>3 - 5 Năm</t>
        </is>
      </c>
      <c r="L166" s="11">
        <f>HYPERLINK("https://careerviet.vn/vi/tim-viec-lam/ky-su-ket-cau-xay-dung.35C6BAA3.html","Xem chi tiết")</f>
        <v/>
      </c>
      <c r="M166" s="10" t="n"/>
    </row>
    <row r="167">
      <c r="B167" s="7" t="n">
        <v>165</v>
      </c>
      <c r="C167" t="inlineStr">
        <is>
          <t>Nhân Viên Kế Toán</t>
        </is>
      </c>
      <c r="D167" t="inlineStr">
        <is>
          <t>CÔNG TY TNHH CDS</t>
        </is>
      </c>
      <c r="E167" t="inlineStr">
        <is>
          <t>Lương:Cạnh tranh</t>
        </is>
      </c>
      <c r="F167" t="inlineStr">
        <is>
          <t>Hồ Chí Minh</t>
        </is>
      </c>
      <c r="G167" t="inlineStr">
        <is>
          <t>30-03-2026</t>
        </is>
      </c>
      <c r="H167" t="inlineStr">
        <is>
          <t>30/03/2026</t>
        </is>
      </c>
      <c r="I167" t="inlineStr">
        <is>
          <t>17/03/2026</t>
        </is>
      </c>
      <c r="J167" t="inlineStr">
        <is>
          <t>Kế toán / Kiểm toán, Tài chính / Đầu tư, Cơ khí / Ô tô / Tự động hóa</t>
        </is>
      </c>
      <c r="K167" t="inlineStr">
        <is>
          <t>1 - 2 Năm</t>
        </is>
      </c>
      <c r="L167" s="8">
        <f>HYPERLINK("https://careerviet.vn/vi/tim-viec-lam/nhan-vien-ke-toan.35C6B9DC.html","Xem chi tiết")</f>
        <v/>
      </c>
    </row>
    <row r="168">
      <c r="B168" s="9" t="n">
        <v>166</v>
      </c>
      <c r="C168" s="10" t="inlineStr">
        <is>
          <t>Kế Toán Công Nợ Phải Thu</t>
        </is>
      </c>
      <c r="D168" s="10" t="inlineStr">
        <is>
          <t>Công ty TNHH Quân Uy</t>
        </is>
      </c>
      <c r="E168" s="10" t="inlineStr">
        <is>
          <t>Lương:11 Tr - 15 Tr VND</t>
        </is>
      </c>
      <c r="F168" s="10" t="inlineStr">
        <is>
          <t>Hồ Chí Minh</t>
        </is>
      </c>
      <c r="G168" s="10" t="inlineStr">
        <is>
          <t>09-04-2026</t>
        </is>
      </c>
      <c r="H168" s="10" t="inlineStr">
        <is>
          <t>09/04/2026</t>
        </is>
      </c>
      <c r="I168" s="10" t="inlineStr">
        <is>
          <t>17/03/2026</t>
        </is>
      </c>
      <c r="J168" s="10" t="inlineStr">
        <is>
          <t>Kế toán / Kiểm toán, Ngân hàng, Tài chính / Đầu tư</t>
        </is>
      </c>
      <c r="K168" s="10" t="inlineStr">
        <is>
          <t>Trên 2 Năm</t>
        </is>
      </c>
      <c r="L168" s="11">
        <f>HYPERLINK("https://careerviet.vn/vi/tim-viec-lam/ke-toan-cong-no-phai-thu.35C6BB6E.html","Xem chi tiết")</f>
        <v/>
      </c>
      <c r="M168" s="10" t="n"/>
    </row>
    <row r="169">
      <c r="B169" s="7" t="n">
        <v>167</v>
      </c>
      <c r="C169" t="inlineStr">
        <is>
          <t>CV/CVC/CVCC Quan Hệ Khách Hàng Cá Nhân - Hà Nội, Quảng Ninh</t>
        </is>
      </c>
      <c r="D169" t="inlineStr">
        <is>
          <t>Ngân Hàng Thương Mại Cổ Phần Bảo Việt</t>
        </is>
      </c>
      <c r="E169" t="inlineStr">
        <is>
          <t>Lương:Cạnh tranh</t>
        </is>
      </c>
      <c r="F169" t="inlineStr">
        <is>
          <t>Hà NộiQuảng Ninh</t>
        </is>
      </c>
      <c r="G169" t="inlineStr">
        <is>
          <t>30-05-2026</t>
        </is>
      </c>
      <c r="H169" t="inlineStr">
        <is>
          <t>30/05/2026</t>
        </is>
      </c>
      <c r="I169" t="inlineStr">
        <is>
          <t>17/03/2026</t>
        </is>
      </c>
      <c r="J169" t="inlineStr">
        <is>
          <t>Ngân hàng, Tài chính / Đầu tư, Bất động sản</t>
        </is>
      </c>
      <c r="K169" t="inlineStr">
        <is>
          <t>1 - 3 Năm</t>
        </is>
      </c>
      <c r="L169" s="8">
        <f>HYPERLINK("https://careerviet.vn/vi/tim-viec-lam/cv-cvc-cvcc-quan-he-khach-hang-ca-nhan-ha-noi-quang-ninh.35C6BC80.html","Xem chi tiết")</f>
        <v/>
      </c>
    </row>
    <row r="170">
      <c r="B170" s="9" t="n">
        <v>168</v>
      </c>
      <c r="C170" s="10" t="inlineStr">
        <is>
          <t>CNC Technician/ Kỹ thuật viên CNC</t>
        </is>
      </c>
      <c r="D170" s="10" t="inlineStr">
        <is>
          <t>CÔNG TY TNHH ZIEHL-ABEGG VIỆT NAM</t>
        </is>
      </c>
      <c r="E170" s="10" t="inlineStr">
        <is>
          <t>Lương:Cạnh tranh</t>
        </is>
      </c>
      <c r="F170" s="10" t="inlineStr">
        <is>
          <t>Đồng Nai</t>
        </is>
      </c>
      <c r="G170" s="10" t="inlineStr">
        <is>
          <t>30-04-2026</t>
        </is>
      </c>
      <c r="H170" s="10" t="inlineStr">
        <is>
          <t>30/04/2026</t>
        </is>
      </c>
      <c r="I170" s="10" t="inlineStr">
        <is>
          <t>17/03/2026</t>
        </is>
      </c>
      <c r="J170" s="10" t="inlineStr">
        <is>
          <t>Điện / Điện tử / Điện lạnh / Điện công nghiệp, Sản xuất / Vận hành sản xuất, Cơ khí / Ô tô / Tự động hóa</t>
        </is>
      </c>
      <c r="K170" s="10" t="inlineStr">
        <is>
          <t>1 - 5 Năm</t>
        </is>
      </c>
      <c r="L170" s="11">
        <f>HYPERLINK("https://careerviet.vn/vi/tim-viec-lam/cnc-technician-ky-thuat-vien-cnc.35C6BAFA.html","Xem chi tiết")</f>
        <v/>
      </c>
      <c r="M170" s="10" t="n"/>
    </row>
    <row r="171">
      <c r="B171" s="7" t="n">
        <v>169</v>
      </c>
      <c r="C171" t="inlineStr">
        <is>
          <t>[JHN0037794] Tổ trưởng sản xuất - PC Leader</t>
        </is>
      </c>
      <c r="D171" t="inlineStr">
        <is>
          <t>Iconic Co.,Ltd</t>
        </is>
      </c>
      <c r="E171" t="inlineStr">
        <is>
          <t>Lương:Cạnh tranh</t>
        </is>
      </c>
      <c r="F171" t="inlineStr">
        <is>
          <t>Quảng Ninh</t>
        </is>
      </c>
      <c r="G171" t="inlineStr">
        <is>
          <t>30-04-2026</t>
        </is>
      </c>
      <c r="H171" t="inlineStr">
        <is>
          <t>30/04/2026</t>
        </is>
      </c>
      <c r="I171" t="inlineStr">
        <is>
          <t>17/03/2026</t>
        </is>
      </c>
      <c r="J171" t="inlineStr">
        <is>
          <t>Sản xuất / Vận hành sản xuất</t>
        </is>
      </c>
      <c r="K171" t="inlineStr">
        <is>
          <t>Trên 4 Năm</t>
        </is>
      </c>
      <c r="L171" s="8">
        <f>HYPERLINK("https://careerviet.vn/vi/tim-viec-lam/jhn0037794-to-truong-san-xuat-pc-leader.35C6BAE5.html","Xem chi tiết")</f>
        <v/>
      </c>
    </row>
    <row r="172">
      <c r="B172" s="9" t="n">
        <v>170</v>
      </c>
      <c r="C172" s="10" t="inlineStr">
        <is>
          <t>Chuyên viên Quan hệ Khách hàng Cá nhân - Đà Nẵng</t>
        </is>
      </c>
      <c r="D172" s="10" t="inlineStr">
        <is>
          <t>Ngân Hàng Thương Mại Cổ Phần Bảo Việt</t>
        </is>
      </c>
      <c r="E172" s="10" t="inlineStr">
        <is>
          <t>Lương:10 Tr - 18 Tr VND</t>
        </is>
      </c>
      <c r="F172" s="10" t="inlineStr">
        <is>
          <t>Đà Nẵng</t>
        </is>
      </c>
      <c r="G172" s="10" t="inlineStr">
        <is>
          <t>30-05-2026</t>
        </is>
      </c>
      <c r="H172" s="10" t="inlineStr">
        <is>
          <t>30/05/2026</t>
        </is>
      </c>
      <c r="I172" s="10" t="inlineStr">
        <is>
          <t>17/03/2026</t>
        </is>
      </c>
      <c r="J172" s="10" t="inlineStr">
        <is>
          <t>Ngân hàng, Tài chính / Đầu tư, Bất động sản</t>
        </is>
      </c>
      <c r="K172" s="10" t="inlineStr">
        <is>
          <t>1 - 3 Năm</t>
        </is>
      </c>
      <c r="L172" s="11">
        <f>HYPERLINK("https://careerviet.vn/vi/tim-viec-lam/chuyen-vien-quan-he-khach-hang-ca-nhan-da-nang.35C6BC61.html","Xem chi tiết")</f>
        <v/>
      </c>
      <c r="M172" s="10" t="n"/>
    </row>
    <row r="173">
      <c r="B173" s="7" t="n">
        <v>171</v>
      </c>
      <c r="C173" t="inlineStr">
        <is>
          <t>Nhân Viên Lễ Tân Hành Chính</t>
        </is>
      </c>
      <c r="D173" t="inlineStr">
        <is>
          <t>Life Dental</t>
        </is>
      </c>
      <c r="E173" t="inlineStr">
        <is>
          <t>Lương:10 Tr - 15 Tr VND</t>
        </is>
      </c>
      <c r="F173" t="inlineStr">
        <is>
          <t>Hà Nội</t>
        </is>
      </c>
      <c r="G173" t="inlineStr">
        <is>
          <t>10-04-2026</t>
        </is>
      </c>
      <c r="H173" t="inlineStr">
        <is>
          <t>10/04/2026</t>
        </is>
      </c>
      <c r="I173" t="inlineStr">
        <is>
          <t>17/03/2026</t>
        </is>
      </c>
      <c r="J173" t="inlineStr">
        <is>
          <t>Y tế / Chăm sóc sức khỏe / Thẩm mỹ / Làm đẹp, Dược phẩm/ Hóa Mỹ Phẩm, Hành chính / Thư ký</t>
        </is>
      </c>
      <c r="K173" t="inlineStr">
        <is>
          <t>1 - 2 Năm</t>
        </is>
      </c>
      <c r="L173" s="8">
        <f>HYPERLINK("https://careerviet.vn/vi/tim-viec-lam/nhan-vien-le-tan-hanh-chinh.35C6BD65.html","Xem chi tiết")</f>
        <v/>
      </c>
    </row>
    <row r="174">
      <c r="B174" s="9" t="n">
        <v>172</v>
      </c>
      <c r="C174" s="10" t="inlineStr">
        <is>
          <t>Tổ trưởng Kỹ Thuật Bảo Trì</t>
        </is>
      </c>
      <c r="D174" s="10" t="inlineStr">
        <is>
          <t>CÔNG TY CP CHẾ BIẾN DỪA Á CHÂU</t>
        </is>
      </c>
      <c r="E174" s="10" t="inlineStr">
        <is>
          <t>Lương:Cạnh tranh</t>
        </is>
      </c>
      <c r="F174" s="10" t="inlineStr">
        <is>
          <t>Bến Tre</t>
        </is>
      </c>
      <c r="G174" s="10" t="inlineStr">
        <is>
          <t>31-03-2026</t>
        </is>
      </c>
      <c r="H174" s="10" t="inlineStr">
        <is>
          <t>31/03/2026</t>
        </is>
      </c>
      <c r="I174" s="10" t="inlineStr">
        <is>
          <t>17/03/2026</t>
        </is>
      </c>
      <c r="J174" s="10" t="inlineStr">
        <is>
          <t>Cơ khí / Ô tô / Tự động hóa, Điện / Điện tử / Điện lạnh / Điện công nghiệp, Bảo trì / Sửa chữa</t>
        </is>
      </c>
      <c r="K174" s="10" t="inlineStr">
        <is>
          <t>1 - 5 Năm</t>
        </is>
      </c>
      <c r="L174" s="11">
        <f>HYPERLINK("https://careerviet.vn/vi/tim-viec-lam/to-truong-ky-thuat-bao-tri.35C6BCFD.html","Xem chi tiết")</f>
        <v/>
      </c>
      <c r="M174" s="10" t="n"/>
    </row>
    <row r="175">
      <c r="B175" s="7" t="n">
        <v>173</v>
      </c>
      <c r="C175" t="inlineStr">
        <is>
          <t>GIÁM SÁT BÁN HÀNG (KÊNH GT)</t>
        </is>
      </c>
      <c r="D175" t="inlineStr">
        <is>
          <t>Công Ty Cổ phần Tập Đoàn KIDO</t>
        </is>
      </c>
      <c r="E175" t="inlineStr">
        <is>
          <t>Lương:22 Tr - 35 Tr VND</t>
        </is>
      </c>
      <c r="F175" t="inlineStr">
        <is>
          <t>Ninh BìnhNam Định</t>
        </is>
      </c>
      <c r="G175" t="inlineStr">
        <is>
          <t>29-03-2026</t>
        </is>
      </c>
      <c r="H175" t="inlineStr">
        <is>
          <t>29/03/2026</t>
        </is>
      </c>
      <c r="I175" t="inlineStr">
        <is>
          <t>17/03/2026</t>
        </is>
      </c>
      <c r="J175" t="inlineStr">
        <is>
          <t>Bán hàng / Kinh doanh</t>
        </is>
      </c>
      <c r="K175" t="inlineStr">
        <is>
          <t>1 - 3 Năm</t>
        </is>
      </c>
      <c r="L175" s="8">
        <f>HYPERLINK("https://careerviet.vn/vi/tim-viec-lam/giam-sat-ban-hang-kenh-gt.35C6BAF0.html","Xem chi tiết")</f>
        <v/>
      </c>
    </row>
    <row r="176">
      <c r="B176" s="9" t="n">
        <v>174</v>
      </c>
      <c r="C176" s="10" t="inlineStr">
        <is>
          <t>Project Manager GenAI</t>
        </is>
      </c>
      <c r="D176" s="10" t="inlineStr">
        <is>
          <t>Công ty Cổ phần Thiết kế và Quản lý Kỹ thuật IMP</t>
        </is>
      </c>
      <c r="E176" s="10" t="inlineStr">
        <is>
          <t>Lương:30 Tr - 35 Tr VND</t>
        </is>
      </c>
      <c r="F176" s="10" t="inlineStr">
        <is>
          <t>Bình DươngHồ Chí Minh</t>
        </is>
      </c>
      <c r="G176" s="10" t="inlineStr">
        <is>
          <t>10-04-2026</t>
        </is>
      </c>
      <c r="H176" s="10" t="inlineStr">
        <is>
          <t>10/04/2026</t>
        </is>
      </c>
      <c r="I176" s="10" t="inlineStr">
        <is>
          <t>17/03/2026</t>
        </is>
      </c>
      <c r="J176" s="10" t="inlineStr">
        <is>
          <t>CNTT - Phần mềm</t>
        </is>
      </c>
      <c r="K176" s="10" t="inlineStr">
        <is>
          <t>5 - 7 Năm</t>
        </is>
      </c>
      <c r="L176" s="11">
        <f>HYPERLINK("https://careerviet.vn/vi/tim-viec-lam/project-manager-genai.35C6BD97.html","Xem chi tiết")</f>
        <v/>
      </c>
      <c r="M176" s="10" t="n"/>
    </row>
    <row r="177">
      <c r="B177" s="7" t="n">
        <v>175</v>
      </c>
      <c r="C177" t="inlineStr">
        <is>
          <t>Manufacturing Engineering Lead</t>
        </is>
      </c>
      <c r="D177" t="inlineStr">
        <is>
          <t>Citigroup Limited Industries, Inc.</t>
        </is>
      </c>
      <c r="E177" t="inlineStr">
        <is>
          <t>Lương:Cạnh tranh</t>
        </is>
      </c>
      <c r="F177" t="inlineStr">
        <is>
          <t>Hồ Chí Minh</t>
        </is>
      </c>
      <c r="G177" t="inlineStr">
        <is>
          <t>11-04-2026</t>
        </is>
      </c>
      <c r="H177" t="inlineStr">
        <is>
          <t>11/04/2026</t>
        </is>
      </c>
      <c r="I177" t="inlineStr">
        <is>
          <t>17/03/2026</t>
        </is>
      </c>
      <c r="J177" t="inlineStr">
        <is>
          <t>CNTT - Phần mềm, Sản xuất / Vận hành sản xuất, Xuất nhập khẩu</t>
        </is>
      </c>
      <c r="K177" t="inlineStr">
        <is>
          <t>Trên 10 Năm</t>
        </is>
      </c>
      <c r="L177" s="8">
        <f>HYPERLINK("https://careerviet.vn/vi/tim-viec-lam/manufacturing-engineering-lead.35C6BC45.html","Xem chi tiết")</f>
        <v/>
      </c>
    </row>
    <row r="178">
      <c r="B178" s="9" t="n">
        <v>176</v>
      </c>
      <c r="C178" s="10" t="inlineStr">
        <is>
          <t>Tổ trưởng phục vụ</t>
        </is>
      </c>
      <c r="D178" s="10" t="inlineStr">
        <is>
          <t>CÔNG TY TNHH BLUE ELATION</t>
        </is>
      </c>
      <c r="E178" s="10" t="inlineStr">
        <is>
          <t>Lương:9 Tr - 11 Tr VND</t>
        </is>
      </c>
      <c r="F178" s="10" t="inlineStr">
        <is>
          <t>Hồ Chí Minh</t>
        </is>
      </c>
      <c r="G178" s="10" t="inlineStr">
        <is>
          <t>10-04-2026</t>
        </is>
      </c>
      <c r="H178" s="10" t="inlineStr">
        <is>
          <t>10/04/2026</t>
        </is>
      </c>
      <c r="I178" s="10" t="inlineStr">
        <is>
          <t>17/03/2026</t>
        </is>
      </c>
      <c r="J178" s="10" t="inlineStr">
        <is>
          <t>Dịch vụ khách hàng, Nhà hàng / Khách sạn, Bán hàng / Kinh doanh</t>
        </is>
      </c>
      <c r="K178" s="10" t="inlineStr">
        <is>
          <t>3 - 15 Năm</t>
        </is>
      </c>
      <c r="L178" s="11">
        <f>HYPERLINK("https://careerviet.vn/vi/tim-viec-lam/to-truong-phuc-vu.35C6BC81.html","Xem chi tiết")</f>
        <v/>
      </c>
      <c r="M178" s="10" t="n"/>
    </row>
    <row r="179">
      <c r="B179" s="7" t="n">
        <v>177</v>
      </c>
      <c r="C179" t="inlineStr">
        <is>
          <t>Nhân viên kỹ thuật</t>
        </is>
      </c>
      <c r="D179" t="inlineStr">
        <is>
          <t>CÔNG TY CỔ PHẦN SECONS</t>
        </is>
      </c>
      <c r="E179" t="inlineStr">
        <is>
          <t>Lương:Cạnh tranh</t>
        </is>
      </c>
      <c r="F179" t="inlineStr">
        <is>
          <t>Hồ Chí Minh</t>
        </is>
      </c>
      <c r="G179" t="inlineStr">
        <is>
          <t>10-04-2026</t>
        </is>
      </c>
      <c r="H179" t="inlineStr">
        <is>
          <t>10/04/2026</t>
        </is>
      </c>
      <c r="I179" t="inlineStr">
        <is>
          <t>17/03/2026</t>
        </is>
      </c>
      <c r="J179" t="inlineStr">
        <is>
          <t>Cơ khí / Ô tô / Tự động hóa, Điện / Điện tử / Điện lạnh / Điện công nghiệp</t>
        </is>
      </c>
      <c r="K179" t="inlineStr">
        <is>
          <t>1 - 3 Năm</t>
        </is>
      </c>
      <c r="L179" s="8">
        <f>HYPERLINK("https://careerviet.vn/vi/tim-viec-lam/nhan-vien-ky-thuat.35C6BC67.html","Xem chi tiết")</f>
        <v/>
      </c>
    </row>
    <row r="180">
      <c r="B180" s="9" t="n">
        <v>178</v>
      </c>
      <c r="C180" s="10" t="inlineStr">
        <is>
          <t>Nhân viên Mua hàng - Nữ</t>
        </is>
      </c>
      <c r="D180" s="10" t="inlineStr">
        <is>
          <t>CÔNG TY CỔ PHẦN TỔ CHỨC HỘI NGHỊ VIỆT NAM</t>
        </is>
      </c>
      <c r="E180" s="10" t="inlineStr">
        <is>
          <t>Lương:8 Tr - 11 Tr VND</t>
        </is>
      </c>
      <c r="F180" s="10" t="inlineStr">
        <is>
          <t>Hà Nội</t>
        </is>
      </c>
      <c r="G180" s="10" t="inlineStr">
        <is>
          <t>31-03-2026</t>
        </is>
      </c>
      <c r="H180" s="10" t="inlineStr">
        <is>
          <t>31/03/2026</t>
        </is>
      </c>
      <c r="I180" s="10" t="inlineStr">
        <is>
          <t>17/03/2026</t>
        </is>
      </c>
      <c r="J180" s="10" t="inlineStr">
        <is>
          <t>Thu mua / Vật tư</t>
        </is>
      </c>
      <c r="K180" s="10" t="inlineStr">
        <is>
          <t>1 - 2 Năm</t>
        </is>
      </c>
      <c r="L180" s="11">
        <f>HYPERLINK("https://careerviet.vn/vi/tim-viec-lam/nhan-vien-mua-hang-nu.35C6BA8C.html","Xem chi tiết")</f>
        <v/>
      </c>
      <c r="M180" s="10" t="n"/>
    </row>
    <row r="181">
      <c r="B181" s="7" t="n">
        <v>179</v>
      </c>
      <c r="C181" t="inlineStr">
        <is>
          <t>Quản Lý Kho Tổng (Lương 30 Triệu - 35 Triệu/tháng)</t>
        </is>
      </c>
      <c r="D181" t="inlineStr">
        <is>
          <t>Công ty TNHH TM&amp;ĐT LA.MA.SON</t>
        </is>
      </c>
      <c r="E181" t="inlineStr">
        <is>
          <t>Lương:30 Tr - 35 Tr VND</t>
        </is>
      </c>
      <c r="F181" t="inlineStr">
        <is>
          <t>Hà Nội</t>
        </is>
      </c>
      <c r="G181" t="inlineStr">
        <is>
          <t>15-04-2026</t>
        </is>
      </c>
      <c r="H181" t="inlineStr">
        <is>
          <t>15/04/2026</t>
        </is>
      </c>
      <c r="I181" t="inlineStr">
        <is>
          <t>17/03/2026</t>
        </is>
      </c>
      <c r="J181" t="inlineStr">
        <is>
          <t>Vận chuyển / Giao nhận / Kho vận, Bán lẻ / Bán sỉ</t>
        </is>
      </c>
      <c r="K181" t="inlineStr">
        <is>
          <t>3 - 5 Năm</t>
        </is>
      </c>
      <c r="L181" s="8">
        <f>HYPERLINK("https://careerviet.vn/vi/tim-viec-lam/quan-ly-kho-tong-luong-30-trieu-35-trieu-thang.35C6BCEE.html","Xem chi tiết")</f>
        <v/>
      </c>
    </row>
    <row r="182">
      <c r="B182" s="9" t="n">
        <v>180</v>
      </c>
      <c r="C182" s="10" t="inlineStr">
        <is>
          <t>Nhân viên nhân sự  (Mạnh tuyển dụng)</t>
        </is>
      </c>
      <c r="D182" s="10" t="inlineStr">
        <is>
          <t>Sở Giao dịch Hàng hóa Việt Nam</t>
        </is>
      </c>
      <c r="E182" s="10" t="inlineStr">
        <is>
          <t>Lương:10 Tr - 15 Tr VND</t>
        </is>
      </c>
      <c r="F182" s="10" t="inlineStr">
        <is>
          <t>Hà Nội</t>
        </is>
      </c>
      <c r="G182" s="10" t="inlineStr">
        <is>
          <t>30-04-2026</t>
        </is>
      </c>
      <c r="H182" s="10" t="inlineStr">
        <is>
          <t>30/04/2026</t>
        </is>
      </c>
      <c r="I182" s="10" t="inlineStr">
        <is>
          <t>17/03/2026</t>
        </is>
      </c>
      <c r="J182" s="10" t="inlineStr">
        <is>
          <t>Nhân sự</t>
        </is>
      </c>
      <c r="K182" s="10" t="inlineStr">
        <is>
          <t>Trên 1 Năm</t>
        </is>
      </c>
      <c r="L182" s="11">
        <f>HYPERLINK("https://careerviet.vn/vi/tim-viec-lam/nhan-vien-nhan-su-manh-tuyen-dung.35C6BDE4.html","Xem chi tiết")</f>
        <v/>
      </c>
      <c r="M182" s="10" t="n"/>
    </row>
    <row r="183">
      <c r="B183" s="7" t="n">
        <v>181</v>
      </c>
      <c r="C183" t="inlineStr">
        <is>
          <t>Quản Lý Mold</t>
        </is>
      </c>
      <c r="D183" t="inlineStr">
        <is>
          <t>NOA VIETNAM</t>
        </is>
      </c>
      <c r="E183" t="inlineStr">
        <is>
          <t>Lương:Cạnh tranh</t>
        </is>
      </c>
      <c r="F183" t="inlineStr">
        <is>
          <t>Bình Dương</t>
        </is>
      </c>
      <c r="G183" t="inlineStr">
        <is>
          <t>10-04-2026</t>
        </is>
      </c>
      <c r="H183" t="inlineStr">
        <is>
          <t>10/04/2026</t>
        </is>
      </c>
      <c r="I183" t="inlineStr">
        <is>
          <t>17/03/2026</t>
        </is>
      </c>
      <c r="J183" t="inlineStr">
        <is>
          <t>Cơ khí / Ô tô / Tự động hóa, Mỹ thuật / Nghệ thuật / Thiết kế, Sản xuất / Vận hành sản xuất</t>
        </is>
      </c>
      <c r="K183" t="inlineStr">
        <is>
          <t>Trên 5 Năm</t>
        </is>
      </c>
      <c r="L183" s="8">
        <f>HYPERLINK("https://careerviet.vn/vi/tim-viec-lam/quan-ly-mold.35C6BBB3.html","Xem chi tiết")</f>
        <v/>
      </c>
    </row>
    <row r="184">
      <c r="B184" s="9" t="n">
        <v>182</v>
      </c>
      <c r="C184" s="10" t="inlineStr">
        <is>
          <t>GIÁM ĐỐC KINH DOANH (B2C - MẢNG PHÂN BÓN &amp; THUỐC BVTV)</t>
        </is>
      </c>
      <c r="D184" s="10" t="inlineStr">
        <is>
          <t>KING ELONG GROUP</t>
        </is>
      </c>
      <c r="E184" s="10" t="inlineStr">
        <is>
          <t>Lương:Cạnh tranh</t>
        </is>
      </c>
      <c r="F184" s="10" t="inlineStr">
        <is>
          <t>Hồ Chí Minh</t>
        </is>
      </c>
      <c r="G184" s="10" t="inlineStr">
        <is>
          <t>10-04-2026</t>
        </is>
      </c>
      <c r="H184" s="10" t="inlineStr">
        <is>
          <t>10/04/2026</t>
        </is>
      </c>
      <c r="I184" s="10" t="inlineStr">
        <is>
          <t>17/03/2026</t>
        </is>
      </c>
      <c r="J184" s="10" t="inlineStr">
        <is>
          <t>Bán hàng / Kinh doanh, Nông nghiệp</t>
        </is>
      </c>
      <c r="K184" s="10" t="inlineStr">
        <is>
          <t>3 - 5 Năm</t>
        </is>
      </c>
      <c r="L184" s="11">
        <f>HYPERLINK("https://careerviet.vn/vi/tim-viec-lam/giam-doc-kinh-doanh-b2c-mang-phan-bon-thuoc-bvtv.35C6BD18.html","Xem chi tiết")</f>
        <v/>
      </c>
      <c r="M184" s="10" t="n"/>
    </row>
    <row r="185">
      <c r="B185" s="7" t="n">
        <v>183</v>
      </c>
      <c r="C185" t="inlineStr">
        <is>
          <t>Kỹ Sư Giám Sát Cơ Điện</t>
        </is>
      </c>
      <c r="D185" t="inlineStr">
        <is>
          <t>CÔNG TY CỔ PHẦN PHÁT TRIỂN XÂY LẮP AN KHÁNH</t>
        </is>
      </c>
      <c r="E185" t="inlineStr">
        <is>
          <t>Lương:12 Tr - 25 Tr VND</t>
        </is>
      </c>
      <c r="F185" t="inlineStr">
        <is>
          <t>Hà Nội</t>
        </is>
      </c>
      <c r="G185" t="inlineStr">
        <is>
          <t>10-04-2026</t>
        </is>
      </c>
      <c r="H185" t="inlineStr">
        <is>
          <t>10/04/2026</t>
        </is>
      </c>
      <c r="I185" t="inlineStr">
        <is>
          <t>17/03/2026</t>
        </is>
      </c>
      <c r="J185" t="inlineStr">
        <is>
          <t>Điện / Điện tử / Điện lạnh / Điện công nghiệp, Xây dựng, Môi trường</t>
        </is>
      </c>
      <c r="K185" t="inlineStr">
        <is>
          <t>Trên 1 Năm</t>
        </is>
      </c>
      <c r="L185" s="8">
        <f>HYPERLINK("https://careerviet.vn/vi/tim-viec-lam/ky-su-giam-sat-co-dien.35C6BCE9.html","Xem chi tiết")</f>
        <v/>
      </c>
    </row>
    <row r="186">
      <c r="B186" s="9" t="n">
        <v>184</v>
      </c>
      <c r="C186" s="10" t="inlineStr">
        <is>
          <t>Chuyên Viên Quản Lý Đại Lý (Chủ Đầu Tư)</t>
        </is>
      </c>
      <c r="D186" s="10" t="inlineStr">
        <is>
          <t>CÔNG TY CỔ PHẦN EUROWINDOW HOLDING</t>
        </is>
      </c>
      <c r="E186" s="10" t="inlineStr">
        <is>
          <t>Lương:Cạnh tranh</t>
        </is>
      </c>
      <c r="F186" s="10" t="inlineStr">
        <is>
          <t>Hà Nội</t>
        </is>
      </c>
      <c r="G186" s="10" t="inlineStr">
        <is>
          <t>06-04-2026</t>
        </is>
      </c>
      <c r="H186" s="10" t="inlineStr">
        <is>
          <t>06/04/2026</t>
        </is>
      </c>
      <c r="I186" s="10" t="inlineStr">
        <is>
          <t>17/03/2026</t>
        </is>
      </c>
      <c r="J186" s="10" t="inlineStr">
        <is>
          <t>Bán hàng / Kinh doanh</t>
        </is>
      </c>
      <c r="K186" s="10" t="inlineStr">
        <is>
          <t>1 - 3 Năm</t>
        </is>
      </c>
      <c r="L186" s="11">
        <f>HYPERLINK("https://careerviet.vn/vi/tim-viec-lam/chuyen-vien-quan-ly-dai-ly-chu-dau-tu.35C6BB42.html","Xem chi tiết")</f>
        <v/>
      </c>
      <c r="M186" s="10" t="n"/>
    </row>
    <row r="187">
      <c r="B187" s="7" t="n">
        <v>185</v>
      </c>
      <c r="C187" t="inlineStr">
        <is>
          <t>Thực Tập Sinh Triển Khai Kỹ Thuật 2D</t>
        </is>
      </c>
      <c r="D187" t="inlineStr">
        <is>
          <t>CÔNG TY CỔ PHẦN MOZAX GROUP</t>
        </is>
      </c>
      <c r="E187" t="inlineStr">
        <is>
          <t>Lương:6 Tr - 8 Tr VND</t>
        </is>
      </c>
      <c r="F187" t="inlineStr">
        <is>
          <t>Hà Nội</t>
        </is>
      </c>
      <c r="G187" t="inlineStr">
        <is>
          <t>09-04-2026</t>
        </is>
      </c>
      <c r="H187" t="inlineStr">
        <is>
          <t>09/04/2026</t>
        </is>
      </c>
      <c r="I187" t="inlineStr">
        <is>
          <t>17/03/2026</t>
        </is>
      </c>
      <c r="J187" t="inlineStr">
        <is>
          <t>Kiến trúc, Nội ngoại thất, Mới tốt nghiệp / Thực tập</t>
        </is>
      </c>
      <c r="K187" t="inlineStr">
        <is>
          <t>N/A</t>
        </is>
      </c>
      <c r="L187" s="8">
        <f>HYPERLINK("https://careerviet.vn/vi/tim-viec-lam/thuc-tap-sinh-trien-khai-ky-thuat-2d.35C6BCE6.html","Xem chi tiết")</f>
        <v/>
      </c>
    </row>
    <row r="188">
      <c r="B188" s="9" t="n">
        <v>186</v>
      </c>
      <c r="C188" s="10" t="inlineStr">
        <is>
          <t>Kỹ Sư Giám Sát MEPF</t>
        </is>
      </c>
      <c r="D188" s="10" t="inlineStr">
        <is>
          <t>Công ty TNHH Tư vấn Dự án SEAS</t>
        </is>
      </c>
      <c r="E188" s="10" t="inlineStr">
        <is>
          <t>Lương:Cạnh tranh</t>
        </is>
      </c>
      <c r="F188" s="10" t="inlineStr">
        <is>
          <t>Hồ Chí MinhĐồng Nai</t>
        </is>
      </c>
      <c r="G188" s="10" t="inlineStr">
        <is>
          <t>09-04-2026</t>
        </is>
      </c>
      <c r="H188" s="10" t="inlineStr">
        <is>
          <t>09/04/2026</t>
        </is>
      </c>
      <c r="I188" s="10" t="inlineStr">
        <is>
          <t>17/03/2026</t>
        </is>
      </c>
      <c r="J188" s="10" t="inlineStr">
        <is>
          <t>Điện / Điện tử / Điện lạnh / Điện công nghiệp, Kiến trúc, Xây dựng</t>
        </is>
      </c>
      <c r="K188" s="10" t="inlineStr">
        <is>
          <t>3 - 5 Năm</t>
        </is>
      </c>
      <c r="L188" s="11">
        <f>HYPERLINK("https://careerviet.vn/vi/tim-viec-lam/ky-su-giam-sat-mepf.35C6BD62.html","Xem chi tiết")</f>
        <v/>
      </c>
      <c r="M188" s="10" t="n"/>
    </row>
    <row r="189">
      <c r="B189" s="7" t="n">
        <v>187</v>
      </c>
      <c r="C189" t="inlineStr">
        <is>
          <t>Business Development</t>
        </is>
      </c>
      <c r="D189" t="inlineStr">
        <is>
          <t>Công ty TNHH Viettel - CHT</t>
        </is>
      </c>
      <c r="E189" t="inlineStr">
        <is>
          <t>Lương:Cạnh tranh</t>
        </is>
      </c>
      <c r="F189" t="inlineStr">
        <is>
          <t>Hà Nội</t>
        </is>
      </c>
      <c r="G189" t="inlineStr">
        <is>
          <t>14-04-2026</t>
        </is>
      </c>
      <c r="H189" t="inlineStr">
        <is>
          <t>14/04/2026</t>
        </is>
      </c>
      <c r="I189" t="inlineStr">
        <is>
          <t>17/03/2026</t>
        </is>
      </c>
      <c r="J189" t="inlineStr">
        <is>
          <t>CNTT - Phần mềm, Tài chính / Đầu tư, CNTT - Phần cứng / Mạng</t>
        </is>
      </c>
      <c r="K189" t="inlineStr">
        <is>
          <t>Trên 3 Năm</t>
        </is>
      </c>
      <c r="L189" s="8">
        <f>HYPERLINK("https://careerviet.vn/vi/tim-viec-lam/business-development.35C6BE04.html","Xem chi tiết")</f>
        <v/>
      </c>
    </row>
    <row r="190">
      <c r="B190" s="9" t="n">
        <v>188</v>
      </c>
      <c r="C190" s="10" t="inlineStr">
        <is>
          <t>[JHN0037791] Nhân viên thiết kế - lập trình - Molding designing staff</t>
        </is>
      </c>
      <c r="D190" s="10" t="inlineStr">
        <is>
          <t>Iconic Co.,Ltd</t>
        </is>
      </c>
      <c r="E190" s="10" t="inlineStr">
        <is>
          <t>Lương:10 Tr - 20 Tr VND</t>
        </is>
      </c>
      <c r="F190" s="10" t="inlineStr">
        <is>
          <t>Quảng Ninh</t>
        </is>
      </c>
      <c r="G190" s="10" t="inlineStr">
        <is>
          <t>30-04-2026</t>
        </is>
      </c>
      <c r="H190" s="10" t="inlineStr">
        <is>
          <t>30/04/2026</t>
        </is>
      </c>
      <c r="I190" s="10" t="inlineStr">
        <is>
          <t>17/03/2026</t>
        </is>
      </c>
      <c r="J190" s="10" t="inlineStr">
        <is>
          <t>Mỹ thuật / Nghệ thuật / Thiết kế, Sản xuất / Vận hành sản xuất</t>
        </is>
      </c>
      <c r="K190" s="10" t="inlineStr">
        <is>
          <t>Trên 1 Năm</t>
        </is>
      </c>
      <c r="L190" s="11">
        <f>HYPERLINK("https://careerviet.vn/vi/tim-viec-lam/jhn0037791-nhan-vien-thiet-ke-lap-trinh-molding-designing-staff.35C6BB0F.html","Xem chi tiết")</f>
        <v/>
      </c>
      <c r="M190" s="10" t="n"/>
    </row>
    <row r="191">
      <c r="B191" s="7" t="n">
        <v>189</v>
      </c>
      <c r="C191" t="inlineStr">
        <is>
          <t>Kỹ sư Kinh tế xây dưng</t>
        </is>
      </c>
      <c r="D191" t="inlineStr">
        <is>
          <t>Công ty cổ phần Tập đoàn Trường Thành Việt Nam</t>
        </is>
      </c>
      <c r="E191" t="inlineStr">
        <is>
          <t>Lương:25 Tr - 35 Tr VND</t>
        </is>
      </c>
      <c r="F191" t="inlineStr">
        <is>
          <t>Hà Nội</t>
        </is>
      </c>
      <c r="G191" t="inlineStr">
        <is>
          <t>10-04-2026</t>
        </is>
      </c>
      <c r="H191" t="inlineStr">
        <is>
          <t>10/04/2026</t>
        </is>
      </c>
      <c r="I191" t="inlineStr">
        <is>
          <t>17/03/2026</t>
        </is>
      </c>
      <c r="J191" t="inlineStr">
        <is>
          <t>Xây dựng</t>
        </is>
      </c>
      <c r="K191" t="inlineStr">
        <is>
          <t>5 - 7 Năm</t>
        </is>
      </c>
      <c r="L191" s="8">
        <f>HYPERLINK("https://careerviet.vn/vi/tim-viec-lam/ky-su-kinh-te-xay-dung.35C6BCAA.html","Xem chi tiết")</f>
        <v/>
      </c>
    </row>
    <row r="192">
      <c r="B192" s="9" t="n">
        <v>190</v>
      </c>
      <c r="C192" s="10" t="inlineStr">
        <is>
          <t>Kỹ sư QA/QC (chủ đầu tư)</t>
        </is>
      </c>
      <c r="D192" s="10" t="inlineStr">
        <is>
          <t>CÔNG TY CỔ PHẦN ĐỊA ỐC HDMON VILLAS</t>
        </is>
      </c>
      <c r="E192" s="10" t="inlineStr">
        <is>
          <t>Lương:20 Tr - 30 Tr VND</t>
        </is>
      </c>
      <c r="F192" s="10" t="inlineStr">
        <is>
          <t>Hà Nội</t>
        </is>
      </c>
      <c r="G192" s="10" t="inlineStr">
        <is>
          <t>11-04-2026</t>
        </is>
      </c>
      <c r="H192" s="10" t="inlineStr">
        <is>
          <t>11/04/2026</t>
        </is>
      </c>
      <c r="I192" s="10" t="inlineStr">
        <is>
          <t>17/03/2026</t>
        </is>
      </c>
      <c r="J192" s="10" t="inlineStr">
        <is>
          <t>Xây dựng, Quản lý chất lượng (QA/QC)</t>
        </is>
      </c>
      <c r="K192" s="10" t="inlineStr">
        <is>
          <t>5 - 6 Năm</t>
        </is>
      </c>
      <c r="L192" s="11">
        <f>HYPERLINK("https://careerviet.vn/vi/tim-viec-lam/ky-su-qa-qc-chu-dau-tu.35C6BAC5.html","Xem chi tiết")</f>
        <v/>
      </c>
      <c r="M192" s="10" t="n"/>
    </row>
    <row r="193">
      <c r="B193" s="7" t="n">
        <v>191</v>
      </c>
      <c r="C193" t="inlineStr">
        <is>
          <t>Nhân Viên Trắc Đạc Công Trình</t>
        </is>
      </c>
      <c r="D193" t="inlineStr">
        <is>
          <t>CÔNG TY TNHH XÂY DỰNG THƯƠNG MẠI LỤC GIÁC</t>
        </is>
      </c>
      <c r="E193" t="inlineStr">
        <is>
          <t>Lương:14 Tr - 17 Tr VND</t>
        </is>
      </c>
      <c r="F193" t="inlineStr">
        <is>
          <t>Bình Thuận</t>
        </is>
      </c>
      <c r="G193" t="inlineStr">
        <is>
          <t>30-04-2026</t>
        </is>
      </c>
      <c r="H193" t="inlineStr">
        <is>
          <t>30/04/2026</t>
        </is>
      </c>
      <c r="I193" t="inlineStr">
        <is>
          <t>17/03/2026</t>
        </is>
      </c>
      <c r="J193" t="inlineStr">
        <is>
          <t>Trắc địa / Địa Chất, Xây dựng</t>
        </is>
      </c>
      <c r="K193" t="inlineStr">
        <is>
          <t>N/A</t>
        </is>
      </c>
      <c r="L193" s="8">
        <f>HYPERLINK("https://careerviet.vn/vi/tim-viec-lam/nhan-vien-trac-dac-cong-trinh.35C6BBF0.html","Xem chi tiết")</f>
        <v/>
      </c>
    </row>
    <row r="194">
      <c r="B194" s="9" t="n">
        <v>192</v>
      </c>
      <c r="C194" s="10" t="inlineStr">
        <is>
          <t>Bảo trì Nhà máy chế biến sữa/ Bảo trì trang trại bò sữa (Dalatmilk-Lâm Đồng)</t>
        </is>
      </c>
      <c r="D194" s="10" t="inlineStr">
        <is>
          <t>Công Ty Cổ Phần Tập Đoàn TH</t>
        </is>
      </c>
      <c r="E194" s="10" t="inlineStr">
        <is>
          <t>Lương:9 Tr - 15 Tr VND</t>
        </is>
      </c>
      <c r="F194" s="10" t="inlineStr">
        <is>
          <t>Lâm Đồng</t>
        </is>
      </c>
      <c r="G194" s="10" t="inlineStr">
        <is>
          <t>16-03-2026</t>
        </is>
      </c>
      <c r="H194" s="10" t="inlineStr">
        <is>
          <t>10/03/2026</t>
        </is>
      </c>
      <c r="I194" s="10" t="inlineStr">
        <is>
          <t>17/03/2026</t>
        </is>
      </c>
      <c r="J194" s="10" t="inlineStr">
        <is>
          <t>Cơ khí / Ô tô / Tự động hóa, Điện / Điện tử / Điện lạnh / Điện công nghiệp, Bảo trì / Sửa chữa</t>
        </is>
      </c>
      <c r="K194" s="10" t="inlineStr">
        <is>
          <t>1 - 3 Năm</t>
        </is>
      </c>
      <c r="L194" s="11">
        <f>HYPERLINK("https://careerviet.vn/vi/tim-viec-lam/bao-tri-nha-may-che-bien-sua-bao-tri-trang-trai-bo-sua-dalatmilk-lam-dong.35C6BDC6.html","Xem chi tiết")</f>
        <v/>
      </c>
      <c r="M194" s="10" t="n"/>
    </row>
    <row r="195">
      <c r="B195" s="7" t="n">
        <v>193</v>
      </c>
      <c r="C195" t="inlineStr">
        <is>
          <t>Chuyên viên Chính sách an ninh thông tin (chuyên về Kiến trúc an ninh thông tin)</t>
        </is>
      </c>
      <c r="D195" t="inlineStr">
        <is>
          <t>NGÂN HÀNG TMCP NGOẠI THƯƠNG VIỆT NAM (VIETCOMBANK)</t>
        </is>
      </c>
      <c r="E195" t="inlineStr">
        <is>
          <t>Lương:Cạnh tranh</t>
        </is>
      </c>
      <c r="F195" t="inlineStr">
        <is>
          <t>Hà Nội</t>
        </is>
      </c>
      <c r="G195" t="inlineStr">
        <is>
          <t>31-03-2026</t>
        </is>
      </c>
      <c r="H195" t="inlineStr">
        <is>
          <t>31/03/2026</t>
        </is>
      </c>
      <c r="I195" t="inlineStr">
        <is>
          <t>17/03/2026</t>
        </is>
      </c>
      <c r="J195" t="inlineStr">
        <is>
          <t>Ngân hàng, CNTT - Phần mềm, CNTT - Phần cứng / Mạng</t>
        </is>
      </c>
      <c r="K195" t="inlineStr">
        <is>
          <t>Trên 2 Năm</t>
        </is>
      </c>
      <c r="L195" s="8">
        <f>HYPERLINK("https://careerviet.vn/vi/tim-viec-lam/chuyen-vien-chinh-sach-an-ninh-thong-tin-chuyen-ve-kien-truc-an-ninh-thong-tin.35C6BD8B.html","Xem chi tiết")</f>
        <v/>
      </c>
    </row>
    <row r="196">
      <c r="B196" s="9" t="n">
        <v>194</v>
      </c>
      <c r="C196" s="10" t="inlineStr">
        <is>
          <t>Nhân viên kinh doanh</t>
        </is>
      </c>
      <c r="D196" s="10" t="inlineStr">
        <is>
          <t>Bảo mật</t>
        </is>
      </c>
      <c r="E196" s="10" t="inlineStr">
        <is>
          <t>Lương:3,5 Tr - 4,5 Tr VND</t>
        </is>
      </c>
      <c r="F196" s="10" t="inlineStr">
        <is>
          <t>Bình Định</t>
        </is>
      </c>
      <c r="G196" s="10" t="inlineStr">
        <is>
          <t>31-03-2026</t>
        </is>
      </c>
      <c r="H196" s="10" t="inlineStr">
        <is>
          <t>31/03/2026</t>
        </is>
      </c>
      <c r="I196" s="10" t="inlineStr">
        <is>
          <t>17/03/2026</t>
        </is>
      </c>
      <c r="J196" s="10" t="inlineStr">
        <is>
          <t>Thương mại điện tử, Tư vấn, Bán Hàng Kỹ Thuật</t>
        </is>
      </c>
      <c r="K196" s="10" t="inlineStr">
        <is>
          <t>Chưa có kinh nghiệm</t>
        </is>
      </c>
      <c r="L196" s="11">
        <f>HYPERLINK("https://careerviet.vn/vi/tim-viec-lam/nhan-vien-kinh-doanh.35C6BE1B.html","Xem chi tiết")</f>
        <v/>
      </c>
      <c r="M196" s="10" t="n"/>
    </row>
    <row r="197">
      <c r="B197" s="7" t="n">
        <v>195</v>
      </c>
      <c r="C197" t="inlineStr">
        <is>
          <t>CHUYÊN VIÊN ĐÀO TẠO SALES - 销售培训专员</t>
        </is>
      </c>
      <c r="D197" t="inlineStr">
        <is>
          <t>S.F. EXPRESS LTD.</t>
        </is>
      </c>
      <c r="E197" t="inlineStr">
        <is>
          <t>Lương:20 Tr - 30 Tr VND</t>
        </is>
      </c>
      <c r="F197" t="inlineStr">
        <is>
          <t>Hồ Chí Minh</t>
        </is>
      </c>
      <c r="G197" t="inlineStr">
        <is>
          <t>31-05-2026</t>
        </is>
      </c>
      <c r="H197" t="inlineStr">
        <is>
          <t>31/05/2026</t>
        </is>
      </c>
      <c r="I197" t="inlineStr">
        <is>
          <t>17/03/2026</t>
        </is>
      </c>
      <c r="J197" t="inlineStr">
        <is>
          <t>Vận chuyển / Giao nhận / Kho vận, Giáo dục / Đào tạo, Bán hàng / Kinh doanh</t>
        </is>
      </c>
      <c r="K197" t="inlineStr">
        <is>
          <t>1 - 2 Năm</t>
        </is>
      </c>
      <c r="L197" s="8">
        <f>HYPERLINK("https://careerviet.vn/vi/tim-viec-lam/chuyen-vien-dao-tao-sales.35C6BDEE.html","Xem chi tiết")</f>
        <v/>
      </c>
    </row>
    <row r="198">
      <c r="B198" s="9" t="n">
        <v>196</v>
      </c>
      <c r="C198" s="10" t="inlineStr">
        <is>
          <t>Account Manager - SMB/SME</t>
        </is>
      </c>
      <c r="D198" s="10" t="inlineStr">
        <is>
          <t>Công Ty TNHH TM DV Eternal Asia Việt Nam</t>
        </is>
      </c>
      <c r="E198" s="10" t="inlineStr">
        <is>
          <t>Lương:Cạnh tranh</t>
        </is>
      </c>
      <c r="F198" s="10" t="inlineStr">
        <is>
          <t>Hồ Chí Minh</t>
        </is>
      </c>
      <c r="G198" s="10" t="inlineStr">
        <is>
          <t>10-04-2026</t>
        </is>
      </c>
      <c r="H198" s="10" t="inlineStr">
        <is>
          <t>10/04/2026</t>
        </is>
      </c>
      <c r="I198" s="10" t="inlineStr">
        <is>
          <t>17/03/2026</t>
        </is>
      </c>
      <c r="J198" s="10" t="inlineStr">
        <is>
          <t>Bán hàng / Kinh doanh, CNTT - Phần mềm, Quản lý điều hành</t>
        </is>
      </c>
      <c r="K198" s="10" t="inlineStr">
        <is>
          <t>N/A</t>
        </is>
      </c>
      <c r="L198" s="11">
        <f>HYPERLINK("https://careerviet.vn/vi/tim-viec-lam/account-manager-smb-sme.35C6BCD2.html","Xem chi tiết")</f>
        <v/>
      </c>
      <c r="M198" s="10" t="n"/>
    </row>
    <row r="199">
      <c r="B199" s="7" t="n">
        <v>197</v>
      </c>
      <c r="C199" t="inlineStr">
        <is>
          <t>Thực Tập Sinh Concept 3D</t>
        </is>
      </c>
      <c r="D199" t="inlineStr">
        <is>
          <t>CÔNG TY CỔ PHẦN MOZAX GROUP</t>
        </is>
      </c>
      <c r="E199" t="inlineStr">
        <is>
          <t>Lương:Lên đến 3 Tr VND</t>
        </is>
      </c>
      <c r="F199" t="inlineStr">
        <is>
          <t>Hà Nội</t>
        </is>
      </c>
      <c r="G199" t="inlineStr">
        <is>
          <t>09-04-2026</t>
        </is>
      </c>
      <c r="H199" t="inlineStr">
        <is>
          <t>09/04/2026</t>
        </is>
      </c>
      <c r="I199" t="inlineStr">
        <is>
          <t>17/03/2026</t>
        </is>
      </c>
      <c r="J199" t="inlineStr">
        <is>
          <t>Kiến trúc, Nội ngoại thất, Mới tốt nghiệp / Thực tập</t>
        </is>
      </c>
      <c r="K199" t="inlineStr">
        <is>
          <t>N/A</t>
        </is>
      </c>
      <c r="L199" s="8">
        <f>HYPERLINK("https://careerviet.vn/vi/tim-viec-lam/thuc-tap-sinh-concept-3d.35C6BCDD.html","Xem chi tiết")</f>
        <v/>
      </c>
    </row>
    <row r="200">
      <c r="B200" s="9" t="n">
        <v>198</v>
      </c>
      <c r="C200" s="10" t="inlineStr">
        <is>
          <t>TRƯỞNG NHÓM THIẾT KẾ (TRIỂN KHAI BẢN VẼ KỸ THUẬT NỘI THẤT SD) - LÀM VIỆC TẠI ĐÀ NẴNG - HÀ NỘI</t>
        </is>
      </c>
      <c r="D200" s="10" t="inlineStr">
        <is>
          <t>Công Ty TNHH Xây Dựng và Nội Thất Cao Cấp Alliance</t>
        </is>
      </c>
      <c r="E200" s="10" t="inlineStr">
        <is>
          <t>Lương:Cạnh tranh</t>
        </is>
      </c>
      <c r="F200" s="10" t="inlineStr">
        <is>
          <t>Hồ Chí MinhĐà NẵngHà Nội</t>
        </is>
      </c>
      <c r="G200" s="10" t="inlineStr">
        <is>
          <t>31-03-2026</t>
        </is>
      </c>
      <c r="H200" s="10" t="inlineStr">
        <is>
          <t>31/03/2026</t>
        </is>
      </c>
      <c r="I200" s="10" t="inlineStr">
        <is>
          <t>17/03/2026</t>
        </is>
      </c>
      <c r="J200" s="10" t="inlineStr">
        <is>
          <t>Mỹ thuật / Nghệ thuật / Thiết kế, Xây dựng, Nội ngoại thất</t>
        </is>
      </c>
      <c r="K200" s="10" t="inlineStr">
        <is>
          <t>Trên 3 Năm</t>
        </is>
      </c>
      <c r="L200" s="11">
        <f>HYPERLINK("https://careerviet.vn/vi/tim-viec-lam/truong-nhom-thiet-ke-trien-khai-ban-ve-ky-thuat-noi-that-sd-lam-viec-tai-da-nang-ha-noi.35C645A3.html","Xem chi tiết")</f>
        <v/>
      </c>
      <c r="M200" s="10" t="n"/>
    </row>
    <row r="201">
      <c r="B201" s="7" t="n">
        <v>199</v>
      </c>
      <c r="C201" t="inlineStr">
        <is>
          <t>Kỹ Thuật Viên Bảo Trì Điện - Ngành Khăn Giấy, Bao Bì</t>
        </is>
      </c>
      <c r="D201" t="inlineStr">
        <is>
          <t>CÔNG TY CỔ PHẦN THẾ GIỚI GIẤY</t>
        </is>
      </c>
      <c r="E201" t="inlineStr">
        <is>
          <t>Lương:12 Tr - 15 Tr VND</t>
        </is>
      </c>
      <c r="F201" t="inlineStr">
        <is>
          <t>Hồ Chí Minh</t>
        </is>
      </c>
      <c r="G201" t="inlineStr">
        <is>
          <t>31-03-2026</t>
        </is>
      </c>
      <c r="H201" t="inlineStr">
        <is>
          <t>31/03/2026</t>
        </is>
      </c>
      <c r="I201" t="inlineStr">
        <is>
          <t>17/03/2026</t>
        </is>
      </c>
      <c r="J201" t="inlineStr">
        <is>
          <t>Bảo trì / Sửa chữa, Điện / Điện tử / Điện lạnh / Điện công nghiệp, Cơ khí / Ô tô / Tự động hóa</t>
        </is>
      </c>
      <c r="K201" t="inlineStr">
        <is>
          <t>Trên 3 Năm</t>
        </is>
      </c>
      <c r="L201" s="8">
        <f>HYPERLINK("https://careerviet.vn/vi/tim-viec-lam/ky-thuat-vien-bao-tri-dien-nganh-khan-giay-bao-bi.35C6A046.html","Xem chi tiết")</f>
        <v/>
      </c>
    </row>
    <row r="202">
      <c r="B202" s="9" t="n">
        <v>200</v>
      </c>
      <c r="C202" s="10" t="inlineStr">
        <is>
          <t>Senior AI Engineer</t>
        </is>
      </c>
      <c r="D202" s="10" t="inlineStr">
        <is>
          <t>Công ty TNHH Viettel - CHT</t>
        </is>
      </c>
      <c r="E202" s="10" t="inlineStr">
        <is>
          <t>Lương:Cạnh tranh</t>
        </is>
      </c>
      <c r="F202" s="10" t="inlineStr">
        <is>
          <t>Hà Nội</t>
        </is>
      </c>
      <c r="G202" s="10" t="inlineStr">
        <is>
          <t>30-03-2026</t>
        </is>
      </c>
      <c r="H202" s="10" t="inlineStr">
        <is>
          <t>30/03/2026</t>
        </is>
      </c>
      <c r="I202" s="10" t="inlineStr">
        <is>
          <t>17/03/2026</t>
        </is>
      </c>
      <c r="J202" s="10" t="inlineStr">
        <is>
          <t>CNTT - Phần mềm, CNTT - Phần cứng / Mạng</t>
        </is>
      </c>
      <c r="K202" s="10" t="inlineStr">
        <is>
          <t>Trên 3 Năm</t>
        </is>
      </c>
      <c r="L202" s="11">
        <f>HYPERLINK("https://careerviet.vn/vi/tim-viec-lam/senior-ai-engineer.35C6BE00.html","Xem chi tiết")</f>
        <v/>
      </c>
      <c r="M202" s="10" t="n"/>
    </row>
    <row r="203">
      <c r="B203" s="7" t="n">
        <v>201</v>
      </c>
      <c r="C203" t="inlineStr">
        <is>
          <t>CHUYÊN VIÊN KHÁCH HÀNG CÁ NHÂN - CN KIÊN GIANG - KV TÂY NAM BỘ</t>
        </is>
      </c>
      <c r="D203" t="inlineStr">
        <is>
          <t>NGÂN HÀNG TMCP SÀI GÒN THƯƠNG TÍN (SACOMBANK)</t>
        </is>
      </c>
      <c r="E203" t="inlineStr">
        <is>
          <t>Lương:Cạnh tranh</t>
        </is>
      </c>
      <c r="F203" t="inlineStr">
        <is>
          <t>Kiên Giang</t>
        </is>
      </c>
      <c r="G203" t="inlineStr">
        <is>
          <t>25-03-2026</t>
        </is>
      </c>
      <c r="H203" t="inlineStr">
        <is>
          <t>25/03/2026</t>
        </is>
      </c>
      <c r="I203" t="inlineStr">
        <is>
          <t>17/03/2026</t>
        </is>
      </c>
      <c r="J203" t="inlineStr">
        <is>
          <t>Ngân hàng, Bảo hiểm, Tài chính / Đầu tư</t>
        </is>
      </c>
      <c r="K203" t="inlineStr">
        <is>
          <t>N/A</t>
        </is>
      </c>
      <c r="L203" s="8">
        <f>HYPERLINK("https://careerviet.vn/vi/tim-viec-lam/chuyen-vien-khach-hang-ca-nhan-cn-kien-giang-kv-tay-nam-bo.35C63E39.html","Xem chi tiết")</f>
        <v/>
      </c>
    </row>
    <row r="204">
      <c r="B204" s="9" t="n">
        <v>202</v>
      </c>
      <c r="C204" s="10" t="inlineStr">
        <is>
          <t>CHUYÊN VIÊN KHÁCH HÀNG CÁ NHÂN - CN BẾN TRE - KV TÂY NAM BỘ</t>
        </is>
      </c>
      <c r="D204" s="10" t="inlineStr">
        <is>
          <t>NGÂN HÀNG TMCP SÀI GÒN THƯƠNG TÍN (SACOMBANK)</t>
        </is>
      </c>
      <c r="E204" s="10" t="inlineStr">
        <is>
          <t>Lương:Cạnh tranh</t>
        </is>
      </c>
      <c r="F204" s="10" t="inlineStr">
        <is>
          <t>Bến TreVĩnh LongTiền Giang</t>
        </is>
      </c>
      <c r="G204" s="10" t="inlineStr">
        <is>
          <t>25-03-2026</t>
        </is>
      </c>
      <c r="H204" s="10" t="inlineStr">
        <is>
          <t>25/03/2026</t>
        </is>
      </c>
      <c r="I204" s="10" t="inlineStr">
        <is>
          <t>17/03/2026</t>
        </is>
      </c>
      <c r="J204" s="10" t="inlineStr">
        <is>
          <t>Ngân hàng, Bảo hiểm, Tài chính / Đầu tư</t>
        </is>
      </c>
      <c r="K204" s="10" t="inlineStr">
        <is>
          <t>N/A</t>
        </is>
      </c>
      <c r="L204" s="11">
        <f>HYPERLINK("https://careerviet.vn/vi/tim-viec-lam/chuyen-vien-khach-hang-ca-nhan-cn-ben-tre-kv-tay-nam-bo.35C63E37.html","Xem chi tiết")</f>
        <v/>
      </c>
      <c r="M204" s="10" t="n"/>
    </row>
    <row r="205">
      <c r="B205" s="7" t="n">
        <v>203</v>
      </c>
      <c r="C205" t="inlineStr">
        <is>
          <t>Chuyên Viên Kỹ Thuật &amp; R&amp;D</t>
        </is>
      </c>
      <c r="D205" t="inlineStr">
        <is>
          <t>CÔNG TY TNHH CÔNG NGHỆ NĂNG LƯỢNG CERGY</t>
        </is>
      </c>
      <c r="E205" t="inlineStr">
        <is>
          <t>Lương:11 Tr - 20 Tr VND</t>
        </is>
      </c>
      <c r="F205" t="inlineStr">
        <is>
          <t>Hồ Chí Minh</t>
        </is>
      </c>
      <c r="G205" t="inlineStr">
        <is>
          <t>2</t>
        </is>
      </c>
      <c r="H205" t="inlineStr">
        <is>
          <t>19/03/2026</t>
        </is>
      </c>
      <c r="I205" t="inlineStr">
        <is>
          <t>17/03/2026</t>
        </is>
      </c>
      <c r="J205" t="inlineStr">
        <is>
          <t>Cơ khí / Ô tô / Tự động hóa, Điện / Điện tử / Điện lạnh / Điện công nghiệp, Mỹ thuật / Nghệ thuật / Thiết kế</t>
        </is>
      </c>
      <c r="K205" t="inlineStr">
        <is>
          <t>Trên 1 Năm</t>
        </is>
      </c>
      <c r="L205" s="8">
        <f>HYPERLINK("https://careerviet.vn/vi/tim-viec-lam/chuyen-vien-ky-thuat-r-d.35C6348F.html","Xem chi tiết")</f>
        <v/>
      </c>
    </row>
    <row r="206">
      <c r="B206" s="9" t="n">
        <v>204</v>
      </c>
      <c r="C206" s="10" t="inlineStr">
        <is>
          <t>Phó Phòng nghiên cứu và phát triển sản phẩm (R&amp;D)</t>
        </is>
      </c>
      <c r="D206" s="10" t="inlineStr">
        <is>
          <t>CHI NHÁNH CÔNG TY CỔ PHẦN THỰC PHẨM TRẦN THÁI</t>
        </is>
      </c>
      <c r="E206" s="10" t="inlineStr">
        <is>
          <t>Lương:14 Tr - 15 Tr VND</t>
        </is>
      </c>
      <c r="F206" s="10" t="inlineStr">
        <is>
          <t>Hậu GiangHồ Chí MinhLong An</t>
        </is>
      </c>
      <c r="G206" s="10" t="inlineStr">
        <is>
          <t>24-03-2026</t>
        </is>
      </c>
      <c r="H206" s="10" t="inlineStr">
        <is>
          <t>24/03/2026</t>
        </is>
      </c>
      <c r="I206" s="10" t="inlineStr">
        <is>
          <t>17/03/2026</t>
        </is>
      </c>
      <c r="J206" s="10" t="inlineStr">
        <is>
          <t>Công nghệ thực phẩm / Dinh dưỡng, Sản xuất / Vận hành sản xuất, Thực phẩm &amp; Đồ uống</t>
        </is>
      </c>
      <c r="K206" s="10" t="inlineStr">
        <is>
          <t>2 - 3 Năm</t>
        </is>
      </c>
      <c r="L206" s="11">
        <f>HYPERLINK("https://careerviet.vn/vi/tim-viec-lam/pho-phong-nghien-cuu-va-phat-trien-san-pham-r-d.35C64677.html","Xem chi tiết")</f>
        <v/>
      </c>
      <c r="M206" s="10" t="n"/>
    </row>
    <row r="207">
      <c r="B207" s="7" t="n">
        <v>205</v>
      </c>
      <c r="C207" t="inlineStr">
        <is>
          <t>Quản Đốc Sản Xuất</t>
        </is>
      </c>
      <c r="D207" t="inlineStr">
        <is>
          <t>CHI NHÁNH CÔNG TY CỔ PHẦN THỰC PHẨM TRẦN THÁI</t>
        </is>
      </c>
      <c r="E207" t="inlineStr">
        <is>
          <t>Lương:20 Tr - 25 Tr VND</t>
        </is>
      </c>
      <c r="F207" t="inlineStr">
        <is>
          <t>Hậu GiangHồ Chí MinhLong An</t>
        </is>
      </c>
      <c r="G207" t="inlineStr">
        <is>
          <t>01-04-2026</t>
        </is>
      </c>
      <c r="H207" t="inlineStr">
        <is>
          <t>01/04/2026</t>
        </is>
      </c>
      <c r="I207" t="inlineStr">
        <is>
          <t>17/03/2026</t>
        </is>
      </c>
      <c r="J207" t="inlineStr">
        <is>
          <t>Thủy sản / Hải sản, Sản xuất / Vận hành sản xuất, Quản lý điều hành</t>
        </is>
      </c>
      <c r="K207" t="inlineStr">
        <is>
          <t>3 - 5 Năm</t>
        </is>
      </c>
      <c r="L207" s="8">
        <f>HYPERLINK("https://careerviet.vn/vi/tim-viec-lam/quan-doc-san-xuat.35C64674.html","Xem chi tiết")</f>
        <v/>
      </c>
    </row>
    <row r="208">
      <c r="B208" s="9" t="n">
        <v>206</v>
      </c>
      <c r="C208" s="10" t="inlineStr">
        <is>
          <t>Cửa hàng trưởng (khu vực Nha Trang, Vũng Tàu)</t>
        </is>
      </c>
      <c r="D208" s="10" t="inlineStr">
        <is>
          <t>Cà Phê Muối Chú Long</t>
        </is>
      </c>
      <c r="E208" s="10" t="inlineStr">
        <is>
          <t>Lương:9 Tr - 11 Tr VND</t>
        </is>
      </c>
      <c r="F208" s="10" t="inlineStr">
        <is>
          <t>Bà Rịa - Vũng TàuKhánh HòaHồ Chí Minh</t>
        </is>
      </c>
      <c r="G208" s="10" t="inlineStr">
        <is>
          <t>2</t>
        </is>
      </c>
      <c r="H208" s="10" t="inlineStr">
        <is>
          <t>19/03/2026</t>
        </is>
      </c>
      <c r="I208" s="10" t="inlineStr">
        <is>
          <t>17/03/2026</t>
        </is>
      </c>
      <c r="J208" s="10" t="inlineStr">
        <is>
          <t>Thực phẩm &amp; Đồ uống, Nhà hàng / Khách sạn</t>
        </is>
      </c>
      <c r="K208" s="10" t="inlineStr">
        <is>
          <t>1 - 2 Năm</t>
        </is>
      </c>
      <c r="L208" s="11">
        <f>HYPERLINK("https://careerviet.vn/vi/tim-viec-lam/cua-hang-truong-khu-vuc-nha-trang-vung-tau.35C6347B.html","Xem chi tiết")</f>
        <v/>
      </c>
      <c r="M208" s="10" t="n"/>
    </row>
    <row r="209">
      <c r="B209" s="7" t="n">
        <v>207</v>
      </c>
      <c r="C209" t="inlineStr">
        <is>
          <t>Phó ban Năng lượng tái tạo</t>
        </is>
      </c>
      <c r="D209" t="inlineStr">
        <is>
          <t>Công ty cổ phần Tập đoàn Trường Thành Việt Nam</t>
        </is>
      </c>
      <c r="E209" t="inlineStr">
        <is>
          <t>Lương:40 Tr - 50 Tr VND</t>
        </is>
      </c>
      <c r="F209" t="inlineStr">
        <is>
          <t>Hà Nội</t>
        </is>
      </c>
      <c r="G209" t="inlineStr">
        <is>
          <t>10-04-2026</t>
        </is>
      </c>
      <c r="H209" t="inlineStr">
        <is>
          <t>10/04/2026</t>
        </is>
      </c>
      <c r="I209" t="inlineStr">
        <is>
          <t>17/03/2026</t>
        </is>
      </c>
      <c r="J209" t="inlineStr">
        <is>
          <t>Điện / Điện tử / Điện lạnh / Điện công nghiệp, Xây dựng</t>
        </is>
      </c>
      <c r="K209" t="inlineStr">
        <is>
          <t>10 - 15 Năm</t>
        </is>
      </c>
      <c r="L209" s="8">
        <f>HYPERLINK("https://careerviet.vn/vi/tim-viec-lam/pho-ban-nang-luong-tai-tao.35C6BBDA.html","Xem chi tiết")</f>
        <v/>
      </c>
    </row>
    <row r="210">
      <c r="B210" s="9" t="n">
        <v>208</v>
      </c>
      <c r="C210" s="10" t="inlineStr">
        <is>
          <t>Kiến Trúc Sư</t>
        </is>
      </c>
      <c r="D210" s="10" t="inlineStr">
        <is>
          <t>Công ty TNHH Kiến trúc - Xây dựng - Đào tạo</t>
        </is>
      </c>
      <c r="E210" s="10" t="inlineStr">
        <is>
          <t>Lương:Cạnh tranh</t>
        </is>
      </c>
      <c r="F210" s="10" t="inlineStr">
        <is>
          <t>Hồ Chí Minh</t>
        </is>
      </c>
      <c r="G210" s="10" t="inlineStr">
        <is>
          <t>3</t>
        </is>
      </c>
      <c r="H210" s="10" t="inlineStr">
        <is>
          <t>20/03/2026</t>
        </is>
      </c>
      <c r="I210" s="10" t="inlineStr">
        <is>
          <t>17/03/2026</t>
        </is>
      </c>
      <c r="J210" s="10" t="inlineStr">
        <is>
          <t>Kiến trúc, Xây dựng, Bất động sản</t>
        </is>
      </c>
      <c r="K210" s="10" t="inlineStr">
        <is>
          <t>N/A</t>
        </is>
      </c>
      <c r="L210" s="11">
        <f>HYPERLINK("https://careerviet.vn/vi/tim-viec-lam/kien-truc-su.35C635C8.html","Xem chi tiết")</f>
        <v/>
      </c>
      <c r="M210" s="10" t="n"/>
    </row>
    <row r="211">
      <c r="B211" s="7" t="n">
        <v>209</v>
      </c>
      <c r="C211" t="inlineStr">
        <is>
          <t>Nhân Viên QS / QC Xây Dựng - MEP</t>
        </is>
      </c>
      <c r="D211" t="inlineStr">
        <is>
          <t>Chi Nhánh Miền Nam - Tổng Công Ty Cổ Phần Xây Dựng Công Nghiệp Việt Nam</t>
        </is>
      </c>
      <c r="E211" t="inlineStr">
        <is>
          <t>Lương:14 Tr - 16 Tr VND</t>
        </is>
      </c>
      <c r="F211" t="inlineStr">
        <is>
          <t>Khánh HòaKiên Giang</t>
        </is>
      </c>
      <c r="G211" t="inlineStr">
        <is>
          <t>6</t>
        </is>
      </c>
      <c r="H211" t="inlineStr">
        <is>
          <t>23/03/2026</t>
        </is>
      </c>
      <c r="I211" t="inlineStr">
        <is>
          <t>17/03/2026</t>
        </is>
      </c>
      <c r="J211" t="inlineStr">
        <is>
          <t>Điện / Điện tử / Điện lạnh / Điện công nghiệp, Quản lý chất lượng (QA/QC), Xây dựng</t>
        </is>
      </c>
      <c r="K211" t="inlineStr">
        <is>
          <t>N/A</t>
        </is>
      </c>
      <c r="L211" s="8">
        <f>HYPERLINK("https://careerviet.vn/vi/tim-viec-lam/nhan-vien-qs-qc-xay-dung-mep.35C63915.html","Xem chi tiết")</f>
        <v/>
      </c>
    </row>
    <row r="212">
      <c r="B212" s="9" t="n">
        <v>210</v>
      </c>
      <c r="C212" s="10" t="inlineStr">
        <is>
          <t>Kỹ sư thiết kế kết cấu</t>
        </is>
      </c>
      <c r="D212" s="10" t="inlineStr">
        <is>
          <t>CÔNG TY CP TẬP ĐOÀN ĐẦU TƯ HOÀNG GIA VIỆT NAM</t>
        </is>
      </c>
      <c r="E212" s="10" t="inlineStr">
        <is>
          <t>Lương:Cạnh tranh</t>
        </is>
      </c>
      <c r="F212" s="10" t="inlineStr">
        <is>
          <t>Hồ Chí Minh</t>
        </is>
      </c>
      <c r="G212" s="10" t="inlineStr">
        <is>
          <t>1</t>
        </is>
      </c>
      <c r="H212" s="10" t="inlineStr">
        <is>
          <t>18/03/2026</t>
        </is>
      </c>
      <c r="I212" s="10" t="inlineStr">
        <is>
          <t>17/03/2026</t>
        </is>
      </c>
      <c r="J212" s="10" t="inlineStr">
        <is>
          <t>Kiến trúc, Xây dựng</t>
        </is>
      </c>
      <c r="K212" s="10" t="inlineStr">
        <is>
          <t>Trên 5 Năm</t>
        </is>
      </c>
      <c r="L212" s="11">
        <f>HYPERLINK("https://careerviet.vn/vi/tim-viec-lam/ky-su-thiet-ke-ket-cau.35C633A5.html","Xem chi tiết")</f>
        <v/>
      </c>
      <c r="M212" s="10" t="n"/>
    </row>
    <row r="213">
      <c r="B213" s="7" t="n">
        <v>211</v>
      </c>
      <c r="C213" t="inlineStr">
        <is>
          <t>Trưởng phòng kinh doanh truyền thông quảng cáo tại Hà Nội</t>
        </is>
      </c>
      <c r="D213" t="inlineStr">
        <is>
          <t>Công ty Cổ Phần Tập Đoàn Bizman</t>
        </is>
      </c>
      <c r="E213" t="inlineStr">
        <is>
          <t>Lương:Cạnh tranh</t>
        </is>
      </c>
      <c r="F213" t="inlineStr">
        <is>
          <t>Hà Nội</t>
        </is>
      </c>
      <c r="G213" t="inlineStr">
        <is>
          <t>Hôm nay</t>
        </is>
      </c>
      <c r="H213" t="inlineStr">
        <is>
          <t>17/03/2026</t>
        </is>
      </c>
      <c r="I213" t="inlineStr">
        <is>
          <t>17/03/2026</t>
        </is>
      </c>
      <c r="J213" t="inlineStr">
        <is>
          <t>Bán hàng / Kinh doanh, Quản lý điều hành, Quảng cáo / Đối ngoại / Truyền Thông</t>
        </is>
      </c>
      <c r="K213" t="inlineStr">
        <is>
          <t>N/A</t>
        </is>
      </c>
      <c r="L213" s="8">
        <f>HYPERLINK("https://careerviet.vn/vi/tim-viec-lam/truong-phong-kinh-doanh-truyen-thong-quang-cao-tai-ha-noi.35C63051.html","Xem chi tiết")</f>
        <v/>
      </c>
    </row>
    <row r="214">
      <c r="B214" s="9" t="n">
        <v>212</v>
      </c>
      <c r="C214" s="10" t="inlineStr">
        <is>
          <t>Cán Bộ An Toàn Lao Động</t>
        </is>
      </c>
      <c r="D214" s="10" t="inlineStr">
        <is>
          <t>Chi Nhánh Miền Nam - Tổng Công Ty Cổ Phần Xây Dựng Công Nghiệp Việt Nam</t>
        </is>
      </c>
      <c r="E214" s="10" t="inlineStr">
        <is>
          <t>Lương:12 Tr - 14 Tr VND</t>
        </is>
      </c>
      <c r="F214" s="10" t="inlineStr">
        <is>
          <t>Khánh Hòa</t>
        </is>
      </c>
      <c r="G214" s="10" t="inlineStr">
        <is>
          <t>6</t>
        </is>
      </c>
      <c r="H214" s="10" t="inlineStr">
        <is>
          <t>23/03/2026</t>
        </is>
      </c>
      <c r="I214" s="10" t="inlineStr">
        <is>
          <t>17/03/2026</t>
        </is>
      </c>
      <c r="J214" s="10" t="inlineStr">
        <is>
          <t>An toàn lao động, Xây dựng</t>
        </is>
      </c>
      <c r="K214" s="10" t="inlineStr">
        <is>
          <t>N/A</t>
        </is>
      </c>
      <c r="L214" s="11">
        <f>HYPERLINK("https://careerviet.vn/vi/tim-viec-lam/can-bo-an-toan-lao-dong.35C63914.html","Xem chi tiết")</f>
        <v/>
      </c>
      <c r="M214" s="10" t="n"/>
    </row>
    <row r="215">
      <c r="B215" s="7" t="n">
        <v>213</v>
      </c>
      <c r="C215" t="inlineStr">
        <is>
          <t>QC Executive - DC Dĩ An, Bình Dương (Retail)</t>
        </is>
      </c>
      <c r="D215" t="inlineStr">
        <is>
          <t>CÔNG TY CỔ PHẦN KING FOOD MARKET</t>
        </is>
      </c>
      <c r="E215" t="inlineStr">
        <is>
          <t>Lương:8 Tr - 10 Tr VND</t>
        </is>
      </c>
      <c r="F215" t="inlineStr">
        <is>
          <t>Bình Dương</t>
        </is>
      </c>
      <c r="G215" t="inlineStr">
        <is>
          <t>Hôm nay</t>
        </is>
      </c>
      <c r="H215" t="inlineStr">
        <is>
          <t>17/03/2026</t>
        </is>
      </c>
      <c r="I215" t="inlineStr">
        <is>
          <t>17/03/2026</t>
        </is>
      </c>
      <c r="J215" t="inlineStr">
        <is>
          <t>Bán lẻ / Bán sỉ, Quản lý chất lượng (QA/QC), Vận chuyển / Giao nhận / Kho vận</t>
        </is>
      </c>
      <c r="K215" t="inlineStr">
        <is>
          <t>Chưa có kinh nghiệm</t>
        </is>
      </c>
      <c r="L215" s="8">
        <f>HYPERLINK("https://careerviet.vn/vi/tim-viec-lam/qc-executive-dc-di-an-binh-duong-retail.35C6316B.html","Xem chi tiết")</f>
        <v/>
      </c>
    </row>
    <row r="216">
      <c r="B216" s="9" t="n">
        <v>214</v>
      </c>
      <c r="C216" s="10" t="inlineStr">
        <is>
          <t>Nhân viên mua hàng</t>
        </is>
      </c>
      <c r="D216" s="10" t="inlineStr">
        <is>
          <t>CÔNG TY TNHH DALAT PALACE GOLF</t>
        </is>
      </c>
      <c r="E216" s="10" t="inlineStr">
        <is>
          <t>Lương:Cạnh tranh</t>
        </is>
      </c>
      <c r="F216" s="10" t="inlineStr">
        <is>
          <t>Lâm Đồng</t>
        </is>
      </c>
      <c r="G216" s="10" t="inlineStr">
        <is>
          <t>Hôm nay</t>
        </is>
      </c>
      <c r="H216" s="10" t="inlineStr">
        <is>
          <t>17/03/2026</t>
        </is>
      </c>
      <c r="I216" s="10" t="inlineStr">
        <is>
          <t>17/03/2026</t>
        </is>
      </c>
      <c r="J216" s="10" t="inlineStr">
        <is>
          <t>Thu mua / Vật tư</t>
        </is>
      </c>
      <c r="K216" s="10" t="inlineStr">
        <is>
          <t>1 - 2 Năm</t>
        </is>
      </c>
      <c r="L216" s="11">
        <f>HYPERLINK("https://careerviet.vn/vi/tim-viec-lam/nhan-vien-mua-hang.35C63073.html","Xem chi tiết")</f>
        <v/>
      </c>
      <c r="M216" s="10" t="n"/>
    </row>
    <row r="217">
      <c r="B217" s="7" t="n">
        <v>215</v>
      </c>
      <c r="C217" t="inlineStr">
        <is>
          <t>Talent acquisition tại Hà Nội hoặc Hồ Chí Minh - Lương thưởng hấp dẫn + Nghỉ thứ 7 và chủ nhật</t>
        </is>
      </c>
      <c r="D217" t="inlineStr">
        <is>
          <t>Công ty Cổ Phần Tập Đoàn Bizman</t>
        </is>
      </c>
      <c r="E217" t="inlineStr">
        <is>
          <t>Lương:Cạnh tranh</t>
        </is>
      </c>
      <c r="F217" t="inlineStr">
        <is>
          <t>Hà Nội</t>
        </is>
      </c>
      <c r="G217" t="inlineStr">
        <is>
          <t>Hôm nay</t>
        </is>
      </c>
      <c r="H217" t="inlineStr">
        <is>
          <t>17/03/2026</t>
        </is>
      </c>
      <c r="I217" t="inlineStr">
        <is>
          <t>17/03/2026</t>
        </is>
      </c>
      <c r="J217" t="inlineStr">
        <is>
          <t>Hành chính / Thư ký, Quản lý điều hành, Nhân sự</t>
        </is>
      </c>
      <c r="K217" t="inlineStr">
        <is>
          <t>Lên đến 3 NămĐịa điểm</t>
        </is>
      </c>
      <c r="L217" s="8">
        <f>HYPERLINK("https://careerviet.vn/vi/tim-viec-lam/talent-acquisition-tai-ha-noi-hoac-ho-chi-minh-luong-thuong-hap-dan-nghi-thu-7-va-chu-nhat.35C63043.html","Xem chi tiết")</f>
        <v/>
      </c>
    </row>
    <row r="218">
      <c r="B218" s="9" t="n">
        <v>216</v>
      </c>
      <c r="C218" s="10" t="inlineStr">
        <is>
          <t>KẾ TOÁN TỔNG HỢP(Mới)</t>
        </is>
      </c>
      <c r="D218" s="10" t="inlineStr">
        <is>
          <t>CÔNG TY CỔ PHẦN CHẾ BIẾN THỰC PHẨM HOÀNG SƠN</t>
        </is>
      </c>
      <c r="E218" s="10" t="inlineStr">
        <is>
          <t>Lương:Cạnh tranh</t>
        </is>
      </c>
      <c r="F218" s="10" t="inlineStr">
        <is>
          <t>Bình Dương</t>
        </is>
      </c>
      <c r="G218" s="10" t="inlineStr">
        <is>
          <t>30-04-2026</t>
        </is>
      </c>
      <c r="H218" s="10" t="inlineStr">
        <is>
          <t>30/04/2026</t>
        </is>
      </c>
      <c r="I218" s="10" t="inlineStr">
        <is>
          <t>17/03/2026</t>
        </is>
      </c>
      <c r="J218" s="10" t="inlineStr">
        <is>
          <t>Kế toán / Kiểm toán, Tài chính / Đầu tư</t>
        </is>
      </c>
      <c r="K218" s="10" t="inlineStr">
        <is>
          <t>3 - 5 Năm</t>
        </is>
      </c>
      <c r="L218" s="11">
        <f>HYPERLINK("https://careerviet.vn/vi/tim-viec-lam/ke-toan-tong-hop.35C6CD66.html","Xem chi tiết")</f>
        <v/>
      </c>
      <c r="M218" s="10" t="n"/>
    </row>
    <row r="219">
      <c r="B219" s="7" t="n">
        <v>217</v>
      </c>
      <c r="C219" t="inlineStr">
        <is>
          <t>NHÂN VIÊN KỸ THUẬT</t>
        </is>
      </c>
      <c r="D219" t="inlineStr">
        <is>
          <t>CÔNG TY TNHH THƯƠNG MẠI AGENA</t>
        </is>
      </c>
      <c r="E219" t="inlineStr">
        <is>
          <t>Lương:10 Tr - 15 Tr VND</t>
        </is>
      </c>
      <c r="F219" t="inlineStr">
        <is>
          <t>Hồ Chí Minh</t>
        </is>
      </c>
      <c r="G219" t="inlineStr">
        <is>
          <t>31-03-2026</t>
        </is>
      </c>
      <c r="H219" t="inlineStr">
        <is>
          <t>31/03/2026</t>
        </is>
      </c>
      <c r="I219" t="inlineStr">
        <is>
          <t>17/03/2026</t>
        </is>
      </c>
      <c r="J219" t="inlineStr">
        <is>
          <t>Điện / Điện tử / Điện lạnh / Điện công nghiệp, Bảo trì / Sửa chữa, Cơ khí / Ô tô / Tự động hóa</t>
        </is>
      </c>
      <c r="K219" t="inlineStr">
        <is>
          <t>Trên 1 Năm</t>
        </is>
      </c>
      <c r="L219" s="8">
        <f>HYPERLINK("https://careerviet.vn/vi/tim-viec-lam/nhan-vien-ky-thuat.35C5F04F.html","Xem chi tiết")</f>
        <v/>
      </c>
    </row>
    <row r="220">
      <c r="B220" s="9" t="n">
        <v>218</v>
      </c>
      <c r="C220" s="10" t="inlineStr">
        <is>
          <t>Kế Toán Tổng Hợp</t>
        </is>
      </c>
      <c r="D220" s="10" t="inlineStr">
        <is>
          <t>CÔNG TY CỔ PHẦN PHÁT TRIỂN GIÁO DỤC QUỐC TẾ GAIA</t>
        </is>
      </c>
      <c r="E220" s="10" t="inlineStr">
        <is>
          <t>Lương:17 Tr - 20 Tr VND</t>
        </is>
      </c>
      <c r="F220" s="10" t="inlineStr">
        <is>
          <t>Hà Nội</t>
        </is>
      </c>
      <c r="G220" s="10" t="inlineStr">
        <is>
          <t>31-03-2026</t>
        </is>
      </c>
      <c r="H220" s="10" t="inlineStr">
        <is>
          <t>31/03/2026</t>
        </is>
      </c>
      <c r="I220" s="10" t="inlineStr">
        <is>
          <t>17/03/2026</t>
        </is>
      </c>
      <c r="J220" s="10" t="inlineStr">
        <is>
          <t>Kế toán / Kiểm toán, Ngân hàng, Tài chính / Đầu tư</t>
        </is>
      </c>
      <c r="K220" s="10" t="inlineStr">
        <is>
          <t>2 - 3 Năm</t>
        </is>
      </c>
      <c r="L220" s="11">
        <f>HYPERLINK("https://careerviet.vn/vi/tim-viec-lam/ke-toan-tong-hop.35BEF493.html","Xem chi tiết")</f>
        <v/>
      </c>
      <c r="M220" s="10" t="n"/>
    </row>
    <row r="221">
      <c r="B221" s="7" t="n">
        <v>219</v>
      </c>
      <c r="C221" t="inlineStr">
        <is>
          <t>Finance Management – Manufacturing and Purchasing Optimization</t>
        </is>
      </c>
      <c r="D221" t="inlineStr">
        <is>
          <t>VINFAST TRADING AND PRODUCTION JSC</t>
        </is>
      </c>
      <c r="E221" t="inlineStr">
        <is>
          <t>Lương:Cạnh tranh</t>
        </is>
      </c>
      <c r="F221" t="inlineStr">
        <is>
          <t>Hà NộiHà Tĩnh</t>
        </is>
      </c>
      <c r="G221" t="inlineStr">
        <is>
          <t>3</t>
        </is>
      </c>
      <c r="H221" t="inlineStr">
        <is>
          <t>20/03/2026</t>
        </is>
      </c>
      <c r="I221" t="inlineStr">
        <is>
          <t>17/03/2026</t>
        </is>
      </c>
      <c r="J221" t="inlineStr">
        <is>
          <t>Kế toán / Kiểm toán, Tài chính / Đầu tư</t>
        </is>
      </c>
      <c r="K221" t="inlineStr">
        <is>
          <t>N/A</t>
        </is>
      </c>
      <c r="L221" s="8">
        <f>HYPERLINK("https://careerviet.vn/vi/tim-viec-lam/finance-management-manufacturing-and-purchasing-optimization.35C63615.html","Xem chi tiết")</f>
        <v/>
      </c>
    </row>
    <row r="222">
      <c r="B222" s="9" t="n">
        <v>220</v>
      </c>
      <c r="C222" s="10" t="inlineStr">
        <is>
          <t>Chuyên viên pháp lý Hợp đồng(Mới)</t>
        </is>
      </c>
      <c r="D222" s="10" t="inlineStr">
        <is>
          <t>Công ty cổ phần Xây dựng Công trình IPC</t>
        </is>
      </c>
      <c r="E222" s="10" t="inlineStr">
        <is>
          <t>Lương:15 Tr - 20 Tr VND</t>
        </is>
      </c>
      <c r="F222" s="10" t="inlineStr">
        <is>
          <t>Hà Nội</t>
        </is>
      </c>
      <c r="G222" s="10" t="inlineStr">
        <is>
          <t>05-04-2026</t>
        </is>
      </c>
      <c r="H222" s="10" t="inlineStr">
        <is>
          <t>05/04/2026</t>
        </is>
      </c>
      <c r="I222" s="10" t="inlineStr">
        <is>
          <t>17/03/2026</t>
        </is>
      </c>
      <c r="J222" s="10" t="inlineStr">
        <is>
          <t>Luật / Pháp lý</t>
        </is>
      </c>
      <c r="K222" s="10" t="inlineStr">
        <is>
          <t>2 - 5 Năm</t>
        </is>
      </c>
      <c r="L222" s="11">
        <f>HYPERLINK("https://careerviet.vn/vi/tim-viec-lam/chuyen-vien-phap-ly-hop-dong.35C6CC9D.html","Xem chi tiết")</f>
        <v/>
      </c>
      <c r="M222" s="10" t="n"/>
    </row>
    <row r="223">
      <c r="B223" s="7" t="n">
        <v>221</v>
      </c>
      <c r="C223" t="inlineStr">
        <is>
          <t>Thư ký ban Phát triển sản phẩm tại Hà Nội - Lương hấp dẫn (nghỉ thứ 7 và chủ nhật)</t>
        </is>
      </c>
      <c r="D223" t="inlineStr">
        <is>
          <t>Công ty Cổ Phần Tập Đoàn Bizman</t>
        </is>
      </c>
      <c r="E223" t="inlineStr">
        <is>
          <t>Lương:Cạnh tranh</t>
        </is>
      </c>
      <c r="F223" t="inlineStr">
        <is>
          <t>Hà Nội</t>
        </is>
      </c>
      <c r="G223" t="inlineStr">
        <is>
          <t>Hôm nay</t>
        </is>
      </c>
      <c r="H223" t="inlineStr">
        <is>
          <t>17/03/2026</t>
        </is>
      </c>
      <c r="I223" t="inlineStr">
        <is>
          <t>17/03/2026</t>
        </is>
      </c>
      <c r="J223" t="inlineStr">
        <is>
          <t>Hành chính / Thư ký, Quản lý điều hành, Biên phiên dịch</t>
        </is>
      </c>
      <c r="K223" t="inlineStr">
        <is>
          <t>N/A</t>
        </is>
      </c>
      <c r="L223" s="8">
        <f>HYPERLINK("https://careerviet.vn/vi/tim-viec-lam/thu-ky-ban-phat-trien-san-pham-tai-ha-noi-luong-hap-dan-nghi-thu-7-va-chu-nhat.35C6304B.html","Xem chi tiết")</f>
        <v/>
      </c>
    </row>
    <row r="224">
      <c r="B224" s="9" t="n">
        <v>222</v>
      </c>
      <c r="C224" s="10" t="inlineStr">
        <is>
          <t>Chuyên Viên Kinh Doanh Truyền Thông Quảng Cáo OOH tại Hà Nội</t>
        </is>
      </c>
      <c r="D224" s="10" t="inlineStr">
        <is>
          <t>Công ty Cổ Phần Tập Đoàn Bizman</t>
        </is>
      </c>
      <c r="E224" s="10" t="inlineStr">
        <is>
          <t>Lương:Cạnh tranh</t>
        </is>
      </c>
      <c r="F224" s="10" t="inlineStr">
        <is>
          <t>Hà Nội</t>
        </is>
      </c>
      <c r="G224" s="10" t="inlineStr">
        <is>
          <t>Hôm nay</t>
        </is>
      </c>
      <c r="H224" s="10" t="inlineStr">
        <is>
          <t>17/03/2026</t>
        </is>
      </c>
      <c r="I224" s="10" t="inlineStr">
        <is>
          <t>17/03/2026</t>
        </is>
      </c>
      <c r="J224" s="10" t="inlineStr">
        <is>
          <t>Tiếp thị / Marketing, Bán hàng / Kinh doanh, Quảng cáo / Đối ngoại / Truyền Thông</t>
        </is>
      </c>
      <c r="K224" s="10" t="inlineStr">
        <is>
          <t>1 - 2 Năm</t>
        </is>
      </c>
      <c r="L224" s="11">
        <f>HYPERLINK("https://careerviet.vn/vi/tim-viec-lam/chuyen-vien-kinh-doanh-truyen-thong-quang-cao-ooh-tai-ha-noi.35C6304E.html","Xem chi tiết")</f>
        <v/>
      </c>
      <c r="M224" s="10" t="n"/>
    </row>
    <row r="225">
      <c r="B225" s="7" t="n">
        <v>223</v>
      </c>
      <c r="C225" t="inlineStr">
        <is>
          <t>TRƯỞNG PHÒNG KINH DOANH(Mới)</t>
        </is>
      </c>
      <c r="D225" t="inlineStr">
        <is>
          <t>Công ty TNHH Hunter Douglas Indochina</t>
        </is>
      </c>
      <c r="E225" t="inlineStr">
        <is>
          <t>Lương:Cạnh tranh</t>
        </is>
      </c>
      <c r="F225" t="inlineStr">
        <is>
          <t>Hà Nội</t>
        </is>
      </c>
      <c r="G225" t="inlineStr">
        <is>
          <t>29-04-2026</t>
        </is>
      </c>
      <c r="H225" t="inlineStr">
        <is>
          <t>29/04/2026</t>
        </is>
      </c>
      <c r="I225" t="inlineStr">
        <is>
          <t>17/03/2026</t>
        </is>
      </c>
      <c r="J225" t="inlineStr">
        <is>
          <t>Bán hàng / Kinh doanh, Xây dựng, Kiến trúc</t>
        </is>
      </c>
      <c r="K225" t="inlineStr">
        <is>
          <t>Trên 3 Năm</t>
        </is>
      </c>
      <c r="L225" s="8">
        <f>HYPERLINK("https://careerviet.vn/vi/tim-viec-lam/truong-phong-kinh-doanh.35C6CD53.html","Xem chi tiết")</f>
        <v/>
      </c>
    </row>
    <row r="226">
      <c r="B226" s="9" t="n">
        <v>224</v>
      </c>
      <c r="C226" s="10" t="inlineStr">
        <is>
          <t>Chuyên viên Pháp chế(Mới)</t>
        </is>
      </c>
      <c r="D226" s="10" t="inlineStr">
        <is>
          <t>CÔNG TY CỔ PHẦN ĐẦU TƯ ĐỊA ỐC VẠN PHÚC</t>
        </is>
      </c>
      <c r="E226" s="10" t="inlineStr">
        <is>
          <t>Lương:Cạnh tranh</t>
        </is>
      </c>
      <c r="F226" s="10" t="inlineStr">
        <is>
          <t>Hồ Chí Minh</t>
        </is>
      </c>
      <c r="G226" s="10" t="inlineStr">
        <is>
          <t>29-04-2026</t>
        </is>
      </c>
      <c r="H226" s="10" t="inlineStr">
        <is>
          <t>29/04/2026</t>
        </is>
      </c>
      <c r="I226" s="10" t="inlineStr">
        <is>
          <t>17/03/2026</t>
        </is>
      </c>
      <c r="J226" s="10" t="inlineStr">
        <is>
          <t>Luật / Pháp lý, Bất động sản</t>
        </is>
      </c>
      <c r="K226" s="10" t="inlineStr">
        <is>
          <t>2 - 10 Năm</t>
        </is>
      </c>
      <c r="L226" s="11">
        <f>HYPERLINK("https://careerviet.vn/vi/tim-viec-lam/chuyen-vien-phap-che.35C6CD62.html","Xem chi tiết")</f>
        <v/>
      </c>
      <c r="M226" s="10" t="n"/>
    </row>
    <row r="227">
      <c r="B227" s="7" t="n">
        <v>225</v>
      </c>
      <c r="C227" t="inlineStr">
        <is>
          <t>Chuyên viên phát triển mặt bằng thi công quảng cáo tại Hà Nội - Nghỉ thứ 7 và chủ nhật - Lương từ 12tr-20tr</t>
        </is>
      </c>
      <c r="D227" t="inlineStr">
        <is>
          <t>Công ty Cổ Phần Tập Đoàn Bizman</t>
        </is>
      </c>
      <c r="E227" t="inlineStr">
        <is>
          <t>Lương:12 Tr - 20 Tr VND</t>
        </is>
      </c>
      <c r="F227" t="inlineStr">
        <is>
          <t>Hà Nội</t>
        </is>
      </c>
      <c r="G227" t="inlineStr">
        <is>
          <t>Hôm nay</t>
        </is>
      </c>
      <c r="H227" t="inlineStr">
        <is>
          <t>17/03/2026</t>
        </is>
      </c>
      <c r="I227" t="inlineStr">
        <is>
          <t>17/03/2026</t>
        </is>
      </c>
      <c r="J227" t="inlineStr">
        <is>
          <t>Tiếp thị / Marketing, Quảng cáo / Đối ngoại / Truyền Thông, Xây dựng</t>
        </is>
      </c>
      <c r="K227" t="inlineStr">
        <is>
          <t>Không yêu cầu kinh nghiệmĐịa điểm</t>
        </is>
      </c>
      <c r="L227" s="8">
        <f>HYPERLINK("https://careerviet.vn/vi/tim-viec-lam/chuyen-vien-phat-trien-mat-bang-thi-cong-quang-cao-tai-ha-noi-nghi-thu-7-va-chu-nhat-luong-tu-12tr-20tr.35C63040.html","Xem chi tiết")</f>
        <v/>
      </c>
    </row>
    <row r="228">
      <c r="B228" s="9" t="n">
        <v>226</v>
      </c>
      <c r="C228" s="10" t="inlineStr">
        <is>
          <t>Chuyên viên Thiết kế Kết cấu(Mới)</t>
        </is>
      </c>
      <c r="D228" s="10" t="inlineStr">
        <is>
          <t>CÔNG TY CỔ PHẦN ĐẦU TƯ ĐỊA ỐC VẠN PHÚC</t>
        </is>
      </c>
      <c r="E228" s="10" t="inlineStr">
        <is>
          <t>Lương:Cạnh tranh</t>
        </is>
      </c>
      <c r="F228" s="10" t="inlineStr">
        <is>
          <t>Hồ Chí Minh</t>
        </is>
      </c>
      <c r="G228" s="10" t="inlineStr">
        <is>
          <t>29-04-2026</t>
        </is>
      </c>
      <c r="H228" s="10" t="inlineStr">
        <is>
          <t>29/04/2026</t>
        </is>
      </c>
      <c r="I228" s="10" t="inlineStr">
        <is>
          <t>17/03/2026</t>
        </is>
      </c>
      <c r="J228" s="10" t="inlineStr">
        <is>
          <t>Xây dựng, Mỹ thuật / Nghệ thuật / Thiết kế, Bất động sản</t>
        </is>
      </c>
      <c r="K228" s="10" t="inlineStr">
        <is>
          <t>2 - 10 Năm</t>
        </is>
      </c>
      <c r="L228" s="11">
        <f>HYPERLINK("https://careerviet.vn/vi/tim-viec-lam/chuyen-vien-thiet-ke-ket-cau.35C6CD59.html","Xem chi tiết")</f>
        <v/>
      </c>
      <c r="M228" s="10" t="n"/>
    </row>
    <row r="229">
      <c r="B229" s="7" t="n">
        <v>227</v>
      </c>
      <c r="C229" t="inlineStr">
        <is>
          <t>Sales Manager Logistics (Freight Forwarding / B2B Sales)(Mới)</t>
        </is>
      </c>
      <c r="D229" t="inlineStr">
        <is>
          <t>Công Ty CP Interlink</t>
        </is>
      </c>
      <c r="E229" t="inlineStr">
        <is>
          <t>Lương:30 Tr - 40 Tr VND</t>
        </is>
      </c>
      <c r="F229" t="inlineStr">
        <is>
          <t>Hồ Chí Minh</t>
        </is>
      </c>
      <c r="G229" t="inlineStr">
        <is>
          <t>31-05-2026</t>
        </is>
      </c>
      <c r="H229" t="inlineStr">
        <is>
          <t>31/05/2026</t>
        </is>
      </c>
      <c r="I229" t="inlineStr">
        <is>
          <t>17/03/2026</t>
        </is>
      </c>
      <c r="J229" t="inlineStr">
        <is>
          <t>Xuất nhập khẩu, Vận chuyển / Giao nhận / Kho vận, Hàng hải</t>
        </is>
      </c>
      <c r="K229" t="inlineStr">
        <is>
          <t>4 - 10 Năm</t>
        </is>
      </c>
      <c r="L229" s="8">
        <f>HYPERLINK("https://careerviet.vn/vi/tim-viec-lam/sales-manager-logistics-freight-forwarding-b2b-sales.35C6CCBE.html","Xem chi tiết")</f>
        <v/>
      </c>
    </row>
    <row r="230">
      <c r="B230" s="9" t="n">
        <v>228</v>
      </c>
      <c r="C230" s="10" t="inlineStr">
        <is>
          <t>Trưởng Phòng An Toàn (HSE)</t>
        </is>
      </c>
      <c r="D230" s="10" t="inlineStr">
        <is>
          <t>Công ty TNHH Xây Dựng Hoàng Liên Sơn</t>
        </is>
      </c>
      <c r="E230" s="10" t="inlineStr">
        <is>
          <t>Lương:25 Tr - 30 Tr VND</t>
        </is>
      </c>
      <c r="F230" s="10" t="inlineStr">
        <is>
          <t>Bà Rịa - Vũng TàuHồ Chí Minh</t>
        </is>
      </c>
      <c r="G230" s="10" t="inlineStr">
        <is>
          <t>06-04-2026</t>
        </is>
      </c>
      <c r="H230" s="10" t="inlineStr">
        <is>
          <t>06/04/2026</t>
        </is>
      </c>
      <c r="I230" s="10" t="inlineStr">
        <is>
          <t>17/03/2026</t>
        </is>
      </c>
      <c r="J230" s="10" t="inlineStr">
        <is>
          <t>An toàn lao động, Kiến trúc, Xây dựng</t>
        </is>
      </c>
      <c r="K230" s="10" t="inlineStr">
        <is>
          <t>7 - 10 Năm</t>
        </is>
      </c>
      <c r="L230" s="11">
        <f>HYPERLINK("https://careerviet.vn/vi/tim-viec-lam/truong-phong-an-toan-hse.35C67A81.html","Xem chi tiết")</f>
        <v/>
      </c>
      <c r="M230" s="10" t="n"/>
    </row>
    <row r="231">
      <c r="B231" s="7" t="n">
        <v>229</v>
      </c>
      <c r="C231" t="inlineStr">
        <is>
          <t>Kỹ Sư Shopdrawing</t>
        </is>
      </c>
      <c r="D231" t="inlineStr">
        <is>
          <t>Công ty TNHH Xây Dựng Hoàng Liên Sơn</t>
        </is>
      </c>
      <c r="E231" t="inlineStr">
        <is>
          <t>Lương:15 Tr - 20 Tr VND</t>
        </is>
      </c>
      <c r="F231" t="inlineStr">
        <is>
          <t>Hồ Chí Minh</t>
        </is>
      </c>
      <c r="G231" t="inlineStr">
        <is>
          <t>06-04-2026</t>
        </is>
      </c>
      <c r="H231" t="inlineStr">
        <is>
          <t>06/04/2026</t>
        </is>
      </c>
      <c r="I231" t="inlineStr">
        <is>
          <t>17/03/2026</t>
        </is>
      </c>
      <c r="J231" t="inlineStr">
        <is>
          <t>Kiến trúc, Xây dựng</t>
        </is>
      </c>
      <c r="K231" t="inlineStr">
        <is>
          <t>2 - 5 Năm</t>
        </is>
      </c>
      <c r="L231" s="8">
        <f>HYPERLINK("https://careerviet.vn/vi/tim-viec-lam/ky-su-shopdrawing.35C67A72.html","Xem chi tiết")</f>
        <v/>
      </c>
    </row>
    <row r="232">
      <c r="B232" s="9" t="n">
        <v>230</v>
      </c>
      <c r="C232" s="10" t="inlineStr">
        <is>
          <t>[HÀ NỘI] NHÂN VIÊN BẢO TRÌ - ĐIỆN NƯỚC(Mới)</t>
        </is>
      </c>
      <c r="D232" s="10" t="inlineStr">
        <is>
          <t>Công Ty TNHH Langfarm</t>
        </is>
      </c>
      <c r="E232" s="10" t="inlineStr">
        <is>
          <t>Lương:9 Tr - 10 Tr VND</t>
        </is>
      </c>
      <c r="F232" s="10" t="inlineStr">
        <is>
          <t>Hà Nội</t>
        </is>
      </c>
      <c r="G232" s="10" t="inlineStr">
        <is>
          <t>15-04-2026</t>
        </is>
      </c>
      <c r="H232" s="10" t="inlineStr">
        <is>
          <t>15/04/2026</t>
        </is>
      </c>
      <c r="I232" s="10" t="inlineStr">
        <is>
          <t>17/03/2026</t>
        </is>
      </c>
      <c r="J232" s="10" t="inlineStr">
        <is>
          <t>Bảo trì / Sửa chữa, Điện / Điện tử / Điện lạnh / Điện công nghiệp</t>
        </is>
      </c>
      <c r="K232" s="10" t="inlineStr">
        <is>
          <t>Lên đến 1 Năm</t>
        </is>
      </c>
      <c r="L232" s="11">
        <f>HYPERLINK("https://careerviet.vn/vi/tim-viec-lam/ha-noi-nhan-vien-bao-tri-dien-nuoc.35C6CD4D.html","Xem chi tiết")</f>
        <v/>
      </c>
      <c r="M232" s="10" t="n"/>
    </row>
    <row r="233">
      <c r="B233" s="7" t="n">
        <v>231</v>
      </c>
      <c r="C233" t="inlineStr">
        <is>
          <t>Chỉ Huy Trưởng</t>
        </is>
      </c>
      <c r="D233" t="inlineStr">
        <is>
          <t>Công ty TNHH Xây Dựng Hoàng Liên Sơn</t>
        </is>
      </c>
      <c r="E233" t="inlineStr">
        <is>
          <t>Lương:25 Tr - 35 Tr VND</t>
        </is>
      </c>
      <c r="F233" t="inlineStr">
        <is>
          <t>Bà Rịa - Vũng Tàu</t>
        </is>
      </c>
      <c r="G233" t="inlineStr">
        <is>
          <t>06-04-2026</t>
        </is>
      </c>
      <c r="H233" t="inlineStr">
        <is>
          <t>06/04/2026</t>
        </is>
      </c>
      <c r="I233" t="inlineStr">
        <is>
          <t>17/03/2026</t>
        </is>
      </c>
      <c r="J233" t="inlineStr">
        <is>
          <t>Kiến trúc, Xây dựng</t>
        </is>
      </c>
      <c r="K233" t="inlineStr">
        <is>
          <t>5 - 10 Năm</t>
        </is>
      </c>
      <c r="L233" s="8">
        <f>HYPERLINK("https://careerviet.vn/vi/tim-viec-lam/chi-huy-truong.35C67A93.html","Xem chi tiết")</f>
        <v/>
      </c>
    </row>
    <row r="234">
      <c r="B234" s="9" t="n">
        <v>232</v>
      </c>
      <c r="C234" s="10" t="inlineStr">
        <is>
          <t>Chuyên Viên Kinh Doanh Mảng Nha Khoa - Nữ</t>
        </is>
      </c>
      <c r="D234" s="10" t="inlineStr">
        <is>
          <t>Nha khoa Dr. Care</t>
        </is>
      </c>
      <c r="E234" s="10" t="inlineStr">
        <is>
          <t>Lương:10 Tr - 30 Tr VND</t>
        </is>
      </c>
      <c r="F234" s="10" t="inlineStr">
        <is>
          <t>Hồ Chí Minh</t>
        </is>
      </c>
      <c r="G234" s="10" t="inlineStr">
        <is>
          <t>08-04-2026</t>
        </is>
      </c>
      <c r="H234" s="10" t="inlineStr">
        <is>
          <t>08/04/2026</t>
        </is>
      </c>
      <c r="I234" s="10" t="inlineStr">
        <is>
          <t>17/03/2026</t>
        </is>
      </c>
      <c r="J234" s="10" t="inlineStr">
        <is>
          <t>Bán hàng / Kinh doanh, Y tế / Chăm sóc sức khỏe / Thẩm mỹ / Làm đẹp, Tư vấn</t>
        </is>
      </c>
      <c r="K234" s="10" t="inlineStr">
        <is>
          <t>Trên 1 Năm</t>
        </is>
      </c>
      <c r="L234" s="11">
        <f>HYPERLINK("https://careerviet.vn/vi/tim-viec-lam/chuyen-vien-kinh-doanh-mang-nha-khoa-nu.35C64F45.html","Xem chi tiết")</f>
        <v/>
      </c>
      <c r="M234" s="10" t="n"/>
    </row>
    <row r="235">
      <c r="B235" s="7" t="n">
        <v>233</v>
      </c>
      <c r="C235" t="inlineStr">
        <is>
          <t>Nhân Viên Kinh Doanh – GT</t>
        </is>
      </c>
      <c r="D235" t="inlineStr">
        <is>
          <t>CHI NHÁNH CÔNG TY TNHH THỰC PHẨM THƯƠNG MẠI ĐẠI PHÁT</t>
        </is>
      </c>
      <c r="E235" t="inlineStr">
        <is>
          <t>Lương:Cạnh tranh</t>
        </is>
      </c>
      <c r="F235" t="inlineStr">
        <is>
          <t>Hồ Chí Minh</t>
        </is>
      </c>
      <c r="G235" t="inlineStr">
        <is>
          <t>31-03-2026</t>
        </is>
      </c>
      <c r="H235" t="inlineStr">
        <is>
          <t>31/03/2026</t>
        </is>
      </c>
      <c r="I235" t="inlineStr">
        <is>
          <t>17/03/2026</t>
        </is>
      </c>
      <c r="J235" t="inlineStr">
        <is>
          <t>Bán hàng / Kinh doanh, Tư vấn, Thực phẩm &amp; Đồ uống</t>
        </is>
      </c>
      <c r="K235" t="inlineStr">
        <is>
          <t>N/A</t>
        </is>
      </c>
      <c r="L235" s="8">
        <f>HYPERLINK("https://careerviet.vn/vi/tim-viec-lam/nhan-vien-kinh-doanh-gt.35C67112.html","Xem chi tiết")</f>
        <v/>
      </c>
    </row>
    <row r="236">
      <c r="B236" s="9" t="n">
        <v>234</v>
      </c>
      <c r="C236" s="10" t="inlineStr">
        <is>
          <t>Chuyên viên Kiểm soát nội bộ(Mới)</t>
        </is>
      </c>
      <c r="D236" s="10" t="inlineStr">
        <is>
          <t>Công Ty CP XNK Hóa Chất &amp; Thiết Bị Kim Ngưu</t>
        </is>
      </c>
      <c r="E236" s="10" t="inlineStr">
        <is>
          <t>Lương:17 Tr - 22 Tr VND</t>
        </is>
      </c>
      <c r="F236" s="10" t="inlineStr">
        <is>
          <t>Hà Nội</t>
        </is>
      </c>
      <c r="G236" s="10" t="inlineStr">
        <is>
          <t>29-04-2026</t>
        </is>
      </c>
      <c r="H236" s="10" t="inlineStr">
        <is>
          <t>29/04/2026</t>
        </is>
      </c>
      <c r="I236" s="10" t="inlineStr">
        <is>
          <t>17/03/2026</t>
        </is>
      </c>
      <c r="J236" s="10" t="inlineStr">
        <is>
          <t>Kế toán / Kiểm toán</t>
        </is>
      </c>
      <c r="K236" s="10" t="inlineStr">
        <is>
          <t>5 - 10 Năm</t>
        </is>
      </c>
      <c r="L236" s="11">
        <f>HYPERLINK("https://careerviet.vn/vi/tim-viec-lam/chuyen-vien-kiem-soat-noi-bo.35C6CD30.html","Xem chi tiết")</f>
        <v/>
      </c>
      <c r="M236" s="10" t="n"/>
    </row>
    <row r="237">
      <c r="B237" s="7" t="n">
        <v>235</v>
      </c>
      <c r="C237" t="inlineStr">
        <is>
          <t>[ĐÀ LẠT] KẾ TOÁN TỔNG HỢP(Mới)</t>
        </is>
      </c>
      <c r="D237" t="inlineStr">
        <is>
          <t>Công Ty TNHH Langfarm</t>
        </is>
      </c>
      <c r="E237" t="inlineStr">
        <is>
          <t>Lương:10 Tr - 12 Tr VND</t>
        </is>
      </c>
      <c r="F237" t="inlineStr">
        <is>
          <t>Lâm Đồng</t>
        </is>
      </c>
      <c r="G237" t="inlineStr">
        <is>
          <t>15-04-2026</t>
        </is>
      </c>
      <c r="H237" t="inlineStr">
        <is>
          <t>15/04/2026</t>
        </is>
      </c>
      <c r="I237" t="inlineStr">
        <is>
          <t>17/03/2026</t>
        </is>
      </c>
      <c r="J237" t="inlineStr">
        <is>
          <t>Kế toán / Kiểm toán</t>
        </is>
      </c>
      <c r="K237" t="inlineStr">
        <is>
          <t>1 - 2 Năm</t>
        </is>
      </c>
      <c r="L237" s="8">
        <f>HYPERLINK("https://careerviet.vn/vi/tim-viec-lam/da-lat-ke-toan-tong-hop.35C6CD4A.html","Xem chi tiết")</f>
        <v/>
      </c>
    </row>
    <row r="238">
      <c r="B238" s="9" t="n">
        <v>236</v>
      </c>
      <c r="C238" s="10" t="inlineStr">
        <is>
          <t>KẾ TOÁN TIẾNG NHẬT (Tương đương N2)</t>
        </is>
      </c>
      <c r="D238" s="10" t="inlineStr">
        <is>
          <t>CÔNG TY TNHH CÔNG NGHỆ REFLEX VIỆT NAM</t>
        </is>
      </c>
      <c r="E238" s="10" t="inlineStr">
        <is>
          <t>Lương:Trên 25 Tr VND</t>
        </is>
      </c>
      <c r="F238" s="10" t="inlineStr">
        <is>
          <t>Hồ Chí Minh</t>
        </is>
      </c>
      <c r="G238" s="10" t="inlineStr">
        <is>
          <t>13-04-2026</t>
        </is>
      </c>
      <c r="H238" s="10" t="inlineStr">
        <is>
          <t>13/04/2026</t>
        </is>
      </c>
      <c r="I238" s="10" t="inlineStr">
        <is>
          <t>17/03/2026</t>
        </is>
      </c>
      <c r="J238" s="10" t="inlineStr">
        <is>
          <t>Kế toán / Kiểm toán</t>
        </is>
      </c>
      <c r="K238" s="10" t="inlineStr">
        <is>
          <t>2 - 5 Năm</t>
        </is>
      </c>
      <c r="L238" s="11">
        <f>HYPERLINK("https://careerviet.vn/vi/tim-viec-lam/ke-toan-tieng-nhat-tuong-duong-n2.35C6562B.html","Xem chi tiết")</f>
        <v/>
      </c>
      <c r="M238" s="10" t="n"/>
    </row>
    <row r="239">
      <c r="B239" s="7" t="n">
        <v>237</v>
      </c>
      <c r="C239" t="inlineStr">
        <is>
          <t>Chuyên Viên Thu Mua Hàng Gia Dụng (Tiếng Trung)</t>
        </is>
      </c>
      <c r="D239" t="inlineStr">
        <is>
          <t>CÔNG TY TNHH MỘT THÀNH VIÊN XUẤT NHẬP KHẨU THƯƠNG MẠI DỊCH VỤ HÙNG THỦY</t>
        </is>
      </c>
      <c r="E239" t="inlineStr">
        <is>
          <t>Lương:15 Tr - 30 Tr VND</t>
        </is>
      </c>
      <c r="F239" t="inlineStr">
        <is>
          <t>Hồ Chí Minh</t>
        </is>
      </c>
      <c r="G239" t="inlineStr">
        <is>
          <t>07-04-2026</t>
        </is>
      </c>
      <c r="H239" t="inlineStr">
        <is>
          <t>07/04/2026</t>
        </is>
      </c>
      <c r="I239" t="inlineStr">
        <is>
          <t>17/03/2026</t>
        </is>
      </c>
      <c r="J239" t="inlineStr">
        <is>
          <t>Hàng gia dụng / Chăm sóc cá nhân, Biên phiên dịch, Thu mua / Vật tư</t>
        </is>
      </c>
      <c r="K239" t="inlineStr">
        <is>
          <t>3 - 5 Năm</t>
        </is>
      </c>
      <c r="L239" s="8">
        <f>HYPERLINK("https://careerviet.vn/vi/tim-viec-lam/chuyen-vien-thu-mua-hang-gia-dung-tieng-trung.35C67EA4.html","Xem chi tiết")</f>
        <v/>
      </c>
    </row>
    <row r="240">
      <c r="B240" s="9" t="n">
        <v>238</v>
      </c>
      <c r="C240" s="10" t="inlineStr">
        <is>
          <t>Chuyên Viên Đào Tạo</t>
        </is>
      </c>
      <c r="D240" s="10" t="inlineStr">
        <is>
          <t>CÔNG TY TNHH MỘT THÀNH VIÊN XUẤT NHẬP KHẨU THƯƠNG MẠI DỊCH VỤ HÙNG THỦY</t>
        </is>
      </c>
      <c r="E240" s="10" t="inlineStr">
        <is>
          <t>Lương:Cạnh tranh</t>
        </is>
      </c>
      <c r="F240" s="10" t="inlineStr">
        <is>
          <t>Hồ Chí Minh</t>
        </is>
      </c>
      <c r="G240" s="10" t="inlineStr">
        <is>
          <t>07-04-2026</t>
        </is>
      </c>
      <c r="H240" s="10" t="inlineStr">
        <is>
          <t>07/04/2026</t>
        </is>
      </c>
      <c r="I240" s="10" t="inlineStr">
        <is>
          <t>17/03/2026</t>
        </is>
      </c>
      <c r="J240" s="10" t="inlineStr">
        <is>
          <t>Giáo dục / Đào tạo, Hành chính / Thư ký, Nhân sự</t>
        </is>
      </c>
      <c r="K240" s="10" t="inlineStr">
        <is>
          <t>3 - 5 Năm</t>
        </is>
      </c>
      <c r="L240" s="11">
        <f>HYPERLINK("https://careerviet.vn/vi/tim-viec-lam/chuyen-vien-dao-tao.35C67E92.html","Xem chi tiết")</f>
        <v/>
      </c>
      <c r="M240" s="10" t="n"/>
    </row>
    <row r="241">
      <c r="B241" s="7" t="n">
        <v>239</v>
      </c>
      <c r="C241" t="inlineStr">
        <is>
          <t>Nhân viên HSE(Mới)</t>
        </is>
      </c>
      <c r="D241" t="inlineStr">
        <is>
          <t>CÔNG TY TNHH VẬT LIỆU MỚI ZHANCHEN (VIỆT NAM)</t>
        </is>
      </c>
      <c r="E241" t="inlineStr">
        <is>
          <t>Lương:20 Tr - 25 Tr VND</t>
        </is>
      </c>
      <c r="F241" t="inlineStr">
        <is>
          <t>Bình Dương</t>
        </is>
      </c>
      <c r="G241" t="inlineStr">
        <is>
          <t>31-03-2026</t>
        </is>
      </c>
      <c r="H241" t="inlineStr">
        <is>
          <t>31/03/2026</t>
        </is>
      </c>
      <c r="I241" t="inlineStr">
        <is>
          <t>17/03/2026</t>
        </is>
      </c>
      <c r="J241" t="inlineStr">
        <is>
          <t>Môi trường, Hóa học, An toàn lao động</t>
        </is>
      </c>
      <c r="K241" t="inlineStr">
        <is>
          <t>2 - 1 Năm</t>
        </is>
      </c>
      <c r="L241" s="8">
        <f>HYPERLINK("https://careerviet.vn/vi/tim-viec-lam/nhan-vien-hse.35C6CD2F.html","Xem chi tiết")</f>
        <v/>
      </c>
    </row>
    <row r="242">
      <c r="B242" s="9" t="n">
        <v>240</v>
      </c>
      <c r="C242" s="10" t="inlineStr">
        <is>
          <t>Kế Toán Giá Thành</t>
        </is>
      </c>
      <c r="D242" s="10" t="inlineStr">
        <is>
          <t>CÔNG TY CỔ PHẦN 5S FASHION</t>
        </is>
      </c>
      <c r="E242" s="10" t="inlineStr">
        <is>
          <t>Lương:15 Tr - 20 Tr VND</t>
        </is>
      </c>
      <c r="F242" s="10" t="inlineStr">
        <is>
          <t>Hà Nội</t>
        </is>
      </c>
      <c r="G242" s="10" t="inlineStr">
        <is>
          <t>07-04-2026</t>
        </is>
      </c>
      <c r="H242" s="10" t="inlineStr">
        <is>
          <t>07/04/2026</t>
        </is>
      </c>
      <c r="I242" s="10" t="inlineStr">
        <is>
          <t>17/03/2026</t>
        </is>
      </c>
      <c r="J242" s="10" t="inlineStr">
        <is>
          <t>Kế toán / Kiểm toán, Dệt may / Da giày / Thời trang, Tài chính / Đầu tư</t>
        </is>
      </c>
      <c r="K242" s="10" t="inlineStr">
        <is>
          <t>2 - 3 Năm</t>
        </is>
      </c>
      <c r="L242" s="11">
        <f>HYPERLINK("https://careerviet.vn/vi/tim-viec-lam/ke-toan-gia-thanh.35C64DEC.html","Xem chi tiết")</f>
        <v/>
      </c>
      <c r="M242" s="10" t="n"/>
    </row>
    <row r="243">
      <c r="B243" s="7" t="n">
        <v>241</v>
      </c>
      <c r="C243" t="inlineStr">
        <is>
          <t>CHỈ HUY/PHÓ CHỈ HUY CÔNG TRÌNH CẦU ĐƯỜNG  (TPHCM – TÂY NINH – ĐẮK LẮK)</t>
        </is>
      </c>
      <c r="D243" t="inlineStr">
        <is>
          <t>Công ty Cổ phần Tập đoàn Đầu tư Nắng Ban Mai</t>
        </is>
      </c>
      <c r="E243" t="inlineStr">
        <is>
          <t>Lương:30 Tr - 35 Tr VND</t>
        </is>
      </c>
      <c r="F243" t="inlineStr">
        <is>
          <t>Hồ Chí Minh</t>
        </is>
      </c>
      <c r="G243" t="inlineStr">
        <is>
          <t>29-03-2026</t>
        </is>
      </c>
      <c r="H243" t="inlineStr">
        <is>
          <t>29/03/2026</t>
        </is>
      </c>
      <c r="I243" t="inlineStr">
        <is>
          <t>17/03/2026</t>
        </is>
      </c>
      <c r="J243" t="inlineStr">
        <is>
          <t>Kiến trúc, Xây dựng, Bất động sản</t>
        </is>
      </c>
      <c r="K243" t="inlineStr">
        <is>
          <t>3 - 5 Năm</t>
        </is>
      </c>
      <c r="L243" s="8">
        <f>HYPERLINK("https://careerviet.vn/vi/tim-viec-lam/chi-huy-pho-chi-huy-cong-trinh-cau-duong-tphcm-tay-ninh-dak-lak.35C66C8C.html","Xem chi tiết")</f>
        <v/>
      </c>
    </row>
    <row r="244">
      <c r="B244" s="9" t="n">
        <v>242</v>
      </c>
      <c r="C244" s="10" t="inlineStr">
        <is>
          <t>Nhân Viên Kinh Doanh B2B</t>
        </is>
      </c>
      <c r="D244" s="10" t="inlineStr">
        <is>
          <t>CÔNG TY TNHH MGS AUTO SÀI GÒN</t>
        </is>
      </c>
      <c r="E244" s="10" t="inlineStr">
        <is>
          <t>Lương:Cạnh tranh</t>
        </is>
      </c>
      <c r="F244" s="10" t="inlineStr">
        <is>
          <t>Hồ Chí MinhBà Rịa - Vũng Tàu</t>
        </is>
      </c>
      <c r="G244" s="10" t="inlineStr">
        <is>
          <t>29-03-2026</t>
        </is>
      </c>
      <c r="H244" s="10" t="inlineStr">
        <is>
          <t>29/03/2026</t>
        </is>
      </c>
      <c r="I244" s="10" t="inlineStr">
        <is>
          <t>17/03/2026</t>
        </is>
      </c>
      <c r="J244" s="10" t="inlineStr">
        <is>
          <t>Tiếp thị / Marketing, Bán hàng / Kinh doanh, Bán Hàng Kỹ Thuật</t>
        </is>
      </c>
      <c r="K244" s="10" t="inlineStr">
        <is>
          <t>1 - 2 Năm</t>
        </is>
      </c>
      <c r="L244" s="11">
        <f>HYPERLINK("https://careerviet.vn/vi/tim-viec-lam/nhan-vien-kinh-doanh-b2b.35C66D7C.html","Xem chi tiết")</f>
        <v/>
      </c>
      <c r="M244" s="10" t="n"/>
    </row>
    <row r="245">
      <c r="B245" s="7" t="n">
        <v>243</v>
      </c>
      <c r="C245" t="inlineStr">
        <is>
          <t>Nhân viên Bảo trì kỹ thuật</t>
        </is>
      </c>
      <c r="D245" t="inlineStr">
        <is>
          <t>Công Ty Cổ Phần Dược Phẩm 3/2</t>
        </is>
      </c>
      <c r="E245" t="inlineStr">
        <is>
          <t>Lương:9 Tr - 11 Tr VND</t>
        </is>
      </c>
      <c r="F245" t="inlineStr">
        <is>
          <t>Hồ Chí Minh</t>
        </is>
      </c>
      <c r="G245" t="inlineStr">
        <is>
          <t>28-03-2026</t>
        </is>
      </c>
      <c r="H245" t="inlineStr">
        <is>
          <t>28/03/2026</t>
        </is>
      </c>
      <c r="I245" t="inlineStr">
        <is>
          <t>17/03/2026</t>
        </is>
      </c>
      <c r="J245" t="inlineStr">
        <is>
          <t>Dược phẩm/ Hóa Mỹ Phẩm, Điện / Điện tử / Điện lạnh / Điện công nghiệp</t>
        </is>
      </c>
      <c r="K245" t="inlineStr">
        <is>
          <t>1 - 2 Năm</t>
        </is>
      </c>
      <c r="L245" s="8">
        <f>HYPERLINK("https://careerviet.vn/vi/tim-viec-lam/nhan-vien-bao-tri-ky-thuat.35C66AA9.html","Xem chi tiết")</f>
        <v/>
      </c>
    </row>
    <row r="246">
      <c r="B246" s="9" t="n">
        <v>244</v>
      </c>
      <c r="C246" s="10" t="inlineStr">
        <is>
          <t>KỸ THUẬT ME</t>
        </is>
      </c>
      <c r="D246" s="10" t="inlineStr">
        <is>
          <t>CÔNG TY TNHH TOPBAND SMART ĐỒNG NAI (VIỆT NAM)</t>
        </is>
      </c>
      <c r="E246" s="10" t="inlineStr">
        <is>
          <t>Lương:10 Tr - 20 Tr VND</t>
        </is>
      </c>
      <c r="F246" s="10" t="inlineStr">
        <is>
          <t>Đồng Nai</t>
        </is>
      </c>
      <c r="G246" s="10" t="inlineStr">
        <is>
          <t>08-04-2026</t>
        </is>
      </c>
      <c r="H246" s="10" t="inlineStr">
        <is>
          <t>08/04/2026</t>
        </is>
      </c>
      <c r="I246" s="10" t="inlineStr">
        <is>
          <t>17/03/2026</t>
        </is>
      </c>
      <c r="J246" s="10" t="inlineStr">
        <is>
          <t>Thương mại điện tử, Điện / Điện tử / Điện lạnh / Điện công nghiệp</t>
        </is>
      </c>
      <c r="K246" s="10" t="inlineStr">
        <is>
          <t>1 - 2 Năm</t>
        </is>
      </c>
      <c r="L246" s="11">
        <f>HYPERLINK("https://careerviet.vn/vi/tim-viec-lam/ky-thuat-me.35C64E8C.html","Xem chi tiết")</f>
        <v/>
      </c>
      <c r="M246" s="10" t="n"/>
    </row>
    <row r="247">
      <c r="B247" s="7" t="n">
        <v>245</v>
      </c>
      <c r="C247" t="inlineStr">
        <is>
          <t>Kỹ Sư Shop Drawing</t>
        </is>
      </c>
      <c r="D247" t="inlineStr">
        <is>
          <t>CÔNG TY TNHH XÂY DỰNG TRƯỜNG XUÂN</t>
        </is>
      </c>
      <c r="E247" t="inlineStr">
        <is>
          <t>Lương:15 Tr - 30 Tr VND</t>
        </is>
      </c>
      <c r="F247" t="inlineStr">
        <is>
          <t>Hồ Chí Minh</t>
        </is>
      </c>
      <c r="G247" t="inlineStr">
        <is>
          <t>30-03-2026</t>
        </is>
      </c>
      <c r="H247" t="inlineStr">
        <is>
          <t>30/03/2026</t>
        </is>
      </c>
      <c r="I247" t="inlineStr">
        <is>
          <t>17/03/2026</t>
        </is>
      </c>
      <c r="J247" t="inlineStr">
        <is>
          <t>Mỹ thuật / Nghệ thuật / Thiết kế, Kiến trúc, Xây dựng</t>
        </is>
      </c>
      <c r="K247" t="inlineStr">
        <is>
          <t>Trên 3 Năm</t>
        </is>
      </c>
      <c r="L247" s="8">
        <f>HYPERLINK("https://careerviet.vn/vi/tim-viec-lam/ky-su-shop-drawing.35C66E6D.html","Xem chi tiết")</f>
        <v/>
      </c>
    </row>
    <row r="248">
      <c r="B248" s="9" t="n">
        <v>246</v>
      </c>
      <c r="C248" s="10" t="inlineStr">
        <is>
          <t>Trình Dược Viên OTC (Kênh Nhà Thuốc)</t>
        </is>
      </c>
      <c r="D248" s="10" t="inlineStr">
        <is>
          <t>Công ty cổ phần Dược Phẩm Savi</t>
        </is>
      </c>
      <c r="E248" s="10" t="inlineStr">
        <is>
          <t>Lương:10 Tr - 15 Tr VND</t>
        </is>
      </c>
      <c r="F248" s="10" t="inlineStr">
        <is>
          <t>Bình DươngĐồng NaiHà Tĩnh</t>
        </is>
      </c>
      <c r="G248" s="10" t="inlineStr">
        <is>
          <t>03-04-2026</t>
        </is>
      </c>
      <c r="H248" s="10" t="inlineStr">
        <is>
          <t>03/04/2026</t>
        </is>
      </c>
      <c r="I248" s="10" t="inlineStr">
        <is>
          <t>17/03/2026</t>
        </is>
      </c>
      <c r="J248" s="10" t="inlineStr">
        <is>
          <t>Bán lẻ / Bán sỉ, Bán hàng / Kinh doanh, Dược phẩm/ Hóa Mỹ Phẩm</t>
        </is>
      </c>
      <c r="K248" s="10" t="inlineStr">
        <is>
          <t>1 - 2 Năm</t>
        </is>
      </c>
      <c r="L248" s="11">
        <f>HYPERLINK("https://careerviet.vn/vi/tim-viec-lam/trinh-duoc-vien-otc-kenh-nha-thuoc.35C672B2.html","Xem chi tiết")</f>
        <v/>
      </c>
      <c r="M248" s="10" t="n"/>
    </row>
    <row r="249">
      <c r="B249" s="7" t="n">
        <v>247</v>
      </c>
      <c r="C249" t="inlineStr">
        <is>
          <t>Senior Mechanical Engineer</t>
        </is>
      </c>
      <c r="D249" t="inlineStr">
        <is>
          <t>Aurecon Việt Nam</t>
        </is>
      </c>
      <c r="E249" t="inlineStr">
        <is>
          <t>Lương:Cạnh tranh</t>
        </is>
      </c>
      <c r="F249" t="inlineStr">
        <is>
          <t>Hồ Chí Minh</t>
        </is>
      </c>
      <c r="G249" t="inlineStr">
        <is>
          <t>05-04-2026</t>
        </is>
      </c>
      <c r="H249" t="inlineStr">
        <is>
          <t>05/04/2026</t>
        </is>
      </c>
      <c r="I249" t="inlineStr">
        <is>
          <t>17/03/2026</t>
        </is>
      </c>
      <c r="J249" t="inlineStr">
        <is>
          <t>Kiến trúc, Xây dựng, Tư vấn</t>
        </is>
      </c>
      <c r="K249" t="inlineStr">
        <is>
          <t>Trên 3 Năm</t>
        </is>
      </c>
      <c r="L249" s="8">
        <f>HYPERLINK("https://careerviet.vn/vi/tim-viec-lam/senior-mechanical-engineer.35C67915.html","Xem chi tiết")</f>
        <v/>
      </c>
    </row>
    <row r="250">
      <c r="B250" s="9" t="n">
        <v>248</v>
      </c>
      <c r="C250" s="10" t="inlineStr">
        <is>
          <t>Trình dược viên ETC (Kênh Bệnh viện)</t>
        </is>
      </c>
      <c r="D250" s="10" t="inlineStr">
        <is>
          <t>Công ty cổ phần Dược Phẩm Savi</t>
        </is>
      </c>
      <c r="E250" s="10" t="inlineStr">
        <is>
          <t>Lương:12 Tr - 20 Tr VND</t>
        </is>
      </c>
      <c r="F250" s="10" t="inlineStr">
        <is>
          <t>Bình Phước</t>
        </is>
      </c>
      <c r="G250" s="10" t="inlineStr">
        <is>
          <t>03-04-2026</t>
        </is>
      </c>
      <c r="H250" s="10" t="inlineStr">
        <is>
          <t>03/04/2026</t>
        </is>
      </c>
      <c r="I250" s="10" t="inlineStr">
        <is>
          <t>17/03/2026</t>
        </is>
      </c>
      <c r="J250" s="10" t="inlineStr">
        <is>
          <t>Bán hàng / Kinh doanh, Dược phẩm/ Hóa Mỹ Phẩm, Y tế / Chăm sóc sức khỏe / Thẩm mỹ / Làm đẹp</t>
        </is>
      </c>
      <c r="K250" s="10" t="inlineStr">
        <is>
          <t>1 - 3 Năm</t>
        </is>
      </c>
      <c r="L250" s="11">
        <f>HYPERLINK("https://careerviet.vn/vi/tim-viec-lam/trinh-duoc-vien-etc-kenh-benh-vien.35C672A8.html","Xem chi tiết")</f>
        <v/>
      </c>
      <c r="M250" s="10" t="n"/>
    </row>
    <row r="251">
      <c r="B251" s="7" t="n">
        <v>249</v>
      </c>
      <c r="C251" t="inlineStr">
        <is>
          <t>Chuyên Viên Dự Án (Thiết kế XD)</t>
        </is>
      </c>
      <c r="D251" t="inlineStr">
        <is>
          <t>Công Ty Cổ Phần Tư Vấn Thiết Kế Xây Dựng Sagen</t>
        </is>
      </c>
      <c r="E251" t="inlineStr">
        <is>
          <t>Lương:14 Tr - 16 Tr VND</t>
        </is>
      </c>
      <c r="F251" t="inlineStr">
        <is>
          <t>Hồ Chí Minh</t>
        </is>
      </c>
      <c r="G251" t="inlineStr">
        <is>
          <t>05-04-2026</t>
        </is>
      </c>
      <c r="H251" t="inlineStr">
        <is>
          <t>05/04/2026</t>
        </is>
      </c>
      <c r="I251" t="inlineStr">
        <is>
          <t>17/03/2026</t>
        </is>
      </c>
      <c r="J251" t="inlineStr">
        <is>
          <t>Hành chính / Thư ký, Kiến trúc, Xây dựng</t>
        </is>
      </c>
      <c r="K251" t="inlineStr">
        <is>
          <t>2 - 5 Năm</t>
        </is>
      </c>
      <c r="L251" s="8">
        <f>HYPERLINK("https://careerviet.vn/vi/tim-viec-lam/chuyen-vien-du-an-thiet-ke-xd.35C676A7.html","Xem chi tiết")</f>
        <v/>
      </c>
    </row>
    <row r="252">
      <c r="B252" s="9" t="n">
        <v>250</v>
      </c>
      <c r="C252" s="10" t="inlineStr">
        <is>
          <t>Marketing Coordination Executive/ Trade Marketing Coordination Executive</t>
        </is>
      </c>
      <c r="D252" s="10" t="inlineStr">
        <is>
          <t>Cổ Phần Quốc Tế Anh Văn Hội Việt Mỹ (VUS)</t>
        </is>
      </c>
      <c r="E252" s="10" t="inlineStr">
        <is>
          <t>Lương:13 Tr - 16 Tr VND</t>
        </is>
      </c>
      <c r="F252" s="10" t="inlineStr">
        <is>
          <t>Bình Dương</t>
        </is>
      </c>
      <c r="G252" s="10" t="inlineStr">
        <is>
          <t>2</t>
        </is>
      </c>
      <c r="H252" s="10" t="inlineStr">
        <is>
          <t>19/03/2026</t>
        </is>
      </c>
      <c r="I252" s="10" t="inlineStr">
        <is>
          <t>17/03/2026</t>
        </is>
      </c>
      <c r="J252" s="10" t="inlineStr">
        <is>
          <t>Tiếp thị / Marketing, Bán hàng / Kinh doanh, Giáo dục / Đào tạo</t>
        </is>
      </c>
      <c r="K252" s="10" t="inlineStr">
        <is>
          <t>3 Năm</t>
        </is>
      </c>
      <c r="L252" s="11">
        <f>HYPERLINK("https://careerviet.vn/vi/tim-viec-lam/marketing-coordination-executive-trade-marketing-coordination-executive.35C6360C.html","Xem chi tiết")</f>
        <v/>
      </c>
      <c r="M252" s="10" t="n"/>
    </row>
    <row r="253">
      <c r="B253" s="7" t="n">
        <v>251</v>
      </c>
      <c r="C253" t="inlineStr">
        <is>
          <t>Cinema Manager (Quản lý rạp chiếu phim)</t>
        </is>
      </c>
      <c r="D253" t="inlineStr">
        <is>
          <t>Công Ty Cổ Phần Phim Thiên Ngân (GALAXY STUDIO)</t>
        </is>
      </c>
      <c r="E253" t="inlineStr">
        <is>
          <t>Lương:Cạnh tranh</t>
        </is>
      </c>
      <c r="F253" t="inlineStr">
        <is>
          <t>Long An</t>
        </is>
      </c>
      <c r="G253" t="inlineStr">
        <is>
          <t>5</t>
        </is>
      </c>
      <c r="H253" t="inlineStr">
        <is>
          <t>22/03/2026</t>
        </is>
      </c>
      <c r="I253" t="inlineStr">
        <is>
          <t>17/03/2026</t>
        </is>
      </c>
      <c r="J253" t="inlineStr">
        <is>
          <t>Dịch vụ khách hàng, Quản lý điều hành, Nhà hàng / Khách sạn</t>
        </is>
      </c>
      <c r="K253" t="inlineStr">
        <is>
          <t>4 - 6 Năm</t>
        </is>
      </c>
      <c r="L253" s="8">
        <f>HYPERLINK("https://careerviet.vn/vi/tim-viec-lam/cinema-manager-quan-ly-rap-chieu-phim.35C6378E.html","Xem chi tiết")</f>
        <v/>
      </c>
    </row>
    <row r="254">
      <c r="B254" s="9" t="n">
        <v>252</v>
      </c>
      <c r="C254" s="10" t="inlineStr">
        <is>
          <t>Chuyên viên Kinh doanh TA</t>
        </is>
      </c>
      <c r="D254" s="10" t="inlineStr">
        <is>
          <t>CÔNG TY TNHH QUẢN LÝ KHÁCH SẠN COSMO</t>
        </is>
      </c>
      <c r="E254" s="10" t="inlineStr">
        <is>
          <t>Lương:Cạnh tranh</t>
        </is>
      </c>
      <c r="F254" s="10" t="inlineStr">
        <is>
          <t>Hồ Chí Minh</t>
        </is>
      </c>
      <c r="G254" s="10" t="inlineStr">
        <is>
          <t>5</t>
        </is>
      </c>
      <c r="H254" s="10" t="inlineStr">
        <is>
          <t>22/03/2026</t>
        </is>
      </c>
      <c r="I254" s="10" t="inlineStr">
        <is>
          <t>17/03/2026</t>
        </is>
      </c>
      <c r="J254" s="10" t="inlineStr">
        <is>
          <t>Bán hàng / Kinh doanh, Dịch vụ khách hàng, Nhà hàng / Khách sạn</t>
        </is>
      </c>
      <c r="K254" s="10" t="inlineStr">
        <is>
          <t>2 - 4 Năm</t>
        </is>
      </c>
      <c r="L254" s="11">
        <f>HYPERLINK("https://careerviet.vn/vi/tim-viec-lam/chuyen-vien-kinh-doanh-ta.35C63749.html","Xem chi tiết")</f>
        <v/>
      </c>
      <c r="M254" s="10" t="n"/>
    </row>
    <row r="255">
      <c r="B255" s="7" t="n">
        <v>253</v>
      </c>
      <c r="C255" t="inlineStr">
        <is>
          <t>Junior Electrical Engineer</t>
        </is>
      </c>
      <c r="D255" t="inlineStr">
        <is>
          <t>GLOBETECH ASIA JV JSC</t>
        </is>
      </c>
      <c r="E255" t="inlineStr">
        <is>
          <t>Lương:Cạnh tranh</t>
        </is>
      </c>
      <c r="F255" t="inlineStr">
        <is>
          <t>Hồ Chí Minh</t>
        </is>
      </c>
      <c r="G255" t="inlineStr">
        <is>
          <t>2</t>
        </is>
      </c>
      <c r="H255" t="inlineStr">
        <is>
          <t>19/03/2026</t>
        </is>
      </c>
      <c r="I255" t="inlineStr">
        <is>
          <t>17/03/2026</t>
        </is>
      </c>
      <c r="J255" t="inlineStr">
        <is>
          <t>Điện / Điện tử / Điện lạnh / Điện công nghiệp, Mỹ thuật / Nghệ thuật / Thiết kế, Sản xuất / Vận hành sản xuất</t>
        </is>
      </c>
      <c r="K255" t="inlineStr">
        <is>
          <t>Trên 2 Năm</t>
        </is>
      </c>
      <c r="L255" s="8">
        <f>HYPERLINK("https://careerviet.vn/vi/tim-viec-lam/junior-electrical-engineer.35C63498.html","Xem chi tiết")</f>
        <v/>
      </c>
    </row>
    <row r="256">
      <c r="B256" s="9" t="n">
        <v>254</v>
      </c>
      <c r="C256" s="10" t="inlineStr">
        <is>
          <t>QA technician (color test)</t>
        </is>
      </c>
      <c r="D256" s="10" t="inlineStr">
        <is>
          <t>Phuc Thang Fine Furniture</t>
        </is>
      </c>
      <c r="E256" s="10" t="inlineStr">
        <is>
          <t>Lương:Cạnh tranh</t>
        </is>
      </c>
      <c r="F256" s="10" t="inlineStr">
        <is>
          <t>Bình Dương</t>
        </is>
      </c>
      <c r="G256" s="10" t="inlineStr">
        <is>
          <t>6</t>
        </is>
      </c>
      <c r="H256" s="10" t="inlineStr">
        <is>
          <t>23/03/2026</t>
        </is>
      </c>
      <c r="I256" s="10" t="inlineStr">
        <is>
          <t>17/03/2026</t>
        </is>
      </c>
      <c r="J256" s="10" t="inlineStr">
        <is>
          <t>Đồ gỗ, Quản lý chất lượng (QA/QC), Nội ngoại thất</t>
        </is>
      </c>
      <c r="K256" s="10" t="inlineStr">
        <is>
          <t>2 - 10 Năm</t>
        </is>
      </c>
      <c r="L256" s="11">
        <f>HYPERLINK("https://careerviet.vn/vi/tim-viec-lam/qa-technician-color-test.35C639C6.html","Xem chi tiết")</f>
        <v/>
      </c>
      <c r="M256" s="10" t="n"/>
    </row>
    <row r="257">
      <c r="B257" s="7" t="n">
        <v>255</v>
      </c>
      <c r="C257" t="inlineStr">
        <is>
          <t>Head of Technical Department</t>
        </is>
      </c>
      <c r="D257" t="inlineStr">
        <is>
          <t>VINFAST TRADING AND PRODUCTION JSC</t>
        </is>
      </c>
      <c r="E257" t="inlineStr">
        <is>
          <t>Lương:Cạnh tranh</t>
        </is>
      </c>
      <c r="F257" t="inlineStr">
        <is>
          <t>Hà Tĩnh</t>
        </is>
      </c>
      <c r="G257" t="inlineStr">
        <is>
          <t>04-04-2026</t>
        </is>
      </c>
      <c r="H257" t="inlineStr">
        <is>
          <t>04/04/2026</t>
        </is>
      </c>
      <c r="I257" t="inlineStr">
        <is>
          <t>17/03/2026</t>
        </is>
      </c>
      <c r="J257" t="inlineStr">
        <is>
          <t>Cơ khí / Ô tô / Tự động hóa</t>
        </is>
      </c>
      <c r="K257" t="inlineStr">
        <is>
          <t>5 - 7 Năm</t>
        </is>
      </c>
      <c r="L257" s="8">
        <f>HYPERLINK("https://careerviet.vn/vi/tim-viec-lam/head-of-technical-department.35C67416.html","Xem chi tiết")</f>
        <v/>
      </c>
    </row>
    <row r="258">
      <c r="B258" s="9" t="n">
        <v>256</v>
      </c>
      <c r="C258" s="10" t="inlineStr">
        <is>
          <t>Chuyên viên mua sắm - Khối Vận hành</t>
        </is>
      </c>
      <c r="D258" s="10" t="inlineStr">
        <is>
          <t>Ngân Hàng TMCP Quốc Dân (NCB)</t>
        </is>
      </c>
      <c r="E258" s="10" t="inlineStr">
        <is>
          <t>Lương:Cạnh tranh</t>
        </is>
      </c>
      <c r="F258" s="10" t="inlineStr">
        <is>
          <t>Hà Nội</t>
        </is>
      </c>
      <c r="G258" s="10" t="inlineStr">
        <is>
          <t>Hôm nay</t>
        </is>
      </c>
      <c r="H258" s="10" t="inlineStr">
        <is>
          <t>17/03/2026</t>
        </is>
      </c>
      <c r="I258" s="10" t="inlineStr">
        <is>
          <t>17/03/2026</t>
        </is>
      </c>
      <c r="J258" s="10" t="inlineStr">
        <is>
          <t>Ngân hàng, Thu mua / Vật tư</t>
        </is>
      </c>
      <c r="K258" s="10" t="inlineStr">
        <is>
          <t>Trên 1 Năm</t>
        </is>
      </c>
      <c r="L258" s="11">
        <f>HYPERLINK("https://careerviet.vn/vi/tim-viec-lam/chuyen-vien-mua-sam-khoi-van-hanh.35C63089.html","Xem chi tiết")</f>
        <v/>
      </c>
      <c r="M258" s="10" t="n"/>
    </row>
    <row r="259">
      <c r="B259" s="7" t="n">
        <v>257</v>
      </c>
      <c r="C259" t="inlineStr">
        <is>
          <t>Kiến trúc sư dự án</t>
        </is>
      </c>
      <c r="D259" t="inlineStr">
        <is>
          <t>CÔNG TY CP TẬP ĐOÀN ĐẦU TƯ HOÀNG GIA VIỆT NAM</t>
        </is>
      </c>
      <c r="E259" t="inlineStr">
        <is>
          <t>Lương:Cạnh tranh</t>
        </is>
      </c>
      <c r="F259" t="inlineStr">
        <is>
          <t>Long An</t>
        </is>
      </c>
      <c r="G259" t="inlineStr">
        <is>
          <t>1</t>
        </is>
      </c>
      <c r="H259" t="inlineStr">
        <is>
          <t>18/03/2026</t>
        </is>
      </c>
      <c r="I259" t="inlineStr">
        <is>
          <t>17/03/2026</t>
        </is>
      </c>
      <c r="J259" t="inlineStr">
        <is>
          <t>Kiến trúc, Xây dựng, Nội ngoại thất</t>
        </is>
      </c>
      <c r="K259" t="inlineStr">
        <is>
          <t>7 - 10 Năm</t>
        </is>
      </c>
      <c r="L259" s="8">
        <f>HYPERLINK("https://careerviet.vn/vi/tim-viec-lam/kien-truc-su-du-an.35C6338F.html","Xem chi tiết")</f>
        <v/>
      </c>
    </row>
    <row r="260">
      <c r="B260" s="9" t="n">
        <v>258</v>
      </c>
      <c r="C260" s="10" t="inlineStr">
        <is>
          <t>Quản lý Kinh doanh Bất động sản</t>
        </is>
      </c>
      <c r="D260" s="10" t="inlineStr">
        <is>
          <t>CÔNG TY CỔ PHẦN ĐẦU TƯ VÀ KINH DOANH BẤT ĐỘNG SẢN MAINLAND</t>
        </is>
      </c>
      <c r="E260" s="10" t="inlineStr">
        <is>
          <t>Lương:20 Tr - 50 Tr VND</t>
        </is>
      </c>
      <c r="F260" s="10" t="inlineStr">
        <is>
          <t>Hà Nội</t>
        </is>
      </c>
      <c r="G260" s="10" t="inlineStr">
        <is>
          <t>2</t>
        </is>
      </c>
      <c r="H260" s="10" t="inlineStr">
        <is>
          <t>19/03/2026</t>
        </is>
      </c>
      <c r="I260" s="10" t="inlineStr">
        <is>
          <t>17/03/2026</t>
        </is>
      </c>
      <c r="J260" s="10" t="inlineStr">
        <is>
          <t>Quản lý điều hành, Bất động sản</t>
        </is>
      </c>
      <c r="K260" s="10" t="inlineStr">
        <is>
          <t>1 - 5 Năm</t>
        </is>
      </c>
      <c r="L260" s="11">
        <f>HYPERLINK("https://careerviet.vn/vi/tim-viec-lam/quan-ly-kinh-doanh-bat-dong-san.35C62FF2.html","Xem chi tiết")</f>
        <v/>
      </c>
      <c r="M260" s="10" t="n"/>
    </row>
    <row r="261">
      <c r="B261" s="7" t="n">
        <v>259</v>
      </c>
      <c r="C261" t="inlineStr">
        <is>
          <t>Chuyên Viên Kinh Doanh Truyền Thông Quảng Cáo (ngành OOH - SkyLed Bạch Đằng)</t>
        </is>
      </c>
      <c r="D261" t="inlineStr">
        <is>
          <t>Công ty Cổ Phần Tập Đoàn Bizman</t>
        </is>
      </c>
      <c r="E261" t="inlineStr">
        <is>
          <t>Lương:Cạnh tranh</t>
        </is>
      </c>
      <c r="F261" t="inlineStr">
        <is>
          <t>Hồ Chí Minh</t>
        </is>
      </c>
      <c r="G261" t="inlineStr">
        <is>
          <t>6</t>
        </is>
      </c>
      <c r="H261" t="inlineStr">
        <is>
          <t>23/03/2026</t>
        </is>
      </c>
      <c r="I261" t="inlineStr">
        <is>
          <t>17/03/2026</t>
        </is>
      </c>
      <c r="J261" t="inlineStr">
        <is>
          <t>Tiếp thị / Marketing, Bán hàng / Kinh doanh, Quảng cáo / Đối ngoại / Truyền Thông</t>
        </is>
      </c>
      <c r="K261" t="inlineStr">
        <is>
          <t>1 - 2 Năm</t>
        </is>
      </c>
      <c r="L261" s="8">
        <f>HYPERLINK("https://careerviet.vn/vi/tim-viec-lam/chuyen-vien-kinh-doanh-truyen-thong-quang-cao-nganh-ooh-skyled-bach-dang.35C6396B.html","Xem chi tiết")</f>
        <v/>
      </c>
    </row>
    <row r="262">
      <c r="B262" s="9" t="n">
        <v>260</v>
      </c>
      <c r="C262" s="10" t="inlineStr">
        <is>
          <t>NHÂN VIÊN KẾ TOÁN</t>
        </is>
      </c>
      <c r="D262" s="10" t="inlineStr">
        <is>
          <t>CÔNG TY CỔ PHẦN BẤT ĐỘNG SẢN TRƯỜNG SƠN</t>
        </is>
      </c>
      <c r="E262" s="10" t="inlineStr">
        <is>
          <t>Lương:13 Tr - 18 Tr VND</t>
        </is>
      </c>
      <c r="F262" s="10" t="inlineStr">
        <is>
          <t>Hồ Chí Minh</t>
        </is>
      </c>
      <c r="G262" s="10" t="inlineStr">
        <is>
          <t>11-04-2026</t>
        </is>
      </c>
      <c r="H262" s="10" t="inlineStr">
        <is>
          <t>11/04/2026</t>
        </is>
      </c>
      <c r="I262" s="10" t="inlineStr">
        <is>
          <t>17/03/2026</t>
        </is>
      </c>
      <c r="J262" s="10" t="inlineStr">
        <is>
          <t>Kế toán / Kiểm toán, Tài chính / Đầu tư</t>
        </is>
      </c>
      <c r="K262" s="10" t="inlineStr">
        <is>
          <t>4 - 5 Năm</t>
        </is>
      </c>
      <c r="L262" s="11">
        <f>HYPERLINK("https://careerviet.vn/vi/tim-viec-lam/nhan-vien-ke-toan.35C6BA8D.html","Xem chi tiết")</f>
        <v/>
      </c>
      <c r="M262" s="10" t="n"/>
    </row>
    <row r="263">
      <c r="B263" s="7" t="n">
        <v>261</v>
      </c>
      <c r="C263" t="inlineStr">
        <is>
          <t>Beauty Advisor</t>
        </is>
      </c>
      <c r="D263" t="inlineStr">
        <is>
          <t>Grace Skincare Clinic - Công Ty TNHH May Hun</t>
        </is>
      </c>
      <c r="E263" t="inlineStr">
        <is>
          <t>Lương:Cạnh tranh</t>
        </is>
      </c>
      <c r="F263" t="inlineStr">
        <is>
          <t>Hồ Chí Minh</t>
        </is>
      </c>
      <c r="G263" t="inlineStr">
        <is>
          <t>2</t>
        </is>
      </c>
      <c r="H263" t="inlineStr">
        <is>
          <t>19/03/2026</t>
        </is>
      </c>
      <c r="I263" t="inlineStr">
        <is>
          <t>17/03/2026</t>
        </is>
      </c>
      <c r="J263" t="inlineStr">
        <is>
          <t>Bán hàng / Kinh doanh, Tư vấn, Dịch vụ khách hàng</t>
        </is>
      </c>
      <c r="K263" t="inlineStr">
        <is>
          <t>1 - 5 Năm</t>
        </is>
      </c>
      <c r="L263" s="8">
        <f>HYPERLINK("https://careerviet.vn/vi/tim-viec-lam/beauty-advisor.35C63595.html","Xem chi tiết")</f>
        <v/>
      </c>
    </row>
    <row r="264">
      <c r="B264" s="9" t="n">
        <v>262</v>
      </c>
      <c r="C264" s="10" t="inlineStr">
        <is>
          <t>Trợ lý Ban Lãnh Đạo - đi làm ngay - Thu nhập upto 25tr</t>
        </is>
      </c>
      <c r="D264" s="10" t="inlineStr">
        <is>
          <t>Công ty Cổ Phần Tập Đoàn Bizman</t>
        </is>
      </c>
      <c r="E264" s="10" t="inlineStr">
        <is>
          <t>Lương:Cạnh tranh</t>
        </is>
      </c>
      <c r="F264" s="10" t="inlineStr">
        <is>
          <t>Hà Nội</t>
        </is>
      </c>
      <c r="G264" s="10" t="inlineStr">
        <is>
          <t>Hôm nay</t>
        </is>
      </c>
      <c r="H264" s="10" t="inlineStr">
        <is>
          <t>17/03/2026</t>
        </is>
      </c>
      <c r="I264" s="10" t="inlineStr">
        <is>
          <t>17/03/2026</t>
        </is>
      </c>
      <c r="J264" s="10" t="inlineStr">
        <is>
          <t>Hành chính / Thư ký, Quản lý điều hành, Quảng cáo / Đối ngoại / Truyền Thông</t>
        </is>
      </c>
      <c r="K264" s="10" t="inlineStr">
        <is>
          <t>3 - 5 Năm</t>
        </is>
      </c>
      <c r="L264" s="11">
        <f>HYPERLINK("https://careerviet.vn/vi/tim-viec-lam/tro-ly-ban-lanh-dao-di-lam-ngay-thu-nhap-upto-25tr.35C63050.html","Xem chi tiết")</f>
        <v/>
      </c>
      <c r="M264" s="10" t="n"/>
    </row>
    <row r="265">
      <c r="B265" s="7" t="n">
        <v>263</v>
      </c>
      <c r="C265" t="inlineStr">
        <is>
          <t>Chuyên viên cao cấp Phân tích dữ liệu rủi ro</t>
        </is>
      </c>
      <c r="D265" t="inlineStr">
        <is>
          <t>Ngân Hàng TMCP Sài Gòn - Hà Nội ( SHB )</t>
        </is>
      </c>
      <c r="E265" t="inlineStr">
        <is>
          <t>Lương:Cạnh tranh</t>
        </is>
      </c>
      <c r="F265" t="inlineStr">
        <is>
          <t>Hà Nội</t>
        </is>
      </c>
      <c r="G265" t="inlineStr">
        <is>
          <t>15-04-2026</t>
        </is>
      </c>
      <c r="H265" t="inlineStr">
        <is>
          <t>15/04/2026</t>
        </is>
      </c>
      <c r="I265" t="inlineStr">
        <is>
          <t>17/03/2026</t>
        </is>
      </c>
      <c r="J265" t="inlineStr">
        <is>
          <t>Ngân hàng</t>
        </is>
      </c>
      <c r="K265" t="inlineStr">
        <is>
          <t>2 - 3 Năm</t>
        </is>
      </c>
      <c r="L265" s="8">
        <f>HYPERLINK("https://careerviet.vn/vi/tim-viec-lam/chuyen-vien-cao-cap-phan-tich-du-lieu-rui-ro.35C65A51.html","Xem chi tiết")</f>
        <v/>
      </c>
    </row>
    <row r="266">
      <c r="B266" s="9" t="n">
        <v>264</v>
      </c>
      <c r="C266" s="10" t="inlineStr">
        <is>
          <t>Kế Toán Thuế</t>
        </is>
      </c>
      <c r="D266" s="10" t="inlineStr">
        <is>
          <t>CÔNG TY TNHH VIS SOLUTIONS</t>
        </is>
      </c>
      <c r="E266" s="10" t="inlineStr">
        <is>
          <t>Lương:Cạnh tranh</t>
        </is>
      </c>
      <c r="F266" s="10" t="inlineStr">
        <is>
          <t>Hồ Chí Minh</t>
        </is>
      </c>
      <c r="G266" s="10" t="inlineStr">
        <is>
          <t>1</t>
        </is>
      </c>
      <c r="H266" s="10" t="inlineStr">
        <is>
          <t>18/03/2026</t>
        </is>
      </c>
      <c r="I266" s="10" t="inlineStr">
        <is>
          <t>17/03/2026</t>
        </is>
      </c>
      <c r="J266" s="10" t="inlineStr">
        <is>
          <t>Kế toán / Kiểm toán, Luật / Pháp lý, Tài chính / Đầu tư</t>
        </is>
      </c>
      <c r="K266" s="10" t="inlineStr">
        <is>
          <t>Trên 1 Năm</t>
        </is>
      </c>
      <c r="L266" s="11">
        <f>HYPERLINK("https://careerviet.vn/vi/tim-viec-lam/ke-toan-thue.35C630EB.html","Xem chi tiết")</f>
        <v/>
      </c>
      <c r="M266" s="10" t="n"/>
    </row>
    <row r="267">
      <c r="B267" s="7" t="n">
        <v>265</v>
      </c>
      <c r="C267" t="inlineStr">
        <is>
          <t>Business Development Executive</t>
        </is>
      </c>
      <c r="D267" t="inlineStr">
        <is>
          <t>Công ty Easia Travel</t>
        </is>
      </c>
      <c r="E267" t="inlineStr">
        <is>
          <t>Lương:Cạnh tranh</t>
        </is>
      </c>
      <c r="F267" t="inlineStr">
        <is>
          <t>Hà Nội</t>
        </is>
      </c>
      <c r="G267" t="inlineStr">
        <is>
          <t>15-04-2026</t>
        </is>
      </c>
      <c r="H267" t="inlineStr">
        <is>
          <t>15/04/2026</t>
        </is>
      </c>
      <c r="I267" t="inlineStr">
        <is>
          <t>17/03/2026</t>
        </is>
      </c>
      <c r="J267" t="inlineStr">
        <is>
          <t>Nhà hàng / Khách sạn, Du lịch</t>
        </is>
      </c>
      <c r="K267" t="inlineStr">
        <is>
          <t>2 - 4 Năm</t>
        </is>
      </c>
      <c r="L267" s="8">
        <f>HYPERLINK("https://careerviet.vn/vi/tim-viec-lam/business-development-executive.35C65AEA.html","Xem chi tiết")</f>
        <v/>
      </c>
    </row>
    <row r="268">
      <c r="B268" s="9" t="n">
        <v>266</v>
      </c>
      <c r="C268" s="10" t="inlineStr">
        <is>
          <t>Kỹ sư Thiết Kế Xây Dựng</t>
        </is>
      </c>
      <c r="D268" s="10" t="inlineStr">
        <is>
          <t>CTy TNHH Phát Triển Công Nghệ Môi Trường Á Đông</t>
        </is>
      </c>
      <c r="E268" s="10" t="inlineStr">
        <is>
          <t>Lương:15 Tr - 40 Tr VND</t>
        </is>
      </c>
      <c r="F268" s="10" t="inlineStr">
        <is>
          <t>Hồ Chí Minh</t>
        </is>
      </c>
      <c r="G268" s="10" t="inlineStr">
        <is>
          <t>2</t>
        </is>
      </c>
      <c r="H268" s="10" t="inlineStr">
        <is>
          <t>19/03/2026</t>
        </is>
      </c>
      <c r="I268" s="10" t="inlineStr">
        <is>
          <t>17/03/2026</t>
        </is>
      </c>
      <c r="J268" s="10" t="inlineStr">
        <is>
          <t>Xây dựng, Môi trường, Kiến trúc</t>
        </is>
      </c>
      <c r="K268" s="10" t="inlineStr">
        <is>
          <t>Lên đến 2 Năm</t>
        </is>
      </c>
      <c r="L268" s="11">
        <f>HYPERLINK("https://careerviet.vn/vi/tim-viec-lam/ky-su-thiet-ke-xay-dung.35C6343C.html","Xem chi tiết")</f>
        <v/>
      </c>
      <c r="M268" s="10" t="n"/>
    </row>
    <row r="269">
      <c r="B269" s="7" t="n">
        <v>267</v>
      </c>
      <c r="C269" t="inlineStr">
        <is>
          <t>Chuyên Viên Phát Triển Mặt Bằng (Ngành Quảng Cáo OOH)</t>
        </is>
      </c>
      <c r="D269" t="inlineStr">
        <is>
          <t>Công ty Cổ Phần Tập Đoàn Bizman</t>
        </is>
      </c>
      <c r="E269" t="inlineStr">
        <is>
          <t>Lương:12 Tr - 20 Tr VND</t>
        </is>
      </c>
      <c r="F269" t="inlineStr">
        <is>
          <t>Hồ Chí Minh</t>
        </is>
      </c>
      <c r="G269" t="inlineStr">
        <is>
          <t>1</t>
        </is>
      </c>
      <c r="H269" t="inlineStr">
        <is>
          <t>18/03/2026</t>
        </is>
      </c>
      <c r="I269" t="inlineStr">
        <is>
          <t>17/03/2026</t>
        </is>
      </c>
      <c r="J269" t="inlineStr">
        <is>
          <t>Tư vấn, Quảng cáo / Đối ngoại / Truyền Thông, Xây dựng</t>
        </is>
      </c>
      <c r="K269" t="inlineStr">
        <is>
          <t>Lên đến 3 NămĐịa điểm</t>
        </is>
      </c>
      <c r="L269" s="8">
        <f>HYPERLINK("https://careerviet.vn/vi/tim-viec-lam/chuyen-vien-phat-trien-mat-bang-nganh-quang-cao-ooh.35C632BD.html","Xem chi tiết")</f>
        <v/>
      </c>
    </row>
    <row r="270">
      <c r="B270" s="9" t="n">
        <v>268</v>
      </c>
      <c r="C270" s="10" t="inlineStr">
        <is>
          <t>Trưởng Phòng Nghiên Cứu Chính Sách Sản Phẩm</t>
        </is>
      </c>
      <c r="D270" s="10" t="inlineStr">
        <is>
          <t>Tổng Công Ty Cổ Phần Bảo Hiểm Ngân Hàng TMCP Công Thương Việt Nam</t>
        </is>
      </c>
      <c r="E270" s="10" t="inlineStr">
        <is>
          <t>Lương:Cạnh tranh</t>
        </is>
      </c>
      <c r="F270" s="10" t="inlineStr">
        <is>
          <t>Hà Nội</t>
        </is>
      </c>
      <c r="G270" s="10" t="inlineStr">
        <is>
          <t>15-04-2026</t>
        </is>
      </c>
      <c r="H270" s="10" t="inlineStr">
        <is>
          <t>15/04/2026</t>
        </is>
      </c>
      <c r="I270" s="10" t="inlineStr">
        <is>
          <t>17/03/2026</t>
        </is>
      </c>
      <c r="J270" s="10" t="inlineStr">
        <is>
          <t>Bảo hiểm, Bán hàng / Kinh doanh, Ngân hàng</t>
        </is>
      </c>
      <c r="K270" s="10" t="inlineStr">
        <is>
          <t>Trên 3 Năm</t>
        </is>
      </c>
      <c r="L270" s="11">
        <f>HYPERLINK("https://careerviet.vn/vi/tim-viec-lam/truong-phong-nghien-cuu-chinh-sach-san-pham.35C65A21.html","Xem chi tiết")</f>
        <v/>
      </c>
      <c r="M270" s="10" t="n"/>
    </row>
    <row r="271">
      <c r="B271" s="7" t="n">
        <v>269</v>
      </c>
      <c r="C271" t="inlineStr">
        <is>
          <t>QA</t>
        </is>
      </c>
      <c r="D271" t="inlineStr">
        <is>
          <t>Công ty Cổ phần Tập đoàn Minh Anh</t>
        </is>
      </c>
      <c r="E271" t="inlineStr">
        <is>
          <t>Lương:12 Tr - 22 Tr VND</t>
        </is>
      </c>
      <c r="F271" t="inlineStr">
        <is>
          <t>Nghệ An</t>
        </is>
      </c>
      <c r="G271" t="inlineStr">
        <is>
          <t>15-04-2026</t>
        </is>
      </c>
      <c r="H271" t="inlineStr">
        <is>
          <t>15/04/2026</t>
        </is>
      </c>
      <c r="I271" t="inlineStr">
        <is>
          <t>17/03/2026</t>
        </is>
      </c>
      <c r="J271" t="inlineStr">
        <is>
          <t>Dệt may / Da giày / Thời trang</t>
        </is>
      </c>
      <c r="K271" t="inlineStr">
        <is>
          <t>2 - 10 Năm</t>
        </is>
      </c>
      <c r="L271" s="8">
        <f>HYPERLINK("https://careerviet.vn/vi/tim-viec-lam/qa.35C65891.html","Xem chi tiết")</f>
        <v/>
      </c>
    </row>
    <row r="272">
      <c r="B272" s="9" t="n">
        <v>270</v>
      </c>
      <c r="C272" s="10" t="inlineStr">
        <is>
          <t>Kế Toán Tổng Hợp</t>
        </is>
      </c>
      <c r="D272" s="10" t="inlineStr">
        <is>
          <t>Công Ty TNHH Scansia Pacific</t>
        </is>
      </c>
      <c r="E272" s="10" t="inlineStr">
        <is>
          <t>Lương:Cạnh tranh</t>
        </is>
      </c>
      <c r="F272" s="10" t="inlineStr">
        <is>
          <t>Đồng Nai</t>
        </is>
      </c>
      <c r="G272" s="10" t="inlineStr">
        <is>
          <t>15-04-2026</t>
        </is>
      </c>
      <c r="H272" s="10" t="inlineStr">
        <is>
          <t>15/04/2026</t>
        </is>
      </c>
      <c r="I272" s="10" t="inlineStr">
        <is>
          <t>17/03/2026</t>
        </is>
      </c>
      <c r="J272" s="10" t="inlineStr">
        <is>
          <t>Kế toán / Kiểm toán, Ngân hàng, Luật / Pháp lý</t>
        </is>
      </c>
      <c r="K272" s="10" t="inlineStr">
        <is>
          <t>1 - 2 Năm</t>
        </is>
      </c>
      <c r="L272" s="11">
        <f>HYPERLINK("https://careerviet.vn/vi/tim-viec-lam/ke-toan-tong-hop.35C65A77.html","Xem chi tiết")</f>
        <v/>
      </c>
      <c r="M272" s="10" t="n"/>
    </row>
    <row r="273">
      <c r="B273" s="7" t="n">
        <v>271</v>
      </c>
      <c r="C273" t="inlineStr">
        <is>
          <t>Giám Đốc Ban Kinh Doanh Miền Bắc (Lương Cứng 30 Đến 60 Triệu + Hoa Hồng Cao/ Nghỉ Thứ 7, Chủ Nhật)</t>
        </is>
      </c>
      <c r="D273" t="inlineStr">
        <is>
          <t>Công ty Cổ Phần Tập Đoàn Bizman</t>
        </is>
      </c>
      <c r="E273" t="inlineStr">
        <is>
          <t>Lương:30 Tr - 60 Tr VND</t>
        </is>
      </c>
      <c r="F273" t="inlineStr">
        <is>
          <t>Hà Nội</t>
        </is>
      </c>
      <c r="G273" t="inlineStr">
        <is>
          <t>Hôm nay</t>
        </is>
      </c>
      <c r="H273" t="inlineStr">
        <is>
          <t>17/03/2026</t>
        </is>
      </c>
      <c r="I273" t="inlineStr">
        <is>
          <t>17/03/2026</t>
        </is>
      </c>
      <c r="J273" t="inlineStr">
        <is>
          <t>Tiếp thị / Marketing, Bán hàng / Kinh doanh, Quảng cáo / Đối ngoại / Truyền Thông</t>
        </is>
      </c>
      <c r="K273" t="inlineStr">
        <is>
          <t>5 - 8 Năm</t>
        </is>
      </c>
      <c r="L273" s="8">
        <f>HYPERLINK("https://careerviet.vn/vi/tim-viec-lam/giam-doc-ban-kinh-doanh-mien-bac-luong-cung-30-den-60-trieu-hoa-hong-cao-nghi-thu-7-chu-nhat.35C63044.html","Xem chi tiết")</f>
        <v/>
      </c>
    </row>
    <row r="274">
      <c r="B274" s="9" t="n">
        <v>272</v>
      </c>
      <c r="C274" s="10" t="inlineStr">
        <is>
          <t>Cashew Color Sorting &amp; Peeling Section Leader</t>
        </is>
      </c>
      <c r="D274" s="10" t="inlineStr">
        <is>
          <t>CÔNG TY TNHH THƯƠNG MẠI QUỐC TẾ VALENCY VIỆT NAM</t>
        </is>
      </c>
      <c r="E274" s="10" t="inlineStr">
        <is>
          <t>Lương:Cạnh tranh</t>
        </is>
      </c>
      <c r="F274" s="10" t="inlineStr">
        <is>
          <t>Hồ Chí Minh</t>
        </is>
      </c>
      <c r="G274" s="10" t="inlineStr">
        <is>
          <t>15-04-2026</t>
        </is>
      </c>
      <c r="H274" s="10" t="inlineStr">
        <is>
          <t>15/04/2026</t>
        </is>
      </c>
      <c r="I274" s="10" t="inlineStr">
        <is>
          <t>17/03/2026</t>
        </is>
      </c>
      <c r="J274" s="10" t="inlineStr">
        <is>
          <t>Vận chuyển / Giao nhận / Kho vận, Công nghệ thực phẩm / Dinh dưỡng, Sản xuất / Vận hành sản xuất</t>
        </is>
      </c>
      <c r="K274" s="10" t="inlineStr">
        <is>
          <t>5 - 7 Năm</t>
        </is>
      </c>
      <c r="L274" s="11">
        <f>HYPERLINK("https://careerviet.vn/vi/tim-viec-lam/cashew-color-sorting-peeling-section-leader.35C65959.html","Xem chi tiết")</f>
        <v/>
      </c>
      <c r="M274" s="10" t="n"/>
    </row>
    <row r="275">
      <c r="B275" s="7" t="n">
        <v>273</v>
      </c>
      <c r="C275" t="inlineStr">
        <is>
          <t>Traceability Specialist</t>
        </is>
      </c>
      <c r="D275" t="inlineStr">
        <is>
          <t>Un-Available LTD Co.,</t>
        </is>
      </c>
      <c r="E275" t="inlineStr">
        <is>
          <t>Lương:Cạnh tranh</t>
        </is>
      </c>
      <c r="F275" t="inlineStr">
        <is>
          <t>Hồ Chí Minh</t>
        </is>
      </c>
      <c r="G275" t="inlineStr">
        <is>
          <t>15-04-2026</t>
        </is>
      </c>
      <c r="H275" t="inlineStr">
        <is>
          <t>15/04/2026</t>
        </is>
      </c>
      <c r="I275" t="inlineStr">
        <is>
          <t>17/03/2026</t>
        </is>
      </c>
      <c r="J275" t="inlineStr">
        <is>
          <t>Môi trường, Dệt may / Da giày / Thời trang, Thực phẩm &amp; Đồ uống</t>
        </is>
      </c>
      <c r="K275" t="inlineStr">
        <is>
          <t>1 - 2 Năm</t>
        </is>
      </c>
      <c r="L275" s="8">
        <f>HYPERLINK("https://careerviet.vn/vi/tim-viec-lam/traceability-specialist.35C659F4.html","Xem chi tiết")</f>
        <v/>
      </c>
    </row>
    <row r="276">
      <c r="B276" s="9" t="n">
        <v>274</v>
      </c>
      <c r="C276" s="10" t="inlineStr">
        <is>
          <t>Chuyên viên tuyển dụng</t>
        </is>
      </c>
      <c r="D276" s="10" t="inlineStr">
        <is>
          <t>Công Ty TNHH TM &amp; XNK Nhất Lâm</t>
        </is>
      </c>
      <c r="E276" s="10" t="inlineStr">
        <is>
          <t>Lương:12 Tr - 15 Tr VND</t>
        </is>
      </c>
      <c r="F276" s="10" t="inlineStr">
        <is>
          <t>Hà Nội</t>
        </is>
      </c>
      <c r="G276" s="10" t="inlineStr">
        <is>
          <t>15-04-2026</t>
        </is>
      </c>
      <c r="H276" s="10" t="inlineStr">
        <is>
          <t>15/04/2026</t>
        </is>
      </c>
      <c r="I276" s="10" t="inlineStr">
        <is>
          <t>17/03/2026</t>
        </is>
      </c>
      <c r="J276" s="10" t="inlineStr">
        <is>
          <t>Nhân sự</t>
        </is>
      </c>
      <c r="K276" s="10" t="inlineStr">
        <is>
          <t>2 - 5 Năm</t>
        </is>
      </c>
      <c r="L276" s="11">
        <f>HYPERLINK("https://careerviet.vn/vi/tim-viec-lam/chuyen-vien-tuyen-dung.35C65B41.html","Xem chi tiết")</f>
        <v/>
      </c>
      <c r="M276" s="10" t="n"/>
    </row>
    <row r="277">
      <c r="B277" s="7" t="n">
        <v>275</v>
      </c>
      <c r="C277" t="inlineStr">
        <is>
          <t>QC Inspection - Công Trình</t>
        </is>
      </c>
      <c r="D277" t="inlineStr">
        <is>
          <t>ATAD Steel Structure Corporation</t>
        </is>
      </c>
      <c r="E277" t="inlineStr">
        <is>
          <t>Lương:Cạnh tranh</t>
        </is>
      </c>
      <c r="F277" t="inlineStr">
        <is>
          <t>Hà NộiKiên GiangHải Phòng</t>
        </is>
      </c>
      <c r="G277" t="inlineStr">
        <is>
          <t>15-04-2026</t>
        </is>
      </c>
      <c r="H277" t="inlineStr">
        <is>
          <t>15/04/2026</t>
        </is>
      </c>
      <c r="I277" t="inlineStr">
        <is>
          <t>17/03/2026</t>
        </is>
      </c>
      <c r="J277" t="inlineStr">
        <is>
          <t>Xây dựng, Quản lý chất lượng (QA/QC), Cơ khí / Ô tô / Tự động hóa</t>
        </is>
      </c>
      <c r="K277" t="inlineStr">
        <is>
          <t>1 - 3 Năm</t>
        </is>
      </c>
      <c r="L277" s="8">
        <f>HYPERLINK("https://careerviet.vn/vi/tim-viec-lam/qc-inspection-cong-trinh.35C65A73.html","Xem chi tiết")</f>
        <v/>
      </c>
    </row>
    <row r="278">
      <c r="B278" s="9" t="n">
        <v>276</v>
      </c>
      <c r="C278" s="10" t="inlineStr">
        <is>
          <t>[Bắc Ninh] Nhân Viên Kinh Doanh</t>
        </is>
      </c>
      <c r="D278" s="10" t="inlineStr">
        <is>
          <t>Coca-Cola Beverages Vietnam</t>
        </is>
      </c>
      <c r="E278" s="10" t="inlineStr">
        <is>
          <t>Lương:Cạnh tranh</t>
        </is>
      </c>
      <c r="F278" s="10" t="inlineStr">
        <is>
          <t>Bắc Ninh</t>
        </is>
      </c>
      <c r="G278" s="10" t="inlineStr">
        <is>
          <t>15-04-2026</t>
        </is>
      </c>
      <c r="H278" s="10" t="inlineStr">
        <is>
          <t>15/04/2026</t>
        </is>
      </c>
      <c r="I278" s="10" t="inlineStr">
        <is>
          <t>17/03/2026</t>
        </is>
      </c>
      <c r="J278" s="10" t="inlineStr">
        <is>
          <t>Bán lẻ / Bán sỉ, Bán hàng / Kinh doanh</t>
        </is>
      </c>
      <c r="K278" s="10" t="inlineStr">
        <is>
          <t>1 - 10 Năm</t>
        </is>
      </c>
      <c r="L278" s="11">
        <f>HYPERLINK("https://careerviet.vn/vi/tim-viec-lam/bac-ninh-nhan-vien-kinh-doanh.35C65AE3.html","Xem chi tiết")</f>
        <v/>
      </c>
      <c r="M278" s="10" t="n"/>
    </row>
    <row r="279">
      <c r="B279" s="7" t="n">
        <v>277</v>
      </c>
      <c r="C279" t="inlineStr">
        <is>
          <t>Nhân Viên Tư Vấn Dịch vụ Kỹ thuật (M&amp;E Hệ thống ống nước)</t>
        </is>
      </c>
      <c r="D279" t="inlineStr">
        <is>
          <t>CÔNG TY CỔ PHẦN NHỰA BÌNH MINH</t>
        </is>
      </c>
      <c r="E279" t="inlineStr">
        <is>
          <t>Lương:Cạnh tranh</t>
        </is>
      </c>
      <c r="F279" t="inlineStr">
        <is>
          <t>Hồ Chí Minh</t>
        </is>
      </c>
      <c r="G279" t="inlineStr">
        <is>
          <t>15-04-2026</t>
        </is>
      </c>
      <c r="H279" t="inlineStr">
        <is>
          <t>15/04/2026</t>
        </is>
      </c>
      <c r="I279" t="inlineStr">
        <is>
          <t>17/03/2026</t>
        </is>
      </c>
      <c r="J279" t="inlineStr">
        <is>
          <t>Tiếp thị / Marketing, Bán hàng / Kinh doanh, Xây dựng</t>
        </is>
      </c>
      <c r="K279" t="inlineStr">
        <is>
          <t>1 - 2 Năm</t>
        </is>
      </c>
      <c r="L279" s="8">
        <f>HYPERLINK("https://careerviet.vn/vi/tim-viec-lam/nhan-vien-tu-van-dich-vu-ky-thuat-m-e-he-thong-ong-nuoc.35C65A79.html","Xem chi tiết")</f>
        <v/>
      </c>
    </row>
    <row r="280">
      <c r="B280" s="9" t="n">
        <v>278</v>
      </c>
      <c r="C280" s="10" t="inlineStr">
        <is>
          <t>Giám đốc Phòng Kinh doanh qua điện thoại Sản phẩm vay tín chấp</t>
        </is>
      </c>
      <c r="D280" s="10" t="inlineStr">
        <is>
          <t>Ngân Hàng TMCP Quốc Tế Việt Nam</t>
        </is>
      </c>
      <c r="E280" s="10" t="inlineStr">
        <is>
          <t>Lương:25 Tr - 30 Tr VND</t>
        </is>
      </c>
      <c r="F280" s="10" t="inlineStr">
        <is>
          <t>Hà Nội</t>
        </is>
      </c>
      <c r="G280" s="10" t="inlineStr">
        <is>
          <t>15-04-2026</t>
        </is>
      </c>
      <c r="H280" s="10" t="inlineStr">
        <is>
          <t>15/04/2026</t>
        </is>
      </c>
      <c r="I280" s="10" t="inlineStr">
        <is>
          <t>17/03/2026</t>
        </is>
      </c>
      <c r="J280" s="10" t="inlineStr">
        <is>
          <t>Bán hàng / Kinh doanh</t>
        </is>
      </c>
      <c r="K280" s="10" t="inlineStr">
        <is>
          <t>Trên 2 Năm</t>
        </is>
      </c>
      <c r="L280" s="11">
        <f>HYPERLINK("https://careerviet.vn/vi/tim-viec-lam/giam-doc-phong-kinh-doanh-qua-dien-thoai-san-pham-vay-tin-chap.35C65B13.html","Xem chi tiết")</f>
        <v/>
      </c>
      <c r="M280" s="10" t="n"/>
    </row>
    <row r="281">
      <c r="B281" s="7" t="n">
        <v>279</v>
      </c>
      <c r="C281" t="inlineStr">
        <is>
          <t>Nhân Viên Kinh Doanh - Thu Nhập Hấp Dẫn</t>
        </is>
      </c>
      <c r="D281" t="inlineStr">
        <is>
          <t>Công Ty Cổ Phần Eurowindow</t>
        </is>
      </c>
      <c r="E281" t="inlineStr">
        <is>
          <t>Lương:12 Tr - 25 Tr VND</t>
        </is>
      </c>
      <c r="F281" t="inlineStr">
        <is>
          <t>Hà Nội</t>
        </is>
      </c>
      <c r="G281" t="inlineStr">
        <is>
          <t>15-04-2026</t>
        </is>
      </c>
      <c r="H281" t="inlineStr">
        <is>
          <t>15/04/2026</t>
        </is>
      </c>
      <c r="I281" t="inlineStr">
        <is>
          <t>17/03/2026</t>
        </is>
      </c>
      <c r="J281" t="inlineStr">
        <is>
          <t>Bất động sản, Bán hàng / Kinh doanh, Bán lẻ / Bán sỉ</t>
        </is>
      </c>
      <c r="K281" t="inlineStr">
        <is>
          <t>1 - 3 Năm</t>
        </is>
      </c>
      <c r="L281" s="8">
        <f>HYPERLINK("https://careerviet.vn/vi/tim-viec-lam/nhan-vien-kinh-doanh-thu-nhap-hap-dan.35C65A54.html","Xem chi tiết")</f>
        <v/>
      </c>
    </row>
    <row r="282">
      <c r="B282" s="9" t="n">
        <v>280</v>
      </c>
      <c r="C282" s="10" t="inlineStr">
        <is>
          <t>CHUYÊN VIÊN THU MUA THỰC PHẨM TƯƠI SỐNG</t>
        </is>
      </c>
      <c r="D282" s="10" t="inlineStr">
        <is>
          <t>Công Ty TNHH Thương Mại K&amp;K Toàn Cầu</t>
        </is>
      </c>
      <c r="E282" s="10" t="inlineStr">
        <is>
          <t>Lương:10 Tr - 15 Tr VND</t>
        </is>
      </c>
      <c r="F282" s="10" t="inlineStr">
        <is>
          <t>Hà Nội</t>
        </is>
      </c>
      <c r="G282" s="10" t="inlineStr">
        <is>
          <t>15-04-2026</t>
        </is>
      </c>
      <c r="H282" s="10" t="inlineStr">
        <is>
          <t>15/04/2026</t>
        </is>
      </c>
      <c r="I282" s="10" t="inlineStr">
        <is>
          <t>17/03/2026</t>
        </is>
      </c>
      <c r="J282" s="10" t="inlineStr">
        <is>
          <t>Bán lẻ / Bán sỉ, Thực phẩm &amp; Đồ uống, Thu mua / Vật tư</t>
        </is>
      </c>
      <c r="K282" s="10" t="inlineStr">
        <is>
          <t>1 - 2 Năm</t>
        </is>
      </c>
      <c r="L282" s="11">
        <f>HYPERLINK("https://careerviet.vn/vi/tim-viec-lam/chuyen-vien-thu-mua-thuc-pham-tuoi-song.35C65AC7.html","Xem chi tiết")</f>
        <v/>
      </c>
      <c r="M282" s="10" t="n"/>
    </row>
    <row r="283">
      <c r="B283" s="7" t="n">
        <v>281</v>
      </c>
      <c r="C283" t="inlineStr">
        <is>
          <t>Operation Executive (Japan)</t>
        </is>
      </c>
      <c r="D283" t="inlineStr">
        <is>
          <t>Công ty Easia Travel</t>
        </is>
      </c>
      <c r="E283" t="inlineStr">
        <is>
          <t>Lương:Cạnh tranh</t>
        </is>
      </c>
      <c r="F283" t="inlineStr">
        <is>
          <t>Hà Nội</t>
        </is>
      </c>
      <c r="G283" t="inlineStr">
        <is>
          <t>15-04-2026</t>
        </is>
      </c>
      <c r="H283" t="inlineStr">
        <is>
          <t>15/04/2026</t>
        </is>
      </c>
      <c r="I283" t="inlineStr">
        <is>
          <t>17/03/2026</t>
        </is>
      </c>
      <c r="J283" t="inlineStr">
        <is>
          <t>Nhà hàng / Khách sạn, Du lịch</t>
        </is>
      </c>
      <c r="K283" t="inlineStr">
        <is>
          <t>1 - 2 Năm</t>
        </is>
      </c>
      <c r="L283" s="8">
        <f>HYPERLINK("https://careerviet.vn/vi/tim-viec-lam/operation-executive-japan.35C65AA2.html","Xem chi tiết")</f>
        <v/>
      </c>
    </row>
    <row r="284">
      <c r="B284" s="9" t="n">
        <v>282</v>
      </c>
      <c r="C284" s="10" t="inlineStr">
        <is>
          <t>Sân bay Nội Bài- Nhân viên Đón tiễn Khách hàng</t>
        </is>
      </c>
      <c r="D284" s="10" t="inlineStr">
        <is>
          <t>Công ty Cổ phần Đầu tư Thương mại Kỹ thuật A&amp;T Việt Nam</t>
        </is>
      </c>
      <c r="E284" s="10" t="inlineStr">
        <is>
          <t>Lương:13 Tr - 15 Tr VND</t>
        </is>
      </c>
      <c r="F284" s="10" t="inlineStr">
        <is>
          <t>Hà Nội</t>
        </is>
      </c>
      <c r="G284" s="10" t="inlineStr">
        <is>
          <t>15-04-2026</t>
        </is>
      </c>
      <c r="H284" s="10" t="inlineStr">
        <is>
          <t>15/04/2026</t>
        </is>
      </c>
      <c r="I284" s="10" t="inlineStr">
        <is>
          <t>17/03/2026</t>
        </is>
      </c>
      <c r="J284" s="10" t="inlineStr">
        <is>
          <t>Dịch vụ khách hàng, Hàng không, Du lịch</t>
        </is>
      </c>
      <c r="K284" s="10" t="inlineStr">
        <is>
          <t>N/A</t>
        </is>
      </c>
      <c r="L284" s="11">
        <f>HYPERLINK("https://careerviet.vn/vi/tim-viec-lam/san-bay-noi-bai-nhan-vien-don-tien-khach-hang.35C65A34.html","Xem chi tiết")</f>
        <v/>
      </c>
      <c r="M284" s="10" t="n"/>
    </row>
    <row r="285">
      <c r="B285" s="7" t="n">
        <v>283</v>
      </c>
      <c r="C285" t="inlineStr">
        <is>
          <t>Trưởng phòng Kế toán Tài chính 26983 - KCN Thăng Long 2, Hưng Yên (có xe đưa đón)</t>
        </is>
      </c>
      <c r="D285" t="inlineStr">
        <is>
          <t>Công Ty TNHH Reeracoen Việt Nam</t>
        </is>
      </c>
      <c r="E285" t="inlineStr">
        <is>
          <t>Lương:35 Tr - 55 Tr VND</t>
        </is>
      </c>
      <c r="F285" t="inlineStr">
        <is>
          <t>Hưng Yên</t>
        </is>
      </c>
      <c r="G285" t="inlineStr">
        <is>
          <t>15-04-2026</t>
        </is>
      </c>
      <c r="H285" t="inlineStr">
        <is>
          <t>15/04/2026</t>
        </is>
      </c>
      <c r="I285" t="inlineStr">
        <is>
          <t>17/03/2026</t>
        </is>
      </c>
      <c r="J285" t="inlineStr">
        <is>
          <t>Kế toán / Kiểm toán, Ngân hàng, Tài chính / Đầu tư</t>
        </is>
      </c>
      <c r="K285" t="inlineStr">
        <is>
          <t>Trên 7 Năm</t>
        </is>
      </c>
      <c r="L285" s="8">
        <f>HYPERLINK("https://careerviet.vn/vi/tim-viec-lam/truong-phong-ke-toan-tai-chinh-26983-kcn-thang-long-2-hung-yen-co-xe-dua-don.35C65B92.html","Xem chi tiết")</f>
        <v/>
      </c>
    </row>
    <row r="286">
      <c r="B286" s="9" t="n">
        <v>284</v>
      </c>
      <c r="C286" s="10" t="inlineStr">
        <is>
          <t>Chuyên viên/ CVC/CVCC Khách hàng Ưu tiên - Hải Phòng, Bắc Giang, Vĩnh Phúc</t>
        </is>
      </c>
      <c r="D286" s="10" t="inlineStr">
        <is>
          <t>Ngân hàng Thương mại cổ phần Đông Nam Á (SeABank)</t>
        </is>
      </c>
      <c r="E286" s="10" t="inlineStr">
        <is>
          <t>Lương:11 Tr - 40 Tr VND</t>
        </is>
      </c>
      <c r="F286" s="10" t="inlineStr">
        <is>
          <t>Hải PhòngBắc GiangVĩnh Phúc</t>
        </is>
      </c>
      <c r="G286" s="10" t="inlineStr">
        <is>
          <t>15-04-2026</t>
        </is>
      </c>
      <c r="H286" s="10" t="inlineStr">
        <is>
          <t>15/04/2026</t>
        </is>
      </c>
      <c r="I286" s="10" t="inlineStr">
        <is>
          <t>17/03/2026</t>
        </is>
      </c>
      <c r="J286" s="10" t="inlineStr">
        <is>
          <t>Bán hàng / Kinh doanh, Ngân hàng, Tài chính / Đầu tư</t>
        </is>
      </c>
      <c r="K286" s="10" t="inlineStr">
        <is>
          <t>N/A</t>
        </is>
      </c>
      <c r="L286" s="11">
        <f>HYPERLINK("https://careerviet.vn/vi/tim-viec-lam/chuyen-vien-cvc-cvcc-khach-hang-uu-tien-hai-phong-bac-giang-vinh-phuc.35C65ADE.html","Xem chi tiết")</f>
        <v/>
      </c>
      <c r="M286" s="10" t="n"/>
    </row>
    <row r="287">
      <c r="B287" s="7" t="n">
        <v>285</v>
      </c>
      <c r="C287" t="inlineStr">
        <is>
          <t>Nhân viên thiết kế cơ 27470 - Đống Đa, HN</t>
        </is>
      </c>
      <c r="D287" t="inlineStr">
        <is>
          <t>Công Ty TNHH Reeracoen Việt Nam</t>
        </is>
      </c>
      <c r="E287" t="inlineStr">
        <is>
          <t>Lương:13,5 Tr - 15 Tr VND</t>
        </is>
      </c>
      <c r="F287" t="inlineStr">
        <is>
          <t>Hà Nội</t>
        </is>
      </c>
      <c r="G287" t="inlineStr">
        <is>
          <t>15-04-2026</t>
        </is>
      </c>
      <c r="H287" t="inlineStr">
        <is>
          <t>15/04/2026</t>
        </is>
      </c>
      <c r="I287" t="inlineStr">
        <is>
          <t>17/03/2026</t>
        </is>
      </c>
      <c r="J287" t="inlineStr">
        <is>
          <t>Cơ khí / Ô tô / Tự động hóa, Điện / Điện tử / Điện lạnh / Điện công nghiệp, Bảo trì / Sửa chữa</t>
        </is>
      </c>
      <c r="K287" t="inlineStr">
        <is>
          <t>Trên 2 Năm</t>
        </is>
      </c>
      <c r="L287" s="8">
        <f>HYPERLINK("https://careerviet.vn/vi/tim-viec-lam/nhan-vien-thiet-ke-co-27470-dong-da-hn.35C65B87.html","Xem chi tiết")</f>
        <v/>
      </c>
    </row>
    <row r="288">
      <c r="B288" s="9" t="n">
        <v>286</v>
      </c>
      <c r="C288" s="10" t="inlineStr">
        <is>
          <t>Chuyên viên Quản lý thiết kế MEP ( Chủ đầu tư)</t>
        </is>
      </c>
      <c r="D288" s="10" t="inlineStr">
        <is>
          <t>Công ty Cổ phần Đầu tư Thương mại Kỹ thuật A&amp;T Việt Nam</t>
        </is>
      </c>
      <c r="E288" s="10" t="inlineStr">
        <is>
          <t>Lương:Cạnh tranh</t>
        </is>
      </c>
      <c r="F288" s="10" t="inlineStr">
        <is>
          <t>Hà Nội</t>
        </is>
      </c>
      <c r="G288" s="10" t="inlineStr">
        <is>
          <t>15-04-2026</t>
        </is>
      </c>
      <c r="H288" s="10" t="inlineStr">
        <is>
          <t>15/04/2026</t>
        </is>
      </c>
      <c r="I288" s="10" t="inlineStr">
        <is>
          <t>17/03/2026</t>
        </is>
      </c>
      <c r="J288" s="10" t="inlineStr">
        <is>
          <t>Điện / Điện tử / Điện lạnh / Điện công nghiệp, Xây dựng, Bất động sản</t>
        </is>
      </c>
      <c r="K288" s="10" t="inlineStr">
        <is>
          <t>5 - 8 Năm</t>
        </is>
      </c>
      <c r="L288" s="11">
        <f>HYPERLINK("https://careerviet.vn/vi/tim-viec-lam/chuyen-vien-quan-ly-thiet-ke-mep-chu-dau-tu.35C65A32.html","Xem chi tiết")</f>
        <v/>
      </c>
      <c r="M288" s="10" t="n"/>
    </row>
    <row r="289">
      <c r="B289" s="7" t="n">
        <v>287</v>
      </c>
      <c r="C289" t="inlineStr">
        <is>
          <t>Kỹ sư QS dự án xây dựng</t>
        </is>
      </c>
      <c r="D289" t="inlineStr">
        <is>
          <t>CÔNG TY CỔ PHẦN ĐẦU TƯ VÀ XÂY DỰNG XUÂN MAI</t>
        </is>
      </c>
      <c r="E289" t="inlineStr">
        <is>
          <t>Lương:Cạnh tranh</t>
        </is>
      </c>
      <c r="F289" t="inlineStr">
        <is>
          <t>Hà Nội</t>
        </is>
      </c>
      <c r="G289" t="inlineStr">
        <is>
          <t>15-04-2026</t>
        </is>
      </c>
      <c r="H289" t="inlineStr">
        <is>
          <t>15/04/2026</t>
        </is>
      </c>
      <c r="I289" t="inlineStr">
        <is>
          <t>17/03/2026</t>
        </is>
      </c>
      <c r="J289" t="inlineStr">
        <is>
          <t>Xây dựng, Quản lý chất lượng (QA/QC), Bất động sản</t>
        </is>
      </c>
      <c r="K289" t="inlineStr">
        <is>
          <t>N/A</t>
        </is>
      </c>
      <c r="L289" s="8">
        <f>HYPERLINK("https://careerviet.vn/vi/tim-viec-lam/ky-su-qs-du-an-xay-dung.35C65B52.html","Xem chi tiết")</f>
        <v/>
      </c>
    </row>
    <row r="290">
      <c r="B290" s="9" t="n">
        <v>288</v>
      </c>
      <c r="C290" s="10" t="inlineStr">
        <is>
          <t>Kiểm soát chất lượng (QA/QC) công trình, dự án, xây dựng</t>
        </is>
      </c>
      <c r="D290" s="10" t="inlineStr">
        <is>
          <t>Công Ty TNHH J.G</t>
        </is>
      </c>
      <c r="E290" s="10" t="inlineStr">
        <is>
          <t>Lương:Cạnh tranh</t>
        </is>
      </c>
      <c r="F290" s="10" t="inlineStr">
        <is>
          <t>Hồ Chí Minh</t>
        </is>
      </c>
      <c r="G290" s="10" t="inlineStr">
        <is>
          <t>15-04-2026</t>
        </is>
      </c>
      <c r="H290" s="10" t="inlineStr">
        <is>
          <t>15/04/2026</t>
        </is>
      </c>
      <c r="I290" s="10" t="inlineStr">
        <is>
          <t>17/03/2026</t>
        </is>
      </c>
      <c r="J290" s="10" t="inlineStr">
        <is>
          <t>Mỹ thuật / Nghệ thuật / Thiết kế, Xây dựng, Bất động sản</t>
        </is>
      </c>
      <c r="K290" s="10" t="inlineStr">
        <is>
          <t>Chưa có kinh nghiệm</t>
        </is>
      </c>
      <c r="L290" s="11">
        <f>HYPERLINK("https://careerviet.vn/vi/tim-viec-lam/kiem-soat-chat-luong-qa-qc-cong-trinh-du-an-xay-dung.35C65AC0.html","Xem chi tiết")</f>
        <v/>
      </c>
      <c r="M290" s="10" t="n"/>
    </row>
    <row r="291">
      <c r="B291" s="7" t="n">
        <v>289</v>
      </c>
      <c r="C291" t="inlineStr">
        <is>
          <t>Kỹ sư Kinh tế Xây dựng (Chủ đầu tư)</t>
        </is>
      </c>
      <c r="D291" t="inlineStr">
        <is>
          <t>CÔNG TY TNHH THƯƠNG MẠI TÙNG MỸ</t>
        </is>
      </c>
      <c r="E291" t="inlineStr">
        <is>
          <t>Lương:Cạnh tranh</t>
        </is>
      </c>
      <c r="F291" t="inlineStr">
        <is>
          <t>Bà Rịa - Vũng Tàu</t>
        </is>
      </c>
      <c r="G291" t="inlineStr">
        <is>
          <t>15-04-2026</t>
        </is>
      </c>
      <c r="H291" t="inlineStr">
        <is>
          <t>15/04/2026</t>
        </is>
      </c>
      <c r="I291" t="inlineStr">
        <is>
          <t>17/03/2026</t>
        </is>
      </c>
      <c r="J291" t="inlineStr">
        <is>
          <t>Xây dựng, Bất động sản</t>
        </is>
      </c>
      <c r="K291" t="inlineStr">
        <is>
          <t>5 - 15 Năm</t>
        </is>
      </c>
      <c r="L291" s="8">
        <f>HYPERLINK("https://careerviet.vn/vi/tim-viec-lam/ky-su-kinh-te-xay-dung-chu-dau-tu.35C659FA.html","Xem chi tiết")</f>
        <v/>
      </c>
    </row>
    <row r="292">
      <c r="B292" s="9" t="n">
        <v>290</v>
      </c>
      <c r="C292" s="10" t="inlineStr">
        <is>
          <t>Kĩ Thuật Sản Xuất</t>
        </is>
      </c>
      <c r="D292" s="10" t="inlineStr">
        <is>
          <t>Công ty Cổ phần Tập đoàn Minh Anh</t>
        </is>
      </c>
      <c r="E292" s="10" t="inlineStr">
        <is>
          <t>Lương:12 Tr - 20 Tr VND</t>
        </is>
      </c>
      <c r="F292" s="10" t="inlineStr">
        <is>
          <t>Nghệ An</t>
        </is>
      </c>
      <c r="G292" s="10" t="inlineStr">
        <is>
          <t>15-04-2026</t>
        </is>
      </c>
      <c r="H292" s="10" t="inlineStr">
        <is>
          <t>15/04/2026</t>
        </is>
      </c>
      <c r="I292" s="10" t="inlineStr">
        <is>
          <t>17/03/2026</t>
        </is>
      </c>
      <c r="J292" s="10" t="inlineStr">
        <is>
          <t>Dệt may / Da giày / Thời trang</t>
        </is>
      </c>
      <c r="K292" s="10" t="inlineStr">
        <is>
          <t>2 - 10 Năm</t>
        </is>
      </c>
      <c r="L292" s="11">
        <f>HYPERLINK("https://careerviet.vn/vi/tim-viec-lam/ki-thuat-san-xuat.35C65898.html","Xem chi tiết")</f>
        <v/>
      </c>
      <c r="M292" s="10" t="n"/>
    </row>
    <row r="293">
      <c r="B293" s="7" t="n">
        <v>291</v>
      </c>
      <c r="C293" t="inlineStr">
        <is>
          <t>Cán Bộ An Toàn Lao Động</t>
        </is>
      </c>
      <c r="D293" t="inlineStr">
        <is>
          <t>CÔNG TY CỔ PHẦN ĐẦU TƯ VÀ XÂY DỰNG XUÂN MAI</t>
        </is>
      </c>
      <c r="E293" t="inlineStr">
        <is>
          <t>Lương:Cạnh tranh</t>
        </is>
      </c>
      <c r="F293" t="inlineStr">
        <is>
          <t>Hà Nội</t>
        </is>
      </c>
      <c r="G293" t="inlineStr">
        <is>
          <t>15-04-2026</t>
        </is>
      </c>
      <c r="H293" t="inlineStr">
        <is>
          <t>15/04/2026</t>
        </is>
      </c>
      <c r="I293" t="inlineStr">
        <is>
          <t>17/03/2026</t>
        </is>
      </c>
      <c r="J293" t="inlineStr">
        <is>
          <t>Xây dựng, An toàn lao động, Điện / Điện tử / Điện lạnh / Điện công nghiệp</t>
        </is>
      </c>
      <c r="K293" t="inlineStr">
        <is>
          <t>N/A</t>
        </is>
      </c>
      <c r="L293" s="8">
        <f>HYPERLINK("https://careerviet.vn/vi/tim-viec-lam/can-bo-an-toan-lao-dong.35C65B51.html","Xem chi tiết")</f>
        <v/>
      </c>
    </row>
    <row r="294">
      <c r="B294" s="9" t="n">
        <v>292</v>
      </c>
      <c r="C294" s="10" t="inlineStr">
        <is>
          <t>Affiliate Executive</t>
        </is>
      </c>
      <c r="D294" s="10" t="inlineStr">
        <is>
          <t>CÔNG TY TNHH GOLDNET</t>
        </is>
      </c>
      <c r="E294" s="10" t="inlineStr">
        <is>
          <t>Lương:Cạnh tranh</t>
        </is>
      </c>
      <c r="F294" s="10" t="inlineStr">
        <is>
          <t>Hồ Chí Minh</t>
        </is>
      </c>
      <c r="G294" s="10" t="inlineStr">
        <is>
          <t>15-04-2026</t>
        </is>
      </c>
      <c r="H294" s="10" t="inlineStr">
        <is>
          <t>15/04/2026</t>
        </is>
      </c>
      <c r="I294" s="10" t="inlineStr">
        <is>
          <t>17/03/2026</t>
        </is>
      </c>
      <c r="J294" s="10" t="inlineStr">
        <is>
          <t>Tiếp thị / Marketing, Thương mại điện tử</t>
        </is>
      </c>
      <c r="K294" s="10" t="inlineStr">
        <is>
          <t>Trên 1 Năm</t>
        </is>
      </c>
      <c r="L294" s="11">
        <f>HYPERLINK("https://careerviet.vn/vi/tim-viec-lam/affiliate-executive.35C65BBE.html","Xem chi tiết")</f>
        <v/>
      </c>
      <c r="M294" s="10" t="n"/>
    </row>
    <row r="295">
      <c r="B295" s="7" t="n">
        <v>293</v>
      </c>
      <c r="C295" t="inlineStr">
        <is>
          <t>Kế toán trưởng tiếng Anh</t>
        </is>
      </c>
      <c r="D295" t="inlineStr">
        <is>
          <t>CÔNG TY TNHH JOB HOUSE</t>
        </is>
      </c>
      <c r="E295" t="inlineStr">
        <is>
          <t>Lương:20 Tr - 30 Tr VND</t>
        </is>
      </c>
      <c r="F295" t="inlineStr">
        <is>
          <t>Hà NộiHà Nam</t>
        </is>
      </c>
      <c r="G295" t="inlineStr">
        <is>
          <t>15-04-2026</t>
        </is>
      </c>
      <c r="H295" t="inlineStr">
        <is>
          <t>15/04/2026</t>
        </is>
      </c>
      <c r="I295" t="inlineStr">
        <is>
          <t>17/03/2026</t>
        </is>
      </c>
      <c r="J295" t="inlineStr">
        <is>
          <t>Kế toán / Kiểm toán, Tài chính / Đầu tư, Xây dựng</t>
        </is>
      </c>
      <c r="K295" t="inlineStr">
        <is>
          <t>Trên 3 Năm</t>
        </is>
      </c>
      <c r="L295" s="8">
        <f>HYPERLINK("https://careerviet.vn/vi/tim-viec-lam/ke-toan-truong-tieng-anh.35C65B36.html","Xem chi tiết")</f>
        <v/>
      </c>
    </row>
    <row r="296">
      <c r="B296" s="9" t="n">
        <v>294</v>
      </c>
      <c r="C296" s="10" t="inlineStr">
        <is>
          <t>QC Lab(Mới)</t>
        </is>
      </c>
      <c r="D296" s="10" t="inlineStr">
        <is>
          <t>Brand Packaging Joint Stock Company</t>
        </is>
      </c>
      <c r="E296" s="10" t="inlineStr">
        <is>
          <t>Lương:Cạnh tranh</t>
        </is>
      </c>
      <c r="F296" s="10" t="inlineStr">
        <is>
          <t>Bình Dương</t>
        </is>
      </c>
      <c r="G296" s="10" t="inlineStr">
        <is>
          <t>30-04-2026</t>
        </is>
      </c>
      <c r="H296" s="10" t="inlineStr">
        <is>
          <t>30/04/2026</t>
        </is>
      </c>
      <c r="I296" s="10" t="inlineStr">
        <is>
          <t>17/03/2026</t>
        </is>
      </c>
      <c r="J296" s="10" t="inlineStr">
        <is>
          <t>Sản xuất / Vận hành sản xuất, Quản lý chất lượng (QA/QC)</t>
        </is>
      </c>
      <c r="K296" s="10" t="inlineStr">
        <is>
          <t>N/A</t>
        </is>
      </c>
      <c r="L296" s="11">
        <f>HYPERLINK("https://careerviet.vn/vi/tim-viec-lam/qc-lab.35C6CD74.html","Xem chi tiết")</f>
        <v/>
      </c>
      <c r="M296" s="10" t="n"/>
    </row>
    <row r="297">
      <c r="B297" s="7" t="n">
        <v>295</v>
      </c>
      <c r="C297" t="inlineStr">
        <is>
          <t>Nhân viên dán tem</t>
        </is>
      </c>
      <c r="D297" t="inlineStr">
        <is>
          <t>Công Ty TNHH TM &amp; XNK Nhất Lâm</t>
        </is>
      </c>
      <c r="E297" t="inlineStr">
        <is>
          <t>Lương:7 Tr - 8 Tr VND</t>
        </is>
      </c>
      <c r="F297" t="inlineStr">
        <is>
          <t>Hà Nội</t>
        </is>
      </c>
      <c r="G297" t="inlineStr">
        <is>
          <t>15-04-2026</t>
        </is>
      </c>
      <c r="H297" t="inlineStr">
        <is>
          <t>15/04/2026</t>
        </is>
      </c>
      <c r="I297" t="inlineStr">
        <is>
          <t>17/03/2026</t>
        </is>
      </c>
      <c r="J297" t="inlineStr">
        <is>
          <t>Bán lẻ / Bán sỉ, Vận chuyển / Giao nhận / Kho vận, Lao động phổ thông</t>
        </is>
      </c>
      <c r="K297" t="inlineStr">
        <is>
          <t>Chưa có kinh nghiệm</t>
        </is>
      </c>
      <c r="L297" s="8">
        <f>HYPERLINK("https://careerviet.vn/vi/tim-viec-lam/nhan-vien-dan-tem.35C65A50.html","Xem chi tiết")</f>
        <v/>
      </c>
    </row>
    <row r="298">
      <c r="B298" s="9" t="n">
        <v>296</v>
      </c>
      <c r="C298" s="10" t="inlineStr">
        <is>
          <t>Trưởng Nhóm Kế Toán Chi Phí</t>
        </is>
      </c>
      <c r="D298" s="10" t="inlineStr">
        <is>
          <t>Công ty TNHH MTV J&amp;T Express - CN TPHCM</t>
        </is>
      </c>
      <c r="E298" s="10" t="inlineStr">
        <is>
          <t>Lương:Cạnh tranh</t>
        </is>
      </c>
      <c r="F298" s="10" t="inlineStr">
        <is>
          <t>Hồ Chí Minh</t>
        </is>
      </c>
      <c r="G298" s="10" t="inlineStr">
        <is>
          <t>15-04-2026</t>
        </is>
      </c>
      <c r="H298" s="10" t="inlineStr">
        <is>
          <t>15/04/2026</t>
        </is>
      </c>
      <c r="I298" s="10" t="inlineStr">
        <is>
          <t>17/03/2026</t>
        </is>
      </c>
      <c r="J298" s="10" t="inlineStr">
        <is>
          <t>Luật / Pháp lý, Hành chính / Thư ký, Kế toán / Kiểm toán</t>
        </is>
      </c>
      <c r="K298" s="10" t="inlineStr">
        <is>
          <t>N/A</t>
        </is>
      </c>
      <c r="L298" s="11">
        <f>HYPERLINK("https://careerviet.vn/vi/tim-viec-lam/truong-nhom-ke-toan-chi-phi.35C65B11.html","Xem chi tiết")</f>
        <v/>
      </c>
      <c r="M298" s="10" t="n"/>
    </row>
    <row r="299">
      <c r="B299" s="7" t="n">
        <v>297</v>
      </c>
      <c r="C299" t="inlineStr">
        <is>
          <t>Tax Accountant Assistant Manager</t>
        </is>
      </c>
      <c r="D299" t="inlineStr">
        <is>
          <t>CÔNG TY TNHH HYUNDAI GLOVIS VIỆT NAM</t>
        </is>
      </c>
      <c r="E299" t="inlineStr">
        <is>
          <t>Lương:Cạnh tranh</t>
        </is>
      </c>
      <c r="F299" t="inlineStr">
        <is>
          <t>Hà Nội</t>
        </is>
      </c>
      <c r="G299" t="inlineStr">
        <is>
          <t>15-04-2026</t>
        </is>
      </c>
      <c r="H299" t="inlineStr">
        <is>
          <t>15/04/2026</t>
        </is>
      </c>
      <c r="I299" t="inlineStr">
        <is>
          <t>17/03/2026</t>
        </is>
      </c>
      <c r="J299" t="inlineStr">
        <is>
          <t>Kế toán / Kiểm toán</t>
        </is>
      </c>
      <c r="K299" t="inlineStr">
        <is>
          <t>5 - 10 Năm</t>
        </is>
      </c>
      <c r="L299" s="8">
        <f>HYPERLINK("https://careerviet.vn/vi/tim-viec-lam/tax-accountant-assistant-manager.35C65BB1.html","Xem chi tiết")</f>
        <v/>
      </c>
    </row>
    <row r="300">
      <c r="B300" s="9" t="n">
        <v>298</v>
      </c>
      <c r="C300" s="10" t="inlineStr">
        <is>
          <t>Kỹ Sư Giám Sát Xây Dựng (tuyển gấp)</t>
        </is>
      </c>
      <c r="D300" s="10" t="inlineStr">
        <is>
          <t>CÔNG TY CỔ PHẦN ĐẦU TƯ VÀ XÂY DỰNG XUÂN MAI</t>
        </is>
      </c>
      <c r="E300" s="10" t="inlineStr">
        <is>
          <t>Lương:Cạnh tranh</t>
        </is>
      </c>
      <c r="F300" s="10" t="inlineStr">
        <is>
          <t>Hà Nội</t>
        </is>
      </c>
      <c r="G300" s="10" t="inlineStr">
        <is>
          <t>15-04-2026</t>
        </is>
      </c>
      <c r="H300" s="10" t="inlineStr">
        <is>
          <t>15/04/2026</t>
        </is>
      </c>
      <c r="I300" s="10" t="inlineStr">
        <is>
          <t>17/03/2026</t>
        </is>
      </c>
      <c r="J300" s="10" t="inlineStr">
        <is>
          <t>Bất động sản, Xây dựng</t>
        </is>
      </c>
      <c r="K300" s="10" t="inlineStr">
        <is>
          <t>N/A</t>
        </is>
      </c>
      <c r="L300" s="11">
        <f>HYPERLINK("https://careerviet.vn/vi/tim-viec-lam/ky-su-giam-sat-xay-dung-tuyen-gap.35C65B53.html","Xem chi tiết")</f>
        <v/>
      </c>
      <c r="M300" s="10" t="n"/>
    </row>
    <row r="301">
      <c r="B301" s="7" t="n">
        <v>299</v>
      </c>
      <c r="C301" t="inlineStr">
        <is>
          <t>Accountant</t>
        </is>
      </c>
      <c r="D301" t="inlineStr">
        <is>
          <t>CÔNG TY CỔ PHẦN BÓNG RỔ VIỆT NAM</t>
        </is>
      </c>
      <c r="E301" t="inlineStr">
        <is>
          <t>Lương:8 Tr - 12 Tr VND</t>
        </is>
      </c>
      <c r="F301" t="inlineStr">
        <is>
          <t>Hồ Chí Minh</t>
        </is>
      </c>
      <c r="G301" t="inlineStr">
        <is>
          <t>15-04-2026</t>
        </is>
      </c>
      <c r="H301" t="inlineStr">
        <is>
          <t>15/04/2026</t>
        </is>
      </c>
      <c r="I301" t="inlineStr">
        <is>
          <t>17/03/2026</t>
        </is>
      </c>
      <c r="J301" t="inlineStr">
        <is>
          <t>Kế toán / Kiểm toán, Luật / Pháp lý, Tài chính / Đầu tư</t>
        </is>
      </c>
      <c r="K301" t="inlineStr">
        <is>
          <t>1 - 2 Năm</t>
        </is>
      </c>
      <c r="L301" s="8">
        <f>HYPERLINK("https://careerviet.vn/vi/tim-viec-lam/accountant.35C65A66.html","Xem chi tiết")</f>
        <v/>
      </c>
    </row>
    <row r="302">
      <c r="B302" s="9" t="n">
        <v>300</v>
      </c>
      <c r="C302" s="10" t="inlineStr">
        <is>
          <t>Chuyên viên Xử lý nợ - Khu vực Miền Trung (Lâm Đồng)</t>
        </is>
      </c>
      <c r="D302" s="10" t="inlineStr">
        <is>
          <t>Ngân Hàng TMCP Sài Gòn - Hà Nội ( SHB )</t>
        </is>
      </c>
      <c r="E302" s="10" t="inlineStr">
        <is>
          <t>Lương:Cạnh tranh</t>
        </is>
      </c>
      <c r="F302" s="10" t="inlineStr">
        <is>
          <t>Lâm Đồng</t>
        </is>
      </c>
      <c r="G302" s="10" t="inlineStr">
        <is>
          <t>15-04-2026</t>
        </is>
      </c>
      <c r="H302" s="10" t="inlineStr">
        <is>
          <t>15/04/2026</t>
        </is>
      </c>
      <c r="I302" s="10" t="inlineStr">
        <is>
          <t>17/03/2026</t>
        </is>
      </c>
      <c r="J302" s="10" t="inlineStr">
        <is>
          <t>Ngân hàng</t>
        </is>
      </c>
      <c r="K302" s="10" t="inlineStr">
        <is>
          <t>1 - 3 Năm</t>
        </is>
      </c>
      <c r="L302" s="11">
        <f>HYPERLINK("https://careerviet.vn/vi/tim-viec-lam/chuyen-vien-xu-ly-no-khu-vuc-mien-trung-lam-dong.35C65B9D.html","Xem chi tiết")</f>
        <v/>
      </c>
      <c r="M302" s="10" t="n"/>
    </row>
    <row r="303">
      <c r="B303" s="7" t="n">
        <v>301</v>
      </c>
      <c r="C303" t="inlineStr">
        <is>
          <t>Kế toán trưởng</t>
        </is>
      </c>
      <c r="D303" t="inlineStr">
        <is>
          <t>Công ty cổ phần Tập đoàn Tài Tâm (Tài Tâm Group)</t>
        </is>
      </c>
      <c r="E303" t="inlineStr">
        <is>
          <t>Lương:35 Tr - 50 Tr VND</t>
        </is>
      </c>
      <c r="F303" t="inlineStr">
        <is>
          <t>Hà Nội</t>
        </is>
      </c>
      <c r="G303" t="inlineStr">
        <is>
          <t>15-04-2026</t>
        </is>
      </c>
      <c r="H303" t="inlineStr">
        <is>
          <t>15/04/2026</t>
        </is>
      </c>
      <c r="I303" t="inlineStr">
        <is>
          <t>17/03/2026</t>
        </is>
      </c>
      <c r="J303" t="inlineStr">
        <is>
          <t>Kế toán / Kiểm toán, Tài chính / Đầu tư</t>
        </is>
      </c>
      <c r="K303" t="inlineStr">
        <is>
          <t>5 - 7 Năm</t>
        </is>
      </c>
      <c r="L303" s="8">
        <f>HYPERLINK("https://careerviet.vn/vi/tim-viec-lam/ke-toan-truong.35C65B65.html","Xem chi tiết")</f>
        <v/>
      </c>
    </row>
    <row r="304">
      <c r="B304" s="9" t="n">
        <v>302</v>
      </c>
      <c r="C304" s="10" t="inlineStr">
        <is>
          <t>NHÂN VIÊN DỰ TOÁN ĐẤU THẦU(Mới)</t>
        </is>
      </c>
      <c r="D304" s="10" t="inlineStr">
        <is>
          <t>Công Ty Cổ Phần Tập Đoàn Đèo Cả</t>
        </is>
      </c>
      <c r="E304" s="10" t="inlineStr">
        <is>
          <t>Lương:16 Tr - 20 Tr VND</t>
        </is>
      </c>
      <c r="F304" s="10" t="inlineStr">
        <is>
          <t>Hồ Chí Minh</t>
        </is>
      </c>
      <c r="G304" s="10" t="inlineStr">
        <is>
          <t>17-04-2026</t>
        </is>
      </c>
      <c r="H304" s="10" t="inlineStr">
        <is>
          <t>17/04/2026</t>
        </is>
      </c>
      <c r="I304" s="10" t="inlineStr">
        <is>
          <t>17/03/2026</t>
        </is>
      </c>
      <c r="J304" s="10" t="inlineStr">
        <is>
          <t>Xây dựng</t>
        </is>
      </c>
      <c r="K304" s="10" t="inlineStr">
        <is>
          <t>3 Năm</t>
        </is>
      </c>
      <c r="L304" s="11">
        <f>HYPERLINK("https://careerviet.vn/vi/tim-viec-lam/nhan-vien-du-toan-dau-thau.35C6CD69.html","Xem chi tiết")</f>
        <v/>
      </c>
      <c r="M304" s="10" t="n"/>
    </row>
    <row r="305">
      <c r="B305" s="7" t="n">
        <v>303</v>
      </c>
      <c r="C305" t="inlineStr">
        <is>
          <t>Chuyên viên đào tạo trường Trung cấp - Cao đẳng(Mới)</t>
        </is>
      </c>
      <c r="D305" t="inlineStr">
        <is>
          <t>Trường Trung cấp Công Nghệ Bách Khoa</t>
        </is>
      </c>
      <c r="E305" t="inlineStr">
        <is>
          <t>Lương:10 Tr - 25 Tr VND</t>
        </is>
      </c>
      <c r="F305" t="inlineStr">
        <is>
          <t>Hồ Chí Minh</t>
        </is>
      </c>
      <c r="G305" t="inlineStr">
        <is>
          <t>30-04-2026</t>
        </is>
      </c>
      <c r="H305" t="inlineStr">
        <is>
          <t>30/04/2026</t>
        </is>
      </c>
      <c r="I305" t="inlineStr">
        <is>
          <t>17/03/2026</t>
        </is>
      </c>
      <c r="J305" t="inlineStr">
        <is>
          <t>Giáo dục / Đào tạo</t>
        </is>
      </c>
      <c r="K305" t="inlineStr">
        <is>
          <t>1 - 2 Năm</t>
        </is>
      </c>
      <c r="L305" s="8">
        <f>HYPERLINK("https://careerviet.vn/vi/tim-viec-lam/chuyen-vien-dao-tao-truong-trung-cap-cao-dang.35C6A9C6.html","Xem chi tiết")</f>
        <v/>
      </c>
    </row>
    <row r="306">
      <c r="B306" s="9" t="n">
        <v>304</v>
      </c>
      <c r="C306" s="10" t="inlineStr">
        <is>
          <t>Kiến Trúc Sư Triển Khai(Mới)</t>
        </is>
      </c>
      <c r="D306" s="10" t="inlineStr">
        <is>
          <t>CÔNG TY TRÁCH NHIỆM HỮU HẠN PLAN ADD VIỆT NAM</t>
        </is>
      </c>
      <c r="E306" s="10" t="inlineStr">
        <is>
          <t>Lương:Cạnh tranh</t>
        </is>
      </c>
      <c r="F306" s="10" t="inlineStr">
        <is>
          <t>Hà Nội</t>
        </is>
      </c>
      <c r="G306" s="10" t="inlineStr">
        <is>
          <t>15-04-2026</t>
        </is>
      </c>
      <c r="H306" s="10" t="inlineStr">
        <is>
          <t>15/04/2026</t>
        </is>
      </c>
      <c r="I306" s="10" t="inlineStr">
        <is>
          <t>17/03/2026</t>
        </is>
      </c>
      <c r="J306" s="10" t="inlineStr">
        <is>
          <t>Xây dựng, Mỹ thuật / Nghệ thuật / Thiết kế, Kiến trúc</t>
        </is>
      </c>
      <c r="K306" s="10" t="inlineStr">
        <is>
          <t>Trên 5 Năm</t>
        </is>
      </c>
      <c r="L306" s="11">
        <f>HYPERLINK("https://careerviet.vn/vi/tim-viec-lam/kien-truc-su-trien-khai.35C6CD0F.html","Xem chi tiết")</f>
        <v/>
      </c>
      <c r="M306" s="10" t="n"/>
    </row>
    <row r="307">
      <c r="B307" s="7" t="n">
        <v>305</v>
      </c>
      <c r="C307" t="inlineStr">
        <is>
          <t>Kế Toán Mua Hàng</t>
        </is>
      </c>
      <c r="D307" t="inlineStr">
        <is>
          <t>CÔNG TY TNHH THƯƠNG MẠI LÝ PHONG</t>
        </is>
      </c>
      <c r="E307" t="inlineStr">
        <is>
          <t>Lương:Cạnh tranh</t>
        </is>
      </c>
      <c r="F307" t="inlineStr">
        <is>
          <t>Hồ Chí Minh</t>
        </is>
      </c>
      <c r="G307" t="inlineStr">
        <is>
          <t>08-04-2026</t>
        </is>
      </c>
      <c r="H307" t="inlineStr">
        <is>
          <t>08/04/2026</t>
        </is>
      </c>
      <c r="I307" t="inlineStr">
        <is>
          <t>17/03/2026</t>
        </is>
      </c>
      <c r="J307" t="inlineStr">
        <is>
          <t>Kế toán / Kiểm toán, Thu mua / Vật tư, Tài chính / Đầu tư</t>
        </is>
      </c>
      <c r="K307" t="inlineStr">
        <is>
          <t>Trên 1 Năm</t>
        </is>
      </c>
      <c r="L307" s="8">
        <f>HYPERLINK("https://careerviet.vn/vi/tim-viec-lam/ke-toan-mua-hang.35C6B74F.html","Xem chi tiết")</f>
        <v/>
      </c>
    </row>
    <row r="308">
      <c r="B308" s="9" t="n">
        <v>306</v>
      </c>
      <c r="C308" s="10" t="inlineStr">
        <is>
          <t>Kỹ Sư Giám Sát(Mới)</t>
        </is>
      </c>
      <c r="D308" s="10" t="inlineStr">
        <is>
          <t>CÔNG TY CỔ PHẦN TƯ VẤN ĐẦU TƯ THIẾT KẾ XÂY DỰNG ĐÔNG CƯỜNG</t>
        </is>
      </c>
      <c r="E308" s="10" t="inlineStr">
        <is>
          <t>Lương:Trên 15 Tr VND</t>
        </is>
      </c>
      <c r="F308" s="10" t="inlineStr">
        <is>
          <t>Hồ Chí Minh</t>
        </is>
      </c>
      <c r="G308" s="10" t="inlineStr">
        <is>
          <t>15-04-2026</t>
        </is>
      </c>
      <c r="H308" s="10" t="inlineStr">
        <is>
          <t>15/04/2026</t>
        </is>
      </c>
      <c r="I308" s="10" t="inlineStr">
        <is>
          <t>17/03/2026</t>
        </is>
      </c>
      <c r="J308" s="10" t="inlineStr">
        <is>
          <t>Mỹ thuật / Nghệ thuật / Thiết kế, Xây dựng, Kiến trúc</t>
        </is>
      </c>
      <c r="K308" s="10" t="inlineStr">
        <is>
          <t>Trên 2 Năm</t>
        </is>
      </c>
      <c r="L308" s="11">
        <f>HYPERLINK("https://careerviet.vn/vi/tim-viec-lam/ky-su-giam-sat.35C6CC2A.html","Xem chi tiết")</f>
        <v/>
      </c>
      <c r="M308" s="10" t="n"/>
    </row>
    <row r="309">
      <c r="B309" s="7" t="n">
        <v>307</v>
      </c>
      <c r="C309" t="inlineStr">
        <is>
          <t>Nhân Viên Bảo Trì(Mới)</t>
        </is>
      </c>
      <c r="D309" t="inlineStr">
        <is>
          <t>CÔNG TY TNHH HYUNDAI ELEVATOR VIỆT NAM</t>
        </is>
      </c>
      <c r="E309" t="inlineStr">
        <is>
          <t>Lương:Cạnh tranh</t>
        </is>
      </c>
      <c r="F309" t="inlineStr">
        <is>
          <t>Hà NộiBắc GiangHồ Chí Minh</t>
        </is>
      </c>
      <c r="G309" t="inlineStr">
        <is>
          <t>15-04-2026</t>
        </is>
      </c>
      <c r="H309" t="inlineStr">
        <is>
          <t>15/04/2026</t>
        </is>
      </c>
      <c r="I309" t="inlineStr">
        <is>
          <t>17/03/2026</t>
        </is>
      </c>
      <c r="J309" t="inlineStr">
        <is>
          <t>Cơ khí / Ô tô / Tự động hóa, Điện / Điện tử / Điện lạnh / Điện công nghiệp, Mới tốt nghiệp / Thực tập</t>
        </is>
      </c>
      <c r="K309" t="inlineStr">
        <is>
          <t>Chưa có kinh nghiệm</t>
        </is>
      </c>
      <c r="L309" s="8">
        <f>HYPERLINK("https://careerviet.vn/vi/tim-viec-lam/nhan-vien-bao-tri.35C6CC79.html","Xem chi tiết")</f>
        <v/>
      </c>
    </row>
    <row r="310">
      <c r="B310" s="9" t="n">
        <v>308</v>
      </c>
      <c r="C310" s="10" t="inlineStr">
        <is>
          <t>Phó Phòng Thi Công Kỹ Thuật(Mới)</t>
        </is>
      </c>
      <c r="D310" s="10" t="inlineStr">
        <is>
          <t>CÔNG TY CỔ PHẦN TƯ VẤN ĐẦU TƯ THIẾT KẾ XÂY DỰNG ĐÔNG CƯỜNG</t>
        </is>
      </c>
      <c r="E310" s="10" t="inlineStr">
        <is>
          <t>Lương:20 Tr - 25 Tr VND</t>
        </is>
      </c>
      <c r="F310" s="10" t="inlineStr">
        <is>
          <t>Hồ Chí Minh</t>
        </is>
      </c>
      <c r="G310" s="10" t="inlineStr">
        <is>
          <t>15-04-2026</t>
        </is>
      </c>
      <c r="H310" s="10" t="inlineStr">
        <is>
          <t>15/04/2026</t>
        </is>
      </c>
      <c r="I310" s="10" t="inlineStr">
        <is>
          <t>17/03/2026</t>
        </is>
      </c>
      <c r="J310" s="10" t="inlineStr">
        <is>
          <t>Mỹ thuật / Nghệ thuật / Thiết kế, Xây dựng, Nội ngoại thất</t>
        </is>
      </c>
      <c r="K310" s="10" t="inlineStr">
        <is>
          <t>3 - 5 Năm</t>
        </is>
      </c>
      <c r="L310" s="11">
        <f>HYPERLINK("https://careerviet.vn/vi/tim-viec-lam/pho-phong-thi-cong-ky-thuat.35C6CC29.html","Xem chi tiết")</f>
        <v/>
      </c>
      <c r="M310" s="10" t="n"/>
    </row>
    <row r="311">
      <c r="B311" s="7" t="n">
        <v>309</v>
      </c>
      <c r="C311" t="inlineStr">
        <is>
          <t>Sales Team Leader(Mới)</t>
        </is>
      </c>
      <c r="D311" t="inlineStr">
        <is>
          <t>CÔNG TY TNHH HYUNDAI ELEVATOR VIỆT NAM</t>
        </is>
      </c>
      <c r="E311" t="inlineStr">
        <is>
          <t>Lương:Cạnh tranh</t>
        </is>
      </c>
      <c r="F311" t="inlineStr">
        <is>
          <t>Hà Nội</t>
        </is>
      </c>
      <c r="G311" t="inlineStr">
        <is>
          <t>15-04-2026</t>
        </is>
      </c>
      <c r="H311" t="inlineStr">
        <is>
          <t>15/04/2026</t>
        </is>
      </c>
      <c r="I311" t="inlineStr">
        <is>
          <t>17/03/2026</t>
        </is>
      </c>
      <c r="J311" t="inlineStr">
        <is>
          <t>Bán hàng / Kinh doanh, Cơ khí / Ô tô / Tự động hóa, Điện / Điện tử / Điện lạnh / Điện công nghiệp</t>
        </is>
      </c>
      <c r="K311" t="inlineStr">
        <is>
          <t>5 - 15 Năm</t>
        </is>
      </c>
      <c r="L311" s="8">
        <f>HYPERLINK("https://careerviet.vn/vi/tim-viec-lam/sales-team-leader.35C6CC77.html","Xem chi tiết")</f>
        <v/>
      </c>
    </row>
    <row r="312">
      <c r="B312" s="9" t="n">
        <v>310</v>
      </c>
      <c r="C312" s="10" t="inlineStr">
        <is>
          <t>Trưởng Phòng Kinh Doanh (Xây Dựng + Nội Thất)(Mới)</t>
        </is>
      </c>
      <c r="D312" s="10" t="inlineStr">
        <is>
          <t>Công ty tnhh sản xuất và thi công nội thất Hometalk</t>
        </is>
      </c>
      <c r="E312" s="10" t="inlineStr">
        <is>
          <t>Lương:15 Tr - 50 Tr VND</t>
        </is>
      </c>
      <c r="F312" s="10" t="inlineStr">
        <is>
          <t>Hồ Chí Minh</t>
        </is>
      </c>
      <c r="G312" s="10" t="inlineStr">
        <is>
          <t>15-04-2026</t>
        </is>
      </c>
      <c r="H312" s="10" t="inlineStr">
        <is>
          <t>15/04/2026</t>
        </is>
      </c>
      <c r="I312" s="10" t="inlineStr">
        <is>
          <t>17/03/2026</t>
        </is>
      </c>
      <c r="J312" s="10" t="inlineStr">
        <is>
          <t>Xây dựng, Nội ngoại thất, Bán hàng / Kinh doanh</t>
        </is>
      </c>
      <c r="K312" s="10" t="inlineStr">
        <is>
          <t>Trên 1 Năm</t>
        </is>
      </c>
      <c r="L312" s="11">
        <f>HYPERLINK("https://careerviet.vn/vi/tim-viec-lam/truong-phong-kinh-doanh-xay-dung-noi-that.35C6CBBD.html","Xem chi tiết")</f>
        <v/>
      </c>
      <c r="M312" s="10" t="n"/>
    </row>
    <row r="313">
      <c r="B313" s="7" t="n">
        <v>311</v>
      </c>
      <c r="C313" t="inlineStr">
        <is>
          <t>Kỹ Sư QS(Mới)</t>
        </is>
      </c>
      <c r="D313" t="inlineStr">
        <is>
          <t>CÔNG TY TRÁCH NHIỆM HỮU HẠN PLAN ADD VIỆT NAM</t>
        </is>
      </c>
      <c r="E313" t="inlineStr">
        <is>
          <t>Lương:Cạnh tranh</t>
        </is>
      </c>
      <c r="F313" t="inlineStr">
        <is>
          <t>Hà Nội</t>
        </is>
      </c>
      <c r="G313" t="inlineStr">
        <is>
          <t>15-04-2026</t>
        </is>
      </c>
      <c r="H313" t="inlineStr">
        <is>
          <t>15/04/2026</t>
        </is>
      </c>
      <c r="I313" t="inlineStr">
        <is>
          <t>17/03/2026</t>
        </is>
      </c>
      <c r="J313" t="inlineStr">
        <is>
          <t>Xây dựng, Hành chính / Thư ký, Kiến trúc</t>
        </is>
      </c>
      <c r="K313" t="inlineStr">
        <is>
          <t>Trên 1 Năm</t>
        </is>
      </c>
      <c r="L313" s="8">
        <f>HYPERLINK("https://careerviet.vn/vi/tim-viec-lam/ky-su-qs.35C6CD0E.html","Xem chi tiết")</f>
        <v/>
      </c>
    </row>
    <row r="314">
      <c r="B314" s="9" t="n">
        <v>312</v>
      </c>
      <c r="C314" s="10" t="inlineStr">
        <is>
          <t>Ai Project Intern</t>
        </is>
      </c>
      <c r="D314" s="10" t="inlineStr">
        <is>
          <t>CareerViet</t>
        </is>
      </c>
      <c r="E314" s="10" t="inlineStr">
        <is>
          <t>Lương:Cạnh tranh</t>
        </is>
      </c>
      <c r="F314" s="10" t="inlineStr">
        <is>
          <t>Hồ Chí Minh</t>
        </is>
      </c>
      <c r="G314" s="10" t="inlineStr">
        <is>
          <t>31-03-2026</t>
        </is>
      </c>
      <c r="H314" s="10" t="inlineStr">
        <is>
          <t>31/03/2026</t>
        </is>
      </c>
      <c r="I314" s="10" t="inlineStr">
        <is>
          <t>17/03/2026</t>
        </is>
      </c>
      <c r="J314" s="10" t="inlineStr">
        <is>
          <t>Mới tốt nghiệp / Thực tập</t>
        </is>
      </c>
      <c r="K314" s="10" t="inlineStr">
        <is>
          <t>Không yêu cầu kinh nghiệm</t>
        </is>
      </c>
      <c r="L314" s="11">
        <f>HYPERLINK("https://careerviet.vn/vi/tim-viec-lam/ai-project-intern.35C6BA3F.html","Xem chi tiết")</f>
        <v/>
      </c>
      <c r="M314" s="10" t="n"/>
    </row>
    <row r="315">
      <c r="B315" s="7" t="n">
        <v>313</v>
      </c>
      <c r="C315" t="inlineStr">
        <is>
          <t>Head of Field Support Department(Mới)</t>
        </is>
      </c>
      <c r="D315" t="inlineStr">
        <is>
          <t>CÔNG TY TNHH HYUNDAI ELEVATOR VIỆT NAM</t>
        </is>
      </c>
      <c r="E315" t="inlineStr">
        <is>
          <t>Lương:Cạnh tranh</t>
        </is>
      </c>
      <c r="F315" t="inlineStr">
        <is>
          <t>Hà Nội</t>
        </is>
      </c>
      <c r="G315" t="inlineStr">
        <is>
          <t>15-04-2026</t>
        </is>
      </c>
      <c r="H315" t="inlineStr">
        <is>
          <t>15/04/2026</t>
        </is>
      </c>
      <c r="I315" t="inlineStr">
        <is>
          <t>17/03/2026</t>
        </is>
      </c>
      <c r="J315" t="inlineStr">
        <is>
          <t>Cơ khí / Ô tô / Tự động hóa, Điện / Điện tử / Điện lạnh / Điện công nghiệp, Bảo trì / Sửa chữa</t>
        </is>
      </c>
      <c r="K315" t="inlineStr">
        <is>
          <t>5 - 15 Năm</t>
        </is>
      </c>
      <c r="L315" s="8">
        <f>HYPERLINK("https://careerviet.vn/vi/tim-viec-lam/head-of-field-support-department.35C6CC76.html","Xem chi tiết")</f>
        <v/>
      </c>
    </row>
    <row r="316">
      <c r="B316" s="9" t="n">
        <v>314</v>
      </c>
      <c r="C316" s="10" t="inlineStr">
        <is>
          <t>Chuyên Viên Tuyển Dụng(Mới)</t>
        </is>
      </c>
      <c r="D316" s="10" t="inlineStr">
        <is>
          <t>CÔNG TY TNHH DREAM TALENT</t>
        </is>
      </c>
      <c r="E316" s="10" t="inlineStr">
        <is>
          <t>Lương:10 Tr - 15 Tr VND</t>
        </is>
      </c>
      <c r="F316" s="10" t="inlineStr">
        <is>
          <t>Hồ Chí Minh</t>
        </is>
      </c>
      <c r="G316" s="10" t="inlineStr">
        <is>
          <t>15-04-2026</t>
        </is>
      </c>
      <c r="H316" s="10" t="inlineStr">
        <is>
          <t>15/04/2026</t>
        </is>
      </c>
      <c r="I316" s="10" t="inlineStr">
        <is>
          <t>17/03/2026</t>
        </is>
      </c>
      <c r="J316" s="10" t="inlineStr">
        <is>
          <t>Hành chính / Thư ký, Nhân sự, Luật / Pháp lý</t>
        </is>
      </c>
      <c r="K316" s="10" t="inlineStr">
        <is>
          <t>2 - 3 Năm</t>
        </is>
      </c>
      <c r="L316" s="11">
        <f>HYPERLINK("https://careerviet.vn/vi/tim-viec-lam/chuyen-vien-tuye-n-du-ng.35C6CAA3.html","Xem chi tiết")</f>
        <v/>
      </c>
      <c r="M316" s="10" t="n"/>
    </row>
    <row r="317">
      <c r="B317" s="7" t="n">
        <v>315</v>
      </c>
      <c r="C317" t="inlineStr">
        <is>
          <t>KỸ SƯ ĐIỆN (HỆ THỐNG LẠNH)</t>
        </is>
      </c>
      <c r="D317" t="inlineStr">
        <is>
          <t>Công ty TNHH Cơ Điện Lạnh Lê Quốc</t>
        </is>
      </c>
      <c r="E317" t="inlineStr">
        <is>
          <t>Lương:Cạnh tranh</t>
        </is>
      </c>
      <c r="F317" t="inlineStr">
        <is>
          <t>Hồ Chí Minh</t>
        </is>
      </c>
      <c r="G317" t="inlineStr">
        <is>
          <t>14-04-2026</t>
        </is>
      </c>
      <c r="H317" t="inlineStr">
        <is>
          <t>14/04/2026</t>
        </is>
      </c>
      <c r="I317" t="inlineStr">
        <is>
          <t>17/03/2026</t>
        </is>
      </c>
      <c r="J317" t="inlineStr">
        <is>
          <t>Cơ khí / Ô tô / Tự động hóa, Điện / Điện tử / Điện lạnh / Điện công nghiệp</t>
        </is>
      </c>
      <c r="K317" t="inlineStr">
        <is>
          <t>Trên 2 Năm</t>
        </is>
      </c>
      <c r="L317" s="8">
        <f>HYPERLINK("https://careerviet.vn/vi/tim-viec-lam/ky-su-dien-he-thong-lanh.35C6C927.html","Xem chi tiết")</f>
        <v/>
      </c>
    </row>
    <row r="318">
      <c r="B318" s="9" t="n">
        <v>316</v>
      </c>
      <c r="C318" s="10" t="inlineStr">
        <is>
          <t>Nhân Viên Kinh Doanh (Xây Dựng + Nội Thất)(Mới)</t>
        </is>
      </c>
      <c r="D318" s="10" t="inlineStr">
        <is>
          <t>Công ty tnhh sản xuất và thi công nội thất Hometalk</t>
        </is>
      </c>
      <c r="E318" s="10" t="inlineStr">
        <is>
          <t>Lương:10 Tr - 50 Tr VND</t>
        </is>
      </c>
      <c r="F318" s="10" t="inlineStr">
        <is>
          <t>Hồ Chí Minh</t>
        </is>
      </c>
      <c r="G318" s="10" t="inlineStr">
        <is>
          <t>15-04-2026</t>
        </is>
      </c>
      <c r="H318" s="10" t="inlineStr">
        <is>
          <t>15/04/2026</t>
        </is>
      </c>
      <c r="I318" s="10" t="inlineStr">
        <is>
          <t>17/03/2026</t>
        </is>
      </c>
      <c r="J318" s="10" t="inlineStr">
        <is>
          <t>Bán hàng / Kinh doanh, Nội ngoại thất, Bán lẻ / Bán sỉ</t>
        </is>
      </c>
      <c r="K318" s="10" t="inlineStr">
        <is>
          <t>Trên 1 Năm</t>
        </is>
      </c>
      <c r="L318" s="11">
        <f>HYPERLINK("https://careerviet.vn/vi/tim-viec-lam/nhan-vien-kinh-doanh-xay-dung-noi-that.35C6CBBE.html","Xem chi tiết")</f>
        <v/>
      </c>
      <c r="M318" s="10" t="n"/>
    </row>
    <row r="319">
      <c r="B319" s="7" t="n">
        <v>317</v>
      </c>
      <c r="C319" t="inlineStr">
        <is>
          <t>Chuyên viên Kiểm soát An toàn PCCC(Mới)</t>
        </is>
      </c>
      <c r="D319" t="inlineStr">
        <is>
          <t>VINFAST TRADING AND PRODUCTION JSC</t>
        </is>
      </c>
      <c r="E319" t="inlineStr">
        <is>
          <t>Lương:Cạnh tranh</t>
        </is>
      </c>
      <c r="F319" t="inlineStr">
        <is>
          <t>Hà Tĩnh</t>
        </is>
      </c>
      <c r="G319" t="inlineStr">
        <is>
          <t>16-04-2026</t>
        </is>
      </c>
      <c r="H319" t="inlineStr">
        <is>
          <t>16/04/2026</t>
        </is>
      </c>
      <c r="I319" t="inlineStr">
        <is>
          <t>17/03/2026</t>
        </is>
      </c>
      <c r="J319" t="inlineStr">
        <is>
          <t>Sản xuất / Vận hành sản xuất</t>
        </is>
      </c>
      <c r="K319" t="inlineStr">
        <is>
          <t>N/A</t>
        </is>
      </c>
      <c r="L319" s="8">
        <f>HYPERLINK("https://careerviet.vn/vi/tim-viec-lam/chuyen-vien-kiem-soat-an-toan-pccc.35C6CC46.html","Xem chi tiết")</f>
        <v/>
      </c>
    </row>
    <row r="320">
      <c r="B320" s="9" t="n">
        <v>318</v>
      </c>
      <c r="C320" s="10" t="inlineStr">
        <is>
          <t>Nhân Viên Kinh Doanh(Mới)</t>
        </is>
      </c>
      <c r="D320" s="10" t="inlineStr">
        <is>
          <t>Công ty TNHH SAPPORO Vietnam</t>
        </is>
      </c>
      <c r="E320" s="10" t="inlineStr">
        <is>
          <t>Lương:Cạnh tranh</t>
        </is>
      </c>
      <c r="F320" s="10" t="inlineStr">
        <is>
          <t>Hà Nội</t>
        </is>
      </c>
      <c r="G320" s="10" t="inlineStr">
        <is>
          <t>30-04-2026</t>
        </is>
      </c>
      <c r="H320" s="10" t="inlineStr">
        <is>
          <t>30/04/2026</t>
        </is>
      </c>
      <c r="I320" s="10" t="inlineStr">
        <is>
          <t>17/03/2026</t>
        </is>
      </c>
      <c r="J320" s="10" t="inlineStr">
        <is>
          <t>Bán hàng / Kinh doanh, Thực phẩm &amp; Đồ uống, Mới tốt nghiệp / Thực tập</t>
        </is>
      </c>
      <c r="K320" s="10" t="inlineStr">
        <is>
          <t>Lên đến 1 Năm</t>
        </is>
      </c>
      <c r="L320" s="11">
        <f>HYPERLINK("https://careerviet.vn/vi/tim-viec-lam/nhan-vien-kinh-doanh.35C6CA25.html","Xem chi tiết")</f>
        <v/>
      </c>
      <c r="M320" s="10" t="n"/>
    </row>
    <row r="321">
      <c r="B321" s="7" t="n">
        <v>319</v>
      </c>
      <c r="C321" t="inlineStr">
        <is>
          <t>Chuyên Viên Thú Y Bò</t>
        </is>
      </c>
      <c r="D321" t="inlineStr">
        <is>
          <t>CÔNG TY TNHH CHĂN NUÔI VIỆT NHẬT (Vinabeef) – Thành Viên Của Vinamilk</t>
        </is>
      </c>
      <c r="E321" t="inlineStr">
        <is>
          <t>Lương:Cạnh tranh</t>
        </is>
      </c>
      <c r="F321" t="inlineStr">
        <is>
          <t>Vĩnh Phúc</t>
        </is>
      </c>
      <c r="G321" t="inlineStr">
        <is>
          <t>13-04-2026</t>
        </is>
      </c>
      <c r="H321" t="inlineStr">
        <is>
          <t>13/04/2026</t>
        </is>
      </c>
      <c r="I321" t="inlineStr">
        <is>
          <t>17/03/2026</t>
        </is>
      </c>
      <c r="J321" t="inlineStr">
        <is>
          <t>Y tế / Chăm sóc sức khỏe / Thẩm mỹ / Làm đẹp, Nông nghiệp, Chăn nuôi / Thú y</t>
        </is>
      </c>
      <c r="K321" t="inlineStr">
        <is>
          <t>Trên 1 Năm</t>
        </is>
      </c>
      <c r="L321" s="8">
        <f>HYPERLINK("https://careerviet.vn/vi/tim-viec-lam/chuyen-vien-thu-y-bo.35C6C926.html","Xem chi tiết")</f>
        <v/>
      </c>
    </row>
    <row r="322">
      <c r="B322" s="9" t="n">
        <v>320</v>
      </c>
      <c r="C322" s="10" t="inlineStr">
        <is>
          <t>TRƯỞNG NHÓM CHỨNG TỪ (THÔNG QUAN)</t>
        </is>
      </c>
      <c r="D322" s="10" t="inlineStr">
        <is>
          <t>SCT LOGISTICS JSC</t>
        </is>
      </c>
      <c r="E322" s="10" t="inlineStr">
        <is>
          <t>Lương:Cạnh tranh</t>
        </is>
      </c>
      <c r="F322" s="10" t="inlineStr">
        <is>
          <t>Hồ Chí Minh</t>
        </is>
      </c>
      <c r="G322" s="10" t="inlineStr">
        <is>
          <t>13-04-2026</t>
        </is>
      </c>
      <c r="H322" s="10" t="inlineStr">
        <is>
          <t>13/04/2026</t>
        </is>
      </c>
      <c r="I322" s="10" t="inlineStr">
        <is>
          <t>17/03/2026</t>
        </is>
      </c>
      <c r="J322" s="10" t="inlineStr">
        <is>
          <t>Tư vấn, Vận chuyển / Giao nhận / Kho vận, Xuất nhập khẩu</t>
        </is>
      </c>
      <c r="K322" s="10" t="inlineStr">
        <is>
          <t>Trên 5 Năm</t>
        </is>
      </c>
      <c r="L322" s="11">
        <f>HYPERLINK("https://careerviet.vn/vi/tim-viec-lam/truong-nhom-chung-tu-thong-quan.35C6C920.html","Xem chi tiết")</f>
        <v/>
      </c>
      <c r="M322" s="10" t="n"/>
    </row>
    <row r="323">
      <c r="B323" s="7" t="n">
        <v>321</v>
      </c>
      <c r="C323" t="inlineStr">
        <is>
          <t>[Hà Nội] Sales Supervisor - Modern Trade (Off Premise)</t>
        </is>
      </c>
      <c r="D323" t="inlineStr">
        <is>
          <t>Coca-Cola Beverages Vietnam</t>
        </is>
      </c>
      <c r="E323" t="inlineStr">
        <is>
          <t>Lương:Cạnh tranh</t>
        </is>
      </c>
      <c r="F323" t="inlineStr">
        <is>
          <t>Hà Nội</t>
        </is>
      </c>
      <c r="G323" t="inlineStr">
        <is>
          <t>13-04-2026</t>
        </is>
      </c>
      <c r="H323" t="inlineStr">
        <is>
          <t>13/04/2026</t>
        </is>
      </c>
      <c r="I323" t="inlineStr">
        <is>
          <t>17/03/2026</t>
        </is>
      </c>
      <c r="J323" t="inlineStr">
        <is>
          <t>Bán hàng / Kinh doanh, Thực phẩm &amp; Đồ uống, Bán lẻ / Bán sỉ</t>
        </is>
      </c>
      <c r="K323" t="inlineStr">
        <is>
          <t>1 - 10 Năm</t>
        </is>
      </c>
      <c r="L323" s="8">
        <f>HYPERLINK("https://careerviet.vn/vi/tim-viec-lam/ha-noi-sales-supervisor-modern-trade-off-premise.35C6C928.html","Xem chi tiết")</f>
        <v/>
      </c>
    </row>
    <row r="324">
      <c r="B324" s="9" t="n">
        <v>322</v>
      </c>
      <c r="C324" s="10" t="inlineStr">
        <is>
          <t>[Long An] Thủ Kho - Hợp Đồng 8 Tháng</t>
        </is>
      </c>
      <c r="D324" s="10" t="inlineStr">
        <is>
          <t>Coca-Cola Beverages Vietnam</t>
        </is>
      </c>
      <c r="E324" s="10" t="inlineStr">
        <is>
          <t>Lương:Cạnh tranh</t>
        </is>
      </c>
      <c r="F324" s="10" t="inlineStr">
        <is>
          <t>Long An</t>
        </is>
      </c>
      <c r="G324" s="10" t="inlineStr">
        <is>
          <t>13-04-2026</t>
        </is>
      </c>
      <c r="H324" s="10" t="inlineStr">
        <is>
          <t>13/04/2026</t>
        </is>
      </c>
      <c r="I324" s="10" t="inlineStr">
        <is>
          <t>17/03/2026</t>
        </is>
      </c>
      <c r="J324" s="10" t="inlineStr">
        <is>
          <t>Thực phẩm &amp; Đồ uống, Vận chuyển / Giao nhận / Kho vận, Sản xuất / Vận hành sản xuất</t>
        </is>
      </c>
      <c r="K324" s="10" t="inlineStr">
        <is>
          <t>1 - 10 Năm</t>
        </is>
      </c>
      <c r="L324" s="11">
        <f>HYPERLINK("https://careerviet.vn/vi/tim-viec-lam/long-an-thu-kho-hop-dong-8-thang.35C6C929.html","Xem chi tiết")</f>
        <v/>
      </c>
      <c r="M324" s="10" t="n"/>
    </row>
    <row r="325">
      <c r="B325" s="7" t="n">
        <v>323</v>
      </c>
      <c r="C325" t="inlineStr">
        <is>
          <t>Kế Toán Nội Bộ</t>
        </is>
      </c>
      <c r="D325" t="inlineStr">
        <is>
          <t>CÔNG TY CỔ PHẦN THIẾT KẾ VÀ XÂY DỰNG ONECONS</t>
        </is>
      </c>
      <c r="E325" t="inlineStr">
        <is>
          <t>Lương:Cạnh tranh</t>
        </is>
      </c>
      <c r="F325" t="inlineStr">
        <is>
          <t>Hồ Chí Minh</t>
        </is>
      </c>
      <c r="G325" t="inlineStr">
        <is>
          <t>12-04-2026</t>
        </is>
      </c>
      <c r="H325" t="inlineStr">
        <is>
          <t>12/04/2026</t>
        </is>
      </c>
      <c r="I325" t="inlineStr">
        <is>
          <t>17/03/2026</t>
        </is>
      </c>
      <c r="J325" t="inlineStr">
        <is>
          <t>Kế toán / Kiểm toán, Kiến trúc, Xây dựng</t>
        </is>
      </c>
      <c r="K325" t="inlineStr">
        <is>
          <t>Trên 3 Năm</t>
        </is>
      </c>
      <c r="L325" s="8">
        <f>HYPERLINK("https://careerviet.vn/vi/tim-viec-lam/ke-toan-noi-bo.35C6C711.html","Xem chi tiết")</f>
        <v/>
      </c>
    </row>
    <row r="326">
      <c r="B326" s="9" t="n">
        <v>324</v>
      </c>
      <c r="C326" s="10" t="inlineStr">
        <is>
          <t>Chuyên Viên Phát Triển Kinh Doanh</t>
        </is>
      </c>
      <c r="D326" s="10" t="inlineStr">
        <is>
          <t>Công Ty TNHH LanTro Việt Nam</t>
        </is>
      </c>
      <c r="E326" s="10" t="inlineStr">
        <is>
          <t>Lương:Cạnh tranh</t>
        </is>
      </c>
      <c r="F326" s="10" t="inlineStr">
        <is>
          <t>Hồ Chí Minh</t>
        </is>
      </c>
      <c r="G326" s="10" t="inlineStr">
        <is>
          <t>12-04-2026</t>
        </is>
      </c>
      <c r="H326" s="10" t="inlineStr">
        <is>
          <t>12/04/2026</t>
        </is>
      </c>
      <c r="I326" s="10" t="inlineStr">
        <is>
          <t>17/03/2026</t>
        </is>
      </c>
      <c r="J326" s="10" t="inlineStr">
        <is>
          <t>Bán hàng / Kinh doanh, Tư vấn, Dịch vụ khách hàng</t>
        </is>
      </c>
      <c r="K326" s="10" t="inlineStr">
        <is>
          <t>1 - 2 Năm</t>
        </is>
      </c>
      <c r="L326" s="11">
        <f>HYPERLINK("https://careerviet.vn/vi/tim-viec-lam/chuyen-vien-phat-trien-kinh-doanh.35C6C83E.html","Xem chi tiết")</f>
        <v/>
      </c>
      <c r="M326" s="10" t="n"/>
    </row>
    <row r="327">
      <c r="B327" s="7" t="n">
        <v>325</v>
      </c>
      <c r="C327" t="inlineStr">
        <is>
          <t>Chuyên viên Quan hệ Khách hàng Cá nhân miền Tây</t>
        </is>
      </c>
      <c r="D327" t="inlineStr">
        <is>
          <t>Ngân hàng TMCP Phát triển TP.HCM (HDBank)</t>
        </is>
      </c>
      <c r="E327" t="inlineStr">
        <is>
          <t>Lương:10 Tr - 15 Tr VND</t>
        </is>
      </c>
      <c r="F327" t="inlineStr">
        <is>
          <t>Sóc TrăngBến TreBạc Liêu</t>
        </is>
      </c>
      <c r="G327" t="inlineStr">
        <is>
          <t>12-04-2026</t>
        </is>
      </c>
      <c r="H327" t="inlineStr">
        <is>
          <t>12/04/2026</t>
        </is>
      </c>
      <c r="I327" t="inlineStr">
        <is>
          <t>17/03/2026</t>
        </is>
      </c>
      <c r="J327" t="inlineStr">
        <is>
          <t>N/A</t>
        </is>
      </c>
      <c r="K327" t="inlineStr">
        <is>
          <t>N/A</t>
        </is>
      </c>
      <c r="L327" s="8">
        <f>HYPERLINK("https://careerviet.vn/vi/tim-viec-lam/chuyen-vien-quan-he-khach-hang-ca-nhan-mien-tay.35C6C909.html","Xem chi tiết")</f>
        <v/>
      </c>
    </row>
    <row r="328">
      <c r="B328" s="9" t="n">
        <v>326</v>
      </c>
      <c r="C328" s="10" t="inlineStr">
        <is>
          <t>Chuyên viên Pháp chế</t>
        </is>
      </c>
      <c r="D328" s="10" t="inlineStr">
        <is>
          <t>Tổng Công ty Cổ phần Bảo hiểm Quân đội (MIC)</t>
        </is>
      </c>
      <c r="E328" s="10" t="inlineStr">
        <is>
          <t>Lương:Cạnh tranh</t>
        </is>
      </c>
      <c r="F328" s="10" t="inlineStr">
        <is>
          <t>Hà Nội</t>
        </is>
      </c>
      <c r="G328" s="10" t="inlineStr">
        <is>
          <t>10-04-2026</t>
        </is>
      </c>
      <c r="H328" s="10" t="inlineStr">
        <is>
          <t>10/04/2026</t>
        </is>
      </c>
      <c r="I328" s="10" t="inlineStr">
        <is>
          <t>17/03/2026</t>
        </is>
      </c>
      <c r="J328" s="10" t="inlineStr">
        <is>
          <t>Bảo hiểm, Luật / Pháp lý</t>
        </is>
      </c>
      <c r="K328" s="10" t="inlineStr">
        <is>
          <t>2 - 5 Năm</t>
        </is>
      </c>
      <c r="L328" s="11">
        <f>HYPERLINK("https://careerviet.vn/vi/tim-viec-lam/chuyen-vien-phap-che.35C6C679.html","Xem chi tiết")</f>
        <v/>
      </c>
      <c r="M328" s="10" t="n"/>
    </row>
    <row r="329">
      <c r="B329" s="7" t="n">
        <v>327</v>
      </c>
      <c r="C329" t="inlineStr">
        <is>
          <t>Chuyên viên Quan hệ Khách hàng Doanh nghiệp và Cá nhân miền Tây</t>
        </is>
      </c>
      <c r="D329" t="inlineStr">
        <is>
          <t>Ngân hàng TMCP Phát triển TP.HCM (HDBank)</t>
        </is>
      </c>
      <c r="E329" t="inlineStr">
        <is>
          <t>Lương:Cạnh tranh</t>
        </is>
      </c>
      <c r="F329" t="inlineStr">
        <is>
          <t>Sóc TrăngBạc LiêuBến Tre</t>
        </is>
      </c>
      <c r="G329" t="inlineStr">
        <is>
          <t>10-04-2026</t>
        </is>
      </c>
      <c r="H329" t="inlineStr">
        <is>
          <t>10/04/2026</t>
        </is>
      </c>
      <c r="I329" t="inlineStr">
        <is>
          <t>17/03/2026</t>
        </is>
      </c>
      <c r="J329" t="inlineStr">
        <is>
          <t>N/A</t>
        </is>
      </c>
      <c r="K329" t="inlineStr">
        <is>
          <t>N/A</t>
        </is>
      </c>
      <c r="L329" s="8">
        <f>HYPERLINK("https://careerviet.vn/vi/tim-viec-lam/chuyen-vien-quan-he-khach-hang-doanh-nghiep-va-ca-nhan-mien-tay.35C6C900.html","Xem chi tiết")</f>
        <v/>
      </c>
    </row>
    <row r="330">
      <c r="B330" s="9" t="n">
        <v>328</v>
      </c>
      <c r="C330" s="10" t="inlineStr">
        <is>
          <t>Chuyên Viên QS</t>
        </is>
      </c>
      <c r="D330" s="10" t="inlineStr">
        <is>
          <t>CÔNG TY CỔ PHẦN THIẾT KẾ VÀ XÂY DỰNG ONECONS</t>
        </is>
      </c>
      <c r="E330" s="10" t="inlineStr">
        <is>
          <t>Lương:18 Tr - 20 Tr VND</t>
        </is>
      </c>
      <c r="F330" s="10" t="inlineStr">
        <is>
          <t>Hồ Chí Minh</t>
        </is>
      </c>
      <c r="G330" s="10" t="inlineStr">
        <is>
          <t>12-04-2026</t>
        </is>
      </c>
      <c r="H330" s="10" t="inlineStr">
        <is>
          <t>12/04/2026</t>
        </is>
      </c>
      <c r="I330" s="10" t="inlineStr">
        <is>
          <t>17/03/2026</t>
        </is>
      </c>
      <c r="J330" s="10" t="inlineStr">
        <is>
          <t>Xây dựng, Thống kê, Thu mua / Vật tư</t>
        </is>
      </c>
      <c r="K330" s="10" t="inlineStr">
        <is>
          <t>Trên 5 Năm</t>
        </is>
      </c>
      <c r="L330" s="11">
        <f>HYPERLINK("https://careerviet.vn/vi/tim-viec-lam/chuyen-vien-qs.35C6C70F.html","Xem chi tiết")</f>
        <v/>
      </c>
      <c r="M330" s="10" t="n"/>
    </row>
    <row r="331">
      <c r="B331" s="7" t="n">
        <v>329</v>
      </c>
      <c r="C331" t="inlineStr">
        <is>
          <t>Pricing Project Executive</t>
        </is>
      </c>
      <c r="D331" t="inlineStr">
        <is>
          <t>SCT LOGISTICS JSC</t>
        </is>
      </c>
      <c r="E331" t="inlineStr">
        <is>
          <t>Lương:Cạnh tranh</t>
        </is>
      </c>
      <c r="F331" t="inlineStr">
        <is>
          <t>Hồ Chí Minh</t>
        </is>
      </c>
      <c r="G331" t="inlineStr">
        <is>
          <t>13-04-2026</t>
        </is>
      </c>
      <c r="H331" t="inlineStr">
        <is>
          <t>13/04/2026</t>
        </is>
      </c>
      <c r="I331" t="inlineStr">
        <is>
          <t>17/03/2026</t>
        </is>
      </c>
      <c r="J331" t="inlineStr">
        <is>
          <t>Vận chuyển / Giao nhận / Kho vận, Xuất nhập khẩu, Dịch vụ khách hàng</t>
        </is>
      </c>
      <c r="K331" t="inlineStr">
        <is>
          <t>2 - 4 Năm</t>
        </is>
      </c>
      <c r="L331" s="8">
        <f>HYPERLINK("https://careerviet.vn/vi/tim-viec-lam/pricing-project-executive.35C6C91F.html","Xem chi tiết")</f>
        <v/>
      </c>
    </row>
    <row r="332">
      <c r="B332" s="9" t="n">
        <v>330</v>
      </c>
      <c r="C332" s="10" t="inlineStr">
        <is>
          <t>General Accountant</t>
        </is>
      </c>
      <c r="D332" s="10" t="inlineStr">
        <is>
          <t>ACC - American Chiropractic Clinic</t>
        </is>
      </c>
      <c r="E332" s="10" t="inlineStr">
        <is>
          <t>Lương:Cạnh tranh</t>
        </is>
      </c>
      <c r="F332" s="10" t="inlineStr">
        <is>
          <t>Hồ Chí Minh</t>
        </is>
      </c>
      <c r="G332" s="10" t="inlineStr">
        <is>
          <t>14-04-2026</t>
        </is>
      </c>
      <c r="H332" s="10" t="inlineStr">
        <is>
          <t>14/04/2026</t>
        </is>
      </c>
      <c r="I332" s="10" t="inlineStr">
        <is>
          <t>17/03/2026</t>
        </is>
      </c>
      <c r="J332" s="10" t="inlineStr">
        <is>
          <t>Kế toán / Kiểm toán, Tài chính / Đầu tư, Y tế / Chăm sóc sức khỏe / Thẩm mỹ / Làm đẹp</t>
        </is>
      </c>
      <c r="K332" s="10" t="inlineStr">
        <is>
          <t>Trên 3 Năm</t>
        </is>
      </c>
      <c r="L332" s="11">
        <f>HYPERLINK("https://careerviet.vn/vi/tim-viec-lam/general-accountant.35C6C60D.html","Xem chi tiết")</f>
        <v/>
      </c>
      <c r="M332" s="10" t="n"/>
    </row>
    <row r="333">
      <c r="B333" s="7" t="n">
        <v>331</v>
      </c>
      <c r="C333" t="inlineStr">
        <is>
          <t>Presale Network Engineer (Kỹ sư tư vấn giải pháp mạng)</t>
        </is>
      </c>
      <c r="D333" t="inlineStr">
        <is>
          <t>Công ty Cổ phần Đầu tư Kỹ thuật Số Việt (VDI)</t>
        </is>
      </c>
      <c r="E333" t="inlineStr">
        <is>
          <t>Lương:Lên đến 45 Tr VND</t>
        </is>
      </c>
      <c r="F333" t="inlineStr">
        <is>
          <t>Hà NộiHồ Chí Minh</t>
        </is>
      </c>
      <c r="G333" t="inlineStr">
        <is>
          <t>11-04-2026</t>
        </is>
      </c>
      <c r="H333" t="inlineStr">
        <is>
          <t>11/04/2026</t>
        </is>
      </c>
      <c r="I333" t="inlineStr">
        <is>
          <t>17/03/2026</t>
        </is>
      </c>
      <c r="J333" t="inlineStr">
        <is>
          <t>Bưu chính viễn thông, CNTT - Phần cứng / Mạng, CNTT - Phần mềm</t>
        </is>
      </c>
      <c r="K333" t="inlineStr">
        <is>
          <t>Trên 3 Năm</t>
        </is>
      </c>
      <c r="L333" s="8">
        <f>HYPERLINK("https://careerviet.vn/vi/tim-viec-lam/presale-network-engineer-ky-su-tu-van-giai-phap-mang.35C6C533.html","Xem chi tiết")</f>
        <v/>
      </c>
    </row>
    <row r="334">
      <c r="B334" s="9" t="n">
        <v>332</v>
      </c>
      <c r="C334" s="10" t="inlineStr">
        <is>
          <t>Chuyên viên cao cấp - Kế toán Giá thành</t>
        </is>
      </c>
      <c r="D334" s="10" t="inlineStr">
        <is>
          <t>CÔNG TY TNHH MTV CHẾ TÁC VÀ KINH DOANH TRANG SỨC PNJ</t>
        </is>
      </c>
      <c r="E334" s="10" t="inlineStr">
        <is>
          <t>Lương:20 Tr - 25 Tr VND</t>
        </is>
      </c>
      <c r="F334" s="10" t="inlineStr">
        <is>
          <t>Hồ Chí Minh</t>
        </is>
      </c>
      <c r="G334" s="10" t="inlineStr">
        <is>
          <t>10-04-2026</t>
        </is>
      </c>
      <c r="H334" s="10" t="inlineStr">
        <is>
          <t>10/04/2026</t>
        </is>
      </c>
      <c r="I334" s="10" t="inlineStr">
        <is>
          <t>17/03/2026</t>
        </is>
      </c>
      <c r="J334" s="10" t="inlineStr">
        <is>
          <t>Sản xuất / Vận hành sản xuất, Kế toán / Kiểm toán, Tài chính / Đầu tư</t>
        </is>
      </c>
      <c r="K334" s="10" t="inlineStr">
        <is>
          <t>3 - 5 Năm</t>
        </is>
      </c>
      <c r="L334" s="11">
        <f>HYPERLINK("https://careerviet.vn/vi/tim-viec-lam/chuyen-vien-cao-cap-ke-toan-gia-thanh.35C6C484.html","Xem chi tiết")</f>
        <v/>
      </c>
      <c r="M334" s="10" t="n"/>
    </row>
    <row r="335">
      <c r="B335" s="7" t="n">
        <v>333</v>
      </c>
      <c r="C335" t="inlineStr">
        <is>
          <t>Presale Security Engineer</t>
        </is>
      </c>
      <c r="D335" t="inlineStr">
        <is>
          <t>Công ty Cổ phần Đầu tư Kỹ thuật Số Việt (VDI)</t>
        </is>
      </c>
      <c r="E335" t="inlineStr">
        <is>
          <t>Lương:Lên đến 45 Tr VND</t>
        </is>
      </c>
      <c r="F335" t="inlineStr">
        <is>
          <t>Hà NộiHồ Chí Minh</t>
        </is>
      </c>
      <c r="G335" t="inlineStr">
        <is>
          <t>11-04-2026</t>
        </is>
      </c>
      <c r="H335" t="inlineStr">
        <is>
          <t>11/04/2026</t>
        </is>
      </c>
      <c r="I335" t="inlineStr">
        <is>
          <t>17/03/2026</t>
        </is>
      </c>
      <c r="J335" t="inlineStr">
        <is>
          <t>Bưu chính viễn thông, CNTT - Phần cứng / Mạng, CNTT - Phần mềm</t>
        </is>
      </c>
      <c r="K335" t="inlineStr">
        <is>
          <t>Trên 1 Năm</t>
        </is>
      </c>
      <c r="L335" s="8">
        <f>HYPERLINK("https://careerviet.vn/vi/tim-viec-lam/presale-security-engineer.35C6C531.html","Xem chi tiết")</f>
        <v/>
      </c>
    </row>
    <row r="336">
      <c r="B336" s="9" t="n">
        <v>334</v>
      </c>
      <c r="C336" s="10" t="inlineStr">
        <is>
          <t>Chuyên viên kinh doanh Phòng Bảo hiểm Môi giới &amp; FDI tại Hà Nội - Khối KHCL &amp; Bancassurance</t>
        </is>
      </c>
      <c r="D336" s="10" t="inlineStr">
        <is>
          <t>Tổng Công ty Cổ phần Bảo hiểm Quân đội (MIC)</t>
        </is>
      </c>
      <c r="E336" s="10" t="inlineStr">
        <is>
          <t>Lương:Cạnh tranh</t>
        </is>
      </c>
      <c r="F336" s="10" t="inlineStr">
        <is>
          <t>Hà Nội</t>
        </is>
      </c>
      <c r="G336" s="10" t="inlineStr">
        <is>
          <t>29-04-2026</t>
        </is>
      </c>
      <c r="H336" s="10" t="inlineStr">
        <is>
          <t>29/04/2026</t>
        </is>
      </c>
      <c r="I336" s="10" t="inlineStr">
        <is>
          <t>17/03/2026</t>
        </is>
      </c>
      <c r="J336" s="10" t="inlineStr">
        <is>
          <t>Ngân hàng, Bảo hiểm</t>
        </is>
      </c>
      <c r="K336" s="10" t="inlineStr">
        <is>
          <t>1 - 10 Năm</t>
        </is>
      </c>
      <c r="L336" s="11">
        <f>HYPERLINK("https://careerviet.vn/vi/tim-viec-lam/chuyen-vien-kinh-doanh-phong-bao-hiem-moi-gioi-fdi-tai-ha-noi-khoi-khcl-bancassurance.35C6C40F.html","Xem chi tiết")</f>
        <v/>
      </c>
      <c r="M336" s="10" t="n"/>
    </row>
    <row r="337">
      <c r="B337" s="7" t="n">
        <v>335</v>
      </c>
      <c r="C337" t="inlineStr">
        <is>
          <t>Kỹ sư chất lượng</t>
        </is>
      </c>
      <c r="D337" t="inlineStr">
        <is>
          <t>VINFAST TRADING AND PRODUCTION JSC</t>
        </is>
      </c>
      <c r="E337" t="inlineStr">
        <is>
          <t>Lương:Cạnh tranh</t>
        </is>
      </c>
      <c r="F337" t="inlineStr">
        <is>
          <t>Hà Tĩnh</t>
        </is>
      </c>
      <c r="G337" t="inlineStr">
        <is>
          <t>11-04-2026</t>
        </is>
      </c>
      <c r="H337" t="inlineStr">
        <is>
          <t>11/04/2026</t>
        </is>
      </c>
      <c r="I337" t="inlineStr">
        <is>
          <t>17/03/2026</t>
        </is>
      </c>
      <c r="J337" t="inlineStr">
        <is>
          <t>Sản xuất / Vận hành sản xuất</t>
        </is>
      </c>
      <c r="K337" t="inlineStr">
        <is>
          <t>N/A</t>
        </is>
      </c>
      <c r="L337" s="8">
        <f>HYPERLINK("https://careerviet.vn/vi/tim-viec-lam/ky-su-chat-luong.35C6C50A.html","Xem chi tiết")</f>
        <v/>
      </c>
    </row>
    <row r="338">
      <c r="B338" s="9" t="n">
        <v>336</v>
      </c>
      <c r="C338" s="10" t="inlineStr">
        <is>
          <t>Chuyên Viên Kinh Doanh Mice</t>
        </is>
      </c>
      <c r="D338" s="10" t="inlineStr">
        <is>
          <t>CÔNG TY CỔ PHẦN DỊCH VỤ DU LỊCH &amp; THƯƠNG MẠI TST</t>
        </is>
      </c>
      <c r="E338" s="10" t="inlineStr">
        <is>
          <t>Lương:Cạnh tranh</t>
        </is>
      </c>
      <c r="F338" s="10" t="inlineStr">
        <is>
          <t>Hồ Chí Minh</t>
        </is>
      </c>
      <c r="G338" s="10" t="inlineStr">
        <is>
          <t>11-04-2026</t>
        </is>
      </c>
      <c r="H338" s="10" t="inlineStr">
        <is>
          <t>11/04/2026</t>
        </is>
      </c>
      <c r="I338" s="10" t="inlineStr">
        <is>
          <t>17/03/2026</t>
        </is>
      </c>
      <c r="J338" s="10" t="inlineStr">
        <is>
          <t>Bán hàng / Kinh doanh, Tư vấn, Du lịch</t>
        </is>
      </c>
      <c r="K338" s="10" t="inlineStr">
        <is>
          <t>Trên 2 Năm</t>
        </is>
      </c>
      <c r="L338" s="11">
        <f>HYPERLINK("https://careerviet.vn/vi/tim-viec-lam/chuyen-vien-kinh-doanh-mice.35C6C281.html","Xem chi tiết")</f>
        <v/>
      </c>
      <c r="M338" s="10" t="n"/>
    </row>
    <row r="339">
      <c r="B339" s="7" t="n">
        <v>337</v>
      </c>
      <c r="C339" t="inlineStr">
        <is>
          <t>KẾ TOÁN THUẾ DỊCH VỤ</t>
        </is>
      </c>
      <c r="D339" t="inlineStr">
        <is>
          <t>Công ty TNHH Dịch vụ tư vấn VINATA</t>
        </is>
      </c>
      <c r="E339" t="inlineStr">
        <is>
          <t>Lương:Cạnh tranh</t>
        </is>
      </c>
      <c r="F339" t="inlineStr">
        <is>
          <t>Hà Nội</t>
        </is>
      </c>
      <c r="G339" t="inlineStr">
        <is>
          <t>31-03-2026</t>
        </is>
      </c>
      <c r="H339" t="inlineStr">
        <is>
          <t>31/03/2026</t>
        </is>
      </c>
      <c r="I339" t="inlineStr">
        <is>
          <t>17/03/2026</t>
        </is>
      </c>
      <c r="J339" t="inlineStr">
        <is>
          <t>Kế toán / Kiểm toán, Tài chính / Đầu tư</t>
        </is>
      </c>
      <c r="K339" t="inlineStr">
        <is>
          <t>1 Năm</t>
        </is>
      </c>
      <c r="L339" s="8">
        <f>HYPERLINK("https://careerviet.vn/vi/tim-viec-lam/ke-toan-thue-dich-vu.35C6C3C2.html","Xem chi tiết")</f>
        <v/>
      </c>
    </row>
    <row r="340">
      <c r="B340" s="9" t="n">
        <v>338</v>
      </c>
      <c r="C340" s="10" t="inlineStr">
        <is>
          <t>Kế toán tổng hợp</t>
        </is>
      </c>
      <c r="D340" s="10" t="inlineStr">
        <is>
          <t>Công ty TNHH Bao Bì Nước Giải Khát Crown Vũng Tàu</t>
        </is>
      </c>
      <c r="E340" s="10" t="inlineStr">
        <is>
          <t>Lương:Cạnh tranh</t>
        </is>
      </c>
      <c r="F340" s="10" t="inlineStr">
        <is>
          <t>Bà Rịa - Vũng Tàu</t>
        </is>
      </c>
      <c r="G340" s="10" t="inlineStr">
        <is>
          <t>12-04-2026</t>
        </is>
      </c>
      <c r="H340" s="10" t="inlineStr">
        <is>
          <t>12/04/2026</t>
        </is>
      </c>
      <c r="I340" s="10" t="inlineStr">
        <is>
          <t>17/03/2026</t>
        </is>
      </c>
      <c r="J340" s="10" t="inlineStr">
        <is>
          <t>Kế toán / Kiểm toán, Tài chính / Đầu tư</t>
        </is>
      </c>
      <c r="K340" s="10" t="inlineStr">
        <is>
          <t>3 - 5 Năm</t>
        </is>
      </c>
      <c r="L340" s="11">
        <f>HYPERLINK("https://careerviet.vn/vi/tim-viec-lam/ke-toan-tong-hop.35C6C330.html","Xem chi tiết")</f>
        <v/>
      </c>
      <c r="M340" s="10" t="n"/>
    </row>
    <row r="341">
      <c r="B341" s="7" t="n">
        <v>339</v>
      </c>
      <c r="C341" t="inlineStr">
        <is>
          <t>TRƯỞNG NHÓM KẾ TOÁN THUẾ</t>
        </is>
      </c>
      <c r="D341" t="inlineStr">
        <is>
          <t>Công ty TNHH Dịch vụ tư vấn VINATA</t>
        </is>
      </c>
      <c r="E341" t="inlineStr">
        <is>
          <t>Lương:10 Tr - 15 Tr VND</t>
        </is>
      </c>
      <c r="F341" t="inlineStr">
        <is>
          <t>Hà Nội</t>
        </is>
      </c>
      <c r="G341" t="inlineStr">
        <is>
          <t>31-03-2026</t>
        </is>
      </c>
      <c r="H341" t="inlineStr">
        <is>
          <t>31/03/2026</t>
        </is>
      </c>
      <c r="I341" t="inlineStr">
        <is>
          <t>17/03/2026</t>
        </is>
      </c>
      <c r="J341" t="inlineStr">
        <is>
          <t>Kế toán / Kiểm toán, Tài chính / Đầu tư</t>
        </is>
      </c>
      <c r="K341" t="inlineStr">
        <is>
          <t>1 Năm</t>
        </is>
      </c>
      <c r="L341" s="8">
        <f>HYPERLINK("https://careerviet.vn/vi/tim-viec-lam/truong-nhom-ke-toan-thue.35C6C37E.html","Xem chi tiết")</f>
        <v/>
      </c>
    </row>
    <row r="342">
      <c r="B342" s="9" t="n">
        <v>340</v>
      </c>
      <c r="C342" s="10" t="inlineStr">
        <is>
          <t>Nhân viên mua hàng tiếng Trung</t>
        </is>
      </c>
      <c r="D342" s="10" t="inlineStr">
        <is>
          <t>CÔNG TY CỔ PHẦN DATYSO VIỆT NAM</t>
        </is>
      </c>
      <c r="E342" s="10" t="inlineStr">
        <is>
          <t>Lương:15 Tr - 18 Tr VND</t>
        </is>
      </c>
      <c r="F342" s="10" t="inlineStr">
        <is>
          <t>Hà Nội</t>
        </is>
      </c>
      <c r="G342" s="10" t="inlineStr">
        <is>
          <t>20-04-2026</t>
        </is>
      </c>
      <c r="H342" s="10" t="inlineStr">
        <is>
          <t>20/04/2026</t>
        </is>
      </c>
      <c r="I342" s="10" t="inlineStr">
        <is>
          <t>17/03/2026</t>
        </is>
      </c>
      <c r="J342" s="10" t="inlineStr">
        <is>
          <t>Cơ khí / Ô tô / Tự động hóa, Sản xuất / Vận hành sản xuất</t>
        </is>
      </c>
      <c r="K342" s="10" t="inlineStr">
        <is>
          <t>Chưa có kinh nghiệm</t>
        </is>
      </c>
      <c r="L342" s="11">
        <f>HYPERLINK("https://careerviet.vn/vi/tim-viec-lam/nhan-vien-mua-hang-tieng-trung.35C6C138.html","Xem chi tiết")</f>
        <v/>
      </c>
      <c r="M342" s="10" t="n"/>
    </row>
    <row r="343">
      <c r="B343" s="7" t="n">
        <v>341</v>
      </c>
      <c r="C343" t="inlineStr">
        <is>
          <t>Sales Logistics (LCL Consol)</t>
        </is>
      </c>
      <c r="D343" t="inlineStr">
        <is>
          <t>SCT LOGISTICS JSC</t>
        </is>
      </c>
      <c r="E343" t="inlineStr">
        <is>
          <t>Lương:Cạnh tranh</t>
        </is>
      </c>
      <c r="F343" t="inlineStr">
        <is>
          <t>Hồ Chí Minh</t>
        </is>
      </c>
      <c r="G343" t="inlineStr">
        <is>
          <t>11-04-2026</t>
        </is>
      </c>
      <c r="H343" t="inlineStr">
        <is>
          <t>11/04/2026</t>
        </is>
      </c>
      <c r="I343" t="inlineStr">
        <is>
          <t>17/03/2026</t>
        </is>
      </c>
      <c r="J343" t="inlineStr">
        <is>
          <t>Xuất nhập khẩu, Vận chuyển / Giao nhận / Kho vận, Dịch vụ khách hàng</t>
        </is>
      </c>
      <c r="K343" t="inlineStr">
        <is>
          <t>1 - 3 Năm</t>
        </is>
      </c>
      <c r="L343" s="8">
        <f>HYPERLINK("https://careerviet.vn/vi/tim-viec-lam/sales-logistics-lcl-consol.35C6C385.html","Xem chi tiết")</f>
        <v/>
      </c>
    </row>
    <row r="344">
      <c r="B344" s="9" t="n">
        <v>342</v>
      </c>
      <c r="C344" s="10" t="inlineStr">
        <is>
          <t>TRƯỞNG PHÒNG NGHIỆP VỤ</t>
        </is>
      </c>
      <c r="D344" s="10" t="inlineStr">
        <is>
          <t>Công ty TNHH Dịch vụ tư vấn VINATA</t>
        </is>
      </c>
      <c r="E344" s="10" t="inlineStr">
        <is>
          <t>Lương:25 Tr - 30 Tr VND</t>
        </is>
      </c>
      <c r="F344" s="10" t="inlineStr">
        <is>
          <t>Hà Nội</t>
        </is>
      </c>
      <c r="G344" s="10" t="inlineStr">
        <is>
          <t>31-03-2026</t>
        </is>
      </c>
      <c r="H344" s="10" t="inlineStr">
        <is>
          <t>31/03/2026</t>
        </is>
      </c>
      <c r="I344" s="10" t="inlineStr">
        <is>
          <t>17/03/2026</t>
        </is>
      </c>
      <c r="J344" s="10" t="inlineStr">
        <is>
          <t>Kế toán / Kiểm toán, Tài chính / Đầu tư</t>
        </is>
      </c>
      <c r="K344" s="10" t="inlineStr">
        <is>
          <t>3 Năm</t>
        </is>
      </c>
      <c r="L344" s="11">
        <f>HYPERLINK("https://careerviet.vn/vi/tim-viec-lam/truong-phong-nghiep-vu.35C6C3B6.html","Xem chi tiết")</f>
        <v/>
      </c>
      <c r="M344" s="10" t="n"/>
    </row>
    <row r="345">
      <c r="B345" s="7" t="n">
        <v>343</v>
      </c>
      <c r="C345" t="inlineStr">
        <is>
          <t>Postsale Security Engineer</t>
        </is>
      </c>
      <c r="D345" t="inlineStr">
        <is>
          <t>Công ty Cổ phần Đầu tư Kỹ thuật Số Việt (VDI)</t>
        </is>
      </c>
      <c r="E345" t="inlineStr">
        <is>
          <t>Lương:Lên đến 35 Tr VND</t>
        </is>
      </c>
      <c r="F345" t="inlineStr">
        <is>
          <t>Hà NộiHồ Chí Minh</t>
        </is>
      </c>
      <c r="G345" t="inlineStr">
        <is>
          <t>11-04-2026</t>
        </is>
      </c>
      <c r="H345" t="inlineStr">
        <is>
          <t>11/04/2026</t>
        </is>
      </c>
      <c r="I345" t="inlineStr">
        <is>
          <t>17/03/2026</t>
        </is>
      </c>
      <c r="J345" t="inlineStr">
        <is>
          <t>Bưu chính viễn thông, CNTT - Phần cứng / Mạng, CNTT - Phần mềm</t>
        </is>
      </c>
      <c r="K345" t="inlineStr">
        <is>
          <t>Trên 1 Năm</t>
        </is>
      </c>
      <c r="L345" s="8">
        <f>HYPERLINK("https://careerviet.vn/vi/tim-viec-lam/postsale-security-engineer.35C6C532.html","Xem chi tiết")</f>
        <v/>
      </c>
    </row>
    <row r="346">
      <c r="B346" s="9" t="n">
        <v>344</v>
      </c>
      <c r="C346" s="10" t="inlineStr">
        <is>
          <t>Trợ lý bác sĩ/ phiên dịch Tiếng Anh cho bác sĩ Mỹ</t>
        </is>
      </c>
      <c r="D346" s="10" t="inlineStr">
        <is>
          <t>ACC - American Chiropractic Clinic</t>
        </is>
      </c>
      <c r="E346" s="10" t="inlineStr">
        <is>
          <t>Lương:Cạnh tranh</t>
        </is>
      </c>
      <c r="F346" s="10" t="inlineStr">
        <is>
          <t>Hà NộiHồ Chí Minh</t>
        </is>
      </c>
      <c r="G346" s="10" t="inlineStr">
        <is>
          <t>13-04-2026</t>
        </is>
      </c>
      <c r="H346" s="10" t="inlineStr">
        <is>
          <t>13/04/2026</t>
        </is>
      </c>
      <c r="I346" s="10" t="inlineStr">
        <is>
          <t>17/03/2026</t>
        </is>
      </c>
      <c r="J346" s="10" t="inlineStr">
        <is>
          <t>Y tế / Chăm sóc sức khỏe / Thẩm mỹ / Làm đẹp, Dịch vụ khách hàng, Biên phiên dịch</t>
        </is>
      </c>
      <c r="K346" s="10" t="inlineStr">
        <is>
          <t>1 - 2 Năm</t>
        </is>
      </c>
      <c r="L346" s="11">
        <f>HYPERLINK("https://careerviet.vn/vi/tim-viec-lam/tro-ly-bac-si-phien-dich-tieng-anh-cho-bac-si-my.35C6C611.html","Xem chi tiết")</f>
        <v/>
      </c>
      <c r="M346" s="10" t="n"/>
    </row>
    <row r="347">
      <c r="B347" s="7" t="n">
        <v>345</v>
      </c>
      <c r="C347" t="inlineStr">
        <is>
          <t>Nhân viên bảo trì điện tự động(Mới)</t>
        </is>
      </c>
      <c r="D347" t="inlineStr">
        <is>
          <t>Công Ty Cổ Phần Tập Đoàn Hùng Nhơn</t>
        </is>
      </c>
      <c r="E347" t="inlineStr">
        <is>
          <t>Lương:Cạnh tranh</t>
        </is>
      </c>
      <c r="F347" t="inlineStr">
        <is>
          <t>Bình Phước</t>
        </is>
      </c>
      <c r="G347" t="inlineStr">
        <is>
          <t>16-05-2026</t>
        </is>
      </c>
      <c r="H347" t="inlineStr">
        <is>
          <t>16/05/2026</t>
        </is>
      </c>
      <c r="I347" t="inlineStr">
        <is>
          <t>17/03/2026</t>
        </is>
      </c>
      <c r="J347" t="inlineStr">
        <is>
          <t>Cơ khí / Ô tô / Tự động hóa, Điện / Điện tử / Điện lạnh / Điện công nghiệp, Bảo trì / Sửa chữa</t>
        </is>
      </c>
      <c r="K347" t="inlineStr">
        <is>
          <t>3 - 10 Năm</t>
        </is>
      </c>
      <c r="L347" s="8">
        <f>HYPERLINK("https://careerviet.vn/vi/tim-viec-lam/nhan-vien-bao-tri-dien-tu-dong.35C6CFC6.html","Xem chi tiết")</f>
        <v/>
      </c>
    </row>
    <row r="348">
      <c r="B348" s="9" t="n">
        <v>346</v>
      </c>
      <c r="C348" s="10" t="inlineStr">
        <is>
          <t>Cộng Tác Viên Quản Trị và Phát Triển Data Đối Tác</t>
        </is>
      </c>
      <c r="D348" s="10" t="inlineStr">
        <is>
          <t>Bảo mật</t>
        </is>
      </c>
      <c r="E348" s="10" t="inlineStr">
        <is>
          <t>Lương:Cạnh tranh</t>
        </is>
      </c>
      <c r="F348" s="10" t="inlineStr">
        <is>
          <t>Bà Rịa - Vũng Tàu</t>
        </is>
      </c>
      <c r="G348" s="10" t="inlineStr">
        <is>
          <t>11-04-2026</t>
        </is>
      </c>
      <c r="H348" s="10" t="inlineStr">
        <is>
          <t>11/04/2026</t>
        </is>
      </c>
      <c r="I348" s="10" t="inlineStr">
        <is>
          <t>17/03/2026</t>
        </is>
      </c>
      <c r="J348" s="10" t="inlineStr">
        <is>
          <t>Du lịch</t>
        </is>
      </c>
      <c r="K348" s="10" t="inlineStr">
        <is>
          <t>Chưa có kinh nghiệm</t>
        </is>
      </c>
      <c r="L348" s="11">
        <f>HYPERLINK("https://careerviet.vn/vi/tim-viec-lam/cong-tac-vien-quan-tri-va-phat-trien-data-doi-tac.35C6C1EE.html","Xem chi tiết")</f>
        <v/>
      </c>
      <c r="M348" s="10" t="n"/>
    </row>
    <row r="349">
      <c r="B349" s="7" t="n">
        <v>347</v>
      </c>
      <c r="C349" t="inlineStr">
        <is>
          <t>Nhân Viên Xử Lý Nước Thải/ Waste Water Treatment Staff(Mới)</t>
        </is>
      </c>
      <c r="D349" t="inlineStr">
        <is>
          <t>CÔNG TY TRÁCH NHIỆM HỮU HẠN AK VINA</t>
        </is>
      </c>
      <c r="E349" t="inlineStr">
        <is>
          <t>Lương:Cạnh tranh</t>
        </is>
      </c>
      <c r="F349" t="inlineStr">
        <is>
          <t>Đồng Nai</t>
        </is>
      </c>
      <c r="G349" t="inlineStr">
        <is>
          <t>16-04-2026</t>
        </is>
      </c>
      <c r="H349" t="inlineStr">
        <is>
          <t>16/04/2026</t>
        </is>
      </c>
      <c r="I349" t="inlineStr">
        <is>
          <t>17/03/2026</t>
        </is>
      </c>
      <c r="J349" t="inlineStr">
        <is>
          <t>Môi trường, Hóa học, Sản xuất / Vận hành sản xuất</t>
        </is>
      </c>
      <c r="K349" t="inlineStr">
        <is>
          <t>1 - 5 Năm</t>
        </is>
      </c>
      <c r="L349" s="8">
        <f>HYPERLINK("https://careerviet.vn/vi/tim-viec-lam/nhan-vien-xu-ly-nuoc-thai-waste-water-treatment-staff.35C6CFCB.html","Xem chi tiết")</f>
        <v/>
      </c>
    </row>
    <row r="350">
      <c r="B350" s="9" t="n">
        <v>348</v>
      </c>
      <c r="C350" s="10" t="inlineStr">
        <is>
          <t>Nhân Viên Sales Logistic ( Hà Nội)</t>
        </is>
      </c>
      <c r="D350" s="10" t="inlineStr">
        <is>
          <t>CÔNG TY TNHH VIỆT NAM MAXWIDE LOGISTICS</t>
        </is>
      </c>
      <c r="E350" s="10" t="inlineStr">
        <is>
          <t>Lương:Cạnh tranh</t>
        </is>
      </c>
      <c r="F350" s="10" t="inlineStr">
        <is>
          <t>Hà Nội</t>
        </is>
      </c>
      <c r="G350" s="10" t="inlineStr">
        <is>
          <t>12-04-2026</t>
        </is>
      </c>
      <c r="H350" s="10" t="inlineStr">
        <is>
          <t>12/04/2026</t>
        </is>
      </c>
      <c r="I350" s="10" t="inlineStr">
        <is>
          <t>17/03/2026</t>
        </is>
      </c>
      <c r="J350" s="10" t="inlineStr">
        <is>
          <t>Bán hàng / Kinh doanh, Vận chuyển / Giao nhận / Kho vận, Xuất nhập khẩu</t>
        </is>
      </c>
      <c r="K350" s="10" t="inlineStr">
        <is>
          <t>1 - 2 Năm</t>
        </is>
      </c>
      <c r="L350" s="11">
        <f>HYPERLINK("https://careerviet.vn/vi/tim-viec-lam/nhan-vien-sales-logistic-ha-noi.35C6C204.html","Xem chi tiết")</f>
        <v/>
      </c>
      <c r="M350" s="10" t="n"/>
    </row>
    <row r="351">
      <c r="B351" s="7" t="n">
        <v>349</v>
      </c>
      <c r="C351" t="inlineStr">
        <is>
          <t>Kỹ Sư QA/QC Xây Dựng</t>
        </is>
      </c>
      <c r="D351" t="inlineStr">
        <is>
          <t>Công Ty Cổ Phần Trang Trí Nội Thất P.I.P</t>
        </is>
      </c>
      <c r="E351" t="inlineStr">
        <is>
          <t>Lương:12 Tr - 25 Tr VND</t>
        </is>
      </c>
      <c r="F351" t="inlineStr">
        <is>
          <t>Hồ Chí Minh</t>
        </is>
      </c>
      <c r="G351" t="inlineStr">
        <is>
          <t>11-04-2026</t>
        </is>
      </c>
      <c r="H351" t="inlineStr">
        <is>
          <t>11/04/2026</t>
        </is>
      </c>
      <c r="I351" t="inlineStr">
        <is>
          <t>17/03/2026</t>
        </is>
      </c>
      <c r="J351" t="inlineStr">
        <is>
          <t>Xây dựng, Nội ngoại thất, Kiến trúc</t>
        </is>
      </c>
      <c r="K351" t="inlineStr">
        <is>
          <t>1 - 2 Năm</t>
        </is>
      </c>
      <c r="L351" s="8">
        <f>HYPERLINK("https://careerviet.vn/vi/tim-viec-lam/ky-su-qa-qc-xay-dung.35C6BFCF.html","Xem chi tiết")</f>
        <v/>
      </c>
    </row>
    <row r="352">
      <c r="B352" s="9" t="n">
        <v>350</v>
      </c>
      <c r="C352" s="10" t="inlineStr">
        <is>
          <t>Chuyên viên Phòng Giám định bồi thường Hàng hải làm việc tại Hà Nội - Khối Giám định bồi thường</t>
        </is>
      </c>
      <c r="D352" s="10" t="inlineStr">
        <is>
          <t>Tổng Công ty Cổ phần Bảo hiểm Quân đội (MIC)</t>
        </is>
      </c>
      <c r="E352" s="10" t="inlineStr">
        <is>
          <t>Lương:Cạnh tranh</t>
        </is>
      </c>
      <c r="F352" s="10" t="inlineStr">
        <is>
          <t>Hà Nội</t>
        </is>
      </c>
      <c r="G352" s="10" t="inlineStr">
        <is>
          <t>29-04-2026</t>
        </is>
      </c>
      <c r="H352" s="10" t="inlineStr">
        <is>
          <t>29/04/2026</t>
        </is>
      </c>
      <c r="I352" s="10" t="inlineStr">
        <is>
          <t>17/03/2026</t>
        </is>
      </c>
      <c r="J352" s="10" t="inlineStr">
        <is>
          <t>Bảo hiểm</t>
        </is>
      </c>
      <c r="K352" s="10" t="inlineStr">
        <is>
          <t>1 - 10 Năm</t>
        </is>
      </c>
      <c r="L352" s="11">
        <f>HYPERLINK("https://careerviet.vn/vi/tim-viec-lam/chuyen-vien-phong-giam-dinh-boi-thuong-hang-hai-lam-viec-tai-ha-noi-khoi-giam-dinh-boi-thuong.35C6C137.html","Xem chi tiết")</f>
        <v/>
      </c>
      <c r="M352" s="10" t="n"/>
    </row>
    <row r="353">
      <c r="B353" s="7" t="n">
        <v>351</v>
      </c>
      <c r="C353" t="inlineStr">
        <is>
          <t>Chuyên viên Quan hệ Khách hàng Cá nhân Đồng Nai và Đông Nam Bộ</t>
        </is>
      </c>
      <c r="D353" t="inlineStr">
        <is>
          <t>Ngân hàng TMCP Phát triển TP.HCM (HDBank)</t>
        </is>
      </c>
      <c r="E353" t="inlineStr">
        <is>
          <t>Lương:10 Tr - 15 Tr VND</t>
        </is>
      </c>
      <c r="F353" t="inlineStr">
        <is>
          <t>Đồng NaiKV Đông Nam Bộ</t>
        </is>
      </c>
      <c r="G353" t="inlineStr">
        <is>
          <t>27-03-2026</t>
        </is>
      </c>
      <c r="H353" t="inlineStr">
        <is>
          <t>27/03/2026</t>
        </is>
      </c>
      <c r="I353" t="inlineStr">
        <is>
          <t>17/03/2026</t>
        </is>
      </c>
      <c r="J353" t="inlineStr">
        <is>
          <t>N/A</t>
        </is>
      </c>
      <c r="K353" t="inlineStr">
        <is>
          <t>N/A</t>
        </is>
      </c>
      <c r="L353" s="8">
        <f>HYPERLINK("https://careerviet.vn/vi/tim-viec-lam/chuyen-vien-quan-he-khach-hang-ca-nhan-dong-nai-va-dong-nam-bo.35C6C3B4.html","Xem chi tiết")</f>
        <v/>
      </c>
    </row>
    <row r="354">
      <c r="B354" s="9" t="n">
        <v>352</v>
      </c>
      <c r="C354" s="10" t="inlineStr">
        <is>
          <t>Chuyên viên Quan hệ Khách hàng Doanh nghiệp và Cá nhân Đồng Nai &amp; Đông Nam Bộ</t>
        </is>
      </c>
      <c r="D354" s="10" t="inlineStr">
        <is>
          <t>Ngân hàng TMCP Phát triển TP.HCM (HDBank)</t>
        </is>
      </c>
      <c r="E354" s="10" t="inlineStr">
        <is>
          <t>Lương:Cạnh tranh</t>
        </is>
      </c>
      <c r="F354" s="10" t="inlineStr">
        <is>
          <t>Đồng NaiKV Đông Nam Bộ</t>
        </is>
      </c>
      <c r="G354" s="10" t="inlineStr">
        <is>
          <t>10-04-2026</t>
        </is>
      </c>
      <c r="H354" s="10" t="inlineStr">
        <is>
          <t>10/04/2026</t>
        </is>
      </c>
      <c r="I354" s="10" t="inlineStr">
        <is>
          <t>17/03/2026</t>
        </is>
      </c>
      <c r="J354" s="10" t="inlineStr">
        <is>
          <t>N/A</t>
        </is>
      </c>
      <c r="K354" s="10" t="inlineStr">
        <is>
          <t>N/A</t>
        </is>
      </c>
      <c r="L354" s="11">
        <f>HYPERLINK("https://careerviet.vn/vi/tim-viec-lam/chuyen-vien-quan-he-khach-hang-doanh-nghiep-va-ca-nhan-dong-nai-dong-nam-bo.35C6C042.html","Xem chi tiết")</f>
        <v/>
      </c>
      <c r="M354" s="10" t="n"/>
    </row>
    <row r="355">
      <c r="B355" s="7" t="n">
        <v>353</v>
      </c>
      <c r="C355" t="inlineStr">
        <is>
          <t>Chuyên viên Tiếp thị Thương mại(Mới)</t>
        </is>
      </c>
      <c r="D355" t="inlineStr">
        <is>
          <t>Công ty TNHH MTV Sen Vàng Việt Nam</t>
        </is>
      </c>
      <c r="E355" t="inlineStr">
        <is>
          <t>Lương:Cạnh tranh</t>
        </is>
      </c>
      <c r="F355" t="inlineStr">
        <is>
          <t>Hồ Chí Minh</t>
        </is>
      </c>
      <c r="G355" t="inlineStr">
        <is>
          <t>17-04-2026</t>
        </is>
      </c>
      <c r="H355" t="inlineStr">
        <is>
          <t>17/04/2026</t>
        </is>
      </c>
      <c r="I355" t="inlineStr">
        <is>
          <t>17/03/2026</t>
        </is>
      </c>
      <c r="J355" t="inlineStr">
        <is>
          <t>Tiếp thị / Marketing</t>
        </is>
      </c>
      <c r="K355" t="inlineStr">
        <is>
          <t>3 - 5 Năm</t>
        </is>
      </c>
      <c r="L355" s="8">
        <f>HYPERLINK("https://careerviet.vn/vi/tim-viec-lam/chuyen-vien-tiep-thi-thuong-mai.35C6CFC2.html","Xem chi tiết")</f>
        <v/>
      </c>
    </row>
    <row r="356">
      <c r="B356" s="9" t="n">
        <v>354</v>
      </c>
      <c r="C356" s="10" t="inlineStr">
        <is>
          <t>Chuyên viên kiểm soát nội bộ(Mới)</t>
        </is>
      </c>
      <c r="D356" s="10" t="inlineStr">
        <is>
          <t>Công ty TNHH MTV Sen Vàng Việt Nam</t>
        </is>
      </c>
      <c r="E356" s="10" t="inlineStr">
        <is>
          <t>Lương:Cạnh tranh</t>
        </is>
      </c>
      <c r="F356" s="10" t="inlineStr">
        <is>
          <t>Hồ Chí Minh</t>
        </is>
      </c>
      <c r="G356" s="10" t="inlineStr">
        <is>
          <t>18-04-2026</t>
        </is>
      </c>
      <c r="H356" s="10" t="inlineStr">
        <is>
          <t>18/04/2026</t>
        </is>
      </c>
      <c r="I356" s="10" t="inlineStr">
        <is>
          <t>17/03/2026</t>
        </is>
      </c>
      <c r="J356" s="10" t="inlineStr">
        <is>
          <t>Luật / Pháp lý, Kế toán / Kiểm toán, Tài chính / Đầu tư</t>
        </is>
      </c>
      <c r="K356" s="10" t="inlineStr">
        <is>
          <t>2 - 5 Năm</t>
        </is>
      </c>
      <c r="L356" s="11">
        <f>HYPERLINK("https://careerviet.vn/vi/tim-viec-lam/chuyen-vien-kiem-soat-noi-bo.35C6CFC8.html","Xem chi tiết")</f>
        <v/>
      </c>
      <c r="M356" s="10" t="n"/>
    </row>
    <row r="357">
      <c r="B357" s="7" t="n">
        <v>355</v>
      </c>
      <c r="C357" t="inlineStr">
        <is>
          <t>Kiểm toán viên cao cấp - Phòng Tổng hợp - Trung tâm Kiểm toán nội bộ(Mới)</t>
        </is>
      </c>
      <c r="D357" t="inlineStr">
        <is>
          <t>Ngân Hàng TMCP Quốc Dân (NCB)</t>
        </is>
      </c>
      <c r="E357" t="inlineStr">
        <is>
          <t>Lương:Cạnh tranh</t>
        </is>
      </c>
      <c r="F357" t="inlineStr">
        <is>
          <t>Hà Nội</t>
        </is>
      </c>
      <c r="G357" t="inlineStr">
        <is>
          <t>17-04-2026</t>
        </is>
      </c>
      <c r="H357" t="inlineStr">
        <is>
          <t>17/04/2026</t>
        </is>
      </c>
      <c r="I357" t="inlineStr">
        <is>
          <t>17/03/2026</t>
        </is>
      </c>
      <c r="J357" t="inlineStr">
        <is>
          <t>Ngân hàng, Kế toán / Kiểm toán</t>
        </is>
      </c>
      <c r="K357" t="inlineStr">
        <is>
          <t>Trên 2 Năm</t>
        </is>
      </c>
      <c r="L357" s="8">
        <f>HYPERLINK("https://careerviet.vn/vi/tim-viec-lam/kiem-toan-vien-cao-cap-phong-tong-hop-trung-tam-kiem-toan-noi-bo.35C6CFD9.html","Xem chi tiết")</f>
        <v/>
      </c>
    </row>
    <row r="358">
      <c r="B358" s="9" t="n">
        <v>356</v>
      </c>
      <c r="C358" s="10" t="inlineStr">
        <is>
          <t>Chuyên viên/ Nhân viên Kỹ Thuật Cơ Khí Điện(Mới)</t>
        </is>
      </c>
      <c r="D358" s="10" t="inlineStr">
        <is>
          <t>CÔNG TY CỔ PHẦN HÓA DẦU CÔNG NGHỆ CAO HI-PEC</t>
        </is>
      </c>
      <c r="E358" s="10" t="inlineStr">
        <is>
          <t>Lương:10 Tr - 17 Tr VND</t>
        </is>
      </c>
      <c r="F358" s="10" t="inlineStr">
        <is>
          <t>Tây Ninh</t>
        </is>
      </c>
      <c r="G358" s="10" t="inlineStr">
        <is>
          <t>31-03-2026</t>
        </is>
      </c>
      <c r="H358" s="10" t="inlineStr">
        <is>
          <t>31/03/2026</t>
        </is>
      </c>
      <c r="I358" s="10" t="inlineStr">
        <is>
          <t>17/03/2026</t>
        </is>
      </c>
      <c r="J358" s="10" t="inlineStr">
        <is>
          <t>Cơ khí / Ô tô / Tự động hóa, Bảo trì / Sửa chữa, Xây dựng</t>
        </is>
      </c>
      <c r="K358" s="10" t="inlineStr">
        <is>
          <t>1 - 4 Năm</t>
        </is>
      </c>
      <c r="L358" s="11">
        <f>HYPERLINK("https://careerviet.vn/vi/tim-viec-lam/chuyen-vien-nhan-vien-ky-thuat-co-khi-dien.35C6C59D.html","Xem chi tiết")</f>
        <v/>
      </c>
      <c r="M358" s="10" t="n"/>
    </row>
    <row r="359">
      <c r="B359" s="7" t="n">
        <v>357</v>
      </c>
      <c r="C359" t="inlineStr">
        <is>
          <t>NHÂN VIÊN THIẾT KẾ THỜI TRANG(Mới)</t>
        </is>
      </c>
      <c r="D359" t="inlineStr">
        <is>
          <t>Công Ty TNHH May Thêu Giày An Phước</t>
        </is>
      </c>
      <c r="E359" t="inlineStr">
        <is>
          <t>Lương:Cạnh tranh</t>
        </is>
      </c>
      <c r="F359" t="inlineStr">
        <is>
          <t>Hồ Chí Minh</t>
        </is>
      </c>
      <c r="G359" t="inlineStr">
        <is>
          <t>31-03-2026</t>
        </is>
      </c>
      <c r="H359" t="inlineStr">
        <is>
          <t>31/03/2026</t>
        </is>
      </c>
      <c r="I359" t="inlineStr">
        <is>
          <t>17/03/2026</t>
        </is>
      </c>
      <c r="J359" t="inlineStr">
        <is>
          <t>Dệt may / Da giày / Thời trang, Mỹ thuật / Nghệ thuật / Thiết kế, Quảng cáo / Đối ngoại / Truyền Thông</t>
        </is>
      </c>
      <c r="K359" t="inlineStr">
        <is>
          <t>3 - 10 Năm</t>
        </is>
      </c>
      <c r="L359" s="8">
        <f>HYPERLINK("https://careerviet.vn/vi/tim-viec-lam/nhan-vien-thiet-ke-thoi-trang.35C6CFC7.html","Xem chi tiết")</f>
        <v/>
      </c>
    </row>
    <row r="360">
      <c r="B360" s="9" t="n">
        <v>358</v>
      </c>
      <c r="C360" s="10" t="inlineStr">
        <is>
          <t>Chuyên viên Phát triển Sản phẩm bánh (R&amp;D)(Mới)</t>
        </is>
      </c>
      <c r="D360" s="10" t="inlineStr">
        <is>
          <t>CÔNG TY CỔ PHẦN THỰC PHẨM HÙNG HẬU</t>
        </is>
      </c>
      <c r="E360" s="10" t="inlineStr">
        <is>
          <t>Lương:12 Tr - 17 Tr VND</t>
        </is>
      </c>
      <c r="F360" s="10" t="inlineStr">
        <is>
          <t>Hồ Chí Minh</t>
        </is>
      </c>
      <c r="G360" s="10" t="inlineStr">
        <is>
          <t>30-04-2026</t>
        </is>
      </c>
      <c r="H360" s="10" t="inlineStr">
        <is>
          <t>30/04/2026</t>
        </is>
      </c>
      <c r="I360" s="10" t="inlineStr">
        <is>
          <t>17/03/2026</t>
        </is>
      </c>
      <c r="J360" s="10" t="inlineStr">
        <is>
          <t>Thực phẩm &amp; Đồ uống, Công nghệ thực phẩm / Dinh dưỡng</t>
        </is>
      </c>
      <c r="K360" s="10" t="inlineStr">
        <is>
          <t>1 - 5 Năm</t>
        </is>
      </c>
      <c r="L360" s="11">
        <f>HYPERLINK("https://careerviet.vn/vi/tim-viec-lam/chuyen-vien-phat-trien-san-pham-banh-r-d.35C6CFC3.html","Xem chi tiết")</f>
        <v/>
      </c>
      <c r="M360" s="10" t="n"/>
    </row>
    <row r="361">
      <c r="B361" s="7" t="n">
        <v>359</v>
      </c>
      <c r="C361" t="inlineStr">
        <is>
          <t>[UNIMEDIA] Chuyên viên sản xuất(Mới)</t>
        </is>
      </c>
      <c r="D361" t="inlineStr">
        <is>
          <t>CÔNG TY CP TẬP ĐOÀN ĐẦU TƯ HOÀNG GIA VIỆT NAM</t>
        </is>
      </c>
      <c r="E361" t="inlineStr">
        <is>
          <t>Lương:Cạnh tranh</t>
        </is>
      </c>
      <c r="F361" t="inlineStr">
        <is>
          <t>Hồ Chí Minh</t>
        </is>
      </c>
      <c r="G361" t="inlineStr">
        <is>
          <t>Hôm nay</t>
        </is>
      </c>
      <c r="H361" t="inlineStr">
        <is>
          <t>17/03/2026</t>
        </is>
      </c>
      <c r="I361" t="inlineStr">
        <is>
          <t>17/03/2026</t>
        </is>
      </c>
      <c r="J361" t="inlineStr">
        <is>
          <t>Tổ chức sự kiện, Truyền hình / Báo chí / Biên tập, Giải trí</t>
        </is>
      </c>
      <c r="K361" t="inlineStr">
        <is>
          <t>3 - 5 Năm</t>
        </is>
      </c>
      <c r="L361" s="8">
        <f>HYPERLINK("https://careerviet.vn/vi/tim-viec-lam/unimedia-chuyen-vien-san-xuat.35C6CFA7.html","Xem chi tiết")</f>
        <v/>
      </c>
    </row>
    <row r="362">
      <c r="B362" s="9" t="n">
        <v>360</v>
      </c>
      <c r="C362" s="10" t="inlineStr">
        <is>
          <t>[UNIMEDIA] CTV Senior PR Excutive(Mới)</t>
        </is>
      </c>
      <c r="D362" s="10" t="inlineStr">
        <is>
          <t>CÔNG TY CP TẬP ĐOÀN ĐẦU TƯ HOÀNG GIA VIỆT NAM</t>
        </is>
      </c>
      <c r="E362" s="10" t="inlineStr">
        <is>
          <t>Lương:Cạnh tranh</t>
        </is>
      </c>
      <c r="F362" s="10" t="inlineStr">
        <is>
          <t>Hồ Chí Minh</t>
        </is>
      </c>
      <c r="G362" s="10" t="inlineStr">
        <is>
          <t>Hôm nay</t>
        </is>
      </c>
      <c r="H362" s="10" t="inlineStr">
        <is>
          <t>17/03/2026</t>
        </is>
      </c>
      <c r="I362" s="10" t="inlineStr">
        <is>
          <t>17/03/2026</t>
        </is>
      </c>
      <c r="J362" s="10" t="inlineStr">
        <is>
          <t>Giải trí, Quảng cáo / Đối ngoại / Truyền Thông</t>
        </is>
      </c>
      <c r="K362" s="10" t="inlineStr">
        <is>
          <t>3 - 5 Năm</t>
        </is>
      </c>
      <c r="L362" s="11">
        <f>HYPERLINK("https://careerviet.vn/vi/tim-viec-lam/unimedia-ctv-senior-pr-excutive.35C6CFAF.html","Xem chi tiết")</f>
        <v/>
      </c>
      <c r="M362" s="10" t="n"/>
    </row>
    <row r="363">
      <c r="B363" s="7" t="n">
        <v>361</v>
      </c>
      <c r="C363" t="inlineStr">
        <is>
          <t>CVCC/Chuyên gia - Phòng Nghiệp vụ Kiểm toán 2 - Trung tâm Kiểm toán Nội bộ(Mới)</t>
        </is>
      </c>
      <c r="D363" t="inlineStr">
        <is>
          <t>Ngân Hàng TMCP Quốc Dân (NCB)</t>
        </is>
      </c>
      <c r="E363" t="inlineStr">
        <is>
          <t>Lương:Cạnh tranh</t>
        </is>
      </c>
      <c r="F363" t="inlineStr">
        <is>
          <t>Hà Nội</t>
        </is>
      </c>
      <c r="G363" t="inlineStr">
        <is>
          <t>17-04-2026</t>
        </is>
      </c>
      <c r="H363" t="inlineStr">
        <is>
          <t>17/04/2026</t>
        </is>
      </c>
      <c r="I363" t="inlineStr">
        <is>
          <t>17/03/2026</t>
        </is>
      </c>
      <c r="J363" t="inlineStr">
        <is>
          <t>Ngân hàng, Kế toán / Kiểm toán</t>
        </is>
      </c>
      <c r="K363" t="inlineStr">
        <is>
          <t>Trên 3 Năm</t>
        </is>
      </c>
      <c r="L363" s="8">
        <f>HYPERLINK("https://careerviet.vn/vi/tim-viec-lam/cvcc-chuyen-gia-phong-nghiep-vu-kiem-toan-2-trung-tam-kiem-toan-noi-bo.35C6CFA9.html","Xem chi tiết")</f>
        <v/>
      </c>
    </row>
    <row r="364">
      <c r="B364" s="9" t="n">
        <v>362</v>
      </c>
      <c r="C364" s="10" t="inlineStr">
        <is>
          <t>Nhân Viên Phiên Dịch Tiếng Trung (Phòng DEV)(Mới)</t>
        </is>
      </c>
      <c r="D364" s="10" t="inlineStr">
        <is>
          <t>Công ty Cổ Phần Ánh Dương Building</t>
        </is>
      </c>
      <c r="E364" s="10" t="inlineStr">
        <is>
          <t>Lương:9 Tr - 15 Tr VND</t>
        </is>
      </c>
      <c r="F364" s="10" t="inlineStr">
        <is>
          <t>Hà NộiHồ Chí Minh</t>
        </is>
      </c>
      <c r="G364" s="10" t="inlineStr">
        <is>
          <t>30-04-2026</t>
        </is>
      </c>
      <c r="H364" s="10" t="inlineStr">
        <is>
          <t>30/04/2026</t>
        </is>
      </c>
      <c r="I364" s="10" t="inlineStr">
        <is>
          <t>17/03/2026</t>
        </is>
      </c>
      <c r="J364" s="10" t="inlineStr">
        <is>
          <t>Biên phiên dịch, Xây dựng</t>
        </is>
      </c>
      <c r="K364" s="10" t="inlineStr">
        <is>
          <t>1 - 2 Năm</t>
        </is>
      </c>
      <c r="L364" s="11">
        <f>HYPERLINK("https://careerviet.vn/vi/tim-viec-lam/nhan-vien-phien-dich-tieng-trung-phong-dev.35C6CFAC.html","Xem chi tiết")</f>
        <v/>
      </c>
      <c r="M364" s="10" t="n"/>
    </row>
    <row r="365">
      <c r="B365" s="7" t="n">
        <v>363</v>
      </c>
      <c r="C365" t="inlineStr">
        <is>
          <t>Kế Toán Trưởng (lĩnh vực Gym &amp; Yoga)</t>
        </is>
      </c>
      <c r="D365" t="inlineStr">
        <is>
          <t>Công Ty Cổ Phần Đầu Tư Địa Ốc Hưng Phú</t>
        </is>
      </c>
      <c r="E365" t="inlineStr">
        <is>
          <t>Lương:20 Tr - 25 Tr VND</t>
        </is>
      </c>
      <c r="F365" t="inlineStr">
        <is>
          <t>Hồ Chí Minh</t>
        </is>
      </c>
      <c r="G365" t="inlineStr">
        <is>
          <t>04-04-2026</t>
        </is>
      </c>
      <c r="H365" t="inlineStr">
        <is>
          <t>04/04/2026</t>
        </is>
      </c>
      <c r="I365" t="inlineStr">
        <is>
          <t>17/03/2026</t>
        </is>
      </c>
      <c r="J365" t="inlineStr">
        <is>
          <t>Kế toán / Kiểm toán, Dịch vụ khách hàng</t>
        </is>
      </c>
      <c r="K365" t="inlineStr">
        <is>
          <t>3 - 5 Năm</t>
        </is>
      </c>
      <c r="L365" s="8">
        <f>HYPERLINK("https://careerviet.vn/vi/tim-viec-lam/ke-toan-truong-linh-vuc-gym-yoga.35C6AB24.html","Xem chi tiết")</f>
        <v/>
      </c>
    </row>
    <row r="366">
      <c r="B366" s="9" t="n">
        <v>364</v>
      </c>
      <c r="C366" s="10" t="inlineStr">
        <is>
          <t>TRỢ LÝ ĐIỀU HÀNH(Mới)</t>
        </is>
      </c>
      <c r="D366" s="10" t="inlineStr">
        <is>
          <t>Công Ty Cổ Phần Tập Đoàn Hùng Nhơn</t>
        </is>
      </c>
      <c r="E366" s="10" t="inlineStr">
        <is>
          <t>Lương:Cạnh tranh</t>
        </is>
      </c>
      <c r="F366" s="10" t="inlineStr">
        <is>
          <t>Hồ Chí Minh</t>
        </is>
      </c>
      <c r="G366" s="10" t="inlineStr">
        <is>
          <t>15-05-2026</t>
        </is>
      </c>
      <c r="H366" s="10" t="inlineStr">
        <is>
          <t>15/05/2026</t>
        </is>
      </c>
      <c r="I366" s="10" t="inlineStr">
        <is>
          <t>17/03/2026</t>
        </is>
      </c>
      <c r="J366" s="10" t="inlineStr">
        <is>
          <t>Nông nghiệp, Chăn nuôi / Thú y, Quản lý điều hành</t>
        </is>
      </c>
      <c r="K366" s="10" t="inlineStr">
        <is>
          <t>3 - 5 Năm</t>
        </is>
      </c>
      <c r="L366" s="11">
        <f>HYPERLINK("https://careerviet.vn/vi/tim-viec-lam/tro-ly-dieu-hanh.35C6CF90.html","Xem chi tiết")</f>
        <v/>
      </c>
      <c r="M366" s="10" t="n"/>
    </row>
    <row r="367">
      <c r="B367" s="7" t="n">
        <v>365</v>
      </c>
      <c r="C367" t="inlineStr">
        <is>
          <t>Kế Toán Viên(Mới)</t>
        </is>
      </c>
      <c r="D367" t="inlineStr">
        <is>
          <t>Viện nghiên cứu Da và giày - Dodavi</t>
        </is>
      </c>
      <c r="E367" t="inlineStr">
        <is>
          <t>Lương:10 Tr - 14 Tr VND</t>
        </is>
      </c>
      <c r="F367" t="inlineStr">
        <is>
          <t>Hà Nội</t>
        </is>
      </c>
      <c r="G367" t="inlineStr">
        <is>
          <t>16-04-2026</t>
        </is>
      </c>
      <c r="H367" t="inlineStr">
        <is>
          <t>16/04/2026</t>
        </is>
      </c>
      <c r="I367" t="inlineStr">
        <is>
          <t>17/03/2026</t>
        </is>
      </c>
      <c r="J367" t="inlineStr">
        <is>
          <t>Luật / Pháp lý, Kế toán / Kiểm toán, Tài chính / Đầu tư</t>
        </is>
      </c>
      <c r="K367" t="inlineStr">
        <is>
          <t>N/A</t>
        </is>
      </c>
      <c r="L367" s="8">
        <f>HYPERLINK("https://careerviet.vn/vi/tim-viec-lam/ke-toan-vien.35C6CF95.html","Xem chi tiết")</f>
        <v/>
      </c>
    </row>
    <row r="368">
      <c r="B368" s="9" t="n">
        <v>366</v>
      </c>
      <c r="C368" s="10" t="inlineStr">
        <is>
          <t>Cộng tác viên Kế toán Tài sản(Mới)</t>
        </is>
      </c>
      <c r="D368" s="10" t="inlineStr">
        <is>
          <t>CÔNG TY CỔ PHẦN KINH DOANH F88</t>
        </is>
      </c>
      <c r="E368" s="10" t="inlineStr">
        <is>
          <t>Lương:Cạnh tranh</t>
        </is>
      </c>
      <c r="F368" s="10" t="inlineStr">
        <is>
          <t>Hà Nội</t>
        </is>
      </c>
      <c r="G368" s="10" t="inlineStr">
        <is>
          <t>17-04-2026</t>
        </is>
      </c>
      <c r="H368" s="10" t="inlineStr">
        <is>
          <t>17/04/2026</t>
        </is>
      </c>
      <c r="I368" s="10" t="inlineStr">
        <is>
          <t>17/03/2026</t>
        </is>
      </c>
      <c r="J368" s="10" t="inlineStr">
        <is>
          <t>Tài chính / Đầu tư, Kế toán / Kiểm toán, Ngân hàng</t>
        </is>
      </c>
      <c r="K368" s="10" t="inlineStr">
        <is>
          <t>Trên 1 Năm</t>
        </is>
      </c>
      <c r="L368" s="11">
        <f>HYPERLINK("https://careerviet.vn/vi/tim-viec-lam/cong-tac-vien-ke-toan-tai-san.35C6CF92.html","Xem chi tiết")</f>
        <v/>
      </c>
      <c r="M368" s="10" t="n"/>
    </row>
    <row r="369">
      <c r="B369" s="7" t="n">
        <v>367</v>
      </c>
      <c r="C369" t="inlineStr">
        <is>
          <t>Giám đốc Cao cấp Phát triển Dự án khu vực (Project Development Director) chấp nhận đi công tác dài ngày tại nước ngoài(Mới)</t>
        </is>
      </c>
      <c r="D369" t="inlineStr">
        <is>
          <t>Tập đoàn ROX (ROX Group)</t>
        </is>
      </c>
      <c r="E369" t="inlineStr">
        <is>
          <t>Lương:Cạnh tranh</t>
        </is>
      </c>
      <c r="F369" t="inlineStr">
        <is>
          <t>Hà NộiHồ Chí Minh</t>
        </is>
      </c>
      <c r="G369" t="inlineStr">
        <is>
          <t>14-04-2026</t>
        </is>
      </c>
      <c r="H369" t="inlineStr">
        <is>
          <t>14/04/2026</t>
        </is>
      </c>
      <c r="I369" t="inlineStr">
        <is>
          <t>17/03/2026</t>
        </is>
      </c>
      <c r="J369" t="inlineStr">
        <is>
          <t>Bất động sản</t>
        </is>
      </c>
      <c r="K369" t="inlineStr">
        <is>
          <t>Trên 8 Năm</t>
        </is>
      </c>
      <c r="L369" s="8">
        <f>HYPERLINK("https://careerviet.vn/vi/tim-viec-lam/giam-doc-cao-cap-phat-trien-du-an-khu-vuc-project-development-director-chap-nhan-di-cong-tac-dai-ngay-tai-nuoc-ngoai.35C6CF82.html","Xem chi tiết")</f>
        <v/>
      </c>
    </row>
    <row r="370">
      <c r="B370" s="9" t="n">
        <v>368</v>
      </c>
      <c r="C370" s="10" t="inlineStr">
        <is>
          <t>QUẢN LÝ CỬA HÀNG THỜI TRANG(Mới)</t>
        </is>
      </c>
      <c r="D370" s="10" t="inlineStr">
        <is>
          <t>VINCY - Công Ty TNHH TM - SX Hồ Nguyễn</t>
        </is>
      </c>
      <c r="E370" s="10" t="inlineStr">
        <is>
          <t>Lương:10 Tr - 15 Tr VND</t>
        </is>
      </c>
      <c r="F370" s="10" t="inlineStr">
        <is>
          <t>Hồ Chí Minh</t>
        </is>
      </c>
      <c r="G370" s="10" t="inlineStr">
        <is>
          <t>30-04-2026</t>
        </is>
      </c>
      <c r="H370" s="10" t="inlineStr">
        <is>
          <t>30/04/2026</t>
        </is>
      </c>
      <c r="I370" s="10" t="inlineStr">
        <is>
          <t>17/03/2026</t>
        </is>
      </c>
      <c r="J370" s="10" t="inlineStr">
        <is>
          <t>Bán lẻ / Bán sỉ, Bán hàng / Kinh doanh, Dệt may / Da giày / Thời trang</t>
        </is>
      </c>
      <c r="K370" s="10" t="inlineStr">
        <is>
          <t>2 - 4 Năm</t>
        </is>
      </c>
      <c r="L370" s="11">
        <f>HYPERLINK("https://careerviet.vn/vi/tim-viec-lam/quan-ly-cua-hang-thoi-trang.35C6CFA0.html","Xem chi tiết")</f>
        <v/>
      </c>
      <c r="M370" s="10" t="n"/>
    </row>
    <row r="371">
      <c r="B371" s="7" t="n">
        <v>369</v>
      </c>
      <c r="C371" t="inlineStr">
        <is>
          <t>Cosmetic Brand Executive(Mới)</t>
        </is>
      </c>
      <c r="D371" t="inlineStr">
        <is>
          <t>CareerViet's client</t>
        </is>
      </c>
      <c r="E371" t="inlineStr">
        <is>
          <t>Lương:Cạnh tranh</t>
        </is>
      </c>
      <c r="F371" t="inlineStr">
        <is>
          <t>Hồ Chí Minh</t>
        </is>
      </c>
      <c r="G371" t="inlineStr">
        <is>
          <t>17-04-2026</t>
        </is>
      </c>
      <c r="H371" t="inlineStr">
        <is>
          <t>17/04/2026</t>
        </is>
      </c>
      <c r="I371" t="inlineStr">
        <is>
          <t>17/03/2026</t>
        </is>
      </c>
      <c r="J371" t="inlineStr">
        <is>
          <t>Tiếp thị / Marketing, Bán hàng / Kinh doanh, Dược phẩm/ Hóa Mỹ Phẩm</t>
        </is>
      </c>
      <c r="K371" t="inlineStr">
        <is>
          <t>2 - 3 Năm</t>
        </is>
      </c>
      <c r="L371" s="8">
        <f>HYPERLINK("https://careerviet.vn/vi/tim-viec-lam/cosmetic-brand-executive.35C6CF91.html","Xem chi tiết")</f>
        <v/>
      </c>
    </row>
    <row r="372">
      <c r="B372" s="9" t="n">
        <v>370</v>
      </c>
      <c r="C372" s="10" t="inlineStr">
        <is>
          <t>Nhân viên thu hồi nợ hiện trường - Tín chấp (Đồng Nai/Bình Dương)(Mới)</t>
        </is>
      </c>
      <c r="D372" s="10" t="inlineStr">
        <is>
          <t>Công Ty Quản Lý Nợ Và Khai Thác Tài Sản - Ngân Hàng TMCP Quân Đội</t>
        </is>
      </c>
      <c r="E372" s="10" t="inlineStr">
        <is>
          <t>Lương:Cạnh tranh</t>
        </is>
      </c>
      <c r="F372" s="10" t="inlineStr">
        <is>
          <t>Bình Dương</t>
        </is>
      </c>
      <c r="G372" s="10" t="inlineStr">
        <is>
          <t>30-04-2026</t>
        </is>
      </c>
      <c r="H372" s="10" t="inlineStr">
        <is>
          <t>30/04/2026</t>
        </is>
      </c>
      <c r="I372" s="10" t="inlineStr">
        <is>
          <t>17/03/2026</t>
        </is>
      </c>
      <c r="J372" s="10" t="inlineStr">
        <is>
          <t>Luật / Pháp lý, Ngân hàng, Tài chính / Đầu tư</t>
        </is>
      </c>
      <c r="K372" s="10" t="inlineStr">
        <is>
          <t>Trên 1 Năm</t>
        </is>
      </c>
      <c r="L372" s="11">
        <f>HYPERLINK("https://careerviet.vn/vi/tim-viec-lam/nhan-vien-thu-hoi-no-hien-truong-tin-chap-dong-nai-binh-duong.35C6CF80.html","Xem chi tiết")</f>
        <v/>
      </c>
      <c r="M372" s="10" t="n"/>
    </row>
    <row r="373">
      <c r="B373" s="7" t="n">
        <v>371</v>
      </c>
      <c r="C373" t="inlineStr">
        <is>
          <t>Field Supervisor(Mới)</t>
        </is>
      </c>
      <c r="D373" t="inlineStr">
        <is>
          <t>Công ty TNHH Olam Việt Nam</t>
        </is>
      </c>
      <c r="E373" t="inlineStr">
        <is>
          <t>Lương:Cạnh tranh</t>
        </is>
      </c>
      <c r="F373" t="inlineStr">
        <is>
          <t>Bến Tre</t>
        </is>
      </c>
      <c r="G373" t="inlineStr">
        <is>
          <t>14-04-2026</t>
        </is>
      </c>
      <c r="H373" t="inlineStr">
        <is>
          <t>14/04/2026</t>
        </is>
      </c>
      <c r="I373" t="inlineStr">
        <is>
          <t>17/03/2026</t>
        </is>
      </c>
      <c r="J373" t="inlineStr">
        <is>
          <t>Nông nghiệp, Quản lý chất lượng (QA/QC), Công nghệ thực phẩm / Dinh dưỡng</t>
        </is>
      </c>
      <c r="K373" t="inlineStr">
        <is>
          <t>2 - 5 Năm</t>
        </is>
      </c>
      <c r="L373" s="8">
        <f>HYPERLINK("https://careerviet.vn/vi/tim-viec-lam/field-supervisor.35C6CF8E.html","Xem chi tiết")</f>
        <v/>
      </c>
    </row>
    <row r="374">
      <c r="B374" s="9" t="n">
        <v>372</v>
      </c>
      <c r="C374" s="10" t="inlineStr">
        <is>
          <t>Kế toán nội bộ(Mới)</t>
        </is>
      </c>
      <c r="D374" s="10" t="inlineStr">
        <is>
          <t>Công ty cổ phần Dược phẩm Louis Pharma</t>
        </is>
      </c>
      <c r="E374" s="10" t="inlineStr">
        <is>
          <t>Lương:Cạnh tranh</t>
        </is>
      </c>
      <c r="F374" s="10" t="inlineStr">
        <is>
          <t>Hà Nội</t>
        </is>
      </c>
      <c r="G374" s="10" t="inlineStr">
        <is>
          <t>16-04-2026</t>
        </is>
      </c>
      <c r="H374" s="10" t="inlineStr">
        <is>
          <t>16/04/2026</t>
        </is>
      </c>
      <c r="I374" s="10" t="inlineStr">
        <is>
          <t>17/03/2026</t>
        </is>
      </c>
      <c r="J374" s="10" t="inlineStr">
        <is>
          <t>Kế toán / Kiểm toán, Dược phẩm/ Hóa Mỹ Phẩm, Tài chính / Đầu tư</t>
        </is>
      </c>
      <c r="K374" s="10" t="inlineStr">
        <is>
          <t>1 - 2 Năm</t>
        </is>
      </c>
      <c r="L374" s="11">
        <f>HYPERLINK("https://careerviet.vn/vi/tim-viec-lam/ke-toan-noi-bo.35C6CF8A.html","Xem chi tiết")</f>
        <v/>
      </c>
      <c r="M374" s="10" t="n"/>
    </row>
    <row r="375">
      <c r="B375" s="7" t="n">
        <v>373</v>
      </c>
      <c r="C375" t="inlineStr">
        <is>
          <t>Nhân Viên Kỹ Thuật(Mới)</t>
        </is>
      </c>
      <c r="D375" t="inlineStr">
        <is>
          <t>CÔNG TY CỔ PHẦN THIẾT BỊ 365</t>
        </is>
      </c>
      <c r="E375" t="inlineStr">
        <is>
          <t>Lương:10 Tr - 15 Tr VND</t>
        </is>
      </c>
      <c r="F375" t="inlineStr">
        <is>
          <t>Hà Nội</t>
        </is>
      </c>
      <c r="G375" t="inlineStr">
        <is>
          <t>16-04-2026</t>
        </is>
      </c>
      <c r="H375" t="inlineStr">
        <is>
          <t>16/04/2026</t>
        </is>
      </c>
      <c r="I375" t="inlineStr">
        <is>
          <t>17/03/2026</t>
        </is>
      </c>
      <c r="J375" t="inlineStr">
        <is>
          <t>Bảo trì / Sửa chữa, Cơ khí / Ô tô / Tự động hóa, Mới tốt nghiệp / Thực tập</t>
        </is>
      </c>
      <c r="K375" t="inlineStr">
        <is>
          <t>N/A</t>
        </is>
      </c>
      <c r="L375" s="8">
        <f>HYPERLINK("https://careerviet.vn/vi/tim-viec-lam/nhan-vien-ky-thuat.35C6CF81.html","Xem chi tiết")</f>
        <v/>
      </c>
    </row>
    <row r="376">
      <c r="B376" s="9" t="n">
        <v>374</v>
      </c>
      <c r="C376" s="10" t="inlineStr">
        <is>
          <t>Giám đốc/Chuyên viên Thúc đẩy kinh doanh thanh toán số(Mới)</t>
        </is>
      </c>
      <c r="D376" s="10" t="inlineStr">
        <is>
          <t>BVBank - Ngân hàng Bản Việt</t>
        </is>
      </c>
      <c r="E376" s="10" t="inlineStr">
        <is>
          <t>Lương:Cạnh tranh</t>
        </is>
      </c>
      <c r="F376" s="10" t="inlineStr">
        <is>
          <t>Hồ Chí Minh</t>
        </is>
      </c>
      <c r="G376" s="10" t="inlineStr">
        <is>
          <t>16-04-2026</t>
        </is>
      </c>
      <c r="H376" s="10" t="inlineStr">
        <is>
          <t>16/04/2026</t>
        </is>
      </c>
      <c r="I376" s="10" t="inlineStr">
        <is>
          <t>17/03/2026</t>
        </is>
      </c>
      <c r="J376" s="10" t="inlineStr">
        <is>
          <t>Bán hàng / Kinh doanh, Ngân hàng, Tài chính / Đầu tư</t>
        </is>
      </c>
      <c r="K376" s="10" t="inlineStr">
        <is>
          <t>3 - 4 Năm</t>
        </is>
      </c>
      <c r="L376" s="11">
        <f>HYPERLINK("https://careerviet.vn/vi/tim-viec-lam/giam-doc-chuyen-vien-thuc-day-kinh-doanh-thanh-toan-so.35C6CF7B.html","Xem chi tiết")</f>
        <v/>
      </c>
      <c r="M376" s="10" t="n"/>
    </row>
    <row r="377">
      <c r="B377" s="7" t="n">
        <v>375</v>
      </c>
      <c r="C377" t="inlineStr">
        <is>
          <t>Giám đốc Cao cấp Phát triển Dự án khu vực (Project Development Director) chấp nhận đi công tác dài ngày tại nước ngoài(Mới)</t>
        </is>
      </c>
      <c r="D377" t="inlineStr">
        <is>
          <t>Tập đoàn ROX (ROX Group)</t>
        </is>
      </c>
      <c r="E377" t="inlineStr">
        <is>
          <t>Lương:Cạnh tranh</t>
        </is>
      </c>
      <c r="F377" t="inlineStr">
        <is>
          <t>Hà NộiHồ Chí Minh</t>
        </is>
      </c>
      <c r="G377" t="inlineStr">
        <is>
          <t>14-04-2026</t>
        </is>
      </c>
      <c r="H377" t="inlineStr">
        <is>
          <t>14/04/2026</t>
        </is>
      </c>
      <c r="I377" t="inlineStr">
        <is>
          <t>17/03/2026</t>
        </is>
      </c>
      <c r="J377" t="inlineStr">
        <is>
          <t>Bất động sản</t>
        </is>
      </c>
      <c r="K377" t="inlineStr">
        <is>
          <t>Trên 8 Năm</t>
        </is>
      </c>
      <c r="L377" s="8">
        <f>HYPERLINK("https://careerviet.vn/vi/tim-viec-lam/giam-doc-cao-cap-phat-trien-du-an-khu-vuc-project-development-director-chap-nhan-di-cong-tac-dai-ngay-tai-nuoc-ngoai.35C6CF7C.html","Xem chi tiết")</f>
        <v/>
      </c>
    </row>
    <row r="378">
      <c r="B378" s="9" t="n">
        <v>376</v>
      </c>
      <c r="C378" s="10" t="inlineStr">
        <is>
          <t>Lead Kỹ Thuật(Mới)</t>
        </is>
      </c>
      <c r="D378" s="10" t="inlineStr">
        <is>
          <t>CÔNG TY TNHH CÔNG NGHỆ NĂNG LƯỢNG CERGY</t>
        </is>
      </c>
      <c r="E378" s="10" t="inlineStr">
        <is>
          <t>Lương:13 Tr - 20 Tr VND</t>
        </is>
      </c>
      <c r="F378" s="10" t="inlineStr">
        <is>
          <t>Hồ Chí Minh</t>
        </is>
      </c>
      <c r="G378" s="10" t="inlineStr">
        <is>
          <t>17-04-2026</t>
        </is>
      </c>
      <c r="H378" s="10" t="inlineStr">
        <is>
          <t>17/04/2026</t>
        </is>
      </c>
      <c r="I378" s="10" t="inlineStr">
        <is>
          <t>17/03/2026</t>
        </is>
      </c>
      <c r="J378" s="10" t="inlineStr">
        <is>
          <t>Điện / Điện tử / Điện lạnh / Điện công nghiệp, Cơ khí / Ô tô / Tự động hóa, Bảo trì / Sửa chữa</t>
        </is>
      </c>
      <c r="K378" s="10" t="inlineStr">
        <is>
          <t>Trên 2 Năm</t>
        </is>
      </c>
      <c r="L378" s="11">
        <f>HYPERLINK("https://careerviet.vn/vi/tim-viec-lam/lead-ky-thuat.35C6CE30.html","Xem chi tiết")</f>
        <v/>
      </c>
      <c r="M378" s="10" t="n"/>
    </row>
    <row r="379">
      <c r="B379" s="7" t="n">
        <v>377</v>
      </c>
      <c r="C379" t="inlineStr">
        <is>
          <t>HR Admin Staff(Mới)</t>
        </is>
      </c>
      <c r="D379" t="inlineStr">
        <is>
          <t>Công ty TNHH, Liên Doanh Vĩnh Hưng (TMI Việt Nam)</t>
        </is>
      </c>
      <c r="E379" t="inlineStr">
        <is>
          <t>Lương:10 Tr - 11 Tr VND</t>
        </is>
      </c>
      <c r="F379" t="inlineStr">
        <is>
          <t>Hồ Chí Minh</t>
        </is>
      </c>
      <c r="G379" t="inlineStr">
        <is>
          <t>30-04-2026</t>
        </is>
      </c>
      <c r="H379" t="inlineStr">
        <is>
          <t>30/04/2026</t>
        </is>
      </c>
      <c r="I379" t="inlineStr">
        <is>
          <t>17/03/2026</t>
        </is>
      </c>
      <c r="J379" t="inlineStr">
        <is>
          <t>Hành chính / Thư ký, Nhân sự, Biên phiên dịch</t>
        </is>
      </c>
      <c r="K379" t="inlineStr">
        <is>
          <t>Lên đến 2 Năm</t>
        </is>
      </c>
      <c r="L379" s="8">
        <f>HYPERLINK("https://careerviet.vn/vi/tim-viec-lam/hr-admin-staff.35C6CF72.html","Xem chi tiết")</f>
        <v/>
      </c>
    </row>
    <row r="380">
      <c r="B380" s="9" t="n">
        <v>378</v>
      </c>
      <c r="C380" s="10" t="inlineStr">
        <is>
          <t>Chuyên viên cao cấp Kế toán phải trả(Mới)</t>
        </is>
      </c>
      <c r="D380" s="10" t="inlineStr">
        <is>
          <t>CÔNG TY CỔ PHẦN KINH DOANH F88</t>
        </is>
      </c>
      <c r="E380" s="10" t="inlineStr">
        <is>
          <t>Lương:Cạnh tranh</t>
        </is>
      </c>
      <c r="F380" s="10" t="inlineStr">
        <is>
          <t>Hà Nội</t>
        </is>
      </c>
      <c r="G380" s="10" t="inlineStr">
        <is>
          <t>17-04-2026</t>
        </is>
      </c>
      <c r="H380" s="10" t="inlineStr">
        <is>
          <t>17/04/2026</t>
        </is>
      </c>
      <c r="I380" s="10" t="inlineStr">
        <is>
          <t>17/03/2026</t>
        </is>
      </c>
      <c r="J380" s="10" t="inlineStr">
        <is>
          <t>Tài chính / Đầu tư, Kế toán / Kiểm toán, Ngân hàng</t>
        </is>
      </c>
      <c r="K380" s="10" t="inlineStr">
        <is>
          <t>3 - 5 Năm</t>
        </is>
      </c>
      <c r="L380" s="11">
        <f>HYPERLINK("https://careerviet.vn/vi/tim-viec-lam/chuyen-vien-cao-cap-ke-toan-phai-tra.35C6CF8C.html","Xem chi tiết")</f>
        <v/>
      </c>
      <c r="M380" s="10" t="n"/>
    </row>
    <row r="381">
      <c r="B381" s="7" t="n">
        <v>379</v>
      </c>
      <c r="C381" t="inlineStr">
        <is>
          <t>Kỹ Sư Thiết Kế Máy(Mới)</t>
        </is>
      </c>
      <c r="D381" t="inlineStr">
        <is>
          <t>Công Ty TNHH YKK Việt Nam</t>
        </is>
      </c>
      <c r="E381" t="inlineStr">
        <is>
          <t>Lương:12 Tr - 15 Tr VND</t>
        </is>
      </c>
      <c r="F381" t="inlineStr">
        <is>
          <t>Đồng Nai</t>
        </is>
      </c>
      <c r="G381" t="inlineStr">
        <is>
          <t>31-03-2026</t>
        </is>
      </c>
      <c r="H381" t="inlineStr">
        <is>
          <t>31/03/2026</t>
        </is>
      </c>
      <c r="I381" t="inlineStr">
        <is>
          <t>17/03/2026</t>
        </is>
      </c>
      <c r="J381" t="inlineStr">
        <is>
          <t>Cơ khí / Ô tô / Tự động hóa, Mỹ thuật / Nghệ thuật / Thiết kế, Mới tốt nghiệp / Thực tập</t>
        </is>
      </c>
      <c r="K381" t="inlineStr">
        <is>
          <t>N/A</t>
        </is>
      </c>
      <c r="L381" s="8">
        <f>HYPERLINK("https://careerviet.vn/vi/tim-viec-lam/ky-su-thiet-ke-may.35C6CFA8.html","Xem chi tiết")</f>
        <v/>
      </c>
    </row>
    <row r="382">
      <c r="B382" s="9" t="n">
        <v>380</v>
      </c>
      <c r="C382" s="10" t="inlineStr">
        <is>
          <t>Giám đốc Giải pháp Thanh toán số(Mới)</t>
        </is>
      </c>
      <c r="D382" s="10" t="inlineStr">
        <is>
          <t>BVBank - Ngân hàng Bản Việt</t>
        </is>
      </c>
      <c r="E382" s="10" t="inlineStr">
        <is>
          <t>Lương:Cạnh tranh</t>
        </is>
      </c>
      <c r="F382" s="10" t="inlineStr">
        <is>
          <t>Hồ Chí Minh</t>
        </is>
      </c>
      <c r="G382" s="10" t="inlineStr">
        <is>
          <t>16-04-2026</t>
        </is>
      </c>
      <c r="H382" s="10" t="inlineStr">
        <is>
          <t>16/04/2026</t>
        </is>
      </c>
      <c r="I382" s="10" t="inlineStr">
        <is>
          <t>17/03/2026</t>
        </is>
      </c>
      <c r="J382" s="10" t="inlineStr">
        <is>
          <t>Ngân hàng, Tài chính / Đầu tư</t>
        </is>
      </c>
      <c r="K382" s="10" t="inlineStr">
        <is>
          <t>3 - 5 Năm</t>
        </is>
      </c>
      <c r="L382" s="11">
        <f>HYPERLINK("https://careerviet.vn/vi/tim-viec-lam/giam-doc-giai-phap-thanh-toan-so.35C6CF74.html","Xem chi tiết")</f>
        <v/>
      </c>
      <c r="M382" s="10" t="n"/>
    </row>
    <row r="383">
      <c r="B383" s="7" t="n">
        <v>381</v>
      </c>
      <c r="C383" t="inlineStr">
        <is>
          <t>Nhân viên Hỗ trợ y tế(Mới)</t>
        </is>
      </c>
      <c r="D383" t="inlineStr">
        <is>
          <t>Trường Đại Học Văn Hiến</t>
        </is>
      </c>
      <c r="E383" t="inlineStr">
        <is>
          <t>Lương:7 Tr - 15 Tr VND</t>
        </is>
      </c>
      <c r="F383" t="inlineStr">
        <is>
          <t>Hồ Chí Minh</t>
        </is>
      </c>
      <c r="G383" t="inlineStr">
        <is>
          <t>16-04-2026</t>
        </is>
      </c>
      <c r="H383" t="inlineStr">
        <is>
          <t>16/04/2026</t>
        </is>
      </c>
      <c r="I383" t="inlineStr">
        <is>
          <t>17/03/2026</t>
        </is>
      </c>
      <c r="J383" t="inlineStr">
        <is>
          <t>Y tế / Chăm sóc sức khỏe / Thẩm mỹ / Làm đẹp</t>
        </is>
      </c>
      <c r="K383" t="inlineStr">
        <is>
          <t>1 - 3 Năm</t>
        </is>
      </c>
      <c r="L383" s="8">
        <f>HYPERLINK("https://careerviet.vn/vi/tim-viec-lam/nhan-vien-ho-tro-y-te.35C6CF52.html","Xem chi tiết")</f>
        <v/>
      </c>
    </row>
    <row r="384">
      <c r="B384" s="9" t="n">
        <v>382</v>
      </c>
      <c r="C384" s="10" t="inlineStr">
        <is>
          <t>Nhân viên Logistics(Mới)</t>
        </is>
      </c>
      <c r="D384" s="10" t="inlineStr">
        <is>
          <t>EuP Group</t>
        </is>
      </c>
      <c r="E384" s="10" t="inlineStr">
        <is>
          <t>Lương:14 Tr - 17 Tr VND</t>
        </is>
      </c>
      <c r="F384" s="10" t="inlineStr">
        <is>
          <t>Hà Nội</t>
        </is>
      </c>
      <c r="G384" s="10" t="inlineStr">
        <is>
          <t>17-04-2026</t>
        </is>
      </c>
      <c r="H384" s="10" t="inlineStr">
        <is>
          <t>17/04/2026</t>
        </is>
      </c>
      <c r="I384" s="10" t="inlineStr">
        <is>
          <t>17/03/2026</t>
        </is>
      </c>
      <c r="J384" s="10" t="inlineStr">
        <is>
          <t>Bán hàng / Kinh doanh, Xuất nhập khẩu, Quảng cáo / Đối ngoại / Truyền Thông</t>
        </is>
      </c>
      <c r="K384" s="10" t="inlineStr">
        <is>
          <t>Trên 1 Năm</t>
        </is>
      </c>
      <c r="L384" s="11">
        <f>HYPERLINK("https://careerviet.vn/vi/tim-viec-lam/nhan-vien-logistics.35C6CF73.html","Xem chi tiết")</f>
        <v/>
      </c>
      <c r="M384" s="10" t="n"/>
    </row>
    <row r="385">
      <c r="B385" s="7" t="n">
        <v>383</v>
      </c>
      <c r="C385" t="inlineStr">
        <is>
          <t>Kế toán trưởng (Ngành F&amp;B)(Mới)</t>
        </is>
      </c>
      <c r="D385" t="inlineStr">
        <is>
          <t>CÔNG TY TNHH BLUE ELATION</t>
        </is>
      </c>
      <c r="E385" t="inlineStr">
        <is>
          <t>Lương:25 Tr - 30 Tr VND</t>
        </is>
      </c>
      <c r="F385" t="inlineStr">
        <is>
          <t>Hồ Chí Minh</t>
        </is>
      </c>
      <c r="G385" t="inlineStr">
        <is>
          <t>15-04-2026</t>
        </is>
      </c>
      <c r="H385" t="inlineStr">
        <is>
          <t>15/04/2026</t>
        </is>
      </c>
      <c r="I385" t="inlineStr">
        <is>
          <t>17/03/2026</t>
        </is>
      </c>
      <c r="J385" t="inlineStr">
        <is>
          <t>Kế toán / Kiểm toán, Tài chính / Đầu tư, Nhà hàng / Khách sạn</t>
        </is>
      </c>
      <c r="K385" t="inlineStr">
        <is>
          <t>3 - 20 Năm</t>
        </is>
      </c>
      <c r="L385" s="8">
        <f>HYPERLINK("https://careerviet.vn/vi/tim-viec-lam/ke-toan-truong-nganh-f-b.35C6CF6E.html","Xem chi tiết")</f>
        <v/>
      </c>
    </row>
    <row r="386">
      <c r="B386" s="9" t="n">
        <v>384</v>
      </c>
      <c r="C386" s="10" t="inlineStr">
        <is>
          <t>Senior Sales Representative (Hoi An / Nha Trang)(Mới)</t>
        </is>
      </c>
      <c r="D386" s="10" t="inlineStr">
        <is>
          <t>CÔNG TY TNHH BIA NGŨ HÀNH</t>
        </is>
      </c>
      <c r="E386" s="10" t="inlineStr">
        <is>
          <t>Lương:Cạnh tranh</t>
        </is>
      </c>
      <c r="F386" s="10" t="inlineStr">
        <is>
          <t>Quảng NamKhánh Hòa</t>
        </is>
      </c>
      <c r="G386" s="10" t="inlineStr">
        <is>
          <t>16-04-2026</t>
        </is>
      </c>
      <c r="H386" s="10" t="inlineStr">
        <is>
          <t>16/04/2026</t>
        </is>
      </c>
      <c r="I386" s="10" t="inlineStr">
        <is>
          <t>17/03/2026</t>
        </is>
      </c>
      <c r="J386" s="10" t="inlineStr">
        <is>
          <t>Bán lẻ / Bán sỉ, Bán hàng / Kinh doanh</t>
        </is>
      </c>
      <c r="K386" s="10" t="inlineStr">
        <is>
          <t>2 - 5 Năm</t>
        </is>
      </c>
      <c r="L386" s="11">
        <f>HYPERLINK("https://careerviet.vn/vi/tim-viec-lam/senior-sales-representative-hoi-an-nha-trang.35C6CF4D.html","Xem chi tiết")</f>
        <v/>
      </c>
      <c r="M386" s="10" t="n"/>
    </row>
    <row r="387">
      <c r="B387" s="7" t="n">
        <v>385</v>
      </c>
      <c r="C387" t="inlineStr">
        <is>
          <t>Nhân viên kinh doanh(Mới)</t>
        </is>
      </c>
      <c r="D387" t="inlineStr">
        <is>
          <t>CÔNG TY TNHH THANG MÁY VÀ THIẾT BỊ NÂNG MILANO</t>
        </is>
      </c>
      <c r="E387" t="inlineStr">
        <is>
          <t>Lương:10 Tr - 30 Tr VND</t>
        </is>
      </c>
      <c r="F387" t="inlineStr">
        <is>
          <t>Hà Nội</t>
        </is>
      </c>
      <c r="G387" t="inlineStr">
        <is>
          <t>15-04-2026</t>
        </is>
      </c>
      <c r="H387" t="inlineStr">
        <is>
          <t>15/04/2026</t>
        </is>
      </c>
      <c r="I387" t="inlineStr">
        <is>
          <t>17/03/2026</t>
        </is>
      </c>
      <c r="J387" t="inlineStr">
        <is>
          <t>Bán hàng / Kinh doanh, Bán Hàng Kỹ Thuật, Xây dựng</t>
        </is>
      </c>
      <c r="K387" t="inlineStr">
        <is>
          <t>Trên 1 Năm</t>
        </is>
      </c>
      <c r="L387" s="8">
        <f>HYPERLINK("https://careerviet.vn/vi/tim-viec-lam/nhan-vien-kinh-doanh.35C6CF26.html","Xem chi tiết")</f>
        <v/>
      </c>
    </row>
    <row r="388">
      <c r="B388" s="9" t="n">
        <v>386</v>
      </c>
      <c r="C388" s="10" t="inlineStr">
        <is>
          <t>Chuyên viên Quan hệ Khách hàng Doanh nghiệp Hà Nội &amp; Miền Bắc(Mới)</t>
        </is>
      </c>
      <c r="D388" s="10" t="inlineStr">
        <is>
          <t>Ngân hàng TMCP Phát triển TP.HCM (HDBank)</t>
        </is>
      </c>
      <c r="E388" s="10" t="inlineStr">
        <is>
          <t>Lương:Cạnh tranh</t>
        </is>
      </c>
      <c r="F388" s="10" t="inlineStr">
        <is>
          <t>Hà NộiToàn quốc</t>
        </is>
      </c>
      <c r="G388" s="10" t="inlineStr">
        <is>
          <t>16-04-2026</t>
        </is>
      </c>
      <c r="H388" s="10" t="inlineStr">
        <is>
          <t>16/04/2026</t>
        </is>
      </c>
      <c r="I388" s="10" t="inlineStr">
        <is>
          <t>17/03/2026</t>
        </is>
      </c>
      <c r="J388" s="10" t="inlineStr">
        <is>
          <t>N/A</t>
        </is>
      </c>
      <c r="K388" s="10" t="inlineStr">
        <is>
          <t>N/A</t>
        </is>
      </c>
      <c r="L388" s="11">
        <f>HYPERLINK("https://careerviet.vn/vi/tim-viec-lam/chuyen-vien-quan-he-khach-hang-doanh-nghiep-ha-noi-mien-bac.35C6CF65.html","Xem chi tiết")</f>
        <v/>
      </c>
      <c r="M388" s="10" t="n"/>
    </row>
    <row r="389">
      <c r="B389" s="7" t="n">
        <v>387</v>
      </c>
      <c r="C389" t="inlineStr">
        <is>
          <t>Kế Toán Tổng Hợp(Mới)</t>
        </is>
      </c>
      <c r="D389" t="inlineStr">
        <is>
          <t>CÔNG TY TNHH Á MỸ ANH</t>
        </is>
      </c>
      <c r="E389" t="inlineStr">
        <is>
          <t>Lương:Cạnh tranh</t>
        </is>
      </c>
      <c r="F389" t="inlineStr">
        <is>
          <t>Hồ Chí Minh</t>
        </is>
      </c>
      <c r="G389" t="inlineStr">
        <is>
          <t>17-04-2026</t>
        </is>
      </c>
      <c r="H389" t="inlineStr">
        <is>
          <t>17/04/2026</t>
        </is>
      </c>
      <c r="I389" t="inlineStr">
        <is>
          <t>17/03/2026</t>
        </is>
      </c>
      <c r="J389" t="inlineStr">
        <is>
          <t>Kế toán / Kiểm toán, Giáo dục / Đào tạo, Tài chính / Đầu tư</t>
        </is>
      </c>
      <c r="K389" t="inlineStr">
        <is>
          <t>Trên 5 Năm</t>
        </is>
      </c>
      <c r="L389" s="8">
        <f>HYPERLINK("https://careerviet.vn/vi/tim-viec-lam/ke-toan-tong-hop.35C6CF40.html","Xem chi tiết")</f>
        <v/>
      </c>
    </row>
    <row r="390">
      <c r="B390" s="9" t="n">
        <v>388</v>
      </c>
      <c r="C390" s="10" t="inlineStr">
        <is>
          <t>KỸ SƯ KIỂM SOÁT CHẤT LƯỢNG(Mới)</t>
        </is>
      </c>
      <c r="D390" s="10" t="inlineStr">
        <is>
          <t>VINFAST TRADING AND PRODUCTION JSC</t>
        </is>
      </c>
      <c r="E390" s="10" t="inlineStr">
        <is>
          <t>Lương:Cạnh tranh</t>
        </is>
      </c>
      <c r="F390" s="10" t="inlineStr">
        <is>
          <t>Hà Tĩnh</t>
        </is>
      </c>
      <c r="G390" s="10" t="inlineStr">
        <is>
          <t>09-05-2026</t>
        </is>
      </c>
      <c r="H390" s="10" t="inlineStr">
        <is>
          <t>09/05/2026</t>
        </is>
      </c>
      <c r="I390" s="10" t="inlineStr">
        <is>
          <t>17/03/2026</t>
        </is>
      </c>
      <c r="J390" s="10" t="inlineStr">
        <is>
          <t>Sản xuất / Vận hành sản xuất</t>
        </is>
      </c>
      <c r="K390" s="10" t="inlineStr">
        <is>
          <t>N/A</t>
        </is>
      </c>
      <c r="L390" s="11">
        <f>HYPERLINK("https://careerviet.vn/vi/tim-viec-lam/ky-su-kiem-soat-chat-luong.35C6CF41.html","Xem chi tiết")</f>
        <v/>
      </c>
      <c r="M390" s="10" t="n"/>
    </row>
    <row r="391">
      <c r="B391" s="7" t="n">
        <v>389</v>
      </c>
      <c r="C391" t="inlineStr">
        <is>
          <t>Phó phòng Kỹ thuật (Thi công điện)(Mới)</t>
        </is>
      </c>
      <c r="D391" t="inlineStr">
        <is>
          <t>Công Ty Cổ Phần Giải Pháp Cơ Điện MES</t>
        </is>
      </c>
      <c r="E391" t="inlineStr">
        <is>
          <t>Lương:18 Tr - 22 Tr VND</t>
        </is>
      </c>
      <c r="F391" t="inlineStr">
        <is>
          <t>Bình Dương</t>
        </is>
      </c>
      <c r="G391" t="inlineStr">
        <is>
          <t>16-04-2026</t>
        </is>
      </c>
      <c r="H391" t="inlineStr">
        <is>
          <t>16/04/2026</t>
        </is>
      </c>
      <c r="I391" t="inlineStr">
        <is>
          <t>17/03/2026</t>
        </is>
      </c>
      <c r="J391" t="inlineStr">
        <is>
          <t>Điện / Điện tử / Điện lạnh / Điện công nghiệp, Xây dựng, Quản lý điều hành</t>
        </is>
      </c>
      <c r="K391" t="inlineStr">
        <is>
          <t>3 - 5 Năm</t>
        </is>
      </c>
      <c r="L391" s="8">
        <f>HYPERLINK("https://careerviet.vn/vi/tim-viec-lam/pho-phong-ky-thuat-thi-cong-dien.35C6CF50.html","Xem chi tiết")</f>
        <v/>
      </c>
    </row>
    <row r="392">
      <c r="B392" s="9" t="n">
        <v>390</v>
      </c>
      <c r="C392" s="10" t="inlineStr">
        <is>
          <t>Trưởng Nhóm Thương Hiệu(Mới)</t>
        </is>
      </c>
      <c r="D392" s="10" t="inlineStr">
        <is>
          <t>CÔNG TY TNHH DRAHO VIỆT NAM</t>
        </is>
      </c>
      <c r="E392" s="10" t="inlineStr">
        <is>
          <t>Lương:14 Tr - 17 Tr VND</t>
        </is>
      </c>
      <c r="F392" s="10" t="inlineStr">
        <is>
          <t>Hà Nội</t>
        </is>
      </c>
      <c r="G392" s="10" t="inlineStr">
        <is>
          <t>17-04-2026</t>
        </is>
      </c>
      <c r="H392" s="10" t="inlineStr">
        <is>
          <t>17/04/2026</t>
        </is>
      </c>
      <c r="I392" s="10" t="inlineStr">
        <is>
          <t>17/03/2026</t>
        </is>
      </c>
      <c r="J392" s="10" t="inlineStr">
        <is>
          <t>Tiếp thị / Marketing, Quảng cáo / Đối ngoại / Truyền Thông, Tiếp thị trực tuyến</t>
        </is>
      </c>
      <c r="K392" s="10" t="inlineStr">
        <is>
          <t>Trên 2 Năm</t>
        </is>
      </c>
      <c r="L392" s="11">
        <f>HYPERLINK("https://careerviet.vn/vi/tim-viec-lam/truong-nhom-thuong-hieu.35C6CF1D.html","Xem chi tiết")</f>
        <v/>
      </c>
      <c r="M392" s="10" t="n"/>
    </row>
    <row r="393">
      <c r="B393" s="7" t="n">
        <v>391</v>
      </c>
      <c r="C393" t="inlineStr">
        <is>
          <t>Nhân viên An toàn/HSE Staff(Mới)</t>
        </is>
      </c>
      <c r="D393" t="inlineStr">
        <is>
          <t>CÔNG TY TNHH NĂNG LƯỢNG XANH IDEMITSU VIỆT NAM</t>
        </is>
      </c>
      <c r="E393" t="inlineStr">
        <is>
          <t>Lương:Cạnh tranh</t>
        </is>
      </c>
      <c r="F393" t="inlineStr">
        <is>
          <t>Bình Định</t>
        </is>
      </c>
      <c r="G393" t="inlineStr">
        <is>
          <t>16-04-2026</t>
        </is>
      </c>
      <c r="H393" t="inlineStr">
        <is>
          <t>16/04/2026</t>
        </is>
      </c>
      <c r="I393" t="inlineStr">
        <is>
          <t>17/03/2026</t>
        </is>
      </c>
      <c r="J393" t="inlineStr">
        <is>
          <t>N/A</t>
        </is>
      </c>
      <c r="K393" t="inlineStr">
        <is>
          <t>N/A</t>
        </is>
      </c>
      <c r="L393" s="8">
        <f>HYPERLINK("https://careerviet.vn/vi/tim-viec-lam/nhan-vien-an-toan-hse-staff.35C6CF5D.html","Xem chi tiết")</f>
        <v/>
      </c>
    </row>
    <row r="394">
      <c r="B394" s="9" t="n">
        <v>392</v>
      </c>
      <c r="C394" s="10" t="inlineStr">
        <is>
          <t>Content Creator(Mới)</t>
        </is>
      </c>
      <c r="D394" s="10" t="inlineStr">
        <is>
          <t>CÔNG TY TNHH DRAHO VIỆT NAM</t>
        </is>
      </c>
      <c r="E394" s="10" t="inlineStr">
        <is>
          <t>Lương:9 Tr - 11 Tr VND</t>
        </is>
      </c>
      <c r="F394" s="10" t="inlineStr">
        <is>
          <t>Hà Nội</t>
        </is>
      </c>
      <c r="G394" s="10" t="inlineStr">
        <is>
          <t>17-04-2026</t>
        </is>
      </c>
      <c r="H394" s="10" t="inlineStr">
        <is>
          <t>17/04/2026</t>
        </is>
      </c>
      <c r="I394" s="10" t="inlineStr">
        <is>
          <t>17/03/2026</t>
        </is>
      </c>
      <c r="J394" s="10" t="inlineStr">
        <is>
          <t>Tiếp thị / Marketing, Quảng cáo / Đối ngoại / Truyền Thông, Tiếp thị trực tuyến</t>
        </is>
      </c>
      <c r="K394" s="10" t="inlineStr">
        <is>
          <t>Trên 1 Năm</t>
        </is>
      </c>
      <c r="L394" s="11">
        <f>HYPERLINK("https://careerviet.vn/vi/tim-viec-lam/content-creator.35C6CF20.html","Xem chi tiết")</f>
        <v/>
      </c>
      <c r="M394" s="10" t="n"/>
    </row>
    <row r="395">
      <c r="B395" s="7" t="n">
        <v>393</v>
      </c>
      <c r="C395" t="inlineStr">
        <is>
          <t>Chuyên Viên Kế Toán Thuế - Lương Từ 15 Đến 20 Triệu/Tháng(Mới)</t>
        </is>
      </c>
      <c r="D395" t="inlineStr">
        <is>
          <t>Công Ty CP Giáo Dục Đại Dương</t>
        </is>
      </c>
      <c r="E395" t="inlineStr">
        <is>
          <t>Lương:Cạnh tranh</t>
        </is>
      </c>
      <c r="F395" t="inlineStr">
        <is>
          <t>Hà Nội</t>
        </is>
      </c>
      <c r="G395" t="inlineStr">
        <is>
          <t>16-04-2026</t>
        </is>
      </c>
      <c r="H395" t="inlineStr">
        <is>
          <t>16/04/2026</t>
        </is>
      </c>
      <c r="I395" t="inlineStr">
        <is>
          <t>17/03/2026</t>
        </is>
      </c>
      <c r="J395" t="inlineStr">
        <is>
          <t>Kế toán / Kiểm toán, Giáo dục / Đào tạo, Tài chính / Đầu tư</t>
        </is>
      </c>
      <c r="K395" t="inlineStr">
        <is>
          <t>Trên 2 Năm</t>
        </is>
      </c>
      <c r="L395" s="8">
        <f>HYPERLINK("https://careerviet.vn/vi/tim-viec-lam/chuyen-vien-ke-toan-thue-luong-tu-15-den-20-trieu-thang.35C6CF57.html","Xem chi tiết")</f>
        <v/>
      </c>
    </row>
    <row r="396">
      <c r="B396" s="9" t="n">
        <v>394</v>
      </c>
      <c r="C396" s="10" t="inlineStr">
        <is>
          <t>KẾ TOÁN BÁN HÀNG - CÔNG NỢ(Mới)</t>
        </is>
      </c>
      <c r="D396" s="10" t="inlineStr">
        <is>
          <t>CTY TNHH KIÊN THÀNH TÍN</t>
        </is>
      </c>
      <c r="E396" s="10" t="inlineStr">
        <is>
          <t>Lương:10 Tr - 12 Tr VND</t>
        </is>
      </c>
      <c r="F396" s="10" t="inlineStr">
        <is>
          <t>Hồ Chí Minh</t>
        </is>
      </c>
      <c r="G396" s="10" t="inlineStr">
        <is>
          <t>30-04-2026</t>
        </is>
      </c>
      <c r="H396" s="10" t="inlineStr">
        <is>
          <t>30/04/2026</t>
        </is>
      </c>
      <c r="I396" s="10" t="inlineStr">
        <is>
          <t>17/03/2026</t>
        </is>
      </c>
      <c r="J396" s="10" t="inlineStr">
        <is>
          <t>Kế toán / Kiểm toán, Bán Hàng Kỹ Thuật, Xuất nhập khẩu</t>
        </is>
      </c>
      <c r="K396" s="10" t="inlineStr">
        <is>
          <t>1 - 3 Năm</t>
        </is>
      </c>
      <c r="L396" s="11">
        <f>HYPERLINK("https://careerviet.vn/vi/tim-viec-lam/ke-toan-ban-hang-cong-no.35C6CF4A.html","Xem chi tiết")</f>
        <v/>
      </c>
      <c r="M396" s="10" t="n"/>
    </row>
    <row r="397">
      <c r="B397" s="7" t="n">
        <v>395</v>
      </c>
      <c r="C397" t="inlineStr">
        <is>
          <t>Kế toán tổng hợp kiêm kế toán thuế(Mới)</t>
        </is>
      </c>
      <c r="D397" t="inlineStr">
        <is>
          <t>Công Ty Cổ Phần Decox</t>
        </is>
      </c>
      <c r="E397" t="inlineStr">
        <is>
          <t>Lương:17 Tr - 25 Tr VND</t>
        </is>
      </c>
      <c r="F397" t="inlineStr">
        <is>
          <t>Hồ Chí Minh</t>
        </is>
      </c>
      <c r="G397" t="inlineStr">
        <is>
          <t>16-04-2026</t>
        </is>
      </c>
      <c r="H397" t="inlineStr">
        <is>
          <t>16/04/2026</t>
        </is>
      </c>
      <c r="I397" t="inlineStr">
        <is>
          <t>17/03/2026</t>
        </is>
      </c>
      <c r="J397" t="inlineStr">
        <is>
          <t>Kế toán / Kiểm toán</t>
        </is>
      </c>
      <c r="K397" t="inlineStr">
        <is>
          <t>3 - 5 Năm</t>
        </is>
      </c>
      <c r="L397" s="8">
        <f>HYPERLINK("https://careerviet.vn/vi/tim-viec-lam/ke-toan-tong-hop-kiem-ke-toan-thue.35C6CF39.html","Xem chi tiết")</f>
        <v/>
      </c>
    </row>
    <row r="398">
      <c r="B398" s="9" t="n">
        <v>396</v>
      </c>
      <c r="C398" s="10" t="inlineStr">
        <is>
          <t>NHÂN VIÊN TUYỂN DỤNG ( Đồng Nai / Bình Phước )(Mới)</t>
        </is>
      </c>
      <c r="D398" s="10" t="inlineStr">
        <is>
          <t>CÔNG TY TNHH HUMAN POWER</t>
        </is>
      </c>
      <c r="E398" s="10" t="inlineStr">
        <is>
          <t>Lương:Cạnh tranh</t>
        </is>
      </c>
      <c r="F398" s="10" t="inlineStr">
        <is>
          <t>Đồng NaiBình Phước</t>
        </is>
      </c>
      <c r="G398" s="10" t="inlineStr">
        <is>
          <t>30-04-2026</t>
        </is>
      </c>
      <c r="H398" s="10" t="inlineStr">
        <is>
          <t>30/04/2026</t>
        </is>
      </c>
      <c r="I398" s="10" t="inlineStr">
        <is>
          <t>17/03/2026</t>
        </is>
      </c>
      <c r="J398" s="10" t="inlineStr">
        <is>
          <t>Nhân sự, Hành chính / Thư ký, Dịch vụ khách hàng</t>
        </is>
      </c>
      <c r="K398" s="10" t="inlineStr">
        <is>
          <t>Lên đến 1 Năm</t>
        </is>
      </c>
      <c r="L398" s="11">
        <f>HYPERLINK("https://careerviet.vn/vi/tim-viec-lam/nhan-vien-tuyen-dung-dong-nai-binh-phuoc.35C6CDD3.html","Xem chi tiết")</f>
        <v/>
      </c>
      <c r="M398" s="10" t="n"/>
    </row>
    <row r="399">
      <c r="B399" s="7" t="n">
        <v>397</v>
      </c>
      <c r="C399" t="inlineStr">
        <is>
          <t>Thư ký Văn phòng Hội đồng Quản trị(Mới)</t>
        </is>
      </c>
      <c r="D399" t="inlineStr">
        <is>
          <t>Ngân Hàng TMCP Quốc Dân (NCB)</t>
        </is>
      </c>
      <c r="E399" t="inlineStr">
        <is>
          <t>Lương:Cạnh tranh</t>
        </is>
      </c>
      <c r="F399" t="inlineStr">
        <is>
          <t>Hà Nội</t>
        </is>
      </c>
      <c r="G399" t="inlineStr">
        <is>
          <t>17-04-2026</t>
        </is>
      </c>
      <c r="H399" t="inlineStr">
        <is>
          <t>17/04/2026</t>
        </is>
      </c>
      <c r="I399" t="inlineStr">
        <is>
          <t>17/03/2026</t>
        </is>
      </c>
      <c r="J399" t="inlineStr">
        <is>
          <t>Tài chính / Đầu tư, Hành chính / Thư ký, Ngân hàng</t>
        </is>
      </c>
      <c r="K399" t="inlineStr">
        <is>
          <t>Trên 1 Năm</t>
        </is>
      </c>
      <c r="L399" s="8">
        <f>HYPERLINK("https://careerviet.vn/vi/tim-viec-lam/thu-ky-van-phong-hoi-dong-quan-tri.35C6CF54.html","Xem chi tiết")</f>
        <v/>
      </c>
    </row>
    <row r="400">
      <c r="B400" s="9" t="n">
        <v>398</v>
      </c>
      <c r="C400" s="10" t="inlineStr">
        <is>
          <t>Tài xế Giám Đốc - Quận 7(Mới)</t>
        </is>
      </c>
      <c r="D400" s="10" t="inlineStr">
        <is>
          <t>Francia Beauty Co., Ltd.</t>
        </is>
      </c>
      <c r="E400" s="10" t="inlineStr">
        <is>
          <t>Lương:15 Tr - 16 Tr VND</t>
        </is>
      </c>
      <c r="F400" s="10" t="inlineStr">
        <is>
          <t>Hồ Chí Minh</t>
        </is>
      </c>
      <c r="G400" s="10" t="inlineStr">
        <is>
          <t>31-03-2026</t>
        </is>
      </c>
      <c r="H400" s="10" t="inlineStr">
        <is>
          <t>31/03/2026</t>
        </is>
      </c>
      <c r="I400" s="10" t="inlineStr">
        <is>
          <t>17/03/2026</t>
        </is>
      </c>
      <c r="J400" s="10" t="inlineStr">
        <is>
          <t>Ngành khác</t>
        </is>
      </c>
      <c r="K400" s="10" t="inlineStr">
        <is>
          <t>10 - 20 Năm</t>
        </is>
      </c>
      <c r="L400" s="11">
        <f>HYPERLINK("https://careerviet.vn/vi/tim-viec-lam/tai-xe-giam-doc-quan-7.35C6CF3D.html","Xem chi tiết")</f>
        <v/>
      </c>
      <c r="M400" s="10" t="n"/>
    </row>
    <row r="401">
      <c r="B401" s="7" t="n">
        <v>399</v>
      </c>
      <c r="C401" t="inlineStr">
        <is>
          <t>Sales Supervisor - Livestock(Mới)</t>
        </is>
      </c>
      <c r="D401" t="inlineStr">
        <is>
          <t>CÔNG TY TNHH ARCHER DANIELS MIDLAND VN</t>
        </is>
      </c>
      <c r="E401" t="inlineStr">
        <is>
          <t>Lương:Cạnh tranh</t>
        </is>
      </c>
      <c r="F401" t="inlineStr">
        <is>
          <t>Dak Lak</t>
        </is>
      </c>
      <c r="G401" t="inlineStr">
        <is>
          <t>15-04-2026</t>
        </is>
      </c>
      <c r="H401" t="inlineStr">
        <is>
          <t>15/04/2026</t>
        </is>
      </c>
      <c r="I401" t="inlineStr">
        <is>
          <t>17/03/2026</t>
        </is>
      </c>
      <c r="J401" t="inlineStr">
        <is>
          <t>Bán hàng / Kinh doanh</t>
        </is>
      </c>
      <c r="K401" t="inlineStr">
        <is>
          <t>3 - 5 Năm</t>
        </is>
      </c>
      <c r="L401" s="8">
        <f>HYPERLINK("https://careerviet.vn/vi/tim-viec-lam/sales-supervisor-livestock.35C6CF45.html","Xem chi tiết")</f>
        <v/>
      </c>
    </row>
    <row r="402">
      <c r="B402" s="9" t="n">
        <v>400</v>
      </c>
      <c r="C402" s="10" t="inlineStr">
        <is>
          <t>Chuyên Viên Tuyển Dụng</t>
        </is>
      </c>
      <c r="D402" s="10" t="inlineStr">
        <is>
          <t>(Nhựa Đồng Nai) - CÔNG TY CỔ PHẦN DNP HOLDING</t>
        </is>
      </c>
      <c r="E402" s="10" t="inlineStr">
        <is>
          <t>Lương:12 Tr - 16 Tr VND</t>
        </is>
      </c>
      <c r="F402" s="10" t="inlineStr">
        <is>
          <t>Bà Rịa - Vũng Tàu</t>
        </is>
      </c>
      <c r="G402" s="10" t="inlineStr">
        <is>
          <t>11-04-2026</t>
        </is>
      </c>
      <c r="H402" s="10" t="inlineStr">
        <is>
          <t>11/04/2026</t>
        </is>
      </c>
      <c r="I402" s="10" t="inlineStr">
        <is>
          <t>17/03/2026</t>
        </is>
      </c>
      <c r="J402" s="10" t="inlineStr">
        <is>
          <t>Nhân sự</t>
        </is>
      </c>
      <c r="K402" s="10" t="inlineStr">
        <is>
          <t>1 - 2 Năm</t>
        </is>
      </c>
      <c r="L402" s="11">
        <f>HYPERLINK("https://careerviet.vn/vi/tim-viec-lam/chuyen-vien-tuyen-dung.35C6B23F.html","Xem chi tiết")</f>
        <v/>
      </c>
      <c r="M402" s="10" t="n"/>
    </row>
    <row r="403">
      <c r="B403" s="7" t="n">
        <v>401</v>
      </c>
      <c r="C403" t="inlineStr">
        <is>
          <t>TRỢ LÝ CHI NHÁNH</t>
        </is>
      </c>
      <c r="D403" t="inlineStr">
        <is>
          <t>CÔNG TY CỔ PHẦN TẬP ĐOÀN THIÊN KHÔI – CHI NHÁNH HỒ CHÍ MINH</t>
        </is>
      </c>
      <c r="E403" t="inlineStr">
        <is>
          <t>Lương:12 Tr - 14 Tr VND</t>
        </is>
      </c>
      <c r="F403" t="inlineStr">
        <is>
          <t>Hồ Chí Minh</t>
        </is>
      </c>
      <c r="G403" t="inlineStr">
        <is>
          <t>05-04-2026</t>
        </is>
      </c>
      <c r="H403" t="inlineStr">
        <is>
          <t>05/04/2026</t>
        </is>
      </c>
      <c r="I403" t="inlineStr">
        <is>
          <t>17/03/2026</t>
        </is>
      </c>
      <c r="J403" t="inlineStr">
        <is>
          <t>Nhân sự, Hành chính / Thư ký, Bất động sản</t>
        </is>
      </c>
      <c r="K403" t="inlineStr">
        <is>
          <t>1 - 3 Năm</t>
        </is>
      </c>
      <c r="L403" s="8">
        <f>HYPERLINK("https://careerviet.vn/vi/tim-viec-lam/tro-ly-chi-nhanh.35C6B134.html","Xem chi tiết")</f>
        <v/>
      </c>
    </row>
    <row r="404">
      <c r="B404" s="9" t="n">
        <v>402</v>
      </c>
      <c r="C404" s="10" t="inlineStr">
        <is>
          <t>Nhân Viên Theo Dõi Đơn Hàng</t>
        </is>
      </c>
      <c r="D404" s="10" t="inlineStr">
        <is>
          <t>Công ty TNHH  May Oasis</t>
        </is>
      </c>
      <c r="E404" s="10" t="inlineStr">
        <is>
          <t>Lương:12 Tr - 20 Tr VND</t>
        </is>
      </c>
      <c r="F404" s="10" t="inlineStr">
        <is>
          <t>Hồ Chí Minh</t>
        </is>
      </c>
      <c r="G404" s="10" t="inlineStr">
        <is>
          <t>04-04-2026</t>
        </is>
      </c>
      <c r="H404" s="10" t="inlineStr">
        <is>
          <t>04/04/2026</t>
        </is>
      </c>
      <c r="I404" s="10" t="inlineStr">
        <is>
          <t>17/03/2026</t>
        </is>
      </c>
      <c r="J404" s="10" t="inlineStr">
        <is>
          <t>Dệt may / Da giày / Thời trang, Quản lý chất lượng (QA/QC), Xuất nhập khẩu</t>
        </is>
      </c>
      <c r="K404" s="10" t="inlineStr">
        <is>
          <t>1 - 5 Năm</t>
        </is>
      </c>
      <c r="L404" s="11">
        <f>HYPERLINK("https://careerviet.vn/vi/tim-viec-lam/nhan-vien-theo-doi-don-hang.35C6B1F1.html","Xem chi tiết")</f>
        <v/>
      </c>
      <c r="M404" s="10" t="n"/>
    </row>
    <row r="405">
      <c r="B405" s="7" t="n">
        <v>403</v>
      </c>
      <c r="C405" t="inlineStr">
        <is>
          <t>Chăm Sóc Khách Hàng - Thu nhập 10-15 triệu - 1 năm Kinh nghiệm</t>
        </is>
      </c>
      <c r="D405" t="inlineStr">
        <is>
          <t>Công ty CP Dược Phẩm Thái Minh</t>
        </is>
      </c>
      <c r="E405" t="inlineStr">
        <is>
          <t>Lương:10 Tr - 15 Tr VND</t>
        </is>
      </c>
      <c r="F405" t="inlineStr">
        <is>
          <t>Hà Nội</t>
        </is>
      </c>
      <c r="G405" t="inlineStr">
        <is>
          <t>05-04-2026</t>
        </is>
      </c>
      <c r="H405" t="inlineStr">
        <is>
          <t>05/04/2026</t>
        </is>
      </c>
      <c r="I405" t="inlineStr">
        <is>
          <t>17/03/2026</t>
        </is>
      </c>
      <c r="J405" t="inlineStr">
        <is>
          <t>Tư vấn, Dược phẩm/ Hóa Mỹ Phẩm, Bán hàng / Kinh doanh</t>
        </is>
      </c>
      <c r="K405" t="inlineStr">
        <is>
          <t>N/A</t>
        </is>
      </c>
      <c r="L405" s="8">
        <f>HYPERLINK("https://careerviet.vn/vi/tim-viec-lam/cham-soc-khach-hang-thu-nhap-10-15-trieu-1-nam-kinh-nghiem.35C6B0D4.html","Xem chi tiết")</f>
        <v/>
      </c>
    </row>
    <row r="406">
      <c r="B406" s="9" t="n">
        <v>404</v>
      </c>
      <c r="C406" s="10" t="inlineStr">
        <is>
          <t>Chuyên Viên Phát Triển Kinh Doanh Dự Án Dân Dụng</t>
        </is>
      </c>
      <c r="D406" s="10" t="inlineStr">
        <is>
          <t>(Nhựa Đồng Nai) - CÔNG TY CỔ PHẦN DNP HOLDING</t>
        </is>
      </c>
      <c r="E406" s="10" t="inlineStr">
        <is>
          <t>Lương:15 Tr - 30 Tr VND</t>
        </is>
      </c>
      <c r="F406" s="10" t="inlineStr">
        <is>
          <t>Hồ Chí MinhĐà NẵngHà Nội</t>
        </is>
      </c>
      <c r="G406" s="10" t="inlineStr">
        <is>
          <t>11-04-2026</t>
        </is>
      </c>
      <c r="H406" s="10" t="inlineStr">
        <is>
          <t>11/04/2026</t>
        </is>
      </c>
      <c r="I406" s="10" t="inlineStr">
        <is>
          <t>17/03/2026</t>
        </is>
      </c>
      <c r="J406" s="10" t="inlineStr">
        <is>
          <t>Bán hàng / Kinh doanh, Xây dựng</t>
        </is>
      </c>
      <c r="K406" s="10" t="inlineStr">
        <is>
          <t>1 - 2 Năm</t>
        </is>
      </c>
      <c r="L406" s="11">
        <f>HYPERLINK("https://careerviet.vn/vi/tim-viec-lam/chuyen-vien-phat-trien-kinh-doanh-du-an-dan-dung.35C6B158.html","Xem chi tiết")</f>
        <v/>
      </c>
      <c r="M406" s="10" t="n"/>
    </row>
    <row r="407">
      <c r="B407" s="7" t="n">
        <v>405</v>
      </c>
      <c r="C407" t="inlineStr">
        <is>
          <t>Kỹ Sư Shop Drawing(Mới)</t>
        </is>
      </c>
      <c r="D407" t="inlineStr">
        <is>
          <t>Công ty Cổ phần Xây dựng CBC</t>
        </is>
      </c>
      <c r="E407" t="inlineStr">
        <is>
          <t>Lương:15 Tr - 22 Tr VND</t>
        </is>
      </c>
      <c r="F407" t="inlineStr">
        <is>
          <t>Hồ Chí MinhQuảng Ninh</t>
        </is>
      </c>
      <c r="G407" t="inlineStr">
        <is>
          <t>30-04-2026</t>
        </is>
      </c>
      <c r="H407" t="inlineStr">
        <is>
          <t>30/04/2026</t>
        </is>
      </c>
      <c r="I407" t="inlineStr">
        <is>
          <t>17/03/2026</t>
        </is>
      </c>
      <c r="J407" t="inlineStr">
        <is>
          <t>Xây dựng</t>
        </is>
      </c>
      <c r="K407" t="inlineStr">
        <is>
          <t>1 - 2 Năm</t>
        </is>
      </c>
      <c r="L407" s="8">
        <f>HYPERLINK("https://careerviet.vn/vi/tim-viec-lam/ky-su-shop-drawing.35C6CF36.html","Xem chi tiết")</f>
        <v/>
      </c>
    </row>
    <row r="408">
      <c r="B408" s="9" t="n">
        <v>406</v>
      </c>
      <c r="C408" s="10" t="inlineStr">
        <is>
          <t>Kế Toán Tổng Hợp</t>
        </is>
      </c>
      <c r="D408" s="10" t="inlineStr">
        <is>
          <t>VINCY - Công Ty TNHH TM - SX Hồ Nguyễn</t>
        </is>
      </c>
      <c r="E408" s="10" t="inlineStr">
        <is>
          <t>Lương:18 Tr - 25 Tr VND</t>
        </is>
      </c>
      <c r="F408" s="10" t="inlineStr">
        <is>
          <t>Hồ Chí Minh</t>
        </is>
      </c>
      <c r="G408" s="10" t="inlineStr">
        <is>
          <t>31-03-2026</t>
        </is>
      </c>
      <c r="H408" s="10" t="inlineStr">
        <is>
          <t>31/03/2026</t>
        </is>
      </c>
      <c r="I408" s="10" t="inlineStr">
        <is>
          <t>17/03/2026</t>
        </is>
      </c>
      <c r="J408" s="10" t="inlineStr">
        <is>
          <t>Kế toán / Kiểm toán, Thương mại điện tử, Hành chính / Thư ký</t>
        </is>
      </c>
      <c r="K408" s="10" t="inlineStr">
        <is>
          <t>Trên 5 Năm</t>
        </is>
      </c>
      <c r="L408" s="11">
        <f>HYPERLINK("https://careerviet.vn/vi/tim-viec-lam/ke-toan-tong-hop.35C6AFF4.html","Xem chi tiết")</f>
        <v/>
      </c>
      <c r="M408" s="10" t="n"/>
    </row>
    <row r="409">
      <c r="B409" s="7" t="n">
        <v>407</v>
      </c>
      <c r="C409" t="inlineStr">
        <is>
          <t>Nhân viên QA &amp; Quản lý Kho</t>
        </is>
      </c>
      <c r="D409" t="inlineStr">
        <is>
          <t>CÔNG TY TNHH HIGHLAND FRUIT</t>
        </is>
      </c>
      <c r="E409" t="inlineStr">
        <is>
          <t>Lương:Trên 10 Tr VND</t>
        </is>
      </c>
      <c r="F409" t="inlineStr">
        <is>
          <t>Hồ Chí Minh</t>
        </is>
      </c>
      <c r="G409" t="inlineStr">
        <is>
          <t>05-04-2026</t>
        </is>
      </c>
      <c r="H409" t="inlineStr">
        <is>
          <t>05/04/2026</t>
        </is>
      </c>
      <c r="I409" t="inlineStr">
        <is>
          <t>17/03/2026</t>
        </is>
      </c>
      <c r="J409" t="inlineStr">
        <is>
          <t>Quản lý chất lượng (QA/QC), Vận chuyển / Giao nhận / Kho vận, Thực phẩm &amp; Đồ uống</t>
        </is>
      </c>
      <c r="K409" t="inlineStr">
        <is>
          <t>2 - 3 Năm</t>
        </is>
      </c>
      <c r="L409" s="8">
        <f>HYPERLINK("https://careerviet.vn/vi/tim-viec-lam/nhan-vien-qa-quan-ly-kho.35C6B170.html","Xem chi tiết")</f>
        <v/>
      </c>
    </row>
    <row r="410">
      <c r="B410" s="9" t="n">
        <v>408</v>
      </c>
      <c r="C410" s="10" t="inlineStr">
        <is>
          <t>Tư vấn viên</t>
        </is>
      </c>
      <c r="D410" s="10" t="inlineStr">
        <is>
          <t>CÔNG TY TNHH MTV CHẾ TÁC VÀ KINH DOANH TRANG SỨC PNJ</t>
        </is>
      </c>
      <c r="E410" s="10" t="inlineStr">
        <is>
          <t>Lương:10 Tr - 12 Tr VND</t>
        </is>
      </c>
      <c r="F410" s="10" t="inlineStr">
        <is>
          <t>Hồ Chí Minh</t>
        </is>
      </c>
      <c r="G410" s="10" t="inlineStr">
        <is>
          <t>31-03-2026</t>
        </is>
      </c>
      <c r="H410" s="10" t="inlineStr">
        <is>
          <t>31/03/2026</t>
        </is>
      </c>
      <c r="I410" s="10" t="inlineStr">
        <is>
          <t>17/03/2026</t>
        </is>
      </c>
      <c r="J410" s="10" t="inlineStr">
        <is>
          <t>Bán lẻ / Bán sỉ, Bán hàng / Kinh doanh, Tư vấn</t>
        </is>
      </c>
      <c r="K410" s="10" t="inlineStr">
        <is>
          <t>1 - 2 Năm</t>
        </is>
      </c>
      <c r="L410" s="11">
        <f>HYPERLINK("https://careerviet.vn/vi/tim-viec-lam/tu-van-vien.35C6AF62.html","Xem chi tiết")</f>
        <v/>
      </c>
      <c r="M410" s="10" t="n"/>
    </row>
    <row r="411">
      <c r="B411" s="7" t="n">
        <v>409</v>
      </c>
      <c r="C411" t="inlineStr">
        <is>
          <t>Chuyên Viên Kinh Doanh Dự Án Dân Dụng</t>
        </is>
      </c>
      <c r="D411" t="inlineStr">
        <is>
          <t>(Nhựa Đồng Nai) - CÔNG TY CỔ PHẦN DNP HOLDING</t>
        </is>
      </c>
      <c r="E411" t="inlineStr">
        <is>
          <t>Lương:15 Tr - 30 Tr VND</t>
        </is>
      </c>
      <c r="F411" t="inlineStr">
        <is>
          <t>Hồ Chí MinhĐà Nẵng</t>
        </is>
      </c>
      <c r="G411" t="inlineStr">
        <is>
          <t>11-04-2026</t>
        </is>
      </c>
      <c r="H411" t="inlineStr">
        <is>
          <t>11/04/2026</t>
        </is>
      </c>
      <c r="I411" t="inlineStr">
        <is>
          <t>17/03/2026</t>
        </is>
      </c>
      <c r="J411" t="inlineStr">
        <is>
          <t>Bán hàng / Kinh doanh, Xây dựng</t>
        </is>
      </c>
      <c r="K411" t="inlineStr">
        <is>
          <t>1 - 2 Năm</t>
        </is>
      </c>
      <c r="L411" s="8">
        <f>HYPERLINK("https://careerviet.vn/vi/tim-viec-lam/chuyen-vien-kinh-doanh-du-an-dan-dung.35C6B16C.html","Xem chi tiết")</f>
        <v/>
      </c>
    </row>
    <row r="412">
      <c r="B412" s="9" t="n">
        <v>410</v>
      </c>
      <c r="C412" s="10" t="inlineStr">
        <is>
          <t>Kỹ Sư Giám Sát Thi Công</t>
        </is>
      </c>
      <c r="D412" s="10" t="inlineStr">
        <is>
          <t>CÔNG TY TNHH THƯƠNG MẠI XÂY DỰNG VÀ PCCC TÂN HOÀNG THỊNH</t>
        </is>
      </c>
      <c r="E412" s="10" t="inlineStr">
        <is>
          <t>Lương:20 Tr - 45 Tr VND</t>
        </is>
      </c>
      <c r="F412" s="10" t="inlineStr">
        <is>
          <t>Hồ Chí MinhBình DươngĐồng Nai</t>
        </is>
      </c>
      <c r="G412" s="10" t="inlineStr">
        <is>
          <t>09-04-2026</t>
        </is>
      </c>
      <c r="H412" s="10" t="inlineStr">
        <is>
          <t>09/04/2026</t>
        </is>
      </c>
      <c r="I412" s="10" t="inlineStr">
        <is>
          <t>17/03/2026</t>
        </is>
      </c>
      <c r="J412" s="10" t="inlineStr">
        <is>
          <t>Kiến trúc, Xây dựng, Bất động sản</t>
        </is>
      </c>
      <c r="K412" s="10" t="inlineStr">
        <is>
          <t>Trên 3 Năm</t>
        </is>
      </c>
      <c r="L412" s="11">
        <f>HYPERLINK("https://careerviet.vn/vi/tim-viec-lam/ky-su-giam-sat-thi-cong.35C6B227.html","Xem chi tiết")</f>
        <v/>
      </c>
      <c r="M412" s="10" t="n"/>
    </row>
    <row r="413">
      <c r="B413" s="7" t="n">
        <v>411</v>
      </c>
      <c r="C413" t="inlineStr">
        <is>
          <t>Kỹ Thuật Viên Lắp Đặt &amp; Bảo Hành</t>
        </is>
      </c>
      <c r="D413" t="inlineStr">
        <is>
          <t>CÔNG TY TNHH SẢN XUẤT- THƯƠNG MẠI- DỊCH VỤ ĐÀI PHONG</t>
        </is>
      </c>
      <c r="E413" t="inlineStr">
        <is>
          <t>Lương:Cạnh tranh</t>
        </is>
      </c>
      <c r="F413" t="inlineStr">
        <is>
          <t>Hồ Chí Minh</t>
        </is>
      </c>
      <c r="G413" t="inlineStr">
        <is>
          <t>05-04-2026</t>
        </is>
      </c>
      <c r="H413" t="inlineStr">
        <is>
          <t>05/04/2026</t>
        </is>
      </c>
      <c r="I413" t="inlineStr">
        <is>
          <t>17/03/2026</t>
        </is>
      </c>
      <c r="J413" t="inlineStr">
        <is>
          <t>Cơ khí / Ô tô / Tự động hóa, Bảo trì / Sửa chữa, Lao động phổ thông</t>
        </is>
      </c>
      <c r="K413" t="inlineStr">
        <is>
          <t>N/A</t>
        </is>
      </c>
      <c r="L413" s="8">
        <f>HYPERLINK("https://careerviet.vn/vi/tim-viec-lam/ky-thuat-vien-lap-dat-bao-hanh.35C6AFCE.html","Xem chi tiết")</f>
        <v/>
      </c>
    </row>
    <row r="414">
      <c r="B414" s="9" t="n">
        <v>412</v>
      </c>
      <c r="C414" s="10" t="inlineStr">
        <is>
          <t>Chuyên viên Chăm sóc Khách hàng trực quầy</t>
        </is>
      </c>
      <c r="D414" s="10" t="inlineStr">
        <is>
          <t>CÔNG TY CỔ PHẦN VINHOMES</t>
        </is>
      </c>
      <c r="E414" s="10" t="inlineStr">
        <is>
          <t>Lương:Cạnh tranh</t>
        </is>
      </c>
      <c r="F414" s="10" t="inlineStr">
        <is>
          <t>Hồ Chí MinhHà Nội</t>
        </is>
      </c>
      <c r="G414" s="10" t="inlineStr">
        <is>
          <t>04-04-2026</t>
        </is>
      </c>
      <c r="H414" s="10" t="inlineStr">
        <is>
          <t>04/04/2026</t>
        </is>
      </c>
      <c r="I414" s="10" t="inlineStr">
        <is>
          <t>17/03/2026</t>
        </is>
      </c>
      <c r="J414" s="10" t="inlineStr">
        <is>
          <t>Dịch vụ khách hàng, Hành chính / Thư ký, Biên phiên dịch</t>
        </is>
      </c>
      <c r="K414" s="10" t="inlineStr">
        <is>
          <t>1 - 2 Năm</t>
        </is>
      </c>
      <c r="L414" s="11">
        <f>HYPERLINK("https://careerviet.vn/vi/tim-viec-lam/chuyen-vien-cham-soc-khach-hang-truc-quay.35C6AFB5.html","Xem chi tiết")</f>
        <v/>
      </c>
      <c r="M414" s="10" t="n"/>
    </row>
    <row r="415">
      <c r="B415" s="7" t="n">
        <v>413</v>
      </c>
      <c r="C415" t="inlineStr">
        <is>
          <t>Chuyên viên Digital Marketing</t>
        </is>
      </c>
      <c r="D415" t="inlineStr">
        <is>
          <t>CÔNG TY CỔ PHẦN VPS GLOBAL</t>
        </is>
      </c>
      <c r="E415" t="inlineStr">
        <is>
          <t>Lương:15 Tr - 18 Tr VND</t>
        </is>
      </c>
      <c r="F415" t="inlineStr">
        <is>
          <t>Hồ Chí Minh</t>
        </is>
      </c>
      <c r="G415" t="inlineStr">
        <is>
          <t>11-04-2026</t>
        </is>
      </c>
      <c r="H415" t="inlineStr">
        <is>
          <t>11/04/2026</t>
        </is>
      </c>
      <c r="I415" t="inlineStr">
        <is>
          <t>17/03/2026</t>
        </is>
      </c>
      <c r="J415" t="inlineStr">
        <is>
          <t>Tiếp thị / Marketing, Dịch vụ khách hàng, Du lịch</t>
        </is>
      </c>
      <c r="K415" t="inlineStr">
        <is>
          <t>2 - 5 Năm</t>
        </is>
      </c>
      <c r="L415" s="8">
        <f>HYPERLINK("https://careerviet.vn/vi/tim-viec-lam/chuyen-vien-digital-marketing.35C6AFCF.html","Xem chi tiết")</f>
        <v/>
      </c>
    </row>
    <row r="416">
      <c r="B416" s="9" t="n">
        <v>414</v>
      </c>
      <c r="C416" s="10" t="inlineStr">
        <is>
          <t>Chuyên viên Phòng Phát triển kinh doanh - Khối Bảo hiểm Doanh nghiệp</t>
        </is>
      </c>
      <c r="D416" s="10" t="inlineStr">
        <is>
          <t>Tổng Công ty Cổ phần Bảo hiểm Quân đội (MIC)</t>
        </is>
      </c>
      <c r="E416" s="10" t="inlineStr">
        <is>
          <t>Lương:Cạnh tranh</t>
        </is>
      </c>
      <c r="F416" s="10" t="inlineStr">
        <is>
          <t>Hà Nội</t>
        </is>
      </c>
      <c r="G416" s="10" t="inlineStr">
        <is>
          <t>03-04-2026</t>
        </is>
      </c>
      <c r="H416" s="10" t="inlineStr">
        <is>
          <t>03/04/2026</t>
        </is>
      </c>
      <c r="I416" s="10" t="inlineStr">
        <is>
          <t>17/03/2026</t>
        </is>
      </c>
      <c r="J416" s="10" t="inlineStr">
        <is>
          <t>Ngân hàng, Bảo hiểm, Tài chính / Đầu tư</t>
        </is>
      </c>
      <c r="K416" s="10" t="inlineStr">
        <is>
          <t>1 - 10 Năm</t>
        </is>
      </c>
      <c r="L416" s="11">
        <f>HYPERLINK("https://careerviet.vn/vi/tim-viec-lam/chuyen-vien-phong-phat-trien-kinh-doanh-khoi-bao-hiem-doanh-nghiep.35C6AD44.html","Xem chi tiết")</f>
        <v/>
      </c>
      <c r="M416" s="10" t="n"/>
    </row>
    <row r="417">
      <c r="B417" s="7" t="n">
        <v>415</v>
      </c>
      <c r="C417" t="inlineStr">
        <is>
          <t>Nhân Viên Thiết Kế Khuôn</t>
        </is>
      </c>
      <c r="D417" t="inlineStr">
        <is>
          <t>CÔNG TY TNHH SẢN XUẤT- THƯƠNG MẠI- DỊCH VỤ ĐÀI PHONG</t>
        </is>
      </c>
      <c r="E417" t="inlineStr">
        <is>
          <t>Lương:10 Tr - 15 Tr VND</t>
        </is>
      </c>
      <c r="F417" t="inlineStr">
        <is>
          <t>Hồ Chí Minh</t>
        </is>
      </c>
      <c r="G417" t="inlineStr">
        <is>
          <t>05-04-2026</t>
        </is>
      </c>
      <c r="H417" t="inlineStr">
        <is>
          <t>05/04/2026</t>
        </is>
      </c>
      <c r="I417" t="inlineStr">
        <is>
          <t>17/03/2026</t>
        </is>
      </c>
      <c r="J417" t="inlineStr">
        <is>
          <t>Mỹ thuật / Nghệ thuật / Thiết kế, Cơ khí / Ô tô / Tự động hóa, Sản xuất / Vận hành sản xuất</t>
        </is>
      </c>
      <c r="K417" t="inlineStr">
        <is>
          <t>Trên 1 Năm</t>
        </is>
      </c>
      <c r="L417" s="8">
        <f>HYPERLINK("https://careerviet.vn/vi/tim-viec-lam/nhan-vien-thiet-ke-khuon.35C6AFCD.html","Xem chi tiết")</f>
        <v/>
      </c>
    </row>
    <row r="418">
      <c r="B418" s="9" t="n">
        <v>416</v>
      </c>
      <c r="C418" s="10" t="inlineStr">
        <is>
          <t>Nhân Viên Kế Toán Nội Bộ (2+ Năm KN)</t>
        </is>
      </c>
      <c r="D418" s="10" t="inlineStr">
        <is>
          <t>Công ty TNHH AT Á Châu</t>
        </is>
      </c>
      <c r="E418" s="10" t="inlineStr">
        <is>
          <t>Lương:8 Tr - 13 Tr VND</t>
        </is>
      </c>
      <c r="F418" s="10" t="inlineStr">
        <is>
          <t>Hà Nội</t>
        </is>
      </c>
      <c r="G418" s="10" t="inlineStr">
        <is>
          <t>30-04-2026</t>
        </is>
      </c>
      <c r="H418" s="10" t="inlineStr">
        <is>
          <t>30/04/2026</t>
        </is>
      </c>
      <c r="I418" s="10" t="inlineStr">
        <is>
          <t>17/03/2026</t>
        </is>
      </c>
      <c r="J418" s="10" t="inlineStr">
        <is>
          <t>Kế toán / Kiểm toán</t>
        </is>
      </c>
      <c r="K418" s="10" t="inlineStr">
        <is>
          <t>2 - 5 Năm</t>
        </is>
      </c>
      <c r="L418" s="11">
        <f>HYPERLINK("https://careerviet.vn/vi/tim-viec-lam/nhan-vien-ke-toan-noi-bo-2-nam-kn.35C6ACED.html","Xem chi tiết")</f>
        <v/>
      </c>
      <c r="M418" s="10" t="n"/>
    </row>
    <row r="419">
      <c r="B419" s="7" t="n">
        <v>417</v>
      </c>
      <c r="C419" t="inlineStr">
        <is>
          <t>Nhân viên kinh doanh VNPT</t>
        </is>
      </c>
      <c r="D419" t="inlineStr">
        <is>
          <t>Công ty Cổ phần Kasaco</t>
        </is>
      </c>
      <c r="E419" t="inlineStr">
        <is>
          <t>Lương:10 Tr - 20 Tr VND</t>
        </is>
      </c>
      <c r="F419" t="inlineStr">
        <is>
          <t>Hồ Chí Minh</t>
        </is>
      </c>
      <c r="G419" t="inlineStr">
        <is>
          <t>04-04-2026</t>
        </is>
      </c>
      <c r="H419" t="inlineStr">
        <is>
          <t>04/04/2026</t>
        </is>
      </c>
      <c r="I419" t="inlineStr">
        <is>
          <t>17/03/2026</t>
        </is>
      </c>
      <c r="J419" t="inlineStr">
        <is>
          <t>Bán hàng / Kinh doanh, Dịch vụ khách hàng, Bưu chính viễn thông</t>
        </is>
      </c>
      <c r="K419" t="inlineStr">
        <is>
          <t>N/A</t>
        </is>
      </c>
      <c r="L419" s="8">
        <f>HYPERLINK("https://careerviet.vn/vi/tim-viec-lam/nhan-vien-kinh-doanh-vnpt.35C6ADCD.html","Xem chi tiết")</f>
        <v/>
      </c>
    </row>
    <row r="420">
      <c r="B420" s="9" t="n">
        <v>418</v>
      </c>
      <c r="C420" s="10" t="inlineStr">
        <is>
          <t>KẾ TOÁN TRƯỞNG LƯƠNG 30 TRIỆU</t>
        </is>
      </c>
      <c r="D420" s="10" t="inlineStr">
        <is>
          <t>CÔNG TY TNHH TOHOGENKAI VIỆT NAM</t>
        </is>
      </c>
      <c r="E420" s="10" t="inlineStr">
        <is>
          <t>Lương:25 Tr - 30 Tr VND</t>
        </is>
      </c>
      <c r="F420" s="10" t="inlineStr">
        <is>
          <t>Hà Nội</t>
        </is>
      </c>
      <c r="G420" s="10" t="inlineStr">
        <is>
          <t>04-04-2026</t>
        </is>
      </c>
      <c r="H420" s="10" t="inlineStr">
        <is>
          <t>04/04/2026</t>
        </is>
      </c>
      <c r="I420" s="10" t="inlineStr">
        <is>
          <t>17/03/2026</t>
        </is>
      </c>
      <c r="J420" s="10" t="inlineStr">
        <is>
          <t>Kế toán / Kiểm toán, Tài chính / Đầu tư</t>
        </is>
      </c>
      <c r="K420" s="10" t="inlineStr">
        <is>
          <t>5 - 7 Năm</t>
        </is>
      </c>
      <c r="L420" s="11">
        <f>HYPERLINK("https://careerviet.vn/vi/tim-viec-lam/ke-toan-truong-luong-30-trieu.35C6AEDD.html","Xem chi tiết")</f>
        <v/>
      </c>
      <c r="M420" s="10" t="n"/>
    </row>
    <row r="421">
      <c r="B421" s="7" t="n">
        <v>419</v>
      </c>
      <c r="C421" t="inlineStr">
        <is>
          <t>Chuyên viên Phòng Giám định bồi thường Tài sản kỹ thuật làm việc tại Hà Nội - Khối Giám định bồi thường</t>
        </is>
      </c>
      <c r="D421" t="inlineStr">
        <is>
          <t>Tổng Công ty Cổ phần Bảo hiểm Quân đội (MIC)</t>
        </is>
      </c>
      <c r="E421" t="inlineStr">
        <is>
          <t>Lương:Cạnh tranh</t>
        </is>
      </c>
      <c r="F421" t="inlineStr">
        <is>
          <t>Hà Nội</t>
        </is>
      </c>
      <c r="G421" t="inlineStr">
        <is>
          <t>03-04-2026</t>
        </is>
      </c>
      <c r="H421" t="inlineStr">
        <is>
          <t>03/04/2026</t>
        </is>
      </c>
      <c r="I421" t="inlineStr">
        <is>
          <t>17/03/2026</t>
        </is>
      </c>
      <c r="J421" t="inlineStr">
        <is>
          <t>Kế toán / Kiểm toán, Bảo hiểm</t>
        </is>
      </c>
      <c r="K421" t="inlineStr">
        <is>
          <t>1 - 10 Năm</t>
        </is>
      </c>
      <c r="L421" s="8">
        <f>HYPERLINK("https://careerviet.vn/vi/tim-viec-lam/chuyen-vien-phong-giam-dinh-boi-thuong-tai-san-ky-thuat-lam-viec-tai-ha-noi-khoi-giam-dinh-boi-thuong.35C6AD4D.html","Xem chi tiết")</f>
        <v/>
      </c>
    </row>
    <row r="422">
      <c r="B422" s="9" t="n">
        <v>420</v>
      </c>
      <c r="C422" s="10" t="inlineStr">
        <is>
          <t>Nhân viên kinh doanh</t>
        </is>
      </c>
      <c r="D422" s="10" t="inlineStr">
        <is>
          <t>CÔNG TY TNHH NGUYỄN QUANG SÀI GÒN Ô TÔ (HYUNDAI KINH DƯƠNG VƯƠNG)</t>
        </is>
      </c>
      <c r="E422" s="10" t="inlineStr">
        <is>
          <t>Lương:8 Tr - 30 Tr VND</t>
        </is>
      </c>
      <c r="F422" s="10" t="inlineStr">
        <is>
          <t>Hồ Chí Minh</t>
        </is>
      </c>
      <c r="G422" s="10" t="inlineStr">
        <is>
          <t>01-04-2026</t>
        </is>
      </c>
      <c r="H422" s="10" t="inlineStr">
        <is>
          <t>01/04/2026</t>
        </is>
      </c>
      <c r="I422" s="10" t="inlineStr">
        <is>
          <t>17/03/2026</t>
        </is>
      </c>
      <c r="J422" s="10" t="inlineStr">
        <is>
          <t>Bán hàng / Kinh doanh, Tiếp thị / Marketing, Bán lẻ / Bán sỉ</t>
        </is>
      </c>
      <c r="K422" s="10" t="inlineStr">
        <is>
          <t>N/A</t>
        </is>
      </c>
      <c r="L422" s="11">
        <f>HYPERLINK("https://careerviet.vn/vi/tim-viec-lam/nhan-vien-kinh-doanh.35C6ACFB.html","Xem chi tiết")</f>
        <v/>
      </c>
      <c r="M422" s="10" t="n"/>
    </row>
    <row r="423">
      <c r="B423" s="7" t="n">
        <v>421</v>
      </c>
      <c r="C423" t="inlineStr">
        <is>
          <t>GIÁO VIÊN GIÁO DỤC THỂ CHẤT</t>
        </is>
      </c>
      <c r="D423" t="inlineStr">
        <is>
          <t>CÔNG TY TNHH Ê SU HAI</t>
        </is>
      </c>
      <c r="E423" t="inlineStr">
        <is>
          <t>Lương:9 Tr - 13 Tr VND</t>
        </is>
      </c>
      <c r="F423" t="inlineStr">
        <is>
          <t>Hồ Chí Minh</t>
        </is>
      </c>
      <c r="G423" t="inlineStr">
        <is>
          <t>30-04-2026</t>
        </is>
      </c>
      <c r="H423" t="inlineStr">
        <is>
          <t>30/04/2026</t>
        </is>
      </c>
      <c r="I423" t="inlineStr">
        <is>
          <t>17/03/2026</t>
        </is>
      </c>
      <c r="J423" t="inlineStr">
        <is>
          <t>Giáo dục / Đào tạo</t>
        </is>
      </c>
      <c r="K423" t="inlineStr">
        <is>
          <t>1 - 3 Năm</t>
        </is>
      </c>
      <c r="L423" s="8">
        <f>HYPERLINK("https://careerviet.vn/vi/tim-viec-lam/giao-vien-giao-duc-the-chat.35C6AC7A.html","Xem chi tiết")</f>
        <v/>
      </c>
    </row>
    <row r="424">
      <c r="B424" s="9" t="n">
        <v>422</v>
      </c>
      <c r="C424" s="10" t="inlineStr">
        <is>
          <t>Chuyên Viên Tư Vấn Tuyển Sinh</t>
        </is>
      </c>
      <c r="D424" s="10" t="inlineStr">
        <is>
          <t>Chương trình Học viện Công nghệ BKACAD</t>
        </is>
      </c>
      <c r="E424" s="10" t="inlineStr">
        <is>
          <t>Lương:12 Tr - 25 Tr VND</t>
        </is>
      </c>
      <c r="F424" s="10" t="inlineStr">
        <is>
          <t>Hà Nội</t>
        </is>
      </c>
      <c r="G424" s="10" t="inlineStr">
        <is>
          <t>31-03-2026</t>
        </is>
      </c>
      <c r="H424" s="10" t="inlineStr">
        <is>
          <t>31/03/2026</t>
        </is>
      </c>
      <c r="I424" s="10" t="inlineStr">
        <is>
          <t>17/03/2026</t>
        </is>
      </c>
      <c r="J424" s="10" t="inlineStr">
        <is>
          <t>Tư vấn, Giáo dục / Đào tạo, Tiếp thị / Marketing</t>
        </is>
      </c>
      <c r="K424" s="10" t="inlineStr">
        <is>
          <t>1 - 2 Năm</t>
        </is>
      </c>
      <c r="L424" s="11">
        <f>HYPERLINK("https://careerviet.vn/vi/tim-viec-lam/chuyen-vien-tu-van-tuyen-sinh.35C6AC29.html","Xem chi tiết")</f>
        <v/>
      </c>
      <c r="M424" s="10" t="n"/>
    </row>
    <row r="425">
      <c r="B425" s="7" t="n">
        <v>423</v>
      </c>
      <c r="C425" t="inlineStr">
        <is>
          <t>Kiểm soát viên Phòng Giám định bồi thường Tài sản kỹ thuật làm việc tại Hà Nội - Khối Giám định bồi thường</t>
        </is>
      </c>
      <c r="D425" t="inlineStr">
        <is>
          <t>Tổng Công ty Cổ phần Bảo hiểm Quân đội (MIC)</t>
        </is>
      </c>
      <c r="E425" t="inlineStr">
        <is>
          <t>Lương:Cạnh tranh</t>
        </is>
      </c>
      <c r="F425" t="inlineStr">
        <is>
          <t>Hà Nội</t>
        </is>
      </c>
      <c r="G425" t="inlineStr">
        <is>
          <t>03-04-2026</t>
        </is>
      </c>
      <c r="H425" t="inlineStr">
        <is>
          <t>03/04/2026</t>
        </is>
      </c>
      <c r="I425" t="inlineStr">
        <is>
          <t>17/03/2026</t>
        </is>
      </c>
      <c r="J425" t="inlineStr">
        <is>
          <t>Bảo hiểm</t>
        </is>
      </c>
      <c r="K425" t="inlineStr">
        <is>
          <t>3 - 10 Năm</t>
        </is>
      </c>
      <c r="L425" s="8">
        <f>HYPERLINK("https://careerviet.vn/vi/tim-viec-lam/kiem-soat-vien-phong-giam-dinh-boi-thuong-tai-san-ky-thuat-lam-viec-tai-ha-noi-khoi-giam-dinh-boi-thuong.35C6AD9D.html","Xem chi tiết")</f>
        <v/>
      </c>
    </row>
    <row r="426">
      <c r="B426" s="9" t="n">
        <v>424</v>
      </c>
      <c r="C426" s="10" t="inlineStr">
        <is>
          <t>ADAS Testing Vehicle Management Engineer</t>
        </is>
      </c>
      <c r="D426" s="10" t="inlineStr">
        <is>
          <t>Công ty Cổ phần Vietsol</t>
        </is>
      </c>
      <c r="E426" s="10" t="inlineStr">
        <is>
          <t>Lương:Cạnh tranh</t>
        </is>
      </c>
      <c r="F426" s="10" t="inlineStr">
        <is>
          <t>Hải PhòngHà Nội</t>
        </is>
      </c>
      <c r="G426" s="10" t="inlineStr">
        <is>
          <t>03-04-2026</t>
        </is>
      </c>
      <c r="H426" s="10" t="inlineStr">
        <is>
          <t>03/04/2026</t>
        </is>
      </c>
      <c r="I426" s="10" t="inlineStr">
        <is>
          <t>17/03/2026</t>
        </is>
      </c>
      <c r="J426" s="10" t="inlineStr">
        <is>
          <t>Cơ khí / Ô tô / Tự động hóa, Điện / Điện tử / Điện lạnh / Điện công nghiệp, Sản xuất / Vận hành sản xuất</t>
        </is>
      </c>
      <c r="K426" s="10" t="inlineStr">
        <is>
          <t>N/A</t>
        </is>
      </c>
      <c r="L426" s="11">
        <f>HYPERLINK("https://careerviet.vn/vi/tim-viec-lam/adas-testing-vehicle-management-engineer.35C6AABF.html","Xem chi tiết")</f>
        <v/>
      </c>
      <c r="M426" s="10" t="n"/>
    </row>
    <row r="427">
      <c r="B427" s="7" t="n">
        <v>425</v>
      </c>
      <c r="C427" t="inlineStr">
        <is>
          <t>Vehicle Perfomance Validation Engineer - Kỹ Sư Kiểm Thử Hiệu Năng Toàn Xe</t>
        </is>
      </c>
      <c r="D427" t="inlineStr">
        <is>
          <t>Công ty Cổ phần Vietsol</t>
        </is>
      </c>
      <c r="E427" t="inlineStr">
        <is>
          <t>Lương:Cạnh tranh</t>
        </is>
      </c>
      <c r="F427" t="inlineStr">
        <is>
          <t>Hải PhòngHà Nội</t>
        </is>
      </c>
      <c r="G427" t="inlineStr">
        <is>
          <t>03-04-2026</t>
        </is>
      </c>
      <c r="H427" t="inlineStr">
        <is>
          <t>03/04/2026</t>
        </is>
      </c>
      <c r="I427" t="inlineStr">
        <is>
          <t>17/03/2026</t>
        </is>
      </c>
      <c r="J427" t="inlineStr">
        <is>
          <t>Cơ khí / Ô tô / Tự động hóa, Điện / Điện tử / Điện lạnh / Điện công nghiệp, Sản xuất / Vận hành sản xuất</t>
        </is>
      </c>
      <c r="K427" t="inlineStr">
        <is>
          <t>2 - 5 Năm</t>
        </is>
      </c>
      <c r="L427" s="8">
        <f>HYPERLINK("https://careerviet.vn/vi/tim-viec-lam/vehicle-perfomance-validation-engineer-ky-su-kiem-thu-hieu-nang-toan-xe.35C6AABE.html","Xem chi tiết")</f>
        <v/>
      </c>
    </row>
    <row r="428">
      <c r="B428" s="9" t="n">
        <v>426</v>
      </c>
      <c r="C428" s="10" t="inlineStr">
        <is>
          <t>Nhân viên xuất nhập khẩu</t>
        </is>
      </c>
      <c r="D428" s="10" t="inlineStr">
        <is>
          <t>Công Ty TNHH Công Nghiệp Dona Quế Bằng</t>
        </is>
      </c>
      <c r="E428" s="10" t="inlineStr">
        <is>
          <t>Lương:Cạnh tranh</t>
        </is>
      </c>
      <c r="F428" s="10" t="inlineStr">
        <is>
          <t>Đồng Nai</t>
        </is>
      </c>
      <c r="G428" s="10" t="inlineStr">
        <is>
          <t>02-04-2026</t>
        </is>
      </c>
      <c r="H428" s="10" t="inlineStr">
        <is>
          <t>02/04/2026</t>
        </is>
      </c>
      <c r="I428" s="10" t="inlineStr">
        <is>
          <t>17/03/2026</t>
        </is>
      </c>
      <c r="J428" s="10" t="inlineStr">
        <is>
          <t>Xuất nhập khẩu</t>
        </is>
      </c>
      <c r="K428" s="10" t="inlineStr">
        <is>
          <t>1 - 3 Năm</t>
        </is>
      </c>
      <c r="L428" s="11">
        <f>HYPERLINK("https://careerviet.vn/vi/tim-viec-lam/nhan-vien-xuat-nhap-khau.35C6A9D1.html","Xem chi tiết")</f>
        <v/>
      </c>
      <c r="M428" s="10" t="n"/>
    </row>
    <row r="429">
      <c r="B429" s="7" t="n">
        <v>427</v>
      </c>
      <c r="C429" t="inlineStr">
        <is>
          <t>Chuyên Viên Tư Vấn BĐS - Lương Cứng Đến 15Tr + Hoa Hồng (Thu Nhập 50-100Tr/Tháng)</t>
        </is>
      </c>
      <c r="D429" t="inlineStr">
        <is>
          <t>Công ty cổ phần sàn giao dịch bất động sản tera</t>
        </is>
      </c>
      <c r="E429" t="inlineStr">
        <is>
          <t>Lương:Cạnh tranh</t>
        </is>
      </c>
      <c r="F429" t="inlineStr">
        <is>
          <t>Hồ Chí Minh</t>
        </is>
      </c>
      <c r="G429" t="inlineStr">
        <is>
          <t>04-04-2026</t>
        </is>
      </c>
      <c r="H429" t="inlineStr">
        <is>
          <t>04/04/2026</t>
        </is>
      </c>
      <c r="I429" t="inlineStr">
        <is>
          <t>17/03/2026</t>
        </is>
      </c>
      <c r="J429" t="inlineStr">
        <is>
          <t>N/A</t>
        </is>
      </c>
      <c r="K429" t="inlineStr">
        <is>
          <t>N/A</t>
        </is>
      </c>
      <c r="L429" s="8">
        <f>HYPERLINK("https://careerviet.vn/vi/tim-viec-lam/chuyen-vien-tu-van-bds-luong-cung-den-15tr-hoa-hong-thu-nhap-50-100tr-thang.35C6AC92.html","Xem chi tiết")</f>
        <v/>
      </c>
    </row>
    <row r="430">
      <c r="B430" s="9" t="n">
        <v>428</v>
      </c>
      <c r="C430" s="10" t="inlineStr">
        <is>
          <t>Kỹ Sư NVH - Equipment Operation Engineer (NVH Engineer)</t>
        </is>
      </c>
      <c r="D430" s="10" t="inlineStr">
        <is>
          <t>Công ty Cổ phần Vietsol</t>
        </is>
      </c>
      <c r="E430" s="10" t="inlineStr">
        <is>
          <t>Lương:Cạnh tranh</t>
        </is>
      </c>
      <c r="F430" s="10" t="inlineStr">
        <is>
          <t>Hải PhòngHà Nội</t>
        </is>
      </c>
      <c r="G430" s="10" t="inlineStr">
        <is>
          <t>03-04-2026</t>
        </is>
      </c>
      <c r="H430" s="10" t="inlineStr">
        <is>
          <t>03/04/2026</t>
        </is>
      </c>
      <c r="I430" s="10" t="inlineStr">
        <is>
          <t>17/03/2026</t>
        </is>
      </c>
      <c r="J430" s="10" t="inlineStr">
        <is>
          <t>Cơ khí / Ô tô / Tự động hóa, Điện / Điện tử / Điện lạnh / Điện công nghiệp, Sản xuất / Vận hành sản xuất</t>
        </is>
      </c>
      <c r="K430" s="10" t="inlineStr">
        <is>
          <t>Trên 2 Năm</t>
        </is>
      </c>
      <c r="L430" s="11">
        <f>HYPERLINK("https://careerviet.vn/vi/tim-viec-lam/ky-su-nvh-equipment-operation-engineer-nvh-engineer.35C6AABD.html","Xem chi tiết")</f>
        <v/>
      </c>
      <c r="M430" s="10" t="n"/>
    </row>
    <row r="431">
      <c r="B431" s="7" t="n">
        <v>429</v>
      </c>
      <c r="C431" t="inlineStr">
        <is>
          <t>Kế Toán Xuất Hóa Đơn</t>
        </is>
      </c>
      <c r="D431" t="inlineStr">
        <is>
          <t>CÔNG TY TNHH MTV THƯƠNG MẠI DỊCH VỤ BLUE OCEAN- THẾ GIỚI SKINFOOD</t>
        </is>
      </c>
      <c r="E431" t="inlineStr">
        <is>
          <t>Lương:9 Tr - 11 Tr VND</t>
        </is>
      </c>
      <c r="F431" t="inlineStr">
        <is>
          <t>Hồ Chí Minh</t>
        </is>
      </c>
      <c r="G431" t="inlineStr">
        <is>
          <t>03-04-2026</t>
        </is>
      </c>
      <c r="H431" t="inlineStr">
        <is>
          <t>03/04/2026</t>
        </is>
      </c>
      <c r="I431" t="inlineStr">
        <is>
          <t>17/03/2026</t>
        </is>
      </c>
      <c r="J431" t="inlineStr">
        <is>
          <t>Kế toán / Kiểm toán, Tài chính / Đầu tư, Bán hàng / Kinh doanh</t>
        </is>
      </c>
      <c r="K431" t="inlineStr">
        <is>
          <t>1 - 2 Năm</t>
        </is>
      </c>
      <c r="L431" s="8">
        <f>HYPERLINK("https://careerviet.vn/vi/tim-viec-lam/ke-toan-xuat-hoa-don.35C6AAD5.html","Xem chi tiết")</f>
        <v/>
      </c>
    </row>
    <row r="432">
      <c r="B432" s="9" t="n">
        <v>430</v>
      </c>
      <c r="C432" s="10" t="inlineStr">
        <is>
          <t>Nhân Viên Kinh Doanh (Sales)</t>
        </is>
      </c>
      <c r="D432" s="10" t="inlineStr">
        <is>
          <t>CÔNG TY TNHH VẬN TẢI PHAN KHÁNH</t>
        </is>
      </c>
      <c r="E432" s="10" t="inlineStr">
        <is>
          <t>Lương:Cạnh tranh</t>
        </is>
      </c>
      <c r="F432" s="10" t="inlineStr">
        <is>
          <t>Long An</t>
        </is>
      </c>
      <c r="G432" s="10" t="inlineStr">
        <is>
          <t>17-03-2026</t>
        </is>
      </c>
      <c r="H432" s="10" t="inlineStr">
        <is>
          <t>14/03/2026</t>
        </is>
      </c>
      <c r="I432" s="10" t="inlineStr">
        <is>
          <t>17/03/2026</t>
        </is>
      </c>
      <c r="J432" s="10" t="inlineStr">
        <is>
          <t>Tiếp thị / Marketing, Bán hàng / Kinh doanh, Thương mại điện tử</t>
        </is>
      </c>
      <c r="K432" s="10" t="inlineStr">
        <is>
          <t>Trên 1 Năm</t>
        </is>
      </c>
      <c r="L432" s="11">
        <f>HYPERLINK("https://careerviet.vn/vi/tim-viec-lam/nhan-vien-kinh-doanh-sales.35C6A982.html","Xem chi tiết")</f>
        <v/>
      </c>
      <c r="M432" s="10" t="n"/>
    </row>
    <row r="433">
      <c r="B433" s="7" t="n">
        <v>431</v>
      </c>
      <c r="C433" t="inlineStr">
        <is>
          <t>Kế Toán Trưởng</t>
        </is>
      </c>
      <c r="D433" t="inlineStr">
        <is>
          <t>CÔNG TY CỔ PHẦN TẬP ĐOÀN AN PHA VIỆT</t>
        </is>
      </c>
      <c r="E433" t="inlineStr">
        <is>
          <t>Lương:25 Tr - 30 Tr VND</t>
        </is>
      </c>
      <c r="F433" t="inlineStr">
        <is>
          <t>Hà NamNinh Bình</t>
        </is>
      </c>
      <c r="G433" t="inlineStr">
        <is>
          <t>03-04-2026</t>
        </is>
      </c>
      <c r="H433" t="inlineStr">
        <is>
          <t>03/04/2026</t>
        </is>
      </c>
      <c r="I433" t="inlineStr">
        <is>
          <t>17/03/2026</t>
        </is>
      </c>
      <c r="J433" t="inlineStr">
        <is>
          <t>Kế toán / Kiểm toán, Sản xuất / Vận hành sản xuất, Tài chính / Đầu tư</t>
        </is>
      </c>
      <c r="K433" t="inlineStr">
        <is>
          <t>Trên 3 Năm</t>
        </is>
      </c>
      <c r="L433" s="8">
        <f>HYPERLINK("https://careerviet.vn/vi/tim-viec-lam/ke-toan-truong.35C6A9EC.html","Xem chi tiết")</f>
        <v/>
      </c>
    </row>
    <row r="434">
      <c r="B434" s="9" t="n">
        <v>432</v>
      </c>
      <c r="C434" s="10" t="inlineStr">
        <is>
          <t>Chuyên Viên Chăm Sóc Khách Hàng</t>
        </is>
      </c>
      <c r="D434" s="10" t="inlineStr">
        <is>
          <t>CÔNG TY TNHH VẬN TẢI PHAN KHÁNH</t>
        </is>
      </c>
      <c r="E434" s="10" t="inlineStr">
        <is>
          <t>Lương:Cạnh tranh</t>
        </is>
      </c>
      <c r="F434" s="10" t="inlineStr">
        <is>
          <t>Long An</t>
        </is>
      </c>
      <c r="G434" s="10" t="inlineStr">
        <is>
          <t>17-03-2026</t>
        </is>
      </c>
      <c r="H434" s="10" t="inlineStr">
        <is>
          <t>14/03/2026</t>
        </is>
      </c>
      <c r="I434" s="10" t="inlineStr">
        <is>
          <t>17/03/2026</t>
        </is>
      </c>
      <c r="J434" s="10" t="inlineStr">
        <is>
          <t>Tư vấn, Dịch vụ khách hàng, Vận chuyển / Giao nhận / Kho vận</t>
        </is>
      </c>
      <c r="K434" s="10" t="inlineStr">
        <is>
          <t>Trên 1 Năm</t>
        </is>
      </c>
      <c r="L434" s="11">
        <f>HYPERLINK("https://careerviet.vn/vi/tim-viec-lam/chuyen-vien-cham-soc-khach-hang.35C6A980.html","Xem chi tiết")</f>
        <v/>
      </c>
      <c r="M434" s="10" t="n"/>
    </row>
    <row r="435">
      <c r="B435" s="7" t="n">
        <v>433</v>
      </c>
      <c r="C435" t="inlineStr">
        <is>
          <t>Nhân Viên Kế Toán</t>
        </is>
      </c>
      <c r="D435" t="inlineStr">
        <is>
          <t>CÔNG TY TNHH NGUYỄN QUANG SÀI GÒN Ô TÔ (HYUNDAI KINH DƯƠNG VƯƠNG)</t>
        </is>
      </c>
      <c r="E435" t="inlineStr">
        <is>
          <t>Lương:12 Tr - 15 Tr VND</t>
        </is>
      </c>
      <c r="F435" t="inlineStr">
        <is>
          <t>Hồ Chí Minh</t>
        </is>
      </c>
      <c r="G435" t="inlineStr">
        <is>
          <t>31-03-2026</t>
        </is>
      </c>
      <c r="H435" t="inlineStr">
        <is>
          <t>31/03/2026</t>
        </is>
      </c>
      <c r="I435" t="inlineStr">
        <is>
          <t>17/03/2026</t>
        </is>
      </c>
      <c r="J435" t="inlineStr">
        <is>
          <t>Kế toán / Kiểm toán</t>
        </is>
      </c>
      <c r="K435" t="inlineStr">
        <is>
          <t>Trên 1 Năm</t>
        </is>
      </c>
      <c r="L435" s="8">
        <f>HYPERLINK("https://careerviet.vn/vi/tim-viec-lam/nhan-vien-ke-toan.35C6B051.html","Xem chi tiết")</f>
        <v/>
      </c>
    </row>
    <row r="436">
      <c r="B436" s="9" t="n">
        <v>434</v>
      </c>
      <c r="C436" s="10" t="inlineStr">
        <is>
          <t>Nhân viên SOCIAL MEDIA</t>
        </is>
      </c>
      <c r="D436" s="10" t="inlineStr">
        <is>
          <t>CÔNG TY CỔ PHẦN VPS GLOBAL</t>
        </is>
      </c>
      <c r="E436" s="10" t="inlineStr">
        <is>
          <t>Lương:10 Tr - 15 Tr VND</t>
        </is>
      </c>
      <c r="F436" s="10" t="inlineStr">
        <is>
          <t>Hồ Chí Minh</t>
        </is>
      </c>
      <c r="G436" s="10" t="inlineStr">
        <is>
          <t>11-04-2026</t>
        </is>
      </c>
      <c r="H436" s="10" t="inlineStr">
        <is>
          <t>11/04/2026</t>
        </is>
      </c>
      <c r="I436" s="10" t="inlineStr">
        <is>
          <t>17/03/2026</t>
        </is>
      </c>
      <c r="J436" s="10" t="inlineStr">
        <is>
          <t>Tiếp thị / Marketing, Du lịch, Dịch vụ khách hàng</t>
        </is>
      </c>
      <c r="K436" s="10" t="inlineStr">
        <is>
          <t>1 - 3 Năm</t>
        </is>
      </c>
      <c r="L436" s="11">
        <f>HYPERLINK("https://careerviet.vn/vi/tim-viec-lam/nhan-vien-social-media.35C6AF91.html","Xem chi tiết")</f>
        <v/>
      </c>
      <c r="M436" s="10" t="n"/>
    </row>
    <row r="437">
      <c r="B437" s="7" t="n">
        <v>435</v>
      </c>
      <c r="C437" t="inlineStr">
        <is>
          <t>Kế Toán Thuế</t>
        </is>
      </c>
      <c r="D437" t="inlineStr">
        <is>
          <t>CÔNG TY CỔ PHẦN GIẢI PHÁP CƠ KHÍ VNTECH</t>
        </is>
      </c>
      <c r="E437" t="inlineStr">
        <is>
          <t>Lương:13 Tr - 15 Tr VND</t>
        </is>
      </c>
      <c r="F437" t="inlineStr">
        <is>
          <t>Hà Nội</t>
        </is>
      </c>
      <c r="G437" t="inlineStr">
        <is>
          <t>30-04-2026</t>
        </is>
      </c>
      <c r="H437" t="inlineStr">
        <is>
          <t>30/04/2026</t>
        </is>
      </c>
      <c r="I437" t="inlineStr">
        <is>
          <t>17/03/2026</t>
        </is>
      </c>
      <c r="J437" t="inlineStr">
        <is>
          <t>Kế toán / Kiểm toán, Hành chính / Thư ký, Sản xuất / Vận hành sản xuất</t>
        </is>
      </c>
      <c r="K437" t="inlineStr">
        <is>
          <t>Trên 2 Năm</t>
        </is>
      </c>
      <c r="L437" s="8">
        <f>HYPERLINK("https://careerviet.vn/vi/tim-viec-lam/ke-toan-thue.35C6A7F9.html","Xem chi tiết")</f>
        <v/>
      </c>
    </row>
    <row r="438">
      <c r="B438" s="9" t="n">
        <v>436</v>
      </c>
      <c r="C438" s="10" t="inlineStr">
        <is>
          <t>Nhân Viên QC cơ khí</t>
        </is>
      </c>
      <c r="D438" s="10" t="inlineStr">
        <is>
          <t>CÔNG TY TNHH CƠ KHÍ THỦY ĐỨC THỊNH</t>
        </is>
      </c>
      <c r="E438" s="10" t="inlineStr">
        <is>
          <t>Lương:Cạnh tranh</t>
        </is>
      </c>
      <c r="F438" s="10" t="inlineStr">
        <is>
          <t>Hải Phòng</t>
        </is>
      </c>
      <c r="G438" s="10" t="inlineStr">
        <is>
          <t>03-04-2026</t>
        </is>
      </c>
      <c r="H438" s="10" t="inlineStr">
        <is>
          <t>03/04/2026</t>
        </is>
      </c>
      <c r="I438" s="10" t="inlineStr">
        <is>
          <t>17/03/2026</t>
        </is>
      </c>
      <c r="J438" s="10" t="inlineStr">
        <is>
          <t>Cơ khí / Ô tô / Tự động hóa, Quản lý chất lượng (QA/QC), Điện / Điện tử / Điện lạnh / Điện công nghiệp</t>
        </is>
      </c>
      <c r="K438" s="10" t="inlineStr">
        <is>
          <t>1 - 2 Năm</t>
        </is>
      </c>
      <c r="L438" s="11">
        <f>HYPERLINK("https://careerviet.vn/vi/tim-viec-lam/nhan-vien-qc-co-khi.35C6AE34.html","Xem chi tiết")</f>
        <v/>
      </c>
      <c r="M438" s="10" t="n"/>
    </row>
    <row r="439">
      <c r="B439" s="7" t="n">
        <v>437</v>
      </c>
      <c r="C439" t="inlineStr">
        <is>
          <t>Kế Toán Tổng Hợp (Sản xuất)</t>
        </is>
      </c>
      <c r="D439" t="inlineStr">
        <is>
          <t>CÔNG TY CỔ PHẦN NƯỚC KHOÁNG KHÁNH HÒA</t>
        </is>
      </c>
      <c r="E439" t="inlineStr">
        <is>
          <t>Lương:13 Tr - 15 Tr VND</t>
        </is>
      </c>
      <c r="F439" t="inlineStr">
        <is>
          <t>Khánh Hòa</t>
        </is>
      </c>
      <c r="G439" t="inlineStr">
        <is>
          <t>03-04-2026</t>
        </is>
      </c>
      <c r="H439" t="inlineStr">
        <is>
          <t>03/04/2026</t>
        </is>
      </c>
      <c r="I439" t="inlineStr">
        <is>
          <t>17/03/2026</t>
        </is>
      </c>
      <c r="J439" t="inlineStr">
        <is>
          <t>Kế toán / Kiểm toán, Sản xuất / Vận hành sản xuất, Tài chính / Đầu tư</t>
        </is>
      </c>
      <c r="K439" t="inlineStr">
        <is>
          <t>3 - 5 Năm</t>
        </is>
      </c>
      <c r="L439" s="8">
        <f>HYPERLINK("https://careerviet.vn/vi/tim-viec-lam/ke-toan-tong-hop-san-xuat.35C6A7B4.html","Xem chi tiết")</f>
        <v/>
      </c>
    </row>
    <row r="440">
      <c r="B440" s="9" t="n">
        <v>438</v>
      </c>
      <c r="C440" s="10" t="inlineStr">
        <is>
          <t>Chuyên Viên Quay Dựng</t>
        </is>
      </c>
      <c r="D440" s="10" t="inlineStr">
        <is>
          <t>CÔNG TY CỔ PHẦN GIẢI PHÁP CƠ KHÍ VNTECH</t>
        </is>
      </c>
      <c r="E440" s="10" t="inlineStr">
        <is>
          <t>Lương:14 Tr - 20 Tr VND</t>
        </is>
      </c>
      <c r="F440" s="10" t="inlineStr">
        <is>
          <t>Hà Nội</t>
        </is>
      </c>
      <c r="G440" s="10" t="inlineStr">
        <is>
          <t>31-03-2026</t>
        </is>
      </c>
      <c r="H440" s="10" t="inlineStr">
        <is>
          <t>31/03/2026</t>
        </is>
      </c>
      <c r="I440" s="10" t="inlineStr">
        <is>
          <t>17/03/2026</t>
        </is>
      </c>
      <c r="J440" s="10" t="inlineStr">
        <is>
          <t>Tiếp thị / Marketing, Mỹ thuật / Nghệ thuật / Thiết kế, Truyền hình / Báo chí / Biên tập</t>
        </is>
      </c>
      <c r="K440" s="10" t="inlineStr">
        <is>
          <t>Trên 2 Năm</t>
        </is>
      </c>
      <c r="L440" s="11">
        <f>HYPERLINK("https://careerviet.vn/vi/tim-viec-lam/chuyen-vien-quay-dung.35C6A7EB.html","Xem chi tiết")</f>
        <v/>
      </c>
      <c r="M440" s="10" t="n"/>
    </row>
    <row r="441">
      <c r="B441" s="7" t="n">
        <v>439</v>
      </c>
      <c r="C441" t="inlineStr">
        <is>
          <t>Kỹ Sư Kinh Doanh (Sales Engineer)</t>
        </is>
      </c>
      <c r="D441" t="inlineStr">
        <is>
          <t>CÔNG TY CỔ PHẦN GIẢI PHÁP CƠ KHÍ VNTECH</t>
        </is>
      </c>
      <c r="E441" t="inlineStr">
        <is>
          <t>Lương:15 Tr - 40 Tr VND</t>
        </is>
      </c>
      <c r="F441" t="inlineStr">
        <is>
          <t>Bình DươngHà Nội</t>
        </is>
      </c>
      <c r="G441" t="inlineStr">
        <is>
          <t>31-03-2026</t>
        </is>
      </c>
      <c r="H441" t="inlineStr">
        <is>
          <t>31/03/2026</t>
        </is>
      </c>
      <c r="I441" t="inlineStr">
        <is>
          <t>17/03/2026</t>
        </is>
      </c>
      <c r="J441" t="inlineStr">
        <is>
          <t>Bán hàng / Kinh doanh, Cơ khí / Ô tô / Tự động hóa, Điện / Điện tử / Điện lạnh / Điện công nghiệp</t>
        </is>
      </c>
      <c r="K441" t="inlineStr">
        <is>
          <t>Trên 1 Năm</t>
        </is>
      </c>
      <c r="L441" s="8">
        <f>HYPERLINK("https://careerviet.vn/vi/tim-viec-lam/ky-su-kinh-doanh-sales-engineer.35C6A7E1.html","Xem chi tiết")</f>
        <v/>
      </c>
    </row>
    <row r="442">
      <c r="B442" s="9" t="n">
        <v>440</v>
      </c>
      <c r="C442" s="10" t="inlineStr">
        <is>
          <t>Telesales</t>
        </is>
      </c>
      <c r="D442" s="10" t="inlineStr">
        <is>
          <t>CÔNG TY TNHH DREAM TALENT</t>
        </is>
      </c>
      <c r="E442" s="10" t="inlineStr">
        <is>
          <t>Lương:Lên đến 60 Tr VND</t>
        </is>
      </c>
      <c r="F442" s="10" t="inlineStr">
        <is>
          <t>Hồ Chí MinhCần Thơ</t>
        </is>
      </c>
      <c r="G442" s="10" t="inlineStr">
        <is>
          <t>02-04-2026</t>
        </is>
      </c>
      <c r="H442" s="10" t="inlineStr">
        <is>
          <t>02/04/2026</t>
        </is>
      </c>
      <c r="I442" s="10" t="inlineStr">
        <is>
          <t>17/03/2026</t>
        </is>
      </c>
      <c r="J442" s="10" t="inlineStr">
        <is>
          <t>Bán hàng / Kinh doanh, Tài chính / Đầu tư, Bảo hiểm</t>
        </is>
      </c>
      <c r="K442" s="10" t="inlineStr">
        <is>
          <t>N/A</t>
        </is>
      </c>
      <c r="L442" s="11">
        <f>HYPERLINK("https://careerviet.vn/vi/tim-viec-lam/telesales.35C6AA2C.html","Xem chi tiết")</f>
        <v/>
      </c>
      <c r="M442" s="10" t="n"/>
    </row>
    <row r="443">
      <c r="B443" s="7" t="n">
        <v>441</v>
      </c>
      <c r="C443" t="inlineStr">
        <is>
          <t>Kế Toán Trưởng</t>
        </is>
      </c>
      <c r="D443" t="inlineStr">
        <is>
          <t>CÔNG TY TNHH THƯƠNG MẠI NHẤT THỐNG</t>
        </is>
      </c>
      <c r="E443" t="inlineStr">
        <is>
          <t>Lương:Cạnh tranh</t>
        </is>
      </c>
      <c r="F443" t="inlineStr">
        <is>
          <t>Hồ Chí Minh</t>
        </is>
      </c>
      <c r="G443" t="inlineStr">
        <is>
          <t>02-04-2026</t>
        </is>
      </c>
      <c r="H443" t="inlineStr">
        <is>
          <t>02/04/2026</t>
        </is>
      </c>
      <c r="I443" t="inlineStr">
        <is>
          <t>17/03/2026</t>
        </is>
      </c>
      <c r="J443" t="inlineStr">
        <is>
          <t>Quản lý điều hành, Hành chính / Thư ký, Kế toán / Kiểm toán</t>
        </is>
      </c>
      <c r="K443" t="inlineStr">
        <is>
          <t>Trên 4 Năm</t>
        </is>
      </c>
      <c r="L443" s="8">
        <f>HYPERLINK("https://careerviet.vn/vi/tim-viec-lam/ke-toan-truong.35C6A614.html","Xem chi tiết")</f>
        <v/>
      </c>
    </row>
    <row r="444">
      <c r="B444" s="9" t="n">
        <v>442</v>
      </c>
      <c r="C444" s="10" t="inlineStr">
        <is>
          <t>Nhân Viên Kinh Doanh Sàn Thương Mại Điện Tử</t>
        </is>
      </c>
      <c r="D444" s="10" t="inlineStr">
        <is>
          <t>Công Ty TNHH Trang Thiết Bị Nha Khoa</t>
        </is>
      </c>
      <c r="E444" s="10" t="inlineStr">
        <is>
          <t>Lương:12 Tr - 20 Tr VND</t>
        </is>
      </c>
      <c r="F444" s="10" t="inlineStr">
        <is>
          <t>Hồ Chí Minh</t>
        </is>
      </c>
      <c r="G444" s="10" t="inlineStr">
        <is>
          <t>31-03-2026</t>
        </is>
      </c>
      <c r="H444" s="10" t="inlineStr">
        <is>
          <t>31/03/2026</t>
        </is>
      </c>
      <c r="I444" s="10" t="inlineStr">
        <is>
          <t>17/03/2026</t>
        </is>
      </c>
      <c r="J444" s="10" t="inlineStr">
        <is>
          <t>Bán lẻ / Bán sỉ, Bán hàng / Kinh doanh, Tiếp thị trực tuyến</t>
        </is>
      </c>
      <c r="K444" s="10" t="inlineStr">
        <is>
          <t>2 - 5 Năm</t>
        </is>
      </c>
      <c r="L444" s="11">
        <f>HYPERLINK("https://careerviet.vn/vi/tim-viec-lam/nhan-vien-kinh-doanh-san-thuong-mai-dien-tu.35C6A47F.html","Xem chi tiết")</f>
        <v/>
      </c>
      <c r="M444" s="10" t="n"/>
    </row>
    <row r="445">
      <c r="B445" s="7" t="n">
        <v>443</v>
      </c>
      <c r="C445" t="inlineStr">
        <is>
          <t>Nhân viên Kinh doanh Vận Tải</t>
        </is>
      </c>
      <c r="D445" t="inlineStr">
        <is>
          <t>Công ty Cổ phần Tôn Đông Á</t>
        </is>
      </c>
      <c r="E445" t="inlineStr">
        <is>
          <t>Lương:14 Tr - 17 Tr VND</t>
        </is>
      </c>
      <c r="F445" t="inlineStr">
        <is>
          <t>Bình Dương</t>
        </is>
      </c>
      <c r="G445" t="inlineStr">
        <is>
          <t>03-04-2026</t>
        </is>
      </c>
      <c r="H445" t="inlineStr">
        <is>
          <t>03/04/2026</t>
        </is>
      </c>
      <c r="I445" t="inlineStr">
        <is>
          <t>17/03/2026</t>
        </is>
      </c>
      <c r="J445" t="inlineStr">
        <is>
          <t>Bán hàng / Kinh doanh, Vận chuyển / Giao nhận / Kho vận, Xuất nhập khẩu</t>
        </is>
      </c>
      <c r="K445" t="inlineStr">
        <is>
          <t>Trên 1 Năm</t>
        </is>
      </c>
      <c r="L445" s="8">
        <f>HYPERLINK("https://careerviet.vn/vi/tim-viec-lam/nhan-vien-kinh-doanh-van-tai.35C6A705.html","Xem chi tiết")</f>
        <v/>
      </c>
    </row>
    <row r="446">
      <c r="B446" s="9" t="n">
        <v>444</v>
      </c>
      <c r="C446" s="10" t="inlineStr">
        <is>
          <t>Nhân Viên Kinh Doanh - Đà Nẵng</t>
        </is>
      </c>
      <c r="D446" s="10" t="inlineStr">
        <is>
          <t>Công ty Cổ phần Tôn Đông Á</t>
        </is>
      </c>
      <c r="E446" s="10" t="inlineStr">
        <is>
          <t>Lương:8 Tr - 20 Tr VND</t>
        </is>
      </c>
      <c r="F446" s="10" t="inlineStr">
        <is>
          <t>Đà Nẵng</t>
        </is>
      </c>
      <c r="G446" s="10" t="inlineStr">
        <is>
          <t>23-04-2026</t>
        </is>
      </c>
      <c r="H446" s="10" t="inlineStr">
        <is>
          <t>23/04/2026</t>
        </is>
      </c>
      <c r="I446" s="10" t="inlineStr">
        <is>
          <t>17/03/2026</t>
        </is>
      </c>
      <c r="J446" s="10" t="inlineStr">
        <is>
          <t>Tiếp thị / Marketing, Bán hàng / Kinh doanh</t>
        </is>
      </c>
      <c r="K446" s="10" t="inlineStr">
        <is>
          <t>1 - 2 Năm</t>
        </is>
      </c>
      <c r="L446" s="11">
        <f>HYPERLINK("https://careerviet.vn/vi/tim-viec-lam/nhan-vien-kinh-doanh-da-nang.35C6A5EB.html","Xem chi tiết")</f>
        <v/>
      </c>
      <c r="M446" s="10" t="n"/>
    </row>
    <row r="447">
      <c r="B447" s="7" t="n">
        <v>445</v>
      </c>
      <c r="C447" t="inlineStr">
        <is>
          <t>Kế Toán Tổng Hợp</t>
        </is>
      </c>
      <c r="D447" t="inlineStr">
        <is>
          <t>TWGROUP</t>
        </is>
      </c>
      <c r="E447" t="inlineStr">
        <is>
          <t>Lương:15 Tr - 30 Tr VND</t>
        </is>
      </c>
      <c r="F447" t="inlineStr">
        <is>
          <t>Hồ Chí Minh</t>
        </is>
      </c>
      <c r="G447" t="inlineStr">
        <is>
          <t>01-04-2026</t>
        </is>
      </c>
      <c r="H447" t="inlineStr">
        <is>
          <t>01/04/2026</t>
        </is>
      </c>
      <c r="I447" t="inlineStr">
        <is>
          <t>17/03/2026</t>
        </is>
      </c>
      <c r="J447" t="inlineStr">
        <is>
          <t>Kế toán / Kiểm toán, Ngân hàng, Tài chính / Đầu tư</t>
        </is>
      </c>
      <c r="K447" t="inlineStr">
        <is>
          <t>3 - 6 Năm</t>
        </is>
      </c>
      <c r="L447" s="8">
        <f>HYPERLINK("https://careerviet.vn/vi/tim-viec-lam/ke-toan-tong-hop.35C6A374.html","Xem chi tiết")</f>
        <v/>
      </c>
    </row>
    <row r="448">
      <c r="B448" s="9" t="n">
        <v>446</v>
      </c>
      <c r="C448" s="10" t="inlineStr">
        <is>
          <t>Nhân viên thiết kế</t>
        </is>
      </c>
      <c r="D448" s="10" t="inlineStr">
        <is>
          <t>CÔNG TY CỔ PHẦN DATYSO VIỆT NAM</t>
        </is>
      </c>
      <c r="E448" s="10" t="inlineStr">
        <is>
          <t>Lương:10 Tr - 18 Tr VND</t>
        </is>
      </c>
      <c r="F448" s="10" t="inlineStr">
        <is>
          <t>Hà Nội</t>
        </is>
      </c>
      <c r="G448" s="10" t="inlineStr">
        <is>
          <t>20-04-2026</t>
        </is>
      </c>
      <c r="H448" s="10" t="inlineStr">
        <is>
          <t>20/04/2026</t>
        </is>
      </c>
      <c r="I448" s="10" t="inlineStr">
        <is>
          <t>17/03/2026</t>
        </is>
      </c>
      <c r="J448" s="10" t="inlineStr">
        <is>
          <t>Cơ khí / Ô tô / Tự động hóa, Sản xuất / Vận hành sản xuất</t>
        </is>
      </c>
      <c r="K448" s="10" t="inlineStr">
        <is>
          <t>1 - 3 Năm</t>
        </is>
      </c>
      <c r="L448" s="11">
        <f>HYPERLINK("https://careerviet.vn/vi/tim-viec-lam/nhan-vien-thiet-ke.35C6AB29.html","Xem chi tiết")</f>
        <v/>
      </c>
      <c r="M448" s="10" t="n"/>
    </row>
    <row r="449">
      <c r="B449" s="7" t="n">
        <v>447</v>
      </c>
      <c r="C449" t="inlineStr">
        <is>
          <t>Accounts Receivable Accountant</t>
        </is>
      </c>
      <c r="D449" t="inlineStr">
        <is>
          <t>CÔNG TY TNHH MSC VIỆT NAM</t>
        </is>
      </c>
      <c r="E449" t="inlineStr">
        <is>
          <t>Lương:Cạnh tranh</t>
        </is>
      </c>
      <c r="F449" t="inlineStr">
        <is>
          <t>Hồ Chí Minh</t>
        </is>
      </c>
      <c r="G449" t="inlineStr">
        <is>
          <t>24-03-2026</t>
        </is>
      </c>
      <c r="H449" t="inlineStr">
        <is>
          <t>24/03/2026</t>
        </is>
      </c>
      <c r="I449" t="inlineStr">
        <is>
          <t>17/03/2026</t>
        </is>
      </c>
      <c r="J449" t="inlineStr">
        <is>
          <t>Kế toán / Kiểm toán</t>
        </is>
      </c>
      <c r="K449" t="inlineStr">
        <is>
          <t>1 - 2 Năm</t>
        </is>
      </c>
      <c r="L449" s="8">
        <f>HYPERLINK("https://careerviet.vn/vi/tim-viec-lam/accounts-receivable-accountant.35C6BDEA.html","Xem chi tiết")</f>
        <v/>
      </c>
    </row>
    <row r="450">
      <c r="B450" s="9" t="n">
        <v>448</v>
      </c>
      <c r="C450" s="10" t="inlineStr">
        <is>
          <t>Chuyên viên Tuyển dụng</t>
        </is>
      </c>
      <c r="D450" s="10" t="inlineStr">
        <is>
          <t>Công Ty TNHH Thương Mại Xuất Nhập Khẩu Fani</t>
        </is>
      </c>
      <c r="E450" s="10" t="inlineStr">
        <is>
          <t>Lương:12 Tr - 20 Tr VND</t>
        </is>
      </c>
      <c r="F450" s="10" t="inlineStr">
        <is>
          <t>Hà Nội</t>
        </is>
      </c>
      <c r="G450" s="10" t="inlineStr">
        <is>
          <t>31-03-2026</t>
        </is>
      </c>
      <c r="H450" s="10" t="inlineStr">
        <is>
          <t>31/03/2026</t>
        </is>
      </c>
      <c r="I450" s="10" t="inlineStr">
        <is>
          <t>17/03/2026</t>
        </is>
      </c>
      <c r="J450" s="10" t="inlineStr">
        <is>
          <t>Nhân sự</t>
        </is>
      </c>
      <c r="K450" s="10" t="inlineStr">
        <is>
          <t>1 - 2 Năm</t>
        </is>
      </c>
      <c r="L450" s="11">
        <f>HYPERLINK("https://careerviet.vn/vi/tim-viec-lam/chuyen-vien-tuyen-dung.35C6A3CA.html","Xem chi tiết")</f>
        <v/>
      </c>
      <c r="M450" s="10" t="n"/>
    </row>
    <row r="451">
      <c r="B451" s="7" t="n">
        <v>449</v>
      </c>
      <c r="C451" t="inlineStr">
        <is>
          <t>Trưởng Phòng R&amp;D – Phát Triển Sản Phẩm | Thu Nhập 25–35 Triệu | Phỏng Vấn Đi Làm Ngay</t>
        </is>
      </c>
      <c r="D451" t="inlineStr">
        <is>
          <t>Công ty TNHH Sản xuất, lắp ráp Tuấn Nghĩa</t>
        </is>
      </c>
      <c r="E451" t="inlineStr">
        <is>
          <t>Lương:25 Tr - 35 Tr VND</t>
        </is>
      </c>
      <c r="F451" t="inlineStr">
        <is>
          <t>Hà Nội</t>
        </is>
      </c>
      <c r="G451" t="inlineStr">
        <is>
          <t>31-03-2026</t>
        </is>
      </c>
      <c r="H451" t="inlineStr">
        <is>
          <t>31/03/2026</t>
        </is>
      </c>
      <c r="I451" t="inlineStr">
        <is>
          <t>17/03/2026</t>
        </is>
      </c>
      <c r="J451" t="inlineStr">
        <is>
          <t>Cơ khí / Ô tô / Tự động hóa, Điện / Điện tử / Điện lạnh / Điện công nghiệp, Sản xuất / Vận hành sản xuất</t>
        </is>
      </c>
      <c r="K451" t="inlineStr">
        <is>
          <t>3 Năm</t>
        </is>
      </c>
      <c r="L451" s="8">
        <f>HYPERLINK("https://careerviet.vn/vi/tim-viec-lam/truong-phong-r-d-phat-trien-san-pham-thu-nhap-25-35-trieu-phong-van-di-lam-ngay.35C6A2C8.html","Xem chi tiết")</f>
        <v/>
      </c>
    </row>
    <row r="452">
      <c r="B452" s="9" t="n">
        <v>450</v>
      </c>
      <c r="C452" s="10" t="inlineStr">
        <is>
          <t>Kế Toán Công Nợ</t>
        </is>
      </c>
      <c r="D452" s="10" t="inlineStr">
        <is>
          <t>CÔNG TY CỔ PHẦN PHÁT TRIỂN GIÁO DỤC QUỐC TẾ GAIA</t>
        </is>
      </c>
      <c r="E452" s="10" t="inlineStr">
        <is>
          <t>Lương:12 Tr - 14 Tr VND</t>
        </is>
      </c>
      <c r="F452" s="10" t="inlineStr">
        <is>
          <t>Hà Nội</t>
        </is>
      </c>
      <c r="G452" s="10" t="inlineStr">
        <is>
          <t>31-03-2026</t>
        </is>
      </c>
      <c r="H452" s="10" t="inlineStr">
        <is>
          <t>31/03/2026</t>
        </is>
      </c>
      <c r="I452" s="10" t="inlineStr">
        <is>
          <t>17/03/2026</t>
        </is>
      </c>
      <c r="J452" s="10" t="inlineStr">
        <is>
          <t>Kế toán / Kiểm toán, Ngân hàng, Tài chính / Đầu tư</t>
        </is>
      </c>
      <c r="K452" s="10" t="inlineStr">
        <is>
          <t>Trên 1 Năm</t>
        </is>
      </c>
      <c r="L452" s="11">
        <f>HYPERLINK("https://careerviet.vn/vi/tim-viec-lam/ke-toan-cong-no.35C6A31E.html","Xem chi tiết")</f>
        <v/>
      </c>
      <c r="M452" s="10" t="n"/>
    </row>
    <row r="453">
      <c r="B453" s="7" t="n">
        <v>451</v>
      </c>
      <c r="C453" t="inlineStr">
        <is>
          <t>Nhân viên kinh doanh</t>
        </is>
      </c>
      <c r="D453" t="inlineStr">
        <is>
          <t>CÔNG TY CỔ PHẦN THƯƠNG MẠI DỊCH VỤ KỸ THUẬT CAO NAM PHÁT</t>
        </is>
      </c>
      <c r="E453" t="inlineStr">
        <is>
          <t>Lương:Cạnh tranh</t>
        </is>
      </c>
      <c r="F453" t="inlineStr">
        <is>
          <t>Hồ Chí MinhBình Dương</t>
        </is>
      </c>
      <c r="G453" t="inlineStr">
        <is>
          <t>09-04-2026</t>
        </is>
      </c>
      <c r="H453" t="inlineStr">
        <is>
          <t>09/04/2026</t>
        </is>
      </c>
      <c r="I453" t="inlineStr">
        <is>
          <t>17/03/2026</t>
        </is>
      </c>
      <c r="J453" t="inlineStr">
        <is>
          <t>Bán hàng / Kinh doanh, Bán Hàng Kỹ Thuật, Môi trường</t>
        </is>
      </c>
      <c r="K453" t="inlineStr">
        <is>
          <t>Trên 1 Năm</t>
        </is>
      </c>
      <c r="L453" s="8">
        <f>HYPERLINK("https://careerviet.vn/vi/tim-viec-lam/nhan-vien-kinh-doanh.35C6BA62.html","Xem chi tiết")</f>
        <v/>
      </c>
    </row>
    <row r="454">
      <c r="B454" s="9" t="n">
        <v>452</v>
      </c>
      <c r="C454" s="10" t="inlineStr">
        <is>
          <t>Kỹ sư cấp thoát nước</t>
        </is>
      </c>
      <c r="D454" s="10" t="inlineStr">
        <is>
          <t>CÔNG TY TNHH XÂY DỰNG THƯƠNG MẠI LỤC GIÁC</t>
        </is>
      </c>
      <c r="E454" s="10" t="inlineStr">
        <is>
          <t>Lương:13 Tr - 16 Tr VND</t>
        </is>
      </c>
      <c r="F454" s="10" t="inlineStr">
        <is>
          <t>Bình Thuận</t>
        </is>
      </c>
      <c r="G454" s="10" t="inlineStr">
        <is>
          <t>30-04-2026</t>
        </is>
      </c>
      <c r="H454" s="10" t="inlineStr">
        <is>
          <t>30/04/2026</t>
        </is>
      </c>
      <c r="I454" s="10" t="inlineStr">
        <is>
          <t>17/03/2026</t>
        </is>
      </c>
      <c r="J454" s="10" t="inlineStr">
        <is>
          <t>Xây dựng, Điện / Điện tử / Điện lạnh / Điện công nghiệp, Môi trường</t>
        </is>
      </c>
      <c r="K454" s="10" t="inlineStr">
        <is>
          <t>N/A</t>
        </is>
      </c>
      <c r="L454" s="11">
        <f>HYPERLINK("https://careerviet.vn/vi/tim-viec-lam/ky-su-cap-thoat-nuoc.35C6BC06.html","Xem chi tiết")</f>
        <v/>
      </c>
      <c r="M454" s="10" t="n"/>
    </row>
    <row r="455">
      <c r="B455" s="7" t="n">
        <v>453</v>
      </c>
      <c r="C455" t="inlineStr">
        <is>
          <t>Editor Executive</t>
        </is>
      </c>
      <c r="D455" t="inlineStr">
        <is>
          <t>CÔNG TY TNHH BRIGHT MARKETING</t>
        </is>
      </c>
      <c r="E455" t="inlineStr">
        <is>
          <t>Lương:Cạnh tranh</t>
        </is>
      </c>
      <c r="F455" t="inlineStr">
        <is>
          <t>Hồ Chí Minh</t>
        </is>
      </c>
      <c r="G455" t="inlineStr">
        <is>
          <t>09-04-2026</t>
        </is>
      </c>
      <c r="H455" t="inlineStr">
        <is>
          <t>09/04/2026</t>
        </is>
      </c>
      <c r="I455" t="inlineStr">
        <is>
          <t>17/03/2026</t>
        </is>
      </c>
      <c r="J455" t="inlineStr">
        <is>
          <t>Mỹ thuật / Nghệ thuật / Thiết kế, Quảng cáo / Đối ngoại / Truyền Thông, Tiếp thị / Marketing</t>
        </is>
      </c>
      <c r="K455" t="inlineStr">
        <is>
          <t>Trên 1 Năm</t>
        </is>
      </c>
      <c r="L455" s="8">
        <f>HYPERLINK("https://careerviet.vn/vi/tim-viec-lam/editor-executive.35C6BA1B.html","Xem chi tiết")</f>
        <v/>
      </c>
    </row>
    <row r="456">
      <c r="B456" s="9" t="n">
        <v>454</v>
      </c>
      <c r="C456" s="10" t="inlineStr">
        <is>
          <t>Trưởng Phòng Tuyển Dụng</t>
        </is>
      </c>
      <c r="D456" s="10" t="inlineStr">
        <is>
          <t>Công Ty TNHH Thương Mại Xuất Nhập Khẩu Fani</t>
        </is>
      </c>
      <c r="E456" s="10" t="inlineStr">
        <is>
          <t>Lương:20 Tr - 30 Tr VND</t>
        </is>
      </c>
      <c r="F456" s="10" t="inlineStr">
        <is>
          <t>Hà Nội</t>
        </is>
      </c>
      <c r="G456" s="10" t="inlineStr">
        <is>
          <t>31-03-2026</t>
        </is>
      </c>
      <c r="H456" s="10" t="inlineStr">
        <is>
          <t>31/03/2026</t>
        </is>
      </c>
      <c r="I456" s="10" t="inlineStr">
        <is>
          <t>17/03/2026</t>
        </is>
      </c>
      <c r="J456" s="10" t="inlineStr">
        <is>
          <t>Nhân sự, Quản lý điều hành</t>
        </is>
      </c>
      <c r="K456" s="10" t="inlineStr">
        <is>
          <t>5 - 7 Năm</t>
        </is>
      </c>
      <c r="L456" s="11">
        <f>HYPERLINK("https://careerviet.vn/vi/tim-viec-lam/truong-phong-tuyen-dung.35C6A3B2.html","Xem chi tiết")</f>
        <v/>
      </c>
      <c r="M456" s="10" t="n"/>
    </row>
    <row r="457">
      <c r="B457" s="7" t="n">
        <v>455</v>
      </c>
      <c r="C457" t="inlineStr">
        <is>
          <t>Nhân viên QS/QC</t>
        </is>
      </c>
      <c r="D457" t="inlineStr">
        <is>
          <t>CÔNG TY TNHH XÂY DỰNG THƯƠNG MẠI LỤC GIÁC</t>
        </is>
      </c>
      <c r="E457" t="inlineStr">
        <is>
          <t>Lương:12 Tr - 16 Tr VND</t>
        </is>
      </c>
      <c r="F457" t="inlineStr">
        <is>
          <t>Hồ Chí MinhBình Dương</t>
        </is>
      </c>
      <c r="G457" t="inlineStr">
        <is>
          <t>30-04-2026</t>
        </is>
      </c>
      <c r="H457" t="inlineStr">
        <is>
          <t>30/04/2026</t>
        </is>
      </c>
      <c r="I457" t="inlineStr">
        <is>
          <t>17/03/2026</t>
        </is>
      </c>
      <c r="J457" t="inlineStr">
        <is>
          <t>Quản lý chất lượng (QA/QC), Xây dựng</t>
        </is>
      </c>
      <c r="K457" t="inlineStr">
        <is>
          <t>Chưa có kinh nghiệm</t>
        </is>
      </c>
      <c r="L457" s="8">
        <f>HYPERLINK("https://careerviet.vn/vi/tim-viec-lam/nhan-vien-qs-qc.35C6BBDB.html","Xem chi tiết")</f>
        <v/>
      </c>
    </row>
    <row r="458">
      <c r="B458" s="9" t="n">
        <v>456</v>
      </c>
      <c r="C458" s="10" t="inlineStr">
        <is>
          <t>Senior Customer Marketing Specialist (GenZ Segment)</t>
        </is>
      </c>
      <c r="D458" s="10" t="inlineStr">
        <is>
          <t>FE CREDIT</t>
        </is>
      </c>
      <c r="E458" s="10" t="inlineStr">
        <is>
          <t>Lương:Cạnh tranh</t>
        </is>
      </c>
      <c r="F458" s="10" t="inlineStr">
        <is>
          <t>Hồ Chí Minh</t>
        </is>
      </c>
      <c r="G458" s="10" t="inlineStr">
        <is>
          <t>30-04-2026</t>
        </is>
      </c>
      <c r="H458" s="10" t="inlineStr">
        <is>
          <t>30/04/2026</t>
        </is>
      </c>
      <c r="I458" s="10" t="inlineStr">
        <is>
          <t>17/03/2026</t>
        </is>
      </c>
      <c r="J458" s="10" t="inlineStr">
        <is>
          <t>Tiếp thị / Marketing, Ngân hàng, Tài chính / Đầu tư</t>
        </is>
      </c>
      <c r="K458" s="10" t="inlineStr">
        <is>
          <t>2 - 3 Năm</t>
        </is>
      </c>
      <c r="L458" s="11">
        <f>HYPERLINK("https://careerviet.vn/vi/tim-viec-lam/senior-customer-marketing-specialist-genz-segment.35C6BCC6.html","Xem chi tiết")</f>
        <v/>
      </c>
      <c r="M458" s="10" t="n"/>
    </row>
    <row r="459">
      <c r="B459" s="7" t="n">
        <v>457</v>
      </c>
      <c r="C459" t="inlineStr">
        <is>
          <t>Thợ làm bánh mì</t>
        </is>
      </c>
      <c r="D459" t="inlineStr">
        <is>
          <t>CÔNG TY TNHH BLUE ELATION</t>
        </is>
      </c>
      <c r="E459" t="inlineStr">
        <is>
          <t>Lương:9 Tr - 12 Tr VND</t>
        </is>
      </c>
      <c r="F459" t="inlineStr">
        <is>
          <t>Hồ Chí Minh</t>
        </is>
      </c>
      <c r="G459" t="inlineStr">
        <is>
          <t>10-04-2026</t>
        </is>
      </c>
      <c r="H459" t="inlineStr">
        <is>
          <t>10/04/2026</t>
        </is>
      </c>
      <c r="I459" t="inlineStr">
        <is>
          <t>17/03/2026</t>
        </is>
      </c>
      <c r="J459" t="inlineStr">
        <is>
          <t>Nhà hàng / Khách sạn, Du lịch, Thực phẩm &amp; Đồ uống</t>
        </is>
      </c>
      <c r="K459" t="inlineStr">
        <is>
          <t>3 - 20 Năm</t>
        </is>
      </c>
      <c r="L459" s="8">
        <f>HYPERLINK("https://careerviet.vn/vi/tim-viec-lam/tho-lam-banh-mi.35C6BC68.html","Xem chi tiết")</f>
        <v/>
      </c>
    </row>
    <row r="460">
      <c r="B460" s="9" t="n">
        <v>458</v>
      </c>
      <c r="C460" s="10" t="inlineStr">
        <is>
          <t>Nhân viên sale giáo dục</t>
        </is>
      </c>
      <c r="D460" s="10" t="inlineStr">
        <is>
          <t>CÔNG TY CỔ PHẦN GECO AI</t>
        </is>
      </c>
      <c r="E460" s="10" t="inlineStr">
        <is>
          <t>Lương:Cạnh tranh</t>
        </is>
      </c>
      <c r="F460" s="10" t="inlineStr">
        <is>
          <t>Hà Nội</t>
        </is>
      </c>
      <c r="G460" s="10" t="inlineStr">
        <is>
          <t>31-03-2026</t>
        </is>
      </c>
      <c r="H460" s="10" t="inlineStr">
        <is>
          <t>31/03/2026</t>
        </is>
      </c>
      <c r="I460" s="10" t="inlineStr">
        <is>
          <t>17/03/2026</t>
        </is>
      </c>
      <c r="J460" s="10" t="inlineStr">
        <is>
          <t>Giáo dục / Đào tạo, Bán hàng / Kinh doanh, Tư vấn</t>
        </is>
      </c>
      <c r="K460" s="10" t="inlineStr">
        <is>
          <t>1 - 2 Năm</t>
        </is>
      </c>
      <c r="L460" s="11">
        <f>HYPERLINK("https://careerviet.vn/vi/tim-viec-lam/nhan-vien-sale-giao-duc.35C6BDFF.html","Xem chi tiết")</f>
        <v/>
      </c>
      <c r="M460" s="10" t="n"/>
    </row>
    <row r="461">
      <c r="B461" s="7" t="n">
        <v>459</v>
      </c>
      <c r="C461" t="inlineStr">
        <is>
          <t>Kỹ Sư Bảo Mật - Security Engineer</t>
        </is>
      </c>
      <c r="D461" t="inlineStr">
        <is>
          <t>Công ty Cổ phần Viễn thông - Tin học Bưu điện</t>
        </is>
      </c>
      <c r="E461" t="inlineStr">
        <is>
          <t>Lương:Cạnh tranh</t>
        </is>
      </c>
      <c r="F461" t="inlineStr">
        <is>
          <t>Hà Nội</t>
        </is>
      </c>
      <c r="G461" t="inlineStr">
        <is>
          <t>09-04-2026</t>
        </is>
      </c>
      <c r="H461" t="inlineStr">
        <is>
          <t>09/04/2026</t>
        </is>
      </c>
      <c r="I461" t="inlineStr">
        <is>
          <t>17/03/2026</t>
        </is>
      </c>
      <c r="J461" t="inlineStr">
        <is>
          <t>CNTT - Phần cứng / Mạng, CNTT - Phần mềm, Hành chính / Thư ký</t>
        </is>
      </c>
      <c r="K461" t="inlineStr">
        <is>
          <t>3 - 5 Năm</t>
        </is>
      </c>
      <c r="L461" s="8">
        <f>HYPERLINK("https://careerviet.vn/vi/tim-viec-lam/ky-su-bao-mat-security-engineer.35C6BCA1.html","Xem chi tiết")</f>
        <v/>
      </c>
    </row>
    <row r="462">
      <c r="B462" s="9" t="n">
        <v>460</v>
      </c>
      <c r="C462" s="10" t="inlineStr">
        <is>
          <t>Chăm Sóc Khách Hàng Tại Phòng Khám Da Liễu</t>
        </is>
      </c>
      <c r="D462" s="10" t="inlineStr">
        <is>
          <t>CÔNG TY CỔ PHẦN CÔNG NGHỆ CAO QUỐC TẾ THT MEDICAL</t>
        </is>
      </c>
      <c r="E462" s="10" t="inlineStr">
        <is>
          <t>Lương:12 Tr - 25 Tr VND</t>
        </is>
      </c>
      <c r="F462" s="10" t="inlineStr">
        <is>
          <t>Hà NộiHồ Chí Minh</t>
        </is>
      </c>
      <c r="G462" s="10" t="inlineStr">
        <is>
          <t>31-03-2026</t>
        </is>
      </c>
      <c r="H462" s="10" t="inlineStr">
        <is>
          <t>31/03/2026</t>
        </is>
      </c>
      <c r="I462" s="10" t="inlineStr">
        <is>
          <t>17/03/2026</t>
        </is>
      </c>
      <c r="J462" s="10" t="inlineStr">
        <is>
          <t>Y tế / Chăm sóc sức khỏe / Thẩm mỹ / Làm đẹp, Hành chính / Thư ký</t>
        </is>
      </c>
      <c r="K462" s="10" t="inlineStr">
        <is>
          <t>Trên 1 Năm</t>
        </is>
      </c>
      <c r="L462" s="11">
        <f>HYPERLINK("https://careerviet.vn/vi/tim-viec-lam/cham-soc-khach-hang-tai-phong-kham-da-lieu.35C6BAE4.html","Xem chi tiết")</f>
        <v/>
      </c>
      <c r="M462" s="10" t="n"/>
    </row>
    <row r="463">
      <c r="B463" s="7" t="n">
        <v>461</v>
      </c>
      <c r="C463" t="inlineStr">
        <is>
          <t>CV/CVC/CVCC Quan Hệ Khách Hàng Doanh nghiệp - Hà Nội, Quảng Ninh</t>
        </is>
      </c>
      <c r="D463" t="inlineStr">
        <is>
          <t>Ngân Hàng Thương Mại Cổ Phần Bảo Việt</t>
        </is>
      </c>
      <c r="E463" t="inlineStr">
        <is>
          <t>Lương:Cạnh tranh</t>
        </is>
      </c>
      <c r="F463" t="inlineStr">
        <is>
          <t>Hà NộiQuảng Ninh</t>
        </is>
      </c>
      <c r="G463" t="inlineStr">
        <is>
          <t>30-05-2026</t>
        </is>
      </c>
      <c r="H463" t="inlineStr">
        <is>
          <t>30/05/2026</t>
        </is>
      </c>
      <c r="I463" t="inlineStr">
        <is>
          <t>17/03/2026</t>
        </is>
      </c>
      <c r="J463" t="inlineStr">
        <is>
          <t>Ngân hàng, Tài chính / Đầu tư, Bất động sản</t>
        </is>
      </c>
      <c r="K463" t="inlineStr">
        <is>
          <t>1 - 3 Năm</t>
        </is>
      </c>
      <c r="L463" s="8">
        <f>HYPERLINK("https://careerviet.vn/vi/tim-viec-lam/cv-cvc-cvcc-quan-he-khach-hang-doanh-nghiep-ha-noi-quang-ninh.35C6BC96.html","Xem chi tiết")</f>
        <v/>
      </c>
    </row>
    <row r="464">
      <c r="B464" s="9" t="n">
        <v>462</v>
      </c>
      <c r="C464" s="10" t="inlineStr">
        <is>
          <t>Nhân Viên Kỹ Thuật</t>
        </is>
      </c>
      <c r="D464" s="10" t="inlineStr">
        <is>
          <t>Công ty Cổ phần Thiết kế và Quản lý Kỹ thuật IMP</t>
        </is>
      </c>
      <c r="E464" s="10" t="inlineStr">
        <is>
          <t>Lương:9 Tr - 11 Tr VND</t>
        </is>
      </c>
      <c r="F464" s="10" t="inlineStr">
        <is>
          <t>Đồng NaiHải DươngLong An</t>
        </is>
      </c>
      <c r="G464" s="10" t="inlineStr">
        <is>
          <t>10-04-2026</t>
        </is>
      </c>
      <c r="H464" s="10" t="inlineStr">
        <is>
          <t>10/04/2026</t>
        </is>
      </c>
      <c r="I464" s="10" t="inlineStr">
        <is>
          <t>17/03/2026</t>
        </is>
      </c>
      <c r="J464" s="10" t="inlineStr">
        <is>
          <t>Điện / Điện tử / Điện lạnh / Điện công nghiệp, Bảo trì / Sửa chữa, Cơ khí / Ô tô / Tự động hóa</t>
        </is>
      </c>
      <c r="K464" s="10" t="inlineStr">
        <is>
          <t>1 - 2 Năm</t>
        </is>
      </c>
      <c r="L464" s="11">
        <f>HYPERLINK("https://careerviet.vn/vi/tim-viec-lam/nhan-vien-ky-thuat.35C6BD98.html","Xem chi tiết")</f>
        <v/>
      </c>
      <c r="M464" s="10" t="n"/>
    </row>
    <row r="465">
      <c r="B465" s="7" t="n">
        <v>463</v>
      </c>
      <c r="C465" t="inlineStr">
        <is>
          <t>HO - Khối NHDN - Chuyên viên cao cấp Giải pháp (mảng Quản lý dòng tiền)</t>
        </is>
      </c>
      <c r="D465" t="inlineStr">
        <is>
          <t>Ngân hàng TMCP Lộc Phát Việt Nam (LPBank)</t>
        </is>
      </c>
      <c r="E465" t="inlineStr">
        <is>
          <t>Lương:Cạnh tranh</t>
        </is>
      </c>
      <c r="F465" t="inlineStr">
        <is>
          <t>Hà Nội</t>
        </is>
      </c>
      <c r="G465" t="inlineStr">
        <is>
          <t>29-04-2026</t>
        </is>
      </c>
      <c r="H465" t="inlineStr">
        <is>
          <t>29/04/2026</t>
        </is>
      </c>
      <c r="I465" t="inlineStr">
        <is>
          <t>17/03/2026</t>
        </is>
      </c>
      <c r="J465" t="inlineStr">
        <is>
          <t>Ngân hàng</t>
        </is>
      </c>
      <c r="K465" t="inlineStr">
        <is>
          <t>Trên 3 Năm</t>
        </is>
      </c>
      <c r="L465" s="8">
        <f>HYPERLINK("https://careerviet.vn/vi/tim-viec-lam/ho-khoi-nhdn-chuyen-vien-cao-cap-giai-phap-mang-quan-ly-dong-tien.35C6BABE.html","Xem chi tiết")</f>
        <v/>
      </c>
    </row>
    <row r="466">
      <c r="B466" s="9" t="n">
        <v>464</v>
      </c>
      <c r="C466" s="10" t="inlineStr">
        <is>
          <t>GIÁM ĐỐC KINH DOANH BĐS CÔNG NGHIỆP</t>
        </is>
      </c>
      <c r="D466" s="10" t="inlineStr">
        <is>
          <t>CÔNG TY CỔ PHẦN DỊCH VỤ QUẢN LÝ TÀI SẢN CÁT TƯỜNG</t>
        </is>
      </c>
      <c r="E466" s="10" t="inlineStr">
        <is>
          <t>Lương:Cạnh tranh</t>
        </is>
      </c>
      <c r="F466" s="10" t="inlineStr">
        <is>
          <t>Hà Nội</t>
        </is>
      </c>
      <c r="G466" s="10" t="inlineStr">
        <is>
          <t>09-04-2026</t>
        </is>
      </c>
      <c r="H466" s="10" t="inlineStr">
        <is>
          <t>09/04/2026</t>
        </is>
      </c>
      <c r="I466" s="10" t="inlineStr">
        <is>
          <t>17/03/2026</t>
        </is>
      </c>
      <c r="J466" s="10" t="inlineStr">
        <is>
          <t>Bán hàng / Kinh doanh, Bất động sản, Tiếp thị / Marketing</t>
        </is>
      </c>
      <c r="K466" s="10" t="inlineStr">
        <is>
          <t>5 - 5 Năm</t>
        </is>
      </c>
      <c r="L466" s="11">
        <f>HYPERLINK("https://careerviet.vn/vi/tim-viec-lam/giam-doc-kinh-doanh-bds-cong-nghiep.35C6BC7B.html","Xem chi tiết")</f>
        <v/>
      </c>
      <c r="M466" s="10" t="n"/>
    </row>
    <row r="467">
      <c r="B467" s="7" t="n">
        <v>465</v>
      </c>
      <c r="C467" t="inlineStr">
        <is>
          <t>Kỹ sư xây dựng (giao thông / hạ tầng kỹ thuật / thủy lợi)</t>
        </is>
      </c>
      <c r="D467" t="inlineStr">
        <is>
          <t>CÔNG TY TNHH THƯƠNG MẠI - DỊCH VỤ - KỸ THUẬT ĐỨC HÙNG</t>
        </is>
      </c>
      <c r="E467" t="inlineStr">
        <is>
          <t>Lương:15 Tr - 20 Tr VND</t>
        </is>
      </c>
      <c r="F467" t="inlineStr">
        <is>
          <t>Hồ Chí MinhCần ThơCà Mau</t>
        </is>
      </c>
      <c r="G467" t="inlineStr">
        <is>
          <t>09-04-2026</t>
        </is>
      </c>
      <c r="H467" t="inlineStr">
        <is>
          <t>09/04/2026</t>
        </is>
      </c>
      <c r="I467" t="inlineStr">
        <is>
          <t>17/03/2026</t>
        </is>
      </c>
      <c r="J467" t="inlineStr">
        <is>
          <t>Xây dựng, Thủy lợi, Quản lý chất lượng (QA/QC)</t>
        </is>
      </c>
      <c r="K467" t="inlineStr">
        <is>
          <t>2 - 5 Năm</t>
        </is>
      </c>
      <c r="L467" s="8">
        <f>HYPERLINK("https://careerviet.vn/vi/tim-viec-lam/ky-su-xay-dung-giao-thong-ha-tang-ky-thuat-thuy-loi.35C6BBBF.html","Xem chi tiết")</f>
        <v/>
      </c>
    </row>
    <row r="468">
      <c r="B468" s="9" t="n">
        <v>466</v>
      </c>
      <c r="C468" s="10" t="inlineStr">
        <is>
          <t>QUẢN ĐỐC PHÂN XƯỞNG/ QUẢN ĐỐC SẢN XUẤT</t>
        </is>
      </c>
      <c r="D468" s="10" t="inlineStr">
        <is>
          <t>Orioled Hub</t>
        </is>
      </c>
      <c r="E468" s="10" t="inlineStr">
        <is>
          <t>Lương:20 Tr - 35 Tr VND</t>
        </is>
      </c>
      <c r="F468" s="10" t="inlineStr">
        <is>
          <t>Bà Rịa - Vũng Tàu</t>
        </is>
      </c>
      <c r="G468" s="10" t="inlineStr">
        <is>
          <t>24-04-2026</t>
        </is>
      </c>
      <c r="H468" s="10" t="inlineStr">
        <is>
          <t>24/04/2026</t>
        </is>
      </c>
      <c r="I468" s="10" t="inlineStr">
        <is>
          <t>17/03/2026</t>
        </is>
      </c>
      <c r="J468" s="10" t="inlineStr">
        <is>
          <t>Dược phẩm/ Hóa Mỹ Phẩm, Quản lý chất lượng (QA/QC), Sản xuất / Vận hành sản xuất</t>
        </is>
      </c>
      <c r="K468" s="10" t="inlineStr">
        <is>
          <t>Chưa có kinh nghiệm</t>
        </is>
      </c>
      <c r="L468" s="11">
        <f>HYPERLINK("https://careerviet.vn/vi/tim-viec-lam/quan-doc-phan-xuong-quan-doc-san-xuat.35C6BAEA.html","Xem chi tiết")</f>
        <v/>
      </c>
      <c r="M468" s="10" t="n"/>
    </row>
    <row r="469">
      <c r="B469" s="7" t="n">
        <v>467</v>
      </c>
      <c r="C469" t="inlineStr">
        <is>
          <t>Kĩ sư xây dựng</t>
        </is>
      </c>
      <c r="D469" t="inlineStr">
        <is>
          <t>Công ty CP Xây Dựng Bông Sen Vàng - Golden Lotus Construction</t>
        </is>
      </c>
      <c r="E469" t="inlineStr">
        <is>
          <t>Lương:17 Tr - 30 Tr VND</t>
        </is>
      </c>
      <c r="F469" t="inlineStr">
        <is>
          <t>Hồ Chí MinhNghệ AnĐồng Nai</t>
        </is>
      </c>
      <c r="G469" t="inlineStr">
        <is>
          <t>10-04-2026</t>
        </is>
      </c>
      <c r="H469" t="inlineStr">
        <is>
          <t>10/04/2026</t>
        </is>
      </c>
      <c r="I469" t="inlineStr">
        <is>
          <t>17/03/2026</t>
        </is>
      </c>
      <c r="J469" t="inlineStr">
        <is>
          <t>Xây dựng, Kiến trúc, Bất động sản</t>
        </is>
      </c>
      <c r="K469" t="inlineStr">
        <is>
          <t>1 - 10 Năm</t>
        </is>
      </c>
      <c r="L469" s="8">
        <f>HYPERLINK("https://careerviet.vn/vi/tim-viec-lam/ki-su-xay-dung.35C6BA68.html","Xem chi tiết")</f>
        <v/>
      </c>
    </row>
    <row r="470">
      <c r="B470" s="9" t="n">
        <v>468</v>
      </c>
      <c r="C470" s="10" t="inlineStr">
        <is>
          <t>Trưởng Phòng Kinh Doanh (Ngành Giấy)</t>
        </is>
      </c>
      <c r="D470" s="10" t="inlineStr">
        <is>
          <t>Công Ty TNHH Vĩnh Minh Hưng</t>
        </is>
      </c>
      <c r="E470" s="10" t="inlineStr">
        <is>
          <t>Lương:20 Tr - 35 Tr VND</t>
        </is>
      </c>
      <c r="F470" s="10" t="inlineStr">
        <is>
          <t>Hồ Chí Minh</t>
        </is>
      </c>
      <c r="G470" s="10" t="inlineStr">
        <is>
          <t>09-04-2026</t>
        </is>
      </c>
      <c r="H470" s="10" t="inlineStr">
        <is>
          <t>09/04/2026</t>
        </is>
      </c>
      <c r="I470" s="10" t="inlineStr">
        <is>
          <t>17/03/2026</t>
        </is>
      </c>
      <c r="J470" s="10" t="inlineStr">
        <is>
          <t>Bán hàng / Kinh doanh, Quản lý điều hành, In ấn / Xuất bản</t>
        </is>
      </c>
      <c r="K470" s="10" t="inlineStr">
        <is>
          <t>3 - 5 Năm</t>
        </is>
      </c>
      <c r="L470" s="11">
        <f>HYPERLINK("https://careerviet.vn/vi/tim-viec-lam/truong-phong-kinh-doanh-nganh-giay.35C6BD94.html","Xem chi tiết")</f>
        <v/>
      </c>
      <c r="M470" s="10" t="n"/>
    </row>
    <row r="471">
      <c r="B471" s="7" t="n">
        <v>469</v>
      </c>
      <c r="C471" t="inlineStr">
        <is>
          <t>Kế toán tổng hợp</t>
        </is>
      </c>
      <c r="D471" t="inlineStr">
        <is>
          <t>CÔNG TY TNHH XUẤT NHẬP KHẨU MT GROUP</t>
        </is>
      </c>
      <c r="E471" t="inlineStr">
        <is>
          <t>Lương:14 Tr - 18 Tr VND</t>
        </is>
      </c>
      <c r="F471" t="inlineStr">
        <is>
          <t>Hồ Chí Minh</t>
        </is>
      </c>
      <c r="G471" t="inlineStr">
        <is>
          <t>30-04-2026</t>
        </is>
      </c>
      <c r="H471" t="inlineStr">
        <is>
          <t>30/04/2026</t>
        </is>
      </c>
      <c r="I471" t="inlineStr">
        <is>
          <t>17/03/2026</t>
        </is>
      </c>
      <c r="J471" t="inlineStr">
        <is>
          <t>Kế toán / Kiểm toán</t>
        </is>
      </c>
      <c r="K471" t="inlineStr">
        <is>
          <t>Trên 3 Năm</t>
        </is>
      </c>
      <c r="L471" s="8">
        <f>HYPERLINK("https://careerviet.vn/vi/tim-viec-lam/ke-toan-tong-hop.35C6BCB4.html","Xem chi tiết")</f>
        <v/>
      </c>
    </row>
    <row r="472">
      <c r="B472" s="9" t="n">
        <v>470</v>
      </c>
      <c r="C472" s="10" t="inlineStr">
        <is>
          <t>Audit Assistant Manager</t>
        </is>
      </c>
      <c r="D472" s="10" t="inlineStr">
        <is>
          <t>LOTTE VIETNAM SHOPPING JOINT STOCK COMPANY</t>
        </is>
      </c>
      <c r="E472" s="10" t="inlineStr">
        <is>
          <t>Lương:Cạnh tranh</t>
        </is>
      </c>
      <c r="F472" s="10" t="inlineStr">
        <is>
          <t>Hồ Chí Minh</t>
        </is>
      </c>
      <c r="G472" s="10" t="inlineStr">
        <is>
          <t>30-04-2026</t>
        </is>
      </c>
      <c r="H472" s="10" t="inlineStr">
        <is>
          <t>30/04/2026</t>
        </is>
      </c>
      <c r="I472" s="10" t="inlineStr">
        <is>
          <t>17/03/2026</t>
        </is>
      </c>
      <c r="J472" s="10" t="inlineStr">
        <is>
          <t>Kế toán / Kiểm toán</t>
        </is>
      </c>
      <c r="K472" s="10" t="inlineStr">
        <is>
          <t>3 - 5 Năm</t>
        </is>
      </c>
      <c r="L472" s="11">
        <f>HYPERLINK("https://careerviet.vn/vi/tim-viec-lam/audit-assistant-manager.35C6BD5D.html","Xem chi tiết")</f>
        <v/>
      </c>
      <c r="M472" s="10" t="n"/>
    </row>
    <row r="473">
      <c r="B473" s="7" t="n">
        <v>471</v>
      </c>
      <c r="C473" t="inlineStr">
        <is>
          <t>Kế toán bán hàng, kế toán mua hàng</t>
        </is>
      </c>
      <c r="D473" t="inlineStr">
        <is>
          <t>ADC PLASTIC,. JSC</t>
        </is>
      </c>
      <c r="E473" t="inlineStr">
        <is>
          <t>Lương:13 Tr - 17 Tr VND</t>
        </is>
      </c>
      <c r="F473" t="inlineStr">
        <is>
          <t>Hà Nội</t>
        </is>
      </c>
      <c r="G473" t="inlineStr">
        <is>
          <t>02-04-2026</t>
        </is>
      </c>
      <c r="H473" t="inlineStr">
        <is>
          <t>02/04/2026</t>
        </is>
      </c>
      <c r="I473" t="inlineStr">
        <is>
          <t>17/03/2026</t>
        </is>
      </c>
      <c r="J473" t="inlineStr">
        <is>
          <t>Kế toán / Kiểm toán, Tài chính / Đầu tư</t>
        </is>
      </c>
      <c r="K473" t="inlineStr">
        <is>
          <t>Trên 5 Năm</t>
        </is>
      </c>
      <c r="L473" s="8">
        <f>HYPERLINK("https://careerviet.vn/vi/tim-viec-lam/ke-toan-ban-hang-ke-toan-mua-hang.35C6BAAA.html","Xem chi tiết")</f>
        <v/>
      </c>
    </row>
    <row r="474">
      <c r="B474" s="9" t="n">
        <v>472</v>
      </c>
      <c r="C474" s="10" t="inlineStr">
        <is>
          <t>Kỹ sư dự toán</t>
        </is>
      </c>
      <c r="D474" s="10" t="inlineStr">
        <is>
          <t>Chi Nhánh Công Ty CPĐT Long Biên - Sân Golf Tân Sơn Nhất</t>
        </is>
      </c>
      <c r="E474" s="10" t="inlineStr">
        <is>
          <t>Lương:15 Tr - 20 Tr VND</t>
        </is>
      </c>
      <c r="F474" s="10" t="inlineStr">
        <is>
          <t>Hồ Chí Minh</t>
        </is>
      </c>
      <c r="G474" s="10" t="inlineStr">
        <is>
          <t>10-04-2026</t>
        </is>
      </c>
      <c r="H474" s="10" t="inlineStr">
        <is>
          <t>10/04/2026</t>
        </is>
      </c>
      <c r="I474" s="10" t="inlineStr">
        <is>
          <t>17/03/2026</t>
        </is>
      </c>
      <c r="J474" s="10" t="inlineStr">
        <is>
          <t>Xây dựng</t>
        </is>
      </c>
      <c r="K474" s="10" t="inlineStr">
        <is>
          <t>5 - 10 Năm</t>
        </is>
      </c>
      <c r="L474" s="11">
        <f>HYPERLINK("https://careerviet.vn/vi/tim-viec-lam/ky-su-du-toan.35C6BD39.html","Xem chi tiết")</f>
        <v/>
      </c>
      <c r="M474" s="10" t="n"/>
    </row>
    <row r="475">
      <c r="B475" s="7" t="n">
        <v>473</v>
      </c>
      <c r="C475" t="inlineStr">
        <is>
          <t>CV/CVC/CVCC Quan Hệ Khách Hàng Cá Nhân - Thanh Hoá, Nghệ An, Thái Nguyên</t>
        </is>
      </c>
      <c r="D475" t="inlineStr">
        <is>
          <t>Ngân Hàng Thương Mại Cổ Phần Bảo Việt</t>
        </is>
      </c>
      <c r="E475" t="inlineStr">
        <is>
          <t>Lương:Cạnh tranh</t>
        </is>
      </c>
      <c r="F475" t="inlineStr">
        <is>
          <t>Thanh HóaNghệ An</t>
        </is>
      </c>
      <c r="G475" t="inlineStr">
        <is>
          <t>30-05-2026</t>
        </is>
      </c>
      <c r="H475" t="inlineStr">
        <is>
          <t>30/05/2026</t>
        </is>
      </c>
      <c r="I475" t="inlineStr">
        <is>
          <t>17/03/2026</t>
        </is>
      </c>
      <c r="J475" t="inlineStr">
        <is>
          <t>Ngân hàng, Tài chính / Đầu tư, Bất động sản</t>
        </is>
      </c>
      <c r="K475" t="inlineStr">
        <is>
          <t>1 - 3 Năm</t>
        </is>
      </c>
      <c r="L475" s="8">
        <f>HYPERLINK("https://careerviet.vn/vi/tim-viec-lam/cv-cvc-cvcc-quan-he-khach-hang-ca-nhan-thanh-hoa-nghe-an-thai-nguyen.35C6BC88.html","Xem chi tiết")</f>
        <v/>
      </c>
    </row>
    <row r="476">
      <c r="B476" s="9" t="n">
        <v>474</v>
      </c>
      <c r="C476" s="10" t="inlineStr">
        <is>
          <t>NHÂN VIÊN BẢO TRÌ CÔNG TY MARFOUR</t>
        </is>
      </c>
      <c r="D476" s="10" t="inlineStr">
        <is>
          <t>Liên Hiệp HTX Thương Mại TPHCM - SAIGON CO.OP</t>
        </is>
      </c>
      <c r="E476" s="10" t="inlineStr">
        <is>
          <t>Lương:Cạnh tranh</t>
        </is>
      </c>
      <c r="F476" s="10" t="inlineStr">
        <is>
          <t>Hà Nội</t>
        </is>
      </c>
      <c r="G476" s="10" t="inlineStr">
        <is>
          <t>29-04-2026</t>
        </is>
      </c>
      <c r="H476" s="10" t="inlineStr">
        <is>
          <t>29/04/2026</t>
        </is>
      </c>
      <c r="I476" s="10" t="inlineStr">
        <is>
          <t>17/03/2026</t>
        </is>
      </c>
      <c r="J476" s="10" t="inlineStr">
        <is>
          <t>Bảo trì / Sửa chữa</t>
        </is>
      </c>
      <c r="K476" s="10" t="inlineStr">
        <is>
          <t>1 - 2 Năm</t>
        </is>
      </c>
      <c r="L476" s="11">
        <f>HYPERLINK("https://careerviet.vn/vi/tim-viec-lam/nhan-vien-bao-tri-cong-ty-marfour.35C6BD63.html","Xem chi tiết")</f>
        <v/>
      </c>
      <c r="M476" s="10" t="n"/>
    </row>
    <row r="477">
      <c r="B477" s="7" t="n">
        <v>475</v>
      </c>
      <c r="C477" t="inlineStr">
        <is>
          <t>Kỹ sư cơ điện</t>
        </is>
      </c>
      <c r="D477" t="inlineStr">
        <is>
          <t>Tổng Công ty Vận Tải Thủy</t>
        </is>
      </c>
      <c r="E477" t="inlineStr">
        <is>
          <t>Lương:16 Tr - 25 Tr VND</t>
        </is>
      </c>
      <c r="F477" t="inlineStr">
        <is>
          <t>Hà Nội</t>
        </is>
      </c>
      <c r="G477" t="inlineStr">
        <is>
          <t>30-04-2026</t>
        </is>
      </c>
      <c r="H477" t="inlineStr">
        <is>
          <t>30/04/2026</t>
        </is>
      </c>
      <c r="I477" t="inlineStr">
        <is>
          <t>17/03/2026</t>
        </is>
      </c>
      <c r="J477" t="inlineStr">
        <is>
          <t>Xây dựng, Điện / Điện tử / Điện lạnh / Điện công nghiệp</t>
        </is>
      </c>
      <c r="K477" t="inlineStr">
        <is>
          <t>1 - 3 Năm</t>
        </is>
      </c>
      <c r="L477" s="8">
        <f>HYPERLINK("https://careerviet.vn/vi/tim-viec-lam/ky-su-co-dien.35C6BB75.html","Xem chi tiết")</f>
        <v/>
      </c>
    </row>
    <row r="478">
      <c r="B478" s="9" t="n">
        <v>476</v>
      </c>
      <c r="C478" s="10" t="inlineStr">
        <is>
          <t>Kế Toán Tổng Hợp</t>
        </is>
      </c>
      <c r="D478" s="10" t="inlineStr">
        <is>
          <t>CÔNG TY CỔ PHẦN THƯƠNG MẠI XÂY DỰNG GIAO THÔNG THÁI BÌNH</t>
        </is>
      </c>
      <c r="E478" s="10" t="inlineStr">
        <is>
          <t>Lương:15 Tr - 18 Tr VND</t>
        </is>
      </c>
      <c r="F478" s="10" t="inlineStr">
        <is>
          <t>Hồ Chí Minh</t>
        </is>
      </c>
      <c r="G478" s="10" t="inlineStr">
        <is>
          <t>10-04-2026</t>
        </is>
      </c>
      <c r="H478" s="10" t="inlineStr">
        <is>
          <t>10/04/2026</t>
        </is>
      </c>
      <c r="I478" s="10" t="inlineStr">
        <is>
          <t>17/03/2026</t>
        </is>
      </c>
      <c r="J478" s="10" t="inlineStr">
        <is>
          <t>Kế toán / Kiểm toán, Xây dựng, Tài chính / Đầu tư</t>
        </is>
      </c>
      <c r="K478" s="10" t="inlineStr">
        <is>
          <t>Trên 3 Năm</t>
        </is>
      </c>
      <c r="L478" s="11">
        <f>HYPERLINK("https://careerviet.vn/vi/tim-viec-lam/ke-toan-tong-hop.35C6BBD2.html","Xem chi tiết")</f>
        <v/>
      </c>
      <c r="M478" s="10" t="n"/>
    </row>
    <row r="479">
      <c r="B479" s="7" t="n">
        <v>477</v>
      </c>
      <c r="C479" t="inlineStr">
        <is>
          <t>Kỹ Thuật Bảo Trì (Máy May &amp; Điện)</t>
        </is>
      </c>
      <c r="D479" t="inlineStr">
        <is>
          <t>CÔNG TY TNHH MỘT THÀNH VIÊN CAPROMOS HCM</t>
        </is>
      </c>
      <c r="E479" t="inlineStr">
        <is>
          <t>Lương:Cạnh tranh</t>
        </is>
      </c>
      <c r="F479" t="inlineStr">
        <is>
          <t>Hồ Chí Minh</t>
        </is>
      </c>
      <c r="G479" t="inlineStr">
        <is>
          <t>01-04-2026</t>
        </is>
      </c>
      <c r="H479" t="inlineStr">
        <is>
          <t>01/04/2026</t>
        </is>
      </c>
      <c r="I479" t="inlineStr">
        <is>
          <t>17/03/2026</t>
        </is>
      </c>
      <c r="J479" t="inlineStr">
        <is>
          <t>Bảo trì / Sửa chữa, Điện / Điện tử / Điện lạnh / Điện công nghiệp</t>
        </is>
      </c>
      <c r="K479" t="inlineStr">
        <is>
          <t>Trên 2 Năm</t>
        </is>
      </c>
      <c r="L479" s="8">
        <f>HYPERLINK("https://careerviet.vn/vi/tim-viec-lam/ky-thuat-bao-tri-may-may-dien.35C6A694.html","Xem chi tiết")</f>
        <v/>
      </c>
    </row>
    <row r="480">
      <c r="B480" s="9" t="n">
        <v>478</v>
      </c>
      <c r="C480" s="10" t="inlineStr">
        <is>
          <t>Kế Toán Tổng Hợp</t>
        </is>
      </c>
      <c r="D480" s="10" t="inlineStr">
        <is>
          <t>Công ty Cổ phần Thiết kế và Quản lý Kỹ thuật IMP</t>
        </is>
      </c>
      <c r="E480" s="10" t="inlineStr">
        <is>
          <t>Lương:12 Tr - 16 Tr VND</t>
        </is>
      </c>
      <c r="F480" s="10" t="inlineStr">
        <is>
          <t>Hồ Chí Minh</t>
        </is>
      </c>
      <c r="G480" s="10" t="inlineStr">
        <is>
          <t>10-04-2026</t>
        </is>
      </c>
      <c r="H480" s="10" t="inlineStr">
        <is>
          <t>10/04/2026</t>
        </is>
      </c>
      <c r="I480" s="10" t="inlineStr">
        <is>
          <t>17/03/2026</t>
        </is>
      </c>
      <c r="J480" s="10" t="inlineStr">
        <is>
          <t>Kế toán / Kiểm toán, Tài chính / Đầu tư</t>
        </is>
      </c>
      <c r="K480" s="10" t="inlineStr">
        <is>
          <t>1 - 5 Năm</t>
        </is>
      </c>
      <c r="L480" s="11">
        <f>HYPERLINK("https://careerviet.vn/vi/tim-viec-lam/ke-toan-tong-hop.35C6BD99.html","Xem chi tiết")</f>
        <v/>
      </c>
      <c r="M480" s="10" t="n"/>
    </row>
    <row r="481">
      <c r="B481" s="7" t="n">
        <v>479</v>
      </c>
      <c r="C481" t="inlineStr">
        <is>
          <t>NHÂN VIÊN XUẤT NHẬP KHẨU</t>
        </is>
      </c>
      <c r="D481" t="inlineStr">
        <is>
          <t>Công ty TNHH Glotec Vina</t>
        </is>
      </c>
      <c r="E481" t="inlineStr">
        <is>
          <t>Lương:20 Tr - 25 Tr VND</t>
        </is>
      </c>
      <c r="F481" t="inlineStr">
        <is>
          <t>Đồng Nai</t>
        </is>
      </c>
      <c r="G481" t="inlineStr">
        <is>
          <t>10-04-2026</t>
        </is>
      </c>
      <c r="H481" t="inlineStr">
        <is>
          <t>10/04/2026</t>
        </is>
      </c>
      <c r="I481" t="inlineStr">
        <is>
          <t>17/03/2026</t>
        </is>
      </c>
      <c r="J481" t="inlineStr">
        <is>
          <t>Xuất nhập khẩu, Vận chuyển / Giao nhận / Kho vận, Bán hàng / Kinh doanh</t>
        </is>
      </c>
      <c r="K481" t="inlineStr">
        <is>
          <t>Trên 3 Năm</t>
        </is>
      </c>
      <c r="L481" s="8">
        <f>HYPERLINK("https://careerviet.vn/vi/tim-viec-lam/nhan-vien-xuat-nhap-khau.35C6BBC0.html","Xem chi tiết")</f>
        <v/>
      </c>
    </row>
    <row r="482">
      <c r="B482" s="9" t="n">
        <v>480</v>
      </c>
      <c r="C482" s="10" t="inlineStr">
        <is>
          <t>Nhân viên Kỹ thuật bảo hành - Buôn Ma Thuột</t>
        </is>
      </c>
      <c r="D482" s="10" t="inlineStr">
        <is>
          <t>NANOCO GROUP</t>
        </is>
      </c>
      <c r="E482" s="10" t="inlineStr">
        <is>
          <t>Lương:8 Tr - 12 Tr VND</t>
        </is>
      </c>
      <c r="F482" s="10" t="inlineStr">
        <is>
          <t>Dak Lak</t>
        </is>
      </c>
      <c r="G482" s="10" t="inlineStr">
        <is>
          <t>10-04-2026</t>
        </is>
      </c>
      <c r="H482" s="10" t="inlineStr">
        <is>
          <t>10/04/2026</t>
        </is>
      </c>
      <c r="I482" s="10" t="inlineStr">
        <is>
          <t>17/03/2026</t>
        </is>
      </c>
      <c r="J482" s="10" t="inlineStr">
        <is>
          <t>Điện / Điện tử / Điện lạnh / Điện công nghiệp, Bảo trì / Sửa chữa</t>
        </is>
      </c>
      <c r="K482" s="10" t="inlineStr">
        <is>
          <t>1 - 10 Năm</t>
        </is>
      </c>
      <c r="L482" s="11">
        <f>HYPERLINK("https://careerviet.vn/vi/tim-viec-lam/nhan-vien-ky-thuat-bao-hanh-buon-ma-thuot.35C6BAA7.html","Xem chi tiết")</f>
        <v/>
      </c>
      <c r="M482" s="10" t="n"/>
    </row>
    <row r="483">
      <c r="B483" s="7" t="n">
        <v>481</v>
      </c>
      <c r="C483" t="inlineStr">
        <is>
          <t>Chuyên viên Kế toán tổng hợp</t>
        </is>
      </c>
      <c r="D483" t="inlineStr">
        <is>
          <t>Trường Đại Học Văn Hiến</t>
        </is>
      </c>
      <c r="E483" t="inlineStr">
        <is>
          <t>Lương:10 Tr - 15 Tr VND</t>
        </is>
      </c>
      <c r="F483" t="inlineStr">
        <is>
          <t>Hồ Chí Minh</t>
        </is>
      </c>
      <c r="G483" t="inlineStr">
        <is>
          <t>10-04-2026</t>
        </is>
      </c>
      <c r="H483" t="inlineStr">
        <is>
          <t>10/04/2026</t>
        </is>
      </c>
      <c r="I483" t="inlineStr">
        <is>
          <t>17/03/2026</t>
        </is>
      </c>
      <c r="J483" t="inlineStr">
        <is>
          <t>Kế toán / Kiểm toán, Ngân hàng</t>
        </is>
      </c>
      <c r="K483" t="inlineStr">
        <is>
          <t>1 - 3 Năm</t>
        </is>
      </c>
      <c r="L483" s="8">
        <f>HYPERLINK("https://careerviet.vn/vi/tim-viec-lam/chuyen-vien-ke-toan-tong-hop.35C6BCAD.html","Xem chi tiết")</f>
        <v/>
      </c>
    </row>
    <row r="484">
      <c r="B484" s="9" t="n">
        <v>482</v>
      </c>
      <c r="C484" s="10" t="inlineStr">
        <is>
          <t>Chuyên viên Chính sách an ninh thông tin (chuyên về Chính sách, tuân thủ)</t>
        </is>
      </c>
      <c r="D484" s="10" t="inlineStr">
        <is>
          <t>NGÂN HÀNG TMCP NGOẠI THƯƠNG VIỆT NAM (VIETCOMBANK)</t>
        </is>
      </c>
      <c r="E484" s="10" t="inlineStr">
        <is>
          <t>Lương:Cạnh tranh</t>
        </is>
      </c>
      <c r="F484" s="10" t="inlineStr">
        <is>
          <t>Hà Nội</t>
        </is>
      </c>
      <c r="G484" s="10" t="inlineStr">
        <is>
          <t>31-03-2026</t>
        </is>
      </c>
      <c r="H484" s="10" t="inlineStr">
        <is>
          <t>31/03/2026</t>
        </is>
      </c>
      <c r="I484" s="10" t="inlineStr">
        <is>
          <t>17/03/2026</t>
        </is>
      </c>
      <c r="J484" s="10" t="inlineStr">
        <is>
          <t>Ngân hàng, CNTT - Phần mềm, CNTT - Phần cứng / Mạng</t>
        </is>
      </c>
      <c r="K484" s="10" t="inlineStr">
        <is>
          <t>Trên 2 Năm</t>
        </is>
      </c>
      <c r="L484" s="11">
        <f>HYPERLINK("https://careerviet.vn/vi/tim-viec-lam/chuyen-vien-chinh-sach-an-ninh-thong-tin-chuyen-ve-chinh-sach-tuan-thu.35C6BD90.html","Xem chi tiết")</f>
        <v/>
      </c>
      <c r="M484" s="10" t="n"/>
    </row>
    <row r="485">
      <c r="B485" s="7" t="n">
        <v>483</v>
      </c>
      <c r="C485" t="inlineStr">
        <is>
          <t>Nhân viên kỹ thuật</t>
        </is>
      </c>
      <c r="D485" t="inlineStr">
        <is>
          <t>CÔNG TY TNHH THƯƠNG MẠI THIẾT BỊ ĐIỆN THÁI SƠN BẮC</t>
        </is>
      </c>
      <c r="E485" t="inlineStr">
        <is>
          <t>Lương:12 Tr - 18 Tr VND</t>
        </is>
      </c>
      <c r="F485" t="inlineStr">
        <is>
          <t>Hà Nội</t>
        </is>
      </c>
      <c r="G485" t="inlineStr">
        <is>
          <t>10-04-2026</t>
        </is>
      </c>
      <c r="H485" t="inlineStr">
        <is>
          <t>10/04/2026</t>
        </is>
      </c>
      <c r="I485" t="inlineStr">
        <is>
          <t>17/03/2026</t>
        </is>
      </c>
      <c r="J485" t="inlineStr">
        <is>
          <t>Điện / Điện tử / Điện lạnh / Điện công nghiệp, Cơ khí / Ô tô / Tự động hóa, Bán Hàng Kỹ Thuật</t>
        </is>
      </c>
      <c r="K485" t="inlineStr">
        <is>
          <t>N/A</t>
        </is>
      </c>
      <c r="L485" s="8">
        <f>HYPERLINK("https://careerviet.vn/vi/tim-viec-lam/nhan-vien-ky-thuat.35C6BB6A.html","Xem chi tiết")</f>
        <v/>
      </c>
    </row>
    <row r="486">
      <c r="B486" s="9" t="n">
        <v>484</v>
      </c>
      <c r="C486" s="10" t="inlineStr">
        <is>
          <t>Kỹ sư cơ điện M&amp;E</t>
        </is>
      </c>
      <c r="D486" s="10" t="inlineStr">
        <is>
          <t>CÔNG TY TNHH XÂY DỰNG THƯƠNG MẠI LỤC GIÁC</t>
        </is>
      </c>
      <c r="E486" s="10" t="inlineStr">
        <is>
          <t>Lương:13 Tr - 18 Tr VND</t>
        </is>
      </c>
      <c r="F486" s="10" t="inlineStr">
        <is>
          <t>Bình Thuận</t>
        </is>
      </c>
      <c r="G486" s="10" t="inlineStr">
        <is>
          <t>30-04-2026</t>
        </is>
      </c>
      <c r="H486" s="10" t="inlineStr">
        <is>
          <t>30/04/2026</t>
        </is>
      </c>
      <c r="I486" s="10" t="inlineStr">
        <is>
          <t>17/03/2026</t>
        </is>
      </c>
      <c r="J486" s="10" t="inlineStr">
        <is>
          <t>Điện / Điện tử / Điện lạnh / Điện công nghiệp, Xây dựng, Ngành khác</t>
        </is>
      </c>
      <c r="K486" s="10" t="inlineStr">
        <is>
          <t>Lên đến 5 Năm</t>
        </is>
      </c>
      <c r="L486" s="11">
        <f>HYPERLINK("https://careerviet.vn/vi/tim-viec-lam/ky-su-co-dien-m-e.35C6BBEF.html","Xem chi tiết")</f>
        <v/>
      </c>
      <c r="M486" s="10" t="n"/>
    </row>
    <row r="487">
      <c r="B487" s="7" t="n">
        <v>485</v>
      </c>
      <c r="C487" t="inlineStr">
        <is>
          <t>KẾ TOÁN TỔNG HỢP</t>
        </is>
      </c>
      <c r="D487" t="inlineStr">
        <is>
          <t>CÔNG TY TNHH DV KẾ TOÁN THUẾ VÀ CULD QUANG HUY</t>
        </is>
      </c>
      <c r="E487" t="inlineStr">
        <is>
          <t>Lương:10 Tr - 20 Tr VND</t>
        </is>
      </c>
      <c r="F487" t="inlineStr">
        <is>
          <t>Hồ Chí Minh</t>
        </is>
      </c>
      <c r="G487" t="inlineStr">
        <is>
          <t>10-04-2026</t>
        </is>
      </c>
      <c r="H487" t="inlineStr">
        <is>
          <t>10/04/2026</t>
        </is>
      </c>
      <c r="I487" t="inlineStr">
        <is>
          <t>17/03/2026</t>
        </is>
      </c>
      <c r="J487" t="inlineStr">
        <is>
          <t>Kế toán / Kiểm toán, Luật / Pháp lý, Sản xuất / Vận hành sản xuất</t>
        </is>
      </c>
      <c r="K487" t="inlineStr">
        <is>
          <t>1 - 5 Năm</t>
        </is>
      </c>
      <c r="L487" s="8">
        <f>HYPERLINK("https://careerviet.vn/vi/tim-viec-lam/ke-toan-tong-hop.35C6BDF1.html","Xem chi tiết")</f>
        <v/>
      </c>
    </row>
    <row r="488">
      <c r="B488" s="9" t="n">
        <v>486</v>
      </c>
      <c r="C488" s="10" t="inlineStr">
        <is>
          <t>Kiến trúc sư</t>
        </is>
      </c>
      <c r="D488" s="10" t="inlineStr">
        <is>
          <t>BIM Group</t>
        </is>
      </c>
      <c r="E488" s="10" t="inlineStr">
        <is>
          <t>Lương:Cạnh tranh</t>
        </is>
      </c>
      <c r="F488" s="10" t="inlineStr">
        <is>
          <t>Hà Nội</t>
        </is>
      </c>
      <c r="G488" s="10" t="inlineStr">
        <is>
          <t>31-05-2026</t>
        </is>
      </c>
      <c r="H488" s="10" t="inlineStr">
        <is>
          <t>31/05/2026</t>
        </is>
      </c>
      <c r="I488" s="10" t="inlineStr">
        <is>
          <t>17/03/2026</t>
        </is>
      </c>
      <c r="J488" s="10" t="inlineStr">
        <is>
          <t>Kiến trúc</t>
        </is>
      </c>
      <c r="K488" s="10" t="inlineStr">
        <is>
          <t>2 - 5 Năm</t>
        </is>
      </c>
      <c r="L488" s="11">
        <f>HYPERLINK("https://careerviet.vn/vi/tim-viec-lam/kien-truc-su.35C6BA87.html","Xem chi tiết")</f>
        <v/>
      </c>
      <c r="M488" s="10" t="n"/>
    </row>
    <row r="489">
      <c r="B489" s="7" t="n">
        <v>487</v>
      </c>
      <c r="C489" t="inlineStr">
        <is>
          <t>Nhân viên Microfeed sale</t>
        </is>
      </c>
      <c r="D489" t="inlineStr">
        <is>
          <t>CÔNG TY TNHH THỨC ĂN THỦY SẢN FEED ONE</t>
        </is>
      </c>
      <c r="E489" t="inlineStr">
        <is>
          <t>Lương:15 Tr - 30 Tr VND</t>
        </is>
      </c>
      <c r="F489" t="inlineStr">
        <is>
          <t>Đồng Tháp</t>
        </is>
      </c>
      <c r="G489" t="inlineStr">
        <is>
          <t>31-03-2026</t>
        </is>
      </c>
      <c r="H489" t="inlineStr">
        <is>
          <t>31/03/2026</t>
        </is>
      </c>
      <c r="I489" t="inlineStr">
        <is>
          <t>17/03/2026</t>
        </is>
      </c>
      <c r="J489" t="inlineStr">
        <is>
          <t>Bán hàng / Kinh doanh, Thủy sản / Hải sản, Tiếp thị / Marketing</t>
        </is>
      </c>
      <c r="K489" t="inlineStr">
        <is>
          <t>Trên 2 Năm</t>
        </is>
      </c>
      <c r="L489" s="8">
        <f>HYPERLINK("https://careerviet.vn/vi/tim-viec-lam/nhan-vien-microfeed-sale.35C6BD13.html","Xem chi tiết")</f>
        <v/>
      </c>
    </row>
    <row r="490">
      <c r="B490" s="9" t="n">
        <v>488</v>
      </c>
      <c r="C490" s="10" t="inlineStr">
        <is>
          <t>Chuyên viên Nhân sự</t>
        </is>
      </c>
      <c r="D490" s="10" t="inlineStr">
        <is>
          <t>Tập đoàn Hà Đô</t>
        </is>
      </c>
      <c r="E490" s="10" t="inlineStr">
        <is>
          <t>Lương:Cạnh tranh</t>
        </is>
      </c>
      <c r="F490" s="10" t="inlineStr">
        <is>
          <t>Hà Nội</t>
        </is>
      </c>
      <c r="G490" s="10" t="inlineStr">
        <is>
          <t>25-04-2026</t>
        </is>
      </c>
      <c r="H490" s="10" t="inlineStr">
        <is>
          <t>25/04/2026</t>
        </is>
      </c>
      <c r="I490" s="10" t="inlineStr">
        <is>
          <t>17/03/2026</t>
        </is>
      </c>
      <c r="J490" s="10" t="inlineStr">
        <is>
          <t>Nhân sự, Hành chính / Thư ký, Luật / Pháp lý</t>
        </is>
      </c>
      <c r="K490" s="10" t="inlineStr">
        <is>
          <t>5 - 6 Năm</t>
        </is>
      </c>
      <c r="L490" s="11">
        <f>HYPERLINK("https://careerviet.vn/vi/tim-viec-lam/chuyen-vien-nhan-su.35C6BA88.html","Xem chi tiết")</f>
        <v/>
      </c>
      <c r="M490" s="10" t="n"/>
    </row>
    <row r="491">
      <c r="B491" s="7" t="n">
        <v>489</v>
      </c>
      <c r="C491" t="inlineStr">
        <is>
          <t>Kế toán tổng hợp</t>
        </is>
      </c>
      <c r="D491" t="inlineStr">
        <is>
          <t>CÔNG TY CỔ PHẦN CONSMATE TTP</t>
        </is>
      </c>
      <c r="E491" t="inlineStr">
        <is>
          <t>Lương:12 Tr - 20 Tr VND</t>
        </is>
      </c>
      <c r="F491" t="inlineStr">
        <is>
          <t>Hà Nội</t>
        </is>
      </c>
      <c r="G491" t="inlineStr">
        <is>
          <t>15-04-2026</t>
        </is>
      </c>
      <c r="H491" t="inlineStr">
        <is>
          <t>15/04/2026</t>
        </is>
      </c>
      <c r="I491" t="inlineStr">
        <is>
          <t>17/03/2026</t>
        </is>
      </c>
      <c r="J491" t="inlineStr">
        <is>
          <t>Kế toán / Kiểm toán, Xây dựng, Điện / Điện tử / Điện lạnh / Điện công nghiệp</t>
        </is>
      </c>
      <c r="K491" t="inlineStr">
        <is>
          <t>2 - 3 Năm</t>
        </is>
      </c>
      <c r="L491" s="8">
        <f>HYPERLINK("https://careerviet.vn/vi/tim-viec-lam/ke-toan-tong-hop.35C6B639.html","Xem chi tiết")</f>
        <v/>
      </c>
    </row>
    <row r="492">
      <c r="B492" s="9" t="n">
        <v>490</v>
      </c>
      <c r="C492" s="10" t="inlineStr">
        <is>
          <t>Kĩ sư giám sát an toàn (HSE)</t>
        </is>
      </c>
      <c r="D492" s="10" t="inlineStr">
        <is>
          <t>Công ty CP Xây Dựng Bông Sen Vàng - Golden Lotus Construction</t>
        </is>
      </c>
      <c r="E492" s="10" t="inlineStr">
        <is>
          <t>Lương:15 Tr - 25 Tr VND</t>
        </is>
      </c>
      <c r="F492" s="10" t="inlineStr">
        <is>
          <t>Hồ Chí MinhĐồng NaiNghệ An</t>
        </is>
      </c>
      <c r="G492" s="10" t="inlineStr">
        <is>
          <t>11-04-2026</t>
        </is>
      </c>
      <c r="H492" s="10" t="inlineStr">
        <is>
          <t>11/04/2026</t>
        </is>
      </c>
      <c r="I492" s="10" t="inlineStr">
        <is>
          <t>17/03/2026</t>
        </is>
      </c>
      <c r="J492" s="10" t="inlineStr">
        <is>
          <t>An toàn lao động, Xây dựng, Môi trường</t>
        </is>
      </c>
      <c r="K492" s="10" t="inlineStr">
        <is>
          <t>1 - 10 Năm</t>
        </is>
      </c>
      <c r="L492" s="11">
        <f>HYPERLINK("https://careerviet.vn/vi/tim-viec-lam/ki-su-giam-sat-an-toan-hse.35C6BCA3.html","Xem chi tiết")</f>
        <v/>
      </c>
      <c r="M492" s="10" t="n"/>
    </row>
    <row r="493">
      <c r="B493" s="7" t="n">
        <v>491</v>
      </c>
      <c r="C493" t="inlineStr">
        <is>
          <t>KẾ TOÁN TỔNG HỢP - ĐỨC HÒA LONG AN</t>
        </is>
      </c>
      <c r="D493" t="inlineStr">
        <is>
          <t>CÔNG TY TNHH NHỰA ĐĂNG MINH</t>
        </is>
      </c>
      <c r="E493" t="inlineStr">
        <is>
          <t>Lương:10 Tr - 15 Tr VND</t>
        </is>
      </c>
      <c r="F493" t="inlineStr">
        <is>
          <t>Long An</t>
        </is>
      </c>
      <c r="G493" t="inlineStr">
        <is>
          <t>30-04-2026</t>
        </is>
      </c>
      <c r="H493" t="inlineStr">
        <is>
          <t>30/04/2026</t>
        </is>
      </c>
      <c r="I493" t="inlineStr">
        <is>
          <t>17/03/2026</t>
        </is>
      </c>
      <c r="J493" t="inlineStr">
        <is>
          <t>Kế toán / Kiểm toán, Sản xuất / Vận hành sản xuất, Hành chính / Thư ký</t>
        </is>
      </c>
      <c r="K493" t="inlineStr">
        <is>
          <t>2 - 10 Năm</t>
        </is>
      </c>
      <c r="L493" s="8">
        <f>HYPERLINK("https://careerviet.vn/vi/tim-viec-lam/ke-toan-tong-hop-duc-hoa-long-an.35C6BB3D.html","Xem chi tiết")</f>
        <v/>
      </c>
    </row>
    <row r="494">
      <c r="B494" s="9" t="n">
        <v>492</v>
      </c>
      <c r="C494" s="10" t="inlineStr">
        <is>
          <t>Kế toán trưởng (Tiếng Trung)</t>
        </is>
      </c>
      <c r="D494" s="10" t="inlineStr">
        <is>
          <t>CÔNG TY TNHH UWINFLY VIETNAM INDUSTRIES</t>
        </is>
      </c>
      <c r="E494" s="10" t="inlineStr">
        <is>
          <t>Lương:1.500 - 2.000 USD</t>
        </is>
      </c>
      <c r="F494" s="10" t="inlineStr">
        <is>
          <t>Hồ Chí Minh</t>
        </is>
      </c>
      <c r="G494" s="10" t="inlineStr">
        <is>
          <t>31-03-2026</t>
        </is>
      </c>
      <c r="H494" s="10" t="inlineStr">
        <is>
          <t>31/03/2026</t>
        </is>
      </c>
      <c r="I494" s="10" t="inlineStr">
        <is>
          <t>17/03/2026</t>
        </is>
      </c>
      <c r="J494" s="10" t="inlineStr">
        <is>
          <t>Kế toán / Kiểm toán, Ngân hàng, Tài chính / Đầu tư</t>
        </is>
      </c>
      <c r="K494" s="10" t="inlineStr">
        <is>
          <t>Chưa có kinh nghiệm</t>
        </is>
      </c>
      <c r="L494" s="11">
        <f>HYPERLINK("https://careerviet.vn/vi/tim-viec-lam/ke-toan-truong-tieng-trung.35C6BADF.html","Xem chi tiết")</f>
        <v/>
      </c>
      <c r="M494" s="10" t="n"/>
    </row>
    <row r="495">
      <c r="B495" s="7" t="n">
        <v>493</v>
      </c>
      <c r="C495" t="inlineStr">
        <is>
          <t>Chuyên Viên Tư Vấn Định Cư - Immigration Specialist</t>
        </is>
      </c>
      <c r="D495" t="inlineStr">
        <is>
          <t>CÔNG TY TNHH TƯ VẤN ĐẦU TƯ JA &amp; PARTNERS</t>
        </is>
      </c>
      <c r="E495" t="inlineStr">
        <is>
          <t>Lương:15 Tr - 35 Tr VND</t>
        </is>
      </c>
      <c r="F495" t="inlineStr">
        <is>
          <t>Hồ Chí MinhHà Nội</t>
        </is>
      </c>
      <c r="G495" t="inlineStr">
        <is>
          <t>09-04-2026</t>
        </is>
      </c>
      <c r="H495" t="inlineStr">
        <is>
          <t>09/04/2026</t>
        </is>
      </c>
      <c r="I495" t="inlineStr">
        <is>
          <t>17/03/2026</t>
        </is>
      </c>
      <c r="J495" t="inlineStr">
        <is>
          <t>Tài chính / Đầu tư, Ngân hàng, Bán hàng / Kinh doanh</t>
        </is>
      </c>
      <c r="K495" t="inlineStr">
        <is>
          <t>3 - 5 Năm</t>
        </is>
      </c>
      <c r="L495" s="8">
        <f>HYPERLINK("https://careerviet.vn/vi/tim-viec-lam/chuyen-vien-tu-van-dinh-cu-immigration-specialist.35C6BD15.html","Xem chi tiết")</f>
        <v/>
      </c>
    </row>
    <row r="496">
      <c r="B496" s="9" t="n">
        <v>494</v>
      </c>
      <c r="C496" s="10" t="inlineStr">
        <is>
          <t>Chuyên viên Khách hàng doanh nghiệp - Hồ Chí Minh, Đắk Lắk, Bình Định</t>
        </is>
      </c>
      <c r="D496" s="10" t="inlineStr">
        <is>
          <t>Ngân Hàng Thương Mại Cổ Phần Bảo Việt</t>
        </is>
      </c>
      <c r="E496" s="10" t="inlineStr">
        <is>
          <t>Lương:10 Tr - 18 Tr VND</t>
        </is>
      </c>
      <c r="F496" s="10" t="inlineStr">
        <is>
          <t>Hồ Chí MinhBình ĐịnhDak Lak</t>
        </is>
      </c>
      <c r="G496" s="10" t="inlineStr">
        <is>
          <t>31-05-2026</t>
        </is>
      </c>
      <c r="H496" s="10" t="inlineStr">
        <is>
          <t>31/05/2026</t>
        </is>
      </c>
      <c r="I496" s="10" t="inlineStr">
        <is>
          <t>17/03/2026</t>
        </is>
      </c>
      <c r="J496" s="10" t="inlineStr">
        <is>
          <t>Ngân hàng, Tài chính / Đầu tư, Bất động sản</t>
        </is>
      </c>
      <c r="K496" s="10" t="inlineStr">
        <is>
          <t>1 - 2 Năm</t>
        </is>
      </c>
      <c r="L496" s="11">
        <f>HYPERLINK("https://careerviet.vn/vi/tim-viec-lam/chuyen-vien-khach-hang-doanh-nghiep-ho-chi-minh-dak-lak-binh-dinh.35C6BCA4.html","Xem chi tiết")</f>
        <v/>
      </c>
      <c r="M496" s="10" t="n"/>
    </row>
    <row r="497">
      <c r="B497" s="7" t="n">
        <v>495</v>
      </c>
      <c r="C497" t="inlineStr">
        <is>
          <t>Nhân Viên Thiết Kế R&amp;D</t>
        </is>
      </c>
      <c r="D497" t="inlineStr">
        <is>
          <t>CÔNG TY TNHH TURBO VINA</t>
        </is>
      </c>
      <c r="E497" t="inlineStr">
        <is>
          <t>Lương:9 Tr - 12 Tr VND</t>
        </is>
      </c>
      <c r="F497" t="inlineStr">
        <is>
          <t>Bình Dương</t>
        </is>
      </c>
      <c r="G497" t="inlineStr">
        <is>
          <t>09-04-2026</t>
        </is>
      </c>
      <c r="H497" t="inlineStr">
        <is>
          <t>09/04/2026</t>
        </is>
      </c>
      <c r="I497" t="inlineStr">
        <is>
          <t>17/03/2026</t>
        </is>
      </c>
      <c r="J497" t="inlineStr">
        <is>
          <t>Điện / Điện tử / Điện lạnh / Điện công nghiệp, Cơ khí / Ô tô / Tự động hóa, Mỹ thuật / Nghệ thuật / Thiết kế</t>
        </is>
      </c>
      <c r="K497" t="inlineStr">
        <is>
          <t>N/A</t>
        </is>
      </c>
      <c r="L497" s="8">
        <f>HYPERLINK("https://careerviet.vn/vi/tim-viec-lam/nhan-vien-thiet-ke-r-d.35C6BDD0.html","Xem chi tiết")</f>
        <v/>
      </c>
    </row>
    <row r="498">
      <c r="B498" s="9" t="n">
        <v>496</v>
      </c>
      <c r="C498" s="10" t="inlineStr">
        <is>
          <t>Giám Sát Hành Chính - Tổng vụ</t>
        </is>
      </c>
      <c r="D498" s="10" t="inlineStr">
        <is>
          <t>CÔNG TY CỔ PHẦN CHẾ BIẾN THỰC PHẨM HOÀNG SƠN</t>
        </is>
      </c>
      <c r="E498" s="10" t="inlineStr">
        <is>
          <t>Lương:Cạnh tranh</t>
        </is>
      </c>
      <c r="F498" s="10" t="inlineStr">
        <is>
          <t>Bình Dương</t>
        </is>
      </c>
      <c r="G498" s="10" t="inlineStr">
        <is>
          <t>31-03-2026</t>
        </is>
      </c>
      <c r="H498" s="10" t="inlineStr">
        <is>
          <t>31/03/2026</t>
        </is>
      </c>
      <c r="I498" s="10" t="inlineStr">
        <is>
          <t>17/03/2026</t>
        </is>
      </c>
      <c r="J498" s="10" t="inlineStr">
        <is>
          <t>Môi trường, Sản xuất / Vận hành sản xuất, Hành chính / Thư ký</t>
        </is>
      </c>
      <c r="K498" s="10" t="inlineStr">
        <is>
          <t>1 - 3 Năm</t>
        </is>
      </c>
      <c r="L498" s="11">
        <f>HYPERLINK("https://careerviet.vn/vi/tim-viec-lam/giam-sat-hanh-chinh-tong-vu.35C6BCB3.html","Xem chi tiết")</f>
        <v/>
      </c>
      <c r="M498" s="10" t="n"/>
    </row>
    <row r="499">
      <c r="B499" s="7" t="n">
        <v>497</v>
      </c>
      <c r="C499" t="inlineStr">
        <is>
          <t>Nhân viên Sale Online</t>
        </is>
      </c>
      <c r="D499" t="inlineStr">
        <is>
          <t>Công ty TNHH Quân Uy</t>
        </is>
      </c>
      <c r="E499" t="inlineStr">
        <is>
          <t>Lương:8 Tr - 15 Tr VND</t>
        </is>
      </c>
      <c r="F499" t="inlineStr">
        <is>
          <t>Hồ Chí Minh</t>
        </is>
      </c>
      <c r="G499" t="inlineStr">
        <is>
          <t>30-04-2026</t>
        </is>
      </c>
      <c r="H499" t="inlineStr">
        <is>
          <t>30/04/2026</t>
        </is>
      </c>
      <c r="I499" t="inlineStr">
        <is>
          <t>17/03/2026</t>
        </is>
      </c>
      <c r="J499" t="inlineStr">
        <is>
          <t>Bán lẻ / Bán sỉ, Bán hàng / Kinh doanh</t>
        </is>
      </c>
      <c r="K499" t="inlineStr">
        <is>
          <t>Lên đến 2 Năm</t>
        </is>
      </c>
      <c r="L499" s="8">
        <f>HYPERLINK("https://careerviet.vn/vi/tim-viec-lam/nhan-vien-sale-online.35C6BB82.html","Xem chi tiết")</f>
        <v/>
      </c>
    </row>
    <row r="500">
      <c r="B500" s="9" t="n">
        <v>498</v>
      </c>
      <c r="C500" s="10" t="inlineStr">
        <is>
          <t>KẾ TOÁN NỘI BỘ</t>
        </is>
      </c>
      <c r="D500" s="10" t="inlineStr">
        <is>
          <t>CÔNG TY TNHH ĐẦU TƯ CHUYỂN GIAO CÔNG NGHỆ TOÀN CẦU</t>
        </is>
      </c>
      <c r="E500" s="10" t="inlineStr">
        <is>
          <t>Lương:10 Tr - 12 Tr VND</t>
        </is>
      </c>
      <c r="F500" s="10" t="inlineStr">
        <is>
          <t>Hồ Chí Minh</t>
        </is>
      </c>
      <c r="G500" s="10" t="inlineStr">
        <is>
          <t>10-04-2026</t>
        </is>
      </c>
      <c r="H500" s="10" t="inlineStr">
        <is>
          <t>10/04/2026</t>
        </is>
      </c>
      <c r="I500" s="10" t="inlineStr">
        <is>
          <t>17/03/2026</t>
        </is>
      </c>
      <c r="J500" s="10" t="inlineStr">
        <is>
          <t>Kế toán / Kiểm toán, Hành chính / Thư ký</t>
        </is>
      </c>
      <c r="K500" s="10" t="inlineStr">
        <is>
          <t>2 - 4 Năm</t>
        </is>
      </c>
      <c r="L500" s="11">
        <f>HYPERLINK("https://careerviet.vn/vi/tim-viec-lam/ke-toan-noi-bo.35C6BAD2.html","Xem chi tiết")</f>
        <v/>
      </c>
      <c r="M500" s="10" t="n"/>
    </row>
    <row r="501">
      <c r="B501" s="7" t="n">
        <v>499</v>
      </c>
      <c r="C501" t="inlineStr">
        <is>
          <t>Kế Toán Thanh Toán, Thuế</t>
        </is>
      </c>
      <c r="D501" t="inlineStr">
        <is>
          <t>CÔNG TY CỔ PHẦN THỰC PHẨM AGREX SAIGON</t>
        </is>
      </c>
      <c r="E501" t="inlineStr">
        <is>
          <t>Lương:16 Tr - 20 Tr VND</t>
        </is>
      </c>
      <c r="F501" t="inlineStr">
        <is>
          <t>Hồ Chí Minh</t>
        </is>
      </c>
      <c r="G501" t="inlineStr">
        <is>
          <t>26-03-2026</t>
        </is>
      </c>
      <c r="H501" t="inlineStr">
        <is>
          <t>26/03/2026</t>
        </is>
      </c>
      <c r="I501" t="inlineStr">
        <is>
          <t>17/03/2026</t>
        </is>
      </c>
      <c r="J501" t="inlineStr">
        <is>
          <t>Kế toán / Kiểm toán, Tài chính / Đầu tư, Ngân hàng</t>
        </is>
      </c>
      <c r="K501" t="inlineStr">
        <is>
          <t>Trên 3 Năm</t>
        </is>
      </c>
      <c r="L501" s="8">
        <f>HYPERLINK("https://careerviet.vn/vi/tim-viec-lam/ke-toan-thanh-toan-thue.35C69C51.html","Xem chi tiết")</f>
        <v/>
      </c>
    </row>
    <row r="502">
      <c r="B502" s="9" t="n">
        <v>500</v>
      </c>
      <c r="C502" s="10" t="inlineStr">
        <is>
          <t>Project Engineer</t>
        </is>
      </c>
      <c r="D502" s="10" t="inlineStr">
        <is>
          <t>EAST SEA ENERGY ENVIRONMENT COMPANY LIMITED</t>
        </is>
      </c>
      <c r="E502" s="10" t="inlineStr">
        <is>
          <t>Lương:Cạnh tranh</t>
        </is>
      </c>
      <c r="F502" s="10" t="inlineStr">
        <is>
          <t>Hồ Chí Minh</t>
        </is>
      </c>
      <c r="G502" s="10" t="inlineStr">
        <is>
          <t>10-04-2026</t>
        </is>
      </c>
      <c r="H502" s="10" t="inlineStr">
        <is>
          <t>10/04/2026</t>
        </is>
      </c>
      <c r="I502" s="10" t="inlineStr">
        <is>
          <t>17/03/2026</t>
        </is>
      </c>
      <c r="J502" s="10" t="inlineStr">
        <is>
          <t>Cơ khí / Ô tô / Tự động hóa, Điện / Điện tử / Điện lạnh / Điện công nghiệp</t>
        </is>
      </c>
      <c r="K502" s="10" t="inlineStr">
        <is>
          <t>1 - 3 Năm</t>
        </is>
      </c>
      <c r="L502" s="11">
        <f>HYPERLINK("https://careerviet.vn/vi/tim-viec-lam/project-engineer.35C6BA7A.html","Xem chi tiết")</f>
        <v/>
      </c>
      <c r="M502" s="10" t="n"/>
    </row>
    <row r="503">
      <c r="B503" s="7" t="n">
        <v>501</v>
      </c>
      <c r="C503" t="inlineStr">
        <is>
          <t>Chuyên Viên Kế Toán Tổng Hợp</t>
        </is>
      </c>
      <c r="D503" t="inlineStr">
        <is>
          <t>CÔNG TY TNHH XÂY DỰNG IVY</t>
        </is>
      </c>
      <c r="E503" t="inlineStr">
        <is>
          <t>Lương:Cạnh tranh</t>
        </is>
      </c>
      <c r="F503" t="inlineStr">
        <is>
          <t>Hồ Chí Minh</t>
        </is>
      </c>
      <c r="G503" t="inlineStr">
        <is>
          <t>25-03-2026</t>
        </is>
      </c>
      <c r="H503" t="inlineStr">
        <is>
          <t>25/03/2026</t>
        </is>
      </c>
      <c r="I503" t="inlineStr">
        <is>
          <t>17/03/2026</t>
        </is>
      </c>
      <c r="J503" t="inlineStr">
        <is>
          <t>Kế toán / Kiểm toán, Ngân hàng, Xây dựng</t>
        </is>
      </c>
      <c r="K503" t="inlineStr">
        <is>
          <t>Trên 2 Năm</t>
        </is>
      </c>
      <c r="L503" s="8">
        <f>HYPERLINK("https://careerviet.vn/vi/tim-viec-lam/chuyen-vien-ke-toan-tong-hop.35C69C37.html","Xem chi tiết")</f>
        <v/>
      </c>
    </row>
    <row r="504">
      <c r="B504" s="9" t="n">
        <v>502</v>
      </c>
      <c r="C504" s="10" t="inlineStr">
        <is>
          <t>Phó phòng Kinh doanh Lữ hành</t>
        </is>
      </c>
      <c r="D504" s="10" t="inlineStr">
        <is>
          <t>CÔNG TY CỔ PHẦN VPS GLOBAL</t>
        </is>
      </c>
      <c r="E504" s="10" t="inlineStr">
        <is>
          <t>Lương:Cạnh tranh</t>
        </is>
      </c>
      <c r="F504" s="10" t="inlineStr">
        <is>
          <t>Hồ Chí Minh</t>
        </is>
      </c>
      <c r="G504" s="10" t="inlineStr">
        <is>
          <t>31-03-2026</t>
        </is>
      </c>
      <c r="H504" s="10" t="inlineStr">
        <is>
          <t>31/03/2026</t>
        </is>
      </c>
      <c r="I504" s="10" t="inlineStr">
        <is>
          <t>17/03/2026</t>
        </is>
      </c>
      <c r="J504" s="10" t="inlineStr">
        <is>
          <t>Du lịch, Dịch vụ khách hàng, Nhà hàng / Khách sạn</t>
        </is>
      </c>
      <c r="K504" s="10" t="inlineStr">
        <is>
          <t>4 - 6 Năm</t>
        </is>
      </c>
      <c r="L504" s="11">
        <f>HYPERLINK("https://careerviet.vn/vi/tim-viec-lam/pho-phong-kinh-doanh-lu-hanh.35C69C11.html","Xem chi tiết")</f>
        <v/>
      </c>
      <c r="M504" s="10" t="n"/>
    </row>
    <row r="505">
      <c r="B505" s="7" t="n">
        <v>503</v>
      </c>
      <c r="C505" t="inlineStr">
        <is>
          <t>NHÂN VIÊN TRANG THIẾT BỊ Y TẾ (TBYT)</t>
        </is>
      </c>
      <c r="D505" t="inlineStr">
        <is>
          <t>TWGROUP</t>
        </is>
      </c>
      <c r="E505" t="inlineStr">
        <is>
          <t>Lương:Trên 10 Tr VND</t>
        </is>
      </c>
      <c r="F505" t="inlineStr">
        <is>
          <t>Long An</t>
        </is>
      </c>
      <c r="G505" t="inlineStr">
        <is>
          <t>27-03-2026</t>
        </is>
      </c>
      <c r="H505" t="inlineStr">
        <is>
          <t>27/03/2026</t>
        </is>
      </c>
      <c r="I505" t="inlineStr">
        <is>
          <t>17/03/2026</t>
        </is>
      </c>
      <c r="J505" t="inlineStr">
        <is>
          <t>Y tế / Chăm sóc sức khỏe / Thẩm mỹ / Làm đẹp, Công nghệ sinh học</t>
        </is>
      </c>
      <c r="K505" t="inlineStr">
        <is>
          <t>1 - 5 Năm</t>
        </is>
      </c>
      <c r="L505" s="8">
        <f>HYPERLINK("https://careerviet.vn/vi/tim-viec-lam/nhan-vien-trang-thiet-bi-y-te-tbyt.35C69C10.html","Xem chi tiết")</f>
        <v/>
      </c>
    </row>
    <row r="506">
      <c r="B506" s="9" t="n">
        <v>504</v>
      </c>
      <c r="C506" s="10" t="inlineStr">
        <is>
          <t>Trưởng Nhóm Phòng Chăm Sóc Khách Hàng</t>
        </is>
      </c>
      <c r="D506" s="10" t="inlineStr">
        <is>
          <t>TWGROUP</t>
        </is>
      </c>
      <c r="E506" s="10" t="inlineStr">
        <is>
          <t>Lương:Trên 10 Tr VND</t>
        </is>
      </c>
      <c r="F506" s="10" t="inlineStr">
        <is>
          <t>Hồ Chí Minh</t>
        </is>
      </c>
      <c r="G506" s="10" t="inlineStr">
        <is>
          <t>27-03-2026</t>
        </is>
      </c>
      <c r="H506" s="10" t="inlineStr">
        <is>
          <t>27/03/2026</t>
        </is>
      </c>
      <c r="I506" s="10" t="inlineStr">
        <is>
          <t>17/03/2026</t>
        </is>
      </c>
      <c r="J506" s="10" t="inlineStr">
        <is>
          <t>Y tế / Chăm sóc sức khỏe / Thẩm mỹ / Làm đẹp, Dịch vụ khách hàng, Tư vấn</t>
        </is>
      </c>
      <c r="K506" s="10" t="inlineStr">
        <is>
          <t>3 - 5 Năm</t>
        </is>
      </c>
      <c r="L506" s="11">
        <f>HYPERLINK("https://careerviet.vn/vi/tim-viec-lam/truong-nhom-phong-cham-soc-khach-hang.35C69C18.html","Xem chi tiết")</f>
        <v/>
      </c>
      <c r="M506" s="10" t="n"/>
    </row>
    <row r="507">
      <c r="B507" s="7" t="n">
        <v>505</v>
      </c>
      <c r="C507" t="inlineStr">
        <is>
          <t>Nhân Viên Kỹ Thuật Xây Dựng</t>
        </is>
      </c>
      <c r="D507" t="inlineStr">
        <is>
          <t>Công ty Cổ phần Tôn Đông Á</t>
        </is>
      </c>
      <c r="E507" t="inlineStr">
        <is>
          <t>Lương:14 Tr - 17 Tr VND</t>
        </is>
      </c>
      <c r="F507" t="inlineStr">
        <is>
          <t>Hồ Chí Minh</t>
        </is>
      </c>
      <c r="G507" t="inlineStr">
        <is>
          <t>31-03-2026</t>
        </is>
      </c>
      <c r="H507" t="inlineStr">
        <is>
          <t>31/03/2026</t>
        </is>
      </c>
      <c r="I507" t="inlineStr">
        <is>
          <t>17/03/2026</t>
        </is>
      </c>
      <c r="J507" t="inlineStr">
        <is>
          <t>Kiến trúc, Xây dựng, Nội ngoại thất</t>
        </is>
      </c>
      <c r="K507" t="inlineStr">
        <is>
          <t>1 - 5 Năm</t>
        </is>
      </c>
      <c r="L507" s="8">
        <f>HYPERLINK("https://careerviet.vn/vi/tim-viec-lam/nhan-vien-ky-thuat-xay-dung.35C69B55.html","Xem chi tiết")</f>
        <v/>
      </c>
    </row>
    <row r="508">
      <c r="B508" s="9" t="n">
        <v>506</v>
      </c>
      <c r="C508" s="10" t="inlineStr">
        <is>
          <t>Chuyên Viên Kinh Doanh B2B (HCM)</t>
        </is>
      </c>
      <c r="D508" s="10" t="inlineStr">
        <is>
          <t>CareerViet</t>
        </is>
      </c>
      <c r="E508" s="10" t="inlineStr">
        <is>
          <t>Lương:Cạnh tranh</t>
        </is>
      </c>
      <c r="F508" s="10" t="inlineStr">
        <is>
          <t>Hồ Chí Minh</t>
        </is>
      </c>
      <c r="G508" s="10" t="inlineStr">
        <is>
          <t>17-03-2026</t>
        </is>
      </c>
      <c r="H508" s="10" t="inlineStr">
        <is>
          <t>15/03/2026</t>
        </is>
      </c>
      <c r="I508" s="10" t="inlineStr">
        <is>
          <t>17/03/2026</t>
        </is>
      </c>
      <c r="J508" s="10" t="inlineStr">
        <is>
          <t>Bán hàng / Kinh doanh, Tiếp thị trực tuyến, Tiếp thị / Marketing</t>
        </is>
      </c>
      <c r="K508" s="10" t="inlineStr">
        <is>
          <t>3 - 5 Năm</t>
        </is>
      </c>
      <c r="L508" s="11">
        <f>HYPERLINK("https://careerviet.vn/vi/tim-viec-lam/chuyen-vien-kinh-doanh-b2b-hcm.35C69C3A.html","Xem chi tiết")</f>
        <v/>
      </c>
      <c r="M508" s="10" t="n"/>
    </row>
    <row r="509">
      <c r="B509" s="7" t="n">
        <v>507</v>
      </c>
      <c r="C509" t="inlineStr">
        <is>
          <t>CHUYÊN VIÊN TUYỂN DỤNG</t>
        </is>
      </c>
      <c r="D509" t="inlineStr">
        <is>
          <t>CÔNG TY TNHH DỊCH VỤ BẢO AN T&amp;T VIỆT NAM</t>
        </is>
      </c>
      <c r="E509" t="inlineStr">
        <is>
          <t>Lương:Cạnh tranh</t>
        </is>
      </c>
      <c r="F509" t="inlineStr">
        <is>
          <t>Hà Nội</t>
        </is>
      </c>
      <c r="G509" t="inlineStr">
        <is>
          <t>31-03-2026</t>
        </is>
      </c>
      <c r="H509" t="inlineStr">
        <is>
          <t>31/03/2026</t>
        </is>
      </c>
      <c r="I509" t="inlineStr">
        <is>
          <t>17/03/2026</t>
        </is>
      </c>
      <c r="J509" t="inlineStr">
        <is>
          <t>Nhân sự</t>
        </is>
      </c>
      <c r="K509" t="inlineStr">
        <is>
          <t>Trên 1 Năm</t>
        </is>
      </c>
      <c r="L509" s="8">
        <f>HYPERLINK("https://careerviet.vn/vi/tim-viec-lam/chuyen-vien-tuyen-dung.35C69BB8.html","Xem chi tiết")</f>
        <v/>
      </c>
    </row>
    <row r="510">
      <c r="B510" s="9" t="n">
        <v>508</v>
      </c>
      <c r="C510" s="10" t="inlineStr">
        <is>
          <t>Cán bộ Phòng Phát triển kinh doanh - Khối Bảo hiểm Bán lẻ</t>
        </is>
      </c>
      <c r="D510" s="10" t="inlineStr">
        <is>
          <t>Tổng Công ty Cổ phần Bảo hiểm Quân đội (MIC)</t>
        </is>
      </c>
      <c r="E510" s="10" t="inlineStr">
        <is>
          <t>Lương:Cạnh tranh</t>
        </is>
      </c>
      <c r="F510" s="10" t="inlineStr">
        <is>
          <t>Hà Nội</t>
        </is>
      </c>
      <c r="G510" s="10" t="inlineStr">
        <is>
          <t>28-03-2026</t>
        </is>
      </c>
      <c r="H510" s="10" t="inlineStr">
        <is>
          <t>28/03/2026</t>
        </is>
      </c>
      <c r="I510" s="10" t="inlineStr">
        <is>
          <t>17/03/2026</t>
        </is>
      </c>
      <c r="J510" s="10" t="inlineStr">
        <is>
          <t>Ngân hàng, Bảo hiểm</t>
        </is>
      </c>
      <c r="K510" s="10" t="inlineStr">
        <is>
          <t>1 - 10 Năm</t>
        </is>
      </c>
      <c r="L510" s="11">
        <f>HYPERLINK("https://careerviet.vn/vi/tim-viec-lam/can-bo-phong-phat-trien-kinh-doanh-khoi-bao-hiem-ban-le.35C69B6C.html","Xem chi tiết")</f>
        <v/>
      </c>
      <c r="M510" s="10" t="n"/>
    </row>
    <row r="511">
      <c r="B511" s="7" t="n">
        <v>509</v>
      </c>
      <c r="C511" t="inlineStr">
        <is>
          <t>Kỹ Sư Lập Trình Nhúng</t>
        </is>
      </c>
      <c r="D511" t="inlineStr">
        <is>
          <t>CÔNG TY CỔ PHẦN THIẾT BỊ CÔNG NGHIỆP GEIC</t>
        </is>
      </c>
      <c r="E511" t="inlineStr">
        <is>
          <t>Lương:Cạnh tranh</t>
        </is>
      </c>
      <c r="F511" t="inlineStr">
        <is>
          <t>Hà Nội</t>
        </is>
      </c>
      <c r="G511" t="inlineStr">
        <is>
          <t>31-03-2026</t>
        </is>
      </c>
      <c r="H511" t="inlineStr">
        <is>
          <t>31/03/2026</t>
        </is>
      </c>
      <c r="I511" t="inlineStr">
        <is>
          <t>17/03/2026</t>
        </is>
      </c>
      <c r="J511" t="inlineStr">
        <is>
          <t>CNTT - Phần cứng / Mạng, CNTT - Phần mềm, Bưu chính viễn thông</t>
        </is>
      </c>
      <c r="K511" t="inlineStr">
        <is>
          <t>Lên đến 2 Năm</t>
        </is>
      </c>
      <c r="L511" s="8">
        <f>HYPERLINK("https://careerviet.vn/vi/tim-viec-lam/ky-su-lap-trinh-nhung.35C69B11.html","Xem chi tiết")</f>
        <v/>
      </c>
    </row>
    <row r="512">
      <c r="B512" s="9" t="n">
        <v>510</v>
      </c>
      <c r="C512" s="10" t="inlineStr">
        <is>
          <t>Kỹ Sư Phân Tích Nghiệp Vụ (Technical BA)</t>
        </is>
      </c>
      <c r="D512" s="10" t="inlineStr">
        <is>
          <t>CÔNG TY CỔ PHẦN THIẾT BỊ CÔNG NGHIỆP GEIC</t>
        </is>
      </c>
      <c r="E512" s="10" t="inlineStr">
        <is>
          <t>Lương:Cạnh tranh</t>
        </is>
      </c>
      <c r="F512" s="10" t="inlineStr">
        <is>
          <t>Hà Nội</t>
        </is>
      </c>
      <c r="G512" s="10" t="inlineStr">
        <is>
          <t>31-03-2026</t>
        </is>
      </c>
      <c r="H512" s="10" t="inlineStr">
        <is>
          <t>31/03/2026</t>
        </is>
      </c>
      <c r="I512" s="10" t="inlineStr">
        <is>
          <t>17/03/2026</t>
        </is>
      </c>
      <c r="J512" s="10" t="inlineStr">
        <is>
          <t>CNTT - Phần cứng / Mạng, Điện / Điện tử / Điện lạnh / Điện công nghiệp, CNTT - Phần mềm</t>
        </is>
      </c>
      <c r="K512" s="10" t="inlineStr">
        <is>
          <t>N/A</t>
        </is>
      </c>
      <c r="L512" s="11">
        <f>HYPERLINK("https://careerviet.vn/vi/tim-viec-lam/ky-su-phan-tich-nghiep-vu-technical-ba.35C69B13.html","Xem chi tiết")</f>
        <v/>
      </c>
      <c r="M512" s="10" t="n"/>
    </row>
    <row r="513">
      <c r="B513" s="7" t="n">
        <v>511</v>
      </c>
      <c r="C513" t="inlineStr">
        <is>
          <t>Chuyên Viên Kĩ Thuật Vận Hành</t>
        </is>
      </c>
      <c r="D513" t="inlineStr">
        <is>
          <t>CÔNG TY CỔ PHẦN THIẾT BỊ CÔNG NGHIỆP GEIC</t>
        </is>
      </c>
      <c r="E513" t="inlineStr">
        <is>
          <t>Lương:Cạnh tranh</t>
        </is>
      </c>
      <c r="F513" t="inlineStr">
        <is>
          <t>Hà Nội</t>
        </is>
      </c>
      <c r="G513" t="inlineStr">
        <is>
          <t>31-03-2026</t>
        </is>
      </c>
      <c r="H513" t="inlineStr">
        <is>
          <t>31/03/2026</t>
        </is>
      </c>
      <c r="I513" t="inlineStr">
        <is>
          <t>17/03/2026</t>
        </is>
      </c>
      <c r="J513" t="inlineStr">
        <is>
          <t>Bưu chính viễn thông, Điện / Điện tử / Điện lạnh / Điện công nghiệp, CNTT - Phần cứng / Mạng</t>
        </is>
      </c>
      <c r="K513" t="inlineStr">
        <is>
          <t>N/A</t>
        </is>
      </c>
      <c r="L513" s="8">
        <f>HYPERLINK("https://careerviet.vn/vi/tim-viec-lam/chuyen-vien-ki-thuat-van-hanh.35C69B7D.html","Xem chi tiết")</f>
        <v/>
      </c>
    </row>
    <row r="514">
      <c r="B514" s="9" t="n">
        <v>512</v>
      </c>
      <c r="C514" s="10" t="inlineStr">
        <is>
          <t>Kỹ Sư Kiểm Thử</t>
        </is>
      </c>
      <c r="D514" s="10" t="inlineStr">
        <is>
          <t>CÔNG TY CỔ PHẦN THIẾT BỊ CÔNG NGHIỆP GEIC</t>
        </is>
      </c>
      <c r="E514" s="10" t="inlineStr">
        <is>
          <t>Lương:Cạnh tranh</t>
        </is>
      </c>
      <c r="F514" s="10" t="inlineStr">
        <is>
          <t>Hà Nội</t>
        </is>
      </c>
      <c r="G514" s="10" t="inlineStr">
        <is>
          <t>31-03-2026</t>
        </is>
      </c>
      <c r="H514" s="10" t="inlineStr">
        <is>
          <t>31/03/2026</t>
        </is>
      </c>
      <c r="I514" s="10" t="inlineStr">
        <is>
          <t>17/03/2026</t>
        </is>
      </c>
      <c r="J514" s="10" t="inlineStr">
        <is>
          <t>Điện / Điện tử / Điện lạnh / Điện công nghiệp, CNTT - Phần mềm, CNTT - Phần cứng / Mạng</t>
        </is>
      </c>
      <c r="K514" s="10" t="inlineStr">
        <is>
          <t>Lên đến 1 Năm</t>
        </is>
      </c>
      <c r="L514" s="11">
        <f>HYPERLINK("https://careerviet.vn/vi/tim-viec-lam/ky-su-kiem-thu.35C69B10.html","Xem chi tiết")</f>
        <v/>
      </c>
      <c r="M514" s="10" t="n"/>
    </row>
    <row r="515">
      <c r="B515" s="7" t="n">
        <v>513</v>
      </c>
      <c r="C515" t="inlineStr">
        <is>
          <t>Kỹ Sư Phần Cứng</t>
        </is>
      </c>
      <c r="D515" t="inlineStr">
        <is>
          <t>CÔNG TY CỔ PHẦN THIẾT BỊ CÔNG NGHIỆP GEIC</t>
        </is>
      </c>
      <c r="E515" t="inlineStr">
        <is>
          <t>Lương:Cạnh tranh</t>
        </is>
      </c>
      <c r="F515" t="inlineStr">
        <is>
          <t>Hà Nội</t>
        </is>
      </c>
      <c r="G515" t="inlineStr">
        <is>
          <t>31-03-2026</t>
        </is>
      </c>
      <c r="H515" t="inlineStr">
        <is>
          <t>31/03/2026</t>
        </is>
      </c>
      <c r="I515" t="inlineStr">
        <is>
          <t>17/03/2026</t>
        </is>
      </c>
      <c r="J515" t="inlineStr">
        <is>
          <t>CNTT - Phần cứng / Mạng, Điện / Điện tử / Điện lạnh / Điện công nghiệp, Bưu chính viễn thông</t>
        </is>
      </c>
      <c r="K515" t="inlineStr">
        <is>
          <t>Lên đến 2 Năm</t>
        </is>
      </c>
      <c r="L515" s="8">
        <f>HYPERLINK("https://careerviet.vn/vi/tim-viec-lam/ky-su-phan-cung.35C69B12.html","Xem chi tiết")</f>
        <v/>
      </c>
    </row>
    <row r="516">
      <c r="B516" s="9" t="n">
        <v>514</v>
      </c>
      <c r="C516" s="10" t="inlineStr">
        <is>
          <t>Chuyên viên Kế toán tổng hợp</t>
        </is>
      </c>
      <c r="D516" s="10" t="inlineStr">
        <is>
          <t>BIM Group</t>
        </is>
      </c>
      <c r="E516" s="10" t="inlineStr">
        <is>
          <t>Lương:Cạnh tranh</t>
        </is>
      </c>
      <c r="F516" s="10" t="inlineStr">
        <is>
          <t>Hà Nội</t>
        </is>
      </c>
      <c r="G516" s="10" t="inlineStr">
        <is>
          <t>31-05-2026</t>
        </is>
      </c>
      <c r="H516" s="10" t="inlineStr">
        <is>
          <t>31/05/2026</t>
        </is>
      </c>
      <c r="I516" s="10" t="inlineStr">
        <is>
          <t>17/03/2026</t>
        </is>
      </c>
      <c r="J516" s="10" t="inlineStr">
        <is>
          <t>Kế toán / Kiểm toán</t>
        </is>
      </c>
      <c r="K516" s="10" t="inlineStr">
        <is>
          <t>Trên 5 Năm</t>
        </is>
      </c>
      <c r="L516" s="11">
        <f>HYPERLINK("https://careerviet.vn/vi/tim-viec-lam/chuyen-vien-ke-toan-tong-hop.35C6BB9C.html","Xem chi tiết")</f>
        <v/>
      </c>
      <c r="M516" s="10" t="n"/>
    </row>
    <row r="517">
      <c r="B517" s="7" t="n">
        <v>515</v>
      </c>
      <c r="C517" t="inlineStr">
        <is>
          <t>Kế Toán Tổng Hợp</t>
        </is>
      </c>
      <c r="D517" t="inlineStr">
        <is>
          <t>CÔNG TY CỔ PHẦN THIẾT BỊ CÔNG NGHIỆP GEIC</t>
        </is>
      </c>
      <c r="E517" t="inlineStr">
        <is>
          <t>Lương:Cạnh tranh</t>
        </is>
      </c>
      <c r="F517" t="inlineStr">
        <is>
          <t>Hà Nội</t>
        </is>
      </c>
      <c r="G517" t="inlineStr">
        <is>
          <t>31-03-2026</t>
        </is>
      </c>
      <c r="H517" t="inlineStr">
        <is>
          <t>31/03/2026</t>
        </is>
      </c>
      <c r="I517" t="inlineStr">
        <is>
          <t>17/03/2026</t>
        </is>
      </c>
      <c r="J517" t="inlineStr">
        <is>
          <t>Luật / Pháp lý, Kế toán / Kiểm toán, Tài chính / Đầu tư</t>
        </is>
      </c>
      <c r="K517" t="inlineStr">
        <is>
          <t>3 - 5 Năm</t>
        </is>
      </c>
      <c r="L517" s="8">
        <f>HYPERLINK("https://careerviet.vn/vi/tim-viec-lam/ke-toan-tong-hop.35C69B0A.html","Xem chi tiết")</f>
        <v/>
      </c>
    </row>
    <row r="518">
      <c r="B518" s="9" t="n">
        <v>516</v>
      </c>
      <c r="C518" s="10" t="inlineStr">
        <is>
          <t>Chuyên Viên Truyền Thông</t>
        </is>
      </c>
      <c r="D518" s="10" t="inlineStr">
        <is>
          <t>CÔNG TY CỔ PHẦN THIẾT BỊ CÔNG NGHIỆP GEIC</t>
        </is>
      </c>
      <c r="E518" s="10" t="inlineStr">
        <is>
          <t>Lương:Cạnh tranh</t>
        </is>
      </c>
      <c r="F518" s="10" t="inlineStr">
        <is>
          <t>Hà Nội</t>
        </is>
      </c>
      <c r="G518" s="10" t="inlineStr">
        <is>
          <t>31-03-2026</t>
        </is>
      </c>
      <c r="H518" s="10" t="inlineStr">
        <is>
          <t>31/03/2026</t>
        </is>
      </c>
      <c r="I518" s="10" t="inlineStr">
        <is>
          <t>17/03/2026</t>
        </is>
      </c>
      <c r="J518" s="10" t="inlineStr">
        <is>
          <t>Tiếp thị / Marketing, Truyền hình / Báo chí / Biên tập, Quảng cáo / Đối ngoại / Truyền Thông</t>
        </is>
      </c>
      <c r="K518" s="10" t="inlineStr">
        <is>
          <t>Lên đến 2 Năm</t>
        </is>
      </c>
      <c r="L518" s="11">
        <f>HYPERLINK("https://careerviet.vn/vi/tim-viec-lam/chuyen-vien-truyen-thong.35C69B14.html","Xem chi tiết")</f>
        <v/>
      </c>
      <c r="M518" s="10" t="n"/>
    </row>
    <row r="519">
      <c r="B519" s="7" t="n">
        <v>517</v>
      </c>
      <c r="C519" t="inlineStr">
        <is>
          <t>Chuyên Viên Kỹ Thuật Cơ Điện Hạ Tầng</t>
        </is>
      </c>
      <c r="D519" t="inlineStr">
        <is>
          <t>CÔNG TY CỔ PHẦN THIẾT BỊ CÔNG NGHIỆP GEIC</t>
        </is>
      </c>
      <c r="E519" t="inlineStr">
        <is>
          <t>Lương:Cạnh tranh</t>
        </is>
      </c>
      <c r="F519" t="inlineStr">
        <is>
          <t>Hà Nội</t>
        </is>
      </c>
      <c r="G519" t="inlineStr">
        <is>
          <t>31-03-2026</t>
        </is>
      </c>
      <c r="H519" t="inlineStr">
        <is>
          <t>31/03/2026</t>
        </is>
      </c>
      <c r="I519" t="inlineStr">
        <is>
          <t>17/03/2026</t>
        </is>
      </c>
      <c r="J519" t="inlineStr">
        <is>
          <t>Cơ khí / Ô tô / Tự động hóa, Sản xuất / Vận hành sản xuất, Điện / Điện tử / Điện lạnh / Điện công nghiệp</t>
        </is>
      </c>
      <c r="K519" t="inlineStr">
        <is>
          <t>Lên đến 2 Năm</t>
        </is>
      </c>
      <c r="L519" s="8">
        <f>HYPERLINK("https://careerviet.vn/vi/tim-viec-lam/chuyen-vien-ky-thuat-co-dien-ha-tang.35C69B0C.html","Xem chi tiết")</f>
        <v/>
      </c>
    </row>
    <row r="520">
      <c r="B520" s="9" t="n">
        <v>518</v>
      </c>
      <c r="C520" s="10" t="inlineStr">
        <is>
          <t>Kiểm Toán Nội Bộ</t>
        </is>
      </c>
      <c r="D520" s="10" t="inlineStr">
        <is>
          <t>CÔNG TY CỔ PHẦN THIẾT BỊ CÔNG NGHIỆP GEIC</t>
        </is>
      </c>
      <c r="E520" s="10" t="inlineStr">
        <is>
          <t>Lương:Cạnh tranh</t>
        </is>
      </c>
      <c r="F520" s="10" t="inlineStr">
        <is>
          <t>Hà Nội</t>
        </is>
      </c>
      <c r="G520" s="10" t="inlineStr">
        <is>
          <t>31-03-2026</t>
        </is>
      </c>
      <c r="H520" s="10" t="inlineStr">
        <is>
          <t>31/03/2026</t>
        </is>
      </c>
      <c r="I520" s="10" t="inlineStr">
        <is>
          <t>17/03/2026</t>
        </is>
      </c>
      <c r="J520" s="10" t="inlineStr">
        <is>
          <t>Kế toán / Kiểm toán, Luật / Pháp lý, Tài chính / Đầu tư</t>
        </is>
      </c>
      <c r="K520" s="10" t="inlineStr">
        <is>
          <t>Lên đến 1 Năm</t>
        </is>
      </c>
      <c r="L520" s="11">
        <f>HYPERLINK("https://careerviet.vn/vi/tim-viec-lam/kiem-toan-noi-bo.35C69B15.html","Xem chi tiết")</f>
        <v/>
      </c>
      <c r="M520" s="10" t="n"/>
    </row>
    <row r="521">
      <c r="B521" s="7" t="n">
        <v>519</v>
      </c>
      <c r="C521" t="inlineStr">
        <is>
          <t>Phó phòng Dịch Vụ Visa</t>
        </is>
      </c>
      <c r="D521" t="inlineStr">
        <is>
          <t>CÔNG TY CỔ PHẦN VPS GLOBAL</t>
        </is>
      </c>
      <c r="E521" t="inlineStr">
        <is>
          <t>Lương:Cạnh tranh</t>
        </is>
      </c>
      <c r="F521" t="inlineStr">
        <is>
          <t>Hồ Chí Minh</t>
        </is>
      </c>
      <c r="G521" t="inlineStr">
        <is>
          <t>31-03-2026</t>
        </is>
      </c>
      <c r="H521" t="inlineStr">
        <is>
          <t>31/03/2026</t>
        </is>
      </c>
      <c r="I521" t="inlineStr">
        <is>
          <t>17/03/2026</t>
        </is>
      </c>
      <c r="J521" t="inlineStr">
        <is>
          <t>Du lịch, Dịch vụ khách hàng, Nhà hàng / Khách sạn</t>
        </is>
      </c>
      <c r="K521" t="inlineStr">
        <is>
          <t>4 - 6 Năm</t>
        </is>
      </c>
      <c r="L521" s="8">
        <f>HYPERLINK("https://careerviet.vn/vi/tim-viec-lam/pho-phong-dich-vu-visa.35C69C05.html","Xem chi tiết")</f>
        <v/>
      </c>
    </row>
    <row r="522">
      <c r="B522" s="9" t="n">
        <v>520</v>
      </c>
      <c r="C522" s="10" t="inlineStr">
        <is>
          <t>Trưởng Bộ Phận Kho Vận Và Điều Phối</t>
        </is>
      </c>
      <c r="D522" s="10" t="inlineStr">
        <is>
          <t>CÔNG TY CỔ PHẦN THIẾT BỊ CÔNG NGHIỆP GEIC</t>
        </is>
      </c>
      <c r="E522" s="10" t="inlineStr">
        <is>
          <t>Lương:Cạnh tranh</t>
        </is>
      </c>
      <c r="F522" s="10" t="inlineStr">
        <is>
          <t>Hà Nội</t>
        </is>
      </c>
      <c r="G522" s="10" t="inlineStr">
        <is>
          <t>31-03-2026</t>
        </is>
      </c>
      <c r="H522" s="10" t="inlineStr">
        <is>
          <t>31/03/2026</t>
        </is>
      </c>
      <c r="I522" s="10" t="inlineStr">
        <is>
          <t>17/03/2026</t>
        </is>
      </c>
      <c r="J522" s="10" t="inlineStr">
        <is>
          <t>Sản xuất / Vận hành sản xuất, Vận chuyển / Giao nhận / Kho vận, Thu mua / Vật tư</t>
        </is>
      </c>
      <c r="K522" s="10" t="inlineStr">
        <is>
          <t>Lên đến 2 Năm</t>
        </is>
      </c>
      <c r="L522" s="11">
        <f>HYPERLINK("https://careerviet.vn/vi/tim-viec-lam/truong-bo-phan-kho-van-va-dieu-phoi.35C69B0E.html","Xem chi tiết")</f>
        <v/>
      </c>
      <c r="M522" s="10" t="n"/>
    </row>
    <row r="523">
      <c r="B523" s="7" t="n">
        <v>521</v>
      </c>
      <c r="C523" t="inlineStr">
        <is>
          <t>Việc Làm Tiếng Nhật (Tiếng Anh + Tiếng Nhật N3)  - Không Yêu Cầu Kinh Nghiệm</t>
        </is>
      </c>
      <c r="D523" t="inlineStr">
        <is>
          <t>KDDI Vietnam - HCM GNOC (Ho Chi Minh Global Network Operations Center)</t>
        </is>
      </c>
      <c r="E523" t="inlineStr">
        <is>
          <t>Lương:Trên 11 Tr VND</t>
        </is>
      </c>
      <c r="F523" t="inlineStr">
        <is>
          <t>Hồ Chí Minh</t>
        </is>
      </c>
      <c r="G523" t="inlineStr">
        <is>
          <t>31-03-2026</t>
        </is>
      </c>
      <c r="H523" t="inlineStr">
        <is>
          <t>31/03/2026</t>
        </is>
      </c>
      <c r="I523" t="inlineStr">
        <is>
          <t>17/03/2026</t>
        </is>
      </c>
      <c r="J523" t="inlineStr">
        <is>
          <t>Mới tốt nghiệp / Thực tập, Dịch vụ khách hàng, Biên phiên dịch</t>
        </is>
      </c>
      <c r="K523" t="inlineStr">
        <is>
          <t>N/A</t>
        </is>
      </c>
      <c r="L523" s="8">
        <f>HYPERLINK("https://careerviet.vn/vi/tim-viec-lam/viec-lam-tieng-nhat-tieng-anh-tieng-nhat-n3-khong-yeu-cau-kinh-nghiem.35C69AB9.html","Xem chi tiết")</f>
        <v/>
      </c>
    </row>
    <row r="524">
      <c r="B524" s="9" t="n">
        <v>522</v>
      </c>
      <c r="C524" s="10" t="inlineStr">
        <is>
          <t>Công Nhân Kho</t>
        </is>
      </c>
      <c r="D524" s="10" t="inlineStr">
        <is>
          <t>CÔNG TY CỔ PHẦN THIẾT BỊ CÔNG NGHIỆP GEIC</t>
        </is>
      </c>
      <c r="E524" s="10" t="inlineStr">
        <is>
          <t>Lương:Cạnh tranh</t>
        </is>
      </c>
      <c r="F524" s="10" t="inlineStr">
        <is>
          <t>Hà Nội</t>
        </is>
      </c>
      <c r="G524" s="10" t="inlineStr">
        <is>
          <t>31-03-2026</t>
        </is>
      </c>
      <c r="H524" s="10" t="inlineStr">
        <is>
          <t>31/03/2026</t>
        </is>
      </c>
      <c r="I524" s="10" t="inlineStr">
        <is>
          <t>17/03/2026</t>
        </is>
      </c>
      <c r="J524" s="10" t="inlineStr">
        <is>
          <t>Sản xuất / Vận hành sản xuất, Vận chuyển / Giao nhận / Kho vận, Lao động phổ thông</t>
        </is>
      </c>
      <c r="K524" s="10" t="inlineStr">
        <is>
          <t>Lên đến 2 Năm</t>
        </is>
      </c>
      <c r="L524" s="11">
        <f>HYPERLINK("https://careerviet.vn/vi/tim-viec-lam/cong-nhan-kho.35C69B0B.html","Xem chi tiết")</f>
        <v/>
      </c>
      <c r="M524" s="10" t="n"/>
    </row>
    <row r="525">
      <c r="B525" s="7" t="n">
        <v>523</v>
      </c>
      <c r="C525" t="inlineStr">
        <is>
          <t>Kỹ Sư Điện Tử</t>
        </is>
      </c>
      <c r="D525" t="inlineStr">
        <is>
          <t>CÔNG TY CỔ PHẦN THIẾT BỊ CÔNG NGHIỆP GEIC</t>
        </is>
      </c>
      <c r="E525" t="inlineStr">
        <is>
          <t>Lương:Cạnh tranh</t>
        </is>
      </c>
      <c r="F525" t="inlineStr">
        <is>
          <t>Hà Nội</t>
        </is>
      </c>
      <c r="G525" t="inlineStr">
        <is>
          <t>31-03-2026</t>
        </is>
      </c>
      <c r="H525" t="inlineStr">
        <is>
          <t>31/03/2026</t>
        </is>
      </c>
      <c r="I525" t="inlineStr">
        <is>
          <t>17/03/2026</t>
        </is>
      </c>
      <c r="J525" t="inlineStr">
        <is>
          <t>Điện / Điện tử / Điện lạnh / Điện công nghiệp, Sản xuất / Vận hành sản xuất, Bưu chính viễn thông</t>
        </is>
      </c>
      <c r="K525" t="inlineStr">
        <is>
          <t>Lên đến 2 Năm</t>
        </is>
      </c>
      <c r="L525" s="8">
        <f>HYPERLINK("https://careerviet.vn/vi/tim-viec-lam/ky-su-dien-tu.35C69B0F.html","Xem chi tiết")</f>
        <v/>
      </c>
    </row>
    <row r="526">
      <c r="B526" s="9" t="n">
        <v>524</v>
      </c>
      <c r="C526" s="10" t="inlineStr">
        <is>
          <t>Nhân Viên An Toàn Lao Động (HSE)</t>
        </is>
      </c>
      <c r="D526" s="10" t="inlineStr">
        <is>
          <t>Công ty Cổ phần Tôn Đông Á</t>
        </is>
      </c>
      <c r="E526" s="10" t="inlineStr">
        <is>
          <t>Lương:12 Tr - 15 Tr VND</t>
        </is>
      </c>
      <c r="F526" s="10" t="inlineStr">
        <is>
          <t>Bình Dương</t>
        </is>
      </c>
      <c r="G526" s="10" t="inlineStr">
        <is>
          <t>31-03-2026</t>
        </is>
      </c>
      <c r="H526" s="10" t="inlineStr">
        <is>
          <t>31/03/2026</t>
        </is>
      </c>
      <c r="I526" s="10" t="inlineStr">
        <is>
          <t>17/03/2026</t>
        </is>
      </c>
      <c r="J526" s="10" t="inlineStr">
        <is>
          <t>Môi trường, An toàn lao động, Nhân sự</t>
        </is>
      </c>
      <c r="K526" s="10" t="inlineStr">
        <is>
          <t>1 - 2 Năm</t>
        </is>
      </c>
      <c r="L526" s="11">
        <f>HYPERLINK("https://careerviet.vn/vi/tim-viec-lam/nhan-vien-an-toan-lao-dong-hse.35C69A98.html","Xem chi tiết")</f>
        <v/>
      </c>
      <c r="M526" s="10" t="n"/>
    </row>
    <row r="527">
      <c r="B527" s="7" t="n">
        <v>525</v>
      </c>
      <c r="C527" t="inlineStr">
        <is>
          <t>Nhân Viên Trực Vận Hành Hệ Thống 24/7</t>
        </is>
      </c>
      <c r="D527" t="inlineStr">
        <is>
          <t>CÔNG TY CỔ PHẦN THIẾT BỊ CÔNG NGHIỆP GEIC</t>
        </is>
      </c>
      <c r="E527" t="inlineStr">
        <is>
          <t>Lương:Cạnh tranh</t>
        </is>
      </c>
      <c r="F527" t="inlineStr">
        <is>
          <t>Hà Nội</t>
        </is>
      </c>
      <c r="G527" t="inlineStr">
        <is>
          <t>31-03-2026</t>
        </is>
      </c>
      <c r="H527" t="inlineStr">
        <is>
          <t>31/03/2026</t>
        </is>
      </c>
      <c r="I527" t="inlineStr">
        <is>
          <t>17/03/2026</t>
        </is>
      </c>
      <c r="J527" t="inlineStr">
        <is>
          <t>Dịch vụ khách hàng, Bưu chính viễn thông, CNTT - Phần mềm</t>
        </is>
      </c>
      <c r="K527" t="inlineStr">
        <is>
          <t>Lên đến 1 Năm</t>
        </is>
      </c>
      <c r="L527" s="8">
        <f>HYPERLINK("https://careerviet.vn/vi/tim-viec-lam/nhan-vien-truc-van-hanh-he-thong-24-7.35C69B09.html","Xem chi tiết")</f>
        <v/>
      </c>
    </row>
    <row r="528">
      <c r="B528" s="9" t="n">
        <v>526</v>
      </c>
      <c r="C528" s="10" t="inlineStr">
        <is>
          <t>Nhân Viên Công nghệ Thông tin - Kỹ sư A.I</t>
        </is>
      </c>
      <c r="D528" s="10" t="inlineStr">
        <is>
          <t>Công ty Cổ phần Tôn Đông Á</t>
        </is>
      </c>
      <c r="E528" s="10" t="inlineStr">
        <is>
          <t>Lương:15 Tr - 20 Tr VND</t>
        </is>
      </c>
      <c r="F528" s="10" t="inlineStr">
        <is>
          <t>Bình DươngHồ Chí Minh</t>
        </is>
      </c>
      <c r="G528" s="10" t="inlineStr">
        <is>
          <t>31-07-2026</t>
        </is>
      </c>
      <c r="H528" s="10" t="inlineStr">
        <is>
          <t>31/07/2026</t>
        </is>
      </c>
      <c r="I528" s="10" t="inlineStr">
        <is>
          <t>17/03/2026</t>
        </is>
      </c>
      <c r="J528" s="10" t="inlineStr">
        <is>
          <t>CNTT - Phần cứng / Mạng, CNTT - Phần mềm</t>
        </is>
      </c>
      <c r="K528" s="10" t="inlineStr">
        <is>
          <t>1 - 5 Năm</t>
        </is>
      </c>
      <c r="L528" s="11">
        <f>HYPERLINK("https://careerviet.vn/vi/tim-viec-lam/nhan-vien-cong-nghe-thong-tin-ky-su-a-i.35C69B07.html","Xem chi tiết")</f>
        <v/>
      </c>
      <c r="M528" s="10" t="n"/>
    </row>
    <row r="529">
      <c r="B529" s="7" t="n">
        <v>527</v>
      </c>
      <c r="C529" t="inlineStr">
        <is>
          <t>Nhân Viên Kinh Doanh</t>
        </is>
      </c>
      <c r="D529" t="inlineStr">
        <is>
          <t>Công ty Cổ phần Tôn Đông Á</t>
        </is>
      </c>
      <c r="E529" t="inlineStr">
        <is>
          <t>Lương:12 Tr - 15 Tr VND</t>
        </is>
      </c>
      <c r="F529" t="inlineStr">
        <is>
          <t>Hồ Chí Minh</t>
        </is>
      </c>
      <c r="G529" t="inlineStr">
        <is>
          <t>31-03-2026</t>
        </is>
      </c>
      <c r="H529" t="inlineStr">
        <is>
          <t>31/03/2026</t>
        </is>
      </c>
      <c r="I529" t="inlineStr">
        <is>
          <t>17/03/2026</t>
        </is>
      </c>
      <c r="J529" t="inlineStr">
        <is>
          <t>Tiếp thị / Marketing, Bán hàng / Kinh doanh</t>
        </is>
      </c>
      <c r="K529" t="inlineStr">
        <is>
          <t>Lên đến 1 Năm</t>
        </is>
      </c>
      <c r="L529" s="8">
        <f>HYPERLINK("https://careerviet.vn/vi/tim-viec-lam/nhan-vien-kinh-doanh.35C69AD1.html","Xem chi tiết")</f>
        <v/>
      </c>
    </row>
    <row r="530">
      <c r="B530" s="9" t="n">
        <v>528</v>
      </c>
      <c r="C530" s="10" t="inlineStr">
        <is>
          <t>Kế Toán Tổng Hợp</t>
        </is>
      </c>
      <c r="D530" s="10" t="inlineStr">
        <is>
          <t>Công Ty TNHH Thủy Sản Simmy</t>
        </is>
      </c>
      <c r="E530" s="10" t="inlineStr">
        <is>
          <t>Lương:Cạnh tranh</t>
        </is>
      </c>
      <c r="F530" s="10" t="inlineStr">
        <is>
          <t>Long An</t>
        </is>
      </c>
      <c r="G530" s="10" t="inlineStr">
        <is>
          <t>26-03-2026</t>
        </is>
      </c>
      <c r="H530" s="10" t="inlineStr">
        <is>
          <t>26/03/2026</t>
        </is>
      </c>
      <c r="I530" s="10" t="inlineStr">
        <is>
          <t>17/03/2026</t>
        </is>
      </c>
      <c r="J530" s="10" t="inlineStr">
        <is>
          <t>Kế toán / Kiểm toán, Thủy sản / Hải sản, Ngành khác</t>
        </is>
      </c>
      <c r="K530" s="10" t="inlineStr">
        <is>
          <t>Trên 1 Năm</t>
        </is>
      </c>
      <c r="L530" s="11">
        <f>HYPERLINK("https://careerviet.vn/vi/tim-viec-lam/ke-toan-tong-hop.35C699C7.html","Xem chi tiết")</f>
        <v/>
      </c>
      <c r="M530" s="10" t="n"/>
    </row>
    <row r="531">
      <c r="B531" s="7" t="n">
        <v>529</v>
      </c>
      <c r="C531" t="inlineStr">
        <is>
          <t>Trưởng Nhóm Nhân Sự</t>
        </is>
      </c>
      <c r="D531" t="inlineStr">
        <is>
          <t>CÔNG TY TNHH DỊCH VỤ BẢO AN T&amp;T VIỆT NAM</t>
        </is>
      </c>
      <c r="E531" t="inlineStr">
        <is>
          <t>Lương:20 Tr - 25 Tr VND</t>
        </is>
      </c>
      <c r="F531" t="inlineStr">
        <is>
          <t>Hà Nội</t>
        </is>
      </c>
      <c r="G531" t="inlineStr">
        <is>
          <t>25-03-2026</t>
        </is>
      </c>
      <c r="H531" t="inlineStr">
        <is>
          <t>25/03/2026</t>
        </is>
      </c>
      <c r="I531" t="inlineStr">
        <is>
          <t>17/03/2026</t>
        </is>
      </c>
      <c r="J531" t="inlineStr">
        <is>
          <t>Quản lý điều hành, Hành chính / Thư ký, Nhân sự</t>
        </is>
      </c>
      <c r="K531" t="inlineStr">
        <is>
          <t>Trên 3 Năm</t>
        </is>
      </c>
      <c r="L531" s="8">
        <f>HYPERLINK("https://careerviet.vn/vi/tim-viec-lam/truong-nhom-nhan-su.35C69960.html","Xem chi tiết")</f>
        <v/>
      </c>
    </row>
    <row r="532">
      <c r="B532" s="9" t="n">
        <v>530</v>
      </c>
      <c r="C532" s="10" t="inlineStr">
        <is>
          <t>Nhân Viên Chăm Sóc Khách Hàng Kênh Chat - Dự án Shopee</t>
        </is>
      </c>
      <c r="D532" s="10" t="inlineStr">
        <is>
          <t>Công Ty TNHH Việt Mỹ-SSU</t>
        </is>
      </c>
      <c r="E532" s="10" t="inlineStr">
        <is>
          <t>Lương:7,8 Tr - 8 Tr VND</t>
        </is>
      </c>
      <c r="F532" s="10" t="inlineStr">
        <is>
          <t>Hồ Chí Minh</t>
        </is>
      </c>
      <c r="G532" s="10" t="inlineStr">
        <is>
          <t>26-03-2026</t>
        </is>
      </c>
      <c r="H532" s="10" t="inlineStr">
        <is>
          <t>26/03/2026</t>
        </is>
      </c>
      <c r="I532" s="10" t="inlineStr">
        <is>
          <t>17/03/2026</t>
        </is>
      </c>
      <c r="J532" s="10" t="inlineStr">
        <is>
          <t>Bán hàng / Kinh doanh, Thương mại điện tử, Dịch vụ khách hàng</t>
        </is>
      </c>
      <c r="K532" s="10" t="inlineStr">
        <is>
          <t>Lên đến 1 Năm</t>
        </is>
      </c>
      <c r="L532" s="11">
        <f>HYPERLINK("https://careerviet.vn/vi/tim-viec-lam/nhan-vien-cham-soc-khach-hang-kenh-chat-du-an-shopee.35C699AB.html","Xem chi tiết")</f>
        <v/>
      </c>
      <c r="M532" s="10" t="n"/>
    </row>
    <row r="533">
      <c r="B533" s="7" t="n">
        <v>531</v>
      </c>
      <c r="C533" t="inlineStr">
        <is>
          <t>Quản Lý Cửa Hàng - Khu vực Đà Nẵng</t>
        </is>
      </c>
      <c r="D533" t="inlineStr">
        <is>
          <t>CÔNG TY TNHH MTV THƯƠNG MẠI DỊCH VỤ BLUE OCEAN- THẾ GIỚI SKINFOOD</t>
        </is>
      </c>
      <c r="E533" t="inlineStr">
        <is>
          <t>Lương:14 Tr - 16 Tr VND</t>
        </is>
      </c>
      <c r="F533" t="inlineStr">
        <is>
          <t>Đà Nẵng</t>
        </is>
      </c>
      <c r="G533" t="inlineStr">
        <is>
          <t>26-03-2026</t>
        </is>
      </c>
      <c r="H533" t="inlineStr">
        <is>
          <t>26/03/2026</t>
        </is>
      </c>
      <c r="I533" t="inlineStr">
        <is>
          <t>17/03/2026</t>
        </is>
      </c>
      <c r="J533" t="inlineStr">
        <is>
          <t>Bán lẻ / Bán sỉ, Bán hàng / Kinh doanh, Tiếp thị trực tuyến</t>
        </is>
      </c>
      <c r="K533" t="inlineStr">
        <is>
          <t>1 - 2 Năm</t>
        </is>
      </c>
      <c r="L533" s="8">
        <f>HYPERLINK("https://careerviet.vn/vi/tim-viec-lam/quan-ly-cua-hang-khu-vuc-da-nang.35C6979C.html","Xem chi tiết")</f>
        <v/>
      </c>
    </row>
    <row r="534">
      <c r="B534" s="9" t="n">
        <v>532</v>
      </c>
      <c r="C534" s="10" t="inlineStr">
        <is>
          <t>Chuyên viên hành chính nhân sự</t>
        </is>
      </c>
      <c r="D534" s="10" t="inlineStr">
        <is>
          <t>CÔNG TY TNHH THƯƠNG MẠI DỊCH VỤ HAPPY PHONE</t>
        </is>
      </c>
      <c r="E534" s="10" t="inlineStr">
        <is>
          <t>Lương:12 Tr - 15 Tr VND</t>
        </is>
      </c>
      <c r="F534" s="10" t="inlineStr">
        <is>
          <t>Hồ Chí Minh</t>
        </is>
      </c>
      <c r="G534" s="10" t="inlineStr">
        <is>
          <t>25-03-2026</t>
        </is>
      </c>
      <c r="H534" s="10" t="inlineStr">
        <is>
          <t>25/03/2026</t>
        </is>
      </c>
      <c r="I534" s="10" t="inlineStr">
        <is>
          <t>17/03/2026</t>
        </is>
      </c>
      <c r="J534" s="10" t="inlineStr">
        <is>
          <t>Nhân sự, Hành chính / Thư ký, Bán lẻ / Bán sỉ</t>
        </is>
      </c>
      <c r="K534" s="10" t="inlineStr">
        <is>
          <t>3 - 4 Năm</t>
        </is>
      </c>
      <c r="L534" s="11">
        <f>HYPERLINK("https://careerviet.vn/vi/tim-viec-lam/chuyen-vien-hanh-chinh-nhan-su.35C698B9.html","Xem chi tiết")</f>
        <v/>
      </c>
      <c r="M534" s="10" t="n"/>
    </row>
    <row r="535">
      <c r="B535" s="7" t="n">
        <v>533</v>
      </c>
      <c r="C535" t="inlineStr">
        <is>
          <t>MES/ Operations Development</t>
        </is>
      </c>
      <c r="D535" t="inlineStr">
        <is>
          <t>CÔNG TY TNHH TKG TDS VINA</t>
        </is>
      </c>
      <c r="E535" t="inlineStr">
        <is>
          <t>Lương:Cạnh tranh</t>
        </is>
      </c>
      <c r="F535" t="inlineStr">
        <is>
          <t>Đồng Nai</t>
        </is>
      </c>
      <c r="G535" t="inlineStr">
        <is>
          <t>28-03-2026</t>
        </is>
      </c>
      <c r="H535" t="inlineStr">
        <is>
          <t>28/03/2026</t>
        </is>
      </c>
      <c r="I535" t="inlineStr">
        <is>
          <t>17/03/2026</t>
        </is>
      </c>
      <c r="J535" t="inlineStr">
        <is>
          <t>CNTT - Phần mềm, CNTT - Phần cứng / Mạng, Mỹ thuật / Nghệ thuật / Thiết kế</t>
        </is>
      </c>
      <c r="K535" t="inlineStr">
        <is>
          <t>2 - 5 Năm</t>
        </is>
      </c>
      <c r="L535" s="8">
        <f>HYPERLINK("https://careerviet.vn/vi/tim-viec-lam/mes-operations-development.35C6985C.html","Xem chi tiết")</f>
        <v/>
      </c>
    </row>
    <row r="536">
      <c r="B536" s="9" t="n">
        <v>534</v>
      </c>
      <c r="C536" s="10" t="inlineStr">
        <is>
          <t>Nhân Viên Bảo Trì/ Bảo Dưỡng</t>
        </is>
      </c>
      <c r="D536" s="10" t="inlineStr">
        <is>
          <t>CÔNG TY TNHH MAKOTO SANGYO VIỆT NAM</t>
        </is>
      </c>
      <c r="E536" s="10" t="inlineStr">
        <is>
          <t>Lương:10 Tr - 15 Tr VND</t>
        </is>
      </c>
      <c r="F536" s="10" t="inlineStr">
        <is>
          <t>Hà Nội</t>
        </is>
      </c>
      <c r="G536" s="10" t="inlineStr">
        <is>
          <t>24-03-2026</t>
        </is>
      </c>
      <c r="H536" s="10" t="inlineStr">
        <is>
          <t>24/03/2026</t>
        </is>
      </c>
      <c r="I536" s="10" t="inlineStr">
        <is>
          <t>17/03/2026</t>
        </is>
      </c>
      <c r="J536" s="10" t="inlineStr">
        <is>
          <t>Bảo trì / Sửa chữa, Cơ khí / Ô tô / Tự động hóa, Điện / Điện tử / Điện lạnh / Điện công nghiệp</t>
        </is>
      </c>
      <c r="K536" s="10" t="inlineStr">
        <is>
          <t>về máy móc, thiết bị Giới tính: Nam Tuổi: Dưới 30 tuổi Mức lương: 10-15tr</t>
        </is>
      </c>
      <c r="L536" s="11">
        <f>HYPERLINK("https://careerviet.vn/vi/tim-viec-lam/nhan-vien-bao-tri-bao-duong.35C6972B.html","Xem chi tiết")</f>
        <v/>
      </c>
      <c r="M536" s="10" t="n"/>
    </row>
    <row r="537">
      <c r="B537" s="7" t="n">
        <v>535</v>
      </c>
      <c r="C537" t="inlineStr">
        <is>
          <t>NHÂN VIÊN KINH DOANH (NGÀNH TÔN THÉP - TP THỦ ĐỨC)</t>
        </is>
      </c>
      <c r="D537" t="inlineStr">
        <is>
          <t>Công Ty TNHH Pomaxx Việt Nam</t>
        </is>
      </c>
      <c r="E537" t="inlineStr">
        <is>
          <t>Lương:12 Tr - 25 Tr VND</t>
        </is>
      </c>
      <c r="F537" t="inlineStr">
        <is>
          <t>Hồ Chí Minh</t>
        </is>
      </c>
      <c r="G537" t="inlineStr">
        <is>
          <t>06-04-2026</t>
        </is>
      </c>
      <c r="H537" t="inlineStr">
        <is>
          <t>06/04/2026</t>
        </is>
      </c>
      <c r="I537" t="inlineStr">
        <is>
          <t>17/03/2026</t>
        </is>
      </c>
      <c r="J537" t="inlineStr">
        <is>
          <t>Bán hàng / Kinh doanh</t>
        </is>
      </c>
      <c r="K537" t="inlineStr">
        <is>
          <t>1 - 3 Năm</t>
        </is>
      </c>
      <c r="L537" s="8">
        <f>HYPERLINK("https://careerviet.vn/vi/tim-viec-lam/nhan-vien-kinh-doanh-nganh-ton-thep-tp-thu-duc.35C699D3.html","Xem chi tiết")</f>
        <v/>
      </c>
    </row>
    <row r="538">
      <c r="B538" s="9" t="n">
        <v>536</v>
      </c>
      <c r="C538" s="10" t="inlineStr">
        <is>
          <t>Hành Chính Kiêm Lễ Tân  (Tiếng Anh Giao Tiếp)</t>
        </is>
      </c>
      <c r="D538" s="10" t="inlineStr">
        <is>
          <t>CÔNG TY CỔ PHẦN VẮC XIN VÀ SINH PHẨM NAM HƯNG VIỆT</t>
        </is>
      </c>
      <c r="E538" s="10" t="inlineStr">
        <is>
          <t>Lương:Cạnh tranh</t>
        </is>
      </c>
      <c r="F538" s="10" t="inlineStr">
        <is>
          <t>Hồ Chí Minh</t>
        </is>
      </c>
      <c r="G538" s="10" t="inlineStr">
        <is>
          <t>31-03-2026</t>
        </is>
      </c>
      <c r="H538" s="10" t="inlineStr">
        <is>
          <t>31/03/2026</t>
        </is>
      </c>
      <c r="I538" s="10" t="inlineStr">
        <is>
          <t>17/03/2026</t>
        </is>
      </c>
      <c r="J538" s="10" t="inlineStr">
        <is>
          <t>Kế toán / Kiểm toán, Hành chính / Thư ký, Y tế / Chăm sóc sức khỏe / Thẩm mỹ / Làm đẹp</t>
        </is>
      </c>
      <c r="K538" s="10" t="inlineStr">
        <is>
          <t>1 - 2 Năm</t>
        </is>
      </c>
      <c r="L538" s="11">
        <f>HYPERLINK("https://careerviet.vn/vi/tim-viec-lam/hanh-chinh-kiem-le-tan-tieng-anh-giao-tiep.35C6974F.html","Xem chi tiết")</f>
        <v/>
      </c>
      <c r="M538" s="10" t="n"/>
    </row>
    <row r="539">
      <c r="B539" s="7" t="n">
        <v>537</v>
      </c>
      <c r="C539" t="inlineStr">
        <is>
          <t>Nhân viên Kinh doanh Nội thất - Thu nhập hấp dẫn</t>
        </is>
      </c>
      <c r="D539" t="inlineStr">
        <is>
          <t>CÔNG TY CỔ PHẦN THIẾT KẾ NỘI THẤT ICON</t>
        </is>
      </c>
      <c r="E539" t="inlineStr">
        <is>
          <t>Lương:6 Tr - 30 Tr VND</t>
        </is>
      </c>
      <c r="F539" t="inlineStr">
        <is>
          <t>Hồ Chí Minh</t>
        </is>
      </c>
      <c r="G539" t="inlineStr">
        <is>
          <t>31-03-2026</t>
        </is>
      </c>
      <c r="H539" t="inlineStr">
        <is>
          <t>31/03/2026</t>
        </is>
      </c>
      <c r="I539" t="inlineStr">
        <is>
          <t>17/03/2026</t>
        </is>
      </c>
      <c r="J539" t="inlineStr">
        <is>
          <t>Bán hàng / Kinh doanh, Nội ngoại thất, Xây dựng</t>
        </is>
      </c>
      <c r="K539" t="inlineStr">
        <is>
          <t>Chưa có kinh nghiệm</t>
        </is>
      </c>
      <c r="L539" s="8">
        <f>HYPERLINK("https://careerviet.vn/vi/tim-viec-lam/nhan-vien-kinh-doanh-noi-that-thu-nhap-hap-dan.35C6973E.html","Xem chi tiết")</f>
        <v/>
      </c>
    </row>
    <row r="540">
      <c r="B540" s="9" t="n">
        <v>538</v>
      </c>
      <c r="C540" s="10" t="inlineStr">
        <is>
          <t>Kế toán trưởng 27675 - Đống Đa, HN</t>
        </is>
      </c>
      <c r="D540" s="10" t="inlineStr">
        <is>
          <t>Công Ty TNHH Reeracoen Việt Nam</t>
        </is>
      </c>
      <c r="E540" s="10" t="inlineStr">
        <is>
          <t>Lương:30 Tr - 40 Tr VND</t>
        </is>
      </c>
      <c r="F540" s="10" t="inlineStr">
        <is>
          <t>Hà Nội</t>
        </is>
      </c>
      <c r="G540" s="10" t="inlineStr">
        <is>
          <t>25-03-2026</t>
        </is>
      </c>
      <c r="H540" s="10" t="inlineStr">
        <is>
          <t>25/03/2026</t>
        </is>
      </c>
      <c r="I540" s="10" t="inlineStr">
        <is>
          <t>17/03/2026</t>
        </is>
      </c>
      <c r="J540" s="10" t="inlineStr">
        <is>
          <t>Kế toán / Kiểm toán, Tài chính / Đầu tư, Quản lý điều hành</t>
        </is>
      </c>
      <c r="K540" s="10" t="inlineStr">
        <is>
          <t>2 - 5 Năm</t>
        </is>
      </c>
      <c r="L540" s="11">
        <f>HYPERLINK("https://careerviet.vn/vi/tim-viec-lam/ke-toan-truong-27675-dong-da-hn.35C696BD.html","Xem chi tiết")</f>
        <v/>
      </c>
      <c r="M540" s="10" t="n"/>
    </row>
    <row r="541">
      <c r="B541" s="7" t="n">
        <v>539</v>
      </c>
      <c r="C541" t="inlineStr">
        <is>
          <t>Chuyên viên Giám định bồi thường Xe cơ giới tại địa bàn Hồ Chí Minh - Khối Giám định bồi thường</t>
        </is>
      </c>
      <c r="D541" t="inlineStr">
        <is>
          <t>Tổng Công ty Cổ phần Bảo hiểm Quân đội (MIC)</t>
        </is>
      </c>
      <c r="E541" t="inlineStr">
        <is>
          <t>Lương:Cạnh tranh</t>
        </is>
      </c>
      <c r="F541" t="inlineStr">
        <is>
          <t>Hồ Chí Minh</t>
        </is>
      </c>
      <c r="G541" t="inlineStr">
        <is>
          <t>27-03-2026</t>
        </is>
      </c>
      <c r="H541" t="inlineStr">
        <is>
          <t>27/03/2026</t>
        </is>
      </c>
      <c r="I541" t="inlineStr">
        <is>
          <t>17/03/2026</t>
        </is>
      </c>
      <c r="J541" t="inlineStr">
        <is>
          <t>Bảo hiểm, Bảo trì / Sửa chữa</t>
        </is>
      </c>
      <c r="K541" t="inlineStr">
        <is>
          <t>1 - 10 Năm</t>
        </is>
      </c>
      <c r="L541" s="8">
        <f>HYPERLINK("https://careerviet.vn/vi/tim-viec-lam/chuyen-vien-giam-dinh-boi-thuong-xe-co-gioi-tai-dia-ban-ho-chi-minh-khoi-giam-dinh-boi-thuong.35C69561.html","Xem chi tiết")</f>
        <v/>
      </c>
    </row>
    <row r="542">
      <c r="B542" s="9" t="n">
        <v>540</v>
      </c>
      <c r="C542" s="10" t="inlineStr">
        <is>
          <t>Chuyên Viên ISO</t>
        </is>
      </c>
      <c r="D542" s="10" t="inlineStr">
        <is>
          <t>CÔNG TY CỔ PHẦN XÂY DỰNG WORLD STEEL</t>
        </is>
      </c>
      <c r="E542" s="10" t="inlineStr">
        <is>
          <t>Lương:13 Tr - 15 Tr VND</t>
        </is>
      </c>
      <c r="F542" s="10" t="inlineStr">
        <is>
          <t>Long An</t>
        </is>
      </c>
      <c r="G542" s="10" t="inlineStr">
        <is>
          <t>26-03-2026</t>
        </is>
      </c>
      <c r="H542" s="10" t="inlineStr">
        <is>
          <t>26/03/2026</t>
        </is>
      </c>
      <c r="I542" s="10" t="inlineStr">
        <is>
          <t>17/03/2026</t>
        </is>
      </c>
      <c r="J542" s="10" t="inlineStr">
        <is>
          <t>Quản lý chất lượng (QA/QC), Xây dựng, Bất động sản</t>
        </is>
      </c>
      <c r="K542" s="10" t="inlineStr">
        <is>
          <t>1 - 3 Năm</t>
        </is>
      </c>
      <c r="L542" s="11">
        <f>HYPERLINK("https://careerviet.vn/vi/tim-viec-lam/chuyen-vien-iso.35C694FD.html","Xem chi tiết")</f>
        <v/>
      </c>
      <c r="M542" s="10" t="n"/>
    </row>
    <row r="543">
      <c r="B543" s="7" t="n">
        <v>541</v>
      </c>
      <c r="C543" t="inlineStr">
        <is>
          <t>Kiến trúc sư triển khai</t>
        </is>
      </c>
      <c r="D543" t="inlineStr">
        <is>
          <t>CÔNG TY CỔ PHẦN THIẾT KẾ XÂY DỰNG THƯƠNG MẠI PHÚC THỊNH</t>
        </is>
      </c>
      <c r="E543" t="inlineStr">
        <is>
          <t>Lương:15 Tr - 20 Tr VND</t>
        </is>
      </c>
      <c r="F543" t="inlineStr">
        <is>
          <t>Hồ Chí Minh</t>
        </is>
      </c>
      <c r="G543" t="inlineStr">
        <is>
          <t>3</t>
        </is>
      </c>
      <c r="H543" t="inlineStr">
        <is>
          <t>20/03/2026</t>
        </is>
      </c>
      <c r="I543" t="inlineStr">
        <is>
          <t>17/03/2026</t>
        </is>
      </c>
      <c r="J543" t="inlineStr">
        <is>
          <t>Kiến trúc, Xây dựng</t>
        </is>
      </c>
      <c r="K543" t="inlineStr">
        <is>
          <t>2 - 5 Năm</t>
        </is>
      </c>
      <c r="L543" s="8">
        <f>HYPERLINK("https://careerviet.vn/vi/tim-viec-lam/kien-truc-su-trien-khai.35C694BD.html","Xem chi tiết")</f>
        <v/>
      </c>
    </row>
    <row r="544">
      <c r="B544" s="9" t="n">
        <v>542</v>
      </c>
      <c r="C544" s="10" t="inlineStr">
        <is>
          <t>Nhân Viên Bán Hàng Mỹ Phẩm Cao Cấp</t>
        </is>
      </c>
      <c r="D544" s="10" t="inlineStr">
        <is>
          <t>CÔNG TY TNHH AN HẢI VN</t>
        </is>
      </c>
      <c r="E544" s="10" t="inlineStr">
        <is>
          <t>Lương:7 Tr - 15 Tr VND</t>
        </is>
      </c>
      <c r="F544" s="10" t="inlineStr">
        <is>
          <t>Hồ Chí Minh</t>
        </is>
      </c>
      <c r="G544" s="10" t="inlineStr">
        <is>
          <t>30-03-2026</t>
        </is>
      </c>
      <c r="H544" s="10" t="inlineStr">
        <is>
          <t>30/03/2026</t>
        </is>
      </c>
      <c r="I544" s="10" t="inlineStr">
        <is>
          <t>17/03/2026</t>
        </is>
      </c>
      <c r="J544" s="10" t="inlineStr">
        <is>
          <t>Bán lẻ / Bán sỉ, Bán hàng / Kinh doanh, Dịch vụ khách hàng</t>
        </is>
      </c>
      <c r="K544" s="10" t="inlineStr">
        <is>
          <t>Trên 1 Năm</t>
        </is>
      </c>
      <c r="L544" s="11">
        <f>HYPERLINK("https://careerviet.vn/vi/tim-viec-lam/nhan-vien-ban-hang-my-pham-cao-cap.35C69541.html","Xem chi tiết")</f>
        <v/>
      </c>
      <c r="M544" s="10" t="n"/>
    </row>
    <row r="545">
      <c r="B545" s="7" t="n">
        <v>543</v>
      </c>
      <c r="C545" t="inlineStr">
        <is>
          <t>Nhân viên bán hàng thị trường</t>
        </is>
      </c>
      <c r="D545" t="inlineStr">
        <is>
          <t>CÔNG TY TNHH MTV CHẾ TÁC VÀ KINH DOANH TRANG SỨC PNJ</t>
        </is>
      </c>
      <c r="E545" t="inlineStr">
        <is>
          <t>Lương:13 Tr - 15 Tr VND</t>
        </is>
      </c>
      <c r="F545" t="inlineStr">
        <is>
          <t>Hồ Chí Minh</t>
        </is>
      </c>
      <c r="G545" t="inlineStr">
        <is>
          <t>25-03-2026</t>
        </is>
      </c>
      <c r="H545" t="inlineStr">
        <is>
          <t>25/03/2026</t>
        </is>
      </c>
      <c r="I545" t="inlineStr">
        <is>
          <t>17/03/2026</t>
        </is>
      </c>
      <c r="J545" t="inlineStr">
        <is>
          <t>Bán lẻ / Bán sỉ, Bán hàng / Kinh doanh, Dịch vụ khách hàng</t>
        </is>
      </c>
      <c r="K545" t="inlineStr">
        <is>
          <t>Lên đến 1 Năm</t>
        </is>
      </c>
      <c r="L545" s="8">
        <f>HYPERLINK("https://careerviet.vn/vi/tim-viec-lam/nhan-vien-ban-hang-thi-truong.35C69469.html","Xem chi tiết")</f>
        <v/>
      </c>
    </row>
    <row r="546">
      <c r="B546" s="9" t="n">
        <v>544</v>
      </c>
      <c r="C546" s="10" t="inlineStr">
        <is>
          <t>Nhân Viên Kế Toán</t>
        </is>
      </c>
      <c r="D546" s="10" t="inlineStr">
        <is>
          <t>CÔNG TY TNHH THE MAY GROUP</t>
        </is>
      </c>
      <c r="E546" s="10" t="inlineStr">
        <is>
          <t>Lương:9 Tr - 13 Tr VND</t>
        </is>
      </c>
      <c r="F546" s="10" t="inlineStr">
        <is>
          <t>Hà Nội</t>
        </is>
      </c>
      <c r="G546" s="10" t="inlineStr">
        <is>
          <t>27-03-2026</t>
        </is>
      </c>
      <c r="H546" s="10" t="inlineStr">
        <is>
          <t>27/03/2026</t>
        </is>
      </c>
      <c r="I546" s="10" t="inlineStr">
        <is>
          <t>17/03/2026</t>
        </is>
      </c>
      <c r="J546" s="10" t="inlineStr">
        <is>
          <t>Thương mại điện tử, Kế toán / Kiểm toán, Tài chính / Đầu tư</t>
        </is>
      </c>
      <c r="K546" s="10" t="inlineStr">
        <is>
          <t>Trên 1 Năm</t>
        </is>
      </c>
      <c r="L546" s="11">
        <f>HYPERLINK("https://careerviet.vn/vi/tim-viec-lam/nhan-vien-ke-toan.35C693FB.html","Xem chi tiết")</f>
        <v/>
      </c>
      <c r="M546" s="10" t="n"/>
    </row>
    <row r="547">
      <c r="B547" s="7" t="n">
        <v>545</v>
      </c>
      <c r="C547" t="inlineStr">
        <is>
          <t>Nhân Viên Bán Hàng Mỹ Phẩm Fulltime</t>
        </is>
      </c>
      <c r="D547" t="inlineStr">
        <is>
          <t>CÔNG TY TNHH MTV THƯƠNG MẠI DỊCH VỤ BLUE OCEAN- THẾ GIỚI SKINFOOD</t>
        </is>
      </c>
      <c r="E547" t="inlineStr">
        <is>
          <t>Lương:7 Tr - 9 Tr VND</t>
        </is>
      </c>
      <c r="F547" t="inlineStr">
        <is>
          <t>Đà Nẵng</t>
        </is>
      </c>
      <c r="G547" t="inlineStr">
        <is>
          <t>25-03-2026</t>
        </is>
      </c>
      <c r="H547" t="inlineStr">
        <is>
          <t>25/03/2026</t>
        </is>
      </c>
      <c r="I547" t="inlineStr">
        <is>
          <t>17/03/2026</t>
        </is>
      </c>
      <c r="J547" t="inlineStr">
        <is>
          <t>Bán lẻ / Bán sỉ, Bán hàng / Kinh doanh</t>
        </is>
      </c>
      <c r="K547" t="inlineStr">
        <is>
          <t>Chưa có kinh nghiệm</t>
        </is>
      </c>
      <c r="L547" s="8">
        <f>HYPERLINK("https://careerviet.vn/vi/tim-viec-lam/nhan-vien-ban-hang-my-pham-fulltime.35C69479.html","Xem chi tiết")</f>
        <v/>
      </c>
    </row>
    <row r="548">
      <c r="B548" s="9" t="n">
        <v>546</v>
      </c>
      <c r="C548" s="10" t="inlineStr">
        <is>
          <t>Kỹ sư dự toán đấu thầu</t>
        </is>
      </c>
      <c r="D548" s="10" t="inlineStr">
        <is>
          <t>CÔNG TY CỔ PHẦN THIẾT KẾ XÂY DỰNG THƯƠNG MẠI PHÚC THỊNH</t>
        </is>
      </c>
      <c r="E548" s="10" t="inlineStr">
        <is>
          <t>Lương:14 Tr - 20 Tr VND</t>
        </is>
      </c>
      <c r="F548" s="10" t="inlineStr">
        <is>
          <t>Hồ Chí Minh</t>
        </is>
      </c>
      <c r="G548" s="10" t="inlineStr">
        <is>
          <t>25-03-2026</t>
        </is>
      </c>
      <c r="H548" s="10" t="inlineStr">
        <is>
          <t>25/03/2026</t>
        </is>
      </c>
      <c r="I548" s="10" t="inlineStr">
        <is>
          <t>17/03/2026</t>
        </is>
      </c>
      <c r="J548" s="10" t="inlineStr">
        <is>
          <t>Kiến trúc, Xây dựng</t>
        </is>
      </c>
      <c r="K548" s="10" t="inlineStr">
        <is>
          <t>2 - 5 Năm</t>
        </is>
      </c>
      <c r="L548" s="11">
        <f>HYPERLINK("https://careerviet.vn/vi/tim-viec-lam/ky-su-du-toan-dau-thau.35C694CE.html","Xem chi tiết")</f>
        <v/>
      </c>
      <c r="M548" s="10" t="n"/>
    </row>
    <row r="549">
      <c r="B549" s="7" t="n">
        <v>547</v>
      </c>
      <c r="C549" t="inlineStr">
        <is>
          <t>Kế Toán Tổng Hợp</t>
        </is>
      </c>
      <c r="D549" t="inlineStr">
        <is>
          <t>CÔNG TY CỔ PHẦN KỸ THUẬT HẠ TẦNG META</t>
        </is>
      </c>
      <c r="E549" t="inlineStr">
        <is>
          <t>Lương:15 Tr - 18 Tr VND</t>
        </is>
      </c>
      <c r="F549" t="inlineStr">
        <is>
          <t>Hà Nội</t>
        </is>
      </c>
      <c r="G549" t="inlineStr">
        <is>
          <t>6</t>
        </is>
      </c>
      <c r="H549" t="inlineStr">
        <is>
          <t>23/03/2026</t>
        </is>
      </c>
      <c r="I549" t="inlineStr">
        <is>
          <t>17/03/2026</t>
        </is>
      </c>
      <c r="J549" t="inlineStr">
        <is>
          <t>Kế toán / Kiểm toán, Môi trường</t>
        </is>
      </c>
      <c r="K549" t="inlineStr">
        <is>
          <t>N/A</t>
        </is>
      </c>
      <c r="L549" s="8">
        <f>HYPERLINK("https://careerviet.vn/vi/tim-viec-lam/ke-toan-tong-hop.35C693D5.html","Xem chi tiết")</f>
        <v/>
      </c>
    </row>
    <row r="550">
      <c r="B550" s="9" t="n">
        <v>548</v>
      </c>
      <c r="C550" s="10" t="inlineStr">
        <is>
          <t>Pharma Operation And Sales Support</t>
        </is>
      </c>
      <c r="D550" s="10" t="inlineStr">
        <is>
          <t>DUC VIET CARGOTEAM</t>
        </is>
      </c>
      <c r="E550" s="10" t="inlineStr">
        <is>
          <t>Lương:Cạnh tranh</t>
        </is>
      </c>
      <c r="F550" s="10" t="inlineStr">
        <is>
          <t>Hà Nội</t>
        </is>
      </c>
      <c r="G550" s="10" t="inlineStr">
        <is>
          <t>6</t>
        </is>
      </c>
      <c r="H550" s="10" t="inlineStr">
        <is>
          <t>23/03/2026</t>
        </is>
      </c>
      <c r="I550" s="10" t="inlineStr">
        <is>
          <t>17/03/2026</t>
        </is>
      </c>
      <c r="J550" s="10" t="inlineStr">
        <is>
          <t>Bán hàng / Kinh doanh, Dược phẩm/ Hóa Mỹ Phẩm, Hành chính / Thư ký</t>
        </is>
      </c>
      <c r="K550" s="10" t="inlineStr">
        <is>
          <t>2 - 3 Năm</t>
        </is>
      </c>
      <c r="L550" s="11">
        <f>HYPERLINK("https://careerviet.vn/vi/tim-viec-lam/pharma-operation-and-sales-support.35C693F6.html","Xem chi tiết")</f>
        <v/>
      </c>
      <c r="M550" s="10" t="n"/>
    </row>
    <row r="551">
      <c r="B551" s="7" t="n">
        <v>549</v>
      </c>
      <c r="C551" t="inlineStr">
        <is>
          <t>Chuyên viên nhân sự</t>
        </is>
      </c>
      <c r="D551" t="inlineStr">
        <is>
          <t>CÔNG TY CỔ PHẦN TẬP ĐOÀN BA THANH</t>
        </is>
      </c>
      <c r="E551" t="inlineStr">
        <is>
          <t>Lương:12 Tr - 13 Tr VND</t>
        </is>
      </c>
      <c r="F551" t="inlineStr">
        <is>
          <t>Hồ Chí Minh</t>
        </is>
      </c>
      <c r="G551" t="inlineStr">
        <is>
          <t>5</t>
        </is>
      </c>
      <c r="H551" t="inlineStr">
        <is>
          <t>22/03/2026</t>
        </is>
      </c>
      <c r="I551" t="inlineStr">
        <is>
          <t>17/03/2026</t>
        </is>
      </c>
      <c r="J551" t="inlineStr">
        <is>
          <t>Nhân sự, Hành chính / Thư ký</t>
        </is>
      </c>
      <c r="K551" t="inlineStr">
        <is>
          <t>1 - 2 Năm</t>
        </is>
      </c>
      <c r="L551" s="8">
        <f>HYPERLINK("https://careerviet.vn/vi/tim-viec-lam/chuyen-vien-nhan-su.35C69390.html","Xem chi tiết")</f>
        <v/>
      </c>
    </row>
    <row r="552">
      <c r="B552" s="9" t="n">
        <v>550</v>
      </c>
      <c r="C552" s="10" t="inlineStr">
        <is>
          <t>Chuyên viên Giám định Xe cơ giới tại địa bàn Bình Dương - Khối Giám định bồi thường</t>
        </is>
      </c>
      <c r="D552" s="10" t="inlineStr">
        <is>
          <t>Tổng Công ty Cổ phần Bảo hiểm Quân đội (MIC)</t>
        </is>
      </c>
      <c r="E552" s="10" t="inlineStr">
        <is>
          <t>Lương:Cạnh tranh</t>
        </is>
      </c>
      <c r="F552" s="10" t="inlineStr">
        <is>
          <t>Bình Dương</t>
        </is>
      </c>
      <c r="G552" s="10" t="inlineStr">
        <is>
          <t>26-03-2026</t>
        </is>
      </c>
      <c r="H552" s="10" t="inlineStr">
        <is>
          <t>26/03/2026</t>
        </is>
      </c>
      <c r="I552" s="10" t="inlineStr">
        <is>
          <t>17/03/2026</t>
        </is>
      </c>
      <c r="J552" s="10" t="inlineStr">
        <is>
          <t>Bảo hiểm, Bảo trì / Sửa chữa</t>
        </is>
      </c>
      <c r="K552" s="10" t="inlineStr">
        <is>
          <t>1 - 10 Năm</t>
        </is>
      </c>
      <c r="L552" s="11">
        <f>HYPERLINK("https://careerviet.vn/vi/tim-viec-lam/chuyen-vien-giam-dinh-xe-co-gioi-tai-dia-ban-binh-duong-khoi-giam-dinh-boi-thuong.35C693C5.html","Xem chi tiết")</f>
        <v/>
      </c>
      <c r="M552" s="10" t="n"/>
    </row>
    <row r="553">
      <c r="B553" s="7" t="n">
        <v>551</v>
      </c>
      <c r="C553" t="inlineStr">
        <is>
          <t>Service Sales Engineer (Solution/BMS)</t>
        </is>
      </c>
      <c r="D553" t="inlineStr">
        <is>
          <t>Daikin Air Conditioning (Vietnam) Joint Stock Company</t>
        </is>
      </c>
      <c r="E553" t="inlineStr">
        <is>
          <t>Lương:Cạnh tranh</t>
        </is>
      </c>
      <c r="F553" t="inlineStr">
        <is>
          <t>Hồ Chí Minh</t>
        </is>
      </c>
      <c r="G553" t="inlineStr">
        <is>
          <t>26-03-2026</t>
        </is>
      </c>
      <c r="H553" t="inlineStr">
        <is>
          <t>26/03/2026</t>
        </is>
      </c>
      <c r="I553" t="inlineStr">
        <is>
          <t>17/03/2026</t>
        </is>
      </c>
      <c r="J553" t="inlineStr">
        <is>
          <t>Bán hàng / Kinh doanh, Điện / Điện tử / Điện lạnh / Điện công nghiệp</t>
        </is>
      </c>
      <c r="K553" t="inlineStr">
        <is>
          <t>Trên 1 Năm</t>
        </is>
      </c>
      <c r="L553" s="8">
        <f>HYPERLINK("https://careerviet.vn/vi/tim-viec-lam/service-sales-engineer-solution-bms.35C692E4.html","Xem chi tiết")</f>
        <v/>
      </c>
    </row>
    <row r="554">
      <c r="B554" s="9" t="n">
        <v>552</v>
      </c>
      <c r="C554" s="10" t="inlineStr">
        <is>
          <t>KỸ SƯ THIẾT KẾ KẾT CẤU (VĂN PHÒNG HN)</t>
        </is>
      </c>
      <c r="D554" s="10" t="inlineStr">
        <is>
          <t>Công ty CP Ecoteck VN</t>
        </is>
      </c>
      <c r="E554" s="10" t="inlineStr">
        <is>
          <t>Lương:15 Tr - 25 Tr VND</t>
        </is>
      </c>
      <c r="F554" s="10" t="inlineStr">
        <is>
          <t>Hà Nội</t>
        </is>
      </c>
      <c r="G554" s="10" t="inlineStr">
        <is>
          <t>17-03-2026</t>
        </is>
      </c>
      <c r="H554" s="10" t="inlineStr">
        <is>
          <t>15/03/2026</t>
        </is>
      </c>
      <c r="I554" s="10" t="inlineStr">
        <is>
          <t>17/03/2026</t>
        </is>
      </c>
      <c r="J554" s="10" t="inlineStr">
        <is>
          <t>Xây dựng</t>
        </is>
      </c>
      <c r="K554" s="10" t="inlineStr">
        <is>
          <t>2 - 5 Năm</t>
        </is>
      </c>
      <c r="L554" s="11">
        <f>HYPERLINK("https://careerviet.vn/vi/tim-viec-lam/ky-su-thiet-ke-ket-cau-van-phong-hn.35C692BA.html","Xem chi tiết")</f>
        <v/>
      </c>
      <c r="M554" s="10" t="n"/>
    </row>
    <row r="555">
      <c r="B555" s="7" t="n">
        <v>553</v>
      </c>
      <c r="C555" t="inlineStr">
        <is>
          <t>CHUYÊN VIÊN THẦU XÂY DỰNG (VĂN PHÒNG HN)</t>
        </is>
      </c>
      <c r="D555" t="inlineStr">
        <is>
          <t>Công ty CP Ecoteck VN</t>
        </is>
      </c>
      <c r="E555" t="inlineStr">
        <is>
          <t>Lương:12 Tr - 18 Tr VND</t>
        </is>
      </c>
      <c r="F555" t="inlineStr">
        <is>
          <t>Hà Nội</t>
        </is>
      </c>
      <c r="G555" t="inlineStr">
        <is>
          <t>17-03-2026</t>
        </is>
      </c>
      <c r="H555" t="inlineStr">
        <is>
          <t>15/03/2026</t>
        </is>
      </c>
      <c r="I555" t="inlineStr">
        <is>
          <t>17/03/2026</t>
        </is>
      </c>
      <c r="J555" t="inlineStr">
        <is>
          <t>Xây dựng</t>
        </is>
      </c>
      <c r="K555" t="inlineStr">
        <is>
          <t>2 - 5 Năm</t>
        </is>
      </c>
      <c r="L555" s="8">
        <f>HYPERLINK("https://careerviet.vn/vi/tim-viec-lam/chuyen-vien-thau-xay-dung-van-phong-hn.35C692E8.html","Xem chi tiết")</f>
        <v/>
      </c>
    </row>
    <row r="556">
      <c r="B556" s="9" t="n">
        <v>554</v>
      </c>
      <c r="C556" s="10" t="inlineStr">
        <is>
          <t>KỸ SƯ CÔNG NGHỆ (CÁC TỈNH LÂN CẬN HÀ NỘI)</t>
        </is>
      </c>
      <c r="D556" s="10" t="inlineStr">
        <is>
          <t>Công ty CP Ecoteck VN</t>
        </is>
      </c>
      <c r="E556" s="10" t="inlineStr">
        <is>
          <t>Lương:12 Tr - 18 Tr VND</t>
        </is>
      </c>
      <c r="F556" s="10" t="inlineStr">
        <is>
          <t>Bắc GiangBắc NinhNam Định</t>
        </is>
      </c>
      <c r="G556" s="10" t="inlineStr">
        <is>
          <t>17-03-2026</t>
        </is>
      </c>
      <c r="H556" s="10" t="inlineStr">
        <is>
          <t>15/03/2026</t>
        </is>
      </c>
      <c r="I556" s="10" t="inlineStr">
        <is>
          <t>17/03/2026</t>
        </is>
      </c>
      <c r="J556" s="10" t="inlineStr">
        <is>
          <t>Môi trường, Điện / Điện tử / Điện lạnh / Điện công nghiệp, Thủy lợi</t>
        </is>
      </c>
      <c r="K556" s="10" t="inlineStr">
        <is>
          <t>1 - 5 Năm</t>
        </is>
      </c>
      <c r="L556" s="11">
        <f>HYPERLINK("https://careerviet.vn/vi/tim-viec-lam/ky-su-cong-nghe-cac-tinh-lan-can-ha-noi.35C6929A.html","Xem chi tiết")</f>
        <v/>
      </c>
      <c r="M556" s="10" t="n"/>
    </row>
    <row r="557">
      <c r="B557" s="7" t="n">
        <v>555</v>
      </c>
      <c r="C557" t="inlineStr">
        <is>
          <t>Chuyên viên kỹ thuật thầu (Văn phòng HN)</t>
        </is>
      </c>
      <c r="D557" t="inlineStr">
        <is>
          <t>Công ty CP Ecoteck VN</t>
        </is>
      </c>
      <c r="E557" t="inlineStr">
        <is>
          <t>Lương:12 Tr - 20 Tr VND</t>
        </is>
      </c>
      <c r="F557" t="inlineStr">
        <is>
          <t>Hà Nội</t>
        </is>
      </c>
      <c r="G557" t="inlineStr">
        <is>
          <t>17-03-2026</t>
        </is>
      </c>
      <c r="H557" t="inlineStr">
        <is>
          <t>15/03/2026</t>
        </is>
      </c>
      <c r="I557" t="inlineStr">
        <is>
          <t>17/03/2026</t>
        </is>
      </c>
      <c r="J557" t="inlineStr">
        <is>
          <t>Môi trường</t>
        </is>
      </c>
      <c r="K557" t="inlineStr">
        <is>
          <t>2 - 5 Năm</t>
        </is>
      </c>
      <c r="L557" s="8">
        <f>HYPERLINK("https://careerviet.vn/vi/tim-viec-lam/chuyen-vien-ky-thuat-thau-van-phong-hn.35C692DB.html","Xem chi tiết")</f>
        <v/>
      </c>
    </row>
    <row r="558">
      <c r="B558" s="9" t="n">
        <v>556</v>
      </c>
      <c r="C558" s="10" t="inlineStr">
        <is>
          <t>Chuyên Viên Kiểm Soát Tuân Thủ (Kiểm Soát Nội Bộ)</t>
        </is>
      </c>
      <c r="D558" s="10" t="inlineStr">
        <is>
          <t>Công Ty Cổ Phần 25 FIT</t>
        </is>
      </c>
      <c r="E558" s="10" t="inlineStr">
        <is>
          <t>Lương:Cạnh tranh</t>
        </is>
      </c>
      <c r="F558" s="10" t="inlineStr">
        <is>
          <t>Hồ Chí Minh</t>
        </is>
      </c>
      <c r="G558" s="10" t="inlineStr">
        <is>
          <t>26-03-2026</t>
        </is>
      </c>
      <c r="H558" s="10" t="inlineStr">
        <is>
          <t>26/03/2026</t>
        </is>
      </c>
      <c r="I558" s="10" t="inlineStr">
        <is>
          <t>17/03/2026</t>
        </is>
      </c>
      <c r="J558" s="10" t="inlineStr">
        <is>
          <t>Quản lý điều hành, Quản lý chất lượng (QA/QC), Y tế / Chăm sóc sức khỏe / Thẩm mỹ / Làm đẹp</t>
        </is>
      </c>
      <c r="K558" s="10" t="inlineStr">
        <is>
          <t>1 - 3 Năm</t>
        </is>
      </c>
      <c r="L558" s="11">
        <f>HYPERLINK("https://careerviet.vn/vi/tim-viec-lam/chuyen-vien-kiem-soat-tuan-thu-kiem-soat-noi-bo.35C691D8.html","Xem chi tiết")</f>
        <v/>
      </c>
      <c r="M558" s="10" t="n"/>
    </row>
    <row r="559">
      <c r="B559" s="7" t="n">
        <v>557</v>
      </c>
      <c r="C559" t="inlineStr">
        <is>
          <t>Giám sát thi công cơ điện (Làm việc ở Phú Quốc)</t>
        </is>
      </c>
      <c r="D559" t="inlineStr">
        <is>
          <t>TẬP ĐOÀN HẠ TẦNG ĐÔ THỊ</t>
        </is>
      </c>
      <c r="E559" t="inlineStr">
        <is>
          <t>Lương:Cạnh tranh</t>
        </is>
      </c>
      <c r="F559" t="inlineStr">
        <is>
          <t>Kiên Giang</t>
        </is>
      </c>
      <c r="G559" t="inlineStr">
        <is>
          <t>30-04-2026</t>
        </is>
      </c>
      <c r="H559" t="inlineStr">
        <is>
          <t>30/04/2026</t>
        </is>
      </c>
      <c r="I559" t="inlineStr">
        <is>
          <t>17/03/2026</t>
        </is>
      </c>
      <c r="J559" t="inlineStr">
        <is>
          <t>Bất động sản, Xây dựng, Điện / Điện tử / Điện lạnh / Điện công nghiệp</t>
        </is>
      </c>
      <c r="K559" t="inlineStr">
        <is>
          <t>2 - 5 Năm</t>
        </is>
      </c>
      <c r="L559" s="8">
        <f>HYPERLINK("https://careerviet.vn/vi/tim-viec-lam/giam-sat-thi-cong-co-dien-lam-viec-o-phu-quoc.35C69157.html","Xem chi tiết")</f>
        <v/>
      </c>
    </row>
    <row r="560">
      <c r="B560" s="9" t="n">
        <v>558</v>
      </c>
      <c r="C560" s="10" t="inlineStr">
        <is>
          <t>Nhân Viên Qc (Kết Cấu Thép)</t>
        </is>
      </c>
      <c r="D560" s="10" t="inlineStr">
        <is>
          <t>CÔNG TY CỔ PHẦN XÂY DỰNG WORLD STEEL</t>
        </is>
      </c>
      <c r="E560" s="10" t="inlineStr">
        <is>
          <t>Lương:10 Tr - 20 Tr VND</t>
        </is>
      </c>
      <c r="F560" s="10" t="inlineStr">
        <is>
          <t>Long An</t>
        </is>
      </c>
      <c r="G560" s="10" t="inlineStr">
        <is>
          <t>24-03-2026</t>
        </is>
      </c>
      <c r="H560" s="10" t="inlineStr">
        <is>
          <t>24/03/2026</t>
        </is>
      </c>
      <c r="I560" s="10" t="inlineStr">
        <is>
          <t>17/03/2026</t>
        </is>
      </c>
      <c r="J560" s="10" t="inlineStr">
        <is>
          <t>Quản lý chất lượng (QA/QC), Kiến trúc, Xây dựng</t>
        </is>
      </c>
      <c r="K560" s="10" t="inlineStr">
        <is>
          <t>1 - 2 Năm</t>
        </is>
      </c>
      <c r="L560" s="11">
        <f>HYPERLINK("https://careerviet.vn/vi/tim-viec-lam/nhan-vien-qc-ket-cau-thep.35C69171.html","Xem chi tiết")</f>
        <v/>
      </c>
      <c r="M560" s="10" t="n"/>
    </row>
    <row r="561">
      <c r="B561" s="7" t="n">
        <v>559</v>
      </c>
      <c r="C561" t="inlineStr">
        <is>
          <t>Chuyên Viên Kinh Doanh/ Kinh Doanh Nội Thất</t>
        </is>
      </c>
      <c r="D561" t="inlineStr">
        <is>
          <t>CÔNG TY CỔ PHẦN GOKI VIỆT NAM</t>
        </is>
      </c>
      <c r="E561" t="inlineStr">
        <is>
          <t>Lương:15 Tr - 50 Tr VND</t>
        </is>
      </c>
      <c r="F561" t="inlineStr">
        <is>
          <t>Hà Nội</t>
        </is>
      </c>
      <c r="G561" t="inlineStr">
        <is>
          <t>26-03-2026</t>
        </is>
      </c>
      <c r="H561" t="inlineStr">
        <is>
          <t>26/03/2026</t>
        </is>
      </c>
      <c r="I561" t="inlineStr">
        <is>
          <t>17/03/2026</t>
        </is>
      </c>
      <c r="J561" t="inlineStr">
        <is>
          <t>Bán hàng / Kinh doanh, Tư vấn, Nội ngoại thất</t>
        </is>
      </c>
      <c r="K561" t="inlineStr">
        <is>
          <t>Trên 1 Năm</t>
        </is>
      </c>
      <c r="L561" s="8">
        <f>HYPERLINK("https://careerviet.vn/vi/tim-viec-lam/chuyen-vien-kinh-doanh-kinh-doanh-noi-that.35C691B8.html","Xem chi tiết")</f>
        <v/>
      </c>
    </row>
    <row r="562">
      <c r="B562" s="9" t="n">
        <v>560</v>
      </c>
      <c r="C562" s="10" t="inlineStr">
        <is>
          <t>Chỉ Huy Trưởng Công Trường</t>
        </is>
      </c>
      <c r="D562" s="10" t="inlineStr">
        <is>
          <t>TẬP ĐOÀN HẠ TẦNG ĐÔ THỊ</t>
        </is>
      </c>
      <c r="E562" s="10" t="inlineStr">
        <is>
          <t>Lương:Cạnh tranh</t>
        </is>
      </c>
      <c r="F562" s="10" t="inlineStr">
        <is>
          <t>Kiên Giang</t>
        </is>
      </c>
      <c r="G562" s="10" t="inlineStr">
        <is>
          <t>30-04-2026</t>
        </is>
      </c>
      <c r="H562" s="10" t="inlineStr">
        <is>
          <t>30/04/2026</t>
        </is>
      </c>
      <c r="I562" s="10" t="inlineStr">
        <is>
          <t>17/03/2026</t>
        </is>
      </c>
      <c r="J562" s="10" t="inlineStr">
        <is>
          <t>Xây dựng, Bất động sản</t>
        </is>
      </c>
      <c r="K562" s="10" t="inlineStr">
        <is>
          <t>5 - 15 Năm</t>
        </is>
      </c>
      <c r="L562" s="11">
        <f>HYPERLINK("https://careerviet.vn/vi/tim-viec-lam/chi-huy-truong-cong-truong.35C6914C.html","Xem chi tiết")</f>
        <v/>
      </c>
      <c r="M562" s="10" t="n"/>
    </row>
    <row r="563">
      <c r="B563" s="7" t="n">
        <v>561</v>
      </c>
      <c r="C563" t="inlineStr">
        <is>
          <t>KỸ SƯ VẬN HÀNH NƯỚC THẢI</t>
        </is>
      </c>
      <c r="D563" t="inlineStr">
        <is>
          <t>Công ty CP Ecoteck VN</t>
        </is>
      </c>
      <c r="E563" t="inlineStr">
        <is>
          <t>Lương:12 Tr - 18 Tr VND</t>
        </is>
      </c>
      <c r="F563" t="inlineStr">
        <is>
          <t>Bắc NinhBắc GiangNam Định</t>
        </is>
      </c>
      <c r="G563" t="inlineStr">
        <is>
          <t>17-03-2026</t>
        </is>
      </c>
      <c r="H563" t="inlineStr">
        <is>
          <t>15/03/2026</t>
        </is>
      </c>
      <c r="I563" t="inlineStr">
        <is>
          <t>17/03/2026</t>
        </is>
      </c>
      <c r="J563" t="inlineStr">
        <is>
          <t>Môi trường</t>
        </is>
      </c>
      <c r="K563" t="inlineStr">
        <is>
          <t>N/A</t>
        </is>
      </c>
      <c r="L563" s="8">
        <f>HYPERLINK("https://careerviet.vn/vi/tim-viec-lam/ky-su-van-hanh-nuoc-thai.35C69382.html","Xem chi tiết")</f>
        <v/>
      </c>
    </row>
    <row r="564">
      <c r="B564" s="9" t="n">
        <v>562</v>
      </c>
      <c r="C564" s="10" t="inlineStr">
        <is>
          <t>Giám Sát Thi Công Dân Dụng</t>
        </is>
      </c>
      <c r="D564" s="10" t="inlineStr">
        <is>
          <t>TẬP ĐOÀN HẠ TẦNG ĐÔ THỊ</t>
        </is>
      </c>
      <c r="E564" s="10" t="inlineStr">
        <is>
          <t>Lương:18 Tr - 28 Tr VND</t>
        </is>
      </c>
      <c r="F564" s="10" t="inlineStr">
        <is>
          <t>Kiên Giang</t>
        </is>
      </c>
      <c r="G564" s="10" t="inlineStr">
        <is>
          <t>30-04-2026</t>
        </is>
      </c>
      <c r="H564" s="10" t="inlineStr">
        <is>
          <t>30/04/2026</t>
        </is>
      </c>
      <c r="I564" s="10" t="inlineStr">
        <is>
          <t>17/03/2026</t>
        </is>
      </c>
      <c r="J564" s="10" t="inlineStr">
        <is>
          <t>Bất động sản, Xây dựng, Kiến trúc</t>
        </is>
      </c>
      <c r="K564" s="10" t="inlineStr">
        <is>
          <t>3 - 5 Năm</t>
        </is>
      </c>
      <c r="L564" s="11">
        <f>HYPERLINK("https://careerviet.vn/vi/tim-viec-lam/giam-sat-thi-cong-dan-dung.35C6913D.html","Xem chi tiết")</f>
        <v/>
      </c>
      <c r="M564" s="10" t="n"/>
    </row>
    <row r="565">
      <c r="B565" s="7" t="n">
        <v>563</v>
      </c>
      <c r="C565" t="inlineStr">
        <is>
          <t>Thông Dịch Viên Tiếng Hàn</t>
        </is>
      </c>
      <c r="D565" t="inlineStr">
        <is>
          <t>Công Ty TNHH Fursys VN</t>
        </is>
      </c>
      <c r="E565" t="inlineStr">
        <is>
          <t>Lương:Cạnh tranh</t>
        </is>
      </c>
      <c r="F565" t="inlineStr">
        <is>
          <t>Đồng Nai</t>
        </is>
      </c>
      <c r="G565" t="inlineStr">
        <is>
          <t>25-03-2026</t>
        </is>
      </c>
      <c r="H565" t="inlineStr">
        <is>
          <t>25/03/2026</t>
        </is>
      </c>
      <c r="I565" t="inlineStr">
        <is>
          <t>17/03/2026</t>
        </is>
      </c>
      <c r="J565" t="inlineStr">
        <is>
          <t>Hành chính / Thư ký, Biên phiên dịch, Sản xuất / Vận hành sản xuất</t>
        </is>
      </c>
      <c r="K565" t="inlineStr">
        <is>
          <t>N/A</t>
        </is>
      </c>
      <c r="L565" s="8">
        <f>HYPERLINK("https://careerviet.vn/vi/tim-viec-lam/thong-dich-vien-tieng-han.35C6908B.html","Xem chi tiết")</f>
        <v/>
      </c>
    </row>
    <row r="566">
      <c r="B566" s="9" t="n">
        <v>564</v>
      </c>
      <c r="C566" s="10" t="inlineStr">
        <is>
          <t>Kỹ sư dự án M&amp;E</t>
        </is>
      </c>
      <c r="D566" s="10" t="inlineStr">
        <is>
          <t>CÔNG TY CP KỸ THƯƠNG TUỆ PHÚC</t>
        </is>
      </c>
      <c r="E566" s="10" t="inlineStr">
        <is>
          <t>Lương:20 Tr - 30 Tr VND</t>
        </is>
      </c>
      <c r="F566" s="10" t="inlineStr">
        <is>
          <t>Hà Nội</t>
        </is>
      </c>
      <c r="G566" s="10" t="inlineStr">
        <is>
          <t>25-03-2026</t>
        </is>
      </c>
      <c r="H566" s="10" t="inlineStr">
        <is>
          <t>25/03/2026</t>
        </is>
      </c>
      <c r="I566" s="10" t="inlineStr">
        <is>
          <t>17/03/2026</t>
        </is>
      </c>
      <c r="J566" s="10" t="inlineStr">
        <is>
          <t>Điện / Điện tử / Điện lạnh / Điện công nghiệp, Xây dựng</t>
        </is>
      </c>
      <c r="K566" s="10" t="inlineStr">
        <is>
          <t>Trên 1 Năm</t>
        </is>
      </c>
      <c r="L566" s="11">
        <f>HYPERLINK("https://careerviet.vn/vi/tim-viec-lam/ky-su-du-an-m-e.35C690C2.html","Xem chi tiết")</f>
        <v/>
      </c>
      <c r="M566" s="10" t="n"/>
    </row>
    <row r="567">
      <c r="B567" s="7" t="n">
        <v>565</v>
      </c>
      <c r="C567" t="inlineStr">
        <is>
          <t>TRƯỞNG NHÓM KINH DOANH OTC/ NORTH 2 TEAM</t>
        </is>
      </c>
      <c r="D567" t="inlineStr">
        <is>
          <t>Shinpoong Daewoo Pharma</t>
        </is>
      </c>
      <c r="E567" t="inlineStr">
        <is>
          <t>Lương:25 Tr - 30 Tr VND</t>
        </is>
      </c>
      <c r="F567" t="inlineStr">
        <is>
          <t>Hà Nội</t>
        </is>
      </c>
      <c r="G567" t="inlineStr">
        <is>
          <t>25-03-2026</t>
        </is>
      </c>
      <c r="H567" t="inlineStr">
        <is>
          <t>25/03/2026</t>
        </is>
      </c>
      <c r="I567" t="inlineStr">
        <is>
          <t>17/03/2026</t>
        </is>
      </c>
      <c r="J567" t="inlineStr">
        <is>
          <t>Bán hàng / Kinh doanh, Y tế / Chăm sóc sức khỏe / Thẩm mỹ / Làm đẹp, Dược phẩm/ Hóa Mỹ Phẩm</t>
        </is>
      </c>
      <c r="K567" t="inlineStr">
        <is>
          <t>3 - 4 Năm</t>
        </is>
      </c>
      <c r="L567" s="8">
        <f>HYPERLINK("https://careerviet.vn/vi/tim-viec-lam/truong-nhom-kinh-doanh-otc-north-2-team.35C69172.html","Xem chi tiết")</f>
        <v/>
      </c>
    </row>
    <row r="568">
      <c r="B568" s="9" t="n">
        <v>566</v>
      </c>
      <c r="C568" s="10" t="inlineStr">
        <is>
          <t>Trợ lý kế toán</t>
        </is>
      </c>
      <c r="D568" s="10" t="inlineStr">
        <is>
          <t>Bảo mật</t>
        </is>
      </c>
      <c r="E568" s="10" t="inlineStr">
        <is>
          <t>Lương:Cạnh tranh</t>
        </is>
      </c>
      <c r="F568" s="10" t="inlineStr">
        <is>
          <t>Bà Rịa - Vũng Tàu</t>
        </is>
      </c>
      <c r="G568" s="10" t="inlineStr">
        <is>
          <t>26-03-2026</t>
        </is>
      </c>
      <c r="H568" s="10" t="inlineStr">
        <is>
          <t>26/03/2026</t>
        </is>
      </c>
      <c r="I568" s="10" t="inlineStr">
        <is>
          <t>17/03/2026</t>
        </is>
      </c>
      <c r="J568" s="10" t="inlineStr">
        <is>
          <t>Kế toán / Kiểm toán, Ngân hàng, Tài chính / Đầu tư</t>
        </is>
      </c>
      <c r="K568" s="10" t="inlineStr">
        <is>
          <t>Trên 1 Năm</t>
        </is>
      </c>
      <c r="L568" s="11">
        <f>HYPERLINK("https://careerviet.vn/vi/tim-viec-lam/tro-ly-ke-toan.35C693EA.html","Xem chi tiết")</f>
        <v/>
      </c>
      <c r="M568" s="10" t="n"/>
    </row>
    <row r="569">
      <c r="B569" s="7" t="n">
        <v>567</v>
      </c>
      <c r="C569" t="inlineStr">
        <is>
          <t>KỸ SƯ THIẾT KẾ CÔNG NGHỆ (VĂN PHÒNG HN)</t>
        </is>
      </c>
      <c r="D569" t="inlineStr">
        <is>
          <t>Công ty CP Ecoteck VN</t>
        </is>
      </c>
      <c r="E569" t="inlineStr">
        <is>
          <t>Lương:12 Tr - 18 Tr VND</t>
        </is>
      </c>
      <c r="F569" t="inlineStr">
        <is>
          <t>Hà Nội</t>
        </is>
      </c>
      <c r="G569" t="inlineStr">
        <is>
          <t>17-03-2026</t>
        </is>
      </c>
      <c r="H569" t="inlineStr">
        <is>
          <t>15/03/2026</t>
        </is>
      </c>
      <c r="I569" t="inlineStr">
        <is>
          <t>17/03/2026</t>
        </is>
      </c>
      <c r="J569" t="inlineStr">
        <is>
          <t>Môi trường, Thủy lợi</t>
        </is>
      </c>
      <c r="K569" t="inlineStr">
        <is>
          <t>2 - 5 Năm</t>
        </is>
      </c>
      <c r="L569" s="8">
        <f>HYPERLINK("https://careerviet.vn/vi/tim-viec-lam/ky-su-thiet-ke-cong-nghe-van-phong-hn.35C692FA.html","Xem chi tiết")</f>
        <v/>
      </c>
    </row>
    <row r="570">
      <c r="B570" s="9" t="n">
        <v>568</v>
      </c>
      <c r="C570" s="10" t="inlineStr">
        <is>
          <t>CHỈ HUY TRƯỞNG (CÁC TỈNH LÂN CẬN HÀ NỘI)</t>
        </is>
      </c>
      <c r="D570" s="10" t="inlineStr">
        <is>
          <t>Công ty CP Ecoteck VN</t>
        </is>
      </c>
      <c r="E570" s="10" t="inlineStr">
        <is>
          <t>Lương:22 Tr - 27 Tr VND</t>
        </is>
      </c>
      <c r="F570" s="10" t="inlineStr">
        <is>
          <t>Nam ĐịnhBắc GiangHưng Yên</t>
        </is>
      </c>
      <c r="G570" s="10" t="inlineStr">
        <is>
          <t>17-03-2026</t>
        </is>
      </c>
      <c r="H570" s="10" t="inlineStr">
        <is>
          <t>15/03/2026</t>
        </is>
      </c>
      <c r="I570" s="10" t="inlineStr">
        <is>
          <t>17/03/2026</t>
        </is>
      </c>
      <c r="J570" s="10" t="inlineStr">
        <is>
          <t>Xây dựng, Môi trường</t>
        </is>
      </c>
      <c r="K570" s="10" t="inlineStr">
        <is>
          <t>2 - 5 Năm</t>
        </is>
      </c>
      <c r="L570" s="11">
        <f>HYPERLINK("https://careerviet.vn/vi/tim-viec-lam/chi-huy-truong-cac-tinh-lan-can-ha-noi.35C6914B.html","Xem chi tiết")</f>
        <v/>
      </c>
      <c r="M570" s="10" t="n"/>
    </row>
    <row r="571">
      <c r="B571" s="7" t="n">
        <v>569</v>
      </c>
      <c r="C571" t="inlineStr">
        <is>
          <t>Kỹ Sư QS M&amp;E</t>
        </is>
      </c>
      <c r="D571" t="inlineStr">
        <is>
          <t>CÔNG TY CP KỸ THƯƠNG TUỆ PHÚC</t>
        </is>
      </c>
      <c r="E571" t="inlineStr">
        <is>
          <t>Lương:20 Tr - 30 Tr VND</t>
        </is>
      </c>
      <c r="F571" t="inlineStr">
        <is>
          <t>Hà Nội</t>
        </is>
      </c>
      <c r="G571" t="inlineStr">
        <is>
          <t>25-03-2026</t>
        </is>
      </c>
      <c r="H571" t="inlineStr">
        <is>
          <t>25/03/2026</t>
        </is>
      </c>
      <c r="I571" t="inlineStr">
        <is>
          <t>17/03/2026</t>
        </is>
      </c>
      <c r="J571" t="inlineStr">
        <is>
          <t>Điện / Điện tử / Điện lạnh / Điện công nghiệp, Xây dựng</t>
        </is>
      </c>
      <c r="K571" t="inlineStr">
        <is>
          <t>Trên 1 Năm</t>
        </is>
      </c>
      <c r="L571" s="8">
        <f>HYPERLINK("https://careerviet.vn/vi/tim-viec-lam/ky-su-qs-m-e.35C690CA.html","Xem chi tiết")</f>
        <v/>
      </c>
    </row>
    <row r="572">
      <c r="B572" s="9" t="n">
        <v>570</v>
      </c>
      <c r="C572" s="10" t="inlineStr">
        <is>
          <t>Chuyên Viên Trade Marketing/ Chuyên viên Marketing  - Tại Đà Lạt, Long An</t>
        </is>
      </c>
      <c r="D572" s="10" t="inlineStr">
        <is>
          <t>Cổ Phần Quốc Tế Anh Văn Hội Việt Mỹ (VUS)</t>
        </is>
      </c>
      <c r="E572" s="10" t="inlineStr">
        <is>
          <t>Lương:12 Tr - 14 Tr VND</t>
        </is>
      </c>
      <c r="F572" s="10" t="inlineStr">
        <is>
          <t>Lâm ĐồngLong An</t>
        </is>
      </c>
      <c r="G572" s="10" t="inlineStr">
        <is>
          <t>24-03-2026</t>
        </is>
      </c>
      <c r="H572" s="10" t="inlineStr">
        <is>
          <t>24/03/2026</t>
        </is>
      </c>
      <c r="I572" s="10" t="inlineStr">
        <is>
          <t>17/03/2026</t>
        </is>
      </c>
      <c r="J572" s="10" t="inlineStr">
        <is>
          <t>Tiếp thị / Marketing, Bán hàng / Kinh doanh, Giáo dục / Đào tạo</t>
        </is>
      </c>
      <c r="K572" s="10" t="inlineStr">
        <is>
          <t>1 - 3 Năm</t>
        </is>
      </c>
      <c r="L572" s="11">
        <f>HYPERLINK("https://careerviet.vn/vi/tim-viec-lam/chuyen-vien-trade-marketing-chuyen-vien-marketing-tai-da-lat-long-an.35C69017.html","Xem chi tiết")</f>
        <v/>
      </c>
      <c r="M572" s="10" t="n"/>
    </row>
    <row r="573">
      <c r="B573" s="7" t="n">
        <v>571</v>
      </c>
      <c r="C573" t="inlineStr">
        <is>
          <t>Kế Toán Tổng Hợp (Quận 1)</t>
        </is>
      </c>
      <c r="D573" t="inlineStr">
        <is>
          <t>Công Ty Cổ Phần 25 FIT</t>
        </is>
      </c>
      <c r="E573" t="inlineStr">
        <is>
          <t>Lương:Cạnh tranh</t>
        </is>
      </c>
      <c r="F573" t="inlineStr">
        <is>
          <t>Hồ Chí Minh</t>
        </is>
      </c>
      <c r="G573" t="inlineStr">
        <is>
          <t>26-03-2026</t>
        </is>
      </c>
      <c r="H573" t="inlineStr">
        <is>
          <t>26/03/2026</t>
        </is>
      </c>
      <c r="I573" t="inlineStr">
        <is>
          <t>17/03/2026</t>
        </is>
      </c>
      <c r="J573" t="inlineStr">
        <is>
          <t>Kế toán / Kiểm toán, Ngân hàng, Tài chính / Đầu tư</t>
        </is>
      </c>
      <c r="K573" t="inlineStr">
        <is>
          <t>2 - 5 Năm</t>
        </is>
      </c>
      <c r="L573" s="8">
        <f>HYPERLINK("https://careerviet.vn/vi/tim-viec-lam/ke-toan-tong-hop-quan-1.35C691E2.html","Xem chi tiết")</f>
        <v/>
      </c>
    </row>
    <row r="574">
      <c r="B574" s="9" t="n">
        <v>572</v>
      </c>
      <c r="C574" s="10" t="inlineStr">
        <is>
          <t>Chuyên viên kế toán</t>
        </is>
      </c>
      <c r="D574" s="10" t="inlineStr">
        <is>
          <t>CÔNG TY TNHH TRỐNG ĐỒNG VIỆT NAM</t>
        </is>
      </c>
      <c r="E574" s="10" t="inlineStr">
        <is>
          <t>Lương:12 Tr - 14 Tr VND</t>
        </is>
      </c>
      <c r="F574" s="10" t="inlineStr">
        <is>
          <t>Hà Nội</t>
        </is>
      </c>
      <c r="G574" s="10" t="inlineStr">
        <is>
          <t>08-04-2026</t>
        </is>
      </c>
      <c r="H574" s="10" t="inlineStr">
        <is>
          <t>08/04/2026</t>
        </is>
      </c>
      <c r="I574" s="10" t="inlineStr">
        <is>
          <t>17/03/2026</t>
        </is>
      </c>
      <c r="J574" s="10" t="inlineStr">
        <is>
          <t>Kế toán / Kiểm toán</t>
        </is>
      </c>
      <c r="K574" s="10" t="inlineStr">
        <is>
          <t>2 - 3 Năm</t>
        </is>
      </c>
      <c r="L574" s="11">
        <f>HYPERLINK("https://careerviet.vn/vi/tim-viec-lam/chuyen-vien-ke-toan.35C68FC2.html","Xem chi tiết")</f>
        <v/>
      </c>
      <c r="M574" s="10" t="n"/>
    </row>
    <row r="575">
      <c r="B575" s="7" t="n">
        <v>573</v>
      </c>
      <c r="C575" t="inlineStr">
        <is>
          <t>Chuyên Viên Phân Tích Dữ Liệu (mảng thu hồi nợ)</t>
        </is>
      </c>
      <c r="D575" t="inlineStr">
        <is>
          <t>Công Ty Quản Lý Nợ Và Khai Thác Tài Sản - Ngân Hàng TMCP Quân Đội</t>
        </is>
      </c>
      <c r="E575" t="inlineStr">
        <is>
          <t>Lương:Cạnh tranh</t>
        </is>
      </c>
      <c r="F575" t="inlineStr">
        <is>
          <t>Hà Nội</t>
        </is>
      </c>
      <c r="G575" t="inlineStr">
        <is>
          <t>31-03-2026</t>
        </is>
      </c>
      <c r="H575" t="inlineStr">
        <is>
          <t>31/03/2026</t>
        </is>
      </c>
      <c r="I575" t="inlineStr">
        <is>
          <t>17/03/2026</t>
        </is>
      </c>
      <c r="J575" t="inlineStr">
        <is>
          <t>Luật / Pháp lý, Ngân hàng, Tài chính / Đầu tư</t>
        </is>
      </c>
      <c r="K575" t="inlineStr">
        <is>
          <t>Trên 1 Năm</t>
        </is>
      </c>
      <c r="L575" s="8">
        <f>HYPERLINK("https://careerviet.vn/vi/tim-viec-lam/chuyen-vien-phan-tich-du-lieu-mang-thu-hoi-no.35C68E5D.html","Xem chi tiết")</f>
        <v/>
      </c>
    </row>
    <row r="576">
      <c r="B576" s="9" t="n">
        <v>574</v>
      </c>
      <c r="C576" s="10" t="inlineStr">
        <is>
          <t>Chỉ huy trưởng M&amp;E</t>
        </is>
      </c>
      <c r="D576" s="10" t="inlineStr">
        <is>
          <t>CÔNG TY CP KỸ THƯƠNG TUỆ PHÚC</t>
        </is>
      </c>
      <c r="E576" s="10" t="inlineStr">
        <is>
          <t>Lương:25 Tr - 35 Tr VND</t>
        </is>
      </c>
      <c r="F576" s="10" t="inlineStr">
        <is>
          <t>Hà Nội</t>
        </is>
      </c>
      <c r="G576" s="10" t="inlineStr">
        <is>
          <t>25-03-2026</t>
        </is>
      </c>
      <c r="H576" s="10" t="inlineStr">
        <is>
          <t>25/03/2026</t>
        </is>
      </c>
      <c r="I576" s="10" t="inlineStr">
        <is>
          <t>17/03/2026</t>
        </is>
      </c>
      <c r="J576" s="10" t="inlineStr">
        <is>
          <t>Điện / Điện tử / Điện lạnh / Điện công nghiệp, Xây dựng</t>
        </is>
      </c>
      <c r="K576" s="10" t="inlineStr">
        <is>
          <t>Trên 3 Năm</t>
        </is>
      </c>
      <c r="L576" s="11">
        <f>HYPERLINK("https://careerviet.vn/vi/tim-viec-lam/chi-huy-truong-m-e.35C690B7.html","Xem chi tiết")</f>
        <v/>
      </c>
      <c r="M576" s="10" t="n"/>
    </row>
    <row r="577">
      <c r="B577" s="7" t="n">
        <v>575</v>
      </c>
      <c r="C577" t="inlineStr">
        <is>
          <t>Trưởng nhóm C&amp;B</t>
        </is>
      </c>
      <c r="D577" t="inlineStr">
        <is>
          <t>Công Ty TNHH Thương Mại Xuất Nhập Khẩu Fani</t>
        </is>
      </c>
      <c r="E577" t="inlineStr">
        <is>
          <t>Lương:20 Tr - 30 Tr VND</t>
        </is>
      </c>
      <c r="F577" t="inlineStr">
        <is>
          <t>Hà Nội</t>
        </is>
      </c>
      <c r="G577" t="inlineStr">
        <is>
          <t>31-03-2026</t>
        </is>
      </c>
      <c r="H577" t="inlineStr">
        <is>
          <t>31/03/2026</t>
        </is>
      </c>
      <c r="I577" t="inlineStr">
        <is>
          <t>17/03/2026</t>
        </is>
      </c>
      <c r="J577" t="inlineStr">
        <is>
          <t>Nhân sự</t>
        </is>
      </c>
      <c r="K577" t="inlineStr">
        <is>
          <t>5 - 10 Năm</t>
        </is>
      </c>
      <c r="L577" s="8">
        <f>HYPERLINK("https://careerviet.vn/vi/tim-viec-lam/truong-nhom-c-b.35C68F10.html","Xem chi tiết")</f>
        <v/>
      </c>
    </row>
    <row r="578">
      <c r="B578" s="9" t="n">
        <v>576</v>
      </c>
      <c r="C578" s="10" t="inlineStr">
        <is>
          <t>TRƯỞNG PHÒNG TÀI CHÍNH KẾ TOÁN</t>
        </is>
      </c>
      <c r="D578" s="10" t="inlineStr">
        <is>
          <t>Công Ty TNHH Trang Thiết Bị Nha Khoa</t>
        </is>
      </c>
      <c r="E578" s="10" t="inlineStr">
        <is>
          <t>Lương:25 Tr - 40 Tr VND</t>
        </is>
      </c>
      <c r="F578" s="10" t="inlineStr">
        <is>
          <t>Hồ Chí Minh</t>
        </is>
      </c>
      <c r="G578" s="10" t="inlineStr">
        <is>
          <t>31-03-2026</t>
        </is>
      </c>
      <c r="H578" s="10" t="inlineStr">
        <is>
          <t>31/03/2026</t>
        </is>
      </c>
      <c r="I578" s="10" t="inlineStr">
        <is>
          <t>17/03/2026</t>
        </is>
      </c>
      <c r="J578" s="10" t="inlineStr">
        <is>
          <t>Kế toán / Kiểm toán, Ngân hàng, Tài chính / Đầu tư</t>
        </is>
      </c>
      <c r="K578" s="10" t="inlineStr">
        <is>
          <t>5 - 10 Năm</t>
        </is>
      </c>
      <c r="L578" s="11">
        <f>HYPERLINK("https://careerviet.vn/vi/tim-viec-lam/truong-phong-tai-chinh-ke-toan.35C68D9D.html","Xem chi tiết")</f>
        <v/>
      </c>
      <c r="M578" s="10" t="n"/>
    </row>
    <row r="579">
      <c r="B579" s="7" t="n">
        <v>577</v>
      </c>
      <c r="C579" t="inlineStr">
        <is>
          <t>Chuyên viên tiền lương và phúc lợi (C&amp;B)</t>
        </is>
      </c>
      <c r="D579" t="inlineStr">
        <is>
          <t>Công ty Cổ phần Đầu tư Asia Dragon</t>
        </is>
      </c>
      <c r="E579" t="inlineStr">
        <is>
          <t>Lương:14 Tr - 20 Tr VND</t>
        </is>
      </c>
      <c r="F579" t="inlineStr">
        <is>
          <t>Hồ Chí Minh</t>
        </is>
      </c>
      <c r="G579" t="inlineStr">
        <is>
          <t>6</t>
        </is>
      </c>
      <c r="H579" t="inlineStr">
        <is>
          <t>23/03/2026</t>
        </is>
      </c>
      <c r="I579" t="inlineStr">
        <is>
          <t>17/03/2026</t>
        </is>
      </c>
      <c r="J579" t="inlineStr">
        <is>
          <t>Nhân sự, Sản xuất / Vận hành sản xuất</t>
        </is>
      </c>
      <c r="K579" t="inlineStr">
        <is>
          <t>3 - 5 Năm</t>
        </is>
      </c>
      <c r="L579" s="8">
        <f>HYPERLINK("https://careerviet.vn/vi/tim-viec-lam/chuyen-vien-tien-luong-va-phuc-loi-c-b.35C68CDC.html","Xem chi tiết")</f>
        <v/>
      </c>
    </row>
    <row r="580">
      <c r="B580" s="9" t="n">
        <v>578</v>
      </c>
      <c r="C580" s="10" t="inlineStr">
        <is>
          <t>QUẢN LÝ VẬN HÀNH TÒA NHÀ</t>
        </is>
      </c>
      <c r="D580" s="10" t="inlineStr">
        <is>
          <t>Công Ty TNHH Trang Thiết Bị Nha Khoa</t>
        </is>
      </c>
      <c r="E580" s="10" t="inlineStr">
        <is>
          <t>Lương:18 Tr - 25 Tr VND</t>
        </is>
      </c>
      <c r="F580" s="10" t="inlineStr">
        <is>
          <t>Hồ Chí Minh</t>
        </is>
      </c>
      <c r="G580" s="10" t="inlineStr">
        <is>
          <t>31-03-2026</t>
        </is>
      </c>
      <c r="H580" s="10" t="inlineStr">
        <is>
          <t>31/03/2026</t>
        </is>
      </c>
      <c r="I580" s="10" t="inlineStr">
        <is>
          <t>17/03/2026</t>
        </is>
      </c>
      <c r="J580" s="10" t="inlineStr">
        <is>
          <t>Quản lý điều hành, Bảo trì / Sửa chữa, Xây dựng</t>
        </is>
      </c>
      <c r="K580" s="10" t="inlineStr">
        <is>
          <t>3 - 6 Năm</t>
        </is>
      </c>
      <c r="L580" s="11">
        <f>HYPERLINK("https://careerviet.vn/vi/tim-viec-lam/quan-ly-van-hanh-toa-nha.35C68D4E.html","Xem chi tiết")</f>
        <v/>
      </c>
      <c r="M580" s="10" t="n"/>
    </row>
    <row r="581">
      <c r="B581" s="7" t="n">
        <v>579</v>
      </c>
      <c r="C581" t="inlineStr">
        <is>
          <t>Chuyên Viên Tuyển Dụng</t>
        </is>
      </c>
      <c r="D581" t="inlineStr">
        <is>
          <t>Công ty Cổ phần Đầu tư Asia Dragon</t>
        </is>
      </c>
      <c r="E581" t="inlineStr">
        <is>
          <t>Lương:13 Tr - 20 Tr VND</t>
        </is>
      </c>
      <c r="F581" t="inlineStr">
        <is>
          <t>Hồ Chí Minh</t>
        </is>
      </c>
      <c r="G581" t="inlineStr">
        <is>
          <t>6</t>
        </is>
      </c>
      <c r="H581" t="inlineStr">
        <is>
          <t>23/03/2026</t>
        </is>
      </c>
      <c r="I581" t="inlineStr">
        <is>
          <t>17/03/2026</t>
        </is>
      </c>
      <c r="J581" t="inlineStr">
        <is>
          <t>Nhân sự</t>
        </is>
      </c>
      <c r="K581" t="inlineStr">
        <is>
          <t>3 - 5 Năm</t>
        </is>
      </c>
      <c r="L581" s="8">
        <f>HYPERLINK("https://careerviet.vn/vi/tim-viec-lam/chuyen-vien-tuyen-dung.35C68CD7.html","Xem chi tiết")</f>
        <v/>
      </c>
    </row>
    <row r="582">
      <c r="B582" s="9" t="n">
        <v>580</v>
      </c>
      <c r="C582" s="10" t="inlineStr">
        <is>
          <t>OVERSEAS AGENT COORDINATOR</t>
        </is>
      </c>
      <c r="D582" s="10" t="inlineStr">
        <is>
          <t>SCT LOGISTICS JSC</t>
        </is>
      </c>
      <c r="E582" s="10" t="inlineStr">
        <is>
          <t>Lương:Cạnh tranh</t>
        </is>
      </c>
      <c r="F582" s="10" t="inlineStr">
        <is>
          <t>Hồ Chí MinhHà Nội</t>
        </is>
      </c>
      <c r="G582" s="10" t="inlineStr">
        <is>
          <t>24-03-2026</t>
        </is>
      </c>
      <c r="H582" s="10" t="inlineStr">
        <is>
          <t>24/03/2026</t>
        </is>
      </c>
      <c r="I582" s="10" t="inlineStr">
        <is>
          <t>17/03/2026</t>
        </is>
      </c>
      <c r="J582" s="10" t="inlineStr">
        <is>
          <t>Bán hàng / Kinh doanh, Vận chuyển / Giao nhận / Kho vận, Xuất nhập khẩu</t>
        </is>
      </c>
      <c r="K582" s="10" t="inlineStr">
        <is>
          <t>2 - 4 Năm</t>
        </is>
      </c>
      <c r="L582" s="11">
        <f>HYPERLINK("https://careerviet.vn/vi/tim-viec-lam/overseas-agent-coordinator.35C6903D.html","Xem chi tiết")</f>
        <v/>
      </c>
      <c r="M582" s="10" t="n"/>
    </row>
    <row r="583">
      <c r="B583" s="7" t="n">
        <v>581</v>
      </c>
      <c r="C583" t="inlineStr">
        <is>
          <t>Chuyên viên xử lý nợ/tố tụng (Đồng Nai/Bình Thuận)</t>
        </is>
      </c>
      <c r="D583" t="inlineStr">
        <is>
          <t>Công Ty Quản Lý Nợ Và Khai Thác Tài Sản - Ngân Hàng TMCP Quân Đội</t>
        </is>
      </c>
      <c r="E583" t="inlineStr">
        <is>
          <t>Lương:Cạnh tranh</t>
        </is>
      </c>
      <c r="F583" t="inlineStr">
        <is>
          <t>Đồng Nai</t>
        </is>
      </c>
      <c r="G583" t="inlineStr">
        <is>
          <t>31-03-2026</t>
        </is>
      </c>
      <c r="H583" t="inlineStr">
        <is>
          <t>31/03/2026</t>
        </is>
      </c>
      <c r="I583" t="inlineStr">
        <is>
          <t>17/03/2026</t>
        </is>
      </c>
      <c r="J583" t="inlineStr">
        <is>
          <t>Luật / Pháp lý, Ngân hàng, Tài chính / Đầu tư</t>
        </is>
      </c>
      <c r="K583" t="inlineStr">
        <is>
          <t>Trên 1 Năm</t>
        </is>
      </c>
      <c r="L583" s="8">
        <f>HYPERLINK("https://careerviet.vn/vi/tim-viec-lam/chuyen-vien-xu-ly-no-to-tung-dong-nai-binh-thuan.35C68E67.html","Xem chi tiết")</f>
        <v/>
      </c>
    </row>
    <row r="584">
      <c r="B584" s="9" t="n">
        <v>582</v>
      </c>
      <c r="C584" s="10" t="inlineStr">
        <is>
          <t>Nhân viên thu hồi nợ hiện trường (tín chấp - Hồ Chí Minh)</t>
        </is>
      </c>
      <c r="D584" s="10" t="inlineStr">
        <is>
          <t>Công Ty Quản Lý Nợ Và Khai Thác Tài Sản - Ngân Hàng TMCP Quân Đội</t>
        </is>
      </c>
      <c r="E584" s="10" t="inlineStr">
        <is>
          <t>Lương:Cạnh tranh</t>
        </is>
      </c>
      <c r="F584" s="10" t="inlineStr">
        <is>
          <t>Hồ Chí Minh</t>
        </is>
      </c>
      <c r="G584" s="10" t="inlineStr">
        <is>
          <t>31-03-2026</t>
        </is>
      </c>
      <c r="H584" s="10" t="inlineStr">
        <is>
          <t>31/03/2026</t>
        </is>
      </c>
      <c r="I584" s="10" t="inlineStr">
        <is>
          <t>17/03/2026</t>
        </is>
      </c>
      <c r="J584" s="10" t="inlineStr">
        <is>
          <t>Luật / Pháp lý, Ngân hàng, Tài chính / Đầu tư</t>
        </is>
      </c>
      <c r="K584" s="10" t="inlineStr">
        <is>
          <t>Trên 1 Năm</t>
        </is>
      </c>
      <c r="L584" s="11">
        <f>HYPERLINK("https://careerviet.vn/vi/tim-viec-lam/nhan-vien-thu-hoi-no-hien-truong-tin-chap-ho-chi-minh.35C68E57.html","Xem chi tiết")</f>
        <v/>
      </c>
      <c r="M584" s="10" t="n"/>
    </row>
    <row r="585">
      <c r="B585" s="7" t="n">
        <v>583</v>
      </c>
      <c r="C585" t="inlineStr">
        <is>
          <t>Chuyên viên cao cấp/Chuyên gia (Thúc đẩy bán tài sản xử lý nợ)</t>
        </is>
      </c>
      <c r="D585" t="inlineStr">
        <is>
          <t>Công Ty Quản Lý Nợ Và Khai Thác Tài Sản - Ngân Hàng TMCP Quân Đội</t>
        </is>
      </c>
      <c r="E585" t="inlineStr">
        <is>
          <t>Lương:Cạnh tranh</t>
        </is>
      </c>
      <c r="F585" t="inlineStr">
        <is>
          <t>Hà Nội</t>
        </is>
      </c>
      <c r="G585" t="inlineStr">
        <is>
          <t>5</t>
        </is>
      </c>
      <c r="H585" t="inlineStr">
        <is>
          <t>22/03/2026</t>
        </is>
      </c>
      <c r="I585" t="inlineStr">
        <is>
          <t>17/03/2026</t>
        </is>
      </c>
      <c r="J585" t="inlineStr">
        <is>
          <t>Ngân hàng, Tài chính / Đầu tư, Bất động sản</t>
        </is>
      </c>
      <c r="K585" t="inlineStr">
        <is>
          <t>Trên 3 Năm</t>
        </is>
      </c>
      <c r="L585" s="8">
        <f>HYPERLINK("https://careerviet.vn/vi/tim-viec-lam/chuyen-vien-cao-cap-chuyen-gia-thuc-day-ban-tai-san-xu-ly-no.35C68E4E.html","Xem chi tiết")</f>
        <v/>
      </c>
    </row>
    <row r="586">
      <c r="B586" s="9" t="n">
        <v>584</v>
      </c>
      <c r="C586" s="10" t="inlineStr">
        <is>
          <t>Kế Toán Tổng Hợp</t>
        </is>
      </c>
      <c r="D586" s="10" t="inlineStr">
        <is>
          <t>Công Ty TNHH Trang Thiết Bị Nha Khoa</t>
        </is>
      </c>
      <c r="E586" s="10" t="inlineStr">
        <is>
          <t>Lương:15 Tr - 20 Tr VND</t>
        </is>
      </c>
      <c r="F586" s="10" t="inlineStr">
        <is>
          <t>Hồ Chí Minh</t>
        </is>
      </c>
      <c r="G586" s="10" t="inlineStr">
        <is>
          <t>31-03-2026</t>
        </is>
      </c>
      <c r="H586" s="10" t="inlineStr">
        <is>
          <t>31/03/2026</t>
        </is>
      </c>
      <c r="I586" s="10" t="inlineStr">
        <is>
          <t>17/03/2026</t>
        </is>
      </c>
      <c r="J586" s="10" t="inlineStr">
        <is>
          <t>Kế toán / Kiểm toán, Ngân hàng, Tài chính / Đầu tư</t>
        </is>
      </c>
      <c r="K586" s="10" t="inlineStr">
        <is>
          <t>3 - 6 Năm</t>
        </is>
      </c>
      <c r="L586" s="11">
        <f>HYPERLINK("https://careerviet.vn/vi/tim-viec-lam/ke-toan-tong-hop.35C68DF1.html","Xem chi tiết")</f>
        <v/>
      </c>
      <c r="M586" s="10" t="n"/>
    </row>
    <row r="587">
      <c r="B587" s="7" t="n">
        <v>585</v>
      </c>
      <c r="C587" t="inlineStr">
        <is>
          <t>Lập Trình Viên CNC (Mastercam)</t>
        </is>
      </c>
      <c r="D587" t="inlineStr">
        <is>
          <t>CÔNG TY TNHH TJ AEROSPACE VN</t>
        </is>
      </c>
      <c r="E587" t="inlineStr">
        <is>
          <t>Lương:10 Tr - 20 Tr VND</t>
        </is>
      </c>
      <c r="F587" t="inlineStr">
        <is>
          <t>Hồ Chí Minh</t>
        </is>
      </c>
      <c r="G587" t="inlineStr">
        <is>
          <t>14-04-2026</t>
        </is>
      </c>
      <c r="H587" t="inlineStr">
        <is>
          <t>14/04/2026</t>
        </is>
      </c>
      <c r="I587" t="inlineStr">
        <is>
          <t>17/03/2026</t>
        </is>
      </c>
      <c r="J587" t="inlineStr">
        <is>
          <t>Cơ khí / Ô tô / Tự động hóa</t>
        </is>
      </c>
      <c r="K587" t="inlineStr">
        <is>
          <t>2 - 3 Năm</t>
        </is>
      </c>
      <c r="L587" s="8">
        <f>HYPERLINK("https://careerviet.vn/vi/tim-viec-lam/lap-trinh-vien-cnc-mastercam.35C68A8F.html","Xem chi tiết")</f>
        <v/>
      </c>
    </row>
    <row r="588">
      <c r="B588" s="9" t="n">
        <v>586</v>
      </c>
      <c r="C588" s="10" t="inlineStr">
        <is>
          <t>QUẢN LÝ KHO VẬT TƯ</t>
        </is>
      </c>
      <c r="D588" s="10" t="inlineStr">
        <is>
          <t>CÔNG TY TNHH XÂY DỰNG IVY</t>
        </is>
      </c>
      <c r="E588" s="10" t="inlineStr">
        <is>
          <t>Lương:Cạnh tranh</t>
        </is>
      </c>
      <c r="F588" s="10" t="inlineStr">
        <is>
          <t>Hồ Chí Minh</t>
        </is>
      </c>
      <c r="G588" s="10" t="inlineStr">
        <is>
          <t>14-04-2026</t>
        </is>
      </c>
      <c r="H588" s="10" t="inlineStr">
        <is>
          <t>14/04/2026</t>
        </is>
      </c>
      <c r="I588" s="10" t="inlineStr">
        <is>
          <t>17/03/2026</t>
        </is>
      </c>
      <c r="J588" s="10" t="inlineStr">
        <is>
          <t>Xây dựng, Vận chuyển / Giao nhận / Kho vận</t>
        </is>
      </c>
      <c r="K588" s="10" t="inlineStr">
        <is>
          <t>2 - 3 Năm</t>
        </is>
      </c>
      <c r="L588" s="11">
        <f>HYPERLINK("https://careerviet.vn/vi/tim-viec-lam/quan-ly-kho-vat-tu.35C68ADB.html","Xem chi tiết")</f>
        <v/>
      </c>
      <c r="M588" s="10" t="n"/>
    </row>
    <row r="589">
      <c r="B589" s="7" t="n">
        <v>587</v>
      </c>
      <c r="C589" t="inlineStr">
        <is>
          <t>Tư Vấn Tuyển Sinh / Sales Khóa Học (Long Thành/Long Khánh/Bến Cát)</t>
        </is>
      </c>
      <c r="D589" t="inlineStr">
        <is>
          <t>Cổ Phần Quốc Tế Anh Văn Hội Việt Mỹ (VUS)</t>
        </is>
      </c>
      <c r="E589" t="inlineStr">
        <is>
          <t>Lương:8 Tr - 12 Tr VND</t>
        </is>
      </c>
      <c r="F589" t="inlineStr">
        <is>
          <t>Bình DươngĐồng Nai</t>
        </is>
      </c>
      <c r="G589" t="inlineStr">
        <is>
          <t>5</t>
        </is>
      </c>
      <c r="H589" t="inlineStr">
        <is>
          <t>22/03/2026</t>
        </is>
      </c>
      <c r="I589" t="inlineStr">
        <is>
          <t>17/03/2026</t>
        </is>
      </c>
      <c r="J589" t="inlineStr">
        <is>
          <t>Bán hàng / Kinh doanh, Giáo dục / Đào tạo, Tư vấn</t>
        </is>
      </c>
      <c r="K589" t="inlineStr">
        <is>
          <t>1 - 2 Năm</t>
        </is>
      </c>
      <c r="L589" s="8">
        <f>HYPERLINK("https://careerviet.vn/vi/tim-viec-lam/tu-van-tuyen-sinh-sales-khoa-hoc-long-thanh-long-khanh-ben-cat.35C68C4E.html","Xem chi tiết")</f>
        <v/>
      </c>
    </row>
    <row r="590">
      <c r="B590" s="9" t="n">
        <v>588</v>
      </c>
      <c r="C590" s="10" t="inlineStr">
        <is>
          <t>Nhân viên vận hành và cài đặt máy CNC</t>
        </is>
      </c>
      <c r="D590" s="10" t="inlineStr">
        <is>
          <t>CÔNG TY TNHH TJ AEROSPACE VN</t>
        </is>
      </c>
      <c r="E590" s="10" t="inlineStr">
        <is>
          <t>Lương:11 Tr - 15 Tr VND</t>
        </is>
      </c>
      <c r="F590" s="10" t="inlineStr">
        <is>
          <t>Hồ Chí Minh</t>
        </is>
      </c>
      <c r="G590" s="10" t="inlineStr">
        <is>
          <t>14-04-2026</t>
        </is>
      </c>
      <c r="H590" s="10" t="inlineStr">
        <is>
          <t>14/04/2026</t>
        </is>
      </c>
      <c r="I590" s="10" t="inlineStr">
        <is>
          <t>17/03/2026</t>
        </is>
      </c>
      <c r="J590" s="10" t="inlineStr">
        <is>
          <t>Cơ khí / Ô tô / Tự động hóa, Điện / Điện tử / Điện lạnh / Điện công nghiệp</t>
        </is>
      </c>
      <c r="K590" s="10" t="inlineStr">
        <is>
          <t>3 - 5 Năm</t>
        </is>
      </c>
      <c r="L590" s="11">
        <f>HYPERLINK("https://careerviet.vn/vi/tim-viec-lam/nhan-vien-van-hanh-va-cai-dat-may-cnc.35C68A92.html","Xem chi tiết")</f>
        <v/>
      </c>
      <c r="M590" s="10" t="n"/>
    </row>
    <row r="591">
      <c r="B591" s="7" t="n">
        <v>589</v>
      </c>
      <c r="C591" t="inlineStr">
        <is>
          <t>Sales Consultant (Thu Nhập Lên Đến 24Tr/ Tháng)</t>
        </is>
      </c>
      <c r="D591" t="inlineStr">
        <is>
          <t>CÔNG TY TNHH THƯƠNG MẠI DỊCH VỤ MAGNOLIA VIỆT NAM</t>
        </is>
      </c>
      <c r="E591" t="inlineStr">
        <is>
          <t>Lương:10 Tr - 24 Tr VND</t>
        </is>
      </c>
      <c r="F591" t="inlineStr">
        <is>
          <t>Hồ Chí Minh</t>
        </is>
      </c>
      <c r="G591" t="inlineStr">
        <is>
          <t>13-04-2026</t>
        </is>
      </c>
      <c r="H591" t="inlineStr">
        <is>
          <t>13/04/2026</t>
        </is>
      </c>
      <c r="I591" t="inlineStr">
        <is>
          <t>17/03/2026</t>
        </is>
      </c>
      <c r="J591" t="inlineStr">
        <is>
          <t>Bán hàng / Kinh doanh, Thực phẩm &amp; Đồ uống</t>
        </is>
      </c>
      <c r="K591" t="inlineStr">
        <is>
          <t>Trên 2 Năm</t>
        </is>
      </c>
      <c r="L591" s="8">
        <f>HYPERLINK("https://careerviet.vn/vi/tim-viec-lam/sales-consultant-thu-nhap-len-den-24tr-thang.35C68883.html","Xem chi tiết")</f>
        <v/>
      </c>
    </row>
    <row r="592">
      <c r="B592" s="9" t="n">
        <v>590</v>
      </c>
      <c r="C592" s="10" t="inlineStr">
        <is>
          <t>Kế Toán Tổng Hợp</t>
        </is>
      </c>
      <c r="D592" s="10" t="inlineStr">
        <is>
          <t>CÔNG TY TNHH THƯƠNG MẠI DỊCH VỤ MAGNOLIA VIỆT NAM</t>
        </is>
      </c>
      <c r="E592" s="10" t="inlineStr">
        <is>
          <t>Lương:Cạnh tranh</t>
        </is>
      </c>
      <c r="F592" s="10" t="inlineStr">
        <is>
          <t>Hồ Chí Minh</t>
        </is>
      </c>
      <c r="G592" s="10" t="inlineStr">
        <is>
          <t>13-04-2026</t>
        </is>
      </c>
      <c r="H592" s="10" t="inlineStr">
        <is>
          <t>13/04/2026</t>
        </is>
      </c>
      <c r="I592" s="10" t="inlineStr">
        <is>
          <t>17/03/2026</t>
        </is>
      </c>
      <c r="J592" s="10" t="inlineStr">
        <is>
          <t>Kế toán / Kiểm toán</t>
        </is>
      </c>
      <c r="K592" s="10" t="inlineStr">
        <is>
          <t>2 - 3 Năm</t>
        </is>
      </c>
      <c r="L592" s="11">
        <f>HYPERLINK("https://careerviet.vn/vi/tim-viec-lam/ke-toan-tong-hop.35C68867.html","Xem chi tiết")</f>
        <v/>
      </c>
      <c r="M592" s="10" t="n"/>
    </row>
    <row r="593">
      <c r="B593" s="7" t="n">
        <v>591</v>
      </c>
      <c r="C593" t="inlineStr">
        <is>
          <t>Nhân viên kinh doanh Kênh GT</t>
        </is>
      </c>
      <c r="D593" t="inlineStr">
        <is>
          <t>CÔNG TY TNHH THƯƠNG MẠI DỊCH VỤ HAPPY PHONE</t>
        </is>
      </c>
      <c r="E593" t="inlineStr">
        <is>
          <t>Lương:15 Tr - 20 Tr VND</t>
        </is>
      </c>
      <c r="F593" t="inlineStr">
        <is>
          <t>Hồ Chí Minh</t>
        </is>
      </c>
      <c r="G593" t="inlineStr">
        <is>
          <t>15-04-2026</t>
        </is>
      </c>
      <c r="H593" t="inlineStr">
        <is>
          <t>15/04/2026</t>
        </is>
      </c>
      <c r="I593" t="inlineStr">
        <is>
          <t>17/03/2026</t>
        </is>
      </c>
      <c r="J593" t="inlineStr">
        <is>
          <t>Bán lẻ / Bán sỉ, Bán hàng / Kinh doanh, Tiếp thị / Marketing</t>
        </is>
      </c>
      <c r="K593" t="inlineStr">
        <is>
          <t>3 - 4 Năm</t>
        </is>
      </c>
      <c r="L593" s="8">
        <f>HYPERLINK("https://careerviet.vn/vi/tim-viec-lam/nhan-vien-kinh-doanh-kenh-gt.35C68B56.html","Xem chi tiết")</f>
        <v/>
      </c>
    </row>
    <row r="594">
      <c r="B594" s="9" t="n">
        <v>592</v>
      </c>
      <c r="C594" s="10" t="inlineStr">
        <is>
          <t>TRƯỞNG NHÓM KINH DOANH KÊNH ETC KHU VỰC HÀ NỘI</t>
        </is>
      </c>
      <c r="D594" s="10" t="inlineStr">
        <is>
          <t>Shinpoong Daewoo Pharma</t>
        </is>
      </c>
      <c r="E594" s="10" t="inlineStr">
        <is>
          <t>Lương:25 Tr - 30 Tr VND</t>
        </is>
      </c>
      <c r="F594" s="10" t="inlineStr">
        <is>
          <t>Hà Nội</t>
        </is>
      </c>
      <c r="G594" s="10" t="inlineStr">
        <is>
          <t>6</t>
        </is>
      </c>
      <c r="H594" s="10" t="inlineStr">
        <is>
          <t>23/03/2026</t>
        </is>
      </c>
      <c r="I594" s="10" t="inlineStr">
        <is>
          <t>17/03/2026</t>
        </is>
      </c>
      <c r="J594" s="10" t="inlineStr">
        <is>
          <t>Dược phẩm/ Hóa Mỹ Phẩm, Bán hàng / Kinh doanh, Ngành khác</t>
        </is>
      </c>
      <c r="K594" s="10" t="inlineStr">
        <is>
          <t>3 - 4 Năm</t>
        </is>
      </c>
      <c r="L594" s="11">
        <f>HYPERLINK("https://careerviet.vn/vi/tim-viec-lam/truong-nhom-kinh-doanh-kenh-etc-khu-vuc-ha-noi.35C68CD0.html","Xem chi tiết")</f>
        <v/>
      </c>
      <c r="M594" s="10" t="n"/>
    </row>
    <row r="595">
      <c r="B595" s="7" t="n">
        <v>593</v>
      </c>
      <c r="C595" t="inlineStr">
        <is>
          <t>Technical Support Engineer (Design)</t>
        </is>
      </c>
      <c r="D595" t="inlineStr">
        <is>
          <t>Daikin Air Conditioning (Vietnam) Joint Stock Company</t>
        </is>
      </c>
      <c r="E595" t="inlineStr">
        <is>
          <t>Lương:Cạnh tranh</t>
        </is>
      </c>
      <c r="F595" t="inlineStr">
        <is>
          <t>Hồ Chí Minh</t>
        </is>
      </c>
      <c r="G595" t="inlineStr">
        <is>
          <t>12-04-2026</t>
        </is>
      </c>
      <c r="H595" t="inlineStr">
        <is>
          <t>12/04/2026</t>
        </is>
      </c>
      <c r="I595" t="inlineStr">
        <is>
          <t>17/03/2026</t>
        </is>
      </c>
      <c r="J595" t="inlineStr">
        <is>
          <t>Điện / Điện tử / Điện lạnh / Điện công nghiệp</t>
        </is>
      </c>
      <c r="K595" t="inlineStr">
        <is>
          <t>Lên đến 1 Năm</t>
        </is>
      </c>
      <c r="L595" s="8">
        <f>HYPERLINK("https://careerviet.vn/vi/tim-viec-lam/technical-support-engineer-design.35C68786.html","Xem chi tiết")</f>
        <v/>
      </c>
    </row>
    <row r="596">
      <c r="B596" s="9" t="n">
        <v>594</v>
      </c>
      <c r="C596" s="10" t="inlineStr">
        <is>
          <t>Kế Toán Tổng Hợp</t>
        </is>
      </c>
      <c r="D596" s="10" t="inlineStr">
        <is>
          <t>(Nhựa Đồng Nai) - CÔNG TY CỔ PHẦN DNP HOLDING</t>
        </is>
      </c>
      <c r="E596" s="10" t="inlineStr">
        <is>
          <t>Lương:18 Tr - 25 Tr VND</t>
        </is>
      </c>
      <c r="F596" s="10" t="inlineStr">
        <is>
          <t>Đồng NaiBà Rịa - Vũng Tàu</t>
        </is>
      </c>
      <c r="G596" s="10" t="inlineStr">
        <is>
          <t>13-04-2026</t>
        </is>
      </c>
      <c r="H596" s="10" t="inlineStr">
        <is>
          <t>13/04/2026</t>
        </is>
      </c>
      <c r="I596" s="10" t="inlineStr">
        <is>
          <t>17/03/2026</t>
        </is>
      </c>
      <c r="J596" s="10" t="inlineStr">
        <is>
          <t>Kế toán / Kiểm toán</t>
        </is>
      </c>
      <c r="K596" s="10" t="inlineStr">
        <is>
          <t>2 - 3 Năm</t>
        </is>
      </c>
      <c r="L596" s="11">
        <f>HYPERLINK("https://careerviet.vn/vi/tim-viec-lam/ke-toan-tong-hop.35C688E7.html","Xem chi tiết")</f>
        <v/>
      </c>
      <c r="M596" s="10" t="n"/>
    </row>
    <row r="597">
      <c r="B597" s="7" t="n">
        <v>595</v>
      </c>
      <c r="C597" t="inlineStr">
        <is>
          <t>[HCM] Project Sales Engineer (HVAC background)</t>
        </is>
      </c>
      <c r="D597" t="inlineStr">
        <is>
          <t>Daikin Air Conditioning (Vietnam) Joint Stock Company</t>
        </is>
      </c>
      <c r="E597" t="inlineStr">
        <is>
          <t>Lương:Cạnh tranh</t>
        </is>
      </c>
      <c r="F597" t="inlineStr">
        <is>
          <t>Hồ Chí Minh</t>
        </is>
      </c>
      <c r="G597" t="inlineStr">
        <is>
          <t>12-04-2026</t>
        </is>
      </c>
      <c r="H597" t="inlineStr">
        <is>
          <t>12/04/2026</t>
        </is>
      </c>
      <c r="I597" t="inlineStr">
        <is>
          <t>17/03/2026</t>
        </is>
      </c>
      <c r="J597" t="inlineStr">
        <is>
          <t>Điện / Điện tử / Điện lạnh / Điện công nghiệp</t>
        </is>
      </c>
      <c r="K597" t="inlineStr">
        <is>
          <t>Trên 2 Năm</t>
        </is>
      </c>
      <c r="L597" s="8">
        <f>HYPERLINK("https://careerviet.vn/vi/tim-viec-lam/hcm-project-sales-engineer-hvac-background.35C6876F.html","Xem chi tiết")</f>
        <v/>
      </c>
    </row>
    <row r="598">
      <c r="B598" s="9" t="n">
        <v>596</v>
      </c>
      <c r="C598" s="10" t="inlineStr">
        <is>
          <t>Sales Manager (Quản Lý Khu Vực)(Mới)</t>
        </is>
      </c>
      <c r="D598" s="10" t="inlineStr">
        <is>
          <t>CÔNG TY CỔ PHẦN AP SAIGON PETRO</t>
        </is>
      </c>
      <c r="E598" s="10" t="inlineStr">
        <is>
          <t>Lương:Cạnh tranh</t>
        </is>
      </c>
      <c r="F598" s="10" t="inlineStr">
        <is>
          <t>Bình DươngĐồng NaiHồ Chí Minh</t>
        </is>
      </c>
      <c r="G598" s="10" t="inlineStr">
        <is>
          <t>29-04-2026</t>
        </is>
      </c>
      <c r="H598" s="10" t="inlineStr">
        <is>
          <t>29/04/2026</t>
        </is>
      </c>
      <c r="I598" s="10" t="inlineStr">
        <is>
          <t>17/03/2026</t>
        </is>
      </c>
      <c r="J598" s="10" t="inlineStr">
        <is>
          <t>Bán hàng / Kinh doanh, Dầu khí, Quản lý điều hành</t>
        </is>
      </c>
      <c r="K598" s="10" t="inlineStr">
        <is>
          <t>Trên 3 Năm</t>
        </is>
      </c>
      <c r="L598" s="11">
        <f>HYPERLINK("https://careerviet.vn/vi/tim-viec-lam/sales-manager-quan-ly-khu-vuc.35C6CE78.html","Xem chi tiết")</f>
        <v/>
      </c>
      <c r="M598" s="10" t="n"/>
    </row>
    <row r="599">
      <c r="B599" s="7" t="n">
        <v>597</v>
      </c>
      <c r="C599" t="inlineStr">
        <is>
          <t>IP Specialist(Mới)</t>
        </is>
      </c>
      <c r="D599" t="inlineStr">
        <is>
          <t>Công ty Luật TNHH DK Korea &amp; Partners (Việt Nam)</t>
        </is>
      </c>
      <c r="E599" t="inlineStr">
        <is>
          <t>Lương:Cạnh tranh</t>
        </is>
      </c>
      <c r="F599" t="inlineStr">
        <is>
          <t>Hà Nội</t>
        </is>
      </c>
      <c r="G599" t="inlineStr">
        <is>
          <t>24-04-2026</t>
        </is>
      </c>
      <c r="H599" t="inlineStr">
        <is>
          <t>24/04/2026</t>
        </is>
      </c>
      <c r="I599" t="inlineStr">
        <is>
          <t>17/03/2026</t>
        </is>
      </c>
      <c r="J599" t="inlineStr">
        <is>
          <t>Luật / Pháp lý</t>
        </is>
      </c>
      <c r="K599" t="inlineStr">
        <is>
          <t>Trên 1 Năm</t>
        </is>
      </c>
      <c r="L599" s="8">
        <f>HYPERLINK("https://careerviet.vn/vi/tim-viec-lam/ip-specialist.35C6CE6D.html","Xem chi tiết")</f>
        <v/>
      </c>
    </row>
    <row r="600">
      <c r="B600" s="9" t="n">
        <v>598</v>
      </c>
      <c r="C600" s="10" t="inlineStr">
        <is>
          <t>Nhân Viên Kinh Doanh BDS Úc Và Việt Nam</t>
        </is>
      </c>
      <c r="D600" s="10" t="inlineStr">
        <is>
          <t>CÔNG TY TNHH ĐẦU TƯ QUỐC TẾ LT VIỄN ĐÔNG</t>
        </is>
      </c>
      <c r="E600" s="10" t="inlineStr">
        <is>
          <t>Lương:7 Tr - 15 Tr VND</t>
        </is>
      </c>
      <c r="F600" s="10" t="inlineStr">
        <is>
          <t>Hồ Chí Minh</t>
        </is>
      </c>
      <c r="G600" s="10" t="inlineStr">
        <is>
          <t>14-04-2026</t>
        </is>
      </c>
      <c r="H600" s="10" t="inlineStr">
        <is>
          <t>14/04/2026</t>
        </is>
      </c>
      <c r="I600" s="10" t="inlineStr">
        <is>
          <t>17/03/2026</t>
        </is>
      </c>
      <c r="J600" s="10" t="inlineStr">
        <is>
          <t>Bán hàng / Kinh doanh, Bất động sản, Tiếp thị / Marketing</t>
        </is>
      </c>
      <c r="K600" s="10" t="inlineStr">
        <is>
          <t>Trên 1 Năm</t>
        </is>
      </c>
      <c r="L600" s="11">
        <f>HYPERLINK("https://careerviet.vn/vi/tim-viec-lam/nhan-vien-kinh-doanh-bds-uc-va-viet-nam.35C68A44.html","Xem chi tiết")</f>
        <v/>
      </c>
      <c r="M600" s="10" t="n"/>
    </row>
    <row r="601">
      <c r="B601" s="7" t="n">
        <v>599</v>
      </c>
      <c r="C601" t="inlineStr">
        <is>
          <t>Nhân viên Tiếp thị trực tiếp/Direct Marketing (ưu tiên sinh viên, có kinh nghiệm PG/PB)</t>
        </is>
      </c>
      <c r="D601" t="inlineStr">
        <is>
          <t>Cổ Phần Quốc Tế Anh Văn Hội Việt Mỹ (VUS)</t>
        </is>
      </c>
      <c r="E601" t="inlineStr">
        <is>
          <t>Lương:5 Tr - 7 Tr VND</t>
        </is>
      </c>
      <c r="F601" t="inlineStr">
        <is>
          <t>Hồ Chí Minh</t>
        </is>
      </c>
      <c r="G601" t="inlineStr">
        <is>
          <t>12-04-2026</t>
        </is>
      </c>
      <c r="H601" t="inlineStr">
        <is>
          <t>12/04/2026</t>
        </is>
      </c>
      <c r="I601" t="inlineStr">
        <is>
          <t>17/03/2026</t>
        </is>
      </c>
      <c r="J601" t="inlineStr">
        <is>
          <t>Tiếp thị / Marketing, Bán hàng / Kinh doanh</t>
        </is>
      </c>
      <c r="K601" t="inlineStr">
        <is>
          <t>N/A</t>
        </is>
      </c>
      <c r="L601" s="8">
        <f>HYPERLINK("https://careerviet.vn/vi/tim-viec-lam/nhan-vien-tiep-thi-truc-tiep-direct-marketing-uu-tien-sinh-vien-co-kinh-nghiem-pg-pb.35C686DB.html","Xem chi tiết")</f>
        <v/>
      </c>
    </row>
    <row r="602">
      <c r="B602" s="9" t="n">
        <v>600</v>
      </c>
      <c r="C602" s="10" t="inlineStr">
        <is>
          <t>Chuyên Viên Kế Toán</t>
        </is>
      </c>
      <c r="D602" s="10" t="inlineStr">
        <is>
          <t>CÔNG TY TNHH THƯƠNG MẠI DỊCH VỤ MAGNOLIA VIỆT NAM</t>
        </is>
      </c>
      <c r="E602" s="10" t="inlineStr">
        <is>
          <t>Lương:Cạnh tranh</t>
        </is>
      </c>
      <c r="F602" s="10" t="inlineStr">
        <is>
          <t>Hồ Chí Minh</t>
        </is>
      </c>
      <c r="G602" s="10" t="inlineStr">
        <is>
          <t>14-04-2026</t>
        </is>
      </c>
      <c r="H602" s="10" t="inlineStr">
        <is>
          <t>14/04/2026</t>
        </is>
      </c>
      <c r="I602" s="10" t="inlineStr">
        <is>
          <t>17/03/2026</t>
        </is>
      </c>
      <c r="J602" s="10" t="inlineStr">
        <is>
          <t>Kế toán / Kiểm toán</t>
        </is>
      </c>
      <c r="K602" s="10" t="inlineStr">
        <is>
          <t>Trên 2 Năm</t>
        </is>
      </c>
      <c r="L602" s="11">
        <f>HYPERLINK("https://careerviet.vn/vi/tim-viec-lam/chuyen-vien-ke-toan.35C6899B.html","Xem chi tiết")</f>
        <v/>
      </c>
      <c r="M602" s="10" t="n"/>
    </row>
    <row r="603">
      <c r="B603" s="7" t="n">
        <v>601</v>
      </c>
      <c r="C603" t="inlineStr">
        <is>
          <t>CHUYÊN VIÊN TIỀN LƯƠNG &amp; PHÚC LỢI (C&amp;B)(Mới)</t>
        </is>
      </c>
      <c r="D603" t="inlineStr">
        <is>
          <t>CÔNG TY CỔ PHẦN THƯƠNG MẠI VÀ DỊCH VỤ HAKICO</t>
        </is>
      </c>
      <c r="E603" t="inlineStr">
        <is>
          <t>Lương:Cạnh tranh</t>
        </is>
      </c>
      <c r="F603" t="inlineStr">
        <is>
          <t>Hồ Chí Minh</t>
        </is>
      </c>
      <c r="G603" t="inlineStr">
        <is>
          <t>31-03-2026</t>
        </is>
      </c>
      <c r="H603" t="inlineStr">
        <is>
          <t>31/03/2026</t>
        </is>
      </c>
      <c r="I603" t="inlineStr">
        <is>
          <t>17/03/2026</t>
        </is>
      </c>
      <c r="J603" t="inlineStr">
        <is>
          <t>Nhân sự</t>
        </is>
      </c>
      <c r="K603" t="inlineStr">
        <is>
          <t>3 - 5 Năm</t>
        </is>
      </c>
      <c r="L603" s="8">
        <f>HYPERLINK("https://careerviet.vn/vi/tim-viec-lam/chuyen-vien-tien-luong-phuc-loi-c-b.35C6CE61.html","Xem chi tiết")</f>
        <v/>
      </c>
    </row>
    <row r="604">
      <c r="B604" s="9" t="n">
        <v>602</v>
      </c>
      <c r="C604" s="10" t="inlineStr">
        <is>
          <t>NHÂN VIÊN QUẢN LÝ CHẤT LƯỢNG (QC)(Mới)</t>
        </is>
      </c>
      <c r="D604" s="10" t="inlineStr">
        <is>
          <t>CTY TNHH KIÊN THÀNH TÍN</t>
        </is>
      </c>
      <c r="E604" s="10" t="inlineStr">
        <is>
          <t>Lương:12 Tr - 14 Tr VND</t>
        </is>
      </c>
      <c r="F604" s="10" t="inlineStr">
        <is>
          <t>Hồ Chí Minh</t>
        </is>
      </c>
      <c r="G604" s="10" t="inlineStr">
        <is>
          <t>30-04-2026</t>
        </is>
      </c>
      <c r="H604" s="10" t="inlineStr">
        <is>
          <t>30/04/2026</t>
        </is>
      </c>
      <c r="I604" s="10" t="inlineStr">
        <is>
          <t>17/03/2026</t>
        </is>
      </c>
      <c r="J604" s="10" t="inlineStr">
        <is>
          <t>Quản lý chất lượng (QA/QC), Cơ khí / Ô tô / Tự động hóa</t>
        </is>
      </c>
      <c r="K604" s="10" t="inlineStr">
        <is>
          <t>1 - 3 Năm</t>
        </is>
      </c>
      <c r="L604" s="11">
        <f>HYPERLINK("https://careerviet.vn/vi/tim-viec-lam/nhan-vien-quan-ly-chat-luong-qc.35C6CE62.html","Xem chi tiết")</f>
        <v/>
      </c>
      <c r="M604" s="10" t="n"/>
    </row>
    <row r="605">
      <c r="B605" s="7" t="n">
        <v>603</v>
      </c>
      <c r="C605" t="inlineStr">
        <is>
          <t>Chuyên viên Kinh doanh Khách hàng Doanh nghiệp B2B Ngành Trang sức(Mới)</t>
        </is>
      </c>
      <c r="D605" t="inlineStr">
        <is>
          <t>Công ty TNHH MTV Sen Vàng Việt Nam</t>
        </is>
      </c>
      <c r="E605" t="inlineStr">
        <is>
          <t>Lương:Cạnh tranh</t>
        </is>
      </c>
      <c r="F605" t="inlineStr">
        <is>
          <t>Hồ Chí Minh</t>
        </is>
      </c>
      <c r="G605" t="inlineStr">
        <is>
          <t>16-04-2026</t>
        </is>
      </c>
      <c r="H605" t="inlineStr">
        <is>
          <t>16/04/2026</t>
        </is>
      </c>
      <c r="I605" t="inlineStr">
        <is>
          <t>17/03/2026</t>
        </is>
      </c>
      <c r="J605" t="inlineStr">
        <is>
          <t>Tiếp thị / Marketing, Bán lẻ / Bán sỉ, Bán hàng / Kinh doanh</t>
        </is>
      </c>
      <c r="K605" t="inlineStr">
        <is>
          <t>2 - 5 Năm</t>
        </is>
      </c>
      <c r="L605" s="8">
        <f>HYPERLINK("https://careerviet.vn/vi/tim-viec-lam/chuyen-vien-kinh-doanh-khach-hang-doanh-nghiep-b2b-nganh-trang-suc.35C6CE5C.html","Xem chi tiết")</f>
        <v/>
      </c>
    </row>
    <row r="606">
      <c r="B606" s="9" t="n">
        <v>604</v>
      </c>
      <c r="C606" s="10" t="inlineStr">
        <is>
          <t>Nhân viên văn phòng biết Tiếng Anh,Tiếng Hoa/ Office staff(Mới)</t>
        </is>
      </c>
      <c r="D606" s="10" t="inlineStr">
        <is>
          <t>Công Ty TNHH Công Nghiệp Dona Quế Bằng</t>
        </is>
      </c>
      <c r="E606" s="10" t="inlineStr">
        <is>
          <t>Lương:Cạnh tranh</t>
        </is>
      </c>
      <c r="F606" s="10" t="inlineStr">
        <is>
          <t>Đồng Nai</t>
        </is>
      </c>
      <c r="G606" s="10" t="inlineStr">
        <is>
          <t>16-04-2026</t>
        </is>
      </c>
      <c r="H606" s="10" t="inlineStr">
        <is>
          <t>16/04/2026</t>
        </is>
      </c>
      <c r="I606" s="10" t="inlineStr">
        <is>
          <t>17/03/2026</t>
        </is>
      </c>
      <c r="J606" s="10" t="inlineStr">
        <is>
          <t>Dịch vụ khách hàng, Dệt may / Da giày / Thời trang, Xuất nhập khẩu</t>
        </is>
      </c>
      <c r="K606" s="10" t="inlineStr">
        <is>
          <t>Lên đến 1 Năm</t>
        </is>
      </c>
      <c r="L606" s="11">
        <f>HYPERLINK("https://careerviet.vn/vi/tim-viec-lam/nhan-vien-van-phong-biet-tieng-anh-tieng-hoa-office-staff.35C6CE66.html","Xem chi tiết")</f>
        <v/>
      </c>
      <c r="M606" s="10" t="n"/>
    </row>
    <row r="607">
      <c r="B607" s="7" t="n">
        <v>605</v>
      </c>
      <c r="C607" t="inlineStr">
        <is>
          <t>Nhân viên thu hồi nợ hiện trường (tín chấp - Hà Nội)</t>
        </is>
      </c>
      <c r="D607" t="inlineStr">
        <is>
          <t>Công Ty Quản Lý Nợ Và Khai Thác Tài Sản - Ngân Hàng TMCP Quân Đội</t>
        </is>
      </c>
      <c r="E607" t="inlineStr">
        <is>
          <t>Lương:Cạnh tranh</t>
        </is>
      </c>
      <c r="F607" t="inlineStr">
        <is>
          <t>Hà Nội</t>
        </is>
      </c>
      <c r="G607" t="inlineStr">
        <is>
          <t>31-03-2026</t>
        </is>
      </c>
      <c r="H607" t="inlineStr">
        <is>
          <t>31/03/2026</t>
        </is>
      </c>
      <c r="I607" t="inlineStr">
        <is>
          <t>17/03/2026</t>
        </is>
      </c>
      <c r="J607" t="inlineStr">
        <is>
          <t>Luật / Pháp lý, Ngân hàng, Tài chính / Đầu tư</t>
        </is>
      </c>
      <c r="K607" t="inlineStr">
        <is>
          <t>Chưa có kinh nghiệm</t>
        </is>
      </c>
      <c r="L607" s="8">
        <f>HYPERLINK("https://careerviet.vn/vi/tim-viec-lam/nhan-vien-thu-hoi-no-hien-truong-tin-chap-ha-noi.35C68E56.html","Xem chi tiết")</f>
        <v/>
      </c>
    </row>
    <row r="608">
      <c r="B608" s="9" t="n">
        <v>606</v>
      </c>
      <c r="C608" s="10" t="inlineStr">
        <is>
          <t>NHÂN VIÊN SALES ADMIN(Mới)</t>
        </is>
      </c>
      <c r="D608" s="10" t="inlineStr">
        <is>
          <t>CÔNG TY TNHH KCC VIỆT NAM</t>
        </is>
      </c>
      <c r="E608" s="10" t="inlineStr">
        <is>
          <t>Lương:10 Tr - 14 Tr VND</t>
        </is>
      </c>
      <c r="F608" s="10" t="inlineStr">
        <is>
          <t>Hồ Chí Minh</t>
        </is>
      </c>
      <c r="G608" s="10" t="inlineStr">
        <is>
          <t>31-05-2026</t>
        </is>
      </c>
      <c r="H608" s="10" t="inlineStr">
        <is>
          <t>31/05/2026</t>
        </is>
      </c>
      <c r="I608" s="10" t="inlineStr">
        <is>
          <t>17/03/2026</t>
        </is>
      </c>
      <c r="J608" s="10" t="inlineStr">
        <is>
          <t>Bán hàng / Kinh doanh, Hành chính / Thư ký, Kế toán / Kiểm toán</t>
        </is>
      </c>
      <c r="K608" s="10" t="inlineStr">
        <is>
          <t>1 - 2 Năm</t>
        </is>
      </c>
      <c r="L608" s="11">
        <f>HYPERLINK("https://careerviet.vn/vi/tim-viec-lam/nhan-vien-sales-admin.35C6CE4F.html","Xem chi tiết")</f>
        <v/>
      </c>
      <c r="M608" s="10" t="n"/>
    </row>
    <row r="609">
      <c r="B609" s="7" t="n">
        <v>607</v>
      </c>
      <c r="C609" t="inlineStr">
        <is>
          <t>Kỹ sư chất lượng(Mới)</t>
        </is>
      </c>
      <c r="D609" t="inlineStr">
        <is>
          <t>CÔNG TY TNHH AMPHENOL RF VIỆT NAM</t>
        </is>
      </c>
      <c r="E609" t="inlineStr">
        <is>
          <t>Lương:22 Tr - 25 Tr VND</t>
        </is>
      </c>
      <c r="F609" t="inlineStr">
        <is>
          <t>Long An</t>
        </is>
      </c>
      <c r="G609" t="inlineStr">
        <is>
          <t>15-04-2026</t>
        </is>
      </c>
      <c r="H609" t="inlineStr">
        <is>
          <t>15/04/2026</t>
        </is>
      </c>
      <c r="I609" t="inlineStr">
        <is>
          <t>17/03/2026</t>
        </is>
      </c>
      <c r="J609" t="inlineStr">
        <is>
          <t>Quản lý chất lượng (QA/QC)</t>
        </is>
      </c>
      <c r="K609" t="inlineStr">
        <is>
          <t>1 - 3 Năm</t>
        </is>
      </c>
      <c r="L609" s="8">
        <f>HYPERLINK("https://careerviet.vn/vi/tim-viec-lam/ky-su-chat-luong.35C6CE54.html","Xem chi tiết")</f>
        <v/>
      </c>
    </row>
    <row r="610">
      <c r="B610" s="9" t="n">
        <v>608</v>
      </c>
      <c r="C610" s="10" t="inlineStr">
        <is>
          <t>Nhân viên hành chính nhân sự(Mới)</t>
        </is>
      </c>
      <c r="D610" s="10" t="inlineStr">
        <is>
          <t>Công ty Cổ phần Thực phẩm TANISA</t>
        </is>
      </c>
      <c r="E610" s="10" t="inlineStr">
        <is>
          <t>Lương:10 Tr - 12 Tr VND</t>
        </is>
      </c>
      <c r="F610" s="10" t="inlineStr">
        <is>
          <t>Hồ Chí Minh</t>
        </is>
      </c>
      <c r="G610" s="10" t="inlineStr">
        <is>
          <t>26-03-2026</t>
        </is>
      </c>
      <c r="H610" s="10" t="inlineStr">
        <is>
          <t>26/03/2026</t>
        </is>
      </c>
      <c r="I610" s="10" t="inlineStr">
        <is>
          <t>17/03/2026</t>
        </is>
      </c>
      <c r="J610" s="10" t="inlineStr">
        <is>
          <t>Hành chính / Thư ký, Nhân sự</t>
        </is>
      </c>
      <c r="K610" s="10" t="inlineStr">
        <is>
          <t>1 - 2 Năm</t>
        </is>
      </c>
      <c r="L610" s="11">
        <f>HYPERLINK("https://careerviet.vn/vi/tim-viec-lam/nhan-vien-hanh-chinh-nhan-su.35C66B3F.html","Xem chi tiết")</f>
        <v/>
      </c>
      <c r="M610" s="10" t="n"/>
    </row>
    <row r="611">
      <c r="B611" s="7" t="n">
        <v>609</v>
      </c>
      <c r="C611" t="inlineStr">
        <is>
          <t>Kế Toán Tổng Hợp(Mới)</t>
        </is>
      </c>
      <c r="D611" t="inlineStr">
        <is>
          <t>Công Ty TNHH Thương Mại Dịch Vụ Trần Toàn Phát</t>
        </is>
      </c>
      <c r="E611" t="inlineStr">
        <is>
          <t>Lương:18 Tr - 22 Tr VND</t>
        </is>
      </c>
      <c r="F611" t="inlineStr">
        <is>
          <t>Hồ Chí Minh</t>
        </is>
      </c>
      <c r="G611" t="inlineStr">
        <is>
          <t>17-04-2026</t>
        </is>
      </c>
      <c r="H611" t="inlineStr">
        <is>
          <t>17/04/2026</t>
        </is>
      </c>
      <c r="I611" t="inlineStr">
        <is>
          <t>17/03/2026</t>
        </is>
      </c>
      <c r="J611" t="inlineStr">
        <is>
          <t>Kế toán / Kiểm toán, Luật / Pháp lý, Tài chính / Đầu tư</t>
        </is>
      </c>
      <c r="K611" t="inlineStr">
        <is>
          <t>3 - 5 Năm</t>
        </is>
      </c>
      <c r="L611" s="8">
        <f>HYPERLINK("https://careerviet.vn/vi/tim-viec-lam/ke-toan-tong-hop.35C6CD9A.html","Xem chi tiết")</f>
        <v/>
      </c>
    </row>
    <row r="612">
      <c r="B612" s="9" t="n">
        <v>610</v>
      </c>
      <c r="C612" s="10" t="inlineStr">
        <is>
          <t>Kế toán tổng hợp(Mới)</t>
        </is>
      </c>
      <c r="D612" s="10" t="inlineStr">
        <is>
          <t>Công ty Luật TNHH DK Korea &amp; Partners (Việt Nam)</t>
        </is>
      </c>
      <c r="E612" s="10" t="inlineStr">
        <is>
          <t>Lương:Cạnh tranh</t>
        </is>
      </c>
      <c r="F612" s="10" t="inlineStr">
        <is>
          <t>Hà Nội</t>
        </is>
      </c>
      <c r="G612" s="10" t="inlineStr">
        <is>
          <t>28-04-2026</t>
        </is>
      </c>
      <c r="H612" s="10" t="inlineStr">
        <is>
          <t>28/04/2026</t>
        </is>
      </c>
      <c r="I612" s="10" t="inlineStr">
        <is>
          <t>17/03/2026</t>
        </is>
      </c>
      <c r="J612" s="10" t="inlineStr">
        <is>
          <t>Kế toán / Kiểm toán, Luật / Pháp lý</t>
        </is>
      </c>
      <c r="K612" s="10" t="inlineStr">
        <is>
          <t>Trên 2 Năm</t>
        </is>
      </c>
      <c r="L612" s="11">
        <f>HYPERLINK("https://careerviet.vn/vi/tim-viec-lam/ke-toan-tong-hop.35C6CE34.html","Xem chi tiết")</f>
        <v/>
      </c>
      <c r="M612" s="10" t="n"/>
    </row>
    <row r="613">
      <c r="B613" s="7" t="n">
        <v>611</v>
      </c>
      <c r="C613" t="inlineStr">
        <is>
          <t>Trưởng Khoa Nội Can Thiệp Tim Mạch(Mới)</t>
        </is>
      </c>
      <c r="D613" t="inlineStr">
        <is>
          <t>Công ty CP Bệnh Viện Đa Khoa Quốc Tế Vinmec</t>
        </is>
      </c>
      <c r="E613" t="inlineStr">
        <is>
          <t>Lương:Cạnh tranh</t>
        </is>
      </c>
      <c r="F613" t="inlineStr">
        <is>
          <t>Hà Nội</t>
        </is>
      </c>
      <c r="G613" t="inlineStr">
        <is>
          <t>17-04-2026</t>
        </is>
      </c>
      <c r="H613" t="inlineStr">
        <is>
          <t>17/04/2026</t>
        </is>
      </c>
      <c r="I613" t="inlineStr">
        <is>
          <t>17/03/2026</t>
        </is>
      </c>
      <c r="J613" t="inlineStr">
        <is>
          <t>Y tế / Chăm sóc sức khỏe / Thẩm mỹ / Làm đẹp</t>
        </is>
      </c>
      <c r="K613" t="inlineStr">
        <is>
          <t>10 - 15 Năm</t>
        </is>
      </c>
      <c r="L613" s="8">
        <f>HYPERLINK("https://careerviet.vn/vi/tim-viec-lam/truong-khoa-noi-can-thiep-tim-mach.35C6CE47.html","Xem chi tiết")</f>
        <v/>
      </c>
    </row>
    <row r="614">
      <c r="B614" s="9" t="n">
        <v>612</v>
      </c>
      <c r="C614" s="10" t="inlineStr">
        <is>
          <t>NHÂN VIÊN KẾ TOÁN(Mới)</t>
        </is>
      </c>
      <c r="D614" s="10" t="inlineStr">
        <is>
          <t>ANDROS Vietnam - Công Ty TNHH Sản Xuất Trái Cây Hùng Phát</t>
        </is>
      </c>
      <c r="E614" s="10" t="inlineStr">
        <is>
          <t>Lương:Cạnh tranh</t>
        </is>
      </c>
      <c r="F614" s="10" t="inlineStr">
        <is>
          <t>Đồng Tháp</t>
        </is>
      </c>
      <c r="G614" s="10" t="inlineStr">
        <is>
          <t>15-04-2026</t>
        </is>
      </c>
      <c r="H614" s="10" t="inlineStr">
        <is>
          <t>15/04/2026</t>
        </is>
      </c>
      <c r="I614" s="10" t="inlineStr">
        <is>
          <t>17/03/2026</t>
        </is>
      </c>
      <c r="J614" s="10" t="inlineStr">
        <is>
          <t>Kế toán / Kiểm toán, Tài chính / Đầu tư</t>
        </is>
      </c>
      <c r="K614" s="10" t="inlineStr">
        <is>
          <t>Lên đến 2 Năm</t>
        </is>
      </c>
      <c r="L614" s="11">
        <f>HYPERLINK("https://careerviet.vn/vi/tim-viec-lam/nhan-vien-ke-toan.35C6CE0E.html","Xem chi tiết")</f>
        <v/>
      </c>
      <c r="M614" s="10" t="n"/>
    </row>
    <row r="615">
      <c r="B615" s="7" t="n">
        <v>613</v>
      </c>
      <c r="C615" t="inlineStr">
        <is>
          <t>TUYỂN DỤNG TRÌNH DƯỢC VIÊN ETC [TP. HỒ CHÍ MINH](Mới)</t>
        </is>
      </c>
      <c r="D615" t="inlineStr">
        <is>
          <t>CÔNG TY CỔ PHẦN NATURAL LINK</t>
        </is>
      </c>
      <c r="E615" t="inlineStr">
        <is>
          <t>Lương:15 Tr - 35 Tr VND</t>
        </is>
      </c>
      <c r="F615" t="inlineStr">
        <is>
          <t>Hồ Chí Minh</t>
        </is>
      </c>
      <c r="G615" t="inlineStr">
        <is>
          <t>15-04-2026</t>
        </is>
      </c>
      <c r="H615" t="inlineStr">
        <is>
          <t>15/04/2026</t>
        </is>
      </c>
      <c r="I615" t="inlineStr">
        <is>
          <t>17/03/2026</t>
        </is>
      </c>
      <c r="J615" t="inlineStr">
        <is>
          <t>Y tế / Chăm sóc sức khỏe / Thẩm mỹ / Làm đẹp, Bán hàng / Kinh doanh, Dược phẩm/ Hóa Mỹ Phẩm</t>
        </is>
      </c>
      <c r="K615" t="inlineStr">
        <is>
          <t>1 - 3 Năm</t>
        </is>
      </c>
      <c r="L615" s="8">
        <f>HYPERLINK("https://careerviet.vn/vi/tim-viec-lam/tuyen-dung-trinh-duoc-vien-etc-tp-ho-chi-minh.35C6CE48.html","Xem chi tiết")</f>
        <v/>
      </c>
    </row>
    <row r="616">
      <c r="B616" s="9" t="n">
        <v>614</v>
      </c>
      <c r="C616" s="10" t="inlineStr">
        <is>
          <t>Quality Inspector(Mới)</t>
        </is>
      </c>
      <c r="D616" s="10" t="inlineStr">
        <is>
          <t>CÔNG TY TNHH UMBRA VIỆT NAM OPERATIONS</t>
        </is>
      </c>
      <c r="E616" s="10" t="inlineStr">
        <is>
          <t>Lương:18 Tr - 25 Tr VND</t>
        </is>
      </c>
      <c r="F616" s="10" t="inlineStr">
        <is>
          <t>Long An</t>
        </is>
      </c>
      <c r="G616" s="10" t="inlineStr">
        <is>
          <t>30-06-2026</t>
        </is>
      </c>
      <c r="H616" s="10" t="inlineStr">
        <is>
          <t>30/06/2026</t>
        </is>
      </c>
      <c r="I616" s="10" t="inlineStr">
        <is>
          <t>17/03/2026</t>
        </is>
      </c>
      <c r="J616" s="10" t="inlineStr">
        <is>
          <t>Hàng gia dụng / Chăm sóc cá nhân, Sản xuất / Vận hành sản xuất, Quản lý chất lượng (QA/QC)</t>
        </is>
      </c>
      <c r="K616" s="10" t="inlineStr">
        <is>
          <t>3 - 5 Năm</t>
        </is>
      </c>
      <c r="L616" s="11">
        <f>HYPERLINK("https://careerviet.vn/vi/tim-viec-lam/quality-inspector.35C6CE1A.html","Xem chi tiết")</f>
        <v/>
      </c>
      <c r="M616" s="10" t="n"/>
    </row>
    <row r="617">
      <c r="B617" s="7" t="n">
        <v>615</v>
      </c>
      <c r="C617" t="inlineStr">
        <is>
          <t>TRƯỞNG PHÒNG TUYỂN DỤNG(Mới)</t>
        </is>
      </c>
      <c r="D617" t="inlineStr">
        <is>
          <t>CÔNG TY TNHH GIẢI PHÁP NGUỒN NHÂN LỰC FCE</t>
        </is>
      </c>
      <c r="E617" t="inlineStr">
        <is>
          <t>Lương:10 Tr - 30 Tr VND</t>
        </is>
      </c>
      <c r="F617" t="inlineStr">
        <is>
          <t>Hồ Chí Minh</t>
        </is>
      </c>
      <c r="G617" t="inlineStr">
        <is>
          <t>30-04-2026</t>
        </is>
      </c>
      <c r="H617" t="inlineStr">
        <is>
          <t>30/04/2026</t>
        </is>
      </c>
      <c r="I617" t="inlineStr">
        <is>
          <t>17/03/2026</t>
        </is>
      </c>
      <c r="J617" t="inlineStr">
        <is>
          <t>Nhân sự</t>
        </is>
      </c>
      <c r="K617" t="inlineStr">
        <is>
          <t>Trên 2 Năm</t>
        </is>
      </c>
      <c r="L617" s="8">
        <f>HYPERLINK("https://careerviet.vn/vi/tim-viec-lam/truong-phong-tuyen-dung.35C6C9AA.html","Xem chi tiết")</f>
        <v/>
      </c>
    </row>
    <row r="618">
      <c r="B618" s="9" t="n">
        <v>616</v>
      </c>
      <c r="C618" s="10" t="inlineStr">
        <is>
          <t>Quality Specialist(Mới)</t>
        </is>
      </c>
      <c r="D618" s="10" t="inlineStr">
        <is>
          <t>CÔNG TY TNHH UMBRA VIỆT NAM OPERATIONS</t>
        </is>
      </c>
      <c r="E618" s="10" t="inlineStr">
        <is>
          <t>Lương:25 Tr - 30 Tr VND</t>
        </is>
      </c>
      <c r="F618" s="10" t="inlineStr">
        <is>
          <t>Long An</t>
        </is>
      </c>
      <c r="G618" s="10" t="inlineStr">
        <is>
          <t>31-05-2026</t>
        </is>
      </c>
      <c r="H618" s="10" t="inlineStr">
        <is>
          <t>31/05/2026</t>
        </is>
      </c>
      <c r="I618" s="10" t="inlineStr">
        <is>
          <t>17/03/2026</t>
        </is>
      </c>
      <c r="J618" s="10" t="inlineStr">
        <is>
          <t>Sản xuất / Vận hành sản xuất</t>
        </is>
      </c>
      <c r="K618" s="10" t="inlineStr">
        <is>
          <t>3 - 5 Năm</t>
        </is>
      </c>
      <c r="L618" s="11">
        <f>HYPERLINK("https://careerviet.vn/vi/tim-viec-lam/quality-specialist.35C6CE16.html","Xem chi tiết")</f>
        <v/>
      </c>
      <c r="M618" s="10" t="n"/>
    </row>
    <row r="619">
      <c r="B619" s="7" t="n">
        <v>617</v>
      </c>
      <c r="C619" t="inlineStr">
        <is>
          <t>KỸ SƯ TRIỂN KHAI SHOP DRAWING(Mới)</t>
        </is>
      </c>
      <c r="D619" t="inlineStr">
        <is>
          <t>CÔNG TY CP THƯƠNG MẠI - DỊCH VỤ SAO NAM AN</t>
        </is>
      </c>
      <c r="E619" t="inlineStr">
        <is>
          <t>Lương:14 Tr - 18 Tr VND</t>
        </is>
      </c>
      <c r="F619" t="inlineStr">
        <is>
          <t>Hồ Chí Minh</t>
        </is>
      </c>
      <c r="G619" t="inlineStr">
        <is>
          <t>17-04-2026</t>
        </is>
      </c>
      <c r="H619" t="inlineStr">
        <is>
          <t>17/04/2026</t>
        </is>
      </c>
      <c r="I619" t="inlineStr">
        <is>
          <t>17/03/2026</t>
        </is>
      </c>
      <c r="J619" t="inlineStr">
        <is>
          <t>Điện / Điện tử / Điện lạnh / Điện công nghiệp, CNTT - Phần cứng / Mạng, Cơ khí / Ô tô / Tự động hóa</t>
        </is>
      </c>
      <c r="K619" t="inlineStr">
        <is>
          <t>Trên 2 Năm</t>
        </is>
      </c>
      <c r="L619" s="8">
        <f>HYPERLINK("https://careerviet.vn/vi/tim-viec-lam/ky-su-trien-khai-shop-drawing.35C6CE0A.html","Xem chi tiết")</f>
        <v/>
      </c>
    </row>
    <row r="620">
      <c r="B620" s="9" t="n">
        <v>618</v>
      </c>
      <c r="C620" s="10" t="inlineStr">
        <is>
          <t>Chuyên viên tuyển dụng (Có tối thiểu 2 năm kinh nghiệm tuyển dụng)(Mới)</t>
        </is>
      </c>
      <c r="D620" s="10" t="inlineStr">
        <is>
          <t>Công Ty TNHH TM &amp; XNK Nhất Lâm</t>
        </is>
      </c>
      <c r="E620" s="10" t="inlineStr">
        <is>
          <t>Lương:11 Tr - 14 Tr VND</t>
        </is>
      </c>
      <c r="F620" s="10" t="inlineStr">
        <is>
          <t>Hồ Chí Minh</t>
        </is>
      </c>
      <c r="G620" s="10" t="inlineStr">
        <is>
          <t>30-04-2026</t>
        </is>
      </c>
      <c r="H620" s="10" t="inlineStr">
        <is>
          <t>30/04/2026</t>
        </is>
      </c>
      <c r="I620" s="10" t="inlineStr">
        <is>
          <t>17/03/2026</t>
        </is>
      </c>
      <c r="J620" s="10" t="inlineStr">
        <is>
          <t>Nhân sự</t>
        </is>
      </c>
      <c r="K620" s="10" t="inlineStr">
        <is>
          <t>N/A</t>
        </is>
      </c>
      <c r="L620" s="11">
        <f>HYPERLINK("https://careerviet.vn/vi/tim-viec-lam/chuyen-vien-tuyen-dung-co-toi-thieu-2-nam-kinh-nghiem-tuyen-dung.35C6CE04.html","Xem chi tiết")</f>
        <v/>
      </c>
      <c r="M620" s="10" t="n"/>
    </row>
    <row r="621">
      <c r="B621" s="7" t="n">
        <v>619</v>
      </c>
      <c r="C621" t="inlineStr">
        <is>
          <t>Chuyên viên Kỹ sư dữ liệu(Mới)</t>
        </is>
      </c>
      <c r="D621" t="inlineStr">
        <is>
          <t>Công ty TNHH Chứng khoán Ngân hàng TMCP Ngoại thương Việt Nam (VCBS - Vietcombank Securities)</t>
        </is>
      </c>
      <c r="E621" t="inlineStr">
        <is>
          <t>Lương:Cạnh tranh</t>
        </is>
      </c>
      <c r="F621" t="inlineStr">
        <is>
          <t>Hà Nội</t>
        </is>
      </c>
      <c r="G621" t="inlineStr">
        <is>
          <t>12-04-2026</t>
        </is>
      </c>
      <c r="H621" t="inlineStr">
        <is>
          <t>12/04/2026</t>
        </is>
      </c>
      <c r="I621" t="inlineStr">
        <is>
          <t>17/03/2026</t>
        </is>
      </c>
      <c r="J621" t="inlineStr">
        <is>
          <t>CNTT - Phần mềm</t>
        </is>
      </c>
      <c r="K621" t="inlineStr">
        <is>
          <t>0 - 0 Năm</t>
        </is>
      </c>
      <c r="L621" s="8">
        <f>HYPERLINK("https://careerviet.vn/vi/tim-viec-lam/chuyen-vien-ky-su-du-lieu.35C6CE13.html","Xem chi tiết")</f>
        <v/>
      </c>
    </row>
    <row r="622">
      <c r="B622" s="9" t="n">
        <v>620</v>
      </c>
      <c r="C622" s="10" t="inlineStr">
        <is>
          <t>KỸ SƯ THIẾT KẾ CẤP THOÁT NƯỚC(Mới)</t>
        </is>
      </c>
      <c r="D622" s="10" t="inlineStr">
        <is>
          <t>Tổng Công ty Cổ phần Công trình Viettel</t>
        </is>
      </c>
      <c r="E622" s="10" t="inlineStr">
        <is>
          <t>Lương:18 Tr - 25 Tr VND</t>
        </is>
      </c>
      <c r="F622" s="10" t="inlineStr">
        <is>
          <t>Hà Nội</t>
        </is>
      </c>
      <c r="G622" s="10" t="inlineStr">
        <is>
          <t>14-04-2026</t>
        </is>
      </c>
      <c r="H622" s="10" t="inlineStr">
        <is>
          <t>14/04/2026</t>
        </is>
      </c>
      <c r="I622" s="10" t="inlineStr">
        <is>
          <t>17/03/2026</t>
        </is>
      </c>
      <c r="J622" s="10" t="inlineStr">
        <is>
          <t>Xây dựng, Mỹ thuật / Nghệ thuật / Thiết kế, Điện / Điện tử / Điện lạnh / Điện công nghiệp</t>
        </is>
      </c>
      <c r="K622" s="10" t="inlineStr">
        <is>
          <t>2 - 3 Năm</t>
        </is>
      </c>
      <c r="L622" s="11">
        <f>HYPERLINK("https://careerviet.vn/vi/tim-viec-lam/ky-su-thiet-ke-cap-thoat-nuoc.35C6CDDD.html","Xem chi tiết")</f>
        <v/>
      </c>
      <c r="M622" s="10" t="n"/>
    </row>
    <row r="623">
      <c r="B623" s="7" t="n">
        <v>621</v>
      </c>
      <c r="C623" t="inlineStr">
        <is>
          <t>Chuyên viên Digital Marketing(Mới)</t>
        </is>
      </c>
      <c r="D623" t="inlineStr">
        <is>
          <t>Công Ty Cổ Phần Quốc Tế Sơn Hà</t>
        </is>
      </c>
      <c r="E623" t="inlineStr">
        <is>
          <t>Lương:Cạnh tranh</t>
        </is>
      </c>
      <c r="F623" t="inlineStr">
        <is>
          <t>Hà Nội</t>
        </is>
      </c>
      <c r="G623" t="inlineStr">
        <is>
          <t>29-04-2026</t>
        </is>
      </c>
      <c r="H623" t="inlineStr">
        <is>
          <t>29/04/2026</t>
        </is>
      </c>
      <c r="I623" t="inlineStr">
        <is>
          <t>17/03/2026</t>
        </is>
      </c>
      <c r="J623" t="inlineStr">
        <is>
          <t>Tiếp thị / Marketing, Tiếp thị trực tuyến, Truyền hình / Báo chí / Biên tập</t>
        </is>
      </c>
      <c r="K623" t="inlineStr">
        <is>
          <t>Trên 2 Năm</t>
        </is>
      </c>
      <c r="L623" s="8">
        <f>HYPERLINK("https://careerviet.vn/vi/tim-viec-lam/chuyen-vien-digital-marketing.35C6CDFE.html","Xem chi tiết")</f>
        <v/>
      </c>
    </row>
    <row r="624">
      <c r="B624" s="9" t="n">
        <v>622</v>
      </c>
      <c r="C624" s="10" t="inlineStr">
        <is>
          <t>Nhân viên thu mua(Mới)</t>
        </is>
      </c>
      <c r="D624" s="10" t="inlineStr">
        <is>
          <t>CÔNG TY CỔ PHẦN CHĂN NUÔI TAFA VIỆT</t>
        </is>
      </c>
      <c r="E624" s="10" t="inlineStr">
        <is>
          <t>Lương:10 Tr - 15 Tr VND</t>
        </is>
      </c>
      <c r="F624" s="10" t="inlineStr">
        <is>
          <t>Hồ Chí Minh</t>
        </is>
      </c>
      <c r="G624" s="10" t="inlineStr">
        <is>
          <t>16-04-2026</t>
        </is>
      </c>
      <c r="H624" s="10" t="inlineStr">
        <is>
          <t>16/04/2026</t>
        </is>
      </c>
      <c r="I624" s="10" t="inlineStr">
        <is>
          <t>17/03/2026</t>
        </is>
      </c>
      <c r="J624" s="10" t="inlineStr">
        <is>
          <t>Thu mua / Vật tư</t>
        </is>
      </c>
      <c r="K624" s="10" t="inlineStr">
        <is>
          <t>Trên 2 Năm</t>
        </is>
      </c>
      <c r="L624" s="11">
        <f>HYPERLINK("https://careerviet.vn/vi/tim-viec-lam/nhan-vien-thu-mua.35C6CE11.html","Xem chi tiết")</f>
        <v/>
      </c>
      <c r="M624" s="10" t="n"/>
    </row>
    <row r="625">
      <c r="B625" s="7" t="n">
        <v>623</v>
      </c>
      <c r="C625" t="inlineStr">
        <is>
          <t>Warehouse Specialist(Mới)</t>
        </is>
      </c>
      <c r="D625" t="inlineStr">
        <is>
          <t>CÔNG TY TNHH UMBRA VIỆT NAM OPERATIONS</t>
        </is>
      </c>
      <c r="E625" t="inlineStr">
        <is>
          <t>Lương:25 Tr - 35 Tr VND</t>
        </is>
      </c>
      <c r="F625" t="inlineStr">
        <is>
          <t>Long An</t>
        </is>
      </c>
      <c r="G625" t="inlineStr">
        <is>
          <t>31-05-2026</t>
        </is>
      </c>
      <c r="H625" t="inlineStr">
        <is>
          <t>31/05/2026</t>
        </is>
      </c>
      <c r="I625" t="inlineStr">
        <is>
          <t>17/03/2026</t>
        </is>
      </c>
      <c r="J625" t="inlineStr">
        <is>
          <t>Vận chuyển / Giao nhận / Kho vận, Sản xuất / Vận hành sản xuất</t>
        </is>
      </c>
      <c r="K625" t="inlineStr">
        <is>
          <t>5 - 10 Năm</t>
        </is>
      </c>
      <c r="L625" s="8">
        <f>HYPERLINK("https://careerviet.vn/vi/tim-viec-lam/warehouse-specialist.35C6CE1D.html","Xem chi tiết")</f>
        <v/>
      </c>
    </row>
    <row r="626">
      <c r="B626" s="9" t="n">
        <v>624</v>
      </c>
      <c r="C626" s="10" t="inlineStr">
        <is>
          <t>Production Supervisor(Mới)</t>
        </is>
      </c>
      <c r="D626" s="10" t="inlineStr">
        <is>
          <t>CÔNG TY TNHH UMBRA VIỆT NAM OPERATIONS</t>
        </is>
      </c>
      <c r="E626" s="10" t="inlineStr">
        <is>
          <t>Lương:30 Tr - 50 Tr VND</t>
        </is>
      </c>
      <c r="F626" s="10" t="inlineStr">
        <is>
          <t>Long An</t>
        </is>
      </c>
      <c r="G626" s="10" t="inlineStr">
        <is>
          <t>31-05-2026</t>
        </is>
      </c>
      <c r="H626" s="10" t="inlineStr">
        <is>
          <t>31/05/2026</t>
        </is>
      </c>
      <c r="I626" s="10" t="inlineStr">
        <is>
          <t>17/03/2026</t>
        </is>
      </c>
      <c r="J626" s="10" t="inlineStr">
        <is>
          <t>Sản xuất / Vận hành sản xuất, Ngành khác</t>
        </is>
      </c>
      <c r="K626" s="10" t="inlineStr">
        <is>
          <t>5 - 10 Năm</t>
        </is>
      </c>
      <c r="L626" s="11">
        <f>HYPERLINK("https://careerviet.vn/vi/tim-viec-lam/production-supervisor.35C6CE14.html","Xem chi tiết")</f>
        <v/>
      </c>
      <c r="M626" s="10" t="n"/>
    </row>
    <row r="627">
      <c r="B627" s="7" t="n">
        <v>625</v>
      </c>
      <c r="C627" t="inlineStr">
        <is>
          <t>Chuyên Viên Tuyển Dụng(Mới)</t>
        </is>
      </c>
      <c r="D627" t="inlineStr">
        <is>
          <t>Công Ty TNHH Thương Mại Giải Pháp Ưu Việt</t>
        </is>
      </c>
      <c r="E627" t="inlineStr">
        <is>
          <t>Lương:15 Tr - 20 Tr VND</t>
        </is>
      </c>
      <c r="F627" t="inlineStr">
        <is>
          <t>Hồ Chí Minh</t>
        </is>
      </c>
      <c r="G627" t="inlineStr">
        <is>
          <t>17-04-2026</t>
        </is>
      </c>
      <c r="H627" t="inlineStr">
        <is>
          <t>17/04/2026</t>
        </is>
      </c>
      <c r="I627" t="inlineStr">
        <is>
          <t>17/03/2026</t>
        </is>
      </c>
      <c r="J627" t="inlineStr">
        <is>
          <t>Xây dựng, Nội ngoại thất, Nhân sự</t>
        </is>
      </c>
      <c r="K627" t="inlineStr">
        <is>
          <t>5 - 8 Năm</t>
        </is>
      </c>
      <c r="L627" s="8">
        <f>HYPERLINK("https://careerviet.vn/vi/tim-viec-lam/chuyen-vien-tuyen-dung.35C6CDFF.html","Xem chi tiết")</f>
        <v/>
      </c>
    </row>
    <row r="628">
      <c r="B628" s="9" t="n">
        <v>626</v>
      </c>
      <c r="C628" s="10" t="inlineStr">
        <is>
          <t>Chương Trình Thực Tập Coca-Cola STEMX 2026 - Nhà Máy Miền Bắc (Hà Nội)</t>
        </is>
      </c>
      <c r="D628" s="10" t="inlineStr">
        <is>
          <t>Coca-Cola Beverages Vietnam</t>
        </is>
      </c>
      <c r="E628" s="10" t="inlineStr">
        <is>
          <t>Lương:Cạnh tranh</t>
        </is>
      </c>
      <c r="F628" s="10" t="inlineStr">
        <is>
          <t>Hà Nội</t>
        </is>
      </c>
      <c r="G628" s="10" t="inlineStr">
        <is>
          <t>31-03-2026</t>
        </is>
      </c>
      <c r="H628" s="10" t="inlineStr">
        <is>
          <t>31/03/2026</t>
        </is>
      </c>
      <c r="I628" s="10" t="inlineStr">
        <is>
          <t>17/03/2026</t>
        </is>
      </c>
      <c r="J628" s="10" t="inlineStr">
        <is>
          <t>Điện / Điện tử / Điện lạnh / Điện công nghiệp, Cơ khí / Ô tô / Tự động hóa</t>
        </is>
      </c>
      <c r="K628" s="10" t="inlineStr">
        <is>
          <t>Không yêu cầu kinh nghiệm</t>
        </is>
      </c>
      <c r="L628" s="11">
        <f>HYPERLINK("https://careerviet.vn/vi/tim-viec-lam/chuong-trinh-thuc-tap-coca-cola-stemx-2026-nha-may-mien-bac-ha-noi.35C68D2E.html","Xem chi tiết")</f>
        <v/>
      </c>
      <c r="M628" s="10" t="n"/>
    </row>
    <row r="629">
      <c r="B629" s="7" t="n">
        <v>627</v>
      </c>
      <c r="C629" t="inlineStr">
        <is>
          <t>Kiến Trúc Sư(Mới)</t>
        </is>
      </c>
      <c r="D629" t="inlineStr">
        <is>
          <t>MVW Design Workshop</t>
        </is>
      </c>
      <c r="E629" t="inlineStr">
        <is>
          <t>Lương:28 Tr - 30 Tr VND</t>
        </is>
      </c>
      <c r="F629" t="inlineStr">
        <is>
          <t>Hà Nội</t>
        </is>
      </c>
      <c r="G629" t="inlineStr">
        <is>
          <t>16-04-2026</t>
        </is>
      </c>
      <c r="H629" t="inlineStr">
        <is>
          <t>16/04/2026</t>
        </is>
      </c>
      <c r="I629" t="inlineStr">
        <is>
          <t>17/03/2026</t>
        </is>
      </c>
      <c r="J629" t="inlineStr">
        <is>
          <t>Mỹ thuật / Nghệ thuật / Thiết kế, Kiến trúc, Xây dựng</t>
        </is>
      </c>
      <c r="K629" t="inlineStr">
        <is>
          <t>Trên 5 Năm</t>
        </is>
      </c>
      <c r="L629" s="8">
        <f>HYPERLINK("https://careerviet.vn/vi/tim-viec-lam/kien-truc-su.35C6CDF0.html","Xem chi tiết")</f>
        <v/>
      </c>
    </row>
    <row r="630">
      <c r="B630" s="9" t="n">
        <v>628</v>
      </c>
      <c r="C630" s="10" t="inlineStr">
        <is>
          <t>AI Engineer (Agentic LLM Systems)(Mới)</t>
        </is>
      </c>
      <c r="D630" s="10" t="inlineStr">
        <is>
          <t>FE CREDIT</t>
        </is>
      </c>
      <c r="E630" s="10" t="inlineStr">
        <is>
          <t>Lương:1.000 - 2.300 USD</t>
        </is>
      </c>
      <c r="F630" s="10" t="inlineStr">
        <is>
          <t>Hồ Chí Minh</t>
        </is>
      </c>
      <c r="G630" s="10" t="inlineStr">
        <is>
          <t>16-04-2026</t>
        </is>
      </c>
      <c r="H630" s="10" t="inlineStr">
        <is>
          <t>16/04/2026</t>
        </is>
      </c>
      <c r="I630" s="10" t="inlineStr">
        <is>
          <t>17/03/2026</t>
        </is>
      </c>
      <c r="J630" s="10" t="inlineStr">
        <is>
          <t>CNTT - Phần mềm, Ngân hàng, Tài chính / Đầu tư</t>
        </is>
      </c>
      <c r="K630" s="10" t="inlineStr">
        <is>
          <t>2 - 5 Năm</t>
        </is>
      </c>
      <c r="L630" s="11">
        <f>HYPERLINK("https://careerviet.vn/vi/tim-viec-lam/ai-engineer-agentic-llm-systems.35C6CDE2.html","Xem chi tiết")</f>
        <v/>
      </c>
      <c r="M630" s="10" t="n"/>
    </row>
    <row r="631">
      <c r="B631" s="7" t="n">
        <v>629</v>
      </c>
      <c r="C631" t="inlineStr">
        <is>
          <t>Nhân viên chăm sóc khách hàng(Mới)</t>
        </is>
      </c>
      <c r="D631" t="inlineStr">
        <is>
          <t>CÔNG TY CỔ PHẦN DƯỢC PHẨM FPT LONG CHÂU</t>
        </is>
      </c>
      <c r="E631" t="inlineStr">
        <is>
          <t>Lương:8 Tr - 12 Tr VND</t>
        </is>
      </c>
      <c r="F631" t="inlineStr">
        <is>
          <t>Hồ Chí Minh</t>
        </is>
      </c>
      <c r="G631" t="inlineStr">
        <is>
          <t>30-06-2026</t>
        </is>
      </c>
      <c r="H631" t="inlineStr">
        <is>
          <t>30/06/2026</t>
        </is>
      </c>
      <c r="I631" t="inlineStr">
        <is>
          <t>17/03/2026</t>
        </is>
      </c>
      <c r="J631" t="inlineStr">
        <is>
          <t>Dịch vụ khách hàng, Y tế / Chăm sóc sức khỏe / Thẩm mỹ / Làm đẹp, Tư vấn</t>
        </is>
      </c>
      <c r="K631" t="inlineStr">
        <is>
          <t>1 - 2 Năm</t>
        </is>
      </c>
      <c r="L631" s="8">
        <f>HYPERLINK("https://careerviet.vn/vi/tim-viec-lam/nhan-vien-cham-soc-khach-hang.35C6CDF9.html","Xem chi tiết")</f>
        <v/>
      </c>
    </row>
    <row r="632">
      <c r="B632" s="9" t="n">
        <v>630</v>
      </c>
      <c r="C632" s="10" t="inlineStr">
        <is>
          <t>Trưởng Khoa Hồi Sức Cấp Cứu - Vinmec Riverside(Mới)</t>
        </is>
      </c>
      <c r="D632" s="10" t="inlineStr">
        <is>
          <t>Công ty CP Bệnh Viện Đa Khoa Quốc Tế Vinmec</t>
        </is>
      </c>
      <c r="E632" s="10" t="inlineStr">
        <is>
          <t>Lương:Cạnh tranh</t>
        </is>
      </c>
      <c r="F632" s="10" t="inlineStr">
        <is>
          <t>Hà Nội</t>
        </is>
      </c>
      <c r="G632" s="10" t="inlineStr">
        <is>
          <t>17-04-2026</t>
        </is>
      </c>
      <c r="H632" s="10" t="inlineStr">
        <is>
          <t>17/04/2026</t>
        </is>
      </c>
      <c r="I632" s="10" t="inlineStr">
        <is>
          <t>17/03/2026</t>
        </is>
      </c>
      <c r="J632" s="10" t="inlineStr">
        <is>
          <t>Y tế / Chăm sóc sức khỏe / Thẩm mỹ / Làm đẹp</t>
        </is>
      </c>
      <c r="K632" s="10" t="inlineStr">
        <is>
          <t>10 - 15 Năm</t>
        </is>
      </c>
      <c r="L632" s="11">
        <f>HYPERLINK("https://careerviet.vn/vi/tim-viec-lam/truong-khoa-hoi-suc-cap-cuu-vinmec-riverside.35C6CDD8.html","Xem chi tiết")</f>
        <v/>
      </c>
      <c r="M632" s="10" t="n"/>
    </row>
    <row r="633">
      <c r="B633" s="7" t="n">
        <v>631</v>
      </c>
      <c r="C633" t="inlineStr">
        <is>
          <t>NHÂN VIÊN THU MUA QUỐC TẾ(Mới)</t>
        </is>
      </c>
      <c r="D633" t="inlineStr">
        <is>
          <t>CTY TNHH KIÊN THÀNH TÍN</t>
        </is>
      </c>
      <c r="E633" t="inlineStr">
        <is>
          <t>Lương:12 Tr - 14 Tr VND</t>
        </is>
      </c>
      <c r="F633" t="inlineStr">
        <is>
          <t>Hồ Chí Minh</t>
        </is>
      </c>
      <c r="G633" t="inlineStr">
        <is>
          <t>15-04-2026</t>
        </is>
      </c>
      <c r="H633" t="inlineStr">
        <is>
          <t>15/04/2026</t>
        </is>
      </c>
      <c r="I633" t="inlineStr">
        <is>
          <t>17/03/2026</t>
        </is>
      </c>
      <c r="J633" t="inlineStr">
        <is>
          <t>Thu mua / Vật tư, Bán Hàng Kỹ Thuật, Cơ khí / Ô tô / Tự động hóa</t>
        </is>
      </c>
      <c r="K633" t="inlineStr">
        <is>
          <t>1 - 2 Năm</t>
        </is>
      </c>
      <c r="L633" s="8">
        <f>HYPERLINK("https://careerviet.vn/vi/tim-viec-lam/nhan-vien-thu-mua-quoc-te.35C6CDC3.html","Xem chi tiết")</f>
        <v/>
      </c>
    </row>
    <row r="634">
      <c r="B634" s="9" t="n">
        <v>632</v>
      </c>
      <c r="C634" s="10" t="inlineStr">
        <is>
          <t>Chuyên Viên Chứng Từ(Mới)</t>
        </is>
      </c>
      <c r="D634" s="10" t="inlineStr">
        <is>
          <t>CÔNG TY CP LƯƠNG THỰC MEKONG</t>
        </is>
      </c>
      <c r="E634" s="10" t="inlineStr">
        <is>
          <t>Lương:Cạnh tranh</t>
        </is>
      </c>
      <c r="F634" s="10" t="inlineStr">
        <is>
          <t>Hồ Chí Minh</t>
        </is>
      </c>
      <c r="G634" s="10" t="inlineStr">
        <is>
          <t>16-04-2026</t>
        </is>
      </c>
      <c r="H634" s="10" t="inlineStr">
        <is>
          <t>16/04/2026</t>
        </is>
      </c>
      <c r="I634" s="10" t="inlineStr">
        <is>
          <t>17/03/2026</t>
        </is>
      </c>
      <c r="J634" s="10" t="inlineStr">
        <is>
          <t>Hành chính / Thư ký, Xuất nhập khẩu, Thực phẩm &amp; Đồ uống</t>
        </is>
      </c>
      <c r="K634" s="10" t="inlineStr">
        <is>
          <t>Trên 3 Năm</t>
        </is>
      </c>
      <c r="L634" s="11">
        <f>HYPERLINK("https://careerviet.vn/vi/tim-viec-lam/chuyen-vien-chung-tu.35C6CDE0.html","Xem chi tiết")</f>
        <v/>
      </c>
      <c r="M634" s="10" t="n"/>
    </row>
    <row r="635">
      <c r="B635" s="7" t="n">
        <v>633</v>
      </c>
      <c r="C635" t="inlineStr">
        <is>
          <t>Trợ lý Admin (Admin Assistant)(Mới)</t>
        </is>
      </c>
      <c r="D635" t="inlineStr">
        <is>
          <t>CÔNG TY TNHH PHÁT TRIỂN THƯƠNG MẠI BĐS NEWSTARLAND</t>
        </is>
      </c>
      <c r="E635" t="inlineStr">
        <is>
          <t>Lương:15 Tr - 18 Tr VND</t>
        </is>
      </c>
      <c r="F635" t="inlineStr">
        <is>
          <t>Hà Nội</t>
        </is>
      </c>
      <c r="G635" t="inlineStr">
        <is>
          <t>30-03-2026</t>
        </is>
      </c>
      <c r="H635" t="inlineStr">
        <is>
          <t>30/03/2026</t>
        </is>
      </c>
      <c r="I635" t="inlineStr">
        <is>
          <t>17/03/2026</t>
        </is>
      </c>
      <c r="J635" t="inlineStr">
        <is>
          <t>Bán hàng / Kinh doanh, Hành chính / Thư ký</t>
        </is>
      </c>
      <c r="K635" t="inlineStr">
        <is>
          <t>1 - 2 Năm</t>
        </is>
      </c>
      <c r="L635" s="8">
        <f>HYPERLINK("https://careerviet.vn/vi/tim-viec-lam/tro-ly-admin-admin-assistant.35C6CDEB.html","Xem chi tiết")</f>
        <v/>
      </c>
    </row>
    <row r="636">
      <c r="B636" s="9" t="n">
        <v>634</v>
      </c>
      <c r="C636" s="10" t="inlineStr">
        <is>
          <t>Kiến Trúc Sư(Mới)</t>
        </is>
      </c>
      <c r="D636" s="10" t="inlineStr">
        <is>
          <t>MVW Design Workshop</t>
        </is>
      </c>
      <c r="E636" s="10" t="inlineStr">
        <is>
          <t>Lương:24 Tr - 26 Tr VND</t>
        </is>
      </c>
      <c r="F636" s="10" t="inlineStr">
        <is>
          <t>Hà Nội</t>
        </is>
      </c>
      <c r="G636" s="10" t="inlineStr">
        <is>
          <t>16-04-2026</t>
        </is>
      </c>
      <c r="H636" s="10" t="inlineStr">
        <is>
          <t>16/04/2026</t>
        </is>
      </c>
      <c r="I636" s="10" t="inlineStr">
        <is>
          <t>17/03/2026</t>
        </is>
      </c>
      <c r="J636" s="10" t="inlineStr">
        <is>
          <t>Mỹ thuật / Nghệ thuật / Thiết kế, Kiến trúc, Xây dựng</t>
        </is>
      </c>
      <c r="K636" s="10" t="inlineStr">
        <is>
          <t>Trên 5 Năm</t>
        </is>
      </c>
      <c r="L636" s="11">
        <f>HYPERLINK("https://careerviet.vn/vi/tim-viec-lam/kien-truc-su.35C6CDF7.html","Xem chi tiết")</f>
        <v/>
      </c>
      <c r="M636" s="10" t="n"/>
    </row>
    <row r="637">
      <c r="B637" s="7" t="n">
        <v>635</v>
      </c>
      <c r="C637" t="inlineStr">
        <is>
          <t>Chuyên viên Kỹ thuật dự án(Mới)</t>
        </is>
      </c>
      <c r="D637" t="inlineStr">
        <is>
          <t>CÔNG TY TNHH INFINITY LOGISTICS</t>
        </is>
      </c>
      <c r="E637" t="inlineStr">
        <is>
          <t>Lương:17 Tr - 25 Tr VND</t>
        </is>
      </c>
      <c r="F637" t="inlineStr">
        <is>
          <t>Hồ Chí MinhHà Nội</t>
        </is>
      </c>
      <c r="G637" t="inlineStr">
        <is>
          <t>21-04-2026</t>
        </is>
      </c>
      <c r="H637" t="inlineStr">
        <is>
          <t>21/04/2026</t>
        </is>
      </c>
      <c r="I637" t="inlineStr">
        <is>
          <t>17/03/2026</t>
        </is>
      </c>
      <c r="J637" t="inlineStr">
        <is>
          <t>Xây dựng, Vận chuyển / Giao nhận / Kho vận, Cơ khí / Ô tô / Tự động hóa</t>
        </is>
      </c>
      <c r="K637" t="inlineStr">
        <is>
          <t>Chưa có kinh nghiệm</t>
        </is>
      </c>
      <c r="L637" s="8">
        <f>HYPERLINK("https://careerviet.vn/vi/tim-viec-lam/chuyen-vien-ky-thuat-du-an.35C6CC58.html","Xem chi tiết")</f>
        <v/>
      </c>
    </row>
    <row r="638">
      <c r="B638" s="9" t="n">
        <v>636</v>
      </c>
      <c r="C638" s="10" t="inlineStr">
        <is>
          <t>Nhân Viên Kinh Doanh/Marketing Bất Động Sản(Mới)</t>
        </is>
      </c>
      <c r="D638" s="10" t="inlineStr">
        <is>
          <t>Cùng Bạn Mua Đất</t>
        </is>
      </c>
      <c r="E638" s="10" t="inlineStr">
        <is>
          <t>Lương:Trên 7 Tr VND</t>
        </is>
      </c>
      <c r="F638" s="10" t="inlineStr">
        <is>
          <t>Hồ Chí Minh</t>
        </is>
      </c>
      <c r="G638" s="10" t="inlineStr">
        <is>
          <t>15-04-2026</t>
        </is>
      </c>
      <c r="H638" s="10" t="inlineStr">
        <is>
          <t>15/04/2026</t>
        </is>
      </c>
      <c r="I638" s="10" t="inlineStr">
        <is>
          <t>17/03/2026</t>
        </is>
      </c>
      <c r="J638" s="10" t="inlineStr">
        <is>
          <t>Tiếp thị / Marketing, Bất động sản, Bán hàng / Kinh doanh</t>
        </is>
      </c>
      <c r="K638" s="10" t="inlineStr">
        <is>
          <t>N/A</t>
        </is>
      </c>
      <c r="L638" s="11">
        <f>HYPERLINK("https://careerviet.vn/vi/tim-viec-lam/nhan-vien-kinh-doanh-marketing-bat-dong-san.35C6CD16.html","Xem chi tiết")</f>
        <v/>
      </c>
      <c r="M638" s="10" t="n"/>
    </row>
    <row r="639">
      <c r="B639" s="7" t="n">
        <v>637</v>
      </c>
      <c r="C639" t="inlineStr">
        <is>
          <t>Tổ trưởng Kho (Thủ kho)(Mới)</t>
        </is>
      </c>
      <c r="D639" t="inlineStr">
        <is>
          <t>CÔNG TY CỔ PHẦN CHẾ BIẾN THỰC PHẨM HOÀNG SƠN</t>
        </is>
      </c>
      <c r="E639" t="inlineStr">
        <is>
          <t>Lương:12 Tr - 15 Tr VND</t>
        </is>
      </c>
      <c r="F639" t="inlineStr">
        <is>
          <t>Bình Dương</t>
        </is>
      </c>
      <c r="G639" t="inlineStr">
        <is>
          <t>09-05-2026</t>
        </is>
      </c>
      <c r="H639" t="inlineStr">
        <is>
          <t>09/05/2026</t>
        </is>
      </c>
      <c r="I639" t="inlineStr">
        <is>
          <t>17/03/2026</t>
        </is>
      </c>
      <c r="J639" t="inlineStr">
        <is>
          <t>Vận chuyển / Giao nhận / Kho vận, Thực phẩm &amp; Đồ uống, Sản xuất / Vận hành sản xuất</t>
        </is>
      </c>
      <c r="K639" t="inlineStr">
        <is>
          <t>1 - 2 Năm</t>
        </is>
      </c>
      <c r="L639" s="8">
        <f>HYPERLINK("https://careerviet.vn/vi/tim-viec-lam/to-truong-kho-thu-kho.35C6CDDF.html","Xem chi tiết")</f>
        <v/>
      </c>
    </row>
    <row r="640">
      <c r="B640" s="9" t="n">
        <v>638</v>
      </c>
      <c r="C640" s="10" t="inlineStr">
        <is>
          <t>Ecommerce Specialist(Mới)</t>
        </is>
      </c>
      <c r="D640" s="10" t="inlineStr">
        <is>
          <t>CÔNG TY TNHH XNK CUỘC SỐNG TƯƠI ĐẸP</t>
        </is>
      </c>
      <c r="E640" s="10" t="inlineStr">
        <is>
          <t>Lương:14 Tr - 16 Tr VND</t>
        </is>
      </c>
      <c r="F640" s="10" t="inlineStr">
        <is>
          <t>Hồ Chí Minh</t>
        </is>
      </c>
      <c r="G640" s="10" t="inlineStr">
        <is>
          <t>17-04-2026</t>
        </is>
      </c>
      <c r="H640" s="10" t="inlineStr">
        <is>
          <t>17/04/2026</t>
        </is>
      </c>
      <c r="I640" s="10" t="inlineStr">
        <is>
          <t>17/03/2026</t>
        </is>
      </c>
      <c r="J640" s="10" t="inlineStr">
        <is>
          <t>Tiếp thị / Marketing, Bán lẻ / Bán sỉ, Thương mại điện tử</t>
        </is>
      </c>
      <c r="K640" s="10" t="inlineStr">
        <is>
          <t>3 - 5 Năm</t>
        </is>
      </c>
      <c r="L640" s="11">
        <f>HYPERLINK("https://careerviet.vn/vi/tim-viec-lam/ecommerce-specialist.35C6CE70.html","Xem chi tiết")</f>
        <v/>
      </c>
      <c r="M640" s="10" t="n"/>
    </row>
    <row r="641">
      <c r="B641" s="7" t="n">
        <v>639</v>
      </c>
      <c r="C641" t="inlineStr">
        <is>
          <t>Kỹ sư Thanh Quyết Toán Công Trình (QS) - Sẵn sàng đi tỉnh</t>
        </is>
      </c>
      <c r="D641" t="inlineStr">
        <is>
          <t>CÔNG TY TRÁCH NHIỆM HỮU HẠN R.P</t>
        </is>
      </c>
      <c r="E641" t="inlineStr">
        <is>
          <t>Lương:Cạnh tranh</t>
        </is>
      </c>
      <c r="F641" t="inlineStr">
        <is>
          <t>Hải PhòngĐà Nẵng</t>
        </is>
      </c>
      <c r="G641" t="inlineStr">
        <is>
          <t>30-04-2026</t>
        </is>
      </c>
      <c r="H641" t="inlineStr">
        <is>
          <t>30/04/2026</t>
        </is>
      </c>
      <c r="I641" t="inlineStr">
        <is>
          <t>17/03/2026</t>
        </is>
      </c>
      <c r="J641" t="inlineStr">
        <is>
          <t>Kiến trúc, Xây dựng, Nội ngoại thất</t>
        </is>
      </c>
      <c r="K641" t="inlineStr">
        <is>
          <t>2 - 3 Năm</t>
        </is>
      </c>
      <c r="L641" s="8">
        <f>HYPERLINK("https://careerviet.vn/vi/tim-viec-lam/ky-su-thanh-quyet-toan-cong-trinh-qs-san-sang-di-tinh.35C6C03B.html","Xem chi tiết")</f>
        <v/>
      </c>
    </row>
    <row r="642">
      <c r="B642" s="9" t="n">
        <v>640</v>
      </c>
      <c r="C642" s="10" t="inlineStr">
        <is>
          <t>Senior Production Supervisor(Mới)</t>
        </is>
      </c>
      <c r="D642" s="10" t="inlineStr">
        <is>
          <t>XP Power  Vietnam</t>
        </is>
      </c>
      <c r="E642" s="10" t="inlineStr">
        <is>
          <t>Lương:Cạnh tranh</t>
        </is>
      </c>
      <c r="F642" s="10" t="inlineStr">
        <is>
          <t>Bình Dương</t>
        </is>
      </c>
      <c r="G642" s="10" t="inlineStr">
        <is>
          <t>17-04-2026</t>
        </is>
      </c>
      <c r="H642" s="10" t="inlineStr">
        <is>
          <t>17/04/2026</t>
        </is>
      </c>
      <c r="I642" s="10" t="inlineStr">
        <is>
          <t>17/03/2026</t>
        </is>
      </c>
      <c r="J642" s="10" t="inlineStr">
        <is>
          <t>Điện / Điện tử / Điện lạnh / Điện công nghiệp</t>
        </is>
      </c>
      <c r="K642" s="10" t="inlineStr">
        <is>
          <t>5 - 7 Năm</t>
        </is>
      </c>
      <c r="L642" s="11">
        <f>HYPERLINK("https://careerviet.vn/vi/tim-viec-lam/senior-production-supervisor.35C6CDC6.html","Xem chi tiết")</f>
        <v/>
      </c>
      <c r="M642" s="10" t="n"/>
    </row>
    <row r="643">
      <c r="B643" s="7" t="n">
        <v>641</v>
      </c>
      <c r="C643" t="inlineStr">
        <is>
          <t>KINH DOANH PHỤ GIA/HOÁ CHẤT KHÔNG DOANH SỐ(Mới)</t>
        </is>
      </c>
      <c r="D643" t="inlineStr">
        <is>
          <t>Công Ty  TNHH TM Phổ Bình</t>
        </is>
      </c>
      <c r="E643" t="inlineStr">
        <is>
          <t>Lương:12 Tr - 18 Tr VND</t>
        </is>
      </c>
      <c r="F643" t="inlineStr">
        <is>
          <t>Hồ Chí Minh</t>
        </is>
      </c>
      <c r="G643" t="inlineStr">
        <is>
          <t>17-04-2026</t>
        </is>
      </c>
      <c r="H643" t="inlineStr">
        <is>
          <t>17/04/2026</t>
        </is>
      </c>
      <c r="I643" t="inlineStr">
        <is>
          <t>17/03/2026</t>
        </is>
      </c>
      <c r="J643" t="inlineStr">
        <is>
          <t>Bán hàng / Kinh doanh, Bán Hàng Kỹ Thuật, Công nghệ thực phẩm / Dinh dưỡng</t>
        </is>
      </c>
      <c r="K643" t="inlineStr">
        <is>
          <t>2 - 5 Năm</t>
        </is>
      </c>
      <c r="L643" s="8">
        <f>HYPERLINK("https://careerviet.vn/vi/tim-viec-lam/kinh-doanh-phu-gia-hoa-chat-khong-doanh-so.35C6CDBA.html","Xem chi tiết")</f>
        <v/>
      </c>
    </row>
    <row r="644">
      <c r="B644" s="9" t="n">
        <v>642</v>
      </c>
      <c r="C644" s="10" t="inlineStr">
        <is>
          <t>KẾ TOÁN TỔNG HỢP (Quận 2, Đi Làm Ngay)(Mới)</t>
        </is>
      </c>
      <c r="D644" s="10" t="inlineStr">
        <is>
          <t>CÔNG TY TNHH ACE (VIỆT NAM)</t>
        </is>
      </c>
      <c r="E644" s="10" t="inlineStr">
        <is>
          <t>Lương:12 Tr - 18 Tr VND</t>
        </is>
      </c>
      <c r="F644" s="10" t="inlineStr">
        <is>
          <t>Hồ Chí Minh</t>
        </is>
      </c>
      <c r="G644" s="10" t="inlineStr">
        <is>
          <t>Hôm nay</t>
        </is>
      </c>
      <c r="H644" s="10" t="inlineStr">
        <is>
          <t>17/03/2026</t>
        </is>
      </c>
      <c r="I644" s="10" t="inlineStr">
        <is>
          <t>17/03/2026</t>
        </is>
      </c>
      <c r="J644" s="10" t="inlineStr">
        <is>
          <t>Kế toán / Kiểm toán, Tài chính / Đầu tư, Xây dựng</t>
        </is>
      </c>
      <c r="K644" s="10" t="inlineStr">
        <is>
          <t>3 - 5 Năm</t>
        </is>
      </c>
      <c r="L644" s="11">
        <f>HYPERLINK("https://careerviet.vn/vi/tim-viec-lam/ke-toan-tong-hop-quan-2-di-lam-ngay.35C6CDBD.html","Xem chi tiết")</f>
        <v/>
      </c>
      <c r="M644" s="10" t="n"/>
    </row>
    <row r="645">
      <c r="B645" s="7" t="n">
        <v>643</v>
      </c>
      <c r="C645" t="inlineStr">
        <is>
          <t>Nhân viên Kỹ thuật - Bảo trì</t>
        </is>
      </c>
      <c r="D645" t="inlineStr">
        <is>
          <t>Công ty CP Nippon Paper Việt Hoa Mỹ</t>
        </is>
      </c>
      <c r="E645" t="inlineStr">
        <is>
          <t>Lương:8 Tr - 12 Tr VND</t>
        </is>
      </c>
      <c r="F645" t="inlineStr">
        <is>
          <t>Hồ Chí Minh</t>
        </is>
      </c>
      <c r="G645" t="inlineStr">
        <is>
          <t>6</t>
        </is>
      </c>
      <c r="H645" t="inlineStr">
        <is>
          <t>23/03/2026</t>
        </is>
      </c>
      <c r="I645" t="inlineStr">
        <is>
          <t>17/03/2026</t>
        </is>
      </c>
      <c r="J645" t="inlineStr">
        <is>
          <t>Bảo trì / Sửa chữa, Cơ khí / Ô tô / Tự động hóa, Điện / Điện tử / Điện lạnh / Điện công nghiệp</t>
        </is>
      </c>
      <c r="K645" t="inlineStr">
        <is>
          <t>1 - 2 Năm</t>
        </is>
      </c>
      <c r="L645" s="8">
        <f>HYPERLINK("https://careerviet.vn/vi/tim-viec-lam/nhan-vien-ky-thuat-bao-tri.35C68ED9.html","Xem chi tiết")</f>
        <v/>
      </c>
    </row>
    <row r="646">
      <c r="B646" s="9" t="n">
        <v>644</v>
      </c>
      <c r="C646" s="10" t="inlineStr">
        <is>
          <t>GRAPHIC DESIGNER(Mới)</t>
        </is>
      </c>
      <c r="D646" s="10" t="inlineStr">
        <is>
          <t>CÔNG TY TNHH THƯƠNG MẠI XUẤT NHẬP KHẨU ISU</t>
        </is>
      </c>
      <c r="E646" s="10" t="inlineStr">
        <is>
          <t>Lương:12 Tr - 15 Tr VND</t>
        </is>
      </c>
      <c r="F646" s="10" t="inlineStr">
        <is>
          <t>Hà Nội</t>
        </is>
      </c>
      <c r="G646" s="10" t="inlineStr">
        <is>
          <t>31-03-2026</t>
        </is>
      </c>
      <c r="H646" s="10" t="inlineStr">
        <is>
          <t>31/03/2026</t>
        </is>
      </c>
      <c r="I646" s="10" t="inlineStr">
        <is>
          <t>17/03/2026</t>
        </is>
      </c>
      <c r="J646" s="10" t="inlineStr">
        <is>
          <t>Tiếp thị / Marketing, Y tế / Chăm sóc sức khỏe / Thẩm mỹ / Làm đẹp, Bán hàng / Kinh doanh</t>
        </is>
      </c>
      <c r="K646" s="10" t="inlineStr">
        <is>
          <t>2 - 3 Năm</t>
        </is>
      </c>
      <c r="L646" s="11">
        <f>HYPERLINK("https://careerviet.vn/vi/tim-viec-lam/graphic-designer.35C6CD9F.html","Xem chi tiết")</f>
        <v/>
      </c>
      <c r="M646" s="10" t="n"/>
    </row>
    <row r="647">
      <c r="B647" s="7" t="n">
        <v>645</v>
      </c>
      <c r="C647" t="inlineStr">
        <is>
          <t>Trưởng Phòng Kinh Doanh Nội Thất(Mới)</t>
        </is>
      </c>
      <c r="D647" t="inlineStr">
        <is>
          <t>Công Ty TNHH Tập Đoàn Rita Võ</t>
        </is>
      </c>
      <c r="E647" t="inlineStr">
        <is>
          <t>Lương:Cạnh tranh</t>
        </is>
      </c>
      <c r="F647" t="inlineStr">
        <is>
          <t>Hồ Chí Minh</t>
        </is>
      </c>
      <c r="G647" t="inlineStr">
        <is>
          <t>22-04-2026</t>
        </is>
      </c>
      <c r="H647" t="inlineStr">
        <is>
          <t>22/04/2026</t>
        </is>
      </c>
      <c r="I647" t="inlineStr">
        <is>
          <t>17/03/2026</t>
        </is>
      </c>
      <c r="J647" t="inlineStr">
        <is>
          <t>Bán hàng / Kinh doanh, Bán lẻ / Bán sỉ, Nội ngoại thất</t>
        </is>
      </c>
      <c r="K647" t="inlineStr">
        <is>
          <t>3 - 5 Năm</t>
        </is>
      </c>
      <c r="L647" s="8">
        <f>HYPERLINK("https://careerviet.vn/vi/tim-viec-lam/truong-phong-kinh-doanh-noi-that.35C6CD84.html","Xem chi tiết")</f>
        <v/>
      </c>
    </row>
    <row r="648">
      <c r="B648" s="9" t="n">
        <v>646</v>
      </c>
      <c r="C648" s="10" t="inlineStr">
        <is>
          <t>Giám sát Xây dựng(Mới)</t>
        </is>
      </c>
      <c r="D648" s="10" t="inlineStr">
        <is>
          <t>Công Ty TNHH Hoàng Lam</t>
        </is>
      </c>
      <c r="E648" s="10" t="inlineStr">
        <is>
          <t>Lương:12 Tr - 18 Tr VND</t>
        </is>
      </c>
      <c r="F648" s="10" t="inlineStr">
        <is>
          <t>Hồ Chí Minh</t>
        </is>
      </c>
      <c r="G648" s="10" t="inlineStr">
        <is>
          <t>16-04-2026</t>
        </is>
      </c>
      <c r="H648" s="10" t="inlineStr">
        <is>
          <t>16/04/2026</t>
        </is>
      </c>
      <c r="I648" s="10" t="inlineStr">
        <is>
          <t>17/03/2026</t>
        </is>
      </c>
      <c r="J648" s="10" t="inlineStr">
        <is>
          <t>Xây dựng, Kiến trúc, Lâm Nghiệp</t>
        </is>
      </c>
      <c r="K648" s="10" t="inlineStr">
        <is>
          <t>1 - 3 Năm</t>
        </is>
      </c>
      <c r="L648" s="11">
        <f>HYPERLINK("https://careerviet.vn/vi/tim-viec-lam/giam-sat-xay-dung.35C6CD81.html","Xem chi tiết")</f>
        <v/>
      </c>
      <c r="M648" s="10" t="n"/>
    </row>
    <row r="649">
      <c r="B649" s="7" t="n">
        <v>647</v>
      </c>
      <c r="C649" t="inlineStr">
        <is>
          <t>TRƯỞNG BỘ PHẬN IT SUPPORT(Mới)</t>
        </is>
      </c>
      <c r="D649" t="inlineStr">
        <is>
          <t>CÔNG TY CỔ PHẦN CẢNG TÀU KHÁCH QUỐC TẾ TUẦN CHÂU</t>
        </is>
      </c>
      <c r="E649" t="inlineStr">
        <is>
          <t>Lương:Cạnh tranh</t>
        </is>
      </c>
      <c r="F649" t="inlineStr">
        <is>
          <t>Quảng Ninh</t>
        </is>
      </c>
      <c r="G649" t="inlineStr">
        <is>
          <t>29-04-2026</t>
        </is>
      </c>
      <c r="H649" t="inlineStr">
        <is>
          <t>29/04/2026</t>
        </is>
      </c>
      <c r="I649" t="inlineStr">
        <is>
          <t>17/03/2026</t>
        </is>
      </c>
      <c r="J649" t="inlineStr">
        <is>
          <t>CNTT - Phần cứng / Mạng</t>
        </is>
      </c>
      <c r="K649" t="inlineStr">
        <is>
          <t>5 - 10 Năm</t>
        </is>
      </c>
      <c r="L649" s="8">
        <f>HYPERLINK("https://careerviet.vn/vi/tim-viec-lam/truong-bo-phan-it-support.35C6CD7F.html","Xem chi tiết")</f>
        <v/>
      </c>
    </row>
    <row r="650">
      <c r="B650" s="9" t="n">
        <v>648</v>
      </c>
      <c r="C650" s="10" t="inlineStr">
        <is>
          <t>Business Analyst  - Chuyên Viên Phân Tích Nghiệp Vụ(Mới)</t>
        </is>
      </c>
      <c r="D650" s="10" t="inlineStr">
        <is>
          <t>Công ty Cố phần giải pháp công nghệ ITE</t>
        </is>
      </c>
      <c r="E650" s="10" t="inlineStr">
        <is>
          <t>Lương:18 Tr - 25 Tr VND</t>
        </is>
      </c>
      <c r="F650" s="10" t="inlineStr">
        <is>
          <t>Hà Nội</t>
        </is>
      </c>
      <c r="G650" s="10" t="inlineStr">
        <is>
          <t>17-04-2026</t>
        </is>
      </c>
      <c r="H650" s="10" t="inlineStr">
        <is>
          <t>17/04/2026</t>
        </is>
      </c>
      <c r="I650" s="10" t="inlineStr">
        <is>
          <t>17/03/2026</t>
        </is>
      </c>
      <c r="J650" s="10" t="inlineStr">
        <is>
          <t>CNTT - Phần mềm, Ngân hàng, Dịch vụ khách hàng</t>
        </is>
      </c>
      <c r="K650" s="10" t="inlineStr">
        <is>
          <t>2 - 3 Năm</t>
        </is>
      </c>
      <c r="L650" s="11">
        <f>HYPERLINK("https://careerviet.vn/vi/tim-viec-lam/business-analyst-chuyen-vien-phan-tich-nghiep-vu.35C6CD7D.html","Xem chi tiết")</f>
        <v/>
      </c>
      <c r="M650" s="10" t="n"/>
    </row>
    <row r="651">
      <c r="B651" s="7" t="n">
        <v>649</v>
      </c>
      <c r="C651" t="inlineStr">
        <is>
          <t>Product Development Supervisor (Cash Loan, Installment Loan)(Mới)</t>
        </is>
      </c>
      <c r="D651" t="inlineStr">
        <is>
          <t>Công Ty Tài Chính Mirae Asset (Việt Nam)</t>
        </is>
      </c>
      <c r="E651" t="inlineStr">
        <is>
          <t>Lương:Cạnh tranh</t>
        </is>
      </c>
      <c r="F651" t="inlineStr">
        <is>
          <t>Hồ Chí Minh</t>
        </is>
      </c>
      <c r="G651" t="inlineStr">
        <is>
          <t>16-04-2026</t>
        </is>
      </c>
      <c r="H651" t="inlineStr">
        <is>
          <t>16/04/2026</t>
        </is>
      </c>
      <c r="I651" t="inlineStr">
        <is>
          <t>17/03/2026</t>
        </is>
      </c>
      <c r="J651" t="inlineStr">
        <is>
          <t>Bảo hiểm, Bất động sản, Bán hàng / Kinh doanh</t>
        </is>
      </c>
      <c r="K651" t="inlineStr">
        <is>
          <t>3 - 5 Năm</t>
        </is>
      </c>
      <c r="L651" s="8">
        <f>HYPERLINK("https://careerviet.vn/vi/tim-viec-lam/product-development-supervisor-cash-loan-installment-loan.35C6CC9A.html","Xem chi tiết")</f>
        <v/>
      </c>
    </row>
    <row r="652">
      <c r="B652" s="9" t="n">
        <v>650</v>
      </c>
      <c r="C652" s="10" t="inlineStr">
        <is>
          <t>KẾ TOÁN TRƯỞNG - HÀ NỘI (LƯƠNG CẠNH TRANH)(Mới)</t>
        </is>
      </c>
      <c r="D652" s="10" t="inlineStr">
        <is>
          <t>Công ty Cổ phần Mediamart Việt Nam</t>
        </is>
      </c>
      <c r="E652" s="10" t="inlineStr">
        <is>
          <t>Lương:Cạnh tranh</t>
        </is>
      </c>
      <c r="F652" s="10" t="inlineStr">
        <is>
          <t>Hà Nội</t>
        </is>
      </c>
      <c r="G652" s="10" t="inlineStr">
        <is>
          <t>16-04-2026</t>
        </is>
      </c>
      <c r="H652" s="10" t="inlineStr">
        <is>
          <t>16/04/2026</t>
        </is>
      </c>
      <c r="I652" s="10" t="inlineStr">
        <is>
          <t>17/03/2026</t>
        </is>
      </c>
      <c r="J652" s="10" t="inlineStr">
        <is>
          <t>Kế toán / Kiểm toán, Tài chính / Đầu tư, Bán lẻ / Bán sỉ</t>
        </is>
      </c>
      <c r="K652" s="10" t="inlineStr">
        <is>
          <t>10 - 18 Năm</t>
        </is>
      </c>
      <c r="L652" s="11">
        <f>HYPERLINK("https://careerviet.vn/vi/tim-viec-lam/ke-toan-truong-ha-noi-luong-canh-tranh.35C6CD76.html","Xem chi tiết")</f>
        <v/>
      </c>
      <c r="M652" s="10" t="n"/>
    </row>
    <row r="653">
      <c r="B653" s="7" t="n">
        <v>651</v>
      </c>
      <c r="C653" t="inlineStr">
        <is>
          <t>Trưởng nhóm Chăm sóc khách hàng(Mới)</t>
        </is>
      </c>
      <c r="D653" t="inlineStr">
        <is>
          <t>Hệ Thống Cửa Hàng Giày Da Đông Hải</t>
        </is>
      </c>
      <c r="E653" t="inlineStr">
        <is>
          <t>Lương:Cạnh tranh</t>
        </is>
      </c>
      <c r="F653" t="inlineStr">
        <is>
          <t>Hồ Chí Minh</t>
        </is>
      </c>
      <c r="G653" t="inlineStr">
        <is>
          <t>30-04-2026</t>
        </is>
      </c>
      <c r="H653" t="inlineStr">
        <is>
          <t>30/04/2026</t>
        </is>
      </c>
      <c r="I653" t="inlineStr">
        <is>
          <t>17/03/2026</t>
        </is>
      </c>
      <c r="J653" t="inlineStr">
        <is>
          <t>Tư vấn, Bán hàng / Kinh doanh, Dệt may / Da giày / Thời trang</t>
        </is>
      </c>
      <c r="K653" t="inlineStr">
        <is>
          <t>2 - 3 Năm</t>
        </is>
      </c>
      <c r="L653" s="8">
        <f>HYPERLINK("https://careerviet.vn/vi/tim-viec-lam/truong-nhom-cham-soc-khach-hang.35C6CD73.html","Xem chi tiết")</f>
        <v/>
      </c>
    </row>
    <row r="654">
      <c r="B654" s="9" t="n">
        <v>652</v>
      </c>
      <c r="C654" s="10" t="inlineStr">
        <is>
          <t>Nhân viên kiểm soát(Mới)</t>
        </is>
      </c>
      <c r="D654" s="10" t="inlineStr">
        <is>
          <t>Công ty Vàng Bạc Đá Qúy Bảo Tín Minh Châu</t>
        </is>
      </c>
      <c r="E654" s="10" t="inlineStr">
        <is>
          <t>Lương:15 Tr - 20 Tr VND</t>
        </is>
      </c>
      <c r="F654" s="10" t="inlineStr">
        <is>
          <t>Hà Nội</t>
        </is>
      </c>
      <c r="G654" s="10" t="inlineStr">
        <is>
          <t>16-03-2026</t>
        </is>
      </c>
      <c r="H654" s="10" t="inlineStr">
        <is>
          <t>29/04/2025</t>
        </is>
      </c>
      <c r="I654" s="10" t="inlineStr">
        <is>
          <t>17/03/2026</t>
        </is>
      </c>
      <c r="J654" s="10" t="inlineStr">
        <is>
          <t>Kế toán / Kiểm toán, Ngân hàng</t>
        </is>
      </c>
      <c r="K654" s="10" t="inlineStr">
        <is>
          <t>2 - 5 Năm</t>
        </is>
      </c>
      <c r="L654" s="11">
        <f>HYPERLINK("https://careerviet.vn/vi/tim-viec-lam/nhan-vien-kiem-soat.35C395CC.html","Xem chi tiết")</f>
        <v/>
      </c>
      <c r="M654" s="10" t="n"/>
    </row>
    <row r="655">
      <c r="B655" s="7" t="n">
        <v>653</v>
      </c>
      <c r="C655" t="inlineStr">
        <is>
          <t>Secured Loan Product Development Deputy Manager (Car Loan)(Mới)</t>
        </is>
      </c>
      <c r="D655" t="inlineStr">
        <is>
          <t>Công Ty Tài Chính Mirae Asset (Việt Nam)</t>
        </is>
      </c>
      <c r="E655" t="inlineStr">
        <is>
          <t>Lương:Cạnh tranh</t>
        </is>
      </c>
      <c r="F655" t="inlineStr">
        <is>
          <t>Hồ Chí Minh</t>
        </is>
      </c>
      <c r="G655" t="inlineStr">
        <is>
          <t>16-04-2026</t>
        </is>
      </c>
      <c r="H655" t="inlineStr">
        <is>
          <t>16/04/2026</t>
        </is>
      </c>
      <c r="I655" t="inlineStr">
        <is>
          <t>17/03/2026</t>
        </is>
      </c>
      <c r="J655" t="inlineStr">
        <is>
          <t>Kế toán / Kiểm toán, Ngân hàng, Bảo hiểm</t>
        </is>
      </c>
      <c r="K655" t="inlineStr">
        <is>
          <t>Trên 5 Năm</t>
        </is>
      </c>
      <c r="L655" s="8">
        <f>HYPERLINK("https://careerviet.vn/vi/tim-viec-lam/secured-loan-product-development-deputy-manager-car-loan.35C6CC9E.html","Xem chi tiết")</f>
        <v/>
      </c>
    </row>
    <row r="656">
      <c r="B656" s="9" t="n">
        <v>654</v>
      </c>
      <c r="C656" s="10" t="inlineStr">
        <is>
          <t>Business Development (Trung Gian Thanh Toán/POS/Fintech)(Mới)</t>
        </is>
      </c>
      <c r="D656" s="10" t="inlineStr">
        <is>
          <t>Công ty Cố phần giải pháp công nghệ ITE</t>
        </is>
      </c>
      <c r="E656" s="10" t="inlineStr">
        <is>
          <t>Lương:10 Tr - 20 Tr VND</t>
        </is>
      </c>
      <c r="F656" s="10" t="inlineStr">
        <is>
          <t>Hà Nội</t>
        </is>
      </c>
      <c r="G656" s="10" t="inlineStr">
        <is>
          <t>27-03-2026</t>
        </is>
      </c>
      <c r="H656" s="10" t="inlineStr">
        <is>
          <t>27/03/2026</t>
        </is>
      </c>
      <c r="I656" s="10" t="inlineStr">
        <is>
          <t>17/03/2026</t>
        </is>
      </c>
      <c r="J656" s="10" t="inlineStr">
        <is>
          <t>Bán hàng / Kinh doanh, Tư vấn, Dịch vụ khách hàng</t>
        </is>
      </c>
      <c r="K656" s="10" t="inlineStr">
        <is>
          <t>1 - 3 Năm</t>
        </is>
      </c>
      <c r="L656" s="11">
        <f>HYPERLINK("https://careerviet.vn/vi/tim-viec-lam/business-development-trung-gian-thanh-toan-pos-fintech.35C6CCA9.html","Xem chi tiết")</f>
        <v/>
      </c>
      <c r="M656" s="10" t="n"/>
    </row>
    <row r="657">
      <c r="B657" s="7" t="n">
        <v>655</v>
      </c>
      <c r="C657" t="inlineStr">
        <is>
          <t>NHÂN VIÊN KINH DOANH - PHÁT TRIỂN THỊ TRƯỜNG</t>
        </is>
      </c>
      <c r="D657" t="inlineStr">
        <is>
          <t>Công ty TNHH Tm Nguyễn và Anh Em</t>
        </is>
      </c>
      <c r="E657" t="inlineStr">
        <is>
          <t>Lương:7 Tr - 30 Tr VND</t>
        </is>
      </c>
      <c r="F657" t="inlineStr">
        <is>
          <t>Hồ Chí Minh</t>
        </is>
      </c>
      <c r="G657" t="inlineStr">
        <is>
          <t>31-03-2026</t>
        </is>
      </c>
      <c r="H657" t="inlineStr">
        <is>
          <t>31/03/2026</t>
        </is>
      </c>
      <c r="I657" t="inlineStr">
        <is>
          <t>17/03/2026</t>
        </is>
      </c>
      <c r="J657" t="inlineStr">
        <is>
          <t>Bán lẻ / Bán sỉ, Bán hàng / Kinh doanh, Tư vấn</t>
        </is>
      </c>
      <c r="K657" t="inlineStr">
        <is>
          <t>N/A</t>
        </is>
      </c>
      <c r="L657" s="8">
        <f>HYPERLINK("https://careerviet.vn/vi/tim-viec-lam/nhan-vien-kinh-doanh-phat-trien-thi-truong.35C69EF4.html","Xem chi tiết")</f>
        <v/>
      </c>
    </row>
    <row r="658">
      <c r="B658" s="9" t="n">
        <v>656</v>
      </c>
      <c r="C658" s="10" t="inlineStr">
        <is>
          <t>Chuyên Viên Quản Trị Rủi Ro(Mới)</t>
        </is>
      </c>
      <c r="D658" s="10" t="inlineStr">
        <is>
          <t>Công ty TNHH Chứng khoán NH Việt Nam</t>
        </is>
      </c>
      <c r="E658" s="10" t="inlineStr">
        <is>
          <t>Lương:Cạnh tranh</t>
        </is>
      </c>
      <c r="F658" s="10" t="inlineStr">
        <is>
          <t>Hà Nội</t>
        </is>
      </c>
      <c r="G658" s="10" t="inlineStr">
        <is>
          <t>15-04-2026</t>
        </is>
      </c>
      <c r="H658" s="10" t="inlineStr">
        <is>
          <t>15/04/2026</t>
        </is>
      </c>
      <c r="I658" s="10" t="inlineStr">
        <is>
          <t>17/03/2026</t>
        </is>
      </c>
      <c r="J658" s="10" t="inlineStr">
        <is>
          <t>Chứng khoán, Tài chính / Đầu tư</t>
        </is>
      </c>
      <c r="K658" s="10" t="inlineStr">
        <is>
          <t>Không yêu cầu kinh nghiệm</t>
        </is>
      </c>
      <c r="L658" s="11">
        <f>HYPERLINK("https://careerviet.vn/vi/tim-viec-lam/chuyen-vien-quan-tri-rui-ro.35C6CC8F.html","Xem chi tiết")</f>
        <v/>
      </c>
      <c r="M658" s="10" t="n"/>
    </row>
    <row r="659">
      <c r="B659" s="7" t="n">
        <v>657</v>
      </c>
      <c r="C659" t="inlineStr">
        <is>
          <t>Chuyên viên đấu thầu (Tender)(Mới)</t>
        </is>
      </c>
      <c r="D659" t="inlineStr">
        <is>
          <t>CÔNG TY TNHH SẢN XUẤT THƯƠNG MẠI XÂY DỰNG PHÚ KHẢI</t>
        </is>
      </c>
      <c r="E659" t="inlineStr">
        <is>
          <t>Lương:14 Tr - 20 Tr VND</t>
        </is>
      </c>
      <c r="F659" t="inlineStr">
        <is>
          <t>Hồ Chí Minh</t>
        </is>
      </c>
      <c r="G659" t="inlineStr">
        <is>
          <t>30-04-2026</t>
        </is>
      </c>
      <c r="H659" t="inlineStr">
        <is>
          <t>30/04/2026</t>
        </is>
      </c>
      <c r="I659" t="inlineStr">
        <is>
          <t>17/03/2026</t>
        </is>
      </c>
      <c r="J659" t="inlineStr">
        <is>
          <t>Xây dựng, Điện / Điện tử / Điện lạnh / Điện công nghiệp</t>
        </is>
      </c>
      <c r="K659" t="inlineStr">
        <is>
          <t>Trên 2 Năm</t>
        </is>
      </c>
      <c r="L659" s="8">
        <f>HYPERLINK("https://careerviet.vn/vi/tim-viec-lam/chuyen-vien-dau-thau-tender.35C6CCA1.html","Xem chi tiết")</f>
        <v/>
      </c>
    </row>
    <row r="660">
      <c r="B660" s="9" t="n">
        <v>658</v>
      </c>
      <c r="C660" s="10" t="inlineStr">
        <is>
          <t>Purchasing Supervisor - Giám Sát Bộ Phận Mua Hàng(Mới)</t>
        </is>
      </c>
      <c r="D660" s="10" t="inlineStr">
        <is>
          <t>Công Ty TNHH Tenma (HCM) Việt Nam</t>
        </is>
      </c>
      <c r="E660" s="10" t="inlineStr">
        <is>
          <t>Lương:Cạnh tranh</t>
        </is>
      </c>
      <c r="F660" s="10" t="inlineStr">
        <is>
          <t>Đồng Nai</t>
        </is>
      </c>
      <c r="G660" s="10" t="inlineStr">
        <is>
          <t>16-04-2026</t>
        </is>
      </c>
      <c r="H660" s="10" t="inlineStr">
        <is>
          <t>16/04/2026</t>
        </is>
      </c>
      <c r="I660" s="10" t="inlineStr">
        <is>
          <t>17/03/2026</t>
        </is>
      </c>
      <c r="J660" s="10" t="inlineStr">
        <is>
          <t>Sản xuất / Vận hành sản xuất, Xuất nhập khẩu, Thu mua / Vật tư</t>
        </is>
      </c>
      <c r="K660" s="10" t="inlineStr">
        <is>
          <t>5 Năm</t>
        </is>
      </c>
      <c r="L660" s="11">
        <f>HYPERLINK("https://careerviet.vn/vi/tim-viec-lam/purchasing-supervisor-giam-sat-bo-phan-mua-hang.35C6CC28.html","Xem chi tiết")</f>
        <v/>
      </c>
      <c r="M660" s="10" t="n"/>
    </row>
    <row r="661">
      <c r="B661" s="7" t="n">
        <v>659</v>
      </c>
      <c r="C661" t="inlineStr">
        <is>
          <t>Sales  B2B NGÀNH HẠT NHỰA(Mới)</t>
        </is>
      </c>
      <c r="D661" t="inlineStr">
        <is>
          <t>CÔNG TY TNHH SX TM CN NHỰA Á CHÂU</t>
        </is>
      </c>
      <c r="E661" t="inlineStr">
        <is>
          <t>Lương:15 Tr - 30 Tr VND</t>
        </is>
      </c>
      <c r="F661" t="inlineStr">
        <is>
          <t>Hồ Chí Minh</t>
        </is>
      </c>
      <c r="G661" t="inlineStr">
        <is>
          <t>30-04-2026</t>
        </is>
      </c>
      <c r="H661" t="inlineStr">
        <is>
          <t>30/04/2026</t>
        </is>
      </c>
      <c r="I661" t="inlineStr">
        <is>
          <t>17/03/2026</t>
        </is>
      </c>
      <c r="J661" t="inlineStr">
        <is>
          <t>Tiếp thị / Marketing, Bán lẻ / Bán sỉ, Bán hàng / Kinh doanh</t>
        </is>
      </c>
      <c r="K661" t="inlineStr">
        <is>
          <t>2 - 5 Năm</t>
        </is>
      </c>
      <c r="L661" s="8">
        <f>HYPERLINK("https://careerviet.vn/vi/tim-viec-lam/sales-b2b-nganh-hat-nhua.35C66D8B.html","Xem chi tiết")</f>
        <v/>
      </c>
    </row>
    <row r="662">
      <c r="B662" s="9" t="n">
        <v>660</v>
      </c>
      <c r="C662" s="10" t="inlineStr">
        <is>
          <t>Chuyên Viên/Chuyên Viên Cao Cấp Kiểm Soát Nội Bộ(Mới)</t>
        </is>
      </c>
      <c r="D662" s="10" t="inlineStr">
        <is>
          <t>Công ty TNHH Chứng khoán NH Việt Nam</t>
        </is>
      </c>
      <c r="E662" s="10" t="inlineStr">
        <is>
          <t>Lương:Cạnh tranh</t>
        </is>
      </c>
      <c r="F662" s="10" t="inlineStr">
        <is>
          <t>Hà Nội</t>
        </is>
      </c>
      <c r="G662" s="10" t="inlineStr">
        <is>
          <t>15-04-2026</t>
        </is>
      </c>
      <c r="H662" s="10" t="inlineStr">
        <is>
          <t>15/04/2026</t>
        </is>
      </c>
      <c r="I662" s="10" t="inlineStr">
        <is>
          <t>17/03/2026</t>
        </is>
      </c>
      <c r="J662" s="10" t="inlineStr">
        <is>
          <t>Kế toán / Kiểm toán, Chứng khoán, Tài chính / Đầu tư</t>
        </is>
      </c>
      <c r="K662" s="10" t="inlineStr">
        <is>
          <t>1 Năm</t>
        </is>
      </c>
      <c r="L662" s="11">
        <f>HYPERLINK("https://careerviet.vn/vi/tim-viec-lam/chuyen-vien-chuyen-vien-cao-cap-kiem-soat-noi-bo.35C6CC97.html","Xem chi tiết")</f>
        <v/>
      </c>
      <c r="M662" s="10" t="n"/>
    </row>
    <row r="663">
      <c r="B663" s="7" t="n">
        <v>661</v>
      </c>
      <c r="C663" t="inlineStr">
        <is>
          <t>Kế toán trưởng(Mới)</t>
        </is>
      </c>
      <c r="D663" t="inlineStr">
        <is>
          <t>CÔNG TY TNHH SẢN XUẤT THƯƠNG MẠI XÂY DỰNG PHÚ KHẢI</t>
        </is>
      </c>
      <c r="E663" t="inlineStr">
        <is>
          <t>Lương:20 Tr - 30 Tr VND</t>
        </is>
      </c>
      <c r="F663" t="inlineStr">
        <is>
          <t>Hồ Chí Minh</t>
        </is>
      </c>
      <c r="G663" t="inlineStr">
        <is>
          <t>30-04-2026</t>
        </is>
      </c>
      <c r="H663" t="inlineStr">
        <is>
          <t>30/04/2026</t>
        </is>
      </c>
      <c r="I663" t="inlineStr">
        <is>
          <t>17/03/2026</t>
        </is>
      </c>
      <c r="J663" t="inlineStr">
        <is>
          <t>Kế toán / Kiểm toán, Tài chính / Đầu tư, Xây dựng</t>
        </is>
      </c>
      <c r="K663" t="inlineStr">
        <is>
          <t>Trên 5 Năm</t>
        </is>
      </c>
      <c r="L663" s="8">
        <f>HYPERLINK("https://careerviet.vn/vi/tim-viec-lam/ke-toan-truong.35C6CC7D.html","Xem chi tiết")</f>
        <v/>
      </c>
    </row>
    <row r="664">
      <c r="B664" s="9" t="n">
        <v>662</v>
      </c>
      <c r="C664" s="10" t="inlineStr">
        <is>
          <t>BÌNH DƯƠNG - LAB SẢN XUẤT NGÀNH POLYMER - 3 CA(Mới)</t>
        </is>
      </c>
      <c r="D664" s="10" t="inlineStr">
        <is>
          <t>CÔNG TY TNHH SX TM CN NHỰA Á CHÂU</t>
        </is>
      </c>
      <c r="E664" s="10" t="inlineStr">
        <is>
          <t>Lương:10 Tr - 14 Tr VND</t>
        </is>
      </c>
      <c r="F664" s="10" t="inlineStr">
        <is>
          <t>Bình Dương</t>
        </is>
      </c>
      <c r="G664" s="10" t="inlineStr">
        <is>
          <t>30-04-2026</t>
        </is>
      </c>
      <c r="H664" s="10" t="inlineStr">
        <is>
          <t>30/04/2026</t>
        </is>
      </c>
      <c r="I664" s="10" t="inlineStr">
        <is>
          <t>17/03/2026</t>
        </is>
      </c>
      <c r="J664" s="10" t="inlineStr">
        <is>
          <t>Hóa học, Công nghệ thực phẩm / Dinh dưỡng, Sản xuất / Vận hành sản xuất</t>
        </is>
      </c>
      <c r="K664" s="10" t="inlineStr">
        <is>
          <t>1 - 5 Năm</t>
        </is>
      </c>
      <c r="L664" s="11">
        <f>HYPERLINK("https://careerviet.vn/vi/tim-viec-lam/binh-duong-lab-san-xuat-nganh-polymer-3-ca.35C6CC61.html","Xem chi tiết")</f>
        <v/>
      </c>
      <c r="M664" s="10" t="n"/>
    </row>
    <row r="665">
      <c r="B665" s="7" t="n">
        <v>663</v>
      </c>
      <c r="C665" t="inlineStr">
        <is>
          <t>Kế Toán Tổng Hợp(Mới)</t>
        </is>
      </c>
      <c r="D665" t="inlineStr">
        <is>
          <t>Công ty TNHH Chứng khoán NH Việt Nam</t>
        </is>
      </c>
      <c r="E665" t="inlineStr">
        <is>
          <t>Lương:Cạnh tranh</t>
        </is>
      </c>
      <c r="F665" t="inlineStr">
        <is>
          <t>Hà Nội</t>
        </is>
      </c>
      <c r="G665" t="inlineStr">
        <is>
          <t>15-04-2026</t>
        </is>
      </c>
      <c r="H665" t="inlineStr">
        <is>
          <t>15/04/2026</t>
        </is>
      </c>
      <c r="I665" t="inlineStr">
        <is>
          <t>17/03/2026</t>
        </is>
      </c>
      <c r="J665" t="inlineStr">
        <is>
          <t>Kế toán / Kiểm toán, Tài chính / Đầu tư</t>
        </is>
      </c>
      <c r="K665" t="inlineStr">
        <is>
          <t>3 - 5 Năm</t>
        </is>
      </c>
      <c r="L665" s="8">
        <f>HYPERLINK("https://careerviet.vn/vi/tim-viec-lam/ke-toan-tong-hop.35C6CC95.html","Xem chi tiết")</f>
        <v/>
      </c>
    </row>
    <row r="666">
      <c r="B666" s="9" t="n">
        <v>664</v>
      </c>
      <c r="C666" s="10" t="inlineStr">
        <is>
          <t>Relationship Manager (Tài chính - Ngân hàng)(Mới)</t>
        </is>
      </c>
      <c r="D666" s="10" t="inlineStr">
        <is>
          <t>Công ty Cố phần giải pháp công nghệ ITE</t>
        </is>
      </c>
      <c r="E666" s="10" t="inlineStr">
        <is>
          <t>Lương:10 Tr - 25 Tr VND</t>
        </is>
      </c>
      <c r="F666" s="10" t="inlineStr">
        <is>
          <t>Hồ Chí Minh</t>
        </is>
      </c>
      <c r="G666" s="10" t="inlineStr">
        <is>
          <t>16-04-2026</t>
        </is>
      </c>
      <c r="H666" s="10" t="inlineStr">
        <is>
          <t>16/04/2026</t>
        </is>
      </c>
      <c r="I666" s="10" t="inlineStr">
        <is>
          <t>17/03/2026</t>
        </is>
      </c>
      <c r="J666" s="10" t="inlineStr">
        <is>
          <t>Bán hàng / Kinh doanh, Tư vấn, Dịch vụ khách hàng</t>
        </is>
      </c>
      <c r="K666" s="10" t="inlineStr">
        <is>
          <t>1 - 4 Năm</t>
        </is>
      </c>
      <c r="L666" s="11">
        <f>HYPERLINK("https://careerviet.vn/vi/tim-viec-lam/relationship-manager-tai-chinh-ngan-hang.35C6CCAD.html","Xem chi tiết")</f>
        <v/>
      </c>
      <c r="M666" s="10" t="n"/>
    </row>
    <row r="667">
      <c r="B667" s="7" t="n">
        <v>665</v>
      </c>
      <c r="C667" t="inlineStr">
        <is>
          <t>Nhân Viên Điều Phối Hàng Hoá(Mới)</t>
        </is>
      </c>
      <c r="D667" t="inlineStr">
        <is>
          <t>VINCY - Công Ty TNHH TM - SX Hồ Nguyễn</t>
        </is>
      </c>
      <c r="E667" t="inlineStr">
        <is>
          <t>Lương:10 Tr - 15 Tr VND</t>
        </is>
      </c>
      <c r="F667" t="inlineStr">
        <is>
          <t>Hồ Chí Minh</t>
        </is>
      </c>
      <c r="G667" t="inlineStr">
        <is>
          <t>30-04-2026</t>
        </is>
      </c>
      <c r="H667" t="inlineStr">
        <is>
          <t>30/04/2026</t>
        </is>
      </c>
      <c r="I667" t="inlineStr">
        <is>
          <t>17/03/2026</t>
        </is>
      </c>
      <c r="J667" t="inlineStr">
        <is>
          <t>Bán lẻ / Bán sỉ, Vận chuyển / Giao nhận / Kho vận, Dệt may / Da giày / Thời trang</t>
        </is>
      </c>
      <c r="K667" t="inlineStr">
        <is>
          <t>2 - 3 Năm</t>
        </is>
      </c>
      <c r="L667" s="8">
        <f>HYPERLINK("https://careerviet.vn/vi/tim-viec-lam/nhan-vien-dieu-phoi-hang-hoa.35C6CC6A.html","Xem chi tiết")</f>
        <v/>
      </c>
    </row>
    <row r="668">
      <c r="B668" s="9" t="n">
        <v>666</v>
      </c>
      <c r="C668" s="10" t="inlineStr">
        <is>
          <t>KẾ TOÁN TRƯỞNG (SẢN XUẤT - TRỊ AN, ĐỒNG NAI)(Mới)</t>
        </is>
      </c>
      <c r="D668" s="10" t="inlineStr">
        <is>
          <t>CÔNG TY TNHH MTV HƯƠNG VĨNH CỬU</t>
        </is>
      </c>
      <c r="E668" s="10" t="inlineStr">
        <is>
          <t>Lương:20 Tr - 45 Tr VND</t>
        </is>
      </c>
      <c r="F668" s="10" t="inlineStr">
        <is>
          <t>Đồng NaiHồ Chí Minh</t>
        </is>
      </c>
      <c r="G668" s="10" t="inlineStr">
        <is>
          <t>15-04-2026</t>
        </is>
      </c>
      <c r="H668" s="10" t="inlineStr">
        <is>
          <t>15/04/2026</t>
        </is>
      </c>
      <c r="I668" s="10" t="inlineStr">
        <is>
          <t>17/03/2026</t>
        </is>
      </c>
      <c r="J668" s="10" t="inlineStr">
        <is>
          <t>Kế toán / Kiểm toán, Tài chính / Đầu tư</t>
        </is>
      </c>
      <c r="K668" s="10" t="inlineStr">
        <is>
          <t>3 - 10 Năm</t>
        </is>
      </c>
      <c r="L668" s="11">
        <f>HYPERLINK("https://careerviet.vn/vi/tim-viec-lam/ke-toan-truong-san-xuat-tri-an-dong-nai.35C6CC5F.html","Xem chi tiết")</f>
        <v/>
      </c>
      <c r="M668" s="10" t="n"/>
    </row>
    <row r="669">
      <c r="B669" s="7" t="n">
        <v>667</v>
      </c>
      <c r="C669" t="inlineStr">
        <is>
          <t>KẾ TOÁN CÔNG NỢ(Mới)</t>
        </is>
      </c>
      <c r="D669" t="inlineStr">
        <is>
          <t>CÔNG TY CỔ PHẦN THƯƠNG MẠI VÀ DỊCH VỤ HAKICO</t>
        </is>
      </c>
      <c r="E669" t="inlineStr">
        <is>
          <t>Lương:Cạnh tranh</t>
        </is>
      </c>
      <c r="F669" t="inlineStr">
        <is>
          <t>Hồ Chí Minh</t>
        </is>
      </c>
      <c r="G669" t="inlineStr">
        <is>
          <t>15-04-2026</t>
        </is>
      </c>
      <c r="H669" t="inlineStr">
        <is>
          <t>15/04/2026</t>
        </is>
      </c>
      <c r="I669" t="inlineStr">
        <is>
          <t>17/03/2026</t>
        </is>
      </c>
      <c r="J669" t="inlineStr">
        <is>
          <t>Kế toán / Kiểm toán</t>
        </is>
      </c>
      <c r="K669" t="inlineStr">
        <is>
          <t>1 - 3 Năm</t>
        </is>
      </c>
      <c r="L669" s="8">
        <f>HYPERLINK("https://careerviet.vn/vi/tim-viec-lam/ke-toan-cong-no.35C6CC6D.html","Xem chi tiết")</f>
        <v/>
      </c>
    </row>
    <row r="670">
      <c r="B670" s="9" t="n">
        <v>668</v>
      </c>
      <c r="C670" s="10" t="inlineStr">
        <is>
          <t>Korean Interpreter(Mới)</t>
        </is>
      </c>
      <c r="D670" s="10" t="inlineStr">
        <is>
          <t>Công ty TNHH GS25 Vietnam</t>
        </is>
      </c>
      <c r="E670" s="10" t="inlineStr">
        <is>
          <t>Lương:Cạnh tranh</t>
        </is>
      </c>
      <c r="F670" s="10" t="inlineStr">
        <is>
          <t>Hồ Chí Minh</t>
        </is>
      </c>
      <c r="G670" s="10" t="inlineStr">
        <is>
          <t>17-04-2026</t>
        </is>
      </c>
      <c r="H670" s="10" t="inlineStr">
        <is>
          <t>17/04/2026</t>
        </is>
      </c>
      <c r="I670" s="10" t="inlineStr">
        <is>
          <t>17/03/2026</t>
        </is>
      </c>
      <c r="J670" s="10" t="inlineStr">
        <is>
          <t>Biên phiên dịch, Bán lẻ / Bán sỉ, Hành chính / Thư ký</t>
        </is>
      </c>
      <c r="K670" s="10" t="inlineStr">
        <is>
          <t>2 - 5 Năm</t>
        </is>
      </c>
      <c r="L670" s="11">
        <f>HYPERLINK("https://careerviet.vn/vi/tim-viec-lam/korean-interpreter.35C6CC64.html","Xem chi tiết")</f>
        <v/>
      </c>
      <c r="M670" s="10" t="n"/>
    </row>
    <row r="671">
      <c r="B671" s="7" t="n">
        <v>669</v>
      </c>
      <c r="C671" t="inlineStr">
        <is>
          <t>Business Analyst(Mới)</t>
        </is>
      </c>
      <c r="D671" t="inlineStr">
        <is>
          <t>CÔNG TY TNHH CÔNG NGHỆ B2B</t>
        </is>
      </c>
      <c r="E671" t="inlineStr">
        <is>
          <t>Lương:Cạnh tranh</t>
        </is>
      </c>
      <c r="F671" t="inlineStr">
        <is>
          <t>Hồ Chí Minh</t>
        </is>
      </c>
      <c r="G671" t="inlineStr">
        <is>
          <t>30-06-2026</t>
        </is>
      </c>
      <c r="H671" t="inlineStr">
        <is>
          <t>30/06/2026</t>
        </is>
      </c>
      <c r="I671" t="inlineStr">
        <is>
          <t>17/03/2026</t>
        </is>
      </c>
      <c r="J671" t="inlineStr">
        <is>
          <t>CNTT - Phần mềm</t>
        </is>
      </c>
      <c r="K671" t="inlineStr">
        <is>
          <t>1 - 3 Năm</t>
        </is>
      </c>
      <c r="L671" s="8">
        <f>HYPERLINK("https://careerviet.vn/vi/tim-viec-lam/business-analyst.35C6CC50.html","Xem chi tiết")</f>
        <v/>
      </c>
    </row>
    <row r="672">
      <c r="B672" s="9" t="n">
        <v>670</v>
      </c>
      <c r="C672" s="10" t="inlineStr">
        <is>
          <t>KẾ TOÁN TỔNG HỢP (SẢN XUẤT - TRỊ AN, ĐỒNG NAI)(Mới)</t>
        </is>
      </c>
      <c r="D672" s="10" t="inlineStr">
        <is>
          <t>CÔNG TY TNHH MTV HƯƠNG VĨNH CỬU</t>
        </is>
      </c>
      <c r="E672" s="10" t="inlineStr">
        <is>
          <t>Lương:15 Tr - 25 Tr VND</t>
        </is>
      </c>
      <c r="F672" s="10" t="inlineStr">
        <is>
          <t>Đồng Nai</t>
        </is>
      </c>
      <c r="G672" s="10" t="inlineStr">
        <is>
          <t>15-04-2026</t>
        </is>
      </c>
      <c r="H672" s="10" t="inlineStr">
        <is>
          <t>15/04/2026</t>
        </is>
      </c>
      <c r="I672" s="10" t="inlineStr">
        <is>
          <t>17/03/2026</t>
        </is>
      </c>
      <c r="J672" s="10" t="inlineStr">
        <is>
          <t>Kế toán / Kiểm toán, Tài chính / Đầu tư, Chăn nuôi / Thú y</t>
        </is>
      </c>
      <c r="K672" s="10" t="inlineStr">
        <is>
          <t>2 - 5 Năm</t>
        </is>
      </c>
      <c r="L672" s="11">
        <f>HYPERLINK("https://careerviet.vn/vi/tim-viec-lam/ke-toan-tong-hop-san-xuat-tri-an-dong-nai.35C6CC60.html","Xem chi tiết")</f>
        <v/>
      </c>
      <c r="M672" s="10" t="n"/>
    </row>
    <row r="673">
      <c r="B673" s="7" t="n">
        <v>671</v>
      </c>
      <c r="C673" t="inlineStr">
        <is>
          <t>Nhân viên quản lý sản xuất (Tiếng Hàn)(Mới)</t>
        </is>
      </c>
      <c r="D673" t="inlineStr">
        <is>
          <t>Công Ty TNHH Fursys VN</t>
        </is>
      </c>
      <c r="E673" t="inlineStr">
        <is>
          <t>Lương:Cạnh tranh</t>
        </is>
      </c>
      <c r="F673" t="inlineStr">
        <is>
          <t>Đồng Nai</t>
        </is>
      </c>
      <c r="G673" t="inlineStr">
        <is>
          <t>17-04-2026</t>
        </is>
      </c>
      <c r="H673" t="inlineStr">
        <is>
          <t>17/04/2026</t>
        </is>
      </c>
      <c r="I673" t="inlineStr">
        <is>
          <t>17/03/2026</t>
        </is>
      </c>
      <c r="J673" t="inlineStr">
        <is>
          <t>Sản xuất / Vận hành sản xuất</t>
        </is>
      </c>
      <c r="K673" t="inlineStr">
        <is>
          <t>Chưa có kinh nghiệm</t>
        </is>
      </c>
      <c r="L673" s="8">
        <f>HYPERLINK("https://careerviet.vn/vi/tim-viec-lam/nhan-vien-quan-ly-san-xuat-tieng-han.35C6CC4E.html","Xem chi tiết")</f>
        <v/>
      </c>
    </row>
    <row r="674">
      <c r="B674" s="9" t="n">
        <v>672</v>
      </c>
      <c r="C674" s="10" t="inlineStr">
        <is>
          <t>SALES ADMIN(Mới)</t>
        </is>
      </c>
      <c r="D674" s="10" t="inlineStr">
        <is>
          <t>CÔNG TY TNHH SX TM CN NHỰA Á CHÂU</t>
        </is>
      </c>
      <c r="E674" s="10" t="inlineStr">
        <is>
          <t>Lương:9 Tr - 14 Tr VND</t>
        </is>
      </c>
      <c r="F674" s="10" t="inlineStr">
        <is>
          <t>Hồ Chí Minh</t>
        </is>
      </c>
      <c r="G674" s="10" t="inlineStr">
        <is>
          <t>30-04-2026</t>
        </is>
      </c>
      <c r="H674" s="10" t="inlineStr">
        <is>
          <t>30/04/2026</t>
        </is>
      </c>
      <c r="I674" s="10" t="inlineStr">
        <is>
          <t>17/03/2026</t>
        </is>
      </c>
      <c r="J674" s="10" t="inlineStr">
        <is>
          <t>Tiếp thị / Marketing, Bán hàng / Kinh doanh, Hóa học</t>
        </is>
      </c>
      <c r="K674" s="10" t="inlineStr">
        <is>
          <t>1 - 2 Năm</t>
        </is>
      </c>
      <c r="L674" s="11">
        <f>HYPERLINK("https://careerviet.vn/vi/tim-viec-lam/sales-admin.35C6CC5C.html","Xem chi tiết")</f>
        <v/>
      </c>
      <c r="M674" s="10" t="n"/>
    </row>
    <row r="675">
      <c r="B675" s="7" t="n">
        <v>673</v>
      </c>
      <c r="C675" t="inlineStr">
        <is>
          <t>Nhân viên QA(Mới)</t>
        </is>
      </c>
      <c r="D675" t="inlineStr">
        <is>
          <t>CÔNG TY CỔ PHẦN GET CULTURED FOODS VIỆT NAM</t>
        </is>
      </c>
      <c r="E675" t="inlineStr">
        <is>
          <t>Lương:12 Tr - 15 Tr VND</t>
        </is>
      </c>
      <c r="F675" t="inlineStr">
        <is>
          <t>Hồ Chí Minh</t>
        </is>
      </c>
      <c r="G675" t="inlineStr">
        <is>
          <t>11-04-2026</t>
        </is>
      </c>
      <c r="H675" t="inlineStr">
        <is>
          <t>11/04/2026</t>
        </is>
      </c>
      <c r="I675" t="inlineStr">
        <is>
          <t>17/03/2026</t>
        </is>
      </c>
      <c r="J675" t="inlineStr">
        <is>
          <t>Thực phẩm &amp; Đồ uống</t>
        </is>
      </c>
      <c r="K675" t="inlineStr">
        <is>
          <t>3 - 4 Năm</t>
        </is>
      </c>
      <c r="L675" s="8">
        <f>HYPERLINK("https://careerviet.vn/vi/tim-viec-lam/nhan-vien-qa.35C6BE52.html","Xem chi tiết")</f>
        <v/>
      </c>
    </row>
    <row r="676">
      <c r="B676" s="9" t="n">
        <v>674</v>
      </c>
      <c r="C676" s="10" t="inlineStr">
        <is>
          <t>Trưởng Phòng Vận Tải(Mới)</t>
        </is>
      </c>
      <c r="D676" s="10" t="inlineStr">
        <is>
          <t>PRECIOUS PRESTIGE TRADING AND LOGISTICS</t>
        </is>
      </c>
      <c r="E676" s="10" t="inlineStr">
        <is>
          <t>Lương:Cạnh tranh</t>
        </is>
      </c>
      <c r="F676" s="10" t="inlineStr">
        <is>
          <t>Hồ Chí Minh</t>
        </is>
      </c>
      <c r="G676" s="10" t="inlineStr">
        <is>
          <t>16-04-2026</t>
        </is>
      </c>
      <c r="H676" s="10" t="inlineStr">
        <is>
          <t>16/04/2026</t>
        </is>
      </c>
      <c r="I676" s="10" t="inlineStr">
        <is>
          <t>17/03/2026</t>
        </is>
      </c>
      <c r="J676" s="10" t="inlineStr">
        <is>
          <t>Vận chuyển / Giao nhận / Kho vận, Xuất nhập khẩu, Bán hàng / Kinh doanh</t>
        </is>
      </c>
      <c r="K676" s="10" t="inlineStr">
        <is>
          <t>N/A</t>
        </is>
      </c>
      <c r="L676" s="11">
        <f>HYPERLINK("https://careerviet.vn/vi/tim-viec-lam/truong-phong-van-tai.35C6CBCD.html","Xem chi tiết")</f>
        <v/>
      </c>
      <c r="M676" s="10" t="n"/>
    </row>
    <row r="677">
      <c r="B677" s="7" t="n">
        <v>675</v>
      </c>
      <c r="C677" t="inlineStr">
        <is>
          <t>B2B Sale Executive (Hunter) – Thiết Kế &amp; Thi Công Nội Thất(Mới)</t>
        </is>
      </c>
      <c r="D677" t="inlineStr">
        <is>
          <t>CÔNG TY TNHH TM DV 20S FACTORY</t>
        </is>
      </c>
      <c r="E677" t="inlineStr">
        <is>
          <t>Lương:20 Tr - 40 Tr VND</t>
        </is>
      </c>
      <c r="F677" t="inlineStr">
        <is>
          <t>Hồ Chí Minh</t>
        </is>
      </c>
      <c r="G677" t="inlineStr">
        <is>
          <t>16-04-2026</t>
        </is>
      </c>
      <c r="H677" t="inlineStr">
        <is>
          <t>16/04/2026</t>
        </is>
      </c>
      <c r="I677" t="inlineStr">
        <is>
          <t>17/03/2026</t>
        </is>
      </c>
      <c r="J677" t="inlineStr">
        <is>
          <t>Bán hàng / Kinh doanh, Dịch vụ khách hàng, Tiếp thị / Marketing</t>
        </is>
      </c>
      <c r="K677" t="inlineStr">
        <is>
          <t>N/A</t>
        </is>
      </c>
      <c r="L677" s="8">
        <f>HYPERLINK("https://careerviet.vn/vi/tim-viec-lam/b2b-sale-executive-hunter-thiet-ke-thi-cong-noi-that.35C6CC2F.html","Xem chi tiết")</f>
        <v/>
      </c>
    </row>
    <row r="678">
      <c r="B678" s="9" t="n">
        <v>676</v>
      </c>
      <c r="C678" s="10" t="inlineStr">
        <is>
          <t>Quality &amp; Compliance Supervisor(Mới)</t>
        </is>
      </c>
      <c r="D678" s="10" t="inlineStr">
        <is>
          <t>Dunlopillo (Vietnam) Ltd</t>
        </is>
      </c>
      <c r="E678" s="10" t="inlineStr">
        <is>
          <t>Lương:Cạnh tranh</t>
        </is>
      </c>
      <c r="F678" s="10" t="inlineStr">
        <is>
          <t>Bình Dương</t>
        </is>
      </c>
      <c r="G678" s="10" t="inlineStr">
        <is>
          <t>31-03-2026</t>
        </is>
      </c>
      <c r="H678" s="10" t="inlineStr">
        <is>
          <t>31/03/2026</t>
        </is>
      </c>
      <c r="I678" s="10" t="inlineStr">
        <is>
          <t>17/03/2026</t>
        </is>
      </c>
      <c r="J678" s="10" t="inlineStr">
        <is>
          <t>Môi trường, Sản xuất / Vận hành sản xuất, Quản lý chất lượng (QA/QC)</t>
        </is>
      </c>
      <c r="K678" s="10" t="inlineStr">
        <is>
          <t>3 - 5 Năm</t>
        </is>
      </c>
      <c r="L678" s="11">
        <f>HYPERLINK("https://careerviet.vn/vi/tim-viec-lam/quality-compliance-supervisor.35C6CC35.html","Xem chi tiết")</f>
        <v/>
      </c>
      <c r="M678" s="10" t="n"/>
    </row>
    <row r="679">
      <c r="B679" s="7" t="n">
        <v>677</v>
      </c>
      <c r="C679" t="inlineStr">
        <is>
          <t>Giám Sát Công Trường (Nội Thất)(Mới)</t>
        </is>
      </c>
      <c r="D679" t="inlineStr">
        <is>
          <t>ADP Architects</t>
        </is>
      </c>
      <c r="E679" t="inlineStr">
        <is>
          <t>Lương:Cạnh tranh</t>
        </is>
      </c>
      <c r="F679" t="inlineStr">
        <is>
          <t>Hà Nội</t>
        </is>
      </c>
      <c r="G679" t="inlineStr">
        <is>
          <t>30-04-2026</t>
        </is>
      </c>
      <c r="H679" t="inlineStr">
        <is>
          <t>30/04/2026</t>
        </is>
      </c>
      <c r="I679" t="inlineStr">
        <is>
          <t>17/03/2026</t>
        </is>
      </c>
      <c r="J679" t="inlineStr">
        <is>
          <t>Xây dựng, Nội ngoại thất, Kiến trúc</t>
        </is>
      </c>
      <c r="K679" t="inlineStr">
        <is>
          <t>Trên 2 Năm</t>
        </is>
      </c>
      <c r="L679" s="8">
        <f>HYPERLINK("https://careerviet.vn/vi/tim-viec-lam/giam-sat-cong-truong-noi-that.35C6C90E.html","Xem chi tiết")</f>
        <v/>
      </c>
    </row>
    <row r="680">
      <c r="B680" s="9" t="n">
        <v>678</v>
      </c>
      <c r="C680" s="10" t="inlineStr">
        <is>
          <t>Marketing Tổng Hợp(Mới)</t>
        </is>
      </c>
      <c r="D680" s="10" t="inlineStr">
        <is>
          <t>Công ty SuperShip</t>
        </is>
      </c>
      <c r="E680" s="10" t="inlineStr">
        <is>
          <t>Lương:14 Tr - 20 Tr VND</t>
        </is>
      </c>
      <c r="F680" s="10" t="inlineStr">
        <is>
          <t>Hồ Chí Minh</t>
        </is>
      </c>
      <c r="G680" s="10" t="inlineStr">
        <is>
          <t>16-04-2026</t>
        </is>
      </c>
      <c r="H680" s="10" t="inlineStr">
        <is>
          <t>16/04/2026</t>
        </is>
      </c>
      <c r="I680" s="10" t="inlineStr">
        <is>
          <t>17/03/2026</t>
        </is>
      </c>
      <c r="J680" s="10" t="inlineStr">
        <is>
          <t>Tiếp thị / Marketing, Tiếp thị trực tuyến, Quảng cáo / Đối ngoại / Truyền Thông</t>
        </is>
      </c>
      <c r="K680" s="10" t="inlineStr">
        <is>
          <t>2 - 3 Năm</t>
        </is>
      </c>
      <c r="L680" s="11">
        <f>HYPERLINK("https://careerviet.vn/vi/tim-viec-lam/marketing-tong-hop.35C6CB77.html","Xem chi tiết")</f>
        <v/>
      </c>
      <c r="M680" s="10" t="n"/>
    </row>
    <row r="681">
      <c r="B681" s="7" t="n">
        <v>679</v>
      </c>
      <c r="C681" t="inlineStr">
        <is>
          <t>Công nhân sửa chữa, bảo dưỡng máy (CN Nặng)(Mới)</t>
        </is>
      </c>
      <c r="D681" t="inlineStr">
        <is>
          <t>ADC PLASTIC,. JSC</t>
        </is>
      </c>
      <c r="E681" t="inlineStr">
        <is>
          <t>Lương:9 Tr - 15 Tr VND</t>
        </is>
      </c>
      <c r="F681" t="inlineStr">
        <is>
          <t>Hưng Yên</t>
        </is>
      </c>
      <c r="G681" t="inlineStr">
        <is>
          <t>30-04-2026</t>
        </is>
      </c>
      <c r="H681" t="inlineStr">
        <is>
          <t>30/04/2026</t>
        </is>
      </c>
      <c r="I681" t="inlineStr">
        <is>
          <t>17/03/2026</t>
        </is>
      </c>
      <c r="J681" t="inlineStr">
        <is>
          <t>Bảo trì / Sửa chữa, Cơ khí / Ô tô / Tự động hóa, Điện / Điện tử / Điện lạnh / Điện công nghiệp</t>
        </is>
      </c>
      <c r="K681" t="inlineStr">
        <is>
          <t>1 - 3 Năm</t>
        </is>
      </c>
      <c r="L681" s="8">
        <f>HYPERLINK("https://careerviet.vn/vi/tim-viec-lam/cong-nhan-sua-chua-bao-duong-may-cn-nang.35C6CC0D.html","Xem chi tiết")</f>
        <v/>
      </c>
    </row>
    <row r="682">
      <c r="B682" s="9" t="n">
        <v>680</v>
      </c>
      <c r="C682" s="10" t="inlineStr">
        <is>
          <t>Nhân Viên Thiết Kế Tủ Bảng Điện(Mới)</t>
        </is>
      </c>
      <c r="D682" s="10" t="inlineStr">
        <is>
          <t>CÔNG TY TNHH TƯ VẤN XÂY DỰNG CƠ ĐIỆN TRƯỜNG NAM HẢI</t>
        </is>
      </c>
      <c r="E682" s="10" t="inlineStr">
        <is>
          <t>Lương:Cạnh tranh</t>
        </is>
      </c>
      <c r="F682" s="10" t="inlineStr">
        <is>
          <t>Hồ Chí Minh</t>
        </is>
      </c>
      <c r="G682" s="10" t="inlineStr">
        <is>
          <t>16-04-2026</t>
        </is>
      </c>
      <c r="H682" s="10" t="inlineStr">
        <is>
          <t>16/04/2026</t>
        </is>
      </c>
      <c r="I682" s="10" t="inlineStr">
        <is>
          <t>17/03/2026</t>
        </is>
      </c>
      <c r="J682" s="10" t="inlineStr">
        <is>
          <t>Cơ khí / Ô tô / Tự động hóa, Mỹ thuật / Nghệ thuật / Thiết kế, Điện / Điện tử / Điện lạnh / Điện công nghiệp</t>
        </is>
      </c>
      <c r="K682" s="10" t="inlineStr">
        <is>
          <t>N/A</t>
        </is>
      </c>
      <c r="L682" s="11">
        <f>HYPERLINK("https://careerviet.vn/vi/tim-viec-lam/nhan-vien-thiet-ke-tu-bang-dien.35C6CC10.html","Xem chi tiết")</f>
        <v/>
      </c>
      <c r="M682" s="10" t="n"/>
    </row>
    <row r="683">
      <c r="B683" s="7" t="n">
        <v>681</v>
      </c>
      <c r="C683" t="inlineStr">
        <is>
          <t>Accountant(Mới)</t>
        </is>
      </c>
      <c r="D683" t="inlineStr">
        <is>
          <t>CÔNG TY TNHH LEDVANCE VIỆT NAM</t>
        </is>
      </c>
      <c r="E683" t="inlineStr">
        <is>
          <t>Lương:Cạnh tranh</t>
        </is>
      </c>
      <c r="F683" t="inlineStr">
        <is>
          <t>Hồ Chí Minh</t>
        </is>
      </c>
      <c r="G683" t="inlineStr">
        <is>
          <t>16-04-2026</t>
        </is>
      </c>
      <c r="H683" t="inlineStr">
        <is>
          <t>16/04/2026</t>
        </is>
      </c>
      <c r="I683" t="inlineStr">
        <is>
          <t>17/03/2026</t>
        </is>
      </c>
      <c r="J683" t="inlineStr">
        <is>
          <t>Kế toán / Kiểm toán, Tài chính / Đầu tư, Ngân hàng</t>
        </is>
      </c>
      <c r="K683" t="inlineStr">
        <is>
          <t>1 - 2 Năm</t>
        </is>
      </c>
      <c r="L683" s="8">
        <f>HYPERLINK("https://careerviet.vn/vi/tim-viec-lam/accountant.35C6CBD7.html","Xem chi tiết")</f>
        <v/>
      </c>
    </row>
    <row r="684">
      <c r="B684" s="9" t="n">
        <v>682</v>
      </c>
      <c r="C684" s="10" t="inlineStr">
        <is>
          <t>Nhân Viên Báo Giá(Mới)</t>
        </is>
      </c>
      <c r="D684" s="10" t="inlineStr">
        <is>
          <t>CÔNG TY TNHH TƯ VẤN XÂY DỰNG CƠ ĐIỆN TRƯỜNG NAM HẢI</t>
        </is>
      </c>
      <c r="E684" s="10" t="inlineStr">
        <is>
          <t>Lương:Cạnh tranh</t>
        </is>
      </c>
      <c r="F684" s="10" t="inlineStr">
        <is>
          <t>Hồ Chí Minh</t>
        </is>
      </c>
      <c r="G684" s="10" t="inlineStr">
        <is>
          <t>16-04-2026</t>
        </is>
      </c>
      <c r="H684" s="10" t="inlineStr">
        <is>
          <t>16/04/2026</t>
        </is>
      </c>
      <c r="I684" s="10" t="inlineStr">
        <is>
          <t>17/03/2026</t>
        </is>
      </c>
      <c r="J684" s="10" t="inlineStr">
        <is>
          <t>Bán hàng / Kinh doanh, Cơ khí / Ô tô / Tự động hóa, Kế toán / Kiểm toán</t>
        </is>
      </c>
      <c r="K684" s="10" t="inlineStr">
        <is>
          <t>N/A</t>
        </is>
      </c>
      <c r="L684" s="11">
        <f>HYPERLINK("https://careerviet.vn/vi/tim-viec-lam/nhan-vien-bao-gia.35C6CC0F.html","Xem chi tiết")</f>
        <v/>
      </c>
      <c r="M684" s="10" t="n"/>
    </row>
    <row r="685">
      <c r="B685" s="7" t="n">
        <v>683</v>
      </c>
      <c r="C685" t="inlineStr">
        <is>
          <t>Nhân viên nhân sự(Mới)</t>
        </is>
      </c>
      <c r="D685" t="inlineStr">
        <is>
          <t>CÔNG TY CỔ PHẦN PHÁT TRIỂN VÀ ĐẦU TƯ XÂY DỰNG VINCONS</t>
        </is>
      </c>
      <c r="E685" t="inlineStr">
        <is>
          <t>Lương:Cạnh tranh</t>
        </is>
      </c>
      <c r="F685" t="inlineStr">
        <is>
          <t>Hà NộiHồ Chí MinhLong An</t>
        </is>
      </c>
      <c r="G685" t="inlineStr">
        <is>
          <t>16-04-2026</t>
        </is>
      </c>
      <c r="H685" t="inlineStr">
        <is>
          <t>16/04/2026</t>
        </is>
      </c>
      <c r="I685" t="inlineStr">
        <is>
          <t>17/03/2026</t>
        </is>
      </c>
      <c r="J685" t="inlineStr">
        <is>
          <t>Nhân sự</t>
        </is>
      </c>
      <c r="K685" t="inlineStr">
        <is>
          <t>1 - 10 Năm</t>
        </is>
      </c>
      <c r="L685" s="8">
        <f>HYPERLINK("https://careerviet.vn/vi/tim-viec-lam/nhan-vien-nhan-su.35C6C8CE.html","Xem chi tiết")</f>
        <v/>
      </c>
    </row>
    <row r="686">
      <c r="B686" s="9" t="n">
        <v>684</v>
      </c>
      <c r="C686" s="10" t="inlineStr">
        <is>
          <t>Giám sát an toàn(Mới)</t>
        </is>
      </c>
      <c r="D686" s="10" t="inlineStr">
        <is>
          <t>Công Ty Cổ Phần Vina Logistics</t>
        </is>
      </c>
      <c r="E686" s="10" t="inlineStr">
        <is>
          <t>Lương:14 Tr - 20 Tr VND</t>
        </is>
      </c>
      <c r="F686" s="10" t="inlineStr">
        <is>
          <t>Bà Rịa - Vũng Tàu</t>
        </is>
      </c>
      <c r="G686" s="10" t="inlineStr">
        <is>
          <t>16-04-2026</t>
        </is>
      </c>
      <c r="H686" s="10" t="inlineStr">
        <is>
          <t>16/04/2026</t>
        </is>
      </c>
      <c r="I686" s="10" t="inlineStr">
        <is>
          <t>17/03/2026</t>
        </is>
      </c>
      <c r="J686" s="10" t="inlineStr">
        <is>
          <t>An toàn lao động, Môi trường, Vận chuyển / Giao nhận / Kho vận</t>
        </is>
      </c>
      <c r="K686" s="10" t="inlineStr">
        <is>
          <t>Chưa có kinh nghiệm</t>
        </is>
      </c>
      <c r="L686" s="11">
        <f>HYPERLINK("https://careerviet.vn/vi/tim-viec-lam/giam-sat-an-toan.35C6CBEF.html","Xem chi tiết")</f>
        <v/>
      </c>
      <c r="M686" s="10" t="n"/>
    </row>
    <row r="687">
      <c r="B687" s="7" t="n">
        <v>685</v>
      </c>
      <c r="C687" t="inlineStr">
        <is>
          <t>Ecommerce &amp; Digital Supervisor(Mới)</t>
        </is>
      </c>
      <c r="D687" t="inlineStr">
        <is>
          <t>CÔNG TY TNHH LEDVANCE VIỆT NAM</t>
        </is>
      </c>
      <c r="E687" t="inlineStr">
        <is>
          <t>Lương:Cạnh tranh</t>
        </is>
      </c>
      <c r="F687" t="inlineStr">
        <is>
          <t>Hồ Chí Minh</t>
        </is>
      </c>
      <c r="G687" t="inlineStr">
        <is>
          <t>16-04-2026</t>
        </is>
      </c>
      <c r="H687" t="inlineStr">
        <is>
          <t>16/04/2026</t>
        </is>
      </c>
      <c r="I687" t="inlineStr">
        <is>
          <t>17/03/2026</t>
        </is>
      </c>
      <c r="J687" t="inlineStr">
        <is>
          <t>Tiếp thị / Marketing, Tiếp thị trực tuyến, Thương mại điện tử</t>
        </is>
      </c>
      <c r="K687" t="inlineStr">
        <is>
          <t>Trên 1 Năm</t>
        </is>
      </c>
      <c r="L687" s="8">
        <f>HYPERLINK("https://careerviet.vn/vi/tim-viec-lam/ecommerce-digital-supervisor.35C6CC0E.html","Xem chi tiết")</f>
        <v/>
      </c>
    </row>
    <row r="688">
      <c r="B688" s="9" t="n">
        <v>686</v>
      </c>
      <c r="C688" s="10" t="inlineStr">
        <is>
          <t>[ALDO] Ecommerce Manager(Mới)</t>
        </is>
      </c>
      <c r="D688" s="10" t="inlineStr">
        <is>
          <t>Viet Thai International</t>
        </is>
      </c>
      <c r="E688" s="10" t="inlineStr">
        <is>
          <t>Lương:Cạnh tranh</t>
        </is>
      </c>
      <c r="F688" s="10" t="inlineStr">
        <is>
          <t>Hồ Chí Minh</t>
        </is>
      </c>
      <c r="G688" s="10" t="inlineStr">
        <is>
          <t>16-04-2026</t>
        </is>
      </c>
      <c r="H688" s="10" t="inlineStr">
        <is>
          <t>16/04/2026</t>
        </is>
      </c>
      <c r="I688" s="10" t="inlineStr">
        <is>
          <t>17/03/2026</t>
        </is>
      </c>
      <c r="J688" s="10" t="inlineStr">
        <is>
          <t>Thương mại điện tử</t>
        </is>
      </c>
      <c r="K688" s="10" t="inlineStr">
        <is>
          <t>5 - 7 Năm</t>
        </is>
      </c>
      <c r="L688" s="11">
        <f>HYPERLINK("https://careerviet.vn/vi/tim-viec-lam/aldo-ecommerce-manager.35C6CC42.html","Xem chi tiết")</f>
        <v/>
      </c>
      <c r="M688" s="10" t="n"/>
    </row>
    <row r="689">
      <c r="B689" s="7" t="n">
        <v>687</v>
      </c>
      <c r="C689" t="inlineStr">
        <is>
          <t>Kỹ Sư Shopdrawing - Tp.HCM, Bình Dương, Quảng Bình(Mới)</t>
        </is>
      </c>
      <c r="D689" t="inlineStr">
        <is>
          <t>Công ty Cổ phần D&amp;D Engineering Construction</t>
        </is>
      </c>
      <c r="E689" t="inlineStr">
        <is>
          <t>Lương:18 Tr - 28 Tr VND</t>
        </is>
      </c>
      <c r="F689" t="inlineStr">
        <is>
          <t>Hồ Chí MinhQuảng BìnhBình Dương</t>
        </is>
      </c>
      <c r="G689" t="inlineStr">
        <is>
          <t>15-04-2026</t>
        </is>
      </c>
      <c r="H689" t="inlineStr">
        <is>
          <t>15/04/2026</t>
        </is>
      </c>
      <c r="I689" t="inlineStr">
        <is>
          <t>17/03/2026</t>
        </is>
      </c>
      <c r="J689" t="inlineStr">
        <is>
          <t>Xây dựng, Mỹ thuật / Nghệ thuật / Thiết kế, Kiến trúc</t>
        </is>
      </c>
      <c r="K689" t="inlineStr">
        <is>
          <t>Trên 2 Năm</t>
        </is>
      </c>
      <c r="L689" s="8">
        <f>HYPERLINK("https://careerviet.vn/vi/tim-viec-lam/ky-su-shopdrawing-tp-hcm-binh-duong-quang-binh.35C6CC11.html","Xem chi tiết")</f>
        <v/>
      </c>
    </row>
    <row r="690">
      <c r="B690" s="9" t="n">
        <v>688</v>
      </c>
      <c r="C690" s="10" t="inlineStr">
        <is>
          <t>Công nhân vận hành dây chuyền SX(Mới)</t>
        </is>
      </c>
      <c r="D690" s="10" t="inlineStr">
        <is>
          <t>ADC PLASTIC,. JSC</t>
        </is>
      </c>
      <c r="E690" s="10" t="inlineStr">
        <is>
          <t>Lương:12,3 Tr - 15 Tr VND</t>
        </is>
      </c>
      <c r="F690" s="10" t="inlineStr">
        <is>
          <t>Hưng Yên</t>
        </is>
      </c>
      <c r="G690" s="10" t="inlineStr">
        <is>
          <t>30-04-2026</t>
        </is>
      </c>
      <c r="H690" s="10" t="inlineStr">
        <is>
          <t>30/04/2026</t>
        </is>
      </c>
      <c r="I690" s="10" t="inlineStr">
        <is>
          <t>17/03/2026</t>
        </is>
      </c>
      <c r="J690" s="10" t="inlineStr">
        <is>
          <t>Công nghệ thực phẩm / Dinh dưỡng, Cơ khí / Ô tô / Tự động hóa, Bảo trì / Sửa chữa</t>
        </is>
      </c>
      <c r="K690" s="10" t="inlineStr">
        <is>
          <t>1 - 10 Năm</t>
        </is>
      </c>
      <c r="L690" s="11">
        <f>HYPERLINK("https://careerviet.vn/vi/tim-viec-lam/cong-nhan-van-hanh-day-chuyen-sx.35C6CC01.html","Xem chi tiết")</f>
        <v/>
      </c>
      <c r="M690" s="10" t="n"/>
    </row>
    <row r="691">
      <c r="B691" s="7" t="n">
        <v>689</v>
      </c>
      <c r="C691" t="inlineStr">
        <is>
          <t>Giám Đốc Hành Chính Nhân sự(Mới)</t>
        </is>
      </c>
      <c r="D691" t="inlineStr">
        <is>
          <t>Công Ty Cổ Phần Tân Vĩnh Cửu (Tavico group)</t>
        </is>
      </c>
      <c r="E691" t="inlineStr">
        <is>
          <t>Lương:Cạnh tranh</t>
        </is>
      </c>
      <c r="F691" t="inlineStr">
        <is>
          <t>Đồng Nai</t>
        </is>
      </c>
      <c r="G691" t="inlineStr">
        <is>
          <t>29-04-2026</t>
        </is>
      </c>
      <c r="H691" t="inlineStr">
        <is>
          <t>29/04/2026</t>
        </is>
      </c>
      <c r="I691" t="inlineStr">
        <is>
          <t>17/03/2026</t>
        </is>
      </c>
      <c r="J691" t="inlineStr">
        <is>
          <t>Nhân sự, Ngành khác</t>
        </is>
      </c>
      <c r="K691" t="inlineStr">
        <is>
          <t>5 - 7 Năm</t>
        </is>
      </c>
      <c r="L691" s="8">
        <f>HYPERLINK("https://careerviet.vn/vi/tim-viec-lam/giam-doc-hanh-chinh-nhan-su.35C6CC82.html","Xem chi tiết")</f>
        <v/>
      </c>
    </row>
    <row r="692">
      <c r="B692" s="9" t="n">
        <v>690</v>
      </c>
      <c r="C692" s="10" t="inlineStr">
        <is>
          <t>Teacher Intern(Mới)</t>
        </is>
      </c>
      <c r="D692" s="10" t="inlineStr">
        <is>
          <t>CareerViet's client</t>
        </is>
      </c>
      <c r="E692" s="10" t="inlineStr">
        <is>
          <t>Lương:3 Tr - 10 Tr VND</t>
        </is>
      </c>
      <c r="F692" s="10" t="inlineStr">
        <is>
          <t>Hồ Chí Minh</t>
        </is>
      </c>
      <c r="G692" s="10" t="inlineStr">
        <is>
          <t>16-04-2026</t>
        </is>
      </c>
      <c r="H692" s="10" t="inlineStr">
        <is>
          <t>16/04/2026</t>
        </is>
      </c>
      <c r="I692" s="10" t="inlineStr">
        <is>
          <t>17/03/2026</t>
        </is>
      </c>
      <c r="J692" s="10" t="inlineStr">
        <is>
          <t>Tư vấn, Dịch vụ khách hàng, Giáo dục / Đào tạo</t>
        </is>
      </c>
      <c r="K692" s="10" t="inlineStr">
        <is>
          <t>N/A</t>
        </is>
      </c>
      <c r="L692" s="11">
        <f>HYPERLINK("https://careerviet.vn/vi/tim-viec-lam/teacher-intern.35C6CC05.html","Xem chi tiết")</f>
        <v/>
      </c>
      <c r="M692" s="10" t="n"/>
    </row>
    <row r="693">
      <c r="B693" s="7" t="n">
        <v>691</v>
      </c>
      <c r="C693" t="inlineStr">
        <is>
          <t>Nhân viên Thiết kế Sự kiện(Mới)</t>
        </is>
      </c>
      <c r="D693" t="inlineStr">
        <is>
          <t>Bảo mật</t>
        </is>
      </c>
      <c r="E693" t="inlineStr">
        <is>
          <t>Lương:10 Tr - 12 Tr VND</t>
        </is>
      </c>
      <c r="F693" t="inlineStr">
        <is>
          <t>Hà Nội</t>
        </is>
      </c>
      <c r="G693" t="inlineStr">
        <is>
          <t>16-04-2026</t>
        </is>
      </c>
      <c r="H693" t="inlineStr">
        <is>
          <t>16/04/2026</t>
        </is>
      </c>
      <c r="I693" t="inlineStr">
        <is>
          <t>17/03/2026</t>
        </is>
      </c>
      <c r="J693" t="inlineStr">
        <is>
          <t>Mỹ thuật / Nghệ thuật / Thiết kế</t>
        </is>
      </c>
      <c r="K693" t="inlineStr">
        <is>
          <t>1 - 3 Năm</t>
        </is>
      </c>
      <c r="L693" s="8">
        <f>HYPERLINK("https://careerviet.vn/vi/tim-viec-lam/nhan-vien-thiet-ke-su-kien.35C6CC08.html","Xem chi tiết")</f>
        <v/>
      </c>
    </row>
    <row r="694">
      <c r="B694" s="9" t="n">
        <v>692</v>
      </c>
      <c r="C694" s="10" t="inlineStr">
        <is>
          <t>Trưởng Bộ Phận Quản lý đại lý BĐS(Mới)</t>
        </is>
      </c>
      <c r="D694" s="10" t="inlineStr">
        <is>
          <t>Bảo mật</t>
        </is>
      </c>
      <c r="E694" s="10" t="inlineStr">
        <is>
          <t>Lương:Cạnh tranh</t>
        </is>
      </c>
      <c r="F694" s="10" t="inlineStr">
        <is>
          <t>Hà Nội</t>
        </is>
      </c>
      <c r="G694" s="10" t="inlineStr">
        <is>
          <t>16-04-2026</t>
        </is>
      </c>
      <c r="H694" s="10" t="inlineStr">
        <is>
          <t>16/04/2026</t>
        </is>
      </c>
      <c r="I694" s="10" t="inlineStr">
        <is>
          <t>17/03/2026</t>
        </is>
      </c>
      <c r="J694" s="10" t="inlineStr">
        <is>
          <t>Bất động sản</t>
        </is>
      </c>
      <c r="K694" s="10" t="inlineStr">
        <is>
          <t>5 - 7 Năm</t>
        </is>
      </c>
      <c r="L694" s="11">
        <f>HYPERLINK("https://careerviet.vn/vi/tim-viec-lam/truong-bo-phan-quan-ly-dai-ly-bds.35C6CBE7.html","Xem chi tiết")</f>
        <v/>
      </c>
      <c r="M694" s="10" t="n"/>
    </row>
    <row r="695">
      <c r="B695" s="7" t="n">
        <v>693</v>
      </c>
      <c r="C695" t="inlineStr">
        <is>
          <t>Lead Data Engineer(Mới)</t>
        </is>
      </c>
      <c r="D695" t="inlineStr">
        <is>
          <t>Viet Thai International</t>
        </is>
      </c>
      <c r="E695" t="inlineStr">
        <is>
          <t>Lương:Cạnh tranh</t>
        </is>
      </c>
      <c r="F695" t="inlineStr">
        <is>
          <t>Hồ Chí Minh</t>
        </is>
      </c>
      <c r="G695" t="inlineStr">
        <is>
          <t>16-04-2026</t>
        </is>
      </c>
      <c r="H695" t="inlineStr">
        <is>
          <t>16/04/2026</t>
        </is>
      </c>
      <c r="I695" t="inlineStr">
        <is>
          <t>17/03/2026</t>
        </is>
      </c>
      <c r="J695" t="inlineStr">
        <is>
          <t>CNTT - Phần mềm</t>
        </is>
      </c>
      <c r="K695" t="inlineStr">
        <is>
          <t>5 - 7 Năm</t>
        </is>
      </c>
      <c r="L695" s="8">
        <f>HYPERLINK("https://careerviet.vn/vi/tim-viec-lam/lead-data-engineer.35C6CC00.html","Xem chi tiết")</f>
        <v/>
      </c>
    </row>
    <row r="696">
      <c r="B696" s="9" t="n">
        <v>694</v>
      </c>
      <c r="C696" s="10" t="inlineStr">
        <is>
          <t>Trưởng nhóm Tuyển dụng &amp; Đào tạo(Mới)</t>
        </is>
      </c>
      <c r="D696" s="10" t="inlineStr">
        <is>
          <t>CÔNG TY CỔ PHẦN TÂM ĐỨC CẨM PHẢ</t>
        </is>
      </c>
      <c r="E696" s="10" t="inlineStr">
        <is>
          <t>Lương:Cạnh tranh</t>
        </is>
      </c>
      <c r="F696" s="10" t="inlineStr">
        <is>
          <t>Hà Nội</t>
        </is>
      </c>
      <c r="G696" s="10" t="inlineStr">
        <is>
          <t>29-04-2026</t>
        </is>
      </c>
      <c r="H696" s="10" t="inlineStr">
        <is>
          <t>29/04/2026</t>
        </is>
      </c>
      <c r="I696" s="10" t="inlineStr">
        <is>
          <t>17/03/2026</t>
        </is>
      </c>
      <c r="J696" s="10" t="inlineStr">
        <is>
          <t>Nhân sự, Quản lý điều hành, Giáo dục / Đào tạo</t>
        </is>
      </c>
      <c r="K696" s="10" t="inlineStr">
        <is>
          <t>Trên 3 Năm</t>
        </is>
      </c>
      <c r="L696" s="11">
        <f>HYPERLINK("https://careerviet.vn/vi/tim-viec-lam/truong-nhom-tuyen-dung-dao-tao.35C6CBF1.html","Xem chi tiết")</f>
        <v/>
      </c>
      <c r="M696" s="10" t="n"/>
    </row>
    <row r="697">
      <c r="B697" s="7" t="n">
        <v>695</v>
      </c>
      <c r="C697" t="inlineStr">
        <is>
          <t>Nhân viên mua hàng(Mới)</t>
        </is>
      </c>
      <c r="D697" t="inlineStr">
        <is>
          <t>Tập Đoàn Kim Tín</t>
        </is>
      </c>
      <c r="E697" t="inlineStr">
        <is>
          <t>Lương:Cạnh tranh</t>
        </is>
      </c>
      <c r="F697" t="inlineStr">
        <is>
          <t>Hồ Chí Minh</t>
        </is>
      </c>
      <c r="G697" t="inlineStr">
        <is>
          <t>14-04-2026</t>
        </is>
      </c>
      <c r="H697" t="inlineStr">
        <is>
          <t>14/04/2026</t>
        </is>
      </c>
      <c r="I697" t="inlineStr">
        <is>
          <t>17/03/2026</t>
        </is>
      </c>
      <c r="J697" t="inlineStr">
        <is>
          <t>Thu mua / Vật tư</t>
        </is>
      </c>
      <c r="K697" t="inlineStr">
        <is>
          <t>1 - 5 Năm</t>
        </is>
      </c>
      <c r="L697" s="8">
        <f>HYPERLINK("https://careerviet.vn/vi/tim-viec-lam/nhan-vien-mua-hang.35C6CBFB.html","Xem chi tiết")</f>
        <v/>
      </c>
    </row>
    <row r="698">
      <c r="B698" s="9" t="n">
        <v>696</v>
      </c>
      <c r="C698" s="10" t="inlineStr">
        <is>
          <t>Phó Phòng Pháp Chế(Mới)</t>
        </is>
      </c>
      <c r="D698" s="10" t="inlineStr">
        <is>
          <t>CÔNG TY CỔ PHẦN DƯỢC PHẨM FPT LONG CHÂU</t>
        </is>
      </c>
      <c r="E698" s="10" t="inlineStr">
        <is>
          <t>Lương:Cạnh tranh</t>
        </is>
      </c>
      <c r="F698" s="10" t="inlineStr">
        <is>
          <t>Hồ Chí Minh</t>
        </is>
      </c>
      <c r="G698" s="10" t="inlineStr">
        <is>
          <t>16-04-2026</t>
        </is>
      </c>
      <c r="H698" s="10" t="inlineStr">
        <is>
          <t>16/04/2026</t>
        </is>
      </c>
      <c r="I698" s="10" t="inlineStr">
        <is>
          <t>17/03/2026</t>
        </is>
      </c>
      <c r="J698" s="10" t="inlineStr">
        <is>
          <t>Luật / Pháp lý</t>
        </is>
      </c>
      <c r="K698" s="10" t="inlineStr">
        <is>
          <t>3 - 5 Năm</t>
        </is>
      </c>
      <c r="L698" s="11">
        <f>HYPERLINK("https://careerviet.vn/vi/tim-viec-lam/pho-phong-phap-che.35C6CBE4.html","Xem chi tiết")</f>
        <v/>
      </c>
      <c r="M698" s="10" t="n"/>
    </row>
    <row r="699">
      <c r="B699" s="7" t="n">
        <v>697</v>
      </c>
      <c r="C699" t="inlineStr">
        <is>
          <t>Nhân Viên Thiết Kế Cơ Khí(Mới)</t>
        </is>
      </c>
      <c r="D699" t="inlineStr">
        <is>
          <t>CÔNG TY TNHH RORZE ROBOTECH</t>
        </is>
      </c>
      <c r="E699" t="inlineStr">
        <is>
          <t>Lương:Cạnh tranh</t>
        </is>
      </c>
      <c r="F699" t="inlineStr">
        <is>
          <t>Hải Phòng</t>
        </is>
      </c>
      <c r="G699" t="inlineStr">
        <is>
          <t>16-04-2026</t>
        </is>
      </c>
      <c r="H699" t="inlineStr">
        <is>
          <t>16/04/2026</t>
        </is>
      </c>
      <c r="I699" t="inlineStr">
        <is>
          <t>17/03/2026</t>
        </is>
      </c>
      <c r="J699" t="inlineStr">
        <is>
          <t>Cơ khí / Ô tô / Tự động hóa, Điện / Điện tử / Điện lạnh / Điện công nghiệp, Bảo trì / Sửa chữa</t>
        </is>
      </c>
      <c r="K699" t="inlineStr">
        <is>
          <t>N/A</t>
        </is>
      </c>
      <c r="L699" s="8">
        <f>HYPERLINK("https://careerviet.vn/vi/tim-viec-lam/nhan-vien-thiet-ke-co-khi.35C6CBA2.html","Xem chi tiết")</f>
        <v/>
      </c>
    </row>
    <row r="700">
      <c r="B700" s="9" t="n">
        <v>698</v>
      </c>
      <c r="C700" s="10" t="inlineStr">
        <is>
          <t>Cửa Hàng Trưởng nhà thuốc</t>
        </is>
      </c>
      <c r="D700" s="10" t="inlineStr">
        <is>
          <t>Medigo Software</t>
        </is>
      </c>
      <c r="E700" s="10" t="inlineStr">
        <is>
          <t>Lương:12 Tr - 20 Tr VND</t>
        </is>
      </c>
      <c r="F700" s="10" t="inlineStr">
        <is>
          <t>Hồ Chí Minh</t>
        </is>
      </c>
      <c r="G700" s="10" t="inlineStr">
        <is>
          <t>03-04-2026</t>
        </is>
      </c>
      <c r="H700" s="10" t="inlineStr">
        <is>
          <t>03/04/2026</t>
        </is>
      </c>
      <c r="I700" s="10" t="inlineStr">
        <is>
          <t>17/03/2026</t>
        </is>
      </c>
      <c r="J700" s="10" t="inlineStr">
        <is>
          <t>Dược phẩm/ Hóa Mỹ Phẩm, Quản lý điều hành</t>
        </is>
      </c>
      <c r="K700" s="10" t="inlineStr">
        <is>
          <t>2 - 30 Năm</t>
        </is>
      </c>
      <c r="L700" s="11">
        <f>HYPERLINK("https://careerviet.vn/vi/tim-viec-lam/cua-hang-truong-nha-thuoc.35C6A829.html","Xem chi tiết")</f>
        <v/>
      </c>
      <c r="M700" s="10" t="n"/>
    </row>
    <row r="701">
      <c r="B701" s="7" t="n">
        <v>699</v>
      </c>
      <c r="C701" t="inlineStr">
        <is>
          <t>Quản lý vận hành nội bộ(Mới)</t>
        </is>
      </c>
      <c r="D701" t="inlineStr">
        <is>
          <t>Bảo mật</t>
        </is>
      </c>
      <c r="E701" t="inlineStr">
        <is>
          <t>Lương:15 Tr - 20 Tr VND</t>
        </is>
      </c>
      <c r="F701" t="inlineStr">
        <is>
          <t>Khánh Hòa</t>
        </is>
      </c>
      <c r="G701" t="inlineStr">
        <is>
          <t>15-04-2026</t>
        </is>
      </c>
      <c r="H701" t="inlineStr">
        <is>
          <t>15/04/2026</t>
        </is>
      </c>
      <c r="I701" t="inlineStr">
        <is>
          <t>17/03/2026</t>
        </is>
      </c>
      <c r="J701" t="inlineStr">
        <is>
          <t>Quản lý điều hành, Nhà hàng / Khách sạn, Du lịch</t>
        </is>
      </c>
      <c r="K701" t="inlineStr">
        <is>
          <t>3 - 10 Năm</t>
        </is>
      </c>
      <c r="L701" s="8">
        <f>HYPERLINK("https://careerviet.vn/vi/tim-viec-lam/quan-ly-van-hanh-noi-bo.35C6CBC1.html","Xem chi tiết")</f>
        <v/>
      </c>
    </row>
    <row r="702">
      <c r="B702" s="9" t="n">
        <v>700</v>
      </c>
      <c r="C702" s="10" t="inlineStr">
        <is>
          <t>Nhân viên Thanh quyết toán/Kỹ thuật Nội nghiệp (Cầu/Đường/Thuỷ Lợi)</t>
        </is>
      </c>
      <c r="D702" s="10" t="inlineStr">
        <is>
          <t>CÔNG TY CỔ PHẦN ĐẦU TƯ TÂN ĐẠI LONG</t>
        </is>
      </c>
      <c r="E702" s="10" t="inlineStr">
        <is>
          <t>Lương:15 Tr - 22 Tr VND</t>
        </is>
      </c>
      <c r="F702" s="10" t="inlineStr">
        <is>
          <t>Hà Nội</t>
        </is>
      </c>
      <c r="G702" s="10" t="inlineStr">
        <is>
          <t>15-04-2026</t>
        </is>
      </c>
      <c r="H702" s="10" t="inlineStr">
        <is>
          <t>15/04/2026</t>
        </is>
      </c>
      <c r="I702" s="10" t="inlineStr">
        <is>
          <t>17/03/2026</t>
        </is>
      </c>
      <c r="J702" s="10" t="inlineStr">
        <is>
          <t>Xây dựng, Thủy lợi, Trắc địa / Địa Chất</t>
        </is>
      </c>
      <c r="K702" s="10" t="inlineStr">
        <is>
          <t>Trên 2 Năm</t>
        </is>
      </c>
      <c r="L702" s="11">
        <f>HYPERLINK("https://careerviet.vn/vi/tim-viec-lam/nhan-vien-thanh-quyet-toan-ky-thuat-noi-nghiep-cau-duong-thuy-loi.35C6A80E.html","Xem chi tiết")</f>
        <v/>
      </c>
      <c r="M702" s="10" t="n"/>
    </row>
    <row r="703">
      <c r="B703" s="7" t="n">
        <v>701</v>
      </c>
      <c r="C703" t="inlineStr">
        <is>
          <t>Chuyên viên Thiết kế Concept</t>
        </is>
      </c>
      <c r="D703" t="inlineStr">
        <is>
          <t>CÔNG TY TNHH KIẾN TRÚC - NỘI THẤT NAM ANH</t>
        </is>
      </c>
      <c r="E703" t="inlineStr">
        <is>
          <t>Lương:17 Tr - 21 Tr VND</t>
        </is>
      </c>
      <c r="F703" t="inlineStr">
        <is>
          <t>Hà Nội</t>
        </is>
      </c>
      <c r="G703" t="inlineStr">
        <is>
          <t>04-04-2026</t>
        </is>
      </c>
      <c r="H703" t="inlineStr">
        <is>
          <t>04/04/2026</t>
        </is>
      </c>
      <c r="I703" t="inlineStr">
        <is>
          <t>17/03/2026</t>
        </is>
      </c>
      <c r="J703" t="inlineStr">
        <is>
          <t>Mỹ thuật / Nghệ thuật / Thiết kế, Kiến trúc, Nội ngoại thất</t>
        </is>
      </c>
      <c r="K703" t="inlineStr">
        <is>
          <t>3 - 5 Năm</t>
        </is>
      </c>
      <c r="L703" s="8">
        <f>HYPERLINK("https://careerviet.vn/vi/tim-viec-lam/chuyen-vien-thiet-ke-concept.35C6A782.html","Xem chi tiết")</f>
        <v/>
      </c>
    </row>
    <row r="704">
      <c r="B704" s="9" t="n">
        <v>702</v>
      </c>
      <c r="C704" s="10" t="inlineStr">
        <is>
          <t>CVCC Kiểm soát Hợp đồng mua và Thanh toán - HO - 4H102</t>
        </is>
      </c>
      <c r="D704" s="10" t="inlineStr">
        <is>
          <t>Tập đoàn ROX (ROX Group)</t>
        </is>
      </c>
      <c r="E704" s="10" t="inlineStr">
        <is>
          <t>Lương:Cạnh tranh</t>
        </is>
      </c>
      <c r="F704" s="10" t="inlineStr">
        <is>
          <t>Hà Nội</t>
        </is>
      </c>
      <c r="G704" s="10" t="inlineStr">
        <is>
          <t>02-04-2026</t>
        </is>
      </c>
      <c r="H704" s="10" t="inlineStr">
        <is>
          <t>02/04/2026</t>
        </is>
      </c>
      <c r="I704" s="10" t="inlineStr">
        <is>
          <t>17/03/2026</t>
        </is>
      </c>
      <c r="J704" s="10" t="inlineStr">
        <is>
          <t>Kế toán / Kiểm toán</t>
        </is>
      </c>
      <c r="K704" s="10" t="inlineStr">
        <is>
          <t>Trên 4 Năm</t>
        </is>
      </c>
      <c r="L704" s="11">
        <f>HYPERLINK("https://careerviet.vn/vi/tim-viec-lam/cvcc-kiem-soat-hop-dong-mua-va-thanh-toan-ho-4h102.35C6A7AC.html","Xem chi tiết")</f>
        <v/>
      </c>
      <c r="M704" s="10" t="n"/>
    </row>
    <row r="705">
      <c r="B705" s="7" t="n">
        <v>703</v>
      </c>
      <c r="C705" t="inlineStr">
        <is>
          <t>Nhân viên Tư vấn Tuyển sinh - KV TP Sóc Trăng cũ (7-8tr)</t>
        </is>
      </c>
      <c r="D705" t="inlineStr">
        <is>
          <t>Hệ thống Trung tâm Ngoại ngữ Cambridge</t>
        </is>
      </c>
      <c r="E705" t="inlineStr">
        <is>
          <t>Lương:7 Tr - 8 Tr VND</t>
        </is>
      </c>
      <c r="F705" t="inlineStr">
        <is>
          <t>Sóc Trăng</t>
        </is>
      </c>
      <c r="G705" t="inlineStr">
        <is>
          <t>31-03-2026</t>
        </is>
      </c>
      <c r="H705" t="inlineStr">
        <is>
          <t>31/03/2026</t>
        </is>
      </c>
      <c r="I705" t="inlineStr">
        <is>
          <t>17/03/2026</t>
        </is>
      </c>
      <c r="J705" t="inlineStr">
        <is>
          <t>Tiếp thị / Marketing, Bán lẻ / Bán sỉ, Bán hàng / Kinh doanh</t>
        </is>
      </c>
      <c r="K705" t="inlineStr">
        <is>
          <t>1 - 2 Năm</t>
        </is>
      </c>
      <c r="L705" s="8">
        <f>HYPERLINK("https://careerviet.vn/vi/tim-viec-lam/nhan-vien-tu-van-tuyen-sinh-kv-tp-soc-trang-cu-7-8tr.35C6A72C.html","Xem chi tiết")</f>
        <v/>
      </c>
    </row>
    <row r="706">
      <c r="B706" s="9" t="n">
        <v>704</v>
      </c>
      <c r="C706" s="10" t="inlineStr">
        <is>
          <t>Nhân viên hạch giá ( nhà máy 1 )</t>
        </is>
      </c>
      <c r="D706" s="10" t="inlineStr">
        <is>
          <t>Công ty TNHH Midea Consumer Electric Vietnam</t>
        </is>
      </c>
      <c r="E706" s="10" t="inlineStr">
        <is>
          <t>Lương:Cạnh tranh</t>
        </is>
      </c>
      <c r="F706" s="10" t="inlineStr">
        <is>
          <t>Bình Dương</t>
        </is>
      </c>
      <c r="G706" s="10" t="inlineStr">
        <is>
          <t>16-03-2026</t>
        </is>
      </c>
      <c r="H706" s="10" t="inlineStr">
        <is>
          <t>03/03/2026</t>
        </is>
      </c>
      <c r="I706" s="10" t="inlineStr">
        <is>
          <t>17/03/2026</t>
        </is>
      </c>
      <c r="J706" s="10" t="inlineStr">
        <is>
          <t>Thu mua / Vật tư</t>
        </is>
      </c>
      <c r="K706" s="10" t="inlineStr">
        <is>
          <t>N/A</t>
        </is>
      </c>
      <c r="L706" s="11">
        <f>HYPERLINK("https://careerviet.vn/vi/tim-viec-lam/nhan-vien-hach-gia-nha-may-1.35C6A729.html","Xem chi tiết")</f>
        <v/>
      </c>
      <c r="M706" s="10" t="n"/>
    </row>
    <row r="707">
      <c r="B707" s="7" t="n">
        <v>705</v>
      </c>
      <c r="C707" t="inlineStr">
        <is>
          <t>NHÂN VIÊN ĐIỀU HÀNH TOUR INBOUND</t>
        </is>
      </c>
      <c r="D707" t="inlineStr">
        <is>
          <t>Vietnam Tourist</t>
        </is>
      </c>
      <c r="E707" t="inlineStr">
        <is>
          <t>Lương:10 Tr - 20 Tr VND</t>
        </is>
      </c>
      <c r="F707" t="inlineStr">
        <is>
          <t>Hà Nội</t>
        </is>
      </c>
      <c r="G707" t="inlineStr">
        <is>
          <t>02-04-2026</t>
        </is>
      </c>
      <c r="H707" t="inlineStr">
        <is>
          <t>02/04/2026</t>
        </is>
      </c>
      <c r="I707" t="inlineStr">
        <is>
          <t>17/03/2026</t>
        </is>
      </c>
      <c r="J707" t="inlineStr">
        <is>
          <t>Du lịch, Dịch vụ khách hàng, Hành chính / Thư ký</t>
        </is>
      </c>
      <c r="K707" t="inlineStr">
        <is>
          <t>Trên 1 Năm</t>
        </is>
      </c>
      <c r="L707" s="8">
        <f>HYPERLINK("https://careerviet.vn/vi/tim-viec-lam/nhan-vien-dieu-hanh-tour-inbound.35C6AAAE.html","Xem chi tiết")</f>
        <v/>
      </c>
    </row>
    <row r="708">
      <c r="B708" s="9" t="n">
        <v>706</v>
      </c>
      <c r="C708" s="10" t="inlineStr">
        <is>
          <t>Nhân viên kinh doanh</t>
        </is>
      </c>
      <c r="D708" s="10" t="inlineStr">
        <is>
          <t>CÔNG TY TNHH Y NHA KHOA 3D</t>
        </is>
      </c>
      <c r="E708" s="10" t="inlineStr">
        <is>
          <t>Lương:15 Tr - 25 Tr VND</t>
        </is>
      </c>
      <c r="F708" s="10" t="inlineStr">
        <is>
          <t>Hà Nội</t>
        </is>
      </c>
      <c r="G708" s="10" t="inlineStr">
        <is>
          <t>31-03-2026</t>
        </is>
      </c>
      <c r="H708" s="10" t="inlineStr">
        <is>
          <t>31/03/2026</t>
        </is>
      </c>
      <c r="I708" s="10" t="inlineStr">
        <is>
          <t>17/03/2026</t>
        </is>
      </c>
      <c r="J708" s="10" t="inlineStr">
        <is>
          <t>Bán hàng / Kinh doanh</t>
        </is>
      </c>
      <c r="K708" s="10" t="inlineStr">
        <is>
          <t>1 - 5 Năm</t>
        </is>
      </c>
      <c r="L708" s="11">
        <f>HYPERLINK("https://careerviet.vn/vi/tim-viec-lam/nhan-vien-kinh-doanh.35C6A788.html","Xem chi tiết")</f>
        <v/>
      </c>
      <c r="M708" s="10" t="n"/>
    </row>
    <row r="709">
      <c r="B709" s="7" t="n">
        <v>707</v>
      </c>
      <c r="C709" t="inlineStr">
        <is>
          <t>Chuyên Viên Facebook Ads (Performance Marketing)</t>
        </is>
      </c>
      <c r="D709" t="inlineStr">
        <is>
          <t>Đồng Hồ Hải Triều</t>
        </is>
      </c>
      <c r="E709" t="inlineStr">
        <is>
          <t>Lương:12 Tr - 15 Tr VND</t>
        </is>
      </c>
      <c r="F709" t="inlineStr">
        <is>
          <t>Hồ Chí Minh</t>
        </is>
      </c>
      <c r="G709" t="inlineStr">
        <is>
          <t>03-04-2026</t>
        </is>
      </c>
      <c r="H709" t="inlineStr">
        <is>
          <t>03/04/2026</t>
        </is>
      </c>
      <c r="I709" t="inlineStr">
        <is>
          <t>17/03/2026</t>
        </is>
      </c>
      <c r="J709" t="inlineStr">
        <is>
          <t>Tiếp thị / Marketing, Tiếp thị trực tuyến, Quảng cáo / Đối ngoại / Truyền Thông</t>
        </is>
      </c>
      <c r="K709" t="inlineStr">
        <is>
          <t>3 - 5 Năm</t>
        </is>
      </c>
      <c r="L709" s="8">
        <f>HYPERLINK("https://careerviet.vn/vi/tim-viec-lam/chuyen-vien-facebook-ads-performance-marketing.35C6AAFF.html","Xem chi tiết")</f>
        <v/>
      </c>
    </row>
    <row r="710">
      <c r="B710" s="9" t="n">
        <v>708</v>
      </c>
      <c r="C710" s="10" t="inlineStr">
        <is>
          <t>GENERAL ACCOUNTING EXECUTIVE</t>
        </is>
      </c>
      <c r="D710" s="10" t="inlineStr">
        <is>
          <t>Công Ty TNHH Lon nước giải khát TBC-Ball Việt Nam</t>
        </is>
      </c>
      <c r="E710" s="10" t="inlineStr">
        <is>
          <t>Lương:Cạnh tranh</t>
        </is>
      </c>
      <c r="F710" s="10" t="inlineStr">
        <is>
          <t>Bình Dương</t>
        </is>
      </c>
      <c r="G710" s="10" t="inlineStr">
        <is>
          <t>31-03-2026</t>
        </is>
      </c>
      <c r="H710" s="10" t="inlineStr">
        <is>
          <t>31/03/2026</t>
        </is>
      </c>
      <c r="I710" s="10" t="inlineStr">
        <is>
          <t>17/03/2026</t>
        </is>
      </c>
      <c r="J710" s="10" t="inlineStr">
        <is>
          <t>Kế toán / Kiểm toán</t>
        </is>
      </c>
      <c r="K710" s="10" t="inlineStr">
        <is>
          <t>5 - 10 Năm</t>
        </is>
      </c>
      <c r="L710" s="11">
        <f>HYPERLINK("https://careerviet.vn/vi/tim-viec-lam/general-accounting-executive.35C6A870.html","Xem chi tiết")</f>
        <v/>
      </c>
      <c r="M710" s="10" t="n"/>
    </row>
    <row r="711">
      <c r="B711" s="7" t="n">
        <v>709</v>
      </c>
      <c r="C711" t="inlineStr">
        <is>
          <t>Sales Operation Leader</t>
        </is>
      </c>
      <c r="D711" t="inlineStr">
        <is>
          <t>CÔNG TY TNHH THEBLUETSHIRT</t>
        </is>
      </c>
      <c r="E711" t="inlineStr">
        <is>
          <t>Lương:14 Tr - 18 Tr VND</t>
        </is>
      </c>
      <c r="F711" t="inlineStr">
        <is>
          <t>Hồ Chí Minh</t>
        </is>
      </c>
      <c r="G711" t="inlineStr">
        <is>
          <t>02-04-2026</t>
        </is>
      </c>
      <c r="H711" t="inlineStr">
        <is>
          <t>02/04/2026</t>
        </is>
      </c>
      <c r="I711" t="inlineStr">
        <is>
          <t>17/03/2026</t>
        </is>
      </c>
      <c r="J711" t="inlineStr">
        <is>
          <t>Bán hàng / Kinh doanh, Quản lý điều hành, Tiếp thị trực tuyến</t>
        </is>
      </c>
      <c r="K711" t="inlineStr">
        <is>
          <t>3 - 5 Năm</t>
        </is>
      </c>
      <c r="L711" s="8">
        <f>HYPERLINK("https://careerviet.vn/vi/tim-viec-lam/sales-operation-leader.35C6A074.html","Xem chi tiết")</f>
        <v/>
      </c>
    </row>
    <row r="712">
      <c r="B712" s="9" t="n">
        <v>710</v>
      </c>
      <c r="C712" s="10" t="inlineStr">
        <is>
          <t>Nhân viên kế toán(Mới)</t>
        </is>
      </c>
      <c r="D712" s="10" t="inlineStr">
        <is>
          <t>CÔNG TY CỔ PHẦN TÂM ĐỨC CẨM PHẢ</t>
        </is>
      </c>
      <c r="E712" s="10" t="inlineStr">
        <is>
          <t>Lương:Trên 10 Tr VND</t>
        </is>
      </c>
      <c r="F712" s="10" t="inlineStr">
        <is>
          <t>Hà Nội</t>
        </is>
      </c>
      <c r="G712" s="10" t="inlineStr">
        <is>
          <t>23-04-2026</t>
        </is>
      </c>
      <c r="H712" s="10" t="inlineStr">
        <is>
          <t>23/04/2026</t>
        </is>
      </c>
      <c r="I712" s="10" t="inlineStr">
        <is>
          <t>17/03/2026</t>
        </is>
      </c>
      <c r="J712" s="10" t="inlineStr">
        <is>
          <t>Kế toán / Kiểm toán, Tài chính / Đầu tư, Thực phẩm &amp; Đồ uống</t>
        </is>
      </c>
      <c r="K712" s="10" t="inlineStr">
        <is>
          <t>Trên 2 Năm</t>
        </is>
      </c>
      <c r="L712" s="11">
        <f>HYPERLINK("https://careerviet.vn/vi/tim-viec-lam/nhan-vien-ke-toan.35C6CBE2.html","Xem chi tiết")</f>
        <v/>
      </c>
      <c r="M712" s="10" t="n"/>
    </row>
    <row r="713">
      <c r="B713" s="7" t="n">
        <v>711</v>
      </c>
      <c r="C713" t="inlineStr">
        <is>
          <t>128380 - Sales Staff - Construction</t>
        </is>
      </c>
      <c r="D713" t="inlineStr">
        <is>
          <t>RGF HR Agent Vietnam Co., LTD</t>
        </is>
      </c>
      <c r="E713" t="inlineStr">
        <is>
          <t>Lương:23 Tr - 26 Tr VND</t>
        </is>
      </c>
      <c r="F713" t="inlineStr">
        <is>
          <t>Hà Nội</t>
        </is>
      </c>
      <c r="G713" t="inlineStr">
        <is>
          <t>03-04-2026</t>
        </is>
      </c>
      <c r="H713" t="inlineStr">
        <is>
          <t>03/04/2026</t>
        </is>
      </c>
      <c r="I713" t="inlineStr">
        <is>
          <t>17/03/2026</t>
        </is>
      </c>
      <c r="J713" t="inlineStr">
        <is>
          <t>Bán hàng / Kinh doanh, Xây dựng</t>
        </is>
      </c>
      <c r="K713" t="inlineStr">
        <is>
          <t>3 - 5 Năm</t>
        </is>
      </c>
      <c r="L713" s="8">
        <f>HYPERLINK("https://careerviet.vn/vi/tim-viec-lam/128380-sales-staff-construction.35C6AAF3.html","Xem chi tiết")</f>
        <v/>
      </c>
    </row>
    <row r="714">
      <c r="B714" s="9" t="n">
        <v>712</v>
      </c>
      <c r="C714" s="10" t="inlineStr">
        <is>
          <t>KỸ SƯ KINH TẾ XÂY DỰNG HÀ NỘI</t>
        </is>
      </c>
      <c r="D714" s="10" t="inlineStr">
        <is>
          <t>Hoàng Huy Group</t>
        </is>
      </c>
      <c r="E714" s="10" t="inlineStr">
        <is>
          <t>Lương:15 Tr - 22 Tr VND</t>
        </is>
      </c>
      <c r="F714" s="10" t="inlineStr">
        <is>
          <t>Hà Nội</t>
        </is>
      </c>
      <c r="G714" s="10" t="inlineStr">
        <is>
          <t>4</t>
        </is>
      </c>
      <c r="H714" s="10" t="inlineStr">
        <is>
          <t>21/03/2026</t>
        </is>
      </c>
      <c r="I714" s="10" t="inlineStr">
        <is>
          <t>17/03/2026</t>
        </is>
      </c>
      <c r="J714" s="10" t="inlineStr">
        <is>
          <t>Kiến trúc, Xây dựng, Bất động sản</t>
        </is>
      </c>
      <c r="K714" s="10" t="inlineStr">
        <is>
          <t>1 - 2 Năm</t>
        </is>
      </c>
      <c r="L714" s="11">
        <f>HYPERLINK("https://careerviet.vn/vi/tim-viec-lam/ky-su-kinh-te-xay-dung-ha-noi.35C6A9DE.html","Xem chi tiết")</f>
        <v/>
      </c>
      <c r="M714" s="10" t="n"/>
    </row>
    <row r="715">
      <c r="B715" s="7" t="n">
        <v>713</v>
      </c>
      <c r="C715" t="inlineStr">
        <is>
          <t>Sales Leader B2B có Tiếng Nhật 25969 - Thanh Xuân, HN</t>
        </is>
      </c>
      <c r="D715" t="inlineStr">
        <is>
          <t>Công Ty TNHH Reeracoen Việt Nam</t>
        </is>
      </c>
      <c r="E715" t="inlineStr">
        <is>
          <t>Lương:30 Tr - 32 Tr VND</t>
        </is>
      </c>
      <c r="F715" t="inlineStr">
        <is>
          <t>Hà Nội</t>
        </is>
      </c>
      <c r="G715" t="inlineStr">
        <is>
          <t>03-04-2026</t>
        </is>
      </c>
      <c r="H715" t="inlineStr">
        <is>
          <t>03/04/2026</t>
        </is>
      </c>
      <c r="I715" t="inlineStr">
        <is>
          <t>17/03/2026</t>
        </is>
      </c>
      <c r="J715" t="inlineStr">
        <is>
          <t>Bán hàng / Kinh doanh, Bán lẻ / Bán sỉ, Bán Hàng Kỹ Thuật</t>
        </is>
      </c>
      <c r="K715" t="inlineStr">
        <is>
          <t>Trên 5 Năm</t>
        </is>
      </c>
      <c r="L715" s="8">
        <f>HYPERLINK("https://careerviet.vn/vi/tim-viec-lam/sales-leader-b2b-co-tieng-nhat-25969-thanh-xuan-hn.35C6AAB0.html","Xem chi tiết")</f>
        <v/>
      </c>
    </row>
    <row r="716">
      <c r="B716" s="9" t="n">
        <v>714</v>
      </c>
      <c r="C716" s="10" t="inlineStr">
        <is>
          <t>Kỹ Sư Thiết Kế Đóng Gói Sản Phẩm(Mới)</t>
        </is>
      </c>
      <c r="D716" s="10" t="inlineStr">
        <is>
          <t>CÔNG TY TNHH RORZE ROBOTECH</t>
        </is>
      </c>
      <c r="E716" s="10" t="inlineStr">
        <is>
          <t>Lương:Cạnh tranh</t>
        </is>
      </c>
      <c r="F716" s="10" t="inlineStr">
        <is>
          <t>Hải Phòng</t>
        </is>
      </c>
      <c r="G716" s="10" t="inlineStr">
        <is>
          <t>16-04-2026</t>
        </is>
      </c>
      <c r="H716" s="10" t="inlineStr">
        <is>
          <t>16/04/2026</t>
        </is>
      </c>
      <c r="I716" s="10" t="inlineStr">
        <is>
          <t>17/03/2026</t>
        </is>
      </c>
      <c r="J716" s="10" t="inlineStr">
        <is>
          <t>Mỹ thuật / Nghệ thuật / Thiết kế, Cơ khí / Ô tô / Tự động hóa, Bảo trì / Sửa chữa</t>
        </is>
      </c>
      <c r="K716" s="10" t="inlineStr">
        <is>
          <t>Trên 2 Năm</t>
        </is>
      </c>
      <c r="L716" s="11">
        <f>HYPERLINK("https://careerviet.vn/vi/tim-viec-lam/ky-su-thiet-ke-dong-goi-san-pham.35C6CB9F.html","Xem chi tiết")</f>
        <v/>
      </c>
      <c r="M716" s="10" t="n"/>
    </row>
    <row r="717">
      <c r="B717" s="7" t="n">
        <v>715</v>
      </c>
      <c r="C717" t="inlineStr">
        <is>
          <t>NHÂN VIÊN KỸ THUẬT BẢO TRÌ</t>
        </is>
      </c>
      <c r="D717" t="inlineStr">
        <is>
          <t>CÔNG TY CP TẬP ĐOÀN ĐẦU TƯ HOÀNG GIA VIỆT NAM</t>
        </is>
      </c>
      <c r="E717" t="inlineStr">
        <is>
          <t>Lương:Cạnh tranh</t>
        </is>
      </c>
      <c r="F717" t="inlineStr">
        <is>
          <t>Hồ Chí Minh</t>
        </is>
      </c>
      <c r="G717" t="inlineStr">
        <is>
          <t>31-03-2026</t>
        </is>
      </c>
      <c r="H717" t="inlineStr">
        <is>
          <t>31/03/2026</t>
        </is>
      </c>
      <c r="I717" t="inlineStr">
        <is>
          <t>17/03/2026</t>
        </is>
      </c>
      <c r="J717" t="inlineStr">
        <is>
          <t>Điện / Điện tử / Điện lạnh / Điện công nghiệp, Bảo trì / Sửa chữa</t>
        </is>
      </c>
      <c r="K717" t="inlineStr">
        <is>
          <t>2 - 3 Năm</t>
        </is>
      </c>
      <c r="L717" s="8">
        <f>HYPERLINK("https://careerviet.vn/vi/tim-viec-lam/nhan-vien-ky-thuat-bao-tri.35C6A904.html","Xem chi tiết")</f>
        <v/>
      </c>
    </row>
    <row r="718">
      <c r="B718" s="9" t="n">
        <v>716</v>
      </c>
      <c r="C718" s="10" t="inlineStr">
        <is>
          <t>Senior Application Engineer cum Site Engineer</t>
        </is>
      </c>
      <c r="D718" s="10" t="inlineStr">
        <is>
          <t>Toan Thang Engineering Corporation</t>
        </is>
      </c>
      <c r="E718" s="10" t="inlineStr">
        <is>
          <t>Lương:15 Tr - 36 Tr VND</t>
        </is>
      </c>
      <c r="F718" s="10" t="inlineStr">
        <is>
          <t>Hà NộiHồ Chí Minh</t>
        </is>
      </c>
      <c r="G718" s="10" t="inlineStr">
        <is>
          <t>02-04-2026</t>
        </is>
      </c>
      <c r="H718" s="10" t="inlineStr">
        <is>
          <t>02/04/2026</t>
        </is>
      </c>
      <c r="I718" s="10" t="inlineStr">
        <is>
          <t>17/03/2026</t>
        </is>
      </c>
      <c r="J718" s="10" t="inlineStr">
        <is>
          <t>Cơ khí / Ô tô / Tự động hóa, Dầu khí, Điện / Điện tử / Điện lạnh / Điện công nghiệp</t>
        </is>
      </c>
      <c r="K718" s="10" t="inlineStr">
        <is>
          <t>3 - 5 Năm</t>
        </is>
      </c>
      <c r="L718" s="11">
        <f>HYPERLINK("https://careerviet.vn/vi/tim-viec-lam/senior-application-engineer-cum-site-engineer.35C6A929.html","Xem chi tiết")</f>
        <v/>
      </c>
      <c r="M718" s="10" t="n"/>
    </row>
    <row r="719">
      <c r="B719" s="7" t="n">
        <v>717</v>
      </c>
      <c r="C719" t="inlineStr">
        <is>
          <t>Nhân Viên Kinh Doanh Dự Án</t>
        </is>
      </c>
      <c r="D719" t="inlineStr">
        <is>
          <t>Viet Han Concrete JSC.,</t>
        </is>
      </c>
      <c r="E719" t="inlineStr">
        <is>
          <t>Lương:Cạnh tranh</t>
        </is>
      </c>
      <c r="F719" t="inlineStr">
        <is>
          <t>Hồ Chí MinhLong AnĐồng Nai</t>
        </is>
      </c>
      <c r="G719" t="inlineStr">
        <is>
          <t>03-04-2026</t>
        </is>
      </c>
      <c r="H719" t="inlineStr">
        <is>
          <t>03/04/2026</t>
        </is>
      </c>
      <c r="I719" t="inlineStr">
        <is>
          <t>17/03/2026</t>
        </is>
      </c>
      <c r="J719" t="inlineStr">
        <is>
          <t>Bán hàng / Kinh doanh, Xây dựng</t>
        </is>
      </c>
      <c r="K719" t="inlineStr">
        <is>
          <t>1 - 2 Năm</t>
        </is>
      </c>
      <c r="L719" s="8">
        <f>HYPERLINK("https://careerviet.vn/vi/tim-viec-lam/nhan-vien-kinh-doanh-du-an.35C6AA8E.html","Xem chi tiết")</f>
        <v/>
      </c>
    </row>
    <row r="720">
      <c r="B720" s="9" t="n">
        <v>718</v>
      </c>
      <c r="C720" s="10" t="inlineStr">
        <is>
          <t>AR accountant (8 months contract)</t>
        </is>
      </c>
      <c r="D720" s="10" t="inlineStr">
        <is>
          <t>Hi - Tech Wires Asia Co., Ltd</t>
        </is>
      </c>
      <c r="E720" s="10" t="inlineStr">
        <is>
          <t>Lương:Cạnh tranh</t>
        </is>
      </c>
      <c r="F720" s="10" t="inlineStr">
        <is>
          <t>Bình Dương</t>
        </is>
      </c>
      <c r="G720" s="10" t="inlineStr">
        <is>
          <t>03-04-2026</t>
        </is>
      </c>
      <c r="H720" s="10" t="inlineStr">
        <is>
          <t>03/04/2026</t>
        </is>
      </c>
      <c r="I720" s="10" t="inlineStr">
        <is>
          <t>17/03/2026</t>
        </is>
      </c>
      <c r="J720" s="10" t="inlineStr">
        <is>
          <t>Kế toán / Kiểm toán, Tài chính / Đầu tư, Sản xuất / Vận hành sản xuất</t>
        </is>
      </c>
      <c r="K720" s="10" t="inlineStr">
        <is>
          <t>1 - 3 Năm</t>
        </is>
      </c>
      <c r="L720" s="11">
        <f>HYPERLINK("https://careerviet.vn/vi/tim-viec-lam/ar-accountant-8-months-contract.35C6A68A.html","Xem chi tiết")</f>
        <v/>
      </c>
      <c r="M720" s="10" t="n"/>
    </row>
    <row r="721">
      <c r="B721" s="7" t="n">
        <v>719</v>
      </c>
      <c r="C721" t="inlineStr">
        <is>
          <t>Chuyên viên đấu thầu Cơ điện (CĐT)</t>
        </is>
      </c>
      <c r="D721" t="inlineStr">
        <is>
          <t>CÔNG TY CỔ PHẦN EUROWINDOW HOLDING</t>
        </is>
      </c>
      <c r="E721" t="inlineStr">
        <is>
          <t>Lương:Cạnh tranh</t>
        </is>
      </c>
      <c r="F721" t="inlineStr">
        <is>
          <t>Hà Nội</t>
        </is>
      </c>
      <c r="G721" t="inlineStr">
        <is>
          <t>31-03-2026</t>
        </is>
      </c>
      <c r="H721" t="inlineStr">
        <is>
          <t>31/03/2026</t>
        </is>
      </c>
      <c r="I721" t="inlineStr">
        <is>
          <t>17/03/2026</t>
        </is>
      </c>
      <c r="J721" t="inlineStr">
        <is>
          <t>Điện / Điện tử / Điện lạnh / Điện công nghiệp, Thương mại điện tử, Xây dựng</t>
        </is>
      </c>
      <c r="K721" t="inlineStr">
        <is>
          <t>2 - 5 Năm</t>
        </is>
      </c>
      <c r="L721" s="8">
        <f>HYPERLINK("https://careerviet.vn/vi/tim-viec-lam/chuyen-vien-dau-thau-co-dien-cdt.35C6AAF8.html","Xem chi tiết")</f>
        <v/>
      </c>
    </row>
    <row r="722">
      <c r="B722" s="9" t="n">
        <v>720</v>
      </c>
      <c r="C722" s="10" t="inlineStr">
        <is>
          <t>Nhân Viên Kinh Doanh Khách Hàng Doanh Nghiệp</t>
        </is>
      </c>
      <c r="D722" s="10" t="inlineStr">
        <is>
          <t>Công ty TNHH MTV Sen Vàng Việt Nam</t>
        </is>
      </c>
      <c r="E722" s="10" t="inlineStr">
        <is>
          <t>Lương:12 Tr - 20 Tr VND</t>
        </is>
      </c>
      <c r="F722" s="10" t="inlineStr">
        <is>
          <t>Hồ Chí Minh</t>
        </is>
      </c>
      <c r="G722" s="10" t="inlineStr">
        <is>
          <t>31-03-2026</t>
        </is>
      </c>
      <c r="H722" s="10" t="inlineStr">
        <is>
          <t>31/03/2026</t>
        </is>
      </c>
      <c r="I722" s="10" t="inlineStr">
        <is>
          <t>17/03/2026</t>
        </is>
      </c>
      <c r="J722" s="10" t="inlineStr">
        <is>
          <t>Bán hàng / Kinh doanh</t>
        </is>
      </c>
      <c r="K722" s="10" t="inlineStr">
        <is>
          <t>1 - 3 Năm</t>
        </is>
      </c>
      <c r="L722" s="11">
        <f>HYPERLINK("https://careerviet.vn/vi/tim-viec-lam/nhan-vien-kinh-doanh-khach-hang-doanh-nghiep.35C6A81B.html","Xem chi tiết")</f>
        <v/>
      </c>
      <c r="M722" s="10" t="n"/>
    </row>
    <row r="723">
      <c r="B723" s="7" t="n">
        <v>721</v>
      </c>
      <c r="C723" t="inlineStr">
        <is>
          <t>Chuyên Viên Kinh Doanh</t>
        </is>
      </c>
      <c r="D723" t="inlineStr">
        <is>
          <t>Công ty TNHH Bất động sản Phú Hoàng Land</t>
        </is>
      </c>
      <c r="E723" t="inlineStr">
        <is>
          <t>Lương:Cạnh tranh</t>
        </is>
      </c>
      <c r="F723" t="inlineStr">
        <is>
          <t>Hồ Chí Minh</t>
        </is>
      </c>
      <c r="G723" t="inlineStr">
        <is>
          <t>30-04-2026</t>
        </is>
      </c>
      <c r="H723" t="inlineStr">
        <is>
          <t>30/04/2026</t>
        </is>
      </c>
      <c r="I723" t="inlineStr">
        <is>
          <t>17/03/2026</t>
        </is>
      </c>
      <c r="J723" t="inlineStr">
        <is>
          <t>Bán hàng / Kinh doanh, Bất động sản</t>
        </is>
      </c>
      <c r="K723" t="inlineStr">
        <is>
          <t>N/A</t>
        </is>
      </c>
      <c r="L723" s="8">
        <f>HYPERLINK("https://careerviet.vn/vi/tim-viec-lam/chuyen-vien-kinh-doanh.35C6A981.html","Xem chi tiết")</f>
        <v/>
      </c>
    </row>
    <row r="724">
      <c r="B724" s="9" t="n">
        <v>722</v>
      </c>
      <c r="C724" s="10" t="inlineStr">
        <is>
          <t>128362 - [Ha Noi] Design Assistant Manager - Real Estate</t>
        </is>
      </c>
      <c r="D724" s="10" t="inlineStr">
        <is>
          <t>RGF HR Agent Vietnam Co., LTD</t>
        </is>
      </c>
      <c r="E724" s="10" t="inlineStr">
        <is>
          <t>Lương:Cạnh tranh</t>
        </is>
      </c>
      <c r="F724" s="10" t="inlineStr">
        <is>
          <t>Hà Nội</t>
        </is>
      </c>
      <c r="G724" s="10" t="inlineStr">
        <is>
          <t>04-04-2026</t>
        </is>
      </c>
      <c r="H724" s="10" t="inlineStr">
        <is>
          <t>04/04/2026</t>
        </is>
      </c>
      <c r="I724" s="10" t="inlineStr">
        <is>
          <t>17/03/2026</t>
        </is>
      </c>
      <c r="J724" s="10" t="inlineStr">
        <is>
          <t>Xây dựng, Bất động sản, Mỹ thuật / Nghệ thuật / Thiết kế</t>
        </is>
      </c>
      <c r="K724" s="10" t="inlineStr">
        <is>
          <t>Trên 5 Năm</t>
        </is>
      </c>
      <c r="L724" s="11">
        <f>HYPERLINK("https://careerviet.vn/vi/tim-viec-lam/128362-ha-noi-design-assistant-manager-real-estate.35C6AAF6.html","Xem chi tiết")</f>
        <v/>
      </c>
      <c r="M724" s="10" t="n"/>
    </row>
    <row r="725">
      <c r="B725" s="7" t="n">
        <v>723</v>
      </c>
      <c r="C725" t="inlineStr">
        <is>
          <t>Kỹ sư Thiết kế Năng lượng mặt trời</t>
        </is>
      </c>
      <c r="D725" t="inlineStr">
        <is>
          <t>Tổng Công ty Cổ phần Công trình Viettel</t>
        </is>
      </c>
      <c r="E725" t="inlineStr">
        <is>
          <t>Lương:Cạnh tranh</t>
        </is>
      </c>
      <c r="F725" t="inlineStr">
        <is>
          <t>Hà Nội</t>
        </is>
      </c>
      <c r="G725" t="inlineStr">
        <is>
          <t>02-04-2026</t>
        </is>
      </c>
      <c r="H725" t="inlineStr">
        <is>
          <t>02/04/2026</t>
        </is>
      </c>
      <c r="I725" t="inlineStr">
        <is>
          <t>17/03/2026</t>
        </is>
      </c>
      <c r="J725" t="inlineStr">
        <is>
          <t>Mỹ thuật / Nghệ thuật / Thiết kế, Điện / Điện tử / Điện lạnh / Điện công nghiệp, Bảo trì / Sửa chữa</t>
        </is>
      </c>
      <c r="K725" t="inlineStr">
        <is>
          <t>2 - 3 Năm</t>
        </is>
      </c>
      <c r="L725" s="8">
        <f>HYPERLINK("https://careerviet.vn/vi/tim-viec-lam/ky-su-thiet-ke-nang-luong-mat-troi.35C6A849.html","Xem chi tiết")</f>
        <v/>
      </c>
    </row>
    <row r="726">
      <c r="B726" s="9" t="n">
        <v>724</v>
      </c>
      <c r="C726" s="10" t="inlineStr">
        <is>
          <t>KỸ SƯ THIẾT KẾ HẠ TẦNG KỸ THUẬT</t>
        </is>
      </c>
      <c r="D726" s="10" t="inlineStr">
        <is>
          <t>CÔNG TY CP TẬP ĐOÀN ĐẦU TƯ HOÀNG GIA VIỆT NAM</t>
        </is>
      </c>
      <c r="E726" s="10" t="inlineStr">
        <is>
          <t>Lương:Cạnh tranh</t>
        </is>
      </c>
      <c r="F726" s="10" t="inlineStr">
        <is>
          <t>Hồ Chí Minh</t>
        </is>
      </c>
      <c r="G726" s="10" t="inlineStr">
        <is>
          <t>31-03-2026</t>
        </is>
      </c>
      <c r="H726" s="10" t="inlineStr">
        <is>
          <t>31/03/2026</t>
        </is>
      </c>
      <c r="I726" s="10" t="inlineStr">
        <is>
          <t>17/03/2026</t>
        </is>
      </c>
      <c r="J726" s="10" t="inlineStr">
        <is>
          <t>Kiến trúc, Xây dựng</t>
        </is>
      </c>
      <c r="K726" s="10" t="inlineStr">
        <is>
          <t>Trên 5 Năm</t>
        </is>
      </c>
      <c r="L726" s="11">
        <f>HYPERLINK("https://careerviet.vn/vi/tim-viec-lam/ky-su-thiet-ke-ha-tang-ky-thuat.35C6AA78.html","Xem chi tiết")</f>
        <v/>
      </c>
      <c r="M726" s="10" t="n"/>
    </row>
    <row r="727">
      <c r="B727" s="7" t="n">
        <v>725</v>
      </c>
      <c r="C727" t="inlineStr">
        <is>
          <t>AP accountant (8 months contract)</t>
        </is>
      </c>
      <c r="D727" t="inlineStr">
        <is>
          <t>Hi - Tech Wires Asia Co., Ltd</t>
        </is>
      </c>
      <c r="E727" t="inlineStr">
        <is>
          <t>Lương:Cạnh tranh</t>
        </is>
      </c>
      <c r="F727" t="inlineStr">
        <is>
          <t>Bình Dương</t>
        </is>
      </c>
      <c r="G727" t="inlineStr">
        <is>
          <t>03-04-2026</t>
        </is>
      </c>
      <c r="H727" t="inlineStr">
        <is>
          <t>03/04/2026</t>
        </is>
      </c>
      <c r="I727" t="inlineStr">
        <is>
          <t>17/03/2026</t>
        </is>
      </c>
      <c r="J727" t="inlineStr">
        <is>
          <t>Kế toán / Kiểm toán, Tài chính / Đầu tư, Sản xuất / Vận hành sản xuất</t>
        </is>
      </c>
      <c r="K727" t="inlineStr">
        <is>
          <t>1 - 2 Năm</t>
        </is>
      </c>
      <c r="L727" s="8">
        <f>HYPERLINK("https://careerviet.vn/vi/tim-viec-lam/ap-accountant-8-months-contract.35C6A68C.html","Xem chi tiết")</f>
        <v/>
      </c>
    </row>
    <row r="728">
      <c r="B728" s="9" t="n">
        <v>726</v>
      </c>
      <c r="C728" s="10" t="inlineStr">
        <is>
          <t>Kỹ Sư Điện Công Nghiệp</t>
        </is>
      </c>
      <c r="D728" s="10" t="inlineStr">
        <is>
          <t>CÔNG TY TNHH CAM NINH</t>
        </is>
      </c>
      <c r="E728" s="10" t="inlineStr">
        <is>
          <t>Lương:12 Tr - 18 Tr VND</t>
        </is>
      </c>
      <c r="F728" s="10" t="inlineStr">
        <is>
          <t>Bà Rịa - Vũng Tàu</t>
        </is>
      </c>
      <c r="G728" s="10" t="inlineStr">
        <is>
          <t>02-04-2026</t>
        </is>
      </c>
      <c r="H728" s="10" t="inlineStr">
        <is>
          <t>02/04/2026</t>
        </is>
      </c>
      <c r="I728" s="10" t="inlineStr">
        <is>
          <t>17/03/2026</t>
        </is>
      </c>
      <c r="J728" s="10" t="inlineStr">
        <is>
          <t>Điện / Điện tử / Điện lạnh / Điện công nghiệp, Cơ khí / Ô tô / Tự động hóa, Bảo trì / Sửa chữa</t>
        </is>
      </c>
      <c r="K728" s="10" t="inlineStr">
        <is>
          <t>Trên 2 Năm</t>
        </is>
      </c>
      <c r="L728" s="11">
        <f>HYPERLINK("https://careerviet.vn/vi/tim-viec-lam/ky-su-dien-cong-nghiep.35C6AA81.html","Xem chi tiết")</f>
        <v/>
      </c>
      <c r="M728" s="10" t="n"/>
    </row>
    <row r="729">
      <c r="B729" s="7" t="n">
        <v>727</v>
      </c>
      <c r="C729" t="inlineStr">
        <is>
          <t>Chuyên Viên Thiết kế, Kiến trúc sư</t>
        </is>
      </c>
      <c r="D729" t="inlineStr">
        <is>
          <t>Tổng Công ty Cổ phần Công trình Viettel</t>
        </is>
      </c>
      <c r="E729" t="inlineStr">
        <is>
          <t>Lương:Cạnh tranh</t>
        </is>
      </c>
      <c r="F729" t="inlineStr">
        <is>
          <t>Hà Nội</t>
        </is>
      </c>
      <c r="G729" t="inlineStr">
        <is>
          <t>02-04-2026</t>
        </is>
      </c>
      <c r="H729" t="inlineStr">
        <is>
          <t>02/04/2026</t>
        </is>
      </c>
      <c r="I729" t="inlineStr">
        <is>
          <t>17/03/2026</t>
        </is>
      </c>
      <c r="J729" t="inlineStr">
        <is>
          <t>Kiến trúc, Xây dựng, Mỹ thuật / Nghệ thuật / Thiết kế</t>
        </is>
      </c>
      <c r="K729" t="inlineStr">
        <is>
          <t>3 - 5 Năm</t>
        </is>
      </c>
      <c r="L729" s="8">
        <f>HYPERLINK("https://careerviet.vn/vi/tim-viec-lam/chuyen-vien-thiet-ke-kien-truc-su.35C6A844.html","Xem chi tiết")</f>
        <v/>
      </c>
    </row>
    <row r="730">
      <c r="B730" s="9" t="n">
        <v>728</v>
      </c>
      <c r="C730" s="10" t="inlineStr">
        <is>
          <t>FP&amp;A and Costing Analyst</t>
        </is>
      </c>
      <c r="D730" s="10" t="inlineStr">
        <is>
          <t>CTC Nonwovens Vietnam Limited Company - Công ty TNHH CTC Vải Không Dệt Việt Nam</t>
        </is>
      </c>
      <c r="E730" s="10" t="inlineStr">
        <is>
          <t>Lương:Cạnh tranh</t>
        </is>
      </c>
      <c r="F730" s="10" t="inlineStr">
        <is>
          <t>Bình Dương</t>
        </is>
      </c>
      <c r="G730" s="10" t="inlineStr">
        <is>
          <t>15-04-2026</t>
        </is>
      </c>
      <c r="H730" s="10" t="inlineStr">
        <is>
          <t>15/04/2026</t>
        </is>
      </c>
      <c r="I730" s="10" t="inlineStr">
        <is>
          <t>17/03/2026</t>
        </is>
      </c>
      <c r="J730" s="10" t="inlineStr">
        <is>
          <t>Kế toán / Kiểm toán, Tài chính / Đầu tư</t>
        </is>
      </c>
      <c r="K730" s="10" t="inlineStr">
        <is>
          <t>5 - 10 Năm</t>
        </is>
      </c>
      <c r="L730" s="11">
        <f>HYPERLINK("https://careerviet.vn/vi/tim-viec-lam/fp-a-and-costing-analyst.35C6A719.html","Xem chi tiết")</f>
        <v/>
      </c>
      <c r="M730" s="10" t="n"/>
    </row>
    <row r="731">
      <c r="B731" s="7" t="n">
        <v>729</v>
      </c>
      <c r="C731" t="inlineStr">
        <is>
          <t>Nhân Viên Quản lý chất lượng/quy trình phần mềm (Lĩnh vực CNTT)</t>
        </is>
      </c>
      <c r="D731" t="inlineStr">
        <is>
          <t>Tổng Công ty Cổ phần Công trình Viettel</t>
        </is>
      </c>
      <c r="E731" t="inlineStr">
        <is>
          <t>Lương:Cạnh tranh</t>
        </is>
      </c>
      <c r="F731" t="inlineStr">
        <is>
          <t>Hà Nội</t>
        </is>
      </c>
      <c r="G731" t="inlineStr">
        <is>
          <t>02-04-2026</t>
        </is>
      </c>
      <c r="H731" t="inlineStr">
        <is>
          <t>02/04/2026</t>
        </is>
      </c>
      <c r="I731" t="inlineStr">
        <is>
          <t>17/03/2026</t>
        </is>
      </c>
      <c r="J731" t="inlineStr">
        <is>
          <t>CNTT - Phần mềm, CNTT - Phần cứng / Mạng</t>
        </is>
      </c>
      <c r="K731" t="inlineStr">
        <is>
          <t>2 - 3 Năm</t>
        </is>
      </c>
      <c r="L731" s="8">
        <f>HYPERLINK("https://careerviet.vn/vi/tim-viec-lam/nhan-vien-quan-ly-chat-luong-quy-trinh-phan-mem-linh-vuc-cntt.35C6AADE.html","Xem chi tiết")</f>
        <v/>
      </c>
    </row>
    <row r="732">
      <c r="B732" s="9" t="n">
        <v>730</v>
      </c>
      <c r="C732" s="10" t="inlineStr">
        <is>
          <t>Phó Tổng giám đốc phụ trách Kinh tế - Kế hoạch Kỹ thuật công nghệ, quản lý Dự án</t>
        </is>
      </c>
      <c r="D732" s="10" t="inlineStr">
        <is>
          <t>Tập đoàn An Lạc – Anlac Group</t>
        </is>
      </c>
      <c r="E732" s="10" t="inlineStr">
        <is>
          <t>Lương:Cạnh tranh</t>
        </is>
      </c>
      <c r="F732" s="10" t="inlineStr">
        <is>
          <t>Hà Nội</t>
        </is>
      </c>
      <c r="G732" s="10" t="inlineStr">
        <is>
          <t>15-04-2026</t>
        </is>
      </c>
      <c r="H732" s="10" t="inlineStr">
        <is>
          <t>15/04/2026</t>
        </is>
      </c>
      <c r="I732" s="10" t="inlineStr">
        <is>
          <t>17/03/2026</t>
        </is>
      </c>
      <c r="J732" s="10" t="inlineStr">
        <is>
          <t>Quản lý điều hành, Bất động sản, Xây dựng</t>
        </is>
      </c>
      <c r="K732" s="10" t="inlineStr">
        <is>
          <t>7 - 10 Năm</t>
        </is>
      </c>
      <c r="L732" s="11">
        <f>HYPERLINK("https://careerviet.vn/vi/tim-viec-lam/pho-tong-giam-doc-phu-trach-kinh-te-ke-hoach-ky-thuat-cong-nghe-quan-ly-du-an.35C6AA1C.html","Xem chi tiết")</f>
        <v/>
      </c>
      <c r="M732" s="10" t="n"/>
    </row>
    <row r="733">
      <c r="B733" s="7" t="n">
        <v>731</v>
      </c>
      <c r="C733" t="inlineStr">
        <is>
          <t>Kỹ Thuật Viên Máy Nén Khí và Bơm Chân Không</t>
        </is>
      </c>
      <c r="D733" t="inlineStr">
        <is>
          <t>Công Ty TNHH Tự Động Hóa Chân Không Việt Nam</t>
        </is>
      </c>
      <c r="E733" t="inlineStr">
        <is>
          <t>Lương:Cạnh tranh</t>
        </is>
      </c>
      <c r="F733" t="inlineStr">
        <is>
          <t>Hồ Chí MinhHà Nội</t>
        </is>
      </c>
      <c r="G733" t="inlineStr">
        <is>
          <t>02-04-2026</t>
        </is>
      </c>
      <c r="H733" t="inlineStr">
        <is>
          <t>02/04/2026</t>
        </is>
      </c>
      <c r="I733" t="inlineStr">
        <is>
          <t>17/03/2026</t>
        </is>
      </c>
      <c r="J733" t="inlineStr">
        <is>
          <t>Cơ khí / Ô tô / Tự động hóa, Điện / Điện tử / Điện lạnh / Điện công nghiệp, Bảo trì / Sửa chữa</t>
        </is>
      </c>
      <c r="K733" t="inlineStr">
        <is>
          <t>N/A</t>
        </is>
      </c>
      <c r="L733" s="8">
        <f>HYPERLINK("https://careerviet.vn/vi/tim-viec-lam/ky-thuat-vien-may-nen-khi-va-bom-chan-khong.35C6A920.html","Xem chi tiết")</f>
        <v/>
      </c>
    </row>
    <row r="734">
      <c r="B734" s="9" t="n">
        <v>732</v>
      </c>
      <c r="C734" s="10" t="inlineStr">
        <is>
          <t>Chuyên Viên Kế Toán (Kế Toán Dịch Vụ Có Kinh Nghiệm)</t>
        </is>
      </c>
      <c r="D734" s="10" t="inlineStr">
        <is>
          <t>Công ty TNHH Kiểm Toán Tư Vấn Sáng Lập Á Châu</t>
        </is>
      </c>
      <c r="E734" s="10" t="inlineStr">
        <is>
          <t>Lương:Cạnh tranh</t>
        </is>
      </c>
      <c r="F734" s="10" t="inlineStr">
        <is>
          <t>Hồ Chí Minh</t>
        </is>
      </c>
      <c r="G734" s="10" t="inlineStr">
        <is>
          <t>15-04-2026</t>
        </is>
      </c>
      <c r="H734" s="10" t="inlineStr">
        <is>
          <t>15/04/2026</t>
        </is>
      </c>
      <c r="I734" s="10" t="inlineStr">
        <is>
          <t>17/03/2026</t>
        </is>
      </c>
      <c r="J734" s="10" t="inlineStr">
        <is>
          <t>Kế toán / Kiểm toán, Tài chính / Đầu tư, Luật / Pháp lý</t>
        </is>
      </c>
      <c r="K734" s="10" t="inlineStr">
        <is>
          <t>N/A</t>
        </is>
      </c>
      <c r="L734" s="11">
        <f>HYPERLINK("https://careerviet.vn/vi/tim-viec-lam/chuyen-vien-ke-toan-ke-toan-dich-vu-co-kinh-nghiem.35C6A900.html","Xem chi tiết")</f>
        <v/>
      </c>
      <c r="M734" s="10" t="n"/>
    </row>
    <row r="735">
      <c r="B735" s="7" t="n">
        <v>733</v>
      </c>
      <c r="C735" t="inlineStr">
        <is>
          <t>[NHẬN VIỆC NGAY]  KẾ TOÁN TRƯỞNG</t>
        </is>
      </c>
      <c r="D735" t="inlineStr">
        <is>
          <t>CÔNG TY TNHH K&amp;M VINA</t>
        </is>
      </c>
      <c r="E735" t="inlineStr">
        <is>
          <t>Lương:Cạnh tranh</t>
        </is>
      </c>
      <c r="F735" t="inlineStr">
        <is>
          <t>Hồ Chí Minh</t>
        </is>
      </c>
      <c r="G735" t="inlineStr">
        <is>
          <t>31-03-2026</t>
        </is>
      </c>
      <c r="H735" t="inlineStr">
        <is>
          <t>31/03/2026</t>
        </is>
      </c>
      <c r="I735" t="inlineStr">
        <is>
          <t>17/03/2026</t>
        </is>
      </c>
      <c r="J735" t="inlineStr">
        <is>
          <t>Kế toán / Kiểm toán, Tài chính / Đầu tư</t>
        </is>
      </c>
      <c r="K735" t="inlineStr">
        <is>
          <t>Trên 2 Năm</t>
        </is>
      </c>
      <c r="L735" s="8">
        <f>HYPERLINK("https://careerviet.vn/vi/tim-viec-lam/nhan-viec-ngay-ke-toan-truong.35C6A7A9.html","Xem chi tiết")</f>
        <v/>
      </c>
    </row>
    <row r="736">
      <c r="B736" s="9" t="n">
        <v>734</v>
      </c>
      <c r="C736" s="10" t="inlineStr">
        <is>
          <t>Nhân viên kỹ thuật</t>
        </is>
      </c>
      <c r="D736" s="10" t="inlineStr">
        <is>
          <t>CÔNG TY TNHH THỨC ĂN THỦY SẢN FEED ONE</t>
        </is>
      </c>
      <c r="E736" s="10" t="inlineStr">
        <is>
          <t>Lương:8 Tr - 20 Tr VND</t>
        </is>
      </c>
      <c r="F736" s="10" t="inlineStr">
        <is>
          <t>Đồng Tháp</t>
        </is>
      </c>
      <c r="G736" s="10" t="inlineStr">
        <is>
          <t>24-03-2026</t>
        </is>
      </c>
      <c r="H736" s="10" t="inlineStr">
        <is>
          <t>24/03/2026</t>
        </is>
      </c>
      <c r="I736" s="10" t="inlineStr">
        <is>
          <t>17/03/2026</t>
        </is>
      </c>
      <c r="J736" s="10" t="inlineStr">
        <is>
          <t>Cơ khí / Ô tô / Tự động hóa, Điện / Điện tử / Điện lạnh / Điện công nghiệp, Bảo trì / Sửa chữa</t>
        </is>
      </c>
      <c r="K736" s="10" t="inlineStr">
        <is>
          <t>N/A</t>
        </is>
      </c>
      <c r="L736" s="11">
        <f>HYPERLINK("https://careerviet.vn/vi/tim-viec-lam/nhan-vien-ky-thuat.35C6BD3E.html","Xem chi tiết")</f>
        <v/>
      </c>
      <c r="M736" s="10" t="n"/>
    </row>
    <row r="737">
      <c r="B737" s="7" t="n">
        <v>735</v>
      </c>
      <c r="C737" t="inlineStr">
        <is>
          <t>Kỹ Sư Cấp Thoát Nước</t>
        </is>
      </c>
      <c r="D737" t="inlineStr">
        <is>
          <t>Công Ty TNHH Tư Vấn Thiết Kế Xây dựng Anh Linh ( ALINCO)</t>
        </is>
      </c>
      <c r="E737" t="inlineStr">
        <is>
          <t>Lương:Cạnh tranh</t>
        </is>
      </c>
      <c r="F737" t="inlineStr">
        <is>
          <t>Hồ Chí Minh</t>
        </is>
      </c>
      <c r="G737" t="inlineStr">
        <is>
          <t>30-04-2026</t>
        </is>
      </c>
      <c r="H737" t="inlineStr">
        <is>
          <t>30/04/2026</t>
        </is>
      </c>
      <c r="I737" t="inlineStr">
        <is>
          <t>17/03/2026</t>
        </is>
      </c>
      <c r="J737" t="inlineStr">
        <is>
          <t>Thủy lợi, Xây dựng, Môi trường</t>
        </is>
      </c>
      <c r="K737" t="inlineStr">
        <is>
          <t>Trên 5 Năm</t>
        </is>
      </c>
      <c r="L737" s="8">
        <f>HYPERLINK("https://careerviet.vn/vi/tim-viec-lam/ky-su-cap-thoat-nuoc.35C6B870.html","Xem chi tiết")</f>
        <v/>
      </c>
    </row>
    <row r="738">
      <c r="B738" s="9" t="n">
        <v>736</v>
      </c>
      <c r="C738" s="10" t="inlineStr">
        <is>
          <t>Livestream Specialist</t>
        </is>
      </c>
      <c r="D738" s="10" t="inlineStr">
        <is>
          <t>LOTTE VIETNAM SHOPPING JOINT STOCK COMPANY</t>
        </is>
      </c>
      <c r="E738" s="10" t="inlineStr">
        <is>
          <t>Lương:Cạnh tranh</t>
        </is>
      </c>
      <c r="F738" s="10" t="inlineStr">
        <is>
          <t>Hồ Chí Minh</t>
        </is>
      </c>
      <c r="G738" s="10" t="inlineStr">
        <is>
          <t>30-04-2026</t>
        </is>
      </c>
      <c r="H738" s="10" t="inlineStr">
        <is>
          <t>30/04/2026</t>
        </is>
      </c>
      <c r="I738" s="10" t="inlineStr">
        <is>
          <t>17/03/2026</t>
        </is>
      </c>
      <c r="J738" s="10" t="inlineStr">
        <is>
          <t>Thương mại điện tử, Bán lẻ / Bán sỉ</t>
        </is>
      </c>
      <c r="K738" s="10" t="inlineStr">
        <is>
          <t>1 - 3 Năm</t>
        </is>
      </c>
      <c r="L738" s="11">
        <f>HYPERLINK("https://careerviet.vn/vi/tim-viec-lam/livestream-specialist.35C6BCFB.html","Xem chi tiết")</f>
        <v/>
      </c>
      <c r="M738" s="10" t="n"/>
    </row>
    <row r="739">
      <c r="B739" s="7" t="n">
        <v>737</v>
      </c>
      <c r="C739" t="inlineStr">
        <is>
          <t>Kế Toán Tổng Hợp (lĩnh vực Resort/ Nhà hàng- Khách sạn)</t>
        </is>
      </c>
      <c r="D739" t="inlineStr">
        <is>
          <t>Công Ty Cổ Phần Đầu Tư Địa Ốc Hưng Phú</t>
        </is>
      </c>
      <c r="E739" t="inlineStr">
        <is>
          <t>Lương:20 Tr - 30 Tr VND</t>
        </is>
      </c>
      <c r="F739" t="inlineStr">
        <is>
          <t>Hồ Chí Minh</t>
        </is>
      </c>
      <c r="G739" t="inlineStr">
        <is>
          <t>31-03-2026</t>
        </is>
      </c>
      <c r="H739" t="inlineStr">
        <is>
          <t>31/03/2026</t>
        </is>
      </c>
      <c r="I739" t="inlineStr">
        <is>
          <t>17/03/2026</t>
        </is>
      </c>
      <c r="J739" t="inlineStr">
        <is>
          <t>Kế toán / Kiểm toán, Nhà hàng / Khách sạn, Bất động sản</t>
        </is>
      </c>
      <c r="K739" t="inlineStr">
        <is>
          <t>5 - 7 Năm</t>
        </is>
      </c>
      <c r="L739" s="8">
        <f>HYPERLINK("https://careerviet.vn/vi/tim-viec-lam/ke-toan-tong-hop-linh-vuc-resort-nha-hang-khach-san.35C69BAC.html","Xem chi tiết")</f>
        <v/>
      </c>
    </row>
    <row r="740">
      <c r="B740" s="9" t="n">
        <v>738</v>
      </c>
      <c r="C740" s="10" t="inlineStr">
        <is>
          <t>Nhân viên kỹ thuật cơ điện (NOC Hạ tầng)</t>
        </is>
      </c>
      <c r="D740" s="10" t="inlineStr">
        <is>
          <t>Công ty TNHH Viettel - CHT</t>
        </is>
      </c>
      <c r="E740" s="10" t="inlineStr">
        <is>
          <t>Lương:Cạnh tranh</t>
        </is>
      </c>
      <c r="F740" s="10" t="inlineStr">
        <is>
          <t>Hà NộiBình Dương</t>
        </is>
      </c>
      <c r="G740" s="10" t="inlineStr">
        <is>
          <t>29-04-2026</t>
        </is>
      </c>
      <c r="H740" s="10" t="inlineStr">
        <is>
          <t>29/04/2026</t>
        </is>
      </c>
      <c r="I740" s="10" t="inlineStr">
        <is>
          <t>17/03/2026</t>
        </is>
      </c>
      <c r="J740" s="10" t="inlineStr">
        <is>
          <t>Điện / Điện tử / Điện lạnh / Điện công nghiệp, CNTT - Phần cứng / Mạng</t>
        </is>
      </c>
      <c r="K740" s="10" t="inlineStr">
        <is>
          <t>Trên 1 Năm</t>
        </is>
      </c>
      <c r="L740" s="11">
        <f>HYPERLINK("https://careerviet.vn/vi/tim-viec-lam/nhan-vien-ky-thuat-co-dien-noc-ha-tang.35C6BE09.html","Xem chi tiết")</f>
        <v/>
      </c>
      <c r="M740" s="10" t="n"/>
    </row>
    <row r="741">
      <c r="B741" s="7" t="n">
        <v>739</v>
      </c>
      <c r="C741" t="inlineStr">
        <is>
          <t>QUẢN ĐỐC XƯỞNG GIA CÔNG - CƠ KHÍ</t>
        </is>
      </c>
      <c r="D741" t="inlineStr">
        <is>
          <t>Công Ty CP Công Nghiệp Kim Bình</t>
        </is>
      </c>
      <c r="E741" t="inlineStr">
        <is>
          <t>Lương:25 Tr - 30 Tr VND</t>
        </is>
      </c>
      <c r="F741" t="inlineStr">
        <is>
          <t>Hồ Chí Minh</t>
        </is>
      </c>
      <c r="G741" t="inlineStr">
        <is>
          <t>09-05-2026</t>
        </is>
      </c>
      <c r="H741" t="inlineStr">
        <is>
          <t>09/05/2026</t>
        </is>
      </c>
      <c r="I741" t="inlineStr">
        <is>
          <t>17/03/2026</t>
        </is>
      </c>
      <c r="J741" t="inlineStr">
        <is>
          <t>Sản xuất / Vận hành sản xuất, Cơ khí / Ô tô / Tự động hóa</t>
        </is>
      </c>
      <c r="K741" t="inlineStr">
        <is>
          <t>4 - 10 Năm</t>
        </is>
      </c>
      <c r="L741" s="8">
        <f>HYPERLINK("https://careerviet.vn/vi/tim-viec-lam/quan-doc-xuong-gia-cong-co-khi.35C6BCF7.html","Xem chi tiết")</f>
        <v/>
      </c>
    </row>
    <row r="742">
      <c r="B742" s="9" t="n">
        <v>740</v>
      </c>
      <c r="C742" s="10" t="inlineStr">
        <is>
          <t>Kiến Trúc Sư - QLDA</t>
        </is>
      </c>
      <c r="D742" s="10" t="inlineStr">
        <is>
          <t>CÔNG TY CỔ PHẦN MILTON</t>
        </is>
      </c>
      <c r="E742" s="10" t="inlineStr">
        <is>
          <t>Lương:28 Tr - 35 Tr VND</t>
        </is>
      </c>
      <c r="F742" s="10" t="inlineStr">
        <is>
          <t>Hồ Chí Minh</t>
        </is>
      </c>
      <c r="G742" s="10" t="inlineStr">
        <is>
          <t>30-04-2026</t>
        </is>
      </c>
      <c r="H742" s="10" t="inlineStr">
        <is>
          <t>30/04/2026</t>
        </is>
      </c>
      <c r="I742" s="10" t="inlineStr">
        <is>
          <t>17/03/2026</t>
        </is>
      </c>
      <c r="J742" s="10" t="inlineStr">
        <is>
          <t>Xây dựng, Bất động sản, Kiến trúc</t>
        </is>
      </c>
      <c r="K742" s="10" t="inlineStr">
        <is>
          <t>5 - 20 Năm</t>
        </is>
      </c>
      <c r="L742" s="11">
        <f>HYPERLINK("https://careerviet.vn/vi/tim-viec-lam/kien-truc-su-qlda.35C6B2AC.html","Xem chi tiết")</f>
        <v/>
      </c>
      <c r="M742" s="10" t="n"/>
    </row>
    <row r="743">
      <c r="B743" s="7" t="n">
        <v>741</v>
      </c>
      <c r="C743" t="inlineStr">
        <is>
          <t>Nhân viên Kinh doanh B2B</t>
        </is>
      </c>
      <c r="D743" t="inlineStr">
        <is>
          <t>CÔNG TY TNHH THÉP KHÔNG GỈ VÀ HỢP KIM QUANG MINH</t>
        </is>
      </c>
      <c r="E743" t="inlineStr">
        <is>
          <t>Lương:9 Tr - 30 Tr VND</t>
        </is>
      </c>
      <c r="F743" t="inlineStr">
        <is>
          <t>Hồ Chí Minh</t>
        </is>
      </c>
      <c r="G743" t="inlineStr">
        <is>
          <t>10-04-2026</t>
        </is>
      </c>
      <c r="H743" t="inlineStr">
        <is>
          <t>10/04/2026</t>
        </is>
      </c>
      <c r="I743" t="inlineStr">
        <is>
          <t>17/03/2026</t>
        </is>
      </c>
      <c r="J743" t="inlineStr">
        <is>
          <t>Bán hàng / Kinh doanh, Bán Hàng Kỹ Thuật</t>
        </is>
      </c>
      <c r="K743" t="inlineStr">
        <is>
          <t>1 - 2 Năm</t>
        </is>
      </c>
      <c r="L743" s="8">
        <f>HYPERLINK("https://careerviet.vn/vi/tim-viec-lam/nhan-vien-kinh-doanh-b2b.35C6BC28.html","Xem chi tiết")</f>
        <v/>
      </c>
    </row>
    <row r="744">
      <c r="B744" s="9" t="n">
        <v>742</v>
      </c>
      <c r="C744" s="10" t="inlineStr">
        <is>
          <t>TRƯỞNG NHÓM QS</t>
        </is>
      </c>
      <c r="D744" s="10" t="inlineStr">
        <is>
          <t>Công Ty CP Xây Dựng A&amp;C</t>
        </is>
      </c>
      <c r="E744" s="10" t="inlineStr">
        <is>
          <t>Lương:Cạnh tranh</t>
        </is>
      </c>
      <c r="F744" s="10" t="inlineStr">
        <is>
          <t>Hồ Chí Minh</t>
        </is>
      </c>
      <c r="G744" s="10" t="inlineStr">
        <is>
          <t>25-03-2026</t>
        </is>
      </c>
      <c r="H744" s="10" t="inlineStr">
        <is>
          <t>25/03/2026</t>
        </is>
      </c>
      <c r="I744" s="10" t="inlineStr">
        <is>
          <t>17/03/2026</t>
        </is>
      </c>
      <c r="J744" s="10" t="inlineStr">
        <is>
          <t>Kiến trúc, Xây dựng</t>
        </is>
      </c>
      <c r="K744" s="10" t="inlineStr">
        <is>
          <t>3 - 5 Năm</t>
        </is>
      </c>
      <c r="L744" s="11">
        <f>HYPERLINK("https://careerviet.vn/vi/tim-viec-lam/truong-nhom-qs.35C6BC9A.html","Xem chi tiết")</f>
        <v/>
      </c>
      <c r="M744" s="10" t="n"/>
    </row>
    <row r="745">
      <c r="B745" s="7" t="n">
        <v>743</v>
      </c>
      <c r="C745" t="inlineStr">
        <is>
          <t>Điều Dưỡng</t>
        </is>
      </c>
      <c r="D745" t="inlineStr">
        <is>
          <t>Life Dental</t>
        </is>
      </c>
      <c r="E745" t="inlineStr">
        <is>
          <t>Lương:13 Tr - 20 Tr VND</t>
        </is>
      </c>
      <c r="F745" t="inlineStr">
        <is>
          <t>Hà Nội</t>
        </is>
      </c>
      <c r="G745" t="inlineStr">
        <is>
          <t>10-04-2026</t>
        </is>
      </c>
      <c r="H745" t="inlineStr">
        <is>
          <t>10/04/2026</t>
        </is>
      </c>
      <c r="I745" t="inlineStr">
        <is>
          <t>17/03/2026</t>
        </is>
      </c>
      <c r="J745" t="inlineStr">
        <is>
          <t>Y tế / Chăm sóc sức khỏe / Thẩm mỹ / Làm đẹp, Dược phẩm/ Hóa Mỹ Phẩm, Dịch vụ khách hàng</t>
        </is>
      </c>
      <c r="K745" t="inlineStr">
        <is>
          <t>1 - 3 Năm</t>
        </is>
      </c>
      <c r="L745" s="8">
        <f>HYPERLINK("https://careerviet.vn/vi/tim-viec-lam/dieu-duong.35C6BD64.html","Xem chi tiết")</f>
        <v/>
      </c>
    </row>
    <row r="746">
      <c r="B746" s="9" t="n">
        <v>744</v>
      </c>
      <c r="C746" s="10" t="inlineStr">
        <is>
          <t>Chuyên viên C&amp;B-Hành Chính-Truyền thông</t>
        </is>
      </c>
      <c r="D746" s="10" t="inlineStr">
        <is>
          <t>Công ty TNHH Tư Vấn Thiết Kế xây Dựng Phú Gia Hòa</t>
        </is>
      </c>
      <c r="E746" s="10" t="inlineStr">
        <is>
          <t>Lương:15 Tr - 20 Tr VND</t>
        </is>
      </c>
      <c r="F746" s="10" t="inlineStr">
        <is>
          <t>Hồ Chí Minh</t>
        </is>
      </c>
      <c r="G746" s="10" t="inlineStr">
        <is>
          <t>09-04-2026</t>
        </is>
      </c>
      <c r="H746" s="10" t="inlineStr">
        <is>
          <t>09/04/2026</t>
        </is>
      </c>
      <c r="I746" s="10" t="inlineStr">
        <is>
          <t>17/03/2026</t>
        </is>
      </c>
      <c r="J746" s="10" t="inlineStr">
        <is>
          <t>Kiến trúc, Truyền hình / Báo chí / Biên tập, Bán hàng / Kinh doanh</t>
        </is>
      </c>
      <c r="K746" s="10" t="inlineStr">
        <is>
          <t>1 - 2 Năm</t>
        </is>
      </c>
      <c r="L746" s="11">
        <f>HYPERLINK("https://careerviet.vn/vi/tim-viec-lam/chuyen-vien-c-b-hanh-chinh-truyen-thong.35C6BB9A.html","Xem chi tiết")</f>
        <v/>
      </c>
      <c r="M746" s="10" t="n"/>
    </row>
    <row r="747">
      <c r="B747" s="7" t="n">
        <v>745</v>
      </c>
      <c r="C747" t="inlineStr">
        <is>
          <t>Chuyên viên Quản lý nghiệp vụ Tài sản Kỹ thuật</t>
        </is>
      </c>
      <c r="D747" t="inlineStr">
        <is>
          <t>Tổng Công Ty Cổ Phần Bảo Hiểm Ngân Hàng TMCP Công Thương Việt Nam</t>
        </is>
      </c>
      <c r="E747" t="inlineStr">
        <is>
          <t>Lương:Cạnh tranh</t>
        </is>
      </c>
      <c r="F747" t="inlineStr">
        <is>
          <t>Hà Nội</t>
        </is>
      </c>
      <c r="G747" t="inlineStr">
        <is>
          <t>02-04-2026</t>
        </is>
      </c>
      <c r="H747" t="inlineStr">
        <is>
          <t>02/04/2026</t>
        </is>
      </c>
      <c r="I747" t="inlineStr">
        <is>
          <t>17/03/2026</t>
        </is>
      </c>
      <c r="J747" t="inlineStr">
        <is>
          <t>Bảo hiểm, Ngành khác, Quản lý chất lượng (QA/QC)</t>
        </is>
      </c>
      <c r="K747" t="inlineStr">
        <is>
          <t>2 - 5 Năm</t>
        </is>
      </c>
      <c r="L747" s="8">
        <f>HYPERLINK("https://careerviet.vn/vi/tim-viec-lam/chuyen-vien-quan-ly-nghiep-vu-tai-san-ky-thuat.35C6A76A.html","Xem chi tiết")</f>
        <v/>
      </c>
    </row>
    <row r="748">
      <c r="B748" s="9" t="n">
        <v>746</v>
      </c>
      <c r="C748" s="10" t="inlineStr">
        <is>
          <t>CV/CVC/CVCC Quan Hệ Khách Hàng Cá Nhân - Hồ Chí Minh, Bình Dương</t>
        </is>
      </c>
      <c r="D748" s="10" t="inlineStr">
        <is>
          <t>Ngân Hàng Thương Mại Cổ Phần Bảo Việt</t>
        </is>
      </c>
      <c r="E748" s="10" t="inlineStr">
        <is>
          <t>Lương:Cạnh tranh</t>
        </is>
      </c>
      <c r="F748" s="10" t="inlineStr">
        <is>
          <t>Hồ Chí MinhBình Dương</t>
        </is>
      </c>
      <c r="G748" s="10" t="inlineStr">
        <is>
          <t>30-05-2026</t>
        </is>
      </c>
      <c r="H748" s="10" t="inlineStr">
        <is>
          <t>30/05/2026</t>
        </is>
      </c>
      <c r="I748" s="10" t="inlineStr">
        <is>
          <t>17/03/2026</t>
        </is>
      </c>
      <c r="J748" s="10" t="inlineStr">
        <is>
          <t>Ngân hàng, Tài chính / Đầu tư, Bất động sản</t>
        </is>
      </c>
      <c r="K748" s="10" t="inlineStr">
        <is>
          <t>1 - 3 Năm</t>
        </is>
      </c>
      <c r="L748" s="11">
        <f>HYPERLINK("https://careerviet.vn/vi/tim-viec-lam/cv-cvc-cvcc-quan-he-khach-hang-ca-nhan-ho-chi-minh-binh-duong.35B81F11.html","Xem chi tiết")</f>
        <v/>
      </c>
      <c r="M748" s="10" t="n"/>
    </row>
    <row r="749">
      <c r="B749" s="7" t="n">
        <v>747</v>
      </c>
      <c r="C749" t="inlineStr">
        <is>
          <t>Kiến trúc sư</t>
        </is>
      </c>
      <c r="D749" t="inlineStr">
        <is>
          <t>CÔNG TY CỔ PHẦN ĐẦU TƯ XÂY DỰNG SỐ 14</t>
        </is>
      </c>
      <c r="E749" t="inlineStr">
        <is>
          <t>Lương:Cạnh tranh</t>
        </is>
      </c>
      <c r="F749" t="inlineStr">
        <is>
          <t>Hồ Chí Minh</t>
        </is>
      </c>
      <c r="G749" t="inlineStr">
        <is>
          <t>31-03-2026</t>
        </is>
      </c>
      <c r="H749" t="inlineStr">
        <is>
          <t>31/03/2026</t>
        </is>
      </c>
      <c r="I749" t="inlineStr">
        <is>
          <t>17/03/2026</t>
        </is>
      </c>
      <c r="J749" t="inlineStr">
        <is>
          <t>Mỹ thuật / Nghệ thuật / Thiết kế, Kiến trúc, Xây dựng</t>
        </is>
      </c>
      <c r="K749" t="inlineStr">
        <is>
          <t>7 - 10 Năm</t>
        </is>
      </c>
      <c r="L749" s="8">
        <f>HYPERLINK("https://careerviet.vn/vi/tim-viec-lam/kien-truc-su.35C6BBBB.html","Xem chi tiết")</f>
        <v/>
      </c>
    </row>
    <row r="750">
      <c r="B750" s="9" t="n">
        <v>748</v>
      </c>
      <c r="C750" s="10" t="inlineStr">
        <is>
          <t>Nhân Viên R&amp;D - Nghiên cứu và Phát triển Sản phẩm</t>
        </is>
      </c>
      <c r="D750" s="10" t="inlineStr">
        <is>
          <t>Công Ty TNHH Tập Đoàn Rita Võ</t>
        </is>
      </c>
      <c r="E750" s="10" t="inlineStr">
        <is>
          <t>Lương:Cạnh tranh</t>
        </is>
      </c>
      <c r="F750" s="10" t="inlineStr">
        <is>
          <t>Hồ Chí Minh</t>
        </is>
      </c>
      <c r="G750" s="10" t="inlineStr">
        <is>
          <t>24-04-2026</t>
        </is>
      </c>
      <c r="H750" s="10" t="inlineStr">
        <is>
          <t>24/04/2026</t>
        </is>
      </c>
      <c r="I750" s="10" t="inlineStr">
        <is>
          <t>17/03/2026</t>
        </is>
      </c>
      <c r="J750" s="10" t="inlineStr">
        <is>
          <t>Điện / Điện tử / Điện lạnh / Điện công nghiệp, Bảo trì / Sửa chữa</t>
        </is>
      </c>
      <c r="K750" s="10" t="inlineStr">
        <is>
          <t>N/A</t>
        </is>
      </c>
      <c r="L750" s="11">
        <f>HYPERLINK("https://careerviet.vn/vi/tim-viec-lam/nhan-vien-r-d-nghien-cuu-va-phat-trien-san-pham.35C6BC15.html","Xem chi tiết")</f>
        <v/>
      </c>
      <c r="M750" s="10" t="n"/>
    </row>
    <row r="751">
      <c r="B751" s="7" t="n">
        <v>749</v>
      </c>
      <c r="C751" t="inlineStr">
        <is>
          <t>Nhân Viên Phòng Lab (Tủ Lạnh, Tủ Đông Thương Mại)</t>
        </is>
      </c>
      <c r="D751" t="inlineStr">
        <is>
          <t>CÔNG TY TNHH TURBO VINA</t>
        </is>
      </c>
      <c r="E751" t="inlineStr">
        <is>
          <t>Lương:9 Tr - 12 Tr VND</t>
        </is>
      </c>
      <c r="F751" t="inlineStr">
        <is>
          <t>Bình Dương</t>
        </is>
      </c>
      <c r="G751" t="inlineStr">
        <is>
          <t>09-04-2026</t>
        </is>
      </c>
      <c r="H751" t="inlineStr">
        <is>
          <t>09/04/2026</t>
        </is>
      </c>
      <c r="I751" t="inlineStr">
        <is>
          <t>17/03/2026</t>
        </is>
      </c>
      <c r="J751" t="inlineStr">
        <is>
          <t>Điện / Điện tử / Điện lạnh / Điện công nghiệp, Cơ khí / Ô tô / Tự động hóa, Quản lý chất lượng (QA/QC)</t>
        </is>
      </c>
      <c r="K751" t="inlineStr">
        <is>
          <t>N/A</t>
        </is>
      </c>
      <c r="L751" s="8">
        <f>HYPERLINK("https://careerviet.vn/vi/tim-viec-lam/nhan-vien-phong-lab-tu-lanh-tu-dong-thuong-mai.35C6BDCF.html","Xem chi tiết")</f>
        <v/>
      </c>
    </row>
    <row r="752">
      <c r="B752" s="9" t="n">
        <v>750</v>
      </c>
      <c r="C752" s="10" t="inlineStr">
        <is>
          <t>Nhân Viên Chất Lượng (QA/QC) Đi Ca - HCM (BRVT Cũ)</t>
        </is>
      </c>
      <c r="D752" s="10" t="inlineStr">
        <is>
          <t>Công Ty Cổ Phần Hanacans</t>
        </is>
      </c>
      <c r="E752" s="10" t="inlineStr">
        <is>
          <t>Lương:9,5 Tr - 10,5 Tr VND</t>
        </is>
      </c>
      <c r="F752" s="10" t="inlineStr">
        <is>
          <t>Bà Rịa - Vũng TàuHồ Chí Minh</t>
        </is>
      </c>
      <c r="G752" s="10" t="inlineStr">
        <is>
          <t>6</t>
        </is>
      </c>
      <c r="H752" s="10" t="inlineStr">
        <is>
          <t>23/03/2026</t>
        </is>
      </c>
      <c r="I752" s="10" t="inlineStr">
        <is>
          <t>17/03/2026</t>
        </is>
      </c>
      <c r="J752" s="10" t="inlineStr">
        <is>
          <t>Thực phẩm &amp; Đồ uống, Công nghệ sinh học, Cơ khí / Ô tô / Tự động hóa</t>
        </is>
      </c>
      <c r="K752" s="10" t="inlineStr">
        <is>
          <t>Trên 1 Năm</t>
        </is>
      </c>
      <c r="L752" s="11">
        <f>HYPERLINK("https://careerviet.vn/vi/tim-viec-lam/nhan-vien-chat-luong-qa-qc-di-ca-hcm-brvt-cu.35C665E3.html","Xem chi tiết")</f>
        <v/>
      </c>
      <c r="M752" s="10" t="n"/>
    </row>
    <row r="753">
      <c r="B753" s="7" t="n">
        <v>751</v>
      </c>
      <c r="C753" t="inlineStr">
        <is>
          <t>Nhân viên QA/QC</t>
        </is>
      </c>
      <c r="D753" t="inlineStr">
        <is>
          <t>CÔNG TY TNHH XÂY DỰNG THƯƠNG MẠI LỤC GIÁC</t>
        </is>
      </c>
      <c r="E753" t="inlineStr">
        <is>
          <t>Lương:13 Tr - 16 Tr VND</t>
        </is>
      </c>
      <c r="F753" t="inlineStr">
        <is>
          <t>Bình Dương</t>
        </is>
      </c>
      <c r="G753" t="inlineStr">
        <is>
          <t>30-04-2026</t>
        </is>
      </c>
      <c r="H753" t="inlineStr">
        <is>
          <t>30/04/2026</t>
        </is>
      </c>
      <c r="I753" t="inlineStr">
        <is>
          <t>17/03/2026</t>
        </is>
      </c>
      <c r="J753" t="inlineStr">
        <is>
          <t>Xây dựng</t>
        </is>
      </c>
      <c r="K753" t="inlineStr">
        <is>
          <t>Chưa có kinh nghiệm</t>
        </is>
      </c>
      <c r="L753" s="8">
        <f>HYPERLINK("https://careerviet.vn/vi/tim-viec-lam/nhan-vien-qa-qc.35C6BBE8.html","Xem chi tiết")</f>
        <v/>
      </c>
    </row>
    <row r="754">
      <c r="B754" s="9" t="n">
        <v>752</v>
      </c>
      <c r="C754" s="10" t="inlineStr">
        <is>
          <t>Công nhân Vận hành máy</t>
        </is>
      </c>
      <c r="D754" s="10" t="inlineStr">
        <is>
          <t>Công Ty Cổ Phần Hanacans</t>
        </is>
      </c>
      <c r="E754" s="10" t="inlineStr">
        <is>
          <t>Lương:9,5 Tr - 12 Tr VND</t>
        </is>
      </c>
      <c r="F754" s="10" t="inlineStr">
        <is>
          <t>Bắc Ninh</t>
        </is>
      </c>
      <c r="G754" s="10" t="inlineStr">
        <is>
          <t>23-03-2026</t>
        </is>
      </c>
      <c r="H754" s="10" t="inlineStr">
        <is>
          <t>23/03/2026</t>
        </is>
      </c>
      <c r="I754" s="10" t="inlineStr">
        <is>
          <t>17/03/2026</t>
        </is>
      </c>
      <c r="J754" s="10" t="inlineStr">
        <is>
          <t>Bảo trì / Sửa chữa, Cơ khí / Ô tô / Tự động hóa, Điện / Điện tử / Điện lạnh / Điện công nghiệp</t>
        </is>
      </c>
      <c r="K754" s="10" t="inlineStr">
        <is>
          <t>N/A</t>
        </is>
      </c>
      <c r="L754" s="11">
        <f>HYPERLINK("https://careerviet.vn/vi/tim-viec-lam/cong-nhan-van-hanh-may.35C666D5.html","Xem chi tiết")</f>
        <v/>
      </c>
      <c r="M754" s="10" t="n"/>
    </row>
    <row r="755">
      <c r="B755" s="7" t="n">
        <v>753</v>
      </c>
      <c r="C755" t="inlineStr">
        <is>
          <t>Kế Toán Thuế (Account Manager - Nhận việc sau tết)</t>
        </is>
      </c>
      <c r="D755" t="inlineStr">
        <is>
          <t>CÔNG TY TNHH THƯƠNG MẠI DỊCH VỤ LINH SAN</t>
        </is>
      </c>
      <c r="E755" t="inlineStr">
        <is>
          <t>Lương:20 Tr - 25 Tr VND</t>
        </is>
      </c>
      <c r="F755" t="inlineStr">
        <is>
          <t>Hồ Chí Minh</t>
        </is>
      </c>
      <c r="G755" t="inlineStr">
        <is>
          <t>5</t>
        </is>
      </c>
      <c r="H755" t="inlineStr">
        <is>
          <t>22/03/2026</t>
        </is>
      </c>
      <c r="I755" t="inlineStr">
        <is>
          <t>17/03/2026</t>
        </is>
      </c>
      <c r="J755" t="inlineStr">
        <is>
          <t>Kế toán / Kiểm toán, Tài chính / Đầu tư</t>
        </is>
      </c>
      <c r="K755" t="inlineStr">
        <is>
          <t>3 - 5 Năm</t>
        </is>
      </c>
      <c r="L755" s="8">
        <f>HYPERLINK("https://careerviet.vn/vi/tim-viec-lam/ke-toan-thue-account-manager-nhan-viec-sau-tet.35C662DB.html","Xem chi tiết")</f>
        <v/>
      </c>
    </row>
    <row r="756">
      <c r="B756" s="9" t="n">
        <v>754</v>
      </c>
      <c r="C756" s="10" t="inlineStr">
        <is>
          <t>Nhân Viên Kinh Doanh Thiết Bị / Sales / Sales Engineer</t>
        </is>
      </c>
      <c r="D756" s="10" t="inlineStr">
        <is>
          <t>Duc Phong Technology and Automation Corporation</t>
        </is>
      </c>
      <c r="E756" s="10" t="inlineStr">
        <is>
          <t>Lương:14 Tr - 25 Tr VND</t>
        </is>
      </c>
      <c r="F756" s="10" t="inlineStr">
        <is>
          <t>Hồ Chí Minh</t>
        </is>
      </c>
      <c r="G756" s="10" t="inlineStr">
        <is>
          <t>6</t>
        </is>
      </c>
      <c r="H756" s="10" t="inlineStr">
        <is>
          <t>22/03/2026</t>
        </is>
      </c>
      <c r="I756" s="10" t="inlineStr">
        <is>
          <t>17/03/2026</t>
        </is>
      </c>
      <c r="J756" s="10" t="inlineStr">
        <is>
          <t>Điện / Điện tử / Điện lạnh / Điện công nghiệp, Bán hàng / Kinh doanh, Cơ khí / Ô tô / Tự động hóa</t>
        </is>
      </c>
      <c r="K756" s="10" t="inlineStr">
        <is>
          <t>1 - 2 Năm</t>
        </is>
      </c>
      <c r="L756" s="11">
        <f>HYPERLINK("https://careerviet.vn/vi/tim-viec-lam/nhan-vien-kinh-doanh-thiet-bi-sales-sales-engineer.35C6648E.html","Xem chi tiết")</f>
        <v/>
      </c>
      <c r="M756" s="10" t="n"/>
    </row>
    <row r="757">
      <c r="B757" s="7" t="n">
        <v>755</v>
      </c>
      <c r="C757" t="inlineStr">
        <is>
          <t>Kỹ Sư Chỉ Huy Công Trình</t>
        </is>
      </c>
      <c r="D757" t="inlineStr">
        <is>
          <t>CÔNG TY TNHH XÂY DỰNG TRƯỜNG XUÂN</t>
        </is>
      </c>
      <c r="E757" t="inlineStr">
        <is>
          <t>Lương:Cạnh tranh</t>
        </is>
      </c>
      <c r="F757" t="inlineStr">
        <is>
          <t>Hồ Chí Minh</t>
        </is>
      </c>
      <c r="G757" t="inlineStr">
        <is>
          <t>3</t>
        </is>
      </c>
      <c r="H757" t="inlineStr">
        <is>
          <t>20/03/2026</t>
        </is>
      </c>
      <c r="I757" t="inlineStr">
        <is>
          <t>17/03/2026</t>
        </is>
      </c>
      <c r="J757" t="inlineStr">
        <is>
          <t>Kiến trúc, Xây dựng, Quản lý điều hành</t>
        </is>
      </c>
      <c r="K757" t="inlineStr">
        <is>
          <t>Trên 5 Năm</t>
        </is>
      </c>
      <c r="L757" s="8">
        <f>HYPERLINK("https://careerviet.vn/vi/tim-viec-lam/ky-su-chi-huy-cong-trinh.35C6604F.html","Xem chi tiết")</f>
        <v/>
      </c>
    </row>
    <row r="758">
      <c r="B758" s="9" t="n">
        <v>756</v>
      </c>
      <c r="C758" s="10" t="inlineStr">
        <is>
          <t>Senior Backend Developer (Java)</t>
        </is>
      </c>
      <c r="D758" s="10" t="inlineStr">
        <is>
          <t>HD SAISON Finance Co., Ltd</t>
        </is>
      </c>
      <c r="E758" s="10" t="inlineStr">
        <is>
          <t>Lương:Cạnh tranh</t>
        </is>
      </c>
      <c r="F758" s="10" t="inlineStr">
        <is>
          <t>Hồ Chí Minh</t>
        </is>
      </c>
      <c r="G758" s="10" t="inlineStr">
        <is>
          <t>5</t>
        </is>
      </c>
      <c r="H758" s="10" t="inlineStr">
        <is>
          <t>22/03/2026</t>
        </is>
      </c>
      <c r="I758" s="10" t="inlineStr">
        <is>
          <t>17/03/2026</t>
        </is>
      </c>
      <c r="J758" s="10" t="inlineStr">
        <is>
          <t>CNTT - Phần mềm, Bảo hiểm, Tài chính / Đầu tư</t>
        </is>
      </c>
      <c r="K758" s="10" t="inlineStr">
        <is>
          <t>3 - 4 Năm</t>
        </is>
      </c>
      <c r="L758" s="11">
        <f>HYPERLINK("https://careerviet.vn/vi/tim-viec-lam/senior-backend-developer-java.35C6639F.html","Xem chi tiết")</f>
        <v/>
      </c>
      <c r="M758" s="10" t="n"/>
    </row>
    <row r="759">
      <c r="B759" s="7" t="n">
        <v>757</v>
      </c>
      <c r="C759" t="inlineStr">
        <is>
          <t>Kỹ Sư Sản Xuất</t>
        </is>
      </c>
      <c r="D759" t="inlineStr">
        <is>
          <t>CÔNG TY TNHH RAPID AID VIỆT NAM</t>
        </is>
      </c>
      <c r="E759" t="inlineStr">
        <is>
          <t>Lương:Cạnh tranh</t>
        </is>
      </c>
      <c r="F759" t="inlineStr">
        <is>
          <t>Hải Phòng</t>
        </is>
      </c>
      <c r="G759" t="inlineStr">
        <is>
          <t>13-04-2026</t>
        </is>
      </c>
      <c r="H759" t="inlineStr">
        <is>
          <t>13/04/2026</t>
        </is>
      </c>
      <c r="I759" t="inlineStr">
        <is>
          <t>17/03/2026</t>
        </is>
      </c>
      <c r="J759" t="inlineStr">
        <is>
          <t>Cơ khí / Ô tô / Tự động hóa, Điện / Điện tử / Điện lạnh / Điện công nghiệp, Sản xuất / Vận hành sản xuất</t>
        </is>
      </c>
      <c r="K759" t="inlineStr">
        <is>
          <t>Chưa có kinh nghiệm</t>
        </is>
      </c>
      <c r="L759" s="8">
        <f>HYPERLINK("https://careerviet.vn/vi/tim-viec-lam/ky-su-san-xuat.35C65775.html","Xem chi tiết")</f>
        <v/>
      </c>
    </row>
    <row r="760">
      <c r="B760" s="9" t="n">
        <v>758</v>
      </c>
      <c r="C760" s="10" t="inlineStr">
        <is>
          <t>Nhân viên Lái xe</t>
        </is>
      </c>
      <c r="D760" s="10" t="inlineStr">
        <is>
          <t>Công ty TNHH Chứng khoán Ngân hàng TMCP Ngoại thương Việt Nam (VCBS - Vietcombank Securities)</t>
        </is>
      </c>
      <c r="E760" s="10" t="inlineStr">
        <is>
          <t>Lương:Cạnh tranh</t>
        </is>
      </c>
      <c r="F760" s="10" t="inlineStr">
        <is>
          <t>Hà Nội</t>
        </is>
      </c>
      <c r="G760" s="10" t="inlineStr">
        <is>
          <t>Hôm nay</t>
        </is>
      </c>
      <c r="H760" s="10" t="inlineStr">
        <is>
          <t>17/03/2026</t>
        </is>
      </c>
      <c r="I760" s="10" t="inlineStr">
        <is>
          <t>17/03/2026</t>
        </is>
      </c>
      <c r="J760" s="10" t="inlineStr">
        <is>
          <t>Hành chính / Thư ký</t>
        </is>
      </c>
      <c r="K760" s="10" t="inlineStr">
        <is>
          <t>Trên 3 Năm</t>
        </is>
      </c>
      <c r="L760" s="11">
        <f>HYPERLINK("https://careerviet.vn/vi/tim-viec-lam/nhan-vien-lai-xe.35C65D40.html","Xem chi tiết")</f>
        <v/>
      </c>
      <c r="M760" s="10" t="n"/>
    </row>
    <row r="761">
      <c r="B761" s="7" t="n">
        <v>759</v>
      </c>
      <c r="C761" t="inlineStr">
        <is>
          <t>Nhân Viên Kinh Doanh (Phỏng vấn trước Tết - Đi làm sau Tết)</t>
        </is>
      </c>
      <c r="D761" t="inlineStr">
        <is>
          <t>CÔNG TY CỔ PHẦN CÔNG TY THƯƠNG MẠI VÀ DỊCH VỤ DẦU KHÍ HẢI AN</t>
        </is>
      </c>
      <c r="E761" t="inlineStr">
        <is>
          <t>Lương:10 Tr - 50 Tr VND</t>
        </is>
      </c>
      <c r="F761" t="inlineStr">
        <is>
          <t>Hải Phòng</t>
        </is>
      </c>
      <c r="G761" t="inlineStr">
        <is>
          <t>5</t>
        </is>
      </c>
      <c r="H761" t="inlineStr">
        <is>
          <t>22/03/2026</t>
        </is>
      </c>
      <c r="I761" t="inlineStr">
        <is>
          <t>17/03/2026</t>
        </is>
      </c>
      <c r="J761" t="inlineStr">
        <is>
          <t>Bán hàng / Kinh doanh, Tư vấn, Dầu khí</t>
        </is>
      </c>
      <c r="K761" t="inlineStr">
        <is>
          <t>Trên 1 Năm</t>
        </is>
      </c>
      <c r="L761" s="8">
        <f>HYPERLINK("https://careerviet.vn/vi/tim-viec-lam/nhan-vien-kinh-doanh-phong-van-truoc-tet-di-lam-sau-tet.35C66013.html","Xem chi tiết")</f>
        <v/>
      </c>
    </row>
    <row r="762">
      <c r="B762" s="9" t="n">
        <v>760</v>
      </c>
      <c r="C762" s="10" t="inlineStr">
        <is>
          <t>Deputy Quality Manager</t>
        </is>
      </c>
      <c r="D762" s="10" t="inlineStr">
        <is>
          <t>CÔNG TY TNHH RAPID AID VIỆT NAM</t>
        </is>
      </c>
      <c r="E762" s="10" t="inlineStr">
        <is>
          <t>Lương:35 Tr - 45 Tr VND</t>
        </is>
      </c>
      <c r="F762" s="10" t="inlineStr">
        <is>
          <t>Hải Phòng</t>
        </is>
      </c>
      <c r="G762" s="10" t="inlineStr">
        <is>
          <t>13-04-2026</t>
        </is>
      </c>
      <c r="H762" s="10" t="inlineStr">
        <is>
          <t>13/04/2026</t>
        </is>
      </c>
      <c r="I762" s="10" t="inlineStr">
        <is>
          <t>17/03/2026</t>
        </is>
      </c>
      <c r="J762" s="10" t="inlineStr">
        <is>
          <t>Cơ khí / Ô tô / Tự động hóa, Sản xuất / Vận hành sản xuất, Quản lý chất lượng (QA/QC)</t>
        </is>
      </c>
      <c r="K762" s="10" t="inlineStr">
        <is>
          <t>Trên 1 Năm</t>
        </is>
      </c>
      <c r="L762" s="11">
        <f>HYPERLINK("https://careerviet.vn/vi/tim-viec-lam/deputy-quality-manager.35C65773.html","Xem chi tiết")</f>
        <v/>
      </c>
      <c r="M762" s="10" t="n"/>
    </row>
    <row r="763">
      <c r="B763" s="7" t="n">
        <v>761</v>
      </c>
      <c r="C763" t="inlineStr">
        <is>
          <t>TỔ TRƯỞNG / TRỢ LÝ SẢN XUẤT</t>
        </is>
      </c>
      <c r="D763" t="inlineStr">
        <is>
          <t>CÔNG TY TNHH ĐÚC BÌNH ĐƯỜNG</t>
        </is>
      </c>
      <c r="E763" t="inlineStr">
        <is>
          <t>Lương:Cạnh tranh</t>
        </is>
      </c>
      <c r="F763" t="inlineStr">
        <is>
          <t>Bình Dương</t>
        </is>
      </c>
      <c r="G763" t="inlineStr">
        <is>
          <t>Hôm nay</t>
        </is>
      </c>
      <c r="H763" t="inlineStr">
        <is>
          <t>17/03/2026</t>
        </is>
      </c>
      <c r="I763" t="inlineStr">
        <is>
          <t>17/03/2026</t>
        </is>
      </c>
      <c r="J763" t="inlineStr">
        <is>
          <t>Quản lý điều hành, Cơ khí / Ô tô / Tự động hóa, Sản xuất / Vận hành sản xuất</t>
        </is>
      </c>
      <c r="K763" t="inlineStr">
        <is>
          <t>2 - 5 Năm</t>
        </is>
      </c>
      <c r="L763" s="8">
        <f>HYPERLINK("https://careerviet.vn/vi/tim-viec-lam/to-truong-tro-ly-san-xuat.35C65D4D.html","Xem chi tiết")</f>
        <v/>
      </c>
    </row>
    <row r="764">
      <c r="B764" s="9" t="n">
        <v>762</v>
      </c>
      <c r="C764" s="10" t="inlineStr">
        <is>
          <t>Test Engineer (TE, FA, PFA, EEFA, RF, TPM...)</t>
        </is>
      </c>
      <c r="D764" s="10" t="inlineStr">
        <is>
          <t>Amkor Technology Việt Nam</t>
        </is>
      </c>
      <c r="E764" s="10" t="inlineStr">
        <is>
          <t>Lương:500 - 1.500 USD</t>
        </is>
      </c>
      <c r="F764" s="10" t="inlineStr">
        <is>
          <t>Bắc Ninh</t>
        </is>
      </c>
      <c r="G764" s="10" t="inlineStr">
        <is>
          <t>12-04-2026</t>
        </is>
      </c>
      <c r="H764" s="10" t="inlineStr">
        <is>
          <t>12/04/2026</t>
        </is>
      </c>
      <c r="I764" s="10" t="inlineStr">
        <is>
          <t>17/03/2026</t>
        </is>
      </c>
      <c r="J764" s="10" t="inlineStr">
        <is>
          <t>Điện / Điện tử / Điện lạnh / Điện công nghiệp, Cơ khí / Ô tô / Tự động hóa, CNTT - Phần cứng / Mạng</t>
        </is>
      </c>
      <c r="K764" s="10" t="inlineStr">
        <is>
          <t>Lên đến 12 Năm</t>
        </is>
      </c>
      <c r="L764" s="11">
        <f>HYPERLINK("https://careerviet.vn/vi/tim-viec-lam/test-engineer-te-fa-pfa-eefa-rf-tpm.35C65382.html","Xem chi tiết")</f>
        <v/>
      </c>
      <c r="M764" s="10" t="n"/>
    </row>
    <row r="765">
      <c r="B765" s="7" t="n">
        <v>763</v>
      </c>
      <c r="C765" t="inlineStr">
        <is>
          <t>R&amp;D Engineer (Up to manager)</t>
        </is>
      </c>
      <c r="D765" t="inlineStr">
        <is>
          <t>Amkor Technology Việt Nam</t>
        </is>
      </c>
      <c r="E765" t="inlineStr">
        <is>
          <t>Lương:500 - 1.800 USD</t>
        </is>
      </c>
      <c r="F765" t="inlineStr">
        <is>
          <t>Bắc Ninh</t>
        </is>
      </c>
      <c r="G765" t="inlineStr">
        <is>
          <t>12-04-2026</t>
        </is>
      </c>
      <c r="H765" t="inlineStr">
        <is>
          <t>12/04/2026</t>
        </is>
      </c>
      <c r="I765" t="inlineStr">
        <is>
          <t>17/03/2026</t>
        </is>
      </c>
      <c r="J765" t="inlineStr">
        <is>
          <t>Điện / Điện tử / Điện lạnh / Điện công nghiệp, Cơ khí / Ô tô / Tự động hóa, CNTT - Phần cứng / Mạng</t>
        </is>
      </c>
      <c r="K765" t="inlineStr">
        <is>
          <t>3 - 12 Năm</t>
        </is>
      </c>
      <c r="L765" s="8">
        <f>HYPERLINK("https://careerviet.vn/vi/tim-viec-lam/r-d-engineer-up-to-manager.35C653A6.html","Xem chi tiết")</f>
        <v/>
      </c>
    </row>
    <row r="766">
      <c r="B766" s="9" t="n">
        <v>764</v>
      </c>
      <c r="C766" s="10" t="inlineStr">
        <is>
          <t>Trưởng Nhóm Content</t>
        </is>
      </c>
      <c r="D766" s="10" t="inlineStr">
        <is>
          <t>Bệnh viện Đa khoa Hà Nội</t>
        </is>
      </c>
      <c r="E766" s="10" t="inlineStr">
        <is>
          <t>Lương:15 Tr - 25 Tr VND</t>
        </is>
      </c>
      <c r="F766" s="10" t="inlineStr">
        <is>
          <t>Hà Nội</t>
        </is>
      </c>
      <c r="G766" s="10" t="inlineStr">
        <is>
          <t>4</t>
        </is>
      </c>
      <c r="H766" s="10" t="inlineStr">
        <is>
          <t>21/03/2026</t>
        </is>
      </c>
      <c r="I766" s="10" t="inlineStr">
        <is>
          <t>17/03/2026</t>
        </is>
      </c>
      <c r="J766" s="10" t="inlineStr">
        <is>
          <t>Tiếp thị / Marketing, Tiếp thị trực tuyến, Quảng cáo / Đối ngoại / Truyền Thông</t>
        </is>
      </c>
      <c r="K766" s="10" t="inlineStr">
        <is>
          <t>Trên 2 Năm</t>
        </is>
      </c>
      <c r="L766" s="11">
        <f>HYPERLINK("https://careerviet.vn/vi/tim-viec-lam/truong-nhom-content.35C66262.html","Xem chi tiết")</f>
        <v/>
      </c>
      <c r="M766" s="10" t="n"/>
    </row>
    <row r="767">
      <c r="B767" s="7" t="n">
        <v>765</v>
      </c>
      <c r="C767" t="inlineStr">
        <is>
          <t>Chuyên viên Vận hành thẻ - Khối Vận hành</t>
        </is>
      </c>
      <c r="D767" t="inlineStr">
        <is>
          <t>Ngân Hàng TMCP Quốc Dân (NCB)</t>
        </is>
      </c>
      <c r="E767" t="inlineStr">
        <is>
          <t>Lương:Cạnh tranh</t>
        </is>
      </c>
      <c r="F767" t="inlineStr">
        <is>
          <t>Hà Nội</t>
        </is>
      </c>
      <c r="G767" t="inlineStr">
        <is>
          <t>08-04-2026</t>
        </is>
      </c>
      <c r="H767" t="inlineStr">
        <is>
          <t>08/04/2026</t>
        </is>
      </c>
      <c r="I767" t="inlineStr">
        <is>
          <t>17/03/2026</t>
        </is>
      </c>
      <c r="J767" t="inlineStr">
        <is>
          <t>Ngân hàng</t>
        </is>
      </c>
      <c r="K767" t="inlineStr">
        <is>
          <t>Trên 1 Năm</t>
        </is>
      </c>
      <c r="L767" s="8">
        <f>HYPERLINK("https://careerviet.vn/vi/tim-viec-lam/chuyen-vien-van-hanh-the-khoi-van-hanh.35C6505C.html","Xem chi tiết")</f>
        <v/>
      </c>
    </row>
    <row r="768">
      <c r="B768" s="9" t="n">
        <v>766</v>
      </c>
      <c r="C768" s="10" t="inlineStr">
        <is>
          <t>Nhân Viên LiveStream</t>
        </is>
      </c>
      <c r="D768" s="10" t="inlineStr">
        <is>
          <t>Astra Media</t>
        </is>
      </c>
      <c r="E768" s="10" t="inlineStr">
        <is>
          <t>Lương:10 Tr - 20 Tr VND</t>
        </is>
      </c>
      <c r="F768" s="10" t="inlineStr">
        <is>
          <t>Hồ Chí Minh</t>
        </is>
      </c>
      <c r="G768" s="10" t="inlineStr">
        <is>
          <t>08-04-2026</t>
        </is>
      </c>
      <c r="H768" s="10" t="inlineStr">
        <is>
          <t>08/04/2026</t>
        </is>
      </c>
      <c r="I768" s="10" t="inlineStr">
        <is>
          <t>17/03/2026</t>
        </is>
      </c>
      <c r="J768" s="10" t="inlineStr">
        <is>
          <t>Thương mại điện tử, Giải trí, Quảng cáo / Đối ngoại / Truyền Thông</t>
        </is>
      </c>
      <c r="K768" s="10" t="inlineStr">
        <is>
          <t>N/A</t>
        </is>
      </c>
      <c r="L768" s="11">
        <f>HYPERLINK("https://careerviet.vn/vi/tim-viec-lam/nhan-vien-livestream.35C64F1B.html","Xem chi tiết")</f>
        <v/>
      </c>
      <c r="M768" s="10" t="n"/>
    </row>
    <row r="769">
      <c r="B769" s="7" t="n">
        <v>767</v>
      </c>
      <c r="C769" t="inlineStr">
        <is>
          <t>Project Sales Manager</t>
        </is>
      </c>
      <c r="D769" t="inlineStr">
        <is>
          <t>CÔNG TY CỔ PHẦN GIẢI PHÁP VPOWER</t>
        </is>
      </c>
      <c r="E769" t="inlineStr">
        <is>
          <t>Lương:Cạnh tranh</t>
        </is>
      </c>
      <c r="F769" t="inlineStr">
        <is>
          <t>Hồ Chí Minh</t>
        </is>
      </c>
      <c r="G769" t="inlineStr">
        <is>
          <t>09-04-2026</t>
        </is>
      </c>
      <c r="H769" t="inlineStr">
        <is>
          <t>09/04/2026</t>
        </is>
      </c>
      <c r="I769" t="inlineStr">
        <is>
          <t>17/03/2026</t>
        </is>
      </c>
      <c r="J769" t="inlineStr">
        <is>
          <t>Bán Hàng Kỹ Thuật, Quản lý điều hành, Bán hàng / Kinh doanh</t>
        </is>
      </c>
      <c r="K769" t="inlineStr">
        <is>
          <t>5 - 7 Năm</t>
        </is>
      </c>
      <c r="L769" s="8">
        <f>HYPERLINK("https://careerviet.vn/vi/tim-viec-lam/project-sales-manager.35C650DA.html","Xem chi tiết")</f>
        <v/>
      </c>
    </row>
    <row r="770">
      <c r="B770" s="9" t="n">
        <v>768</v>
      </c>
      <c r="C770" s="10" t="inlineStr">
        <is>
          <t>NHÂN VIÊN PIE</t>
        </is>
      </c>
      <c r="D770" s="10" t="inlineStr">
        <is>
          <t>CÔNG TY TNHH TOPBAND SMART ĐỒNG NAI (VIỆT NAM)</t>
        </is>
      </c>
      <c r="E770" s="10" t="inlineStr">
        <is>
          <t>Lương:10 Tr - 20 Tr VND</t>
        </is>
      </c>
      <c r="F770" s="10" t="inlineStr">
        <is>
          <t>Đồng Nai</t>
        </is>
      </c>
      <c r="G770" s="10" t="inlineStr">
        <is>
          <t>05-04-2026</t>
        </is>
      </c>
      <c r="H770" s="10" t="inlineStr">
        <is>
          <t>05/04/2026</t>
        </is>
      </c>
      <c r="I770" s="10" t="inlineStr">
        <is>
          <t>17/03/2026</t>
        </is>
      </c>
      <c r="J770" s="10" t="inlineStr">
        <is>
          <t>Thương mại điện tử, Hành chính / Thư ký, Điện / Điện tử / Điện lạnh / Điện công nghiệp</t>
        </is>
      </c>
      <c r="K770" s="10" t="inlineStr">
        <is>
          <t>1 - 2 Năm</t>
        </is>
      </c>
      <c r="L770" s="11">
        <f>HYPERLINK("https://careerviet.vn/vi/tim-viec-lam/nhan-vien-pie.35C64961.html","Xem chi tiết")</f>
        <v/>
      </c>
      <c r="M770" s="10" t="n"/>
    </row>
    <row r="771">
      <c r="B771" s="7" t="n">
        <v>769</v>
      </c>
      <c r="C771" t="inlineStr">
        <is>
          <t>Chuyên Viên Quản Lý Khối Lượng</t>
        </is>
      </c>
      <c r="D771" t="inlineStr">
        <is>
          <t>Công Ty Cổ Phần Kiến Trúc Tư Vấn Quản Lý Đông Dương</t>
        </is>
      </c>
      <c r="E771" t="inlineStr">
        <is>
          <t>Lương:Cạnh tranh</t>
        </is>
      </c>
      <c r="F771" t="inlineStr">
        <is>
          <t>Đồng NaiHồ Chí Minh</t>
        </is>
      </c>
      <c r="G771" t="inlineStr">
        <is>
          <t>31-03-2026</t>
        </is>
      </c>
      <c r="H771" t="inlineStr">
        <is>
          <t>31/03/2026</t>
        </is>
      </c>
      <c r="I771" t="inlineStr">
        <is>
          <t>17/03/2026</t>
        </is>
      </c>
      <c r="J771" t="inlineStr">
        <is>
          <t>Quản lý chất lượng (QA/QC), Xây dựng, An toàn lao động</t>
        </is>
      </c>
      <c r="K771" t="inlineStr">
        <is>
          <t>Trên 1 Năm</t>
        </is>
      </c>
      <c r="L771" s="8">
        <f>HYPERLINK("https://careerviet.vn/vi/tim-viec-lam/chuyen-vien-quan-ly-khoi-luong.35C6459C.html","Xem chi tiết")</f>
        <v/>
      </c>
    </row>
    <row r="772">
      <c r="B772" s="9" t="n">
        <v>770</v>
      </c>
      <c r="C772" s="10" t="inlineStr">
        <is>
          <t>NHÂN VIÊN PE/IE</t>
        </is>
      </c>
      <c r="D772" s="10" t="inlineStr">
        <is>
          <t>CÔNG TY TNHH TOPBAND SMART ĐỒNG NAI (VIỆT NAM)</t>
        </is>
      </c>
      <c r="E772" s="10" t="inlineStr">
        <is>
          <t>Lương:10 Tr - 20 Tr VND</t>
        </is>
      </c>
      <c r="F772" s="10" t="inlineStr">
        <is>
          <t>Đồng Nai</t>
        </is>
      </c>
      <c r="G772" s="10" t="inlineStr">
        <is>
          <t>05-04-2026</t>
        </is>
      </c>
      <c r="H772" s="10" t="inlineStr">
        <is>
          <t>05/04/2026</t>
        </is>
      </c>
      <c r="I772" s="10" t="inlineStr">
        <is>
          <t>17/03/2026</t>
        </is>
      </c>
      <c r="J772" s="10" t="inlineStr">
        <is>
          <t>Thương mại điện tử, Điện / Điện tử / Điện lạnh / Điện công nghiệp, Thu mua / Vật tư</t>
        </is>
      </c>
      <c r="K772" s="10" t="inlineStr">
        <is>
          <t>1 - 2 Năm</t>
        </is>
      </c>
      <c r="L772" s="11">
        <f>HYPERLINK("https://careerviet.vn/vi/tim-viec-lam/nhan-vien-pe-ie.35C64957.html","Xem chi tiết")</f>
        <v/>
      </c>
      <c r="M772" s="10" t="n"/>
    </row>
    <row r="773">
      <c r="B773" s="7" t="n">
        <v>771</v>
      </c>
      <c r="C773" t="inlineStr">
        <is>
          <t>Kỹ Sư QS (Mảng Điện)</t>
        </is>
      </c>
      <c r="D773" t="inlineStr">
        <is>
          <t>Công Ty TNHH Việt Nam Kandenko</t>
        </is>
      </c>
      <c r="E773" t="inlineStr">
        <is>
          <t>Lương:Cạnh tranh</t>
        </is>
      </c>
      <c r="F773" t="inlineStr">
        <is>
          <t>Hồ Chí Minh</t>
        </is>
      </c>
      <c r="G773" t="inlineStr">
        <is>
          <t>5</t>
        </is>
      </c>
      <c r="H773" t="inlineStr">
        <is>
          <t>22/03/2026</t>
        </is>
      </c>
      <c r="I773" t="inlineStr">
        <is>
          <t>17/03/2026</t>
        </is>
      </c>
      <c r="J773" t="inlineStr">
        <is>
          <t>Điện / Điện tử / Điện lạnh / Điện công nghiệp, Kiến trúc, Xây dựng</t>
        </is>
      </c>
      <c r="K773" t="inlineStr">
        <is>
          <t>Trên 2 Năm</t>
        </is>
      </c>
      <c r="L773" s="8">
        <f>HYPERLINK("https://careerviet.vn/vi/tim-viec-lam/ky-su-qs-mang-dien.35C6640C.html","Xem chi tiết")</f>
        <v/>
      </c>
    </row>
    <row r="774">
      <c r="B774" s="9" t="n">
        <v>772</v>
      </c>
      <c r="C774" s="10" t="inlineStr">
        <is>
          <t>Recruitment Specialist (up to Manager)</t>
        </is>
      </c>
      <c r="D774" s="10" t="inlineStr">
        <is>
          <t>Amkor Technology Việt Nam</t>
        </is>
      </c>
      <c r="E774" s="10" t="inlineStr">
        <is>
          <t>Lương:Cạnh tranh</t>
        </is>
      </c>
      <c r="F774" s="10" t="inlineStr">
        <is>
          <t>Bắc Ninh</t>
        </is>
      </c>
      <c r="G774" s="10" t="inlineStr">
        <is>
          <t>30-03-2026</t>
        </is>
      </c>
      <c r="H774" s="10" t="inlineStr">
        <is>
          <t>30/03/2026</t>
        </is>
      </c>
      <c r="I774" s="10" t="inlineStr">
        <is>
          <t>17/03/2026</t>
        </is>
      </c>
      <c r="J774" s="10" t="inlineStr">
        <is>
          <t>Nhân sự</t>
        </is>
      </c>
      <c r="K774" s="10" t="inlineStr">
        <is>
          <t>2 - 15 Năm</t>
        </is>
      </c>
      <c r="L774" s="11">
        <f>HYPERLINK("https://careerviet.vn/vi/tim-viec-lam/recruitment-specialist-up-to-manager.35C64405.html","Xem chi tiết")</f>
        <v/>
      </c>
      <c r="M774" s="10" t="n"/>
    </row>
    <row r="775">
      <c r="B775" s="7" t="n">
        <v>773</v>
      </c>
      <c r="C775" t="inlineStr">
        <is>
          <t>Nhân  viên Điều phối Kho vận</t>
        </is>
      </c>
      <c r="D775" t="inlineStr">
        <is>
          <t>Công Ty Cổ Phần Dệt Trần Hiệp Thành</t>
        </is>
      </c>
      <c r="E775" t="inlineStr">
        <is>
          <t>Lương:Cạnh tranh</t>
        </is>
      </c>
      <c r="F775" t="inlineStr">
        <is>
          <t>Tây Ninh</t>
        </is>
      </c>
      <c r="G775" t="inlineStr">
        <is>
          <t>27-03-2026</t>
        </is>
      </c>
      <c r="H775" t="inlineStr">
        <is>
          <t>27/03/2026</t>
        </is>
      </c>
      <c r="I775" t="inlineStr">
        <is>
          <t>17/03/2026</t>
        </is>
      </c>
      <c r="J775" t="inlineStr">
        <is>
          <t>Vận chuyển / Giao nhận / Kho vận, Sản xuất / Vận hành sản xuất, Dệt may / Da giày / Thời trang</t>
        </is>
      </c>
      <c r="K775" t="inlineStr">
        <is>
          <t>Trên 1 Năm</t>
        </is>
      </c>
      <c r="L775" s="8">
        <f>HYPERLINK("https://careerviet.vn/vi/tim-viec-lam/nhan-vien-dieu-phoi-kho-van.35C64026.html","Xem chi tiết")</f>
        <v/>
      </c>
    </row>
    <row r="776">
      <c r="B776" s="9" t="n">
        <v>774</v>
      </c>
      <c r="C776" s="10" t="inlineStr">
        <is>
          <t>CV/CVC/CVCC Hỗ trợ Tín dụng Khách hàng Doanh nghiệp</t>
        </is>
      </c>
      <c r="D776" s="10" t="inlineStr">
        <is>
          <t>Ngân Hàng TMCP Quốc Dân (NCB)</t>
        </is>
      </c>
      <c r="E776" s="10" t="inlineStr">
        <is>
          <t>Lương:Cạnh tranh</t>
        </is>
      </c>
      <c r="F776" s="10" t="inlineStr">
        <is>
          <t>Hà Nội</t>
        </is>
      </c>
      <c r="G776" s="10" t="inlineStr">
        <is>
          <t>08-04-2026</t>
        </is>
      </c>
      <c r="H776" s="10" t="inlineStr">
        <is>
          <t>08/04/2026</t>
        </is>
      </c>
      <c r="I776" s="10" t="inlineStr">
        <is>
          <t>17/03/2026</t>
        </is>
      </c>
      <c r="J776" s="10" t="inlineStr">
        <is>
          <t>Bán hàng / Kinh doanh, Tư vấn, Ngân hàng</t>
        </is>
      </c>
      <c r="K776" s="10" t="inlineStr">
        <is>
          <t>Trên 1 Năm</t>
        </is>
      </c>
      <c r="L776" s="11">
        <f>HYPERLINK("https://careerviet.vn/vi/tim-viec-lam/cv-cvc-cvcc-ho-tro-tin-dung-khach-hang-doanh-nghiep.35C6505A.html","Xem chi tiết")</f>
        <v/>
      </c>
      <c r="M776" s="10" t="n"/>
    </row>
    <row r="777">
      <c r="B777" s="7" t="n">
        <v>775</v>
      </c>
      <c r="C777" t="inlineStr">
        <is>
          <t>CHỈ HUY PHÓ CÔNG TRÌNH</t>
        </is>
      </c>
      <c r="D777" t="inlineStr">
        <is>
          <t>Công ty CP Thương Mại và Xây Dựng Tài Phú</t>
        </is>
      </c>
      <c r="E777" t="inlineStr">
        <is>
          <t>Lương:Cạnh tranh</t>
        </is>
      </c>
      <c r="F777" t="inlineStr">
        <is>
          <t>Hồ Chí MinhBình Thuận</t>
        </is>
      </c>
      <c r="G777" t="inlineStr">
        <is>
          <t>26-03-2026</t>
        </is>
      </c>
      <c r="H777" t="inlineStr">
        <is>
          <t>26/03/2026</t>
        </is>
      </c>
      <c r="I777" t="inlineStr">
        <is>
          <t>17/03/2026</t>
        </is>
      </c>
      <c r="J777" t="inlineStr">
        <is>
          <t>Mỹ thuật / Nghệ thuật / Thiết kế, Kiến trúc, Xây dựng</t>
        </is>
      </c>
      <c r="K777" t="inlineStr">
        <is>
          <t>5 - 7 Năm</t>
        </is>
      </c>
      <c r="L777" s="8">
        <f>HYPERLINK("https://careerviet.vn/vi/tim-viec-lam/chi-huy-pho-cong-trinh.35C63EB4.html","Xem chi tiết")</f>
        <v/>
      </c>
    </row>
    <row r="778">
      <c r="B778" s="9" t="n">
        <v>776</v>
      </c>
      <c r="C778" s="10" t="inlineStr">
        <is>
          <t>Kiểm soát viên (Lưu động)</t>
        </is>
      </c>
      <c r="D778" s="10" t="inlineStr">
        <is>
          <t>Ngân Hàng TMCP Quốc Dân (NCB)</t>
        </is>
      </c>
      <c r="E778" s="10" t="inlineStr">
        <is>
          <t>Lương:Cạnh tranh</t>
        </is>
      </c>
      <c r="F778" s="10" t="inlineStr">
        <is>
          <t>Hà Nội</t>
        </is>
      </c>
      <c r="G778" s="10" t="inlineStr">
        <is>
          <t>08-04-2026</t>
        </is>
      </c>
      <c r="H778" s="10" t="inlineStr">
        <is>
          <t>08/04/2026</t>
        </is>
      </c>
      <c r="I778" s="10" t="inlineStr">
        <is>
          <t>17/03/2026</t>
        </is>
      </c>
      <c r="J778" s="10" t="inlineStr">
        <is>
          <t>Bán hàng / Kinh doanh, Dịch vụ khách hàng, Ngân hàng</t>
        </is>
      </c>
      <c r="K778" s="10" t="inlineStr">
        <is>
          <t>Trên 1 Năm</t>
        </is>
      </c>
      <c r="L778" s="11">
        <f>HYPERLINK("https://careerviet.vn/vi/tim-viec-lam/kiem-soat-vien-luu-dong.35C65046.html","Xem chi tiết")</f>
        <v/>
      </c>
      <c r="M778" s="10" t="n"/>
    </row>
    <row r="779">
      <c r="B779" s="7" t="n">
        <v>777</v>
      </c>
      <c r="C779" t="inlineStr">
        <is>
          <t>[Dĩ An] Trợ Lý Tổng Giám Đốc</t>
        </is>
      </c>
      <c r="D779" t="inlineStr">
        <is>
          <t>CÔNG TY CP THỰC PHẨM VÀ NƯỚC GIẢI KHÁT NAM VIỆT</t>
        </is>
      </c>
      <c r="E779" t="inlineStr">
        <is>
          <t>Lương:Cạnh tranh</t>
        </is>
      </c>
      <c r="F779" t="inlineStr">
        <is>
          <t>Bình Dương</t>
        </is>
      </c>
      <c r="G779" t="inlineStr">
        <is>
          <t>5</t>
        </is>
      </c>
      <c r="H779" t="inlineStr">
        <is>
          <t>22/03/2026</t>
        </is>
      </c>
      <c r="I779" t="inlineStr">
        <is>
          <t>17/03/2026</t>
        </is>
      </c>
      <c r="J779" t="inlineStr">
        <is>
          <t>Hành chính / Thư ký, Biên phiên dịch, Quảng cáo / Đối ngoại / Truyền Thông</t>
        </is>
      </c>
      <c r="K779" t="inlineStr">
        <is>
          <t>3 - 5 Năm</t>
        </is>
      </c>
      <c r="L779" s="8">
        <f>HYPERLINK("https://careerviet.vn/vi/tim-viec-lam/di-an-tro-ly-tong-giam-doc.35C663B5.html","Xem chi tiết")</f>
        <v/>
      </c>
    </row>
    <row r="780">
      <c r="B780" s="9" t="n">
        <v>778</v>
      </c>
      <c r="C780" s="10" t="inlineStr">
        <is>
          <t>Kế Toán Tổng Hợp</t>
        </is>
      </c>
      <c r="D780" s="10" t="inlineStr">
        <is>
          <t>Công ty TNHH Earth Việt Nam</t>
        </is>
      </c>
      <c r="E780" s="10" t="inlineStr">
        <is>
          <t>Lương:12 Tr - 15 Tr VND</t>
        </is>
      </c>
      <c r="F780" s="10" t="inlineStr">
        <is>
          <t>Hồ Chí Minh</t>
        </is>
      </c>
      <c r="G780" s="10" t="inlineStr">
        <is>
          <t>4</t>
        </is>
      </c>
      <c r="H780" s="10" t="inlineStr">
        <is>
          <t>21/03/2026</t>
        </is>
      </c>
      <c r="I780" s="10" t="inlineStr">
        <is>
          <t>17/03/2026</t>
        </is>
      </c>
      <c r="J780" s="10" t="inlineStr">
        <is>
          <t>Kế toán / Kiểm toán, Ngân hàng, Tài chính / Đầu tư</t>
        </is>
      </c>
      <c r="K780" s="10" t="inlineStr">
        <is>
          <t>Trên 2 Năm</t>
        </is>
      </c>
      <c r="L780" s="11">
        <f>HYPERLINK("https://careerviet.vn/vi/tim-viec-lam/ke-toan-tong-hop.35C66208.html","Xem chi tiết")</f>
        <v/>
      </c>
      <c r="M780" s="10" t="n"/>
    </row>
    <row r="781">
      <c r="B781" s="7" t="n">
        <v>779</v>
      </c>
      <c r="C781" t="inlineStr">
        <is>
          <t>Chuyên viên Quy trình ISO</t>
        </is>
      </c>
      <c r="D781" t="inlineStr">
        <is>
          <t>TẬP ĐOÀN NAMGROUP</t>
        </is>
      </c>
      <c r="E781" t="inlineStr">
        <is>
          <t>Lương:Cạnh tranh</t>
        </is>
      </c>
      <c r="F781" t="inlineStr">
        <is>
          <t>Hồ Chí Minh</t>
        </is>
      </c>
      <c r="G781" t="inlineStr">
        <is>
          <t>26-03-2026</t>
        </is>
      </c>
      <c r="H781" t="inlineStr">
        <is>
          <t>26/03/2026</t>
        </is>
      </c>
      <c r="I781" t="inlineStr">
        <is>
          <t>17/03/2026</t>
        </is>
      </c>
      <c r="J781" t="inlineStr">
        <is>
          <t>Bất động sản</t>
        </is>
      </c>
      <c r="K781" t="inlineStr">
        <is>
          <t>3 - 5 Năm</t>
        </is>
      </c>
      <c r="L781" s="8">
        <f>HYPERLINK("https://careerviet.vn/vi/tim-viec-lam/chuyen-vien-quy-trinh-iso.35C63F6B.html","Xem chi tiết")</f>
        <v/>
      </c>
    </row>
    <row r="782">
      <c r="B782" s="9" t="n">
        <v>780</v>
      </c>
      <c r="C782" s="10" t="inlineStr">
        <is>
          <t>KỸ SƯ THIẾT KẾ CHẾ TẠO MÁY</t>
        </is>
      </c>
      <c r="D782" s="10" t="inlineStr">
        <is>
          <t>Công Ty Cổ Phần Cơ Khí Chính Xác VN-J</t>
        </is>
      </c>
      <c r="E782" s="10" t="inlineStr">
        <is>
          <t>Lương:Cạnh tranh</t>
        </is>
      </c>
      <c r="F782" s="10" t="inlineStr">
        <is>
          <t>Hà Nội</t>
        </is>
      </c>
      <c r="G782" s="10" t="inlineStr">
        <is>
          <t>30-03-2026</t>
        </is>
      </c>
      <c r="H782" s="10" t="inlineStr">
        <is>
          <t>30/03/2026</t>
        </is>
      </c>
      <c r="I782" s="10" t="inlineStr">
        <is>
          <t>17/03/2026</t>
        </is>
      </c>
      <c r="J782" s="10" t="inlineStr">
        <is>
          <t>Cơ khí / Ô tô / Tự động hóa, Điện / Điện tử / Điện lạnh / Điện công nghiệp, Mỹ thuật / Nghệ thuật / Thiết kế</t>
        </is>
      </c>
      <c r="K782" s="10" t="inlineStr">
        <is>
          <t>Trên 1 Năm</t>
        </is>
      </c>
      <c r="L782" s="11">
        <f>HYPERLINK("https://careerviet.vn/vi/tim-viec-lam/ky-su-thiet-ke-che-tao-may.35C64282.html","Xem chi tiết")</f>
        <v/>
      </c>
      <c r="M782" s="10" t="n"/>
    </row>
    <row r="783">
      <c r="B783" s="7" t="n">
        <v>781</v>
      </c>
      <c r="C783" t="inlineStr">
        <is>
          <t>Bếp trưởng Bếp ăn công nghiệp</t>
        </is>
      </c>
      <c r="D783" t="inlineStr">
        <is>
          <t>Công Ty Cổ Phần Dệt Trần Hiệp Thành</t>
        </is>
      </c>
      <c r="E783" t="inlineStr">
        <is>
          <t>Lương:Cạnh tranh</t>
        </is>
      </c>
      <c r="F783" t="inlineStr">
        <is>
          <t>Tây Ninh</t>
        </is>
      </c>
      <c r="G783" t="inlineStr">
        <is>
          <t>27-03-2026</t>
        </is>
      </c>
      <c r="H783" t="inlineStr">
        <is>
          <t>27/03/2026</t>
        </is>
      </c>
      <c r="I783" t="inlineStr">
        <is>
          <t>17/03/2026</t>
        </is>
      </c>
      <c r="J783" t="inlineStr">
        <is>
          <t>Thực phẩm &amp; Đồ uống, Nhà hàng / Khách sạn, Công nghệ thực phẩm / Dinh dưỡng</t>
        </is>
      </c>
      <c r="K783" t="inlineStr">
        <is>
          <t>Trên 2 Năm</t>
        </is>
      </c>
      <c r="L783" s="8">
        <f>HYPERLINK("https://careerviet.vn/vi/tim-viec-lam/bep-truong-bep-an-cong-nghiep.35C64025.html","Xem chi tiết")</f>
        <v/>
      </c>
    </row>
    <row r="784">
      <c r="B784" s="9" t="n">
        <v>782</v>
      </c>
      <c r="C784" s="10" t="inlineStr">
        <is>
          <t>Quản Lý Kinh Doanh</t>
        </is>
      </c>
      <c r="D784" s="10" t="inlineStr">
        <is>
          <t>HỆ THỐNG VƯỜN TÙNG TOÀN JP</t>
        </is>
      </c>
      <c r="E784" s="10" t="inlineStr">
        <is>
          <t>Lương:15 Tr - 20 Tr VND</t>
        </is>
      </c>
      <c r="F784" s="10" t="inlineStr">
        <is>
          <t>Hà Nội</t>
        </is>
      </c>
      <c r="G784" s="10" t="inlineStr">
        <is>
          <t>4</t>
        </is>
      </c>
      <c r="H784" s="10" t="inlineStr">
        <is>
          <t>21/03/2026</t>
        </is>
      </c>
      <c r="I784" s="10" t="inlineStr">
        <is>
          <t>17/03/2026</t>
        </is>
      </c>
      <c r="J784" s="10" t="inlineStr">
        <is>
          <t>Bán hàng / Kinh doanh, Kiến trúc, Quản lý điều hành</t>
        </is>
      </c>
      <c r="K784" s="10" t="inlineStr">
        <is>
          <t>N/A</t>
        </is>
      </c>
      <c r="L784" s="11">
        <f>HYPERLINK("https://careerviet.vn/vi/tim-viec-lam/quan-ly-kinh-doanh.35C661CF.html","Xem chi tiết")</f>
        <v/>
      </c>
      <c r="M784" s="10" t="n"/>
    </row>
    <row r="785">
      <c r="B785" s="7" t="n">
        <v>783</v>
      </c>
      <c r="C785" t="inlineStr">
        <is>
          <t>ACCOUNTANT</t>
        </is>
      </c>
      <c r="D785" t="inlineStr">
        <is>
          <t>Vietnam Star Automobile</t>
        </is>
      </c>
      <c r="E785" t="inlineStr">
        <is>
          <t>Lương:Cạnh tranh</t>
        </is>
      </c>
      <c r="F785" t="inlineStr">
        <is>
          <t>Hồ Chí Minh</t>
        </is>
      </c>
      <c r="G785" t="inlineStr">
        <is>
          <t>26-03-2026</t>
        </is>
      </c>
      <c r="H785" t="inlineStr">
        <is>
          <t>26/03/2026</t>
        </is>
      </c>
      <c r="I785" t="inlineStr">
        <is>
          <t>17/03/2026</t>
        </is>
      </c>
      <c r="J785" t="inlineStr">
        <is>
          <t>Kế toán / Kiểm toán, Cơ khí / Ô tô / Tự động hóa, Tài chính / Đầu tư</t>
        </is>
      </c>
      <c r="K785" t="inlineStr">
        <is>
          <t>2 - 4 Năm</t>
        </is>
      </c>
      <c r="L785" s="8">
        <f>HYPERLINK("https://careerviet.vn/vi/tim-viec-lam/accountant.35C63F4F.html","Xem chi tiết")</f>
        <v/>
      </c>
    </row>
    <row r="786">
      <c r="B786" s="9" t="n">
        <v>784</v>
      </c>
      <c r="C786" s="10" t="inlineStr">
        <is>
          <t>GIÁM SÁT CÔNG TRÌNH</t>
        </is>
      </c>
      <c r="D786" s="10" t="inlineStr">
        <is>
          <t>NEM FURNITURE JSC</t>
        </is>
      </c>
      <c r="E786" s="10" t="inlineStr">
        <is>
          <t>Lương:Cạnh tranh</t>
        </is>
      </c>
      <c r="F786" s="10" t="inlineStr">
        <is>
          <t>Bà Rịa - Vũng TàuQuảng NinhLâm Đồng</t>
        </is>
      </c>
      <c r="G786" s="10" t="inlineStr">
        <is>
          <t>29-03-2026</t>
        </is>
      </c>
      <c r="H786" s="10" t="inlineStr">
        <is>
          <t>29/03/2026</t>
        </is>
      </c>
      <c r="I786" s="10" t="inlineStr">
        <is>
          <t>17/03/2026</t>
        </is>
      </c>
      <c r="J786" s="10" t="inlineStr">
        <is>
          <t>Kiến trúc, Xây dựng, Nội ngoại thất</t>
        </is>
      </c>
      <c r="K786" s="10" t="inlineStr">
        <is>
          <t>2 - 5 Năm</t>
        </is>
      </c>
      <c r="L786" s="11">
        <f>HYPERLINK("https://careerviet.vn/vi/tim-viec-lam/giam-sat-cong-trinh.35C64215.html","Xem chi tiết")</f>
        <v/>
      </c>
      <c r="M786" s="10" t="n"/>
    </row>
    <row r="787">
      <c r="B787" s="7" t="n">
        <v>785</v>
      </c>
      <c r="C787" t="inlineStr">
        <is>
          <t>Nhân viên Thiết kế vải (RD)</t>
        </is>
      </c>
      <c r="D787" t="inlineStr">
        <is>
          <t>Công Ty Cổ Phần Dệt Trần Hiệp Thành</t>
        </is>
      </c>
      <c r="E787" t="inlineStr">
        <is>
          <t>Lương:10 Tr - 15 Tr VND</t>
        </is>
      </c>
      <c r="F787" t="inlineStr">
        <is>
          <t>Tây Ninh</t>
        </is>
      </c>
      <c r="G787" t="inlineStr">
        <is>
          <t>27-03-2026</t>
        </is>
      </c>
      <c r="H787" t="inlineStr">
        <is>
          <t>27/03/2026</t>
        </is>
      </c>
      <c r="I787" t="inlineStr">
        <is>
          <t>17/03/2026</t>
        </is>
      </c>
      <c r="J787" t="inlineStr">
        <is>
          <t>Mỹ thuật / Nghệ thuật / Thiết kế, Sản xuất / Vận hành sản xuất, Dệt may / Da giày / Thời trang</t>
        </is>
      </c>
      <c r="K787" t="inlineStr">
        <is>
          <t>Trên 1 Năm</t>
        </is>
      </c>
      <c r="L787" s="8">
        <f>HYPERLINK("https://careerviet.vn/vi/tim-viec-lam/nhan-vien-thiet-ke-vai-rd.35C6402E.html","Xem chi tiết")</f>
        <v/>
      </c>
    </row>
    <row r="788">
      <c r="B788" s="9" t="n">
        <v>786</v>
      </c>
      <c r="C788" s="10" t="inlineStr">
        <is>
          <t>KỸ SƯ SHOPDRAWING</t>
        </is>
      </c>
      <c r="D788" s="10" t="inlineStr">
        <is>
          <t>Công ty CP Thương Mại và Xây Dựng Tài Phú</t>
        </is>
      </c>
      <c r="E788" s="10" t="inlineStr">
        <is>
          <t>Lương:23 Tr - 26 Tr VND</t>
        </is>
      </c>
      <c r="F788" s="10" t="inlineStr">
        <is>
          <t>Hồ Chí MinhBình Thuận</t>
        </is>
      </c>
      <c r="G788" s="10" t="inlineStr">
        <is>
          <t>26-03-2026</t>
        </is>
      </c>
      <c r="H788" s="10" t="inlineStr">
        <is>
          <t>26/03/2026</t>
        </is>
      </c>
      <c r="I788" s="10" t="inlineStr">
        <is>
          <t>17/03/2026</t>
        </is>
      </c>
      <c r="J788" s="10" t="inlineStr">
        <is>
          <t>Mỹ thuật / Nghệ thuật / Thiết kế, Kiến trúc, Xây dựng</t>
        </is>
      </c>
      <c r="K788" s="10" t="inlineStr">
        <is>
          <t>2 - 3 Năm</t>
        </is>
      </c>
      <c r="L788" s="11">
        <f>HYPERLINK("https://careerviet.vn/vi/tim-viec-lam/ky-su-shopdrawing.35C63ED6.html","Xem chi tiết")</f>
        <v/>
      </c>
      <c r="M788" s="10" t="n"/>
    </row>
    <row r="789">
      <c r="B789" s="7" t="n">
        <v>787</v>
      </c>
      <c r="C789" t="inlineStr">
        <is>
          <t>CV/CVC/CVCC Quan hệ khách hàng cá nhân mảng ưu tiên (Khu vực Hà Nội)</t>
        </is>
      </c>
      <c r="D789" t="inlineStr">
        <is>
          <t>Ngân Hàng TMCP Quốc Dân (NCB)</t>
        </is>
      </c>
      <c r="E789" t="inlineStr">
        <is>
          <t>Lương:Cạnh tranh</t>
        </is>
      </c>
      <c r="F789" t="inlineStr">
        <is>
          <t>Hà Nội</t>
        </is>
      </c>
      <c r="G789" t="inlineStr">
        <is>
          <t>26-03-2026</t>
        </is>
      </c>
      <c r="H789" t="inlineStr">
        <is>
          <t>26/03/2026</t>
        </is>
      </c>
      <c r="I789" t="inlineStr">
        <is>
          <t>17/03/2026</t>
        </is>
      </c>
      <c r="J789" t="inlineStr">
        <is>
          <t>Tư vấn, Dịch vụ khách hàng, Ngân hàng</t>
        </is>
      </c>
      <c r="K789" t="inlineStr">
        <is>
          <t>Trên 1 Năm</t>
        </is>
      </c>
      <c r="L789" s="8">
        <f>HYPERLINK("https://careerviet.vn/vi/tim-viec-lam/cv-cvc-cvcc-quan-he-khach-hang-ca-nhan-mang-uu-tien-khu-vuc-ha-noi.35C63EA5.html","Xem chi tiết")</f>
        <v/>
      </c>
    </row>
    <row r="790">
      <c r="B790" s="9" t="n">
        <v>788</v>
      </c>
      <c r="C790" s="10" t="inlineStr">
        <is>
          <t>IT Security Team Lead</t>
        </is>
      </c>
      <c r="D790" s="10" t="inlineStr">
        <is>
          <t>HD SAISON Finance Co., Ltd</t>
        </is>
      </c>
      <c r="E790" s="10" t="inlineStr">
        <is>
          <t>Lương:Cạnh tranh</t>
        </is>
      </c>
      <c r="F790" s="10" t="inlineStr">
        <is>
          <t>Hồ Chí Minh</t>
        </is>
      </c>
      <c r="G790" s="10" t="inlineStr">
        <is>
          <t>31-03-2026</t>
        </is>
      </c>
      <c r="H790" s="10" t="inlineStr">
        <is>
          <t>31/03/2026</t>
        </is>
      </c>
      <c r="I790" s="10" t="inlineStr">
        <is>
          <t>17/03/2026</t>
        </is>
      </c>
      <c r="J790" s="10" t="inlineStr">
        <is>
          <t>CNTT - Phần mềm</t>
        </is>
      </c>
      <c r="K790" s="10" t="inlineStr">
        <is>
          <t>1 - 3 Năm</t>
        </is>
      </c>
      <c r="L790" s="11">
        <f>HYPERLINK("https://careerviet.vn/vi/tim-viec-lam/it-security-team-lead.35C645C1.html","Xem chi tiết")</f>
        <v/>
      </c>
      <c r="M790" s="10" t="n"/>
    </row>
    <row r="791">
      <c r="B791" s="7" t="n">
        <v>789</v>
      </c>
      <c r="C791" t="inlineStr">
        <is>
          <t>NHÂN VIÊN TRIỂN KHAI THI CÔNG (Shop Drawing)</t>
        </is>
      </c>
      <c r="D791" t="inlineStr">
        <is>
          <t>NEM FURNITURE JSC</t>
        </is>
      </c>
      <c r="E791" t="inlineStr">
        <is>
          <t>Lương:Cạnh tranh</t>
        </is>
      </c>
      <c r="F791" t="inlineStr">
        <is>
          <t>Hồ Chí MinhQuảng NinhHà Nội</t>
        </is>
      </c>
      <c r="G791" t="inlineStr">
        <is>
          <t>09-04-2026</t>
        </is>
      </c>
      <c r="H791" t="inlineStr">
        <is>
          <t>09/04/2026</t>
        </is>
      </c>
      <c r="I791" t="inlineStr">
        <is>
          <t>17/03/2026</t>
        </is>
      </c>
      <c r="J791" t="inlineStr">
        <is>
          <t>Xây dựng, Nội ngoại thất, Mỹ thuật / Nghệ thuật / Thiết kế</t>
        </is>
      </c>
      <c r="K791" t="inlineStr">
        <is>
          <t>2 - 3 Năm</t>
        </is>
      </c>
      <c r="L791" s="8">
        <f>HYPERLINK("https://careerviet.vn/vi/tim-viec-lam/nhan-vien-trien-khai-thi-cong-shop-drawing.35C6513F.html","Xem chi tiết")</f>
        <v/>
      </c>
    </row>
    <row r="792">
      <c r="B792" s="9" t="n">
        <v>790</v>
      </c>
      <c r="C792" s="10" t="inlineStr">
        <is>
          <t>Nhân Viên Tư Vấn Tuyển Sinh (Thuận An / Bến Cát)</t>
        </is>
      </c>
      <c r="D792" s="10" t="inlineStr">
        <is>
          <t>Cổ Phần Quốc Tế Anh Văn Hội Việt Mỹ (VUS)</t>
        </is>
      </c>
      <c r="E792" s="10" t="inlineStr">
        <is>
          <t>Lương:8 Tr - 12 Tr VND</t>
        </is>
      </c>
      <c r="F792" s="10" t="inlineStr">
        <is>
          <t>Bình Dương</t>
        </is>
      </c>
      <c r="G792" s="10" t="inlineStr">
        <is>
          <t>25-03-2026</t>
        </is>
      </c>
      <c r="H792" s="10" t="inlineStr">
        <is>
          <t>25/03/2026</t>
        </is>
      </c>
      <c r="I792" s="10" t="inlineStr">
        <is>
          <t>17/03/2026</t>
        </is>
      </c>
      <c r="J792" s="10" t="inlineStr">
        <is>
          <t>Bán hàng / Kinh doanh, Tư vấn, Giáo dục / Đào tạo</t>
        </is>
      </c>
      <c r="K792" s="10" t="inlineStr">
        <is>
          <t>1 - 2 Năm</t>
        </is>
      </c>
      <c r="L792" s="11">
        <f>HYPERLINK("https://careerviet.vn/vi/tim-viec-lam/nhan-vien-tu-van-tuyen-sinh-thuan-an-ben-cat.35C63D6A.html","Xem chi tiết")</f>
        <v/>
      </c>
      <c r="M792" s="10" t="n"/>
    </row>
    <row r="793">
      <c r="B793" s="7" t="n">
        <v>791</v>
      </c>
      <c r="C793" t="inlineStr">
        <is>
          <t>Nhân Viên Tư Vấn Tuyển Sinh (Biên Hòa / Long Thành / Long Khánh)</t>
        </is>
      </c>
      <c r="D793" t="inlineStr">
        <is>
          <t>Cổ Phần Quốc Tế Anh Văn Hội Việt Mỹ (VUS)</t>
        </is>
      </c>
      <c r="E793" t="inlineStr">
        <is>
          <t>Lương:8 Tr - 12 Tr VND</t>
        </is>
      </c>
      <c r="F793" t="inlineStr">
        <is>
          <t>Đồng Nai</t>
        </is>
      </c>
      <c r="G793" t="inlineStr">
        <is>
          <t>25-03-2026</t>
        </is>
      </c>
      <c r="H793" t="inlineStr">
        <is>
          <t>25/03/2026</t>
        </is>
      </c>
      <c r="I793" t="inlineStr">
        <is>
          <t>17/03/2026</t>
        </is>
      </c>
      <c r="J793" t="inlineStr">
        <is>
          <t>Bán hàng / Kinh doanh, Tư vấn, Giáo dục / Đào tạo</t>
        </is>
      </c>
      <c r="K793" t="inlineStr">
        <is>
          <t>1 - 2 Năm</t>
        </is>
      </c>
      <c r="L793" s="8">
        <f>HYPERLINK("https://careerviet.vn/vi/tim-viec-lam/nhan-vien-tu-van-tuyen-sinh-bien-hoa-long-thanh-long-khanh.35C63D61.html","Xem chi tiết")</f>
        <v/>
      </c>
    </row>
    <row r="794">
      <c r="B794" s="9" t="n">
        <v>792</v>
      </c>
      <c r="C794" s="10" t="inlineStr">
        <is>
          <t>Giao dịch viên - Khu vực Hà Nội</t>
        </is>
      </c>
      <c r="D794" s="10" t="inlineStr">
        <is>
          <t>Ngân Hàng TMCP Quốc Dân (NCB)</t>
        </is>
      </c>
      <c r="E794" s="10" t="inlineStr">
        <is>
          <t>Lương:8 Tr - 12 Tr VND</t>
        </is>
      </c>
      <c r="F794" s="10" t="inlineStr">
        <is>
          <t>Hà Nội</t>
        </is>
      </c>
      <c r="G794" s="10" t="inlineStr">
        <is>
          <t>26-03-2026</t>
        </is>
      </c>
      <c r="H794" s="10" t="inlineStr">
        <is>
          <t>26/03/2026</t>
        </is>
      </c>
      <c r="I794" s="10" t="inlineStr">
        <is>
          <t>17/03/2026</t>
        </is>
      </c>
      <c r="J794" s="10" t="inlineStr">
        <is>
          <t>Dịch vụ khách hàng, Ngân hàng</t>
        </is>
      </c>
      <c r="K794" s="10" t="inlineStr">
        <is>
          <t>Trên 1 Năm</t>
        </is>
      </c>
      <c r="L794" s="11">
        <f>HYPERLINK("https://careerviet.vn/vi/tim-viec-lam/giao-dich-vien-khu-vuc-ha-noi.35C63E87.html","Xem chi tiết")</f>
        <v/>
      </c>
      <c r="M794" s="10" t="n"/>
    </row>
    <row r="795">
      <c r="B795" s="7" t="n">
        <v>793</v>
      </c>
      <c r="C795" t="inlineStr">
        <is>
          <t>CV/CVC/CVCC Quan hệ khách hàng Cá nhân mảng tín dụng (Khu vực Hà Nội)</t>
        </is>
      </c>
      <c r="D795" t="inlineStr">
        <is>
          <t>Ngân Hàng TMCP Quốc Dân (NCB)</t>
        </is>
      </c>
      <c r="E795" t="inlineStr">
        <is>
          <t>Lương:Cạnh tranh</t>
        </is>
      </c>
      <c r="F795" t="inlineStr">
        <is>
          <t>Hà Nội</t>
        </is>
      </c>
      <c r="G795" t="inlineStr">
        <is>
          <t>26-03-2026</t>
        </is>
      </c>
      <c r="H795" t="inlineStr">
        <is>
          <t>26/03/2026</t>
        </is>
      </c>
      <c r="I795" t="inlineStr">
        <is>
          <t>17/03/2026</t>
        </is>
      </c>
      <c r="J795" t="inlineStr">
        <is>
          <t>Bán hàng / Kinh doanh, Dịch vụ khách hàng, Ngân hàng</t>
        </is>
      </c>
      <c r="K795" t="inlineStr">
        <is>
          <t>Trên 1 Năm</t>
        </is>
      </c>
      <c r="L795" s="8">
        <f>HYPERLINK("https://careerviet.vn/vi/tim-viec-lam/cv-cvc-cvcc-quan-he-khach-hang-ca-nhan-mang-tin-dung-khu-vuc-ha-noi.35C63E9D.html","Xem chi tiết")</f>
        <v/>
      </c>
    </row>
    <row r="796">
      <c r="B796" s="9" t="n">
        <v>794</v>
      </c>
      <c r="C796" s="10" t="inlineStr">
        <is>
          <t>QC Supervisor</t>
        </is>
      </c>
      <c r="D796" s="10" t="inlineStr">
        <is>
          <t>CÔNG TY TNHH RAPID AID VIỆT NAM</t>
        </is>
      </c>
      <c r="E796" s="10" t="inlineStr">
        <is>
          <t>Lương:Cạnh tranh</t>
        </is>
      </c>
      <c r="F796" s="10" t="inlineStr">
        <is>
          <t>Hải Phòng</t>
        </is>
      </c>
      <c r="G796" s="10" t="inlineStr">
        <is>
          <t>13-04-2026</t>
        </is>
      </c>
      <c r="H796" s="10" t="inlineStr">
        <is>
          <t>13/04/2026</t>
        </is>
      </c>
      <c r="I796" s="10" t="inlineStr">
        <is>
          <t>17/03/2026</t>
        </is>
      </c>
      <c r="J796" s="10" t="inlineStr">
        <is>
          <t>Cơ khí / Ô tô / Tự động hóa, Sản xuất / Vận hành sản xuất, Quản lý chất lượng (QA/QC)</t>
        </is>
      </c>
      <c r="K796" s="10" t="inlineStr">
        <is>
          <t>3 - 5 Năm</t>
        </is>
      </c>
      <c r="L796" s="11">
        <f>HYPERLINK("https://careerviet.vn/vi/tim-viec-lam/qc-supervisor.35C65772.html","Xem chi tiết")</f>
        <v/>
      </c>
      <c r="M796" s="10" t="n"/>
    </row>
    <row r="797">
      <c r="B797" s="7" t="n">
        <v>795</v>
      </c>
      <c r="C797" t="inlineStr">
        <is>
          <t>Chuyên viên Hỗ trợ kinh doanh - Khu vực Phú Quốc</t>
        </is>
      </c>
      <c r="D797" t="inlineStr">
        <is>
          <t>Ngân Hàng TMCP Quốc Dân (NCB)</t>
        </is>
      </c>
      <c r="E797" t="inlineStr">
        <is>
          <t>Lương:Cạnh tranh</t>
        </is>
      </c>
      <c r="F797" t="inlineStr">
        <is>
          <t>Kiên Giang</t>
        </is>
      </c>
      <c r="G797" t="inlineStr">
        <is>
          <t>Hôm nay</t>
        </is>
      </c>
      <c r="H797" t="inlineStr">
        <is>
          <t>17/03/2026</t>
        </is>
      </c>
      <c r="I797" t="inlineStr">
        <is>
          <t>17/03/2026</t>
        </is>
      </c>
      <c r="J797" t="inlineStr">
        <is>
          <t>Hành chính / Thư ký, Ngân hàng</t>
        </is>
      </c>
      <c r="K797" t="inlineStr">
        <is>
          <t>Trên 1 Năm</t>
        </is>
      </c>
      <c r="L797" s="8">
        <f>HYPERLINK("https://careerviet.vn/vi/tim-viec-lam/chuyen-vien-ho-tro-kinh-doanh-khu-vuc-phu-quoc.35C65CB2.html","Xem chi tiết")</f>
        <v/>
      </c>
    </row>
    <row r="798">
      <c r="B798" s="9" t="n">
        <v>796</v>
      </c>
      <c r="C798" s="10" t="inlineStr">
        <is>
          <t>Giám đốc Quan hệ khách hàng doanh nghiệp lớn (SRM - LCs) - Khu vực Hà Nội</t>
        </is>
      </c>
      <c r="D798" s="10" t="inlineStr">
        <is>
          <t>Ngân Hàng TMCP Quốc Dân (NCB)</t>
        </is>
      </c>
      <c r="E798" s="10" t="inlineStr">
        <is>
          <t>Lương:Cạnh tranh</t>
        </is>
      </c>
      <c r="F798" s="10" t="inlineStr">
        <is>
          <t>Hà Nội</t>
        </is>
      </c>
      <c r="G798" s="10" t="inlineStr">
        <is>
          <t>26-03-2026</t>
        </is>
      </c>
      <c r="H798" s="10" t="inlineStr">
        <is>
          <t>26/03/2026</t>
        </is>
      </c>
      <c r="I798" s="10" t="inlineStr">
        <is>
          <t>17/03/2026</t>
        </is>
      </c>
      <c r="J798" s="10" t="inlineStr">
        <is>
          <t>Tư vấn, Dịch vụ khách hàng, Ngân hàng</t>
        </is>
      </c>
      <c r="K798" s="10" t="inlineStr">
        <is>
          <t>Trên 1 Năm</t>
        </is>
      </c>
      <c r="L798" s="11">
        <f>HYPERLINK("https://careerviet.vn/vi/tim-viec-lam/giam-doc-quan-he-khach-hang-doanh-nghiep-lon-srm-lcs-khu-vuc-ha-noi.35C63EA7.html","Xem chi tiết")</f>
        <v/>
      </c>
      <c r="M798" s="10" t="n"/>
    </row>
    <row r="799">
      <c r="B799" s="7" t="n">
        <v>797</v>
      </c>
      <c r="C799" t="inlineStr">
        <is>
          <t>Kế Toán Tổng Hợp - Nội Bộ</t>
        </is>
      </c>
      <c r="D799" t="inlineStr">
        <is>
          <t>CÔNG TY TNHH ĐẦU TƯ XÂY DỰNG THƯƠNG MẠI DỊCH VỤ ĐẠI LONG</t>
        </is>
      </c>
      <c r="E799" t="inlineStr">
        <is>
          <t>Lương:12 Tr - 15 Tr VND</t>
        </is>
      </c>
      <c r="F799" t="inlineStr">
        <is>
          <t>Hồ Chí Minh</t>
        </is>
      </c>
      <c r="G799" t="inlineStr">
        <is>
          <t>24-03-2026</t>
        </is>
      </c>
      <c r="H799" t="inlineStr">
        <is>
          <t>24/03/2026</t>
        </is>
      </c>
      <c r="I799" t="inlineStr">
        <is>
          <t>17/03/2026</t>
        </is>
      </c>
      <c r="J799" t="inlineStr">
        <is>
          <t>Kế toán / Kiểm toán, Tài chính / Đầu tư, Xây dựng</t>
        </is>
      </c>
      <c r="K799" t="inlineStr">
        <is>
          <t>2 - 3 Năm</t>
        </is>
      </c>
      <c r="L799" s="8">
        <f>HYPERLINK("https://careerviet.vn/vi/tim-viec-lam/ke-toan-tong-hop-noi-bo.35C63C30.html","Xem chi tiết")</f>
        <v/>
      </c>
    </row>
    <row r="800">
      <c r="B800" s="9" t="n">
        <v>798</v>
      </c>
      <c r="C800" s="10" t="inlineStr">
        <is>
          <t>Kế Toán Tổng Hợp</t>
        </is>
      </c>
      <c r="D800" s="10" t="inlineStr">
        <is>
          <t>CÔNG TY TNHH EMAAR ENERGY</t>
        </is>
      </c>
      <c r="E800" s="10" t="inlineStr">
        <is>
          <t>Lương:10 Tr - 10 Tr VND</t>
        </is>
      </c>
      <c r="F800" s="10" t="inlineStr">
        <is>
          <t>Hồ Chí Minh</t>
        </is>
      </c>
      <c r="G800" s="10" t="inlineStr">
        <is>
          <t>15-04-2026</t>
        </is>
      </c>
      <c r="H800" s="10" t="inlineStr">
        <is>
          <t>15/04/2026</t>
        </is>
      </c>
      <c r="I800" s="10" t="inlineStr">
        <is>
          <t>17/03/2026</t>
        </is>
      </c>
      <c r="J800" s="10" t="inlineStr">
        <is>
          <t>Luật / Pháp lý, Kế toán / Kiểm toán, Tài chính / Đầu tư</t>
        </is>
      </c>
      <c r="K800" s="10" t="inlineStr">
        <is>
          <t>1 - 2 Năm</t>
        </is>
      </c>
      <c r="L800" s="11">
        <f>HYPERLINK("https://careerviet.vn/vi/tim-viec-lam/ke-toan-tong-hop.35C65AA9.html","Xem chi tiết")</f>
        <v/>
      </c>
      <c r="M800" s="10" t="n"/>
    </row>
    <row r="801">
      <c r="B801" s="7" t="n">
        <v>799</v>
      </c>
      <c r="C801" t="inlineStr">
        <is>
          <t>Nhân Viên Tư Vấn Tuyển Sinh (Đà Nẵng)</t>
        </is>
      </c>
      <c r="D801" t="inlineStr">
        <is>
          <t>Cổ Phần Quốc Tế Anh Văn Hội Việt Mỹ (VUS)</t>
        </is>
      </c>
      <c r="E801" t="inlineStr">
        <is>
          <t>Lương:8 Tr - 12 Tr VND</t>
        </is>
      </c>
      <c r="F801" t="inlineStr">
        <is>
          <t>Đà Nẵng</t>
        </is>
      </c>
      <c r="G801" t="inlineStr">
        <is>
          <t>25-03-2026</t>
        </is>
      </c>
      <c r="H801" t="inlineStr">
        <is>
          <t>25/03/2026</t>
        </is>
      </c>
      <c r="I801" t="inlineStr">
        <is>
          <t>17/03/2026</t>
        </is>
      </c>
      <c r="J801" t="inlineStr">
        <is>
          <t>Bán hàng / Kinh doanh, Tư vấn, Giáo dục / Đào tạo</t>
        </is>
      </c>
      <c r="K801" t="inlineStr">
        <is>
          <t>1 - 2 Năm</t>
        </is>
      </c>
      <c r="L801" s="8">
        <f>HYPERLINK("https://careerviet.vn/vi/tim-viec-lam/nhan-vien-tu-van-tuyen-sinh-da-nang.35C63D6D.html","Xem chi tiết")</f>
        <v/>
      </c>
    </row>
    <row r="802">
      <c r="B802" s="9" t="n">
        <v>800</v>
      </c>
      <c r="C802" s="10" t="inlineStr">
        <is>
          <t>Chuyên viên Thúc đẩy và Hỗ trợ Kinh doanh qua điện thoại Sản phẩm vay tín chấp</t>
        </is>
      </c>
      <c r="D802" s="10" t="inlineStr">
        <is>
          <t>Ngân Hàng TMCP Quốc Tế Việt Nam</t>
        </is>
      </c>
      <c r="E802" s="10" t="inlineStr">
        <is>
          <t>Lương:Cạnh tranh</t>
        </is>
      </c>
      <c r="F802" s="10" t="inlineStr">
        <is>
          <t>Hà Nội</t>
        </is>
      </c>
      <c r="G802" s="10" t="inlineStr">
        <is>
          <t>15-04-2026</t>
        </is>
      </c>
      <c r="H802" s="10" t="inlineStr">
        <is>
          <t>15/04/2026</t>
        </is>
      </c>
      <c r="I802" s="10" t="inlineStr">
        <is>
          <t>17/03/2026</t>
        </is>
      </c>
      <c r="J802" s="10" t="inlineStr">
        <is>
          <t>Bán hàng / Kinh doanh</t>
        </is>
      </c>
      <c r="K802" s="10" t="inlineStr">
        <is>
          <t>Trên 1 Năm</t>
        </is>
      </c>
      <c r="L802" s="11">
        <f>HYPERLINK("https://careerviet.vn/vi/tim-viec-lam/chuyen-vien-thuc-day-va-ho-tro-kinh-doanh-qua-dien-thoai-san-pham-vay-tin-chap.35C65B16.html","Xem chi tiết")</f>
        <v/>
      </c>
      <c r="M802" s="10" t="n"/>
    </row>
    <row r="803">
      <c r="B803" s="7" t="n">
        <v>801</v>
      </c>
      <c r="C803" t="inlineStr">
        <is>
          <t>Trưởng bộ phận Tiền sảnh</t>
        </is>
      </c>
      <c r="D803" t="inlineStr">
        <is>
          <t>CÔNG TY CP HOÀNG GIA SÀI GÒN ĐÀ LẠT</t>
        </is>
      </c>
      <c r="E803" t="inlineStr">
        <is>
          <t>Lương:Cạnh tranh</t>
        </is>
      </c>
      <c r="F803" t="inlineStr">
        <is>
          <t>Lâm Đồng</t>
        </is>
      </c>
      <c r="G803" t="inlineStr">
        <is>
          <t>6</t>
        </is>
      </c>
      <c r="H803" t="inlineStr">
        <is>
          <t>23/03/2026</t>
        </is>
      </c>
      <c r="I803" t="inlineStr">
        <is>
          <t>17/03/2026</t>
        </is>
      </c>
      <c r="J803" t="inlineStr">
        <is>
          <t>Dịch vụ khách hàng</t>
        </is>
      </c>
      <c r="K803" t="inlineStr">
        <is>
          <t>3 - 5 Năm</t>
        </is>
      </c>
      <c r="L803" s="8">
        <f>HYPERLINK("https://careerviet.vn/vi/tim-viec-lam/truong-bo-phan-tien-sanh.35C639CF.html","Xem chi tiết")</f>
        <v/>
      </c>
    </row>
    <row r="804">
      <c r="B804" s="9" t="n">
        <v>802</v>
      </c>
      <c r="C804" s="10" t="inlineStr">
        <is>
          <t>Trưởng Phòng Bán Hàng - Long An</t>
        </is>
      </c>
      <c r="D804" s="10" t="inlineStr">
        <is>
          <t>CÔNG TY TNHH MTV CƠ KHÍ XNK TRUNG THUẬN PHÁT</t>
        </is>
      </c>
      <c r="E804" s="10" t="inlineStr">
        <is>
          <t>Lương:Cạnh tranh</t>
        </is>
      </c>
      <c r="F804" s="10" t="inlineStr">
        <is>
          <t>Tây NinhLong An</t>
        </is>
      </c>
      <c r="G804" s="10" t="inlineStr">
        <is>
          <t>15-04-2026</t>
        </is>
      </c>
      <c r="H804" s="10" t="inlineStr">
        <is>
          <t>15/04/2026</t>
        </is>
      </c>
      <c r="I804" s="10" t="inlineStr">
        <is>
          <t>17/03/2026</t>
        </is>
      </c>
      <c r="J804" s="10" t="inlineStr">
        <is>
          <t>Bán hàng / Kinh doanh, Tiếp thị trực tuyến, Quản lý điều hành</t>
        </is>
      </c>
      <c r="K804" s="10" t="inlineStr">
        <is>
          <t>1 - 2 Năm</t>
        </is>
      </c>
      <c r="L804" s="11">
        <f>HYPERLINK("https://careerviet.vn/vi/tim-viec-lam/truong-phong-ban-hang-long-an.35C65A83.html","Xem chi tiết")</f>
        <v/>
      </c>
      <c r="M804" s="10" t="n"/>
    </row>
    <row r="805">
      <c r="B805" s="7" t="n">
        <v>803</v>
      </c>
      <c r="C805" t="inlineStr">
        <is>
          <t>Product Development co-ordinator</t>
        </is>
      </c>
      <c r="D805" t="inlineStr">
        <is>
          <t>Phuc Thang Fine Furniture</t>
        </is>
      </c>
      <c r="E805" t="inlineStr">
        <is>
          <t>Lương:Cạnh tranh</t>
        </is>
      </c>
      <c r="F805" t="inlineStr">
        <is>
          <t>Bình Dương</t>
        </is>
      </c>
      <c r="G805" t="inlineStr">
        <is>
          <t>6</t>
        </is>
      </c>
      <c r="H805" t="inlineStr">
        <is>
          <t>23/03/2026</t>
        </is>
      </c>
      <c r="I805" t="inlineStr">
        <is>
          <t>17/03/2026</t>
        </is>
      </c>
      <c r="J805" t="inlineStr">
        <is>
          <t>Sản xuất / Vận hành sản xuất, Đồ gỗ, Nội ngoại thất</t>
        </is>
      </c>
      <c r="K805" t="inlineStr">
        <is>
          <t>2 - 10 Năm</t>
        </is>
      </c>
      <c r="L805" s="8">
        <f>HYPERLINK("https://careerviet.vn/vi/tim-viec-lam/product-development-co-ordinator.35C639F0.html","Xem chi tiết")</f>
        <v/>
      </c>
    </row>
    <row r="806">
      <c r="B806" s="9" t="n">
        <v>804</v>
      </c>
      <c r="C806" s="10" t="inlineStr">
        <is>
          <t>Nhân viên điều phối vận tải</t>
        </is>
      </c>
      <c r="D806" s="10" t="inlineStr">
        <is>
          <t>Công Ty TNHH TM &amp; XNK Nhất Lâm</t>
        </is>
      </c>
      <c r="E806" s="10" t="inlineStr">
        <is>
          <t>Lương:14 Tr - 20 Tr VND</t>
        </is>
      </c>
      <c r="F806" s="10" t="inlineStr">
        <is>
          <t>Hà Nội</t>
        </is>
      </c>
      <c r="G806" s="10" t="inlineStr">
        <is>
          <t>15-04-2026</t>
        </is>
      </c>
      <c r="H806" s="10" t="inlineStr">
        <is>
          <t>15/04/2026</t>
        </is>
      </c>
      <c r="I806" s="10" t="inlineStr">
        <is>
          <t>17/03/2026</t>
        </is>
      </c>
      <c r="J806" s="10" t="inlineStr">
        <is>
          <t>Vận chuyển / Giao nhận / Kho vận</t>
        </is>
      </c>
      <c r="K806" s="10" t="inlineStr">
        <is>
          <t>2 - 5 Năm</t>
        </is>
      </c>
      <c r="L806" s="11">
        <f>HYPERLINK("https://careerviet.vn/vi/tim-viec-lam/nhan-vien-dieu-phoi-van-tai.35C659F2.html","Xem chi tiết")</f>
        <v/>
      </c>
      <c r="M806" s="10" t="n"/>
    </row>
    <row r="807">
      <c r="B807" s="7" t="n">
        <v>805</v>
      </c>
      <c r="C807" t="inlineStr">
        <is>
          <t>Chuyên viên Tuyển dụng (Employer Branding)_Thời vụ 6 tháng</t>
        </is>
      </c>
      <c r="D807" t="inlineStr">
        <is>
          <t>CÔNG TY CỔ PHẦN TẬP ĐOÀN DAT</t>
        </is>
      </c>
      <c r="E807" t="inlineStr">
        <is>
          <t>Lương:13 Tr - 17 Tr VND</t>
        </is>
      </c>
      <c r="F807" t="inlineStr">
        <is>
          <t>Hồ Chí Minh</t>
        </is>
      </c>
      <c r="G807" t="inlineStr">
        <is>
          <t>15-04-2026</t>
        </is>
      </c>
      <c r="H807" t="inlineStr">
        <is>
          <t>15/04/2026</t>
        </is>
      </c>
      <c r="I807" t="inlineStr">
        <is>
          <t>17/03/2026</t>
        </is>
      </c>
      <c r="J807" t="inlineStr">
        <is>
          <t>Nhân sự</t>
        </is>
      </c>
      <c r="K807" t="inlineStr">
        <is>
          <t>3 - 5 Năm</t>
        </is>
      </c>
      <c r="L807" s="8">
        <f>HYPERLINK("https://careerviet.vn/vi/tim-viec-lam/chuyen-vien-tuyen-dung-employer-branding-_thoi-vu-6-thang.35C65B64.html","Xem chi tiết")</f>
        <v/>
      </c>
    </row>
    <row r="808">
      <c r="B808" s="9" t="n">
        <v>806</v>
      </c>
      <c r="C808" s="10" t="inlineStr">
        <is>
          <t>Trưởng phòng/Chuyên viên sinh quản</t>
        </is>
      </c>
      <c r="D808" s="10" t="inlineStr">
        <is>
          <t>CÔNG TY TNHH SẢN XUẤT GREAT LOTUS VIỆT NAM</t>
        </is>
      </c>
      <c r="E808" s="10" t="inlineStr">
        <is>
          <t>Lương:25 Tr - 28 Tr VND</t>
        </is>
      </c>
      <c r="F808" s="10" t="inlineStr">
        <is>
          <t>Bình Dương</t>
        </is>
      </c>
      <c r="G808" s="10" t="inlineStr">
        <is>
          <t>15-04-2026</t>
        </is>
      </c>
      <c r="H808" s="10" t="inlineStr">
        <is>
          <t>15/04/2026</t>
        </is>
      </c>
      <c r="I808" s="10" t="inlineStr">
        <is>
          <t>17/03/2026</t>
        </is>
      </c>
      <c r="J808" s="10" t="inlineStr">
        <is>
          <t>Sản xuất / Vận hành sản xuất, Dệt may / Da giày / Thời trang</t>
        </is>
      </c>
      <c r="K808" s="10" t="inlineStr">
        <is>
          <t>3 - 4 Năm</t>
        </is>
      </c>
      <c r="L808" s="11">
        <f>HYPERLINK("https://careerviet.vn/vi/tim-viec-lam/truong-phong-chuyen-vien-sinh-quan.35C68B52.html","Xem chi tiết")</f>
        <v/>
      </c>
      <c r="M808" s="10" t="n"/>
    </row>
    <row r="809">
      <c r="B809" s="7" t="n">
        <v>807</v>
      </c>
      <c r="C809" t="inlineStr">
        <is>
          <t>TP. HỒ CHÍ MINH - TRƯỞNG PHÒNG KHÁCH HÀNG CÁ NHÂN</t>
        </is>
      </c>
      <c r="D809" t="inlineStr">
        <is>
          <t>Ngân Hàng Thương Mại Cổ Phần Nam Á (Nam A Bank)</t>
        </is>
      </c>
      <c r="E809" t="inlineStr">
        <is>
          <t>Lương:Cạnh tranh</t>
        </is>
      </c>
      <c r="F809" t="inlineStr">
        <is>
          <t>Hồ Chí Minh</t>
        </is>
      </c>
      <c r="G809" t="inlineStr">
        <is>
          <t>15-04-2026</t>
        </is>
      </c>
      <c r="H809" t="inlineStr">
        <is>
          <t>15/04/2026</t>
        </is>
      </c>
      <c r="I809" t="inlineStr">
        <is>
          <t>17/03/2026</t>
        </is>
      </c>
      <c r="J809" t="inlineStr">
        <is>
          <t>Ngân hàng, Tài chính / Đầu tư, Bán hàng / Kinh doanh</t>
        </is>
      </c>
      <c r="K809" t="inlineStr">
        <is>
          <t>5 - 6 Năm</t>
        </is>
      </c>
      <c r="L809" s="8">
        <f>HYPERLINK("https://careerviet.vn/vi/tim-viec-lam/tp-ho-chi-minh-truong-phong-khach-hang-ca-nhan.35C68B76.html","Xem chi tiết")</f>
        <v/>
      </c>
    </row>
    <row r="810">
      <c r="B810" s="9" t="n">
        <v>808</v>
      </c>
      <c r="C810" s="10" t="inlineStr">
        <is>
          <t>Sales Supervisor_ Hà Nội</t>
        </is>
      </c>
      <c r="D810" s="10" t="inlineStr">
        <is>
          <t>HEINEKEN Vietnam</t>
        </is>
      </c>
      <c r="E810" s="10" t="inlineStr">
        <is>
          <t>Lương:Cạnh tranh</t>
        </is>
      </c>
      <c r="F810" s="10" t="inlineStr">
        <is>
          <t>Hà Nội</t>
        </is>
      </c>
      <c r="G810" s="10" t="inlineStr">
        <is>
          <t>15-04-2026</t>
        </is>
      </c>
      <c r="H810" s="10" t="inlineStr">
        <is>
          <t>15/04/2026</t>
        </is>
      </c>
      <c r="I810" s="10" t="inlineStr">
        <is>
          <t>17/03/2026</t>
        </is>
      </c>
      <c r="J810" s="10" t="inlineStr">
        <is>
          <t>Bán hàng / Kinh doanh</t>
        </is>
      </c>
      <c r="K810" s="10" t="inlineStr">
        <is>
          <t>3 - 4 Năm</t>
        </is>
      </c>
      <c r="L810" s="11">
        <f>HYPERLINK("https://careerviet.vn/vi/tim-viec-lam/sales-supervisor_-ha-noi.35C65B77.html","Xem chi tiết")</f>
        <v/>
      </c>
      <c r="M810" s="10" t="n"/>
    </row>
    <row r="811">
      <c r="B811" s="7" t="n">
        <v>809</v>
      </c>
      <c r="C811" t="inlineStr">
        <is>
          <t>Quản Lý Sản Phẩm</t>
        </is>
      </c>
      <c r="D811" t="inlineStr">
        <is>
          <t>CÔNG TY CỔ PHẦN ZTO FREIGHT VIỆT NAM</t>
        </is>
      </c>
      <c r="E811" t="inlineStr">
        <is>
          <t>Lương:20 Tr - 35 Tr VND</t>
        </is>
      </c>
      <c r="F811" t="inlineStr">
        <is>
          <t>Hồ Chí MinhHà Nội</t>
        </is>
      </c>
      <c r="G811" t="inlineStr">
        <is>
          <t>03-04-2026</t>
        </is>
      </c>
      <c r="H811" t="inlineStr">
        <is>
          <t>03/04/2026</t>
        </is>
      </c>
      <c r="I811" t="inlineStr">
        <is>
          <t>17/03/2026</t>
        </is>
      </c>
      <c r="J811" t="inlineStr">
        <is>
          <t>Vận chuyển / Giao nhận / Kho vận, CNTT - Phần mềm</t>
        </is>
      </c>
      <c r="K811" t="inlineStr">
        <is>
          <t>3 - 5 Năm</t>
        </is>
      </c>
      <c r="L811" s="8">
        <f>HYPERLINK("https://careerviet.vn/vi/tim-viec-lam/quan-ly-san-pham.35C6A9DA.html","Xem chi tiết")</f>
        <v/>
      </c>
    </row>
    <row r="812">
      <c r="B812" s="9" t="n">
        <v>810</v>
      </c>
      <c r="C812" s="10" t="inlineStr">
        <is>
          <t>Tổ trưởng Dịch vụ khách hàng</t>
        </is>
      </c>
      <c r="D812" s="10" t="inlineStr">
        <is>
          <t>CÔNG TY CỔ PHẦN BAO BÌ BIÊN HÒA</t>
        </is>
      </c>
      <c r="E812" s="10" t="inlineStr">
        <is>
          <t>Lương:15 Tr - 18 Tr VND</t>
        </is>
      </c>
      <c r="F812" s="10" t="inlineStr">
        <is>
          <t>Đồng Nai</t>
        </is>
      </c>
      <c r="G812" s="10" t="inlineStr">
        <is>
          <t>15-04-2026</t>
        </is>
      </c>
      <c r="H812" s="10" t="inlineStr">
        <is>
          <t>15/04/2026</t>
        </is>
      </c>
      <c r="I812" s="10" t="inlineStr">
        <is>
          <t>17/03/2026</t>
        </is>
      </c>
      <c r="J812" s="10" t="inlineStr">
        <is>
          <t>Bán hàng / Kinh doanh, Thu mua / Vật tư, Hành chính / Thư ký</t>
        </is>
      </c>
      <c r="K812" s="10" t="inlineStr">
        <is>
          <t>2 - 3 Năm</t>
        </is>
      </c>
      <c r="L812" s="11">
        <f>HYPERLINK("https://careerviet.vn/vi/tim-viec-lam/to-truong-dich-vu-khach-hang.35C68B43.html","Xem chi tiết")</f>
        <v/>
      </c>
      <c r="M812" s="10" t="n"/>
    </row>
    <row r="813">
      <c r="B813" s="7" t="n">
        <v>811</v>
      </c>
      <c r="C813" t="inlineStr">
        <is>
          <t>Quản Lý Cơ Điện (MEP)</t>
        </is>
      </c>
      <c r="D813" t="inlineStr">
        <is>
          <t>Công Ty TNHH Thiết Kế &amp; Xây Dựng Toàn Diện Việt Nam</t>
        </is>
      </c>
      <c r="E813" t="inlineStr">
        <is>
          <t>Lương:25 Tr - 40 Tr VND</t>
        </is>
      </c>
      <c r="F813" t="inlineStr">
        <is>
          <t>Hồ Chí Minh</t>
        </is>
      </c>
      <c r="G813" t="inlineStr">
        <is>
          <t>30-04-2026</t>
        </is>
      </c>
      <c r="H813" t="inlineStr">
        <is>
          <t>30/04/2026</t>
        </is>
      </c>
      <c r="I813" t="inlineStr">
        <is>
          <t>17/03/2026</t>
        </is>
      </c>
      <c r="J813" t="inlineStr">
        <is>
          <t>Điện / Điện tử / Điện lạnh / Điện công nghiệp, Xây dựng, Cơ khí / Ô tô / Tự động hóa</t>
        </is>
      </c>
      <c r="K813" t="inlineStr">
        <is>
          <t>Trên 5 Năm</t>
        </is>
      </c>
      <c r="L813" s="8">
        <f>HYPERLINK("https://careerviet.vn/vi/tim-viec-lam/quan-ly-co-dien-mep.35C6A8CB.html","Xem chi tiết")</f>
        <v/>
      </c>
    </row>
    <row r="814">
      <c r="B814" s="9" t="n">
        <v>812</v>
      </c>
      <c r="C814" s="10" t="inlineStr">
        <is>
          <t>Chuyên viên Kinh Tế Xây Dựng (Kỹ Sư Cơ điện)</t>
        </is>
      </c>
      <c r="D814" s="10" t="inlineStr">
        <is>
          <t>CÔNG TY CỔ PHẦN EUROWINDOW HOLDING</t>
        </is>
      </c>
      <c r="E814" s="10" t="inlineStr">
        <is>
          <t>Lương:Cạnh tranh</t>
        </is>
      </c>
      <c r="F814" s="10" t="inlineStr">
        <is>
          <t>Hà Nội</t>
        </is>
      </c>
      <c r="G814" s="10" t="inlineStr">
        <is>
          <t>31-03-2026</t>
        </is>
      </c>
      <c r="H814" s="10" t="inlineStr">
        <is>
          <t>31/03/2026</t>
        </is>
      </c>
      <c r="I814" s="10" t="inlineStr">
        <is>
          <t>17/03/2026</t>
        </is>
      </c>
      <c r="J814" s="10" t="inlineStr">
        <is>
          <t>Điện / Điện tử / Điện lạnh / Điện công nghiệp, Kiến trúc, Xây dựng</t>
        </is>
      </c>
      <c r="K814" s="10" t="inlineStr">
        <is>
          <t>3 - 5 Năm</t>
        </is>
      </c>
      <c r="L814" s="11">
        <f>HYPERLINK("https://careerviet.vn/vi/tim-viec-lam/chuyen-vien-kinh-te-xay-dung-ky-su-co-dien.35C6AAF7.html","Xem chi tiết")</f>
        <v/>
      </c>
      <c r="M814" s="10" t="n"/>
    </row>
    <row r="815">
      <c r="B815" s="7" t="n">
        <v>813</v>
      </c>
      <c r="C815" t="inlineStr">
        <is>
          <t>Kỹ sư lập trình vận hành máy CNC</t>
        </is>
      </c>
      <c r="D815" t="inlineStr">
        <is>
          <t>CÔNG TY CỔ PHẦN DHNTECH VIỆT NAM</t>
        </is>
      </c>
      <c r="E815" t="inlineStr">
        <is>
          <t>Lương:Cạnh tranh</t>
        </is>
      </c>
      <c r="F815" t="inlineStr">
        <is>
          <t>Hà Nội</t>
        </is>
      </c>
      <c r="G815" t="inlineStr">
        <is>
          <t>30-04-2026</t>
        </is>
      </c>
      <c r="H815" t="inlineStr">
        <is>
          <t>30/04/2026</t>
        </is>
      </c>
      <c r="I815" t="inlineStr">
        <is>
          <t>17/03/2026</t>
        </is>
      </c>
      <c r="J815" t="inlineStr">
        <is>
          <t>Cơ khí / Ô tô / Tự động hóa</t>
        </is>
      </c>
      <c r="K815" t="inlineStr">
        <is>
          <t>1 - 2 Năm</t>
        </is>
      </c>
      <c r="L815" s="8">
        <f>HYPERLINK("https://careerviet.vn/vi/tim-viec-lam/ky-su-lap-trinh-van-hanh-may-cnc.35C6A857.html","Xem chi tiết")</f>
        <v/>
      </c>
    </row>
    <row r="816">
      <c r="B816" s="9" t="n">
        <v>814</v>
      </c>
      <c r="C816" s="10" t="inlineStr">
        <is>
          <t>Kế toán tổng hợp</t>
        </is>
      </c>
      <c r="D816" s="10" t="inlineStr">
        <is>
          <t>Công ty TNHH Dược- Mỹ phẩm TTH</t>
        </is>
      </c>
      <c r="E816" s="10" t="inlineStr">
        <is>
          <t>Lương:20 Tr - 25 Tr VND</t>
        </is>
      </c>
      <c r="F816" s="10" t="inlineStr">
        <is>
          <t>Hồ Chí Minh</t>
        </is>
      </c>
      <c r="G816" s="10" t="inlineStr">
        <is>
          <t>31-03-2026</t>
        </is>
      </c>
      <c r="H816" s="10" t="inlineStr">
        <is>
          <t>31/03/2026</t>
        </is>
      </c>
      <c r="I816" s="10" t="inlineStr">
        <is>
          <t>17/03/2026</t>
        </is>
      </c>
      <c r="J816" s="10" t="inlineStr">
        <is>
          <t>Bán lẻ / Bán sỉ, Dược phẩm/ Hóa Mỹ Phẩm, Bán hàng / Kinh doanh</t>
        </is>
      </c>
      <c r="K816" s="10" t="inlineStr">
        <is>
          <t>3 - 5 Năm</t>
        </is>
      </c>
      <c r="L816" s="11">
        <f>HYPERLINK("https://careerviet.vn/vi/tim-viec-lam/ke-toan-tong-hop.35C6A4A3.html","Xem chi tiết")</f>
        <v/>
      </c>
      <c r="M816" s="10" t="n"/>
    </row>
    <row r="817">
      <c r="B817" s="7" t="n">
        <v>815</v>
      </c>
      <c r="C817" t="inlineStr">
        <is>
          <t>128378 - Internal Audit Manager - Manufacturing</t>
        </is>
      </c>
      <c r="D817" t="inlineStr">
        <is>
          <t>RGF HR Agent Vietnam Co., LTD</t>
        </is>
      </c>
      <c r="E817" t="inlineStr">
        <is>
          <t>Lương:Cạnh tranh</t>
        </is>
      </c>
      <c r="F817" t="inlineStr">
        <is>
          <t>Hưng Yên</t>
        </is>
      </c>
      <c r="G817" t="inlineStr">
        <is>
          <t>04-04-2026</t>
        </is>
      </c>
      <c r="H817" t="inlineStr">
        <is>
          <t>04/04/2026</t>
        </is>
      </c>
      <c r="I817" t="inlineStr">
        <is>
          <t>17/03/2026</t>
        </is>
      </c>
      <c r="J817" t="inlineStr">
        <is>
          <t>Kế toán / Kiểm toán, Tài chính / Đầu tư</t>
        </is>
      </c>
      <c r="K817" t="inlineStr">
        <is>
          <t>Trên 10 Năm</t>
        </is>
      </c>
      <c r="L817" s="8">
        <f>HYPERLINK("https://careerviet.vn/vi/tim-viec-lam/128378-internal-audit-manager-manufacturing.35C6AAF4.html","Xem chi tiết")</f>
        <v/>
      </c>
    </row>
    <row r="818">
      <c r="B818" s="9" t="n">
        <v>816</v>
      </c>
      <c r="C818" s="10" t="inlineStr">
        <is>
          <t>Giám sát thi công nội thất</t>
        </is>
      </c>
      <c r="D818" s="10" t="inlineStr">
        <is>
          <t>ERAS GROUP</t>
        </is>
      </c>
      <c r="E818" s="10" t="inlineStr">
        <is>
          <t>Lương:Cạnh tranh</t>
        </is>
      </c>
      <c r="F818" s="10" t="inlineStr">
        <is>
          <t>Bình Thuận</t>
        </is>
      </c>
      <c r="G818" s="10" t="inlineStr">
        <is>
          <t>31-03-2026</t>
        </is>
      </c>
      <c r="H818" s="10" t="inlineStr">
        <is>
          <t>31/03/2026</t>
        </is>
      </c>
      <c r="I818" s="10" t="inlineStr">
        <is>
          <t>17/03/2026</t>
        </is>
      </c>
      <c r="J818" s="10" t="inlineStr">
        <is>
          <t>Xây dựng, Bất động sản</t>
        </is>
      </c>
      <c r="K818" s="10" t="inlineStr">
        <is>
          <t>3 - 5 Năm</t>
        </is>
      </c>
      <c r="L818" s="11">
        <f>HYPERLINK("https://careerviet.vn/vi/tim-viec-lam/giam-sat-thi-cong-noi-that.35C6AAF5.html","Xem chi tiết")</f>
        <v/>
      </c>
      <c r="M818" s="10" t="n"/>
    </row>
    <row r="819">
      <c r="B819" s="7" t="n">
        <v>817</v>
      </c>
      <c r="C819" t="inlineStr">
        <is>
          <t>KỸ SƯ GIÁM SÁT THI CÔNG - ngân hàng</t>
        </is>
      </c>
      <c r="D819" t="inlineStr">
        <is>
          <t>CÔNG TY CP TẬP ĐOÀN ĐẦU TƯ HOÀNG GIA VIỆT NAM</t>
        </is>
      </c>
      <c r="E819" t="inlineStr">
        <is>
          <t>Lương:Cạnh tranh</t>
        </is>
      </c>
      <c r="F819" t="inlineStr">
        <is>
          <t>Hồ Chí Minh</t>
        </is>
      </c>
      <c r="G819" t="inlineStr">
        <is>
          <t>31-03-2026</t>
        </is>
      </c>
      <c r="H819" t="inlineStr">
        <is>
          <t>31/03/2026</t>
        </is>
      </c>
      <c r="I819" t="inlineStr">
        <is>
          <t>17/03/2026</t>
        </is>
      </c>
      <c r="J819" t="inlineStr">
        <is>
          <t>Xây dựng</t>
        </is>
      </c>
      <c r="K819" t="inlineStr">
        <is>
          <t>Trên 3 Năm</t>
        </is>
      </c>
      <c r="L819" s="8">
        <f>HYPERLINK("https://careerviet.vn/vi/tim-viec-lam/ky-su-giam-sat-thi-cong-ngan-hang.35C6A96C.html","Xem chi tiết")</f>
        <v/>
      </c>
    </row>
    <row r="820">
      <c r="B820" s="9" t="n">
        <v>818</v>
      </c>
      <c r="C820" s="10" t="inlineStr">
        <is>
          <t>KỸ SƯ HẠ TẦNG GIAO THÔNG (CẦU – KẾT CẤU THÉP)</t>
        </is>
      </c>
      <c r="D820" s="10" t="inlineStr">
        <is>
          <t>ATAD Steel Structure Corporation</t>
        </is>
      </c>
      <c r="E820" s="10" t="inlineStr">
        <is>
          <t>Lương:Cạnh tranh</t>
        </is>
      </c>
      <c r="F820" s="10" t="inlineStr">
        <is>
          <t>Hà Nội</t>
        </is>
      </c>
      <c r="G820" s="10" t="inlineStr">
        <is>
          <t>30-04-2026</t>
        </is>
      </c>
      <c r="H820" s="10" t="inlineStr">
        <is>
          <t>30/04/2026</t>
        </is>
      </c>
      <c r="I820" s="10" t="inlineStr">
        <is>
          <t>17/03/2026</t>
        </is>
      </c>
      <c r="J820" s="10" t="inlineStr">
        <is>
          <t>Xây dựng, Sản xuất / Vận hành sản xuất, Cơ khí / Ô tô / Tự động hóa</t>
        </is>
      </c>
      <c r="K820" s="10" t="inlineStr">
        <is>
          <t>3 - 7 Năm</t>
        </is>
      </c>
      <c r="L820" s="11">
        <f>HYPERLINK("https://careerviet.vn/vi/tim-viec-lam/ky-su-ha-tang-giao-thong-cau-ket-cau-thep.35C6A90F.html","Xem chi tiết")</f>
        <v/>
      </c>
      <c r="M820" s="10" t="n"/>
    </row>
    <row r="821">
      <c r="B821" s="7" t="n">
        <v>819</v>
      </c>
      <c r="C821" t="inlineStr">
        <is>
          <t>Nhân Viên Xử Lý Nước Thải</t>
        </is>
      </c>
      <c r="D821" t="inlineStr">
        <is>
          <t>ORION FOOD VINA CO.,LTD</t>
        </is>
      </c>
      <c r="E821" t="inlineStr">
        <is>
          <t>Lương:9 Tr - 15 Tr VND</t>
        </is>
      </c>
      <c r="F821" t="inlineStr">
        <is>
          <t>Bình Dương</t>
        </is>
      </c>
      <c r="G821" t="inlineStr">
        <is>
          <t>31-03-2026</t>
        </is>
      </c>
      <c r="H821" t="inlineStr">
        <is>
          <t>31/03/2026</t>
        </is>
      </c>
      <c r="I821" t="inlineStr">
        <is>
          <t>17/03/2026</t>
        </is>
      </c>
      <c r="J821" t="inlineStr">
        <is>
          <t>Môi trường, Bảo trì / Sửa chữa, Sản xuất / Vận hành sản xuất</t>
        </is>
      </c>
      <c r="K821" t="inlineStr">
        <is>
          <t>5 - 10 Năm</t>
        </is>
      </c>
      <c r="L821" s="8">
        <f>HYPERLINK("https://careerviet.vn/vi/tim-viec-lam/nhan-vien-xu-ly-nuoc-thai.35C6A873.html","Xem chi tiết")</f>
        <v/>
      </c>
    </row>
    <row r="822">
      <c r="B822" s="9" t="n">
        <v>820</v>
      </c>
      <c r="C822" s="10" t="inlineStr">
        <is>
          <t>Account Specialist</t>
        </is>
      </c>
      <c r="D822" s="10" t="inlineStr">
        <is>
          <t>Công Ty Cổ phần Tập Đoàn KIDO</t>
        </is>
      </c>
      <c r="E822" s="10" t="inlineStr">
        <is>
          <t>Lương:Cạnh tranh</t>
        </is>
      </c>
      <c r="F822" s="10" t="inlineStr">
        <is>
          <t>Hồ Chí Minh</t>
        </is>
      </c>
      <c r="G822" s="10" t="inlineStr">
        <is>
          <t>02-04-2026</t>
        </is>
      </c>
      <c r="H822" s="10" t="inlineStr">
        <is>
          <t>02/04/2026</t>
        </is>
      </c>
      <c r="I822" s="10" t="inlineStr">
        <is>
          <t>17/03/2026</t>
        </is>
      </c>
      <c r="J822" s="10" t="inlineStr">
        <is>
          <t>Dịch vụ khách hàng, Bán hàng / Kinh doanh, Truyền hình / Báo chí / Biên tập</t>
        </is>
      </c>
      <c r="K822" s="10" t="inlineStr">
        <is>
          <t>2 - 5 Năm</t>
        </is>
      </c>
      <c r="L822" s="11">
        <f>HYPERLINK("https://careerviet.vn/vi/tim-viec-lam/account-specialist.35C6A772.html","Xem chi tiết")</f>
        <v/>
      </c>
      <c r="M822" s="10" t="n"/>
    </row>
    <row r="823">
      <c r="B823" s="7" t="n">
        <v>821</v>
      </c>
      <c r="C823" t="inlineStr">
        <is>
          <t>128296 - Japanese Speaking - GAHR Manager - Manufacturing</t>
        </is>
      </c>
      <c r="D823" t="inlineStr">
        <is>
          <t>RGF HR Agent Vietnam Co., LTD</t>
        </is>
      </c>
      <c r="E823" t="inlineStr">
        <is>
          <t>Lương:30 Tr - 45 Tr VND</t>
        </is>
      </c>
      <c r="F823" t="inlineStr">
        <is>
          <t>Bắc Giang</t>
        </is>
      </c>
      <c r="G823" t="inlineStr">
        <is>
          <t>04-04-2026</t>
        </is>
      </c>
      <c r="H823" t="inlineStr">
        <is>
          <t>04/04/2026</t>
        </is>
      </c>
      <c r="I823" t="inlineStr">
        <is>
          <t>17/03/2026</t>
        </is>
      </c>
      <c r="J823" t="inlineStr">
        <is>
          <t>Nhân sự, Hành chính / Thư ký</t>
        </is>
      </c>
      <c r="K823" t="inlineStr">
        <is>
          <t>Trên 5 Năm</t>
        </is>
      </c>
      <c r="L823" s="8">
        <f>HYPERLINK("https://careerviet.vn/vi/tim-viec-lam/128296-japanese-speaking-gahr-manager-manufacturing.35C6AAFA.html","Xem chi tiết")</f>
        <v/>
      </c>
    </row>
    <row r="824">
      <c r="B824" s="9" t="n">
        <v>822</v>
      </c>
      <c r="C824" s="10" t="inlineStr">
        <is>
          <t>Chuyên viên cao cấp Sự kiện và Lễ Tân Khánh Tiết</t>
        </is>
      </c>
      <c r="D824" s="10" t="inlineStr">
        <is>
          <t>Ngân hàng TMCP Phát triển TP.HCM (HDBank)</t>
        </is>
      </c>
      <c r="E824" s="10" t="inlineStr">
        <is>
          <t>Lương:Cạnh tranh</t>
        </is>
      </c>
      <c r="F824" s="10" t="inlineStr">
        <is>
          <t>Hồ Chí Minh</t>
        </is>
      </c>
      <c r="G824" s="10" t="inlineStr">
        <is>
          <t>03-04-2026</t>
        </is>
      </c>
      <c r="H824" s="10" t="inlineStr">
        <is>
          <t>03/04/2026</t>
        </is>
      </c>
      <c r="I824" s="10" t="inlineStr">
        <is>
          <t>17/03/2026</t>
        </is>
      </c>
      <c r="J824" s="10" t="inlineStr">
        <is>
          <t>Tiếp thị / Marketing, Tổ chức sự kiện</t>
        </is>
      </c>
      <c r="K824" s="10" t="inlineStr">
        <is>
          <t>Trên 1 Năm</t>
        </is>
      </c>
      <c r="L824" s="11">
        <f>HYPERLINK("https://careerviet.vn/vi/tim-viec-lam/chuyen-vien-cao-cap-su-kien-va-le-tan-khanh-tiet.35C6A73B.html","Xem chi tiết")</f>
        <v/>
      </c>
      <c r="M824" s="10" t="n"/>
    </row>
    <row r="825">
      <c r="B825" s="7" t="n">
        <v>823</v>
      </c>
      <c r="C825" t="inlineStr">
        <is>
          <t>TỔ PHÓ SẢN XUẤT (TỐT NGHIỆP NGÀNH HÓA)</t>
        </is>
      </c>
      <c r="D825" t="inlineStr">
        <is>
          <t>Công Ty Cổ Phần Y&amp;B</t>
        </is>
      </c>
      <c r="E825" t="inlineStr">
        <is>
          <t>Lương:Cạnh tranh</t>
        </is>
      </c>
      <c r="F825" t="inlineStr">
        <is>
          <t>Long AnHồ Chí Minh</t>
        </is>
      </c>
      <c r="G825" t="inlineStr">
        <is>
          <t>4</t>
        </is>
      </c>
      <c r="H825" t="inlineStr">
        <is>
          <t>21/03/2026</t>
        </is>
      </c>
      <c r="I825" t="inlineStr">
        <is>
          <t>17/03/2026</t>
        </is>
      </c>
      <c r="J825" t="inlineStr">
        <is>
          <t>Hóa học, Quản lý chất lượng (QA/QC), Sản xuất / Vận hành sản xuất</t>
        </is>
      </c>
      <c r="K825" t="inlineStr">
        <is>
          <t>N/A</t>
        </is>
      </c>
      <c r="L825" s="8">
        <f>HYPERLINK("https://careerviet.vn/vi/tim-viec-lam/to-pho-san-xuat-tot-nghiep-nganh-hoa.35C6A7B0.html","Xem chi tiết")</f>
        <v/>
      </c>
    </row>
    <row r="826">
      <c r="B826" s="9" t="n">
        <v>824</v>
      </c>
      <c r="C826" s="10" t="inlineStr">
        <is>
          <t>NHÂN VIÊN TỔNG VỤ (HỢP ĐỒNG NGẮN HẠN)</t>
        </is>
      </c>
      <c r="D826" s="10" t="inlineStr">
        <is>
          <t>Công ty TNHH Nidec Instruments Việt Nam</t>
        </is>
      </c>
      <c r="E826" s="10" t="inlineStr">
        <is>
          <t>Lương:Cạnh tranh</t>
        </is>
      </c>
      <c r="F826" s="10" t="inlineStr">
        <is>
          <t>Hồ Chí Minh</t>
        </is>
      </c>
      <c r="G826" s="10" t="inlineStr">
        <is>
          <t>15-04-2026</t>
        </is>
      </c>
      <c r="H826" s="10" t="inlineStr">
        <is>
          <t>15/04/2026</t>
        </is>
      </c>
      <c r="I826" s="10" t="inlineStr">
        <is>
          <t>17/03/2026</t>
        </is>
      </c>
      <c r="J826" s="10" t="inlineStr">
        <is>
          <t>Hành chính / Thư ký, Nhà hàng / Khách sạn, Biên phiên dịch</t>
        </is>
      </c>
      <c r="K826" s="10" t="inlineStr">
        <is>
          <t>Lên đến 1 Năm</t>
        </is>
      </c>
      <c r="L826" s="11">
        <f>HYPERLINK("https://careerviet.vn/vi/tim-viec-lam/nhan-vien-tong-vu-hop-dong-ngan-han.35C6A888.html","Xem chi tiết")</f>
        <v/>
      </c>
      <c r="M826" s="10" t="n"/>
    </row>
    <row r="827">
      <c r="B827" s="7" t="n">
        <v>825</v>
      </c>
      <c r="C827" t="inlineStr">
        <is>
          <t>Chuyên viên khuyến nông (Dalatmilk - Đơn Dương, Lâm Đồng)</t>
        </is>
      </c>
      <c r="D827" t="inlineStr">
        <is>
          <t>Công Ty Cổ Phần Tập Đoàn TH</t>
        </is>
      </c>
      <c r="E827" t="inlineStr">
        <is>
          <t>Lương:10 Tr - 15 Tr VND</t>
        </is>
      </c>
      <c r="F827" t="inlineStr">
        <is>
          <t>Lâm ĐồngLong AnHồ Chí Minh</t>
        </is>
      </c>
      <c r="G827" t="inlineStr">
        <is>
          <t>03-04-2026</t>
        </is>
      </c>
      <c r="H827" t="inlineStr">
        <is>
          <t>03/04/2026</t>
        </is>
      </c>
      <c r="I827" t="inlineStr">
        <is>
          <t>17/03/2026</t>
        </is>
      </c>
      <c r="J827" t="inlineStr">
        <is>
          <t>Nông nghiệp, Chăn nuôi / Thú y, Công nghệ thực phẩm / Dinh dưỡng</t>
        </is>
      </c>
      <c r="K827" t="inlineStr">
        <is>
          <t>N/A</t>
        </is>
      </c>
      <c r="L827" s="8">
        <f>HYPERLINK("https://careerviet.vn/vi/tim-viec-lam/chuyen-vien-khuyen-nong-dalatmilk-don-duong-lam-dong.35C652A5.html","Xem chi tiết")</f>
        <v/>
      </c>
    </row>
    <row r="828">
      <c r="B828" s="9" t="n">
        <v>826</v>
      </c>
      <c r="C828" s="10" t="inlineStr">
        <is>
          <t>K.QLRR - Chuyên viên cao cấp Tái thẩm định (KHDN)</t>
        </is>
      </c>
      <c r="D828" s="10" t="inlineStr">
        <is>
          <t>Ngân Hàng TMCP Phương Đông - OCB</t>
        </is>
      </c>
      <c r="E828" s="10" t="inlineStr">
        <is>
          <t>Lương:Cạnh tranh</t>
        </is>
      </c>
      <c r="F828" s="10" t="inlineStr">
        <is>
          <t>Hồ Chí Minh</t>
        </is>
      </c>
      <c r="G828" s="10" t="inlineStr">
        <is>
          <t>03-04-2026</t>
        </is>
      </c>
      <c r="H828" s="10" t="inlineStr">
        <is>
          <t>03/04/2026</t>
        </is>
      </c>
      <c r="I828" s="10" t="inlineStr">
        <is>
          <t>17/03/2026</t>
        </is>
      </c>
      <c r="J828" s="10" t="inlineStr">
        <is>
          <t>Ngân hàng, Tài chính / Đầu tư</t>
        </is>
      </c>
      <c r="K828" s="10" t="inlineStr">
        <is>
          <t>3 - 5 Năm</t>
        </is>
      </c>
      <c r="L828" s="11">
        <f>HYPERLINK("https://careerviet.vn/vi/tim-viec-lam/k-qlrr-chuyen-vien-cao-cap-tai-tham-dinh-khdn.35C6A97D.html","Xem chi tiết")</f>
        <v/>
      </c>
      <c r="M828" s="10" t="n"/>
    </row>
    <row r="829">
      <c r="B829" s="7" t="n">
        <v>827</v>
      </c>
      <c r="C829" t="inlineStr">
        <is>
          <t>KẾ TOÁN TỔNG HỢP (BIẾT TIẾNG TRUNG)</t>
        </is>
      </c>
      <c r="D829" t="inlineStr">
        <is>
          <t>CÔNG TY TNHH BILLION VIETNAM HOLDING</t>
        </is>
      </c>
      <c r="E829" t="inlineStr">
        <is>
          <t>Lương:12 Tr - 20 Tr VND</t>
        </is>
      </c>
      <c r="F829" t="inlineStr">
        <is>
          <t>Hồ Chí Minh</t>
        </is>
      </c>
      <c r="G829" t="inlineStr">
        <is>
          <t>30-04-2026</t>
        </is>
      </c>
      <c r="H829" t="inlineStr">
        <is>
          <t>30/04/2026</t>
        </is>
      </c>
      <c r="I829" t="inlineStr">
        <is>
          <t>17/03/2026</t>
        </is>
      </c>
      <c r="J829" t="inlineStr">
        <is>
          <t>Kế toán / Kiểm toán, Sản xuất / Vận hành sản xuất, Hàng gia dụng / Chăm sóc cá nhân</t>
        </is>
      </c>
      <c r="K829" t="inlineStr">
        <is>
          <t>3 - 5 Năm</t>
        </is>
      </c>
      <c r="L829" s="8">
        <f>HYPERLINK("https://careerviet.vn/vi/tim-viec-lam/ke-toan-tong-hop-biet-tieng-trung.35C6A8DA.html","Xem chi tiết")</f>
        <v/>
      </c>
    </row>
    <row r="830">
      <c r="B830" s="9" t="n">
        <v>828</v>
      </c>
      <c r="C830" s="10" t="inlineStr">
        <is>
          <t>Nhân Viên Kỹ Thuật Sản Xuất - Nhà máy Bến Cát Bình Dương</t>
        </is>
      </c>
      <c r="D830" s="10" t="inlineStr">
        <is>
          <t>Công Ty TNHH SX Và TM Quân Đạt</t>
        </is>
      </c>
      <c r="E830" s="10" t="inlineStr">
        <is>
          <t>Lương:Cạnh tranh</t>
        </is>
      </c>
      <c r="F830" s="10" t="inlineStr">
        <is>
          <t>Bình DươngHồ Chí Minh</t>
        </is>
      </c>
      <c r="G830" s="10" t="inlineStr">
        <is>
          <t>03-04-2026</t>
        </is>
      </c>
      <c r="H830" s="10" t="inlineStr">
        <is>
          <t>03/04/2026</t>
        </is>
      </c>
      <c r="I830" s="10" t="inlineStr">
        <is>
          <t>17/03/2026</t>
        </is>
      </c>
      <c r="J830" s="10" t="inlineStr">
        <is>
          <t>Sản xuất / Vận hành sản xuất, Cơ khí / Ô tô / Tự động hóa, Xây dựng</t>
        </is>
      </c>
      <c r="K830" s="10" t="inlineStr">
        <is>
          <t>N/A</t>
        </is>
      </c>
      <c r="L830" s="11">
        <f>HYPERLINK("https://careerviet.vn/vi/tim-viec-lam/nhan-vien-ky-thuat-san-xuat-nha-may-ben-cat-binh-duong.35C6A76C.html","Xem chi tiết")</f>
        <v/>
      </c>
      <c r="M830" s="10" t="n"/>
    </row>
    <row r="831">
      <c r="B831" s="7" t="n">
        <v>829</v>
      </c>
      <c r="C831" t="inlineStr">
        <is>
          <t>KẾ TOÁN THUẾ (TIẾNG TRUNG)</t>
        </is>
      </c>
      <c r="D831" t="inlineStr">
        <is>
          <t>CÔNG TY TNHH BILLION VIETNAM HOLDING</t>
        </is>
      </c>
      <c r="E831" t="inlineStr">
        <is>
          <t>Lương:18 Tr - 30 Tr VND</t>
        </is>
      </c>
      <c r="F831" t="inlineStr">
        <is>
          <t>Hồ Chí Minh</t>
        </is>
      </c>
      <c r="G831" t="inlineStr">
        <is>
          <t>30-04-2026</t>
        </is>
      </c>
      <c r="H831" t="inlineStr">
        <is>
          <t>30/04/2026</t>
        </is>
      </c>
      <c r="I831" t="inlineStr">
        <is>
          <t>17/03/2026</t>
        </is>
      </c>
      <c r="J831" t="inlineStr">
        <is>
          <t>Kế toán / Kiểm toán, Bán lẻ / Bán sỉ, Sản xuất / Vận hành sản xuất</t>
        </is>
      </c>
      <c r="K831" t="inlineStr">
        <is>
          <t>3 - 5 Năm</t>
        </is>
      </c>
      <c r="L831" s="8">
        <f>HYPERLINK("https://careerviet.vn/vi/tim-viec-lam/ke-toan-thue-tieng-trung.35C6A8F0.html","Xem chi tiết")</f>
        <v/>
      </c>
    </row>
    <row r="832">
      <c r="B832" s="9" t="n">
        <v>830</v>
      </c>
      <c r="C832" s="10" t="inlineStr">
        <is>
          <t>Chuyên Gia Phát Triển Sản Phẩm Số KHCN (Product Owner)</t>
        </is>
      </c>
      <c r="D832" s="10" t="inlineStr">
        <is>
          <t>ABBANK - Ngân Hàng TMCP An Bình</t>
        </is>
      </c>
      <c r="E832" s="10" t="inlineStr">
        <is>
          <t>Lương:45 Tr - 65 Tr VND</t>
        </is>
      </c>
      <c r="F832" s="10" t="inlineStr">
        <is>
          <t>Hà Nội</t>
        </is>
      </c>
      <c r="G832" s="10" t="inlineStr">
        <is>
          <t>04-04-2026</t>
        </is>
      </c>
      <c r="H832" s="10" t="inlineStr">
        <is>
          <t>04/04/2026</t>
        </is>
      </c>
      <c r="I832" s="10" t="inlineStr">
        <is>
          <t>17/03/2026</t>
        </is>
      </c>
      <c r="J832" s="10" t="inlineStr">
        <is>
          <t>Ngân hàng, Tài chính / Đầu tư, Chứng khoán</t>
        </is>
      </c>
      <c r="K832" s="10" t="inlineStr">
        <is>
          <t>5 - 7 Năm</t>
        </is>
      </c>
      <c r="L832" s="11">
        <f>HYPERLINK("https://careerviet.vn/vi/tim-viec-lam/chuyen-gia-phat-trien-san-pham-so-khcn-product-owner.35C6A7EF.html","Xem chi tiết")</f>
        <v/>
      </c>
      <c r="M832" s="10" t="n"/>
    </row>
    <row r="833">
      <c r="B833" s="7" t="n">
        <v>831</v>
      </c>
      <c r="C833" t="inlineStr">
        <is>
          <t>QA Assistant Manager (Pharmacist, work location: VSIP 2 - Binh Duong)</t>
        </is>
      </c>
      <c r="D833" t="inlineStr">
        <is>
          <t>Công ty TNHH United International Pharma</t>
        </is>
      </c>
      <c r="E833" t="inlineStr">
        <is>
          <t>Lương:Cạnh tranh</t>
        </is>
      </c>
      <c r="F833" t="inlineStr">
        <is>
          <t>Bình Dương</t>
        </is>
      </c>
      <c r="G833" t="inlineStr">
        <is>
          <t>02-04-2026</t>
        </is>
      </c>
      <c r="H833" t="inlineStr">
        <is>
          <t>02/04/2026</t>
        </is>
      </c>
      <c r="I833" t="inlineStr">
        <is>
          <t>17/03/2026</t>
        </is>
      </c>
      <c r="J833" t="inlineStr">
        <is>
          <t>Dược phẩm/ Hóa Mỹ Phẩm, Quản lý chất lượng (QA/QC), Y tế / Chăm sóc sức khỏe / Thẩm mỹ / Làm đẹp</t>
        </is>
      </c>
      <c r="K833" t="inlineStr">
        <is>
          <t>7 - 9 Năm</t>
        </is>
      </c>
      <c r="L833" s="8">
        <f>HYPERLINK("https://careerviet.vn/vi/tim-viec-lam/qa-assistant-manager-pharmacist-work-location-vsip-2-binh-duong.35C6AA68.html","Xem chi tiết")</f>
        <v/>
      </c>
    </row>
    <row r="834">
      <c r="B834" s="9" t="n">
        <v>832</v>
      </c>
      <c r="C834" s="10" t="inlineStr">
        <is>
          <t>Vận Hành Máy/ Technician</t>
        </is>
      </c>
      <c r="D834" s="10" t="inlineStr">
        <is>
          <t>Công Ty TNHH Optimus Packaging (Việt Nam)</t>
        </is>
      </c>
      <c r="E834" s="10" t="inlineStr">
        <is>
          <t>Lương:Cạnh tranh</t>
        </is>
      </c>
      <c r="F834" s="10" t="inlineStr">
        <is>
          <t>Bình Dương</t>
        </is>
      </c>
      <c r="G834" s="10" t="inlineStr">
        <is>
          <t>02-04-2026</t>
        </is>
      </c>
      <c r="H834" s="10" t="inlineStr">
        <is>
          <t>02/04/2026</t>
        </is>
      </c>
      <c r="I834" s="10" t="inlineStr">
        <is>
          <t>17/03/2026</t>
        </is>
      </c>
      <c r="J834" s="10" t="inlineStr">
        <is>
          <t>Sản xuất / Vận hành sản xuất, Cơ khí / Ô tô / Tự động hóa</t>
        </is>
      </c>
      <c r="K834" s="10" t="inlineStr">
        <is>
          <t>Trên 2 Năm</t>
        </is>
      </c>
      <c r="L834" s="11">
        <f>HYPERLINK("https://careerviet.vn/vi/tim-viec-lam/van-hanh-may-technician.35C6A9D5.html","Xem chi tiết")</f>
        <v/>
      </c>
      <c r="M834" s="10" t="n"/>
    </row>
    <row r="835">
      <c r="B835" s="7" t="n">
        <v>833</v>
      </c>
      <c r="C835" t="inlineStr">
        <is>
          <t>QUẢN LÝ CỬA HÀNG (Phú Quốc)</t>
        </is>
      </c>
      <c r="D835" t="inlineStr">
        <is>
          <t>Vascara Group</t>
        </is>
      </c>
      <c r="E835" t="inlineStr">
        <is>
          <t>Lương:Cạnh tranh</t>
        </is>
      </c>
      <c r="F835" t="inlineStr">
        <is>
          <t>Kiên Giang</t>
        </is>
      </c>
      <c r="G835" t="inlineStr">
        <is>
          <t>29-04-2026</t>
        </is>
      </c>
      <c r="H835" t="inlineStr">
        <is>
          <t>29/04/2026</t>
        </is>
      </c>
      <c r="I835" t="inlineStr">
        <is>
          <t>17/03/2026</t>
        </is>
      </c>
      <c r="J835" t="inlineStr">
        <is>
          <t>Bán lẻ / Bán sỉ, Bán hàng / Kinh doanh, Tiếp thị / Marketing</t>
        </is>
      </c>
      <c r="K835" t="inlineStr">
        <is>
          <t>2 - 3 Năm</t>
        </is>
      </c>
      <c r="L835" s="8">
        <f>HYPERLINK("https://careerviet.vn/vi/tim-viec-lam/quan-ly-cua-hang-phu-quoc.35C6909D.html","Xem chi tiết")</f>
        <v/>
      </c>
    </row>
    <row r="836">
      <c r="B836" s="9" t="n">
        <v>834</v>
      </c>
      <c r="C836" s="10" t="inlineStr">
        <is>
          <t>Nhân Viên Kế Toán Tổng Hợp  (GẤP)</t>
        </is>
      </c>
      <c r="D836" s="10" t="inlineStr">
        <is>
          <t>CÔNG TY TNHH HMB MIỀN NAM</t>
        </is>
      </c>
      <c r="E836" s="10" t="inlineStr">
        <is>
          <t>Lương:16 Tr - 20 Tr VND</t>
        </is>
      </c>
      <c r="F836" s="10" t="inlineStr">
        <is>
          <t>Hồ Chí Minh</t>
        </is>
      </c>
      <c r="G836" s="10" t="inlineStr">
        <is>
          <t>03-04-2026</t>
        </is>
      </c>
      <c r="H836" s="10" t="inlineStr">
        <is>
          <t>03/04/2026</t>
        </is>
      </c>
      <c r="I836" s="10" t="inlineStr">
        <is>
          <t>17/03/2026</t>
        </is>
      </c>
      <c r="J836" s="10" t="inlineStr">
        <is>
          <t>Kế toán / Kiểm toán</t>
        </is>
      </c>
      <c r="K836" s="10" t="inlineStr">
        <is>
          <t>5 - 6 Năm</t>
        </is>
      </c>
      <c r="L836" s="11">
        <f>HYPERLINK("https://careerviet.vn/vi/tim-viec-lam/nhan-vien-ke-toan-tong-hop-gap.35C6AA50.html","Xem chi tiết")</f>
        <v/>
      </c>
      <c r="M836" s="10" t="n"/>
    </row>
    <row r="837">
      <c r="B837" s="7" t="n">
        <v>835</v>
      </c>
      <c r="C837" t="inlineStr">
        <is>
          <t>Kế toán công nợ phải trả  (Dalatmilk - Lâm Đồng)</t>
        </is>
      </c>
      <c r="D837" t="inlineStr">
        <is>
          <t>Công Ty Cổ Phần Tập Đoàn TH</t>
        </is>
      </c>
      <c r="E837" t="inlineStr">
        <is>
          <t>Lương:9 Tr - 15 Tr VND</t>
        </is>
      </c>
      <c r="F837" t="inlineStr">
        <is>
          <t>Lâm Đồng</t>
        </is>
      </c>
      <c r="G837" t="inlineStr">
        <is>
          <t>31-03-2026</t>
        </is>
      </c>
      <c r="H837" t="inlineStr">
        <is>
          <t>31/03/2026</t>
        </is>
      </c>
      <c r="I837" t="inlineStr">
        <is>
          <t>17/03/2026</t>
        </is>
      </c>
      <c r="J837" t="inlineStr">
        <is>
          <t>Kế toán / Kiểm toán</t>
        </is>
      </c>
      <c r="K837" t="inlineStr">
        <is>
          <t>Lên đến 3 Năm</t>
        </is>
      </c>
      <c r="L837" s="8">
        <f>HYPERLINK("https://careerviet.vn/vi/tim-viec-lam/ke-toan-cong-no-phai-tra-dalatmilk-lam-dong.35C6A2B0.html","Xem chi tiết")</f>
        <v/>
      </c>
    </row>
    <row r="838">
      <c r="B838" s="9" t="n">
        <v>836</v>
      </c>
      <c r="C838" s="10" t="inlineStr">
        <is>
          <t>Nhân viên kinh doanh thị trường Nguyên liệu pha chế</t>
        </is>
      </c>
      <c r="D838" s="10" t="inlineStr">
        <is>
          <t>CÔNG TY TNHH TIMING - CHAIN QUỐC TẾ</t>
        </is>
      </c>
      <c r="E838" s="10" t="inlineStr">
        <is>
          <t>Lương:Cạnh tranh</t>
        </is>
      </c>
      <c r="F838" s="10" t="inlineStr">
        <is>
          <t>Hồ Chí Minh</t>
        </is>
      </c>
      <c r="G838" s="10" t="inlineStr">
        <is>
          <t>31-03-2026</t>
        </is>
      </c>
      <c r="H838" s="10" t="inlineStr">
        <is>
          <t>31/03/2026</t>
        </is>
      </c>
      <c r="I838" s="10" t="inlineStr">
        <is>
          <t>17/03/2026</t>
        </is>
      </c>
      <c r="J838" s="10" t="inlineStr">
        <is>
          <t>Tiếp thị / Marketing, Bán hàng / Kinh doanh, Mới tốt nghiệp / Thực tập</t>
        </is>
      </c>
      <c r="K838" s="10" t="inlineStr">
        <is>
          <t>N/A</t>
        </is>
      </c>
      <c r="L838" s="11">
        <f>HYPERLINK("https://careerviet.vn/vi/tim-viec-lam/nhan-vien-kinh-doanh-thi-truong-nguyen-lieu-pha-che.35C6A993.html","Xem chi tiết")</f>
        <v/>
      </c>
      <c r="M838" s="10" t="n"/>
    </row>
    <row r="839">
      <c r="B839" s="7" t="n">
        <v>837</v>
      </c>
      <c r="C839" t="inlineStr">
        <is>
          <t>Kế Toán Trưởng Kiêm Kế Toán Tổng Hợp</t>
        </is>
      </c>
      <c r="D839" t="inlineStr">
        <is>
          <t>CÔNG TY TNHH KỸ THUẬT TVA</t>
        </is>
      </c>
      <c r="E839" t="inlineStr">
        <is>
          <t>Lương:Cạnh tranh</t>
        </is>
      </c>
      <c r="F839" t="inlineStr">
        <is>
          <t>Hồ Chí Minh</t>
        </is>
      </c>
      <c r="G839" t="inlineStr">
        <is>
          <t>02-04-2026</t>
        </is>
      </c>
      <c r="H839" t="inlineStr">
        <is>
          <t>02/04/2026</t>
        </is>
      </c>
      <c r="I839" t="inlineStr">
        <is>
          <t>17/03/2026</t>
        </is>
      </c>
      <c r="J839" t="inlineStr">
        <is>
          <t>Kế toán / Kiểm toán, Tài chính / Đầu tư, Luật / Pháp lý</t>
        </is>
      </c>
      <c r="K839" t="inlineStr">
        <is>
          <t>N/A</t>
        </is>
      </c>
      <c r="L839" s="8">
        <f>HYPERLINK("https://careerviet.vn/vi/tim-viec-lam/ke-toan-truong-kiem-ke-toan-tong-hop.35C6AA09.html","Xem chi tiết")</f>
        <v/>
      </c>
    </row>
    <row r="840">
      <c r="B840" s="9" t="n">
        <v>838</v>
      </c>
      <c r="C840" s="10" t="inlineStr">
        <is>
          <t>Nhân Viên Bảo Trì</t>
        </is>
      </c>
      <c r="D840" s="10" t="inlineStr">
        <is>
          <t>CÔNG TY TNHH THE SQUARE VINA</t>
        </is>
      </c>
      <c r="E840" s="10" t="inlineStr">
        <is>
          <t>Lương:Cạnh tranh</t>
        </is>
      </c>
      <c r="F840" s="10" t="inlineStr">
        <is>
          <t>Bà Rịa - Vũng Tàu</t>
        </is>
      </c>
      <c r="G840" s="10" t="inlineStr">
        <is>
          <t>02-04-2026</t>
        </is>
      </c>
      <c r="H840" s="10" t="inlineStr">
        <is>
          <t>02/04/2026</t>
        </is>
      </c>
      <c r="I840" s="10" t="inlineStr">
        <is>
          <t>17/03/2026</t>
        </is>
      </c>
      <c r="J840" s="10" t="inlineStr">
        <is>
          <t>Bảo trì / Sửa chữa, Cơ khí / Ô tô / Tự động hóa, Điện / Điện tử / Điện lạnh / Điện công nghiệp</t>
        </is>
      </c>
      <c r="K840" s="10" t="inlineStr">
        <is>
          <t>N/A</t>
        </is>
      </c>
      <c r="L840" s="11">
        <f>HYPERLINK("https://careerviet.vn/vi/tim-viec-lam/nhan-vien-ba-o-tri.35C6A999.html","Xem chi tiết")</f>
        <v/>
      </c>
      <c r="M840" s="10" t="n"/>
    </row>
    <row r="841">
      <c r="B841" s="7" t="n">
        <v>839</v>
      </c>
      <c r="C841" t="inlineStr">
        <is>
          <t>QUẢN LÝ DỰ ÁN TẠI CÔNG TY XÂY DỰNG LỚN CỦA NHẬT</t>
        </is>
      </c>
      <c r="D841" t="inlineStr">
        <is>
          <t>Công ty TNHH AOBA Việt Nam</t>
        </is>
      </c>
      <c r="E841" t="inlineStr">
        <is>
          <t>Lương:35 Tr - 45 Tr VND</t>
        </is>
      </c>
      <c r="F841" t="inlineStr">
        <is>
          <t>Hà Nội</t>
        </is>
      </c>
      <c r="G841" t="inlineStr">
        <is>
          <t>30-04-2026</t>
        </is>
      </c>
      <c r="H841" t="inlineStr">
        <is>
          <t>30/04/2026</t>
        </is>
      </c>
      <c r="I841" t="inlineStr">
        <is>
          <t>17/03/2026</t>
        </is>
      </c>
      <c r="J841" t="inlineStr">
        <is>
          <t>Xây dựng</t>
        </is>
      </c>
      <c r="K841" t="inlineStr">
        <is>
          <t>5 - 15 Năm</t>
        </is>
      </c>
      <c r="L841" s="8">
        <f>HYPERLINK("https://careerviet.vn/vi/tim-viec-lam/quan-ly-du-an-tai-cong-ty-xay-dung-lon-cua-nhat.35C6A86A.html","Xem chi tiết")</f>
        <v/>
      </c>
    </row>
    <row r="842">
      <c r="B842" s="9" t="n">
        <v>840</v>
      </c>
      <c r="C842" s="10" t="inlineStr">
        <is>
          <t>Kỹ sư Thiết kế</t>
        </is>
      </c>
      <c r="D842" s="10" t="inlineStr">
        <is>
          <t>CÔNG TY CỔ PHẦN VINATECH SOLUTION</t>
        </is>
      </c>
      <c r="E842" s="10" t="inlineStr">
        <is>
          <t>Lương:13 Tr - 18 Tr VND</t>
        </is>
      </c>
      <c r="F842" s="10" t="inlineStr">
        <is>
          <t>Hồ Chí Minh</t>
        </is>
      </c>
      <c r="G842" s="10" t="inlineStr">
        <is>
          <t>02-04-2026</t>
        </is>
      </c>
      <c r="H842" s="10" t="inlineStr">
        <is>
          <t>02/04/2026</t>
        </is>
      </c>
      <c r="I842" s="10" t="inlineStr">
        <is>
          <t>17/03/2026</t>
        </is>
      </c>
      <c r="J842" s="10" t="inlineStr">
        <is>
          <t>Cơ khí / Ô tô / Tự động hóa, Sản xuất / Vận hành sản xuất</t>
        </is>
      </c>
      <c r="K842" s="10" t="inlineStr">
        <is>
          <t>2 - 5 Năm</t>
        </is>
      </c>
      <c r="L842" s="11">
        <f>HYPERLINK("https://careerviet.vn/vi/tim-viec-lam/ky-su-thiet-ke.35C6A816.html","Xem chi tiết")</f>
        <v/>
      </c>
      <c r="M842" s="10" t="n"/>
    </row>
    <row r="843">
      <c r="B843" s="7" t="n">
        <v>841</v>
      </c>
      <c r="C843" t="inlineStr">
        <is>
          <t>GIÁM SÁT XÂY DỰNG</t>
        </is>
      </c>
      <c r="D843" t="inlineStr">
        <is>
          <t>Công Ty TNHH Đầu Tư Xây Dựng &amp; Công Nghệ Môi Trường Dương Nhật</t>
        </is>
      </c>
      <c r="E843" t="inlineStr">
        <is>
          <t>Lương:18 Tr - 25 Tr VND</t>
        </is>
      </c>
      <c r="F843" t="inlineStr">
        <is>
          <t>Hồ Chí Minh</t>
        </is>
      </c>
      <c r="G843" t="inlineStr">
        <is>
          <t>03-04-2026</t>
        </is>
      </c>
      <c r="H843" t="inlineStr">
        <is>
          <t>03/04/2026</t>
        </is>
      </c>
      <c r="I843" t="inlineStr">
        <is>
          <t>17/03/2026</t>
        </is>
      </c>
      <c r="J843" t="inlineStr">
        <is>
          <t>Xây dựng, Bất động sản</t>
        </is>
      </c>
      <c r="K843" t="inlineStr">
        <is>
          <t>3 - 5 Năm</t>
        </is>
      </c>
      <c r="L843" s="8">
        <f>HYPERLINK("https://careerviet.vn/vi/tim-viec-lam/giam-sat-xay-dung.35C6A95B.html","Xem chi tiết")</f>
        <v/>
      </c>
    </row>
    <row r="844">
      <c r="B844" s="9" t="n">
        <v>842</v>
      </c>
      <c r="C844" s="10" t="inlineStr">
        <is>
          <t>Nhân viên kỹ thuật cơ điện (NOC Hạ tầng)</t>
        </is>
      </c>
      <c r="D844" s="10" t="inlineStr">
        <is>
          <t>Công ty TNHH Viettel - CHT</t>
        </is>
      </c>
      <c r="E844" s="10" t="inlineStr">
        <is>
          <t>Lương:Cạnh tranh</t>
        </is>
      </c>
      <c r="F844" s="10" t="inlineStr">
        <is>
          <t>Hà NộiBình Dương</t>
        </is>
      </c>
      <c r="G844" s="10" t="inlineStr">
        <is>
          <t>02-04-2026</t>
        </is>
      </c>
      <c r="H844" s="10" t="inlineStr">
        <is>
          <t>02/04/2026</t>
        </is>
      </c>
      <c r="I844" s="10" t="inlineStr">
        <is>
          <t>17/03/2026</t>
        </is>
      </c>
      <c r="J844" s="10" t="inlineStr">
        <is>
          <t>Điện / Điện tử / Điện lạnh / Điện công nghiệp, CNTT - Phần cứng / Mạng</t>
        </is>
      </c>
      <c r="K844" s="10" t="inlineStr">
        <is>
          <t>Trên 1 Năm</t>
        </is>
      </c>
      <c r="L844" s="11">
        <f>HYPERLINK("https://careerviet.vn/vi/tim-viec-lam/nhan-vien-ky-thuat-co-dien-noc-ha-tang.35C6AB01.html","Xem chi tiết")</f>
        <v/>
      </c>
      <c r="M844" s="10" t="n"/>
    </row>
    <row r="845">
      <c r="B845" s="7" t="n">
        <v>843</v>
      </c>
      <c r="C845" t="inlineStr">
        <is>
          <t>Nhân viên Kế toán bán hàng</t>
        </is>
      </c>
      <c r="D845" t="inlineStr">
        <is>
          <t>Hoang Duc Pharmaceutical &amp; Medical Supplies co, Ltd.</t>
        </is>
      </c>
      <c r="E845" t="inlineStr">
        <is>
          <t>Lương:Cạnh tranh</t>
        </is>
      </c>
      <c r="F845" t="inlineStr">
        <is>
          <t>Hưng Yên</t>
        </is>
      </c>
      <c r="G845" t="inlineStr">
        <is>
          <t>30-04-2026</t>
        </is>
      </c>
      <c r="H845" t="inlineStr">
        <is>
          <t>30/04/2026</t>
        </is>
      </c>
      <c r="I845" t="inlineStr">
        <is>
          <t>17/03/2026</t>
        </is>
      </c>
      <c r="J845" t="inlineStr">
        <is>
          <t>Kế toán / Kiểm toán</t>
        </is>
      </c>
      <c r="K845" t="inlineStr">
        <is>
          <t>N/A</t>
        </is>
      </c>
      <c r="L845" s="8">
        <f>HYPERLINK("https://careerviet.vn/vi/tim-viec-lam/nhan-vien-ke-toan-ban-hang.35C6A862.html","Xem chi tiết")</f>
        <v/>
      </c>
    </row>
    <row r="846">
      <c r="B846" s="9" t="n">
        <v>844</v>
      </c>
      <c r="C846" s="10" t="inlineStr">
        <is>
          <t>Phó phòng pháp chế (Phụ trách tư vấn và hợp đồng)</t>
        </is>
      </c>
      <c r="D846" s="10" t="inlineStr">
        <is>
          <t>CÔNG TY CỔ PHẦN EUROWINDOW HOLDING</t>
        </is>
      </c>
      <c r="E846" s="10" t="inlineStr">
        <is>
          <t>Lương:Cạnh tranh</t>
        </is>
      </c>
      <c r="F846" s="10" t="inlineStr">
        <is>
          <t>Hà Nội</t>
        </is>
      </c>
      <c r="G846" s="10" t="inlineStr">
        <is>
          <t>03-04-2026</t>
        </is>
      </c>
      <c r="H846" s="10" t="inlineStr">
        <is>
          <t>03/04/2026</t>
        </is>
      </c>
      <c r="I846" s="10" t="inlineStr">
        <is>
          <t>17/03/2026</t>
        </is>
      </c>
      <c r="J846" s="10" t="inlineStr">
        <is>
          <t>Luật / Pháp lý</t>
        </is>
      </c>
      <c r="K846" s="10" t="inlineStr">
        <is>
          <t>3 - 5 Năm</t>
        </is>
      </c>
      <c r="L846" s="11">
        <f>HYPERLINK("https://careerviet.vn/vi/tim-viec-lam/pho-phong-phap-che-phu-trach-tu-van-va-hop-dong.35C6A9A2.html","Xem chi tiết")</f>
        <v/>
      </c>
      <c r="M846" s="10" t="n"/>
    </row>
    <row r="847">
      <c r="B847" s="7" t="n">
        <v>845</v>
      </c>
      <c r="C847" t="inlineStr">
        <is>
          <t>Chuyên viên chính/Chuyên viên Cấp cao Quan hệ khách hàng Cá nhân - NCB Quảng Ninh, Bắc Ninh, Thái Bình</t>
        </is>
      </c>
      <c r="D847" t="inlineStr">
        <is>
          <t>Ngân Hàng TMCP Quốc Dân (NCB)</t>
        </is>
      </c>
      <c r="E847" t="inlineStr">
        <is>
          <t>Lương:Cạnh tranh</t>
        </is>
      </c>
      <c r="F847" t="inlineStr">
        <is>
          <t>Quảng NinhBắc NinhThái Bình</t>
        </is>
      </c>
      <c r="G847" t="inlineStr">
        <is>
          <t>03-04-2026</t>
        </is>
      </c>
      <c r="H847" t="inlineStr">
        <is>
          <t>03/04/2026</t>
        </is>
      </c>
      <c r="I847" t="inlineStr">
        <is>
          <t>17/03/2026</t>
        </is>
      </c>
      <c r="J847" t="inlineStr">
        <is>
          <t>Bán hàng / Kinh doanh, Ngân hàng, Dịch vụ khách hàng</t>
        </is>
      </c>
      <c r="K847" t="inlineStr">
        <is>
          <t>Trên 1 Năm</t>
        </is>
      </c>
      <c r="L847" s="8">
        <f>HYPERLINK("https://careerviet.vn/vi/tim-viec-lam/chuyen-vien-chinh-chuyen-vien-cap-cao-quan-he-khach-hang-ca-nhan-ncb-quang-ninh-bac-ninh-thai-binh.35C6A965.html","Xem chi tiết")</f>
        <v/>
      </c>
    </row>
    <row r="848">
      <c r="B848" s="9" t="n">
        <v>846</v>
      </c>
      <c r="C848" s="10" t="inlineStr">
        <is>
          <t>CHUYÊN VIÊN THIẾT KẾ 3D – KHÔNG GIAN CỬA HÀNG</t>
        </is>
      </c>
      <c r="D848" s="10" t="inlineStr">
        <is>
          <t>CÔNG TY TNHH MTV THƯƠNG MẠI DỊCH VỤ BLUE OCEAN- THẾ GIỚI SKINFOOD</t>
        </is>
      </c>
      <c r="E848" s="10" t="inlineStr">
        <is>
          <t>Lương:Cạnh tranh</t>
        </is>
      </c>
      <c r="F848" s="10" t="inlineStr">
        <is>
          <t>Hồ Chí Minh</t>
        </is>
      </c>
      <c r="G848" s="10" t="inlineStr">
        <is>
          <t>03-04-2026</t>
        </is>
      </c>
      <c r="H848" s="10" t="inlineStr">
        <is>
          <t>03/04/2026</t>
        </is>
      </c>
      <c r="I848" s="10" t="inlineStr">
        <is>
          <t>17/03/2026</t>
        </is>
      </c>
      <c r="J848" s="10" t="inlineStr">
        <is>
          <t>Kiến trúc, Mỹ thuật / Nghệ thuật / Thiết kế, Nội ngoại thất</t>
        </is>
      </c>
      <c r="K848" s="10" t="inlineStr">
        <is>
          <t>2 - 3 Năm</t>
        </is>
      </c>
      <c r="L848" s="11">
        <f>HYPERLINK("https://careerviet.vn/vi/tim-viec-lam/chuyen-vien-thiet-ke-3d-khong-gian-cua-hang.35C6A988.html","Xem chi tiết")</f>
        <v/>
      </c>
      <c r="M848" s="10" t="n"/>
    </row>
    <row r="849">
      <c r="B849" s="7" t="n">
        <v>847</v>
      </c>
      <c r="C849" t="inlineStr">
        <is>
          <t>Finance Executive</t>
        </is>
      </c>
      <c r="D849" t="inlineStr">
        <is>
          <t>NIRVANA MEMORIAL PARK LTD. CO.- CÔNG TY TNHH CÔNG VIÊN TƯỞNG NIỆM NIẾT BÀN</t>
        </is>
      </c>
      <c r="E849" t="inlineStr">
        <is>
          <t>Lương:16 Tr - 21 Tr VND</t>
        </is>
      </c>
      <c r="F849" t="inlineStr">
        <is>
          <t>Hồ Chí Minh</t>
        </is>
      </c>
      <c r="G849" t="inlineStr">
        <is>
          <t>30-04-2026</t>
        </is>
      </c>
      <c r="H849" t="inlineStr">
        <is>
          <t>30/04/2026</t>
        </is>
      </c>
      <c r="I849" t="inlineStr">
        <is>
          <t>17/03/2026</t>
        </is>
      </c>
      <c r="J849" t="inlineStr">
        <is>
          <t>Kế toán / Kiểm toán, Ngân hàng, Tài chính / Đầu tư</t>
        </is>
      </c>
      <c r="K849" t="inlineStr">
        <is>
          <t>2 - 3 Năm</t>
        </is>
      </c>
      <c r="L849" s="8">
        <f>HYPERLINK("https://careerviet.vn/vi/tim-viec-lam/finance-executive.35C6A854.html","Xem chi tiết")</f>
        <v/>
      </c>
    </row>
    <row r="850">
      <c r="B850" s="9" t="n">
        <v>848</v>
      </c>
      <c r="C850" s="10" t="inlineStr">
        <is>
          <t>Chuyên viên cao cấp Thương hiệu điểm đến</t>
        </is>
      </c>
      <c r="D850" s="10" t="inlineStr">
        <is>
          <t>BIM Group</t>
        </is>
      </c>
      <c r="E850" s="10" t="inlineStr">
        <is>
          <t>Lương:Cạnh tranh</t>
        </is>
      </c>
      <c r="F850" s="10" t="inlineStr">
        <is>
          <t>Hà Nội</t>
        </is>
      </c>
      <c r="G850" s="10" t="inlineStr">
        <is>
          <t>30-04-2026</t>
        </is>
      </c>
      <c r="H850" s="10" t="inlineStr">
        <is>
          <t>30/04/2026</t>
        </is>
      </c>
      <c r="I850" s="10" t="inlineStr">
        <is>
          <t>17/03/2026</t>
        </is>
      </c>
      <c r="J850" s="10" t="inlineStr">
        <is>
          <t>Tiếp thị / Marketing, Nhà hàng / Khách sạn, Bất động sản</t>
        </is>
      </c>
      <c r="K850" s="10" t="inlineStr">
        <is>
          <t>Trên 2 Năm</t>
        </is>
      </c>
      <c r="L850" s="11">
        <f>HYPERLINK("https://careerviet.vn/vi/tim-viec-lam/chuyen-vien-cao-cap-thuong-hieu-diem-den.35C6A75D.html","Xem chi tiết")</f>
        <v/>
      </c>
      <c r="M850" s="10" t="n"/>
    </row>
    <row r="851">
      <c r="B851" s="7" t="n">
        <v>849</v>
      </c>
      <c r="C851" t="inlineStr">
        <is>
          <t>Nhân Viên QC</t>
        </is>
      </c>
      <c r="D851" t="inlineStr">
        <is>
          <t>CÔNG TY TNHH KCC VIỆT NAM</t>
        </is>
      </c>
      <c r="E851" t="inlineStr">
        <is>
          <t>Lương:Cạnh tranh</t>
        </is>
      </c>
      <c r="F851" t="inlineStr">
        <is>
          <t>Đồng Nai</t>
        </is>
      </c>
      <c r="G851" t="inlineStr">
        <is>
          <t>30-04-2026</t>
        </is>
      </c>
      <c r="H851" t="inlineStr">
        <is>
          <t>30/04/2026</t>
        </is>
      </c>
      <c r="I851" t="inlineStr">
        <is>
          <t>17/03/2026</t>
        </is>
      </c>
      <c r="J851" t="inlineStr">
        <is>
          <t>Hóa học, Quản lý chất lượng (QA/QC)</t>
        </is>
      </c>
      <c r="K851" t="inlineStr">
        <is>
          <t>N/A</t>
        </is>
      </c>
      <c r="L851" s="8">
        <f>HYPERLINK("https://careerviet.vn/vi/tim-viec-lam/nhan-vien-qc.35C6AAA8.html","Xem chi tiết")</f>
        <v/>
      </c>
    </row>
    <row r="852">
      <c r="B852" s="9" t="n">
        <v>850</v>
      </c>
      <c r="C852" s="10" t="inlineStr">
        <is>
          <t>Sales Assistant có Tiếng Nhật 27705 - VSIP 2, Bình Dương</t>
        </is>
      </c>
      <c r="D852" s="10" t="inlineStr">
        <is>
          <t>Công Ty TNHH Reeracoen Việt Nam</t>
        </is>
      </c>
      <c r="E852" s="10" t="inlineStr">
        <is>
          <t>Lương:13 Tr - 15 Tr VND</t>
        </is>
      </c>
      <c r="F852" s="10" t="inlineStr">
        <is>
          <t>Bình Dương</t>
        </is>
      </c>
      <c r="G852" s="10" t="inlineStr">
        <is>
          <t>03-04-2026</t>
        </is>
      </c>
      <c r="H852" s="10" t="inlineStr">
        <is>
          <t>03/04/2026</t>
        </is>
      </c>
      <c r="I852" s="10" t="inlineStr">
        <is>
          <t>17/03/2026</t>
        </is>
      </c>
      <c r="J852" s="10" t="inlineStr">
        <is>
          <t>Bán hàng / Kinh doanh, Bán Hàng Kỹ Thuật, Hành chính / Thư ký</t>
        </is>
      </c>
      <c r="K852" s="10" t="inlineStr">
        <is>
          <t>N/A</t>
        </is>
      </c>
      <c r="L852" s="11">
        <f>HYPERLINK("https://careerviet.vn/vi/tim-viec-lam/sales-assistant-co-tieng-nhat-27705-vsip-2-binh-duong.35C6AAD2.html","Xem chi tiết")</f>
        <v/>
      </c>
      <c r="M852" s="10" t="n"/>
    </row>
    <row r="853">
      <c r="B853" s="7" t="n">
        <v>851</v>
      </c>
      <c r="C853" t="inlineStr">
        <is>
          <t>Kế toán trưởng 27720 - Thảo Điền, Thủ Đức</t>
        </is>
      </c>
      <c r="D853" t="inlineStr">
        <is>
          <t>Công Ty TNHH Reeracoen Việt Nam</t>
        </is>
      </c>
      <c r="E853" t="inlineStr">
        <is>
          <t>Lương:25 Tr - 30 Tr VND</t>
        </is>
      </c>
      <c r="F853" t="inlineStr">
        <is>
          <t>Hồ Chí Minh</t>
        </is>
      </c>
      <c r="G853" t="inlineStr">
        <is>
          <t>03-04-2026</t>
        </is>
      </c>
      <c r="H853" t="inlineStr">
        <is>
          <t>03/04/2026</t>
        </is>
      </c>
      <c r="I853" t="inlineStr">
        <is>
          <t>17/03/2026</t>
        </is>
      </c>
      <c r="J853" t="inlineStr">
        <is>
          <t>Kế toán / Kiểm toán, Tài chính / Đầu tư, Nhân sự</t>
        </is>
      </c>
      <c r="K853" t="inlineStr">
        <is>
          <t>Trên 5 Năm</t>
        </is>
      </c>
      <c r="L853" s="8">
        <f>HYPERLINK("https://careerviet.vn/vi/tim-viec-lam/ke-toan-truong-27720-thao-dien-thu-duc.35C6AA96.html","Xem chi tiết")</f>
        <v/>
      </c>
    </row>
    <row r="854">
      <c r="B854" s="9" t="n">
        <v>852</v>
      </c>
      <c r="C854" s="10" t="inlineStr">
        <is>
          <t>Nhân viên kinh doanh dự án ngành VLXD, lương cứng 20 triệu, thu nhập đến 45 triệu</t>
        </is>
      </c>
      <c r="D854" s="10" t="inlineStr">
        <is>
          <t>Công ty TNHH TM XD Hiệp Thủy</t>
        </is>
      </c>
      <c r="E854" s="10" t="inlineStr">
        <is>
          <t>Lương:20 Tr - 45 Tr VND</t>
        </is>
      </c>
      <c r="F854" s="10" t="inlineStr">
        <is>
          <t>Hồ Chí Minh</t>
        </is>
      </c>
      <c r="G854" s="10" t="inlineStr">
        <is>
          <t>31-03-2026</t>
        </is>
      </c>
      <c r="H854" s="10" t="inlineStr">
        <is>
          <t>31/03/2026</t>
        </is>
      </c>
      <c r="I854" s="10" t="inlineStr">
        <is>
          <t>17/03/2026</t>
        </is>
      </c>
      <c r="J854" s="10" t="inlineStr">
        <is>
          <t>Tiếp thị / Marketing, Bán hàng / Kinh doanh, Xây dựng</t>
        </is>
      </c>
      <c r="K854" s="10" t="inlineStr">
        <is>
          <t>5 - 7 Năm</t>
        </is>
      </c>
      <c r="L854" s="11">
        <f>HYPERLINK("https://careerviet.vn/vi/tim-viec-lam/nhan-vien-kinh-doanh-du-an-nganh-vlxd-luong-cung-20-trieu-thu-nhap-den-45-trieu.35C6AB04.html","Xem chi tiết")</f>
        <v/>
      </c>
      <c r="M854" s="10" t="n"/>
    </row>
    <row r="855">
      <c r="B855" s="7" t="n">
        <v>853</v>
      </c>
      <c r="C855" t="inlineStr">
        <is>
          <t>NHÂN VIÊN KINH DOANH (THIẾT BỊ NỘI SOI, THIẾT BỊ Y TẾ)</t>
        </is>
      </c>
      <c r="D855" t="inlineStr">
        <is>
          <t>TMT MEDICAL</t>
        </is>
      </c>
      <c r="E855" t="inlineStr">
        <is>
          <t>Lương:10 Tr - 15 Tr VND</t>
        </is>
      </c>
      <c r="F855" t="inlineStr">
        <is>
          <t>Hồ Chí Minh</t>
        </is>
      </c>
      <c r="G855" t="inlineStr">
        <is>
          <t>31-03-2026</t>
        </is>
      </c>
      <c r="H855" t="inlineStr">
        <is>
          <t>31/03/2026</t>
        </is>
      </c>
      <c r="I855" t="inlineStr">
        <is>
          <t>17/03/2026</t>
        </is>
      </c>
      <c r="J855" t="inlineStr">
        <is>
          <t>Y tế / Chăm sóc sức khỏe / Thẩm mỹ / Làm đẹp, Bán hàng / Kinh doanh, Điện / Điện tử / Điện lạnh / Điện công nghiệp</t>
        </is>
      </c>
      <c r="K855" t="inlineStr">
        <is>
          <t>1 - 2 Năm</t>
        </is>
      </c>
      <c r="L855" s="8">
        <f>HYPERLINK("https://careerviet.vn/vi/tim-viec-lam/nhan-vien-kinh-doanh-thiet-bi-noi-soi-thiet-bi-y-te.35C6A994.html","Xem chi tiết")</f>
        <v/>
      </c>
    </row>
    <row r="856">
      <c r="B856" s="9" t="n">
        <v>854</v>
      </c>
      <c r="C856" s="10" t="inlineStr">
        <is>
          <t>KỸ SƯ MEP</t>
        </is>
      </c>
      <c r="D856" s="10" t="inlineStr">
        <is>
          <t>CÔNG TY CP TẬP ĐOÀN ĐẦU TƯ HOÀNG GIA VIỆT NAM</t>
        </is>
      </c>
      <c r="E856" s="10" t="inlineStr">
        <is>
          <t>Lương:Cạnh tranh</t>
        </is>
      </c>
      <c r="F856" s="10" t="inlineStr">
        <is>
          <t>Long An</t>
        </is>
      </c>
      <c r="G856" s="10" t="inlineStr">
        <is>
          <t>31-03-2026</t>
        </is>
      </c>
      <c r="H856" s="10" t="inlineStr">
        <is>
          <t>31/03/2026</t>
        </is>
      </c>
      <c r="I856" s="10" t="inlineStr">
        <is>
          <t>17/03/2026</t>
        </is>
      </c>
      <c r="J856" s="10" t="inlineStr">
        <is>
          <t>Điện / Điện tử / Điện lạnh / Điện công nghiệp, Xây dựng</t>
        </is>
      </c>
      <c r="K856" s="10" t="inlineStr">
        <is>
          <t>5 - 10 Năm</t>
        </is>
      </c>
      <c r="L856" s="11">
        <f>HYPERLINK("https://careerviet.vn/vi/tim-viec-lam/ky-su-mep.35C6AADF.html","Xem chi tiết")</f>
        <v/>
      </c>
      <c r="M856" s="10" t="n"/>
    </row>
    <row r="857">
      <c r="B857" s="7" t="n">
        <v>855</v>
      </c>
      <c r="C857" t="inlineStr">
        <is>
          <t>Retail Sales Supervisor (Offline)</t>
        </is>
      </c>
      <c r="D857" t="inlineStr">
        <is>
          <t>Công ty TNHH Enzo &amp; Leo</t>
        </is>
      </c>
      <c r="E857" t="inlineStr">
        <is>
          <t>Lương:16 Tr - 18 Tr VND</t>
        </is>
      </c>
      <c r="F857" t="inlineStr">
        <is>
          <t>Hồ Chí Minh</t>
        </is>
      </c>
      <c r="G857" t="inlineStr">
        <is>
          <t>31-03-2026</t>
        </is>
      </c>
      <c r="H857" t="inlineStr">
        <is>
          <t>31/03/2026</t>
        </is>
      </c>
      <c r="I857" t="inlineStr">
        <is>
          <t>17/03/2026</t>
        </is>
      </c>
      <c r="J857" t="inlineStr">
        <is>
          <t>Bán hàng / Kinh doanh</t>
        </is>
      </c>
      <c r="K857" t="inlineStr">
        <is>
          <t>2 - 3 Năm</t>
        </is>
      </c>
      <c r="L857" s="8">
        <f>HYPERLINK("https://careerviet.vn/vi/tim-viec-lam/retail-sales-supervisor-offline.35C6A864.html","Xem chi tiết")</f>
        <v/>
      </c>
    </row>
    <row r="858">
      <c r="B858" s="9" t="n">
        <v>856</v>
      </c>
      <c r="C858" s="10" t="inlineStr">
        <is>
          <t>Product Owner (PropTech - Data/GIS/AI)</t>
        </is>
      </c>
      <c r="D858" s="10" t="inlineStr">
        <is>
          <t>Công ty Cổ phần Tập đoàn Meey Land</t>
        </is>
      </c>
      <c r="E858" s="10" t="inlineStr">
        <is>
          <t>Lương:30 Tr - 45 Tr VND</t>
        </is>
      </c>
      <c r="F858" s="10" t="inlineStr">
        <is>
          <t>Hà Nội</t>
        </is>
      </c>
      <c r="G858" s="10" t="inlineStr">
        <is>
          <t>31-03-2026</t>
        </is>
      </c>
      <c r="H858" s="10" t="inlineStr">
        <is>
          <t>31/03/2026</t>
        </is>
      </c>
      <c r="I858" s="10" t="inlineStr">
        <is>
          <t>17/03/2026</t>
        </is>
      </c>
      <c r="J858" s="10" t="inlineStr">
        <is>
          <t>CNTT - Phần mềm, Bất động sản</t>
        </is>
      </c>
      <c r="K858" s="10" t="inlineStr">
        <is>
          <t>3 - 4 Năm</t>
        </is>
      </c>
      <c r="L858" s="11">
        <f>HYPERLINK("https://careerviet.vn/vi/tim-viec-lam/product-owner-proptech-data-gis-ai.35C6A96D.html","Xem chi tiết")</f>
        <v/>
      </c>
      <c r="M858" s="10" t="n"/>
    </row>
    <row r="859">
      <c r="B859" s="7" t="n">
        <v>857</v>
      </c>
      <c r="C859" t="inlineStr">
        <is>
          <t>Chuyên viên kiểm soát nội bộ</t>
        </is>
      </c>
      <c r="D859" t="inlineStr">
        <is>
          <t>CÔNG TY CP TẬP ĐOÀN ĐẦU TƯ HOÀNG GIA VIỆT NAM</t>
        </is>
      </c>
      <c r="E859" t="inlineStr">
        <is>
          <t>Lương:Cạnh tranh</t>
        </is>
      </c>
      <c r="F859" t="inlineStr">
        <is>
          <t>Hồ Chí Minh</t>
        </is>
      </c>
      <c r="G859" t="inlineStr">
        <is>
          <t>16-03-2026</t>
        </is>
      </c>
      <c r="H859" t="inlineStr">
        <is>
          <t>03/03/2026</t>
        </is>
      </c>
      <c r="I859" t="inlineStr">
        <is>
          <t>17/03/2026</t>
        </is>
      </c>
      <c r="J859" t="inlineStr">
        <is>
          <t>Kế toán / Kiểm toán</t>
        </is>
      </c>
      <c r="K859" t="inlineStr">
        <is>
          <t>3 - 5 Năm</t>
        </is>
      </c>
      <c r="L859" s="8">
        <f>HYPERLINK("https://careerviet.vn/vi/tim-viec-lam/chuyen-vien-kiem-soat-noi-bo.35C6AAE8.html","Xem chi tiết")</f>
        <v/>
      </c>
    </row>
    <row r="860">
      <c r="B860" s="9" t="n">
        <v>858</v>
      </c>
      <c r="C860" s="10" t="inlineStr">
        <is>
          <t>Software Architect</t>
        </is>
      </c>
      <c r="D860" s="10" t="inlineStr">
        <is>
          <t>Công ty TNHH Viettel - CHT</t>
        </is>
      </c>
      <c r="E860" s="10" t="inlineStr">
        <is>
          <t>Lương:Cạnh tranh</t>
        </is>
      </c>
      <c r="F860" s="10" t="inlineStr">
        <is>
          <t>Hà Nội</t>
        </is>
      </c>
      <c r="G860" s="10" t="inlineStr">
        <is>
          <t>02-04-2026</t>
        </is>
      </c>
      <c r="H860" s="10" t="inlineStr">
        <is>
          <t>02/04/2026</t>
        </is>
      </c>
      <c r="I860" s="10" t="inlineStr">
        <is>
          <t>17/03/2026</t>
        </is>
      </c>
      <c r="J860" s="10" t="inlineStr">
        <is>
          <t>CNTT - Phần mềm, CNTT - Phần cứng / Mạng</t>
        </is>
      </c>
      <c r="K860" s="10" t="inlineStr">
        <is>
          <t>Trên 3 Năm</t>
        </is>
      </c>
      <c r="L860" s="11">
        <f>HYPERLINK("https://careerviet.vn/vi/tim-viec-lam/software-architect.35C6AB02.html","Xem chi tiết")</f>
        <v/>
      </c>
      <c r="M860" s="10" t="n"/>
    </row>
    <row r="861">
      <c r="B861" s="7" t="n">
        <v>859</v>
      </c>
      <c r="C861" t="inlineStr">
        <is>
          <t>Cửa hàng trưởng tại Đà Nẵng</t>
        </is>
      </c>
      <c r="D861" t="inlineStr">
        <is>
          <t>Công Ty Cổ Phần TM &amp; DV Phong Vũ</t>
        </is>
      </c>
      <c r="E861" t="inlineStr">
        <is>
          <t>Lương:15 Tr - 20 Tr VND</t>
        </is>
      </c>
      <c r="F861" t="inlineStr">
        <is>
          <t>Đà Nẵng</t>
        </is>
      </c>
      <c r="G861" t="inlineStr">
        <is>
          <t>30-04-2026</t>
        </is>
      </c>
      <c r="H861" t="inlineStr">
        <is>
          <t>30/04/2026</t>
        </is>
      </c>
      <c r="I861" t="inlineStr">
        <is>
          <t>17/03/2026</t>
        </is>
      </c>
      <c r="J861" t="inlineStr">
        <is>
          <t>Bán lẻ / Bán sỉ, Bán hàng / Kinh doanh, Bán Hàng Kỹ Thuật</t>
        </is>
      </c>
      <c r="K861" t="inlineStr">
        <is>
          <t>2 - 5 Năm</t>
        </is>
      </c>
      <c r="L861" s="8">
        <f>HYPERLINK("https://careerviet.vn/vi/tim-viec-lam/cua-hang-truong-tai-da-nang.35C6AAC6.html","Xem chi tiết")</f>
        <v/>
      </c>
    </row>
    <row r="862">
      <c r="B862" s="9" t="n">
        <v>860</v>
      </c>
      <c r="C862" s="10" t="inlineStr">
        <is>
          <t>NHÂN VIÊN KẾ TOÁN</t>
        </is>
      </c>
      <c r="D862" s="10" t="inlineStr">
        <is>
          <t>CÔNG TY CỔ PHẦN ĐẦU TƯ PHÁT TRIỂN CÔNG NGHIỆP - THƯƠNG MẠI CỦ CHI</t>
        </is>
      </c>
      <c r="E862" s="10" t="inlineStr">
        <is>
          <t>Lương:Cạnh tranh</t>
        </is>
      </c>
      <c r="F862" s="10" t="inlineStr">
        <is>
          <t>Hồ Chí Minh</t>
        </is>
      </c>
      <c r="G862" s="10" t="inlineStr">
        <is>
          <t>02-04-2026</t>
        </is>
      </c>
      <c r="H862" s="10" t="inlineStr">
        <is>
          <t>02/04/2026</t>
        </is>
      </c>
      <c r="I862" s="10" t="inlineStr">
        <is>
          <t>17/03/2026</t>
        </is>
      </c>
      <c r="J862" s="10" t="inlineStr">
        <is>
          <t>Kế toán / Kiểm toán, Vận chuyển / Giao nhận / Kho vận, Hành chính / Thư ký</t>
        </is>
      </c>
      <c r="K862" s="10" t="inlineStr">
        <is>
          <t>Trên 2 Năm</t>
        </is>
      </c>
      <c r="L862" s="11">
        <f>HYPERLINK("https://careerviet.vn/vi/tim-viec-lam/nhan-vien-ke-toan.35C6A8A1.html","Xem chi tiết")</f>
        <v/>
      </c>
      <c r="M862" s="10" t="n"/>
    </row>
    <row r="863">
      <c r="B863" s="7" t="n">
        <v>861</v>
      </c>
      <c r="C863" t="inlineStr">
        <is>
          <t>Chuyên viên thủ tục pháp lý</t>
        </is>
      </c>
      <c r="D863" t="inlineStr">
        <is>
          <t>Tập đoàn An Lạc – Anlac Group</t>
        </is>
      </c>
      <c r="E863" t="inlineStr">
        <is>
          <t>Lương:Cạnh tranh</t>
        </is>
      </c>
      <c r="F863" t="inlineStr">
        <is>
          <t>Hà Nội</t>
        </is>
      </c>
      <c r="G863" t="inlineStr">
        <is>
          <t>15-04-2026</t>
        </is>
      </c>
      <c r="H863" t="inlineStr">
        <is>
          <t>15/04/2026</t>
        </is>
      </c>
      <c r="I863" t="inlineStr">
        <is>
          <t>17/03/2026</t>
        </is>
      </c>
      <c r="J863" t="inlineStr">
        <is>
          <t>Luật / Pháp lý</t>
        </is>
      </c>
      <c r="K863" t="inlineStr">
        <is>
          <t>5 - 7 Năm</t>
        </is>
      </c>
      <c r="L863" s="8">
        <f>HYPERLINK("https://careerviet.vn/vi/tim-viec-lam/chuyen-vien-thu-tuc-phap-ly.35C6AA84.html","Xem chi tiết")</f>
        <v/>
      </c>
    </row>
    <row r="864">
      <c r="B864" s="9" t="n">
        <v>862</v>
      </c>
      <c r="C864" s="10" t="inlineStr">
        <is>
          <t>Chuyên viên Hỗ trợ tín dụng</t>
        </is>
      </c>
      <c r="D864" s="10" t="inlineStr">
        <is>
          <t>BVBank - Ngân hàng Bản Việt</t>
        </is>
      </c>
      <c r="E864" s="10" t="inlineStr">
        <is>
          <t>Lương:Cạnh tranh</t>
        </is>
      </c>
      <c r="F864" s="10" t="inlineStr">
        <is>
          <t>Hà Nội</t>
        </is>
      </c>
      <c r="G864" s="10" t="inlineStr">
        <is>
          <t>02-04-2026</t>
        </is>
      </c>
      <c r="H864" s="10" t="inlineStr">
        <is>
          <t>02/04/2026</t>
        </is>
      </c>
      <c r="I864" s="10" t="inlineStr">
        <is>
          <t>17/03/2026</t>
        </is>
      </c>
      <c r="J864" s="10" t="inlineStr">
        <is>
          <t>Ngân hàng, Tài chính / Đầu tư</t>
        </is>
      </c>
      <c r="K864" s="10" t="inlineStr">
        <is>
          <t>2 - 3 Năm</t>
        </is>
      </c>
      <c r="L864" s="11">
        <f>HYPERLINK("https://careerviet.vn/vi/tim-viec-lam/chuyen-vien-ho-tro-tin-dung.35C6AAD1.html","Xem chi tiết")</f>
        <v/>
      </c>
      <c r="M864" s="10" t="n"/>
    </row>
    <row r="865">
      <c r="B865" s="7" t="n">
        <v>863</v>
      </c>
      <c r="C865" t="inlineStr">
        <is>
          <t>Nhân viên Kinh doanh Khách lẻ</t>
        </is>
      </c>
      <c r="D865" t="inlineStr">
        <is>
          <t>Công Ty Cổ Phần Du Lịch Vietravel</t>
        </is>
      </c>
      <c r="E865" t="inlineStr">
        <is>
          <t>Lương:Cạnh tranh</t>
        </is>
      </c>
      <c r="F865" t="inlineStr">
        <is>
          <t>Nghệ An</t>
        </is>
      </c>
      <c r="G865" t="inlineStr">
        <is>
          <t>02-04-2026</t>
        </is>
      </c>
      <c r="H865" t="inlineStr">
        <is>
          <t>02/04/2026</t>
        </is>
      </c>
      <c r="I865" t="inlineStr">
        <is>
          <t>17/03/2026</t>
        </is>
      </c>
      <c r="J865" t="inlineStr">
        <is>
          <t>Bán lẻ / Bán sỉ, Bán hàng / Kinh doanh, Du lịch</t>
        </is>
      </c>
      <c r="K865" t="inlineStr">
        <is>
          <t>Trên 2 Năm</t>
        </is>
      </c>
      <c r="L865" s="8">
        <f>HYPERLINK("https://careerviet.vn/vi/tim-viec-lam/nhan-vien-kinh-doanh-khach-le.35C6A9BB.html","Xem chi tiết")</f>
        <v/>
      </c>
    </row>
    <row r="866">
      <c r="B866" s="9" t="n">
        <v>864</v>
      </c>
      <c r="C866" s="10" t="inlineStr">
        <is>
          <t>Chuyên viên kiểm soát nội bộ</t>
        </is>
      </c>
      <c r="D866" s="10" t="inlineStr">
        <is>
          <t>Công Ty TNHH Xúc Tiến Thương Mại NBT Holdings</t>
        </is>
      </c>
      <c r="E866" s="10" t="inlineStr">
        <is>
          <t>Lương:Cạnh tranh</t>
        </is>
      </c>
      <c r="F866" s="10" t="inlineStr">
        <is>
          <t>Hà Nội</t>
        </is>
      </c>
      <c r="G866" s="10" t="inlineStr">
        <is>
          <t>16-03-2026</t>
        </is>
      </c>
      <c r="H866" s="10" t="inlineStr">
        <is>
          <t>15/03/2026</t>
        </is>
      </c>
      <c r="I866" s="10" t="inlineStr">
        <is>
          <t>17/03/2026</t>
        </is>
      </c>
      <c r="J866" s="10" t="inlineStr">
        <is>
          <t>Kế toán / Kiểm toán, Tài chính / Đầu tư, Luật / Pháp lý</t>
        </is>
      </c>
      <c r="K866" s="10" t="inlineStr">
        <is>
          <t>3 - 5 Năm</t>
        </is>
      </c>
      <c r="L866" s="11">
        <f>HYPERLINK("https://careerviet.vn/vi/tim-viec-lam/chuyen-vien-kiem-soat-noi-bo.35C6AA4E.html","Xem chi tiết")</f>
        <v/>
      </c>
      <c r="M866" s="10" t="n"/>
    </row>
    <row r="867">
      <c r="B867" s="7" t="n">
        <v>865</v>
      </c>
      <c r="C867" t="inlineStr">
        <is>
          <t>128303 - R&amp;D Engineer Staff - Trading</t>
        </is>
      </c>
      <c r="D867" t="inlineStr">
        <is>
          <t>RGF HR Agent Vietnam Co., LTD</t>
        </is>
      </c>
      <c r="E867" t="inlineStr">
        <is>
          <t>Lương:20 Tr - 30 Tr VND</t>
        </is>
      </c>
      <c r="F867" t="inlineStr">
        <is>
          <t>Hà Nội</t>
        </is>
      </c>
      <c r="G867" t="inlineStr">
        <is>
          <t>03-04-2026</t>
        </is>
      </c>
      <c r="H867" t="inlineStr">
        <is>
          <t>03/04/2026</t>
        </is>
      </c>
      <c r="I867" t="inlineStr">
        <is>
          <t>17/03/2026</t>
        </is>
      </c>
      <c r="J867" t="inlineStr">
        <is>
          <t>Bán Hàng Kỹ Thuật, Ngành khác</t>
        </is>
      </c>
      <c r="K867" t="inlineStr">
        <is>
          <t>Trên 2 Năm</t>
        </is>
      </c>
      <c r="L867" s="8">
        <f>HYPERLINK("https://careerviet.vn/vi/tim-viec-lam/128303-r-d-engineer-staff-trading.35C6AAF9.html","Xem chi tiết")</f>
        <v/>
      </c>
    </row>
    <row r="868">
      <c r="B868" s="9" t="n">
        <v>866</v>
      </c>
      <c r="C868" s="10" t="inlineStr">
        <is>
          <t>Chỉ Huy Trưởng - Hạ Tầng Kỹ Thuật</t>
        </is>
      </c>
      <c r="D868" s="10" t="inlineStr">
        <is>
          <t>CÔNG TY CP TẬP ĐOÀN ĐẦU TƯ HOÀNG GIA VIỆT NAM</t>
        </is>
      </c>
      <c r="E868" s="10" t="inlineStr">
        <is>
          <t>Lương:Cạnh tranh</t>
        </is>
      </c>
      <c r="F868" s="10" t="inlineStr">
        <is>
          <t>Long An</t>
        </is>
      </c>
      <c r="G868" s="10" t="inlineStr">
        <is>
          <t>31-03-2026</t>
        </is>
      </c>
      <c r="H868" s="10" t="inlineStr">
        <is>
          <t>31/03/2026</t>
        </is>
      </c>
      <c r="I868" s="10" t="inlineStr">
        <is>
          <t>17/03/2026</t>
        </is>
      </c>
      <c r="J868" s="10" t="inlineStr">
        <is>
          <t>Xây dựng</t>
        </is>
      </c>
      <c r="K868" s="10" t="inlineStr">
        <is>
          <t>Trên 7 Năm</t>
        </is>
      </c>
      <c r="L868" s="11">
        <f>HYPERLINK("https://careerviet.vn/vi/tim-viec-lam/chi-huy-truong-ha-tang-ky-thuat.35C6AA6F.html","Xem chi tiết")</f>
        <v/>
      </c>
      <c r="M868" s="10" t="n"/>
    </row>
    <row r="869">
      <c r="B869" s="7" t="n">
        <v>867</v>
      </c>
      <c r="C869" t="inlineStr">
        <is>
          <t>CHUYÊN VIÊN LAYOUT &amp; KHÔNG GIAN - Công ty SCID</t>
        </is>
      </c>
      <c r="D869" t="inlineStr">
        <is>
          <t>Liên Hiệp HTX Thương Mại TPHCM - SAIGON CO.OP</t>
        </is>
      </c>
      <c r="E869" t="inlineStr">
        <is>
          <t>Lương:Cạnh tranh</t>
        </is>
      </c>
      <c r="F869" t="inlineStr">
        <is>
          <t>Hồ Chí Minh</t>
        </is>
      </c>
      <c r="G869" t="inlineStr">
        <is>
          <t>02-04-2026</t>
        </is>
      </c>
      <c r="H869" t="inlineStr">
        <is>
          <t>02/04/2026</t>
        </is>
      </c>
      <c r="I869" t="inlineStr">
        <is>
          <t>17/03/2026</t>
        </is>
      </c>
      <c r="J869" t="inlineStr">
        <is>
          <t>Kiến trúc, Mỹ thuật / Nghệ thuật / Thiết kế</t>
        </is>
      </c>
      <c r="K869" t="inlineStr">
        <is>
          <t>2 - 3 Năm</t>
        </is>
      </c>
      <c r="L869" s="8">
        <f>HYPERLINK("https://careerviet.vn/vi/tim-viec-lam/chuyen-vien-layout-khong-gian-cong-ty-scid.35C6AA3F.html","Xem chi tiết")</f>
        <v/>
      </c>
    </row>
    <row r="870">
      <c r="B870" s="9" t="n">
        <v>868</v>
      </c>
      <c r="C870" s="10" t="inlineStr">
        <is>
          <t>NHÂN VIÊN SALES TOUR INBOUND</t>
        </is>
      </c>
      <c r="D870" s="10" t="inlineStr">
        <is>
          <t>Vietnam Tourist</t>
        </is>
      </c>
      <c r="E870" s="10" t="inlineStr">
        <is>
          <t>Lương:10 Tr - 20 Tr VND</t>
        </is>
      </c>
      <c r="F870" s="10" t="inlineStr">
        <is>
          <t>Hà Nội</t>
        </is>
      </c>
      <c r="G870" s="10" t="inlineStr">
        <is>
          <t>02-04-2026</t>
        </is>
      </c>
      <c r="H870" s="10" t="inlineStr">
        <is>
          <t>02/04/2026</t>
        </is>
      </c>
      <c r="I870" s="10" t="inlineStr">
        <is>
          <t>17/03/2026</t>
        </is>
      </c>
      <c r="J870" s="10" t="inlineStr">
        <is>
          <t>Du lịch, Dịch vụ khách hàng, Bán hàng / Kinh doanh</t>
        </is>
      </c>
      <c r="K870" s="10" t="inlineStr">
        <is>
          <t>Trên 1 Năm</t>
        </is>
      </c>
      <c r="L870" s="11">
        <f>HYPERLINK("https://careerviet.vn/vi/tim-viec-lam/nhan-vien-sales-tour-inbound.35C6AAB5.html","Xem chi tiết")</f>
        <v/>
      </c>
      <c r="M870" s="10" t="n"/>
    </row>
    <row r="871">
      <c r="B871" s="7" t="n">
        <v>869</v>
      </c>
      <c r="C871" t="inlineStr">
        <is>
          <t>Kế toán thuế (Mảng FnB)</t>
        </is>
      </c>
      <c r="D871" t="inlineStr">
        <is>
          <t>CÔNG TY CỔ PHẦN THE STREET</t>
        </is>
      </c>
      <c r="E871" t="inlineStr">
        <is>
          <t>Lương:15 Tr - 18 Tr VND</t>
        </is>
      </c>
      <c r="F871" t="inlineStr">
        <is>
          <t>Hồ Chí Minh</t>
        </is>
      </c>
      <c r="G871" t="inlineStr">
        <is>
          <t>30-04-2026</t>
        </is>
      </c>
      <c r="H871" t="inlineStr">
        <is>
          <t>30/04/2026</t>
        </is>
      </c>
      <c r="I871" t="inlineStr">
        <is>
          <t>17/03/2026</t>
        </is>
      </c>
      <c r="J871" t="inlineStr">
        <is>
          <t>Kế toán / Kiểm toán, Tài chính / Đầu tư, Nhà hàng / Khách sạn</t>
        </is>
      </c>
      <c r="K871" t="inlineStr">
        <is>
          <t>2 - 5 Năm</t>
        </is>
      </c>
      <c r="L871" s="8">
        <f>HYPERLINK("https://careerviet.vn/vi/tim-viec-lam/ke-toan-thue-mang-fnb.35C6A822.html","Xem chi tiết")</f>
        <v/>
      </c>
    </row>
    <row r="872">
      <c r="B872" s="9" t="n">
        <v>870</v>
      </c>
      <c r="C872" s="10" t="inlineStr">
        <is>
          <t>Kiến trúc sư quy hoạch, thiết kế quy hoạch</t>
        </is>
      </c>
      <c r="D872" s="10" t="inlineStr">
        <is>
          <t>Tổng Công ty Cổ phần Công trình Viettel</t>
        </is>
      </c>
      <c r="E872" s="10" t="inlineStr">
        <is>
          <t>Lương:Cạnh tranh</t>
        </is>
      </c>
      <c r="F872" s="10" t="inlineStr">
        <is>
          <t>Hà Nội</t>
        </is>
      </c>
      <c r="G872" s="10" t="inlineStr">
        <is>
          <t>02-04-2026</t>
        </is>
      </c>
      <c r="H872" s="10" t="inlineStr">
        <is>
          <t>02/04/2026</t>
        </is>
      </c>
      <c r="I872" s="10" t="inlineStr">
        <is>
          <t>17/03/2026</t>
        </is>
      </c>
      <c r="J872" s="10" t="inlineStr">
        <is>
          <t>Kiến trúc, Xây dựng</t>
        </is>
      </c>
      <c r="K872" s="10" t="inlineStr">
        <is>
          <t>1 - 3 Năm</t>
        </is>
      </c>
      <c r="L872" s="11">
        <f>HYPERLINK("https://careerviet.vn/vi/tim-viec-lam/kien-truc-su-quy-hoach-thiet-ke-quy-hoach.35C6AAB8.html","Xem chi tiết")</f>
        <v/>
      </c>
      <c r="M872" s="10" t="n"/>
    </row>
    <row r="873">
      <c r="B873" s="7" t="n">
        <v>871</v>
      </c>
      <c r="C873" t="inlineStr">
        <is>
          <t>(Đức Hòa - Long An) Kế Toán Bán Hàng</t>
        </is>
      </c>
      <c r="D873" t="inlineStr">
        <is>
          <t>Công Ty Cổ Phần Y&amp;B</t>
        </is>
      </c>
      <c r="E873" t="inlineStr">
        <is>
          <t>Lương:12 Tr - 15 Tr VND</t>
        </is>
      </c>
      <c r="F873" t="inlineStr">
        <is>
          <t>Long An</t>
        </is>
      </c>
      <c r="G873" t="inlineStr">
        <is>
          <t>31-03-2026</t>
        </is>
      </c>
      <c r="H873" t="inlineStr">
        <is>
          <t>31/03/2026</t>
        </is>
      </c>
      <c r="I873" t="inlineStr">
        <is>
          <t>17/03/2026</t>
        </is>
      </c>
      <c r="J873" t="inlineStr">
        <is>
          <t>Kế toán / Kiểm toán</t>
        </is>
      </c>
      <c r="K873" t="inlineStr">
        <is>
          <t>2 - 3 Năm</t>
        </is>
      </c>
      <c r="L873" s="8">
        <f>HYPERLINK("https://careerviet.vn/vi/tim-viec-lam/duc-hoa-long-an-ke-toan-ban-hang.35C6A8A3.html","Xem chi tiết")</f>
        <v/>
      </c>
    </row>
    <row r="874">
      <c r="B874" s="9" t="n">
        <v>872</v>
      </c>
      <c r="C874" s="10" t="inlineStr">
        <is>
          <t>Phiên dịch Tiếng Nhật kiêm Thư ký 27708 - KCN Quang Minh, HN</t>
        </is>
      </c>
      <c r="D874" s="10" t="inlineStr">
        <is>
          <t>Công Ty TNHH Reeracoen Việt Nam</t>
        </is>
      </c>
      <c r="E874" s="10" t="inlineStr">
        <is>
          <t>Lương:20 Tr - 30 Tr VND</t>
        </is>
      </c>
      <c r="F874" s="10" t="inlineStr">
        <is>
          <t>Hà Nội</t>
        </is>
      </c>
      <c r="G874" s="10" t="inlineStr">
        <is>
          <t>03-04-2026</t>
        </is>
      </c>
      <c r="H874" s="10" t="inlineStr">
        <is>
          <t>03/04/2026</t>
        </is>
      </c>
      <c r="I874" s="10" t="inlineStr">
        <is>
          <t>17/03/2026</t>
        </is>
      </c>
      <c r="J874" s="10" t="inlineStr">
        <is>
          <t>Biên phiên dịch, Hành chính / Thư ký, Nhân sự</t>
        </is>
      </c>
      <c r="K874" s="10" t="inlineStr">
        <is>
          <t>Trên 3 Năm</t>
        </is>
      </c>
      <c r="L874" s="11">
        <f>HYPERLINK("https://careerviet.vn/vi/tim-viec-lam/phien-dich-tieng-nhat-kiem-thu-ky-27708-kcn-quang-minh-hn.35C6AACB.html","Xem chi tiết")</f>
        <v/>
      </c>
      <c r="M874" s="10" t="n"/>
    </row>
    <row r="875">
      <c r="B875" s="7" t="n">
        <v>873</v>
      </c>
      <c r="C875" t="inlineStr">
        <is>
          <t>Chuyên gia kế hoạch dự phòng cấp 3, Phòng Quản trị rủi ro hoạt động, Khối Quản trị rủi ro</t>
        </is>
      </c>
      <c r="D875" t="inlineStr">
        <is>
          <t>Ngân hàng TMCP Đại Chúng Việt Nam - PVcomBank</t>
        </is>
      </c>
      <c r="E875" t="inlineStr">
        <is>
          <t>Lương:Cạnh tranh</t>
        </is>
      </c>
      <c r="F875" t="inlineStr">
        <is>
          <t>Hà Nội</t>
        </is>
      </c>
      <c r="G875" t="inlineStr">
        <is>
          <t>02-04-2026</t>
        </is>
      </c>
      <c r="H875" t="inlineStr">
        <is>
          <t>02/04/2026</t>
        </is>
      </c>
      <c r="I875" t="inlineStr">
        <is>
          <t>17/03/2026</t>
        </is>
      </c>
      <c r="J875" t="inlineStr">
        <is>
          <t>Kế toán / Kiểm toán, Ngân hàng</t>
        </is>
      </c>
      <c r="K875" t="inlineStr">
        <is>
          <t>3 - 5 Năm</t>
        </is>
      </c>
      <c r="L875" s="8">
        <f>HYPERLINK("https://careerviet.vn/vi/tim-viec-lam/chuyen-gia-ke-hoach-du-phong-cap-3-phong-quan-tri-rui-ro-hoat-dong-khoi-quan-tri-rui-ro.35C6AA74.html","Xem chi tiết")</f>
        <v/>
      </c>
    </row>
    <row r="876">
      <c r="B876" s="9" t="n">
        <v>874</v>
      </c>
      <c r="C876" s="10" t="inlineStr">
        <is>
          <t>KỸ SƯ HIỆN TRƯỜNG (KHOAN CỌC NHỒI)</t>
        </is>
      </c>
      <c r="D876" s="10" t="inlineStr">
        <is>
          <t>Công ty CP Đầu tư phát triển Đô thị và Khu công nghiệp</t>
        </is>
      </c>
      <c r="E876" s="10" t="inlineStr">
        <is>
          <t>Lương:25 Tr - 35 Tr VND</t>
        </is>
      </c>
      <c r="F876" s="10" t="inlineStr">
        <is>
          <t>Hà NộiPhú Thọ</t>
        </is>
      </c>
      <c r="G876" s="10" t="inlineStr">
        <is>
          <t>31-03-2026</t>
        </is>
      </c>
      <c r="H876" s="10" t="inlineStr">
        <is>
          <t>31/03/2026</t>
        </is>
      </c>
      <c r="I876" s="10" t="inlineStr">
        <is>
          <t>17/03/2026</t>
        </is>
      </c>
      <c r="J876" s="10" t="inlineStr">
        <is>
          <t>Xây dựng, Bất động sản, Kiến trúc</t>
        </is>
      </c>
      <c r="K876" s="10" t="inlineStr">
        <is>
          <t>2 - 10 Năm</t>
        </is>
      </c>
      <c r="L876" s="11">
        <f>HYPERLINK("https://careerviet.vn/vi/tim-viec-lam/ky-su-hien-truong-khoan-coc-nhoi.35C6AA72.html","Xem chi tiết")</f>
        <v/>
      </c>
      <c r="M876" s="10" t="n"/>
    </row>
    <row r="877">
      <c r="B877" s="7" t="n">
        <v>875</v>
      </c>
      <c r="C877" t="inlineStr">
        <is>
          <t>Phó Giám đốc Chi nhánh (DVKH) - BVBank Long An - KV Tây Nam Bộ</t>
        </is>
      </c>
      <c r="D877" t="inlineStr">
        <is>
          <t>BVBank - Ngân hàng Bản Việt</t>
        </is>
      </c>
      <c r="E877" t="inlineStr">
        <is>
          <t>Lương:Cạnh tranh</t>
        </is>
      </c>
      <c r="F877" t="inlineStr">
        <is>
          <t>Long An</t>
        </is>
      </c>
      <c r="G877" t="inlineStr">
        <is>
          <t>02-04-2026</t>
        </is>
      </c>
      <c r="H877" t="inlineStr">
        <is>
          <t>02/04/2026</t>
        </is>
      </c>
      <c r="I877" t="inlineStr">
        <is>
          <t>17/03/2026</t>
        </is>
      </c>
      <c r="J877" t="inlineStr">
        <is>
          <t>Ngân hàng, Tài chính / Đầu tư</t>
        </is>
      </c>
      <c r="K877" t="inlineStr">
        <is>
          <t>5 - 6 Năm</t>
        </is>
      </c>
      <c r="L877" s="8">
        <f>HYPERLINK("https://careerviet.vn/vi/tim-viec-lam/pho-giam-doc-chi-nhanh-dvkh-bvbank-long-an-kv-tay-nam-bo.35C6A8CD.html","Xem chi tiết")</f>
        <v/>
      </c>
    </row>
    <row r="878">
      <c r="B878" s="9" t="n">
        <v>876</v>
      </c>
      <c r="C878" s="10" t="inlineStr">
        <is>
          <t>Chuyên viên phát triển mạng lưới, Phòng Hỗ trợ kinh doanh và phát triển mạng lưới, Khối Khách hàng cá nhân</t>
        </is>
      </c>
      <c r="D878" s="10" t="inlineStr">
        <is>
          <t>Ngân hàng TMCP Đại Chúng Việt Nam - PVcomBank</t>
        </is>
      </c>
      <c r="E878" s="10" t="inlineStr">
        <is>
          <t>Lương:Cạnh tranh</t>
        </is>
      </c>
      <c r="F878" s="10" t="inlineStr">
        <is>
          <t>Hà Nội</t>
        </is>
      </c>
      <c r="G878" s="10" t="inlineStr">
        <is>
          <t>02-04-2026</t>
        </is>
      </c>
      <c r="H878" s="10" t="inlineStr">
        <is>
          <t>02/04/2026</t>
        </is>
      </c>
      <c r="I878" s="10" t="inlineStr">
        <is>
          <t>17/03/2026</t>
        </is>
      </c>
      <c r="J878" s="10" t="inlineStr">
        <is>
          <t>Ngân hàng</t>
        </is>
      </c>
      <c r="K878" s="10" t="inlineStr">
        <is>
          <t>2 - 5 Năm</t>
        </is>
      </c>
      <c r="L878" s="11">
        <f>HYPERLINK("https://careerviet.vn/vi/tim-viec-lam/chuyen-vien-phat-trien-mang-luoi-phong-ho-tro-kinh-doanh-va-phat-trien-mang-luoi-khoi-khach-hang-ca-nhan.35C6AA23.html","Xem chi tiết")</f>
        <v/>
      </c>
      <c r="M878" s="10" t="n"/>
    </row>
    <row r="879">
      <c r="B879" s="7" t="n">
        <v>877</v>
      </c>
      <c r="C879" t="inlineStr">
        <is>
          <t>Java Developer (Midlevel to Lead, Non_English)</t>
        </is>
      </c>
      <c r="D879" t="inlineStr">
        <is>
          <t>Tổng Công ty Cổ phần Công trình Viettel</t>
        </is>
      </c>
      <c r="E879" t="inlineStr">
        <is>
          <t>Lương:Cạnh tranh</t>
        </is>
      </c>
      <c r="F879" t="inlineStr">
        <is>
          <t>Hà Nội</t>
        </is>
      </c>
      <c r="G879" t="inlineStr">
        <is>
          <t>02-04-2026</t>
        </is>
      </c>
      <c r="H879" t="inlineStr">
        <is>
          <t>02/04/2026</t>
        </is>
      </c>
      <c r="I879" t="inlineStr">
        <is>
          <t>17/03/2026</t>
        </is>
      </c>
      <c r="J879" t="inlineStr">
        <is>
          <t>CNTT - Phần mềm</t>
        </is>
      </c>
      <c r="K879" t="inlineStr">
        <is>
          <t>Trên 3 Năm</t>
        </is>
      </c>
      <c r="L879" s="8">
        <f>HYPERLINK("https://careerviet.vn/vi/tim-viec-lam/java-developer-midlevel-to-lead-non_english.35C6AAE5.html","Xem chi tiết")</f>
        <v/>
      </c>
    </row>
    <row r="880">
      <c r="B880" s="9" t="n">
        <v>878</v>
      </c>
      <c r="C880" s="10" t="inlineStr">
        <is>
          <t>Quản lý Sales - Máy (Laser, In 3D), NVL (Ngành Công nghiệp, Trang sức, Nha Khoa, Giáo dục)</t>
        </is>
      </c>
      <c r="D880" s="10" t="inlineStr">
        <is>
          <t>Công Ty TNHH Laser Ưu Việt (OLAS)</t>
        </is>
      </c>
      <c r="E880" s="10" t="inlineStr">
        <is>
          <t>Lương:Cạnh tranh</t>
        </is>
      </c>
      <c r="F880" s="10" t="inlineStr">
        <is>
          <t>Hồ Chí Minh</t>
        </is>
      </c>
      <c r="G880" s="10" t="inlineStr">
        <is>
          <t>03-04-2026</t>
        </is>
      </c>
      <c r="H880" s="10" t="inlineStr">
        <is>
          <t>03/04/2026</t>
        </is>
      </c>
      <c r="I880" s="10" t="inlineStr">
        <is>
          <t>17/03/2026</t>
        </is>
      </c>
      <c r="J880" s="10" t="inlineStr">
        <is>
          <t>Bán Hàng Kỹ Thuật, Bán hàng / Kinh doanh, Cơ khí / Ô tô / Tự động hóa</t>
        </is>
      </c>
      <c r="K880" s="10" t="inlineStr">
        <is>
          <t>5 - 10 Năm</t>
        </is>
      </c>
      <c r="L880" s="11">
        <f>HYPERLINK("https://careerviet.vn/vi/tim-viec-lam/quan-ly-sales-may-laser-in-3d-nvl-nganh-cong-nghiep-trang-suc-nha-khoa-giao-duc.35C6A9F9.html","Xem chi tiết")</f>
        <v/>
      </c>
      <c r="M880" s="10" t="n"/>
    </row>
    <row r="881">
      <c r="B881" s="7" t="n">
        <v>879</v>
      </c>
      <c r="C881" t="inlineStr">
        <is>
          <t>Nhân viên Kinh doanh Khách đoàn</t>
        </is>
      </c>
      <c r="D881" t="inlineStr">
        <is>
          <t>Công Ty Cổ Phần Du Lịch Vietravel</t>
        </is>
      </c>
      <c r="E881" t="inlineStr">
        <is>
          <t>Lương:Cạnh tranh</t>
        </is>
      </c>
      <c r="F881" t="inlineStr">
        <is>
          <t>Nghệ An</t>
        </is>
      </c>
      <c r="G881" t="inlineStr">
        <is>
          <t>02-04-2026</t>
        </is>
      </c>
      <c r="H881" t="inlineStr">
        <is>
          <t>02/04/2026</t>
        </is>
      </c>
      <c r="I881" t="inlineStr">
        <is>
          <t>17/03/2026</t>
        </is>
      </c>
      <c r="J881" t="inlineStr">
        <is>
          <t>Dịch vụ khách hàng, Bán hàng / Kinh doanh, Du lịch</t>
        </is>
      </c>
      <c r="K881" t="inlineStr">
        <is>
          <t>Trên 1 Năm</t>
        </is>
      </c>
      <c r="L881" s="8">
        <f>HYPERLINK("https://careerviet.vn/vi/tim-viec-lam/nhan-vien-kinh-doanh-khach-doan.35C6A9B7.html","Xem chi tiết")</f>
        <v/>
      </c>
    </row>
    <row r="882">
      <c r="B882" s="9" t="n">
        <v>880</v>
      </c>
      <c r="C882" s="10" t="inlineStr">
        <is>
          <t>Chuyên viên/ Nhân viên an ninh (An ninh - PCCC) [Dalatmilk - Lâm Đồng]</t>
        </is>
      </c>
      <c r="D882" s="10" t="inlineStr">
        <is>
          <t>Công Ty Cổ Phần Tập Đoàn TH</t>
        </is>
      </c>
      <c r="E882" s="10" t="inlineStr">
        <is>
          <t>Lương:10 Tr - 15 Tr VND</t>
        </is>
      </c>
      <c r="F882" s="10" t="inlineStr">
        <is>
          <t>Lâm Đồng</t>
        </is>
      </c>
      <c r="G882" s="10" t="inlineStr">
        <is>
          <t>04-04-2026</t>
        </is>
      </c>
      <c r="H882" s="10" t="inlineStr">
        <is>
          <t>04/04/2026</t>
        </is>
      </c>
      <c r="I882" s="10" t="inlineStr">
        <is>
          <t>17/03/2026</t>
        </is>
      </c>
      <c r="J882" s="10" t="inlineStr">
        <is>
          <t>Luật / Pháp lý, Môi trường, An toàn lao động</t>
        </is>
      </c>
      <c r="K882" s="10" t="inlineStr">
        <is>
          <t>1 - 3 Năm</t>
        </is>
      </c>
      <c r="L882" s="11">
        <f>HYPERLINK("https://careerviet.vn/vi/tim-viec-lam/chuyen-vien-nhan-vien-an-ninh-an-ninh-pccc-dalatmilk-lam-dong.35C6A746.html","Xem chi tiết")</f>
        <v/>
      </c>
      <c r="M882" s="10" t="n"/>
    </row>
    <row r="883">
      <c r="B883" s="7" t="n">
        <v>881</v>
      </c>
      <c r="C883" t="inlineStr">
        <is>
          <t>Nhân Viên Kinh Doanh Showroom</t>
        </is>
      </c>
      <c r="D883" t="inlineStr">
        <is>
          <t>CÔNG TY TNHH CƯỜNG LÂM</t>
        </is>
      </c>
      <c r="E883" t="inlineStr">
        <is>
          <t>Lương:10 Tr - 15 Tr VND</t>
        </is>
      </c>
      <c r="F883" t="inlineStr">
        <is>
          <t>Bình Dương</t>
        </is>
      </c>
      <c r="G883" t="inlineStr">
        <is>
          <t>02-04-2026</t>
        </is>
      </c>
      <c r="H883" t="inlineStr">
        <is>
          <t>02/04/2026</t>
        </is>
      </c>
      <c r="I883" t="inlineStr">
        <is>
          <t>17/03/2026</t>
        </is>
      </c>
      <c r="J883" t="inlineStr">
        <is>
          <t>Bán hàng / Kinh doanh, Tiếp thị / Marketing, Nội ngoại thất</t>
        </is>
      </c>
      <c r="K883" t="inlineStr">
        <is>
          <t>N/A</t>
        </is>
      </c>
      <c r="L883" s="8">
        <f>HYPERLINK("https://careerviet.vn/vi/tim-viec-lam/nhan-vien-kinh-doanh-showroom.35C6A93E.html","Xem chi tiết")</f>
        <v/>
      </c>
    </row>
    <row r="884">
      <c r="B884" s="9" t="n">
        <v>882</v>
      </c>
      <c r="C884" s="10" t="inlineStr">
        <is>
          <t>CHỈ HUY TRƯỞNG (MEP/HVAC)</t>
        </is>
      </c>
      <c r="D884" s="10" t="inlineStr">
        <is>
          <t>Công Ty Cổ Phần Kỹ Thuật Và Thiết Bị Y Tế Sài Gòn (SAGOMED)</t>
        </is>
      </c>
      <c r="E884" s="10" t="inlineStr">
        <is>
          <t>Lương:25 Tr - 35 Tr VND</t>
        </is>
      </c>
      <c r="F884" s="10" t="inlineStr">
        <is>
          <t>Hồ Chí Minh</t>
        </is>
      </c>
      <c r="G884" s="10" t="inlineStr">
        <is>
          <t>31-03-2026</t>
        </is>
      </c>
      <c r="H884" s="10" t="inlineStr">
        <is>
          <t>31/03/2026</t>
        </is>
      </c>
      <c r="I884" s="10" t="inlineStr">
        <is>
          <t>17/03/2026</t>
        </is>
      </c>
      <c r="J884" s="10" t="inlineStr">
        <is>
          <t>Điện / Điện tử / Điện lạnh / Điện công nghiệp</t>
        </is>
      </c>
      <c r="K884" s="10" t="inlineStr">
        <is>
          <t>5 - 10 Năm</t>
        </is>
      </c>
      <c r="L884" s="11">
        <f>HYPERLINK("https://careerviet.vn/vi/tim-viec-lam/chi-huy-truong-mep-hvac.35C6A7B2.html","Xem chi tiết")</f>
        <v/>
      </c>
      <c r="M884" s="10" t="n"/>
    </row>
    <row r="885">
      <c r="B885" s="7" t="n">
        <v>883</v>
      </c>
      <c r="C885" t="inlineStr">
        <is>
          <t>Nhân Viên Hỗ Trợ Tín Dụng</t>
        </is>
      </c>
      <c r="D885" t="inlineStr">
        <is>
          <t>Công ty Cho thuê Tài chính TNHH MTV Quốc tế Chailease - CN Hà Nội</t>
        </is>
      </c>
      <c r="E885" t="inlineStr">
        <is>
          <t>Lương:Cạnh tranh</t>
        </is>
      </c>
      <c r="F885" t="inlineStr">
        <is>
          <t>Hải Phòng</t>
        </is>
      </c>
      <c r="G885" t="inlineStr">
        <is>
          <t>29-03-2026</t>
        </is>
      </c>
      <c r="H885" t="inlineStr">
        <is>
          <t>29/03/2026</t>
        </is>
      </c>
      <c r="I885" t="inlineStr">
        <is>
          <t>17/03/2026</t>
        </is>
      </c>
      <c r="J885" t="inlineStr">
        <is>
          <t>Ngân hàng, Tài chính / Đầu tư</t>
        </is>
      </c>
      <c r="K885" t="inlineStr">
        <is>
          <t>1 - 2 Năm</t>
        </is>
      </c>
      <c r="L885" s="8">
        <f>HYPERLINK("https://careerviet.vn/vi/tim-viec-lam/nhan-vien-ho-tro-tin-dung.35C6AAC0.html","Xem chi tiết")</f>
        <v/>
      </c>
    </row>
    <row r="886">
      <c r="B886" s="9" t="n">
        <v>884</v>
      </c>
      <c r="C886" s="10" t="inlineStr">
        <is>
          <t>KỸ SƯ CƠ ĐIỆN MEP (Shop drawing, QS/QA-QC MEP - NINH THUẬN )</t>
        </is>
      </c>
      <c r="D886" s="10" t="inlineStr">
        <is>
          <t>Công TY TNHH Xây Dựng Cơ Điện Trí Trung</t>
        </is>
      </c>
      <c r="E886" s="10" t="inlineStr">
        <is>
          <t>Lương:17 Tr - 24 Tr VND</t>
        </is>
      </c>
      <c r="F886" s="10" t="inlineStr">
        <is>
          <t>Ninh ThuậnHồ Chí Minh</t>
        </is>
      </c>
      <c r="G886" s="10" t="inlineStr">
        <is>
          <t>10-05-2026</t>
        </is>
      </c>
      <c r="H886" s="10" t="inlineStr">
        <is>
          <t>10/05/2026</t>
        </is>
      </c>
      <c r="I886" s="10" t="inlineStr">
        <is>
          <t>17/03/2026</t>
        </is>
      </c>
      <c r="J886" s="10" t="inlineStr">
        <is>
          <t>Điện / Điện tử / Điện lạnh / Điện công nghiệp, Môi trường, Xây dựng</t>
        </is>
      </c>
      <c r="K886" s="10" t="inlineStr">
        <is>
          <t>3 - 5 Năm</t>
        </is>
      </c>
      <c r="L886" s="11">
        <f>HYPERLINK("https://careerviet.vn/vi/tim-viec-lam/ky-su-co-dien-mep-shop-drawing-qs-qa-qc-mep-ninh-thuan.35C6A9E0.html","Xem chi tiết")</f>
        <v/>
      </c>
      <c r="M886" s="10" t="n"/>
    </row>
    <row r="887">
      <c r="B887" s="7" t="n">
        <v>885</v>
      </c>
      <c r="C887" t="inlineStr">
        <is>
          <t>Chuyên viên pháp chế</t>
        </is>
      </c>
      <c r="D887" t="inlineStr">
        <is>
          <t>CÔNG TY CỔ PHẦN HIRUNDO REALTY</t>
        </is>
      </c>
      <c r="E887" t="inlineStr">
        <is>
          <t>Lương:Cạnh tranh</t>
        </is>
      </c>
      <c r="F887" t="inlineStr">
        <is>
          <t>Hà Nội</t>
        </is>
      </c>
      <c r="G887" t="inlineStr">
        <is>
          <t>31-03-2026</t>
        </is>
      </c>
      <c r="H887" t="inlineStr">
        <is>
          <t>31/03/2026</t>
        </is>
      </c>
      <c r="I887" t="inlineStr">
        <is>
          <t>17/03/2026</t>
        </is>
      </c>
      <c r="J887" t="inlineStr">
        <is>
          <t>Luật / Pháp lý, Bất động sản</t>
        </is>
      </c>
      <c r="K887" t="inlineStr">
        <is>
          <t>Trên 3 Năm</t>
        </is>
      </c>
      <c r="L887" s="8">
        <f>HYPERLINK("https://careerviet.vn/vi/tim-viec-lam/chuyen-vien-phap-che.35C6A780.html","Xem chi tiết")</f>
        <v/>
      </c>
    </row>
    <row r="888">
      <c r="B888" s="9" t="n">
        <v>886</v>
      </c>
      <c r="C888" s="10" t="inlineStr">
        <is>
          <t>CHUYÊN VIÊN TUYỂN DỤNG</t>
        </is>
      </c>
      <c r="D888" s="10" t="inlineStr">
        <is>
          <t>CÔNG TY TNHH ĐIỆN KHÍ QUỐC QUANG (VIỆT NAM)</t>
        </is>
      </c>
      <c r="E888" s="10" t="inlineStr">
        <is>
          <t>Lương:Cạnh tranh</t>
        </is>
      </c>
      <c r="F888" s="10" t="inlineStr">
        <is>
          <t>Quảng Nam</t>
        </is>
      </c>
      <c r="G888" s="10" t="inlineStr">
        <is>
          <t>31-03-2026</t>
        </is>
      </c>
      <c r="H888" s="10" t="inlineStr">
        <is>
          <t>31/03/2026</t>
        </is>
      </c>
      <c r="I888" s="10" t="inlineStr">
        <is>
          <t>17/03/2026</t>
        </is>
      </c>
      <c r="J888" s="10" t="inlineStr">
        <is>
          <t>Hành chính / Thư ký, Nhân sự, Quản lý điều hành</t>
        </is>
      </c>
      <c r="K888" s="10" t="inlineStr">
        <is>
          <t>1 - 3 Năm</t>
        </is>
      </c>
      <c r="L888" s="11">
        <f>HYPERLINK("https://careerviet.vn/vi/tim-viec-lam/chuyen-vien-tuyen-dung.35C6A720.html","Xem chi tiết")</f>
        <v/>
      </c>
      <c r="M888" s="10" t="n"/>
    </row>
    <row r="889">
      <c r="B889" s="7" t="n">
        <v>887</v>
      </c>
      <c r="C889" t="inlineStr">
        <is>
          <t>Nhân viên kinh doanh dự án/Sale Project (Thiết bị vệ sinh)</t>
        </is>
      </c>
      <c r="D889" t="inlineStr">
        <is>
          <t>CÔNG TY TNHH CƯỜNG LÂM</t>
        </is>
      </c>
      <c r="E889" t="inlineStr">
        <is>
          <t>Lương:20 Tr - 30 Tr VND</t>
        </is>
      </c>
      <c r="F889" t="inlineStr">
        <is>
          <t>Bình Dương</t>
        </is>
      </c>
      <c r="G889" t="inlineStr">
        <is>
          <t>02-04-2026</t>
        </is>
      </c>
      <c r="H889" t="inlineStr">
        <is>
          <t>02/04/2026</t>
        </is>
      </c>
      <c r="I889" t="inlineStr">
        <is>
          <t>17/03/2026</t>
        </is>
      </c>
      <c r="J889" t="inlineStr">
        <is>
          <t>Bán hàng / Kinh doanh, Tiếp thị / Marketing, Nội ngoại thất</t>
        </is>
      </c>
      <c r="K889" t="inlineStr">
        <is>
          <t>2 - 3 Năm</t>
        </is>
      </c>
      <c r="L889" s="8">
        <f>HYPERLINK("https://careerviet.vn/vi/tim-viec-lam/nhan-vien-kinh-doanh-du-an-sale-project-thiet-bi-ve-sinh.35C6A93B.html","Xem chi tiết")</f>
        <v/>
      </c>
    </row>
    <row r="890">
      <c r="B890" s="9" t="n">
        <v>888</v>
      </c>
      <c r="C890" s="10" t="inlineStr">
        <is>
          <t>Giám đốc kinh doanh Tín dụng Bán lẻ - RB - MSB - 3V018</t>
        </is>
      </c>
      <c r="D890" s="10" t="inlineStr">
        <is>
          <t>Ngân hàng Thương mại Cổ phần Hàng Hải Việt Nam (MSB)</t>
        </is>
      </c>
      <c r="E890" s="10" t="inlineStr">
        <is>
          <t>Lương:Cạnh tranh</t>
        </is>
      </c>
      <c r="F890" s="10" t="inlineStr">
        <is>
          <t>Hà Nội</t>
        </is>
      </c>
      <c r="G890" s="10" t="inlineStr">
        <is>
          <t>06-04-2026</t>
        </is>
      </c>
      <c r="H890" s="10" t="inlineStr">
        <is>
          <t>06/04/2026</t>
        </is>
      </c>
      <c r="I890" s="10" t="inlineStr">
        <is>
          <t>17/03/2026</t>
        </is>
      </c>
      <c r="J890" s="10" t="inlineStr">
        <is>
          <t>Ngân hàng</t>
        </is>
      </c>
      <c r="K890" s="10" t="inlineStr">
        <is>
          <t>Trên 3 Năm</t>
        </is>
      </c>
      <c r="L890" s="11">
        <f>HYPERLINK("https://careerviet.vn/vi/tim-viec-lam/giam-doc-kinh-doanh-tin-dung-ban-le-rb-msb-3v018.35C6A836.html","Xem chi tiết")</f>
        <v/>
      </c>
      <c r="M890" s="10" t="n"/>
    </row>
    <row r="891">
      <c r="B891" s="7" t="n">
        <v>889</v>
      </c>
      <c r="C891" t="inlineStr">
        <is>
          <t>Chuyên viên Khách hàng FDI tiếng Trung/Tiếng Hàn</t>
        </is>
      </c>
      <c r="D891" t="inlineStr">
        <is>
          <t>Tổng Công Ty Cổ Phần Bảo Hiểm Ngân Hàng TMCP Công Thương Việt Nam</t>
        </is>
      </c>
      <c r="E891" t="inlineStr">
        <is>
          <t>Lương:Cạnh tranh</t>
        </is>
      </c>
      <c r="F891" t="inlineStr">
        <is>
          <t>Hà Nội</t>
        </is>
      </c>
      <c r="G891" t="inlineStr">
        <is>
          <t>02-04-2026</t>
        </is>
      </c>
      <c r="H891" t="inlineStr">
        <is>
          <t>02/04/2026</t>
        </is>
      </c>
      <c r="I891" t="inlineStr">
        <is>
          <t>17/03/2026</t>
        </is>
      </c>
      <c r="J891" t="inlineStr">
        <is>
          <t>Hành chính / Thư ký, Ngân hàng, Biên phiên dịch</t>
        </is>
      </c>
      <c r="K891" t="inlineStr">
        <is>
          <t>Chưa có kinh nghiệm</t>
        </is>
      </c>
      <c r="L891" s="8">
        <f>HYPERLINK("https://careerviet.vn/vi/tim-viec-lam/chuyen-vien-khach-hang-fdi-tieng-trung-tieng-han.35C6A771.html","Xem chi tiết")</f>
        <v/>
      </c>
    </row>
    <row r="892">
      <c r="B892" s="9" t="n">
        <v>890</v>
      </c>
      <c r="C892" s="10" t="inlineStr">
        <is>
          <t>Phó Phòng Kinh Doanh</t>
        </is>
      </c>
      <c r="D892" s="10" t="inlineStr">
        <is>
          <t>CÔNG TY TNHH CƯỜNG LÂM</t>
        </is>
      </c>
      <c r="E892" s="10" t="inlineStr">
        <is>
          <t>Lương:Cạnh tranh</t>
        </is>
      </c>
      <c r="F892" s="10" t="inlineStr">
        <is>
          <t>Bình Dương</t>
        </is>
      </c>
      <c r="G892" s="10" t="inlineStr">
        <is>
          <t>02-04-2026</t>
        </is>
      </c>
      <c r="H892" s="10" t="inlineStr">
        <is>
          <t>02/04/2026</t>
        </is>
      </c>
      <c r="I892" s="10" t="inlineStr">
        <is>
          <t>17/03/2026</t>
        </is>
      </c>
      <c r="J892" s="10" t="inlineStr">
        <is>
          <t>Bán hàng / Kinh doanh, Nội ngoại thất, Quản lý điều hành</t>
        </is>
      </c>
      <c r="K892" s="10" t="inlineStr">
        <is>
          <t>2 - 3 Năm</t>
        </is>
      </c>
      <c r="L892" s="11">
        <f>HYPERLINK("https://careerviet.vn/vi/tim-viec-lam/pho-phong-kinh-doanh.35C6A946.html","Xem chi tiết")</f>
        <v/>
      </c>
      <c r="M892" s="10" t="n"/>
    </row>
    <row r="893">
      <c r="B893" s="7" t="n">
        <v>891</v>
      </c>
      <c r="C893" t="inlineStr">
        <is>
          <t>Quản Lý Vận Hành Kho(Mới)</t>
        </is>
      </c>
      <c r="D893" t="inlineStr">
        <is>
          <t>CÔNG TY CỔ PHẦN GIẢI PHÁP CÔNG NGHỆ HCTECH</t>
        </is>
      </c>
      <c r="E893" t="inlineStr">
        <is>
          <t>Lương:Cạnh tranh</t>
        </is>
      </c>
      <c r="F893" t="inlineStr">
        <is>
          <t>Bình DươngLong An</t>
        </is>
      </c>
      <c r="G893" t="inlineStr">
        <is>
          <t>15-04-2026</t>
        </is>
      </c>
      <c r="H893" t="inlineStr">
        <is>
          <t>15/04/2026</t>
        </is>
      </c>
      <c r="I893" t="inlineStr">
        <is>
          <t>17/03/2026</t>
        </is>
      </c>
      <c r="J893" t="inlineStr">
        <is>
          <t>Vận chuyển / Giao nhận / Kho vận, Hành chính / Thư ký, Quản lý điều hành</t>
        </is>
      </c>
      <c r="K893" t="inlineStr">
        <is>
          <t>Trên 3 Năm</t>
        </is>
      </c>
      <c r="L893" s="8">
        <f>HYPERLINK("https://careerviet.vn/vi/tim-viec-lam/quan-ly-van-hanh-kho.35C6CBD4.html","Xem chi tiết")</f>
        <v/>
      </c>
    </row>
    <row r="894">
      <c r="B894" s="9" t="n">
        <v>892</v>
      </c>
      <c r="C894" s="10" t="inlineStr">
        <is>
          <t>Trưởng phòng Tư vấn và Đầu tư - Khối Ngân hàng Đầu tư - Hội sở Hà Nội</t>
        </is>
      </c>
      <c r="D894" s="10" t="inlineStr">
        <is>
          <t>Ngân hàng TMCP Việt Á – VietABank</t>
        </is>
      </c>
      <c r="E894" s="10" t="inlineStr">
        <is>
          <t>Lương:Cạnh tranh</t>
        </is>
      </c>
      <c r="F894" s="10" t="inlineStr">
        <is>
          <t>Hà Nội</t>
        </is>
      </c>
      <c r="G894" s="10" t="inlineStr">
        <is>
          <t>31-03-2026</t>
        </is>
      </c>
      <c r="H894" s="10" t="inlineStr">
        <is>
          <t>31/03/2026</t>
        </is>
      </c>
      <c r="I894" s="10" t="inlineStr">
        <is>
          <t>17/03/2026</t>
        </is>
      </c>
      <c r="J894" s="10" t="inlineStr">
        <is>
          <t>Ngân hàng, Tài chính / Đầu tư</t>
        </is>
      </c>
      <c r="K894" s="10" t="inlineStr">
        <is>
          <t>5 - 10 Năm</t>
        </is>
      </c>
      <c r="L894" s="11">
        <f>HYPERLINK("https://careerviet.vn/vi/tim-viec-lam/truong-phong-tu-van-va-dau-tu-khoi-ngan-hang-dau-tu-hoi-so-ha-noi.35C6A7D2.html","Xem chi tiết")</f>
        <v/>
      </c>
      <c r="M894" s="10" t="n"/>
    </row>
    <row r="895">
      <c r="B895" s="7" t="n">
        <v>893</v>
      </c>
      <c r="C895" t="inlineStr">
        <is>
          <t>[CN Hà Nội] Kế toán tổng hợp - General Accounting Staff</t>
        </is>
      </c>
      <c r="D895" t="inlineStr">
        <is>
          <t>CÔNG TY TNHH DAESANG VIỆT NAM</t>
        </is>
      </c>
      <c r="E895" t="inlineStr">
        <is>
          <t>Lương:12 Tr - 18 Tr VND</t>
        </is>
      </c>
      <c r="F895" t="inlineStr">
        <is>
          <t>Hà Nội</t>
        </is>
      </c>
      <c r="G895" t="inlineStr">
        <is>
          <t>5</t>
        </is>
      </c>
      <c r="H895" t="inlineStr">
        <is>
          <t>22/03/2026</t>
        </is>
      </c>
      <c r="I895" t="inlineStr">
        <is>
          <t>17/03/2026</t>
        </is>
      </c>
      <c r="J895" t="inlineStr">
        <is>
          <t>Kế toán / Kiểm toán, Tài chính / Đầu tư</t>
        </is>
      </c>
      <c r="K895" t="inlineStr">
        <is>
          <t>2 - 3 Năm</t>
        </is>
      </c>
      <c r="L895" s="8">
        <f>HYPERLINK("https://careerviet.vn/vi/tim-viec-lam/cn-ha-noi-ke-toan-tong-hop-general-accounting-staff.35C6A751.html","Xem chi tiết")</f>
        <v/>
      </c>
    </row>
    <row r="896">
      <c r="B896" s="9" t="n">
        <v>894</v>
      </c>
      <c r="C896" s="10" t="inlineStr">
        <is>
          <t>Quản Lý Dự Án - Project Manager(Mới)</t>
        </is>
      </c>
      <c r="D896" s="10" t="inlineStr">
        <is>
          <t>Công Ty TNHH J.G</t>
        </is>
      </c>
      <c r="E896" s="10" t="inlineStr">
        <is>
          <t>Lương:Cạnh tranh</t>
        </is>
      </c>
      <c r="F896" s="10" t="inlineStr">
        <is>
          <t>Hồ Chí Minh</t>
        </is>
      </c>
      <c r="G896" s="10" t="inlineStr">
        <is>
          <t>15-05-2026</t>
        </is>
      </c>
      <c r="H896" s="10" t="inlineStr">
        <is>
          <t>15/05/2026</t>
        </is>
      </c>
      <c r="I896" s="10" t="inlineStr">
        <is>
          <t>17/03/2026</t>
        </is>
      </c>
      <c r="J896" s="10" t="inlineStr">
        <is>
          <t>Xây dựng, Quản lý chất lượng (QA/QC), Bất động sản</t>
        </is>
      </c>
      <c r="K896" s="10" t="inlineStr">
        <is>
          <t>8 - 10 Năm</t>
        </is>
      </c>
      <c r="L896" s="11">
        <f>HYPERLINK("https://careerviet.vn/vi/tim-viec-lam/quan-ly-du-an-project-manager.35C6CACF.html","Xem chi tiết")</f>
        <v/>
      </c>
      <c r="M896" s="10" t="n"/>
    </row>
    <row r="897">
      <c r="B897" s="7" t="n">
        <v>895</v>
      </c>
      <c r="C897" t="inlineStr">
        <is>
          <t>Kế toán tổng hợp (General Accountant)</t>
        </is>
      </c>
      <c r="D897" t="inlineStr">
        <is>
          <t>Công ty TNHH Ru9</t>
        </is>
      </c>
      <c r="E897" t="inlineStr">
        <is>
          <t>Lương:14 Tr - 16 Tr VND</t>
        </is>
      </c>
      <c r="F897" t="inlineStr">
        <is>
          <t>Hồ Chí Minh</t>
        </is>
      </c>
      <c r="G897" t="inlineStr">
        <is>
          <t>06-04-2026</t>
        </is>
      </c>
      <c r="H897" t="inlineStr">
        <is>
          <t>06/04/2026</t>
        </is>
      </c>
      <c r="I897" t="inlineStr">
        <is>
          <t>17/03/2026</t>
        </is>
      </c>
      <c r="J897" t="inlineStr">
        <is>
          <t>Kế toán / Kiểm toán, Tài chính / Đầu tư, Bán lẻ / Bán sỉ</t>
        </is>
      </c>
      <c r="K897" t="inlineStr">
        <is>
          <t>1 - 3 Năm</t>
        </is>
      </c>
      <c r="L897" s="8">
        <f>HYPERLINK("https://careerviet.vn/vi/tim-viec-lam/ke-toan-tong-hop-general-accountant.35C6A891.html","Xem chi tiết")</f>
        <v/>
      </c>
    </row>
    <row r="898">
      <c r="B898" s="9" t="n">
        <v>896</v>
      </c>
      <c r="C898" s="10" t="inlineStr">
        <is>
          <t>IT - Phần cứng/Mạng(Mới)</t>
        </is>
      </c>
      <c r="D898" s="10" t="inlineStr">
        <is>
          <t>CÔNG TY CỔ PHẦN SẢN XUẤT VÀ BẢO DƯỠNG THIẾT BỊ HÀNG KHÔNG</t>
        </is>
      </c>
      <c r="E898" s="10" t="inlineStr">
        <is>
          <t>Lương:Cạnh tranh</t>
        </is>
      </c>
      <c r="F898" s="10" t="inlineStr">
        <is>
          <t>Hà NộiHải Phòng</t>
        </is>
      </c>
      <c r="G898" s="10" t="inlineStr">
        <is>
          <t>25-04-2026</t>
        </is>
      </c>
      <c r="H898" s="10" t="inlineStr">
        <is>
          <t>25/04/2026</t>
        </is>
      </c>
      <c r="I898" s="10" t="inlineStr">
        <is>
          <t>17/03/2026</t>
        </is>
      </c>
      <c r="J898" s="10" t="inlineStr">
        <is>
          <t>CNTT - Phần cứng / Mạng</t>
        </is>
      </c>
      <c r="K898" s="10" t="inlineStr">
        <is>
          <t>Trên 2 Năm</t>
        </is>
      </c>
      <c r="L898" s="11">
        <f>HYPERLINK("https://careerviet.vn/vi/tim-viec-lam/it-phan-cung-mang.35C6CBC7.html","Xem chi tiết")</f>
        <v/>
      </c>
      <c r="M898" s="10" t="n"/>
    </row>
    <row r="899">
      <c r="B899" s="7" t="n">
        <v>897</v>
      </c>
      <c r="C899" t="inlineStr">
        <is>
          <t>Nhân Viên Vận Hành Hiện Trường</t>
        </is>
      </c>
      <c r="D899" t="inlineStr">
        <is>
          <t>Công Ty TNHH Hóa Chất PSC Việt Nam</t>
        </is>
      </c>
      <c r="E899" t="inlineStr">
        <is>
          <t>Lương:10 Tr - 11 Tr VND</t>
        </is>
      </c>
      <c r="F899" t="inlineStr">
        <is>
          <t>Bình Dương</t>
        </is>
      </c>
      <c r="G899" t="inlineStr">
        <is>
          <t>16-03-2026</t>
        </is>
      </c>
      <c r="H899" t="inlineStr">
        <is>
          <t>23/12/2025</t>
        </is>
      </c>
      <c r="I899" t="inlineStr">
        <is>
          <t>17/03/2026</t>
        </is>
      </c>
      <c r="J899" t="inlineStr">
        <is>
          <t>Dầu khí, Hóa học, Sản xuất / Vận hành sản xuất</t>
        </is>
      </c>
      <c r="K899" t="inlineStr">
        <is>
          <t>1 - 3 Năm</t>
        </is>
      </c>
      <c r="L899" s="8">
        <f>HYPERLINK("https://careerviet.vn/vi/tim-viec-lam/nhan-vien-van-hanh-hien-truong.35C60882.html","Xem chi tiết")</f>
        <v/>
      </c>
    </row>
    <row r="900">
      <c r="B900" s="9" t="n">
        <v>898</v>
      </c>
      <c r="C900" s="10" t="inlineStr">
        <is>
          <t>Kỹ sư Cơ Điện - Năng lượng tái tạo (Điện mặt trời, điện gió, ...)</t>
        </is>
      </c>
      <c r="D900" s="10" t="inlineStr">
        <is>
          <t>Tổng Công ty Cổ phần Công trình Viettel</t>
        </is>
      </c>
      <c r="E900" s="10" t="inlineStr">
        <is>
          <t>Lương:Cạnh tranh</t>
        </is>
      </c>
      <c r="F900" s="10" t="inlineStr">
        <is>
          <t>Hà Nội</t>
        </is>
      </c>
      <c r="G900" s="10" t="inlineStr">
        <is>
          <t>02-04-2026</t>
        </is>
      </c>
      <c r="H900" s="10" t="inlineStr">
        <is>
          <t>02/04/2026</t>
        </is>
      </c>
      <c r="I900" s="10" t="inlineStr">
        <is>
          <t>17/03/2026</t>
        </is>
      </c>
      <c r="J900" s="10" t="inlineStr">
        <is>
          <t>Bưu chính viễn thông, Điện / Điện tử / Điện lạnh / Điện công nghiệp</t>
        </is>
      </c>
      <c r="K900" s="10" t="inlineStr">
        <is>
          <t>Trên 2 Năm</t>
        </is>
      </c>
      <c r="L900" s="11">
        <f>HYPERLINK("https://careerviet.vn/vi/tim-viec-lam/ky-su-co-dien-nang-luong-tai-tao-dien-mat-troi-dien-gio.35C6A7F0.html","Xem chi tiết")</f>
        <v/>
      </c>
      <c r="M900" s="10" t="n"/>
    </row>
    <row r="901">
      <c r="B901" s="7" t="n">
        <v>899</v>
      </c>
      <c r="C901" t="inlineStr">
        <is>
          <t>Giám đốc Dự Án (Kết Cấu Thép)</t>
        </is>
      </c>
      <c r="D901" t="inlineStr">
        <is>
          <t>CÔNG TY CỔ PHẦN KẾT CẤU THÉP QH PLUS (QHPS)</t>
        </is>
      </c>
      <c r="E901" t="inlineStr">
        <is>
          <t>Lương:Cạnh tranh</t>
        </is>
      </c>
      <c r="F901" t="inlineStr">
        <is>
          <t>Hồ Chí MinhHà NộiBà Rịa - Vũng Tàu</t>
        </is>
      </c>
      <c r="G901" t="inlineStr">
        <is>
          <t>03-04-2026</t>
        </is>
      </c>
      <c r="H901" t="inlineStr">
        <is>
          <t>03/04/2026</t>
        </is>
      </c>
      <c r="I901" t="inlineStr">
        <is>
          <t>17/03/2026</t>
        </is>
      </c>
      <c r="J901" t="inlineStr">
        <is>
          <t>Kiến trúc, Xây dựng</t>
        </is>
      </c>
      <c r="K901" t="inlineStr">
        <is>
          <t>3 - 10 Năm</t>
        </is>
      </c>
      <c r="L901" s="8">
        <f>HYPERLINK("https://careerviet.vn/vi/tim-viec-lam/giam-doc-du-an-ket-cau-thep.35C6A727.html","Xem chi tiết")</f>
        <v/>
      </c>
    </row>
    <row r="902">
      <c r="B902" s="9" t="n">
        <v>900</v>
      </c>
      <c r="C902" s="10" t="inlineStr">
        <is>
          <t>Trưởng Phòng Nghiên Cứu Và Phát Triển Sản Phẩm R&amp;D</t>
        </is>
      </c>
      <c r="D902" s="10" t="inlineStr">
        <is>
          <t>CÔNG TY TNHH PHẠM – ASSET MEKONG</t>
        </is>
      </c>
      <c r="E902" s="10" t="inlineStr">
        <is>
          <t>Lương:Cạnh tranh</t>
        </is>
      </c>
      <c r="F902" s="10" t="inlineStr">
        <is>
          <t>Hồ Chí Minh</t>
        </is>
      </c>
      <c r="G902" s="10" t="inlineStr">
        <is>
          <t>03-04-2026</t>
        </is>
      </c>
      <c r="H902" s="10" t="inlineStr">
        <is>
          <t>03/04/2026</t>
        </is>
      </c>
      <c r="I902" s="10" t="inlineStr">
        <is>
          <t>17/03/2026</t>
        </is>
      </c>
      <c r="J902" s="10" t="inlineStr">
        <is>
          <t>Thực phẩm &amp; Đồ uống, Sản xuất / Vận hành sản xuất, Quản lý chất lượng (QA/QC)</t>
        </is>
      </c>
      <c r="K902" s="10" t="inlineStr">
        <is>
          <t>Trên 5 Năm</t>
        </is>
      </c>
      <c r="L902" s="11">
        <f>HYPERLINK("https://careerviet.vn/vi/tim-viec-lam/truong-phong-nghien-cuu-va-phat-trien-san-pham-r-d.35C6A851.html","Xem chi tiết")</f>
        <v/>
      </c>
      <c r="M902" s="10" t="n"/>
    </row>
    <row r="903">
      <c r="B903" s="7" t="n">
        <v>901</v>
      </c>
      <c r="C903" t="inlineStr">
        <is>
          <t>CHUYÊN VIÊN PHÁT TRIỂN DỰ ÁN MIỀN NAM (TRANG TRẠI CHĂN NUÔI)</t>
        </is>
      </c>
      <c r="D903" t="inlineStr">
        <is>
          <t>Công ty Cổ phần Nông nghiệp BAF Việt Nam</t>
        </is>
      </c>
      <c r="E903" t="inlineStr">
        <is>
          <t>Lương:30 Tr - 35 Tr VND</t>
        </is>
      </c>
      <c r="F903" t="inlineStr">
        <is>
          <t>Hồ Chí Minh</t>
        </is>
      </c>
      <c r="G903" t="inlineStr">
        <is>
          <t>16-03-2026</t>
        </is>
      </c>
      <c r="H903" t="inlineStr">
        <is>
          <t>06/03/2026</t>
        </is>
      </c>
      <c r="I903" t="inlineStr">
        <is>
          <t>17/03/2026</t>
        </is>
      </c>
      <c r="J903" t="inlineStr">
        <is>
          <t>Xây dựng, Luật / Pháp lý, Bất động sản</t>
        </is>
      </c>
      <c r="K903" t="inlineStr">
        <is>
          <t>5 - 10 Năm</t>
        </is>
      </c>
      <c r="L903" s="8">
        <f>HYPERLINK("https://careerviet.vn/vi/tim-viec-lam/chuyen-vien-phat-trien-du-an-mien-nam-trang-trai-chan-nuoi.35C6A756.html","Xem chi tiết")</f>
        <v/>
      </c>
    </row>
    <row r="904">
      <c r="B904" s="9" t="n">
        <v>902</v>
      </c>
      <c r="C904" s="10" t="inlineStr">
        <is>
          <t>Nhân viên Kế toán thanh toán(Mới)</t>
        </is>
      </c>
      <c r="D904" s="10" t="inlineStr">
        <is>
          <t>Press Club</t>
        </is>
      </c>
      <c r="E904" s="10" t="inlineStr">
        <is>
          <t>Lương:Cạnh tranh</t>
        </is>
      </c>
      <c r="F904" s="10" t="inlineStr">
        <is>
          <t>Hà Nội</t>
        </is>
      </c>
      <c r="G904" s="10" t="inlineStr">
        <is>
          <t>30-04-2026</t>
        </is>
      </c>
      <c r="H904" s="10" t="inlineStr">
        <is>
          <t>30/04/2026</t>
        </is>
      </c>
      <c r="I904" s="10" t="inlineStr">
        <is>
          <t>17/03/2026</t>
        </is>
      </c>
      <c r="J904" s="10" t="inlineStr">
        <is>
          <t>Nhà hàng / Khách sạn, Du lịch</t>
        </is>
      </c>
      <c r="K904" s="10" t="inlineStr">
        <is>
          <t>2 - 3 Năm</t>
        </is>
      </c>
      <c r="L904" s="11">
        <f>HYPERLINK("https://careerviet.vn/vi/tim-viec-lam/nhan-vien-ke-toan-thanh-toan.35C6CBD6.html","Xem chi tiết")</f>
        <v/>
      </c>
      <c r="M904" s="10" t="n"/>
    </row>
    <row r="905">
      <c r="B905" s="7" t="n">
        <v>903</v>
      </c>
      <c r="C905" t="inlineStr">
        <is>
          <t>Nhân Viên Kế Toán</t>
        </is>
      </c>
      <c r="D905" t="inlineStr">
        <is>
          <t>CÔNG TY TNHH MỘT THÀNH VIÊN THỰC PHẨM NGUYÊN THÀNH ĐẠT</t>
        </is>
      </c>
      <c r="E905" t="inlineStr">
        <is>
          <t>Lương:Cạnh tranh</t>
        </is>
      </c>
      <c r="F905" t="inlineStr">
        <is>
          <t>Bình DươngHồ Chí Minh</t>
        </is>
      </c>
      <c r="G905" t="inlineStr">
        <is>
          <t>02-04-2026</t>
        </is>
      </c>
      <c r="H905" t="inlineStr">
        <is>
          <t>02/04/2026</t>
        </is>
      </c>
      <c r="I905" t="inlineStr">
        <is>
          <t>17/03/2026</t>
        </is>
      </c>
      <c r="J905" t="inlineStr">
        <is>
          <t>Kế toán / Kiểm toán</t>
        </is>
      </c>
      <c r="K905" t="inlineStr">
        <is>
          <t>Trên 2 Năm</t>
        </is>
      </c>
      <c r="L905" s="8">
        <f>HYPERLINK("https://careerviet.vn/vi/tim-viec-lam/nhan-vien-ke-toan.35C6A968.html","Xem chi tiết")</f>
        <v/>
      </c>
    </row>
    <row r="906">
      <c r="B906" s="9" t="n">
        <v>904</v>
      </c>
      <c r="C906" s="10" t="inlineStr">
        <is>
          <t>(HCM) Chuyên Viên Thiết Kế Nội Thất(Mới)</t>
        </is>
      </c>
      <c r="D906" s="10" t="inlineStr">
        <is>
          <t>Công Ty TNHH Tập Đoàn Rita Võ</t>
        </is>
      </c>
      <c r="E906" s="10" t="inlineStr">
        <is>
          <t>Lương:16 Tr - 19 Tr VND</t>
        </is>
      </c>
      <c r="F906" s="10" t="inlineStr">
        <is>
          <t>Hồ Chí Minh</t>
        </is>
      </c>
      <c r="G906" s="10" t="inlineStr">
        <is>
          <t>16-04-2026</t>
        </is>
      </c>
      <c r="H906" s="10" t="inlineStr">
        <is>
          <t>16/04/2026</t>
        </is>
      </c>
      <c r="I906" s="10" t="inlineStr">
        <is>
          <t>17/03/2026</t>
        </is>
      </c>
      <c r="J906" s="10" t="inlineStr">
        <is>
          <t>Nội ngoại thất, Kiến trúc</t>
        </is>
      </c>
      <c r="K906" s="10" t="inlineStr">
        <is>
          <t>4 - 6 Năm</t>
        </is>
      </c>
      <c r="L906" s="11">
        <f>HYPERLINK("https://careerviet.vn/vi/tim-viec-lam/hcm-chuyen-vien-thiet-ke-noi-that.35C6CBD9.html","Xem chi tiết")</f>
        <v/>
      </c>
      <c r="M906" s="10" t="n"/>
    </row>
    <row r="907">
      <c r="B907" s="7" t="n">
        <v>905</v>
      </c>
      <c r="C907" t="inlineStr">
        <is>
          <t>Quản lý đại lý</t>
        </is>
      </c>
      <c r="D907" t="inlineStr">
        <is>
          <t>CÔNG TY CỔ PHẦN HIRUNDO REALTY</t>
        </is>
      </c>
      <c r="E907" t="inlineStr">
        <is>
          <t>Lương:Cạnh tranh</t>
        </is>
      </c>
      <c r="F907" t="inlineStr">
        <is>
          <t>Hà Nội</t>
        </is>
      </c>
      <c r="G907" t="inlineStr">
        <is>
          <t>31-03-2026</t>
        </is>
      </c>
      <c r="H907" t="inlineStr">
        <is>
          <t>31/03/2026</t>
        </is>
      </c>
      <c r="I907" t="inlineStr">
        <is>
          <t>17/03/2026</t>
        </is>
      </c>
      <c r="J907" t="inlineStr">
        <is>
          <t>Bán hàng / Kinh doanh, Bất động sản</t>
        </is>
      </c>
      <c r="K907" t="inlineStr">
        <is>
          <t>3 - 5 Năm</t>
        </is>
      </c>
      <c r="L907" s="8">
        <f>HYPERLINK("https://careerviet.vn/vi/tim-viec-lam/quan-ly-dai-ly.35C6A791.html","Xem chi tiết")</f>
        <v/>
      </c>
    </row>
    <row r="908">
      <c r="B908" s="9" t="n">
        <v>906</v>
      </c>
      <c r="C908" s="10" t="inlineStr">
        <is>
          <t>Nhân Viên Tự Động Hóa(Mới)</t>
        </is>
      </c>
      <c r="D908" s="10" t="inlineStr">
        <is>
          <t>CÔNG TY TNHH RORZE ROBOTECH</t>
        </is>
      </c>
      <c r="E908" s="10" t="inlineStr">
        <is>
          <t>Lương:Cạnh tranh</t>
        </is>
      </c>
      <c r="F908" s="10" t="inlineStr">
        <is>
          <t>Hải Phòng</t>
        </is>
      </c>
      <c r="G908" s="10" t="inlineStr">
        <is>
          <t>16-04-2026</t>
        </is>
      </c>
      <c r="H908" s="10" t="inlineStr">
        <is>
          <t>16/04/2026</t>
        </is>
      </c>
      <c r="I908" s="10" t="inlineStr">
        <is>
          <t>17/03/2026</t>
        </is>
      </c>
      <c r="J908" s="10" t="inlineStr">
        <is>
          <t>Cơ khí / Ô tô / Tự động hóa, Bảo trì / Sửa chữa, Điện / Điện tử / Điện lạnh / Điện công nghiệp</t>
        </is>
      </c>
      <c r="K908" s="10" t="inlineStr">
        <is>
          <t>Trên 2 Năm</t>
        </is>
      </c>
      <c r="L908" s="11">
        <f>HYPERLINK("https://careerviet.vn/vi/tim-viec-lam/nhan-vien-tu-dong-hoa.35C6CB9C.html","Xem chi tiết")</f>
        <v/>
      </c>
      <c r="M908" s="10" t="n"/>
    </row>
    <row r="909">
      <c r="B909" s="7" t="n">
        <v>907</v>
      </c>
      <c r="C909" t="inlineStr">
        <is>
          <t>Kỹ Sư Trắc Địa(Mới)</t>
        </is>
      </c>
      <c r="D909" t="inlineStr">
        <is>
          <t>Công Ty CP Xây Dựng A&amp;C</t>
        </is>
      </c>
      <c r="E909" t="inlineStr">
        <is>
          <t>Lương:14 Tr - 20 Tr VND</t>
        </is>
      </c>
      <c r="F909" t="inlineStr">
        <is>
          <t>Hồ Chí Minh</t>
        </is>
      </c>
      <c r="G909" t="inlineStr">
        <is>
          <t>14-04-2026</t>
        </is>
      </c>
      <c r="H909" t="inlineStr">
        <is>
          <t>14/04/2026</t>
        </is>
      </c>
      <c r="I909" t="inlineStr">
        <is>
          <t>17/03/2026</t>
        </is>
      </c>
      <c r="J909" t="inlineStr">
        <is>
          <t>Trắc địa / Địa Chất, Xây dựng</t>
        </is>
      </c>
      <c r="K909" t="inlineStr">
        <is>
          <t>N/A</t>
        </is>
      </c>
      <c r="L909" s="8">
        <f>HYPERLINK("https://careerviet.vn/vi/tim-viec-lam/ky-su-trac-dia.35C6CBC2.html","Xem chi tiết")</f>
        <v/>
      </c>
    </row>
    <row r="910">
      <c r="B910" s="9" t="n">
        <v>908</v>
      </c>
      <c r="C910" s="10" t="inlineStr">
        <is>
          <t>Kế toán viên (03 năm kinh nghiệm)</t>
        </is>
      </c>
      <c r="D910" s="10" t="inlineStr">
        <is>
          <t>Công ty Cổ Phần Công Nghệ Cơ Điện Reecons</t>
        </is>
      </c>
      <c r="E910" s="10" t="inlineStr">
        <is>
          <t>Lương:11 Tr - 12 Tr VND</t>
        </is>
      </c>
      <c r="F910" s="10" t="inlineStr">
        <is>
          <t>Hồ Chí Minh</t>
        </is>
      </c>
      <c r="G910" s="10" t="inlineStr">
        <is>
          <t>13-04-2026</t>
        </is>
      </c>
      <c r="H910" s="10" t="inlineStr">
        <is>
          <t>13/04/2026</t>
        </is>
      </c>
      <c r="I910" s="10" t="inlineStr">
        <is>
          <t>17/03/2026</t>
        </is>
      </c>
      <c r="J910" s="10" t="inlineStr">
        <is>
          <t>Kế toán / Kiểm toán</t>
        </is>
      </c>
      <c r="K910" s="10" t="inlineStr">
        <is>
          <t>N/A</t>
        </is>
      </c>
      <c r="L910" s="11">
        <f>HYPERLINK("https://careerviet.vn/vi/tim-viec-lam/ke-toan-vien-03-nam-kinh-nghiem.35C6C65A.html","Xem chi tiết")</f>
        <v/>
      </c>
      <c r="M910" s="10" t="n"/>
    </row>
    <row r="911">
      <c r="B911" s="7" t="n">
        <v>909</v>
      </c>
      <c r="C911" t="inlineStr">
        <is>
          <t>NHÂN VIÊN HR tại CÔNG TY SẢN XUẤT MỚI THÀNH LẬP(Mới)</t>
        </is>
      </c>
      <c r="D911" t="inlineStr">
        <is>
          <t>Công ty TNHH AOBA Việt Nam</t>
        </is>
      </c>
      <c r="E911" t="inlineStr">
        <is>
          <t>Lương:15 Tr - 20 Tr VND</t>
        </is>
      </c>
      <c r="F911" t="inlineStr">
        <is>
          <t>Đồng Nai</t>
        </is>
      </c>
      <c r="G911" t="inlineStr">
        <is>
          <t>16-04-2026</t>
        </is>
      </c>
      <c r="H911" t="inlineStr">
        <is>
          <t>16/04/2026</t>
        </is>
      </c>
      <c r="I911" t="inlineStr">
        <is>
          <t>17/03/2026</t>
        </is>
      </c>
      <c r="J911" t="inlineStr">
        <is>
          <t>Hành chính / Thư ký, Nhân sự</t>
        </is>
      </c>
      <c r="K911" t="inlineStr">
        <is>
          <t>5 - 12 Năm</t>
        </is>
      </c>
      <c r="L911" s="8">
        <f>HYPERLINK("https://careerviet.vn/vi/tim-viec-lam/nhan-vien-hr-tai-cong-ty-san-xuat-moi-thanh-lap.35C6CBC5.html","Xem chi tiết")</f>
        <v/>
      </c>
    </row>
    <row r="912">
      <c r="B912" s="9" t="n">
        <v>910</v>
      </c>
      <c r="C912" s="10" t="inlineStr">
        <is>
          <t>Nhân viên Kỹ thuật(Mới)</t>
        </is>
      </c>
      <c r="D912" s="10" t="inlineStr">
        <is>
          <t>Viet Thai International</t>
        </is>
      </c>
      <c r="E912" s="10" t="inlineStr">
        <is>
          <t>Lương:Cạnh tranh</t>
        </is>
      </c>
      <c r="F912" s="10" t="inlineStr">
        <is>
          <t>Bình Dương</t>
        </is>
      </c>
      <c r="G912" s="10" t="inlineStr">
        <is>
          <t>30-04-2026</t>
        </is>
      </c>
      <c r="H912" s="10" t="inlineStr">
        <is>
          <t>30/04/2026</t>
        </is>
      </c>
      <c r="I912" s="10" t="inlineStr">
        <is>
          <t>17/03/2026</t>
        </is>
      </c>
      <c r="J912" s="10" t="inlineStr">
        <is>
          <t>Bảo trì / Sửa chữa, Điện / Điện tử / Điện lạnh / Điện công nghiệp, Xây dựng</t>
        </is>
      </c>
      <c r="K912" s="10" t="inlineStr">
        <is>
          <t>5 - 7 Năm</t>
        </is>
      </c>
      <c r="L912" s="11">
        <f>HYPERLINK("https://careerviet.vn/vi/tim-viec-lam/nhan-vien-ky-thuat.35C6CBBA.html","Xem chi tiết")</f>
        <v/>
      </c>
      <c r="M912" s="10" t="n"/>
    </row>
    <row r="913">
      <c r="B913" s="7" t="n">
        <v>911</v>
      </c>
      <c r="C913" t="inlineStr">
        <is>
          <t>Nhân Viên Phát Triển Kinh Doanh B2B(Mới)</t>
        </is>
      </c>
      <c r="D913" t="inlineStr">
        <is>
          <t>Công Ty TNHH Tập Đoàn Rita Võ</t>
        </is>
      </c>
      <c r="E913" t="inlineStr">
        <is>
          <t>Lương:12 Tr - 20 Tr VND</t>
        </is>
      </c>
      <c r="F913" t="inlineStr">
        <is>
          <t>Hồ Chí Minh</t>
        </is>
      </c>
      <c r="G913" t="inlineStr">
        <is>
          <t>30-04-2026</t>
        </is>
      </c>
      <c r="H913" t="inlineStr">
        <is>
          <t>30/04/2026</t>
        </is>
      </c>
      <c r="I913" t="inlineStr">
        <is>
          <t>17/03/2026</t>
        </is>
      </c>
      <c r="J913" t="inlineStr">
        <is>
          <t>Bán lẻ / Bán sỉ, Bán hàng / Kinh doanh, Xây dựng</t>
        </is>
      </c>
      <c r="K913" t="inlineStr">
        <is>
          <t>1 - 2 Năm</t>
        </is>
      </c>
      <c r="L913" s="8">
        <f>HYPERLINK("https://careerviet.vn/vi/tim-viec-lam/nhan-vien-phat-trien-kinh-doanh-b2b.35C6CBA9.html","Xem chi tiết")</f>
        <v/>
      </c>
    </row>
    <row r="914">
      <c r="B914" s="9" t="n">
        <v>912</v>
      </c>
      <c r="C914" s="10" t="inlineStr">
        <is>
          <t>C&amp;B Executive(Mới)</t>
        </is>
      </c>
      <c r="D914" s="10" t="inlineStr">
        <is>
          <t>CÔNG TY TNHH HIRA MANUFACTURING</t>
        </is>
      </c>
      <c r="E914" s="10" t="inlineStr">
        <is>
          <t>Lương:20 Tr - 28 Tr VND</t>
        </is>
      </c>
      <c r="F914" s="10" t="inlineStr">
        <is>
          <t>Đồng Nai</t>
        </is>
      </c>
      <c r="G914" s="10" t="inlineStr">
        <is>
          <t>31-03-2026</t>
        </is>
      </c>
      <c r="H914" s="10" t="inlineStr">
        <is>
          <t>31/03/2026</t>
        </is>
      </c>
      <c r="I914" s="10" t="inlineStr">
        <is>
          <t>17/03/2026</t>
        </is>
      </c>
      <c r="J914" s="10" t="inlineStr">
        <is>
          <t>Hành chính / Thư ký, Nhân sự, Sản xuất / Vận hành sản xuất</t>
        </is>
      </c>
      <c r="K914" s="10" t="inlineStr">
        <is>
          <t>3 - 5 Năm</t>
        </is>
      </c>
      <c r="L914" s="11">
        <f>HYPERLINK("https://careerviet.vn/vi/tim-viec-lam/c-b-executive.35C6CBB4.html","Xem chi tiết")</f>
        <v/>
      </c>
      <c r="M914" s="10" t="n"/>
    </row>
    <row r="915">
      <c r="B915" s="7" t="n">
        <v>913</v>
      </c>
      <c r="C915" t="inlineStr">
        <is>
          <t>Kế Toán Thanh Toán(Mới)</t>
        </is>
      </c>
      <c r="D915" t="inlineStr">
        <is>
          <t>Công ty cổ phần  vận tải đường sắt Việt Nam</t>
        </is>
      </c>
      <c r="E915" t="inlineStr">
        <is>
          <t>Lương:10 Tr - 12 Tr VND</t>
        </is>
      </c>
      <c r="F915" t="inlineStr">
        <is>
          <t>Hà Nội</t>
        </is>
      </c>
      <c r="G915" t="inlineStr">
        <is>
          <t>24-04-2026</t>
        </is>
      </c>
      <c r="H915" t="inlineStr">
        <is>
          <t>24/04/2026</t>
        </is>
      </c>
      <c r="I915" t="inlineStr">
        <is>
          <t>17/03/2026</t>
        </is>
      </c>
      <c r="J915" t="inlineStr">
        <is>
          <t>Kế toán / Kiểm toán, Tài chính / Đầu tư, Luật / Pháp lý</t>
        </is>
      </c>
      <c r="K915" t="inlineStr">
        <is>
          <t>Trên 3 Năm</t>
        </is>
      </c>
      <c r="L915" s="8">
        <f>HYPERLINK("https://careerviet.vn/vi/tim-viec-lam/ke-toan-thanh-toan.35C6CBBC.html","Xem chi tiết")</f>
        <v/>
      </c>
    </row>
    <row r="916">
      <c r="B916" s="9" t="n">
        <v>914</v>
      </c>
      <c r="C916" s="10" t="inlineStr">
        <is>
          <t>KẾ TOÁN TỔNG HỢP(Mới)</t>
        </is>
      </c>
      <c r="D916" s="10" t="inlineStr">
        <is>
          <t>Công Ty TNHH Xây Dựng Và Cầu Đường Đại Việt</t>
        </is>
      </c>
      <c r="E916" s="10" t="inlineStr">
        <is>
          <t>Lương:18 Tr - 20 Tr VND</t>
        </is>
      </c>
      <c r="F916" s="10" t="inlineStr">
        <is>
          <t>Hồ Chí Minh</t>
        </is>
      </c>
      <c r="G916" s="10" t="inlineStr">
        <is>
          <t>30-04-2026</t>
        </is>
      </c>
      <c r="H916" s="10" t="inlineStr">
        <is>
          <t>30/04/2026</t>
        </is>
      </c>
      <c r="I916" s="10" t="inlineStr">
        <is>
          <t>17/03/2026</t>
        </is>
      </c>
      <c r="J916" s="10" t="inlineStr">
        <is>
          <t>Kế toán / Kiểm toán, Xây dựng, Kiến trúc</t>
        </is>
      </c>
      <c r="K916" s="10" t="inlineStr">
        <is>
          <t>2 - 5 Năm</t>
        </is>
      </c>
      <c r="L916" s="11">
        <f>HYPERLINK("https://careerviet.vn/vi/tim-viec-lam/ke-toan-tong-hop.35C05CBB.html","Xem chi tiết")</f>
        <v/>
      </c>
      <c r="M916" s="10" t="n"/>
    </row>
    <row r="917">
      <c r="B917" s="7" t="n">
        <v>915</v>
      </c>
      <c r="C917" t="inlineStr">
        <is>
          <t>Chuyên viên Truyền thông(Mới)</t>
        </is>
      </c>
      <c r="D917" t="inlineStr">
        <is>
          <t>CÔNG TY CỔ PHẦN FECON SOUTH</t>
        </is>
      </c>
      <c r="E917" t="inlineStr">
        <is>
          <t>Lương:13 Tr - 16 Tr VND</t>
        </is>
      </c>
      <c r="F917" t="inlineStr">
        <is>
          <t>Hồ Chí Minh</t>
        </is>
      </c>
      <c r="G917" t="inlineStr">
        <is>
          <t>31-03-2026</t>
        </is>
      </c>
      <c r="H917" t="inlineStr">
        <is>
          <t>31/03/2026</t>
        </is>
      </c>
      <c r="I917" t="inlineStr">
        <is>
          <t>17/03/2026</t>
        </is>
      </c>
      <c r="J917" t="inlineStr">
        <is>
          <t>Tiếp thị / Marketing, Truyền hình / Báo chí / Biên tập, Quảng cáo / Đối ngoại / Truyền Thông</t>
        </is>
      </c>
      <c r="K917" t="inlineStr">
        <is>
          <t>2 - 5 Năm</t>
        </is>
      </c>
      <c r="L917" s="8">
        <f>HYPERLINK("https://careerviet.vn/vi/tim-viec-lam/chuyen-vien-truyen-thong.35C6CB95.html","Xem chi tiết")</f>
        <v/>
      </c>
    </row>
    <row r="918">
      <c r="B918" s="9" t="n">
        <v>916</v>
      </c>
      <c r="C918" s="10" t="inlineStr">
        <is>
          <t>Trưởng phòng kinh doanh(Mới)</t>
        </is>
      </c>
      <c r="D918" s="10" t="inlineStr">
        <is>
          <t>CÔNG TY CỔ PHẦN THẾ THẢO PHARMA</t>
        </is>
      </c>
      <c r="E918" s="10" t="inlineStr">
        <is>
          <t>Lương:30 Tr - 70 Tr VND</t>
        </is>
      </c>
      <c r="F918" s="10" t="inlineStr">
        <is>
          <t>Hà Nội</t>
        </is>
      </c>
      <c r="G918" s="10" t="inlineStr">
        <is>
          <t>23-04-2026</t>
        </is>
      </c>
      <c r="H918" s="10" t="inlineStr">
        <is>
          <t>23/04/2026</t>
        </is>
      </c>
      <c r="I918" s="10" t="inlineStr">
        <is>
          <t>17/03/2026</t>
        </is>
      </c>
      <c r="J918" s="10" t="inlineStr">
        <is>
          <t>Thương mại điện tử, Dược phẩm/ Hóa Mỹ Phẩm, Bán hàng / Kinh doanh</t>
        </is>
      </c>
      <c r="K918" s="10" t="inlineStr">
        <is>
          <t>1 - 2 Năm</t>
        </is>
      </c>
      <c r="L918" s="11">
        <f>HYPERLINK("https://careerviet.vn/vi/tim-viec-lam/truong-phong-kinh-doanh.35C6CB8D.html","Xem chi tiết")</f>
        <v/>
      </c>
      <c r="M918" s="10" t="n"/>
    </row>
    <row r="919">
      <c r="B919" s="7" t="n">
        <v>917</v>
      </c>
      <c r="C919" t="inlineStr">
        <is>
          <t>CHUYÊN VIÊN CHỤP HÌNH - QUAY DỰNG VIDEO(Mới)</t>
        </is>
      </c>
      <c r="D919" t="inlineStr">
        <is>
          <t>CareerViet's client</t>
        </is>
      </c>
      <c r="E919" t="inlineStr">
        <is>
          <t>Lương:Cạnh tranh</t>
        </is>
      </c>
      <c r="F919" t="inlineStr">
        <is>
          <t>Hồ Chí Minh</t>
        </is>
      </c>
      <c r="G919" t="inlineStr">
        <is>
          <t>31-03-2026</t>
        </is>
      </c>
      <c r="H919" t="inlineStr">
        <is>
          <t>31/03/2026</t>
        </is>
      </c>
      <c r="I919" t="inlineStr">
        <is>
          <t>17/03/2026</t>
        </is>
      </c>
      <c r="J919" t="inlineStr">
        <is>
          <t>Tiếp thị / Marketing, Truyền hình / Báo chí / Biên tập, Quảng cáo / Đối ngoại / Truyền Thông</t>
        </is>
      </c>
      <c r="K919" t="inlineStr">
        <is>
          <t>3 - 5 Năm</t>
        </is>
      </c>
      <c r="L919" s="8">
        <f>HYPERLINK("https://careerviet.vn/vi/tim-viec-lam/chuyen-vien-chup-hinh-quay-dung-video.35C6CBA1.html","Xem chi tiết")</f>
        <v/>
      </c>
    </row>
    <row r="920">
      <c r="B920" s="9" t="n">
        <v>918</v>
      </c>
      <c r="C920" s="10" t="inlineStr">
        <is>
          <t>Kế toán tổng hợp(Mới)</t>
        </is>
      </c>
      <c r="D920" s="10" t="inlineStr">
        <is>
          <t>CÔNG TY CỔ PHẦN MIDOMAX VIỆT NAM</t>
        </is>
      </c>
      <c r="E920" s="10" t="inlineStr">
        <is>
          <t>Lương:17 Tr - 22 Tr VND</t>
        </is>
      </c>
      <c r="F920" s="10" t="inlineStr">
        <is>
          <t>Hồ Chí Minh</t>
        </is>
      </c>
      <c r="G920" s="10" t="inlineStr">
        <is>
          <t>30-04-2026</t>
        </is>
      </c>
      <c r="H920" s="10" t="inlineStr">
        <is>
          <t>30/04/2026</t>
        </is>
      </c>
      <c r="I920" s="10" t="inlineStr">
        <is>
          <t>17/03/2026</t>
        </is>
      </c>
      <c r="J920" s="10" t="inlineStr">
        <is>
          <t>Kế toán / Kiểm toán</t>
        </is>
      </c>
      <c r="K920" s="10" t="inlineStr">
        <is>
          <t>3 - 5 Năm</t>
        </is>
      </c>
      <c r="L920" s="11">
        <f>HYPERLINK("https://careerviet.vn/vi/tim-viec-lam/ke-toan-tong-hop.35C6CB96.html","Xem chi tiết")</f>
        <v/>
      </c>
      <c r="M920" s="10" t="n"/>
    </row>
    <row r="921">
      <c r="B921" s="7" t="n">
        <v>919</v>
      </c>
      <c r="C921" t="inlineStr">
        <is>
          <t>Nhân Viên Vận Hành Lò Hơi - Tiền Giang(Mới)</t>
        </is>
      </c>
      <c r="D921" t="inlineStr">
        <is>
          <t>CÔNG TY TNHH GIVAUDAN VIỆT NAM</t>
        </is>
      </c>
      <c r="E921" t="inlineStr">
        <is>
          <t>Lương:Cạnh tranh</t>
        </is>
      </c>
      <c r="F921" t="inlineStr">
        <is>
          <t>Tiền Giang</t>
        </is>
      </c>
      <c r="G921" t="inlineStr">
        <is>
          <t>16-04-2026</t>
        </is>
      </c>
      <c r="H921" t="inlineStr">
        <is>
          <t>16/04/2026</t>
        </is>
      </c>
      <c r="I921" t="inlineStr">
        <is>
          <t>17/03/2026</t>
        </is>
      </c>
      <c r="J921" t="inlineStr">
        <is>
          <t>Sản xuất / Vận hành sản xuất, Bảo trì / Sửa chữa, Lao động phổ thông</t>
        </is>
      </c>
      <c r="K921" t="inlineStr">
        <is>
          <t>1 - 3 Năm</t>
        </is>
      </c>
      <c r="L921" s="8">
        <f>HYPERLINK("https://careerviet.vn/vi/tim-viec-lam/nhan-vien-van-hanh-lo-hoi-tien-giang.35C6CBAE.html","Xem chi tiết")</f>
        <v/>
      </c>
    </row>
    <row r="922">
      <c r="B922" s="9" t="n">
        <v>920</v>
      </c>
      <c r="C922" s="10" t="inlineStr">
        <is>
          <t>Trưởng Phòng Thu Mua(Mới)</t>
        </is>
      </c>
      <c r="D922" s="10" t="inlineStr">
        <is>
          <t>CÔNG TY CỔ PHẦN THẾ THẢO PHARMA</t>
        </is>
      </c>
      <c r="E922" s="10" t="inlineStr">
        <is>
          <t>Lương:16 Tr - 22 Tr VND</t>
        </is>
      </c>
      <c r="F922" s="10" t="inlineStr">
        <is>
          <t>Hà Nội</t>
        </is>
      </c>
      <c r="G922" s="10" t="inlineStr">
        <is>
          <t>29-04-2026</t>
        </is>
      </c>
      <c r="H922" s="10" t="inlineStr">
        <is>
          <t>29/04/2026</t>
        </is>
      </c>
      <c r="I922" s="10" t="inlineStr">
        <is>
          <t>17/03/2026</t>
        </is>
      </c>
      <c r="J922" s="10" t="inlineStr">
        <is>
          <t>Thương mại điện tử, Dược phẩm/ Hóa Mỹ Phẩm, Thu mua / Vật tư</t>
        </is>
      </c>
      <c r="K922" s="10" t="inlineStr">
        <is>
          <t>1 - 2 Năm</t>
        </is>
      </c>
      <c r="L922" s="11">
        <f>HYPERLINK("https://careerviet.vn/vi/tim-viec-lam/truong-phong-thu-mua.35C63579.html","Xem chi tiết")</f>
        <v/>
      </c>
      <c r="M922" s="10" t="n"/>
    </row>
    <row r="923">
      <c r="B923" s="7" t="n">
        <v>921</v>
      </c>
      <c r="C923" t="inlineStr">
        <is>
          <t>Nhân viên Bảo vệ thực vật (Chăm sóc cây)(Mới)</t>
        </is>
      </c>
      <c r="D923" t="inlineStr">
        <is>
          <t>Chi Nhánh Công Ty CPĐT Long Biên - Sân Golf Tân Sơn Nhất</t>
        </is>
      </c>
      <c r="E923" t="inlineStr">
        <is>
          <t>Lương:10 Tr - 12 Tr VND</t>
        </is>
      </c>
      <c r="F923" t="inlineStr">
        <is>
          <t>Hồ Chí Minh</t>
        </is>
      </c>
      <c r="G923" t="inlineStr">
        <is>
          <t>16-04-2026</t>
        </is>
      </c>
      <c r="H923" t="inlineStr">
        <is>
          <t>16/04/2026</t>
        </is>
      </c>
      <c r="I923" t="inlineStr">
        <is>
          <t>17/03/2026</t>
        </is>
      </c>
      <c r="J923" t="inlineStr">
        <is>
          <t>Nông nghiệp</t>
        </is>
      </c>
      <c r="K923" t="inlineStr">
        <is>
          <t>1 - 2 Năm</t>
        </is>
      </c>
      <c r="L923" s="8">
        <f>HYPERLINK("https://careerviet.vn/vi/tim-viec-lam/nhan-vien-bao-ve-thuc-vat-cham-soc-cay.35C6CBA0.html","Xem chi tiết")</f>
        <v/>
      </c>
    </row>
    <row r="924">
      <c r="B924" s="9" t="n">
        <v>922</v>
      </c>
      <c r="C924" s="10" t="inlineStr">
        <is>
          <t>NHÂN VIÊN KINH DOANH - B2B upto 20tr(Mới)</t>
        </is>
      </c>
      <c r="D924" s="10" t="inlineStr">
        <is>
          <t>Công ty TNHH Tm Nguyễn và Anh Em</t>
        </is>
      </c>
      <c r="E924" s="10" t="inlineStr">
        <is>
          <t>Lương:7 Tr - 30 Tr VND</t>
        </is>
      </c>
      <c r="F924" s="10" t="inlineStr">
        <is>
          <t>Hồ Chí Minh</t>
        </is>
      </c>
      <c r="G924" s="10" t="inlineStr">
        <is>
          <t>04-04-2026</t>
        </is>
      </c>
      <c r="H924" s="10" t="inlineStr">
        <is>
          <t>04/04/2026</t>
        </is>
      </c>
      <c r="I924" s="10" t="inlineStr">
        <is>
          <t>17/03/2026</t>
        </is>
      </c>
      <c r="J924" s="10" t="inlineStr">
        <is>
          <t>Bán hàng / Kinh doanh, Tư vấn, Mới tốt nghiệp / Thực tập</t>
        </is>
      </c>
      <c r="K924" s="10" t="inlineStr">
        <is>
          <t>N/A</t>
        </is>
      </c>
      <c r="L924" s="11">
        <f>HYPERLINK("https://careerviet.vn/vi/tim-viec-lam/nhan-vien-kinh-doanh-b2b-upto-20tr.35C6CBB3.html","Xem chi tiết")</f>
        <v/>
      </c>
      <c r="M924" s="10" t="n"/>
    </row>
    <row r="925">
      <c r="B925" s="7" t="n">
        <v>923</v>
      </c>
      <c r="C925" t="inlineStr">
        <is>
          <t>Nhân Viên Bảo Trì Điện(Mới)</t>
        </is>
      </c>
      <c r="D925" t="inlineStr">
        <is>
          <t>Công Ty CP Poh Huat VN</t>
        </is>
      </c>
      <c r="E925" t="inlineStr">
        <is>
          <t>Lương:Cạnh tranh</t>
        </is>
      </c>
      <c r="F925" t="inlineStr">
        <is>
          <t>Hồ Chí MinhBình DươngĐồng Nai</t>
        </is>
      </c>
      <c r="G925" t="inlineStr">
        <is>
          <t>17-04-2026</t>
        </is>
      </c>
      <c r="H925" t="inlineStr">
        <is>
          <t>17/04/2026</t>
        </is>
      </c>
      <c r="I925" t="inlineStr">
        <is>
          <t>17/03/2026</t>
        </is>
      </c>
      <c r="J925" t="inlineStr">
        <is>
          <t>Điện / Điện tử / Điện lạnh / Điện công nghiệp</t>
        </is>
      </c>
      <c r="K925" t="inlineStr">
        <is>
          <t>Trên 1 Năm</t>
        </is>
      </c>
      <c r="L925" s="8">
        <f>HYPERLINK("https://careerviet.vn/vi/tim-viec-lam/nhan-vien-bao-tri-dien.35C6CB81.html","Xem chi tiết")</f>
        <v/>
      </c>
    </row>
    <row r="926">
      <c r="B926" s="9" t="n">
        <v>924</v>
      </c>
      <c r="C926" s="10" t="inlineStr">
        <is>
          <t>TRỢ LÝ SALE ADMIN (Extra Admin)(Mới)</t>
        </is>
      </c>
      <c r="D926" s="10" t="inlineStr">
        <is>
          <t>CÔNG TY CỔ PHẦN ĐẦU TƯ THƯƠNG MẠI NHẬT TIẾN</t>
        </is>
      </c>
      <c r="E926" s="10" t="inlineStr">
        <is>
          <t>Lương:Cạnh tranh</t>
        </is>
      </c>
      <c r="F926" s="10" t="inlineStr">
        <is>
          <t>Hồ Chí Minh</t>
        </is>
      </c>
      <c r="G926" s="10" t="inlineStr">
        <is>
          <t>31-03-2026</t>
        </is>
      </c>
      <c r="H926" s="10" t="inlineStr">
        <is>
          <t>31/03/2026</t>
        </is>
      </c>
      <c r="I926" s="10" t="inlineStr">
        <is>
          <t>17/03/2026</t>
        </is>
      </c>
      <c r="J926" s="10" t="inlineStr">
        <is>
          <t>Hành chính / Thư ký</t>
        </is>
      </c>
      <c r="K926" s="10" t="inlineStr">
        <is>
          <t>Chưa có kinh nghiệm</t>
        </is>
      </c>
      <c r="L926" s="11">
        <f>HYPERLINK("https://careerviet.vn/vi/tim-viec-lam/tro-ly-sale-admin-extra-admin.35C6CB80.html","Xem chi tiết")</f>
        <v/>
      </c>
      <c r="M926" s="10" t="n"/>
    </row>
    <row r="927">
      <c r="B927" s="7" t="n">
        <v>925</v>
      </c>
      <c r="C927" t="inlineStr">
        <is>
          <t>Chỉ huy trưởng (Kết Cấu Thép)(Mới)</t>
        </is>
      </c>
      <c r="D927" t="inlineStr">
        <is>
          <t>CÔNG TY TRÁCH NHIỆM HỮU HẠN THÉP QSB</t>
        </is>
      </c>
      <c r="E927" t="inlineStr">
        <is>
          <t>Lương:20 Tr - 25 Tr VND</t>
        </is>
      </c>
      <c r="F927" t="inlineStr">
        <is>
          <t>Hồ Chí Minh</t>
        </is>
      </c>
      <c r="G927" t="inlineStr">
        <is>
          <t>30-03-2026</t>
        </is>
      </c>
      <c r="H927" t="inlineStr">
        <is>
          <t>30/03/2026</t>
        </is>
      </c>
      <c r="I927" t="inlineStr">
        <is>
          <t>17/03/2026</t>
        </is>
      </c>
      <c r="J927" t="inlineStr">
        <is>
          <t>Cơ khí / Ô tô / Tự động hóa, Xây dựng</t>
        </is>
      </c>
      <c r="K927" t="inlineStr">
        <is>
          <t>2 - 3 Năm</t>
        </is>
      </c>
      <c r="L927" s="8">
        <f>HYPERLINK("https://careerviet.vn/vi/tim-viec-lam/chi-huy-truong-ket-cau-thep.35C6CB8F.html","Xem chi tiết")</f>
        <v/>
      </c>
    </row>
    <row r="928">
      <c r="B928" s="9" t="n">
        <v>926</v>
      </c>
      <c r="C928" s="10" t="inlineStr">
        <is>
          <t>Kỹ Sư Kinh Doanh Dự Án Điện(Mới)</t>
        </is>
      </c>
      <c r="D928" s="10" t="inlineStr">
        <is>
          <t>Công ty TNHH Kỹ thuật Thiên Hạt</t>
        </is>
      </c>
      <c r="E928" s="10" t="inlineStr">
        <is>
          <t>Lương:15 Tr - 20 Tr VND</t>
        </is>
      </c>
      <c r="F928" s="10" t="inlineStr">
        <is>
          <t>Hà NộiHồ Chí Minh</t>
        </is>
      </c>
      <c r="G928" s="10" t="inlineStr">
        <is>
          <t>15-04-2026</t>
        </is>
      </c>
      <c r="H928" s="10" t="inlineStr">
        <is>
          <t>15/04/2026</t>
        </is>
      </c>
      <c r="I928" s="10" t="inlineStr">
        <is>
          <t>17/03/2026</t>
        </is>
      </c>
      <c r="J928" s="10" t="inlineStr">
        <is>
          <t>Bán hàng / Kinh doanh, Bán Hàng Kỹ Thuật, Điện / Điện tử / Điện lạnh / Điện công nghiệp</t>
        </is>
      </c>
      <c r="K928" s="10" t="inlineStr">
        <is>
          <t>3 - 5 Năm</t>
        </is>
      </c>
      <c r="L928" s="11">
        <f>HYPERLINK("https://careerviet.vn/vi/tim-viec-lam/ky-su-kinh-doanh-du-an-dien.35C6CB97.html","Xem chi tiết")</f>
        <v/>
      </c>
      <c r="M928" s="10" t="n"/>
    </row>
    <row r="929">
      <c r="B929" s="7" t="n">
        <v>927</v>
      </c>
      <c r="C929" t="inlineStr">
        <is>
          <t>Nhân Viên Kinh Doanh(Mới)</t>
        </is>
      </c>
      <c r="D929" t="inlineStr">
        <is>
          <t>CÔNG TY TNHH PHÁT TRIỂN QUANG PHÚ</t>
        </is>
      </c>
      <c r="E929" t="inlineStr">
        <is>
          <t>Lương:20 Tr - 40 Tr VND</t>
        </is>
      </c>
      <c r="F929" t="inlineStr">
        <is>
          <t>Hồ Chí Minh</t>
        </is>
      </c>
      <c r="G929" t="inlineStr">
        <is>
          <t>16-04-2026</t>
        </is>
      </c>
      <c r="H929" t="inlineStr">
        <is>
          <t>16/04/2026</t>
        </is>
      </c>
      <c r="I929" t="inlineStr">
        <is>
          <t>17/03/2026</t>
        </is>
      </c>
      <c r="J929" t="inlineStr">
        <is>
          <t>Bán hàng / Kinh doanh, Tiếp thị / Marketing, Bán lẻ / Bán sỉ</t>
        </is>
      </c>
      <c r="K929" t="inlineStr">
        <is>
          <t>Trên 2 Năm</t>
        </is>
      </c>
      <c r="L929" s="8">
        <f>HYPERLINK("https://careerviet.vn/vi/tim-viec-lam/nhan-vien-kinh-doanh.35C6CB68.html","Xem chi tiết")</f>
        <v/>
      </c>
    </row>
    <row r="930">
      <c r="B930" s="9" t="n">
        <v>928</v>
      </c>
      <c r="C930" s="10" t="inlineStr">
        <is>
          <t>Kế Toán Tổng Hợp(Mới)</t>
        </is>
      </c>
      <c r="D930" s="10" t="inlineStr">
        <is>
          <t>CÔNG TY TNHH PHÁT TRIỂN QUANG PHÚ</t>
        </is>
      </c>
      <c r="E930" s="10" t="inlineStr">
        <is>
          <t>Lương:13 Tr - 15 Tr VND</t>
        </is>
      </c>
      <c r="F930" s="10" t="inlineStr">
        <is>
          <t>Hồ Chí Minh</t>
        </is>
      </c>
      <c r="G930" s="10" t="inlineStr">
        <is>
          <t>16-04-2026</t>
        </is>
      </c>
      <c r="H930" s="10" t="inlineStr">
        <is>
          <t>16/04/2026</t>
        </is>
      </c>
      <c r="I930" s="10" t="inlineStr">
        <is>
          <t>17/03/2026</t>
        </is>
      </c>
      <c r="J930" s="10" t="inlineStr">
        <is>
          <t>Kế toán / Kiểm toán, Hành chính / Thư ký, Tài chính / Đầu tư</t>
        </is>
      </c>
      <c r="K930" s="10" t="inlineStr">
        <is>
          <t>Trên 1 Năm</t>
        </is>
      </c>
      <c r="L930" s="11">
        <f>HYPERLINK("https://careerviet.vn/vi/tim-viec-lam/ke-toan-tong-hop.35C6CB69.html","Xem chi tiết")</f>
        <v/>
      </c>
      <c r="M930" s="10" t="n"/>
    </row>
    <row r="931">
      <c r="B931" s="7" t="n">
        <v>929</v>
      </c>
      <c r="C931" t="inlineStr">
        <is>
          <t>Nhân Viên Bảo Trì</t>
        </is>
      </c>
      <c r="D931" t="inlineStr">
        <is>
          <t>Cty TNHH Box - Pak (Việt Nam)</t>
        </is>
      </c>
      <c r="E931" t="inlineStr">
        <is>
          <t>Lương:9 Tr - 12 Tr VND</t>
        </is>
      </c>
      <c r="F931" t="inlineStr">
        <is>
          <t>Bình Dương</t>
        </is>
      </c>
      <c r="G931" t="inlineStr">
        <is>
          <t>04-04-2026</t>
        </is>
      </c>
      <c r="H931" t="inlineStr">
        <is>
          <t>04/04/2026</t>
        </is>
      </c>
      <c r="I931" t="inlineStr">
        <is>
          <t>17/03/2026</t>
        </is>
      </c>
      <c r="J931" t="inlineStr">
        <is>
          <t>Cơ khí / Ô tô / Tự động hóa, Sản xuất / Vận hành sản xuất, Bảo trì / Sửa chữa</t>
        </is>
      </c>
      <c r="K931" t="inlineStr">
        <is>
          <t>N/A</t>
        </is>
      </c>
      <c r="L931" s="8">
        <f>HYPERLINK("https://careerviet.vn/vi/tim-viec-lam/nhan-vien-bao-tri.35C6B00E.html","Xem chi tiết")</f>
        <v/>
      </c>
    </row>
    <row r="932">
      <c r="B932" s="9" t="n">
        <v>930</v>
      </c>
      <c r="C932" s="10" t="inlineStr">
        <is>
          <t>Trưởng phòng kinh tế kế hoạch(Mới)</t>
        </is>
      </c>
      <c r="D932" s="10" t="inlineStr">
        <is>
          <t>CÔNG TY CỔ PHẦN THỊNH CƯỜNG</t>
        </is>
      </c>
      <c r="E932" s="10" t="inlineStr">
        <is>
          <t>Lương:30 Tr - 40 Tr VND</t>
        </is>
      </c>
      <c r="F932" s="10" t="inlineStr">
        <is>
          <t>Hà Nội</t>
        </is>
      </c>
      <c r="G932" s="10" t="inlineStr">
        <is>
          <t>16-04-2026</t>
        </is>
      </c>
      <c r="H932" s="10" t="inlineStr">
        <is>
          <t>16/04/2026</t>
        </is>
      </c>
      <c r="I932" s="10" t="inlineStr">
        <is>
          <t>17/03/2026</t>
        </is>
      </c>
      <c r="J932" s="10" t="inlineStr">
        <is>
          <t>Xây dựng, Kế toán / Kiểm toán, Tài chính / Đầu tư</t>
        </is>
      </c>
      <c r="K932" s="10" t="inlineStr">
        <is>
          <t>5 - 10 Năm</t>
        </is>
      </c>
      <c r="L932" s="11">
        <f>HYPERLINK("https://careerviet.vn/vi/tim-viec-lam/truong-phong-kinh-te-ke-hoach.35C6CB88.html","Xem chi tiết")</f>
        <v/>
      </c>
      <c r="M932" s="10" t="n"/>
    </row>
    <row r="933">
      <c r="B933" s="7" t="n">
        <v>931</v>
      </c>
      <c r="C933" t="inlineStr">
        <is>
          <t>Trưởng Phòng Tăng Trưởng (Head Of Growth)(Mới)</t>
        </is>
      </c>
      <c r="D933" t="inlineStr">
        <is>
          <t>CÔNG TY TRÁCH NHIỆM HỮU HẠN PHỤ KIỆN VÀ CỐP PHA VIỆT</t>
        </is>
      </c>
      <c r="E933" t="inlineStr">
        <is>
          <t>Lương:Cạnh tranh</t>
        </is>
      </c>
      <c r="F933" t="inlineStr">
        <is>
          <t>Hồ Chí Minh</t>
        </is>
      </c>
      <c r="G933" t="inlineStr">
        <is>
          <t>15-04-2026</t>
        </is>
      </c>
      <c r="H933" t="inlineStr">
        <is>
          <t>15/04/2026</t>
        </is>
      </c>
      <c r="I933" t="inlineStr">
        <is>
          <t>17/03/2026</t>
        </is>
      </c>
      <c r="J933" t="inlineStr">
        <is>
          <t>Tiếp thị / Marketing, Sản xuất / Vận hành sản xuất, Xây dựng</t>
        </is>
      </c>
      <c r="K933" t="inlineStr">
        <is>
          <t>Trên 3 Năm</t>
        </is>
      </c>
      <c r="L933" s="8">
        <f>HYPERLINK("https://careerviet.vn/vi/tim-viec-lam/truong-phong-tang-truong-head-of-growth.35C6CB6C.html","Xem chi tiết")</f>
        <v/>
      </c>
    </row>
    <row r="934">
      <c r="B934" s="9" t="n">
        <v>932</v>
      </c>
      <c r="C934" s="10" t="inlineStr">
        <is>
          <t>Nhân Viên Logistics(Mới)</t>
        </is>
      </c>
      <c r="D934" s="10" t="inlineStr">
        <is>
          <t>CÔNG TY TNHH INDUS COFFEE ( VIỆT  NAM)</t>
        </is>
      </c>
      <c r="E934" s="10" t="inlineStr">
        <is>
          <t>Lương:Cạnh tranh</t>
        </is>
      </c>
      <c r="F934" s="10" t="inlineStr">
        <is>
          <t>Bình Định</t>
        </is>
      </c>
      <c r="G934" s="10" t="inlineStr">
        <is>
          <t>16-04-2026</t>
        </is>
      </c>
      <c r="H934" s="10" t="inlineStr">
        <is>
          <t>16/04/2026</t>
        </is>
      </c>
      <c r="I934" s="10" t="inlineStr">
        <is>
          <t>17/03/2026</t>
        </is>
      </c>
      <c r="J934" s="10" t="inlineStr">
        <is>
          <t>Vận chuyển / Giao nhận / Kho vận, Công nghệ thực phẩm / Dinh dưỡng, Xuất nhập khẩu</t>
        </is>
      </c>
      <c r="K934" s="10" t="inlineStr">
        <is>
          <t>2 - 4 Năm</t>
        </is>
      </c>
      <c r="L934" s="11">
        <f>HYPERLINK("https://careerviet.vn/vi/tim-viec-lam/nhan-vien-logistics.35C6CB4F.html","Xem chi tiết")</f>
        <v/>
      </c>
      <c r="M934" s="10" t="n"/>
    </row>
    <row r="935">
      <c r="B935" s="7" t="n">
        <v>933</v>
      </c>
      <c r="C935" t="inlineStr">
        <is>
          <t>Sales Manager Vietnam(Mới)</t>
        </is>
      </c>
      <c r="D935" t="inlineStr">
        <is>
          <t>Unifi Textiles (Suzhou) Co., Ltd</t>
        </is>
      </c>
      <c r="E935" t="inlineStr">
        <is>
          <t>Lương:50 Tr - 80 Tr VND</t>
        </is>
      </c>
      <c r="F935" t="inlineStr">
        <is>
          <t>Hồ Chí Minh</t>
        </is>
      </c>
      <c r="G935" t="inlineStr">
        <is>
          <t>29-04-2026</t>
        </is>
      </c>
      <c r="H935" t="inlineStr">
        <is>
          <t>29/04/2026</t>
        </is>
      </c>
      <c r="I935" t="inlineStr">
        <is>
          <t>17/03/2026</t>
        </is>
      </c>
      <c r="J935" t="inlineStr">
        <is>
          <t>Bán lẻ / Bán sỉ, Bán hàng / Kinh doanh, Quản lý điều hành</t>
        </is>
      </c>
      <c r="K935" t="inlineStr">
        <is>
          <t>3 - 5 Năm</t>
        </is>
      </c>
      <c r="L935" s="8">
        <f>HYPERLINK("https://careerviet.vn/vi/tim-viec-lam/sales-manager-vietnam.35C6CB47.html","Xem chi tiết")</f>
        <v/>
      </c>
    </row>
    <row r="936">
      <c r="B936" s="9" t="n">
        <v>934</v>
      </c>
      <c r="C936" s="10" t="inlineStr">
        <is>
          <t>Marketing Executive(Mới)</t>
        </is>
      </c>
      <c r="D936" s="10" t="inlineStr">
        <is>
          <t>CÔNG TY TNHH DI TRÚ VÀ QUỐC TỊCH</t>
        </is>
      </c>
      <c r="E936" s="10" t="inlineStr">
        <is>
          <t>Lương:Cạnh tranh</t>
        </is>
      </c>
      <c r="F936" s="10" t="inlineStr">
        <is>
          <t>Hồ Chí Minh</t>
        </is>
      </c>
      <c r="G936" s="10" t="inlineStr">
        <is>
          <t>16-04-2026</t>
        </is>
      </c>
      <c r="H936" s="10" t="inlineStr">
        <is>
          <t>16/04/2026</t>
        </is>
      </c>
      <c r="I936" s="10" t="inlineStr">
        <is>
          <t>17/03/2026</t>
        </is>
      </c>
      <c r="J936" s="10" t="inlineStr">
        <is>
          <t>Tiếp thị / Marketing, Tư vấn, Quảng cáo / Đối ngoại / Truyền Thông</t>
        </is>
      </c>
      <c r="K936" s="10" t="inlineStr">
        <is>
          <t>1 - 3 Năm</t>
        </is>
      </c>
      <c r="L936" s="11">
        <f>HYPERLINK("https://careerviet.vn/vi/tim-viec-lam/marketing-executive.35C6CB8B.html","Xem chi tiết")</f>
        <v/>
      </c>
      <c r="M936" s="10" t="n"/>
    </row>
    <row r="937">
      <c r="B937" s="7" t="n">
        <v>935</v>
      </c>
      <c r="C937" t="inlineStr">
        <is>
          <t>Chỉ Huy Trưởng(Mới)</t>
        </is>
      </c>
      <c r="D937" t="inlineStr">
        <is>
          <t>CÔNG TY CỔ PHẦN KỸ THUẬT XÂY DỰNG AN TÍN</t>
        </is>
      </c>
      <c r="E937" t="inlineStr">
        <is>
          <t>Lương:Cạnh tranh</t>
        </is>
      </c>
      <c r="F937" t="inlineStr">
        <is>
          <t>Nghệ An</t>
        </is>
      </c>
      <c r="G937" t="inlineStr">
        <is>
          <t>15-04-2026</t>
        </is>
      </c>
      <c r="H937" t="inlineStr">
        <is>
          <t>15/04/2026</t>
        </is>
      </c>
      <c r="I937" t="inlineStr">
        <is>
          <t>17/03/2026</t>
        </is>
      </c>
      <c r="J937" t="inlineStr">
        <is>
          <t>Xây dựng</t>
        </is>
      </c>
      <c r="K937" t="inlineStr">
        <is>
          <t>Trên 8 Năm</t>
        </is>
      </c>
      <c r="L937" s="8">
        <f>HYPERLINK("https://careerviet.vn/vi/tim-viec-lam/chi-huy-truong.35C6CA50.html","Xem chi tiết")</f>
        <v/>
      </c>
    </row>
    <row r="938">
      <c r="B938" s="9" t="n">
        <v>936</v>
      </c>
      <c r="C938" s="10" t="inlineStr">
        <is>
          <t>NHÂN VIÊN KINH DOANH(Mới)</t>
        </is>
      </c>
      <c r="D938" s="10" t="inlineStr">
        <is>
          <t>CÔNG TY CỔ PHẦN ĐẦU TƯ THƯƠNG MẠI NHẬT TIẾN</t>
        </is>
      </c>
      <c r="E938" s="10" t="inlineStr">
        <is>
          <t>Lương:Cạnh tranh</t>
        </is>
      </c>
      <c r="F938" s="10" t="inlineStr">
        <is>
          <t>Hồ Chí Minh</t>
        </is>
      </c>
      <c r="G938" s="10" t="inlineStr">
        <is>
          <t>31-03-2026</t>
        </is>
      </c>
      <c r="H938" s="10" t="inlineStr">
        <is>
          <t>31/03/2026</t>
        </is>
      </c>
      <c r="I938" s="10" t="inlineStr">
        <is>
          <t>17/03/2026</t>
        </is>
      </c>
      <c r="J938" s="10" t="inlineStr">
        <is>
          <t>Bất động sản, Tiếp thị / Marketing</t>
        </is>
      </c>
      <c r="K938" s="10" t="inlineStr">
        <is>
          <t>Trên 2 Năm</t>
        </is>
      </c>
      <c r="L938" s="11">
        <f>HYPERLINK("https://careerviet.vn/vi/tim-viec-lam/nhan-vien-kinh-doanh.35C6CB67.html","Xem chi tiết")</f>
        <v/>
      </c>
      <c r="M938" s="10" t="n"/>
    </row>
    <row r="939">
      <c r="B939" s="7" t="n">
        <v>937</v>
      </c>
      <c r="C939" t="inlineStr">
        <is>
          <t>NHÂN VIÊN KIỂM ĐỊNH, HIỆU CHUẨN, AN TOÀN MMTB(Mới)</t>
        </is>
      </c>
      <c r="D939" t="inlineStr">
        <is>
          <t>Công Ty Cổ Phần Sữa Việt Nam (Vinamilk)</t>
        </is>
      </c>
      <c r="E939" t="inlineStr">
        <is>
          <t>Lương:Cạnh tranh</t>
        </is>
      </c>
      <c r="F939" t="inlineStr">
        <is>
          <t>Bình Dương</t>
        </is>
      </c>
      <c r="G939" t="inlineStr">
        <is>
          <t>17-04-2026</t>
        </is>
      </c>
      <c r="H939" t="inlineStr">
        <is>
          <t>17/04/2026</t>
        </is>
      </c>
      <c r="I939" t="inlineStr">
        <is>
          <t>17/03/2026</t>
        </is>
      </c>
      <c r="J939" t="inlineStr">
        <is>
          <t>Thực phẩm &amp; Đồ uống, Công nghệ thực phẩm / Dinh dưỡng</t>
        </is>
      </c>
      <c r="K939" t="inlineStr">
        <is>
          <t>3 - 4 Năm</t>
        </is>
      </c>
      <c r="L939" s="8">
        <f>HYPERLINK("https://careerviet.vn/vi/tim-viec-lam/nhan-vien-kiem-dinh-hieu-chuan-an-toan-mmtb.35C6CB5D.html","Xem chi tiết")</f>
        <v/>
      </c>
    </row>
    <row r="940">
      <c r="B940" s="9" t="n">
        <v>938</v>
      </c>
      <c r="C940" s="10" t="inlineStr">
        <is>
          <t>Nhân viên chăm sóc khách hàng lớn(Mới)</t>
        </is>
      </c>
      <c r="D940" s="10" t="inlineStr">
        <is>
          <t>Tổng Công Ty Chuyển Phát Nhanh Bưu Điện</t>
        </is>
      </c>
      <c r="E940" s="10" t="inlineStr">
        <is>
          <t>Lương:Cạnh tranh</t>
        </is>
      </c>
      <c r="F940" s="10" t="inlineStr">
        <is>
          <t>Hà Nội</t>
        </is>
      </c>
      <c r="G940" s="10" t="inlineStr">
        <is>
          <t>30-04-2026</t>
        </is>
      </c>
      <c r="H940" s="10" t="inlineStr">
        <is>
          <t>30/04/2026</t>
        </is>
      </c>
      <c r="I940" s="10" t="inlineStr">
        <is>
          <t>17/03/2026</t>
        </is>
      </c>
      <c r="J940" s="10" t="inlineStr">
        <is>
          <t>Thương mại điện tử, Tư vấn, Dịch vụ khách hàng</t>
        </is>
      </c>
      <c r="K940" s="10" t="inlineStr">
        <is>
          <t>N/A</t>
        </is>
      </c>
      <c r="L940" s="11">
        <f>HYPERLINK("https://careerviet.vn/vi/tim-viec-lam/nhan-vien-cham-soc-khach-hang-lon.35C6CB5A.html","Xem chi tiết")</f>
        <v/>
      </c>
      <c r="M940" s="10" t="n"/>
    </row>
    <row r="941">
      <c r="B941" s="7" t="n">
        <v>939</v>
      </c>
      <c r="C941" t="inlineStr">
        <is>
          <t>Nhân viên Hành Chính Nhân Sự(Mới)</t>
        </is>
      </c>
      <c r="D941" t="inlineStr">
        <is>
          <t>CÔNG TY CỔ PHẦN XÂY DỰNG &amp; THƯƠNG MẠI SÀI GÒN 9</t>
        </is>
      </c>
      <c r="E941" t="inlineStr">
        <is>
          <t>Lương:10 Tr - 15 Tr VND</t>
        </is>
      </c>
      <c r="F941" t="inlineStr">
        <is>
          <t>Hồ Chí Minh</t>
        </is>
      </c>
      <c r="G941" t="inlineStr">
        <is>
          <t>16-04-2026</t>
        </is>
      </c>
      <c r="H941" t="inlineStr">
        <is>
          <t>16/04/2026</t>
        </is>
      </c>
      <c r="I941" t="inlineStr">
        <is>
          <t>17/03/2026</t>
        </is>
      </c>
      <c r="J941" t="inlineStr">
        <is>
          <t>Hành chính / Thư ký, Nhân sự</t>
        </is>
      </c>
      <c r="K941" t="inlineStr">
        <is>
          <t>3 - 5 Năm</t>
        </is>
      </c>
      <c r="L941" s="8">
        <f>HYPERLINK("https://careerviet.vn/vi/tim-viec-lam/nhan-vien-hanh-chinh-nhan-su.35C6CB58.html","Xem chi tiết")</f>
        <v/>
      </c>
    </row>
    <row r="942">
      <c r="B942" s="9" t="n">
        <v>940</v>
      </c>
      <c r="C942" s="10" t="inlineStr">
        <is>
          <t>[HCM, BÌNH DƯƠNG] NHÂN VIÊN/ CHUYÊN VIÊN HÀNH CHÍNH NHÂN SỰ TỔNG HỢP (HR ADMIN/ HR GENERALIST)(Mới)</t>
        </is>
      </c>
      <c r="D942" s="10" t="inlineStr">
        <is>
          <t>CÔNG TY CỔ PHẦN NGUYÊN LIỆU MQ</t>
        </is>
      </c>
      <c r="E942" s="10" t="inlineStr">
        <is>
          <t>Lương:Cạnh tranh</t>
        </is>
      </c>
      <c r="F942" s="10" t="inlineStr">
        <is>
          <t>Hồ Chí MinhBình Dương</t>
        </is>
      </c>
      <c r="G942" s="10" t="inlineStr">
        <is>
          <t>15-04-2026</t>
        </is>
      </c>
      <c r="H942" s="10" t="inlineStr">
        <is>
          <t>15/04/2026</t>
        </is>
      </c>
      <c r="I942" s="10" t="inlineStr">
        <is>
          <t>17/03/2026</t>
        </is>
      </c>
      <c r="J942" s="10" t="inlineStr">
        <is>
          <t>Hành chính / Thư ký, Nhân sự, Quản lý điều hành</t>
        </is>
      </c>
      <c r="K942" s="10" t="inlineStr">
        <is>
          <t>1 - 2 Năm</t>
        </is>
      </c>
      <c r="L942" s="11">
        <f>HYPERLINK("https://careerviet.vn/vi/tim-viec-lam/hcm-binh-duong-nhan-vien-chuyen-vien-hanh-chinh-nhan-su-tong-hop-hr-admin-hr-generalist.35C6CB63.html","Xem chi tiết")</f>
        <v/>
      </c>
      <c r="M942" s="10" t="n"/>
    </row>
    <row r="943">
      <c r="B943" s="7" t="n">
        <v>941</v>
      </c>
      <c r="C943" t="inlineStr">
        <is>
          <t>Chỉ Huy Trưởng Công Trình(Mới)</t>
        </is>
      </c>
      <c r="D943" t="inlineStr">
        <is>
          <t>CÔNG TY TNHH PCCC TÂN LONG HẢI</t>
        </is>
      </c>
      <c r="E943" t="inlineStr">
        <is>
          <t>Lương:18 Tr - 25 Tr VND</t>
        </is>
      </c>
      <c r="F943" t="inlineStr">
        <is>
          <t>Hồ Chí Minh</t>
        </is>
      </c>
      <c r="G943" t="inlineStr">
        <is>
          <t>30-04-2026</t>
        </is>
      </c>
      <c r="H943" t="inlineStr">
        <is>
          <t>30/04/2026</t>
        </is>
      </c>
      <c r="I943" t="inlineStr">
        <is>
          <t>17/03/2026</t>
        </is>
      </c>
      <c r="J943" t="inlineStr">
        <is>
          <t>Xây dựng, Kiến trúc, Quản lý điều hành</t>
        </is>
      </c>
      <c r="K943" t="inlineStr">
        <is>
          <t>Trên 3 Năm</t>
        </is>
      </c>
      <c r="L943" s="8">
        <f>HYPERLINK("https://careerviet.vn/vi/tim-viec-lam/chi-huy-truong-cong-trinh.35C6C719.html","Xem chi tiết")</f>
        <v/>
      </c>
    </row>
    <row r="944">
      <c r="B944" s="9" t="n">
        <v>942</v>
      </c>
      <c r="C944" s="10" t="inlineStr">
        <is>
          <t>Trưởng phòng Đào tạo(Mới)</t>
        </is>
      </c>
      <c r="D944" s="10" t="inlineStr">
        <is>
          <t>CÔNG TY CỔ PHẦN THE STREET</t>
        </is>
      </c>
      <c r="E944" s="10" t="inlineStr">
        <is>
          <t>Lương:25 Tr - 30 Tr VND</t>
        </is>
      </c>
      <c r="F944" s="10" t="inlineStr">
        <is>
          <t>Hồ Chí Minh</t>
        </is>
      </c>
      <c r="G944" s="10" t="inlineStr">
        <is>
          <t>31-05-2026</t>
        </is>
      </c>
      <c r="H944" s="10" t="inlineStr">
        <is>
          <t>31/05/2026</t>
        </is>
      </c>
      <c r="I944" s="10" t="inlineStr">
        <is>
          <t>17/03/2026</t>
        </is>
      </c>
      <c r="J944" s="10" t="inlineStr">
        <is>
          <t>Giáo dục / Đào tạo, Nhân sự, Nhà hàng / Khách sạn</t>
        </is>
      </c>
      <c r="K944" s="10" t="inlineStr">
        <is>
          <t>5 - 10 Năm</t>
        </is>
      </c>
      <c r="L944" s="11">
        <f>HYPERLINK("https://careerviet.vn/vi/tim-viec-lam/truong-phong-dao-tao.35C6CB51.html","Xem chi tiết")</f>
        <v/>
      </c>
      <c r="M944" s="10" t="n"/>
    </row>
    <row r="945">
      <c r="B945" s="7" t="n">
        <v>943</v>
      </c>
      <c r="C945" t="inlineStr">
        <is>
          <t>Cán bộ Kỹ thuật(Mới)</t>
        </is>
      </c>
      <c r="D945" t="inlineStr">
        <is>
          <t>CÔNG TY TNHH THIẾT BỊ CÔNG NGHỆ MAKAWA</t>
        </is>
      </c>
      <c r="E945" t="inlineStr">
        <is>
          <t>Lương:12 Tr - 22 Tr VND</t>
        </is>
      </c>
      <c r="F945" t="inlineStr">
        <is>
          <t>Hà Nội</t>
        </is>
      </c>
      <c r="G945" t="inlineStr">
        <is>
          <t>16-04-2026</t>
        </is>
      </c>
      <c r="H945" t="inlineStr">
        <is>
          <t>16/04/2026</t>
        </is>
      </c>
      <c r="I945" t="inlineStr">
        <is>
          <t>17/03/2026</t>
        </is>
      </c>
      <c r="J945" t="inlineStr">
        <is>
          <t>Điện / Điện tử / Điện lạnh / Điện công nghiệp, Cơ khí / Ô tô / Tự động hóa</t>
        </is>
      </c>
      <c r="K945" t="inlineStr">
        <is>
          <t>Trên 3 Năm</t>
        </is>
      </c>
      <c r="L945" s="8">
        <f>HYPERLINK("https://careerviet.vn/vi/tim-viec-lam/can-bo-ky-thuat.35C6CB4E.html","Xem chi tiết")</f>
        <v/>
      </c>
    </row>
    <row r="946">
      <c r="B946" s="9" t="n">
        <v>944</v>
      </c>
      <c r="C946" s="10" t="inlineStr">
        <is>
          <t>CREATIVE BRAND MANAGER (F&amp;B)(Mới)</t>
        </is>
      </c>
      <c r="D946" s="10" t="inlineStr">
        <is>
          <t>CÔNG TY CỔ PHẦN THƯƠNG MẠI VÀ DỊCH VỤ HAKICO</t>
        </is>
      </c>
      <c r="E946" s="10" t="inlineStr">
        <is>
          <t>Lương:Cạnh tranh</t>
        </is>
      </c>
      <c r="F946" s="10" t="inlineStr">
        <is>
          <t>Hồ Chí Minh</t>
        </is>
      </c>
      <c r="G946" s="10" t="inlineStr">
        <is>
          <t>16-04-2026</t>
        </is>
      </c>
      <c r="H946" s="10" t="inlineStr">
        <is>
          <t>16/04/2026</t>
        </is>
      </c>
      <c r="I946" s="10" t="inlineStr">
        <is>
          <t>17/03/2026</t>
        </is>
      </c>
      <c r="J946" s="10" t="inlineStr">
        <is>
          <t>Quảng cáo / Đối ngoại / Truyền Thông, Mỹ thuật / Nghệ thuật / Thiết kế, Tiếp thị / Marketing</t>
        </is>
      </c>
      <c r="K946" s="10" t="inlineStr">
        <is>
          <t>7 - 10 Năm</t>
        </is>
      </c>
      <c r="L946" s="11">
        <f>HYPERLINK("https://careerviet.vn/vi/tim-viec-lam/creative-brand-manager-f-b.35C6CB2F.html","Xem chi tiết")</f>
        <v/>
      </c>
      <c r="M946" s="10" t="n"/>
    </row>
    <row r="947">
      <c r="B947" s="7" t="n">
        <v>945</v>
      </c>
      <c r="C947" t="inlineStr">
        <is>
          <t>Kế Toán Nội Bộ (Mảng Thuế)(Mới)</t>
        </is>
      </c>
      <c r="D947" t="inlineStr">
        <is>
          <t>Công Ty TNHH TM &amp; XNK Nhất Lâm</t>
        </is>
      </c>
      <c r="E947" t="inlineStr">
        <is>
          <t>Lương:15 Tr - 17 Tr VND</t>
        </is>
      </c>
      <c r="F947" t="inlineStr">
        <is>
          <t>Hà Nội</t>
        </is>
      </c>
      <c r="G947" t="inlineStr">
        <is>
          <t>31-03-2026</t>
        </is>
      </c>
      <c r="H947" t="inlineStr">
        <is>
          <t>31/03/2026</t>
        </is>
      </c>
      <c r="I947" t="inlineStr">
        <is>
          <t>17/03/2026</t>
        </is>
      </c>
      <c r="J947" t="inlineStr">
        <is>
          <t>Kế toán / Kiểm toán</t>
        </is>
      </c>
      <c r="K947" t="inlineStr">
        <is>
          <t>1 - 3 Năm</t>
        </is>
      </c>
      <c r="L947" s="8">
        <f>HYPERLINK("https://careerviet.vn/vi/tim-viec-lam/ke-toan-noi-bo-mang-thue.35C6CB52.html","Xem chi tiết")</f>
        <v/>
      </c>
    </row>
    <row r="948">
      <c r="B948" s="9" t="n">
        <v>946</v>
      </c>
      <c r="C948" s="10" t="inlineStr">
        <is>
          <t>Nhân viên Kinh doanh(Mới)</t>
        </is>
      </c>
      <c r="D948" s="10" t="inlineStr">
        <is>
          <t>Công Ty Cổ Phần Eurowindow</t>
        </is>
      </c>
      <c r="E948" s="10" t="inlineStr">
        <is>
          <t>Lương:8 Tr - 25 Tr VND</t>
        </is>
      </c>
      <c r="F948" s="10" t="inlineStr">
        <is>
          <t>Hồ Chí MinhĐồng NaiBình Dương</t>
        </is>
      </c>
      <c r="G948" s="10" t="inlineStr">
        <is>
          <t>29-04-2026</t>
        </is>
      </c>
      <c r="H948" s="10" t="inlineStr">
        <is>
          <t>29/04/2026</t>
        </is>
      </c>
      <c r="I948" s="10" t="inlineStr">
        <is>
          <t>17/03/2026</t>
        </is>
      </c>
      <c r="J948" s="10" t="inlineStr">
        <is>
          <t>Kiến trúc, Xây dựng, Bán hàng / Kinh doanh</t>
        </is>
      </c>
      <c r="K948" s="10" t="inlineStr">
        <is>
          <t>Lên đến 1 Năm</t>
        </is>
      </c>
      <c r="L948" s="11">
        <f>HYPERLINK("https://careerviet.vn/vi/tim-viec-lam/nhan-vien-kinh-doanh.35C6CB44.html","Xem chi tiết")</f>
        <v/>
      </c>
      <c r="M948" s="10" t="n"/>
    </row>
    <row r="949">
      <c r="B949" s="7" t="n">
        <v>947</v>
      </c>
      <c r="C949" t="inlineStr">
        <is>
          <t>Trưởng nhóm Phát Triển Nhượng Quyền</t>
        </is>
      </c>
      <c r="D949" t="inlineStr">
        <is>
          <t>Công ty TNHH Joyco Retail Operations</t>
        </is>
      </c>
      <c r="E949" t="inlineStr">
        <is>
          <t>Lương:Trên 18 Tr VND</t>
        </is>
      </c>
      <c r="F949" t="inlineStr">
        <is>
          <t>Hồ Chí Minh</t>
        </is>
      </c>
      <c r="G949" t="inlineStr">
        <is>
          <t>09-04-2026</t>
        </is>
      </c>
      <c r="H949" t="inlineStr">
        <is>
          <t>09/04/2026</t>
        </is>
      </c>
      <c r="I949" t="inlineStr">
        <is>
          <t>17/03/2026</t>
        </is>
      </c>
      <c r="J949" t="inlineStr">
        <is>
          <t>Bán hàng / Kinh doanh, Thực phẩm &amp; Đồ uống</t>
        </is>
      </c>
      <c r="K949" t="inlineStr">
        <is>
          <t>Trên 3 Năm</t>
        </is>
      </c>
      <c r="L949" s="8">
        <f>HYPERLINK("https://careerviet.vn/vi/tim-viec-lam/truong-nhom-phat-trien-nhuong-quyen.35C6BDB6.html","Xem chi tiết")</f>
        <v/>
      </c>
    </row>
    <row r="950">
      <c r="B950" s="9" t="n">
        <v>948</v>
      </c>
      <c r="C950" s="10" t="inlineStr">
        <is>
          <t>Giám sát kinh doanh kênh GT Miền Đông (Đồng Nai/ HCM)(Mới)</t>
        </is>
      </c>
      <c r="D950" s="10" t="inlineStr">
        <is>
          <t>Masan Consumer</t>
        </is>
      </c>
      <c r="E950" s="10" t="inlineStr">
        <is>
          <t>Lương:Cạnh tranh</t>
        </is>
      </c>
      <c r="F950" s="10" t="inlineStr">
        <is>
          <t>Đồng NaiHồ Chí Minh</t>
        </is>
      </c>
      <c r="G950" s="10" t="inlineStr">
        <is>
          <t>30-04-2026</t>
        </is>
      </c>
      <c r="H950" s="10" t="inlineStr">
        <is>
          <t>30/04/2026</t>
        </is>
      </c>
      <c r="I950" s="10" t="inlineStr">
        <is>
          <t>17/03/2026</t>
        </is>
      </c>
      <c r="J950" s="10" t="inlineStr">
        <is>
          <t>Tiếp thị / Marketing, Bán lẻ / Bán sỉ, Thực phẩm &amp; Đồ uống</t>
        </is>
      </c>
      <c r="K950" s="10" t="inlineStr">
        <is>
          <t>1 - 2 Năm</t>
        </is>
      </c>
      <c r="L950" s="11">
        <f>HYPERLINK("https://careerviet.vn/vi/tim-viec-lam/giam-sat-kinh-doanh-kenh-gt-mien-dong-dong-nai-hcm.35C6CB42.html","Xem chi tiết")</f>
        <v/>
      </c>
      <c r="M950" s="10" t="n"/>
    </row>
    <row r="951">
      <c r="B951" s="7" t="n">
        <v>949</v>
      </c>
      <c r="C951" t="inlineStr">
        <is>
          <t>NHÂN VIÊN THIẾT KẾ NỮ TRANG 3D</t>
        </is>
      </c>
      <c r="D951" t="inlineStr">
        <is>
          <t>CÔNG TY CỔ PHẦN VÀNG BẠC ĐÁ QUÝ LỘC PHÚC</t>
        </is>
      </c>
      <c r="E951" t="inlineStr">
        <is>
          <t>Lương:Cạnh tranh</t>
        </is>
      </c>
      <c r="F951" t="inlineStr">
        <is>
          <t>Hồ Chí Minh</t>
        </is>
      </c>
      <c r="G951" t="inlineStr">
        <is>
          <t>10-04-2026</t>
        </is>
      </c>
      <c r="H951" t="inlineStr">
        <is>
          <t>10/04/2026</t>
        </is>
      </c>
      <c r="I951" t="inlineStr">
        <is>
          <t>17/03/2026</t>
        </is>
      </c>
      <c r="J951" t="inlineStr">
        <is>
          <t>Mỹ thuật / Nghệ thuật / Thiết kế, Kiến trúc, Mới tốt nghiệp / Thực tập</t>
        </is>
      </c>
      <c r="K951" t="inlineStr">
        <is>
          <t>1 - 2 Năm</t>
        </is>
      </c>
      <c r="L951" s="8">
        <f>HYPERLINK("https://careerviet.vn/vi/tim-viec-lam/nhan-vien-thiet-ke-nu-trang-3d.35C6BDD7.html","Xem chi tiết")</f>
        <v/>
      </c>
    </row>
    <row r="952">
      <c r="B952" s="9" t="n">
        <v>950</v>
      </c>
      <c r="C952" s="10" t="inlineStr">
        <is>
          <t>QUẢN LÝ DỰ ÁN ( PROJECT MANAGER )(Mới)</t>
        </is>
      </c>
      <c r="D952" s="10" t="inlineStr">
        <is>
          <t>CÔNG TY TNHH HUMAN POWER</t>
        </is>
      </c>
      <c r="E952" s="10" t="inlineStr">
        <is>
          <t>Lương:15 Tr - 30 Tr VND</t>
        </is>
      </c>
      <c r="F952" s="10" t="inlineStr">
        <is>
          <t>Bình DươngĐồng NaiBà Rịa - Vũng Tàu</t>
        </is>
      </c>
      <c r="G952" s="10" t="inlineStr">
        <is>
          <t>30-04-2026</t>
        </is>
      </c>
      <c r="H952" s="10" t="inlineStr">
        <is>
          <t>30/04/2026</t>
        </is>
      </c>
      <c r="I952" s="10" t="inlineStr">
        <is>
          <t>17/03/2026</t>
        </is>
      </c>
      <c r="J952" s="10" t="inlineStr">
        <is>
          <t>Tiếp thị trực tuyến, Quản lý điều hành, Hành chính / Thư ký</t>
        </is>
      </c>
      <c r="K952" s="10" t="inlineStr">
        <is>
          <t>Trên 1 Năm</t>
        </is>
      </c>
      <c r="L952" s="11">
        <f>HYPERLINK("https://careerviet.vn/vi/tim-viec-lam/quan-ly-du-an-project-manager.35C6C7D3.html","Xem chi tiết")</f>
        <v/>
      </c>
      <c r="M952" s="10" t="n"/>
    </row>
    <row r="953">
      <c r="B953" s="7" t="n">
        <v>951</v>
      </c>
      <c r="C953" t="inlineStr">
        <is>
          <t>Chuyên Viên Quản Lý Sản Phẩm</t>
        </is>
      </c>
      <c r="D953" t="inlineStr">
        <is>
          <t>CÔNG TY TNHH PHYTEX FARMA</t>
        </is>
      </c>
      <c r="E953" t="inlineStr">
        <is>
          <t>Lương:10 Tr - 12 Tr VND</t>
        </is>
      </c>
      <c r="F953" t="inlineStr">
        <is>
          <t>Bình Dương</t>
        </is>
      </c>
      <c r="G953" t="inlineStr">
        <is>
          <t>08-04-2026</t>
        </is>
      </c>
      <c r="H953" t="inlineStr">
        <is>
          <t>08/04/2026</t>
        </is>
      </c>
      <c r="I953" t="inlineStr">
        <is>
          <t>17/03/2026</t>
        </is>
      </c>
      <c r="J953" t="inlineStr">
        <is>
          <t>Dược phẩm/ Hóa Mỹ Phẩm, Hành chính / Thư ký, Quản lý điều hành</t>
        </is>
      </c>
      <c r="K953" t="inlineStr">
        <is>
          <t>N/A</t>
        </is>
      </c>
      <c r="L953" s="8">
        <f>HYPERLINK("https://careerviet.vn/vi/tim-viec-lam/chuyen-vien-quan-ly-san-pham.35C6B953.html","Xem chi tiết")</f>
        <v/>
      </c>
    </row>
    <row r="954">
      <c r="B954" s="9" t="n">
        <v>952</v>
      </c>
      <c r="C954" s="10" t="inlineStr">
        <is>
          <t>Nhân viên phòng thầu</t>
        </is>
      </c>
      <c r="D954" s="10" t="inlineStr">
        <is>
          <t>CÔNG TY CỔ PHẦN CONSMATE TTP</t>
        </is>
      </c>
      <c r="E954" s="10" t="inlineStr">
        <is>
          <t>Lương:12 Tr - 20 Tr VND</t>
        </is>
      </c>
      <c r="F954" s="10" t="inlineStr">
        <is>
          <t>Hà Nội</t>
        </is>
      </c>
      <c r="G954" s="10" t="inlineStr">
        <is>
          <t>15-04-2026</t>
        </is>
      </c>
      <c r="H954" s="10" t="inlineStr">
        <is>
          <t>15/04/2026</t>
        </is>
      </c>
      <c r="I954" s="10" t="inlineStr">
        <is>
          <t>17/03/2026</t>
        </is>
      </c>
      <c r="J954" s="10" t="inlineStr">
        <is>
          <t>Bán Hàng Kỹ Thuật, Xây dựng, Điện / Điện tử / Điện lạnh / Điện công nghiệp</t>
        </is>
      </c>
      <c r="K954" s="10" t="inlineStr">
        <is>
          <t>2 - 3 Năm</t>
        </is>
      </c>
      <c r="L954" s="11">
        <f>HYPERLINK("https://careerviet.vn/vi/tim-viec-lam/nhan-vien-phong-thau.35C6B976.html","Xem chi tiết")</f>
        <v/>
      </c>
      <c r="M954" s="10" t="n"/>
    </row>
    <row r="955">
      <c r="B955" s="7" t="n">
        <v>953</v>
      </c>
      <c r="C955" t="inlineStr">
        <is>
          <t>Chuyên Viên Cao Cấp Quản Trị Rủi Ro (AML) - HN</t>
        </is>
      </c>
      <c r="D955" t="inlineStr">
        <is>
          <t>CÔNG TY TÀI CHÍNH TÍN DỤNG TIÊU DÙNG TNHH MTV AEON</t>
        </is>
      </c>
      <c r="E955" t="inlineStr">
        <is>
          <t>Lương:Cạnh tranh</t>
        </is>
      </c>
      <c r="F955" t="inlineStr">
        <is>
          <t>Hà Nội</t>
        </is>
      </c>
      <c r="G955" t="inlineStr">
        <is>
          <t>09-04-2026</t>
        </is>
      </c>
      <c r="H955" t="inlineStr">
        <is>
          <t>09/04/2026</t>
        </is>
      </c>
      <c r="I955" t="inlineStr">
        <is>
          <t>17/03/2026</t>
        </is>
      </c>
      <c r="J955" t="inlineStr">
        <is>
          <t>Tài chính / Đầu tư</t>
        </is>
      </c>
      <c r="K955" t="inlineStr">
        <is>
          <t>2 - 6 Năm</t>
        </is>
      </c>
      <c r="L955" s="8">
        <f>HYPERLINK("https://careerviet.vn/vi/tim-viec-lam/chuyen-vien-cao-cap-quan-tri-rui-ro-aml-hn.35C6BE0B.html","Xem chi tiết")</f>
        <v/>
      </c>
    </row>
    <row r="956">
      <c r="B956" s="9" t="n">
        <v>954</v>
      </c>
      <c r="C956" s="10" t="inlineStr">
        <is>
          <t>NHÂN VIÊN BÁN HÀNG (KÊNH GT)</t>
        </is>
      </c>
      <c r="D956" s="10" t="inlineStr">
        <is>
          <t>Công Ty Cổ phần Tập Đoàn KIDO</t>
        </is>
      </c>
      <c r="E956" s="10" t="inlineStr">
        <is>
          <t>Lương:11 Tr - 20 Tr VND</t>
        </is>
      </c>
      <c r="F956" s="10" t="inlineStr">
        <is>
          <t>Ninh BìnhHà NamNam Định</t>
        </is>
      </c>
      <c r="G956" s="10" t="inlineStr">
        <is>
          <t>29-03-2026</t>
        </is>
      </c>
      <c r="H956" s="10" t="inlineStr">
        <is>
          <t>29/03/2026</t>
        </is>
      </c>
      <c r="I956" s="10" t="inlineStr">
        <is>
          <t>17/03/2026</t>
        </is>
      </c>
      <c r="J956" s="10" t="inlineStr">
        <is>
          <t>Bán hàng / Kinh doanh</t>
        </is>
      </c>
      <c r="K956" s="10" t="inlineStr">
        <is>
          <t>Chưa có kinh nghiệm</t>
        </is>
      </c>
      <c r="L956" s="11">
        <f>HYPERLINK("https://careerviet.vn/vi/tim-viec-lam/nhan-vien-ban-hang-kenh-gt.35C6BB0D.html","Xem chi tiết")</f>
        <v/>
      </c>
      <c r="M956" s="10" t="n"/>
    </row>
    <row r="957">
      <c r="B957" s="7" t="n">
        <v>955</v>
      </c>
      <c r="C957" t="inlineStr">
        <is>
          <t>Giao dịch viên - Quảng Ninh, Thanh Hoá, Nghệ An</t>
        </is>
      </c>
      <c r="D957" t="inlineStr">
        <is>
          <t>Ngân Hàng Thương Mại Cổ Phần Bảo Việt</t>
        </is>
      </c>
      <c r="E957" t="inlineStr">
        <is>
          <t>Lương:7 Tr - 10 Tr VND</t>
        </is>
      </c>
      <c r="F957" t="inlineStr">
        <is>
          <t>Quảng NinhThanh Hóa</t>
        </is>
      </c>
      <c r="G957" t="inlineStr">
        <is>
          <t>30-05-2026</t>
        </is>
      </c>
      <c r="H957" t="inlineStr">
        <is>
          <t>30/05/2026</t>
        </is>
      </c>
      <c r="I957" t="inlineStr">
        <is>
          <t>17/03/2026</t>
        </is>
      </c>
      <c r="J957" t="inlineStr">
        <is>
          <t>Kế toán / Kiểm toán, Ngân hàng, Tài chính / Đầu tư</t>
        </is>
      </c>
      <c r="K957" t="inlineStr">
        <is>
          <t>Chưa có kinh nghiệm</t>
        </is>
      </c>
      <c r="L957" s="8">
        <f>HYPERLINK("https://careerviet.vn/vi/tim-viec-lam/giao-dich-vien-quang-ninh-thanh-hoa-nghe-an.35C6BC79.html","Xem chi tiết")</f>
        <v/>
      </c>
    </row>
    <row r="958">
      <c r="B958" s="9" t="n">
        <v>956</v>
      </c>
      <c r="C958" s="10" t="inlineStr">
        <is>
          <t>Chuyên viên Vận hành</t>
        </is>
      </c>
      <c r="D958" s="10" t="inlineStr">
        <is>
          <t>CÔNG TY TNHH FOXSCORE</t>
        </is>
      </c>
      <c r="E958" s="10" t="inlineStr">
        <is>
          <t>Lương:9 Tr - 13 Tr VND</t>
        </is>
      </c>
      <c r="F958" s="10" t="inlineStr">
        <is>
          <t>Hồ Chí Minh</t>
        </is>
      </c>
      <c r="G958" s="10" t="inlineStr">
        <is>
          <t>10-04-2026</t>
        </is>
      </c>
      <c r="H958" s="10" t="inlineStr">
        <is>
          <t>10/04/2026</t>
        </is>
      </c>
      <c r="I958" s="10" t="inlineStr">
        <is>
          <t>17/03/2026</t>
        </is>
      </c>
      <c r="J958" s="10" t="inlineStr">
        <is>
          <t>Truyền hình / Báo chí / Biên tập, Quảng cáo / Đối ngoại / Truyền Thông</t>
        </is>
      </c>
      <c r="K958" s="10" t="inlineStr">
        <is>
          <t>Lên đến 1 Năm</t>
        </is>
      </c>
      <c r="L958" s="11">
        <f>HYPERLINK("https://careerviet.vn/vi/tim-viec-lam/chuyen-vien-van-hanh.35C6BB19.html","Xem chi tiết")</f>
        <v/>
      </c>
      <c r="M958" s="10" t="n"/>
    </row>
    <row r="959">
      <c r="B959" s="7" t="n">
        <v>957</v>
      </c>
      <c r="C959" t="inlineStr">
        <is>
          <t>Cloud VMware Engineer</t>
        </is>
      </c>
      <c r="D959" t="inlineStr">
        <is>
          <t>Công ty TNHH Viettel - CHT</t>
        </is>
      </c>
      <c r="E959" t="inlineStr">
        <is>
          <t>Lương:Cạnh tranh</t>
        </is>
      </c>
      <c r="F959" t="inlineStr">
        <is>
          <t>Hà NộiHồ Chí Minh</t>
        </is>
      </c>
      <c r="G959" t="inlineStr">
        <is>
          <t>24-04-2026</t>
        </is>
      </c>
      <c r="H959" t="inlineStr">
        <is>
          <t>24/04/2026</t>
        </is>
      </c>
      <c r="I959" t="inlineStr">
        <is>
          <t>17/03/2026</t>
        </is>
      </c>
      <c r="J959" t="inlineStr">
        <is>
          <t>CNTT - Phần mềm, CNTT - Phần cứng / Mạng</t>
        </is>
      </c>
      <c r="K959" t="inlineStr">
        <is>
          <t>Trên 1 Năm</t>
        </is>
      </c>
      <c r="L959" s="8">
        <f>HYPERLINK("https://careerviet.vn/vi/tim-viec-lam/cloud-vmware-engineer.35C6BE0A.html","Xem chi tiết")</f>
        <v/>
      </c>
    </row>
    <row r="960">
      <c r="B960" s="9" t="n">
        <v>958</v>
      </c>
      <c r="C960" s="10" t="inlineStr">
        <is>
          <t>Trưởng nhóm sale giáo dục</t>
        </is>
      </c>
      <c r="D960" s="10" t="inlineStr">
        <is>
          <t>CÔNG TY CỔ PHẦN GECO AI</t>
        </is>
      </c>
      <c r="E960" s="10" t="inlineStr">
        <is>
          <t>Lương:13 Tr - 15 Tr VND</t>
        </is>
      </c>
      <c r="F960" s="10" t="inlineStr">
        <is>
          <t>Hà Nội</t>
        </is>
      </c>
      <c r="G960" s="10" t="inlineStr">
        <is>
          <t>10-04-2026</t>
        </is>
      </c>
      <c r="H960" s="10" t="inlineStr">
        <is>
          <t>10/04/2026</t>
        </is>
      </c>
      <c r="I960" s="10" t="inlineStr">
        <is>
          <t>17/03/2026</t>
        </is>
      </c>
      <c r="J960" s="10" t="inlineStr">
        <is>
          <t>Giáo dục / Đào tạo, Bán hàng / Kinh doanh, Tư vấn</t>
        </is>
      </c>
      <c r="K960" s="10" t="inlineStr">
        <is>
          <t>1 - 2 Năm</t>
        </is>
      </c>
      <c r="L960" s="11">
        <f>HYPERLINK("https://careerviet.vn/vi/tim-viec-lam/truong-nhom-sale-giao-duc.35C6BDFE.html","Xem chi tiết")</f>
        <v/>
      </c>
      <c r="M960" s="10" t="n"/>
    </row>
    <row r="961">
      <c r="B961" s="7" t="n">
        <v>959</v>
      </c>
      <c r="C961" t="inlineStr">
        <is>
          <t>Kế toán Công &amp; Lương(Mới)</t>
        </is>
      </c>
      <c r="D961" t="inlineStr">
        <is>
          <t>Công ty TNHH SKT Vina</t>
        </is>
      </c>
      <c r="E961" t="inlineStr">
        <is>
          <t>Lương:12 Tr - 20 Tr VND</t>
        </is>
      </c>
      <c r="F961" t="inlineStr">
        <is>
          <t>Bắc GiangBắc Ninh</t>
        </is>
      </c>
      <c r="G961" t="inlineStr">
        <is>
          <t>16-04-2026</t>
        </is>
      </c>
      <c r="H961" t="inlineStr">
        <is>
          <t>16/04/2026</t>
        </is>
      </c>
      <c r="I961" t="inlineStr">
        <is>
          <t>17/03/2026</t>
        </is>
      </c>
      <c r="J961" t="inlineStr">
        <is>
          <t>Kế toán / Kiểm toán</t>
        </is>
      </c>
      <c r="K961" t="inlineStr">
        <is>
          <t>1 - 2 Năm</t>
        </is>
      </c>
      <c r="L961" s="8">
        <f>HYPERLINK("https://careerviet.vn/vi/tim-viec-lam/ke-toan-cong-luong.35C6CB3C.html","Xem chi tiết")</f>
        <v/>
      </c>
    </row>
    <row r="962">
      <c r="B962" s="9" t="n">
        <v>960</v>
      </c>
      <c r="C962" s="10" t="inlineStr">
        <is>
          <t>Quản Lý Dự Án - Site Supervisor</t>
        </is>
      </c>
      <c r="D962" s="10" t="inlineStr">
        <is>
          <t>Công ty Cổ phần Thiết kế và Quản lý Kỹ thuật IMP</t>
        </is>
      </c>
      <c r="E962" s="10" t="inlineStr">
        <is>
          <t>Lương:15 Tr - 17 Tr VND</t>
        </is>
      </c>
      <c r="F962" s="10" t="inlineStr">
        <is>
          <t>Hải Phòng</t>
        </is>
      </c>
      <c r="G962" s="10" t="inlineStr">
        <is>
          <t>10-04-2026</t>
        </is>
      </c>
      <c r="H962" s="10" t="inlineStr">
        <is>
          <t>10/04/2026</t>
        </is>
      </c>
      <c r="I962" s="10" t="inlineStr">
        <is>
          <t>17/03/2026</t>
        </is>
      </c>
      <c r="J962" s="10" t="inlineStr">
        <is>
          <t>Điện / Điện tử / Điện lạnh / Điện công nghiệp, Bất động sản, Xây dựng</t>
        </is>
      </c>
      <c r="K962" s="10" t="inlineStr">
        <is>
          <t>2 - 5 Năm</t>
        </is>
      </c>
      <c r="L962" s="11">
        <f>HYPERLINK("https://careerviet.vn/vi/tim-viec-lam/quan-ly-du-an-site-supervisor.35C6BD96.html","Xem chi tiết")</f>
        <v/>
      </c>
      <c r="M962" s="10" t="n"/>
    </row>
    <row r="963">
      <c r="B963" s="7" t="n">
        <v>961</v>
      </c>
      <c r="C963" t="inlineStr">
        <is>
          <t>Project Manager</t>
        </is>
      </c>
      <c r="D963" t="inlineStr">
        <is>
          <t>Công ty TNHH Viettel - CHT</t>
        </is>
      </c>
      <c r="E963" t="inlineStr">
        <is>
          <t>Lương:Cạnh tranh</t>
        </is>
      </c>
      <c r="F963" t="inlineStr">
        <is>
          <t>Hồ Chí Minh</t>
        </is>
      </c>
      <c r="G963" t="inlineStr">
        <is>
          <t>25-04-2026</t>
        </is>
      </c>
      <c r="H963" t="inlineStr">
        <is>
          <t>25/04/2026</t>
        </is>
      </c>
      <c r="I963" t="inlineStr">
        <is>
          <t>17/03/2026</t>
        </is>
      </c>
      <c r="J963" t="inlineStr">
        <is>
          <t>Điện / Điện tử / Điện lạnh / Điện công nghiệp, CNTT - Phần cứng / Mạng</t>
        </is>
      </c>
      <c r="K963" t="inlineStr">
        <is>
          <t>Trên 3 Năm</t>
        </is>
      </c>
      <c r="L963" s="8">
        <f>HYPERLINK("https://careerviet.vn/vi/tim-viec-lam/project-manager.35C6BE05.html","Xem chi tiết")</f>
        <v/>
      </c>
    </row>
    <row r="964">
      <c r="B964" s="9" t="n">
        <v>962</v>
      </c>
      <c r="C964" s="10" t="inlineStr">
        <is>
          <t>Trưởng Phòng Kinh Doanh(Mới)</t>
        </is>
      </c>
      <c r="D964" s="10" t="inlineStr">
        <is>
          <t>CÔNG TY CỔ PHẦN TẬP ĐOÀN KKS</t>
        </is>
      </c>
      <c r="E964" s="10" t="inlineStr">
        <is>
          <t>Lương:20 Tr - 50 Tr VND</t>
        </is>
      </c>
      <c r="F964" s="10" t="inlineStr">
        <is>
          <t>Hồ Chí Minh</t>
        </is>
      </c>
      <c r="G964" s="10" t="inlineStr">
        <is>
          <t>30-03-2026</t>
        </is>
      </c>
      <c r="H964" s="10" t="inlineStr">
        <is>
          <t>30/03/2026</t>
        </is>
      </c>
      <c r="I964" s="10" t="inlineStr">
        <is>
          <t>17/03/2026</t>
        </is>
      </c>
      <c r="J964" s="10" t="inlineStr">
        <is>
          <t>Bán hàng / Kinh doanh, Xây dựng, Quản lý điều hànhBằng cấpTrung cấpĐộ tuổi28 - 45</t>
        </is>
      </c>
      <c r="K964" s="10" t="inlineStr">
        <is>
          <t>N/A</t>
        </is>
      </c>
      <c r="L964" s="11">
        <f>HYPERLINK("https://careerviet.vn/vi/tim-viec-lam/truong-phong-kinh-doanh.35C6CB49.html","Xem chi tiết")</f>
        <v/>
      </c>
      <c r="M964" s="10" t="n"/>
    </row>
    <row r="965">
      <c r="B965" s="7" t="n">
        <v>963</v>
      </c>
      <c r="C965" t="inlineStr">
        <is>
          <t>[Gia Định-HCM] Kế toán bán hàng - Sales Admin</t>
        </is>
      </c>
      <c r="D965" t="inlineStr">
        <is>
          <t>CÔNG TY TNHH DAESANG VIỆT NAM</t>
        </is>
      </c>
      <c r="E965" t="inlineStr">
        <is>
          <t>Lương:10 Tr - 15 Tr VND</t>
        </is>
      </c>
      <c r="F965" t="inlineStr">
        <is>
          <t>Hồ Chí Minh</t>
        </is>
      </c>
      <c r="G965" t="inlineStr">
        <is>
          <t>31-03-2026</t>
        </is>
      </c>
      <c r="H965" t="inlineStr">
        <is>
          <t>31/03/2026</t>
        </is>
      </c>
      <c r="I965" t="inlineStr">
        <is>
          <t>17/03/2026</t>
        </is>
      </c>
      <c r="J965" t="inlineStr">
        <is>
          <t>Bán hàng / Kinh doanh, Kế toán / Kiểm toán</t>
        </is>
      </c>
      <c r="K965" t="inlineStr">
        <is>
          <t>2 - 3 Năm</t>
        </is>
      </c>
      <c r="L965" s="8">
        <f>HYPERLINK("https://careerviet.vn/vi/tim-viec-lam/gia-dinh-hcm-ke-toan-ban-hang-sales-admin.35C6BDB8.html","Xem chi tiết")</f>
        <v/>
      </c>
    </row>
    <row r="966">
      <c r="B966" s="9" t="n">
        <v>964</v>
      </c>
      <c r="C966" s="10" t="inlineStr">
        <is>
          <t>Software Architect</t>
        </is>
      </c>
      <c r="D966" s="10" t="inlineStr">
        <is>
          <t>Công ty TNHH Viettel - CHT</t>
        </is>
      </c>
      <c r="E966" s="10" t="inlineStr">
        <is>
          <t>Lương:Cạnh tranh</t>
        </is>
      </c>
      <c r="F966" s="10" t="inlineStr">
        <is>
          <t>Hà Nội</t>
        </is>
      </c>
      <c r="G966" s="10" t="inlineStr">
        <is>
          <t>14-04-2026</t>
        </is>
      </c>
      <c r="H966" s="10" t="inlineStr">
        <is>
          <t>14/04/2026</t>
        </is>
      </c>
      <c r="I966" s="10" t="inlineStr">
        <is>
          <t>17/03/2026</t>
        </is>
      </c>
      <c r="J966" s="10" t="inlineStr">
        <is>
          <t>CNTT - Phần mềm, CNTT - Phần cứng / Mạng</t>
        </is>
      </c>
      <c r="K966" s="10" t="inlineStr">
        <is>
          <t>Trên 3 Năm</t>
        </is>
      </c>
      <c r="L966" s="11">
        <f>HYPERLINK("https://careerviet.vn/vi/tim-viec-lam/software-architect.35C6BE06.html","Xem chi tiết")</f>
        <v/>
      </c>
      <c r="M966" s="10" t="n"/>
    </row>
    <row r="967">
      <c r="B967" s="7" t="n">
        <v>965</v>
      </c>
      <c r="C967" t="inlineStr">
        <is>
          <t>Chuyên viên Kiểm soát nội bộ</t>
        </is>
      </c>
      <c r="D967" t="inlineStr">
        <is>
          <t>CÔNG TY CỔ PHẦN CASPER VIỆT NAM</t>
        </is>
      </c>
      <c r="E967" t="inlineStr">
        <is>
          <t>Lương:Cạnh tranh</t>
        </is>
      </c>
      <c r="F967" t="inlineStr">
        <is>
          <t>Hà Nội</t>
        </is>
      </c>
      <c r="G967" t="inlineStr">
        <is>
          <t>10-04-2026</t>
        </is>
      </c>
      <c r="H967" t="inlineStr">
        <is>
          <t>10/04/2026</t>
        </is>
      </c>
      <c r="I967" t="inlineStr">
        <is>
          <t>17/03/2026</t>
        </is>
      </c>
      <c r="J967" t="inlineStr">
        <is>
          <t>Kế toán / Kiểm toán, Luật / Pháp lý, Điện / Điện tử / Điện lạnh / Điện công nghiệp</t>
        </is>
      </c>
      <c r="K967" t="inlineStr">
        <is>
          <t>3 - 5 Năm</t>
        </is>
      </c>
      <c r="L967" s="8">
        <f>HYPERLINK("https://careerviet.vn/vi/tim-viec-lam/chuyen-vien-kiem-soat-noi-bo.35C6BDF0.html","Xem chi tiết")</f>
        <v/>
      </c>
    </row>
    <row r="968">
      <c r="B968" s="9" t="n">
        <v>966</v>
      </c>
      <c r="C968" s="10" t="inlineStr">
        <is>
          <t>Nhân viên kỹ thuật</t>
        </is>
      </c>
      <c r="D968" s="10" t="inlineStr">
        <is>
          <t>Công Ty TNHH Hon Chuan Việt Nam</t>
        </is>
      </c>
      <c r="E968" s="10" t="inlineStr">
        <is>
          <t>Lương:12 Tr - 18 Tr VND</t>
        </is>
      </c>
      <c r="F968" s="10" t="inlineStr">
        <is>
          <t>Hậu GiangBình DươngNghệ An</t>
        </is>
      </c>
      <c r="G968" s="10" t="inlineStr">
        <is>
          <t>30-04-2026</t>
        </is>
      </c>
      <c r="H968" s="10" t="inlineStr">
        <is>
          <t>30/04/2026</t>
        </is>
      </c>
      <c r="I968" s="10" t="inlineStr">
        <is>
          <t>17/03/2026</t>
        </is>
      </c>
      <c r="J968" s="10" t="inlineStr">
        <is>
          <t>Bán Hàng Kỹ Thuật, Thực phẩm &amp; Đồ uống, Sản xuất / Vận hành sản xuất</t>
        </is>
      </c>
      <c r="K968" s="10" t="inlineStr">
        <is>
          <t>N/A</t>
        </is>
      </c>
      <c r="L968" s="11">
        <f>HYPERLINK("https://careerviet.vn/vi/tim-viec-lam/nhan-vien-ky-thuat.35C6B85A.html","Xem chi tiết")</f>
        <v/>
      </c>
      <c r="M968" s="10" t="n"/>
    </row>
    <row r="969">
      <c r="B969" s="7" t="n">
        <v>967</v>
      </c>
      <c r="C969" t="inlineStr">
        <is>
          <t>Chuyên Viên Tư Vấn Giáo Dục - Ocean Edu Thiên Lộc - Thu Nhập Từ 15Triệu/Tháng - Phỏng Vấn Đi Làm Ngay</t>
        </is>
      </c>
      <c r="D969" t="inlineStr">
        <is>
          <t>Công Ty CP Giáo Dục Đại Dương</t>
        </is>
      </c>
      <c r="E969" t="inlineStr">
        <is>
          <t>Lương:15 Tr - 16 Tr VND</t>
        </is>
      </c>
      <c r="F969" t="inlineStr">
        <is>
          <t>Hà Nội</t>
        </is>
      </c>
      <c r="G969" t="inlineStr">
        <is>
          <t>30-03-2026</t>
        </is>
      </c>
      <c r="H969" t="inlineStr">
        <is>
          <t>30/03/2026</t>
        </is>
      </c>
      <c r="I969" t="inlineStr">
        <is>
          <t>17/03/2026</t>
        </is>
      </c>
      <c r="J969" t="inlineStr">
        <is>
          <t>Dịch vụ khách hàng, Giáo dục / Đào tạo, Bán hàng / Kinh doanh</t>
        </is>
      </c>
      <c r="K969" t="inlineStr">
        <is>
          <t>Chưa có kinh nghiệm</t>
        </is>
      </c>
      <c r="L969" s="8">
        <f>HYPERLINK("https://careerviet.vn/vi/tim-viec-lam/chuyen-vien-tu-van-giao-duc-ocean-edu-thien-loc-thu-nhap-tu-15trieu-thang-phong-van-di-lam-ngay.35C6BB44.html","Xem chi tiết")</f>
        <v/>
      </c>
    </row>
    <row r="970">
      <c r="B970" s="9" t="n">
        <v>968</v>
      </c>
      <c r="C970" s="10" t="inlineStr">
        <is>
          <t>Chuyên Viên Tư Vấn Giáo Dục - Ocean Edu Kiến Thụy - Thu Nhập Từ 15Triệu/Tháng - Phỏng Vấn Đi Làm Ngay</t>
        </is>
      </c>
      <c r="D970" s="10" t="inlineStr">
        <is>
          <t>Công Ty CP Giáo Dục Đại Dương</t>
        </is>
      </c>
      <c r="E970" s="10" t="inlineStr">
        <is>
          <t>Lương:15 Tr - 16 Tr VND</t>
        </is>
      </c>
      <c r="F970" s="10" t="inlineStr">
        <is>
          <t>Hải Phòng</t>
        </is>
      </c>
      <c r="G970" s="10" t="inlineStr">
        <is>
          <t>30-03-2026</t>
        </is>
      </c>
      <c r="H970" s="10" t="inlineStr">
        <is>
          <t>30/03/2026</t>
        </is>
      </c>
      <c r="I970" s="10" t="inlineStr">
        <is>
          <t>17/03/2026</t>
        </is>
      </c>
      <c r="J970" s="10" t="inlineStr">
        <is>
          <t>Dịch vụ khách hàng, Giáo dục / Đào tạo, Bán hàng / Kinh doanh</t>
        </is>
      </c>
      <c r="K970" s="10" t="inlineStr">
        <is>
          <t>Chưa có kinh nghiệm</t>
        </is>
      </c>
      <c r="L970" s="11">
        <f>HYPERLINK("https://careerviet.vn/vi/tim-viec-lam/chuyen-vien-tu-van-giao-duc-ocean-edu-kien-thuy-thu-nhap-tu-15trieu-thang-phong-van-di-lam-ngay.35C6BA7F.html","Xem chi tiết")</f>
        <v/>
      </c>
      <c r="M970" s="10" t="n"/>
    </row>
    <row r="971">
      <c r="B971" s="7" t="n">
        <v>969</v>
      </c>
      <c r="C971" t="inlineStr">
        <is>
          <t>Giám Sát An Toàn Lao Động</t>
        </is>
      </c>
      <c r="D971" t="inlineStr">
        <is>
          <t>CÔNG TY TNHH XÂY DỰNG THƯƠNG MẠI LỤC GIÁC</t>
        </is>
      </c>
      <c r="E971" t="inlineStr">
        <is>
          <t>Lương:14 Tr - 16 Tr VND</t>
        </is>
      </c>
      <c r="F971" t="inlineStr">
        <is>
          <t>Bình Thuận</t>
        </is>
      </c>
      <c r="G971" t="inlineStr">
        <is>
          <t>30-04-2026</t>
        </is>
      </c>
      <c r="H971" t="inlineStr">
        <is>
          <t>30/04/2026</t>
        </is>
      </c>
      <c r="I971" t="inlineStr">
        <is>
          <t>17/03/2026</t>
        </is>
      </c>
      <c r="J971" t="inlineStr">
        <is>
          <t>Xây dựng, An toàn lao động, Ngành khác</t>
        </is>
      </c>
      <c r="K971" t="inlineStr">
        <is>
          <t>Chưa có kinh nghiệm</t>
        </is>
      </c>
      <c r="L971" s="8">
        <f>HYPERLINK("https://careerviet.vn/vi/tim-viec-lam/giam-sat-an-toan-lao-dong.35C6BBFD.html","Xem chi tiết")</f>
        <v/>
      </c>
    </row>
    <row r="972">
      <c r="B972" s="9" t="n">
        <v>970</v>
      </c>
      <c r="C972" s="10" t="inlineStr">
        <is>
          <t>Giám Đốc Bán Hàng Kênh Dự Án</t>
        </is>
      </c>
      <c r="D972" s="10" t="inlineStr">
        <is>
          <t>Công ty Cổ phần Tập đoàn Gỗ Minh Long</t>
        </is>
      </c>
      <c r="E972" s="10" t="inlineStr">
        <is>
          <t>Lương:30 Tr - 50 Tr VND</t>
        </is>
      </c>
      <c r="F972" s="10" t="inlineStr">
        <is>
          <t>Hà Nội</t>
        </is>
      </c>
      <c r="G972" s="10" t="inlineStr">
        <is>
          <t>11-04-2026</t>
        </is>
      </c>
      <c r="H972" s="10" t="inlineStr">
        <is>
          <t>11/04/2026</t>
        </is>
      </c>
      <c r="I972" s="10" t="inlineStr">
        <is>
          <t>17/03/2026</t>
        </is>
      </c>
      <c r="J972" s="10" t="inlineStr">
        <is>
          <t>Bán lẻ / Bán sỉ, Bán hàng / Kinh doanh, Xây dựng</t>
        </is>
      </c>
      <c r="K972" s="10" t="inlineStr">
        <is>
          <t>3 - 5 Năm</t>
        </is>
      </c>
      <c r="L972" s="11">
        <f>HYPERLINK("https://careerviet.vn/vi/tim-viec-lam/giam-doc-ban-hang-kenh-du-an.35C6BD3F.html","Xem chi tiết")</f>
        <v/>
      </c>
      <c r="M972" s="10" t="n"/>
    </row>
    <row r="973">
      <c r="B973" s="7" t="n">
        <v>971</v>
      </c>
      <c r="C973" t="inlineStr">
        <is>
          <t>Network Platform Developer</t>
        </is>
      </c>
      <c r="D973" t="inlineStr">
        <is>
          <t>CÔNG TY TNHH SKYLAB INNOGRAM VIỆT NAM</t>
        </is>
      </c>
      <c r="E973" t="inlineStr">
        <is>
          <t>Lương:Cạnh tranh</t>
        </is>
      </c>
      <c r="F973" t="inlineStr">
        <is>
          <t>Hồ Chí Minh</t>
        </is>
      </c>
      <c r="G973" t="inlineStr">
        <is>
          <t>09-04-2026</t>
        </is>
      </c>
      <c r="H973" t="inlineStr">
        <is>
          <t>09/04/2026</t>
        </is>
      </c>
      <c r="I973" t="inlineStr">
        <is>
          <t>17/03/2026</t>
        </is>
      </c>
      <c r="J973" t="inlineStr">
        <is>
          <t>CNTT - Phần mềm, CNTT - Phần cứng / Mạng</t>
        </is>
      </c>
      <c r="K973" t="inlineStr">
        <is>
          <t>1 - 2 Năm</t>
        </is>
      </c>
      <c r="L973" s="8">
        <f>HYPERLINK("https://careerviet.vn/vi/tim-viec-lam/network-platform-developer.35C6BDD9.html","Xem chi tiết")</f>
        <v/>
      </c>
    </row>
    <row r="974">
      <c r="B974" s="9" t="n">
        <v>972</v>
      </c>
      <c r="C974" s="10" t="inlineStr">
        <is>
          <t>Giáo Viên Chủ Nhiệm (Ocean Edu Kiến Thụy) - Lương Từ 15 Triệu/Đi Làm Ngay</t>
        </is>
      </c>
      <c r="D974" s="10" t="inlineStr">
        <is>
          <t>Công Ty CP Giáo Dục Đại Dương</t>
        </is>
      </c>
      <c r="E974" s="10" t="inlineStr">
        <is>
          <t>Lương:15 Tr - 16 Tr VND</t>
        </is>
      </c>
      <c r="F974" s="10" t="inlineStr">
        <is>
          <t>Hải Phòng</t>
        </is>
      </c>
      <c r="G974" s="10" t="inlineStr">
        <is>
          <t>30-03-2026</t>
        </is>
      </c>
      <c r="H974" s="10" t="inlineStr">
        <is>
          <t>30/03/2026</t>
        </is>
      </c>
      <c r="I974" s="10" t="inlineStr">
        <is>
          <t>17/03/2026</t>
        </is>
      </c>
      <c r="J974" s="10" t="inlineStr">
        <is>
          <t>Giáo dục / Đào tạo, Bán hàng / Kinh doanh, Biên phiên dịch</t>
        </is>
      </c>
      <c r="K974" s="10" t="inlineStr">
        <is>
          <t>Trên 1 Năm</t>
        </is>
      </c>
      <c r="L974" s="11">
        <f>HYPERLINK("https://careerviet.vn/vi/tim-viec-lam/giao-vien-chu-nhiem-ocean-edu-kien-thuy-luong-tu-15-trieu-di-lam-ngay.35C6BA78.html","Xem chi tiết")</f>
        <v/>
      </c>
      <c r="M974" s="10" t="n"/>
    </row>
    <row r="975">
      <c r="B975" s="7" t="n">
        <v>973</v>
      </c>
      <c r="C975" t="inlineStr">
        <is>
          <t>Giáo Viên Chủ Nhiệm (Ocean Edu Thiên Lộc) - Lương Từ 15 Triệu/Đi Làm Ngay</t>
        </is>
      </c>
      <c r="D975" t="inlineStr">
        <is>
          <t>Công Ty CP Giáo Dục Đại Dương</t>
        </is>
      </c>
      <c r="E975" t="inlineStr">
        <is>
          <t>Lương:15 Tr - 16 Tr VND</t>
        </is>
      </c>
      <c r="F975" t="inlineStr">
        <is>
          <t>Hà Nội</t>
        </is>
      </c>
      <c r="G975" t="inlineStr">
        <is>
          <t>30-03-2026</t>
        </is>
      </c>
      <c r="H975" t="inlineStr">
        <is>
          <t>30/03/2026</t>
        </is>
      </c>
      <c r="I975" t="inlineStr">
        <is>
          <t>17/03/2026</t>
        </is>
      </c>
      <c r="J975" t="inlineStr">
        <is>
          <t>Giáo dục / Đào tạo, Bán hàng / Kinh doanh, Biên phiên dịch</t>
        </is>
      </c>
      <c r="K975" t="inlineStr">
        <is>
          <t>Trên 1 Năm</t>
        </is>
      </c>
      <c r="L975" s="8">
        <f>HYPERLINK("https://careerviet.vn/vi/tim-viec-lam/giao-vien-chu-nhiem-ocean-edu-thien-loc-luong-tu-15-trieu-di-lam-ngay.35C6BB4C.html","Xem chi tiết")</f>
        <v/>
      </c>
    </row>
    <row r="976">
      <c r="B976" s="9" t="n">
        <v>974</v>
      </c>
      <c r="C976" s="10" t="inlineStr">
        <is>
          <t>Chuyên viên HC&amp;NS</t>
        </is>
      </c>
      <c r="D976" s="10" t="inlineStr">
        <is>
          <t>CÔNG TY CỔ PHẦN LOGISTICS LONG AN</t>
        </is>
      </c>
      <c r="E976" s="10" t="inlineStr">
        <is>
          <t>Lương:15 Tr - 18 Tr VND</t>
        </is>
      </c>
      <c r="F976" s="10" t="inlineStr">
        <is>
          <t>Long An</t>
        </is>
      </c>
      <c r="G976" s="10" t="inlineStr">
        <is>
          <t>10-04-2026</t>
        </is>
      </c>
      <c r="H976" s="10" t="inlineStr">
        <is>
          <t>10/04/2026</t>
        </is>
      </c>
      <c r="I976" s="10" t="inlineStr">
        <is>
          <t>17/03/2026</t>
        </is>
      </c>
      <c r="J976" s="10" t="inlineStr">
        <is>
          <t>Vận chuyển / Giao nhận / Kho vận, Nhân sự, Hành chính / Thư ký</t>
        </is>
      </c>
      <c r="K976" s="10" t="inlineStr">
        <is>
          <t>3 - 5 Năm</t>
        </is>
      </c>
      <c r="L976" s="11">
        <f>HYPERLINK("https://careerviet.vn/vi/tim-viec-lam/chuyen-vien-hc-ns.35C6BB48.html","Xem chi tiết")</f>
        <v/>
      </c>
      <c r="M976" s="10" t="n"/>
    </row>
    <row r="977">
      <c r="B977" s="7" t="n">
        <v>975</v>
      </c>
      <c r="C977" t="inlineStr">
        <is>
          <t>[JHN0037796] Tổ trưởng phòng sửa chữa, bảo trì thiết bị - Facility Leader</t>
        </is>
      </c>
      <c r="D977" t="inlineStr">
        <is>
          <t>Iconic Co.,Ltd</t>
        </is>
      </c>
      <c r="E977" t="inlineStr">
        <is>
          <t>Lương:Cạnh tranh</t>
        </is>
      </c>
      <c r="F977" t="inlineStr">
        <is>
          <t>Quảng Ninh</t>
        </is>
      </c>
      <c r="G977" t="inlineStr">
        <is>
          <t>30-04-2026</t>
        </is>
      </c>
      <c r="H977" t="inlineStr">
        <is>
          <t>30/04/2026</t>
        </is>
      </c>
      <c r="I977" t="inlineStr">
        <is>
          <t>17/03/2026</t>
        </is>
      </c>
      <c r="J977" t="inlineStr">
        <is>
          <t>Bảo trì / Sửa chữa, Sản xuất / Vận hành sản xuất</t>
        </is>
      </c>
      <c r="K977" t="inlineStr">
        <is>
          <t>Trên 1 Năm</t>
        </is>
      </c>
      <c r="L977" s="8">
        <f>HYPERLINK("https://careerviet.vn/vi/tim-viec-lam/jhn0037796-to-truong-phong-sua-chua-bao-tri-thiet-bi-facility-leader.35C6BAC3.html","Xem chi tiết")</f>
        <v/>
      </c>
    </row>
    <row r="978">
      <c r="B978" s="9" t="n">
        <v>976</v>
      </c>
      <c r="C978" s="10" t="inlineStr">
        <is>
          <t>Kỹ Sư Nông Nghiệp (Khoai Tây)</t>
        </is>
      </c>
      <c r="D978" s="10" t="inlineStr">
        <is>
          <t>ORION FOOD VINA CO.,LTD</t>
        </is>
      </c>
      <c r="E978" s="10" t="inlineStr">
        <is>
          <t>Lương:Cạnh tranh</t>
        </is>
      </c>
      <c r="F978" s="10" t="inlineStr">
        <is>
          <t>Lâm Đồng</t>
        </is>
      </c>
      <c r="G978" s="10" t="inlineStr">
        <is>
          <t>31-03-2026</t>
        </is>
      </c>
      <c r="H978" s="10" t="inlineStr">
        <is>
          <t>31/03/2026</t>
        </is>
      </c>
      <c r="I978" s="10" t="inlineStr">
        <is>
          <t>17/03/2026</t>
        </is>
      </c>
      <c r="J978" s="10" t="inlineStr">
        <is>
          <t>Nông nghiệp, Công nghệ sinh học</t>
        </is>
      </c>
      <c r="K978" s="10" t="inlineStr">
        <is>
          <t>3 - 5 Năm</t>
        </is>
      </c>
      <c r="L978" s="11">
        <f>HYPERLINK("https://careerviet.vn/vi/tim-viec-lam/ky-su-nong-nghiep-khoai-tay.35C6BDC0.html","Xem chi tiết")</f>
        <v/>
      </c>
      <c r="M978" s="10" t="n"/>
    </row>
    <row r="979">
      <c r="B979" s="7" t="n">
        <v>977</v>
      </c>
      <c r="C979" t="inlineStr">
        <is>
          <t>Chuyên viên Chính sách an ninh thông tin (chuyên về An ninh ứng dụng)</t>
        </is>
      </c>
      <c r="D979" t="inlineStr">
        <is>
          <t>NGÂN HÀNG TMCP NGOẠI THƯƠNG VIỆT NAM (VIETCOMBANK)</t>
        </is>
      </c>
      <c r="E979" t="inlineStr">
        <is>
          <t>Lương:Cạnh tranh</t>
        </is>
      </c>
      <c r="F979" t="inlineStr">
        <is>
          <t>Hà Nội</t>
        </is>
      </c>
      <c r="G979" t="inlineStr">
        <is>
          <t>31-03-2026</t>
        </is>
      </c>
      <c r="H979" t="inlineStr">
        <is>
          <t>31/03/2026</t>
        </is>
      </c>
      <c r="I979" t="inlineStr">
        <is>
          <t>17/03/2026</t>
        </is>
      </c>
      <c r="J979" t="inlineStr">
        <is>
          <t>Ngân hàng, CNTT - Phần mềm, CNTT - Phần cứng / Mạng</t>
        </is>
      </c>
      <c r="K979" t="inlineStr">
        <is>
          <t>Trên 2 Năm</t>
        </is>
      </c>
      <c r="L979" s="8">
        <f>HYPERLINK("https://careerviet.vn/vi/tim-viec-lam/chuyen-vien-chinh-sach-an-ninh-thong-tin-chuyen-ve-an-ninh-ung-dung.35C6BD93.html","Xem chi tiết")</f>
        <v/>
      </c>
    </row>
    <row r="980">
      <c r="B980" s="9" t="n">
        <v>978</v>
      </c>
      <c r="C980" s="10" t="inlineStr">
        <is>
          <t>Kỹ sư Nông trường chuối _ Tây Ninh</t>
        </is>
      </c>
      <c r="D980" s="10" t="inlineStr">
        <is>
          <t>CÔNG TY TNHH DOLE VIỆT NAM</t>
        </is>
      </c>
      <c r="E980" s="10" t="inlineStr">
        <is>
          <t>Lương:Cạnh tranh</t>
        </is>
      </c>
      <c r="F980" s="10" t="inlineStr">
        <is>
          <t>Tây Ninh</t>
        </is>
      </c>
      <c r="G980" s="10" t="inlineStr">
        <is>
          <t>31-03-2026</t>
        </is>
      </c>
      <c r="H980" s="10" t="inlineStr">
        <is>
          <t>31/03/2026</t>
        </is>
      </c>
      <c r="I980" s="10" t="inlineStr">
        <is>
          <t>17/03/2026</t>
        </is>
      </c>
      <c r="J980" s="10" t="inlineStr">
        <is>
          <t>Nông nghiệp, Công nghệ sinh học, Công nghệ thực phẩm / Dinh dưỡng</t>
        </is>
      </c>
      <c r="K980" s="10" t="inlineStr">
        <is>
          <t>1 - 3 Năm</t>
        </is>
      </c>
      <c r="L980" s="11">
        <f>HYPERLINK("https://careerviet.vn/vi/tim-viec-lam/ky-su-nong-truong-chuoi-_-tay-ninh.35C6B7A6.html","Xem chi tiết")</f>
        <v/>
      </c>
      <c r="M980" s="10" t="n"/>
    </row>
    <row r="981">
      <c r="B981" s="7" t="n">
        <v>979</v>
      </c>
      <c r="C981" t="inlineStr">
        <is>
          <t>128373 - Tiếng Nhật - Chăm sóc khách hàng - ngành Công nghệ thông tin</t>
        </is>
      </c>
      <c r="D981" t="inlineStr">
        <is>
          <t>RGF HR Agent Vietnam Co., LTD</t>
        </is>
      </c>
      <c r="E981" t="inlineStr">
        <is>
          <t>Lương:14 Tr - 20 Tr VND</t>
        </is>
      </c>
      <c r="F981" t="inlineStr">
        <is>
          <t>Hà Nội</t>
        </is>
      </c>
      <c r="G981" t="inlineStr">
        <is>
          <t>10-04-2026</t>
        </is>
      </c>
      <c r="H981" t="inlineStr">
        <is>
          <t>10/04/2026</t>
        </is>
      </c>
      <c r="I981" t="inlineStr">
        <is>
          <t>17/03/2026</t>
        </is>
      </c>
      <c r="J981" t="inlineStr">
        <is>
          <t>Dịch vụ khách hàng, CNTT - Phần mềm</t>
        </is>
      </c>
      <c r="K981" t="inlineStr">
        <is>
          <t>Trên 2 Năm</t>
        </is>
      </c>
      <c r="L981" s="8">
        <f>HYPERLINK("https://careerviet.vn/vi/tim-viec-lam/128373-tieng-nhat-cham-soc-khach-hang-nganh-cong-nghe-thong-tin.35C6BBA8.html","Xem chi tiết")</f>
        <v/>
      </c>
    </row>
    <row r="982">
      <c r="B982" s="9" t="n">
        <v>980</v>
      </c>
      <c r="C982" s="10" t="inlineStr">
        <is>
          <t>QUẢN ĐỐC XƯỞNG THÀNH PHẨM</t>
        </is>
      </c>
      <c r="D982" s="10" t="inlineStr">
        <is>
          <t>Visingpack Packing Industries Ltd.</t>
        </is>
      </c>
      <c r="E982" s="10" t="inlineStr">
        <is>
          <t>Lương:Cạnh tranh</t>
        </is>
      </c>
      <c r="F982" s="10" t="inlineStr">
        <is>
          <t>Hồ Chí Minh</t>
        </is>
      </c>
      <c r="G982" s="10" t="inlineStr">
        <is>
          <t>10-04-2026</t>
        </is>
      </c>
      <c r="H982" s="10" t="inlineStr">
        <is>
          <t>10/04/2026</t>
        </is>
      </c>
      <c r="I982" s="10" t="inlineStr">
        <is>
          <t>17/03/2026</t>
        </is>
      </c>
      <c r="J982" s="10" t="inlineStr">
        <is>
          <t>Quản lý điều hành, Sản xuất / Vận hành sản xuất, In ấn / Xuất bản</t>
        </is>
      </c>
      <c r="K982" s="10" t="inlineStr">
        <is>
          <t>3 - 5 Năm</t>
        </is>
      </c>
      <c r="L982" s="11">
        <f>HYPERLINK("https://careerviet.vn/vi/tim-viec-lam/quan-doc-xuong-thanh-pham.35C6BC93.html","Xem chi tiết")</f>
        <v/>
      </c>
      <c r="M982" s="10" t="n"/>
    </row>
    <row r="983">
      <c r="B983" s="7" t="n">
        <v>981</v>
      </c>
      <c r="C983" t="inlineStr">
        <is>
          <t>Phó Phòng Kế Toán</t>
        </is>
      </c>
      <c r="D983" t="inlineStr">
        <is>
          <t>Công ty Cổ phần Vikings Việt Nam</t>
        </is>
      </c>
      <c r="E983" t="inlineStr">
        <is>
          <t>Lương:20 Tr - 25 Tr VND</t>
        </is>
      </c>
      <c r="F983" t="inlineStr">
        <is>
          <t>Hồ Chí Minh</t>
        </is>
      </c>
      <c r="G983" t="inlineStr">
        <is>
          <t>10-04-2026</t>
        </is>
      </c>
      <c r="H983" t="inlineStr">
        <is>
          <t>10/04/2026</t>
        </is>
      </c>
      <c r="I983" t="inlineStr">
        <is>
          <t>17/03/2026</t>
        </is>
      </c>
      <c r="J983" t="inlineStr">
        <is>
          <t>Kế toán / Kiểm toán</t>
        </is>
      </c>
      <c r="K983" t="inlineStr">
        <is>
          <t>5 - 7 Năm</t>
        </is>
      </c>
      <c r="L983" s="8">
        <f>HYPERLINK("https://careerviet.vn/vi/tim-viec-lam/pho-phong-ke-toan.35C6BC51.html","Xem chi tiết")</f>
        <v/>
      </c>
    </row>
    <row r="984">
      <c r="B984" s="9" t="n">
        <v>982</v>
      </c>
      <c r="C984" s="10" t="inlineStr">
        <is>
          <t>CHUYÊN VIÊN KINH DOANH LOGISTICS</t>
        </is>
      </c>
      <c r="D984" s="10" t="inlineStr">
        <is>
          <t>Công ty Cổ phần THT Cargo Logistics</t>
        </is>
      </c>
      <c r="E984" s="10" t="inlineStr">
        <is>
          <t>Lương:12 Tr - 20 Tr VND</t>
        </is>
      </c>
      <c r="F984" s="10" t="inlineStr">
        <is>
          <t>Hồ Chí Minh</t>
        </is>
      </c>
      <c r="G984" s="10" t="inlineStr">
        <is>
          <t>11-04-2026</t>
        </is>
      </c>
      <c r="H984" s="10" t="inlineStr">
        <is>
          <t>11/04/2026</t>
        </is>
      </c>
      <c r="I984" s="10" t="inlineStr">
        <is>
          <t>17/03/2026</t>
        </is>
      </c>
      <c r="J984" s="10" t="inlineStr">
        <is>
          <t>Xuất nhập khẩu, Vận chuyển / Giao nhận / Kho vận, Dịch vụ khách hàng</t>
        </is>
      </c>
      <c r="K984" s="10" t="inlineStr">
        <is>
          <t>2 - 6 Năm</t>
        </is>
      </c>
      <c r="L984" s="11">
        <f>HYPERLINK("https://careerviet.vn/vi/tim-viec-lam/chuyen-vien-kinh-doanh-logistics.35C6BDB2.html","Xem chi tiết")</f>
        <v/>
      </c>
      <c r="M984" s="10" t="n"/>
    </row>
    <row r="985">
      <c r="B985" s="7" t="n">
        <v>983</v>
      </c>
      <c r="C985" t="inlineStr">
        <is>
          <t>128611 - [Junior] - Career Advisor / Recruitment Consultant in Hanoi</t>
        </is>
      </c>
      <c r="D985" t="inlineStr">
        <is>
          <t>RGF HR Agent Vietnam Co., LTD</t>
        </is>
      </c>
      <c r="E985" t="inlineStr">
        <is>
          <t>Lương:Cạnh tranh</t>
        </is>
      </c>
      <c r="F985" t="inlineStr">
        <is>
          <t>Hà Nội</t>
        </is>
      </c>
      <c r="G985" t="inlineStr">
        <is>
          <t>10-04-2026</t>
        </is>
      </c>
      <c r="H985" t="inlineStr">
        <is>
          <t>10/04/2026</t>
        </is>
      </c>
      <c r="I985" t="inlineStr">
        <is>
          <t>17/03/2026</t>
        </is>
      </c>
      <c r="J985" t="inlineStr">
        <is>
          <t>Nhân sự, Tư vấn, Ngành khác</t>
        </is>
      </c>
      <c r="K985" t="inlineStr">
        <is>
          <t>Trên 1 Năm</t>
        </is>
      </c>
      <c r="L985" s="8">
        <f>HYPERLINK("https://careerviet.vn/vi/tim-viec-lam/128611-junior-career-advisor-recruitment-consultant-in-hanoi.35C6BC26.html","Xem chi tiết")</f>
        <v/>
      </c>
    </row>
    <row r="986">
      <c r="B986" s="9" t="n">
        <v>984</v>
      </c>
      <c r="C986" s="10" t="inlineStr">
        <is>
          <t>Senior Technical Merchandiser</t>
        </is>
      </c>
      <c r="D986" s="10" t="inlineStr">
        <is>
          <t>VĂN PHÒNG ĐẠI DIỆN MERCURI V CORPORATION SL TẠI THÀNH PHỐ HỒ CHÍ MINH</t>
        </is>
      </c>
      <c r="E986" s="10" t="inlineStr">
        <is>
          <t>Lương:Cạnh tranh</t>
        </is>
      </c>
      <c r="F986" s="10" t="inlineStr">
        <is>
          <t>Hồ Chí Minh</t>
        </is>
      </c>
      <c r="G986" s="10" t="inlineStr">
        <is>
          <t>31-05-2026</t>
        </is>
      </c>
      <c r="H986" s="10" t="inlineStr">
        <is>
          <t>31/05/2026</t>
        </is>
      </c>
      <c r="I986" s="10" t="inlineStr">
        <is>
          <t>17/03/2026</t>
        </is>
      </c>
      <c r="J986" s="10" t="inlineStr">
        <is>
          <t>Quản lý điều hành, Dệt may / Da giày / Thời trang, Thu mua / Vật tư</t>
        </is>
      </c>
      <c r="K986" s="10" t="inlineStr">
        <is>
          <t>Lên đến 5 Năm</t>
        </is>
      </c>
      <c r="L986" s="11">
        <f>HYPERLINK("https://careerviet.vn/vi/tim-viec-lam/senior-technical-merchandiser.35C6BD26.html","Xem chi tiết")</f>
        <v/>
      </c>
      <c r="M986" s="10" t="n"/>
    </row>
    <row r="987">
      <c r="B987" s="7" t="n">
        <v>985</v>
      </c>
      <c r="C987" t="inlineStr">
        <is>
          <t>Trưởng nhóm Kinh doanh Gia dụng và Hệ thống HVAC</t>
        </is>
      </c>
      <c r="D987" t="inlineStr">
        <is>
          <t>CÔNG TY CỔ PHẦN TẬP ĐOÀN CƠ KHÍ CÔNG NGHỆ CAO SIBA</t>
        </is>
      </c>
      <c r="E987" t="inlineStr">
        <is>
          <t>Lương:Cạnh tranh</t>
        </is>
      </c>
      <c r="F987" t="inlineStr">
        <is>
          <t>Hồ Chí Minh</t>
        </is>
      </c>
      <c r="G987" t="inlineStr">
        <is>
          <t>30-04-2026</t>
        </is>
      </c>
      <c r="H987" t="inlineStr">
        <is>
          <t>30/04/2026</t>
        </is>
      </c>
      <c r="I987" t="inlineStr">
        <is>
          <t>17/03/2026</t>
        </is>
      </c>
      <c r="J987" t="inlineStr">
        <is>
          <t>Bán hàng / Kinh doanh, Bán Hàng Kỹ Thuật</t>
        </is>
      </c>
      <c r="K987" t="inlineStr">
        <is>
          <t>3 - 5 Năm</t>
        </is>
      </c>
      <c r="L987" s="8">
        <f>HYPERLINK("https://careerviet.vn/vi/tim-viec-lam/truong-nhom-kinh-doanh-gia-dung-va-he-thong-hvac.35C6BD4A.html","Xem chi tiết")</f>
        <v/>
      </c>
    </row>
    <row r="988">
      <c r="B988" s="9" t="n">
        <v>986</v>
      </c>
      <c r="C988" s="10" t="inlineStr">
        <is>
          <t>Junior Project Officer (02 positions)</t>
        </is>
      </c>
      <c r="D988" s="10" t="inlineStr">
        <is>
          <t>Văn phòng đại diện Tổ chức Hợp tác Quốc tế Đức GIZ tại Hà Nội</t>
        </is>
      </c>
      <c r="E988" s="10" t="inlineStr">
        <is>
          <t>Lương:Cạnh tranh</t>
        </is>
      </c>
      <c r="F988" s="10" t="inlineStr">
        <is>
          <t>Hà NộiHồ Chí Minh</t>
        </is>
      </c>
      <c r="G988" s="10" t="inlineStr">
        <is>
          <t>24-03-2026</t>
        </is>
      </c>
      <c r="H988" s="10" t="inlineStr">
        <is>
          <t>24/03/2026</t>
        </is>
      </c>
      <c r="I988" s="10" t="inlineStr">
        <is>
          <t>17/03/2026</t>
        </is>
      </c>
      <c r="J988" s="10" t="inlineStr">
        <is>
          <t>N/A</t>
        </is>
      </c>
      <c r="K988" s="10" t="inlineStr">
        <is>
          <t>N/A</t>
        </is>
      </c>
      <c r="L988" s="11">
        <f>HYPERLINK("https://careerviet.vn/vi/tim-viec-lam/junior-project-officer-02-positions.35C6BBB4.html","Xem chi tiết")</f>
        <v/>
      </c>
      <c r="M988" s="10" t="n"/>
    </row>
    <row r="989">
      <c r="B989" s="7" t="n">
        <v>987</v>
      </c>
      <c r="C989" t="inlineStr">
        <is>
          <t>[Kỳ Anh, Hà Tĩnh] Giám Sát Bán Hàng Kênh GT</t>
        </is>
      </c>
      <c r="D989" t="inlineStr">
        <is>
          <t>Công Ty Cổ Phần Tập Đoàn TH</t>
        </is>
      </c>
      <c r="E989" t="inlineStr">
        <is>
          <t>Lương:Cạnh tranh</t>
        </is>
      </c>
      <c r="F989" t="inlineStr">
        <is>
          <t>Hà Tĩnh</t>
        </is>
      </c>
      <c r="G989" t="inlineStr">
        <is>
          <t>10-04-2026</t>
        </is>
      </c>
      <c r="H989" t="inlineStr">
        <is>
          <t>10/04/2026</t>
        </is>
      </c>
      <c r="I989" t="inlineStr">
        <is>
          <t>17/03/2026</t>
        </is>
      </c>
      <c r="J989" t="inlineStr">
        <is>
          <t>Bán lẻ / Bán sỉ, Bán hàng / Kinh doanh</t>
        </is>
      </c>
      <c r="K989" t="inlineStr">
        <is>
          <t>1 - 2 Năm</t>
        </is>
      </c>
      <c r="L989" s="8">
        <f>HYPERLINK("https://careerviet.vn/vi/tim-viec-lam/ky-anh-ha-tinh-giam-sat-ban-hang-kenh-gt.35C6BC2F.html","Xem chi tiết")</f>
        <v/>
      </c>
    </row>
    <row r="990">
      <c r="B990" s="9" t="n">
        <v>988</v>
      </c>
      <c r="C990" s="10" t="inlineStr">
        <is>
          <t>Kỹ sư xây dựng</t>
        </is>
      </c>
      <c r="D990" s="10" t="inlineStr">
        <is>
          <t>Công ty cổ phần Tập đoàn Trường Thành Việt Nam</t>
        </is>
      </c>
      <c r="E990" s="10" t="inlineStr">
        <is>
          <t>Lương:25 Tr - 30 Tr VND</t>
        </is>
      </c>
      <c r="F990" s="10" t="inlineStr">
        <is>
          <t>Hà Nội</t>
        </is>
      </c>
      <c r="G990" s="10" t="inlineStr">
        <is>
          <t>10-04-2026</t>
        </is>
      </c>
      <c r="H990" s="10" t="inlineStr">
        <is>
          <t>10/04/2026</t>
        </is>
      </c>
      <c r="I990" s="10" t="inlineStr">
        <is>
          <t>17/03/2026</t>
        </is>
      </c>
      <c r="J990" s="10" t="inlineStr">
        <is>
          <t>Xây dựng</t>
        </is>
      </c>
      <c r="K990" s="10" t="inlineStr">
        <is>
          <t>5 - 7 Năm</t>
        </is>
      </c>
      <c r="L990" s="11">
        <f>HYPERLINK("https://careerviet.vn/vi/tim-viec-lam/ky-su-xay-dung.35C6BCDB.html","Xem chi tiết")</f>
        <v/>
      </c>
      <c r="M990" s="10" t="n"/>
    </row>
    <row r="991">
      <c r="B991" s="7" t="n">
        <v>989</v>
      </c>
      <c r="C991" t="inlineStr">
        <is>
          <t>Nhân Viên Bảo Trì (Nhà máy Hà Nam/Ninh Bình)</t>
        </is>
      </c>
      <c r="D991" t="inlineStr">
        <is>
          <t>PepsiCo Foods Vietnam Company</t>
        </is>
      </c>
      <c r="E991" t="inlineStr">
        <is>
          <t>Lương:Cạnh tranh</t>
        </is>
      </c>
      <c r="F991" t="inlineStr">
        <is>
          <t>Hà NamHưng YênHà Nội</t>
        </is>
      </c>
      <c r="G991" t="inlineStr">
        <is>
          <t>10-04-2026</t>
        </is>
      </c>
      <c r="H991" t="inlineStr">
        <is>
          <t>10/04/2026</t>
        </is>
      </c>
      <c r="I991" t="inlineStr">
        <is>
          <t>17/03/2026</t>
        </is>
      </c>
      <c r="J991" t="inlineStr">
        <is>
          <t>Thực phẩm &amp; Đồ uống, Bảo trì / Sửa chữa</t>
        </is>
      </c>
      <c r="K991" t="inlineStr">
        <is>
          <t>1 - 2 Năm</t>
        </is>
      </c>
      <c r="L991" s="8">
        <f>HYPERLINK("https://careerviet.vn/vi/tim-viec-lam/nhan-vien-bao-tri-nha-may-ha-nam-ninh-binh.35C6BBB0.html","Xem chi tiết")</f>
        <v/>
      </c>
    </row>
    <row r="992">
      <c r="B992" s="9" t="n">
        <v>990</v>
      </c>
      <c r="C992" s="10" t="inlineStr">
        <is>
          <t>B2B Sales Consultant</t>
        </is>
      </c>
      <c r="D992" s="10" t="inlineStr">
        <is>
          <t>CÔNG TY TNHH CỐC CỐC</t>
        </is>
      </c>
      <c r="E992" s="10" t="inlineStr">
        <is>
          <t>Lương:15 Tr - 25 Tr VND</t>
        </is>
      </c>
      <c r="F992" s="10" t="inlineStr">
        <is>
          <t>Hà NộiHồ Chí Minh</t>
        </is>
      </c>
      <c r="G992" s="10" t="inlineStr">
        <is>
          <t>30-04-2026</t>
        </is>
      </c>
      <c r="H992" s="10" t="inlineStr">
        <is>
          <t>30/04/2026</t>
        </is>
      </c>
      <c r="I992" s="10" t="inlineStr">
        <is>
          <t>17/03/2026</t>
        </is>
      </c>
      <c r="J992" s="10" t="inlineStr">
        <is>
          <t>Bán hàng / Kinh doanh, Tiếp thị / Marketing</t>
        </is>
      </c>
      <c r="K992" s="10" t="inlineStr">
        <is>
          <t>2 - 5 Năm</t>
        </is>
      </c>
      <c r="L992" s="11">
        <f>HYPERLINK("https://careerviet.vn/vi/tim-viec-lam/b2b-sales-consultant.35C6BC54.html","Xem chi tiết")</f>
        <v/>
      </c>
      <c r="M992" s="10" t="n"/>
    </row>
    <row r="993">
      <c r="B993" s="7" t="n">
        <v>991</v>
      </c>
      <c r="C993" t="inlineStr">
        <is>
          <t>Quảng Ninh - Chuyên viên kế toán thanh toán</t>
        </is>
      </c>
      <c r="D993" t="inlineStr">
        <is>
          <t>BIM Group</t>
        </is>
      </c>
      <c r="E993" t="inlineStr">
        <is>
          <t>Lương:Cạnh tranh</t>
        </is>
      </c>
      <c r="F993" t="inlineStr">
        <is>
          <t>Quảng Ninh</t>
        </is>
      </c>
      <c r="G993" t="inlineStr">
        <is>
          <t>30-04-2026</t>
        </is>
      </c>
      <c r="H993" t="inlineStr">
        <is>
          <t>30/04/2026</t>
        </is>
      </c>
      <c r="I993" t="inlineStr">
        <is>
          <t>17/03/2026</t>
        </is>
      </c>
      <c r="J993" t="inlineStr">
        <is>
          <t>Kế toán / Kiểm toán</t>
        </is>
      </c>
      <c r="K993" t="inlineStr">
        <is>
          <t>Trên 1 Năm</t>
        </is>
      </c>
      <c r="L993" s="8">
        <f>HYPERLINK("https://careerviet.vn/vi/tim-viec-lam/quang-ninh-chuyen-vien-ke-toan-thanh-toan.35C6BC01.html","Xem chi tiết")</f>
        <v/>
      </c>
    </row>
    <row r="994">
      <c r="B994" s="9" t="n">
        <v>992</v>
      </c>
      <c r="C994" s="10" t="inlineStr">
        <is>
          <t>CV/CVC/CVCC Quan Hệ Khách Hàng Doanh nghiệp - Thanh Hoá, Nghệ An, Thái Nguyên</t>
        </is>
      </c>
      <c r="D994" s="10" t="inlineStr">
        <is>
          <t>Ngân Hàng Thương Mại Cổ Phần Bảo Việt</t>
        </is>
      </c>
      <c r="E994" s="10" t="inlineStr">
        <is>
          <t>Lương:Cạnh tranh</t>
        </is>
      </c>
      <c r="F994" s="10" t="inlineStr">
        <is>
          <t>Thanh HóaNghệ An</t>
        </is>
      </c>
      <c r="G994" s="10" t="inlineStr">
        <is>
          <t>30-05-2026</t>
        </is>
      </c>
      <c r="H994" s="10" t="inlineStr">
        <is>
          <t>30/05/2026</t>
        </is>
      </c>
      <c r="I994" s="10" t="inlineStr">
        <is>
          <t>17/03/2026</t>
        </is>
      </c>
      <c r="J994" s="10" t="inlineStr">
        <is>
          <t>Ngân hàng, Tài chính / Đầu tư, Bất động sản</t>
        </is>
      </c>
      <c r="K994" s="10" t="inlineStr">
        <is>
          <t>1 - 3 Năm</t>
        </is>
      </c>
      <c r="L994" s="11">
        <f>HYPERLINK("https://careerviet.vn/vi/tim-viec-lam/cv-cvc-cvcc-quan-he-khach-hang-doanh-nghiep-thanh-hoa-nghe-an-thai-nguyen.35C6BC8C.html","Xem chi tiết")</f>
        <v/>
      </c>
      <c r="M994" s="10" t="n"/>
    </row>
    <row r="995">
      <c r="B995" s="7" t="n">
        <v>993</v>
      </c>
      <c r="C995" t="inlineStr">
        <is>
          <t>Nhân viên kinh doanh</t>
        </is>
      </c>
      <c r="D995" t="inlineStr">
        <is>
          <t>CÔNG TY CỔ PHẦN SECONS</t>
        </is>
      </c>
      <c r="E995" t="inlineStr">
        <is>
          <t>Lương:Cạnh tranh</t>
        </is>
      </c>
      <c r="F995" t="inlineStr">
        <is>
          <t>Hồ Chí Minh</t>
        </is>
      </c>
      <c r="G995" t="inlineStr">
        <is>
          <t>31-03-2026</t>
        </is>
      </c>
      <c r="H995" t="inlineStr">
        <is>
          <t>31/03/2026</t>
        </is>
      </c>
      <c r="I995" t="inlineStr">
        <is>
          <t>17/03/2026</t>
        </is>
      </c>
      <c r="J995" t="inlineStr">
        <is>
          <t>Cơ khí / Ô tô / Tự động hóa, Bán hàng / Kinh doanh</t>
        </is>
      </c>
      <c r="K995" t="inlineStr">
        <is>
          <t>1 - 3 Năm</t>
        </is>
      </c>
      <c r="L995" s="8">
        <f>HYPERLINK("https://careerviet.vn/vi/tim-viec-lam/nhan-vien-kinh-doanh.35C6BC4D.html","Xem chi tiết")</f>
        <v/>
      </c>
    </row>
    <row r="996">
      <c r="B996" s="9" t="n">
        <v>994</v>
      </c>
      <c r="C996" s="10" t="inlineStr">
        <is>
          <t>Technical Sales Engineer (waterproofing)</t>
        </is>
      </c>
      <c r="D996" s="10" t="inlineStr">
        <is>
          <t>VivaBlast Vietnam Co., Ltd</t>
        </is>
      </c>
      <c r="E996" s="10" t="inlineStr">
        <is>
          <t>Lương:10 Tr - 30 Tr VND</t>
        </is>
      </c>
      <c r="F996" s="10" t="inlineStr">
        <is>
          <t>Hồ Chí Minh</t>
        </is>
      </c>
      <c r="G996" s="10" t="inlineStr">
        <is>
          <t>30-04-2026</t>
        </is>
      </c>
      <c r="H996" s="10" t="inlineStr">
        <is>
          <t>30/04/2026</t>
        </is>
      </c>
      <c r="I996" s="10" t="inlineStr">
        <is>
          <t>17/03/2026</t>
        </is>
      </c>
      <c r="J996" s="10" t="inlineStr">
        <is>
          <t>Bán hàng / Kinh doanh</t>
        </is>
      </c>
      <c r="K996" s="10" t="inlineStr">
        <is>
          <t>1 - 5 Năm</t>
        </is>
      </c>
      <c r="L996" s="11">
        <f>HYPERLINK("https://careerviet.vn/vi/tim-viec-lam/technical-sales-engineer-waterproofing.35C6BC07.html","Xem chi tiết")</f>
        <v/>
      </c>
      <c r="M996" s="10" t="n"/>
    </row>
    <row r="997">
      <c r="B997" s="7" t="n">
        <v>995</v>
      </c>
      <c r="C997" t="inlineStr">
        <is>
          <t>Chuyên Viên Hành Chính Nhân Sự Tổng Hợp</t>
        </is>
      </c>
      <c r="D997" t="inlineStr">
        <is>
          <t>CÔNG TY TNHH XÂY DỰNG THƯƠNG MẠI LỤC GIÁC</t>
        </is>
      </c>
      <c r="E997" t="inlineStr">
        <is>
          <t>Lương:13 Tr - 15 Tr VND</t>
        </is>
      </c>
      <c r="F997" t="inlineStr">
        <is>
          <t>Hồ Chí Minh</t>
        </is>
      </c>
      <c r="G997" t="inlineStr">
        <is>
          <t>31-03-2026</t>
        </is>
      </c>
      <c r="H997" t="inlineStr">
        <is>
          <t>31/03/2026</t>
        </is>
      </c>
      <c r="I997" t="inlineStr">
        <is>
          <t>17/03/2026</t>
        </is>
      </c>
      <c r="J997" t="inlineStr">
        <is>
          <t>Hành chính / Thư ký, Nhân sự</t>
        </is>
      </c>
      <c r="K997" t="inlineStr">
        <is>
          <t>2 - 5 Năm</t>
        </is>
      </c>
      <c r="L997" s="8">
        <f>HYPERLINK("https://careerviet.vn/vi/tim-viec-lam/chuyen-vien-hanh-chinh-nhan-su-tong-hop.35C6BB1C.html","Xem chi tiết")</f>
        <v/>
      </c>
    </row>
    <row r="998">
      <c r="B998" s="9" t="n">
        <v>996</v>
      </c>
      <c r="C998" s="10" t="inlineStr">
        <is>
          <t>KẾ TOÁN THUẾ</t>
        </is>
      </c>
      <c r="D998" s="10" t="inlineStr">
        <is>
          <t>CÔNG TY CỔ PHẦN THƯƠNG MẠI XÂY DỰNG VÀ XUẤT NHẬP KHẨU DUYÊN HẢI</t>
        </is>
      </c>
      <c r="E998" s="10" t="inlineStr">
        <is>
          <t>Lương:Cạnh tranh</t>
        </is>
      </c>
      <c r="F998" s="10" t="inlineStr">
        <is>
          <t>Hải Phòng</t>
        </is>
      </c>
      <c r="G998" s="10" t="inlineStr">
        <is>
          <t>24-03-2026</t>
        </is>
      </c>
      <c r="H998" s="10" t="inlineStr">
        <is>
          <t>24/03/2026</t>
        </is>
      </c>
      <c r="I998" s="10" t="inlineStr">
        <is>
          <t>17/03/2026</t>
        </is>
      </c>
      <c r="J998" s="10" t="inlineStr">
        <is>
          <t>Luật / Pháp lý, Kế toán / Kiểm toán, Tài chính / Đầu tư</t>
        </is>
      </c>
      <c r="K998" s="10" t="inlineStr">
        <is>
          <t>3 - 5 Năm</t>
        </is>
      </c>
      <c r="L998" s="11">
        <f>HYPERLINK("https://careerviet.vn/vi/tim-viec-lam/ke-toan-thue.35C66767.html","Xem chi tiết")</f>
        <v/>
      </c>
      <c r="M998" s="10" t="n"/>
    </row>
    <row r="999">
      <c r="B999" s="7" t="n">
        <v>997</v>
      </c>
      <c r="C999" t="inlineStr">
        <is>
          <t>Chuyên viên phát triển kinh doanh (SaaS/HR Tech)</t>
        </is>
      </c>
      <c r="D999" t="inlineStr">
        <is>
          <t>Công Ty Cổ Phần Le &amp; Associates</t>
        </is>
      </c>
      <c r="E999" t="inlineStr">
        <is>
          <t>Lương:Cạnh tranh</t>
        </is>
      </c>
      <c r="F999" t="inlineStr">
        <is>
          <t>Hồ Chí Minh</t>
        </is>
      </c>
      <c r="G999" t="inlineStr">
        <is>
          <t>15-04-2026</t>
        </is>
      </c>
      <c r="H999" t="inlineStr">
        <is>
          <t>15/04/2026</t>
        </is>
      </c>
      <c r="I999" t="inlineStr">
        <is>
          <t>17/03/2026</t>
        </is>
      </c>
      <c r="J999" t="inlineStr">
        <is>
          <t>Bán hàng / Kinh doanh</t>
        </is>
      </c>
      <c r="K999" t="inlineStr">
        <is>
          <t>2 - 5 Năm</t>
        </is>
      </c>
      <c r="L999" s="8">
        <f>HYPERLINK("https://careerviet.vn/vi/tim-viec-lam/chuyen-vien-phat-trien-kinh-doanh-saas-hr-tech.35C6BDE6.html","Xem chi tiết")</f>
        <v/>
      </c>
    </row>
    <row r="1000">
      <c r="B1000" s="9" t="n">
        <v>998</v>
      </c>
      <c r="C1000" s="10" t="inlineStr">
        <is>
          <t>Chuyên viên Quan hệ Khách hàng Cá nhân -  Đắk Lắk (Buôn Hồ, Eakar)</t>
        </is>
      </c>
      <c r="D1000" s="10" t="inlineStr">
        <is>
          <t>Ngân Hàng Thương Mại Cổ Phần Bảo Việt</t>
        </is>
      </c>
      <c r="E1000" s="10" t="inlineStr">
        <is>
          <t>Lương:10 Tr - 18 Tr VND</t>
        </is>
      </c>
      <c r="F1000" s="10" t="inlineStr">
        <is>
          <t>Dak Nông</t>
        </is>
      </c>
      <c r="G1000" s="10" t="inlineStr">
        <is>
          <t>31-03-2026</t>
        </is>
      </c>
      <c r="H1000" s="10" t="inlineStr">
        <is>
          <t>31/03/2026</t>
        </is>
      </c>
      <c r="I1000" s="10" t="inlineStr">
        <is>
          <t>17/03/2026</t>
        </is>
      </c>
      <c r="J1000" s="10" t="inlineStr">
        <is>
          <t>Ngân hàng, Bất động sản, Tài chính / Đầu tư</t>
        </is>
      </c>
      <c r="K1000" s="10" t="inlineStr">
        <is>
          <t>1 - 3 Năm</t>
        </is>
      </c>
      <c r="L1000" s="11">
        <f>HYPERLINK("https://careerviet.vn/vi/tim-viec-lam/chuyen-vien-quan-he-khach-hang-ca-nhan-dak-lak-buon-ho-eakar.35C6BC8B.html","Xem chi tiết")</f>
        <v/>
      </c>
      <c r="M1000" s="10" t="n"/>
    </row>
    <row r="1001">
      <c r="B1001" s="7" t="n">
        <v>999</v>
      </c>
      <c r="C1001" t="inlineStr">
        <is>
          <t>Trưởng Nhóm/Leader Booking KOL/KOC (Beauty, Mom &amp; Baby)</t>
        </is>
      </c>
      <c r="D1001" t="inlineStr">
        <is>
          <t>Công ty Cổ phần Công nghệ UpBase</t>
        </is>
      </c>
      <c r="E1001" t="inlineStr">
        <is>
          <t>Lương:15 Tr - 25 Tr VND</t>
        </is>
      </c>
      <c r="F1001" t="inlineStr">
        <is>
          <t>Hà Nội</t>
        </is>
      </c>
      <c r="G1001" t="inlineStr">
        <is>
          <t>24-03-2026</t>
        </is>
      </c>
      <c r="H1001" t="inlineStr">
        <is>
          <t>24/03/2026</t>
        </is>
      </c>
      <c r="I1001" t="inlineStr">
        <is>
          <t>17/03/2026</t>
        </is>
      </c>
      <c r="J1001" t="inlineStr">
        <is>
          <t>Tiếp thị / Marketing, Thương mại điện tử, Quảng cáo / Đối ngoại / Truyền Thông</t>
        </is>
      </c>
      <c r="K1001" t="inlineStr">
        <is>
          <t>Chưa có kinh nghiệm</t>
        </is>
      </c>
      <c r="L1001" s="8">
        <f>HYPERLINK("https://careerviet.vn/vi/tim-viec-lam/truong-nhom-leader-booking-kol-koc-beauty-mom-baby.35C66772.html","Xem chi tiết")</f>
        <v/>
      </c>
    </row>
    <row r="1002">
      <c r="B1002" s="9" t="n">
        <v>1000</v>
      </c>
      <c r="C1002" s="10" t="inlineStr">
        <is>
          <t>Chuyên viên tuyển dụng</t>
        </is>
      </c>
      <c r="D1002" s="10" t="inlineStr">
        <is>
          <t>Công ty TNHH MTV Giáo Dục Việt Mỹ</t>
        </is>
      </c>
      <c r="E1002" s="10" t="inlineStr">
        <is>
          <t>Lương:10 Tr - 12 Tr VND</t>
        </is>
      </c>
      <c r="F1002" s="10" t="inlineStr">
        <is>
          <t>Đồng Nai</t>
        </is>
      </c>
      <c r="G1002" s="10" t="inlineStr">
        <is>
          <t>6</t>
        </is>
      </c>
      <c r="H1002" s="10" t="inlineStr">
        <is>
          <t>23/03/2026</t>
        </is>
      </c>
      <c r="I1002" s="10" t="inlineStr">
        <is>
          <t>17/03/2026</t>
        </is>
      </c>
      <c r="J1002" s="10" t="inlineStr">
        <is>
          <t>Luật / Pháp lý, Hành chính / Thư ký, Nhân sự</t>
        </is>
      </c>
      <c r="K1002" s="10" t="inlineStr">
        <is>
          <t>1 - 2 Năm</t>
        </is>
      </c>
      <c r="L1002" s="11">
        <f>HYPERLINK("https://careerviet.vn/vi/tim-viec-lam/chuyen-vien-tuyen-dung.35C665A8.html","Xem chi tiết")</f>
        <v/>
      </c>
      <c r="M1002" s="10" t="n"/>
    </row>
    <row r="1003">
      <c r="B1003" s="7" t="n">
        <v>1001</v>
      </c>
      <c r="C1003" t="inlineStr">
        <is>
          <t>GIÁM SÁT CÔNG TRÌNH (HẠNG MỤC NHÔM KÍNH)</t>
        </is>
      </c>
      <c r="D1003" t="inlineStr">
        <is>
          <t>Công ty TNHH SX TM ĐT Nhôm AN LẬP PHÁT</t>
        </is>
      </c>
      <c r="E1003" t="inlineStr">
        <is>
          <t>Lương:Cạnh tranh</t>
        </is>
      </c>
      <c r="F1003" t="inlineStr">
        <is>
          <t>Hồ Chí Minh</t>
        </is>
      </c>
      <c r="G1003" t="inlineStr">
        <is>
          <t>24-03-2026</t>
        </is>
      </c>
      <c r="H1003" t="inlineStr">
        <is>
          <t>24/03/2026</t>
        </is>
      </c>
      <c r="I1003" t="inlineStr">
        <is>
          <t>17/03/2026</t>
        </is>
      </c>
      <c r="J1003" t="inlineStr">
        <is>
          <t>Kiến trúc, Xây dựng, Nội ngoại thất</t>
        </is>
      </c>
      <c r="K1003" t="inlineStr">
        <is>
          <t>2 - 5 Năm</t>
        </is>
      </c>
      <c r="L1003" s="8">
        <f>HYPERLINK("https://careerviet.vn/vi/tim-viec-lam/giam-sat-cong-trinh-hang-muc-nhom-kinh.35C666BD.html","Xem chi tiết")</f>
        <v/>
      </c>
    </row>
    <row r="1004">
      <c r="B1004" s="9" t="n">
        <v>1002</v>
      </c>
      <c r="C1004" s="10" t="inlineStr">
        <is>
          <t>Trưởng Phòng Thiết Kế</t>
        </is>
      </c>
      <c r="D1004" s="10" t="inlineStr">
        <is>
          <t>CÔNG TY CỔ PHẦN NỘI THẤT CASAMOTION VIỆT NAM</t>
        </is>
      </c>
      <c r="E1004" s="10" t="inlineStr">
        <is>
          <t>Lương:20 Tr - 25 Tr VND</t>
        </is>
      </c>
      <c r="F1004" s="10" t="inlineStr">
        <is>
          <t>Hà Nội</t>
        </is>
      </c>
      <c r="G1004" s="10" t="inlineStr">
        <is>
          <t>27-03-2026</t>
        </is>
      </c>
      <c r="H1004" s="10" t="inlineStr">
        <is>
          <t>27/03/2026</t>
        </is>
      </c>
      <c r="I1004" s="10" t="inlineStr">
        <is>
          <t>17/03/2026</t>
        </is>
      </c>
      <c r="J1004" s="10" t="inlineStr">
        <is>
          <t>Mỹ thuật / Nghệ thuật / Thiết kế, Nội ngoại thất, Sản xuất / Vận hành sản xuất</t>
        </is>
      </c>
      <c r="K1004" s="10" t="inlineStr">
        <is>
          <t>Trên 3 Năm</t>
        </is>
      </c>
      <c r="L1004" s="11">
        <f>HYPERLINK("https://careerviet.vn/vi/tim-viec-lam/truong-phong-thiet-ke.35C6668E.html","Xem chi tiết")</f>
        <v/>
      </c>
      <c r="M1004" s="10" t="n"/>
    </row>
    <row r="1005">
      <c r="B1005" s="7" t="n">
        <v>1003</v>
      </c>
      <c r="C1005" t="inlineStr">
        <is>
          <t>26662 - [JPJO] Career Advisor /Recruitment Consultant in Hanoi</t>
        </is>
      </c>
      <c r="D1005" t="inlineStr">
        <is>
          <t>RGF HR Agent Vietnam Co., LTD</t>
        </is>
      </c>
      <c r="E1005" t="inlineStr">
        <is>
          <t>Lương:Cạnh tranh</t>
        </is>
      </c>
      <c r="F1005" t="inlineStr">
        <is>
          <t>Hà Nội</t>
        </is>
      </c>
      <c r="G1005" t="inlineStr">
        <is>
          <t>10-04-2026</t>
        </is>
      </c>
      <c r="H1005" t="inlineStr">
        <is>
          <t>10/04/2026</t>
        </is>
      </c>
      <c r="I1005" t="inlineStr">
        <is>
          <t>17/03/2026</t>
        </is>
      </c>
      <c r="J1005" t="inlineStr">
        <is>
          <t>Nhân sự, Tư vấn, Dịch vụ khách hàng</t>
        </is>
      </c>
      <c r="K1005" t="inlineStr">
        <is>
          <t>N/A</t>
        </is>
      </c>
      <c r="L1005" s="8">
        <f>HYPERLINK("https://careerviet.vn/vi/tim-viec-lam/26662-jpjo-career-advisor-recruitment-consultant-in-hanoi.35C6BC04.html","Xem chi tiết")</f>
        <v/>
      </c>
    </row>
    <row r="1006">
      <c r="B1006" s="9" t="n">
        <v>1004</v>
      </c>
      <c r="C1006" s="10" t="inlineStr">
        <is>
          <t>Nhân Viên Giám Sát Kỹ Thuật Sản Xuất Nội Thất</t>
        </is>
      </c>
      <c r="D1006" s="10" t="inlineStr">
        <is>
          <t>CÔNG TY CỔ PHẦN NỘI THẤT CASAMOTION VIỆT NAM</t>
        </is>
      </c>
      <c r="E1006" s="10" t="inlineStr">
        <is>
          <t>Lương:Cạnh tranh</t>
        </is>
      </c>
      <c r="F1006" s="10" t="inlineStr">
        <is>
          <t>Hà Nội</t>
        </is>
      </c>
      <c r="G1006" s="10" t="inlineStr">
        <is>
          <t>30-03-2026</t>
        </is>
      </c>
      <c r="H1006" s="10" t="inlineStr">
        <is>
          <t>30/03/2026</t>
        </is>
      </c>
      <c r="I1006" s="10" t="inlineStr">
        <is>
          <t>17/03/2026</t>
        </is>
      </c>
      <c r="J1006" s="10" t="inlineStr">
        <is>
          <t>Nội ngoại thất, Mỹ thuật / Nghệ thuật / Thiết kế, Sản xuất / Vận hành sản xuất</t>
        </is>
      </c>
      <c r="K1006" s="10" t="inlineStr">
        <is>
          <t>1 - 2 Năm</t>
        </is>
      </c>
      <c r="L1006" s="11">
        <f>HYPERLINK("https://careerviet.vn/vi/tim-viec-lam/nhan-vien-giam-sat-ky-thuat-san-xuat-noi-that.35C66694.html","Xem chi tiết")</f>
        <v/>
      </c>
      <c r="M1006" s="10" t="n"/>
    </row>
    <row r="1007">
      <c r="B1007" s="7" t="n">
        <v>1005</v>
      </c>
      <c r="C1007" t="inlineStr">
        <is>
          <t>HO - Khối KHDNL - Giám đốc Quan hệ Khách hàng KHDNL</t>
        </is>
      </c>
      <c r="D1007" t="inlineStr">
        <is>
          <t>Ngân hàng TMCP Lộc Phát Việt Nam (LPBank)</t>
        </is>
      </c>
      <c r="E1007" t="inlineStr">
        <is>
          <t>Lương:Cạnh tranh</t>
        </is>
      </c>
      <c r="F1007" t="inlineStr">
        <is>
          <t>Hà Nội</t>
        </is>
      </c>
      <c r="G1007" t="inlineStr">
        <is>
          <t>29-04-2026</t>
        </is>
      </c>
      <c r="H1007" t="inlineStr">
        <is>
          <t>29/04/2026</t>
        </is>
      </c>
      <c r="I1007" t="inlineStr">
        <is>
          <t>17/03/2026</t>
        </is>
      </c>
      <c r="J1007" t="inlineStr">
        <is>
          <t>Ngân hàng, Tài chính / Đầu tư</t>
        </is>
      </c>
      <c r="K1007" t="inlineStr">
        <is>
          <t>Trên 3 Năm</t>
        </is>
      </c>
      <c r="L1007" s="8">
        <f>HYPERLINK("https://careerviet.vn/vi/tim-viec-lam/ho-khoi-khdnl-giam-doc-quan-he-khach-hang-khdnl.35C6BBCE.html","Xem chi tiết")</f>
        <v/>
      </c>
    </row>
    <row r="1008">
      <c r="B1008" s="9" t="n">
        <v>1006</v>
      </c>
      <c r="C1008" s="10" t="inlineStr">
        <is>
          <t>Đại Diện Kinh Doanh Khu Vực</t>
        </is>
      </c>
      <c r="D1008" s="10" t="inlineStr">
        <is>
          <t>Công ty TNHH Thương mại Excellence Mar</t>
        </is>
      </c>
      <c r="E1008" s="10" t="inlineStr">
        <is>
          <t>Lương:Lên đến 12 Tr VND</t>
        </is>
      </c>
      <c r="F1008" s="10" t="inlineStr">
        <is>
          <t>Hồ Chí MinhHà Nội</t>
        </is>
      </c>
      <c r="G1008" s="10" t="inlineStr">
        <is>
          <t>09-04-2026</t>
        </is>
      </c>
      <c r="H1008" s="10" t="inlineStr">
        <is>
          <t>09/04/2026</t>
        </is>
      </c>
      <c r="I1008" s="10" t="inlineStr">
        <is>
          <t>17/03/2026</t>
        </is>
      </c>
      <c r="J1008" s="10" t="inlineStr">
        <is>
          <t>Bán hàng / Kinh doanh, Nội ngoại thất, Bán lẻ / Bán sỉ</t>
        </is>
      </c>
      <c r="K1008" s="10" t="inlineStr">
        <is>
          <t>Trên 1 Năm</t>
        </is>
      </c>
      <c r="L1008" s="11">
        <f>HYPERLINK("https://careerviet.vn/vi/tim-viec-lam/dai-dien-kinh-doanh-khu-vuc.35C6BA2A.html","Xem chi tiết")</f>
        <v/>
      </c>
      <c r="M1008" s="10" t="n"/>
    </row>
    <row r="1009">
      <c r="B1009" s="7" t="n">
        <v>1007</v>
      </c>
      <c r="C1009" t="inlineStr">
        <is>
          <t>Chuyên viên kiểm soát nội bộ</t>
        </is>
      </c>
      <c r="D1009" t="inlineStr">
        <is>
          <t>Công ty TNHH MTV Giáo Dục Việt Mỹ</t>
        </is>
      </c>
      <c r="E1009" t="inlineStr">
        <is>
          <t>Lương:12 Tr - 15 Tr VND</t>
        </is>
      </c>
      <c r="F1009" t="inlineStr">
        <is>
          <t>Đồng Nai</t>
        </is>
      </c>
      <c r="G1009" t="inlineStr">
        <is>
          <t>24-03-2026</t>
        </is>
      </c>
      <c r="H1009" t="inlineStr">
        <is>
          <t>24/03/2026</t>
        </is>
      </c>
      <c r="I1009" t="inlineStr">
        <is>
          <t>17/03/2026</t>
        </is>
      </c>
      <c r="J1009" t="inlineStr">
        <is>
          <t>Kế toán / Kiểm toán, Ngân hàng, Tài chính / Đầu tư</t>
        </is>
      </c>
      <c r="K1009" t="inlineStr">
        <is>
          <t>2 - 3 Năm</t>
        </is>
      </c>
      <c r="L1009" s="8">
        <f>HYPERLINK("https://careerviet.vn/vi/tim-viec-lam/chuyen-vien-kiem-soat-noi-bo.35C66682.html","Xem chi tiết")</f>
        <v/>
      </c>
    </row>
    <row r="1010">
      <c r="B1010" s="9" t="n">
        <v>1008</v>
      </c>
      <c r="C1010" s="10" t="inlineStr">
        <is>
          <t>Chuyên viên tài chính</t>
        </is>
      </c>
      <c r="D1010" s="10" t="inlineStr">
        <is>
          <t>Công ty TNHH MTV Giáo Dục Việt Mỹ</t>
        </is>
      </c>
      <c r="E1010" s="10" t="inlineStr">
        <is>
          <t>Lương:12 Tr - 15 Tr VND</t>
        </is>
      </c>
      <c r="F1010" s="10" t="inlineStr">
        <is>
          <t>Đồng Nai</t>
        </is>
      </c>
      <c r="G1010" s="10" t="inlineStr">
        <is>
          <t>24-03-2026</t>
        </is>
      </c>
      <c r="H1010" s="10" t="inlineStr">
        <is>
          <t>24/03/2026</t>
        </is>
      </c>
      <c r="I1010" s="10" t="inlineStr">
        <is>
          <t>17/03/2026</t>
        </is>
      </c>
      <c r="J1010" s="10" t="inlineStr">
        <is>
          <t>Kế toán / Kiểm toán, Ngân hàng, Tài chính / Đầu tư</t>
        </is>
      </c>
      <c r="K1010" s="10" t="inlineStr">
        <is>
          <t>2 - 3 Năm</t>
        </is>
      </c>
      <c r="L1010" s="11">
        <f>HYPERLINK("https://careerviet.vn/vi/tim-viec-lam/chuyen-vien-tai-chinh.35C6666E.html","Xem chi tiết")</f>
        <v/>
      </c>
      <c r="M1010" s="10" t="n"/>
    </row>
    <row r="1011">
      <c r="B1011" s="7" t="n">
        <v>1009</v>
      </c>
      <c r="C1011" t="inlineStr">
        <is>
          <t>Nhân viên kinh doanh lữ hành</t>
        </is>
      </c>
      <c r="D1011" t="inlineStr">
        <is>
          <t>CÔNG TY CỔ PHẦN VPS GLOBAL</t>
        </is>
      </c>
      <c r="E1011" t="inlineStr">
        <is>
          <t>Lương:Cạnh tranh</t>
        </is>
      </c>
      <c r="F1011" t="inlineStr">
        <is>
          <t>Hồ Chí Minh</t>
        </is>
      </c>
      <c r="G1011" t="inlineStr">
        <is>
          <t>5</t>
        </is>
      </c>
      <c r="H1011" t="inlineStr">
        <is>
          <t>22/03/2026</t>
        </is>
      </c>
      <c r="I1011" t="inlineStr">
        <is>
          <t>17/03/2026</t>
        </is>
      </c>
      <c r="J1011" t="inlineStr">
        <is>
          <t>Du lịch</t>
        </is>
      </c>
      <c r="K1011" t="inlineStr">
        <is>
          <t>2 - 4 Năm</t>
        </is>
      </c>
      <c r="L1011" s="8">
        <f>HYPERLINK("https://careerviet.vn/vi/tim-viec-lam/nhan-vien-kinh-doanh-lu-hanh.35C6624A.html","Xem chi tiết")</f>
        <v/>
      </c>
    </row>
    <row r="1012">
      <c r="B1012" s="9" t="n">
        <v>1010</v>
      </c>
      <c r="C1012" s="10" t="inlineStr">
        <is>
          <t>PHÓ TỔNG GIÁM ĐỐC TÀI CHÍNH</t>
        </is>
      </c>
      <c r="D1012" s="10" t="inlineStr">
        <is>
          <t>Công Ty Cổ Phần Cara Group</t>
        </is>
      </c>
      <c r="E1012" s="10" t="inlineStr">
        <is>
          <t>Lương:40 Tr - 60 Tr VND</t>
        </is>
      </c>
      <c r="F1012" s="10" t="inlineStr">
        <is>
          <t>Cần Thơ</t>
        </is>
      </c>
      <c r="G1012" s="10" t="inlineStr">
        <is>
          <t>5</t>
        </is>
      </c>
      <c r="H1012" s="10" t="inlineStr">
        <is>
          <t>22/03/2026</t>
        </is>
      </c>
      <c r="I1012" s="10" t="inlineStr">
        <is>
          <t>17/03/2026</t>
        </is>
      </c>
      <c r="J1012" s="10" t="inlineStr">
        <is>
          <t>Kế toán / Kiểm toán, Chứng khoán, Tài chính / Đầu tư</t>
        </is>
      </c>
      <c r="K1012" s="10" t="inlineStr">
        <is>
          <t>5 - 10 Năm</t>
        </is>
      </c>
      <c r="L1012" s="11">
        <f>HYPERLINK("https://careerviet.vn/vi/tim-viec-lam/pho-tong-giam-doc-tai-chinh.35C66320.html","Xem chi tiết")</f>
        <v/>
      </c>
      <c r="M1012" s="10" t="n"/>
    </row>
    <row r="1013">
      <c r="B1013" s="7" t="n">
        <v>1011</v>
      </c>
      <c r="C1013" t="inlineStr">
        <is>
          <t>Kế Toán Trưởng</t>
        </is>
      </c>
      <c r="D1013" t="inlineStr">
        <is>
          <t>CÔNG TY CỔ PHẦN THƯƠNG MẠI XÂY DỰNG VÀ XUẤT NHẬP KHẨU DUYÊN HẢI</t>
        </is>
      </c>
      <c r="E1013" t="inlineStr">
        <is>
          <t>Lương:Cạnh tranh</t>
        </is>
      </c>
      <c r="F1013" t="inlineStr">
        <is>
          <t>Hải Phòng</t>
        </is>
      </c>
      <c r="G1013" t="inlineStr">
        <is>
          <t>24-03-2026</t>
        </is>
      </c>
      <c r="H1013" t="inlineStr">
        <is>
          <t>24/03/2026</t>
        </is>
      </c>
      <c r="I1013" t="inlineStr">
        <is>
          <t>17/03/2026</t>
        </is>
      </c>
      <c r="J1013" t="inlineStr">
        <is>
          <t>Quản lý điều hành, Kế toán / Kiểm toán, Tài chính / Đầu tư</t>
        </is>
      </c>
      <c r="K1013" t="inlineStr">
        <is>
          <t>5 - 5 Năm</t>
        </is>
      </c>
      <c r="L1013" s="8">
        <f>HYPERLINK("https://careerviet.vn/vi/tim-viec-lam/ke-toan-truong.35C66766.html","Xem chi tiết")</f>
        <v/>
      </c>
    </row>
    <row r="1014">
      <c r="B1014" s="9" t="n">
        <v>1012</v>
      </c>
      <c r="C1014" s="10" t="inlineStr">
        <is>
          <t>KẾ TOÁN TỔNG HỢP</t>
        </is>
      </c>
      <c r="D1014" s="10" t="inlineStr">
        <is>
          <t>CÔNG TY TNHH TOHOGENKAI VIỆT NAM</t>
        </is>
      </c>
      <c r="E1014" s="10" t="inlineStr">
        <is>
          <t>Lương:12 Tr - 18 Tr VND</t>
        </is>
      </c>
      <c r="F1014" s="10" t="inlineStr">
        <is>
          <t>Hà Nội</t>
        </is>
      </c>
      <c r="G1014" s="10" t="inlineStr">
        <is>
          <t>6</t>
        </is>
      </c>
      <c r="H1014" s="10" t="inlineStr">
        <is>
          <t>23/03/2026</t>
        </is>
      </c>
      <c r="I1014" s="10" t="inlineStr">
        <is>
          <t>17/03/2026</t>
        </is>
      </c>
      <c r="J1014" s="10" t="inlineStr">
        <is>
          <t>Thương mại điện tử, Kế toán / Kiểm toán, Tài chính / Đầu tư</t>
        </is>
      </c>
      <c r="K1014" s="10" t="inlineStr">
        <is>
          <t>3 - 5 Năm</t>
        </is>
      </c>
      <c r="L1014" s="11">
        <f>HYPERLINK("https://careerviet.vn/vi/tim-viec-lam/ke-toan-tong-hop.35C66468.html","Xem chi tiết")</f>
        <v/>
      </c>
      <c r="M1014" s="10" t="n"/>
    </row>
    <row r="1015">
      <c r="B1015" s="7" t="n">
        <v>1013</v>
      </c>
      <c r="C1015" t="inlineStr">
        <is>
          <t>PHÓ TỔNG GIÁM ĐỐC KINH DOANH - TIẾP THỊ</t>
        </is>
      </c>
      <c r="D1015" t="inlineStr">
        <is>
          <t>Công Ty Cổ Phần Cara Group</t>
        </is>
      </c>
      <c r="E1015" t="inlineStr">
        <is>
          <t>Lương:40 Tr - 50 Tr VND</t>
        </is>
      </c>
      <c r="F1015" t="inlineStr">
        <is>
          <t>Cần Thơ</t>
        </is>
      </c>
      <c r="G1015" t="inlineStr">
        <is>
          <t>5</t>
        </is>
      </c>
      <c r="H1015" t="inlineStr">
        <is>
          <t>22/03/2026</t>
        </is>
      </c>
      <c r="I1015" t="inlineStr">
        <is>
          <t>17/03/2026</t>
        </is>
      </c>
      <c r="J1015" t="inlineStr">
        <is>
          <t>Tiếp thị / Marketing, Bán hàng / Kinh doanh, Bất động sản</t>
        </is>
      </c>
      <c r="K1015" t="inlineStr">
        <is>
          <t>3 - 7 Năm</t>
        </is>
      </c>
      <c r="L1015" s="8">
        <f>HYPERLINK("https://careerviet.vn/vi/tim-viec-lam/pho-tong-giam-doc-kinh-doanh-tiep-thi.35C6635B.html","Xem chi tiết")</f>
        <v/>
      </c>
    </row>
    <row r="1016">
      <c r="B1016" s="9" t="n">
        <v>1014</v>
      </c>
      <c r="C1016" s="10" t="inlineStr">
        <is>
          <t>CHUYÊN VIÊN TÀI CHÍNH (IPO)</t>
        </is>
      </c>
      <c r="D1016" s="10" t="inlineStr">
        <is>
          <t>Công Ty Cổ Phần Cara Group</t>
        </is>
      </c>
      <c r="E1016" s="10" t="inlineStr">
        <is>
          <t>Lương:15 Tr - 20 Tr VND</t>
        </is>
      </c>
      <c r="F1016" s="10" t="inlineStr">
        <is>
          <t>Cần Thơ</t>
        </is>
      </c>
      <c r="G1016" s="10" t="inlineStr">
        <is>
          <t>5</t>
        </is>
      </c>
      <c r="H1016" s="10" t="inlineStr">
        <is>
          <t>22/03/2026</t>
        </is>
      </c>
      <c r="I1016" s="10" t="inlineStr">
        <is>
          <t>17/03/2026</t>
        </is>
      </c>
      <c r="J1016" s="10" t="inlineStr">
        <is>
          <t>Chứng khoán, Tài chính / Đầu tư</t>
        </is>
      </c>
      <c r="K1016" s="10" t="inlineStr">
        <is>
          <t>2 - 5 Năm</t>
        </is>
      </c>
      <c r="L1016" s="11">
        <f>HYPERLINK("https://careerviet.vn/vi/tim-viec-lam/chuyen-vien-tai-chinh-ipo.35C66361.html","Xem chi tiết")</f>
        <v/>
      </c>
      <c r="M1016" s="10" t="n"/>
    </row>
    <row r="1017">
      <c r="B1017" s="7" t="n">
        <v>1015</v>
      </c>
      <c r="C1017" t="inlineStr">
        <is>
          <t>Quản Lý Kênh Bán Thương Mại Điện Tử - Shopee</t>
        </is>
      </c>
      <c r="D1017" t="inlineStr">
        <is>
          <t>CÔNG TY TNHH MTV THƯƠNG MẠI DỊCH VỤ BLUE OCEAN- THẾ GIỚI SKINFOOD</t>
        </is>
      </c>
      <c r="E1017" t="inlineStr">
        <is>
          <t>Lương:10 Tr - 15 Tr VND</t>
        </is>
      </c>
      <c r="F1017" t="inlineStr">
        <is>
          <t>Hồ Chí Minh</t>
        </is>
      </c>
      <c r="G1017" t="inlineStr">
        <is>
          <t>5</t>
        </is>
      </c>
      <c r="H1017" t="inlineStr">
        <is>
          <t>22/03/2026</t>
        </is>
      </c>
      <c r="I1017" t="inlineStr">
        <is>
          <t>17/03/2026</t>
        </is>
      </c>
      <c r="J1017" t="inlineStr">
        <is>
          <t>Bán lẻ / Bán sỉ, Tiếp thị trực tuyến, Thương mại điện tử</t>
        </is>
      </c>
      <c r="K1017" t="inlineStr">
        <is>
          <t>1 - 2 Năm</t>
        </is>
      </c>
      <c r="L1017" s="8">
        <f>HYPERLINK("https://careerviet.vn/vi/tim-viec-lam/quan-ly-kenh-ban-thuong-mai-dien-tu-shopee.35C6639D.html","Xem chi tiết")</f>
        <v/>
      </c>
    </row>
    <row r="1018">
      <c r="B1018" s="9" t="n">
        <v>1016</v>
      </c>
      <c r="C1018" s="10" t="inlineStr">
        <is>
          <t>Chuyên Viên QHKH Cá nhân &amp; Doanh nghiệp (Trảng Bom/Gia Ray)</t>
        </is>
      </c>
      <c r="D1018" s="10" t="inlineStr">
        <is>
          <t>Ngân hàng TMCP Phát triển TP.HCM (HDBank)</t>
        </is>
      </c>
      <c r="E1018" s="10" t="inlineStr">
        <is>
          <t>Lương:Cạnh tranh</t>
        </is>
      </c>
      <c r="F1018" s="10" t="inlineStr">
        <is>
          <t>Đồng Nai</t>
        </is>
      </c>
      <c r="G1018" s="10" t="inlineStr">
        <is>
          <t>6</t>
        </is>
      </c>
      <c r="H1018" s="10" t="inlineStr">
        <is>
          <t>23/03/2026</t>
        </is>
      </c>
      <c r="I1018" s="10" t="inlineStr">
        <is>
          <t>17/03/2026</t>
        </is>
      </c>
      <c r="J1018" s="10" t="inlineStr">
        <is>
          <t>Bán hàng / Kinh doanh, Tư vấn, Ngân hàng</t>
        </is>
      </c>
      <c r="K1018" s="10" t="inlineStr">
        <is>
          <t>1 - 3 Năm</t>
        </is>
      </c>
      <c r="L1018" s="11">
        <f>HYPERLINK("https://careerviet.vn/vi/tim-viec-lam/chuyen-vien-qhkh-ca-nhan-doanh-nghiep-trang-bom-gia-ray.35C66370.html","Xem chi tiết")</f>
        <v/>
      </c>
      <c r="M1018" s="10" t="n"/>
    </row>
    <row r="1019">
      <c r="B1019" s="7" t="n">
        <v>1017</v>
      </c>
      <c r="C1019" t="inlineStr">
        <is>
          <t>Nhân viên Dịch vụ Visa</t>
        </is>
      </c>
      <c r="D1019" t="inlineStr">
        <is>
          <t>CÔNG TY CỔ PHẦN VPS GLOBAL</t>
        </is>
      </c>
      <c r="E1019" t="inlineStr">
        <is>
          <t>Lương:Cạnh tranh</t>
        </is>
      </c>
      <c r="F1019" t="inlineStr">
        <is>
          <t>Hồ Chí Minh</t>
        </is>
      </c>
      <c r="G1019" t="inlineStr">
        <is>
          <t>11-04-2026</t>
        </is>
      </c>
      <c r="H1019" t="inlineStr">
        <is>
          <t>11/04/2026</t>
        </is>
      </c>
      <c r="I1019" t="inlineStr">
        <is>
          <t>17/03/2026</t>
        </is>
      </c>
      <c r="J1019" t="inlineStr">
        <is>
          <t>Du lịch, Dịch vụ khách hàng</t>
        </is>
      </c>
      <c r="K1019" t="inlineStr">
        <is>
          <t>2 - 3 Năm</t>
        </is>
      </c>
      <c r="L1019" s="8">
        <f>HYPERLINK("https://careerviet.vn/vi/tim-viec-lam/nhan-vien-dich-vu-visa.35C6629C.html","Xem chi tiết")</f>
        <v/>
      </c>
    </row>
    <row r="1020">
      <c r="B1020" s="9" t="n">
        <v>1018</v>
      </c>
      <c r="C1020" s="10" t="inlineStr">
        <is>
          <t>Trưởng phòng Kinh doanh (có thể nhận việc sau Tết)</t>
        </is>
      </c>
      <c r="D1020" s="10" t="inlineStr">
        <is>
          <t>CÔNG TY TNHH THƯƠNG MẠI DỊCH VỤ KỸ THUẬT NHẬT HẠ</t>
        </is>
      </c>
      <c r="E1020" s="10" t="inlineStr">
        <is>
          <t>Lương:Cạnh tranh</t>
        </is>
      </c>
      <c r="F1020" s="10" t="inlineStr">
        <is>
          <t>Hồ Chí Minh</t>
        </is>
      </c>
      <c r="G1020" s="10" t="inlineStr">
        <is>
          <t>3</t>
        </is>
      </c>
      <c r="H1020" s="10" t="inlineStr">
        <is>
          <t>20/03/2026</t>
        </is>
      </c>
      <c r="I1020" s="10" t="inlineStr">
        <is>
          <t>17/03/2026</t>
        </is>
      </c>
      <c r="J1020" s="10" t="inlineStr">
        <is>
          <t>Bán hàng / Kinh doanh, Bán Hàng Kỹ Thuật, Điện / Điện tử / Điện lạnh / Điện công nghiệp</t>
        </is>
      </c>
      <c r="K1020" s="10" t="inlineStr">
        <is>
          <t>3 - 7 Năm</t>
        </is>
      </c>
      <c r="L1020" s="11">
        <f>HYPERLINK("https://careerviet.vn/vi/tim-viec-lam/truong-phong-kinh-doanh-co-the-nhan-viec-sau-tet.35C66022.html","Xem chi tiết")</f>
        <v/>
      </c>
      <c r="M1020" s="10" t="n"/>
    </row>
    <row r="1021">
      <c r="B1021" s="7" t="n">
        <v>1019</v>
      </c>
      <c r="C1021" t="inlineStr">
        <is>
          <t>Kỹ sư giám sát xây dựng (Đồng Nai/Bình Dương/Nghệ An/Phú Quốc) - Đi làm ngay</t>
        </is>
      </c>
      <c r="D1021" t="inlineStr">
        <is>
          <t>Công ty CP Xây Dựng Bông Sen Vàng - Golden Lotus Construction</t>
        </is>
      </c>
      <c r="E1021" t="inlineStr">
        <is>
          <t>Lương:15 Tr - 25 Tr VND</t>
        </is>
      </c>
      <c r="F1021" t="inlineStr">
        <is>
          <t>Nghệ AnBình DươngĐồng Nai</t>
        </is>
      </c>
      <c r="G1021" t="inlineStr">
        <is>
          <t>24-03-2026</t>
        </is>
      </c>
      <c r="H1021" t="inlineStr">
        <is>
          <t>24/03/2026</t>
        </is>
      </c>
      <c r="I1021" t="inlineStr">
        <is>
          <t>17/03/2026</t>
        </is>
      </c>
      <c r="J1021" t="inlineStr">
        <is>
          <t>Xây dựng, Bất động sản</t>
        </is>
      </c>
      <c r="K1021" t="inlineStr">
        <is>
          <t>1 - 3 Năm</t>
        </is>
      </c>
      <c r="L1021" s="8">
        <f>HYPERLINK("https://careerviet.vn/vi/tim-viec-lam/ky-su-giam-sat-xay-dung-dong-nai-binh-duong-nghe-an-phu-quoc-di-lam-ngay.35C666C7.html","Xem chi tiết")</f>
        <v/>
      </c>
    </row>
    <row r="1022">
      <c r="B1022" s="9" t="n">
        <v>1020</v>
      </c>
      <c r="C1022" s="10" t="inlineStr">
        <is>
          <t>Quality Engineer</t>
        </is>
      </c>
      <c r="D1022" s="10" t="inlineStr">
        <is>
          <t>CÔNG TY TNHH RAPID AID VIỆT NAM</t>
        </is>
      </c>
      <c r="E1022" s="10" t="inlineStr">
        <is>
          <t>Lương:15 Tr - 17 Tr VND</t>
        </is>
      </c>
      <c r="F1022" s="10" t="inlineStr">
        <is>
          <t>Hải Phòng</t>
        </is>
      </c>
      <c r="G1022" s="10" t="inlineStr">
        <is>
          <t>13-04-2026</t>
        </is>
      </c>
      <c r="H1022" s="10" t="inlineStr">
        <is>
          <t>13/04/2026</t>
        </is>
      </c>
      <c r="I1022" s="10" t="inlineStr">
        <is>
          <t>17/03/2026</t>
        </is>
      </c>
      <c r="J1022" s="10" t="inlineStr">
        <is>
          <t>Cơ khí / Ô tô / Tự động hóa, Sản xuất / Vận hành sản xuất, Quản lý chất lượng (QA/QC)</t>
        </is>
      </c>
      <c r="K1022" s="10" t="inlineStr">
        <is>
          <t>Trên 3 Năm</t>
        </is>
      </c>
      <c r="L1022" s="11">
        <f>HYPERLINK("https://careerviet.vn/vi/tim-viec-lam/quality-engineer.35C65774.html","Xem chi tiết")</f>
        <v/>
      </c>
      <c r="M1022" s="10" t="n"/>
    </row>
    <row r="1023">
      <c r="B1023" s="7" t="n">
        <v>1021</v>
      </c>
      <c r="C1023" t="inlineStr">
        <is>
          <t>Kiến Trúc Sư Triển Khai Kỹ Thuật (Biết Sử Dụng Revit)</t>
        </is>
      </c>
      <c r="D1023" t="inlineStr">
        <is>
          <t>Công ty Cổ Phần Kiến Trúc HighEnd</t>
        </is>
      </c>
      <c r="E1023" t="inlineStr">
        <is>
          <t>Lương:15 Tr - 20 Tr VND</t>
        </is>
      </c>
      <c r="F1023" t="inlineStr">
        <is>
          <t>Hà Nội</t>
        </is>
      </c>
      <c r="G1023" t="inlineStr">
        <is>
          <t>5</t>
        </is>
      </c>
      <c r="H1023" t="inlineStr">
        <is>
          <t>22/03/2026</t>
        </is>
      </c>
      <c r="I1023" t="inlineStr">
        <is>
          <t>17/03/2026</t>
        </is>
      </c>
      <c r="J1023" t="inlineStr">
        <is>
          <t>CNTT - Phần mềm, Kiến trúc, Xây dựng</t>
        </is>
      </c>
      <c r="K1023" t="inlineStr">
        <is>
          <t>3 Năm</t>
        </is>
      </c>
      <c r="L1023" s="8">
        <f>HYPERLINK("https://careerviet.vn/vi/tim-viec-lam/kien-truc-su-trien-khai-ky-thuat-biet-su-dung-revit.35C662AA.html","Xem chi tiết")</f>
        <v/>
      </c>
    </row>
    <row r="1024">
      <c r="B1024" s="9" t="n">
        <v>1022</v>
      </c>
      <c r="C1024" s="10" t="inlineStr">
        <is>
          <t>Nhân viên kinh doanh bất động sản</t>
        </is>
      </c>
      <c r="D1024" s="10" t="inlineStr">
        <is>
          <t>CÔNG TY TNHH BẤT ĐỘNG SẢN TẬP ĐOÀN NAM VIỆT</t>
        </is>
      </c>
      <c r="E1024" s="10" t="inlineStr">
        <is>
          <t>Lương:Cạnh tranh</t>
        </is>
      </c>
      <c r="F1024" s="10" t="inlineStr">
        <is>
          <t>Hồ Chí Minh</t>
        </is>
      </c>
      <c r="G1024" s="10" t="inlineStr">
        <is>
          <t>3</t>
        </is>
      </c>
      <c r="H1024" s="10" t="inlineStr">
        <is>
          <t>20/03/2026</t>
        </is>
      </c>
      <c r="I1024" s="10" t="inlineStr">
        <is>
          <t>17/03/2026</t>
        </is>
      </c>
      <c r="J1024" s="10" t="inlineStr">
        <is>
          <t>Bất động sản, Tiếp thị / Marketing, Bán hàng / Kinh doanh</t>
        </is>
      </c>
      <c r="K1024" s="10" t="inlineStr">
        <is>
          <t>N/A</t>
        </is>
      </c>
      <c r="L1024" s="11">
        <f>HYPERLINK("https://careerviet.vn/vi/tim-viec-lam/nhan-vien-kinh-doanh-bat-dong-san.35C6601A.html","Xem chi tiết")</f>
        <v/>
      </c>
      <c r="M1024" s="10" t="n"/>
    </row>
    <row r="1025">
      <c r="B1025" s="7" t="n">
        <v>1023</v>
      </c>
      <c r="C1025" t="inlineStr">
        <is>
          <t>Giám đốc Quan hệ Khách hàng Cá nhân (RM) - Khu vực Phú Quốc</t>
        </is>
      </c>
      <c r="D1025" t="inlineStr">
        <is>
          <t>Ngân Hàng TMCP Quốc Dân (NCB)</t>
        </is>
      </c>
      <c r="E1025" t="inlineStr">
        <is>
          <t>Lương:Cạnh tranh</t>
        </is>
      </c>
      <c r="F1025" t="inlineStr">
        <is>
          <t>Kiên Giang</t>
        </is>
      </c>
      <c r="G1025" t="inlineStr">
        <is>
          <t>Hôm nay</t>
        </is>
      </c>
      <c r="H1025" t="inlineStr">
        <is>
          <t>17/03/2026</t>
        </is>
      </c>
      <c r="I1025" t="inlineStr">
        <is>
          <t>17/03/2026</t>
        </is>
      </c>
      <c r="J1025" t="inlineStr">
        <is>
          <t>Bán hàng / Kinh doanh, Tư vấn, Ngân hàng</t>
        </is>
      </c>
      <c r="K1025" t="inlineStr">
        <is>
          <t>Trên 1 Năm</t>
        </is>
      </c>
      <c r="L1025" s="8">
        <f>HYPERLINK("https://careerviet.vn/vi/tim-viec-lam/giam-doc-quan-he-khach-hang-ca-nhan-rm-khu-vuc-phu-quoc.35C65CA6.html","Xem chi tiết")</f>
        <v/>
      </c>
    </row>
    <row r="1026">
      <c r="B1026" s="9" t="n">
        <v>1024</v>
      </c>
      <c r="C1026" s="10" t="inlineStr">
        <is>
          <t>Kỹ Thuật Viên Bảo Trì Điện - KCN Long Hậu</t>
        </is>
      </c>
      <c r="D1026" s="10" t="inlineStr">
        <is>
          <t>Saint-Gobain Vietnam</t>
        </is>
      </c>
      <c r="E1026" s="10" t="inlineStr">
        <is>
          <t>Lương:10 Tr - 15 Tr VND</t>
        </is>
      </c>
      <c r="F1026" s="10" t="inlineStr">
        <is>
          <t>Hồ Chí MinhLong An</t>
        </is>
      </c>
      <c r="G1026" s="10" t="inlineStr">
        <is>
          <t>13-04-2026</t>
        </is>
      </c>
      <c r="H1026" s="10" t="inlineStr">
        <is>
          <t>13/04/2026</t>
        </is>
      </c>
      <c r="I1026" s="10" t="inlineStr">
        <is>
          <t>17/03/2026</t>
        </is>
      </c>
      <c r="J1026" s="10" t="inlineStr">
        <is>
          <t>Điện / Điện tử / Điện lạnh / Điện công nghiệp, Bảo trì / Sửa chữa</t>
        </is>
      </c>
      <c r="K1026" s="10" t="inlineStr">
        <is>
          <t>1 - 10 Năm</t>
        </is>
      </c>
      <c r="L1026" s="11">
        <f>HYPERLINK("https://careerviet.vn/vi/tim-viec-lam/ky-thuat-vien-bao-tri-dien-kcn-long-hau.35C65690.html","Xem chi tiết")</f>
        <v/>
      </c>
      <c r="M1026" s="10" t="n"/>
    </row>
    <row r="1027">
      <c r="B1027" s="7" t="n">
        <v>1025</v>
      </c>
      <c r="C1027" t="inlineStr">
        <is>
          <t>Giám  Sát Bán Hàng - Kênh GT Đồng Tháp - Tuyển mới</t>
        </is>
      </c>
      <c r="D1027" t="inlineStr">
        <is>
          <t>Công Ty NABATI Việt Nam</t>
        </is>
      </c>
      <c r="E1027" t="inlineStr">
        <is>
          <t>Lương:Cạnh tranh</t>
        </is>
      </c>
      <c r="F1027" t="inlineStr">
        <is>
          <t>Đồng Tháp</t>
        </is>
      </c>
      <c r="G1027" t="inlineStr">
        <is>
          <t>12-04-2026</t>
        </is>
      </c>
      <c r="H1027" t="inlineStr">
        <is>
          <t>12/04/2026</t>
        </is>
      </c>
      <c r="I1027" t="inlineStr">
        <is>
          <t>17/03/2026</t>
        </is>
      </c>
      <c r="J1027" t="inlineStr">
        <is>
          <t>Bán lẻ / Bán sỉ, Bán hàng / Kinh doanh</t>
        </is>
      </c>
      <c r="K1027" t="inlineStr">
        <is>
          <t>2 - 3 Năm</t>
        </is>
      </c>
      <c r="L1027" s="8">
        <f>HYPERLINK("https://careerviet.vn/vi/tim-viec-lam/giam-sat-ban-hang-kenh-gt-dong-thap-tuyen-moi.35C653D5.html","Xem chi tiết")</f>
        <v/>
      </c>
    </row>
    <row r="1028">
      <c r="B1028" s="9" t="n">
        <v>1026</v>
      </c>
      <c r="C1028" s="10" t="inlineStr">
        <is>
          <t>Senior Legal Specialist</t>
        </is>
      </c>
      <c r="D1028" s="10" t="inlineStr">
        <is>
          <t>CÔNG TY CỔ PHẦN I GROUP</t>
        </is>
      </c>
      <c r="E1028" s="10" t="inlineStr">
        <is>
          <t>Lương:Cạnh tranh</t>
        </is>
      </c>
      <c r="F1028" s="10" t="inlineStr">
        <is>
          <t>Hồ Chí Minh</t>
        </is>
      </c>
      <c r="G1028" s="10" t="inlineStr">
        <is>
          <t>14-04-2026</t>
        </is>
      </c>
      <c r="H1028" s="10" t="inlineStr">
        <is>
          <t>14/04/2026</t>
        </is>
      </c>
      <c r="I1028" s="10" t="inlineStr">
        <is>
          <t>17/03/2026</t>
        </is>
      </c>
      <c r="J1028" s="10" t="inlineStr">
        <is>
          <t>Luật / Pháp lý, Xuất nhập khẩu, Thủy sản / Hải sản</t>
        </is>
      </c>
      <c r="K1028" s="10" t="inlineStr">
        <is>
          <t>3 - 5 Năm</t>
        </is>
      </c>
      <c r="L1028" s="11">
        <f>HYPERLINK("https://careerviet.vn/vi/tim-viec-lam/senior-legal-specialist.35C65955.html","Xem chi tiết")</f>
        <v/>
      </c>
      <c r="M1028" s="10" t="n"/>
    </row>
    <row r="1029">
      <c r="B1029" s="7" t="n">
        <v>1027</v>
      </c>
      <c r="C1029" t="inlineStr">
        <is>
          <t>Nhân viên kế hoạch sản xuất</t>
        </is>
      </c>
      <c r="D1029" t="inlineStr">
        <is>
          <t>CÔNG TY TNHH RAPID AID VIỆT NAM</t>
        </is>
      </c>
      <c r="E1029" t="inlineStr">
        <is>
          <t>Lương:Cạnh tranh</t>
        </is>
      </c>
      <c r="F1029" t="inlineStr">
        <is>
          <t>Hải Phòng</t>
        </is>
      </c>
      <c r="G1029" t="inlineStr">
        <is>
          <t>14-04-2026</t>
        </is>
      </c>
      <c r="H1029" t="inlineStr">
        <is>
          <t>14/04/2026</t>
        </is>
      </c>
      <c r="I1029" t="inlineStr">
        <is>
          <t>17/03/2026</t>
        </is>
      </c>
      <c r="J1029" t="inlineStr">
        <is>
          <t>Điện / Điện tử / Điện lạnh / Điện công nghiệp, Sản xuất / Vận hành sản xuất, Cơ khí / Ô tô / Tự động hóa</t>
        </is>
      </c>
      <c r="K1029" t="inlineStr">
        <is>
          <t>1 - 3 Năm</t>
        </is>
      </c>
      <c r="L1029" s="8">
        <f>HYPERLINK("https://careerviet.vn/vi/tim-viec-lam/nhan-vien-ke-hoach-san-xuat.35C6586A.html","Xem chi tiết")</f>
        <v/>
      </c>
    </row>
    <row r="1030">
      <c r="B1030" s="9" t="n">
        <v>1028</v>
      </c>
      <c r="C1030" s="10" t="inlineStr">
        <is>
          <t>IT Helpdesk</t>
        </is>
      </c>
      <c r="D1030" s="10" t="inlineStr">
        <is>
          <t>CÔNG TY CỔ PHẦN I GROUP</t>
        </is>
      </c>
      <c r="E1030" s="10" t="inlineStr">
        <is>
          <t>Lương:9 Tr - 11 Tr VND</t>
        </is>
      </c>
      <c r="F1030" s="10" t="inlineStr">
        <is>
          <t>Cần Thơ</t>
        </is>
      </c>
      <c r="G1030" s="10" t="inlineStr">
        <is>
          <t>09-04-2026</t>
        </is>
      </c>
      <c r="H1030" s="10" t="inlineStr">
        <is>
          <t>09/04/2026</t>
        </is>
      </c>
      <c r="I1030" s="10" t="inlineStr">
        <is>
          <t>17/03/2026</t>
        </is>
      </c>
      <c r="J1030" s="10" t="inlineStr">
        <is>
          <t>Bảo trì / Sửa chữa, CNTT - Phần mềm, CNTT - Phần cứng / Mạng</t>
        </is>
      </c>
      <c r="K1030" s="10" t="inlineStr">
        <is>
          <t>1 - 2 Năm</t>
        </is>
      </c>
      <c r="L1030" s="11">
        <f>HYPERLINK("https://careerviet.vn/vi/tim-viec-lam/it-helpdesk.35C650B6.html","Xem chi tiết")</f>
        <v/>
      </c>
      <c r="M1030" s="10" t="n"/>
    </row>
    <row r="1031">
      <c r="B1031" s="7" t="n">
        <v>1029</v>
      </c>
      <c r="C1031" t="inlineStr">
        <is>
          <t>Giám đốc Quan hệ Khách hàng Doanh nghiệp - Khu vực Phú Quốc</t>
        </is>
      </c>
      <c r="D1031" t="inlineStr">
        <is>
          <t>Ngân Hàng TMCP Quốc Dân (NCB)</t>
        </is>
      </c>
      <c r="E1031" t="inlineStr">
        <is>
          <t>Lương:Cạnh tranh</t>
        </is>
      </c>
      <c r="F1031" t="inlineStr">
        <is>
          <t>Kiên Giang</t>
        </is>
      </c>
      <c r="G1031" t="inlineStr">
        <is>
          <t>Hôm nay</t>
        </is>
      </c>
      <c r="H1031" t="inlineStr">
        <is>
          <t>17/03/2026</t>
        </is>
      </c>
      <c r="I1031" t="inlineStr">
        <is>
          <t>17/03/2026</t>
        </is>
      </c>
      <c r="J1031" t="inlineStr">
        <is>
          <t>Bán hàng / Kinh doanh, Tư vấn, Ngân hàng</t>
        </is>
      </c>
      <c r="K1031" t="inlineStr">
        <is>
          <t>Trên 1 Năm</t>
        </is>
      </c>
      <c r="L1031" s="8">
        <f>HYPERLINK("https://careerviet.vn/vi/tim-viec-lam/giam-doc-quan-he-khach-hang-doanh-nghiep-khu-vuc-phu-quoc.35C65CAD.html","Xem chi tiết")</f>
        <v/>
      </c>
    </row>
    <row r="1032">
      <c r="B1032" s="9" t="n">
        <v>1030</v>
      </c>
      <c r="C1032" s="10" t="inlineStr">
        <is>
          <t>GIÁO VIÊN TIẾNG NHẬT</t>
        </is>
      </c>
      <c r="D1032" s="10" t="inlineStr">
        <is>
          <t>CÔNG TY TNHH Ê SU HAI</t>
        </is>
      </c>
      <c r="E1032" s="10" t="inlineStr">
        <is>
          <t>Lương:9 Tr - 15 Tr VND</t>
        </is>
      </c>
      <c r="F1032" s="10" t="inlineStr">
        <is>
          <t>An Giang</t>
        </is>
      </c>
      <c r="G1032" s="10" t="inlineStr">
        <is>
          <t>Hôm nay</t>
        </is>
      </c>
      <c r="H1032" s="10" t="inlineStr">
        <is>
          <t>17/03/2026</t>
        </is>
      </c>
      <c r="I1032" s="10" t="inlineStr">
        <is>
          <t>17/03/2026</t>
        </is>
      </c>
      <c r="J1032" s="10" t="inlineStr">
        <is>
          <t>Giáo dục / Đào tạo</t>
        </is>
      </c>
      <c r="K1032" s="10" t="inlineStr">
        <is>
          <t>N/A</t>
        </is>
      </c>
      <c r="L1032" s="11">
        <f>HYPERLINK("https://careerviet.vn/vi/tim-viec-lam/giao-vien-tieng-nhat.35C65D52.html","Xem chi tiết")</f>
        <v/>
      </c>
      <c r="M1032" s="10" t="n"/>
    </row>
    <row r="1033">
      <c r="B1033" s="7" t="n">
        <v>1031</v>
      </c>
      <c r="C1033" t="inlineStr">
        <is>
          <t>Kỹ Sư Thiết Kế Cơ Khí</t>
        </is>
      </c>
      <c r="D1033" t="inlineStr">
        <is>
          <t>CÔNG TY TNHH CÔNG NGHỆ TEKS</t>
        </is>
      </c>
      <c r="E1033" t="inlineStr">
        <is>
          <t>Lương:Cạnh tranh</t>
        </is>
      </c>
      <c r="F1033" t="inlineStr">
        <is>
          <t>Hà Nội</t>
        </is>
      </c>
      <c r="G1033" t="inlineStr">
        <is>
          <t>12-04-2026</t>
        </is>
      </c>
      <c r="H1033" t="inlineStr">
        <is>
          <t>12/04/2026</t>
        </is>
      </c>
      <c r="I1033" t="inlineStr">
        <is>
          <t>17/03/2026</t>
        </is>
      </c>
      <c r="J1033" t="inlineStr">
        <is>
          <t>Cơ khí / Ô tô / Tự động hóa, Mỹ thuật / Nghệ thuật / Thiết kế</t>
        </is>
      </c>
      <c r="K1033" t="inlineStr">
        <is>
          <t>2 Năm</t>
        </is>
      </c>
      <c r="L1033" s="8">
        <f>HYPERLINK("https://careerviet.vn/vi/tim-viec-lam/ky-su-thiet-ke-co-khi.35C65217.html","Xem chi tiết")</f>
        <v/>
      </c>
    </row>
    <row r="1034">
      <c r="B1034" s="9" t="n">
        <v>1032</v>
      </c>
      <c r="C1034" s="10" t="inlineStr">
        <is>
          <t>Nhân viên Chất Lượng (QA/QE/SQE/ISO) - TIẾNG ANH OR TIẾNG TRUNG</t>
        </is>
      </c>
      <c r="D1034" s="10" t="inlineStr">
        <is>
          <t>CÔNG TY TNHH TOPBAND SMART ĐỒNG NAI (VIỆT NAM)</t>
        </is>
      </c>
      <c r="E1034" s="10" t="inlineStr">
        <is>
          <t>Lương:10 Tr - 20 Tr VND</t>
        </is>
      </c>
      <c r="F1034" s="10" t="inlineStr">
        <is>
          <t>Đồng Nai</t>
        </is>
      </c>
      <c r="G1034" s="10" t="inlineStr">
        <is>
          <t>Hôm nay</t>
        </is>
      </c>
      <c r="H1034" s="10" t="inlineStr">
        <is>
          <t>17/03/2026</t>
        </is>
      </c>
      <c r="I1034" s="10" t="inlineStr">
        <is>
          <t>17/03/2026</t>
        </is>
      </c>
      <c r="J1034" s="10" t="inlineStr">
        <is>
          <t>Hành chính / Thư ký, Điện / Điện tử / Điện lạnh / Điện công nghiệp, Quản lý chất lượng (QA/QC)</t>
        </is>
      </c>
      <c r="K1034" s="10" t="inlineStr">
        <is>
          <t>1 - 2 Năm</t>
        </is>
      </c>
      <c r="L1034" s="11">
        <f>HYPERLINK("https://careerviet.vn/vi/tim-viec-lam/nhan-vien-chat-luong-qa-qe-sqe-iso-tieng-anh-or-tieng-trung.35C65BD8.html","Xem chi tiết")</f>
        <v/>
      </c>
      <c r="M1034" s="10" t="n"/>
    </row>
    <row r="1035">
      <c r="B1035" s="7" t="n">
        <v>1033</v>
      </c>
      <c r="C1035" t="inlineStr">
        <is>
          <t>CV/CVC/CVCC Hỗ trợ tín dụng Khách hàng Cá nhân</t>
        </is>
      </c>
      <c r="D1035" t="inlineStr">
        <is>
          <t>Ngân Hàng TMCP Quốc Dân (NCB)</t>
        </is>
      </c>
      <c r="E1035" t="inlineStr">
        <is>
          <t>Lương:Cạnh tranh</t>
        </is>
      </c>
      <c r="F1035" t="inlineStr">
        <is>
          <t>Hà Nội</t>
        </is>
      </c>
      <c r="G1035" t="inlineStr">
        <is>
          <t>08-04-2026</t>
        </is>
      </c>
      <c r="H1035" t="inlineStr">
        <is>
          <t>08/04/2026</t>
        </is>
      </c>
      <c r="I1035" t="inlineStr">
        <is>
          <t>17/03/2026</t>
        </is>
      </c>
      <c r="J1035" t="inlineStr">
        <is>
          <t>Bán hàng / Kinh doanh, Tư vấn, Ngân hàng</t>
        </is>
      </c>
      <c r="K1035" t="inlineStr">
        <is>
          <t>Trên 1 Năm</t>
        </is>
      </c>
      <c r="L1035" s="8">
        <f>HYPERLINK("https://careerviet.vn/vi/tim-viec-lam/cv-cvc-cvcc-ho-tro-tin-dung-khach-hang-ca-nhan.35C6505F.html","Xem chi tiết")</f>
        <v/>
      </c>
    </row>
    <row r="1036">
      <c r="B1036" s="9" t="n">
        <v>1034</v>
      </c>
      <c r="C1036" s="10" t="inlineStr">
        <is>
          <t>Giao dịch viên - Khu vực Phú Quốc</t>
        </is>
      </c>
      <c r="D1036" s="10" t="inlineStr">
        <is>
          <t>Ngân Hàng TMCP Quốc Dân (NCB)</t>
        </is>
      </c>
      <c r="E1036" s="10" t="inlineStr">
        <is>
          <t>Lương:8 Tr - 12 Tr VND</t>
        </is>
      </c>
      <c r="F1036" s="10" t="inlineStr">
        <is>
          <t>Kiên Giang</t>
        </is>
      </c>
      <c r="G1036" s="10" t="inlineStr">
        <is>
          <t>Hôm nay</t>
        </is>
      </c>
      <c r="H1036" s="10" t="inlineStr">
        <is>
          <t>17/03/2026</t>
        </is>
      </c>
      <c r="I1036" s="10" t="inlineStr">
        <is>
          <t>17/03/2026</t>
        </is>
      </c>
      <c r="J1036" s="10" t="inlineStr">
        <is>
          <t>Tư vấn, Dịch vụ khách hàng, Ngân hàng</t>
        </is>
      </c>
      <c r="K1036" s="10" t="inlineStr">
        <is>
          <t>Trên 1 Năm</t>
        </is>
      </c>
      <c r="L1036" s="11">
        <f>HYPERLINK("https://careerviet.vn/vi/tim-viec-lam/giao-dich-vien-khu-vuc-phu-quoc.35C65CA2.html","Xem chi tiết")</f>
        <v/>
      </c>
      <c r="M1036" s="10" t="n"/>
    </row>
    <row r="1037">
      <c r="B1037" s="7" t="n">
        <v>1035</v>
      </c>
      <c r="C1037" t="inlineStr">
        <is>
          <t>Nhân Viên Quản Lý Dự Án Cửa Chống Cháy</t>
        </is>
      </c>
      <c r="D1037" t="inlineStr">
        <is>
          <t>Công Ty TNHH Cơ Khí Xây Dựng Hoàng Tâm</t>
        </is>
      </c>
      <c r="E1037" t="inlineStr">
        <is>
          <t>Lương:10 Tr - 30 Tr VND</t>
        </is>
      </c>
      <c r="F1037" t="inlineStr">
        <is>
          <t>Hồ Chí Minh</t>
        </is>
      </c>
      <c r="G1037" t="inlineStr">
        <is>
          <t>08-04-2026</t>
        </is>
      </c>
      <c r="H1037" t="inlineStr">
        <is>
          <t>08/04/2026</t>
        </is>
      </c>
      <c r="I1037" t="inlineStr">
        <is>
          <t>17/03/2026</t>
        </is>
      </c>
      <c r="J1037" t="inlineStr">
        <is>
          <t>Xây dựng, Nội ngoại thất, Kiến trúc</t>
        </is>
      </c>
      <c r="K1037" t="inlineStr">
        <is>
          <t>1 - 2 Năm</t>
        </is>
      </c>
      <c r="L1037" s="8">
        <f>HYPERLINK("https://careerviet.vn/vi/tim-viec-lam/nhan-vien-quan-ly-du-an-cua-chong-chay.35C65049.html","Xem chi tiết")</f>
        <v/>
      </c>
    </row>
    <row r="1038">
      <c r="B1038" s="9" t="n">
        <v>1036</v>
      </c>
      <c r="C1038" s="10" t="inlineStr">
        <is>
          <t>KỸ SƯ THIẾT KẾ KẾT CẤU</t>
        </is>
      </c>
      <c r="D1038" s="10" t="inlineStr">
        <is>
          <t>CÔNG TY CỔ PHẦN KIẾN TRÚC VIỆT MIỀN NAM</t>
        </is>
      </c>
      <c r="E1038" s="10" t="inlineStr">
        <is>
          <t>Lương:Cạnh tranh</t>
        </is>
      </c>
      <c r="F1038" s="10" t="inlineStr">
        <is>
          <t>Hồ Chí Minh</t>
        </is>
      </c>
      <c r="G1038" s="10" t="inlineStr">
        <is>
          <t>13-04-2026</t>
        </is>
      </c>
      <c r="H1038" s="10" t="inlineStr">
        <is>
          <t>13/04/2026</t>
        </is>
      </c>
      <c r="I1038" s="10" t="inlineStr">
        <is>
          <t>17/03/2026</t>
        </is>
      </c>
      <c r="J1038" s="10" t="inlineStr">
        <is>
          <t>Kiến trúc, Xây dựng, Nội ngoại thất</t>
        </is>
      </c>
      <c r="K1038" s="10" t="inlineStr">
        <is>
          <t>1 - 7 Năm</t>
        </is>
      </c>
      <c r="L1038" s="11">
        <f>HYPERLINK("https://careerviet.vn/vi/tim-viec-lam/ky-su-thiet-ke-ket-cau.35C656B3.html","Xem chi tiết")</f>
        <v/>
      </c>
      <c r="M1038" s="10" t="n"/>
    </row>
    <row r="1039">
      <c r="B1039" s="7" t="n">
        <v>1037</v>
      </c>
      <c r="C1039" t="inlineStr">
        <is>
          <t>Nhân Viên Lập Trình CNC (Phay – Tiện)</t>
        </is>
      </c>
      <c r="D1039" t="inlineStr">
        <is>
          <t>CÔNG TY TNHH CƠ KHÍ THỦY ĐỨC THỊNH</t>
        </is>
      </c>
      <c r="E1039" t="inlineStr">
        <is>
          <t>Lương:Cạnh tranh</t>
        </is>
      </c>
      <c r="F1039" t="inlineStr">
        <is>
          <t>Hải Phòng</t>
        </is>
      </c>
      <c r="G1039" t="inlineStr">
        <is>
          <t>07-04-2026</t>
        </is>
      </c>
      <c r="H1039" t="inlineStr">
        <is>
          <t>07/04/2026</t>
        </is>
      </c>
      <c r="I1039" t="inlineStr">
        <is>
          <t>17/03/2026</t>
        </is>
      </c>
      <c r="J1039" t="inlineStr">
        <is>
          <t>Cơ khí / Ô tô / Tự động hóa, Sản xuất / Vận hành sản xuất, Quản lý chất lượng (QA/QC)</t>
        </is>
      </c>
      <c r="K1039" t="inlineStr">
        <is>
          <t>1 - 2 Năm</t>
        </is>
      </c>
      <c r="L1039" s="8">
        <f>HYPERLINK("https://careerviet.vn/vi/tim-viec-lam/nhan-vien-lap-trinh-cnc-phay-tien.35C64DEE.html","Xem chi tiết")</f>
        <v/>
      </c>
    </row>
    <row r="1040">
      <c r="B1040" s="9" t="n">
        <v>1038</v>
      </c>
      <c r="C1040" s="10" t="inlineStr">
        <is>
          <t>Chuyên Viên Bảo Trì - Bắc Ninh</t>
        </is>
      </c>
      <c r="D1040" s="10" t="inlineStr">
        <is>
          <t>Công Ty Sữa Đậu Nành Việt Nam - Vinasoy</t>
        </is>
      </c>
      <c r="E1040" s="10" t="inlineStr">
        <is>
          <t>Lương:11 Tr - 16 Tr VND</t>
        </is>
      </c>
      <c r="F1040" s="10" t="inlineStr">
        <is>
          <t>Bắc Ninh</t>
        </is>
      </c>
      <c r="G1040" s="10" t="inlineStr">
        <is>
          <t>08-04-2026</t>
        </is>
      </c>
      <c r="H1040" s="10" t="inlineStr">
        <is>
          <t>08/04/2026</t>
        </is>
      </c>
      <c r="I1040" s="10" t="inlineStr">
        <is>
          <t>17/03/2026</t>
        </is>
      </c>
      <c r="J1040" s="10" t="inlineStr">
        <is>
          <t>Bảo trì / Sửa chữa, Cơ khí / Ô tô / Tự động hóa, Sản xuất / Vận hành sản xuất</t>
        </is>
      </c>
      <c r="K1040" s="10" t="inlineStr">
        <is>
          <t>1 - 3 Năm</t>
        </is>
      </c>
      <c r="L1040" s="11">
        <f>HYPERLINK("https://careerviet.vn/vi/tim-viec-lam/chuyen-vien-bao-tri-bac-ninh.35C64E9E.html","Xem chi tiết")</f>
        <v/>
      </c>
      <c r="M1040" s="10" t="n"/>
    </row>
    <row r="1041">
      <c r="B1041" s="7" t="n">
        <v>1039</v>
      </c>
      <c r="C1041" t="inlineStr">
        <is>
          <t>Nhân Viên Vận Hành Máy CNC (Phay – Tiện)</t>
        </is>
      </c>
      <c r="D1041" t="inlineStr">
        <is>
          <t>CÔNG TY TNHH CƠ KHÍ THỦY ĐỨC THỊNH</t>
        </is>
      </c>
      <c r="E1041" t="inlineStr">
        <is>
          <t>Lương:Cạnh tranh</t>
        </is>
      </c>
      <c r="F1041" t="inlineStr">
        <is>
          <t>Hải Phòng</t>
        </is>
      </c>
      <c r="G1041" t="inlineStr">
        <is>
          <t>07-04-2026</t>
        </is>
      </c>
      <c r="H1041" t="inlineStr">
        <is>
          <t>07/04/2026</t>
        </is>
      </c>
      <c r="I1041" t="inlineStr">
        <is>
          <t>17/03/2026</t>
        </is>
      </c>
      <c r="J1041" t="inlineStr">
        <is>
          <t>Cơ khí / Ô tô / Tự động hóa, Sản xuất / Vận hành sản xuất, Quản lý chất lượng (QA/QC)</t>
        </is>
      </c>
      <c r="K1041" t="inlineStr">
        <is>
          <t>N/A</t>
        </is>
      </c>
      <c r="L1041" s="8">
        <f>HYPERLINK("https://careerviet.vn/vi/tim-viec-lam/nhan-vien-van-hanh-may-cnc-phay-tien.35C64DF3.html","Xem chi tiết")</f>
        <v/>
      </c>
    </row>
    <row r="1042">
      <c r="B1042" s="9" t="n">
        <v>1040</v>
      </c>
      <c r="C1042" s="10" t="inlineStr">
        <is>
          <t>Kỹ sư hiện trường giám sát thi công cửa chống cháy</t>
        </is>
      </c>
      <c r="D1042" s="10" t="inlineStr">
        <is>
          <t>Công Ty TNHH Cơ Khí Xây Dựng Hoàng Tâm</t>
        </is>
      </c>
      <c r="E1042" s="10" t="inlineStr">
        <is>
          <t>Lương:12 Tr - 18 Tr VND</t>
        </is>
      </c>
      <c r="F1042" s="10" t="inlineStr">
        <is>
          <t>Hồ Chí Minh</t>
        </is>
      </c>
      <c r="G1042" s="10" t="inlineStr">
        <is>
          <t>08-04-2026</t>
        </is>
      </c>
      <c r="H1042" s="10" t="inlineStr">
        <is>
          <t>08/04/2026</t>
        </is>
      </c>
      <c r="I1042" s="10" t="inlineStr">
        <is>
          <t>17/03/2026</t>
        </is>
      </c>
      <c r="J1042" s="10" t="inlineStr">
        <is>
          <t>Kiến trúc, Xây dựng, Nội ngoại thất</t>
        </is>
      </c>
      <c r="K1042" s="10" t="inlineStr">
        <is>
          <t>1 - 2 Năm</t>
        </is>
      </c>
      <c r="L1042" s="11">
        <f>HYPERLINK("https://careerviet.vn/vi/tim-viec-lam/ky-su-hien-truong-giam-sat-thi-cong-cua-chong-chay.35C6504B.html","Xem chi tiết")</f>
        <v/>
      </c>
      <c r="M1042" s="10" t="n"/>
    </row>
    <row r="1043">
      <c r="B1043" s="7" t="n">
        <v>1041</v>
      </c>
      <c r="C1043" t="inlineStr">
        <is>
          <t>Nhân Viên Kỹ Thuật Cơ Khí</t>
        </is>
      </c>
      <c r="D1043" t="inlineStr">
        <is>
          <t>CÔNG TY TNHH CƠ KHÍ THỦY ĐỨC THỊNH</t>
        </is>
      </c>
      <c r="E1043" t="inlineStr">
        <is>
          <t>Lương:Cạnh tranh</t>
        </is>
      </c>
      <c r="F1043" t="inlineStr">
        <is>
          <t>Hải Phòng</t>
        </is>
      </c>
      <c r="G1043" t="inlineStr">
        <is>
          <t>07-04-2026</t>
        </is>
      </c>
      <c r="H1043" t="inlineStr">
        <is>
          <t>07/04/2026</t>
        </is>
      </c>
      <c r="I1043" t="inlineStr">
        <is>
          <t>17/03/2026</t>
        </is>
      </c>
      <c r="J1043" t="inlineStr">
        <is>
          <t>Cơ khí / Ô tô / Tự động hóa, Sản xuất / Vận hành sản xuất, Quản lý chất lượng (QA/QC)</t>
        </is>
      </c>
      <c r="K1043" t="inlineStr">
        <is>
          <t>Trên 1 Năm</t>
        </is>
      </c>
      <c r="L1043" s="8">
        <f>HYPERLINK("https://careerviet.vn/vi/tim-viec-lam/nhan-vien-ky-thuat-co-khi.35C64DED.html","Xem chi tiết")</f>
        <v/>
      </c>
    </row>
    <row r="1044">
      <c r="B1044" s="9" t="n">
        <v>1042</v>
      </c>
      <c r="C1044" s="10" t="inlineStr">
        <is>
          <t>Nhân Viên Kế Toán</t>
        </is>
      </c>
      <c r="D1044" s="10" t="inlineStr">
        <is>
          <t>CÔNG TY TNHH HIGHLAND FRUIT</t>
        </is>
      </c>
      <c r="E1044" s="10" t="inlineStr">
        <is>
          <t>Lương:13 Tr - 15 Tr VND</t>
        </is>
      </c>
      <c r="F1044" s="10" t="inlineStr">
        <is>
          <t>Hồ Chí Minh</t>
        </is>
      </c>
      <c r="G1044" s="10" t="inlineStr">
        <is>
          <t>06-04-2026</t>
        </is>
      </c>
      <c r="H1044" s="10" t="inlineStr">
        <is>
          <t>06/04/2026</t>
        </is>
      </c>
      <c r="I1044" s="10" t="inlineStr">
        <is>
          <t>17/03/2026</t>
        </is>
      </c>
      <c r="J1044" s="10" t="inlineStr">
        <is>
          <t>Tài chính / Đầu tư, Luật / Pháp lý, Kế toán / Kiểm toán</t>
        </is>
      </c>
      <c r="K1044" s="10" t="inlineStr">
        <is>
          <t>Trên 3 Năm</t>
        </is>
      </c>
      <c r="L1044" s="11">
        <f>HYPERLINK("https://careerviet.vn/vi/tim-viec-lam/nhan-vien-ke-toan.35C64BBB.html","Xem chi tiết")</f>
        <v/>
      </c>
      <c r="M1044" s="10" t="n"/>
    </row>
    <row r="1045">
      <c r="B1045" s="7" t="n">
        <v>1043</v>
      </c>
      <c r="C1045" t="inlineStr">
        <is>
          <t>Kỹ thuật viên vận hành thiết bị</t>
        </is>
      </c>
      <c r="D1045" t="inlineStr">
        <is>
          <t>Công Ty Sữa Đậu Nành Việt Nam - Vinasoy</t>
        </is>
      </c>
      <c r="E1045" t="inlineStr">
        <is>
          <t>Lương:9 Tr - 11 Tr VND</t>
        </is>
      </c>
      <c r="F1045" t="inlineStr">
        <is>
          <t>Bắc Ninh</t>
        </is>
      </c>
      <c r="G1045" t="inlineStr">
        <is>
          <t>08-04-2026</t>
        </is>
      </c>
      <c r="H1045" t="inlineStr">
        <is>
          <t>08/04/2026</t>
        </is>
      </c>
      <c r="I1045" t="inlineStr">
        <is>
          <t>17/03/2026</t>
        </is>
      </c>
      <c r="J1045" t="inlineStr">
        <is>
          <t>Bảo trì / Sửa chữa, Cơ khí / Ô tô / Tự động hóa, Điện / Điện tử / Điện lạnh / Điện công nghiệp</t>
        </is>
      </c>
      <c r="K1045" t="inlineStr">
        <is>
          <t>Chưa có kinh nghiệm</t>
        </is>
      </c>
      <c r="L1045" s="8">
        <f>HYPERLINK("https://careerviet.vn/vi/tim-viec-lam/ky-thuat-vien-van-hanh-thiet-bi.35C64EA0.html","Xem chi tiết")</f>
        <v/>
      </c>
    </row>
    <row r="1046">
      <c r="B1046" s="9" t="n">
        <v>1044</v>
      </c>
      <c r="C1046" s="10" t="inlineStr">
        <is>
          <t>Chuyên Viên Quản Lý Thiết Bị Thi Công Cầu Đường</t>
        </is>
      </c>
      <c r="D1046" s="10" t="inlineStr">
        <is>
          <t>CÔNG TY CỔ PHẦN DỊCH VỤ VÀ KỸ THUẬT SMC</t>
        </is>
      </c>
      <c r="E1046" s="10" t="inlineStr">
        <is>
          <t>Lương:Cạnh tranh</t>
        </is>
      </c>
      <c r="F1046" s="10" t="inlineStr">
        <is>
          <t>Hồ Chí Minh</t>
        </is>
      </c>
      <c r="G1046" s="10" t="inlineStr">
        <is>
          <t>07-04-2026</t>
        </is>
      </c>
      <c r="H1046" s="10" t="inlineStr">
        <is>
          <t>07/04/2026</t>
        </is>
      </c>
      <c r="I1046" s="10" t="inlineStr">
        <is>
          <t>17/03/2026</t>
        </is>
      </c>
      <c r="J1046" s="10" t="inlineStr">
        <is>
          <t>Cơ khí / Ô tô / Tự động hóa, Bảo trì / Sửa chữa, Xây dựng</t>
        </is>
      </c>
      <c r="K1046" s="10" t="inlineStr">
        <is>
          <t>2 - 3 Năm</t>
        </is>
      </c>
      <c r="L1046" s="11">
        <f>HYPERLINK("https://careerviet.vn/vi/tim-viec-lam/chuyen-vien-quan-ly-thiet-bi-thi-cong-cau-duong.35C64C79.html","Xem chi tiết")</f>
        <v/>
      </c>
      <c r="M1046" s="10" t="n"/>
    </row>
    <row r="1047">
      <c r="B1047" s="7" t="n">
        <v>1045</v>
      </c>
      <c r="C1047" t="inlineStr">
        <is>
          <t>Chuyên Viên Kinh Doanh Phần Mềm ERP</t>
        </is>
      </c>
      <c r="D1047" t="inlineStr">
        <is>
          <t>CÔNG TY CỔ PHẦN CÔNG NGHỆ FOXAI</t>
        </is>
      </c>
      <c r="E1047" t="inlineStr">
        <is>
          <t>Lương:25 Tr - 70 Tr VND</t>
        </is>
      </c>
      <c r="F1047" t="inlineStr">
        <is>
          <t>Hà Nội</t>
        </is>
      </c>
      <c r="G1047" t="inlineStr">
        <is>
          <t>06-04-2026</t>
        </is>
      </c>
      <c r="H1047" t="inlineStr">
        <is>
          <t>06/04/2026</t>
        </is>
      </c>
      <c r="I1047" t="inlineStr">
        <is>
          <t>17/03/2026</t>
        </is>
      </c>
      <c r="J1047" t="inlineStr">
        <is>
          <t>Bán hàng / Kinh doanh, Tiếp thị / Marketing, Bán Hàng Kỹ Thuật</t>
        </is>
      </c>
      <c r="K1047" t="inlineStr">
        <is>
          <t>Trên 2 Năm</t>
        </is>
      </c>
      <c r="L1047" s="8">
        <f>HYPERLINK("https://careerviet.vn/vi/tim-viec-lam/chuyen-vien-kinh-doanh-phan-mem-erp.35C64A8E.html","Xem chi tiết")</f>
        <v/>
      </c>
    </row>
    <row r="1048">
      <c r="B1048" s="9" t="n">
        <v>1046</v>
      </c>
      <c r="C1048" s="10" t="inlineStr">
        <is>
          <t>Kỹ Thuật Viên Bảo Trì (Thang Máy &amp; Thang Cuốn)</t>
        </is>
      </c>
      <c r="D1048" s="10" t="inlineStr">
        <is>
          <t>KONE Việt Nam</t>
        </is>
      </c>
      <c r="E1048" s="10" t="inlineStr">
        <is>
          <t>Lương:14 Tr - 18 Tr VND</t>
        </is>
      </c>
      <c r="F1048" s="10" t="inlineStr">
        <is>
          <t>Nghệ An</t>
        </is>
      </c>
      <c r="G1048" s="10" t="inlineStr">
        <is>
          <t>10-04-2026</t>
        </is>
      </c>
      <c r="H1048" s="10" t="inlineStr">
        <is>
          <t>10/04/2026</t>
        </is>
      </c>
      <c r="I1048" s="10" t="inlineStr">
        <is>
          <t>17/03/2026</t>
        </is>
      </c>
      <c r="J1048" s="10" t="inlineStr">
        <is>
          <t>Điện / Điện tử / Điện lạnh / Điện công nghiệp, Bảo trì / Sửa chữa, Mới tốt nghiệp / Thực tập</t>
        </is>
      </c>
      <c r="K1048" s="10" t="inlineStr">
        <is>
          <t>3 - 15 Năm</t>
        </is>
      </c>
      <c r="L1048" s="11">
        <f>HYPERLINK("https://careerviet.vn/vi/tim-viec-lam/ky-thuat-vien-bao-tri-thang-may-thang-cuon.35C68476.html","Xem chi tiết")</f>
        <v/>
      </c>
      <c r="M1048" s="10" t="n"/>
    </row>
    <row r="1049">
      <c r="B1049" s="7" t="n">
        <v>1047</v>
      </c>
      <c r="C1049" t="inlineStr">
        <is>
          <t>Kỹ Thuật Viên Bảo Trì (Thang Máy &amp; Thang Cuốn)</t>
        </is>
      </c>
      <c r="D1049" t="inlineStr">
        <is>
          <t>KONE Việt Nam</t>
        </is>
      </c>
      <c r="E1049" t="inlineStr">
        <is>
          <t>Lương:14 Tr - 18 Tr VND</t>
        </is>
      </c>
      <c r="F1049" t="inlineStr">
        <is>
          <t>Hà Nội</t>
        </is>
      </c>
      <c r="G1049" t="inlineStr">
        <is>
          <t>10-04-2026</t>
        </is>
      </c>
      <c r="H1049" t="inlineStr">
        <is>
          <t>10/04/2026</t>
        </is>
      </c>
      <c r="I1049" t="inlineStr">
        <is>
          <t>17/03/2026</t>
        </is>
      </c>
      <c r="J1049" t="inlineStr">
        <is>
          <t>Điện / Điện tử / Điện lạnh / Điện công nghiệp, Bảo trì / Sửa chữa, Mới tốt nghiệp / Thực tập</t>
        </is>
      </c>
      <c r="K1049" t="inlineStr">
        <is>
          <t>3 - 15 Năm</t>
        </is>
      </c>
      <c r="L1049" s="8">
        <f>HYPERLINK("https://careerviet.vn/vi/tim-viec-lam/ky-thuat-vien-bao-tri-thang-may-thang-cuon.35C68475.html","Xem chi tiết")</f>
        <v/>
      </c>
    </row>
    <row r="1050">
      <c r="B1050" s="9" t="n">
        <v>1048</v>
      </c>
      <c r="C1050" s="10" t="inlineStr">
        <is>
          <t>KỸ SƯ ĐIỆN CÔNG NGHIỆP</t>
        </is>
      </c>
      <c r="D1050" s="10" t="inlineStr">
        <is>
          <t>Công Ty CP Xây Dựng A&amp;C</t>
        </is>
      </c>
      <c r="E1050" s="10" t="inlineStr">
        <is>
          <t>Lương:Cạnh tranh</t>
        </is>
      </c>
      <c r="F1050" s="10" t="inlineStr">
        <is>
          <t>Hồ Chí Minh</t>
        </is>
      </c>
      <c r="G1050" s="10" t="inlineStr">
        <is>
          <t>10-04-2026</t>
        </is>
      </c>
      <c r="H1050" s="10" t="inlineStr">
        <is>
          <t>10/04/2026</t>
        </is>
      </c>
      <c r="I1050" s="10" t="inlineStr">
        <is>
          <t>17/03/2026</t>
        </is>
      </c>
      <c r="J1050" s="10" t="inlineStr">
        <is>
          <t>Kiến trúc, Xây dựng, Bất động sản</t>
        </is>
      </c>
      <c r="K1050" s="10" t="inlineStr">
        <is>
          <t>Trên 3 Năm</t>
        </is>
      </c>
      <c r="L1050" s="11">
        <f>HYPERLINK("https://careerviet.vn/vi/tim-viec-lam/ky-su-dien-cong-nghiep.35C682F2.html","Xem chi tiết")</f>
        <v/>
      </c>
      <c r="M1050" s="10" t="n"/>
    </row>
    <row r="1051">
      <c r="B1051" s="7" t="n">
        <v>1049</v>
      </c>
      <c r="C1051" t="inlineStr">
        <is>
          <t>CV nhãn hàng (ABM) - Quảng Ngãi</t>
        </is>
      </c>
      <c r="D1051" t="inlineStr">
        <is>
          <t>Công Ty Sữa Đậu Nành Việt Nam - Vinasoy</t>
        </is>
      </c>
      <c r="E1051" t="inlineStr">
        <is>
          <t>Lương:Cạnh tranh</t>
        </is>
      </c>
      <c r="F1051" t="inlineStr">
        <is>
          <t>Quảng Ngãi</t>
        </is>
      </c>
      <c r="G1051" t="inlineStr">
        <is>
          <t>12-04-2026</t>
        </is>
      </c>
      <c r="H1051" t="inlineStr">
        <is>
          <t>12/04/2026</t>
        </is>
      </c>
      <c r="I1051" t="inlineStr">
        <is>
          <t>17/03/2026</t>
        </is>
      </c>
      <c r="J1051" t="inlineStr">
        <is>
          <t>Quảng cáo / Đối ngoại / Truyền Thông, Truyền hình / Báo chí / Biên tập, Tiếp thị / Marketing</t>
        </is>
      </c>
      <c r="K1051" t="inlineStr">
        <is>
          <t>Trên 2 Năm</t>
        </is>
      </c>
      <c r="L1051" s="8">
        <f>HYPERLINK("https://careerviet.vn/vi/tim-viec-lam/cv-nhan-hang-abm-quang-ngai.35C6864B.html","Xem chi tiết")</f>
        <v/>
      </c>
    </row>
    <row r="1052">
      <c r="B1052" s="9" t="n">
        <v>1050</v>
      </c>
      <c r="C1052" s="10" t="inlineStr">
        <is>
          <t>Chuyên Viên Tuyển Dụng</t>
        </is>
      </c>
      <c r="D1052" s="10" t="inlineStr">
        <is>
          <t>CÔNG TY TNHH SẢN XUẤT THƯƠNG MẠI XNK HỒNG SƠN</t>
        </is>
      </c>
      <c r="E1052" s="10" t="inlineStr">
        <is>
          <t>Lương:10 Tr - 15 Tr VND</t>
        </is>
      </c>
      <c r="F1052" s="10" t="inlineStr">
        <is>
          <t>Hà Nam</t>
        </is>
      </c>
      <c r="G1052" s="10" t="inlineStr">
        <is>
          <t>10-04-2026</t>
        </is>
      </c>
      <c r="H1052" s="10" t="inlineStr">
        <is>
          <t>10/04/2026</t>
        </is>
      </c>
      <c r="I1052" s="10" t="inlineStr">
        <is>
          <t>17/03/2026</t>
        </is>
      </c>
      <c r="J1052" s="10" t="inlineStr">
        <is>
          <t>Nhân sự, Dệt may / Da giày / Thời trang, Hành chính / Thư ký</t>
        </is>
      </c>
      <c r="K1052" s="10" t="inlineStr">
        <is>
          <t>2 - 3 Năm</t>
        </is>
      </c>
      <c r="L1052" s="11">
        <f>HYPERLINK("https://careerviet.vn/vi/tim-viec-lam/chuyen-vien-tuyen-dung.35C683C9.html","Xem chi tiết")</f>
        <v/>
      </c>
      <c r="M1052" s="10" t="n"/>
    </row>
    <row r="1053">
      <c r="B1053" s="7" t="n">
        <v>1051</v>
      </c>
      <c r="C1053" t="inlineStr">
        <is>
          <t>Chuyên Viên Cung Ứng</t>
        </is>
      </c>
      <c r="D1053" t="inlineStr">
        <is>
          <t>CÔNG TY TNHH XÂY DỰNG IVY</t>
        </is>
      </c>
      <c r="E1053" t="inlineStr">
        <is>
          <t>Lương:Cạnh tranh</t>
        </is>
      </c>
      <c r="F1053" t="inlineStr">
        <is>
          <t>Hồ Chí Minh</t>
        </is>
      </c>
      <c r="G1053" t="inlineStr">
        <is>
          <t>06-04-2026</t>
        </is>
      </c>
      <c r="H1053" t="inlineStr">
        <is>
          <t>06/04/2026</t>
        </is>
      </c>
      <c r="I1053" t="inlineStr">
        <is>
          <t>17/03/2026</t>
        </is>
      </c>
      <c r="J1053" t="inlineStr">
        <is>
          <t>Nội ngoại thất, Thu mua / Vật tư, Xây dựng</t>
        </is>
      </c>
      <c r="K1053" t="inlineStr">
        <is>
          <t>Trên 2 Năm</t>
        </is>
      </c>
      <c r="L1053" s="8">
        <f>HYPERLINK("https://careerviet.vn/vi/tim-viec-lam/chuyen-vien-cung-ung.35C67C05.html","Xem chi tiết")</f>
        <v/>
      </c>
    </row>
    <row r="1054">
      <c r="B1054" s="9" t="n">
        <v>1052</v>
      </c>
      <c r="C1054" s="10" t="inlineStr">
        <is>
          <t>Nhân Viên Kế Toán Tổng Hợp Biết Tiếng Trung</t>
        </is>
      </c>
      <c r="D1054" s="10" t="inlineStr">
        <is>
          <t>CÔNG TY TNHH CNBM VIỆT NAM</t>
        </is>
      </c>
      <c r="E1054" s="10" t="inlineStr">
        <is>
          <t>Lương:Cạnh tranh</t>
        </is>
      </c>
      <c r="F1054" s="10" t="inlineStr">
        <is>
          <t>Hồ Chí Minh</t>
        </is>
      </c>
      <c r="G1054" s="10" t="inlineStr">
        <is>
          <t>10-04-2026</t>
        </is>
      </c>
      <c r="H1054" s="10" t="inlineStr">
        <is>
          <t>10/04/2026</t>
        </is>
      </c>
      <c r="I1054" s="10" t="inlineStr">
        <is>
          <t>17/03/2026</t>
        </is>
      </c>
      <c r="J1054" s="10" t="inlineStr">
        <is>
          <t>Luật / Pháp lý, Kế toán / Kiểm toán, Tài chính / Đầu tư</t>
        </is>
      </c>
      <c r="K1054" s="10" t="inlineStr">
        <is>
          <t>Trên 3 Năm</t>
        </is>
      </c>
      <c r="L1054" s="11">
        <f>HYPERLINK("https://careerviet.vn/vi/tim-viec-lam/nhan-vien-ke-toan-tong-hop-biet-tieng-trung.35C6833F.html","Xem chi tiết")</f>
        <v/>
      </c>
      <c r="M1054" s="10" t="n"/>
    </row>
    <row r="1055">
      <c r="B1055" s="7" t="n">
        <v>1053</v>
      </c>
      <c r="C1055" t="inlineStr">
        <is>
          <t>Chuyên Viên Media</t>
        </is>
      </c>
      <c r="D1055" t="inlineStr">
        <is>
          <t>CÔNG TY TNHH PHÁT TRIỂN THƯƠNG MẠI BĐS NEWSTARLAND</t>
        </is>
      </c>
      <c r="E1055" t="inlineStr">
        <is>
          <t>Lương:13 Tr - 18 Tr VND</t>
        </is>
      </c>
      <c r="F1055" t="inlineStr">
        <is>
          <t>Hồ Chí Minh</t>
        </is>
      </c>
      <c r="G1055" t="inlineStr">
        <is>
          <t>11-04-2026</t>
        </is>
      </c>
      <c r="H1055" t="inlineStr">
        <is>
          <t>11/04/2026</t>
        </is>
      </c>
      <c r="I1055" t="inlineStr">
        <is>
          <t>17/03/2026</t>
        </is>
      </c>
      <c r="J1055" t="inlineStr">
        <is>
          <t>Truyền hình / Báo chí / Biên tập, Quảng cáo / Đối ngoại / Truyền Thông, Tiếp thị / Marketing</t>
        </is>
      </c>
      <c r="K1055" t="inlineStr">
        <is>
          <t>Trên 2 Năm</t>
        </is>
      </c>
      <c r="L1055" s="8">
        <f>HYPERLINK("https://careerviet.vn/vi/tim-viec-lam/chuyen-vien-media.35C684DA.html","Xem chi tiết")</f>
        <v/>
      </c>
    </row>
    <row r="1056">
      <c r="B1056" s="9" t="n">
        <v>1054</v>
      </c>
      <c r="C1056" s="10" t="inlineStr">
        <is>
          <t>KẾ TOÁN TRƯỞNG</t>
        </is>
      </c>
      <c r="D1056" s="10" t="inlineStr">
        <is>
          <t>CÔNG TY TNHH MTV THƯƠNG MẠI DỊCH VỤ BLUE OCEAN- THẾ GIỚI SKINFOOD</t>
        </is>
      </c>
      <c r="E1056" s="10" t="inlineStr">
        <is>
          <t>Lương:Cạnh tranh</t>
        </is>
      </c>
      <c r="F1056" s="10" t="inlineStr">
        <is>
          <t>Hồ Chí Minh</t>
        </is>
      </c>
      <c r="G1056" s="10" t="inlineStr">
        <is>
          <t>05-04-2026</t>
        </is>
      </c>
      <c r="H1056" s="10" t="inlineStr">
        <is>
          <t>05/04/2026</t>
        </is>
      </c>
      <c r="I1056" s="10" t="inlineStr">
        <is>
          <t>17/03/2026</t>
        </is>
      </c>
      <c r="J1056" s="10" t="inlineStr">
        <is>
          <t>Bán lẻ / Bán sỉ, Thương mại điện tử, Kế toán / Kiểm toán</t>
        </is>
      </c>
      <c r="K1056" s="10" t="inlineStr">
        <is>
          <t>5 - 7 Năm</t>
        </is>
      </c>
      <c r="L1056" s="11">
        <f>HYPERLINK("https://careerviet.vn/vi/tim-viec-lam/ke-toan-truong.35C64991.html","Xem chi tiết")</f>
        <v/>
      </c>
      <c r="M1056" s="10" t="n"/>
    </row>
    <row r="1057">
      <c r="B1057" s="7" t="n">
        <v>1055</v>
      </c>
      <c r="C1057" t="inlineStr">
        <is>
          <t>Cluster HR Manager (Nha Trang)</t>
        </is>
      </c>
      <c r="D1057" t="inlineStr">
        <is>
          <t>CÔNG TY CỔ PHẦN I GROUP</t>
        </is>
      </c>
      <c r="E1057" t="inlineStr">
        <is>
          <t>Lương:Cạnh tranh</t>
        </is>
      </c>
      <c r="F1057" t="inlineStr">
        <is>
          <t>Khánh Hòa</t>
        </is>
      </c>
      <c r="G1057" t="inlineStr">
        <is>
          <t>02-04-2026</t>
        </is>
      </c>
      <c r="H1057" t="inlineStr">
        <is>
          <t>02/04/2026</t>
        </is>
      </c>
      <c r="I1057" t="inlineStr">
        <is>
          <t>17/03/2026</t>
        </is>
      </c>
      <c r="J1057" t="inlineStr">
        <is>
          <t>Luật / Pháp lý, Nhân sự, Nhà hàng / Khách sạn</t>
        </is>
      </c>
      <c r="K1057" t="inlineStr">
        <is>
          <t>5 - 7 Năm</t>
        </is>
      </c>
      <c r="L1057" s="8">
        <f>HYPERLINK("https://careerviet.vn/vi/tim-viec-lam/cluster-hr-manager-nha-trang.35C646B2.html","Xem chi tiết")</f>
        <v/>
      </c>
    </row>
    <row r="1058">
      <c r="B1058" s="9" t="n">
        <v>1056</v>
      </c>
      <c r="C1058" s="10" t="inlineStr">
        <is>
          <t>Giám Sát Hiện Trường Xây Dựng</t>
        </is>
      </c>
      <c r="D1058" s="10" t="inlineStr">
        <is>
          <t>CÔNG TY CỔ PHẦN DỊCH VỤ VÀ KỸ THUẬT SMC</t>
        </is>
      </c>
      <c r="E1058" s="10" t="inlineStr">
        <is>
          <t>Lương:Cạnh tranh</t>
        </is>
      </c>
      <c r="F1058" s="10" t="inlineStr">
        <is>
          <t>Hồ Chí Minh</t>
        </is>
      </c>
      <c r="G1058" s="10" t="inlineStr">
        <is>
          <t>09-04-2026</t>
        </is>
      </c>
      <c r="H1058" s="10" t="inlineStr">
        <is>
          <t>09/04/2026</t>
        </is>
      </c>
      <c r="I1058" s="10" t="inlineStr">
        <is>
          <t>17/03/2026</t>
        </is>
      </c>
      <c r="J1058" s="10" t="inlineStr">
        <is>
          <t>Hàng hải, Điện / Điện tử / Điện lạnh / Điện công nghiệp, Xây dựng</t>
        </is>
      </c>
      <c r="K1058" s="10" t="inlineStr">
        <is>
          <t>Trên 2 Năm</t>
        </is>
      </c>
      <c r="L1058" s="11">
        <f>HYPERLINK("https://careerviet.vn/vi/tim-viec-lam/giam-sat-hien-truong-xay-dung.35C68021.html","Xem chi tiết")</f>
        <v/>
      </c>
      <c r="M1058" s="10" t="n"/>
    </row>
    <row r="1059">
      <c r="B1059" s="7" t="n">
        <v>1057</v>
      </c>
      <c r="C1059" t="inlineStr">
        <is>
          <t>Senior Project Sales (Ưu tiên lĩnh vực xây dựng)</t>
        </is>
      </c>
      <c r="D1059" t="inlineStr">
        <is>
          <t>International IPS</t>
        </is>
      </c>
      <c r="E1059" t="inlineStr">
        <is>
          <t>Lương:25 Tr - 30 Tr VND</t>
        </is>
      </c>
      <c r="F1059" t="inlineStr">
        <is>
          <t>Hồ Chí Minh</t>
        </is>
      </c>
      <c r="G1059" t="inlineStr">
        <is>
          <t>07-04-2026</t>
        </is>
      </c>
      <c r="H1059" t="inlineStr">
        <is>
          <t>07/04/2026</t>
        </is>
      </c>
      <c r="I1059" t="inlineStr">
        <is>
          <t>17/03/2026</t>
        </is>
      </c>
      <c r="J1059" t="inlineStr">
        <is>
          <t>Bán hàng / Kinh doanh, Bán Hàng Kỹ Thuật, Xây dựng</t>
        </is>
      </c>
      <c r="K1059" t="inlineStr">
        <is>
          <t>4 - 5 Năm</t>
        </is>
      </c>
      <c r="L1059" s="8">
        <f>HYPERLINK("https://careerviet.vn/vi/tim-viec-lam/senior-project-sales-uu-tien-linh-vuc-xay-dung.35C67EB5.html","Xem chi tiết")</f>
        <v/>
      </c>
    </row>
    <row r="1060">
      <c r="B1060" s="9" t="n">
        <v>1058</v>
      </c>
      <c r="C1060" s="10" t="inlineStr">
        <is>
          <t>QA/QS Hiện Trường</t>
        </is>
      </c>
      <c r="D1060" s="10" t="inlineStr">
        <is>
          <t>CÔNG TY CỔ PHẦN DỊCH VỤ VÀ KỸ THUẬT SMC</t>
        </is>
      </c>
      <c r="E1060" s="10" t="inlineStr">
        <is>
          <t>Lương:Cạnh tranh</t>
        </is>
      </c>
      <c r="F1060" s="10" t="inlineStr">
        <is>
          <t>Hồ Chí Minh</t>
        </is>
      </c>
      <c r="G1060" s="10" t="inlineStr">
        <is>
          <t>09-04-2026</t>
        </is>
      </c>
      <c r="H1060" s="10" t="inlineStr">
        <is>
          <t>09/04/2026</t>
        </is>
      </c>
      <c r="I1060" s="10" t="inlineStr">
        <is>
          <t>17/03/2026</t>
        </is>
      </c>
      <c r="J1060" s="10" t="inlineStr">
        <is>
          <t>Hàng hải, Điện / Điện tử / Điện lạnh / Điện công nghiệp, Xây dựng</t>
        </is>
      </c>
      <c r="K1060" s="10" t="inlineStr">
        <is>
          <t>Trên 2 Năm</t>
        </is>
      </c>
      <c r="L1060" s="11">
        <f>HYPERLINK("https://careerviet.vn/vi/tim-viec-lam/qa-qs-hien-truong.35C68022.html","Xem chi tiết")</f>
        <v/>
      </c>
      <c r="M1060" s="10" t="n"/>
    </row>
    <row r="1061">
      <c r="B1061" s="7" t="n">
        <v>1059</v>
      </c>
      <c r="C1061" t="inlineStr">
        <is>
          <t>Nhân Viên Marketing</t>
        </is>
      </c>
      <c r="D1061" t="inlineStr">
        <is>
          <t>CÔNG TY CỔ PHẦN THỰC PHẨM TRẦN THÁI</t>
        </is>
      </c>
      <c r="E1061" t="inlineStr">
        <is>
          <t>Lương:8 Tr - 10 Tr VND</t>
        </is>
      </c>
      <c r="F1061" t="inlineStr">
        <is>
          <t>Hậu Giang</t>
        </is>
      </c>
      <c r="G1061" t="inlineStr">
        <is>
          <t>02-04-2026</t>
        </is>
      </c>
      <c r="H1061" t="inlineStr">
        <is>
          <t>02/04/2026</t>
        </is>
      </c>
      <c r="I1061" t="inlineStr">
        <is>
          <t>17/03/2026</t>
        </is>
      </c>
      <c r="J1061" t="inlineStr">
        <is>
          <t>Tiếp thị / Marketing, Tiếp thị trực tuyến, Quảng cáo / Đối ngoại / Truyền Thông</t>
        </is>
      </c>
      <c r="K1061" t="inlineStr">
        <is>
          <t>1 - 2 Năm</t>
        </is>
      </c>
      <c r="L1061" s="8">
        <f>HYPERLINK("https://careerviet.vn/vi/tim-viec-lam/nhan-vien-marketing.35C6467B.html","Xem chi tiết")</f>
        <v/>
      </c>
    </row>
    <row r="1062">
      <c r="B1062" s="9" t="n">
        <v>1060</v>
      </c>
      <c r="C1062" s="10" t="inlineStr">
        <is>
          <t>Phó Phòng Kinh Doanh</t>
        </is>
      </c>
      <c r="D1062" s="10" t="inlineStr">
        <is>
          <t>CÔNG TY CỔ PHẦN THỰC PHẨM TRẦN THÁI</t>
        </is>
      </c>
      <c r="E1062" s="10" t="inlineStr">
        <is>
          <t>Lương:20 Tr - 30 Tr VND</t>
        </is>
      </c>
      <c r="F1062" s="10" t="inlineStr">
        <is>
          <t>Hậu Giang</t>
        </is>
      </c>
      <c r="G1062" s="10" t="inlineStr">
        <is>
          <t>25-03-2026</t>
        </is>
      </c>
      <c r="H1062" s="10" t="inlineStr">
        <is>
          <t>25/03/2026</t>
        </is>
      </c>
      <c r="I1062" s="10" t="inlineStr">
        <is>
          <t>17/03/2026</t>
        </is>
      </c>
      <c r="J1062" s="10" t="inlineStr">
        <is>
          <t>Bán hàng / Kinh doanh, Thực phẩm &amp; Đồ uống, Quản lý điều hành</t>
        </is>
      </c>
      <c r="K1062" s="10" t="inlineStr">
        <is>
          <t>3 - 5 Năm</t>
        </is>
      </c>
      <c r="L1062" s="11">
        <f>HYPERLINK("https://careerviet.vn/vi/tim-viec-lam/pho-phong-kinh-doanh.35C6467A.html","Xem chi tiết")</f>
        <v/>
      </c>
      <c r="M1062" s="10" t="n"/>
    </row>
    <row r="1063">
      <c r="B1063" s="7" t="n">
        <v>1061</v>
      </c>
      <c r="C1063" t="inlineStr">
        <is>
          <t>Chuyên Viên ERP Sản Xuất &amp; Chuỗi Cung Ứng - Tài Chính</t>
        </is>
      </c>
      <c r="D1063" t="inlineStr">
        <is>
          <t>CÔNG TY CỔ PHẦN I GROUP</t>
        </is>
      </c>
      <c r="E1063" t="inlineStr">
        <is>
          <t>Lương:Cạnh tranh</t>
        </is>
      </c>
      <c r="F1063" t="inlineStr">
        <is>
          <t>Cần Thơ</t>
        </is>
      </c>
      <c r="G1063" t="inlineStr">
        <is>
          <t>03-04-2026</t>
        </is>
      </c>
      <c r="H1063" t="inlineStr">
        <is>
          <t>03/04/2026</t>
        </is>
      </c>
      <c r="I1063" t="inlineStr">
        <is>
          <t>17/03/2026</t>
        </is>
      </c>
      <c r="J1063" t="inlineStr">
        <is>
          <t>CNTT - Phần mềm, Sản xuất / Vận hành sản xuất, CNTT - Phần cứng / Mạng</t>
        </is>
      </c>
      <c r="K1063" t="inlineStr">
        <is>
          <t>1 - 3 Năm</t>
        </is>
      </c>
      <c r="L1063" s="8">
        <f>HYPERLINK("https://careerviet.vn/vi/tim-viec-lam/chuyen-vien-erp-san-xuat-chuoi-cung-ung-tai-chinh.35C646DD.html","Xem chi tiết")</f>
        <v/>
      </c>
    </row>
    <row r="1064">
      <c r="B1064" s="9" t="n">
        <v>1062</v>
      </c>
      <c r="C1064" s="10" t="inlineStr">
        <is>
          <t>Sales executive</t>
        </is>
      </c>
      <c r="D1064" s="10" t="inlineStr">
        <is>
          <t>Công ty Cổ Phần Gourmet Partner Việt Nam</t>
        </is>
      </c>
      <c r="E1064" s="10" t="inlineStr">
        <is>
          <t>Lương:Cạnh tranh</t>
        </is>
      </c>
      <c r="F1064" s="10" t="inlineStr">
        <is>
          <t>Đà Nẵng</t>
        </is>
      </c>
      <c r="G1064" s="10" t="inlineStr">
        <is>
          <t>07-04-2026</t>
        </is>
      </c>
      <c r="H1064" s="10" t="inlineStr">
        <is>
          <t>07/04/2026</t>
        </is>
      </c>
      <c r="I1064" s="10" t="inlineStr">
        <is>
          <t>17/03/2026</t>
        </is>
      </c>
      <c r="J1064" s="10" t="inlineStr">
        <is>
          <t>Tiếp thị / Marketing, Bán lẻ / Bán sỉ, Bán hàng / Kinh doanh</t>
        </is>
      </c>
      <c r="K1064" s="10" t="inlineStr">
        <is>
          <t>2 - 3 Năm</t>
        </is>
      </c>
      <c r="L1064" s="11">
        <f>HYPERLINK("https://careerviet.vn/vi/tim-viec-lam/sales-executive.35C67EA2.html","Xem chi tiết")</f>
        <v/>
      </c>
      <c r="M1064" s="10" t="n"/>
    </row>
    <row r="1065">
      <c r="B1065" s="7" t="n">
        <v>1063</v>
      </c>
      <c r="C1065" t="inlineStr">
        <is>
          <t>Kỹ Sư Phương Án Kỹ Thuật Nearshore</t>
        </is>
      </c>
      <c r="D1065" t="inlineStr">
        <is>
          <t>CÔNG TY CỔ PHẦN DỊCH VỤ VÀ KỸ THUẬT SMC</t>
        </is>
      </c>
      <c r="E1065" t="inlineStr">
        <is>
          <t>Lương:Cạnh tranh</t>
        </is>
      </c>
      <c r="F1065" t="inlineStr">
        <is>
          <t>Hồ Chí Minh</t>
        </is>
      </c>
      <c r="G1065" t="inlineStr">
        <is>
          <t>09-04-2026</t>
        </is>
      </c>
      <c r="H1065" t="inlineStr">
        <is>
          <t>09/04/2026</t>
        </is>
      </c>
      <c r="I1065" t="inlineStr">
        <is>
          <t>17/03/2026</t>
        </is>
      </c>
      <c r="J1065" t="inlineStr">
        <is>
          <t>Hàng hải, Dầu khí, Điện / Điện tử / Điện lạnh / Điện công nghiệp</t>
        </is>
      </c>
      <c r="K1065" t="inlineStr">
        <is>
          <t>Trên 2 Năm</t>
        </is>
      </c>
      <c r="L1065" s="8">
        <f>HYPERLINK("https://careerviet.vn/vi/tim-viec-lam/ky-su-phuong-an-ky-thuat-nearshore.35C68020.html","Xem chi tiết")</f>
        <v/>
      </c>
    </row>
    <row r="1066">
      <c r="B1066" s="9" t="n">
        <v>1064</v>
      </c>
      <c r="C1066" s="10" t="inlineStr">
        <is>
          <t>[Khánh Hòa] Nhân viên kinh doanh đại lý</t>
        </is>
      </c>
      <c r="D1066" s="10" t="inlineStr">
        <is>
          <t>Daikin Air Conditioning (Vietnam) Joint Stock Company</t>
        </is>
      </c>
      <c r="E1066" s="10" t="inlineStr">
        <is>
          <t>Lương:Cạnh tranh</t>
        </is>
      </c>
      <c r="F1066" s="10" t="inlineStr">
        <is>
          <t>Khánh Hòa</t>
        </is>
      </c>
      <c r="G1066" s="10" t="inlineStr">
        <is>
          <t>06-04-2026</t>
        </is>
      </c>
      <c r="H1066" s="10" t="inlineStr">
        <is>
          <t>06/04/2026</t>
        </is>
      </c>
      <c r="I1066" s="10" t="inlineStr">
        <is>
          <t>17/03/2026</t>
        </is>
      </c>
      <c r="J1066" s="10" t="inlineStr">
        <is>
          <t>Bất động sản, Bán hàng / Kinh doanh, Bán lẻ / Bán sỉ</t>
        </is>
      </c>
      <c r="K1066" s="10" t="inlineStr">
        <is>
          <t>1 - 2 Năm</t>
        </is>
      </c>
      <c r="L1066" s="11">
        <f>HYPERLINK("https://careerviet.vn/vi/tim-viec-lam/khanh-hoa-nhan-vien-kinh-doanh-dai-ly.35C67BDC.html","Xem chi tiết")</f>
        <v/>
      </c>
      <c r="M1066" s="10" t="n"/>
    </row>
    <row r="1067">
      <c r="B1067" s="7" t="n">
        <v>1065</v>
      </c>
      <c r="C1067" t="inlineStr">
        <is>
          <t>Trưởng Phòng Đấu Thầu</t>
        </is>
      </c>
      <c r="D1067" t="inlineStr">
        <is>
          <t>Công ty TNHH Xây Dựng Hoàng Liên Sơn</t>
        </is>
      </c>
      <c r="E1067" t="inlineStr">
        <is>
          <t>Lương:25 Tr - 30 Tr VND</t>
        </is>
      </c>
      <c r="F1067" t="inlineStr">
        <is>
          <t>Bà Rịa - Vũng TàuHồ Chí Minh</t>
        </is>
      </c>
      <c r="G1067" t="inlineStr">
        <is>
          <t>06-04-2026</t>
        </is>
      </c>
      <c r="H1067" t="inlineStr">
        <is>
          <t>06/04/2026</t>
        </is>
      </c>
      <c r="I1067" t="inlineStr">
        <is>
          <t>17/03/2026</t>
        </is>
      </c>
      <c r="J1067" t="inlineStr">
        <is>
          <t>Kiến trúc, Xây dựng</t>
        </is>
      </c>
      <c r="K1067" t="inlineStr">
        <is>
          <t>7 - 10 Năm</t>
        </is>
      </c>
      <c r="L1067" s="8">
        <f>HYPERLINK("https://careerviet.vn/vi/tim-viec-lam/truong-phong-dau-thau.35C67A45.html","Xem chi tiết")</f>
        <v/>
      </c>
    </row>
    <row r="1068">
      <c r="B1068" s="9" t="n">
        <v>1066</v>
      </c>
      <c r="C1068" s="10" t="inlineStr">
        <is>
          <t>Kỹ Sư QS Công Trình</t>
        </is>
      </c>
      <c r="D1068" s="10" t="inlineStr">
        <is>
          <t>Công ty TNHH Xây Dựng Hoàng Liên Sơn</t>
        </is>
      </c>
      <c r="E1068" s="10" t="inlineStr">
        <is>
          <t>Lương:18 Tr - 22 Tr VND</t>
        </is>
      </c>
      <c r="F1068" s="10" t="inlineStr">
        <is>
          <t>Hồ Chí Minh</t>
        </is>
      </c>
      <c r="G1068" s="10" t="inlineStr">
        <is>
          <t>06-04-2026</t>
        </is>
      </c>
      <c r="H1068" s="10" t="inlineStr">
        <is>
          <t>06/04/2026</t>
        </is>
      </c>
      <c r="I1068" s="10" t="inlineStr">
        <is>
          <t>17/03/2026</t>
        </is>
      </c>
      <c r="J1068" s="10" t="inlineStr">
        <is>
          <t>Kiến trúc, Xây dựng</t>
        </is>
      </c>
      <c r="K1068" s="10" t="inlineStr">
        <is>
          <t>3 - 5 Năm</t>
        </is>
      </c>
      <c r="L1068" s="11">
        <f>HYPERLINK("https://careerviet.vn/vi/tim-viec-lam/ky-su-qs-cong-trinh.35C67A5D.html","Xem chi tiết")</f>
        <v/>
      </c>
      <c r="M1068" s="10" t="n"/>
    </row>
    <row r="1069">
      <c r="B1069" s="7" t="n">
        <v>1067</v>
      </c>
      <c r="C1069" t="inlineStr">
        <is>
          <t>Kỹ Sư QA/QC Xây Dựng</t>
        </is>
      </c>
      <c r="D1069" t="inlineStr">
        <is>
          <t>Công ty TNHH Xây Dựng Hoàng Liên Sơn</t>
        </is>
      </c>
      <c r="E1069" t="inlineStr">
        <is>
          <t>Lương:15 Tr - 25 Tr VND</t>
        </is>
      </c>
      <c r="F1069" t="inlineStr">
        <is>
          <t>Bà Rịa - Vũng Tàu</t>
        </is>
      </c>
      <c r="G1069" t="inlineStr">
        <is>
          <t>06-04-2026</t>
        </is>
      </c>
      <c r="H1069" t="inlineStr">
        <is>
          <t>06/04/2026</t>
        </is>
      </c>
      <c r="I1069" t="inlineStr">
        <is>
          <t>17/03/2026</t>
        </is>
      </c>
      <c r="J1069" t="inlineStr">
        <is>
          <t>Kiến trúc, Xây dựng</t>
        </is>
      </c>
      <c r="K1069" t="inlineStr">
        <is>
          <t>3 - 7 Năm</t>
        </is>
      </c>
      <c r="L1069" s="8">
        <f>HYPERLINK("https://careerviet.vn/vi/tim-viec-lam/ky-su-qa-qc-xay-dung.35C67A8A.html","Xem chi tiết")</f>
        <v/>
      </c>
    </row>
    <row r="1070">
      <c r="B1070" s="9" t="n">
        <v>1068</v>
      </c>
      <c r="C1070" s="10" t="inlineStr">
        <is>
          <t>Kỹ Sư Giám Sát Xây Dựng</t>
        </is>
      </c>
      <c r="D1070" s="10" t="inlineStr">
        <is>
          <t>Công ty TNHH Xây Dựng Hoàng Liên Sơn</t>
        </is>
      </c>
      <c r="E1070" s="10" t="inlineStr">
        <is>
          <t>Lương:15 Tr - 23 Tr VND</t>
        </is>
      </c>
      <c r="F1070" s="10" t="inlineStr">
        <is>
          <t>Bà Rịa - Vũng Tàu</t>
        </is>
      </c>
      <c r="G1070" s="10" t="inlineStr">
        <is>
          <t>06-04-2026</t>
        </is>
      </c>
      <c r="H1070" s="10" t="inlineStr">
        <is>
          <t>06/04/2026</t>
        </is>
      </c>
      <c r="I1070" s="10" t="inlineStr">
        <is>
          <t>17/03/2026</t>
        </is>
      </c>
      <c r="J1070" s="10" t="inlineStr">
        <is>
          <t>Kiến trúc, Xây dựng</t>
        </is>
      </c>
      <c r="K1070" s="10" t="inlineStr">
        <is>
          <t>3 - 5 Năm</t>
        </is>
      </c>
      <c r="L1070" s="11">
        <f>HYPERLINK("https://careerviet.vn/vi/tim-viec-lam/ky-su-giam-sat-xay-dung.35C67A7C.html","Xem chi tiết")</f>
        <v/>
      </c>
      <c r="M1070" s="10" t="n"/>
    </row>
    <row r="1071">
      <c r="B1071" s="7" t="n">
        <v>1069</v>
      </c>
      <c r="C1071" t="inlineStr">
        <is>
          <t>Senior Electrical Engineer</t>
        </is>
      </c>
      <c r="D1071" t="inlineStr">
        <is>
          <t>Aurecon Việt Nam</t>
        </is>
      </c>
      <c r="E1071" t="inlineStr">
        <is>
          <t>Lương:Cạnh tranh</t>
        </is>
      </c>
      <c r="F1071" t="inlineStr">
        <is>
          <t>Hồ Chí Minh</t>
        </is>
      </c>
      <c r="G1071" t="inlineStr">
        <is>
          <t>06-04-2026</t>
        </is>
      </c>
      <c r="H1071" t="inlineStr">
        <is>
          <t>06/04/2026</t>
        </is>
      </c>
      <c r="I1071" t="inlineStr">
        <is>
          <t>17/03/2026</t>
        </is>
      </c>
      <c r="J1071" t="inlineStr">
        <is>
          <t>Kiến trúc, Xây dựng, Điện / Điện tử / Điện lạnh / Điện công nghiệp</t>
        </is>
      </c>
      <c r="K1071" t="inlineStr">
        <is>
          <t>Trên 10 Năm</t>
        </is>
      </c>
      <c r="L1071" s="8">
        <f>HYPERLINK("https://careerviet.vn/vi/tim-viec-lam/senior-electrical-engineer.35C67950.html","Xem chi tiết")</f>
        <v/>
      </c>
    </row>
    <row r="1072">
      <c r="B1072" s="9" t="n">
        <v>1070</v>
      </c>
      <c r="C1072" s="10" t="inlineStr">
        <is>
          <t>Thông Dịch Viên Tiếng Hàn Dự Án SAP (Hợp Đồng 3 Tháng - Bắc Ninh - Có Xe Đưa Rước)</t>
        </is>
      </c>
      <c r="D1072" s="10" t="inlineStr">
        <is>
          <t>ORION FOOD VINA CO.,LTD</t>
        </is>
      </c>
      <c r="E1072" s="10" t="inlineStr">
        <is>
          <t>Lương:25 - 35 VND</t>
        </is>
      </c>
      <c r="F1072" s="10" t="inlineStr">
        <is>
          <t>Hà Nội</t>
        </is>
      </c>
      <c r="G1072" s="10" t="inlineStr">
        <is>
          <t>06-04-2026</t>
        </is>
      </c>
      <c r="H1072" s="10" t="inlineStr">
        <is>
          <t>06/04/2026</t>
        </is>
      </c>
      <c r="I1072" s="10" t="inlineStr">
        <is>
          <t>17/03/2026</t>
        </is>
      </c>
      <c r="J1072" s="10" t="inlineStr">
        <is>
          <t>Bán lẻ / Bán sỉ, Biên phiên dịch, CNTT - Phần mềm</t>
        </is>
      </c>
      <c r="K1072" s="10" t="inlineStr">
        <is>
          <t>3 - 15 Năm</t>
        </is>
      </c>
      <c r="L1072" s="11">
        <f>HYPERLINK("https://careerviet.vn/vi/tim-viec-lam/thong-dich-vien-tieng-han-du-an-sap-hop-dong-3-thang-bac-ninh-co-xe-dua-ruoc.35C6794F.html","Xem chi tiết")</f>
        <v/>
      </c>
      <c r="M1072" s="10" t="n"/>
    </row>
    <row r="1073">
      <c r="B1073" s="7" t="n">
        <v>1071</v>
      </c>
      <c r="C1073" t="inlineStr">
        <is>
          <t>Kỹ Sư QS Đấu Thầu</t>
        </is>
      </c>
      <c r="D1073" t="inlineStr">
        <is>
          <t>Công ty TNHH Xây Dựng Hoàng Liên Sơn</t>
        </is>
      </c>
      <c r="E1073" t="inlineStr">
        <is>
          <t>Lương:18 Tr - 22 Tr VND</t>
        </is>
      </c>
      <c r="F1073" t="inlineStr">
        <is>
          <t>Hồ Chí Minh</t>
        </is>
      </c>
      <c r="G1073" t="inlineStr">
        <is>
          <t>06-04-2026</t>
        </is>
      </c>
      <c r="H1073" t="inlineStr">
        <is>
          <t>06/04/2026</t>
        </is>
      </c>
      <c r="I1073" t="inlineStr">
        <is>
          <t>17/03/2026</t>
        </is>
      </c>
      <c r="J1073" t="inlineStr">
        <is>
          <t>Kiến trúc, Xây dựng</t>
        </is>
      </c>
      <c r="K1073" t="inlineStr">
        <is>
          <t>3 - 5 Năm</t>
        </is>
      </c>
      <c r="L1073" s="8">
        <f>HYPERLINK("https://careerviet.vn/vi/tim-viec-lam/ky-su-qs-dau-thau.35C67A55.html","Xem chi tiết")</f>
        <v/>
      </c>
    </row>
    <row r="1074">
      <c r="B1074" s="9" t="n">
        <v>1072</v>
      </c>
      <c r="C1074" s="10" t="inlineStr">
        <is>
          <t>Nhân viên Vận hành Hệ thống làm sạch đậu [BÌNH DƯƠNG]</t>
        </is>
      </c>
      <c r="D1074" s="10" t="inlineStr">
        <is>
          <t>Công Ty Sữa Đậu Nành Việt Nam - Vinasoy</t>
        </is>
      </c>
      <c r="E1074" s="10" t="inlineStr">
        <is>
          <t>Lương:7,8 Tr - 8,6 Tr VND</t>
        </is>
      </c>
      <c r="F1074" s="10" t="inlineStr">
        <is>
          <t>Bình Dương</t>
        </is>
      </c>
      <c r="G1074" s="10" t="inlineStr">
        <is>
          <t>04-04-2026</t>
        </is>
      </c>
      <c r="H1074" s="10" t="inlineStr">
        <is>
          <t>04/04/2026</t>
        </is>
      </c>
      <c r="I1074" s="10" t="inlineStr">
        <is>
          <t>17/03/2026</t>
        </is>
      </c>
      <c r="J1074" s="10" t="inlineStr">
        <is>
          <t>Sản xuất / Vận hành sản xuất, Thực phẩm &amp; Đồ uống</t>
        </is>
      </c>
      <c r="K1074" s="10" t="inlineStr">
        <is>
          <t>Chưa có kinh nghiệm</t>
        </is>
      </c>
      <c r="L1074" s="11">
        <f>HYPERLINK("https://careerviet.vn/vi/tim-viec-lam/nhan-vien-van-hanh-he-thong-lam-sach-dau-binh-duong.35C675BE.html","Xem chi tiết")</f>
        <v/>
      </c>
      <c r="M1074" s="10" t="n"/>
    </row>
    <row r="1075">
      <c r="B1075" s="7" t="n">
        <v>1073</v>
      </c>
      <c r="C1075" t="inlineStr">
        <is>
          <t>Senior Hydraulic Engineer</t>
        </is>
      </c>
      <c r="D1075" t="inlineStr">
        <is>
          <t>Aurecon Việt Nam</t>
        </is>
      </c>
      <c r="E1075" t="inlineStr">
        <is>
          <t>Lương:Cạnh tranh</t>
        </is>
      </c>
      <c r="F1075" t="inlineStr">
        <is>
          <t>Hồ Chí Minh</t>
        </is>
      </c>
      <c r="G1075" t="inlineStr">
        <is>
          <t>06-04-2026</t>
        </is>
      </c>
      <c r="H1075" t="inlineStr">
        <is>
          <t>06/04/2026</t>
        </is>
      </c>
      <c r="I1075" t="inlineStr">
        <is>
          <t>17/03/2026</t>
        </is>
      </c>
      <c r="J1075" t="inlineStr">
        <is>
          <t>Kiến trúc, Xây dựng, Môi trường</t>
        </is>
      </c>
      <c r="K1075" t="inlineStr">
        <is>
          <t>Trên 10 Năm</t>
        </is>
      </c>
      <c r="L1075" s="8">
        <f>HYPERLINK("https://careerviet.vn/vi/tim-viec-lam/senior-hydraulic-engineer.35C67995.html","Xem chi tiết")</f>
        <v/>
      </c>
    </row>
    <row r="1076">
      <c r="B1076" s="9" t="n">
        <v>1074</v>
      </c>
      <c r="C1076" s="10" t="inlineStr">
        <is>
          <t>Nhân Viên Y Tế</t>
        </is>
      </c>
      <c r="D1076" s="10" t="inlineStr">
        <is>
          <t>Công Ty Sữa Đậu Nành Việt Nam - Vinasoy</t>
        </is>
      </c>
      <c r="E1076" s="10" t="inlineStr">
        <is>
          <t>Lương:Cạnh tranh</t>
        </is>
      </c>
      <c r="F1076" s="10" t="inlineStr">
        <is>
          <t>Bình Dương</t>
        </is>
      </c>
      <c r="G1076" s="10" t="inlineStr">
        <is>
          <t>04-04-2026</t>
        </is>
      </c>
      <c r="H1076" s="10" t="inlineStr">
        <is>
          <t>04/04/2026</t>
        </is>
      </c>
      <c r="I1076" s="10" t="inlineStr">
        <is>
          <t>17/03/2026</t>
        </is>
      </c>
      <c r="J1076" s="10" t="inlineStr">
        <is>
          <t>Y tế / Chăm sóc sức khỏe / Thẩm mỹ / Làm đẹp</t>
        </is>
      </c>
      <c r="K1076" s="10" t="inlineStr">
        <is>
          <t>1 - 3 Năm</t>
        </is>
      </c>
      <c r="L1076" s="11">
        <f>HYPERLINK("https://careerviet.vn/vi/tim-viec-lam/nhan-vien-y-te.35C675B9.html","Xem chi tiết")</f>
        <v/>
      </c>
      <c r="M1076" s="10" t="n"/>
    </row>
    <row r="1077">
      <c r="B1077" s="7" t="n">
        <v>1075</v>
      </c>
      <c r="C1077" t="inlineStr">
        <is>
          <t>Chuyên viên kế toán quản trị (Làm việc tại Lào)</t>
        </is>
      </c>
      <c r="D1077" t="inlineStr">
        <is>
          <t>Công ty CP Thành Thành Công - Biên Hòa</t>
        </is>
      </c>
      <c r="E1077" t="inlineStr">
        <is>
          <t>Lương:Cạnh tranh</t>
        </is>
      </c>
      <c r="F1077" t="inlineStr">
        <is>
          <t>Attapeu</t>
        </is>
      </c>
      <c r="G1077" t="inlineStr">
        <is>
          <t>05-04-2026</t>
        </is>
      </c>
      <c r="H1077" t="inlineStr">
        <is>
          <t>05/04/2026</t>
        </is>
      </c>
      <c r="I1077" t="inlineStr">
        <is>
          <t>17/03/2026</t>
        </is>
      </c>
      <c r="J1077" t="inlineStr">
        <is>
          <t>Kế toán / Kiểm toán</t>
        </is>
      </c>
      <c r="K1077" t="inlineStr">
        <is>
          <t>2 - 3 Năm</t>
        </is>
      </c>
      <c r="L1077" s="8">
        <f>HYPERLINK("https://careerviet.vn/vi/tim-viec-lam/chuyen-vien-ke-toan-quan-tri-lam-viec-tai-lao.35C67899.html","Xem chi tiết")</f>
        <v/>
      </c>
    </row>
    <row r="1078">
      <c r="B1078" s="9" t="n">
        <v>1076</v>
      </c>
      <c r="C1078" s="10" t="inlineStr">
        <is>
          <t>Cần Thơ - Nhân viên Admin Mua Hàng</t>
        </is>
      </c>
      <c r="D1078" s="10" t="inlineStr">
        <is>
          <t>CÔNG TY CỔ PHẦN I GROUP</t>
        </is>
      </c>
      <c r="E1078" s="10" t="inlineStr">
        <is>
          <t>Lương:6 Tr - 12 Tr VND</t>
        </is>
      </c>
      <c r="F1078" s="10" t="inlineStr">
        <is>
          <t>Cần Thơ</t>
        </is>
      </c>
      <c r="G1078" s="10" t="inlineStr">
        <is>
          <t>04-04-2026</t>
        </is>
      </c>
      <c r="H1078" s="10" t="inlineStr">
        <is>
          <t>04/04/2026</t>
        </is>
      </c>
      <c r="I1078" s="10" t="inlineStr">
        <is>
          <t>17/03/2026</t>
        </is>
      </c>
      <c r="J1078" s="10" t="inlineStr">
        <is>
          <t>Thủy sản / Hải sản, Sản xuất / Vận hành sản xuất, Thu mua / Vật tư</t>
        </is>
      </c>
      <c r="K1078" s="10" t="inlineStr">
        <is>
          <t>1 - 3 Năm</t>
        </is>
      </c>
      <c r="L1078" s="11">
        <f>HYPERLINK("https://careerviet.vn/vi/tim-viec-lam/can-tho-nhan-vien-admin-mua-hang.35C67594.html","Xem chi tiết")</f>
        <v/>
      </c>
      <c r="M1078" s="10" t="n"/>
    </row>
    <row r="1079">
      <c r="B1079" s="7" t="n">
        <v>1077</v>
      </c>
      <c r="C1079" t="inlineStr">
        <is>
          <t>Nhân viên Lái Xe Nâng [BÌNH DƯƠNG]</t>
        </is>
      </c>
      <c r="D1079" t="inlineStr">
        <is>
          <t>Công Ty Sữa Đậu Nành Việt Nam - Vinasoy</t>
        </is>
      </c>
      <c r="E1079" t="inlineStr">
        <is>
          <t>Lương:Cạnh tranh</t>
        </is>
      </c>
      <c r="F1079" t="inlineStr">
        <is>
          <t>Bình Dương</t>
        </is>
      </c>
      <c r="G1079" t="inlineStr">
        <is>
          <t>04-04-2026</t>
        </is>
      </c>
      <c r="H1079" t="inlineStr">
        <is>
          <t>04/04/2026</t>
        </is>
      </c>
      <c r="I1079" t="inlineStr">
        <is>
          <t>17/03/2026</t>
        </is>
      </c>
      <c r="J1079" t="inlineStr">
        <is>
          <t>Thực phẩm &amp; Đồ uống, Vận chuyển / Giao nhận / Kho vận</t>
        </is>
      </c>
      <c r="K1079" t="inlineStr">
        <is>
          <t>1 - 2 Năm</t>
        </is>
      </c>
      <c r="L1079" s="8">
        <f>HYPERLINK("https://careerviet.vn/vi/tim-viec-lam/nhan-vien-lai-xe-nang-binh-duong.35C675BF.html","Xem chi tiết")</f>
        <v/>
      </c>
    </row>
    <row r="1080">
      <c r="B1080" s="9" t="n">
        <v>1078</v>
      </c>
      <c r="C1080" s="10" t="inlineStr">
        <is>
          <t>Quản Lý Đào Tạo Và Phát Triển Tổ Chức</t>
        </is>
      </c>
      <c r="D1080" s="10" t="inlineStr">
        <is>
          <t>Cổ Phần Quốc Tế Anh Văn Hội Việt Mỹ (VUS)</t>
        </is>
      </c>
      <c r="E1080" s="10" t="inlineStr">
        <is>
          <t>Lương:30 Tr - 40 Tr VND</t>
        </is>
      </c>
      <c r="F1080" s="10" t="inlineStr">
        <is>
          <t>Hồ Chí Minh</t>
        </is>
      </c>
      <c r="G1080" s="10" t="inlineStr">
        <is>
          <t>05-04-2026</t>
        </is>
      </c>
      <c r="H1080" s="10" t="inlineStr">
        <is>
          <t>05/04/2026</t>
        </is>
      </c>
      <c r="I1080" s="10" t="inlineStr">
        <is>
          <t>17/03/2026</t>
        </is>
      </c>
      <c r="J1080" s="10" t="inlineStr">
        <is>
          <t>Giáo dục / Đào tạo, Quản lý điều hành</t>
        </is>
      </c>
      <c r="K1080" s="10" t="inlineStr">
        <is>
          <t>Lên đến 5 NămĐịa điểm</t>
        </is>
      </c>
      <c r="L1080" s="11">
        <f>HYPERLINK("https://careerviet.vn/vi/tim-viec-lam/quan-ly-dao-tao-va-phat-trien-to-chuc.35C6784C.html","Xem chi tiết")</f>
        <v/>
      </c>
      <c r="M1080" s="10" t="n"/>
    </row>
    <row r="1081">
      <c r="B1081" s="7" t="n">
        <v>1079</v>
      </c>
      <c r="C1081" t="inlineStr">
        <is>
          <t>CHUYÊN VIÊN TUYỂN DỤNG ĐÀO TẠO (NAM)</t>
        </is>
      </c>
      <c r="D1081" t="inlineStr">
        <is>
          <t>CÔNG TY CỔ PHẦN NƯỚC KHOÁNG KHÁNH HÒA</t>
        </is>
      </c>
      <c r="E1081" t="inlineStr">
        <is>
          <t>Lương:Cạnh tranh</t>
        </is>
      </c>
      <c r="F1081" t="inlineStr">
        <is>
          <t>Khánh Hòa</t>
        </is>
      </c>
      <c r="G1081" t="inlineStr">
        <is>
          <t>04-04-2026</t>
        </is>
      </c>
      <c r="H1081" t="inlineStr">
        <is>
          <t>04/04/2026</t>
        </is>
      </c>
      <c r="I1081" t="inlineStr">
        <is>
          <t>17/03/2026</t>
        </is>
      </c>
      <c r="J1081" t="inlineStr">
        <is>
          <t>Bán hàng / Kinh doanh, Giáo dục / Đào tạo, Nhân sự</t>
        </is>
      </c>
      <c r="K1081" t="inlineStr">
        <is>
          <t>2 - 5 Năm</t>
        </is>
      </c>
      <c r="L1081" s="8">
        <f>HYPERLINK("https://careerviet.vn/vi/tim-viec-lam/chuyen-vien-tuyen-dung-dao-tao-nam.35C67503.html","Xem chi tiết")</f>
        <v/>
      </c>
    </row>
    <row r="1082">
      <c r="B1082" s="9" t="n">
        <v>1080</v>
      </c>
      <c r="C1082" s="10" t="inlineStr">
        <is>
          <t>Chuyên Viên C&amp;B</t>
        </is>
      </c>
      <c r="D1082" s="10" t="inlineStr">
        <is>
          <t>CÔNG TY CỔ PHẦN SẢN XUẤT &amp; XUẤT NHẬP KHẨU HAT+</t>
        </is>
      </c>
      <c r="E1082" s="10" t="inlineStr">
        <is>
          <t>Lương:10 Tr - 16 Tr VND</t>
        </is>
      </c>
      <c r="F1082" s="10" t="inlineStr">
        <is>
          <t>Hà Nội</t>
        </is>
      </c>
      <c r="G1082" s="10" t="inlineStr">
        <is>
          <t>04-04-2026</t>
        </is>
      </c>
      <c r="H1082" s="10" t="inlineStr">
        <is>
          <t>04/04/2026</t>
        </is>
      </c>
      <c r="I1082" s="10" t="inlineStr">
        <is>
          <t>17/03/2026</t>
        </is>
      </c>
      <c r="J1082" s="10" t="inlineStr">
        <is>
          <t>Hành chính / Thư ký, Nhân sự, Dệt may / Da giày / Thời trang</t>
        </is>
      </c>
      <c r="K1082" s="10" t="inlineStr">
        <is>
          <t>3 - 5 Năm</t>
        </is>
      </c>
      <c r="L1082" s="11">
        <f>HYPERLINK("https://careerviet.vn/vi/tim-viec-lam/chuyen-vien-c-b.35C67537.html","Xem chi tiết")</f>
        <v/>
      </c>
      <c r="M1082" s="10" t="n"/>
    </row>
    <row r="1083">
      <c r="B1083" s="7" t="n">
        <v>1081</v>
      </c>
      <c r="C1083" t="inlineStr">
        <is>
          <t>Thông Dịch Viên Tiếng Hàn Dự Án SAP (Hợp Đồng 3 Tháng - Bình Dương - Có Xe Đưa Rước)</t>
        </is>
      </c>
      <c r="D1083" t="inlineStr">
        <is>
          <t>ORION FOOD VINA CO.,LTD</t>
        </is>
      </c>
      <c r="E1083" t="inlineStr">
        <is>
          <t>Lương:25 - 35 VND</t>
        </is>
      </c>
      <c r="F1083" t="inlineStr">
        <is>
          <t>Bình Dương</t>
        </is>
      </c>
      <c r="G1083" t="inlineStr">
        <is>
          <t>06-04-2026</t>
        </is>
      </c>
      <c r="H1083" t="inlineStr">
        <is>
          <t>06/04/2026</t>
        </is>
      </c>
      <c r="I1083" t="inlineStr">
        <is>
          <t>17/03/2026</t>
        </is>
      </c>
      <c r="J1083" t="inlineStr">
        <is>
          <t>Bán lẻ / Bán sỉ, Biên phiên dịch, CNTT - Phần mềm</t>
        </is>
      </c>
      <c r="K1083" t="inlineStr">
        <is>
          <t>3 - 15 Năm</t>
        </is>
      </c>
      <c r="L1083" s="8">
        <f>HYPERLINK("https://careerviet.vn/vi/tim-viec-lam/thong-dich-vien-tieng-han-du-an-sap-hop-dong-3-thang-binh-duong-co-xe-dua-ruoc.35C6796B.html","Xem chi tiết")</f>
        <v/>
      </c>
    </row>
    <row r="1084">
      <c r="B1084" s="9" t="n">
        <v>1082</v>
      </c>
      <c r="C1084" s="10" t="inlineStr">
        <is>
          <t>Brand Manager</t>
        </is>
      </c>
      <c r="D1084" s="10" t="inlineStr">
        <is>
          <t>CÔNG TY TNHH TOHOGENKAI VIỆT NAM</t>
        </is>
      </c>
      <c r="E1084" s="10" t="inlineStr">
        <is>
          <t>Lương:20 Tr - 30 Tr VND</t>
        </is>
      </c>
      <c r="F1084" s="10" t="inlineStr">
        <is>
          <t>Hồ Chí MinhHà Nội</t>
        </is>
      </c>
      <c r="G1084" s="10" t="inlineStr">
        <is>
          <t>6</t>
        </is>
      </c>
      <c r="H1084" s="10" t="inlineStr">
        <is>
          <t>23/03/2026</t>
        </is>
      </c>
      <c r="I1084" s="10" t="inlineStr">
        <is>
          <t>17/03/2026</t>
        </is>
      </c>
      <c r="J1084" s="10" t="inlineStr">
        <is>
          <t>Tiếp thị / Marketing, Bán hàng / Kinh doanh, Thương mại điện tử</t>
        </is>
      </c>
      <c r="K1084" s="10" t="inlineStr">
        <is>
          <t>3 - 5 Năm</t>
        </is>
      </c>
      <c r="L1084" s="11">
        <f>HYPERLINK("https://careerviet.vn/vi/tim-viec-lam/brand-manager.35C67858.html","Xem chi tiết")</f>
        <v/>
      </c>
      <c r="M1084" s="10" t="n"/>
    </row>
    <row r="1085">
      <c r="B1085" s="7" t="n">
        <v>1083</v>
      </c>
      <c r="C1085" t="inlineStr">
        <is>
          <t>CN KIỂM HÀNG [ BÌNH DƯƠNG]</t>
        </is>
      </c>
      <c r="D1085" t="inlineStr">
        <is>
          <t>Công Ty Sữa Đậu Nành Việt Nam - Vinasoy</t>
        </is>
      </c>
      <c r="E1085" t="inlineStr">
        <is>
          <t>Lương:Cạnh tranh</t>
        </is>
      </c>
      <c r="F1085" t="inlineStr">
        <is>
          <t>Bình Dương</t>
        </is>
      </c>
      <c r="G1085" t="inlineStr">
        <is>
          <t>04-04-2026</t>
        </is>
      </c>
      <c r="H1085" t="inlineStr">
        <is>
          <t>04/04/2026</t>
        </is>
      </c>
      <c r="I1085" t="inlineStr">
        <is>
          <t>17/03/2026</t>
        </is>
      </c>
      <c r="J1085" t="inlineStr">
        <is>
          <t>Công nghệ thực phẩm / Dinh dưỡng, Quản lý chất lượng (QA/QC), Thực phẩm &amp; Đồ uống</t>
        </is>
      </c>
      <c r="K1085" t="inlineStr">
        <is>
          <t>Chưa có kinh nghiệm</t>
        </is>
      </c>
      <c r="L1085" s="8">
        <f>HYPERLINK("https://careerviet.vn/vi/tim-viec-lam/cn-kiem-hang-binh-duong.35C675C2.html","Xem chi tiết")</f>
        <v/>
      </c>
    </row>
    <row r="1086">
      <c r="B1086" s="9" t="n">
        <v>1084</v>
      </c>
      <c r="C1086" s="10" t="inlineStr">
        <is>
          <t>Giám Sát Thi Công - (Construction Supervisor/ Site Engineer)</t>
        </is>
      </c>
      <c r="D1086" s="10" t="inlineStr">
        <is>
          <t>International IPS</t>
        </is>
      </c>
      <c r="E1086" s="10" t="inlineStr">
        <is>
          <t>Lương:14 Tr - 20 Tr VND</t>
        </is>
      </c>
      <c r="F1086" s="10" t="inlineStr">
        <is>
          <t>Hồ Chí Minh</t>
        </is>
      </c>
      <c r="G1086" s="10" t="inlineStr">
        <is>
          <t>03-04-2026</t>
        </is>
      </c>
      <c r="H1086" s="10" t="inlineStr">
        <is>
          <t>03/04/2026</t>
        </is>
      </c>
      <c r="I1086" s="10" t="inlineStr">
        <is>
          <t>17/03/2026</t>
        </is>
      </c>
      <c r="J1086" s="10" t="inlineStr">
        <is>
          <t>Quản lý chất lượng (QA/QC), Xây dựng, Kiến trúc</t>
        </is>
      </c>
      <c r="K1086" s="10" t="inlineStr">
        <is>
          <t>2 - 3 Năm</t>
        </is>
      </c>
      <c r="L1086" s="11">
        <f>HYPERLINK("https://careerviet.vn/vi/tim-viec-lam/giam-sat-thi-cong-construction-supervisor-site-engineer.35C672F1.html","Xem chi tiết")</f>
        <v/>
      </c>
      <c r="M1086" s="10" t="n"/>
    </row>
    <row r="1087">
      <c r="B1087" s="7" t="n">
        <v>1085</v>
      </c>
      <c r="C1087" t="inlineStr">
        <is>
          <t>Chuyên Viên Thiết Bị Hàng Hải</t>
        </is>
      </c>
      <c r="D1087" t="inlineStr">
        <is>
          <t>CÔNG TY CỔ PHẦN DỊCH VỤ VÀ KỸ THUẬT SMC</t>
        </is>
      </c>
      <c r="E1087" t="inlineStr">
        <is>
          <t>Lương:Cạnh tranh</t>
        </is>
      </c>
      <c r="F1087" t="inlineStr">
        <is>
          <t>Hồ Chí Minh</t>
        </is>
      </c>
      <c r="G1087" t="inlineStr">
        <is>
          <t>04-04-2026</t>
        </is>
      </c>
      <c r="H1087" t="inlineStr">
        <is>
          <t>04/04/2026</t>
        </is>
      </c>
      <c r="I1087" t="inlineStr">
        <is>
          <t>17/03/2026</t>
        </is>
      </c>
      <c r="J1087" t="inlineStr">
        <is>
          <t>Hàng hải, Dầu khí, Điện / Điện tử / Điện lạnh / Điện công nghiệp</t>
        </is>
      </c>
      <c r="K1087" t="inlineStr">
        <is>
          <t>Trên 2 Năm</t>
        </is>
      </c>
      <c r="L1087" s="8">
        <f>HYPERLINK("https://careerviet.vn/vi/tim-viec-lam/chuyen-vien-thiet-bi-hang-hai.35C675B0.html","Xem chi tiết")</f>
        <v/>
      </c>
    </row>
    <row r="1088">
      <c r="B1088" s="9" t="n">
        <v>1086</v>
      </c>
      <c r="C1088" s="10" t="inlineStr">
        <is>
          <t>Nhân viên vận hành DE</t>
        </is>
      </c>
      <c r="D1088" s="10" t="inlineStr">
        <is>
          <t>Công Ty Sữa Đậu Nành Việt Nam - Vinasoy</t>
        </is>
      </c>
      <c r="E1088" s="10" t="inlineStr">
        <is>
          <t>Lương:Cạnh tranh</t>
        </is>
      </c>
      <c r="F1088" s="10" t="inlineStr">
        <is>
          <t>Bình Dương</t>
        </is>
      </c>
      <c r="G1088" s="10" t="inlineStr">
        <is>
          <t>04-04-2026</t>
        </is>
      </c>
      <c r="H1088" s="10" t="inlineStr">
        <is>
          <t>04/04/2026</t>
        </is>
      </c>
      <c r="I1088" s="10" t="inlineStr">
        <is>
          <t>17/03/2026</t>
        </is>
      </c>
      <c r="J1088" s="10" t="inlineStr">
        <is>
          <t>Công nghệ thực phẩm / Dinh dưỡng, Cơ khí / Ô tô / Tự động hóa, Điện / Điện tử / Điện lạnh / Điện công nghiệp</t>
        </is>
      </c>
      <c r="K1088" s="10" t="inlineStr">
        <is>
          <t>Chưa có kinh nghiệm</t>
        </is>
      </c>
      <c r="L1088" s="11">
        <f>HYPERLINK("https://careerviet.vn/vi/tim-viec-lam/nhan-vien-van-hanh-de.35C675B8.html","Xem chi tiết")</f>
        <v/>
      </c>
      <c r="M1088" s="10" t="n"/>
    </row>
    <row r="1089">
      <c r="B1089" s="7" t="n">
        <v>1087</v>
      </c>
      <c r="C1089" t="inlineStr">
        <is>
          <t>Chuyên viên QC</t>
        </is>
      </c>
      <c r="D1089" t="inlineStr">
        <is>
          <t>CÔNG TY CỔ PHẦN SẢN XUẤT THƯƠNG MẠI AP BEVERAGE</t>
        </is>
      </c>
      <c r="E1089" t="inlineStr">
        <is>
          <t>Lương:14 Tr - 16 Tr VND</t>
        </is>
      </c>
      <c r="F1089" t="inlineStr">
        <is>
          <t>Đồng Nai</t>
        </is>
      </c>
      <c r="G1089" t="inlineStr">
        <is>
          <t>03-04-2026</t>
        </is>
      </c>
      <c r="H1089" t="inlineStr">
        <is>
          <t>03/04/2026</t>
        </is>
      </c>
      <c r="I1089" t="inlineStr">
        <is>
          <t>17/03/2026</t>
        </is>
      </c>
      <c r="J1089" t="inlineStr">
        <is>
          <t>Thực phẩm &amp; Đồ uống, Công nghệ sinh học, Công nghệ thực phẩm / Dinh dưỡng</t>
        </is>
      </c>
      <c r="K1089" t="inlineStr">
        <is>
          <t>2 - 3 Năm</t>
        </is>
      </c>
      <c r="L1089" s="8">
        <f>HYPERLINK("https://careerviet.vn/vi/tim-viec-lam/chuyen-vien-qc.35C67399.html","Xem chi tiết")</f>
        <v/>
      </c>
    </row>
    <row r="1090">
      <c r="B1090" s="9" t="n">
        <v>1088</v>
      </c>
      <c r="C1090" s="10" t="inlineStr">
        <is>
          <t>CHUYÊN VIÊN KHÁCH HÀNG CÁ NHÂN - TP. HÀ NỘI</t>
        </is>
      </c>
      <c r="D1090" s="10" t="inlineStr">
        <is>
          <t>NGÂN HÀNG TMCP SÀI GÒN THƯƠNG TÍN (SACOMBANK)</t>
        </is>
      </c>
      <c r="E1090" s="10" t="inlineStr">
        <is>
          <t>Lương:Cạnh tranh</t>
        </is>
      </c>
      <c r="F1090" s="10" t="inlineStr">
        <is>
          <t>Hà Nội</t>
        </is>
      </c>
      <c r="G1090" s="10" t="inlineStr">
        <is>
          <t>02-04-2026</t>
        </is>
      </c>
      <c r="H1090" s="10" t="inlineStr">
        <is>
          <t>02/04/2026</t>
        </is>
      </c>
      <c r="I1090" s="10" t="inlineStr">
        <is>
          <t>17/03/2026</t>
        </is>
      </c>
      <c r="J1090" s="10" t="inlineStr">
        <is>
          <t>Ngân hàng, Bảo hiểm, Tài chính / Đầu tư</t>
        </is>
      </c>
      <c r="K1090" s="10" t="inlineStr">
        <is>
          <t>N/A</t>
        </is>
      </c>
      <c r="L1090" s="11">
        <f>HYPERLINK("https://careerviet.vn/vi/tim-viec-lam/chuyen-vien-khach-hang-ca-nhan-tp-ha-noi.35C67216.html","Xem chi tiết")</f>
        <v/>
      </c>
      <c r="M1090" s="10" t="n"/>
    </row>
    <row r="1091">
      <c r="B1091" s="7" t="n">
        <v>1089</v>
      </c>
      <c r="C1091" t="inlineStr">
        <is>
          <t>Kiên Giang - Nhân Viên Kỹ Thuật Ao Tôm</t>
        </is>
      </c>
      <c r="D1091" t="inlineStr">
        <is>
          <t>CÔNG TY CỔ PHẦN I GROUP</t>
        </is>
      </c>
      <c r="E1091" t="inlineStr">
        <is>
          <t>Lương:7 Tr - 15 Tr VND</t>
        </is>
      </c>
      <c r="F1091" t="inlineStr">
        <is>
          <t>Kiên Giang</t>
        </is>
      </c>
      <c r="G1091" t="inlineStr">
        <is>
          <t>07-04-2026</t>
        </is>
      </c>
      <c r="H1091" t="inlineStr">
        <is>
          <t>07/04/2026</t>
        </is>
      </c>
      <c r="I1091" t="inlineStr">
        <is>
          <t>17/03/2026</t>
        </is>
      </c>
      <c r="J1091" t="inlineStr">
        <is>
          <t>Thủy sản / Hải sản</t>
        </is>
      </c>
      <c r="K1091" t="inlineStr">
        <is>
          <t>1 - 2 Năm</t>
        </is>
      </c>
      <c r="L1091" s="8">
        <f>HYPERLINK("https://careerviet.vn/vi/tim-viec-lam/kien-giang-nhan-vien-ky-thuat-ao-tom.35C67542.html","Xem chi tiết")</f>
        <v/>
      </c>
    </row>
    <row r="1092">
      <c r="B1092" s="9" t="n">
        <v>1090</v>
      </c>
      <c r="C1092" s="10" t="inlineStr">
        <is>
          <t>KẾ TOÁN DOANH THU</t>
        </is>
      </c>
      <c r="D1092" s="10" t="inlineStr">
        <is>
          <t>Công Ty Cổ Phần Nhà Hoà Bình</t>
        </is>
      </c>
      <c r="E1092" s="10" t="inlineStr">
        <is>
          <t>Lương:12 Tr - 16 Tr VND</t>
        </is>
      </c>
      <c r="F1092" s="10" t="inlineStr">
        <is>
          <t>Hồ Chí Minh</t>
        </is>
      </c>
      <c r="G1092" s="10" t="inlineStr">
        <is>
          <t>31-03-2026</t>
        </is>
      </c>
      <c r="H1092" s="10" t="inlineStr">
        <is>
          <t>31/03/2026</t>
        </is>
      </c>
      <c r="I1092" s="10" t="inlineStr">
        <is>
          <t>17/03/2026</t>
        </is>
      </c>
      <c r="J1092" s="10" t="inlineStr">
        <is>
          <t>Kế toán / Kiểm toán, Tài chính / Đầu tư, Bất động sản</t>
        </is>
      </c>
      <c r="K1092" s="10" t="inlineStr">
        <is>
          <t>2 - 3 Năm</t>
        </is>
      </c>
      <c r="L1092" s="11">
        <f>HYPERLINK("https://careerviet.vn/vi/tim-viec-lam/ke-toan-doanh-thu.35C67137.html","Xem chi tiết")</f>
        <v/>
      </c>
      <c r="M1092" s="10" t="n"/>
    </row>
    <row r="1093">
      <c r="B1093" s="7" t="n">
        <v>1091</v>
      </c>
      <c r="C1093" t="inlineStr">
        <is>
          <t>Kỹ sư phụ trách đóng gói [Quảng Ngãi]</t>
        </is>
      </c>
      <c r="D1093" t="inlineStr">
        <is>
          <t>Công Ty Sữa Đậu Nành Việt Nam - Vinasoy</t>
        </is>
      </c>
      <c r="E1093" t="inlineStr">
        <is>
          <t>Lương:Cạnh tranh</t>
        </is>
      </c>
      <c r="F1093" t="inlineStr">
        <is>
          <t>Quảng Ngãi</t>
        </is>
      </c>
      <c r="G1093" t="inlineStr">
        <is>
          <t>31-03-2026</t>
        </is>
      </c>
      <c r="H1093" t="inlineStr">
        <is>
          <t>31/03/2026</t>
        </is>
      </c>
      <c r="I1093" t="inlineStr">
        <is>
          <t>17/03/2026</t>
        </is>
      </c>
      <c r="J1093" t="inlineStr">
        <is>
          <t>Cơ khí / Ô tô / Tự động hóa, Sản xuất / Vận hành sản xuất, Điện / Điện tử / Điện lạnh / Điện công nghiệp</t>
        </is>
      </c>
      <c r="K1093" t="inlineStr">
        <is>
          <t>N/A</t>
        </is>
      </c>
      <c r="L1093" s="8">
        <f>HYPERLINK("https://careerviet.vn/vi/tim-viec-lam/ky-su-phu-trach-dong-goi-quang-ngai.35C670B9.html","Xem chi tiết")</f>
        <v/>
      </c>
    </row>
    <row r="1094">
      <c r="B1094" s="9" t="n">
        <v>1092</v>
      </c>
      <c r="C1094" s="10" t="inlineStr">
        <is>
          <t>KỸ SƯ THIẾT KẾ KẾT CẤU VÀ DỰ TOÁN</t>
        </is>
      </c>
      <c r="D1094" s="10" t="inlineStr">
        <is>
          <t>CÔNG TY CỔ PHẦN TƯ VẤN THIẾT KẾ &amp; XÂY DỰNG NAM TRUNG</t>
        </is>
      </c>
      <c r="E1094" s="10" t="inlineStr">
        <is>
          <t>Lương:Trên 18 Tr VND</t>
        </is>
      </c>
      <c r="F1094" s="10" t="inlineStr">
        <is>
          <t>Bà Rịa - Vũng Tàu</t>
        </is>
      </c>
      <c r="G1094" s="10" t="inlineStr">
        <is>
          <t>30-03-2026</t>
        </is>
      </c>
      <c r="H1094" s="10" t="inlineStr">
        <is>
          <t>30/03/2026</t>
        </is>
      </c>
      <c r="I1094" s="10" t="inlineStr">
        <is>
          <t>17/03/2026</t>
        </is>
      </c>
      <c r="J1094" s="10" t="inlineStr">
        <is>
          <t>Mỹ thuật / Nghệ thuật / Thiết kế, Xây dựng, Kiến trúc</t>
        </is>
      </c>
      <c r="K1094" s="10" t="inlineStr">
        <is>
          <t>Trên 1 Năm</t>
        </is>
      </c>
      <c r="L1094" s="11">
        <f>HYPERLINK("https://careerviet.vn/vi/tim-viec-lam/ky-su-thiet-ke-ket-cau-va-du-toan.35C670FE.html","Xem chi tiết")</f>
        <v/>
      </c>
      <c r="M1094" s="10" t="n"/>
    </row>
    <row r="1095">
      <c r="B1095" s="7" t="n">
        <v>1093</v>
      </c>
      <c r="C1095" t="inlineStr">
        <is>
          <t>KẾ TOÁN THANH TOÁN</t>
        </is>
      </c>
      <c r="D1095" t="inlineStr">
        <is>
          <t>Công Ty Cổ Phần Nhà Hoà Bình</t>
        </is>
      </c>
      <c r="E1095" t="inlineStr">
        <is>
          <t>Lương:12 Tr - 16 Tr VND</t>
        </is>
      </c>
      <c r="F1095" t="inlineStr">
        <is>
          <t>Hồ Chí Minh</t>
        </is>
      </c>
      <c r="G1095" t="inlineStr">
        <is>
          <t>31-03-2026</t>
        </is>
      </c>
      <c r="H1095" t="inlineStr">
        <is>
          <t>31/03/2026</t>
        </is>
      </c>
      <c r="I1095" t="inlineStr">
        <is>
          <t>17/03/2026</t>
        </is>
      </c>
      <c r="J1095" t="inlineStr">
        <is>
          <t>Kế toán / Kiểm toán, Ngân hàng, Bất động sản</t>
        </is>
      </c>
      <c r="K1095" t="inlineStr">
        <is>
          <t>2 - 3 Năm</t>
        </is>
      </c>
      <c r="L1095" s="8">
        <f>HYPERLINK("https://careerviet.vn/vi/tim-viec-lam/ke-toan-thanh-toan.35C6712B.html","Xem chi tiết")</f>
        <v/>
      </c>
    </row>
    <row r="1096">
      <c r="B1096" s="9" t="n">
        <v>1094</v>
      </c>
      <c r="C1096" s="10" t="inlineStr">
        <is>
          <t>Nhân viên kỹ thuật bảo trì</t>
        </is>
      </c>
      <c r="D1096" s="10" t="inlineStr">
        <is>
          <t>CÔNG TY CỔ PHẦN THÔNG GIÓ CÔNG NGHIỆP BREEZE</t>
        </is>
      </c>
      <c r="E1096" s="10" t="inlineStr">
        <is>
          <t>Lương:Cạnh tranh</t>
        </is>
      </c>
      <c r="F1096" s="10" t="inlineStr">
        <is>
          <t>Hà Nội</t>
        </is>
      </c>
      <c r="G1096" s="10" t="inlineStr">
        <is>
          <t>29-03-2026</t>
        </is>
      </c>
      <c r="H1096" s="10" t="inlineStr">
        <is>
          <t>29/03/2026</t>
        </is>
      </c>
      <c r="I1096" s="10" t="inlineStr">
        <is>
          <t>17/03/2026</t>
        </is>
      </c>
      <c r="J1096" s="10" t="inlineStr">
        <is>
          <t>Điện / Điện tử / Điện lạnh / Điện công nghiệp, Bảo trì / Sửa chữa</t>
        </is>
      </c>
      <c r="K1096" s="10" t="inlineStr">
        <is>
          <t>1 - 2 Năm</t>
        </is>
      </c>
      <c r="L1096" s="11">
        <f>HYPERLINK("https://careerviet.vn/vi/tim-viec-lam/nhan-vien-ky-thuat-bao-tri.35C66C69.html","Xem chi tiết")</f>
        <v/>
      </c>
      <c r="M1096" s="10" t="n"/>
    </row>
    <row r="1097">
      <c r="B1097" s="7" t="n">
        <v>1095</v>
      </c>
      <c r="C1097" t="inlineStr">
        <is>
          <t>Phone Collection Deputy Manager</t>
        </is>
      </c>
      <c r="D1097" t="inlineStr">
        <is>
          <t>HD SAISON Finance Co., Ltd</t>
        </is>
      </c>
      <c r="E1097" t="inlineStr">
        <is>
          <t>Lương:Cạnh tranh</t>
        </is>
      </c>
      <c r="F1097" t="inlineStr">
        <is>
          <t>Hồ Chí Minh</t>
        </is>
      </c>
      <c r="G1097" t="inlineStr">
        <is>
          <t>27-03-2026</t>
        </is>
      </c>
      <c r="H1097" t="inlineStr">
        <is>
          <t>27/03/2026</t>
        </is>
      </c>
      <c r="I1097" t="inlineStr">
        <is>
          <t>17/03/2026</t>
        </is>
      </c>
      <c r="J1097" t="inlineStr">
        <is>
          <t>Luật / Pháp lý, Ngân hàng, Tài chính / Đầu tư</t>
        </is>
      </c>
      <c r="K1097" t="inlineStr">
        <is>
          <t>2 - 5 Năm</t>
        </is>
      </c>
      <c r="L1097" s="8">
        <f>HYPERLINK("https://careerviet.vn/vi/tim-viec-lam/phone-collection-deputy-manager.35C66A21.html","Xem chi tiết")</f>
        <v/>
      </c>
    </row>
    <row r="1098">
      <c r="B1098" s="9" t="n">
        <v>1096</v>
      </c>
      <c r="C1098" s="10" t="inlineStr">
        <is>
          <t>Solution Architect Supervisor</t>
        </is>
      </c>
      <c r="D1098" s="10" t="inlineStr">
        <is>
          <t>HD SAISON Finance Co., Ltd</t>
        </is>
      </c>
      <c r="E1098" s="10" t="inlineStr">
        <is>
          <t>Lương:Cạnh tranh</t>
        </is>
      </c>
      <c r="F1098" s="10" t="inlineStr">
        <is>
          <t>Hồ Chí Minh</t>
        </is>
      </c>
      <c r="G1098" s="10" t="inlineStr">
        <is>
          <t>27-03-2026</t>
        </is>
      </c>
      <c r="H1098" s="10" t="inlineStr">
        <is>
          <t>27/03/2026</t>
        </is>
      </c>
      <c r="I1098" s="10" t="inlineStr">
        <is>
          <t>17/03/2026</t>
        </is>
      </c>
      <c r="J1098" s="10" t="inlineStr">
        <is>
          <t>Ngân hàng, Tài chính / Đầu tư, CNTT - Phần mềm</t>
        </is>
      </c>
      <c r="K1098" s="10" t="inlineStr">
        <is>
          <t>5 - 7 Năm</t>
        </is>
      </c>
      <c r="L1098" s="11">
        <f>HYPERLINK("https://careerviet.vn/vi/tim-viec-lam/solution-architect-supervisor.35C66A1F.html","Xem chi tiết")</f>
        <v/>
      </c>
      <c r="M1098" s="10" t="n"/>
    </row>
    <row r="1099">
      <c r="B1099" s="7" t="n">
        <v>1097</v>
      </c>
      <c r="C1099" t="inlineStr">
        <is>
          <t>Nhân Viên Giao Nhận &amp; Chứng Từ</t>
        </is>
      </c>
      <c r="D1099" t="inlineStr">
        <is>
          <t>CÔNG TY CỔ PHẦN THƯƠNG MẠI XÂY DỰNG VÀ XUẤT NHẬP KHẨU DUYÊN HẢI</t>
        </is>
      </c>
      <c r="E1099" t="inlineStr">
        <is>
          <t>Lương:Cạnh tranh</t>
        </is>
      </c>
      <c r="F1099" t="inlineStr">
        <is>
          <t>Hải Phòng</t>
        </is>
      </c>
      <c r="G1099" t="inlineStr">
        <is>
          <t>28-03-2026</t>
        </is>
      </c>
      <c r="H1099" t="inlineStr">
        <is>
          <t>28/03/2026</t>
        </is>
      </c>
      <c r="I1099" t="inlineStr">
        <is>
          <t>17/03/2026</t>
        </is>
      </c>
      <c r="J1099" t="inlineStr">
        <is>
          <t>Vận chuyển / Giao nhận / Kho vận, Hành chính / Thư ký, Xuất nhập khẩu</t>
        </is>
      </c>
      <c r="K1099" t="inlineStr">
        <is>
          <t>Trên 1 Năm</t>
        </is>
      </c>
      <c r="L1099" s="8">
        <f>HYPERLINK("https://careerviet.vn/vi/tim-viec-lam/nhan-vien-giao-nhan-chung-tu.35C66B25.html","Xem chi tiết")</f>
        <v/>
      </c>
    </row>
    <row r="1100">
      <c r="B1100" s="9" t="n">
        <v>1098</v>
      </c>
      <c r="C1100" s="10" t="inlineStr">
        <is>
          <t>Nhân viên an toàn lao động/HSE</t>
        </is>
      </c>
      <c r="D1100" s="10" t="inlineStr">
        <is>
          <t>CÔNG TY TNHH XÂY DỰNG THƯƠNG MẠI LỤC GIÁC</t>
        </is>
      </c>
      <c r="E1100" s="10" t="inlineStr">
        <is>
          <t>Lương:14 Tr - 16 Tr VND</t>
        </is>
      </c>
      <c r="F1100" s="10" t="inlineStr">
        <is>
          <t>Bình Dương</t>
        </is>
      </c>
      <c r="G1100" s="10" t="inlineStr">
        <is>
          <t>30-04-2026</t>
        </is>
      </c>
      <c r="H1100" s="10" t="inlineStr">
        <is>
          <t>30/04/2026</t>
        </is>
      </c>
      <c r="I1100" s="10" t="inlineStr">
        <is>
          <t>17/03/2026</t>
        </is>
      </c>
      <c r="J1100" s="10" t="inlineStr">
        <is>
          <t>An toàn lao động, Xây dựng, Môi trường</t>
        </is>
      </c>
      <c r="K1100" s="10" t="inlineStr">
        <is>
          <t>N/A</t>
        </is>
      </c>
      <c r="L1100" s="11">
        <f>HYPERLINK("https://careerviet.vn/vi/tim-viec-lam/nhan-vien-an-toan-lao-dong-hse.35C6BBEB.html","Xem chi tiết")</f>
        <v/>
      </c>
      <c r="M1100" s="10" t="n"/>
    </row>
    <row r="1101">
      <c r="B1101" s="7" t="n">
        <v>1099</v>
      </c>
      <c r="C1101" t="inlineStr">
        <is>
          <t>Chuyên Viên Kinh Doanh Cơ Khí</t>
        </is>
      </c>
      <c r="D1101" t="inlineStr">
        <is>
          <t>CÔNG TY CỔ PHẦN GIẢI PHÁP CƠ KHÍ VNTECH</t>
        </is>
      </c>
      <c r="E1101" t="inlineStr">
        <is>
          <t>Lương:15 Tr - 40 Tr VND</t>
        </is>
      </c>
      <c r="F1101" t="inlineStr">
        <is>
          <t>Bình DươngHà Nội</t>
        </is>
      </c>
      <c r="G1101" t="inlineStr">
        <is>
          <t>28-03-2026</t>
        </is>
      </c>
      <c r="H1101" t="inlineStr">
        <is>
          <t>28/03/2026</t>
        </is>
      </c>
      <c r="I1101" t="inlineStr">
        <is>
          <t>17/03/2026</t>
        </is>
      </c>
      <c r="J1101" t="inlineStr">
        <is>
          <t>Bán hàng / Kinh doanh, Cơ khí / Ô tô / Tự động hóa, Điện / Điện tử / Điện lạnh / Điện công nghiệp</t>
        </is>
      </c>
      <c r="K1101" t="inlineStr">
        <is>
          <t>1 - 2 Năm</t>
        </is>
      </c>
      <c r="L1101" s="8">
        <f>HYPERLINK("https://careerviet.vn/vi/tim-viec-lam/chuyen-vien-kinh-doanh-co-khi.35C66AE3.html","Xem chi tiết")</f>
        <v/>
      </c>
    </row>
    <row r="1102">
      <c r="B1102" s="9" t="n">
        <v>1100</v>
      </c>
      <c r="C1102" s="10" t="inlineStr">
        <is>
          <t>Giám sát kinh doanh kênh Xe máy/Điện máy</t>
        </is>
      </c>
      <c r="D1102" s="10" t="inlineStr">
        <is>
          <t>HD SAISON Finance Co., Ltd</t>
        </is>
      </c>
      <c r="E1102" s="10" t="inlineStr">
        <is>
          <t>Lương:15 Tr - 40 Tr VND</t>
        </is>
      </c>
      <c r="F1102" s="10" t="inlineStr">
        <is>
          <t>Bình DươngNinh BìnhAn Giang</t>
        </is>
      </c>
      <c r="G1102" s="10" t="inlineStr">
        <is>
          <t>27-03-2026</t>
        </is>
      </c>
      <c r="H1102" s="10" t="inlineStr">
        <is>
          <t>27/03/2026</t>
        </is>
      </c>
      <c r="I1102" s="10" t="inlineStr">
        <is>
          <t>17/03/2026</t>
        </is>
      </c>
      <c r="J1102" s="10" t="inlineStr">
        <is>
          <t>Bán lẻ / Bán sỉ, Bán hàng / Kinh doanh, Tài chính / Đầu tư</t>
        </is>
      </c>
      <c r="K1102" s="10" t="inlineStr">
        <is>
          <t>2 - 3 Năm</t>
        </is>
      </c>
      <c r="L1102" s="11">
        <f>HYPERLINK("https://careerviet.vn/vi/tim-viec-lam/giam-sat-kinh-doanh-kenh-xe-may-dien-may.35C66A20.html","Xem chi tiết")</f>
        <v/>
      </c>
      <c r="M1102" s="10" t="n"/>
    </row>
    <row r="1103">
      <c r="B1103" s="7" t="n">
        <v>1101</v>
      </c>
      <c r="C1103" t="inlineStr">
        <is>
          <t>Chuyên viên thiết kế</t>
        </is>
      </c>
      <c r="D1103" t="inlineStr">
        <is>
          <t>CÔNG TY CỔ PHẦN BAO BÌ BIÊN HÒA</t>
        </is>
      </c>
      <c r="E1103" t="inlineStr">
        <is>
          <t>Lương:12 Tr - 15 Tr VND</t>
        </is>
      </c>
      <c r="F1103" t="inlineStr">
        <is>
          <t>Đồng Nai</t>
        </is>
      </c>
      <c r="G1103" t="inlineStr">
        <is>
          <t>10-04-2026</t>
        </is>
      </c>
      <c r="H1103" t="inlineStr">
        <is>
          <t>10/04/2026</t>
        </is>
      </c>
      <c r="I1103" t="inlineStr">
        <is>
          <t>17/03/2026</t>
        </is>
      </c>
      <c r="J1103" t="inlineStr">
        <is>
          <t>Mỹ thuật / Nghệ thuật / Thiết kế, In ấn / Xuất bản, Ngành khác</t>
        </is>
      </c>
      <c r="K1103" t="inlineStr">
        <is>
          <t>Trên 2 Năm</t>
        </is>
      </c>
      <c r="L1103" s="8">
        <f>HYPERLINK("https://careerviet.vn/vi/tim-viec-lam/chuyen-vien-thiet-ke.35C6BB60.html","Xem chi tiết")</f>
        <v/>
      </c>
    </row>
    <row r="1104">
      <c r="B1104" s="9" t="n">
        <v>1102</v>
      </c>
      <c r="C1104" s="10" t="inlineStr">
        <is>
          <t>Kỹ sư xây dựng</t>
        </is>
      </c>
      <c r="D1104" s="10" t="inlineStr">
        <is>
          <t>CÔNG TY TNHH CÔNG NGHỆ VIỆT</t>
        </is>
      </c>
      <c r="E1104" s="10" t="inlineStr">
        <is>
          <t>Lương:15 Tr - 25 Tr VND</t>
        </is>
      </c>
      <c r="F1104" s="10" t="inlineStr">
        <is>
          <t>Hà Nội</t>
        </is>
      </c>
      <c r="G1104" s="10" t="inlineStr">
        <is>
          <t>31-03-2026</t>
        </is>
      </c>
      <c r="H1104" s="10" t="inlineStr">
        <is>
          <t>31/03/2026</t>
        </is>
      </c>
      <c r="I1104" s="10" t="inlineStr">
        <is>
          <t>17/03/2026</t>
        </is>
      </c>
      <c r="J1104" s="10" t="inlineStr">
        <is>
          <t>Điện / Điện tử / Điện lạnh / Điện công nghiệp, Xây dựng, Kiến trúc</t>
        </is>
      </c>
      <c r="K1104" s="10" t="inlineStr">
        <is>
          <t>3 - 4 Năm</t>
        </is>
      </c>
      <c r="L1104" s="11">
        <f>HYPERLINK("https://careerviet.vn/vi/tim-viec-lam/ky-su-xay-dung.35C6BB8E.html","Xem chi tiết")</f>
        <v/>
      </c>
      <c r="M1104" s="10" t="n"/>
    </row>
    <row r="1105">
      <c r="B1105" s="7" t="n">
        <v>1103</v>
      </c>
      <c r="C1105" t="inlineStr">
        <is>
          <t>Trưởng phòng Kinh doanh/Giám sát kinh doanh ngành Điện</t>
        </is>
      </c>
      <c r="D1105" t="inlineStr">
        <is>
          <t>CÔNG TY TNHH THƯƠNG MẠI DỊCH VỤ KỸ THUẬT NHẬT HẠ</t>
        </is>
      </c>
      <c r="E1105" t="inlineStr">
        <is>
          <t>Lương:25 Tr - 30 Tr VND</t>
        </is>
      </c>
      <c r="F1105" t="inlineStr">
        <is>
          <t>Hồ Chí Minh</t>
        </is>
      </c>
      <c r="G1105" t="inlineStr">
        <is>
          <t>10-04-2026</t>
        </is>
      </c>
      <c r="H1105" t="inlineStr">
        <is>
          <t>10/04/2026</t>
        </is>
      </c>
      <c r="I1105" t="inlineStr">
        <is>
          <t>17/03/2026</t>
        </is>
      </c>
      <c r="J1105" t="inlineStr">
        <is>
          <t>Điện / Điện tử / Điện lạnh / Điện công nghiệp, Bán hàng / Kinh doanh</t>
        </is>
      </c>
      <c r="K1105" t="inlineStr">
        <is>
          <t>5 - 7 Năm</t>
        </is>
      </c>
      <c r="L1105" s="8">
        <f>HYPERLINK("https://careerviet.vn/vi/tim-viec-lam/truong-phong-kinh-doanh-giam-sat-kinh-doanh-nganh-dien.35C6BA9D.html","Xem chi tiết")</f>
        <v/>
      </c>
    </row>
    <row r="1106">
      <c r="B1106" s="9" t="n">
        <v>1104</v>
      </c>
      <c r="C1106" s="10" t="inlineStr">
        <is>
          <t>CHUYÊN VIÊN ĐÁNH GIÁ THIẾT BỊ</t>
        </is>
      </c>
      <c r="D1106" s="10" t="inlineStr">
        <is>
          <t>Orioled Hub</t>
        </is>
      </c>
      <c r="E1106" s="10" t="inlineStr">
        <is>
          <t>Lương:15 Tr - 25 Tr VND</t>
        </is>
      </c>
      <c r="F1106" s="10" t="inlineStr">
        <is>
          <t>Hồ Chí Minh</t>
        </is>
      </c>
      <c r="G1106" s="10" t="inlineStr">
        <is>
          <t>30-04-2026</t>
        </is>
      </c>
      <c r="H1106" s="10" t="inlineStr">
        <is>
          <t>30/04/2026</t>
        </is>
      </c>
      <c r="I1106" s="10" t="inlineStr">
        <is>
          <t>17/03/2026</t>
        </is>
      </c>
      <c r="J1106" s="10" t="inlineStr">
        <is>
          <t>Cơ khí / Ô tô / Tự động hóa, Quản lý chất lượng (QA/QC), Sản xuất / Vận hành sản xuất</t>
        </is>
      </c>
      <c r="K1106" s="10" t="inlineStr">
        <is>
          <t>2 - 3 Năm</t>
        </is>
      </c>
      <c r="L1106" s="11">
        <f>HYPERLINK("https://careerviet.vn/vi/tim-viec-lam/chuyen-vien-danh-gia-thiet-bi.35C6BADC.html","Xem chi tiết")</f>
        <v/>
      </c>
      <c r="M1106" s="10" t="n"/>
    </row>
    <row r="1107">
      <c r="B1107" s="7" t="n">
        <v>1105</v>
      </c>
      <c r="C1107" t="inlineStr">
        <is>
          <t>Giám sát bán hàng - Khu vực Bảo Lộc – Đức Linh</t>
        </is>
      </c>
      <c r="D1107" t="inlineStr">
        <is>
          <t>Wipro Consumer Care Vietnam</t>
        </is>
      </c>
      <c r="E1107" t="inlineStr">
        <is>
          <t>Lương:Cạnh tranh</t>
        </is>
      </c>
      <c r="F1107" t="inlineStr">
        <is>
          <t>Lâm Đồng</t>
        </is>
      </c>
      <c r="G1107" t="inlineStr">
        <is>
          <t>4</t>
        </is>
      </c>
      <c r="H1107" t="inlineStr">
        <is>
          <t>21/03/2026</t>
        </is>
      </c>
      <c r="I1107" t="inlineStr">
        <is>
          <t>17/03/2026</t>
        </is>
      </c>
      <c r="J1107" t="inlineStr">
        <is>
          <t>Bán lẻ / Bán sỉ, Bán hàng / Kinh doanh</t>
        </is>
      </c>
      <c r="K1107" t="inlineStr">
        <is>
          <t>2 - 5 Năm</t>
        </is>
      </c>
      <c r="L1107" s="8">
        <f>HYPERLINK("https://careerviet.vn/vi/tim-viec-lam/giam-sat-ban-hang-khu-vuc-bao-loc-duc-linh.35C6BAF6.html","Xem chi tiết")</f>
        <v/>
      </c>
    </row>
    <row r="1108">
      <c r="B1108" s="9" t="n">
        <v>1106</v>
      </c>
      <c r="C1108" s="10" t="inlineStr">
        <is>
          <t>Chuyên Viên Kế Toán Tại Quận 2</t>
        </is>
      </c>
      <c r="D1108" s="10" t="inlineStr">
        <is>
          <t>Công Ty TNHH Tập Đoàn Rita Võ</t>
        </is>
      </c>
      <c r="E1108" s="10" t="inlineStr">
        <is>
          <t>Lương:10 Tr - 12 Tr VND</t>
        </is>
      </c>
      <c r="F1108" s="10" t="inlineStr">
        <is>
          <t>Hồ Chí Minh</t>
        </is>
      </c>
      <c r="G1108" s="10" t="inlineStr">
        <is>
          <t>10-04-2026</t>
        </is>
      </c>
      <c r="H1108" s="10" t="inlineStr">
        <is>
          <t>10/04/2026</t>
        </is>
      </c>
      <c r="I1108" s="10" t="inlineStr">
        <is>
          <t>17/03/2026</t>
        </is>
      </c>
      <c r="J1108" s="10" t="inlineStr">
        <is>
          <t>Kế toán / Kiểm toán</t>
        </is>
      </c>
      <c r="K1108" s="10" t="inlineStr">
        <is>
          <t>Trên 2 Năm</t>
        </is>
      </c>
      <c r="L1108" s="11">
        <f>HYPERLINK("https://careerviet.vn/vi/tim-viec-lam/chuyen-vien-ke-toan-tai-quan-2.35C6BB21.html","Xem chi tiết")</f>
        <v/>
      </c>
      <c r="M1108" s="10" t="n"/>
    </row>
    <row r="1109">
      <c r="B1109" s="7" t="n">
        <v>1107</v>
      </c>
      <c r="C1109" t="inlineStr">
        <is>
          <t>Quản lý Kênh Thương Mại Điện Tử</t>
        </is>
      </c>
      <c r="D1109" t="inlineStr">
        <is>
          <t>CÔNG TY TNHH MTV THƯƠNG MẠI DỊCH VỤ BLUE OCEAN- THẾ GIỚI SKINFOOD</t>
        </is>
      </c>
      <c r="E1109" t="inlineStr">
        <is>
          <t>Lương:11 Tr - 13 Tr VND</t>
        </is>
      </c>
      <c r="F1109" t="inlineStr">
        <is>
          <t>Hồ Chí Minh</t>
        </is>
      </c>
      <c r="G1109" t="inlineStr">
        <is>
          <t>29-03-2026</t>
        </is>
      </c>
      <c r="H1109" t="inlineStr">
        <is>
          <t>29/03/2026</t>
        </is>
      </c>
      <c r="I1109" t="inlineStr">
        <is>
          <t>17/03/2026</t>
        </is>
      </c>
      <c r="J1109" t="inlineStr">
        <is>
          <t>Tiếp thị / Marketing, Bán hàng / Kinh doanh, Tiếp thị trực tuyến</t>
        </is>
      </c>
      <c r="K1109" t="inlineStr">
        <is>
          <t>1 - 2 Năm</t>
        </is>
      </c>
      <c r="L1109" s="8">
        <f>HYPERLINK("https://careerviet.vn/vi/tim-viec-lam/quan-ly-kenh-thuong-mai-dien-tu.35C66C70.html","Xem chi tiết")</f>
        <v/>
      </c>
    </row>
    <row r="1110">
      <c r="B1110" s="9" t="n">
        <v>1108</v>
      </c>
      <c r="C1110" s="10" t="inlineStr">
        <is>
          <t>[JHN0037790] Nhân viên sửa chữa khuôn - Molding maintenance staff</t>
        </is>
      </c>
      <c r="D1110" s="10" t="inlineStr">
        <is>
          <t>Iconic Co.,Ltd</t>
        </is>
      </c>
      <c r="E1110" s="10" t="inlineStr">
        <is>
          <t>Lương:Cạnh tranh</t>
        </is>
      </c>
      <c r="F1110" s="10" t="inlineStr">
        <is>
          <t>Quảng Ninh</t>
        </is>
      </c>
      <c r="G1110" s="10" t="inlineStr">
        <is>
          <t>30-04-2026</t>
        </is>
      </c>
      <c r="H1110" s="10" t="inlineStr">
        <is>
          <t>30/04/2026</t>
        </is>
      </c>
      <c r="I1110" s="10" t="inlineStr">
        <is>
          <t>17/03/2026</t>
        </is>
      </c>
      <c r="J1110" s="10" t="inlineStr">
        <is>
          <t>Bảo trì / Sửa chữa, Sản xuất / Vận hành sản xuất</t>
        </is>
      </c>
      <c r="K1110" s="10" t="inlineStr">
        <is>
          <t>Trên 1 Năm</t>
        </is>
      </c>
      <c r="L1110" s="11">
        <f>HYPERLINK("https://careerviet.vn/vi/tim-viec-lam/jhn0037790-nhan-vien-sua-chua-khuon-molding-maintenance-staff.35C6BB17.html","Xem chi tiết")</f>
        <v/>
      </c>
      <c r="M1110" s="10" t="n"/>
    </row>
    <row r="1111">
      <c r="B1111" s="7" t="n">
        <v>1109</v>
      </c>
      <c r="C1111" t="inlineStr">
        <is>
          <t>Pattern Engineer</t>
        </is>
      </c>
      <c r="D1111" t="inlineStr">
        <is>
          <t>Công Ty TNHH MTV Jordan Manufacturing Việt Nam</t>
        </is>
      </c>
      <c r="E1111" t="inlineStr">
        <is>
          <t>Lương:Cạnh tranh</t>
        </is>
      </c>
      <c r="F1111" t="inlineStr">
        <is>
          <t>Long AnTây Ninh</t>
        </is>
      </c>
      <c r="G1111" t="inlineStr">
        <is>
          <t>31-03-2026</t>
        </is>
      </c>
      <c r="H1111" t="inlineStr">
        <is>
          <t>31/03/2026</t>
        </is>
      </c>
      <c r="I1111" t="inlineStr">
        <is>
          <t>17/03/2026</t>
        </is>
      </c>
      <c r="J1111" t="inlineStr">
        <is>
          <t>Sản xuất / Vận hành sản xuất, Dệt may / Da giày / Thời trang, Nội ngoại thất</t>
        </is>
      </c>
      <c r="K1111" t="inlineStr">
        <is>
          <t>3 Năm</t>
        </is>
      </c>
      <c r="L1111" s="8">
        <f>HYPERLINK("https://careerviet.vn/vi/tim-viec-lam/pattern-engineer.35C6BC85.html","Xem chi tiết")</f>
        <v/>
      </c>
    </row>
    <row r="1112">
      <c r="B1112" s="9" t="n">
        <v>1110</v>
      </c>
      <c r="C1112" s="10" t="inlineStr">
        <is>
          <t>SALES MANAGER – INKJET &amp; DIGITAL PRESS</t>
        </is>
      </c>
      <c r="D1112" s="10" t="inlineStr">
        <is>
          <t>CÔNG TY TNHH TM DV KT TOÀN ẤN</t>
        </is>
      </c>
      <c r="E1112" s="10" t="inlineStr">
        <is>
          <t>Lương:Cạnh tranh</t>
        </is>
      </c>
      <c r="F1112" s="10" t="inlineStr">
        <is>
          <t>Hồ Chí Minh</t>
        </is>
      </c>
      <c r="G1112" s="10" t="inlineStr">
        <is>
          <t>30-04-2026</t>
        </is>
      </c>
      <c r="H1112" s="10" t="inlineStr">
        <is>
          <t>30/04/2026</t>
        </is>
      </c>
      <c r="I1112" s="10" t="inlineStr">
        <is>
          <t>17/03/2026</t>
        </is>
      </c>
      <c r="J1112" s="10" t="inlineStr">
        <is>
          <t>Bán hàng / Kinh doanh, In ấn / Xuất bản, Bán Hàng Kỹ Thuật</t>
        </is>
      </c>
      <c r="K1112" s="10" t="inlineStr">
        <is>
          <t>3 - 5 Năm</t>
        </is>
      </c>
      <c r="L1112" s="11">
        <f>HYPERLINK("https://careerviet.vn/vi/tim-viec-lam/sales-manager-inkjet-digital-press.35C6BAA2.html","Xem chi tiết")</f>
        <v/>
      </c>
      <c r="M1112" s="10" t="n"/>
    </row>
    <row r="1113">
      <c r="B1113" s="7" t="n">
        <v>1111</v>
      </c>
      <c r="C1113" t="inlineStr">
        <is>
          <t>Điều Phối Viên Bộ Phận Thiết Bị Lạnh - Hợp Đồng 8 Tháng</t>
        </is>
      </c>
      <c r="D1113" t="inlineStr">
        <is>
          <t>Coca-Cola Beverages Vietnam</t>
        </is>
      </c>
      <c r="E1113" t="inlineStr">
        <is>
          <t>Lương:Cạnh tranh</t>
        </is>
      </c>
      <c r="F1113" t="inlineStr">
        <is>
          <t>Hồ Chí Minh</t>
        </is>
      </c>
      <c r="G1113" t="inlineStr">
        <is>
          <t>30-04-2026</t>
        </is>
      </c>
      <c r="H1113" t="inlineStr">
        <is>
          <t>30/04/2026</t>
        </is>
      </c>
      <c r="I1113" t="inlineStr">
        <is>
          <t>17/03/2026</t>
        </is>
      </c>
      <c r="J1113" t="inlineStr">
        <is>
          <t>Bán hàng / Kinh doanh</t>
        </is>
      </c>
      <c r="K1113" t="inlineStr">
        <is>
          <t>1 - 10 Năm</t>
        </is>
      </c>
      <c r="L1113" s="8">
        <f>HYPERLINK("https://careerviet.vn/vi/tim-viec-lam/dieu-phoi-vien-bo-phan-thiet-bi-lanh-hop-dong-8-thang.35C6BB38.html","Xem chi tiết")</f>
        <v/>
      </c>
    </row>
    <row r="1114">
      <c r="B1114" s="9" t="n">
        <v>1112</v>
      </c>
      <c r="C1114" s="10" t="inlineStr">
        <is>
          <t>Kỹ Sư Dự Toán Xây Dựng</t>
        </is>
      </c>
      <c r="D1114" s="10" t="inlineStr">
        <is>
          <t>CÔNG TY TNHH KIẾN TRÚC - NỘI THẤT NAM ANH</t>
        </is>
      </c>
      <c r="E1114" s="10" t="inlineStr">
        <is>
          <t>Lương:15 Tr - 20 Tr VND</t>
        </is>
      </c>
      <c r="F1114" s="10" t="inlineStr">
        <is>
          <t>Hà Nội</t>
        </is>
      </c>
      <c r="G1114" s="10" t="inlineStr">
        <is>
          <t>10-04-2026</t>
        </is>
      </c>
      <c r="H1114" s="10" t="inlineStr">
        <is>
          <t>10/04/2026</t>
        </is>
      </c>
      <c r="I1114" s="10" t="inlineStr">
        <is>
          <t>17/03/2026</t>
        </is>
      </c>
      <c r="J1114" s="10" t="inlineStr">
        <is>
          <t>Xây dựng, Kiến trúc</t>
        </is>
      </c>
      <c r="K1114" s="10" t="inlineStr">
        <is>
          <t>2 - 3 Năm</t>
        </is>
      </c>
      <c r="L1114" s="11">
        <f>HYPERLINK("https://careerviet.vn/vi/tim-viec-lam/ky-su-du-toan-xay-dung.35C6BAD1.html","Xem chi tiết")</f>
        <v/>
      </c>
      <c r="M1114" s="10" t="n"/>
    </row>
    <row r="1115">
      <c r="B1115" s="7" t="n">
        <v>1113</v>
      </c>
      <c r="C1115" t="inlineStr">
        <is>
          <t>[JHN0037795] Phụ trách phòng sửa chữa, bảo trì thiết bị - Facility Supervisor</t>
        </is>
      </c>
      <c r="D1115" t="inlineStr">
        <is>
          <t>Iconic Co.,Ltd</t>
        </is>
      </c>
      <c r="E1115" t="inlineStr">
        <is>
          <t>Lương:Cạnh tranh</t>
        </is>
      </c>
      <c r="F1115" t="inlineStr">
        <is>
          <t>Quảng Ninh</t>
        </is>
      </c>
      <c r="G1115" t="inlineStr">
        <is>
          <t>30-04-2026</t>
        </is>
      </c>
      <c r="H1115" t="inlineStr">
        <is>
          <t>30/04/2026</t>
        </is>
      </c>
      <c r="I1115" t="inlineStr">
        <is>
          <t>17/03/2026</t>
        </is>
      </c>
      <c r="J1115" t="inlineStr">
        <is>
          <t>Bảo trì / Sửa chữa, Sản xuất / Vận hành sản xuất</t>
        </is>
      </c>
      <c r="K1115" t="inlineStr">
        <is>
          <t>Trên 1 Năm</t>
        </is>
      </c>
      <c r="L1115" s="8">
        <f>HYPERLINK("https://careerviet.vn/vi/tim-viec-lam/jhn0037795-phu-trach-phong-sua-chua-bao-tri-thiet-bi-facility-supervisor.35C6BAD8.html","Xem chi tiết")</f>
        <v/>
      </c>
    </row>
    <row r="1116">
      <c r="B1116" s="9" t="n">
        <v>1114</v>
      </c>
      <c r="C1116" s="10" t="inlineStr">
        <is>
          <t>Nhân Viên Kinh Doanh Thị Trường (Long Biên - Hà Nội)- (không yêu cầu kinh nghiệm)</t>
        </is>
      </c>
      <c r="D1116" s="10" t="inlineStr">
        <is>
          <t>Công ty TNHH Minh Long I</t>
        </is>
      </c>
      <c r="E1116" s="10" t="inlineStr">
        <is>
          <t>Lương:12 Tr - 16 Tr VND</t>
        </is>
      </c>
      <c r="F1116" s="10" t="inlineStr">
        <is>
          <t>Hà Nội</t>
        </is>
      </c>
      <c r="G1116" s="10" t="inlineStr">
        <is>
          <t>10-04-2026</t>
        </is>
      </c>
      <c r="H1116" s="10" t="inlineStr">
        <is>
          <t>10/04/2026</t>
        </is>
      </c>
      <c r="I1116" s="10" t="inlineStr">
        <is>
          <t>17/03/2026</t>
        </is>
      </c>
      <c r="J1116" s="10" t="inlineStr">
        <is>
          <t>Bán lẻ / Bán sỉ, Bán hàng / Kinh doanh, Tiếp thị / Marketing</t>
        </is>
      </c>
      <c r="K1116" s="10" t="inlineStr">
        <is>
          <t>N/A</t>
        </is>
      </c>
      <c r="L1116" s="11">
        <f>HYPERLINK("https://careerviet.vn/vi/tim-viec-lam/nhan-vien-kinh-doanh-thi-truong-long-bien-ha-noi-khong-yeu-cau-kinh-nghiem.35C6BA6A.html","Xem chi tiết")</f>
        <v/>
      </c>
      <c r="M1116" s="10" t="n"/>
    </row>
    <row r="1117">
      <c r="B1117" s="7" t="n">
        <v>1115</v>
      </c>
      <c r="C1117" t="inlineStr">
        <is>
          <t>Kế Toán Tổng Hợp</t>
        </is>
      </c>
      <c r="D1117" t="inlineStr">
        <is>
          <t>CÔNG TY TNHH ĐẦU TƯ PHÁT TRIỂN THƯƠNG MẠI DỊCH VỤ HÀ TRUNG</t>
        </is>
      </c>
      <c r="E1117" t="inlineStr">
        <is>
          <t>Lương:14 Tr - 18 Tr VND</t>
        </is>
      </c>
      <c r="F1117" t="inlineStr">
        <is>
          <t>Hà Nội</t>
        </is>
      </c>
      <c r="G1117" t="inlineStr">
        <is>
          <t>08-04-2026</t>
        </is>
      </c>
      <c r="H1117" t="inlineStr">
        <is>
          <t>08/04/2026</t>
        </is>
      </c>
      <c r="I1117" t="inlineStr">
        <is>
          <t>17/03/2026</t>
        </is>
      </c>
      <c r="J1117" t="inlineStr">
        <is>
          <t>Kế toán / Kiểm toán, Tài chính / Đầu tư, Luật / Pháp lý</t>
        </is>
      </c>
      <c r="K1117" t="inlineStr">
        <is>
          <t>N/A</t>
        </is>
      </c>
      <c r="L1117" s="8">
        <f>HYPERLINK("https://careerviet.vn/vi/tim-viec-lam/ke-toan-tong-hop.35C6B8E9.html","Xem chi tiết")</f>
        <v/>
      </c>
    </row>
    <row r="1118">
      <c r="B1118" s="9" t="n">
        <v>1116</v>
      </c>
      <c r="C1118" s="10" t="inlineStr">
        <is>
          <t>NHÂN VIÊN KINH DOANH SƠN CÔNG NGHIỆP</t>
        </is>
      </c>
      <c r="D1118" s="10" t="inlineStr">
        <is>
          <t>CÔNG TY TNHH KCC VIỆT NAM</t>
        </is>
      </c>
      <c r="E1118" s="10" t="inlineStr">
        <is>
          <t>Lương:Cạnh tranh</t>
        </is>
      </c>
      <c r="F1118" s="10" t="inlineStr">
        <is>
          <t>Hồ Chí Minh</t>
        </is>
      </c>
      <c r="G1118" s="10" t="inlineStr">
        <is>
          <t>31-03-2026</t>
        </is>
      </c>
      <c r="H1118" s="10" t="inlineStr">
        <is>
          <t>31/03/2026</t>
        </is>
      </c>
      <c r="I1118" s="10" t="inlineStr">
        <is>
          <t>17/03/2026</t>
        </is>
      </c>
      <c r="J1118" s="10" t="inlineStr">
        <is>
          <t>Bán hàng / Kinh doanh, Tư vấn, Bán lẻ / Bán sỉ</t>
        </is>
      </c>
      <c r="K1118" s="10" t="inlineStr">
        <is>
          <t>N/A</t>
        </is>
      </c>
      <c r="L1118" s="11">
        <f>HYPERLINK("https://careerviet.vn/vi/tim-viec-lam/nhan-vien-kinh-doanh-son-cong-nghiep.35C692B4.html","Xem chi tiết")</f>
        <v/>
      </c>
      <c r="M1118" s="10" t="n"/>
    </row>
    <row r="1119">
      <c r="B1119" s="7" t="n">
        <v>1117</v>
      </c>
      <c r="C1119" t="inlineStr">
        <is>
          <t>Chuyên viên kế toán giá thành</t>
        </is>
      </c>
      <c r="D1119" t="inlineStr">
        <is>
          <t>Công Ty Cổ Phần Bột - Thực Phẩm Tài Ký</t>
        </is>
      </c>
      <c r="E1119" t="inlineStr">
        <is>
          <t>Lương:Cạnh tranh</t>
        </is>
      </c>
      <c r="F1119" t="inlineStr">
        <is>
          <t>Hồ Chí Minh</t>
        </is>
      </c>
      <c r="G1119" t="inlineStr">
        <is>
          <t>26-03-2026</t>
        </is>
      </c>
      <c r="H1119" t="inlineStr">
        <is>
          <t>26/03/2026</t>
        </is>
      </c>
      <c r="I1119" t="inlineStr">
        <is>
          <t>17/03/2026</t>
        </is>
      </c>
      <c r="J1119" t="inlineStr">
        <is>
          <t>Bán lẻ / Bán sỉ, Kế toán / Kiểm toán, Thực phẩm &amp; Đồ uống</t>
        </is>
      </c>
      <c r="K1119" t="inlineStr">
        <is>
          <t>5 - 10 Năm</t>
        </is>
      </c>
      <c r="L1119" s="8">
        <f>HYPERLINK("https://careerviet.vn/vi/tim-viec-lam/chuyen-vien-ke-toan-gia-thanh.35C69AC6.html","Xem chi tiết")</f>
        <v/>
      </c>
    </row>
    <row r="1120">
      <c r="B1120" s="9" t="n">
        <v>1118</v>
      </c>
      <c r="C1120" s="10" t="inlineStr">
        <is>
          <t>Trưởng Phòng Tài Chính – Kế Toán / Kế Toán Trưởng(Mới)</t>
        </is>
      </c>
      <c r="D1120" s="10" t="inlineStr">
        <is>
          <t>CÔNG TY CỔ PHẦN PHÁT TRIỂN BĐS ĐẤT VIỆT GROUP</t>
        </is>
      </c>
      <c r="E1120" s="10" t="inlineStr">
        <is>
          <t>Lương:Cạnh tranh</t>
        </is>
      </c>
      <c r="F1120" s="10" t="inlineStr">
        <is>
          <t>Hà Nội</t>
        </is>
      </c>
      <c r="G1120" s="10" t="inlineStr">
        <is>
          <t>18-04-2026</t>
        </is>
      </c>
      <c r="H1120" s="10" t="inlineStr">
        <is>
          <t>18/04/2026</t>
        </is>
      </c>
      <c r="I1120" s="10" t="inlineStr">
        <is>
          <t>17/03/2026</t>
        </is>
      </c>
      <c r="J1120" s="10" t="inlineStr">
        <is>
          <t>Kế toán / Kiểm toán, Tài chính / Đầu tư, Bất động sản</t>
        </is>
      </c>
      <c r="K1120" s="10" t="inlineStr">
        <is>
          <t>Trên 5 Năm</t>
        </is>
      </c>
      <c r="L1120" s="11">
        <f>HYPERLINK("https://careerviet.vn/vi/tim-viec-lam/truong-phong-tai-chinh-ke-toan-ke-toan-truong.35C6CCF5.html","Xem chi tiết")</f>
        <v/>
      </c>
      <c r="M1120" s="10" t="n"/>
    </row>
    <row r="1121">
      <c r="B1121" s="7" t="n">
        <v>1119</v>
      </c>
      <c r="C1121" t="inlineStr">
        <is>
          <t>KẾ TOÁN TỔNG HỢP (SẢN XUẤT, XUẤT KHẨU)</t>
        </is>
      </c>
      <c r="D1121" t="inlineStr">
        <is>
          <t>CÔNG TY TNHH VẬN CHUYỂN VÙNG VỊNH</t>
        </is>
      </c>
      <c r="E1121" t="inlineStr">
        <is>
          <t>Lương:15 Tr - 18 Tr VND</t>
        </is>
      </c>
      <c r="F1121" t="inlineStr">
        <is>
          <t>Hồ Chí Minh</t>
        </is>
      </c>
      <c r="G1121" t="inlineStr">
        <is>
          <t>30-03-2026</t>
        </is>
      </c>
      <c r="H1121" t="inlineStr">
        <is>
          <t>30/03/2026</t>
        </is>
      </c>
      <c r="I1121" t="inlineStr">
        <is>
          <t>17/03/2026</t>
        </is>
      </c>
      <c r="J1121" t="inlineStr">
        <is>
          <t>Kế toán / Kiểm toán, Xuất nhập khẩu, Sản xuất / Vận hành sản xuất</t>
        </is>
      </c>
      <c r="K1121" t="inlineStr">
        <is>
          <t>1 - 3 Năm</t>
        </is>
      </c>
      <c r="L1121" s="8">
        <f>HYPERLINK("https://careerviet.vn/vi/tim-viec-lam/ke-toan-tong-hop-san-xuat-xuat-khau.35C66F54.html","Xem chi tiết")</f>
        <v/>
      </c>
    </row>
    <row r="1122">
      <c r="B1122" s="9" t="n">
        <v>1120</v>
      </c>
      <c r="C1122" s="10" t="inlineStr">
        <is>
          <t>Chuyên viên Kiểm Soát Tài Chính/ Financial control</t>
        </is>
      </c>
      <c r="D1122" s="10" t="inlineStr">
        <is>
          <t>Công Ty Cổ Phần Bột - Thực Phẩm Tài Ký</t>
        </is>
      </c>
      <c r="E1122" s="10" t="inlineStr">
        <is>
          <t>Lương:Cạnh tranh</t>
        </is>
      </c>
      <c r="F1122" s="10" t="inlineStr">
        <is>
          <t>Hồ Chí Minh</t>
        </is>
      </c>
      <c r="G1122" s="10" t="inlineStr">
        <is>
          <t>26-03-2026</t>
        </is>
      </c>
      <c r="H1122" s="10" t="inlineStr">
        <is>
          <t>26/03/2026</t>
        </is>
      </c>
      <c r="I1122" s="10" t="inlineStr">
        <is>
          <t>17/03/2026</t>
        </is>
      </c>
      <c r="J1122" s="10" t="inlineStr">
        <is>
          <t>Bán lẻ / Bán sỉ, Kế toán / Kiểm toán, Thực phẩm &amp; Đồ uống</t>
        </is>
      </c>
      <c r="K1122" s="10" t="inlineStr">
        <is>
          <t>5 - 10 Năm</t>
        </is>
      </c>
      <c r="L1122" s="11">
        <f>HYPERLINK("https://careerviet.vn/vi/tim-viec-lam/chuyen-vien-kiem-soat-tai-chinh-financial-control.35C69A36.html","Xem chi tiết")</f>
        <v/>
      </c>
      <c r="M1122" s="10" t="n"/>
    </row>
    <row r="1123">
      <c r="B1123" s="7" t="n">
        <v>1121</v>
      </c>
      <c r="C1123" t="inlineStr">
        <is>
          <t>NHÂN VIÊN TUYỂN DỤNG(Mới)</t>
        </is>
      </c>
      <c r="D1123" t="inlineStr">
        <is>
          <t>Thuan Phuong Group</t>
        </is>
      </c>
      <c r="E1123" t="inlineStr">
        <is>
          <t>Lương:13 Tr - 18 Tr VND</t>
        </is>
      </c>
      <c r="F1123" t="inlineStr">
        <is>
          <t>Hồ Chí Minh</t>
        </is>
      </c>
      <c r="G1123" t="inlineStr">
        <is>
          <t>18-04-2026</t>
        </is>
      </c>
      <c r="H1123" t="inlineStr">
        <is>
          <t>18/04/2026</t>
        </is>
      </c>
      <c r="I1123" t="inlineStr">
        <is>
          <t>17/03/2026</t>
        </is>
      </c>
      <c r="J1123" t="inlineStr">
        <is>
          <t>Nhân sự, Luật / Pháp lý, Hành chính / Thư ký</t>
        </is>
      </c>
      <c r="K1123" t="inlineStr">
        <is>
          <t>2 - 10 Năm</t>
        </is>
      </c>
      <c r="L1123" s="8">
        <f>HYPERLINK("https://careerviet.vn/vi/tim-viec-lam/nhan-vien-tuyen-dung.35C6CD2A.html","Xem chi tiết")</f>
        <v/>
      </c>
    </row>
    <row r="1124">
      <c r="B1124" s="9" t="n">
        <v>1122</v>
      </c>
      <c r="C1124" s="10" t="inlineStr">
        <is>
          <t>CHUYÊN VIÊN KẾ TOÁN LÀM VIỆC TẠI CHÂU PHI - 03 NHÂN VIÊN</t>
        </is>
      </c>
      <c r="D1124" s="10" t="inlineStr">
        <is>
          <t>CÔNG TY CỔ PHẦN HUM</t>
        </is>
      </c>
      <c r="E1124" s="10" t="inlineStr">
        <is>
          <t>Lương:20 Tr - 30 Tr VND</t>
        </is>
      </c>
      <c r="F1124" s="10" t="inlineStr">
        <is>
          <t>Hồ Chí Minh</t>
        </is>
      </c>
      <c r="G1124" s="10" t="inlineStr">
        <is>
          <t>30-03-2026</t>
        </is>
      </c>
      <c r="H1124" s="10" t="inlineStr">
        <is>
          <t>30/03/2026</t>
        </is>
      </c>
      <c r="I1124" s="10" t="inlineStr">
        <is>
          <t>17/03/2026</t>
        </is>
      </c>
      <c r="J1124" s="10" t="inlineStr">
        <is>
          <t>Kế toán / Kiểm toán, Tài chính / Đầu tư</t>
        </is>
      </c>
      <c r="K1124" s="10" t="inlineStr">
        <is>
          <t>3 - 5 Năm</t>
        </is>
      </c>
      <c r="L1124" s="11">
        <f>HYPERLINK("https://careerviet.vn/vi/tim-viec-lam/chuyen-vien-ke-toan-lam-viec-tai-chau-phi-03-nhan-vien.35C69D06.html","Xem chi tiết")</f>
        <v/>
      </c>
      <c r="M1124" s="10" t="n"/>
    </row>
    <row r="1125">
      <c r="B1125" s="7" t="n">
        <v>1123</v>
      </c>
      <c r="C1125" t="inlineStr">
        <is>
          <t>Nhân Viên Kế Toán Công Nợ Phải Trả</t>
        </is>
      </c>
      <c r="D1125" t="inlineStr">
        <is>
          <t>Viet Han Concrete JSC.,</t>
        </is>
      </c>
      <c r="E1125" t="inlineStr">
        <is>
          <t>Lương:10 Tr - 14 Tr VND</t>
        </is>
      </c>
      <c r="F1125" t="inlineStr">
        <is>
          <t>Hồ Chí Minh</t>
        </is>
      </c>
      <c r="G1125" t="inlineStr">
        <is>
          <t>6</t>
        </is>
      </c>
      <c r="H1125" t="inlineStr">
        <is>
          <t>23/03/2026</t>
        </is>
      </c>
      <c r="I1125" t="inlineStr">
        <is>
          <t>17/03/2026</t>
        </is>
      </c>
      <c r="J1125" t="inlineStr">
        <is>
          <t>Sản xuất / Vận hành sản xuất, Xây dựng, Kế toán / Kiểm toán</t>
        </is>
      </c>
      <c r="K1125" t="inlineStr">
        <is>
          <t>2 - 5 Năm</t>
        </is>
      </c>
      <c r="L1125" s="8">
        <f>HYPERLINK("https://careerviet.vn/vi/tim-viec-lam/nhan-vien-ke-toan-cong-no-phai-tra.35C6650E.html","Xem chi tiết")</f>
        <v/>
      </c>
    </row>
    <row r="1126">
      <c r="B1126" s="9" t="n">
        <v>1124</v>
      </c>
      <c r="C1126" s="10" t="inlineStr">
        <is>
          <t>Trưởng nhóm Dịch vụ khách hàng (Chủ đầu tư BĐS)(Mới)</t>
        </is>
      </c>
      <c r="D1126" s="10" t="inlineStr">
        <is>
          <t>Công ty Cổ phần Tập đoàn KITA Group</t>
        </is>
      </c>
      <c r="E1126" s="10" t="inlineStr">
        <is>
          <t>Lương:18 Tr - 22 Tr VND</t>
        </is>
      </c>
      <c r="F1126" s="10" t="inlineStr">
        <is>
          <t>Hồ Chí Minh</t>
        </is>
      </c>
      <c r="G1126" s="10" t="inlineStr">
        <is>
          <t>30-04-2026</t>
        </is>
      </c>
      <c r="H1126" s="10" t="inlineStr">
        <is>
          <t>30/04/2026</t>
        </is>
      </c>
      <c r="I1126" s="10" t="inlineStr">
        <is>
          <t>17/03/2026</t>
        </is>
      </c>
      <c r="J1126" s="10" t="inlineStr">
        <is>
          <t>Bán hàng / Kinh doanh, Dịch vụ khách hàng, Bất động sản</t>
        </is>
      </c>
      <c r="K1126" s="10" t="inlineStr">
        <is>
          <t>3 - 7 Năm</t>
        </is>
      </c>
      <c r="L1126" s="11">
        <f>HYPERLINK("https://careerviet.vn/vi/tim-viec-lam/truong-nhom-dich-vu-khach-hang-chu-dau-tu-bds.35C6CD5E.html","Xem chi tiết")</f>
        <v/>
      </c>
      <c r="M1126" s="10" t="n"/>
    </row>
    <row r="1127">
      <c r="B1127" s="7" t="n">
        <v>1125</v>
      </c>
      <c r="C1127" t="inlineStr">
        <is>
          <t>Kiểm Nghiệm Mẫu TP, BTP(Mới)</t>
        </is>
      </c>
      <c r="D1127" t="inlineStr">
        <is>
          <t>Công Ty Cổ Phần Dược Phẩm Phong Phú</t>
        </is>
      </c>
      <c r="E1127" t="inlineStr">
        <is>
          <t>Lương:Cạnh tranh</t>
        </is>
      </c>
      <c r="F1127" t="inlineStr">
        <is>
          <t>Hồ Chí Minh</t>
        </is>
      </c>
      <c r="G1127" t="inlineStr">
        <is>
          <t>16-04-2026</t>
        </is>
      </c>
      <c r="H1127" t="inlineStr">
        <is>
          <t>16/04/2026</t>
        </is>
      </c>
      <c r="I1127" t="inlineStr">
        <is>
          <t>17/03/2026</t>
        </is>
      </c>
      <c r="J1127" t="inlineStr">
        <is>
          <t>Dược phẩm/ Hóa Mỹ Phẩm, Quản lý chất lượng (QA/QC), Hóa học</t>
        </is>
      </c>
      <c r="K1127" t="inlineStr">
        <is>
          <t>N/A</t>
        </is>
      </c>
      <c r="L1127" s="8">
        <f>HYPERLINK("https://careerviet.vn/vi/tim-viec-lam/kiem-nghiem-mau-tp-btp.35C6CD12.html","Xem chi tiết")</f>
        <v/>
      </c>
    </row>
    <row r="1128">
      <c r="B1128" s="9" t="n">
        <v>1126</v>
      </c>
      <c r="C1128" s="10" t="inlineStr">
        <is>
          <t>Fashion Design Assistant Manager(Mới)</t>
        </is>
      </c>
      <c r="D1128" s="10" t="inlineStr">
        <is>
          <t>LOTTE VIETNAM SHOPPING JOINT STOCK COMPANY</t>
        </is>
      </c>
      <c r="E1128" s="10" t="inlineStr">
        <is>
          <t>Lương:Cạnh tranh</t>
        </is>
      </c>
      <c r="F1128" s="10" t="inlineStr">
        <is>
          <t>Hồ Chí Minh</t>
        </is>
      </c>
      <c r="G1128" s="10" t="inlineStr">
        <is>
          <t>30-04-2026</t>
        </is>
      </c>
      <c r="H1128" s="10" t="inlineStr">
        <is>
          <t>30/04/2026</t>
        </is>
      </c>
      <c r="I1128" s="10" t="inlineStr">
        <is>
          <t>17/03/2026</t>
        </is>
      </c>
      <c r="J1128" s="10" t="inlineStr">
        <is>
          <t>Mỹ thuật / Nghệ thuật / Thiết kế</t>
        </is>
      </c>
      <c r="K1128" s="10" t="inlineStr">
        <is>
          <t>Trên 4 Năm</t>
        </is>
      </c>
      <c r="L1128" s="11">
        <f>HYPERLINK("https://careerviet.vn/vi/tim-viec-lam/fashion-design-assistant-manager.35C6CD20.html","Xem chi tiết")</f>
        <v/>
      </c>
      <c r="M1128" s="10" t="n"/>
    </row>
    <row r="1129">
      <c r="B1129" s="7" t="n">
        <v>1127</v>
      </c>
      <c r="C1129" t="inlineStr">
        <is>
          <t>TRƯỞNG PHÒNG TÀI CHÍNH(Mới)</t>
        </is>
      </c>
      <c r="D1129" t="inlineStr">
        <is>
          <t>CÔNG TY CỔ PHẦN HUM</t>
        </is>
      </c>
      <c r="E1129" t="inlineStr">
        <is>
          <t>Lương:30 Tr - 40 Tr VND</t>
        </is>
      </c>
      <c r="F1129" t="inlineStr">
        <is>
          <t>Hồ Chí Minh</t>
        </is>
      </c>
      <c r="G1129" t="inlineStr">
        <is>
          <t>30-04-2026</t>
        </is>
      </c>
      <c r="H1129" t="inlineStr">
        <is>
          <t>30/04/2026</t>
        </is>
      </c>
      <c r="I1129" t="inlineStr">
        <is>
          <t>17/03/2026</t>
        </is>
      </c>
      <c r="J1129" t="inlineStr">
        <is>
          <t>Kế toán / Kiểm toán, Tài chính / Đầu tư, Ngân hàng</t>
        </is>
      </c>
      <c r="K1129" t="inlineStr">
        <is>
          <t>5 - 10 Năm</t>
        </is>
      </c>
      <c r="L1129" s="8">
        <f>HYPERLINK("https://careerviet.vn/vi/tim-viec-lam/truong-phong-tai-chinh.35C6CD28.html","Xem chi tiết")</f>
        <v/>
      </c>
    </row>
    <row r="1130">
      <c r="B1130" s="9" t="n">
        <v>1128</v>
      </c>
      <c r="C1130" s="10" t="inlineStr">
        <is>
          <t>Phó Giám Đốc Khối Kỹ Thuật Dự Án(Mới)</t>
        </is>
      </c>
      <c r="D1130" s="10" t="inlineStr">
        <is>
          <t>CÔNG TY CP TẬP ĐOÀN VAS NGHI SƠN</t>
        </is>
      </c>
      <c r="E1130" s="10" t="inlineStr">
        <is>
          <t>Lương:Cạnh tranh</t>
        </is>
      </c>
      <c r="F1130" s="10" t="inlineStr">
        <is>
          <t>Thanh HóaNghệ An</t>
        </is>
      </c>
      <c r="G1130" s="10" t="inlineStr">
        <is>
          <t>15-04-2026</t>
        </is>
      </c>
      <c r="H1130" s="10" t="inlineStr">
        <is>
          <t>15/04/2026</t>
        </is>
      </c>
      <c r="I1130" s="10" t="inlineStr">
        <is>
          <t>17/03/2026</t>
        </is>
      </c>
      <c r="J1130" s="10" t="inlineStr">
        <is>
          <t>Xây dựng, Bất động sản</t>
        </is>
      </c>
      <c r="K1130" s="10" t="inlineStr">
        <is>
          <t>4 - 5 Năm</t>
        </is>
      </c>
      <c r="L1130" s="11">
        <f>HYPERLINK("https://careerviet.vn/vi/tim-viec-lam/pho-giam-doc-khoi-ky-thuat-du-an.35C6CCD1.html","Xem chi tiết")</f>
        <v/>
      </c>
      <c r="M1130" s="10" t="n"/>
    </row>
    <row r="1131">
      <c r="B1131" s="7" t="n">
        <v>1129</v>
      </c>
      <c r="C1131" t="inlineStr">
        <is>
          <t>Chuyên viên Brand Marketing(Mới)</t>
        </is>
      </c>
      <c r="D1131" t="inlineStr">
        <is>
          <t>CÔNG TY CP TẬP ĐOÀN ĐẦU TƯ HOÀNG GIA VIỆT NAM</t>
        </is>
      </c>
      <c r="E1131" t="inlineStr">
        <is>
          <t>Lương:Cạnh tranh</t>
        </is>
      </c>
      <c r="F1131" t="inlineStr">
        <is>
          <t>Hồ Chí Minh</t>
        </is>
      </c>
      <c r="G1131" t="inlineStr">
        <is>
          <t>16-03-2026</t>
        </is>
      </c>
      <c r="H1131" t="inlineStr">
        <is>
          <t>16/03/2026</t>
        </is>
      </c>
      <c r="I1131" t="inlineStr">
        <is>
          <t>17/03/2026</t>
        </is>
      </c>
      <c r="J1131" t="inlineStr">
        <is>
          <t>Tiếp thị / Marketing, Bán lẻ / Bán sỉ</t>
        </is>
      </c>
      <c r="K1131" t="inlineStr">
        <is>
          <t>2 - 4 Năm</t>
        </is>
      </c>
      <c r="L1131" s="8">
        <f>HYPERLINK("https://careerviet.vn/vi/tim-viec-lam/chuyen-vien-brand-marketing.35C6CCEC.html","Xem chi tiết")</f>
        <v/>
      </c>
    </row>
    <row r="1132">
      <c r="B1132" s="9" t="n">
        <v>1130</v>
      </c>
      <c r="C1132" s="10" t="inlineStr">
        <is>
          <t>128377 - Tiếng Nhật - Quản lý bộ phận Hành chính - Ngành Thương mại</t>
        </is>
      </c>
      <c r="D1132" s="10" t="inlineStr">
        <is>
          <t>RGF HR Agent Vietnam Co., LTD</t>
        </is>
      </c>
      <c r="E1132" s="10" t="inlineStr">
        <is>
          <t>Lương:45 Tr - 55 Tr VND</t>
        </is>
      </c>
      <c r="F1132" s="10" t="inlineStr">
        <is>
          <t>Hồ Chí Minh</t>
        </is>
      </c>
      <c r="G1132" s="10" t="inlineStr">
        <is>
          <t>31-03-2026</t>
        </is>
      </c>
      <c r="H1132" s="10" t="inlineStr">
        <is>
          <t>31/03/2026</t>
        </is>
      </c>
      <c r="I1132" s="10" t="inlineStr">
        <is>
          <t>17/03/2026</t>
        </is>
      </c>
      <c r="J1132" s="10" t="inlineStr">
        <is>
          <t>Hành chính / Thư ký, Quản lý điều hành</t>
        </is>
      </c>
      <c r="K1132" s="10" t="inlineStr">
        <is>
          <t>5 - 6 Năm</t>
        </is>
      </c>
      <c r="L1132" s="11">
        <f>HYPERLINK("https://careerviet.vn/vi/tim-viec-lam/128377-tieng-nhat-quan-ly-bo-phan-hanh-chinh-nganh-thuong-mai.35C6B91B.html","Xem chi tiết")</f>
        <v/>
      </c>
      <c r="M1132" s="10" t="n"/>
    </row>
    <row r="1133">
      <c r="B1133" s="7" t="n">
        <v>1131</v>
      </c>
      <c r="C1133" t="inlineStr">
        <is>
          <t>Nhân Viên Kế Toán Nội Bộ(Mới)</t>
        </is>
      </c>
      <c r="D1133" t="inlineStr">
        <is>
          <t>CÔNG TY TNHH THƯƠNG MẠI VÀ DỊCH VỤ C &amp; A</t>
        </is>
      </c>
      <c r="E1133" t="inlineStr">
        <is>
          <t>Lương:9 Tr - 10 Tr VND</t>
        </is>
      </c>
      <c r="F1133" t="inlineStr">
        <is>
          <t>Hải Phòng</t>
        </is>
      </c>
      <c r="G1133" t="inlineStr">
        <is>
          <t>15-04-2026</t>
        </is>
      </c>
      <c r="H1133" t="inlineStr">
        <is>
          <t>15/04/2026</t>
        </is>
      </c>
      <c r="I1133" t="inlineStr">
        <is>
          <t>17/03/2026</t>
        </is>
      </c>
      <c r="J1133" t="inlineStr">
        <is>
          <t>Hành chính / Thư ký, Kế toán / Kiểm toán, Vận chuyển / Giao nhận / Kho vận</t>
        </is>
      </c>
      <c r="K1133" t="inlineStr">
        <is>
          <t>Lên đến 1 Năm</t>
        </is>
      </c>
      <c r="L1133" s="8">
        <f>HYPERLINK("https://careerviet.vn/vi/tim-viec-lam/nhan-vien-ke-toan-noi-bo.35C6CA54.html","Xem chi tiết")</f>
        <v/>
      </c>
    </row>
    <row r="1134">
      <c r="B1134" s="9" t="n">
        <v>1132</v>
      </c>
      <c r="C1134" s="10" t="inlineStr">
        <is>
          <t>128388 - Japanese Speaking - Secretary/General Affairs - Law Firm</t>
        </is>
      </c>
      <c r="D1134" s="10" t="inlineStr">
        <is>
          <t>RGF HR Agent Vietnam Co., LTD</t>
        </is>
      </c>
      <c r="E1134" s="10" t="inlineStr">
        <is>
          <t>Lương:18 Tr - 20 Tr VND</t>
        </is>
      </c>
      <c r="F1134" s="10" t="inlineStr">
        <is>
          <t>Hồ Chí Minh</t>
        </is>
      </c>
      <c r="G1134" s="10" t="inlineStr">
        <is>
          <t>16-03-2026</t>
        </is>
      </c>
      <c r="H1134" s="10" t="inlineStr">
        <is>
          <t>12/03/2026</t>
        </is>
      </c>
      <c r="I1134" s="10" t="inlineStr">
        <is>
          <t>17/03/2026</t>
        </is>
      </c>
      <c r="J1134" s="10" t="inlineStr">
        <is>
          <t>Luật / Pháp lý, Hành chính / Thư ký</t>
        </is>
      </c>
      <c r="K1134" s="10" t="inlineStr">
        <is>
          <t>N/A</t>
        </is>
      </c>
      <c r="L1134" s="11">
        <f>HYPERLINK("https://careerviet.vn/vi/tim-viec-lam/128388-japanese-speaking-secretary-general-affairs-law-firm.35C6B934.html","Xem chi tiết")</f>
        <v/>
      </c>
      <c r="M1134" s="10" t="n"/>
    </row>
    <row r="1135">
      <c r="B1135" s="7" t="n">
        <v>1133</v>
      </c>
      <c r="C1135" t="inlineStr">
        <is>
          <t>128478 - Sales Executive - Plastics</t>
        </is>
      </c>
      <c r="D1135" t="inlineStr">
        <is>
          <t>RGF HR Agent Vietnam Co., LTD</t>
        </is>
      </c>
      <c r="E1135" t="inlineStr">
        <is>
          <t>Lương:Cạnh tranh</t>
        </is>
      </c>
      <c r="F1135" t="inlineStr">
        <is>
          <t>Hồ Chí Minh</t>
        </is>
      </c>
      <c r="G1135" t="inlineStr">
        <is>
          <t>16-03-2026</t>
        </is>
      </c>
      <c r="H1135" t="inlineStr">
        <is>
          <t>12/03/2026</t>
        </is>
      </c>
      <c r="I1135" t="inlineStr">
        <is>
          <t>17/03/2026</t>
        </is>
      </c>
      <c r="J1135" t="inlineStr">
        <is>
          <t>Bán hàng / Kinh doanh</t>
        </is>
      </c>
      <c r="K1135" t="inlineStr">
        <is>
          <t>2 - 6 Năm</t>
        </is>
      </c>
      <c r="L1135" s="8">
        <f>HYPERLINK("https://careerviet.vn/vi/tim-viec-lam/128478-sales-executive-plastics.35C6B978.html","Xem chi tiết")</f>
        <v/>
      </c>
    </row>
    <row r="1136">
      <c r="B1136" s="9" t="n">
        <v>1134</v>
      </c>
      <c r="C1136" s="10" t="inlineStr">
        <is>
          <t>Biên phiên Dịch Tiếng Trung 24618 - KCN Tiên Sơn, Bắc Ninh (Có xe đưa đón từ HN)(Mới)</t>
        </is>
      </c>
      <c r="D1136" s="10" t="inlineStr">
        <is>
          <t>Công Ty TNHH Reeracoen Việt Nam</t>
        </is>
      </c>
      <c r="E1136" s="10" t="inlineStr">
        <is>
          <t>Lương:15 Tr - 22 Tr VND</t>
        </is>
      </c>
      <c r="F1136" s="10" t="inlineStr">
        <is>
          <t>Bắc Ninh</t>
        </is>
      </c>
      <c r="G1136" s="10" t="inlineStr">
        <is>
          <t>16-04-2026</t>
        </is>
      </c>
      <c r="H1136" s="10" t="inlineStr">
        <is>
          <t>16/04/2026</t>
        </is>
      </c>
      <c r="I1136" s="10" t="inlineStr">
        <is>
          <t>17/03/2026</t>
        </is>
      </c>
      <c r="J1136" s="10" t="inlineStr">
        <is>
          <t>Biên phiên dịch, Hành chính / Thư ký, Nhân sự</t>
        </is>
      </c>
      <c r="K1136" s="10" t="inlineStr">
        <is>
          <t>Trên 1 Năm</t>
        </is>
      </c>
      <c r="L1136" s="11">
        <f>HYPERLINK("https://careerviet.vn/vi/tim-viec-lam/bien-phien-dich-tieng-trung-24618-kcn-tien-son-bac-ninh-co-xe-dua-don-tu-hn.35C6CD04.html","Xem chi tiết")</f>
        <v/>
      </c>
      <c r="M1136" s="10" t="n"/>
    </row>
    <row r="1137">
      <c r="B1137" s="7" t="n">
        <v>1135</v>
      </c>
      <c r="C1137" t="inlineStr">
        <is>
          <t>128482 - IMC Planner / Strategic Planner - Manufacturing</t>
        </is>
      </c>
      <c r="D1137" t="inlineStr">
        <is>
          <t>RGF HR Agent Vietnam Co., LTD</t>
        </is>
      </c>
      <c r="E1137" t="inlineStr">
        <is>
          <t>Lương:25 Tr - 30 Tr VND</t>
        </is>
      </c>
      <c r="F1137" t="inlineStr">
        <is>
          <t>Hồ Chí Minh</t>
        </is>
      </c>
      <c r="G1137" t="inlineStr">
        <is>
          <t>16-03-2026</t>
        </is>
      </c>
      <c r="H1137" t="inlineStr">
        <is>
          <t>12/03/2026</t>
        </is>
      </c>
      <c r="I1137" t="inlineStr">
        <is>
          <t>17/03/2026</t>
        </is>
      </c>
      <c r="J1137" t="inlineStr">
        <is>
          <t>Sản xuất / Vận hành sản xuất, Tiếp thị / Marketing</t>
        </is>
      </c>
      <c r="K1137" t="inlineStr">
        <is>
          <t>2 - 4 Năm</t>
        </is>
      </c>
      <c r="L1137" s="8">
        <f>HYPERLINK("https://careerviet.vn/vi/tim-viec-lam/128482-imc-planner-strategic-planner-manufacturing.35C6B981.html","Xem chi tiết")</f>
        <v/>
      </c>
    </row>
    <row r="1138">
      <c r="B1138" s="9" t="n">
        <v>1136</v>
      </c>
      <c r="C1138" s="10" t="inlineStr">
        <is>
          <t>Nhân Viên Xuất Nhập Khẩu – Thu Nhập 20-25 Triệu(Mới)</t>
        </is>
      </c>
      <c r="D1138" s="10" t="inlineStr">
        <is>
          <t>CÔNG TY TNHH THƯƠNG MẠI LỐP ADVANCE VIỆT NAM</t>
        </is>
      </c>
      <c r="E1138" s="10" t="inlineStr">
        <is>
          <t>Lương:20 Tr - 25 Tr VND</t>
        </is>
      </c>
      <c r="F1138" s="10" t="inlineStr">
        <is>
          <t>Hà Nội</t>
        </is>
      </c>
      <c r="G1138" s="10" t="inlineStr">
        <is>
          <t>15-04-2026</t>
        </is>
      </c>
      <c r="H1138" s="10" t="inlineStr">
        <is>
          <t>15/04/2026</t>
        </is>
      </c>
      <c r="I1138" s="10" t="inlineStr">
        <is>
          <t>17/03/2026</t>
        </is>
      </c>
      <c r="J1138" s="10" t="inlineStr">
        <is>
          <t>Xuất nhập khẩu, Vận chuyển / Giao nhận / Kho vận, Hành chính / Thư ký</t>
        </is>
      </c>
      <c r="K1138" s="10" t="inlineStr">
        <is>
          <t>Trên 3 Năm</t>
        </is>
      </c>
      <c r="L1138" s="11">
        <f>HYPERLINK("https://careerviet.vn/vi/tim-viec-lam/nhan-vien-xuat-nhap-khau-thu-nhap-20-25-trieu.35C6CBC9.html","Xem chi tiết")</f>
        <v/>
      </c>
      <c r="M1138" s="10" t="n"/>
    </row>
    <row r="1139">
      <c r="B1139" s="7" t="n">
        <v>1137</v>
      </c>
      <c r="C1139" t="inlineStr">
        <is>
          <t>Thư ký kiêm Trợ lý hành chính có Tiếng Nhật 27802 - P. Sài Gòn, HCM(Mới)</t>
        </is>
      </c>
      <c r="D1139" t="inlineStr">
        <is>
          <t>Công Ty TNHH Reeracoen Việt Nam</t>
        </is>
      </c>
      <c r="E1139" t="inlineStr">
        <is>
          <t>Lương:18 Tr - 18 Tr VND</t>
        </is>
      </c>
      <c r="F1139" t="inlineStr">
        <is>
          <t>Hồ Chí Minh</t>
        </is>
      </c>
      <c r="G1139" t="inlineStr">
        <is>
          <t>16-04-2026</t>
        </is>
      </c>
      <c r="H1139" t="inlineStr">
        <is>
          <t>16/04/2026</t>
        </is>
      </c>
      <c r="I1139" t="inlineStr">
        <is>
          <t>17/03/2026</t>
        </is>
      </c>
      <c r="J1139" t="inlineStr">
        <is>
          <t>Hành chính / Thư ký, Biên phiên dịch, Nhân sự</t>
        </is>
      </c>
      <c r="K1139" t="inlineStr">
        <is>
          <t>1 - 2 Năm</t>
        </is>
      </c>
      <c r="L1139" s="8">
        <f>HYPERLINK("https://careerviet.vn/vi/tim-viec-lam/thu-ky-kiem-tro-ly-hanh-chinh-co-tieng-nhat-27802-p-sai-gon-hcm.35C6CCE9.html","Xem chi tiết")</f>
        <v/>
      </c>
    </row>
    <row r="1140">
      <c r="B1140" s="9" t="n">
        <v>1138</v>
      </c>
      <c r="C1140" s="10" t="inlineStr">
        <is>
          <t>Business Intelligence Specialist – Collections(Mới)</t>
        </is>
      </c>
      <c r="D1140" s="10" t="inlineStr">
        <is>
          <t>FE CREDIT</t>
        </is>
      </c>
      <c r="E1140" s="10" t="inlineStr">
        <is>
          <t>Lương:800 - 1.100 USD</t>
        </is>
      </c>
      <c r="F1140" s="10" t="inlineStr">
        <is>
          <t>Hồ Chí Minh</t>
        </is>
      </c>
      <c r="G1140" s="10" t="inlineStr">
        <is>
          <t>15-04-2026</t>
        </is>
      </c>
      <c r="H1140" s="10" t="inlineStr">
        <is>
          <t>15/04/2026</t>
        </is>
      </c>
      <c r="I1140" s="10" t="inlineStr">
        <is>
          <t>17/03/2026</t>
        </is>
      </c>
      <c r="J1140" s="10" t="inlineStr">
        <is>
          <t>CNTT - Phần mềm, Ngân hàng, Tài chính / Đầu tư</t>
        </is>
      </c>
      <c r="K1140" s="10" t="inlineStr">
        <is>
          <t>2 - 4 Năm</t>
        </is>
      </c>
      <c r="L1140" s="11">
        <f>HYPERLINK("https://careerviet.vn/vi/tim-viec-lam/business-intelligence-specialist-collections.35C6CCEF.html","Xem chi tiết")</f>
        <v/>
      </c>
      <c r="M1140" s="10" t="n"/>
    </row>
    <row r="1141">
      <c r="B1141" s="7" t="n">
        <v>1139</v>
      </c>
      <c r="C1141" t="inlineStr">
        <is>
          <t>Phó quản lý nhà máy May mặc 27808 - KCN Phú An, Bình Định(Mới)</t>
        </is>
      </c>
      <c r="D1141" t="inlineStr">
        <is>
          <t>Công Ty TNHH Reeracoen Việt Nam</t>
        </is>
      </c>
      <c r="E1141" t="inlineStr">
        <is>
          <t>Lương:12 Tr - 18 Tr VND</t>
        </is>
      </c>
      <c r="F1141" t="inlineStr">
        <is>
          <t>Bình Định</t>
        </is>
      </c>
      <c r="G1141" t="inlineStr">
        <is>
          <t>16-04-2026</t>
        </is>
      </c>
      <c r="H1141" t="inlineStr">
        <is>
          <t>16/04/2026</t>
        </is>
      </c>
      <c r="I1141" t="inlineStr">
        <is>
          <t>17/03/2026</t>
        </is>
      </c>
      <c r="J1141" t="inlineStr">
        <is>
          <t>Dệt may / Da giày / Thời trang, Sản xuất / Vận hành sản xuất, Quản lý chất lượng (QA/QC)</t>
        </is>
      </c>
      <c r="K1141" t="inlineStr">
        <is>
          <t>Trên 5 Năm</t>
        </is>
      </c>
      <c r="L1141" s="8">
        <f>HYPERLINK("https://careerviet.vn/vi/tim-viec-lam/pho-quan-ly-nha-may-may-mac-27808-kcn-phu-an-binh-dinh.35C6CCE0.html","Xem chi tiết")</f>
        <v/>
      </c>
    </row>
    <row r="1142">
      <c r="B1142" s="9" t="n">
        <v>1140</v>
      </c>
      <c r="C1142" s="10" t="inlineStr">
        <is>
          <t>Kế toán tổng hợp(Mới)</t>
        </is>
      </c>
      <c r="D1142" s="10" t="inlineStr">
        <is>
          <t>CÔNG TY TNHH THƯỜNG NHẬT (SAIGON WATERBUS)</t>
        </is>
      </c>
      <c r="E1142" s="10" t="inlineStr">
        <is>
          <t>Lương:Cạnh tranh</t>
        </is>
      </c>
      <c r="F1142" s="10" t="inlineStr">
        <is>
          <t>Hồ Chí Minh</t>
        </is>
      </c>
      <c r="G1142" s="10" t="inlineStr">
        <is>
          <t>11-04-2026</t>
        </is>
      </c>
      <c r="H1142" s="10" t="inlineStr">
        <is>
          <t>11/04/2026</t>
        </is>
      </c>
      <c r="I1142" s="10" t="inlineStr">
        <is>
          <t>17/03/2026</t>
        </is>
      </c>
      <c r="J1142" s="10" t="inlineStr">
        <is>
          <t>Kế toán / Kiểm toán</t>
        </is>
      </c>
      <c r="K1142" s="10" t="inlineStr">
        <is>
          <t>3 - 4 Năm</t>
        </is>
      </c>
      <c r="L1142" s="11">
        <f>HYPERLINK("https://careerviet.vn/vi/tim-viec-lam/ke-toan-tong-hop.35C6CCD5.html","Xem chi tiết")</f>
        <v/>
      </c>
      <c r="M1142" s="10" t="n"/>
    </row>
    <row r="1143">
      <c r="B1143" s="7" t="n">
        <v>1141</v>
      </c>
      <c r="C1143" t="inlineStr">
        <is>
          <t>Graphics Designer / Thiết Kế Đồ Họa(Mới)</t>
        </is>
      </c>
      <c r="D1143" t="inlineStr">
        <is>
          <t>N-SQUARED ECOMMERCE VIETNAM</t>
        </is>
      </c>
      <c r="E1143" t="inlineStr">
        <is>
          <t>Lương:Cạnh tranh</t>
        </is>
      </c>
      <c r="F1143" t="inlineStr">
        <is>
          <t>Hồ Chí Minh</t>
        </is>
      </c>
      <c r="G1143" t="inlineStr">
        <is>
          <t>30-04-2026</t>
        </is>
      </c>
      <c r="H1143" t="inlineStr">
        <is>
          <t>30/04/2026</t>
        </is>
      </c>
      <c r="I1143" t="inlineStr">
        <is>
          <t>17/03/2026</t>
        </is>
      </c>
      <c r="J1143" t="inlineStr">
        <is>
          <t>Thương mại điện tử, Quảng cáo / Đối ngoại / Truyền Thông, Mỹ thuật / Nghệ thuật / Thiết kế</t>
        </is>
      </c>
      <c r="K1143" t="inlineStr">
        <is>
          <t>1 - 2 Năm</t>
        </is>
      </c>
      <c r="L1143" s="8">
        <f>HYPERLINK("https://careerviet.vn/vi/tim-viec-lam/graphics-designer-thiet-ke-do-hoa.35C6CCCD.html","Xem chi tiết")</f>
        <v/>
      </c>
    </row>
    <row r="1144">
      <c r="B1144" s="9" t="n">
        <v>1142</v>
      </c>
      <c r="C1144" s="10" t="inlineStr">
        <is>
          <t>Nhân viên Kế toán 27800 - KCN Bàu Bàng, HCM(Mới)</t>
        </is>
      </c>
      <c r="D1144" s="10" t="inlineStr">
        <is>
          <t>Công Ty TNHH Reeracoen Việt Nam</t>
        </is>
      </c>
      <c r="E1144" s="10" t="inlineStr">
        <is>
          <t>Lương:13 Tr - 19 Tr VND</t>
        </is>
      </c>
      <c r="F1144" s="10" t="inlineStr">
        <is>
          <t>Hồ Chí Minh</t>
        </is>
      </c>
      <c r="G1144" s="10" t="inlineStr">
        <is>
          <t>16-04-2026</t>
        </is>
      </c>
      <c r="H1144" s="10" t="inlineStr">
        <is>
          <t>16/04/2026</t>
        </is>
      </c>
      <c r="I1144" s="10" t="inlineStr">
        <is>
          <t>17/03/2026</t>
        </is>
      </c>
      <c r="J1144" s="10" t="inlineStr">
        <is>
          <t>Kế toán / Kiểm toán, Tài chính / Đầu tư, Ngân hàng</t>
        </is>
      </c>
      <c r="K1144" s="10" t="inlineStr">
        <is>
          <t>Trên 1 Năm</t>
        </is>
      </c>
      <c r="L1144" s="11">
        <f>HYPERLINK("https://careerviet.vn/vi/tim-viec-lam/nhan-vien-ke-toan-27800-kcn-bau-bang-hcm.35C6CCF9.html","Xem chi tiết")</f>
        <v/>
      </c>
      <c r="M1144" s="10" t="n"/>
    </row>
    <row r="1145">
      <c r="B1145" s="7" t="n">
        <v>1143</v>
      </c>
      <c r="C1145" t="inlineStr">
        <is>
          <t>Kỹ sư phần mềm – Power Platform(Mới)</t>
        </is>
      </c>
      <c r="D1145" t="inlineStr">
        <is>
          <t>Công Ty Cổ Phần A25 Hotel</t>
        </is>
      </c>
      <c r="E1145" t="inlineStr">
        <is>
          <t>Lương:15 Tr - 30 Tr VND</t>
        </is>
      </c>
      <c r="F1145" t="inlineStr">
        <is>
          <t>Hà Nội</t>
        </is>
      </c>
      <c r="G1145" t="inlineStr">
        <is>
          <t>30-04-2026</t>
        </is>
      </c>
      <c r="H1145" t="inlineStr">
        <is>
          <t>30/04/2026</t>
        </is>
      </c>
      <c r="I1145" t="inlineStr">
        <is>
          <t>17/03/2026</t>
        </is>
      </c>
      <c r="J1145" t="inlineStr">
        <is>
          <t>CNTT - Phần mềm</t>
        </is>
      </c>
      <c r="K1145" t="inlineStr">
        <is>
          <t>1 - 3 Năm</t>
        </is>
      </c>
      <c r="L1145" s="8">
        <f>HYPERLINK("https://careerviet.vn/vi/tim-viec-lam/ky-su-phan-mem-power-platform.35C6CCD3.html","Xem chi tiết")</f>
        <v/>
      </c>
    </row>
    <row r="1146">
      <c r="B1146" s="9" t="n">
        <v>1144</v>
      </c>
      <c r="C1146" s="10" t="inlineStr">
        <is>
          <t>128381 - Tiếng Nhật - Nhân viên Quản lý Đơn hàng - Ngành Vải</t>
        </is>
      </c>
      <c r="D1146" s="10" t="inlineStr">
        <is>
          <t>RGF HR Agent Vietnam Co., LTD</t>
        </is>
      </c>
      <c r="E1146" s="10" t="inlineStr">
        <is>
          <t>Lương:20 Tr - 30 Tr VND</t>
        </is>
      </c>
      <c r="F1146" s="10" t="inlineStr">
        <is>
          <t>Hồ Chí Minh</t>
        </is>
      </c>
      <c r="G1146" s="10" t="inlineStr">
        <is>
          <t>31-03-2026</t>
        </is>
      </c>
      <c r="H1146" s="10" t="inlineStr">
        <is>
          <t>31/03/2026</t>
        </is>
      </c>
      <c r="I1146" s="10" t="inlineStr">
        <is>
          <t>17/03/2026</t>
        </is>
      </c>
      <c r="J1146" s="10" t="inlineStr">
        <is>
          <t>Dệt may / Da giày / Thời trang, Vận chuyển / Giao nhận / Kho vận</t>
        </is>
      </c>
      <c r="K1146" s="10" t="inlineStr">
        <is>
          <t>1 - 2 Năm</t>
        </is>
      </c>
      <c r="L1146" s="11">
        <f>HYPERLINK("https://careerviet.vn/vi/tim-viec-lam/128381-tieng-nhat-nhan-vien-quan-ly-don-hang-nganh-vai.35C6B914.html","Xem chi tiết")</f>
        <v/>
      </c>
      <c r="M1146" s="10" t="n"/>
    </row>
    <row r="1147">
      <c r="B1147" s="7" t="n">
        <v>1145</v>
      </c>
      <c r="C1147" t="inlineStr">
        <is>
          <t>Sales Admin cum GA, Accounting có Tiếng Nhật 27807 - Quận 1, HCM(Mới)</t>
        </is>
      </c>
      <c r="D1147" t="inlineStr">
        <is>
          <t>Công Ty TNHH Reeracoen Việt Nam</t>
        </is>
      </c>
      <c r="E1147" t="inlineStr">
        <is>
          <t>Lương:15 Tr - 25 Tr VND</t>
        </is>
      </c>
      <c r="F1147" t="inlineStr">
        <is>
          <t>Hồ Chí Minh</t>
        </is>
      </c>
      <c r="G1147" t="inlineStr">
        <is>
          <t>16-04-2026</t>
        </is>
      </c>
      <c r="H1147" t="inlineStr">
        <is>
          <t>16/04/2026</t>
        </is>
      </c>
      <c r="I1147" t="inlineStr">
        <is>
          <t>17/03/2026</t>
        </is>
      </c>
      <c r="J1147" t="inlineStr">
        <is>
          <t>Hành chính / Thư ký, Kế toán / Kiểm toán, Bán hàng / Kinh doanh</t>
        </is>
      </c>
      <c r="K1147" t="inlineStr">
        <is>
          <t>Trên 2 Năm</t>
        </is>
      </c>
      <c r="L1147" s="8">
        <f>HYPERLINK("https://careerviet.vn/vi/tim-viec-lam/sales-admin-cum-ga-accounting-co-tieng-nhat-27807-quan-1-hcm.35C6CCD2.html","Xem chi tiết")</f>
        <v/>
      </c>
    </row>
    <row r="1148">
      <c r="B1148" s="9" t="n">
        <v>1146</v>
      </c>
      <c r="C1148" s="10" t="inlineStr">
        <is>
          <t>Giám đốc Phòng Quan hệ khách hàng Cá nhân - BVBank Gia Lai - KV Tây Nguyên(Mới)</t>
        </is>
      </c>
      <c r="D1148" s="10" t="inlineStr">
        <is>
          <t>BVBank - Ngân hàng Bản Việt</t>
        </is>
      </c>
      <c r="E1148" s="10" t="inlineStr">
        <is>
          <t>Lương:Cạnh tranh</t>
        </is>
      </c>
      <c r="F1148" s="10" t="inlineStr">
        <is>
          <t>Gia Lai</t>
        </is>
      </c>
      <c r="G1148" s="10" t="inlineStr">
        <is>
          <t>10-04-2026</t>
        </is>
      </c>
      <c r="H1148" s="10" t="inlineStr">
        <is>
          <t>10/04/2026</t>
        </is>
      </c>
      <c r="I1148" s="10" t="inlineStr">
        <is>
          <t>17/03/2026</t>
        </is>
      </c>
      <c r="J1148" s="10" t="inlineStr">
        <is>
          <t>Ngân hàng, Tài chính / Đầu tư</t>
        </is>
      </c>
      <c r="K1148" s="10" t="inlineStr">
        <is>
          <t>3 - 4 Năm</t>
        </is>
      </c>
      <c r="L1148" s="11">
        <f>HYPERLINK("https://careerviet.vn/vi/tim-viec-lam/giam-doc-phong-quan-he-khach-hang-ca-nhan-bvbank-gia-lai-kv-tay-nguyen.35C6CCCB.html","Xem chi tiết")</f>
        <v/>
      </c>
      <c r="M1148" s="10" t="n"/>
    </row>
    <row r="1149">
      <c r="B1149" s="7" t="n">
        <v>1147</v>
      </c>
      <c r="C1149" t="inlineStr">
        <is>
          <t>Chỉ huy trưởng công trình(Mới)</t>
        </is>
      </c>
      <c r="D1149" t="inlineStr">
        <is>
          <t>CÔNG TY CỔ PHẦN ĐẦU TƯ XÂY DỰNG HÀ TIÊN</t>
        </is>
      </c>
      <c r="E1149" t="inlineStr">
        <is>
          <t>Lương:Cạnh tranh</t>
        </is>
      </c>
      <c r="F1149" t="inlineStr">
        <is>
          <t>Hồ Chí Minh</t>
        </is>
      </c>
      <c r="G1149" t="inlineStr">
        <is>
          <t>16-04-2026</t>
        </is>
      </c>
      <c r="H1149" t="inlineStr">
        <is>
          <t>16/04/2026</t>
        </is>
      </c>
      <c r="I1149" t="inlineStr">
        <is>
          <t>17/03/2026</t>
        </is>
      </c>
      <c r="J1149" t="inlineStr">
        <is>
          <t>Quản lý chất lượng (QA/QC), Kiến trúc, Xây dựng</t>
        </is>
      </c>
      <c r="K1149" t="inlineStr">
        <is>
          <t>3 - 5 Năm</t>
        </is>
      </c>
      <c r="L1149" s="8">
        <f>HYPERLINK("https://careerviet.vn/vi/tim-viec-lam/chi-huy-truong-cong-trinh.35C6CCBA.html","Xem chi tiết")</f>
        <v/>
      </c>
    </row>
    <row r="1150">
      <c r="B1150" s="9" t="n">
        <v>1148</v>
      </c>
      <c r="C1150" s="10" t="inlineStr">
        <is>
          <t>Accountant cum HR and Administration(Mới)</t>
        </is>
      </c>
      <c r="D1150" s="10" t="inlineStr">
        <is>
          <t>N-SQUARED ECOMMERCE VIETNAM</t>
        </is>
      </c>
      <c r="E1150" s="10" t="inlineStr">
        <is>
          <t>Lương:Cạnh tranh</t>
        </is>
      </c>
      <c r="F1150" s="10" t="inlineStr">
        <is>
          <t>Hồ Chí Minh</t>
        </is>
      </c>
      <c r="G1150" s="10" t="inlineStr">
        <is>
          <t>30-04-2026</t>
        </is>
      </c>
      <c r="H1150" s="10" t="inlineStr">
        <is>
          <t>30/04/2026</t>
        </is>
      </c>
      <c r="I1150" s="10" t="inlineStr">
        <is>
          <t>17/03/2026</t>
        </is>
      </c>
      <c r="J1150" s="10" t="inlineStr">
        <is>
          <t>Kế toán / Kiểm toán, Nhân sự, Hành chính / Thư ký</t>
        </is>
      </c>
      <c r="K1150" s="10" t="inlineStr">
        <is>
          <t>1 - 2 Năm</t>
        </is>
      </c>
      <c r="L1150" s="11">
        <f>HYPERLINK("https://careerviet.vn/vi/tim-viec-lam/accountant-cum-hr-and-administration.35C6CCAC.html","Xem chi tiết")</f>
        <v/>
      </c>
      <c r="M1150" s="10" t="n"/>
    </row>
    <row r="1151">
      <c r="B1151" s="7" t="n">
        <v>1149</v>
      </c>
      <c r="C1151" t="inlineStr">
        <is>
          <t>GIÁM SÁT THI CÔNG CƠ ĐIỆN (MEPF)(Mới)</t>
        </is>
      </c>
      <c r="D1151" t="inlineStr">
        <is>
          <t>Công ty Cổ Phần Kỹ Thuật Và Thương Mại H.T.G</t>
        </is>
      </c>
      <c r="E1151" t="inlineStr">
        <is>
          <t>Lương:12 Tr - 25 Tr VND</t>
        </is>
      </c>
      <c r="F1151" t="inlineStr">
        <is>
          <t>Đồng NaiHưng YênĐồng Tháp</t>
        </is>
      </c>
      <c r="G1151" t="inlineStr">
        <is>
          <t>29-04-2026</t>
        </is>
      </c>
      <c r="H1151" t="inlineStr">
        <is>
          <t>29/04/2026</t>
        </is>
      </c>
      <c r="I1151" t="inlineStr">
        <is>
          <t>17/03/2026</t>
        </is>
      </c>
      <c r="J1151" t="inlineStr">
        <is>
          <t>Điện / Điện tử / Điện lạnh / Điện công nghiệp</t>
        </is>
      </c>
      <c r="K1151" t="inlineStr">
        <is>
          <t>Chưa có kinh nghiệm</t>
        </is>
      </c>
      <c r="L1151" s="8">
        <f>HYPERLINK("https://careerviet.vn/vi/tim-viec-lam/giam-sat-thi-cong-co-dien-mepf.35C6C9CA.html","Xem chi tiết")</f>
        <v/>
      </c>
    </row>
    <row r="1152">
      <c r="B1152" s="9" t="n">
        <v>1150</v>
      </c>
      <c r="C1152" s="10" t="inlineStr">
        <is>
          <t>[HO] Talent Acquisition Executive (Sales &amp; BO)(Mới)</t>
        </is>
      </c>
      <c r="D1152" s="10" t="inlineStr">
        <is>
          <t>Công Ty Tài Chính Mirae Asset (Việt Nam)</t>
        </is>
      </c>
      <c r="E1152" s="10" t="inlineStr">
        <is>
          <t>Lương:Cạnh tranh</t>
        </is>
      </c>
      <c r="F1152" s="10" t="inlineStr">
        <is>
          <t>Hồ Chí Minh</t>
        </is>
      </c>
      <c r="G1152" s="10" t="inlineStr">
        <is>
          <t>16-03-2026</t>
        </is>
      </c>
      <c r="H1152" s="10" t="inlineStr">
        <is>
          <t>15/03/2026</t>
        </is>
      </c>
      <c r="I1152" s="10" t="inlineStr">
        <is>
          <t>17/03/2026</t>
        </is>
      </c>
      <c r="J1152" s="10" t="inlineStr">
        <is>
          <t>Ngân hàng, Nhân sự, Tài chính / Đầu tư</t>
        </is>
      </c>
      <c r="K1152" s="10" t="inlineStr">
        <is>
          <t>Trên 3 Năm</t>
        </is>
      </c>
      <c r="L1152" s="11">
        <f>HYPERLINK("https://careerviet.vn/vi/tim-viec-lam/ho-talent-acquisition-executive-sales-bo.35C6CB39.html","Xem chi tiết")</f>
        <v/>
      </c>
      <c r="M1152" s="10" t="n"/>
    </row>
    <row r="1153">
      <c r="B1153" s="7" t="n">
        <v>1151</v>
      </c>
      <c r="C1153" t="inlineStr">
        <is>
          <t>Nhân Viên Vận Hành ( Máy in UV ) ( Nhà Máy Karofi Hưng Yên )(Mới)</t>
        </is>
      </c>
      <c r="D1153" t="inlineStr">
        <is>
          <t>Tập Đoàn Karofi Holding</t>
        </is>
      </c>
      <c r="E1153" t="inlineStr">
        <is>
          <t>Lương:9 Tr - 12 Tr VND</t>
        </is>
      </c>
      <c r="F1153" t="inlineStr">
        <is>
          <t>Hưng Yên</t>
        </is>
      </c>
      <c r="G1153" t="inlineStr">
        <is>
          <t>13-05-2026</t>
        </is>
      </c>
      <c r="H1153" t="inlineStr">
        <is>
          <t>13/05/2026</t>
        </is>
      </c>
      <c r="I1153" t="inlineStr">
        <is>
          <t>17/03/2026</t>
        </is>
      </c>
      <c r="J1153" t="inlineStr">
        <is>
          <t>Cơ khí / Ô tô / Tự động hóa, Sản xuất / Vận hành sản xuất, Điện / Điện tử / Điện lạnh / Điện công nghiệp</t>
        </is>
      </c>
      <c r="K1153" t="inlineStr">
        <is>
          <t>Chưa có kinh nghiệm</t>
        </is>
      </c>
      <c r="L1153" s="8">
        <f>HYPERLINK("https://careerviet.vn/vi/tim-viec-lam/nhan-vien-van-hanh-may-in-uv-nha-may-karofi-hung-yen.35C6CB30.html","Xem chi tiết")</f>
        <v/>
      </c>
    </row>
    <row r="1154">
      <c r="B1154" s="9" t="n">
        <v>1152</v>
      </c>
      <c r="C1154" s="10" t="inlineStr">
        <is>
          <t>Nhân viên Hành chính Văn phòng (Sales Support)(Mới)</t>
        </is>
      </c>
      <c r="D1154" s="10" t="inlineStr">
        <is>
          <t>Dai-ichi Life Việt Nam</t>
        </is>
      </c>
      <c r="E1154" s="10" t="inlineStr">
        <is>
          <t>Lương:7 Tr - 7 Tr VND</t>
        </is>
      </c>
      <c r="F1154" s="10" t="inlineStr">
        <is>
          <t>Lai Châu</t>
        </is>
      </c>
      <c r="G1154" s="10" t="inlineStr">
        <is>
          <t>30-04-2026</t>
        </is>
      </c>
      <c r="H1154" s="10" t="inlineStr">
        <is>
          <t>30/04/2026</t>
        </is>
      </c>
      <c r="I1154" s="10" t="inlineStr">
        <is>
          <t>17/03/2026</t>
        </is>
      </c>
      <c r="J1154" s="10" t="inlineStr">
        <is>
          <t>Hành chính / Thư ký, Dịch vụ khách hàng, Tư vấn</t>
        </is>
      </c>
      <c r="K1154" s="10" t="inlineStr">
        <is>
          <t>1 - 10 Năm</t>
        </is>
      </c>
      <c r="L1154" s="11">
        <f>HYPERLINK("https://careerviet.vn/vi/tim-viec-lam/nhan-vien-hanh-chinh-van-phong-sales-support.35C6C4C9.html","Xem chi tiết")</f>
        <v/>
      </c>
      <c r="M1154" s="10" t="n"/>
    </row>
    <row r="1155">
      <c r="B1155" s="7" t="n">
        <v>1153</v>
      </c>
      <c r="C1155" t="inlineStr">
        <is>
          <t>Ecommerce Manager (TikTok Shop)(Mới)</t>
        </is>
      </c>
      <c r="D1155" t="inlineStr">
        <is>
          <t>Công Ty Cổ Phần TEECOM</t>
        </is>
      </c>
      <c r="E1155" t="inlineStr">
        <is>
          <t>Lương:Cạnh tranh</t>
        </is>
      </c>
      <c r="F1155" t="inlineStr">
        <is>
          <t>Hồ Chí Minh</t>
        </is>
      </c>
      <c r="G1155" t="inlineStr">
        <is>
          <t>10-04-2026</t>
        </is>
      </c>
      <c r="H1155" t="inlineStr">
        <is>
          <t>10/04/2026</t>
        </is>
      </c>
      <c r="I1155" t="inlineStr">
        <is>
          <t>17/03/2026</t>
        </is>
      </c>
      <c r="J1155" t="inlineStr">
        <is>
          <t>Tiếp thị / Marketing, Bán hàng / Kinh doanh, Thương mại điện tử</t>
        </is>
      </c>
      <c r="K1155" t="inlineStr">
        <is>
          <t>3 - 4 Năm</t>
        </is>
      </c>
      <c r="L1155" s="8">
        <f>HYPERLINK("https://careerviet.vn/vi/tim-viec-lam/ecommerce-manager-tiktok-shop.35C6CB1D.html","Xem chi tiết")</f>
        <v/>
      </c>
    </row>
    <row r="1156">
      <c r="B1156" s="9" t="n">
        <v>1154</v>
      </c>
      <c r="C1156" s="10" t="inlineStr">
        <is>
          <t>Chuyên viên Tư vấn Tài Chính – TP. HCM, Hà Nội &amp; Cần Thơ(Mới)</t>
        </is>
      </c>
      <c r="D1156" s="10" t="inlineStr">
        <is>
          <t>Dai-ichi Life Việt Nam</t>
        </is>
      </c>
      <c r="E1156" s="10" t="inlineStr">
        <is>
          <t>Lương:Cạnh tranh</t>
        </is>
      </c>
      <c r="F1156" s="10" t="inlineStr">
        <is>
          <t>Cần ThơHà NộiHồ Chí Minh</t>
        </is>
      </c>
      <c r="G1156" s="10" t="inlineStr">
        <is>
          <t>29-04-2026</t>
        </is>
      </c>
      <c r="H1156" s="10" t="inlineStr">
        <is>
          <t>29/04/2026</t>
        </is>
      </c>
      <c r="I1156" s="10" t="inlineStr">
        <is>
          <t>17/03/2026</t>
        </is>
      </c>
      <c r="J1156" s="10" t="inlineStr">
        <is>
          <t>Tiếp thị / Marketing, Bán hàng / Kinh doanh, Bảo hiểm</t>
        </is>
      </c>
      <c r="K1156" s="10" t="inlineStr">
        <is>
          <t>N/A</t>
        </is>
      </c>
      <c r="L1156" s="11">
        <f>HYPERLINK("https://careerviet.vn/vi/tim-viec-lam/chuyen-vien-tu-van-tai-chinh-tp-hcm-ha-noi-can-tho.35C6C500.html","Xem chi tiết")</f>
        <v/>
      </c>
      <c r="M1156" s="10" t="n"/>
    </row>
    <row r="1157">
      <c r="B1157" s="7" t="n">
        <v>1155</v>
      </c>
      <c r="C1157" t="inlineStr">
        <is>
          <t>Business Development Specialist(Mới)</t>
        </is>
      </c>
      <c r="D1157" t="inlineStr">
        <is>
          <t>Công Ty Cổ Phần TEECOM</t>
        </is>
      </c>
      <c r="E1157" t="inlineStr">
        <is>
          <t>Lương:Cạnh tranh</t>
        </is>
      </c>
      <c r="F1157" t="inlineStr">
        <is>
          <t>Hồ Chí Minh</t>
        </is>
      </c>
      <c r="G1157" t="inlineStr">
        <is>
          <t>10-04-2026</t>
        </is>
      </c>
      <c r="H1157" t="inlineStr">
        <is>
          <t>10/04/2026</t>
        </is>
      </c>
      <c r="I1157" t="inlineStr">
        <is>
          <t>17/03/2026</t>
        </is>
      </c>
      <c r="J1157" t="inlineStr">
        <is>
          <t>Thương mại điện tử, Bán lẻ / Bán sỉ, Bán hàng / Kinh doanh</t>
        </is>
      </c>
      <c r="K1157" t="inlineStr">
        <is>
          <t>2 - 4 Năm</t>
        </is>
      </c>
      <c r="L1157" s="8">
        <f>HYPERLINK("https://careerviet.vn/vi/tim-viec-lam/business-development-specialist.35C6CB16.html","Xem chi tiết")</f>
        <v/>
      </c>
    </row>
    <row r="1158">
      <c r="B1158" s="9" t="n">
        <v>1156</v>
      </c>
      <c r="C1158" s="10" t="inlineStr">
        <is>
          <t>Nhân viên chăm sóc khách hàng (Tiếng Anh) / CS officer(Mới)</t>
        </is>
      </c>
      <c r="D1158" s="10" t="inlineStr">
        <is>
          <t>Công Ty TNHH Công Nghiệp Dona Quế Bằng</t>
        </is>
      </c>
      <c r="E1158" s="10" t="inlineStr">
        <is>
          <t>Lương:Cạnh tranh</t>
        </is>
      </c>
      <c r="F1158" s="10" t="inlineStr">
        <is>
          <t>Đồng Nai</t>
        </is>
      </c>
      <c r="G1158" s="10" t="inlineStr">
        <is>
          <t>15-04-2026</t>
        </is>
      </c>
      <c r="H1158" s="10" t="inlineStr">
        <is>
          <t>15/04/2026</t>
        </is>
      </c>
      <c r="I1158" s="10" t="inlineStr">
        <is>
          <t>17/03/2026</t>
        </is>
      </c>
      <c r="J1158" s="10" t="inlineStr">
        <is>
          <t>Dệt may / Da giày / Thời trang, Tư vấn, Dịch vụ khách hàng</t>
        </is>
      </c>
      <c r="K1158" s="10" t="inlineStr">
        <is>
          <t>1 - 3 Năm</t>
        </is>
      </c>
      <c r="L1158" s="11">
        <f>HYPERLINK("https://careerviet.vn/vi/tim-viec-lam/nhan-vien-cham-soc-khach-hang-tieng-anh-cs-officer.35C6CAFC.html","Xem chi tiết")</f>
        <v/>
      </c>
      <c r="M1158" s="10" t="n"/>
    </row>
    <row r="1159">
      <c r="B1159" s="7" t="n">
        <v>1157</v>
      </c>
      <c r="C1159" t="inlineStr">
        <is>
          <t>IT Business Partner(Mới)</t>
        </is>
      </c>
      <c r="D1159" t="inlineStr">
        <is>
          <t>Công ty CP Giáo dục Quốc tế Việt Úc</t>
        </is>
      </c>
      <c r="E1159" t="inlineStr">
        <is>
          <t>Lương:Cạnh tranh</t>
        </is>
      </c>
      <c r="F1159" t="inlineStr">
        <is>
          <t>Hồ Chí Minh</t>
        </is>
      </c>
      <c r="G1159" t="inlineStr">
        <is>
          <t>17-04-2026</t>
        </is>
      </c>
      <c r="H1159" t="inlineStr">
        <is>
          <t>17/04/2026</t>
        </is>
      </c>
      <c r="I1159" t="inlineStr">
        <is>
          <t>17/03/2026</t>
        </is>
      </c>
      <c r="J1159" t="inlineStr">
        <is>
          <t>Tư vấn, Giáo dục / Đào tạo, CNTT - Phần mềm</t>
        </is>
      </c>
      <c r="K1159" t="inlineStr">
        <is>
          <t>3 - 5 Năm</t>
        </is>
      </c>
      <c r="L1159" s="8">
        <f>HYPERLINK("https://careerviet.vn/vi/tim-viec-lam/it-business-partner.35C6CCC0.html","Xem chi tiết")</f>
        <v/>
      </c>
    </row>
    <row r="1160">
      <c r="B1160" s="9" t="n">
        <v>1158</v>
      </c>
      <c r="C1160" s="10" t="inlineStr">
        <is>
          <t>Nhân Viên QC Cơ Khí(Mới)</t>
        </is>
      </c>
      <c r="D1160" s="10" t="inlineStr">
        <is>
          <t>CÔNG TY TNHH SẢN XUẤT THƯƠNG MẠI DỊCH VỤ VẠN ĐỒNG PHÁT</t>
        </is>
      </c>
      <c r="E1160" s="10" t="inlineStr">
        <is>
          <t>Lương:9 Tr - 13 Tr VND</t>
        </is>
      </c>
      <c r="F1160" s="10" t="inlineStr">
        <is>
          <t>Đồng Nai</t>
        </is>
      </c>
      <c r="G1160" s="10" t="inlineStr">
        <is>
          <t>15-04-2026</t>
        </is>
      </c>
      <c r="H1160" s="10" t="inlineStr">
        <is>
          <t>15/04/2026</t>
        </is>
      </c>
      <c r="I1160" s="10" t="inlineStr">
        <is>
          <t>17/03/2026</t>
        </is>
      </c>
      <c r="J1160" s="10" t="inlineStr">
        <is>
          <t>Cơ khí / Ô tô / Tự động hóa, Sản xuất / Vận hành sản xuất, Quản lý chất lượng (QA/QC)</t>
        </is>
      </c>
      <c r="K1160" s="10" t="inlineStr">
        <is>
          <t>N/A</t>
        </is>
      </c>
      <c r="L1160" s="11">
        <f>HYPERLINK("https://careerviet.vn/vi/tim-viec-lam/nhan-vien-qc-co-khi.35C6CB02.html","Xem chi tiết")</f>
        <v/>
      </c>
      <c r="M1160" s="10" t="n"/>
    </row>
    <row r="1161">
      <c r="B1161" s="7" t="n">
        <v>1159</v>
      </c>
      <c r="C1161" t="inlineStr">
        <is>
          <t>Trợ Lý Nghệ Sĩ  (Biết lái xe)(Mới)</t>
        </is>
      </c>
      <c r="D1161" t="inlineStr">
        <is>
          <t>CÔNG TY TNHH QUANG TRUNG ENTERTAINMENT</t>
        </is>
      </c>
      <c r="E1161" t="inlineStr">
        <is>
          <t>Lương:Cạnh tranh</t>
        </is>
      </c>
      <c r="F1161" t="inlineStr">
        <is>
          <t>Hồ Chí Minh</t>
        </is>
      </c>
      <c r="G1161" t="inlineStr">
        <is>
          <t>13-04-2026</t>
        </is>
      </c>
      <c r="H1161" t="inlineStr">
        <is>
          <t>13/04/2026</t>
        </is>
      </c>
      <c r="I1161" t="inlineStr">
        <is>
          <t>17/03/2026</t>
        </is>
      </c>
      <c r="J1161" t="inlineStr">
        <is>
          <t>Mỹ thuật / Nghệ thuật / Thiết kế</t>
        </is>
      </c>
      <c r="K1161" t="inlineStr">
        <is>
          <t>N/A</t>
        </is>
      </c>
      <c r="L1161" s="8">
        <f>HYPERLINK("https://careerviet.vn/vi/tim-viec-lam/tro-ly-nghe-si-biet-lai-xe.35C6C6A4.html","Xem chi tiết")</f>
        <v/>
      </c>
    </row>
    <row r="1162">
      <c r="B1162" s="9" t="n">
        <v>1160</v>
      </c>
      <c r="C1162" s="10" t="inlineStr">
        <is>
          <t>[Hà Nội] Trưởng bộ phận khách hàng cá nhân(Mới)</t>
        </is>
      </c>
      <c r="D1162" s="10" t="inlineStr">
        <is>
          <t>Ngân hàng TMCP Phát triển TP.HCM (HDBank)</t>
        </is>
      </c>
      <c r="E1162" s="10" t="inlineStr">
        <is>
          <t>Lương:20 Tr - 30 Tr VND</t>
        </is>
      </c>
      <c r="F1162" s="10" t="inlineStr">
        <is>
          <t>Hà Nội</t>
        </is>
      </c>
      <c r="G1162" s="10" t="inlineStr">
        <is>
          <t>15-04-2026</t>
        </is>
      </c>
      <c r="H1162" s="10" t="inlineStr">
        <is>
          <t>15/04/2026</t>
        </is>
      </c>
      <c r="I1162" s="10" t="inlineStr">
        <is>
          <t>17/03/2026</t>
        </is>
      </c>
      <c r="J1162" s="10" t="inlineStr">
        <is>
          <t>Ngân hàng, Bảo hiểm, Tài chính / Đầu tư</t>
        </is>
      </c>
      <c r="K1162" s="10" t="inlineStr">
        <is>
          <t>3 - 10 Năm</t>
        </is>
      </c>
      <c r="L1162" s="11">
        <f>HYPERLINK("https://careerviet.vn/vi/tim-viec-lam/ha-noi-truong-bo-phan-khach-hang-ca-nhan.35C6CB29.html","Xem chi tiết")</f>
        <v/>
      </c>
      <c r="M1162" s="10" t="n"/>
    </row>
    <row r="1163">
      <c r="B1163" s="7" t="n">
        <v>1161</v>
      </c>
      <c r="C1163" t="inlineStr">
        <is>
          <t>Nhân viên Kỹ Thuật(Mới)</t>
        </is>
      </c>
      <c r="D1163" t="inlineStr">
        <is>
          <t>Công ty TNHH Thương Mại ABICO Việt Nam</t>
        </is>
      </c>
      <c r="E1163" t="inlineStr">
        <is>
          <t>Lương:9 Tr - 10 Tr VND</t>
        </is>
      </c>
      <c r="F1163" t="inlineStr">
        <is>
          <t>Hồ Chí Minh</t>
        </is>
      </c>
      <c r="G1163" t="inlineStr">
        <is>
          <t>30-04-2026</t>
        </is>
      </c>
      <c r="H1163" t="inlineStr">
        <is>
          <t>30/04/2026</t>
        </is>
      </c>
      <c r="I1163" t="inlineStr">
        <is>
          <t>17/03/2026</t>
        </is>
      </c>
      <c r="J1163" t="inlineStr">
        <is>
          <t>CNTT - Phần mềm, CNTT - Phần cứng / Mạng</t>
        </is>
      </c>
      <c r="K1163" t="inlineStr">
        <is>
          <t>Trên 1 Năm</t>
        </is>
      </c>
      <c r="L1163" s="8">
        <f>HYPERLINK("https://careerviet.vn/vi/tim-viec-lam/nhan-vien-ky-thuat.35C6CB2D.html","Xem chi tiết")</f>
        <v/>
      </c>
    </row>
    <row r="1164">
      <c r="B1164" s="9" t="n">
        <v>1162</v>
      </c>
      <c r="C1164" s="10" t="inlineStr">
        <is>
          <t>Chuyên viên Khách hàng doanh nghiệp FDI(Mới)</t>
        </is>
      </c>
      <c r="D1164" s="10" t="inlineStr">
        <is>
          <t>Tổng Công Ty Cổ Phần Bảo Hiểm Ngân Hàng TMCP Công Thương Việt Nam</t>
        </is>
      </c>
      <c r="E1164" s="10" t="inlineStr">
        <is>
          <t>Lương:Cạnh tranh</t>
        </is>
      </c>
      <c r="F1164" s="10" t="inlineStr">
        <is>
          <t>Hà Nội</t>
        </is>
      </c>
      <c r="G1164" s="10" t="inlineStr">
        <is>
          <t>29-04-2026</t>
        </is>
      </c>
      <c r="H1164" s="10" t="inlineStr">
        <is>
          <t>29/04/2026</t>
        </is>
      </c>
      <c r="I1164" s="10" t="inlineStr">
        <is>
          <t>17/03/2026</t>
        </is>
      </c>
      <c r="J1164" s="10" t="inlineStr">
        <is>
          <t>Ngân hàng, Bảo hiểm, Bán hàng / Kinh doanh</t>
        </is>
      </c>
      <c r="K1164" s="10" t="inlineStr">
        <is>
          <t>1 - 5 Năm</t>
        </is>
      </c>
      <c r="L1164" s="11">
        <f>HYPERLINK("https://careerviet.vn/vi/tim-viec-lam/chuyen-vien-khach-hang-doanh-nghiep-fdi.35C6CAF4.html","Xem chi tiết")</f>
        <v/>
      </c>
      <c r="M1164" s="10" t="n"/>
    </row>
    <row r="1165">
      <c r="B1165" s="7" t="n">
        <v>1163</v>
      </c>
      <c r="C1165" t="inlineStr">
        <is>
          <t>Nhân Viên Chứng Từ Khai Báo Hải Quan(Mới)</t>
        </is>
      </c>
      <c r="D1165" t="inlineStr">
        <is>
          <t>CÔNG TY CỔ PHẦN SAS LOGISTICS</t>
        </is>
      </c>
      <c r="E1165" t="inlineStr">
        <is>
          <t>Lương:Cạnh tranh</t>
        </is>
      </c>
      <c r="F1165" t="inlineStr">
        <is>
          <t>Hồ Chí Minh</t>
        </is>
      </c>
      <c r="G1165" t="inlineStr">
        <is>
          <t>15-04-2026</t>
        </is>
      </c>
      <c r="H1165" t="inlineStr">
        <is>
          <t>15/04/2026</t>
        </is>
      </c>
      <c r="I1165" t="inlineStr">
        <is>
          <t>17/03/2026</t>
        </is>
      </c>
      <c r="J1165" t="inlineStr">
        <is>
          <t>Xuất nhập khẩu, Hành chính / Thư ký, Vận chuyển / Giao nhận / Kho vận</t>
        </is>
      </c>
      <c r="K1165" t="inlineStr">
        <is>
          <t>2 - 3 Năm</t>
        </is>
      </c>
      <c r="L1165" s="8">
        <f>HYPERLINK("https://careerviet.vn/vi/tim-viec-lam/nhan-vien-chung-tu-khai-bao-hai-quan.35C6CAD6.html","Xem chi tiết")</f>
        <v/>
      </c>
    </row>
    <row r="1166">
      <c r="B1166" s="9" t="n">
        <v>1164</v>
      </c>
      <c r="C1166" s="10" t="inlineStr">
        <is>
          <t>Chuyên Viên Mua hàng(Mới)</t>
        </is>
      </c>
      <c r="D1166" s="10" t="inlineStr">
        <is>
          <t>CÔNG TY CỔ PHẦN ĐẦU TƯ THƯƠNG MẠI NHẬT TIẾN</t>
        </is>
      </c>
      <c r="E1166" s="10" t="inlineStr">
        <is>
          <t>Lương:12 Tr - 20 Tr VND</t>
        </is>
      </c>
      <c r="F1166" s="10" t="inlineStr">
        <is>
          <t>Hồ Chí Minh</t>
        </is>
      </c>
      <c r="G1166" s="10" t="inlineStr">
        <is>
          <t>31-03-2026</t>
        </is>
      </c>
      <c r="H1166" s="10" t="inlineStr">
        <is>
          <t>31/03/2026</t>
        </is>
      </c>
      <c r="I1166" s="10" t="inlineStr">
        <is>
          <t>17/03/2026</t>
        </is>
      </c>
      <c r="J1166" s="10" t="inlineStr">
        <is>
          <t>Thu mua / Vật tư, Bán hàng / Kinh doanh</t>
        </is>
      </c>
      <c r="K1166" s="10" t="inlineStr">
        <is>
          <t>Trên 2 Năm</t>
        </is>
      </c>
      <c r="L1166" s="11">
        <f>HYPERLINK("https://careerviet.vn/vi/tim-viec-lam/chuyen-vien-mua-hang.35C6CAF0.html","Xem chi tiết")</f>
        <v/>
      </c>
      <c r="M1166" s="10" t="n"/>
    </row>
    <row r="1167">
      <c r="B1167" s="7" t="n">
        <v>1165</v>
      </c>
      <c r="C1167" t="inlineStr">
        <is>
          <t>Admin Manager  - Manufacturing(Mới)</t>
        </is>
      </c>
      <c r="D1167" t="inlineStr">
        <is>
          <t>Bảo mật</t>
        </is>
      </c>
      <c r="E1167" t="inlineStr">
        <is>
          <t>Lương:Cạnh tranh</t>
        </is>
      </c>
      <c r="F1167" t="inlineStr">
        <is>
          <t>Bình Dương</t>
        </is>
      </c>
      <c r="G1167" t="inlineStr">
        <is>
          <t>31-05-2026</t>
        </is>
      </c>
      <c r="H1167" t="inlineStr">
        <is>
          <t>31/05/2026</t>
        </is>
      </c>
      <c r="I1167" t="inlineStr">
        <is>
          <t>17/03/2026</t>
        </is>
      </c>
      <c r="J1167" t="inlineStr">
        <is>
          <t>Hành chính / Thư ký</t>
        </is>
      </c>
      <c r="K1167" t="inlineStr">
        <is>
          <t>7 - 10 Năm</t>
        </is>
      </c>
      <c r="L1167" s="8">
        <f>HYPERLINK("https://careerviet.vn/vi/tim-viec-lam/admin-manager-manufacturing.35C6CAC6.html","Xem chi tiết")</f>
        <v/>
      </c>
    </row>
    <row r="1168">
      <c r="B1168" s="9" t="n">
        <v>1166</v>
      </c>
      <c r="C1168" s="10" t="inlineStr">
        <is>
          <t>Nhân viên tài xế(Mới)</t>
        </is>
      </c>
      <c r="D1168" s="10" t="inlineStr">
        <is>
          <t>CÔNG TY CỔ PHẦN XÂY DỰNG &amp; THƯƠNG MẠI SÀI GÒN 9</t>
        </is>
      </c>
      <c r="E1168" s="10" t="inlineStr">
        <is>
          <t>Lương:13 Tr - 15 Tr VND</t>
        </is>
      </c>
      <c r="F1168" s="10" t="inlineStr">
        <is>
          <t>Hồ Chí Minh</t>
        </is>
      </c>
      <c r="G1168" s="10" t="inlineStr">
        <is>
          <t>16-04-2026</t>
        </is>
      </c>
      <c r="H1168" s="10" t="inlineStr">
        <is>
          <t>16/04/2026</t>
        </is>
      </c>
      <c r="I1168" s="10" t="inlineStr">
        <is>
          <t>17/03/2026</t>
        </is>
      </c>
      <c r="J1168" s="10" t="inlineStr">
        <is>
          <t>An Ninh / Bảo Vệ, Bất động sản</t>
        </is>
      </c>
      <c r="K1168" s="10" t="inlineStr">
        <is>
          <t>5 - 10 Năm</t>
        </is>
      </c>
      <c r="L1168" s="11">
        <f>HYPERLINK("https://careerviet.vn/vi/tim-viec-lam/nhan-vien-tai-xe.35C6CB3B.html","Xem chi tiết")</f>
        <v/>
      </c>
      <c r="M1168" s="10" t="n"/>
    </row>
    <row r="1169">
      <c r="B1169" s="7" t="n">
        <v>1167</v>
      </c>
      <c r="C1169" t="inlineStr">
        <is>
          <t>Production Planning Leader / Tổ trưởng kế hoạch sản xuất(Mới)</t>
        </is>
      </c>
      <c r="D1169" t="inlineStr">
        <is>
          <t>CÔNG TY CỔ PHẦN CHẾ BIẾN THỰC PHẨM HOÀNG SƠN</t>
        </is>
      </c>
      <c r="E1169" t="inlineStr">
        <is>
          <t>Lương:12 Tr - 15 Tr VND</t>
        </is>
      </c>
      <c r="F1169" t="inlineStr">
        <is>
          <t>Bình Dương</t>
        </is>
      </c>
      <c r="G1169" t="inlineStr">
        <is>
          <t>30-04-2026</t>
        </is>
      </c>
      <c r="H1169" t="inlineStr">
        <is>
          <t>30/04/2026</t>
        </is>
      </c>
      <c r="I1169" t="inlineStr">
        <is>
          <t>17/03/2026</t>
        </is>
      </c>
      <c r="J1169" t="inlineStr">
        <is>
          <t>Sản xuất / Vận hành sản xuất, Vận chuyển / Giao nhận / Kho vận, Quản lý điều hành</t>
        </is>
      </c>
      <c r="K1169" t="inlineStr">
        <is>
          <t>2 - 3 Năm</t>
        </is>
      </c>
      <c r="L1169" s="8">
        <f>HYPERLINK("https://careerviet.vn/vi/tim-viec-lam/production-planning-leader-to-truong-ke-hoach-san-xuat.35C6CAD8.html","Xem chi tiết")</f>
        <v/>
      </c>
    </row>
    <row r="1170">
      <c r="B1170" s="9" t="n">
        <v>1168</v>
      </c>
      <c r="C1170" s="10" t="inlineStr">
        <is>
          <t>TRƯỞNG PHÒNG THIẾT KẾ GIÀY DÉP(Mới)</t>
        </is>
      </c>
      <c r="D1170" s="10" t="inlineStr">
        <is>
          <t>Công Ty CP  Đầu Tư Và Phát Triển Việt Á Châu</t>
        </is>
      </c>
      <c r="E1170" s="10" t="inlineStr">
        <is>
          <t>Lương:22 Tr - 25 Tr VND</t>
        </is>
      </c>
      <c r="F1170" s="10" t="inlineStr">
        <is>
          <t>Hồ Chí Minh</t>
        </is>
      </c>
      <c r="G1170" s="10" t="inlineStr">
        <is>
          <t>15-04-2026</t>
        </is>
      </c>
      <c r="H1170" s="10" t="inlineStr">
        <is>
          <t>15/04/2026</t>
        </is>
      </c>
      <c r="I1170" s="10" t="inlineStr">
        <is>
          <t>17/03/2026</t>
        </is>
      </c>
      <c r="J1170" s="10" t="inlineStr">
        <is>
          <t>Mỹ thuật / Nghệ thuật / Thiết kế, Sản xuất / Vận hành sản xuất, Dệt may / Da giày / Thời trang</t>
        </is>
      </c>
      <c r="K1170" s="10" t="inlineStr">
        <is>
          <t>Lên đến 5 Năm</t>
        </is>
      </c>
      <c r="L1170" s="11">
        <f>HYPERLINK("https://careerviet.vn/vi/tim-viec-lam/truong-phong-thiet-ke-giay-dep.35C6C810.html","Xem chi tiết")</f>
        <v/>
      </c>
      <c r="M1170" s="10" t="n"/>
    </row>
    <row r="1171">
      <c r="B1171" s="7" t="n">
        <v>1169</v>
      </c>
      <c r="C1171" t="inlineStr">
        <is>
          <t>Kế toán tổng hợp(Mới)</t>
        </is>
      </c>
      <c r="D1171" t="inlineStr">
        <is>
          <t>CÔNG TY TNHH XNK CUỘC SỐNG TƯƠI ĐẸP</t>
        </is>
      </c>
      <c r="E1171" t="inlineStr">
        <is>
          <t>Lương:17 Tr - 20 Tr VND</t>
        </is>
      </c>
      <c r="F1171" t="inlineStr">
        <is>
          <t>Hồ Chí Minh</t>
        </is>
      </c>
      <c r="G1171" t="inlineStr">
        <is>
          <t>16-04-2026</t>
        </is>
      </c>
      <c r="H1171" t="inlineStr">
        <is>
          <t>16/04/2026</t>
        </is>
      </c>
      <c r="I1171" t="inlineStr">
        <is>
          <t>17/03/2026</t>
        </is>
      </c>
      <c r="J1171" t="inlineStr">
        <is>
          <t>Kế toán / Kiểm toán</t>
        </is>
      </c>
      <c r="K1171" t="inlineStr">
        <is>
          <t>3 - 10 Năm</t>
        </is>
      </c>
      <c r="L1171" s="8">
        <f>HYPERLINK("https://careerviet.vn/vi/tim-viec-lam/ke-toan-tong-hop.35C6CA89.html","Xem chi tiết")</f>
        <v/>
      </c>
    </row>
    <row r="1172">
      <c r="B1172" s="9" t="n">
        <v>1170</v>
      </c>
      <c r="C1172" s="10" t="inlineStr">
        <is>
          <t>Nhân viên Quay Dựng - Edit Video(Mới)</t>
        </is>
      </c>
      <c r="D1172" s="10" t="inlineStr">
        <is>
          <t>Công ty TNHH Dược phẩm Lavifa</t>
        </is>
      </c>
      <c r="E1172" s="10" t="inlineStr">
        <is>
          <t>Lương:11 Tr - 13 Tr VND</t>
        </is>
      </c>
      <c r="F1172" s="10" t="inlineStr">
        <is>
          <t>Hồ Chí Minh</t>
        </is>
      </c>
      <c r="G1172" s="10" t="inlineStr">
        <is>
          <t>30-04-2026</t>
        </is>
      </c>
      <c r="H1172" s="10" t="inlineStr">
        <is>
          <t>30/04/2026</t>
        </is>
      </c>
      <c r="I1172" s="10" t="inlineStr">
        <is>
          <t>17/03/2026</t>
        </is>
      </c>
      <c r="J1172" s="10" t="inlineStr">
        <is>
          <t>Tiếp thị / Marketing, Truyền hình / Báo chí / Biên tập, Quảng cáo / Đối ngoại / Truyền Thông</t>
        </is>
      </c>
      <c r="K1172" s="10" t="inlineStr">
        <is>
          <t>1 - 2 Năm</t>
        </is>
      </c>
      <c r="L1172" s="11">
        <f>HYPERLINK("https://careerviet.vn/vi/tim-viec-lam/nhan-vien-quay-dung-edit-video.35C6C752.html","Xem chi tiết")</f>
        <v/>
      </c>
      <c r="M1172" s="10" t="n"/>
    </row>
    <row r="1173">
      <c r="B1173" s="7" t="n">
        <v>1171</v>
      </c>
      <c r="C1173" t="inlineStr">
        <is>
          <t>Nhân Viên Kỹ Thuật Cơ Điện(Mới)</t>
        </is>
      </c>
      <c r="D1173" t="inlineStr">
        <is>
          <t>Công ty TNHH Kỹ thuật Thiên Hạt</t>
        </is>
      </c>
      <c r="E1173" t="inlineStr">
        <is>
          <t>Lương:9 Tr - 11 Tr VND</t>
        </is>
      </c>
      <c r="F1173" t="inlineStr">
        <is>
          <t>Hồ Chí Minh</t>
        </is>
      </c>
      <c r="G1173" t="inlineStr">
        <is>
          <t>20-04-2026</t>
        </is>
      </c>
      <c r="H1173" t="inlineStr">
        <is>
          <t>20/04/2026</t>
        </is>
      </c>
      <c r="I1173" t="inlineStr">
        <is>
          <t>17/03/2026</t>
        </is>
      </c>
      <c r="J1173" t="inlineStr">
        <is>
          <t>Cơ khí / Ô tô / Tự động hóa, Điện / Điện tử / Điện lạnh / Điện công nghiệp, Bảo trì / Sửa chữa</t>
        </is>
      </c>
      <c r="K1173" t="inlineStr">
        <is>
          <t>1 - 2 Năm</t>
        </is>
      </c>
      <c r="L1173" s="8">
        <f>HYPERLINK("https://careerviet.vn/vi/tim-viec-lam/nhan-vien-ky-thuat-co-dien.35C65D3A.html","Xem chi tiết")</f>
        <v/>
      </c>
    </row>
    <row r="1174">
      <c r="B1174" s="9" t="n">
        <v>1172</v>
      </c>
      <c r="C1174" s="10" t="inlineStr">
        <is>
          <t>Nhân Viên Kinh Doanh Ô Tô Hyundai(Mới)</t>
        </is>
      </c>
      <c r="D1174" s="10" t="inlineStr">
        <is>
          <t>CÔNG TY TNHH Ô TÔ GIA ĐỊNH</t>
        </is>
      </c>
      <c r="E1174" s="10" t="inlineStr">
        <is>
          <t>Lương:9 Tr - 27 Tr VND</t>
        </is>
      </c>
      <c r="F1174" s="10" t="inlineStr">
        <is>
          <t>Hồ Chí Minh</t>
        </is>
      </c>
      <c r="G1174" s="10" t="inlineStr">
        <is>
          <t>12-04-2026</t>
        </is>
      </c>
      <c r="H1174" s="10" t="inlineStr">
        <is>
          <t>12/04/2026</t>
        </is>
      </c>
      <c r="I1174" s="10" t="inlineStr">
        <is>
          <t>17/03/2026</t>
        </is>
      </c>
      <c r="J1174" s="10" t="inlineStr">
        <is>
          <t>Bán hàng / Kinh doanh, Cơ khí / Ô tô / Tự động hóa, Mới tốt nghiệp / Thực tập</t>
        </is>
      </c>
      <c r="K1174" s="10" t="inlineStr">
        <is>
          <t>N/A</t>
        </is>
      </c>
      <c r="L1174" s="11">
        <f>HYPERLINK("https://careerviet.vn/vi/tim-viec-lam/nhan-vien-kinh-doanh-o-to-hyundai.35C6C743.html","Xem chi tiết")</f>
        <v/>
      </c>
      <c r="M1174" s="10" t="n"/>
    </row>
    <row r="1175">
      <c r="B1175" s="7" t="n">
        <v>1173</v>
      </c>
      <c r="C1175" t="inlineStr">
        <is>
          <t>Trưởng nhóm Admin(Mới)</t>
        </is>
      </c>
      <c r="D1175" t="inlineStr">
        <is>
          <t>CONA LAND REAL ESTATE - CÔNG TY CỔ PHẦN BẤT ĐỘNG SẢN CONA LAND</t>
        </is>
      </c>
      <c r="E1175" t="inlineStr">
        <is>
          <t>Lương:13 Tr - 20 Tr VND</t>
        </is>
      </c>
      <c r="F1175" t="inlineStr">
        <is>
          <t>Hồ Chí Minh</t>
        </is>
      </c>
      <c r="G1175" t="inlineStr">
        <is>
          <t>16-04-2026</t>
        </is>
      </c>
      <c r="H1175" t="inlineStr">
        <is>
          <t>16/04/2026</t>
        </is>
      </c>
      <c r="I1175" t="inlineStr">
        <is>
          <t>17/03/2026</t>
        </is>
      </c>
      <c r="J1175" t="inlineStr">
        <is>
          <t>Bất động sản</t>
        </is>
      </c>
      <c r="K1175" t="inlineStr">
        <is>
          <t>2 - 3 Năm</t>
        </is>
      </c>
      <c r="L1175" s="8">
        <f>HYPERLINK("https://careerviet.vn/vi/tim-viec-lam/truong-nhom-admin.35C6CB2C.html","Xem chi tiết")</f>
        <v/>
      </c>
    </row>
    <row r="1176">
      <c r="B1176" s="9" t="n">
        <v>1174</v>
      </c>
      <c r="C1176" s="10" t="inlineStr">
        <is>
          <t>Admin (Central Kitchen)(Mới)</t>
        </is>
      </c>
      <c r="D1176" s="10" t="inlineStr">
        <is>
          <t>Viet Thai International</t>
        </is>
      </c>
      <c r="E1176" s="10" t="inlineStr">
        <is>
          <t>Lương:Cạnh tranh</t>
        </is>
      </c>
      <c r="F1176" s="10" t="inlineStr">
        <is>
          <t>Hồ Chí Minh</t>
        </is>
      </c>
      <c r="G1176" s="10" t="inlineStr">
        <is>
          <t>18-04-2026</t>
        </is>
      </c>
      <c r="H1176" s="10" t="inlineStr">
        <is>
          <t>18/04/2026</t>
        </is>
      </c>
      <c r="I1176" s="10" t="inlineStr">
        <is>
          <t>17/03/2026</t>
        </is>
      </c>
      <c r="J1176" s="10" t="inlineStr">
        <is>
          <t>Hành chính / Thư ký, Dịch vụ khách hàng, Thực phẩm &amp; Đồ uống</t>
        </is>
      </c>
      <c r="K1176" s="10" t="inlineStr">
        <is>
          <t>Chưa có kinh nghiệm</t>
        </is>
      </c>
      <c r="L1176" s="11">
        <f>HYPERLINK("https://careerviet.vn/vi/tim-viec-lam/admin-central-kitchen.35C6CAB4.html","Xem chi tiết")</f>
        <v/>
      </c>
      <c r="M1176" s="10" t="n"/>
    </row>
    <row r="1177">
      <c r="B1177" s="7" t="n">
        <v>1175</v>
      </c>
      <c r="C1177" t="inlineStr">
        <is>
          <t>Chuyên viên Cao cấp Phát triển Đối tác liên kết - Ngân hàng Bảo hiểm &amp; Phát triển Đối tác liên kết(Mới)</t>
        </is>
      </c>
      <c r="D1177" t="inlineStr">
        <is>
          <t>Ngân hàng TMCP Phát triển TP.HCM (HDBank)</t>
        </is>
      </c>
      <c r="E1177" t="inlineStr">
        <is>
          <t>Lương:Cạnh tranh</t>
        </is>
      </c>
      <c r="F1177" t="inlineStr">
        <is>
          <t>Hồ Chí Minh</t>
        </is>
      </c>
      <c r="G1177" t="inlineStr">
        <is>
          <t>31-03-2026</t>
        </is>
      </c>
      <c r="H1177" t="inlineStr">
        <is>
          <t>31/03/2026</t>
        </is>
      </c>
      <c r="I1177" t="inlineStr">
        <is>
          <t>17/03/2026</t>
        </is>
      </c>
      <c r="J1177" t="inlineStr">
        <is>
          <t>Ngân hàng, Bảo hiểm</t>
        </is>
      </c>
      <c r="K1177" t="inlineStr">
        <is>
          <t>Trên 2 Năm</t>
        </is>
      </c>
      <c r="L1177" s="8">
        <f>HYPERLINK("https://careerviet.vn/vi/tim-viec-lam/chuyen-vien-cao-cap-phat-trien-doi-tac-lien-ket-ngan-hang-bao-hiem-phat-trien-doi-tac-lien-ket.35C6CAB0.html","Xem chi tiết")</f>
        <v/>
      </c>
    </row>
    <row r="1178">
      <c r="B1178" s="9" t="n">
        <v>1176</v>
      </c>
      <c r="C1178" s="10" t="inlineStr">
        <is>
          <t>Nhân viên tuyển dụng(Mới)</t>
        </is>
      </c>
      <c r="D1178" s="10" t="inlineStr">
        <is>
          <t>Bảo mật</t>
        </is>
      </c>
      <c r="E1178" s="10" t="inlineStr">
        <is>
          <t>Lương:25 Tr - 40 Tr VND</t>
        </is>
      </c>
      <c r="F1178" s="10" t="inlineStr">
        <is>
          <t>Hồ Chí Minh</t>
        </is>
      </c>
      <c r="G1178" s="10" t="inlineStr">
        <is>
          <t>28-03-2026</t>
        </is>
      </c>
      <c r="H1178" s="10" t="inlineStr">
        <is>
          <t>28/03/2026</t>
        </is>
      </c>
      <c r="I1178" s="10" t="inlineStr">
        <is>
          <t>17/03/2026</t>
        </is>
      </c>
      <c r="J1178" s="10" t="inlineStr">
        <is>
          <t>Nhân sự, Sản xuất / Vận hành sản xuất</t>
        </is>
      </c>
      <c r="K1178" s="10" t="inlineStr">
        <is>
          <t>N/A</t>
        </is>
      </c>
      <c r="L1178" s="11">
        <f>HYPERLINK("https://careerviet.vn/vi/tim-viec-lam/nhan-vien-tuyen-dung.35C6CA7E.html","Xem chi tiết")</f>
        <v/>
      </c>
      <c r="M1178" s="10" t="n"/>
    </row>
    <row r="1179">
      <c r="B1179" s="7" t="n">
        <v>1177</v>
      </c>
      <c r="C1179" t="inlineStr">
        <is>
          <t>Regional Sales Manager (GT Channel)(Mới)</t>
        </is>
      </c>
      <c r="D1179" t="inlineStr">
        <is>
          <t>CÔNG TY CỔ PHẦN THƯƠNG MẠI DỊCH VỤ SẢN XUẤT HƯƠNG THỦY</t>
        </is>
      </c>
      <c r="E1179" t="inlineStr">
        <is>
          <t>Lương:30 Tr - 44 Tr VND</t>
        </is>
      </c>
      <c r="F1179" t="inlineStr">
        <is>
          <t>Hồ Chí Minh</t>
        </is>
      </c>
      <c r="G1179" t="inlineStr">
        <is>
          <t>16-04-2026</t>
        </is>
      </c>
      <c r="H1179" t="inlineStr">
        <is>
          <t>16/04/2026</t>
        </is>
      </c>
      <c r="I1179" t="inlineStr">
        <is>
          <t>17/03/2026</t>
        </is>
      </c>
      <c r="J1179" t="inlineStr">
        <is>
          <t>Bán lẻ / Bán sỉ, Bán hàng / Kinh doanh, Thực phẩm &amp; Đồ uống</t>
        </is>
      </c>
      <c r="K1179" t="inlineStr">
        <is>
          <t>5 - 7 Năm</t>
        </is>
      </c>
      <c r="L1179" s="8">
        <f>HYPERLINK("https://careerviet.vn/vi/tim-viec-lam/regional-sales-manager-gt-channel.35C6CA86.html","Xem chi tiết")</f>
        <v/>
      </c>
    </row>
    <row r="1180">
      <c r="B1180" s="9" t="n">
        <v>1178</v>
      </c>
      <c r="C1180" s="10" t="inlineStr">
        <is>
          <t>Tư Vấn Bán Hàng(Mới)</t>
        </is>
      </c>
      <c r="D1180" s="10" t="inlineStr">
        <is>
          <t>SKODA BÌNH DƯƠNG</t>
        </is>
      </c>
      <c r="E1180" s="10" t="inlineStr">
        <is>
          <t>Lương:7 Tr - 50 Tr VND</t>
        </is>
      </c>
      <c r="F1180" s="10" t="inlineStr">
        <is>
          <t>Hồ Chí MinhBình Dương</t>
        </is>
      </c>
      <c r="G1180" s="10" t="inlineStr">
        <is>
          <t>16-04-2026</t>
        </is>
      </c>
      <c r="H1180" s="10" t="inlineStr">
        <is>
          <t>16/04/2026</t>
        </is>
      </c>
      <c r="I1180" s="10" t="inlineStr">
        <is>
          <t>17/03/2026</t>
        </is>
      </c>
      <c r="J1180" s="10" t="inlineStr">
        <is>
          <t>Tiếp thị / Marketing, Bán lẻ / Bán sỉ, Bán hàng / Kinh doanh</t>
        </is>
      </c>
      <c r="K1180" s="10" t="inlineStr">
        <is>
          <t>Lên đến 1 Năm</t>
        </is>
      </c>
      <c r="L1180" s="11">
        <f>HYPERLINK("https://careerviet.vn/vi/tim-viec-lam/tu-van-ban-hang.35C6CAB3.html","Xem chi tiết")</f>
        <v/>
      </c>
      <c r="M1180" s="10" t="n"/>
    </row>
    <row r="1181">
      <c r="B1181" s="7" t="n">
        <v>1179</v>
      </c>
      <c r="C1181" t="inlineStr">
        <is>
          <t>Chuyên viên/Nhân viên Tư vấn Hướng nghiệp Tuyển sinh(Mới)</t>
        </is>
      </c>
      <c r="D1181" t="inlineStr">
        <is>
          <t>Đại học Quản lý và Công nghệ Thành phố Hồ Chí Minh</t>
        </is>
      </c>
      <c r="E1181" t="inlineStr">
        <is>
          <t>Lương:Cạnh tranh</t>
        </is>
      </c>
      <c r="F1181" t="inlineStr">
        <is>
          <t>Hồ Chí Minh</t>
        </is>
      </c>
      <c r="G1181" t="inlineStr">
        <is>
          <t>16-04-2026</t>
        </is>
      </c>
      <c r="H1181" t="inlineStr">
        <is>
          <t>16/04/2026</t>
        </is>
      </c>
      <c r="I1181" t="inlineStr">
        <is>
          <t>17/03/2026</t>
        </is>
      </c>
      <c r="J1181" t="inlineStr">
        <is>
          <t>Tiếp thị / Marketing, Tư vấn, Giáo dục / Đào tạo</t>
        </is>
      </c>
      <c r="K1181" t="inlineStr">
        <is>
          <t>1 - 5 Năm</t>
        </is>
      </c>
      <c r="L1181" s="8">
        <f>HYPERLINK("https://careerviet.vn/vi/tim-viec-lam/chuyen-vien-nhan-vien-tu-van-huong-nghiep-tuyen-sinh.35C6CAB1.html","Xem chi tiết")</f>
        <v/>
      </c>
    </row>
    <row r="1182">
      <c r="B1182" s="9" t="n">
        <v>1180</v>
      </c>
      <c r="C1182" s="10" t="inlineStr">
        <is>
          <t>Kỹ Thuật Viên Bảo Trì (Temp 10 months )(Mới)</t>
        </is>
      </c>
      <c r="D1182" s="10" t="inlineStr">
        <is>
          <t>Công ty TNHH Bel Việt Nam</t>
        </is>
      </c>
      <c r="E1182" s="10" t="inlineStr">
        <is>
          <t>Lương:Cạnh tranh</t>
        </is>
      </c>
      <c r="F1182" s="10" t="inlineStr">
        <is>
          <t>Bình Dương</t>
        </is>
      </c>
      <c r="G1182" s="10" t="inlineStr">
        <is>
          <t>15-04-2026</t>
        </is>
      </c>
      <c r="H1182" s="10" t="inlineStr">
        <is>
          <t>15/04/2026</t>
        </is>
      </c>
      <c r="I1182" s="10" t="inlineStr">
        <is>
          <t>17/03/2026</t>
        </is>
      </c>
      <c r="J1182" s="10" t="inlineStr">
        <is>
          <t>Bảo trì / Sửa chữa, Cơ khí / Ô tô / Tự động hóa, Điện / Điện tử / Điện lạnh / Điện công nghiệp</t>
        </is>
      </c>
      <c r="K1182" s="10" t="inlineStr">
        <is>
          <t>N/A</t>
        </is>
      </c>
      <c r="L1182" s="11">
        <f>HYPERLINK("https://careerviet.vn/vi/tim-viec-lam/ky-thuat-vien-bao-tri-temp-10-months.35C6CA95.html","Xem chi tiết")</f>
        <v/>
      </c>
      <c r="M1182" s="10" t="n"/>
    </row>
    <row r="1183">
      <c r="B1183" s="7" t="n">
        <v>1181</v>
      </c>
      <c r="C1183" t="inlineStr">
        <is>
          <t>Nhân viên Kế toán Tổng hợp.(Mới)</t>
        </is>
      </c>
      <c r="D1183" t="inlineStr">
        <is>
          <t>Tập Đoàn Kim Tín</t>
        </is>
      </c>
      <c r="E1183" t="inlineStr">
        <is>
          <t>Lương:Cạnh tranh</t>
        </is>
      </c>
      <c r="F1183" t="inlineStr">
        <is>
          <t>Hồ Chí Minh</t>
        </is>
      </c>
      <c r="G1183" t="inlineStr">
        <is>
          <t>14-04-2026</t>
        </is>
      </c>
      <c r="H1183" t="inlineStr">
        <is>
          <t>14/04/2026</t>
        </is>
      </c>
      <c r="I1183" t="inlineStr">
        <is>
          <t>17/03/2026</t>
        </is>
      </c>
      <c r="J1183" t="inlineStr">
        <is>
          <t>Kế toán / Kiểm toán</t>
        </is>
      </c>
      <c r="K1183" t="inlineStr">
        <is>
          <t>3 - 5 Năm</t>
        </is>
      </c>
      <c r="L1183" s="8">
        <f>HYPERLINK("https://careerviet.vn/vi/tim-viec-lam/nhan-vien-ke-toan-tong-hop.35C6CA6A.html","Xem chi tiết")</f>
        <v/>
      </c>
    </row>
    <row r="1184">
      <c r="B1184" s="9" t="n">
        <v>1182</v>
      </c>
      <c r="C1184" s="10" t="inlineStr">
        <is>
          <t>Tổ Trưởng Bộ Phận Thêu(Mới)</t>
        </is>
      </c>
      <c r="D1184" s="10" t="inlineStr">
        <is>
          <t>CÔNG TY TNHH ELITE APPARATECH</t>
        </is>
      </c>
      <c r="E1184" s="10" t="inlineStr">
        <is>
          <t>Lương:Cạnh tranh</t>
        </is>
      </c>
      <c r="F1184" s="10" t="inlineStr">
        <is>
          <t>Đồng Nai</t>
        </is>
      </c>
      <c r="G1184" s="10" t="inlineStr">
        <is>
          <t>30-04-2026</t>
        </is>
      </c>
      <c r="H1184" s="10" t="inlineStr">
        <is>
          <t>30/04/2026</t>
        </is>
      </c>
      <c r="I1184" s="10" t="inlineStr">
        <is>
          <t>17/03/2026</t>
        </is>
      </c>
      <c r="J1184" s="10" t="inlineStr">
        <is>
          <t>Dệt may / Da giày / Thời trang, Quản lý chất lượng (QA/QC)</t>
        </is>
      </c>
      <c r="K1184" s="10" t="inlineStr">
        <is>
          <t>2 - 5 Năm</t>
        </is>
      </c>
      <c r="L1184" s="11">
        <f>HYPERLINK("https://careerviet.vn/vi/tim-viec-lam/to-truong-bo-phan-theu.35C6CA91.html","Xem chi tiết")</f>
        <v/>
      </c>
      <c r="M1184" s="10" t="n"/>
    </row>
    <row r="1185">
      <c r="B1185" s="7" t="n">
        <v>1183</v>
      </c>
      <c r="C1185" t="inlineStr">
        <is>
          <t>Production Supervisor(Mới)</t>
        </is>
      </c>
      <c r="D1185" t="inlineStr">
        <is>
          <t>Công ty TNHH Thực phẩm Nissin Việt Nam</t>
        </is>
      </c>
      <c r="E1185" t="inlineStr">
        <is>
          <t>Lương:Cạnh tranh</t>
        </is>
      </c>
      <c r="F1185" t="inlineStr">
        <is>
          <t>Bình Dương</t>
        </is>
      </c>
      <c r="G1185" t="inlineStr">
        <is>
          <t>13-04-2026</t>
        </is>
      </c>
      <c r="H1185" t="inlineStr">
        <is>
          <t>13/04/2026</t>
        </is>
      </c>
      <c r="I1185" t="inlineStr">
        <is>
          <t>17/03/2026</t>
        </is>
      </c>
      <c r="J1185" t="inlineStr">
        <is>
          <t>Thực phẩm &amp; Đồ uống, Quản lý chất lượng (QA/QC), Ngành khác</t>
        </is>
      </c>
      <c r="K1185" t="inlineStr">
        <is>
          <t>3 - 5 Năm</t>
        </is>
      </c>
      <c r="L1185" s="8">
        <f>HYPERLINK("https://careerviet.vn/vi/tim-viec-lam/production-supervisor.35C6C76E.html","Xem chi tiết")</f>
        <v/>
      </c>
    </row>
    <row r="1186">
      <c r="B1186" s="9" t="n">
        <v>1184</v>
      </c>
      <c r="C1186" s="10" t="inlineStr">
        <is>
          <t>Trưởng Nhóm Thu Ngân - Vinmec Riverside(Mới)</t>
        </is>
      </c>
      <c r="D1186" s="10" t="inlineStr">
        <is>
          <t>Công ty CP Bệnh Viện Đa Khoa Quốc Tế Vinmec</t>
        </is>
      </c>
      <c r="E1186" s="10" t="inlineStr">
        <is>
          <t>Lương:Cạnh tranh</t>
        </is>
      </c>
      <c r="F1186" s="10" t="inlineStr">
        <is>
          <t>Hà Nội</t>
        </is>
      </c>
      <c r="G1186" s="10" t="inlineStr">
        <is>
          <t>20-04-2026</t>
        </is>
      </c>
      <c r="H1186" s="10" t="inlineStr">
        <is>
          <t>20/04/2026</t>
        </is>
      </c>
      <c r="I1186" s="10" t="inlineStr">
        <is>
          <t>17/03/2026</t>
        </is>
      </c>
      <c r="J1186" s="10" t="inlineStr">
        <is>
          <t>Y tế / Chăm sóc sức khỏe / Thẩm mỹ / Làm đẹp, Kế toán / Kiểm toán, Dịch vụ khách hàng</t>
        </is>
      </c>
      <c r="K1186" s="10" t="inlineStr">
        <is>
          <t>5 - 10 Năm</t>
        </is>
      </c>
      <c r="L1186" s="11">
        <f>HYPERLINK("https://careerviet.vn/vi/tim-viec-lam/truong-nhom-thu-ngan-vinmec-riverside.35C6CA88.html","Xem chi tiết")</f>
        <v/>
      </c>
      <c r="M1186" s="10" t="n"/>
    </row>
    <row r="1187">
      <c r="B1187" s="7" t="n">
        <v>1185</v>
      </c>
      <c r="C1187" t="inlineStr">
        <is>
          <t>NHÂN VIÊN KẾ TOÁN QUẢN TRỊ(Mới)</t>
        </is>
      </c>
      <c r="D1187" t="inlineStr">
        <is>
          <t>Tập Đoàn Kim Tín</t>
        </is>
      </c>
      <c r="E1187" t="inlineStr">
        <is>
          <t>Lương:Cạnh tranh</t>
        </is>
      </c>
      <c r="F1187" t="inlineStr">
        <is>
          <t>Hồ Chí Minh</t>
        </is>
      </c>
      <c r="G1187" t="inlineStr">
        <is>
          <t>14-04-2026</t>
        </is>
      </c>
      <c r="H1187" t="inlineStr">
        <is>
          <t>14/04/2026</t>
        </is>
      </c>
      <c r="I1187" t="inlineStr">
        <is>
          <t>17/03/2026</t>
        </is>
      </c>
      <c r="J1187" t="inlineStr">
        <is>
          <t>Kế toán / Kiểm toán</t>
        </is>
      </c>
      <c r="K1187" t="inlineStr">
        <is>
          <t>3 - 5 Năm</t>
        </is>
      </c>
      <c r="L1187" s="8">
        <f>HYPERLINK("https://careerviet.vn/vi/tim-viec-lam/nhan-vien-ke-toan-quan-tri.35C6CA6F.html","Xem chi tiết")</f>
        <v/>
      </c>
    </row>
    <row r="1188">
      <c r="B1188" s="9" t="n">
        <v>1186</v>
      </c>
      <c r="C1188" s="10" t="inlineStr">
        <is>
          <t>Chuyên viên/ Chuyên viên Cao cấp Quan Hệ Khách Hàng Doanh Nghiệp - TP. Hồ Chí Minh (Lương thưởng hấp dẫn - Phúc lợi độc đáo)(Mới)</t>
        </is>
      </c>
      <c r="D1188" s="10" t="inlineStr">
        <is>
          <t>Ngân hàng TMCP Việt Á – VietABank</t>
        </is>
      </c>
      <c r="E1188" s="10" t="inlineStr">
        <is>
          <t>Lương:10 Tr - 30 Tr VND</t>
        </is>
      </c>
      <c r="F1188" s="10" t="inlineStr">
        <is>
          <t>Hồ Chí Minh</t>
        </is>
      </c>
      <c r="G1188" s="10" t="inlineStr">
        <is>
          <t>16-04-2026</t>
        </is>
      </c>
      <c r="H1188" s="10" t="inlineStr">
        <is>
          <t>16/04/2026</t>
        </is>
      </c>
      <c r="I1188" s="10" t="inlineStr">
        <is>
          <t>17/03/2026</t>
        </is>
      </c>
      <c r="J1188" s="10" t="inlineStr">
        <is>
          <t>Ngân hàng, Bảo hiểm, Bất động sản</t>
        </is>
      </c>
      <c r="K1188" s="10" t="inlineStr">
        <is>
          <t>Trên 1 Năm</t>
        </is>
      </c>
      <c r="L1188" s="11">
        <f>HYPERLINK("https://careerviet.vn/vi/tim-viec-lam/chuyen-vien-chuyen-vien-cao-cap-quan-he-khach-hang-doanh-nghiep-tp-ho-chi-minh-luong-thuong-hap-dan-phuc-loi-doc-dao.35C6CA99.html","Xem chi tiết")</f>
        <v/>
      </c>
      <c r="M1188" s="10" t="n"/>
    </row>
    <row r="1189">
      <c r="B1189" s="7" t="n">
        <v>1187</v>
      </c>
      <c r="C1189" t="inlineStr">
        <is>
          <t>Chuyên Viên Quan Hệ Khách Hàng Cá Nhân - TP. Hồ Chí Minh (Lương thưởng hấp dẫn - Phúc lợi độc đáo)(Mới)</t>
        </is>
      </c>
      <c r="D1189" t="inlineStr">
        <is>
          <t>Ngân hàng TMCP Việt Á – VietABank</t>
        </is>
      </c>
      <c r="E1189" t="inlineStr">
        <is>
          <t>Lương:Cạnh tranh</t>
        </is>
      </c>
      <c r="F1189" t="inlineStr">
        <is>
          <t>Hồ Chí Minh</t>
        </is>
      </c>
      <c r="G1189" t="inlineStr">
        <is>
          <t>16-04-2026</t>
        </is>
      </c>
      <c r="H1189" t="inlineStr">
        <is>
          <t>16/04/2026</t>
        </is>
      </c>
      <c r="I1189" t="inlineStr">
        <is>
          <t>17/03/2026</t>
        </is>
      </c>
      <c r="J1189" t="inlineStr">
        <is>
          <t>Ngân hàng, Bảo hiểm, Bất động sản</t>
        </is>
      </c>
      <c r="K1189" t="inlineStr">
        <is>
          <t>Trên 1 Năm</t>
        </is>
      </c>
      <c r="L1189" s="8">
        <f>HYPERLINK("https://careerviet.vn/vi/tim-viec-lam/chuyen-vien-quan-he-khach-hang-ca-nhan-tp-ho-chi-minh-luong-thuong-hap-dan-phuc-loi-doc-dao.35C6CA74.html","Xem chi tiết")</f>
        <v/>
      </c>
    </row>
    <row r="1190">
      <c r="B1190" s="9" t="n">
        <v>1188</v>
      </c>
      <c r="C1190" s="10" t="inlineStr">
        <is>
          <t>Giám đốc BVBank Thoại Sơn - KV Miền Tây(Mới)</t>
        </is>
      </c>
      <c r="D1190" s="10" t="inlineStr">
        <is>
          <t>BVBank - Ngân hàng Bản Việt</t>
        </is>
      </c>
      <c r="E1190" s="10" t="inlineStr">
        <is>
          <t>Lương:Cạnh tranh</t>
        </is>
      </c>
      <c r="F1190" s="10" t="inlineStr">
        <is>
          <t>Kiên Giang</t>
        </is>
      </c>
      <c r="G1190" s="10" t="inlineStr">
        <is>
          <t>15-04-2026</t>
        </is>
      </c>
      <c r="H1190" s="10" t="inlineStr">
        <is>
          <t>15/04/2026</t>
        </is>
      </c>
      <c r="I1190" s="10" t="inlineStr">
        <is>
          <t>17/03/2026</t>
        </is>
      </c>
      <c r="J1190" s="10" t="inlineStr">
        <is>
          <t>Ngân hàng, Tài chính / Đầu tư, Bán hàng / Kinh doanh</t>
        </is>
      </c>
      <c r="K1190" s="10" t="inlineStr">
        <is>
          <t>3 - 4 Năm</t>
        </is>
      </c>
      <c r="L1190" s="11">
        <f>HYPERLINK("https://careerviet.vn/vi/tim-viec-lam/giam-doc-bvbank-thoai-son-kv-mien-tay.35C6CA5A.html","Xem chi tiết")</f>
        <v/>
      </c>
      <c r="M1190" s="10" t="n"/>
    </row>
    <row r="1191">
      <c r="B1191" s="7" t="n">
        <v>1189</v>
      </c>
      <c r="C1191" t="inlineStr">
        <is>
          <t>FINANCE MANAGER(Mới)</t>
        </is>
      </c>
      <c r="D1191" t="inlineStr">
        <is>
          <t>CareerViet's client</t>
        </is>
      </c>
      <c r="E1191" t="inlineStr">
        <is>
          <t>Lương:1.000 - 1.500 USD</t>
        </is>
      </c>
      <c r="F1191" t="inlineStr">
        <is>
          <t>Hồ Chí Minh</t>
        </is>
      </c>
      <c r="G1191" t="inlineStr">
        <is>
          <t>15-04-2026</t>
        </is>
      </c>
      <c r="H1191" t="inlineStr">
        <is>
          <t>15/04/2026</t>
        </is>
      </c>
      <c r="I1191" t="inlineStr">
        <is>
          <t>17/03/2026</t>
        </is>
      </c>
      <c r="J1191" t="inlineStr">
        <is>
          <t>Kế toán / Kiểm toán, Tài chính / Đầu tư</t>
        </is>
      </c>
      <c r="K1191" t="inlineStr">
        <is>
          <t>5 - 15 Năm</t>
        </is>
      </c>
      <c r="L1191" s="8">
        <f>HYPERLINK("https://careerviet.vn/vi/tim-viec-lam/finance-manager.35C6CA75.html","Xem chi tiết")</f>
        <v/>
      </c>
    </row>
    <row r="1192">
      <c r="B1192" s="9" t="n">
        <v>1190</v>
      </c>
      <c r="C1192" s="10" t="inlineStr">
        <is>
          <t>Nhân viên xử lý, đóng gói đơn hàng Ecommerce</t>
        </is>
      </c>
      <c r="D1192" s="10" t="inlineStr">
        <is>
          <t>CÔNG TY TNHH ĐẦU TƯ XNK TÍN VIỆT</t>
        </is>
      </c>
      <c r="E1192" s="10" t="inlineStr">
        <is>
          <t>Lương:7 Tr - 8 Tr VND</t>
        </is>
      </c>
      <c r="F1192" s="10" t="inlineStr">
        <is>
          <t>Hồ Chí Minh</t>
        </is>
      </c>
      <c r="G1192" s="10" t="inlineStr">
        <is>
          <t>6</t>
        </is>
      </c>
      <c r="H1192" s="10" t="inlineStr">
        <is>
          <t>23/03/2026</t>
        </is>
      </c>
      <c r="I1192" s="10" t="inlineStr">
        <is>
          <t>17/03/2026</t>
        </is>
      </c>
      <c r="J1192" s="10" t="inlineStr">
        <is>
          <t>Kế toán / Kiểm toán, Vận chuyển / Giao nhận / Kho vận, Thương mại điện tử</t>
        </is>
      </c>
      <c r="K1192" s="10" t="inlineStr">
        <is>
          <t>1 - 2 Năm</t>
        </is>
      </c>
      <c r="L1192" s="11">
        <f>HYPERLINK("https://careerviet.vn/vi/tim-viec-lam/nhan-vien-xu-ly-dong-goi-don-hang-ecommerce.35C664B9.html","Xem chi tiết")</f>
        <v/>
      </c>
      <c r="M1192" s="10" t="n"/>
    </row>
    <row r="1193">
      <c r="B1193" s="7" t="n">
        <v>1191</v>
      </c>
      <c r="C1193" t="inlineStr">
        <is>
          <t>Nhân viên tuyển dụng(Mới)</t>
        </is>
      </c>
      <c r="D1193" t="inlineStr">
        <is>
          <t>CÔNG TY TNHH TOPBAND SMART ĐỒNG NAI (VIỆT NAM)</t>
        </is>
      </c>
      <c r="E1193" t="inlineStr">
        <is>
          <t>Lương:10 Tr - 25 Tr VND</t>
        </is>
      </c>
      <c r="F1193" t="inlineStr">
        <is>
          <t>Đồng Nai</t>
        </is>
      </c>
      <c r="G1193" t="inlineStr">
        <is>
          <t>31-03-2026</t>
        </is>
      </c>
      <c r="H1193" t="inlineStr">
        <is>
          <t>31/03/2026</t>
        </is>
      </c>
      <c r="I1193" t="inlineStr">
        <is>
          <t>17/03/2026</t>
        </is>
      </c>
      <c r="J1193" t="inlineStr">
        <is>
          <t>Nhân sự, Sản xuất / Vận hành sản xuất, Hành chính / Thư ký</t>
        </is>
      </c>
      <c r="K1193" t="inlineStr">
        <is>
          <t>1 - 10 Năm</t>
        </is>
      </c>
      <c r="L1193" s="8">
        <f>HYPERLINK("https://careerviet.vn/vi/tim-viec-lam/nhan-vien-tuyen-dung.35C6CA60.html","Xem chi tiết")</f>
        <v/>
      </c>
    </row>
    <row r="1194">
      <c r="B1194" s="9" t="n">
        <v>1192</v>
      </c>
      <c r="C1194" s="10" t="inlineStr">
        <is>
          <t>Kế toán tổng hợp(Mới)</t>
        </is>
      </c>
      <c r="D1194" s="10" t="inlineStr">
        <is>
          <t>Công ty Cổ phần Thuận Thiên Naturalis</t>
        </is>
      </c>
      <c r="E1194" s="10" t="inlineStr">
        <is>
          <t>Lương:14 Tr - 16 Tr VND</t>
        </is>
      </c>
      <c r="F1194" s="10" t="inlineStr">
        <is>
          <t>Hà Nội</t>
        </is>
      </c>
      <c r="G1194" s="10" t="inlineStr">
        <is>
          <t>16-04-2026</t>
        </is>
      </c>
      <c r="H1194" s="10" t="inlineStr">
        <is>
          <t>16/04/2026</t>
        </is>
      </c>
      <c r="I1194" s="10" t="inlineStr">
        <is>
          <t>17/03/2026</t>
        </is>
      </c>
      <c r="J1194" s="10" t="inlineStr">
        <is>
          <t>Kế toán / Kiểm toán</t>
        </is>
      </c>
      <c r="K1194" s="10" t="inlineStr">
        <is>
          <t>3 - 10 Năm</t>
        </is>
      </c>
      <c r="L1194" s="11">
        <f>HYPERLINK("https://careerviet.vn/vi/tim-viec-lam/ke-toan-tong-hop.35C6CA6D.html","Xem chi tiết")</f>
        <v/>
      </c>
      <c r="M1194" s="10" t="n"/>
    </row>
    <row r="1195">
      <c r="B1195" s="7" t="n">
        <v>1193</v>
      </c>
      <c r="C1195" t="inlineStr">
        <is>
          <t>Quy Nhon Office Manager(Mới)</t>
        </is>
      </c>
      <c r="D1195" t="inlineStr">
        <is>
          <t>Công ty TNHH Gardenline International (VN)</t>
        </is>
      </c>
      <c r="E1195" t="inlineStr">
        <is>
          <t>Lương:Cạnh tranh</t>
        </is>
      </c>
      <c r="F1195" t="inlineStr">
        <is>
          <t>Bình Định</t>
        </is>
      </c>
      <c r="G1195" t="inlineStr">
        <is>
          <t>16-04-2026</t>
        </is>
      </c>
      <c r="H1195" t="inlineStr">
        <is>
          <t>16/04/2026</t>
        </is>
      </c>
      <c r="I1195" t="inlineStr">
        <is>
          <t>17/03/2026</t>
        </is>
      </c>
      <c r="J1195" t="inlineStr">
        <is>
          <t>Quản lý điều hành, Đồ gỗ, Dịch vụ khách hàng</t>
        </is>
      </c>
      <c r="K1195" t="inlineStr">
        <is>
          <t>Lên đến 15 Năm</t>
        </is>
      </c>
      <c r="L1195" s="8">
        <f>HYPERLINK("https://careerviet.vn/vi/tim-viec-lam/quy-nhon-office-manager.35C6CA7A.html","Xem chi tiết")</f>
        <v/>
      </c>
    </row>
    <row r="1196">
      <c r="B1196" s="9" t="n">
        <v>1194</v>
      </c>
      <c r="C1196" s="10" t="inlineStr">
        <is>
          <t>Kế toán trưởng</t>
        </is>
      </c>
      <c r="D1196" s="10" t="inlineStr">
        <is>
          <t>Công ty Cổ phần ĐẠI ĐỒNG TIẾN</t>
        </is>
      </c>
      <c r="E1196" s="10" t="inlineStr">
        <is>
          <t>Lương:18 Tr - 25 Tr VND</t>
        </is>
      </c>
      <c r="F1196" s="10" t="inlineStr">
        <is>
          <t>Hồ Chí Minh</t>
        </is>
      </c>
      <c r="G1196" s="10" t="inlineStr">
        <is>
          <t>14-04-2026</t>
        </is>
      </c>
      <c r="H1196" s="10" t="inlineStr">
        <is>
          <t>14/04/2026</t>
        </is>
      </c>
      <c r="I1196" s="10" t="inlineStr">
        <is>
          <t>17/03/2026</t>
        </is>
      </c>
      <c r="J1196" s="10" t="inlineStr">
        <is>
          <t>Kế toán / Kiểm toán, Ngân hàng, Sản xuất / Vận hành sản xuất</t>
        </is>
      </c>
      <c r="K1196" s="10" t="inlineStr">
        <is>
          <t>3 - 5 Năm</t>
        </is>
      </c>
      <c r="L1196" s="11">
        <f>HYPERLINK("https://careerviet.vn/vi/tim-viec-lam/ke-toan-truong.35C658CA.html","Xem chi tiết")</f>
        <v/>
      </c>
      <c r="M1196" s="10" t="n"/>
    </row>
    <row r="1197">
      <c r="B1197" s="7" t="n">
        <v>1195</v>
      </c>
      <c r="C1197" t="inlineStr">
        <is>
          <t>Trưởng phòng  Kế toán Thuế (Tax &amp; Accounting Leader)(Mới)</t>
        </is>
      </c>
      <c r="D1197" t="inlineStr">
        <is>
          <t>Công Ty TNHH POSCO - Việt Nam</t>
        </is>
      </c>
      <c r="E1197" t="inlineStr">
        <is>
          <t>Lương:20 Tr - 25 Tr VND</t>
        </is>
      </c>
      <c r="F1197" t="inlineStr">
        <is>
          <t>Bà Rịa - Vũng Tàu</t>
        </is>
      </c>
      <c r="G1197" t="inlineStr">
        <is>
          <t>03-04-2026</t>
        </is>
      </c>
      <c r="H1197" t="inlineStr">
        <is>
          <t>03/04/2026</t>
        </is>
      </c>
      <c r="I1197" t="inlineStr">
        <is>
          <t>17/03/2026</t>
        </is>
      </c>
      <c r="J1197" t="inlineStr">
        <is>
          <t>Hành chính / Thư ký, Nhân sự, Kế toán / Kiểm toán</t>
        </is>
      </c>
      <c r="K1197" t="inlineStr">
        <is>
          <t>5 - 10 Năm</t>
        </is>
      </c>
      <c r="L1197" s="8">
        <f>HYPERLINK("https://careerviet.vn/vi/tim-viec-lam/truong-phong-ke-toan-thue-tax-accounting-leader.35C6CA5F.html","Xem chi tiết")</f>
        <v/>
      </c>
    </row>
    <row r="1198">
      <c r="B1198" s="9" t="n">
        <v>1196</v>
      </c>
      <c r="C1198" s="10" t="inlineStr">
        <is>
          <t>Tuyển 20 nhân viên sàn giao dịch dự án nhà ở xã hội(Mới)</t>
        </is>
      </c>
      <c r="D1198" s="10" t="inlineStr">
        <is>
          <t>Công Ty Cổ Phần Đức Mạnh</t>
        </is>
      </c>
      <c r="E1198" s="10" t="inlineStr">
        <is>
          <t>Lương:12 Tr - 15 Tr VND</t>
        </is>
      </c>
      <c r="F1198" s="10" t="inlineStr">
        <is>
          <t>Hồ Chí Minh</t>
        </is>
      </c>
      <c r="G1198" s="10" t="inlineStr">
        <is>
          <t>16-04-2026</t>
        </is>
      </c>
      <c r="H1198" s="10" t="inlineStr">
        <is>
          <t>16/04/2026</t>
        </is>
      </c>
      <c r="I1198" s="10" t="inlineStr">
        <is>
          <t>17/03/2026</t>
        </is>
      </c>
      <c r="J1198" s="10" t="inlineStr">
        <is>
          <t>Bất động sản, Luật / Pháp lý</t>
        </is>
      </c>
      <c r="K1198" s="10" t="inlineStr">
        <is>
          <t>1 - 3 Năm</t>
        </is>
      </c>
      <c r="L1198" s="11">
        <f>HYPERLINK("https://careerviet.vn/vi/tim-viec-lam/tuyen-20-nhan-vien-san-giao-dich-du-an-nha-o-xa-hoi.35C6CA45.html","Xem chi tiết")</f>
        <v/>
      </c>
      <c r="M1198" s="10" t="n"/>
    </row>
    <row r="1199">
      <c r="B1199" s="7" t="n">
        <v>1197</v>
      </c>
      <c r="C1199" t="inlineStr">
        <is>
          <t>Quản lý sản xuất kiêm QC(Mới)</t>
        </is>
      </c>
      <c r="D1199" t="inlineStr">
        <is>
          <t>Công ty Duy Phát</t>
        </is>
      </c>
      <c r="E1199" t="inlineStr">
        <is>
          <t>Lương:12 Tr - 20 Tr VND</t>
        </is>
      </c>
      <c r="F1199" t="inlineStr">
        <is>
          <t>Bình Dương</t>
        </is>
      </c>
      <c r="G1199" t="inlineStr">
        <is>
          <t>30-04-2026</t>
        </is>
      </c>
      <c r="H1199" t="inlineStr">
        <is>
          <t>30/04/2026</t>
        </is>
      </c>
      <c r="I1199" t="inlineStr">
        <is>
          <t>17/03/2026</t>
        </is>
      </c>
      <c r="J1199" t="inlineStr">
        <is>
          <t>Cơ khí / Ô tô / Tự động hóa</t>
        </is>
      </c>
      <c r="K1199" t="inlineStr">
        <is>
          <t>2 - 3 Năm</t>
        </is>
      </c>
      <c r="L1199" s="8">
        <f>HYPERLINK("https://careerviet.vn/vi/tim-viec-lam/quan-ly-san-xuat-kiem-qc.35C6CA5E.html","Xem chi tiết")</f>
        <v/>
      </c>
    </row>
    <row r="1200">
      <c r="B1200" s="9" t="n">
        <v>1198</v>
      </c>
      <c r="C1200" s="10" t="inlineStr">
        <is>
          <t>Pháp Lý Dự Án(Mới)</t>
        </is>
      </c>
      <c r="D1200" s="10" t="inlineStr">
        <is>
          <t>CÔNG TY TNHH ĐẦU TƯ VÀ PHÁT TRIỂN LÊ PHONG</t>
        </is>
      </c>
      <c r="E1200" s="10" t="inlineStr">
        <is>
          <t>Lương:Cạnh tranh</t>
        </is>
      </c>
      <c r="F1200" s="10" t="inlineStr">
        <is>
          <t>Hồ Chí MinhBình Dương</t>
        </is>
      </c>
      <c r="G1200" s="10" t="inlineStr">
        <is>
          <t>15-04-2026</t>
        </is>
      </c>
      <c r="H1200" s="10" t="inlineStr">
        <is>
          <t>15/04/2026</t>
        </is>
      </c>
      <c r="I1200" s="10" t="inlineStr">
        <is>
          <t>17/03/2026</t>
        </is>
      </c>
      <c r="J1200" s="10" t="inlineStr">
        <is>
          <t>Bất động sản, Luật / Pháp lý</t>
        </is>
      </c>
      <c r="K1200" s="10" t="inlineStr">
        <is>
          <t>Trên 3 Năm</t>
        </is>
      </c>
      <c r="L1200" s="11">
        <f>HYPERLINK("https://careerviet.vn/vi/tim-viec-lam/phap-ly-du-an.35C6CA4C.html","Xem chi tiết")</f>
        <v/>
      </c>
      <c r="M1200" s="10" t="n"/>
    </row>
    <row r="1201">
      <c r="B1201" s="7" t="n">
        <v>1199</v>
      </c>
      <c r="C1201" t="inlineStr">
        <is>
          <t>Trưởng Nhóm Kinh Doanh</t>
        </is>
      </c>
      <c r="D1201" t="inlineStr">
        <is>
          <t>CÔNG TY TNHH LỮ HÀNH QUỐC TẾ PEGAS VIỆT NAM</t>
        </is>
      </c>
      <c r="E1201" t="inlineStr">
        <is>
          <t>Lương:12 Tr - 20 Tr VND</t>
        </is>
      </c>
      <c r="F1201" t="inlineStr">
        <is>
          <t>Hồ Chí MinhKhánh Hòa</t>
        </is>
      </c>
      <c r="G1201" t="inlineStr">
        <is>
          <t>31-03-2026</t>
        </is>
      </c>
      <c r="H1201" t="inlineStr">
        <is>
          <t>31/03/2026</t>
        </is>
      </c>
      <c r="I1201" t="inlineStr">
        <is>
          <t>17/03/2026</t>
        </is>
      </c>
      <c r="J1201" t="inlineStr">
        <is>
          <t>Bán hàng / Kinh doanh, Nhà hàng / Khách sạn, Du lịch</t>
        </is>
      </c>
      <c r="K1201" t="inlineStr">
        <is>
          <t>Trên 2 Năm</t>
        </is>
      </c>
      <c r="L1201" s="8">
        <f>HYPERLINK("https://careerviet.vn/vi/tim-viec-lam/truong-nhom-kinh-doanh.35C6A1F6.html","Xem chi tiết")</f>
        <v/>
      </c>
    </row>
    <row r="1202">
      <c r="B1202" s="9" t="n">
        <v>1200</v>
      </c>
      <c r="C1202" s="10" t="inlineStr">
        <is>
          <t>Nhân viên lập trình và vận hành CNC ngành gỗ - CNC programer(Mới)</t>
        </is>
      </c>
      <c r="D1202" s="10" t="inlineStr">
        <is>
          <t>Công Ty TNHH Quốc Tế Anh Duy</t>
        </is>
      </c>
      <c r="E1202" s="10" t="inlineStr">
        <is>
          <t>Lương:10 Tr - 12 Tr VND</t>
        </is>
      </c>
      <c r="F1202" s="10" t="inlineStr">
        <is>
          <t>Hồ Chí MinhBình Dương</t>
        </is>
      </c>
      <c r="G1202" s="10" t="inlineStr">
        <is>
          <t>30-04-2026</t>
        </is>
      </c>
      <c r="H1202" s="10" t="inlineStr">
        <is>
          <t>30/04/2026</t>
        </is>
      </c>
      <c r="I1202" s="10" t="inlineStr">
        <is>
          <t>17/03/2026</t>
        </is>
      </c>
      <c r="J1202" s="10" t="inlineStr">
        <is>
          <t>Điện / Điện tử / Điện lạnh / Điện công nghiệp</t>
        </is>
      </c>
      <c r="K1202" s="10" t="inlineStr">
        <is>
          <t>1 - 3 Năm</t>
        </is>
      </c>
      <c r="L1202" s="11">
        <f>HYPERLINK("https://careerviet.vn/vi/tim-viec-lam/nhan-vien-lap-trinh-va-van-hanh-cnc-nganh-go-cnc-programer.35C6CA48.html","Xem chi tiết")</f>
        <v/>
      </c>
      <c r="M1202" s="10" t="n"/>
    </row>
    <row r="1203">
      <c r="B1203" s="7" t="n">
        <v>1201</v>
      </c>
      <c r="C1203" t="inlineStr">
        <is>
          <t>NHÂN VIÊN KINH DOANH CƯỚC VẬN TẢI ĐƯỜNG BIỂN</t>
        </is>
      </c>
      <c r="D1203" t="inlineStr">
        <is>
          <t>Công Ty CP Interlink</t>
        </is>
      </c>
      <c r="E1203" t="inlineStr">
        <is>
          <t>Lương:10 Tr - 20 Tr VND</t>
        </is>
      </c>
      <c r="F1203" t="inlineStr">
        <is>
          <t>Hồ Chí Minh</t>
        </is>
      </c>
      <c r="G1203" t="inlineStr">
        <is>
          <t>14-04-2026</t>
        </is>
      </c>
      <c r="H1203" t="inlineStr">
        <is>
          <t>14/04/2026</t>
        </is>
      </c>
      <c r="I1203" t="inlineStr">
        <is>
          <t>17/03/2026</t>
        </is>
      </c>
      <c r="J1203" t="inlineStr">
        <is>
          <t>Bán hàng / Kinh doanh, Hàng hải, Xuất nhập khẩu</t>
        </is>
      </c>
      <c r="K1203" t="inlineStr">
        <is>
          <t>2 - 5 Năm</t>
        </is>
      </c>
      <c r="L1203" s="8">
        <f>HYPERLINK("https://careerviet.vn/vi/tim-viec-lam/nhan-vien-kinh-doanh-cuoc-van-tai-duong-bien.35C657F4.html","Xem chi tiết")</f>
        <v/>
      </c>
    </row>
    <row r="1204">
      <c r="B1204" s="9" t="n">
        <v>1202</v>
      </c>
      <c r="C1204" s="10" t="inlineStr">
        <is>
          <t>Nhân Viên QC (Làm việc tại Đồng Nai)</t>
        </is>
      </c>
      <c r="D1204" s="10" t="inlineStr">
        <is>
          <t>CÔNG TY CỔ PHẦN TẬP ĐOÀN BA THANH</t>
        </is>
      </c>
      <c r="E1204" s="10" t="inlineStr">
        <is>
          <t>Lương:12 Tr - 15 Tr VND</t>
        </is>
      </c>
      <c r="F1204" s="10" t="inlineStr">
        <is>
          <t>Đồng Nai</t>
        </is>
      </c>
      <c r="G1204" s="10" t="inlineStr">
        <is>
          <t>28-03-2026</t>
        </is>
      </c>
      <c r="H1204" s="10" t="inlineStr">
        <is>
          <t>28/03/2026</t>
        </is>
      </c>
      <c r="I1204" s="10" t="inlineStr">
        <is>
          <t>17/03/2026</t>
        </is>
      </c>
      <c r="J1204" s="10" t="inlineStr">
        <is>
          <t>Sản xuất / Vận hành sản xuất, Quản lý chất lượng (QA/QC)</t>
        </is>
      </c>
      <c r="K1204" s="10" t="inlineStr">
        <is>
          <t>Lên đến 1 Năm</t>
        </is>
      </c>
      <c r="L1204" s="11">
        <f>HYPERLINK("https://careerviet.vn/vi/tim-viec-lam/nhan-vien-qc-lam-viec-tai-dong-nai.35C6A1DC.html","Xem chi tiết")</f>
        <v/>
      </c>
      <c r="M1204" s="10" t="n"/>
    </row>
    <row r="1205">
      <c r="B1205" s="7" t="n">
        <v>1203</v>
      </c>
      <c r="C1205" t="inlineStr">
        <is>
          <t>Giám Sát Điều Phối Vận Tải/ Transport Supervisor</t>
        </is>
      </c>
      <c r="D1205" t="inlineStr">
        <is>
          <t>RHENUS LOGISTICS LTD,.</t>
        </is>
      </c>
      <c r="E1205" t="inlineStr">
        <is>
          <t>Lương:Cạnh tranh</t>
        </is>
      </c>
      <c r="F1205" t="inlineStr">
        <is>
          <t>Bình Dương</t>
        </is>
      </c>
      <c r="G1205" t="inlineStr">
        <is>
          <t>31-03-2026</t>
        </is>
      </c>
      <c r="H1205" t="inlineStr">
        <is>
          <t>31/03/2026</t>
        </is>
      </c>
      <c r="I1205" t="inlineStr">
        <is>
          <t>17/03/2026</t>
        </is>
      </c>
      <c r="J1205" t="inlineStr">
        <is>
          <t>Vận chuyển / Giao nhận / Kho vận, Quản lý điều hành</t>
        </is>
      </c>
      <c r="K1205" t="inlineStr">
        <is>
          <t>2 - 5 Năm</t>
        </is>
      </c>
      <c r="L1205" s="8">
        <f>HYPERLINK("https://careerviet.vn/vi/tim-viec-lam/giam-sat-dieu-phoi-van-tai-transport-supervisor.35C6A1E6.html","Xem chi tiết")</f>
        <v/>
      </c>
    </row>
    <row r="1206">
      <c r="B1206" s="9" t="n">
        <v>1204</v>
      </c>
      <c r="C1206" s="10" t="inlineStr">
        <is>
          <t>Quản lý dự án</t>
        </is>
      </c>
      <c r="D1206" s="10" t="inlineStr">
        <is>
          <t>Công ty Cổ phần CMP Fibalite Việt Nam</t>
        </is>
      </c>
      <c r="E1206" s="10" t="inlineStr">
        <is>
          <t>Lương:Cạnh tranh</t>
        </is>
      </c>
      <c r="F1206" s="10" t="inlineStr">
        <is>
          <t>Hà Nội</t>
        </is>
      </c>
      <c r="G1206" s="10" t="inlineStr">
        <is>
          <t>31-03-2026</t>
        </is>
      </c>
      <c r="H1206" s="10" t="inlineStr">
        <is>
          <t>31/03/2026</t>
        </is>
      </c>
      <c r="I1206" s="10" t="inlineStr">
        <is>
          <t>17/03/2026</t>
        </is>
      </c>
      <c r="J1206" s="10" t="inlineStr">
        <is>
          <t>Xây dựng, Quản lý chất lượng (QA/QC), Dầu khí</t>
        </is>
      </c>
      <c r="K1206" s="10" t="inlineStr">
        <is>
          <t>Trên 2 Năm</t>
        </is>
      </c>
      <c r="L1206" s="11">
        <f>HYPERLINK("https://careerviet.vn/vi/tim-viec-lam/quan-ly-du-an.35C6A255.html","Xem chi tiết")</f>
        <v/>
      </c>
      <c r="M1206" s="10" t="n"/>
    </row>
    <row r="1207">
      <c r="B1207" s="7" t="n">
        <v>1205</v>
      </c>
      <c r="C1207" t="inlineStr">
        <is>
          <t>Presales Lead</t>
        </is>
      </c>
      <c r="D1207" t="inlineStr">
        <is>
          <t>IDC Group</t>
        </is>
      </c>
      <c r="E1207" t="inlineStr">
        <is>
          <t>Lương:Cạnh tranh</t>
        </is>
      </c>
      <c r="F1207" t="inlineStr">
        <is>
          <t>Hà Nội</t>
        </is>
      </c>
      <c r="G1207" t="inlineStr">
        <is>
          <t>31-03-2026</t>
        </is>
      </c>
      <c r="H1207" t="inlineStr">
        <is>
          <t>31/03/2026</t>
        </is>
      </c>
      <c r="I1207" t="inlineStr">
        <is>
          <t>17/03/2026</t>
        </is>
      </c>
      <c r="J1207" t="inlineStr">
        <is>
          <t>CNTT - Phần mềm</t>
        </is>
      </c>
      <c r="K1207" t="inlineStr">
        <is>
          <t>5 - 7 Năm</t>
        </is>
      </c>
      <c r="L1207" s="8">
        <f>HYPERLINK("https://careerviet.vn/vi/tim-viec-lam/presales-lead.35C6A1AC.html","Xem chi tiết")</f>
        <v/>
      </c>
    </row>
    <row r="1208">
      <c r="B1208" s="9" t="n">
        <v>1206</v>
      </c>
      <c r="C1208" s="10" t="inlineStr">
        <is>
          <t>Site Supervisor</t>
        </is>
      </c>
      <c r="D1208" s="10" t="inlineStr">
        <is>
          <t>KONE Việt Nam</t>
        </is>
      </c>
      <c r="E1208" s="10" t="inlineStr">
        <is>
          <t>Lương:18 Tr - 25 Tr VND</t>
        </is>
      </c>
      <c r="F1208" s="10" t="inlineStr">
        <is>
          <t>Hà Nội</t>
        </is>
      </c>
      <c r="G1208" s="10" t="inlineStr">
        <is>
          <t>31-03-2026</t>
        </is>
      </c>
      <c r="H1208" s="10" t="inlineStr">
        <is>
          <t>31/03/2026</t>
        </is>
      </c>
      <c r="I1208" s="10" t="inlineStr">
        <is>
          <t>17/03/2026</t>
        </is>
      </c>
      <c r="J1208" s="10" t="inlineStr">
        <is>
          <t>Điện / Điện tử / Điện lạnh / Điện công nghiệp, Xây dựng, Bảo trì / Sửa chữa</t>
        </is>
      </c>
      <c r="K1208" s="10" t="inlineStr">
        <is>
          <t>3 - 8 Năm</t>
        </is>
      </c>
      <c r="L1208" s="11">
        <f>HYPERLINK("https://careerviet.vn/vi/tim-viec-lam/site-supervisor.35C6A268.html","Xem chi tiết")</f>
        <v/>
      </c>
      <c r="M1208" s="10" t="n"/>
    </row>
    <row r="1209">
      <c r="B1209" s="7" t="n">
        <v>1207</v>
      </c>
      <c r="C1209" t="inlineStr">
        <is>
          <t>Nhân viên Kiểm soát vận chuyển</t>
        </is>
      </c>
      <c r="D1209" t="inlineStr">
        <is>
          <t>Công Ty Sữa Đậu Nành Việt Nam - Vinasoy</t>
        </is>
      </c>
      <c r="E1209" t="inlineStr">
        <is>
          <t>Lương:Cạnh tranh</t>
        </is>
      </c>
      <c r="F1209" t="inlineStr">
        <is>
          <t>Bắc Ninh</t>
        </is>
      </c>
      <c r="G1209" t="inlineStr">
        <is>
          <t>30-03-2026</t>
        </is>
      </c>
      <c r="H1209" t="inlineStr">
        <is>
          <t>30/03/2026</t>
        </is>
      </c>
      <c r="I1209" t="inlineStr">
        <is>
          <t>17/03/2026</t>
        </is>
      </c>
      <c r="J1209" t="inlineStr">
        <is>
          <t>Vận chuyển / Giao nhận / Kho vận</t>
        </is>
      </c>
      <c r="K1209" t="inlineStr">
        <is>
          <t>1 - 3 Năm</t>
        </is>
      </c>
      <c r="L1209" s="8">
        <f>HYPERLINK("https://careerviet.vn/vi/tim-viec-lam/nhan-vien-kiem-soat-van-chuyen.35C6A16B.html","Xem chi tiết")</f>
        <v/>
      </c>
    </row>
    <row r="1210">
      <c r="B1210" s="9" t="n">
        <v>1208</v>
      </c>
      <c r="C1210" s="10" t="inlineStr">
        <is>
          <t>Site Manager - SPMT</t>
        </is>
      </c>
      <c r="D1210" s="10" t="inlineStr">
        <is>
          <t>CÔNG TY CỔ PHẦN DỊCH VỤ VÀ KỸ THUẬT SMC</t>
        </is>
      </c>
      <c r="E1210" s="10" t="inlineStr">
        <is>
          <t>Lương:Cạnh tranh</t>
        </is>
      </c>
      <c r="F1210" s="10" t="inlineStr">
        <is>
          <t>Hồ Chí Minh</t>
        </is>
      </c>
      <c r="G1210" s="10" t="inlineStr">
        <is>
          <t>31-03-2026</t>
        </is>
      </c>
      <c r="H1210" s="10" t="inlineStr">
        <is>
          <t>31/03/2026</t>
        </is>
      </c>
      <c r="I1210" s="10" t="inlineStr">
        <is>
          <t>17/03/2026</t>
        </is>
      </c>
      <c r="J1210" s="10" t="inlineStr">
        <is>
          <t>Cơ khí / Ô tô / Tự động hóa, Dầu khí, Điện / Điện tử / Điện lạnh / Điện công nghiệp</t>
        </is>
      </c>
      <c r="K1210" s="10" t="inlineStr">
        <is>
          <t>Trên 5 Năm</t>
        </is>
      </c>
      <c r="L1210" s="11">
        <f>HYPERLINK("https://careerviet.vn/vi/tim-viec-lam/site-manager-spmt.35C6A110.html","Xem chi tiết")</f>
        <v/>
      </c>
      <c r="M1210" s="10" t="n"/>
    </row>
    <row r="1211">
      <c r="B1211" s="7" t="n">
        <v>1209</v>
      </c>
      <c r="C1211" t="inlineStr">
        <is>
          <t>Nhân Viên Kinh Doanh</t>
        </is>
      </c>
      <c r="D1211" t="inlineStr">
        <is>
          <t>CÔNG TY CỔ PHẦN QUỐC TẾ AEMG</t>
        </is>
      </c>
      <c r="E1211" t="inlineStr">
        <is>
          <t>Lương:Trên 25 Tr VND</t>
        </is>
      </c>
      <c r="F1211" t="inlineStr">
        <is>
          <t>Hà NộiHồ Chí Minh</t>
        </is>
      </c>
      <c r="G1211" t="inlineStr">
        <is>
          <t>17-03-2026</t>
        </is>
      </c>
      <c r="H1211" t="inlineStr">
        <is>
          <t>11/03/2026</t>
        </is>
      </c>
      <c r="I1211" t="inlineStr">
        <is>
          <t>17/03/2026</t>
        </is>
      </c>
      <c r="J1211" t="inlineStr">
        <is>
          <t>Bán hàng / Kinh doanh, Sản xuất / Vận hành sản xuất, Cơ khí / Ô tô / Tự động hóa</t>
        </is>
      </c>
      <c r="K1211" t="inlineStr">
        <is>
          <t>N/A</t>
        </is>
      </c>
      <c r="L1211" s="8">
        <f>HYPERLINK("https://careerviet.vn/vi/tim-viec-lam/nhan-vien-kinh-doanh.35C6A1D5.html","Xem chi tiết")</f>
        <v/>
      </c>
    </row>
    <row r="1212">
      <c r="B1212" s="9" t="n">
        <v>1210</v>
      </c>
      <c r="C1212" s="10" t="inlineStr">
        <is>
          <t>Trưởng Phòng Phát Triển Dự Án</t>
        </is>
      </c>
      <c r="D1212" s="10" t="inlineStr">
        <is>
          <t>CÔNG TY TNHH BẤT ĐỘNG SẢN TẬP ĐOÀN NAM VIỆT</t>
        </is>
      </c>
      <c r="E1212" s="10" t="inlineStr">
        <is>
          <t>Lương:Cạnh tranh</t>
        </is>
      </c>
      <c r="F1212" s="10" t="inlineStr">
        <is>
          <t>Hồ Chí Minh</t>
        </is>
      </c>
      <c r="G1212" s="10" t="inlineStr">
        <is>
          <t>28-03-2026</t>
        </is>
      </c>
      <c r="H1212" s="10" t="inlineStr">
        <is>
          <t>28/03/2026</t>
        </is>
      </c>
      <c r="I1212" s="10" t="inlineStr">
        <is>
          <t>17/03/2026</t>
        </is>
      </c>
      <c r="J1212" s="10" t="inlineStr">
        <is>
          <t>Bất động sảnBằng cấpĐại họcĐộ tuổiKhông giới hạn tuổi</t>
        </is>
      </c>
      <c r="K1212" s="10" t="inlineStr">
        <is>
          <t>N/A</t>
        </is>
      </c>
      <c r="L1212" s="11">
        <f>HYPERLINK("https://careerviet.vn/vi/tim-viec-lam/truong-phong-phat-trien-du-an.35C6A169.html","Xem chi tiết")</f>
        <v/>
      </c>
      <c r="M1212" s="10" t="n"/>
    </row>
    <row r="1213">
      <c r="B1213" s="7" t="n">
        <v>1211</v>
      </c>
      <c r="C1213" t="inlineStr">
        <is>
          <t>Nhân viên truyền thông nội bộ</t>
        </is>
      </c>
      <c r="D1213" t="inlineStr">
        <is>
          <t>Công ty Cổ phần Toyota Thái Hòa</t>
        </is>
      </c>
      <c r="E1213" t="inlineStr">
        <is>
          <t>Lương:10 Tr - 12 Tr VND</t>
        </is>
      </c>
      <c r="F1213" t="inlineStr">
        <is>
          <t>Hà Nội</t>
        </is>
      </c>
      <c r="G1213" t="inlineStr">
        <is>
          <t>31-03-2026</t>
        </is>
      </c>
      <c r="H1213" t="inlineStr">
        <is>
          <t>31/03/2026</t>
        </is>
      </c>
      <c r="I1213" t="inlineStr">
        <is>
          <t>17/03/2026</t>
        </is>
      </c>
      <c r="J1213" t="inlineStr">
        <is>
          <t>Nhân sự, Cơ khí / Ô tô / Tự động hóa, Tổ chức sự kiện</t>
        </is>
      </c>
      <c r="K1213" t="inlineStr">
        <is>
          <t>1 - 2 Năm</t>
        </is>
      </c>
      <c r="L1213" s="8">
        <f>HYPERLINK("https://careerviet.vn/vi/tim-viec-lam/nhan-vien-truyen-thong-noi-bo.35C6A092.html","Xem chi tiết")</f>
        <v/>
      </c>
    </row>
    <row r="1214">
      <c r="B1214" s="9" t="n">
        <v>1212</v>
      </c>
      <c r="C1214" s="10" t="inlineStr">
        <is>
          <t>Nhân viên quản lý sản xuất</t>
        </is>
      </c>
      <c r="D1214" s="10" t="inlineStr">
        <is>
          <t>Công Ty TNHH Fursys VN</t>
        </is>
      </c>
      <c r="E1214" s="10" t="inlineStr">
        <is>
          <t>Lương:Cạnh tranh</t>
        </is>
      </c>
      <c r="F1214" s="10" t="inlineStr">
        <is>
          <t>Đồng Nai</t>
        </is>
      </c>
      <c r="G1214" s="10" t="inlineStr">
        <is>
          <t>28-03-2026</t>
        </is>
      </c>
      <c r="H1214" s="10" t="inlineStr">
        <is>
          <t>28/03/2026</t>
        </is>
      </c>
      <c r="I1214" s="10" t="inlineStr">
        <is>
          <t>17/03/2026</t>
        </is>
      </c>
      <c r="J1214" s="10" t="inlineStr">
        <is>
          <t>Sản xuất / Vận hành sản xuất</t>
        </is>
      </c>
      <c r="K1214" s="10" t="inlineStr">
        <is>
          <t>Không yêu cầu kinh nghiệm</t>
        </is>
      </c>
      <c r="L1214" s="11">
        <f>HYPERLINK("https://careerviet.vn/vi/tim-viec-lam/nhan-vien-quan-ly-san-xuat.35C6A09D.html","Xem chi tiết")</f>
        <v/>
      </c>
      <c r="M1214" s="10" t="n"/>
    </row>
    <row r="1215">
      <c r="B1215" s="7" t="n">
        <v>1213</v>
      </c>
      <c r="C1215" t="inlineStr">
        <is>
          <t>Chuyên viên Quan hệ Khách hàng Doanh nghiệp và Cá nhân Hà Nội &amp; Miền Bắc</t>
        </is>
      </c>
      <c r="D1215" t="inlineStr">
        <is>
          <t>Ngân hàng TMCP Phát triển TP.HCM (HDBank)</t>
        </is>
      </c>
      <c r="E1215" t="inlineStr">
        <is>
          <t>Lương:Cạnh tranh</t>
        </is>
      </c>
      <c r="F1215" t="inlineStr">
        <is>
          <t>Hà NộiToàn quốc</t>
        </is>
      </c>
      <c r="G1215" t="inlineStr">
        <is>
          <t>27-03-2026</t>
        </is>
      </c>
      <c r="H1215" t="inlineStr">
        <is>
          <t>27/03/2026</t>
        </is>
      </c>
      <c r="I1215" t="inlineStr">
        <is>
          <t>17/03/2026</t>
        </is>
      </c>
      <c r="J1215" t="inlineStr">
        <is>
          <t>N/A</t>
        </is>
      </c>
      <c r="K1215" t="inlineStr">
        <is>
          <t>N/A</t>
        </is>
      </c>
      <c r="L1215" s="8">
        <f>HYPERLINK("https://careerviet.vn/vi/tim-viec-lam/chuyen-vien-quan-he-khach-hang-doanh-nghiep-va-ca-nhan-ha-noi-mien-bac.35C6A082.html","Xem chi tiết")</f>
        <v/>
      </c>
    </row>
    <row r="1216">
      <c r="B1216" s="9" t="n">
        <v>1214</v>
      </c>
      <c r="C1216" s="10" t="inlineStr">
        <is>
          <t>Phó Phòng Nhân Sự</t>
        </is>
      </c>
      <c r="D1216" s="10" t="inlineStr">
        <is>
          <t>CÔNG TY TNHH CÔNG NGHỆ VẬT LIỆU MỚI ĐỨC THỊNH</t>
        </is>
      </c>
      <c r="E1216" s="10" t="inlineStr">
        <is>
          <t>Lương:Cạnh tranh</t>
        </is>
      </c>
      <c r="F1216" s="10" t="inlineStr">
        <is>
          <t>Nghệ An</t>
        </is>
      </c>
      <c r="G1216" s="10" t="inlineStr">
        <is>
          <t>26-03-2026</t>
        </is>
      </c>
      <c r="H1216" s="10" t="inlineStr">
        <is>
          <t>26/03/2026</t>
        </is>
      </c>
      <c r="I1216" s="10" t="inlineStr">
        <is>
          <t>17/03/2026</t>
        </is>
      </c>
      <c r="J1216" s="10" t="inlineStr">
        <is>
          <t>Hành chính / Thư ký, Quản lý điều hành, Nhân sự</t>
        </is>
      </c>
      <c r="K1216" s="10" t="inlineStr">
        <is>
          <t>N/A</t>
        </is>
      </c>
      <c r="L1216" s="11">
        <f>HYPERLINK("https://careerviet.vn/vi/tim-viec-lam/pho-phong-nhan-su.35C6A07E.html","Xem chi tiết")</f>
        <v/>
      </c>
      <c r="M1216" s="10" t="n"/>
    </row>
    <row r="1217">
      <c r="B1217" s="7" t="n">
        <v>1215</v>
      </c>
      <c r="C1217" t="inlineStr">
        <is>
          <t>Chuyên viên Quan hệ Khách hàng Cá nhân Hà Nội &amp; Miền Bắc</t>
        </is>
      </c>
      <c r="D1217" t="inlineStr">
        <is>
          <t>Ngân hàng TMCP Phát triển TP.HCM (HDBank)</t>
        </is>
      </c>
      <c r="E1217" t="inlineStr">
        <is>
          <t>Lương:Trên 11 Tr VND</t>
        </is>
      </c>
      <c r="F1217" t="inlineStr">
        <is>
          <t>Hà NộiToàn quốc</t>
        </is>
      </c>
      <c r="G1217" t="inlineStr">
        <is>
          <t>27-03-2026</t>
        </is>
      </c>
      <c r="H1217" t="inlineStr">
        <is>
          <t>27/03/2026</t>
        </is>
      </c>
      <c r="I1217" t="inlineStr">
        <is>
          <t>17/03/2026</t>
        </is>
      </c>
      <c r="J1217" t="inlineStr">
        <is>
          <t>N/A</t>
        </is>
      </c>
      <c r="K1217" t="inlineStr">
        <is>
          <t>N/A</t>
        </is>
      </c>
      <c r="L1217" s="8">
        <f>HYPERLINK("https://careerviet.vn/vi/tim-viec-lam/chuyen-vien-quan-he-khach-hang-ca-nhan-ha-noi-mien-bac.35C6A084.html","Xem chi tiết")</f>
        <v/>
      </c>
    </row>
    <row r="1218">
      <c r="B1218" s="9" t="n">
        <v>1216</v>
      </c>
      <c r="C1218" s="10" t="inlineStr">
        <is>
          <t>Nhân Viên Xuất Nhập Khẩu</t>
        </is>
      </c>
      <c r="D1218" s="10" t="inlineStr">
        <is>
          <t>CÔNG TY TNHH CÔNG NGHỆ VẬT LIỆU MỚI ĐỨC THỊNH</t>
        </is>
      </c>
      <c r="E1218" s="10" t="inlineStr">
        <is>
          <t>Lương:Cạnh tranh</t>
        </is>
      </c>
      <c r="F1218" s="10" t="inlineStr">
        <is>
          <t>Nghệ An</t>
        </is>
      </c>
      <c r="G1218" s="10" t="inlineStr">
        <is>
          <t>26-03-2026</t>
        </is>
      </c>
      <c r="H1218" s="10" t="inlineStr">
        <is>
          <t>26/03/2026</t>
        </is>
      </c>
      <c r="I1218" s="10" t="inlineStr">
        <is>
          <t>17/03/2026</t>
        </is>
      </c>
      <c r="J1218" s="10" t="inlineStr">
        <is>
          <t>N/A</t>
        </is>
      </c>
      <c r="K1218" s="10" t="inlineStr">
        <is>
          <t>N/A</t>
        </is>
      </c>
      <c r="L1218" s="11">
        <f>HYPERLINK("https://careerviet.vn/vi/tim-viec-lam/nhan-vien-xuat-nhap-khau.35C6A07A.html","Xem chi tiết")</f>
        <v/>
      </c>
      <c r="M1218" s="10" t="n"/>
    </row>
    <row r="1219">
      <c r="B1219" s="7" t="n">
        <v>1217</v>
      </c>
      <c r="C1219" t="inlineStr">
        <is>
          <t>Trưởng Phòng Kỹ Thuật</t>
        </is>
      </c>
      <c r="D1219" t="inlineStr">
        <is>
          <t>CÔNG TY TNHH CÔNG NGHỆ VẬT LIỆU MỚI ĐỨC THỊNH</t>
        </is>
      </c>
      <c r="E1219" t="inlineStr">
        <is>
          <t>Lương:Cạnh tranh</t>
        </is>
      </c>
      <c r="F1219" t="inlineStr">
        <is>
          <t>Nghệ An</t>
        </is>
      </c>
      <c r="G1219" t="inlineStr">
        <is>
          <t>26-03-2026</t>
        </is>
      </c>
      <c r="H1219" t="inlineStr">
        <is>
          <t>26/03/2026</t>
        </is>
      </c>
      <c r="I1219" t="inlineStr">
        <is>
          <t>17/03/2026</t>
        </is>
      </c>
      <c r="J1219" t="inlineStr">
        <is>
          <t>Dịch vụ khách hàng, Quản lý điều hành, Hàng hải</t>
        </is>
      </c>
      <c r="K1219" t="inlineStr">
        <is>
          <t>N/A</t>
        </is>
      </c>
      <c r="L1219" s="8">
        <f>HYPERLINK("https://careerviet.vn/vi/tim-viec-lam/truong-phong-ky-thuat.35C6A079.html","Xem chi tiết")</f>
        <v/>
      </c>
    </row>
    <row r="1220">
      <c r="B1220" s="9" t="n">
        <v>1218</v>
      </c>
      <c r="C1220" s="10" t="inlineStr">
        <is>
          <t>Nhân Viên Mua Hàng Vật Tư</t>
        </is>
      </c>
      <c r="D1220" s="10" t="inlineStr">
        <is>
          <t>CÔNG TY CỔ PHẦN KẾT CẤU THÉP OMEGA VIỆT NAM</t>
        </is>
      </c>
      <c r="E1220" s="10" t="inlineStr">
        <is>
          <t>Lương:Trên 10 Tr VND</t>
        </is>
      </c>
      <c r="F1220" s="10" t="inlineStr">
        <is>
          <t>Hà Nội</t>
        </is>
      </c>
      <c r="G1220" s="10" t="inlineStr">
        <is>
          <t>29-03-2026</t>
        </is>
      </c>
      <c r="H1220" s="10" t="inlineStr">
        <is>
          <t>29/03/2026</t>
        </is>
      </c>
      <c r="I1220" s="10" t="inlineStr">
        <is>
          <t>17/03/2026</t>
        </is>
      </c>
      <c r="J1220" s="10" t="inlineStr">
        <is>
          <t>Hành chính / Thư ký, Thu mua / Vật tư, Xây dựng</t>
        </is>
      </c>
      <c r="K1220" s="10" t="inlineStr">
        <is>
          <t>Lên đến 1 Năm</t>
        </is>
      </c>
      <c r="L1220" s="11">
        <f>HYPERLINK("https://careerviet.vn/vi/tim-viec-lam/nhan-vien-mua-hang-vat-tu.35C6A06C.html","Xem chi tiết")</f>
        <v/>
      </c>
      <c r="M1220" s="10" t="n"/>
    </row>
    <row r="1221">
      <c r="B1221" s="7" t="n">
        <v>1219</v>
      </c>
      <c r="C1221" t="inlineStr">
        <is>
          <t>Kế Toán Thuế</t>
        </is>
      </c>
      <c r="D1221" t="inlineStr">
        <is>
          <t>CÔNG TY TNHH CÔNG NGHỆ VẬT LIỆU MỚI ĐỨC THỊNH</t>
        </is>
      </c>
      <c r="E1221" t="inlineStr">
        <is>
          <t>Lương:Cạnh tranh</t>
        </is>
      </c>
      <c r="F1221" t="inlineStr">
        <is>
          <t>Nghệ An</t>
        </is>
      </c>
      <c r="G1221" t="inlineStr">
        <is>
          <t>26-03-2026</t>
        </is>
      </c>
      <c r="H1221" t="inlineStr">
        <is>
          <t>26/03/2026</t>
        </is>
      </c>
      <c r="I1221" t="inlineStr">
        <is>
          <t>17/03/2026</t>
        </is>
      </c>
      <c r="J1221" t="inlineStr">
        <is>
          <t>Kế toán / Kiểm toán, Luật / Pháp lý, Tài chính / Đầu tư</t>
        </is>
      </c>
      <c r="K1221" t="inlineStr">
        <is>
          <t>Trên 3 Năm</t>
        </is>
      </c>
      <c r="L1221" s="8">
        <f>HYPERLINK("https://careerviet.vn/vi/tim-viec-lam/ke-toan-thue.35C6A07D.html","Xem chi tiết")</f>
        <v/>
      </c>
    </row>
    <row r="1222">
      <c r="B1222" s="9" t="n">
        <v>1220</v>
      </c>
      <c r="C1222" s="10" t="inlineStr">
        <is>
          <t>Giám Sát Thi Công</t>
        </is>
      </c>
      <c r="D1222" s="10" t="inlineStr">
        <is>
          <t>Công ty cổ phần kiến trúc ADF</t>
        </is>
      </c>
      <c r="E1222" s="10" t="inlineStr">
        <is>
          <t>Lương:Cạnh tranh</t>
        </is>
      </c>
      <c r="F1222" s="10" t="inlineStr">
        <is>
          <t>Hà NộiQuảng NinhBắc Ninh</t>
        </is>
      </c>
      <c r="G1222" s="10" t="inlineStr">
        <is>
          <t>27-03-2026</t>
        </is>
      </c>
      <c r="H1222" s="10" t="inlineStr">
        <is>
          <t>27/03/2026</t>
        </is>
      </c>
      <c r="I1222" s="10" t="inlineStr">
        <is>
          <t>17/03/2026</t>
        </is>
      </c>
      <c r="J1222" s="10" t="inlineStr">
        <is>
          <t>Kiến trúc, Xây dựng, Điện / Điện tử / Điện lạnh / Điện công nghiệp</t>
        </is>
      </c>
      <c r="K1222" s="10" t="inlineStr">
        <is>
          <t>Trên 2 Năm</t>
        </is>
      </c>
      <c r="L1222" s="11">
        <f>HYPERLINK("https://careerviet.vn/vi/tim-viec-lam/giam-sat-thi-cong.35C6A056.html","Xem chi tiết")</f>
        <v/>
      </c>
      <c r="M1222" s="10" t="n"/>
    </row>
    <row r="1223">
      <c r="B1223" s="7" t="n">
        <v>1221</v>
      </c>
      <c r="C1223" t="inlineStr">
        <is>
          <t>Nhân Viên Vận Hành Máy</t>
        </is>
      </c>
      <c r="D1223" t="inlineStr">
        <is>
          <t>CÔNG TY TNHH CÔNG NGHỆ VẬT LIỆU MỚI ĐỨC THỊNH</t>
        </is>
      </c>
      <c r="E1223" t="inlineStr">
        <is>
          <t>Lương:Cạnh tranh</t>
        </is>
      </c>
      <c r="F1223" t="inlineStr">
        <is>
          <t>Nghệ An</t>
        </is>
      </c>
      <c r="G1223" t="inlineStr">
        <is>
          <t>26-03-2026</t>
        </is>
      </c>
      <c r="H1223" t="inlineStr">
        <is>
          <t>26/03/2026</t>
        </is>
      </c>
      <c r="I1223" t="inlineStr">
        <is>
          <t>17/03/2026</t>
        </is>
      </c>
      <c r="J1223" t="inlineStr">
        <is>
          <t>Điện / Điện tử / Điện lạnh / Điện công nghiệp, Cơ khí / Ô tô / Tự động hóa, Sản xuất / Vận hành sản xuất</t>
        </is>
      </c>
      <c r="K1223" t="inlineStr">
        <is>
          <t>N/A</t>
        </is>
      </c>
      <c r="L1223" s="8">
        <f>HYPERLINK("https://careerviet.vn/vi/tim-viec-lam/nhan-vien-van-hanh-may.35C6A07B.html","Xem chi tiết")</f>
        <v/>
      </c>
    </row>
    <row r="1224">
      <c r="B1224" s="9" t="n">
        <v>1222</v>
      </c>
      <c r="C1224" s="10" t="inlineStr">
        <is>
          <t>Nhân Viên Sales - Thu nhập từ 15-30tr</t>
        </is>
      </c>
      <c r="D1224" s="10" t="inlineStr">
        <is>
          <t>CÔNG TY CỔ PHẦN DATYSO VIỆT NAM</t>
        </is>
      </c>
      <c r="E1224" s="10" t="inlineStr">
        <is>
          <t>Lương:15 Tr - 30 Tr VND</t>
        </is>
      </c>
      <c r="F1224" s="10" t="inlineStr">
        <is>
          <t>Hà NộiHồ Chí Minh</t>
        </is>
      </c>
      <c r="G1224" s="10" t="inlineStr">
        <is>
          <t>20-04-2026</t>
        </is>
      </c>
      <c r="H1224" s="10" t="inlineStr">
        <is>
          <t>20/04/2026</t>
        </is>
      </c>
      <c r="I1224" s="10" t="inlineStr">
        <is>
          <t>17/03/2026</t>
        </is>
      </c>
      <c r="J1224" s="10" t="inlineStr">
        <is>
          <t>Bán hàng / Kinh doanh, Dịch vụ khách hàng, Mới tốt nghiệp / Thực tập</t>
        </is>
      </c>
      <c r="K1224" s="10" t="inlineStr">
        <is>
          <t>Lên đến 1 Năm</t>
        </is>
      </c>
      <c r="L1224" s="11">
        <f>HYPERLINK("https://careerviet.vn/vi/tim-viec-lam/nhan-vien-sales-thu-nhap-tu-15-30tr.35C6A006.html","Xem chi tiết")</f>
        <v/>
      </c>
      <c r="M1224" s="10" t="n"/>
    </row>
    <row r="1225">
      <c r="B1225" s="7" t="n">
        <v>1223</v>
      </c>
      <c r="C1225" t="inlineStr">
        <is>
          <t>Giám Sát Công Trình Nội Thất</t>
        </is>
      </c>
      <c r="D1225" t="inlineStr">
        <is>
          <t>CÔNG TY TNHH KIẾN TRÚC - NỘI THẤT S.HOUSING</t>
        </is>
      </c>
      <c r="E1225" t="inlineStr">
        <is>
          <t>Lương:Cạnh tranh</t>
        </is>
      </c>
      <c r="F1225" t="inlineStr">
        <is>
          <t>Hồ Chí Minh</t>
        </is>
      </c>
      <c r="G1225" t="inlineStr">
        <is>
          <t>31-03-2026</t>
        </is>
      </c>
      <c r="H1225" t="inlineStr">
        <is>
          <t>31/03/2026</t>
        </is>
      </c>
      <c r="I1225" t="inlineStr">
        <is>
          <t>17/03/2026</t>
        </is>
      </c>
      <c r="J1225" t="inlineStr">
        <is>
          <t>Kiến trúc, Xây dựng, Nội ngoại thất</t>
        </is>
      </c>
      <c r="K1225" t="inlineStr">
        <is>
          <t>1 - 5 Năm</t>
        </is>
      </c>
      <c r="L1225" s="8">
        <f>HYPERLINK("https://careerviet.vn/vi/tim-viec-lam/giam-sat-cong-trinh-noi-that.35C69FC2.html","Xem chi tiết")</f>
        <v/>
      </c>
    </row>
    <row r="1226">
      <c r="B1226" s="9" t="n">
        <v>1224</v>
      </c>
      <c r="C1226" s="10" t="inlineStr">
        <is>
          <t>[Long Thành/ Nhơn Trạch] Nhân Viên Bán Hàng/ Nhân Viên Kinh Doanh/ Sales</t>
        </is>
      </c>
      <c r="D1226" s="10" t="inlineStr">
        <is>
          <t>Coca-Cola Beverages Vietnam</t>
        </is>
      </c>
      <c r="E1226" s="10" t="inlineStr">
        <is>
          <t>Lương:Cạnh tranh</t>
        </is>
      </c>
      <c r="F1226" s="10" t="inlineStr">
        <is>
          <t>Đồng Nai</t>
        </is>
      </c>
      <c r="G1226" s="10" t="inlineStr">
        <is>
          <t>31-03-2026</t>
        </is>
      </c>
      <c r="H1226" s="10" t="inlineStr">
        <is>
          <t>31/03/2026</t>
        </is>
      </c>
      <c r="I1226" s="10" t="inlineStr">
        <is>
          <t>17/03/2026</t>
        </is>
      </c>
      <c r="J1226" s="10" t="inlineStr">
        <is>
          <t>Bán lẻ / Bán sỉ, Bán hàng / Kinh doanh</t>
        </is>
      </c>
      <c r="K1226" s="10" t="inlineStr">
        <is>
          <t>1 - 10 Năm</t>
        </is>
      </c>
      <c r="L1226" s="11">
        <f>HYPERLINK("https://careerviet.vn/vi/tim-viec-lam/long-thanh-nhon-trach-nhan-vien-ban-hang-nhan-vien-kinh-doanh-sales.35C6A017.html","Xem chi tiết")</f>
        <v/>
      </c>
      <c r="M1226" s="10" t="n"/>
    </row>
    <row r="1227">
      <c r="B1227" s="7" t="n">
        <v>1225</v>
      </c>
      <c r="C1227" t="inlineStr">
        <is>
          <t>Nhân Viên Kỹ Thuật - Thu nhập từ 15-25tr</t>
        </is>
      </c>
      <c r="D1227" t="inlineStr">
        <is>
          <t>CÔNG TY CỔ PHẦN DATYSO VIỆT NAM</t>
        </is>
      </c>
      <c r="E1227" t="inlineStr">
        <is>
          <t>Lương:8 Tr - 15 Tr VND</t>
        </is>
      </c>
      <c r="F1227" t="inlineStr">
        <is>
          <t>Hà NộiHồ Chí Minh</t>
        </is>
      </c>
      <c r="G1227" t="inlineStr">
        <is>
          <t>20-04-2026</t>
        </is>
      </c>
      <c r="H1227" t="inlineStr">
        <is>
          <t>20/04/2026</t>
        </is>
      </c>
      <c r="I1227" t="inlineStr">
        <is>
          <t>17/03/2026</t>
        </is>
      </c>
      <c r="J1227" t="inlineStr">
        <is>
          <t>Cơ khí / Ô tô / Tự động hóa, Điện / Điện tử / Điện lạnh / Điện công nghiệp, Bảo trì / Sửa chữa</t>
        </is>
      </c>
      <c r="K1227" t="inlineStr">
        <is>
          <t>N/A</t>
        </is>
      </c>
      <c r="L1227" s="8">
        <f>HYPERLINK("https://careerviet.vn/vi/tim-viec-lam/nhan-vien-ky-thuat-thu-nhap-tu-15-25tr.35C6A007.html","Xem chi tiết")</f>
        <v/>
      </c>
    </row>
    <row r="1228">
      <c r="B1228" s="9" t="n">
        <v>1226</v>
      </c>
      <c r="C1228" s="10" t="inlineStr">
        <is>
          <t>Vĩnh Phúc/ Hà Nội/ Lào Cai -  Nhân viên PR (chuyên ngành thực phẩm/ sinh học)</t>
        </is>
      </c>
      <c r="D1228" s="10" t="inlineStr">
        <is>
          <t>Cty TNHH Yakult Việt Nam</t>
        </is>
      </c>
      <c r="E1228" s="10" t="inlineStr">
        <is>
          <t>Lương:11 Tr - 14 Tr VND</t>
        </is>
      </c>
      <c r="F1228" s="10" t="inlineStr">
        <is>
          <t>Hà NộiVĩnh PhúcLào Cai</t>
        </is>
      </c>
      <c r="G1228" s="10" t="inlineStr">
        <is>
          <t>30-04-2026</t>
        </is>
      </c>
      <c r="H1228" s="10" t="inlineStr">
        <is>
          <t>30/04/2026</t>
        </is>
      </c>
      <c r="I1228" s="10" t="inlineStr">
        <is>
          <t>17/03/2026</t>
        </is>
      </c>
      <c r="J1228" s="10" t="inlineStr">
        <is>
          <t>Bán hàng / Kinh doanh, Công nghệ thực phẩm / Dinh dưỡng</t>
        </is>
      </c>
      <c r="K1228" s="10" t="inlineStr">
        <is>
          <t>Chưa có kinh nghiệm</t>
        </is>
      </c>
      <c r="L1228" s="11">
        <f>HYPERLINK("https://careerviet.vn/vi/tim-viec-lam/vinh-phuc-ha-noi-lao-cai-nhan-vien-pr-chuyen-nganh-thuc-pham-sinh-hoc.35C6A06A.html","Xem chi tiết")</f>
        <v/>
      </c>
      <c r="M1228" s="10" t="n"/>
    </row>
    <row r="1229">
      <c r="B1229" s="7" t="n">
        <v>1227</v>
      </c>
      <c r="C1229" t="inlineStr">
        <is>
          <t>Chuyên viên HCNS Tổng Hợp</t>
        </is>
      </c>
      <c r="D1229" t="inlineStr">
        <is>
          <t>CÔNG TY CỔ PHẦN VPS GLOBAL</t>
        </is>
      </c>
      <c r="E1229" t="inlineStr">
        <is>
          <t>Lương:15 Tr - 18 Tr VND</t>
        </is>
      </c>
      <c r="F1229" t="inlineStr">
        <is>
          <t>Hồ Chí Minh</t>
        </is>
      </c>
      <c r="G1229" t="inlineStr">
        <is>
          <t>31-03-2026</t>
        </is>
      </c>
      <c r="H1229" t="inlineStr">
        <is>
          <t>31/03/2026</t>
        </is>
      </c>
      <c r="I1229" t="inlineStr">
        <is>
          <t>17/03/2026</t>
        </is>
      </c>
      <c r="J1229" t="inlineStr">
        <is>
          <t>Hành chính / Thư ký, Nhân sự</t>
        </is>
      </c>
      <c r="K1229" t="inlineStr">
        <is>
          <t>4 - 6 Năm</t>
        </is>
      </c>
      <c r="L1229" s="8">
        <f>HYPERLINK("https://careerviet.vn/vi/tim-viec-lam/chuyen-vien-hcns-tong-hop.35C69F44.html","Xem chi tiết")</f>
        <v/>
      </c>
    </row>
    <row r="1230">
      <c r="B1230" s="9" t="n">
        <v>1228</v>
      </c>
      <c r="C1230" s="10" t="inlineStr">
        <is>
          <t>Giám Đốc Kinh Doanh Toàn Quốc (NSM) | Lương Cơ Bản Cao + Hoa Hồng Không Giới Hạn | Đi Làm Ngay</t>
        </is>
      </c>
      <c r="D1230" s="10" t="inlineStr">
        <is>
          <t>Công ty TNHH Sản xuất, lắp ráp Tuấn Nghĩa</t>
        </is>
      </c>
      <c r="E1230" s="10" t="inlineStr">
        <is>
          <t>Lương:Cạnh tranh</t>
        </is>
      </c>
      <c r="F1230" s="10" t="inlineStr">
        <is>
          <t>Hà Nội</t>
        </is>
      </c>
      <c r="G1230" s="10" t="inlineStr">
        <is>
          <t>27-03-2026</t>
        </is>
      </c>
      <c r="H1230" s="10" t="inlineStr">
        <is>
          <t>27/03/2026</t>
        </is>
      </c>
      <c r="I1230" s="10" t="inlineStr">
        <is>
          <t>17/03/2026</t>
        </is>
      </c>
      <c r="J1230" s="10" t="inlineStr">
        <is>
          <t>Quản lý điều hành, Điện / Điện tử / Điện lạnh / Điện công nghiệp, Bán hàng / Kinh doanh</t>
        </is>
      </c>
      <c r="K1230" s="10" t="inlineStr">
        <is>
          <t>7 Năm</t>
        </is>
      </c>
      <c r="L1230" s="11">
        <f>HYPERLINK("https://careerviet.vn/vi/tim-viec-lam/giam-doc-kinh-doanh-toan-quoc-nsm-luong-co-ban-cao-hoa-hong-khong-gioi-han-di-lam-ngay.35C69EBB.html","Xem chi tiết")</f>
        <v/>
      </c>
      <c r="M1230" s="10" t="n"/>
    </row>
    <row r="1231">
      <c r="B1231" s="7" t="n">
        <v>1229</v>
      </c>
      <c r="C1231" t="inlineStr">
        <is>
          <t>LỄ TÂN NHA KHOA</t>
        </is>
      </c>
      <c r="D1231" t="inlineStr">
        <is>
          <t>Công Ty TNHH Trang Thiết Bị Nha Khoa</t>
        </is>
      </c>
      <c r="E1231" t="inlineStr">
        <is>
          <t>Lương:8 Tr - 12 Tr VND</t>
        </is>
      </c>
      <c r="F1231" t="inlineStr">
        <is>
          <t>Hồ Chí Minh</t>
        </is>
      </c>
      <c r="G1231" t="inlineStr">
        <is>
          <t>31-03-2026</t>
        </is>
      </c>
      <c r="H1231" t="inlineStr">
        <is>
          <t>31/03/2026</t>
        </is>
      </c>
      <c r="I1231" t="inlineStr">
        <is>
          <t>17/03/2026</t>
        </is>
      </c>
      <c r="J1231" t="inlineStr">
        <is>
          <t>Y tế / Chăm sóc sức khỏe / Thẩm mỹ / Làm đẹp, Dịch vụ khách hàng, Hành chính / Thư ký</t>
        </is>
      </c>
      <c r="K1231" t="inlineStr">
        <is>
          <t>1 - 2 Năm</t>
        </is>
      </c>
      <c r="L1231" s="8">
        <f>HYPERLINK("https://careerviet.vn/vi/tim-viec-lam/le-tan-nha-khoa.35C69E6B.html","Xem chi tiết")</f>
        <v/>
      </c>
    </row>
    <row r="1232">
      <c r="B1232" s="9" t="n">
        <v>1230</v>
      </c>
      <c r="C1232" s="10" t="inlineStr">
        <is>
          <t>Chuyên Viên Pháp Chế / Legal Executive</t>
        </is>
      </c>
      <c r="D1232" s="10" t="inlineStr">
        <is>
          <t>CÔNG TY CỔ PHẦN TẬP ĐOÀN THIÊN KHÔI – CHI NHÁNH HỒ CHÍ MINH</t>
        </is>
      </c>
      <c r="E1232" s="10" t="inlineStr">
        <is>
          <t>Lương:12 Tr - 25 Tr VND</t>
        </is>
      </c>
      <c r="F1232" s="10" t="inlineStr">
        <is>
          <t>Hồ Chí Minh</t>
        </is>
      </c>
      <c r="G1232" s="10" t="inlineStr">
        <is>
          <t>31-03-2026</t>
        </is>
      </c>
      <c r="H1232" s="10" t="inlineStr">
        <is>
          <t>31/03/2026</t>
        </is>
      </c>
      <c r="I1232" s="10" t="inlineStr">
        <is>
          <t>17/03/2026</t>
        </is>
      </c>
      <c r="J1232" s="10" t="inlineStr">
        <is>
          <t>Luật / Pháp lý, Bất động sản</t>
        </is>
      </c>
      <c r="K1232" s="10" t="inlineStr">
        <is>
          <t>2 - 5 Năm</t>
        </is>
      </c>
      <c r="L1232" s="11">
        <f>HYPERLINK("https://careerviet.vn/vi/tim-viec-lam/chuyen-vien-phap-che-legal-executive.35C69E0D.html","Xem chi tiết")</f>
        <v/>
      </c>
      <c r="M1232" s="10" t="n"/>
    </row>
    <row r="1233">
      <c r="B1233" s="7" t="n">
        <v>1231</v>
      </c>
      <c r="C1233" t="inlineStr">
        <is>
          <t>Giám Đốc Điều Hành Nhà Máy (Factory Director) | Thu Nhập Hấp Dẫn | Nhận Việc Ngay</t>
        </is>
      </c>
      <c r="D1233" t="inlineStr">
        <is>
          <t>Công ty TNHH Sản xuất, lắp ráp Tuấn Nghĩa</t>
        </is>
      </c>
      <c r="E1233" t="inlineStr">
        <is>
          <t>Lương:35 Tr - 45 Tr VND</t>
        </is>
      </c>
      <c r="F1233" t="inlineStr">
        <is>
          <t>Hà Nội</t>
        </is>
      </c>
      <c r="G1233" t="inlineStr">
        <is>
          <t>27-03-2026</t>
        </is>
      </c>
      <c r="H1233" t="inlineStr">
        <is>
          <t>27/03/2026</t>
        </is>
      </c>
      <c r="I1233" t="inlineStr">
        <is>
          <t>17/03/2026</t>
        </is>
      </c>
      <c r="J1233" t="inlineStr">
        <is>
          <t>Quản lý điều hành, Sản xuất / Vận hành sản xuất, Cơ khí / Ô tô / Tự động hóa</t>
        </is>
      </c>
      <c r="K1233" t="inlineStr">
        <is>
          <t>3 Năm</t>
        </is>
      </c>
      <c r="L1233" s="8">
        <f>HYPERLINK("https://careerviet.vn/vi/tim-viec-lam/giam-doc-dieu-hanh-nha-may-factory-director-thu-nhap-hap-dan-nhan-viec-ngay.35C69EAF.html","Xem chi tiết")</f>
        <v/>
      </c>
    </row>
    <row r="1234">
      <c r="B1234" s="9" t="n">
        <v>1232</v>
      </c>
      <c r="C1234" s="10" t="inlineStr">
        <is>
          <t>Nhân viên Kho (Stock Keeper)</t>
        </is>
      </c>
      <c r="D1234" s="10" t="inlineStr">
        <is>
          <t>Công Ty TNHH Trang Thiết Bị Nha Khoa</t>
        </is>
      </c>
      <c r="E1234" s="10" t="inlineStr">
        <is>
          <t>Lương:10 Tr - 12 Tr VND</t>
        </is>
      </c>
      <c r="F1234" s="10" t="inlineStr">
        <is>
          <t>Hồ Chí Minh</t>
        </is>
      </c>
      <c r="G1234" s="10" t="inlineStr">
        <is>
          <t>31-03-2026</t>
        </is>
      </c>
      <c r="H1234" s="10" t="inlineStr">
        <is>
          <t>31/03/2026</t>
        </is>
      </c>
      <c r="I1234" s="10" t="inlineStr">
        <is>
          <t>17/03/2026</t>
        </is>
      </c>
      <c r="J1234" s="10" t="inlineStr">
        <is>
          <t>Y tế / Chăm sóc sức khỏe / Thẩm mỹ / Làm đẹp, Vận chuyển / Giao nhận / Kho vận, Thu mua / Vật tư</t>
        </is>
      </c>
      <c r="K1234" s="10" t="inlineStr">
        <is>
          <t>2 - 5 Năm</t>
        </is>
      </c>
      <c r="L1234" s="11">
        <f>HYPERLINK("https://careerviet.vn/vi/tim-viec-lam/nhan-vien-kho-stock-keeper.35C69E06.html","Xem chi tiết")</f>
        <v/>
      </c>
      <c r="M1234" s="10" t="n"/>
    </row>
    <row r="1235">
      <c r="B1235" s="7" t="n">
        <v>1233</v>
      </c>
      <c r="C1235" t="inlineStr">
        <is>
          <t>KỸ SƯ CƠ ĐIỆN</t>
        </is>
      </c>
      <c r="D1235" t="inlineStr">
        <is>
          <t>CÔNG TY CỔ PHẦN VIỆT XUÂN MỚI MIỀN NAM</t>
        </is>
      </c>
      <c r="E1235" t="inlineStr">
        <is>
          <t>Lương:15 Tr - 20 Tr VND</t>
        </is>
      </c>
      <c r="F1235" t="inlineStr">
        <is>
          <t>Hồ Chí Minh</t>
        </is>
      </c>
      <c r="G1235" t="inlineStr">
        <is>
          <t>31-03-2026</t>
        </is>
      </c>
      <c r="H1235" t="inlineStr">
        <is>
          <t>31/03/2026</t>
        </is>
      </c>
      <c r="I1235" t="inlineStr">
        <is>
          <t>17/03/2026</t>
        </is>
      </c>
      <c r="J1235" t="inlineStr">
        <is>
          <t>Cơ khí / Ô tô / Tự động hóa, Điện / Điện tử / Điện lạnh / Điện công nghiệp, Dầu khí</t>
        </is>
      </c>
      <c r="K1235" t="inlineStr">
        <is>
          <t>Trên 2 Năm</t>
        </is>
      </c>
      <c r="L1235" s="8">
        <f>HYPERLINK("https://careerviet.vn/vi/tim-viec-lam/ky-su-co-dien.35C69EF3.html","Xem chi tiết")</f>
        <v/>
      </c>
    </row>
    <row r="1236">
      <c r="B1236" s="9" t="n">
        <v>1234</v>
      </c>
      <c r="C1236" s="10" t="inlineStr">
        <is>
          <t>NHÂN VIÊN KINH DOANH (VẬT TƯ TIÊU HAO hoặc THIẾT BỊ Y TẾ)</t>
        </is>
      </c>
      <c r="D1236" s="10" t="inlineStr">
        <is>
          <t>Bảo mật</t>
        </is>
      </c>
      <c r="E1236" s="10" t="inlineStr">
        <is>
          <t>Lương:15 Tr - 40 Tr VND</t>
        </is>
      </c>
      <c r="F1236" s="10" t="inlineStr">
        <is>
          <t>Hồ Chí Minh</t>
        </is>
      </c>
      <c r="G1236" s="10" t="inlineStr">
        <is>
          <t>31-03-2026</t>
        </is>
      </c>
      <c r="H1236" s="10" t="inlineStr">
        <is>
          <t>31/03/2026</t>
        </is>
      </c>
      <c r="I1236" s="10" t="inlineStr">
        <is>
          <t>17/03/2026</t>
        </is>
      </c>
      <c r="J1236" s="10" t="inlineStr">
        <is>
          <t>Bán lẻ / Bán sỉ, Bán hàng / Kinh doanh, Tiếp thị trực tuyến</t>
        </is>
      </c>
      <c r="K1236" s="10" t="inlineStr">
        <is>
          <t>1 - 2 Năm</t>
        </is>
      </c>
      <c r="L1236" s="11">
        <f>HYPERLINK("https://careerviet.vn/vi/tim-viec-lam/nhan-vien-kinh-doanh-vat-tu-tieu-hao-hoac-thiet-bi-y-te.35C69DF6.html","Xem chi tiết")</f>
        <v/>
      </c>
      <c r="M1236" s="10" t="n"/>
    </row>
    <row r="1237">
      <c r="B1237" s="7" t="n">
        <v>1235</v>
      </c>
      <c r="C1237" t="inlineStr">
        <is>
          <t>Trưởng Phòng Hành Chính Nhân Sự (HR Manager) | Thu Nhập 25–30 Triệu | Phỏng Vấn Đi Làm Ngay</t>
        </is>
      </c>
      <c r="D1237" t="inlineStr">
        <is>
          <t>Công ty TNHH Sản xuất, lắp ráp Tuấn Nghĩa</t>
        </is>
      </c>
      <c r="E1237" t="inlineStr">
        <is>
          <t>Lương:25 Tr - 30 Tr VND</t>
        </is>
      </c>
      <c r="F1237" t="inlineStr">
        <is>
          <t>Hà Nội</t>
        </is>
      </c>
      <c r="G1237" t="inlineStr">
        <is>
          <t>27-03-2026</t>
        </is>
      </c>
      <c r="H1237" t="inlineStr">
        <is>
          <t>27/03/2026</t>
        </is>
      </c>
      <c r="I1237" t="inlineStr">
        <is>
          <t>17/03/2026</t>
        </is>
      </c>
      <c r="J1237" t="inlineStr">
        <is>
          <t>Hành chính / Thư ký, Nhân sự, Luật / Pháp lý</t>
        </is>
      </c>
      <c r="K1237" t="inlineStr">
        <is>
          <t>3 Năm</t>
        </is>
      </c>
      <c r="L1237" s="8">
        <f>HYPERLINK("https://careerviet.vn/vi/tim-viec-lam/truong-phong-hanh-chinh-nhan-su-hr-manager-thu-nhap-25-30-trieu-phong-van-di-lam-ngay.35C69EAE.html","Xem chi tiết")</f>
        <v/>
      </c>
    </row>
    <row r="1238">
      <c r="B1238" s="9" t="n">
        <v>1236</v>
      </c>
      <c r="C1238" s="10" t="inlineStr">
        <is>
          <t>Chuyên viên Bảo trì</t>
        </is>
      </c>
      <c r="D1238" s="10" t="inlineStr">
        <is>
          <t>Công Ty Sữa Đậu Nành Việt Nam - Vinasoy</t>
        </is>
      </c>
      <c r="E1238" s="10" t="inlineStr">
        <is>
          <t>Lương:Cạnh tranh</t>
        </is>
      </c>
      <c r="F1238" s="10" t="inlineStr">
        <is>
          <t>Bắc Ninh</t>
        </is>
      </c>
      <c r="G1238" s="10" t="inlineStr">
        <is>
          <t>29-03-2026</t>
        </is>
      </c>
      <c r="H1238" s="10" t="inlineStr">
        <is>
          <t>29/03/2026</t>
        </is>
      </c>
      <c r="I1238" s="10" t="inlineStr">
        <is>
          <t>17/03/2026</t>
        </is>
      </c>
      <c r="J1238" s="10" t="inlineStr">
        <is>
          <t>Cơ khí / Ô tô / Tự động hóa, Điện / Điện tử / Điện lạnh / Điện công nghiệp</t>
        </is>
      </c>
      <c r="K1238" s="10" t="inlineStr">
        <is>
          <t>1 - 3 Năm</t>
        </is>
      </c>
      <c r="L1238" s="11">
        <f>HYPERLINK("https://careerviet.vn/vi/tim-viec-lam/chuyen-vien-bao-tri.35C69DCD.html","Xem chi tiết")</f>
        <v/>
      </c>
      <c r="M1238" s="10" t="n"/>
    </row>
    <row r="1239">
      <c r="B1239" s="7" t="n">
        <v>1237</v>
      </c>
      <c r="C1239" t="inlineStr">
        <is>
          <t>Kỹ Sư Robot</t>
        </is>
      </c>
      <c r="D1239" t="inlineStr">
        <is>
          <t>Công ty Cổ phần Thiết bị và Giải pháp cơ khí Automech</t>
        </is>
      </c>
      <c r="E1239" t="inlineStr">
        <is>
          <t>Lương:15 Tr - 30 Tr VND</t>
        </is>
      </c>
      <c r="F1239" t="inlineStr">
        <is>
          <t>Hà Nội</t>
        </is>
      </c>
      <c r="G1239" t="inlineStr">
        <is>
          <t>27-03-2026</t>
        </is>
      </c>
      <c r="H1239" t="inlineStr">
        <is>
          <t>27/03/2026</t>
        </is>
      </c>
      <c r="I1239" t="inlineStr">
        <is>
          <t>17/03/2026</t>
        </is>
      </c>
      <c r="J1239" t="inlineStr">
        <is>
          <t>Cơ khí / Ô tô / Tự động hóa, Điện / Điện tử / Điện lạnh / Điện công nghiệp, Thương mại điện tử</t>
        </is>
      </c>
      <c r="K1239" t="inlineStr">
        <is>
          <t>Trên 1 Năm</t>
        </is>
      </c>
      <c r="L1239" s="8">
        <f>HYPERLINK("https://careerviet.vn/vi/tim-viec-lam/ky-su-robot.35C69DF8.html","Xem chi tiết")</f>
        <v/>
      </c>
    </row>
    <row r="1240">
      <c r="B1240" s="9" t="n">
        <v>1238</v>
      </c>
      <c r="C1240" s="10" t="inlineStr">
        <is>
          <t>Nhân Viên Kinh Doanh</t>
        </is>
      </c>
      <c r="D1240" s="10" t="inlineStr">
        <is>
          <t>Công ty Cổ phần Thiết bị và Giải pháp cơ khí Automech</t>
        </is>
      </c>
      <c r="E1240" s="10" t="inlineStr">
        <is>
          <t>Lương:Trên 15 Tr VND</t>
        </is>
      </c>
      <c r="F1240" s="10" t="inlineStr">
        <is>
          <t>Hồ Chí MinhHà NộiĐà Nẵng</t>
        </is>
      </c>
      <c r="G1240" s="10" t="inlineStr">
        <is>
          <t>27-03-2026</t>
        </is>
      </c>
      <c r="H1240" s="10" t="inlineStr">
        <is>
          <t>27/03/2026</t>
        </is>
      </c>
      <c r="I1240" s="10" t="inlineStr">
        <is>
          <t>17/03/2026</t>
        </is>
      </c>
      <c r="J1240" s="10" t="inlineStr">
        <is>
          <t>Bán hàng / Kinh doanh, Bán lẻ / Bán sỉ, Cơ khí / Ô tô / Tự động hóa</t>
        </is>
      </c>
      <c r="K1240" s="10" t="inlineStr">
        <is>
          <t>N/A</t>
        </is>
      </c>
      <c r="L1240" s="11">
        <f>HYPERLINK("https://careerviet.vn/vi/tim-viec-lam/nhan-vien-kinh-doanh.35C69E25.html","Xem chi tiết")</f>
        <v/>
      </c>
      <c r="M1240" s="10" t="n"/>
    </row>
    <row r="1241">
      <c r="B1241" s="7" t="n">
        <v>1239</v>
      </c>
      <c r="C1241" t="inlineStr">
        <is>
          <t>Sales Manager (Mảng Bán Mới)</t>
        </is>
      </c>
      <c r="D1241" t="inlineStr">
        <is>
          <t>KONE Việt Nam</t>
        </is>
      </c>
      <c r="E1241" t="inlineStr">
        <is>
          <t>Lương:32 Tr - 45 Tr VND</t>
        </is>
      </c>
      <c r="F1241" t="inlineStr">
        <is>
          <t>Hà Nội</t>
        </is>
      </c>
      <c r="G1241" t="inlineStr">
        <is>
          <t>24-03-2026</t>
        </is>
      </c>
      <c r="H1241" t="inlineStr">
        <is>
          <t>24/03/2026</t>
        </is>
      </c>
      <c r="I1241" t="inlineStr">
        <is>
          <t>17/03/2026</t>
        </is>
      </c>
      <c r="J1241" t="inlineStr">
        <is>
          <t>Bán hàng / Kinh doanh, Bán Hàng Kỹ Thuật, Bất động sản</t>
        </is>
      </c>
      <c r="K1241" t="inlineStr">
        <is>
          <t>8 - 15 Năm</t>
        </is>
      </c>
      <c r="L1241" s="8">
        <f>HYPERLINK("https://careerviet.vn/vi/tim-viec-lam/sales-manager-mang-ban-moi.35C69CF2.html","Xem chi tiết")</f>
        <v/>
      </c>
    </row>
    <row r="1242">
      <c r="B1242" s="9" t="n">
        <v>1240</v>
      </c>
      <c r="C1242" s="10" t="inlineStr">
        <is>
          <t>Sales Supervisor (Mảng Nâng Cấp)</t>
        </is>
      </c>
      <c r="D1242" s="10" t="inlineStr">
        <is>
          <t>KONE Việt Nam</t>
        </is>
      </c>
      <c r="E1242" s="10" t="inlineStr">
        <is>
          <t>Lương:25 Tr - 32 Tr VND</t>
        </is>
      </c>
      <c r="F1242" s="10" t="inlineStr">
        <is>
          <t>Hồ Chí Minh</t>
        </is>
      </c>
      <c r="G1242" s="10" t="inlineStr">
        <is>
          <t>25-03-2026</t>
        </is>
      </c>
      <c r="H1242" s="10" t="inlineStr">
        <is>
          <t>25/03/2026</t>
        </is>
      </c>
      <c r="I1242" s="10" t="inlineStr">
        <is>
          <t>17/03/2026</t>
        </is>
      </c>
      <c r="J1242" s="10" t="inlineStr">
        <is>
          <t>Bán hàng / Kinh doanh, Bán Hàng Kỹ Thuật, Xây dựng</t>
        </is>
      </c>
      <c r="K1242" s="10" t="inlineStr">
        <is>
          <t>3 - 14 Năm</t>
        </is>
      </c>
      <c r="L1242" s="11">
        <f>HYPERLINK("https://careerviet.vn/vi/tim-viec-lam/sales-supervisor-mang-nang-cap.35C69CF1.html","Xem chi tiết")</f>
        <v/>
      </c>
      <c r="M1242" s="10" t="n"/>
    </row>
    <row r="1243">
      <c r="B1243" s="7" t="n">
        <v>1241</v>
      </c>
      <c r="C1243" t="inlineStr">
        <is>
          <t>Chuyên viên Đào tạo &amp; Phát triển E-learning</t>
        </is>
      </c>
      <c r="D1243" t="inlineStr">
        <is>
          <t>CÔNG TY CỔ PHẦN TẬP ĐOÀN THIÊN KHÔI – CHI NHÁNH HỒ CHÍ MINH</t>
        </is>
      </c>
      <c r="E1243" t="inlineStr">
        <is>
          <t>Lương:12 Tr - 15 Tr VND</t>
        </is>
      </c>
      <c r="F1243" t="inlineStr">
        <is>
          <t>Hồ Chí Minh</t>
        </is>
      </c>
      <c r="G1243" t="inlineStr">
        <is>
          <t>31-03-2026</t>
        </is>
      </c>
      <c r="H1243" t="inlineStr">
        <is>
          <t>31/03/2026</t>
        </is>
      </c>
      <c r="I1243" t="inlineStr">
        <is>
          <t>17/03/2026</t>
        </is>
      </c>
      <c r="J1243" t="inlineStr">
        <is>
          <t>Giáo dục / Đào tạo, Nhân sự, Bất động sản</t>
        </is>
      </c>
      <c r="K1243" t="inlineStr">
        <is>
          <t>1 - 3 Năm</t>
        </is>
      </c>
      <c r="L1243" s="8">
        <f>HYPERLINK("https://careerviet.vn/vi/tim-viec-lam/chuyen-vien-dao-tao-phat-trien-e-learning.35C69DAA.html","Xem chi tiết")</f>
        <v/>
      </c>
    </row>
    <row r="1244">
      <c r="B1244" s="9" t="n">
        <v>1242</v>
      </c>
      <c r="C1244" s="10" t="inlineStr">
        <is>
          <t>Kế Toán Trưởng</t>
        </is>
      </c>
      <c r="D1244" s="10" t="inlineStr">
        <is>
          <t>Công ty Cổ phần Toyota Thái Hòa</t>
        </is>
      </c>
      <c r="E1244" s="10" t="inlineStr">
        <is>
          <t>Lương:30 Tr - 35 Tr VND</t>
        </is>
      </c>
      <c r="F1244" s="10" t="inlineStr">
        <is>
          <t>Hà Nội</t>
        </is>
      </c>
      <c r="G1244" s="10" t="inlineStr">
        <is>
          <t>26-03-2026</t>
        </is>
      </c>
      <c r="H1244" s="10" t="inlineStr">
        <is>
          <t>26/03/2026</t>
        </is>
      </c>
      <c r="I1244" s="10" t="inlineStr">
        <is>
          <t>17/03/2026</t>
        </is>
      </c>
      <c r="J1244" s="10" t="inlineStr">
        <is>
          <t>Kế toán / Kiểm toán, Cơ khí / Ô tô / Tự động hóa, Tài chính / Đầu tư</t>
        </is>
      </c>
      <c r="K1244" s="10" t="inlineStr">
        <is>
          <t>Trên 5 Năm</t>
        </is>
      </c>
      <c r="L1244" s="11">
        <f>HYPERLINK("https://careerviet.vn/vi/tim-viec-lam/ke-toan-truong.35C69CA3.html","Xem chi tiết")</f>
        <v/>
      </c>
      <c r="M1244" s="10" t="n"/>
    </row>
    <row r="1245">
      <c r="B1245" s="7" t="n">
        <v>1243</v>
      </c>
      <c r="C1245" t="inlineStr">
        <is>
          <t>Nhân Viên Kế Toán Thuế</t>
        </is>
      </c>
      <c r="D1245" t="inlineStr">
        <is>
          <t>CÔNG TY CỔ PHẦN JEMMIA</t>
        </is>
      </c>
      <c r="E1245" t="inlineStr">
        <is>
          <t>Lương:10 Tr - 14 Tr VND</t>
        </is>
      </c>
      <c r="F1245" t="inlineStr">
        <is>
          <t>Hồ Chí Minh</t>
        </is>
      </c>
      <c r="G1245" t="inlineStr">
        <is>
          <t>27-03-2026</t>
        </is>
      </c>
      <c r="H1245" t="inlineStr">
        <is>
          <t>27/03/2026</t>
        </is>
      </c>
      <c r="I1245" t="inlineStr">
        <is>
          <t>17/03/2026</t>
        </is>
      </c>
      <c r="J1245" t="inlineStr">
        <is>
          <t>Kế toán / Kiểm toán</t>
        </is>
      </c>
      <c r="K1245" t="inlineStr">
        <is>
          <t>1 - 2 Năm</t>
        </is>
      </c>
      <c r="L1245" s="8">
        <f>HYPERLINK("https://careerviet.vn/vi/tim-viec-lam/nhan-vien-ke-toan-thue.35C69DD9.html","Xem chi tiết")</f>
        <v/>
      </c>
    </row>
    <row r="1246">
      <c r="B1246" s="9" t="n">
        <v>1244</v>
      </c>
      <c r="C1246" s="10" t="inlineStr">
        <is>
          <t>Chuyên Viên Hành Chính - Thu Mua</t>
        </is>
      </c>
      <c r="D1246" s="10" t="inlineStr">
        <is>
          <t>CÔNG TY CỔ PHẦN TẬP ĐOÀN THIÊN KHÔI – CHI NHÁNH HỒ CHÍ MINH</t>
        </is>
      </c>
      <c r="E1246" s="10" t="inlineStr">
        <is>
          <t>Lương:12 Tr - 14 Tr VND</t>
        </is>
      </c>
      <c r="F1246" s="10" t="inlineStr">
        <is>
          <t>Hồ Chí Minh</t>
        </is>
      </c>
      <c r="G1246" s="10" t="inlineStr">
        <is>
          <t>31-03-2026</t>
        </is>
      </c>
      <c r="H1246" s="10" t="inlineStr">
        <is>
          <t>31/03/2026</t>
        </is>
      </c>
      <c r="I1246" s="10" t="inlineStr">
        <is>
          <t>17/03/2026</t>
        </is>
      </c>
      <c r="J1246" s="10" t="inlineStr">
        <is>
          <t>Hành chính / Thư ký, Bất động sản, Bán hàng / Kinh doanh</t>
        </is>
      </c>
      <c r="K1246" s="10" t="inlineStr">
        <is>
          <t>2 - 3 Năm</t>
        </is>
      </c>
      <c r="L1246" s="11">
        <f>HYPERLINK("https://careerviet.vn/vi/tim-viec-lam/chuyen-vien-hanh-chinh-thu-mua.35C69D6C.html","Xem chi tiết")</f>
        <v/>
      </c>
      <c r="M1246" s="10" t="n"/>
    </row>
    <row r="1247">
      <c r="B1247" s="7" t="n">
        <v>1245</v>
      </c>
      <c r="C1247" t="inlineStr">
        <is>
          <t>Kỹ Sư Kinh Doanh</t>
        </is>
      </c>
      <c r="D1247" t="inlineStr">
        <is>
          <t>CÔNG TY TNHH VŨ MINH</t>
        </is>
      </c>
      <c r="E1247" t="inlineStr">
        <is>
          <t>Lương:Cạnh tranh</t>
        </is>
      </c>
      <c r="F1247" t="inlineStr">
        <is>
          <t>Hồ Chí MinhHà Nội</t>
        </is>
      </c>
      <c r="G1247" t="inlineStr">
        <is>
          <t>25-03-2026</t>
        </is>
      </c>
      <c r="H1247" t="inlineStr">
        <is>
          <t>25/03/2026</t>
        </is>
      </c>
      <c r="I1247" t="inlineStr">
        <is>
          <t>17/03/2026</t>
        </is>
      </c>
      <c r="J1247" t="inlineStr">
        <is>
          <t>Bán Hàng Kỹ Thuật, Cơ khí / Ô tô / Tự động hóa, Sản xuất / Vận hành sản xuấtBằng cấpĐại họcĐộ tuổi26 - 36</t>
        </is>
      </c>
      <c r="K1247" t="inlineStr">
        <is>
          <t>N/A</t>
        </is>
      </c>
      <c r="L1247" s="8">
        <f>HYPERLINK("https://careerviet.vn/vi/tim-viec-lam/ky-su-kinh-doanh.35C69D59.html","Xem chi tiết")</f>
        <v/>
      </c>
    </row>
    <row r="1248">
      <c r="B1248" s="9" t="n">
        <v>1246</v>
      </c>
      <c r="C1248" s="10" t="inlineStr">
        <is>
          <t>Chuyên viên Giám định Xe cơ giới tại địa bàn Bình Thuận - Khối Giám định bồi thường</t>
        </is>
      </c>
      <c r="D1248" s="10" t="inlineStr">
        <is>
          <t>Tổng Công ty Cổ phần Bảo hiểm Quân đội (MIC)</t>
        </is>
      </c>
      <c r="E1248" s="10" t="inlineStr">
        <is>
          <t>Lương:Cạnh tranh</t>
        </is>
      </c>
      <c r="F1248" s="10" t="inlineStr">
        <is>
          <t>Bình Thuận</t>
        </is>
      </c>
      <c r="G1248" s="10" t="inlineStr">
        <is>
          <t>28-03-2026</t>
        </is>
      </c>
      <c r="H1248" s="10" t="inlineStr">
        <is>
          <t>28/03/2026</t>
        </is>
      </c>
      <c r="I1248" s="10" t="inlineStr">
        <is>
          <t>17/03/2026</t>
        </is>
      </c>
      <c r="J1248" s="10" t="inlineStr">
        <is>
          <t>Bảo hiểm, Bảo trì / Sửa chữa</t>
        </is>
      </c>
      <c r="K1248" s="10" t="inlineStr">
        <is>
          <t>1 - 10 Năm</t>
        </is>
      </c>
      <c r="L1248" s="11">
        <f>HYPERLINK("https://careerviet.vn/vi/tim-viec-lam/chuyen-vien-giam-dinh-xe-co-gioi-tai-dia-ban-binh-thuan-khoi-giam-dinh-boi-thuong.35C69C5A.html","Xem chi tiết")</f>
        <v/>
      </c>
      <c r="M1248" s="10" t="n"/>
    </row>
    <row r="1249">
      <c r="B1249" s="7" t="n">
        <v>1247</v>
      </c>
      <c r="C1249" t="inlineStr">
        <is>
          <t>Nhân Viên Bảo Trì Điện</t>
        </is>
      </c>
      <c r="D1249" t="inlineStr">
        <is>
          <t>CÔNG TY TNHH M.E.NIKKISO VIỆT NAM</t>
        </is>
      </c>
      <c r="E1249" t="inlineStr">
        <is>
          <t>Lương:Cạnh tranh</t>
        </is>
      </c>
      <c r="F1249" t="inlineStr">
        <is>
          <t>Quảng Ngãi</t>
        </is>
      </c>
      <c r="G1249" t="inlineStr">
        <is>
          <t>26-03-2026</t>
        </is>
      </c>
      <c r="H1249" t="inlineStr">
        <is>
          <t>26/03/2026</t>
        </is>
      </c>
      <c r="I1249" t="inlineStr">
        <is>
          <t>17/03/2026</t>
        </is>
      </c>
      <c r="J1249" t="inlineStr">
        <is>
          <t>Điện / Điện tử / Điện lạnh / Điện công nghiệp, Bảo trì / Sửa chữa, Sản xuất / Vận hành sản xuất</t>
        </is>
      </c>
      <c r="K1249" t="inlineStr">
        <is>
          <t>Không yêu cầu kinh nghiệm</t>
        </is>
      </c>
      <c r="L1249" s="8">
        <f>HYPERLINK("https://careerviet.vn/vi/tim-viec-lam/nhan-vien-bao-tri-dien.35C69C94.html","Xem chi tiết")</f>
        <v/>
      </c>
    </row>
    <row r="1250">
      <c r="B1250" s="9" t="n">
        <v>1248</v>
      </c>
      <c r="C1250" s="10" t="inlineStr">
        <is>
          <t>QC Inspection - Kết Cấu Thép</t>
        </is>
      </c>
      <c r="D1250" s="10" t="inlineStr">
        <is>
          <t>ATAD Steel Structure Corporation</t>
        </is>
      </c>
      <c r="E1250" s="10" t="inlineStr">
        <is>
          <t>Lương:Cạnh tranh</t>
        </is>
      </c>
      <c r="F1250" s="10" t="inlineStr">
        <is>
          <t>Đồng Nai</t>
        </is>
      </c>
      <c r="G1250" s="10" t="inlineStr">
        <is>
          <t>14-04-2026</t>
        </is>
      </c>
      <c r="H1250" s="10" t="inlineStr">
        <is>
          <t>14/04/2026</t>
        </is>
      </c>
      <c r="I1250" s="10" t="inlineStr">
        <is>
          <t>17/03/2026</t>
        </is>
      </c>
      <c r="J1250" s="10" t="inlineStr">
        <is>
          <t>Xây dựng, Quản lý chất lượng (QA/QC), Cơ khí / Ô tô / Tự động hóa</t>
        </is>
      </c>
      <c r="K1250" s="10" t="inlineStr">
        <is>
          <t>1 - 3 Năm</t>
        </is>
      </c>
      <c r="L1250" s="11">
        <f>HYPERLINK("https://careerviet.vn/vi/tim-viec-lam/qc-inspection-ket-cau-thep.35C65520.html","Xem chi tiết")</f>
        <v/>
      </c>
      <c r="M1250" s="10" t="n"/>
    </row>
    <row r="1251">
      <c r="B1251" s="7" t="n">
        <v>1249</v>
      </c>
      <c r="C1251" t="inlineStr">
        <is>
          <t>Giám đốc kinh doanh</t>
        </is>
      </c>
      <c r="D1251" t="inlineStr">
        <is>
          <t>Công ty Cổ phần Đầu tư và Phát triển Địa ốc Coreland</t>
        </is>
      </c>
      <c r="E1251" t="inlineStr">
        <is>
          <t>Lương:30 Tr - 50 Tr VND</t>
        </is>
      </c>
      <c r="F1251" t="inlineStr">
        <is>
          <t>Thanh Hóa</t>
        </is>
      </c>
      <c r="G1251" t="inlineStr">
        <is>
          <t>14-04-2026</t>
        </is>
      </c>
      <c r="H1251" t="inlineStr">
        <is>
          <t>14/04/2026</t>
        </is>
      </c>
      <c r="I1251" t="inlineStr">
        <is>
          <t>17/03/2026</t>
        </is>
      </c>
      <c r="J1251" t="inlineStr">
        <is>
          <t>Bán hàng / Kinh doanh, Bất động sản</t>
        </is>
      </c>
      <c r="K1251" t="inlineStr">
        <is>
          <t>1 - 2 Năm</t>
        </is>
      </c>
      <c r="L1251" s="8">
        <f>HYPERLINK("https://careerviet.vn/vi/tim-viec-lam/giam-doc-kinh-doanh.35C65927.html","Xem chi tiết")</f>
        <v/>
      </c>
    </row>
    <row r="1252">
      <c r="B1252" s="9" t="n">
        <v>1250</v>
      </c>
      <c r="C1252" s="10" t="inlineStr">
        <is>
          <t>Nhân Viên Sale Admin</t>
        </is>
      </c>
      <c r="D1252" s="10" t="inlineStr">
        <is>
          <t>FC CO.,LTD</t>
        </is>
      </c>
      <c r="E1252" s="10" t="inlineStr">
        <is>
          <t>Lương:Cạnh tranh</t>
        </is>
      </c>
      <c r="F1252" s="10" t="inlineStr">
        <is>
          <t>Hồ Chí Minh</t>
        </is>
      </c>
      <c r="G1252" s="10" t="inlineStr">
        <is>
          <t>26-03-2026</t>
        </is>
      </c>
      <c r="H1252" s="10" t="inlineStr">
        <is>
          <t>26/03/2026</t>
        </is>
      </c>
      <c r="I1252" s="10" t="inlineStr">
        <is>
          <t>17/03/2026</t>
        </is>
      </c>
      <c r="J1252" s="10" t="inlineStr">
        <is>
          <t>Xuất nhập khẩu, Thu mua / Vật tư, Bán hàng / Kinh doanh</t>
        </is>
      </c>
      <c r="K1252" s="10" t="inlineStr">
        <is>
          <t>Trên 2 Năm</t>
        </is>
      </c>
      <c r="L1252" s="11">
        <f>HYPERLINK("https://careerviet.vn/vi/tim-viec-lam/nhan-vien-sale-admin.35C69C5C.html","Xem chi tiết")</f>
        <v/>
      </c>
      <c r="M1252" s="10" t="n"/>
    </row>
    <row r="1253">
      <c r="B1253" s="7" t="n">
        <v>1251</v>
      </c>
      <c r="C1253" t="inlineStr">
        <is>
          <t>Kỹ Thuật Viên Bảo Trì Điện Tự Động - Nhà máy Bắc Ninh</t>
        </is>
      </c>
      <c r="D1253" t="inlineStr">
        <is>
          <t>Suntory PepsiCo</t>
        </is>
      </c>
      <c r="E1253" t="inlineStr">
        <is>
          <t>Lương:Cạnh tranh</t>
        </is>
      </c>
      <c r="F1253" t="inlineStr">
        <is>
          <t>Bắc Ninh</t>
        </is>
      </c>
      <c r="G1253" t="inlineStr">
        <is>
          <t>14-04-2026</t>
        </is>
      </c>
      <c r="H1253" t="inlineStr">
        <is>
          <t>14/04/2026</t>
        </is>
      </c>
      <c r="I1253" t="inlineStr">
        <is>
          <t>17/03/2026</t>
        </is>
      </c>
      <c r="J1253" t="inlineStr">
        <is>
          <t>Cơ khí / Ô tô / Tự động hóa</t>
        </is>
      </c>
      <c r="K1253" t="inlineStr">
        <is>
          <t>N/A</t>
        </is>
      </c>
      <c r="L1253" s="8">
        <f>HYPERLINK("https://careerviet.vn/vi/tim-viec-lam/ky-thuat-vien-bao-tri-dien-tu-dong-nha-may-bac-ninh.35C65967.html","Xem chi tiết")</f>
        <v/>
      </c>
    </row>
    <row r="1254">
      <c r="B1254" s="9" t="n">
        <v>1252</v>
      </c>
      <c r="C1254" s="10" t="inlineStr">
        <is>
          <t>Trưởng Nhóm Hỗ Trợ Thanh Toán Khoản Vay Thế Chấp</t>
        </is>
      </c>
      <c r="D1254" s="10" t="inlineStr">
        <is>
          <t>LOTTE FINANCE VIETNAM</t>
        </is>
      </c>
      <c r="E1254" s="10" t="inlineStr">
        <is>
          <t>Lương:Cạnh tranh</t>
        </is>
      </c>
      <c r="F1254" s="10" t="inlineStr">
        <is>
          <t>Hồ Chí Minh</t>
        </is>
      </c>
      <c r="G1254" s="10" t="inlineStr">
        <is>
          <t>14-04-2026</t>
        </is>
      </c>
      <c r="H1254" s="10" t="inlineStr">
        <is>
          <t>14/04/2026</t>
        </is>
      </c>
      <c r="I1254" s="10" t="inlineStr">
        <is>
          <t>17/03/2026</t>
        </is>
      </c>
      <c r="J1254" s="10" t="inlineStr">
        <is>
          <t>Kế toán / Kiểm toán, Ngân hàng, Tài chính / Đầu tư</t>
        </is>
      </c>
      <c r="K1254" s="10" t="inlineStr">
        <is>
          <t>Trên 3 Năm</t>
        </is>
      </c>
      <c r="L1254" s="11">
        <f>HYPERLINK("https://careerviet.vn/vi/tim-viec-lam/truong-nhom-ho-tro-thanh-toan-khoan-vay-the-chap.35C65996.html","Xem chi tiết")</f>
        <v/>
      </c>
      <c r="M1254" s="10" t="n"/>
    </row>
    <row r="1255">
      <c r="B1255" s="7" t="n">
        <v>1253</v>
      </c>
      <c r="C1255" t="inlineStr">
        <is>
          <t>Chuyên viên phát triển thị trường</t>
        </is>
      </c>
      <c r="D1255" t="inlineStr">
        <is>
          <t>CÔNG TY CỔ PHẦN DỊCH VỤ DU LỊCH &amp; THƯƠNG MẠI TST</t>
        </is>
      </c>
      <c r="E1255" t="inlineStr">
        <is>
          <t>Lương:9 Tr - 15 Tr VND</t>
        </is>
      </c>
      <c r="F1255" t="inlineStr">
        <is>
          <t>Hồ Chí Minh</t>
        </is>
      </c>
      <c r="G1255" t="inlineStr">
        <is>
          <t>31-03-2026</t>
        </is>
      </c>
      <c r="H1255" t="inlineStr">
        <is>
          <t>31/03/2026</t>
        </is>
      </c>
      <c r="I1255" t="inlineStr">
        <is>
          <t>17/03/2026</t>
        </is>
      </c>
      <c r="J1255" t="inlineStr">
        <is>
          <t>Bán hàng / Kinh doanh, Du lịch</t>
        </is>
      </c>
      <c r="K1255" t="inlineStr">
        <is>
          <t>2 - 5 Năm</t>
        </is>
      </c>
      <c r="L1255" s="8">
        <f>HYPERLINK("https://careerviet.vn/vi/tim-viec-lam/chuyen-vien-phat-trien-thi-truong.35C69C55.html","Xem chi tiết")</f>
        <v/>
      </c>
    </row>
    <row r="1256">
      <c r="B1256" s="9" t="n">
        <v>1254</v>
      </c>
      <c r="C1256" s="10" t="inlineStr">
        <is>
          <t>Kỹ Thuật vận hành Máy Ép Nhựa</t>
        </is>
      </c>
      <c r="D1256" s="10" t="inlineStr">
        <is>
          <t>CHI NHÁNH CÔNG TY TNHH DAEYOUNG EP VINA TẠI BÀ RỊA - VŨNG TÀU</t>
        </is>
      </c>
      <c r="E1256" s="10" t="inlineStr">
        <is>
          <t>Lương:Trên 10 Tr VND</t>
        </is>
      </c>
      <c r="F1256" s="10" t="inlineStr">
        <is>
          <t>Bà Rịa - Vũng Tàu</t>
        </is>
      </c>
      <c r="G1256" s="10" t="inlineStr">
        <is>
          <t>14-04-2026</t>
        </is>
      </c>
      <c r="H1256" s="10" t="inlineStr">
        <is>
          <t>14/04/2026</t>
        </is>
      </c>
      <c r="I1256" s="10" t="inlineStr">
        <is>
          <t>17/03/2026</t>
        </is>
      </c>
      <c r="J1256" s="10" t="inlineStr">
        <is>
          <t>Cơ khí / Ô tô / Tự động hóa</t>
        </is>
      </c>
      <c r="K1256" s="10" t="inlineStr">
        <is>
          <t>Trên 3 Năm</t>
        </is>
      </c>
      <c r="L1256" s="11">
        <f>HYPERLINK("https://careerviet.vn/vi/tim-viec-lam/ky-thuat-van-hanh-may-ep-nhua.35C6583B.html","Xem chi tiết")</f>
        <v/>
      </c>
      <c r="M1256" s="10" t="n"/>
    </row>
    <row r="1257">
      <c r="B1257" s="7" t="n">
        <v>1255</v>
      </c>
      <c r="C1257" t="inlineStr">
        <is>
          <t>Giảng viên Logistics &amp; Quản lý chuỗi cung ứng</t>
        </is>
      </c>
      <c r="D1257" t="inlineStr">
        <is>
          <t>Trường Đại Học Đông Á - Đà Nẵng</t>
        </is>
      </c>
      <c r="E1257" t="inlineStr">
        <is>
          <t>Lương:Cạnh tranh</t>
        </is>
      </c>
      <c r="F1257" t="inlineStr">
        <is>
          <t>Đà Nẵng</t>
        </is>
      </c>
      <c r="G1257" t="inlineStr">
        <is>
          <t>14-04-2026</t>
        </is>
      </c>
      <c r="H1257" t="inlineStr">
        <is>
          <t>14/04/2026</t>
        </is>
      </c>
      <c r="I1257" t="inlineStr">
        <is>
          <t>17/03/2026</t>
        </is>
      </c>
      <c r="J1257" t="inlineStr">
        <is>
          <t>Giáo dục / Đào tạo, Xuất nhập khẩu</t>
        </is>
      </c>
      <c r="K1257" t="inlineStr">
        <is>
          <t>2 - 3 Năm</t>
        </is>
      </c>
      <c r="L1257" s="8">
        <f>HYPERLINK("https://careerviet.vn/vi/tim-viec-lam/giang-vien-logistics-quan-ly-chuoi-cung-ung.35C68AE4.html","Xem chi tiết")</f>
        <v/>
      </c>
    </row>
    <row r="1258">
      <c r="B1258" s="9" t="n">
        <v>1256</v>
      </c>
      <c r="C1258" s="10" t="inlineStr">
        <is>
          <t>Kế Toán Viên</t>
        </is>
      </c>
      <c r="D1258" s="10" t="inlineStr">
        <is>
          <t>CÔNG TY CP TẬP ĐOÀN ĐẦU TƯ HOÀNG GIA VIỆT NAM</t>
        </is>
      </c>
      <c r="E1258" s="10" t="inlineStr">
        <is>
          <t>Lương:Cạnh tranh</t>
        </is>
      </c>
      <c r="F1258" s="10" t="inlineStr">
        <is>
          <t>Hồ Chí Minh</t>
        </is>
      </c>
      <c r="G1258" s="10" t="inlineStr">
        <is>
          <t>14-04-2026</t>
        </is>
      </c>
      <c r="H1258" s="10" t="inlineStr">
        <is>
          <t>14/04/2026</t>
        </is>
      </c>
      <c r="I1258" s="10" t="inlineStr">
        <is>
          <t>17/03/2026</t>
        </is>
      </c>
      <c r="J1258" s="10" t="inlineStr">
        <is>
          <t>Kế toán / Kiểm toán</t>
        </is>
      </c>
      <c r="K1258" s="10" t="inlineStr">
        <is>
          <t>3 - 5 Năm</t>
        </is>
      </c>
      <c r="L1258" s="11">
        <f>HYPERLINK("https://careerviet.vn/vi/tim-viec-lam/ke-toan-vien.35C658A2.html","Xem chi tiết")</f>
        <v/>
      </c>
      <c r="M1258" s="10" t="n"/>
    </row>
    <row r="1259">
      <c r="B1259" s="7" t="n">
        <v>1257</v>
      </c>
      <c r="C1259" t="inlineStr">
        <is>
          <t>Nhân viên Quản lý thành viên</t>
        </is>
      </c>
      <c r="D1259" t="inlineStr">
        <is>
          <t>Sở Giao dịch Hàng hóa Việt Nam</t>
        </is>
      </c>
      <c r="E1259" t="inlineStr">
        <is>
          <t>Lương:Cạnh tranh</t>
        </is>
      </c>
      <c r="F1259" t="inlineStr">
        <is>
          <t>Hà Nội</t>
        </is>
      </c>
      <c r="G1259" t="inlineStr">
        <is>
          <t>14-04-2026</t>
        </is>
      </c>
      <c r="H1259" t="inlineStr">
        <is>
          <t>14/04/2026</t>
        </is>
      </c>
      <c r="I1259" t="inlineStr">
        <is>
          <t>17/03/2026</t>
        </is>
      </c>
      <c r="J1259" t="inlineStr">
        <is>
          <t>Tài chính / Đầu tư</t>
        </is>
      </c>
      <c r="K1259" t="inlineStr">
        <is>
          <t>Trên 1 Năm</t>
        </is>
      </c>
      <c r="L1259" s="8">
        <f>HYPERLINK("https://careerviet.vn/vi/tim-viec-lam/nhan-vien-quan-ly-thanh-vien.35C65990.html","Xem chi tiết")</f>
        <v/>
      </c>
    </row>
    <row r="1260">
      <c r="B1260" s="9" t="n">
        <v>1258</v>
      </c>
      <c r="C1260" s="10" t="inlineStr">
        <is>
          <t>Kỹ sư Nông nghiệp</t>
        </is>
      </c>
      <c r="D1260" s="10" t="inlineStr">
        <is>
          <t>CÔNG TY CỔ PHẦN ĐẦU TƯ TẬP ĐOÀN KLC</t>
        </is>
      </c>
      <c r="E1260" s="10" t="inlineStr">
        <is>
          <t>Lương:Cạnh tranh</t>
        </is>
      </c>
      <c r="F1260" s="10" t="inlineStr">
        <is>
          <t>Hồ Chí Minh</t>
        </is>
      </c>
      <c r="G1260" s="10" t="inlineStr">
        <is>
          <t>14-04-2026</t>
        </is>
      </c>
      <c r="H1260" s="10" t="inlineStr">
        <is>
          <t>14/04/2026</t>
        </is>
      </c>
      <c r="I1260" s="10" t="inlineStr">
        <is>
          <t>17/03/2026</t>
        </is>
      </c>
      <c r="J1260" s="10" t="inlineStr">
        <is>
          <t>Nông nghiệp</t>
        </is>
      </c>
      <c r="K1260" s="10" t="inlineStr">
        <is>
          <t>5 - 10 Năm</t>
        </is>
      </c>
      <c r="L1260" s="11">
        <f>HYPERLINK("https://careerviet.vn/vi/tim-viec-lam/ky-su-nong-nghiep.35C658F3.html","Xem chi tiết")</f>
        <v/>
      </c>
      <c r="M1260" s="10" t="n"/>
    </row>
    <row r="1261">
      <c r="B1261" s="7" t="n">
        <v>1259</v>
      </c>
      <c r="C1261" t="inlineStr">
        <is>
          <t>Supply Chain Director</t>
        </is>
      </c>
      <c r="D1261" t="inlineStr">
        <is>
          <t>Công ty Cổ phần Thời Trang YODY</t>
        </is>
      </c>
      <c r="E1261" t="inlineStr">
        <is>
          <t>Lương:Cạnh tranh</t>
        </is>
      </c>
      <c r="F1261" t="inlineStr">
        <is>
          <t>Hải DươngHà Nội</t>
        </is>
      </c>
      <c r="G1261" t="inlineStr">
        <is>
          <t>14-04-2026</t>
        </is>
      </c>
      <c r="H1261" t="inlineStr">
        <is>
          <t>14/04/2026</t>
        </is>
      </c>
      <c r="I1261" t="inlineStr">
        <is>
          <t>17/03/2026</t>
        </is>
      </c>
      <c r="J1261" t="inlineStr">
        <is>
          <t>Sản xuất / Vận hành sản xuất, Dệt may / Da giày / Thời trang, Thu mua / Vật tư</t>
        </is>
      </c>
      <c r="K1261" t="inlineStr">
        <is>
          <t>8 - 15 Năm</t>
        </is>
      </c>
      <c r="L1261" s="8">
        <f>HYPERLINK("https://careerviet.vn/vi/tim-viec-lam/supply-chain-director.35C658B1.html","Xem chi tiết")</f>
        <v/>
      </c>
    </row>
    <row r="1262">
      <c r="B1262" s="9" t="n">
        <v>1260</v>
      </c>
      <c r="C1262" s="10" t="inlineStr">
        <is>
          <t>CNC TECHNICIAN (PROGRAMMER)</t>
        </is>
      </c>
      <c r="D1262" s="10" t="inlineStr">
        <is>
          <t>CÔNG TY TNHH AMPHENOL RF VIỆT NAM</t>
        </is>
      </c>
      <c r="E1262" s="10" t="inlineStr">
        <is>
          <t>Lương:15 Tr - 18 Tr VND</t>
        </is>
      </c>
      <c r="F1262" s="10" t="inlineStr">
        <is>
          <t>Long An</t>
        </is>
      </c>
      <c r="G1262" s="10" t="inlineStr">
        <is>
          <t>14-04-2026</t>
        </is>
      </c>
      <c r="H1262" s="10" t="inlineStr">
        <is>
          <t>14/04/2026</t>
        </is>
      </c>
      <c r="I1262" s="10" t="inlineStr">
        <is>
          <t>17/03/2026</t>
        </is>
      </c>
      <c r="J1262" s="10" t="inlineStr">
        <is>
          <t>Cơ khí / Ô tô / Tự động hóa, Điện / Điện tử / Điện lạnh / Điện công nghiệp, Bảo trì / Sửa chữa</t>
        </is>
      </c>
      <c r="K1262" s="10" t="inlineStr">
        <is>
          <t>1 - 2 Năm</t>
        </is>
      </c>
      <c r="L1262" s="11">
        <f>HYPERLINK("https://careerviet.vn/vi/tim-viec-lam/cnc-technician-programmer.35C65846.html","Xem chi tiết")</f>
        <v/>
      </c>
      <c r="M1262" s="10" t="n"/>
    </row>
    <row r="1263">
      <c r="B1263" s="7" t="n">
        <v>1261</v>
      </c>
      <c r="C1263" t="inlineStr">
        <is>
          <t>Khu vực Miền Tây - GĐ/CV/NV Tín dụng</t>
        </is>
      </c>
      <c r="D1263" t="inlineStr">
        <is>
          <t>Ngân Hàng TMCP Phương Đông - OCB</t>
        </is>
      </c>
      <c r="E1263" t="inlineStr">
        <is>
          <t>Lương:Cạnh tranh</t>
        </is>
      </c>
      <c r="F1263" t="inlineStr">
        <is>
          <t>An Giang</t>
        </is>
      </c>
      <c r="G1263" t="inlineStr">
        <is>
          <t>14-04-2026</t>
        </is>
      </c>
      <c r="H1263" t="inlineStr">
        <is>
          <t>14/04/2026</t>
        </is>
      </c>
      <c r="I1263" t="inlineStr">
        <is>
          <t>17/03/2026</t>
        </is>
      </c>
      <c r="J1263" t="inlineStr">
        <is>
          <t>Ngân hàng</t>
        </is>
      </c>
      <c r="K1263" t="inlineStr">
        <is>
          <t>1 - 5 Năm</t>
        </is>
      </c>
      <c r="L1263" s="8">
        <f>HYPERLINK("https://careerviet.vn/vi/tim-viec-lam/khu-vuc-mien-tay-gd-cv-nv-tin-dung.35C6588C.html","Xem chi tiết")</f>
        <v/>
      </c>
    </row>
    <row r="1264">
      <c r="B1264" s="9" t="n">
        <v>1262</v>
      </c>
      <c r="C1264" s="10" t="inlineStr">
        <is>
          <t>Kế Toán Tổng Hợp | Am Hiểu Thuế &amp; BCTC | Phỏng Vấn Nhận Việc Ngay</t>
        </is>
      </c>
      <c r="D1264" s="10" t="inlineStr">
        <is>
          <t>Công ty TNHH Sản xuất, lắp ráp Tuấn Nghĩa</t>
        </is>
      </c>
      <c r="E1264" s="10" t="inlineStr">
        <is>
          <t>Lương:16 Tr - 22 Tr VND</t>
        </is>
      </c>
      <c r="F1264" s="10" t="inlineStr">
        <is>
          <t>Hà Nội</t>
        </is>
      </c>
      <c r="G1264" s="10" t="inlineStr">
        <is>
          <t>27-03-2026</t>
        </is>
      </c>
      <c r="H1264" s="10" t="inlineStr">
        <is>
          <t>27/03/2026</t>
        </is>
      </c>
      <c r="I1264" s="10" t="inlineStr">
        <is>
          <t>17/03/2026</t>
        </is>
      </c>
      <c r="J1264" s="10" t="inlineStr">
        <is>
          <t>Kế toán / Kiểm toán, Tài chính / Đầu tư, Luật / Pháp lý</t>
        </is>
      </c>
      <c r="K1264" s="10" t="inlineStr">
        <is>
          <t>2 Năm</t>
        </is>
      </c>
      <c r="L1264" s="11">
        <f>HYPERLINK("https://careerviet.vn/vi/tim-viec-lam/ke-toan-tong-hop-am-hieu-thue-bctc-phong-van-nhan-viec-ngay.35C69EAC.html","Xem chi tiết")</f>
        <v/>
      </c>
      <c r="M1264" s="10" t="n"/>
    </row>
    <row r="1265">
      <c r="B1265" s="7" t="n">
        <v>1263</v>
      </c>
      <c r="C1265" t="inlineStr">
        <is>
          <t>Chuyên viên cao cấp nghiệp vụ Dịch vụ khách hàng - Chứng khoán - SBSI - 4M013</t>
        </is>
      </c>
      <c r="D1265" t="inlineStr">
        <is>
          <t>Tập đoàn ROX (ROX Group)</t>
        </is>
      </c>
      <c r="E1265" t="inlineStr">
        <is>
          <t>Lương:Cạnh tranh</t>
        </is>
      </c>
      <c r="F1265" t="inlineStr">
        <is>
          <t>Hà Nội</t>
        </is>
      </c>
      <c r="G1265" t="inlineStr">
        <is>
          <t>14-04-2026</t>
        </is>
      </c>
      <c r="H1265" t="inlineStr">
        <is>
          <t>14/04/2026</t>
        </is>
      </c>
      <c r="I1265" t="inlineStr">
        <is>
          <t>17/03/2026</t>
        </is>
      </c>
      <c r="J1265" t="inlineStr">
        <is>
          <t>Tài chính / Đầu tư</t>
        </is>
      </c>
      <c r="K1265" t="inlineStr">
        <is>
          <t>2 - 3 Năm</t>
        </is>
      </c>
      <c r="L1265" s="8">
        <f>HYPERLINK("https://careerviet.vn/vi/tim-viec-lam/chuyen-vien-cao-cap-nghiep-vu-dich-vu-khach-hang-chung-khoan-sbsi-4m013.35C65983.html","Xem chi tiết")</f>
        <v/>
      </c>
    </row>
    <row r="1266">
      <c r="B1266" s="9" t="n">
        <v>1264</v>
      </c>
      <c r="C1266" s="10" t="inlineStr">
        <is>
          <t>KẾ TOÁN TỔNG HỢP (MẢNG NÔNG SẢN )</t>
        </is>
      </c>
      <c r="D1266" s="10" t="inlineStr">
        <is>
          <t>Công ty TNHH Dịch vụ và Thương Mại Tân Nam Chinh</t>
        </is>
      </c>
      <c r="E1266" s="10" t="inlineStr">
        <is>
          <t>Lương:17 Tr - 17 Tr VND</t>
        </is>
      </c>
      <c r="F1266" s="10" t="inlineStr">
        <is>
          <t>Hồ Chí Minh</t>
        </is>
      </c>
      <c r="G1266" s="10" t="inlineStr">
        <is>
          <t>14-04-2026</t>
        </is>
      </c>
      <c r="H1266" s="10" t="inlineStr">
        <is>
          <t>14/04/2026</t>
        </is>
      </c>
      <c r="I1266" s="10" t="inlineStr">
        <is>
          <t>17/03/2026</t>
        </is>
      </c>
      <c r="J1266" s="10" t="inlineStr">
        <is>
          <t>Kế toán / Kiểm toán, Hành chính / Thư ký, Tài chính / Đầu tư</t>
        </is>
      </c>
      <c r="K1266" s="10" t="inlineStr">
        <is>
          <t>3 - 5 Năm</t>
        </is>
      </c>
      <c r="L1266" s="11">
        <f>HYPERLINK("https://careerviet.vn/vi/tim-viec-lam/ke-toan-tong-hop-mang-nong-san.35C65827.html","Xem chi tiết")</f>
        <v/>
      </c>
      <c r="M1266" s="10" t="n"/>
    </row>
    <row r="1267">
      <c r="B1267" s="7" t="n">
        <v>1265</v>
      </c>
      <c r="C1267" t="inlineStr">
        <is>
          <t>销售员 / Sales Executive</t>
        </is>
      </c>
      <c r="D1267" t="inlineStr">
        <is>
          <t>CÔNG TY TNHH SUUNTO ADVENTURE (VIETNAM)</t>
        </is>
      </c>
      <c r="E1267" t="inlineStr">
        <is>
          <t>Lương:12 Tr - 20 Tr VND</t>
        </is>
      </c>
      <c r="F1267" t="inlineStr">
        <is>
          <t>Hà Nội</t>
        </is>
      </c>
      <c r="G1267" t="inlineStr">
        <is>
          <t>14-04-2026</t>
        </is>
      </c>
      <c r="H1267" t="inlineStr">
        <is>
          <t>14/04/2026</t>
        </is>
      </c>
      <c r="I1267" t="inlineStr">
        <is>
          <t>17/03/2026</t>
        </is>
      </c>
      <c r="J1267" t="inlineStr">
        <is>
          <t>Bán hàng / Kinh doanh, Tư vấn</t>
        </is>
      </c>
      <c r="K1267" t="inlineStr">
        <is>
          <t>N/A</t>
        </is>
      </c>
      <c r="L1267" s="8">
        <f>HYPERLINK("https://careerviet.vn/vi/tim-viec-lam/sales-executive.35C68A70.html","Xem chi tiết")</f>
        <v/>
      </c>
    </row>
    <row r="1268">
      <c r="B1268" s="9" t="n">
        <v>1266</v>
      </c>
      <c r="C1268" s="10" t="inlineStr">
        <is>
          <t>Trưởng Nhóm Thu Ngân - Vinmec OCean Park 2</t>
        </is>
      </c>
      <c r="D1268" s="10" t="inlineStr">
        <is>
          <t>Công ty CP Bệnh Viện Đa Khoa Quốc Tế Vinmec</t>
        </is>
      </c>
      <c r="E1268" s="10" t="inlineStr">
        <is>
          <t>Lương:Cạnh tranh</t>
        </is>
      </c>
      <c r="F1268" s="10" t="inlineStr">
        <is>
          <t>Hưng Yên</t>
        </is>
      </c>
      <c r="G1268" s="10" t="inlineStr">
        <is>
          <t>14-04-2026</t>
        </is>
      </c>
      <c r="H1268" s="10" t="inlineStr">
        <is>
          <t>14/04/2026</t>
        </is>
      </c>
      <c r="I1268" s="10" t="inlineStr">
        <is>
          <t>17/03/2026</t>
        </is>
      </c>
      <c r="J1268" s="10" t="inlineStr">
        <is>
          <t>Y tế / Chăm sóc sức khỏe / Thẩm mỹ / Làm đẹp, Dịch vụ khách hàng</t>
        </is>
      </c>
      <c r="K1268" s="10" t="inlineStr">
        <is>
          <t>2 - 3 Năm</t>
        </is>
      </c>
      <c r="L1268" s="11">
        <f>HYPERLINK("https://careerviet.vn/vi/tim-viec-lam/truong-nhom-thu-ngan-vinmec-ocean-park-2.35C658AA.html","Xem chi tiết")</f>
        <v/>
      </c>
      <c r="M1268" s="10" t="n"/>
    </row>
    <row r="1269">
      <c r="B1269" s="7" t="n">
        <v>1267</v>
      </c>
      <c r="C1269" t="inlineStr">
        <is>
          <t>Trợ lý chủ tịch hội đồng quản trị</t>
        </is>
      </c>
      <c r="D1269" t="inlineStr">
        <is>
          <t>CÔNG TY CỔ PHẦN TẬP ĐOÀN VIHAMARK</t>
        </is>
      </c>
      <c r="E1269" t="inlineStr">
        <is>
          <t>Lương:13 Tr - 20 Tr VND</t>
        </is>
      </c>
      <c r="F1269" t="inlineStr">
        <is>
          <t>Hà Nội</t>
        </is>
      </c>
      <c r="G1269" t="inlineStr">
        <is>
          <t>14-04-2026</t>
        </is>
      </c>
      <c r="H1269" t="inlineStr">
        <is>
          <t>14/04/2026</t>
        </is>
      </c>
      <c r="I1269" t="inlineStr">
        <is>
          <t>17/03/2026</t>
        </is>
      </c>
      <c r="J1269" t="inlineStr">
        <is>
          <t>Hành chính / Thư ký, Biên phiên dịch</t>
        </is>
      </c>
      <c r="K1269" t="inlineStr">
        <is>
          <t>Trên 1 Năm</t>
        </is>
      </c>
      <c r="L1269" s="8">
        <f>HYPERLINK("https://careerviet.vn/vi/tim-viec-lam/tro-ly-chu-tich-hoi-dong-quan-tri.35C65905.html","Xem chi tiết")</f>
        <v/>
      </c>
    </row>
    <row r="1270">
      <c r="B1270" s="9" t="n">
        <v>1268</v>
      </c>
      <c r="C1270" s="10" t="inlineStr">
        <is>
          <t>Chuyên Viên Kế Toán Quản Trị &amp; Ngân Sách</t>
        </is>
      </c>
      <c r="D1270" s="10" t="inlineStr">
        <is>
          <t>CÔNG TY CỔ PHẦN CHỨNG KHOÁN ASEAN</t>
        </is>
      </c>
      <c r="E1270" s="10" t="inlineStr">
        <is>
          <t>Lương:Cạnh tranh</t>
        </is>
      </c>
      <c r="F1270" s="10" t="inlineStr">
        <is>
          <t>Hà Nội</t>
        </is>
      </c>
      <c r="G1270" s="10" t="inlineStr">
        <is>
          <t>14-04-2026</t>
        </is>
      </c>
      <c r="H1270" s="10" t="inlineStr">
        <is>
          <t>14/04/2026</t>
        </is>
      </c>
      <c r="I1270" s="10" t="inlineStr">
        <is>
          <t>17/03/2026</t>
        </is>
      </c>
      <c r="J1270" s="10" t="inlineStr">
        <is>
          <t>Kế toán / Kiểm toán, Chứng khoán, Tài chính / Đầu tư</t>
        </is>
      </c>
      <c r="K1270" s="10" t="inlineStr">
        <is>
          <t>3 - 6 Năm</t>
        </is>
      </c>
      <c r="L1270" s="11">
        <f>HYPERLINK("https://careerviet.vn/vi/tim-viec-lam/chuyen-vien-ke-toan-quan-tri-ngan-sach.35C68B35.html","Xem chi tiết")</f>
        <v/>
      </c>
      <c r="M1270" s="10" t="n"/>
    </row>
    <row r="1271">
      <c r="B1271" s="7" t="n">
        <v>1269</v>
      </c>
      <c r="C1271" t="inlineStr">
        <is>
          <t>Chuyên Viên Vận Hành Hệ Thống Công Nghệ Thông Tin</t>
        </is>
      </c>
      <c r="D1271" t="inlineStr">
        <is>
          <t>CÔNG TY CỔ PHẦN CHỨNG KHOÁN ASEAN</t>
        </is>
      </c>
      <c r="E1271" t="inlineStr">
        <is>
          <t>Lương:Cạnh tranh</t>
        </is>
      </c>
      <c r="F1271" t="inlineStr">
        <is>
          <t>Hà Nội</t>
        </is>
      </c>
      <c r="G1271" t="inlineStr">
        <is>
          <t>14-04-2026</t>
        </is>
      </c>
      <c r="H1271" t="inlineStr">
        <is>
          <t>14/04/2026</t>
        </is>
      </c>
      <c r="I1271" t="inlineStr">
        <is>
          <t>17/03/2026</t>
        </is>
      </c>
      <c r="J1271" t="inlineStr">
        <is>
          <t>Chứng khoán, CNTT - Phần cứng / Mạng, Tài chính / Đầu tư</t>
        </is>
      </c>
      <c r="K1271" t="inlineStr">
        <is>
          <t>2 - 5 Năm</t>
        </is>
      </c>
      <c r="L1271" s="8">
        <f>HYPERLINK("https://careerviet.vn/vi/tim-viec-lam/chuyen-vien-van-hanh-he-thong-cong-nghe-thong-tin.35C68B34.html","Xem chi tiết")</f>
        <v/>
      </c>
    </row>
    <row r="1272">
      <c r="B1272" s="9" t="n">
        <v>1270</v>
      </c>
      <c r="C1272" s="10" t="inlineStr">
        <is>
          <t>Program Officer</t>
        </is>
      </c>
      <c r="D1272" s="10" t="inlineStr">
        <is>
          <t>CƠ QUAN HỢP TÁC QUỐC TẾ NHẬT BẢN ( JICA) TẠI VIỆT NAM</t>
        </is>
      </c>
      <c r="E1272" s="10" t="inlineStr">
        <is>
          <t>Lương:1.000 - 1.200 USD</t>
        </is>
      </c>
      <c r="F1272" s="10" t="inlineStr">
        <is>
          <t>Hà Nội</t>
        </is>
      </c>
      <c r="G1272" s="10" t="inlineStr">
        <is>
          <t>14-04-2026</t>
        </is>
      </c>
      <c r="H1272" s="10" t="inlineStr">
        <is>
          <t>14/04/2026</t>
        </is>
      </c>
      <c r="I1272" s="10" t="inlineStr">
        <is>
          <t>17/03/2026</t>
        </is>
      </c>
      <c r="J1272" s="10" t="inlineStr">
        <is>
          <t>Y tế / Chăm sóc sức khỏe / Thẩm mỹ / Làm đẹp, Biên phiên dịch, Hành chính / Thư ký</t>
        </is>
      </c>
      <c r="K1272" s="10" t="inlineStr">
        <is>
          <t>Trên 5 Năm</t>
        </is>
      </c>
      <c r="L1272" s="11">
        <f>HYPERLINK("https://careerviet.vn/vi/tim-viec-lam/program-officer.35C68A9B.html","Xem chi tiết")</f>
        <v/>
      </c>
      <c r="M1272" s="10" t="n"/>
    </row>
    <row r="1273">
      <c r="B1273" s="7" t="n">
        <v>1271</v>
      </c>
      <c r="C1273" t="inlineStr">
        <is>
          <t>QC Thầu Phụ - Kết Cấu Thép</t>
        </is>
      </c>
      <c r="D1273" t="inlineStr">
        <is>
          <t>ATAD Steel Structure Corporation</t>
        </is>
      </c>
      <c r="E1273" t="inlineStr">
        <is>
          <t>Lương:Cạnh tranh</t>
        </is>
      </c>
      <c r="F1273" t="inlineStr">
        <is>
          <t>Hồ Chí Minh</t>
        </is>
      </c>
      <c r="G1273" t="inlineStr">
        <is>
          <t>14-04-2026</t>
        </is>
      </c>
      <c r="H1273" t="inlineStr">
        <is>
          <t>14/04/2026</t>
        </is>
      </c>
      <c r="I1273" t="inlineStr">
        <is>
          <t>17/03/2026</t>
        </is>
      </c>
      <c r="J1273" t="inlineStr">
        <is>
          <t>Quản lý chất lượng (QA/QC), Cơ khí / Ô tô / Tự động hóa, Xây dựng</t>
        </is>
      </c>
      <c r="K1273" t="inlineStr">
        <is>
          <t>1 - 2 Năm</t>
        </is>
      </c>
      <c r="L1273" s="8">
        <f>HYPERLINK("https://careerviet.vn/vi/tim-viec-lam/qc-thau-phu-ket-cau-thep.35C68975.html","Xem chi tiết")</f>
        <v/>
      </c>
    </row>
    <row r="1274">
      <c r="B1274" s="9" t="n">
        <v>1272</v>
      </c>
      <c r="C1274" s="10" t="inlineStr">
        <is>
          <t>Chuyên Viên Kinh Doanh Robotics - Hà Nội</t>
        </is>
      </c>
      <c r="D1274" s="10" t="inlineStr">
        <is>
          <t>CÔNG TY CỔ PHẦN TẬP ĐOÀN DAT</t>
        </is>
      </c>
      <c r="E1274" s="10" t="inlineStr">
        <is>
          <t>Lương:30 Tr - 40 Tr VND</t>
        </is>
      </c>
      <c r="F1274" s="10" t="inlineStr">
        <is>
          <t>Hà Nội</t>
        </is>
      </c>
      <c r="G1274" s="10" t="inlineStr">
        <is>
          <t>14-04-2026</t>
        </is>
      </c>
      <c r="H1274" s="10" t="inlineStr">
        <is>
          <t>14/04/2026</t>
        </is>
      </c>
      <c r="I1274" s="10" t="inlineStr">
        <is>
          <t>17/03/2026</t>
        </is>
      </c>
      <c r="J1274" s="10" t="inlineStr">
        <is>
          <t>Bán hàng / Kinh doanh, Cơ khí / Ô tô / Tự động hóa, Điện / Điện tử / Điện lạnh / Điện công nghiệp</t>
        </is>
      </c>
      <c r="K1274" s="10" t="inlineStr">
        <is>
          <t>3 - 5 Năm</t>
        </is>
      </c>
      <c r="L1274" s="11">
        <f>HYPERLINK("https://careerviet.vn/vi/tim-viec-lam/chuyen-vien-kinh-doanh-robotics-ha-noi.35C65950.html","Xem chi tiết")</f>
        <v/>
      </c>
      <c r="M1274" s="10" t="n"/>
    </row>
    <row r="1275">
      <c r="B1275" s="7" t="n">
        <v>1273</v>
      </c>
      <c r="C1275" t="inlineStr">
        <is>
          <t>Quản Lý Vận Hành Máy CNC</t>
        </is>
      </c>
      <c r="D1275" t="inlineStr">
        <is>
          <t>CÔNG TY TNHH THE SQUARE VINA</t>
        </is>
      </c>
      <c r="E1275" t="inlineStr">
        <is>
          <t>Lương:Cạnh tranh</t>
        </is>
      </c>
      <c r="F1275" t="inlineStr">
        <is>
          <t>Bà Rịa - Vũng Tàu</t>
        </is>
      </c>
      <c r="G1275" t="inlineStr">
        <is>
          <t>13-04-2026</t>
        </is>
      </c>
      <c r="H1275" t="inlineStr">
        <is>
          <t>13/04/2026</t>
        </is>
      </c>
      <c r="I1275" t="inlineStr">
        <is>
          <t>17/03/2026</t>
        </is>
      </c>
      <c r="J1275" t="inlineStr">
        <is>
          <t>Sản xuất / Vận hành sản xuất, Khoáng sản, Cơ khí / Ô tô / Tự động hóa</t>
        </is>
      </c>
      <c r="K1275" t="inlineStr">
        <is>
          <t>Trên 5 Năm</t>
        </is>
      </c>
      <c r="L1275" s="8">
        <f>HYPERLINK("https://careerviet.vn/vi/tim-viec-lam/qua-n-ly-va-n-ha-nh-may-cnc.35C68A93.html","Xem chi tiết")</f>
        <v/>
      </c>
    </row>
    <row r="1276">
      <c r="B1276" s="9" t="n">
        <v>1274</v>
      </c>
      <c r="C1276" s="10" t="inlineStr">
        <is>
          <t>Giảng viên Khoa Điều dưỡng - Hộ sinh</t>
        </is>
      </c>
      <c r="D1276" s="10" t="inlineStr">
        <is>
          <t>Trường Đại Học Đông Á - Đà Nẵng</t>
        </is>
      </c>
      <c r="E1276" s="10" t="inlineStr">
        <is>
          <t>Lương:12 Tr - 15 Tr VND</t>
        </is>
      </c>
      <c r="F1276" s="10" t="inlineStr">
        <is>
          <t>Đà Nẵng</t>
        </is>
      </c>
      <c r="G1276" s="10" t="inlineStr">
        <is>
          <t>14-04-2026</t>
        </is>
      </c>
      <c r="H1276" s="10" t="inlineStr">
        <is>
          <t>14/04/2026</t>
        </is>
      </c>
      <c r="I1276" s="10" t="inlineStr">
        <is>
          <t>17/03/2026</t>
        </is>
      </c>
      <c r="J1276" s="10" t="inlineStr">
        <is>
          <t>Giáo dục / Đào tạo, Y tế / Chăm sóc sức khỏe / Thẩm mỹ / Làm đẹp</t>
        </is>
      </c>
      <c r="K1276" s="10" t="inlineStr">
        <is>
          <t>2 - 3 Năm</t>
        </is>
      </c>
      <c r="L1276" s="11">
        <f>HYPERLINK("https://careerviet.vn/vi/tim-viec-lam/giang-vien-khoa-dieu-duong-ho-sinh.35C68AE8.html","Xem chi tiết")</f>
        <v/>
      </c>
      <c r="M1276" s="10" t="n"/>
    </row>
    <row r="1277">
      <c r="B1277" s="7" t="n">
        <v>1275</v>
      </c>
      <c r="C1277" t="inlineStr">
        <is>
          <t>Chuyên viên kinh doanh (Chi nhánh Hà Nội)</t>
        </is>
      </c>
      <c r="D1277" t="inlineStr">
        <is>
          <t>Công Ty TNHH Sơn Seamaster Việt Nam</t>
        </is>
      </c>
      <c r="E1277" t="inlineStr">
        <is>
          <t>Lương:10 Tr - 20 Tr VND</t>
        </is>
      </c>
      <c r="F1277" t="inlineStr">
        <is>
          <t>Hà NộiHải PhòngPhú Thọ</t>
        </is>
      </c>
      <c r="G1277" t="inlineStr">
        <is>
          <t>14-04-2026</t>
        </is>
      </c>
      <c r="H1277" t="inlineStr">
        <is>
          <t>14/04/2026</t>
        </is>
      </c>
      <c r="I1277" t="inlineStr">
        <is>
          <t>17/03/2026</t>
        </is>
      </c>
      <c r="J1277" t="inlineStr">
        <is>
          <t>Tiếp thị / Marketing, Bán hàng / Kinh doanh, Tư vấn</t>
        </is>
      </c>
      <c r="K1277" t="inlineStr">
        <is>
          <t>1 - 2 Năm</t>
        </is>
      </c>
      <c r="L1277" s="8">
        <f>HYPERLINK("https://careerviet.vn/vi/tim-viec-lam/chuyen-vien-kinh-doanh-chi-nhanh-ha-noi.35C6896F.html","Xem chi tiết")</f>
        <v/>
      </c>
    </row>
    <row r="1278">
      <c r="B1278" s="9" t="n">
        <v>1276</v>
      </c>
      <c r="C1278" s="10" t="inlineStr">
        <is>
          <t>Nhân viên Kinh doanh Khách lẻ</t>
        </is>
      </c>
      <c r="D1278" s="10" t="inlineStr">
        <is>
          <t>Công Ty Cổ Phần Du Lịch Vietravel</t>
        </is>
      </c>
      <c r="E1278" s="10" t="inlineStr">
        <is>
          <t>Lương:Cạnh tranh</t>
        </is>
      </c>
      <c r="F1278" s="10" t="inlineStr">
        <is>
          <t>Đà Nẵng</t>
        </is>
      </c>
      <c r="G1278" s="10" t="inlineStr">
        <is>
          <t>14-04-2026</t>
        </is>
      </c>
      <c r="H1278" s="10" t="inlineStr">
        <is>
          <t>14/04/2026</t>
        </is>
      </c>
      <c r="I1278" s="10" t="inlineStr">
        <is>
          <t>17/03/2026</t>
        </is>
      </c>
      <c r="J1278" s="10" t="inlineStr">
        <is>
          <t>Du lịch, Hàng không, Tư vấn</t>
        </is>
      </c>
      <c r="K1278" s="10" t="inlineStr">
        <is>
          <t>N/A</t>
        </is>
      </c>
      <c r="L1278" s="11">
        <f>HYPERLINK("https://careerviet.vn/vi/tim-viec-lam/nhan-vien-kinh-doanh-khach-le.35C6597D.html","Xem chi tiết")</f>
        <v/>
      </c>
      <c r="M1278" s="10" t="n"/>
    </row>
    <row r="1279">
      <c r="B1279" s="7" t="n">
        <v>1277</v>
      </c>
      <c r="C1279" t="inlineStr">
        <is>
          <t>Nhân viên tuyển dụng</t>
        </is>
      </c>
      <c r="D1279" t="inlineStr">
        <is>
          <t>Công ty TNHH SX &amp; TM- DV Cường Vinh</t>
        </is>
      </c>
      <c r="E1279" t="inlineStr">
        <is>
          <t>Lương:9,5 Tr - 11 Tr VND</t>
        </is>
      </c>
      <c r="F1279" t="inlineStr">
        <is>
          <t>Long An</t>
        </is>
      </c>
      <c r="G1279" t="inlineStr">
        <is>
          <t>14-04-2026</t>
        </is>
      </c>
      <c r="H1279" t="inlineStr">
        <is>
          <t>14/04/2026</t>
        </is>
      </c>
      <c r="I1279" t="inlineStr">
        <is>
          <t>17/03/2026</t>
        </is>
      </c>
      <c r="J1279" t="inlineStr">
        <is>
          <t>Nhân sự</t>
        </is>
      </c>
      <c r="K1279" t="inlineStr">
        <is>
          <t>Trên 1 Năm</t>
        </is>
      </c>
      <c r="L1279" s="8">
        <f>HYPERLINK("https://careerviet.vn/vi/tim-viec-lam/nhan-vien-tuyen-dung.35C65809.html","Xem chi tiết")</f>
        <v/>
      </c>
    </row>
    <row r="1280">
      <c r="B1280" s="9" t="n">
        <v>1278</v>
      </c>
      <c r="C1280" s="10" t="inlineStr">
        <is>
          <t>Nhân viên GSD</t>
        </is>
      </c>
      <c r="D1280" s="10" t="inlineStr">
        <is>
          <t>Công Ty TNHH Apparel Far Eastern (Việt Nam)</t>
        </is>
      </c>
      <c r="E1280" s="10" t="inlineStr">
        <is>
          <t>Lương:13 Tr - 18 Tr VND</t>
        </is>
      </c>
      <c r="F1280" s="10" t="inlineStr">
        <is>
          <t>Bình Dương</t>
        </is>
      </c>
      <c r="G1280" s="10" t="inlineStr">
        <is>
          <t>14-04-2026</t>
        </is>
      </c>
      <c r="H1280" s="10" t="inlineStr">
        <is>
          <t>14/04/2026</t>
        </is>
      </c>
      <c r="I1280" s="10" t="inlineStr">
        <is>
          <t>17/03/2026</t>
        </is>
      </c>
      <c r="J1280" s="10" t="inlineStr">
        <is>
          <t>Sản xuất / Vận hành sản xuất, Dệt may / Da giày / Thời trang</t>
        </is>
      </c>
      <c r="K1280" s="10" t="inlineStr">
        <is>
          <t>1 - 5 Năm</t>
        </is>
      </c>
      <c r="L1280" s="11">
        <f>HYPERLINK("https://careerviet.vn/vi/tim-viec-lam/nhan-vien-gsd.35C658E1.html","Xem chi tiết")</f>
        <v/>
      </c>
      <c r="M1280" s="10" t="n"/>
    </row>
    <row r="1281">
      <c r="B1281" s="7" t="n">
        <v>1279</v>
      </c>
      <c r="C1281" t="inlineStr">
        <is>
          <t>Kế toán tổng hợp</t>
        </is>
      </c>
      <c r="D1281" t="inlineStr">
        <is>
          <t>CÔNG TY TNHH ĐẦU TƯ VÀ DỊCH VỤ NEW SPACE CONCEPT HOLDING</t>
        </is>
      </c>
      <c r="E1281" t="inlineStr">
        <is>
          <t>Lương:17 Tr - 19 Tr VND</t>
        </is>
      </c>
      <c r="F1281" t="inlineStr">
        <is>
          <t>Hà Nội</t>
        </is>
      </c>
      <c r="G1281" t="inlineStr">
        <is>
          <t>14-04-2026</t>
        </is>
      </c>
      <c r="H1281" t="inlineStr">
        <is>
          <t>14/04/2026</t>
        </is>
      </c>
      <c r="I1281" t="inlineStr">
        <is>
          <t>17/03/2026</t>
        </is>
      </c>
      <c r="J1281" t="inlineStr">
        <is>
          <t>Kế toán / Kiểm toán, Tài chính / Đầu tư</t>
        </is>
      </c>
      <c r="K1281" t="inlineStr">
        <is>
          <t>2 - 3 Năm</t>
        </is>
      </c>
      <c r="L1281" s="8">
        <f>HYPERLINK("https://careerviet.vn/vi/tim-viec-lam/ke-toan-tong-hop.35C68B1C.html","Xem chi tiết")</f>
        <v/>
      </c>
    </row>
    <row r="1282">
      <c r="B1282" s="9" t="n">
        <v>1280</v>
      </c>
      <c r="C1282" s="10" t="inlineStr">
        <is>
          <t>Sales Admin (Vinh Sales Office)- Temp- 8 Month Contract</t>
        </is>
      </c>
      <c r="D1282" s="10" t="inlineStr">
        <is>
          <t>HEINEKEN Vietnam</t>
        </is>
      </c>
      <c r="E1282" s="10" t="inlineStr">
        <is>
          <t>Lương:Cạnh tranh</t>
        </is>
      </c>
      <c r="F1282" s="10" t="inlineStr">
        <is>
          <t>Nghệ An</t>
        </is>
      </c>
      <c r="G1282" s="10" t="inlineStr">
        <is>
          <t>14-04-2026</t>
        </is>
      </c>
      <c r="H1282" s="10" t="inlineStr">
        <is>
          <t>14/04/2026</t>
        </is>
      </c>
      <c r="I1282" s="10" t="inlineStr">
        <is>
          <t>17/03/2026</t>
        </is>
      </c>
      <c r="J1282" s="10" t="inlineStr">
        <is>
          <t>Nhân sự, Dịch vụ khách hàng, Bán hàng / Kinh doanh</t>
        </is>
      </c>
      <c r="K1282" s="10" t="inlineStr">
        <is>
          <t>1 - 2 Năm</t>
        </is>
      </c>
      <c r="L1282" s="11">
        <f>HYPERLINK("https://careerviet.vn/vi/tim-viec-lam/sales-admin-vinh-sales-office-temp-8-month-contract.35C68A80.html","Xem chi tiết")</f>
        <v/>
      </c>
      <c r="M1282" s="10" t="n"/>
    </row>
    <row r="1283">
      <c r="B1283" s="7" t="n">
        <v>1281</v>
      </c>
      <c r="C1283" t="inlineStr">
        <is>
          <t>NHÂN VIÊN THIẾT KẾ 3D NỘI THẤT</t>
        </is>
      </c>
      <c r="D1283" t="inlineStr">
        <is>
          <t>CÔNG TY TNHH ĐẦU TƯ VÀ DỊCH VỤ NEW SPACE CONCEPT HOLDING</t>
        </is>
      </c>
      <c r="E1283" t="inlineStr">
        <is>
          <t>Lương:10 Tr - 15 Tr VND</t>
        </is>
      </c>
      <c r="F1283" t="inlineStr">
        <is>
          <t>Hà Nội</t>
        </is>
      </c>
      <c r="G1283" t="inlineStr">
        <is>
          <t>14-04-2026</t>
        </is>
      </c>
      <c r="H1283" t="inlineStr">
        <is>
          <t>14/04/2026</t>
        </is>
      </c>
      <c r="I1283" t="inlineStr">
        <is>
          <t>17/03/2026</t>
        </is>
      </c>
      <c r="J1283" t="inlineStr">
        <is>
          <t>Kiến trúc, Nội ngoại thất, Xây dựng</t>
        </is>
      </c>
      <c r="K1283" t="inlineStr">
        <is>
          <t>1 - 3 Năm</t>
        </is>
      </c>
      <c r="L1283" s="8">
        <f>HYPERLINK("https://careerviet.vn/vi/tim-viec-lam/nhan-vien-thiet-ke-3d-noi-that.35C68B24.html","Xem chi tiết")</f>
        <v/>
      </c>
    </row>
    <row r="1284">
      <c r="B1284" s="9" t="n">
        <v>1282</v>
      </c>
      <c r="C1284" s="10" t="inlineStr">
        <is>
          <t>Kỹ sư Cơ khí</t>
        </is>
      </c>
      <c r="D1284" s="10" t="inlineStr">
        <is>
          <t>CÔNG TY TNHH THƯƠNG MẠI DỊCH VỤ CƠ KHÍ LINH PHONG  - LIPHOCO</t>
        </is>
      </c>
      <c r="E1284" s="10" t="inlineStr">
        <is>
          <t>Lương:Cạnh tranh</t>
        </is>
      </c>
      <c r="F1284" s="10" t="inlineStr">
        <is>
          <t>Long An</t>
        </is>
      </c>
      <c r="G1284" s="10" t="inlineStr">
        <is>
          <t>14-04-2026</t>
        </is>
      </c>
      <c r="H1284" s="10" t="inlineStr">
        <is>
          <t>14/04/2026</t>
        </is>
      </c>
      <c r="I1284" s="10" t="inlineStr">
        <is>
          <t>17/03/2026</t>
        </is>
      </c>
      <c r="J1284" s="10" t="inlineStr">
        <is>
          <t>Cơ khí / Ô tô / Tự động hóa, Sản xuất / Vận hành sản xuất, Mới tốt nghiệp / Thực tập</t>
        </is>
      </c>
      <c r="K1284" s="10" t="inlineStr">
        <is>
          <t>2 - 5 Năm</t>
        </is>
      </c>
      <c r="L1284" s="11">
        <f>HYPERLINK("https://careerviet.vn/vi/tim-viec-lam/ky-su-co-khi.35C6587C.html","Xem chi tiết")</f>
        <v/>
      </c>
      <c r="M1284" s="10" t="n"/>
    </row>
    <row r="1285">
      <c r="B1285" s="7" t="n">
        <v>1283</v>
      </c>
      <c r="C1285" t="inlineStr">
        <is>
          <t>Senior HR Service (CnB)</t>
        </is>
      </c>
      <c r="D1285" t="inlineStr">
        <is>
          <t>VINFAST TRADING AND PRODUCTION JSC</t>
        </is>
      </c>
      <c r="E1285" t="inlineStr">
        <is>
          <t>Lương:Cạnh tranh</t>
        </is>
      </c>
      <c r="F1285" t="inlineStr">
        <is>
          <t>Hà TĩnhNghệ An</t>
        </is>
      </c>
      <c r="G1285" t="inlineStr">
        <is>
          <t>14-04-2026</t>
        </is>
      </c>
      <c r="H1285" t="inlineStr">
        <is>
          <t>14/04/2026</t>
        </is>
      </c>
      <c r="I1285" t="inlineStr">
        <is>
          <t>17/03/2026</t>
        </is>
      </c>
      <c r="J1285" t="inlineStr">
        <is>
          <t>Nhân sự, Hành chính / Thư ký, Quản lý điều hành</t>
        </is>
      </c>
      <c r="K1285" t="inlineStr">
        <is>
          <t>3 Năm</t>
        </is>
      </c>
      <c r="L1285" s="8">
        <f>HYPERLINK("https://careerviet.vn/vi/tim-viec-lam/senior-hr-service-cnb.35C659BB.html","Xem chi tiết")</f>
        <v/>
      </c>
    </row>
    <row r="1286">
      <c r="B1286" s="9" t="n">
        <v>1284</v>
      </c>
      <c r="C1286" s="10" t="inlineStr">
        <is>
          <t>Chuyên viên kinh tế - kế hoạch dự án</t>
        </is>
      </c>
      <c r="D1286" s="10" t="inlineStr">
        <is>
          <t>CÔNG TY CỔ PHẦN THỊNH CƯỜNG</t>
        </is>
      </c>
      <c r="E1286" s="10" t="inlineStr">
        <is>
          <t>Lương:18 Tr - 22 Tr VND</t>
        </is>
      </c>
      <c r="F1286" s="10" t="inlineStr">
        <is>
          <t>Hà Nội</t>
        </is>
      </c>
      <c r="G1286" s="10" t="inlineStr">
        <is>
          <t>14-04-2026</t>
        </is>
      </c>
      <c r="H1286" s="10" t="inlineStr">
        <is>
          <t>14/04/2026</t>
        </is>
      </c>
      <c r="I1286" s="10" t="inlineStr">
        <is>
          <t>17/03/2026</t>
        </is>
      </c>
      <c r="J1286" s="10" t="inlineStr">
        <is>
          <t>Xây dựng</t>
        </is>
      </c>
      <c r="K1286" s="10" t="inlineStr">
        <is>
          <t>Trên 5 Năm</t>
        </is>
      </c>
      <c r="L1286" s="11">
        <f>HYPERLINK("https://careerviet.vn/vi/tim-viec-lam/chuyen-vien-kinh-te-ke-hoach-du-an.35C658A3.html","Xem chi tiết")</f>
        <v/>
      </c>
      <c r="M1286" s="10" t="n"/>
    </row>
    <row r="1287">
      <c r="B1287" s="7" t="n">
        <v>1285</v>
      </c>
      <c r="C1287" t="inlineStr">
        <is>
          <t>Chuyên viên kiểm soát chất lượng hình ảnh (Photoshop)</t>
        </is>
      </c>
      <c r="D1287" t="inlineStr">
        <is>
          <t>DIGI-TEXX VIETNAM</t>
        </is>
      </c>
      <c r="E1287" t="inlineStr">
        <is>
          <t>Lương:Cạnh tranh</t>
        </is>
      </c>
      <c r="F1287" t="inlineStr">
        <is>
          <t>Hồ Chí Minh</t>
        </is>
      </c>
      <c r="G1287" t="inlineStr">
        <is>
          <t>14-04-2026</t>
        </is>
      </c>
      <c r="H1287" t="inlineStr">
        <is>
          <t>14/04/2026</t>
        </is>
      </c>
      <c r="I1287" t="inlineStr">
        <is>
          <t>17/03/2026</t>
        </is>
      </c>
      <c r="J1287" t="inlineStr">
        <is>
          <t>Mỹ thuật / Nghệ thuật / Thiết kế</t>
        </is>
      </c>
      <c r="K1287" t="inlineStr">
        <is>
          <t>2 - 5 Năm</t>
        </is>
      </c>
      <c r="L1287" s="8">
        <f>HYPERLINK("https://careerviet.vn/vi/tim-viec-lam/chuyen-vien-kiem-soat-chat-luong-hinh-anh-photoshop.35C658B5.html","Xem chi tiết")</f>
        <v/>
      </c>
    </row>
    <row r="1288">
      <c r="B1288" s="9" t="n">
        <v>1286</v>
      </c>
      <c r="C1288" s="10" t="inlineStr">
        <is>
          <t>IT Security &amp; Compliance Specialist</t>
        </is>
      </c>
      <c r="D1288" s="10" t="inlineStr">
        <is>
          <t>UrBox - Công ty Cổ phần Tiếp Thị Số Tô Quà</t>
        </is>
      </c>
      <c r="E1288" s="10" t="inlineStr">
        <is>
          <t>Lương:Cạnh tranh</t>
        </is>
      </c>
      <c r="F1288" s="10" t="inlineStr">
        <is>
          <t>Hồ Chí Minh</t>
        </is>
      </c>
      <c r="G1288" s="10" t="inlineStr">
        <is>
          <t>14-04-2026</t>
        </is>
      </c>
      <c r="H1288" s="10" t="inlineStr">
        <is>
          <t>14/04/2026</t>
        </is>
      </c>
      <c r="I1288" s="10" t="inlineStr">
        <is>
          <t>17/03/2026</t>
        </is>
      </c>
      <c r="J1288" s="10" t="inlineStr">
        <is>
          <t>CNTT - Phần cứng / Mạng, CNTT - Phần mềm</t>
        </is>
      </c>
      <c r="K1288" s="10" t="inlineStr">
        <is>
          <t>3 - 5 Năm</t>
        </is>
      </c>
      <c r="L1288" s="11">
        <f>HYPERLINK("https://careerviet.vn/vi/tim-viec-lam/it-security-compliance-specialist.35C68A5D.html","Xem chi tiết")</f>
        <v/>
      </c>
      <c r="M1288" s="10" t="n"/>
    </row>
    <row r="1289">
      <c r="B1289" s="7" t="n">
        <v>1287</v>
      </c>
      <c r="C1289" t="inlineStr">
        <is>
          <t>Quản Lý Kho Vận</t>
        </is>
      </c>
      <c r="D1289" t="inlineStr">
        <is>
          <t>Công Ty Cổ Phần Phương Tiện Điện Thông Minh Selex</t>
        </is>
      </c>
      <c r="E1289" t="inlineStr">
        <is>
          <t>Lương:15 Tr - 18 Tr VND</t>
        </is>
      </c>
      <c r="F1289" t="inlineStr">
        <is>
          <t>Hà Nội</t>
        </is>
      </c>
      <c r="G1289" t="inlineStr">
        <is>
          <t>14-04-2026</t>
        </is>
      </c>
      <c r="H1289" t="inlineStr">
        <is>
          <t>14/04/2026</t>
        </is>
      </c>
      <c r="I1289" t="inlineStr">
        <is>
          <t>17/03/2026</t>
        </is>
      </c>
      <c r="J1289" t="inlineStr">
        <is>
          <t>Vận chuyển / Giao nhận / Kho vận, Sản xuất / Vận hành sản xuất, Thu mua / Vật tư</t>
        </is>
      </c>
      <c r="K1289" t="inlineStr">
        <is>
          <t>3 - 5 Năm</t>
        </is>
      </c>
      <c r="L1289" s="8">
        <f>HYPERLINK("https://careerviet.vn/vi/tim-viec-lam/quan-ly-kho-van.35C68A00.html","Xem chi tiết")</f>
        <v/>
      </c>
    </row>
    <row r="1290">
      <c r="B1290" s="9" t="n">
        <v>1288</v>
      </c>
      <c r="C1290" s="10" t="inlineStr">
        <is>
          <t>TRƯỞNG BỘ PHẬN TUYỂN DỤNG - ĐÀO TẠO</t>
        </is>
      </c>
      <c r="D1290" s="10" t="inlineStr">
        <is>
          <t>TỔNG CÔNG TY CỔ PHẦN THƯƠNG MẠI XÂY DỰNG</t>
        </is>
      </c>
      <c r="E1290" s="10" t="inlineStr">
        <is>
          <t>Lương:30 Tr - 40 Tr VND</t>
        </is>
      </c>
      <c r="F1290" s="10" t="inlineStr">
        <is>
          <t>Hà Nội</t>
        </is>
      </c>
      <c r="G1290" s="10" t="inlineStr">
        <is>
          <t>14-04-2026</t>
        </is>
      </c>
      <c r="H1290" s="10" t="inlineStr">
        <is>
          <t>14/04/2026</t>
        </is>
      </c>
      <c r="I1290" s="10" t="inlineStr">
        <is>
          <t>17/03/2026</t>
        </is>
      </c>
      <c r="J1290" s="10" t="inlineStr">
        <is>
          <t>Nhân sự, Hành chính / Thư ký, Quản lý điều hành</t>
        </is>
      </c>
      <c r="K1290" s="10" t="inlineStr">
        <is>
          <t>5 - 10 Năm</t>
        </is>
      </c>
      <c r="L1290" s="11">
        <f>HYPERLINK("https://careerviet.vn/vi/tim-viec-lam/truong-bo-phan-tuyen-dung-dao-tao.35C68980.html","Xem chi tiết")</f>
        <v/>
      </c>
      <c r="M1290" s="10" t="n"/>
    </row>
    <row r="1291">
      <c r="B1291" s="7" t="n">
        <v>1289</v>
      </c>
      <c r="C1291" t="inlineStr">
        <is>
          <t>Nhân viên Kinh doanh mảng Thực phẩm - Kênh Horeca</t>
        </is>
      </c>
      <c r="D1291" t="inlineStr">
        <is>
          <t>De Heus LLC</t>
        </is>
      </c>
      <c r="E1291" t="inlineStr">
        <is>
          <t>Lương:9 Tr - 20 Tr VND</t>
        </is>
      </c>
      <c r="F1291" t="inlineStr">
        <is>
          <t>Hà Nội</t>
        </is>
      </c>
      <c r="G1291" t="inlineStr">
        <is>
          <t>14-04-2026</t>
        </is>
      </c>
      <c r="H1291" t="inlineStr">
        <is>
          <t>14/04/2026</t>
        </is>
      </c>
      <c r="I1291" t="inlineStr">
        <is>
          <t>17/03/2026</t>
        </is>
      </c>
      <c r="J1291" t="inlineStr">
        <is>
          <t>Bán lẻ / Bán sỉ, Thực phẩm &amp; Đồ uống, Hàng gia dụng / Chăm sóc cá nhân</t>
        </is>
      </c>
      <c r="K1291" t="inlineStr">
        <is>
          <t>1 - 5 Năm</t>
        </is>
      </c>
      <c r="L1291" s="8">
        <f>HYPERLINK("https://careerviet.vn/vi/tim-viec-lam/nhan-vien-kinh-doanh-mang-thuc-pham-kenh-horeca.35C68A81.html","Xem chi tiết")</f>
        <v/>
      </c>
    </row>
    <row r="1292">
      <c r="B1292" s="9" t="n">
        <v>1290</v>
      </c>
      <c r="C1292" s="10" t="inlineStr">
        <is>
          <t>Nhân viên kinh doanh trả góp ô tô</t>
        </is>
      </c>
      <c r="D1292" s="10" t="inlineStr">
        <is>
          <t>LOTTE FINANCE VIETNAM</t>
        </is>
      </c>
      <c r="E1292" s="10" t="inlineStr">
        <is>
          <t>Lương:Cạnh tranh</t>
        </is>
      </c>
      <c r="F1292" s="10" t="inlineStr">
        <is>
          <t>Hồ Chí Minh</t>
        </is>
      </c>
      <c r="G1292" s="10" t="inlineStr">
        <is>
          <t>14-04-2026</t>
        </is>
      </c>
      <c r="H1292" s="10" t="inlineStr">
        <is>
          <t>14/04/2026</t>
        </is>
      </c>
      <c r="I1292" s="10" t="inlineStr">
        <is>
          <t>17/03/2026</t>
        </is>
      </c>
      <c r="J1292" s="10" t="inlineStr">
        <is>
          <t>Kế toán / Kiểm toán, Ngân hàng, Tài chính / Đầu tư</t>
        </is>
      </c>
      <c r="K1292" s="10" t="inlineStr">
        <is>
          <t>Chưa có kinh nghiệm</t>
        </is>
      </c>
      <c r="L1292" s="11">
        <f>HYPERLINK("https://careerviet.vn/vi/tim-viec-lam/nhan-vien-kinh-doanh-tra-gop-o-to.35C65993.html","Xem chi tiết")</f>
        <v/>
      </c>
      <c r="M1292" s="10" t="n"/>
    </row>
    <row r="1293">
      <c r="B1293" s="7" t="n">
        <v>1291</v>
      </c>
      <c r="C1293" t="inlineStr">
        <is>
          <t>Senior AI Engineer</t>
        </is>
      </c>
      <c r="D1293" t="inlineStr">
        <is>
          <t>UrBox - Công ty Cổ phần Tiếp Thị Số Tô Quà</t>
        </is>
      </c>
      <c r="E1293" t="inlineStr">
        <is>
          <t>Lương:Cạnh tranh</t>
        </is>
      </c>
      <c r="F1293" t="inlineStr">
        <is>
          <t>Hồ Chí Minh</t>
        </is>
      </c>
      <c r="G1293" t="inlineStr">
        <is>
          <t>14-04-2026</t>
        </is>
      </c>
      <c r="H1293" t="inlineStr">
        <is>
          <t>14/04/2026</t>
        </is>
      </c>
      <c r="I1293" t="inlineStr">
        <is>
          <t>17/03/2026</t>
        </is>
      </c>
      <c r="J1293" t="inlineStr">
        <is>
          <t>CNTT - Phần mềm, CNTT - Phần cứng / Mạng</t>
        </is>
      </c>
      <c r="K1293" t="inlineStr">
        <is>
          <t>3 - 5 Năm</t>
        </is>
      </c>
      <c r="L1293" s="8">
        <f>HYPERLINK("https://careerviet.vn/vi/tim-viec-lam/senior-ai-engineer.35C68A6C.html","Xem chi tiết")</f>
        <v/>
      </c>
    </row>
    <row r="1294">
      <c r="B1294" s="9" t="n">
        <v>1292</v>
      </c>
      <c r="C1294" s="10" t="inlineStr">
        <is>
          <t>Chuyên viên Kế hoạch tổng hợp - Vinmec Smart City</t>
        </is>
      </c>
      <c r="D1294" s="10" t="inlineStr">
        <is>
          <t>Công ty CP Bệnh Viện Đa Khoa Quốc Tế Vinmec</t>
        </is>
      </c>
      <c r="E1294" s="10" t="inlineStr">
        <is>
          <t>Lương:Cạnh tranh</t>
        </is>
      </c>
      <c r="F1294" s="10" t="inlineStr">
        <is>
          <t>Hà Nội</t>
        </is>
      </c>
      <c r="G1294" s="10" t="inlineStr">
        <is>
          <t>14-04-2026</t>
        </is>
      </c>
      <c r="H1294" s="10" t="inlineStr">
        <is>
          <t>14/04/2026</t>
        </is>
      </c>
      <c r="I1294" s="10" t="inlineStr">
        <is>
          <t>17/03/2026</t>
        </is>
      </c>
      <c r="J1294" s="10" t="inlineStr">
        <is>
          <t>Y tế / Chăm sóc sức khỏe / Thẩm mỹ / Làm đẹp</t>
        </is>
      </c>
      <c r="K1294" s="10" t="inlineStr">
        <is>
          <t>2 - 3 Năm</t>
        </is>
      </c>
      <c r="L1294" s="11">
        <f>HYPERLINK("https://careerviet.vn/vi/tim-viec-lam/chuyen-vien-ke-hoach-tong-hop-vinmec-smart-city.35C65921.html","Xem chi tiết")</f>
        <v/>
      </c>
      <c r="M1294" s="10" t="n"/>
    </row>
    <row r="1295">
      <c r="B1295" s="7" t="n">
        <v>1293</v>
      </c>
      <c r="C1295" t="inlineStr">
        <is>
          <t>Senior General Accounting &amp; Accounting Policy Specialist</t>
        </is>
      </c>
      <c r="D1295" t="inlineStr">
        <is>
          <t>FE CREDIT</t>
        </is>
      </c>
      <c r="E1295" t="inlineStr">
        <is>
          <t>Lương:Cạnh tranh</t>
        </is>
      </c>
      <c r="F1295" t="inlineStr">
        <is>
          <t>Hồ Chí Minh</t>
        </is>
      </c>
      <c r="G1295" t="inlineStr">
        <is>
          <t>14-04-2026</t>
        </is>
      </c>
      <c r="H1295" t="inlineStr">
        <is>
          <t>14/04/2026</t>
        </is>
      </c>
      <c r="I1295" t="inlineStr">
        <is>
          <t>17/03/2026</t>
        </is>
      </c>
      <c r="J1295" t="inlineStr">
        <is>
          <t>Kế toán / Kiểm toán, Ngân hàng, Tài chính / Đầu tư</t>
        </is>
      </c>
      <c r="K1295" t="inlineStr">
        <is>
          <t>4 - 5 Năm</t>
        </is>
      </c>
      <c r="L1295" s="8">
        <f>HYPERLINK("https://careerviet.vn/vi/tim-viec-lam/senior-general-accounting-accounting-policy-specialist.35C6893C.html","Xem chi tiết")</f>
        <v/>
      </c>
    </row>
    <row r="1296">
      <c r="B1296" s="9" t="n">
        <v>1294</v>
      </c>
      <c r="C1296" s="10" t="inlineStr">
        <is>
          <t>Senior UI/UX Designer</t>
        </is>
      </c>
      <c r="D1296" s="10" t="inlineStr">
        <is>
          <t>CÔNG TY CỔ PHẦN DƯỢC PHẨM FPT LONG CHÂU</t>
        </is>
      </c>
      <c r="E1296" s="10" t="inlineStr">
        <is>
          <t>Lương:20 Tr - 30 Tr VND</t>
        </is>
      </c>
      <c r="F1296" s="10" t="inlineStr">
        <is>
          <t>Hồ Chí Minh</t>
        </is>
      </c>
      <c r="G1296" s="10" t="inlineStr">
        <is>
          <t>14-04-2026</t>
        </is>
      </c>
      <c r="H1296" s="10" t="inlineStr">
        <is>
          <t>14/04/2026</t>
        </is>
      </c>
      <c r="I1296" s="10" t="inlineStr">
        <is>
          <t>17/03/2026</t>
        </is>
      </c>
      <c r="J1296" s="10" t="inlineStr">
        <is>
          <t>Thương mại điện tử, Y tế / Chăm sóc sức khỏe / Thẩm mỹ / Làm đẹp, CNTT - Phần mềm</t>
        </is>
      </c>
      <c r="K1296" s="10" t="inlineStr">
        <is>
          <t>3 - 5 Năm</t>
        </is>
      </c>
      <c r="L1296" s="11">
        <f>HYPERLINK("https://careerviet.vn/vi/tim-viec-lam/senior-ui-ux-designer.35C68998.html","Xem chi tiết")</f>
        <v/>
      </c>
      <c r="M1296" s="10" t="n"/>
    </row>
    <row r="1297">
      <c r="B1297" s="7" t="n">
        <v>1295</v>
      </c>
      <c r="C1297" t="inlineStr">
        <is>
          <t>Nhân viên kinh doanh</t>
        </is>
      </c>
      <c r="D1297" t="inlineStr">
        <is>
          <t>CÔNG TY TNHH ĐẦU TƯ VÀ DỊCH VỤ NEW SPACE CONCEPT HOLDING</t>
        </is>
      </c>
      <c r="E1297" t="inlineStr">
        <is>
          <t>Lương:6 Tr - 11 Tr VND</t>
        </is>
      </c>
      <c r="F1297" t="inlineStr">
        <is>
          <t>Hà Nội</t>
        </is>
      </c>
      <c r="G1297" t="inlineStr">
        <is>
          <t>14-04-2026</t>
        </is>
      </c>
      <c r="H1297" t="inlineStr">
        <is>
          <t>14/04/2026</t>
        </is>
      </c>
      <c r="I1297" t="inlineStr">
        <is>
          <t>17/03/2026</t>
        </is>
      </c>
      <c r="J1297" t="inlineStr">
        <is>
          <t>Bán hàng / Kinh doanh</t>
        </is>
      </c>
      <c r="K1297" t="inlineStr">
        <is>
          <t>1 - 3 Năm</t>
        </is>
      </c>
      <c r="L1297" s="8">
        <f>HYPERLINK("https://careerviet.vn/vi/tim-viec-lam/nhan-vien-kinh-doanh.35C68B18.html","Xem chi tiết")</f>
        <v/>
      </c>
    </row>
    <row r="1298">
      <c r="B1298" s="9" t="n">
        <v>1296</v>
      </c>
      <c r="C1298" s="10" t="inlineStr">
        <is>
          <t>[Thu Duc] Business Development Executive, Environment Testing</t>
        </is>
      </c>
      <c r="D1298" s="10" t="inlineStr">
        <is>
          <t>EUROFINS VIETNAM</t>
        </is>
      </c>
      <c r="E1298" s="10" t="inlineStr">
        <is>
          <t>Lương:Cạnh tranh</t>
        </is>
      </c>
      <c r="F1298" s="10" t="inlineStr">
        <is>
          <t>Hồ Chí Minh</t>
        </is>
      </c>
      <c r="G1298" s="10" t="inlineStr">
        <is>
          <t>14-04-2026</t>
        </is>
      </c>
      <c r="H1298" s="10" t="inlineStr">
        <is>
          <t>14/04/2026</t>
        </is>
      </c>
      <c r="I1298" s="10" t="inlineStr">
        <is>
          <t>17/03/2026</t>
        </is>
      </c>
      <c r="J1298" s="10" t="inlineStr">
        <is>
          <t>Bán hàng / Kinh doanh, Dịch vụ khách hàng, Môi trường</t>
        </is>
      </c>
      <c r="K1298" s="10" t="inlineStr">
        <is>
          <t>1 - 3 Năm</t>
        </is>
      </c>
      <c r="L1298" s="11">
        <f>HYPERLINK("https://careerviet.vn/vi/tim-viec-lam/thu-duc-business-development-executive-environment-testing.35C68A69.html","Xem chi tiết")</f>
        <v/>
      </c>
      <c r="M1298" s="10" t="n"/>
    </row>
    <row r="1299">
      <c r="B1299" s="7" t="n">
        <v>1297</v>
      </c>
      <c r="C1299" t="inlineStr">
        <is>
          <t>Trưởng phòng Quản lý Chất lượng (QA/QC)</t>
        </is>
      </c>
      <c r="D1299" t="inlineStr">
        <is>
          <t>CÔNG TY TNHH THE SQUARE VINA</t>
        </is>
      </c>
      <c r="E1299" t="inlineStr">
        <is>
          <t>Lương:Cạnh tranh</t>
        </is>
      </c>
      <c r="F1299" t="inlineStr">
        <is>
          <t>Bà Rịa - Vũng Tàu</t>
        </is>
      </c>
      <c r="G1299" t="inlineStr">
        <is>
          <t>14-04-2026</t>
        </is>
      </c>
      <c r="H1299" t="inlineStr">
        <is>
          <t>14/04/2026</t>
        </is>
      </c>
      <c r="I1299" t="inlineStr">
        <is>
          <t>17/03/2026</t>
        </is>
      </c>
      <c r="J1299" t="inlineStr">
        <is>
          <t>Quản lý chất lượng (QA/QC), Khoáng sản, Sản xuất / Vận hành sản xuất</t>
        </is>
      </c>
      <c r="K1299" t="inlineStr">
        <is>
          <t>Trên 5 Năm</t>
        </is>
      </c>
      <c r="L1299" s="8">
        <f>HYPERLINK("https://careerviet.vn/vi/tim-viec-lam/truong-phong-quan-ly-chat-luong-qa-qc.35C68A96.html","Xem chi tiết")</f>
        <v/>
      </c>
    </row>
    <row r="1300">
      <c r="B1300" s="9" t="n">
        <v>1298</v>
      </c>
      <c r="C1300" s="10" t="inlineStr">
        <is>
          <t>R&amp;D Hardware Engineer/ Supervisor</t>
        </is>
      </c>
      <c r="D1300" s="10" t="inlineStr">
        <is>
          <t>Panasonic Appliances Vietnam</t>
        </is>
      </c>
      <c r="E1300" s="10" t="inlineStr">
        <is>
          <t>Lương:Cạnh tranh</t>
        </is>
      </c>
      <c r="F1300" s="10" t="inlineStr">
        <is>
          <t>Hưng Yên</t>
        </is>
      </c>
      <c r="G1300" s="10" t="inlineStr">
        <is>
          <t>14-04-2026</t>
        </is>
      </c>
      <c r="H1300" s="10" t="inlineStr">
        <is>
          <t>14/04/2026</t>
        </is>
      </c>
      <c r="I1300" s="10" t="inlineStr">
        <is>
          <t>17/03/2026</t>
        </is>
      </c>
      <c r="J1300" s="10" t="inlineStr">
        <is>
          <t>Điện / Điện tử / Điện lạnh / Điện công nghiệp, CNTT - Phần cứng / Mạng</t>
        </is>
      </c>
      <c r="K1300" s="10" t="inlineStr">
        <is>
          <t>N/A</t>
        </is>
      </c>
      <c r="L1300" s="11">
        <f>HYPERLINK("https://careerviet.vn/vi/tim-viec-lam/r-d-hardware-engineer-supervisor.35C65860.html","Xem chi tiết")</f>
        <v/>
      </c>
      <c r="M1300" s="10" t="n"/>
    </row>
    <row r="1301">
      <c r="B1301" s="7" t="n">
        <v>1299</v>
      </c>
      <c r="C1301" t="inlineStr">
        <is>
          <t>Giám Sát Dịch Vụ Khách Hàng</t>
        </is>
      </c>
      <c r="D1301" t="inlineStr">
        <is>
          <t>Hoang Duc Pharmaceutical &amp; Medical Supplies co, Ltd.</t>
        </is>
      </c>
      <c r="E1301" t="inlineStr">
        <is>
          <t>Lương:Cạnh tranh</t>
        </is>
      </c>
      <c r="F1301" t="inlineStr">
        <is>
          <t>Hồ Chí Minh</t>
        </is>
      </c>
      <c r="G1301" t="inlineStr">
        <is>
          <t>30-04-2026</t>
        </is>
      </c>
      <c r="H1301" t="inlineStr">
        <is>
          <t>30/04/2026</t>
        </is>
      </c>
      <c r="I1301" t="inlineStr">
        <is>
          <t>17/03/2026</t>
        </is>
      </c>
      <c r="J1301" t="inlineStr">
        <is>
          <t>Tiếp thị / Marketing, Dịch vụ khách hàng, Quản lý điều hành</t>
        </is>
      </c>
      <c r="K1301" t="inlineStr">
        <is>
          <t>3 - 4 Năm</t>
        </is>
      </c>
      <c r="L1301" s="8">
        <f>HYPERLINK("https://careerviet.vn/vi/tim-viec-lam/giam-sat-dich-vu-khach-hang.35C6BA4F.html","Xem chi tiết")</f>
        <v/>
      </c>
    </row>
    <row r="1302">
      <c r="B1302" s="9" t="n">
        <v>1300</v>
      </c>
      <c r="C1302" s="10" t="inlineStr">
        <is>
          <t>Chuyên Viên Tăng Trưởng Khách Hàng (CRM/CDP)</t>
        </is>
      </c>
      <c r="D1302" s="10" t="inlineStr">
        <is>
          <t>CÔNG TY CỔ PHẦN DƯỢC PHẨM FPT LONG CHÂU</t>
        </is>
      </c>
      <c r="E1302" s="10" t="inlineStr">
        <is>
          <t>Lương:Cạnh tranh</t>
        </is>
      </c>
      <c r="F1302" s="10" t="inlineStr">
        <is>
          <t>Hồ Chí Minh</t>
        </is>
      </c>
      <c r="G1302" s="10" t="inlineStr">
        <is>
          <t>14-04-2026</t>
        </is>
      </c>
      <c r="H1302" s="10" t="inlineStr">
        <is>
          <t>14/04/2026</t>
        </is>
      </c>
      <c r="I1302" s="10" t="inlineStr">
        <is>
          <t>17/03/2026</t>
        </is>
      </c>
      <c r="J1302" s="10" t="inlineStr">
        <is>
          <t>Tiếp thị / Marketing, Bán lẻ / Bán sỉ</t>
        </is>
      </c>
      <c r="K1302" s="10" t="inlineStr">
        <is>
          <t>3 - 6 Năm</t>
        </is>
      </c>
      <c r="L1302" s="11">
        <f>HYPERLINK("https://careerviet.vn/vi/tim-viec-lam/chuyen-vien-tang-truong-khach-hang-crm-cdp.35C68981.html","Xem chi tiết")</f>
        <v/>
      </c>
      <c r="M1302" s="10" t="n"/>
    </row>
    <row r="1303">
      <c r="B1303" s="7" t="n">
        <v>1301</v>
      </c>
      <c r="C1303" t="inlineStr">
        <is>
          <t>Administrative Officer</t>
        </is>
      </c>
      <c r="D1303" t="inlineStr">
        <is>
          <t>CƠ QUAN HỢP TÁC QUỐC TẾ NHẬT BẢN ( JICA) TẠI VIỆT NAM</t>
        </is>
      </c>
      <c r="E1303" t="inlineStr">
        <is>
          <t>Lương:1.000 - 1.200 USD</t>
        </is>
      </c>
      <c r="F1303" t="inlineStr">
        <is>
          <t>Hà Nội</t>
        </is>
      </c>
      <c r="G1303" t="inlineStr">
        <is>
          <t>14-04-2026</t>
        </is>
      </c>
      <c r="H1303" t="inlineStr">
        <is>
          <t>14/04/2026</t>
        </is>
      </c>
      <c r="I1303" t="inlineStr">
        <is>
          <t>17/03/2026</t>
        </is>
      </c>
      <c r="J1303" t="inlineStr">
        <is>
          <t>Hành chính / Thư ký, Biên phiên dịch, Y tế / Chăm sóc sức khỏe / Thẩm mỹ / Làm đẹp</t>
        </is>
      </c>
      <c r="K1303" t="inlineStr">
        <is>
          <t>Trên 5 Năm</t>
        </is>
      </c>
      <c r="L1303" s="8">
        <f>HYPERLINK("https://careerviet.vn/vi/tim-viec-lam/administrative-officer.35C68A9E.html","Xem chi tiết")</f>
        <v/>
      </c>
    </row>
    <row r="1304">
      <c r="B1304" s="9" t="n">
        <v>1302</v>
      </c>
      <c r="C1304" s="10" t="inlineStr">
        <is>
          <t>Trưởng Phòng Xuất Nhập Khẩu</t>
        </is>
      </c>
      <c r="D1304" s="10" t="inlineStr">
        <is>
          <t>Công ty CP TCE VINA DENIM</t>
        </is>
      </c>
      <c r="E1304" s="10" t="inlineStr">
        <is>
          <t>Lương:Cạnh tranh</t>
        </is>
      </c>
      <c r="F1304" s="10" t="inlineStr">
        <is>
          <t>Nam ĐịnhHà NamNinh Bình</t>
        </is>
      </c>
      <c r="G1304" s="10" t="inlineStr">
        <is>
          <t>08-04-2026</t>
        </is>
      </c>
      <c r="H1304" s="10" t="inlineStr">
        <is>
          <t>08/04/2026</t>
        </is>
      </c>
      <c r="I1304" s="10" t="inlineStr">
        <is>
          <t>17/03/2026</t>
        </is>
      </c>
      <c r="J1304" s="10" t="inlineStr">
        <is>
          <t>Quản lý điều hành, Xuất nhập khẩu, Sản xuất / Vận hành sản xuất</t>
        </is>
      </c>
      <c r="K1304" s="10" t="inlineStr">
        <is>
          <t>Trên 8 Năm</t>
        </is>
      </c>
      <c r="L1304" s="11">
        <f>HYPERLINK("https://careerviet.vn/vi/tim-viec-lam/truong-phong-xuat-nhap-khau.35C6B14B.html","Xem chi tiết")</f>
        <v/>
      </c>
      <c r="M1304" s="10" t="n"/>
    </row>
    <row r="1305">
      <c r="B1305" s="7" t="n">
        <v>1303</v>
      </c>
      <c r="C1305" t="inlineStr">
        <is>
          <t>Quality Engineer (FAI/ Plastics)</t>
        </is>
      </c>
      <c r="D1305" t="inlineStr">
        <is>
          <t>GOOD VIEW PLASTICS (VIETNAM) COMPANY LIMITED</t>
        </is>
      </c>
      <c r="E1305" t="inlineStr">
        <is>
          <t>Lương:Cạnh tranh</t>
        </is>
      </c>
      <c r="F1305" t="inlineStr">
        <is>
          <t>Đồng Nai</t>
        </is>
      </c>
      <c r="G1305" t="inlineStr">
        <is>
          <t>09-04-2026</t>
        </is>
      </c>
      <c r="H1305" t="inlineStr">
        <is>
          <t>09/04/2026</t>
        </is>
      </c>
      <c r="I1305" t="inlineStr">
        <is>
          <t>17/03/2026</t>
        </is>
      </c>
      <c r="J1305" t="inlineStr">
        <is>
          <t>Quản lý chất lượng (QA/QC)</t>
        </is>
      </c>
      <c r="K1305" t="inlineStr">
        <is>
          <t>1 - 5 Năm</t>
        </is>
      </c>
      <c r="L1305" s="8">
        <f>HYPERLINK("https://careerviet.vn/vi/tim-viec-lam/quality-engineer-fai-plastics.35C6B840.html","Xem chi tiết")</f>
        <v/>
      </c>
    </row>
    <row r="1306">
      <c r="B1306" s="9" t="n">
        <v>1304</v>
      </c>
      <c r="C1306" s="10" t="inlineStr">
        <is>
          <t>Kỹ sư cơ khí có Tiếng Anh + Tiếng Nhật 27756 - Quận 1, HCM</t>
        </is>
      </c>
      <c r="D1306" s="10" t="inlineStr">
        <is>
          <t>Công Ty TNHH Reeracoen Việt Nam</t>
        </is>
      </c>
      <c r="E1306" s="10" t="inlineStr">
        <is>
          <t>Lương:25 Tr - 35 Tr VND</t>
        </is>
      </c>
      <c r="F1306" s="10" t="inlineStr">
        <is>
          <t>Hồ Chí Minh</t>
        </is>
      </c>
      <c r="G1306" s="10" t="inlineStr">
        <is>
          <t>09-04-2026</t>
        </is>
      </c>
      <c r="H1306" s="10" t="inlineStr">
        <is>
          <t>09/04/2026</t>
        </is>
      </c>
      <c r="I1306" s="10" t="inlineStr">
        <is>
          <t>17/03/2026</t>
        </is>
      </c>
      <c r="J1306" s="10" t="inlineStr">
        <is>
          <t>Cơ khí / Ô tô / Tự động hóa, Điện / Điện tử / Điện lạnh / Điện công nghiệp, Bảo trì / Sửa chữa</t>
        </is>
      </c>
      <c r="K1306" s="10" t="inlineStr">
        <is>
          <t>2 - 5 Năm</t>
        </is>
      </c>
      <c r="L1306" s="11">
        <f>HYPERLINK("https://careerviet.vn/vi/tim-viec-lam/ky-su-co-khi-co-tieng-anh-tieng-nhat-27756-quan-1-hcm.35C6BA13.html","Xem chi tiết")</f>
        <v/>
      </c>
      <c r="M1306" s="10" t="n"/>
    </row>
    <row r="1307">
      <c r="B1307" s="7" t="n">
        <v>1305</v>
      </c>
      <c r="C1307" t="inlineStr">
        <is>
          <t>Trưởng Phòng Kinh Doanh (AI)/ Sales Manager (AI)</t>
        </is>
      </c>
      <c r="D1307" t="inlineStr">
        <is>
          <t>CÔNG TY CỔ PHẦN VẮC XIN VÀ SINH PHẨM NAM HƯNG VIỆT</t>
        </is>
      </c>
      <c r="E1307" t="inlineStr">
        <is>
          <t>Lương:Cạnh tranh</t>
        </is>
      </c>
      <c r="F1307" t="inlineStr">
        <is>
          <t>Hồ Chí MinhHà NộiĐà Nẵng</t>
        </is>
      </c>
      <c r="G1307" t="inlineStr">
        <is>
          <t>31-05-2026</t>
        </is>
      </c>
      <c r="H1307" t="inlineStr">
        <is>
          <t>31/05/2026</t>
        </is>
      </c>
      <c r="I1307" t="inlineStr">
        <is>
          <t>17/03/2026</t>
        </is>
      </c>
      <c r="J1307" t="inlineStr">
        <is>
          <t>Bán hàng / Kinh doanh, Dược phẩm/ Hóa Mỹ Phẩm, Y tế / Chăm sóc sức khỏe / Thẩm mỹ / Làm đẹp</t>
        </is>
      </c>
      <c r="K1307" t="inlineStr">
        <is>
          <t>5 - 10 Năm</t>
        </is>
      </c>
      <c r="L1307" s="8">
        <f>HYPERLINK("https://careerviet.vn/vi/tim-viec-lam/truong-phong-kinh-doanh-ai-sales-manager-ai.35C6B86A.html","Xem chi tiết")</f>
        <v/>
      </c>
    </row>
    <row r="1308">
      <c r="B1308" s="9" t="n">
        <v>1306</v>
      </c>
      <c r="C1308" s="10" t="inlineStr">
        <is>
          <t>Chuyên viên tuyển dụng</t>
        </is>
      </c>
      <c r="D1308" s="10" t="inlineStr">
        <is>
          <t>Tổng Công ty Cổ phần Công trình Viettel</t>
        </is>
      </c>
      <c r="E1308" s="10" t="inlineStr">
        <is>
          <t>Lương:Cạnh tranh</t>
        </is>
      </c>
      <c r="F1308" s="10" t="inlineStr">
        <is>
          <t>Hà Nội</t>
        </is>
      </c>
      <c r="G1308" s="10" t="inlineStr">
        <is>
          <t>31-03-2026</t>
        </is>
      </c>
      <c r="H1308" s="10" t="inlineStr">
        <is>
          <t>31/03/2026</t>
        </is>
      </c>
      <c r="I1308" s="10" t="inlineStr">
        <is>
          <t>17/03/2026</t>
        </is>
      </c>
      <c r="J1308" s="10" t="inlineStr">
        <is>
          <t>Nhân sự</t>
        </is>
      </c>
      <c r="K1308" s="10" t="inlineStr">
        <is>
          <t>3 - 4 Năm</t>
        </is>
      </c>
      <c r="L1308" s="11">
        <f>HYPERLINK("https://careerviet.vn/vi/tim-viec-lam/chuyen-vien-tuyen-dung.35C6B88A.html","Xem chi tiết")</f>
        <v/>
      </c>
      <c r="M1308" s="10" t="n"/>
    </row>
    <row r="1309">
      <c r="B1309" s="7" t="n">
        <v>1307</v>
      </c>
      <c r="C1309" t="inlineStr">
        <is>
          <t>TRƯỞNG PHÒNG PHÁP LÝ DỰ ÁN</t>
        </is>
      </c>
      <c r="D1309" t="inlineStr">
        <is>
          <t>Công Ty CP TPS Thành Phong</t>
        </is>
      </c>
      <c r="E1309" t="inlineStr">
        <is>
          <t>Lương:30 Tr - 40 Tr VND</t>
        </is>
      </c>
      <c r="F1309" t="inlineStr">
        <is>
          <t>Hồ Chí Minh</t>
        </is>
      </c>
      <c r="G1309" t="inlineStr">
        <is>
          <t>09-04-2026</t>
        </is>
      </c>
      <c r="H1309" t="inlineStr">
        <is>
          <t>09/04/2026</t>
        </is>
      </c>
      <c r="I1309" t="inlineStr">
        <is>
          <t>17/03/2026</t>
        </is>
      </c>
      <c r="J1309" t="inlineStr">
        <is>
          <t>Luật / Pháp lý, Tài chính / Đầu tư, Bất động sản</t>
        </is>
      </c>
      <c r="K1309" t="inlineStr">
        <is>
          <t>4 - 7 Năm</t>
        </is>
      </c>
      <c r="L1309" s="8">
        <f>HYPERLINK("https://careerviet.vn/vi/tim-viec-lam/truong-phong-phap-ly-du-an.35C6B6B1.html","Xem chi tiết")</f>
        <v/>
      </c>
    </row>
    <row r="1310">
      <c r="B1310" s="9" t="n">
        <v>1308</v>
      </c>
      <c r="C1310" s="10" t="inlineStr">
        <is>
          <t>Kỹ sư Ô Tô</t>
        </is>
      </c>
      <c r="D1310" s="10" t="inlineStr">
        <is>
          <t>CÔNG TY TNHH XUẤT NHẬP KHẨU THƯƠNG MẠI SONG HÂN</t>
        </is>
      </c>
      <c r="E1310" s="10" t="inlineStr">
        <is>
          <t>Lương:8 Tr - 15 Tr VND</t>
        </is>
      </c>
      <c r="F1310" s="10" t="inlineStr">
        <is>
          <t>Hồ Chí Minh</t>
        </is>
      </c>
      <c r="G1310" s="10" t="inlineStr">
        <is>
          <t>09-04-2026</t>
        </is>
      </c>
      <c r="H1310" s="10" t="inlineStr">
        <is>
          <t>09/04/2026</t>
        </is>
      </c>
      <c r="I1310" s="10" t="inlineStr">
        <is>
          <t>17/03/2026</t>
        </is>
      </c>
      <c r="J1310" s="10" t="inlineStr">
        <is>
          <t>Cơ khí / Ô tô / Tự động hóa, Sản xuất / Vận hành sản xuất, Bảo trì / Sửa chữa</t>
        </is>
      </c>
      <c r="K1310" s="10" t="inlineStr">
        <is>
          <t>Trên 1 Năm</t>
        </is>
      </c>
      <c r="L1310" s="11">
        <f>HYPERLINK("https://careerviet.vn/vi/tim-viec-lam/ky-su-o-to.35C6B57F.html","Xem chi tiết")</f>
        <v/>
      </c>
      <c r="M1310" s="10" t="n"/>
    </row>
    <row r="1311">
      <c r="B1311" s="7" t="n">
        <v>1309</v>
      </c>
      <c r="C1311" t="inlineStr">
        <is>
          <t>Nhân Viên Telesales - Chốt Đơn Qua Điện Thoại (Làm Văn Phòng Không Đi Thị Trường) - Không Cần Kinh Nghiệm - Đi Làm Ngay - Hồ Chí Minh</t>
        </is>
      </c>
      <c r="D1311" t="inlineStr">
        <is>
          <t>CÔNG TY CỔ PHẦN NÔNG NGHIỆP AGRIZEN</t>
        </is>
      </c>
      <c r="E1311" t="inlineStr">
        <is>
          <t>Lương:15 Tr - 30 Tr VND</t>
        </is>
      </c>
      <c r="F1311" t="inlineStr">
        <is>
          <t>Hồ Chí Minh</t>
        </is>
      </c>
      <c r="G1311" t="inlineStr">
        <is>
          <t>08-04-2026</t>
        </is>
      </c>
      <c r="H1311" t="inlineStr">
        <is>
          <t>08/04/2026</t>
        </is>
      </c>
      <c r="I1311" t="inlineStr">
        <is>
          <t>17/03/2026</t>
        </is>
      </c>
      <c r="J1311" t="inlineStr">
        <is>
          <t>Bán hàng / Kinh doanh, Tư vấn, Dịch vụ khách hàng</t>
        </is>
      </c>
      <c r="K1311" t="inlineStr">
        <is>
          <t>N/A</t>
        </is>
      </c>
      <c r="L1311" s="8">
        <f>HYPERLINK("https://careerviet.vn/vi/tim-viec-lam/nhan-vien-telesales-chot-don-qua-dien-thoai-lam-van-phong-khong-di-thi-truong-khong-can-kinh-nghiem-di-lam-ngay-ho-chi-minh.35C6B805.html","Xem chi tiết")</f>
        <v/>
      </c>
    </row>
    <row r="1312">
      <c r="B1312" s="9" t="n">
        <v>1310</v>
      </c>
      <c r="C1312" s="10" t="inlineStr">
        <is>
          <t>Nhân Viên Xử Lý Hồ Sơ VISA</t>
        </is>
      </c>
      <c r="D1312" s="10" t="inlineStr">
        <is>
          <t>CÔNG TY CỔ PHẦN TƯ VẤN GIÁO DỤC EDUNETWORK VIỆT NAM</t>
        </is>
      </c>
      <c r="E1312" s="10" t="inlineStr">
        <is>
          <t>Lương:10 Tr - 14 Tr VND</t>
        </is>
      </c>
      <c r="F1312" s="10" t="inlineStr">
        <is>
          <t>Hồ Chí Minh</t>
        </is>
      </c>
      <c r="G1312" s="10" t="inlineStr">
        <is>
          <t>09-04-2026</t>
        </is>
      </c>
      <c r="H1312" s="10" t="inlineStr">
        <is>
          <t>09/04/2026</t>
        </is>
      </c>
      <c r="I1312" s="10" t="inlineStr">
        <is>
          <t>17/03/2026</t>
        </is>
      </c>
      <c r="J1312" s="10" t="inlineStr">
        <is>
          <t>Tư vấn, Dịch vụ khách hàng, Hành chính / Thư ký</t>
        </is>
      </c>
      <c r="K1312" s="10" t="inlineStr">
        <is>
          <t>Trên 1 Năm</t>
        </is>
      </c>
      <c r="L1312" s="11">
        <f>HYPERLINK("https://careerviet.vn/vi/tim-viec-lam/nhan-vien-xu-ly-ho-so-visa.35C6B9CD.html","Xem chi tiết")</f>
        <v/>
      </c>
      <c r="M1312" s="10" t="n"/>
    </row>
    <row r="1313">
      <c r="B1313" s="7" t="n">
        <v>1311</v>
      </c>
      <c r="C1313" t="inlineStr">
        <is>
          <t>Nhân viên Tư vấn kỹ thuật (Presales Executive)</t>
        </is>
      </c>
      <c r="D1313" t="inlineStr">
        <is>
          <t>Cty TNHH Giải Pháp và Kỹ Thuật Quốc Việt</t>
        </is>
      </c>
      <c r="E1313" t="inlineStr">
        <is>
          <t>Lương:Cạnh tranh</t>
        </is>
      </c>
      <c r="F1313" t="inlineStr">
        <is>
          <t>Hồ Chí Minh</t>
        </is>
      </c>
      <c r="G1313" t="inlineStr">
        <is>
          <t>11-04-2026</t>
        </is>
      </c>
      <c r="H1313" t="inlineStr">
        <is>
          <t>11/04/2026</t>
        </is>
      </c>
      <c r="I1313" t="inlineStr">
        <is>
          <t>17/03/2026</t>
        </is>
      </c>
      <c r="J1313" t="inlineStr">
        <is>
          <t>Bán Hàng Kỹ Thuật, CNTT - Phần cứng / Mạng, Bán hàng / Kinh doanh</t>
        </is>
      </c>
      <c r="K1313" t="inlineStr">
        <is>
          <t>Trên 2 Năm</t>
        </is>
      </c>
      <c r="L1313" s="8">
        <f>HYPERLINK("https://careerviet.vn/vi/tim-viec-lam/nhan-vien-tu-van-ky-thuat-presales-executive.35C6B7CC.html","Xem chi tiết")</f>
        <v/>
      </c>
    </row>
    <row r="1314">
      <c r="B1314" s="9" t="n">
        <v>1312</v>
      </c>
      <c r="C1314" s="10" t="inlineStr">
        <is>
          <t>[JHN0037706] Technical Support Manager</t>
        </is>
      </c>
      <c r="D1314" s="10" t="inlineStr">
        <is>
          <t>Iconic Co.,Ltd</t>
        </is>
      </c>
      <c r="E1314" s="10" t="inlineStr">
        <is>
          <t>Lương:23 Tr - 30 Tr VND</t>
        </is>
      </c>
      <c r="F1314" s="10" t="inlineStr">
        <is>
          <t>Hà Nội</t>
        </is>
      </c>
      <c r="G1314" s="10" t="inlineStr">
        <is>
          <t>31-03-2026</t>
        </is>
      </c>
      <c r="H1314" s="10" t="inlineStr">
        <is>
          <t>31/03/2026</t>
        </is>
      </c>
      <c r="I1314" s="10" t="inlineStr">
        <is>
          <t>17/03/2026</t>
        </is>
      </c>
      <c r="J1314" s="10" t="inlineStr">
        <is>
          <t>Bán hàng / Kinh doanh, Bán Hàng Kỹ Thuật</t>
        </is>
      </c>
      <c r="K1314" s="10" t="inlineStr">
        <is>
          <t>3 - 7 Năm</t>
        </is>
      </c>
      <c r="L1314" s="11">
        <f>HYPERLINK("https://careerviet.vn/vi/tim-viec-lam/jhn0037706-technical-support-manager.35C6B85F.html","Xem chi tiết")</f>
        <v/>
      </c>
      <c r="M1314" s="10" t="n"/>
    </row>
    <row r="1315">
      <c r="B1315" s="7" t="n">
        <v>1313</v>
      </c>
      <c r="C1315" t="inlineStr">
        <is>
          <t>[JHN0037802] Service Engineer (Chinese speaking)</t>
        </is>
      </c>
      <c r="D1315" t="inlineStr">
        <is>
          <t>Iconic Co.,Ltd</t>
        </is>
      </c>
      <c r="E1315" t="inlineStr">
        <is>
          <t>Lương:11 Tr - 20 Tr VND</t>
        </is>
      </c>
      <c r="F1315" t="inlineStr">
        <is>
          <t>Hà Nội</t>
        </is>
      </c>
      <c r="G1315" t="inlineStr">
        <is>
          <t>15-04-2026</t>
        </is>
      </c>
      <c r="H1315" t="inlineStr">
        <is>
          <t>15/04/2026</t>
        </is>
      </c>
      <c r="I1315" t="inlineStr">
        <is>
          <t>17/03/2026</t>
        </is>
      </c>
      <c r="J1315" t="inlineStr">
        <is>
          <t>Điện / Điện tử / Điện lạnh / Điện công nghiệp, Bảo trì / Sửa chữa</t>
        </is>
      </c>
      <c r="K1315" t="inlineStr">
        <is>
          <t>N/A</t>
        </is>
      </c>
      <c r="L1315" s="8">
        <f>HYPERLINK("https://careerviet.vn/vi/tim-viec-lam/jhn0037802-service-engineer-chinese-speaking.35C6B9E3.html","Xem chi tiết")</f>
        <v/>
      </c>
    </row>
    <row r="1316">
      <c r="B1316" s="9" t="n">
        <v>1314</v>
      </c>
      <c r="C1316" s="10" t="inlineStr">
        <is>
          <t>Giám Sát Thi Công (quyền chỉ huy trưởng)</t>
        </is>
      </c>
      <c r="D1316" s="10" t="inlineStr">
        <is>
          <t>Công Ty Cổ Phần  ETIC Việt Nam</t>
        </is>
      </c>
      <c r="E1316" s="10" t="inlineStr">
        <is>
          <t>Lương:20 Tr - 30 Tr VND</t>
        </is>
      </c>
      <c r="F1316" s="10" t="inlineStr">
        <is>
          <t>Hà Nội</t>
        </is>
      </c>
      <c r="G1316" s="10" t="inlineStr">
        <is>
          <t>08-04-2026</t>
        </is>
      </c>
      <c r="H1316" s="10" t="inlineStr">
        <is>
          <t>08/04/2026</t>
        </is>
      </c>
      <c r="I1316" s="10" t="inlineStr">
        <is>
          <t>17/03/2026</t>
        </is>
      </c>
      <c r="J1316" s="10" t="inlineStr">
        <is>
          <t>Kiến trúc, Xây dựng, Nội ngoại thất</t>
        </is>
      </c>
      <c r="K1316" s="10" t="inlineStr">
        <is>
          <t>3 - 5 Năm</t>
        </is>
      </c>
      <c r="L1316" s="11">
        <f>HYPERLINK("https://careerviet.vn/vi/tim-viec-lam/giam-sat-thi-cong-quyen-chi-huy-truong.35C6B956.html","Xem chi tiết")</f>
        <v/>
      </c>
      <c r="M1316" s="10" t="n"/>
    </row>
    <row r="1317">
      <c r="B1317" s="7" t="n">
        <v>1315</v>
      </c>
      <c r="C1317" t="inlineStr">
        <is>
          <t>Phiên dịch tiếng Trung tại Công Trường (Công tác Tỉnh)</t>
        </is>
      </c>
      <c r="D1317" t="inlineStr">
        <is>
          <t>CÔNG TY CỔ PHẦN THIẾT KẾ XÂY DỰNG THƯƠNG MẠI PHÚC THỊNH</t>
        </is>
      </c>
      <c r="E1317" t="inlineStr">
        <is>
          <t>Lương:10 Tr - 15 Tr VND</t>
        </is>
      </c>
      <c r="F1317" t="inlineStr">
        <is>
          <t>Hồ Chí Minh</t>
        </is>
      </c>
      <c r="G1317" t="inlineStr">
        <is>
          <t>31-03-2026</t>
        </is>
      </c>
      <c r="H1317" t="inlineStr">
        <is>
          <t>31/03/2026</t>
        </is>
      </c>
      <c r="I1317" t="inlineStr">
        <is>
          <t>17/03/2026</t>
        </is>
      </c>
      <c r="J1317" t="inlineStr">
        <is>
          <t>Biên phiên dịch, Xây dựng, Hành chính / Thư ký</t>
        </is>
      </c>
      <c r="K1317" t="inlineStr">
        <is>
          <t>1 - 3 Năm</t>
        </is>
      </c>
      <c r="L1317" s="8">
        <f>HYPERLINK("https://careerviet.vn/vi/tim-viec-lam/phien-dich-tieng-trung-tai-cong-truong-cong-tac-tinh.35C6B929.html","Xem chi tiết")</f>
        <v/>
      </c>
    </row>
    <row r="1318">
      <c r="B1318" s="9" t="n">
        <v>1316</v>
      </c>
      <c r="C1318" s="10" t="inlineStr">
        <is>
          <t>Nhân Viên Kiểm Thử Phần Mềm - Software Tester/QC (Domain Fintech)</t>
        </is>
      </c>
      <c r="D1318" s="10" t="inlineStr">
        <is>
          <t>Công ty Cố phần giải pháp công nghệ ITE</t>
        </is>
      </c>
      <c r="E1318" s="10" t="inlineStr">
        <is>
          <t>Lương:18 Tr - 23 Tr VND</t>
        </is>
      </c>
      <c r="F1318" s="10" t="inlineStr">
        <is>
          <t>Hà Nội</t>
        </is>
      </c>
      <c r="G1318" s="10" t="inlineStr">
        <is>
          <t>25-03-2026</t>
        </is>
      </c>
      <c r="H1318" s="10" t="inlineStr">
        <is>
          <t>25/03/2026</t>
        </is>
      </c>
      <c r="I1318" s="10" t="inlineStr">
        <is>
          <t>17/03/2026</t>
        </is>
      </c>
      <c r="J1318" s="10" t="inlineStr">
        <is>
          <t>Ngân hàng, CNTT - Phần mềm, Quản lý chất lượng (QA/QC)</t>
        </is>
      </c>
      <c r="K1318" s="10" t="inlineStr">
        <is>
          <t>2 - 4 Năm</t>
        </is>
      </c>
      <c r="L1318" s="11">
        <f>HYPERLINK("https://careerviet.vn/vi/tim-viec-lam/nhan-vien-kiem-thu-phan-mem-software-tester-qc-domain-fintech.35C6B8A3.html","Xem chi tiết")</f>
        <v/>
      </c>
      <c r="M1318" s="10" t="n"/>
    </row>
    <row r="1319">
      <c r="B1319" s="7" t="n">
        <v>1317</v>
      </c>
      <c r="C1319" t="inlineStr">
        <is>
          <t>Chuyên viên Hỗ trợ Quan hệ Khách hàng (ARM mảng SMEs)</t>
        </is>
      </c>
      <c r="D1319" t="inlineStr">
        <is>
          <t>Ngân Hàng TMCP Quốc Dân (NCB)</t>
        </is>
      </c>
      <c r="E1319" t="inlineStr">
        <is>
          <t>Lương:Cạnh tranh</t>
        </is>
      </c>
      <c r="F1319" t="inlineStr">
        <is>
          <t>Hà Nội</t>
        </is>
      </c>
      <c r="G1319" t="inlineStr">
        <is>
          <t>09-04-2026</t>
        </is>
      </c>
      <c r="H1319" t="inlineStr">
        <is>
          <t>09/04/2026</t>
        </is>
      </c>
      <c r="I1319" t="inlineStr">
        <is>
          <t>17/03/2026</t>
        </is>
      </c>
      <c r="J1319" t="inlineStr">
        <is>
          <t>Ngân hàng, Tài chính / Đầu tư, Dịch vụ khách hàng</t>
        </is>
      </c>
      <c r="K1319" t="inlineStr">
        <is>
          <t>Trên 1 Năm</t>
        </is>
      </c>
      <c r="L1319" s="8">
        <f>HYPERLINK("https://careerviet.vn/vi/tim-viec-lam/chuyen-vien-ho-tro-quan-he-khach-hang-arm-mang-smes.35C6B944.html","Xem chi tiết")</f>
        <v/>
      </c>
    </row>
    <row r="1320">
      <c r="B1320" s="9" t="n">
        <v>1318</v>
      </c>
      <c r="C1320" s="10" t="inlineStr">
        <is>
          <t>Senior Accountant</t>
        </is>
      </c>
      <c r="D1320" s="10" t="inlineStr">
        <is>
          <t>CÔNG TY TRÁCH NHIỆM HỮU HẠN FM SUPPLY CHAIN VIỆT NAM</t>
        </is>
      </c>
      <c r="E1320" s="10" t="inlineStr">
        <is>
          <t>Lương:25 Tr - 30 Tr VND</t>
        </is>
      </c>
      <c r="F1320" s="10" t="inlineStr">
        <is>
          <t>Hồ Chí Minh</t>
        </is>
      </c>
      <c r="G1320" s="10" t="inlineStr">
        <is>
          <t>30-03-2026</t>
        </is>
      </c>
      <c r="H1320" s="10" t="inlineStr">
        <is>
          <t>30/03/2026</t>
        </is>
      </c>
      <c r="I1320" s="10" t="inlineStr">
        <is>
          <t>17/03/2026</t>
        </is>
      </c>
      <c r="J1320" s="10" t="inlineStr">
        <is>
          <t>Kế toán / Kiểm toán</t>
        </is>
      </c>
      <c r="K1320" s="10" t="inlineStr">
        <is>
          <t>3 - 5 Năm</t>
        </is>
      </c>
      <c r="L1320" s="11">
        <f>HYPERLINK("https://careerviet.vn/vi/tim-viec-lam/senior-accountant.35C6B736.html","Xem chi tiết")</f>
        <v/>
      </c>
      <c r="M1320" s="10" t="n"/>
    </row>
    <row r="1321">
      <c r="B1321" s="7" t="n">
        <v>1319</v>
      </c>
      <c r="C1321" t="inlineStr">
        <is>
          <t>Quản Lý Nhà Hàng (Restaurant Manager)</t>
        </is>
      </c>
      <c r="D1321" t="inlineStr">
        <is>
          <t>CÔNG TY TNHH KIỀU FOODS VIỆT NAM</t>
        </is>
      </c>
      <c r="E1321" t="inlineStr">
        <is>
          <t>Lương:8 Tr - 12 Tr VND</t>
        </is>
      </c>
      <c r="F1321" t="inlineStr">
        <is>
          <t>Quảng Ngãi</t>
        </is>
      </c>
      <c r="G1321" t="inlineStr">
        <is>
          <t>31-03-2026</t>
        </is>
      </c>
      <c r="H1321" t="inlineStr">
        <is>
          <t>31/03/2026</t>
        </is>
      </c>
      <c r="I1321" t="inlineStr">
        <is>
          <t>17/03/2026</t>
        </is>
      </c>
      <c r="J1321" t="inlineStr">
        <is>
          <t>Quản lý điều hành, Nhà hàng / Khách sạn</t>
        </is>
      </c>
      <c r="K1321" t="inlineStr">
        <is>
          <t>1 - 2 Năm</t>
        </is>
      </c>
      <c r="L1321" s="8">
        <f>HYPERLINK("https://careerviet.vn/vi/tim-viec-lam/quan-ly-nha-hang-restaurant-manager.35C364B6.html","Xem chi tiết")</f>
        <v/>
      </c>
    </row>
    <row r="1322">
      <c r="B1322" s="9" t="n">
        <v>1320</v>
      </c>
      <c r="C1322" s="10" t="inlineStr">
        <is>
          <t>Leader Marketing</t>
        </is>
      </c>
      <c r="D1322" s="10" t="inlineStr">
        <is>
          <t>CÔNG TY TNHH PHÁT TRIỂN THƯƠNG MẠI BĐS NEWSTARLAND</t>
        </is>
      </c>
      <c r="E1322" s="10" t="inlineStr">
        <is>
          <t>Lương:23 Tr - 30 Tr VND</t>
        </is>
      </c>
      <c r="F1322" s="10" t="inlineStr">
        <is>
          <t>Hà Nội</t>
        </is>
      </c>
      <c r="G1322" s="10" t="inlineStr">
        <is>
          <t>30-03-2026</t>
        </is>
      </c>
      <c r="H1322" s="10" t="inlineStr">
        <is>
          <t>30/03/2026</t>
        </is>
      </c>
      <c r="I1322" s="10" t="inlineStr">
        <is>
          <t>17/03/2026</t>
        </is>
      </c>
      <c r="J1322" s="10" t="inlineStr">
        <is>
          <t>Tiếp thị / Marketing, Quảng cáo / Đối ngoại / Truyền Thông, Truyền hình / Báo chí / Biên tập</t>
        </is>
      </c>
      <c r="K1322" s="10" t="inlineStr">
        <is>
          <t>3 - 5 Năm</t>
        </is>
      </c>
      <c r="L1322" s="11">
        <f>HYPERLINK("https://careerviet.vn/vi/tim-viec-lam/leader-marketing.35C6B7A5.html","Xem chi tiết")</f>
        <v/>
      </c>
      <c r="M1322" s="10" t="n"/>
    </row>
    <row r="1323">
      <c r="B1323" s="7" t="n">
        <v>1321</v>
      </c>
      <c r="C1323" t="inlineStr">
        <is>
          <t>Chuyên Viên Kinh Doanh - Sales B2B</t>
        </is>
      </c>
      <c r="D1323" t="inlineStr">
        <is>
          <t>CÔNG TY CP DỊCH VỤ Y TẾ SBB</t>
        </is>
      </c>
      <c r="E1323" t="inlineStr">
        <is>
          <t>Lương:15 Tr - 25 Tr VND</t>
        </is>
      </c>
      <c r="F1323" t="inlineStr">
        <is>
          <t>Hà Nội</t>
        </is>
      </c>
      <c r="G1323" t="inlineStr">
        <is>
          <t>30-04-2026</t>
        </is>
      </c>
      <c r="H1323" t="inlineStr">
        <is>
          <t>30/04/2026</t>
        </is>
      </c>
      <c r="I1323" t="inlineStr">
        <is>
          <t>17/03/2026</t>
        </is>
      </c>
      <c r="J1323" t="inlineStr">
        <is>
          <t>Bán hàng / Kinh doanh, Tiếp thị / Marketing, Tư vấn</t>
        </is>
      </c>
      <c r="K1323" t="inlineStr">
        <is>
          <t>1 - 3 Năm</t>
        </is>
      </c>
      <c r="L1323" s="8">
        <f>HYPERLINK("https://careerviet.vn/vi/tim-viec-lam/chuyen-vien-kinh-doanh-sales-b2b.35C6B945.html","Xem chi tiết")</f>
        <v/>
      </c>
    </row>
    <row r="1324">
      <c r="B1324" s="9" t="n">
        <v>1322</v>
      </c>
      <c r="C1324" s="10" t="inlineStr">
        <is>
          <t>Chuyên Viên Giám Sát Hoàn Thiện Nội Thất</t>
        </is>
      </c>
      <c r="D1324" s="10" t="inlineStr">
        <is>
          <t>BIM Group</t>
        </is>
      </c>
      <c r="E1324" s="10" t="inlineStr">
        <is>
          <t>Lương:Cạnh tranh</t>
        </is>
      </c>
      <c r="F1324" s="10" t="inlineStr">
        <is>
          <t>Quảng Ninh</t>
        </is>
      </c>
      <c r="G1324" s="10" t="inlineStr">
        <is>
          <t>30-04-2026</t>
        </is>
      </c>
      <c r="H1324" s="10" t="inlineStr">
        <is>
          <t>30/04/2026</t>
        </is>
      </c>
      <c r="I1324" s="10" t="inlineStr">
        <is>
          <t>17/03/2026</t>
        </is>
      </c>
      <c r="J1324" s="10" t="inlineStr">
        <is>
          <t>Xây dựng</t>
        </is>
      </c>
      <c r="K1324" s="10" t="inlineStr">
        <is>
          <t>Trên 3 Năm</t>
        </is>
      </c>
      <c r="L1324" s="11">
        <f>HYPERLINK("https://careerviet.vn/vi/tim-viec-lam/chuyen-vien-giam-sat-hoan-thien-noi-that.35C6B966.html","Xem chi tiết")</f>
        <v/>
      </c>
      <c r="M1324" s="10" t="n"/>
    </row>
    <row r="1325">
      <c r="B1325" s="7" t="n">
        <v>1323</v>
      </c>
      <c r="C1325" t="inlineStr">
        <is>
          <t>HRBP Supervisor</t>
        </is>
      </c>
      <c r="D1325" t="inlineStr">
        <is>
          <t>Wanek Furniture</t>
        </is>
      </c>
      <c r="E1325" t="inlineStr">
        <is>
          <t>Lương:Cạnh tranh</t>
        </is>
      </c>
      <c r="F1325" t="inlineStr">
        <is>
          <t>Bình Dương</t>
        </is>
      </c>
      <c r="G1325" t="inlineStr">
        <is>
          <t>30-04-2026</t>
        </is>
      </c>
      <c r="H1325" t="inlineStr">
        <is>
          <t>30/04/2026</t>
        </is>
      </c>
      <c r="I1325" t="inlineStr">
        <is>
          <t>17/03/2026</t>
        </is>
      </c>
      <c r="J1325" t="inlineStr">
        <is>
          <t>Nhân sự, Sản xuất / Vận hành sản xuất</t>
        </is>
      </c>
      <c r="K1325" t="inlineStr">
        <is>
          <t>6 - 8 Năm</t>
        </is>
      </c>
      <c r="L1325" s="8">
        <f>HYPERLINK("https://careerviet.vn/vi/tim-viec-lam/hrbp-supervisor.35C6B8BC.html","Xem chi tiết")</f>
        <v/>
      </c>
    </row>
    <row r="1326">
      <c r="B1326" s="9" t="n">
        <v>1324</v>
      </c>
      <c r="C1326" s="10" t="inlineStr">
        <is>
          <t>CHUYÊN VIÊN KẾ TOÁN DỊCH VỤ</t>
        </is>
      </c>
      <c r="D1326" s="10" t="inlineStr">
        <is>
          <t>Công Ty Cổ Phần Hỗ Trợ Doanh Nghiệp Thông Minh</t>
        </is>
      </c>
      <c r="E1326" s="10" t="inlineStr">
        <is>
          <t>Lương:10 Tr - 15 Tr VND</t>
        </is>
      </c>
      <c r="F1326" s="10" t="inlineStr">
        <is>
          <t>Hồ Chí Minh</t>
        </is>
      </c>
      <c r="G1326" s="10" t="inlineStr">
        <is>
          <t>09-04-2026</t>
        </is>
      </c>
      <c r="H1326" s="10" t="inlineStr">
        <is>
          <t>09/04/2026</t>
        </is>
      </c>
      <c r="I1326" s="10" t="inlineStr">
        <is>
          <t>17/03/2026</t>
        </is>
      </c>
      <c r="J1326" s="10" t="inlineStr">
        <is>
          <t>Kế toán / Kiểm toán, Tài chính / Đầu tư, Luật / Pháp lý</t>
        </is>
      </c>
      <c r="K1326" s="10" t="inlineStr">
        <is>
          <t>Trên 1 Năm</t>
        </is>
      </c>
      <c r="L1326" s="11">
        <f>HYPERLINK("https://careerviet.vn/vi/tim-viec-lam/chuyen-vien-ke-toan-dich-vu.35C6B886.html","Xem chi tiết")</f>
        <v/>
      </c>
      <c r="M1326" s="10" t="n"/>
    </row>
    <row r="1327">
      <c r="B1327" s="7" t="n">
        <v>1325</v>
      </c>
      <c r="C1327" t="inlineStr">
        <is>
          <t>Manufacturing Systems Architect</t>
        </is>
      </c>
      <c r="D1327" t="inlineStr">
        <is>
          <t>Citigroup Limited Industries, Inc.</t>
        </is>
      </c>
      <c r="E1327" t="inlineStr">
        <is>
          <t>Lương:Cạnh tranh</t>
        </is>
      </c>
      <c r="F1327" t="inlineStr">
        <is>
          <t>Hồ Chí Minh</t>
        </is>
      </c>
      <c r="G1327" t="inlineStr">
        <is>
          <t>11-04-2026</t>
        </is>
      </c>
      <c r="H1327" t="inlineStr">
        <is>
          <t>11/04/2026</t>
        </is>
      </c>
      <c r="I1327" t="inlineStr">
        <is>
          <t>17/03/2026</t>
        </is>
      </c>
      <c r="J1327" t="inlineStr">
        <is>
          <t>CNTT - Phần mềm, Sản xuất / Vận hành sản xuất, Xuất nhập khẩu</t>
        </is>
      </c>
      <c r="K1327" t="inlineStr">
        <is>
          <t>8 - 10 Năm</t>
        </is>
      </c>
      <c r="L1327" s="8">
        <f>HYPERLINK("https://careerviet.vn/vi/tim-viec-lam/manufacturing-systems-architect.35C6B743.html","Xem chi tiết")</f>
        <v/>
      </c>
    </row>
    <row r="1328">
      <c r="B1328" s="9" t="n">
        <v>1326</v>
      </c>
      <c r="C1328" s="10" t="inlineStr">
        <is>
          <t>[JHN0037513] Nhân viên kỹ thuật - Electrical staff</t>
        </is>
      </c>
      <c r="D1328" s="10" t="inlineStr">
        <is>
          <t>Iconic Co.,Ltd</t>
        </is>
      </c>
      <c r="E1328" s="10" t="inlineStr">
        <is>
          <t>Lương:17 Tr - 20 Tr VND</t>
        </is>
      </c>
      <c r="F1328" s="10" t="inlineStr">
        <is>
          <t>Hà Nội</t>
        </is>
      </c>
      <c r="G1328" s="10" t="inlineStr">
        <is>
          <t>15-04-2026</t>
        </is>
      </c>
      <c r="H1328" s="10" t="inlineStr">
        <is>
          <t>15/04/2026</t>
        </is>
      </c>
      <c r="I1328" s="10" t="inlineStr">
        <is>
          <t>17/03/2026</t>
        </is>
      </c>
      <c r="J1328" s="10" t="inlineStr">
        <is>
          <t>Điện / Điện tử / Điện lạnh / Điện công nghiệp</t>
        </is>
      </c>
      <c r="K1328" s="10" t="inlineStr">
        <is>
          <t>Trên 3 Năm</t>
        </is>
      </c>
      <c r="L1328" s="11">
        <f>HYPERLINK("https://careerviet.vn/vi/tim-viec-lam/jhn0037513-nhan-vien-ky-thuat-electrical-staff.35C6B9ED.html","Xem chi tiết")</f>
        <v/>
      </c>
      <c r="M1328" s="10" t="n"/>
    </row>
    <row r="1329">
      <c r="B1329" s="7" t="n">
        <v>1327</v>
      </c>
      <c r="C1329" t="inlineStr">
        <is>
          <t>Quản Đốc Kết Cấu Thép</t>
        </is>
      </c>
      <c r="D1329" t="inlineStr">
        <is>
          <t>ATAD Steel Structure Corporation</t>
        </is>
      </c>
      <c r="E1329" t="inlineStr">
        <is>
          <t>Lương:Cạnh tranh</t>
        </is>
      </c>
      <c r="F1329" t="inlineStr">
        <is>
          <t>Bà Rịa - Vũng Tàu</t>
        </is>
      </c>
      <c r="G1329" t="inlineStr">
        <is>
          <t>30-04-2026</t>
        </is>
      </c>
      <c r="H1329" t="inlineStr">
        <is>
          <t>30/04/2026</t>
        </is>
      </c>
      <c r="I1329" t="inlineStr">
        <is>
          <t>17/03/2026</t>
        </is>
      </c>
      <c r="J1329" t="inlineStr">
        <is>
          <t>Sản xuất / Vận hành sản xuất, Cơ khí / Ô tô / Tự động hóa, Xây dựng</t>
        </is>
      </c>
      <c r="K1329" t="inlineStr">
        <is>
          <t>3 - 5 Năm</t>
        </is>
      </c>
      <c r="L1329" s="8">
        <f>HYPERLINK("https://careerviet.vn/vi/tim-viec-lam/quan-doc-ket-cau-thep.35C6B8E8.html","Xem chi tiết")</f>
        <v/>
      </c>
    </row>
    <row r="1330">
      <c r="B1330" s="9" t="n">
        <v>1328</v>
      </c>
      <c r="C1330" s="10" t="inlineStr">
        <is>
          <t>Sales Representative – Dealer Channel</t>
        </is>
      </c>
      <c r="D1330" s="10" t="inlineStr">
        <is>
          <t>Công Ty TNHH Một Thành Viên Karcher</t>
        </is>
      </c>
      <c r="E1330" s="10" t="inlineStr">
        <is>
          <t>Lương:Cạnh tranh</t>
        </is>
      </c>
      <c r="F1330" s="10" t="inlineStr">
        <is>
          <t>Hồ Chí Minh</t>
        </is>
      </c>
      <c r="G1330" s="10" t="inlineStr">
        <is>
          <t>10-04-2026</t>
        </is>
      </c>
      <c r="H1330" s="10" t="inlineStr">
        <is>
          <t>10/04/2026</t>
        </is>
      </c>
      <c r="I1330" s="10" t="inlineStr">
        <is>
          <t>17/03/2026</t>
        </is>
      </c>
      <c r="J1330" s="10" t="inlineStr">
        <is>
          <t>Bán lẻ / Bán sỉ, Bán hàng / Kinh doanh, Bán Hàng Kỹ Thuật</t>
        </is>
      </c>
      <c r="K1330" s="10" t="inlineStr">
        <is>
          <t>2 - 4 Năm</t>
        </is>
      </c>
      <c r="L1330" s="11">
        <f>HYPERLINK("https://careerviet.vn/vi/tim-viec-lam/sales-representative-dealer-channel.35C6B799.html","Xem chi tiết")</f>
        <v/>
      </c>
      <c r="M1330" s="10" t="n"/>
    </row>
    <row r="1331">
      <c r="B1331" s="7" t="n">
        <v>1329</v>
      </c>
      <c r="C1331" t="inlineStr">
        <is>
          <t>Chuyên Viên An Toàn – Vệ Sinh – Sức Khỏe Nghề Nghiệp (EHS Officer)</t>
        </is>
      </c>
      <c r="D1331" t="inlineStr">
        <is>
          <t>CÔNG TY TRÁCH NHIỆM HỮU HẠN BỘT KIM LOẠI JULIEN VIỆT NAM</t>
        </is>
      </c>
      <c r="E1331" t="inlineStr">
        <is>
          <t>Lương:Trên 16 Tr VND</t>
        </is>
      </c>
      <c r="F1331" t="inlineStr">
        <is>
          <t>Đồng Nai</t>
        </is>
      </c>
      <c r="G1331" t="inlineStr">
        <is>
          <t>01-04-2026</t>
        </is>
      </c>
      <c r="H1331" t="inlineStr">
        <is>
          <t>01/04/2026</t>
        </is>
      </c>
      <c r="I1331" t="inlineStr">
        <is>
          <t>17/03/2026</t>
        </is>
      </c>
      <c r="J1331" t="inlineStr">
        <is>
          <t>An toàn lao động, Môi trường</t>
        </is>
      </c>
      <c r="K1331" t="inlineStr">
        <is>
          <t>Trên 2 Năm</t>
        </is>
      </c>
      <c r="L1331" s="8">
        <f>HYPERLINK("https://careerviet.vn/vi/tim-viec-lam/chuyen-vien-an-toan-ve-sinh-suc-khoe-nghe-nghiep-ehs-officer.35C6A410.html","Xem chi tiết")</f>
        <v/>
      </c>
    </row>
    <row r="1332">
      <c r="B1332" s="9" t="n">
        <v>1330</v>
      </c>
      <c r="C1332" s="10" t="inlineStr">
        <is>
          <t>Quản Lý Sản Phẩm/ Product Manager</t>
        </is>
      </c>
      <c r="D1332" s="10" t="inlineStr">
        <is>
          <t>CÔNG TY CỔ PHẦN VẮC XIN VÀ SINH PHẨM NAM HƯNG VIỆT</t>
        </is>
      </c>
      <c r="E1332" s="10" t="inlineStr">
        <is>
          <t>Lương:Cạnh tranh</t>
        </is>
      </c>
      <c r="F1332" s="10" t="inlineStr">
        <is>
          <t>Hồ Chí Minh</t>
        </is>
      </c>
      <c r="G1332" s="10" t="inlineStr">
        <is>
          <t>31-05-2026</t>
        </is>
      </c>
      <c r="H1332" s="10" t="inlineStr">
        <is>
          <t>31/05/2026</t>
        </is>
      </c>
      <c r="I1332" s="10" t="inlineStr">
        <is>
          <t>17/03/2026</t>
        </is>
      </c>
      <c r="J1332" s="10" t="inlineStr">
        <is>
          <t>Bán hàng / Kinh doanh, Dược phẩm/ Hóa Mỹ Phẩm, Y tế / Chăm sóc sức khỏe / Thẩm mỹ / Làm đẹp</t>
        </is>
      </c>
      <c r="K1332" s="10" t="inlineStr">
        <is>
          <t>5 - 10 Năm</t>
        </is>
      </c>
      <c r="L1332" s="11">
        <f>HYPERLINK("https://careerviet.vn/vi/tim-viec-lam/quan-ly-san-pham-product-manager.35C6B82E.html","Xem chi tiết")</f>
        <v/>
      </c>
      <c r="M1332" s="10" t="n"/>
    </row>
    <row r="1333">
      <c r="B1333" s="7" t="n">
        <v>1331</v>
      </c>
      <c r="C1333" t="inlineStr">
        <is>
          <t>Giám Sát Thi Công (Senior)</t>
        </is>
      </c>
      <c r="D1333" t="inlineStr">
        <is>
          <t>CÔNG TY CP ĐẦU TƯ KIẾN TRÚC &amp; NỘI THẤT MỘC XINH</t>
        </is>
      </c>
      <c r="E1333" t="inlineStr">
        <is>
          <t>Lương:22 Tr - 28 Tr VND</t>
        </is>
      </c>
      <c r="F1333" t="inlineStr">
        <is>
          <t>Hà Nội</t>
        </is>
      </c>
      <c r="G1333" t="inlineStr">
        <is>
          <t>09-04-2026</t>
        </is>
      </c>
      <c r="H1333" t="inlineStr">
        <is>
          <t>09/04/2026</t>
        </is>
      </c>
      <c r="I1333" t="inlineStr">
        <is>
          <t>17/03/2026</t>
        </is>
      </c>
      <c r="J1333" t="inlineStr">
        <is>
          <t>Xây dựng, Nội ngoại thất, Kiến trúc</t>
        </is>
      </c>
      <c r="K1333" t="inlineStr">
        <is>
          <t>Trên 3 Năm</t>
        </is>
      </c>
      <c r="L1333" s="8">
        <f>HYPERLINK("https://careerviet.vn/vi/tim-viec-lam/giam-sat-thi-cong-senior.35C6B8B5.html","Xem chi tiết")</f>
        <v/>
      </c>
    </row>
    <row r="1334">
      <c r="B1334" s="9" t="n">
        <v>1332</v>
      </c>
      <c r="C1334" s="10" t="inlineStr">
        <is>
          <t>Engineer |Kỹ Sư Thiết Kế - Dự Án Xây Dựng Hạ Tầng Giao Thông/ Công Nghiệp</t>
        </is>
      </c>
      <c r="D1334" s="10" t="inlineStr">
        <is>
          <t>CÔNG TY TNHH FREYSSINET VIỆT NAM</t>
        </is>
      </c>
      <c r="E1334" s="10" t="inlineStr">
        <is>
          <t>Lương:16 Tr - 22 Tr VND</t>
        </is>
      </c>
      <c r="F1334" s="10" t="inlineStr">
        <is>
          <t>Hà Nội</t>
        </is>
      </c>
      <c r="G1334" s="10" t="inlineStr">
        <is>
          <t>04-04-2026</t>
        </is>
      </c>
      <c r="H1334" s="10" t="inlineStr">
        <is>
          <t>04/04/2026</t>
        </is>
      </c>
      <c r="I1334" s="10" t="inlineStr">
        <is>
          <t>17/03/2026</t>
        </is>
      </c>
      <c r="J1334" s="10" t="inlineStr">
        <is>
          <t>Xây dựng, Trắc địa / Địa Chất, Ngành khác</t>
        </is>
      </c>
      <c r="K1334" s="10" t="inlineStr">
        <is>
          <t>N/A</t>
        </is>
      </c>
      <c r="L1334" s="11">
        <f>HYPERLINK("https://careerviet.vn/vi/tim-viec-lam/engineer-ky-su-thiet-ke-du-an-xay-dung-ha-tang-giao-thong-cong-nghiep.35C6AE6E.html","Xem chi tiết")</f>
        <v/>
      </c>
      <c r="M1334" s="10" t="n"/>
    </row>
    <row r="1335">
      <c r="B1335" s="7" t="n">
        <v>1333</v>
      </c>
      <c r="C1335" t="inlineStr">
        <is>
          <t>Kế toán tổng hợp</t>
        </is>
      </c>
      <c r="D1335" t="inlineStr">
        <is>
          <t>Công Ty Cổ Phần Đầu Tư &amp; Xây Dựng Tây Hồ</t>
        </is>
      </c>
      <c r="E1335" t="inlineStr">
        <is>
          <t>Lương:Cạnh tranh</t>
        </is>
      </c>
      <c r="F1335" t="inlineStr">
        <is>
          <t>Hồ Chí Minh</t>
        </is>
      </c>
      <c r="G1335" t="inlineStr">
        <is>
          <t>31-03-2026</t>
        </is>
      </c>
      <c r="H1335" t="inlineStr">
        <is>
          <t>31/03/2026</t>
        </is>
      </c>
      <c r="I1335" t="inlineStr">
        <is>
          <t>17/03/2026</t>
        </is>
      </c>
      <c r="J1335" t="inlineStr">
        <is>
          <t>Kế toán / Kiểm toán, Bất động sản</t>
        </is>
      </c>
      <c r="K1335" t="inlineStr">
        <is>
          <t>8 - 15 Năm</t>
        </is>
      </c>
      <c r="L1335" s="8">
        <f>HYPERLINK("https://careerviet.vn/vi/tim-viec-lam/ke-toan-tong-hop.35C6B83E.html","Xem chi tiết")</f>
        <v/>
      </c>
    </row>
    <row r="1336">
      <c r="B1336" s="9" t="n">
        <v>1334</v>
      </c>
      <c r="C1336" s="10" t="inlineStr">
        <is>
          <t>Trưởng nhóm Trải nghiệm khách hàng (Customer Experience Leader)</t>
        </is>
      </c>
      <c r="D1336" s="10" t="inlineStr">
        <is>
          <t>NHÀ SÁCH TIẾN THỌ</t>
        </is>
      </c>
      <c r="E1336" s="10" t="inlineStr">
        <is>
          <t>Lương:20 Tr - 25 Tr VND</t>
        </is>
      </c>
      <c r="F1336" s="10" t="inlineStr">
        <is>
          <t>Hà Nội</t>
        </is>
      </c>
      <c r="G1336" s="10" t="inlineStr">
        <is>
          <t>31-03-2026</t>
        </is>
      </c>
      <c r="H1336" s="10" t="inlineStr">
        <is>
          <t>31/03/2026</t>
        </is>
      </c>
      <c r="I1336" s="10" t="inlineStr">
        <is>
          <t>17/03/2026</t>
        </is>
      </c>
      <c r="J1336" s="10" t="inlineStr">
        <is>
          <t>Dịch vụ khách hàng</t>
        </is>
      </c>
      <c r="K1336" s="10" t="inlineStr">
        <is>
          <t>Trên 1 Năm</t>
        </is>
      </c>
      <c r="L1336" s="11">
        <f>HYPERLINK("https://careerviet.vn/vi/tim-viec-lam/truong-nhom-trai-nghiem-khach-hang-customer-experience-leader.35C6B6AC.html","Xem chi tiết")</f>
        <v/>
      </c>
      <c r="M1336" s="10" t="n"/>
    </row>
    <row r="1337">
      <c r="B1337" s="7" t="n">
        <v>1335</v>
      </c>
      <c r="C1337" t="inlineStr">
        <is>
          <t>Nhân viên Kỹ thuật máy phát điện</t>
        </is>
      </c>
      <c r="D1337" t="inlineStr">
        <is>
          <t>CÔNG TY TNHH XUẤT NHẬP KHẨU THƯƠNG MẠI SONG HÂN</t>
        </is>
      </c>
      <c r="E1337" t="inlineStr">
        <is>
          <t>Lương:8 Tr - 15 Tr VND</t>
        </is>
      </c>
      <c r="F1337" t="inlineStr">
        <is>
          <t>Hồ Chí Minh</t>
        </is>
      </c>
      <c r="G1337" t="inlineStr">
        <is>
          <t>10-04-2026</t>
        </is>
      </c>
      <c r="H1337" t="inlineStr">
        <is>
          <t>10/04/2026</t>
        </is>
      </c>
      <c r="I1337" t="inlineStr">
        <is>
          <t>17/03/2026</t>
        </is>
      </c>
      <c r="J1337" t="inlineStr">
        <is>
          <t>Bảo trì / Sửa chữa, Điện / Điện tử / Điện lạnh / Điện công nghiệp, Cơ khí / Ô tô / Tự động hóa</t>
        </is>
      </c>
      <c r="K1337" t="inlineStr">
        <is>
          <t>Trên 1 Năm</t>
        </is>
      </c>
      <c r="L1337" s="8">
        <f>HYPERLINK("https://careerviet.vn/vi/tim-viec-lam/nhan-vien-ky-thuat-may-phat-dien.35C6B581.html","Xem chi tiết")</f>
        <v/>
      </c>
    </row>
    <row r="1338">
      <c r="B1338" s="9" t="n">
        <v>1336</v>
      </c>
      <c r="C1338" s="10" t="inlineStr">
        <is>
          <t>[Toàn Quốc] - Giám Sát Kinh Doanh Bán Hàng Trả Góp</t>
        </is>
      </c>
      <c r="D1338" s="10" t="inlineStr">
        <is>
          <t>Công Ty Tài Chính Mirae Asset (Việt Nam)</t>
        </is>
      </c>
      <c r="E1338" s="10" t="inlineStr">
        <is>
          <t>Lương:13 Tr - 50 Tr VND</t>
        </is>
      </c>
      <c r="F1338" s="10" t="inlineStr">
        <is>
          <t>Hồ Chí MinhToàn quốcĐiện Biên</t>
        </is>
      </c>
      <c r="G1338" s="10" t="inlineStr">
        <is>
          <t>08-04-2026</t>
        </is>
      </c>
      <c r="H1338" s="10" t="inlineStr">
        <is>
          <t>08/04/2026</t>
        </is>
      </c>
      <c r="I1338" s="10" t="inlineStr">
        <is>
          <t>17/03/2026</t>
        </is>
      </c>
      <c r="J1338" s="10" t="inlineStr">
        <is>
          <t>Dịch vụ khách hàng, Bán hàng / Kinh doanh, Tài chính / Đầu tư</t>
        </is>
      </c>
      <c r="K1338" s="10" t="inlineStr">
        <is>
          <t>2 - 3 Năm</t>
        </is>
      </c>
      <c r="L1338" s="11">
        <f>HYPERLINK("https://careerviet.vn/vi/tim-viec-lam/toan-quoc-giam-sat-kinh-doanh-ban-hang-tra-gop.35C6BA34.html","Xem chi tiết")</f>
        <v/>
      </c>
      <c r="M1338" s="10" t="n"/>
    </row>
    <row r="1339">
      <c r="B1339" s="7" t="n">
        <v>1337</v>
      </c>
      <c r="C1339" t="inlineStr">
        <is>
          <t>Call Collections Quality Control Specialist</t>
        </is>
      </c>
      <c r="D1339" t="inlineStr">
        <is>
          <t>FE CREDIT</t>
        </is>
      </c>
      <c r="E1339" t="inlineStr">
        <is>
          <t>Lương:Cạnh tranh</t>
        </is>
      </c>
      <c r="F1339" t="inlineStr">
        <is>
          <t>Hồ Chí Minh</t>
        </is>
      </c>
      <c r="G1339" t="inlineStr">
        <is>
          <t>08-04-2026</t>
        </is>
      </c>
      <c r="H1339" t="inlineStr">
        <is>
          <t>08/04/2026</t>
        </is>
      </c>
      <c r="I1339" t="inlineStr">
        <is>
          <t>17/03/2026</t>
        </is>
      </c>
      <c r="J1339" t="inlineStr">
        <is>
          <t>Ngân hàng</t>
        </is>
      </c>
      <c r="K1339" t="inlineStr">
        <is>
          <t>2 - 5 Năm</t>
        </is>
      </c>
      <c r="L1339" s="8">
        <f>HYPERLINK("https://careerviet.vn/vi/tim-viec-lam/call-collections-quality-control-specialist.35C6BA35.html","Xem chi tiết")</f>
        <v/>
      </c>
    </row>
    <row r="1340">
      <c r="B1340" s="9" t="n">
        <v>1338</v>
      </c>
      <c r="C1340" s="10" t="inlineStr">
        <is>
          <t>Quản Lý Kinh Doanh Vùng/Khu vực Kênh Trả Góp</t>
        </is>
      </c>
      <c r="D1340" s="10" t="inlineStr">
        <is>
          <t>Công Ty Tài Chính Mirae Asset (Việt Nam)</t>
        </is>
      </c>
      <c r="E1340" s="10" t="inlineStr">
        <is>
          <t>Lương:Cạnh tranh</t>
        </is>
      </c>
      <c r="F1340" s="10" t="inlineStr">
        <is>
          <t>Đồng Bằng Sông Cửu LongBình DươngHồ Chí Minh</t>
        </is>
      </c>
      <c r="G1340" s="10" t="inlineStr">
        <is>
          <t>08-04-2026</t>
        </is>
      </c>
      <c r="H1340" s="10" t="inlineStr">
        <is>
          <t>08/04/2026</t>
        </is>
      </c>
      <c r="I1340" s="10" t="inlineStr">
        <is>
          <t>17/03/2026</t>
        </is>
      </c>
      <c r="J1340" s="10" t="inlineStr">
        <is>
          <t>Ngân hàng, Bán hàng / Kinh doanh, Tài chính / Đầu tư</t>
        </is>
      </c>
      <c r="K1340" s="10" t="inlineStr">
        <is>
          <t>1 - 3 Năm</t>
        </is>
      </c>
      <c r="L1340" s="11">
        <f>HYPERLINK("https://careerviet.vn/vi/tim-viec-lam/quan-ly-kinh-doanh-vung-khu-vuc-kenh-tra-gop.35C6BA18.html","Xem chi tiết")</f>
        <v/>
      </c>
      <c r="M1340" s="10" t="n"/>
    </row>
    <row r="1341">
      <c r="B1341" s="7" t="n">
        <v>1339</v>
      </c>
      <c r="C1341" t="inlineStr">
        <is>
          <t>Nhân Viên Hành Chính Văn Phòng Biết Tiếng Trung</t>
        </is>
      </c>
      <c r="D1341" t="inlineStr">
        <is>
          <t>CÔNG TY TNHH POLYTEX  FAR EASTERN (VIỆT NAM)</t>
        </is>
      </c>
      <c r="E1341" t="inlineStr">
        <is>
          <t>Lương:10 Tr - 15 Tr VND</t>
        </is>
      </c>
      <c r="F1341" t="inlineStr">
        <is>
          <t>Bình Dương</t>
        </is>
      </c>
      <c r="G1341" t="inlineStr">
        <is>
          <t>31-05-2026</t>
        </is>
      </c>
      <c r="H1341" t="inlineStr">
        <is>
          <t>31/05/2026</t>
        </is>
      </c>
      <c r="I1341" t="inlineStr">
        <is>
          <t>17/03/2026</t>
        </is>
      </c>
      <c r="J1341" t="inlineStr">
        <is>
          <t>Hành chính / Thư ký, Nhân sự</t>
        </is>
      </c>
      <c r="K1341" t="inlineStr">
        <is>
          <t>Lên đến 3 Năm</t>
        </is>
      </c>
      <c r="L1341" s="8">
        <f>HYPERLINK("https://careerviet.vn/vi/tim-viec-lam/nhan-vien-hanh-chinh-van-phong-biet-tieng-trung.35C6B6EF.html","Xem chi tiết")</f>
        <v/>
      </c>
    </row>
    <row r="1342">
      <c r="B1342" s="9" t="n">
        <v>1340</v>
      </c>
      <c r="C1342" s="10" t="inlineStr">
        <is>
          <t>[Hưng Yên] - Trưởng phòng Khách hàng doanh nghiệp</t>
        </is>
      </c>
      <c r="D1342" s="10" t="inlineStr">
        <is>
          <t>Ngân hàng TMCP Lộc Phát Việt Nam (LPBank)</t>
        </is>
      </c>
      <c r="E1342" s="10" t="inlineStr">
        <is>
          <t>Lương:Cạnh tranh</t>
        </is>
      </c>
      <c r="F1342" s="10" t="inlineStr">
        <is>
          <t>Hưng Yên</t>
        </is>
      </c>
      <c r="G1342" s="10" t="inlineStr">
        <is>
          <t>06-05-2026</t>
        </is>
      </c>
      <c r="H1342" s="10" t="inlineStr">
        <is>
          <t>06/05/2026</t>
        </is>
      </c>
      <c r="I1342" s="10" t="inlineStr">
        <is>
          <t>17/03/2026</t>
        </is>
      </c>
      <c r="J1342" s="10" t="inlineStr">
        <is>
          <t>Dịch vụ khách hàng, Bảo hiểm, Bất động sản</t>
        </is>
      </c>
      <c r="K1342" s="10" t="inlineStr">
        <is>
          <t>Trên 4 Năm</t>
        </is>
      </c>
      <c r="L1342" s="11">
        <f>HYPERLINK("https://careerviet.vn/vi/tim-viec-lam/hung-yen-truong-phong-khach-hang-doanh-nghiep.35C6B6A8.html","Xem chi tiết")</f>
        <v/>
      </c>
      <c r="M1342" s="10" t="n"/>
    </row>
    <row r="1343">
      <c r="B1343" s="7" t="n">
        <v>1341</v>
      </c>
      <c r="C1343" t="inlineStr">
        <is>
          <t>Nhân Viên Quản Lý Xuất Nhập Khẩu</t>
        </is>
      </c>
      <c r="D1343" t="inlineStr">
        <is>
          <t>Công Ty TNHH Harada Industries Việt Nam</t>
        </is>
      </c>
      <c r="E1343" t="inlineStr">
        <is>
          <t>Lương:Cạnh tranh</t>
        </is>
      </c>
      <c r="F1343" t="inlineStr">
        <is>
          <t>Đồng Nai</t>
        </is>
      </c>
      <c r="G1343" t="inlineStr">
        <is>
          <t>08-04-2026</t>
        </is>
      </c>
      <c r="H1343" t="inlineStr">
        <is>
          <t>08/04/2026</t>
        </is>
      </c>
      <c r="I1343" t="inlineStr">
        <is>
          <t>17/03/2026</t>
        </is>
      </c>
      <c r="J1343" t="inlineStr">
        <is>
          <t>Xuất nhập khẩu, Hành chính / Thư ký</t>
        </is>
      </c>
      <c r="K1343" t="inlineStr">
        <is>
          <t>N/A</t>
        </is>
      </c>
      <c r="L1343" s="8">
        <f>HYPERLINK("https://careerviet.vn/vi/tim-viec-lam/nhan-vien-quan-ly-xuat-nhap-khau.35C6B8A5.html","Xem chi tiết")</f>
        <v/>
      </c>
    </row>
    <row r="1344">
      <c r="B1344" s="9" t="n">
        <v>1342</v>
      </c>
      <c r="C1344" s="10" t="inlineStr">
        <is>
          <t>THỰC TẬP SINH - EHS</t>
        </is>
      </c>
      <c r="D1344" s="10" t="inlineStr">
        <is>
          <t>Saint-Gobain Vietnam</t>
        </is>
      </c>
      <c r="E1344" s="10" t="inlineStr">
        <is>
          <t>Lương:Cạnh tranh</t>
        </is>
      </c>
      <c r="F1344" s="10" t="inlineStr">
        <is>
          <t>Hồ Chí Minh</t>
        </is>
      </c>
      <c r="G1344" s="10" t="inlineStr">
        <is>
          <t>31-03-2026</t>
        </is>
      </c>
      <c r="H1344" s="10" t="inlineStr">
        <is>
          <t>31/03/2026</t>
        </is>
      </c>
      <c r="I1344" s="10" t="inlineStr">
        <is>
          <t>17/03/2026</t>
        </is>
      </c>
      <c r="J1344" s="10" t="inlineStr">
        <is>
          <t>Cơ khí / Ô tô / Tự động hóa, Sản xuất / Vận hành sản xuất</t>
        </is>
      </c>
      <c r="K1344" s="10" t="inlineStr">
        <is>
          <t>N/A</t>
        </is>
      </c>
      <c r="L1344" s="11">
        <f>HYPERLINK("https://careerviet.vn/vi/tim-viec-lam/thuc-tap-sinh-ehs.35C6B7ED.html","Xem chi tiết")</f>
        <v/>
      </c>
      <c r="M1344" s="10" t="n"/>
    </row>
    <row r="1345">
      <c r="B1345" s="7" t="n">
        <v>1343</v>
      </c>
      <c r="C1345" t="inlineStr">
        <is>
          <t>GIÁM ĐỐC TÀI CHÍNH ĐẦU TƯ  – Đầu tư M&amp;A và Tự doanh chứng khoán</t>
        </is>
      </c>
      <c r="D1345" t="inlineStr">
        <is>
          <t>CÔNG TY CỔ PHẦN TẬP ĐOÀN QP</t>
        </is>
      </c>
      <c r="E1345" t="inlineStr">
        <is>
          <t>Lương:Cạnh tranh</t>
        </is>
      </c>
      <c r="F1345" t="inlineStr">
        <is>
          <t>Hồ Chí Minh</t>
        </is>
      </c>
      <c r="G1345" t="inlineStr">
        <is>
          <t>30-04-2026</t>
        </is>
      </c>
      <c r="H1345" t="inlineStr">
        <is>
          <t>30/04/2026</t>
        </is>
      </c>
      <c r="I1345" t="inlineStr">
        <is>
          <t>17/03/2026</t>
        </is>
      </c>
      <c r="J1345" t="inlineStr">
        <is>
          <t>Bất động sản, Tài chính / Đầu tư, Chứng khoánBằng cấpĐại họcĐộ tuổi35 - 45</t>
        </is>
      </c>
      <c r="K1345" t="inlineStr">
        <is>
          <t>N/A</t>
        </is>
      </c>
      <c r="L1345" s="8">
        <f>HYPERLINK("https://careerviet.vn/vi/tim-viec-lam/giam-doc-tai-chinh-dau-tu-dau-tu-m-a-va-tu-doanh-chung-khoan.35C6B7E8.html","Xem chi tiết")</f>
        <v/>
      </c>
    </row>
    <row r="1346">
      <c r="B1346" s="9" t="n">
        <v>1344</v>
      </c>
      <c r="C1346" s="10" t="inlineStr">
        <is>
          <t>Chuyên Viên Nhân Sự (HR Officer)</t>
        </is>
      </c>
      <c r="D1346" s="10" t="inlineStr">
        <is>
          <t>CÔNG TY TRÁCH NHIỆM HỮU HẠN BỘT KIM LOẠI JULIEN VIỆT NAM</t>
        </is>
      </c>
      <c r="E1346" s="10" t="inlineStr">
        <is>
          <t>Lương:Trên 15 Tr VND</t>
        </is>
      </c>
      <c r="F1346" s="10" t="inlineStr">
        <is>
          <t>Đồng Nai</t>
        </is>
      </c>
      <c r="G1346" s="10" t="inlineStr">
        <is>
          <t>01-04-2026</t>
        </is>
      </c>
      <c r="H1346" s="10" t="inlineStr">
        <is>
          <t>01/04/2026</t>
        </is>
      </c>
      <c r="I1346" s="10" t="inlineStr">
        <is>
          <t>17/03/2026</t>
        </is>
      </c>
      <c r="J1346" s="10" t="inlineStr">
        <is>
          <t>Nhân sự, Hành chính / Thư ký, Quản lý điều hành</t>
        </is>
      </c>
      <c r="K1346" s="10" t="inlineStr">
        <is>
          <t>Trên 2 Năm</t>
        </is>
      </c>
      <c r="L1346" s="11">
        <f>HYPERLINK("https://careerviet.vn/vi/tim-viec-lam/chuyen-vien-nhan-su-hr-officer.35C6A415.html","Xem chi tiết")</f>
        <v/>
      </c>
      <c r="M1346" s="10" t="n"/>
    </row>
    <row r="1347">
      <c r="B1347" s="7" t="n">
        <v>1345</v>
      </c>
      <c r="C1347" t="inlineStr">
        <is>
          <t>Nhân viên xử lý nợ hiện trường - Tín chấp (Ninh Bình/Quảng Ninh/Hải Phòng/Hải Dương/Bắc Giang/Bắc Ninh/Thanh Hóa)</t>
        </is>
      </c>
      <c r="D1347" t="inlineStr">
        <is>
          <t>Công Ty Quản Lý Nợ Và Khai Thác Tài Sản - Ngân Hàng TMCP Quân Đội</t>
        </is>
      </c>
      <c r="E1347" t="inlineStr">
        <is>
          <t>Lương:Cạnh tranh</t>
        </is>
      </c>
      <c r="F1347" t="inlineStr">
        <is>
          <t>Ninh Bình</t>
        </is>
      </c>
      <c r="G1347" t="inlineStr">
        <is>
          <t>30-04-2026</t>
        </is>
      </c>
      <c r="H1347" t="inlineStr">
        <is>
          <t>30/04/2026</t>
        </is>
      </c>
      <c r="I1347" t="inlineStr">
        <is>
          <t>17/03/2026</t>
        </is>
      </c>
      <c r="J1347" t="inlineStr">
        <is>
          <t>Luật / Pháp lý, Ngân hàng, Tài chính / Đầu tư</t>
        </is>
      </c>
      <c r="K1347" t="inlineStr">
        <is>
          <t>Trên 1 Năm</t>
        </is>
      </c>
      <c r="L1347" s="8">
        <f>HYPERLINK("https://careerviet.vn/vi/tim-viec-lam/nhan-vien-xu-ly-no-hien-truong-tin-chap-ninh-binh-quang-ninh-hai-phong-hai-duong-bac-giang-bac-ninh-thanh-hoa.35C6B737.html","Xem chi tiết")</f>
        <v/>
      </c>
    </row>
    <row r="1348">
      <c r="B1348" s="9" t="n">
        <v>1346</v>
      </c>
      <c r="C1348" s="10" t="inlineStr">
        <is>
          <t>128379 - Sales Staff (Coffee) - Trading</t>
        </is>
      </c>
      <c r="D1348" s="10" t="inlineStr">
        <is>
          <t>RGF HR Agent Vietnam Co., LTD</t>
        </is>
      </c>
      <c r="E1348" s="10" t="inlineStr">
        <is>
          <t>Lương:15 Tr - 30 Tr VND</t>
        </is>
      </c>
      <c r="F1348" s="10" t="inlineStr">
        <is>
          <t>Hồ Chí Minh</t>
        </is>
      </c>
      <c r="G1348" s="10" t="inlineStr">
        <is>
          <t>15-03-2026</t>
        </is>
      </c>
      <c r="H1348" s="10" t="inlineStr">
        <is>
          <t>12/03/2026</t>
        </is>
      </c>
      <c r="I1348" s="10" t="inlineStr">
        <is>
          <t>17/03/2026</t>
        </is>
      </c>
      <c r="J1348" s="10" t="inlineStr">
        <is>
          <t>Bán hàng / Kinh doanh, Nông nghiệp</t>
        </is>
      </c>
      <c r="K1348" s="10" t="inlineStr">
        <is>
          <t>1 - 2 Năm</t>
        </is>
      </c>
      <c r="L1348" s="11">
        <f>HYPERLINK("https://careerviet.vn/vi/tim-viec-lam/128379-sales-staff-coffee-trading.35C6B8F4.html","Xem chi tiết")</f>
        <v/>
      </c>
      <c r="M1348" s="10" t="n"/>
    </row>
    <row r="1349">
      <c r="B1349" s="7" t="n">
        <v>1347</v>
      </c>
      <c r="C1349" t="inlineStr">
        <is>
          <t>Nhân Viên Kinh Doanh (Lương Cơ Bản 8 - 15 Triệu, Hoa Hồng 45%, Không Yêu Cầu Kinh Nghiệm, Được Đào Tạo)</t>
        </is>
      </c>
      <c r="D1349" t="inlineStr">
        <is>
          <t>Công Ty Cổ Phần Dịch Vụ Bất Động Sản Danh Khôi</t>
        </is>
      </c>
      <c r="E1349" t="inlineStr">
        <is>
          <t>Lương:8 Tr - 15 Tr VND</t>
        </is>
      </c>
      <c r="F1349" t="inlineStr">
        <is>
          <t>Hồ Chí Minh</t>
        </is>
      </c>
      <c r="G1349" t="inlineStr">
        <is>
          <t>09-04-2026</t>
        </is>
      </c>
      <c r="H1349" t="inlineStr">
        <is>
          <t>09/04/2026</t>
        </is>
      </c>
      <c r="I1349" t="inlineStr">
        <is>
          <t>17/03/2026</t>
        </is>
      </c>
      <c r="J1349" t="inlineStr">
        <is>
          <t>Bất động sản, Bán hàng / Kinh doanh, Tư vấn</t>
        </is>
      </c>
      <c r="K1349" t="inlineStr">
        <is>
          <t>N/A</t>
        </is>
      </c>
      <c r="L1349" s="8">
        <f>HYPERLINK("https://careerviet.vn/vi/tim-viec-lam/nhan-vien-kinh-doanh-luong-co-ban-8-15-trieu-hoa-hong-45-khong-yeu-cau-kinh-nghiem-duoc-dao-tao.35C6B854.html","Xem chi tiết")</f>
        <v/>
      </c>
    </row>
    <row r="1350">
      <c r="B1350" s="9" t="n">
        <v>1348</v>
      </c>
      <c r="C1350" s="10" t="inlineStr">
        <is>
          <t>Giám đốc Khách hàng Doanh nghiệp - EB - MSB - 1P607</t>
        </is>
      </c>
      <c r="D1350" s="10" t="inlineStr">
        <is>
          <t>Ngân hàng Thương mại Cổ phần Hàng Hải Việt Nam (MSB)</t>
        </is>
      </c>
      <c r="E1350" s="10" t="inlineStr">
        <is>
          <t>Lương:24 Tr - 28 Tr VND</t>
        </is>
      </c>
      <c r="F1350" s="10" t="inlineStr">
        <is>
          <t>Hà NộiQuảng NinhHải Phòng</t>
        </is>
      </c>
      <c r="G1350" s="10" t="inlineStr">
        <is>
          <t>14-04-2026</t>
        </is>
      </c>
      <c r="H1350" s="10" t="inlineStr">
        <is>
          <t>14/04/2026</t>
        </is>
      </c>
      <c r="I1350" s="10" t="inlineStr">
        <is>
          <t>17/03/2026</t>
        </is>
      </c>
      <c r="J1350" s="10" t="inlineStr">
        <is>
          <t>Ngân hàng</t>
        </is>
      </c>
      <c r="K1350" s="10" t="inlineStr">
        <is>
          <t>2 - 3 Năm</t>
        </is>
      </c>
      <c r="L1350" s="11">
        <f>HYPERLINK("https://careerviet.vn/vi/tim-viec-lam/giam-doc-khach-hang-doanh-nghiep-eb-msb-1p607.35C68AEB.html","Xem chi tiết")</f>
        <v/>
      </c>
      <c r="M1350" s="10" t="n"/>
    </row>
    <row r="1351">
      <c r="B1351" s="7" t="n">
        <v>1349</v>
      </c>
      <c r="C1351" t="inlineStr">
        <is>
          <t>Kế toán tổng hợp (Làm việc từ xa)</t>
        </is>
      </c>
      <c r="D1351" t="inlineStr">
        <is>
          <t>Bảo mật</t>
        </is>
      </c>
      <c r="E1351" t="inlineStr">
        <is>
          <t>Lương:12 Tr - 17 Tr VND</t>
        </is>
      </c>
      <c r="F1351" t="inlineStr">
        <is>
          <t>Hồ Chí Minh</t>
        </is>
      </c>
      <c r="G1351" t="inlineStr">
        <is>
          <t>31-03-2026</t>
        </is>
      </c>
      <c r="H1351" t="inlineStr">
        <is>
          <t>31/03/2026</t>
        </is>
      </c>
      <c r="I1351" t="inlineStr">
        <is>
          <t>17/03/2026</t>
        </is>
      </c>
      <c r="J1351" t="inlineStr">
        <is>
          <t>Kế toán / Kiểm toán</t>
        </is>
      </c>
      <c r="K1351" t="inlineStr">
        <is>
          <t>3 - 10 Năm</t>
        </is>
      </c>
      <c r="L1351" s="8">
        <f>HYPERLINK("https://careerviet.vn/vi/tim-viec-lam/ke-toan-tong-hop-lam-viec-tu-xa.35C6B877.html","Xem chi tiết")</f>
        <v/>
      </c>
    </row>
    <row r="1352">
      <c r="B1352" s="9" t="n">
        <v>1350</v>
      </c>
      <c r="C1352" s="10" t="inlineStr">
        <is>
          <t>Nhân Viên Phát Triển Và Đặt Phụ Liệu (Trim Developer)</t>
        </is>
      </c>
      <c r="D1352" s="10" t="inlineStr">
        <is>
          <t>Công ty TNHH, Liên Doanh Vĩnh Hưng (TMI Việt Nam)</t>
        </is>
      </c>
      <c r="E1352" s="10" t="inlineStr">
        <is>
          <t>Lương:11 Tr - 15 Tr VND</t>
        </is>
      </c>
      <c r="F1352" s="10" t="inlineStr">
        <is>
          <t>Hồ Chí Minh</t>
        </is>
      </c>
      <c r="G1352" s="10" t="inlineStr">
        <is>
          <t>31-03-2026</t>
        </is>
      </c>
      <c r="H1352" s="10" t="inlineStr">
        <is>
          <t>31/03/2026</t>
        </is>
      </c>
      <c r="I1352" s="10" t="inlineStr">
        <is>
          <t>17/03/2026</t>
        </is>
      </c>
      <c r="J1352" s="10" t="inlineStr">
        <is>
          <t>Biên phiên dịch, Dệt may / Da giày / Thời trang, Thu mua / Vật tư</t>
        </is>
      </c>
      <c r="K1352" s="10" t="inlineStr">
        <is>
          <t>Lên đến 5 Năm</t>
        </is>
      </c>
      <c r="L1352" s="11">
        <f>HYPERLINK("https://careerviet.vn/vi/tim-viec-lam/nhan-vien-phat-trien-va-dat-phu-lieu-trim-developer.35C6B92F.html","Xem chi tiết")</f>
        <v/>
      </c>
      <c r="M1352" s="10" t="n"/>
    </row>
    <row r="1353">
      <c r="B1353" s="7" t="n">
        <v>1351</v>
      </c>
      <c r="C1353" t="inlineStr">
        <is>
          <t>[Di Linh Lâm Đồng] Nhân Viên Hành Chính Kiêm CSKH</t>
        </is>
      </c>
      <c r="D1353" t="inlineStr">
        <is>
          <t>Công Ty Cổ Phần Vacxin Việt Nam</t>
        </is>
      </c>
      <c r="E1353" t="inlineStr">
        <is>
          <t>Lương:Cạnh tranh</t>
        </is>
      </c>
      <c r="F1353" t="inlineStr">
        <is>
          <t>Lâm Đồng</t>
        </is>
      </c>
      <c r="G1353" t="inlineStr">
        <is>
          <t>30-05-2026</t>
        </is>
      </c>
      <c r="H1353" t="inlineStr">
        <is>
          <t>30/05/2026</t>
        </is>
      </c>
      <c r="I1353" t="inlineStr">
        <is>
          <t>17/03/2026</t>
        </is>
      </c>
      <c r="J1353" t="inlineStr">
        <is>
          <t>Dịch vụ khách hàng, Hành chính / Thư ký, Kế toán / Kiểm toán</t>
        </is>
      </c>
      <c r="K1353" t="inlineStr">
        <is>
          <t>1 - 3 Năm</t>
        </is>
      </c>
      <c r="L1353" s="8">
        <f>HYPERLINK("https://careerviet.vn/vi/tim-viec-lam/di-linh-lam-dong-nhan-vien-hanh-chinh-kiem-cskh.35C6B921.html","Xem chi tiết")</f>
        <v/>
      </c>
    </row>
    <row r="1354">
      <c r="B1354" s="9" t="n">
        <v>1352</v>
      </c>
      <c r="C1354" s="10" t="inlineStr">
        <is>
          <t>Kế Toán Doanh Thu và Đối Soát</t>
        </is>
      </c>
      <c r="D1354" s="10" t="inlineStr">
        <is>
          <t>Beta Group</t>
        </is>
      </c>
      <c r="E1354" s="10" t="inlineStr">
        <is>
          <t>Lương:10 Tr - 12 Tr VND</t>
        </is>
      </c>
      <c r="F1354" s="10" t="inlineStr">
        <is>
          <t>Hà Nội</t>
        </is>
      </c>
      <c r="G1354" s="10" t="inlineStr">
        <is>
          <t>14-04-2026</t>
        </is>
      </c>
      <c r="H1354" s="10" t="inlineStr">
        <is>
          <t>14/04/2026</t>
        </is>
      </c>
      <c r="I1354" s="10" t="inlineStr">
        <is>
          <t>17/03/2026</t>
        </is>
      </c>
      <c r="J1354" s="10" t="inlineStr">
        <is>
          <t>Kế toán / Kiểm toán</t>
        </is>
      </c>
      <c r="K1354" s="10" t="inlineStr">
        <is>
          <t>2 - 7 Năm</t>
        </is>
      </c>
      <c r="L1354" s="11">
        <f>HYPERLINK("https://careerviet.vn/vi/tim-viec-lam/ke-toan-doanh-thu-va-doi-soat.35C68AB8.html","Xem chi tiết")</f>
        <v/>
      </c>
      <c r="M1354" s="10" t="n"/>
    </row>
    <row r="1355">
      <c r="B1355" s="7" t="n">
        <v>1353</v>
      </c>
      <c r="C1355" t="inlineStr">
        <is>
          <t>Chuyên Viên Nghiên Cứu Thị Trường (kinh doanh)</t>
        </is>
      </c>
      <c r="D1355" t="inlineStr">
        <is>
          <t>Tổng Công ty Sản xuất thiết bị Viettel - Tập đoàn Công nghiệp -  Viễn thông Quân đội (VIETTEL)</t>
        </is>
      </c>
      <c r="E1355" t="inlineStr">
        <is>
          <t>Lương:15 Tr - 30 Tr VND</t>
        </is>
      </c>
      <c r="F1355" t="inlineStr">
        <is>
          <t>Hà Nội</t>
        </is>
      </c>
      <c r="G1355" t="inlineStr">
        <is>
          <t>14-04-2026</t>
        </is>
      </c>
      <c r="H1355" t="inlineStr">
        <is>
          <t>14/04/2026</t>
        </is>
      </c>
      <c r="I1355" t="inlineStr">
        <is>
          <t>17/03/2026</t>
        </is>
      </c>
      <c r="J1355" t="inlineStr">
        <is>
          <t>Tiếp thị / Marketing, Bán hàng / Kinh doanh</t>
        </is>
      </c>
      <c r="K1355" t="inlineStr">
        <is>
          <t>Lên đến 3 Năm</t>
        </is>
      </c>
      <c r="L1355" s="8">
        <f>HYPERLINK("https://careerviet.vn/vi/tim-viec-lam/chuyen-vien-nghien-cuu-thi-truong-kinh-doanh.35C655FE.html","Xem chi tiết")</f>
        <v/>
      </c>
    </row>
    <row r="1356">
      <c r="B1356" s="9" t="n">
        <v>1354</v>
      </c>
      <c r="C1356" s="10" t="inlineStr">
        <is>
          <t>Trưởng phòng nhân sự</t>
        </is>
      </c>
      <c r="D1356" s="10" t="inlineStr">
        <is>
          <t>Công ty Cổ phần Đầu tư và Phát triển Địa ốc Coreland</t>
        </is>
      </c>
      <c r="E1356" s="10" t="inlineStr">
        <is>
          <t>Lương:20 Tr - 25 Tr VND</t>
        </is>
      </c>
      <c r="F1356" s="10" t="inlineStr">
        <is>
          <t>Thanh Hóa</t>
        </is>
      </c>
      <c r="G1356" s="10" t="inlineStr">
        <is>
          <t>14-04-2026</t>
        </is>
      </c>
      <c r="H1356" s="10" t="inlineStr">
        <is>
          <t>14/04/2026</t>
        </is>
      </c>
      <c r="I1356" s="10" t="inlineStr">
        <is>
          <t>17/03/2026</t>
        </is>
      </c>
      <c r="J1356" s="10" t="inlineStr">
        <is>
          <t>Bất động sản, Hành chính / Thư ký, Nhân sự</t>
        </is>
      </c>
      <c r="K1356" s="10" t="inlineStr">
        <is>
          <t>2 - 5 Năm</t>
        </is>
      </c>
      <c r="L1356" s="11">
        <f>HYPERLINK("https://careerviet.vn/vi/tim-viec-lam/truong-phong-nhan-su.35C5ACAF.html","Xem chi tiết")</f>
        <v/>
      </c>
      <c r="M1356" s="10" t="n"/>
    </row>
    <row r="1357">
      <c r="B1357" s="7" t="n">
        <v>1355</v>
      </c>
      <c r="C1357" t="inlineStr">
        <is>
          <t>Trưởng nhóm kinh doanh nội thất chi nhánh hải phòng</t>
        </is>
      </c>
      <c r="D1357" t="inlineStr">
        <is>
          <t>CÔNG TY TNHH ĐẦU TƯ VÀ DỊCH VỤ NEW SPACE CONCEPT HOLDING</t>
        </is>
      </c>
      <c r="E1357" t="inlineStr">
        <is>
          <t>Lương:11 Tr - 14 Tr VND</t>
        </is>
      </c>
      <c r="F1357" t="inlineStr">
        <is>
          <t>Hà Nội</t>
        </is>
      </c>
      <c r="G1357" t="inlineStr">
        <is>
          <t>14-04-2026</t>
        </is>
      </c>
      <c r="H1357" t="inlineStr">
        <is>
          <t>14/04/2026</t>
        </is>
      </c>
      <c r="I1357" t="inlineStr">
        <is>
          <t>17/03/2026</t>
        </is>
      </c>
      <c r="J1357" t="inlineStr">
        <is>
          <t>Bán hàng / Kinh doanh, Tư vấn, Dịch vụ khách hàng</t>
        </is>
      </c>
      <c r="K1357" t="inlineStr">
        <is>
          <t>1 - 3 Năm</t>
        </is>
      </c>
      <c r="L1357" s="8">
        <f>HYPERLINK("https://careerviet.vn/vi/tim-viec-lam/truong-nhom-kinh-doanh-noi-that-chi-nhanh-hai-phong.35C68B27.html","Xem chi tiết")</f>
        <v/>
      </c>
    </row>
    <row r="1358">
      <c r="B1358" s="9" t="n">
        <v>1356</v>
      </c>
      <c r="C1358" s="10" t="inlineStr">
        <is>
          <t>Nhân viên Kinh doanh  (Sales Representative) - Văn Giang  (Hưng Yên)</t>
        </is>
      </c>
      <c r="D1358" s="10" t="inlineStr">
        <is>
          <t>HEINEKEN Vietnam</t>
        </is>
      </c>
      <c r="E1358" s="10" t="inlineStr">
        <is>
          <t>Lương:Cạnh tranh</t>
        </is>
      </c>
      <c r="F1358" s="10" t="inlineStr">
        <is>
          <t>Hưng Yên</t>
        </is>
      </c>
      <c r="G1358" s="10" t="inlineStr">
        <is>
          <t>14-04-2026</t>
        </is>
      </c>
      <c r="H1358" s="10" t="inlineStr">
        <is>
          <t>14/04/2026</t>
        </is>
      </c>
      <c r="I1358" s="10" t="inlineStr">
        <is>
          <t>17/03/2026</t>
        </is>
      </c>
      <c r="J1358" s="10" t="inlineStr">
        <is>
          <t>Tiếp thị / Marketing, Bán lẻ / Bán sỉ, Bán hàng / Kinh doanh</t>
        </is>
      </c>
      <c r="K1358" s="10" t="inlineStr">
        <is>
          <t>1 - 2 Năm</t>
        </is>
      </c>
      <c r="L1358" s="11">
        <f>HYPERLINK("https://careerviet.vn/vi/tim-viec-lam/nhan-vien-kinh-doanh-sales-representative-van-giang-hung-yen.35C68A84.html","Xem chi tiết")</f>
        <v/>
      </c>
      <c r="M1358" s="10" t="n"/>
    </row>
    <row r="1359">
      <c r="B1359" s="7" t="n">
        <v>1357</v>
      </c>
      <c r="C1359" t="inlineStr">
        <is>
          <t>Purchasing officer</t>
        </is>
      </c>
      <c r="D1359" t="inlineStr">
        <is>
          <t>Công ty TNHH Gardenline International (VN)</t>
        </is>
      </c>
      <c r="E1359" t="inlineStr">
        <is>
          <t>Lương:Cạnh tranh</t>
        </is>
      </c>
      <c r="F1359" t="inlineStr">
        <is>
          <t>Bình Định</t>
        </is>
      </c>
      <c r="G1359" t="inlineStr">
        <is>
          <t>14-04-2026</t>
        </is>
      </c>
      <c r="H1359" t="inlineStr">
        <is>
          <t>14/04/2026</t>
        </is>
      </c>
      <c r="I1359" t="inlineStr">
        <is>
          <t>17/03/2026</t>
        </is>
      </c>
      <c r="J1359" t="inlineStr">
        <is>
          <t>Sản xuất / Vận hành sản xuất, Đồ gỗ</t>
        </is>
      </c>
      <c r="K1359" t="inlineStr">
        <is>
          <t>Trên 3 Năm</t>
        </is>
      </c>
      <c r="L1359" s="8">
        <f>HYPERLINK("https://careerviet.vn/vi/tim-viec-lam/purchasing-officer.35C658A5.html","Xem chi tiết")</f>
        <v/>
      </c>
    </row>
    <row r="1360">
      <c r="B1360" s="9" t="n">
        <v>1358</v>
      </c>
      <c r="C1360" s="10" t="inlineStr">
        <is>
          <t>Nhân viên Kinh doanh Khách đoàn</t>
        </is>
      </c>
      <c r="D1360" s="10" t="inlineStr">
        <is>
          <t>Công Ty Cổ Phần Du Lịch Vietravel</t>
        </is>
      </c>
      <c r="E1360" s="10" t="inlineStr">
        <is>
          <t>Lương:Cạnh tranh</t>
        </is>
      </c>
      <c r="F1360" s="10" t="inlineStr">
        <is>
          <t>Đà Nẵng</t>
        </is>
      </c>
      <c r="G1360" s="10" t="inlineStr">
        <is>
          <t>14-04-2026</t>
        </is>
      </c>
      <c r="H1360" s="10" t="inlineStr">
        <is>
          <t>14/04/2026</t>
        </is>
      </c>
      <c r="I1360" s="10" t="inlineStr">
        <is>
          <t>17/03/2026</t>
        </is>
      </c>
      <c r="J1360" s="10" t="inlineStr">
        <is>
          <t>Du lịch, Hàng không, Tư vấn</t>
        </is>
      </c>
      <c r="K1360" s="10" t="inlineStr">
        <is>
          <t>N/A</t>
        </is>
      </c>
      <c r="L1360" s="11">
        <f>HYPERLINK("https://careerviet.vn/vi/tim-viec-lam/nhan-vien-kinh-doanh-khach-doan.35C65980.html","Xem chi tiết")</f>
        <v/>
      </c>
      <c r="M1360" s="10" t="n"/>
    </row>
    <row r="1361">
      <c r="B1361" s="7" t="n">
        <v>1359</v>
      </c>
      <c r="C1361" t="inlineStr">
        <is>
          <t>Nhân viên Thiết kế 3D</t>
        </is>
      </c>
      <c r="D1361" t="inlineStr">
        <is>
          <t>Công Ty Cổ Phần Du Lịch Vietravel</t>
        </is>
      </c>
      <c r="E1361" t="inlineStr">
        <is>
          <t>Lương:Cạnh tranh</t>
        </is>
      </c>
      <c r="F1361" t="inlineStr">
        <is>
          <t>Hồ Chí Minh</t>
        </is>
      </c>
      <c r="G1361" t="inlineStr">
        <is>
          <t>14-04-2026</t>
        </is>
      </c>
      <c r="H1361" t="inlineStr">
        <is>
          <t>14/04/2026</t>
        </is>
      </c>
      <c r="I1361" t="inlineStr">
        <is>
          <t>17/03/2026</t>
        </is>
      </c>
      <c r="J1361" t="inlineStr">
        <is>
          <t>Mỹ thuật / Nghệ thuật / Thiết kế</t>
        </is>
      </c>
      <c r="K1361" t="inlineStr">
        <is>
          <t>1 - 2 Năm</t>
        </is>
      </c>
      <c r="L1361" s="8">
        <f>HYPERLINK("https://careerviet.vn/vi/tim-viec-lam/nhan-vien-thiet-ke-3d.35C659A9.html","Xem chi tiết")</f>
        <v/>
      </c>
    </row>
    <row r="1362">
      <c r="B1362" s="9" t="n">
        <v>1360</v>
      </c>
      <c r="C1362" s="10" t="inlineStr">
        <is>
          <t>Head of Data</t>
        </is>
      </c>
      <c r="D1362" s="10" t="inlineStr">
        <is>
          <t>Viet Thai International</t>
        </is>
      </c>
      <c r="E1362" s="10" t="inlineStr">
        <is>
          <t>Lương:Cạnh tranh</t>
        </is>
      </c>
      <c r="F1362" s="10" t="inlineStr">
        <is>
          <t>Hồ Chí Minh</t>
        </is>
      </c>
      <c r="G1362" s="10" t="inlineStr">
        <is>
          <t>14-04-2026</t>
        </is>
      </c>
      <c r="H1362" s="10" t="inlineStr">
        <is>
          <t>14/04/2026</t>
        </is>
      </c>
      <c r="I1362" s="10" t="inlineStr">
        <is>
          <t>17/03/2026</t>
        </is>
      </c>
      <c r="J1362" s="10" t="inlineStr">
        <is>
          <t>CNTT - Phần mềm</t>
        </is>
      </c>
      <c r="K1362" s="10" t="inlineStr">
        <is>
          <t>10 - 15 Năm</t>
        </is>
      </c>
      <c r="L1362" s="11">
        <f>HYPERLINK("https://careerviet.vn/vi/tim-viec-lam/head-of-data.35C658F0.html","Xem chi tiết")</f>
        <v/>
      </c>
      <c r="M1362" s="10" t="n"/>
    </row>
    <row r="1363">
      <c r="B1363" s="7" t="n">
        <v>1361</v>
      </c>
      <c r="C1363" t="inlineStr">
        <is>
          <t>HR SPECIALIST [8 months contract]</t>
        </is>
      </c>
      <c r="D1363" t="inlineStr">
        <is>
          <t>CÔNG TY TNHH CRYSTAL ELEGANCE TEXTILES VIỆT NAM</t>
        </is>
      </c>
      <c r="E1363" t="inlineStr">
        <is>
          <t>Lương:Cạnh tranh</t>
        </is>
      </c>
      <c r="F1363" t="inlineStr">
        <is>
          <t>Bình Dương</t>
        </is>
      </c>
      <c r="G1363" t="inlineStr">
        <is>
          <t>14-04-2026</t>
        </is>
      </c>
      <c r="H1363" t="inlineStr">
        <is>
          <t>14/04/2026</t>
        </is>
      </c>
      <c r="I1363" t="inlineStr">
        <is>
          <t>17/03/2026</t>
        </is>
      </c>
      <c r="J1363" t="inlineStr">
        <is>
          <t>Nhân sự, Kế toán / Kiểm toán, Sản xuất / Vận hành sản xuất</t>
        </is>
      </c>
      <c r="K1363" t="inlineStr">
        <is>
          <t>2 - 5 Năm</t>
        </is>
      </c>
      <c r="L1363" s="8">
        <f>HYPERLINK("https://careerviet.vn/vi/tim-viec-lam/hr-specialist-8-months-contract.35C68A42.html","Xem chi tiết")</f>
        <v/>
      </c>
    </row>
    <row r="1364">
      <c r="B1364" s="9" t="n">
        <v>1362</v>
      </c>
      <c r="C1364" s="10" t="inlineStr">
        <is>
          <t>Cửa hàng trưởng</t>
        </is>
      </c>
      <c r="D1364" s="10" t="inlineStr">
        <is>
          <t>Công Ty CP Vàng Bạc Đá Quý Phú Nhuận</t>
        </is>
      </c>
      <c r="E1364" s="10" t="inlineStr">
        <is>
          <t>Lương:Cạnh tranh</t>
        </is>
      </c>
      <c r="F1364" s="10" t="inlineStr">
        <is>
          <t>Đồng NaiBình DươngBà Rịa - Vũng Tàu</t>
        </is>
      </c>
      <c r="G1364" s="10" t="inlineStr">
        <is>
          <t>14-04-2026</t>
        </is>
      </c>
      <c r="H1364" s="10" t="inlineStr">
        <is>
          <t>14/04/2026</t>
        </is>
      </c>
      <c r="I1364" s="10" t="inlineStr">
        <is>
          <t>17/03/2026</t>
        </is>
      </c>
      <c r="J1364" s="10" t="inlineStr">
        <is>
          <t>Bán lẻ / Bán sỉ, Bán hàng / Kinh doanh</t>
        </is>
      </c>
      <c r="K1364" s="10" t="inlineStr">
        <is>
          <t>2 - 5 Năm</t>
        </is>
      </c>
      <c r="L1364" s="11">
        <f>HYPERLINK("https://careerviet.vn/vi/tim-viec-lam/cua-hang-truong.35C6898B.html","Xem chi tiết")</f>
        <v/>
      </c>
      <c r="M1364" s="10" t="n"/>
    </row>
    <row r="1365">
      <c r="B1365" s="7" t="n">
        <v>1363</v>
      </c>
      <c r="C1365" t="inlineStr">
        <is>
          <t>Kế Toán Tổng Hợp</t>
        </is>
      </c>
      <c r="D1365" t="inlineStr">
        <is>
          <t>Công Ty TNHH Xây Dựng Cơ Điện An Phát</t>
        </is>
      </c>
      <c r="E1365" t="inlineStr">
        <is>
          <t>Lương:Cạnh tranh</t>
        </is>
      </c>
      <c r="F1365" t="inlineStr">
        <is>
          <t>Hồ Chí Minh</t>
        </is>
      </c>
      <c r="G1365" t="inlineStr">
        <is>
          <t>14-04-2026</t>
        </is>
      </c>
      <c r="H1365" t="inlineStr">
        <is>
          <t>14/04/2026</t>
        </is>
      </c>
      <c r="I1365" t="inlineStr">
        <is>
          <t>17/03/2026</t>
        </is>
      </c>
      <c r="J1365" t="inlineStr">
        <is>
          <t>Kế toán / Kiểm toán, Xây dựng, Điện / Điện tử / Điện lạnh / Điện công nghiệp</t>
        </is>
      </c>
      <c r="K1365" t="inlineStr">
        <is>
          <t>Trên 1 Năm</t>
        </is>
      </c>
      <c r="L1365" s="8">
        <f>HYPERLINK("https://careerviet.vn/vi/tim-viec-lam/ke-toan-tong-hop.35C68A9D.html","Xem chi tiết")</f>
        <v/>
      </c>
    </row>
    <row r="1366">
      <c r="B1366" s="9" t="n">
        <v>1364</v>
      </c>
      <c r="C1366" s="10" t="inlineStr">
        <is>
          <t>Nhân Viên Kinh doanh – Thiết bị Nội soi Tiêu hoá (KV Miền Nam)</t>
        </is>
      </c>
      <c r="D1366" s="10" t="inlineStr">
        <is>
          <t>CÔNG TY TNHH THIẾT BỊ Y TẾ ETC</t>
        </is>
      </c>
      <c r="E1366" s="10" t="inlineStr">
        <is>
          <t>Lương:Cạnh tranh</t>
        </is>
      </c>
      <c r="F1366" s="10" t="inlineStr">
        <is>
          <t>Hồ Chí Minh</t>
        </is>
      </c>
      <c r="G1366" s="10" t="inlineStr">
        <is>
          <t>14-04-2026</t>
        </is>
      </c>
      <c r="H1366" s="10" t="inlineStr">
        <is>
          <t>14/04/2026</t>
        </is>
      </c>
      <c r="I1366" s="10" t="inlineStr">
        <is>
          <t>17/03/2026</t>
        </is>
      </c>
      <c r="J1366" s="10" t="inlineStr">
        <is>
          <t>Y tế / Chăm sóc sức khỏe / Thẩm mỹ / Làm đẹp, Bán hàng / Kinh doanh, Hành chính / Thư ký</t>
        </is>
      </c>
      <c r="K1366" s="10" t="inlineStr">
        <is>
          <t>3 Năm</t>
        </is>
      </c>
      <c r="L1366" s="11">
        <f>HYPERLINK("https://careerviet.vn/vi/tim-viec-lam/nhan-vien-kinh-doanh-thiet-bi-noi-soi-tieu-hoa-kv-mien-nam.35C65697.html","Xem chi tiết")</f>
        <v/>
      </c>
      <c r="M1366" s="10" t="n"/>
    </row>
    <row r="1367">
      <c r="B1367" s="7" t="n">
        <v>1365</v>
      </c>
      <c r="C1367" t="inlineStr">
        <is>
          <t>Project Manager</t>
        </is>
      </c>
      <c r="D1367" t="inlineStr">
        <is>
          <t>ATAD Steel Structure Corporation</t>
        </is>
      </c>
      <c r="E1367" t="inlineStr">
        <is>
          <t>Lương:Cạnh tranh</t>
        </is>
      </c>
      <c r="F1367" t="inlineStr">
        <is>
          <t>Hồ Chí Minh</t>
        </is>
      </c>
      <c r="G1367" t="inlineStr">
        <is>
          <t>14-04-2026</t>
        </is>
      </c>
      <c r="H1367" t="inlineStr">
        <is>
          <t>14/04/2026</t>
        </is>
      </c>
      <c r="I1367" t="inlineStr">
        <is>
          <t>17/03/2026</t>
        </is>
      </c>
      <c r="J1367" t="inlineStr">
        <is>
          <t>Xây dựng, Cơ khí / Ô tô / Tự động hóa, Kiến trúc</t>
        </is>
      </c>
      <c r="K1367" t="inlineStr">
        <is>
          <t>Lên đến 1 Năm</t>
        </is>
      </c>
      <c r="L1367" s="8">
        <f>HYPERLINK("https://careerviet.vn/vi/tim-viec-lam/project-manager.35C6898F.html","Xem chi tiết")</f>
        <v/>
      </c>
    </row>
    <row r="1368">
      <c r="B1368" s="9" t="n">
        <v>1366</v>
      </c>
      <c r="C1368" s="10" t="inlineStr">
        <is>
          <t>Nhân Viên Hành Chính - Văn Thư - Ban Quản lý Dự án</t>
        </is>
      </c>
      <c r="D1368" s="10" t="inlineStr">
        <is>
          <t>Tập đoàn An Lạc – Anlac Group</t>
        </is>
      </c>
      <c r="E1368" s="10" t="inlineStr">
        <is>
          <t>Lương:10 Tr - 15 Tr VND</t>
        </is>
      </c>
      <c r="F1368" s="10" t="inlineStr">
        <is>
          <t>Hà Nội</t>
        </is>
      </c>
      <c r="G1368" s="10" t="inlineStr">
        <is>
          <t>15-04-2026</t>
        </is>
      </c>
      <c r="H1368" s="10" t="inlineStr">
        <is>
          <t>15/04/2026</t>
        </is>
      </c>
      <c r="I1368" s="10" t="inlineStr">
        <is>
          <t>17/03/2026</t>
        </is>
      </c>
      <c r="J1368" s="10" t="inlineStr">
        <is>
          <t>Hành chính / Thư ký, Nhân sự, Bất động sản</t>
        </is>
      </c>
      <c r="K1368" s="10" t="inlineStr">
        <is>
          <t>3 - 4 Năm</t>
        </is>
      </c>
      <c r="L1368" s="11">
        <f>HYPERLINK("https://careerviet.vn/vi/tim-viec-lam/nhan-vien-hanh-chinh-van-thu-ban-quan-ly-du-an.35C6A575.html","Xem chi tiết")</f>
        <v/>
      </c>
      <c r="M1368" s="10" t="n"/>
    </row>
    <row r="1369">
      <c r="B1369" s="7" t="n">
        <v>1367</v>
      </c>
      <c r="C1369" t="inlineStr">
        <is>
          <t>Kế toán thuế</t>
        </is>
      </c>
      <c r="D1369" t="inlineStr">
        <is>
          <t>ERAS GROUP</t>
        </is>
      </c>
      <c r="E1369" t="inlineStr">
        <is>
          <t>Lương:Cạnh tranh</t>
        </is>
      </c>
      <c r="F1369" t="inlineStr">
        <is>
          <t>Hồ Chí Minh</t>
        </is>
      </c>
      <c r="G1369" t="inlineStr">
        <is>
          <t>31-03-2026</t>
        </is>
      </c>
      <c r="H1369" t="inlineStr">
        <is>
          <t>31/03/2026</t>
        </is>
      </c>
      <c r="I1369" t="inlineStr">
        <is>
          <t>17/03/2026</t>
        </is>
      </c>
      <c r="J1369" t="inlineStr">
        <is>
          <t>Kế toán / Kiểm toán, Tài chính / Đầu tư, Luật / Pháp lý</t>
        </is>
      </c>
      <c r="K1369" t="inlineStr">
        <is>
          <t>2 - 4 Năm</t>
        </is>
      </c>
      <c r="L1369" s="8">
        <f>HYPERLINK("https://careerviet.vn/vi/tim-viec-lam/ke-toan-thue.35C6A2D8.html","Xem chi tiết")</f>
        <v/>
      </c>
    </row>
    <row r="1370">
      <c r="B1370" s="9" t="n">
        <v>1368</v>
      </c>
      <c r="C1370" s="10" t="inlineStr">
        <is>
          <t>KIẾN TRÚC SƯ QUẢN LÝ THIẾT KẾ (DESIGN MANAGER – ARCHITECTURE)</t>
        </is>
      </c>
      <c r="D1370" s="10" t="inlineStr">
        <is>
          <t>CÔNG TY TNHH ĐẦU TƯ VÀ PHÁT TRIỂN LÊ PHONG</t>
        </is>
      </c>
      <c r="E1370" s="10" t="inlineStr">
        <is>
          <t>Lương:Cạnh tranh</t>
        </is>
      </c>
      <c r="F1370" s="10" t="inlineStr">
        <is>
          <t>Hồ Chí MinhBình Dương</t>
        </is>
      </c>
      <c r="G1370" s="10" t="inlineStr">
        <is>
          <t>31-03-2026</t>
        </is>
      </c>
      <c r="H1370" s="10" t="inlineStr">
        <is>
          <t>31/03/2026</t>
        </is>
      </c>
      <c r="I1370" s="10" t="inlineStr">
        <is>
          <t>17/03/2026</t>
        </is>
      </c>
      <c r="J1370" s="10" t="inlineStr">
        <is>
          <t>Bất động sản, Xây dựng, Kiến trúc</t>
        </is>
      </c>
      <c r="K1370" s="10" t="inlineStr">
        <is>
          <t>Trên 5 Năm</t>
        </is>
      </c>
      <c r="L1370" s="11">
        <f>HYPERLINK("https://careerviet.vn/vi/tim-viec-lam/kien-truc-su-quan-ly-thiet-ke-design-manager-architecture.35C6A41F.html","Xem chi tiết")</f>
        <v/>
      </c>
      <c r="M1370" s="10" t="n"/>
    </row>
    <row r="1371">
      <c r="B1371" s="7" t="n">
        <v>1369</v>
      </c>
      <c r="C1371" t="inlineStr">
        <is>
          <t>Chuyên Viên Tư Vấn Giáo Dục - Toàn Quốc - Thu Nhập Upto 30 triệu/Tháng</t>
        </is>
      </c>
      <c r="D1371" t="inlineStr">
        <is>
          <t>Công Ty CP Giáo Dục Đại Dương</t>
        </is>
      </c>
      <c r="E1371" t="inlineStr">
        <is>
          <t>Lương:Cạnh tranh</t>
        </is>
      </c>
      <c r="F1371" t="inlineStr">
        <is>
          <t>Bắc NinhPhú ThọBắc Giang</t>
        </is>
      </c>
      <c r="G1371" t="inlineStr">
        <is>
          <t>01-04-2026</t>
        </is>
      </c>
      <c r="H1371" t="inlineStr">
        <is>
          <t>01/04/2026</t>
        </is>
      </c>
      <c r="I1371" t="inlineStr">
        <is>
          <t>17/03/2026</t>
        </is>
      </c>
      <c r="J1371" t="inlineStr">
        <is>
          <t>Giáo dục / Đào tạo, Bán lẻ / Bán sỉ, Bán hàng / Kinh doanh</t>
        </is>
      </c>
      <c r="K1371" t="inlineStr">
        <is>
          <t>N/A</t>
        </is>
      </c>
      <c r="L1371" s="8">
        <f>HYPERLINK("https://careerviet.vn/vi/tim-viec-lam/chuyen-vien-tu-van-giao-duc-toan-quoc-thu-nhap-upto-30-trieu-thang.35C6A6FE.html","Xem chi tiết")</f>
        <v/>
      </c>
    </row>
    <row r="1372">
      <c r="B1372" s="9" t="n">
        <v>1370</v>
      </c>
      <c r="C1372" s="10" t="inlineStr">
        <is>
          <t>TRƯỞNG PHÒNG LẬP TRÌNH CNC</t>
        </is>
      </c>
      <c r="D1372" s="10" t="inlineStr">
        <is>
          <t>TRAN DUC CORPORATION - CÔNG TY CỔ PHẦN TRẦN ĐỨC</t>
        </is>
      </c>
      <c r="E1372" s="10" t="inlineStr">
        <is>
          <t>Lương:Cạnh tranh</t>
        </is>
      </c>
      <c r="F1372" s="10" t="inlineStr">
        <is>
          <t>Bình Dương</t>
        </is>
      </c>
      <c r="G1372" s="10" t="inlineStr">
        <is>
          <t>30-04-2026</t>
        </is>
      </c>
      <c r="H1372" s="10" t="inlineStr">
        <is>
          <t>30/04/2026</t>
        </is>
      </c>
      <c r="I1372" s="10" t="inlineStr">
        <is>
          <t>17/03/2026</t>
        </is>
      </c>
      <c r="J1372" s="10" t="inlineStr">
        <is>
          <t>Đồ gỗ, Nội ngoại thất, Sản xuất / Vận hành sản xuất</t>
        </is>
      </c>
      <c r="K1372" s="10" t="inlineStr">
        <is>
          <t>5 - 6 Năm</t>
        </is>
      </c>
      <c r="L1372" s="11">
        <f>HYPERLINK("https://careerviet.vn/vi/tim-viec-lam/truong-phong-lap-trinh-cnc.35C6A4C5.html","Xem chi tiết")</f>
        <v/>
      </c>
      <c r="M1372" s="10" t="n"/>
    </row>
    <row r="1373">
      <c r="B1373" s="7" t="n">
        <v>1371</v>
      </c>
      <c r="C1373" t="inlineStr">
        <is>
          <t>Kế toán thuế thu nhập từ 14 triệu - 18 triệu</t>
        </is>
      </c>
      <c r="D1373" t="inlineStr">
        <is>
          <t>CellphoneS - Hệ thống bán lẻ điện thoại di động, laptop và các sản phẩm công nghệ toàn quốc</t>
        </is>
      </c>
      <c r="E1373" t="inlineStr">
        <is>
          <t>Lương:14 Tr - 18 Tr VND</t>
        </is>
      </c>
      <c r="F1373" t="inlineStr">
        <is>
          <t>Hồ Chí Minh</t>
        </is>
      </c>
      <c r="G1373" t="inlineStr">
        <is>
          <t>05-04-2026</t>
        </is>
      </c>
      <c r="H1373" t="inlineStr">
        <is>
          <t>05/04/2026</t>
        </is>
      </c>
      <c r="I1373" t="inlineStr">
        <is>
          <t>17/03/2026</t>
        </is>
      </c>
      <c r="J1373" t="inlineStr">
        <is>
          <t>Kế toán / Kiểm toán, Bán lẻ / Bán sỉ</t>
        </is>
      </c>
      <c r="K1373" t="inlineStr">
        <is>
          <t>2 - 9 Năm</t>
        </is>
      </c>
      <c r="L1373" s="8">
        <f>HYPERLINK("https://careerviet.vn/vi/tim-viec-lam/ke-toan-thue-thu-nhap-tu-14-trieu-18-trieu.35C6A6FA.html","Xem chi tiết")</f>
        <v/>
      </c>
    </row>
    <row r="1374">
      <c r="B1374" s="9" t="n">
        <v>1372</v>
      </c>
      <c r="C1374" s="10" t="inlineStr">
        <is>
          <t>[Hà Nội] Chuyên viên chính Vận hành dịch vụ Thẻ</t>
        </is>
      </c>
      <c r="D1374" s="10" t="inlineStr">
        <is>
          <t>Ngân hàng TMCP Lộc Phát Việt Nam (LPBank)</t>
        </is>
      </c>
      <c r="E1374" s="10" t="inlineStr">
        <is>
          <t>Lương:Cạnh tranh</t>
        </is>
      </c>
      <c r="F1374" s="10" t="inlineStr">
        <is>
          <t>Hà Nội</t>
        </is>
      </c>
      <c r="G1374" s="10" t="inlineStr">
        <is>
          <t>01-04-2026</t>
        </is>
      </c>
      <c r="H1374" s="10" t="inlineStr">
        <is>
          <t>01/04/2026</t>
        </is>
      </c>
      <c r="I1374" s="10" t="inlineStr">
        <is>
          <t>17/03/2026</t>
        </is>
      </c>
      <c r="J1374" s="10" t="inlineStr">
        <is>
          <t>Ngân hàng</t>
        </is>
      </c>
      <c r="K1374" s="10" t="inlineStr">
        <is>
          <t>Trên 1 Năm</t>
        </is>
      </c>
      <c r="L1374" s="11">
        <f>HYPERLINK("https://careerviet.vn/vi/tim-viec-lam/ha-noi-chuyen-vien-chinh-van-hanh-dich-vu-the.35C6A6DC.html","Xem chi tiết")</f>
        <v/>
      </c>
      <c r="M1374" s="10" t="n"/>
    </row>
    <row r="1375">
      <c r="B1375" s="7" t="n">
        <v>1373</v>
      </c>
      <c r="C1375" t="inlineStr">
        <is>
          <t>IT Portfolio &amp; Project Management, Manager</t>
        </is>
      </c>
      <c r="D1375" t="inlineStr">
        <is>
          <t>CÔNG TY TNHH THỜI TRANG VÀ MỸ PHẨM ÂU CHÂU</t>
        </is>
      </c>
      <c r="E1375" t="inlineStr">
        <is>
          <t>Lương:Cạnh tranh</t>
        </is>
      </c>
      <c r="F1375" t="inlineStr">
        <is>
          <t>Hồ Chí Minh</t>
        </is>
      </c>
      <c r="G1375" t="inlineStr">
        <is>
          <t>03-04-2026</t>
        </is>
      </c>
      <c r="H1375" t="inlineStr">
        <is>
          <t>03/04/2026</t>
        </is>
      </c>
      <c r="I1375" t="inlineStr">
        <is>
          <t>17/03/2026</t>
        </is>
      </c>
      <c r="J1375" t="inlineStr">
        <is>
          <t>Bán lẻ / Bán sỉ, CNTT - Phần mềm</t>
        </is>
      </c>
      <c r="K1375" t="inlineStr">
        <is>
          <t>5 - 10 Năm</t>
        </is>
      </c>
      <c r="L1375" s="8">
        <f>HYPERLINK("https://careerviet.vn/vi/tim-viec-lam/it-portfolio-project-management-manager.35C6A6BA.html","Xem chi tiết")</f>
        <v/>
      </c>
    </row>
    <row r="1376">
      <c r="B1376" s="9" t="n">
        <v>1374</v>
      </c>
      <c r="C1376" s="10" t="inlineStr">
        <is>
          <t>Trưởng Phòng Kỹ Thuật</t>
        </is>
      </c>
      <c r="D1376" s="10" t="inlineStr">
        <is>
          <t>CÔNG TY CỔ PHẦN CARBON VIỆT NAM</t>
        </is>
      </c>
      <c r="E1376" s="10" t="inlineStr">
        <is>
          <t>Lương:Cạnh tranh</t>
        </is>
      </c>
      <c r="F1376" s="10" t="inlineStr">
        <is>
          <t>Hà Nội</t>
        </is>
      </c>
      <c r="G1376" s="10" t="inlineStr">
        <is>
          <t>02-04-2026</t>
        </is>
      </c>
      <c r="H1376" s="10" t="inlineStr">
        <is>
          <t>02/04/2026</t>
        </is>
      </c>
      <c r="I1376" s="10" t="inlineStr">
        <is>
          <t>17/03/2026</t>
        </is>
      </c>
      <c r="J1376" s="10" t="inlineStr">
        <is>
          <t>Xây dựng, Kiến trúc, Quản lý điều hành</t>
        </is>
      </c>
      <c r="K1376" s="10" t="inlineStr">
        <is>
          <t>Trên 1 Năm</t>
        </is>
      </c>
      <c r="L1376" s="11">
        <f>HYPERLINK("https://careerviet.vn/vi/tim-viec-lam/truong-phong-ky-thuat.35C6A53F.html","Xem chi tiết")</f>
        <v/>
      </c>
      <c r="M1376" s="10" t="n"/>
    </row>
    <row r="1377">
      <c r="B1377" s="7" t="n">
        <v>1375</v>
      </c>
      <c r="C1377" t="inlineStr">
        <is>
          <t>[HO HN] Chuyên viên Dịch vụ khách hàng</t>
        </is>
      </c>
      <c r="D1377" t="inlineStr">
        <is>
          <t>ABBANK - Ngân Hàng TMCP An Bình</t>
        </is>
      </c>
      <c r="E1377" t="inlineStr">
        <is>
          <t>Lương:Cạnh tranh</t>
        </is>
      </c>
      <c r="F1377" t="inlineStr">
        <is>
          <t>Hà Nội</t>
        </is>
      </c>
      <c r="G1377" t="inlineStr">
        <is>
          <t>01-04-2026</t>
        </is>
      </c>
      <c r="H1377" t="inlineStr">
        <is>
          <t>01/04/2026</t>
        </is>
      </c>
      <c r="I1377" t="inlineStr">
        <is>
          <t>17/03/2026</t>
        </is>
      </c>
      <c r="J1377" t="inlineStr">
        <is>
          <t>Ngân hàng, Tài chính / Đầu tư, Dịch vụ khách hàng</t>
        </is>
      </c>
      <c r="K1377" t="inlineStr">
        <is>
          <t>2 - 5 Năm</t>
        </is>
      </c>
      <c r="L1377" s="8">
        <f>HYPERLINK("https://careerviet.vn/vi/tim-viec-lam/ho-hn-chuyen-vien-dich-vu-khach-hang.35C6A706.html","Xem chi tiết")</f>
        <v/>
      </c>
    </row>
    <row r="1378">
      <c r="B1378" s="9" t="n">
        <v>1376</v>
      </c>
      <c r="C1378" s="10" t="inlineStr">
        <is>
          <t>Chuyên Viên Kinh Doanh</t>
        </is>
      </c>
      <c r="D1378" s="10" t="inlineStr">
        <is>
          <t>CÔNG TY CỔ PHẦN THƯƠNG MẠI BM</t>
        </is>
      </c>
      <c r="E1378" s="10" t="inlineStr">
        <is>
          <t>Lương:Trên 30 Tr VND</t>
        </is>
      </c>
      <c r="F1378" s="10" t="inlineStr">
        <is>
          <t>Hà Nội</t>
        </is>
      </c>
      <c r="G1378" s="10" t="inlineStr">
        <is>
          <t>27-03-2026</t>
        </is>
      </c>
      <c r="H1378" s="10" t="inlineStr">
        <is>
          <t>27/03/2026</t>
        </is>
      </c>
      <c r="I1378" s="10" t="inlineStr">
        <is>
          <t>17/03/2026</t>
        </is>
      </c>
      <c r="J1378" s="10" t="inlineStr">
        <is>
          <t>Bán hàng / Kinh doanh, Bất động sản</t>
        </is>
      </c>
      <c r="K1378" s="10" t="inlineStr">
        <is>
          <t>N/A</t>
        </is>
      </c>
      <c r="L1378" s="11">
        <f>HYPERLINK("https://careerviet.vn/vi/tim-viec-lam/chuyen-vien-kinh-doanh.35C6A0C6.html","Xem chi tiết")</f>
        <v/>
      </c>
      <c r="M1378" s="10" t="n"/>
    </row>
    <row r="1379">
      <c r="B1379" s="7" t="n">
        <v>1377</v>
      </c>
      <c r="C1379" t="inlineStr">
        <is>
          <t>Promotion Manager</t>
        </is>
      </c>
      <c r="D1379" t="inlineStr">
        <is>
          <t>Công Ty Cổ Phần Phim Thiên Ngân (GALAXY STUDIO)</t>
        </is>
      </c>
      <c r="E1379" t="inlineStr">
        <is>
          <t>Lương:Cạnh tranh</t>
        </is>
      </c>
      <c r="F1379" t="inlineStr">
        <is>
          <t>Hồ Chí Minh</t>
        </is>
      </c>
      <c r="G1379" t="inlineStr">
        <is>
          <t>02-04-2026</t>
        </is>
      </c>
      <c r="H1379" t="inlineStr">
        <is>
          <t>02/04/2026</t>
        </is>
      </c>
      <c r="I1379" t="inlineStr">
        <is>
          <t>17/03/2026</t>
        </is>
      </c>
      <c r="J1379" t="inlineStr">
        <is>
          <t>Giải trí, Tiếp thị / Marketing, Quản lý điều hành</t>
        </is>
      </c>
      <c r="K1379" t="inlineStr">
        <is>
          <t>N/A</t>
        </is>
      </c>
      <c r="L1379" s="8">
        <f>HYPERLINK("https://careerviet.vn/vi/tim-viec-lam/promotion-manager.35C6A5FB.html","Xem chi tiết")</f>
        <v/>
      </c>
    </row>
    <row r="1380">
      <c r="B1380" s="9" t="n">
        <v>1378</v>
      </c>
      <c r="C1380" s="10" t="inlineStr">
        <is>
          <t>Giám Sát Thiết Kế</t>
        </is>
      </c>
      <c r="D1380" s="10" t="inlineStr">
        <is>
          <t>Công Ty TNHH Sản Phẩm Giấy Go-Pak Việt Nam</t>
        </is>
      </c>
      <c r="E1380" s="10" t="inlineStr">
        <is>
          <t>Lương:Cạnh tranh</t>
        </is>
      </c>
      <c r="F1380" s="10" t="inlineStr">
        <is>
          <t>Bình Dương</t>
        </is>
      </c>
      <c r="G1380" s="10" t="inlineStr">
        <is>
          <t>01-04-2026</t>
        </is>
      </c>
      <c r="H1380" s="10" t="inlineStr">
        <is>
          <t>01/04/2026</t>
        </is>
      </c>
      <c r="I1380" s="10" t="inlineStr">
        <is>
          <t>17/03/2026</t>
        </is>
      </c>
      <c r="J1380" s="10" t="inlineStr">
        <is>
          <t>Mỹ thuật / Nghệ thuật / Thiết kế, Sản xuất / Vận hành sản xuất, In ấn / Xuất bản</t>
        </is>
      </c>
      <c r="K1380" s="10" t="inlineStr">
        <is>
          <t>1 - 2 Năm</t>
        </is>
      </c>
      <c r="L1380" s="11">
        <f>HYPERLINK("https://careerviet.vn/vi/tim-viec-lam/giam-sat-thiet-ke.35C6A4B6.html","Xem chi tiết")</f>
        <v/>
      </c>
      <c r="M1380" s="10" t="n"/>
    </row>
    <row r="1381">
      <c r="B1381" s="7" t="n">
        <v>1379</v>
      </c>
      <c r="C1381" t="inlineStr">
        <is>
          <t>Sale Executive</t>
        </is>
      </c>
      <c r="D1381" t="inlineStr">
        <is>
          <t>Mars Group</t>
        </is>
      </c>
      <c r="E1381" t="inlineStr">
        <is>
          <t>Lương:Cạnh tranh</t>
        </is>
      </c>
      <c r="F1381" t="inlineStr">
        <is>
          <t>Hồ Chí Minh</t>
        </is>
      </c>
      <c r="G1381" t="inlineStr">
        <is>
          <t>11-04-2026</t>
        </is>
      </c>
      <c r="H1381" t="inlineStr">
        <is>
          <t>11/04/2026</t>
        </is>
      </c>
      <c r="I1381" t="inlineStr">
        <is>
          <t>17/03/2026</t>
        </is>
      </c>
      <c r="J1381" t="inlineStr">
        <is>
          <t>Bán hàng / Kinh doanh, Tư vấn, Dịch vụ khách hàng</t>
        </is>
      </c>
      <c r="K1381" t="inlineStr">
        <is>
          <t>1 - 3 Năm</t>
        </is>
      </c>
      <c r="L1381" s="8">
        <f>HYPERLINK("https://careerviet.vn/vi/tim-viec-lam/sale-executive.35C6A4C2.html","Xem chi tiết")</f>
        <v/>
      </c>
    </row>
    <row r="1382">
      <c r="B1382" s="9" t="n">
        <v>1380</v>
      </c>
      <c r="C1382" s="10" t="inlineStr">
        <is>
          <t>Nhân Viên Kinh Doanh</t>
        </is>
      </c>
      <c r="D1382" s="10" t="inlineStr">
        <is>
          <t>TNHH Ezbook Việt Nam</t>
        </is>
      </c>
      <c r="E1382" s="10" t="inlineStr">
        <is>
          <t>Lương:15 Tr - 30 Tr VND</t>
        </is>
      </c>
      <c r="F1382" s="10" t="inlineStr">
        <is>
          <t>Hồ Chí Minh</t>
        </is>
      </c>
      <c r="G1382" s="10" t="inlineStr">
        <is>
          <t>02-04-2026</t>
        </is>
      </c>
      <c r="H1382" s="10" t="inlineStr">
        <is>
          <t>02/04/2026</t>
        </is>
      </c>
      <c r="I1382" s="10" t="inlineStr">
        <is>
          <t>17/03/2026</t>
        </is>
      </c>
      <c r="J1382" s="10" t="inlineStr">
        <is>
          <t>Bán hàng / Kinh doanh, Dịch vụ khách hàng, Du lịch</t>
        </is>
      </c>
      <c r="K1382" s="10" t="inlineStr">
        <is>
          <t>1 - 2 Năm</t>
        </is>
      </c>
      <c r="L1382" s="11">
        <f>HYPERLINK("https://careerviet.vn/vi/tim-viec-lam/nhan-vien-kinh-doanh.35C6A59E.html","Xem chi tiết")</f>
        <v/>
      </c>
      <c r="M1382" s="10" t="n"/>
    </row>
    <row r="1383">
      <c r="B1383" s="7" t="n">
        <v>1381</v>
      </c>
      <c r="C1383" t="inlineStr">
        <is>
          <t>Nhân viên Kinh doanh / Tư vấn tuyển sinh</t>
        </is>
      </c>
      <c r="D1383" t="inlineStr">
        <is>
          <t>CÔNG TY TNHH THƯƠNG MẠI VÀ TRUYỀN THÔNG SỐ AN NAM</t>
        </is>
      </c>
      <c r="E1383" t="inlineStr">
        <is>
          <t>Lương:Cạnh tranh</t>
        </is>
      </c>
      <c r="F1383" t="inlineStr">
        <is>
          <t>Hà Nội</t>
        </is>
      </c>
      <c r="G1383" t="inlineStr">
        <is>
          <t>02-04-2026</t>
        </is>
      </c>
      <c r="H1383" t="inlineStr">
        <is>
          <t>02/04/2026</t>
        </is>
      </c>
      <c r="I1383" t="inlineStr">
        <is>
          <t>17/03/2026</t>
        </is>
      </c>
      <c r="J1383" t="inlineStr">
        <is>
          <t>Bán hàng / Kinh doanh, Giáo dục / Đào tạo, Tư vấn</t>
        </is>
      </c>
      <c r="K1383" t="inlineStr">
        <is>
          <t>Trên 2 Năm</t>
        </is>
      </c>
      <c r="L1383" s="8">
        <f>HYPERLINK("https://careerviet.vn/vi/tim-viec-lam/nhan-vien-kinh-doanh-tu-van-tuyen-sinh.35C6A3EF.html","Xem chi tiết")</f>
        <v/>
      </c>
    </row>
    <row r="1384">
      <c r="B1384" s="9" t="n">
        <v>1382</v>
      </c>
      <c r="C1384" s="10" t="inlineStr">
        <is>
          <t>Chuyên viên Sales Admin ( Khối Kinh doanh BĐS)</t>
        </is>
      </c>
      <c r="D1384" s="10" t="inlineStr">
        <is>
          <t>CÔNG TY CỔ PHẦN EUROWINDOW HOLDING</t>
        </is>
      </c>
      <c r="E1384" s="10" t="inlineStr">
        <is>
          <t>Lương:Cạnh tranh</t>
        </is>
      </c>
      <c r="F1384" s="10" t="inlineStr">
        <is>
          <t>Hà Nội</t>
        </is>
      </c>
      <c r="G1384" s="10" t="inlineStr">
        <is>
          <t>15-03-2026</t>
        </is>
      </c>
      <c r="H1384" s="10" t="inlineStr">
        <is>
          <t>07/03/2026</t>
        </is>
      </c>
      <c r="I1384" s="10" t="inlineStr">
        <is>
          <t>17/03/2026</t>
        </is>
      </c>
      <c r="J1384" s="10" t="inlineStr">
        <is>
          <t>Bán hàng / Kinh doanh, Xây dựng, Bất động sản</t>
        </is>
      </c>
      <c r="K1384" s="10" t="inlineStr">
        <is>
          <t>2 - 3 Năm</t>
        </is>
      </c>
      <c r="L1384" s="11">
        <f>HYPERLINK("https://careerviet.vn/vi/tim-viec-lam/chuyen-vien-sales-admin-khoi-kinh-doanh-bds.35C6A32D.html","Xem chi tiết")</f>
        <v/>
      </c>
      <c r="M1384" s="10" t="n"/>
    </row>
    <row r="1385">
      <c r="B1385" s="7" t="n">
        <v>1383</v>
      </c>
      <c r="C1385" t="inlineStr">
        <is>
          <t>Senior Officer- Production Material Control/ Production Control/Planner</t>
        </is>
      </c>
      <c r="D1385" t="inlineStr">
        <is>
          <t>Công Ty TNHH SML Việt Nam</t>
        </is>
      </c>
      <c r="E1385" t="inlineStr">
        <is>
          <t>Lương:Cạnh tranh</t>
        </is>
      </c>
      <c r="F1385" t="inlineStr">
        <is>
          <t>Hưng Yên</t>
        </is>
      </c>
      <c r="G1385" t="inlineStr">
        <is>
          <t>11-04-2026</t>
        </is>
      </c>
      <c r="H1385" t="inlineStr">
        <is>
          <t>11/04/2026</t>
        </is>
      </c>
      <c r="I1385" t="inlineStr">
        <is>
          <t>17/03/2026</t>
        </is>
      </c>
      <c r="J1385" t="inlineStr">
        <is>
          <t>Sản xuất / Vận hành sản xuất, In ấn / Xuất bản, Dệt may / Da giày / Thời trang</t>
        </is>
      </c>
      <c r="K1385" t="inlineStr">
        <is>
          <t>5 Năm</t>
        </is>
      </c>
      <c r="L1385" s="8">
        <f>HYPERLINK("https://careerviet.vn/vi/tim-viec-lam/senior-officer-production-material-control-production-control-planner.35C6A493.html","Xem chi tiết")</f>
        <v/>
      </c>
    </row>
    <row r="1386">
      <c r="B1386" s="9" t="n">
        <v>1384</v>
      </c>
      <c r="C1386" s="10" t="inlineStr">
        <is>
          <t>Thiết Kế Rập</t>
        </is>
      </c>
      <c r="D1386" s="10" t="inlineStr">
        <is>
          <t>CÔNG TY CỔ PHẦN DỆT MAY VÀ XUẤT NHẬP KHẨU MINH TRÍ</t>
        </is>
      </c>
      <c r="E1386" s="10" t="inlineStr">
        <is>
          <t>Lương:10 Tr - 13 Tr VND</t>
        </is>
      </c>
      <c r="F1386" s="10" t="inlineStr">
        <is>
          <t>Hà Nội</t>
        </is>
      </c>
      <c r="G1386" s="10" t="inlineStr">
        <is>
          <t>02-04-2026</t>
        </is>
      </c>
      <c r="H1386" s="10" t="inlineStr">
        <is>
          <t>02/04/2026</t>
        </is>
      </c>
      <c r="I1386" s="10" t="inlineStr">
        <is>
          <t>17/03/2026</t>
        </is>
      </c>
      <c r="J1386" s="10" t="inlineStr">
        <is>
          <t>Mỹ thuật / Nghệ thuật / Thiết kế, Dệt may / Da giày / Thời trang, Sản xuất / Vận hành sản xuất</t>
        </is>
      </c>
      <c r="K1386" s="10" t="inlineStr">
        <is>
          <t>Trên 1 Năm</t>
        </is>
      </c>
      <c r="L1386" s="11">
        <f>HYPERLINK("https://careerviet.vn/vi/tim-viec-lam/thiet-ke-rap.35C6A386.html","Xem chi tiết")</f>
        <v/>
      </c>
      <c r="M1386" s="10" t="n"/>
    </row>
    <row r="1387">
      <c r="B1387" s="7" t="n">
        <v>1385</v>
      </c>
      <c r="C1387" t="inlineStr">
        <is>
          <t>Nhân viên điện/ điện tử/ cơ khí (Chấp nhận sinh viên mới tốt nghiệp)</t>
        </is>
      </c>
      <c r="D1387" t="inlineStr">
        <is>
          <t>CÔNG TY TNHH HANESBRANDS VIỆT NAM HUẾ</t>
        </is>
      </c>
      <c r="E1387" t="inlineStr">
        <is>
          <t>Lương:Cạnh tranh</t>
        </is>
      </c>
      <c r="F1387" t="inlineStr">
        <is>
          <t>Thừa Thiên- Huế</t>
        </is>
      </c>
      <c r="G1387" t="inlineStr">
        <is>
          <t>01-04-2026</t>
        </is>
      </c>
      <c r="H1387" t="inlineStr">
        <is>
          <t>01/04/2026</t>
        </is>
      </c>
      <c r="I1387" t="inlineStr">
        <is>
          <t>17/03/2026</t>
        </is>
      </c>
      <c r="J1387" t="inlineStr">
        <is>
          <t>Cơ khí / Ô tô / Tự động hóa, Điện / Điện tử / Điện lạnh / Điện công nghiệp, Bảo trì / Sửa chữa</t>
        </is>
      </c>
      <c r="K1387" t="inlineStr">
        <is>
          <t>Chưa có kinh nghiệm</t>
        </is>
      </c>
      <c r="L1387" s="8">
        <f>HYPERLINK("https://careerviet.vn/vi/tim-viec-lam/nhan-vien-dien-dien-tu-co-khi-chap-nhan-sinh-vien-moi-tot-nghiep.35C6A3D0.html","Xem chi tiết")</f>
        <v/>
      </c>
    </row>
    <row r="1388">
      <c r="B1388" s="9" t="n">
        <v>1386</v>
      </c>
      <c r="C1388" s="10" t="inlineStr">
        <is>
          <t>[Cần Thơ, Tiền Giang] Chuyên viên Quan hệ Khách hàng Doanh nghiệp</t>
        </is>
      </c>
      <c r="D1388" s="10" t="inlineStr">
        <is>
          <t>Ngân hàng TMCP Lộc Phát Việt Nam (LPBank)</t>
        </is>
      </c>
      <c r="E1388" s="10" t="inlineStr">
        <is>
          <t>Lương:Cạnh tranh</t>
        </is>
      </c>
      <c r="F1388" s="10" t="inlineStr">
        <is>
          <t>Cần ThơTiền Giang</t>
        </is>
      </c>
      <c r="G1388" s="10" t="inlineStr">
        <is>
          <t>01-04-2026</t>
        </is>
      </c>
      <c r="H1388" s="10" t="inlineStr">
        <is>
          <t>01/04/2026</t>
        </is>
      </c>
      <c r="I1388" s="10" t="inlineStr">
        <is>
          <t>17/03/2026</t>
        </is>
      </c>
      <c r="J1388" s="10" t="inlineStr">
        <is>
          <t>Bảo hiểm, Bất động sản, Bán hàng / Kinh doanh</t>
        </is>
      </c>
      <c r="K1388" s="10" t="inlineStr">
        <is>
          <t>Trên 1 Năm</t>
        </is>
      </c>
      <c r="L1388" s="11">
        <f>HYPERLINK("https://careerviet.vn/vi/tim-viec-lam/can-tho-tien-giang-chuyen-vien-quan-he-khach-hang-doanh-nghiep.35C6A62E.html","Xem chi tiết")</f>
        <v/>
      </c>
      <c r="M1388" s="10" t="n"/>
    </row>
    <row r="1389">
      <c r="B1389" s="7" t="n">
        <v>1387</v>
      </c>
      <c r="C1389" t="inlineStr">
        <is>
          <t>Chuyên viên kinh doanh</t>
        </is>
      </c>
      <c r="D1389" t="inlineStr">
        <is>
          <t>CÔNG TY CỔ PHẦN PHÁT TRIỂN DỊCH VỤ VÀ THƯƠNG MẠI QUỐC AN</t>
        </is>
      </c>
      <c r="E1389" t="inlineStr">
        <is>
          <t>Lương:20 Tr - 40 Tr VND</t>
        </is>
      </c>
      <c r="F1389" t="inlineStr">
        <is>
          <t>Hồ Chí MinhHà Nội</t>
        </is>
      </c>
      <c r="G1389" t="inlineStr">
        <is>
          <t>02-04-2026</t>
        </is>
      </c>
      <c r="H1389" t="inlineStr">
        <is>
          <t>02/04/2026</t>
        </is>
      </c>
      <c r="I1389" t="inlineStr">
        <is>
          <t>17/03/2026</t>
        </is>
      </c>
      <c r="J1389" t="inlineStr">
        <is>
          <t>Bán hàng / Kinh doanh, Tư vấn, Y tế / Chăm sóc sức khỏe / Thẩm mỹ / Làm đẹp</t>
        </is>
      </c>
      <c r="K1389" t="inlineStr">
        <is>
          <t>1 - 2 Năm</t>
        </is>
      </c>
      <c r="L1389" s="8">
        <f>HYPERLINK("https://careerviet.vn/vi/tim-viec-lam/chuyen-vien-kinh-doanh.35C6A584.html","Xem chi tiết")</f>
        <v/>
      </c>
    </row>
    <row r="1390">
      <c r="B1390" s="9" t="n">
        <v>1388</v>
      </c>
      <c r="C1390" s="10" t="inlineStr">
        <is>
          <t>Nhân Viên Kinh Doanh Kênh MT</t>
        </is>
      </c>
      <c r="D1390" s="10" t="inlineStr">
        <is>
          <t>Công Ty Cổ Phần Kềm Nghĩa</t>
        </is>
      </c>
      <c r="E1390" s="10" t="inlineStr">
        <is>
          <t>Lương:8 Tr - 10 Tr VND</t>
        </is>
      </c>
      <c r="F1390" s="10" t="inlineStr">
        <is>
          <t>Hồ Chí Minh</t>
        </is>
      </c>
      <c r="G1390" s="10" t="inlineStr">
        <is>
          <t>01-04-2026</t>
        </is>
      </c>
      <c r="H1390" s="10" t="inlineStr">
        <is>
          <t>01/04/2026</t>
        </is>
      </c>
      <c r="I1390" s="10" t="inlineStr">
        <is>
          <t>17/03/2026</t>
        </is>
      </c>
      <c r="J1390" s="10" t="inlineStr">
        <is>
          <t>Bán hàng / Kinh doanh, Dịch vụ khách hàng, Bán lẻ / Bán sỉ</t>
        </is>
      </c>
      <c r="K1390" s="10" t="inlineStr">
        <is>
          <t>Trên 1 Năm</t>
        </is>
      </c>
      <c r="L1390" s="11">
        <f>HYPERLINK("https://careerviet.vn/vi/tim-viec-lam/nhan-vien-kinh-doanh-kenh-mt.35C6A50E.html","Xem chi tiết")</f>
        <v/>
      </c>
      <c r="M1390" s="10" t="n"/>
    </row>
    <row r="1391">
      <c r="B1391" s="7" t="n">
        <v>1389</v>
      </c>
      <c r="C1391" t="inlineStr">
        <is>
          <t>Chuyên Viên Chiến Lược Kinh Doanh</t>
        </is>
      </c>
      <c r="D1391" t="inlineStr">
        <is>
          <t>Hisamitsu VietNam Pharmaceutical Co., Ltd.</t>
        </is>
      </c>
      <c r="E1391" t="inlineStr">
        <is>
          <t>Lương:Cạnh tranh</t>
        </is>
      </c>
      <c r="F1391" t="inlineStr">
        <is>
          <t>Hồ Chí Minh</t>
        </is>
      </c>
      <c r="G1391" t="inlineStr">
        <is>
          <t>01-04-2026</t>
        </is>
      </c>
      <c r="H1391" t="inlineStr">
        <is>
          <t>01/04/2026</t>
        </is>
      </c>
      <c r="I1391" t="inlineStr">
        <is>
          <t>17/03/2026</t>
        </is>
      </c>
      <c r="J1391" t="inlineStr">
        <is>
          <t>Bán hàng / Kinh doanh, Bán lẻ / Bán sỉ, Dược phẩm/ Hóa Mỹ Phẩm</t>
        </is>
      </c>
      <c r="K1391" t="inlineStr">
        <is>
          <t>Trên 1 Năm</t>
        </is>
      </c>
      <c r="L1391" s="8">
        <f>HYPERLINK("https://careerviet.vn/vi/tim-viec-lam/chuyen-vien-chien-luoc-kinh-doanh.35C6A402.html","Xem chi tiết")</f>
        <v/>
      </c>
    </row>
    <row r="1392">
      <c r="B1392" s="9" t="n">
        <v>1390</v>
      </c>
      <c r="C1392" s="10" t="inlineStr">
        <is>
          <t>Leasing Manager</t>
        </is>
      </c>
      <c r="D1392" s="10" t="inlineStr">
        <is>
          <t>CÔNG TY CỔ PHẦN PCM</t>
        </is>
      </c>
      <c r="E1392" s="10" t="inlineStr">
        <is>
          <t>Lương:Cạnh tranh</t>
        </is>
      </c>
      <c r="F1392" s="10" t="inlineStr">
        <is>
          <t>Hồ Chí Minh</t>
        </is>
      </c>
      <c r="G1392" s="10" t="inlineStr">
        <is>
          <t>02-04-2026</t>
        </is>
      </c>
      <c r="H1392" s="10" t="inlineStr">
        <is>
          <t>02/04/2026</t>
        </is>
      </c>
      <c r="I1392" s="10" t="inlineStr">
        <is>
          <t>17/03/2026</t>
        </is>
      </c>
      <c r="J1392" s="10" t="inlineStr">
        <is>
          <t>Dịch vụ khách hàng, Bất động sản</t>
        </is>
      </c>
      <c r="K1392" s="10" t="inlineStr">
        <is>
          <t>3 - 5 Năm</t>
        </is>
      </c>
      <c r="L1392" s="11">
        <f>HYPERLINK("https://careerviet.vn/vi/tim-viec-lam/leasing-manager.35C6A67F.html","Xem chi tiết")</f>
        <v/>
      </c>
      <c r="M1392" s="10" t="n"/>
    </row>
    <row r="1393">
      <c r="B1393" s="7" t="n">
        <v>1391</v>
      </c>
      <c r="C1393" t="inlineStr">
        <is>
          <t>Quality Group Leader</t>
        </is>
      </c>
      <c r="D1393" t="inlineStr">
        <is>
          <t>VINFAST TRADING AND PRODUCTION JSC</t>
        </is>
      </c>
      <c r="E1393" t="inlineStr">
        <is>
          <t>Lương:Cạnh tranh</t>
        </is>
      </c>
      <c r="F1393" t="inlineStr">
        <is>
          <t>Hà Tĩnh</t>
        </is>
      </c>
      <c r="G1393" t="inlineStr">
        <is>
          <t>02-04-2026</t>
        </is>
      </c>
      <c r="H1393" t="inlineStr">
        <is>
          <t>02/04/2026</t>
        </is>
      </c>
      <c r="I1393" t="inlineStr">
        <is>
          <t>17/03/2026</t>
        </is>
      </c>
      <c r="J1393" t="inlineStr">
        <is>
          <t>Quản lý chất lượng (QA/QC)</t>
        </is>
      </c>
      <c r="K1393" t="inlineStr">
        <is>
          <t>4 - 5 Năm</t>
        </is>
      </c>
      <c r="L1393" s="8">
        <f>HYPERLINK("https://careerviet.vn/vi/tim-viec-lam/quality-group-leader.35C6A62B.html","Xem chi tiết")</f>
        <v/>
      </c>
    </row>
    <row r="1394">
      <c r="B1394" s="9" t="n">
        <v>1392</v>
      </c>
      <c r="C1394" s="10" t="inlineStr">
        <is>
          <t>Trưởng phòng Quản lý thiết kế</t>
        </is>
      </c>
      <c r="D1394" s="10" t="inlineStr">
        <is>
          <t>Công ty Cổ phần Đầu tư Thương mại Kỹ thuật A&amp;T Việt Nam</t>
        </is>
      </c>
      <c r="E1394" s="10" t="inlineStr">
        <is>
          <t>Lương:Cạnh tranh</t>
        </is>
      </c>
      <c r="F1394" s="10" t="inlineStr">
        <is>
          <t>Hà Nội</t>
        </is>
      </c>
      <c r="G1394" s="10" t="inlineStr">
        <is>
          <t>02-04-2026</t>
        </is>
      </c>
      <c r="H1394" s="10" t="inlineStr">
        <is>
          <t>02/04/2026</t>
        </is>
      </c>
      <c r="I1394" s="10" t="inlineStr">
        <is>
          <t>17/03/2026</t>
        </is>
      </c>
      <c r="J1394" s="10" t="inlineStr">
        <is>
          <t>Kiến trúc, Xây dựng, Bất động sản</t>
        </is>
      </c>
      <c r="K1394" s="10" t="inlineStr">
        <is>
          <t>5 - 10 Năm</t>
        </is>
      </c>
      <c r="L1394" s="11">
        <f>HYPERLINK("https://careerviet.vn/vi/tim-viec-lam/truong-phong-quan-ly-thiet-ke.35C6A550.html","Xem chi tiết")</f>
        <v/>
      </c>
      <c r="M1394" s="10" t="n"/>
    </row>
    <row r="1395">
      <c r="B1395" s="7" t="n">
        <v>1393</v>
      </c>
      <c r="C1395" t="inlineStr">
        <is>
          <t>KỸ SƯ HỆ THỐNG ĐIỀU HÒA</t>
        </is>
      </c>
      <c r="D1395" t="inlineStr">
        <is>
          <t>CÔNG TY CỔ PHẦN MECOOLTECH</t>
        </is>
      </c>
      <c r="E1395" t="inlineStr">
        <is>
          <t>Lương:15 Tr - 20 Tr VND</t>
        </is>
      </c>
      <c r="F1395" t="inlineStr">
        <is>
          <t>Hà Nội</t>
        </is>
      </c>
      <c r="G1395" t="inlineStr">
        <is>
          <t>15-04-2026</t>
        </is>
      </c>
      <c r="H1395" t="inlineStr">
        <is>
          <t>15/04/2026</t>
        </is>
      </c>
      <c r="I1395" t="inlineStr">
        <is>
          <t>17/03/2026</t>
        </is>
      </c>
      <c r="J1395" t="inlineStr">
        <is>
          <t>Điện / Điện tử / Điện lạnh / Điện công nghiệp</t>
        </is>
      </c>
      <c r="K1395" t="inlineStr">
        <is>
          <t>Trên 1 Năm</t>
        </is>
      </c>
      <c r="L1395" s="8">
        <f>HYPERLINK("https://careerviet.vn/vi/tim-viec-lam/ky-su-he-thong-dieu-hoa.35C6A6D0.html","Xem chi tiết")</f>
        <v/>
      </c>
    </row>
    <row r="1396">
      <c r="B1396" s="9" t="n">
        <v>1394</v>
      </c>
      <c r="C1396" s="10" t="inlineStr">
        <is>
          <t>Giám Đốc Chi Nhánh - Tuyển Dung Trên Toàn Quốc</t>
        </is>
      </c>
      <c r="D1396" s="10" t="inlineStr">
        <is>
          <t>Công Ty CP Giáo Dục Đại Dương</t>
        </is>
      </c>
      <c r="E1396" s="10" t="inlineStr">
        <is>
          <t>Lương:Cạnh tranh</t>
        </is>
      </c>
      <c r="F1396" s="10" t="inlineStr">
        <is>
          <t>Thái BìnhHà NộiThanh Hóa</t>
        </is>
      </c>
      <c r="G1396" s="10" t="inlineStr">
        <is>
          <t>01-04-2026</t>
        </is>
      </c>
      <c r="H1396" s="10" t="inlineStr">
        <is>
          <t>01/04/2026</t>
        </is>
      </c>
      <c r="I1396" s="10" t="inlineStr">
        <is>
          <t>17/03/2026</t>
        </is>
      </c>
      <c r="J1396" s="10" t="inlineStr">
        <is>
          <t>Dịch vụ khách hàng, Giáo dục / Đào tạo, Bán hàng / Kinh doanh</t>
        </is>
      </c>
      <c r="K1396" s="10" t="inlineStr">
        <is>
          <t>3 - 5 Năm</t>
        </is>
      </c>
      <c r="L1396" s="11">
        <f>HYPERLINK("https://careerviet.vn/vi/tim-viec-lam/giam-doc-chi-nhanh-tuyen-dung-tren-toan-quoc.35C6A6F8.html","Xem chi tiết")</f>
        <v/>
      </c>
      <c r="M1396" s="10" t="n"/>
    </row>
    <row r="1397">
      <c r="B1397" s="7" t="n">
        <v>1395</v>
      </c>
      <c r="C1397" t="inlineStr">
        <is>
          <t>NHÂN VIÊN BẢO TRÌ | MAINTENANCE STAFF (Làm việc tại Phước Tân, Đồng Nai)</t>
        </is>
      </c>
      <c r="D1397" t="inlineStr">
        <is>
          <t>Công ty TNHH Olam Việt Nam</t>
        </is>
      </c>
      <c r="E1397" t="inlineStr">
        <is>
          <t>Lương:Cạnh tranh</t>
        </is>
      </c>
      <c r="F1397" t="inlineStr">
        <is>
          <t>Đồng Nai</t>
        </is>
      </c>
      <c r="G1397" t="inlineStr">
        <is>
          <t>04-04-2026</t>
        </is>
      </c>
      <c r="H1397" t="inlineStr">
        <is>
          <t>04/04/2026</t>
        </is>
      </c>
      <c r="I1397" t="inlineStr">
        <is>
          <t>17/03/2026</t>
        </is>
      </c>
      <c r="J1397" t="inlineStr">
        <is>
          <t>Bảo trì / Sửa chữa, Sản xuất / Vận hành sản xuất</t>
        </is>
      </c>
      <c r="K1397" t="inlineStr">
        <is>
          <t>1 - 2 Năm</t>
        </is>
      </c>
      <c r="L1397" s="8">
        <f>HYPERLINK("https://careerviet.vn/vi/tim-viec-lam/nhan-vien-bao-tri-maintenance-staff-lam-viec-tai-phuoc-tan-dong-nai.35C6A42C.html","Xem chi tiết")</f>
        <v/>
      </c>
    </row>
    <row r="1398">
      <c r="B1398" s="9" t="n">
        <v>1396</v>
      </c>
      <c r="C1398" s="10" t="inlineStr">
        <is>
          <t>Trưởng Nhóm Sản Xuất (Nội Thất Inox)</t>
        </is>
      </c>
      <c r="D1398" s="10" t="inlineStr">
        <is>
          <t>Công ty TNHH SX-TM-DV Qui Phúc</t>
        </is>
      </c>
      <c r="E1398" s="10" t="inlineStr">
        <is>
          <t>Lương:12 Tr - 15 Tr VND</t>
        </is>
      </c>
      <c r="F1398" s="10" t="inlineStr">
        <is>
          <t>Hồ Chí Minh</t>
        </is>
      </c>
      <c r="G1398" s="10" t="inlineStr">
        <is>
          <t>02-04-2026</t>
        </is>
      </c>
      <c r="H1398" s="10" t="inlineStr">
        <is>
          <t>02/04/2026</t>
        </is>
      </c>
      <c r="I1398" s="10" t="inlineStr">
        <is>
          <t>17/03/2026</t>
        </is>
      </c>
      <c r="J1398" s="10" t="inlineStr">
        <is>
          <t>Sản xuất / Vận hành sản xuất, Cơ khí / Ô tô / Tự động hóa, Điện / Điện tử / Điện lạnh / Điện công nghiệp</t>
        </is>
      </c>
      <c r="K1398" s="10" t="inlineStr">
        <is>
          <t>2 - 3 Năm</t>
        </is>
      </c>
      <c r="L1398" s="11">
        <f>HYPERLINK("https://careerviet.vn/vi/tim-viec-lam/truong-nhom-san-xuat-noi-that-inox.35C6A703.html","Xem chi tiết")</f>
        <v/>
      </c>
      <c r="M1398" s="10" t="n"/>
    </row>
    <row r="1399">
      <c r="B1399" s="7" t="n">
        <v>1397</v>
      </c>
      <c r="C1399" t="inlineStr">
        <is>
          <t>Phó phòng Dịch vụ Khách hàng quốc tế có Tiếng Nhật 27700 - Ba Đình, HN</t>
        </is>
      </c>
      <c r="D1399" t="inlineStr">
        <is>
          <t>Công Ty TNHH Reeracoen Việt Nam</t>
        </is>
      </c>
      <c r="E1399" t="inlineStr">
        <is>
          <t>Lương:26 Tr - 31 Tr VND</t>
        </is>
      </c>
      <c r="F1399" t="inlineStr">
        <is>
          <t>Hà Nội</t>
        </is>
      </c>
      <c r="G1399" t="inlineStr">
        <is>
          <t>02-04-2026</t>
        </is>
      </c>
      <c r="H1399" t="inlineStr">
        <is>
          <t>02/04/2026</t>
        </is>
      </c>
      <c r="I1399" t="inlineStr">
        <is>
          <t>17/03/2026</t>
        </is>
      </c>
      <c r="J1399" t="inlineStr">
        <is>
          <t>Xuất nhập khẩu, Vận chuyển / Giao nhận / Kho vận, Thu mua / Vật tư</t>
        </is>
      </c>
      <c r="K1399" t="inlineStr">
        <is>
          <t>Trên 3 Năm</t>
        </is>
      </c>
      <c r="L1399" s="8">
        <f>HYPERLINK("https://careerviet.vn/vi/tim-viec-lam/pho-phong-dich-vu-khach-hang-quoc-te-co-tieng-nhat-27700-ba-dinh-hn.35C6A688.html","Xem chi tiết")</f>
        <v/>
      </c>
    </row>
    <row r="1400">
      <c r="B1400" s="9" t="n">
        <v>1398</v>
      </c>
      <c r="C1400" s="10" t="inlineStr">
        <is>
          <t>SALE EXECUTIVE (HUNTER) – BOOTH TRIỂN LÃM B2B</t>
        </is>
      </c>
      <c r="D1400" s="10" t="inlineStr">
        <is>
          <t>CÔNG TY TNHH TM DV 20S FACTORY</t>
        </is>
      </c>
      <c r="E1400" s="10" t="inlineStr">
        <is>
          <t>Lương:Cạnh tranh</t>
        </is>
      </c>
      <c r="F1400" s="10" t="inlineStr">
        <is>
          <t>Hồ Chí Minh</t>
        </is>
      </c>
      <c r="G1400" s="10" t="inlineStr">
        <is>
          <t>30-04-2026</t>
        </is>
      </c>
      <c r="H1400" s="10" t="inlineStr">
        <is>
          <t>30/04/2026</t>
        </is>
      </c>
      <c r="I1400" s="10" t="inlineStr">
        <is>
          <t>17/03/2026</t>
        </is>
      </c>
      <c r="J1400" s="10" t="inlineStr">
        <is>
          <t>Bán hàng / Kinh doanh, Tiếp thị / Marketing, Dịch vụ khách hàng</t>
        </is>
      </c>
      <c r="K1400" s="10" t="inlineStr">
        <is>
          <t>1 - 3 Năm</t>
        </is>
      </c>
      <c r="L1400" s="11">
        <f>HYPERLINK("https://careerviet.vn/vi/tim-viec-lam/sale-executive-hunter-booth-trien-lam-b2b.35C6A59D.html","Xem chi tiết")</f>
        <v/>
      </c>
      <c r="M1400" s="10" t="n"/>
    </row>
    <row r="1401">
      <c r="B1401" s="7" t="n">
        <v>1399</v>
      </c>
      <c r="C1401" t="inlineStr">
        <is>
          <t>[Hà Nội] Phó phòng Vận hành tín dụng (phụ trách mảng vận hành tín dụng)</t>
        </is>
      </c>
      <c r="D1401" t="inlineStr">
        <is>
          <t>Ngân hàng TMCP Lộc Phát Việt Nam (LPBank)</t>
        </is>
      </c>
      <c r="E1401" t="inlineStr">
        <is>
          <t>Lương:Cạnh tranh</t>
        </is>
      </c>
      <c r="F1401" t="inlineStr">
        <is>
          <t>Hà Nội</t>
        </is>
      </c>
      <c r="G1401" t="inlineStr">
        <is>
          <t>01-04-2026</t>
        </is>
      </c>
      <c r="H1401" t="inlineStr">
        <is>
          <t>01/04/2026</t>
        </is>
      </c>
      <c r="I1401" t="inlineStr">
        <is>
          <t>17/03/2026</t>
        </is>
      </c>
      <c r="J1401" t="inlineStr">
        <is>
          <t>CNTT - Phần mềm, Kế toán / Kiểm toán, Ngân hàng</t>
        </is>
      </c>
      <c r="K1401" t="inlineStr">
        <is>
          <t>Trên 8 Năm</t>
        </is>
      </c>
      <c r="L1401" s="8">
        <f>HYPERLINK("https://careerviet.vn/vi/tim-viec-lam/ha-noi-pho-phong-van-hanh-tin-dung-phu-trach-mang-van-hanh-tin-dung.35C6A5A0.html","Xem chi tiết")</f>
        <v/>
      </c>
    </row>
    <row r="1402">
      <c r="B1402" s="9" t="n">
        <v>1400</v>
      </c>
      <c r="C1402" s="10" t="inlineStr">
        <is>
          <t>Chuyên viên xuất nhập khẩu (tiếng Trung)</t>
        </is>
      </c>
      <c r="D1402" s="10" t="inlineStr">
        <is>
          <t>CÔNG TY TNHH ĐIỆN KHÍ QUỐC QUANG (VIỆT NAM)</t>
        </is>
      </c>
      <c r="E1402" s="10" t="inlineStr">
        <is>
          <t>Lương:Cạnh tranh</t>
        </is>
      </c>
      <c r="F1402" s="10" t="inlineStr">
        <is>
          <t>Quảng NamĐà Nẵng</t>
        </is>
      </c>
      <c r="G1402" s="10" t="inlineStr">
        <is>
          <t>30-04-2026</t>
        </is>
      </c>
      <c r="H1402" s="10" t="inlineStr">
        <is>
          <t>30/04/2026</t>
        </is>
      </c>
      <c r="I1402" s="10" t="inlineStr">
        <is>
          <t>17/03/2026</t>
        </is>
      </c>
      <c r="J1402" s="10" t="inlineStr">
        <is>
          <t>Vận chuyển / Giao nhận / Kho vận, Xuất nhập khẩu, Thu mua / Vật tư</t>
        </is>
      </c>
      <c r="K1402" s="10" t="inlineStr">
        <is>
          <t>1 - 3 Năm</t>
        </is>
      </c>
      <c r="L1402" s="11">
        <f>HYPERLINK("https://careerviet.vn/vi/tim-viec-lam/chuyen-vien-xuat-nhap-khau-tieng-trung.35C6A461.html","Xem chi tiết")</f>
        <v/>
      </c>
      <c r="M1402" s="10" t="n"/>
    </row>
    <row r="1403">
      <c r="B1403" s="7" t="n">
        <v>1401</v>
      </c>
      <c r="C1403" t="inlineStr">
        <is>
          <t>[HCM] Giám Sát Bán Hàng Kênh GT - HCM</t>
        </is>
      </c>
      <c r="D1403" t="inlineStr">
        <is>
          <t>CÔNG TY CỔ PHẦN THỰC PHẨM HỮU NGHỊ</t>
        </is>
      </c>
      <c r="E1403" t="inlineStr">
        <is>
          <t>Lương:Cạnh tranh</t>
        </is>
      </c>
      <c r="F1403" t="inlineStr">
        <is>
          <t>Hồ Chí Minh</t>
        </is>
      </c>
      <c r="G1403" t="inlineStr">
        <is>
          <t>31-03-2026</t>
        </is>
      </c>
      <c r="H1403" t="inlineStr">
        <is>
          <t>31/03/2026</t>
        </is>
      </c>
      <c r="I1403" t="inlineStr">
        <is>
          <t>17/03/2026</t>
        </is>
      </c>
      <c r="J1403" t="inlineStr">
        <is>
          <t>Bán lẻ / Bán sỉ, Bán hàng / Kinh doanh, Thực phẩm &amp; Đồ uống</t>
        </is>
      </c>
      <c r="K1403" t="inlineStr">
        <is>
          <t>1 - 3 Năm</t>
        </is>
      </c>
      <c r="L1403" s="8">
        <f>HYPERLINK("https://careerviet.vn/vi/tim-viec-lam/hcm-giam-sat-ban-hang-kenh-gt-hcm.35C6A4A2.html","Xem chi tiết")</f>
        <v/>
      </c>
    </row>
    <row r="1404">
      <c r="B1404" s="9" t="n">
        <v>1402</v>
      </c>
      <c r="C1404" s="10" t="inlineStr">
        <is>
          <t>Sales Manager</t>
        </is>
      </c>
      <c r="D1404" s="10" t="inlineStr">
        <is>
          <t>CÔNG TY CỔ PHẦN ROYAL LINE</t>
        </is>
      </c>
      <c r="E1404" s="10" t="inlineStr">
        <is>
          <t>Lương:18 Tr - 20 Tr VND</t>
        </is>
      </c>
      <c r="F1404" s="10" t="inlineStr">
        <is>
          <t>Hồ Chí Minh</t>
        </is>
      </c>
      <c r="G1404" s="10" t="inlineStr">
        <is>
          <t>28-04-2026</t>
        </is>
      </c>
      <c r="H1404" s="10" t="inlineStr">
        <is>
          <t>28/04/2026</t>
        </is>
      </c>
      <c r="I1404" s="10" t="inlineStr">
        <is>
          <t>17/03/2026</t>
        </is>
      </c>
      <c r="J1404" s="10" t="inlineStr">
        <is>
          <t>Xuất nhập khẩu, Ngành khác, Bán hàng / Kinh doanh</t>
        </is>
      </c>
      <c r="K1404" s="10" t="inlineStr">
        <is>
          <t>2 - 3 Năm</t>
        </is>
      </c>
      <c r="L1404" s="11">
        <f>HYPERLINK("https://careerviet.vn/vi/tim-viec-lam/sales-manager.35C6A442.html","Xem chi tiết")</f>
        <v/>
      </c>
      <c r="M1404" s="10" t="n"/>
    </row>
    <row r="1405">
      <c r="B1405" s="7" t="n">
        <v>1403</v>
      </c>
      <c r="C1405" t="inlineStr">
        <is>
          <t>Công nhân Lao động phổ thông</t>
        </is>
      </c>
      <c r="D1405" t="inlineStr">
        <is>
          <t>Công Ty Cổ Phần GreenFeed Việt Nam</t>
        </is>
      </c>
      <c r="E1405" t="inlineStr">
        <is>
          <t>Lương:Cạnh tranh</t>
        </is>
      </c>
      <c r="F1405" t="inlineStr">
        <is>
          <t>Tây Ninh</t>
        </is>
      </c>
      <c r="G1405" t="inlineStr">
        <is>
          <t>01-04-2026</t>
        </is>
      </c>
      <c r="H1405" t="inlineStr">
        <is>
          <t>01/04/2026</t>
        </is>
      </c>
      <c r="I1405" t="inlineStr">
        <is>
          <t>17/03/2026</t>
        </is>
      </c>
      <c r="J1405" t="inlineStr">
        <is>
          <t>Lao động phổ thông</t>
        </is>
      </c>
      <c r="K1405" t="inlineStr">
        <is>
          <t>N/A</t>
        </is>
      </c>
      <c r="L1405" s="8">
        <f>HYPERLINK("https://careerviet.vn/vi/tim-viec-lam/cong-nhan-lao-dong-pho-thong.35C6A424.html","Xem chi tiết")</f>
        <v/>
      </c>
    </row>
    <row r="1406">
      <c r="B1406" s="9" t="n">
        <v>1404</v>
      </c>
      <c r="C1406" s="10" t="inlineStr">
        <is>
          <t>TRƯỞNG PHÒNG CƠ ĐIỆN NGHÀNH CN NẶNG  (Thỏa thuận từ 22Tr trở lên theo năng lực)</t>
        </is>
      </c>
      <c r="D1406" s="10" t="inlineStr">
        <is>
          <t>ADC PLASTIC,. JSC</t>
        </is>
      </c>
      <c r="E1406" s="10" t="inlineStr">
        <is>
          <t>Lương:22 Tr - 35 Tr VND</t>
        </is>
      </c>
      <c r="F1406" s="10" t="inlineStr">
        <is>
          <t>Hưng Yên</t>
        </is>
      </c>
      <c r="G1406" s="10" t="inlineStr">
        <is>
          <t>02-04-2026</t>
        </is>
      </c>
      <c r="H1406" s="10" t="inlineStr">
        <is>
          <t>02/04/2026</t>
        </is>
      </c>
      <c r="I1406" s="10" t="inlineStr">
        <is>
          <t>17/03/2026</t>
        </is>
      </c>
      <c r="J1406" s="10" t="inlineStr">
        <is>
          <t>Cơ khí / Ô tô / Tự động hóa, Điện / Điện tử / Điện lạnh / Điện công nghiệp, Bảo trì / Sửa chữa</t>
        </is>
      </c>
      <c r="K1406" s="10" t="inlineStr">
        <is>
          <t>5 - 10 Năm</t>
        </is>
      </c>
      <c r="L1406" s="11">
        <f>HYPERLINK("https://careerviet.vn/vi/tim-viec-lam/truong-phong-co-dien-nghanh-cn-nang-thoa-thuan-tu-22tr-tro-len-theo-nang-luc.35C6A50A.html","Xem chi tiết")</f>
        <v/>
      </c>
      <c r="M1406" s="10" t="n"/>
    </row>
    <row r="1407">
      <c r="B1407" s="7" t="n">
        <v>1405</v>
      </c>
      <c r="C1407" t="inlineStr">
        <is>
          <t>Thư ký dự án</t>
        </is>
      </c>
      <c r="D1407" t="inlineStr">
        <is>
          <t>BETRIMEX - Công Ty Cổ Phần Xuất Nhập Khẩu Bến Tre</t>
        </is>
      </c>
      <c r="E1407" t="inlineStr">
        <is>
          <t>Lương:Cạnh tranh</t>
        </is>
      </c>
      <c r="F1407" t="inlineStr">
        <is>
          <t>Tây Ninh</t>
        </is>
      </c>
      <c r="G1407" t="inlineStr">
        <is>
          <t>31-03-2026</t>
        </is>
      </c>
      <c r="H1407" t="inlineStr">
        <is>
          <t>31/03/2026</t>
        </is>
      </c>
      <c r="I1407" t="inlineStr">
        <is>
          <t>17/03/2026</t>
        </is>
      </c>
      <c r="J1407" t="inlineStr">
        <is>
          <t>Hành chính / Thư ký, Xây dựng</t>
        </is>
      </c>
      <c r="K1407" t="inlineStr">
        <is>
          <t>1 - 3 Năm</t>
        </is>
      </c>
      <c r="L1407" s="8">
        <f>HYPERLINK("https://careerviet.vn/vi/tim-viec-lam/thu-ky-du-an.35C6A149.html","Xem chi tiết")</f>
        <v/>
      </c>
    </row>
    <row r="1408">
      <c r="B1408" s="9" t="n">
        <v>1406</v>
      </c>
      <c r="C1408" s="10" t="inlineStr">
        <is>
          <t>Nhân Viên Kinh Doanh Dược</t>
        </is>
      </c>
      <c r="D1408" s="10" t="inlineStr">
        <is>
          <t>Hisamitsu VietNam Pharmaceutical Co., Ltd.</t>
        </is>
      </c>
      <c r="E1408" s="10" t="inlineStr">
        <is>
          <t>Lương:8 Tr - 25 Tr VND</t>
        </is>
      </c>
      <c r="F1408" s="10" t="inlineStr">
        <is>
          <t>Ninh BìnhBắc GiangThái Bình</t>
        </is>
      </c>
      <c r="G1408" s="10" t="inlineStr">
        <is>
          <t>02-04-2026</t>
        </is>
      </c>
      <c r="H1408" s="10" t="inlineStr">
        <is>
          <t>02/04/2026</t>
        </is>
      </c>
      <c r="I1408" s="10" t="inlineStr">
        <is>
          <t>17/03/2026</t>
        </is>
      </c>
      <c r="J1408" s="10" t="inlineStr">
        <is>
          <t>Bán lẻ / Bán sỉ, Bán hàng / Kinh doanh, Dược phẩm/ Hóa Mỹ Phẩm</t>
        </is>
      </c>
      <c r="K1408" s="10" t="inlineStr">
        <is>
          <t>Lên đến 1 Năm</t>
        </is>
      </c>
      <c r="L1408" s="11">
        <f>HYPERLINK("https://careerviet.vn/vi/tim-viec-lam/nhan-vien-kinh-doanh-duoc.35C6A34F.html","Xem chi tiết")</f>
        <v/>
      </c>
      <c r="M1408" s="10" t="n"/>
    </row>
    <row r="1409">
      <c r="B1409" s="7" t="n">
        <v>1407</v>
      </c>
      <c r="C1409" t="inlineStr">
        <is>
          <t>Manufacturing Operational Compliance Specialist</t>
        </is>
      </c>
      <c r="D1409" t="inlineStr">
        <is>
          <t>VINFAST TRADING AND PRODUCTION JSC</t>
        </is>
      </c>
      <c r="E1409" t="inlineStr">
        <is>
          <t>Lương:Cạnh tranh</t>
        </is>
      </c>
      <c r="F1409" t="inlineStr">
        <is>
          <t>Hà Tĩnh</t>
        </is>
      </c>
      <c r="G1409" t="inlineStr">
        <is>
          <t>10-04-2026</t>
        </is>
      </c>
      <c r="H1409" t="inlineStr">
        <is>
          <t>10/04/2026</t>
        </is>
      </c>
      <c r="I1409" t="inlineStr">
        <is>
          <t>17/03/2026</t>
        </is>
      </c>
      <c r="J1409" t="inlineStr">
        <is>
          <t>Sản xuất / Vận hành sản xuất</t>
        </is>
      </c>
      <c r="K1409" t="inlineStr">
        <is>
          <t>1 - 3 Năm</t>
        </is>
      </c>
      <c r="L1409" s="8">
        <f>HYPERLINK("https://careerviet.vn/vi/tim-viec-lam/manufacturing-operational-compliance-specialist.35C6A392.html","Xem chi tiết")</f>
        <v/>
      </c>
    </row>
    <row r="1410">
      <c r="B1410" s="9" t="n">
        <v>1408</v>
      </c>
      <c r="C1410" s="10" t="inlineStr">
        <is>
          <t>ECO Engineer (Engineering Change Order)</t>
        </is>
      </c>
      <c r="D1410" s="10" t="inlineStr">
        <is>
          <t>XP Power  Vietnam</t>
        </is>
      </c>
      <c r="E1410" s="10" t="inlineStr">
        <is>
          <t>Lương:Cạnh tranh</t>
        </is>
      </c>
      <c r="F1410" s="10" t="inlineStr">
        <is>
          <t>Bình Dương</t>
        </is>
      </c>
      <c r="G1410" s="10" t="inlineStr">
        <is>
          <t>03-04-2026</t>
        </is>
      </c>
      <c r="H1410" s="10" t="inlineStr">
        <is>
          <t>03/04/2026</t>
        </is>
      </c>
      <c r="I1410" s="10" t="inlineStr">
        <is>
          <t>17/03/2026</t>
        </is>
      </c>
      <c r="J1410" s="10" t="inlineStr">
        <is>
          <t>Điện / Điện tử / Điện lạnh / Điện công nghiệp</t>
        </is>
      </c>
      <c r="K1410" s="10" t="inlineStr">
        <is>
          <t>2 - 3 Năm</t>
        </is>
      </c>
      <c r="L1410" s="11">
        <f>HYPERLINK("https://careerviet.vn/vi/tim-viec-lam/eco-engineer-engineering-change-order.35C6A3FE.html","Xem chi tiết")</f>
        <v/>
      </c>
      <c r="M1410" s="10" t="n"/>
    </row>
    <row r="1411">
      <c r="B1411" s="7" t="n">
        <v>1409</v>
      </c>
      <c r="C1411" t="inlineStr">
        <is>
          <t>Phó Phòng Khai thác</t>
        </is>
      </c>
      <c r="D1411" t="inlineStr">
        <is>
          <t>Pacific Corporation</t>
        </is>
      </c>
      <c r="E1411" t="inlineStr">
        <is>
          <t>Lương:Cạnh tranh</t>
        </is>
      </c>
      <c r="F1411" t="inlineStr">
        <is>
          <t>Lâm Đồng</t>
        </is>
      </c>
      <c r="G1411" t="inlineStr">
        <is>
          <t>31-03-2026</t>
        </is>
      </c>
      <c r="H1411" t="inlineStr">
        <is>
          <t>31/03/2026</t>
        </is>
      </c>
      <c r="I1411" t="inlineStr">
        <is>
          <t>17/03/2026</t>
        </is>
      </c>
      <c r="J1411" t="inlineStr">
        <is>
          <t>Hàng hải, Vận chuyển / Giao nhận / Kho vận, Xuất nhập khẩu</t>
        </is>
      </c>
      <c r="K1411" t="inlineStr">
        <is>
          <t>3 - 5 Năm</t>
        </is>
      </c>
      <c r="L1411" s="8">
        <f>HYPERLINK("https://careerviet.vn/vi/tim-viec-lam/pho-phong-khai-thac.35C69F89.html","Xem chi tiết")</f>
        <v/>
      </c>
    </row>
    <row r="1412">
      <c r="B1412" s="9" t="n">
        <v>1410</v>
      </c>
      <c r="C1412" s="10" t="inlineStr">
        <is>
          <t>Giám sát giao nhận</t>
        </is>
      </c>
      <c r="D1412" s="10" t="inlineStr">
        <is>
          <t>CÔNG TY CỔ PHẦN THƯƠNG MẠI DỊCH VỤ SẢN XUẤT HƯƠNG THỦY</t>
        </is>
      </c>
      <c r="E1412" s="10" t="inlineStr">
        <is>
          <t>Lương:12 Tr - 14 Tr VND</t>
        </is>
      </c>
      <c r="F1412" s="10" t="inlineStr">
        <is>
          <t>Cần Thơ</t>
        </is>
      </c>
      <c r="G1412" s="10" t="inlineStr">
        <is>
          <t>02-04-2026</t>
        </is>
      </c>
      <c r="H1412" s="10" t="inlineStr">
        <is>
          <t>02/04/2026</t>
        </is>
      </c>
      <c r="I1412" s="10" t="inlineStr">
        <is>
          <t>17/03/2026</t>
        </is>
      </c>
      <c r="J1412" s="10" t="inlineStr">
        <is>
          <t>Vận chuyển / Giao nhận / Kho vận, Ngành khác, Bán hàng / Kinh doanh</t>
        </is>
      </c>
      <c r="K1412" s="10" t="inlineStr">
        <is>
          <t>2 - 3 Năm</t>
        </is>
      </c>
      <c r="L1412" s="11">
        <f>HYPERLINK("https://careerviet.vn/vi/tim-viec-lam/giam-sat-giao-nhan.35C6A2EF.html","Xem chi tiết")</f>
        <v/>
      </c>
      <c r="M1412" s="10" t="n"/>
    </row>
    <row r="1413">
      <c r="B1413" s="7" t="n">
        <v>1411</v>
      </c>
      <c r="C1413" t="inlineStr">
        <is>
          <t>Giáo Viên Năng Khiếu (Aerobic+Yoga)</t>
        </is>
      </c>
      <c r="D1413" t="inlineStr">
        <is>
          <t>Công Ty TNHH Kindy City</t>
        </is>
      </c>
      <c r="E1413" t="inlineStr">
        <is>
          <t>Lương:10 Tr - 12 Tr VND</t>
        </is>
      </c>
      <c r="F1413" t="inlineStr">
        <is>
          <t>Hồ Chí Minh</t>
        </is>
      </c>
      <c r="G1413" t="inlineStr">
        <is>
          <t>01-04-2026</t>
        </is>
      </c>
      <c r="H1413" t="inlineStr">
        <is>
          <t>01/04/2026</t>
        </is>
      </c>
      <c r="I1413" t="inlineStr">
        <is>
          <t>17/03/2026</t>
        </is>
      </c>
      <c r="J1413" t="inlineStr">
        <is>
          <t>Giáo dục / Đào tạo, Mỹ thuật / Nghệ thuật / Thiết kế, Giải trí</t>
        </is>
      </c>
      <c r="K1413" t="inlineStr">
        <is>
          <t>1 - 2 Năm</t>
        </is>
      </c>
      <c r="L1413" s="8">
        <f>HYPERLINK("https://careerviet.vn/vi/tim-viec-lam/giao-vien-nang-khieu-aerobic-yoga.35C6A45C.html","Xem chi tiết")</f>
        <v/>
      </c>
    </row>
    <row r="1414">
      <c r="B1414" s="9" t="n">
        <v>1412</v>
      </c>
      <c r="C1414" s="10" t="inlineStr">
        <is>
          <t>Nhân viên kế toán kho</t>
        </is>
      </c>
      <c r="D1414" s="10" t="inlineStr">
        <is>
          <t>CÔNG TY TNHH BAO BÌ KIM LOẠI KAIDA</t>
        </is>
      </c>
      <c r="E1414" s="10" t="inlineStr">
        <is>
          <t>Lương:10 Tr - 13 Tr VND</t>
        </is>
      </c>
      <c r="F1414" s="10" t="inlineStr">
        <is>
          <t>Long An</t>
        </is>
      </c>
      <c r="G1414" s="10" t="inlineStr">
        <is>
          <t>02-04-2026</t>
        </is>
      </c>
      <c r="H1414" s="10" t="inlineStr">
        <is>
          <t>02/04/2026</t>
        </is>
      </c>
      <c r="I1414" s="10" t="inlineStr">
        <is>
          <t>17/03/2026</t>
        </is>
      </c>
      <c r="J1414" s="10" t="inlineStr">
        <is>
          <t>Kế toán / Kiểm toán</t>
        </is>
      </c>
      <c r="K1414" s="10" t="inlineStr">
        <is>
          <t>1 Năm</t>
        </is>
      </c>
      <c r="L1414" s="11">
        <f>HYPERLINK("https://careerviet.vn/vi/tim-viec-lam/nhan-vien-ke-toan-kho.35C6A301.html","Xem chi tiết")</f>
        <v/>
      </c>
      <c r="M1414" s="10" t="n"/>
    </row>
    <row r="1415">
      <c r="B1415" s="7" t="n">
        <v>1413</v>
      </c>
      <c r="C1415" t="inlineStr">
        <is>
          <t>Kỹ sư công nghệ dệt</t>
        </is>
      </c>
      <c r="D1415" t="inlineStr">
        <is>
          <t>TỔNG CÔNG TY CP PHONG PHÚ</t>
        </is>
      </c>
      <c r="E1415" t="inlineStr">
        <is>
          <t>Lương:8 Tr - 12 Tr VND</t>
        </is>
      </c>
      <c r="F1415" t="inlineStr">
        <is>
          <t>Hồ Chí Minh</t>
        </is>
      </c>
      <c r="G1415" t="inlineStr">
        <is>
          <t>02-04-2026</t>
        </is>
      </c>
      <c r="H1415" t="inlineStr">
        <is>
          <t>02/04/2026</t>
        </is>
      </c>
      <c r="I1415" t="inlineStr">
        <is>
          <t>17/03/2026</t>
        </is>
      </c>
      <c r="J1415" t="inlineStr">
        <is>
          <t>Dệt may / Da giày / Thời trang</t>
        </is>
      </c>
      <c r="K1415" t="inlineStr">
        <is>
          <t>N/A</t>
        </is>
      </c>
      <c r="L1415" s="8">
        <f>HYPERLINK("https://careerviet.vn/vi/tim-viec-lam/ky-su-cong-nghe-det.35C6A4A4.html","Xem chi tiết")</f>
        <v/>
      </c>
    </row>
    <row r="1416">
      <c r="B1416" s="9" t="n">
        <v>1414</v>
      </c>
      <c r="C1416" s="10" t="inlineStr">
        <is>
          <t>Nhân viên QC</t>
        </is>
      </c>
      <c r="D1416" s="10" t="inlineStr">
        <is>
          <t>Công ty TNHH Apex Plastech Việt Nam</t>
        </is>
      </c>
      <c r="E1416" s="10" t="inlineStr">
        <is>
          <t>Lương:11 Tr - 13 Tr VND</t>
        </is>
      </c>
      <c r="F1416" s="10" t="inlineStr">
        <is>
          <t>Long An</t>
        </is>
      </c>
      <c r="G1416" s="10" t="inlineStr">
        <is>
          <t>30-04-2026</t>
        </is>
      </c>
      <c r="H1416" s="10" t="inlineStr">
        <is>
          <t>30/04/2026</t>
        </is>
      </c>
      <c r="I1416" s="10" t="inlineStr">
        <is>
          <t>17/03/2026</t>
        </is>
      </c>
      <c r="J1416" s="10" t="inlineStr">
        <is>
          <t>Sản xuất / Vận hành sản xuất</t>
        </is>
      </c>
      <c r="K1416" s="10" t="inlineStr">
        <is>
          <t>N/A</t>
        </is>
      </c>
      <c r="L1416" s="11">
        <f>HYPERLINK("https://careerviet.vn/vi/tim-viec-lam/nhan-vien-qc.35C6A380.html","Xem chi tiết")</f>
        <v/>
      </c>
      <c r="M1416" s="10" t="n"/>
    </row>
    <row r="1417">
      <c r="B1417" s="7" t="n">
        <v>1415</v>
      </c>
      <c r="C1417" t="inlineStr">
        <is>
          <t>Kế Toán Trưởng</t>
        </is>
      </c>
      <c r="D1417" t="inlineStr">
        <is>
          <t>CÔNG TY TNHH GIAO NHẬN THƯƠNG MẠI RỒNG Á CHÂU</t>
        </is>
      </c>
      <c r="E1417" t="inlineStr">
        <is>
          <t>Lương:Cạnh tranh</t>
        </is>
      </c>
      <c r="F1417" t="inlineStr">
        <is>
          <t>Hồ Chí Minh</t>
        </is>
      </c>
      <c r="G1417" t="inlineStr">
        <is>
          <t>15-04-2026</t>
        </is>
      </c>
      <c r="H1417" t="inlineStr">
        <is>
          <t>15/04/2026</t>
        </is>
      </c>
      <c r="I1417" t="inlineStr">
        <is>
          <t>17/03/2026</t>
        </is>
      </c>
      <c r="J1417" t="inlineStr">
        <is>
          <t>Kế toán / Kiểm toán, Vận chuyển / Giao nhận / Kho vận, Xuất nhập khẩu</t>
        </is>
      </c>
      <c r="K1417" t="inlineStr">
        <is>
          <t>5 - 10 Năm</t>
        </is>
      </c>
      <c r="L1417" s="8">
        <f>HYPERLINK("https://careerviet.vn/vi/tim-viec-lam/ke-toan-truong.35C6A2B7.html","Xem chi tiết")</f>
        <v/>
      </c>
    </row>
    <row r="1418">
      <c r="B1418" s="9" t="n">
        <v>1416</v>
      </c>
      <c r="C1418" s="10" t="inlineStr">
        <is>
          <t>Kỹ thuật viên bảo dưỡng khuôn (dập)</t>
        </is>
      </c>
      <c r="D1418" s="10" t="inlineStr">
        <is>
          <t>VINFAST TRADING AND PRODUCTION JSC</t>
        </is>
      </c>
      <c r="E1418" s="10" t="inlineStr">
        <is>
          <t>Lương:Cạnh tranh</t>
        </is>
      </c>
      <c r="F1418" s="10" t="inlineStr">
        <is>
          <t>Hà Tĩnh</t>
        </is>
      </c>
      <c r="G1418" s="10" t="inlineStr">
        <is>
          <t>01-04-2026</t>
        </is>
      </c>
      <c r="H1418" s="10" t="inlineStr">
        <is>
          <t>01/04/2026</t>
        </is>
      </c>
      <c r="I1418" s="10" t="inlineStr">
        <is>
          <t>17/03/2026</t>
        </is>
      </c>
      <c r="J1418" s="10" t="inlineStr">
        <is>
          <t>Cơ khí / Ô tô / Tự động hóa</t>
        </is>
      </c>
      <c r="K1418" s="10" t="inlineStr">
        <is>
          <t>2 - 3 Năm</t>
        </is>
      </c>
      <c r="L1418" s="11">
        <f>HYPERLINK("https://careerviet.vn/vi/tim-viec-lam/ky-thuat-vien-bao-duong-khuon-dap.35C6A316.html","Xem chi tiết")</f>
        <v/>
      </c>
      <c r="M1418" s="10" t="n"/>
    </row>
    <row r="1419">
      <c r="B1419" s="7" t="n">
        <v>1417</v>
      </c>
      <c r="C1419" t="inlineStr">
        <is>
          <t>Chuyên viên bán hàng</t>
        </is>
      </c>
      <c r="D1419" t="inlineStr">
        <is>
          <t>Công Ty TNHH Smartlog Long Phú</t>
        </is>
      </c>
      <c r="E1419" t="inlineStr">
        <is>
          <t>Lương:10 Tr - 13 Tr VND</t>
        </is>
      </c>
      <c r="F1419" t="inlineStr">
        <is>
          <t>Bà Rịa - Vũng Tàu</t>
        </is>
      </c>
      <c r="G1419" t="inlineStr">
        <is>
          <t>02-04-2026</t>
        </is>
      </c>
      <c r="H1419" t="inlineStr">
        <is>
          <t>02/04/2026</t>
        </is>
      </c>
      <c r="I1419" t="inlineStr">
        <is>
          <t>17/03/2026</t>
        </is>
      </c>
      <c r="J1419" t="inlineStr">
        <is>
          <t>Vận chuyển / Giao nhận / Kho vận, Bán hàng / Kinh doanh</t>
        </is>
      </c>
      <c r="K1419" t="inlineStr">
        <is>
          <t>1 - 5 Năm</t>
        </is>
      </c>
      <c r="L1419" s="8">
        <f>HYPERLINK("https://careerviet.vn/vi/tim-viec-lam/chuyen-vien-ban-hang.35C6A2E3.html","Xem chi tiết")</f>
        <v/>
      </c>
    </row>
    <row r="1420">
      <c r="B1420" s="9" t="n">
        <v>1418</v>
      </c>
      <c r="C1420" s="10" t="inlineStr">
        <is>
          <t>Nhân viên tuyển dụng Mass</t>
        </is>
      </c>
      <c r="D1420" s="10" t="inlineStr">
        <is>
          <t>Công Ty Cổ Phần Le &amp; Associates</t>
        </is>
      </c>
      <c r="E1420" s="10" t="inlineStr">
        <is>
          <t>Lương:Cạnh tranh</t>
        </is>
      </c>
      <c r="F1420" s="10" t="inlineStr">
        <is>
          <t>Hải Phòng</t>
        </is>
      </c>
      <c r="G1420" s="10" t="inlineStr">
        <is>
          <t>05-04-2026</t>
        </is>
      </c>
      <c r="H1420" s="10" t="inlineStr">
        <is>
          <t>05/04/2026</t>
        </is>
      </c>
      <c r="I1420" s="10" t="inlineStr">
        <is>
          <t>17/03/2026</t>
        </is>
      </c>
      <c r="J1420" s="10" t="inlineStr">
        <is>
          <t>Nhân sự</t>
        </is>
      </c>
      <c r="K1420" s="10" t="inlineStr">
        <is>
          <t>2 - 3 Năm</t>
        </is>
      </c>
      <c r="L1420" s="11">
        <f>HYPERLINK("https://careerviet.vn/vi/tim-viec-lam/nhan-vien-tuyen-dung-mass.35C6A36C.html","Xem chi tiết")</f>
        <v/>
      </c>
      <c r="M1420" s="10" t="n"/>
    </row>
    <row r="1421">
      <c r="B1421" s="7" t="n">
        <v>1419</v>
      </c>
      <c r="C1421" t="inlineStr">
        <is>
          <t>Quản Lý Thực Thi Và Duy Trì Hệ Thống Bán Hàng (Sales Cap+ RTM + DMP)</t>
        </is>
      </c>
      <c r="D1421" t="inlineStr">
        <is>
          <t>Công Ty Cổ Phần Tập Đoàn TH</t>
        </is>
      </c>
      <c r="E1421" t="inlineStr">
        <is>
          <t>Lương:Cạnh tranh</t>
        </is>
      </c>
      <c r="F1421" t="inlineStr">
        <is>
          <t>Hồ Chí Minh</t>
        </is>
      </c>
      <c r="G1421" t="inlineStr">
        <is>
          <t>31-03-2026</t>
        </is>
      </c>
      <c r="H1421" t="inlineStr">
        <is>
          <t>31/03/2026</t>
        </is>
      </c>
      <c r="I1421" t="inlineStr">
        <is>
          <t>17/03/2026</t>
        </is>
      </c>
      <c r="J1421" t="inlineStr">
        <is>
          <t>Bán lẻ / Bán sỉ, Bán hàng / Kinh doanh, Thực phẩm &amp; Đồ uống</t>
        </is>
      </c>
      <c r="K1421" t="inlineStr">
        <is>
          <t>3 - 5 Năm</t>
        </is>
      </c>
      <c r="L1421" s="8">
        <f>HYPERLINK("https://careerviet.vn/vi/tim-viec-lam/quan-ly-thuc-thi-va-duy-tri-he-thong-ban-hang-sales-cap-rtm-dmp.35C6A610.html","Xem chi tiết")</f>
        <v/>
      </c>
    </row>
    <row r="1422">
      <c r="B1422" s="9" t="n">
        <v>1420</v>
      </c>
      <c r="C1422" s="10" t="inlineStr">
        <is>
          <t>Admin kiêm Kế toán viên 27699 - KCN Tam Phuoc, Đồng Nai</t>
        </is>
      </c>
      <c r="D1422" s="10" t="inlineStr">
        <is>
          <t>Công Ty TNHH Reeracoen Việt Nam</t>
        </is>
      </c>
      <c r="E1422" s="10" t="inlineStr">
        <is>
          <t>Lương:20 Tr - 30 Tr VND</t>
        </is>
      </c>
      <c r="F1422" s="10" t="inlineStr">
        <is>
          <t>Đồng Nai</t>
        </is>
      </c>
      <c r="G1422" s="10" t="inlineStr">
        <is>
          <t>02-04-2026</t>
        </is>
      </c>
      <c r="H1422" s="10" t="inlineStr">
        <is>
          <t>02/04/2026</t>
        </is>
      </c>
      <c r="I1422" s="10" t="inlineStr">
        <is>
          <t>17/03/2026</t>
        </is>
      </c>
      <c r="J1422" s="10" t="inlineStr">
        <is>
          <t>Kế toán / Kiểm toán, Hành chính / Thư ký, Nhân sự</t>
        </is>
      </c>
      <c r="K1422" s="10" t="inlineStr">
        <is>
          <t>Trên 5 Năm</t>
        </is>
      </c>
      <c r="L1422" s="11">
        <f>HYPERLINK("https://careerviet.vn/vi/tim-viec-lam/admin-kiem-ke-toan-vien-27699-kcn-tam-phuoc-dong-nai.35C6A6CA.html","Xem chi tiết")</f>
        <v/>
      </c>
      <c r="M1422" s="10" t="n"/>
    </row>
    <row r="1423">
      <c r="B1423" s="7" t="n">
        <v>1421</v>
      </c>
      <c r="C1423" t="inlineStr">
        <is>
          <t>Phó Phòng Kế Hoạch Đầu Tư</t>
        </is>
      </c>
      <c r="D1423" t="inlineStr">
        <is>
          <t>Công Ty Cổ Phần Địa Ốc 7</t>
        </is>
      </c>
      <c r="E1423" t="inlineStr">
        <is>
          <t>Lương:Trên 15 Tr VND</t>
        </is>
      </c>
      <c r="F1423" t="inlineStr">
        <is>
          <t>Hồ Chí Minh</t>
        </is>
      </c>
      <c r="G1423" t="inlineStr">
        <is>
          <t>31-03-2026</t>
        </is>
      </c>
      <c r="H1423" t="inlineStr">
        <is>
          <t>31/03/2026</t>
        </is>
      </c>
      <c r="I1423" t="inlineStr">
        <is>
          <t>17/03/2026</t>
        </is>
      </c>
      <c r="J1423" t="inlineStr">
        <is>
          <t>Bất động sản, Quản lý điều hành, Xây dựng</t>
        </is>
      </c>
      <c r="K1423" t="inlineStr">
        <is>
          <t>3 Năm</t>
        </is>
      </c>
      <c r="L1423" s="8">
        <f>HYPERLINK("https://careerviet.vn/vi/tim-viec-lam/pho-phong-ke-hoach-dau-tu.35C6A37E.html","Xem chi tiết")</f>
        <v/>
      </c>
    </row>
    <row r="1424">
      <c r="B1424" s="9" t="n">
        <v>1422</v>
      </c>
      <c r="C1424" s="10" t="inlineStr">
        <is>
          <t>Trưởng Ban Quản Lý Dự Án</t>
        </is>
      </c>
      <c r="D1424" s="10" t="inlineStr">
        <is>
          <t>CÔNG TY CỔ PHẦN ĐẦU TƯ DANCO</t>
        </is>
      </c>
      <c r="E1424" s="10" t="inlineStr">
        <is>
          <t>Lương:40 Tr - 50 Tr VND</t>
        </is>
      </c>
      <c r="F1424" s="10" t="inlineStr">
        <is>
          <t>Hà Nội</t>
        </is>
      </c>
      <c r="G1424" s="10" t="inlineStr">
        <is>
          <t>29-04-2026</t>
        </is>
      </c>
      <c r="H1424" s="10" t="inlineStr">
        <is>
          <t>29/04/2026</t>
        </is>
      </c>
      <c r="I1424" s="10" t="inlineStr">
        <is>
          <t>17/03/2026</t>
        </is>
      </c>
      <c r="J1424" s="10" t="inlineStr">
        <is>
          <t>Xây dựng, Kiến trúc, Bất động sản</t>
        </is>
      </c>
      <c r="K1424" s="10" t="inlineStr">
        <is>
          <t>3 - 5 Năm</t>
        </is>
      </c>
      <c r="L1424" s="11">
        <f>HYPERLINK("https://careerviet.vn/vi/tim-viec-lam/truong-ban-quan-ly-du-an.35C6A2B4.html","Xem chi tiết")</f>
        <v/>
      </c>
      <c r="M1424" s="10" t="n"/>
    </row>
    <row r="1425">
      <c r="B1425" s="7" t="n">
        <v>1423</v>
      </c>
      <c r="C1425" t="inlineStr">
        <is>
          <t>Trình dược viên ETC Hồ Chí Minh (Phòng mạch, phòng khám, BV tư nhân)</t>
        </is>
      </c>
      <c r="D1425" t="inlineStr">
        <is>
          <t>CÔNG TY TNHH DƯỢC PHẨM ĐÔ THÀNH</t>
        </is>
      </c>
      <c r="E1425" t="inlineStr">
        <is>
          <t>Lương:Cạnh tranh</t>
        </is>
      </c>
      <c r="F1425" t="inlineStr">
        <is>
          <t>Hồ Chí Minh</t>
        </is>
      </c>
      <c r="G1425" t="inlineStr">
        <is>
          <t>01-04-2026</t>
        </is>
      </c>
      <c r="H1425" t="inlineStr">
        <is>
          <t>01/04/2026</t>
        </is>
      </c>
      <c r="I1425" t="inlineStr">
        <is>
          <t>17/03/2026</t>
        </is>
      </c>
      <c r="J1425" t="inlineStr">
        <is>
          <t>Bán lẻ / Bán sỉ, Bán hàng / Kinh doanh, Dược phẩm/ Hóa Mỹ Phẩm</t>
        </is>
      </c>
      <c r="K1425" t="inlineStr">
        <is>
          <t>N/A</t>
        </is>
      </c>
      <c r="L1425" s="8">
        <f>HYPERLINK("https://careerviet.vn/vi/tim-viec-lam/trinh-duoc-vien-etc-ho-chi-minh-phong-mach-phong-kham-bv-tu-nhan.35C4CDA5.html","Xem chi tiết")</f>
        <v/>
      </c>
    </row>
    <row r="1426">
      <c r="B1426" s="9" t="n">
        <v>1424</v>
      </c>
      <c r="C1426" s="10" t="inlineStr">
        <is>
          <t>KẾ TOÁN TỔNG HỢP NỮ</t>
        </is>
      </c>
      <c r="D1426" s="10" t="inlineStr">
        <is>
          <t>Hỷ Lâm Môn &amp; L'amour Bakery</t>
        </is>
      </c>
      <c r="E1426" s="10" t="inlineStr">
        <is>
          <t>Lương:16 Tr - 21 Tr VND</t>
        </is>
      </c>
      <c r="F1426" s="10" t="inlineStr">
        <is>
          <t>Hồ Chí Minh</t>
        </is>
      </c>
      <c r="G1426" s="10" t="inlineStr">
        <is>
          <t>30-04-2026</t>
        </is>
      </c>
      <c r="H1426" s="10" t="inlineStr">
        <is>
          <t>30/04/2026</t>
        </is>
      </c>
      <c r="I1426" s="10" t="inlineStr">
        <is>
          <t>17/03/2026</t>
        </is>
      </c>
      <c r="J1426" s="10" t="inlineStr">
        <is>
          <t>Kế toán / Kiểm toán</t>
        </is>
      </c>
      <c r="K1426" s="10" t="inlineStr">
        <is>
          <t>3 - 5 Năm</t>
        </is>
      </c>
      <c r="L1426" s="11">
        <f>HYPERLINK("https://careerviet.vn/vi/tim-viec-lam/ke-toan-tong-hop-nu.35C6A332.html","Xem chi tiết")</f>
        <v/>
      </c>
      <c r="M1426" s="10" t="n"/>
    </row>
    <row r="1427">
      <c r="B1427" s="7" t="n">
        <v>1425</v>
      </c>
      <c r="C1427" t="inlineStr">
        <is>
          <t>Chuyên viên nhân sự tổng hợp</t>
        </is>
      </c>
      <c r="D1427" t="inlineStr">
        <is>
          <t>Công Ty TNHH PEROMA Việt Nam</t>
        </is>
      </c>
      <c r="E1427" t="inlineStr">
        <is>
          <t>Lương:10 Tr - 12 Tr VND</t>
        </is>
      </c>
      <c r="F1427" t="inlineStr">
        <is>
          <t>Long An</t>
        </is>
      </c>
      <c r="G1427" t="inlineStr">
        <is>
          <t>28-03-2026</t>
        </is>
      </c>
      <c r="H1427" t="inlineStr">
        <is>
          <t>28/03/2026</t>
        </is>
      </c>
      <c r="I1427" t="inlineStr">
        <is>
          <t>17/03/2026</t>
        </is>
      </c>
      <c r="J1427" t="inlineStr">
        <is>
          <t>Nhân sự</t>
        </is>
      </c>
      <c r="K1427" t="inlineStr">
        <is>
          <t>2 - 3 Năm</t>
        </is>
      </c>
      <c r="L1427" s="8">
        <f>HYPERLINK("https://careerviet.vn/vi/tim-viec-lam/chuyen-vien-nhan-su-tong-hop.35C6A52F.html","Xem chi tiết")</f>
        <v/>
      </c>
    </row>
    <row r="1428">
      <c r="B1428" s="9" t="n">
        <v>1426</v>
      </c>
      <c r="C1428" s="10" t="inlineStr">
        <is>
          <t>Chuyên viên Kế toán công nợ</t>
        </is>
      </c>
      <c r="D1428" s="10" t="inlineStr">
        <is>
          <t>Công ty Cổ phần Casla</t>
        </is>
      </c>
      <c r="E1428" s="10" t="inlineStr">
        <is>
          <t>Lương:15 Tr - 23 Tr VND</t>
        </is>
      </c>
      <c r="F1428" s="10" t="inlineStr">
        <is>
          <t>Hà Nội</t>
        </is>
      </c>
      <c r="G1428" s="10" t="inlineStr">
        <is>
          <t>31-03-2026</t>
        </is>
      </c>
      <c r="H1428" s="10" t="inlineStr">
        <is>
          <t>31/03/2026</t>
        </is>
      </c>
      <c r="I1428" s="10" t="inlineStr">
        <is>
          <t>17/03/2026</t>
        </is>
      </c>
      <c r="J1428" s="10" t="inlineStr">
        <is>
          <t>Kế toán / Kiểm toán, Tài chính / Đầu tư</t>
        </is>
      </c>
      <c r="K1428" s="10" t="inlineStr">
        <is>
          <t>4 - 15 Năm</t>
        </is>
      </c>
      <c r="L1428" s="11">
        <f>HYPERLINK("https://careerviet.vn/vi/tim-viec-lam/chuyen-vien-ke-toan-cong-no.35C6A419.html","Xem chi tiết")</f>
        <v/>
      </c>
      <c r="M1428" s="10" t="n"/>
    </row>
    <row r="1429">
      <c r="B1429" s="7" t="n">
        <v>1427</v>
      </c>
      <c r="C1429" t="inlineStr">
        <is>
          <t>[Bến Cát, Tân Đông Hiệp, Tân Uyên] Admin kiêm CSKH</t>
        </is>
      </c>
      <c r="D1429" t="inlineStr">
        <is>
          <t>Công Ty Cổ Phần Vacxin Việt Nam</t>
        </is>
      </c>
      <c r="E1429" t="inlineStr">
        <is>
          <t>Lương:Cạnh tranh</t>
        </is>
      </c>
      <c r="F1429" t="inlineStr">
        <is>
          <t>Bình Dương</t>
        </is>
      </c>
      <c r="G1429" t="inlineStr">
        <is>
          <t>15-03-2026</t>
        </is>
      </c>
      <c r="H1429" t="inlineStr">
        <is>
          <t>15/03/2026</t>
        </is>
      </c>
      <c r="I1429" t="inlineStr">
        <is>
          <t>17/03/2026</t>
        </is>
      </c>
      <c r="J1429" t="inlineStr">
        <is>
          <t>Dịch vụ khách hàng, Hành chính / Thư ký, Kế toán / Kiểm toán</t>
        </is>
      </c>
      <c r="K1429" t="inlineStr">
        <is>
          <t>1 - 2 Năm</t>
        </is>
      </c>
      <c r="L1429" s="8">
        <f>HYPERLINK("https://careerviet.vn/vi/tim-viec-lam/ben-cat-tan-dong-hiep-tan-uyen-admin-kiem-cskh.35C6A327.html","Xem chi tiết")</f>
        <v/>
      </c>
    </row>
    <row r="1430">
      <c r="B1430" s="9" t="n">
        <v>1428</v>
      </c>
      <c r="C1430" s="10" t="inlineStr">
        <is>
          <t>Chuyên viên Thiết kế đồ họa</t>
        </is>
      </c>
      <c r="D1430" s="10" t="inlineStr">
        <is>
          <t>Công ty Cổ phần Casla</t>
        </is>
      </c>
      <c r="E1430" s="10" t="inlineStr">
        <is>
          <t>Lương:18 Tr - 25 Tr VND</t>
        </is>
      </c>
      <c r="F1430" s="10" t="inlineStr">
        <is>
          <t>Hà Nội</t>
        </is>
      </c>
      <c r="G1430" s="10" t="inlineStr">
        <is>
          <t>31-03-2026</t>
        </is>
      </c>
      <c r="H1430" s="10" t="inlineStr">
        <is>
          <t>31/03/2026</t>
        </is>
      </c>
      <c r="I1430" s="10" t="inlineStr">
        <is>
          <t>17/03/2026</t>
        </is>
      </c>
      <c r="J1430" s="10" t="inlineStr">
        <is>
          <t>Mỹ thuật / Nghệ thuật / Thiết kế</t>
        </is>
      </c>
      <c r="K1430" s="10" t="inlineStr">
        <is>
          <t>3 - 10 Năm</t>
        </is>
      </c>
      <c r="L1430" s="11">
        <f>HYPERLINK("https://careerviet.vn/vi/tim-viec-lam/chuyen-vien-thiet-ke-do-hoa.35C6A4B8.html","Xem chi tiết")</f>
        <v/>
      </c>
      <c r="M1430" s="10" t="n"/>
    </row>
    <row r="1431">
      <c r="B1431" s="7" t="n">
        <v>1429</v>
      </c>
      <c r="C1431" t="inlineStr">
        <is>
          <t>Chuyên viên dịch vụ khách hàng (Chủ đầu tư BĐS)</t>
        </is>
      </c>
      <c r="D1431" t="inlineStr">
        <is>
          <t>CÔNG TY TNHH ĐẦU TƯ VÀ PHÁT TRIỂN LÊ PHONG</t>
        </is>
      </c>
      <c r="E1431" t="inlineStr">
        <is>
          <t>Lương:Cạnh tranh</t>
        </is>
      </c>
      <c r="F1431" t="inlineStr">
        <is>
          <t>Bình DươngHồ Chí Minh</t>
        </is>
      </c>
      <c r="G1431" t="inlineStr">
        <is>
          <t>31-03-2026</t>
        </is>
      </c>
      <c r="H1431" t="inlineStr">
        <is>
          <t>31/03/2026</t>
        </is>
      </c>
      <c r="I1431" t="inlineStr">
        <is>
          <t>17/03/2026</t>
        </is>
      </c>
      <c r="J1431" t="inlineStr">
        <is>
          <t>Bất động sản</t>
        </is>
      </c>
      <c r="K1431" t="inlineStr">
        <is>
          <t>2 - 5 Năm</t>
        </is>
      </c>
      <c r="L1431" s="8">
        <f>HYPERLINK("https://careerviet.vn/vi/tim-viec-lam/chuyen-vien-dich-vu-khach-hang-chu-dau-tu-bds.35C683CF.html","Xem chi tiết")</f>
        <v/>
      </c>
    </row>
    <row r="1432">
      <c r="B1432" s="9" t="n">
        <v>1430</v>
      </c>
      <c r="C1432" s="10" t="inlineStr">
        <is>
          <t>Nhân Viên Kế Hoạch Sản Xuất - Phú Quốc</t>
        </is>
      </c>
      <c r="D1432" s="10" t="inlineStr">
        <is>
          <t>ATAD Steel Structure Corporation</t>
        </is>
      </c>
      <c r="E1432" s="10" t="inlineStr">
        <is>
          <t>Lương:Cạnh tranh</t>
        </is>
      </c>
      <c r="F1432" s="10" t="inlineStr">
        <is>
          <t>Kiên Giang</t>
        </is>
      </c>
      <c r="G1432" s="10" t="inlineStr">
        <is>
          <t>31-03-2026</t>
        </is>
      </c>
      <c r="H1432" s="10" t="inlineStr">
        <is>
          <t>31/03/2026</t>
        </is>
      </c>
      <c r="I1432" s="10" t="inlineStr">
        <is>
          <t>17/03/2026</t>
        </is>
      </c>
      <c r="J1432" s="10" t="inlineStr">
        <is>
          <t>Cơ khí / Ô tô / Tự động hóa</t>
        </is>
      </c>
      <c r="K1432" s="10" t="inlineStr">
        <is>
          <t>1 - 2 Năm</t>
        </is>
      </c>
      <c r="L1432" s="11">
        <f>HYPERLINK("https://careerviet.vn/vi/tim-viec-lam/nhan-vien-ke-hoach-san-xuat-phu-quoc.35C6A406.html","Xem chi tiết")</f>
        <v/>
      </c>
      <c r="M1432" s="10" t="n"/>
    </row>
    <row r="1433">
      <c r="B1433" s="7" t="n">
        <v>1431</v>
      </c>
      <c r="C1433" t="inlineStr">
        <is>
          <t>Nhân Viên Kế Toán</t>
        </is>
      </c>
      <c r="D1433" t="inlineStr">
        <is>
          <t>Công ty CP TCE VINA DENIM</t>
        </is>
      </c>
      <c r="E1433" t="inlineStr">
        <is>
          <t>Lương:15 Tr - 20 Tr VND</t>
        </is>
      </c>
      <c r="F1433" t="inlineStr">
        <is>
          <t>Nam ĐịnhHà NamNinh Bình</t>
        </is>
      </c>
      <c r="G1433" t="inlineStr">
        <is>
          <t>01-04-2026</t>
        </is>
      </c>
      <c r="H1433" t="inlineStr">
        <is>
          <t>01/04/2026</t>
        </is>
      </c>
      <c r="I1433" t="inlineStr">
        <is>
          <t>17/03/2026</t>
        </is>
      </c>
      <c r="J1433" t="inlineStr">
        <is>
          <t>Kế toán / Kiểm toán</t>
        </is>
      </c>
      <c r="K1433" t="inlineStr">
        <is>
          <t>Trên 2 Năm</t>
        </is>
      </c>
      <c r="L1433" s="8">
        <f>HYPERLINK("https://careerviet.vn/vi/tim-viec-lam/nhan-vien-ke-toan.35C6A4D3.html","Xem chi tiết")</f>
        <v/>
      </c>
    </row>
    <row r="1434">
      <c r="B1434" s="9" t="n">
        <v>1432</v>
      </c>
      <c r="C1434" s="10" t="inlineStr">
        <is>
          <t>Senior Business Development – Contract Logistics (Chinese Speaking)</t>
        </is>
      </c>
      <c r="D1434" s="10" t="inlineStr">
        <is>
          <t>Công Ty TNHH LF Logistics (Việt Nam)</t>
        </is>
      </c>
      <c r="E1434" s="10" t="inlineStr">
        <is>
          <t>Lương:Cạnh tranh</t>
        </is>
      </c>
      <c r="F1434" s="10" t="inlineStr">
        <is>
          <t>Hà Nội</t>
        </is>
      </c>
      <c r="G1434" s="10" t="inlineStr">
        <is>
          <t>30-04-2026</t>
        </is>
      </c>
      <c r="H1434" s="10" t="inlineStr">
        <is>
          <t>30/04/2026</t>
        </is>
      </c>
      <c r="I1434" s="10" t="inlineStr">
        <is>
          <t>17/03/2026</t>
        </is>
      </c>
      <c r="J1434" s="10" t="inlineStr">
        <is>
          <t>Tiếp thị / Marketing, Vận chuyển / Giao nhận / Kho vận, Bán hàng / Kinh doanh</t>
        </is>
      </c>
      <c r="K1434" s="10" t="inlineStr">
        <is>
          <t>2 - 5 Năm</t>
        </is>
      </c>
      <c r="L1434" s="11">
        <f>HYPERLINK("https://careerviet.vn/vi/tim-viec-lam/senior-business-development-contract-logistics-chinese-speaking.35C6A710.html","Xem chi tiết")</f>
        <v/>
      </c>
      <c r="M1434" s="10" t="n"/>
    </row>
    <row r="1435">
      <c r="B1435" s="7" t="n">
        <v>1433</v>
      </c>
      <c r="C1435" t="inlineStr">
        <is>
          <t>Kỹ Sư Điện, Tự Động Hóa, Cơ Điện Tử</t>
        </is>
      </c>
      <c r="D1435" t="inlineStr">
        <is>
          <t>Masan Consumer</t>
        </is>
      </c>
      <c r="E1435" t="inlineStr">
        <is>
          <t>Lương:Cạnh tranh</t>
        </is>
      </c>
      <c r="F1435" t="inlineStr">
        <is>
          <t>Hải Dương</t>
        </is>
      </c>
      <c r="G1435" t="inlineStr">
        <is>
          <t>30-04-2026</t>
        </is>
      </c>
      <c r="H1435" t="inlineStr">
        <is>
          <t>30/04/2026</t>
        </is>
      </c>
      <c r="I1435" t="inlineStr">
        <is>
          <t>17/03/2026</t>
        </is>
      </c>
      <c r="J1435" t="inlineStr">
        <is>
          <t>Cơ khí / Ô tô / Tự động hóa, Điện / Điện tử / Điện lạnh / Điện công nghiệp</t>
        </is>
      </c>
      <c r="K1435" t="inlineStr">
        <is>
          <t>1 - 2 Năm</t>
        </is>
      </c>
      <c r="L1435" s="8">
        <f>HYPERLINK("https://careerviet.vn/vi/tim-viec-lam/ky-su-dien-tu-dong-hoa-co-dien-tu.35C6A527.html","Xem chi tiết")</f>
        <v/>
      </c>
    </row>
    <row r="1436">
      <c r="B1436" s="9" t="n">
        <v>1434</v>
      </c>
      <c r="C1436" s="10" t="inlineStr">
        <is>
          <t>Nhân viên lễ tân</t>
        </is>
      </c>
      <c r="D1436" s="10" t="inlineStr">
        <is>
          <t>BỆNH VIỆN ĐA KHOA PHƯƠNG ĐÔNG</t>
        </is>
      </c>
      <c r="E1436" s="10" t="inlineStr">
        <is>
          <t>Lương:7 Tr - 10 Tr VND</t>
        </is>
      </c>
      <c r="F1436" s="10" t="inlineStr">
        <is>
          <t>Hà Nội</t>
        </is>
      </c>
      <c r="G1436" s="10" t="inlineStr">
        <is>
          <t>01-04-2026</t>
        </is>
      </c>
      <c r="H1436" s="10" t="inlineStr">
        <is>
          <t>01/04/2026</t>
        </is>
      </c>
      <c r="I1436" s="10" t="inlineStr">
        <is>
          <t>17/03/2026</t>
        </is>
      </c>
      <c r="J1436" s="10" t="inlineStr">
        <is>
          <t>Dịch vụ khách hàng, Y tế / Chăm sóc sức khỏe / Thẩm mỹ / Làm đẹp</t>
        </is>
      </c>
      <c r="K1436" s="10" t="inlineStr">
        <is>
          <t>N/A</t>
        </is>
      </c>
      <c r="L1436" s="11">
        <f>HYPERLINK("https://careerviet.vn/vi/tim-viec-lam/nhan-vien-le-tan.35C6A3C5.html","Xem chi tiết")</f>
        <v/>
      </c>
      <c r="M1436" s="10" t="n"/>
    </row>
    <row r="1437">
      <c r="B1437" s="7" t="n">
        <v>1435</v>
      </c>
      <c r="C1437" t="inlineStr">
        <is>
          <t>Trưởng phòng QA/QC</t>
        </is>
      </c>
      <c r="D1437" t="inlineStr">
        <is>
          <t>CÔNG TY TNHH SẢN XUẤT THIẾT BỊ CÔNG NGHIỆP THIÊN NAM</t>
        </is>
      </c>
      <c r="E1437" t="inlineStr">
        <is>
          <t>Lương:18 Tr - 20 Tr VND</t>
        </is>
      </c>
      <c r="F1437" t="inlineStr">
        <is>
          <t>Hồ Chí Minh</t>
        </is>
      </c>
      <c r="G1437" t="inlineStr">
        <is>
          <t>04-04-2026</t>
        </is>
      </c>
      <c r="H1437" t="inlineStr">
        <is>
          <t>04/04/2026</t>
        </is>
      </c>
      <c r="I1437" t="inlineStr">
        <is>
          <t>17/03/2026</t>
        </is>
      </c>
      <c r="J1437" t="inlineStr">
        <is>
          <t>Cơ khí / Ô tô / Tự động hóa, Quản lý chất lượng (QA/QC), Quản lý điều hành</t>
        </is>
      </c>
      <c r="K1437" t="inlineStr">
        <is>
          <t>N/A</t>
        </is>
      </c>
      <c r="L1437" s="8">
        <f>HYPERLINK("https://careerviet.vn/vi/tim-viec-lam/truong-phong-qa-qc.35C6A382.html","Xem chi tiết")</f>
        <v/>
      </c>
    </row>
    <row r="1438">
      <c r="B1438" s="9" t="n">
        <v>1436</v>
      </c>
      <c r="C1438" s="10" t="inlineStr">
        <is>
          <t>Chuyên viên/ Nhân viên HSE (An toàn - Môi trường - An ninh - PCCC) [Dalatmilk - Lâm Đồng]</t>
        </is>
      </c>
      <c r="D1438" s="10" t="inlineStr">
        <is>
          <t>Công Ty Cổ Phần Tập Đoàn TH</t>
        </is>
      </c>
      <c r="E1438" s="10" t="inlineStr">
        <is>
          <t>Lương:10 Tr - 15 Tr VND</t>
        </is>
      </c>
      <c r="F1438" s="10" t="inlineStr">
        <is>
          <t>Lâm Đồng</t>
        </is>
      </c>
      <c r="G1438" s="10" t="inlineStr">
        <is>
          <t>31-03-2026</t>
        </is>
      </c>
      <c r="H1438" s="10" t="inlineStr">
        <is>
          <t>31/03/2026</t>
        </is>
      </c>
      <c r="I1438" s="10" t="inlineStr">
        <is>
          <t>17/03/2026</t>
        </is>
      </c>
      <c r="J1438" s="10" t="inlineStr">
        <is>
          <t>Luật / Pháp lý, Môi trường, An toàn lao động</t>
        </is>
      </c>
      <c r="K1438" s="10" t="inlineStr">
        <is>
          <t>3 - 5 Năm</t>
        </is>
      </c>
      <c r="L1438" s="11">
        <f>HYPERLINK("https://careerviet.vn/vi/tim-viec-lam/chuyen-vien-nhan-vien-hse-an-toan-moi-truong-an-ninh-pccc-dalatmilk-lam-dong.35C6A30B.html","Xem chi tiết")</f>
        <v/>
      </c>
      <c r="M1438" s="10" t="n"/>
    </row>
    <row r="1439">
      <c r="B1439" s="7" t="n">
        <v>1437</v>
      </c>
      <c r="C1439" t="inlineStr">
        <is>
          <t>Packaging Line Technician - KTV vận hành máy (công đoạn chiết - đóng gói)</t>
        </is>
      </c>
      <c r="D1439" t="inlineStr">
        <is>
          <t>Công ty Cổ phần thực phẩm và đồ uống Barett</t>
        </is>
      </c>
      <c r="E1439" t="inlineStr">
        <is>
          <t>Lương:10 Tr - 15 Tr VND</t>
        </is>
      </c>
      <c r="F1439" t="inlineStr">
        <is>
          <t>Hưng Yên</t>
        </is>
      </c>
      <c r="G1439" t="inlineStr">
        <is>
          <t>31-03-2026</t>
        </is>
      </c>
      <c r="H1439" t="inlineStr">
        <is>
          <t>31/03/2026</t>
        </is>
      </c>
      <c r="I1439" t="inlineStr">
        <is>
          <t>17/03/2026</t>
        </is>
      </c>
      <c r="J1439" t="inlineStr">
        <is>
          <t>Thực phẩm &amp; Đồ uống, Điện / Điện tử / Điện lạnh / Điện công nghiệp, Sản xuất / Vận hành sản xuất</t>
        </is>
      </c>
      <c r="K1439" t="inlineStr">
        <is>
          <t>1 - 3 Năm</t>
        </is>
      </c>
      <c r="L1439" s="8">
        <f>HYPERLINK("https://careerviet.vn/vi/tim-viec-lam/packaging-line-technician-ktv-van-hanh-may-cong-doan-chiet-dong-goi.35C6A333.html","Xem chi tiết")</f>
        <v/>
      </c>
    </row>
    <row r="1440">
      <c r="B1440" s="9" t="n">
        <v>1438</v>
      </c>
      <c r="C1440" s="10" t="inlineStr">
        <is>
          <t>Chuyên Viên Quản Lý Dự Án</t>
        </is>
      </c>
      <c r="D1440" s="10" t="inlineStr">
        <is>
          <t>Công Ty Cổ Phần Mỹ Phẩm Sài Gòn</t>
        </is>
      </c>
      <c r="E1440" s="10" t="inlineStr">
        <is>
          <t>Lương:Cạnh tranh</t>
        </is>
      </c>
      <c r="F1440" s="10" t="inlineStr">
        <is>
          <t>Hồ Chí Minh</t>
        </is>
      </c>
      <c r="G1440" s="10" t="inlineStr">
        <is>
          <t>01-04-2026</t>
        </is>
      </c>
      <c r="H1440" s="10" t="inlineStr">
        <is>
          <t>01/04/2026</t>
        </is>
      </c>
      <c r="I1440" s="10" t="inlineStr">
        <is>
          <t>17/03/2026</t>
        </is>
      </c>
      <c r="J1440" s="10" t="inlineStr">
        <is>
          <t>Tiếp thị / Marketing, Bán lẻ / Bán sỉ, Bán hàng / Kinh doanh</t>
        </is>
      </c>
      <c r="K1440" s="10" t="inlineStr">
        <is>
          <t>2 - 5 Năm</t>
        </is>
      </c>
      <c r="L1440" s="11">
        <f>HYPERLINK("https://careerviet.vn/vi/tim-viec-lam/chuyen-vien-quan-ly-du-an.35C6A512.html","Xem chi tiết")</f>
        <v/>
      </c>
      <c r="M1440" s="10" t="n"/>
    </row>
    <row r="1441">
      <c r="B1441" s="7" t="n">
        <v>1439</v>
      </c>
      <c r="C1441" t="inlineStr">
        <is>
          <t>Kỹ Sư Cơ Khí Tự Động Hóa (Thiết Kế Cơ Khí)</t>
        </is>
      </c>
      <c r="D1441" t="inlineStr">
        <is>
          <t>CÔNG TY TNHH MỘT THÀNH VIÊN KYOUWA VIỆT NAM</t>
        </is>
      </c>
      <c r="E1441" t="inlineStr">
        <is>
          <t>Lương:Cạnh tranh</t>
        </is>
      </c>
      <c r="F1441" t="inlineStr">
        <is>
          <t>Long An</t>
        </is>
      </c>
      <c r="G1441" t="inlineStr">
        <is>
          <t>02-04-2026</t>
        </is>
      </c>
      <c r="H1441" t="inlineStr">
        <is>
          <t>02/04/2026</t>
        </is>
      </c>
      <c r="I1441" t="inlineStr">
        <is>
          <t>17/03/2026</t>
        </is>
      </c>
      <c r="J1441" t="inlineStr">
        <is>
          <t>Cơ khí / Ô tô / Tự động hóa, Điện / Điện tử / Điện lạnh / Điện công nghiệp, Bảo trì / Sửa chữa</t>
        </is>
      </c>
      <c r="K1441" t="inlineStr">
        <is>
          <t>N/A</t>
        </is>
      </c>
      <c r="L1441" s="8">
        <f>HYPERLINK("https://careerviet.vn/vi/tim-viec-lam/ky-su-co-khi-tu-dong-hoa-thiet-ke-co-khi.35C6A5E1.html","Xem chi tiết")</f>
        <v/>
      </c>
    </row>
    <row r="1442">
      <c r="B1442" s="9" t="n">
        <v>1440</v>
      </c>
      <c r="C1442" s="10" t="inlineStr">
        <is>
          <t>Kỹ sư Điện/Điện nhẹ/Cấp thoát nước/HVAC</t>
        </is>
      </c>
      <c r="D1442" s="10" t="inlineStr">
        <is>
          <t>CÔNG TY CỔ PHẦN KỸ THUẬT CÔNG NGHỆ SÀI GÒN - TECHGEL</t>
        </is>
      </c>
      <c r="E1442" s="10" t="inlineStr">
        <is>
          <t>Lương:Cạnh tranh</t>
        </is>
      </c>
      <c r="F1442" s="10" t="inlineStr">
        <is>
          <t>Quảng TrịĐồng NaiBắc Ninh</t>
        </is>
      </c>
      <c r="G1442" s="10" t="inlineStr">
        <is>
          <t>08-04-2026</t>
        </is>
      </c>
      <c r="H1442" s="10" t="inlineStr">
        <is>
          <t>08/04/2026</t>
        </is>
      </c>
      <c r="I1442" s="10" t="inlineStr">
        <is>
          <t>17/03/2026</t>
        </is>
      </c>
      <c r="J1442" s="10" t="inlineStr">
        <is>
          <t>Điện / Điện tử / Điện lạnh / Điện công nghiệp, Bảo trì / Sửa chữa, Xây dựng</t>
        </is>
      </c>
      <c r="K1442" s="10" t="inlineStr">
        <is>
          <t>1 - 20 Năm</t>
        </is>
      </c>
      <c r="L1442" s="11">
        <f>HYPERLINK("https://careerviet.vn/vi/tim-viec-lam/ky-su-dien-dien-nhe-cap-thoat-nuoc-hvac.35C6AF28.html","Xem chi tiết")</f>
        <v/>
      </c>
      <c r="M1442" s="10" t="n"/>
    </row>
    <row r="1443">
      <c r="B1443" s="7" t="n">
        <v>1441</v>
      </c>
      <c r="C1443" t="inlineStr">
        <is>
          <t>Kế toán tổng hợp</t>
        </is>
      </c>
      <c r="D1443" t="inlineStr">
        <is>
          <t>CÔNG TY CỔ PHẦN PCM</t>
        </is>
      </c>
      <c r="E1443" t="inlineStr">
        <is>
          <t>Lương:Cạnh tranh</t>
        </is>
      </c>
      <c r="F1443" t="inlineStr">
        <is>
          <t>Hồ Chí Minh</t>
        </is>
      </c>
      <c r="G1443" t="inlineStr">
        <is>
          <t>02-04-2026</t>
        </is>
      </c>
      <c r="H1443" t="inlineStr">
        <is>
          <t>02/04/2026</t>
        </is>
      </c>
      <c r="I1443" t="inlineStr">
        <is>
          <t>17/03/2026</t>
        </is>
      </c>
      <c r="J1443" t="inlineStr">
        <is>
          <t>Kế toán / Kiểm toán</t>
        </is>
      </c>
      <c r="K1443" t="inlineStr">
        <is>
          <t>2 - 3 Năm</t>
        </is>
      </c>
      <c r="L1443" s="8">
        <f>HYPERLINK("https://careerviet.vn/vi/tim-viec-lam/ke-toan-tong-hop.35C6A662.html","Xem chi tiết")</f>
        <v/>
      </c>
    </row>
    <row r="1444">
      <c r="B1444" s="9" t="n">
        <v>1442</v>
      </c>
      <c r="C1444" s="10" t="inlineStr">
        <is>
          <t>[Junior, Senior] BackEend Engineer (Java, Go) - Khối Công nghệ thông tin (HOLT.03)</t>
        </is>
      </c>
      <c r="D1444" s="10" t="inlineStr">
        <is>
          <t>Ngân Hàng TMCP Quân Đội</t>
        </is>
      </c>
      <c r="E1444" s="10" t="inlineStr">
        <is>
          <t>Lương:Cạnh tranh</t>
        </is>
      </c>
      <c r="F1444" s="10" t="inlineStr">
        <is>
          <t>Hà Nội</t>
        </is>
      </c>
      <c r="G1444" s="10" t="inlineStr">
        <is>
          <t>09-04-2026</t>
        </is>
      </c>
      <c r="H1444" s="10" t="inlineStr">
        <is>
          <t>09/04/2026</t>
        </is>
      </c>
      <c r="I1444" s="10" t="inlineStr">
        <is>
          <t>17/03/2026</t>
        </is>
      </c>
      <c r="J1444" s="10" t="inlineStr">
        <is>
          <t>Ngân hàng, CNTT - Phần mềm, CNTT - Phần cứng / Mạng</t>
        </is>
      </c>
      <c r="K1444" s="10" t="inlineStr">
        <is>
          <t>N/A</t>
        </is>
      </c>
      <c r="L1444" s="11">
        <f>HYPERLINK("https://careerviet.vn/vi/tim-viec-lam/junior-senior-backeend-engineer-java-go-khoi-cong-nghe-thong-tin-holt-03.35C6B8A7.html","Xem chi tiết")</f>
        <v/>
      </c>
      <c r="M1444" s="10" t="n"/>
    </row>
    <row r="1445">
      <c r="B1445" s="7" t="n">
        <v>1443</v>
      </c>
      <c r="C1445" t="inlineStr">
        <is>
          <t>Giám sát bán hàng kênh MT</t>
        </is>
      </c>
      <c r="D1445" t="inlineStr">
        <is>
          <t>Công ty TNHH Thực Phẩm &amp; TMDV Lê Gia</t>
        </is>
      </c>
      <c r="E1445" t="inlineStr">
        <is>
          <t>Lương:18 Tr - 25 Tr VND</t>
        </is>
      </c>
      <c r="F1445" t="inlineStr">
        <is>
          <t>Hà Nội</t>
        </is>
      </c>
      <c r="G1445" t="inlineStr">
        <is>
          <t>03-04-2026</t>
        </is>
      </c>
      <c r="H1445" t="inlineStr">
        <is>
          <t>03/04/2026</t>
        </is>
      </c>
      <c r="I1445" t="inlineStr">
        <is>
          <t>17/03/2026</t>
        </is>
      </c>
      <c r="J1445" t="inlineStr">
        <is>
          <t>Bán hàng / Kinh doanh, Tiếp thị / Marketing</t>
        </is>
      </c>
      <c r="K1445" t="inlineStr">
        <is>
          <t>3 - 5 Năm</t>
        </is>
      </c>
      <c r="L1445" s="8">
        <f>HYPERLINK("https://careerviet.vn/vi/tim-viec-lam/giam-sat-ban-hang-kenh-mt.35C6A36A.html","Xem chi tiết")</f>
        <v/>
      </c>
    </row>
    <row r="1446">
      <c r="B1446" s="9" t="n">
        <v>1444</v>
      </c>
      <c r="C1446" s="10" t="inlineStr">
        <is>
          <t>Chuyên Viên Vận Hành Vaccine</t>
        </is>
      </c>
      <c r="D1446" s="10" t="inlineStr">
        <is>
          <t>CÔNG TY CỔ PHẦN DƯỢC PHẨM FPT LONG CHÂU</t>
        </is>
      </c>
      <c r="E1446" s="10" t="inlineStr">
        <is>
          <t>Lương:Cạnh tranh</t>
        </is>
      </c>
      <c r="F1446" s="10" t="inlineStr">
        <is>
          <t>Hồ Chí Minh</t>
        </is>
      </c>
      <c r="G1446" s="10" t="inlineStr">
        <is>
          <t>08-04-2026</t>
        </is>
      </c>
      <c r="H1446" s="10" t="inlineStr">
        <is>
          <t>08/04/2026</t>
        </is>
      </c>
      <c r="I1446" s="10" t="inlineStr">
        <is>
          <t>17/03/2026</t>
        </is>
      </c>
      <c r="J1446" s="10" t="inlineStr">
        <is>
          <t>Bán hàng / Kinh doanh, Bán lẻ / Bán sỉ, Y tế / Chăm sóc sức khỏe / Thẩm mỹ / Làm đẹp</t>
        </is>
      </c>
      <c r="K1446" s="10" t="inlineStr">
        <is>
          <t>N/A</t>
        </is>
      </c>
      <c r="L1446" s="11">
        <f>HYPERLINK("https://careerviet.vn/vi/tim-viec-lam/chuyen-vien-van-hanh-vaccine.35C6B8B6.html","Xem chi tiết")</f>
        <v/>
      </c>
      <c r="M1446" s="10" t="n"/>
    </row>
    <row r="1447">
      <c r="B1447" s="7" t="n">
        <v>1445</v>
      </c>
      <c r="C1447" t="inlineStr">
        <is>
          <t>Horeca Senior Sales Executive</t>
        </is>
      </c>
      <c r="D1447" t="inlineStr">
        <is>
          <t>INDOGUNA VINA FOOD SERVICE (INDV)</t>
        </is>
      </c>
      <c r="E1447" t="inlineStr">
        <is>
          <t>Lương:Cạnh tranh</t>
        </is>
      </c>
      <c r="F1447" t="inlineStr">
        <is>
          <t>Hồ Chí Minh</t>
        </is>
      </c>
      <c r="G1447" t="inlineStr">
        <is>
          <t>01-04-2026</t>
        </is>
      </c>
      <c r="H1447" t="inlineStr">
        <is>
          <t>01/04/2026</t>
        </is>
      </c>
      <c r="I1447" t="inlineStr">
        <is>
          <t>17/03/2026</t>
        </is>
      </c>
      <c r="J1447" t="inlineStr">
        <is>
          <t>Thực phẩm &amp; Đồ uống, Bán lẻ / Bán sỉ, Bán hàng / Kinh doanh</t>
        </is>
      </c>
      <c r="K1447" t="inlineStr">
        <is>
          <t>3 - 5 Năm</t>
        </is>
      </c>
      <c r="L1447" s="8">
        <f>HYPERLINK("https://careerviet.vn/vi/tim-viec-lam/horeca-senior-sales-executive.35C6A339.html","Xem chi tiết")</f>
        <v/>
      </c>
    </row>
    <row r="1448">
      <c r="B1448" s="9" t="n">
        <v>1446</v>
      </c>
      <c r="C1448" s="10" t="inlineStr">
        <is>
          <t>Kỹ Sư Nhiệt Lạnh/ HVAC Engineer</t>
        </is>
      </c>
      <c r="D1448" s="10" t="inlineStr">
        <is>
          <t>Công ty Cổ Phần Thực Phẩm Dinh Dưỡng NutiFood</t>
        </is>
      </c>
      <c r="E1448" s="10" t="inlineStr">
        <is>
          <t>Lương:Cạnh tranh</t>
        </is>
      </c>
      <c r="F1448" s="10" t="inlineStr">
        <is>
          <t>Bình DươngHồ Chí Minh</t>
        </is>
      </c>
      <c r="G1448" s="10" t="inlineStr">
        <is>
          <t>07-04-2026</t>
        </is>
      </c>
      <c r="H1448" s="10" t="inlineStr">
        <is>
          <t>07/04/2026</t>
        </is>
      </c>
      <c r="I1448" s="10" t="inlineStr">
        <is>
          <t>17/03/2026</t>
        </is>
      </c>
      <c r="J1448" s="10" t="inlineStr">
        <is>
          <t>Cơ khí / Ô tô / Tự động hóa, Điện / Điện tử / Điện lạnh / Điện công nghiệp</t>
        </is>
      </c>
      <c r="K1448" s="10" t="inlineStr">
        <is>
          <t>2 - 10 Năm</t>
        </is>
      </c>
      <c r="L1448" s="11">
        <f>HYPERLINK("https://careerviet.vn/vi/tim-viec-lam/ky-su-nhiet-lanh-hvac-engineer.35C6B9A5.html","Xem chi tiết")</f>
        <v/>
      </c>
      <c r="M1448" s="10" t="n"/>
    </row>
    <row r="1449">
      <c r="B1449" s="7" t="n">
        <v>1447</v>
      </c>
      <c r="C1449" t="inlineStr">
        <is>
          <t>Kỹ Sư Thiết Kế Cơ Khí</t>
        </is>
      </c>
      <c r="D1449" t="inlineStr">
        <is>
          <t>CÔNG TY CỔ PHẦN TỰ ĐỘNG HOÁ TCI</t>
        </is>
      </c>
      <c r="E1449" t="inlineStr">
        <is>
          <t>Lương:Lên đến 20 Tr VND</t>
        </is>
      </c>
      <c r="F1449" t="inlineStr">
        <is>
          <t>Hồ Chí Minh</t>
        </is>
      </c>
      <c r="G1449" t="inlineStr">
        <is>
          <t>06-04-2026</t>
        </is>
      </c>
      <c r="H1449" t="inlineStr">
        <is>
          <t>06/04/2026</t>
        </is>
      </c>
      <c r="I1449" t="inlineStr">
        <is>
          <t>17/03/2026</t>
        </is>
      </c>
      <c r="J1449" t="inlineStr">
        <is>
          <t>Cơ khí / Ô tô / Tự động hóa, Sản xuất / Vận hành sản xuất</t>
        </is>
      </c>
      <c r="K1449" t="inlineStr">
        <is>
          <t>Trên 3 Năm</t>
        </is>
      </c>
      <c r="L1449" s="8">
        <f>HYPERLINK("https://careerviet.vn/vi/tim-viec-lam/ky-su-thiet-ke-co-khi.35C6B523.html","Xem chi tiết")</f>
        <v/>
      </c>
    </row>
    <row r="1450">
      <c r="B1450" s="9" t="n">
        <v>1448</v>
      </c>
      <c r="C1450" s="10" t="inlineStr">
        <is>
          <t>Nhân Viên Phòng Thầu</t>
        </is>
      </c>
      <c r="D1450" s="10" t="inlineStr">
        <is>
          <t>CÔNG TY TNHH DƯỢC PHẨM MINH TRÍ</t>
        </is>
      </c>
      <c r="E1450" s="10" t="inlineStr">
        <is>
          <t>Lương:Cạnh tranh</t>
        </is>
      </c>
      <c r="F1450" s="10" t="inlineStr">
        <is>
          <t>Hồ Chí Minh</t>
        </is>
      </c>
      <c r="G1450" s="10" t="inlineStr">
        <is>
          <t>08-04-2026</t>
        </is>
      </c>
      <c r="H1450" s="10" t="inlineStr">
        <is>
          <t>08/04/2026</t>
        </is>
      </c>
      <c r="I1450" s="10" t="inlineStr">
        <is>
          <t>17/03/2026</t>
        </is>
      </c>
      <c r="J1450" s="10" t="inlineStr">
        <is>
          <t>Dược phẩm/ Hóa Mỹ Phẩm, Luật / Pháp lý, Tài chính / Đầu tư</t>
        </is>
      </c>
      <c r="K1450" s="10" t="inlineStr">
        <is>
          <t>N/A</t>
        </is>
      </c>
      <c r="L1450" s="11">
        <f>HYPERLINK("https://careerviet.vn/vi/tim-viec-lam/nhan-vien-phong-thau.35C6BA36.html","Xem chi tiết")</f>
        <v/>
      </c>
      <c r="M1450" s="10" t="n"/>
    </row>
    <row r="1451">
      <c r="B1451" s="7" t="n">
        <v>1449</v>
      </c>
      <c r="C1451" t="inlineStr">
        <is>
          <t>Operator - Production</t>
        </is>
      </c>
      <c r="D1451" t="inlineStr">
        <is>
          <t>Coca-Cola Beverages Vietnam</t>
        </is>
      </c>
      <c r="E1451" t="inlineStr">
        <is>
          <t>Lương:Cạnh tranh</t>
        </is>
      </c>
      <c r="F1451" t="inlineStr">
        <is>
          <t>Hồ Chí Minh</t>
        </is>
      </c>
      <c r="G1451" t="inlineStr">
        <is>
          <t>08-04-2026</t>
        </is>
      </c>
      <c r="H1451" t="inlineStr">
        <is>
          <t>08/04/2026</t>
        </is>
      </c>
      <c r="I1451" t="inlineStr">
        <is>
          <t>17/03/2026</t>
        </is>
      </c>
      <c r="J1451" t="inlineStr">
        <is>
          <t>Điện / Điện tử / Điện lạnh / Điện công nghiệp, Sản xuất / Vận hành sản xuất, Cơ khí / Ô tô / Tự động hóa</t>
        </is>
      </c>
      <c r="K1451" t="inlineStr">
        <is>
          <t>N/A</t>
        </is>
      </c>
      <c r="L1451" s="8">
        <f>HYPERLINK("https://careerviet.vn/vi/tim-viec-lam/operator-production.35C6B8CC.html","Xem chi tiết")</f>
        <v/>
      </c>
    </row>
    <row r="1452">
      <c r="B1452" s="9" t="n">
        <v>1450</v>
      </c>
      <c r="C1452" s="10" t="inlineStr">
        <is>
          <t>SQE Engineer (Supplier Quality Engineer)</t>
        </is>
      </c>
      <c r="D1452" s="10" t="inlineStr">
        <is>
          <t>XP Power  Vietnam</t>
        </is>
      </c>
      <c r="E1452" s="10" t="inlineStr">
        <is>
          <t>Lương:Cạnh tranh</t>
        </is>
      </c>
      <c r="F1452" s="10" t="inlineStr">
        <is>
          <t>Bình Dương</t>
        </is>
      </c>
      <c r="G1452" s="10" t="inlineStr">
        <is>
          <t>03-04-2026</t>
        </is>
      </c>
      <c r="H1452" s="10" t="inlineStr">
        <is>
          <t>03/04/2026</t>
        </is>
      </c>
      <c r="I1452" s="10" t="inlineStr">
        <is>
          <t>17/03/2026</t>
        </is>
      </c>
      <c r="J1452" s="10" t="inlineStr">
        <is>
          <t>Điện / Điện tử / Điện lạnh / Điện công nghiệp</t>
        </is>
      </c>
      <c r="K1452" s="10" t="inlineStr">
        <is>
          <t>2 - 3 Năm</t>
        </is>
      </c>
      <c r="L1452" s="11">
        <f>HYPERLINK("https://careerviet.vn/vi/tim-viec-lam/sqe-engineer-supplier-quality-engineer.35C6A336.html","Xem chi tiết")</f>
        <v/>
      </c>
      <c r="M1452" s="10" t="n"/>
    </row>
    <row r="1453">
      <c r="B1453" s="7" t="n">
        <v>1451</v>
      </c>
      <c r="C1453" t="inlineStr">
        <is>
          <t>Nhân Viên Kinh Doanh</t>
        </is>
      </c>
      <c r="D1453" t="inlineStr">
        <is>
          <t>CÔNG TY TNHH THIẾT BỊ THẨM MỸ PTMED</t>
        </is>
      </c>
      <c r="E1453" t="inlineStr">
        <is>
          <t>Lương:10 Tr - 20 Tr VND</t>
        </is>
      </c>
      <c r="F1453" t="inlineStr">
        <is>
          <t>Hồ Chí Minh</t>
        </is>
      </c>
      <c r="G1453" t="inlineStr">
        <is>
          <t>02-04-2026</t>
        </is>
      </c>
      <c r="H1453" t="inlineStr">
        <is>
          <t>02/04/2026</t>
        </is>
      </c>
      <c r="I1453" t="inlineStr">
        <is>
          <t>17/03/2026</t>
        </is>
      </c>
      <c r="J1453" t="inlineStr">
        <is>
          <t>Y tế / Chăm sóc sức khỏe / Thẩm mỹ / Làm đẹp, Bán hàng / Kinh doanh, Bán lẻ / Bán sỉ</t>
        </is>
      </c>
      <c r="K1453" t="inlineStr">
        <is>
          <t>Trên 1 Năm</t>
        </is>
      </c>
      <c r="L1453" s="8">
        <f>HYPERLINK("https://careerviet.vn/vi/tim-viec-lam/nhan-vien-kinh-doanh.35C6A61F.html","Xem chi tiết")</f>
        <v/>
      </c>
    </row>
    <row r="1454">
      <c r="B1454" s="9" t="n">
        <v>1452</v>
      </c>
      <c r="C1454" s="10" t="inlineStr">
        <is>
          <t>Nhân Viên Tư Vấn Môi Trường</t>
        </is>
      </c>
      <c r="D1454" s="10" t="inlineStr">
        <is>
          <t>CÔNG TY CỔ PHẦN ĐỊA CHẤT VÀ MÔI TRƯỜNG MIỀN NAM</t>
        </is>
      </c>
      <c r="E1454" s="10" t="inlineStr">
        <is>
          <t>Lương:Cạnh tranh</t>
        </is>
      </c>
      <c r="F1454" s="10" t="inlineStr">
        <is>
          <t>Hồ Chí Minh</t>
        </is>
      </c>
      <c r="G1454" s="10" t="inlineStr">
        <is>
          <t>02-04-2026</t>
        </is>
      </c>
      <c r="H1454" s="10" t="inlineStr">
        <is>
          <t>02/04/2026</t>
        </is>
      </c>
      <c r="I1454" s="10" t="inlineStr">
        <is>
          <t>17/03/2026</t>
        </is>
      </c>
      <c r="J1454" s="10" t="inlineStr">
        <is>
          <t>Môi trường, Tư vấn, Trắc địa / Địa Chất</t>
        </is>
      </c>
      <c r="K1454" s="10" t="inlineStr">
        <is>
          <t>2 - 5 Năm</t>
        </is>
      </c>
      <c r="L1454" s="11">
        <f>HYPERLINK("https://careerviet.vn/vi/tim-viec-lam/nhan-vien-tu-van-moi-truong.35C6A480.html","Xem chi tiết")</f>
        <v/>
      </c>
      <c r="M1454" s="10" t="n"/>
    </row>
    <row r="1455">
      <c r="B1455" s="7" t="n">
        <v>1453</v>
      </c>
      <c r="C1455" t="inlineStr">
        <is>
          <t>Nhân Viên Dự Toán Nội Thất</t>
        </is>
      </c>
      <c r="D1455" t="inlineStr">
        <is>
          <t>CÔNG TY CỔ PHẦN THIẾT KẾ NỘI THẤT ICON</t>
        </is>
      </c>
      <c r="E1455" t="inlineStr">
        <is>
          <t>Lương:10 Tr - 15 Tr VND</t>
        </is>
      </c>
      <c r="F1455" t="inlineStr">
        <is>
          <t>Hồ Chí Minh</t>
        </is>
      </c>
      <c r="G1455" t="inlineStr">
        <is>
          <t>30-04-2026</t>
        </is>
      </c>
      <c r="H1455" t="inlineStr">
        <is>
          <t>30/04/2026</t>
        </is>
      </c>
      <c r="I1455" t="inlineStr">
        <is>
          <t>17/03/2026</t>
        </is>
      </c>
      <c r="J1455" t="inlineStr">
        <is>
          <t>Nội ngoại thất, Xây dựng</t>
        </is>
      </c>
      <c r="K1455" t="inlineStr">
        <is>
          <t>1 - 4 Năm</t>
        </is>
      </c>
      <c r="L1455" s="8">
        <f>HYPERLINK("https://careerviet.vn/vi/tim-viec-lam/nhan-vien-du-toan-noi-that.35C6B893.html","Xem chi tiết")</f>
        <v/>
      </c>
    </row>
    <row r="1456">
      <c r="B1456" s="9" t="n">
        <v>1454</v>
      </c>
      <c r="C1456" s="10" t="inlineStr">
        <is>
          <t>Giám Sát Công Trình Nhôm Kính</t>
        </is>
      </c>
      <c r="D1456" s="10" t="inlineStr">
        <is>
          <t>CÔNG TY TNHH TECHNO WINDOW</t>
        </is>
      </c>
      <c r="E1456" s="10" t="inlineStr">
        <is>
          <t>Lương:14 Tr - 17 Tr VND</t>
        </is>
      </c>
      <c r="F1456" s="10" t="inlineStr">
        <is>
          <t>Hồ Chí Minh</t>
        </is>
      </c>
      <c r="G1456" s="10" t="inlineStr">
        <is>
          <t>31-03-2026</t>
        </is>
      </c>
      <c r="H1456" s="10" t="inlineStr">
        <is>
          <t>31/03/2026</t>
        </is>
      </c>
      <c r="I1456" s="10" t="inlineStr">
        <is>
          <t>17/03/2026</t>
        </is>
      </c>
      <c r="J1456" s="10" t="inlineStr">
        <is>
          <t>Xây dựng, Cơ khí / Ô tô / Tự động hóa, Kiến trúc</t>
        </is>
      </c>
      <c r="K1456" s="10" t="inlineStr">
        <is>
          <t>3 - 5 Năm</t>
        </is>
      </c>
      <c r="L1456" s="11">
        <f>HYPERLINK("https://careerviet.vn/vi/tim-viec-lam/giam-sat-cong-trinh-nhom-kinh.35C6A375.html","Xem chi tiết")</f>
        <v/>
      </c>
      <c r="M1456" s="10" t="n"/>
    </row>
    <row r="1457">
      <c r="B1457" s="7" t="n">
        <v>1455</v>
      </c>
      <c r="C1457" t="inlineStr">
        <is>
          <t>Kế Toán Trưởng</t>
        </is>
      </c>
      <c r="D1457" t="inlineStr">
        <is>
          <t>CÔNG TY TNHH VNB SPORTS</t>
        </is>
      </c>
      <c r="E1457" t="inlineStr">
        <is>
          <t>Lương:15 Tr - 25 Tr VND</t>
        </is>
      </c>
      <c r="F1457" t="inlineStr">
        <is>
          <t>Hồ Chí Minh</t>
        </is>
      </c>
      <c r="G1457" t="inlineStr">
        <is>
          <t>02-04-2026</t>
        </is>
      </c>
      <c r="H1457" t="inlineStr">
        <is>
          <t>02/04/2026</t>
        </is>
      </c>
      <c r="I1457" t="inlineStr">
        <is>
          <t>17/03/2026</t>
        </is>
      </c>
      <c r="J1457" t="inlineStr">
        <is>
          <t>Sản xuất / Vận hành sản xuất, Kế toán / Kiểm toán, Tài chính / Đầu tư</t>
        </is>
      </c>
      <c r="K1457" t="inlineStr">
        <is>
          <t>2 - 5 Năm</t>
        </is>
      </c>
      <c r="L1457" s="8">
        <f>HYPERLINK("https://careerviet.vn/vi/tim-viec-lam/ke-toan-truong.35C6A40A.html","Xem chi tiết")</f>
        <v/>
      </c>
    </row>
    <row r="1458">
      <c r="B1458" s="9" t="n">
        <v>1456</v>
      </c>
      <c r="C1458" s="10" t="inlineStr">
        <is>
          <t>Kế Toán Nội Bộ</t>
        </is>
      </c>
      <c r="D1458" s="10" t="inlineStr">
        <is>
          <t>CÔNG TY TNHH THƯƠNG MẠI VÀ TRUYỀN THÔNG SỐ AN NAM</t>
        </is>
      </c>
      <c r="E1458" s="10" t="inlineStr">
        <is>
          <t>Lương:9 Tr - 11 Tr VND</t>
        </is>
      </c>
      <c r="F1458" s="10" t="inlineStr">
        <is>
          <t>Hà Nội</t>
        </is>
      </c>
      <c r="G1458" s="10" t="inlineStr">
        <is>
          <t>02-04-2026</t>
        </is>
      </c>
      <c r="H1458" s="10" t="inlineStr">
        <is>
          <t>02/04/2026</t>
        </is>
      </c>
      <c r="I1458" s="10" t="inlineStr">
        <is>
          <t>17/03/2026</t>
        </is>
      </c>
      <c r="J1458" s="10" t="inlineStr">
        <is>
          <t>Kế toán / Kiểm toán, Quảng cáo / Đối ngoại / Truyền Thông, Tài chính / Đầu tư</t>
        </is>
      </c>
      <c r="K1458" s="10" t="inlineStr">
        <is>
          <t>Trên 2 Năm</t>
        </is>
      </c>
      <c r="L1458" s="11">
        <f>HYPERLINK("https://careerviet.vn/vi/tim-viec-lam/ke-toan-noi-bo.35C6A3EE.html","Xem chi tiết")</f>
        <v/>
      </c>
      <c r="M1458" s="10" t="n"/>
    </row>
    <row r="1459">
      <c r="B1459" s="7" t="n">
        <v>1457</v>
      </c>
      <c r="C1459" t="inlineStr">
        <is>
          <t>Chuyên viên Tuân thủ Công nghệ thông tin</t>
        </is>
      </c>
      <c r="D1459" t="inlineStr">
        <is>
          <t>BVBank - Ngân hàng Bản Việt</t>
        </is>
      </c>
      <c r="E1459" t="inlineStr">
        <is>
          <t>Lương:Cạnh tranh</t>
        </is>
      </c>
      <c r="F1459" t="inlineStr">
        <is>
          <t>Hồ Chí Minh</t>
        </is>
      </c>
      <c r="G1459" t="inlineStr">
        <is>
          <t>01-04-2026</t>
        </is>
      </c>
      <c r="H1459" t="inlineStr">
        <is>
          <t>01/04/2026</t>
        </is>
      </c>
      <c r="I1459" t="inlineStr">
        <is>
          <t>17/03/2026</t>
        </is>
      </c>
      <c r="J1459" t="inlineStr">
        <is>
          <t>Ngân hàng, Kế toán / Kiểm toán, CNTT - Phần mềm</t>
        </is>
      </c>
      <c r="K1459" t="inlineStr">
        <is>
          <t>2 - 3 Năm</t>
        </is>
      </c>
      <c r="L1459" s="8">
        <f>HYPERLINK("https://careerviet.vn/vi/tim-viec-lam/chuyen-vien-tuan-thu-cong-nghe-thong-tin.35C6A585.html","Xem chi tiết")</f>
        <v/>
      </c>
    </row>
    <row r="1460">
      <c r="B1460" s="9" t="n">
        <v>1458</v>
      </c>
      <c r="C1460" s="10" t="inlineStr">
        <is>
          <t>Brewhouse Technician - KTV vận hành máy (công đoạn nấu)</t>
        </is>
      </c>
      <c r="D1460" s="10" t="inlineStr">
        <is>
          <t>Công ty Cổ phần thực phẩm và đồ uống Barett</t>
        </is>
      </c>
      <c r="E1460" s="10" t="inlineStr">
        <is>
          <t>Lương:10 Tr - 15 Tr VND</t>
        </is>
      </c>
      <c r="F1460" s="10" t="inlineStr">
        <is>
          <t>Hưng Yên</t>
        </is>
      </c>
      <c r="G1460" s="10" t="inlineStr">
        <is>
          <t>31-03-2026</t>
        </is>
      </c>
      <c r="H1460" s="10" t="inlineStr">
        <is>
          <t>31/03/2026</t>
        </is>
      </c>
      <c r="I1460" s="10" t="inlineStr">
        <is>
          <t>17/03/2026</t>
        </is>
      </c>
      <c r="J1460" s="10" t="inlineStr">
        <is>
          <t>Thực phẩm &amp; Đồ uống, Điện / Điện tử / Điện lạnh / Điện công nghiệp, Sản xuất / Vận hành sản xuất</t>
        </is>
      </c>
      <c r="K1460" s="10" t="inlineStr">
        <is>
          <t>2 - 3 Năm</t>
        </is>
      </c>
      <c r="L1460" s="11">
        <f>HYPERLINK("https://careerviet.vn/vi/tim-viec-lam/brewhouse-technician-ktv-van-hanh-may-cong-doan-nau.35C68555.html","Xem chi tiết")</f>
        <v/>
      </c>
      <c r="M1460" s="10" t="n"/>
    </row>
    <row r="1461">
      <c r="B1461" s="7" t="n">
        <v>1459</v>
      </c>
      <c r="C1461" t="inlineStr">
        <is>
          <t>Biên Tập Video - Kênh YouTube</t>
        </is>
      </c>
      <c r="D1461" t="inlineStr">
        <is>
          <t>Công Ty Cổ Phần Moli Group</t>
        </is>
      </c>
      <c r="E1461" t="inlineStr">
        <is>
          <t>Lương:7 Tr - 9 Tr VND</t>
        </is>
      </c>
      <c r="F1461" t="inlineStr">
        <is>
          <t>Hồ Chí Minh</t>
        </is>
      </c>
      <c r="G1461" t="inlineStr">
        <is>
          <t>31-03-2026</t>
        </is>
      </c>
      <c r="H1461" t="inlineStr">
        <is>
          <t>31/03/2026</t>
        </is>
      </c>
      <c r="I1461" t="inlineStr">
        <is>
          <t>17/03/2026</t>
        </is>
      </c>
      <c r="J1461" t="inlineStr">
        <is>
          <t>Truyền hình / Báo chí / Biên tập, Quảng cáo / Đối ngoại / Truyền Thông</t>
        </is>
      </c>
      <c r="K1461" t="inlineStr">
        <is>
          <t>Lên đến 1 Năm</t>
        </is>
      </c>
      <c r="L1461" s="8">
        <f>HYPERLINK("https://careerviet.vn/vi/tim-viec-lam/bien-tap-video-kenh-youtube.35C6A5FD.html","Xem chi tiết")</f>
        <v/>
      </c>
    </row>
    <row r="1462">
      <c r="B1462" s="9" t="n">
        <v>1460</v>
      </c>
      <c r="C1462" s="10" t="inlineStr">
        <is>
          <t>Giáo Viên Chủ Nhiệm Lớp Tiếng Anh - Toàn Quốc - Thu Nhập Upto 30 triệu/Tháng</t>
        </is>
      </c>
      <c r="D1462" s="10" t="inlineStr">
        <is>
          <t>Công Ty CP Giáo Dục Đại Dương</t>
        </is>
      </c>
      <c r="E1462" s="10" t="inlineStr">
        <is>
          <t>Lương:Cạnh tranh</t>
        </is>
      </c>
      <c r="F1462" s="10" t="inlineStr">
        <is>
          <t>Bắc NinhPhú ThọBắc Giang</t>
        </is>
      </c>
      <c r="G1462" s="10" t="inlineStr">
        <is>
          <t>01-04-2026</t>
        </is>
      </c>
      <c r="H1462" s="10" t="inlineStr">
        <is>
          <t>01/04/2026</t>
        </is>
      </c>
      <c r="I1462" s="10" t="inlineStr">
        <is>
          <t>17/03/2026</t>
        </is>
      </c>
      <c r="J1462" s="10" t="inlineStr">
        <is>
          <t>Giáo dục / Đào tạo, Bán lẻ / Bán sỉ, Bán hàng / Kinh doanh</t>
        </is>
      </c>
      <c r="K1462" s="10" t="inlineStr">
        <is>
          <t>N/A</t>
        </is>
      </c>
      <c r="L1462" s="11">
        <f>HYPERLINK("https://careerviet.vn/vi/tim-viec-lam/giao-vien-chu-nhiem-lop-tieng-anh-toan-quoc-thu-nhap-upto-30-trieu-thang.35C6A701.html","Xem chi tiết")</f>
        <v/>
      </c>
      <c r="M1462" s="10" t="n"/>
    </row>
    <row r="1463">
      <c r="B1463" s="7" t="n">
        <v>1461</v>
      </c>
      <c r="C1463" t="inlineStr">
        <is>
          <t>Giám đốc Kinh Doanh B2B</t>
        </is>
      </c>
      <c r="D1463" t="inlineStr">
        <is>
          <t>CT CP Tập Đoàn Thái Tuấn</t>
        </is>
      </c>
      <c r="E1463" t="inlineStr">
        <is>
          <t>Lương:Cạnh tranh</t>
        </is>
      </c>
      <c r="F1463" t="inlineStr">
        <is>
          <t>Hà Nội</t>
        </is>
      </c>
      <c r="G1463" t="inlineStr">
        <is>
          <t>15-03-2026</t>
        </is>
      </c>
      <c r="H1463" t="inlineStr">
        <is>
          <t>10/03/2026</t>
        </is>
      </c>
      <c r="I1463" t="inlineStr">
        <is>
          <t>17/03/2026</t>
        </is>
      </c>
      <c r="J1463" t="inlineStr">
        <is>
          <t>Tiếp thị / Marketing, Bán hàng / Kinh doanh, Dệt may / Da giày / Thời trang</t>
        </is>
      </c>
      <c r="K1463" t="inlineStr">
        <is>
          <t>3 - 5 Năm</t>
        </is>
      </c>
      <c r="L1463" s="8">
        <f>HYPERLINK("https://careerviet.vn/vi/tim-viec-lam/giam-doc-kinh-doanh-b2b.35C6A42A.html","Xem chi tiết")</f>
        <v/>
      </c>
    </row>
    <row r="1464">
      <c r="B1464" s="9" t="n">
        <v>1462</v>
      </c>
      <c r="C1464" s="10" t="inlineStr">
        <is>
          <t>QS VĂN PHÒNG</t>
        </is>
      </c>
      <c r="D1464" s="10" t="inlineStr">
        <is>
          <t>Công Ty CP Xây Dựng A&amp;C</t>
        </is>
      </c>
      <c r="E1464" s="10" t="inlineStr">
        <is>
          <t>Lương:Cạnh tranh</t>
        </is>
      </c>
      <c r="F1464" s="10" t="inlineStr">
        <is>
          <t>Hồ Chí Minh</t>
        </is>
      </c>
      <c r="G1464" s="10" t="inlineStr">
        <is>
          <t>31-03-2026</t>
        </is>
      </c>
      <c r="H1464" s="10" t="inlineStr">
        <is>
          <t>31/03/2026</t>
        </is>
      </c>
      <c r="I1464" s="10" t="inlineStr">
        <is>
          <t>17/03/2026</t>
        </is>
      </c>
      <c r="J1464" s="10" t="inlineStr">
        <is>
          <t>Xây dựng, Kiến trúc, Bất động sản</t>
        </is>
      </c>
      <c r="K1464" s="10" t="inlineStr">
        <is>
          <t>3 - 4 Năm</t>
        </is>
      </c>
      <c r="L1464" s="11">
        <f>HYPERLINK("https://careerviet.vn/vi/tim-viec-lam/qs-van-phong.35C6A682.html","Xem chi tiết")</f>
        <v/>
      </c>
      <c r="M1464" s="10" t="n"/>
    </row>
    <row r="1465">
      <c r="B1465" s="7" t="n">
        <v>1463</v>
      </c>
      <c r="C1465" t="inlineStr">
        <is>
          <t>Manufacturing Engineer</t>
        </is>
      </c>
      <c r="D1465" t="inlineStr">
        <is>
          <t>VINFAST TRADING AND PRODUCTION JSC</t>
        </is>
      </c>
      <c r="E1465" t="inlineStr">
        <is>
          <t>Lương:Cạnh tranh</t>
        </is>
      </c>
      <c r="F1465" t="inlineStr">
        <is>
          <t>Hà Tĩnh</t>
        </is>
      </c>
      <c r="G1465" t="inlineStr">
        <is>
          <t>02-04-2026</t>
        </is>
      </c>
      <c r="H1465" t="inlineStr">
        <is>
          <t>02/04/2026</t>
        </is>
      </c>
      <c r="I1465" t="inlineStr">
        <is>
          <t>17/03/2026</t>
        </is>
      </c>
      <c r="J1465" t="inlineStr">
        <is>
          <t>Cơ khí / Ô tô / Tự động hóa</t>
        </is>
      </c>
      <c r="K1465" t="inlineStr">
        <is>
          <t>2 - 4 Năm</t>
        </is>
      </c>
      <c r="L1465" s="8">
        <f>HYPERLINK("https://careerviet.vn/vi/tim-viec-lam/manufacturing-engineer.35C6A5CE.html","Xem chi tiết")</f>
        <v/>
      </c>
    </row>
    <row r="1466">
      <c r="B1466" s="9" t="n">
        <v>1464</v>
      </c>
      <c r="C1466" s="10" t="inlineStr">
        <is>
          <t>Giám đốc Kinh doanh (xuất khẩu ngành Furniture Metal)</t>
        </is>
      </c>
      <c r="D1466" s="10" t="inlineStr">
        <is>
          <t>Công Ty TNHH SX - TM - DV Lê Trần</t>
        </is>
      </c>
      <c r="E1466" s="10" t="inlineStr">
        <is>
          <t>Lương:Cạnh tranh</t>
        </is>
      </c>
      <c r="F1466" s="10" t="inlineStr">
        <is>
          <t>Hồ Chí MinhLong An</t>
        </is>
      </c>
      <c r="G1466" s="10" t="inlineStr">
        <is>
          <t>30-04-2026</t>
        </is>
      </c>
      <c r="H1466" s="10" t="inlineStr">
        <is>
          <t>30/04/2026</t>
        </is>
      </c>
      <c r="I1466" s="10" t="inlineStr">
        <is>
          <t>17/03/2026</t>
        </is>
      </c>
      <c r="J1466" s="10" t="inlineStr">
        <is>
          <t>Sản xuất / Vận hành sản xuất, Cơ khí / Ô tô / Tự động hóa, Điện / Điện tử / Điện lạnh / Điện công nghiệp</t>
        </is>
      </c>
      <c r="K1466" s="10" t="inlineStr">
        <is>
          <t>5 - 10 Năm</t>
        </is>
      </c>
      <c r="L1466" s="11">
        <f>HYPERLINK("https://careerviet.vn/vi/tim-viec-lam/giam-doc-kinh-doanh-xuat-khau-nganh-furniture-metal.35C6A3B1.html","Xem chi tiết")</f>
        <v/>
      </c>
      <c r="M1466" s="10" t="n"/>
    </row>
    <row r="1467">
      <c r="B1467" s="7" t="n">
        <v>1465</v>
      </c>
      <c r="C1467" t="inlineStr">
        <is>
          <t>Chuyên viên Hành chính nhân sự Tổng hợp (Mạnh Tuyển dụng)</t>
        </is>
      </c>
      <c r="D1467" t="inlineStr">
        <is>
          <t>Công ty Cổ phần Việt Chuẩn</t>
        </is>
      </c>
      <c r="E1467" t="inlineStr">
        <is>
          <t>Lương:Lên đến 18 Tr VND</t>
        </is>
      </c>
      <c r="F1467" t="inlineStr">
        <is>
          <t>Hà Nội</t>
        </is>
      </c>
      <c r="G1467" t="inlineStr">
        <is>
          <t>02-04-2026</t>
        </is>
      </c>
      <c r="H1467" t="inlineStr">
        <is>
          <t>02/04/2026</t>
        </is>
      </c>
      <c r="I1467" t="inlineStr">
        <is>
          <t>17/03/2026</t>
        </is>
      </c>
      <c r="J1467" t="inlineStr">
        <is>
          <t>Hành chính / Thư ký, Nhân sự, Sản xuất / Vận hành sản xuất</t>
        </is>
      </c>
      <c r="K1467" t="inlineStr">
        <is>
          <t>2 - 5 Năm</t>
        </is>
      </c>
      <c r="L1467" s="8">
        <f>HYPERLINK("https://careerviet.vn/vi/tim-viec-lam/chuyen-vien-hanh-chinh-nhan-su-tong-hop-manh-tuyen-dung.35C6A4C8.html","Xem chi tiết")</f>
        <v/>
      </c>
    </row>
    <row r="1468">
      <c r="B1468" s="9" t="n">
        <v>1466</v>
      </c>
      <c r="C1468" s="10" t="inlineStr">
        <is>
          <t>Nhân viên kinh doanh phân bón</t>
        </is>
      </c>
      <c r="D1468" s="10" t="inlineStr">
        <is>
          <t>Công Ty Cổ Phần Tập Đoàn Hùng Nhơn</t>
        </is>
      </c>
      <c r="E1468" s="10" t="inlineStr">
        <is>
          <t>Lương:Cạnh tranh</t>
        </is>
      </c>
      <c r="F1468" s="10" t="inlineStr">
        <is>
          <t>Lâm ĐồngTiền Giang</t>
        </is>
      </c>
      <c r="G1468" s="10" t="inlineStr">
        <is>
          <t>03-04-2026</t>
        </is>
      </c>
      <c r="H1468" s="10" t="inlineStr">
        <is>
          <t>03/04/2026</t>
        </is>
      </c>
      <c r="I1468" s="10" t="inlineStr">
        <is>
          <t>17/03/2026</t>
        </is>
      </c>
      <c r="J1468" s="10" t="inlineStr">
        <is>
          <t>Nông nghiệp, Bán hàng / Kinh doanh, Bán lẻ / Bán sỉ</t>
        </is>
      </c>
      <c r="K1468" s="10" t="inlineStr">
        <is>
          <t>1 - 2 Năm</t>
        </is>
      </c>
      <c r="L1468" s="11">
        <f>HYPERLINK("https://careerviet.vn/vi/tim-viec-lam/nhan-vien-kinh-doanh-phan-bon.35C6A6B5.html","Xem chi tiết")</f>
        <v/>
      </c>
      <c r="M1468" s="10" t="n"/>
    </row>
    <row r="1469">
      <c r="B1469" s="7" t="n">
        <v>1467</v>
      </c>
      <c r="C1469" t="inlineStr">
        <is>
          <t>Kỹ Sư Điện Tự Động - Cơ Khí</t>
        </is>
      </c>
      <c r="D1469" t="inlineStr">
        <is>
          <t>CÔNG TY TNHH THƯƠNG MẠI - DỊCH VỤ - KỸ THUẬT ĐỨC HÙNG</t>
        </is>
      </c>
      <c r="E1469" t="inlineStr">
        <is>
          <t>Lương:15 Tr - 17 Tr VND</t>
        </is>
      </c>
      <c r="F1469" t="inlineStr">
        <is>
          <t>Hồ Chí Minh</t>
        </is>
      </c>
      <c r="G1469" t="inlineStr">
        <is>
          <t>02-04-2026</t>
        </is>
      </c>
      <c r="H1469" t="inlineStr">
        <is>
          <t>02/04/2026</t>
        </is>
      </c>
      <c r="I1469" t="inlineStr">
        <is>
          <t>17/03/2026</t>
        </is>
      </c>
      <c r="J1469" t="inlineStr">
        <is>
          <t>Điện / Điện tử / Điện lạnh / Điện công nghiệp, Cơ khí / Ô tô / Tự động hóa, Bán Hàng Kỹ Thuật</t>
        </is>
      </c>
      <c r="K1469" t="inlineStr">
        <is>
          <t>Trên 3 Năm</t>
        </is>
      </c>
      <c r="L1469" s="8">
        <f>HYPERLINK("https://careerviet.vn/vi/tim-viec-lam/ky-su-dien-tu-dong-co-khi.35C6A2D0.html","Xem chi tiết")</f>
        <v/>
      </c>
    </row>
    <row r="1470">
      <c r="B1470" s="9" t="n">
        <v>1468</v>
      </c>
      <c r="C1470" s="10" t="inlineStr">
        <is>
          <t>Trưởng phòng Marketing</t>
        </is>
      </c>
      <c r="D1470" s="10" t="inlineStr">
        <is>
          <t>Công Ty TNHH Xúc Tiến Thương Mại NBT Holdings</t>
        </is>
      </c>
      <c r="E1470" s="10" t="inlineStr">
        <is>
          <t>Lương:25 Tr - 30 Tr VND</t>
        </is>
      </c>
      <c r="F1470" s="10" t="inlineStr">
        <is>
          <t>Hà Nội</t>
        </is>
      </c>
      <c r="G1470" s="10" t="inlineStr">
        <is>
          <t>31-03-2026</t>
        </is>
      </c>
      <c r="H1470" s="10" t="inlineStr">
        <is>
          <t>31/03/2026</t>
        </is>
      </c>
      <c r="I1470" s="10" t="inlineStr">
        <is>
          <t>17/03/2026</t>
        </is>
      </c>
      <c r="J1470" s="10" t="inlineStr">
        <is>
          <t>Tiếp thị / Marketing, Xuất nhập khẩu, Vận chuyển / Giao nhận / Kho vận</t>
        </is>
      </c>
      <c r="K1470" s="10" t="inlineStr">
        <is>
          <t>3 - 5 Năm</t>
        </is>
      </c>
      <c r="L1470" s="11">
        <f>HYPERLINK("https://careerviet.vn/vi/tim-viec-lam/truong-phong-marketing.35C6A649.html","Xem chi tiết")</f>
        <v/>
      </c>
      <c r="M1470" s="10" t="n"/>
    </row>
    <row r="1471">
      <c r="B1471" s="7" t="n">
        <v>1469</v>
      </c>
      <c r="C1471" t="inlineStr">
        <is>
          <t>Chuyên Viên An Ninh Nội Bộ</t>
        </is>
      </c>
      <c r="D1471" t="inlineStr">
        <is>
          <t>Masan Consumer</t>
        </is>
      </c>
      <c r="E1471" t="inlineStr">
        <is>
          <t>Lương:Cạnh tranh</t>
        </is>
      </c>
      <c r="F1471" t="inlineStr">
        <is>
          <t>Hải Dương</t>
        </is>
      </c>
      <c r="G1471" t="inlineStr">
        <is>
          <t>30-04-2026</t>
        </is>
      </c>
      <c r="H1471" t="inlineStr">
        <is>
          <t>30/04/2026</t>
        </is>
      </c>
      <c r="I1471" t="inlineStr">
        <is>
          <t>17/03/2026</t>
        </is>
      </c>
      <c r="J1471" t="inlineStr">
        <is>
          <t>An Ninh / Bảo Vệ</t>
        </is>
      </c>
      <c r="K1471" t="inlineStr">
        <is>
          <t>3 - 5 Năm</t>
        </is>
      </c>
      <c r="L1471" s="8">
        <f>HYPERLINK("https://careerviet.vn/vi/tim-viec-lam/chuyen-vien-an-ninh-noi-bo.35C57C63.html","Xem chi tiết")</f>
        <v/>
      </c>
    </row>
    <row r="1472">
      <c r="B1472" s="9" t="n">
        <v>1470</v>
      </c>
      <c r="C1472" s="10" t="inlineStr">
        <is>
          <t>Nhân Viên Kinh Doanh</t>
        </is>
      </c>
      <c r="D1472" s="10" t="inlineStr">
        <is>
          <t>CÔNG TY CỔ PHẦN CARBON VIỆT NAM</t>
        </is>
      </c>
      <c r="E1472" s="10" t="inlineStr">
        <is>
          <t>Lương:Cạnh tranh</t>
        </is>
      </c>
      <c r="F1472" s="10" t="inlineStr">
        <is>
          <t>Hà NộiHồ Chí MinhĐà Nẵng</t>
        </is>
      </c>
      <c r="G1472" s="10" t="inlineStr">
        <is>
          <t>02-04-2026</t>
        </is>
      </c>
      <c r="H1472" s="10" t="inlineStr">
        <is>
          <t>02/04/2026</t>
        </is>
      </c>
      <c r="I1472" s="10" t="inlineStr">
        <is>
          <t>17/03/2026</t>
        </is>
      </c>
      <c r="J1472" s="10" t="inlineStr">
        <is>
          <t>Bán hàng / Kinh doanh, Bán lẻ / Bán sỉ, Xây dựng</t>
        </is>
      </c>
      <c r="K1472" s="10" t="inlineStr">
        <is>
          <t>N/A</t>
        </is>
      </c>
      <c r="L1472" s="11">
        <f>HYPERLINK("https://careerviet.vn/vi/tim-viec-lam/nhan-vien-kinh-doanh.35C6A5ED.html","Xem chi tiết")</f>
        <v/>
      </c>
      <c r="M1472" s="10" t="n"/>
    </row>
    <row r="1473">
      <c r="B1473" s="7" t="n">
        <v>1471</v>
      </c>
      <c r="C1473" t="inlineStr">
        <is>
          <t>Trưởng Nhóm Nghiên Cứu Bào Chế (R&amp;D Center)</t>
        </is>
      </c>
      <c r="D1473" t="inlineStr">
        <is>
          <t>Công ty cổ phần Dược Phẩm Savi</t>
        </is>
      </c>
      <c r="E1473" t="inlineStr">
        <is>
          <t>Lương:Cạnh tranh</t>
        </is>
      </c>
      <c r="F1473" t="inlineStr">
        <is>
          <t>Hồ Chí Minh</t>
        </is>
      </c>
      <c r="G1473" t="inlineStr">
        <is>
          <t>02-04-2026</t>
        </is>
      </c>
      <c r="H1473" t="inlineStr">
        <is>
          <t>02/04/2026</t>
        </is>
      </c>
      <c r="I1473" t="inlineStr">
        <is>
          <t>17/03/2026</t>
        </is>
      </c>
      <c r="J1473" t="inlineStr">
        <is>
          <t>Dược phẩm/ Hóa Mỹ Phẩm</t>
        </is>
      </c>
      <c r="K1473" t="inlineStr">
        <is>
          <t>4 - 6 Năm</t>
        </is>
      </c>
      <c r="L1473" s="8">
        <f>HYPERLINK("https://careerviet.vn/vi/tim-viec-lam/truong-nhom-nghien-cuu-bao-che-r-d-center.35C6A64E.html","Xem chi tiết")</f>
        <v/>
      </c>
    </row>
    <row r="1474">
      <c r="B1474" s="9" t="n">
        <v>1472</v>
      </c>
      <c r="C1474" s="10" t="inlineStr">
        <is>
          <t>Kế toán Kho</t>
        </is>
      </c>
      <c r="D1474" s="10" t="inlineStr">
        <is>
          <t>Công ty TNHH MTV Sen Vàng Việt Nam</t>
        </is>
      </c>
      <c r="E1474" s="10" t="inlineStr">
        <is>
          <t>Lương:Cạnh tranh</t>
        </is>
      </c>
      <c r="F1474" s="10" t="inlineStr">
        <is>
          <t>Hồ Chí Minh</t>
        </is>
      </c>
      <c r="G1474" s="10" t="inlineStr">
        <is>
          <t>31-03-2026</t>
        </is>
      </c>
      <c r="H1474" s="10" t="inlineStr">
        <is>
          <t>31/03/2026</t>
        </is>
      </c>
      <c r="I1474" s="10" t="inlineStr">
        <is>
          <t>17/03/2026</t>
        </is>
      </c>
      <c r="J1474" s="10" t="inlineStr">
        <is>
          <t>Kế toán / Kiểm toán, Tài chính / Đầu tư, Sản xuất / Vận hành sản xuất</t>
        </is>
      </c>
      <c r="K1474" s="10" t="inlineStr">
        <is>
          <t>1 - 3 Năm</t>
        </is>
      </c>
      <c r="L1474" s="11">
        <f>HYPERLINK("https://careerviet.vn/vi/tim-viec-lam/ke-toan-kho.35C6A2ED.html","Xem chi tiết")</f>
        <v/>
      </c>
      <c r="M1474" s="10" t="n"/>
    </row>
    <row r="1475">
      <c r="B1475" s="7" t="n">
        <v>1473</v>
      </c>
      <c r="C1475" t="inlineStr">
        <is>
          <t>Nhân Viên Kinh Doanh Ngành May Mặc</t>
        </is>
      </c>
      <c r="D1475" t="inlineStr">
        <is>
          <t>CÔNG TY CỔ PHẦN DỆT MAY VÀ XUẤT NHẬP KHẨU MINH TRÍ</t>
        </is>
      </c>
      <c r="E1475" t="inlineStr">
        <is>
          <t>Lương:15 Tr - 40 Tr VND</t>
        </is>
      </c>
      <c r="F1475" t="inlineStr">
        <is>
          <t>Hà Nội</t>
        </is>
      </c>
      <c r="G1475" t="inlineStr">
        <is>
          <t>02-04-2026</t>
        </is>
      </c>
      <c r="H1475" t="inlineStr">
        <is>
          <t>02/04/2026</t>
        </is>
      </c>
      <c r="I1475" t="inlineStr">
        <is>
          <t>17/03/2026</t>
        </is>
      </c>
      <c r="J1475" t="inlineStr">
        <is>
          <t>Dệt may / Da giày / Thời trang, Bán hàng / Kinh doanh, Bán lẻ / Bán sỉ</t>
        </is>
      </c>
      <c r="K1475" t="inlineStr">
        <is>
          <t>N/A</t>
        </is>
      </c>
      <c r="L1475" s="8">
        <f>HYPERLINK("https://careerviet.vn/vi/tim-viec-lam/nhan-vien-kinh-doanh-nganh-may-mac.35C6A38B.html","Xem chi tiết")</f>
        <v/>
      </c>
    </row>
    <row r="1476">
      <c r="B1476" s="9" t="n">
        <v>1474</v>
      </c>
      <c r="C1476" s="10" t="inlineStr">
        <is>
          <t>Global Sourcing Coordinator - Chuyên Viên Cung Ứng</t>
        </is>
      </c>
      <c r="D1476" s="10" t="inlineStr">
        <is>
          <t>Công Ty TNHH MTV Jordan Manufacturing Việt Nam</t>
        </is>
      </c>
      <c r="E1476" s="10" t="inlineStr">
        <is>
          <t>Lương:Cạnh tranh</t>
        </is>
      </c>
      <c r="F1476" s="10" t="inlineStr">
        <is>
          <t>Tây NinhLong An</t>
        </is>
      </c>
      <c r="G1476" s="10" t="inlineStr">
        <is>
          <t>31-03-2026</t>
        </is>
      </c>
      <c r="H1476" s="10" t="inlineStr">
        <is>
          <t>31/03/2026</t>
        </is>
      </c>
      <c r="I1476" s="10" t="inlineStr">
        <is>
          <t>17/03/2026</t>
        </is>
      </c>
      <c r="J1476" s="10" t="inlineStr">
        <is>
          <t>Sản xuất / Vận hành sản xuất, Dệt may / Da giày / Thời trang, Thu mua / Vật tư</t>
        </is>
      </c>
      <c r="K1476" s="10" t="inlineStr">
        <is>
          <t>3 - 5 Năm</t>
        </is>
      </c>
      <c r="L1476" s="11">
        <f>HYPERLINK("https://careerviet.vn/vi/tim-viec-lam/global-sourcing-coordinator-chuyen-vien-cung-ung.35C6A438.html","Xem chi tiết")</f>
        <v/>
      </c>
      <c r="M1476" s="10" t="n"/>
    </row>
    <row r="1477">
      <c r="B1477" s="7" t="n">
        <v>1475</v>
      </c>
      <c r="C1477" t="inlineStr">
        <is>
          <t>Trưởng phòng Kinh tế kỹ thuật điện</t>
        </is>
      </c>
      <c r="D1477" t="inlineStr">
        <is>
          <t>CÔNG TY CỔ PHẦN ĐẦU TƯ CÔNG NGHỆ THÔNG MINH</t>
        </is>
      </c>
      <c r="E1477" t="inlineStr">
        <is>
          <t>Lương:25 Tr - 40 Tr VND</t>
        </is>
      </c>
      <c r="F1477" t="inlineStr">
        <is>
          <t>Hà Nội</t>
        </is>
      </c>
      <c r="G1477" t="inlineStr">
        <is>
          <t>15-03-2026</t>
        </is>
      </c>
      <c r="H1477" t="inlineStr">
        <is>
          <t>16/03/2026</t>
        </is>
      </c>
      <c r="I1477" t="inlineStr">
        <is>
          <t>17/03/2026</t>
        </is>
      </c>
      <c r="J1477" t="inlineStr">
        <is>
          <t>Điện / Điện tử / Điện lạnh / Điện công nghiệp, Cơ khí / Ô tô / Tự động hóa</t>
        </is>
      </c>
      <c r="K1477" t="inlineStr">
        <is>
          <t>3 - 5 Năm</t>
        </is>
      </c>
      <c r="L1477" s="8">
        <f>HYPERLINK("https://careerviet.vn/vi/tim-viec-lam/truong-phong-kinh-te-ky-thuat-dien.35C6A65C.html","Xem chi tiết")</f>
        <v/>
      </c>
    </row>
    <row r="1478">
      <c r="B1478" s="9" t="n">
        <v>1476</v>
      </c>
      <c r="C1478" s="10" t="inlineStr">
        <is>
          <t>Chuyên Viên Cao Cấp Tuyển Dụng</t>
        </is>
      </c>
      <c r="D1478" s="10" t="inlineStr">
        <is>
          <t>BIM Group</t>
        </is>
      </c>
      <c r="E1478" s="10" t="inlineStr">
        <is>
          <t>Lương:Cạnh tranh</t>
        </is>
      </c>
      <c r="F1478" s="10" t="inlineStr">
        <is>
          <t>Hà Nội</t>
        </is>
      </c>
      <c r="G1478" s="10" t="inlineStr">
        <is>
          <t>30-04-2026</t>
        </is>
      </c>
      <c r="H1478" s="10" t="inlineStr">
        <is>
          <t>30/04/2026</t>
        </is>
      </c>
      <c r="I1478" s="10" t="inlineStr">
        <is>
          <t>17/03/2026</t>
        </is>
      </c>
      <c r="J1478" s="10" t="inlineStr">
        <is>
          <t>Nhân sự</t>
        </is>
      </c>
      <c r="K1478" s="10" t="inlineStr">
        <is>
          <t>Trên 5 Năm</t>
        </is>
      </c>
      <c r="L1478" s="11">
        <f>HYPERLINK("https://careerviet.vn/vi/tim-viec-lam/chuyen-vien-cao-cap-tuyen-dung.35C6A6AF.html","Xem chi tiết")</f>
        <v/>
      </c>
      <c r="M1478" s="10" t="n"/>
    </row>
    <row r="1479">
      <c r="B1479" s="7" t="n">
        <v>1477</v>
      </c>
      <c r="C1479" t="inlineStr">
        <is>
          <t>Trưởng Phòng Đấu Thầu</t>
        </is>
      </c>
      <c r="D1479" t="inlineStr">
        <is>
          <t>CÔNG TY CỔ PHẦN ĐẦU TƯ DANCO</t>
        </is>
      </c>
      <c r="E1479" t="inlineStr">
        <is>
          <t>Lương:35 Tr - 45 Tr VND</t>
        </is>
      </c>
      <c r="F1479" t="inlineStr">
        <is>
          <t>Hà Nội</t>
        </is>
      </c>
      <c r="G1479" t="inlineStr">
        <is>
          <t>01-04-2026</t>
        </is>
      </c>
      <c r="H1479" t="inlineStr">
        <is>
          <t>01/04/2026</t>
        </is>
      </c>
      <c r="I1479" t="inlineStr">
        <is>
          <t>17/03/2026</t>
        </is>
      </c>
      <c r="J1479" t="inlineStr">
        <is>
          <t>Xây dựng, Bất động sản, Kiến trúc</t>
        </is>
      </c>
      <c r="K1479" t="inlineStr">
        <is>
          <t>4 - 5 Năm</t>
        </is>
      </c>
      <c r="L1479" s="8">
        <f>HYPERLINK("https://careerviet.vn/vi/tim-viec-lam/truong-phong-dau-thau.35C6A2D1.html","Xem chi tiết")</f>
        <v/>
      </c>
    </row>
    <row r="1480">
      <c r="B1480" s="9" t="n">
        <v>1478</v>
      </c>
      <c r="C1480" s="10" t="inlineStr">
        <is>
          <t>Chuyên Viên Cao Cấp Marketing Dự Án Bất Động Sản</t>
        </is>
      </c>
      <c r="D1480" s="10" t="inlineStr">
        <is>
          <t>BIM Group</t>
        </is>
      </c>
      <c r="E1480" s="10" t="inlineStr">
        <is>
          <t>Lương:Cạnh tranh</t>
        </is>
      </c>
      <c r="F1480" s="10" t="inlineStr">
        <is>
          <t>Hà Nội</t>
        </is>
      </c>
      <c r="G1480" s="10" t="inlineStr">
        <is>
          <t>30-04-2026</t>
        </is>
      </c>
      <c r="H1480" s="10" t="inlineStr">
        <is>
          <t>30/04/2026</t>
        </is>
      </c>
      <c r="I1480" s="10" t="inlineStr">
        <is>
          <t>17/03/2026</t>
        </is>
      </c>
      <c r="J1480" s="10" t="inlineStr">
        <is>
          <t>Tiếp thị / Marketing, Bất động sản</t>
        </is>
      </c>
      <c r="K1480" s="10" t="inlineStr">
        <is>
          <t>Trên 5 Năm</t>
        </is>
      </c>
      <c r="L1480" s="11">
        <f>HYPERLINK("https://careerviet.vn/vi/tim-viec-lam/chuyen-vien-cao-cap-marketing-du-an-bat-dong-san.35C6A69B.html","Xem chi tiết")</f>
        <v/>
      </c>
      <c r="M1480" s="10" t="n"/>
    </row>
    <row r="1481">
      <c r="B1481" s="7" t="n">
        <v>1479</v>
      </c>
      <c r="C1481" t="inlineStr">
        <is>
          <t>Chuyên viên QHKH Doanh nghiệp tại Đồng Nai</t>
        </is>
      </c>
      <c r="D1481" t="inlineStr">
        <is>
          <t>Ngân hàng TMCP Phát triển TP.HCM (HDBank)</t>
        </is>
      </c>
      <c r="E1481" t="inlineStr">
        <is>
          <t>Lương:Cạnh tranh</t>
        </is>
      </c>
      <c r="F1481" t="inlineStr">
        <is>
          <t>Đồng Nai</t>
        </is>
      </c>
      <c r="G1481" t="inlineStr">
        <is>
          <t>30-04-2026</t>
        </is>
      </c>
      <c r="H1481" t="inlineStr">
        <is>
          <t>30/04/2026</t>
        </is>
      </c>
      <c r="I1481" t="inlineStr">
        <is>
          <t>17/03/2026</t>
        </is>
      </c>
      <c r="J1481" t="inlineStr">
        <is>
          <t>Bán hàng / Kinh doanh, Dịch vụ khách hàng, Ngân hàng</t>
        </is>
      </c>
      <c r="K1481" t="inlineStr">
        <is>
          <t>1 - 5 Năm</t>
        </is>
      </c>
      <c r="L1481" s="8">
        <f>HYPERLINK("https://careerviet.vn/vi/tim-viec-lam/chuyen-vien-qhkh-doanh-nghiep-tai-dong-nai.35C6A635.html","Xem chi tiết")</f>
        <v/>
      </c>
    </row>
    <row r="1482">
      <c r="B1482" s="9" t="n">
        <v>1480</v>
      </c>
      <c r="C1482" s="10" t="inlineStr">
        <is>
          <t>Senior Social Auditor - APSCA</t>
        </is>
      </c>
      <c r="D1482" s="10" t="inlineStr">
        <is>
          <t>Cty SGS Việt Nam TNHH</t>
        </is>
      </c>
      <c r="E1482" s="10" t="inlineStr">
        <is>
          <t>Lương:Cạnh tranh</t>
        </is>
      </c>
      <c r="F1482" s="10" t="inlineStr">
        <is>
          <t>Hà Nội</t>
        </is>
      </c>
      <c r="G1482" s="10" t="inlineStr">
        <is>
          <t>11-04-2026</t>
        </is>
      </c>
      <c r="H1482" s="10" t="inlineStr">
        <is>
          <t>11/04/2026</t>
        </is>
      </c>
      <c r="I1482" s="10" t="inlineStr">
        <is>
          <t>17/03/2026</t>
        </is>
      </c>
      <c r="J1482" s="10" t="inlineStr">
        <is>
          <t>Môi trường, Dệt may / Da giày / Thời trang, Quản lý chất lượng (QA/QC)</t>
        </is>
      </c>
      <c r="K1482" s="10" t="inlineStr">
        <is>
          <t>5 - 20 Năm</t>
        </is>
      </c>
      <c r="L1482" s="11">
        <f>HYPERLINK("https://careerviet.vn/vi/tim-viec-lam/senior-social-auditor-apsca.35C6A6E7.html","Xem chi tiết")</f>
        <v/>
      </c>
      <c r="M1482" s="10" t="n"/>
    </row>
    <row r="1483">
      <c r="B1483" s="7" t="n">
        <v>1481</v>
      </c>
      <c r="C1483" t="inlineStr">
        <is>
          <t>Chuyên viên Phân tích nghiệp vụ Thẻ</t>
        </is>
      </c>
      <c r="D1483" t="inlineStr">
        <is>
          <t>BVBank - Ngân hàng Bản Việt</t>
        </is>
      </c>
      <c r="E1483" t="inlineStr">
        <is>
          <t>Lương:Cạnh tranh</t>
        </is>
      </c>
      <c r="F1483" t="inlineStr">
        <is>
          <t>Hồ Chí Minh</t>
        </is>
      </c>
      <c r="G1483" t="inlineStr">
        <is>
          <t>01-04-2026</t>
        </is>
      </c>
      <c r="H1483" t="inlineStr">
        <is>
          <t>01/04/2026</t>
        </is>
      </c>
      <c r="I1483" t="inlineStr">
        <is>
          <t>17/03/2026</t>
        </is>
      </c>
      <c r="J1483" t="inlineStr">
        <is>
          <t>Ngân hàng, Tài chính / Đầu tư, CNTT - Phần mềm</t>
        </is>
      </c>
      <c r="K1483" t="inlineStr">
        <is>
          <t>2 - 3 Năm</t>
        </is>
      </c>
      <c r="L1483" s="8">
        <f>HYPERLINK("https://careerviet.vn/vi/tim-viec-lam/chuyen-vien-phan-tich-nghiep-vu-the.35C6A58F.html","Xem chi tiết")</f>
        <v/>
      </c>
    </row>
    <row r="1484">
      <c r="B1484" s="9" t="n">
        <v>1482</v>
      </c>
      <c r="C1484" s="10" t="inlineStr">
        <is>
          <t>Trợ lý giám đốc</t>
        </is>
      </c>
      <c r="D1484" s="10" t="inlineStr">
        <is>
          <t>Công Ty TNHH Xúc Tiến Thương Mại NBT Holdings</t>
        </is>
      </c>
      <c r="E1484" s="10" t="inlineStr">
        <is>
          <t>Lương:20 Tr - 25 Tr VND</t>
        </is>
      </c>
      <c r="F1484" s="10" t="inlineStr">
        <is>
          <t>Hà Nội</t>
        </is>
      </c>
      <c r="G1484" s="10" t="inlineStr">
        <is>
          <t>15-03-2026</t>
        </is>
      </c>
      <c r="H1484" s="10" t="inlineStr">
        <is>
          <t>15/03/2026</t>
        </is>
      </c>
      <c r="I1484" s="10" t="inlineStr">
        <is>
          <t>17/03/2026</t>
        </is>
      </c>
      <c r="J1484" s="10" t="inlineStr">
        <is>
          <t>Hành chính / Thư ký, Nhân sự, Biên phiên dịch</t>
        </is>
      </c>
      <c r="K1484" s="10" t="inlineStr">
        <is>
          <t>3 - 5 Năm</t>
        </is>
      </c>
      <c r="L1484" s="11">
        <f>HYPERLINK("https://careerviet.vn/vi/tim-viec-lam/tro-ly-giam-doc.35C6A699.html","Xem chi tiết")</f>
        <v/>
      </c>
      <c r="M1484" s="10" t="n"/>
    </row>
    <row r="1485">
      <c r="B1485" s="7" t="n">
        <v>1483</v>
      </c>
      <c r="C1485" t="inlineStr">
        <is>
          <t>Talent Acquisition Executive</t>
        </is>
      </c>
      <c r="D1485" t="inlineStr">
        <is>
          <t>Công Ty Tài Chính Mirae Asset (Việt Nam)</t>
        </is>
      </c>
      <c r="E1485" t="inlineStr">
        <is>
          <t>Lương:Cạnh tranh</t>
        </is>
      </c>
      <c r="F1485" t="inlineStr">
        <is>
          <t>Hồ Chí Minh</t>
        </is>
      </c>
      <c r="G1485" t="inlineStr">
        <is>
          <t>01-04-2026</t>
        </is>
      </c>
      <c r="H1485" t="inlineStr">
        <is>
          <t>01/04/2026</t>
        </is>
      </c>
      <c r="I1485" t="inlineStr">
        <is>
          <t>17/03/2026</t>
        </is>
      </c>
      <c r="J1485" t="inlineStr">
        <is>
          <t>Ngân hàng, Nhân sự, Tài chính / Đầu tư</t>
        </is>
      </c>
      <c r="K1485" t="inlineStr">
        <is>
          <t>3 - 10 Năm</t>
        </is>
      </c>
      <c r="L1485" s="8">
        <f>HYPERLINK("https://careerviet.vn/vi/tim-viec-lam/talent-acquisition-executive.35C6A307.html","Xem chi tiết")</f>
        <v/>
      </c>
    </row>
    <row r="1486">
      <c r="B1486" s="9" t="n">
        <v>1484</v>
      </c>
      <c r="C1486" s="10" t="inlineStr">
        <is>
          <t>Giám Đốc Kỹ Thuật</t>
        </is>
      </c>
      <c r="D1486" s="10" t="inlineStr">
        <is>
          <t>Cty TNHH Kim Loại Tacheng</t>
        </is>
      </c>
      <c r="E1486" s="10" t="inlineStr">
        <is>
          <t>Lương:Cạnh tranh</t>
        </is>
      </c>
      <c r="F1486" s="10" t="inlineStr">
        <is>
          <t>Tây Ninh</t>
        </is>
      </c>
      <c r="G1486" s="10" t="inlineStr">
        <is>
          <t>02-04-2026</t>
        </is>
      </c>
      <c r="H1486" s="10" t="inlineStr">
        <is>
          <t>02/04/2026</t>
        </is>
      </c>
      <c r="I1486" s="10" t="inlineStr">
        <is>
          <t>17/03/2026</t>
        </is>
      </c>
      <c r="J1486" s="10" t="inlineStr">
        <is>
          <t>Cơ khí / Ô tô / Tự động hóa, Điện / Điện tử / Điện lạnh / Điện công nghiệp, Sản xuất / Vận hành sản xuất</t>
        </is>
      </c>
      <c r="K1486" s="10" t="inlineStr">
        <is>
          <t>Trên 5 Năm</t>
        </is>
      </c>
      <c r="L1486" s="11">
        <f>HYPERLINK("https://careerviet.vn/vi/tim-viec-lam/giam-doc-ky-thuat.35C6A6A3.html","Xem chi tiết")</f>
        <v/>
      </c>
      <c r="M1486" s="10" t="n"/>
    </row>
    <row r="1487">
      <c r="B1487" s="7" t="n">
        <v>1485</v>
      </c>
      <c r="C1487" t="inlineStr">
        <is>
          <t>[Hà Nội] Nhân viên Kế hoạch Kinh doanh - Sales Planning Staff</t>
        </is>
      </c>
      <c r="D1487" t="inlineStr">
        <is>
          <t>CÔNG TY TNHH DAESANG VIỆT NAM</t>
        </is>
      </c>
      <c r="E1487" t="inlineStr">
        <is>
          <t>Lương:11 Tr - 17 Tr VND</t>
        </is>
      </c>
      <c r="F1487" t="inlineStr">
        <is>
          <t>Hà Nội</t>
        </is>
      </c>
      <c r="G1487" t="inlineStr">
        <is>
          <t>5</t>
        </is>
      </c>
      <c r="H1487" t="inlineStr">
        <is>
          <t>22/03/2026</t>
        </is>
      </c>
      <c r="I1487" t="inlineStr">
        <is>
          <t>17/03/2026</t>
        </is>
      </c>
      <c r="J1487" t="inlineStr">
        <is>
          <t>Bán lẻ / Bán sỉ, Bán hàng / Kinh doanh</t>
        </is>
      </c>
      <c r="K1487" t="inlineStr">
        <is>
          <t>2 - 3 Năm</t>
        </is>
      </c>
      <c r="L1487" s="8">
        <f>HYPERLINK("https://careerviet.vn/vi/tim-viec-lam/ha-noi-nhan-vien-ke-hoach-kinh-doanh-sales-planning-staff.35C6A68B.html","Xem chi tiết")</f>
        <v/>
      </c>
    </row>
    <row r="1488">
      <c r="B1488" s="9" t="n">
        <v>1486</v>
      </c>
      <c r="C1488" s="10" t="inlineStr">
        <is>
          <t>Kiến trúc sư Architect</t>
        </is>
      </c>
      <c r="D1488" s="10" t="inlineStr">
        <is>
          <t>Công Ty Tư Vấn Thiết Kế Kiến Trúc Nội Thất Aif Studio</t>
        </is>
      </c>
      <c r="E1488" s="10" t="inlineStr">
        <is>
          <t>Lương:15 Tr - 20 Tr VND</t>
        </is>
      </c>
      <c r="F1488" s="10" t="inlineStr">
        <is>
          <t>Hà Nội</t>
        </is>
      </c>
      <c r="G1488" s="10" t="inlineStr">
        <is>
          <t>30-04-2026</t>
        </is>
      </c>
      <c r="H1488" s="10" t="inlineStr">
        <is>
          <t>30/04/2026</t>
        </is>
      </c>
      <c r="I1488" s="10" t="inlineStr">
        <is>
          <t>17/03/2026</t>
        </is>
      </c>
      <c r="J1488" s="10" t="inlineStr">
        <is>
          <t>Nội ngoại thất, Kiến trúc</t>
        </is>
      </c>
      <c r="K1488" s="10" t="inlineStr">
        <is>
          <t>N/A</t>
        </is>
      </c>
      <c r="L1488" s="11">
        <f>HYPERLINK("https://careerviet.vn/vi/tim-viec-lam/kien-truc-su-architect.35C6A371.html","Xem chi tiết")</f>
        <v/>
      </c>
      <c r="M1488" s="10" t="n"/>
    </row>
    <row r="1489">
      <c r="B1489" s="7" t="n">
        <v>1487</v>
      </c>
      <c r="C1489" t="inlineStr">
        <is>
          <t>Trình Dược Viên</t>
        </is>
      </c>
      <c r="D1489" t="inlineStr">
        <is>
          <t>Hisamitsu VietNam Pharmaceutical Co., Ltd.</t>
        </is>
      </c>
      <c r="E1489" t="inlineStr">
        <is>
          <t>Lương:8 Tr - 25 Tr VND</t>
        </is>
      </c>
      <c r="F1489" t="inlineStr">
        <is>
          <t>Dak LakKhánh HòaLâm Đồng</t>
        </is>
      </c>
      <c r="G1489" t="inlineStr">
        <is>
          <t>01-04-2026</t>
        </is>
      </c>
      <c r="H1489" t="inlineStr">
        <is>
          <t>01/04/2026</t>
        </is>
      </c>
      <c r="I1489" t="inlineStr">
        <is>
          <t>17/03/2026</t>
        </is>
      </c>
      <c r="J1489" t="inlineStr">
        <is>
          <t>Bán hàng / Kinh doanh, Bán lẻ / Bán sỉ, Dược phẩm/ Hóa Mỹ Phẩm</t>
        </is>
      </c>
      <c r="K1489" t="inlineStr">
        <is>
          <t>N/A</t>
        </is>
      </c>
      <c r="L1489" s="8">
        <f>HYPERLINK("https://careerviet.vn/vi/tim-viec-lam/trinh-duoc-vien.35C6A407.html","Xem chi tiết")</f>
        <v/>
      </c>
    </row>
    <row r="1490">
      <c r="B1490" s="9" t="n">
        <v>1488</v>
      </c>
      <c r="C1490" s="10" t="inlineStr">
        <is>
          <t>Nhân Viên Vận Hành Máy CNC</t>
        </is>
      </c>
      <c r="D1490" s="10" t="inlineStr">
        <is>
          <t>CÔNG TY TNHH SẢN XUẤT THƯƠNG MẠI VÀ DỊCH VỤ HUỲNH ĐỨC</t>
        </is>
      </c>
      <c r="E1490" s="10" t="inlineStr">
        <is>
          <t>Lương:Cạnh tranh</t>
        </is>
      </c>
      <c r="F1490" s="10" t="inlineStr">
        <is>
          <t>Đồng Nai</t>
        </is>
      </c>
      <c r="G1490" s="10" t="inlineStr">
        <is>
          <t>02-04-2026</t>
        </is>
      </c>
      <c r="H1490" s="10" t="inlineStr">
        <is>
          <t>02/04/2026</t>
        </is>
      </c>
      <c r="I1490" s="10" t="inlineStr">
        <is>
          <t>17/03/2026</t>
        </is>
      </c>
      <c r="J1490" s="10" t="inlineStr">
        <is>
          <t>Điện / Điện tử / Điện lạnh / Điện công nghiệp, Cơ khí / Ô tô / Tự động hóa, Mới tốt nghiệp / Thực tập</t>
        </is>
      </c>
      <c r="K1490" s="10" t="inlineStr">
        <is>
          <t>1 - 3 Năm</t>
        </is>
      </c>
      <c r="L1490" s="11">
        <f>HYPERLINK("https://careerviet.vn/vi/tim-viec-lam/nhan-vien-van-hanh-may-cnc.35C6A3B8.html","Xem chi tiết")</f>
        <v/>
      </c>
      <c r="M1490" s="10" t="n"/>
    </row>
    <row r="1491">
      <c r="B1491" s="7" t="n">
        <v>1489</v>
      </c>
      <c r="C1491" t="inlineStr">
        <is>
          <t>Nhân Viên Kỹ Thuật Nhôm Kính</t>
        </is>
      </c>
      <c r="D1491" t="inlineStr">
        <is>
          <t>CÔNG TY TNHH TECHNO WINDOW</t>
        </is>
      </c>
      <c r="E1491" t="inlineStr">
        <is>
          <t>Lương:15 Tr - 17 Tr VND</t>
        </is>
      </c>
      <c r="F1491" t="inlineStr">
        <is>
          <t>Hồ Chí Minh</t>
        </is>
      </c>
      <c r="G1491" t="inlineStr">
        <is>
          <t>31-03-2026</t>
        </is>
      </c>
      <c r="H1491" t="inlineStr">
        <is>
          <t>31/03/2026</t>
        </is>
      </c>
      <c r="I1491" t="inlineStr">
        <is>
          <t>17/03/2026</t>
        </is>
      </c>
      <c r="J1491" t="inlineStr">
        <is>
          <t>Xây dựng, Cơ khí / Ô tô / Tự động hóa, Kiến trúc</t>
        </is>
      </c>
      <c r="K1491" t="inlineStr">
        <is>
          <t>2 - 3 Năm</t>
        </is>
      </c>
      <c r="L1491" s="8">
        <f>HYPERLINK("https://careerviet.vn/vi/tim-viec-lam/nhan-vien-ky-thuat-nhom-kinh.35C6A31F.html","Xem chi tiết")</f>
        <v/>
      </c>
    </row>
    <row r="1492">
      <c r="B1492" s="9" t="n">
        <v>1490</v>
      </c>
      <c r="C1492" s="10" t="inlineStr">
        <is>
          <t>Kế toán tổng hợp  (General Accountant)</t>
        </is>
      </c>
      <c r="D1492" s="10" t="inlineStr">
        <is>
          <t>CÔNG TY CỔ PHẦN SEREPOK</t>
        </is>
      </c>
      <c r="E1492" s="10" t="inlineStr">
        <is>
          <t>Lương:Cạnh tranh</t>
        </is>
      </c>
      <c r="F1492" s="10" t="inlineStr">
        <is>
          <t>Hồ Chí Minh</t>
        </is>
      </c>
      <c r="G1492" s="10" t="inlineStr">
        <is>
          <t>30-04-2026</t>
        </is>
      </c>
      <c r="H1492" s="10" t="inlineStr">
        <is>
          <t>30/04/2026</t>
        </is>
      </c>
      <c r="I1492" s="10" t="inlineStr">
        <is>
          <t>17/03/2026</t>
        </is>
      </c>
      <c r="J1492" s="10" t="inlineStr">
        <is>
          <t>Bất động sản, Kế toán / Kiểm toán, Tài chính / Đầu tư</t>
        </is>
      </c>
      <c r="K1492" s="10" t="inlineStr">
        <is>
          <t>3 - 5 Năm</t>
        </is>
      </c>
      <c r="L1492" s="11">
        <f>HYPERLINK("https://careerviet.vn/vi/tim-viec-lam/ke-toan-tong-hop-general-accountant.35C6A3F3.html","Xem chi tiết")</f>
        <v/>
      </c>
      <c r="M1492" s="10" t="n"/>
    </row>
    <row r="1493">
      <c r="B1493" s="7" t="n">
        <v>1491</v>
      </c>
      <c r="C1493" t="inlineStr">
        <is>
          <t>Tradelane - Business Development Executive</t>
        </is>
      </c>
      <c r="D1493" t="inlineStr">
        <is>
          <t>CÔNG TY TNHH ROYAL CARGO VIỆT NAM</t>
        </is>
      </c>
      <c r="E1493" t="inlineStr">
        <is>
          <t>Lương:Cạnh tranh</t>
        </is>
      </c>
      <c r="F1493" t="inlineStr">
        <is>
          <t>Hồ Chí Minh</t>
        </is>
      </c>
      <c r="G1493" t="inlineStr">
        <is>
          <t>02-04-2026</t>
        </is>
      </c>
      <c r="H1493" t="inlineStr">
        <is>
          <t>02/04/2026</t>
        </is>
      </c>
      <c r="I1493" t="inlineStr">
        <is>
          <t>17/03/2026</t>
        </is>
      </c>
      <c r="J1493" t="inlineStr">
        <is>
          <t>Bán hàng / Kinh doanh, Vận chuyển / Giao nhận / Kho vận, Xuất nhập khẩu</t>
        </is>
      </c>
      <c r="K1493" t="inlineStr">
        <is>
          <t>Trên 1 Năm</t>
        </is>
      </c>
      <c r="L1493" s="8">
        <f>HYPERLINK("https://careerviet.vn/vi/tim-viec-lam/tradelane-business-development-executive.35C6A578.html","Xem chi tiết")</f>
        <v/>
      </c>
    </row>
    <row r="1494">
      <c r="B1494" s="9" t="n">
        <v>1492</v>
      </c>
      <c r="C1494" s="10" t="inlineStr">
        <is>
          <t>[Hải Phòng] Trưởng nhóm Khách hàng Cá nhân</t>
        </is>
      </c>
      <c r="D1494" s="10" t="inlineStr">
        <is>
          <t>Ngân hàng TMCP Lộc Phát Việt Nam (LPBank)</t>
        </is>
      </c>
      <c r="E1494" s="10" t="inlineStr">
        <is>
          <t>Lương:Cạnh tranh</t>
        </is>
      </c>
      <c r="F1494" s="10" t="inlineStr">
        <is>
          <t>Hải Phòng</t>
        </is>
      </c>
      <c r="G1494" s="10" t="inlineStr">
        <is>
          <t>01-04-2026</t>
        </is>
      </c>
      <c r="H1494" s="10" t="inlineStr">
        <is>
          <t>01/04/2026</t>
        </is>
      </c>
      <c r="I1494" s="10" t="inlineStr">
        <is>
          <t>17/03/2026</t>
        </is>
      </c>
      <c r="J1494" s="10" t="inlineStr">
        <is>
          <t>Kế toán / Kiểm toán, Ngân hàng, Bán hàng / Kinh doanh</t>
        </is>
      </c>
      <c r="K1494" s="10" t="inlineStr">
        <is>
          <t>3 - 10 Năm</t>
        </is>
      </c>
      <c r="L1494" s="11">
        <f>HYPERLINK("https://careerviet.vn/vi/tim-viec-lam/hai-phong-truong-nhom-khach-hang-ca-nhan.35C6A6A9.html","Xem chi tiết")</f>
        <v/>
      </c>
      <c r="M1494" s="10" t="n"/>
    </row>
    <row r="1495">
      <c r="B1495" s="7" t="n">
        <v>1493</v>
      </c>
      <c r="C1495" t="inlineStr">
        <is>
          <t>Nhân Viên Kế Toán Nội Bộ</t>
        </is>
      </c>
      <c r="D1495" t="inlineStr">
        <is>
          <t>CÔNG TY TNHH WORLDWIDE PARTNER LOGISTICS VIỆT NAM</t>
        </is>
      </c>
      <c r="E1495" t="inlineStr">
        <is>
          <t>Lương:Cạnh tranh</t>
        </is>
      </c>
      <c r="F1495" t="inlineStr">
        <is>
          <t>Hà Nội</t>
        </is>
      </c>
      <c r="G1495" t="inlineStr">
        <is>
          <t>01-04-2026</t>
        </is>
      </c>
      <c r="H1495" t="inlineStr">
        <is>
          <t>01/04/2026</t>
        </is>
      </c>
      <c r="I1495" t="inlineStr">
        <is>
          <t>17/03/2026</t>
        </is>
      </c>
      <c r="J1495" t="inlineStr">
        <is>
          <t>Kế toán / Kiểm toán, Tài chính / Đầu tư, Luật / Pháp lý</t>
        </is>
      </c>
      <c r="K1495" t="inlineStr">
        <is>
          <t>N/A</t>
        </is>
      </c>
      <c r="L1495" s="8">
        <f>HYPERLINK("https://careerviet.vn/vi/tim-viec-lam/nhan-vien-ke-toan-noi-bo.35C6A476.html","Xem chi tiết")</f>
        <v/>
      </c>
    </row>
    <row r="1496">
      <c r="B1496" s="9" t="n">
        <v>1494</v>
      </c>
      <c r="C1496" s="10" t="inlineStr">
        <is>
          <t>Chuyên Viên Tuyển Dụng</t>
        </is>
      </c>
      <c r="D1496" s="10" t="inlineStr">
        <is>
          <t>CÔNG TY TNHH KIẾN TRÚC - NỘI THẤT NAM ANH</t>
        </is>
      </c>
      <c r="E1496" s="10" t="inlineStr">
        <is>
          <t>Lương:12 Tr - 15 Tr VND</t>
        </is>
      </c>
      <c r="F1496" s="10" t="inlineStr">
        <is>
          <t>Hà Nội</t>
        </is>
      </c>
      <c r="G1496" s="10" t="inlineStr">
        <is>
          <t>30-03-2026</t>
        </is>
      </c>
      <c r="H1496" s="10" t="inlineStr">
        <is>
          <t>30/03/2026</t>
        </is>
      </c>
      <c r="I1496" s="10" t="inlineStr">
        <is>
          <t>17/03/2026</t>
        </is>
      </c>
      <c r="J1496" s="10" t="inlineStr">
        <is>
          <t>Hành chính / Thư ký, Quản lý điều hành, Nhân sự</t>
        </is>
      </c>
      <c r="K1496" s="10" t="inlineStr">
        <is>
          <t>2 - 3 Năm</t>
        </is>
      </c>
      <c r="L1496" s="11">
        <f>HYPERLINK("https://careerviet.vn/vi/tim-viec-lam/chuyen-vien-tuyen-dung.35C6A395.html","Xem chi tiết")</f>
        <v/>
      </c>
      <c r="M1496" s="10" t="n"/>
    </row>
    <row r="1497">
      <c r="B1497" s="7" t="n">
        <v>1495</v>
      </c>
      <c r="C1497" t="inlineStr">
        <is>
          <t>Kỹ sư cơ khí</t>
        </is>
      </c>
      <c r="D1497" t="inlineStr">
        <is>
          <t>TECOTEC Technology</t>
        </is>
      </c>
      <c r="E1497" t="inlineStr">
        <is>
          <t>Lương:8 Tr - 15 Tr VND</t>
        </is>
      </c>
      <c r="F1497" t="inlineStr">
        <is>
          <t>Hà Nội</t>
        </is>
      </c>
      <c r="G1497" t="inlineStr">
        <is>
          <t>31-03-2026</t>
        </is>
      </c>
      <c r="H1497" t="inlineStr">
        <is>
          <t>31/03/2026</t>
        </is>
      </c>
      <c r="I1497" t="inlineStr">
        <is>
          <t>17/03/2026</t>
        </is>
      </c>
      <c r="J1497" t="inlineStr">
        <is>
          <t>Cơ khí / Ô tô / Tự động hóa, Điện / Điện tử / Điện lạnh / Điện công nghiệp, CNTT - Phần cứng / Mạng</t>
        </is>
      </c>
      <c r="K1497" t="inlineStr">
        <is>
          <t>1 - 2 Năm</t>
        </is>
      </c>
      <c r="L1497" s="8">
        <f>HYPERLINK("https://careerviet.vn/vi/tim-viec-lam/ky-su-co-khi.35C69137.html","Xem chi tiết")</f>
        <v/>
      </c>
    </row>
    <row r="1498">
      <c r="B1498" s="9" t="n">
        <v>1496</v>
      </c>
      <c r="C1498" s="10" t="inlineStr">
        <is>
          <t>Nhân Viên Kinh Doanh Dự Án - HÀ NỘI &amp; HẢI PHÒNG</t>
        </is>
      </c>
      <c r="D1498" s="10" t="inlineStr">
        <is>
          <t>CÔNG TY CỔ PHẦN THIẾT BỊ ĐIỆN VINSHINE</t>
        </is>
      </c>
      <c r="E1498" s="10" t="inlineStr">
        <is>
          <t>Lương:12 Tr - 20 Tr VND</t>
        </is>
      </c>
      <c r="F1498" s="10" t="inlineStr">
        <is>
          <t>Hà NộiHải Phòng</t>
        </is>
      </c>
      <c r="G1498" s="10" t="inlineStr">
        <is>
          <t>31-03-2026</t>
        </is>
      </c>
      <c r="H1498" s="10" t="inlineStr">
        <is>
          <t>31/03/2026</t>
        </is>
      </c>
      <c r="I1498" s="10" t="inlineStr">
        <is>
          <t>17/03/2026</t>
        </is>
      </c>
      <c r="J1498" s="10" t="inlineStr">
        <is>
          <t>Tiếp thị / Marketing, Bán lẻ / Bán sỉ, Bán hàng / Kinh doanh</t>
        </is>
      </c>
      <c r="K1498" s="10" t="inlineStr">
        <is>
          <t>2 - 5 Năm</t>
        </is>
      </c>
      <c r="L1498" s="11">
        <f>HYPERLINK("https://careerviet.vn/vi/tim-viec-lam/nhan-vien-kinh-doanh-du-an-ha-noi-hai-phong.35C6A4C7.html","Xem chi tiết")</f>
        <v/>
      </c>
      <c r="M1498" s="10" t="n"/>
    </row>
    <row r="1499">
      <c r="B1499" s="7" t="n">
        <v>1497</v>
      </c>
      <c r="C1499" t="inlineStr">
        <is>
          <t>Sales Supervisor - Giám Sát Kinh Doanh (KV Quảng Bình)</t>
        </is>
      </c>
      <c r="D1499" t="inlineStr">
        <is>
          <t>Công Ty TNHH Sơn TOA Việt Nam</t>
        </is>
      </c>
      <c r="E1499" t="inlineStr">
        <is>
          <t>Lương:Cạnh tranh</t>
        </is>
      </c>
      <c r="F1499" t="inlineStr">
        <is>
          <t>Quảng Bình</t>
        </is>
      </c>
      <c r="G1499" t="inlineStr">
        <is>
          <t>10-04-2026</t>
        </is>
      </c>
      <c r="H1499" t="inlineStr">
        <is>
          <t>10/04/2026</t>
        </is>
      </c>
      <c r="I1499" t="inlineStr">
        <is>
          <t>17/03/2026</t>
        </is>
      </c>
      <c r="J1499" t="inlineStr">
        <is>
          <t>Bán lẻ / Bán sỉ, Bán hàng / Kinh doanh, Xây dựng</t>
        </is>
      </c>
      <c r="K1499" t="inlineStr">
        <is>
          <t>3 - 6 Năm</t>
        </is>
      </c>
      <c r="L1499" s="8">
        <f>HYPERLINK("https://careerviet.vn/vi/tim-viec-lam/sales-supervisor-giam-sat-kinh-doanh-kv-quang-binh.35C6A570.html","Xem chi tiết")</f>
        <v/>
      </c>
    </row>
    <row r="1500">
      <c r="B1500" s="9" t="n">
        <v>1498</v>
      </c>
      <c r="C1500" s="10" t="inlineStr">
        <is>
          <t>Chuyên viên QHKH Cá nhân tại Đồng Nai</t>
        </is>
      </c>
      <c r="D1500" s="10" t="inlineStr">
        <is>
          <t>Ngân hàng TMCP Phát triển TP.HCM (HDBank)</t>
        </is>
      </c>
      <c r="E1500" s="10" t="inlineStr">
        <is>
          <t>Lương:Cạnh tranh</t>
        </is>
      </c>
      <c r="F1500" s="10" t="inlineStr">
        <is>
          <t>Đồng Nai</t>
        </is>
      </c>
      <c r="G1500" s="10" t="inlineStr">
        <is>
          <t>30-04-2026</t>
        </is>
      </c>
      <c r="H1500" s="10" t="inlineStr">
        <is>
          <t>30/04/2026</t>
        </is>
      </c>
      <c r="I1500" s="10" t="inlineStr">
        <is>
          <t>17/03/2026</t>
        </is>
      </c>
      <c r="J1500" s="10" t="inlineStr">
        <is>
          <t>Bán hàng / Kinh doanh, Dịch vụ khách hàng, Ngân hàng</t>
        </is>
      </c>
      <c r="K1500" s="10" t="inlineStr">
        <is>
          <t>1 - 5 Năm</t>
        </is>
      </c>
      <c r="L1500" s="11">
        <f>HYPERLINK("https://careerviet.vn/vi/tim-viec-lam/chuyen-vien-qhkh-ca-nhan-tai-dong-nai.35C6A633.html","Xem chi tiết")</f>
        <v/>
      </c>
      <c r="M1500" s="10" t="n"/>
    </row>
    <row r="1501">
      <c r="B1501" s="7" t="n">
        <v>1499</v>
      </c>
      <c r="C1501" t="inlineStr">
        <is>
          <t>CHUYÊN VIÊN CAO CẤP TƯ VẤN ĐẦU TƯ - KHÁCH HÀNG TỔ CHỨC</t>
        </is>
      </c>
      <c r="D1501" t="inlineStr">
        <is>
          <t>VDSC - Công ty CP Chứng khoán Rồng Việt</t>
        </is>
      </c>
      <c r="E1501" t="inlineStr">
        <is>
          <t>Lương:Cạnh tranh</t>
        </is>
      </c>
      <c r="F1501" t="inlineStr">
        <is>
          <t>Hồ Chí Minh</t>
        </is>
      </c>
      <c r="G1501" t="inlineStr">
        <is>
          <t>30-04-2026</t>
        </is>
      </c>
      <c r="H1501" t="inlineStr">
        <is>
          <t>30/04/2026</t>
        </is>
      </c>
      <c r="I1501" t="inlineStr">
        <is>
          <t>17/03/2026</t>
        </is>
      </c>
      <c r="J1501" t="inlineStr">
        <is>
          <t>Ngân hàng, Chứng khoán, Tài chính / Đầu tư</t>
        </is>
      </c>
      <c r="K1501" t="inlineStr">
        <is>
          <t>3 - 5 Năm</t>
        </is>
      </c>
      <c r="L1501" s="8">
        <f>HYPERLINK("https://careerviet.vn/vi/tim-viec-lam/chuyen-vien-cao-cap-tu-van-dau-tu-khach-hang-to-chuc.35C6A3D8.html","Xem chi tiết")</f>
        <v/>
      </c>
    </row>
    <row r="1502">
      <c r="B1502" s="9" t="n">
        <v>1500</v>
      </c>
      <c r="C1502" s="10" t="inlineStr">
        <is>
          <t>Nhân Viên Thủ Kho</t>
        </is>
      </c>
      <c r="D1502" s="10" t="inlineStr">
        <is>
          <t>Masan Consumer</t>
        </is>
      </c>
      <c r="E1502" s="10" t="inlineStr">
        <is>
          <t>Lương:12 Tr - 15 Tr VND</t>
        </is>
      </c>
      <c r="F1502" s="10" t="inlineStr">
        <is>
          <t>Hải Dương</t>
        </is>
      </c>
      <c r="G1502" s="10" t="inlineStr">
        <is>
          <t>30-04-2026</t>
        </is>
      </c>
      <c r="H1502" s="10" t="inlineStr">
        <is>
          <t>30/04/2026</t>
        </is>
      </c>
      <c r="I1502" s="10" t="inlineStr">
        <is>
          <t>17/03/2026</t>
        </is>
      </c>
      <c r="J1502" s="10" t="inlineStr">
        <is>
          <t>Vận chuyển / Giao nhận / Kho vận</t>
        </is>
      </c>
      <c r="K1502" s="10" t="inlineStr">
        <is>
          <t>2 - 5 Năm</t>
        </is>
      </c>
      <c r="L1502" s="11">
        <f>HYPERLINK("https://careerviet.vn/vi/tim-viec-lam/nhan-vien-thu-kho.35C6A59A.html","Xem chi tiết")</f>
        <v/>
      </c>
      <c r="M1502" s="10" t="n"/>
    </row>
    <row r="1503">
      <c r="B1503" s="7" t="n">
        <v>1501</v>
      </c>
      <c r="C1503" t="inlineStr">
        <is>
          <t>Phó giám đốc chi nhánh - RB - MSB - 1D048</t>
        </is>
      </c>
      <c r="D1503" t="inlineStr">
        <is>
          <t>Ngân hàng Thương mại Cổ phần Hàng Hải Việt Nam (MSB)</t>
        </is>
      </c>
      <c r="E1503" t="inlineStr">
        <is>
          <t>Lương:Cạnh tranh</t>
        </is>
      </c>
      <c r="F1503" t="inlineStr">
        <is>
          <t>Quảng NgãiBạc Liêu</t>
        </is>
      </c>
      <c r="G1503" t="inlineStr">
        <is>
          <t>30-04-2026</t>
        </is>
      </c>
      <c r="H1503" t="inlineStr">
        <is>
          <t>30/04/2026</t>
        </is>
      </c>
      <c r="I1503" t="inlineStr">
        <is>
          <t>17/03/2026</t>
        </is>
      </c>
      <c r="J1503" t="inlineStr">
        <is>
          <t>Ngân hàng</t>
        </is>
      </c>
      <c r="K1503" t="inlineStr">
        <is>
          <t>Trên 4 Năm</t>
        </is>
      </c>
      <c r="L1503" s="8">
        <f>HYPERLINK("https://careerviet.vn/vi/tim-viec-lam/pho-giam-doc-chi-nhanh-rb-msb-1d048.35C6B7BE.html","Xem chi tiết")</f>
        <v/>
      </c>
    </row>
    <row r="1504">
      <c r="B1504" s="9" t="n">
        <v>1502</v>
      </c>
      <c r="C1504" s="10" t="inlineStr">
        <is>
          <t>Thiết Kế 3D Nội Ngoại Thất</t>
        </is>
      </c>
      <c r="D1504" s="10" t="inlineStr">
        <is>
          <t>CÔNG TY CP ĐẦU TƯ KIẾN TRÚC &amp; NỘI THẤT MỘC XINH</t>
        </is>
      </c>
      <c r="E1504" s="10" t="inlineStr">
        <is>
          <t>Lương:20 Tr - 30 Tr VND</t>
        </is>
      </c>
      <c r="F1504" s="10" t="inlineStr">
        <is>
          <t>Hà Nội</t>
        </is>
      </c>
      <c r="G1504" s="10" t="inlineStr">
        <is>
          <t>09-04-2026</t>
        </is>
      </c>
      <c r="H1504" s="10" t="inlineStr">
        <is>
          <t>09/04/2026</t>
        </is>
      </c>
      <c r="I1504" s="10" t="inlineStr">
        <is>
          <t>17/03/2026</t>
        </is>
      </c>
      <c r="J1504" s="10" t="inlineStr">
        <is>
          <t>Xây dựng, Kiến trúc, Nội ngoại thất</t>
        </is>
      </c>
      <c r="K1504" s="10" t="inlineStr">
        <is>
          <t>Trên 3 Năm</t>
        </is>
      </c>
      <c r="L1504" s="11">
        <f>HYPERLINK("https://careerviet.vn/vi/tim-viec-lam/thiet-ke-3d-noi-ngoai-that.35C6B8D5.html","Xem chi tiết")</f>
        <v/>
      </c>
      <c r="M1504" s="10" t="n"/>
    </row>
    <row r="1505">
      <c r="B1505" s="7" t="n">
        <v>1503</v>
      </c>
      <c r="C1505" t="inlineStr">
        <is>
          <t>Chuyên Viên Xử Lý Đơn Hàng(Mới)</t>
        </is>
      </c>
      <c r="D1505" t="inlineStr">
        <is>
          <t>Công Ty Cổ phần Tập Đoàn KIDO</t>
        </is>
      </c>
      <c r="E1505" t="inlineStr">
        <is>
          <t>Lương:10 Tr - 12 Tr VND</t>
        </is>
      </c>
      <c r="F1505" t="inlineStr">
        <is>
          <t>Hồ Chí Minh</t>
        </is>
      </c>
      <c r="G1505" t="inlineStr">
        <is>
          <t>11-04-2026</t>
        </is>
      </c>
      <c r="H1505" t="inlineStr">
        <is>
          <t>11/04/2026</t>
        </is>
      </c>
      <c r="I1505" t="inlineStr">
        <is>
          <t>17/03/2026</t>
        </is>
      </c>
      <c r="J1505" t="inlineStr">
        <is>
          <t>Vận chuyển / Giao nhận / Kho vận</t>
        </is>
      </c>
      <c r="K1505" t="inlineStr">
        <is>
          <t>1 - 2 Năm</t>
        </is>
      </c>
      <c r="L1505" s="8">
        <f>HYPERLINK("https://careerviet.vn/vi/tim-viec-lam/chuyen-vien-xu-ly-don-hang.35C6CA30.html","Xem chi tiết")</f>
        <v/>
      </c>
    </row>
    <row r="1506">
      <c r="B1506" s="9" t="n">
        <v>1504</v>
      </c>
      <c r="C1506" s="10" t="inlineStr">
        <is>
          <t>Chuyên Viên Nhân Sự</t>
        </is>
      </c>
      <c r="D1506" s="10" t="inlineStr">
        <is>
          <t>LOTTE VIETNAM SHOPPING JOINT STOCK COMPANY</t>
        </is>
      </c>
      <c r="E1506" s="10" t="inlineStr">
        <is>
          <t>Lương:Cạnh tranh</t>
        </is>
      </c>
      <c r="F1506" s="10" t="inlineStr">
        <is>
          <t>Bắc Giang</t>
        </is>
      </c>
      <c r="G1506" s="10" t="inlineStr">
        <is>
          <t>23-04-2026</t>
        </is>
      </c>
      <c r="H1506" s="10" t="inlineStr">
        <is>
          <t>23/04/2026</t>
        </is>
      </c>
      <c r="I1506" s="10" t="inlineStr">
        <is>
          <t>17/03/2026</t>
        </is>
      </c>
      <c r="J1506" s="10" t="inlineStr">
        <is>
          <t>Nhân sự, Bán lẻ / Bán sỉ, Luật / Pháp lý</t>
        </is>
      </c>
      <c r="K1506" s="10" t="inlineStr">
        <is>
          <t>2 - 3 Năm</t>
        </is>
      </c>
      <c r="L1506" s="11">
        <f>HYPERLINK("https://careerviet.vn/vi/tim-viec-lam/chuyen-vien-nhan-su.35C6B906.html","Xem chi tiết")</f>
        <v/>
      </c>
      <c r="M1506" s="10" t="n"/>
    </row>
    <row r="1507">
      <c r="B1507" s="7" t="n">
        <v>1505</v>
      </c>
      <c r="C1507" t="inlineStr">
        <is>
          <t>Kỹ sư Kinh tế Xây dựng (QS / Cost Engineer) (Khánh Hòa)</t>
        </is>
      </c>
      <c r="D1507" t="inlineStr">
        <is>
          <t>TẬP ĐOÀN HOÀN CẦU</t>
        </is>
      </c>
      <c r="E1507" t="inlineStr">
        <is>
          <t>Lương:Cạnh tranh</t>
        </is>
      </c>
      <c r="F1507" t="inlineStr">
        <is>
          <t>Khánh Hòa</t>
        </is>
      </c>
      <c r="G1507" t="inlineStr">
        <is>
          <t>31-03-2026</t>
        </is>
      </c>
      <c r="H1507" t="inlineStr">
        <is>
          <t>31/03/2026</t>
        </is>
      </c>
      <c r="I1507" t="inlineStr">
        <is>
          <t>17/03/2026</t>
        </is>
      </c>
      <c r="J1507" t="inlineStr">
        <is>
          <t>Bất động sản, Ngân hàng</t>
        </is>
      </c>
      <c r="K1507" t="inlineStr">
        <is>
          <t>2 - 5 Năm</t>
        </is>
      </c>
      <c r="L1507" s="8">
        <f>HYPERLINK("https://careerviet.vn/vi/tim-viec-lam/ky-su-kinh-te-xay-dung-qs-cost-engineer-khanh-hoa.35C6B8AE.html","Xem chi tiết")</f>
        <v/>
      </c>
    </row>
    <row r="1508">
      <c r="B1508" s="9" t="n">
        <v>1506</v>
      </c>
      <c r="C1508" s="10" t="inlineStr">
        <is>
          <t>Nhân viên QC</t>
        </is>
      </c>
      <c r="D1508" s="10" t="inlineStr">
        <is>
          <t>Công ty TNHH Di Đại Hưng</t>
        </is>
      </c>
      <c r="E1508" s="10" t="inlineStr">
        <is>
          <t>Lương:10 Tr - 12 Tr VND</t>
        </is>
      </c>
      <c r="F1508" s="10" t="inlineStr">
        <is>
          <t>Hồ Chí Minh</t>
        </is>
      </c>
      <c r="G1508" s="10" t="inlineStr">
        <is>
          <t>15-03-2026</t>
        </is>
      </c>
      <c r="H1508" s="10" t="inlineStr">
        <is>
          <t>09/03/2026</t>
        </is>
      </c>
      <c r="I1508" s="10" t="inlineStr">
        <is>
          <t>17/03/2026</t>
        </is>
      </c>
      <c r="J1508" s="10" t="inlineStr">
        <is>
          <t>Hàng gia dụng / Chăm sóc cá nhân, Sản xuất / Vận hành sản xuất</t>
        </is>
      </c>
      <c r="K1508" s="10" t="inlineStr">
        <is>
          <t>1 - 3 Năm</t>
        </is>
      </c>
      <c r="L1508" s="11">
        <f>HYPERLINK("https://careerviet.vn/vi/tim-viec-lam/nhan-vien-qc.35C6B6AE.html","Xem chi tiết")</f>
        <v/>
      </c>
      <c r="M1508" s="10" t="n"/>
    </row>
    <row r="1509">
      <c r="B1509" s="7" t="n">
        <v>1507</v>
      </c>
      <c r="C1509" t="inlineStr">
        <is>
          <t>Giám sát vệ sinh</t>
        </is>
      </c>
      <c r="D1509" t="inlineStr">
        <is>
          <t>BỆNH VIỆN ĐA KHOA PHƯƠNG ĐÔNG</t>
        </is>
      </c>
      <c r="E1509" t="inlineStr">
        <is>
          <t>Lương:9 Tr - 11 Tr VND</t>
        </is>
      </c>
      <c r="F1509" t="inlineStr">
        <is>
          <t>Hà Nội</t>
        </is>
      </c>
      <c r="G1509" t="inlineStr">
        <is>
          <t>31-03-2026</t>
        </is>
      </c>
      <c r="H1509" t="inlineStr">
        <is>
          <t>31/03/2026</t>
        </is>
      </c>
      <c r="I1509" t="inlineStr">
        <is>
          <t>17/03/2026</t>
        </is>
      </c>
      <c r="J1509" t="inlineStr">
        <is>
          <t>Y tế / Chăm sóc sức khỏe / Thẩm mỹ / Làm đẹp</t>
        </is>
      </c>
      <c r="K1509" t="inlineStr">
        <is>
          <t>1 - 3 Năm</t>
        </is>
      </c>
      <c r="L1509" s="8">
        <f>HYPERLINK("https://careerviet.vn/vi/tim-viec-lam/giam-sat-ve-sinh.35C6B871.html","Xem chi tiết")</f>
        <v/>
      </c>
    </row>
    <row r="1510">
      <c r="B1510" s="9" t="n">
        <v>1508</v>
      </c>
      <c r="C1510" s="10" t="inlineStr">
        <is>
          <t>Mold Maintenance Technician/ Kỹ Thuật Bảo Trì Khuôn</t>
        </is>
      </c>
      <c r="D1510" s="10" t="inlineStr">
        <is>
          <t>Siamp Co., Ltd</t>
        </is>
      </c>
      <c r="E1510" s="10" t="inlineStr">
        <is>
          <t>Lương:Cạnh tranh</t>
        </is>
      </c>
      <c r="F1510" s="10" t="inlineStr">
        <is>
          <t>Hồ Chí Minh</t>
        </is>
      </c>
      <c r="G1510" s="10" t="inlineStr">
        <is>
          <t>30-04-2026</t>
        </is>
      </c>
      <c r="H1510" s="10" t="inlineStr">
        <is>
          <t>30/04/2026</t>
        </is>
      </c>
      <c r="I1510" s="10" t="inlineStr">
        <is>
          <t>17/03/2026</t>
        </is>
      </c>
      <c r="J1510" s="10" t="inlineStr">
        <is>
          <t>Cơ khí / Ô tô / Tự động hóa, Bảo trì / Sửa chữa, Sản xuất / Vận hành sản xuất</t>
        </is>
      </c>
      <c r="K1510" s="10" t="inlineStr">
        <is>
          <t>3 - 5 NămĐịa điểm</t>
        </is>
      </c>
      <c r="L1510" s="11">
        <f>HYPERLINK("https://careerviet.vn/vi/tim-viec-lam/mold-maintenance-technician-ky-thuat-bao-tri-khuon.35C6B7D4.html","Xem chi tiết")</f>
        <v/>
      </c>
      <c r="M1510" s="10" t="n"/>
    </row>
    <row r="1511">
      <c r="B1511" s="7" t="n">
        <v>1509</v>
      </c>
      <c r="C1511" t="inlineStr">
        <is>
          <t>Nhân Viên Vận Hành Máy(Mới)</t>
        </is>
      </c>
      <c r="D1511" t="inlineStr">
        <is>
          <t>Coherent Corp.</t>
        </is>
      </c>
      <c r="E1511" t="inlineStr">
        <is>
          <t>Lương:Cạnh tranh</t>
        </is>
      </c>
      <c r="F1511" t="inlineStr">
        <is>
          <t>Bình DươngĐồng Nai</t>
        </is>
      </c>
      <c r="G1511" t="inlineStr">
        <is>
          <t>15-04-2026</t>
        </is>
      </c>
      <c r="H1511" t="inlineStr">
        <is>
          <t>15/04/2026</t>
        </is>
      </c>
      <c r="I1511" t="inlineStr">
        <is>
          <t>17/03/2026</t>
        </is>
      </c>
      <c r="J1511" t="inlineStr">
        <is>
          <t>Sản xuất / Vận hành sản xuất</t>
        </is>
      </c>
      <c r="K1511" t="inlineStr">
        <is>
          <t>N/A</t>
        </is>
      </c>
      <c r="L1511" s="8">
        <f>HYPERLINK("https://careerviet.vn/vi/tim-viec-lam/nhan-vien-van-hanh-may.35C6CA03.html","Xem chi tiết")</f>
        <v/>
      </c>
    </row>
    <row r="1512">
      <c r="B1512" s="9" t="n">
        <v>1510</v>
      </c>
      <c r="C1512" s="10" t="inlineStr">
        <is>
          <t>TRƯỞNG PHÒNG NHÂN SỰ (CÓ XE ĐƯA ĐÓN)</t>
        </is>
      </c>
      <c r="D1512" s="10" t="inlineStr">
        <is>
          <t>Công Ty TNHH Thương Mại K&amp;K Toàn Cầu</t>
        </is>
      </c>
      <c r="E1512" s="10" t="inlineStr">
        <is>
          <t>Lương:30 Tr - 35 Tr VND</t>
        </is>
      </c>
      <c r="F1512" s="10" t="inlineStr">
        <is>
          <t>Hà Nội</t>
        </is>
      </c>
      <c r="G1512" s="10" t="inlineStr">
        <is>
          <t>10-04-2026</t>
        </is>
      </c>
      <c r="H1512" s="10" t="inlineStr">
        <is>
          <t>10/04/2026</t>
        </is>
      </c>
      <c r="I1512" s="10" t="inlineStr">
        <is>
          <t>17/03/2026</t>
        </is>
      </c>
      <c r="J1512" s="10" t="inlineStr">
        <is>
          <t>Bán lẻ / Bán sỉ, Nhân sự, Thực phẩm &amp; Đồ uống</t>
        </is>
      </c>
      <c r="K1512" s="10" t="inlineStr">
        <is>
          <t>3 - 5 Năm</t>
        </is>
      </c>
      <c r="L1512" s="11">
        <f>HYPERLINK("https://careerviet.vn/vi/tim-viec-lam/truong-phong-nhan-su-co-xe-dua-don.35C6B815.html","Xem chi tiết")</f>
        <v/>
      </c>
      <c r="M1512" s="10" t="n"/>
    </row>
    <row r="1513">
      <c r="B1513" s="7" t="n">
        <v>1511</v>
      </c>
      <c r="C1513" t="inlineStr">
        <is>
          <t>Nhân viên Livestream</t>
        </is>
      </c>
      <c r="D1513" t="inlineStr">
        <is>
          <t>Công Ty TNHH TM &amp; XNK Nhất Lâm</t>
        </is>
      </c>
      <c r="E1513" t="inlineStr">
        <is>
          <t>Lương:7 Tr - 12 Tr VND</t>
        </is>
      </c>
      <c r="F1513" t="inlineStr">
        <is>
          <t>Hà Nội</t>
        </is>
      </c>
      <c r="G1513" t="inlineStr">
        <is>
          <t>31-03-2026</t>
        </is>
      </c>
      <c r="H1513" t="inlineStr">
        <is>
          <t>31/03/2026</t>
        </is>
      </c>
      <c r="I1513" t="inlineStr">
        <is>
          <t>17/03/2026</t>
        </is>
      </c>
      <c r="J1513" t="inlineStr">
        <is>
          <t>Tiếp thị / Marketing, Thương mại điện tử</t>
        </is>
      </c>
      <c r="K1513" t="inlineStr">
        <is>
          <t>1 - 2 Năm</t>
        </is>
      </c>
      <c r="L1513" s="8">
        <f>HYPERLINK("https://careerviet.vn/vi/tim-viec-lam/nhan-vien-livestream.35C6B740.html","Xem chi tiết")</f>
        <v/>
      </c>
    </row>
    <row r="1514">
      <c r="B1514" s="9" t="n">
        <v>1512</v>
      </c>
      <c r="C1514" s="10" t="inlineStr">
        <is>
          <t>Kế toán viên</t>
        </is>
      </c>
      <c r="D1514" s="10" t="inlineStr">
        <is>
          <t>Hệ Thống Cửa Hàng Giày Da Đông Hải</t>
        </is>
      </c>
      <c r="E1514" s="10" t="inlineStr">
        <is>
          <t>Lương:Cạnh tranh</t>
        </is>
      </c>
      <c r="F1514" s="10" t="inlineStr">
        <is>
          <t>Hồ Chí Minh</t>
        </is>
      </c>
      <c r="G1514" s="10" t="inlineStr">
        <is>
          <t>09-04-2026</t>
        </is>
      </c>
      <c r="H1514" s="10" t="inlineStr">
        <is>
          <t>09/04/2026</t>
        </is>
      </c>
      <c r="I1514" s="10" t="inlineStr">
        <is>
          <t>17/03/2026</t>
        </is>
      </c>
      <c r="J1514" s="10" t="inlineStr">
        <is>
          <t>Bán hàng / Kinh doanh, Kế toán / Kiểm toán, Dệt may / Da giày / Thời trang</t>
        </is>
      </c>
      <c r="K1514" s="10" t="inlineStr">
        <is>
          <t>2 - 3 Năm</t>
        </is>
      </c>
      <c r="L1514" s="11">
        <f>HYPERLINK("https://careerviet.vn/vi/tim-viec-lam/ke-toan-vien.35C6B715.html","Xem chi tiết")</f>
        <v/>
      </c>
      <c r="M1514" s="10" t="n"/>
    </row>
    <row r="1515">
      <c r="B1515" s="7" t="n">
        <v>1513</v>
      </c>
      <c r="C1515" t="inlineStr">
        <is>
          <t>NHÂN VIÊN TUYỂN DỤNG</t>
        </is>
      </c>
      <c r="D1515" t="inlineStr">
        <is>
          <t>Công Ty TNHH May Thêu Giày An Phước</t>
        </is>
      </c>
      <c r="E1515" t="inlineStr">
        <is>
          <t>Lương:Cạnh tranh</t>
        </is>
      </c>
      <c r="F1515" t="inlineStr">
        <is>
          <t>Hồ Chí Minh</t>
        </is>
      </c>
      <c r="G1515" t="inlineStr">
        <is>
          <t>25-03-2026</t>
        </is>
      </c>
      <c r="H1515" t="inlineStr">
        <is>
          <t>25/03/2026</t>
        </is>
      </c>
      <c r="I1515" t="inlineStr">
        <is>
          <t>17/03/2026</t>
        </is>
      </c>
      <c r="J1515" t="inlineStr">
        <is>
          <t>Nhân sự, Hành chính / Thư ký, Dệt may / Da giày / Thời trang</t>
        </is>
      </c>
      <c r="K1515" t="inlineStr">
        <is>
          <t>3 - 5 Năm</t>
        </is>
      </c>
      <c r="L1515" s="8">
        <f>HYPERLINK("https://careerviet.vn/vi/tim-viec-lam/nhan-vien-tuyen-dung.35C6AB46.html","Xem chi tiết")</f>
        <v/>
      </c>
    </row>
    <row r="1516">
      <c r="B1516" s="9" t="n">
        <v>1514</v>
      </c>
      <c r="C1516" s="10" t="inlineStr">
        <is>
          <t>Nhân Viên Bảo Trì Cơ Điện - Phú Quốc</t>
        </is>
      </c>
      <c r="D1516" s="10" t="inlineStr">
        <is>
          <t>ATAD Steel Structure Corporation</t>
        </is>
      </c>
      <c r="E1516" s="10" t="inlineStr">
        <is>
          <t>Lương:Cạnh tranh</t>
        </is>
      </c>
      <c r="F1516" s="10" t="inlineStr">
        <is>
          <t>Kiên Giang</t>
        </is>
      </c>
      <c r="G1516" s="10" t="inlineStr">
        <is>
          <t>30-04-2026</t>
        </is>
      </c>
      <c r="H1516" s="10" t="inlineStr">
        <is>
          <t>30/04/2026</t>
        </is>
      </c>
      <c r="I1516" s="10" t="inlineStr">
        <is>
          <t>17/03/2026</t>
        </is>
      </c>
      <c r="J1516" s="10" t="inlineStr">
        <is>
          <t>Sản xuất / Vận hành sản xuất, Bảo trì / Sửa chữa, Cơ khí / Ô tô / Tự động hóa</t>
        </is>
      </c>
      <c r="K1516" s="10" t="inlineStr">
        <is>
          <t>Lên đến 3 Năm</t>
        </is>
      </c>
      <c r="L1516" s="11">
        <f>HYPERLINK("https://careerviet.vn/vi/tim-viec-lam/nhan-vien-bao-tri-co-dien-phu-quoc.35C6B7B8.html","Xem chi tiết")</f>
        <v/>
      </c>
      <c r="M1516" s="10" t="n"/>
    </row>
    <row r="1517">
      <c r="B1517" s="7" t="n">
        <v>1515</v>
      </c>
      <c r="C1517" t="inlineStr">
        <is>
          <t>Cửa hàng trưởng(Mới)</t>
        </is>
      </c>
      <c r="D1517" t="inlineStr">
        <is>
          <t>Bảo mật</t>
        </is>
      </c>
      <c r="E1517" t="inlineStr">
        <is>
          <t>Lương:Cạnh tranh</t>
        </is>
      </c>
      <c r="F1517" t="inlineStr">
        <is>
          <t>Hồ Chí Minh</t>
        </is>
      </c>
      <c r="G1517" t="inlineStr">
        <is>
          <t>15-04-2026</t>
        </is>
      </c>
      <c r="H1517" t="inlineStr">
        <is>
          <t>15/04/2026</t>
        </is>
      </c>
      <c r="I1517" t="inlineStr">
        <is>
          <t>17/03/2026</t>
        </is>
      </c>
      <c r="J1517" t="inlineStr">
        <is>
          <t>Bán lẻ / Bán sỉ, Dược phẩm/ Hóa Mỹ Phẩm, Y tế / Chăm sóc sức khỏe / Thẩm mỹ / Làm đẹp</t>
        </is>
      </c>
      <c r="K1517" t="inlineStr">
        <is>
          <t>1 - 5 Năm</t>
        </is>
      </c>
      <c r="L1517" s="8">
        <f>HYPERLINK("https://careerviet.vn/vi/tim-viec-lam/cua-hang-truong.35C6CA29.html","Xem chi tiết")</f>
        <v/>
      </c>
    </row>
    <row r="1518">
      <c r="B1518" s="9" t="n">
        <v>1516</v>
      </c>
      <c r="C1518" s="10" t="inlineStr">
        <is>
          <t>Human Resources Manager(Mới)</t>
        </is>
      </c>
      <c r="D1518" s="10" t="inlineStr">
        <is>
          <t>Bảo mật</t>
        </is>
      </c>
      <c r="E1518" s="10" t="inlineStr">
        <is>
          <t>Lương:Cạnh tranh</t>
        </is>
      </c>
      <c r="F1518" s="10" t="inlineStr">
        <is>
          <t>Hồ Chí Minh</t>
        </is>
      </c>
      <c r="G1518" s="10" t="inlineStr">
        <is>
          <t>13-04-2026</t>
        </is>
      </c>
      <c r="H1518" s="10" t="inlineStr">
        <is>
          <t>13/04/2026</t>
        </is>
      </c>
      <c r="I1518" s="10" t="inlineStr">
        <is>
          <t>17/03/2026</t>
        </is>
      </c>
      <c r="J1518" s="10" t="inlineStr">
        <is>
          <t>Nhân sự, Quản lý điều hành, Hành chính / Thư ký</t>
        </is>
      </c>
      <c r="K1518" s="10" t="inlineStr">
        <is>
          <t>5 - 11 Năm</t>
        </is>
      </c>
      <c r="L1518" s="11">
        <f>HYPERLINK("https://careerviet.vn/vi/tim-viec-lam/human-resources-manager.35C6CA26.html","Xem chi tiết")</f>
        <v/>
      </c>
      <c r="M1518" s="10" t="n"/>
    </row>
    <row r="1519">
      <c r="B1519" s="7" t="n">
        <v>1517</v>
      </c>
      <c r="C1519" t="inlineStr">
        <is>
          <t>Chuyên viên Thương mại Điện tử (Website)(Mới)</t>
        </is>
      </c>
      <c r="D1519" t="inlineStr">
        <is>
          <t>ROUTINE VN - FASHION DESIGN &amp; RETAILER</t>
        </is>
      </c>
      <c r="E1519" t="inlineStr">
        <is>
          <t>Lương:18 Tr - 22 Tr VND</t>
        </is>
      </c>
      <c r="F1519" t="inlineStr">
        <is>
          <t>Hồ Chí Minh</t>
        </is>
      </c>
      <c r="G1519" t="inlineStr">
        <is>
          <t>16-04-2026</t>
        </is>
      </c>
      <c r="H1519" t="inlineStr">
        <is>
          <t>16/04/2026</t>
        </is>
      </c>
      <c r="I1519" t="inlineStr">
        <is>
          <t>17/03/2026</t>
        </is>
      </c>
      <c r="J1519" t="inlineStr">
        <is>
          <t>Bán hàng / Kinh doanh, Dệt may / Da giày / Thời trang, Thương mại điện tử</t>
        </is>
      </c>
      <c r="K1519" t="inlineStr">
        <is>
          <t>3 - 7 Năm</t>
        </is>
      </c>
      <c r="L1519" s="8">
        <f>HYPERLINK("https://careerviet.vn/vi/tim-viec-lam/chuyen-vien-thuong-mai-dien-tu-website.35C6CA0B.html","Xem chi tiết")</f>
        <v/>
      </c>
    </row>
    <row r="1520">
      <c r="B1520" s="9" t="n">
        <v>1518</v>
      </c>
      <c r="C1520" s="10" t="inlineStr">
        <is>
          <t>Giám đốc Vận hành Khu Công Nghiệp(Mới)</t>
        </is>
      </c>
      <c r="D1520" s="10" t="inlineStr">
        <is>
          <t>Bảo mật</t>
        </is>
      </c>
      <c r="E1520" s="10" t="inlineStr">
        <is>
          <t>Lương:Cạnh tranh</t>
        </is>
      </c>
      <c r="F1520" s="10" t="inlineStr">
        <is>
          <t>Hồ Chí Minh</t>
        </is>
      </c>
      <c r="G1520" s="10" t="inlineStr">
        <is>
          <t>14-04-2026</t>
        </is>
      </c>
      <c r="H1520" s="10" t="inlineStr">
        <is>
          <t>14/04/2026</t>
        </is>
      </c>
      <c r="I1520" s="10" t="inlineStr">
        <is>
          <t>17/03/2026</t>
        </is>
      </c>
      <c r="J1520" s="10" t="inlineStr">
        <is>
          <t>Quản lý điều hành, Bất động sản, Xây dựng</t>
        </is>
      </c>
      <c r="K1520" s="10" t="inlineStr">
        <is>
          <t>5 - 10 Năm</t>
        </is>
      </c>
      <c r="L1520" s="11">
        <f>HYPERLINK("https://careerviet.vn/vi/tim-viec-lam/giam-doc-van-hanh-khu-cong-nghiep.35C6CA27.html","Xem chi tiết")</f>
        <v/>
      </c>
      <c r="M1520" s="10" t="n"/>
    </row>
    <row r="1521">
      <c r="B1521" s="7" t="n">
        <v>1519</v>
      </c>
      <c r="C1521" t="inlineStr">
        <is>
          <t>Trưởng Ca Sản Xuất (Production Shift Lead, Line Lead)(Mới)</t>
        </is>
      </c>
      <c r="D1521" t="inlineStr">
        <is>
          <t>Coherent Corp.</t>
        </is>
      </c>
      <c r="E1521" t="inlineStr">
        <is>
          <t>Lương:12 Tr - 18 Tr VND</t>
        </is>
      </c>
      <c r="F1521" t="inlineStr">
        <is>
          <t>Bình Dương</t>
        </is>
      </c>
      <c r="G1521" t="inlineStr">
        <is>
          <t>15-04-2026</t>
        </is>
      </c>
      <c r="H1521" t="inlineStr">
        <is>
          <t>15/04/2026</t>
        </is>
      </c>
      <c r="I1521" t="inlineStr">
        <is>
          <t>17/03/2026</t>
        </is>
      </c>
      <c r="J1521" t="inlineStr">
        <is>
          <t>Cơ khí / Ô tô / Tự động hóa, Điện / Điện tử / Điện lạnh / Điện công nghiệp, Sản xuất / Vận hành sản xuất</t>
        </is>
      </c>
      <c r="K1521" t="inlineStr">
        <is>
          <t>2 - 10 Năm</t>
        </is>
      </c>
      <c r="L1521" s="8">
        <f>HYPERLINK("https://careerviet.vn/vi/tim-viec-lam/truong-ca-san-xuat-production-shift-lead-line-lead.35C6C9FD.html","Xem chi tiết")</f>
        <v/>
      </c>
    </row>
    <row r="1522">
      <c r="B1522" s="9" t="n">
        <v>1520</v>
      </c>
      <c r="C1522" s="10" t="inlineStr">
        <is>
          <t>Lab Assistant Manager (Textile/Garment)(Mới)</t>
        </is>
      </c>
      <c r="D1522" s="10" t="inlineStr">
        <is>
          <t>Cty SGS Việt Nam TNHH</t>
        </is>
      </c>
      <c r="E1522" s="10" t="inlineStr">
        <is>
          <t>Lương:Cạnh tranh</t>
        </is>
      </c>
      <c r="F1522" s="10" t="inlineStr">
        <is>
          <t>Hồ Chí Minh</t>
        </is>
      </c>
      <c r="G1522" s="10" t="inlineStr">
        <is>
          <t>11-04-2026</t>
        </is>
      </c>
      <c r="H1522" s="10" t="inlineStr">
        <is>
          <t>11/04/2026</t>
        </is>
      </c>
      <c r="I1522" s="10" t="inlineStr">
        <is>
          <t>17/03/2026</t>
        </is>
      </c>
      <c r="J1522" s="10" t="inlineStr">
        <is>
          <t>Dệt may / Da giày / Thời trang, Hóa học</t>
        </is>
      </c>
      <c r="K1522" s="10" t="inlineStr">
        <is>
          <t>5 - 10 Năm</t>
        </is>
      </c>
      <c r="L1522" s="11">
        <f>HYPERLINK("https://careerviet.vn/vi/tim-viec-lam/lab-assistant-manager-textile-garment.35C6CA00.html","Xem chi tiết")</f>
        <v/>
      </c>
      <c r="M1522" s="10" t="n"/>
    </row>
    <row r="1523">
      <c r="B1523" s="7" t="n">
        <v>1521</v>
      </c>
      <c r="C1523" t="inlineStr">
        <is>
          <t>Kỹ sư giám sát điện(Mới)</t>
        </is>
      </c>
      <c r="D1523" t="inlineStr">
        <is>
          <t>Bảo mật</t>
        </is>
      </c>
      <c r="E1523" t="inlineStr">
        <is>
          <t>Lương:20 Tr - 25 Tr VND</t>
        </is>
      </c>
      <c r="F1523" t="inlineStr">
        <is>
          <t>Hồ Chí Minh</t>
        </is>
      </c>
      <c r="G1523" t="inlineStr">
        <is>
          <t>15-04-2026</t>
        </is>
      </c>
      <c r="H1523" t="inlineStr">
        <is>
          <t>15/04/2026</t>
        </is>
      </c>
      <c r="I1523" t="inlineStr">
        <is>
          <t>17/03/2026</t>
        </is>
      </c>
      <c r="J1523" t="inlineStr">
        <is>
          <t>Cơ khí / Ô tô / Tự động hóa, Điện / Điện tử / Điện lạnh / Điện công nghiệp</t>
        </is>
      </c>
      <c r="K1523" t="inlineStr">
        <is>
          <t>5 - 10 Năm</t>
        </is>
      </c>
      <c r="L1523" s="8">
        <f>HYPERLINK("https://careerviet.vn/vi/tim-viec-lam/ky-su-giam-sat-dien.35C6CA28.html","Xem chi tiết")</f>
        <v/>
      </c>
    </row>
    <row r="1524">
      <c r="B1524" s="9" t="n">
        <v>1522</v>
      </c>
      <c r="C1524" s="10" t="inlineStr">
        <is>
          <t>Lab Supervisor - GC(Mới)</t>
        </is>
      </c>
      <c r="D1524" s="10" t="inlineStr">
        <is>
          <t>Cty SGS Việt Nam TNHH</t>
        </is>
      </c>
      <c r="E1524" s="10" t="inlineStr">
        <is>
          <t>Lương:Cạnh tranh</t>
        </is>
      </c>
      <c r="F1524" s="10" t="inlineStr">
        <is>
          <t>Hồ Chí Minh</t>
        </is>
      </c>
      <c r="G1524" s="10" t="inlineStr">
        <is>
          <t>11-04-2026</t>
        </is>
      </c>
      <c r="H1524" s="10" t="inlineStr">
        <is>
          <t>11/04/2026</t>
        </is>
      </c>
      <c r="I1524" s="10" t="inlineStr">
        <is>
          <t>17/03/2026</t>
        </is>
      </c>
      <c r="J1524" s="10" t="inlineStr">
        <is>
          <t>Hóa học</t>
        </is>
      </c>
      <c r="K1524" s="10" t="inlineStr">
        <is>
          <t>4 - 10 Năm</t>
        </is>
      </c>
      <c r="L1524" s="11">
        <f>HYPERLINK("https://careerviet.vn/vi/tim-viec-lam/lab-supervisor-gc.35C6CA02.html","Xem chi tiết")</f>
        <v/>
      </c>
      <c r="M1524" s="10" t="n"/>
    </row>
    <row r="1525">
      <c r="B1525" s="7" t="n">
        <v>1523</v>
      </c>
      <c r="C1525" t="inlineStr">
        <is>
          <t>Liobank - CVCC Phát triển sản phẩm cho vay cá nhân (Loan)</t>
        </is>
      </c>
      <c r="D1525" t="inlineStr">
        <is>
          <t>Ngân Hàng TMCP Phương Đông - OCB</t>
        </is>
      </c>
      <c r="E1525" t="inlineStr">
        <is>
          <t>Lương:Cạnh tranh</t>
        </is>
      </c>
      <c r="F1525" t="inlineStr">
        <is>
          <t>Hồ Chí Minh</t>
        </is>
      </c>
      <c r="G1525" t="inlineStr">
        <is>
          <t>13-04-2026</t>
        </is>
      </c>
      <c r="H1525" t="inlineStr">
        <is>
          <t>13/04/2026</t>
        </is>
      </c>
      <c r="I1525" t="inlineStr">
        <is>
          <t>17/03/2026</t>
        </is>
      </c>
      <c r="J1525" t="inlineStr">
        <is>
          <t>Ngân hàng, Tài chính / Đầu tư</t>
        </is>
      </c>
      <c r="K1525" t="inlineStr">
        <is>
          <t>3 - 5 Năm</t>
        </is>
      </c>
      <c r="L1525" s="8">
        <f>HYPERLINK("https://careerviet.vn/vi/tim-viec-lam/liobank-cvcc-phat-trien-san-pham-cho-vay-ca-nhan-loan.35C65659.html","Xem chi tiết")</f>
        <v/>
      </c>
    </row>
    <row r="1526">
      <c r="B1526" s="9" t="n">
        <v>1524</v>
      </c>
      <c r="C1526" s="10" t="inlineStr">
        <is>
          <t>Nhân viên/Chuyên viên(Mới)</t>
        </is>
      </c>
      <c r="D1526" s="10" t="inlineStr">
        <is>
          <t>CÔNG TY TNHH THƯƠNG MẠI AN NAM FOOD</t>
        </is>
      </c>
      <c r="E1526" s="10" t="inlineStr">
        <is>
          <t>Lương:8 Tr - 12 Tr VND</t>
        </is>
      </c>
      <c r="F1526" s="10" t="inlineStr">
        <is>
          <t>Cần Thơ</t>
        </is>
      </c>
      <c r="G1526" s="10" t="inlineStr">
        <is>
          <t>31-03-2026</t>
        </is>
      </c>
      <c r="H1526" s="10" t="inlineStr">
        <is>
          <t>31/03/2026</t>
        </is>
      </c>
      <c r="I1526" s="10" t="inlineStr">
        <is>
          <t>17/03/2026</t>
        </is>
      </c>
      <c r="J1526" s="10" t="inlineStr">
        <is>
          <t>Tiếp thị / Marketing</t>
        </is>
      </c>
      <c r="K1526" s="10" t="inlineStr">
        <is>
          <t>2 - 3 Năm</t>
        </is>
      </c>
      <c r="L1526" s="11">
        <f>HYPERLINK("https://careerviet.vn/vi/tim-viec-lam/nhan-vien-chuyen-vien.35C6CA23.html","Xem chi tiết")</f>
        <v/>
      </c>
      <c r="M1526" s="10" t="n"/>
    </row>
    <row r="1527">
      <c r="B1527" s="7" t="n">
        <v>1525</v>
      </c>
      <c r="C1527" t="inlineStr">
        <is>
          <t>[NovaDreams] Trưởng phòng Quản lý Kênh Truyền thông Mạng xã hội và Báo chí</t>
        </is>
      </c>
      <c r="D1527" t="inlineStr">
        <is>
          <t>Bảo mật</t>
        </is>
      </c>
      <c r="E1527" t="inlineStr">
        <is>
          <t>Lương:Cạnh tranh</t>
        </is>
      </c>
      <c r="F1527" t="inlineStr">
        <is>
          <t>Hồ Chí Minh</t>
        </is>
      </c>
      <c r="G1527" t="inlineStr">
        <is>
          <t>13-04-2026</t>
        </is>
      </c>
      <c r="H1527" t="inlineStr">
        <is>
          <t>13/04/2026</t>
        </is>
      </c>
      <c r="I1527" t="inlineStr">
        <is>
          <t>17/03/2026</t>
        </is>
      </c>
      <c r="J1527" t="inlineStr">
        <is>
          <t>Tiếp thị / Marketing, Mỹ thuật / Nghệ thuật / Thiết kế, Quảng cáo / Đối ngoại / Truyền Thông</t>
        </is>
      </c>
      <c r="K1527" t="inlineStr">
        <is>
          <t>4 - 10 Năm</t>
        </is>
      </c>
      <c r="L1527" s="8">
        <f>HYPERLINK("https://careerviet.vn/vi/tim-viec-lam/novadreams-truong-phong-quan-ly-kenh-truyen-thong-mang-xa-hoi-va-bao-chi.35C65655.html","Xem chi tiết")</f>
        <v/>
      </c>
    </row>
    <row r="1528">
      <c r="B1528" s="9" t="n">
        <v>1526</v>
      </c>
      <c r="C1528" s="10" t="inlineStr">
        <is>
          <t>Kỹ sư Shopdrawing</t>
        </is>
      </c>
      <c r="D1528" s="10" t="inlineStr">
        <is>
          <t>CÔNG TY CỔ PHẦN XÂY DỰNG VÀ CƠ KHÍ DELTA E&amp;C</t>
        </is>
      </c>
      <c r="E1528" s="10" t="inlineStr">
        <is>
          <t>Lương:20 Tr - 30 Tr VND</t>
        </is>
      </c>
      <c r="F1528" s="10" t="inlineStr">
        <is>
          <t>Hà Nội</t>
        </is>
      </c>
      <c r="G1528" s="10" t="inlineStr">
        <is>
          <t>13-04-2026</t>
        </is>
      </c>
      <c r="H1528" s="10" t="inlineStr">
        <is>
          <t>13/04/2026</t>
        </is>
      </c>
      <c r="I1528" s="10" t="inlineStr">
        <is>
          <t>17/03/2026</t>
        </is>
      </c>
      <c r="J1528" s="10" t="inlineStr">
        <is>
          <t>Kiến trúc, Xây dựng</t>
        </is>
      </c>
      <c r="K1528" s="10" t="inlineStr">
        <is>
          <t>2 - 3 Năm</t>
        </is>
      </c>
      <c r="L1528" s="11">
        <f>HYPERLINK("https://careerviet.vn/vi/tim-viec-lam/ky-su-shopdrawing.35C65595.html","Xem chi tiết")</f>
        <v/>
      </c>
      <c r="M1528" s="10" t="n"/>
    </row>
    <row r="1529">
      <c r="B1529" s="7" t="n">
        <v>1527</v>
      </c>
      <c r="C1529" t="inlineStr">
        <is>
          <t>Accounts Payable Executive (Trade)</t>
        </is>
      </c>
      <c r="D1529" t="inlineStr">
        <is>
          <t>CÔNG TY TNHH DONG MART</t>
        </is>
      </c>
      <c r="E1529" t="inlineStr">
        <is>
          <t>Lương:Cạnh tranh</t>
        </is>
      </c>
      <c r="F1529" t="inlineStr">
        <is>
          <t>Hồ Chí Minh</t>
        </is>
      </c>
      <c r="G1529" t="inlineStr">
        <is>
          <t>13-04-2026</t>
        </is>
      </c>
      <c r="H1529" t="inlineStr">
        <is>
          <t>13/04/2026</t>
        </is>
      </c>
      <c r="I1529" t="inlineStr">
        <is>
          <t>17/03/2026</t>
        </is>
      </c>
      <c r="J1529" t="inlineStr">
        <is>
          <t>Kế toán / Kiểm toán, Ngân hàng, Tài chính / Đầu tư</t>
        </is>
      </c>
      <c r="K1529" t="inlineStr">
        <is>
          <t>3 - 5 Năm</t>
        </is>
      </c>
      <c r="L1529" s="8">
        <f>HYPERLINK("https://careerviet.vn/vi/tim-viec-lam/accounts-payable-executive-trade.35C6556F.html","Xem chi tiết")</f>
        <v/>
      </c>
    </row>
    <row r="1530">
      <c r="B1530" s="9" t="n">
        <v>1528</v>
      </c>
      <c r="C1530" s="10" t="inlineStr">
        <is>
          <t>Kỹ sư QS M&amp;E</t>
        </is>
      </c>
      <c r="D1530" s="10" t="inlineStr">
        <is>
          <t>CÔNG TY CỔ PHẦN XÂY DỰNG VÀ CƠ KHÍ DELTA E&amp;C</t>
        </is>
      </c>
      <c r="E1530" s="10" t="inlineStr">
        <is>
          <t>Lương:20 Tr - 30 Tr VND</t>
        </is>
      </c>
      <c r="F1530" s="10" t="inlineStr">
        <is>
          <t>Hà Nội</t>
        </is>
      </c>
      <c r="G1530" s="10" t="inlineStr">
        <is>
          <t>13-04-2026</t>
        </is>
      </c>
      <c r="H1530" s="10" t="inlineStr">
        <is>
          <t>13/04/2026</t>
        </is>
      </c>
      <c r="I1530" s="10" t="inlineStr">
        <is>
          <t>17/03/2026</t>
        </is>
      </c>
      <c r="J1530" s="10" t="inlineStr">
        <is>
          <t>Điện / Điện tử / Điện lạnh / Điện công nghiệp, Kiến trúc, Xây dựng</t>
        </is>
      </c>
      <c r="K1530" s="10" t="inlineStr">
        <is>
          <t>2 - 3 Năm</t>
        </is>
      </c>
      <c r="L1530" s="11">
        <f>HYPERLINK("https://careerviet.vn/vi/tim-viec-lam/ky-su-qs-m-e.35C65599.html","Xem chi tiết")</f>
        <v/>
      </c>
      <c r="M1530" s="10" t="n"/>
    </row>
    <row r="1531">
      <c r="B1531" s="7" t="n">
        <v>1529</v>
      </c>
      <c r="C1531" t="inlineStr">
        <is>
          <t>CHUYÊN VIÊN TRIỂN KHAI 2D</t>
        </is>
      </c>
      <c r="D1531" t="inlineStr">
        <is>
          <t>TRAN DUC CORPORATION - CÔNG TY CỔ PHẦN TRẦN ĐỨC</t>
        </is>
      </c>
      <c r="E1531" t="inlineStr">
        <is>
          <t>Lương:Cạnh tranh</t>
        </is>
      </c>
      <c r="F1531" t="inlineStr">
        <is>
          <t>Hồ Chí Minh</t>
        </is>
      </c>
      <c r="G1531" t="inlineStr">
        <is>
          <t>13-04-2026</t>
        </is>
      </c>
      <c r="H1531" t="inlineStr">
        <is>
          <t>13/04/2026</t>
        </is>
      </c>
      <c r="I1531" t="inlineStr">
        <is>
          <t>17/03/2026</t>
        </is>
      </c>
      <c r="J1531" t="inlineStr">
        <is>
          <t>Mỹ thuật / Nghệ thuật / Thiết kế, Kiến trúc, Nội ngoại thất</t>
        </is>
      </c>
      <c r="K1531" t="inlineStr">
        <is>
          <t>3 - 4 Năm</t>
        </is>
      </c>
      <c r="L1531" s="8">
        <f>HYPERLINK("https://careerviet.vn/vi/tim-viec-lam/chuyen-vien-trien-khai-2d.35C65755.html","Xem chi tiết")</f>
        <v/>
      </c>
    </row>
    <row r="1532">
      <c r="B1532" s="9" t="n">
        <v>1530</v>
      </c>
      <c r="C1532" s="10" t="inlineStr">
        <is>
          <t>Nhân Viên Kế Toán Bán Hàng</t>
        </is>
      </c>
      <c r="D1532" s="10" t="inlineStr">
        <is>
          <t>HEADWAY JSC</t>
        </is>
      </c>
      <c r="E1532" s="10" t="inlineStr">
        <is>
          <t>Lương:Cạnh tranh</t>
        </is>
      </c>
      <c r="F1532" s="10" t="inlineStr">
        <is>
          <t>Hồ Chí Minh</t>
        </is>
      </c>
      <c r="G1532" s="10" t="inlineStr">
        <is>
          <t>13-04-2026</t>
        </is>
      </c>
      <c r="H1532" s="10" t="inlineStr">
        <is>
          <t>13/04/2026</t>
        </is>
      </c>
      <c r="I1532" s="10" t="inlineStr">
        <is>
          <t>17/03/2026</t>
        </is>
      </c>
      <c r="J1532" s="10" t="inlineStr">
        <is>
          <t>Vận chuyển / Giao nhận / Kho vận, Kế toán / Kiểm toán, Xuất nhập khẩu</t>
        </is>
      </c>
      <c r="K1532" s="10" t="inlineStr">
        <is>
          <t>Trên 3 Năm</t>
        </is>
      </c>
      <c r="L1532" s="11">
        <f>HYPERLINK("https://careerviet.vn/vi/tim-viec-lam/nhan-vien-ke-toan-ban-hang.35C65687.html","Xem chi tiết")</f>
        <v/>
      </c>
      <c r="M1532" s="10" t="n"/>
    </row>
    <row r="1533">
      <c r="B1533" s="7" t="n">
        <v>1531</v>
      </c>
      <c r="C1533" t="inlineStr">
        <is>
          <t>Nhân viên lái xe điện</t>
        </is>
      </c>
      <c r="D1533" t="inlineStr">
        <is>
          <t>BỆNH VIỆN ĐA KHOA PHƯƠNG ĐÔNG</t>
        </is>
      </c>
      <c r="E1533" t="inlineStr">
        <is>
          <t>Lương:7 Tr - 10 Tr VND</t>
        </is>
      </c>
      <c r="F1533" t="inlineStr">
        <is>
          <t>Hà Nội</t>
        </is>
      </c>
      <c r="G1533" t="inlineStr">
        <is>
          <t>13-04-2026</t>
        </is>
      </c>
      <c r="H1533" t="inlineStr">
        <is>
          <t>13/04/2026</t>
        </is>
      </c>
      <c r="I1533" t="inlineStr">
        <is>
          <t>17/03/2026</t>
        </is>
      </c>
      <c r="J1533" t="inlineStr">
        <is>
          <t>Dịch vụ khách hàng, Vận chuyển / Giao nhận / Kho vận, Lao động phổ thông</t>
        </is>
      </c>
      <c r="K1533" t="inlineStr">
        <is>
          <t>1 - 2 Năm</t>
        </is>
      </c>
      <c r="L1533" s="8">
        <f>HYPERLINK("https://careerviet.vn/vi/tim-viec-lam/nhan-vien-lai-xe-dien.35C65727.html","Xem chi tiết")</f>
        <v/>
      </c>
    </row>
    <row r="1534">
      <c r="B1534" s="9" t="n">
        <v>1532</v>
      </c>
      <c r="C1534" s="10" t="inlineStr">
        <is>
          <t>Kỹ Thuật Viên Quy Trình(Mới)</t>
        </is>
      </c>
      <c r="D1534" s="10" t="inlineStr">
        <is>
          <t>Coherent Corp.</t>
        </is>
      </c>
      <c r="E1534" s="10" t="inlineStr">
        <is>
          <t>Lương:Cạnh tranh</t>
        </is>
      </c>
      <c r="F1534" s="10" t="inlineStr">
        <is>
          <t>Bình DươngĐồng Nai</t>
        </is>
      </c>
      <c r="G1534" s="10" t="inlineStr">
        <is>
          <t>15-04-2026</t>
        </is>
      </c>
      <c r="H1534" s="10" t="inlineStr">
        <is>
          <t>15/04/2026</t>
        </is>
      </c>
      <c r="I1534" s="10" t="inlineStr">
        <is>
          <t>17/03/2026</t>
        </is>
      </c>
      <c r="J1534" s="10" t="inlineStr">
        <is>
          <t>Cơ khí / Ô tô / Tự động hóa, Điện / Điện tử / Điện lạnh / Điện công nghiệp, Sản xuất / Vận hành sản xuất</t>
        </is>
      </c>
      <c r="K1534" s="10" t="inlineStr">
        <is>
          <t>Lên đến 2 Năm</t>
        </is>
      </c>
      <c r="L1534" s="11">
        <f>HYPERLINK("https://careerviet.vn/vi/tim-viec-lam/ky-thuat-vien-quy-trinh.35C6C9FB.html","Xem chi tiết")</f>
        <v/>
      </c>
      <c r="M1534" s="10" t="n"/>
    </row>
    <row r="1535">
      <c r="B1535" s="7" t="n">
        <v>1533</v>
      </c>
      <c r="C1535" t="inlineStr">
        <is>
          <t>Giám sát thi công nội thất - Đi làm ngay</t>
        </is>
      </c>
      <c r="D1535" t="inlineStr">
        <is>
          <t>Công Ty TNHH Thương Mại Rồng Phương Bắc</t>
        </is>
      </c>
      <c r="E1535" t="inlineStr">
        <is>
          <t>Lương:15 Tr - 17 Tr VND</t>
        </is>
      </c>
      <c r="F1535" t="inlineStr">
        <is>
          <t>Hà NộiHồ Chí Minh</t>
        </is>
      </c>
      <c r="G1535" t="inlineStr">
        <is>
          <t>13-04-2026</t>
        </is>
      </c>
      <c r="H1535" t="inlineStr">
        <is>
          <t>13/04/2026</t>
        </is>
      </c>
      <c r="I1535" t="inlineStr">
        <is>
          <t>17/03/2026</t>
        </is>
      </c>
      <c r="J1535" t="inlineStr">
        <is>
          <t>Kiến trúc, Xây dựng, Nội ngoại thất</t>
        </is>
      </c>
      <c r="K1535" t="inlineStr">
        <is>
          <t>2 - 3 Năm</t>
        </is>
      </c>
      <c r="L1535" s="8">
        <f>HYPERLINK("https://careerviet.vn/vi/tim-viec-lam/giam-sat-thi-cong-noi-that-di-lam-ngay.35C656DE.html","Xem chi tiết")</f>
        <v/>
      </c>
    </row>
    <row r="1536">
      <c r="B1536" s="9" t="n">
        <v>1534</v>
      </c>
      <c r="C1536" s="10" t="inlineStr">
        <is>
          <t>Specification Sales Executive</t>
        </is>
      </c>
      <c r="D1536" s="10" t="inlineStr">
        <is>
          <t>Công ty CP SX VL Cách Âm Cách Nhiệt Cát Tường</t>
        </is>
      </c>
      <c r="E1536" s="10" t="inlineStr">
        <is>
          <t>Lương:20 Tr - 25 Tr VND</t>
        </is>
      </c>
      <c r="F1536" s="10" t="inlineStr">
        <is>
          <t>Hồ Chí Minh</t>
        </is>
      </c>
      <c r="G1536" s="10" t="inlineStr">
        <is>
          <t>13-04-2026</t>
        </is>
      </c>
      <c r="H1536" s="10" t="inlineStr">
        <is>
          <t>13/04/2026</t>
        </is>
      </c>
      <c r="I1536" s="10" t="inlineStr">
        <is>
          <t>17/03/2026</t>
        </is>
      </c>
      <c r="J1536" s="10" t="inlineStr">
        <is>
          <t>Bán lẻ / Bán sỉ, Bán hàng / Kinh doanh, Nội ngoại thất</t>
        </is>
      </c>
      <c r="K1536" s="10" t="inlineStr">
        <is>
          <t>3 - 5 Năm</t>
        </is>
      </c>
      <c r="L1536" s="11">
        <f>HYPERLINK("https://careerviet.vn/vi/tim-viec-lam/specification-sales-executive.35C655F9.html","Xem chi tiết")</f>
        <v/>
      </c>
      <c r="M1536" s="10" t="n"/>
    </row>
    <row r="1537">
      <c r="B1537" s="7" t="n">
        <v>1535</v>
      </c>
      <c r="C1537" t="inlineStr">
        <is>
          <t>QUẢN LÝ BỘ PHẬN RESIN</t>
        </is>
      </c>
      <c r="D1537" t="inlineStr">
        <is>
          <t>TRAN DUC CORPORATION - CÔNG TY CỔ PHẦN TRẦN ĐỨC</t>
        </is>
      </c>
      <c r="E1537" t="inlineStr">
        <is>
          <t>Lương:Cạnh tranh</t>
        </is>
      </c>
      <c r="F1537" t="inlineStr">
        <is>
          <t>Bình Dương</t>
        </is>
      </c>
      <c r="G1537" t="inlineStr">
        <is>
          <t>13-04-2026</t>
        </is>
      </c>
      <c r="H1537" t="inlineStr">
        <is>
          <t>13/04/2026</t>
        </is>
      </c>
      <c r="I1537" t="inlineStr">
        <is>
          <t>17/03/2026</t>
        </is>
      </c>
      <c r="J1537" t="inlineStr">
        <is>
          <t>Hóa học, Mỹ thuật / Nghệ thuật / Thiết kế, Nội ngoại thất</t>
        </is>
      </c>
      <c r="K1537" t="inlineStr">
        <is>
          <t>2 - 3 Năm</t>
        </is>
      </c>
      <c r="L1537" s="8">
        <f>HYPERLINK("https://careerviet.vn/vi/tim-viec-lam/quan-ly-bo-phan-resin.35C65752.html","Xem chi tiết")</f>
        <v/>
      </c>
    </row>
    <row r="1538">
      <c r="B1538" s="9" t="n">
        <v>1536</v>
      </c>
      <c r="C1538" s="10" t="inlineStr">
        <is>
          <t>KẾ TOÁN TRƯỞNG</t>
        </is>
      </c>
      <c r="D1538" s="10" t="inlineStr">
        <is>
          <t>Công ty Cổ phần Express Thành Đạt</t>
        </is>
      </c>
      <c r="E1538" s="10" t="inlineStr">
        <is>
          <t>Lương:25 Tr - 35 Tr VND</t>
        </is>
      </c>
      <c r="F1538" s="10" t="inlineStr">
        <is>
          <t>Hà Nội</t>
        </is>
      </c>
      <c r="G1538" s="10" t="inlineStr">
        <is>
          <t>13-04-2026</t>
        </is>
      </c>
      <c r="H1538" s="10" t="inlineStr">
        <is>
          <t>13/04/2026</t>
        </is>
      </c>
      <c r="I1538" s="10" t="inlineStr">
        <is>
          <t>17/03/2026</t>
        </is>
      </c>
      <c r="J1538" s="10" t="inlineStr">
        <is>
          <t>Vận chuyển / Giao nhận / Kho vận, Kế toán / Kiểm toán, Tài chính / Đầu tư</t>
        </is>
      </c>
      <c r="K1538" s="10" t="inlineStr">
        <is>
          <t>2 - 10 Năm</t>
        </is>
      </c>
      <c r="L1538" s="11">
        <f>HYPERLINK("https://careerviet.vn/vi/tim-viec-lam/ke-toan-truong.35C65701.html","Xem chi tiết")</f>
        <v/>
      </c>
      <c r="M1538" s="10" t="n"/>
    </row>
    <row r="1539">
      <c r="B1539" s="7" t="n">
        <v>1537</v>
      </c>
      <c r="C1539" t="inlineStr">
        <is>
          <t>Nhân viên kinh doanh showroom</t>
        </is>
      </c>
      <c r="D1539" t="inlineStr">
        <is>
          <t>Công ty TNHH PNK</t>
        </is>
      </c>
      <c r="E1539" t="inlineStr">
        <is>
          <t>Lương:15 Tr - 18 Tr VND</t>
        </is>
      </c>
      <c r="F1539" t="inlineStr">
        <is>
          <t>Hà Nội</t>
        </is>
      </c>
      <c r="G1539" t="inlineStr">
        <is>
          <t>13-04-2026</t>
        </is>
      </c>
      <c r="H1539" t="inlineStr">
        <is>
          <t>13/04/2026</t>
        </is>
      </c>
      <c r="I1539" t="inlineStr">
        <is>
          <t>17/03/2026</t>
        </is>
      </c>
      <c r="J1539" t="inlineStr">
        <is>
          <t>Bán lẻ / Bán sỉ, Bán hàng / Kinh doanh, Nội ngoại thất</t>
        </is>
      </c>
      <c r="K1539" t="inlineStr">
        <is>
          <t>2 - 3 Năm</t>
        </is>
      </c>
      <c r="L1539" s="8">
        <f>HYPERLINK("https://careerviet.vn/vi/tim-viec-lam/nhan-vien-kinh-doanh-showroom.35C657C0.html","Xem chi tiết")</f>
        <v/>
      </c>
    </row>
    <row r="1540">
      <c r="B1540" s="9" t="n">
        <v>1538</v>
      </c>
      <c r="C1540" s="10" t="inlineStr">
        <is>
          <t>Giám Sát Bán Hàng - Hòa Bình/Sơn La/Điện Biên</t>
        </is>
      </c>
      <c r="D1540" s="10" t="inlineStr">
        <is>
          <t>Coca-Cola Beverages Vietnam</t>
        </is>
      </c>
      <c r="E1540" s="10" t="inlineStr">
        <is>
          <t>Lương:Cạnh tranh</t>
        </is>
      </c>
      <c r="F1540" s="10" t="inlineStr">
        <is>
          <t>Sơn La</t>
        </is>
      </c>
      <c r="G1540" s="10" t="inlineStr">
        <is>
          <t>13-04-2026</t>
        </is>
      </c>
      <c r="H1540" s="10" t="inlineStr">
        <is>
          <t>13/04/2026</t>
        </is>
      </c>
      <c r="I1540" s="10" t="inlineStr">
        <is>
          <t>17/03/2026</t>
        </is>
      </c>
      <c r="J1540" s="10" t="inlineStr">
        <is>
          <t>Bán hàng / Kinh doanh</t>
        </is>
      </c>
      <c r="K1540" s="10" t="inlineStr">
        <is>
          <t>1 - 10 Năm</t>
        </is>
      </c>
      <c r="L1540" s="11">
        <f>HYPERLINK("https://careerviet.vn/vi/tim-viec-lam/giam-sat-ban-hang-hoa-binh-son-la-dien-bien.35C655FB.html","Xem chi tiết")</f>
        <v/>
      </c>
      <c r="M1540" s="10" t="n"/>
    </row>
    <row r="1541">
      <c r="B1541" s="7" t="n">
        <v>1539</v>
      </c>
      <c r="C1541" t="inlineStr">
        <is>
          <t>Nhân viên kiểm tra chất lượng (QC line)</t>
        </is>
      </c>
      <c r="D1541" t="inlineStr">
        <is>
          <t>Công ty TNHH SX - TM Nhật Tiến</t>
        </is>
      </c>
      <c r="E1541" t="inlineStr">
        <is>
          <t>Lương:Cạnh tranh</t>
        </is>
      </c>
      <c r="F1541" t="inlineStr">
        <is>
          <t>Long An</t>
        </is>
      </c>
      <c r="G1541" t="inlineStr">
        <is>
          <t>13-04-2026</t>
        </is>
      </c>
      <c r="H1541" t="inlineStr">
        <is>
          <t>13/04/2026</t>
        </is>
      </c>
      <c r="I1541" t="inlineStr">
        <is>
          <t>17/03/2026</t>
        </is>
      </c>
      <c r="J1541" t="inlineStr">
        <is>
          <t>Hóa học, Quản lý chất lượng (QA/QC), Sản xuất / Vận hành sản xuất</t>
        </is>
      </c>
      <c r="K1541" t="inlineStr">
        <is>
          <t>N/A</t>
        </is>
      </c>
      <c r="L1541" s="8">
        <f>HYPERLINK("https://careerviet.vn/vi/tim-viec-lam/nhan-vien-kiem-tra-chat-luong-qc-line.35C6887D.html","Xem chi tiết")</f>
        <v/>
      </c>
    </row>
    <row r="1542">
      <c r="B1542" s="9" t="n">
        <v>1540</v>
      </c>
      <c r="C1542" s="10" t="inlineStr">
        <is>
          <t>Deputy Quality Assurance (QA) Manager</t>
        </is>
      </c>
      <c r="D1542" s="10" t="inlineStr">
        <is>
          <t>ATAD Steel Structure Corporation</t>
        </is>
      </c>
      <c r="E1542" s="10" t="inlineStr">
        <is>
          <t>Lương:Cạnh tranh</t>
        </is>
      </c>
      <c r="F1542" s="10" t="inlineStr">
        <is>
          <t>Đồng Nai</t>
        </is>
      </c>
      <c r="G1542" s="10" t="inlineStr">
        <is>
          <t>13-04-2026</t>
        </is>
      </c>
      <c r="H1542" s="10" t="inlineStr">
        <is>
          <t>13/04/2026</t>
        </is>
      </c>
      <c r="I1542" s="10" t="inlineStr">
        <is>
          <t>17/03/2026</t>
        </is>
      </c>
      <c r="J1542" s="10" t="inlineStr">
        <is>
          <t>Cơ khí / Ô tô / Tự động hóa, Quản lý chất lượng (QA/QC), Xây dựng</t>
        </is>
      </c>
      <c r="K1542" s="10" t="inlineStr">
        <is>
          <t>5 - 7 Năm</t>
        </is>
      </c>
      <c r="L1542" s="11">
        <f>HYPERLINK("https://careerviet.vn/vi/tim-viec-lam/deputy-quality-assurance-qa-manager.35C6886E.html","Xem chi tiết")</f>
        <v/>
      </c>
      <c r="M1542" s="10" t="n"/>
    </row>
    <row r="1543">
      <c r="B1543" s="7" t="n">
        <v>1541</v>
      </c>
      <c r="C1543" t="inlineStr">
        <is>
          <t>Kỹ Thuật Viên Bảo Trì Thiết Bị(Mới)</t>
        </is>
      </c>
      <c r="D1543" t="inlineStr">
        <is>
          <t>Coherent Corp.</t>
        </is>
      </c>
      <c r="E1543" t="inlineStr">
        <is>
          <t>Lương:Cạnh tranh</t>
        </is>
      </c>
      <c r="F1543" t="inlineStr">
        <is>
          <t>Đồng NaiBình Dương</t>
        </is>
      </c>
      <c r="G1543" t="inlineStr">
        <is>
          <t>15-04-2026</t>
        </is>
      </c>
      <c r="H1543" t="inlineStr">
        <is>
          <t>15/04/2026</t>
        </is>
      </c>
      <c r="I1543" t="inlineStr">
        <is>
          <t>17/03/2026</t>
        </is>
      </c>
      <c r="J1543" t="inlineStr">
        <is>
          <t>Cơ khí / Ô tô / Tự động hóa, Điện / Điện tử / Điện lạnh / Điện công nghiệp</t>
        </is>
      </c>
      <c r="K1543" t="inlineStr">
        <is>
          <t>2 - 10 Năm</t>
        </is>
      </c>
      <c r="L1543" s="8">
        <f>HYPERLINK("https://careerviet.vn/vi/tim-viec-lam/ky-thuat-vien-bao-tri-thiet-bi.35C6C9FE.html","Xem chi tiết")</f>
        <v/>
      </c>
    </row>
    <row r="1544">
      <c r="B1544" s="9" t="n">
        <v>1542</v>
      </c>
      <c r="C1544" s="10" t="inlineStr">
        <is>
          <t>127514 - Ha Noi - Legal Staff - Trading</t>
        </is>
      </c>
      <c r="D1544" s="10" t="inlineStr">
        <is>
          <t>RGF HR Agent Vietnam Co., LTD</t>
        </is>
      </c>
      <c r="E1544" s="10" t="inlineStr">
        <is>
          <t>Lương:Cạnh tranh</t>
        </is>
      </c>
      <c r="F1544" s="10" t="inlineStr">
        <is>
          <t>Hà Nội</t>
        </is>
      </c>
      <c r="G1544" s="10" t="inlineStr">
        <is>
          <t>13-04-2026</t>
        </is>
      </c>
      <c r="H1544" s="10" t="inlineStr">
        <is>
          <t>13/04/2026</t>
        </is>
      </c>
      <c r="I1544" s="10" t="inlineStr">
        <is>
          <t>17/03/2026</t>
        </is>
      </c>
      <c r="J1544" s="10" t="inlineStr">
        <is>
          <t>Luật / Pháp lý</t>
        </is>
      </c>
      <c r="K1544" s="10" t="inlineStr">
        <is>
          <t>Trên 2 Năm</t>
        </is>
      </c>
      <c r="L1544" s="11">
        <f>HYPERLINK("https://careerviet.vn/vi/tim-viec-lam/127514-ha-noi-legal-staff-trading.35C68824.html","Xem chi tiết")</f>
        <v/>
      </c>
      <c r="M1544" s="10" t="n"/>
    </row>
    <row r="1545">
      <c r="B1545" s="7" t="n">
        <v>1543</v>
      </c>
      <c r="C1545" t="inlineStr">
        <is>
          <t>Kế Toán Bán Hàng</t>
        </is>
      </c>
      <c r="D1545" t="inlineStr">
        <is>
          <t>CÔNG TY TNHH SẢN XUẤT VÀ THƯƠNG MẠI THỰC PHẨM LÀNH MẠNH</t>
        </is>
      </c>
      <c r="E1545" t="inlineStr">
        <is>
          <t>Lương:9 Tr - 12 Tr VND</t>
        </is>
      </c>
      <c r="F1545" t="inlineStr">
        <is>
          <t>Hà Nội</t>
        </is>
      </c>
      <c r="G1545" t="inlineStr">
        <is>
          <t>10-04-2026</t>
        </is>
      </c>
      <c r="H1545" t="inlineStr">
        <is>
          <t>10/04/2026</t>
        </is>
      </c>
      <c r="I1545" t="inlineStr">
        <is>
          <t>17/03/2026</t>
        </is>
      </c>
      <c r="J1545" t="inlineStr">
        <is>
          <t>Kế toán / Kiểm toán, Hành chính / Thư ký, Thực phẩm &amp; Đồ uống</t>
        </is>
      </c>
      <c r="K1545" t="inlineStr">
        <is>
          <t>1 - 5 Năm</t>
        </is>
      </c>
      <c r="L1545" s="8">
        <f>HYPERLINK("https://careerviet.vn/vi/tim-viec-lam/ke-toan-ban-hang.35C6B90B.html","Xem chi tiết")</f>
        <v/>
      </c>
    </row>
    <row r="1546">
      <c r="B1546" s="9" t="n">
        <v>1544</v>
      </c>
      <c r="C1546" s="10" t="inlineStr">
        <is>
          <t>QC Inspection - Nhân viên Kiểm soát Chất lượng Kết Cấu Thép</t>
        </is>
      </c>
      <c r="D1546" s="10" t="inlineStr">
        <is>
          <t>ATAD Steel Structure Corporation</t>
        </is>
      </c>
      <c r="E1546" s="10" t="inlineStr">
        <is>
          <t>Lương:Cạnh tranh</t>
        </is>
      </c>
      <c r="F1546" s="10" t="inlineStr">
        <is>
          <t>Đồng Nai</t>
        </is>
      </c>
      <c r="G1546" s="10" t="inlineStr">
        <is>
          <t>13-04-2026</t>
        </is>
      </c>
      <c r="H1546" s="10" t="inlineStr">
        <is>
          <t>13/04/2026</t>
        </is>
      </c>
      <c r="I1546" s="10" t="inlineStr">
        <is>
          <t>17/03/2026</t>
        </is>
      </c>
      <c r="J1546" s="10" t="inlineStr">
        <is>
          <t>Xây dựng, Quản lý chất lượng (QA/QC), Cơ khí / Ô tô / Tự động hóa</t>
        </is>
      </c>
      <c r="K1546" s="10" t="inlineStr">
        <is>
          <t>1 - 3 Năm</t>
        </is>
      </c>
      <c r="L1546" s="11">
        <f>HYPERLINK("https://careerviet.vn/vi/tim-viec-lam/qc-inspection-nhan-vien-kiem-soat-chat-luong-ket-cau-thep.35C68856.html","Xem chi tiết")</f>
        <v/>
      </c>
      <c r="M1546" s="10" t="n"/>
    </row>
    <row r="1547">
      <c r="B1547" s="7" t="n">
        <v>1545</v>
      </c>
      <c r="C1547" t="inlineStr">
        <is>
          <t>Kế toán tổng hợp</t>
        </is>
      </c>
      <c r="D1547" t="inlineStr">
        <is>
          <t>Bee-Next - Công ty CP TM DV Vùng Trời Thông Tin</t>
        </is>
      </c>
      <c r="E1547" t="inlineStr">
        <is>
          <t>Lương:15 Tr - 20 Tr VND</t>
        </is>
      </c>
      <c r="F1547" t="inlineStr">
        <is>
          <t>Hồ Chí Minh</t>
        </is>
      </c>
      <c r="G1547" t="inlineStr">
        <is>
          <t>13-04-2026</t>
        </is>
      </c>
      <c r="H1547" t="inlineStr">
        <is>
          <t>13/04/2026</t>
        </is>
      </c>
      <c r="I1547" t="inlineStr">
        <is>
          <t>17/03/2026</t>
        </is>
      </c>
      <c r="J1547" t="inlineStr">
        <is>
          <t>Kế toán / Kiểm toán</t>
        </is>
      </c>
      <c r="K1547" t="inlineStr">
        <is>
          <t>2 - 3 Năm</t>
        </is>
      </c>
      <c r="L1547" s="8">
        <f>HYPERLINK("https://careerviet.vn/vi/tim-viec-lam/ke-toan-tong-hop.35C68869.html","Xem chi tiết")</f>
        <v/>
      </c>
    </row>
    <row r="1548">
      <c r="B1548" s="9" t="n">
        <v>1546</v>
      </c>
      <c r="C1548" s="10" t="inlineStr">
        <is>
          <t>CHUYÊN VIÊN KẾ TOÁN THUẾ</t>
        </is>
      </c>
      <c r="D1548" s="10" t="inlineStr">
        <is>
          <t>Công ty Cổ phần xuất nhập khẩu Y tế TPHCM</t>
        </is>
      </c>
      <c r="E1548" s="10" t="inlineStr">
        <is>
          <t>Lương:Cạnh tranh</t>
        </is>
      </c>
      <c r="F1548" s="10" t="inlineStr">
        <is>
          <t>Hồ Chí Minh</t>
        </is>
      </c>
      <c r="G1548" s="10" t="inlineStr">
        <is>
          <t>13-04-2026</t>
        </is>
      </c>
      <c r="H1548" s="10" t="inlineStr">
        <is>
          <t>13/04/2026</t>
        </is>
      </c>
      <c r="I1548" s="10" t="inlineStr">
        <is>
          <t>17/03/2026</t>
        </is>
      </c>
      <c r="J1548" s="10" t="inlineStr">
        <is>
          <t>Kế toán / Kiểm toán, Luật / Pháp lý, Tài chính / Đầu tư</t>
        </is>
      </c>
      <c r="K1548" s="10" t="inlineStr">
        <is>
          <t>3 - 5 Năm</t>
        </is>
      </c>
      <c r="L1548" s="11">
        <f>HYPERLINK("https://careerviet.vn/vi/tim-viec-lam/chuyen-vien-ke-toan-thue.35C656F5.html","Xem chi tiết")</f>
        <v/>
      </c>
      <c r="M1548" s="10" t="n"/>
    </row>
    <row r="1549">
      <c r="B1549" s="7" t="n">
        <v>1547</v>
      </c>
      <c r="C1549" t="inlineStr">
        <is>
          <t>127597 - Tiếng Nhật - Thư ký - Ngành Máy móc</t>
        </is>
      </c>
      <c r="D1549" t="inlineStr">
        <is>
          <t>RGF HR Agent Vietnam Co., LTD</t>
        </is>
      </c>
      <c r="E1549" t="inlineStr">
        <is>
          <t>Lương:20 Tr - 25 Tr VND</t>
        </is>
      </c>
      <c r="F1549" t="inlineStr">
        <is>
          <t>Bình Dương</t>
        </is>
      </c>
      <c r="G1549" t="inlineStr">
        <is>
          <t>13-04-2026</t>
        </is>
      </c>
      <c r="H1549" t="inlineStr">
        <is>
          <t>13/04/2026</t>
        </is>
      </c>
      <c r="I1549" t="inlineStr">
        <is>
          <t>17/03/2026</t>
        </is>
      </c>
      <c r="J1549" t="inlineStr">
        <is>
          <t>Hành chính / Thư ký</t>
        </is>
      </c>
      <c r="K1549" t="inlineStr">
        <is>
          <t>Trên 3 Năm</t>
        </is>
      </c>
      <c r="L1549" s="8">
        <f>HYPERLINK("https://careerviet.vn/vi/tim-viec-lam/127597-tieng-nhat-thu-ky-nganh-may-moc.35C688D7.html","Xem chi tiết")</f>
        <v/>
      </c>
    </row>
    <row r="1550">
      <c r="B1550" s="9" t="n">
        <v>1548</v>
      </c>
      <c r="C1550" s="10" t="inlineStr">
        <is>
          <t>TÀI XẾ XE NÂNG (10-15tr)</t>
        </is>
      </c>
      <c r="D1550" s="10" t="inlineStr">
        <is>
          <t>CÔNG TY TNHH SẢN PHẨM XÂY DỰNG DINGO</t>
        </is>
      </c>
      <c r="E1550" s="10" t="inlineStr">
        <is>
          <t>Lương:10 Tr - 15 Tr VND</t>
        </is>
      </c>
      <c r="F1550" s="10" t="inlineStr">
        <is>
          <t>Đồng Nai</t>
        </is>
      </c>
      <c r="G1550" s="10" t="inlineStr">
        <is>
          <t>13-04-2026</t>
        </is>
      </c>
      <c r="H1550" s="10" t="inlineStr">
        <is>
          <t>13/04/2026</t>
        </is>
      </c>
      <c r="I1550" s="10" t="inlineStr">
        <is>
          <t>17/03/2026</t>
        </is>
      </c>
      <c r="J1550" s="10" t="inlineStr">
        <is>
          <t>Vận chuyển / Giao nhận / Kho vận, Lao động phổ thông, Sản xuất / Vận hành sản xuất</t>
        </is>
      </c>
      <c r="K1550" s="10" t="inlineStr">
        <is>
          <t>Trên 1 Năm</t>
        </is>
      </c>
      <c r="L1550" s="11">
        <f>HYPERLINK("https://careerviet.vn/vi/tim-viec-lam/tai-xe-xe-nang-10-15tr.35C6567C.html","Xem chi tiết")</f>
        <v/>
      </c>
      <c r="M1550" s="10" t="n"/>
    </row>
    <row r="1551">
      <c r="B1551" s="7" t="n">
        <v>1549</v>
      </c>
      <c r="C1551" t="inlineStr">
        <is>
          <t>Trưởng phòng giải pháp công nghệ cao</t>
        </is>
      </c>
      <c r="D1551" t="inlineStr">
        <is>
          <t>Công ty TNHH PNK</t>
        </is>
      </c>
      <c r="E1551" t="inlineStr">
        <is>
          <t>Lương:Cạnh tranh</t>
        </is>
      </c>
      <c r="F1551" t="inlineStr">
        <is>
          <t>Hà Nội</t>
        </is>
      </c>
      <c r="G1551" t="inlineStr">
        <is>
          <t>13-04-2026</t>
        </is>
      </c>
      <c r="H1551" t="inlineStr">
        <is>
          <t>13/04/2026</t>
        </is>
      </c>
      <c r="I1551" t="inlineStr">
        <is>
          <t>17/03/2026</t>
        </is>
      </c>
      <c r="J1551" t="inlineStr">
        <is>
          <t>Quản lý điều hành, Điện / Điện tử / Điện lạnh / Điện công nghiệp, CNTT - Phần mềm</t>
        </is>
      </c>
      <c r="K1551" t="inlineStr">
        <is>
          <t>3 - 5 Năm</t>
        </is>
      </c>
      <c r="L1551" s="8">
        <f>HYPERLINK("https://careerviet.vn/vi/tim-viec-lam/truong-phong-giai-phap-cong-nghe-cao.35C65671.html","Xem chi tiết")</f>
        <v/>
      </c>
    </row>
    <row r="1552">
      <c r="B1552" s="9" t="n">
        <v>1550</v>
      </c>
      <c r="C1552" s="10" t="inlineStr">
        <is>
          <t>Engineer, EHSS (Chuyên viên EHSS)</t>
        </is>
      </c>
      <c r="D1552" s="10" t="inlineStr">
        <is>
          <t>Swarovski Manufacturing Vietnam LLC</t>
        </is>
      </c>
      <c r="E1552" s="10" t="inlineStr">
        <is>
          <t>Lương:Cạnh tranh</t>
        </is>
      </c>
      <c r="F1552" s="10" t="inlineStr">
        <is>
          <t>Đồng Nai</t>
        </is>
      </c>
      <c r="G1552" s="10" t="inlineStr">
        <is>
          <t>31-03-2026</t>
        </is>
      </c>
      <c r="H1552" s="10" t="inlineStr">
        <is>
          <t>31/03/2026</t>
        </is>
      </c>
      <c r="I1552" s="10" t="inlineStr">
        <is>
          <t>17/03/2026</t>
        </is>
      </c>
      <c r="J1552" s="10" t="inlineStr">
        <is>
          <t>An toàn lao động, Sản xuất / Vận hành sản xuất</t>
        </is>
      </c>
      <c r="K1552" s="10" t="inlineStr">
        <is>
          <t>3 - 4 Năm</t>
        </is>
      </c>
      <c r="L1552" s="11">
        <f>HYPERLINK("https://careerviet.vn/vi/tim-viec-lam/engineer-ehss-chuyen-vien-ehss.35C6B818.html","Xem chi tiết")</f>
        <v/>
      </c>
      <c r="M1552" s="10" t="n"/>
    </row>
    <row r="1553">
      <c r="B1553" s="7" t="n">
        <v>1551</v>
      </c>
      <c r="C1553" t="inlineStr">
        <is>
          <t>127522 - Phiên dịch tiếng Nhật - Ngành xây dựng</t>
        </is>
      </c>
      <c r="D1553" t="inlineStr">
        <is>
          <t>RGF HR Agent Vietnam Co., LTD</t>
        </is>
      </c>
      <c r="E1553" t="inlineStr">
        <is>
          <t>Lương:18 Tr - 23 Tr VND</t>
        </is>
      </c>
      <c r="F1553" t="inlineStr">
        <is>
          <t>Hà Nội</t>
        </is>
      </c>
      <c r="G1553" t="inlineStr">
        <is>
          <t>13-04-2026</t>
        </is>
      </c>
      <c r="H1553" t="inlineStr">
        <is>
          <t>13/04/2026</t>
        </is>
      </c>
      <c r="I1553" t="inlineStr">
        <is>
          <t>17/03/2026</t>
        </is>
      </c>
      <c r="J1553" t="inlineStr">
        <is>
          <t>Biên phiên dịch, Xây dựng</t>
        </is>
      </c>
      <c r="K1553" t="inlineStr">
        <is>
          <t>2 - 3 Năm</t>
        </is>
      </c>
      <c r="L1553" s="8">
        <f>HYPERLINK("https://careerviet.vn/vi/tim-viec-lam/127522-phien-dich-tieng-nhat-nganh-xay-dung.35C68809.html","Xem chi tiết")</f>
        <v/>
      </c>
    </row>
    <row r="1554">
      <c r="B1554" s="9" t="n">
        <v>1552</v>
      </c>
      <c r="C1554" s="10" t="inlineStr">
        <is>
          <t>Kiểm soát viên Khu vực Hà Nội</t>
        </is>
      </c>
      <c r="D1554" s="10" t="inlineStr">
        <is>
          <t>Ngân Hàng TMCP Quốc Dân (NCB)</t>
        </is>
      </c>
      <c r="E1554" s="10" t="inlineStr">
        <is>
          <t>Lương:Cạnh tranh</t>
        </is>
      </c>
      <c r="F1554" s="10" t="inlineStr">
        <is>
          <t>Hà Nội</t>
        </is>
      </c>
      <c r="G1554" s="10" t="inlineStr">
        <is>
          <t>09-04-2026</t>
        </is>
      </c>
      <c r="H1554" s="10" t="inlineStr">
        <is>
          <t>09/04/2026</t>
        </is>
      </c>
      <c r="I1554" s="10" t="inlineStr">
        <is>
          <t>17/03/2026</t>
        </is>
      </c>
      <c r="J1554" s="10" t="inlineStr">
        <is>
          <t>Ngân hàng, Dịch vụ khách hàng, Bảo hiểm</t>
        </is>
      </c>
      <c r="K1554" s="10" t="inlineStr">
        <is>
          <t>Trên 1 Năm</t>
        </is>
      </c>
      <c r="L1554" s="11">
        <f>HYPERLINK("https://careerviet.vn/vi/tim-viec-lam/kiem-soat-vien-khu-vuc-ha-noi.35C6BA15.html","Xem chi tiết")</f>
        <v/>
      </c>
      <c r="M1554" s="10" t="n"/>
    </row>
    <row r="1555">
      <c r="B1555" s="7" t="n">
        <v>1553</v>
      </c>
      <c r="C1555" t="inlineStr">
        <is>
          <t>Nhân viên Digital Marketing</t>
        </is>
      </c>
      <c r="D1555" t="inlineStr">
        <is>
          <t>CÔNG TY CỔ PHẦN HỌC VIỆN MINH TRÍ THÀNH</t>
        </is>
      </c>
      <c r="E1555" t="inlineStr">
        <is>
          <t>Lương:12 Tr - 18 Tr VND</t>
        </is>
      </c>
      <c r="F1555" t="inlineStr">
        <is>
          <t>Hà Nội</t>
        </is>
      </c>
      <c r="G1555" t="inlineStr">
        <is>
          <t>27-04-2026</t>
        </is>
      </c>
      <c r="H1555" t="inlineStr">
        <is>
          <t>27/04/2026</t>
        </is>
      </c>
      <c r="I1555" t="inlineStr">
        <is>
          <t>17/03/2026</t>
        </is>
      </c>
      <c r="J1555" t="inlineStr">
        <is>
          <t>Tiếp thị / Marketing, Quảng cáo / Đối ngoại / Truyền Thông</t>
        </is>
      </c>
      <c r="K1555" t="inlineStr">
        <is>
          <t>2 - 5 Năm</t>
        </is>
      </c>
      <c r="L1555" s="8">
        <f>HYPERLINK("https://careerviet.vn/vi/tim-viec-lam/nhan-vien-digital-marketing.35C6B8E5.html","Xem chi tiết")</f>
        <v/>
      </c>
    </row>
    <row r="1556">
      <c r="B1556" s="9" t="n">
        <v>1554</v>
      </c>
      <c r="C1556" s="10" t="inlineStr">
        <is>
          <t>Nhân viên HSE</t>
        </is>
      </c>
      <c r="D1556" s="10" t="inlineStr">
        <is>
          <t>CÔNG TY TNHH POLYTEX  FAR EASTERN (VIỆT NAM)</t>
        </is>
      </c>
      <c r="E1556" s="10" t="inlineStr">
        <is>
          <t>Lương:12 Tr - 16 Tr VND</t>
        </is>
      </c>
      <c r="F1556" s="10" t="inlineStr">
        <is>
          <t>Bình Dương</t>
        </is>
      </c>
      <c r="G1556" s="10" t="inlineStr">
        <is>
          <t>30-04-2026</t>
        </is>
      </c>
      <c r="H1556" s="10" t="inlineStr">
        <is>
          <t>30/04/2026</t>
        </is>
      </c>
      <c r="I1556" s="10" t="inlineStr">
        <is>
          <t>17/03/2026</t>
        </is>
      </c>
      <c r="J1556" s="10" t="inlineStr">
        <is>
          <t>Môi trường, An toàn lao động</t>
        </is>
      </c>
      <c r="K1556" s="10" t="inlineStr">
        <is>
          <t>2 - 3 Năm</t>
        </is>
      </c>
      <c r="L1556" s="11">
        <f>HYPERLINK("https://careerviet.vn/vi/tim-viec-lam/nhan-vien-hse.35C6B6C3.html","Xem chi tiết")</f>
        <v/>
      </c>
      <c r="M1556" s="10" t="n"/>
    </row>
    <row r="1557">
      <c r="B1557" s="7" t="n">
        <v>1555</v>
      </c>
      <c r="C1557" t="inlineStr">
        <is>
          <t>Business Development Executive (Steel Industry) - Nhân Viên Kinh Doanh (Ngành Thép)</t>
        </is>
      </c>
      <c r="D1557" t="inlineStr">
        <is>
          <t>Bảo mật</t>
        </is>
      </c>
      <c r="E1557" t="inlineStr">
        <is>
          <t>Lương:Cạnh tranh</t>
        </is>
      </c>
      <c r="F1557" t="inlineStr">
        <is>
          <t>Hồ Chí Minh</t>
        </is>
      </c>
      <c r="G1557" t="inlineStr">
        <is>
          <t>13-04-2026</t>
        </is>
      </c>
      <c r="H1557" t="inlineStr">
        <is>
          <t>13/04/2026</t>
        </is>
      </c>
      <c r="I1557" t="inlineStr">
        <is>
          <t>17/03/2026</t>
        </is>
      </c>
      <c r="J1557" t="inlineStr">
        <is>
          <t>Bán hàng / Kinh doanh, Bán lẻ / Bán sỉ, Thu mua / Vật tư</t>
        </is>
      </c>
      <c r="K1557" t="inlineStr">
        <is>
          <t>Lên đến 1 Năm</t>
        </is>
      </c>
      <c r="L1557" s="8">
        <f>HYPERLINK("https://careerviet.vn/vi/tim-viec-lam/business-development-executive-steel-industry-nhan-vien-kinh-doanh-nganh-thep.35C6883B.html","Xem chi tiết")</f>
        <v/>
      </c>
    </row>
    <row r="1558">
      <c r="B1558" s="9" t="n">
        <v>1556</v>
      </c>
      <c r="C1558" s="10" t="inlineStr">
        <is>
          <t>Phó phòng Kiểm soát Nội bộ (Phụ trách TCKT)</t>
        </is>
      </c>
      <c r="D1558" s="10" t="inlineStr">
        <is>
          <t>CÔNG TY CỔ PHẦN ĐẦU TƯ ĐỊA ỐC VẠN PHÚC</t>
        </is>
      </c>
      <c r="E1558" s="10" t="inlineStr">
        <is>
          <t>Lương:Cạnh tranh</t>
        </is>
      </c>
      <c r="F1558" s="10" t="inlineStr">
        <is>
          <t>Hồ Chí Minh</t>
        </is>
      </c>
      <c r="G1558" s="10" t="inlineStr">
        <is>
          <t>29-04-2026</t>
        </is>
      </c>
      <c r="H1558" s="10" t="inlineStr">
        <is>
          <t>29/04/2026</t>
        </is>
      </c>
      <c r="I1558" s="10" t="inlineStr">
        <is>
          <t>17/03/2026</t>
        </is>
      </c>
      <c r="J1558" s="10" t="inlineStr">
        <is>
          <t>Kế toán / Kiểm toán, Bất động sản</t>
        </is>
      </c>
      <c r="K1558" s="10" t="inlineStr">
        <is>
          <t>3 - 10 Năm</t>
        </is>
      </c>
      <c r="L1558" s="11">
        <f>HYPERLINK("https://careerviet.vn/vi/tim-viec-lam/pho-phong-kiem-soat-noi-bo-phu-trach-tckt.35C6B7AB.html","Xem chi tiết")</f>
        <v/>
      </c>
      <c r="M1558" s="10" t="n"/>
    </row>
    <row r="1559">
      <c r="B1559" s="7" t="n">
        <v>1557</v>
      </c>
      <c r="C1559" t="inlineStr">
        <is>
          <t>Quality Engineer (Process/ Plastics)</t>
        </is>
      </c>
      <c r="D1559" t="inlineStr">
        <is>
          <t>GOOD VIEW PLASTICS (VIETNAM) COMPANY LIMITED</t>
        </is>
      </c>
      <c r="E1559" t="inlineStr">
        <is>
          <t>Lương:Cạnh tranh</t>
        </is>
      </c>
      <c r="F1559" t="inlineStr">
        <is>
          <t>Đồng Nai</t>
        </is>
      </c>
      <c r="G1559" t="inlineStr">
        <is>
          <t>09-04-2026</t>
        </is>
      </c>
      <c r="H1559" t="inlineStr">
        <is>
          <t>09/04/2026</t>
        </is>
      </c>
      <c r="I1559" t="inlineStr">
        <is>
          <t>17/03/2026</t>
        </is>
      </c>
      <c r="J1559" t="inlineStr">
        <is>
          <t>Quản lý chất lượng (QA/QC)</t>
        </is>
      </c>
      <c r="K1559" t="inlineStr">
        <is>
          <t>2 - 5 Năm</t>
        </is>
      </c>
      <c r="L1559" s="8">
        <f>HYPERLINK("https://careerviet.vn/vi/tim-viec-lam/quality-engineer-process-plastics.35C6B83B.html","Xem chi tiết")</f>
        <v/>
      </c>
    </row>
    <row r="1560">
      <c r="B1560" s="9" t="n">
        <v>1558</v>
      </c>
      <c r="C1560" s="10" t="inlineStr">
        <is>
          <t>Chuyên Viên Bảo Hiểm</t>
        </is>
      </c>
      <c r="D1560" s="10" t="inlineStr">
        <is>
          <t>Bệnh viện Đa khoa Hà Nội</t>
        </is>
      </c>
      <c r="E1560" s="10" t="inlineStr">
        <is>
          <t>Lương:10 Tr - 15 Tr VND</t>
        </is>
      </c>
      <c r="F1560" s="10" t="inlineStr">
        <is>
          <t>Hà Nội</t>
        </is>
      </c>
      <c r="G1560" s="10" t="inlineStr">
        <is>
          <t>08-04-2026</t>
        </is>
      </c>
      <c r="H1560" s="10" t="inlineStr">
        <is>
          <t>08/04/2026</t>
        </is>
      </c>
      <c r="I1560" s="10" t="inlineStr">
        <is>
          <t>17/03/2026</t>
        </is>
      </c>
      <c r="J1560" s="10" t="inlineStr">
        <is>
          <t>Y tế / Chăm sóc sức khỏe / Thẩm mỹ / Làm đẹp, Hành chính / Thư ký, Bảo hiểm</t>
        </is>
      </c>
      <c r="K1560" s="10" t="inlineStr">
        <is>
          <t>Trên 1 Năm</t>
        </is>
      </c>
      <c r="L1560" s="11">
        <f>HYPERLINK("https://careerviet.vn/vi/tim-viec-lam/chuyen-vien-bao-hiem.35C6B795.html","Xem chi tiết")</f>
        <v/>
      </c>
      <c r="M1560" s="10" t="n"/>
    </row>
    <row r="1561">
      <c r="B1561" s="7" t="n">
        <v>1559</v>
      </c>
      <c r="C1561" t="inlineStr">
        <is>
          <t>Nhân viên quản lý chất lượng</t>
        </is>
      </c>
      <c r="D1561" t="inlineStr">
        <is>
          <t>CÔNG TY CỔ PHẦN THỰC PHẨM HỮU NGHỊ</t>
        </is>
      </c>
      <c r="E1561" t="inlineStr">
        <is>
          <t>Lương:11 Tr - 13 Tr VND</t>
        </is>
      </c>
      <c r="F1561" t="inlineStr">
        <is>
          <t>Bắc Ninh</t>
        </is>
      </c>
      <c r="G1561" t="inlineStr">
        <is>
          <t>09-04-2026</t>
        </is>
      </c>
      <c r="H1561" t="inlineStr">
        <is>
          <t>09/04/2026</t>
        </is>
      </c>
      <c r="I1561" t="inlineStr">
        <is>
          <t>17/03/2026</t>
        </is>
      </c>
      <c r="J1561" t="inlineStr">
        <is>
          <t>Quản lý chất lượng (QA/QC), Thực phẩm &amp; Đồ uống, Công nghệ thực phẩm / Dinh dưỡng</t>
        </is>
      </c>
      <c r="K1561" t="inlineStr">
        <is>
          <t>N/A</t>
        </is>
      </c>
      <c r="L1561" s="8">
        <f>HYPERLINK("https://careerviet.vn/vi/tim-viec-lam/nhan-vien-quan-ly-chat-luong.35C6B6CC.html","Xem chi tiết")</f>
        <v/>
      </c>
    </row>
    <row r="1562">
      <c r="B1562" s="9" t="n">
        <v>1560</v>
      </c>
      <c r="C1562" s="10" t="inlineStr">
        <is>
          <t>Nhân viên Quay dựng</t>
        </is>
      </c>
      <c r="D1562" s="10" t="inlineStr">
        <is>
          <t>CÔNG TY CỔ PHẦN HỌC VIỆN MINH TRÍ THÀNH</t>
        </is>
      </c>
      <c r="E1562" s="10" t="inlineStr">
        <is>
          <t>Lương:12 Tr - 18 Tr VND</t>
        </is>
      </c>
      <c r="F1562" s="10" t="inlineStr">
        <is>
          <t>Hà Nội</t>
        </is>
      </c>
      <c r="G1562" s="10" t="inlineStr">
        <is>
          <t>15-03-2026</t>
        </is>
      </c>
      <c r="H1562" s="10" t="inlineStr">
        <is>
          <t>13/03/2026</t>
        </is>
      </c>
      <c r="I1562" s="10" t="inlineStr">
        <is>
          <t>17/03/2026</t>
        </is>
      </c>
      <c r="J1562" s="10" t="inlineStr">
        <is>
          <t>Mỹ thuật / Nghệ thuật / Thiết kế, Tư vấn, Tiếp thị / Marketing</t>
        </is>
      </c>
      <c r="K1562" s="10" t="inlineStr">
        <is>
          <t>2 - 3 Năm</t>
        </is>
      </c>
      <c r="L1562" s="11">
        <f>HYPERLINK("https://careerviet.vn/vi/tim-viec-lam/nhan-vien-quay-dung.35C6B8F1.html","Xem chi tiết")</f>
        <v/>
      </c>
      <c r="M1562" s="10" t="n"/>
    </row>
    <row r="1563">
      <c r="B1563" s="7" t="n">
        <v>1561</v>
      </c>
      <c r="C1563" t="inlineStr">
        <is>
          <t>Sales supervisor (Khu vực Hồ Chí Minh)</t>
        </is>
      </c>
      <c r="D1563" t="inlineStr">
        <is>
          <t>CÔNG TY TNHH ĐẦU TƯ XNK TÍN VIỆT</t>
        </is>
      </c>
      <c r="E1563" t="inlineStr">
        <is>
          <t>Lương:Cạnh tranh</t>
        </is>
      </c>
      <c r="F1563" t="inlineStr">
        <is>
          <t>Hồ Chí Minh</t>
        </is>
      </c>
      <c r="G1563" t="inlineStr">
        <is>
          <t>31-03-2026</t>
        </is>
      </c>
      <c r="H1563" t="inlineStr">
        <is>
          <t>31/03/2026</t>
        </is>
      </c>
      <c r="I1563" t="inlineStr">
        <is>
          <t>17/03/2026</t>
        </is>
      </c>
      <c r="J1563" t="inlineStr">
        <is>
          <t>Bán hàng / Kinh doanh, Tiếp thị / Marketing, Bán lẻ / Bán sỉ</t>
        </is>
      </c>
      <c r="K1563" t="inlineStr">
        <is>
          <t>1 - 3 Năm</t>
        </is>
      </c>
      <c r="L1563" s="8">
        <f>HYPERLINK("https://careerviet.vn/vi/tim-viec-lam/sales-supervisor-khu-vuc-ho-chi-minh.35C6B8ED.html","Xem chi tiết")</f>
        <v/>
      </c>
    </row>
    <row r="1564">
      <c r="B1564" s="9" t="n">
        <v>1562</v>
      </c>
      <c r="C1564" s="10" t="inlineStr">
        <is>
          <t>Nhân viên Thiết kế thi công (Shopdrawing)</t>
        </is>
      </c>
      <c r="D1564" s="10" t="inlineStr">
        <is>
          <t>Công Ty Cổ Phần Eurowindow</t>
        </is>
      </c>
      <c r="E1564" s="10" t="inlineStr">
        <is>
          <t>Lương:12 Tr - 15 Tr VND</t>
        </is>
      </c>
      <c r="F1564" s="10" t="inlineStr">
        <is>
          <t>Hồ Chí Minh</t>
        </is>
      </c>
      <c r="G1564" s="10" t="inlineStr">
        <is>
          <t>29-04-2026</t>
        </is>
      </c>
      <c r="H1564" s="10" t="inlineStr">
        <is>
          <t>29/04/2026</t>
        </is>
      </c>
      <c r="I1564" s="10" t="inlineStr">
        <is>
          <t>17/03/2026</t>
        </is>
      </c>
      <c r="J1564" s="10" t="inlineStr">
        <is>
          <t>Kiến trúc, Xây dựng, Mỹ thuật / Nghệ thuật / Thiết kế</t>
        </is>
      </c>
      <c r="K1564" s="10" t="inlineStr">
        <is>
          <t>1 - 2 Năm</t>
        </is>
      </c>
      <c r="L1564" s="11">
        <f>HYPERLINK("https://careerviet.vn/vi/tim-viec-lam/nhan-vien-thiet-ke-thi-cong-shopdrawing.35C6B954.html","Xem chi tiết")</f>
        <v/>
      </c>
      <c r="M1564" s="10" t="n"/>
    </row>
    <row r="1565">
      <c r="B1565" s="7" t="n">
        <v>1563</v>
      </c>
      <c r="C1565" t="inlineStr">
        <is>
          <t>TRƯỞNG PHÒNG KINH DOANH</t>
        </is>
      </c>
      <c r="D1565" t="inlineStr">
        <is>
          <t>Công ty TNHH Mỹ Nghệ Cát Đằng</t>
        </is>
      </c>
      <c r="E1565" t="inlineStr">
        <is>
          <t>Lương:25 Tr - 40 Tr VND</t>
        </is>
      </c>
      <c r="F1565" t="inlineStr">
        <is>
          <t>Hồ Chí Minh</t>
        </is>
      </c>
      <c r="G1565" t="inlineStr">
        <is>
          <t>09-04-2026</t>
        </is>
      </c>
      <c r="H1565" t="inlineStr">
        <is>
          <t>09/04/2026</t>
        </is>
      </c>
      <c r="I1565" t="inlineStr">
        <is>
          <t>17/03/2026</t>
        </is>
      </c>
      <c r="J1565" t="inlineStr">
        <is>
          <t>Bán hàng / Kinh doanh, Tiếp thị / Marketing, Xuất nhập khẩu</t>
        </is>
      </c>
      <c r="K1565" t="inlineStr">
        <is>
          <t>2 - 5 Năm</t>
        </is>
      </c>
      <c r="L1565" s="8">
        <f>HYPERLINK("https://careerviet.vn/vi/tim-viec-lam/truong-phong-kinh-doanh.35C6B829.html","Xem chi tiết")</f>
        <v/>
      </c>
    </row>
    <row r="1566">
      <c r="B1566" s="9" t="n">
        <v>1564</v>
      </c>
      <c r="C1566" s="10" t="inlineStr">
        <is>
          <t>Senior Associate of Material</t>
        </is>
      </c>
      <c r="D1566" s="10" t="inlineStr">
        <is>
          <t>CÔNG TY TNHH CONTOURA NEW INSOLE TECHNOLOGY DEVELOPMENT</t>
        </is>
      </c>
      <c r="E1566" s="10" t="inlineStr">
        <is>
          <t>Lương:Cạnh tranh</t>
        </is>
      </c>
      <c r="F1566" s="10" t="inlineStr">
        <is>
          <t>Hồ Chí Minh</t>
        </is>
      </c>
      <c r="G1566" s="10" t="inlineStr">
        <is>
          <t>30-04-2026</t>
        </is>
      </c>
      <c r="H1566" s="10" t="inlineStr">
        <is>
          <t>30/04/2026</t>
        </is>
      </c>
      <c r="I1566" s="10" t="inlineStr">
        <is>
          <t>17/03/2026</t>
        </is>
      </c>
      <c r="J1566" s="10" t="inlineStr">
        <is>
          <t>Dệt may / Da giày / Thời trang</t>
        </is>
      </c>
      <c r="K1566" s="10" t="inlineStr">
        <is>
          <t>5 - 10 Năm</t>
        </is>
      </c>
      <c r="L1566" s="11">
        <f>HYPERLINK("https://careerviet.vn/vi/tim-viec-lam/senior-associate-of-material.35C6B842.html","Xem chi tiết")</f>
        <v/>
      </c>
      <c r="M1566" s="10" t="n"/>
    </row>
    <row r="1567">
      <c r="B1567" s="7" t="n">
        <v>1565</v>
      </c>
      <c r="C1567" t="inlineStr">
        <is>
          <t>FullStack Developer (Junior, Senior) - Khối Công nghệ thông tin (HOLT.04)</t>
        </is>
      </c>
      <c r="D1567" t="inlineStr">
        <is>
          <t>Ngân Hàng TMCP Quân Đội</t>
        </is>
      </c>
      <c r="E1567" t="inlineStr">
        <is>
          <t>Lương:Cạnh tranh</t>
        </is>
      </c>
      <c r="F1567" t="inlineStr">
        <is>
          <t>Hà Nội</t>
        </is>
      </c>
      <c r="G1567" t="inlineStr">
        <is>
          <t>09-04-2026</t>
        </is>
      </c>
      <c r="H1567" t="inlineStr">
        <is>
          <t>09/04/2026</t>
        </is>
      </c>
      <c r="I1567" t="inlineStr">
        <is>
          <t>17/03/2026</t>
        </is>
      </c>
      <c r="J1567" t="inlineStr">
        <is>
          <t>Ngân hàng, CNTT - Phần mềm, CNTT - Phần cứng / Mạng</t>
        </is>
      </c>
      <c r="K1567" t="inlineStr">
        <is>
          <t>N/A</t>
        </is>
      </c>
      <c r="L1567" s="8">
        <f>HYPERLINK("https://careerviet.vn/vi/tim-viec-lam/fullstack-developer-junior-senior-khoi-cong-nghe-thong-tin-holt-04.35C6B8AD.html","Xem chi tiết")</f>
        <v/>
      </c>
    </row>
    <row r="1568">
      <c r="B1568" s="9" t="n">
        <v>1566</v>
      </c>
      <c r="C1568" s="10" t="inlineStr">
        <is>
          <t>Phó phòng kế hoạch</t>
        </is>
      </c>
      <c r="D1568" s="10" t="inlineStr">
        <is>
          <t>CÔNG TY TNHH SẢN XUẤT THƯƠNG MẠI VINAFOREST</t>
        </is>
      </c>
      <c r="E1568" s="10" t="inlineStr">
        <is>
          <t>Lương:10 Tr - 16 Tr VND</t>
        </is>
      </c>
      <c r="F1568" s="10" t="inlineStr">
        <is>
          <t>Bình Định</t>
        </is>
      </c>
      <c r="G1568" s="10" t="inlineStr">
        <is>
          <t>30-04-2026</t>
        </is>
      </c>
      <c r="H1568" s="10" t="inlineStr">
        <is>
          <t>30/04/2026</t>
        </is>
      </c>
      <c r="I1568" s="10" t="inlineStr">
        <is>
          <t>17/03/2026</t>
        </is>
      </c>
      <c r="J1568" s="10" t="inlineStr">
        <is>
          <t>Sản xuất / Vận hành sản xuất, Thu mua / Vật tư</t>
        </is>
      </c>
      <c r="K1568" s="10" t="inlineStr">
        <is>
          <t>2 - 5 Năm</t>
        </is>
      </c>
      <c r="L1568" s="11">
        <f>HYPERLINK("https://careerviet.vn/vi/tim-viec-lam/pho-phong-ke-hoach.35C6B798.html","Xem chi tiết")</f>
        <v/>
      </c>
      <c r="M1568" s="10" t="n"/>
    </row>
    <row r="1569">
      <c r="B1569" s="7" t="n">
        <v>1567</v>
      </c>
      <c r="C1569" t="inlineStr">
        <is>
          <t>Graphic Designer</t>
        </is>
      </c>
      <c r="D1569" t="inlineStr">
        <is>
          <t>CÔNG TY CỔ PHẦN HỌC VIỆN MINH TRÍ THÀNH</t>
        </is>
      </c>
      <c r="E1569" t="inlineStr">
        <is>
          <t>Lương:12 Tr - 18 Tr VND</t>
        </is>
      </c>
      <c r="F1569" t="inlineStr">
        <is>
          <t>Hà Nội</t>
        </is>
      </c>
      <c r="G1569" t="inlineStr">
        <is>
          <t>27-04-2026</t>
        </is>
      </c>
      <c r="H1569" t="inlineStr">
        <is>
          <t>27/04/2026</t>
        </is>
      </c>
      <c r="I1569" t="inlineStr">
        <is>
          <t>17/03/2026</t>
        </is>
      </c>
      <c r="J1569" t="inlineStr">
        <is>
          <t>Mỹ thuật / Nghệ thuật / Thiết kế</t>
        </is>
      </c>
      <c r="K1569" t="inlineStr">
        <is>
          <t>2 - 3 Năm</t>
        </is>
      </c>
      <c r="L1569" s="8">
        <f>HYPERLINK("https://careerviet.vn/vi/tim-viec-lam/graphic-designer.35C6B9EB.html","Xem chi tiết")</f>
        <v/>
      </c>
    </row>
    <row r="1570">
      <c r="B1570" s="9" t="n">
        <v>1568</v>
      </c>
      <c r="C1570" s="10" t="inlineStr">
        <is>
          <t>Trưởng phòng Nhân sự</t>
        </is>
      </c>
      <c r="D1570" s="10" t="inlineStr">
        <is>
          <t>TRƯỜNG PHỔ THÔNG LIÊN CẤP H.A.S</t>
        </is>
      </c>
      <c r="E1570" s="10" t="inlineStr">
        <is>
          <t>Lương:Cạnh tranh</t>
        </is>
      </c>
      <c r="F1570" s="10" t="inlineStr">
        <is>
          <t>Hà Nội</t>
        </is>
      </c>
      <c r="G1570" s="10" t="inlineStr">
        <is>
          <t>30-04-2026</t>
        </is>
      </c>
      <c r="H1570" s="10" t="inlineStr">
        <is>
          <t>30/04/2026</t>
        </is>
      </c>
      <c r="I1570" s="10" t="inlineStr">
        <is>
          <t>17/03/2026</t>
        </is>
      </c>
      <c r="J1570" s="10" t="inlineStr">
        <is>
          <t>Giáo dục / Đào tạo, Nhân sự</t>
        </is>
      </c>
      <c r="K1570" s="10" t="inlineStr">
        <is>
          <t>3 - 5 Năm</t>
        </is>
      </c>
      <c r="L1570" s="11">
        <f>HYPERLINK("https://careerviet.vn/vi/tim-viec-lam/truong-phong-nhan-su.35C6B763.html","Xem chi tiết")</f>
        <v/>
      </c>
      <c r="M1570" s="10" t="n"/>
    </row>
    <row r="1571">
      <c r="B1571" s="7" t="n">
        <v>1569</v>
      </c>
      <c r="C1571" t="inlineStr">
        <is>
          <t>TRƯỞNG PHÒNG CÔNG NGHỆ</t>
        </is>
      </c>
      <c r="D1571" t="inlineStr">
        <is>
          <t>CÔNG TY CỔ PHẦN XÂY DỰNG VÀ CÔNG NGHỆ MÔI TRƯỜNG HỢP NHẤT</t>
        </is>
      </c>
      <c r="E1571" t="inlineStr">
        <is>
          <t>Lương:30 Tr - 40 Tr VND</t>
        </is>
      </c>
      <c r="F1571" t="inlineStr">
        <is>
          <t>Hồ Chí Minh</t>
        </is>
      </c>
      <c r="G1571" t="inlineStr">
        <is>
          <t>30-04-2026</t>
        </is>
      </c>
      <c r="H1571" t="inlineStr">
        <is>
          <t>30/04/2026</t>
        </is>
      </c>
      <c r="I1571" t="inlineStr">
        <is>
          <t>17/03/2026</t>
        </is>
      </c>
      <c r="J1571" t="inlineStr">
        <is>
          <t>Quản lý điều hành, Môi trường, Điện / Điện tử / Điện lạnh / Điện công nghiệp</t>
        </is>
      </c>
      <c r="K1571" t="inlineStr">
        <is>
          <t>Trên 5 Năm</t>
        </is>
      </c>
      <c r="L1571" s="8">
        <f>HYPERLINK("https://careerviet.vn/vi/tim-viec-lam/truong-phong-cong-nghe.35C6B8A9.html","Xem chi tiết")</f>
        <v/>
      </c>
    </row>
    <row r="1572">
      <c r="B1572" s="9" t="n">
        <v>1570</v>
      </c>
      <c r="C1572" s="10" t="inlineStr">
        <is>
          <t>KỸ SƯ THIẾT KẾ CÔNG TRÌNH GIAO THÔNG</t>
        </is>
      </c>
      <c r="D1572" s="10" t="inlineStr">
        <is>
          <t>Công Ty Cổ Phần Tư Vấn Đầu Tư Xây Dựng Ngọc Minh</t>
        </is>
      </c>
      <c r="E1572" s="10" t="inlineStr">
        <is>
          <t>Lương:12 Tr - 25 Tr VND</t>
        </is>
      </c>
      <c r="F1572" s="10" t="inlineStr">
        <is>
          <t>Hà Nội</t>
        </is>
      </c>
      <c r="G1572" s="10" t="inlineStr">
        <is>
          <t>09-04-2026</t>
        </is>
      </c>
      <c r="H1572" s="10" t="inlineStr">
        <is>
          <t>09/04/2026</t>
        </is>
      </c>
      <c r="I1572" s="10" t="inlineStr">
        <is>
          <t>17/03/2026</t>
        </is>
      </c>
      <c r="J1572" s="10" t="inlineStr">
        <is>
          <t>Xây dựng, Kiến trúc, Mỹ thuật / Nghệ thuật / Thiết kế</t>
        </is>
      </c>
      <c r="K1572" s="10" t="inlineStr">
        <is>
          <t>1 - 3 Năm</t>
        </is>
      </c>
      <c r="L1572" s="11">
        <f>HYPERLINK("https://careerviet.vn/vi/tim-viec-lam/ky-su-thiet-ke-cong-trinh-giao-thong.35C6BA37.html","Xem chi tiết")</f>
        <v/>
      </c>
      <c r="M1572" s="10" t="n"/>
    </row>
    <row r="1573">
      <c r="B1573" s="7" t="n">
        <v>1571</v>
      </c>
      <c r="C1573" t="inlineStr">
        <is>
          <t>Nhân viên thu hồi nợ tín chấp (Cần Thơ/Kiên Giang/An Giang)</t>
        </is>
      </c>
      <c r="D1573" t="inlineStr">
        <is>
          <t>Công Ty Quản Lý Nợ Và Khai Thác Tài Sản - Ngân Hàng TMCP Quân Đội</t>
        </is>
      </c>
      <c r="E1573" t="inlineStr">
        <is>
          <t>Lương:Cạnh tranh</t>
        </is>
      </c>
      <c r="F1573" t="inlineStr">
        <is>
          <t>Cần Thơ</t>
        </is>
      </c>
      <c r="G1573" t="inlineStr">
        <is>
          <t>30-04-2026</t>
        </is>
      </c>
      <c r="H1573" t="inlineStr">
        <is>
          <t>30/04/2026</t>
        </is>
      </c>
      <c r="I1573" t="inlineStr">
        <is>
          <t>17/03/2026</t>
        </is>
      </c>
      <c r="J1573" t="inlineStr">
        <is>
          <t>Luật / Pháp lý, Ngân hàng, Tài chính / Đầu tư</t>
        </is>
      </c>
      <c r="K1573" t="inlineStr">
        <is>
          <t>Trên 1 Năm</t>
        </is>
      </c>
      <c r="L1573" s="8">
        <f>HYPERLINK("https://careerviet.vn/vi/tim-viec-lam/nhan-vien-thu-hoi-no-tin-chap-can-tho-kien-giang-an-giang.35C6B708.html","Xem chi tiết")</f>
        <v/>
      </c>
    </row>
    <row r="1574">
      <c r="B1574" s="9" t="n">
        <v>1572</v>
      </c>
      <c r="C1574" s="10" t="inlineStr">
        <is>
          <t>TRƯỞNG PHÒNG KINH DOANH B2B - NGÀNH NỘI NGOẠI THẤT - THU NHẬP HẤP DẪN KHÔNG GIỚI HẠN</t>
        </is>
      </c>
      <c r="D1574" s="10" t="inlineStr">
        <is>
          <t>Công ty Cổ phần Tập đoàn Gỗ Minh Long</t>
        </is>
      </c>
      <c r="E1574" s="10" t="inlineStr">
        <is>
          <t>Lương:25 Tr - 40 Tr VND</t>
        </is>
      </c>
      <c r="F1574" s="10" t="inlineStr">
        <is>
          <t>Hà NộiHồ Chí Minh</t>
        </is>
      </c>
      <c r="G1574" s="10" t="inlineStr">
        <is>
          <t>11-04-2026</t>
        </is>
      </c>
      <c r="H1574" s="10" t="inlineStr">
        <is>
          <t>11/04/2026</t>
        </is>
      </c>
      <c r="I1574" s="10" t="inlineStr">
        <is>
          <t>17/03/2026</t>
        </is>
      </c>
      <c r="J1574" s="10" t="inlineStr">
        <is>
          <t>Bán hàng / Kinh doanh, Bán lẻ / Bán sỉ, Xây dựng</t>
        </is>
      </c>
      <c r="K1574" s="10" t="inlineStr">
        <is>
          <t>3 - 5 Năm</t>
        </is>
      </c>
      <c r="L1574" s="11">
        <f>HYPERLINK("https://careerviet.vn/vi/tim-viec-lam/truong-phong-kinh-doanh-b2b-nganh-noi-ngoai-that-thu-nhap-hap-dan-khong-gioi-han.35C6B9F4.html","Xem chi tiết")</f>
        <v/>
      </c>
      <c r="M1574" s="10" t="n"/>
    </row>
    <row r="1575">
      <c r="B1575" s="7" t="n">
        <v>1573</v>
      </c>
      <c r="C1575" t="inlineStr">
        <is>
          <t>Quality Improvement Senior Engineer</t>
        </is>
      </c>
      <c r="D1575" t="inlineStr">
        <is>
          <t>Công ty TNHH Điện Máy Aqua Việt Nam</t>
        </is>
      </c>
      <c r="E1575" t="inlineStr">
        <is>
          <t>Lương:Cạnh tranh</t>
        </is>
      </c>
      <c r="F1575" t="inlineStr">
        <is>
          <t>Đồng Nai</t>
        </is>
      </c>
      <c r="G1575" t="inlineStr">
        <is>
          <t>09-04-2026</t>
        </is>
      </c>
      <c r="H1575" t="inlineStr">
        <is>
          <t>09/04/2026</t>
        </is>
      </c>
      <c r="I1575" t="inlineStr">
        <is>
          <t>17/03/2026</t>
        </is>
      </c>
      <c r="J1575" t="inlineStr">
        <is>
          <t>Quản lý chất lượng (QA/QC), Sản xuất / Vận hành sản xuất, Điện / Điện tử / Điện lạnh / Điện công nghiệp</t>
        </is>
      </c>
      <c r="K1575" t="inlineStr">
        <is>
          <t>N/A</t>
        </is>
      </c>
      <c r="L1575" s="8">
        <f>HYPERLINK("https://careerviet.vn/vi/tim-viec-lam/quality-improvement-senior-engineer.35C6B941.html","Xem chi tiết")</f>
        <v/>
      </c>
    </row>
    <row r="1576">
      <c r="B1576" s="9" t="n">
        <v>1574</v>
      </c>
      <c r="C1576" s="10" t="inlineStr">
        <is>
          <t>[JHN0037552] Finance Officer</t>
        </is>
      </c>
      <c r="D1576" s="10" t="inlineStr">
        <is>
          <t>Iconic Co.,Ltd</t>
        </is>
      </c>
      <c r="E1576" s="10" t="inlineStr">
        <is>
          <t>Lương:23 Tr - 25 Tr VND</t>
        </is>
      </c>
      <c r="F1576" s="10" t="inlineStr">
        <is>
          <t>Hà Nội</t>
        </is>
      </c>
      <c r="G1576" s="10" t="inlineStr">
        <is>
          <t>30-04-2026</t>
        </is>
      </c>
      <c r="H1576" s="10" t="inlineStr">
        <is>
          <t>30/04/2026</t>
        </is>
      </c>
      <c r="I1576" s="10" t="inlineStr">
        <is>
          <t>17/03/2026</t>
        </is>
      </c>
      <c r="J1576" s="10" t="inlineStr">
        <is>
          <t>Bán Hàng Kỹ Thuật, Kế toán / Kiểm toán</t>
        </is>
      </c>
      <c r="K1576" s="10" t="inlineStr">
        <is>
          <t>8 - 10 Năm</t>
        </is>
      </c>
      <c r="L1576" s="11">
        <f>HYPERLINK("https://careerviet.vn/vi/tim-viec-lam/jhn0037552-finance-officer.35C6B8CD.html","Xem chi tiết")</f>
        <v/>
      </c>
      <c r="M1576" s="10" t="n"/>
    </row>
    <row r="1577">
      <c r="B1577" s="7" t="n">
        <v>1575</v>
      </c>
      <c r="C1577" t="inlineStr">
        <is>
          <t>Leader Bảo Hành Miền Nam</t>
        </is>
      </c>
      <c r="D1577" t="inlineStr">
        <is>
          <t>Công Ty Cổ Phần Phân Phối Quốc Tế Genex</t>
        </is>
      </c>
      <c r="E1577" t="inlineStr">
        <is>
          <t>Lương:20 Tr - 22 Tr VND</t>
        </is>
      </c>
      <c r="F1577" t="inlineStr">
        <is>
          <t>Hồ Chí Minh</t>
        </is>
      </c>
      <c r="G1577" t="inlineStr">
        <is>
          <t>08-04-2026</t>
        </is>
      </c>
      <c r="H1577" t="inlineStr">
        <is>
          <t>08/04/2026</t>
        </is>
      </c>
      <c r="I1577" t="inlineStr">
        <is>
          <t>17/03/2026</t>
        </is>
      </c>
      <c r="J1577" t="inlineStr">
        <is>
          <t>Quản lý điều hành, Bảo trì / Sửa chữa, Dịch vụ khách hàng</t>
        </is>
      </c>
      <c r="K1577" t="inlineStr">
        <is>
          <t>Lên đến 2 Năm</t>
        </is>
      </c>
      <c r="L1577" s="8">
        <f>HYPERLINK("https://careerviet.vn/vi/tim-viec-lam/leader-bao-hanh-mien-nam.35C6B861.html","Xem chi tiết")</f>
        <v/>
      </c>
    </row>
    <row r="1578">
      <c r="B1578" s="9" t="n">
        <v>1576</v>
      </c>
      <c r="C1578" s="10" t="inlineStr">
        <is>
          <t>Legal &amp; Compliance Executive</t>
        </is>
      </c>
      <c r="D1578" s="10" t="inlineStr">
        <is>
          <t>CÔNG TY CỔ PHẦN KREDIVO VIỆT NAM</t>
        </is>
      </c>
      <c r="E1578" s="10" t="inlineStr">
        <is>
          <t>Lương:Cạnh tranh</t>
        </is>
      </c>
      <c r="F1578" s="10" t="inlineStr">
        <is>
          <t>Hồ Chí Minh</t>
        </is>
      </c>
      <c r="G1578" s="10" t="inlineStr">
        <is>
          <t>10-04-2026</t>
        </is>
      </c>
      <c r="H1578" s="10" t="inlineStr">
        <is>
          <t>10/04/2026</t>
        </is>
      </c>
      <c r="I1578" s="10" t="inlineStr">
        <is>
          <t>17/03/2026</t>
        </is>
      </c>
      <c r="J1578" s="10" t="inlineStr">
        <is>
          <t>Ngân hàng, Tài chính / Đầu tư</t>
        </is>
      </c>
      <c r="K1578" s="10" t="inlineStr">
        <is>
          <t>3 - 10 Năm</t>
        </is>
      </c>
      <c r="L1578" s="11">
        <f>HYPERLINK("https://careerviet.vn/vi/tim-viec-lam/legal-compliance-executive.35C6B836.html","Xem chi tiết")</f>
        <v/>
      </c>
      <c r="M1578" s="10" t="n"/>
    </row>
    <row r="1579">
      <c r="B1579" s="7" t="n">
        <v>1577</v>
      </c>
      <c r="C1579" t="inlineStr">
        <is>
          <t>Merchandiser Ngành May Mặc</t>
        </is>
      </c>
      <c r="D1579" t="inlineStr">
        <is>
          <t>CÔNG TY TNHH MTV RGM ĐÀ NẴNG</t>
        </is>
      </c>
      <c r="E1579" t="inlineStr">
        <is>
          <t>Lương:10 Tr - 15 Tr VND</t>
        </is>
      </c>
      <c r="F1579" t="inlineStr">
        <is>
          <t>Quảng Nam</t>
        </is>
      </c>
      <c r="G1579" t="inlineStr">
        <is>
          <t>09-04-2026</t>
        </is>
      </c>
      <c r="H1579" t="inlineStr">
        <is>
          <t>09/04/2026</t>
        </is>
      </c>
      <c r="I1579" t="inlineStr">
        <is>
          <t>17/03/2026</t>
        </is>
      </c>
      <c r="J1579" t="inlineStr">
        <is>
          <t>Dệt may / Da giày / Thời trang, Thu mua / Vật tưBằng cấpCao đẳngĐộ tuổiKhông giới hạn tuổi</t>
        </is>
      </c>
      <c r="K1579" t="inlineStr">
        <is>
          <t>N/A</t>
        </is>
      </c>
      <c r="L1579" s="8">
        <f>HYPERLINK("https://careerviet.vn/vi/tim-viec-lam/merchandiser-nganh-may-mac.35C6B6A9.html","Xem chi tiết")</f>
        <v/>
      </c>
    </row>
    <row r="1580">
      <c r="B1580" s="9" t="n">
        <v>1578</v>
      </c>
      <c r="C1580" s="10" t="inlineStr">
        <is>
          <t>CHUYÊN VIÊN BỒI THƯỜNG</t>
        </is>
      </c>
      <c r="D1580" s="10" t="inlineStr">
        <is>
          <t>Fubon Insurance</t>
        </is>
      </c>
      <c r="E1580" s="10" t="inlineStr">
        <is>
          <t>Lương:15 Tr - 25 Tr VND</t>
        </is>
      </c>
      <c r="F1580" s="10" t="inlineStr">
        <is>
          <t>Hà Nội</t>
        </is>
      </c>
      <c r="G1580" s="10" t="inlineStr">
        <is>
          <t>09-04-2026</t>
        </is>
      </c>
      <c r="H1580" s="10" t="inlineStr">
        <is>
          <t>09/04/2026</t>
        </is>
      </c>
      <c r="I1580" s="10" t="inlineStr">
        <is>
          <t>17/03/2026</t>
        </is>
      </c>
      <c r="J1580" s="10" t="inlineStr">
        <is>
          <t>Bảo hiểm, Cơ khí / Ô tô / Tự động hóa</t>
        </is>
      </c>
      <c r="K1580" s="10" t="inlineStr">
        <is>
          <t>1 - 3 Năm</t>
        </is>
      </c>
      <c r="L1580" s="11">
        <f>HYPERLINK("https://careerviet.vn/vi/tim-viec-lam/chuyen-vien-boi-thuong.35C6B712.html","Xem chi tiết")</f>
        <v/>
      </c>
      <c r="M1580" s="10" t="n"/>
    </row>
    <row r="1581">
      <c r="B1581" s="7" t="n">
        <v>1579</v>
      </c>
      <c r="C1581" t="inlineStr">
        <is>
          <t>Nhân viên điều độ (Mỹ Xuân)</t>
        </is>
      </c>
      <c r="D1581" t="inlineStr">
        <is>
          <t>Công Ty TNHH Smartlog Long Phú</t>
        </is>
      </c>
      <c r="E1581" t="inlineStr">
        <is>
          <t>Lương:Cạnh tranh</t>
        </is>
      </c>
      <c r="F1581" t="inlineStr">
        <is>
          <t>Bà Rịa - Vũng Tàu</t>
        </is>
      </c>
      <c r="G1581" t="inlineStr">
        <is>
          <t>08-04-2026</t>
        </is>
      </c>
      <c r="H1581" t="inlineStr">
        <is>
          <t>08/04/2026</t>
        </is>
      </c>
      <c r="I1581" t="inlineStr">
        <is>
          <t>17/03/2026</t>
        </is>
      </c>
      <c r="J1581" t="inlineStr">
        <is>
          <t>Vận chuyển / Giao nhận / Kho vận</t>
        </is>
      </c>
      <c r="K1581" t="inlineStr">
        <is>
          <t>1 - 5 Năm</t>
        </is>
      </c>
      <c r="L1581" s="8">
        <f>HYPERLINK("https://careerviet.vn/vi/tim-viec-lam/nhan-vien-dieu-do-my-xuan.35C6B739.html","Xem chi tiết")</f>
        <v/>
      </c>
    </row>
    <row r="1582">
      <c r="B1582" s="9" t="n">
        <v>1580</v>
      </c>
      <c r="C1582" s="10" t="inlineStr">
        <is>
          <t>128462 - [HCM] Junior Associate - Law Firm</t>
        </is>
      </c>
      <c r="D1582" s="10" t="inlineStr">
        <is>
          <t>RGF HR Agent Vietnam Co., LTD</t>
        </is>
      </c>
      <c r="E1582" s="10" t="inlineStr">
        <is>
          <t>Lương:25 Tr - 35 Tr VND</t>
        </is>
      </c>
      <c r="F1582" s="10" t="inlineStr">
        <is>
          <t>Hồ Chí Minh</t>
        </is>
      </c>
      <c r="G1582" s="10" t="inlineStr">
        <is>
          <t>15-03-2026</t>
        </is>
      </c>
      <c r="H1582" s="10" t="inlineStr">
        <is>
          <t>12/03/2026</t>
        </is>
      </c>
      <c r="I1582" s="10" t="inlineStr">
        <is>
          <t>17/03/2026</t>
        </is>
      </c>
      <c r="J1582" s="10" t="inlineStr">
        <is>
          <t>Luật / Pháp lý</t>
        </is>
      </c>
      <c r="K1582" s="10" t="inlineStr">
        <is>
          <t>5 - 6 Năm</t>
        </is>
      </c>
      <c r="L1582" s="11">
        <f>HYPERLINK("https://careerviet.vn/vi/tim-viec-lam/128462-hcm-junior-associate-law-firm.35C6B967.html","Xem chi tiết")</f>
        <v/>
      </c>
      <c r="M1582" s="10" t="n"/>
    </row>
    <row r="1583">
      <c r="B1583" s="7" t="n">
        <v>1581</v>
      </c>
      <c r="C1583" t="inlineStr">
        <is>
          <t>UX/UI Designer</t>
        </is>
      </c>
      <c r="D1583" t="inlineStr">
        <is>
          <t>CÔNG TY CỔ PHẦN HỌC VIỆN MINH TRÍ THÀNH</t>
        </is>
      </c>
      <c r="E1583" t="inlineStr">
        <is>
          <t>Lương:12 Tr - 18 Tr VND</t>
        </is>
      </c>
      <c r="F1583" t="inlineStr">
        <is>
          <t>Hà Nội</t>
        </is>
      </c>
      <c r="G1583" t="inlineStr">
        <is>
          <t>27-04-2026</t>
        </is>
      </c>
      <c r="H1583" t="inlineStr">
        <is>
          <t>27/04/2026</t>
        </is>
      </c>
      <c r="I1583" t="inlineStr">
        <is>
          <t>17/03/2026</t>
        </is>
      </c>
      <c r="J1583" t="inlineStr">
        <is>
          <t>CNTT - Phần mềm, Giáo dục / Đào tạo</t>
        </is>
      </c>
      <c r="K1583" t="inlineStr">
        <is>
          <t>2 - 3 Năm</t>
        </is>
      </c>
      <c r="L1583" s="8">
        <f>HYPERLINK("https://careerviet.vn/vi/tim-viec-lam/ux-ui-designer.35C6B9D0.html","Xem chi tiết")</f>
        <v/>
      </c>
    </row>
    <row r="1584">
      <c r="B1584" s="9" t="n">
        <v>1582</v>
      </c>
      <c r="C1584" s="10" t="inlineStr">
        <is>
          <t>Giám đốc Quan hệ Khách hàng Cá nhân (RM Phi tín dụng) - Khu vực Hồ Chí Minh, Đà Nẵng</t>
        </is>
      </c>
      <c r="D1584" s="10" t="inlineStr">
        <is>
          <t>Ngân Hàng TMCP Quốc Dân (NCB)</t>
        </is>
      </c>
      <c r="E1584" s="10" t="inlineStr">
        <is>
          <t>Lương:Cạnh tranh</t>
        </is>
      </c>
      <c r="F1584" s="10" t="inlineStr">
        <is>
          <t>Hồ Chí MinhĐà Nẵng</t>
        </is>
      </c>
      <c r="G1584" s="10" t="inlineStr">
        <is>
          <t>09-04-2026</t>
        </is>
      </c>
      <c r="H1584" s="10" t="inlineStr">
        <is>
          <t>09/04/2026</t>
        </is>
      </c>
      <c r="I1584" s="10" t="inlineStr">
        <is>
          <t>17/03/2026</t>
        </is>
      </c>
      <c r="J1584" s="10" t="inlineStr">
        <is>
          <t>Ngân hàng, Tài chính / Đầu tư, Bảo hiểm</t>
        </is>
      </c>
      <c r="K1584" s="10" t="inlineStr">
        <is>
          <t>Trên 1 Năm</t>
        </is>
      </c>
      <c r="L1584" s="11">
        <f>HYPERLINK("https://careerviet.vn/vi/tim-viec-lam/giam-doc-quan-he-khach-hang-ca-nhan-rm-phi-tin-dung-khu-vuc-ho-chi-minh-da-nang.35C6B89A.html","Xem chi tiết")</f>
        <v/>
      </c>
      <c r="M1584" s="10" t="n"/>
    </row>
    <row r="1585">
      <c r="B1585" s="7" t="n">
        <v>1583</v>
      </c>
      <c r="C1585" t="inlineStr">
        <is>
          <t>[JHN0037803] Design Assistant Manager</t>
        </is>
      </c>
      <c r="D1585" t="inlineStr">
        <is>
          <t>Iconic Co.,Ltd</t>
        </is>
      </c>
      <c r="E1585" t="inlineStr">
        <is>
          <t>Lương:37 Tr - 43 Tr VND</t>
        </is>
      </c>
      <c r="F1585" t="inlineStr">
        <is>
          <t>Hà Nội</t>
        </is>
      </c>
      <c r="G1585" t="inlineStr">
        <is>
          <t>3</t>
        </is>
      </c>
      <c r="H1585" t="inlineStr">
        <is>
          <t>20/03/2026</t>
        </is>
      </c>
      <c r="I1585" t="inlineStr">
        <is>
          <t>17/03/2026</t>
        </is>
      </c>
      <c r="J1585" t="inlineStr">
        <is>
          <t>Bất động sản, Kiến trúc, Xây dựng</t>
        </is>
      </c>
      <c r="K1585" t="inlineStr">
        <is>
          <t>4 - 10 Năm</t>
        </is>
      </c>
      <c r="L1585" s="8">
        <f>HYPERLINK("https://careerviet.vn/vi/tim-viec-lam/jhn0037803-design-assistant-manager.35C6B904.html","Xem chi tiết")</f>
        <v/>
      </c>
    </row>
    <row r="1586">
      <c r="B1586" s="9" t="n">
        <v>1584</v>
      </c>
      <c r="C1586" s="10" t="inlineStr">
        <is>
          <t>Trưởng Nhóm Kế Hoạch Sản Xuất</t>
        </is>
      </c>
      <c r="D1586" s="10" t="inlineStr">
        <is>
          <t>CÔNG TY TNHH SẢN XUẤT THƯƠNG MẠI VÀ DỊCH VỤ HUỲNH ĐỨC</t>
        </is>
      </c>
      <c r="E1586" s="10" t="inlineStr">
        <is>
          <t>Lương:Cạnh tranh</t>
        </is>
      </c>
      <c r="F1586" s="10" t="inlineStr">
        <is>
          <t>Đồng Nai</t>
        </is>
      </c>
      <c r="G1586" s="10" t="inlineStr">
        <is>
          <t>09-04-2026</t>
        </is>
      </c>
      <c r="H1586" s="10" t="inlineStr">
        <is>
          <t>09/04/2026</t>
        </is>
      </c>
      <c r="I1586" s="10" t="inlineStr">
        <is>
          <t>17/03/2026</t>
        </is>
      </c>
      <c r="J1586" s="10" t="inlineStr">
        <is>
          <t>Sản xuất / Vận hành sản xuất, Cơ khí / Ô tô / Tự động hóa, Quản lý điều hành</t>
        </is>
      </c>
      <c r="K1586" s="10" t="inlineStr">
        <is>
          <t>Trên 1 Năm</t>
        </is>
      </c>
      <c r="L1586" s="11">
        <f>HYPERLINK("https://careerviet.vn/vi/tim-viec-lam/truong-nhom-ke-hoach-san-xuat.35C6B8FD.html","Xem chi tiết")</f>
        <v/>
      </c>
      <c r="M1586" s="10" t="n"/>
    </row>
    <row r="1587">
      <c r="B1587" s="7" t="n">
        <v>1585</v>
      </c>
      <c r="C1587" t="inlineStr">
        <is>
          <t>Chuyên Viên Tư Vấn Bán Hàng - Mảng Thiết Bị Y Tế</t>
        </is>
      </c>
      <c r="D1587" t="inlineStr">
        <is>
          <t>CÔNG TY CỔ PHẦN ĐẦU TƯ VÀ PHÁT TRIỂN CÔNG NGHỆ KAVIDO VIỆT NAM</t>
        </is>
      </c>
      <c r="E1587" t="inlineStr">
        <is>
          <t>Lương:Cạnh tranh</t>
        </is>
      </c>
      <c r="F1587" t="inlineStr">
        <is>
          <t>Hồ Chí Minh</t>
        </is>
      </c>
      <c r="G1587" t="inlineStr">
        <is>
          <t>09-04-2026</t>
        </is>
      </c>
      <c r="H1587" t="inlineStr">
        <is>
          <t>09/04/2026</t>
        </is>
      </c>
      <c r="I1587" t="inlineStr">
        <is>
          <t>17/03/2026</t>
        </is>
      </c>
      <c r="J1587" t="inlineStr">
        <is>
          <t>Bán hàng / Kinh doanh, Bán lẻ / Bán sỉ, Y tế / Chăm sóc sức khỏe / Thẩm mỹ / Làm đẹp</t>
        </is>
      </c>
      <c r="K1587" t="inlineStr">
        <is>
          <t>N/A</t>
        </is>
      </c>
      <c r="L1587" s="8">
        <f>HYPERLINK("https://careerviet.vn/vi/tim-viec-lam/chuyen-vien-tu-van-ban-hang-mang-thiet-bi-y-te.35C6B957.html","Xem chi tiết")</f>
        <v/>
      </c>
    </row>
    <row r="1588">
      <c r="B1588" s="9" t="n">
        <v>1586</v>
      </c>
      <c r="C1588" s="10" t="inlineStr">
        <is>
          <t>National Strategy &amp; Business Partnering Manager - Non-Commercial</t>
        </is>
      </c>
      <c r="D1588" s="10" t="inlineStr">
        <is>
          <t>Coca-Cola Beverages Vietnam</t>
        </is>
      </c>
      <c r="E1588" s="10" t="inlineStr">
        <is>
          <t>Lương:Cạnh tranh</t>
        </is>
      </c>
      <c r="F1588" s="10" t="inlineStr">
        <is>
          <t>Hồ Chí Minh</t>
        </is>
      </c>
      <c r="G1588" s="10" t="inlineStr">
        <is>
          <t>08-04-2026</t>
        </is>
      </c>
      <c r="H1588" s="10" t="inlineStr">
        <is>
          <t>08/04/2026</t>
        </is>
      </c>
      <c r="I1588" s="10" t="inlineStr">
        <is>
          <t>17/03/2026</t>
        </is>
      </c>
      <c r="J1588" s="10" t="inlineStr">
        <is>
          <t>Sản xuất / Vận hành sản xuất, Quản lý điều hành, Thực phẩm &amp; Đồ uống</t>
        </is>
      </c>
      <c r="K1588" s="10" t="inlineStr">
        <is>
          <t>7 Năm</t>
        </is>
      </c>
      <c r="L1588" s="11">
        <f>HYPERLINK("https://careerviet.vn/vi/tim-viec-lam/national-strategy-business-partnering-manager-non-commercial.35C6B8D0.html","Xem chi tiết")</f>
        <v/>
      </c>
      <c r="M1588" s="10" t="n"/>
    </row>
    <row r="1589">
      <c r="B1589" s="7" t="n">
        <v>1587</v>
      </c>
      <c r="C1589" t="inlineStr">
        <is>
          <t>Senior Safety Specialist</t>
        </is>
      </c>
      <c r="D1589" t="inlineStr">
        <is>
          <t>KONE Việt Nam</t>
        </is>
      </c>
      <c r="E1589" t="inlineStr">
        <is>
          <t>Lương:38 Tr - 50 Tr VND</t>
        </is>
      </c>
      <c r="F1589" t="inlineStr">
        <is>
          <t>Hồ Chí Minh</t>
        </is>
      </c>
      <c r="G1589" t="inlineStr">
        <is>
          <t>08-04-2026</t>
        </is>
      </c>
      <c r="H1589" t="inlineStr">
        <is>
          <t>08/04/2026</t>
        </is>
      </c>
      <c r="I1589" t="inlineStr">
        <is>
          <t>17/03/2026</t>
        </is>
      </c>
      <c r="J1589" t="inlineStr">
        <is>
          <t>Xây dựng, Sản xuất / Vận hành sản xuất, Điện / Điện tử / Điện lạnh / Điện công nghiệp</t>
        </is>
      </c>
      <c r="K1589" t="inlineStr">
        <is>
          <t>8 - 16 Năm</t>
        </is>
      </c>
      <c r="L1589" s="8">
        <f>HYPERLINK("https://careerviet.vn/vi/tim-viec-lam/senior-safety-specialist.35C6B7CF.html","Xem chi tiết")</f>
        <v/>
      </c>
    </row>
    <row r="1590">
      <c r="B1590" s="9" t="n">
        <v>1588</v>
      </c>
      <c r="C1590" s="10" t="inlineStr">
        <is>
          <t>Giảng Viên Điều Dưỡng Y Khoa</t>
        </is>
      </c>
      <c r="D1590" s="10" t="inlineStr">
        <is>
          <t>CÔNG TY CỔ PHẦN DƯỢC PHẨM FPT LONG CHÂU</t>
        </is>
      </c>
      <c r="E1590" s="10" t="inlineStr">
        <is>
          <t>Lương:Cạnh tranh</t>
        </is>
      </c>
      <c r="F1590" s="10" t="inlineStr">
        <is>
          <t>Hồ Chí Minh</t>
        </is>
      </c>
      <c r="G1590" s="10" t="inlineStr">
        <is>
          <t>09-04-2026</t>
        </is>
      </c>
      <c r="H1590" s="10" t="inlineStr">
        <is>
          <t>09/04/2026</t>
        </is>
      </c>
      <c r="I1590" s="10" t="inlineStr">
        <is>
          <t>17/03/2026</t>
        </is>
      </c>
      <c r="J1590" s="10" t="inlineStr">
        <is>
          <t>Y tế / Chăm sóc sức khỏe / Thẩm mỹ / Làm đẹp</t>
        </is>
      </c>
      <c r="K1590" s="10" t="inlineStr">
        <is>
          <t>2 - 5 Năm</t>
        </is>
      </c>
      <c r="L1590" s="11">
        <f>HYPERLINK("https://careerviet.vn/vi/tim-viec-lam/giang-vien-dieu-duong-y-khoa.35C6B973.html","Xem chi tiết")</f>
        <v/>
      </c>
      <c r="M1590" s="10" t="n"/>
    </row>
    <row r="1591">
      <c r="B1591" s="7" t="n">
        <v>1589</v>
      </c>
      <c r="C1591" t="inlineStr">
        <is>
          <t>Nhân viên Kinh doanh/Nhân viên Tư vấn</t>
        </is>
      </c>
      <c r="D1591" t="inlineStr">
        <is>
          <t>CÔNG TY CỔ PHẦN HỌC VIỆN MINH TRÍ THÀNH</t>
        </is>
      </c>
      <c r="E1591" t="inlineStr">
        <is>
          <t>Lương:15 Tr - 50 Tr VND</t>
        </is>
      </c>
      <c r="F1591" t="inlineStr">
        <is>
          <t>Hà Nội</t>
        </is>
      </c>
      <c r="G1591" t="inlineStr">
        <is>
          <t>30-04-2026</t>
        </is>
      </c>
      <c r="H1591" t="inlineStr">
        <is>
          <t>30/04/2026</t>
        </is>
      </c>
      <c r="I1591" t="inlineStr">
        <is>
          <t>17/03/2026</t>
        </is>
      </c>
      <c r="J1591" t="inlineStr">
        <is>
          <t>Giáo dục / Đào tạo</t>
        </is>
      </c>
      <c r="K1591" t="inlineStr">
        <is>
          <t>Chưa có kinh nghiệm</t>
        </is>
      </c>
      <c r="L1591" s="8">
        <f>HYPERLINK("https://careerviet.vn/vi/tim-viec-lam/nhan-vien-kinh-doanh-nhan-vien-tu-van.35C6B900.html","Xem chi tiết")</f>
        <v/>
      </c>
    </row>
    <row r="1592">
      <c r="B1592" s="9" t="n">
        <v>1590</v>
      </c>
      <c r="C1592" s="10" t="inlineStr">
        <is>
          <t>Bếp Phó</t>
        </is>
      </c>
      <c r="D1592" s="10" t="inlineStr">
        <is>
          <t>CÔNG TY TNHH KIỀU FOODS VIỆT NAM</t>
        </is>
      </c>
      <c r="E1592" s="10" t="inlineStr">
        <is>
          <t>Lương:8 Tr - 12 Tr VND</t>
        </is>
      </c>
      <c r="F1592" s="10" t="inlineStr">
        <is>
          <t>Quảng Ngãi</t>
        </is>
      </c>
      <c r="G1592" s="10" t="inlineStr">
        <is>
          <t>31-03-2026</t>
        </is>
      </c>
      <c r="H1592" s="10" t="inlineStr">
        <is>
          <t>31/03/2026</t>
        </is>
      </c>
      <c r="I1592" s="10" t="inlineStr">
        <is>
          <t>17/03/2026</t>
        </is>
      </c>
      <c r="J1592" s="10" t="inlineStr">
        <is>
          <t>Thực phẩm &amp; Đồ uống, Nhà hàng / Khách sạn, Du lịch</t>
        </is>
      </c>
      <c r="K1592" s="10" t="inlineStr">
        <is>
          <t>N/A</t>
        </is>
      </c>
      <c r="L1592" s="11">
        <f>HYPERLINK("https://careerviet.vn/vi/tim-viec-lam/bep-pho.35C364B4.html","Xem chi tiết")</f>
        <v/>
      </c>
      <c r="M1592" s="10" t="n"/>
    </row>
    <row r="1593">
      <c r="B1593" s="7" t="n">
        <v>1591</v>
      </c>
      <c r="C1593" t="inlineStr">
        <is>
          <t>Thông Dịch Viên Tiếng Hàn</t>
        </is>
      </c>
      <c r="D1593" t="inlineStr">
        <is>
          <t>TKG Taekwang Vina</t>
        </is>
      </c>
      <c r="E1593" t="inlineStr">
        <is>
          <t>Lương:800 - 1.200 USD</t>
        </is>
      </c>
      <c r="F1593" t="inlineStr">
        <is>
          <t>Đồng Nai</t>
        </is>
      </c>
      <c r="G1593" t="inlineStr">
        <is>
          <t>09-04-2026</t>
        </is>
      </c>
      <c r="H1593" t="inlineStr">
        <is>
          <t>09/04/2026</t>
        </is>
      </c>
      <c r="I1593" t="inlineStr">
        <is>
          <t>17/03/2026</t>
        </is>
      </c>
      <c r="J1593" t="inlineStr">
        <is>
          <t>Biên phiên dịch, Kế toán / Kiểm toán, Sản xuất / Vận hành sản xuất</t>
        </is>
      </c>
      <c r="K1593" t="inlineStr">
        <is>
          <t>Chưa có kinh nghiệm</t>
        </is>
      </c>
      <c r="L1593" s="8">
        <f>HYPERLINK("https://careerviet.vn/vi/tim-viec-lam/thong-dich-vien-tieng-han.35C6B7C6.html","Xem chi tiết")</f>
        <v/>
      </c>
    </row>
    <row r="1594">
      <c r="B1594" s="9" t="n">
        <v>1592</v>
      </c>
      <c r="C1594" s="10" t="inlineStr">
        <is>
          <t>Kế Toán Tổng Hợp</t>
        </is>
      </c>
      <c r="D1594" s="10" t="inlineStr">
        <is>
          <t>CÔNG TY TNHH THƯƠNG MẠI DỊCH VỤ TECHNOJET</t>
        </is>
      </c>
      <c r="E1594" s="10" t="inlineStr">
        <is>
          <t>Lương:13 Tr - 16 Tr VND</t>
        </is>
      </c>
      <c r="F1594" s="10" t="inlineStr">
        <is>
          <t>Hồ Chí Minh</t>
        </is>
      </c>
      <c r="G1594" s="10" t="inlineStr">
        <is>
          <t>09-04-2026</t>
        </is>
      </c>
      <c r="H1594" s="10" t="inlineStr">
        <is>
          <t>09/04/2026</t>
        </is>
      </c>
      <c r="I1594" s="10" t="inlineStr">
        <is>
          <t>17/03/2026</t>
        </is>
      </c>
      <c r="J1594" s="10" t="inlineStr">
        <is>
          <t>Kế toán / Kiểm toán, Tài chính / Đầu tư, Luật / Pháp lý</t>
        </is>
      </c>
      <c r="K1594" s="10" t="inlineStr">
        <is>
          <t>2 - 3 Năm</t>
        </is>
      </c>
      <c r="L1594" s="11">
        <f>HYPERLINK("https://careerviet.vn/vi/tim-viec-lam/ke-toan-tong-hop.35C6B52A.html","Xem chi tiết")</f>
        <v/>
      </c>
      <c r="M1594" s="10" t="n"/>
    </row>
    <row r="1595">
      <c r="B1595" s="7" t="n">
        <v>1593</v>
      </c>
      <c r="C1595" t="inlineStr">
        <is>
          <t>Nhân viên dự toán</t>
        </is>
      </c>
      <c r="D1595" t="inlineStr">
        <is>
          <t>CÔNG TY CỔ PHẦN SÀI GÒN NAM PHÁT</t>
        </is>
      </c>
      <c r="E1595" t="inlineStr">
        <is>
          <t>Lương:Cạnh tranh</t>
        </is>
      </c>
      <c r="F1595" t="inlineStr">
        <is>
          <t>Hồ Chí Minh</t>
        </is>
      </c>
      <c r="G1595" t="inlineStr">
        <is>
          <t>16-04-2026</t>
        </is>
      </c>
      <c r="H1595" t="inlineStr">
        <is>
          <t>16/04/2026</t>
        </is>
      </c>
      <c r="I1595" t="inlineStr">
        <is>
          <t>17/03/2026</t>
        </is>
      </c>
      <c r="J1595" t="inlineStr">
        <is>
          <t>Xây dựng, Cơ khí / Ô tô / Tự động hóa, Kiến trúc</t>
        </is>
      </c>
      <c r="K1595" t="inlineStr">
        <is>
          <t>Trên 3 Năm</t>
        </is>
      </c>
      <c r="L1595" s="8">
        <f>HYPERLINK("https://careerviet.vn/vi/tim-viec-lam/nhan-vien-du-toan.35C6B400.html","Xem chi tiết")</f>
        <v/>
      </c>
    </row>
    <row r="1596">
      <c r="B1596" s="9" t="n">
        <v>1594</v>
      </c>
      <c r="C1596" s="10" t="inlineStr">
        <is>
          <t>Tuyển Gấp – Nhân Viên Tài Chính</t>
        </is>
      </c>
      <c r="D1596" s="10" t="inlineStr">
        <is>
          <t>CÔNG TY CỔ PHẦN TƯ VẤN GIÁO DỤC EDUNETWORK VIỆT NAM</t>
        </is>
      </c>
      <c r="E1596" s="10" t="inlineStr">
        <is>
          <t>Lương:10 Tr - 14 Tr VND</t>
        </is>
      </c>
      <c r="F1596" s="10" t="inlineStr">
        <is>
          <t>Hồ Chí Minh</t>
        </is>
      </c>
      <c r="G1596" s="10" t="inlineStr">
        <is>
          <t>09-04-2026</t>
        </is>
      </c>
      <c r="H1596" s="10" t="inlineStr">
        <is>
          <t>09/04/2026</t>
        </is>
      </c>
      <c r="I1596" s="10" t="inlineStr">
        <is>
          <t>17/03/2026</t>
        </is>
      </c>
      <c r="J1596" s="10" t="inlineStr">
        <is>
          <t>Tài chính / Đầu tư, Kế toán / Kiểm toán, Ngân hàng</t>
        </is>
      </c>
      <c r="K1596" s="10" t="inlineStr">
        <is>
          <t>Lên đến 1 Năm</t>
        </is>
      </c>
      <c r="L1596" s="11">
        <f>HYPERLINK("https://careerviet.vn/vi/tim-viec-lam/tuyen-gap-nhan-vien-tai-chinh.35C6B9D6.html","Xem chi tiết")</f>
        <v/>
      </c>
      <c r="M1596" s="10" t="n"/>
    </row>
    <row r="1597">
      <c r="B1597" s="7" t="n">
        <v>1595</v>
      </c>
      <c r="C1597" t="inlineStr">
        <is>
          <t>Nhân viên thủ quỹ</t>
        </is>
      </c>
      <c r="D1597" t="inlineStr">
        <is>
          <t>CÔNG TY TNHH CAVI EXPRESS</t>
        </is>
      </c>
      <c r="E1597" t="inlineStr">
        <is>
          <t>Lương:7,5 Tr - 7,9 Tr VND</t>
        </is>
      </c>
      <c r="F1597" t="inlineStr">
        <is>
          <t>Hồ Chí Minh</t>
        </is>
      </c>
      <c r="G1597" t="inlineStr">
        <is>
          <t>31-03-2026</t>
        </is>
      </c>
      <c r="H1597" t="inlineStr">
        <is>
          <t>31/03/2026</t>
        </is>
      </c>
      <c r="I1597" t="inlineStr">
        <is>
          <t>17/03/2026</t>
        </is>
      </c>
      <c r="J1597" t="inlineStr">
        <is>
          <t>Kế toán / Kiểm toán, Bán hàng / Kinh doanh, Tài chính / Đầu tư</t>
        </is>
      </c>
      <c r="K1597" t="inlineStr">
        <is>
          <t>1 - 2 Năm</t>
        </is>
      </c>
      <c r="L1597" s="8">
        <f>HYPERLINK("https://careerviet.vn/vi/tim-viec-lam/nhan-vien-thu-quy.35C6BA58.html","Xem chi tiết")</f>
        <v/>
      </c>
    </row>
    <row r="1598">
      <c r="B1598" s="9" t="n">
        <v>1596</v>
      </c>
      <c r="C1598" s="10" t="inlineStr">
        <is>
          <t>Nhân Viên Bảo Trì</t>
        </is>
      </c>
      <c r="D1598" s="10" t="inlineStr">
        <is>
          <t>Gold Coin Bình Dương</t>
        </is>
      </c>
      <c r="E1598" s="10" t="inlineStr">
        <is>
          <t>Lương:Cạnh tranh</t>
        </is>
      </c>
      <c r="F1598" s="10" t="inlineStr">
        <is>
          <t>Bình Dương</t>
        </is>
      </c>
      <c r="G1598" s="10" t="inlineStr">
        <is>
          <t>09-04-2026</t>
        </is>
      </c>
      <c r="H1598" s="10" t="inlineStr">
        <is>
          <t>09/04/2026</t>
        </is>
      </c>
      <c r="I1598" s="10" t="inlineStr">
        <is>
          <t>17/03/2026</t>
        </is>
      </c>
      <c r="J1598" s="10" t="inlineStr">
        <is>
          <t>Bảo trì / Sửa chữa, Cơ khí / Ô tô / Tự động hóa, Điện / Điện tử / Điện lạnh / Điện công nghiệp</t>
        </is>
      </c>
      <c r="K1598" s="10" t="inlineStr">
        <is>
          <t>N/A</t>
        </is>
      </c>
      <c r="L1598" s="11">
        <f>HYPERLINK("https://careerviet.vn/vi/tim-viec-lam/nhan-vien-bao-tri.35C6BA0C.html","Xem chi tiết")</f>
        <v/>
      </c>
      <c r="M1598" s="10" t="n"/>
    </row>
    <row r="1599">
      <c r="B1599" s="7" t="n">
        <v>1597</v>
      </c>
      <c r="C1599" t="inlineStr">
        <is>
          <t>Nhân viên trưng bày hàng hóa - Visual Merchandising Executive</t>
        </is>
      </c>
      <c r="D1599" t="inlineStr">
        <is>
          <t>Công Ty Cổ Phần Thời Trang &amp; Mỹ Phẩm Duy Anh (DAFC)</t>
        </is>
      </c>
      <c r="E1599" t="inlineStr">
        <is>
          <t>Lương:Cạnh tranh</t>
        </is>
      </c>
      <c r="F1599" t="inlineStr">
        <is>
          <t>Hồ Chí Minh</t>
        </is>
      </c>
      <c r="G1599" t="inlineStr">
        <is>
          <t>14-04-2026</t>
        </is>
      </c>
      <c r="H1599" t="inlineStr">
        <is>
          <t>14/04/2026</t>
        </is>
      </c>
      <c r="I1599" t="inlineStr">
        <is>
          <t>17/03/2026</t>
        </is>
      </c>
      <c r="J1599" t="inlineStr">
        <is>
          <t>Mỹ thuật / Nghệ thuật / Thiết kế, Dệt may / Da giày / Thời trang</t>
        </is>
      </c>
      <c r="K1599" t="inlineStr">
        <is>
          <t>Trên 1 Năm</t>
        </is>
      </c>
      <c r="L1599" s="8">
        <f>HYPERLINK("https://careerviet.vn/vi/tim-viec-lam/nhan-vien-trung-bay-hang-hoa-visual-merchandising-executive.35C6BA10.html","Xem chi tiết")</f>
        <v/>
      </c>
    </row>
    <row r="1600">
      <c r="B1600" s="9" t="n">
        <v>1598</v>
      </c>
      <c r="C1600" s="10" t="inlineStr">
        <is>
          <t>Kế toán tổng hợp</t>
        </is>
      </c>
      <c r="D1600" s="10" t="inlineStr">
        <is>
          <t>Công Ty TNHH PEROMA Việt Nam</t>
        </is>
      </c>
      <c r="E1600" s="10" t="inlineStr">
        <is>
          <t>Lương:12 Tr - 18 Tr VND</t>
        </is>
      </c>
      <c r="F1600" s="10" t="inlineStr">
        <is>
          <t>Long An</t>
        </is>
      </c>
      <c r="G1600" s="10" t="inlineStr">
        <is>
          <t>10-04-2026</t>
        </is>
      </c>
      <c r="H1600" s="10" t="inlineStr">
        <is>
          <t>10/04/2026</t>
        </is>
      </c>
      <c r="I1600" s="10" t="inlineStr">
        <is>
          <t>17/03/2026</t>
        </is>
      </c>
      <c r="J1600" s="10" t="inlineStr">
        <is>
          <t>Bán hàng / Kinh doanh, Kế toán / Kiểm toán, Ngân hàng</t>
        </is>
      </c>
      <c r="K1600" s="10" t="inlineStr">
        <is>
          <t>2 - 5 Năm</t>
        </is>
      </c>
      <c r="L1600" s="11">
        <f>HYPERLINK("https://careerviet.vn/vi/tim-viec-lam/ke-toan-tong-hop.35C6BA63.html","Xem chi tiết")</f>
        <v/>
      </c>
      <c r="M1600" s="10" t="n"/>
    </row>
    <row r="1601">
      <c r="B1601" s="7" t="n">
        <v>1599</v>
      </c>
      <c r="C1601" t="inlineStr">
        <is>
          <t>GIÁM SÁT THI CÔNG</t>
        </is>
      </c>
      <c r="D1601" t="inlineStr">
        <is>
          <t>CÔNG TY CỔ PHẦN SÀI GÒN NAM PHÁT</t>
        </is>
      </c>
      <c r="E1601" t="inlineStr">
        <is>
          <t>Lương:Cạnh tranh</t>
        </is>
      </c>
      <c r="F1601" t="inlineStr">
        <is>
          <t>Hồ Chí Minh</t>
        </is>
      </c>
      <c r="G1601" t="inlineStr">
        <is>
          <t>16-04-2026</t>
        </is>
      </c>
      <c r="H1601" t="inlineStr">
        <is>
          <t>16/04/2026</t>
        </is>
      </c>
      <c r="I1601" t="inlineStr">
        <is>
          <t>17/03/2026</t>
        </is>
      </c>
      <c r="J1601" t="inlineStr">
        <is>
          <t>Xây dựng, Điện / Điện tử / Điện lạnh / Điện công nghiệp, Quản lý điều hành</t>
        </is>
      </c>
      <c r="K1601" t="inlineStr">
        <is>
          <t>2 - 3 Năm</t>
        </is>
      </c>
      <c r="L1601" s="8">
        <f>HYPERLINK("https://careerviet.vn/vi/tim-viec-lam/giam-sat-thi-cong.35C6B6B3.html","Xem chi tiết")</f>
        <v/>
      </c>
    </row>
    <row r="1602">
      <c r="B1602" s="9" t="n">
        <v>1600</v>
      </c>
      <c r="C1602" s="10" t="inlineStr">
        <is>
          <t>Chuyên Viên Tuyển Dụng - Thu Nhập Upto 20 Triệu</t>
        </is>
      </c>
      <c r="D1602" s="10" t="inlineStr">
        <is>
          <t>Công ty CP IIG Việt Nam</t>
        </is>
      </c>
      <c r="E1602" s="10" t="inlineStr">
        <is>
          <t>Lương:15 Tr - 20 Tr VND</t>
        </is>
      </c>
      <c r="F1602" s="10" t="inlineStr">
        <is>
          <t>Hà Nội</t>
        </is>
      </c>
      <c r="G1602" s="10" t="inlineStr">
        <is>
          <t>10-04-2026</t>
        </is>
      </c>
      <c r="H1602" s="10" t="inlineStr">
        <is>
          <t>10/04/2026</t>
        </is>
      </c>
      <c r="I1602" s="10" t="inlineStr">
        <is>
          <t>17/03/2026</t>
        </is>
      </c>
      <c r="J1602" s="10" t="inlineStr">
        <is>
          <t>Nhân sự</t>
        </is>
      </c>
      <c r="K1602" s="10" t="inlineStr">
        <is>
          <t>3 - 5 Năm</t>
        </is>
      </c>
      <c r="L1602" s="11">
        <f>HYPERLINK("https://careerviet.vn/vi/tim-viec-lam/chuyen-vien-tuyen-dung-thu-nhap-upto-20-trieu.35C6B741.html","Xem chi tiết")</f>
        <v/>
      </c>
      <c r="M1602" s="10" t="n"/>
    </row>
    <row r="1603">
      <c r="B1603" s="7" t="n">
        <v>1601</v>
      </c>
      <c r="C1603" t="inlineStr">
        <is>
          <t>Garment QC Inspector (Hanoi)</t>
        </is>
      </c>
      <c r="D1603" t="inlineStr">
        <is>
          <t>TÜV Rheinland Vietnam</t>
        </is>
      </c>
      <c r="E1603" t="inlineStr">
        <is>
          <t>Lương:Cạnh tranh</t>
        </is>
      </c>
      <c r="F1603" t="inlineStr">
        <is>
          <t>Hà Nội</t>
        </is>
      </c>
      <c r="G1603" t="inlineStr">
        <is>
          <t>05-05-2026</t>
        </is>
      </c>
      <c r="H1603" t="inlineStr">
        <is>
          <t>05/05/2026</t>
        </is>
      </c>
      <c r="I1603" t="inlineStr">
        <is>
          <t>17/03/2026</t>
        </is>
      </c>
      <c r="J1603" t="inlineStr">
        <is>
          <t>Dệt may / Da giày / Thời trang, Quản lý chất lượng (QA/QC)</t>
        </is>
      </c>
      <c r="K1603" t="inlineStr">
        <is>
          <t>5 - 10 Năm</t>
        </is>
      </c>
      <c r="L1603" s="8">
        <f>HYPERLINK("https://careerviet.vn/vi/tim-viec-lam/garment-qc-inspector-hanoi.35C6B7AF.html","Xem chi tiết")</f>
        <v/>
      </c>
    </row>
    <row r="1604">
      <c r="B1604" s="9" t="n">
        <v>1602</v>
      </c>
      <c r="C1604" s="10" t="inlineStr">
        <is>
          <t>CHUYÊN VIÊN NHÂN SỰ TỔNG HỢP (MẠNH C&amp;B)</t>
        </is>
      </c>
      <c r="D1604" s="10" t="inlineStr">
        <is>
          <t>CÔNG TY TNHH KIỀU FOODS VIỆT NAM</t>
        </is>
      </c>
      <c r="E1604" s="10" t="inlineStr">
        <is>
          <t>Lương:8 Tr - 15 Tr VND</t>
        </is>
      </c>
      <c r="F1604" s="10" t="inlineStr">
        <is>
          <t>Quảng Ngãi</t>
        </is>
      </c>
      <c r="G1604" s="10" t="inlineStr">
        <is>
          <t>31-03-2026</t>
        </is>
      </c>
      <c r="H1604" s="10" t="inlineStr">
        <is>
          <t>31/03/2026</t>
        </is>
      </c>
      <c r="I1604" s="10" t="inlineStr">
        <is>
          <t>17/03/2026</t>
        </is>
      </c>
      <c r="J1604" s="10" t="inlineStr">
        <is>
          <t>Thực phẩm &amp; Đồ uống, Nhân sự</t>
        </is>
      </c>
      <c r="K1604" s="10" t="inlineStr">
        <is>
          <t>1 - 3 Năm</t>
        </is>
      </c>
      <c r="L1604" s="11">
        <f>HYPERLINK("https://careerviet.vn/vi/tim-viec-lam/chuyen-vien-nhan-su-tong-hop-manh-c-b.35C6B9D7.html","Xem chi tiết")</f>
        <v/>
      </c>
      <c r="M1604" s="10" t="n"/>
    </row>
    <row r="1605">
      <c r="B1605" s="7" t="n">
        <v>1603</v>
      </c>
      <c r="C1605" t="inlineStr">
        <is>
          <t>Nhân viên hành chính có Tiếng Nhật 27760 - Yên Hòa, HN</t>
        </is>
      </c>
      <c r="D1605" t="inlineStr">
        <is>
          <t>Công Ty TNHH Reeracoen Việt Nam</t>
        </is>
      </c>
      <c r="E1605" t="inlineStr">
        <is>
          <t>Lương:13 Tr - 20 Tr VND</t>
        </is>
      </c>
      <c r="F1605" t="inlineStr">
        <is>
          <t>Hà Nội</t>
        </is>
      </c>
      <c r="G1605" t="inlineStr">
        <is>
          <t>09-04-2026</t>
        </is>
      </c>
      <c r="H1605" t="inlineStr">
        <is>
          <t>09/04/2026</t>
        </is>
      </c>
      <c r="I1605" t="inlineStr">
        <is>
          <t>17/03/2026</t>
        </is>
      </c>
      <c r="J1605" t="inlineStr">
        <is>
          <t>Hành chính / Thư ký, Nhân sự, Biên phiên dịch</t>
        </is>
      </c>
      <c r="K1605" t="inlineStr">
        <is>
          <t>Trên 2 Năm</t>
        </is>
      </c>
      <c r="L1605" s="8">
        <f>HYPERLINK("https://careerviet.vn/vi/tim-viec-lam/nhan-vien-hanh-chinh-co-tieng-nhat-27760-yen-hoa-hn.35C6BA09.html","Xem chi tiết")</f>
        <v/>
      </c>
    </row>
    <row r="1606">
      <c r="B1606" s="9" t="n">
        <v>1604</v>
      </c>
      <c r="C1606" s="10" t="inlineStr">
        <is>
          <t>Nhân viên bảo trì điện lạnh-Nhà máy 2, KCX Linh Trung 2</t>
        </is>
      </c>
      <c r="D1606" s="10" t="inlineStr">
        <is>
          <t>CÔNG TY TRÁCH NHIỆM HỮU HẠN SÀI GÒN PRECISION</t>
        </is>
      </c>
      <c r="E1606" s="10" t="inlineStr">
        <is>
          <t>Lương:Cạnh tranh</t>
        </is>
      </c>
      <c r="F1606" s="10" t="inlineStr">
        <is>
          <t>Hồ Chí Minh</t>
        </is>
      </c>
      <c r="G1606" s="10" t="inlineStr">
        <is>
          <t>07-04-2026</t>
        </is>
      </c>
      <c r="H1606" s="10" t="inlineStr">
        <is>
          <t>07/04/2026</t>
        </is>
      </c>
      <c r="I1606" s="10" t="inlineStr">
        <is>
          <t>17/03/2026</t>
        </is>
      </c>
      <c r="J1606" s="10" t="inlineStr">
        <is>
          <t>Điện / Điện tử / Điện lạnh / Điện công nghiệp, Bảo trì / Sửa chữa</t>
        </is>
      </c>
      <c r="K1606" s="10" t="inlineStr">
        <is>
          <t>1 - 2 Năm</t>
        </is>
      </c>
      <c r="L1606" s="11">
        <f>HYPERLINK("https://careerviet.vn/vi/tim-viec-lam/nhan-vien-bao-tri-dien-lanh-nha-may-2-kcx-linh-trung-2.35C6BA1F.html","Xem chi tiết")</f>
        <v/>
      </c>
      <c r="M1606" s="10" t="n"/>
    </row>
    <row r="1607">
      <c r="B1607" s="7" t="n">
        <v>1605</v>
      </c>
      <c r="C1607" t="inlineStr">
        <is>
          <t>Sales Representative &amp; BA LEADER</t>
        </is>
      </c>
      <c r="D1607" t="inlineStr">
        <is>
          <t>CÔNG TY TNHH ĐẦU TƯ XNK TÍN VIỆT</t>
        </is>
      </c>
      <c r="E1607" t="inlineStr">
        <is>
          <t>Lương:Cạnh tranh</t>
        </is>
      </c>
      <c r="F1607" t="inlineStr">
        <is>
          <t>Hồ Chí Minh</t>
        </is>
      </c>
      <c r="G1607" t="inlineStr">
        <is>
          <t>30-04-2026</t>
        </is>
      </c>
      <c r="H1607" t="inlineStr">
        <is>
          <t>30/04/2026</t>
        </is>
      </c>
      <c r="I1607" t="inlineStr">
        <is>
          <t>17/03/2026</t>
        </is>
      </c>
      <c r="J1607" t="inlineStr">
        <is>
          <t>Tiếp thị / Marketing, Bán lẻ / Bán sỉ, Bán hàng / Kinh doanh</t>
        </is>
      </c>
      <c r="K1607" t="inlineStr">
        <is>
          <t>1 - 3 Năm</t>
        </is>
      </c>
      <c r="L1607" s="8">
        <f>HYPERLINK("https://careerviet.vn/vi/tim-viec-lam/sales-representative-ba-leader.35C6B77C.html","Xem chi tiết")</f>
        <v/>
      </c>
    </row>
    <row r="1608">
      <c r="B1608" s="9" t="n">
        <v>1606</v>
      </c>
      <c r="C1608" s="10" t="inlineStr">
        <is>
          <t>Chuyên gia chính sách tín dụng và Digital risk (phục vụ triển khai Dự án CLOS)</t>
        </is>
      </c>
      <c r="D1608" s="10" t="inlineStr">
        <is>
          <t>Ngân Hàng TMCP Quốc Dân (NCB)</t>
        </is>
      </c>
      <c r="E1608" s="10" t="inlineStr">
        <is>
          <t>Lương:Cạnh tranh</t>
        </is>
      </c>
      <c r="F1608" s="10" t="inlineStr">
        <is>
          <t>Hà Nội</t>
        </is>
      </c>
      <c r="G1608" s="10" t="inlineStr">
        <is>
          <t>09-04-2026</t>
        </is>
      </c>
      <c r="H1608" s="10" t="inlineStr">
        <is>
          <t>09/04/2026</t>
        </is>
      </c>
      <c r="I1608" s="10" t="inlineStr">
        <is>
          <t>17/03/2026</t>
        </is>
      </c>
      <c r="J1608" s="10" t="inlineStr">
        <is>
          <t>Ngân hàng, CNTT - Phần cứng / Mạng, CNTT - Phần mềm</t>
        </is>
      </c>
      <c r="K1608" s="10" t="inlineStr">
        <is>
          <t>Trên 3 Năm</t>
        </is>
      </c>
      <c r="L1608" s="11">
        <f>HYPERLINK("https://careerviet.vn/vi/tim-viec-lam/chuyen-gia-chinh-sach-tin-dung-va-digital-risk-phuc-vu-trien-khai-du-an-clos.35C6B993.html","Xem chi tiết")</f>
        <v/>
      </c>
      <c r="M1608" s="10" t="n"/>
    </row>
    <row r="1609">
      <c r="B1609" s="7" t="n">
        <v>1607</v>
      </c>
      <c r="C1609" t="inlineStr">
        <is>
          <t>Loyalty Program Management Specialist</t>
        </is>
      </c>
      <c r="D1609" t="inlineStr">
        <is>
          <t>Sika Limited (Vietnam)</t>
        </is>
      </c>
      <c r="E1609" t="inlineStr">
        <is>
          <t>Lương:Cạnh tranh</t>
        </is>
      </c>
      <c r="F1609" t="inlineStr">
        <is>
          <t>Hồ Chí Minh</t>
        </is>
      </c>
      <c r="G1609" t="inlineStr">
        <is>
          <t>31-03-2026</t>
        </is>
      </c>
      <c r="H1609" t="inlineStr">
        <is>
          <t>31/03/2026</t>
        </is>
      </c>
      <c r="I1609" t="inlineStr">
        <is>
          <t>17/03/2026</t>
        </is>
      </c>
      <c r="J1609" t="inlineStr">
        <is>
          <t>Tiếp thị / Marketing</t>
        </is>
      </c>
      <c r="K1609" t="inlineStr">
        <is>
          <t>3 - 5 Năm</t>
        </is>
      </c>
      <c r="L1609" s="8">
        <f>HYPERLINK("https://careerviet.vn/vi/tim-viec-lam/loyalty-program-management-specialist.35C6A0B5.html","Xem chi tiết")</f>
        <v/>
      </c>
    </row>
    <row r="1610">
      <c r="B1610" s="9" t="n">
        <v>1608</v>
      </c>
      <c r="C1610" s="10" t="inlineStr">
        <is>
          <t>Chuyên viên SEO</t>
        </is>
      </c>
      <c r="D1610" s="10" t="inlineStr">
        <is>
          <t>CÔNG TY CỔ PHẦN HỌC VIỆN MINH TRÍ THÀNH</t>
        </is>
      </c>
      <c r="E1610" s="10" t="inlineStr">
        <is>
          <t>Lương:12 Tr - 18 Tr VND</t>
        </is>
      </c>
      <c r="F1610" s="10" t="inlineStr">
        <is>
          <t>Hà Nội</t>
        </is>
      </c>
      <c r="G1610" s="10" t="inlineStr">
        <is>
          <t>27-04-2026</t>
        </is>
      </c>
      <c r="H1610" s="10" t="inlineStr">
        <is>
          <t>27/04/2026</t>
        </is>
      </c>
      <c r="I1610" s="10" t="inlineStr">
        <is>
          <t>17/03/2026</t>
        </is>
      </c>
      <c r="J1610" s="10" t="inlineStr">
        <is>
          <t>Tiếp thị / Marketing, Giáo dục / Đào tạo</t>
        </is>
      </c>
      <c r="K1610" s="10" t="inlineStr">
        <is>
          <t>Chưa có kinh nghiệm</t>
        </is>
      </c>
      <c r="L1610" s="11">
        <f>HYPERLINK("https://careerviet.vn/vi/tim-viec-lam/chuyen-vien-seo.35C6B9B6.html","Xem chi tiết")</f>
        <v/>
      </c>
      <c r="M1610" s="10" t="n"/>
    </row>
    <row r="1611">
      <c r="B1611" s="7" t="n">
        <v>1609</v>
      </c>
      <c r="C1611" t="inlineStr">
        <is>
          <t>Phó Tổng Giám Đốc Phụ Trách Phát Triển Dự án Bất Động Sản</t>
        </is>
      </c>
      <c r="D1611" t="inlineStr">
        <is>
          <t>CÔNG TY CỔ PHẦN ĐỊA ỐC HDMON VILLAS</t>
        </is>
      </c>
      <c r="E1611" t="inlineStr">
        <is>
          <t>Lương:Cạnh tranh</t>
        </is>
      </c>
      <c r="F1611" t="inlineStr">
        <is>
          <t>Hà Nội</t>
        </is>
      </c>
      <c r="G1611" t="inlineStr">
        <is>
          <t>11-04-2026</t>
        </is>
      </c>
      <c r="H1611" t="inlineStr">
        <is>
          <t>11/04/2026</t>
        </is>
      </c>
      <c r="I1611" t="inlineStr">
        <is>
          <t>17/03/2026</t>
        </is>
      </c>
      <c r="J1611" t="inlineStr">
        <is>
          <t>Bất động sản, Xây dựng, Quản lý điều hành</t>
        </is>
      </c>
      <c r="K1611" t="inlineStr">
        <is>
          <t>5 - 10 Năm</t>
        </is>
      </c>
      <c r="L1611" s="8">
        <f>HYPERLINK("https://careerviet.vn/vi/tim-viec-lam/pho-tong-giam-doc-phu-trach-phat-trien-du-an-bat-dong-san.35C6B868.html","Xem chi tiết")</f>
        <v/>
      </c>
    </row>
    <row r="1612">
      <c r="B1612" s="9" t="n">
        <v>1610</v>
      </c>
      <c r="C1612" s="10" t="inlineStr">
        <is>
          <t>Trưởng/Phó phòng Quản lý Dự án (Khánh Hòa)</t>
        </is>
      </c>
      <c r="D1612" s="10" t="inlineStr">
        <is>
          <t>TẬP ĐOÀN HOÀN CẦU</t>
        </is>
      </c>
      <c r="E1612" s="10" t="inlineStr">
        <is>
          <t>Lương:Cạnh tranh</t>
        </is>
      </c>
      <c r="F1612" s="10" t="inlineStr">
        <is>
          <t>Khánh Hòa</t>
        </is>
      </c>
      <c r="G1612" s="10" t="inlineStr">
        <is>
          <t>31-03-2026</t>
        </is>
      </c>
      <c r="H1612" s="10" t="inlineStr">
        <is>
          <t>31/03/2026</t>
        </is>
      </c>
      <c r="I1612" s="10" t="inlineStr">
        <is>
          <t>17/03/2026</t>
        </is>
      </c>
      <c r="J1612" s="10" t="inlineStr">
        <is>
          <t>Bất động sản, Ngân hàng</t>
        </is>
      </c>
      <c r="K1612" s="10" t="inlineStr">
        <is>
          <t>5 - 10 Năm</t>
        </is>
      </c>
      <c r="L1612" s="11">
        <f>HYPERLINK("https://careerviet.vn/vi/tim-viec-lam/truong-pho-phong-quan-ly-du-an-khanh-hoa.35C6B8AA.html","Xem chi tiết")</f>
        <v/>
      </c>
      <c r="M1612" s="10" t="n"/>
    </row>
    <row r="1613">
      <c r="B1613" s="7" t="n">
        <v>1611</v>
      </c>
      <c r="C1613" t="inlineStr">
        <is>
          <t>[JHN0037798] Nhân viên kỹ thuật sản xuất</t>
        </is>
      </c>
      <c r="D1613" t="inlineStr">
        <is>
          <t>Iconic Co.,Ltd</t>
        </is>
      </c>
      <c r="E1613" t="inlineStr">
        <is>
          <t>Lương:Cạnh tranh</t>
        </is>
      </c>
      <c r="F1613" t="inlineStr">
        <is>
          <t>Quảng Ninh</t>
        </is>
      </c>
      <c r="G1613" t="inlineStr">
        <is>
          <t>30-04-2026</t>
        </is>
      </c>
      <c r="H1613" t="inlineStr">
        <is>
          <t>30/04/2026</t>
        </is>
      </c>
      <c r="I1613" t="inlineStr">
        <is>
          <t>17/03/2026</t>
        </is>
      </c>
      <c r="J1613" t="inlineStr">
        <is>
          <t>Bán Hàng Kỹ Thuật, Sản xuất / Vận hành sản xuất, Điện / Điện tử / Điện lạnh / Điện công nghiệp</t>
        </is>
      </c>
      <c r="K1613" t="inlineStr">
        <is>
          <t>Trên 1 Năm</t>
        </is>
      </c>
      <c r="L1613" s="8">
        <f>HYPERLINK("https://careerviet.vn/vi/tim-viec-lam/jhn0037798-nhan-vien-ky-thuat-san-xuat.35C6BA07.html","Xem chi tiết")</f>
        <v/>
      </c>
    </row>
    <row r="1614">
      <c r="B1614" s="9" t="n">
        <v>1612</v>
      </c>
      <c r="C1614" s="10" t="inlineStr">
        <is>
          <t>Nhân viên kinh doanh</t>
        </is>
      </c>
      <c r="D1614" s="10" t="inlineStr">
        <is>
          <t>CÔNG TY TNHH SẢN XUẤT XÂY DỰNG ÁNH DƯƠNG XANH</t>
        </is>
      </c>
      <c r="E1614" s="10" t="inlineStr">
        <is>
          <t>Lương:Cạnh tranh</t>
        </is>
      </c>
      <c r="F1614" s="10" t="inlineStr">
        <is>
          <t>Hồ Chí Minh</t>
        </is>
      </c>
      <c r="G1614" s="10" t="inlineStr">
        <is>
          <t>31-03-2026</t>
        </is>
      </c>
      <c r="H1614" s="10" t="inlineStr">
        <is>
          <t>31/03/2026</t>
        </is>
      </c>
      <c r="I1614" s="10" t="inlineStr">
        <is>
          <t>17/03/2026</t>
        </is>
      </c>
      <c r="J1614" s="10" t="inlineStr">
        <is>
          <t>Bán hàng / Kinh doanh, Đồ gỗ, Nội ngoại thất</t>
        </is>
      </c>
      <c r="K1614" s="10" t="inlineStr">
        <is>
          <t>Trên 3 Năm</t>
        </is>
      </c>
      <c r="L1614" s="11">
        <f>HYPERLINK("https://careerviet.vn/vi/tim-viec-lam/nhan-vien-kinh-doanh.35C6BA52.html","Xem chi tiết")</f>
        <v/>
      </c>
      <c r="M1614" s="10" t="n"/>
    </row>
    <row r="1615">
      <c r="B1615" s="7" t="n">
        <v>1613</v>
      </c>
      <c r="C1615" t="inlineStr">
        <is>
          <t>Kế toán có Tiếng Nhật 27753 - Cầu Giấy, HN</t>
        </is>
      </c>
      <c r="D1615" t="inlineStr">
        <is>
          <t>Công Ty TNHH Reeracoen Việt Nam</t>
        </is>
      </c>
      <c r="E1615" t="inlineStr">
        <is>
          <t>Lương:30 Tr - 40 Tr VND</t>
        </is>
      </c>
      <c r="F1615" t="inlineStr">
        <is>
          <t>Hà Nội</t>
        </is>
      </c>
      <c r="G1615" t="inlineStr">
        <is>
          <t>09-04-2026</t>
        </is>
      </c>
      <c r="H1615" t="inlineStr">
        <is>
          <t>09/04/2026</t>
        </is>
      </c>
      <c r="I1615" t="inlineStr">
        <is>
          <t>17/03/2026</t>
        </is>
      </c>
      <c r="J1615" t="inlineStr">
        <is>
          <t>Kế toán / Kiểm toán, Tài chính / Đầu tư, Hành chính / Thư ký</t>
        </is>
      </c>
      <c r="K1615" t="inlineStr">
        <is>
          <t>Trên 3 Năm</t>
        </is>
      </c>
      <c r="L1615" s="8">
        <f>HYPERLINK("https://careerviet.vn/vi/tim-viec-lam/ke-toan-co-tieng-nhat-27753-cau-giay-hn.35C6BA16.html","Xem chi tiết")</f>
        <v/>
      </c>
    </row>
    <row r="1616">
      <c r="B1616" s="9" t="n">
        <v>1614</v>
      </c>
      <c r="C1616" s="10" t="inlineStr">
        <is>
          <t>[JHC0037849] Quản Lý Chất Lượng</t>
        </is>
      </c>
      <c r="D1616" s="10" t="inlineStr">
        <is>
          <t>Iconic Co.,Ltd</t>
        </is>
      </c>
      <c r="E1616" s="10" t="inlineStr">
        <is>
          <t>Lương:1.300 - 1.500 USD</t>
        </is>
      </c>
      <c r="F1616" s="10" t="inlineStr">
        <is>
          <t>Bến Tre</t>
        </is>
      </c>
      <c r="G1616" s="10" t="inlineStr">
        <is>
          <t>09-04-2026</t>
        </is>
      </c>
      <c r="H1616" s="10" t="inlineStr">
        <is>
          <t>09/04/2026</t>
        </is>
      </c>
      <c r="I1616" s="10" t="inlineStr">
        <is>
          <t>17/03/2026</t>
        </is>
      </c>
      <c r="J1616" s="10" t="inlineStr">
        <is>
          <t>Quản lý chất lượng (QA/QC)</t>
        </is>
      </c>
      <c r="K1616" s="10" t="inlineStr">
        <is>
          <t>Trên 5 Năm</t>
        </is>
      </c>
      <c r="L1616" s="11">
        <f>HYPERLINK("https://careerviet.vn/vi/tim-viec-lam/jhc0037849-quan-ly-chat-luong.35C6B980.html","Xem chi tiết")</f>
        <v/>
      </c>
      <c r="M1616" s="10" t="n"/>
    </row>
    <row r="1617">
      <c r="B1617" s="7" t="n">
        <v>1615</v>
      </c>
      <c r="C1617" t="inlineStr">
        <is>
          <t>Nhân viên Chăm Sóc Khách Hàng</t>
        </is>
      </c>
      <c r="D1617" t="inlineStr">
        <is>
          <t>CÔNG TY CP DỊCH VỤ Y TẾ SBB</t>
        </is>
      </c>
      <c r="E1617" t="inlineStr">
        <is>
          <t>Lương:8 Tr - 12 Tr VND</t>
        </is>
      </c>
      <c r="F1617" t="inlineStr">
        <is>
          <t>Hà Nội</t>
        </is>
      </c>
      <c r="G1617" t="inlineStr">
        <is>
          <t>30-04-2026</t>
        </is>
      </c>
      <c r="H1617" t="inlineStr">
        <is>
          <t>30/04/2026</t>
        </is>
      </c>
      <c r="I1617" t="inlineStr">
        <is>
          <t>17/03/2026</t>
        </is>
      </c>
      <c r="J1617" t="inlineStr">
        <is>
          <t>Tư vấn, Dịch vụ khách hàng, Bán hàng / Kinh doanh</t>
        </is>
      </c>
      <c r="K1617" t="inlineStr">
        <is>
          <t>1 - 2 Năm</t>
        </is>
      </c>
      <c r="L1617" s="8">
        <f>HYPERLINK("https://careerviet.vn/vi/tim-viec-lam/nhan-vien-cham-soc-khach-hang.35C6B962.html","Xem chi tiết")</f>
        <v/>
      </c>
    </row>
    <row r="1618">
      <c r="B1618" s="9" t="n">
        <v>1616</v>
      </c>
      <c r="C1618" s="10" t="inlineStr">
        <is>
          <t>[Bến Tre] Chuyên viên Quan hệ Khách hàng cá nhân</t>
        </is>
      </c>
      <c r="D1618" s="10" t="inlineStr">
        <is>
          <t>Ngân hàng TMCP Lộc Phát Việt Nam (LPBank)</t>
        </is>
      </c>
      <c r="E1618" s="10" t="inlineStr">
        <is>
          <t>Lương:Cạnh tranh</t>
        </is>
      </c>
      <c r="F1618" s="10" t="inlineStr">
        <is>
          <t>Bến Tre</t>
        </is>
      </c>
      <c r="G1618" s="10" t="inlineStr">
        <is>
          <t>21-04-2026</t>
        </is>
      </c>
      <c r="H1618" s="10" t="inlineStr">
        <is>
          <t>21/04/2026</t>
        </is>
      </c>
      <c r="I1618" s="10" t="inlineStr">
        <is>
          <t>17/03/2026</t>
        </is>
      </c>
      <c r="J1618" s="10" t="inlineStr">
        <is>
          <t>Kế toán / Kiểm toán, Ngân hàng, Bán hàng / Kinh doanh</t>
        </is>
      </c>
      <c r="K1618" s="10" t="inlineStr">
        <is>
          <t>N/A</t>
        </is>
      </c>
      <c r="L1618" s="11">
        <f>HYPERLINK("https://careerviet.vn/vi/tim-viec-lam/ben-tre-chuyen-vien-quan-he-khach-hang-ca-nhan.35C6B992.html","Xem chi tiết")</f>
        <v/>
      </c>
      <c r="M1618" s="10" t="n"/>
    </row>
    <row r="1619">
      <c r="B1619" s="7" t="n">
        <v>1617</v>
      </c>
      <c r="C1619" t="inlineStr">
        <is>
          <t>Nhân Viên Thiết Kế Hình Ảnh Và Quay Dựng Video</t>
        </is>
      </c>
      <c r="D1619" t="inlineStr">
        <is>
          <t>CÔNG TY CỔ PHẦN TƯ VẤN GIÁO DỤC EDUNETWORK VIỆT NAM</t>
        </is>
      </c>
      <c r="E1619" t="inlineStr">
        <is>
          <t>Lương:10 Tr - 14 Tr VND</t>
        </is>
      </c>
      <c r="F1619" t="inlineStr">
        <is>
          <t>Hồ Chí Minh</t>
        </is>
      </c>
      <c r="G1619" t="inlineStr">
        <is>
          <t>09-04-2026</t>
        </is>
      </c>
      <c r="H1619" t="inlineStr">
        <is>
          <t>09/04/2026</t>
        </is>
      </c>
      <c r="I1619" t="inlineStr">
        <is>
          <t>17/03/2026</t>
        </is>
      </c>
      <c r="J1619" t="inlineStr">
        <is>
          <t>Mỹ thuật / Nghệ thuật / Thiết kế, Quảng cáo / Đối ngoại / Truyền Thông, Tiếp thị / Marketing</t>
        </is>
      </c>
      <c r="K1619" t="inlineStr">
        <is>
          <t>Trên 1 Năm</t>
        </is>
      </c>
      <c r="L1619" s="8">
        <f>HYPERLINK("https://careerviet.vn/vi/tim-viec-lam/nhan-vien-thiet-ke-hinh-anh-va-quay-dung-video.35C6B9C6.html","Xem chi tiết")</f>
        <v/>
      </c>
    </row>
    <row r="1620">
      <c r="B1620" s="9" t="n">
        <v>1618</v>
      </c>
      <c r="C1620" s="10" t="inlineStr">
        <is>
          <t>[JHN0037660] Accounting Staff</t>
        </is>
      </c>
      <c r="D1620" s="10" t="inlineStr">
        <is>
          <t>Iconic Co.,Ltd</t>
        </is>
      </c>
      <c r="E1620" s="10" t="inlineStr">
        <is>
          <t>Lương:900 - 900 USD</t>
        </is>
      </c>
      <c r="F1620" s="10" t="inlineStr">
        <is>
          <t>Hà Nội</t>
        </is>
      </c>
      <c r="G1620" s="10" t="inlineStr">
        <is>
          <t>15-04-2026</t>
        </is>
      </c>
      <c r="H1620" s="10" t="inlineStr">
        <is>
          <t>15/04/2026</t>
        </is>
      </c>
      <c r="I1620" s="10" t="inlineStr">
        <is>
          <t>17/03/2026</t>
        </is>
      </c>
      <c r="J1620" s="10" t="inlineStr">
        <is>
          <t>Kế toán / Kiểm toán</t>
        </is>
      </c>
      <c r="K1620" s="10" t="inlineStr">
        <is>
          <t>Trên 3 Năm</t>
        </is>
      </c>
      <c r="L1620" s="11">
        <f>HYPERLINK("https://careerviet.vn/vi/tim-viec-lam/jhn0037660-accounting-staff.35C6B9B8.html","Xem chi tiết")</f>
        <v/>
      </c>
      <c r="M1620" s="10" t="n"/>
    </row>
    <row r="1621">
      <c r="B1621" s="7" t="n">
        <v>1619</v>
      </c>
      <c r="C1621" t="inlineStr">
        <is>
          <t>[Bạc Liêu] Chuyên viên Quan hệ Khách hàng cá nhân</t>
        </is>
      </c>
      <c r="D1621" t="inlineStr">
        <is>
          <t>Ngân hàng TMCP Lộc Phát Việt Nam (LPBank)</t>
        </is>
      </c>
      <c r="E1621" t="inlineStr">
        <is>
          <t>Lương:Cạnh tranh</t>
        </is>
      </c>
      <c r="F1621" t="inlineStr">
        <is>
          <t>Bạc Liêu</t>
        </is>
      </c>
      <c r="G1621" t="inlineStr">
        <is>
          <t>21-04-2026</t>
        </is>
      </c>
      <c r="H1621" t="inlineStr">
        <is>
          <t>21/04/2026</t>
        </is>
      </c>
      <c r="I1621" t="inlineStr">
        <is>
          <t>17/03/2026</t>
        </is>
      </c>
      <c r="J1621" t="inlineStr">
        <is>
          <t>Kế toán / Kiểm toán, Ngân hàng, Bán hàng / Kinh doanh</t>
        </is>
      </c>
      <c r="K1621" t="inlineStr">
        <is>
          <t>N/A</t>
        </is>
      </c>
      <c r="L1621" s="8">
        <f>HYPERLINK("https://careerviet.vn/vi/tim-viec-lam/bac-lieu-chuyen-vien-quan-he-khach-hang-ca-nhan.35C6B98A.html","Xem chi tiết")</f>
        <v/>
      </c>
    </row>
    <row r="1622">
      <c r="B1622" s="9" t="n">
        <v>1620</v>
      </c>
      <c r="C1622" s="10" t="inlineStr">
        <is>
          <t>Kỹ sư Giám sát Hạ tầng Kỹ thuật / Giao thông (Khánh Hòa)</t>
        </is>
      </c>
      <c r="D1622" s="10" t="inlineStr">
        <is>
          <t>TẬP ĐOÀN HOÀN CẦU</t>
        </is>
      </c>
      <c r="E1622" s="10" t="inlineStr">
        <is>
          <t>Lương:Cạnh tranh</t>
        </is>
      </c>
      <c r="F1622" s="10" t="inlineStr">
        <is>
          <t>Khánh Hòa</t>
        </is>
      </c>
      <c r="G1622" s="10" t="inlineStr">
        <is>
          <t>31-03-2026</t>
        </is>
      </c>
      <c r="H1622" s="10" t="inlineStr">
        <is>
          <t>31/03/2026</t>
        </is>
      </c>
      <c r="I1622" s="10" t="inlineStr">
        <is>
          <t>17/03/2026</t>
        </is>
      </c>
      <c r="J1622" s="10" t="inlineStr">
        <is>
          <t>Bất động sản, Ngân hàng</t>
        </is>
      </c>
      <c r="K1622" s="10" t="inlineStr">
        <is>
          <t>2 - 5 Năm</t>
        </is>
      </c>
      <c r="L1622" s="11">
        <f>HYPERLINK("https://careerviet.vn/vi/tim-viec-lam/ky-su-giam-sat-ha-tang-ky-thuat-giao-thong-khanh-hoa.35C6B8FF.html","Xem chi tiết")</f>
        <v/>
      </c>
      <c r="M1622" s="10" t="n"/>
    </row>
    <row r="1623">
      <c r="B1623" s="7" t="n">
        <v>1621</v>
      </c>
      <c r="C1623" t="inlineStr">
        <is>
          <t>Giám Đốc Kinh Doanh</t>
        </is>
      </c>
      <c r="D1623" t="inlineStr">
        <is>
          <t>CÔNG TY TNHH SẢN XUẤT XÂY DỰNG ÁNH DƯƠNG XANH</t>
        </is>
      </c>
      <c r="E1623" t="inlineStr">
        <is>
          <t>Lương:Cạnh tranh</t>
        </is>
      </c>
      <c r="F1623" t="inlineStr">
        <is>
          <t>Hồ Chí Minh</t>
        </is>
      </c>
      <c r="G1623" t="inlineStr">
        <is>
          <t>31-03-2026</t>
        </is>
      </c>
      <c r="H1623" t="inlineStr">
        <is>
          <t>31/03/2026</t>
        </is>
      </c>
      <c r="I1623" t="inlineStr">
        <is>
          <t>17/03/2026</t>
        </is>
      </c>
      <c r="J1623" t="inlineStr">
        <is>
          <t>Đồ gỗ, Bán hàng / Kinh doanh, Quản lý điều hành</t>
        </is>
      </c>
      <c r="K1623" t="inlineStr">
        <is>
          <t>Trên 3 Năm</t>
        </is>
      </c>
      <c r="L1623" s="8">
        <f>HYPERLINK("https://careerviet.vn/vi/tim-viec-lam/giam-doc-kinh-doanh.35C6BA53.html","Xem chi tiết")</f>
        <v/>
      </c>
    </row>
    <row r="1624">
      <c r="B1624" s="9" t="n">
        <v>1622</v>
      </c>
      <c r="C1624" s="10" t="inlineStr">
        <is>
          <t>NHÂN VIÊN TỔ CHỨC HÀNH CHÁNH CO.OPMART MỸ THO</t>
        </is>
      </c>
      <c r="D1624" s="10" t="inlineStr">
        <is>
          <t>Liên Hiệp HTX Thương Mại TPHCM - SAIGON CO.OP</t>
        </is>
      </c>
      <c r="E1624" s="10" t="inlineStr">
        <is>
          <t>Lương:Cạnh tranh</t>
        </is>
      </c>
      <c r="F1624" s="10" t="inlineStr">
        <is>
          <t>Đồng Tháp</t>
        </is>
      </c>
      <c r="G1624" s="10" t="inlineStr">
        <is>
          <t>14-04-2026</t>
        </is>
      </c>
      <c r="H1624" s="10" t="inlineStr">
        <is>
          <t>14/04/2026</t>
        </is>
      </c>
      <c r="I1624" s="10" t="inlineStr">
        <is>
          <t>17/03/2026</t>
        </is>
      </c>
      <c r="J1624" s="10" t="inlineStr">
        <is>
          <t>Nhân sự</t>
        </is>
      </c>
      <c r="K1624" s="10" t="inlineStr">
        <is>
          <t>1 - 2 Năm</t>
        </is>
      </c>
      <c r="L1624" s="11">
        <f>HYPERLINK("https://careerviet.vn/vi/tim-viec-lam/nhan-vien-to-chuc-hanh-chanh-co-opmart-my-tho.35C6B9E7.html","Xem chi tiết")</f>
        <v/>
      </c>
      <c r="M1624" s="10" t="n"/>
    </row>
    <row r="1625">
      <c r="B1625" s="7" t="n">
        <v>1623</v>
      </c>
      <c r="C1625" t="inlineStr">
        <is>
          <t>Nhân viên kinh doanh</t>
        </is>
      </c>
      <c r="D1625" t="inlineStr">
        <is>
          <t>Công Ty Cổ Phần Truyền Thông PSC</t>
        </is>
      </c>
      <c r="E1625" t="inlineStr">
        <is>
          <t>Lương:12 Tr - 30 Tr VND</t>
        </is>
      </c>
      <c r="F1625" t="inlineStr">
        <is>
          <t>Hà NộiHồ Chí Minh</t>
        </is>
      </c>
      <c r="G1625" t="inlineStr">
        <is>
          <t>09-04-2026</t>
        </is>
      </c>
      <c r="H1625" t="inlineStr">
        <is>
          <t>09/04/2026</t>
        </is>
      </c>
      <c r="I1625" t="inlineStr">
        <is>
          <t>17/03/2026</t>
        </is>
      </c>
      <c r="J1625" t="inlineStr">
        <is>
          <t>Bán hàng / Kinh doanh, Truyền hình / Báo chí / Biên tập, Quảng cáo / Đối ngoại / Truyền Thông</t>
        </is>
      </c>
      <c r="K1625" t="inlineStr">
        <is>
          <t>Trên 2 Năm</t>
        </is>
      </c>
      <c r="L1625" s="8">
        <f>HYPERLINK("https://careerviet.vn/vi/tim-viec-lam/nhan-vien-kinh-doanh.35C6BA4A.html","Xem chi tiết")</f>
        <v/>
      </c>
    </row>
    <row r="1626">
      <c r="B1626" s="9" t="n">
        <v>1624</v>
      </c>
      <c r="C1626" s="10" t="inlineStr">
        <is>
          <t>Nhân viên thu hồi nợ Thế chấp/Tín chấp (Khánh Hòa/Đà Nẵng/Quảng Trị/Quảng Ngãi)</t>
        </is>
      </c>
      <c r="D1626" s="10" t="inlineStr">
        <is>
          <t>Công Ty Quản Lý Nợ Và Khai Thác Tài Sản - Ngân Hàng TMCP Quân Đội</t>
        </is>
      </c>
      <c r="E1626" s="10" t="inlineStr">
        <is>
          <t>Lương:Cạnh tranh</t>
        </is>
      </c>
      <c r="F1626" s="10" t="inlineStr">
        <is>
          <t>Quảng Trị</t>
        </is>
      </c>
      <c r="G1626" s="10" t="inlineStr">
        <is>
          <t>30-04-2026</t>
        </is>
      </c>
      <c r="H1626" s="10" t="inlineStr">
        <is>
          <t>30/04/2026</t>
        </is>
      </c>
      <c r="I1626" s="10" t="inlineStr">
        <is>
          <t>17/03/2026</t>
        </is>
      </c>
      <c r="J1626" s="10" t="inlineStr">
        <is>
          <t>Luật / Pháp lý, Ngân hàng, Tài chính / Đầu tư</t>
        </is>
      </c>
      <c r="K1626" s="10" t="inlineStr">
        <is>
          <t>Trên 1 Năm</t>
        </is>
      </c>
      <c r="L1626" s="11">
        <f>HYPERLINK("https://careerviet.vn/vi/tim-viec-lam/nhan-vien-thu-hoi-no-the-chap-tin-chap-khanh-hoa-da-nang-quang-tri-quang-ngai.35C6B72D.html","Xem chi tiết")</f>
        <v/>
      </c>
      <c r="M1626" s="10" t="n"/>
    </row>
    <row r="1627">
      <c r="B1627" s="7" t="n">
        <v>1625</v>
      </c>
      <c r="C1627" t="inlineStr">
        <is>
          <t>CHUYÊN VIÊN KẾ TOÁN - TIẾNG TRUNG</t>
        </is>
      </c>
      <c r="D1627" t="inlineStr">
        <is>
          <t>CÔNG TY TNHH TOPBAND SMART ĐỒNG NAI (VIỆT NAM)</t>
        </is>
      </c>
      <c r="E1627" t="inlineStr">
        <is>
          <t>Lương:15 Tr - 30 Tr VND</t>
        </is>
      </c>
      <c r="F1627" t="inlineStr">
        <is>
          <t>Đồng Nai</t>
        </is>
      </c>
      <c r="G1627" t="inlineStr">
        <is>
          <t>25-03-2026</t>
        </is>
      </c>
      <c r="H1627" t="inlineStr">
        <is>
          <t>25/03/2026</t>
        </is>
      </c>
      <c r="I1627" t="inlineStr">
        <is>
          <t>17/03/2026</t>
        </is>
      </c>
      <c r="J1627" t="inlineStr">
        <is>
          <t>Kế toán / Kiểm toán</t>
        </is>
      </c>
      <c r="K1627" t="inlineStr">
        <is>
          <t>1 - 5 Năm</t>
        </is>
      </c>
      <c r="L1627" s="8">
        <f>HYPERLINK("https://careerviet.vn/vi/tim-viec-lam/chuyen-vien-ke-toan-tieng-trung.35C6B930.html","Xem chi tiết")</f>
        <v/>
      </c>
    </row>
    <row r="1628">
      <c r="B1628" s="9" t="n">
        <v>1626</v>
      </c>
      <c r="C1628" s="10" t="inlineStr">
        <is>
          <t>[PGDL Trần Văn Thời] Chuyên viên Quan hệ Khách hàng cá nhân</t>
        </is>
      </c>
      <c r="D1628" s="10" t="inlineStr">
        <is>
          <t>Ngân hàng TMCP Lộc Phát Việt Nam (LPBank)</t>
        </is>
      </c>
      <c r="E1628" s="10" t="inlineStr">
        <is>
          <t>Lương:Cạnh tranh</t>
        </is>
      </c>
      <c r="F1628" s="10" t="inlineStr">
        <is>
          <t>Cà Mau</t>
        </is>
      </c>
      <c r="G1628" s="10" t="inlineStr">
        <is>
          <t>21-04-2026</t>
        </is>
      </c>
      <c r="H1628" s="10" t="inlineStr">
        <is>
          <t>21/04/2026</t>
        </is>
      </c>
      <c r="I1628" s="10" t="inlineStr">
        <is>
          <t>17/03/2026</t>
        </is>
      </c>
      <c r="J1628" s="10" t="inlineStr">
        <is>
          <t>Kế toán / Kiểm toán, Ngân hàng, Bán hàng / Kinh doanh</t>
        </is>
      </c>
      <c r="K1628" s="10" t="inlineStr">
        <is>
          <t>N/A</t>
        </is>
      </c>
      <c r="L1628" s="11">
        <f>HYPERLINK("https://careerviet.vn/vi/tim-viec-lam/pgdl-tran-van-thoi-chuyen-vien-quan-he-khach-hang-ca-nhan.35C6B997.html","Xem chi tiết")</f>
        <v/>
      </c>
      <c r="M1628" s="10" t="n"/>
    </row>
    <row r="1629">
      <c r="B1629" s="7" t="n">
        <v>1627</v>
      </c>
      <c r="C1629" t="inlineStr">
        <is>
          <t>Recruitment Supervisor</t>
        </is>
      </c>
      <c r="D1629" t="inlineStr">
        <is>
          <t>Long Hải Securitas</t>
        </is>
      </c>
      <c r="E1629" t="inlineStr">
        <is>
          <t>Lương:1.000 - 1.500 USD</t>
        </is>
      </c>
      <c r="F1629" t="inlineStr">
        <is>
          <t>Hồ Chí Minh</t>
        </is>
      </c>
      <c r="G1629" t="inlineStr">
        <is>
          <t>09-04-2026</t>
        </is>
      </c>
      <c r="H1629" t="inlineStr">
        <is>
          <t>09/04/2026</t>
        </is>
      </c>
      <c r="I1629" t="inlineStr">
        <is>
          <t>17/03/2026</t>
        </is>
      </c>
      <c r="J1629" t="inlineStr">
        <is>
          <t>Nhân sự</t>
        </is>
      </c>
      <c r="K1629" t="inlineStr">
        <is>
          <t>8 - 15 Năm</t>
        </is>
      </c>
      <c r="L1629" s="8">
        <f>HYPERLINK("https://careerviet.vn/vi/tim-viec-lam/recruitment-supervisor.35C6B860.html","Xem chi tiết")</f>
        <v/>
      </c>
    </row>
    <row r="1630">
      <c r="B1630" s="9" t="n">
        <v>1628</v>
      </c>
      <c r="C1630" s="10" t="inlineStr">
        <is>
          <t>Trưởng Phòng QS (QS Manager)</t>
        </is>
      </c>
      <c r="D1630" s="10" t="inlineStr">
        <is>
          <t>Công Ty TNHH Đầu Tư Xây Dựng &amp; Công Nghệ Môi Trường Dương Nhật</t>
        </is>
      </c>
      <c r="E1630" s="10" t="inlineStr">
        <is>
          <t>Lương:30 Tr - 40 Tr VND</t>
        </is>
      </c>
      <c r="F1630" s="10" t="inlineStr">
        <is>
          <t>Hồ Chí Minh</t>
        </is>
      </c>
      <c r="G1630" s="10" t="inlineStr">
        <is>
          <t>08-04-2026</t>
        </is>
      </c>
      <c r="H1630" s="10" t="inlineStr">
        <is>
          <t>08/04/2026</t>
        </is>
      </c>
      <c r="I1630" s="10" t="inlineStr">
        <is>
          <t>17/03/2026</t>
        </is>
      </c>
      <c r="J1630" s="10" t="inlineStr">
        <is>
          <t>Kiến trúc, Xây dựng</t>
        </is>
      </c>
      <c r="K1630" s="10" t="inlineStr">
        <is>
          <t>5 - 10 Năm</t>
        </is>
      </c>
      <c r="L1630" s="11">
        <f>HYPERLINK("https://careerviet.vn/vi/tim-viec-lam/truong-phong-qs-qs-manager.35C6B9A4.html","Xem chi tiết")</f>
        <v/>
      </c>
      <c r="M1630" s="10" t="n"/>
    </row>
    <row r="1631">
      <c r="B1631" s="7" t="n">
        <v>1629</v>
      </c>
      <c r="C1631" t="inlineStr">
        <is>
          <t>[Cà Mau] Chuyên viên Quan hệ Khách hàng cá nhân</t>
        </is>
      </c>
      <c r="D1631" t="inlineStr">
        <is>
          <t>Ngân hàng TMCP Lộc Phát Việt Nam (LPBank)</t>
        </is>
      </c>
      <c r="E1631" t="inlineStr">
        <is>
          <t>Lương:Cạnh tranh</t>
        </is>
      </c>
      <c r="F1631" t="inlineStr">
        <is>
          <t>Cà Mau</t>
        </is>
      </c>
      <c r="G1631" t="inlineStr">
        <is>
          <t>21-04-2026</t>
        </is>
      </c>
      <c r="H1631" t="inlineStr">
        <is>
          <t>21/04/2026</t>
        </is>
      </c>
      <c r="I1631" t="inlineStr">
        <is>
          <t>17/03/2026</t>
        </is>
      </c>
      <c r="J1631" t="inlineStr">
        <is>
          <t>Kế toán / Kiểm toán, Ngân hàng, Bán hàng / Kinh doanh</t>
        </is>
      </c>
      <c r="K1631" t="inlineStr">
        <is>
          <t>N/A</t>
        </is>
      </c>
      <c r="L1631" s="8">
        <f>HYPERLINK("https://careerviet.vn/vi/tim-viec-lam/ca-mau-chuyen-vien-quan-he-khach-hang-ca-nhan.35C6B99E.html","Xem chi tiết")</f>
        <v/>
      </c>
    </row>
    <row r="1632">
      <c r="B1632" s="9" t="n">
        <v>1630</v>
      </c>
      <c r="C1632" s="10" t="inlineStr">
        <is>
          <t>Chuyên viên quản lý hợp đồng và thanh toán - Ban Năng Lượng</t>
        </is>
      </c>
      <c r="D1632" s="10" t="inlineStr">
        <is>
          <t>Xuân Cầu Holdings</t>
        </is>
      </c>
      <c r="E1632" s="10" t="inlineStr">
        <is>
          <t>Lương:20 Tr - 40 Tr VND</t>
        </is>
      </c>
      <c r="F1632" s="10" t="inlineStr">
        <is>
          <t>Hà Nội</t>
        </is>
      </c>
      <c r="G1632" s="10" t="inlineStr">
        <is>
          <t>31-03-2026</t>
        </is>
      </c>
      <c r="H1632" s="10" t="inlineStr">
        <is>
          <t>31/03/2026</t>
        </is>
      </c>
      <c r="I1632" s="10" t="inlineStr">
        <is>
          <t>17/03/2026</t>
        </is>
      </c>
      <c r="J1632" s="10" t="inlineStr">
        <is>
          <t>Điện / Điện tử / Điện lạnh / Điện công nghiệp, Xây dựng, Tài chính / Đầu tư</t>
        </is>
      </c>
      <c r="K1632" s="10" t="inlineStr">
        <is>
          <t>3 - 15 Năm</t>
        </is>
      </c>
      <c r="L1632" s="11">
        <f>HYPERLINK("https://careerviet.vn/vi/tim-viec-lam/chuyen-vien-quan-ly-hop-dong-va-thanh-toan-ban-nang-luong.35C6B9E2.html","Xem chi tiết")</f>
        <v/>
      </c>
      <c r="M1632" s="10" t="n"/>
    </row>
    <row r="1633">
      <c r="B1633" s="7" t="n">
        <v>1631</v>
      </c>
      <c r="C1633" t="inlineStr">
        <is>
          <t>Junior Quantity Surveyor</t>
        </is>
      </c>
      <c r="D1633" t="inlineStr">
        <is>
          <t>Công ty TNHH AKT Việt Nam</t>
        </is>
      </c>
      <c r="E1633" t="inlineStr">
        <is>
          <t>Lương:Cạnh tranh</t>
        </is>
      </c>
      <c r="F1633" t="inlineStr">
        <is>
          <t>Hồ Chí Minh</t>
        </is>
      </c>
      <c r="G1633" t="inlineStr">
        <is>
          <t>09-04-2026</t>
        </is>
      </c>
      <c r="H1633" t="inlineStr">
        <is>
          <t>09/04/2026</t>
        </is>
      </c>
      <c r="I1633" t="inlineStr">
        <is>
          <t>17/03/2026</t>
        </is>
      </c>
      <c r="J1633" t="inlineStr">
        <is>
          <t>Xây dựng, Kiến trúc, Quản lý chất lượng (QA/QC)</t>
        </is>
      </c>
      <c r="K1633" t="inlineStr">
        <is>
          <t>2 - 5 Năm</t>
        </is>
      </c>
      <c r="L1633" s="8">
        <f>HYPERLINK("https://careerviet.vn/vi/tim-viec-lam/junior-quantity-surveyor.35C6B907.html","Xem chi tiết")</f>
        <v/>
      </c>
    </row>
    <row r="1634">
      <c r="B1634" s="9" t="n">
        <v>1632</v>
      </c>
      <c r="C1634" s="10" t="inlineStr">
        <is>
          <t>Nhân Viên Kế Toán Kênh</t>
        </is>
      </c>
      <c r="D1634" s="10" t="inlineStr">
        <is>
          <t>Công ty TNHH Quốc Tế Đại Cát Á</t>
        </is>
      </c>
      <c r="E1634" s="10" t="inlineStr">
        <is>
          <t>Lương:12 Tr - 15 Tr VND</t>
        </is>
      </c>
      <c r="F1634" s="10" t="inlineStr">
        <is>
          <t>Hồ Chí Minh</t>
        </is>
      </c>
      <c r="G1634" s="10" t="inlineStr">
        <is>
          <t>09-04-2026</t>
        </is>
      </c>
      <c r="H1634" s="10" t="inlineStr">
        <is>
          <t>09/04/2026</t>
        </is>
      </c>
      <c r="I1634" s="10" t="inlineStr">
        <is>
          <t>17/03/2026</t>
        </is>
      </c>
      <c r="J1634" s="10" t="inlineStr">
        <is>
          <t>Dược phẩm/ Hóa Mỹ Phẩm, Y tế / Chăm sóc sức khỏe / Thẩm mỹ / Làm đẹp, Kế toán / Kiểm toán</t>
        </is>
      </c>
      <c r="K1634" s="10" t="inlineStr">
        <is>
          <t>N/A</t>
        </is>
      </c>
      <c r="L1634" s="11">
        <f>HYPERLINK("https://careerviet.vn/vi/tim-viec-lam/nhan-vien-ke-toan-kenh.35C6B8E6.html","Xem chi tiết")</f>
        <v/>
      </c>
      <c r="M1634" s="10" t="n"/>
    </row>
    <row r="1635">
      <c r="B1635" s="7" t="n">
        <v>1633</v>
      </c>
      <c r="C1635" t="inlineStr">
        <is>
          <t>Chuyên viên cấp cao/Chuyên gia Kế hoạch, Phòng Kế hoạch và Phân tích tài chính, Khối Quản trị Tài chính</t>
        </is>
      </c>
      <c r="D1635" t="inlineStr">
        <is>
          <t>Ngân Hàng TMCP Quốc Dân (NCB)</t>
        </is>
      </c>
      <c r="E1635" t="inlineStr">
        <is>
          <t>Lương:Cạnh tranh</t>
        </is>
      </c>
      <c r="F1635" t="inlineStr">
        <is>
          <t>Hà Nội</t>
        </is>
      </c>
      <c r="G1635" t="inlineStr">
        <is>
          <t>09-04-2026</t>
        </is>
      </c>
      <c r="H1635" t="inlineStr">
        <is>
          <t>09/04/2026</t>
        </is>
      </c>
      <c r="I1635" t="inlineStr">
        <is>
          <t>17/03/2026</t>
        </is>
      </c>
      <c r="J1635" t="inlineStr">
        <is>
          <t>Ngân hàng, Kế toán / Kiểm toán, Tài chính / Đầu tư</t>
        </is>
      </c>
      <c r="K1635" t="inlineStr">
        <is>
          <t>Trên 4 Năm</t>
        </is>
      </c>
      <c r="L1635" s="8">
        <f>HYPERLINK("https://careerviet.vn/vi/tim-viec-lam/chuyen-vien-cap-cao-chuyen-gia-ke-hoach-phong-ke-hoach-va-phan-tich-tai-chinh-khoi-quan-tri-tai-chinh.35C6B9B3.html","Xem chi tiết")</f>
        <v/>
      </c>
    </row>
    <row r="1636">
      <c r="B1636" s="9" t="n">
        <v>1634</v>
      </c>
      <c r="C1636" s="10" t="inlineStr">
        <is>
          <t>[JHC0037365] Civil Engineer (Construction)</t>
        </is>
      </c>
      <c r="D1636" s="10" t="inlineStr">
        <is>
          <t>Iconic Co.,Ltd</t>
        </is>
      </c>
      <c r="E1636" s="10" t="inlineStr">
        <is>
          <t>Lương:15 Tr - 20 Tr VND</t>
        </is>
      </c>
      <c r="F1636" s="10" t="inlineStr">
        <is>
          <t>Hồ Chí Minh</t>
        </is>
      </c>
      <c r="G1636" s="10" t="inlineStr">
        <is>
          <t>09-04-2026</t>
        </is>
      </c>
      <c r="H1636" s="10" t="inlineStr">
        <is>
          <t>09/04/2026</t>
        </is>
      </c>
      <c r="I1636" s="10" t="inlineStr">
        <is>
          <t>17/03/2026</t>
        </is>
      </c>
      <c r="J1636" s="10" t="inlineStr">
        <is>
          <t>Xây dựng</t>
        </is>
      </c>
      <c r="K1636" s="10" t="inlineStr">
        <is>
          <t>2 - 4 Năm</t>
        </is>
      </c>
      <c r="L1636" s="11">
        <f>HYPERLINK("https://careerviet.vn/vi/tim-viec-lam/jhc0037365-civil-engineer-construction.35C6B9A9.html","Xem chi tiết")</f>
        <v/>
      </c>
      <c r="M1636" s="10" t="n"/>
    </row>
    <row r="1637">
      <c r="B1637" s="7" t="n">
        <v>1635</v>
      </c>
      <c r="C1637" t="inlineStr">
        <is>
          <t>Quảng Ninh - Chuyên viên kế toán doanh thu bất động sản</t>
        </is>
      </c>
      <c r="D1637" t="inlineStr">
        <is>
          <t>BIM Group</t>
        </is>
      </c>
      <c r="E1637" t="inlineStr">
        <is>
          <t>Lương:Cạnh tranh</t>
        </is>
      </c>
      <c r="F1637" t="inlineStr">
        <is>
          <t>Quảng Ninh</t>
        </is>
      </c>
      <c r="G1637" t="inlineStr">
        <is>
          <t>30-04-2026</t>
        </is>
      </c>
      <c r="H1637" t="inlineStr">
        <is>
          <t>30/04/2026</t>
        </is>
      </c>
      <c r="I1637" t="inlineStr">
        <is>
          <t>17/03/2026</t>
        </is>
      </c>
      <c r="J1637" t="inlineStr">
        <is>
          <t>Kế toán / Kiểm toán</t>
        </is>
      </c>
      <c r="K1637" t="inlineStr">
        <is>
          <t>Trên 1 Năm</t>
        </is>
      </c>
      <c r="L1637" s="8">
        <f>HYPERLINK("https://careerviet.vn/vi/tim-viec-lam/quang-ninh-chuyen-vien-ke-toan-doanh-thu-bat-dong-san.35C6B97F.html","Xem chi tiết")</f>
        <v/>
      </c>
    </row>
    <row r="1638">
      <c r="B1638" s="9" t="n">
        <v>1636</v>
      </c>
      <c r="C1638" s="10" t="inlineStr">
        <is>
          <t>OE/CD Manager</t>
        </is>
      </c>
      <c r="D1638" s="10" t="inlineStr">
        <is>
          <t>Coca-Cola Beverages Vietnam</t>
        </is>
      </c>
      <c r="E1638" s="10" t="inlineStr">
        <is>
          <t>Lương:Cạnh tranh</t>
        </is>
      </c>
      <c r="F1638" s="10" t="inlineStr">
        <is>
          <t>Hồ Chí Minh</t>
        </is>
      </c>
      <c r="G1638" s="10" t="inlineStr">
        <is>
          <t>08-04-2026</t>
        </is>
      </c>
      <c r="H1638" s="10" t="inlineStr">
        <is>
          <t>08/04/2026</t>
        </is>
      </c>
      <c r="I1638" s="10" t="inlineStr">
        <is>
          <t>17/03/2026</t>
        </is>
      </c>
      <c r="J1638" s="10" t="inlineStr">
        <is>
          <t>Sản xuất / Vận hành sản xuất, Quản lý chất lượng (QA/QC), Quản lý điều hành</t>
        </is>
      </c>
      <c r="K1638" s="10" t="inlineStr">
        <is>
          <t>6 Năm</t>
        </is>
      </c>
      <c r="L1638" s="11">
        <f>HYPERLINK("https://careerviet.vn/vi/tim-viec-lam/oe-cd-manager.35C6B8C2.html","Xem chi tiết")</f>
        <v/>
      </c>
      <c r="M1638" s="10" t="n"/>
    </row>
    <row r="1639">
      <c r="B1639" s="7" t="n">
        <v>1637</v>
      </c>
      <c r="C1639" t="inlineStr">
        <is>
          <t>Nhân viên quản trị cơ sở dữ liệu (DBA)</t>
        </is>
      </c>
      <c r="D1639" t="inlineStr">
        <is>
          <t>Công Ty Cổ Phần Giải Pháp Thanh Toán Việt Nam (VNPAY)</t>
        </is>
      </c>
      <c r="E1639" t="inlineStr">
        <is>
          <t>Lương:Cạnh tranh</t>
        </is>
      </c>
      <c r="F1639" t="inlineStr">
        <is>
          <t>Hà Nội</t>
        </is>
      </c>
      <c r="G1639" t="inlineStr">
        <is>
          <t>30-04-2026</t>
        </is>
      </c>
      <c r="H1639" t="inlineStr">
        <is>
          <t>30/04/2026</t>
        </is>
      </c>
      <c r="I1639" t="inlineStr">
        <is>
          <t>17/03/2026</t>
        </is>
      </c>
      <c r="J1639" t="inlineStr">
        <is>
          <t>CNTT - Phần mềm</t>
        </is>
      </c>
      <c r="K1639" t="inlineStr">
        <is>
          <t>3 - 4 Năm</t>
        </is>
      </c>
      <c r="L1639" s="8">
        <f>HYPERLINK("https://careerviet.vn/vi/tim-viec-lam/nhan-vien-quan-tri-co-so-du-lieu-dba.35C6B9DB.html","Xem chi tiết")</f>
        <v/>
      </c>
    </row>
    <row r="1640">
      <c r="B1640" s="9" t="n">
        <v>1638</v>
      </c>
      <c r="C1640" s="10" t="inlineStr">
        <is>
          <t>Nhân viên Telesales</t>
        </is>
      </c>
      <c r="D1640" s="10" t="inlineStr">
        <is>
          <t>Tổng Công Ty Cổ Phần Bảo Hiểm Ngân Hàng TMCP Công Thương Việt Nam</t>
        </is>
      </c>
      <c r="E1640" s="10" t="inlineStr">
        <is>
          <t>Lương:Cạnh tranh</t>
        </is>
      </c>
      <c r="F1640" s="10" t="inlineStr">
        <is>
          <t>Hà Nội</t>
        </is>
      </c>
      <c r="G1640" s="10" t="inlineStr">
        <is>
          <t>29-04-2026</t>
        </is>
      </c>
      <c r="H1640" s="10" t="inlineStr">
        <is>
          <t>29/04/2026</t>
        </is>
      </c>
      <c r="I1640" s="10" t="inlineStr">
        <is>
          <t>17/03/2026</t>
        </is>
      </c>
      <c r="J1640" s="10" t="inlineStr">
        <is>
          <t>Dịch vụ khách hàng, Bảo hiểm, Bán hàng / Kinh doanh</t>
        </is>
      </c>
      <c r="K1640" s="10" t="inlineStr">
        <is>
          <t>1 - 2 Năm</t>
        </is>
      </c>
      <c r="L1640" s="11">
        <f>HYPERLINK("https://careerviet.vn/vi/tim-viec-lam/nhan-vien-telesales.35C6B939.html","Xem chi tiết")</f>
        <v/>
      </c>
      <c r="M1640" s="10" t="n"/>
    </row>
    <row r="1641">
      <c r="B1641" s="7" t="n">
        <v>1639</v>
      </c>
      <c r="C1641" t="inlineStr">
        <is>
          <t>Chuyên viên chính/Chuyên viên cấp cao/Chuyên gia Chính sách Tín dụng và Digital Risk (phục vụ triển khai dự án RLOS) - Khối Quản trị Rủi ro</t>
        </is>
      </c>
      <c r="D1641" t="inlineStr">
        <is>
          <t>Ngân Hàng TMCP Quốc Dân (NCB)</t>
        </is>
      </c>
      <c r="E1641" t="inlineStr">
        <is>
          <t>Lương:Cạnh tranh</t>
        </is>
      </c>
      <c r="F1641" t="inlineStr">
        <is>
          <t>Hà Nội</t>
        </is>
      </c>
      <c r="G1641" t="inlineStr">
        <is>
          <t>09-04-2026</t>
        </is>
      </c>
      <c r="H1641" t="inlineStr">
        <is>
          <t>09/04/2026</t>
        </is>
      </c>
      <c r="I1641" t="inlineStr">
        <is>
          <t>17/03/2026</t>
        </is>
      </c>
      <c r="J1641" t="inlineStr">
        <is>
          <t>Ngân hàng</t>
        </is>
      </c>
      <c r="K1641" t="inlineStr">
        <is>
          <t>Trên 3 Năm</t>
        </is>
      </c>
      <c r="L1641" s="8">
        <f>HYPERLINK("https://careerviet.vn/vi/tim-viec-lam/chuyen-vien-chinh-chuyen-vien-cap-cao-chuyen-gia-chinh-sach-tin-dung-va-digital-risk-phuc-vu-trien-khai-du-an-rlos-khoi-quan-tri-rui-ro.35C6B97A.html","Xem chi tiết")</f>
        <v/>
      </c>
    </row>
    <row r="1642">
      <c r="B1642" s="9" t="n">
        <v>1640</v>
      </c>
      <c r="C1642" s="10" t="inlineStr">
        <is>
          <t>Nhân viên kế toán tổng hợp</t>
        </is>
      </c>
      <c r="D1642" s="10" t="inlineStr">
        <is>
          <t>Công ty TNHH MTV Sen Vàng Việt Nam</t>
        </is>
      </c>
      <c r="E1642" s="10" t="inlineStr">
        <is>
          <t>Lương:16 Tr - 20 Tr VND</t>
        </is>
      </c>
      <c r="F1642" s="10" t="inlineStr">
        <is>
          <t>Hồ Chí Minh</t>
        </is>
      </c>
      <c r="G1642" s="10" t="inlineStr">
        <is>
          <t>10-04-2026</t>
        </is>
      </c>
      <c r="H1642" s="10" t="inlineStr">
        <is>
          <t>10/04/2026</t>
        </is>
      </c>
      <c r="I1642" s="10" t="inlineStr">
        <is>
          <t>17/03/2026</t>
        </is>
      </c>
      <c r="J1642" s="10" t="inlineStr">
        <is>
          <t>Kế toán / Kiểm toán, Sản xuất / Vận hành sản xuất</t>
        </is>
      </c>
      <c r="K1642" s="10" t="inlineStr">
        <is>
          <t>2 - 3 Năm</t>
        </is>
      </c>
      <c r="L1642" s="11">
        <f>HYPERLINK("https://careerviet.vn/vi/tim-viec-lam/nhan-vien-ke-toan-tong-hop.35C6B6C8.html","Xem chi tiết")</f>
        <v/>
      </c>
      <c r="M1642" s="10" t="n"/>
    </row>
    <row r="1643">
      <c r="B1643" s="7" t="n">
        <v>1641</v>
      </c>
      <c r="C1643" t="inlineStr">
        <is>
          <t>Nhân Viên Lễ Tân Khách Sạn (Làm việc tại Mê Linh)</t>
        </is>
      </c>
      <c r="D1643" t="inlineStr">
        <is>
          <t>CÔNG TY CỔ PHẦN EUROWINDOW HOLDING</t>
        </is>
      </c>
      <c r="E1643" t="inlineStr">
        <is>
          <t>Lương:Cạnh tranh</t>
        </is>
      </c>
      <c r="F1643" t="inlineStr">
        <is>
          <t>Hà Nội</t>
        </is>
      </c>
      <c r="G1643" t="inlineStr">
        <is>
          <t>09-04-2026</t>
        </is>
      </c>
      <c r="H1643" t="inlineStr">
        <is>
          <t>09/04/2026</t>
        </is>
      </c>
      <c r="I1643" t="inlineStr">
        <is>
          <t>17/03/2026</t>
        </is>
      </c>
      <c r="J1643" t="inlineStr">
        <is>
          <t>Dịch vụ khách hàng, Nhà hàng / Khách sạn</t>
        </is>
      </c>
      <c r="K1643" t="inlineStr">
        <is>
          <t>N/A</t>
        </is>
      </c>
      <c r="L1643" s="8">
        <f>HYPERLINK("https://careerviet.vn/vi/tim-viec-lam/nhan-vien-le-tan-khach-san-lam-viec-tai-me-linh.35C6B98B.html","Xem chi tiết")</f>
        <v/>
      </c>
    </row>
    <row r="1644">
      <c r="B1644" s="9" t="n">
        <v>1642</v>
      </c>
      <c r="C1644" s="10" t="inlineStr">
        <is>
          <t>Chuyên viên tư vấn giáo dục Hà Nội - Đi Làm Ngay</t>
        </is>
      </c>
      <c r="D1644" s="10" t="inlineStr">
        <is>
          <t>CÔNG TY CỔ PHẦN PHÁT TRIỂN GIÁO DỤC QUỐC TẾ GAIA</t>
        </is>
      </c>
      <c r="E1644" s="10" t="inlineStr">
        <is>
          <t>Lương:Trên 17 Tr VND</t>
        </is>
      </c>
      <c r="F1644" s="10" t="inlineStr">
        <is>
          <t>Hà Nội</t>
        </is>
      </c>
      <c r="G1644" s="10" t="inlineStr">
        <is>
          <t>09-04-2026</t>
        </is>
      </c>
      <c r="H1644" s="10" t="inlineStr">
        <is>
          <t>09/04/2026</t>
        </is>
      </c>
      <c r="I1644" s="10" t="inlineStr">
        <is>
          <t>17/03/2026</t>
        </is>
      </c>
      <c r="J1644" s="10" t="inlineStr">
        <is>
          <t>Bán hàng / Kinh doanh, Giáo dục / Đào tạo, Tiếp thị / Marketing</t>
        </is>
      </c>
      <c r="K1644" s="10" t="inlineStr">
        <is>
          <t>Trên 1 Năm</t>
        </is>
      </c>
      <c r="L1644" s="11">
        <f>HYPERLINK("https://careerviet.vn/vi/tim-viec-lam/chuyen-vien-tu-van-giao-duc-ha-noi-di-lam-ngay.35C6B933.html","Xem chi tiết")</f>
        <v/>
      </c>
      <c r="M1644" s="10" t="n"/>
    </row>
    <row r="1645">
      <c r="B1645" s="7" t="n">
        <v>1643</v>
      </c>
      <c r="C1645" t="inlineStr">
        <is>
          <t>Kỹ sư QS</t>
        </is>
      </c>
      <c r="D1645" t="inlineStr">
        <is>
          <t>Công ty Cổ phần Xây dựng CBC</t>
        </is>
      </c>
      <c r="E1645" t="inlineStr">
        <is>
          <t>Lương:15 Tr - 22 Tr VND</t>
        </is>
      </c>
      <c r="F1645" t="inlineStr">
        <is>
          <t>Hồ Chí MinhQuảng NinhHải Phòng</t>
        </is>
      </c>
      <c r="G1645" t="inlineStr">
        <is>
          <t>30-04-2026</t>
        </is>
      </c>
      <c r="H1645" t="inlineStr">
        <is>
          <t>30/04/2026</t>
        </is>
      </c>
      <c r="I1645" t="inlineStr">
        <is>
          <t>17/03/2026</t>
        </is>
      </c>
      <c r="J1645" t="inlineStr">
        <is>
          <t>Xây dựng, Điện / Điện tử / Điện lạnh / Điện công nghiệp, Kiến trúc</t>
        </is>
      </c>
      <c r="K1645" t="inlineStr">
        <is>
          <t>1 - 2 Năm</t>
        </is>
      </c>
      <c r="L1645" s="8">
        <f>HYPERLINK("https://careerviet.vn/vi/tim-viec-lam/ky-su-qs.35C6B8F2.html","Xem chi tiết")</f>
        <v/>
      </c>
    </row>
    <row r="1646">
      <c r="B1646" s="9" t="n">
        <v>1644</v>
      </c>
      <c r="C1646" s="10" t="inlineStr">
        <is>
          <t>Chuyên viên tư vấn</t>
        </is>
      </c>
      <c r="D1646" s="10" t="inlineStr">
        <is>
          <t>Công Ty Cổ Phần Helen Care</t>
        </is>
      </c>
      <c r="E1646" s="10" t="inlineStr">
        <is>
          <t>Lương:10 Tr - 15 Tr VND</t>
        </is>
      </c>
      <c r="F1646" s="10" t="inlineStr">
        <is>
          <t>Hồ Chí Minh</t>
        </is>
      </c>
      <c r="G1646" s="10" t="inlineStr">
        <is>
          <t>31-03-2026</t>
        </is>
      </c>
      <c r="H1646" s="10" t="inlineStr">
        <is>
          <t>31/03/2026</t>
        </is>
      </c>
      <c r="I1646" s="10" t="inlineStr">
        <is>
          <t>17/03/2026</t>
        </is>
      </c>
      <c r="J1646" s="10" t="inlineStr">
        <is>
          <t>Bán hàng / Kinh doanh, Y tế / Chăm sóc sức khỏe / Thẩm mỹ / Làm đẹp, Tư vấn</t>
        </is>
      </c>
      <c r="K1646" s="10" t="inlineStr">
        <is>
          <t>2 - 3 Năm</t>
        </is>
      </c>
      <c r="L1646" s="11">
        <f>HYPERLINK("https://careerviet.vn/vi/tim-viec-lam/chuyen-vien-tu-van.35C6B7B6.html","Xem chi tiết")</f>
        <v/>
      </c>
      <c r="M1646" s="10" t="n"/>
    </row>
    <row r="1647">
      <c r="B1647" s="7" t="n">
        <v>1645</v>
      </c>
      <c r="C1647" t="inlineStr">
        <is>
          <t>CVC/CVCC Quan hệ Khách Hàng Ưu Tiên (PRM) - Khu vực TP. Hồ Chí Minh, Đà Nẵng</t>
        </is>
      </c>
      <c r="D1647" t="inlineStr">
        <is>
          <t>Ngân Hàng TMCP Quốc Dân (NCB)</t>
        </is>
      </c>
      <c r="E1647" t="inlineStr">
        <is>
          <t>Lương:Cạnh tranh</t>
        </is>
      </c>
      <c r="F1647" t="inlineStr">
        <is>
          <t>Hồ Chí MinhĐà Nẵng</t>
        </is>
      </c>
      <c r="G1647" t="inlineStr">
        <is>
          <t>09-04-2026</t>
        </is>
      </c>
      <c r="H1647" t="inlineStr">
        <is>
          <t>09/04/2026</t>
        </is>
      </c>
      <c r="I1647" t="inlineStr">
        <is>
          <t>17/03/2026</t>
        </is>
      </c>
      <c r="J1647" t="inlineStr">
        <is>
          <t>Ngân hàng, Bảo hiểm, Chứng khoán</t>
        </is>
      </c>
      <c r="K1647" t="inlineStr">
        <is>
          <t>Trên 1 Năm</t>
        </is>
      </c>
      <c r="L1647" s="8">
        <f>HYPERLINK("https://careerviet.vn/vi/tim-viec-lam/cvc-cvcc-quan-he-khach-hang-uu-tien-prm-khu-vuc-tp-ho-chi-minh-da-nang.35C6B8EE.html","Xem chi tiết")</f>
        <v/>
      </c>
    </row>
    <row r="1648">
      <c r="B1648" s="9" t="n">
        <v>1646</v>
      </c>
      <c r="C1648" s="10" t="inlineStr">
        <is>
          <t>Kỹ Sư thiết kế khuôn</t>
        </is>
      </c>
      <c r="D1648" s="10" t="inlineStr">
        <is>
          <t>Công ty TNHH SX - TM Nhật Tiến</t>
        </is>
      </c>
      <c r="E1648" s="10" t="inlineStr">
        <is>
          <t>Lương:Cạnh tranh</t>
        </is>
      </c>
      <c r="F1648" s="10" t="inlineStr">
        <is>
          <t>Long An</t>
        </is>
      </c>
      <c r="G1648" s="10" t="inlineStr">
        <is>
          <t>13-04-2026</t>
        </is>
      </c>
      <c r="H1648" s="10" t="inlineStr">
        <is>
          <t>13/04/2026</t>
        </is>
      </c>
      <c r="I1648" s="10" t="inlineStr">
        <is>
          <t>17/03/2026</t>
        </is>
      </c>
      <c r="J1648" s="10" t="inlineStr">
        <is>
          <t>Cơ khí / Ô tô / Tự động hóa, Mỹ thuật / Nghệ thuật / Thiết kế, Sản xuất / Vận hành sản xuất</t>
        </is>
      </c>
      <c r="K1648" s="10" t="inlineStr">
        <is>
          <t>1 - 3 Năm</t>
        </is>
      </c>
      <c r="L1648" s="11">
        <f>HYPERLINK("https://careerviet.vn/vi/tim-viec-lam/ky-su-thiet-ke-khuon.35C68928.html","Xem chi tiết")</f>
        <v/>
      </c>
      <c r="M1648" s="10" t="n"/>
    </row>
    <row r="1649">
      <c r="B1649" s="7" t="n">
        <v>1647</v>
      </c>
      <c r="C1649" t="inlineStr">
        <is>
          <t>Trưởng Phòng Kinh Doanh</t>
        </is>
      </c>
      <c r="D1649" t="inlineStr">
        <is>
          <t>CÔNG TY CỔ PHẦN GIẢI PHÁP CÔNG NGHỆ HCTECH</t>
        </is>
      </c>
      <c r="E1649" t="inlineStr">
        <is>
          <t>Lương:Cạnh tranh</t>
        </is>
      </c>
      <c r="F1649" t="inlineStr">
        <is>
          <t>Đà NẵngHà NộiBình Dương</t>
        </is>
      </c>
      <c r="G1649" t="inlineStr">
        <is>
          <t>08-04-2026</t>
        </is>
      </c>
      <c r="H1649" t="inlineStr">
        <is>
          <t>08/04/2026</t>
        </is>
      </c>
      <c r="I1649" t="inlineStr">
        <is>
          <t>17/03/2026</t>
        </is>
      </c>
      <c r="J1649" t="inlineStr">
        <is>
          <t>Bán hàng / Kinh doanh, Sản xuất / Vận hành sản xuất, Bán lẻ / Bán sỉ</t>
        </is>
      </c>
      <c r="K1649" t="inlineStr">
        <is>
          <t>Trên 2 Năm</t>
        </is>
      </c>
      <c r="L1649" s="8">
        <f>HYPERLINK("https://careerviet.vn/vi/tim-viec-lam/truong-phong-kinh-doanh.35C6B93B.html","Xem chi tiết")</f>
        <v/>
      </c>
    </row>
    <row r="1650">
      <c r="B1650" s="9" t="n">
        <v>1648</v>
      </c>
      <c r="C1650" s="10" t="inlineStr">
        <is>
          <t>MB Trainee - BackEnd Engineer (Intern, Fresher) - Khối Công nghệ thông tin (HOLT.09)</t>
        </is>
      </c>
      <c r="D1650" s="10" t="inlineStr">
        <is>
          <t>Ngân Hàng TMCP Quân Đội</t>
        </is>
      </c>
      <c r="E1650" s="10" t="inlineStr">
        <is>
          <t>Lương:Cạnh tranh</t>
        </is>
      </c>
      <c r="F1650" s="10" t="inlineStr">
        <is>
          <t>Hà Nội</t>
        </is>
      </c>
      <c r="G1650" s="10" t="inlineStr">
        <is>
          <t>09-04-2026</t>
        </is>
      </c>
      <c r="H1650" s="10" t="inlineStr">
        <is>
          <t>09/04/2026</t>
        </is>
      </c>
      <c r="I1650" s="10" t="inlineStr">
        <is>
          <t>17/03/2026</t>
        </is>
      </c>
      <c r="J1650" s="10" t="inlineStr">
        <is>
          <t>Ngân hàng, CNTT - Phần mềm, CNTT - Phần cứng / Mạng</t>
        </is>
      </c>
      <c r="K1650" s="10" t="inlineStr">
        <is>
          <t>N/A</t>
        </is>
      </c>
      <c r="L1650" s="11">
        <f>HYPERLINK("https://careerviet.vn/vi/tim-viec-lam/mb-trainee-backend-engineer-intern-fresher-khoi-cong-nghe-thong-tin-holt-09.35C6B8CB.html","Xem chi tiết")</f>
        <v/>
      </c>
      <c r="M1650" s="10" t="n"/>
    </row>
    <row r="1651">
      <c r="B1651" s="7" t="n">
        <v>1649</v>
      </c>
      <c r="C1651" t="inlineStr">
        <is>
          <t>Nhân viên Kế toán Thanh toán</t>
        </is>
      </c>
      <c r="D1651" t="inlineStr">
        <is>
          <t>CÔNG TY TNHH SX BAO BÌ NAM VIỆT</t>
        </is>
      </c>
      <c r="E1651" t="inlineStr">
        <is>
          <t>Lương:10 Tr - 14 Tr VND</t>
        </is>
      </c>
      <c r="F1651" t="inlineStr">
        <is>
          <t>Hồ Chí Minh</t>
        </is>
      </c>
      <c r="G1651" t="inlineStr">
        <is>
          <t>11-04-2026</t>
        </is>
      </c>
      <c r="H1651" t="inlineStr">
        <is>
          <t>11/04/2026</t>
        </is>
      </c>
      <c r="I1651" t="inlineStr">
        <is>
          <t>17/03/2026</t>
        </is>
      </c>
      <c r="J1651" t="inlineStr">
        <is>
          <t>Kế toán / Kiểm toán, Ngân hàng</t>
        </is>
      </c>
      <c r="K1651" t="inlineStr">
        <is>
          <t>1 - 2 Năm</t>
        </is>
      </c>
      <c r="L1651" s="8">
        <f>HYPERLINK("https://careerviet.vn/vi/tim-viec-lam/nhan-vien-ke-toan-thanh-toan.35C6B77D.html","Xem chi tiết")</f>
        <v/>
      </c>
    </row>
    <row r="1652">
      <c r="B1652" s="9" t="n">
        <v>1650</v>
      </c>
      <c r="C1652" s="10" t="inlineStr">
        <is>
          <t>Bếp trưởng</t>
        </is>
      </c>
      <c r="D1652" s="10" t="inlineStr">
        <is>
          <t>Công Ty TNHH TM &amp; XNK Nhất Lâm</t>
        </is>
      </c>
      <c r="E1652" s="10" t="inlineStr">
        <is>
          <t>Lương:30 Tr - 35 Tr VND</t>
        </is>
      </c>
      <c r="F1652" s="10" t="inlineStr">
        <is>
          <t>Hồ Chí Minh</t>
        </is>
      </c>
      <c r="G1652" s="10" t="inlineStr">
        <is>
          <t>13-04-2026</t>
        </is>
      </c>
      <c r="H1652" s="10" t="inlineStr">
        <is>
          <t>13/04/2026</t>
        </is>
      </c>
      <c r="I1652" s="10" t="inlineStr">
        <is>
          <t>17/03/2026</t>
        </is>
      </c>
      <c r="J1652" s="10" t="inlineStr">
        <is>
          <t>Thực phẩm &amp; Đồ uống, Nhà hàng / Khách sạn</t>
        </is>
      </c>
      <c r="K1652" s="10" t="inlineStr">
        <is>
          <t>3 - 5 Năm</t>
        </is>
      </c>
      <c r="L1652" s="11">
        <f>HYPERLINK("https://careerviet.vn/vi/tim-viec-lam/bep-truong.35C687F4.html","Xem chi tiết")</f>
        <v/>
      </c>
      <c r="M1652" s="10" t="n"/>
    </row>
    <row r="1653">
      <c r="B1653" s="7" t="n">
        <v>1651</v>
      </c>
      <c r="C1653" t="inlineStr">
        <is>
          <t>AI Engineer (Computer Vision/NPL/LLM) - Khối Công nghệ thông tin (HOLT.13)</t>
        </is>
      </c>
      <c r="D1653" t="inlineStr">
        <is>
          <t>Ngân Hàng TMCP Quân Đội</t>
        </is>
      </c>
      <c r="E1653" t="inlineStr">
        <is>
          <t>Lương:Cạnh tranh</t>
        </is>
      </c>
      <c r="F1653" t="inlineStr">
        <is>
          <t>Hà Nội</t>
        </is>
      </c>
      <c r="G1653" t="inlineStr">
        <is>
          <t>09-04-2026</t>
        </is>
      </c>
      <c r="H1653" t="inlineStr">
        <is>
          <t>09/04/2026</t>
        </is>
      </c>
      <c r="I1653" t="inlineStr">
        <is>
          <t>17/03/2026</t>
        </is>
      </c>
      <c r="J1653" t="inlineStr">
        <is>
          <t>Ngân hàng, CNTT - Phần mềm, CNTT - Phần cứng / Mạng</t>
        </is>
      </c>
      <c r="K1653" t="inlineStr">
        <is>
          <t>N/A</t>
        </is>
      </c>
      <c r="L1653" s="8">
        <f>HYPERLINK("https://careerviet.vn/vi/tim-viec-lam/ai-engineer-computer-vision-npl-llm-khoi-cong-nghe-thong-tin-holt-13.35C6B8DD.html","Xem chi tiết")</f>
        <v/>
      </c>
    </row>
    <row r="1654">
      <c r="B1654" s="9" t="n">
        <v>1652</v>
      </c>
      <c r="C1654" s="10" t="inlineStr">
        <is>
          <t>127380 - Chuyên viên Kinh doanh - ngành Linh kiện máy</t>
        </is>
      </c>
      <c r="D1654" s="10" t="inlineStr">
        <is>
          <t>RGF HR Agent Vietnam Co., LTD</t>
        </is>
      </c>
      <c r="E1654" s="10" t="inlineStr">
        <is>
          <t>Lương:14 Tr - 20 Tr VND</t>
        </is>
      </c>
      <c r="F1654" s="10" t="inlineStr">
        <is>
          <t>Hà Nội</t>
        </is>
      </c>
      <c r="G1654" s="10" t="inlineStr">
        <is>
          <t>13-04-2026</t>
        </is>
      </c>
      <c r="H1654" s="10" t="inlineStr">
        <is>
          <t>13/04/2026</t>
        </is>
      </c>
      <c r="I1654" s="10" t="inlineStr">
        <is>
          <t>17/03/2026</t>
        </is>
      </c>
      <c r="J1654" s="10" t="inlineStr">
        <is>
          <t>Bán hàng / Kinh doanh</t>
        </is>
      </c>
      <c r="K1654" s="10" t="inlineStr">
        <is>
          <t>Trên 3 Năm</t>
        </is>
      </c>
      <c r="L1654" s="11">
        <f>HYPERLINK("https://careerviet.vn/vi/tim-viec-lam/127380-chuyen-vien-kinh-doanh-nganh-linh-kien-may.35C6889D.html","Xem chi tiết")</f>
        <v/>
      </c>
      <c r="M1654" s="10" t="n"/>
    </row>
    <row r="1655">
      <c r="B1655" s="7" t="n">
        <v>1653</v>
      </c>
      <c r="C1655" t="inlineStr">
        <is>
          <t>127736 - Kỹ Sư Cơ Khí Đường Ống - Water System Treatment</t>
        </is>
      </c>
      <c r="D1655" t="inlineStr">
        <is>
          <t>RGF HR Agent Vietnam Co., LTD</t>
        </is>
      </c>
      <c r="E1655" t="inlineStr">
        <is>
          <t>Lương:20 Tr - 26 Tr VND</t>
        </is>
      </c>
      <c r="F1655" t="inlineStr">
        <is>
          <t>Hà Nội</t>
        </is>
      </c>
      <c r="G1655" t="inlineStr">
        <is>
          <t>13-04-2026</t>
        </is>
      </c>
      <c r="H1655" t="inlineStr">
        <is>
          <t>13/04/2026</t>
        </is>
      </c>
      <c r="I1655" t="inlineStr">
        <is>
          <t>17/03/2026</t>
        </is>
      </c>
      <c r="J1655" t="inlineStr">
        <is>
          <t>Cơ khí / Ô tô / Tự động hóa, Ngành khác</t>
        </is>
      </c>
      <c r="K1655" t="inlineStr">
        <is>
          <t>Trên 3 Năm</t>
        </is>
      </c>
      <c r="L1655" s="8">
        <f>HYPERLINK("https://careerviet.vn/vi/tim-viec-lam/127736-ky-su-co-khi-duong-ong-water-system-treatment.35C687E5.html","Xem chi tiết")</f>
        <v/>
      </c>
    </row>
    <row r="1656">
      <c r="B1656" s="9" t="n">
        <v>1654</v>
      </c>
      <c r="C1656" s="10" t="inlineStr">
        <is>
          <t>Trưởng Dự Án Kết Cấu Thép - Project Manager (Steel Structure)</t>
        </is>
      </c>
      <c r="D1656" s="10" t="inlineStr">
        <is>
          <t>ATAD Steel Structure Corporation</t>
        </is>
      </c>
      <c r="E1656" s="10" t="inlineStr">
        <is>
          <t>Lương:Cạnh tranh</t>
        </is>
      </c>
      <c r="F1656" s="10" t="inlineStr">
        <is>
          <t>Hồ Chí MinhHà Nội</t>
        </is>
      </c>
      <c r="G1656" s="10" t="inlineStr">
        <is>
          <t>13-04-2026</t>
        </is>
      </c>
      <c r="H1656" s="10" t="inlineStr">
        <is>
          <t>13/04/2026</t>
        </is>
      </c>
      <c r="I1656" s="10" t="inlineStr">
        <is>
          <t>17/03/2026</t>
        </is>
      </c>
      <c r="J1656" s="10" t="inlineStr">
        <is>
          <t>Cơ khí / Ô tô / Tự động hóa, Sản xuất / Vận hành sản xuất, Xây dựng</t>
        </is>
      </c>
      <c r="K1656" s="10" t="inlineStr">
        <is>
          <t>7 - 10 Năm</t>
        </is>
      </c>
      <c r="L1656" s="11">
        <f>HYPERLINK("https://careerviet.vn/vi/tim-viec-lam/truong-du-an-ket-cau-thep-project-manager-steel-structure.35C68844.html","Xem chi tiết")</f>
        <v/>
      </c>
      <c r="M1656" s="10" t="n"/>
    </row>
    <row r="1657">
      <c r="B1657" s="7" t="n">
        <v>1655</v>
      </c>
      <c r="C1657" t="inlineStr">
        <is>
          <t>Giám đốc/ Trưởng Phòng Kỹ thuật (ngành Funiture Metal)</t>
        </is>
      </c>
      <c r="D1657" t="inlineStr">
        <is>
          <t>Công Ty TNHH SX - TM - DV Lê Trần</t>
        </is>
      </c>
      <c r="E1657" t="inlineStr">
        <is>
          <t>Lương:25 Tr - 30 Tr VND</t>
        </is>
      </c>
      <c r="F1657" t="inlineStr">
        <is>
          <t>Hồ Chí MinhLong An</t>
        </is>
      </c>
      <c r="G1657" t="inlineStr">
        <is>
          <t>13-04-2026</t>
        </is>
      </c>
      <c r="H1657" t="inlineStr">
        <is>
          <t>13/04/2026</t>
        </is>
      </c>
      <c r="I1657" t="inlineStr">
        <is>
          <t>17/03/2026</t>
        </is>
      </c>
      <c r="J1657" t="inlineStr">
        <is>
          <t>Sản xuất / Vận hành sản xuất, Cơ khí / Ô tô / Tự động hóa, Điện / Điện tử / Điện lạnh / Điện công nghiệp</t>
        </is>
      </c>
      <c r="K1657" t="inlineStr">
        <is>
          <t>5 - 10 Năm</t>
        </is>
      </c>
      <c r="L1657" s="8">
        <f>HYPERLINK("https://careerviet.vn/vi/tim-viec-lam/giam-doc-truong-phong-ky-thuat-nganh-funiture-metal.35C63E6C.html","Xem chi tiết")</f>
        <v/>
      </c>
    </row>
    <row r="1658">
      <c r="B1658" s="9" t="n">
        <v>1656</v>
      </c>
      <c r="C1658" s="10" t="inlineStr">
        <is>
          <t>MANUFACTURING ASSISTANT MANAGER_ MOLD</t>
        </is>
      </c>
      <c r="D1658" s="10" t="inlineStr">
        <is>
          <t>Công ty TNHH BK Vina</t>
        </is>
      </c>
      <c r="E1658" s="10" t="inlineStr">
        <is>
          <t>Lương:700 - 1.000 USD</t>
        </is>
      </c>
      <c r="F1658" s="10" t="inlineStr">
        <is>
          <t>Bình Dương</t>
        </is>
      </c>
      <c r="G1658" s="10" t="inlineStr">
        <is>
          <t>13-04-2026</t>
        </is>
      </c>
      <c r="H1658" s="10" t="inlineStr">
        <is>
          <t>13/04/2026</t>
        </is>
      </c>
      <c r="I1658" s="10" t="inlineStr">
        <is>
          <t>17/03/2026</t>
        </is>
      </c>
      <c r="J1658" s="10" t="inlineStr">
        <is>
          <t>Sản xuất / Vận hành sản xuất, Mỹ thuật / Nghệ thuật / Thiết kế</t>
        </is>
      </c>
      <c r="K1658" s="10" t="inlineStr">
        <is>
          <t>3 - 10 Năm</t>
        </is>
      </c>
      <c r="L1658" s="11">
        <f>HYPERLINK("https://careerviet.vn/vi/tim-viec-lam/manufacturing-assistant-manager_-mold.35C6562D.html","Xem chi tiết")</f>
        <v/>
      </c>
      <c r="M1658" s="10" t="n"/>
    </row>
    <row r="1659">
      <c r="B1659" s="7" t="n">
        <v>1657</v>
      </c>
      <c r="C1659" t="inlineStr">
        <is>
          <t>Kiến trúc sư 3D</t>
        </is>
      </c>
      <c r="D1659" t="inlineStr">
        <is>
          <t>CÔNG TY CỔ PHẦN ABT HOMES</t>
        </is>
      </c>
      <c r="E1659" t="inlineStr">
        <is>
          <t>Lương:10 Tr - 30 Tr VND</t>
        </is>
      </c>
      <c r="F1659" t="inlineStr">
        <is>
          <t>Hà Nội</t>
        </is>
      </c>
      <c r="G1659" t="inlineStr">
        <is>
          <t>13-04-2026</t>
        </is>
      </c>
      <c r="H1659" t="inlineStr">
        <is>
          <t>13/04/2026</t>
        </is>
      </c>
      <c r="I1659" t="inlineStr">
        <is>
          <t>17/03/2026</t>
        </is>
      </c>
      <c r="J1659" t="inlineStr">
        <is>
          <t>Kiến trúc, Xây dựng, Nội ngoại thất</t>
        </is>
      </c>
      <c r="K1659" t="inlineStr">
        <is>
          <t>2 - 3 Năm</t>
        </is>
      </c>
      <c r="L1659" s="8">
        <f>HYPERLINK("https://careerviet.vn/vi/tim-viec-lam/kien-truc-su-3d.35C656C3.html","Xem chi tiết")</f>
        <v/>
      </c>
    </row>
    <row r="1660">
      <c r="B1660" s="9" t="n">
        <v>1658</v>
      </c>
      <c r="C1660" s="10" t="inlineStr">
        <is>
          <t>127801 - Tiếng Nhật - Kế toán trưởng - ngành Sản xuất</t>
        </is>
      </c>
      <c r="D1660" s="10" t="inlineStr">
        <is>
          <t>RGF HR Agent Vietnam Co., LTD</t>
        </is>
      </c>
      <c r="E1660" s="10" t="inlineStr">
        <is>
          <t>Lương:Cạnh tranh</t>
        </is>
      </c>
      <c r="F1660" s="10" t="inlineStr">
        <is>
          <t>Hồ Chí Minh</t>
        </is>
      </c>
      <c r="G1660" s="10" t="inlineStr">
        <is>
          <t>13-04-2026</t>
        </is>
      </c>
      <c r="H1660" s="10" t="inlineStr">
        <is>
          <t>13/04/2026</t>
        </is>
      </c>
      <c r="I1660" s="10" t="inlineStr">
        <is>
          <t>17/03/2026</t>
        </is>
      </c>
      <c r="J1660" s="10" t="inlineStr">
        <is>
          <t>Kế toán / Kiểm toán</t>
        </is>
      </c>
      <c r="K1660" s="10" t="inlineStr">
        <is>
          <t>Trên 3 Năm</t>
        </is>
      </c>
      <c r="L1660" s="11">
        <f>HYPERLINK("https://careerviet.vn/vi/tim-viec-lam/127801-tieng-nhat-ke-toan-truong-nganh-san-xuat.35C688BC.html","Xem chi tiết")</f>
        <v/>
      </c>
      <c r="M1660" s="10" t="n"/>
    </row>
    <row r="1661">
      <c r="B1661" s="7" t="n">
        <v>1659</v>
      </c>
      <c r="C1661" t="inlineStr">
        <is>
          <t>Structural Steel Engineer - Thiết Kế Kết Cấu (Kết Cấu Thép)</t>
        </is>
      </c>
      <c r="D1661" t="inlineStr">
        <is>
          <t>ATAD Steel Structure Corporation</t>
        </is>
      </c>
      <c r="E1661" t="inlineStr">
        <is>
          <t>Lương:Cạnh tranh</t>
        </is>
      </c>
      <c r="F1661" t="inlineStr">
        <is>
          <t>Hồ Chí MinhHà Nội</t>
        </is>
      </c>
      <c r="G1661" t="inlineStr">
        <is>
          <t>13-04-2026</t>
        </is>
      </c>
      <c r="H1661" t="inlineStr">
        <is>
          <t>13/04/2026</t>
        </is>
      </c>
      <c r="I1661" t="inlineStr">
        <is>
          <t>17/03/2026</t>
        </is>
      </c>
      <c r="J1661" t="inlineStr">
        <is>
          <t>Kiến trúc, Xây dựng</t>
        </is>
      </c>
      <c r="K1661" t="inlineStr">
        <is>
          <t>N/A</t>
        </is>
      </c>
      <c r="L1661" s="8">
        <f>HYPERLINK("https://careerviet.vn/vi/tim-viec-lam/structural-steel-engineer-thiet-ke-ket-cau-ket-cau-thep.35C68871.html","Xem chi tiết")</f>
        <v/>
      </c>
    </row>
    <row r="1662">
      <c r="B1662" s="9" t="n">
        <v>1660</v>
      </c>
      <c r="C1662" s="10" t="inlineStr">
        <is>
          <t>127557 - Trưởng nhóm Kiểm soát hoạt động bán hàng - ngành FMCG</t>
        </is>
      </c>
      <c r="D1662" s="10" t="inlineStr">
        <is>
          <t>RGF HR Agent Vietnam Co., LTD</t>
        </is>
      </c>
      <c r="E1662" s="10" t="inlineStr">
        <is>
          <t>Lương:20 Tr - 30 Tr VND</t>
        </is>
      </c>
      <c r="F1662" s="10" t="inlineStr">
        <is>
          <t>Hà Nội</t>
        </is>
      </c>
      <c r="G1662" s="10" t="inlineStr">
        <is>
          <t>13-04-2026</t>
        </is>
      </c>
      <c r="H1662" s="10" t="inlineStr">
        <is>
          <t>13/04/2026</t>
        </is>
      </c>
      <c r="I1662" s="10" t="inlineStr">
        <is>
          <t>17/03/2026</t>
        </is>
      </c>
      <c r="J1662" s="10" t="inlineStr">
        <is>
          <t>Hàng gia dụng / Chăm sóc cá nhân</t>
        </is>
      </c>
      <c r="K1662" s="10" t="inlineStr">
        <is>
          <t>Trên 3 Năm</t>
        </is>
      </c>
      <c r="L1662" s="11">
        <f>HYPERLINK("https://careerviet.vn/vi/tim-viec-lam/127557-truong-nhom-kiem-soat-hoat-dong-ban-hang-nganh-fmcg.35C687F7.html","Xem chi tiết")</f>
        <v/>
      </c>
      <c r="M1662" s="10" t="n"/>
    </row>
    <row r="1663">
      <c r="B1663" s="7" t="n">
        <v>1661</v>
      </c>
      <c r="C1663" t="inlineStr">
        <is>
          <t>PC Assistant Manager</t>
        </is>
      </c>
      <c r="D1663" t="inlineStr">
        <is>
          <t>Công ty TNHH Thực phẩm Nissin Việt Nam</t>
        </is>
      </c>
      <c r="E1663" t="inlineStr">
        <is>
          <t>Lương:Cạnh tranh</t>
        </is>
      </c>
      <c r="F1663" t="inlineStr">
        <is>
          <t>Bình Dương</t>
        </is>
      </c>
      <c r="G1663" t="inlineStr">
        <is>
          <t>13-04-2026</t>
        </is>
      </c>
      <c r="H1663" t="inlineStr">
        <is>
          <t>13/04/2026</t>
        </is>
      </c>
      <c r="I1663" t="inlineStr">
        <is>
          <t>17/03/2026</t>
        </is>
      </c>
      <c r="J1663" t="inlineStr">
        <is>
          <t>Quản lý điều hành, Vận chuyển / Giao nhận / Kho vận, Sản xuất / Vận hành sản xuất</t>
        </is>
      </c>
      <c r="K1663" t="inlineStr">
        <is>
          <t>5 Năm</t>
        </is>
      </c>
      <c r="L1663" s="8">
        <f>HYPERLINK("https://careerviet.vn/vi/tim-viec-lam/pc-assistant-manager.35C688EA.html","Xem chi tiết")</f>
        <v/>
      </c>
    </row>
    <row r="1664">
      <c r="B1664" s="9" t="n">
        <v>1662</v>
      </c>
      <c r="C1664" s="10" t="inlineStr">
        <is>
          <t>127791 - Accounting Staff - Manufacturing</t>
        </is>
      </c>
      <c r="D1664" s="10" t="inlineStr">
        <is>
          <t>RGF HR Agent Vietnam Co., LTD</t>
        </is>
      </c>
      <c r="E1664" s="10" t="inlineStr">
        <is>
          <t>Lương:23 Tr - 26 Tr VND</t>
        </is>
      </c>
      <c r="F1664" s="10" t="inlineStr">
        <is>
          <t>Bình Dương</t>
        </is>
      </c>
      <c r="G1664" s="10" t="inlineStr">
        <is>
          <t>13-04-2026</t>
        </is>
      </c>
      <c r="H1664" s="10" t="inlineStr">
        <is>
          <t>13/04/2026</t>
        </is>
      </c>
      <c r="I1664" s="10" t="inlineStr">
        <is>
          <t>17/03/2026</t>
        </is>
      </c>
      <c r="J1664" s="10" t="inlineStr">
        <is>
          <t>Kế toán / Kiểm toán</t>
        </is>
      </c>
      <c r="K1664" s="10" t="inlineStr">
        <is>
          <t>Trên 5 Năm</t>
        </is>
      </c>
      <c r="L1664" s="11">
        <f>HYPERLINK("https://careerviet.vn/vi/tim-viec-lam/127791-accounting-staff-manufacturing.35C688D9.html","Xem chi tiết")</f>
        <v/>
      </c>
      <c r="M1664" s="10" t="n"/>
    </row>
    <row r="1665">
      <c r="B1665" s="7" t="n">
        <v>1663</v>
      </c>
      <c r="C1665" t="inlineStr">
        <is>
          <t>Chỉ huy trưởng công trình</t>
        </is>
      </c>
      <c r="D1665" t="inlineStr">
        <is>
          <t>CÔNG TY TNHH XÂY DỰNG QUỐC TẾ CHUANG XING</t>
        </is>
      </c>
      <c r="E1665" t="inlineStr">
        <is>
          <t>Lương:22 Tr - 25 Tr VND</t>
        </is>
      </c>
      <c r="F1665" t="inlineStr">
        <is>
          <t>Hà Nam</t>
        </is>
      </c>
      <c r="G1665" t="inlineStr">
        <is>
          <t>13-04-2026</t>
        </is>
      </c>
      <c r="H1665" t="inlineStr">
        <is>
          <t>13/04/2026</t>
        </is>
      </c>
      <c r="I1665" t="inlineStr">
        <is>
          <t>17/03/2026</t>
        </is>
      </c>
      <c r="J1665" t="inlineStr">
        <is>
          <t>Kiến trúc, Xây dựng</t>
        </is>
      </c>
      <c r="K1665" t="inlineStr">
        <is>
          <t>Trên 5 Năm</t>
        </is>
      </c>
      <c r="L1665" s="8">
        <f>HYPERLINK("https://careerviet.vn/vi/tim-viec-lam/chi-huy-truong-cong-trinh.35C656C9.html","Xem chi tiết")</f>
        <v/>
      </c>
    </row>
    <row r="1666">
      <c r="B1666" s="9" t="n">
        <v>1664</v>
      </c>
      <c r="C1666" s="10" t="inlineStr">
        <is>
          <t>LỄ TÂN KHÁCH SẠN</t>
        </is>
      </c>
      <c r="D1666" s="10" t="inlineStr">
        <is>
          <t>CÔNG TY TNHH KHÁCH SẠN 34</t>
        </is>
      </c>
      <c r="E1666" s="10" t="inlineStr">
        <is>
          <t>Lương:7,5 Tr - 9 Tr VND</t>
        </is>
      </c>
      <c r="F1666" s="10" t="inlineStr">
        <is>
          <t>Hồ Chí Minh</t>
        </is>
      </c>
      <c r="G1666" s="10" t="inlineStr">
        <is>
          <t>31-03-2026</t>
        </is>
      </c>
      <c r="H1666" s="10" t="inlineStr">
        <is>
          <t>31/03/2026</t>
        </is>
      </c>
      <c r="I1666" s="10" t="inlineStr">
        <is>
          <t>17/03/2026</t>
        </is>
      </c>
      <c r="J1666" s="10" t="inlineStr">
        <is>
          <t>Nhà hàng / Khách sạn</t>
        </is>
      </c>
      <c r="K1666" s="10" t="inlineStr">
        <is>
          <t>N/A</t>
        </is>
      </c>
      <c r="L1666" s="11">
        <f>HYPERLINK("https://careerviet.vn/vi/tim-viec-lam/le-tan-khach-san.35C6A279.html","Xem chi tiết")</f>
        <v/>
      </c>
      <c r="M1666" s="10" t="n"/>
    </row>
    <row r="1667">
      <c r="B1667" s="7" t="n">
        <v>1665</v>
      </c>
      <c r="C1667" t="inlineStr">
        <is>
          <t>Nhân Viên QC</t>
        </is>
      </c>
      <c r="D1667" t="inlineStr">
        <is>
          <t>Công ty TNHH LONG UYÊN</t>
        </is>
      </c>
      <c r="E1667" t="inlineStr">
        <is>
          <t>Lương:Cạnh tranh</t>
        </is>
      </c>
      <c r="F1667" t="inlineStr">
        <is>
          <t>Đồng Tháp</t>
        </is>
      </c>
      <c r="G1667" t="inlineStr">
        <is>
          <t>13-04-2026</t>
        </is>
      </c>
      <c r="H1667" t="inlineStr">
        <is>
          <t>13/04/2026</t>
        </is>
      </c>
      <c r="I1667" t="inlineStr">
        <is>
          <t>17/03/2026</t>
        </is>
      </c>
      <c r="J1667" t="inlineStr">
        <is>
          <t>Quản lý chất lượng (QA/QC), Sản xuất / Vận hành sản xuất, Công nghệ thực phẩm / Dinh dưỡng</t>
        </is>
      </c>
      <c r="K1667" t="inlineStr">
        <is>
          <t>Trên 1 Năm</t>
        </is>
      </c>
      <c r="L1667" s="8">
        <f>HYPERLINK("https://careerviet.vn/vi/tim-viec-lam/nhan-vien-qc.35C68957.html","Xem chi tiết")</f>
        <v/>
      </c>
    </row>
    <row r="1668">
      <c r="B1668" s="9" t="n">
        <v>1666</v>
      </c>
      <c r="C1668" s="10" t="inlineStr">
        <is>
          <t>Senior Administration Officer – Book Keeper</t>
        </is>
      </c>
      <c r="D1668" s="10" t="inlineStr">
        <is>
          <t>OCTIVO</t>
        </is>
      </c>
      <c r="E1668" s="10" t="inlineStr">
        <is>
          <t>Lương:17,5 Tr - 22,5 Tr VND</t>
        </is>
      </c>
      <c r="F1668" s="10" t="inlineStr">
        <is>
          <t>Long An</t>
        </is>
      </c>
      <c r="G1668" s="10" t="inlineStr">
        <is>
          <t>13-04-2026</t>
        </is>
      </c>
      <c r="H1668" s="10" t="inlineStr">
        <is>
          <t>13/04/2026</t>
        </is>
      </c>
      <c r="I1668" s="10" t="inlineStr">
        <is>
          <t>17/03/2026</t>
        </is>
      </c>
      <c r="J1668" s="10" t="inlineStr">
        <is>
          <t>Kế toán / Kiểm toán</t>
        </is>
      </c>
      <c r="K1668" s="10" t="inlineStr">
        <is>
          <t>5 - 7 Năm</t>
        </is>
      </c>
      <c r="L1668" s="11">
        <f>HYPERLINK("https://careerviet.vn/vi/tim-viec-lam/senior-administration-officer-book-keeper.35C64301.html","Xem chi tiết")</f>
        <v/>
      </c>
      <c r="M1668" s="10" t="n"/>
    </row>
    <row r="1669">
      <c r="B1669" s="7" t="n">
        <v>1667</v>
      </c>
      <c r="C1669" t="inlineStr">
        <is>
          <t>Nhân Viên Kế Hoạch Sản Xuất</t>
        </is>
      </c>
      <c r="D1669" t="inlineStr">
        <is>
          <t>Công Ty TNHH Thương Mại Rồng Phương Bắc</t>
        </is>
      </c>
      <c r="E1669" t="inlineStr">
        <is>
          <t>Lương:Trên 12 Tr VND</t>
        </is>
      </c>
      <c r="F1669" t="inlineStr">
        <is>
          <t>Hà Nội</t>
        </is>
      </c>
      <c r="G1669" t="inlineStr">
        <is>
          <t>13-04-2026</t>
        </is>
      </c>
      <c r="H1669" t="inlineStr">
        <is>
          <t>13/04/2026</t>
        </is>
      </c>
      <c r="I1669" t="inlineStr">
        <is>
          <t>17/03/2026</t>
        </is>
      </c>
      <c r="J1669" t="inlineStr">
        <is>
          <t>Vận chuyển / Giao nhận / Kho vận, Sản xuất / Vận hành sản xuất, Thu mua / Vật tư</t>
        </is>
      </c>
      <c r="K1669" t="inlineStr">
        <is>
          <t>Trên 2 Năm</t>
        </is>
      </c>
      <c r="L1669" s="8">
        <f>HYPERLINK("https://careerviet.vn/vi/tim-viec-lam/nhan-vien-ke-hoach-san-xuat.35C64EB1.html","Xem chi tiết")</f>
        <v/>
      </c>
    </row>
    <row r="1670">
      <c r="B1670" s="9" t="n">
        <v>1668</v>
      </c>
      <c r="C1670" s="10" t="inlineStr">
        <is>
          <t>Nhân Viên Kinh Doanh</t>
        </is>
      </c>
      <c r="D1670" s="10" t="inlineStr">
        <is>
          <t>Công Ty Cổ Phần Thiết Bị &amp; Dịch Vụ Đồng Lợi</t>
        </is>
      </c>
      <c r="E1670" s="10" t="inlineStr">
        <is>
          <t>Lương:Cạnh tranh</t>
        </is>
      </c>
      <c r="F1670" s="10" t="inlineStr">
        <is>
          <t>Hồ Chí MinhHà Nội</t>
        </is>
      </c>
      <c r="G1670" s="10" t="inlineStr">
        <is>
          <t>08-04-2026</t>
        </is>
      </c>
      <c r="H1670" s="10" t="inlineStr">
        <is>
          <t>08/04/2026</t>
        </is>
      </c>
      <c r="I1670" s="10" t="inlineStr">
        <is>
          <t>17/03/2026</t>
        </is>
      </c>
      <c r="J1670" s="10" t="inlineStr">
        <is>
          <t>Bán hàng / Kinh doanh, Cơ khí / Ô tô / Tự động hóa, Tiếp thị / Marketing</t>
        </is>
      </c>
      <c r="K1670" s="10" t="inlineStr">
        <is>
          <t>2 - 3 NămĐịa điểm</t>
        </is>
      </c>
      <c r="L1670" s="11">
        <f>HYPERLINK("https://careerviet.vn/vi/tim-viec-lam/nhan-vien-kinh-doanh.35C6B7F2.html","Xem chi tiết")</f>
        <v/>
      </c>
      <c r="M1670" s="10" t="n"/>
    </row>
    <row r="1671">
      <c r="B1671" s="7" t="n">
        <v>1669</v>
      </c>
      <c r="C1671" t="inlineStr">
        <is>
          <t>Project Engineer - Kỹ Sư Dự án</t>
        </is>
      </c>
      <c r="D1671" t="inlineStr">
        <is>
          <t>ATAD Steel Structure Corporation</t>
        </is>
      </c>
      <c r="E1671" t="inlineStr">
        <is>
          <t>Lương:10 Tr - 16 Tr VND</t>
        </is>
      </c>
      <c r="F1671" t="inlineStr">
        <is>
          <t>Hồ Chí Minh</t>
        </is>
      </c>
      <c r="G1671" t="inlineStr">
        <is>
          <t>13-04-2026</t>
        </is>
      </c>
      <c r="H1671" t="inlineStr">
        <is>
          <t>13/04/2026</t>
        </is>
      </c>
      <c r="I1671" t="inlineStr">
        <is>
          <t>17/03/2026</t>
        </is>
      </c>
      <c r="J1671" t="inlineStr">
        <is>
          <t>Xây dựng, Cơ khí / Ô tô / Tự động hóa, Kiến trúc</t>
        </is>
      </c>
      <c r="K1671" t="inlineStr">
        <is>
          <t>Lên đến 1 Năm</t>
        </is>
      </c>
      <c r="L1671" s="8">
        <f>HYPERLINK("https://careerviet.vn/vi/tim-viec-lam/project-engineer-ky-su-du-an.35C68880.html","Xem chi tiết")</f>
        <v/>
      </c>
    </row>
    <row r="1672">
      <c r="B1672" s="9" t="n">
        <v>1670</v>
      </c>
      <c r="C1672" s="10" t="inlineStr">
        <is>
          <t>127828 - Nhân viên Kinh doanh (Sales) - Ngành Thực phẩm</t>
        </is>
      </c>
      <c r="D1672" s="10" t="inlineStr">
        <is>
          <t>RGF HR Agent Vietnam Co., LTD</t>
        </is>
      </c>
      <c r="E1672" s="10" t="inlineStr">
        <is>
          <t>Lương:15 Tr - 22 Tr VND</t>
        </is>
      </c>
      <c r="F1672" s="10" t="inlineStr">
        <is>
          <t>Hồ Chí Minh</t>
        </is>
      </c>
      <c r="G1672" s="10" t="inlineStr">
        <is>
          <t>13-04-2026</t>
        </is>
      </c>
      <c r="H1672" s="10" t="inlineStr">
        <is>
          <t>13/04/2026</t>
        </is>
      </c>
      <c r="I1672" s="10" t="inlineStr">
        <is>
          <t>17/03/2026</t>
        </is>
      </c>
      <c r="J1672" s="10" t="inlineStr">
        <is>
          <t>Bán hàng / Kinh doanh, Thực phẩm &amp; Đồ uống</t>
        </is>
      </c>
      <c r="K1672" s="10" t="inlineStr">
        <is>
          <t>2 - 3 Năm</t>
        </is>
      </c>
      <c r="L1672" s="11">
        <f>HYPERLINK("https://careerviet.vn/vi/tim-viec-lam/127828-nhan-vien-kinh-doanh-sales-nganh-thuc-pham.35C688B3.html","Xem chi tiết")</f>
        <v/>
      </c>
      <c r="M1672" s="10" t="n"/>
    </row>
    <row r="1673">
      <c r="B1673" s="7" t="n">
        <v>1671</v>
      </c>
      <c r="C1673" t="inlineStr">
        <is>
          <t>Kế toán tổng hợp thuế</t>
        </is>
      </c>
      <c r="D1673" t="inlineStr">
        <is>
          <t>CÔNG TY CỔ PHẦN CÔNG NGHỆ VÀ THƯƠNG MẠI SYSTECH</t>
        </is>
      </c>
      <c r="E1673" t="inlineStr">
        <is>
          <t>Lương:18 Tr - 25 Tr VND</t>
        </is>
      </c>
      <c r="F1673" t="inlineStr">
        <is>
          <t>Hà Nội</t>
        </is>
      </c>
      <c r="G1673" t="inlineStr">
        <is>
          <t>31-03-2026</t>
        </is>
      </c>
      <c r="H1673" t="inlineStr">
        <is>
          <t>31/03/2026</t>
        </is>
      </c>
      <c r="I1673" t="inlineStr">
        <is>
          <t>17/03/2026</t>
        </is>
      </c>
      <c r="J1673" t="inlineStr">
        <is>
          <t>Kế toán / Kiểm toán, Tài chính / Đầu tư</t>
        </is>
      </c>
      <c r="K1673" t="inlineStr">
        <is>
          <t>3 - 5 Năm</t>
        </is>
      </c>
      <c r="L1673" s="8">
        <f>HYPERLINK("https://careerviet.vn/vi/tim-viec-lam/ke-toan-tong-hop-thue.35C6B67F.html","Xem chi tiết")</f>
        <v/>
      </c>
    </row>
    <row r="1674">
      <c r="B1674" s="9" t="n">
        <v>1672</v>
      </c>
      <c r="C1674" s="10" t="inlineStr">
        <is>
          <t>Chuyên viên Xây dựng và Quản trị hiệu suất</t>
        </is>
      </c>
      <c r="D1674" s="10" t="inlineStr">
        <is>
          <t>Công Ty Cổ Phần Thiết Kế Và Xây Dựng Giza Việt Nam</t>
        </is>
      </c>
      <c r="E1674" s="10" t="inlineStr">
        <is>
          <t>Lương:15 Tr - 20 Tr VND</t>
        </is>
      </c>
      <c r="F1674" s="10" t="inlineStr">
        <is>
          <t>Hà Nội</t>
        </is>
      </c>
      <c r="G1674" s="10" t="inlineStr">
        <is>
          <t>31-03-2026</t>
        </is>
      </c>
      <c r="H1674" s="10" t="inlineStr">
        <is>
          <t>31/03/2026</t>
        </is>
      </c>
      <c r="I1674" s="10" t="inlineStr">
        <is>
          <t>17/03/2026</t>
        </is>
      </c>
      <c r="J1674" s="10" t="inlineStr">
        <is>
          <t>Nhân sự</t>
        </is>
      </c>
      <c r="K1674" s="10" t="inlineStr">
        <is>
          <t>Chưa có kinh nghiệm</t>
        </is>
      </c>
      <c r="L1674" s="11">
        <f>HYPERLINK("https://careerviet.vn/vi/tim-viec-lam/chuyen-vien-xay-dung-va-quan-tri-hieu-suat.35C6B694.html","Xem chi tiết")</f>
        <v/>
      </c>
      <c r="M1674" s="10" t="n"/>
    </row>
    <row r="1675">
      <c r="B1675" s="7" t="n">
        <v>1673</v>
      </c>
      <c r="C1675" t="inlineStr">
        <is>
          <t>Chuyên viên tuyển dụng đào tạo Thu nhập 13-15 triệu + thưởng hàng tháng</t>
        </is>
      </c>
      <c r="D1675" t="inlineStr">
        <is>
          <t>CÔNG TY CỔ PHẦN PHÁT TRIỂN CƠ ĐIỆN LẠNH HOÀNG ĐẠT</t>
        </is>
      </c>
      <c r="E1675" t="inlineStr">
        <is>
          <t>Lương:13 Tr - 15 Tr VND</t>
        </is>
      </c>
      <c r="F1675" t="inlineStr">
        <is>
          <t>Hà Nội</t>
        </is>
      </c>
      <c r="G1675" t="inlineStr">
        <is>
          <t>08-04-2026</t>
        </is>
      </c>
      <c r="H1675" t="inlineStr">
        <is>
          <t>08/04/2026</t>
        </is>
      </c>
      <c r="I1675" t="inlineStr">
        <is>
          <t>17/03/2026</t>
        </is>
      </c>
      <c r="J1675" t="inlineStr">
        <is>
          <t>Nhân sự</t>
        </is>
      </c>
      <c r="K1675" t="inlineStr">
        <is>
          <t>Lên đến 1 Năm</t>
        </is>
      </c>
      <c r="L1675" s="8">
        <f>HYPERLINK("https://careerviet.vn/vi/tim-viec-lam/chuyen-vien-tuyen-dung-dao-tao-thu-nhap-13-15-trieu-thuong-hang-thang.35C6B66A.html","Xem chi tiết")</f>
        <v/>
      </c>
    </row>
    <row r="1676">
      <c r="B1676" s="9" t="n">
        <v>1674</v>
      </c>
      <c r="C1676" s="10" t="inlineStr">
        <is>
          <t>Kỹ sư Kỹ Thuật Dự Án</t>
        </is>
      </c>
      <c r="D1676" s="10" t="inlineStr">
        <is>
          <t>CÔNG TY TNHH CHẾ TẠO BƠM TS</t>
        </is>
      </c>
      <c r="E1676" s="10" t="inlineStr">
        <is>
          <t>Lương:15 Tr - 30 Tr VND</t>
        </is>
      </c>
      <c r="F1676" s="10" t="inlineStr">
        <is>
          <t>Hồ Chí MinhBình Dương</t>
        </is>
      </c>
      <c r="G1676" s="10" t="inlineStr">
        <is>
          <t>30-05-2026</t>
        </is>
      </c>
      <c r="H1676" s="10" t="inlineStr">
        <is>
          <t>30/05/2026</t>
        </is>
      </c>
      <c r="I1676" s="10" t="inlineStr">
        <is>
          <t>17/03/2026</t>
        </is>
      </c>
      <c r="J1676" s="10" t="inlineStr">
        <is>
          <t>Cơ khí / Ô tô / Tự động hóa, Thủy lợi, Thủy sản / Hải sản</t>
        </is>
      </c>
      <c r="K1676" s="10" t="inlineStr">
        <is>
          <t>5 - 10 Năm</t>
        </is>
      </c>
      <c r="L1676" s="11">
        <f>HYPERLINK("https://careerviet.vn/vi/tim-viec-lam/ky-su-ky-thuat-du-an.35C6B68B.html","Xem chi tiết")</f>
        <v/>
      </c>
      <c r="M1676" s="10" t="n"/>
    </row>
    <row r="1677">
      <c r="B1677" s="7" t="n">
        <v>1675</v>
      </c>
      <c r="C1677" t="inlineStr">
        <is>
          <t>Khu vực HCM_CV/NV Quan hệ Khách Hàng Doanh Nghiệp CIB</t>
        </is>
      </c>
      <c r="D1677" t="inlineStr">
        <is>
          <t>Ngân Hàng TMCP Phương Đông - OCB</t>
        </is>
      </c>
      <c r="E1677" t="inlineStr">
        <is>
          <t>Lương:Cạnh tranh</t>
        </is>
      </c>
      <c r="F1677" t="inlineStr">
        <is>
          <t>Hồ Chí Minh</t>
        </is>
      </c>
      <c r="G1677" t="inlineStr">
        <is>
          <t>31-03-2026</t>
        </is>
      </c>
      <c r="H1677" t="inlineStr">
        <is>
          <t>31/03/2026</t>
        </is>
      </c>
      <c r="I1677" t="inlineStr">
        <is>
          <t>17/03/2026</t>
        </is>
      </c>
      <c r="J1677" t="inlineStr">
        <is>
          <t>Bán hàng / Kinh doanh, Ngân hàng, Tài chính / Đầu tư</t>
        </is>
      </c>
      <c r="K1677" t="inlineStr">
        <is>
          <t>2 - 3 Năm</t>
        </is>
      </c>
      <c r="L1677" s="8">
        <f>HYPERLINK("https://careerviet.vn/vi/tim-viec-lam/khu-vuc-hcm_cv-nv-quan-he-khach-hang-doanh-nghiep-cib.35C6A26E.html","Xem chi tiết")</f>
        <v/>
      </c>
    </row>
    <row r="1678">
      <c r="B1678" s="9" t="n">
        <v>1676</v>
      </c>
      <c r="C1678" s="10" t="inlineStr">
        <is>
          <t>Nhân Viên Hành Chính Dự Án(Mới)</t>
        </is>
      </c>
      <c r="D1678" s="10" t="inlineStr">
        <is>
          <t>CÔNG TY CỔ PHẦN PHÁT TRIỂN VÀ ĐẦU TƯ XÂY DỰNG VINCONS</t>
        </is>
      </c>
      <c r="E1678" s="10" t="inlineStr">
        <is>
          <t>Lương:12 Tr - 16 Tr VND</t>
        </is>
      </c>
      <c r="F1678" s="10" t="inlineStr">
        <is>
          <t>Hồ Chí MinhLong An</t>
        </is>
      </c>
      <c r="G1678" s="10" t="inlineStr">
        <is>
          <t>31-03-2026</t>
        </is>
      </c>
      <c r="H1678" s="10" t="inlineStr">
        <is>
          <t>31/03/2026</t>
        </is>
      </c>
      <c r="I1678" s="10" t="inlineStr">
        <is>
          <t>17/03/2026</t>
        </is>
      </c>
      <c r="J1678" s="10" t="inlineStr">
        <is>
          <t>Hành chính / Thư ký, Xây dựng</t>
        </is>
      </c>
      <c r="K1678" s="10" t="inlineStr">
        <is>
          <t>1 - 3 Năm</t>
        </is>
      </c>
      <c r="L1678" s="11">
        <f>HYPERLINK("https://careerviet.vn/vi/tim-viec-lam/nhan-vien-hanh-chinh-du-an.35C6C9EF.html","Xem chi tiết")</f>
        <v/>
      </c>
      <c r="M1678" s="10" t="n"/>
    </row>
    <row r="1679">
      <c r="B1679" s="7" t="n">
        <v>1677</v>
      </c>
      <c r="C1679" t="inlineStr">
        <is>
          <t>Chuyên viên Cao cấp Kỹ thuật Dự án (Sản phẩm Keo và chống thấm)</t>
        </is>
      </c>
      <c r="D1679" t="inlineStr">
        <is>
          <t>Saint-Gobain Vietnam</t>
        </is>
      </c>
      <c r="E1679" t="inlineStr">
        <is>
          <t>Lương:Cạnh tranh</t>
        </is>
      </c>
      <c r="F1679" t="inlineStr">
        <is>
          <t>Hà Nội</t>
        </is>
      </c>
      <c r="G1679" t="inlineStr">
        <is>
          <t>09-04-2026</t>
        </is>
      </c>
      <c r="H1679" t="inlineStr">
        <is>
          <t>09/04/2026</t>
        </is>
      </c>
      <c r="I1679" t="inlineStr">
        <is>
          <t>17/03/2026</t>
        </is>
      </c>
      <c r="J1679" t="inlineStr">
        <is>
          <t>Ngành khác</t>
        </is>
      </c>
      <c r="K1679" t="inlineStr">
        <is>
          <t>3 - 6 Năm</t>
        </is>
      </c>
      <c r="L1679" s="8">
        <f>HYPERLINK("https://careerviet.vn/vi/tim-viec-lam/chuyen-vien-cao-cap-ky-thuat-du-an-san-pham-keo-va-chong-tham.35C6B68C.html","Xem chi tiết")</f>
        <v/>
      </c>
    </row>
    <row r="1680">
      <c r="B1680" s="9" t="n">
        <v>1678</v>
      </c>
      <c r="C1680" s="10" t="inlineStr">
        <is>
          <t>Kỹ Sư Điện – Tự Động Hóa</t>
        </is>
      </c>
      <c r="D1680" s="10" t="inlineStr">
        <is>
          <t>CÔNG TY TNHH CƠ ĐIỆN LÊ MINH</t>
        </is>
      </c>
      <c r="E1680" s="10" t="inlineStr">
        <is>
          <t>Lương:Cạnh tranh</t>
        </is>
      </c>
      <c r="F1680" s="10" t="inlineStr">
        <is>
          <t>Hà Nội</t>
        </is>
      </c>
      <c r="G1680" s="10" t="inlineStr">
        <is>
          <t>05-04-2026</t>
        </is>
      </c>
      <c r="H1680" s="10" t="inlineStr">
        <is>
          <t>05/04/2026</t>
        </is>
      </c>
      <c r="I1680" s="10" t="inlineStr">
        <is>
          <t>17/03/2026</t>
        </is>
      </c>
      <c r="J1680" s="10" t="inlineStr">
        <is>
          <t>Điện / Điện tử / Điện lạnh / Điện công nghiệp, Cơ khí / Ô tô / Tự động hóa, Bảo trì / Sửa chữa</t>
        </is>
      </c>
      <c r="K1680" s="10" t="inlineStr">
        <is>
          <t>Trên 1 Năm</t>
        </is>
      </c>
      <c r="L1680" s="11">
        <f>HYPERLINK("https://careerviet.vn/vi/tim-viec-lam/ky-su-dien-tu-dong-hoa.35C6B184.html","Xem chi tiết")</f>
        <v/>
      </c>
      <c r="M1680" s="10" t="n"/>
    </row>
    <row r="1681">
      <c r="B1681" s="7" t="n">
        <v>1679</v>
      </c>
      <c r="C1681" t="inlineStr">
        <is>
          <t>[Thường Tín, Hà Nội] Nhân viên QC(Mới)</t>
        </is>
      </c>
      <c r="D1681" t="inlineStr">
        <is>
          <t>Viet Thai International</t>
        </is>
      </c>
      <c r="E1681" t="inlineStr">
        <is>
          <t>Lương:Cạnh tranh</t>
        </is>
      </c>
      <c r="F1681" t="inlineStr">
        <is>
          <t>Hà Nội</t>
        </is>
      </c>
      <c r="G1681" t="inlineStr">
        <is>
          <t>11-04-2026</t>
        </is>
      </c>
      <c r="H1681" t="inlineStr">
        <is>
          <t>11/04/2026</t>
        </is>
      </c>
      <c r="I1681" t="inlineStr">
        <is>
          <t>17/03/2026</t>
        </is>
      </c>
      <c r="J1681" t="inlineStr">
        <is>
          <t>Vận chuyển / Giao nhận / Kho vận, Công nghệ thực phẩm / Dinh dưỡng, Quản lý chất lượng (QA/QC)</t>
        </is>
      </c>
      <c r="K1681" t="inlineStr">
        <is>
          <t>2 - 4 Năm</t>
        </is>
      </c>
      <c r="L1681" s="8">
        <f>HYPERLINK("https://careerviet.vn/vi/tim-viec-lam/thuong-tin-ha-noi-nhan-vien-qc.35C6C9EE.html","Xem chi tiết")</f>
        <v/>
      </c>
    </row>
    <row r="1682">
      <c r="B1682" s="9" t="n">
        <v>1680</v>
      </c>
      <c r="C1682" s="10" t="inlineStr">
        <is>
          <t>Kiểm Soát Chất Lượng (QC) - Ngành Nội Thất Gỗ</t>
        </is>
      </c>
      <c r="D1682" s="10" t="inlineStr">
        <is>
          <t>CÔNG TY TNHH BOKA CRAFT</t>
        </is>
      </c>
      <c r="E1682" s="10" t="inlineStr">
        <is>
          <t>Lương:Cạnh tranh</t>
        </is>
      </c>
      <c r="F1682" s="10" t="inlineStr">
        <is>
          <t>Long An</t>
        </is>
      </c>
      <c r="G1682" s="10" t="inlineStr">
        <is>
          <t>3</t>
        </is>
      </c>
      <c r="H1682" s="10" t="inlineStr">
        <is>
          <t>20/03/2026</t>
        </is>
      </c>
      <c r="I1682" s="10" t="inlineStr">
        <is>
          <t>17/03/2026</t>
        </is>
      </c>
      <c r="J1682" s="10" t="inlineStr">
        <is>
          <t>Sản xuất / Vận hành sản xuất</t>
        </is>
      </c>
      <c r="K1682" s="10" t="inlineStr">
        <is>
          <t>3 - 10 Năm</t>
        </is>
      </c>
      <c r="L1682" s="11">
        <f>HYPERLINK("https://careerviet.vn/vi/tim-viec-lam/kiem-soat-chat-luong-qc-nganh-noi-that-go.35C6B68E.html","Xem chi tiết")</f>
        <v/>
      </c>
      <c r="M1682" s="10" t="n"/>
    </row>
    <row r="1683">
      <c r="B1683" s="7" t="n">
        <v>1681</v>
      </c>
      <c r="C1683" t="inlineStr">
        <is>
          <t>Chuyên viên Phân tích Tài chính &amp; Giá thành (Financial &amp; Costing Analyst)</t>
        </is>
      </c>
      <c r="D1683" t="inlineStr">
        <is>
          <t>CÔNG TY TNHH BOKA CRAFT</t>
        </is>
      </c>
      <c r="E1683" t="inlineStr">
        <is>
          <t>Lương:Cạnh tranh</t>
        </is>
      </c>
      <c r="F1683" t="inlineStr">
        <is>
          <t>Long An</t>
        </is>
      </c>
      <c r="G1683" t="inlineStr">
        <is>
          <t>30-03-2026</t>
        </is>
      </c>
      <c r="H1683" t="inlineStr">
        <is>
          <t>30/03/2026</t>
        </is>
      </c>
      <c r="I1683" t="inlineStr">
        <is>
          <t>17/03/2026</t>
        </is>
      </c>
      <c r="J1683" t="inlineStr">
        <is>
          <t>Tài chính / Đầu tư, Kế toán / Kiểm toán</t>
        </is>
      </c>
      <c r="K1683" t="inlineStr">
        <is>
          <t>1 - 5 Năm</t>
        </is>
      </c>
      <c r="L1683" s="8">
        <f>HYPERLINK("https://careerviet.vn/vi/tim-viec-lam/chuyen-vien-phan-tich-tai-chinh-gia-thanh-financial-costing-analyst.35C6B690.html","Xem chi tiết")</f>
        <v/>
      </c>
    </row>
    <row r="1684">
      <c r="B1684" s="9" t="n">
        <v>1682</v>
      </c>
      <c r="C1684" s="10" t="inlineStr">
        <is>
          <t>Beauty Therapist Supervisor</t>
        </is>
      </c>
      <c r="D1684" s="10" t="inlineStr">
        <is>
          <t>Công Ty TNHH Beiersdorf Việt Nam</t>
        </is>
      </c>
      <c r="E1684" s="10" t="inlineStr">
        <is>
          <t>Lương:Cạnh tranh</t>
        </is>
      </c>
      <c r="F1684" s="10" t="inlineStr">
        <is>
          <t>Hồ Chí Minh</t>
        </is>
      </c>
      <c r="G1684" s="10" t="inlineStr">
        <is>
          <t>08-04-2026</t>
        </is>
      </c>
      <c r="H1684" s="10" t="inlineStr">
        <is>
          <t>08/04/2026</t>
        </is>
      </c>
      <c r="I1684" s="10" t="inlineStr">
        <is>
          <t>17/03/2026</t>
        </is>
      </c>
      <c r="J1684" s="10" t="inlineStr">
        <is>
          <t>Bán hàng / Kinh doanh, Dược phẩm/ Hóa Mỹ Phẩm, Y tế / Chăm sóc sức khỏe / Thẩm mỹ / Làm đẹp</t>
        </is>
      </c>
      <c r="K1684" s="10" t="inlineStr">
        <is>
          <t>2 - 3 Năm</t>
        </is>
      </c>
      <c r="L1684" s="11">
        <f>HYPERLINK("https://careerviet.vn/vi/tim-viec-lam/beauty-therapist-supervisor.35C6B686.html","Xem chi tiết")</f>
        <v/>
      </c>
      <c r="M1684" s="10" t="n"/>
    </row>
    <row r="1685">
      <c r="B1685" s="7" t="n">
        <v>1683</v>
      </c>
      <c r="C1685" t="inlineStr">
        <is>
          <t>Prepress Staff (Nhân viên chế bản)</t>
        </is>
      </c>
      <c r="D1685" t="inlineStr">
        <is>
          <t>Công Ty TNHH SML Việt Nam</t>
        </is>
      </c>
      <c r="E1685" t="inlineStr">
        <is>
          <t>Lương:Cạnh tranh</t>
        </is>
      </c>
      <c r="F1685" t="inlineStr">
        <is>
          <t>Bình Dương</t>
        </is>
      </c>
      <c r="G1685" t="inlineStr">
        <is>
          <t>08-04-2026</t>
        </is>
      </c>
      <c r="H1685" t="inlineStr">
        <is>
          <t>08/04/2026</t>
        </is>
      </c>
      <c r="I1685" t="inlineStr">
        <is>
          <t>17/03/2026</t>
        </is>
      </c>
      <c r="J1685" t="inlineStr">
        <is>
          <t>Sản xuất / Vận hành sản xuất, In ấn / Xuất bản, Mỹ thuật / Nghệ thuật / Thiết kế</t>
        </is>
      </c>
      <c r="K1685" t="inlineStr">
        <is>
          <t>3 - 5 Năm</t>
        </is>
      </c>
      <c r="L1685" s="8">
        <f>HYPERLINK("https://careerviet.vn/vi/tim-viec-lam/prepress-staff-nhan-vien-che-ban.35C6B698.html","Xem chi tiết")</f>
        <v/>
      </c>
    </row>
    <row r="1686">
      <c r="B1686" s="9" t="n">
        <v>1684</v>
      </c>
      <c r="C1686" s="10" t="inlineStr">
        <is>
          <t>PHÓ GIÁM ĐỐC NHÀ MÁY (ĐẮK LẮK)</t>
        </is>
      </c>
      <c r="D1686" s="10" t="inlineStr">
        <is>
          <t>CÔNG TY CỔ PHẦN TẬP ĐOÀN XUẤT - NHẬP KHẨU TRÁI CÂY CHÁNH THU</t>
        </is>
      </c>
      <c r="E1686" s="10" t="inlineStr">
        <is>
          <t>Lương:Cạnh tranh</t>
        </is>
      </c>
      <c r="F1686" s="10" t="inlineStr">
        <is>
          <t>Dak Lak</t>
        </is>
      </c>
      <c r="G1686" s="10" t="inlineStr">
        <is>
          <t>09-04-2026</t>
        </is>
      </c>
      <c r="H1686" s="10" t="inlineStr">
        <is>
          <t>09/04/2026</t>
        </is>
      </c>
      <c r="I1686" s="10" t="inlineStr">
        <is>
          <t>17/03/2026</t>
        </is>
      </c>
      <c r="J1686" s="10" t="inlineStr">
        <is>
          <t>Sản xuất / Vận hành sản xuất, Nông nghiệp, Quản lý điều hành</t>
        </is>
      </c>
      <c r="K1686" s="10" t="inlineStr">
        <is>
          <t>3 - 5 Năm</t>
        </is>
      </c>
      <c r="L1686" s="11">
        <f>HYPERLINK("https://careerviet.vn/vi/tim-viec-lam/pho-giam-doc-nha-may-dak-lak.35C6B66D.html","Xem chi tiết")</f>
        <v/>
      </c>
      <c r="M1686" s="10" t="n"/>
    </row>
    <row r="1687">
      <c r="B1687" s="7" t="n">
        <v>1685</v>
      </c>
      <c r="C1687" t="inlineStr">
        <is>
          <t>KỸ SƯ GIÁM SÁT CÔNG TRÌNH (CẦU ĐƯỜNG / DÂN DỤNG / CÔNG NGHIỆP)(Mới)</t>
        </is>
      </c>
      <c r="D1687" t="inlineStr">
        <is>
          <t>CÔNG TY TNHH SẢN XUẤT VÀ THƯƠNG MẠI THỦY SẢN THIỆN NHÀ TÔM</t>
        </is>
      </c>
      <c r="E1687" t="inlineStr">
        <is>
          <t>Lương:15 Tr - 18 Tr VND</t>
        </is>
      </c>
      <c r="F1687" t="inlineStr">
        <is>
          <t>Đồng Nai</t>
        </is>
      </c>
      <c r="G1687" t="inlineStr">
        <is>
          <t>30-04-2026</t>
        </is>
      </c>
      <c r="H1687" t="inlineStr">
        <is>
          <t>30/04/2026</t>
        </is>
      </c>
      <c r="I1687" t="inlineStr">
        <is>
          <t>17/03/2026</t>
        </is>
      </c>
      <c r="J1687" t="inlineStr">
        <is>
          <t>Xây dựng, Kiến trúc</t>
        </is>
      </c>
      <c r="K1687" t="inlineStr">
        <is>
          <t>1 - 5 Năm</t>
        </is>
      </c>
      <c r="L1687" s="8">
        <f>HYPERLINK("https://careerviet.vn/vi/tim-viec-lam/ky-su-giam-sat-cong-trinh-cau-duong-dan-dung-cong-nghiep.35C6C9E3.html","Xem chi tiết")</f>
        <v/>
      </c>
    </row>
    <row r="1688">
      <c r="B1688" s="9" t="n">
        <v>1686</v>
      </c>
      <c r="C1688" s="10" t="inlineStr">
        <is>
          <t>Kỹ thuật viên Vận Hành Máy</t>
        </is>
      </c>
      <c r="D1688" s="10" t="inlineStr">
        <is>
          <t>CÔNG TY CỔ PHẦN CHẾ BIẾN THỰC PHẨM HOÀNG SƠN</t>
        </is>
      </c>
      <c r="E1688" s="10" t="inlineStr">
        <is>
          <t>Lương:12 Tr - 14 Tr VND</t>
        </is>
      </c>
      <c r="F1688" s="10" t="inlineStr">
        <is>
          <t>Bình Dương</t>
        </is>
      </c>
      <c r="G1688" s="10" t="inlineStr">
        <is>
          <t>30-04-2026</t>
        </is>
      </c>
      <c r="H1688" s="10" t="inlineStr">
        <is>
          <t>30/04/2026</t>
        </is>
      </c>
      <c r="I1688" s="10" t="inlineStr">
        <is>
          <t>17/03/2026</t>
        </is>
      </c>
      <c r="J1688" s="10" t="inlineStr">
        <is>
          <t>Điện / Điện tử / Điện lạnh / Điện công nghiệp, Bảo trì / Sửa chữa, Sản xuất / Vận hành sản xuất</t>
        </is>
      </c>
      <c r="K1688" s="10" t="inlineStr">
        <is>
          <t>1 - 5 Năm</t>
        </is>
      </c>
      <c r="L1688" s="11">
        <f>HYPERLINK("https://careerviet.vn/vi/tim-viec-lam/ky-thuat-vien-van-hanh-may.35C6C9C1.html","Xem chi tiết")</f>
        <v/>
      </c>
      <c r="M1688" s="10" t="n"/>
    </row>
    <row r="1689">
      <c r="B1689" s="7" t="n">
        <v>1687</v>
      </c>
      <c r="C1689" t="inlineStr">
        <is>
          <t>Giám đốc kinh doanh(Mới)</t>
        </is>
      </c>
      <c r="D1689" t="inlineStr">
        <is>
          <t>Bảo mật</t>
        </is>
      </c>
      <c r="E1689" t="inlineStr">
        <is>
          <t>Lương:Cạnh tranh</t>
        </is>
      </c>
      <c r="F1689" t="inlineStr">
        <is>
          <t>Hồ Chí Minh</t>
        </is>
      </c>
      <c r="G1689" t="inlineStr">
        <is>
          <t>13-04-2026</t>
        </is>
      </c>
      <c r="H1689" t="inlineStr">
        <is>
          <t>13/04/2026</t>
        </is>
      </c>
      <c r="I1689" t="inlineStr">
        <is>
          <t>17/03/2026</t>
        </is>
      </c>
      <c r="J1689" t="inlineStr">
        <is>
          <t>Xây dựng, Bất động sản, Nội ngoại thất</t>
        </is>
      </c>
      <c r="K1689" t="inlineStr">
        <is>
          <t>5 - 10 Năm</t>
        </is>
      </c>
      <c r="L1689" s="8">
        <f>HYPERLINK("https://careerviet.vn/vi/tim-viec-lam/giam-doc-kinh-doanh.35C6C9EC.html","Xem chi tiết")</f>
        <v/>
      </c>
    </row>
    <row r="1690">
      <c r="B1690" s="9" t="n">
        <v>1688</v>
      </c>
      <c r="C1690" s="10" t="inlineStr">
        <is>
          <t>F&amp;B Chain - Kế toán viên(Mới)</t>
        </is>
      </c>
      <c r="D1690" s="10" t="inlineStr">
        <is>
          <t>Viet Thai International</t>
        </is>
      </c>
      <c r="E1690" s="10" t="inlineStr">
        <is>
          <t>Lương:Cạnh tranh</t>
        </is>
      </c>
      <c r="F1690" s="10" t="inlineStr">
        <is>
          <t>Hồ Chí Minh</t>
        </is>
      </c>
      <c r="G1690" s="10" t="inlineStr">
        <is>
          <t>31-03-2026</t>
        </is>
      </c>
      <c r="H1690" s="10" t="inlineStr">
        <is>
          <t>31/03/2026</t>
        </is>
      </c>
      <c r="I1690" s="10" t="inlineStr">
        <is>
          <t>17/03/2026</t>
        </is>
      </c>
      <c r="J1690" s="10" t="inlineStr">
        <is>
          <t>Bán lẻ / Bán sỉ, Kế toán / Kiểm toán</t>
        </is>
      </c>
      <c r="K1690" s="10" t="inlineStr">
        <is>
          <t>1 - 3 Năm</t>
        </is>
      </c>
      <c r="L1690" s="11">
        <f>HYPERLINK("https://careerviet.vn/vi/tim-viec-lam/f-b-chain-ke-toan-vien.35C6C9E9.html","Xem chi tiết")</f>
        <v/>
      </c>
      <c r="M1690" s="10" t="n"/>
    </row>
    <row r="1691">
      <c r="B1691" s="7" t="n">
        <v>1689</v>
      </c>
      <c r="C1691" t="inlineStr">
        <is>
          <t>[LONG AN] NHÂN VIÊN BẢO TRÌ</t>
        </is>
      </c>
      <c r="D1691" t="inlineStr">
        <is>
          <t>Công Ty Cổ Phần Y&amp;B</t>
        </is>
      </c>
      <c r="E1691" t="inlineStr">
        <is>
          <t>Lương:Cạnh tranh</t>
        </is>
      </c>
      <c r="F1691" t="inlineStr">
        <is>
          <t>Long AnHồ Chí Minh</t>
        </is>
      </c>
      <c r="G1691" t="inlineStr">
        <is>
          <t>31-03-2026</t>
        </is>
      </c>
      <c r="H1691" t="inlineStr">
        <is>
          <t>31/03/2026</t>
        </is>
      </c>
      <c r="I1691" t="inlineStr">
        <is>
          <t>17/03/2026</t>
        </is>
      </c>
      <c r="J1691" t="inlineStr">
        <is>
          <t>Bảo trì / Sửa chữa, Điện / Điện tử / Điện lạnh / Điện công nghiệp, Sản xuất / Vận hành sản xuất</t>
        </is>
      </c>
      <c r="K1691" t="inlineStr">
        <is>
          <t>1 - 3 Năm</t>
        </is>
      </c>
      <c r="L1691" s="8">
        <f>HYPERLINK("https://careerviet.vn/vi/tim-viec-lam/long-an-nhan-vien-bao-tri.35C6C9D7.html","Xem chi tiết")</f>
        <v/>
      </c>
    </row>
    <row r="1692">
      <c r="B1692" s="9" t="n">
        <v>1690</v>
      </c>
      <c r="C1692" s="10" t="inlineStr">
        <is>
          <t>Nhân Viên Chăm Sóc Khách Hàng [Melinh Plaza Hà Đông]</t>
        </is>
      </c>
      <c r="D1692" s="10" t="inlineStr">
        <is>
          <t>CÔNG TY CỔ PHẦN EUROWINDOW HOLDING</t>
        </is>
      </c>
      <c r="E1692" s="10" t="inlineStr">
        <is>
          <t>Lương:Cạnh tranh</t>
        </is>
      </c>
      <c r="F1692" s="10" t="inlineStr">
        <is>
          <t>Hà Nội</t>
        </is>
      </c>
      <c r="G1692" s="10" t="inlineStr">
        <is>
          <t>14-04-2026</t>
        </is>
      </c>
      <c r="H1692" s="10" t="inlineStr">
        <is>
          <t>14/04/2026</t>
        </is>
      </c>
      <c r="I1692" s="10" t="inlineStr">
        <is>
          <t>17/03/2026</t>
        </is>
      </c>
      <c r="J1692" s="10" t="inlineStr">
        <is>
          <t>Dịch vụ khách hàng</t>
        </is>
      </c>
      <c r="K1692" s="10" t="inlineStr">
        <is>
          <t>1 - 2 Năm</t>
        </is>
      </c>
      <c r="L1692" s="11">
        <f>HYPERLINK("https://careerviet.vn/vi/tim-viec-lam/nhan-vien-cham-soc-khach-hang-melinh-plaza-ha-dong.35C6C9D1.html","Xem chi tiết")</f>
        <v/>
      </c>
      <c r="M1692" s="10" t="n"/>
    </row>
    <row r="1693">
      <c r="B1693" s="7" t="n">
        <v>1691</v>
      </c>
      <c r="C1693" t="inlineStr">
        <is>
          <t>Kỹ sư Cơ/Kỹ sư Điện</t>
        </is>
      </c>
      <c r="D1693" t="inlineStr">
        <is>
          <t>Công ty Cổ Phần Kỹ Thuật Và Thương Mại H.T.G</t>
        </is>
      </c>
      <c r="E1693" t="inlineStr">
        <is>
          <t>Lương:9 Tr - 18 Tr VND</t>
        </is>
      </c>
      <c r="F1693" t="inlineStr">
        <is>
          <t>Hồ Chí MinhHưng YênĐồng Tháp</t>
        </is>
      </c>
      <c r="G1693" t="inlineStr">
        <is>
          <t>29-04-2026</t>
        </is>
      </c>
      <c r="H1693" t="inlineStr">
        <is>
          <t>29/04/2026</t>
        </is>
      </c>
      <c r="I1693" t="inlineStr">
        <is>
          <t>17/03/2026</t>
        </is>
      </c>
      <c r="J1693" t="inlineStr">
        <is>
          <t>Điện / Điện tử / Điện lạnh / Điện công nghiệp</t>
        </is>
      </c>
      <c r="K1693" t="inlineStr">
        <is>
          <t>Chưa có kinh nghiệm</t>
        </is>
      </c>
      <c r="L1693" s="8">
        <f>HYPERLINK("https://careerviet.vn/vi/tim-viec-lam/ky-su-co-ky-su-dien.35C6C9B9.html","Xem chi tiết")</f>
        <v/>
      </c>
    </row>
    <row r="1694">
      <c r="B1694" s="9" t="n">
        <v>1692</v>
      </c>
      <c r="C1694" s="10" t="inlineStr">
        <is>
          <t>Quản trị viên Chuyên Ngành Cơ Khí</t>
        </is>
      </c>
      <c r="D1694" s="10" t="inlineStr">
        <is>
          <t>CÔNG TY TNHH ACTR</t>
        </is>
      </c>
      <c r="E1694" s="10" t="inlineStr">
        <is>
          <t>Lương:10,8 Tr - 15,5 Tr VND</t>
        </is>
      </c>
      <c r="F1694" s="10" t="inlineStr">
        <is>
          <t>Tây Ninh</t>
        </is>
      </c>
      <c r="G1694" s="10" t="inlineStr">
        <is>
          <t>30-04-2026</t>
        </is>
      </c>
      <c r="H1694" s="10" t="inlineStr">
        <is>
          <t>30/04/2026</t>
        </is>
      </c>
      <c r="I1694" s="10" t="inlineStr">
        <is>
          <t>17/03/2026</t>
        </is>
      </c>
      <c r="J1694" s="10" t="inlineStr">
        <is>
          <t>Cơ khí / Ô tô / Tự động hóa, Điện / Điện tử / Điện lạnh / Điện công nghiệp, Mới tốt nghiệp / Thực tập</t>
        </is>
      </c>
      <c r="K1694" s="10" t="inlineStr">
        <is>
          <t>N/A</t>
        </is>
      </c>
      <c r="L1694" s="11">
        <f>HYPERLINK("https://careerviet.vn/vi/tim-viec-lam/quan-tri-vien-chuyen-nganh-co-khi.35C6C9A4.html","Xem chi tiết")</f>
        <v/>
      </c>
      <c r="M1694" s="10" t="n"/>
    </row>
    <row r="1695">
      <c r="B1695" s="7" t="n">
        <v>1693</v>
      </c>
      <c r="C1695" t="inlineStr">
        <is>
          <t>KỸ SƯ MEP</t>
        </is>
      </c>
      <c r="D1695" t="inlineStr">
        <is>
          <t>CÔNG TY CỔ PHẦN CHẾ BIẾN THỰC PHẨM HOÀNG SƠN</t>
        </is>
      </c>
      <c r="E1695" t="inlineStr">
        <is>
          <t>Lương:Cạnh tranh</t>
        </is>
      </c>
      <c r="F1695" t="inlineStr">
        <is>
          <t>Bình Dương</t>
        </is>
      </c>
      <c r="G1695" t="inlineStr">
        <is>
          <t>30-04-2026</t>
        </is>
      </c>
      <c r="H1695" t="inlineStr">
        <is>
          <t>30/04/2026</t>
        </is>
      </c>
      <c r="I1695" t="inlineStr">
        <is>
          <t>17/03/2026</t>
        </is>
      </c>
      <c r="J1695" t="inlineStr">
        <is>
          <t>Điện / Điện tử / Điện lạnh / Điện công nghiệp, Xây dựng</t>
        </is>
      </c>
      <c r="K1695" t="inlineStr">
        <is>
          <t>3 - 4 Năm</t>
        </is>
      </c>
      <c r="L1695" s="8">
        <f>HYPERLINK("https://careerviet.vn/vi/tim-viec-lam/ky-su-mep.35C6C9B7.html","Xem chi tiết")</f>
        <v/>
      </c>
    </row>
    <row r="1696">
      <c r="B1696" s="9" t="n">
        <v>1694</v>
      </c>
      <c r="C1696" s="10" t="inlineStr">
        <is>
          <t>NHÂN VIÊN QA</t>
        </is>
      </c>
      <c r="D1696" s="10" t="inlineStr">
        <is>
          <t>Công Ty TNHH Sewoon Medical Vina</t>
        </is>
      </c>
      <c r="E1696" s="10" t="inlineStr">
        <is>
          <t>Lương:Cạnh tranh</t>
        </is>
      </c>
      <c r="F1696" s="10" t="inlineStr">
        <is>
          <t>Bình Dương</t>
        </is>
      </c>
      <c r="G1696" s="10" t="inlineStr">
        <is>
          <t>30-04-2026</t>
        </is>
      </c>
      <c r="H1696" s="10" t="inlineStr">
        <is>
          <t>30/04/2026</t>
        </is>
      </c>
      <c r="I1696" s="10" t="inlineStr">
        <is>
          <t>17/03/2026</t>
        </is>
      </c>
      <c r="J1696" s="10" t="inlineStr">
        <is>
          <t>Quản lý chất lượng (QA/QC), Công nghệ sinh học, Hóa học</t>
        </is>
      </c>
      <c r="K1696" s="10" t="inlineStr">
        <is>
          <t>N/A</t>
        </is>
      </c>
      <c r="L1696" s="11">
        <f>HYPERLINK("https://careerviet.vn/vi/tim-viec-lam/nhan-vien-qa.35C6C9BF.html","Xem chi tiết")</f>
        <v/>
      </c>
      <c r="M1696" s="10" t="n"/>
    </row>
    <row r="1697">
      <c r="B1697" s="7" t="n">
        <v>1695</v>
      </c>
      <c r="C1697" t="inlineStr">
        <is>
          <t>[Hà Nội, Hồ Chí Minh]  Kỹ sư Thiết kế hệ thống Scada (dự án Solar Farm)</t>
        </is>
      </c>
      <c r="D1697" t="inlineStr">
        <is>
          <t>Tổng Công ty Cổ phần Công trình Viettel</t>
        </is>
      </c>
      <c r="E1697" t="inlineStr">
        <is>
          <t>Lương:20 Tr - 30 Tr VND</t>
        </is>
      </c>
      <c r="F1697" t="inlineStr">
        <is>
          <t>Hà NộiHồ Chí Minh</t>
        </is>
      </c>
      <c r="G1697" t="inlineStr">
        <is>
          <t>06-04-2026</t>
        </is>
      </c>
      <c r="H1697" t="inlineStr">
        <is>
          <t>06/04/2026</t>
        </is>
      </c>
      <c r="I1697" t="inlineStr">
        <is>
          <t>17/03/2026</t>
        </is>
      </c>
      <c r="J1697" t="inlineStr">
        <is>
          <t>Mỹ thuật / Nghệ thuật / Thiết kế, Cơ khí / Ô tô / Tự động hóa, Điện / Điện tử / Điện lạnh / Điện công nghiệp</t>
        </is>
      </c>
      <c r="K1697" t="inlineStr">
        <is>
          <t>2 - 4 Năm</t>
        </is>
      </c>
      <c r="L1697" s="8">
        <f>HYPERLINK("https://careerviet.vn/vi/tim-viec-lam/ha-noi-ho-chi-minh-ky-su-thiet-ke-he-thong-scada-du-an-solar-farm.35C6C9B3.html","Xem chi tiết")</f>
        <v/>
      </c>
    </row>
    <row r="1698">
      <c r="B1698" s="9" t="n">
        <v>1696</v>
      </c>
      <c r="C1698" s="10" t="inlineStr">
        <is>
          <t>Giám sát kinh doanh</t>
        </is>
      </c>
      <c r="D1698" s="10" t="inlineStr">
        <is>
          <t>CÔNG TY TNHH THƯƠNG MẠI AN NAM FOOD</t>
        </is>
      </c>
      <c r="E1698" s="10" t="inlineStr">
        <is>
          <t>Lương:Cạnh tranh</t>
        </is>
      </c>
      <c r="F1698" s="10" t="inlineStr">
        <is>
          <t>Đồng Bằng Sông Cửu Long</t>
        </is>
      </c>
      <c r="G1698" s="10" t="inlineStr">
        <is>
          <t>31-03-2026</t>
        </is>
      </c>
      <c r="H1698" s="10" t="inlineStr">
        <is>
          <t>31/03/2026</t>
        </is>
      </c>
      <c r="I1698" s="10" t="inlineStr">
        <is>
          <t>17/03/2026</t>
        </is>
      </c>
      <c r="J1698" s="10" t="inlineStr">
        <is>
          <t>Thực phẩm &amp; Đồ uống, Bán hàng / Kinh doanh, Tiếp thị / Marketing</t>
        </is>
      </c>
      <c r="K1698" s="10" t="inlineStr">
        <is>
          <t>3 - 5 Năm</t>
        </is>
      </c>
      <c r="L1698" s="11">
        <f>HYPERLINK("https://careerviet.vn/vi/tim-viec-lam/giam-sat-kinh-doanh.35C6C98E.html","Xem chi tiết")</f>
        <v/>
      </c>
      <c r="M1698" s="10" t="n"/>
    </row>
    <row r="1699">
      <c r="B1699" s="7" t="n">
        <v>1697</v>
      </c>
      <c r="C1699" t="inlineStr">
        <is>
          <t>IT Executive</t>
        </is>
      </c>
      <c r="D1699" t="inlineStr">
        <is>
          <t>VIETNAM AMERICAN OIL TOOLS., JSC</t>
        </is>
      </c>
      <c r="E1699" t="inlineStr">
        <is>
          <t>Lương:25 Tr - 28 Tr VND</t>
        </is>
      </c>
      <c r="F1699" t="inlineStr">
        <is>
          <t>Bình Dương</t>
        </is>
      </c>
      <c r="G1699" t="inlineStr">
        <is>
          <t>14-04-2026</t>
        </is>
      </c>
      <c r="H1699" t="inlineStr">
        <is>
          <t>14/04/2026</t>
        </is>
      </c>
      <c r="I1699" t="inlineStr">
        <is>
          <t>17/03/2026</t>
        </is>
      </c>
      <c r="J1699" t="inlineStr">
        <is>
          <t>CNTT - Phần mềm, Cơ khí / Ô tô / Tự động hóa</t>
        </is>
      </c>
      <c r="K1699" t="inlineStr">
        <is>
          <t>3 - 5 Năm</t>
        </is>
      </c>
      <c r="L1699" s="8">
        <f>HYPERLINK("https://careerviet.vn/vi/tim-viec-lam/it-executive.35C6C9A3.html","Xem chi tiết")</f>
        <v/>
      </c>
    </row>
    <row r="1700">
      <c r="B1700" s="9" t="n">
        <v>1698</v>
      </c>
      <c r="C1700" s="10" t="inlineStr">
        <is>
          <t>Quản Trị Viên Chuyên Ngành Điện / Điện tử / Điện công nghiệp</t>
        </is>
      </c>
      <c r="D1700" s="10" t="inlineStr">
        <is>
          <t>CÔNG TY TNHH ACTR</t>
        </is>
      </c>
      <c r="E1700" s="10" t="inlineStr">
        <is>
          <t>Lương:10,8 Tr - 15,5 Tr VND</t>
        </is>
      </c>
      <c r="F1700" s="10" t="inlineStr">
        <is>
          <t>Tây Ninh</t>
        </is>
      </c>
      <c r="G1700" s="10" t="inlineStr">
        <is>
          <t>30-04-2026</t>
        </is>
      </c>
      <c r="H1700" s="10" t="inlineStr">
        <is>
          <t>30/04/2026</t>
        </is>
      </c>
      <c r="I1700" s="10" t="inlineStr">
        <is>
          <t>17/03/2026</t>
        </is>
      </c>
      <c r="J1700" s="10" t="inlineStr">
        <is>
          <t>Điện / Điện tử / Điện lạnh / Điện công nghiệp, Bảo trì / Sửa chữa, Sản xuất / Vận hành sản xuất</t>
        </is>
      </c>
      <c r="K1700" s="10" t="inlineStr">
        <is>
          <t>N/A</t>
        </is>
      </c>
      <c r="L1700" s="11">
        <f>HYPERLINK("https://careerviet.vn/vi/tim-viec-lam/quan-tri-vien-chuyen-nganh-dien-dien-tu-dien-cong-nghiep.35C6C9A6.html","Xem chi tiết")</f>
        <v/>
      </c>
      <c r="M1700" s="10" t="n"/>
    </row>
    <row r="1701">
      <c r="B1701" s="7" t="n">
        <v>1699</v>
      </c>
      <c r="C1701" t="inlineStr">
        <is>
          <t>Kế Toán Tổng Hợp (Ưu tiên nhận việc ngay)</t>
        </is>
      </c>
      <c r="D1701" t="inlineStr">
        <is>
          <t>Công Ty TNHH Muse Medical</t>
        </is>
      </c>
      <c r="E1701" t="inlineStr">
        <is>
          <t>Lương:Cạnh tranh</t>
        </is>
      </c>
      <c r="F1701" t="inlineStr">
        <is>
          <t>Hồ Chí Minh</t>
        </is>
      </c>
      <c r="G1701" t="inlineStr">
        <is>
          <t>14-04-2026</t>
        </is>
      </c>
      <c r="H1701" t="inlineStr">
        <is>
          <t>14/04/2026</t>
        </is>
      </c>
      <c r="I1701" t="inlineStr">
        <is>
          <t>17/03/2026</t>
        </is>
      </c>
      <c r="J1701" t="inlineStr">
        <is>
          <t>Kế toán / Kiểm toán, Tài chính / Đầu tư, Y tế / Chăm sóc sức khỏe / Thẩm mỹ / Làm đẹp</t>
        </is>
      </c>
      <c r="K1701" t="inlineStr">
        <is>
          <t>Trên 2 Năm</t>
        </is>
      </c>
      <c r="L1701" s="8">
        <f>HYPERLINK("https://careerviet.vn/vi/tim-viec-lam/ke-toan-tong-hop-uu-tien-nhan-viec-ngay.35C6C998.html","Xem chi tiết")</f>
        <v/>
      </c>
    </row>
    <row r="1702">
      <c r="B1702" s="9" t="n">
        <v>1700</v>
      </c>
      <c r="C1702" s="10" t="inlineStr">
        <is>
          <t>KỸ SƯ KINH DOANH</t>
        </is>
      </c>
      <c r="D1702" s="10" t="inlineStr">
        <is>
          <t>CÔNG TY TNHH THANG MÁY TOSHIBA VIỆT NAM</t>
        </is>
      </c>
      <c r="E1702" s="10" t="inlineStr">
        <is>
          <t>Lương:8,5 Tr - 11 Tr VND</t>
        </is>
      </c>
      <c r="F1702" s="10" t="inlineStr">
        <is>
          <t>Hồ Chí Minh</t>
        </is>
      </c>
      <c r="G1702" s="10" t="inlineStr">
        <is>
          <t>13-04-2026</t>
        </is>
      </c>
      <c r="H1702" s="10" t="inlineStr">
        <is>
          <t>13/04/2026</t>
        </is>
      </c>
      <c r="I1702" s="10" t="inlineStr">
        <is>
          <t>17/03/2026</t>
        </is>
      </c>
      <c r="J1702" s="10" t="inlineStr">
        <is>
          <t>Điện / Điện tử / Điện lạnh / Điện công nghiệp, Cơ khí / Ô tô / Tự động hóa, Bán Hàng Kỹ Thuật</t>
        </is>
      </c>
      <c r="K1702" s="10" t="inlineStr">
        <is>
          <t>Chưa có kinh nghiệm</t>
        </is>
      </c>
      <c r="L1702" s="11">
        <f>HYPERLINK("https://careerviet.vn/vi/tim-viec-lam/ky-su-kinh-doanh.35C688DA.html","Xem chi tiết")</f>
        <v/>
      </c>
      <c r="M1702" s="10" t="n"/>
    </row>
    <row r="1703">
      <c r="B1703" s="7" t="n">
        <v>1701</v>
      </c>
      <c r="C1703" t="inlineStr">
        <is>
          <t>[Hà Nội]  Kỹ sư Giám sát Xây dựng dân dụng (Có khả năng đi công tác nước ngoài)</t>
        </is>
      </c>
      <c r="D1703" t="inlineStr">
        <is>
          <t>Tổng Công ty Cổ phần Công trình Viettel</t>
        </is>
      </c>
      <c r="E1703" t="inlineStr">
        <is>
          <t>Lương:20 Tr - 30 Tr VND</t>
        </is>
      </c>
      <c r="F1703" t="inlineStr">
        <is>
          <t>Hà Nội</t>
        </is>
      </c>
      <c r="G1703" t="inlineStr">
        <is>
          <t>13-04-2026</t>
        </is>
      </c>
      <c r="H1703" t="inlineStr">
        <is>
          <t>13/04/2026</t>
        </is>
      </c>
      <c r="I1703" t="inlineStr">
        <is>
          <t>17/03/2026</t>
        </is>
      </c>
      <c r="J1703" t="inlineStr">
        <is>
          <t>Kiến trúc, Xây dựng, Điện / Điện tử / Điện lạnh / Điện công nghiệp</t>
        </is>
      </c>
      <c r="K1703" t="inlineStr">
        <is>
          <t>3 - 5 Năm</t>
        </is>
      </c>
      <c r="L1703" s="8">
        <f>HYPERLINK("https://careerviet.vn/vi/tim-viec-lam/ha-noi-ky-su-giam-sat-xay-dung-dan-dung-co-kha-nang-di-cong-tac-nuoc-ngoai.35C6C9B4.html","Xem chi tiết")</f>
        <v/>
      </c>
    </row>
    <row r="1704">
      <c r="B1704" s="9" t="n">
        <v>1702</v>
      </c>
      <c r="C1704" s="10" t="inlineStr">
        <is>
          <t>Nhân viên Chăm Sóc Cảnh quan khu vực quán</t>
        </is>
      </c>
      <c r="D1704" s="10" t="inlineStr">
        <is>
          <t>Highlands Coffee</t>
        </is>
      </c>
      <c r="E1704" s="10" t="inlineStr">
        <is>
          <t>Lương:Cạnh tranh</t>
        </is>
      </c>
      <c r="F1704" s="10" t="inlineStr">
        <is>
          <t>Đà Nẵng</t>
        </is>
      </c>
      <c r="G1704" s="10" t="inlineStr">
        <is>
          <t>13-04-2026</t>
        </is>
      </c>
      <c r="H1704" s="10" t="inlineStr">
        <is>
          <t>13/04/2026</t>
        </is>
      </c>
      <c r="I1704" s="10" t="inlineStr">
        <is>
          <t>17/03/2026</t>
        </is>
      </c>
      <c r="J1704" s="10" t="inlineStr">
        <is>
          <t>Ngành khác</t>
        </is>
      </c>
      <c r="K1704" s="10" t="inlineStr">
        <is>
          <t>N/A</t>
        </is>
      </c>
      <c r="L1704" s="11">
        <f>HYPERLINK("https://careerviet.vn/vi/tim-viec-lam/nhan-vien-cham-soc-canh-quan-khu-vuc-quan.35C6572D.html","Xem chi tiết")</f>
        <v/>
      </c>
      <c r="M1704" s="10" t="n"/>
    </row>
    <row r="1705">
      <c r="B1705" s="7" t="n">
        <v>1703</v>
      </c>
      <c r="C1705" t="inlineStr">
        <is>
          <t>Chuyên Gia Phát Triển Đầu Tư - (Level Manager - Senior Manager)</t>
        </is>
      </c>
      <c r="D1705" t="inlineStr">
        <is>
          <t>Công Ty Cổ Phần Tập Đoàn Đầu Tư Địa Ốc No Va</t>
        </is>
      </c>
      <c r="E1705" t="inlineStr">
        <is>
          <t>Lương:60 Tr - 100 Tr VND</t>
        </is>
      </c>
      <c r="F1705" t="inlineStr">
        <is>
          <t>Hồ Chí Minh</t>
        </is>
      </c>
      <c r="G1705" t="inlineStr">
        <is>
          <t>13-04-2026</t>
        </is>
      </c>
      <c r="H1705" t="inlineStr">
        <is>
          <t>13/04/2026</t>
        </is>
      </c>
      <c r="I1705" t="inlineStr">
        <is>
          <t>17/03/2026</t>
        </is>
      </c>
      <c r="J1705" t="inlineStr">
        <is>
          <t>Tài chính / Đầu tư, Ngân hàng, Bán hàng / Kinh doanh</t>
        </is>
      </c>
      <c r="K1705" t="inlineStr">
        <is>
          <t>8 - 15 Năm</t>
        </is>
      </c>
      <c r="L1705" s="8">
        <f>HYPERLINK("https://careerviet.vn/vi/tim-viec-lam/chuyen-gia-phat-trien-dau-tu-level-manager-senior-manager.35C6880B.html","Xem chi tiết")</f>
        <v/>
      </c>
    </row>
    <row r="1706">
      <c r="B1706" s="9" t="n">
        <v>1704</v>
      </c>
      <c r="C1706" s="10" t="inlineStr">
        <is>
          <t>Trưởng nhóm vận hành Tiktok</t>
        </is>
      </c>
      <c r="D1706" s="10" t="inlineStr">
        <is>
          <t>Công ty Cổ phần Thời Trang YODY</t>
        </is>
      </c>
      <c r="E1706" s="10" t="inlineStr">
        <is>
          <t>Lương:Cạnh tranh</t>
        </is>
      </c>
      <c r="F1706" s="10" t="inlineStr">
        <is>
          <t>Hà Nội</t>
        </is>
      </c>
      <c r="G1706" s="10" t="inlineStr">
        <is>
          <t>13-04-2026</t>
        </is>
      </c>
      <c r="H1706" s="10" t="inlineStr">
        <is>
          <t>13/04/2026</t>
        </is>
      </c>
      <c r="I1706" s="10" t="inlineStr">
        <is>
          <t>17/03/2026</t>
        </is>
      </c>
      <c r="J1706" s="10" t="inlineStr">
        <is>
          <t>Thương mại điện tử, Bán hàng / Kinh doanh, Tiếp thị / Marketing</t>
        </is>
      </c>
      <c r="K1706" s="10" t="inlineStr">
        <is>
          <t>3 - 4 Năm</t>
        </is>
      </c>
      <c r="L1706" s="11">
        <f>HYPERLINK("https://careerviet.vn/vi/tim-viec-lam/truong-nhom-van-hanh-tiktok.35C687CE.html","Xem chi tiết")</f>
        <v/>
      </c>
      <c r="M1706" s="10" t="n"/>
    </row>
    <row r="1707">
      <c r="B1707" s="7" t="n">
        <v>1705</v>
      </c>
      <c r="C1707" t="inlineStr">
        <is>
          <t>Giáo viên Tiểu học (Tân An - Buôn Ma Thuột) - Sau Tết đi làm</t>
        </is>
      </c>
      <c r="D1707" t="inlineStr">
        <is>
          <t>Công Ty CP Liên Kết Quốc Tế INTERLINK (Trường Liên Kết Quốc Tế INschool &amp; Ngoại Ngữ Quốc Tế INS ENGLISH &amp; CHINESE)</t>
        </is>
      </c>
      <c r="E1707" t="inlineStr">
        <is>
          <t>Lương:10 Tr - 15 Tr VND</t>
        </is>
      </c>
      <c r="F1707" t="inlineStr">
        <is>
          <t>Dak Lak</t>
        </is>
      </c>
      <c r="G1707" t="inlineStr">
        <is>
          <t>13-04-2026</t>
        </is>
      </c>
      <c r="H1707" t="inlineStr">
        <is>
          <t>13/04/2026</t>
        </is>
      </c>
      <c r="I1707" t="inlineStr">
        <is>
          <t>17/03/2026</t>
        </is>
      </c>
      <c r="J1707" t="inlineStr">
        <is>
          <t>Giáo dục / Đào tạo</t>
        </is>
      </c>
      <c r="K1707" t="inlineStr">
        <is>
          <t>Lên đến 1 Năm</t>
        </is>
      </c>
      <c r="L1707" s="8">
        <f>HYPERLINK("https://careerviet.vn/vi/tim-viec-lam/giao-vien-tieu-hoc-tan-an-buon-ma-thuot-sau-tet-di-lam.35C68885.html","Xem chi tiết")</f>
        <v/>
      </c>
    </row>
    <row r="1708">
      <c r="B1708" s="9" t="n">
        <v>1706</v>
      </c>
      <c r="C1708" s="10" t="inlineStr">
        <is>
          <t>Đại Diện Tiêu Thụ (Sales Representative) - Horeca - Nha Trang</t>
        </is>
      </c>
      <c r="D1708" s="10" t="inlineStr">
        <is>
          <t>HEINEKEN Vietnam</t>
        </is>
      </c>
      <c r="E1708" s="10" t="inlineStr">
        <is>
          <t>Lương:Cạnh tranh</t>
        </is>
      </c>
      <c r="F1708" s="10" t="inlineStr">
        <is>
          <t>Khánh Hòa</t>
        </is>
      </c>
      <c r="G1708" s="10" t="inlineStr">
        <is>
          <t>13-04-2026</t>
        </is>
      </c>
      <c r="H1708" s="10" t="inlineStr">
        <is>
          <t>13/04/2026</t>
        </is>
      </c>
      <c r="I1708" s="10" t="inlineStr">
        <is>
          <t>17/03/2026</t>
        </is>
      </c>
      <c r="J1708" s="10" t="inlineStr">
        <is>
          <t>Tiếp thị / Marketing, Bán lẻ / Bán sỉ, Bán hàng / Kinh doanh</t>
        </is>
      </c>
      <c r="K1708" s="10" t="inlineStr">
        <is>
          <t>1 - 2 Năm</t>
        </is>
      </c>
      <c r="L1708" s="11">
        <f>HYPERLINK("https://careerviet.vn/vi/tim-viec-lam/dai-dien-tieu-thu-sales-representative-horeca-nha-trang.35C655D5.html","Xem chi tiết")</f>
        <v/>
      </c>
      <c r="M1708" s="10" t="n"/>
    </row>
    <row r="1709">
      <c r="B1709" s="7" t="n">
        <v>1707</v>
      </c>
      <c r="C1709" t="inlineStr">
        <is>
          <t>Trưởng phòng nhân sự</t>
        </is>
      </c>
      <c r="D1709" t="inlineStr">
        <is>
          <t>Công Ty Cổ Phần Thiết Kế Và Xây Dựng Giza Việt Nam</t>
        </is>
      </c>
      <c r="E1709" t="inlineStr">
        <is>
          <t>Lương:Cạnh tranh</t>
        </is>
      </c>
      <c r="F1709" t="inlineStr">
        <is>
          <t>Hà Nội</t>
        </is>
      </c>
      <c r="G1709" t="inlineStr">
        <is>
          <t>13-04-2026</t>
        </is>
      </c>
      <c r="H1709" t="inlineStr">
        <is>
          <t>13/04/2026</t>
        </is>
      </c>
      <c r="I1709" t="inlineStr">
        <is>
          <t>17/03/2026</t>
        </is>
      </c>
      <c r="J1709" t="inlineStr">
        <is>
          <t>Nhân sự</t>
        </is>
      </c>
      <c r="K1709" t="inlineStr">
        <is>
          <t>Chưa có kinh nghiệm</t>
        </is>
      </c>
      <c r="L1709" s="8">
        <f>HYPERLINK("https://careerviet.vn/vi/tim-viec-lam/truong-phong-nhan-su.35C65570.html","Xem chi tiết")</f>
        <v/>
      </c>
    </row>
    <row r="1710">
      <c r="B1710" s="9" t="n">
        <v>1708</v>
      </c>
      <c r="C1710" s="10" t="inlineStr">
        <is>
          <t>Nhân viên kinh doanh</t>
        </is>
      </c>
      <c r="D1710" s="10" t="inlineStr">
        <is>
          <t>Bảo mật</t>
        </is>
      </c>
      <c r="E1710" s="10" t="inlineStr">
        <is>
          <t>Lương:Cạnh tranh</t>
        </is>
      </c>
      <c r="F1710" s="10" t="inlineStr">
        <is>
          <t>Hà Nội</t>
        </is>
      </c>
      <c r="G1710" s="10" t="inlineStr">
        <is>
          <t>12-04-2026</t>
        </is>
      </c>
      <c r="H1710" s="10" t="inlineStr">
        <is>
          <t>12/04/2026</t>
        </is>
      </c>
      <c r="I1710" s="10" t="inlineStr">
        <is>
          <t>17/03/2026</t>
        </is>
      </c>
      <c r="J1710" s="10" t="inlineStr">
        <is>
          <t>Bán lẻ / Bán sỉ, Bán hàng / Kinh doanh, Thương mại điện tử</t>
        </is>
      </c>
      <c r="K1710" s="10" t="inlineStr">
        <is>
          <t>1 - 2 Năm</t>
        </is>
      </c>
      <c r="L1710" s="11">
        <f>HYPERLINK("https://careerviet.vn/vi/tim-viec-lam/nhan-vien-kinh-doanh.35C687AE.html","Xem chi tiết")</f>
        <v/>
      </c>
      <c r="M1710" s="10" t="n"/>
    </row>
    <row r="1711">
      <c r="B1711" s="7" t="n">
        <v>1709</v>
      </c>
      <c r="C1711" t="inlineStr">
        <is>
          <t>QC Inspection - Nhân viên Kiểm soát Chất lượng Công Trình</t>
        </is>
      </c>
      <c r="D1711" t="inlineStr">
        <is>
          <t>ATAD Steel Structure Corporation</t>
        </is>
      </c>
      <c r="E1711" t="inlineStr">
        <is>
          <t>Lương:Cạnh tranh</t>
        </is>
      </c>
      <c r="F1711" t="inlineStr">
        <is>
          <t>Hà NộiKiên GiangHải Phòng</t>
        </is>
      </c>
      <c r="G1711" t="inlineStr">
        <is>
          <t>13-04-2026</t>
        </is>
      </c>
      <c r="H1711" t="inlineStr">
        <is>
          <t>13/04/2026</t>
        </is>
      </c>
      <c r="I1711" t="inlineStr">
        <is>
          <t>17/03/2026</t>
        </is>
      </c>
      <c r="J1711" t="inlineStr">
        <is>
          <t>Xây dựng, Quản lý chất lượng (QA/QC), Cơ khí / Ô tô / Tự động hóa</t>
        </is>
      </c>
      <c r="K1711" t="inlineStr">
        <is>
          <t>1 - 3 Năm</t>
        </is>
      </c>
      <c r="L1711" s="8">
        <f>HYPERLINK("https://careerviet.vn/vi/tim-viec-lam/qc-inspection-nhan-vien-kiem-soat-chat-luong-cong-trinh.35C68852.html","Xem chi tiết")</f>
        <v/>
      </c>
    </row>
    <row r="1712">
      <c r="B1712" s="9" t="n">
        <v>1710</v>
      </c>
      <c r="C1712" s="10" t="inlineStr">
        <is>
          <t>CHUYÊN VIÊN KẾ  TOÁN CÓ KINH NGHIỆM</t>
        </is>
      </c>
      <c r="D1712" s="10" t="inlineStr">
        <is>
          <t>CÔNG TY TNHH SẢN XUẤT GREAT LOTUS VIỆT NAM</t>
        </is>
      </c>
      <c r="E1712" s="10" t="inlineStr">
        <is>
          <t>Lương:Cạnh tranh</t>
        </is>
      </c>
      <c r="F1712" s="10" t="inlineStr">
        <is>
          <t>Hồ Chí Minh</t>
        </is>
      </c>
      <c r="G1712" s="10" t="inlineStr">
        <is>
          <t>13-04-2026</t>
        </is>
      </c>
      <c r="H1712" s="10" t="inlineStr">
        <is>
          <t>13/04/2026</t>
        </is>
      </c>
      <c r="I1712" s="10" t="inlineStr">
        <is>
          <t>17/03/2026</t>
        </is>
      </c>
      <c r="J1712" s="10" t="inlineStr">
        <is>
          <t>Kế toán / Kiểm toán, Sản xuất / Vận hành sản xuất</t>
        </is>
      </c>
      <c r="K1712" s="10" t="inlineStr">
        <is>
          <t>N/A</t>
        </is>
      </c>
      <c r="L1712" s="11">
        <f>HYPERLINK("https://careerviet.vn/vi/tim-viec-lam/chuyen-vien-ke-toan-co-kinh-nghiem.35C687D9.html","Xem chi tiết")</f>
        <v/>
      </c>
      <c r="M1712" s="10" t="n"/>
    </row>
    <row r="1713">
      <c r="B1713" s="7" t="n">
        <v>1711</v>
      </c>
      <c r="C1713" t="inlineStr">
        <is>
          <t>Chuyên gia Cao cấp Tuân thủ và Đảm bảo (Techcom Life)</t>
        </is>
      </c>
      <c r="D1713" t="inlineStr">
        <is>
          <t>NGÂN HÀNG TMCP KỸ THƯƠNG VIỆT NAM (TECHCOMBANK)</t>
        </is>
      </c>
      <c r="E1713" t="inlineStr">
        <is>
          <t>Lương:Cạnh tranh</t>
        </is>
      </c>
      <c r="F1713" t="inlineStr">
        <is>
          <t>Hà Nội</t>
        </is>
      </c>
      <c r="G1713" t="inlineStr">
        <is>
          <t>13-04-2026</t>
        </is>
      </c>
      <c r="H1713" t="inlineStr">
        <is>
          <t>13/04/2026</t>
        </is>
      </c>
      <c r="I1713" t="inlineStr">
        <is>
          <t>17/03/2026</t>
        </is>
      </c>
      <c r="J1713" t="inlineStr">
        <is>
          <t>Ngân hàng, Tài chính / Đầu tư, Luật / Pháp lý</t>
        </is>
      </c>
      <c r="K1713" t="inlineStr">
        <is>
          <t>Trên 12 Năm</t>
        </is>
      </c>
      <c r="L1713" s="8">
        <f>HYPERLINK("https://careerviet.vn/vi/tim-viec-lam/chuyen-gia-cao-cap-tuan-thu-va-dam-bao-techcom-life.35C6894F.html","Xem chi tiết")</f>
        <v/>
      </c>
    </row>
    <row r="1714">
      <c r="B1714" s="9" t="n">
        <v>1712</v>
      </c>
      <c r="C1714" s="10" t="inlineStr">
        <is>
          <t>NHÂN VIÊN VẼ KỸ THUẬT</t>
        </is>
      </c>
      <c r="D1714" s="10" t="inlineStr">
        <is>
          <t>TRAN DUC CORPORATION - CÔNG TY CỔ PHẦN TRẦN ĐỨC</t>
        </is>
      </c>
      <c r="E1714" s="10" t="inlineStr">
        <is>
          <t>Lương:Cạnh tranh</t>
        </is>
      </c>
      <c r="F1714" s="10" t="inlineStr">
        <is>
          <t>Bình Dương</t>
        </is>
      </c>
      <c r="G1714" s="10" t="inlineStr">
        <is>
          <t>13-04-2026</t>
        </is>
      </c>
      <c r="H1714" s="10" t="inlineStr">
        <is>
          <t>13/04/2026</t>
        </is>
      </c>
      <c r="I1714" s="10" t="inlineStr">
        <is>
          <t>17/03/2026</t>
        </is>
      </c>
      <c r="J1714" s="10" t="inlineStr">
        <is>
          <t>Mỹ thuật / Nghệ thuật / Thiết kế, Đồ gỗ, Nội ngoại thất</t>
        </is>
      </c>
      <c r="K1714" s="10" t="inlineStr">
        <is>
          <t>N/A</t>
        </is>
      </c>
      <c r="L1714" s="11">
        <f>HYPERLINK("https://careerviet.vn/vi/tim-viec-lam/nhan-vien-ve-ky-thuat.35C65756.html","Xem chi tiết")</f>
        <v/>
      </c>
      <c r="M1714" s="10" t="n"/>
    </row>
    <row r="1715">
      <c r="B1715" s="7" t="n">
        <v>1713</v>
      </c>
      <c r="C1715" t="inlineStr">
        <is>
          <t>Construction Supervisor (Steel Structure) - Giám Sát Thi Công Kết Cấu Thép</t>
        </is>
      </c>
      <c r="D1715" t="inlineStr">
        <is>
          <t>ATAD Steel Structure Corporation</t>
        </is>
      </c>
      <c r="E1715" t="inlineStr">
        <is>
          <t>Lương:Cạnh tranh</t>
        </is>
      </c>
      <c r="F1715" t="inlineStr">
        <is>
          <t>Hà NộiHưng YênHồ Chí Minh</t>
        </is>
      </c>
      <c r="G1715" t="inlineStr">
        <is>
          <t>13-04-2026</t>
        </is>
      </c>
      <c r="H1715" t="inlineStr">
        <is>
          <t>13/04/2026</t>
        </is>
      </c>
      <c r="I1715" t="inlineStr">
        <is>
          <t>17/03/2026</t>
        </is>
      </c>
      <c r="J1715" t="inlineStr">
        <is>
          <t>Xây dựng, Kiến trúc, Cơ khí / Ô tô / Tự động hóa</t>
        </is>
      </c>
      <c r="K1715" t="inlineStr">
        <is>
          <t>1 - 2 Năm</t>
        </is>
      </c>
      <c r="L1715" s="8">
        <f>HYPERLINK("https://careerviet.vn/vi/tim-viec-lam/construction-supervisor-steel-structure-giam-sat-thi-cong-ket-cau-thep.35C68877.html","Xem chi tiết")</f>
        <v/>
      </c>
    </row>
    <row r="1716">
      <c r="B1716" s="9" t="n">
        <v>1714</v>
      </c>
      <c r="C1716" s="10" t="inlineStr">
        <is>
          <t>Key Account Manager (Lĩnh Vực Fulfillment)</t>
        </is>
      </c>
      <c r="D1716" s="10" t="inlineStr">
        <is>
          <t>CÔNG TY TNHH GIP GROUP</t>
        </is>
      </c>
      <c r="E1716" s="10" t="inlineStr">
        <is>
          <t>Lương:30 Tr - 40 Tr VND</t>
        </is>
      </c>
      <c r="F1716" s="10" t="inlineStr">
        <is>
          <t>Hà Nội</t>
        </is>
      </c>
      <c r="G1716" s="10" t="inlineStr">
        <is>
          <t>13-04-2026</t>
        </is>
      </c>
      <c r="H1716" s="10" t="inlineStr">
        <is>
          <t>13/04/2026</t>
        </is>
      </c>
      <c r="I1716" s="10" t="inlineStr">
        <is>
          <t>17/03/2026</t>
        </is>
      </c>
      <c r="J1716" s="10" t="inlineStr">
        <is>
          <t>Dịch vụ khách hàng, Vận chuyển / Giao nhận / Kho vận, Xuất nhập khẩu</t>
        </is>
      </c>
      <c r="K1716" s="10" t="inlineStr">
        <is>
          <t>2 - 5 Năm</t>
        </is>
      </c>
      <c r="L1716" s="11">
        <f>HYPERLINK("https://careerviet.vn/vi/tim-viec-lam/key-account-manager-linh-vuc-fulfillment.35C688BF.html","Xem chi tiết")</f>
        <v/>
      </c>
      <c r="M1716" s="10" t="n"/>
    </row>
    <row r="1717">
      <c r="B1717" s="7" t="n">
        <v>1715</v>
      </c>
      <c r="C1717" t="inlineStr">
        <is>
          <t>127516 - Japanese Speaking - Secretary - Law Firm</t>
        </is>
      </c>
      <c r="D1717" t="inlineStr">
        <is>
          <t>RGF HR Agent Vietnam Co., LTD</t>
        </is>
      </c>
      <c r="E1717" t="inlineStr">
        <is>
          <t>Lương:Cạnh tranh</t>
        </is>
      </c>
      <c r="F1717" t="inlineStr">
        <is>
          <t>Hà Nội</t>
        </is>
      </c>
      <c r="G1717" t="inlineStr">
        <is>
          <t>13-04-2026</t>
        </is>
      </c>
      <c r="H1717" t="inlineStr">
        <is>
          <t>13/04/2026</t>
        </is>
      </c>
      <c r="I1717" t="inlineStr">
        <is>
          <t>17/03/2026</t>
        </is>
      </c>
      <c r="J1717" t="inlineStr">
        <is>
          <t>Hành chính / Thư ký, Luật / Pháp lý</t>
        </is>
      </c>
      <c r="K1717" t="inlineStr">
        <is>
          <t>Trên 3 Năm</t>
        </is>
      </c>
      <c r="L1717" s="8">
        <f>HYPERLINK("https://careerviet.vn/vi/tim-viec-lam/127516-japanese-speaking-secretary-law-firm.35C68815.html","Xem chi tiết")</f>
        <v/>
      </c>
    </row>
    <row r="1718">
      <c r="B1718" s="9" t="n">
        <v>1716</v>
      </c>
      <c r="C1718" s="10" t="inlineStr">
        <is>
          <t>Chuyên viên phát triển sản phẩm</t>
        </is>
      </c>
      <c r="D1718" s="10" t="inlineStr">
        <is>
          <t>Công ty TNHH PNK</t>
        </is>
      </c>
      <c r="E1718" s="10" t="inlineStr">
        <is>
          <t>Lương:Cạnh tranh</t>
        </is>
      </c>
      <c r="F1718" s="10" t="inlineStr">
        <is>
          <t>Hà Nội</t>
        </is>
      </c>
      <c r="G1718" s="10" t="inlineStr">
        <is>
          <t>13-04-2026</t>
        </is>
      </c>
      <c r="H1718" s="10" t="inlineStr">
        <is>
          <t>13/04/2026</t>
        </is>
      </c>
      <c r="I1718" s="10" t="inlineStr">
        <is>
          <t>17/03/2026</t>
        </is>
      </c>
      <c r="J1718" s="10" t="inlineStr">
        <is>
          <t>Điện / Điện tử / Điện lạnh / Điện công nghiệp, CNTT - Phần mềm, Thu mua / Vật tư</t>
        </is>
      </c>
      <c r="K1718" s="10" t="inlineStr">
        <is>
          <t>3 - 5 Năm</t>
        </is>
      </c>
      <c r="L1718" s="11">
        <f>HYPERLINK("https://careerviet.vn/vi/tim-viec-lam/chuyen-vien-phat-trien-san-pham.35C65763.html","Xem chi tiết")</f>
        <v/>
      </c>
      <c r="M1718" s="10" t="n"/>
    </row>
    <row r="1719">
      <c r="B1719" s="7" t="n">
        <v>1717</v>
      </c>
      <c r="C1719" t="inlineStr">
        <is>
          <t>GIÁM SÁT HỌC THUẬT (ACADEMIC SUPERVISOR)</t>
        </is>
      </c>
      <c r="D1719" t="inlineStr">
        <is>
          <t>Công ty TNHH MTV Giáo Dục Việt Mỹ</t>
        </is>
      </c>
      <c r="E1719" t="inlineStr">
        <is>
          <t>Lương:10 Tr - 15 Tr VND</t>
        </is>
      </c>
      <c r="F1719" t="inlineStr">
        <is>
          <t>Đồng Nai</t>
        </is>
      </c>
      <c r="G1719" t="inlineStr">
        <is>
          <t>13-04-2026</t>
        </is>
      </c>
      <c r="H1719" t="inlineStr">
        <is>
          <t>13/04/2026</t>
        </is>
      </c>
      <c r="I1719" t="inlineStr">
        <is>
          <t>17/03/2026</t>
        </is>
      </c>
      <c r="J1719" t="inlineStr">
        <is>
          <t>Giáo dục / Đào tạo, Biên phiên dịch</t>
        </is>
      </c>
      <c r="K1719" t="inlineStr">
        <is>
          <t>1 - 3 Năm</t>
        </is>
      </c>
      <c r="L1719" s="8">
        <f>HYPERLINK("https://careerviet.vn/vi/tim-viec-lam/giam-sat-hoc-thuat-academic-supervisor.35C68870.html","Xem chi tiết")</f>
        <v/>
      </c>
    </row>
    <row r="1720">
      <c r="B1720" s="9" t="n">
        <v>1718</v>
      </c>
      <c r="C1720" s="10" t="inlineStr">
        <is>
          <t>Kỹ Sư Bán Hàng</t>
        </is>
      </c>
      <c r="D1720" s="10" t="inlineStr">
        <is>
          <t>Công ty TNHH Công nghiệp AMT Vina</t>
        </is>
      </c>
      <c r="E1720" s="10" t="inlineStr">
        <is>
          <t>Lương:Cạnh tranh</t>
        </is>
      </c>
      <c r="F1720" s="10" t="inlineStr">
        <is>
          <t>Hà Nội</t>
        </is>
      </c>
      <c r="G1720" s="10" t="inlineStr">
        <is>
          <t>13-04-2026</t>
        </is>
      </c>
      <c r="H1720" s="10" t="inlineStr">
        <is>
          <t>13/04/2026</t>
        </is>
      </c>
      <c r="I1720" s="10" t="inlineStr">
        <is>
          <t>17/03/2026</t>
        </is>
      </c>
      <c r="J1720" s="10" t="inlineStr">
        <is>
          <t>Bán Hàng Kỹ Thuật, Bán hàng / Kinh doanh, Cơ khí / Ô tô / Tự động hóa</t>
        </is>
      </c>
      <c r="K1720" s="10" t="inlineStr">
        <is>
          <t>Trên 1 Năm</t>
        </is>
      </c>
      <c r="L1720" s="11">
        <f>HYPERLINK("https://careerviet.vn/vi/tim-viec-lam/ky-su-ban-hang.35C68893.html","Xem chi tiết")</f>
        <v/>
      </c>
      <c r="M1720" s="10" t="n"/>
    </row>
    <row r="1721">
      <c r="B1721" s="7" t="n">
        <v>1719</v>
      </c>
      <c r="C1721" t="inlineStr">
        <is>
          <t>127474 - Kỹ sư điện - ngành Sản xuất</t>
        </is>
      </c>
      <c r="D1721" t="inlineStr">
        <is>
          <t>RGF HR Agent Vietnam Co., LTD</t>
        </is>
      </c>
      <c r="E1721" t="inlineStr">
        <is>
          <t>Lương:13 Tr - 20 Tr VND</t>
        </is>
      </c>
      <c r="F1721" t="inlineStr">
        <is>
          <t>Hà Nội</t>
        </is>
      </c>
      <c r="G1721" t="inlineStr">
        <is>
          <t>13-04-2026</t>
        </is>
      </c>
      <c r="H1721" t="inlineStr">
        <is>
          <t>13/04/2026</t>
        </is>
      </c>
      <c r="I1721" t="inlineStr">
        <is>
          <t>17/03/2026</t>
        </is>
      </c>
      <c r="J1721" t="inlineStr">
        <is>
          <t>Điện / Điện tử / Điện lạnh / Điện công nghiệp</t>
        </is>
      </c>
      <c r="K1721" t="inlineStr">
        <is>
          <t>Trên 3 Năm</t>
        </is>
      </c>
      <c r="L1721" s="8">
        <f>HYPERLINK("https://careerviet.vn/vi/tim-viec-lam/127474-ky-su-dien-nganh-san-xuat.35C6889A.html","Xem chi tiết")</f>
        <v/>
      </c>
    </row>
    <row r="1722">
      <c r="B1722" s="9" t="n">
        <v>1720</v>
      </c>
      <c r="C1722" s="10" t="inlineStr">
        <is>
          <t>Tổ Trưởng Sản Xuất</t>
        </is>
      </c>
      <c r="D1722" s="10" t="inlineStr">
        <is>
          <t>Công ty TNHH LONG UYÊN</t>
        </is>
      </c>
      <c r="E1722" s="10" t="inlineStr">
        <is>
          <t>Lương:Cạnh tranh</t>
        </is>
      </c>
      <c r="F1722" s="10" t="inlineStr">
        <is>
          <t>Đồng Tháp</t>
        </is>
      </c>
      <c r="G1722" s="10" t="inlineStr">
        <is>
          <t>13-04-2026</t>
        </is>
      </c>
      <c r="H1722" s="10" t="inlineStr">
        <is>
          <t>13/04/2026</t>
        </is>
      </c>
      <c r="I1722" s="10" t="inlineStr">
        <is>
          <t>17/03/2026</t>
        </is>
      </c>
      <c r="J1722" s="10" t="inlineStr">
        <is>
          <t>Sản xuất / Vận hành sản xuất, Quản lý điều hành, An toàn lao động</t>
        </is>
      </c>
      <c r="K1722" s="10" t="inlineStr">
        <is>
          <t>N/A</t>
        </is>
      </c>
      <c r="L1722" s="11">
        <f>HYPERLINK("https://careerviet.vn/vi/tim-viec-lam/to-truong-san-xuat.35C68959.html","Xem chi tiết")</f>
        <v/>
      </c>
      <c r="M1722" s="10" t="n"/>
    </row>
    <row r="1723">
      <c r="B1723" s="7" t="n">
        <v>1721</v>
      </c>
      <c r="C1723" t="inlineStr">
        <is>
          <t>Nhân viên Marketing</t>
        </is>
      </c>
      <c r="D1723" t="inlineStr">
        <is>
          <t>CÔNG TY TNHH JP NELSON EQUIPMENT VIỆT NAM</t>
        </is>
      </c>
      <c r="E1723" t="inlineStr">
        <is>
          <t>Lương:10 Tr - 15 Tr VND</t>
        </is>
      </c>
      <c r="F1723" t="inlineStr">
        <is>
          <t>Đồng Nai</t>
        </is>
      </c>
      <c r="G1723" t="inlineStr">
        <is>
          <t>13-04-2026</t>
        </is>
      </c>
      <c r="H1723" t="inlineStr">
        <is>
          <t>13/04/2026</t>
        </is>
      </c>
      <c r="I1723" t="inlineStr">
        <is>
          <t>17/03/2026</t>
        </is>
      </c>
      <c r="J1723" t="inlineStr">
        <is>
          <t>Tiếp thị / Marketing, Bán hàng / Kinh doanh, Bán Hàng Kỹ Thuật</t>
        </is>
      </c>
      <c r="K1723" t="inlineStr">
        <is>
          <t>Chưa có kinh nghiệm</t>
        </is>
      </c>
      <c r="L1723" s="8">
        <f>HYPERLINK("https://careerviet.vn/vi/tim-viec-lam/nhan-vien-marketing.35C688B8.html","Xem chi tiết")</f>
        <v/>
      </c>
    </row>
    <row r="1724">
      <c r="B1724" s="9" t="n">
        <v>1722</v>
      </c>
      <c r="C1724" s="10" t="inlineStr">
        <is>
          <t>Nhân Viên Chăm Sóc Thầu Thợ Xây Dựng (Miền Tây)</t>
        </is>
      </c>
      <c r="D1724" s="10" t="inlineStr">
        <is>
          <t>Saint-Gobain Vietnam</t>
        </is>
      </c>
      <c r="E1724" s="10" t="inlineStr">
        <is>
          <t>Lương:Cạnh tranh</t>
        </is>
      </c>
      <c r="F1724" s="10" t="inlineStr">
        <is>
          <t>Cà MauKiên Giang</t>
        </is>
      </c>
      <c r="G1724" s="10" t="inlineStr">
        <is>
          <t>13-04-2026</t>
        </is>
      </c>
      <c r="H1724" s="10" t="inlineStr">
        <is>
          <t>13/04/2026</t>
        </is>
      </c>
      <c r="I1724" s="10" t="inlineStr">
        <is>
          <t>17/03/2026</t>
        </is>
      </c>
      <c r="J1724" s="10" t="inlineStr">
        <is>
          <t>Bán lẻ / Bán sỉ, Bán hàng / Kinh doanh, Tư vấn</t>
        </is>
      </c>
      <c r="K1724" s="10" t="inlineStr">
        <is>
          <t>3 - 5 Năm</t>
        </is>
      </c>
      <c r="L1724" s="11">
        <f>HYPERLINK("https://careerviet.vn/vi/tim-viec-lam/nhan-vien-cham-soc-thau-tho-xay-dung-mien-tay.35C68889.html","Xem chi tiết")</f>
        <v/>
      </c>
      <c r="M1724" s="10" t="n"/>
    </row>
    <row r="1725">
      <c r="B1725" s="7" t="n">
        <v>1723</v>
      </c>
      <c r="C1725" t="inlineStr">
        <is>
          <t>Sales Project</t>
        </is>
      </c>
      <c r="D1725" t="inlineStr">
        <is>
          <t>CÔNG TY TNHH JP NELSON EQUIPMENT VIỆT NAM</t>
        </is>
      </c>
      <c r="E1725" t="inlineStr">
        <is>
          <t>Lương:10 Tr - 20 Tr VND</t>
        </is>
      </c>
      <c r="F1725" t="inlineStr">
        <is>
          <t>Đồng Nai</t>
        </is>
      </c>
      <c r="G1725" t="inlineStr">
        <is>
          <t>13-04-2026</t>
        </is>
      </c>
      <c r="H1725" t="inlineStr">
        <is>
          <t>13/04/2026</t>
        </is>
      </c>
      <c r="I1725" t="inlineStr">
        <is>
          <t>17/03/2026</t>
        </is>
      </c>
      <c r="J1725" t="inlineStr">
        <is>
          <t>Bán hàng / Kinh doanh, Cơ khí / Ô tô / Tự động hóa, Xây dựng</t>
        </is>
      </c>
      <c r="K1725" t="inlineStr">
        <is>
          <t>N/A</t>
        </is>
      </c>
      <c r="L1725" s="8">
        <f>HYPERLINK("https://careerviet.vn/vi/tim-viec-lam/sales-project.35C688AA.html","Xem chi tiết")</f>
        <v/>
      </c>
    </row>
    <row r="1726">
      <c r="B1726" s="9" t="n">
        <v>1724</v>
      </c>
      <c r="C1726" s="10" t="inlineStr">
        <is>
          <t>Nhân Viên Phiên Dịch Hiện Trường Tiếng Trung</t>
        </is>
      </c>
      <c r="D1726" s="10" t="inlineStr">
        <is>
          <t>Công ty TNHH Worldon (Việt Nam)</t>
        </is>
      </c>
      <c r="E1726" s="10" t="inlineStr">
        <is>
          <t>Lương:Cạnh tranh</t>
        </is>
      </c>
      <c r="F1726" s="10" t="inlineStr">
        <is>
          <t>Hồ Chí Minh</t>
        </is>
      </c>
      <c r="G1726" s="10" t="inlineStr">
        <is>
          <t>13-04-2026</t>
        </is>
      </c>
      <c r="H1726" s="10" t="inlineStr">
        <is>
          <t>13/04/2026</t>
        </is>
      </c>
      <c r="I1726" s="10" t="inlineStr">
        <is>
          <t>17/03/2026</t>
        </is>
      </c>
      <c r="J1726" s="10" t="inlineStr">
        <is>
          <t>Hành chính / Thư ký, Sản xuất / Vận hành sản xuất, Biên phiên dịch</t>
        </is>
      </c>
      <c r="K1726" s="10" t="inlineStr">
        <is>
          <t>N/A</t>
        </is>
      </c>
      <c r="L1726" s="11">
        <f>HYPERLINK("https://careerviet.vn/vi/tim-viec-lam/nhan-vien-phien-dich-hien-truong-tieng-trung.35C6891D.html","Xem chi tiết")</f>
        <v/>
      </c>
      <c r="M1726" s="10" t="n"/>
    </row>
    <row r="1727">
      <c r="B1727" s="7" t="n">
        <v>1725</v>
      </c>
      <c r="C1727" t="inlineStr">
        <is>
          <t>127742 - Phó Phòng Cho thuê – ngành Bất động sản</t>
        </is>
      </c>
      <c r="D1727" t="inlineStr">
        <is>
          <t>RGF HR Agent Vietnam Co., LTD</t>
        </is>
      </c>
      <c r="E1727" t="inlineStr">
        <is>
          <t>Lương:60 Tr - 65 Tr VND</t>
        </is>
      </c>
      <c r="F1727" t="inlineStr">
        <is>
          <t>Hà Nội</t>
        </is>
      </c>
      <c r="G1727" t="inlineStr">
        <is>
          <t>13-04-2026</t>
        </is>
      </c>
      <c r="H1727" t="inlineStr">
        <is>
          <t>13/04/2026</t>
        </is>
      </c>
      <c r="I1727" t="inlineStr">
        <is>
          <t>17/03/2026</t>
        </is>
      </c>
      <c r="J1727" t="inlineStr">
        <is>
          <t>Bất động sản</t>
        </is>
      </c>
      <c r="K1727" t="inlineStr">
        <is>
          <t>Trên 5 Năm</t>
        </is>
      </c>
      <c r="L1727" s="8">
        <f>HYPERLINK("https://careerviet.vn/vi/tim-viec-lam/127742-pho-phong-cho-thue-nganh-bat-dong-san.35C687E0.html","Xem chi tiết")</f>
        <v/>
      </c>
    </row>
    <row r="1728">
      <c r="B1728" s="9" t="n">
        <v>1726</v>
      </c>
      <c r="C1728" s="10" t="inlineStr">
        <is>
          <t>Chuyên Viên Kinh Doanh</t>
        </is>
      </c>
      <c r="D1728" s="10" t="inlineStr">
        <is>
          <t>CÔNG TY TNHH HARICO GLOBAL</t>
        </is>
      </c>
      <c r="E1728" s="10" t="inlineStr">
        <is>
          <t>Lương:18 Tr - 30 Tr VND</t>
        </is>
      </c>
      <c r="F1728" s="10" t="inlineStr">
        <is>
          <t>Hà Nội</t>
        </is>
      </c>
      <c r="G1728" s="10" t="inlineStr">
        <is>
          <t>13-04-2026</t>
        </is>
      </c>
      <c r="H1728" s="10" t="inlineStr">
        <is>
          <t>13/04/2026</t>
        </is>
      </c>
      <c r="I1728" s="10" t="inlineStr">
        <is>
          <t>17/03/2026</t>
        </is>
      </c>
      <c r="J1728" s="10" t="inlineStr">
        <is>
          <t>Bán hàng / Kinh doanh, Y tế / Chăm sóc sức khỏe / Thẩm mỹ / Làm đẹp, Tiếp thị / Marketing</t>
        </is>
      </c>
      <c r="K1728" s="10" t="inlineStr">
        <is>
          <t>Trên 2 Năm</t>
        </is>
      </c>
      <c r="L1728" s="11">
        <f>HYPERLINK("https://careerviet.vn/vi/tim-viec-lam/chuyen-vien-kinh-doanh.35C68830.html","Xem chi tiết")</f>
        <v/>
      </c>
      <c r="M1728" s="10" t="n"/>
    </row>
    <row r="1729">
      <c r="B1729" s="7" t="n">
        <v>1727</v>
      </c>
      <c r="C1729" t="inlineStr">
        <is>
          <t>Nhân Viên QA</t>
        </is>
      </c>
      <c r="D1729" t="inlineStr">
        <is>
          <t>Công ty TNHH LONG UYÊN</t>
        </is>
      </c>
      <c r="E1729" t="inlineStr">
        <is>
          <t>Lương:Cạnh tranh</t>
        </is>
      </c>
      <c r="F1729" t="inlineStr">
        <is>
          <t>Đồng Tháp</t>
        </is>
      </c>
      <c r="G1729" t="inlineStr">
        <is>
          <t>13-04-2026</t>
        </is>
      </c>
      <c r="H1729" t="inlineStr">
        <is>
          <t>13/04/2026</t>
        </is>
      </c>
      <c r="I1729" t="inlineStr">
        <is>
          <t>17/03/2026</t>
        </is>
      </c>
      <c r="J1729" t="inlineStr">
        <is>
          <t>Quản lý chất lượng (QA/QC), Sản xuất / Vận hành sản xuất, Ngành khác</t>
        </is>
      </c>
      <c r="K1729" t="inlineStr">
        <is>
          <t>1 - 3 Năm</t>
        </is>
      </c>
      <c r="L1729" s="8">
        <f>HYPERLINK("https://careerviet.vn/vi/tim-viec-lam/nhan-vien-qa.35C68955.html","Xem chi tiết")</f>
        <v/>
      </c>
    </row>
    <row r="1730">
      <c r="B1730" s="9" t="n">
        <v>1728</v>
      </c>
      <c r="C1730" s="10" t="inlineStr">
        <is>
          <t>CV/CVC/CVCC Quản Lý Rủi Ro Hoạt Động (Hà Đông)</t>
        </is>
      </c>
      <c r="D1730" s="10" t="inlineStr">
        <is>
          <t>Ngân hàng TMCP Việt Á – VietABank</t>
        </is>
      </c>
      <c r="E1730" s="10" t="inlineStr">
        <is>
          <t>Lương:Cạnh tranh</t>
        </is>
      </c>
      <c r="F1730" s="10" t="inlineStr">
        <is>
          <t>Hà Nội</t>
        </is>
      </c>
      <c r="G1730" s="10" t="inlineStr">
        <is>
          <t>13-04-2026</t>
        </is>
      </c>
      <c r="H1730" s="10" t="inlineStr">
        <is>
          <t>13/04/2026</t>
        </is>
      </c>
      <c r="I1730" s="10" t="inlineStr">
        <is>
          <t>17/03/2026</t>
        </is>
      </c>
      <c r="J1730" s="10" t="inlineStr">
        <is>
          <t>Ngân hàng</t>
        </is>
      </c>
      <c r="K1730" s="10" t="inlineStr">
        <is>
          <t>2 - 5 Năm</t>
        </is>
      </c>
      <c r="L1730" s="11">
        <f>HYPERLINK("https://careerviet.vn/vi/tim-viec-lam/cv-cvc-cvcc-quan-ly-rui-ro-hoat-dong-ha-dong.35C65708.html","Xem chi tiết")</f>
        <v/>
      </c>
      <c r="M1730" s="10" t="n"/>
    </row>
    <row r="1731">
      <c r="B1731" s="7" t="n">
        <v>1729</v>
      </c>
      <c r="C1731" t="inlineStr">
        <is>
          <t>Giám đốc Kinh doanh &amp; Marketing (lĩnh vực Edtech)</t>
        </is>
      </c>
      <c r="D1731" t="inlineStr">
        <is>
          <t>Công ty Cổ phần Masscom Việt Nam</t>
        </is>
      </c>
      <c r="E1731" t="inlineStr">
        <is>
          <t>Lương:20 Tr - 35 Tr VND</t>
        </is>
      </c>
      <c r="F1731" t="inlineStr">
        <is>
          <t>Hà Nội</t>
        </is>
      </c>
      <c r="G1731" t="inlineStr">
        <is>
          <t>13-04-2026</t>
        </is>
      </c>
      <c r="H1731" t="inlineStr">
        <is>
          <t>13/04/2026</t>
        </is>
      </c>
      <c r="I1731" t="inlineStr">
        <is>
          <t>17/03/2026</t>
        </is>
      </c>
      <c r="J1731" t="inlineStr">
        <is>
          <t>Tiếp thị / Marketing, Bán hàng / Kinh doanh, Giáo dục / Đào tạo</t>
        </is>
      </c>
      <c r="K1731" t="inlineStr">
        <is>
          <t>3 - 5 Năm</t>
        </is>
      </c>
      <c r="L1731" s="8">
        <f>HYPERLINK("https://careerviet.vn/vi/tim-viec-lam/giam-doc-kinh-doanh-marketing-linh-vuc-edtech.35C687C8.html","Xem chi tiết")</f>
        <v/>
      </c>
    </row>
    <row r="1732">
      <c r="B1732" s="9" t="n">
        <v>1730</v>
      </c>
      <c r="C1732" s="10" t="inlineStr">
        <is>
          <t>NHÂN VIÊN KỸ THUẬT BẢO TRÌ</t>
        </is>
      </c>
      <c r="D1732" s="10" t="inlineStr">
        <is>
          <t>CÔNG TY TNHH THANG MÁY TOSHIBA VIỆT NAM</t>
        </is>
      </c>
      <c r="E1732" s="10" t="inlineStr">
        <is>
          <t>Lương:9 Tr - 12 Tr VND</t>
        </is>
      </c>
      <c r="F1732" s="10" t="inlineStr">
        <is>
          <t>Hồ Chí Minh</t>
        </is>
      </c>
      <c r="G1732" s="10" t="inlineStr">
        <is>
          <t>13-04-2026</t>
        </is>
      </c>
      <c r="H1732" s="10" t="inlineStr">
        <is>
          <t>13/04/2026</t>
        </is>
      </c>
      <c r="I1732" s="10" t="inlineStr">
        <is>
          <t>17/03/2026</t>
        </is>
      </c>
      <c r="J1732" s="10" t="inlineStr">
        <is>
          <t>Điện / Điện tử / Điện lạnh / Điện công nghiệp, Bảo trì / Sửa chữa, Cơ khí / Ô tô / Tự động hóa</t>
        </is>
      </c>
      <c r="K1732" s="10" t="inlineStr">
        <is>
          <t>Chưa có kinh nghiệm</t>
        </is>
      </c>
      <c r="L1732" s="11">
        <f>HYPERLINK("https://careerviet.vn/vi/tim-viec-lam/nhan-vien-ky-thuat-bao-tri.35C688DF.html","Xem chi tiết")</f>
        <v/>
      </c>
      <c r="M1732" s="10" t="n"/>
    </row>
    <row r="1733">
      <c r="B1733" s="7" t="n">
        <v>1731</v>
      </c>
      <c r="C1733" t="inlineStr">
        <is>
          <t>Trợ lý Tiếng Trung (Mua hàng)</t>
        </is>
      </c>
      <c r="D1733" t="inlineStr">
        <is>
          <t>Công ty TNHH PNK</t>
        </is>
      </c>
      <c r="E1733" t="inlineStr">
        <is>
          <t>Lương:12 Tr - 18 Tr VND</t>
        </is>
      </c>
      <c r="F1733" t="inlineStr">
        <is>
          <t>Hà Nội</t>
        </is>
      </c>
      <c r="G1733" t="inlineStr">
        <is>
          <t>13-04-2026</t>
        </is>
      </c>
      <c r="H1733" t="inlineStr">
        <is>
          <t>13/04/2026</t>
        </is>
      </c>
      <c r="I1733" t="inlineStr">
        <is>
          <t>17/03/2026</t>
        </is>
      </c>
      <c r="J1733" t="inlineStr">
        <is>
          <t>Biên phiên dịch, Xuất nhập khẩu, Thu mua / Vật tư</t>
        </is>
      </c>
      <c r="K1733" t="inlineStr">
        <is>
          <t>1 - 2 Năm</t>
        </is>
      </c>
      <c r="L1733" s="8">
        <f>HYPERLINK("https://careerviet.vn/vi/tim-viec-lam/tro-ly-tieng-trung-mua-hang.35C657C6.html","Xem chi tiết")</f>
        <v/>
      </c>
    </row>
    <row r="1734">
      <c r="B1734" s="9" t="n">
        <v>1732</v>
      </c>
      <c r="C1734" s="10" t="inlineStr">
        <is>
          <t>127800	- Nhân viên Vận hành CAD - Ngành xây dựng</t>
        </is>
      </c>
      <c r="D1734" s="10" t="inlineStr">
        <is>
          <t>RGF HR Agent Vietnam Co., LTD</t>
        </is>
      </c>
      <c r="E1734" s="10" t="inlineStr">
        <is>
          <t>Lương:14 Tr - 22 Tr VND</t>
        </is>
      </c>
      <c r="F1734" s="10" t="inlineStr">
        <is>
          <t>Hồ Chí Minh</t>
        </is>
      </c>
      <c r="G1734" s="10" t="inlineStr">
        <is>
          <t>13-04-2026</t>
        </is>
      </c>
      <c r="H1734" s="10" t="inlineStr">
        <is>
          <t>13/04/2026</t>
        </is>
      </c>
      <c r="I1734" s="10" t="inlineStr">
        <is>
          <t>17/03/2026</t>
        </is>
      </c>
      <c r="J1734" s="10" t="inlineStr">
        <is>
          <t>Xây dựng</t>
        </is>
      </c>
      <c r="K1734" s="10" t="inlineStr">
        <is>
          <t>Trên 2 Năm</t>
        </is>
      </c>
      <c r="L1734" s="11">
        <f>HYPERLINK("https://careerviet.vn/vi/tim-viec-lam/127800-nhan-vien-van-hanh-cad-nganh-xay-dung.35C688CF.html","Xem chi tiết")</f>
        <v/>
      </c>
      <c r="M1734" s="10" t="n"/>
    </row>
    <row r="1735">
      <c r="B1735" s="7" t="n">
        <v>1733</v>
      </c>
      <c r="C1735" t="inlineStr">
        <is>
          <t>127553 - Trường phòng Kế toán kiêm Tổng vụ- ngành Sản xuất</t>
        </is>
      </c>
      <c r="D1735" t="inlineStr">
        <is>
          <t>RGF HR Agent Vietnam Co., LTD</t>
        </is>
      </c>
      <c r="E1735" t="inlineStr">
        <is>
          <t>Lương:21 Tr - 25 Tr VND</t>
        </is>
      </c>
      <c r="F1735" t="inlineStr">
        <is>
          <t>Hà Nội</t>
        </is>
      </c>
      <c r="G1735" t="inlineStr">
        <is>
          <t>13-04-2026</t>
        </is>
      </c>
      <c r="H1735" t="inlineStr">
        <is>
          <t>13/04/2026</t>
        </is>
      </c>
      <c r="I1735" t="inlineStr">
        <is>
          <t>17/03/2026</t>
        </is>
      </c>
      <c r="J1735" t="inlineStr">
        <is>
          <t>Kế toán / Kiểm toán, Hành chính / Thư ký</t>
        </is>
      </c>
      <c r="K1735" t="inlineStr">
        <is>
          <t>Trên 5 Năm</t>
        </is>
      </c>
      <c r="L1735" s="8">
        <f>HYPERLINK("https://careerviet.vn/vi/tim-viec-lam/127553-truong-phong-ke-toan-kiem-tong-vu-nganh-san-xuat.35C68811.html","Xem chi tiết")</f>
        <v/>
      </c>
    </row>
    <row r="1736">
      <c r="B1736" s="9" t="n">
        <v>1734</v>
      </c>
      <c r="C1736" s="10" t="inlineStr">
        <is>
          <t>Project Engineer - Oversea - Kỹ sư Dự án</t>
        </is>
      </c>
      <c r="D1736" s="10" t="inlineStr">
        <is>
          <t>ATAD Steel Structure Corporation</t>
        </is>
      </c>
      <c r="E1736" s="10" t="inlineStr">
        <is>
          <t>Lương:Cạnh tranh</t>
        </is>
      </c>
      <c r="F1736" s="10" t="inlineStr">
        <is>
          <t>Hồ Chí MinhHà NộiBắc Ninh</t>
        </is>
      </c>
      <c r="G1736" s="10" t="inlineStr">
        <is>
          <t>13-04-2026</t>
        </is>
      </c>
      <c r="H1736" s="10" t="inlineStr">
        <is>
          <t>13/04/2026</t>
        </is>
      </c>
      <c r="I1736" s="10" t="inlineStr">
        <is>
          <t>17/03/2026</t>
        </is>
      </c>
      <c r="J1736" s="10" t="inlineStr">
        <is>
          <t>Xây dựng, Cơ khí / Ô tô / Tự động hóa, Quản lý chất lượng (QA/QC)</t>
        </is>
      </c>
      <c r="K1736" s="10" t="inlineStr">
        <is>
          <t>2 - 4 Năm</t>
        </is>
      </c>
      <c r="L1736" s="11">
        <f>HYPERLINK("https://careerviet.vn/vi/tim-viec-lam/project-engineer-oversea-ky-su-du-an.35C68841.html","Xem chi tiết")</f>
        <v/>
      </c>
      <c r="M1736" s="10" t="n"/>
    </row>
    <row r="1737">
      <c r="B1737" s="7" t="n">
        <v>1735</v>
      </c>
      <c r="C1737" t="inlineStr">
        <is>
          <t>Chuyên Viên Định Giá Tài Sản Tại Hải Phòng</t>
        </is>
      </c>
      <c r="D1737" t="inlineStr">
        <is>
          <t>NGÂN HÀNG TMCP NGOẠI THƯƠNG VIỆT NAM (VIETCOMBANK)</t>
        </is>
      </c>
      <c r="E1737" t="inlineStr">
        <is>
          <t>Lương:Cạnh tranh</t>
        </is>
      </c>
      <c r="F1737" t="inlineStr">
        <is>
          <t>Hải Phòng</t>
        </is>
      </c>
      <c r="G1737" t="inlineStr">
        <is>
          <t>13-04-2026</t>
        </is>
      </c>
      <c r="H1737" t="inlineStr">
        <is>
          <t>13/04/2026</t>
        </is>
      </c>
      <c r="I1737" t="inlineStr">
        <is>
          <t>17/03/2026</t>
        </is>
      </c>
      <c r="J1737" t="inlineStr">
        <is>
          <t>Luật / Pháp lý, Ngân hàng, Tài chính / Đầu tư</t>
        </is>
      </c>
      <c r="K1737" t="inlineStr">
        <is>
          <t>2 - 3 Năm</t>
        </is>
      </c>
      <c r="L1737" s="8">
        <f>HYPERLINK("https://careerviet.vn/vi/tim-viec-lam/chuyen-vien-dinh-gia-tai-san-tai-hai-phong.35C6568D.html","Xem chi tiết")</f>
        <v/>
      </c>
    </row>
    <row r="1738">
      <c r="B1738" s="9" t="n">
        <v>1736</v>
      </c>
      <c r="C1738" s="10" t="inlineStr">
        <is>
          <t>NHÂN VIÊN BẢO TRÌ ĐIỆN</t>
        </is>
      </c>
      <c r="D1738" s="10" t="inlineStr">
        <is>
          <t>Công Ty TNHH YKK Việt Nam</t>
        </is>
      </c>
      <c r="E1738" s="10" t="inlineStr">
        <is>
          <t>Lương:9 Tr - 11 Tr VND</t>
        </is>
      </c>
      <c r="F1738" s="10" t="inlineStr">
        <is>
          <t>Đồng Nai</t>
        </is>
      </c>
      <c r="G1738" s="10" t="inlineStr">
        <is>
          <t>13-04-2026</t>
        </is>
      </c>
      <c r="H1738" s="10" t="inlineStr">
        <is>
          <t>13/04/2026</t>
        </is>
      </c>
      <c r="I1738" s="10" t="inlineStr">
        <is>
          <t>17/03/2026</t>
        </is>
      </c>
      <c r="J1738" s="10" t="inlineStr">
        <is>
          <t>Cơ khí / Ô tô / Tự động hóa, Mới tốt nghiệp / Thực tập, Điện / Điện tử / Điện lạnh / Điện công nghiệp</t>
        </is>
      </c>
      <c r="K1738" s="10" t="inlineStr">
        <is>
          <t>N/A</t>
        </is>
      </c>
      <c r="L1738" s="11">
        <f>HYPERLINK("https://careerviet.vn/vi/tim-viec-lam/nhan-vien-bao-tri-dien.35C67E6F.html","Xem chi tiết")</f>
        <v/>
      </c>
      <c r="M1738" s="10" t="n"/>
    </row>
    <row r="1739">
      <c r="B1739" s="7" t="n">
        <v>1737</v>
      </c>
      <c r="C1739" t="inlineStr">
        <is>
          <t>Human Resources Executive - Nhân Viên Hành chính nhân sự</t>
        </is>
      </c>
      <c r="D1739" t="inlineStr">
        <is>
          <t>ATAD Steel Structure Corporation</t>
        </is>
      </c>
      <c r="E1739" t="inlineStr">
        <is>
          <t>Lương:Cạnh tranh</t>
        </is>
      </c>
      <c r="F1739" t="inlineStr">
        <is>
          <t>Đồng Nai</t>
        </is>
      </c>
      <c r="G1739" t="inlineStr">
        <is>
          <t>13-04-2026</t>
        </is>
      </c>
      <c r="H1739" t="inlineStr">
        <is>
          <t>13/04/2026</t>
        </is>
      </c>
      <c r="I1739" t="inlineStr">
        <is>
          <t>17/03/2026</t>
        </is>
      </c>
      <c r="J1739" t="inlineStr">
        <is>
          <t>Hành chính / Thư ký, Nhân sự, Sản xuất / Vận hành sản xuất</t>
        </is>
      </c>
      <c r="K1739" t="inlineStr">
        <is>
          <t>3 - 5 Năm</t>
        </is>
      </c>
      <c r="L1739" s="8">
        <f>HYPERLINK("https://careerviet.vn/vi/tim-viec-lam/human-resources-executive-nhan-vien-hanh-chinh-nhan-su.35C68866.html","Xem chi tiết")</f>
        <v/>
      </c>
    </row>
    <row r="1740">
      <c r="B1740" s="9" t="n">
        <v>1738</v>
      </c>
      <c r="C1740" s="10" t="inlineStr">
        <is>
          <t>127639 - Sales Staff (in Hai Phong) - Manufacturing</t>
        </is>
      </c>
      <c r="D1740" s="10" t="inlineStr">
        <is>
          <t>RGF HR Agent Vietnam Co., LTD</t>
        </is>
      </c>
      <c r="E1740" s="10" t="inlineStr">
        <is>
          <t>Lương:17 Tr - 25 Tr VND</t>
        </is>
      </c>
      <c r="F1740" s="10" t="inlineStr">
        <is>
          <t>Hải Phòng</t>
        </is>
      </c>
      <c r="G1740" s="10" t="inlineStr">
        <is>
          <t>13-04-2026</t>
        </is>
      </c>
      <c r="H1740" s="10" t="inlineStr">
        <is>
          <t>13/04/2026</t>
        </is>
      </c>
      <c r="I1740" s="10" t="inlineStr">
        <is>
          <t>17/03/2026</t>
        </is>
      </c>
      <c r="J1740" s="10" t="inlineStr">
        <is>
          <t>Bán hàng / Kinh doanh</t>
        </is>
      </c>
      <c r="K1740" s="10" t="inlineStr">
        <is>
          <t>Trên 3 Năm</t>
        </is>
      </c>
      <c r="L1740" s="11">
        <f>HYPERLINK("https://careerviet.vn/vi/tim-viec-lam/127639-sales-staff-in-hai-phong-manufacturing.35C68805.html","Xem chi tiết")</f>
        <v/>
      </c>
      <c r="M1740" s="10" t="n"/>
    </row>
    <row r="1741">
      <c r="B1741" s="7" t="n">
        <v>1739</v>
      </c>
      <c r="C1741" t="inlineStr">
        <is>
          <t>[Bắc Ninh] Nhân Viên Bán Hàng Kênh Khách Hàng Trọng Điểm​ - Kênh Trực Tiếp/ Sales Rep KA</t>
        </is>
      </c>
      <c r="D1741" t="inlineStr">
        <is>
          <t>Coca-Cola Beverages Vietnam</t>
        </is>
      </c>
      <c r="E1741" t="inlineStr">
        <is>
          <t>Lương:Cạnh tranh</t>
        </is>
      </c>
      <c r="F1741" t="inlineStr">
        <is>
          <t>Bắc Ninh</t>
        </is>
      </c>
      <c r="G1741" t="inlineStr">
        <is>
          <t>13-04-2026</t>
        </is>
      </c>
      <c r="H1741" t="inlineStr">
        <is>
          <t>13/04/2026</t>
        </is>
      </c>
      <c r="I1741" t="inlineStr">
        <is>
          <t>17/03/2026</t>
        </is>
      </c>
      <c r="J1741" t="inlineStr">
        <is>
          <t>Bán lẻ / Bán sỉ, Bán hàng / Kinh doanh</t>
        </is>
      </c>
      <c r="K1741" t="inlineStr">
        <is>
          <t>1 - 10 Năm</t>
        </is>
      </c>
      <c r="L1741" s="8">
        <f>HYPERLINK("https://careerviet.vn/vi/tim-viec-lam/bac-ninh-nhan-vien-ban-hang-kenh-khach-hang-trong-diem-kenh-truc-tiep-sales-rep-ka.35C65613.html","Xem chi tiết")</f>
        <v/>
      </c>
    </row>
    <row r="1742">
      <c r="B1742" s="9" t="n">
        <v>1740</v>
      </c>
      <c r="C1742" s="10" t="inlineStr">
        <is>
          <t>Cost Accountant - Kế Toán Chi Phí</t>
        </is>
      </c>
      <c r="D1742" s="10" t="inlineStr">
        <is>
          <t>ATAD Steel Structure Corporation</t>
        </is>
      </c>
      <c r="E1742" s="10" t="inlineStr">
        <is>
          <t>Lương:10 Tr - 16 Tr VND</t>
        </is>
      </c>
      <c r="F1742" s="10" t="inlineStr">
        <is>
          <t>Hồ Chí Minh</t>
        </is>
      </c>
      <c r="G1742" s="10" t="inlineStr">
        <is>
          <t>13-04-2026</t>
        </is>
      </c>
      <c r="H1742" s="10" t="inlineStr">
        <is>
          <t>13/04/2026</t>
        </is>
      </c>
      <c r="I1742" s="10" t="inlineStr">
        <is>
          <t>17/03/2026</t>
        </is>
      </c>
      <c r="J1742" s="10" t="inlineStr">
        <is>
          <t>Kế toán / Kiểm toán, Tài chính / Đầu tư</t>
        </is>
      </c>
      <c r="K1742" s="10" t="inlineStr">
        <is>
          <t>2 - 5 Năm</t>
        </is>
      </c>
      <c r="L1742" s="11">
        <f>HYPERLINK("https://careerviet.vn/vi/tim-viec-lam/cost-accountant-ke-toan-chi-phi.35C68827.html","Xem chi tiết")</f>
        <v/>
      </c>
      <c r="M1742" s="10" t="n"/>
    </row>
    <row r="1743">
      <c r="B1743" s="7" t="n">
        <v>1741</v>
      </c>
      <c r="C1743" t="inlineStr">
        <is>
          <t>Purchasing Executive</t>
        </is>
      </c>
      <c r="D1743" t="inlineStr">
        <is>
          <t>Saint-Gobain Vietnam</t>
        </is>
      </c>
      <c r="E1743" t="inlineStr">
        <is>
          <t>Lương:Cạnh tranh</t>
        </is>
      </c>
      <c r="F1743" t="inlineStr">
        <is>
          <t>Hà Nội</t>
        </is>
      </c>
      <c r="G1743" t="inlineStr">
        <is>
          <t>13-04-2026</t>
        </is>
      </c>
      <c r="H1743" t="inlineStr">
        <is>
          <t>13/04/2026</t>
        </is>
      </c>
      <c r="I1743" t="inlineStr">
        <is>
          <t>17/03/2026</t>
        </is>
      </c>
      <c r="J1743" t="inlineStr">
        <is>
          <t>Thu mua / Vật tư</t>
        </is>
      </c>
      <c r="K1743" t="inlineStr">
        <is>
          <t>3 - 5 Năm</t>
        </is>
      </c>
      <c r="L1743" s="8">
        <f>HYPERLINK("https://careerviet.vn/vi/tim-viec-lam/purchasing-executive.35C687FA.html","Xem chi tiết")</f>
        <v/>
      </c>
    </row>
    <row r="1744">
      <c r="B1744" s="9" t="n">
        <v>1742</v>
      </c>
      <c r="C1744" s="10" t="inlineStr">
        <is>
          <t>TRỢ LÝ TỔNG GIÁM ĐỐC</t>
        </is>
      </c>
      <c r="D1744" s="10" t="inlineStr">
        <is>
          <t>Công ty TNHH Worldon (Việt Nam)</t>
        </is>
      </c>
      <c r="E1744" s="10" t="inlineStr">
        <is>
          <t>Lương:Trên 20 Tr VND</t>
        </is>
      </c>
      <c r="F1744" s="10" t="inlineStr">
        <is>
          <t>Hồ Chí Minh</t>
        </is>
      </c>
      <c r="G1744" s="10" t="inlineStr">
        <is>
          <t>12-04-2026</t>
        </is>
      </c>
      <c r="H1744" s="10" t="inlineStr">
        <is>
          <t>12/04/2026</t>
        </is>
      </c>
      <c r="I1744" s="10" t="inlineStr">
        <is>
          <t>17/03/2026</t>
        </is>
      </c>
      <c r="J1744" s="10" t="inlineStr">
        <is>
          <t>Hành chính / Thư ký, Biên phiên dịch, Quản lý điều hành</t>
        </is>
      </c>
      <c r="K1744" s="10" t="inlineStr">
        <is>
          <t>N/A</t>
        </is>
      </c>
      <c r="L1744" s="11">
        <f>HYPERLINK("https://careerviet.vn/vi/tim-viec-lam/tro-ly-tong-giam-doc.35C6891C.html","Xem chi tiết")</f>
        <v/>
      </c>
      <c r="M1744" s="10" t="n"/>
    </row>
    <row r="1745">
      <c r="B1745" s="7" t="n">
        <v>1743</v>
      </c>
      <c r="C1745" t="inlineStr">
        <is>
          <t>Data Scientist</t>
        </is>
      </c>
      <c r="D1745" t="inlineStr">
        <is>
          <t>Công Ty TNHH T.M.G</t>
        </is>
      </c>
      <c r="E1745" t="inlineStr">
        <is>
          <t>Lương:20 Tr - 30 Tr VND</t>
        </is>
      </c>
      <c r="F1745" t="inlineStr">
        <is>
          <t>Hồ Chí Minh</t>
        </is>
      </c>
      <c r="G1745" t="inlineStr">
        <is>
          <t>13-04-2026</t>
        </is>
      </c>
      <c r="H1745" t="inlineStr">
        <is>
          <t>13/04/2026</t>
        </is>
      </c>
      <c r="I1745" t="inlineStr">
        <is>
          <t>17/03/2026</t>
        </is>
      </c>
      <c r="J1745" t="inlineStr">
        <is>
          <t>CNTT - Phần mềm, Bán lẻ / Bán sỉ, Dệt may / Da giày / Thời trang</t>
        </is>
      </c>
      <c r="K1745" t="inlineStr">
        <is>
          <t>2 - 5 Năm</t>
        </is>
      </c>
      <c r="L1745" s="8">
        <f>HYPERLINK("https://careerviet.vn/vi/tim-viec-lam/data-scientist.35C6881C.html","Xem chi tiết")</f>
        <v/>
      </c>
    </row>
    <row r="1746">
      <c r="B1746" s="9" t="n">
        <v>1744</v>
      </c>
      <c r="C1746" s="10" t="inlineStr">
        <is>
          <t>Cần Thơ - Giám đốc Phòng Giao dịch</t>
        </is>
      </c>
      <c r="D1746" s="10" t="inlineStr">
        <is>
          <t>Ngân hàng TMCP Lộc Phát Việt Nam (LPBank)</t>
        </is>
      </c>
      <c r="E1746" s="10" t="inlineStr">
        <is>
          <t>Lương:Cạnh tranh</t>
        </is>
      </c>
      <c r="F1746" s="10" t="inlineStr">
        <is>
          <t>Cần Thơ</t>
        </is>
      </c>
      <c r="G1746" s="10" t="inlineStr">
        <is>
          <t>13-04-2026</t>
        </is>
      </c>
      <c r="H1746" s="10" t="inlineStr">
        <is>
          <t>13/04/2026</t>
        </is>
      </c>
      <c r="I1746" s="10" t="inlineStr">
        <is>
          <t>17/03/2026</t>
        </is>
      </c>
      <c r="J1746" s="10" t="inlineStr">
        <is>
          <t>Ngân hàng</t>
        </is>
      </c>
      <c r="K1746" s="10" t="inlineStr">
        <is>
          <t>3 - 5 Năm</t>
        </is>
      </c>
      <c r="L1746" s="11">
        <f>HYPERLINK("https://careerviet.vn/vi/tim-viec-lam/can-tho-giam-doc-phong-giao-dich.35C6570F.html","Xem chi tiết")</f>
        <v/>
      </c>
      <c r="M1746" s="10" t="n"/>
    </row>
    <row r="1747">
      <c r="B1747" s="7" t="n">
        <v>1745</v>
      </c>
      <c r="C1747" t="inlineStr">
        <is>
          <t>Giám đốc Ngân hàng Bán lẻ</t>
        </is>
      </c>
      <c r="D1747" t="inlineStr">
        <is>
          <t>Ngân Hàng TMCP Quốc Tế Việt Nam</t>
        </is>
      </c>
      <c r="E1747" t="inlineStr">
        <is>
          <t>Lương:Cạnh tranh</t>
        </is>
      </c>
      <c r="F1747" t="inlineStr">
        <is>
          <t>Hà Nội</t>
        </is>
      </c>
      <c r="G1747" t="inlineStr">
        <is>
          <t>13-04-2026</t>
        </is>
      </c>
      <c r="H1747" t="inlineStr">
        <is>
          <t>13/04/2026</t>
        </is>
      </c>
      <c r="I1747" t="inlineStr">
        <is>
          <t>17/03/2026</t>
        </is>
      </c>
      <c r="J1747" t="inlineStr">
        <is>
          <t>Ngân hàng</t>
        </is>
      </c>
      <c r="K1747" t="inlineStr">
        <is>
          <t>3 - 5 Năm</t>
        </is>
      </c>
      <c r="L1747" s="8">
        <f>HYPERLINK("https://careerviet.vn/vi/tim-viec-lam/giam-doc-ngan-hang-ban-le.35C68859.html","Xem chi tiết")</f>
        <v/>
      </c>
    </row>
    <row r="1748">
      <c r="B1748" s="9" t="n">
        <v>1746</v>
      </c>
      <c r="C1748" s="10" t="inlineStr">
        <is>
          <t>Project Accountant - Kế Toán Dự Án</t>
        </is>
      </c>
      <c r="D1748" s="10" t="inlineStr">
        <is>
          <t>CareerViet's client</t>
        </is>
      </c>
      <c r="E1748" s="10" t="inlineStr">
        <is>
          <t>Lương:15 Tr - 25 Tr VND</t>
        </is>
      </c>
      <c r="F1748" s="10" t="inlineStr">
        <is>
          <t>Hồ Chí Minh</t>
        </is>
      </c>
      <c r="G1748" s="10" t="inlineStr">
        <is>
          <t>13-04-2026</t>
        </is>
      </c>
      <c r="H1748" s="10" t="inlineStr">
        <is>
          <t>13/04/2026</t>
        </is>
      </c>
      <c r="I1748" s="10" t="inlineStr">
        <is>
          <t>17/03/2026</t>
        </is>
      </c>
      <c r="J1748" s="10" t="inlineStr">
        <is>
          <t>Kế toán / Kiểm toán, Tài chính / Đầu tư</t>
        </is>
      </c>
      <c r="K1748" s="10" t="inlineStr">
        <is>
          <t>1 - 3 Năm</t>
        </is>
      </c>
      <c r="L1748" s="11">
        <f>HYPERLINK("https://careerviet.vn/vi/tim-viec-lam/project-accountant-ke-toan-du-an.35C68832.html","Xem chi tiết")</f>
        <v/>
      </c>
      <c r="M1748" s="10" t="n"/>
    </row>
    <row r="1749">
      <c r="B1749" s="7" t="n">
        <v>1747</v>
      </c>
      <c r="C1749" t="inlineStr">
        <is>
          <t>127602 - Senior Sales Executive (B2B Software Solutions) - IT</t>
        </is>
      </c>
      <c r="D1749" t="inlineStr">
        <is>
          <t>RGF HR Agent Vietnam Co., LTD</t>
        </is>
      </c>
      <c r="E1749" t="inlineStr">
        <is>
          <t>Lương:25 Tr - 25 Tr VND</t>
        </is>
      </c>
      <c r="F1749" t="inlineStr">
        <is>
          <t>Hà Nội</t>
        </is>
      </c>
      <c r="G1749" t="inlineStr">
        <is>
          <t>13-04-2026</t>
        </is>
      </c>
      <c r="H1749" t="inlineStr">
        <is>
          <t>13/04/2026</t>
        </is>
      </c>
      <c r="I1749" t="inlineStr">
        <is>
          <t>17/03/2026</t>
        </is>
      </c>
      <c r="J1749" t="inlineStr">
        <is>
          <t>Bán hàng / Kinh doanh, CNTT - Phần mềm, CNTT - Phần cứng / Mạng</t>
        </is>
      </c>
      <c r="K1749" t="inlineStr">
        <is>
          <t>Trên 5 Năm</t>
        </is>
      </c>
      <c r="L1749" s="8">
        <f>HYPERLINK("https://careerviet.vn/vi/tim-viec-lam/127602-senior-sales-executive-b2b-software-solutions-it.35C68802.html","Xem chi tiết")</f>
        <v/>
      </c>
    </row>
    <row r="1750">
      <c r="B1750" s="9" t="n">
        <v>1748</v>
      </c>
      <c r="C1750" s="10" t="inlineStr">
        <is>
          <t>Quantity Surveyor - Kỹ Sư QS Công Trình</t>
        </is>
      </c>
      <c r="D1750" s="10" t="inlineStr">
        <is>
          <t>ATAD Steel Structure Corporation</t>
        </is>
      </c>
      <c r="E1750" s="10" t="inlineStr">
        <is>
          <t>Lương:Cạnh tranh</t>
        </is>
      </c>
      <c r="F1750" s="10" t="inlineStr">
        <is>
          <t>Thái BìnhKiên GiangHồ Chí Minh</t>
        </is>
      </c>
      <c r="G1750" s="10" t="inlineStr">
        <is>
          <t>13-04-2026</t>
        </is>
      </c>
      <c r="H1750" s="10" t="inlineStr">
        <is>
          <t>13/04/2026</t>
        </is>
      </c>
      <c r="I1750" s="10" t="inlineStr">
        <is>
          <t>17/03/2026</t>
        </is>
      </c>
      <c r="J1750" s="10" t="inlineStr">
        <is>
          <t>Kiến trúc, Xây dựng</t>
        </is>
      </c>
      <c r="K1750" s="10" t="inlineStr">
        <is>
          <t>1 - 2 Năm</t>
        </is>
      </c>
      <c r="L1750" s="11">
        <f>HYPERLINK("https://careerviet.vn/vi/tim-viec-lam/quantity-surveyor-ky-su-qs-cong-trinh.35C68839.html","Xem chi tiết")</f>
        <v/>
      </c>
      <c r="M1750" s="10" t="n"/>
    </row>
    <row r="1751">
      <c r="B1751" s="7" t="n">
        <v>1749</v>
      </c>
      <c r="C1751" t="inlineStr">
        <is>
          <t>Chuyên Viên Xây Dựng, Vận Hành Công Trình</t>
        </is>
      </c>
      <c r="D1751" t="inlineStr">
        <is>
          <t>CÔNG TY CỔ PHẦN TAJ VIỆT NAM</t>
        </is>
      </c>
      <c r="E1751" t="inlineStr">
        <is>
          <t>Lương:15 Tr - 20 Tr VND</t>
        </is>
      </c>
      <c r="F1751" t="inlineStr">
        <is>
          <t>Hà Nội</t>
        </is>
      </c>
      <c r="G1751" t="inlineStr">
        <is>
          <t>12-04-2026</t>
        </is>
      </c>
      <c r="H1751" t="inlineStr">
        <is>
          <t>12/04/2026</t>
        </is>
      </c>
      <c r="I1751" t="inlineStr">
        <is>
          <t>17/03/2026</t>
        </is>
      </c>
      <c r="J1751" t="inlineStr">
        <is>
          <t>Ngành khác</t>
        </is>
      </c>
      <c r="K1751" t="inlineStr">
        <is>
          <t>Trên 3 Năm</t>
        </is>
      </c>
      <c r="L1751" s="8">
        <f>HYPERLINK("https://careerviet.vn/vi/tim-viec-lam/chuyen-vien-xay-dung-van-hanh-cong-trinh.35C6543C.html","Xem chi tiết")</f>
        <v/>
      </c>
    </row>
    <row r="1752">
      <c r="B1752" s="9" t="n">
        <v>1750</v>
      </c>
      <c r="C1752" s="10" t="inlineStr">
        <is>
          <t>Senior Expert, Corporate Communications (Techcom Life)</t>
        </is>
      </c>
      <c r="D1752" s="10" t="inlineStr">
        <is>
          <t>NGÂN HÀNG TMCP KỸ THƯƠNG VIỆT NAM (TECHCOMBANK)</t>
        </is>
      </c>
      <c r="E1752" s="10" t="inlineStr">
        <is>
          <t>Lương:Cạnh tranh</t>
        </is>
      </c>
      <c r="F1752" s="10" t="inlineStr">
        <is>
          <t>Hà Nội</t>
        </is>
      </c>
      <c r="G1752" s="10" t="inlineStr">
        <is>
          <t>13-04-2026</t>
        </is>
      </c>
      <c r="H1752" s="10" t="inlineStr">
        <is>
          <t>13/04/2026</t>
        </is>
      </c>
      <c r="I1752" s="10" t="inlineStr">
        <is>
          <t>17/03/2026</t>
        </is>
      </c>
      <c r="J1752" s="10" t="inlineStr">
        <is>
          <t>Ngân hàng, Tiếp thị / Marketing, Quảng cáo / Đối ngoại / Truyền Thông</t>
        </is>
      </c>
      <c r="K1752" s="10" t="inlineStr">
        <is>
          <t>8 - 10 Năm</t>
        </is>
      </c>
      <c r="L1752" s="11">
        <f>HYPERLINK("https://careerviet.vn/vi/tim-viec-lam/senior-expert-corporate-communications-techcom-life.35C6895B.html","Xem chi tiết")</f>
        <v/>
      </c>
      <c r="M1752" s="10" t="n"/>
    </row>
    <row r="1753">
      <c r="B1753" s="7" t="n">
        <v>1751</v>
      </c>
      <c r="C1753" t="inlineStr">
        <is>
          <t>Kỹ Thuật Điện Tự Động Hóa</t>
        </is>
      </c>
      <c r="D1753" t="inlineStr">
        <is>
          <t>Công ty TNHH Công nghiệp AMT Vina</t>
        </is>
      </c>
      <c r="E1753" t="inlineStr">
        <is>
          <t>Lương:10 Tr - 20 Tr VND</t>
        </is>
      </c>
      <c r="F1753" t="inlineStr">
        <is>
          <t>Hà Nội</t>
        </is>
      </c>
      <c r="G1753" t="inlineStr">
        <is>
          <t>13-04-2026</t>
        </is>
      </c>
      <c r="H1753" t="inlineStr">
        <is>
          <t>13/04/2026</t>
        </is>
      </c>
      <c r="I1753" t="inlineStr">
        <is>
          <t>17/03/2026</t>
        </is>
      </c>
      <c r="J1753" t="inlineStr">
        <is>
          <t>Điện / Điện tử / Điện lạnh / Điện công nghiệp, Bảo trì / Sửa chữa, Sản xuất / Vận hành sản xuất</t>
        </is>
      </c>
      <c r="K1753" t="inlineStr">
        <is>
          <t>Trên 1 Năm</t>
        </is>
      </c>
      <c r="L1753" s="8">
        <f>HYPERLINK("https://careerviet.vn/vi/tim-viec-lam/ky-thuat-dien-tu-dong-hoa.35C68891.html","Xem chi tiết")</f>
        <v/>
      </c>
    </row>
    <row r="1754">
      <c r="B1754" s="9" t="n">
        <v>1752</v>
      </c>
      <c r="C1754" s="10" t="inlineStr">
        <is>
          <t>Payable Accountant</t>
        </is>
      </c>
      <c r="D1754" s="10" t="inlineStr">
        <is>
          <t>INDOGUNA VINA FOOD SERVICE (INDV)</t>
        </is>
      </c>
      <c r="E1754" s="10" t="inlineStr">
        <is>
          <t>Lương:Cạnh tranh</t>
        </is>
      </c>
      <c r="F1754" s="10" t="inlineStr">
        <is>
          <t>Hồ Chí Minh</t>
        </is>
      </c>
      <c r="G1754" s="10" t="inlineStr">
        <is>
          <t>12-04-2026</t>
        </is>
      </c>
      <c r="H1754" s="10" t="inlineStr">
        <is>
          <t>12/04/2026</t>
        </is>
      </c>
      <c r="I1754" s="10" t="inlineStr">
        <is>
          <t>17/03/2026</t>
        </is>
      </c>
      <c r="J1754" s="10" t="inlineStr">
        <is>
          <t>Kế toán / Kiểm toán, Tài chính / Đầu tư, Thực phẩm &amp; Đồ uống</t>
        </is>
      </c>
      <c r="K1754" s="10" t="inlineStr">
        <is>
          <t>3 - 5 Năm</t>
        </is>
      </c>
      <c r="L1754" s="11">
        <f>HYPERLINK("https://careerviet.vn/vi/tim-viec-lam/payable-accountant.35C687A4.html","Xem chi tiết")</f>
        <v/>
      </c>
      <c r="M1754" s="10" t="n"/>
    </row>
    <row r="1755">
      <c r="B1755" s="7" t="n">
        <v>1753</v>
      </c>
      <c r="C1755" t="inlineStr">
        <is>
          <t>Trưởng Phòng QA</t>
        </is>
      </c>
      <c r="D1755" t="inlineStr">
        <is>
          <t>CÔNG TY TNHH TEX YEAR VIỆT NAM</t>
        </is>
      </c>
      <c r="E1755" t="inlineStr">
        <is>
          <t>Lương:12 Tr - 15 Tr VND</t>
        </is>
      </c>
      <c r="F1755" t="inlineStr">
        <is>
          <t>Bình Dương</t>
        </is>
      </c>
      <c r="G1755" t="inlineStr">
        <is>
          <t>12-04-2026</t>
        </is>
      </c>
      <c r="H1755" t="inlineStr">
        <is>
          <t>12/04/2026</t>
        </is>
      </c>
      <c r="I1755" t="inlineStr">
        <is>
          <t>17/03/2026</t>
        </is>
      </c>
      <c r="J1755" t="inlineStr">
        <is>
          <t>Sản xuất / Vận hành sản xuất, Quản lý điều hành, Quản lý chất lượng (QA/QC)</t>
        </is>
      </c>
      <c r="K1755" t="inlineStr">
        <is>
          <t>3 - 4 Năm</t>
        </is>
      </c>
      <c r="L1755" s="8">
        <f>HYPERLINK("https://careerviet.vn/vi/tim-viec-lam/truong-phong-qa.35C65478.html","Xem chi tiết")</f>
        <v/>
      </c>
    </row>
    <row r="1756">
      <c r="B1756" s="9" t="n">
        <v>1754</v>
      </c>
      <c r="C1756" s="10" t="inlineStr">
        <is>
          <t>Chuyên viên Kiểm soát nhiễm khuẩn - Vinmec Ocean Park 2</t>
        </is>
      </c>
      <c r="D1756" s="10" t="inlineStr">
        <is>
          <t>Công ty CP Bệnh Viện Đa Khoa Quốc Tế Vinmec</t>
        </is>
      </c>
      <c r="E1756" s="10" t="inlineStr">
        <is>
          <t>Lương:Cạnh tranh</t>
        </is>
      </c>
      <c r="F1756" s="10" t="inlineStr">
        <is>
          <t>Hà Nội</t>
        </is>
      </c>
      <c r="G1756" s="10" t="inlineStr">
        <is>
          <t>12-04-2026</t>
        </is>
      </c>
      <c r="H1756" s="10" t="inlineStr">
        <is>
          <t>12/04/2026</t>
        </is>
      </c>
      <c r="I1756" s="10" t="inlineStr">
        <is>
          <t>17/03/2026</t>
        </is>
      </c>
      <c r="J1756" s="10" t="inlineStr">
        <is>
          <t>Y tế / Chăm sóc sức khỏe / Thẩm mỹ / Làm đẹp, Công nghệ sinh học, Quản lý chất lượng (QA/QC)</t>
        </is>
      </c>
      <c r="K1756" s="10" t="inlineStr">
        <is>
          <t>1 - 5 Năm</t>
        </is>
      </c>
      <c r="L1756" s="11">
        <f>HYPERLINK("https://careerviet.vn/vi/tim-viec-lam/chuyen-vien-kiem-soat-nhiem-khuan-vinmec-ocean-park-2.35C6553A.html","Xem chi tiết")</f>
        <v/>
      </c>
      <c r="M1756" s="10" t="n"/>
    </row>
    <row r="1757">
      <c r="B1757" s="7" t="n">
        <v>1755</v>
      </c>
      <c r="C1757" t="inlineStr">
        <is>
          <t>Chuyên Viên Hồ Sơ Pháp Lý Dự Án</t>
        </is>
      </c>
      <c r="D1757" t="inlineStr">
        <is>
          <t>TẬP ĐOÀN ĐẦU TƯ KINH ĐÔ</t>
        </is>
      </c>
      <c r="E1757" t="inlineStr">
        <is>
          <t>Lương:20 Tr - 30 Tr VND</t>
        </is>
      </c>
      <c r="F1757" t="inlineStr">
        <is>
          <t>Hà Nội</t>
        </is>
      </c>
      <c r="G1757" t="inlineStr">
        <is>
          <t>12-04-2026</t>
        </is>
      </c>
      <c r="H1757" t="inlineStr">
        <is>
          <t>12/04/2026</t>
        </is>
      </c>
      <c r="I1757" t="inlineStr">
        <is>
          <t>17/03/2026</t>
        </is>
      </c>
      <c r="J1757" t="inlineStr">
        <is>
          <t>Luật / Pháp lý, Bất động sản, Xây dựng</t>
        </is>
      </c>
      <c r="K1757" t="inlineStr">
        <is>
          <t>Trên 5 Năm</t>
        </is>
      </c>
      <c r="L1757" s="8">
        <f>HYPERLINK("https://careerviet.vn/vi/tim-viec-lam/chuyen-vien-ho-so-phap-ly-du-an.35C65495.html","Xem chi tiết")</f>
        <v/>
      </c>
    </row>
    <row r="1758">
      <c r="B1758" s="9" t="n">
        <v>1756</v>
      </c>
      <c r="C1758" s="10" t="inlineStr">
        <is>
          <t>Personal Assistant to Deputy CEO (Korean Translator &amp; Interpreter)</t>
        </is>
      </c>
      <c r="D1758" s="10" t="inlineStr">
        <is>
          <t>Hanwha Life Insurance Company Limited (Vietnam)</t>
        </is>
      </c>
      <c r="E1758" s="10" t="inlineStr">
        <is>
          <t>Lương:Cạnh tranh</t>
        </is>
      </c>
      <c r="F1758" s="10" t="inlineStr">
        <is>
          <t>Hồ Chí Minh</t>
        </is>
      </c>
      <c r="G1758" s="10" t="inlineStr">
        <is>
          <t>12-04-2026</t>
        </is>
      </c>
      <c r="H1758" s="10" t="inlineStr">
        <is>
          <t>12/04/2026</t>
        </is>
      </c>
      <c r="I1758" s="10" t="inlineStr">
        <is>
          <t>17/03/2026</t>
        </is>
      </c>
      <c r="J1758" s="10" t="inlineStr">
        <is>
          <t>Hành chính / Thư ký, Biên phiên dịch</t>
        </is>
      </c>
      <c r="K1758" s="10" t="inlineStr">
        <is>
          <t>3 - 8 Năm</t>
        </is>
      </c>
      <c r="L1758" s="11">
        <f>HYPERLINK("https://careerviet.vn/vi/tim-viec-lam/personal-assistant-to-deputy-ceo-korean-translator-interpreter.35C687A6.html","Xem chi tiết")</f>
        <v/>
      </c>
      <c r="M1758" s="10" t="n"/>
    </row>
    <row r="1759">
      <c r="B1759" s="7" t="n">
        <v>1757</v>
      </c>
      <c r="C1759" t="inlineStr">
        <is>
          <t>Kỹ sư giám sát cơ điện</t>
        </is>
      </c>
      <c r="D1759" t="inlineStr">
        <is>
          <t>Công ty TNHH tư vấn công trình xây dựng KCIS</t>
        </is>
      </c>
      <c r="E1759" t="inlineStr">
        <is>
          <t>Lương:13 Tr - 16 Tr VND</t>
        </is>
      </c>
      <c r="F1759" t="inlineStr">
        <is>
          <t>Hưng Yên</t>
        </is>
      </c>
      <c r="G1759" t="inlineStr">
        <is>
          <t>12-04-2026</t>
        </is>
      </c>
      <c r="H1759" t="inlineStr">
        <is>
          <t>12/04/2026</t>
        </is>
      </c>
      <c r="I1759" t="inlineStr">
        <is>
          <t>17/03/2026</t>
        </is>
      </c>
      <c r="J1759" t="inlineStr">
        <is>
          <t>Điện / Điện tử / Điện lạnh / Điện công nghiệp</t>
        </is>
      </c>
      <c r="K1759" t="inlineStr">
        <is>
          <t>Trên 2 Năm</t>
        </is>
      </c>
      <c r="L1759" s="8">
        <f>HYPERLINK("https://careerviet.vn/vi/tim-viec-lam/ky-su-giam-sat-co-dien.35C686E6.html","Xem chi tiết")</f>
        <v/>
      </c>
    </row>
    <row r="1760">
      <c r="B1760" s="9" t="n">
        <v>1758</v>
      </c>
      <c r="C1760" s="10" t="inlineStr">
        <is>
          <t>QA SUPERVISOR</t>
        </is>
      </c>
      <c r="D1760" s="10" t="inlineStr">
        <is>
          <t>Công ty TNHH Olam Việt Nam</t>
        </is>
      </c>
      <c r="E1760" s="10" t="inlineStr">
        <is>
          <t>Lương:Cạnh tranh</t>
        </is>
      </c>
      <c r="F1760" s="10" t="inlineStr">
        <is>
          <t>Đồng Nai</t>
        </is>
      </c>
      <c r="G1760" s="10" t="inlineStr">
        <is>
          <t>12-04-2026</t>
        </is>
      </c>
      <c r="H1760" s="10" t="inlineStr">
        <is>
          <t>12/04/2026</t>
        </is>
      </c>
      <c r="I1760" s="10" t="inlineStr">
        <is>
          <t>17/03/2026</t>
        </is>
      </c>
      <c r="J1760" s="10" t="inlineStr">
        <is>
          <t>Quản lý chất lượng (QA/QC), Công nghệ thực phẩm / Dinh dưỡng, Thực phẩm &amp; Đồ uống</t>
        </is>
      </c>
      <c r="K1760" s="10" t="inlineStr">
        <is>
          <t>N/A</t>
        </is>
      </c>
      <c r="L1760" s="11">
        <f>HYPERLINK("https://careerviet.vn/vi/tim-viec-lam/qa-supervisor.35C6870C.html","Xem chi tiết")</f>
        <v/>
      </c>
      <c r="M1760" s="10" t="n"/>
    </row>
    <row r="1761">
      <c r="B1761" s="7" t="n">
        <v>1759</v>
      </c>
      <c r="C1761" t="inlineStr">
        <is>
          <t>CHUYÊN VIÊN MARKETING THẨM MỸ</t>
        </is>
      </c>
      <c r="D1761" t="inlineStr">
        <is>
          <t>SCI Group</t>
        </is>
      </c>
      <c r="E1761" t="inlineStr">
        <is>
          <t>Lương:15 Tr - 17 Tr VND</t>
        </is>
      </c>
      <c r="F1761" t="inlineStr">
        <is>
          <t>Hà Nội</t>
        </is>
      </c>
      <c r="G1761" t="inlineStr">
        <is>
          <t>12-04-2026</t>
        </is>
      </c>
      <c r="H1761" t="inlineStr">
        <is>
          <t>12/04/2026</t>
        </is>
      </c>
      <c r="I1761" t="inlineStr">
        <is>
          <t>17/03/2026</t>
        </is>
      </c>
      <c r="J1761" t="inlineStr">
        <is>
          <t>Quảng cáo / Đối ngoại / Truyền Thông, Truyền hình / Báo chí / Biên tập, Y tế / Chăm sóc sức khỏe / Thẩm mỹ / Làm đẹp</t>
        </is>
      </c>
      <c r="K1761" t="inlineStr">
        <is>
          <t>2 - 3 Năm</t>
        </is>
      </c>
      <c r="L1761" s="8">
        <f>HYPERLINK("https://careerviet.vn/vi/tim-viec-lam/chuyen-vien-marketing-tham-my.35C6878D.html","Xem chi tiết")</f>
        <v/>
      </c>
    </row>
    <row r="1762">
      <c r="B1762" s="9" t="n">
        <v>1760</v>
      </c>
      <c r="C1762" s="10" t="inlineStr">
        <is>
          <t>Phó Giám đốc Ban Khách hàng FDI</t>
        </is>
      </c>
      <c r="D1762" s="10" t="inlineStr">
        <is>
          <t>Tổng Công Ty Cổ Phần Bảo Hiểm Ngân Hàng TMCP Công Thương Việt Nam</t>
        </is>
      </c>
      <c r="E1762" s="10" t="inlineStr">
        <is>
          <t>Lương:Cạnh tranh</t>
        </is>
      </c>
      <c r="F1762" s="10" t="inlineStr">
        <is>
          <t>Hà Nội</t>
        </is>
      </c>
      <c r="G1762" s="10" t="inlineStr">
        <is>
          <t>12-04-2026</t>
        </is>
      </c>
      <c r="H1762" s="10" t="inlineStr">
        <is>
          <t>12/04/2026</t>
        </is>
      </c>
      <c r="I1762" s="10" t="inlineStr">
        <is>
          <t>17/03/2026</t>
        </is>
      </c>
      <c r="J1762" s="10" t="inlineStr">
        <is>
          <t>Bảo hiểm, Ngân hàng, Tài chính / Đầu tư</t>
        </is>
      </c>
      <c r="K1762" s="10" t="inlineStr">
        <is>
          <t>5 - 10 Năm</t>
        </is>
      </c>
      <c r="L1762" s="11">
        <f>HYPERLINK("https://careerviet.vn/vi/tim-viec-lam/pho-giam-doc-ban-khach-hang-fdi.35C68673.html","Xem chi tiết")</f>
        <v/>
      </c>
      <c r="M1762" s="10" t="n"/>
    </row>
    <row r="1763">
      <c r="B1763" s="7" t="n">
        <v>1761</v>
      </c>
      <c r="C1763" t="inlineStr">
        <is>
          <t>Chuyên viên kinh doanh HCM</t>
        </is>
      </c>
      <c r="D1763" t="inlineStr">
        <is>
          <t>Công Ty TNHH Sơn Seamaster Việt Nam</t>
        </is>
      </c>
      <c r="E1763" t="inlineStr">
        <is>
          <t>Lương:10 Tr - 20 Tr VND</t>
        </is>
      </c>
      <c r="F1763" t="inlineStr">
        <is>
          <t>Hồ Chí MinhBình DươngBà Rịa - Vũng Tàu</t>
        </is>
      </c>
      <c r="G1763" t="inlineStr">
        <is>
          <t>12-04-2026</t>
        </is>
      </c>
      <c r="H1763" t="inlineStr">
        <is>
          <t>12/04/2026</t>
        </is>
      </c>
      <c r="I1763" t="inlineStr">
        <is>
          <t>17/03/2026</t>
        </is>
      </c>
      <c r="J1763" t="inlineStr">
        <is>
          <t>Tiếp thị / Marketing, Bán hàng / Kinh doanh, Tư vấn</t>
        </is>
      </c>
      <c r="K1763" t="inlineStr">
        <is>
          <t>1 - 2 Năm</t>
        </is>
      </c>
      <c r="L1763" s="8">
        <f>HYPERLINK("https://careerviet.vn/vi/tim-viec-lam/chuyen-vien-kinh-doanh-hcm.35C68686.html","Xem chi tiết")</f>
        <v/>
      </c>
    </row>
    <row r="1764">
      <c r="B1764" s="9" t="n">
        <v>1762</v>
      </c>
      <c r="C1764" s="10" t="inlineStr">
        <is>
          <t>Kế toán chi phí</t>
        </is>
      </c>
      <c r="D1764" s="10" t="inlineStr">
        <is>
          <t>CÔNG TY CỔ PHẦN PHÁT TRIỂN DỊCH VỤ VÀ THƯƠNG MẠI QUỐC AN</t>
        </is>
      </c>
      <c r="E1764" s="10" t="inlineStr">
        <is>
          <t>Lương:12 Tr - 18 Tr VND</t>
        </is>
      </c>
      <c r="F1764" s="10" t="inlineStr">
        <is>
          <t>Hà Nội</t>
        </is>
      </c>
      <c r="G1764" s="10" t="inlineStr">
        <is>
          <t>12-04-2026</t>
        </is>
      </c>
      <c r="H1764" s="10" t="inlineStr">
        <is>
          <t>12/04/2026</t>
        </is>
      </c>
      <c r="I1764" s="10" t="inlineStr">
        <is>
          <t>17/03/2026</t>
        </is>
      </c>
      <c r="J1764" s="10" t="inlineStr">
        <is>
          <t>Y tế / Chăm sóc sức khỏe / Thẩm mỹ / Làm đẹp, Kế toán / Kiểm toán, Nhà hàng / Khách sạn</t>
        </is>
      </c>
      <c r="K1764" s="10" t="inlineStr">
        <is>
          <t>Trên 2 Năm</t>
        </is>
      </c>
      <c r="L1764" s="11">
        <f>HYPERLINK("https://careerviet.vn/vi/tim-viec-lam/ke-toan-chi-phi.35C68742.html","Xem chi tiết")</f>
        <v/>
      </c>
      <c r="M1764" s="10" t="n"/>
    </row>
    <row r="1765">
      <c r="B1765" s="7" t="n">
        <v>1763</v>
      </c>
      <c r="C1765" t="inlineStr">
        <is>
          <t>Area Manager - Crocs (HO - 000207_SHO-CRO-149-157-035-3)</t>
        </is>
      </c>
      <c r="D1765" t="inlineStr">
        <is>
          <t>Central Brand &amp; Specialty Việt Nam</t>
        </is>
      </c>
      <c r="E1765" t="inlineStr">
        <is>
          <t>Lương:Cạnh tranh</t>
        </is>
      </c>
      <c r="F1765" t="inlineStr">
        <is>
          <t>Đà Nẵng</t>
        </is>
      </c>
      <c r="G1765" t="inlineStr">
        <is>
          <t>12-04-2026</t>
        </is>
      </c>
      <c r="H1765" t="inlineStr">
        <is>
          <t>12/04/2026</t>
        </is>
      </c>
      <c r="I1765" t="inlineStr">
        <is>
          <t>17/03/2026</t>
        </is>
      </c>
      <c r="J1765" t="inlineStr">
        <is>
          <t>Bán lẻ / Bán sỉ, Bán hàng / Kinh doanh, Dệt may / Da giày / Thời trang</t>
        </is>
      </c>
      <c r="K1765" t="inlineStr">
        <is>
          <t>Chưa có kinh nghiệm</t>
        </is>
      </c>
      <c r="L1765" s="8">
        <f>HYPERLINK("https://careerviet.vn/vi/tim-viec-lam/area-manager-crocs-ho-000207_sho-cro-149-157-035-3.35C684C3.html","Xem chi tiết")</f>
        <v/>
      </c>
    </row>
    <row r="1766">
      <c r="B1766" s="9" t="n">
        <v>1764</v>
      </c>
      <c r="C1766" s="10" t="inlineStr">
        <is>
          <t>[Ninh Thuận] Trình Dược Viên ETC</t>
        </is>
      </c>
      <c r="D1766" s="10" t="inlineStr">
        <is>
          <t>Công ty Cổ phần Dược Hậu Giang</t>
        </is>
      </c>
      <c r="E1766" s="10" t="inlineStr">
        <is>
          <t>Lương:8 Tr - 15 Tr VND</t>
        </is>
      </c>
      <c r="F1766" s="10" t="inlineStr">
        <is>
          <t>Ninh Thuận</t>
        </is>
      </c>
      <c r="G1766" s="10" t="inlineStr">
        <is>
          <t>12-04-2026</t>
        </is>
      </c>
      <c r="H1766" s="10" t="inlineStr">
        <is>
          <t>12/04/2026</t>
        </is>
      </c>
      <c r="I1766" s="10" t="inlineStr">
        <is>
          <t>17/03/2026</t>
        </is>
      </c>
      <c r="J1766" s="10" t="inlineStr">
        <is>
          <t>Tiếp thị / Marketing, Bán hàng / Kinh doanh, Dược phẩm/ Hóa Mỹ Phẩm</t>
        </is>
      </c>
      <c r="K1766" s="10" t="inlineStr">
        <is>
          <t>1 - 2 Năm</t>
        </is>
      </c>
      <c r="L1766" s="11">
        <f>HYPERLINK("https://careerviet.vn/vi/tim-viec-lam/ninh-thuan-trinh-duoc-vien-etc.35C6862E.html","Xem chi tiết")</f>
        <v/>
      </c>
      <c r="M1766" s="10" t="n"/>
    </row>
    <row r="1767">
      <c r="B1767" s="7" t="n">
        <v>1765</v>
      </c>
      <c r="C1767" t="inlineStr">
        <is>
          <t>Production manager (Whitewood)</t>
        </is>
      </c>
      <c r="D1767" t="inlineStr">
        <is>
          <t>Phuc Thang Fine Furniture</t>
        </is>
      </c>
      <c r="E1767" t="inlineStr">
        <is>
          <t>Lương:Cạnh tranh</t>
        </is>
      </c>
      <c r="F1767" t="inlineStr">
        <is>
          <t>Bình Dương</t>
        </is>
      </c>
      <c r="G1767" t="inlineStr">
        <is>
          <t>12-04-2026</t>
        </is>
      </c>
      <c r="H1767" t="inlineStr">
        <is>
          <t>12/04/2026</t>
        </is>
      </c>
      <c r="I1767" t="inlineStr">
        <is>
          <t>17/03/2026</t>
        </is>
      </c>
      <c r="J1767" t="inlineStr">
        <is>
          <t>Sản xuất / Vận hành sản xuất, Đồ gỗ, Nội ngoại thất</t>
        </is>
      </c>
      <c r="K1767" t="inlineStr">
        <is>
          <t>5 - 22 Năm</t>
        </is>
      </c>
      <c r="L1767" s="8">
        <f>HYPERLINK("https://careerviet.vn/vi/tim-viec-lam/production-manager-whitewood.35C686C6.html","Xem chi tiết")</f>
        <v/>
      </c>
    </row>
    <row r="1768">
      <c r="B1768" s="9" t="n">
        <v>1766</v>
      </c>
      <c r="C1768" s="10" t="inlineStr">
        <is>
          <t>Chuyên viên tuyển dụng - Thu nhập từ 15tr - 20tr</t>
        </is>
      </c>
      <c r="D1768" s="10" t="inlineStr">
        <is>
          <t>Công ty Cổ phần thực phẩm và đồ uống Barett</t>
        </is>
      </c>
      <c r="E1768" s="10" t="inlineStr">
        <is>
          <t>Lương:15 Tr - 20 Tr VND</t>
        </is>
      </c>
      <c r="F1768" s="10" t="inlineStr">
        <is>
          <t>Hưng YênHà Nội</t>
        </is>
      </c>
      <c r="G1768" s="10" t="inlineStr">
        <is>
          <t>12-04-2026</t>
        </is>
      </c>
      <c r="H1768" s="10" t="inlineStr">
        <is>
          <t>12/04/2026</t>
        </is>
      </c>
      <c r="I1768" s="10" t="inlineStr">
        <is>
          <t>17/03/2026</t>
        </is>
      </c>
      <c r="J1768" s="10" t="inlineStr">
        <is>
          <t>Công nghệ thực phẩm / Dinh dưỡng, Sản xuất / Vận hành sản xuất, Nhân sự</t>
        </is>
      </c>
      <c r="K1768" s="10" t="inlineStr">
        <is>
          <t>2 - 3 Năm</t>
        </is>
      </c>
      <c r="L1768" s="11">
        <f>HYPERLINK("https://careerviet.vn/vi/tim-viec-lam/chuyen-vien-tuyen-dung-thu-nhap-tu-15tr-20tr.35C686A0.html","Xem chi tiết")</f>
        <v/>
      </c>
      <c r="M1768" s="10" t="n"/>
    </row>
    <row r="1769">
      <c r="B1769" s="7" t="n">
        <v>1767</v>
      </c>
      <c r="C1769" t="inlineStr">
        <is>
          <t>[PHENIKAA UNI] Tuyển dụng Giảng viên - Trường Công nghệ Thông tin Phenikaa</t>
        </is>
      </c>
      <c r="D1769" t="inlineStr">
        <is>
          <t>TRƯỜNG CÔNG NGHỆ THÔNG TIN - ĐẠI HỌC PHENIKAA</t>
        </is>
      </c>
      <c r="E1769" t="inlineStr">
        <is>
          <t>Lương:Cạnh tranh</t>
        </is>
      </c>
      <c r="F1769" t="inlineStr">
        <is>
          <t>Hà Nội</t>
        </is>
      </c>
      <c r="G1769" t="inlineStr">
        <is>
          <t>12-04-2026</t>
        </is>
      </c>
      <c r="H1769" t="inlineStr">
        <is>
          <t>12/04/2026</t>
        </is>
      </c>
      <c r="I1769" t="inlineStr">
        <is>
          <t>17/03/2026</t>
        </is>
      </c>
      <c r="J1769" t="inlineStr">
        <is>
          <t>Giáo dục / Đào tạo</t>
        </is>
      </c>
      <c r="K1769" t="inlineStr">
        <is>
          <t>1 - 3 Năm</t>
        </is>
      </c>
      <c r="L1769" s="8">
        <f>HYPERLINK("https://careerviet.vn/vi/tim-viec-lam/phenikaa-uni-tuyen-dung-giang-vien-truong-cong-nghe-thong-tin-phenikaa.35C654C3.html","Xem chi tiết")</f>
        <v/>
      </c>
    </row>
    <row r="1770">
      <c r="B1770" s="9" t="n">
        <v>1768</v>
      </c>
      <c r="C1770" s="10" t="inlineStr">
        <is>
          <t>Trung tâm Quản lý tài chính, Phòng Kế toán - Trưởng nhóm Báo cáo kế toán (phụ trách mảngThuế)</t>
        </is>
      </c>
      <c r="D1770" s="10" t="inlineStr">
        <is>
          <t>Ngân Hàng TMCP Phương Đông - OCB</t>
        </is>
      </c>
      <c r="E1770" s="10" t="inlineStr">
        <is>
          <t>Lương:Cạnh tranh</t>
        </is>
      </c>
      <c r="F1770" s="10" t="inlineStr">
        <is>
          <t>Hồ Chí Minh</t>
        </is>
      </c>
      <c r="G1770" s="10" t="inlineStr">
        <is>
          <t>12-04-2026</t>
        </is>
      </c>
      <c r="H1770" s="10" t="inlineStr">
        <is>
          <t>12/04/2026</t>
        </is>
      </c>
      <c r="I1770" s="10" t="inlineStr">
        <is>
          <t>17/03/2026</t>
        </is>
      </c>
      <c r="J1770" s="10" t="inlineStr">
        <is>
          <t>Kế toán / Kiểm toán, Ngân hàng</t>
        </is>
      </c>
      <c r="K1770" s="10" t="inlineStr">
        <is>
          <t>3 - 5 Năm</t>
        </is>
      </c>
      <c r="L1770" s="11">
        <f>HYPERLINK("https://careerviet.vn/vi/tim-viec-lam/trung-tam-quan-ly-tai-chinh-phong-ke-toan-truong-nhom-bao-cao-ke-toan-phu-trach-mangthue.35C687A0.html","Xem chi tiết")</f>
        <v/>
      </c>
      <c r="M1770" s="10" t="n"/>
    </row>
    <row r="1771">
      <c r="B1771" s="7" t="n">
        <v>1769</v>
      </c>
      <c r="C1771" t="inlineStr">
        <is>
          <t>Chuyên viên cao cấp Thị trường vốn - Khối Ngân hàng Đầu tư - Hội sở Hà Nội</t>
        </is>
      </c>
      <c r="D1771" t="inlineStr">
        <is>
          <t>Ngân hàng TMCP Việt Á – VietABank</t>
        </is>
      </c>
      <c r="E1771" t="inlineStr">
        <is>
          <t>Lương:25 Tr - 40 Tr VND</t>
        </is>
      </c>
      <c r="F1771" t="inlineStr">
        <is>
          <t>Hà Nội</t>
        </is>
      </c>
      <c r="G1771" t="inlineStr">
        <is>
          <t>12-04-2026</t>
        </is>
      </c>
      <c r="H1771" t="inlineStr">
        <is>
          <t>12/04/2026</t>
        </is>
      </c>
      <c r="I1771" t="inlineStr">
        <is>
          <t>17/03/2026</t>
        </is>
      </c>
      <c r="J1771" t="inlineStr">
        <is>
          <t>Ngân hàng, Tài chính / Đầu tư</t>
        </is>
      </c>
      <c r="K1771" t="inlineStr">
        <is>
          <t>Trên 1 Năm</t>
        </is>
      </c>
      <c r="L1771" s="8">
        <f>HYPERLINK("https://careerviet.vn/vi/tim-viec-lam/chuyen-vien-cao-cap-thi-truong-von-khoi-ngan-hang-dau-tu-hoi-so-ha-noi.35C6536B.html","Xem chi tiết")</f>
        <v/>
      </c>
    </row>
    <row r="1772">
      <c r="B1772" s="9" t="n">
        <v>1770</v>
      </c>
      <c r="C1772" s="10" t="inlineStr">
        <is>
          <t>Kế toán tổng hợp</t>
        </is>
      </c>
      <c r="D1772" s="10" t="inlineStr">
        <is>
          <t>CÔNG TY CỔ PHẦN PHÁT TRIỂN DỊCH VỤ VÀ THƯƠNG MẠI QUỐC AN</t>
        </is>
      </c>
      <c r="E1772" s="10" t="inlineStr">
        <is>
          <t>Lương:12 Tr - 15 Tr VND</t>
        </is>
      </c>
      <c r="F1772" s="10" t="inlineStr">
        <is>
          <t>Hà Nội</t>
        </is>
      </c>
      <c r="G1772" s="10" t="inlineStr">
        <is>
          <t>12-04-2026</t>
        </is>
      </c>
      <c r="H1772" s="10" t="inlineStr">
        <is>
          <t>12/04/2026</t>
        </is>
      </c>
      <c r="I1772" s="10" t="inlineStr">
        <is>
          <t>17/03/2026</t>
        </is>
      </c>
      <c r="J1772" s="10" t="inlineStr">
        <is>
          <t>Y tế / Chăm sóc sức khỏe / Thẩm mỹ / Làm đẹp, Dịch vụ khách hàng, Kế toán / Kiểm toán</t>
        </is>
      </c>
      <c r="K1772" s="10" t="inlineStr">
        <is>
          <t>Trên 1 Năm</t>
        </is>
      </c>
      <c r="L1772" s="11">
        <f>HYPERLINK("https://careerviet.vn/vi/tim-viec-lam/ke-toan-tong-hop.35C68749.html","Xem chi tiết")</f>
        <v/>
      </c>
      <c r="M1772" s="10" t="n"/>
    </row>
    <row r="1773">
      <c r="B1773" s="7" t="n">
        <v>1771</v>
      </c>
      <c r="C1773" t="inlineStr">
        <is>
          <t>Accounting Assistant Specialist</t>
        </is>
      </c>
      <c r="D1773" t="inlineStr">
        <is>
          <t>CÔNG TY TNHH THƯƠNG MẠI UPCM (VIỆT NAM)</t>
        </is>
      </c>
      <c r="E1773" t="inlineStr">
        <is>
          <t>Lương:Cạnh tranh</t>
        </is>
      </c>
      <c r="F1773" t="inlineStr">
        <is>
          <t>Hồ Chí Minh</t>
        </is>
      </c>
      <c r="G1773" t="inlineStr">
        <is>
          <t>12-04-2026</t>
        </is>
      </c>
      <c r="H1773" t="inlineStr">
        <is>
          <t>12/04/2026</t>
        </is>
      </c>
      <c r="I1773" t="inlineStr">
        <is>
          <t>17/03/2026</t>
        </is>
      </c>
      <c r="J1773" t="inlineStr">
        <is>
          <t>Sản xuất / Vận hành sản xuất</t>
        </is>
      </c>
      <c r="K1773" t="inlineStr">
        <is>
          <t>N/A</t>
        </is>
      </c>
      <c r="L1773" s="8">
        <f>HYPERLINK("https://careerviet.vn/vi/tim-viec-lam/accounting-assistant-specialist.35C6870B.html","Xem chi tiết")</f>
        <v/>
      </c>
    </row>
    <row r="1774">
      <c r="B1774" s="9" t="n">
        <v>1772</v>
      </c>
      <c r="C1774" s="10" t="inlineStr">
        <is>
          <t>Giáo viên Lịch sử</t>
        </is>
      </c>
      <c r="D1774" s="10" t="inlineStr">
        <is>
          <t>TRƯỜNG PHỔ THÔNG LIÊN CẤP H.A.S</t>
        </is>
      </c>
      <c r="E1774" s="10" t="inlineStr">
        <is>
          <t>Lương:10 Tr - 12 Tr VND</t>
        </is>
      </c>
      <c r="F1774" s="10" t="inlineStr">
        <is>
          <t>Hà Nội</t>
        </is>
      </c>
      <c r="G1774" s="10" t="inlineStr">
        <is>
          <t>12-04-2026</t>
        </is>
      </c>
      <c r="H1774" s="10" t="inlineStr">
        <is>
          <t>12/04/2026</t>
        </is>
      </c>
      <c r="I1774" s="10" t="inlineStr">
        <is>
          <t>17/03/2026</t>
        </is>
      </c>
      <c r="J1774" s="10" t="inlineStr">
        <is>
          <t>Giáo dục / Đào tạo</t>
        </is>
      </c>
      <c r="K1774" s="10" t="inlineStr">
        <is>
          <t>1 - 3 Năm</t>
        </is>
      </c>
      <c r="L1774" s="11">
        <f>HYPERLINK("https://careerviet.vn/vi/tim-viec-lam/giao-vien-lich-su.35C654C1.html","Xem chi tiết")</f>
        <v/>
      </c>
      <c r="M1774" s="10" t="n"/>
    </row>
    <row r="1775">
      <c r="B1775" s="7" t="n">
        <v>1773</v>
      </c>
      <c r="C1775" t="inlineStr">
        <is>
          <t>Nhân viên an toàn lao động - Bình Phước</t>
        </is>
      </c>
      <c r="D1775" t="inlineStr">
        <is>
          <t>CÔNG TY TNHH TM DV XỬ LÝ MÔI TRƯỜNG VIỆT KHẢI</t>
        </is>
      </c>
      <c r="E1775" t="inlineStr">
        <is>
          <t>Lương:9 Tr - 12 Tr VND</t>
        </is>
      </c>
      <c r="F1775" t="inlineStr">
        <is>
          <t>Bình Phước</t>
        </is>
      </c>
      <c r="G1775" t="inlineStr">
        <is>
          <t>12-04-2026</t>
        </is>
      </c>
      <c r="H1775" t="inlineStr">
        <is>
          <t>12/04/2026</t>
        </is>
      </c>
      <c r="I1775" t="inlineStr">
        <is>
          <t>17/03/2026</t>
        </is>
      </c>
      <c r="J1775" t="inlineStr">
        <is>
          <t>Môi trường, Bảo trì / Sửa chữa, An toàn lao động</t>
        </is>
      </c>
      <c r="K1775" t="inlineStr">
        <is>
          <t>1 - 2 Năm</t>
        </is>
      </c>
      <c r="L1775" s="8">
        <f>HYPERLINK("https://careerviet.vn/vi/tim-viec-lam/nhan-vien-an-toan-lao-dong-binh-phuoc.35C68631.html","Xem chi tiết")</f>
        <v/>
      </c>
    </row>
    <row r="1776">
      <c r="B1776" s="9" t="n">
        <v>1774</v>
      </c>
      <c r="C1776" s="10" t="inlineStr">
        <is>
          <t>[PGD Mỹ Tú, CN Sóc Trăng] Giám đốc Phòng Giao dịch</t>
        </is>
      </c>
      <c r="D1776" s="10" t="inlineStr">
        <is>
          <t>Ngân hàng TMCP Lộc Phát Việt Nam (LPBank)</t>
        </is>
      </c>
      <c r="E1776" s="10" t="inlineStr">
        <is>
          <t>Lương:Cạnh tranh</t>
        </is>
      </c>
      <c r="F1776" s="10" t="inlineStr">
        <is>
          <t>Sóc Trăng</t>
        </is>
      </c>
      <c r="G1776" s="10" t="inlineStr">
        <is>
          <t>12-04-2026</t>
        </is>
      </c>
      <c r="H1776" s="10" t="inlineStr">
        <is>
          <t>12/04/2026</t>
        </is>
      </c>
      <c r="I1776" s="10" t="inlineStr">
        <is>
          <t>17/03/2026</t>
        </is>
      </c>
      <c r="J1776" s="10" t="inlineStr">
        <is>
          <t>Ngân hàng</t>
        </is>
      </c>
      <c r="K1776" s="10" t="inlineStr">
        <is>
          <t>3 - 5 Năm</t>
        </is>
      </c>
      <c r="L1776" s="11">
        <f>HYPERLINK("https://careerviet.vn/vi/tim-viec-lam/pgd-my-tu-cn-soc-trang-giam-doc-phong-giao-dich.35C686E1.html","Xem chi tiết")</f>
        <v/>
      </c>
      <c r="M1776" s="10" t="n"/>
    </row>
    <row r="1777">
      <c r="B1777" s="7" t="n">
        <v>1775</v>
      </c>
      <c r="C1777" t="inlineStr">
        <is>
          <t>Chỉ huy trưởng (Mảng nhôm kính, nội thất)</t>
        </is>
      </c>
      <c r="D1777" t="inlineStr">
        <is>
          <t>CÔNG TY CỔ PHẦN THƯƠNG MẠI DỊCH VỤ XÂY DỰNG E&amp;C</t>
        </is>
      </c>
      <c r="E1777" t="inlineStr">
        <is>
          <t>Lương:20 Tr - 27 Tr VND</t>
        </is>
      </c>
      <c r="F1777" t="inlineStr">
        <is>
          <t>Hồ Chí MinhBà Rịa - Vũng TàuĐồng Nai</t>
        </is>
      </c>
      <c r="G1777" t="inlineStr">
        <is>
          <t>12-04-2026</t>
        </is>
      </c>
      <c r="H1777" t="inlineStr">
        <is>
          <t>12/04/2026</t>
        </is>
      </c>
      <c r="I1777" t="inlineStr">
        <is>
          <t>17/03/2026</t>
        </is>
      </c>
      <c r="J1777" t="inlineStr">
        <is>
          <t>Xây dựng, Sản xuất / Vận hành sản xuất</t>
        </is>
      </c>
      <c r="K1777" t="inlineStr">
        <is>
          <t>3 - 5 Năm</t>
        </is>
      </c>
      <c r="L1777" s="8">
        <f>HYPERLINK("https://careerviet.vn/vi/tim-viec-lam/chi-huy-truong-mang-nhom-kinh-noi-that.35C65303.html","Xem chi tiết")</f>
        <v/>
      </c>
    </row>
    <row r="1778">
      <c r="B1778" s="9" t="n">
        <v>1776</v>
      </c>
      <c r="C1778" s="10" t="inlineStr">
        <is>
          <t>TRƯỞNG PHÒNG KẾ TOÁN HÀNH CHÍNH TẠI HẢI DƯƠNG</t>
        </is>
      </c>
      <c r="D1778" s="10" t="inlineStr">
        <is>
          <t>Tổng Công Ty Cổ Phần Bảo Hiểm Ngân Hàng TMCP Công Thương Việt Nam</t>
        </is>
      </c>
      <c r="E1778" s="10" t="inlineStr">
        <is>
          <t>Lương:Cạnh tranh</t>
        </is>
      </c>
      <c r="F1778" s="10" t="inlineStr">
        <is>
          <t>Hải Dương</t>
        </is>
      </c>
      <c r="G1778" s="10" t="inlineStr">
        <is>
          <t>12-04-2026</t>
        </is>
      </c>
      <c r="H1778" s="10" t="inlineStr">
        <is>
          <t>12/04/2026</t>
        </is>
      </c>
      <c r="I1778" s="10" t="inlineStr">
        <is>
          <t>17/03/2026</t>
        </is>
      </c>
      <c r="J1778" s="10" t="inlineStr">
        <is>
          <t>Bảo hiểm, Kế toán / Kiểm toán</t>
        </is>
      </c>
      <c r="K1778" s="10" t="inlineStr">
        <is>
          <t>2 - 5 Năm</t>
        </is>
      </c>
      <c r="L1778" s="11">
        <f>HYPERLINK("https://careerviet.vn/vi/tim-viec-lam/truong-phong-ke-toan-hanh-chinh-tai-hai-duong.35C6877D.html","Xem chi tiết")</f>
        <v/>
      </c>
      <c r="M1778" s="10" t="n"/>
    </row>
    <row r="1779">
      <c r="B1779" s="7" t="n">
        <v>1777</v>
      </c>
      <c r="C1779" t="inlineStr">
        <is>
          <t>Digital Operations Executive (Marketing)</t>
        </is>
      </c>
      <c r="D1779" t="inlineStr">
        <is>
          <t>Công ty Easia Travel</t>
        </is>
      </c>
      <c r="E1779" t="inlineStr">
        <is>
          <t>Lương:Cạnh tranh</t>
        </is>
      </c>
      <c r="F1779" t="inlineStr">
        <is>
          <t>Hà Nội</t>
        </is>
      </c>
      <c r="G1779" t="inlineStr">
        <is>
          <t>12-04-2026</t>
        </is>
      </c>
      <c r="H1779" t="inlineStr">
        <is>
          <t>12/04/2026</t>
        </is>
      </c>
      <c r="I1779" t="inlineStr">
        <is>
          <t>17/03/2026</t>
        </is>
      </c>
      <c r="J1779" t="inlineStr">
        <is>
          <t>Du lịch</t>
        </is>
      </c>
      <c r="K1779" t="inlineStr">
        <is>
          <t>2 - 4 Năm</t>
        </is>
      </c>
      <c r="L1779" s="8">
        <f>HYPERLINK("https://careerviet.vn/vi/tim-viec-lam/digital-operations-executive-marketing.35C68795.html","Xem chi tiết")</f>
        <v/>
      </c>
    </row>
    <row r="1780">
      <c r="B1780" s="9" t="n">
        <v>1778</v>
      </c>
      <c r="C1780" s="10" t="inlineStr">
        <is>
          <t>Kỹ Sư Thiết Kế Đường Ống - Autocad Plant 3D/ Piping Designer - Autocad Plant 3D</t>
        </is>
      </c>
      <c r="D1780" s="10" t="inlineStr">
        <is>
          <t>Công Ty TNHH Boydens Vietnam part of Sweco</t>
        </is>
      </c>
      <c r="E1780" s="10" t="inlineStr">
        <is>
          <t>Lương:Cạnh tranh</t>
        </is>
      </c>
      <c r="F1780" s="10" t="inlineStr">
        <is>
          <t>Hồ Chí MinhHà Nội</t>
        </is>
      </c>
      <c r="G1780" s="10" t="inlineStr">
        <is>
          <t>12-04-2026</t>
        </is>
      </c>
      <c r="H1780" s="10" t="inlineStr">
        <is>
          <t>12/04/2026</t>
        </is>
      </c>
      <c r="I1780" s="10" t="inlineStr">
        <is>
          <t>17/03/2026</t>
        </is>
      </c>
      <c r="J1780" s="10" t="inlineStr">
        <is>
          <t>Cơ khí / Ô tô / Tự động hóa, Dầu khí, Mỹ thuật / Nghệ thuật / Thiết kế</t>
        </is>
      </c>
      <c r="K1780" s="10" t="inlineStr">
        <is>
          <t>Trên 3 Năm</t>
        </is>
      </c>
      <c r="L1780" s="11">
        <f>HYPERLINK("https://careerviet.vn/vi/tim-viec-lam/ky-su-thiet-ke-duong-ong-autocad-plant-3d-piping-designer-autocad-plant-3d.35C68701.html","Xem chi tiết")</f>
        <v/>
      </c>
      <c r="M1780" s="10" t="n"/>
    </row>
    <row r="1781">
      <c r="B1781" s="7" t="n">
        <v>1779</v>
      </c>
      <c r="C1781" t="inlineStr">
        <is>
          <t>[PHỦ LÝ] RẠP TRƯỞNG - RẠP CHIẾU PHIM</t>
        </is>
      </c>
      <c r="D1781" t="inlineStr">
        <is>
          <t>CÔNG TY TNHH LOTTECINEMA VIỆT NAM</t>
        </is>
      </c>
      <c r="E1781" t="inlineStr">
        <is>
          <t>Lương:Cạnh tranh</t>
        </is>
      </c>
      <c r="F1781" t="inlineStr">
        <is>
          <t>Hà Nam</t>
        </is>
      </c>
      <c r="G1781" t="inlineStr">
        <is>
          <t>12-04-2026</t>
        </is>
      </c>
      <c r="H1781" t="inlineStr">
        <is>
          <t>12/04/2026</t>
        </is>
      </c>
      <c r="I1781" t="inlineStr">
        <is>
          <t>17/03/2026</t>
        </is>
      </c>
      <c r="J1781" t="inlineStr">
        <is>
          <t>Quản lý điều hành, Nhà hàng / Khách sạn, Giải trí</t>
        </is>
      </c>
      <c r="K1781" t="inlineStr">
        <is>
          <t>2 - 3 Năm</t>
        </is>
      </c>
      <c r="L1781" s="8">
        <f>HYPERLINK("https://careerviet.vn/vi/tim-viec-lam/phu-ly-rap-truong-rap-chieu-phim.35C65558.html","Xem chi tiết")</f>
        <v/>
      </c>
    </row>
    <row r="1782">
      <c r="B1782" s="9" t="n">
        <v>1780</v>
      </c>
      <c r="C1782" s="10" t="inlineStr">
        <is>
          <t>Chuyên viên kế toán chi phí</t>
        </is>
      </c>
      <c r="D1782" s="10" t="inlineStr">
        <is>
          <t>Hoang Duc Pharmaceutical &amp; Medical Supplies co, Ltd.</t>
        </is>
      </c>
      <c r="E1782" s="10" t="inlineStr">
        <is>
          <t>Lương:Cạnh tranh</t>
        </is>
      </c>
      <c r="F1782" s="10" t="inlineStr">
        <is>
          <t>Hà Nội</t>
        </is>
      </c>
      <c r="G1782" s="10" t="inlineStr">
        <is>
          <t>12-04-2026</t>
        </is>
      </c>
      <c r="H1782" s="10" t="inlineStr">
        <is>
          <t>12/04/2026</t>
        </is>
      </c>
      <c r="I1782" s="10" t="inlineStr">
        <is>
          <t>17/03/2026</t>
        </is>
      </c>
      <c r="J1782" s="10" t="inlineStr">
        <is>
          <t>Kế toán / Kiểm toán</t>
        </is>
      </c>
      <c r="K1782" s="10" t="inlineStr">
        <is>
          <t>1 - 2 Năm</t>
        </is>
      </c>
      <c r="L1782" s="11">
        <f>HYPERLINK("https://careerviet.vn/vi/tim-viec-lam/chuyen-vien-ke-toan-chi-phi.35C65371.html","Xem chi tiết")</f>
        <v/>
      </c>
      <c r="M1782" s="10" t="n"/>
    </row>
    <row r="1783">
      <c r="B1783" s="7" t="n">
        <v>1781</v>
      </c>
      <c r="C1783" t="inlineStr">
        <is>
          <t>Chuyên viên Kế toán công nợ</t>
        </is>
      </c>
      <c r="D1783" t="inlineStr">
        <is>
          <t>CÔNG TY CỔ PHẦN THỰC PHẨM HỮU NGHỊ</t>
        </is>
      </c>
      <c r="E1783" t="inlineStr">
        <is>
          <t>Lương:12 Tr - 15 Tr VND</t>
        </is>
      </c>
      <c r="F1783" t="inlineStr">
        <is>
          <t>Hà Nội</t>
        </is>
      </c>
      <c r="G1783" t="inlineStr">
        <is>
          <t>12-04-2026</t>
        </is>
      </c>
      <c r="H1783" t="inlineStr">
        <is>
          <t>12/04/2026</t>
        </is>
      </c>
      <c r="I1783" t="inlineStr">
        <is>
          <t>17/03/2026</t>
        </is>
      </c>
      <c r="J1783" t="inlineStr">
        <is>
          <t>Kế toán / Kiểm toán</t>
        </is>
      </c>
      <c r="K1783" t="inlineStr">
        <is>
          <t>1 - 2 Năm</t>
        </is>
      </c>
      <c r="L1783" s="8">
        <f>HYPERLINK("https://careerviet.vn/vi/tim-viec-lam/chuyen-vien-ke-toan-cong-no.35C65349.html","Xem chi tiết")</f>
        <v/>
      </c>
    </row>
    <row r="1784">
      <c r="B1784" s="9" t="n">
        <v>1782</v>
      </c>
      <c r="C1784" s="10" t="inlineStr">
        <is>
          <t>Giám đốc Phòng Kinh doanh (SM) - Khu vực Hồ Chí Minh</t>
        </is>
      </c>
      <c r="D1784" s="10" t="inlineStr">
        <is>
          <t>Ngân Hàng TMCP Quốc Tế Việt Nam</t>
        </is>
      </c>
      <c r="E1784" s="10" t="inlineStr">
        <is>
          <t>Lương:Trên 25 Tr VND</t>
        </is>
      </c>
      <c r="F1784" s="10" t="inlineStr">
        <is>
          <t>Hồ Chí Minh</t>
        </is>
      </c>
      <c r="G1784" s="10" t="inlineStr">
        <is>
          <t>12-04-2026</t>
        </is>
      </c>
      <c r="H1784" s="10" t="inlineStr">
        <is>
          <t>12/04/2026</t>
        </is>
      </c>
      <c r="I1784" s="10" t="inlineStr">
        <is>
          <t>17/03/2026</t>
        </is>
      </c>
      <c r="J1784" s="10" t="inlineStr">
        <is>
          <t>Bán hàng / Kinh doanh, Ngân hàng</t>
        </is>
      </c>
      <c r="K1784" s="10" t="inlineStr">
        <is>
          <t>Trên 5 Năm</t>
        </is>
      </c>
      <c r="L1784" s="11">
        <f>HYPERLINK("https://careerviet.vn/vi/tim-viec-lam/giam-doc-phong-kinh-doanh-sm-khu-vuc-ho-chi-minh.35C4D1BC.html","Xem chi tiết")</f>
        <v/>
      </c>
      <c r="M1784" s="10" t="n"/>
    </row>
    <row r="1785">
      <c r="B1785" s="7" t="n">
        <v>1783</v>
      </c>
      <c r="C1785" t="inlineStr">
        <is>
          <t>KẾ TOÁN NỘI BỘ (NAM / NỮ)</t>
        </is>
      </c>
      <c r="D1785" t="inlineStr">
        <is>
          <t>CÔNG TY TNHH SÀI GÒN NHÔM KÍNH</t>
        </is>
      </c>
      <c r="E1785" t="inlineStr">
        <is>
          <t>Lương:10 Tr - 15 Tr VND</t>
        </is>
      </c>
      <c r="F1785" t="inlineStr">
        <is>
          <t>Hồ Chí Minh</t>
        </is>
      </c>
      <c r="G1785" t="inlineStr">
        <is>
          <t>12-04-2026</t>
        </is>
      </c>
      <c r="H1785" t="inlineStr">
        <is>
          <t>12/04/2026</t>
        </is>
      </c>
      <c r="I1785" t="inlineStr">
        <is>
          <t>17/03/2026</t>
        </is>
      </c>
      <c r="J1785" t="inlineStr">
        <is>
          <t>Kế toán / Kiểm toán</t>
        </is>
      </c>
      <c r="K1785" t="inlineStr">
        <is>
          <t>Trên 5 Năm</t>
        </is>
      </c>
      <c r="L1785" s="8">
        <f>HYPERLINK("https://careerviet.vn/vi/tim-viec-lam/ke-toan-noi-bo-nam-nu.35C6521B.html","Xem chi tiết")</f>
        <v/>
      </c>
    </row>
    <row r="1786">
      <c r="B1786" s="9" t="n">
        <v>1784</v>
      </c>
      <c r="C1786" s="10" t="inlineStr">
        <is>
          <t>CHUYÊN VIÊN KINH DOANH BIẾT TIẾNG HOA</t>
        </is>
      </c>
      <c r="D1786" s="10" t="inlineStr">
        <is>
          <t>Fubon Insurance</t>
        </is>
      </c>
      <c r="E1786" s="10" t="inlineStr">
        <is>
          <t>Lương:500 - 1.000 USD</t>
        </is>
      </c>
      <c r="F1786" s="10" t="inlineStr">
        <is>
          <t>Hồ Chí Minh</t>
        </is>
      </c>
      <c r="G1786" s="10" t="inlineStr">
        <is>
          <t>12-04-2026</t>
        </is>
      </c>
      <c r="H1786" s="10" t="inlineStr">
        <is>
          <t>12/04/2026</t>
        </is>
      </c>
      <c r="I1786" s="10" t="inlineStr">
        <is>
          <t>17/03/2026</t>
        </is>
      </c>
      <c r="J1786" s="10" t="inlineStr">
        <is>
          <t>Bán hàng / Kinh doanh, Bảo hiểm, Tài chính / Đầu tư</t>
        </is>
      </c>
      <c r="K1786" s="10" t="inlineStr">
        <is>
          <t>2 - 5 Năm</t>
        </is>
      </c>
      <c r="L1786" s="11">
        <f>HYPERLINK("https://careerviet.vn/vi/tim-viec-lam/chuyen-vien-kinh-doanh-biet-tieng-hoa.35C68627.html","Xem chi tiết")</f>
        <v/>
      </c>
      <c r="M1786" s="10" t="n"/>
    </row>
    <row r="1787">
      <c r="B1787" s="7" t="n">
        <v>1785</v>
      </c>
      <c r="C1787" t="inlineStr">
        <is>
          <t>Chuyên Viên C&amp;B Hợp đồng 6 Tháng (14-16M)</t>
        </is>
      </c>
      <c r="D1787" t="inlineStr">
        <is>
          <t>CÔNG TY CỔ PHẦN VUA NỆM</t>
        </is>
      </c>
      <c r="E1787" t="inlineStr">
        <is>
          <t>Lương:14 Tr - 16 Tr VND</t>
        </is>
      </c>
      <c r="F1787" t="inlineStr">
        <is>
          <t>Hà Nội</t>
        </is>
      </c>
      <c r="G1787" t="inlineStr">
        <is>
          <t>12-04-2026</t>
        </is>
      </c>
      <c r="H1787" t="inlineStr">
        <is>
          <t>12/04/2026</t>
        </is>
      </c>
      <c r="I1787" t="inlineStr">
        <is>
          <t>17/03/2026</t>
        </is>
      </c>
      <c r="J1787" t="inlineStr">
        <is>
          <t>Bán lẻ / Bán sỉ, Nhân sự, Kế toán / Kiểm toán</t>
        </is>
      </c>
      <c r="K1787" t="inlineStr">
        <is>
          <t>2 - 3 Năm</t>
        </is>
      </c>
      <c r="L1787" s="8">
        <f>HYPERLINK("https://careerviet.vn/vi/tim-viec-lam/chuyen-vien-c-b-hop-dong-6-thang-14-16m.35C654D5.html","Xem chi tiết")</f>
        <v/>
      </c>
    </row>
    <row r="1788">
      <c r="B1788" s="9" t="n">
        <v>1786</v>
      </c>
      <c r="C1788" s="10" t="inlineStr">
        <is>
          <t>Kế toán trưởng</t>
        </is>
      </c>
      <c r="D1788" s="10" t="inlineStr">
        <is>
          <t>CÔNG TY CỔ PHẦN PHÁT TRIỂN DỊCH VỤ VÀ THƯƠNG MẠI QUỐC AN</t>
        </is>
      </c>
      <c r="E1788" s="10" t="inlineStr">
        <is>
          <t>Lương:25 Tr - 30 Tr VND</t>
        </is>
      </c>
      <c r="F1788" s="10" t="inlineStr">
        <is>
          <t>Hà Nội</t>
        </is>
      </c>
      <c r="G1788" s="10" t="inlineStr">
        <is>
          <t>12-04-2026</t>
        </is>
      </c>
      <c r="H1788" s="10" t="inlineStr">
        <is>
          <t>12/04/2026</t>
        </is>
      </c>
      <c r="I1788" s="10" t="inlineStr">
        <is>
          <t>17/03/2026</t>
        </is>
      </c>
      <c r="J1788" s="10" t="inlineStr">
        <is>
          <t>Y tế / Chăm sóc sức khỏe / Thẩm mỹ / Làm đẹp, Hành chính / Thư ký, Kế toán / Kiểm toán</t>
        </is>
      </c>
      <c r="K1788" s="10" t="inlineStr">
        <is>
          <t>Trên 3 Năm</t>
        </is>
      </c>
      <c r="L1788" s="11">
        <f>HYPERLINK("https://careerviet.vn/vi/tim-viec-lam/ke-toan-truong.35C6872B.html","Xem chi tiết")</f>
        <v/>
      </c>
      <c r="M1788" s="10" t="n"/>
    </row>
    <row r="1789">
      <c r="B1789" s="7" t="n">
        <v>1787</v>
      </c>
      <c r="C1789" t="inlineStr">
        <is>
          <t>Cán bộ Tư vấn đầu tư Trụ sở chính (làm việc tại Phòng giao dịch)</t>
        </is>
      </c>
      <c r="D1789" t="inlineStr">
        <is>
          <t>Công ty TNHH Chứng khoán Ngân hàng TMCP Ngoại thương Việt Nam (VCBS - Vietcombank Securities)</t>
        </is>
      </c>
      <c r="E1789" t="inlineStr">
        <is>
          <t>Lương:Cạnh tranh</t>
        </is>
      </c>
      <c r="F1789" t="inlineStr">
        <is>
          <t>Hà Nội</t>
        </is>
      </c>
      <c r="G1789" t="inlineStr">
        <is>
          <t>12-04-2026</t>
        </is>
      </c>
      <c r="H1789" t="inlineStr">
        <is>
          <t>12/04/2026</t>
        </is>
      </c>
      <c r="I1789" t="inlineStr">
        <is>
          <t>17/03/2026</t>
        </is>
      </c>
      <c r="J1789" t="inlineStr">
        <is>
          <t>Chứng khoán, Tài chính / Đầu tư, Dịch vụ khách hàng</t>
        </is>
      </c>
      <c r="K1789" t="inlineStr">
        <is>
          <t>Lên đến 1 Năm</t>
        </is>
      </c>
      <c r="L1789" s="8">
        <f>HYPERLINK("https://careerviet.vn/vi/tim-viec-lam/can-bo-tu-van-dau-tu-tru-so-chinh-lam-viec-tai-phong-giao-dich.35C68780.html","Xem chi tiết")</f>
        <v/>
      </c>
    </row>
    <row r="1790">
      <c r="B1790" s="9" t="n">
        <v>1788</v>
      </c>
      <c r="C1790" s="10" t="inlineStr">
        <is>
          <t>Technical Service Manager – Flooring</t>
        </is>
      </c>
      <c r="D1790" s="10" t="inlineStr">
        <is>
          <t>Công Ty TNHH Techno Coatings Industry</t>
        </is>
      </c>
      <c r="E1790" s="10" t="inlineStr">
        <is>
          <t>Lương:Cạnh tranh</t>
        </is>
      </c>
      <c r="F1790" s="10" t="inlineStr">
        <is>
          <t>Bình Dương</t>
        </is>
      </c>
      <c r="G1790" s="10" t="inlineStr">
        <is>
          <t>12-04-2026</t>
        </is>
      </c>
      <c r="H1790" s="10" t="inlineStr">
        <is>
          <t>12/04/2026</t>
        </is>
      </c>
      <c r="I1790" s="10" t="inlineStr">
        <is>
          <t>17/03/2026</t>
        </is>
      </c>
      <c r="J1790" s="10" t="inlineStr">
        <is>
          <t>Tiếp thị / Marketing, Hóa học, Đồ gỗ</t>
        </is>
      </c>
      <c r="K1790" s="10" t="inlineStr">
        <is>
          <t>2 - 5 Năm</t>
        </is>
      </c>
      <c r="L1790" s="11">
        <f>HYPERLINK("https://careerviet.vn/vi/tim-viec-lam/technical-service-manager-flooring.35C686C1.html","Xem chi tiết")</f>
        <v/>
      </c>
      <c r="M1790" s="10" t="n"/>
    </row>
    <row r="1791">
      <c r="B1791" s="7" t="n">
        <v>1789</v>
      </c>
      <c r="C1791" t="inlineStr">
        <is>
          <t>PHÓ PHÒNG KỸ THUẬT- QUẢN LÝ DỰ ÁN (PHỤ TRÁCH ĐIỆN)</t>
        </is>
      </c>
      <c r="D1791" t="inlineStr">
        <is>
          <t>CÔNG TY CỔ PHẦN THƯƠNG MẠI DỊCH VỤ KỸ THUẬT CHẤN HƯNG</t>
        </is>
      </c>
      <c r="E1791" t="inlineStr">
        <is>
          <t>Lương:Cạnh tranh</t>
        </is>
      </c>
      <c r="F1791" t="inlineStr">
        <is>
          <t>Hồ Chí Minh</t>
        </is>
      </c>
      <c r="G1791" t="inlineStr">
        <is>
          <t>12-04-2026</t>
        </is>
      </c>
      <c r="H1791" t="inlineStr">
        <is>
          <t>12/04/2026</t>
        </is>
      </c>
      <c r="I1791" t="inlineStr">
        <is>
          <t>17/03/2026</t>
        </is>
      </c>
      <c r="J1791" t="inlineStr">
        <is>
          <t>Cơ khí / Ô tô / Tự động hóa, Dầu khí, Điện / Điện tử / Điện lạnh / Điện công nghiệp</t>
        </is>
      </c>
      <c r="K1791" t="inlineStr">
        <is>
          <t>Trên 5 Năm</t>
        </is>
      </c>
      <c r="L1791" s="8">
        <f>HYPERLINK("https://careerviet.vn/vi/tim-viec-lam/pho-phong-ky-thuat-quan-ly-du-an-phu-trach-dien.35C6552D.html","Xem chi tiết")</f>
        <v/>
      </c>
    </row>
    <row r="1792">
      <c r="B1792" s="9" t="n">
        <v>1790</v>
      </c>
      <c r="C1792" s="10" t="inlineStr">
        <is>
          <t>Technical Sales</t>
        </is>
      </c>
      <c r="D1792" s="10" t="inlineStr">
        <is>
          <t>CÔNG TY TNHH ĐIỆN TỬ MAKIPOS</t>
        </is>
      </c>
      <c r="E1792" s="10" t="inlineStr">
        <is>
          <t>Lương:Cạnh tranh</t>
        </is>
      </c>
      <c r="F1792" s="10" t="inlineStr">
        <is>
          <t>Hà Nội</t>
        </is>
      </c>
      <c r="G1792" s="10" t="inlineStr">
        <is>
          <t>12-04-2026</t>
        </is>
      </c>
      <c r="H1792" s="10" t="inlineStr">
        <is>
          <t>12/04/2026</t>
        </is>
      </c>
      <c r="I1792" s="10" t="inlineStr">
        <is>
          <t>17/03/2026</t>
        </is>
      </c>
      <c r="J1792" s="10" t="inlineStr">
        <is>
          <t>Bán hàng / Kinh doanh, Bán Hàng Kỹ Thuật</t>
        </is>
      </c>
      <c r="K1792" s="10" t="inlineStr">
        <is>
          <t>1 - 2 Năm</t>
        </is>
      </c>
      <c r="L1792" s="11">
        <f>HYPERLINK("https://careerviet.vn/vi/tim-viec-lam/technical-sales.35C68436.html","Xem chi tiết")</f>
        <v/>
      </c>
      <c r="M1792" s="10" t="n"/>
    </row>
    <row r="1793">
      <c r="B1793" s="7" t="n">
        <v>1791</v>
      </c>
      <c r="C1793" t="inlineStr">
        <is>
          <t>Thợ may</t>
        </is>
      </c>
      <c r="D1793" t="inlineStr">
        <is>
          <t>Công Ty Cổ Phần Du Lịch Vietravel</t>
        </is>
      </c>
      <c r="E1793" t="inlineStr">
        <is>
          <t>Lương:Cạnh tranh</t>
        </is>
      </c>
      <c r="F1793" t="inlineStr">
        <is>
          <t>Thừa Thiên- Huế</t>
        </is>
      </c>
      <c r="G1793" t="inlineStr">
        <is>
          <t>12-04-2026</t>
        </is>
      </c>
      <c r="H1793" t="inlineStr">
        <is>
          <t>12/04/2026</t>
        </is>
      </c>
      <c r="I1793" t="inlineStr">
        <is>
          <t>17/03/2026</t>
        </is>
      </c>
      <c r="J1793" t="inlineStr">
        <is>
          <t>Dệt may / Da giày / Thời trang</t>
        </is>
      </c>
      <c r="K1793" t="inlineStr">
        <is>
          <t>1 - 2 Năm</t>
        </is>
      </c>
      <c r="L1793" s="8">
        <f>HYPERLINK("https://careerviet.vn/vi/tim-viec-lam/tho-may.35C653FA.html","Xem chi tiết")</f>
        <v/>
      </c>
    </row>
    <row r="1794">
      <c r="B1794" s="9" t="n">
        <v>1792</v>
      </c>
      <c r="C1794" s="10" t="inlineStr">
        <is>
          <t>Giám Sát Công Trình (HOÀN THIỆN NỘI THẤT)</t>
        </is>
      </c>
      <c r="D1794" s="10" t="inlineStr">
        <is>
          <t>CÔNG TY CỔ PHẦN NỘI THẤT INCONCEPT</t>
        </is>
      </c>
      <c r="E1794" s="10" t="inlineStr">
        <is>
          <t>Lương:Cạnh tranh</t>
        </is>
      </c>
      <c r="F1794" s="10" t="inlineStr">
        <is>
          <t>Hồ Chí Minh</t>
        </is>
      </c>
      <c r="G1794" s="10" t="inlineStr">
        <is>
          <t>12-04-2026</t>
        </is>
      </c>
      <c r="H1794" s="10" t="inlineStr">
        <is>
          <t>12/04/2026</t>
        </is>
      </c>
      <c r="I1794" s="10" t="inlineStr">
        <is>
          <t>17/03/2026</t>
        </is>
      </c>
      <c r="J1794" s="10" t="inlineStr">
        <is>
          <t>Kiến trúc, Nội ngoại thất, Xây dựng</t>
        </is>
      </c>
      <c r="K1794" s="10" t="inlineStr">
        <is>
          <t>Trên 2 Năm</t>
        </is>
      </c>
      <c r="L1794" s="11">
        <f>HYPERLINK("https://careerviet.vn/vi/tim-viec-lam/giam-sat-cong-trinh-hoan-thien-noi-that.35C6857C.html","Xem chi tiết")</f>
        <v/>
      </c>
      <c r="M1794" s="10" t="n"/>
    </row>
    <row r="1795">
      <c r="B1795" s="7" t="n">
        <v>1793</v>
      </c>
      <c r="C1795" t="inlineStr">
        <is>
          <t>Trưởng Bộ Phận Tài Chính Kế Hoạch</t>
        </is>
      </c>
      <c r="D1795" t="inlineStr">
        <is>
          <t>CÔNG TY CỔ PHẦN ĐIỆN LỰC GELEX</t>
        </is>
      </c>
      <c r="E1795" t="inlineStr">
        <is>
          <t>Lương:Cạnh tranh</t>
        </is>
      </c>
      <c r="F1795" t="inlineStr">
        <is>
          <t>Hà Nội</t>
        </is>
      </c>
      <c r="G1795" t="inlineStr">
        <is>
          <t>12-04-2026</t>
        </is>
      </c>
      <c r="H1795" t="inlineStr">
        <is>
          <t>12/04/2026</t>
        </is>
      </c>
      <c r="I1795" t="inlineStr">
        <is>
          <t>17/03/2026</t>
        </is>
      </c>
      <c r="J1795" t="inlineStr">
        <is>
          <t>Luật / Pháp lý, Quản lý điều hành, Tài chính / Đầu tư</t>
        </is>
      </c>
      <c r="K1795" t="inlineStr">
        <is>
          <t>3 - 5 Năm</t>
        </is>
      </c>
      <c r="L1795" s="8">
        <f>HYPERLINK("https://careerviet.vn/vi/tim-viec-lam/truong-bo-phan-tai-chinh-ke-hoach.35C653AD.html","Xem chi tiết")</f>
        <v/>
      </c>
    </row>
    <row r="1796">
      <c r="B1796" s="9" t="n">
        <v>1794</v>
      </c>
      <c r="C1796" s="10" t="inlineStr">
        <is>
          <t>QC SUPERVISOR</t>
        </is>
      </c>
      <c r="D1796" s="10" t="inlineStr">
        <is>
          <t>Công ty TNHH Olam Việt Nam</t>
        </is>
      </c>
      <c r="E1796" s="10" t="inlineStr">
        <is>
          <t>Lương:Cạnh tranh</t>
        </is>
      </c>
      <c r="F1796" s="10" t="inlineStr">
        <is>
          <t>Đồng Nai</t>
        </is>
      </c>
      <c r="G1796" s="10" t="inlineStr">
        <is>
          <t>12-04-2026</t>
        </is>
      </c>
      <c r="H1796" s="10" t="inlineStr">
        <is>
          <t>12/04/2026</t>
        </is>
      </c>
      <c r="I1796" s="10" t="inlineStr">
        <is>
          <t>17/03/2026</t>
        </is>
      </c>
      <c r="J1796" s="10" t="inlineStr">
        <is>
          <t>Quản lý chất lượng (QA/QC), Công nghệ thực phẩm / Dinh dưỡng, Thực phẩm &amp; Đồ uống</t>
        </is>
      </c>
      <c r="K1796" s="10" t="inlineStr">
        <is>
          <t>N/A</t>
        </is>
      </c>
      <c r="L1796" s="11">
        <f>HYPERLINK("https://careerviet.vn/vi/tim-viec-lam/qc-supervisor.35C68706.html","Xem chi tiết")</f>
        <v/>
      </c>
      <c r="M1796" s="10" t="n"/>
    </row>
    <row r="1797">
      <c r="B1797" s="7" t="n">
        <v>1795</v>
      </c>
      <c r="C1797" t="inlineStr">
        <is>
          <t>Đại Diện Bán Hàng Kênh B2B</t>
        </is>
      </c>
      <c r="D1797" t="inlineStr">
        <is>
          <t>Công Ty Cổ Phần Kềm Nghĩa</t>
        </is>
      </c>
      <c r="E1797" t="inlineStr">
        <is>
          <t>Lương:Cạnh tranh</t>
        </is>
      </c>
      <c r="F1797" t="inlineStr">
        <is>
          <t>Hồ Chí Minh</t>
        </is>
      </c>
      <c r="G1797" t="inlineStr">
        <is>
          <t>12-04-2026</t>
        </is>
      </c>
      <c r="H1797" t="inlineStr">
        <is>
          <t>12/04/2026</t>
        </is>
      </c>
      <c r="I1797" t="inlineStr">
        <is>
          <t>17/03/2026</t>
        </is>
      </c>
      <c r="J1797" t="inlineStr">
        <is>
          <t>Bán hàng / Kinh doanh, Tư vấn, Dịch vụ khách hàng</t>
        </is>
      </c>
      <c r="K1797" t="inlineStr">
        <is>
          <t>Trên 1 Năm</t>
        </is>
      </c>
      <c r="L1797" s="8">
        <f>HYPERLINK("https://careerviet.vn/vi/tim-viec-lam/dai-dien-ban-hang-kenh-b2b.35C68781.html","Xem chi tiết")</f>
        <v/>
      </c>
    </row>
    <row r="1798">
      <c r="B1798" s="9" t="n">
        <v>1796</v>
      </c>
      <c r="C1798" s="10" t="inlineStr">
        <is>
          <t>Product Marketing Manager</t>
        </is>
      </c>
      <c r="D1798" s="10" t="inlineStr">
        <is>
          <t>Công Ty TNHH Map Pacific Singapore</t>
        </is>
      </c>
      <c r="E1798" s="10" t="inlineStr">
        <is>
          <t>Lương:Cạnh tranh</t>
        </is>
      </c>
      <c r="F1798" s="10" t="inlineStr">
        <is>
          <t>Đồng Nai</t>
        </is>
      </c>
      <c r="G1798" s="10" t="inlineStr">
        <is>
          <t>12-04-2026</t>
        </is>
      </c>
      <c r="H1798" s="10" t="inlineStr">
        <is>
          <t>12/04/2026</t>
        </is>
      </c>
      <c r="I1798" s="10" t="inlineStr">
        <is>
          <t>17/03/2026</t>
        </is>
      </c>
      <c r="J1798" s="10" t="inlineStr">
        <is>
          <t>Tiếp thị / Marketing, Nông nghiệp</t>
        </is>
      </c>
      <c r="K1798" s="10" t="inlineStr">
        <is>
          <t>4 - 5 Năm</t>
        </is>
      </c>
      <c r="L1798" s="11">
        <f>HYPERLINK("https://careerviet.vn/vi/tim-viec-lam/product-marketing-manager.35C686EF.html","Xem chi tiết")</f>
        <v/>
      </c>
      <c r="M1798" s="10" t="n"/>
    </row>
    <row r="1799">
      <c r="B1799" s="7" t="n">
        <v>1797</v>
      </c>
      <c r="C1799" t="inlineStr">
        <is>
          <t>Kiến Trúc Sư (Chủ Trì Thiết Kế)</t>
        </is>
      </c>
      <c r="D1799" t="inlineStr">
        <is>
          <t>Công ty Cổ Phần Xây Dựng Thương Mại Dịch Vụ Nhất Tín</t>
        </is>
      </c>
      <c r="E1799" t="inlineStr">
        <is>
          <t>Lương:18 Tr - 25 Tr VND</t>
        </is>
      </c>
      <c r="F1799" t="inlineStr">
        <is>
          <t>Bình ĐịnhHồ Chí Minh</t>
        </is>
      </c>
      <c r="G1799" t="inlineStr">
        <is>
          <t>12-04-2026</t>
        </is>
      </c>
      <c r="H1799" t="inlineStr">
        <is>
          <t>12/04/2026</t>
        </is>
      </c>
      <c r="I1799" t="inlineStr">
        <is>
          <t>17/03/2026</t>
        </is>
      </c>
      <c r="J1799" t="inlineStr">
        <is>
          <t>Kiến trúc, Xây dựng, Nội ngoại thất</t>
        </is>
      </c>
      <c r="K1799" t="inlineStr">
        <is>
          <t>Trên 5 Năm</t>
        </is>
      </c>
      <c r="L1799" s="8">
        <f>HYPERLINK("https://careerviet.vn/vi/tim-viec-lam/kien-truc-su-chu-tri-thiet-ke.35C653F9.html","Xem chi tiết")</f>
        <v/>
      </c>
    </row>
    <row r="1800">
      <c r="B1800" s="9" t="n">
        <v>1798</v>
      </c>
      <c r="C1800" s="10" t="inlineStr">
        <is>
          <t>Trung tâm Quản trị và phân tích dữ liệu - Chuyên gia Khoa học dữ liệu (phụ trách mảng AI)</t>
        </is>
      </c>
      <c r="D1800" s="10" t="inlineStr">
        <is>
          <t>Ngân Hàng TMCP Phương Đông - OCB</t>
        </is>
      </c>
      <c r="E1800" s="10" t="inlineStr">
        <is>
          <t>Lương:Cạnh tranh</t>
        </is>
      </c>
      <c r="F1800" s="10" t="inlineStr">
        <is>
          <t>Hồ Chí Minh</t>
        </is>
      </c>
      <c r="G1800" s="10" t="inlineStr">
        <is>
          <t>12-04-2026</t>
        </is>
      </c>
      <c r="H1800" s="10" t="inlineStr">
        <is>
          <t>12/04/2026</t>
        </is>
      </c>
      <c r="I1800" s="10" t="inlineStr">
        <is>
          <t>17/03/2026</t>
        </is>
      </c>
      <c r="J1800" s="10" t="inlineStr">
        <is>
          <t>Ngân hàng, CNTT - Phần mềm</t>
        </is>
      </c>
      <c r="K1800" s="10" t="inlineStr">
        <is>
          <t>5 - 7 Năm</t>
        </is>
      </c>
      <c r="L1800" s="11">
        <f>HYPERLINK("https://careerviet.vn/vi/tim-viec-lam/trung-tam-quan-tri-va-phan-tich-du-lieu-chuyen-gia-khoa-hoc-du-lieu-phu-trach-mang-ai.35C687A5.html","Xem chi tiết")</f>
        <v/>
      </c>
      <c r="M1800" s="10" t="n"/>
    </row>
    <row r="1801">
      <c r="B1801" s="7" t="n">
        <v>1799</v>
      </c>
      <c r="C1801" t="inlineStr">
        <is>
          <t>Port Commercial Manager</t>
        </is>
      </c>
      <c r="D1801" t="inlineStr">
        <is>
          <t>Công Ty TNHH Interflour Việt Nam</t>
        </is>
      </c>
      <c r="E1801" t="inlineStr">
        <is>
          <t>Lương:Cạnh tranh</t>
        </is>
      </c>
      <c r="F1801" t="inlineStr">
        <is>
          <t>Hồ Chí MinhBà Rịa - Vũng Tàu</t>
        </is>
      </c>
      <c r="G1801" t="inlineStr">
        <is>
          <t>13-04-2026</t>
        </is>
      </c>
      <c r="H1801" t="inlineStr">
        <is>
          <t>13/04/2026</t>
        </is>
      </c>
      <c r="I1801" t="inlineStr">
        <is>
          <t>17/03/2026</t>
        </is>
      </c>
      <c r="J1801" t="inlineStr">
        <is>
          <t>Bán hàng / Kinh doanh</t>
        </is>
      </c>
      <c r="K1801" t="inlineStr">
        <is>
          <t>5 - 10 Năm</t>
        </is>
      </c>
      <c r="L1801" s="8">
        <f>HYPERLINK("https://careerviet.vn/vi/tim-viec-lam/port-commercial-manager.35C6C983.html","Xem chi tiết")</f>
        <v/>
      </c>
    </row>
    <row r="1802">
      <c r="B1802" s="9" t="n">
        <v>1800</v>
      </c>
      <c r="C1802" s="10" t="inlineStr">
        <is>
          <t>Chỉ huy trưởng Kỹ sư cầu đường</t>
        </is>
      </c>
      <c r="D1802" s="10" t="inlineStr">
        <is>
          <t>CÔNG TY CỔ PHẦN XÂY DỰNG NGHĨA PHƯỚC</t>
        </is>
      </c>
      <c r="E1802" s="10" t="inlineStr">
        <is>
          <t>Lương:Cạnh tranh</t>
        </is>
      </c>
      <c r="F1802" s="10" t="inlineStr">
        <is>
          <t>Hồ Chí Minh</t>
        </is>
      </c>
      <c r="G1802" s="10" t="inlineStr">
        <is>
          <t>13-04-2026</t>
        </is>
      </c>
      <c r="H1802" s="10" t="inlineStr">
        <is>
          <t>13/04/2026</t>
        </is>
      </c>
      <c r="I1802" s="10" t="inlineStr">
        <is>
          <t>17/03/2026</t>
        </is>
      </c>
      <c r="J1802" s="10" t="inlineStr">
        <is>
          <t>Quản lý điều hành, Xây dựng</t>
        </is>
      </c>
      <c r="K1802" s="10" t="inlineStr">
        <is>
          <t>9 - 12 Năm</t>
        </is>
      </c>
      <c r="L1802" s="11">
        <f>HYPERLINK("https://careerviet.vn/vi/tim-viec-lam/chi-huy-truong-ky-su-cau-duong.35C6C988.html","Xem chi tiết")</f>
        <v/>
      </c>
      <c r="M1802" s="10" t="n"/>
    </row>
    <row r="1803">
      <c r="B1803" s="7" t="n">
        <v>1801</v>
      </c>
      <c r="C1803" t="inlineStr">
        <is>
          <t>Trợ lý kinh doanh tiếng Trung (Nam)</t>
        </is>
      </c>
      <c r="D1803" t="inlineStr">
        <is>
          <t>CÔNG TY CỔ PHẦN CÔNG NGHỆ VÀ THƯƠNG MẠI SYSTECH</t>
        </is>
      </c>
      <c r="E1803" t="inlineStr">
        <is>
          <t>Lương:20 Tr - 30 Tr VND</t>
        </is>
      </c>
      <c r="F1803" t="inlineStr">
        <is>
          <t>Hà Nội</t>
        </is>
      </c>
      <c r="G1803" t="inlineStr">
        <is>
          <t>12-04-2026</t>
        </is>
      </c>
      <c r="H1803" t="inlineStr">
        <is>
          <t>12/04/2026</t>
        </is>
      </c>
      <c r="I1803" t="inlineStr">
        <is>
          <t>17/03/2026</t>
        </is>
      </c>
      <c r="J1803" t="inlineStr">
        <is>
          <t>Bán hàng / Kinh doanh, Hành chính / Thư ký, Quản lý điều hành</t>
        </is>
      </c>
      <c r="K1803" t="inlineStr">
        <is>
          <t>3 - 5 Năm</t>
        </is>
      </c>
      <c r="L1803" s="8">
        <f>HYPERLINK("https://careerviet.vn/vi/tim-viec-lam/tro-ly-kinh-doanh-tieng-trung-nam.35C65350.html","Xem chi tiết")</f>
        <v/>
      </c>
    </row>
    <row r="1804">
      <c r="B1804" s="9" t="n">
        <v>1802</v>
      </c>
      <c r="C1804" s="10" t="inlineStr">
        <is>
          <t>Nhân viên Sales Hóa Chất Mỹ Phẩm - Personal Care (HCM &amp; Hà Nội)</t>
        </is>
      </c>
      <c r="D1804" s="10" t="inlineStr">
        <is>
          <t>CÔNG TY TNHH HÓA CHẤT Ô XY</t>
        </is>
      </c>
      <c r="E1804" s="10" t="inlineStr">
        <is>
          <t>Lương:8 Tr - 18 Tr VND</t>
        </is>
      </c>
      <c r="F1804" s="10" t="inlineStr">
        <is>
          <t>Hồ Chí Minh</t>
        </is>
      </c>
      <c r="G1804" s="10" t="inlineStr">
        <is>
          <t>15-04-2026</t>
        </is>
      </c>
      <c r="H1804" s="10" t="inlineStr">
        <is>
          <t>15/04/2026</t>
        </is>
      </c>
      <c r="I1804" s="10" t="inlineStr">
        <is>
          <t>17/03/2026</t>
        </is>
      </c>
      <c r="J1804" s="10" t="inlineStr">
        <is>
          <t>Bán hàng / Kinh doanh, Hóa học, Bán Hàng Kỹ Thuật</t>
        </is>
      </c>
      <c r="K1804" s="10" t="inlineStr">
        <is>
          <t>N/A</t>
        </is>
      </c>
      <c r="L1804" s="11">
        <f>HYPERLINK("https://careerviet.vn/vi/tim-viec-lam/nhan-vien-sales-hoa-chat-my-pham-personal-care-hcm-ha-noi.35C6C962.html","Xem chi tiết")</f>
        <v/>
      </c>
      <c r="M1804" s="10" t="n"/>
    </row>
    <row r="1805">
      <c r="B1805" s="7" t="n">
        <v>1803</v>
      </c>
      <c r="C1805" t="inlineStr">
        <is>
          <t>Chuyên viên Quản lý Khối lương xây dựng</t>
        </is>
      </c>
      <c r="D1805" t="inlineStr">
        <is>
          <t>ERAS GROUP</t>
        </is>
      </c>
      <c r="E1805" t="inlineStr">
        <is>
          <t>Lương:Cạnh tranh</t>
        </is>
      </c>
      <c r="F1805" t="inlineStr">
        <is>
          <t>Hồ Chí Minh</t>
        </is>
      </c>
      <c r="G1805" t="inlineStr">
        <is>
          <t>30-04-2026</t>
        </is>
      </c>
      <c r="H1805" t="inlineStr">
        <is>
          <t>30/04/2026</t>
        </is>
      </c>
      <c r="I1805" t="inlineStr">
        <is>
          <t>17/03/2026</t>
        </is>
      </c>
      <c r="J1805" t="inlineStr">
        <is>
          <t>Xây dựng, Bất động sản</t>
        </is>
      </c>
      <c r="K1805" t="inlineStr">
        <is>
          <t>3 - 5 Năm</t>
        </is>
      </c>
      <c r="L1805" s="8">
        <f>HYPERLINK("https://careerviet.vn/vi/tim-viec-lam/chuyen-vien-quan-ly-khoi-luong-xay-dung.35C6C98F.html","Xem chi tiết")</f>
        <v/>
      </c>
    </row>
    <row r="1806">
      <c r="B1806" s="9" t="n">
        <v>1804</v>
      </c>
      <c r="C1806" s="10" t="inlineStr">
        <is>
          <t>Freelancer/ Parttime Thiết kế Kiểu dáng - Industrial Design Project Manager</t>
        </is>
      </c>
      <c r="D1806" s="10" t="inlineStr">
        <is>
          <t>Tập Đoàn Karofi Holding</t>
        </is>
      </c>
      <c r="E1806" s="10" t="inlineStr">
        <is>
          <t>Lương:1.000 - 2.000 USD</t>
        </is>
      </c>
      <c r="F1806" s="10" t="inlineStr">
        <is>
          <t>Hà Nội</t>
        </is>
      </c>
      <c r="G1806" s="10" t="inlineStr">
        <is>
          <t>30-05-2026</t>
        </is>
      </c>
      <c r="H1806" s="10" t="inlineStr">
        <is>
          <t>30/05/2026</t>
        </is>
      </c>
      <c r="I1806" s="10" t="inlineStr">
        <is>
          <t>17/03/2026</t>
        </is>
      </c>
      <c r="J1806" s="10" t="inlineStr">
        <is>
          <t>Hàng gia dụng / Chăm sóc cá nhân, Mỹ thuật / Nghệ thuật / Thiết kế, Quảng cáo / Đối ngoại / Truyền Thông</t>
        </is>
      </c>
      <c r="K1806" s="10" t="inlineStr">
        <is>
          <t>5 - 15 Năm</t>
        </is>
      </c>
      <c r="L1806" s="11">
        <f>HYPERLINK("https://careerviet.vn/vi/tim-viec-lam/freelancer-parttime-thiet-ke-kieu-dang-industrial-design-project-manager.35C6C982.html","Xem chi tiết")</f>
        <v/>
      </c>
      <c r="M1806" s="10" t="n"/>
    </row>
    <row r="1807">
      <c r="B1807" s="7" t="n">
        <v>1805</v>
      </c>
      <c r="C1807" t="inlineStr">
        <is>
          <t>Nhân viên lập trình mobile - Flutter</t>
        </is>
      </c>
      <c r="D1807" t="inlineStr">
        <is>
          <t>BỆNH VIỆN ĐA KHOA PHƯƠNG ĐÔNG</t>
        </is>
      </c>
      <c r="E1807" t="inlineStr">
        <is>
          <t>Lương:10 Tr - 25 Tr VND</t>
        </is>
      </c>
      <c r="F1807" t="inlineStr">
        <is>
          <t>Hà Nội</t>
        </is>
      </c>
      <c r="G1807" t="inlineStr">
        <is>
          <t>01-06-2026</t>
        </is>
      </c>
      <c r="H1807" t="inlineStr">
        <is>
          <t>01/06/2026</t>
        </is>
      </c>
      <c r="I1807" t="inlineStr">
        <is>
          <t>17/03/2026</t>
        </is>
      </c>
      <c r="J1807" t="inlineStr">
        <is>
          <t>CNTT - Phần mềm</t>
        </is>
      </c>
      <c r="K1807" t="inlineStr">
        <is>
          <t>1 - 3 Năm</t>
        </is>
      </c>
      <c r="L1807" s="8">
        <f>HYPERLINK("https://careerviet.vn/vi/tim-viec-lam/nhan-vien-lap-trinh-mobile-flutter.35C6C96E.html","Xem chi tiết")</f>
        <v/>
      </c>
    </row>
    <row r="1808">
      <c r="B1808" s="9" t="n">
        <v>1806</v>
      </c>
      <c r="C1808" s="10" t="inlineStr">
        <is>
          <t>Phó phòng Quản Lý Hợp Đồng</t>
        </is>
      </c>
      <c r="D1808" s="10" t="inlineStr">
        <is>
          <t>Công Ty Cổ Phần Cơ Khí Xây Dựng Thương Mại Đại Dũng</t>
        </is>
      </c>
      <c r="E1808" s="10" t="inlineStr">
        <is>
          <t>Lương:Cạnh tranh</t>
        </is>
      </c>
      <c r="F1808" s="10" t="inlineStr">
        <is>
          <t>Hồ Chí Minh</t>
        </is>
      </c>
      <c r="G1808" s="10" t="inlineStr">
        <is>
          <t>15-04-2026</t>
        </is>
      </c>
      <c r="H1808" s="10" t="inlineStr">
        <is>
          <t>15/04/2026</t>
        </is>
      </c>
      <c r="I1808" s="10" t="inlineStr">
        <is>
          <t>17/03/2026</t>
        </is>
      </c>
      <c r="J1808" s="10" t="inlineStr">
        <is>
          <t>Xây dựng, Luật / Pháp lý</t>
        </is>
      </c>
      <c r="K1808" s="10" t="inlineStr">
        <is>
          <t>3 - 5 Năm</t>
        </is>
      </c>
      <c r="L1808" s="11">
        <f>HYPERLINK("https://careerviet.vn/vi/tim-viec-lam/pho-phong-quan-ly-hop-dong.35C6C952.html","Xem chi tiết")</f>
        <v/>
      </c>
      <c r="M1808" s="10" t="n"/>
    </row>
    <row r="1809">
      <c r="B1809" s="7" t="n">
        <v>1807</v>
      </c>
      <c r="C1809" t="inlineStr">
        <is>
          <t>TRƯỞNG PHÒNG CUNG ỨNG</t>
        </is>
      </c>
      <c r="D1809" t="inlineStr">
        <is>
          <t>CÔNG TY TNHH KỸ NGHỆ VIỆT NAM</t>
        </is>
      </c>
      <c r="E1809" t="inlineStr">
        <is>
          <t>Lương:20 Tr - 25 Tr VND</t>
        </is>
      </c>
      <c r="F1809" t="inlineStr">
        <is>
          <t>Hồ Chí Minh</t>
        </is>
      </c>
      <c r="G1809" t="inlineStr">
        <is>
          <t>31-03-2026</t>
        </is>
      </c>
      <c r="H1809" t="inlineStr">
        <is>
          <t>31/03/2026</t>
        </is>
      </c>
      <c r="I1809" t="inlineStr">
        <is>
          <t>17/03/2026</t>
        </is>
      </c>
      <c r="J1809" t="inlineStr">
        <is>
          <t>Vận chuyển / Giao nhận / Kho vận, Xuất nhập khẩu, Thu mua / Vật tư</t>
        </is>
      </c>
      <c r="K1809" t="inlineStr">
        <is>
          <t>3 - 10 Năm</t>
        </is>
      </c>
      <c r="L1809" s="8">
        <f>HYPERLINK("https://careerviet.vn/vi/tim-viec-lam/truong-phong-cung-ung.35C6A20E.html","Xem chi tiết")</f>
        <v/>
      </c>
    </row>
    <row r="1810">
      <c r="B1810" s="9" t="n">
        <v>1808</v>
      </c>
      <c r="C1810" s="10" t="inlineStr">
        <is>
          <t>Nhân Viên Làm Thầu Y Tế/Dược &amp; Hành Chính</t>
        </is>
      </c>
      <c r="D1810" s="10" t="inlineStr">
        <is>
          <t>Công ty TNHH Giải Pháp &amp; Công Nghệ Diệp Anh</t>
        </is>
      </c>
      <c r="E1810" s="10" t="inlineStr">
        <is>
          <t>Lương:Cạnh tranh</t>
        </is>
      </c>
      <c r="F1810" s="10" t="inlineStr">
        <is>
          <t>Hà Nội</t>
        </is>
      </c>
      <c r="G1810" s="10" t="inlineStr">
        <is>
          <t>11-04-2026</t>
        </is>
      </c>
      <c r="H1810" s="10" t="inlineStr">
        <is>
          <t>11/04/2026</t>
        </is>
      </c>
      <c r="I1810" s="10" t="inlineStr">
        <is>
          <t>17/03/2026</t>
        </is>
      </c>
      <c r="J1810" s="10" t="inlineStr">
        <is>
          <t>Y tế / Chăm sóc sức khỏe / Thẩm mỹ / Làm đẹp, Hành chính / Thư ký, Dược phẩm/ Hóa Mỹ Phẩm</t>
        </is>
      </c>
      <c r="K1810" s="10" t="inlineStr">
        <is>
          <t>Trên 1 Năm</t>
        </is>
      </c>
      <c r="L1810" s="11">
        <f>HYPERLINK("https://careerviet.vn/vi/tim-viec-lam/nhan-vien-lam-thau-y-te-duoc-hanh-chinh.35C6C4B2.html","Xem chi tiết")</f>
        <v/>
      </c>
      <c r="M1810" s="10" t="n"/>
    </row>
    <row r="1811">
      <c r="B1811" s="7" t="n">
        <v>1809</v>
      </c>
      <c r="C1811" t="inlineStr">
        <is>
          <t>Kỹ sư xây dựng mảng Hồ sơ chất lượng dự án (Mới ra trường/ Ít Năm Kinh Nghiệm)  - Dự án toàn quốc</t>
        </is>
      </c>
      <c r="D1811" t="inlineStr">
        <is>
          <t>TTT Corporation</t>
        </is>
      </c>
      <c r="E1811" t="inlineStr">
        <is>
          <t>Lương:10 Tr - 20 Tr VND</t>
        </is>
      </c>
      <c r="F1811" t="inlineStr">
        <is>
          <t>Hồ Chí MinhHà NộiQuảng Ninh</t>
        </is>
      </c>
      <c r="G1811" t="inlineStr">
        <is>
          <t>15-04-2026</t>
        </is>
      </c>
      <c r="H1811" t="inlineStr">
        <is>
          <t>15/04/2026</t>
        </is>
      </c>
      <c r="I1811" t="inlineStr">
        <is>
          <t>17/03/2026</t>
        </is>
      </c>
      <c r="J1811" t="inlineStr">
        <is>
          <t>Xây dựng, Nội ngoại thất, Quản lý chất lượng (QA/QC)</t>
        </is>
      </c>
      <c r="K1811" t="inlineStr">
        <is>
          <t>N/A</t>
        </is>
      </c>
      <c r="L1811" s="8">
        <f>HYPERLINK("https://careerviet.vn/vi/tim-viec-lam/ky-su-xay-dung-mang-ho-so-chat-luong-du-an-moi-ra-truong-it-nam-kinh-nghiem-du-an-toan-quoc.35C6C93E.html","Xem chi tiết")</f>
        <v/>
      </c>
    </row>
    <row r="1812">
      <c r="B1812" s="9" t="n">
        <v>1810</v>
      </c>
      <c r="C1812" s="10" t="inlineStr">
        <is>
          <t>Sales Logistics (Nhân Viên Kinh Doanh Logistics)</t>
        </is>
      </c>
      <c r="D1812" s="10" t="inlineStr">
        <is>
          <t>Vantage Logistics Corporation</t>
        </is>
      </c>
      <c r="E1812" s="10" t="inlineStr">
        <is>
          <t>Lương:10 Tr - 50 Tr VND</t>
        </is>
      </c>
      <c r="F1812" s="10" t="inlineStr">
        <is>
          <t>Hồ Chí MinhHà Nội</t>
        </is>
      </c>
      <c r="G1812" s="10" t="inlineStr">
        <is>
          <t>14-04-2026</t>
        </is>
      </c>
      <c r="H1812" s="10" t="inlineStr">
        <is>
          <t>14/04/2026</t>
        </is>
      </c>
      <c r="I1812" s="10" t="inlineStr">
        <is>
          <t>17/03/2026</t>
        </is>
      </c>
      <c r="J1812" s="10" t="inlineStr">
        <is>
          <t>Xuất nhập khẩu, Bán hàng / Kinh doanh, Ngành khác</t>
        </is>
      </c>
      <c r="K1812" s="10" t="inlineStr">
        <is>
          <t>1 - 3 Năm</t>
        </is>
      </c>
      <c r="L1812" s="11">
        <f>HYPERLINK("https://careerviet.vn/vi/tim-viec-lam/sales-logistics-nhan-vien-kinh-doanh-logistics.35C6C990.html","Xem chi tiết")</f>
        <v/>
      </c>
      <c r="M1812" s="10" t="n"/>
    </row>
    <row r="1813">
      <c r="B1813" s="7" t="n">
        <v>1811</v>
      </c>
      <c r="C1813" t="inlineStr">
        <is>
          <t>Nhân viên Kế toán kho</t>
        </is>
      </c>
      <c r="D1813" t="inlineStr">
        <is>
          <t>Công Ty Cổ phần Tập Đoàn KIDO</t>
        </is>
      </c>
      <c r="E1813" t="inlineStr">
        <is>
          <t>Lương:6 Tr - 10 Tr VND</t>
        </is>
      </c>
      <c r="F1813" t="inlineStr">
        <is>
          <t>Hồ Chí Minh</t>
        </is>
      </c>
      <c r="G1813" t="inlineStr">
        <is>
          <t>3</t>
        </is>
      </c>
      <c r="H1813" t="inlineStr">
        <is>
          <t>19/03/2026</t>
        </is>
      </c>
      <c r="I1813" t="inlineStr">
        <is>
          <t>17/03/2026</t>
        </is>
      </c>
      <c r="J1813" t="inlineStr">
        <is>
          <t>Kế toán / Kiểm toán, Ngân hàng, Vận chuyển / Giao nhận / Kho vận</t>
        </is>
      </c>
      <c r="K1813" t="inlineStr">
        <is>
          <t>1 - 2 Năm</t>
        </is>
      </c>
      <c r="L1813" s="8">
        <f>HYPERLINK("https://careerviet.vn/vi/tim-viec-lam/nhan-vien-ke-toan-kho.35C6C97D.html","Xem chi tiết")</f>
        <v/>
      </c>
    </row>
    <row r="1814">
      <c r="B1814" s="9" t="n">
        <v>1812</v>
      </c>
      <c r="C1814" s="10" t="inlineStr">
        <is>
          <t>KẾ TOÁN TỔNG HỢP (trong lĩnh vực PCCC, Xây dựng)</t>
        </is>
      </c>
      <c r="D1814" s="10" t="inlineStr">
        <is>
          <t>CÔNG TY CỔ PHẦN CƠ ĐIỆN VÀ PCCC THĂNG LONG</t>
        </is>
      </c>
      <c r="E1814" s="10" t="inlineStr">
        <is>
          <t>Lương:15 Tr - 20 Tr VND</t>
        </is>
      </c>
      <c r="F1814" s="10" t="inlineStr">
        <is>
          <t>Hà Nội</t>
        </is>
      </c>
      <c r="G1814" s="10" t="inlineStr">
        <is>
          <t>14-04-2026</t>
        </is>
      </c>
      <c r="H1814" s="10" t="inlineStr">
        <is>
          <t>14/04/2026</t>
        </is>
      </c>
      <c r="I1814" s="10" t="inlineStr">
        <is>
          <t>17/03/2026</t>
        </is>
      </c>
      <c r="J1814" s="10" t="inlineStr">
        <is>
          <t>Xây dựng, Kế toán / Kiểm toán, Tài chính / Đầu tư</t>
        </is>
      </c>
      <c r="K1814" s="10" t="inlineStr">
        <is>
          <t>2 - 3 Năm</t>
        </is>
      </c>
      <c r="L1814" s="11">
        <f>HYPERLINK("https://careerviet.vn/vi/tim-viec-lam/ke-toan-tong-hop-trong-linh-vuc-pccc-xay-dung.35C6C96D.html","Xem chi tiết")</f>
        <v/>
      </c>
      <c r="M1814" s="10" t="n"/>
    </row>
    <row r="1815">
      <c r="B1815" s="7" t="n">
        <v>1813</v>
      </c>
      <c r="C1815" t="inlineStr">
        <is>
          <t>Tổ Trưởng Tổ Thư Ký - Văn Phòng HĐQT</t>
        </is>
      </c>
      <c r="D1815" t="inlineStr">
        <is>
          <t>TẬP ĐOÀN ĐẦU TƯ KINH ĐÔ</t>
        </is>
      </c>
      <c r="E1815" t="inlineStr">
        <is>
          <t>Lương:40 Tr - 50 Tr VND</t>
        </is>
      </c>
      <c r="F1815" t="inlineStr">
        <is>
          <t>Hà Nội</t>
        </is>
      </c>
      <c r="G1815" t="inlineStr">
        <is>
          <t>12-04-2026</t>
        </is>
      </c>
      <c r="H1815" t="inlineStr">
        <is>
          <t>12/04/2026</t>
        </is>
      </c>
      <c r="I1815" t="inlineStr">
        <is>
          <t>17/03/2026</t>
        </is>
      </c>
      <c r="J1815" t="inlineStr">
        <is>
          <t>Luật / Pháp lý, Xây dựng, Bất động sản</t>
        </is>
      </c>
      <c r="K1815" t="inlineStr">
        <is>
          <t>5 - 6 Năm</t>
        </is>
      </c>
      <c r="L1815" s="8">
        <f>HYPERLINK("https://careerviet.vn/vi/tim-viec-lam/to-truong-to-thu-ky-van-phong-hdqt.35C68665.html","Xem chi tiết")</f>
        <v/>
      </c>
    </row>
    <row r="1816">
      <c r="B1816" s="9" t="n">
        <v>1814</v>
      </c>
      <c r="C1816" s="10" t="inlineStr">
        <is>
          <t>Controlling Assistant Supervisor/ Senior Staff</t>
        </is>
      </c>
      <c r="D1816" s="10" t="inlineStr">
        <is>
          <t>Công ty TNHH framas Korea Vina</t>
        </is>
      </c>
      <c r="E1816" s="10" t="inlineStr">
        <is>
          <t>Lương:Cạnh tranh</t>
        </is>
      </c>
      <c r="F1816" s="10" t="inlineStr">
        <is>
          <t>Đồng Nai</t>
        </is>
      </c>
      <c r="G1816" s="10" t="inlineStr">
        <is>
          <t>14-04-2026</t>
        </is>
      </c>
      <c r="H1816" s="10" t="inlineStr">
        <is>
          <t>14/04/2026</t>
        </is>
      </c>
      <c r="I1816" s="10" t="inlineStr">
        <is>
          <t>17/03/2026</t>
        </is>
      </c>
      <c r="J1816" s="10" t="inlineStr">
        <is>
          <t>Kế toán / Kiểm toán, Tài chính / Đầu tư, Sản xuất / Vận hành sản xuất</t>
        </is>
      </c>
      <c r="K1816" s="10" t="inlineStr">
        <is>
          <t>2 - 5 Năm</t>
        </is>
      </c>
      <c r="L1816" s="11">
        <f>HYPERLINK("https://careerviet.vn/vi/tim-viec-lam/controlling-assistant-supervisor-senior-staff.35C6C93D.html","Xem chi tiết")</f>
        <v/>
      </c>
      <c r="M1816" s="10" t="n"/>
    </row>
    <row r="1817">
      <c r="B1817" s="7" t="n">
        <v>1815</v>
      </c>
      <c r="C1817" t="inlineStr">
        <is>
          <t>Kỹ sư bảo trì</t>
        </is>
      </c>
      <c r="D1817" t="inlineStr">
        <is>
          <t>CÔNG TY CỔ PHẦN THỰC PHẨM ĐÔNG LẠNH KIDO</t>
        </is>
      </c>
      <c r="E1817" t="inlineStr">
        <is>
          <t>Lương:Cạnh tranh</t>
        </is>
      </c>
      <c r="F1817" t="inlineStr">
        <is>
          <t>Hồ Chí Minh</t>
        </is>
      </c>
      <c r="G1817" t="inlineStr">
        <is>
          <t>20-04-2026</t>
        </is>
      </c>
      <c r="H1817" t="inlineStr">
        <is>
          <t>20/04/2026</t>
        </is>
      </c>
      <c r="I1817" t="inlineStr">
        <is>
          <t>17/03/2026</t>
        </is>
      </c>
      <c r="J1817" t="inlineStr">
        <is>
          <t>Điện / Điện tử / Điện lạnh / Điện công nghiệp, Cơ khí / Ô tô / Tự động hóa</t>
        </is>
      </c>
      <c r="K1817" t="inlineStr">
        <is>
          <t>Trên 2 Năm</t>
        </is>
      </c>
      <c r="L1817" s="8">
        <f>HYPERLINK("https://careerviet.vn/vi/tim-viec-lam/ky-su-bao-tri.35C6C94B.html","Xem chi tiết")</f>
        <v/>
      </c>
    </row>
    <row r="1818">
      <c r="B1818" s="9" t="n">
        <v>1816</v>
      </c>
      <c r="C1818" s="10" t="inlineStr">
        <is>
          <t>Nhân viên An toàn lao động - PCCC</t>
        </is>
      </c>
      <c r="D1818" s="10" t="inlineStr">
        <is>
          <t>CÔNG TY CP BIA &amp; NGK HẠ LONG</t>
        </is>
      </c>
      <c r="E1818" s="10" t="inlineStr">
        <is>
          <t>Lương:11 Tr - 15 Tr VND</t>
        </is>
      </c>
      <c r="F1818" s="10" t="inlineStr">
        <is>
          <t>Quảng Ninh</t>
        </is>
      </c>
      <c r="G1818" s="10" t="inlineStr">
        <is>
          <t>13-04-2026</t>
        </is>
      </c>
      <c r="H1818" s="10" t="inlineStr">
        <is>
          <t>13/04/2026</t>
        </is>
      </c>
      <c r="I1818" s="10" t="inlineStr">
        <is>
          <t>17/03/2026</t>
        </is>
      </c>
      <c r="J1818" s="10" t="inlineStr">
        <is>
          <t>An toàn lao động</t>
        </is>
      </c>
      <c r="K1818" s="10" t="inlineStr">
        <is>
          <t>1 - 3 Năm</t>
        </is>
      </c>
      <c r="L1818" s="11">
        <f>HYPERLINK("https://careerviet.vn/vi/tim-viec-lam/nhan-vien-an-toan-lao-dong-pccc.35C6C930.html","Xem chi tiết")</f>
        <v/>
      </c>
      <c r="M1818" s="10" t="n"/>
    </row>
    <row r="1819">
      <c r="B1819" s="7" t="n">
        <v>1817</v>
      </c>
      <c r="C1819" t="inlineStr">
        <is>
          <t>Kế toán trưởng</t>
        </is>
      </c>
      <c r="D1819" t="inlineStr">
        <is>
          <t>CÔNG TY CỔ PHẦN TẬP ĐOÀN ĐỊA ỐC VẠN XUÂN</t>
        </is>
      </c>
      <c r="E1819" t="inlineStr">
        <is>
          <t>Lương:Cạnh tranh</t>
        </is>
      </c>
      <c r="F1819" t="inlineStr">
        <is>
          <t>Hồ Chí Minh</t>
        </is>
      </c>
      <c r="G1819" t="inlineStr">
        <is>
          <t>15-04-2026</t>
        </is>
      </c>
      <c r="H1819" t="inlineStr">
        <is>
          <t>15/04/2026</t>
        </is>
      </c>
      <c r="I1819" t="inlineStr">
        <is>
          <t>17/03/2026</t>
        </is>
      </c>
      <c r="J1819" t="inlineStr">
        <is>
          <t>Kế toán / Kiểm toán, Bất động sản, Xây dựng</t>
        </is>
      </c>
      <c r="K1819" t="inlineStr">
        <is>
          <t>5 - 10 Năm</t>
        </is>
      </c>
      <c r="L1819" s="8">
        <f>HYPERLINK("https://careerviet.vn/vi/tim-viec-lam/ke-toan-truong.35C6C935.html","Xem chi tiết")</f>
        <v/>
      </c>
    </row>
    <row r="1820">
      <c r="B1820" s="9" t="n">
        <v>1818</v>
      </c>
      <c r="C1820" s="10" t="inlineStr">
        <is>
          <t>Nhân Viên Kỹ Thuật Sửa Chữa Điện Tử</t>
        </is>
      </c>
      <c r="D1820" s="10" t="inlineStr">
        <is>
          <t>Công Ty TNHH Quốc Tế Anh Duy</t>
        </is>
      </c>
      <c r="E1820" s="10" t="inlineStr">
        <is>
          <t>Lương:10 Tr - 12 Tr VND</t>
        </is>
      </c>
      <c r="F1820" s="10" t="inlineStr">
        <is>
          <t>Hồ Chí Minh</t>
        </is>
      </c>
      <c r="G1820" s="10" t="inlineStr">
        <is>
          <t>30-04-2026</t>
        </is>
      </c>
      <c r="H1820" s="10" t="inlineStr">
        <is>
          <t>30/04/2026</t>
        </is>
      </c>
      <c r="I1820" s="10" t="inlineStr">
        <is>
          <t>17/03/2026</t>
        </is>
      </c>
      <c r="J1820" s="10" t="inlineStr">
        <is>
          <t>Điện / Điện tử / Điện lạnh / Điện công nghiệp</t>
        </is>
      </c>
      <c r="K1820" s="10" t="inlineStr">
        <is>
          <t>1 - 2 Năm</t>
        </is>
      </c>
      <c r="L1820" s="11">
        <f>HYPERLINK("https://careerviet.vn/vi/tim-viec-lam/nhan-vien-ky-thuat-sua-chua-dien-tu.35C6C943.html","Xem chi tiết")</f>
        <v/>
      </c>
      <c r="M1820" s="10" t="n"/>
    </row>
    <row r="1821">
      <c r="B1821" s="7" t="n">
        <v>1819</v>
      </c>
      <c r="C1821" t="inlineStr">
        <is>
          <t>Nhân viên kỹ thuật chăm sóc khách hàng (tiếng Trung)</t>
        </is>
      </c>
      <c r="D1821" t="inlineStr">
        <is>
          <t>Ocean Coatings (Vietnam) Co. Ltd</t>
        </is>
      </c>
      <c r="E1821" t="inlineStr">
        <is>
          <t>Lương:Trên 12 Tr VND</t>
        </is>
      </c>
      <c r="F1821" t="inlineStr">
        <is>
          <t>Hưng Yên</t>
        </is>
      </c>
      <c r="G1821" t="inlineStr">
        <is>
          <t>12-04-2026</t>
        </is>
      </c>
      <c r="H1821" t="inlineStr">
        <is>
          <t>12/04/2026</t>
        </is>
      </c>
      <c r="I1821" t="inlineStr">
        <is>
          <t>17/03/2026</t>
        </is>
      </c>
      <c r="J1821" t="inlineStr">
        <is>
          <t>Hóa học, Mới tốt nghiệp / Thực tập</t>
        </is>
      </c>
      <c r="K1821" t="inlineStr">
        <is>
          <t>N/A</t>
        </is>
      </c>
      <c r="L1821" s="8">
        <f>HYPERLINK("https://careerviet.vn/vi/tim-viec-lam/nhan-vien-ky-thuat-cham-soc-khach-hang-tieng-trung.35C6530B.html","Xem chi tiết")</f>
        <v/>
      </c>
    </row>
    <row r="1822">
      <c r="B1822" s="9" t="n">
        <v>1820</v>
      </c>
      <c r="C1822" s="10" t="inlineStr">
        <is>
          <t>Chuyên viên Kiểm soát nội bộ</t>
        </is>
      </c>
      <c r="D1822" s="10" t="inlineStr">
        <is>
          <t>CÔNG TY CỔ PHẦN CASPER VIỆT NAM</t>
        </is>
      </c>
      <c r="E1822" s="10" t="inlineStr">
        <is>
          <t>Lương:Cạnh tranh</t>
        </is>
      </c>
      <c r="F1822" s="10" t="inlineStr">
        <is>
          <t>Hà Nội</t>
        </is>
      </c>
      <c r="G1822" s="10" t="inlineStr">
        <is>
          <t>12-04-2026</t>
        </is>
      </c>
      <c r="H1822" s="10" t="inlineStr">
        <is>
          <t>12/04/2026</t>
        </is>
      </c>
      <c r="I1822" s="10" t="inlineStr">
        <is>
          <t>17/03/2026</t>
        </is>
      </c>
      <c r="J1822" s="10" t="inlineStr">
        <is>
          <t>Luật / Pháp lý, Kế toán / Kiểm toán, Tài chính / Đầu tư</t>
        </is>
      </c>
      <c r="K1822" s="10" t="inlineStr">
        <is>
          <t>4 - 5 Năm</t>
        </is>
      </c>
      <c r="L1822" s="11">
        <f>HYPERLINK("https://careerviet.vn/vi/tim-viec-lam/chuyen-vien-kiem-soat-noi-bo.35C654F8.html","Xem chi tiết")</f>
        <v/>
      </c>
      <c r="M1822" s="10" t="n"/>
    </row>
    <row r="1823">
      <c r="B1823" s="7" t="n">
        <v>1821</v>
      </c>
      <c r="C1823" t="inlineStr">
        <is>
          <t>[GO_Tây Nam Bộ] CV/CVCC Quan hệ Khách hàng Doanh nghiệp</t>
        </is>
      </c>
      <c r="D1823" t="inlineStr">
        <is>
          <t>Ngân hàng TMCP Phát triển TP.HCM (HDBank)</t>
        </is>
      </c>
      <c r="E1823" t="inlineStr">
        <is>
          <t>Lương:Cạnh tranh</t>
        </is>
      </c>
      <c r="F1823" t="inlineStr">
        <is>
          <t>Bạc LiêuSóc Trăng</t>
        </is>
      </c>
      <c r="G1823" t="inlineStr">
        <is>
          <t>12-04-2026</t>
        </is>
      </c>
      <c r="H1823" t="inlineStr">
        <is>
          <t>12/04/2026</t>
        </is>
      </c>
      <c r="I1823" t="inlineStr">
        <is>
          <t>17/03/2026</t>
        </is>
      </c>
      <c r="J1823" t="inlineStr">
        <is>
          <t>Bán hàng / Kinh doanh, Ngân hàng, Tài chính / Đầu tư</t>
        </is>
      </c>
      <c r="K1823" t="inlineStr">
        <is>
          <t>1 - 4 Năm</t>
        </is>
      </c>
      <c r="L1823" s="8">
        <f>HYPERLINK("https://careerviet.vn/vi/tim-viec-lam/go_tay-nam-bo-cv-cvcc-quan-he-khach-hang-doanh-nghiep.35C64E91.html","Xem chi tiết")</f>
        <v/>
      </c>
    </row>
    <row r="1824">
      <c r="B1824" s="9" t="n">
        <v>1822</v>
      </c>
      <c r="C1824" s="10" t="inlineStr">
        <is>
          <t>Giám thị học đường</t>
        </is>
      </c>
      <c r="D1824" s="10" t="inlineStr">
        <is>
          <t>TRƯỜNG PHỔ THÔNG LIÊN CẤP H.A.S</t>
        </is>
      </c>
      <c r="E1824" s="10" t="inlineStr">
        <is>
          <t>Lương:10 Tr - 12 Tr VND</t>
        </is>
      </c>
      <c r="F1824" s="10" t="inlineStr">
        <is>
          <t>Hà Nội</t>
        </is>
      </c>
      <c r="G1824" s="10" t="inlineStr">
        <is>
          <t>12-04-2026</t>
        </is>
      </c>
      <c r="H1824" s="10" t="inlineStr">
        <is>
          <t>12/04/2026</t>
        </is>
      </c>
      <c r="I1824" s="10" t="inlineStr">
        <is>
          <t>17/03/2026</t>
        </is>
      </c>
      <c r="J1824" s="10" t="inlineStr">
        <is>
          <t>Giáo dục / Đào tạo</t>
        </is>
      </c>
      <c r="K1824" s="10" t="inlineStr">
        <is>
          <t>1 - 3 Năm</t>
        </is>
      </c>
      <c r="L1824" s="11">
        <f>HYPERLINK("https://careerviet.vn/vi/tim-viec-lam/giam-thi-hoc-duong.35C65392.html","Xem chi tiết")</f>
        <v/>
      </c>
      <c r="M1824" s="10" t="n"/>
    </row>
    <row r="1825">
      <c r="B1825" s="7" t="n">
        <v>1823</v>
      </c>
      <c r="C1825" t="inlineStr">
        <is>
          <t>NHÂN VIÊN KINH DOANH (Ngành kỹ thuật và công cụ cơ khí)</t>
        </is>
      </c>
      <c r="D1825" t="inlineStr">
        <is>
          <t>Công Ty Cổ Phần Thiết Bị TAT</t>
        </is>
      </c>
      <c r="E1825" t="inlineStr">
        <is>
          <t>Lương:Cạnh tranh</t>
        </is>
      </c>
      <c r="F1825" t="inlineStr">
        <is>
          <t>Hồ Chí MinhHà Nội</t>
        </is>
      </c>
      <c r="G1825" t="inlineStr">
        <is>
          <t>13-04-2026</t>
        </is>
      </c>
      <c r="H1825" t="inlineStr">
        <is>
          <t>13/04/2026</t>
        </is>
      </c>
      <c r="I1825" t="inlineStr">
        <is>
          <t>17/03/2026</t>
        </is>
      </c>
      <c r="J1825" t="inlineStr">
        <is>
          <t>Bán hàng / Kinh doanh, Bán Hàng Kỹ Thuật, Thương mại điện tử</t>
        </is>
      </c>
      <c r="K1825" t="inlineStr">
        <is>
          <t>2 - 3 Năm</t>
        </is>
      </c>
      <c r="L1825" s="8">
        <f>HYPERLINK("https://careerviet.vn/vi/tim-viec-lam/nhan-vien-kinh-doanh-nganh-ky-thuat-va-cong-cu-co-khi.35C6C95D.html","Xem chi tiết")</f>
        <v/>
      </c>
    </row>
    <row r="1826">
      <c r="B1826" s="9" t="n">
        <v>1824</v>
      </c>
      <c r="C1826" s="10" t="inlineStr">
        <is>
          <t>CHUYÊN VIÊN KINH DOANH HOSTING/VPS</t>
        </is>
      </c>
      <c r="D1826" s="10" t="inlineStr">
        <is>
          <t>CÔNG TY CỔ PHẦN GIẢI PHÁP VÀ CÔNG NGHỆ VIETNIX</t>
        </is>
      </c>
      <c r="E1826" s="10" t="inlineStr">
        <is>
          <t>Lương:10 Tr - 30 Tr VND</t>
        </is>
      </c>
      <c r="F1826" s="10" t="inlineStr">
        <is>
          <t>Hồ Chí Minh</t>
        </is>
      </c>
      <c r="G1826" s="10" t="inlineStr">
        <is>
          <t>12-04-2026</t>
        </is>
      </c>
      <c r="H1826" s="10" t="inlineStr">
        <is>
          <t>12/04/2026</t>
        </is>
      </c>
      <c r="I1826" s="10" t="inlineStr">
        <is>
          <t>17/03/2026</t>
        </is>
      </c>
      <c r="J1826" s="10" t="inlineStr">
        <is>
          <t>Bán lẻ / Bán sỉ, Bán hàng / Kinh doanh, Tư vấn</t>
        </is>
      </c>
      <c r="K1826" s="10" t="inlineStr">
        <is>
          <t>Trên 1 Năm</t>
        </is>
      </c>
      <c r="L1826" s="11">
        <f>HYPERLINK("https://careerviet.vn/vi/tim-viec-lam/chuyen-vien-kinh-doanh-hosting-vps.35C65370.html","Xem chi tiết")</f>
        <v/>
      </c>
      <c r="M1826" s="10" t="n"/>
    </row>
    <row r="1827">
      <c r="B1827" s="7" t="n">
        <v>1825</v>
      </c>
      <c r="C1827" t="inlineStr">
        <is>
          <t>Bếp trưởng</t>
        </is>
      </c>
      <c r="D1827" t="inlineStr">
        <is>
          <t>TRƯỜNG PHỔ THÔNG LIÊN CẤP H.A.S</t>
        </is>
      </c>
      <c r="E1827" t="inlineStr">
        <is>
          <t>Lương:20 Tr - 25 Tr VND</t>
        </is>
      </c>
      <c r="F1827" t="inlineStr">
        <is>
          <t>Hà Nội</t>
        </is>
      </c>
      <c r="G1827" t="inlineStr">
        <is>
          <t>12-04-2026</t>
        </is>
      </c>
      <c r="H1827" t="inlineStr">
        <is>
          <t>12/04/2026</t>
        </is>
      </c>
      <c r="I1827" t="inlineStr">
        <is>
          <t>17/03/2026</t>
        </is>
      </c>
      <c r="J1827" t="inlineStr">
        <is>
          <t>Giáo dục / Đào tạo, Nhà hàng / Khách sạn</t>
        </is>
      </c>
      <c r="K1827" t="inlineStr">
        <is>
          <t>Chưa có kinh nghiệm</t>
        </is>
      </c>
      <c r="L1827" s="8">
        <f>HYPERLINK("https://careerviet.vn/vi/tim-viec-lam/bep-truong.35C6545A.html","Xem chi tiết")</f>
        <v/>
      </c>
    </row>
    <row r="1828">
      <c r="B1828" s="9" t="n">
        <v>1826</v>
      </c>
      <c r="C1828" s="10" t="inlineStr">
        <is>
          <t>Chuyên viên tổng hợp – Vietravel Invest</t>
        </is>
      </c>
      <c r="D1828" s="10" t="inlineStr">
        <is>
          <t>Công Ty Cổ Phần Du Lịch Vietravel</t>
        </is>
      </c>
      <c r="E1828" s="10" t="inlineStr">
        <is>
          <t>Lương:Cạnh tranh</t>
        </is>
      </c>
      <c r="F1828" s="10" t="inlineStr">
        <is>
          <t>Hồ Chí Minh</t>
        </is>
      </c>
      <c r="G1828" s="10" t="inlineStr">
        <is>
          <t>12-04-2026</t>
        </is>
      </c>
      <c r="H1828" s="10" t="inlineStr">
        <is>
          <t>12/04/2026</t>
        </is>
      </c>
      <c r="I1828" s="10" t="inlineStr">
        <is>
          <t>17/03/2026</t>
        </is>
      </c>
      <c r="J1828" s="10" t="inlineStr">
        <is>
          <t>Quản lý điều hành, Quản lý chất lượng (QA/QC), Xây dựng</t>
        </is>
      </c>
      <c r="K1828" s="10" t="inlineStr">
        <is>
          <t>N/A</t>
        </is>
      </c>
      <c r="L1828" s="11">
        <f>HYPERLINK("https://careerviet.vn/vi/tim-viec-lam/chuyen-vien-tong-hop-vietravel-invest.35C653F7.html","Xem chi tiết")</f>
        <v/>
      </c>
      <c r="M1828" s="10" t="n"/>
    </row>
    <row r="1829">
      <c r="B1829" s="7" t="n">
        <v>1827</v>
      </c>
      <c r="C1829" t="inlineStr">
        <is>
          <t>Kỹ thuật hiện trường</t>
        </is>
      </c>
      <c r="D1829" t="inlineStr">
        <is>
          <t>CÔNG TY CỔ PHẦN THƯƠNG MẠI DỊCH VỤ  PCCC HÀ THÀNH</t>
        </is>
      </c>
      <c r="E1829" t="inlineStr">
        <is>
          <t>Lương:15 Tr - 20 Tr VND</t>
        </is>
      </c>
      <c r="F1829" t="inlineStr">
        <is>
          <t>Hà Nội</t>
        </is>
      </c>
      <c r="G1829" t="inlineStr">
        <is>
          <t>12-04-2026</t>
        </is>
      </c>
      <c r="H1829" t="inlineStr">
        <is>
          <t>12/04/2026</t>
        </is>
      </c>
      <c r="I1829" t="inlineStr">
        <is>
          <t>17/03/2026</t>
        </is>
      </c>
      <c r="J1829" t="inlineStr">
        <is>
          <t>Xây dựng, Kiến trúc</t>
        </is>
      </c>
      <c r="K1829" t="inlineStr">
        <is>
          <t>1 - 2 Năm</t>
        </is>
      </c>
      <c r="L1829" s="8">
        <f>HYPERLINK("https://careerviet.vn/vi/tim-viec-lam/ky-thuat-hien-truong.35C654AF.html","Xem chi tiết")</f>
        <v/>
      </c>
    </row>
    <row r="1830">
      <c r="B1830" s="9" t="n">
        <v>1828</v>
      </c>
      <c r="C1830" s="10" t="inlineStr">
        <is>
          <t>Nhân Viên Thiết Kế Nội Thất</t>
        </is>
      </c>
      <c r="D1830" s="10" t="inlineStr">
        <is>
          <t>CÔNG TY TNHH TƯ VẤN KIẾN TRÚC TLI HÀ NỘI</t>
        </is>
      </c>
      <c r="E1830" s="10" t="inlineStr">
        <is>
          <t>Lương:13 Tr - 18 Tr VND</t>
        </is>
      </c>
      <c r="F1830" s="10" t="inlineStr">
        <is>
          <t>Hà Nội</t>
        </is>
      </c>
      <c r="G1830" s="10" t="inlineStr">
        <is>
          <t>12-04-2026</t>
        </is>
      </c>
      <c r="H1830" s="10" t="inlineStr">
        <is>
          <t>12/04/2026</t>
        </is>
      </c>
      <c r="I1830" s="10" t="inlineStr">
        <is>
          <t>17/03/2026</t>
        </is>
      </c>
      <c r="J1830" s="10" t="inlineStr">
        <is>
          <t>Mỹ thuật / Nghệ thuật / Thiết kế, Xây dựng, Nội ngoại thất</t>
        </is>
      </c>
      <c r="K1830" s="10" t="inlineStr">
        <is>
          <t>Trên 1 Năm</t>
        </is>
      </c>
      <c r="L1830" s="11">
        <f>HYPERLINK("https://careerviet.vn/vi/tim-viec-lam/nhan-vien-thiet-ke-noi-that.35C654B6.html","Xem chi tiết")</f>
        <v/>
      </c>
      <c r="M1830" s="10" t="n"/>
    </row>
    <row r="1831">
      <c r="B1831" s="7" t="n">
        <v>1829</v>
      </c>
      <c r="C1831" t="inlineStr">
        <is>
          <t>KẾ TOÁN TỔNG HỢP</t>
        </is>
      </c>
      <c r="D1831" t="inlineStr">
        <is>
          <t>CÔNG TY CỔ PHẦN ĐẦU TƯ ĐỊA ỐC VẠN PHÚC</t>
        </is>
      </c>
      <c r="E1831" t="inlineStr">
        <is>
          <t>Lương:Cạnh tranh</t>
        </is>
      </c>
      <c r="F1831" t="inlineStr">
        <is>
          <t>Hồ Chí Minh</t>
        </is>
      </c>
      <c r="G1831" t="inlineStr">
        <is>
          <t>12-04-2026</t>
        </is>
      </c>
      <c r="H1831" t="inlineStr">
        <is>
          <t>12/04/2026</t>
        </is>
      </c>
      <c r="I1831" t="inlineStr">
        <is>
          <t>17/03/2026</t>
        </is>
      </c>
      <c r="J1831" t="inlineStr">
        <is>
          <t>Bất động sản, Kế toán / Kiểm toán</t>
        </is>
      </c>
      <c r="K1831" t="inlineStr">
        <is>
          <t>3 - 10 Năm</t>
        </is>
      </c>
      <c r="L1831" s="8">
        <f>HYPERLINK("https://careerviet.vn/vi/tim-viec-lam/ke-toan-tong-hop.35C6549C.html","Xem chi tiết")</f>
        <v/>
      </c>
    </row>
    <row r="1832">
      <c r="B1832" s="9" t="n">
        <v>1830</v>
      </c>
      <c r="C1832" s="10" t="inlineStr">
        <is>
          <t>Chuyên viên kế toán công nợ</t>
        </is>
      </c>
      <c r="D1832" s="10" t="inlineStr">
        <is>
          <t>Hoang Duc Pharmaceutical &amp; Medical Supplies co, Ltd.</t>
        </is>
      </c>
      <c r="E1832" s="10" t="inlineStr">
        <is>
          <t>Lương:Cạnh tranh</t>
        </is>
      </c>
      <c r="F1832" s="10" t="inlineStr">
        <is>
          <t>Hà Nội</t>
        </is>
      </c>
      <c r="G1832" s="10" t="inlineStr">
        <is>
          <t>12-04-2026</t>
        </is>
      </c>
      <c r="H1832" s="10" t="inlineStr">
        <is>
          <t>12/04/2026</t>
        </is>
      </c>
      <c r="I1832" s="10" t="inlineStr">
        <is>
          <t>17/03/2026</t>
        </is>
      </c>
      <c r="J1832" s="10" t="inlineStr">
        <is>
          <t>Kế toán / Kiểm toán</t>
        </is>
      </c>
      <c r="K1832" s="10" t="inlineStr">
        <is>
          <t>1 - 2 Năm</t>
        </is>
      </c>
      <c r="L1832" s="11">
        <f>HYPERLINK("https://careerviet.vn/vi/tim-viec-lam/chuyen-vien-ke-toan-cong-no.35C65376.html","Xem chi tiết")</f>
        <v/>
      </c>
      <c r="M1832" s="10" t="n"/>
    </row>
    <row r="1833">
      <c r="B1833" s="7" t="n">
        <v>1831</v>
      </c>
      <c r="C1833" t="inlineStr">
        <is>
          <t>Key Account Manager (B2B)</t>
        </is>
      </c>
      <c r="D1833" t="inlineStr">
        <is>
          <t>Công ty TNHH Olam Việt Nam</t>
        </is>
      </c>
      <c r="E1833" t="inlineStr">
        <is>
          <t>Lương:Cạnh tranh</t>
        </is>
      </c>
      <c r="F1833" t="inlineStr">
        <is>
          <t>Bến Tre</t>
        </is>
      </c>
      <c r="G1833" t="inlineStr">
        <is>
          <t>12-04-2026</t>
        </is>
      </c>
      <c r="H1833" t="inlineStr">
        <is>
          <t>12/04/2026</t>
        </is>
      </c>
      <c r="I1833" t="inlineStr">
        <is>
          <t>17/03/2026</t>
        </is>
      </c>
      <c r="J1833" t="inlineStr">
        <is>
          <t>Bán lẻ / Bán sỉ, Thực phẩm &amp; Đồ uống, Sản xuất / Vận hành sản xuất</t>
        </is>
      </c>
      <c r="K1833" t="inlineStr">
        <is>
          <t>2 - 5 Năm</t>
        </is>
      </c>
      <c r="L1833" s="8">
        <f>HYPERLINK("https://careerviet.vn/vi/tim-viec-lam/key-account-manager-b2b.35C65467.html","Xem chi tiết")</f>
        <v/>
      </c>
    </row>
    <row r="1834">
      <c r="B1834" s="9" t="n">
        <v>1832</v>
      </c>
      <c r="C1834" s="10" t="inlineStr">
        <is>
          <t>Chuyên viên thiết kế sáng tạo - Khối KHCN</t>
        </is>
      </c>
      <c r="D1834" s="10" t="inlineStr">
        <is>
          <t>Ngân hàng Thương mại cổ phần Đông Nam Á (SeABank)</t>
        </is>
      </c>
      <c r="E1834" s="10" t="inlineStr">
        <is>
          <t>Lương:Cạnh tranh</t>
        </is>
      </c>
      <c r="F1834" s="10" t="inlineStr">
        <is>
          <t>Hà Nội</t>
        </is>
      </c>
      <c r="G1834" s="10" t="inlineStr">
        <is>
          <t>12-04-2026</t>
        </is>
      </c>
      <c r="H1834" s="10" t="inlineStr">
        <is>
          <t>12/04/2026</t>
        </is>
      </c>
      <c r="I1834" s="10" t="inlineStr">
        <is>
          <t>17/03/2026</t>
        </is>
      </c>
      <c r="J1834" s="10" t="inlineStr">
        <is>
          <t>Ngân hàng, Mỹ thuật / Nghệ thuật / Thiết kế</t>
        </is>
      </c>
      <c r="K1834" s="10" t="inlineStr">
        <is>
          <t>2 - 5 Năm</t>
        </is>
      </c>
      <c r="L1834" s="11">
        <f>HYPERLINK("https://careerviet.vn/vi/tim-viec-lam/chuyen-vien-thiet-ke-sang-tao-khoi-khcn.35C653E9.html","Xem chi tiết")</f>
        <v/>
      </c>
      <c r="M1834" s="10" t="n"/>
    </row>
    <row r="1835">
      <c r="B1835" s="7" t="n">
        <v>1833</v>
      </c>
      <c r="C1835" t="inlineStr">
        <is>
          <t>Nhân viên tư vấn kỹ thuật làm bánh</t>
        </is>
      </c>
      <c r="D1835" t="inlineStr">
        <is>
          <t>Saf Viet - JV Between French And Vietnam</t>
        </is>
      </c>
      <c r="E1835" t="inlineStr">
        <is>
          <t>Lương:Cạnh tranh</t>
        </is>
      </c>
      <c r="F1835" t="inlineStr">
        <is>
          <t>Hồ Chí Minh</t>
        </is>
      </c>
      <c r="G1835" t="inlineStr">
        <is>
          <t>12-04-2026</t>
        </is>
      </c>
      <c r="H1835" t="inlineStr">
        <is>
          <t>12/04/2026</t>
        </is>
      </c>
      <c r="I1835" t="inlineStr">
        <is>
          <t>17/03/2026</t>
        </is>
      </c>
      <c r="J1835" t="inlineStr">
        <is>
          <t>Tiếp thị / Marketing, Bán hàng / Kinh doanh, Công nghệ thực phẩm / Dinh dưỡng</t>
        </is>
      </c>
      <c r="K1835" t="inlineStr">
        <is>
          <t>Lên đến 2 Năm</t>
        </is>
      </c>
      <c r="L1835" s="8">
        <f>HYPERLINK("https://careerviet.vn/vi/tim-viec-lam/nhan-vien-tu-van-ky-thuat-lam-banh.35C65435.html","Xem chi tiết")</f>
        <v/>
      </c>
    </row>
    <row r="1836">
      <c r="B1836" s="9" t="n">
        <v>1834</v>
      </c>
      <c r="C1836" s="10" t="inlineStr">
        <is>
          <t>PROJECT SALES MANAGER</t>
        </is>
      </c>
      <c r="D1836" s="10" t="inlineStr">
        <is>
          <t>Saint-Gobain Vietnam</t>
        </is>
      </c>
      <c r="E1836" s="10" t="inlineStr">
        <is>
          <t>Lương:Cạnh tranh</t>
        </is>
      </c>
      <c r="F1836" s="10" t="inlineStr">
        <is>
          <t>Hà Nội</t>
        </is>
      </c>
      <c r="G1836" s="10" t="inlineStr">
        <is>
          <t>12-04-2026</t>
        </is>
      </c>
      <c r="H1836" s="10" t="inlineStr">
        <is>
          <t>12/04/2026</t>
        </is>
      </c>
      <c r="I1836" s="10" t="inlineStr">
        <is>
          <t>17/03/2026</t>
        </is>
      </c>
      <c r="J1836" s="10" t="inlineStr">
        <is>
          <t>Bán hàng / Kinh doanh</t>
        </is>
      </c>
      <c r="K1836" s="10" t="inlineStr">
        <is>
          <t>5 - 10 Năm</t>
        </is>
      </c>
      <c r="L1836" s="11">
        <f>HYPERLINK("https://careerviet.vn/vi/tim-viec-lam/project-sales-manager.35C6547A.html","Xem chi tiết")</f>
        <v/>
      </c>
      <c r="M1836" s="10" t="n"/>
    </row>
    <row r="1837">
      <c r="B1837" s="7" t="n">
        <v>1835</v>
      </c>
      <c r="C1837" t="inlineStr">
        <is>
          <t>Chỉ huy trưởng công trình cơ điện - PCCC- HVAC tại Bắc Ninh / Hưng Yên</t>
        </is>
      </c>
      <c r="D1837" t="inlineStr">
        <is>
          <t>Công ty TNHH Cơ Điện Lạnh EEP Việt Nam</t>
        </is>
      </c>
      <c r="E1837" t="inlineStr">
        <is>
          <t>Lương:28 Tr - 35 Tr VND</t>
        </is>
      </c>
      <c r="F1837" t="inlineStr">
        <is>
          <t>Hà Nội</t>
        </is>
      </c>
      <c r="G1837" t="inlineStr">
        <is>
          <t>12-04-2026</t>
        </is>
      </c>
      <c r="H1837" t="inlineStr">
        <is>
          <t>12/04/2026</t>
        </is>
      </c>
      <c r="I1837" t="inlineStr">
        <is>
          <t>17/03/2026</t>
        </is>
      </c>
      <c r="J1837" t="inlineStr">
        <is>
          <t>Cơ khí / Ô tô / Tự động hóa, Điện / Điện tử / Điện lạnh / Điện công nghiệp, Xây dựng</t>
        </is>
      </c>
      <c r="K1837" t="inlineStr">
        <is>
          <t>1 - 3 Năm</t>
        </is>
      </c>
      <c r="L1837" s="8">
        <f>HYPERLINK("https://careerviet.vn/vi/tim-viec-lam/chi-huy-truong-cong-trinh-co-dien-pccc-hvac-tai-bac-ninh-hung-yen.35C6555B.html","Xem chi tiết")</f>
        <v/>
      </c>
    </row>
    <row r="1838">
      <c r="B1838" s="9" t="n">
        <v>1836</v>
      </c>
      <c r="C1838" s="10" t="inlineStr">
        <is>
          <t>[Bac Ninh] Senior Technical Executive</t>
        </is>
      </c>
      <c r="D1838" s="10" t="inlineStr">
        <is>
          <t>EUROFINS VIETNAM</t>
        </is>
      </c>
      <c r="E1838" s="10" t="inlineStr">
        <is>
          <t>Lương:Cạnh tranh</t>
        </is>
      </c>
      <c r="F1838" s="10" t="inlineStr">
        <is>
          <t>Bắc Ninh</t>
        </is>
      </c>
      <c r="G1838" s="10" t="inlineStr">
        <is>
          <t>12-04-2026</t>
        </is>
      </c>
      <c r="H1838" s="10" t="inlineStr">
        <is>
          <t>12/04/2026</t>
        </is>
      </c>
      <c r="I1838" s="10" t="inlineStr">
        <is>
          <t>17/03/2026</t>
        </is>
      </c>
      <c r="J1838" s="10" t="inlineStr">
        <is>
          <t>Công nghệ sinh học, Công nghệ thực phẩm / Dinh dưỡng, Hóa học</t>
        </is>
      </c>
      <c r="K1838" s="10" t="inlineStr">
        <is>
          <t>3 - 4 Năm</t>
        </is>
      </c>
      <c r="L1838" s="11">
        <f>HYPERLINK("https://careerviet.vn/vi/tim-viec-lam/bac-ninh-senior-technical-executive.35C65479.html","Xem chi tiết")</f>
        <v/>
      </c>
      <c r="M1838" s="10" t="n"/>
    </row>
    <row r="1839">
      <c r="B1839" s="7" t="n">
        <v>1837</v>
      </c>
      <c r="C1839" t="inlineStr">
        <is>
          <t>Quality Food Safety</t>
        </is>
      </c>
      <c r="D1839" t="inlineStr">
        <is>
          <t>Công ty TNHH Olam Việt Nam</t>
        </is>
      </c>
      <c r="E1839" t="inlineStr">
        <is>
          <t>Lương:Cạnh tranh</t>
        </is>
      </c>
      <c r="F1839" t="inlineStr">
        <is>
          <t>Bến Tre</t>
        </is>
      </c>
      <c r="G1839" t="inlineStr">
        <is>
          <t>12-04-2026</t>
        </is>
      </c>
      <c r="H1839" t="inlineStr">
        <is>
          <t>12/04/2026</t>
        </is>
      </c>
      <c r="I1839" t="inlineStr">
        <is>
          <t>17/03/2026</t>
        </is>
      </c>
      <c r="J1839" t="inlineStr">
        <is>
          <t>Thực phẩm &amp; Đồ uống, Công nghệ thực phẩm / Dinh dưỡng, Quản lý chất lượng (QA/QC)</t>
        </is>
      </c>
      <c r="K1839" t="inlineStr">
        <is>
          <t>1 - 3 Năm</t>
        </is>
      </c>
      <c r="L1839" s="8">
        <f>HYPERLINK("https://careerviet.vn/vi/tim-viec-lam/quality-food-safety.35C653DE.html","Xem chi tiết")</f>
        <v/>
      </c>
    </row>
    <row r="1840">
      <c r="B1840" s="9" t="n">
        <v>1838</v>
      </c>
      <c r="C1840" s="10" t="inlineStr">
        <is>
          <t>NHÂN VIÊN KỸ THUẬT (PHÂN BÓN - THUỐC TRỪ SÂU)</t>
        </is>
      </c>
      <c r="D1840" s="10" t="inlineStr">
        <is>
          <t>CÔNG TY TNHH BACONCO</t>
        </is>
      </c>
      <c r="E1840" s="10" t="inlineStr">
        <is>
          <t>Lương:Cạnh tranh</t>
        </is>
      </c>
      <c r="F1840" s="10" t="inlineStr">
        <is>
          <t>KV Bắc Trung BộHải Phòng</t>
        </is>
      </c>
      <c r="G1840" s="10" t="inlineStr">
        <is>
          <t>12-04-2026</t>
        </is>
      </c>
      <c r="H1840" s="10" t="inlineStr">
        <is>
          <t>12/04/2026</t>
        </is>
      </c>
      <c r="I1840" s="10" t="inlineStr">
        <is>
          <t>17/03/2026</t>
        </is>
      </c>
      <c r="J1840" s="10" t="inlineStr">
        <is>
          <t>Tiếp thị / Marketing, Bán hàng / Kinh doanh, Bán Hàng Kỹ Thuật</t>
        </is>
      </c>
      <c r="K1840" s="10" t="inlineStr">
        <is>
          <t>5 - 10 Năm</t>
        </is>
      </c>
      <c r="L1840" s="11">
        <f>HYPERLINK("https://careerviet.vn/vi/tim-viec-lam/nhan-vien-ky-thuat-phan-bon-thuoc-tru-sau.35C653FB.html","Xem chi tiết")</f>
        <v/>
      </c>
      <c r="M1840" s="10" t="n"/>
    </row>
    <row r="1841">
      <c r="B1841" s="7" t="n">
        <v>1839</v>
      </c>
      <c r="C1841" t="inlineStr">
        <is>
          <t>Lái xe văn phòng</t>
        </is>
      </c>
      <c r="D1841" t="inlineStr">
        <is>
          <t>Công Ty Cổ Phần Tập Đoàn Đèo Cả</t>
        </is>
      </c>
      <c r="E1841" t="inlineStr">
        <is>
          <t>Lương:Cạnh tranh</t>
        </is>
      </c>
      <c r="F1841" t="inlineStr">
        <is>
          <t>Hà Nội</t>
        </is>
      </c>
      <c r="G1841" t="inlineStr">
        <is>
          <t>12-04-2026</t>
        </is>
      </c>
      <c r="H1841" t="inlineStr">
        <is>
          <t>12/04/2026</t>
        </is>
      </c>
      <c r="I1841" t="inlineStr">
        <is>
          <t>17/03/2026</t>
        </is>
      </c>
      <c r="J1841" t="inlineStr">
        <is>
          <t>Cơ khí / Ô tô / Tự động hóa, Lao động phổ thông</t>
        </is>
      </c>
      <c r="K1841" t="inlineStr">
        <is>
          <t>3 Năm</t>
        </is>
      </c>
      <c r="L1841" s="8">
        <f>HYPERLINK("https://careerviet.vn/vi/tim-viec-lam/lai-xe-van-phong.35C6535C.html","Xem chi tiết")</f>
        <v/>
      </c>
    </row>
    <row r="1842">
      <c r="B1842" s="9" t="n">
        <v>1840</v>
      </c>
      <c r="C1842" s="10" t="inlineStr">
        <is>
          <t>Kỹ sư QS</t>
        </is>
      </c>
      <c r="D1842" s="10" t="inlineStr">
        <is>
          <t>CÔNG TY CỔ PHẦN THƯƠNG MẠI DỊCH VỤ XÂY DỰNG E&amp;C</t>
        </is>
      </c>
      <c r="E1842" s="10" t="inlineStr">
        <is>
          <t>Lương:20 Tr - 25 Tr VND</t>
        </is>
      </c>
      <c r="F1842" s="10" t="inlineStr">
        <is>
          <t>Đồng Nai</t>
        </is>
      </c>
      <c r="G1842" s="10" t="inlineStr">
        <is>
          <t>12-04-2026</t>
        </is>
      </c>
      <c r="H1842" s="10" t="inlineStr">
        <is>
          <t>12/04/2026</t>
        </is>
      </c>
      <c r="I1842" s="10" t="inlineStr">
        <is>
          <t>17/03/2026</t>
        </is>
      </c>
      <c r="J1842" s="10" t="inlineStr">
        <is>
          <t>Kiến trúc, Xây dựng, Bất động sản</t>
        </is>
      </c>
      <c r="K1842" s="10" t="inlineStr">
        <is>
          <t>2 - 3 Năm</t>
        </is>
      </c>
      <c r="L1842" s="11">
        <f>HYPERLINK("https://careerviet.vn/vi/tim-viec-lam/ky-su-qs.35C653F2.html","Xem chi tiết")</f>
        <v/>
      </c>
      <c r="M1842" s="10" t="n"/>
    </row>
    <row r="1843">
      <c r="B1843" s="7" t="n">
        <v>1841</v>
      </c>
      <c r="C1843" t="inlineStr">
        <is>
          <t>Nhân Viên Bán Hàng Thời Trang Cao Cấp - DOLCE &amp;GABBANA HN</t>
        </is>
      </c>
      <c r="D1843" t="inlineStr">
        <is>
          <t>Công Ty Cổ Phần Thời Trang &amp; Mỹ Phẩm Duy Anh (DAFC)</t>
        </is>
      </c>
      <c r="E1843" t="inlineStr">
        <is>
          <t>Lương:Cạnh tranh</t>
        </is>
      </c>
      <c r="F1843" t="inlineStr">
        <is>
          <t>Hà Nội</t>
        </is>
      </c>
      <c r="G1843" t="inlineStr">
        <is>
          <t>12-04-2026</t>
        </is>
      </c>
      <c r="H1843" t="inlineStr">
        <is>
          <t>12/04/2026</t>
        </is>
      </c>
      <c r="I1843" t="inlineStr">
        <is>
          <t>17/03/2026</t>
        </is>
      </c>
      <c r="J1843" t="inlineStr">
        <is>
          <t>Bán lẻ / Bán sỉ, Lao động phổ thông, Dệt may / Da giày / Thời trang</t>
        </is>
      </c>
      <c r="K1843" t="inlineStr">
        <is>
          <t>1 - 2 Năm</t>
        </is>
      </c>
      <c r="L1843" s="8">
        <f>HYPERLINK("https://careerviet.vn/vi/tim-viec-lam/nhan-vien-ban-hang-thoi-trang-cao-cap-dolce-gabbana-hn.35C65420.html","Xem chi tiết")</f>
        <v/>
      </c>
    </row>
    <row r="1844">
      <c r="B1844" s="9" t="n">
        <v>1842</v>
      </c>
      <c r="C1844" s="10" t="inlineStr">
        <is>
          <t>CỬA HÀNG TRƯỞNG FINELIFE (quận 2 cũ)</t>
        </is>
      </c>
      <c r="D1844" s="10" t="inlineStr">
        <is>
          <t>Liên Hiệp HTX Thương Mại TPHCM - SAIGON CO.OP</t>
        </is>
      </c>
      <c r="E1844" s="10" t="inlineStr">
        <is>
          <t>Lương:Cạnh tranh</t>
        </is>
      </c>
      <c r="F1844" s="10" t="inlineStr">
        <is>
          <t>Hồ Chí Minh</t>
        </is>
      </c>
      <c r="G1844" s="10" t="inlineStr">
        <is>
          <t>12-04-2026</t>
        </is>
      </c>
      <c r="H1844" s="10" t="inlineStr">
        <is>
          <t>12/04/2026</t>
        </is>
      </c>
      <c r="I1844" s="10" t="inlineStr">
        <is>
          <t>17/03/2026</t>
        </is>
      </c>
      <c r="J1844" s="10" t="inlineStr">
        <is>
          <t>Bán lẻ / Bán sỉ</t>
        </is>
      </c>
      <c r="K1844" s="10" t="inlineStr">
        <is>
          <t>1 - 2 Năm</t>
        </is>
      </c>
      <c r="L1844" s="11">
        <f>HYPERLINK("https://careerviet.vn/vi/tim-viec-lam/cua-hang-truong-finelife-quan-2-cu.35C6532C.html","Xem chi tiết")</f>
        <v/>
      </c>
      <c r="M1844" s="10" t="n"/>
    </row>
    <row r="1845">
      <c r="B1845" s="7" t="n">
        <v>1843</v>
      </c>
      <c r="C1845" t="inlineStr">
        <is>
          <t>( Hà Nội) Kỹ Sư Bảo Trì Điện Lạnh</t>
        </is>
      </c>
      <c r="D1845" t="inlineStr">
        <is>
          <t>CLIMAVENETA CHAT UNION REFRIGERATION EQUIPMENT - CÔNG TY TNHH THIẾT BỊ ĐIỆN LẠNH CLIMAVENETA CHAT UNION VIỆT NAM</t>
        </is>
      </c>
      <c r="E1845" t="inlineStr">
        <is>
          <t>Lương:Cạnh tranh</t>
        </is>
      </c>
      <c r="F1845" t="inlineStr">
        <is>
          <t>Hà Nội</t>
        </is>
      </c>
      <c r="G1845" t="inlineStr">
        <is>
          <t>12-04-2026</t>
        </is>
      </c>
      <c r="H1845" t="inlineStr">
        <is>
          <t>12/04/2026</t>
        </is>
      </c>
      <c r="I1845" t="inlineStr">
        <is>
          <t>17/03/2026</t>
        </is>
      </c>
      <c r="J1845" t="inlineStr">
        <is>
          <t>Điện / Điện tử / Điện lạnh / Điện công nghiệp</t>
        </is>
      </c>
      <c r="K1845" t="inlineStr">
        <is>
          <t>N/A</t>
        </is>
      </c>
      <c r="L1845" s="8">
        <f>HYPERLINK("https://careerviet.vn/vi/tim-viec-lam/ha-noi-ky-su-bao-tri-dien-lanh.35C60F12.html","Xem chi tiết")</f>
        <v/>
      </c>
    </row>
    <row r="1846">
      <c r="B1846" s="9" t="n">
        <v>1844</v>
      </c>
      <c r="C1846" s="10" t="inlineStr">
        <is>
          <t>Chuyên viên kế toán</t>
        </is>
      </c>
      <c r="D1846" s="10" t="inlineStr">
        <is>
          <t>CÔNG TY CỔ PHẦN THƯƠNG MẠI DƯỢC VƯƠNG</t>
        </is>
      </c>
      <c r="E1846" s="10" t="inlineStr">
        <is>
          <t>Lương:13 Tr - 18 Tr VND</t>
        </is>
      </c>
      <c r="F1846" s="10" t="inlineStr">
        <is>
          <t>Hà Nội</t>
        </is>
      </c>
      <c r="G1846" s="10" t="inlineStr">
        <is>
          <t>12-04-2026</t>
        </is>
      </c>
      <c r="H1846" s="10" t="inlineStr">
        <is>
          <t>12/04/2026</t>
        </is>
      </c>
      <c r="I1846" s="10" t="inlineStr">
        <is>
          <t>17/03/2026</t>
        </is>
      </c>
      <c r="J1846" s="10" t="inlineStr">
        <is>
          <t>Dược phẩm/ Hóa Mỹ Phẩm, Kế toán / Kiểm toán, Tài chính / Đầu tư</t>
        </is>
      </c>
      <c r="K1846" s="10" t="inlineStr">
        <is>
          <t>2 Năm</t>
        </is>
      </c>
      <c r="L1846" s="11">
        <f>HYPERLINK("https://careerviet.vn/vi/tim-viec-lam/chuyen-vien-ke-toan.35C65488.html","Xem chi tiết")</f>
        <v/>
      </c>
      <c r="M1846" s="10" t="n"/>
    </row>
    <row r="1847">
      <c r="B1847" s="7" t="n">
        <v>1845</v>
      </c>
      <c r="C1847" t="inlineStr">
        <is>
          <t>Nhân Viên Kỹ Thuật hóa học (tiếng Trung)</t>
        </is>
      </c>
      <c r="D1847" t="inlineStr">
        <is>
          <t>Ocean Coatings (Vietnam) Co. Ltd</t>
        </is>
      </c>
      <c r="E1847" t="inlineStr">
        <is>
          <t>Lương:Trên 12 Tr VND</t>
        </is>
      </c>
      <c r="F1847" t="inlineStr">
        <is>
          <t>Hưng Yên</t>
        </is>
      </c>
      <c r="G1847" t="inlineStr">
        <is>
          <t>12-04-2026</t>
        </is>
      </c>
      <c r="H1847" t="inlineStr">
        <is>
          <t>12/04/2026</t>
        </is>
      </c>
      <c r="I1847" t="inlineStr">
        <is>
          <t>17/03/2026</t>
        </is>
      </c>
      <c r="J1847" t="inlineStr">
        <is>
          <t>Cơ khí / Ô tô / Tự động hóa, Hóa học, Mới tốt nghiệp / Thực tập</t>
        </is>
      </c>
      <c r="K1847" t="inlineStr">
        <is>
          <t>N/A</t>
        </is>
      </c>
      <c r="L1847" s="8">
        <f>HYPERLINK("https://careerviet.vn/vi/tim-viec-lam/nhan-vien-ky-thuat-hoa-hoc-tieng-trung.35C6530F.html","Xem chi tiết")</f>
        <v/>
      </c>
    </row>
    <row r="1848">
      <c r="B1848" s="9" t="n">
        <v>1846</v>
      </c>
      <c r="C1848" s="10" t="inlineStr">
        <is>
          <t>(Hà Nội) Kỹ Sư Dịch Vụ Hậu Mãi Miền Bắc</t>
        </is>
      </c>
      <c r="D1848" s="10" t="inlineStr">
        <is>
          <t>CLIMAVENETA CHAT UNION REFRIGERATION EQUIPMENT - CÔNG TY TNHH THIẾT BỊ ĐIỆN LẠNH CLIMAVENETA CHAT UNION VIỆT NAM</t>
        </is>
      </c>
      <c r="E1848" s="10" t="inlineStr">
        <is>
          <t>Lương:Cạnh tranh</t>
        </is>
      </c>
      <c r="F1848" s="10" t="inlineStr">
        <is>
          <t>Hà Nội</t>
        </is>
      </c>
      <c r="G1848" s="10" t="inlineStr">
        <is>
          <t>12-04-2026</t>
        </is>
      </c>
      <c r="H1848" s="10" t="inlineStr">
        <is>
          <t>12/04/2026</t>
        </is>
      </c>
      <c r="I1848" s="10" t="inlineStr">
        <is>
          <t>17/03/2026</t>
        </is>
      </c>
      <c r="J1848" s="10" t="inlineStr">
        <is>
          <t>Điện / Điện tử / Điện lạnh / Điện công nghiệp</t>
        </is>
      </c>
      <c r="K1848" s="10" t="inlineStr">
        <is>
          <t>N/A</t>
        </is>
      </c>
      <c r="L1848" s="11">
        <f>HYPERLINK("https://careerviet.vn/vi/tim-viec-lam/ha-noi-ky-su-dich-vu-hau-mai-mien-bac.35C653FE.html","Xem chi tiết")</f>
        <v/>
      </c>
      <c r="M1848" s="10" t="n"/>
    </row>
    <row r="1849">
      <c r="B1849" s="7" t="n">
        <v>1847</v>
      </c>
      <c r="C1849" t="inlineStr">
        <is>
          <t>Nhân viên tài xế giao hàng</t>
        </is>
      </c>
      <c r="D1849" t="inlineStr">
        <is>
          <t>Công Ty TNHH TM &amp; XNK Nhất Lâm</t>
        </is>
      </c>
      <c r="E1849" t="inlineStr">
        <is>
          <t>Lương:12 Tr - 14 Tr VND</t>
        </is>
      </c>
      <c r="F1849" t="inlineStr">
        <is>
          <t>Hồ Chí Minh</t>
        </is>
      </c>
      <c r="G1849" t="inlineStr">
        <is>
          <t>12-04-2026</t>
        </is>
      </c>
      <c r="H1849" t="inlineStr">
        <is>
          <t>12/04/2026</t>
        </is>
      </c>
      <c r="I1849" t="inlineStr">
        <is>
          <t>17/03/2026</t>
        </is>
      </c>
      <c r="J1849" t="inlineStr">
        <is>
          <t>Vận chuyển / Giao nhận / Kho vận</t>
        </is>
      </c>
      <c r="K1849" t="inlineStr">
        <is>
          <t>Lên đến 1 Năm</t>
        </is>
      </c>
      <c r="L1849" s="8">
        <f>HYPERLINK("https://careerviet.vn/vi/tim-viec-lam/nhan-vien-tai-xe-giao-hang.35C65498.html","Xem chi tiết")</f>
        <v/>
      </c>
    </row>
    <row r="1850">
      <c r="B1850" s="9" t="n">
        <v>1848</v>
      </c>
      <c r="C1850" s="10" t="inlineStr">
        <is>
          <t>Kế Toán Tổng Hợp (Mảng Golf - Làm việc tại Quận 7)</t>
        </is>
      </c>
      <c r="D1850" s="10" t="inlineStr">
        <is>
          <t>CÔNG TY TNHH THƯƠNG MẠI DỊCH VỤ TINI OFFICE</t>
        </is>
      </c>
      <c r="E1850" s="10" t="inlineStr">
        <is>
          <t>Lương:15 Tr - 20 Tr VND</t>
        </is>
      </c>
      <c r="F1850" s="10" t="inlineStr">
        <is>
          <t>Hồ Chí Minh</t>
        </is>
      </c>
      <c r="G1850" s="10" t="inlineStr">
        <is>
          <t>11-04-2026</t>
        </is>
      </c>
      <c r="H1850" s="10" t="inlineStr">
        <is>
          <t>11/04/2026</t>
        </is>
      </c>
      <c r="I1850" s="10" t="inlineStr">
        <is>
          <t>17/03/2026</t>
        </is>
      </c>
      <c r="J1850" s="10" t="inlineStr">
        <is>
          <t>Kế toán / Kiểm toán</t>
        </is>
      </c>
      <c r="K1850" s="10" t="inlineStr">
        <is>
          <t>3 - 5 Năm</t>
        </is>
      </c>
      <c r="L1850" s="11">
        <f>HYPERLINK("https://careerviet.vn/vi/tim-viec-lam/ke-toan-tong-hop-mang-golf-lam-viec-tai-quan-7.35C6C5FA.html","Xem chi tiết")</f>
        <v/>
      </c>
      <c r="M1850" s="10" t="n"/>
    </row>
    <row r="1851">
      <c r="B1851" s="7" t="n">
        <v>1849</v>
      </c>
      <c r="C1851" t="inlineStr">
        <is>
          <t>General Accountant</t>
        </is>
      </c>
      <c r="D1851" t="inlineStr">
        <is>
          <t>CÔNG TY TNHH DENIS G.M.</t>
        </is>
      </c>
      <c r="E1851" t="inlineStr">
        <is>
          <t>Lương:Cạnh tranh</t>
        </is>
      </c>
      <c r="F1851" t="inlineStr">
        <is>
          <t>Bình Dương</t>
        </is>
      </c>
      <c r="G1851" t="inlineStr">
        <is>
          <t>12-04-2026</t>
        </is>
      </c>
      <c r="H1851" t="inlineStr">
        <is>
          <t>12/04/2026</t>
        </is>
      </c>
      <c r="I1851" t="inlineStr">
        <is>
          <t>17/03/2026</t>
        </is>
      </c>
      <c r="J1851" t="inlineStr">
        <is>
          <t>Kế toán / Kiểm toán, Ngân hàng, Tài chính / Đầu tư</t>
        </is>
      </c>
      <c r="K1851" t="inlineStr">
        <is>
          <t>5 - 6 Năm</t>
        </is>
      </c>
      <c r="L1851" s="8">
        <f>HYPERLINK("https://careerviet.vn/vi/tim-viec-lam/general-accountant.35C65377.html","Xem chi tiết")</f>
        <v/>
      </c>
    </row>
    <row r="1852">
      <c r="B1852" s="9" t="n">
        <v>1850</v>
      </c>
      <c r="C1852" s="10" t="inlineStr">
        <is>
          <t>Quản lý sản xuất</t>
        </is>
      </c>
      <c r="D1852" s="10" t="inlineStr">
        <is>
          <t>Công ty Cổ phần Tập đoàn Gỗ Minh Long</t>
        </is>
      </c>
      <c r="E1852" s="10" t="inlineStr">
        <is>
          <t>Lương:20 Tr - 30 Tr VND</t>
        </is>
      </c>
      <c r="F1852" s="10" t="inlineStr">
        <is>
          <t>Hưng Yên</t>
        </is>
      </c>
      <c r="G1852" s="10" t="inlineStr">
        <is>
          <t>12-04-2026</t>
        </is>
      </c>
      <c r="H1852" s="10" t="inlineStr">
        <is>
          <t>12/04/2026</t>
        </is>
      </c>
      <c r="I1852" s="10" t="inlineStr">
        <is>
          <t>17/03/2026</t>
        </is>
      </c>
      <c r="J1852" s="10" t="inlineStr">
        <is>
          <t>Quản lý điều hành, Sản xuất / Vận hành sản xuất</t>
        </is>
      </c>
      <c r="K1852" s="10" t="inlineStr">
        <is>
          <t>Trên 3 Năm</t>
        </is>
      </c>
      <c r="L1852" s="11">
        <f>HYPERLINK("https://careerviet.vn/vi/tim-viec-lam/quan-ly-san-xuat.35C653D8.html","Xem chi tiết")</f>
        <v/>
      </c>
      <c r="M1852" s="10" t="n"/>
    </row>
    <row r="1853">
      <c r="B1853" s="7" t="n">
        <v>1851</v>
      </c>
      <c r="C1853" t="inlineStr">
        <is>
          <t>Giám Sát Bán Hàng Kênh Y Tế OTC và ETC</t>
        </is>
      </c>
      <c r="D1853" t="inlineStr">
        <is>
          <t>YAHO</t>
        </is>
      </c>
      <c r="E1853" t="inlineStr">
        <is>
          <t>Lương:15 Tr - 18 Tr VND</t>
        </is>
      </c>
      <c r="F1853" t="inlineStr">
        <is>
          <t>Hồ Chí MinhCần Thơ</t>
        </is>
      </c>
      <c r="G1853" t="inlineStr">
        <is>
          <t>13-04-2026</t>
        </is>
      </c>
      <c r="H1853" t="inlineStr">
        <is>
          <t>13/04/2026</t>
        </is>
      </c>
      <c r="I1853" t="inlineStr">
        <is>
          <t>17/03/2026</t>
        </is>
      </c>
      <c r="J1853" t="inlineStr">
        <is>
          <t>Bán hàng / Kinh doanh, Y tế / Chăm sóc sức khỏe / Thẩm mỹ / Làm đẹp, Bán lẻ / Bán sỉ</t>
        </is>
      </c>
      <c r="K1853" t="inlineStr">
        <is>
          <t>Trên 2 Năm</t>
        </is>
      </c>
      <c r="L1853" s="8">
        <f>HYPERLINK("https://careerviet.vn/vi/tim-viec-lam/giam-sat-ban-hang-kenh-y-te-otc-va-etc.35C6034E.html","Xem chi tiết")</f>
        <v/>
      </c>
    </row>
    <row r="1854">
      <c r="B1854" s="9" t="n">
        <v>1852</v>
      </c>
      <c r="C1854" s="10" t="inlineStr">
        <is>
          <t>Cán Bộ An Toàn, Vệ Sinh Lao Động Long An</t>
        </is>
      </c>
      <c r="D1854" s="10" t="inlineStr">
        <is>
          <t>EuP Group</t>
        </is>
      </c>
      <c r="E1854" s="10" t="inlineStr">
        <is>
          <t>Lương:10 Tr - 20 Tr VND</t>
        </is>
      </c>
      <c r="F1854" s="10" t="inlineStr">
        <is>
          <t>Long An</t>
        </is>
      </c>
      <c r="G1854" s="10" t="inlineStr">
        <is>
          <t>22-04-2026</t>
        </is>
      </c>
      <c r="H1854" s="10" t="inlineStr">
        <is>
          <t>22/04/2026</t>
        </is>
      </c>
      <c r="I1854" s="10" t="inlineStr">
        <is>
          <t>17/03/2026</t>
        </is>
      </c>
      <c r="J1854" s="10" t="inlineStr">
        <is>
          <t>Điện / Điện tử / Điện lạnh / Điện công nghiệp, An toàn lao động, Cơ khí / Ô tô / Tự động hóa</t>
        </is>
      </c>
      <c r="K1854" s="10" t="inlineStr">
        <is>
          <t>Trên 1 Năm</t>
        </is>
      </c>
      <c r="L1854" s="11">
        <f>HYPERLINK("https://careerviet.vn/vi/tim-viec-lam/can-bo-an-toan-ve-sinh-lao-dong-long-an.35C6C5F7.html","Xem chi tiết")</f>
        <v/>
      </c>
      <c r="M1854" s="10" t="n"/>
    </row>
    <row r="1855">
      <c r="B1855" s="7" t="n">
        <v>1853</v>
      </c>
      <c r="C1855" t="inlineStr">
        <is>
          <t>Trưởng Bộ Phận Thiết Kế Thời Trang</t>
        </is>
      </c>
      <c r="D1855" t="inlineStr">
        <is>
          <t>CT CP Tập Đoàn Thái Tuấn</t>
        </is>
      </c>
      <c r="E1855" t="inlineStr">
        <is>
          <t>Lương:Cạnh tranh</t>
        </is>
      </c>
      <c r="F1855" t="inlineStr">
        <is>
          <t>Hồ Chí Minh</t>
        </is>
      </c>
      <c r="G1855" t="inlineStr">
        <is>
          <t>12-04-2026</t>
        </is>
      </c>
      <c r="H1855" t="inlineStr">
        <is>
          <t>12/04/2026</t>
        </is>
      </c>
      <c r="I1855" t="inlineStr">
        <is>
          <t>17/03/2026</t>
        </is>
      </c>
      <c r="J1855" t="inlineStr">
        <is>
          <t>Mỹ thuật / Nghệ thuật / Thiết kế, Dệt may / Da giày / Thời trang</t>
        </is>
      </c>
      <c r="K1855" t="inlineStr">
        <is>
          <t>5 Năm</t>
        </is>
      </c>
      <c r="L1855" s="8">
        <f>HYPERLINK("https://careerviet.vn/vi/tim-viec-lam/truong-bo-phan-thiet-ke-thoi-trang.35C6548F.html","Xem chi tiết")</f>
        <v/>
      </c>
    </row>
    <row r="1856">
      <c r="B1856" s="9" t="n">
        <v>1854</v>
      </c>
      <c r="C1856" s="10" t="inlineStr">
        <is>
          <t>Nhân viên kế toán công nợ</t>
        </is>
      </c>
      <c r="D1856" s="10" t="inlineStr">
        <is>
          <t>CÔNG TY CỔ PHẦN XÂY DỰNG VÀ ĐẦU TƯ GALAXY</t>
        </is>
      </c>
      <c r="E1856" s="10" t="inlineStr">
        <is>
          <t>Lương:14 Tr - 16 Tr VND</t>
        </is>
      </c>
      <c r="F1856" s="10" t="inlineStr">
        <is>
          <t>Hồ Chí Minh</t>
        </is>
      </c>
      <c r="G1856" s="10" t="inlineStr">
        <is>
          <t>31-03-2026</t>
        </is>
      </c>
      <c r="H1856" s="10" t="inlineStr">
        <is>
          <t>31/03/2026</t>
        </is>
      </c>
      <c r="I1856" s="10" t="inlineStr">
        <is>
          <t>17/03/2026</t>
        </is>
      </c>
      <c r="J1856" s="10" t="inlineStr">
        <is>
          <t>Kế toán / Kiểm toán, Tài chính / Đầu tư, Xây dựng</t>
        </is>
      </c>
      <c r="K1856" s="10" t="inlineStr">
        <is>
          <t>2 - 6 Năm</t>
        </is>
      </c>
      <c r="L1856" s="11">
        <f>HYPERLINK("https://careerviet.vn/vi/tim-viec-lam/nhan-vien-ke-toan-cong-no.35C6C188.html","Xem chi tiết")</f>
        <v/>
      </c>
      <c r="M1856" s="10" t="n"/>
    </row>
    <row r="1857">
      <c r="B1857" s="7" t="n">
        <v>1855</v>
      </c>
      <c r="C1857" t="inlineStr">
        <is>
          <t>NHÂN VIÊN KỸ THUẬT BAO BÌ (NGÀNH GỖ)</t>
        </is>
      </c>
      <c r="D1857" t="inlineStr">
        <is>
          <t>Công Ty CP Gỗ Minh Dương</t>
        </is>
      </c>
      <c r="E1857" t="inlineStr">
        <is>
          <t>Lương:Cạnh tranh</t>
        </is>
      </c>
      <c r="F1857" t="inlineStr">
        <is>
          <t>Hồ Chí Minh</t>
        </is>
      </c>
      <c r="G1857" t="inlineStr">
        <is>
          <t>12-04-2026</t>
        </is>
      </c>
      <c r="H1857" t="inlineStr">
        <is>
          <t>12/04/2026</t>
        </is>
      </c>
      <c r="I1857" t="inlineStr">
        <is>
          <t>17/03/2026</t>
        </is>
      </c>
      <c r="J1857" t="inlineStr">
        <is>
          <t>Sản xuất / Vận hành sản xuất, Đồ gỗ, Cơ khí / Ô tô / Tự động hóa</t>
        </is>
      </c>
      <c r="K1857" t="inlineStr">
        <is>
          <t>Trên 2 Năm</t>
        </is>
      </c>
      <c r="L1857" s="8">
        <f>HYPERLINK("https://careerviet.vn/vi/tim-viec-lam/nhan-vien-ky-thuat-bao-bi-nganh-go.35C6C4EA.html","Xem chi tiết")</f>
        <v/>
      </c>
    </row>
    <row r="1858">
      <c r="B1858" s="9" t="n">
        <v>1856</v>
      </c>
      <c r="C1858" s="10" t="inlineStr">
        <is>
          <t>Nhân viên Kế toán kho/Quản lý tài sản (20-22Tr/Tháng)</t>
        </is>
      </c>
      <c r="D1858" s="10" t="inlineStr">
        <is>
          <t>Tổng Công ty Cổ phần Công trình Viettel</t>
        </is>
      </c>
      <c r="E1858" s="10" t="inlineStr">
        <is>
          <t>Lương:20 Tr - 22 Tr VND</t>
        </is>
      </c>
      <c r="F1858" s="10" t="inlineStr">
        <is>
          <t>Hà Nội</t>
        </is>
      </c>
      <c r="G1858" s="10" t="inlineStr">
        <is>
          <t>30-03-2026</t>
        </is>
      </c>
      <c r="H1858" s="10" t="inlineStr">
        <is>
          <t>30/03/2026</t>
        </is>
      </c>
      <c r="I1858" s="10" t="inlineStr">
        <is>
          <t>17/03/2026</t>
        </is>
      </c>
      <c r="J1858" s="10" t="inlineStr">
        <is>
          <t>Kế toán / Kiểm toán, Vận chuyển / Giao nhận / Kho vận, Tài chính / Đầu tư</t>
        </is>
      </c>
      <c r="K1858" s="10" t="inlineStr">
        <is>
          <t>2 - 4 Năm</t>
        </is>
      </c>
      <c r="L1858" s="11">
        <f>HYPERLINK("https://careerviet.vn/vi/tim-viec-lam/nhan-vien-ke-toan-kho-quan-ly-tai-san-20-22tr-thang.35C6C59B.html","Xem chi tiết")</f>
        <v/>
      </c>
      <c r="M1858" s="10" t="n"/>
    </row>
    <row r="1859">
      <c r="B1859" s="7" t="n">
        <v>1857</v>
      </c>
      <c r="C1859" t="inlineStr">
        <is>
          <t>Deputy Head/ Head of Planning &amp; Balance Sheet Management Department</t>
        </is>
      </c>
      <c r="D1859" t="inlineStr">
        <is>
          <t>Indovina Bank Ltd.</t>
        </is>
      </c>
      <c r="E1859" t="inlineStr">
        <is>
          <t>Lương:1.600 - 2.200 USD</t>
        </is>
      </c>
      <c r="F1859" t="inlineStr">
        <is>
          <t>Hồ Chí Minh</t>
        </is>
      </c>
      <c r="G1859" t="inlineStr">
        <is>
          <t>13-04-2026</t>
        </is>
      </c>
      <c r="H1859" t="inlineStr">
        <is>
          <t>13/04/2026</t>
        </is>
      </c>
      <c r="I1859" t="inlineStr">
        <is>
          <t>17/03/2026</t>
        </is>
      </c>
      <c r="J1859" t="inlineStr">
        <is>
          <t>Ngân hàng, Tài chính / Đầu tư, Chứng khoán</t>
        </is>
      </c>
      <c r="K1859" t="inlineStr">
        <is>
          <t>3 - 5 Năm</t>
        </is>
      </c>
      <c r="L1859" s="8">
        <f>HYPERLINK("https://careerviet.vn/vi/tim-viec-lam/deputy-head-head-of-planning-balance-sheet-management-department.35C6C5E5.html","Xem chi tiết")</f>
        <v/>
      </c>
    </row>
    <row r="1860">
      <c r="B1860" s="9" t="n">
        <v>1858</v>
      </c>
      <c r="C1860" s="10" t="inlineStr">
        <is>
          <t>NHÂN VIÊN THIẾT KẾ SẢN PHẨM NGÀNH GỖ</t>
        </is>
      </c>
      <c r="D1860" s="10" t="inlineStr">
        <is>
          <t>Công Ty CP Gỗ Minh Dương</t>
        </is>
      </c>
      <c r="E1860" s="10" t="inlineStr">
        <is>
          <t>Lương:Cạnh tranh</t>
        </is>
      </c>
      <c r="F1860" s="10" t="inlineStr">
        <is>
          <t>Hồ Chí Minh</t>
        </is>
      </c>
      <c r="G1860" s="10" t="inlineStr">
        <is>
          <t>12-04-2026</t>
        </is>
      </c>
      <c r="H1860" s="10" t="inlineStr">
        <is>
          <t>12/04/2026</t>
        </is>
      </c>
      <c r="I1860" s="10" t="inlineStr">
        <is>
          <t>17/03/2026</t>
        </is>
      </c>
      <c r="J1860" s="10" t="inlineStr">
        <is>
          <t>Cơ khí / Ô tô / Tự động hóa, Đồ gỗ, Nội ngoại thất</t>
        </is>
      </c>
      <c r="K1860" s="10" t="inlineStr">
        <is>
          <t>Trên 1 Năm</t>
        </is>
      </c>
      <c r="L1860" s="11">
        <f>HYPERLINK("https://careerviet.vn/vi/tim-viec-lam/nhan-vien-thiet-ke-san-pham-nganh-go.35C6C4F3.html","Xem chi tiết")</f>
        <v/>
      </c>
      <c r="M1860" s="10" t="n"/>
    </row>
    <row r="1861">
      <c r="B1861" s="7" t="n">
        <v>1859</v>
      </c>
      <c r="C1861" t="inlineStr">
        <is>
          <t>Kỹ sư điện tử</t>
        </is>
      </c>
      <c r="D1861" t="inlineStr">
        <is>
          <t>TECOTEC Technology</t>
        </is>
      </c>
      <c r="E1861" t="inlineStr">
        <is>
          <t>Lương:8 Tr - 15 Tr VND</t>
        </is>
      </c>
      <c r="F1861" t="inlineStr">
        <is>
          <t>Hà Nội</t>
        </is>
      </c>
      <c r="G1861" t="inlineStr">
        <is>
          <t>30-04-2026</t>
        </is>
      </c>
      <c r="H1861" t="inlineStr">
        <is>
          <t>30/04/2026</t>
        </is>
      </c>
      <c r="I1861" t="inlineStr">
        <is>
          <t>17/03/2026</t>
        </is>
      </c>
      <c r="J1861" t="inlineStr">
        <is>
          <t>Điện / Điện tử / Điện lạnh / Điện công nghiệp, Cơ khí / Ô tô / Tự động hóa, Mới tốt nghiệp / Thực tập</t>
        </is>
      </c>
      <c r="K1861" t="inlineStr">
        <is>
          <t>1 - 3 Năm</t>
        </is>
      </c>
      <c r="L1861" s="8">
        <f>HYPERLINK("https://careerviet.vn/vi/tim-viec-lam/ky-su-dien-tu.35C6C5BB.html","Xem chi tiết")</f>
        <v/>
      </c>
    </row>
    <row r="1862">
      <c r="B1862" s="9" t="n">
        <v>1860</v>
      </c>
      <c r="C1862" s="10" t="inlineStr">
        <is>
          <t>Nhân Viên Kế Toán Thuế</t>
        </is>
      </c>
      <c r="D1862" s="10" t="inlineStr">
        <is>
          <t>Công ty TNHH Thương Mại &amp; Dịch Vụ Tri Linh</t>
        </is>
      </c>
      <c r="E1862" s="10" t="inlineStr">
        <is>
          <t>Lương:12 Tr - 15 Tr VND</t>
        </is>
      </c>
      <c r="F1862" s="10" t="inlineStr">
        <is>
          <t>Hồ Chí Minh</t>
        </is>
      </c>
      <c r="G1862" s="10" t="inlineStr">
        <is>
          <t>31-05-2026</t>
        </is>
      </c>
      <c r="H1862" s="10" t="inlineStr">
        <is>
          <t>31/05/2026</t>
        </is>
      </c>
      <c r="I1862" s="10" t="inlineStr">
        <is>
          <t>17/03/2026</t>
        </is>
      </c>
      <c r="J1862" s="10" t="inlineStr">
        <is>
          <t>Giáo dục / Đào tạo, Kế toán / Kiểm toán</t>
        </is>
      </c>
      <c r="K1862" s="10" t="inlineStr">
        <is>
          <t>Trên 2 Năm</t>
        </is>
      </c>
      <c r="L1862" s="11">
        <f>HYPERLINK("https://careerviet.vn/vi/tim-viec-lam/nhan-vien-ke-toan-thue.35C6C5A0.html","Xem chi tiết")</f>
        <v/>
      </c>
      <c r="M1862" s="10" t="n"/>
    </row>
    <row r="1863">
      <c r="B1863" s="7" t="n">
        <v>1861</v>
      </c>
      <c r="C1863" t="inlineStr">
        <is>
          <t>Nhân viên lễ tân</t>
        </is>
      </c>
      <c r="D1863" t="inlineStr">
        <is>
          <t>Xuân Cầu Holdings</t>
        </is>
      </c>
      <c r="E1863" t="inlineStr">
        <is>
          <t>Lương:Cạnh tranh</t>
        </is>
      </c>
      <c r="F1863" t="inlineStr">
        <is>
          <t>Hà Nội</t>
        </is>
      </c>
      <c r="G1863" t="inlineStr">
        <is>
          <t>28-03-2026</t>
        </is>
      </c>
      <c r="H1863" t="inlineStr">
        <is>
          <t>28/03/2026</t>
        </is>
      </c>
      <c r="I1863" t="inlineStr">
        <is>
          <t>17/03/2026</t>
        </is>
      </c>
      <c r="J1863" t="inlineStr">
        <is>
          <t>Hành chính / Thư ký, Du lịch, Nhà hàng / Khách sạn</t>
        </is>
      </c>
      <c r="K1863" t="inlineStr">
        <is>
          <t>1 - 10 Năm</t>
        </is>
      </c>
      <c r="L1863" s="8">
        <f>HYPERLINK("https://careerviet.vn/vi/tim-viec-lam/nhan-vien-le-tan.35C6C5B5.html","Xem chi tiết")</f>
        <v/>
      </c>
    </row>
    <row r="1864">
      <c r="B1864" s="9" t="n">
        <v>1862</v>
      </c>
      <c r="C1864" s="10" t="inlineStr">
        <is>
          <t>Tổ trưởng sản xuất (Line Leader)</t>
        </is>
      </c>
      <c r="D1864" s="10" t="inlineStr">
        <is>
          <t>Samsung Electronics HCMC CE Complex Co., Ltd</t>
        </is>
      </c>
      <c r="E1864" s="10" t="inlineStr">
        <is>
          <t>Lương:Cạnh tranh</t>
        </is>
      </c>
      <c r="F1864" s="10" t="inlineStr">
        <is>
          <t>Hồ Chí Minh</t>
        </is>
      </c>
      <c r="G1864" s="10" t="inlineStr">
        <is>
          <t>13-04-2026</t>
        </is>
      </c>
      <c r="H1864" s="10" t="inlineStr">
        <is>
          <t>13/04/2026</t>
        </is>
      </c>
      <c r="I1864" s="10" t="inlineStr">
        <is>
          <t>17/03/2026</t>
        </is>
      </c>
      <c r="J1864" s="10" t="inlineStr">
        <is>
          <t>Điện / Điện tử / Điện lạnh / Điện công nghiệp</t>
        </is>
      </c>
      <c r="K1864" s="10" t="inlineStr">
        <is>
          <t>1 - 3 Năm</t>
        </is>
      </c>
      <c r="L1864" s="11">
        <f>HYPERLINK("https://careerviet.vn/vi/tim-viec-lam/to-truong-san-xuat-line-leader.35C6C58E.html","Xem chi tiết")</f>
        <v/>
      </c>
      <c r="M1864" s="10" t="n"/>
    </row>
    <row r="1865">
      <c r="B1865" s="7" t="n">
        <v>1863</v>
      </c>
      <c r="C1865" t="inlineStr">
        <is>
          <t>Nhân viên kế toán chi phí dự án</t>
        </is>
      </c>
      <c r="D1865" t="inlineStr">
        <is>
          <t>CÔNG TY TNHH XÂY DỰNG THƯƠNG MẠI LỤC GIÁC</t>
        </is>
      </c>
      <c r="E1865" t="inlineStr">
        <is>
          <t>Lương:12 Tr - 16 Tr VND</t>
        </is>
      </c>
      <c r="F1865" t="inlineStr">
        <is>
          <t>Hồ Chí Minh</t>
        </is>
      </c>
      <c r="G1865" t="inlineStr">
        <is>
          <t>13-04-2026</t>
        </is>
      </c>
      <c r="H1865" t="inlineStr">
        <is>
          <t>13/04/2026</t>
        </is>
      </c>
      <c r="I1865" t="inlineStr">
        <is>
          <t>17/03/2026</t>
        </is>
      </c>
      <c r="J1865" t="inlineStr">
        <is>
          <t>Kế toán / Kiểm toán, Tài chính / Đầu tư, Xây dựng</t>
        </is>
      </c>
      <c r="K1865" t="inlineStr">
        <is>
          <t>2 - 3 Năm</t>
        </is>
      </c>
      <c r="L1865" s="8">
        <f>HYPERLINK("https://careerviet.vn/vi/tim-viec-lam/nhan-vien-ke-toan-chi-phi-du-an.35C6C5DA.html","Xem chi tiết")</f>
        <v/>
      </c>
    </row>
    <row r="1866">
      <c r="B1866" s="9" t="n">
        <v>1864</v>
      </c>
      <c r="C1866" s="10" t="inlineStr">
        <is>
          <t>CV/CVC  Xử Lý Nợ - Thi hành án (mảng Xử lý nợ có TSĐB) - Lâm Đồng,  Bình Định, Bình Phước, Đồng Nai, Tiền Giang - TA185 - ID783</t>
        </is>
      </c>
      <c r="D1866" s="10" t="inlineStr">
        <is>
          <t>Ngân Hàng TMCP Việt Nam Thịnh Vượng - VPBANK</t>
        </is>
      </c>
      <c r="E1866" s="10" t="inlineStr">
        <is>
          <t>Lương:20 Tr - 50 Tr VND</t>
        </is>
      </c>
      <c r="F1866" s="10" t="inlineStr">
        <is>
          <t>Bình ĐịnhLâm ĐồngĐồng Nai</t>
        </is>
      </c>
      <c r="G1866" s="10" t="inlineStr">
        <is>
          <t>11-04-2026</t>
        </is>
      </c>
      <c r="H1866" s="10" t="inlineStr">
        <is>
          <t>11/04/2026</t>
        </is>
      </c>
      <c r="I1866" s="10" t="inlineStr">
        <is>
          <t>17/03/2026</t>
        </is>
      </c>
      <c r="J1866" s="10" t="inlineStr">
        <is>
          <t>Ngân hàng, Tài chính / Đầu tư, Luật / Pháp lý</t>
        </is>
      </c>
      <c r="K1866" s="10" t="inlineStr">
        <is>
          <t>Trên 1 Năm</t>
        </is>
      </c>
      <c r="L1866" s="11">
        <f>HYPERLINK("https://careerviet.vn/vi/tim-viec-lam/cv-cvc-xu-ly-no-thi-hanh-an-mang-xu-ly-no-co-tsdb-lam-dong-binh-dinh-binh-phuoc-dong-nai-tien-giang-ta185-id783.35C68558.html","Xem chi tiết")</f>
        <v/>
      </c>
      <c r="M1866" s="10" t="n"/>
    </row>
    <row r="1867">
      <c r="B1867" s="7" t="n">
        <v>1865</v>
      </c>
      <c r="C1867" t="inlineStr">
        <is>
          <t>Kỹ Sư Kiểm Soát Khối Lượng (QS)</t>
        </is>
      </c>
      <c r="D1867" t="inlineStr">
        <is>
          <t>TẬP ĐOÀN ĐẦU TƯ KINH ĐÔ</t>
        </is>
      </c>
      <c r="E1867" t="inlineStr">
        <is>
          <t>Lương:18 Tr - 23 Tr VND</t>
        </is>
      </c>
      <c r="F1867" t="inlineStr">
        <is>
          <t>Hà Nội</t>
        </is>
      </c>
      <c r="G1867" t="inlineStr">
        <is>
          <t>11-04-2026</t>
        </is>
      </c>
      <c r="H1867" t="inlineStr">
        <is>
          <t>11/04/2026</t>
        </is>
      </c>
      <c r="I1867" t="inlineStr">
        <is>
          <t>17/03/2026</t>
        </is>
      </c>
      <c r="J1867" t="inlineStr">
        <is>
          <t>Xây dựng, Kiến trúc, Bất động sản</t>
        </is>
      </c>
      <c r="K1867" t="inlineStr">
        <is>
          <t>Trên 3 Năm</t>
        </is>
      </c>
      <c r="L1867" s="8">
        <f>HYPERLINK("https://careerviet.vn/vi/tim-viec-lam/ky-su-kiem-soat-khoi-luong-qs.35C684BD.html","Xem chi tiết")</f>
        <v/>
      </c>
    </row>
    <row r="1868">
      <c r="B1868" s="9" t="n">
        <v>1866</v>
      </c>
      <c r="C1868" s="10" t="inlineStr">
        <is>
          <t>Technical Manager</t>
        </is>
      </c>
      <c r="D1868" s="10" t="inlineStr">
        <is>
          <t>Vietnam Furniture Resources (VFR)</t>
        </is>
      </c>
      <c r="E1868" s="10" t="inlineStr">
        <is>
          <t>Lương:Cạnh tranh</t>
        </is>
      </c>
      <c r="F1868" s="10" t="inlineStr">
        <is>
          <t>Bình Dương</t>
        </is>
      </c>
      <c r="G1868" s="10" t="inlineStr">
        <is>
          <t>30-04-2026</t>
        </is>
      </c>
      <c r="H1868" s="10" t="inlineStr">
        <is>
          <t>30/04/2026</t>
        </is>
      </c>
      <c r="I1868" s="10" t="inlineStr">
        <is>
          <t>17/03/2026</t>
        </is>
      </c>
      <c r="J1868" s="10" t="inlineStr">
        <is>
          <t>Đồ gỗ, Quản lý chất lượng (QA/QC), Nội ngoại thất</t>
        </is>
      </c>
      <c r="K1868" s="10" t="inlineStr">
        <is>
          <t>5 - 10 Năm</t>
        </is>
      </c>
      <c r="L1868" s="11">
        <f>HYPERLINK("https://careerviet.vn/vi/tim-viec-lam/technical-manager.35C6C593.html","Xem chi tiết")</f>
        <v/>
      </c>
      <c r="M1868" s="10" t="n"/>
    </row>
    <row r="1869">
      <c r="B1869" s="7" t="n">
        <v>1867</v>
      </c>
      <c r="C1869" t="inlineStr">
        <is>
          <t>Project Officer “CASE and APV”</t>
        </is>
      </c>
      <c r="D1869" t="inlineStr">
        <is>
          <t>The Deutsche Gesellschaft für Internationale Zusammenarbeit (GIZ)</t>
        </is>
      </c>
      <c r="E1869" t="inlineStr">
        <is>
          <t>Lương:Cạnh tranh</t>
        </is>
      </c>
      <c r="F1869" t="inlineStr">
        <is>
          <t>Hà Nội</t>
        </is>
      </c>
      <c r="G1869" t="inlineStr">
        <is>
          <t>11-04-2026</t>
        </is>
      </c>
      <c r="H1869" t="inlineStr">
        <is>
          <t>11/04/2026</t>
        </is>
      </c>
      <c r="I1869" t="inlineStr">
        <is>
          <t>17/03/2026</t>
        </is>
      </c>
      <c r="J1869" t="inlineStr">
        <is>
          <t>Điện / Điện tử / Điện lạnh / Điện công nghiệp</t>
        </is>
      </c>
      <c r="K1869" t="inlineStr">
        <is>
          <t>3 Năm</t>
        </is>
      </c>
      <c r="L1869" s="8">
        <f>HYPERLINK("https://careerviet.vn/vi/tim-viec-lam/project-officer-case-and-apv.35C68587.html","Xem chi tiết")</f>
        <v/>
      </c>
    </row>
    <row r="1870">
      <c r="B1870" s="9" t="n">
        <v>1868</v>
      </c>
      <c r="C1870" s="10" t="inlineStr">
        <is>
          <t>Chuyên Viên Kinh Doanh – Hóa Chất Xét Nghiệm (trên 25 triệu)</t>
        </is>
      </c>
      <c r="D1870" s="10" t="inlineStr">
        <is>
          <t>CÔNG TY TNHH XÉT NGHIỆM VÀ CHẨN ĐOÁN HÌNH ẢNH PHÚC AN</t>
        </is>
      </c>
      <c r="E1870" s="10" t="inlineStr">
        <is>
          <t>Lương:Trên 25 Tr VND</t>
        </is>
      </c>
      <c r="F1870" s="10" t="inlineStr">
        <is>
          <t>Cần ThơKhánh HòaDak Lak</t>
        </is>
      </c>
      <c r="G1870" s="10" t="inlineStr">
        <is>
          <t>10-04-2026</t>
        </is>
      </c>
      <c r="H1870" s="10" t="inlineStr">
        <is>
          <t>10/04/2026</t>
        </is>
      </c>
      <c r="I1870" s="10" t="inlineStr">
        <is>
          <t>17/03/2026</t>
        </is>
      </c>
      <c r="J1870" s="10" t="inlineStr">
        <is>
          <t>Y tế / Chăm sóc sức khỏe / Thẩm mỹ / Làm đẹp, Hóa học, Dược phẩm/ Hóa Mỹ Phẩm</t>
        </is>
      </c>
      <c r="K1870" s="10" t="inlineStr">
        <is>
          <t>Trên 3 Năm</t>
        </is>
      </c>
      <c r="L1870" s="11">
        <f>HYPERLINK("https://careerviet.vn/vi/tim-viec-lam/chuyen-vien-kinh-doanh-hoa-chat-xet-nghiem-tren-25-trieu.35C683C8.html","Xem chi tiết")</f>
        <v/>
      </c>
      <c r="M1870" s="10" t="n"/>
    </row>
    <row r="1871">
      <c r="B1871" s="7" t="n">
        <v>1869</v>
      </c>
      <c r="C1871" t="inlineStr">
        <is>
          <t>Maintenance Planner- Hanoi Factory (Van Tao, Thuong Tin, Hanoi)</t>
        </is>
      </c>
      <c r="D1871" t="inlineStr">
        <is>
          <t>HEINEKEN Vietnam</t>
        </is>
      </c>
      <c r="E1871" t="inlineStr">
        <is>
          <t>Lương:Cạnh tranh</t>
        </is>
      </c>
      <c r="F1871" t="inlineStr">
        <is>
          <t>Hà Nội</t>
        </is>
      </c>
      <c r="G1871" t="inlineStr">
        <is>
          <t>15-04-2026</t>
        </is>
      </c>
      <c r="H1871" t="inlineStr">
        <is>
          <t>15/04/2026</t>
        </is>
      </c>
      <c r="I1871" t="inlineStr">
        <is>
          <t>17/03/2026</t>
        </is>
      </c>
      <c r="J1871" t="inlineStr">
        <is>
          <t>Điện / Điện tử / Điện lạnh / Điện công nghiệp, Cơ khí / Ô tô / Tự động hóa, Bảo trì / Sửa chữa</t>
        </is>
      </c>
      <c r="K1871" t="inlineStr">
        <is>
          <t>2 - 5 Năm</t>
        </is>
      </c>
      <c r="L1871" s="8">
        <f>HYPERLINK("https://careerviet.vn/vi/tim-viec-lam/maintenance-planner-hanoi-factory-van-tao-thuong-tin-hanoi.35C6C5F0.html","Xem chi tiết")</f>
        <v/>
      </c>
    </row>
    <row r="1872">
      <c r="B1872" s="9" t="n">
        <v>1870</v>
      </c>
      <c r="C1872" s="10" t="inlineStr">
        <is>
          <t>Trưởng Nhóm Thu Hồi Nợ (Vay Thế Chấp)</t>
        </is>
      </c>
      <c r="D1872" s="10" t="inlineStr">
        <is>
          <t>LOTTE FINANCE VIETNAM</t>
        </is>
      </c>
      <c r="E1872" s="10" t="inlineStr">
        <is>
          <t>Lương:Cạnh tranh</t>
        </is>
      </c>
      <c r="F1872" s="10" t="inlineStr">
        <is>
          <t>Hồ Chí Minh</t>
        </is>
      </c>
      <c r="G1872" s="10" t="inlineStr">
        <is>
          <t>11-04-2026</t>
        </is>
      </c>
      <c r="H1872" s="10" t="inlineStr">
        <is>
          <t>11/04/2026</t>
        </is>
      </c>
      <c r="I1872" s="10" t="inlineStr">
        <is>
          <t>17/03/2026</t>
        </is>
      </c>
      <c r="J1872" s="10" t="inlineStr">
        <is>
          <t>Bán hàng / Kinh doanh, Ngân hàng, Tài chính / Đầu tư</t>
        </is>
      </c>
      <c r="K1872" s="10" t="inlineStr">
        <is>
          <t>Trên 3 Năm</t>
        </is>
      </c>
      <c r="L1872" s="11">
        <f>HYPERLINK("https://careerviet.vn/vi/tim-viec-lam/truong-nhom-thu-hoi-no-vay-the-chap.35C68590.html","Xem chi tiết")</f>
        <v/>
      </c>
      <c r="M1872" s="10" t="n"/>
    </row>
    <row r="1873">
      <c r="B1873" s="7" t="n">
        <v>1871</v>
      </c>
      <c r="C1873" t="inlineStr">
        <is>
          <t>Trưởng nhóm bán hàng trực tiếp - RB - MSB - 3F283</t>
        </is>
      </c>
      <c r="D1873" t="inlineStr">
        <is>
          <t>Ngân hàng Thương mại Cổ phần Hàng Hải Việt Nam (MSB)</t>
        </is>
      </c>
      <c r="E1873" t="inlineStr">
        <is>
          <t>Lương:Cạnh tranh</t>
        </is>
      </c>
      <c r="F1873" t="inlineStr">
        <is>
          <t>Hà NộiHồ Chí Minh</t>
        </is>
      </c>
      <c r="G1873" t="inlineStr">
        <is>
          <t>11-04-2026</t>
        </is>
      </c>
      <c r="H1873" t="inlineStr">
        <is>
          <t>11/04/2026</t>
        </is>
      </c>
      <c r="I1873" t="inlineStr">
        <is>
          <t>17/03/2026</t>
        </is>
      </c>
      <c r="J1873" t="inlineStr">
        <is>
          <t>Ngân hàng</t>
        </is>
      </c>
      <c r="K1873" t="inlineStr">
        <is>
          <t>Trên 5 Năm</t>
        </is>
      </c>
      <c r="L1873" s="8">
        <f>HYPERLINK("https://careerviet.vn/vi/tim-viec-lam/truong-nhom-ban-hang-truc-tiep-rb-msb-3f283.35C684E0.html","Xem chi tiết")</f>
        <v/>
      </c>
    </row>
    <row r="1874">
      <c r="B1874" s="9" t="n">
        <v>1872</v>
      </c>
      <c r="C1874" s="10" t="inlineStr">
        <is>
          <t>Supply Chain Supervisor</t>
        </is>
      </c>
      <c r="D1874" s="10" t="inlineStr">
        <is>
          <t>CÔNG TY TNHH SX BAO BÌ NAM VIỆT</t>
        </is>
      </c>
      <c r="E1874" s="10" t="inlineStr">
        <is>
          <t>Lương:Cạnh tranh</t>
        </is>
      </c>
      <c r="F1874" s="10" t="inlineStr">
        <is>
          <t>Hồ Chí Minh</t>
        </is>
      </c>
      <c r="G1874" s="10" t="inlineStr">
        <is>
          <t>30-04-2026</t>
        </is>
      </c>
      <c r="H1874" s="10" t="inlineStr">
        <is>
          <t>30/04/2026</t>
        </is>
      </c>
      <c r="I1874" s="10" t="inlineStr">
        <is>
          <t>17/03/2026</t>
        </is>
      </c>
      <c r="J1874" s="10" t="inlineStr">
        <is>
          <t>Thu mua / Vật tư, Vận chuyển / Giao nhận / Kho vận</t>
        </is>
      </c>
      <c r="K1874" s="10" t="inlineStr">
        <is>
          <t>3 - 5 Năm</t>
        </is>
      </c>
      <c r="L1874" s="11">
        <f>HYPERLINK("https://careerviet.vn/vi/tim-viec-lam/supply-chain-supervisor.35C6C591.html","Xem chi tiết")</f>
        <v/>
      </c>
      <c r="M1874" s="10" t="n"/>
    </row>
    <row r="1875">
      <c r="B1875" s="7" t="n">
        <v>1873</v>
      </c>
      <c r="C1875" t="inlineStr">
        <is>
          <t>Chuyên viên Tiền lương và Phúc lợi</t>
        </is>
      </c>
      <c r="D1875" t="inlineStr">
        <is>
          <t>BIM Group</t>
        </is>
      </c>
      <c r="E1875" t="inlineStr">
        <is>
          <t>Lương:Cạnh tranh</t>
        </is>
      </c>
      <c r="F1875" t="inlineStr">
        <is>
          <t>Hà Nội</t>
        </is>
      </c>
      <c r="G1875" t="inlineStr">
        <is>
          <t>08-04-2026</t>
        </is>
      </c>
      <c r="H1875" t="inlineStr">
        <is>
          <t>08/04/2026</t>
        </is>
      </c>
      <c r="I1875" t="inlineStr">
        <is>
          <t>17/03/2026</t>
        </is>
      </c>
      <c r="J1875" t="inlineStr">
        <is>
          <t>Hành chính / Thư ký, Nhân sự, Bất động sản</t>
        </is>
      </c>
      <c r="K1875" t="inlineStr">
        <is>
          <t>3 - 5 Năm</t>
        </is>
      </c>
      <c r="L1875" s="8">
        <f>HYPERLINK("https://careerviet.vn/vi/tim-viec-lam/chuyen-vien-tien-luong-va-phuc-loi.35C6C597.html","Xem chi tiết")</f>
        <v/>
      </c>
    </row>
    <row r="1876">
      <c r="B1876" s="9" t="n">
        <v>1874</v>
      </c>
      <c r="C1876" s="10" t="inlineStr">
        <is>
          <t>NV/CV Thu hồi nợ hiện trường TA176 - ID593</t>
        </is>
      </c>
      <c r="D1876" s="10" t="inlineStr">
        <is>
          <t>Ngân Hàng TMCP Việt Nam Thịnh Vượng - VPBANK</t>
        </is>
      </c>
      <c r="E1876" s="10" t="inlineStr">
        <is>
          <t>Lương:Cạnh tranh</t>
        </is>
      </c>
      <c r="F1876" s="10" t="inlineStr">
        <is>
          <t>Hà NộiQuảng NinhHải Phòng</t>
        </is>
      </c>
      <c r="G1876" s="10" t="inlineStr">
        <is>
          <t>11-04-2026</t>
        </is>
      </c>
      <c r="H1876" s="10" t="inlineStr">
        <is>
          <t>11/04/2026</t>
        </is>
      </c>
      <c r="I1876" s="10" t="inlineStr">
        <is>
          <t>17/03/2026</t>
        </is>
      </c>
      <c r="J1876" s="10" t="inlineStr">
        <is>
          <t>Ngân hàng, Tài chính / Đầu tư, Luật / Pháp lý</t>
        </is>
      </c>
      <c r="K1876" s="10" t="inlineStr">
        <is>
          <t>N/A</t>
        </is>
      </c>
      <c r="L1876" s="11">
        <f>HYPERLINK("https://careerviet.vn/vi/tim-viec-lam/nv-cv-thu-hoi-no-hien-truong-ta176-id593.35C684B0.html","Xem chi tiết")</f>
        <v/>
      </c>
      <c r="M1876" s="10" t="n"/>
    </row>
    <row r="1877">
      <c r="B1877" s="7" t="n">
        <v>1875</v>
      </c>
      <c r="C1877" t="inlineStr">
        <is>
          <t>NHÂN VIÊN KINH DOANH B2B</t>
        </is>
      </c>
      <c r="D1877" t="inlineStr">
        <is>
          <t>Công Ty TNHH Sắt Thép Ngọc Biển</t>
        </is>
      </c>
      <c r="E1877" t="inlineStr">
        <is>
          <t>Lương:12 Tr - 20 Tr VND</t>
        </is>
      </c>
      <c r="F1877" t="inlineStr">
        <is>
          <t>Hồ Chí Minh</t>
        </is>
      </c>
      <c r="G1877" t="inlineStr">
        <is>
          <t>11-04-2026</t>
        </is>
      </c>
      <c r="H1877" t="inlineStr">
        <is>
          <t>11/04/2026</t>
        </is>
      </c>
      <c r="I1877" t="inlineStr">
        <is>
          <t>17/03/2026</t>
        </is>
      </c>
      <c r="J1877" t="inlineStr">
        <is>
          <t>Bán hàng / Kinh doanh, Bán Hàng Kỹ Thuật, Xây dựng</t>
        </is>
      </c>
      <c r="K1877" t="inlineStr">
        <is>
          <t>1 - 2 Năm</t>
        </is>
      </c>
      <c r="L1877" s="8">
        <f>HYPERLINK("https://careerviet.vn/vi/tim-viec-lam/nhan-vien-kinh-doanh-b2b.35C68478.html","Xem chi tiết")</f>
        <v/>
      </c>
    </row>
    <row r="1878">
      <c r="B1878" s="9" t="n">
        <v>1876</v>
      </c>
      <c r="C1878" s="10" t="inlineStr">
        <is>
          <t>CV/CVC Xử lý nợ tố tụng - Hưng Yên - TA092 - ID595</t>
        </is>
      </c>
      <c r="D1878" s="10" t="inlineStr">
        <is>
          <t>Ngân Hàng TMCP Việt Nam Thịnh Vượng - VPBANK</t>
        </is>
      </c>
      <c r="E1878" s="10" t="inlineStr">
        <is>
          <t>Lương:Cạnh tranh</t>
        </is>
      </c>
      <c r="F1878" s="10" t="inlineStr">
        <is>
          <t>Hưng Yên</t>
        </is>
      </c>
      <c r="G1878" s="10" t="inlineStr">
        <is>
          <t>11-04-2026</t>
        </is>
      </c>
      <c r="H1878" s="10" t="inlineStr">
        <is>
          <t>11/04/2026</t>
        </is>
      </c>
      <c r="I1878" s="10" t="inlineStr">
        <is>
          <t>17/03/2026</t>
        </is>
      </c>
      <c r="J1878" s="10" t="inlineStr">
        <is>
          <t>Luật / Pháp lý, Ngân hàng, Tài chính / Đầu tư</t>
        </is>
      </c>
      <c r="K1878" s="10" t="inlineStr">
        <is>
          <t>Trên 1 Năm</t>
        </is>
      </c>
      <c r="L1878" s="11">
        <f>HYPERLINK("https://careerviet.vn/vi/tim-viec-lam/cv-cvc-xu-ly-no-to-tung-hung-yen-ta092-id595.35C6844D.html","Xem chi tiết")</f>
        <v/>
      </c>
      <c r="M1878" s="10" t="n"/>
    </row>
    <row r="1879">
      <c r="B1879" s="7" t="n">
        <v>1877</v>
      </c>
      <c r="C1879" t="inlineStr">
        <is>
          <t>Trưởng Phòng Chứng Từ Xuất Nhập Khẩu</t>
        </is>
      </c>
      <c r="D1879" t="inlineStr">
        <is>
          <t>CÔNG TY TNHH GIAO NHẬN THƯƠNG MẠI RỒNG Á CHÂU</t>
        </is>
      </c>
      <c r="E1879" t="inlineStr">
        <is>
          <t>Lương:Cạnh tranh</t>
        </is>
      </c>
      <c r="F1879" t="inlineStr">
        <is>
          <t>Đồng Nai</t>
        </is>
      </c>
      <c r="G1879" t="inlineStr">
        <is>
          <t>11-04-2026</t>
        </is>
      </c>
      <c r="H1879" t="inlineStr">
        <is>
          <t>11/04/2026</t>
        </is>
      </c>
      <c r="I1879" t="inlineStr">
        <is>
          <t>17/03/2026</t>
        </is>
      </c>
      <c r="J1879" t="inlineStr">
        <is>
          <t>Vận chuyển / Giao nhận / Kho vận, Xuất nhập khẩu</t>
        </is>
      </c>
      <c r="K1879" t="inlineStr">
        <is>
          <t>3 - 5 Năm</t>
        </is>
      </c>
      <c r="L1879" s="8">
        <f>HYPERLINK("https://careerviet.vn/vi/tim-viec-lam/truong-phong-chung-tu-xuat-nhap-khau.35C685F3.html","Xem chi tiết")</f>
        <v/>
      </c>
    </row>
    <row r="1880">
      <c r="B1880" s="9" t="n">
        <v>1878</v>
      </c>
      <c r="C1880" s="10" t="inlineStr">
        <is>
          <t>Purchasing Manager (Furniture/Sofa)</t>
        </is>
      </c>
      <c r="D1880" s="10" t="inlineStr">
        <is>
          <t>Công Ty CP Wendelbo Đông Nam Á</t>
        </is>
      </c>
      <c r="E1880" s="10" t="inlineStr">
        <is>
          <t>Lương:Cạnh tranh</t>
        </is>
      </c>
      <c r="F1880" s="10" t="inlineStr">
        <is>
          <t>Bình Dương</t>
        </is>
      </c>
      <c r="G1880" s="10" t="inlineStr">
        <is>
          <t>11-04-2026</t>
        </is>
      </c>
      <c r="H1880" s="10" t="inlineStr">
        <is>
          <t>11/04/2026</t>
        </is>
      </c>
      <c r="I1880" s="10" t="inlineStr">
        <is>
          <t>17/03/2026</t>
        </is>
      </c>
      <c r="J1880" s="10" t="inlineStr">
        <is>
          <t>Đồ gỗ, Nội ngoại thất</t>
        </is>
      </c>
      <c r="K1880" s="10" t="inlineStr">
        <is>
          <t>5 - 7 Năm</t>
        </is>
      </c>
      <c r="L1880" s="11">
        <f>HYPERLINK("https://careerviet.vn/vi/tim-viec-lam/purchasing-manager-furniture-sofa.35C6847A.html","Xem chi tiết")</f>
        <v/>
      </c>
      <c r="M1880" s="10" t="n"/>
    </row>
    <row r="1881">
      <c r="B1881" s="7" t="n">
        <v>1879</v>
      </c>
      <c r="C1881" t="inlineStr">
        <is>
          <t>VẬN HÀNH SÀN TMĐT</t>
        </is>
      </c>
      <c r="D1881" t="inlineStr">
        <is>
          <t>CÔNG TY CỔ PHẦN TẬP ĐOÀN VIANCO</t>
        </is>
      </c>
      <c r="E1881" t="inlineStr">
        <is>
          <t>Lương:15 Tr - 30 Tr VND</t>
        </is>
      </c>
      <c r="F1881" t="inlineStr">
        <is>
          <t>Hà Nội</t>
        </is>
      </c>
      <c r="G1881" t="inlineStr">
        <is>
          <t>11-04-2026</t>
        </is>
      </c>
      <c r="H1881" t="inlineStr">
        <is>
          <t>11/04/2026</t>
        </is>
      </c>
      <c r="I1881" t="inlineStr">
        <is>
          <t>17/03/2026</t>
        </is>
      </c>
      <c r="J1881" t="inlineStr">
        <is>
          <t>Thương mại điện tử, Hàng gia dụng / Chăm sóc cá nhân, Điện / Điện tử / Điện lạnh / Điện công nghiệp</t>
        </is>
      </c>
      <c r="K1881" t="inlineStr">
        <is>
          <t>2 - 3 Năm</t>
        </is>
      </c>
      <c r="L1881" s="8">
        <f>HYPERLINK("https://careerviet.vn/vi/tim-viec-lam/van-hanh-san-tmdt.35C684ED.html","Xem chi tiết")</f>
        <v/>
      </c>
    </row>
    <row r="1882">
      <c r="B1882" s="9" t="n">
        <v>1880</v>
      </c>
      <c r="C1882" s="10" t="inlineStr">
        <is>
          <t>ĐẦU BẾP CO.OPMART HÀ NỘI</t>
        </is>
      </c>
      <c r="D1882" s="10" t="inlineStr">
        <is>
          <t>Liên Hiệp HTX Thương Mại TPHCM - SAIGON CO.OP</t>
        </is>
      </c>
      <c r="E1882" s="10" t="inlineStr">
        <is>
          <t>Lương:Cạnh tranh</t>
        </is>
      </c>
      <c r="F1882" s="10" t="inlineStr">
        <is>
          <t>Hà Nội</t>
        </is>
      </c>
      <c r="G1882" s="10" t="inlineStr">
        <is>
          <t>11-04-2026</t>
        </is>
      </c>
      <c r="H1882" s="10" t="inlineStr">
        <is>
          <t>11/04/2026</t>
        </is>
      </c>
      <c r="I1882" s="10" t="inlineStr">
        <is>
          <t>17/03/2026</t>
        </is>
      </c>
      <c r="J1882" s="10" t="inlineStr">
        <is>
          <t>Công nghệ thực phẩm / Dinh dưỡng, Lao động phổ thông</t>
        </is>
      </c>
      <c r="K1882" s="10" t="inlineStr">
        <is>
          <t>N/A</t>
        </is>
      </c>
      <c r="L1882" s="11">
        <f>HYPERLINK("https://careerviet.vn/vi/tim-viec-lam/dau-bep-co-opmart-ha-noi.35C684E8.html","Xem chi tiết")</f>
        <v/>
      </c>
      <c r="M1882" s="10" t="n"/>
    </row>
    <row r="1883">
      <c r="B1883" s="7" t="n">
        <v>1881</v>
      </c>
      <c r="C1883" t="inlineStr">
        <is>
          <t>Phó giám đốc kinh doanh (Kênh B2B)</t>
        </is>
      </c>
      <c r="D1883" t="inlineStr">
        <is>
          <t>Công ty cổ phần văn phòng phẩm Hồng Hà</t>
        </is>
      </c>
      <c r="E1883" t="inlineStr">
        <is>
          <t>Lương:Cạnh tranh</t>
        </is>
      </c>
      <c r="F1883" t="inlineStr">
        <is>
          <t>Hà Nội</t>
        </is>
      </c>
      <c r="G1883" t="inlineStr">
        <is>
          <t>11-04-2026</t>
        </is>
      </c>
      <c r="H1883" t="inlineStr">
        <is>
          <t>11/04/2026</t>
        </is>
      </c>
      <c r="I1883" t="inlineStr">
        <is>
          <t>17/03/2026</t>
        </is>
      </c>
      <c r="J1883" t="inlineStr">
        <is>
          <t>Tiếp thị / Marketing, Bán hàng / Kinh doanh, Hàng gia dụng / Chăm sóc cá nhân</t>
        </is>
      </c>
      <c r="K1883" t="inlineStr">
        <is>
          <t>2 - 5 Năm</t>
        </is>
      </c>
      <c r="L1883" s="8">
        <f>HYPERLINK("https://careerviet.vn/vi/tim-viec-lam/pho-giam-doc-kinh-doanh-kenh-b2b.35C685F0.html","Xem chi tiết")</f>
        <v/>
      </c>
    </row>
    <row r="1884">
      <c r="B1884" s="9" t="n">
        <v>1882</v>
      </c>
      <c r="C1884" s="10" t="inlineStr">
        <is>
          <t>Medicine Category Supervisor</t>
        </is>
      </c>
      <c r="D1884" s="10" t="inlineStr">
        <is>
          <t>Công Ty CP Dược Phẩm Pharmacity</t>
        </is>
      </c>
      <c r="E1884" s="10" t="inlineStr">
        <is>
          <t>Lương:Cạnh tranh</t>
        </is>
      </c>
      <c r="F1884" s="10" t="inlineStr">
        <is>
          <t>Hồ Chí Minh</t>
        </is>
      </c>
      <c r="G1884" s="10" t="inlineStr">
        <is>
          <t>11-04-2026</t>
        </is>
      </c>
      <c r="H1884" s="10" t="inlineStr">
        <is>
          <t>11/04/2026</t>
        </is>
      </c>
      <c r="I1884" s="10" t="inlineStr">
        <is>
          <t>17/03/2026</t>
        </is>
      </c>
      <c r="J1884" s="10" t="inlineStr">
        <is>
          <t>Bán lẻ / Bán sỉ, Dược phẩm/ Hóa Mỹ Phẩm</t>
        </is>
      </c>
      <c r="K1884" s="10" t="inlineStr">
        <is>
          <t>4 - 8 Năm</t>
        </is>
      </c>
      <c r="L1884" s="11">
        <f>HYPERLINK("https://careerviet.vn/vi/tim-viec-lam/medicine-category-supervisor.35C68560.html","Xem chi tiết")</f>
        <v/>
      </c>
      <c r="M1884" s="10" t="n"/>
    </row>
    <row r="1885">
      <c r="B1885" s="7" t="n">
        <v>1883</v>
      </c>
      <c r="C1885" t="inlineStr">
        <is>
          <t>General Accountant</t>
        </is>
      </c>
      <c r="D1885" t="inlineStr">
        <is>
          <t>Kiss of Lift Co., Ltd.</t>
        </is>
      </c>
      <c r="E1885" t="inlineStr">
        <is>
          <t>Lương:14 Tr - 17 Tr VND</t>
        </is>
      </c>
      <c r="F1885" t="inlineStr">
        <is>
          <t>Hồ Chí Minh</t>
        </is>
      </c>
      <c r="G1885" t="inlineStr">
        <is>
          <t>11-04-2026</t>
        </is>
      </c>
      <c r="H1885" t="inlineStr">
        <is>
          <t>11/04/2026</t>
        </is>
      </c>
      <c r="I1885" t="inlineStr">
        <is>
          <t>17/03/2026</t>
        </is>
      </c>
      <c r="J1885" t="inlineStr">
        <is>
          <t>Y tế / Chăm sóc sức khỏe / Thẩm mỹ / Làm đẹp</t>
        </is>
      </c>
      <c r="K1885" t="inlineStr">
        <is>
          <t>1 - 3 Năm</t>
        </is>
      </c>
      <c r="L1885" s="8">
        <f>HYPERLINK("https://careerviet.vn/vi/tim-viec-lam/general-accountant.35C6854C.html","Xem chi tiết")</f>
        <v/>
      </c>
    </row>
    <row r="1886">
      <c r="B1886" s="9" t="n">
        <v>1884</v>
      </c>
      <c r="C1886" s="10" t="inlineStr">
        <is>
          <t>Warehouse Supervisor</t>
        </is>
      </c>
      <c r="D1886" s="10" t="inlineStr">
        <is>
          <t>Công ty TNHH Olam Việt Nam</t>
        </is>
      </c>
      <c r="E1886" s="10" t="inlineStr">
        <is>
          <t>Lương:Cạnh tranh</t>
        </is>
      </c>
      <c r="F1886" s="10" t="inlineStr">
        <is>
          <t>Đồng Nai</t>
        </is>
      </c>
      <c r="G1886" s="10" t="inlineStr">
        <is>
          <t>11-04-2026</t>
        </is>
      </c>
      <c r="H1886" s="10" t="inlineStr">
        <is>
          <t>11/04/2026</t>
        </is>
      </c>
      <c r="I1886" s="10" t="inlineStr">
        <is>
          <t>17/03/2026</t>
        </is>
      </c>
      <c r="J1886" s="10" t="inlineStr">
        <is>
          <t>Vận chuyển / Giao nhận / Kho vận, Sản xuất / Vận hành sản xuất</t>
        </is>
      </c>
      <c r="K1886" s="10" t="inlineStr">
        <is>
          <t>3 - 7 Năm</t>
        </is>
      </c>
      <c r="L1886" s="11">
        <f>HYPERLINK("https://careerviet.vn/vi/tim-viec-lam/warehouse-supervisor.35C684B9.html","Xem chi tiết")</f>
        <v/>
      </c>
      <c r="M1886" s="10" t="n"/>
    </row>
    <row r="1887">
      <c r="B1887" s="7" t="n">
        <v>1885</v>
      </c>
      <c r="C1887" t="inlineStr">
        <is>
          <t>Chuyên viên Khách hàng Cá nhân - Đà Nẵng</t>
        </is>
      </c>
      <c r="D1887" t="inlineStr">
        <is>
          <t>Ngân hàng Thương mại cổ phần Đông Nam Á (SeABank)</t>
        </is>
      </c>
      <c r="E1887" t="inlineStr">
        <is>
          <t>Lương:9 Tr - 30 Tr VND</t>
        </is>
      </c>
      <c r="F1887" t="inlineStr">
        <is>
          <t>Đà Nẵng</t>
        </is>
      </c>
      <c r="G1887" t="inlineStr">
        <is>
          <t>11-04-2026</t>
        </is>
      </c>
      <c r="H1887" t="inlineStr">
        <is>
          <t>11/04/2026</t>
        </is>
      </c>
      <c r="I1887" t="inlineStr">
        <is>
          <t>17/03/2026</t>
        </is>
      </c>
      <c r="J1887" t="inlineStr">
        <is>
          <t>Ngân hàng, Bảo hiểm, Tài chính / Đầu tư</t>
        </is>
      </c>
      <c r="K1887" t="inlineStr">
        <is>
          <t>1 - 5 Năm</t>
        </is>
      </c>
      <c r="L1887" s="8">
        <f>HYPERLINK("https://careerviet.vn/vi/tim-viec-lam/chuyen-vien-khach-hang-ca-nhan-da-nang.35C652EE.html","Xem chi tiết")</f>
        <v/>
      </c>
    </row>
    <row r="1888">
      <c r="B1888" s="9" t="n">
        <v>1886</v>
      </c>
      <c r="C1888" s="10" t="inlineStr">
        <is>
          <t>Business Development Specialist - Digital Marketing ( Relocation to Malaysia )</t>
        </is>
      </c>
      <c r="D1888" s="10" t="inlineStr">
        <is>
          <t>TDCX Malaysia (Teledirect Telecommerce Sdn Bhd)</t>
        </is>
      </c>
      <c r="E1888" s="10" t="inlineStr">
        <is>
          <t>Lương:20 Tr - 30 Tr VND</t>
        </is>
      </c>
      <c r="F1888" s="10" t="inlineStr">
        <is>
          <t>Hồ Chí Minh</t>
        </is>
      </c>
      <c r="G1888" s="10" t="inlineStr">
        <is>
          <t>11-04-2026</t>
        </is>
      </c>
      <c r="H1888" s="10" t="inlineStr">
        <is>
          <t>11/04/2026</t>
        </is>
      </c>
      <c r="I1888" s="10" t="inlineStr">
        <is>
          <t>17/03/2026</t>
        </is>
      </c>
      <c r="J1888" s="10" t="inlineStr">
        <is>
          <t>Tiếp thị / Marketing, Bán hàng / Kinh doanh</t>
        </is>
      </c>
      <c r="K1888" s="10" t="inlineStr">
        <is>
          <t>Không yêu cầu kinh nghiệm</t>
        </is>
      </c>
      <c r="L1888" s="11">
        <f>HYPERLINK("https://careerviet.vn/vi/tim-viec-lam/business-development-specialist-digital-marketing-relocation-to-malaysia.35C6854A.html","Xem chi tiết")</f>
        <v/>
      </c>
      <c r="M1888" s="10" t="n"/>
    </row>
    <row r="1889">
      <c r="B1889" s="7" t="n">
        <v>1887</v>
      </c>
      <c r="C1889" t="inlineStr">
        <is>
          <t>Trưởng phòng kinh doanh</t>
        </is>
      </c>
      <c r="D1889" t="inlineStr">
        <is>
          <t>Công ty TNHH MTV Giáo Dục Việt Mỹ</t>
        </is>
      </c>
      <c r="E1889" t="inlineStr">
        <is>
          <t>Lương:20 Tr - 50 Tr VND</t>
        </is>
      </c>
      <c r="F1889" t="inlineStr">
        <is>
          <t>Bình PhướcĐồng NaiKiên Giang</t>
        </is>
      </c>
      <c r="G1889" t="inlineStr">
        <is>
          <t>11-04-2026</t>
        </is>
      </c>
      <c r="H1889" t="inlineStr">
        <is>
          <t>11/04/2026</t>
        </is>
      </c>
      <c r="I1889" t="inlineStr">
        <is>
          <t>17/03/2026</t>
        </is>
      </c>
      <c r="J1889" t="inlineStr">
        <is>
          <t>Tiếp thị / Marketing, Bán hàng / Kinh doanh, Quản lý điều hành</t>
        </is>
      </c>
      <c r="K1889" t="inlineStr">
        <is>
          <t>2 - 3 Năm</t>
        </is>
      </c>
      <c r="L1889" s="8">
        <f>HYPERLINK("https://careerviet.vn/vi/tim-viec-lam/truong-phong-kinh-doanh.35C685B1.html","Xem chi tiết")</f>
        <v/>
      </c>
    </row>
    <row r="1890">
      <c r="B1890" s="9" t="n">
        <v>1888</v>
      </c>
      <c r="C1890" s="10" t="inlineStr">
        <is>
          <t>GIẢNG VIÊN NGÀNH Y KHOA (Nội - Ngoại - Nhi - Nhiễm - Sản)</t>
        </is>
      </c>
      <c r="D1890" s="10" t="inlineStr">
        <is>
          <t>TRƯỜNG ĐẠI HỌC YERSIN ĐÀ LẠT</t>
        </is>
      </c>
      <c r="E1890" s="10" t="inlineStr">
        <is>
          <t>Lương:Cạnh tranh</t>
        </is>
      </c>
      <c r="F1890" s="10" t="inlineStr">
        <is>
          <t>Lâm Đồng</t>
        </is>
      </c>
      <c r="G1890" s="10" t="inlineStr">
        <is>
          <t>11-04-2026</t>
        </is>
      </c>
      <c r="H1890" s="10" t="inlineStr">
        <is>
          <t>11/04/2026</t>
        </is>
      </c>
      <c r="I1890" s="10" t="inlineStr">
        <is>
          <t>17/03/2026</t>
        </is>
      </c>
      <c r="J1890" s="10" t="inlineStr">
        <is>
          <t>Y tế / Chăm sóc sức khỏe / Thẩm mỹ / Làm đẹp, Giáo dục / Đào tạo</t>
        </is>
      </c>
      <c r="K1890" s="10" t="inlineStr">
        <is>
          <t>1 - 3 Năm</t>
        </is>
      </c>
      <c r="L1890" s="11">
        <f>HYPERLINK("https://careerviet.vn/vi/tim-viec-lam/giang-vien-nganh-y-khoa-noi-ngoai-nhi-nhiem-san.35C68571.html","Xem chi tiết")</f>
        <v/>
      </c>
      <c r="M1890" s="10" t="n"/>
    </row>
    <row r="1891">
      <c r="B1891" s="7" t="n">
        <v>1889</v>
      </c>
      <c r="C1891" t="inlineStr">
        <is>
          <t>127765 - Senior Logistics Sales Executive - Logistics</t>
        </is>
      </c>
      <c r="D1891" t="inlineStr">
        <is>
          <t>RGF HR Agent Vietnam Co., LTD</t>
        </is>
      </c>
      <c r="E1891" t="inlineStr">
        <is>
          <t>Lương:Cạnh tranh</t>
        </is>
      </c>
      <c r="F1891" t="inlineStr">
        <is>
          <t>Hồ Chí Minh</t>
        </is>
      </c>
      <c r="G1891" t="inlineStr">
        <is>
          <t>11-04-2026</t>
        </is>
      </c>
      <c r="H1891" t="inlineStr">
        <is>
          <t>11/04/2026</t>
        </is>
      </c>
      <c r="I1891" t="inlineStr">
        <is>
          <t>17/03/2026</t>
        </is>
      </c>
      <c r="J1891" t="inlineStr">
        <is>
          <t>Bán hàng / Kinh doanh, Vận chuyển / Giao nhận / Kho vận</t>
        </is>
      </c>
      <c r="K1891" t="inlineStr">
        <is>
          <t>2 - 5 Năm</t>
        </is>
      </c>
      <c r="L1891" s="8">
        <f>HYPERLINK("https://careerviet.vn/vi/tim-viec-lam/127765-senior-logistics-sales-executive-logistics.35C685FC.html","Xem chi tiết")</f>
        <v/>
      </c>
    </row>
    <row r="1892">
      <c r="B1892" s="9" t="n">
        <v>1890</v>
      </c>
      <c r="C1892" s="10" t="inlineStr">
        <is>
          <t>ĐẦU BẾP CO.OPMART XA LỘ HÀ NỘI - NGÃ 4 THỦ ĐỨC</t>
        </is>
      </c>
      <c r="D1892" s="10" t="inlineStr">
        <is>
          <t>Liên Hiệp HTX Thương Mại TPHCM - SAIGON CO.OP</t>
        </is>
      </c>
      <c r="E1892" s="10" t="inlineStr">
        <is>
          <t>Lương:10 Tr - 11 Tr VND</t>
        </is>
      </c>
      <c r="F1892" s="10" t="inlineStr">
        <is>
          <t>Hồ Chí Minh</t>
        </is>
      </c>
      <c r="G1892" s="10" t="inlineStr">
        <is>
          <t>11-04-2026</t>
        </is>
      </c>
      <c r="H1892" s="10" t="inlineStr">
        <is>
          <t>11/04/2026</t>
        </is>
      </c>
      <c r="I1892" s="10" t="inlineStr">
        <is>
          <t>17/03/2026</t>
        </is>
      </c>
      <c r="J1892" s="10" t="inlineStr">
        <is>
          <t>Công nghệ thực phẩm / Dinh dưỡng, Lao động phổ thông</t>
        </is>
      </c>
      <c r="K1892" s="10" t="inlineStr">
        <is>
          <t>2 - 3 Năm</t>
        </is>
      </c>
      <c r="L1892" s="11">
        <f>HYPERLINK("https://careerviet.vn/vi/tim-viec-lam/dau-bep-co-opmart-xa-lo-ha-noi-nga-4-thu-duc.35C684E4.html","Xem chi tiết")</f>
        <v/>
      </c>
      <c r="M1892" s="10" t="n"/>
    </row>
    <row r="1893">
      <c r="B1893" s="7" t="n">
        <v>1891</v>
      </c>
      <c r="C1893" t="inlineStr">
        <is>
          <t>Chuyên viên An toàn Lao động</t>
        </is>
      </c>
      <c r="D1893" t="inlineStr">
        <is>
          <t>CÔNG TY TNHH TÔN NAM KIM PHÚ MỸ</t>
        </is>
      </c>
      <c r="E1893" t="inlineStr">
        <is>
          <t>Lương:Cạnh tranh</t>
        </is>
      </c>
      <c r="F1893" t="inlineStr">
        <is>
          <t>Bà Rịa - Vũng Tàu</t>
        </is>
      </c>
      <c r="G1893" t="inlineStr">
        <is>
          <t>11-04-2026</t>
        </is>
      </c>
      <c r="H1893" t="inlineStr">
        <is>
          <t>11/04/2026</t>
        </is>
      </c>
      <c r="I1893" t="inlineStr">
        <is>
          <t>17/03/2026</t>
        </is>
      </c>
      <c r="J1893" t="inlineStr">
        <is>
          <t>Sản xuất / Vận hành sản xuất, An toàn lao động, Môi trường</t>
        </is>
      </c>
      <c r="K1893" t="inlineStr">
        <is>
          <t>2 - 5 Năm</t>
        </is>
      </c>
      <c r="L1893" s="8">
        <f>HYPERLINK("https://careerviet.vn/vi/tim-viec-lam/chuyen-vien-an-toan-lao-dong.35C652FC.html","Xem chi tiết")</f>
        <v/>
      </c>
    </row>
    <row r="1894">
      <c r="B1894" s="9" t="n">
        <v>1892</v>
      </c>
      <c r="C1894" s="10" t="inlineStr">
        <is>
          <t>Kế Toán Thanh Toán</t>
        </is>
      </c>
      <c r="D1894" s="10" t="inlineStr">
        <is>
          <t>Công Ty Cổ Phần Tập Đoàn Trung Thủy</t>
        </is>
      </c>
      <c r="E1894" s="10" t="inlineStr">
        <is>
          <t>Lương:14 Tr - 16 Tr VND</t>
        </is>
      </c>
      <c r="F1894" s="10" t="inlineStr">
        <is>
          <t>Hồ Chí Minh</t>
        </is>
      </c>
      <c r="G1894" s="10" t="inlineStr">
        <is>
          <t>11-04-2026</t>
        </is>
      </c>
      <c r="H1894" s="10" t="inlineStr">
        <is>
          <t>11/04/2026</t>
        </is>
      </c>
      <c r="I1894" s="10" t="inlineStr">
        <is>
          <t>17/03/2026</t>
        </is>
      </c>
      <c r="J1894" s="10" t="inlineStr">
        <is>
          <t>Kế toán / Kiểm toán, Bất động sản</t>
        </is>
      </c>
      <c r="K1894" s="10" t="inlineStr">
        <is>
          <t>2 - 4 Năm</t>
        </is>
      </c>
      <c r="L1894" s="11">
        <f>HYPERLINK("https://careerviet.vn/vi/tim-viec-lam/ke-toan-thanh-toan.35C685AC.html","Xem chi tiết")</f>
        <v/>
      </c>
      <c r="M1894" s="10" t="n"/>
    </row>
    <row r="1895">
      <c r="B1895" s="7" t="n">
        <v>1893</v>
      </c>
      <c r="C1895" t="inlineStr">
        <is>
          <t>Phiên Dịch Tiếng Nhật N2</t>
        </is>
      </c>
      <c r="D1895" t="inlineStr">
        <is>
          <t>Công Ty TNHH YKK Việt Nam</t>
        </is>
      </c>
      <c r="E1895" t="inlineStr">
        <is>
          <t>Lương:12 Tr - 14 Tr VND</t>
        </is>
      </c>
      <c r="F1895" t="inlineStr">
        <is>
          <t>Đồng Nai</t>
        </is>
      </c>
      <c r="G1895" t="inlineStr">
        <is>
          <t>11-04-2026</t>
        </is>
      </c>
      <c r="H1895" t="inlineStr">
        <is>
          <t>11/04/2026</t>
        </is>
      </c>
      <c r="I1895" t="inlineStr">
        <is>
          <t>17/03/2026</t>
        </is>
      </c>
      <c r="J1895" t="inlineStr">
        <is>
          <t>Hành chính / Thư ký, Biên phiên dịch, Sản xuất / Vận hành sản xuất</t>
        </is>
      </c>
      <c r="K1895" t="inlineStr">
        <is>
          <t>N/A</t>
        </is>
      </c>
      <c r="L1895" s="8">
        <f>HYPERLINK("https://careerviet.vn/vi/tim-viec-lam/phien-dich-tieng-nhat-n2.35C68509.html","Xem chi tiết")</f>
        <v/>
      </c>
    </row>
    <row r="1896">
      <c r="B1896" s="9" t="n">
        <v>1894</v>
      </c>
      <c r="C1896" s="10" t="inlineStr">
        <is>
          <t>Safety Staff (Senior or Assistant Manager)</t>
        </is>
      </c>
      <c r="D1896" s="10" t="inlineStr">
        <is>
          <t>Amkor Technology Việt Nam</t>
        </is>
      </c>
      <c r="E1896" s="10" t="inlineStr">
        <is>
          <t>Lương:Cạnh tranh</t>
        </is>
      </c>
      <c r="F1896" s="10" t="inlineStr">
        <is>
          <t>Bắc Ninh</t>
        </is>
      </c>
      <c r="G1896" s="10" t="inlineStr">
        <is>
          <t>11-04-2026</t>
        </is>
      </c>
      <c r="H1896" s="10" t="inlineStr">
        <is>
          <t>11/04/2026</t>
        </is>
      </c>
      <c r="I1896" s="10" t="inlineStr">
        <is>
          <t>17/03/2026</t>
        </is>
      </c>
      <c r="J1896" s="10" t="inlineStr">
        <is>
          <t>An toàn lao động</t>
        </is>
      </c>
      <c r="K1896" s="10" t="inlineStr">
        <is>
          <t>6 - 15 Năm</t>
        </is>
      </c>
      <c r="L1896" s="11">
        <f>HYPERLINK("https://careerviet.vn/vi/tim-viec-lam/safety-staff-senior-or-assistant-manager.35C6851A.html","Xem chi tiết")</f>
        <v/>
      </c>
      <c r="M1896" s="10" t="n"/>
    </row>
    <row r="1897">
      <c r="B1897" s="7" t="n">
        <v>1895</v>
      </c>
      <c r="C1897" t="inlineStr">
        <is>
          <t>Giám Đốc Quản Lý Khách Hàng Ưu Tiên - PRM Khu vực Đông Nam Bộ</t>
        </is>
      </c>
      <c r="D1897" t="inlineStr">
        <is>
          <t>Ngân Hàng TMCP Quốc Tế Việt Nam</t>
        </is>
      </c>
      <c r="E1897" t="inlineStr">
        <is>
          <t>Lương:20 Tr - 35 Tr VND</t>
        </is>
      </c>
      <c r="F1897" t="inlineStr">
        <is>
          <t>Dak LakBình PhướcBình Dương</t>
        </is>
      </c>
      <c r="G1897" t="inlineStr">
        <is>
          <t>12-04-2026</t>
        </is>
      </c>
      <c r="H1897" t="inlineStr">
        <is>
          <t>12/04/2026</t>
        </is>
      </c>
      <c r="I1897" t="inlineStr">
        <is>
          <t>17/03/2026</t>
        </is>
      </c>
      <c r="J1897" t="inlineStr">
        <is>
          <t>Bán hàng / Kinh doanh, Ngân hàng, Bất động sản</t>
        </is>
      </c>
      <c r="K1897" t="inlineStr">
        <is>
          <t>Lên đến 2 Năm</t>
        </is>
      </c>
      <c r="L1897" s="8">
        <f>HYPERLINK("https://careerviet.vn/vi/tim-viec-lam/giam-doc-quan-ly-khach-hang-uu-tien-prm-khu-vuc-dong-nam-bo.35C6537D.html","Xem chi tiết")</f>
        <v/>
      </c>
    </row>
    <row r="1898">
      <c r="B1898" s="9" t="n">
        <v>1896</v>
      </c>
      <c r="C1898" s="10" t="inlineStr">
        <is>
          <t>127752 - Sales Logistics Manager - Logistics</t>
        </is>
      </c>
      <c r="D1898" s="10" t="inlineStr">
        <is>
          <t>RGF HR Agent Vietnam Co., LTD</t>
        </is>
      </c>
      <c r="E1898" s="10" t="inlineStr">
        <is>
          <t>Lương:Cạnh tranh</t>
        </is>
      </c>
      <c r="F1898" s="10" t="inlineStr">
        <is>
          <t>Hồ Chí Minh</t>
        </is>
      </c>
      <c r="G1898" s="10" t="inlineStr">
        <is>
          <t>11-04-2026</t>
        </is>
      </c>
      <c r="H1898" s="10" t="inlineStr">
        <is>
          <t>11/04/2026</t>
        </is>
      </c>
      <c r="I1898" s="10" t="inlineStr">
        <is>
          <t>17/03/2026</t>
        </is>
      </c>
      <c r="J1898" s="10" t="inlineStr">
        <is>
          <t>Bán hàng / Kinh doanh, Vận chuyển / Giao nhận / Kho vận</t>
        </is>
      </c>
      <c r="K1898" s="10" t="inlineStr">
        <is>
          <t>3 - 5 Năm</t>
        </is>
      </c>
      <c r="L1898" s="11">
        <f>HYPERLINK("https://careerviet.vn/vi/tim-viec-lam/127752-sales-logistics-manager-logistics.35C685FE.html","Xem chi tiết")</f>
        <v/>
      </c>
      <c r="M1898" s="10" t="n"/>
    </row>
    <row r="1899">
      <c r="B1899" s="7" t="n">
        <v>1897</v>
      </c>
      <c r="C1899" t="inlineStr">
        <is>
          <t>Project Officer  for Green Digital Transformation of Textile SMEs</t>
        </is>
      </c>
      <c r="D1899" t="inlineStr">
        <is>
          <t>The Deutsche Gesellschaft für Internationale Zusammenarbeit (GIZ)</t>
        </is>
      </c>
      <c r="E1899" t="inlineStr">
        <is>
          <t>Lương:Cạnh tranh</t>
        </is>
      </c>
      <c r="F1899" t="inlineStr">
        <is>
          <t>Hà Nội</t>
        </is>
      </c>
      <c r="G1899" t="inlineStr">
        <is>
          <t>11-04-2026</t>
        </is>
      </c>
      <c r="H1899" t="inlineStr">
        <is>
          <t>11/04/2026</t>
        </is>
      </c>
      <c r="I1899" t="inlineStr">
        <is>
          <t>17/03/2026</t>
        </is>
      </c>
      <c r="J1899" t="inlineStr">
        <is>
          <t>CNTT - Phần mềm, Môi trường, Dệt may / Da giày / Thời trang</t>
        </is>
      </c>
      <c r="K1899" t="inlineStr">
        <is>
          <t>3 Năm</t>
        </is>
      </c>
      <c r="L1899" s="8">
        <f>HYPERLINK("https://careerviet.vn/vi/tim-viec-lam/project-officer-for-green-digital-transformation-of-textile-smes.35C68581.html","Xem chi tiết")</f>
        <v/>
      </c>
    </row>
    <row r="1900">
      <c r="B1900" s="9" t="n">
        <v>1898</v>
      </c>
      <c r="C1900" s="10" t="inlineStr">
        <is>
          <t>Kỹ sư cơ điện</t>
        </is>
      </c>
      <c r="D1900" s="10" t="inlineStr">
        <is>
          <t>CÔNG TY TNHH TÔN NAM KIM PHÚ MỸ</t>
        </is>
      </c>
      <c r="E1900" s="10" t="inlineStr">
        <is>
          <t>Lương:12 Tr - 16 Tr VND</t>
        </is>
      </c>
      <c r="F1900" s="10" t="inlineStr">
        <is>
          <t>Bà Rịa - Vũng Tàu</t>
        </is>
      </c>
      <c r="G1900" s="10" t="inlineStr">
        <is>
          <t>11-04-2026</t>
        </is>
      </c>
      <c r="H1900" s="10" t="inlineStr">
        <is>
          <t>11/04/2026</t>
        </is>
      </c>
      <c r="I1900" s="10" t="inlineStr">
        <is>
          <t>17/03/2026</t>
        </is>
      </c>
      <c r="J1900" s="10" t="inlineStr">
        <is>
          <t>Sản xuất / Vận hành sản xuất, Điện / Điện tử / Điện lạnh / Điện công nghiệp, Cơ khí / Ô tô / Tự động hóa</t>
        </is>
      </c>
      <c r="K1900" s="10" t="inlineStr">
        <is>
          <t>1 - 5 Năm</t>
        </is>
      </c>
      <c r="L1900" s="11">
        <f>HYPERLINK("https://careerviet.vn/vi/tim-viec-lam/ky-su-co-dien.35C652FB.html","Xem chi tiết")</f>
        <v/>
      </c>
      <c r="M1900" s="10" t="n"/>
    </row>
    <row r="1901">
      <c r="B1901" s="7" t="n">
        <v>1899</v>
      </c>
      <c r="C1901" t="inlineStr">
        <is>
          <t>Nhân viên Vận hành máy</t>
        </is>
      </c>
      <c r="D1901" t="inlineStr">
        <is>
          <t>Công ty TNHH MTV Sen Vàng Việt Nam</t>
        </is>
      </c>
      <c r="E1901" t="inlineStr">
        <is>
          <t>Lương:8 Tr - 15 Tr VND</t>
        </is>
      </c>
      <c r="F1901" t="inlineStr">
        <is>
          <t>Hồ Chí Minh</t>
        </is>
      </c>
      <c r="G1901" t="inlineStr">
        <is>
          <t>13-03-2026</t>
        </is>
      </c>
      <c r="H1901" t="inlineStr">
        <is>
          <t>24/02/2026</t>
        </is>
      </c>
      <c r="I1901" t="inlineStr">
        <is>
          <t>17/03/2026</t>
        </is>
      </c>
      <c r="J1901" t="inlineStr">
        <is>
          <t>Cơ khí / Ô tô / Tự động hóa, Bảo trì / Sửa chữa, Sản xuất / Vận hành sản xuất</t>
        </is>
      </c>
      <c r="K1901" t="inlineStr">
        <is>
          <t>1 - 2 Năm</t>
        </is>
      </c>
      <c r="L1901" s="8">
        <f>HYPERLINK("https://careerviet.vn/vi/tim-viec-lam/nhan-vien-van-hanh-may.35C693B8.html","Xem chi tiết")</f>
        <v/>
      </c>
    </row>
    <row r="1902">
      <c r="B1902" s="9" t="n">
        <v>1900</v>
      </c>
      <c r="C1902" s="10" t="inlineStr">
        <is>
          <t>Trade Marketing</t>
        </is>
      </c>
      <c r="D1902" s="10" t="inlineStr">
        <is>
          <t>Công Ty TNHH Perfect Companion Việt Nam</t>
        </is>
      </c>
      <c r="E1902" s="10" t="inlineStr">
        <is>
          <t>Lương:Cạnh tranh</t>
        </is>
      </c>
      <c r="F1902" s="10" t="inlineStr">
        <is>
          <t>Hải PhòngQuảng Ninh</t>
        </is>
      </c>
      <c r="G1902" s="10" t="inlineStr">
        <is>
          <t>12-04-2026</t>
        </is>
      </c>
      <c r="H1902" s="10" t="inlineStr">
        <is>
          <t>12/04/2026</t>
        </is>
      </c>
      <c r="I1902" s="10" t="inlineStr">
        <is>
          <t>17/03/2026</t>
        </is>
      </c>
      <c r="J1902" s="10" t="inlineStr">
        <is>
          <t>Tiếp thị / Marketing, Chăn nuôi / Thú y, Tiếp thị trực tuyến</t>
        </is>
      </c>
      <c r="K1902" s="10" t="inlineStr">
        <is>
          <t>Lên đến 1 Năm</t>
        </is>
      </c>
      <c r="L1902" s="11">
        <f>HYPERLINK("https://careerviet.vn/vi/tim-viec-lam/trade-marketing.35C65521.html","Xem chi tiết")</f>
        <v/>
      </c>
      <c r="M1902" s="10" t="n"/>
    </row>
    <row r="1903">
      <c r="B1903" s="7" t="n">
        <v>1901</v>
      </c>
      <c r="C1903" t="inlineStr">
        <is>
          <t>Trưởng Phòng Kế Hoạch Tổng Hợp</t>
        </is>
      </c>
      <c r="D1903" t="inlineStr">
        <is>
          <t>CÔNG TY CỔ PHẦN THỰC PHẨM FUJI</t>
        </is>
      </c>
      <c r="E1903" t="inlineStr">
        <is>
          <t>Lương:Cạnh tranh</t>
        </is>
      </c>
      <c r="F1903" t="inlineStr">
        <is>
          <t>Hà Nội</t>
        </is>
      </c>
      <c r="G1903" t="inlineStr">
        <is>
          <t>31-03-2026</t>
        </is>
      </c>
      <c r="H1903" t="inlineStr">
        <is>
          <t>31/03/2026</t>
        </is>
      </c>
      <c r="I1903" t="inlineStr">
        <is>
          <t>17/03/2026</t>
        </is>
      </c>
      <c r="J1903" t="inlineStr">
        <is>
          <t>Bán hàng / Kinh doanh, Kế toán / Kiểm toán, Vận chuyển / Giao nhận / Kho vận</t>
        </is>
      </c>
      <c r="K1903" t="inlineStr">
        <is>
          <t>2 - 5 Năm</t>
        </is>
      </c>
      <c r="L1903" s="8">
        <f>HYPERLINK("https://careerviet.vn/vi/tim-viec-lam/truong-phong-ke-hoach-tong-hop.35C6A15C.html","Xem chi tiết")</f>
        <v/>
      </c>
    </row>
    <row r="1904">
      <c r="B1904" s="9" t="n">
        <v>1902</v>
      </c>
      <c r="C1904" s="10" t="inlineStr">
        <is>
          <t>Chuyên Viên Phát Triển Cộng Tác Viên</t>
        </is>
      </c>
      <c r="D1904" s="10" t="inlineStr">
        <is>
          <t>Công ty CP Bệnh Viện Đa Khoa Quốc Tế Vinmec</t>
        </is>
      </c>
      <c r="E1904" s="10" t="inlineStr">
        <is>
          <t>Lương:Cạnh tranh</t>
        </is>
      </c>
      <c r="F1904" s="10" t="inlineStr">
        <is>
          <t>Hưng Yên</t>
        </is>
      </c>
      <c r="G1904" s="10" t="inlineStr">
        <is>
          <t>11-04-2026</t>
        </is>
      </c>
      <c r="H1904" s="10" t="inlineStr">
        <is>
          <t>11/04/2026</t>
        </is>
      </c>
      <c r="I1904" s="10" t="inlineStr">
        <is>
          <t>17/03/2026</t>
        </is>
      </c>
      <c r="J1904" s="10" t="inlineStr">
        <is>
          <t>Tiếp thị / Marketing, Y tế / Chăm sóc sức khỏe / Thẩm mỹ / Làm đẹp</t>
        </is>
      </c>
      <c r="K1904" s="10" t="inlineStr">
        <is>
          <t>2 - 3 Năm</t>
        </is>
      </c>
      <c r="L1904" s="11">
        <f>HYPERLINK("https://careerviet.vn/vi/tim-viec-lam/chuyen-vien-phat-trien-cong-tac-vien.35C652ED.html","Xem chi tiết")</f>
        <v/>
      </c>
      <c r="M1904" s="10" t="n"/>
    </row>
    <row r="1905">
      <c r="B1905" s="7" t="n">
        <v>1903</v>
      </c>
      <c r="C1905" t="inlineStr">
        <is>
          <t>CHUYÊN VIÊN TƯ VẤN ĐẦU TƯ KHÁCH HÀNG CÁ NHÂN HCM</t>
        </is>
      </c>
      <c r="D1905" t="inlineStr">
        <is>
          <t>VDSC - Công ty CP Chứng khoán Rồng Việt</t>
        </is>
      </c>
      <c r="E1905" t="inlineStr">
        <is>
          <t>Lương:7 Tr - 20 Tr VND</t>
        </is>
      </c>
      <c r="F1905" t="inlineStr">
        <is>
          <t>Hồ Chí Minh</t>
        </is>
      </c>
      <c r="G1905" t="inlineStr">
        <is>
          <t>12-04-2026</t>
        </is>
      </c>
      <c r="H1905" t="inlineStr">
        <is>
          <t>12/04/2026</t>
        </is>
      </c>
      <c r="I1905" t="inlineStr">
        <is>
          <t>17/03/2026</t>
        </is>
      </c>
      <c r="J1905" t="inlineStr">
        <is>
          <t>Ngân hàng, Chứng khoán, Tài chính / Đầu tư</t>
        </is>
      </c>
      <c r="K1905" t="inlineStr">
        <is>
          <t>Trên 1 Năm</t>
        </is>
      </c>
      <c r="L1905" s="8">
        <f>HYPERLINK("https://careerviet.vn/vi/tim-viec-lam/chuyen-vien-tu-van-dau-tu-khach-hang-ca-nhan-hcm.35C6876E.html","Xem chi tiết")</f>
        <v/>
      </c>
    </row>
    <row r="1906">
      <c r="B1906" s="9" t="n">
        <v>1904</v>
      </c>
      <c r="C1906" s="10" t="inlineStr">
        <is>
          <t>Kỹ Sư Kết Cấu; Họa Viên</t>
        </is>
      </c>
      <c r="D1906" s="10" t="inlineStr">
        <is>
          <t>Công Ty TNHH Thương Mại và Kỹ Thuật Loup</t>
        </is>
      </c>
      <c r="E1906" s="10" t="inlineStr">
        <is>
          <t>Lương:7,5 Tr - 10 Tr VND</t>
        </is>
      </c>
      <c r="F1906" s="10" t="inlineStr">
        <is>
          <t>Hồ Chí Minh</t>
        </is>
      </c>
      <c r="G1906" s="10" t="inlineStr">
        <is>
          <t>30-04-2026</t>
        </is>
      </c>
      <c r="H1906" s="10" t="inlineStr">
        <is>
          <t>30/04/2026</t>
        </is>
      </c>
      <c r="I1906" s="10" t="inlineStr">
        <is>
          <t>17/03/2026</t>
        </is>
      </c>
      <c r="J1906" s="10" t="inlineStr">
        <is>
          <t>Xây dựng, Kiến trúc</t>
        </is>
      </c>
      <c r="K1906" s="10" t="inlineStr">
        <is>
          <t>N/A</t>
        </is>
      </c>
      <c r="L1906" s="11">
        <f>HYPERLINK("https://careerviet.vn/vi/tim-viec-lam/ky-su-ket-cau-hoa-vien.35C6A10F.html","Xem chi tiết")</f>
        <v/>
      </c>
      <c r="M1906" s="10" t="n"/>
    </row>
    <row r="1907">
      <c r="B1907" s="7" t="n">
        <v>1905</v>
      </c>
      <c r="C1907" t="inlineStr">
        <is>
          <t>Chuyên viên Cơ khí</t>
        </is>
      </c>
      <c r="D1907" t="inlineStr">
        <is>
          <t>CÔNG TY CỔ PHẦN  KTG ELECTRIC</t>
        </is>
      </c>
      <c r="E1907" t="inlineStr">
        <is>
          <t>Lương:13 Tr - 15 Tr VND</t>
        </is>
      </c>
      <c r="F1907" t="inlineStr">
        <is>
          <t>Đồng Nai</t>
        </is>
      </c>
      <c r="G1907" t="inlineStr">
        <is>
          <t>31-03-2026</t>
        </is>
      </c>
      <c r="H1907" t="inlineStr">
        <is>
          <t>31/03/2026</t>
        </is>
      </c>
      <c r="I1907" t="inlineStr">
        <is>
          <t>17/03/2026</t>
        </is>
      </c>
      <c r="J1907" t="inlineStr">
        <is>
          <t>Cơ khí / Ô tô / Tự động hóa, Bảo trì / Sửa chữa</t>
        </is>
      </c>
      <c r="K1907" t="inlineStr">
        <is>
          <t>2 - 3 Năm</t>
        </is>
      </c>
      <c r="L1907" s="8">
        <f>HYPERLINK("https://careerviet.vn/vi/tim-viec-lam/chuyen-vien-co-khi.35C6A12C.html","Xem chi tiết")</f>
        <v/>
      </c>
    </row>
    <row r="1908">
      <c r="B1908" s="9" t="n">
        <v>1906</v>
      </c>
      <c r="C1908" s="10" t="inlineStr">
        <is>
          <t>Quản lý Sản phẩm và Phát triển (Product &amp; Development Manager)</t>
        </is>
      </c>
      <c r="D1908" s="10" t="inlineStr">
        <is>
          <t>CÔNG TY TNHH ĐẦU TƯ DỊCH VỤ HUMVENTURES</t>
        </is>
      </c>
      <c r="E1908" s="10" t="inlineStr">
        <is>
          <t>Lương:Cạnh tranh</t>
        </is>
      </c>
      <c r="F1908" s="10" t="inlineStr">
        <is>
          <t>Hồ Chí Minh</t>
        </is>
      </c>
      <c r="G1908" s="10" t="inlineStr">
        <is>
          <t>31-03-2026</t>
        </is>
      </c>
      <c r="H1908" s="10" t="inlineStr">
        <is>
          <t>31/03/2026</t>
        </is>
      </c>
      <c r="I1908" s="10" t="inlineStr">
        <is>
          <t>17/03/2026</t>
        </is>
      </c>
      <c r="J1908" s="10" t="inlineStr">
        <is>
          <t>Thực phẩm &amp; Đồ uống</t>
        </is>
      </c>
      <c r="K1908" s="10" t="inlineStr">
        <is>
          <t>5 - 10 Năm</t>
        </is>
      </c>
      <c r="L1908" s="11">
        <f>HYPERLINK("https://careerviet.vn/vi/tim-viec-lam/quan-ly-san-pham-va-phat-trien-product-development-manager.35C6A1FC.html","Xem chi tiết")</f>
        <v/>
      </c>
      <c r="M1908" s="10" t="n"/>
    </row>
    <row r="1909">
      <c r="B1909" s="7" t="n">
        <v>1907</v>
      </c>
      <c r="C1909" t="inlineStr">
        <is>
          <t>Nhân Viên Kinh Doanh</t>
        </is>
      </c>
      <c r="D1909" t="inlineStr">
        <is>
          <t>CÔNG TY TNHH KỸ THUẬT ASG VIỆT NAM</t>
        </is>
      </c>
      <c r="E1909" t="inlineStr">
        <is>
          <t>Lương:15 Tr - 30 Tr VND</t>
        </is>
      </c>
      <c r="F1909" t="inlineStr">
        <is>
          <t>Hà NộiHồ Chí Minh</t>
        </is>
      </c>
      <c r="G1909" t="inlineStr">
        <is>
          <t>11-04-2026</t>
        </is>
      </c>
      <c r="H1909" t="inlineStr">
        <is>
          <t>11/04/2026</t>
        </is>
      </c>
      <c r="I1909" t="inlineStr">
        <is>
          <t>17/03/2026</t>
        </is>
      </c>
      <c r="J1909" t="inlineStr">
        <is>
          <t>Tư vấn, Dịch vụ khách hàng, Bán hàng / Kinh doanh</t>
        </is>
      </c>
      <c r="K1909" t="inlineStr">
        <is>
          <t>N/A</t>
        </is>
      </c>
      <c r="L1909" s="8">
        <f>HYPERLINK("https://careerviet.vn/vi/tim-viec-lam/nhan-vien-kinh-doanh.35C67EFC.html","Xem chi tiết")</f>
        <v/>
      </c>
    </row>
    <row r="1910">
      <c r="B1910" s="9" t="n">
        <v>1908</v>
      </c>
      <c r="C1910" s="10" t="inlineStr">
        <is>
          <t>Calibration &amp; Quality Assurance Engineer</t>
        </is>
      </c>
      <c r="D1910" s="10" t="inlineStr">
        <is>
          <t>CÔNG TY TNHH AMITEC</t>
        </is>
      </c>
      <c r="E1910" s="10" t="inlineStr">
        <is>
          <t>Lương:Cạnh tranh</t>
        </is>
      </c>
      <c r="F1910" s="10" t="inlineStr">
        <is>
          <t>Hồ Chí Minh</t>
        </is>
      </c>
      <c r="G1910" s="10" t="inlineStr">
        <is>
          <t>31-03-2026</t>
        </is>
      </c>
      <c r="H1910" s="10" t="inlineStr">
        <is>
          <t>31/03/2026</t>
        </is>
      </c>
      <c r="I1910" s="10" t="inlineStr">
        <is>
          <t>17/03/2026</t>
        </is>
      </c>
      <c r="J1910" s="10" t="inlineStr">
        <is>
          <t>Điện / Điện tử / Điện lạnh / Điện công nghiệp, Bảo trì / Sửa chữa, Dệt may / Da giày / Thời trang</t>
        </is>
      </c>
      <c r="K1910" s="10" t="inlineStr">
        <is>
          <t>3 - 5 Năm</t>
        </is>
      </c>
      <c r="L1910" s="11">
        <f>HYPERLINK("https://careerviet.vn/vi/tim-viec-lam/calibration-quality-assurance-engineer.35C6A1B5.html","Xem chi tiết")</f>
        <v/>
      </c>
      <c r="M1910" s="10" t="n"/>
    </row>
    <row r="1911">
      <c r="B1911" s="7" t="n">
        <v>1909</v>
      </c>
      <c r="C1911" t="inlineStr">
        <is>
          <t>Nhân viên Thiết kế 3D ( Chuyên Zbrush)</t>
        </is>
      </c>
      <c r="D1911" t="inlineStr">
        <is>
          <t>CÔNG TY CỔ PHẦN SẢN XUẤT THƯƠNG MẠI DỊCH VỤ MỸ THUẬT TÂN VIỆT</t>
        </is>
      </c>
      <c r="E1911" t="inlineStr">
        <is>
          <t>Lương:10 Tr - 12 Tr VND</t>
        </is>
      </c>
      <c r="F1911" t="inlineStr">
        <is>
          <t>Hồ Chí Minh</t>
        </is>
      </c>
      <c r="G1911" t="inlineStr">
        <is>
          <t>31-07-2026</t>
        </is>
      </c>
      <c r="H1911" t="inlineStr">
        <is>
          <t>31/07/2026</t>
        </is>
      </c>
      <c r="I1911" t="inlineStr">
        <is>
          <t>17/03/2026</t>
        </is>
      </c>
      <c r="J1911" t="inlineStr">
        <is>
          <t>Mỹ thuật / Nghệ thuật / Thiết kế, Kiến trúc</t>
        </is>
      </c>
      <c r="K1911" t="inlineStr">
        <is>
          <t>1 - 5 Năm</t>
        </is>
      </c>
      <c r="L1911" s="8">
        <f>HYPERLINK("https://careerviet.vn/vi/tim-viec-lam/nhan-vien-thiet-ke-3d-chuyen-zbrush.35C69F78.html","Xem chi tiết")</f>
        <v/>
      </c>
    </row>
    <row r="1912">
      <c r="B1912" s="9" t="n">
        <v>1910</v>
      </c>
      <c r="C1912" s="10" t="inlineStr">
        <is>
          <t>Nhân viên Kế hoạch Vật tư cơ khí xây dựng (Nam)</t>
        </is>
      </c>
      <c r="D1912" s="10" t="inlineStr">
        <is>
          <t>ATAD Steel Structure Corporation</t>
        </is>
      </c>
      <c r="E1912" s="10" t="inlineStr">
        <is>
          <t>Lương:Cạnh tranh</t>
        </is>
      </c>
      <c r="F1912" s="10" t="inlineStr">
        <is>
          <t>Hồ Chí MinhĐồng Nai</t>
        </is>
      </c>
      <c r="G1912" s="10" t="inlineStr">
        <is>
          <t>27-03-2026</t>
        </is>
      </c>
      <c r="H1912" s="10" t="inlineStr">
        <is>
          <t>27/03/2026</t>
        </is>
      </c>
      <c r="I1912" s="10" t="inlineStr">
        <is>
          <t>17/03/2026</t>
        </is>
      </c>
      <c r="J1912" s="10" t="inlineStr">
        <is>
          <t>Sản xuất / Vận hành sản xuất, Xây dựng, Cơ khí / Ô tô / Tự động hóa</t>
        </is>
      </c>
      <c r="K1912" s="10" t="inlineStr">
        <is>
          <t>Lên đến 5 Năm</t>
        </is>
      </c>
      <c r="L1912" s="11">
        <f>HYPERLINK("https://careerviet.vn/vi/tim-viec-lam/nhan-vien-ke-hoach-vat-tu-co-khi-xay-dung-nam.35C6A1AD.html","Xem chi tiết")</f>
        <v/>
      </c>
      <c r="M1912" s="10" t="n"/>
    </row>
    <row r="1913">
      <c r="B1913" s="7" t="n">
        <v>1911</v>
      </c>
      <c r="C1913" t="inlineStr">
        <is>
          <t>Kỹ sư thiết kế</t>
        </is>
      </c>
      <c r="D1913" t="inlineStr">
        <is>
          <t>Chi nhánh Công ty TNHH MTV BCA-Thăng Long tại TP.HCM</t>
        </is>
      </c>
      <c r="E1913" t="inlineStr">
        <is>
          <t>Lương:15 Tr - 25 Tr VND</t>
        </is>
      </c>
      <c r="F1913" t="inlineStr">
        <is>
          <t>Hồ Chí MinhĐồng NaiBà Rịa - Vũng Tàu</t>
        </is>
      </c>
      <c r="G1913" t="inlineStr">
        <is>
          <t>31-03-2026</t>
        </is>
      </c>
      <c r="H1913" t="inlineStr">
        <is>
          <t>31/03/2026</t>
        </is>
      </c>
      <c r="I1913" t="inlineStr">
        <is>
          <t>17/03/2026</t>
        </is>
      </c>
      <c r="J1913" t="inlineStr">
        <is>
          <t>Điện / Điện tử / Điện lạnh / Điện công nghiệp, Cơ khí / Ô tô / Tự động hóa, Môi trường</t>
        </is>
      </c>
      <c r="K1913" t="inlineStr">
        <is>
          <t>2 - 5 Năm</t>
        </is>
      </c>
      <c r="L1913" s="8">
        <f>HYPERLINK("https://careerviet.vn/vi/tim-viec-lam/ky-su-thiet-ke.35C6A166.html","Xem chi tiết")</f>
        <v/>
      </c>
    </row>
    <row r="1914">
      <c r="B1914" s="9" t="n">
        <v>1912</v>
      </c>
      <c r="C1914" s="10" t="inlineStr">
        <is>
          <t>Nhân viên Telesale_Thành Thạo Tiếng Anh (Lĩnh Vực Nha Khoa)</t>
        </is>
      </c>
      <c r="D1914" s="10" t="inlineStr">
        <is>
          <t>CÔNG TY TNHH NHA KHOA QUỐC TẾ SQ GROUP</t>
        </is>
      </c>
      <c r="E1914" s="10" t="inlineStr">
        <is>
          <t>Lương:Cạnh tranh</t>
        </is>
      </c>
      <c r="F1914" s="10" t="inlineStr">
        <is>
          <t>Hồ Chí Minh</t>
        </is>
      </c>
      <c r="G1914" s="10" t="inlineStr">
        <is>
          <t>31-03-2026</t>
        </is>
      </c>
      <c r="H1914" s="10" t="inlineStr">
        <is>
          <t>31/03/2026</t>
        </is>
      </c>
      <c r="I1914" s="10" t="inlineStr">
        <is>
          <t>17/03/2026</t>
        </is>
      </c>
      <c r="J1914" s="10" t="inlineStr">
        <is>
          <t>Tư vấn, Bán hàng / Kinh doanh, Y tế / Chăm sóc sức khỏe / Thẩm mỹ / Làm đẹp</t>
        </is>
      </c>
      <c r="K1914" s="10" t="inlineStr">
        <is>
          <t>N/A</t>
        </is>
      </c>
      <c r="L1914" s="11">
        <f>HYPERLINK("https://careerviet.vn/vi/tim-viec-lam/nhan-vien-telesale_thanh-thao-tieng-anh-linh-vuc-nha-khoa.35C6A1B7.html","Xem chi tiết")</f>
        <v/>
      </c>
      <c r="M1914" s="10" t="n"/>
    </row>
    <row r="1915">
      <c r="B1915" s="7" t="n">
        <v>1913</v>
      </c>
      <c r="C1915" t="inlineStr">
        <is>
          <t>Nhân Viên Kế Toán tại Quận 2</t>
        </is>
      </c>
      <c r="D1915" t="inlineStr">
        <is>
          <t>Công Ty TNHH Tập Đoàn Rita Võ</t>
        </is>
      </c>
      <c r="E1915" t="inlineStr">
        <is>
          <t>Lương:8 Tr - 11 Tr VND</t>
        </is>
      </c>
      <c r="F1915" t="inlineStr">
        <is>
          <t>Hồ Chí Minh</t>
        </is>
      </c>
      <c r="G1915" t="inlineStr">
        <is>
          <t>31-03-2026</t>
        </is>
      </c>
      <c r="H1915" t="inlineStr">
        <is>
          <t>31/03/2026</t>
        </is>
      </c>
      <c r="I1915" t="inlineStr">
        <is>
          <t>17/03/2026</t>
        </is>
      </c>
      <c r="J1915" t="inlineStr">
        <is>
          <t>Kế toán / Kiểm toán</t>
        </is>
      </c>
      <c r="K1915" t="inlineStr">
        <is>
          <t>Trên 1 Năm</t>
        </is>
      </c>
      <c r="L1915" s="8">
        <f>HYPERLINK("https://careerviet.vn/vi/tim-viec-lam/nhan-vien-ke-toan-tai-quan-2.35C6A1CD.html","Xem chi tiết")</f>
        <v/>
      </c>
    </row>
    <row r="1916">
      <c r="B1916" s="9" t="n">
        <v>1914</v>
      </c>
      <c r="C1916" s="10" t="inlineStr">
        <is>
          <t>Sales Manager</t>
        </is>
      </c>
      <c r="D1916" s="10" t="inlineStr">
        <is>
          <t>IDC Group</t>
        </is>
      </c>
      <c r="E1916" s="10" t="inlineStr">
        <is>
          <t>Lương:Cạnh tranh</t>
        </is>
      </c>
      <c r="F1916" s="10" t="inlineStr">
        <is>
          <t>Hà Nội</t>
        </is>
      </c>
      <c r="G1916" s="10" t="inlineStr">
        <is>
          <t>31-03-2026</t>
        </is>
      </c>
      <c r="H1916" s="10" t="inlineStr">
        <is>
          <t>31/03/2026</t>
        </is>
      </c>
      <c r="I1916" s="10" t="inlineStr">
        <is>
          <t>17/03/2026</t>
        </is>
      </c>
      <c r="J1916" s="10" t="inlineStr">
        <is>
          <t>Bán hàng / Kinh doanh</t>
        </is>
      </c>
      <c r="K1916" s="10" t="inlineStr">
        <is>
          <t>3 - 5 Năm</t>
        </is>
      </c>
      <c r="L1916" s="11">
        <f>HYPERLINK("https://careerviet.vn/vi/tim-viec-lam/sales-manager.35C6A1C7.html","Xem chi tiết")</f>
        <v/>
      </c>
      <c r="M1916" s="10" t="n"/>
    </row>
    <row r="1917">
      <c r="B1917" s="7" t="n">
        <v>1915</v>
      </c>
      <c r="C1917" t="inlineStr">
        <is>
          <t>Tổ trưởng Logistics</t>
        </is>
      </c>
      <c r="D1917" t="inlineStr">
        <is>
          <t>CÔNG TY TRÁCH NHIỆM HỮU HẠN SÀI GÒN PRECISION</t>
        </is>
      </c>
      <c r="E1917" t="inlineStr">
        <is>
          <t>Lương:Cạnh tranh</t>
        </is>
      </c>
      <c r="F1917" t="inlineStr">
        <is>
          <t>Hồ Chí Minh</t>
        </is>
      </c>
      <c r="G1917" t="inlineStr">
        <is>
          <t>30-03-2026</t>
        </is>
      </c>
      <c r="H1917" t="inlineStr">
        <is>
          <t>30/03/2026</t>
        </is>
      </c>
      <c r="I1917" t="inlineStr">
        <is>
          <t>17/03/2026</t>
        </is>
      </c>
      <c r="J1917" t="inlineStr">
        <is>
          <t>Xuất nhập khẩu, Sản xuất / Vận hành sản xuất</t>
        </is>
      </c>
      <c r="K1917" t="inlineStr">
        <is>
          <t>2 - 5 Năm</t>
        </is>
      </c>
      <c r="L1917" s="8">
        <f>HYPERLINK("https://careerviet.vn/vi/tim-viec-lam/to-truong-logistics.35C6A239.html","Xem chi tiết")</f>
        <v/>
      </c>
    </row>
    <row r="1918">
      <c r="B1918" s="9" t="n">
        <v>1916</v>
      </c>
      <c r="C1918" s="10" t="inlineStr">
        <is>
          <t>Nhân viên bán hàng (biết live stream)</t>
        </is>
      </c>
      <c r="D1918" s="10" t="inlineStr">
        <is>
          <t>CÔNG TY TNHH THƯƠNG MẠI DỊCH VỤ MULGATI VIỆT NAM</t>
        </is>
      </c>
      <c r="E1918" s="10" t="inlineStr">
        <is>
          <t>Lương:8 Tr - 15 Tr VND</t>
        </is>
      </c>
      <c r="F1918" s="10" t="inlineStr">
        <is>
          <t>Hà NộiHải Phòng</t>
        </is>
      </c>
      <c r="G1918" s="10" t="inlineStr">
        <is>
          <t>31-03-2026</t>
        </is>
      </c>
      <c r="H1918" s="10" t="inlineStr">
        <is>
          <t>31/03/2026</t>
        </is>
      </c>
      <c r="I1918" s="10" t="inlineStr">
        <is>
          <t>17/03/2026</t>
        </is>
      </c>
      <c r="J1918" s="10" t="inlineStr">
        <is>
          <t>Bán lẻ / Bán sỉ</t>
        </is>
      </c>
      <c r="K1918" s="10" t="inlineStr">
        <is>
          <t>N/A</t>
        </is>
      </c>
      <c r="L1918" s="11">
        <f>HYPERLINK("https://careerviet.vn/vi/tim-viec-lam/nhan-vien-ban-hang-biet-live-stream.35C69D29.html","Xem chi tiết")</f>
        <v/>
      </c>
      <c r="M1918" s="10" t="n"/>
    </row>
    <row r="1919">
      <c r="B1919" s="7" t="n">
        <v>1917</v>
      </c>
      <c r="C1919" t="inlineStr">
        <is>
          <t>KẾ TOÁN TỔNG HỢP</t>
        </is>
      </c>
      <c r="D1919" t="inlineStr">
        <is>
          <t>CÔNG TY CP TẬP ĐOÀN ĐẦU TƯ HOÀNG GIA VIỆT NAM</t>
        </is>
      </c>
      <c r="E1919" t="inlineStr">
        <is>
          <t>Lương:Cạnh tranh</t>
        </is>
      </c>
      <c r="F1919" t="inlineStr">
        <is>
          <t>Hồ Chí MinhLong An</t>
        </is>
      </c>
      <c r="G1919" t="inlineStr">
        <is>
          <t>31-03-2026</t>
        </is>
      </c>
      <c r="H1919" t="inlineStr">
        <is>
          <t>31/03/2026</t>
        </is>
      </c>
      <c r="I1919" t="inlineStr">
        <is>
          <t>17/03/2026</t>
        </is>
      </c>
      <c r="J1919" t="inlineStr">
        <is>
          <t>Kế toán / Kiểm toán</t>
        </is>
      </c>
      <c r="K1919" t="inlineStr">
        <is>
          <t>5 - 7 Năm</t>
        </is>
      </c>
      <c r="L1919" s="8">
        <f>HYPERLINK("https://careerviet.vn/vi/tim-viec-lam/ke-toan-tong-hop.35C6A16A.html","Xem chi tiết")</f>
        <v/>
      </c>
    </row>
    <row r="1920">
      <c r="B1920" s="9" t="n">
        <v>1918</v>
      </c>
      <c r="C1920" s="10" t="inlineStr">
        <is>
          <t>Chuyên Viên Kế Toán Dịch Vụ</t>
        </is>
      </c>
      <c r="D1920" s="10" t="inlineStr">
        <is>
          <t>Hoang Duc Pharmaceutical &amp; Medical Supplies co, Ltd.</t>
        </is>
      </c>
      <c r="E1920" s="10" t="inlineStr">
        <is>
          <t>Lương:Cạnh tranh</t>
        </is>
      </c>
      <c r="F1920" s="10" t="inlineStr">
        <is>
          <t>Hồ Chí Minh</t>
        </is>
      </c>
      <c r="G1920" s="10" t="inlineStr">
        <is>
          <t>31-03-2026</t>
        </is>
      </c>
      <c r="H1920" s="10" t="inlineStr">
        <is>
          <t>31/03/2026</t>
        </is>
      </c>
      <c r="I1920" s="10" t="inlineStr">
        <is>
          <t>17/03/2026</t>
        </is>
      </c>
      <c r="J1920" s="10" t="inlineStr">
        <is>
          <t>Kế toán / Kiểm toán</t>
        </is>
      </c>
      <c r="K1920" s="10" t="inlineStr">
        <is>
          <t>Chưa có kinh nghiệm</t>
        </is>
      </c>
      <c r="L1920" s="11">
        <f>HYPERLINK("https://careerviet.vn/vi/tim-viec-lam/chuyen-vien-ke-toan-dich-vu.35C6A253.html","Xem chi tiết")</f>
        <v/>
      </c>
      <c r="M1920" s="10" t="n"/>
    </row>
    <row r="1921">
      <c r="B1921" s="7" t="n">
        <v>1919</v>
      </c>
      <c r="C1921" t="inlineStr">
        <is>
          <t>CHUYÊN VIÊN THIẾT KẾ RẬP, SƠ ĐỒ (OPTITEX)</t>
        </is>
      </c>
      <c r="D1921" t="inlineStr">
        <is>
          <t>CÔNG TY CỔ PHẦN AMW VIỆT NAM</t>
        </is>
      </c>
      <c r="E1921" t="inlineStr">
        <is>
          <t>Lương:20 Tr - 25 Tr VND</t>
        </is>
      </c>
      <c r="F1921" t="inlineStr">
        <is>
          <t>Hồ Chí Minh</t>
        </is>
      </c>
      <c r="G1921" t="inlineStr">
        <is>
          <t>30-03-2026</t>
        </is>
      </c>
      <c r="H1921" t="inlineStr">
        <is>
          <t>30/03/2026</t>
        </is>
      </c>
      <c r="I1921" t="inlineStr">
        <is>
          <t>17/03/2026</t>
        </is>
      </c>
      <c r="J1921" t="inlineStr">
        <is>
          <t>Mỹ thuật / Nghệ thuật / Thiết kế, Dệt may / Da giày / Thời trang, Ngành khác</t>
        </is>
      </c>
      <c r="K1921" t="inlineStr">
        <is>
          <t>Trên 3 Năm</t>
        </is>
      </c>
      <c r="L1921" s="8">
        <f>HYPERLINK("https://careerviet.vn/vi/tim-viec-lam/chuyen-vien-thiet-ke-rap-so-do-optitex.35C69E60.html","Xem chi tiết")</f>
        <v/>
      </c>
    </row>
    <row r="1922">
      <c r="B1922" s="9" t="n">
        <v>1920</v>
      </c>
      <c r="C1922" s="10" t="inlineStr">
        <is>
          <t>Chỉ Huy Trưởng/ Chỉ Huy Phó Công Trình. Lương Upto 30M. Đi Làm Ngay</t>
        </is>
      </c>
      <c r="D1922" s="10" t="inlineStr">
        <is>
          <t>CÔNG TY CỔ PHẦN ĐẦU TƯ THIÊN ÂN</t>
        </is>
      </c>
      <c r="E1922" s="10" t="inlineStr">
        <is>
          <t>Lương:25 Tr - 35 Tr VND</t>
        </is>
      </c>
      <c r="F1922" s="10" t="inlineStr">
        <is>
          <t>Bắc GiangBắc NinhHà Nội</t>
        </is>
      </c>
      <c r="G1922" s="10" t="inlineStr">
        <is>
          <t>31-03-2026</t>
        </is>
      </c>
      <c r="H1922" s="10" t="inlineStr">
        <is>
          <t>31/03/2026</t>
        </is>
      </c>
      <c r="I1922" s="10" t="inlineStr">
        <is>
          <t>17/03/2026</t>
        </is>
      </c>
      <c r="J1922" s="10" t="inlineStr">
        <is>
          <t>Kiến trúc, Xây dựng, Bất động sản</t>
        </is>
      </c>
      <c r="K1922" s="10" t="inlineStr">
        <is>
          <t>Trên 7 Năm</t>
        </is>
      </c>
      <c r="L1922" s="11">
        <f>HYPERLINK("https://careerviet.vn/vi/tim-viec-lam/chi-huy-truong-chi-huy-pho-cong-trinh-luong-upto-30m-di-lam-ngay.35C6A24C.html","Xem chi tiết")</f>
        <v/>
      </c>
      <c r="M1922" s="10" t="n"/>
    </row>
    <row r="1923">
      <c r="B1923" s="7" t="n">
        <v>1921</v>
      </c>
      <c r="C1923" t="inlineStr">
        <is>
          <t>Chuyên Viên Kế Toán Kho</t>
        </is>
      </c>
      <c r="D1923" t="inlineStr">
        <is>
          <t>Hoang Duc Pharmaceutical &amp; Medical Supplies co, Ltd.</t>
        </is>
      </c>
      <c r="E1923" t="inlineStr">
        <is>
          <t>Lương:Cạnh tranh</t>
        </is>
      </c>
      <c r="F1923" t="inlineStr">
        <is>
          <t>Hồ Chí Minh</t>
        </is>
      </c>
      <c r="G1923" t="inlineStr">
        <is>
          <t>31-03-2026</t>
        </is>
      </c>
      <c r="H1923" t="inlineStr">
        <is>
          <t>31/03/2026</t>
        </is>
      </c>
      <c r="I1923" t="inlineStr">
        <is>
          <t>17/03/2026</t>
        </is>
      </c>
      <c r="J1923" t="inlineStr">
        <is>
          <t>Kế toán / Kiểm toán</t>
        </is>
      </c>
      <c r="K1923" t="inlineStr">
        <is>
          <t>1 - 2 Năm</t>
        </is>
      </c>
      <c r="L1923" s="8">
        <f>HYPERLINK("https://careerviet.vn/vi/tim-viec-lam/chuyen-vien-ke-toan-kho.35C6A251.html","Xem chi tiết")</f>
        <v/>
      </c>
    </row>
    <row r="1924">
      <c r="B1924" s="9" t="n">
        <v>1922</v>
      </c>
      <c r="C1924" s="10" t="inlineStr">
        <is>
          <t>Nhân viên Kỹ thuật Sự Kiện - Nam</t>
        </is>
      </c>
      <c r="D1924" s="10" t="inlineStr">
        <is>
          <t>CÔNG TY CỔ PHẦN TỔ CHỨC HỘI NGHỊ VIỆT NAM</t>
        </is>
      </c>
      <c r="E1924" s="10" t="inlineStr">
        <is>
          <t>Lương:8 Tr - 10 Tr VND</t>
        </is>
      </c>
      <c r="F1924" s="10" t="inlineStr">
        <is>
          <t>Hà Nội</t>
        </is>
      </c>
      <c r="G1924" s="10" t="inlineStr">
        <is>
          <t>31-03-2026</t>
        </is>
      </c>
      <c r="H1924" s="10" t="inlineStr">
        <is>
          <t>31/03/2026</t>
        </is>
      </c>
      <c r="I1924" s="10" t="inlineStr">
        <is>
          <t>17/03/2026</t>
        </is>
      </c>
      <c r="J1924" s="10" t="inlineStr">
        <is>
          <t>Tổ chức sự kiện</t>
        </is>
      </c>
      <c r="K1924" s="10" t="inlineStr">
        <is>
          <t>1 - 3 Năm</t>
        </is>
      </c>
      <c r="L1924" s="11">
        <f>HYPERLINK("https://careerviet.vn/vi/tim-viec-lam/nhan-vien-ky-thuat-su-kien-nam.35C6A09C.html","Xem chi tiết")</f>
        <v/>
      </c>
      <c r="M1924" s="10" t="n"/>
    </row>
    <row r="1925">
      <c r="B1925" s="7" t="n">
        <v>1923</v>
      </c>
      <c r="C1925" t="inlineStr">
        <is>
          <t>Kỹ sư Công nghệ Hoá (R&amp;D Engineer)</t>
        </is>
      </c>
      <c r="D1925" t="inlineStr">
        <is>
          <t>ADC PLASTIC,. JSC</t>
        </is>
      </c>
      <c r="E1925" t="inlineStr">
        <is>
          <t>Lương:13 Tr - 20 Tr VND</t>
        </is>
      </c>
      <c r="F1925" t="inlineStr">
        <is>
          <t>Hưng Yên</t>
        </is>
      </c>
      <c r="G1925" t="inlineStr">
        <is>
          <t>30-04-2026</t>
        </is>
      </c>
      <c r="H1925" t="inlineStr">
        <is>
          <t>30/04/2026</t>
        </is>
      </c>
      <c r="I1925" t="inlineStr">
        <is>
          <t>17/03/2026</t>
        </is>
      </c>
      <c r="J1925" t="inlineStr">
        <is>
          <t>Hóa học, Sản xuất / Vận hành sản xuất</t>
        </is>
      </c>
      <c r="K1925" t="inlineStr">
        <is>
          <t>2 - 5 Năm</t>
        </is>
      </c>
      <c r="L1925" s="8">
        <f>HYPERLINK("https://careerviet.vn/vi/tim-viec-lam/ky-su-cong-nghe-hoa-r-d-engineer.35C6A123.html","Xem chi tiết")</f>
        <v/>
      </c>
    </row>
    <row r="1926">
      <c r="B1926" s="9" t="n">
        <v>1924</v>
      </c>
      <c r="C1926" s="10" t="inlineStr">
        <is>
          <t>Nhân viên kỹ thuật thiết kế  - dự án</t>
        </is>
      </c>
      <c r="D1926" s="10" t="inlineStr">
        <is>
          <t>CÔNG TY TNHH THIẾT BỊ CÔNG NGHIỆP HẢI ÂU VIỆT</t>
        </is>
      </c>
      <c r="E1926" s="10" t="inlineStr">
        <is>
          <t>Lương:Trên 9 Tr VND</t>
        </is>
      </c>
      <c r="F1926" s="10" t="inlineStr">
        <is>
          <t>Hồ Chí Minh</t>
        </is>
      </c>
      <c r="G1926" s="10" t="inlineStr">
        <is>
          <t>31-03-2026</t>
        </is>
      </c>
      <c r="H1926" s="10" t="inlineStr">
        <is>
          <t>31/03/2026</t>
        </is>
      </c>
      <c r="I1926" s="10" t="inlineStr">
        <is>
          <t>17/03/2026</t>
        </is>
      </c>
      <c r="J1926" s="10" t="inlineStr">
        <is>
          <t>Cơ khí / Ô tô / Tự động hóa</t>
        </is>
      </c>
      <c r="K1926" s="10" t="inlineStr">
        <is>
          <t>N/A</t>
        </is>
      </c>
      <c r="L1926" s="11">
        <f>HYPERLINK("https://careerviet.vn/vi/tim-viec-lam/nhan-vien-ky-thuat-thiet-ke-du-an.35C6A235.html","Xem chi tiết")</f>
        <v/>
      </c>
      <c r="M1926" s="10" t="n"/>
    </row>
    <row r="1927">
      <c r="B1927" s="7" t="n">
        <v>1925</v>
      </c>
      <c r="C1927" t="inlineStr">
        <is>
          <t>Nhân viên kế toán tổng hợp</t>
        </is>
      </c>
      <c r="D1927" t="inlineStr">
        <is>
          <t>Công Ty Cổ Phần TEKCOM</t>
        </is>
      </c>
      <c r="E1927" t="inlineStr">
        <is>
          <t>Lương:Cạnh tranh</t>
        </is>
      </c>
      <c r="F1927" t="inlineStr">
        <is>
          <t>Bình Dương</t>
        </is>
      </c>
      <c r="G1927" t="inlineStr">
        <is>
          <t>11-04-2026</t>
        </is>
      </c>
      <c r="H1927" t="inlineStr">
        <is>
          <t>11/04/2026</t>
        </is>
      </c>
      <c r="I1927" t="inlineStr">
        <is>
          <t>17/03/2026</t>
        </is>
      </c>
      <c r="J1927" t="inlineStr">
        <is>
          <t>Kế toán / Kiểm toán, Tài chính / Đầu tư</t>
        </is>
      </c>
      <c r="K1927" t="inlineStr">
        <is>
          <t>3 - 5 Năm</t>
        </is>
      </c>
      <c r="L1927" s="8">
        <f>HYPERLINK("https://careerviet.vn/vi/tim-viec-lam/nhan-vien-ke-toan-tong-hop.35C684DB.html","Xem chi tiết")</f>
        <v/>
      </c>
    </row>
    <row r="1928">
      <c r="B1928" s="9" t="n">
        <v>1926</v>
      </c>
      <c r="C1928" s="10" t="inlineStr">
        <is>
          <t>Chuyên viên Pháp Chế - Hợp Đồng</t>
        </is>
      </c>
      <c r="D1928" s="10" t="inlineStr">
        <is>
          <t>CÔNG TY CP TẬP ĐOÀN ĐẦU TƯ HOÀNG GIA VIỆT NAM</t>
        </is>
      </c>
      <c r="E1928" s="10" t="inlineStr">
        <is>
          <t>Lương:Cạnh tranh</t>
        </is>
      </c>
      <c r="F1928" s="10" t="inlineStr">
        <is>
          <t>Hồ Chí Minh</t>
        </is>
      </c>
      <c r="G1928" s="10" t="inlineStr">
        <is>
          <t>31-03-2026</t>
        </is>
      </c>
      <c r="H1928" s="10" t="inlineStr">
        <is>
          <t>31/03/2026</t>
        </is>
      </c>
      <c r="I1928" s="10" t="inlineStr">
        <is>
          <t>17/03/2026</t>
        </is>
      </c>
      <c r="J1928" s="10" t="inlineStr">
        <is>
          <t>Luật / Pháp lý</t>
        </is>
      </c>
      <c r="K1928" s="10" t="inlineStr">
        <is>
          <t>5 - 7 Năm</t>
        </is>
      </c>
      <c r="L1928" s="11">
        <f>HYPERLINK("https://careerviet.vn/vi/tim-viec-lam/chuyen-vien-phap-che-hop-dong.35C6A167.html","Xem chi tiết")</f>
        <v/>
      </c>
      <c r="M1928" s="10" t="n"/>
    </row>
    <row r="1929">
      <c r="B1929" s="7" t="n">
        <v>1927</v>
      </c>
      <c r="C1929" t="inlineStr">
        <is>
          <t>Kỹ sư kinh doanh - Mảng hoá chất xử lý nước</t>
        </is>
      </c>
      <c r="D1929" t="inlineStr">
        <is>
          <t>Cong Thanh Environment - Technology Co., Ltd (Envitech co.,Ltd )</t>
        </is>
      </c>
      <c r="E1929" t="inlineStr">
        <is>
          <t>Lương:12 Tr - 18 Tr VND</t>
        </is>
      </c>
      <c r="F1929" t="inlineStr">
        <is>
          <t>Hồ Chí Minh</t>
        </is>
      </c>
      <c r="G1929" t="inlineStr">
        <is>
          <t>31-03-2026</t>
        </is>
      </c>
      <c r="H1929" t="inlineStr">
        <is>
          <t>31/03/2026</t>
        </is>
      </c>
      <c r="I1929" t="inlineStr">
        <is>
          <t>17/03/2026</t>
        </is>
      </c>
      <c r="J1929" t="inlineStr">
        <is>
          <t>Bán hàng / Kinh doanh</t>
        </is>
      </c>
      <c r="K1929" t="inlineStr">
        <is>
          <t>3 - 5 Năm</t>
        </is>
      </c>
      <c r="L1929" s="8">
        <f>HYPERLINK("https://careerviet.vn/vi/tim-viec-lam/ky-su-kinh-doanh-mang-hoa-chat-xu-ly-nuoc.35C6A1C3.html","Xem chi tiết")</f>
        <v/>
      </c>
    </row>
    <row r="1930">
      <c r="B1930" s="9" t="n">
        <v>1928</v>
      </c>
      <c r="C1930" s="10" t="inlineStr">
        <is>
          <t>BUSINESS DEVELOPMENT MANAGER – MIỀN NAM</t>
        </is>
      </c>
      <c r="D1930" s="10" t="inlineStr">
        <is>
          <t>CÔNG TY TNHH TERRACO VIỆT NAM</t>
        </is>
      </c>
      <c r="E1930" s="10" t="inlineStr">
        <is>
          <t>Lương:18 Tr - 22 Tr VND</t>
        </is>
      </c>
      <c r="F1930" s="10" t="inlineStr">
        <is>
          <t>Hồ Chí MinhHà Nội</t>
        </is>
      </c>
      <c r="G1930" s="10" t="inlineStr">
        <is>
          <t>28-03-2026</t>
        </is>
      </c>
      <c r="H1930" s="10" t="inlineStr">
        <is>
          <t>28/03/2026</t>
        </is>
      </c>
      <c r="I1930" s="10" t="inlineStr">
        <is>
          <t>17/03/2026</t>
        </is>
      </c>
      <c r="J1930" s="10" t="inlineStr">
        <is>
          <t>Bán hàng / Kinh doanh, Xây dựng, Kiến trúc</t>
        </is>
      </c>
      <c r="K1930" s="10" t="inlineStr">
        <is>
          <t>5 - 10 Năm</t>
        </is>
      </c>
      <c r="L1930" s="11">
        <f>HYPERLINK("https://careerviet.vn/vi/tim-viec-lam/business-development-manager-mien-nam.35C6A229.html","Xem chi tiết")</f>
        <v/>
      </c>
      <c r="M1930" s="10" t="n"/>
    </row>
    <row r="1931">
      <c r="B1931" s="7" t="n">
        <v>1929</v>
      </c>
      <c r="C1931" t="inlineStr">
        <is>
          <t>Nhân viên HCNS - Đào tạo</t>
        </is>
      </c>
      <c r="D1931" t="inlineStr">
        <is>
          <t>CÔNG TY CỔ PHẦN TỔ CHỨC HỘI NGHỊ VIỆT NAM</t>
        </is>
      </c>
      <c r="E1931" t="inlineStr">
        <is>
          <t>Lương:8 Tr - 10 Tr VND</t>
        </is>
      </c>
      <c r="F1931" t="inlineStr">
        <is>
          <t>Hà Nội</t>
        </is>
      </c>
      <c r="G1931" t="inlineStr">
        <is>
          <t>31-03-2026</t>
        </is>
      </c>
      <c r="H1931" t="inlineStr">
        <is>
          <t>31/03/2026</t>
        </is>
      </c>
      <c r="I1931" t="inlineStr">
        <is>
          <t>17/03/2026</t>
        </is>
      </c>
      <c r="J1931" t="inlineStr">
        <is>
          <t>Nhân sự</t>
        </is>
      </c>
      <c r="K1931" t="inlineStr">
        <is>
          <t>1 - 3 Năm</t>
        </is>
      </c>
      <c r="L1931" s="8">
        <f>HYPERLINK("https://careerviet.vn/vi/tim-viec-lam/nhan-vien-hcns-dao-tao.35C6A14B.html","Xem chi tiết")</f>
        <v/>
      </c>
    </row>
    <row r="1932">
      <c r="B1932" s="9" t="n">
        <v>1930</v>
      </c>
      <c r="C1932" s="10" t="inlineStr">
        <is>
          <t>Kế toán Tổng hợp</t>
        </is>
      </c>
      <c r="D1932" s="10" t="inlineStr">
        <is>
          <t>CÔNG TY TNHH THƯƠNG MẠI VÀ DỊCH VỤ GOMCN</t>
        </is>
      </c>
      <c r="E1932" s="10" t="inlineStr">
        <is>
          <t>Lương:18 Tr - 20 Tr VND</t>
        </is>
      </c>
      <c r="F1932" s="10" t="inlineStr">
        <is>
          <t>Hồ Chí Minh</t>
        </is>
      </c>
      <c r="G1932" s="10" t="inlineStr">
        <is>
          <t>31-03-2026</t>
        </is>
      </c>
      <c r="H1932" s="10" t="inlineStr">
        <is>
          <t>31/03/2026</t>
        </is>
      </c>
      <c r="I1932" s="10" t="inlineStr">
        <is>
          <t>17/03/2026</t>
        </is>
      </c>
      <c r="J1932" s="10" t="inlineStr">
        <is>
          <t>Kế toán / Kiểm toán, Tài chính / Đầu tư</t>
        </is>
      </c>
      <c r="K1932" s="10" t="inlineStr">
        <is>
          <t>Trên 3 Năm</t>
        </is>
      </c>
      <c r="L1932" s="11">
        <f>HYPERLINK("https://careerviet.vn/vi/tim-viec-lam/ke-toan-tong-hop.35C6B58A.html","Xem chi tiết")</f>
        <v/>
      </c>
      <c r="M1932" s="10" t="n"/>
    </row>
    <row r="1933">
      <c r="B1933" s="7" t="n">
        <v>1931</v>
      </c>
      <c r="C1933" t="inlineStr">
        <is>
          <t>Chỉ Huy Trưởng Công Trình</t>
        </is>
      </c>
      <c r="D1933" t="inlineStr">
        <is>
          <t>Công Ty CP Xây Dựng A&amp;C</t>
        </is>
      </c>
      <c r="E1933" t="inlineStr">
        <is>
          <t>Lương:Cạnh tranh</t>
        </is>
      </c>
      <c r="F1933" t="inlineStr">
        <is>
          <t>Hồ Chí Minh</t>
        </is>
      </c>
      <c r="G1933" t="inlineStr">
        <is>
          <t>30-03-2026</t>
        </is>
      </c>
      <c r="H1933" t="inlineStr">
        <is>
          <t>30/03/2026</t>
        </is>
      </c>
      <c r="I1933" t="inlineStr">
        <is>
          <t>17/03/2026</t>
        </is>
      </c>
      <c r="J1933" t="inlineStr">
        <is>
          <t>Xây dựng, Bất động sản</t>
        </is>
      </c>
      <c r="K1933" t="inlineStr">
        <is>
          <t>2 - 3 Năm</t>
        </is>
      </c>
      <c r="L1933" s="8">
        <f>HYPERLINK("https://careerviet.vn/vi/tim-viec-lam/chi-huy-truong-cong-trinh.35C6A12F.html","Xem chi tiết")</f>
        <v/>
      </c>
    </row>
    <row r="1934">
      <c r="B1934" s="9" t="n">
        <v>1932</v>
      </c>
      <c r="C1934" s="10" t="inlineStr">
        <is>
          <t>KẾ TOÁN TỔNG HỢP</t>
        </is>
      </c>
      <c r="D1934" s="10" t="inlineStr">
        <is>
          <t>CÔNG TY TNHH CÔNG NGHỆ GOODM</t>
        </is>
      </c>
      <c r="E1934" s="10" t="inlineStr">
        <is>
          <t>Lương:Cạnh tranh</t>
        </is>
      </c>
      <c r="F1934" s="10" t="inlineStr">
        <is>
          <t>Hồ Chí Minh</t>
        </is>
      </c>
      <c r="G1934" s="10" t="inlineStr">
        <is>
          <t>13-03-2026</t>
        </is>
      </c>
      <c r="H1934" s="10" t="inlineStr">
        <is>
          <t>28/02/2026</t>
        </is>
      </c>
      <c r="I1934" s="10" t="inlineStr">
        <is>
          <t>17/03/2026</t>
        </is>
      </c>
      <c r="J1934" s="10" t="inlineStr">
        <is>
          <t>Kế toán / Kiểm toán</t>
        </is>
      </c>
      <c r="K1934" s="10" t="inlineStr">
        <is>
          <t>3 - 5 Năm</t>
        </is>
      </c>
      <c r="L1934" s="11">
        <f>HYPERLINK("https://careerviet.vn/vi/tim-viec-lam/ke-toan-tong-hop.35C69DCC.html","Xem chi tiết")</f>
        <v/>
      </c>
      <c r="M1934" s="10" t="n"/>
    </row>
    <row r="1935">
      <c r="B1935" s="7" t="n">
        <v>1933</v>
      </c>
      <c r="C1935" t="inlineStr">
        <is>
          <t>Phó Phòng Kế Toán Tại Dĩ An</t>
        </is>
      </c>
      <c r="D1935" t="inlineStr">
        <is>
          <t>Công Ty TNHH Tập Đoàn Rita Võ</t>
        </is>
      </c>
      <c r="E1935" t="inlineStr">
        <is>
          <t>Lương:20 Tr - 25 Tr VND</t>
        </is>
      </c>
      <c r="F1935" t="inlineStr">
        <is>
          <t>Hồ Chí Minh</t>
        </is>
      </c>
      <c r="G1935" t="inlineStr">
        <is>
          <t>31-03-2026</t>
        </is>
      </c>
      <c r="H1935" t="inlineStr">
        <is>
          <t>31/03/2026</t>
        </is>
      </c>
      <c r="I1935" t="inlineStr">
        <is>
          <t>17/03/2026</t>
        </is>
      </c>
      <c r="J1935" t="inlineStr">
        <is>
          <t>Kế toán / Kiểm toán</t>
        </is>
      </c>
      <c r="K1935" t="inlineStr">
        <is>
          <t>2 - 5 Năm</t>
        </is>
      </c>
      <c r="L1935" s="8">
        <f>HYPERLINK("https://careerviet.vn/vi/tim-viec-lam/pho-phong-ke-toan-tai-di-an.35C6A143.html","Xem chi tiết")</f>
        <v/>
      </c>
    </row>
    <row r="1936">
      <c r="B1936" s="9" t="n">
        <v>1934</v>
      </c>
      <c r="C1936" s="10" t="inlineStr">
        <is>
          <t>Nhân viên Vận hành Livestream</t>
        </is>
      </c>
      <c r="D1936" s="10" t="inlineStr">
        <is>
          <t>CÔNG TY CỔ PHẦN THỜI TRANG AMERICAN</t>
        </is>
      </c>
      <c r="E1936" s="10" t="inlineStr">
        <is>
          <t>Lương:9 Tr - 15 Tr VND</t>
        </is>
      </c>
      <c r="F1936" s="10" t="inlineStr">
        <is>
          <t>Hồ Chí Minh</t>
        </is>
      </c>
      <c r="G1936" s="10" t="inlineStr">
        <is>
          <t>03-04-2026</t>
        </is>
      </c>
      <c r="H1936" s="10" t="inlineStr">
        <is>
          <t>03/04/2026</t>
        </is>
      </c>
      <c r="I1936" s="10" t="inlineStr">
        <is>
          <t>17/03/2026</t>
        </is>
      </c>
      <c r="J1936" s="10" t="inlineStr">
        <is>
          <t>Tiếp thị / Marketing, Thương mại điện tử, Bán Hàng Kỹ Thuật</t>
        </is>
      </c>
      <c r="K1936" s="10" t="inlineStr">
        <is>
          <t>N/A</t>
        </is>
      </c>
      <c r="L1936" s="11">
        <f>HYPERLINK("https://careerviet.vn/vi/tim-viec-lam/nhan-vien-van-hanh-livestream.35C6B5A9.html","Xem chi tiết")</f>
        <v/>
      </c>
      <c r="M1936" s="10" t="n"/>
    </row>
    <row r="1937">
      <c r="B1937" s="7" t="n">
        <v>1935</v>
      </c>
      <c r="C1937" t="inlineStr">
        <is>
          <t>Kế toán tổng hợp</t>
        </is>
      </c>
      <c r="D1937" t="inlineStr">
        <is>
          <t>Công ty TNHH Phân Phối Liên Kết Quốc Tế (ILD)</t>
        </is>
      </c>
      <c r="E1937" t="inlineStr">
        <is>
          <t>Lương:12 Tr - 16 Tr VND</t>
        </is>
      </c>
      <c r="F1937" t="inlineStr">
        <is>
          <t>Hồ Chí Minh</t>
        </is>
      </c>
      <c r="G1937" t="inlineStr">
        <is>
          <t>30-06-2026</t>
        </is>
      </c>
      <c r="H1937" t="inlineStr">
        <is>
          <t>30/06/2026</t>
        </is>
      </c>
      <c r="I1937" t="inlineStr">
        <is>
          <t>17/03/2026</t>
        </is>
      </c>
      <c r="J1937" t="inlineStr">
        <is>
          <t>Kế toán / Kiểm toán</t>
        </is>
      </c>
      <c r="K1937" t="inlineStr">
        <is>
          <t>2 - 3 Năm</t>
        </is>
      </c>
      <c r="L1937" s="8">
        <f>HYPERLINK("https://careerviet.vn/vi/tim-viec-lam/ke-toan-tong-hop.35C6B5B9.html","Xem chi tiết")</f>
        <v/>
      </c>
    </row>
    <row r="1938">
      <c r="B1938" s="9" t="n">
        <v>1936</v>
      </c>
      <c r="C1938" s="10" t="inlineStr">
        <is>
          <t>Chuyên viên Digital Marketing (Giáo dục Nghề)</t>
        </is>
      </c>
      <c r="D1938" s="10" t="inlineStr">
        <is>
          <t>Công ty TNHH MTV Sen Vàng Việt Nam</t>
        </is>
      </c>
      <c r="E1938" s="10" t="inlineStr">
        <is>
          <t>Lương:15 Tr - 18 Tr VND</t>
        </is>
      </c>
      <c r="F1938" s="10" t="inlineStr">
        <is>
          <t>Hồ Chí Minh</t>
        </is>
      </c>
      <c r="G1938" s="10" t="inlineStr">
        <is>
          <t>31-03-2026</t>
        </is>
      </c>
      <c r="H1938" s="10" t="inlineStr">
        <is>
          <t>31/03/2026</t>
        </is>
      </c>
      <c r="I1938" s="10" t="inlineStr">
        <is>
          <t>17/03/2026</t>
        </is>
      </c>
      <c r="J1938" s="10" t="inlineStr">
        <is>
          <t>Tiếp thị trực tuyến, Giáo dục / Đào tạo, Tiếp thị / Marketing</t>
        </is>
      </c>
      <c r="K1938" s="10" t="inlineStr">
        <is>
          <t>3 - 5 Năm</t>
        </is>
      </c>
      <c r="L1938" s="11">
        <f>HYPERLINK("https://careerviet.vn/vi/tim-viec-lam/chuyen-vien-digital-marketing-giao-duc-nghe.35C6B647.html","Xem chi tiết")</f>
        <v/>
      </c>
      <c r="M1938" s="10" t="n"/>
    </row>
    <row r="1939">
      <c r="B1939" s="7" t="n">
        <v>1937</v>
      </c>
      <c r="C1939" t="inlineStr">
        <is>
          <t>Nhân viên kinh doanh</t>
        </is>
      </c>
      <c r="D1939" t="inlineStr">
        <is>
          <t>Phan Bách Refrigeration JSC</t>
        </is>
      </c>
      <c r="E1939" t="inlineStr">
        <is>
          <t>Lương:10 Tr - 15 Tr VND</t>
        </is>
      </c>
      <c r="F1939" t="inlineStr">
        <is>
          <t>Hồ Chí Minh</t>
        </is>
      </c>
      <c r="G1939" t="inlineStr">
        <is>
          <t>15-04-2026</t>
        </is>
      </c>
      <c r="H1939" t="inlineStr">
        <is>
          <t>15/04/2026</t>
        </is>
      </c>
      <c r="I1939" t="inlineStr">
        <is>
          <t>17/03/2026</t>
        </is>
      </c>
      <c r="J1939" t="inlineStr">
        <is>
          <t>Bán Hàng Kỹ Thuật, Bán hàng / Kinh doanh</t>
        </is>
      </c>
      <c r="K1939" t="inlineStr">
        <is>
          <t>Chưa có kinh nghiệm</t>
        </is>
      </c>
      <c r="L1939" s="8">
        <f>HYPERLINK("https://careerviet.vn/vi/tim-viec-lam/nhan-vien-kinh-doanh.35C6B507.html","Xem chi tiết")</f>
        <v/>
      </c>
    </row>
    <row r="1940">
      <c r="B1940" s="9" t="n">
        <v>1938</v>
      </c>
      <c r="C1940" s="10" t="inlineStr">
        <is>
          <t>Chuyên Viên Đào Tạo (Nhà Máy Sản Xuất)</t>
        </is>
      </c>
      <c r="D1940" s="10" t="inlineStr">
        <is>
          <t>Công ty TNHH MTV Sen Vàng Việt Nam</t>
        </is>
      </c>
      <c r="E1940" s="10" t="inlineStr">
        <is>
          <t>Lương:15 Tr - 17 Tr VND</t>
        </is>
      </c>
      <c r="F1940" s="10" t="inlineStr">
        <is>
          <t>Hồ Chí Minh</t>
        </is>
      </c>
      <c r="G1940" s="10" t="inlineStr">
        <is>
          <t>31-03-2026</t>
        </is>
      </c>
      <c r="H1940" s="10" t="inlineStr">
        <is>
          <t>31/03/2026</t>
        </is>
      </c>
      <c r="I1940" s="10" t="inlineStr">
        <is>
          <t>17/03/2026</t>
        </is>
      </c>
      <c r="J1940" s="10" t="inlineStr">
        <is>
          <t>Giáo dục / Đào tạo, Nhân sự, Sản xuất / Vận hành sản xuất</t>
        </is>
      </c>
      <c r="K1940" s="10" t="inlineStr">
        <is>
          <t>3 - 5 Năm</t>
        </is>
      </c>
      <c r="L1940" s="11">
        <f>HYPERLINK("https://careerviet.vn/vi/tim-viec-lam/chuyen-vien-dao-tao-nha-may-san-xuat.35C6B646.html","Xem chi tiết")</f>
        <v/>
      </c>
      <c r="M1940" s="10" t="n"/>
    </row>
    <row r="1941">
      <c r="B1941" s="7" t="n">
        <v>1939</v>
      </c>
      <c r="C1941" t="inlineStr">
        <is>
          <t>*(Senior) NPI Engineer</t>
        </is>
      </c>
      <c r="D1941" t="inlineStr">
        <is>
          <t>Techtronic Industries Vietnam Manufacturing Company Limited</t>
        </is>
      </c>
      <c r="E1941" t="inlineStr">
        <is>
          <t>Lương:Cạnh tranh</t>
        </is>
      </c>
      <c r="F1941" t="inlineStr">
        <is>
          <t>Hồ Chí Minh</t>
        </is>
      </c>
      <c r="G1941" t="inlineStr">
        <is>
          <t>30-04-2026</t>
        </is>
      </c>
      <c r="H1941" t="inlineStr">
        <is>
          <t>30/04/2026</t>
        </is>
      </c>
      <c r="I1941" t="inlineStr">
        <is>
          <t>17/03/2026</t>
        </is>
      </c>
      <c r="J1941" t="inlineStr">
        <is>
          <t>Cơ khí / Ô tô / Tự động hóa, Quản lý chất lượng (QA/QC), Điện / Điện tử / Điện lạnh / Điện công nghiệp</t>
        </is>
      </c>
      <c r="K1941" t="inlineStr">
        <is>
          <t>N/A</t>
        </is>
      </c>
      <c r="L1941" s="8">
        <f>HYPERLINK("https://careerviet.vn/vi/tim-viec-lam/senior-npi-engineer.35C6B624.html","Xem chi tiết")</f>
        <v/>
      </c>
    </row>
    <row r="1942">
      <c r="B1942" s="9" t="n">
        <v>1940</v>
      </c>
      <c r="C1942" s="10" t="inlineStr">
        <is>
          <t>*(Senior) Supplier Quality Engineer (SQE)</t>
        </is>
      </c>
      <c r="D1942" s="10" t="inlineStr">
        <is>
          <t>Techtronic Industries Vietnam Manufacturing Company Limited</t>
        </is>
      </c>
      <c r="E1942" s="10" t="inlineStr">
        <is>
          <t>Lương:Cạnh tranh</t>
        </is>
      </c>
      <c r="F1942" s="10" t="inlineStr">
        <is>
          <t>Hồ Chí MinhBình DươngĐồng Nai</t>
        </is>
      </c>
      <c r="G1942" s="10" t="inlineStr">
        <is>
          <t>30-04-2026</t>
        </is>
      </c>
      <c r="H1942" s="10" t="inlineStr">
        <is>
          <t>30/04/2026</t>
        </is>
      </c>
      <c r="I1942" s="10" t="inlineStr">
        <is>
          <t>17/03/2026</t>
        </is>
      </c>
      <c r="J1942" s="10" t="inlineStr">
        <is>
          <t>Cơ khí / Ô tô / Tự động hóa, Quản lý chất lượng (QA/QC), Sản xuất / Vận hành sản xuất</t>
        </is>
      </c>
      <c r="K1942" s="10" t="inlineStr">
        <is>
          <t>N/A</t>
        </is>
      </c>
      <c r="L1942" s="11">
        <f>HYPERLINK("https://careerviet.vn/vi/tim-viec-lam/senior-supplier-quality-engineer-sqe.35C6B628.html","Xem chi tiết")</f>
        <v/>
      </c>
      <c r="M1942" s="10" t="n"/>
    </row>
    <row r="1943">
      <c r="B1943" s="7" t="n">
        <v>1941</v>
      </c>
      <c r="C1943" t="inlineStr">
        <is>
          <t>Giám Sát Siêu Thị (Modern Trade Supervisor - TPHCM &amp; Hà Nội)</t>
        </is>
      </c>
      <c r="D1943" t="inlineStr">
        <is>
          <t>Công Ty Cổ Phần Sữa Việt Nam (Vinamilk)</t>
        </is>
      </c>
      <c r="E1943" t="inlineStr">
        <is>
          <t>Lương:Cạnh tranh</t>
        </is>
      </c>
      <c r="F1943" t="inlineStr">
        <is>
          <t>Hà NộiHồ Chí Minh</t>
        </is>
      </c>
      <c r="G1943" t="inlineStr">
        <is>
          <t>10-04-2026</t>
        </is>
      </c>
      <c r="H1943" t="inlineStr">
        <is>
          <t>10/04/2026</t>
        </is>
      </c>
      <c r="I1943" t="inlineStr">
        <is>
          <t>17/03/2026</t>
        </is>
      </c>
      <c r="J1943" t="inlineStr">
        <is>
          <t>Bán lẻ / Bán sỉ, Bán hàng / Kinh doanh, Thực phẩm &amp; Đồ uống</t>
        </is>
      </c>
      <c r="K1943" t="inlineStr">
        <is>
          <t>2 - 5 Năm</t>
        </is>
      </c>
      <c r="L1943" s="8">
        <f>HYPERLINK("https://careerviet.vn/vi/tim-viec-lam/giam-sat-sieu-thi-modern-trade-supervisor-tphcm-ha-noi.35C6B662.html","Xem chi tiết")</f>
        <v/>
      </c>
    </row>
    <row r="1944">
      <c r="B1944" s="9" t="n">
        <v>1942</v>
      </c>
      <c r="C1944" s="10" t="inlineStr">
        <is>
          <t>SENIOR PERFORMANCE ADS (APP, TECH)</t>
        </is>
      </c>
      <c r="D1944" s="10" t="inlineStr">
        <is>
          <t>CÔNG TY TNHH FOXSCORE</t>
        </is>
      </c>
      <c r="E1944" s="10" t="inlineStr">
        <is>
          <t>Lương:18 Tr - 25 Tr VND</t>
        </is>
      </c>
      <c r="F1944" s="10" t="inlineStr">
        <is>
          <t>Hồ Chí Minh</t>
        </is>
      </c>
      <c r="G1944" s="10" t="inlineStr">
        <is>
          <t>6</t>
        </is>
      </c>
      <c r="H1944" s="10" t="inlineStr">
        <is>
          <t>23/03/2026</t>
        </is>
      </c>
      <c r="I1944" s="10" t="inlineStr">
        <is>
          <t>17/03/2026</t>
        </is>
      </c>
      <c r="J1944" s="10" t="inlineStr">
        <is>
          <t>Tiếp thị / Marketing, Quảng cáo / Đối ngoại / Truyền Thông</t>
        </is>
      </c>
      <c r="K1944" s="10" t="inlineStr">
        <is>
          <t>2 - 3 Năm</t>
        </is>
      </c>
      <c r="L1944" s="11">
        <f>HYPERLINK("https://careerviet.vn/vi/tim-viec-lam/senior-performance-ads-app-tech.35C6A1F4.html","Xem chi tiết")</f>
        <v/>
      </c>
      <c r="M1944" s="10" t="n"/>
    </row>
    <row r="1945">
      <c r="B1945" s="7" t="n">
        <v>1943</v>
      </c>
      <c r="C1945" t="inlineStr">
        <is>
          <t>Lean Technician</t>
        </is>
      </c>
      <c r="D1945" t="inlineStr">
        <is>
          <t>Công Ty TNHH Việt Nam Samho</t>
        </is>
      </c>
      <c r="E1945" t="inlineStr">
        <is>
          <t>Lương:Cạnh tranh</t>
        </is>
      </c>
      <c r="F1945" t="inlineStr">
        <is>
          <t>Hồ Chí Minh</t>
        </is>
      </c>
      <c r="G1945" t="inlineStr">
        <is>
          <t>31-12-2026</t>
        </is>
      </c>
      <c r="H1945" t="inlineStr">
        <is>
          <t>31/12/2026</t>
        </is>
      </c>
      <c r="I1945" t="inlineStr">
        <is>
          <t>17/03/2026</t>
        </is>
      </c>
      <c r="J1945" t="inlineStr">
        <is>
          <t>Dệt may / Da giày / Thời trang</t>
        </is>
      </c>
      <c r="K1945" t="inlineStr">
        <is>
          <t>1 - 3 Năm</t>
        </is>
      </c>
      <c r="L1945" s="8">
        <f>HYPERLINK("https://careerviet.vn/vi/tim-viec-lam/lean-technician.35C6B635.html","Xem chi tiết")</f>
        <v/>
      </c>
    </row>
    <row r="1946">
      <c r="B1946" s="9" t="n">
        <v>1944</v>
      </c>
      <c r="C1946" s="10" t="inlineStr">
        <is>
          <t>Nhân Viên Kế Toán</t>
        </is>
      </c>
      <c r="D1946" s="10" t="inlineStr">
        <is>
          <t>CÔNG TY TNHH TƯ VẤN THIẾT KẾ THỜI TRANG KHÁNH AN</t>
        </is>
      </c>
      <c r="E1946" s="10" t="inlineStr">
        <is>
          <t>Lương:Cạnh tranh</t>
        </is>
      </c>
      <c r="F1946" s="10" t="inlineStr">
        <is>
          <t>Hồ Chí Minh</t>
        </is>
      </c>
      <c r="G1946" s="10" t="inlineStr">
        <is>
          <t>31-03-2026</t>
        </is>
      </c>
      <c r="H1946" s="10" t="inlineStr">
        <is>
          <t>31/03/2026</t>
        </is>
      </c>
      <c r="I1946" s="10" t="inlineStr">
        <is>
          <t>17/03/2026</t>
        </is>
      </c>
      <c r="J1946" s="10" t="inlineStr">
        <is>
          <t>Luật / Pháp lý, Kế toán / Kiểm toán, Tài chính / Đầu tư</t>
        </is>
      </c>
      <c r="K1946" s="10" t="inlineStr">
        <is>
          <t>Trên 1 Năm</t>
        </is>
      </c>
      <c r="L1946" s="11">
        <f>HYPERLINK("https://careerviet.vn/vi/tim-viec-lam/nhan-vien-ke-toan.35C6B63E.html","Xem chi tiết")</f>
        <v/>
      </c>
      <c r="M1946" s="10" t="n"/>
    </row>
    <row r="1947">
      <c r="B1947" s="7" t="n">
        <v>1945</v>
      </c>
      <c r="C1947" t="inlineStr">
        <is>
          <t>Nhân Viên Kỹ Thuật</t>
        </is>
      </c>
      <c r="D1947" t="inlineStr">
        <is>
          <t>COMPANION OFFICE</t>
        </is>
      </c>
      <c r="E1947" t="inlineStr">
        <is>
          <t>Lương:Cạnh tranh</t>
        </is>
      </c>
      <c r="F1947" t="inlineStr">
        <is>
          <t>Hưng Yên</t>
        </is>
      </c>
      <c r="G1947" t="inlineStr">
        <is>
          <t>26-03-2026</t>
        </is>
      </c>
      <c r="H1947" t="inlineStr">
        <is>
          <t>26/03/2026</t>
        </is>
      </c>
      <c r="I1947" t="inlineStr">
        <is>
          <t>17/03/2026</t>
        </is>
      </c>
      <c r="J1947" t="inlineStr">
        <is>
          <t>Xây dựng, Kiến trúc, Cơ khí / Ô tô / Tự động hóa</t>
        </is>
      </c>
      <c r="K1947" t="inlineStr">
        <is>
          <t>N/A</t>
        </is>
      </c>
      <c r="L1947" s="8">
        <f>HYPERLINK("https://careerviet.vn/vi/tim-viec-lam/nhan-vien-ky-thuat.35C69CDB.html","Xem chi tiết")</f>
        <v/>
      </c>
    </row>
    <row r="1948">
      <c r="B1948" s="9" t="n">
        <v>1946</v>
      </c>
      <c r="C1948" s="10" t="inlineStr">
        <is>
          <t>Nhân Viên Bảo Trì</t>
        </is>
      </c>
      <c r="D1948" s="10" t="inlineStr">
        <is>
          <t>CÔNG TY TNHH GREIF VIỆT NAM</t>
        </is>
      </c>
      <c r="E1948" s="10" t="inlineStr">
        <is>
          <t>Lương:Cạnh tranh</t>
        </is>
      </c>
      <c r="F1948" s="10" t="inlineStr">
        <is>
          <t>Bà Rịa - Vũng Tàu</t>
        </is>
      </c>
      <c r="G1948" s="10" t="inlineStr">
        <is>
          <t>15-04-2026</t>
        </is>
      </c>
      <c r="H1948" s="10" t="inlineStr">
        <is>
          <t>15/04/2026</t>
        </is>
      </c>
      <c r="I1948" s="10" t="inlineStr">
        <is>
          <t>17/03/2026</t>
        </is>
      </c>
      <c r="J1948" s="10" t="inlineStr">
        <is>
          <t>Bảo trì / Sửa chữa, Điện / Điện tử / Điện lạnh / Điện công nghiệp, Cơ khí / Ô tô / Tự động hóa</t>
        </is>
      </c>
      <c r="K1948" s="10" t="inlineStr">
        <is>
          <t>1 - 5 Năm</t>
        </is>
      </c>
      <c r="L1948" s="11">
        <f>HYPERLINK("https://careerviet.vn/vi/tim-viec-lam/nhan-vien-bao-tri.35C6B583.html","Xem chi tiết")</f>
        <v/>
      </c>
      <c r="M1948" s="10" t="n"/>
    </row>
    <row r="1949">
      <c r="B1949" s="7" t="n">
        <v>1947</v>
      </c>
      <c r="C1949" t="inlineStr">
        <is>
          <t>Kế Toán Tổng Hợp (Thuế)</t>
        </is>
      </c>
      <c r="D1949" t="inlineStr">
        <is>
          <t>Công ty TNHH Xây Dựng Lê Thy</t>
        </is>
      </c>
      <c r="E1949" t="inlineStr">
        <is>
          <t>Lương:Cạnh tranh</t>
        </is>
      </c>
      <c r="F1949" t="inlineStr">
        <is>
          <t>Hồ Chí Minh</t>
        </is>
      </c>
      <c r="G1949" t="inlineStr">
        <is>
          <t>31-03-2026</t>
        </is>
      </c>
      <c r="H1949" t="inlineStr">
        <is>
          <t>31/03/2026</t>
        </is>
      </c>
      <c r="I1949" t="inlineStr">
        <is>
          <t>17/03/2026</t>
        </is>
      </c>
      <c r="J1949" t="inlineStr">
        <is>
          <t>Kế toán / Kiểm toán, Tài chính / Đầu tư, Xây dựng</t>
        </is>
      </c>
      <c r="K1949" t="inlineStr">
        <is>
          <t>3 - 5 Năm</t>
        </is>
      </c>
      <c r="L1949" s="8">
        <f>HYPERLINK("https://careerviet.vn/vi/tim-viec-lam/ke-toan-tong-hop-thue.35C69CB6.html","Xem chi tiết")</f>
        <v/>
      </c>
    </row>
    <row r="1950">
      <c r="B1950" s="9" t="n">
        <v>1948</v>
      </c>
      <c r="C1950" s="10" t="inlineStr">
        <is>
          <t>KỸ SƯ KỸ THUẬT THI CÔNG (CẦU ĐƯỜNG/GIAO THÔNG)</t>
        </is>
      </c>
      <c r="D1950" s="10" t="inlineStr">
        <is>
          <t>NB company</t>
        </is>
      </c>
      <c r="E1950" s="10" t="inlineStr">
        <is>
          <t>Lương:Cạnh tranh</t>
        </is>
      </c>
      <c r="F1950" s="10" t="inlineStr">
        <is>
          <t>Cần Thơ</t>
        </is>
      </c>
      <c r="G1950" s="10" t="inlineStr">
        <is>
          <t>30-04-2026</t>
        </is>
      </c>
      <c r="H1950" s="10" t="inlineStr">
        <is>
          <t>30/04/2026</t>
        </is>
      </c>
      <c r="I1950" s="10" t="inlineStr">
        <is>
          <t>17/03/2026</t>
        </is>
      </c>
      <c r="J1950" s="10" t="inlineStr">
        <is>
          <t>Kiến trúc, Xây dựng, Bất động sản</t>
        </is>
      </c>
      <c r="K1950" s="10" t="inlineStr">
        <is>
          <t>3 - 5 Năm</t>
        </is>
      </c>
      <c r="L1950" s="11">
        <f>HYPERLINK("https://careerviet.vn/vi/tim-viec-lam/ky-su-ky-thuat-thi-cong-cau-duong-giao-thong.35C6B62A.html","Xem chi tiết")</f>
        <v/>
      </c>
      <c r="M1950" s="10" t="n"/>
    </row>
    <row r="1951">
      <c r="B1951" s="7" t="n">
        <v>1949</v>
      </c>
      <c r="C1951" t="inlineStr">
        <is>
          <t>Merchandiser</t>
        </is>
      </c>
      <c r="D1951" t="inlineStr">
        <is>
          <t>CÔNG TY TNHH TƯ VẤN THIẾT KẾ THỜI TRANG KHÁNH AN</t>
        </is>
      </c>
      <c r="E1951" t="inlineStr">
        <is>
          <t>Lương:Cạnh tranh</t>
        </is>
      </c>
      <c r="F1951" t="inlineStr">
        <is>
          <t>Hồ Chí Minh</t>
        </is>
      </c>
      <c r="G1951" t="inlineStr">
        <is>
          <t>31-03-2026</t>
        </is>
      </c>
      <c r="H1951" t="inlineStr">
        <is>
          <t>31/03/2026</t>
        </is>
      </c>
      <c r="I1951" t="inlineStr">
        <is>
          <t>17/03/2026</t>
        </is>
      </c>
      <c r="J1951" t="inlineStr">
        <is>
          <t>Dệt may / Da giày / Thời trang, Quản lý chất lượng (QA/QC), Thu mua / Vật tư</t>
        </is>
      </c>
      <c r="K1951" t="inlineStr">
        <is>
          <t>Trên 2 Năm</t>
        </is>
      </c>
      <c r="L1951" s="8">
        <f>HYPERLINK("https://careerviet.vn/vi/tim-viec-lam/merchandiser.35C6B636.html","Xem chi tiết")</f>
        <v/>
      </c>
    </row>
    <row r="1952">
      <c r="B1952" s="9" t="n">
        <v>1950</v>
      </c>
      <c r="C1952" s="10" t="inlineStr">
        <is>
          <t>Nhân Viên Telesale</t>
        </is>
      </c>
      <c r="D1952" s="10" t="inlineStr">
        <is>
          <t>CÔNG TY TNHH BRIGHT MARKETING</t>
        </is>
      </c>
      <c r="E1952" s="10" t="inlineStr">
        <is>
          <t>Lương:Trên 8 Tr VND</t>
        </is>
      </c>
      <c r="F1952" s="10" t="inlineStr">
        <is>
          <t>Hồ Chí Minh</t>
        </is>
      </c>
      <c r="G1952" s="10" t="inlineStr">
        <is>
          <t>27-03-2026</t>
        </is>
      </c>
      <c r="H1952" s="10" t="inlineStr">
        <is>
          <t>27/03/2026</t>
        </is>
      </c>
      <c r="I1952" s="10" t="inlineStr">
        <is>
          <t>17/03/2026</t>
        </is>
      </c>
      <c r="J1952" s="10" t="inlineStr">
        <is>
          <t>Bán hàng / Kinh doanh, Tư vấn, Tiếp thị / Marketing</t>
        </is>
      </c>
      <c r="K1952" s="10" t="inlineStr">
        <is>
          <t>N/A</t>
        </is>
      </c>
      <c r="L1952" s="11">
        <f>HYPERLINK("https://careerviet.vn/vi/tim-viec-lam/nhan-vien-telesale.35C69DBF.html","Xem chi tiết")</f>
        <v/>
      </c>
      <c r="M1952" s="10" t="n"/>
    </row>
    <row r="1953">
      <c r="B1953" s="7" t="n">
        <v>1951</v>
      </c>
      <c r="C1953" t="inlineStr">
        <is>
          <t>Chỉ Huy Trưởng Công Trình Công Nghiệp</t>
        </is>
      </c>
      <c r="D1953" t="inlineStr">
        <is>
          <t>CÔNG TY TNHH XÂY DỰNG HOÀN THÀNH PHÁT</t>
        </is>
      </c>
      <c r="E1953" t="inlineStr">
        <is>
          <t>Lương:Trên 25 Tr VND</t>
        </is>
      </c>
      <c r="F1953" t="inlineStr">
        <is>
          <t>Bình Dương</t>
        </is>
      </c>
      <c r="G1953" t="inlineStr">
        <is>
          <t>27-03-2026</t>
        </is>
      </c>
      <c r="H1953" t="inlineStr">
        <is>
          <t>27/03/2026</t>
        </is>
      </c>
      <c r="I1953" t="inlineStr">
        <is>
          <t>17/03/2026</t>
        </is>
      </c>
      <c r="J1953" t="inlineStr">
        <is>
          <t>Xây dựng, Kiến trúc, Bất động sản</t>
        </is>
      </c>
      <c r="K1953" t="inlineStr">
        <is>
          <t>Trên 5 Năm</t>
        </is>
      </c>
      <c r="L1953" s="8">
        <f>HYPERLINK("https://careerviet.vn/vi/tim-viec-lam/chi-huy-truong-cong-trinh-cong-nghiep.35C69FC8.html","Xem chi tiết")</f>
        <v/>
      </c>
    </row>
    <row r="1954">
      <c r="B1954" s="9" t="n">
        <v>1952</v>
      </c>
      <c r="C1954" s="10" t="inlineStr">
        <is>
          <t>Accounting Supervisor / GA</t>
        </is>
      </c>
      <c r="D1954" s="10" t="inlineStr">
        <is>
          <t>Công ty TNHH Olam Việt Nam</t>
        </is>
      </c>
      <c r="E1954" s="10" t="inlineStr">
        <is>
          <t>Lương:Cạnh tranh</t>
        </is>
      </c>
      <c r="F1954" s="10" t="inlineStr">
        <is>
          <t>Đồng Nai</t>
        </is>
      </c>
      <c r="G1954" s="10" t="inlineStr">
        <is>
          <t>08-04-2026</t>
        </is>
      </c>
      <c r="H1954" s="10" t="inlineStr">
        <is>
          <t>08/04/2026</t>
        </is>
      </c>
      <c r="I1954" s="10" t="inlineStr">
        <is>
          <t>17/03/2026</t>
        </is>
      </c>
      <c r="J1954" s="10" t="inlineStr">
        <is>
          <t>Kế toán / Kiểm toán, Sản xuất / Vận hành sản xuất</t>
        </is>
      </c>
      <c r="K1954" s="10" t="inlineStr">
        <is>
          <t>5 Năm</t>
        </is>
      </c>
      <c r="L1954" s="11">
        <f>HYPERLINK("https://careerviet.vn/vi/tim-viec-lam/accounting-supervisor-ga.35C6B5FE.html","Xem chi tiết")</f>
        <v/>
      </c>
      <c r="M1954" s="10" t="n"/>
    </row>
    <row r="1955">
      <c r="B1955" s="7" t="n">
        <v>1953</v>
      </c>
      <c r="C1955" t="inlineStr">
        <is>
          <t>Trưởng phòng Marketing (Thu nhập hấp dẫn 30-40tr)</t>
        </is>
      </c>
      <c r="D1955" t="inlineStr">
        <is>
          <t>Công ty Cổ phần TP Solar</t>
        </is>
      </c>
      <c r="E1955" t="inlineStr">
        <is>
          <t>Lương:30 Tr - 40 Tr VND</t>
        </is>
      </c>
      <c r="F1955" t="inlineStr">
        <is>
          <t>Hà Nội</t>
        </is>
      </c>
      <c r="G1955" t="inlineStr">
        <is>
          <t>30-04-2026</t>
        </is>
      </c>
      <c r="H1955" t="inlineStr">
        <is>
          <t>30/04/2026</t>
        </is>
      </c>
      <c r="I1955" t="inlineStr">
        <is>
          <t>17/03/2026</t>
        </is>
      </c>
      <c r="J1955" t="inlineStr">
        <is>
          <t>Tiếp thị / Marketing, Thương mại điện tử, Bán hàng / Kinh doanh</t>
        </is>
      </c>
      <c r="K1955" t="inlineStr">
        <is>
          <t>2 - 3 Năm</t>
        </is>
      </c>
      <c r="L1955" s="8">
        <f>HYPERLINK("https://careerviet.vn/vi/tim-viec-lam/truong-phong-marketing-thu-nhap-hap-dan-30-40tr.35C6B651.html","Xem chi tiết")</f>
        <v/>
      </c>
    </row>
    <row r="1956">
      <c r="B1956" s="9" t="n">
        <v>1954</v>
      </c>
      <c r="C1956" s="10" t="inlineStr">
        <is>
          <t>Kế Toán Thanh Toán Tại Dĩ An</t>
        </is>
      </c>
      <c r="D1956" s="10" t="inlineStr">
        <is>
          <t>Công Ty TNHH Tập Đoàn Rita Võ</t>
        </is>
      </c>
      <c r="E1956" s="10" t="inlineStr">
        <is>
          <t>Lương:10 Tr - 12 Tr VND</t>
        </is>
      </c>
      <c r="F1956" s="10" t="inlineStr">
        <is>
          <t>Hồ Chí Minh</t>
        </is>
      </c>
      <c r="G1956" s="10" t="inlineStr">
        <is>
          <t>31-03-2026</t>
        </is>
      </c>
      <c r="H1956" s="10" t="inlineStr">
        <is>
          <t>31/03/2026</t>
        </is>
      </c>
      <c r="I1956" s="10" t="inlineStr">
        <is>
          <t>17/03/2026</t>
        </is>
      </c>
      <c r="J1956" s="10" t="inlineStr">
        <is>
          <t>Kế toán / Kiểm toán</t>
        </is>
      </c>
      <c r="K1956" s="10" t="inlineStr">
        <is>
          <t>Trên 1 Năm</t>
        </is>
      </c>
      <c r="L1956" s="11">
        <f>HYPERLINK("https://careerviet.vn/vi/tim-viec-lam/ke-toan-thanh-toan-tai-di-an.35C69D40.html","Xem chi tiết")</f>
        <v/>
      </c>
      <c r="M1956" s="10" t="n"/>
    </row>
    <row r="1957">
      <c r="B1957" s="7" t="n">
        <v>1955</v>
      </c>
      <c r="C1957" t="inlineStr">
        <is>
          <t>Nhân viên Quản lý đối tác</t>
        </is>
      </c>
      <c r="D1957" t="inlineStr">
        <is>
          <t>Sở Giao dịch Hàng hóa Việt Nam</t>
        </is>
      </c>
      <c r="E1957" t="inlineStr">
        <is>
          <t>Lương:10 Tr - 15 Tr VND</t>
        </is>
      </c>
      <c r="F1957" t="inlineStr">
        <is>
          <t>Hà Nội</t>
        </is>
      </c>
      <c r="G1957" t="inlineStr">
        <is>
          <t>31-03-2026</t>
        </is>
      </c>
      <c r="H1957" t="inlineStr">
        <is>
          <t>31/03/2026</t>
        </is>
      </c>
      <c r="I1957" t="inlineStr">
        <is>
          <t>17/03/2026</t>
        </is>
      </c>
      <c r="J1957" t="inlineStr">
        <is>
          <t>Tài chính / Đầu tư</t>
        </is>
      </c>
      <c r="K1957" t="inlineStr">
        <is>
          <t>Trên 1 Năm</t>
        </is>
      </c>
      <c r="L1957" s="8">
        <f>HYPERLINK("https://careerviet.vn/vi/tim-viec-lam/nhan-vien-quan-ly-doi-tac.35C69F7B.html","Xem chi tiết")</f>
        <v/>
      </c>
    </row>
    <row r="1958">
      <c r="B1958" s="9" t="n">
        <v>1956</v>
      </c>
      <c r="C1958" s="10" t="inlineStr">
        <is>
          <t>Sales Executive</t>
        </is>
      </c>
      <c r="D1958" s="10" t="inlineStr">
        <is>
          <t>Riverbank Vietnam Co., Ltd.</t>
        </is>
      </c>
      <c r="E1958" s="10" t="inlineStr">
        <is>
          <t>Lương:Cạnh tranh</t>
        </is>
      </c>
      <c r="F1958" s="10" t="inlineStr">
        <is>
          <t>Đồng NaiBà Rịa - Vũng TàuHồ Chí Minh</t>
        </is>
      </c>
      <c r="G1958" s="10" t="inlineStr">
        <is>
          <t>27-03-2026</t>
        </is>
      </c>
      <c r="H1958" s="10" t="inlineStr">
        <is>
          <t>27/03/2026</t>
        </is>
      </c>
      <c r="I1958" s="10" t="inlineStr">
        <is>
          <t>17/03/2026</t>
        </is>
      </c>
      <c r="J1958" s="10" t="inlineStr">
        <is>
          <t>Công nghệ sinh học, Hóa học, Bán hàng / Kinh doanh</t>
        </is>
      </c>
      <c r="K1958" s="10" t="inlineStr">
        <is>
          <t>Trên 3 Năm</t>
        </is>
      </c>
      <c r="L1958" s="11">
        <f>HYPERLINK("https://careerviet.vn/vi/tim-viec-lam/sales-executive.35C6A05B.html","Xem chi tiết")</f>
        <v/>
      </c>
      <c r="M1958" s="10" t="n"/>
    </row>
    <row r="1959">
      <c r="B1959" s="7" t="n">
        <v>1957</v>
      </c>
      <c r="C1959" t="inlineStr">
        <is>
          <t>Partnership Development Manager</t>
        </is>
      </c>
      <c r="D1959" t="inlineStr">
        <is>
          <t>Cổ Phần Kết Nối Nhân Tài - Talentnet Corporation</t>
        </is>
      </c>
      <c r="E1959" t="inlineStr">
        <is>
          <t>Lương:Cạnh tranh</t>
        </is>
      </c>
      <c r="F1959" t="inlineStr">
        <is>
          <t>Hồ Chí Minh</t>
        </is>
      </c>
      <c r="G1959" t="inlineStr">
        <is>
          <t>31-03-2026</t>
        </is>
      </c>
      <c r="H1959" t="inlineStr">
        <is>
          <t>31/03/2026</t>
        </is>
      </c>
      <c r="I1959" t="inlineStr">
        <is>
          <t>17/03/2026</t>
        </is>
      </c>
      <c r="J1959" t="inlineStr">
        <is>
          <t>Nhân sự</t>
        </is>
      </c>
      <c r="K1959" t="inlineStr">
        <is>
          <t>5 - 10 Năm</t>
        </is>
      </c>
      <c r="L1959" s="8">
        <f>HYPERLINK("https://careerviet.vn/vi/tim-viec-lam/partnership-development-manager.35C69FB0.html","Xem chi tiết")</f>
        <v/>
      </c>
    </row>
    <row r="1960">
      <c r="B1960" s="9" t="n">
        <v>1958</v>
      </c>
      <c r="C1960" s="10" t="inlineStr">
        <is>
          <t>Merchandiser (Material) Team Leader</t>
        </is>
      </c>
      <c r="D1960" s="10" t="inlineStr">
        <is>
          <t>Công ty TNHH, Liên Doanh Vĩnh Hưng (TMI Việt Nam)</t>
        </is>
      </c>
      <c r="E1960" s="10" t="inlineStr">
        <is>
          <t>Lương:25 Tr - 35 Tr VND</t>
        </is>
      </c>
      <c r="F1960" s="10" t="inlineStr">
        <is>
          <t>Hồ Chí Minh</t>
        </is>
      </c>
      <c r="G1960" s="10" t="inlineStr">
        <is>
          <t>31-03-2026</t>
        </is>
      </c>
      <c r="H1960" s="10" t="inlineStr">
        <is>
          <t>31/03/2026</t>
        </is>
      </c>
      <c r="I1960" s="10" t="inlineStr">
        <is>
          <t>17/03/2026</t>
        </is>
      </c>
      <c r="J1960" s="10" t="inlineStr">
        <is>
          <t>Sản xuất / Vận hành sản xuất, Dệt may / Da giày / Thời trang, Thu mua / Vật tư</t>
        </is>
      </c>
      <c r="K1960" s="10" t="inlineStr">
        <is>
          <t>5 - 10 Năm</t>
        </is>
      </c>
      <c r="L1960" s="11">
        <f>HYPERLINK("https://careerviet.vn/vi/tim-viec-lam/merchandiser-material-team-leader.35C69DB6.html","Xem chi tiết")</f>
        <v/>
      </c>
      <c r="M1960" s="10" t="n"/>
    </row>
    <row r="1961">
      <c r="B1961" s="7" t="n">
        <v>1959</v>
      </c>
      <c r="C1961" t="inlineStr">
        <is>
          <t>Chuyên viên C&amp;B</t>
        </is>
      </c>
      <c r="D1961" t="inlineStr">
        <is>
          <t>Công Ty TNHH TM &amp; XNK Nhất Lâm</t>
        </is>
      </c>
      <c r="E1961" t="inlineStr">
        <is>
          <t>Lương:11 Tr - 13 Tr VND</t>
        </is>
      </c>
      <c r="F1961" t="inlineStr">
        <is>
          <t>Hà Nội</t>
        </is>
      </c>
      <c r="G1961" t="inlineStr">
        <is>
          <t>26-03-2026</t>
        </is>
      </c>
      <c r="H1961" t="inlineStr">
        <is>
          <t>26/03/2026</t>
        </is>
      </c>
      <c r="I1961" t="inlineStr">
        <is>
          <t>17/03/2026</t>
        </is>
      </c>
      <c r="J1961" t="inlineStr">
        <is>
          <t>Nhân sự, Hành chính / Thư ký, Kế toán / Kiểm toán</t>
        </is>
      </c>
      <c r="K1961" t="inlineStr">
        <is>
          <t>2 - 5 Năm</t>
        </is>
      </c>
      <c r="L1961" s="8">
        <f>HYPERLINK("https://careerviet.vn/vi/tim-viec-lam/chuyen-vien-c-b.35C69DA2.html","Xem chi tiết")</f>
        <v/>
      </c>
    </row>
    <row r="1962">
      <c r="B1962" s="9" t="n">
        <v>1960</v>
      </c>
      <c r="C1962" s="10" t="inlineStr">
        <is>
          <t>TRƯỞNG PHÒNG VẬN HÀNH VÀ HỖ TRỢ KINH DOANH</t>
        </is>
      </c>
      <c r="D1962" s="10" t="inlineStr">
        <is>
          <t>VDSC - Công ty CP Chứng khoán Rồng Việt</t>
        </is>
      </c>
      <c r="E1962" s="10" t="inlineStr">
        <is>
          <t>Lương:14 Tr - 18 Tr VND</t>
        </is>
      </c>
      <c r="F1962" s="10" t="inlineStr">
        <is>
          <t>Cần Thơ</t>
        </is>
      </c>
      <c r="G1962" s="10" t="inlineStr">
        <is>
          <t>31-03-2026</t>
        </is>
      </c>
      <c r="H1962" s="10" t="inlineStr">
        <is>
          <t>31/03/2026</t>
        </is>
      </c>
      <c r="I1962" s="10" t="inlineStr">
        <is>
          <t>17/03/2026</t>
        </is>
      </c>
      <c r="J1962" s="10" t="inlineStr">
        <is>
          <t>Kế toán / Kiểm toán, Chứng khoán, Tài chính / Đầu tư</t>
        </is>
      </c>
      <c r="K1962" s="10" t="inlineStr">
        <is>
          <t>3 - 5 Năm</t>
        </is>
      </c>
      <c r="L1962" s="11">
        <f>HYPERLINK("https://careerviet.vn/vi/tim-viec-lam/truong-phong-van-hanh-va-ho-tro-kinh-doanh.35C69E1E.html","Xem chi tiết")</f>
        <v/>
      </c>
      <c r="M1962" s="10" t="n"/>
    </row>
    <row r="1963">
      <c r="B1963" s="7" t="n">
        <v>1961</v>
      </c>
      <c r="C1963" t="inlineStr">
        <is>
          <t>NHÂN VIÊN PHÁT TRIỂN KINH DOANH B2B  [LÀM VIỆC TẠI CỦ CHI]</t>
        </is>
      </c>
      <c r="D1963" t="inlineStr">
        <is>
          <t>CÔNG TY CP SAIGON AUTO SUPPORTING INDUSTRY</t>
        </is>
      </c>
      <c r="E1963" t="inlineStr">
        <is>
          <t>Lương:Cạnh tranh</t>
        </is>
      </c>
      <c r="F1963" t="inlineStr">
        <is>
          <t>Hồ Chí Minh</t>
        </is>
      </c>
      <c r="G1963" t="inlineStr">
        <is>
          <t>31-03-2026</t>
        </is>
      </c>
      <c r="H1963" t="inlineStr">
        <is>
          <t>31/03/2026</t>
        </is>
      </c>
      <c r="I1963" t="inlineStr">
        <is>
          <t>17/03/2026</t>
        </is>
      </c>
      <c r="J1963" t="inlineStr">
        <is>
          <t>Bán hàng / Kinh doanh, Cơ khí / Ô tô / Tự động hóa, Tiếp thị / Marketing</t>
        </is>
      </c>
      <c r="K1963" t="inlineStr">
        <is>
          <t>1 - 2 Năm</t>
        </is>
      </c>
      <c r="L1963" s="8">
        <f>HYPERLINK("https://careerviet.vn/vi/tim-viec-lam/nhan-vien-phat-trien-kinh-doanh-b2b-lam-viec-tai-cu-chi.35C69E3D.html","Xem chi tiết")</f>
        <v/>
      </c>
    </row>
    <row r="1964">
      <c r="B1964" s="9" t="n">
        <v>1962</v>
      </c>
      <c r="C1964" s="10" t="inlineStr">
        <is>
          <t>Kế Toán Trưởng</t>
        </is>
      </c>
      <c r="D1964" s="10" t="inlineStr">
        <is>
          <t>CÔNG TY CỔ PHẦN CS GROUP</t>
        </is>
      </c>
      <c r="E1964" s="10" t="inlineStr">
        <is>
          <t>Lương:Cạnh tranh</t>
        </is>
      </c>
      <c r="F1964" s="10" t="inlineStr">
        <is>
          <t>Hà Nội</t>
        </is>
      </c>
      <c r="G1964" s="10" t="inlineStr">
        <is>
          <t>15-04-2026</t>
        </is>
      </c>
      <c r="H1964" s="10" t="inlineStr">
        <is>
          <t>15/04/2026</t>
        </is>
      </c>
      <c r="I1964" s="10" t="inlineStr">
        <is>
          <t>17/03/2026</t>
        </is>
      </c>
      <c r="J1964" s="10" t="inlineStr">
        <is>
          <t>Thương mại điện tử, CNTT - Phần mềm, Kế toán / Kiểm toán</t>
        </is>
      </c>
      <c r="K1964" s="10" t="inlineStr">
        <is>
          <t>Chưa có kinh nghiệm</t>
        </is>
      </c>
      <c r="L1964" s="11">
        <f>HYPERLINK("https://careerviet.vn/vi/tim-viec-lam/ke-toan-truong.35C6A04A.html","Xem chi tiết")</f>
        <v/>
      </c>
      <c r="M1964" s="10" t="n"/>
    </row>
    <row r="1965">
      <c r="B1965" s="7" t="n">
        <v>1963</v>
      </c>
      <c r="C1965" t="inlineStr">
        <is>
          <t>Kỹ Sư Thiết Kế Cơ Sở Hạ Tầng - Civil 3D/ Junior Designer Urban Roads &amp; Sewers - Civil 3D</t>
        </is>
      </c>
      <c r="D1965" t="inlineStr">
        <is>
          <t>Công Ty TNHH Boydens Vietnam part of Sweco</t>
        </is>
      </c>
      <c r="E1965" t="inlineStr">
        <is>
          <t>Lương:Cạnh tranh</t>
        </is>
      </c>
      <c r="F1965" t="inlineStr">
        <is>
          <t>Hà Nội</t>
        </is>
      </c>
      <c r="G1965" t="inlineStr">
        <is>
          <t>31-05-2026</t>
        </is>
      </c>
      <c r="H1965" t="inlineStr">
        <is>
          <t>31/05/2026</t>
        </is>
      </c>
      <c r="I1965" t="inlineStr">
        <is>
          <t>17/03/2026</t>
        </is>
      </c>
      <c r="J1965" t="inlineStr">
        <is>
          <t>Thủy lợi, Môi trường, Xây dựng</t>
        </is>
      </c>
      <c r="K1965" t="inlineStr">
        <is>
          <t>1 - 5 Năm</t>
        </is>
      </c>
      <c r="L1965" s="8">
        <f>HYPERLINK("https://careerviet.vn/vi/tim-viec-lam/ky-su-thiet-ke-co-so-ha-tang-civil-3d-junior-designer-urban-roads-sewers-civil-3d.35C6A0EB.html","Xem chi tiết")</f>
        <v/>
      </c>
    </row>
    <row r="1966">
      <c r="B1966" s="9" t="n">
        <v>1964</v>
      </c>
      <c r="C1966" s="10" t="inlineStr">
        <is>
          <t>Flutter Developer</t>
        </is>
      </c>
      <c r="D1966" s="10" t="inlineStr">
        <is>
          <t>Chương trình Học viện Công nghệ BKACAD</t>
        </is>
      </c>
      <c r="E1966" s="10" t="inlineStr">
        <is>
          <t>Lương:10 Tr - 20 Tr VND</t>
        </is>
      </c>
      <c r="F1966" s="10" t="inlineStr">
        <is>
          <t>Hà Nội</t>
        </is>
      </c>
      <c r="G1966" s="10" t="inlineStr">
        <is>
          <t>31-03-2026</t>
        </is>
      </c>
      <c r="H1966" s="10" t="inlineStr">
        <is>
          <t>31/03/2026</t>
        </is>
      </c>
      <c r="I1966" s="10" t="inlineStr">
        <is>
          <t>17/03/2026</t>
        </is>
      </c>
      <c r="J1966" s="10" t="inlineStr">
        <is>
          <t>CNTT - Phần mềm, CNTT - Phần cứng / Mạng</t>
        </is>
      </c>
      <c r="K1966" s="10" t="inlineStr">
        <is>
          <t>2 - 3 Năm</t>
        </is>
      </c>
      <c r="L1966" s="11">
        <f>HYPERLINK("https://careerviet.vn/vi/tim-viec-lam/flutter-developer.35C6A025.html","Xem chi tiết")</f>
        <v/>
      </c>
      <c r="M1966" s="10" t="n"/>
    </row>
    <row r="1967">
      <c r="B1967" s="7" t="n">
        <v>1965</v>
      </c>
      <c r="C1967" t="inlineStr">
        <is>
          <t>Trưởng phòng Kinh doanh xăng dầu</t>
        </is>
      </c>
      <c r="D1967" t="inlineStr">
        <is>
          <t>Công Ty TNHH Smartlog Long Phú</t>
        </is>
      </c>
      <c r="E1967" t="inlineStr">
        <is>
          <t>Lương:Cạnh tranh</t>
        </is>
      </c>
      <c r="F1967" t="inlineStr">
        <is>
          <t>Bà Rịa - Vũng Tàu</t>
        </is>
      </c>
      <c r="G1967" t="inlineStr">
        <is>
          <t>25-03-2026</t>
        </is>
      </c>
      <c r="H1967" t="inlineStr">
        <is>
          <t>25/03/2026</t>
        </is>
      </c>
      <c r="I1967" t="inlineStr">
        <is>
          <t>17/03/2026</t>
        </is>
      </c>
      <c r="J1967" t="inlineStr">
        <is>
          <t>Bán lẻ / Bán sỉ, Bán hàng / Kinh doanh, Tư vấn</t>
        </is>
      </c>
      <c r="K1967" t="inlineStr">
        <is>
          <t>2 - 5 Năm</t>
        </is>
      </c>
      <c r="L1967" s="8">
        <f>HYPERLINK("https://careerviet.vn/vi/tim-viec-lam/truong-phong-kinh-doanh-xang-dau.35C69E2A.html","Xem chi tiết")</f>
        <v/>
      </c>
    </row>
    <row r="1968">
      <c r="B1968" s="9" t="n">
        <v>1966</v>
      </c>
      <c r="C1968" s="10" t="inlineStr">
        <is>
          <t>Chuyên viên Tư vấn bán hàng</t>
        </is>
      </c>
      <c r="D1968" s="10" t="inlineStr">
        <is>
          <t>BVBank - Ngân hàng Bản Việt</t>
        </is>
      </c>
      <c r="E1968" s="10" t="inlineStr">
        <is>
          <t>Lương:Cạnh tranh</t>
        </is>
      </c>
      <c r="F1968" s="10" t="inlineStr">
        <is>
          <t>Hồ Chí Minh</t>
        </is>
      </c>
      <c r="G1968" s="10" t="inlineStr">
        <is>
          <t>27-03-2026</t>
        </is>
      </c>
      <c r="H1968" s="10" t="inlineStr">
        <is>
          <t>27/03/2026</t>
        </is>
      </c>
      <c r="I1968" s="10" t="inlineStr">
        <is>
          <t>17/03/2026</t>
        </is>
      </c>
      <c r="J1968" s="10" t="inlineStr">
        <is>
          <t>Ngân hàng, Tài chính / Đầu tư, Bán hàng / Kinh doanh</t>
        </is>
      </c>
      <c r="K1968" s="10" t="inlineStr">
        <is>
          <t>1 - 2 Năm</t>
        </is>
      </c>
      <c r="L1968" s="11">
        <f>HYPERLINK("https://careerviet.vn/vi/tim-viec-lam/chuyen-vien-tu-van-ban-hang.35C6A001.html","Xem chi tiết")</f>
        <v/>
      </c>
      <c r="M1968" s="10" t="n"/>
    </row>
    <row r="1969">
      <c r="B1969" s="7" t="n">
        <v>1967</v>
      </c>
      <c r="C1969" t="inlineStr">
        <is>
          <t>GENERAL ACCOUNTANT</t>
        </is>
      </c>
      <c r="D1969" t="inlineStr">
        <is>
          <t>J&amp;T Express</t>
        </is>
      </c>
      <c r="E1969" t="inlineStr">
        <is>
          <t>Lương:Cạnh tranh</t>
        </is>
      </c>
      <c r="F1969" t="inlineStr">
        <is>
          <t>Hồ Chí Minh</t>
        </is>
      </c>
      <c r="G1969" t="inlineStr">
        <is>
          <t>30-04-2026</t>
        </is>
      </c>
      <c r="H1969" t="inlineStr">
        <is>
          <t>30/04/2026</t>
        </is>
      </c>
      <c r="I1969" t="inlineStr">
        <is>
          <t>17/03/2026</t>
        </is>
      </c>
      <c r="J1969" t="inlineStr">
        <is>
          <t>Kế toán / Kiểm toán, Tài chính / Đầu tư, Vận chuyển / Giao nhận / Kho vận</t>
        </is>
      </c>
      <c r="K1969" t="inlineStr">
        <is>
          <t>5 - 10 Năm</t>
        </is>
      </c>
      <c r="L1969" s="8">
        <f>HYPERLINK("https://careerviet.vn/vi/tim-viec-lam/general-accountant.35C6B601.html","Xem chi tiết")</f>
        <v/>
      </c>
    </row>
    <row r="1970">
      <c r="B1970" s="9" t="n">
        <v>1968</v>
      </c>
      <c r="C1970" s="10" t="inlineStr">
        <is>
          <t>KỸ SƯ SHOPDRAWING</t>
        </is>
      </c>
      <c r="D1970" s="10" t="inlineStr">
        <is>
          <t>Công Ty Cổ Phần Tập đoàn Xây dựng Thành Đô</t>
        </is>
      </c>
      <c r="E1970" s="10" t="inlineStr">
        <is>
          <t>Lương:15 Tr - 20 Tr VND</t>
        </is>
      </c>
      <c r="F1970" s="10" t="inlineStr">
        <is>
          <t>Hồ Chí MinhVĩnh Long</t>
        </is>
      </c>
      <c r="G1970" s="10" t="inlineStr">
        <is>
          <t>31-03-2026</t>
        </is>
      </c>
      <c r="H1970" s="10" t="inlineStr">
        <is>
          <t>31/03/2026</t>
        </is>
      </c>
      <c r="I1970" s="10" t="inlineStr">
        <is>
          <t>17/03/2026</t>
        </is>
      </c>
      <c r="J1970" s="10" t="inlineStr">
        <is>
          <t>Xây dựng</t>
        </is>
      </c>
      <c r="K1970" s="10" t="inlineStr">
        <is>
          <t>5 - 10 Năm</t>
        </is>
      </c>
      <c r="L1970" s="11">
        <f>HYPERLINK("https://careerviet.vn/vi/tim-viec-lam/ky-su-shopdrawing.35C69F22.html","Xem chi tiết")</f>
        <v/>
      </c>
      <c r="M1970" s="10" t="n"/>
    </row>
    <row r="1971">
      <c r="B1971" s="7" t="n">
        <v>1969</v>
      </c>
      <c r="C1971" t="inlineStr">
        <is>
          <t>128258 - Tiếng Nhật - Trưởng Bộ phận Quản lý Chất lượng - Ngành Ô tô</t>
        </is>
      </c>
      <c r="D1971" t="inlineStr">
        <is>
          <t>RGF HR Agent Vietnam Co., LTD</t>
        </is>
      </c>
      <c r="E1971" t="inlineStr">
        <is>
          <t>Lương:Cạnh tranh</t>
        </is>
      </c>
      <c r="F1971" t="inlineStr">
        <is>
          <t>Hồ Chí Minh</t>
        </is>
      </c>
      <c r="G1971" t="inlineStr">
        <is>
          <t>31-03-2026</t>
        </is>
      </c>
      <c r="H1971" t="inlineStr">
        <is>
          <t>31/03/2026</t>
        </is>
      </c>
      <c r="I1971" t="inlineStr">
        <is>
          <t>17/03/2026</t>
        </is>
      </c>
      <c r="J1971" t="inlineStr">
        <is>
          <t>Cơ khí / Ô tô / Tự động hóa, Quản lý chất lượng (QA/QC)</t>
        </is>
      </c>
      <c r="K1971" t="inlineStr">
        <is>
          <t>5 - 10 Năm</t>
        </is>
      </c>
      <c r="L1971" s="8">
        <f>HYPERLINK("https://careerviet.vn/vi/tim-viec-lam/128258-tieng-nhat-truong-bo-phan-quan-ly-chat-luong-nganh-o-to.35C69C8C.html","Xem chi tiết")</f>
        <v/>
      </c>
    </row>
    <row r="1972">
      <c r="B1972" s="9" t="n">
        <v>1970</v>
      </c>
      <c r="C1972" s="10" t="inlineStr">
        <is>
          <t>NHÂN VIÊN KẾ TOÁN (Ưu tiên nhận việc ngay)</t>
        </is>
      </c>
      <c r="D1972" s="10" t="inlineStr">
        <is>
          <t>Công Ty TNHH Muse Medical</t>
        </is>
      </c>
      <c r="E1972" s="10" t="inlineStr">
        <is>
          <t>Lương:Cạnh tranh</t>
        </is>
      </c>
      <c r="F1972" s="10" t="inlineStr">
        <is>
          <t>Hồ Chí Minh</t>
        </is>
      </c>
      <c r="G1972" s="10" t="inlineStr">
        <is>
          <t>31-03-2026</t>
        </is>
      </c>
      <c r="H1972" s="10" t="inlineStr">
        <is>
          <t>31/03/2026</t>
        </is>
      </c>
      <c r="I1972" s="10" t="inlineStr">
        <is>
          <t>17/03/2026</t>
        </is>
      </c>
      <c r="J1972" s="10" t="inlineStr">
        <is>
          <t>Kế toán / Kiểm toán, Tài chính / Đầu tư, Hành chính / Thư ký</t>
        </is>
      </c>
      <c r="K1972" s="10" t="inlineStr">
        <is>
          <t>Trên 2 Năm</t>
        </is>
      </c>
      <c r="L1972" s="11">
        <f>HYPERLINK("https://careerviet.vn/vi/tim-viec-lam/nhan-vien-ke-toan-uu-tien-nhan-viec-ngay.35C6A0BE.html","Xem chi tiết")</f>
        <v/>
      </c>
      <c r="M1972" s="10" t="n"/>
    </row>
    <row r="1973">
      <c r="B1973" s="7" t="n">
        <v>1971</v>
      </c>
      <c r="C1973" t="inlineStr">
        <is>
          <t>Trưởng nhóm Kinh doanh Thiết bị Môi trường – Xử lý nước thải</t>
        </is>
      </c>
      <c r="D1973" t="inlineStr">
        <is>
          <t>CÔNG TY CỔ PHẦN TẬP ĐOÀN CƠ KHÍ CÔNG NGHỆ CAO SIBA</t>
        </is>
      </c>
      <c r="E1973" t="inlineStr">
        <is>
          <t>Lương:Cạnh tranh</t>
        </is>
      </c>
      <c r="F1973" t="inlineStr">
        <is>
          <t>Hồ Chí Minh</t>
        </is>
      </c>
      <c r="G1973" t="inlineStr">
        <is>
          <t>31-03-2026</t>
        </is>
      </c>
      <c r="H1973" t="inlineStr">
        <is>
          <t>31/03/2026</t>
        </is>
      </c>
      <c r="I1973" t="inlineStr">
        <is>
          <t>17/03/2026</t>
        </is>
      </c>
      <c r="J1973" t="inlineStr">
        <is>
          <t>Bán hàng / Kinh doanh, Môi trường</t>
        </is>
      </c>
      <c r="K1973" t="inlineStr">
        <is>
          <t>3 - 5 Năm</t>
        </is>
      </c>
      <c r="L1973" s="8">
        <f>HYPERLINK("https://careerviet.vn/vi/tim-viec-lam/truong-nhom-kinh-doanh-thiet-bi-moi-truong-xu-ly-nuoc-thai.35C69FD5.html","Xem chi tiết")</f>
        <v/>
      </c>
    </row>
    <row r="1974">
      <c r="B1974" s="9" t="n">
        <v>1972</v>
      </c>
      <c r="C1974" s="10" t="inlineStr">
        <is>
          <t>Production Planning Specialist (Wood Industry)</t>
        </is>
      </c>
      <c r="D1974" s="10" t="inlineStr">
        <is>
          <t>CÔNG TY TNHH BOKA CRAFT</t>
        </is>
      </c>
      <c r="E1974" s="10" t="inlineStr">
        <is>
          <t>Lương:Cạnh tranh</t>
        </is>
      </c>
      <c r="F1974" s="10" t="inlineStr">
        <is>
          <t>Long An</t>
        </is>
      </c>
      <c r="G1974" s="10" t="inlineStr">
        <is>
          <t>3</t>
        </is>
      </c>
      <c r="H1974" s="10" t="inlineStr">
        <is>
          <t>20/03/2026</t>
        </is>
      </c>
      <c r="I1974" s="10" t="inlineStr">
        <is>
          <t>17/03/2026</t>
        </is>
      </c>
      <c r="J1974" s="10" t="inlineStr">
        <is>
          <t>Sản xuất / Vận hành sản xuất</t>
        </is>
      </c>
      <c r="K1974" s="10" t="inlineStr">
        <is>
          <t>3 - 10 Năm</t>
        </is>
      </c>
      <c r="L1974" s="11">
        <f>HYPERLINK("https://careerviet.vn/vi/tim-viec-lam/production-planning-specialist-wood-industry.35C69CFE.html","Xem chi tiết")</f>
        <v/>
      </c>
      <c r="M1974" s="10" t="n"/>
    </row>
    <row r="1975">
      <c r="B1975" s="7" t="n">
        <v>1973</v>
      </c>
      <c r="C1975" t="inlineStr">
        <is>
          <t>Kỹ Sư Thiết Kế Hệ Thống Điện - Revit/  Junior Electrical Engineer - Revit</t>
        </is>
      </c>
      <c r="D1975" t="inlineStr">
        <is>
          <t>Công Ty TNHH Boydens Vietnam part of Sweco</t>
        </is>
      </c>
      <c r="E1975" t="inlineStr">
        <is>
          <t>Lương:Cạnh tranh</t>
        </is>
      </c>
      <c r="F1975" t="inlineStr">
        <is>
          <t>Hà Nội</t>
        </is>
      </c>
      <c r="G1975" t="inlineStr">
        <is>
          <t>31-05-2026</t>
        </is>
      </c>
      <c r="H1975" t="inlineStr">
        <is>
          <t>31/05/2026</t>
        </is>
      </c>
      <c r="I1975" t="inlineStr">
        <is>
          <t>17/03/2026</t>
        </is>
      </c>
      <c r="J1975" t="inlineStr">
        <is>
          <t>Kiến trúc, Xây dựng</t>
        </is>
      </c>
      <c r="K1975" t="inlineStr">
        <is>
          <t>N/A</t>
        </is>
      </c>
      <c r="L1975" s="8">
        <f>HYPERLINK("https://careerviet.vn/vi/tim-viec-lam/ky-su-thiet-ke-he-thong-dien-revit-junior-electrical-engineer-revit.35C6A0E8.html","Xem chi tiết")</f>
        <v/>
      </c>
    </row>
    <row r="1976">
      <c r="B1976" s="9" t="n">
        <v>1974</v>
      </c>
      <c r="C1976" s="10" t="inlineStr">
        <is>
          <t>Fabric Executive</t>
        </is>
      </c>
      <c r="D1976" s="10" t="inlineStr">
        <is>
          <t>Công ty TNHH, Liên Doanh Vĩnh Hưng (TMI Việt Nam)</t>
        </is>
      </c>
      <c r="E1976" s="10" t="inlineStr">
        <is>
          <t>Lương:11 Tr - 12 Tr VND</t>
        </is>
      </c>
      <c r="F1976" s="10" t="inlineStr">
        <is>
          <t>Hồ Chí Minh</t>
        </is>
      </c>
      <c r="G1976" s="10" t="inlineStr">
        <is>
          <t>31-03-2026</t>
        </is>
      </c>
      <c r="H1976" s="10" t="inlineStr">
        <is>
          <t>31/03/2026</t>
        </is>
      </c>
      <c r="I1976" s="10" t="inlineStr">
        <is>
          <t>17/03/2026</t>
        </is>
      </c>
      <c r="J1976" s="10" t="inlineStr">
        <is>
          <t>Dệt may / Da giày / Thời trang, Thu mua / Vật tư</t>
        </is>
      </c>
      <c r="K1976" s="10" t="inlineStr">
        <is>
          <t>Lên đến 5 Năm</t>
        </is>
      </c>
      <c r="L1976" s="11">
        <f>HYPERLINK("https://careerviet.vn/vi/tim-viec-lam/fabric-executive.35C69D92.html","Xem chi tiết")</f>
        <v/>
      </c>
      <c r="M1976" s="10" t="n"/>
    </row>
    <row r="1977">
      <c r="B1977" s="7" t="n">
        <v>1975</v>
      </c>
      <c r="C1977" t="inlineStr">
        <is>
          <t>Quản lý phát triển mẫu giày (PDM - All Level)</t>
        </is>
      </c>
      <c r="D1977" t="inlineStr">
        <is>
          <t>CÔNG TY TNHH HWASEUNG VINA</t>
        </is>
      </c>
      <c r="E1977" t="inlineStr">
        <is>
          <t>Lương:Cạnh tranh</t>
        </is>
      </c>
      <c r="F1977" t="inlineStr">
        <is>
          <t>Đồng NaiHồ Chí MinhBình Dương</t>
        </is>
      </c>
      <c r="G1977" t="inlineStr">
        <is>
          <t>31-03-2026</t>
        </is>
      </c>
      <c r="H1977" t="inlineStr">
        <is>
          <t>31/03/2026</t>
        </is>
      </c>
      <c r="I1977" t="inlineStr">
        <is>
          <t>17/03/2026</t>
        </is>
      </c>
      <c r="J1977" t="inlineStr">
        <is>
          <t>Dệt may / Da giày / Thời trang, Quản lý chất lượng (QA/QC), Thu mua / Vật tư</t>
        </is>
      </c>
      <c r="K1977" t="inlineStr">
        <is>
          <t>1 - 10 Năm</t>
        </is>
      </c>
      <c r="L1977" s="8">
        <f>HYPERLINK("https://careerviet.vn/vi/tim-viec-lam/quan-ly-phat-trien-mau-giay-pdm-all-level.35C69DFA.html","Xem chi tiết")</f>
        <v/>
      </c>
    </row>
    <row r="1978">
      <c r="B1978" s="9" t="n">
        <v>1976</v>
      </c>
      <c r="C1978" s="10" t="inlineStr">
        <is>
          <t>Trưởng Phòng Thiết Kế Dự Án (High rise)</t>
        </is>
      </c>
      <c r="D1978" s="10" t="inlineStr">
        <is>
          <t>Công Ty TNHH Tập Đoàn Rita Võ</t>
        </is>
      </c>
      <c r="E1978" s="10" t="inlineStr">
        <is>
          <t>Lương:Cạnh tranh</t>
        </is>
      </c>
      <c r="F1978" s="10" t="inlineStr">
        <is>
          <t>Hồ Chí Minh</t>
        </is>
      </c>
      <c r="G1978" s="10" t="inlineStr">
        <is>
          <t>31-03-2026</t>
        </is>
      </c>
      <c r="H1978" s="10" t="inlineStr">
        <is>
          <t>31/03/2026</t>
        </is>
      </c>
      <c r="I1978" s="10" t="inlineStr">
        <is>
          <t>17/03/2026</t>
        </is>
      </c>
      <c r="J1978" s="10" t="inlineStr">
        <is>
          <t>Mỹ thuật / Nghệ thuật / Thiết kế, Kiến trúc, Bất động sản</t>
        </is>
      </c>
      <c r="K1978" s="10" t="inlineStr">
        <is>
          <t>Trên 5 Năm</t>
        </is>
      </c>
      <c r="L1978" s="11">
        <f>HYPERLINK("https://careerviet.vn/vi/tim-viec-lam/truong-phong-thiet-ke-du-an-high-rise.35C69D3A.html","Xem chi tiết")</f>
        <v/>
      </c>
      <c r="M1978" s="10" t="n"/>
    </row>
    <row r="1979">
      <c r="B1979" s="7" t="n">
        <v>1977</v>
      </c>
      <c r="C1979" t="inlineStr">
        <is>
          <t>21018 - Career Advisor in HCMC (English-Speaking Jobs)</t>
        </is>
      </c>
      <c r="D1979" t="inlineStr">
        <is>
          <t>RGF HR Agent Vietnam Co., LTD</t>
        </is>
      </c>
      <c r="E1979" t="inlineStr">
        <is>
          <t>Lương:Cạnh tranh</t>
        </is>
      </c>
      <c r="F1979" t="inlineStr">
        <is>
          <t>Hồ Chí Minh</t>
        </is>
      </c>
      <c r="G1979" t="inlineStr">
        <is>
          <t>27-03-2026</t>
        </is>
      </c>
      <c r="H1979" t="inlineStr">
        <is>
          <t>27/03/2026</t>
        </is>
      </c>
      <c r="I1979" t="inlineStr">
        <is>
          <t>17/03/2026</t>
        </is>
      </c>
      <c r="J1979" t="inlineStr">
        <is>
          <t>Nhân sự, Tư vấn</t>
        </is>
      </c>
      <c r="K1979" t="inlineStr">
        <is>
          <t>1 - 5 Năm</t>
        </is>
      </c>
      <c r="L1979" s="8">
        <f>HYPERLINK("https://careerviet.vn/vi/tim-viec-lam/21018-career-advisor-in-hcmc-english-speaking-jobs.35C69E91.html","Xem chi tiết")</f>
        <v/>
      </c>
    </row>
    <row r="1980">
      <c r="B1980" s="9" t="n">
        <v>1978</v>
      </c>
      <c r="C1980" s="10" t="inlineStr">
        <is>
          <t>Nhân viên kinh doanh bất động sản</t>
        </is>
      </c>
      <c r="D1980" s="10" t="inlineStr">
        <is>
          <t>Công ty cổ phần kinh doanh địa ốc Prime Property</t>
        </is>
      </c>
      <c r="E1980" s="10" t="inlineStr">
        <is>
          <t>Lương:30 Tr - 50 Tr VND</t>
        </is>
      </c>
      <c r="F1980" s="10" t="inlineStr">
        <is>
          <t>Hà Nội</t>
        </is>
      </c>
      <c r="G1980" s="10" t="inlineStr">
        <is>
          <t>31-03-2026</t>
        </is>
      </c>
      <c r="H1980" s="10" t="inlineStr">
        <is>
          <t>31/03/2026</t>
        </is>
      </c>
      <c r="I1980" s="10" t="inlineStr">
        <is>
          <t>17/03/2026</t>
        </is>
      </c>
      <c r="J1980" s="10" t="inlineStr">
        <is>
          <t>Bán hàng / Kinh doanh, Bất động sản, Tư vấn</t>
        </is>
      </c>
      <c r="K1980" s="10" t="inlineStr">
        <is>
          <t>Không yêu cầu kinh nghiệm</t>
        </is>
      </c>
      <c r="L1980" s="11">
        <f>HYPERLINK("https://careerviet.vn/vi/tim-viec-lam/nhan-vien-kinh-doanh-bat-dong-san.35C699D0.html","Xem chi tiết")</f>
        <v/>
      </c>
      <c r="M1980" s="10" t="n"/>
    </row>
    <row r="1981">
      <c r="B1981" s="7" t="n">
        <v>1979</v>
      </c>
      <c r="C1981" t="inlineStr">
        <is>
          <t>Key Account Manager – kênh ETC bệnh viện  (Tender Manager)</t>
        </is>
      </c>
      <c r="D1981" t="inlineStr">
        <is>
          <t>CÔNG TY TNHH Y-MED HEALTHCARE</t>
        </is>
      </c>
      <c r="E1981" t="inlineStr">
        <is>
          <t>Lương:Cạnh tranh</t>
        </is>
      </c>
      <c r="F1981" t="inlineStr">
        <is>
          <t>Hồ Chí Minh</t>
        </is>
      </c>
      <c r="G1981" t="inlineStr">
        <is>
          <t>31-03-2026</t>
        </is>
      </c>
      <c r="H1981" t="inlineStr">
        <is>
          <t>31/03/2026</t>
        </is>
      </c>
      <c r="I1981" t="inlineStr">
        <is>
          <t>17/03/2026</t>
        </is>
      </c>
      <c r="J1981" t="inlineStr">
        <is>
          <t>Dược phẩm/ Hóa Mỹ Phẩm, Y tế / Chăm sóc sức khỏe / Thẩm mỹ / Làm đẹp</t>
        </is>
      </c>
      <c r="K1981" t="inlineStr">
        <is>
          <t>Trên 5 Năm</t>
        </is>
      </c>
      <c r="L1981" s="8">
        <f>HYPERLINK("https://careerviet.vn/vi/tim-viec-lam/key-account-manager-kenh-etc-benh-vien-tender-manager.35C69E01.html","Xem chi tiết")</f>
        <v/>
      </c>
    </row>
    <row r="1982">
      <c r="B1982" s="9" t="n">
        <v>1980</v>
      </c>
      <c r="C1982" s="10" t="inlineStr">
        <is>
          <t>Trưởng phòng Quản lý Đại lý</t>
        </is>
      </c>
      <c r="D1982" s="10" t="inlineStr">
        <is>
          <t>Công Ty Cổ Phần Tập Đoàn Sunshine</t>
        </is>
      </c>
      <c r="E1982" s="10" t="inlineStr">
        <is>
          <t>Lương:25 Tr - 45 Tr VND</t>
        </is>
      </c>
      <c r="F1982" s="10" t="inlineStr">
        <is>
          <t>Hồ Chí Minh</t>
        </is>
      </c>
      <c r="G1982" s="10" t="inlineStr">
        <is>
          <t>31-03-2026</t>
        </is>
      </c>
      <c r="H1982" s="10" t="inlineStr">
        <is>
          <t>31/03/2026</t>
        </is>
      </c>
      <c r="I1982" s="10" t="inlineStr">
        <is>
          <t>17/03/2026</t>
        </is>
      </c>
      <c r="J1982" s="10" t="inlineStr">
        <is>
          <t>Bán hàng / Kinh doanh, Bất động sản, Quản lý điều hành</t>
        </is>
      </c>
      <c r="K1982" s="10" t="inlineStr">
        <is>
          <t>Trên 5 Năm</t>
        </is>
      </c>
      <c r="L1982" s="11">
        <f>HYPERLINK("https://careerviet.vn/vi/tim-viec-lam/truong-phong-quan-ly-dai-ly.35C69D42.html","Xem chi tiết")</f>
        <v/>
      </c>
      <c r="M1982" s="10" t="n"/>
    </row>
    <row r="1983">
      <c r="B1983" s="7" t="n">
        <v>1981</v>
      </c>
      <c r="C1983" t="inlineStr">
        <is>
          <t>Kỹ sư nông nghiệp</t>
        </is>
      </c>
      <c r="D1983" t="inlineStr">
        <is>
          <t>CÔNG TY TNHH DƯỢC PHẨM ĐÔ THÀNH</t>
        </is>
      </c>
      <c r="E1983" t="inlineStr">
        <is>
          <t>Lương:10 Tr - 15 Tr VND</t>
        </is>
      </c>
      <c r="F1983" t="inlineStr">
        <is>
          <t>Tây NinhBình Phước</t>
        </is>
      </c>
      <c r="G1983" t="inlineStr">
        <is>
          <t>26-03-2026</t>
        </is>
      </c>
      <c r="H1983" t="inlineStr">
        <is>
          <t>26/03/2026</t>
        </is>
      </c>
      <c r="I1983" t="inlineStr">
        <is>
          <t>17/03/2026</t>
        </is>
      </c>
      <c r="J1983" t="inlineStr">
        <is>
          <t>Nông nghiệp</t>
        </is>
      </c>
      <c r="K1983" t="inlineStr">
        <is>
          <t>1 - 2 Năm</t>
        </is>
      </c>
      <c r="L1983" s="8">
        <f>HYPERLINK("https://careerviet.vn/vi/tim-viec-lam/ky-su-nong-nghiep.35C69E9C.html","Xem chi tiết")</f>
        <v/>
      </c>
    </row>
    <row r="1984">
      <c r="B1984" s="9" t="n">
        <v>1982</v>
      </c>
      <c r="C1984" s="10" t="inlineStr">
        <is>
          <t>Kỹ thuật viên khuôn dập  kim loại 27674 - KCN Khai Quang, Vĩnh Phúc</t>
        </is>
      </c>
      <c r="D1984" s="10" t="inlineStr">
        <is>
          <t>Công Ty TNHH Reeracoen Việt Nam</t>
        </is>
      </c>
      <c r="E1984" s="10" t="inlineStr">
        <is>
          <t>Lương:11 Tr - 13 Tr VND</t>
        </is>
      </c>
      <c r="F1984" s="10" t="inlineStr">
        <is>
          <t>Vĩnh Phúc</t>
        </is>
      </c>
      <c r="G1984" s="10" t="inlineStr">
        <is>
          <t>27-03-2026</t>
        </is>
      </c>
      <c r="H1984" s="10" t="inlineStr">
        <is>
          <t>27/03/2026</t>
        </is>
      </c>
      <c r="I1984" s="10" t="inlineStr">
        <is>
          <t>17/03/2026</t>
        </is>
      </c>
      <c r="J1984" s="10" t="inlineStr">
        <is>
          <t>Cơ khí / Ô tô / Tự động hóa, Điện / Điện tử / Điện lạnh / Điện công nghiệp, Bảo trì / Sửa chữa</t>
        </is>
      </c>
      <c r="K1984" s="10" t="inlineStr">
        <is>
          <t>Trên 2 Năm</t>
        </is>
      </c>
      <c r="L1984" s="11">
        <f>HYPERLINK("https://careerviet.vn/vi/tim-viec-lam/ky-thuat-vien-khuon-dap-kim-loai-27674-kcn-khai-quang-vinh-phuc.35C69F6D.html","Xem chi tiết")</f>
        <v/>
      </c>
      <c r="M1984" s="10" t="n"/>
    </row>
    <row r="1985">
      <c r="B1985" s="7" t="n">
        <v>1983</v>
      </c>
      <c r="C1985" t="inlineStr">
        <is>
          <t>Nhân viên Event tại CB Centres  (lương 8-12tr)</t>
        </is>
      </c>
      <c r="D1985" t="inlineStr">
        <is>
          <t>Hệ thống Trung tâm Ngoại ngữ Cambridge</t>
        </is>
      </c>
      <c r="E1985" t="inlineStr">
        <is>
          <t>Lương:Cạnh tranh</t>
        </is>
      </c>
      <c r="F1985" t="inlineStr">
        <is>
          <t>Bến Tre</t>
        </is>
      </c>
      <c r="G1985" t="inlineStr">
        <is>
          <t>31-03-2026</t>
        </is>
      </c>
      <c r="H1985" t="inlineStr">
        <is>
          <t>31/03/2026</t>
        </is>
      </c>
      <c r="I1985" t="inlineStr">
        <is>
          <t>17/03/2026</t>
        </is>
      </c>
      <c r="J1985" t="inlineStr">
        <is>
          <t>Truyền hình / Báo chí / Biên tập, Quảng cáo / Đối ngoại / Truyền Thông, Tổ chức sự kiện</t>
        </is>
      </c>
      <c r="K1985" t="inlineStr">
        <is>
          <t>1 - 2 Năm</t>
        </is>
      </c>
      <c r="L1985" s="8">
        <f>HYPERLINK("https://careerviet.vn/vi/tim-viec-lam/nhan-vien-event-tai-cb-centres-luong-8-12tr.35C69D79.html","Xem chi tiết")</f>
        <v/>
      </c>
    </row>
    <row r="1986">
      <c r="B1986" s="9" t="n">
        <v>1984</v>
      </c>
      <c r="C1986" s="10" t="inlineStr">
        <is>
          <t>Wholesale Sales – Restaurant Clients (Sale Sỉ Khách Nhà Hàng)</t>
        </is>
      </c>
      <c r="D1986" s="10" t="inlineStr">
        <is>
          <t>CÔNG TY TNHH QUỐC TẾ HAI NAN</t>
        </is>
      </c>
      <c r="E1986" s="10" t="inlineStr">
        <is>
          <t>Lương:11 Tr - 14 Tr VND</t>
        </is>
      </c>
      <c r="F1986" s="10" t="inlineStr">
        <is>
          <t>Hồ Chí Minh</t>
        </is>
      </c>
      <c r="G1986" s="10" t="inlineStr">
        <is>
          <t>31-05-2026</t>
        </is>
      </c>
      <c r="H1986" s="10" t="inlineStr">
        <is>
          <t>31/05/2026</t>
        </is>
      </c>
      <c r="I1986" s="10" t="inlineStr">
        <is>
          <t>17/03/2026</t>
        </is>
      </c>
      <c r="J1986" s="10" t="inlineStr">
        <is>
          <t>Bán lẻ / Bán sỉ, Bán hàng / Kinh doanh, Thực phẩm &amp; Đồ uống</t>
        </is>
      </c>
      <c r="K1986" s="10" t="inlineStr">
        <is>
          <t>Chưa có kinh nghiệm</t>
        </is>
      </c>
      <c r="L1986" s="11">
        <f>HYPERLINK("https://careerviet.vn/vi/tim-viec-lam/wholesale-sales-restaurant-clients-sale-si-khach-nha-hang.35C6A104.html","Xem chi tiết")</f>
        <v/>
      </c>
      <c r="M1986" s="10" t="n"/>
    </row>
    <row r="1987">
      <c r="B1987" s="7" t="n">
        <v>1985</v>
      </c>
      <c r="C1987" t="inlineStr">
        <is>
          <t>Nhân viên Kinh Doanh (Lĩnh Vực Thiết Bị Nha Khoa)</t>
        </is>
      </c>
      <c r="D1987" t="inlineStr">
        <is>
          <t>CÔNG TY TNHH NHA KHOA QUỐC TẾ SQ GROUP</t>
        </is>
      </c>
      <c r="E1987" t="inlineStr">
        <is>
          <t>Lương:7 Tr - 8 Tr VND</t>
        </is>
      </c>
      <c r="F1987" t="inlineStr">
        <is>
          <t>Hồ Chí Minh</t>
        </is>
      </c>
      <c r="G1987" t="inlineStr">
        <is>
          <t>24-03-2026</t>
        </is>
      </c>
      <c r="H1987" t="inlineStr">
        <is>
          <t>24/03/2026</t>
        </is>
      </c>
      <c r="I1987" t="inlineStr">
        <is>
          <t>17/03/2026</t>
        </is>
      </c>
      <c r="J1987" t="inlineStr">
        <is>
          <t>Bán hàng / Kinh doanh, Y tế / Chăm sóc sức khỏe / Thẩm mỹ / Làm đẹp, Tiếp thị / Marketing</t>
        </is>
      </c>
      <c r="K1987" t="inlineStr">
        <is>
          <t>N/A</t>
        </is>
      </c>
      <c r="L1987" s="8">
        <f>HYPERLINK("https://careerviet.vn/vi/tim-viec-lam/nhan-vien-kinh-doanh-linh-vuc-thiet-bi-nha-khoa.35C69BEB.html","Xem chi tiết")</f>
        <v/>
      </c>
    </row>
    <row r="1988">
      <c r="B1988" s="9" t="n">
        <v>1986</v>
      </c>
      <c r="C1988" s="10" t="inlineStr">
        <is>
          <t>Chuyên viên kế toán phải thu</t>
        </is>
      </c>
      <c r="D1988" s="10" t="inlineStr">
        <is>
          <t>Hoang Duc Pharmaceutical &amp; Medical Supplies co, Ltd.</t>
        </is>
      </c>
      <c r="E1988" s="10" t="inlineStr">
        <is>
          <t>Lương:Cạnh tranh</t>
        </is>
      </c>
      <c r="F1988" s="10" t="inlineStr">
        <is>
          <t>Hà Nội</t>
        </is>
      </c>
      <c r="G1988" s="10" t="inlineStr">
        <is>
          <t>01-04-2026</t>
        </is>
      </c>
      <c r="H1988" s="10" t="inlineStr">
        <is>
          <t>01/04/2026</t>
        </is>
      </c>
      <c r="I1988" s="10" t="inlineStr">
        <is>
          <t>17/03/2026</t>
        </is>
      </c>
      <c r="J1988" s="10" t="inlineStr">
        <is>
          <t>Kế toán / Kiểm toán</t>
        </is>
      </c>
      <c r="K1988" s="10" t="inlineStr">
        <is>
          <t>1 - 2 Năm</t>
        </is>
      </c>
      <c r="L1988" s="11">
        <f>HYPERLINK("https://careerviet.vn/vi/tim-viec-lam/chuyen-vien-ke-toan-phai-thu.35C6A0B4.html","Xem chi tiết")</f>
        <v/>
      </c>
      <c r="M1988" s="10" t="n"/>
    </row>
    <row r="1989">
      <c r="B1989" s="7" t="n">
        <v>1987</v>
      </c>
      <c r="C1989" t="inlineStr">
        <is>
          <t>Nhân viên Kinh doanh Khách đoàn</t>
        </is>
      </c>
      <c r="D1989" t="inlineStr">
        <is>
          <t>Công Ty Cổ Phần Du Lịch Vietravel</t>
        </is>
      </c>
      <c r="E1989" t="inlineStr">
        <is>
          <t>Lương:Cạnh tranh</t>
        </is>
      </c>
      <c r="F1989" t="inlineStr">
        <is>
          <t>Hà Nội</t>
        </is>
      </c>
      <c r="G1989" t="inlineStr">
        <is>
          <t>29-03-2026</t>
        </is>
      </c>
      <c r="H1989" t="inlineStr">
        <is>
          <t>29/03/2026</t>
        </is>
      </c>
      <c r="I1989" t="inlineStr">
        <is>
          <t>17/03/2026</t>
        </is>
      </c>
      <c r="J1989" t="inlineStr">
        <is>
          <t>Bán hàng / Kinh doanh, Du lịch, Hàng không</t>
        </is>
      </c>
      <c r="K1989" t="inlineStr">
        <is>
          <t>1 - 2 Năm</t>
        </is>
      </c>
      <c r="L1989" s="8">
        <f>HYPERLINK("https://careerviet.vn/vi/tim-viec-lam/nhan-vien-kinh-doanh-khach-doan.35C6A067.html","Xem chi tiết")</f>
        <v/>
      </c>
    </row>
    <row r="1990">
      <c r="B1990" s="9" t="n">
        <v>1988</v>
      </c>
      <c r="C1990" s="10" t="inlineStr">
        <is>
          <t>Chuyên Viên Kế Hoạch Cung Ứng Cao Cấp - Level 4</t>
        </is>
      </c>
      <c r="D1990" s="10" t="inlineStr">
        <is>
          <t>BETRIMEX - Công Ty Cổ Phần Xuất Nhập Khẩu Bến Tre</t>
        </is>
      </c>
      <c r="E1990" s="10" t="inlineStr">
        <is>
          <t>Lương:Cạnh tranh</t>
        </is>
      </c>
      <c r="F1990" s="10" t="inlineStr">
        <is>
          <t>Bến Tre</t>
        </is>
      </c>
      <c r="G1990" s="10" t="inlineStr">
        <is>
          <t>27-03-2026</t>
        </is>
      </c>
      <c r="H1990" s="10" t="inlineStr">
        <is>
          <t>27/03/2026</t>
        </is>
      </c>
      <c r="I1990" s="10" t="inlineStr">
        <is>
          <t>17/03/2026</t>
        </is>
      </c>
      <c r="J1990" s="10" t="inlineStr">
        <is>
          <t>Vận chuyển / Giao nhận / Kho vận, Xuất nhập khẩu, Sản xuất / Vận hành sản xuất</t>
        </is>
      </c>
      <c r="K1990" s="10" t="inlineStr">
        <is>
          <t>3 - 5 Năm</t>
        </is>
      </c>
      <c r="L1990" s="11">
        <f>HYPERLINK("https://careerviet.vn/vi/tim-viec-lam/chuyen-vien-ke-hoach-cung-ung-cao-cap-level-4.35C69FB6.html","Xem chi tiết")</f>
        <v/>
      </c>
      <c r="M1990" s="10" t="n"/>
    </row>
    <row r="1991">
      <c r="B1991" s="7" t="n">
        <v>1989</v>
      </c>
      <c r="C1991" t="inlineStr">
        <is>
          <t>Nhân viên Kế toán</t>
        </is>
      </c>
      <c r="D1991" t="inlineStr">
        <is>
          <t>Công Ty Cổ Phần Du Lịch Vietravel</t>
        </is>
      </c>
      <c r="E1991" t="inlineStr">
        <is>
          <t>Lương:Cạnh tranh</t>
        </is>
      </c>
      <c r="F1991" t="inlineStr">
        <is>
          <t>Đà Nẵng</t>
        </is>
      </c>
      <c r="G1991" t="inlineStr">
        <is>
          <t>29-03-2026</t>
        </is>
      </c>
      <c r="H1991" t="inlineStr">
        <is>
          <t>29/03/2026</t>
        </is>
      </c>
      <c r="I1991" t="inlineStr">
        <is>
          <t>17/03/2026</t>
        </is>
      </c>
      <c r="J1991" t="inlineStr">
        <is>
          <t>Kế toán / Kiểm toán</t>
        </is>
      </c>
      <c r="K1991" t="inlineStr">
        <is>
          <t>2 - 3 Năm</t>
        </is>
      </c>
      <c r="L1991" s="8">
        <f>HYPERLINK("https://careerviet.vn/vi/tim-viec-lam/nhan-vien-ke-toan.35C69D6F.html","Xem chi tiết")</f>
        <v/>
      </c>
    </row>
    <row r="1992">
      <c r="B1992" s="9" t="n">
        <v>1990</v>
      </c>
      <c r="C1992" s="10" t="inlineStr">
        <is>
          <t>Fullstack Developer (Fulltime)</t>
        </is>
      </c>
      <c r="D1992" s="10" t="inlineStr">
        <is>
          <t>Công ty Cổ phần Vietsol</t>
        </is>
      </c>
      <c r="E1992" s="10" t="inlineStr">
        <is>
          <t>Lương:Cạnh tranh</t>
        </is>
      </c>
      <c r="F1992" s="10" t="inlineStr">
        <is>
          <t>Hà Nội</t>
        </is>
      </c>
      <c r="G1992" s="10" t="inlineStr">
        <is>
          <t>30-04-2026</t>
        </is>
      </c>
      <c r="H1992" s="10" t="inlineStr">
        <is>
          <t>30/04/2026</t>
        </is>
      </c>
      <c r="I1992" s="10" t="inlineStr">
        <is>
          <t>17/03/2026</t>
        </is>
      </c>
      <c r="J1992" s="10" t="inlineStr">
        <is>
          <t>CNTT - Phần mềm</t>
        </is>
      </c>
      <c r="K1992" s="10" t="inlineStr">
        <is>
          <t>2 - 5 Năm</t>
        </is>
      </c>
      <c r="L1992" s="11">
        <f>HYPERLINK("https://careerviet.vn/vi/tim-viec-lam/fullstack-developer-fulltime.35C6A0AC.html","Xem chi tiết")</f>
        <v/>
      </c>
      <c r="M1992" s="10" t="n"/>
    </row>
    <row r="1993">
      <c r="B1993" s="7" t="n">
        <v>1991</v>
      </c>
      <c r="C1993" t="inlineStr">
        <is>
          <t>Trợ Lý Kỹ Sư QS</t>
        </is>
      </c>
      <c r="D1993" t="inlineStr">
        <is>
          <t>CÔNG TY TNHH RYDER INDUSTRIES VIỆT NAM</t>
        </is>
      </c>
      <c r="E1993" t="inlineStr">
        <is>
          <t>Lương:Cạnh tranh</t>
        </is>
      </c>
      <c r="F1993" t="inlineStr">
        <is>
          <t>Đồng Nai</t>
        </is>
      </c>
      <c r="G1993" t="inlineStr">
        <is>
          <t>27-03-2026</t>
        </is>
      </c>
      <c r="H1993" t="inlineStr">
        <is>
          <t>27/03/2026</t>
        </is>
      </c>
      <c r="I1993" t="inlineStr">
        <is>
          <t>17/03/2026</t>
        </is>
      </c>
      <c r="J1993" t="inlineStr">
        <is>
          <t>Sản xuất / Vận hành sản xuất, Cơ khí / Ô tô / Tự động hóa, Quản lý chất lượng (QA/QC)</t>
        </is>
      </c>
      <c r="K1993" t="inlineStr">
        <is>
          <t>N/A</t>
        </is>
      </c>
      <c r="L1993" s="8">
        <f>HYPERLINK("https://careerviet.vn/vi/tim-viec-lam/tro-ly-ky-su-qs.35C69E12.html","Xem chi tiết")</f>
        <v/>
      </c>
    </row>
    <row r="1994">
      <c r="B1994" s="9" t="n">
        <v>1992</v>
      </c>
      <c r="C1994" s="10" t="inlineStr">
        <is>
          <t>QUẢN LÝ CỬA HÀNG THỜI TRANG</t>
        </is>
      </c>
      <c r="D1994" s="10" t="inlineStr">
        <is>
          <t>ROUTINE VN - FASHION DESIGN &amp; RETAILER</t>
        </is>
      </c>
      <c r="E1994" s="10" t="inlineStr">
        <is>
          <t>Lương:10 Tr - 15 Tr VND</t>
        </is>
      </c>
      <c r="F1994" s="10" t="inlineStr">
        <is>
          <t>Đà Nẵng</t>
        </is>
      </c>
      <c r="G1994" s="10" t="inlineStr">
        <is>
          <t>27-03-2026</t>
        </is>
      </c>
      <c r="H1994" s="10" t="inlineStr">
        <is>
          <t>27/03/2026</t>
        </is>
      </c>
      <c r="I1994" s="10" t="inlineStr">
        <is>
          <t>17/03/2026</t>
        </is>
      </c>
      <c r="J1994" s="10" t="inlineStr">
        <is>
          <t>Bán lẻ / Bán sỉ, Dệt may / Da giày / Thời trang, Bán hàng / Kinh doanh</t>
        </is>
      </c>
      <c r="K1994" s="10" t="inlineStr">
        <is>
          <t>3 - 6 Năm</t>
        </is>
      </c>
      <c r="L1994" s="11">
        <f>HYPERLINK("https://careerviet.vn/vi/tim-viec-lam/quan-ly-cua-hang-thoi-trang.35C69E05.html","Xem chi tiết")</f>
        <v/>
      </c>
      <c r="M1994" s="10" t="n"/>
    </row>
    <row r="1995">
      <c r="B1995" s="7" t="n">
        <v>1993</v>
      </c>
      <c r="C1995" t="inlineStr">
        <is>
          <t>Process Engineer</t>
        </is>
      </c>
      <c r="D1995" t="inlineStr">
        <is>
          <t>TNHH Sài Gòn Fabrication (Fab-9) Vietnam</t>
        </is>
      </c>
      <c r="E1995" t="inlineStr">
        <is>
          <t>Lương:11 Tr - 15 Tr VND</t>
        </is>
      </c>
      <c r="F1995" t="inlineStr">
        <is>
          <t>Bình Dương</t>
        </is>
      </c>
      <c r="G1995" t="inlineStr">
        <is>
          <t>31-03-2026</t>
        </is>
      </c>
      <c r="H1995" t="inlineStr">
        <is>
          <t>31/03/2026</t>
        </is>
      </c>
      <c r="I1995" t="inlineStr">
        <is>
          <t>17/03/2026</t>
        </is>
      </c>
      <c r="J1995" t="inlineStr">
        <is>
          <t>Điện / Điện tử / Điện lạnh / Điện công nghiệp</t>
        </is>
      </c>
      <c r="K1995" t="inlineStr">
        <is>
          <t>Chưa có kinh nghiệm</t>
        </is>
      </c>
      <c r="L1995" s="8">
        <f>HYPERLINK("https://careerviet.vn/vi/tim-viec-lam/process-engineer.35C69E3A.html","Xem chi tiết")</f>
        <v/>
      </c>
    </row>
    <row r="1996">
      <c r="B1996" s="9" t="n">
        <v>1994</v>
      </c>
      <c r="C1996" s="10" t="inlineStr">
        <is>
          <t>HR and Admin Supervisor or Manager</t>
        </is>
      </c>
      <c r="D1996" s="10" t="inlineStr">
        <is>
          <t>CÔNG TY TNHH BOKA CRAFT</t>
        </is>
      </c>
      <c r="E1996" s="10" t="inlineStr">
        <is>
          <t>Lương:Cạnh tranh</t>
        </is>
      </c>
      <c r="F1996" s="10" t="inlineStr">
        <is>
          <t>Long An</t>
        </is>
      </c>
      <c r="G1996" s="10" t="inlineStr">
        <is>
          <t>3</t>
        </is>
      </c>
      <c r="H1996" s="10" t="inlineStr">
        <is>
          <t>20/03/2026</t>
        </is>
      </c>
      <c r="I1996" s="10" t="inlineStr">
        <is>
          <t>17/03/2026</t>
        </is>
      </c>
      <c r="J1996" s="10" t="inlineStr">
        <is>
          <t>Nhân sự, Hành chính / Thư ký, Luật / Pháp lý</t>
        </is>
      </c>
      <c r="K1996" s="10" t="inlineStr">
        <is>
          <t>3 - 10 Năm</t>
        </is>
      </c>
      <c r="L1996" s="11">
        <f>HYPERLINK("https://careerviet.vn/vi/tim-viec-lam/hr-and-admin-supervisor-or-manager.35C69CFC.html","Xem chi tiết")</f>
        <v/>
      </c>
      <c r="M1996" s="10" t="n"/>
    </row>
    <row r="1997">
      <c r="B1997" s="7" t="n">
        <v>1995</v>
      </c>
      <c r="C1997" t="inlineStr">
        <is>
          <t>Chuyên Viên Kinh Doanh</t>
        </is>
      </c>
      <c r="D1997" t="inlineStr">
        <is>
          <t>CÔNG TY CỔ PHẦN OCM VIỆT NAM</t>
        </is>
      </c>
      <c r="E1997" t="inlineStr">
        <is>
          <t>Lương:20 Tr - 25 Tr VND</t>
        </is>
      </c>
      <c r="F1997" t="inlineStr">
        <is>
          <t>Hồ Chí Minh</t>
        </is>
      </c>
      <c r="G1997" t="inlineStr">
        <is>
          <t>26-03-2026</t>
        </is>
      </c>
      <c r="H1997" t="inlineStr">
        <is>
          <t>26/03/2026</t>
        </is>
      </c>
      <c r="I1997" t="inlineStr">
        <is>
          <t>17/03/2026</t>
        </is>
      </c>
      <c r="J1997" t="inlineStr">
        <is>
          <t>Bán hàng / Kinh doanh, Tư vấn</t>
        </is>
      </c>
      <c r="K1997" t="inlineStr">
        <is>
          <t>Trên 5 Năm</t>
        </is>
      </c>
      <c r="L1997" s="8">
        <f>HYPERLINK("https://careerviet.vn/vi/tim-viec-lam/chuyen-vien-kinh-doanh.35C69E23.html","Xem chi tiết")</f>
        <v/>
      </c>
    </row>
    <row r="1998">
      <c r="B1998" s="9" t="n">
        <v>1996</v>
      </c>
      <c r="C1998" s="10" t="inlineStr">
        <is>
          <t>Senior Cloud Engineer</t>
        </is>
      </c>
      <c r="D1998" s="10" t="inlineStr">
        <is>
          <t>Công ty TNHH Viettel - CHT</t>
        </is>
      </c>
      <c r="E1998" s="10" t="inlineStr">
        <is>
          <t>Lương:Cạnh tranh</t>
        </is>
      </c>
      <c r="F1998" s="10" t="inlineStr">
        <is>
          <t>Hà Nội</t>
        </is>
      </c>
      <c r="G1998" s="10" t="inlineStr">
        <is>
          <t>29-03-2026</t>
        </is>
      </c>
      <c r="H1998" s="10" t="inlineStr">
        <is>
          <t>29/03/2026</t>
        </is>
      </c>
      <c r="I1998" s="10" t="inlineStr">
        <is>
          <t>17/03/2026</t>
        </is>
      </c>
      <c r="J1998" s="10" t="inlineStr">
        <is>
          <t>CNTT - Phần mềm, CNTT - Phần cứng / Mạng</t>
        </is>
      </c>
      <c r="K1998" s="10" t="inlineStr">
        <is>
          <t>Trên 3 Năm</t>
        </is>
      </c>
      <c r="L1998" s="11">
        <f>HYPERLINK("https://careerviet.vn/vi/tim-viec-lam/senior-cloud-engineer.35C69E89.html","Xem chi tiết")</f>
        <v/>
      </c>
      <c r="M1998" s="10" t="n"/>
    </row>
    <row r="1999">
      <c r="B1999" s="7" t="n">
        <v>1997</v>
      </c>
      <c r="C1999" t="inlineStr">
        <is>
          <t>KẾ TOÁN TỔNG HỢP</t>
        </is>
      </c>
      <c r="D1999" t="inlineStr">
        <is>
          <t>Công ty cổ phần công nghiệp dân dụng công nghiệp Hà Nội</t>
        </is>
      </c>
      <c r="E1999" t="inlineStr">
        <is>
          <t>Lương:14 Tr - 17 Tr VND</t>
        </is>
      </c>
      <c r="F1999" t="inlineStr">
        <is>
          <t>Hà Nội</t>
        </is>
      </c>
      <c r="G1999" t="inlineStr">
        <is>
          <t>26-03-2026</t>
        </is>
      </c>
      <c r="H1999" t="inlineStr">
        <is>
          <t>26/03/2026</t>
        </is>
      </c>
      <c r="I1999" t="inlineStr">
        <is>
          <t>17/03/2026</t>
        </is>
      </c>
      <c r="J1999" t="inlineStr">
        <is>
          <t>Kế toán / Kiểm toán, Tài chính / Đầu tư</t>
        </is>
      </c>
      <c r="K1999" t="inlineStr">
        <is>
          <t>Trên 2 Năm</t>
        </is>
      </c>
      <c r="L1999" s="8">
        <f>HYPERLINK("https://careerviet.vn/vi/tim-viec-lam/ke-toan-tong-hop.35C6A072.html","Xem chi tiết")</f>
        <v/>
      </c>
    </row>
    <row r="2000">
      <c r="B2000" s="9" t="n">
        <v>1998</v>
      </c>
      <c r="C2000" s="10" t="inlineStr">
        <is>
          <t>Trưởng Phòng Khách Hàng Cao Cấp Chứng Khoán</t>
        </is>
      </c>
      <c r="D2000" s="10" t="inlineStr">
        <is>
          <t>Công ty TNHH Chứng khoán Yuanta Việt Nam</t>
        </is>
      </c>
      <c r="E2000" s="10" t="inlineStr">
        <is>
          <t>Lương:30 Tr - 40 Tr VND</t>
        </is>
      </c>
      <c r="F2000" s="10" t="inlineStr">
        <is>
          <t>Hồ Chí MinhHà Nội</t>
        </is>
      </c>
      <c r="G2000" s="10" t="inlineStr">
        <is>
          <t>31-03-2026</t>
        </is>
      </c>
      <c r="H2000" s="10" t="inlineStr">
        <is>
          <t>31/03/2026</t>
        </is>
      </c>
      <c r="I2000" s="10" t="inlineStr">
        <is>
          <t>17/03/2026</t>
        </is>
      </c>
      <c r="J2000" s="10" t="inlineStr">
        <is>
          <t>Chứng khoán, Tài chính / Đầu tư, Ngân hàng</t>
        </is>
      </c>
      <c r="K2000" s="10" t="inlineStr">
        <is>
          <t>3 - 5 Năm</t>
        </is>
      </c>
      <c r="L2000" s="11">
        <f>HYPERLINK("https://careerviet.vn/vi/tim-viec-lam/truong-phong-khach-hang-cao-cap-chung-khoan.35C6A059.html","Xem chi tiết")</f>
        <v/>
      </c>
      <c r="M2000" s="10" t="n"/>
    </row>
    <row r="2001">
      <c r="B2001" s="7" t="n">
        <v>1999</v>
      </c>
      <c r="C2001" t="inlineStr">
        <is>
          <t>Manager – Data Analytics &amp; Insights</t>
        </is>
      </c>
      <c r="D2001" t="inlineStr">
        <is>
          <t>RED2 DIGITAL</t>
        </is>
      </c>
      <c r="E2001" t="inlineStr">
        <is>
          <t>Lương:Cạnh tranh</t>
        </is>
      </c>
      <c r="F2001" t="inlineStr">
        <is>
          <t>Hồ Chí Minh</t>
        </is>
      </c>
      <c r="G2001" t="inlineStr">
        <is>
          <t>30-04-2026</t>
        </is>
      </c>
      <c r="H2001" t="inlineStr">
        <is>
          <t>30/04/2026</t>
        </is>
      </c>
      <c r="I2001" t="inlineStr">
        <is>
          <t>17/03/2026</t>
        </is>
      </c>
      <c r="J2001" t="inlineStr">
        <is>
          <t>Quảng cáo / Đối ngoại / Truyền Thông, Thống kê, CNTT - Phần mềm</t>
        </is>
      </c>
      <c r="K2001" t="inlineStr">
        <is>
          <t>Trên 7 Năm</t>
        </is>
      </c>
      <c r="L2001" s="8">
        <f>HYPERLINK("https://careerviet.vn/vi/tim-viec-lam/manager-data-analytics-insights.35C6C8D0.html","Xem chi tiết")</f>
        <v/>
      </c>
    </row>
    <row r="2002">
      <c r="B2002" s="9" t="n">
        <v>2000</v>
      </c>
      <c r="C2002" s="10" t="inlineStr">
        <is>
          <t>[Thanh Hóa] - Trợ Lý Giám Đốc Tài Chính/ Assistant CFO</t>
        </is>
      </c>
      <c r="D2002" s="10" t="inlineStr">
        <is>
          <t>CÔNG TY TNHH MAY MẶC LEADING STAR VN</t>
        </is>
      </c>
      <c r="E2002" s="10" t="inlineStr">
        <is>
          <t>Lương:Cạnh tranh</t>
        </is>
      </c>
      <c r="F2002" s="10" t="inlineStr">
        <is>
          <t>Thanh Hóa</t>
        </is>
      </c>
      <c r="G2002" s="10" t="inlineStr">
        <is>
          <t>12-04-2026</t>
        </is>
      </c>
      <c r="H2002" s="10" t="inlineStr">
        <is>
          <t>12/04/2026</t>
        </is>
      </c>
      <c r="I2002" s="10" t="inlineStr">
        <is>
          <t>17/03/2026</t>
        </is>
      </c>
      <c r="J2002" s="10" t="inlineStr">
        <is>
          <t>Tài chính / Đầu tư, Hành chính / Thư ký, Kế toán / Kiểm toán</t>
        </is>
      </c>
      <c r="K2002" s="10" t="inlineStr">
        <is>
          <t>3 - 5 Năm</t>
        </is>
      </c>
      <c r="L2002" s="11">
        <f>HYPERLINK("https://careerviet.vn/vi/tim-viec-lam/thanh-hoa-tro-ly-giam-doc-tai-chinh-assistant-cfo.35C6C8D7.html","Xem chi tiết")</f>
        <v/>
      </c>
      <c r="M2002" s="10" t="n"/>
    </row>
    <row r="2003">
      <c r="B2003" s="7" t="n">
        <v>2001</v>
      </c>
      <c r="C2003" t="inlineStr">
        <is>
          <t>Quản lý Thiết kế nội thất</t>
        </is>
      </c>
      <c r="D2003" t="inlineStr">
        <is>
          <t>TTT Corporation</t>
        </is>
      </c>
      <c r="E2003" t="inlineStr">
        <is>
          <t>Lương:Cạnh tranh</t>
        </is>
      </c>
      <c r="F2003" t="inlineStr">
        <is>
          <t>Hồ Chí Minh</t>
        </is>
      </c>
      <c r="G2003" t="inlineStr">
        <is>
          <t>31-03-2026</t>
        </is>
      </c>
      <c r="H2003" t="inlineStr">
        <is>
          <t>31/03/2026</t>
        </is>
      </c>
      <c r="I2003" t="inlineStr">
        <is>
          <t>17/03/2026</t>
        </is>
      </c>
      <c r="J2003" t="inlineStr">
        <is>
          <t>Kiến trúc, Nội ngoại thất, Xây dựng</t>
        </is>
      </c>
      <c r="K2003" t="inlineStr">
        <is>
          <t>3 - 5 Năm</t>
        </is>
      </c>
      <c r="L2003" s="8">
        <f>HYPERLINK("https://careerviet.vn/vi/tim-viec-lam/quan-ly-thiet-ke-noi-that.35C69F48.html","Xem chi tiết")</f>
        <v/>
      </c>
    </row>
    <row r="2004">
      <c r="B2004" s="9" t="n">
        <v>2002</v>
      </c>
      <c r="C2004" s="10" t="inlineStr">
        <is>
          <t>Nhân viên Sales Admin xuất nhập khẩu</t>
        </is>
      </c>
      <c r="D2004" s="10" t="inlineStr">
        <is>
          <t>CÔNG TY TNHH TRÁI CÂY LẠ THỊNH AN</t>
        </is>
      </c>
      <c r="E2004" s="10" t="inlineStr">
        <is>
          <t>Lương:11 Tr - 12 Tr VND</t>
        </is>
      </c>
      <c r="F2004" s="10" t="inlineStr">
        <is>
          <t>Hồ Chí Minh</t>
        </is>
      </c>
      <c r="G2004" s="10" t="inlineStr">
        <is>
          <t>13-04-2026</t>
        </is>
      </c>
      <c r="H2004" s="10" t="inlineStr">
        <is>
          <t>13/04/2026</t>
        </is>
      </c>
      <c r="I2004" s="10" t="inlineStr">
        <is>
          <t>17/03/2026</t>
        </is>
      </c>
      <c r="J2004" s="10" t="inlineStr">
        <is>
          <t>Tiếp thị / Marketing, Bán hàng / Kinh doanh, Xuất nhập khẩu</t>
        </is>
      </c>
      <c r="K2004" s="10" t="inlineStr">
        <is>
          <t>1 - 2 Năm</t>
        </is>
      </c>
      <c r="L2004" s="11">
        <f>HYPERLINK("https://careerviet.vn/vi/tim-viec-lam/nhan-vien-sales-admin-xuat-nhap-khau.35C6C8C8.html","Xem chi tiết")</f>
        <v/>
      </c>
      <c r="M2004" s="10" t="n"/>
    </row>
    <row r="2005">
      <c r="B2005" s="7" t="n">
        <v>2003</v>
      </c>
      <c r="C2005" t="inlineStr">
        <is>
          <t>Trưởng ca Phân xưởng Đóng Gói</t>
        </is>
      </c>
      <c r="D2005" t="inlineStr">
        <is>
          <t>CÔNG TY TNHH NƯỚC GIẢI KHÁT &amp; BAO BÌ THỰC PHẨM VINAKEN</t>
        </is>
      </c>
      <c r="E2005" t="inlineStr">
        <is>
          <t>Lương:18 Tr - 25 Tr VND</t>
        </is>
      </c>
      <c r="F2005" t="inlineStr">
        <is>
          <t>Bắc Giang</t>
        </is>
      </c>
      <c r="G2005" t="inlineStr">
        <is>
          <t>30-04-2026</t>
        </is>
      </c>
      <c r="H2005" t="inlineStr">
        <is>
          <t>30/04/2026</t>
        </is>
      </c>
      <c r="I2005" t="inlineStr">
        <is>
          <t>17/03/2026</t>
        </is>
      </c>
      <c r="J2005" t="inlineStr">
        <is>
          <t>Quản lý điều hành, Công nghệ thực phẩm / Dinh dưỡng, Sản xuất / Vận hành sản xuất</t>
        </is>
      </c>
      <c r="K2005" t="inlineStr">
        <is>
          <t>2 - 10 Năm</t>
        </is>
      </c>
      <c r="L2005" s="8">
        <f>HYPERLINK("https://careerviet.vn/vi/tim-viec-lam/truong-ca-phan-xuong-dong-goi.35C52B50.html","Xem chi tiết")</f>
        <v/>
      </c>
    </row>
    <row r="2006">
      <c r="B2006" s="9" t="n">
        <v>2004</v>
      </c>
      <c r="C2006" s="10" t="inlineStr">
        <is>
          <t>Nhân Viên Telesales - Nhân Viên Tư Vấn Dịch Vụ Kế Toán - Thuế (Thu Nhập 20M+ )</t>
        </is>
      </c>
      <c r="D2006" s="10" t="inlineStr">
        <is>
          <t>CÔNG TY TNHH KIỂM TOÁN &amp; TƯ VẤN MINGI</t>
        </is>
      </c>
      <c r="E2006" s="10" t="inlineStr">
        <is>
          <t>Lương:10 Tr - 20 Tr VND</t>
        </is>
      </c>
      <c r="F2006" s="10" t="inlineStr">
        <is>
          <t>Hà Nội</t>
        </is>
      </c>
      <c r="G2006" s="10" t="inlineStr">
        <is>
          <t>10-04-2026</t>
        </is>
      </c>
      <c r="H2006" s="10" t="inlineStr">
        <is>
          <t>10/04/2026</t>
        </is>
      </c>
      <c r="I2006" s="10" t="inlineStr">
        <is>
          <t>17/03/2026</t>
        </is>
      </c>
      <c r="J2006" s="10" t="inlineStr">
        <is>
          <t>Tư vấn, Kế toán / Kiểm toán, Dịch vụ khách hàng</t>
        </is>
      </c>
      <c r="K2006" s="10" t="inlineStr">
        <is>
          <t>N/A</t>
        </is>
      </c>
      <c r="L2006" s="11">
        <f>HYPERLINK("https://careerviet.vn/vi/tim-viec-lam/nhan-vien-telesales-nhan-vien-tu-van-dich-vu-ke-toan-thue-thu-nhap-20m.35C6C8E8.html","Xem chi tiết")</f>
        <v/>
      </c>
      <c r="M2006" s="10" t="n"/>
    </row>
    <row r="2007">
      <c r="B2007" s="7" t="n">
        <v>2005</v>
      </c>
      <c r="C2007" t="inlineStr">
        <is>
          <t>Thiết Kế 2D</t>
        </is>
      </c>
      <c r="D2007" t="inlineStr">
        <is>
          <t>Công Ty TNHH Nội Thất Thái Việt</t>
        </is>
      </c>
      <c r="E2007" t="inlineStr">
        <is>
          <t>Lương:14 Tr - 20 Tr VND</t>
        </is>
      </c>
      <c r="F2007" t="inlineStr">
        <is>
          <t>Hồ Chí Minh</t>
        </is>
      </c>
      <c r="G2007" t="inlineStr">
        <is>
          <t>13-04-2026</t>
        </is>
      </c>
      <c r="H2007" t="inlineStr">
        <is>
          <t>13/04/2026</t>
        </is>
      </c>
      <c r="I2007" t="inlineStr">
        <is>
          <t>17/03/2026</t>
        </is>
      </c>
      <c r="J2007" t="inlineStr">
        <is>
          <t>Mỹ thuật / Nghệ thuật / Thiết kế, Kiến trúc, Xây dựng</t>
        </is>
      </c>
      <c r="K2007" t="inlineStr">
        <is>
          <t>Trên 2 Năm</t>
        </is>
      </c>
      <c r="L2007" s="8">
        <f>HYPERLINK("https://careerviet.vn/vi/tim-viec-lam/thiet-ke-2d.35C6C8A4.html","Xem chi tiết")</f>
        <v/>
      </c>
    </row>
    <row r="2008">
      <c r="B2008" s="9" t="n">
        <v>2006</v>
      </c>
      <c r="C2008" s="10" t="inlineStr">
        <is>
          <t>NHÂN VIÊN TUYỂN DỤNG</t>
        </is>
      </c>
      <c r="D2008" s="10" t="inlineStr">
        <is>
          <t>CÔNG TY TNHH HUMAN POWER</t>
        </is>
      </c>
      <c r="E2008" s="10" t="inlineStr">
        <is>
          <t>Lương:Cạnh tranh</t>
        </is>
      </c>
      <c r="F2008" s="10" t="inlineStr">
        <is>
          <t>Đồng NaiHồ Chí MinhBình Dương</t>
        </is>
      </c>
      <c r="G2008" s="10" t="inlineStr">
        <is>
          <t>30-04-2026</t>
        </is>
      </c>
      <c r="H2008" s="10" t="inlineStr">
        <is>
          <t>30/04/2026</t>
        </is>
      </c>
      <c r="I2008" s="10" t="inlineStr">
        <is>
          <t>17/03/2026</t>
        </is>
      </c>
      <c r="J2008" s="10" t="inlineStr">
        <is>
          <t>Hành chính / Thư ký, Nhân sự, Quản lý điều hành</t>
        </is>
      </c>
      <c r="K2008" s="10" t="inlineStr">
        <is>
          <t>Chưa có kinh nghiệm</t>
        </is>
      </c>
      <c r="L2008" s="11">
        <f>HYPERLINK("https://careerviet.vn/vi/tim-viec-lam/nhan-vien-tuyen-dung.35C6C860.html","Xem chi tiết")</f>
        <v/>
      </c>
      <c r="M2008" s="10" t="n"/>
    </row>
    <row r="2009">
      <c r="B2009" s="7" t="n">
        <v>2007</v>
      </c>
      <c r="C2009" t="inlineStr">
        <is>
          <t>Nhân Viên Kinh Doanh Kỹ Thuật</t>
        </is>
      </c>
      <c r="D2009" t="inlineStr">
        <is>
          <t>CÔNG TY TNHH THIẾT BỊ CÔNG NGHỆ MAKAWA</t>
        </is>
      </c>
      <c r="E2009" t="inlineStr">
        <is>
          <t>Lương:15 Tr - 30 Tr VND</t>
        </is>
      </c>
      <c r="F2009" t="inlineStr">
        <is>
          <t>Hà Nội</t>
        </is>
      </c>
      <c r="G2009" t="inlineStr">
        <is>
          <t>13-04-2026</t>
        </is>
      </c>
      <c r="H2009" t="inlineStr">
        <is>
          <t>13/04/2026</t>
        </is>
      </c>
      <c r="I2009" t="inlineStr">
        <is>
          <t>17/03/2026</t>
        </is>
      </c>
      <c r="J2009" t="inlineStr">
        <is>
          <t>Bán hàng / Kinh doanh, Bán Hàng Kỹ Thuật, Điện / Điện tử / Điện lạnh / Điện công nghiệp</t>
        </is>
      </c>
      <c r="K2009" t="inlineStr">
        <is>
          <t>N/A</t>
        </is>
      </c>
      <c r="L2009" s="8">
        <f>HYPERLINK("https://careerviet.vn/vi/tim-viec-lam/nhan-vien-kinh-doanh-ky-thuat.35C6C8B9.html","Xem chi tiết")</f>
        <v/>
      </c>
    </row>
    <row r="2010">
      <c r="B2010" s="9" t="n">
        <v>2008</v>
      </c>
      <c r="C2010" s="10" t="inlineStr">
        <is>
          <t>Kế Toán Xuất Hóa Đơn</t>
        </is>
      </c>
      <c r="D2010" s="10" t="inlineStr">
        <is>
          <t>Công Ty TNHH Thương Mại Thực Phẩm Câu Lạc Bộ</t>
        </is>
      </c>
      <c r="E2010" s="10" t="inlineStr">
        <is>
          <t>Lương:8 Tr - 10 Tr VND</t>
        </is>
      </c>
      <c r="F2010" s="10" t="inlineStr">
        <is>
          <t>Hồ Chí Minh</t>
        </is>
      </c>
      <c r="G2010" s="10" t="inlineStr">
        <is>
          <t>13-04-2026</t>
        </is>
      </c>
      <c r="H2010" s="10" t="inlineStr">
        <is>
          <t>13/04/2026</t>
        </is>
      </c>
      <c r="I2010" s="10" t="inlineStr">
        <is>
          <t>17/03/2026</t>
        </is>
      </c>
      <c r="J2010" s="10" t="inlineStr">
        <is>
          <t>Kế toán / Kiểm toán, Vận chuyển / Giao nhận / Kho vận, Tài chính / Đầu tư</t>
        </is>
      </c>
      <c r="K2010" s="10" t="inlineStr">
        <is>
          <t>N/A</t>
        </is>
      </c>
      <c r="L2010" s="11">
        <f>HYPERLINK("https://careerviet.vn/vi/tim-viec-lam/ke-toan-xuat-hoa-don.35C6C89C.html","Xem chi tiết")</f>
        <v/>
      </c>
      <c r="M2010" s="10" t="n"/>
    </row>
    <row r="2011">
      <c r="B2011" s="7" t="n">
        <v>2009</v>
      </c>
      <c r="C2011" t="inlineStr">
        <is>
          <t>Kỹ Sư Trắc Đạc Công Trình - Dự án Nghệ An</t>
        </is>
      </c>
      <c r="D2011" t="inlineStr">
        <is>
          <t>CÔNG TY CỔ PHẦN EUROWINDOW HOLDING</t>
        </is>
      </c>
      <c r="E2011" t="inlineStr">
        <is>
          <t>Lương:Cạnh tranh</t>
        </is>
      </c>
      <c r="F2011" t="inlineStr">
        <is>
          <t>Nghệ An</t>
        </is>
      </c>
      <c r="G2011" t="inlineStr">
        <is>
          <t>13-04-2026</t>
        </is>
      </c>
      <c r="H2011" t="inlineStr">
        <is>
          <t>13/04/2026</t>
        </is>
      </c>
      <c r="I2011" t="inlineStr">
        <is>
          <t>17/03/2026</t>
        </is>
      </c>
      <c r="J2011" t="inlineStr">
        <is>
          <t>Trắc địa / Địa Chất, Kiến trúc, Xây dựng</t>
        </is>
      </c>
      <c r="K2011" t="inlineStr">
        <is>
          <t>3 - 10 Năm</t>
        </is>
      </c>
      <c r="L2011" s="8">
        <f>HYPERLINK("https://careerviet.vn/vi/tim-viec-lam/ky-su-trac-dac-cong-trinh-du-an-nghe-an.35C6C8C5.html","Xem chi tiết")</f>
        <v/>
      </c>
    </row>
    <row r="2012">
      <c r="B2012" s="9" t="n">
        <v>2010</v>
      </c>
      <c r="C2012" s="10" t="inlineStr">
        <is>
          <t>Nhân Viên Kinh Doanh</t>
        </is>
      </c>
      <c r="D2012" s="10" t="inlineStr">
        <is>
          <t>CÔNG TY CỔ PHẦN TOPPION HOLDINGS</t>
        </is>
      </c>
      <c r="E2012" s="10" t="inlineStr">
        <is>
          <t>Lương:10 Tr - 60 Tr VND</t>
        </is>
      </c>
      <c r="F2012" s="10" t="inlineStr">
        <is>
          <t>Hồ Chí Minh</t>
        </is>
      </c>
      <c r="G2012" s="10" t="inlineStr">
        <is>
          <t>13-04-2026</t>
        </is>
      </c>
      <c r="H2012" s="10" t="inlineStr">
        <is>
          <t>13/04/2026</t>
        </is>
      </c>
      <c r="I2012" s="10" t="inlineStr">
        <is>
          <t>17/03/2026</t>
        </is>
      </c>
      <c r="J2012" s="10" t="inlineStr">
        <is>
          <t>Bán hàng / Kinh doanh, Giáo dục / Đào tạo, Tư vấn</t>
        </is>
      </c>
      <c r="K2012" s="10" t="inlineStr">
        <is>
          <t>Trên 1 Năm</t>
        </is>
      </c>
      <c r="L2012" s="11">
        <f>HYPERLINK("https://careerviet.vn/vi/tim-viec-lam/nhan-vien-kinh-doanh.35C6C869.html","Xem chi tiết")</f>
        <v/>
      </c>
      <c r="M2012" s="10" t="n"/>
    </row>
    <row r="2013">
      <c r="B2013" s="7" t="n">
        <v>2011</v>
      </c>
      <c r="C2013" t="inlineStr">
        <is>
          <t>Kỹ Sư Trắc Đạc Công Trình - BQLDA Thanh Hóa</t>
        </is>
      </c>
      <c r="D2013" t="inlineStr">
        <is>
          <t>CÔNG TY CỔ PHẦN EUROWINDOW HOLDING</t>
        </is>
      </c>
      <c r="E2013" t="inlineStr">
        <is>
          <t>Lương:Cạnh tranh</t>
        </is>
      </c>
      <c r="F2013" t="inlineStr">
        <is>
          <t>Thanh Hóa</t>
        </is>
      </c>
      <c r="G2013" t="inlineStr">
        <is>
          <t>13-04-2026</t>
        </is>
      </c>
      <c r="H2013" t="inlineStr">
        <is>
          <t>13/04/2026</t>
        </is>
      </c>
      <c r="I2013" t="inlineStr">
        <is>
          <t>17/03/2026</t>
        </is>
      </c>
      <c r="J2013" t="inlineStr">
        <is>
          <t>Môi trường, Xây dựng, Bất động sản</t>
        </is>
      </c>
      <c r="K2013" t="inlineStr">
        <is>
          <t>3 - 5 Năm</t>
        </is>
      </c>
      <c r="L2013" s="8">
        <f>HYPERLINK("https://careerviet.vn/vi/tim-viec-lam/ky-su-trac-dac-cong-trinh-bqlda-thanh-hoa.35C6C8C2.html","Xem chi tiết")</f>
        <v/>
      </c>
    </row>
    <row r="2014">
      <c r="B2014" s="9" t="n">
        <v>2012</v>
      </c>
      <c r="C2014" s="10" t="inlineStr">
        <is>
          <t>CHUYÊN VIÊN XUẤT NHẬP KHẨU &amp; ĐIỀU PHỐI KHO VẬN</t>
        </is>
      </c>
      <c r="D2014" s="10" t="inlineStr">
        <is>
          <t>Bảo mật</t>
        </is>
      </c>
      <c r="E2014" s="10" t="inlineStr">
        <is>
          <t>Lương:15 Tr - 20 Tr VND</t>
        </is>
      </c>
      <c r="F2014" s="10" t="inlineStr">
        <is>
          <t>Hồ Chí Minh</t>
        </is>
      </c>
      <c r="G2014" s="10" t="inlineStr">
        <is>
          <t>31-05-2026</t>
        </is>
      </c>
      <c r="H2014" s="10" t="inlineStr">
        <is>
          <t>31/05/2026</t>
        </is>
      </c>
      <c r="I2014" s="10" t="inlineStr">
        <is>
          <t>17/03/2026</t>
        </is>
      </c>
      <c r="J2014" s="10" t="inlineStr">
        <is>
          <t>Xuất nhập khẩu, Vận chuyển / Giao nhận / Kho vận</t>
        </is>
      </c>
      <c r="K2014" s="10" t="inlineStr">
        <is>
          <t>1 - 5 Năm</t>
        </is>
      </c>
      <c r="L2014" s="11">
        <f>HYPERLINK("https://careerviet.vn/vi/tim-viec-lam/chuyen-vien-xuat-nhap-khau-dieu-phoi-kho-van.35C6C88B.html","Xem chi tiết")</f>
        <v/>
      </c>
      <c r="M2014" s="10" t="n"/>
    </row>
    <row r="2015">
      <c r="B2015" s="7" t="n">
        <v>2013</v>
      </c>
      <c r="C2015" t="inlineStr">
        <is>
          <t>Architect &amp; Civil Engineer (URGENT)</t>
        </is>
      </c>
      <c r="D2015" t="inlineStr">
        <is>
          <t>Claytons (Aust) Pty Ltd</t>
        </is>
      </c>
      <c r="E2015" t="inlineStr">
        <is>
          <t>Lương:15 Tr - 25 Tr VND</t>
        </is>
      </c>
      <c r="F2015" t="inlineStr">
        <is>
          <t>Hồ Chí Minh</t>
        </is>
      </c>
      <c r="G2015" t="inlineStr">
        <is>
          <t>13-04-2026</t>
        </is>
      </c>
      <c r="H2015" t="inlineStr">
        <is>
          <t>13/04/2026</t>
        </is>
      </c>
      <c r="I2015" t="inlineStr">
        <is>
          <t>17/03/2026</t>
        </is>
      </c>
      <c r="J2015" t="inlineStr">
        <is>
          <t>Kiến trúc, Xây dựng</t>
        </is>
      </c>
      <c r="K2015" t="inlineStr">
        <is>
          <t>2 - 3 Năm</t>
        </is>
      </c>
      <c r="L2015" s="8">
        <f>HYPERLINK("https://careerviet.vn/vi/tim-viec-lam/architect-civil-engineer-urgent.35C6C899.html","Xem chi tiết")</f>
        <v/>
      </c>
    </row>
    <row r="2016">
      <c r="B2016" s="9" t="n">
        <v>2014</v>
      </c>
      <c r="C2016" s="10" t="inlineStr">
        <is>
          <t>Kiểm Toán Viên - Cơ quan Kiểm Toán Nội Bộ</t>
        </is>
      </c>
      <c r="D2016" s="10" t="inlineStr">
        <is>
          <t>NGÂN HÀNG TRÁCH NHIỆM HỮU HẠN MỘT THÀNH VIÊN VIỆT NAM HIỆN ĐẠI</t>
        </is>
      </c>
      <c r="E2016" s="10" t="inlineStr">
        <is>
          <t>Lương:Cạnh tranh</t>
        </is>
      </c>
      <c r="F2016" s="10" t="inlineStr">
        <is>
          <t>Hà NộiHồ Chí Minh</t>
        </is>
      </c>
      <c r="G2016" s="10" t="inlineStr">
        <is>
          <t>13-04-2026</t>
        </is>
      </c>
      <c r="H2016" s="10" t="inlineStr">
        <is>
          <t>13/04/2026</t>
        </is>
      </c>
      <c r="I2016" s="10" t="inlineStr">
        <is>
          <t>17/03/2026</t>
        </is>
      </c>
      <c r="J2016" s="10" t="inlineStr">
        <is>
          <t>Kế toán / Kiểm toán, Ngân hàng, Tài chính / Đầu tư</t>
        </is>
      </c>
      <c r="K2016" s="10" t="inlineStr">
        <is>
          <t>Trên 3 Năm</t>
        </is>
      </c>
      <c r="L2016" s="11">
        <f>HYPERLINK("https://careerviet.vn/vi/tim-viec-lam/kiem-toan-vien-co-quan-kiem-toan-noi-bo.35C6C8E5.html","Xem chi tiết")</f>
        <v/>
      </c>
      <c r="M2016" s="10" t="n"/>
    </row>
    <row r="2017">
      <c r="B2017" s="7" t="n">
        <v>2015</v>
      </c>
      <c r="C2017" t="inlineStr">
        <is>
          <t>Nhân Viên Thiết Kế Công Trình Giao Thông/Dân Dụng</t>
        </is>
      </c>
      <c r="D2017" t="inlineStr">
        <is>
          <t>CÔNG TY TNHH TƯ VẤN XÂY DỰNG CHUẨN VIỆT</t>
        </is>
      </c>
      <c r="E2017" t="inlineStr">
        <is>
          <t>Lương:Cạnh tranh</t>
        </is>
      </c>
      <c r="F2017" t="inlineStr">
        <is>
          <t>Hồ Chí Minh</t>
        </is>
      </c>
      <c r="G2017" t="inlineStr">
        <is>
          <t>13-04-2026</t>
        </is>
      </c>
      <c r="H2017" t="inlineStr">
        <is>
          <t>13/04/2026</t>
        </is>
      </c>
      <c r="I2017" t="inlineStr">
        <is>
          <t>17/03/2026</t>
        </is>
      </c>
      <c r="J2017" t="inlineStr">
        <is>
          <t>Mỹ thuật / Nghệ thuật / Thiết kế, Xây dựng, Kiến trúc</t>
        </is>
      </c>
      <c r="K2017" t="inlineStr">
        <is>
          <t>Trên 3 Năm</t>
        </is>
      </c>
      <c r="L2017" s="8">
        <f>HYPERLINK("https://careerviet.vn/vi/tim-viec-lam/nhan-vien-thiet-ke-cong-trinh-giao-thong-dan-dung.35C6C883.html","Xem chi tiết")</f>
        <v/>
      </c>
    </row>
    <row r="2018">
      <c r="B2018" s="9" t="n">
        <v>2016</v>
      </c>
      <c r="C2018" s="10" t="inlineStr">
        <is>
          <t>Kế Toán Kho</t>
        </is>
      </c>
      <c r="D2018" s="10" t="inlineStr">
        <is>
          <t>Công Ty TNHH Thương Mại Thực Phẩm Câu Lạc Bộ</t>
        </is>
      </c>
      <c r="E2018" s="10" t="inlineStr">
        <is>
          <t>Lương:8 Tr - 10 Tr VND</t>
        </is>
      </c>
      <c r="F2018" s="10" t="inlineStr">
        <is>
          <t>Hồ Chí Minh</t>
        </is>
      </c>
      <c r="G2018" s="10" t="inlineStr">
        <is>
          <t>13-04-2026</t>
        </is>
      </c>
      <c r="H2018" s="10" t="inlineStr">
        <is>
          <t>13/04/2026</t>
        </is>
      </c>
      <c r="I2018" s="10" t="inlineStr">
        <is>
          <t>17/03/2026</t>
        </is>
      </c>
      <c r="J2018" s="10" t="inlineStr">
        <is>
          <t>Kế toán / Kiểm toán, Vận chuyển / Giao nhận / Kho vận, Tài chính / Đầu tư</t>
        </is>
      </c>
      <c r="K2018" s="10" t="inlineStr">
        <is>
          <t>N/A</t>
        </is>
      </c>
      <c r="L2018" s="11">
        <f>HYPERLINK("https://careerviet.vn/vi/tim-viec-lam/ke-toan-kho.35C6C89B.html","Xem chi tiết")</f>
        <v/>
      </c>
      <c r="M2018" s="10" t="n"/>
    </row>
    <row r="2019">
      <c r="B2019" s="7" t="n">
        <v>2017</v>
      </c>
      <c r="C2019" t="inlineStr">
        <is>
          <t>Nhân viên Mua hàng</t>
        </is>
      </c>
      <c r="D2019" t="inlineStr">
        <is>
          <t>Công ty Cổ phần công nghệ và đầu tư INTECH</t>
        </is>
      </c>
      <c r="E2019" t="inlineStr">
        <is>
          <t>Lương:12 Tr - 17 Tr VND</t>
        </is>
      </c>
      <c r="F2019" t="inlineStr">
        <is>
          <t>Hà Nội</t>
        </is>
      </c>
      <c r="G2019" t="inlineStr">
        <is>
          <t>15-04-2026</t>
        </is>
      </c>
      <c r="H2019" t="inlineStr">
        <is>
          <t>15/04/2026</t>
        </is>
      </c>
      <c r="I2019" t="inlineStr">
        <is>
          <t>17/03/2026</t>
        </is>
      </c>
      <c r="J2019" t="inlineStr">
        <is>
          <t>Thu mua / Vật tư</t>
        </is>
      </c>
      <c r="K2019" t="inlineStr">
        <is>
          <t>2 - 5 Năm</t>
        </is>
      </c>
      <c r="L2019" s="8">
        <f>HYPERLINK("https://careerviet.vn/vi/tim-viec-lam/nhan-vien-mua-hang.35C6C8B1.html","Xem chi tiết")</f>
        <v/>
      </c>
    </row>
    <row r="2020">
      <c r="B2020" s="9" t="n">
        <v>2018</v>
      </c>
      <c r="C2020" s="10" t="inlineStr">
        <is>
          <t>[Đà Lạt] Store Manager - Cửa hàng trưởng</t>
        </is>
      </c>
      <c r="D2020" s="10" t="inlineStr">
        <is>
          <t>Starbucks Vietnam</t>
        </is>
      </c>
      <c r="E2020" s="10" t="inlineStr">
        <is>
          <t>Lương:Cạnh tranh</t>
        </is>
      </c>
      <c r="F2020" s="10" t="inlineStr">
        <is>
          <t>Lâm Đồng</t>
        </is>
      </c>
      <c r="G2020" s="10" t="inlineStr">
        <is>
          <t>10-04-2026</t>
        </is>
      </c>
      <c r="H2020" s="10" t="inlineStr">
        <is>
          <t>10/04/2026</t>
        </is>
      </c>
      <c r="I2020" s="10" t="inlineStr">
        <is>
          <t>17/03/2026</t>
        </is>
      </c>
      <c r="J2020" s="10" t="inlineStr">
        <is>
          <t>Bán lẻ / Bán sỉ, Thực phẩm &amp; Đồ uống, Nhà hàng / Khách sạn</t>
        </is>
      </c>
      <c r="K2020" s="10" t="inlineStr">
        <is>
          <t>2 - 3 Năm</t>
        </is>
      </c>
      <c r="L2020" s="11">
        <f>HYPERLINK("https://careerviet.vn/vi/tim-viec-lam/da-lat-store-manager-cua-hang-truong.35C6C8A6.html","Xem chi tiết")</f>
        <v/>
      </c>
      <c r="M2020" s="10" t="n"/>
    </row>
    <row r="2021">
      <c r="B2021" s="7" t="n">
        <v>2019</v>
      </c>
      <c r="C2021" t="inlineStr">
        <is>
          <t>Quản lý sản xuất (bộ phận máy cắt) / Production manager</t>
        </is>
      </c>
      <c r="D2021" t="inlineStr">
        <is>
          <t>công ty TNHH JFK VINA</t>
        </is>
      </c>
      <c r="E2021" t="inlineStr">
        <is>
          <t>Lương:Cạnh tranh</t>
        </is>
      </c>
      <c r="F2021" t="inlineStr">
        <is>
          <t>Đồng Nai</t>
        </is>
      </c>
      <c r="G2021" t="inlineStr">
        <is>
          <t>13-04-2026</t>
        </is>
      </c>
      <c r="H2021" t="inlineStr">
        <is>
          <t>13/04/2026</t>
        </is>
      </c>
      <c r="I2021" t="inlineStr">
        <is>
          <t>17/03/2026</t>
        </is>
      </c>
      <c r="J2021" t="inlineStr">
        <is>
          <t>Sản xuất / Vận hành sản xuất, Cơ khí / Ô tô / Tự động hóa, Quản lý điều hành</t>
        </is>
      </c>
      <c r="K2021" t="inlineStr">
        <is>
          <t>Trên 1 Năm</t>
        </is>
      </c>
      <c r="L2021" s="8">
        <f>HYPERLINK("https://careerviet.vn/vi/tim-viec-lam/quan-ly-san-xuat-bo-phan-may-cat-production-manager.35C6C87B.html","Xem chi tiết")</f>
        <v/>
      </c>
    </row>
    <row r="2022">
      <c r="B2022" s="9" t="n">
        <v>2020</v>
      </c>
      <c r="C2022" s="10" t="inlineStr">
        <is>
          <t>Accounting Manager</t>
        </is>
      </c>
      <c r="D2022" s="10" t="inlineStr">
        <is>
          <t>CÔNG TY TNHH AUSSCO VIỆT NAM</t>
        </is>
      </c>
      <c r="E2022" s="10" t="inlineStr">
        <is>
          <t>Lương:Cạnh tranh</t>
        </is>
      </c>
      <c r="F2022" s="10" t="inlineStr">
        <is>
          <t>Bình Dương</t>
        </is>
      </c>
      <c r="G2022" s="10" t="inlineStr">
        <is>
          <t>15-04-2026</t>
        </is>
      </c>
      <c r="H2022" s="10" t="inlineStr">
        <is>
          <t>15/04/2026</t>
        </is>
      </c>
      <c r="I2022" s="10" t="inlineStr">
        <is>
          <t>17/03/2026</t>
        </is>
      </c>
      <c r="J2022" s="10" t="inlineStr">
        <is>
          <t>Sản xuất / Vận hành sản xuất, Kế toán / Kiểm toán, Dệt may / Da giày / Thời trang</t>
        </is>
      </c>
      <c r="K2022" s="10" t="inlineStr">
        <is>
          <t>3 - 5 Năm</t>
        </is>
      </c>
      <c r="L2022" s="11">
        <f>HYPERLINK("https://careerviet.vn/vi/tim-viec-lam/accounting-manager.35C6C8A1.html","Xem chi tiết")</f>
        <v/>
      </c>
      <c r="M2022" s="10" t="n"/>
    </row>
    <row r="2023">
      <c r="B2023" s="7" t="n">
        <v>2021</v>
      </c>
      <c r="C2023" t="inlineStr">
        <is>
          <t>Quản lý Dự án Thi công Nội thất</t>
        </is>
      </c>
      <c r="D2023" t="inlineStr">
        <is>
          <t>Công Ty Cổ Phần Decox</t>
        </is>
      </c>
      <c r="E2023" t="inlineStr">
        <is>
          <t>Lương:Cạnh tranh</t>
        </is>
      </c>
      <c r="F2023" t="inlineStr">
        <is>
          <t>Hồ Chí Minh</t>
        </is>
      </c>
      <c r="G2023" t="inlineStr">
        <is>
          <t>15-04-2026</t>
        </is>
      </c>
      <c r="H2023" t="inlineStr">
        <is>
          <t>15/04/2026</t>
        </is>
      </c>
      <c r="I2023" t="inlineStr">
        <is>
          <t>17/03/2026</t>
        </is>
      </c>
      <c r="J2023" t="inlineStr">
        <is>
          <t>Xây dựng</t>
        </is>
      </c>
      <c r="K2023" t="inlineStr">
        <is>
          <t>4 - 5 Năm</t>
        </is>
      </c>
      <c r="L2023" s="8">
        <f>HYPERLINK("https://careerviet.vn/vi/tim-viec-lam/quan-ly-du-an-thi-cong-noi-that.35C6C87E.html","Xem chi tiết")</f>
        <v/>
      </c>
    </row>
    <row r="2024">
      <c r="B2024" s="9" t="n">
        <v>2022</v>
      </c>
      <c r="C2024" s="10" t="inlineStr">
        <is>
          <t>Nhân viên kỹ thuật</t>
        </is>
      </c>
      <c r="D2024" s="10" t="inlineStr">
        <is>
          <t>Công ty CP Thiết Bị Hàng Hải</t>
        </is>
      </c>
      <c r="E2024" s="10" t="inlineStr">
        <is>
          <t>Lương:Cạnh tranh</t>
        </is>
      </c>
      <c r="F2024" s="10" t="inlineStr">
        <is>
          <t>Hồ Chí Minh</t>
        </is>
      </c>
      <c r="G2024" s="10" t="inlineStr">
        <is>
          <t>30-04-2026</t>
        </is>
      </c>
      <c r="H2024" s="10" t="inlineStr">
        <is>
          <t>30/04/2026</t>
        </is>
      </c>
      <c r="I2024" s="10" t="inlineStr">
        <is>
          <t>17/03/2026</t>
        </is>
      </c>
      <c r="J2024" s="10" t="inlineStr">
        <is>
          <t>Điện / Điện tử / Điện lạnh / Điện công nghiệp</t>
        </is>
      </c>
      <c r="K2024" s="10" t="inlineStr">
        <is>
          <t>Lên đến 1 Năm</t>
        </is>
      </c>
      <c r="L2024" s="11">
        <f>HYPERLINK("https://careerviet.vn/vi/tim-viec-lam/nhan-vien-ky-thuat.35C6C8AA.html","Xem chi tiết")</f>
        <v/>
      </c>
      <c r="M2024" s="10" t="n"/>
    </row>
    <row r="2025">
      <c r="B2025" s="7" t="n">
        <v>2023</v>
      </c>
      <c r="C2025" t="inlineStr">
        <is>
          <t>Chuyên Viên Thu Mua Quốc Tế &amp; Phát Triển Kinh Doanh (Tiếng Hàn)</t>
        </is>
      </c>
      <c r="D2025" t="inlineStr">
        <is>
          <t>CÔNG TY TNHH MTV THƯƠNG MẠI DỊCH VỤ BLUE OCEAN- THẾ GIỚI SKINFOOD</t>
        </is>
      </c>
      <c r="E2025" t="inlineStr">
        <is>
          <t>Lương:20 Tr - 25 Tr VND</t>
        </is>
      </c>
      <c r="F2025" t="inlineStr">
        <is>
          <t>Hồ Chí Minh</t>
        </is>
      </c>
      <c r="G2025" t="inlineStr">
        <is>
          <t>14-04-2026</t>
        </is>
      </c>
      <c r="H2025" t="inlineStr">
        <is>
          <t>14/04/2026</t>
        </is>
      </c>
      <c r="I2025" t="inlineStr">
        <is>
          <t>17/03/2026</t>
        </is>
      </c>
      <c r="J2025" t="inlineStr">
        <is>
          <t>Thu mua / Vật tư, Bán hàng / Kinh doanh</t>
        </is>
      </c>
      <c r="K2025" t="inlineStr">
        <is>
          <t>2 - 3 Năm</t>
        </is>
      </c>
      <c r="L2025" s="8">
        <f>HYPERLINK("https://careerviet.vn/vi/tim-viec-lam/chuyen-vien-thu-mua-quoc-te-phat-trien-kinh-doanh-tieng-han.35C6C872.html","Xem chi tiết")</f>
        <v/>
      </c>
    </row>
    <row r="2026">
      <c r="B2026" s="9" t="n">
        <v>2024</v>
      </c>
      <c r="C2026" s="10" t="inlineStr">
        <is>
          <t>Phó Giám đốc Chi nhánh phụ trách SME [Khu Vực Hà Nội]</t>
        </is>
      </c>
      <c r="D2026" s="10" t="inlineStr">
        <is>
          <t>ABBANK - Ngân Hàng TMCP An Bình</t>
        </is>
      </c>
      <c r="E2026" s="10" t="inlineStr">
        <is>
          <t>Lương:40 Tr - 55 Tr VND</t>
        </is>
      </c>
      <c r="F2026" s="10" t="inlineStr">
        <is>
          <t>Hà Nội</t>
        </is>
      </c>
      <c r="G2026" s="10" t="inlineStr">
        <is>
          <t>13-04-2026</t>
        </is>
      </c>
      <c r="H2026" s="10" t="inlineStr">
        <is>
          <t>13/04/2026</t>
        </is>
      </c>
      <c r="I2026" s="10" t="inlineStr">
        <is>
          <t>17/03/2026</t>
        </is>
      </c>
      <c r="J2026" s="10" t="inlineStr">
        <is>
          <t>Tài chính / Đầu tư, Ngân hàng</t>
        </is>
      </c>
      <c r="K2026" s="10" t="inlineStr">
        <is>
          <t>5 - 8 Năm</t>
        </is>
      </c>
      <c r="L2026" s="11">
        <f>HYPERLINK("https://careerviet.vn/vi/tim-viec-lam/pho-giam-doc-chi-nhanh-phu-trach-sme-khu-vuc-ha-noi.35C6C867.html","Xem chi tiết")</f>
        <v/>
      </c>
      <c r="M2026" s="10" t="n"/>
    </row>
    <row r="2027">
      <c r="B2027" s="7" t="n">
        <v>2025</v>
      </c>
      <c r="C2027" t="inlineStr">
        <is>
          <t>Kế toán tổng hợp</t>
        </is>
      </c>
      <c r="D2027" t="inlineStr">
        <is>
          <t>ONE GROUP</t>
        </is>
      </c>
      <c r="E2027" t="inlineStr">
        <is>
          <t>Lương:15 Tr - 20 Tr VND</t>
        </is>
      </c>
      <c r="F2027" t="inlineStr">
        <is>
          <t>Hồ Chí Minh</t>
        </is>
      </c>
      <c r="G2027" t="inlineStr">
        <is>
          <t>11-04-2026</t>
        </is>
      </c>
      <c r="H2027" t="inlineStr">
        <is>
          <t>11/04/2026</t>
        </is>
      </c>
      <c r="I2027" t="inlineStr">
        <is>
          <t>17/03/2026</t>
        </is>
      </c>
      <c r="J2027" t="inlineStr">
        <is>
          <t>Kế toán / Kiểm toán, Tài chính / Đầu tư, Bán hàng / Kinh doanh</t>
        </is>
      </c>
      <c r="K2027" t="inlineStr">
        <is>
          <t>2 - 10 Năm</t>
        </is>
      </c>
      <c r="L2027" s="8">
        <f>HYPERLINK("https://careerviet.vn/vi/tim-viec-lam/ke-toan-tong-hop.35C6C8AC.html","Xem chi tiết")</f>
        <v/>
      </c>
    </row>
    <row r="2028">
      <c r="B2028" s="9" t="n">
        <v>2026</v>
      </c>
      <c r="C2028" s="10" t="inlineStr">
        <is>
          <t>Garment Merchandiser (Apparel Industry | 1–8 Years' Experience)</t>
        </is>
      </c>
      <c r="D2028" s="10" t="inlineStr">
        <is>
          <t>Global Hansoll Co., Ltd</t>
        </is>
      </c>
      <c r="E2028" s="10" t="inlineStr">
        <is>
          <t>Lương:Cạnh tranh</t>
        </is>
      </c>
      <c r="F2028" s="10" t="inlineStr">
        <is>
          <t>Hồ Chí Minh</t>
        </is>
      </c>
      <c r="G2028" s="10" t="inlineStr">
        <is>
          <t>12-04-2026</t>
        </is>
      </c>
      <c r="H2028" s="10" t="inlineStr">
        <is>
          <t>12/04/2026</t>
        </is>
      </c>
      <c r="I2028" s="10" t="inlineStr">
        <is>
          <t>17/03/2026</t>
        </is>
      </c>
      <c r="J2028" s="10" t="inlineStr">
        <is>
          <t>Mỹ thuật / Nghệ thuật / Thiết kế, Sản xuất / Vận hành sản xuất, Dệt may / Da giày / Thời trang</t>
        </is>
      </c>
      <c r="K2028" s="10" t="inlineStr">
        <is>
          <t>1 - 8 Năm</t>
        </is>
      </c>
      <c r="L2028" s="11">
        <f>HYPERLINK("https://careerviet.vn/vi/tim-viec-lam/garment-merchandiser-apparel-industry-1-8-years-experience.35C6C864.html","Xem chi tiết")</f>
        <v/>
      </c>
      <c r="M2028" s="10" t="n"/>
    </row>
    <row r="2029">
      <c r="B2029" s="7" t="n">
        <v>2027</v>
      </c>
      <c r="C2029" t="inlineStr">
        <is>
          <t>KỸ SƯ ĐIỆN LƯỚI ĐIỆN TRUYỀN TẢI/ĐƯỜNG DÂY</t>
        </is>
      </c>
      <c r="D2029" t="inlineStr">
        <is>
          <t>Công ty cổ phần Tập đoàn Tài Tâm (Tài Tâm Group)</t>
        </is>
      </c>
      <c r="E2029" t="inlineStr">
        <is>
          <t>Lương:25 Tr - 35 Tr VND</t>
        </is>
      </c>
      <c r="F2029" t="inlineStr">
        <is>
          <t>Hà Nội</t>
        </is>
      </c>
      <c r="G2029" t="inlineStr">
        <is>
          <t>15-04-2026</t>
        </is>
      </c>
      <c r="H2029" t="inlineStr">
        <is>
          <t>15/04/2026</t>
        </is>
      </c>
      <c r="I2029" t="inlineStr">
        <is>
          <t>17/03/2026</t>
        </is>
      </c>
      <c r="J2029" t="inlineStr">
        <is>
          <t>Điện / Điện tử / Điện lạnh / Điện công nghiệp, Xây dựng, Bất động sản</t>
        </is>
      </c>
      <c r="K2029" t="inlineStr">
        <is>
          <t>5 - 7 Năm</t>
        </is>
      </c>
      <c r="L2029" s="8">
        <f>HYPERLINK("https://careerviet.vn/vi/tim-viec-lam/ky-su-dien-luoi-dien-truyen-tai-duong-day.35C6C893.html","Xem chi tiết")</f>
        <v/>
      </c>
    </row>
    <row r="2030">
      <c r="B2030" s="9" t="n">
        <v>2028</v>
      </c>
      <c r="C2030" s="10" t="inlineStr">
        <is>
          <t>Chuyên viên Kinh doanh liên ngân hàng</t>
        </is>
      </c>
      <c r="D2030" s="10" t="inlineStr">
        <is>
          <t>Ngân Hàng Thương Mại Cổ Phần Nam Á (Nam A Bank)</t>
        </is>
      </c>
      <c r="E2030" s="10" t="inlineStr">
        <is>
          <t>Lương:Cạnh tranh</t>
        </is>
      </c>
      <c r="F2030" s="10" t="inlineStr">
        <is>
          <t>Hồ Chí Minh</t>
        </is>
      </c>
      <c r="G2030" s="10" t="inlineStr">
        <is>
          <t>30-04-2026</t>
        </is>
      </c>
      <c r="H2030" s="10" t="inlineStr">
        <is>
          <t>30/04/2026</t>
        </is>
      </c>
      <c r="I2030" s="10" t="inlineStr">
        <is>
          <t>17/03/2026</t>
        </is>
      </c>
      <c r="J2030" s="10" t="inlineStr">
        <is>
          <t>Bán hàng / Kinh doanh, Ngân hàng</t>
        </is>
      </c>
      <c r="K2030" s="10" t="inlineStr">
        <is>
          <t>1 - 3 Năm</t>
        </is>
      </c>
      <c r="L2030" s="11">
        <f>HYPERLINK("https://careerviet.vn/vi/tim-viec-lam/chuyen-vien-kinh-doanh-lien-ngan-hang.35C6C8C0.html","Xem chi tiết")</f>
        <v/>
      </c>
      <c r="M2030" s="10" t="n"/>
    </row>
    <row r="2031">
      <c r="B2031" s="7" t="n">
        <v>2029</v>
      </c>
      <c r="C2031" t="inlineStr">
        <is>
          <t>Nhân Viên Sale Admin</t>
        </is>
      </c>
      <c r="D2031" t="inlineStr">
        <is>
          <t>Công ty TNHH Thương mại NTB Pharma New</t>
        </is>
      </c>
      <c r="E2031" t="inlineStr">
        <is>
          <t>Lương:12 Tr - 15 Tr VND</t>
        </is>
      </c>
      <c r="F2031" t="inlineStr">
        <is>
          <t>Hà Nội</t>
        </is>
      </c>
      <c r="G2031" t="inlineStr">
        <is>
          <t>13-04-2026</t>
        </is>
      </c>
      <c r="H2031" t="inlineStr">
        <is>
          <t>13/04/2026</t>
        </is>
      </c>
      <c r="I2031" t="inlineStr">
        <is>
          <t>17/03/2026</t>
        </is>
      </c>
      <c r="J2031" t="inlineStr">
        <is>
          <t>Bán hàng / Kinh doanh, Hành chính / Thư ký</t>
        </is>
      </c>
      <c r="K2031" t="inlineStr">
        <is>
          <t>Trên 1 Năm</t>
        </is>
      </c>
      <c r="L2031" s="8">
        <f>HYPERLINK("https://careerviet.vn/vi/tim-viec-lam/nhan-vien-sale-admin.35C6C7AB.html","Xem chi tiết")</f>
        <v/>
      </c>
    </row>
    <row r="2032">
      <c r="B2032" s="9" t="n">
        <v>2030</v>
      </c>
      <c r="C2032" s="10" t="inlineStr">
        <is>
          <t>Engineering Supervisor</t>
        </is>
      </c>
      <c r="D2032" s="10" t="inlineStr">
        <is>
          <t>Công Ty TNHH AM Industries Việt Nam</t>
        </is>
      </c>
      <c r="E2032" s="10" t="inlineStr">
        <is>
          <t>Lương:Cạnh tranh</t>
        </is>
      </c>
      <c r="F2032" s="10" t="inlineStr">
        <is>
          <t>Đồng Nai</t>
        </is>
      </c>
      <c r="G2032" s="10" t="inlineStr">
        <is>
          <t>31-03-2026</t>
        </is>
      </c>
      <c r="H2032" s="10" t="inlineStr">
        <is>
          <t>31/03/2026</t>
        </is>
      </c>
      <c r="I2032" s="10" t="inlineStr">
        <is>
          <t>17/03/2026</t>
        </is>
      </c>
      <c r="J2032" s="10" t="inlineStr">
        <is>
          <t>Cơ khí / Ô tô / Tự động hóa, Xây dựng, Sản xuất / Vận hành sản xuất</t>
        </is>
      </c>
      <c r="K2032" s="10" t="inlineStr">
        <is>
          <t>Trên 3 Năm</t>
        </is>
      </c>
      <c r="L2032" s="11">
        <f>HYPERLINK("https://careerviet.vn/vi/tim-viec-lam/engineering-supervisor.35C6C4D9.html","Xem chi tiết")</f>
        <v/>
      </c>
      <c r="M2032" s="10" t="n"/>
    </row>
    <row r="2033">
      <c r="B2033" s="7" t="n">
        <v>2031</v>
      </c>
      <c r="C2033" t="inlineStr">
        <is>
          <t>CHUYÊN VIÊN PHÁT TRIỂN HỆ THỐNG PHÂN PHỐI (MIỀN BẮC)</t>
        </is>
      </c>
      <c r="D2033" t="inlineStr">
        <is>
          <t>Công ty Cổ Phần Thực Phẩm Dinh Dưỡng NutiFood</t>
        </is>
      </c>
      <c r="E2033" t="inlineStr">
        <is>
          <t>Lương:Cạnh tranh</t>
        </is>
      </c>
      <c r="F2033" t="inlineStr">
        <is>
          <t>Hà Nội</t>
        </is>
      </c>
      <c r="G2033" t="inlineStr">
        <is>
          <t>15-04-2026</t>
        </is>
      </c>
      <c r="H2033" t="inlineStr">
        <is>
          <t>15/04/2026</t>
        </is>
      </c>
      <c r="I2033" t="inlineStr">
        <is>
          <t>17/03/2026</t>
        </is>
      </c>
      <c r="J2033" t="inlineStr">
        <is>
          <t>Bán hàng / Kinh doanh, Thực phẩm &amp; Đồ uống, Giáo dục / Đào tạo</t>
        </is>
      </c>
      <c r="K2033" t="inlineStr">
        <is>
          <t>1 - 3 Năm</t>
        </is>
      </c>
      <c r="L2033" s="8">
        <f>HYPERLINK("https://careerviet.vn/vi/tim-viec-lam/chuyen-vien-phat-trien-he-thong-phan-phoi-mien-bac.35C6C8A0.html","Xem chi tiết")</f>
        <v/>
      </c>
    </row>
    <row r="2034">
      <c r="B2034" s="9" t="n">
        <v>2032</v>
      </c>
      <c r="C2034" s="10" t="inlineStr">
        <is>
          <t>CLO 3D Designer / Nhân Viên Thiết Kế 3D CLO (0–3 Năm Kinh Nghiệm)</t>
        </is>
      </c>
      <c r="D2034" s="10" t="inlineStr">
        <is>
          <t>Global Hansoll Co., Ltd</t>
        </is>
      </c>
      <c r="E2034" s="10" t="inlineStr">
        <is>
          <t>Lương:Cạnh tranh</t>
        </is>
      </c>
      <c r="F2034" s="10" t="inlineStr">
        <is>
          <t>Hồ Chí Minh</t>
        </is>
      </c>
      <c r="G2034" s="10" t="inlineStr">
        <is>
          <t>12-04-2026</t>
        </is>
      </c>
      <c r="H2034" s="10" t="inlineStr">
        <is>
          <t>12/04/2026</t>
        </is>
      </c>
      <c r="I2034" s="10" t="inlineStr">
        <is>
          <t>17/03/2026</t>
        </is>
      </c>
      <c r="J2034" s="10" t="inlineStr">
        <is>
          <t>Mỹ thuật / Nghệ thuật / Thiết kế, Sản xuất / Vận hành sản xuất, Dệt may / Da giày / Thời trang</t>
        </is>
      </c>
      <c r="K2034" s="10" t="inlineStr">
        <is>
          <t>N/A</t>
        </is>
      </c>
      <c r="L2034" s="11">
        <f>HYPERLINK("https://careerviet.vn/vi/tim-viec-lam/clo-3d-designer-nhan-vien-thiet-ke-3d-clo-0-3-nam-kinh-nghiem.35C6C862.html","Xem chi tiết")</f>
        <v/>
      </c>
      <c r="M2034" s="10" t="n"/>
    </row>
    <row r="2035">
      <c r="B2035" s="7" t="n">
        <v>2033</v>
      </c>
      <c r="C2035" t="inlineStr">
        <is>
          <t>Chỉ Huy Trưởng Và Giám Sát Công Trình</t>
        </is>
      </c>
      <c r="D2035" t="inlineStr">
        <is>
          <t>Công Ty Cổ Phần Decox</t>
        </is>
      </c>
      <c r="E2035" t="inlineStr">
        <is>
          <t>Lương:15 Tr - 20 Tr VND</t>
        </is>
      </c>
      <c r="F2035" t="inlineStr">
        <is>
          <t>Hồ Chí Minh</t>
        </is>
      </c>
      <c r="G2035" t="inlineStr">
        <is>
          <t>30-04-2026</t>
        </is>
      </c>
      <c r="H2035" t="inlineStr">
        <is>
          <t>30/04/2026</t>
        </is>
      </c>
      <c r="I2035" t="inlineStr">
        <is>
          <t>17/03/2026</t>
        </is>
      </c>
      <c r="J2035" t="inlineStr">
        <is>
          <t>Xây dựng, Nội ngoại thất</t>
        </is>
      </c>
      <c r="K2035" t="inlineStr">
        <is>
          <t>3 - 5 Năm</t>
        </is>
      </c>
      <c r="L2035" s="8">
        <f>HYPERLINK("https://careerviet.vn/vi/tim-viec-lam/chi-huy-truong-va-giam-sat-cong-trinh.35C6C858.html","Xem chi tiết")</f>
        <v/>
      </c>
    </row>
    <row r="2036">
      <c r="B2036" s="9" t="n">
        <v>2034</v>
      </c>
      <c r="C2036" s="10" t="inlineStr">
        <is>
          <t>KẾ TOÁN TỔNG HỢP</t>
        </is>
      </c>
      <c r="D2036" s="10" t="inlineStr">
        <is>
          <t>CÔNG TY CỔ PHẦN BEYOND COMMUNICATION</t>
        </is>
      </c>
      <c r="E2036" s="10" t="inlineStr">
        <is>
          <t>Lương:Cạnh tranh</t>
        </is>
      </c>
      <c r="F2036" s="10" t="inlineStr">
        <is>
          <t>Hồ Chí Minh</t>
        </is>
      </c>
      <c r="G2036" s="10" t="inlineStr">
        <is>
          <t>11-04-2026</t>
        </is>
      </c>
      <c r="H2036" s="10" t="inlineStr">
        <is>
          <t>11/04/2026</t>
        </is>
      </c>
      <c r="I2036" s="10" t="inlineStr">
        <is>
          <t>17/03/2026</t>
        </is>
      </c>
      <c r="J2036" s="10" t="inlineStr">
        <is>
          <t>Kế toán / Kiểm toán, Tổ chức sự kiện, Quảng cáo / Đối ngoại / Truyền Thông</t>
        </is>
      </c>
      <c r="K2036" s="10" t="inlineStr">
        <is>
          <t>Trên 2 Năm</t>
        </is>
      </c>
      <c r="L2036" s="11">
        <f>HYPERLINK("https://careerviet.vn/vi/tim-viec-lam/ke-toan-tong-hop.35C6C852.html","Xem chi tiết")</f>
        <v/>
      </c>
      <c r="M2036" s="10" t="n"/>
    </row>
    <row r="2037">
      <c r="B2037" s="7" t="n">
        <v>2035</v>
      </c>
      <c r="C2037" t="inlineStr">
        <is>
          <t>Kế Toán Tổng Hợp</t>
        </is>
      </c>
      <c r="D2037" t="inlineStr">
        <is>
          <t>Công ty TNHH Thương mại NTB Pharma New</t>
        </is>
      </c>
      <c r="E2037" t="inlineStr">
        <is>
          <t>Lương:18 Tr - 22 Tr VND</t>
        </is>
      </c>
      <c r="F2037" t="inlineStr">
        <is>
          <t>Hà Nội</t>
        </is>
      </c>
      <c r="G2037" t="inlineStr">
        <is>
          <t>13-04-2026</t>
        </is>
      </c>
      <c r="H2037" t="inlineStr">
        <is>
          <t>13/04/2026</t>
        </is>
      </c>
      <c r="I2037" t="inlineStr">
        <is>
          <t>17/03/2026</t>
        </is>
      </c>
      <c r="J2037" t="inlineStr">
        <is>
          <t>Kế toán / Kiểm toán, Tài chính / Đầu tư, Hành chính / Thư ký</t>
        </is>
      </c>
      <c r="K2037" t="inlineStr">
        <is>
          <t>Trên 2 Năm</t>
        </is>
      </c>
      <c r="L2037" s="8">
        <f>HYPERLINK("https://careerviet.vn/vi/tim-viec-lam/ke-toan-tong-hop.35C6C7BC.html","Xem chi tiết")</f>
        <v/>
      </c>
    </row>
    <row r="2038">
      <c r="B2038" s="9" t="n">
        <v>2036</v>
      </c>
      <c r="C2038" s="10" t="inlineStr">
        <is>
          <t>Chief Accountant</t>
        </is>
      </c>
      <c r="D2038" s="10" t="inlineStr">
        <is>
          <t>CÔNG TY TNHH DENZAI VIỆT NAM</t>
        </is>
      </c>
      <c r="E2038" s="10" t="inlineStr">
        <is>
          <t>Lương:24 Tr - 30 Tr VND</t>
        </is>
      </c>
      <c r="F2038" s="10" t="inlineStr">
        <is>
          <t>Hồ Chí Minh</t>
        </is>
      </c>
      <c r="G2038" s="10" t="inlineStr">
        <is>
          <t>31-03-2026</t>
        </is>
      </c>
      <c r="H2038" s="10" t="inlineStr">
        <is>
          <t>31/03/2026</t>
        </is>
      </c>
      <c r="I2038" s="10" t="inlineStr">
        <is>
          <t>17/03/2026</t>
        </is>
      </c>
      <c r="J2038" s="10" t="inlineStr">
        <is>
          <t>Kế toán / Kiểm toán</t>
        </is>
      </c>
      <c r="K2038" s="10" t="inlineStr">
        <is>
          <t>8 - 15 Năm</t>
        </is>
      </c>
      <c r="L2038" s="11">
        <f>HYPERLINK("https://careerviet.vn/vi/tim-viec-lam/chief-accountant.35C6C793.html","Xem chi tiết")</f>
        <v/>
      </c>
      <c r="M2038" s="10" t="n"/>
    </row>
    <row r="2039">
      <c r="B2039" s="7" t="n">
        <v>2037</v>
      </c>
      <c r="C2039" t="inlineStr">
        <is>
          <t>HR Data Analyst</t>
        </is>
      </c>
      <c r="D2039" t="inlineStr">
        <is>
          <t>Công ty CP Giáo dục Quốc tế Việt Úc</t>
        </is>
      </c>
      <c r="E2039" t="inlineStr">
        <is>
          <t>Lương:Cạnh tranh</t>
        </is>
      </c>
      <c r="F2039" t="inlineStr">
        <is>
          <t>Hồ Chí Minh</t>
        </is>
      </c>
      <c r="G2039" t="inlineStr">
        <is>
          <t>13-03-2026</t>
        </is>
      </c>
      <c r="H2039" t="inlineStr">
        <is>
          <t>13/03/2026</t>
        </is>
      </c>
      <c r="I2039" t="inlineStr">
        <is>
          <t>17/03/2026</t>
        </is>
      </c>
      <c r="J2039" t="inlineStr">
        <is>
          <t>Nhân sự, Giáo dục / Đào tạo</t>
        </is>
      </c>
      <c r="K2039" t="inlineStr">
        <is>
          <t>2 - 5 Năm</t>
        </is>
      </c>
      <c r="L2039" s="8">
        <f>HYPERLINK("https://careerviet.vn/vi/tim-viec-lam/hr-data-analyst.35C6C863.html","Xem chi tiết")</f>
        <v/>
      </c>
    </row>
    <row r="2040">
      <c r="B2040" s="9" t="n">
        <v>2038</v>
      </c>
      <c r="C2040" s="10" t="inlineStr">
        <is>
          <t>Nhân Viên Đóng Gói TP HCM</t>
        </is>
      </c>
      <c r="D2040" s="10" t="inlineStr">
        <is>
          <t>CÔNG TY CỔ PHẦN ACHAN</t>
        </is>
      </c>
      <c r="E2040" s="10" t="inlineStr">
        <is>
          <t>Lương:Trên 8 Tr VND</t>
        </is>
      </c>
      <c r="F2040" s="10" t="inlineStr">
        <is>
          <t>Hồ Chí Minh</t>
        </is>
      </c>
      <c r="G2040" s="10" t="inlineStr">
        <is>
          <t>13-04-2026</t>
        </is>
      </c>
      <c r="H2040" s="10" t="inlineStr">
        <is>
          <t>13/04/2026</t>
        </is>
      </c>
      <c r="I2040" s="10" t="inlineStr">
        <is>
          <t>17/03/2026</t>
        </is>
      </c>
      <c r="J2040" s="10" t="inlineStr">
        <is>
          <t>Vận chuyển / Giao nhận / Kho vận, Lao động phổ thông, Ngành khác</t>
        </is>
      </c>
      <c r="K2040" s="10" t="inlineStr">
        <is>
          <t>N/A</t>
        </is>
      </c>
      <c r="L2040" s="11">
        <f>HYPERLINK("https://careerviet.vn/vi/tim-viec-lam/nhan-vien-dong-goi-tp-hcm.35C6C770.html","Xem chi tiết")</f>
        <v/>
      </c>
      <c r="M2040" s="10" t="n"/>
    </row>
    <row r="2041">
      <c r="B2041" s="7" t="n">
        <v>2039</v>
      </c>
      <c r="C2041" t="inlineStr">
        <is>
          <t>Quản Lý Sản Xuất - Xưởng SX nội thất Inox</t>
        </is>
      </c>
      <c r="D2041" t="inlineStr">
        <is>
          <t>Công ty TNHH SX-TM-DV Qui Phúc</t>
        </is>
      </c>
      <c r="E2041" t="inlineStr">
        <is>
          <t>Lương:18 Tr - 25 Tr VND</t>
        </is>
      </c>
      <c r="F2041" t="inlineStr">
        <is>
          <t>Hồ Chí Minh</t>
        </is>
      </c>
      <c r="G2041" t="inlineStr">
        <is>
          <t>26-03-2026</t>
        </is>
      </c>
      <c r="H2041" t="inlineStr">
        <is>
          <t>26/03/2026</t>
        </is>
      </c>
      <c r="I2041" t="inlineStr">
        <is>
          <t>17/03/2026</t>
        </is>
      </c>
      <c r="J2041" t="inlineStr">
        <is>
          <t>Cơ khí / Ô tô / Tự động hóa, Sản xuất / Vận hành sản xuất, Nội ngoại thất</t>
        </is>
      </c>
      <c r="K2041" t="inlineStr">
        <is>
          <t>3 - 4 Năm</t>
        </is>
      </c>
      <c r="L2041" s="8">
        <f>HYPERLINK("https://careerviet.vn/vi/tim-viec-lam/quan-ly-san-xuat-xuong-sx-noi-that-inox.35C69672.html","Xem chi tiết")</f>
        <v/>
      </c>
    </row>
    <row r="2042">
      <c r="B2042" s="9" t="n">
        <v>2040</v>
      </c>
      <c r="C2042" s="10" t="inlineStr">
        <is>
          <t>Chuyên Viên Quản Lý Hệ Thống Phần Mềm</t>
        </is>
      </c>
      <c r="D2042" s="10" t="inlineStr">
        <is>
          <t>Công Ty Cổ Phần Xây Dựng CDC</t>
        </is>
      </c>
      <c r="E2042" s="10" t="inlineStr">
        <is>
          <t>Lương:Cạnh tranh</t>
        </is>
      </c>
      <c r="F2042" s="10" t="inlineStr">
        <is>
          <t>Hà Nội</t>
        </is>
      </c>
      <c r="G2042" s="10" t="inlineStr">
        <is>
          <t>10-04-2026</t>
        </is>
      </c>
      <c r="H2042" s="10" t="inlineStr">
        <is>
          <t>10/04/2026</t>
        </is>
      </c>
      <c r="I2042" s="10" t="inlineStr">
        <is>
          <t>17/03/2026</t>
        </is>
      </c>
      <c r="J2042" s="10" t="inlineStr">
        <is>
          <t>CNTT - Phần mềm</t>
        </is>
      </c>
      <c r="K2042" s="10" t="inlineStr">
        <is>
          <t>2 - 5 Năm</t>
        </is>
      </c>
      <c r="L2042" s="11">
        <f>HYPERLINK("https://careerviet.vn/vi/tim-viec-lam/chuyen-vien-quan-ly-he-thong-phan-mem.35C6C108.html","Xem chi tiết")</f>
        <v/>
      </c>
      <c r="M2042" s="10" t="n"/>
    </row>
    <row r="2043">
      <c r="B2043" s="7" t="n">
        <v>2041</v>
      </c>
      <c r="C2043" t="inlineStr">
        <is>
          <t>Tổ Trưởng Line Sản Xuất - Vsip 2 Binh Duong</t>
        </is>
      </c>
      <c r="D2043" t="inlineStr">
        <is>
          <t>HOYA LENS VIETNAM LTD</t>
        </is>
      </c>
      <c r="E2043" t="inlineStr">
        <is>
          <t>Lương:Cạnh tranh</t>
        </is>
      </c>
      <c r="F2043" t="inlineStr">
        <is>
          <t>Bình Dương</t>
        </is>
      </c>
      <c r="G2043" t="inlineStr">
        <is>
          <t>11-04-2026</t>
        </is>
      </c>
      <c r="H2043" t="inlineStr">
        <is>
          <t>11/04/2026</t>
        </is>
      </c>
      <c r="I2043" t="inlineStr">
        <is>
          <t>17/03/2026</t>
        </is>
      </c>
      <c r="J2043" t="inlineStr">
        <is>
          <t>Cơ khí / Ô tô / Tự động hóa, Sản xuất / Vận hành sản xuất, Hóa học</t>
        </is>
      </c>
      <c r="K2043" t="inlineStr">
        <is>
          <t>N/A</t>
        </is>
      </c>
      <c r="L2043" s="8">
        <f>HYPERLINK("https://careerviet.vn/vi/tim-viec-lam/to-truong-line-san-xuat-vsip-2-binh-duong.35C6C822.html","Xem chi tiết")</f>
        <v/>
      </c>
    </row>
    <row r="2044">
      <c r="B2044" s="9" t="n">
        <v>2042</v>
      </c>
      <c r="C2044" s="10" t="inlineStr">
        <is>
          <t>Nhân Viên Kế Toán Kho</t>
        </is>
      </c>
      <c r="D2044" s="10" t="inlineStr">
        <is>
          <t>CÔNG TY TNHH TRÁI CÂY LẠ THỊNH AN</t>
        </is>
      </c>
      <c r="E2044" s="10" t="inlineStr">
        <is>
          <t>Lương:9 Tr - 11 Tr VND</t>
        </is>
      </c>
      <c r="F2044" s="10" t="inlineStr">
        <is>
          <t>Hồ Chí Minh</t>
        </is>
      </c>
      <c r="G2044" s="10" t="inlineStr">
        <is>
          <t>13-04-2026</t>
        </is>
      </c>
      <c r="H2044" s="10" t="inlineStr">
        <is>
          <t>13/04/2026</t>
        </is>
      </c>
      <c r="I2044" s="10" t="inlineStr">
        <is>
          <t>17/03/2026</t>
        </is>
      </c>
      <c r="J2044" s="10" t="inlineStr">
        <is>
          <t>Vận chuyển / Giao nhận / Kho vận, Kế toán / Kiểm toán, Xuất nhập khẩu</t>
        </is>
      </c>
      <c r="K2044" s="10" t="inlineStr">
        <is>
          <t>1 - 2 Năm</t>
        </is>
      </c>
      <c r="L2044" s="11">
        <f>HYPERLINK("https://careerviet.vn/vi/tim-viec-lam/nhan-vien-ke-toan-kho.35C6C847.html","Xem chi tiết")</f>
        <v/>
      </c>
      <c r="M2044" s="10" t="n"/>
    </row>
    <row r="2045">
      <c r="B2045" s="7" t="n">
        <v>2043</v>
      </c>
      <c r="C2045" t="inlineStr">
        <is>
          <t>VẬN HÀNH SÀN TMDT - TIẾNG TRUNG</t>
        </is>
      </c>
      <c r="D2045" t="inlineStr">
        <is>
          <t>CÔNG TY TNHH SNOW KING GLOBAL</t>
        </is>
      </c>
      <c r="E2045" t="inlineStr">
        <is>
          <t>Lương:12 Tr - 15 Tr VND</t>
        </is>
      </c>
      <c r="F2045" t="inlineStr">
        <is>
          <t>Hà Nội</t>
        </is>
      </c>
      <c r="G2045" t="inlineStr">
        <is>
          <t>12-04-2026</t>
        </is>
      </c>
      <c r="H2045" t="inlineStr">
        <is>
          <t>12/04/2026</t>
        </is>
      </c>
      <c r="I2045" t="inlineStr">
        <is>
          <t>17/03/2026</t>
        </is>
      </c>
      <c r="J2045" t="inlineStr">
        <is>
          <t>Nội ngoại thất, Thương mại điện tử, Bán hàng / Kinh doanh</t>
        </is>
      </c>
      <c r="K2045" t="inlineStr">
        <is>
          <t>N/A</t>
        </is>
      </c>
      <c r="L2045" s="8">
        <f>HYPERLINK("https://careerviet.vn/vi/tim-viec-lam/van-hanh-san-tmdt-tieng-trung.35C6C809.html","Xem chi tiết")</f>
        <v/>
      </c>
    </row>
    <row r="2046">
      <c r="B2046" s="9" t="n">
        <v>2044</v>
      </c>
      <c r="C2046" s="10" t="inlineStr">
        <is>
          <t>Chuyên viên tài chính</t>
        </is>
      </c>
      <c r="D2046" s="10" t="inlineStr">
        <is>
          <t>Công Ty Cổ Phần Xuất Nhập Khẩu Nam Thái Sơn</t>
        </is>
      </c>
      <c r="E2046" s="10" t="inlineStr">
        <is>
          <t>Lương:Cạnh tranh</t>
        </is>
      </c>
      <c r="F2046" s="10" t="inlineStr">
        <is>
          <t>Hồ Chí Minh</t>
        </is>
      </c>
      <c r="G2046" s="10" t="inlineStr">
        <is>
          <t>30-04-2026</t>
        </is>
      </c>
      <c r="H2046" s="10" t="inlineStr">
        <is>
          <t>30/04/2026</t>
        </is>
      </c>
      <c r="I2046" s="10" t="inlineStr">
        <is>
          <t>17/03/2026</t>
        </is>
      </c>
      <c r="J2046" s="10" t="inlineStr">
        <is>
          <t>Tài chính / Đầu tư, Ngân hàng</t>
        </is>
      </c>
      <c r="K2046" s="10" t="inlineStr">
        <is>
          <t>Trên 5 Năm</t>
        </is>
      </c>
      <c r="L2046" s="11">
        <f>HYPERLINK("https://careerviet.vn/vi/tim-viec-lam/chuyen-vien-tai-chinh.35C6C845.html","Xem chi tiết")</f>
        <v/>
      </c>
      <c r="M2046" s="10" t="n"/>
    </row>
    <row r="2047">
      <c r="B2047" s="7" t="n">
        <v>2045</v>
      </c>
      <c r="C2047" t="inlineStr">
        <is>
          <t>Kế toán tổng hợp</t>
        </is>
      </c>
      <c r="D2047" t="inlineStr">
        <is>
          <t>Công Ty Cổ Phần Xuất Nhập Khẩu Nam Thái Sơn</t>
        </is>
      </c>
      <c r="E2047" t="inlineStr">
        <is>
          <t>Lương:Cạnh tranh</t>
        </is>
      </c>
      <c r="F2047" t="inlineStr">
        <is>
          <t>Hồ Chí Minh</t>
        </is>
      </c>
      <c r="G2047" t="inlineStr">
        <is>
          <t>30-04-2026</t>
        </is>
      </c>
      <c r="H2047" t="inlineStr">
        <is>
          <t>30/04/2026</t>
        </is>
      </c>
      <c r="I2047" t="inlineStr">
        <is>
          <t>17/03/2026</t>
        </is>
      </c>
      <c r="J2047" t="inlineStr">
        <is>
          <t>Kế toán / Kiểm toán, Xuất nhập khẩu</t>
        </is>
      </c>
      <c r="K2047" t="inlineStr">
        <is>
          <t>Trên 3 Năm</t>
        </is>
      </c>
      <c r="L2047" s="8">
        <f>HYPERLINK("https://careerviet.vn/vi/tim-viec-lam/ke-toan-tong-hop.35C6C812.html","Xem chi tiết")</f>
        <v/>
      </c>
    </row>
    <row r="2048">
      <c r="B2048" s="9" t="n">
        <v>2046</v>
      </c>
      <c r="C2048" s="10" t="inlineStr">
        <is>
          <t>Chuyên viên Định giá tài sản tại Lâm Đồng (làm việc tại VCB Đắk Nông)</t>
        </is>
      </c>
      <c r="D2048" s="10" t="inlineStr">
        <is>
          <t>NGÂN HÀNG TMCP NGOẠI THƯƠNG VIỆT NAM (VIETCOMBANK)</t>
        </is>
      </c>
      <c r="E2048" s="10" t="inlineStr">
        <is>
          <t>Lương:Cạnh tranh</t>
        </is>
      </c>
      <c r="F2048" s="10" t="inlineStr">
        <is>
          <t>Lâm Đồng</t>
        </is>
      </c>
      <c r="G2048" s="10" t="inlineStr">
        <is>
          <t>26-03-2026</t>
        </is>
      </c>
      <c r="H2048" s="10" t="inlineStr">
        <is>
          <t>26/03/2026</t>
        </is>
      </c>
      <c r="I2048" s="10" t="inlineStr">
        <is>
          <t>17/03/2026</t>
        </is>
      </c>
      <c r="J2048" s="10" t="inlineStr">
        <is>
          <t>Ngân hàng, Luật / Pháp lý, Tài chính / Đầu tư</t>
        </is>
      </c>
      <c r="K2048" s="10" t="inlineStr">
        <is>
          <t>2 - 3 Năm</t>
        </is>
      </c>
      <c r="L2048" s="11">
        <f>HYPERLINK("https://careerviet.vn/vi/tim-viec-lam/chuyen-vien-dinh-gia-tai-san-tai-lam-dong-lam-viec-tai-vcb-dak-nong.35C6C811.html","Xem chi tiết")</f>
        <v/>
      </c>
      <c r="M2048" s="10" t="n"/>
    </row>
    <row r="2049">
      <c r="B2049" s="7" t="n">
        <v>2047</v>
      </c>
      <c r="C2049" t="inlineStr">
        <is>
          <t>Kế Toán Thanh Toán Lĩnh Vực Bán Lẻ - Payable Accountant</t>
        </is>
      </c>
      <c r="D2049" t="inlineStr">
        <is>
          <t>CÔNG TY TNHH THIẾT BỊ THÔNG MINH INNO VIỆT NAM</t>
        </is>
      </c>
      <c r="E2049" t="inlineStr">
        <is>
          <t>Lương:Cạnh tranh</t>
        </is>
      </c>
      <c r="F2049" t="inlineStr">
        <is>
          <t>Hồ Chí Minh</t>
        </is>
      </c>
      <c r="G2049" t="inlineStr">
        <is>
          <t>14-04-2026</t>
        </is>
      </c>
      <c r="H2049" t="inlineStr">
        <is>
          <t>14/04/2026</t>
        </is>
      </c>
      <c r="I2049" t="inlineStr">
        <is>
          <t>17/03/2026</t>
        </is>
      </c>
      <c r="J2049" t="inlineStr">
        <is>
          <t>Kế toán / Kiểm toán, Bán lẻ / Bán sỉ</t>
        </is>
      </c>
      <c r="K2049" t="inlineStr">
        <is>
          <t>3 - 4 Năm</t>
        </is>
      </c>
      <c r="L2049" s="8">
        <f>HYPERLINK("https://careerviet.vn/vi/tim-viec-lam/ke-toan-thanh-toan-linh-vuc-ban-le-payable-accountant.35C6C7AE.html","Xem chi tiết")</f>
        <v/>
      </c>
    </row>
    <row r="2050">
      <c r="B2050" s="9" t="n">
        <v>2048</v>
      </c>
      <c r="C2050" s="10" t="inlineStr">
        <is>
          <t>TT. XLGDTD - P. Quản trị vận hành_CV/CVCC Vận hành hệ thống</t>
        </is>
      </c>
      <c r="D2050" s="10" t="inlineStr">
        <is>
          <t>Ngân Hàng TMCP Phương Đông - OCB</t>
        </is>
      </c>
      <c r="E2050" s="10" t="inlineStr">
        <is>
          <t>Lương:Cạnh tranh</t>
        </is>
      </c>
      <c r="F2050" s="10" t="inlineStr">
        <is>
          <t>Hồ Chí Minh</t>
        </is>
      </c>
      <c r="G2050" s="10" t="inlineStr">
        <is>
          <t>11-04-2026</t>
        </is>
      </c>
      <c r="H2050" s="10" t="inlineStr">
        <is>
          <t>11/04/2026</t>
        </is>
      </c>
      <c r="I2050" s="10" t="inlineStr">
        <is>
          <t>17/03/2026</t>
        </is>
      </c>
      <c r="J2050" s="10" t="inlineStr">
        <is>
          <t>Ngân hàng</t>
        </is>
      </c>
      <c r="K2050" s="10" t="inlineStr">
        <is>
          <t>2 - 4 Năm</t>
        </is>
      </c>
      <c r="L2050" s="11">
        <f>HYPERLINK("https://careerviet.vn/vi/tim-viec-lam/tt-xlgdtd-p-quan-tri-van-hanh_cv-cvcc-van-hanh-he-thong.35C684FB.html","Xem chi tiết")</f>
        <v/>
      </c>
      <c r="M2050" s="10" t="n"/>
    </row>
    <row r="2051">
      <c r="B2051" s="7" t="n">
        <v>2049</v>
      </c>
      <c r="C2051" t="inlineStr">
        <is>
          <t>Kế Toán Thanh Toán Nhà Thầu</t>
        </is>
      </c>
      <c r="D2051" t="inlineStr">
        <is>
          <t>TẬP ĐOÀN ĐẦU TƯ KINH ĐÔ</t>
        </is>
      </c>
      <c r="E2051" t="inlineStr">
        <is>
          <t>Lương:15 Tr - 17 Tr VND</t>
        </is>
      </c>
      <c r="F2051" t="inlineStr">
        <is>
          <t>Hà Nội</t>
        </is>
      </c>
      <c r="G2051" t="inlineStr">
        <is>
          <t>16-04-2026</t>
        </is>
      </c>
      <c r="H2051" t="inlineStr">
        <is>
          <t>16/04/2026</t>
        </is>
      </c>
      <c r="I2051" t="inlineStr">
        <is>
          <t>17/03/2026</t>
        </is>
      </c>
      <c r="J2051" t="inlineStr">
        <is>
          <t>Kế toán / Kiểm toán, Xây dựng, Bất động sản</t>
        </is>
      </c>
      <c r="K2051" t="inlineStr">
        <is>
          <t>3 - 4 Năm</t>
        </is>
      </c>
      <c r="L2051" s="8">
        <f>HYPERLINK("https://careerviet.vn/vi/tim-viec-lam/ke-toan-thanh-toan-nha-thau.35C6C807.html","Xem chi tiết")</f>
        <v/>
      </c>
    </row>
    <row r="2052">
      <c r="B2052" s="9" t="n">
        <v>2050</v>
      </c>
      <c r="C2052" s="10" t="inlineStr">
        <is>
          <t>Chuyên viên Kế toán tổng hợp</t>
        </is>
      </c>
      <c r="D2052" s="10" t="inlineStr">
        <is>
          <t>Công Ty Cổ Phần Du Lịch Vietravel</t>
        </is>
      </c>
      <c r="E2052" s="10" t="inlineStr">
        <is>
          <t>Lương:Cạnh tranh</t>
        </is>
      </c>
      <c r="F2052" s="10" t="inlineStr">
        <is>
          <t>Hồ Chí Minh</t>
        </is>
      </c>
      <c r="G2052" s="10" t="inlineStr">
        <is>
          <t>11-04-2026</t>
        </is>
      </c>
      <c r="H2052" s="10" t="inlineStr">
        <is>
          <t>11/04/2026</t>
        </is>
      </c>
      <c r="I2052" s="10" t="inlineStr">
        <is>
          <t>17/03/2026</t>
        </is>
      </c>
      <c r="J2052" s="10" t="inlineStr">
        <is>
          <t>Kế toán / Kiểm toán, Tài chính / Đầu tư</t>
        </is>
      </c>
      <c r="K2052" s="10" t="inlineStr">
        <is>
          <t>2 - 3 Năm</t>
        </is>
      </c>
      <c r="L2052" s="11">
        <f>HYPERLINK("https://careerviet.vn/vi/tim-viec-lam/chuyen-vien-ke-toan-tong-hop.35C6856B.html","Xem chi tiết")</f>
        <v/>
      </c>
      <c r="M2052" s="10" t="n"/>
    </row>
    <row r="2053">
      <c r="B2053" s="7" t="n">
        <v>2051</v>
      </c>
      <c r="C2053" t="inlineStr">
        <is>
          <t>TRỢ GIẢNG NGÀNH CƠ ĐIỆN TỬ</t>
        </is>
      </c>
      <c r="D2053" t="inlineStr">
        <is>
          <t>TRƯỜNG ĐẠI HỌC YERSIN ĐÀ LẠT</t>
        </is>
      </c>
      <c r="E2053" t="inlineStr">
        <is>
          <t>Lương:8 Tr - 10 Tr VND</t>
        </is>
      </c>
      <c r="F2053" t="inlineStr">
        <is>
          <t>Lâm Đồng</t>
        </is>
      </c>
      <c r="G2053" t="inlineStr">
        <is>
          <t>11-04-2026</t>
        </is>
      </c>
      <c r="H2053" t="inlineStr">
        <is>
          <t>11/04/2026</t>
        </is>
      </c>
      <c r="I2053" t="inlineStr">
        <is>
          <t>17/03/2026</t>
        </is>
      </c>
      <c r="J2053" t="inlineStr">
        <is>
          <t>Giáo dục / Đào tạo, Điện / Điện tử / Điện lạnh / Điện công nghiệp</t>
        </is>
      </c>
      <c r="K2053" t="inlineStr">
        <is>
          <t>N/A</t>
        </is>
      </c>
      <c r="L2053" s="8">
        <f>HYPERLINK("https://careerviet.vn/vi/tim-viec-lam/tro-giang-nganh-co-dien-tu.35C6856E.html","Xem chi tiết")</f>
        <v/>
      </c>
    </row>
    <row r="2054">
      <c r="B2054" s="9" t="n">
        <v>2052</v>
      </c>
      <c r="C2054" s="10" t="inlineStr">
        <is>
          <t>Chuyên viên Quản lý Ngân sách - Kiểm soát chi phí</t>
        </is>
      </c>
      <c r="D2054" s="10" t="inlineStr">
        <is>
          <t>Công Ty Cổ Phần Xây Dựng CDC</t>
        </is>
      </c>
      <c r="E2054" s="10" t="inlineStr">
        <is>
          <t>Lương:Cạnh tranh</t>
        </is>
      </c>
      <c r="F2054" s="10" t="inlineStr">
        <is>
          <t>Hà Nội</t>
        </is>
      </c>
      <c r="G2054" s="10" t="inlineStr">
        <is>
          <t>14-04-2026</t>
        </is>
      </c>
      <c r="H2054" s="10" t="inlineStr">
        <is>
          <t>14/04/2026</t>
        </is>
      </c>
      <c r="I2054" s="10" t="inlineStr">
        <is>
          <t>17/03/2026</t>
        </is>
      </c>
      <c r="J2054" s="10" t="inlineStr">
        <is>
          <t>Kiến trúc, Xây dựng</t>
        </is>
      </c>
      <c r="K2054" s="10" t="inlineStr">
        <is>
          <t>2 - 5 Năm</t>
        </is>
      </c>
      <c r="L2054" s="11">
        <f>HYPERLINK("https://careerviet.vn/vi/tim-viec-lam/chuyen-vien-quan-ly-ngan-sach-kiem-soat-chi-phi.35C6C826.html","Xem chi tiết")</f>
        <v/>
      </c>
      <c r="M2054" s="10" t="n"/>
    </row>
    <row r="2055">
      <c r="B2055" s="7" t="n">
        <v>2053</v>
      </c>
      <c r="C2055" t="inlineStr">
        <is>
          <t>NHÂN VIÊN BẢO TRÌ TRẠI</t>
        </is>
      </c>
      <c r="D2055" t="inlineStr">
        <is>
          <t>Công ty Cổ phần Nông nghiệp BAF Việt Nam</t>
        </is>
      </c>
      <c r="E2055" t="inlineStr">
        <is>
          <t>Lương:13 Tr - 16 Tr VND</t>
        </is>
      </c>
      <c r="F2055" t="inlineStr">
        <is>
          <t>KV Đông Nam Bộ</t>
        </is>
      </c>
      <c r="G2055" t="inlineStr">
        <is>
          <t>11-04-2026</t>
        </is>
      </c>
      <c r="H2055" t="inlineStr">
        <is>
          <t>11/04/2026</t>
        </is>
      </c>
      <c r="I2055" t="inlineStr">
        <is>
          <t>17/03/2026</t>
        </is>
      </c>
      <c r="J2055" t="inlineStr">
        <is>
          <t>Điện / Điện tử / Điện lạnh / Điện công nghiệp</t>
        </is>
      </c>
      <c r="K2055" t="inlineStr">
        <is>
          <t>N/A</t>
        </is>
      </c>
      <c r="L2055" s="8">
        <f>HYPERLINK("https://careerviet.vn/vi/tim-viec-lam/nhan-vien-bao-tri-trai.35C685E5.html","Xem chi tiết")</f>
        <v/>
      </c>
    </row>
    <row r="2056">
      <c r="B2056" s="9" t="n">
        <v>2054</v>
      </c>
      <c r="C2056" s="10" t="inlineStr">
        <is>
          <t>Đại Diện Thương mại Thuốc Thú Y (Phú Thọ) - Veterinary Sales Representative</t>
        </is>
      </c>
      <c r="D2056" s="10" t="inlineStr">
        <is>
          <t>Virbac Vietnam Company Limited</t>
        </is>
      </c>
      <c r="E2056" s="10" t="inlineStr">
        <is>
          <t>Lương:Cạnh tranh</t>
        </is>
      </c>
      <c r="F2056" s="10" t="inlineStr">
        <is>
          <t>Phú Thọ</t>
        </is>
      </c>
      <c r="G2056" s="10" t="inlineStr">
        <is>
          <t>10-04-2026</t>
        </is>
      </c>
      <c r="H2056" s="10" t="inlineStr">
        <is>
          <t>10/04/2026</t>
        </is>
      </c>
      <c r="I2056" s="10" t="inlineStr">
        <is>
          <t>17/03/2026</t>
        </is>
      </c>
      <c r="J2056" s="10" t="inlineStr">
        <is>
          <t>Bán hàng / Kinh doanh, Chăn nuôi / Thú y</t>
        </is>
      </c>
      <c r="K2056" s="10" t="inlineStr">
        <is>
          <t>Trên 2 Năm</t>
        </is>
      </c>
      <c r="L2056" s="11">
        <f>HYPERLINK("https://careerviet.vn/vi/tim-viec-lam/dai-dien-thuong-mai-thuoc-thu-y-phu-tho-veterinary-sales-representative.35C652E5.html","Xem chi tiết")</f>
        <v/>
      </c>
      <c r="M2056" s="10" t="n"/>
    </row>
    <row r="2057">
      <c r="B2057" s="7" t="n">
        <v>2055</v>
      </c>
      <c r="C2057" t="inlineStr">
        <is>
          <t>Chuyên Gia Pháp Lý Dự Án Khu Công Nghiệp Mở Rộng</t>
        </is>
      </c>
      <c r="D2057" t="inlineStr">
        <is>
          <t>CÔNG TY CỔ PHẦN ĐẦU TƯ PHÁT TRIỂN CÔNG NGHIỆP - THƯƠNG MẠI CỦ CHI</t>
        </is>
      </c>
      <c r="E2057" t="inlineStr">
        <is>
          <t>Lương:Cạnh tranh</t>
        </is>
      </c>
      <c r="F2057" t="inlineStr">
        <is>
          <t>Hồ Chí Minh</t>
        </is>
      </c>
      <c r="G2057" t="inlineStr">
        <is>
          <t>12-04-2026</t>
        </is>
      </c>
      <c r="H2057" t="inlineStr">
        <is>
          <t>12/04/2026</t>
        </is>
      </c>
      <c r="I2057" t="inlineStr">
        <is>
          <t>17/03/2026</t>
        </is>
      </c>
      <c r="J2057" t="inlineStr">
        <is>
          <t>Luật / Pháp lý, Bất động sản, Quản lý điều hành</t>
        </is>
      </c>
      <c r="K2057" t="inlineStr">
        <is>
          <t>5 - 7 Năm</t>
        </is>
      </c>
      <c r="L2057" s="8">
        <f>HYPERLINK("https://careerviet.vn/vi/tim-viec-lam/chuyen-gia-phap-ly-du-an-khu-cong-nghiep-mo-rong.35C6C82A.html","Xem chi tiết")</f>
        <v/>
      </c>
    </row>
    <row r="2058">
      <c r="B2058" s="9" t="n">
        <v>2056</v>
      </c>
      <c r="C2058" s="10" t="inlineStr">
        <is>
          <t>NV/CV THN hiện trường - Hà Nội - ID593</t>
        </is>
      </c>
      <c r="D2058" s="10" t="inlineStr">
        <is>
          <t>Ngân Hàng TMCP Việt Nam Thịnh Vượng - VPBANK</t>
        </is>
      </c>
      <c r="E2058" s="10" t="inlineStr">
        <is>
          <t>Lương:Cạnh tranh</t>
        </is>
      </c>
      <c r="F2058" s="10" t="inlineStr">
        <is>
          <t>Hà Nội</t>
        </is>
      </c>
      <c r="G2058" s="10" t="inlineStr">
        <is>
          <t>11-04-2026</t>
        </is>
      </c>
      <c r="H2058" s="10" t="inlineStr">
        <is>
          <t>11/04/2026</t>
        </is>
      </c>
      <c r="I2058" s="10" t="inlineStr">
        <is>
          <t>17/03/2026</t>
        </is>
      </c>
      <c r="J2058" s="10" t="inlineStr">
        <is>
          <t>Luật / Pháp lý, Ngân hàng, Tài chính / Đầu tư</t>
        </is>
      </c>
      <c r="K2058" s="10" t="inlineStr">
        <is>
          <t>N/A</t>
        </is>
      </c>
      <c r="L2058" s="11">
        <f>HYPERLINK("https://careerviet.vn/vi/tim-viec-lam/nv-cv-thn-hien-truong-ha-noi-id593.35C684AF.html","Xem chi tiết")</f>
        <v/>
      </c>
      <c r="M2058" s="10" t="n"/>
    </row>
    <row r="2059">
      <c r="B2059" s="7" t="n">
        <v>2057</v>
      </c>
      <c r="C2059" t="inlineStr">
        <is>
          <t>[Tuyển gấp] Chuyên Viên Phát Triển Dự Án và GPMB</t>
        </is>
      </c>
      <c r="D2059" t="inlineStr">
        <is>
          <t>Xuân Cầu Holdings</t>
        </is>
      </c>
      <c r="E2059" t="inlineStr">
        <is>
          <t>Lương:25 Tr - 35 Tr VND</t>
        </is>
      </c>
      <c r="F2059" t="inlineStr">
        <is>
          <t>Hà Nội</t>
        </is>
      </c>
      <c r="G2059" t="inlineStr">
        <is>
          <t>28-03-2026</t>
        </is>
      </c>
      <c r="H2059" t="inlineStr">
        <is>
          <t>28/03/2026</t>
        </is>
      </c>
      <c r="I2059" t="inlineStr">
        <is>
          <t>17/03/2026</t>
        </is>
      </c>
      <c r="J2059" t="inlineStr">
        <is>
          <t>Hàng hải, Xây dựng, Luật / Pháp lý</t>
        </is>
      </c>
      <c r="K2059" t="inlineStr">
        <is>
          <t>3 - 15 Năm</t>
        </is>
      </c>
      <c r="L2059" s="8">
        <f>HYPERLINK("https://careerviet.vn/vi/tim-viec-lam/tuyen-gap-chuyen-vien-phat-trien-du-an-va-gpmb.35C69E81.html","Xem chi tiết")</f>
        <v/>
      </c>
    </row>
    <row r="2060">
      <c r="B2060" s="9" t="n">
        <v>2058</v>
      </c>
      <c r="C2060" s="10" t="inlineStr">
        <is>
          <t>Human Resources Manager</t>
        </is>
      </c>
      <c r="D2060" s="10" t="inlineStr">
        <is>
          <t>CÔNG TY CỔ PHẦN UPPINGHAM SCHOOL VIỆT NAM - HƯNG YÊN</t>
        </is>
      </c>
      <c r="E2060" s="10" t="inlineStr">
        <is>
          <t>Lương:Cạnh tranh</t>
        </is>
      </c>
      <c r="F2060" s="10" t="inlineStr">
        <is>
          <t>Hưng YênHà Nội</t>
        </is>
      </c>
      <c r="G2060" s="10" t="inlineStr">
        <is>
          <t>11-04-2026</t>
        </is>
      </c>
      <c r="H2060" s="10" t="inlineStr">
        <is>
          <t>11/04/2026</t>
        </is>
      </c>
      <c r="I2060" s="10" t="inlineStr">
        <is>
          <t>17/03/2026</t>
        </is>
      </c>
      <c r="J2060" s="10" t="inlineStr">
        <is>
          <t>Nhân sự, Quản lý điều hành, Giáo dục / Đào tạo</t>
        </is>
      </c>
      <c r="K2060" s="10" t="inlineStr">
        <is>
          <t>5 - 10 Năm</t>
        </is>
      </c>
      <c r="L2060" s="11">
        <f>HYPERLINK("https://careerviet.vn/vi/tim-viec-lam/human-resources-manager.35C68490.html","Xem chi tiết")</f>
        <v/>
      </c>
      <c r="M2060" s="10" t="n"/>
    </row>
    <row r="2061">
      <c r="B2061" s="7" t="n">
        <v>2059</v>
      </c>
      <c r="C2061" t="inlineStr">
        <is>
          <t>Kế Toán Nội Bộ</t>
        </is>
      </c>
      <c r="D2061" t="inlineStr">
        <is>
          <t>Công Ty TNHH Sản Phẩm Giấy Go-Pak Việt Nam</t>
        </is>
      </c>
      <c r="E2061" t="inlineStr">
        <is>
          <t>Lương:Cạnh tranh</t>
        </is>
      </c>
      <c r="F2061" t="inlineStr">
        <is>
          <t>Bình Dương</t>
        </is>
      </c>
      <c r="G2061" t="inlineStr">
        <is>
          <t>26-03-2026</t>
        </is>
      </c>
      <c r="H2061" t="inlineStr">
        <is>
          <t>26/03/2026</t>
        </is>
      </c>
      <c r="I2061" t="inlineStr">
        <is>
          <t>17/03/2026</t>
        </is>
      </c>
      <c r="J2061" t="inlineStr">
        <is>
          <t>Kế toán / Kiểm toán, Quản lý điều hành, Tài chính / Đầu tư</t>
        </is>
      </c>
      <c r="K2061" t="inlineStr">
        <is>
          <t>Trên 2 Năm</t>
        </is>
      </c>
      <c r="L2061" s="8">
        <f>HYPERLINK("https://careerviet.vn/vi/tim-viec-lam/ke-toan-noi-bo.35C69B3E.html","Xem chi tiết")</f>
        <v/>
      </c>
    </row>
    <row r="2062">
      <c r="B2062" s="9" t="n">
        <v>2060</v>
      </c>
      <c r="C2062" s="10" t="inlineStr">
        <is>
          <t>Chuyên Viên Đấu Thầu</t>
        </is>
      </c>
      <c r="D2062" s="10" t="inlineStr">
        <is>
          <t>CÔNG TY TNHH XÉT NGHIỆM VÀ CHẨN ĐOÁN HÌNH ẢNH PHÚC AN</t>
        </is>
      </c>
      <c r="E2062" s="10" t="inlineStr">
        <is>
          <t>Lương:Trên 10 Tr VND</t>
        </is>
      </c>
      <c r="F2062" s="10" t="inlineStr">
        <is>
          <t>Dak Lak</t>
        </is>
      </c>
      <c r="G2062" s="10" t="inlineStr">
        <is>
          <t>11-04-2026</t>
        </is>
      </c>
      <c r="H2062" s="10" t="inlineStr">
        <is>
          <t>11/04/2026</t>
        </is>
      </c>
      <c r="I2062" s="10" t="inlineStr">
        <is>
          <t>17/03/2026</t>
        </is>
      </c>
      <c r="J2062" s="10" t="inlineStr">
        <is>
          <t>Y tế / Chăm sóc sức khỏe / Thẩm mỹ / Làm đẹp, Dược phẩm/ Hóa Mỹ Phẩm, Hóa học</t>
        </is>
      </c>
      <c r="K2062" s="10" t="inlineStr">
        <is>
          <t>Trên 5 Năm</t>
        </is>
      </c>
      <c r="L2062" s="11">
        <f>HYPERLINK("https://careerviet.vn/vi/tim-viec-lam/chuyen-vien-dau-thau.35C683C2.html","Xem chi tiết")</f>
        <v/>
      </c>
      <c r="M2062" s="10" t="n"/>
    </row>
    <row r="2063">
      <c r="B2063" s="7" t="n">
        <v>2061</v>
      </c>
      <c r="C2063" t="inlineStr">
        <is>
          <t>Nhân Viên QC cơ khí</t>
        </is>
      </c>
      <c r="D2063" t="inlineStr">
        <is>
          <t>Công ty Duy Phát</t>
        </is>
      </c>
      <c r="E2063" t="inlineStr">
        <is>
          <t>Lương:8 Tr - 12 Tr VND</t>
        </is>
      </c>
      <c r="F2063" t="inlineStr">
        <is>
          <t>Bình Dương</t>
        </is>
      </c>
      <c r="G2063" t="inlineStr">
        <is>
          <t>31-03-2026</t>
        </is>
      </c>
      <c r="H2063" t="inlineStr">
        <is>
          <t>31/03/2026</t>
        </is>
      </c>
      <c r="I2063" t="inlineStr">
        <is>
          <t>17/03/2026</t>
        </is>
      </c>
      <c r="J2063" t="inlineStr">
        <is>
          <t>Cơ khí / Ô tô / Tự động hóa, Mỹ thuật / Nghệ thuật / Thiết kế, Quản lý chất lượng (QA/QC)</t>
        </is>
      </c>
      <c r="K2063" t="inlineStr">
        <is>
          <t>1 - 2 Năm</t>
        </is>
      </c>
      <c r="L2063" s="8">
        <f>HYPERLINK("https://careerviet.vn/vi/tim-viec-lam/nhan-vien-qc-co-khi.35C69F80.html","Xem chi tiết")</f>
        <v/>
      </c>
    </row>
    <row r="2064">
      <c r="B2064" s="9" t="n">
        <v>2062</v>
      </c>
      <c r="C2064" s="10" t="inlineStr">
        <is>
          <t>Giám đốc Thu hồi nợ qua điện thoại - Tele-Debt Recovery Manager - Khối Thu hồi nợ</t>
        </is>
      </c>
      <c r="D2064" s="10" t="inlineStr">
        <is>
          <t>Công Ty Tài Chính TNHH MB SHINSEI (MCREDIT)</t>
        </is>
      </c>
      <c r="E2064" s="10" t="inlineStr">
        <is>
          <t>Lương:Cạnh tranh</t>
        </is>
      </c>
      <c r="F2064" s="10" t="inlineStr">
        <is>
          <t>Hà NộiHồ Chí Minh</t>
        </is>
      </c>
      <c r="G2064" s="10" t="inlineStr">
        <is>
          <t>26-03-2026</t>
        </is>
      </c>
      <c r="H2064" s="10" t="inlineStr">
        <is>
          <t>26/03/2026</t>
        </is>
      </c>
      <c r="I2064" s="10" t="inlineStr">
        <is>
          <t>17/03/2026</t>
        </is>
      </c>
      <c r="J2064" s="10" t="inlineStr">
        <is>
          <t>Quản lý điều hành, Tài chính / Đầu tư, Ngân hàng</t>
        </is>
      </c>
      <c r="K2064" s="10" t="inlineStr">
        <is>
          <t>8 - 10 Năm</t>
        </is>
      </c>
      <c r="L2064" s="11">
        <f>HYPERLINK("https://careerviet.vn/vi/tim-viec-lam/giam-doc-thu-hoi-no-qua-dien-thoai-tele-debt-recovery-manager-khoi-thu-hoi-no.35C69EA9.html","Xem chi tiết")</f>
        <v/>
      </c>
      <c r="M2064" s="10" t="n"/>
    </row>
    <row r="2065">
      <c r="B2065" s="7" t="n">
        <v>2063</v>
      </c>
      <c r="C2065" t="inlineStr">
        <is>
          <t>Sales Executive</t>
        </is>
      </c>
      <c r="D2065" t="inlineStr">
        <is>
          <t>Công Ty TNHH Samsung Polymer (Việt Nam)</t>
        </is>
      </c>
      <c r="E2065" t="inlineStr">
        <is>
          <t>Lương:15 Tr - 25 Tr VND</t>
        </is>
      </c>
      <c r="F2065" t="inlineStr">
        <is>
          <t>Hồ Chí Minh</t>
        </is>
      </c>
      <c r="G2065" t="inlineStr">
        <is>
          <t>31-03-2026</t>
        </is>
      </c>
      <c r="H2065" t="inlineStr">
        <is>
          <t>31/03/2026</t>
        </is>
      </c>
      <c r="I2065" t="inlineStr">
        <is>
          <t>17/03/2026</t>
        </is>
      </c>
      <c r="J2065" t="inlineStr">
        <is>
          <t>Tiếp thị / Marketing, Bán hàng / Kinh doanh</t>
        </is>
      </c>
      <c r="K2065" t="inlineStr">
        <is>
          <t>2 - 5 Năm</t>
        </is>
      </c>
      <c r="L2065" s="8">
        <f>HYPERLINK("https://careerviet.vn/vi/tim-viec-lam/sales-executive.35C69F07.html","Xem chi tiết")</f>
        <v/>
      </c>
    </row>
    <row r="2066">
      <c r="B2066" s="9" t="n">
        <v>2064</v>
      </c>
      <c r="C2066" s="10" t="inlineStr">
        <is>
          <t>Quản lý Kinh doanh Dự án</t>
        </is>
      </c>
      <c r="D2066" s="10" t="inlineStr">
        <is>
          <t>NANOCO GROUP</t>
        </is>
      </c>
      <c r="E2066" s="10" t="inlineStr">
        <is>
          <t>Lương:Cạnh tranh</t>
        </is>
      </c>
      <c r="F2066" s="10" t="inlineStr">
        <is>
          <t>Hồ Chí Minh</t>
        </is>
      </c>
      <c r="G2066" s="10" t="inlineStr">
        <is>
          <t>29-03-2026</t>
        </is>
      </c>
      <c r="H2066" s="10" t="inlineStr">
        <is>
          <t>29/03/2026</t>
        </is>
      </c>
      <c r="I2066" s="10" t="inlineStr">
        <is>
          <t>17/03/2026</t>
        </is>
      </c>
      <c r="J2066" s="10" t="inlineStr">
        <is>
          <t>Điện / Điện tử / Điện lạnh / Điện công nghiệp, Bán hàng / Kinh doanh, Bán Hàng Kỹ Thuật</t>
        </is>
      </c>
      <c r="K2066" s="10" t="inlineStr">
        <is>
          <t>5 - 7 Năm</t>
        </is>
      </c>
      <c r="L2066" s="11">
        <f>HYPERLINK("https://careerviet.vn/vi/tim-viec-lam/quan-ly-kinh-doanh-du-an.35C69EC2.html","Xem chi tiết")</f>
        <v/>
      </c>
      <c r="M2066" s="10" t="n"/>
    </row>
    <row r="2067">
      <c r="B2067" s="7" t="n">
        <v>2065</v>
      </c>
      <c r="C2067" t="inlineStr">
        <is>
          <t>Giáo viên Tiếng anh CB Sóc Trăng, CB Long Trung, CB Bến Tre</t>
        </is>
      </c>
      <c r="D2067" t="inlineStr">
        <is>
          <t>Hệ thống Trung tâm Ngoại ngữ Cambridge</t>
        </is>
      </c>
      <c r="E2067" t="inlineStr">
        <is>
          <t>Lương:8 Tr - 25 Tr VND</t>
        </is>
      </c>
      <c r="F2067" t="inlineStr">
        <is>
          <t>Tiền Giang</t>
        </is>
      </c>
      <c r="G2067" t="inlineStr">
        <is>
          <t>31-03-2026</t>
        </is>
      </c>
      <c r="H2067" t="inlineStr">
        <is>
          <t>31/03/2026</t>
        </is>
      </c>
      <c r="I2067" t="inlineStr">
        <is>
          <t>17/03/2026</t>
        </is>
      </c>
      <c r="J2067" t="inlineStr">
        <is>
          <t>Giáo dục / Đào tạo, Biên phiên dịch</t>
        </is>
      </c>
      <c r="K2067" t="inlineStr">
        <is>
          <t>1 - 2 Năm</t>
        </is>
      </c>
      <c r="L2067" s="8">
        <f>HYPERLINK("https://careerviet.vn/vi/tim-viec-lam/giao-vien-tieng-anh-cb-soc-trang-cb-long-trung-cb-ben-tre.35C69D73.html","Xem chi tiết")</f>
        <v/>
      </c>
    </row>
    <row r="2068">
      <c r="B2068" s="9" t="n">
        <v>2066</v>
      </c>
      <c r="C2068" s="10" t="inlineStr">
        <is>
          <t>Kỹ sư thiết kế kết cấu - Revit/ Junior Structural Engineer - Revit</t>
        </is>
      </c>
      <c r="D2068" s="10" t="inlineStr">
        <is>
          <t>Công Ty TNHH Boydens Vietnam part of Sweco</t>
        </is>
      </c>
      <c r="E2068" s="10" t="inlineStr">
        <is>
          <t>Lương:Cạnh tranh</t>
        </is>
      </c>
      <c r="F2068" s="10" t="inlineStr">
        <is>
          <t>Hà Nội</t>
        </is>
      </c>
      <c r="G2068" s="10" t="inlineStr">
        <is>
          <t>31-05-2026</t>
        </is>
      </c>
      <c r="H2068" s="10" t="inlineStr">
        <is>
          <t>31/05/2026</t>
        </is>
      </c>
      <c r="I2068" s="10" t="inlineStr">
        <is>
          <t>17/03/2026</t>
        </is>
      </c>
      <c r="J2068" s="10" t="inlineStr">
        <is>
          <t>Kiến trúc, Xây dựng, Ngành khác</t>
        </is>
      </c>
      <c r="K2068" s="10" t="inlineStr">
        <is>
          <t>1 - 5 Năm</t>
        </is>
      </c>
      <c r="L2068" s="11">
        <f>HYPERLINK("https://careerviet.vn/vi/tim-viec-lam/ky-su-thiet-ke-ket-cau-revit-junior-structural-engineer-revit.35C6A0E9.html","Xem chi tiết")</f>
        <v/>
      </c>
      <c r="M2068" s="10" t="n"/>
    </row>
    <row r="2069">
      <c r="B2069" s="7" t="n">
        <v>2067</v>
      </c>
      <c r="C2069" t="inlineStr">
        <is>
          <t>Nhân viên Tuyển dụng</t>
        </is>
      </c>
      <c r="D2069" t="inlineStr">
        <is>
          <t>Công ty cổ phần văn phòng phẩm Hồng Hà</t>
        </is>
      </c>
      <c r="E2069" t="inlineStr">
        <is>
          <t>Lương:10 Tr - 15 Tr VND</t>
        </is>
      </c>
      <c r="F2069" t="inlineStr">
        <is>
          <t>Hà Nội</t>
        </is>
      </c>
      <c r="G2069" t="inlineStr">
        <is>
          <t>30-03-2026</t>
        </is>
      </c>
      <c r="H2069" t="inlineStr">
        <is>
          <t>30/03/2026</t>
        </is>
      </c>
      <c r="I2069" t="inlineStr">
        <is>
          <t>17/03/2026</t>
        </is>
      </c>
      <c r="J2069" t="inlineStr">
        <is>
          <t>Hành chính / Thư ký, Nhân sự</t>
        </is>
      </c>
      <c r="K2069" t="inlineStr">
        <is>
          <t>1 - 2 Năm</t>
        </is>
      </c>
      <c r="L2069" s="8">
        <f>HYPERLINK("https://careerviet.vn/vi/tim-viec-lam/nhan-vien-tuyen-dung.35C69D24.html","Xem chi tiết")</f>
        <v/>
      </c>
    </row>
    <row r="2070">
      <c r="B2070" s="9" t="n">
        <v>2068</v>
      </c>
      <c r="C2070" s="10" t="inlineStr">
        <is>
          <t>Nhân Viên Kế Hoạch Sản Xuất</t>
        </is>
      </c>
      <c r="D2070" s="10" t="inlineStr">
        <is>
          <t>CÔNG TY CỔ PHẦN KẾT CẤU THÉP REMARK</t>
        </is>
      </c>
      <c r="E2070" s="10" t="inlineStr">
        <is>
          <t>Lương:12 Tr - 20 Tr VND</t>
        </is>
      </c>
      <c r="F2070" s="10" t="inlineStr">
        <is>
          <t>Đồng Nai</t>
        </is>
      </c>
      <c r="G2070" s="10" t="inlineStr">
        <is>
          <t>26-03-2026</t>
        </is>
      </c>
      <c r="H2070" s="10" t="inlineStr">
        <is>
          <t>26/03/2026</t>
        </is>
      </c>
      <c r="I2070" s="10" t="inlineStr">
        <is>
          <t>17/03/2026</t>
        </is>
      </c>
      <c r="J2070" s="10" t="inlineStr">
        <is>
          <t>Sản xuất / Vận hành sản xuất</t>
        </is>
      </c>
      <c r="K2070" s="10" t="inlineStr">
        <is>
          <t>Trên 2 Năm</t>
        </is>
      </c>
      <c r="L2070" s="11">
        <f>HYPERLINK("https://careerviet.vn/vi/tim-viec-lam/nhan-vien-ke-hoach-san-xuat.35C69E0E.html","Xem chi tiết")</f>
        <v/>
      </c>
      <c r="M2070" s="10" t="n"/>
    </row>
    <row r="2071">
      <c r="B2071" s="7" t="n">
        <v>2069</v>
      </c>
      <c r="C2071" t="inlineStr">
        <is>
          <t>GIÁM SÁT [ĐIỆN - TỰ ĐỘNG HÓA</t>
        </is>
      </c>
      <c r="D2071" t="inlineStr">
        <is>
          <t>Masan Consumer</t>
        </is>
      </c>
      <c r="E2071" t="inlineStr">
        <is>
          <t>Lương:Cạnh tranh</t>
        </is>
      </c>
      <c r="F2071" t="inlineStr">
        <is>
          <t>Bình Thuận</t>
        </is>
      </c>
      <c r="G2071" t="inlineStr">
        <is>
          <t>30-04-2026</t>
        </is>
      </c>
      <c r="H2071" t="inlineStr">
        <is>
          <t>30/04/2026</t>
        </is>
      </c>
      <c r="I2071" t="inlineStr">
        <is>
          <t>17/03/2026</t>
        </is>
      </c>
      <c r="J2071" t="inlineStr">
        <is>
          <t>Bảo trì / Sửa chữa, Cơ khí / Ô tô / Tự động hóa, Điện / Điện tử / Điện lạnh / Điện công nghiệp</t>
        </is>
      </c>
      <c r="K2071" t="inlineStr">
        <is>
          <t>3 - 10 Năm</t>
        </is>
      </c>
      <c r="L2071" s="8">
        <f>HYPERLINK("https://careerviet.vn/vi/tim-viec-lam/giam-sat-dien-tu-dong-hoa.35C69D75.html","Xem chi tiết")</f>
        <v/>
      </c>
    </row>
    <row r="2072">
      <c r="B2072" s="9" t="n">
        <v>2070</v>
      </c>
      <c r="C2072" s="10" t="inlineStr">
        <is>
          <t>Chuyên viên Khách hàng - Chi nhánh Khánh Hòa (SL: 10)</t>
        </is>
      </c>
      <c r="D2072" s="10" t="inlineStr">
        <is>
          <t>Ngân hàng Liên doanh Việt - Nga (VRB)</t>
        </is>
      </c>
      <c r="E2072" s="10" t="inlineStr">
        <is>
          <t>Lương:Cạnh tranh</t>
        </is>
      </c>
      <c r="F2072" s="10" t="inlineStr">
        <is>
          <t>Khánh Hòa</t>
        </is>
      </c>
      <c r="G2072" s="10" t="inlineStr">
        <is>
          <t>28-03-2026</t>
        </is>
      </c>
      <c r="H2072" s="10" t="inlineStr">
        <is>
          <t>28/03/2026</t>
        </is>
      </c>
      <c r="I2072" s="10" t="inlineStr">
        <is>
          <t>17/03/2026</t>
        </is>
      </c>
      <c r="J2072" s="10" t="inlineStr">
        <is>
          <t>Bán lẻ / Bán sỉ, Bán hàng / Kinh doanh, Ngân hàng</t>
        </is>
      </c>
      <c r="K2072" s="10" t="inlineStr">
        <is>
          <t>Không yêu cầu kinh nghiệm</t>
        </is>
      </c>
      <c r="L2072" s="11">
        <f>HYPERLINK("https://careerviet.vn/vi/tim-viec-lam/chuyen-vien-khach-hang-chi-nhanh-khanh-hoa-sl-10.35C69F08.html","Xem chi tiết")</f>
        <v/>
      </c>
      <c r="M2072" s="10" t="n"/>
    </row>
    <row r="2073">
      <c r="B2073" s="7" t="n">
        <v>2071</v>
      </c>
      <c r="C2073" t="inlineStr">
        <is>
          <t>Hygiene Specialist</t>
        </is>
      </c>
      <c r="D2073" t="inlineStr">
        <is>
          <t>CÔNG TY TNHH AMERICA INDOCHINA MANAGEMENT VIETNAM</t>
        </is>
      </c>
      <c r="E2073" t="inlineStr">
        <is>
          <t>Lương:Cạnh tranh</t>
        </is>
      </c>
      <c r="F2073" t="inlineStr">
        <is>
          <t>Kiên Giang</t>
        </is>
      </c>
      <c r="G2073" t="inlineStr">
        <is>
          <t>12-03-2026</t>
        </is>
      </c>
      <c r="H2073" t="inlineStr">
        <is>
          <t>13/03/2026</t>
        </is>
      </c>
      <c r="I2073" t="inlineStr">
        <is>
          <t>17/03/2026</t>
        </is>
      </c>
      <c r="J2073" t="inlineStr">
        <is>
          <t>Nhà hàng / Khách sạn, Thực phẩm &amp; Đồ uống, Dịch vụ khách hàng</t>
        </is>
      </c>
      <c r="K2073" t="inlineStr">
        <is>
          <t>2 - 5 Năm</t>
        </is>
      </c>
      <c r="L2073" s="8">
        <f>HYPERLINK("https://careerviet.vn/vi/tim-viec-lam/hygiene-specialist.35C69EF1.html","Xem chi tiết")</f>
        <v/>
      </c>
    </row>
    <row r="2074">
      <c r="B2074" s="9" t="n">
        <v>2072</v>
      </c>
      <c r="C2074" s="10" t="inlineStr">
        <is>
          <t>Quality Manager</t>
        </is>
      </c>
      <c r="D2074" s="10" t="inlineStr">
        <is>
          <t>CÔNG TY TNHH GIVAUDAN VIỆT NAM</t>
        </is>
      </c>
      <c r="E2074" s="10" t="inlineStr">
        <is>
          <t>Lương:Cạnh tranh</t>
        </is>
      </c>
      <c r="F2074" s="10" t="inlineStr">
        <is>
          <t>Bình Dương</t>
        </is>
      </c>
      <c r="G2074" s="10" t="inlineStr">
        <is>
          <t>31-03-2026</t>
        </is>
      </c>
      <c r="H2074" s="10" t="inlineStr">
        <is>
          <t>31/03/2026</t>
        </is>
      </c>
      <c r="I2074" s="10" t="inlineStr">
        <is>
          <t>17/03/2026</t>
        </is>
      </c>
      <c r="J2074" s="10" t="inlineStr">
        <is>
          <t>Quản lý chất lượng (QA/QC), Quản lý điều hành</t>
        </is>
      </c>
      <c r="K2074" s="10" t="inlineStr">
        <is>
          <t>7 - 12 Năm</t>
        </is>
      </c>
      <c r="L2074" s="11">
        <f>HYPERLINK("https://careerviet.vn/vi/tim-viec-lam/quality-manager.35C69F10.html","Xem chi tiết")</f>
        <v/>
      </c>
      <c r="M2074" s="10" t="n"/>
    </row>
    <row r="2075">
      <c r="B2075" s="7" t="n">
        <v>2073</v>
      </c>
      <c r="C2075" t="inlineStr">
        <is>
          <t>Nhân Viên Kỹ Thuật</t>
        </is>
      </c>
      <c r="D2075" t="inlineStr">
        <is>
          <t>CÔNG TY TNHH ISHIGAKI VIỆT NAM</t>
        </is>
      </c>
      <c r="E2075" t="inlineStr">
        <is>
          <t>Lương:Cạnh tranh</t>
        </is>
      </c>
      <c r="F2075" t="inlineStr">
        <is>
          <t>Hà NộiHà NamNinh Bình</t>
        </is>
      </c>
      <c r="G2075" t="inlineStr">
        <is>
          <t>27-03-2026</t>
        </is>
      </c>
      <c r="H2075" t="inlineStr">
        <is>
          <t>27/03/2026</t>
        </is>
      </c>
      <c r="I2075" t="inlineStr">
        <is>
          <t>17/03/2026</t>
        </is>
      </c>
      <c r="J2075" t="inlineStr">
        <is>
          <t>N/A</t>
        </is>
      </c>
      <c r="K2075" t="inlineStr">
        <is>
          <t>N/A</t>
        </is>
      </c>
      <c r="L2075" s="8">
        <f>HYPERLINK("https://careerviet.vn/vi/tim-viec-lam/nhan-vien-ky-thuat.35C69E9F.html","Xem chi tiết")</f>
        <v/>
      </c>
    </row>
    <row r="2076">
      <c r="B2076" s="9" t="n">
        <v>2074</v>
      </c>
      <c r="C2076" s="10" t="inlineStr">
        <is>
          <t>Kế Toán Thuế</t>
        </is>
      </c>
      <c r="D2076" s="10" t="inlineStr">
        <is>
          <t>HASECA  - CÔNG TY CỔ PHẦN DỊCH VỤ QUỐC TẾ HÀ THÀNH - SUẤT ĂN CÔNG NGHIỆP HÀNG ĐẦU VIỆT NAM</t>
        </is>
      </c>
      <c r="E2076" s="10" t="inlineStr">
        <is>
          <t>Lương:Lên đến 16 Tr VND</t>
        </is>
      </c>
      <c r="F2076" s="10" t="inlineStr">
        <is>
          <t>Hà Nội</t>
        </is>
      </c>
      <c r="G2076" s="10" t="inlineStr">
        <is>
          <t>28-03-2026</t>
        </is>
      </c>
      <c r="H2076" s="10" t="inlineStr">
        <is>
          <t>28/03/2026</t>
        </is>
      </c>
      <c r="I2076" s="10" t="inlineStr">
        <is>
          <t>17/03/2026</t>
        </is>
      </c>
      <c r="J2076" s="10" t="inlineStr">
        <is>
          <t>Kế toán / Kiểm toán, Ngân hàng, Tài chính / Đầu tư</t>
        </is>
      </c>
      <c r="K2076" s="10" t="inlineStr">
        <is>
          <t>2 - 3 Năm</t>
        </is>
      </c>
      <c r="L2076" s="11">
        <f>HYPERLINK("https://careerviet.vn/vi/tim-viec-lam/ke-toan-thue.35C6A037.html","Xem chi tiết")</f>
        <v/>
      </c>
      <c r="M2076" s="10" t="n"/>
    </row>
    <row r="2077">
      <c r="B2077" s="7" t="n">
        <v>2075</v>
      </c>
      <c r="C2077" t="inlineStr">
        <is>
          <t>Chuyên viên cao cấp/Chuyên viên chính phòng, chống gian lận - Khối Pháp chế</t>
        </is>
      </c>
      <c r="D2077" t="inlineStr">
        <is>
          <t>Ngân hàng TMCP Đại Chúng Việt Nam - PVcomBank</t>
        </is>
      </c>
      <c r="E2077" t="inlineStr">
        <is>
          <t>Lương:Cạnh tranh</t>
        </is>
      </c>
      <c r="F2077" t="inlineStr">
        <is>
          <t>Hà Nội</t>
        </is>
      </c>
      <c r="G2077" t="inlineStr">
        <is>
          <t>29-03-2026</t>
        </is>
      </c>
      <c r="H2077" t="inlineStr">
        <is>
          <t>29/03/2026</t>
        </is>
      </c>
      <c r="I2077" t="inlineStr">
        <is>
          <t>17/03/2026</t>
        </is>
      </c>
      <c r="J2077" t="inlineStr">
        <is>
          <t>Ngân hàng, Tài chính / Đầu tư</t>
        </is>
      </c>
      <c r="K2077" t="inlineStr">
        <is>
          <t>2 - 10 Năm</t>
        </is>
      </c>
      <c r="L2077" s="8">
        <f>HYPERLINK("https://careerviet.vn/vi/tim-viec-lam/chuyen-vien-cao-cap-chuyen-vien-chinh-phong-chong-gian-lan-khoi-phap-che.35C6A0E3.html","Xem chi tiết")</f>
        <v/>
      </c>
    </row>
    <row r="2078">
      <c r="B2078" s="9" t="n">
        <v>2076</v>
      </c>
      <c r="C2078" s="10" t="inlineStr">
        <is>
          <t>Legal Specialist (Fixed-term Contract)</t>
        </is>
      </c>
      <c r="D2078" s="10" t="inlineStr">
        <is>
          <t>Wanek Furniture</t>
        </is>
      </c>
      <c r="E2078" s="10" t="inlineStr">
        <is>
          <t>Lương:Cạnh tranh</t>
        </is>
      </c>
      <c r="F2078" s="10" t="inlineStr">
        <is>
          <t>Bình Dương</t>
        </is>
      </c>
      <c r="G2078" s="10" t="inlineStr">
        <is>
          <t>31-03-2026</t>
        </is>
      </c>
      <c r="H2078" s="10" t="inlineStr">
        <is>
          <t>31/03/2026</t>
        </is>
      </c>
      <c r="I2078" s="10" t="inlineStr">
        <is>
          <t>17/03/2026</t>
        </is>
      </c>
      <c r="J2078" s="10" t="inlineStr">
        <is>
          <t>Luật / Pháp lý, Sản xuất / Vận hành sản xuất, Đồ gỗ</t>
        </is>
      </c>
      <c r="K2078" s="10" t="inlineStr">
        <is>
          <t>N/A</t>
        </is>
      </c>
      <c r="L2078" s="11">
        <f>HYPERLINK("https://careerviet.vn/vi/tim-viec-lam/legal-specialist-fixed-term-contract.35C69D81.html","Xem chi tiết")</f>
        <v/>
      </c>
      <c r="M2078" s="10" t="n"/>
    </row>
    <row r="2079">
      <c r="B2079" s="7" t="n">
        <v>2077</v>
      </c>
      <c r="C2079" t="inlineStr">
        <is>
          <t>Trưởng phòng Nhân sự</t>
        </is>
      </c>
      <c r="D2079" t="inlineStr">
        <is>
          <t>Công ty TNHH PHD</t>
        </is>
      </c>
      <c r="E2079" t="inlineStr">
        <is>
          <t>Lương:35 Tr - 40 Tr VND</t>
        </is>
      </c>
      <c r="F2079" t="inlineStr">
        <is>
          <t>Hà Nội</t>
        </is>
      </c>
      <c r="G2079" t="inlineStr">
        <is>
          <t>12-03-2026</t>
        </is>
      </c>
      <c r="H2079" t="inlineStr">
        <is>
          <t>14/03/2026</t>
        </is>
      </c>
      <c r="I2079" t="inlineStr">
        <is>
          <t>17/03/2026</t>
        </is>
      </c>
      <c r="J2079" t="inlineStr">
        <is>
          <t>Nhân sự</t>
        </is>
      </c>
      <c r="K2079" t="inlineStr">
        <is>
          <t>5 - 7 Năm</t>
        </is>
      </c>
      <c r="L2079" s="8">
        <f>HYPERLINK("https://careerviet.vn/vi/tim-viec-lam/truong-phong-nhan-su.35C69D6B.html","Xem chi tiết")</f>
        <v/>
      </c>
    </row>
    <row r="2080">
      <c r="B2080" s="9" t="n">
        <v>2078</v>
      </c>
      <c r="C2080" s="10" t="inlineStr">
        <is>
          <t>Site Technician – Kỹ Thuật Viên Giám Sát Công Trình</t>
        </is>
      </c>
      <c r="D2080" s="10" t="inlineStr">
        <is>
          <t>Công Ty TNHH Stella Global Việt Nam</t>
        </is>
      </c>
      <c r="E2080" s="10" t="inlineStr">
        <is>
          <t>Lương:Cạnh tranh</t>
        </is>
      </c>
      <c r="F2080" s="10" t="inlineStr">
        <is>
          <t>Hà Nội</t>
        </is>
      </c>
      <c r="G2080" s="10" t="inlineStr">
        <is>
          <t>26-03-2026</t>
        </is>
      </c>
      <c r="H2080" s="10" t="inlineStr">
        <is>
          <t>26/03/2026</t>
        </is>
      </c>
      <c r="I2080" s="10" t="inlineStr">
        <is>
          <t>17/03/2026</t>
        </is>
      </c>
      <c r="J2080" s="10" t="inlineStr">
        <is>
          <t>Kiến trúc, Xây dựng, Nội ngoại thất</t>
        </is>
      </c>
      <c r="K2080" s="10" t="inlineStr">
        <is>
          <t>1 - 2 Năm</t>
        </is>
      </c>
      <c r="L2080" s="11">
        <f>HYPERLINK("https://careerviet.vn/vi/tim-viec-lam/site-technician-ky-thuat-vien-giam-sat-cong-trinh.35C69FB4.html","Xem chi tiết")</f>
        <v/>
      </c>
      <c r="M2080" s="10" t="n"/>
    </row>
    <row r="2081">
      <c r="B2081" s="7" t="n">
        <v>2079</v>
      </c>
      <c r="C2081" t="inlineStr">
        <is>
          <t>CHUYÊN VIÊN ĐẤU THẦU - LĨNH VỰC XÂY DỰNG</t>
        </is>
      </c>
      <c r="D2081" t="inlineStr">
        <is>
          <t>Công ty cổ phần xây dựng công nghiệp Megacon</t>
        </is>
      </c>
      <c r="E2081" t="inlineStr">
        <is>
          <t>Lương:18 Tr - 25 Tr VND</t>
        </is>
      </c>
      <c r="F2081" t="inlineStr">
        <is>
          <t>Hà Nội</t>
        </is>
      </c>
      <c r="G2081" t="inlineStr">
        <is>
          <t>30-04-2026</t>
        </is>
      </c>
      <c r="H2081" t="inlineStr">
        <is>
          <t>30/04/2026</t>
        </is>
      </c>
      <c r="I2081" t="inlineStr">
        <is>
          <t>17/03/2026</t>
        </is>
      </c>
      <c r="J2081" t="inlineStr">
        <is>
          <t>Xây dựng</t>
        </is>
      </c>
      <c r="K2081" t="inlineStr">
        <is>
          <t>Trên 3 Năm</t>
        </is>
      </c>
      <c r="L2081" s="8">
        <f>HYPERLINK("https://careerviet.vn/vi/tim-viec-lam/chuyen-vien-dau-thau-linh-vuc-xay-dung.35C69F8E.html","Xem chi tiết")</f>
        <v/>
      </c>
    </row>
    <row r="2082">
      <c r="B2082" s="9" t="n">
        <v>2080</v>
      </c>
      <c r="C2082" s="10" t="inlineStr">
        <is>
          <t>Phiên dịch tiếng Trung</t>
        </is>
      </c>
      <c r="D2082" s="10" t="inlineStr">
        <is>
          <t>CÔNG TY CỔ PHẦN CÔNG NGHỆ SOTATEK VIỆT NAM</t>
        </is>
      </c>
      <c r="E2082" s="10" t="inlineStr">
        <is>
          <t>Lương:Cạnh tranh</t>
        </is>
      </c>
      <c r="F2082" s="10" t="inlineStr">
        <is>
          <t>Hải Dương</t>
        </is>
      </c>
      <c r="G2082" s="10" t="inlineStr">
        <is>
          <t>31-03-2026</t>
        </is>
      </c>
      <c r="H2082" s="10" t="inlineStr">
        <is>
          <t>31/03/2026</t>
        </is>
      </c>
      <c r="I2082" s="10" t="inlineStr">
        <is>
          <t>17/03/2026</t>
        </is>
      </c>
      <c r="J2082" s="10" t="inlineStr">
        <is>
          <t>Hành chính / Thư ký, Biên phiên dịch, Nhân sự</t>
        </is>
      </c>
      <c r="K2082" s="10" t="inlineStr">
        <is>
          <t>N/A</t>
        </is>
      </c>
      <c r="L2082" s="11">
        <f>HYPERLINK("https://careerviet.vn/vi/tim-viec-lam/phien-dich-tieng-trung.35C69EED.html","Xem chi tiết")</f>
        <v/>
      </c>
      <c r="M2082" s="10" t="n"/>
    </row>
    <row r="2083">
      <c r="B2083" s="7" t="n">
        <v>2081</v>
      </c>
      <c r="C2083" t="inlineStr">
        <is>
          <t>[Hà Nội] Chuyên viên chính Tra soát, đối soát, thanh quyết toán</t>
        </is>
      </c>
      <c r="D2083" t="inlineStr">
        <is>
          <t>Ngân hàng TMCP Lộc Phát Việt Nam (LPBank)</t>
        </is>
      </c>
      <c r="E2083" t="inlineStr">
        <is>
          <t>Lương:Cạnh tranh</t>
        </is>
      </c>
      <c r="F2083" t="inlineStr">
        <is>
          <t>Hà Nội</t>
        </is>
      </c>
      <c r="G2083" t="inlineStr">
        <is>
          <t>29-03-2026</t>
        </is>
      </c>
      <c r="H2083" t="inlineStr">
        <is>
          <t>29/03/2026</t>
        </is>
      </c>
      <c r="I2083" t="inlineStr">
        <is>
          <t>17/03/2026</t>
        </is>
      </c>
      <c r="J2083" t="inlineStr">
        <is>
          <t>Ngân hàng</t>
        </is>
      </c>
      <c r="K2083" t="inlineStr">
        <is>
          <t>1 - 5 Năm</t>
        </is>
      </c>
      <c r="L2083" s="8">
        <f>HYPERLINK("https://careerviet.vn/vi/tim-viec-lam/ha-noi-chuyen-vien-chinh-tra-soat-doi-soat-thanh-quyet-toan.35C6A0D5.html","Xem chi tiết")</f>
        <v/>
      </c>
    </row>
    <row r="2084">
      <c r="B2084" s="9" t="n">
        <v>2082</v>
      </c>
      <c r="C2084" s="10" t="inlineStr">
        <is>
          <t>Kỹ Sư Xây Dựng (QS)</t>
        </is>
      </c>
      <c r="D2084" s="10" t="inlineStr">
        <is>
          <t>CÔNG TY TNHH XÂY DỰNG HOÀN THÀNH PHÁT</t>
        </is>
      </c>
      <c r="E2084" s="10" t="inlineStr">
        <is>
          <t>Lương:15 Tr - 22 Tr VND</t>
        </is>
      </c>
      <c r="F2084" s="10" t="inlineStr">
        <is>
          <t>Bình Dương</t>
        </is>
      </c>
      <c r="G2084" s="10" t="inlineStr">
        <is>
          <t>27-03-2026</t>
        </is>
      </c>
      <c r="H2084" s="10" t="inlineStr">
        <is>
          <t>27/03/2026</t>
        </is>
      </c>
      <c r="I2084" s="10" t="inlineStr">
        <is>
          <t>17/03/2026</t>
        </is>
      </c>
      <c r="J2084" s="10" t="inlineStr">
        <is>
          <t>Xây dựng, Kiến trúc, Bất động sản</t>
        </is>
      </c>
      <c r="K2084" s="10" t="inlineStr">
        <is>
          <t>Trên 3 Năm</t>
        </is>
      </c>
      <c r="L2084" s="11">
        <f>HYPERLINK("https://careerviet.vn/vi/tim-viec-lam/ky-su-xay-dung-qs.35C69FC7.html","Xem chi tiết")</f>
        <v/>
      </c>
      <c r="M2084" s="10" t="n"/>
    </row>
    <row r="2085">
      <c r="B2085" s="7" t="n">
        <v>2083</v>
      </c>
      <c r="C2085" t="inlineStr">
        <is>
          <t>GIÁM SÁT BÁN HÀNG</t>
        </is>
      </c>
      <c r="D2085" t="inlineStr">
        <is>
          <t>THỜI TRANG TRẺ EM RABITY</t>
        </is>
      </c>
      <c r="E2085" t="inlineStr">
        <is>
          <t>Lương:Cạnh tranh</t>
        </is>
      </c>
      <c r="F2085" t="inlineStr">
        <is>
          <t>Hà Nội</t>
        </is>
      </c>
      <c r="G2085" t="inlineStr">
        <is>
          <t>31-03-2026</t>
        </is>
      </c>
      <c r="H2085" t="inlineStr">
        <is>
          <t>31/03/2026</t>
        </is>
      </c>
      <c r="I2085" t="inlineStr">
        <is>
          <t>17/03/2026</t>
        </is>
      </c>
      <c r="J2085" t="inlineStr">
        <is>
          <t>Bán lẻ / Bán sỉ, Bán hàng / Kinh doanh, Tiếp thị / Marketing</t>
        </is>
      </c>
      <c r="K2085" t="inlineStr">
        <is>
          <t>2 - 3 Năm</t>
        </is>
      </c>
      <c r="L2085" s="8">
        <f>HYPERLINK("https://careerviet.vn/vi/tim-viec-lam/giam-sat-ban-hang.35C69EB0.html","Xem chi tiết")</f>
        <v/>
      </c>
    </row>
    <row r="2086">
      <c r="B2086" s="9" t="n">
        <v>2084</v>
      </c>
      <c r="C2086" s="10" t="inlineStr">
        <is>
          <t>NHÂN VIÊN THIẾT KẾ TRIỂN KHAI BẢN VẼ KỸ THUẬT NỘI THẤT SHOP DW - LÀM VIỆC TẠI HÀ NỘI - HẠ LONG - VĨNH PHÚC (PHÚ THỌ) - ĐÀ NẴNG</t>
        </is>
      </c>
      <c r="D2086" s="10" t="inlineStr">
        <is>
          <t>Công Ty TNHH Xây Dựng và Nội Thất Cao Cấp Alliance</t>
        </is>
      </c>
      <c r="E2086" s="10" t="inlineStr">
        <is>
          <t>Lương:Cạnh tranh</t>
        </is>
      </c>
      <c r="F2086" s="10" t="inlineStr">
        <is>
          <t>Hà NộiHồ Chí MinhĐà Nẵng</t>
        </is>
      </c>
      <c r="G2086" s="10" t="inlineStr">
        <is>
          <t>27-03-2026</t>
        </is>
      </c>
      <c r="H2086" s="10" t="inlineStr">
        <is>
          <t>27/03/2026</t>
        </is>
      </c>
      <c r="I2086" s="10" t="inlineStr">
        <is>
          <t>17/03/2026</t>
        </is>
      </c>
      <c r="J2086" s="10" t="inlineStr">
        <is>
          <t>Mỹ thuật / Nghệ thuật / Thiết kế, Xây dựng, Nội ngoại thất</t>
        </is>
      </c>
      <c r="K2086" s="10" t="inlineStr">
        <is>
          <t>2 - 10 Năm</t>
        </is>
      </c>
      <c r="L2086" s="11">
        <f>HYPERLINK("https://careerviet.vn/vi/tim-viec-lam/nhan-vien-thiet-ke-trien-khai-ban-ve-ky-thuat-noi-that-shop-dw-lam-viec-tai-ha-noi-ha-long-vinh-phuc-phu-tho-da-nang.35C69E8C.html","Xem chi tiết")</f>
        <v/>
      </c>
      <c r="M2086" s="10" t="n"/>
    </row>
    <row r="2087">
      <c r="B2087" s="7" t="n">
        <v>2085</v>
      </c>
      <c r="C2087" t="inlineStr">
        <is>
          <t>Kế toán tổng hợp</t>
        </is>
      </c>
      <c r="D2087" t="inlineStr">
        <is>
          <t>CÔNG TY CỔ PHẦN CS GROUP</t>
        </is>
      </c>
      <c r="E2087" t="inlineStr">
        <is>
          <t>Lương:Cạnh tranh</t>
        </is>
      </c>
      <c r="F2087" t="inlineStr">
        <is>
          <t>Hà Nội</t>
        </is>
      </c>
      <c r="G2087" t="inlineStr">
        <is>
          <t>15-04-2026</t>
        </is>
      </c>
      <c r="H2087" t="inlineStr">
        <is>
          <t>15/04/2026</t>
        </is>
      </c>
      <c r="I2087" t="inlineStr">
        <is>
          <t>17/03/2026</t>
        </is>
      </c>
      <c r="J2087" t="inlineStr">
        <is>
          <t>Kế toán / Kiểm toán, Thương mại điện tử, CNTT - Phần mềm</t>
        </is>
      </c>
      <c r="K2087" t="inlineStr">
        <is>
          <t>3 - 5 Năm</t>
        </is>
      </c>
      <c r="L2087" s="8">
        <f>HYPERLINK("https://careerviet.vn/vi/tim-viec-lam/ke-toan-tong-hop.35C6A054.html","Xem chi tiết")</f>
        <v/>
      </c>
    </row>
    <row r="2088">
      <c r="B2088" s="9" t="n">
        <v>2086</v>
      </c>
      <c r="C2088" s="10" t="inlineStr">
        <is>
          <t>Trợ Lý Tiếng Trung</t>
        </is>
      </c>
      <c r="D2088" s="10" t="inlineStr">
        <is>
          <t>CÔNG TY TNHH TONGWEI VIỆT NAM</t>
        </is>
      </c>
      <c r="E2088" s="10" t="inlineStr">
        <is>
          <t>Lương:10 Tr - 20 Tr VND</t>
        </is>
      </c>
      <c r="F2088" s="10" t="inlineStr">
        <is>
          <t>Tiền Giang</t>
        </is>
      </c>
      <c r="G2088" s="10" t="inlineStr">
        <is>
          <t>27-03-2026</t>
        </is>
      </c>
      <c r="H2088" s="10" t="inlineStr">
        <is>
          <t>27/03/2026</t>
        </is>
      </c>
      <c r="I2088" s="10" t="inlineStr">
        <is>
          <t>17/03/2026</t>
        </is>
      </c>
      <c r="J2088" s="10" t="inlineStr">
        <is>
          <t>Biên phiên dịch, Thủy sản / Hải sản, Hành chính / Thư ký</t>
        </is>
      </c>
      <c r="K2088" s="10" t="inlineStr">
        <is>
          <t>N/A</t>
        </is>
      </c>
      <c r="L2088" s="11">
        <f>HYPERLINK("https://careerviet.vn/vi/tim-viec-lam/tro-ly-tieng-trung.35C69E75.html","Xem chi tiết")</f>
        <v/>
      </c>
      <c r="M2088" s="10" t="n"/>
    </row>
    <row r="2089">
      <c r="B2089" s="7" t="n">
        <v>2087</v>
      </c>
      <c r="C2089" t="inlineStr">
        <is>
          <t>Thinner Technical Specialist</t>
        </is>
      </c>
      <c r="D2089" t="inlineStr">
        <is>
          <t>Riverbank Vietnam Co., Ltd.</t>
        </is>
      </c>
      <c r="E2089" t="inlineStr">
        <is>
          <t>Lương:Cạnh tranh</t>
        </is>
      </c>
      <c r="F2089" t="inlineStr">
        <is>
          <t>Đồng NaiBà Rịa - Vũng TàuHồ Chí Minh</t>
        </is>
      </c>
      <c r="G2089" t="inlineStr">
        <is>
          <t>27-03-2026</t>
        </is>
      </c>
      <c r="H2089" t="inlineStr">
        <is>
          <t>27/03/2026</t>
        </is>
      </c>
      <c r="I2089" t="inlineStr">
        <is>
          <t>17/03/2026</t>
        </is>
      </c>
      <c r="J2089" t="inlineStr">
        <is>
          <t>Công nghệ sinh học, Bán Hàng Kỹ Thuật, Hóa học</t>
        </is>
      </c>
      <c r="K2089" t="inlineStr">
        <is>
          <t>Trên 1 Năm</t>
        </is>
      </c>
      <c r="L2089" s="8">
        <f>HYPERLINK("https://careerviet.vn/vi/tim-viec-lam/thinner-technical-specialist.35C6A05A.html","Xem chi tiết")</f>
        <v/>
      </c>
    </row>
    <row r="2090">
      <c r="B2090" s="9" t="n">
        <v>2088</v>
      </c>
      <c r="C2090" s="10" t="inlineStr">
        <is>
          <t>SALES EXECUTIVE (B2B &amp; CORPORATE SALES)</t>
        </is>
      </c>
      <c r="D2090" s="10" t="inlineStr">
        <is>
          <t>Công ty TNHH SOKOGROUP</t>
        </is>
      </c>
      <c r="E2090" s="10" t="inlineStr">
        <is>
          <t>Lương:10 Tr - 14 Tr VND</t>
        </is>
      </c>
      <c r="F2090" s="10" t="inlineStr">
        <is>
          <t>Hồ Chí Minh</t>
        </is>
      </c>
      <c r="G2090" s="10" t="inlineStr">
        <is>
          <t>26-03-2026</t>
        </is>
      </c>
      <c r="H2090" s="10" t="inlineStr">
        <is>
          <t>26/03/2026</t>
        </is>
      </c>
      <c r="I2090" s="10" t="inlineStr">
        <is>
          <t>17/03/2026</t>
        </is>
      </c>
      <c r="J2090" s="10" t="inlineStr">
        <is>
          <t>Bán lẻ / Bán sỉ, Tiếp thị / Marketing, Thực phẩm &amp; Đồ uống</t>
        </is>
      </c>
      <c r="K2090" s="10" t="inlineStr">
        <is>
          <t>2 - 3 Năm</t>
        </is>
      </c>
      <c r="L2090" s="11">
        <f>HYPERLINK("https://careerviet.vn/vi/tim-viec-lam/sales-executive-b2b-corporate-sales.35C69E27.html","Xem chi tiết")</f>
        <v/>
      </c>
      <c r="M2090" s="10" t="n"/>
    </row>
    <row r="2091">
      <c r="B2091" s="7" t="n">
        <v>2089</v>
      </c>
      <c r="C2091" t="inlineStr">
        <is>
          <t>Nhân viên Tư vấn Tuyển sinh - KV Bình Đại (7-8tr)</t>
        </is>
      </c>
      <c r="D2091" t="inlineStr">
        <is>
          <t>Hệ thống Trung tâm Ngoại ngữ Cambridge</t>
        </is>
      </c>
      <c r="E2091" t="inlineStr">
        <is>
          <t>Lương:7 Tr - 8 Tr VND</t>
        </is>
      </c>
      <c r="F2091" t="inlineStr">
        <is>
          <t>Bến Tre</t>
        </is>
      </c>
      <c r="G2091" t="inlineStr">
        <is>
          <t>12-03-2026</t>
        </is>
      </c>
      <c r="H2091" t="inlineStr">
        <is>
          <t>14/03/2026</t>
        </is>
      </c>
      <c r="I2091" t="inlineStr">
        <is>
          <t>17/03/2026</t>
        </is>
      </c>
      <c r="J2091" t="inlineStr">
        <is>
          <t>Tiếp thị / Marketing, Bán lẻ / Bán sỉ, Bán hàng / Kinh doanh</t>
        </is>
      </c>
      <c r="K2091" t="inlineStr">
        <is>
          <t>1 - 2 Năm</t>
        </is>
      </c>
      <c r="L2091" s="8">
        <f>HYPERLINK("https://careerviet.vn/vi/tim-viec-lam/nhan-vien-tu-van-tuyen-sinh-kv-binh-dai-7-8tr.35C69D5F.html","Xem chi tiết")</f>
        <v/>
      </c>
    </row>
    <row r="2092">
      <c r="B2092" s="9" t="n">
        <v>2090</v>
      </c>
      <c r="C2092" s="10" t="inlineStr">
        <is>
          <t>Nhân viên điều phối - KCN Vsip Nghệ An</t>
        </is>
      </c>
      <c r="D2092" s="10" t="inlineStr">
        <is>
          <t>NANOCO GROUP</t>
        </is>
      </c>
      <c r="E2092" s="10" t="inlineStr">
        <is>
          <t>Lương:Cạnh tranh</t>
        </is>
      </c>
      <c r="F2092" s="10" t="inlineStr">
        <is>
          <t>Nghệ An</t>
        </is>
      </c>
      <c r="G2092" s="10" t="inlineStr">
        <is>
          <t>29-03-2026</t>
        </is>
      </c>
      <c r="H2092" s="10" t="inlineStr">
        <is>
          <t>29/03/2026</t>
        </is>
      </c>
      <c r="I2092" s="10" t="inlineStr">
        <is>
          <t>17/03/2026</t>
        </is>
      </c>
      <c r="J2092" s="10" t="inlineStr">
        <is>
          <t>Vận chuyển / Giao nhận / Kho vận, Lao động phổ thông, Mới tốt nghiệp / Thực tập</t>
        </is>
      </c>
      <c r="K2092" s="10" t="inlineStr">
        <is>
          <t>1 - 10 Năm</t>
        </is>
      </c>
      <c r="L2092" s="11">
        <f>HYPERLINK("https://careerviet.vn/vi/tim-viec-lam/nhan-vien-dieu-phoi-kcn-vsip-nghe-an.35C69ED0.html","Xem chi tiết")</f>
        <v/>
      </c>
      <c r="M2092" s="10" t="n"/>
    </row>
    <row r="2093">
      <c r="B2093" s="7" t="n">
        <v>2091</v>
      </c>
      <c r="C2093" t="inlineStr">
        <is>
          <t>Nhân viên Quản lý rủi ro</t>
        </is>
      </c>
      <c r="D2093" t="inlineStr">
        <is>
          <t>Sở Giao dịch Hàng hóa Việt Nam</t>
        </is>
      </c>
      <c r="E2093" t="inlineStr">
        <is>
          <t>Lương:10 Tr - 15 Tr VND</t>
        </is>
      </c>
      <c r="F2093" t="inlineStr">
        <is>
          <t>Hà Nội</t>
        </is>
      </c>
      <c r="G2093" t="inlineStr">
        <is>
          <t>31-03-2026</t>
        </is>
      </c>
      <c r="H2093" t="inlineStr">
        <is>
          <t>31/03/2026</t>
        </is>
      </c>
      <c r="I2093" t="inlineStr">
        <is>
          <t>17/03/2026</t>
        </is>
      </c>
      <c r="J2093" t="inlineStr">
        <is>
          <t>Tài chính / Đầu tư</t>
        </is>
      </c>
      <c r="K2093" t="inlineStr">
        <is>
          <t>Trên 1 Năm</t>
        </is>
      </c>
      <c r="L2093" s="8">
        <f>HYPERLINK("https://careerviet.vn/vi/tim-viec-lam/nhan-vien-quan-ly-rui-ro.35C69F70.html","Xem chi tiết")</f>
        <v/>
      </c>
    </row>
    <row r="2094">
      <c r="B2094" s="9" t="n">
        <v>2092</v>
      </c>
      <c r="C2094" s="10" t="inlineStr">
        <is>
          <t>Giám đốc Dịch vụ khách hàng cao cấp - BVBank Phan Thiết - KV Miền Trung</t>
        </is>
      </c>
      <c r="D2094" s="10" t="inlineStr">
        <is>
          <t>BVBank - Ngân hàng Bản Việt</t>
        </is>
      </c>
      <c r="E2094" s="10" t="inlineStr">
        <is>
          <t>Lương:Cạnh tranh</t>
        </is>
      </c>
      <c r="F2094" s="10" t="inlineStr">
        <is>
          <t>Bình Thuận</t>
        </is>
      </c>
      <c r="G2094" s="10" t="inlineStr">
        <is>
          <t>26-03-2026</t>
        </is>
      </c>
      <c r="H2094" s="10" t="inlineStr">
        <is>
          <t>26/03/2026</t>
        </is>
      </c>
      <c r="I2094" s="10" t="inlineStr">
        <is>
          <t>17/03/2026</t>
        </is>
      </c>
      <c r="J2094" s="10" t="inlineStr">
        <is>
          <t>Ngân hàng, Tài chính / Đầu tư, Dịch vụ khách hàng</t>
        </is>
      </c>
      <c r="K2094" s="10" t="inlineStr">
        <is>
          <t>2 - 3 Năm</t>
        </is>
      </c>
      <c r="L2094" s="11">
        <f>HYPERLINK("https://careerviet.vn/vi/tim-viec-lam/giam-doc-dich-vu-khach-hang-cao-cap-bvbank-phan-thiet-kv-mien-trung.35C69ED7.html","Xem chi tiết")</f>
        <v/>
      </c>
      <c r="M2094" s="10" t="n"/>
    </row>
    <row r="2095">
      <c r="B2095" s="7" t="n">
        <v>2093</v>
      </c>
      <c r="C2095" t="inlineStr">
        <is>
          <t>Phó Trưởng phòng Khách hàng - Chi nhánh Khánh Hòa</t>
        </is>
      </c>
      <c r="D2095" t="inlineStr">
        <is>
          <t>Ngân hàng Liên doanh Việt - Nga (VRB)</t>
        </is>
      </c>
      <c r="E2095" t="inlineStr">
        <is>
          <t>Lương:Cạnh tranh</t>
        </is>
      </c>
      <c r="F2095" t="inlineStr">
        <is>
          <t>Khánh Hòa</t>
        </is>
      </c>
      <c r="G2095" t="inlineStr">
        <is>
          <t>28-03-2026</t>
        </is>
      </c>
      <c r="H2095" t="inlineStr">
        <is>
          <t>28/03/2026</t>
        </is>
      </c>
      <c r="I2095" t="inlineStr">
        <is>
          <t>17/03/2026</t>
        </is>
      </c>
      <c r="J2095" t="inlineStr">
        <is>
          <t>Bán lẻ / Bán sỉ, Bán hàng / Kinh doanh, Ngân hàng</t>
        </is>
      </c>
      <c r="K2095" t="inlineStr">
        <is>
          <t>3 - 6 Năm</t>
        </is>
      </c>
      <c r="L2095" s="8">
        <f>HYPERLINK("https://careerviet.vn/vi/tim-viec-lam/pho-truong-phong-khach-hang-chi-nhanh-khanh-hoa.35C69F41.html","Xem chi tiết")</f>
        <v/>
      </c>
    </row>
    <row r="2096">
      <c r="B2096" s="9" t="n">
        <v>2094</v>
      </c>
      <c r="C2096" s="10" t="inlineStr">
        <is>
          <t>KỸ SƯ THIẾT KẾ KHUÔN CƠ KHÍ  [CỦ CHI]</t>
        </is>
      </c>
      <c r="D2096" s="10" t="inlineStr">
        <is>
          <t>CÔNG TY CP SAIGON AUTO SUPPORTING INDUSTRY</t>
        </is>
      </c>
      <c r="E2096" s="10" t="inlineStr">
        <is>
          <t>Lương:Cạnh tranh</t>
        </is>
      </c>
      <c r="F2096" s="10" t="inlineStr">
        <is>
          <t>Hồ Chí Minh</t>
        </is>
      </c>
      <c r="G2096" s="10" t="inlineStr">
        <is>
          <t>31-03-2026</t>
        </is>
      </c>
      <c r="H2096" s="10" t="inlineStr">
        <is>
          <t>31/03/2026</t>
        </is>
      </c>
      <c r="I2096" s="10" t="inlineStr">
        <is>
          <t>17/03/2026</t>
        </is>
      </c>
      <c r="J2096" s="10" t="inlineStr">
        <is>
          <t>Cơ khí / Ô tô / Tự động hóa, Sản xuất / Vận hành sản xuất</t>
        </is>
      </c>
      <c r="K2096" s="10" t="inlineStr">
        <is>
          <t>N/A</t>
        </is>
      </c>
      <c r="L2096" s="11">
        <f>HYPERLINK("https://careerviet.vn/vi/tim-viec-lam/ky-su-thiet-ke-khuon-co-khi-cu-chi.35C69DC2.html","Xem chi tiết")</f>
        <v/>
      </c>
      <c r="M2096" s="10" t="n"/>
    </row>
    <row r="2097">
      <c r="B2097" s="7" t="n">
        <v>2095</v>
      </c>
      <c r="C2097" t="inlineStr">
        <is>
          <t>Nhân Viên Kế Toán</t>
        </is>
      </c>
      <c r="D2097" t="inlineStr">
        <is>
          <t>Công Ty TNHH Scansia Pacific</t>
        </is>
      </c>
      <c r="E2097" t="inlineStr">
        <is>
          <t>Lương:Cạnh tranh</t>
        </is>
      </c>
      <c r="F2097" t="inlineStr">
        <is>
          <t>Đồng Nai</t>
        </is>
      </c>
      <c r="G2097" t="inlineStr">
        <is>
          <t>31-03-2026</t>
        </is>
      </c>
      <c r="H2097" t="inlineStr">
        <is>
          <t>31/03/2026</t>
        </is>
      </c>
      <c r="I2097" t="inlineStr">
        <is>
          <t>17/03/2026</t>
        </is>
      </c>
      <c r="J2097" t="inlineStr">
        <is>
          <t>Kế toán / Kiểm toán</t>
        </is>
      </c>
      <c r="K2097" t="inlineStr">
        <is>
          <t>N/A</t>
        </is>
      </c>
      <c r="L2097" s="8">
        <f>HYPERLINK("https://careerviet.vn/vi/tim-viec-lam/nhan-vien-ke-toan.35C69EB2.html","Xem chi tiết")</f>
        <v/>
      </c>
    </row>
    <row r="2098">
      <c r="B2098" s="9" t="n">
        <v>2096</v>
      </c>
      <c r="C2098" s="10" t="inlineStr">
        <is>
          <t>Nhân viên/Chuyên viên Thiết kế Kết cấu (Công trình/Thép/Cầu hầm)</t>
        </is>
      </c>
      <c r="D2098" s="10" t="inlineStr">
        <is>
          <t>VINHOMES - Tập đoàn Vingroup</t>
        </is>
      </c>
      <c r="E2098" s="10" t="inlineStr">
        <is>
          <t>Lương:Cạnh tranh</t>
        </is>
      </c>
      <c r="F2098" s="10" t="inlineStr">
        <is>
          <t>Hà Nội</t>
        </is>
      </c>
      <c r="G2098" s="10" t="inlineStr">
        <is>
          <t>30-03-2026</t>
        </is>
      </c>
      <c r="H2098" s="10" t="inlineStr">
        <is>
          <t>30/03/2026</t>
        </is>
      </c>
      <c r="I2098" s="10" t="inlineStr">
        <is>
          <t>17/03/2026</t>
        </is>
      </c>
      <c r="J2098" s="10" t="inlineStr">
        <is>
          <t>Kiến trúc, Bất động sản, Mỹ thuật / Nghệ thuật / Thiết kế</t>
        </is>
      </c>
      <c r="K2098" s="10" t="inlineStr">
        <is>
          <t>1 - 5 Năm</t>
        </is>
      </c>
      <c r="L2098" s="11">
        <f>HYPERLINK("https://careerviet.vn/vi/tim-viec-lam/nhan-vien-chuyen-vien-thiet-ke-ket-cau-cong-trinh-thep-cau-ham.35C69D7C.html","Xem chi tiết")</f>
        <v/>
      </c>
      <c r="M2098" s="10" t="n"/>
    </row>
    <row r="2099">
      <c r="B2099" s="7" t="n">
        <v>2097</v>
      </c>
      <c r="C2099" t="inlineStr">
        <is>
          <t>Chuyên Viên Kinh Tế Xây Dựng</t>
        </is>
      </c>
      <c r="D2099" t="inlineStr">
        <is>
          <t>Công ty cổ phần tập đoàn An Thịnh</t>
        </is>
      </c>
      <c r="E2099" t="inlineStr">
        <is>
          <t>Lương:Cạnh tranh</t>
        </is>
      </c>
      <c r="F2099" t="inlineStr">
        <is>
          <t>Hà Nội</t>
        </is>
      </c>
      <c r="G2099" t="inlineStr">
        <is>
          <t>28-03-2026</t>
        </is>
      </c>
      <c r="H2099" t="inlineStr">
        <is>
          <t>28/03/2026</t>
        </is>
      </c>
      <c r="I2099" t="inlineStr">
        <is>
          <t>17/03/2026</t>
        </is>
      </c>
      <c r="J2099" t="inlineStr">
        <is>
          <t>Xây dựng, Kế toán / Kiểm toán, Bất động sản</t>
        </is>
      </c>
      <c r="K2099" t="inlineStr">
        <is>
          <t>Trên 5 Năm</t>
        </is>
      </c>
      <c r="L2099" s="8">
        <f>HYPERLINK("https://careerviet.vn/vi/tim-viec-lam/chuyen-vien-kinh-te-xay-dung.35C6A0DE.html","Xem chi tiết")</f>
        <v/>
      </c>
    </row>
    <row r="2100">
      <c r="B2100" s="9" t="n">
        <v>2098</v>
      </c>
      <c r="C2100" s="10" t="inlineStr">
        <is>
          <t>Kỹ sư bán hàng kỹ thuật</t>
        </is>
      </c>
      <c r="D2100" s="10" t="inlineStr">
        <is>
          <t>Công ty TNHH Sao Đỏ Việt Nam - Chi nhánh CMS</t>
        </is>
      </c>
      <c r="E2100" s="10" t="inlineStr">
        <is>
          <t>Lương:12 Tr - 20 Tr VND</t>
        </is>
      </c>
      <c r="F2100" s="10" t="inlineStr">
        <is>
          <t>Hồ Chí Minh</t>
        </is>
      </c>
      <c r="G2100" s="10" t="inlineStr">
        <is>
          <t>31-03-2026</t>
        </is>
      </c>
      <c r="H2100" s="10" t="inlineStr">
        <is>
          <t>31/03/2026</t>
        </is>
      </c>
      <c r="I2100" s="10" t="inlineStr">
        <is>
          <t>17/03/2026</t>
        </is>
      </c>
      <c r="J2100" s="10" t="inlineStr">
        <is>
          <t>Bán Hàng Kỹ Thuật, Bán hàng / Kinh doanh, Hóa họcBằng cấpĐại họcĐộ tuổiKhông giới hạn tuổi</t>
        </is>
      </c>
      <c r="K2100" s="10" t="inlineStr">
        <is>
          <t>N/A</t>
        </is>
      </c>
      <c r="L2100" s="11">
        <f>HYPERLINK("https://careerviet.vn/vi/tim-viec-lam/ky-su-ban-hang-ky-thuat.35C6A063.html","Xem chi tiết")</f>
        <v/>
      </c>
      <c r="M2100" s="10" t="n"/>
    </row>
    <row r="2101">
      <c r="B2101" s="7" t="n">
        <v>2099</v>
      </c>
      <c r="C2101" t="inlineStr">
        <is>
          <t>Trợ Lý Phiên Dịch Tiếng Trung</t>
        </is>
      </c>
      <c r="D2101" t="inlineStr">
        <is>
          <t>CÔNG TY TNHH XÂY DỰNG HOÀN THÀNH PHÁT</t>
        </is>
      </c>
      <c r="E2101" t="inlineStr">
        <is>
          <t>Lương:Cạnh tranh</t>
        </is>
      </c>
      <c r="F2101" t="inlineStr">
        <is>
          <t>Bình Dương</t>
        </is>
      </c>
      <c r="G2101" t="inlineStr">
        <is>
          <t>27-03-2026</t>
        </is>
      </c>
      <c r="H2101" t="inlineStr">
        <is>
          <t>27/03/2026</t>
        </is>
      </c>
      <c r="I2101" t="inlineStr">
        <is>
          <t>17/03/2026</t>
        </is>
      </c>
      <c r="J2101" t="inlineStr">
        <is>
          <t>Biên phiên dịch, Xây dựng, Mới tốt nghiệp / Thực tập</t>
        </is>
      </c>
      <c r="K2101" t="inlineStr">
        <is>
          <t>1 - 2 Năm</t>
        </is>
      </c>
      <c r="L2101" s="8">
        <f>HYPERLINK("https://careerviet.vn/vi/tim-viec-lam/tro-ly-phien-dich-tieng-trung.35C6A00C.html","Xem chi tiết")</f>
        <v/>
      </c>
    </row>
    <row r="2102">
      <c r="B2102" s="9" t="n">
        <v>2100</v>
      </c>
      <c r="C2102" s="10" t="inlineStr">
        <is>
          <t>Kế Toán Trưởng</t>
        </is>
      </c>
      <c r="D2102" s="10" t="inlineStr">
        <is>
          <t>CÔNG TY CỔ PHẦN CATINA AUTO PARTS</t>
        </is>
      </c>
      <c r="E2102" s="10" t="inlineStr">
        <is>
          <t>Lương:Cạnh tranh</t>
        </is>
      </c>
      <c r="F2102" s="10" t="inlineStr">
        <is>
          <t>Hồ Chí Minh</t>
        </is>
      </c>
      <c r="G2102" s="10" t="inlineStr">
        <is>
          <t>27-03-2026</t>
        </is>
      </c>
      <c r="H2102" s="10" t="inlineStr">
        <is>
          <t>27/03/2026</t>
        </is>
      </c>
      <c r="I2102" s="10" t="inlineStr">
        <is>
          <t>17/03/2026</t>
        </is>
      </c>
      <c r="J2102" s="10" t="inlineStr">
        <is>
          <t>Kế toán / Kiểm toán, Thống kê, Tài chính / Đầu tư</t>
        </is>
      </c>
      <c r="K2102" s="10" t="inlineStr">
        <is>
          <t>Trên 5 Năm</t>
        </is>
      </c>
      <c r="L2102" s="11">
        <f>HYPERLINK("https://careerviet.vn/vi/tim-viec-lam/ke-toan-truong.35C6A032.html","Xem chi tiết")</f>
        <v/>
      </c>
      <c r="M2102" s="10" t="n"/>
    </row>
    <row r="2103">
      <c r="B2103" s="7" t="n">
        <v>2101</v>
      </c>
      <c r="C2103" t="inlineStr">
        <is>
          <t>OPERATION MANAGER (Event - Teambuilding)</t>
        </is>
      </c>
      <c r="D2103" t="inlineStr">
        <is>
          <t>CÔNG TY CỔ PHẦN TRUYỀN THÔNG ÁNH SAO XANH</t>
        </is>
      </c>
      <c r="E2103" t="inlineStr">
        <is>
          <t>Lương:Cạnh tranh</t>
        </is>
      </c>
      <c r="F2103" t="inlineStr">
        <is>
          <t>Hồ Chí Minh</t>
        </is>
      </c>
      <c r="G2103" t="inlineStr">
        <is>
          <t>31-03-2026</t>
        </is>
      </c>
      <c r="H2103" t="inlineStr">
        <is>
          <t>31/03/2026</t>
        </is>
      </c>
      <c r="I2103" t="inlineStr">
        <is>
          <t>17/03/2026</t>
        </is>
      </c>
      <c r="J2103" t="inlineStr">
        <is>
          <t>Tổ chức sự kiện</t>
        </is>
      </c>
      <c r="K2103" t="inlineStr">
        <is>
          <t>2 - 5 Năm</t>
        </is>
      </c>
      <c r="L2103" s="8">
        <f>HYPERLINK("https://careerviet.vn/vi/tim-viec-lam/operation-manager-event-teambuilding.35C69F91.html","Xem chi tiết")</f>
        <v/>
      </c>
    </row>
    <row r="2104">
      <c r="B2104" s="9" t="n">
        <v>2102</v>
      </c>
      <c r="C2104" s="10" t="inlineStr">
        <is>
          <t>Chuyên viên Marketing Sản phẩm Tiếng Anh IELTS</t>
        </is>
      </c>
      <c r="D2104" s="10" t="inlineStr">
        <is>
          <t>Hệ thống Trung tâm Ngoại ngữ Cambridge</t>
        </is>
      </c>
      <c r="E2104" s="10" t="inlineStr">
        <is>
          <t>Lương:Cạnh tranh</t>
        </is>
      </c>
      <c r="F2104" s="10" t="inlineStr">
        <is>
          <t>Bến Tre</t>
        </is>
      </c>
      <c r="G2104" s="10" t="inlineStr">
        <is>
          <t>12-03-2026</t>
        </is>
      </c>
      <c r="H2104" s="10" t="inlineStr">
        <is>
          <t>13/03/2026</t>
        </is>
      </c>
      <c r="I2104" s="10" t="inlineStr">
        <is>
          <t>17/03/2026</t>
        </is>
      </c>
      <c r="J2104" s="10" t="inlineStr">
        <is>
          <t>Tiếp thị / Marketing, Biên phiên dịch, Quảng cáo / Đối ngoại / Truyền Thông</t>
        </is>
      </c>
      <c r="K2104" s="10" t="inlineStr">
        <is>
          <t>1 - 2 Năm</t>
        </is>
      </c>
      <c r="L2104" s="11">
        <f>HYPERLINK("https://careerviet.vn/vi/tim-viec-lam/chuyen-vien-marketing-san-pham-tieng-anh-ielts.35C69D7D.html","Xem chi tiết")</f>
        <v/>
      </c>
      <c r="M2104" s="10" t="n"/>
    </row>
    <row r="2105">
      <c r="B2105" s="7" t="n">
        <v>2103</v>
      </c>
      <c r="C2105" t="inlineStr">
        <is>
          <t>Giám đốc Dịch vụ khách hàng cao cấp - KV Hải Phòng</t>
        </is>
      </c>
      <c r="D2105" t="inlineStr">
        <is>
          <t>BVBank - Ngân hàng Bản Việt</t>
        </is>
      </c>
      <c r="E2105" t="inlineStr">
        <is>
          <t>Lương:Cạnh tranh</t>
        </is>
      </c>
      <c r="F2105" t="inlineStr">
        <is>
          <t>Hải Phòng</t>
        </is>
      </c>
      <c r="G2105" t="inlineStr">
        <is>
          <t>25-03-2026</t>
        </is>
      </c>
      <c r="H2105" t="inlineStr">
        <is>
          <t>25/03/2026</t>
        </is>
      </c>
      <c r="I2105" t="inlineStr">
        <is>
          <t>17/03/2026</t>
        </is>
      </c>
      <c r="J2105" t="inlineStr">
        <is>
          <t>Ngân hàng, Tài chính / Đầu tư, Dịch vụ khách hàng</t>
        </is>
      </c>
      <c r="K2105" t="inlineStr">
        <is>
          <t>2 - 3 Năm</t>
        </is>
      </c>
      <c r="L2105" s="8">
        <f>HYPERLINK("https://careerviet.vn/vi/tim-viec-lam/giam-doc-dich-vu-khach-hang-cao-cap-kv-hai-phong.35C69EDA.html","Xem chi tiết")</f>
        <v/>
      </c>
    </row>
    <row r="2106">
      <c r="B2106" s="9" t="n">
        <v>2104</v>
      </c>
      <c r="C2106" s="10" t="inlineStr">
        <is>
          <t>IE Staff</t>
        </is>
      </c>
      <c r="D2106" s="10" t="inlineStr">
        <is>
          <t>Công ty TNHH, Liên Doanh Vĩnh Hưng (TMI Việt Nam)</t>
        </is>
      </c>
      <c r="E2106" s="10" t="inlineStr">
        <is>
          <t>Lương:9 Tr - 11 Tr VND</t>
        </is>
      </c>
      <c r="F2106" s="10" t="inlineStr">
        <is>
          <t>Hồ Chí Minh</t>
        </is>
      </c>
      <c r="G2106" s="10" t="inlineStr">
        <is>
          <t>12-03-2026</t>
        </is>
      </c>
      <c r="H2106" s="10" t="inlineStr">
        <is>
          <t>28/02/2026</t>
        </is>
      </c>
      <c r="I2106" s="10" t="inlineStr">
        <is>
          <t>17/03/2026</t>
        </is>
      </c>
      <c r="J2106" s="10" t="inlineStr">
        <is>
          <t>Sản xuất / Vận hành sản xuất, Dệt may / Da giày / Thời trang</t>
        </is>
      </c>
      <c r="K2106" s="10" t="inlineStr">
        <is>
          <t>Lên đến 3 Năm</t>
        </is>
      </c>
      <c r="L2106" s="11">
        <f>HYPERLINK("https://careerviet.vn/vi/tim-viec-lam/ie-staff.35C69DD1.html","Xem chi tiết")</f>
        <v/>
      </c>
      <c r="M2106" s="10" t="n"/>
    </row>
    <row r="2107">
      <c r="B2107" s="7" t="n">
        <v>2105</v>
      </c>
      <c r="C2107" t="inlineStr">
        <is>
          <t>[Tuyển Gấp] Chuyên Viên Kinh Doanh Logistics</t>
        </is>
      </c>
      <c r="D2107" t="inlineStr">
        <is>
          <t>Xuân Cầu Holdings</t>
        </is>
      </c>
      <c r="E2107" t="inlineStr">
        <is>
          <t>Lương:15 Tr - 30 Tr VND</t>
        </is>
      </c>
      <c r="F2107" t="inlineStr">
        <is>
          <t>Hà Nội</t>
        </is>
      </c>
      <c r="G2107" t="inlineStr">
        <is>
          <t>28-03-2026</t>
        </is>
      </c>
      <c r="H2107" t="inlineStr">
        <is>
          <t>28/03/2026</t>
        </is>
      </c>
      <c r="I2107" t="inlineStr">
        <is>
          <t>17/03/2026</t>
        </is>
      </c>
      <c r="J2107" t="inlineStr">
        <is>
          <t>Bán hàng / Kinh doanh, Hàng hải, Bất động sản</t>
        </is>
      </c>
      <c r="K2107" t="inlineStr">
        <is>
          <t>2 - 12 Năm</t>
        </is>
      </c>
      <c r="L2107" s="8">
        <f>HYPERLINK("https://careerviet.vn/vi/tim-viec-lam/tuyen-gap-chuyen-vien-kinh-doanh-logistics.35C69E83.html","Xem chi tiết")</f>
        <v/>
      </c>
    </row>
    <row r="2108">
      <c r="B2108" s="9" t="n">
        <v>2106</v>
      </c>
      <c r="C2108" s="10" t="inlineStr">
        <is>
          <t>Kỹ Thuật Viên Bảo Trì, Sửa Chữa Máy Nén Khí</t>
        </is>
      </c>
      <c r="D2108" s="10" t="inlineStr">
        <is>
          <t>Công ty TNHH Thương Mại &amp; Dịch Vụ Công Nghiệp Hoàng Nam</t>
        </is>
      </c>
      <c r="E2108" s="10" t="inlineStr">
        <is>
          <t>Lương:Cạnh tranh</t>
        </is>
      </c>
      <c r="F2108" s="10" t="inlineStr">
        <is>
          <t>Hồ Chí Minh</t>
        </is>
      </c>
      <c r="G2108" s="10" t="inlineStr">
        <is>
          <t>26-03-2026</t>
        </is>
      </c>
      <c r="H2108" s="10" t="inlineStr">
        <is>
          <t>26/03/2026</t>
        </is>
      </c>
      <c r="I2108" s="10" t="inlineStr">
        <is>
          <t>17/03/2026</t>
        </is>
      </c>
      <c r="J2108" s="10" t="inlineStr">
        <is>
          <t>Cơ khí / Ô tô / Tự động hóa, Điện / Điện tử / Điện lạnh / Điện công nghiệp, Bảo trì / Sửa chữa</t>
        </is>
      </c>
      <c r="K2108" s="10" t="inlineStr">
        <is>
          <t>N/A</t>
        </is>
      </c>
      <c r="L2108" s="11">
        <f>HYPERLINK("https://careerviet.vn/vi/tim-viec-lam/ky-thuat-vien-bao-tri-sua-chua-may-nen-khi.35C69F34.html","Xem chi tiết")</f>
        <v/>
      </c>
      <c r="M2108" s="10" t="n"/>
    </row>
    <row r="2109">
      <c r="B2109" s="7" t="n">
        <v>2107</v>
      </c>
      <c r="C2109" t="inlineStr">
        <is>
          <t>Admin Marketing</t>
        </is>
      </c>
      <c r="D2109" t="inlineStr">
        <is>
          <t>Công Ty TNHH Perfect Companion Việt Nam</t>
        </is>
      </c>
      <c r="E2109" t="inlineStr">
        <is>
          <t>Lương:Cạnh tranh</t>
        </is>
      </c>
      <c r="F2109" t="inlineStr">
        <is>
          <t>Hà Nội</t>
        </is>
      </c>
      <c r="G2109" t="inlineStr">
        <is>
          <t>27-03-2026</t>
        </is>
      </c>
      <c r="H2109" t="inlineStr">
        <is>
          <t>27/03/2026</t>
        </is>
      </c>
      <c r="I2109" t="inlineStr">
        <is>
          <t>17/03/2026</t>
        </is>
      </c>
      <c r="J2109" t="inlineStr">
        <is>
          <t>Tiếp thị / Marketing, Hành chính / Thư ký, Tổ chức sự kiện</t>
        </is>
      </c>
      <c r="K2109" t="inlineStr">
        <is>
          <t>Lên đến 1 Năm</t>
        </is>
      </c>
      <c r="L2109" s="8">
        <f>HYPERLINK("https://careerviet.vn/vi/tim-viec-lam/admin-marketing.35C69D88.html","Xem chi tiết")</f>
        <v/>
      </c>
    </row>
    <row r="2110">
      <c r="B2110" s="9" t="n">
        <v>2108</v>
      </c>
      <c r="C2110" s="10" t="inlineStr">
        <is>
          <t>Kế Toán Giá Thành</t>
        </is>
      </c>
      <c r="D2110" s="10" t="inlineStr">
        <is>
          <t>Công ty TNHH Longwell</t>
        </is>
      </c>
      <c r="E2110" s="10" t="inlineStr">
        <is>
          <t>Lương:Cạnh tranh</t>
        </is>
      </c>
      <c r="F2110" s="10" t="inlineStr">
        <is>
          <t>Đồng Nai</t>
        </is>
      </c>
      <c r="G2110" s="10" t="inlineStr">
        <is>
          <t>27-03-2026</t>
        </is>
      </c>
      <c r="H2110" s="10" t="inlineStr">
        <is>
          <t>27/03/2026</t>
        </is>
      </c>
      <c r="I2110" s="10" t="inlineStr">
        <is>
          <t>17/03/2026</t>
        </is>
      </c>
      <c r="J2110" s="10" t="inlineStr">
        <is>
          <t>Kế toán / Kiểm toán, Tài chính / Đầu tư, Hành chính / Thư ký</t>
        </is>
      </c>
      <c r="K2110" s="10" t="inlineStr">
        <is>
          <t>N/A</t>
        </is>
      </c>
      <c r="L2110" s="11">
        <f>HYPERLINK("https://careerviet.vn/vi/tim-viec-lam/ke-toan-gia-thanh.35C6A055.html","Xem chi tiết")</f>
        <v/>
      </c>
      <c r="M2110" s="10" t="n"/>
    </row>
    <row r="2111">
      <c r="B2111" s="7" t="n">
        <v>2109</v>
      </c>
      <c r="C2111" t="inlineStr">
        <is>
          <t>55603 - [Hanoi] Senior Career Advisor/ Leader (English-speaking Jobs)</t>
        </is>
      </c>
      <c r="D2111" t="inlineStr">
        <is>
          <t>RGF HR Agent Vietnam Co., LTD</t>
        </is>
      </c>
      <c r="E2111" t="inlineStr">
        <is>
          <t>Lương:Cạnh tranh</t>
        </is>
      </c>
      <c r="F2111" t="inlineStr">
        <is>
          <t>Hà Nội</t>
        </is>
      </c>
      <c r="G2111" t="inlineStr">
        <is>
          <t>27-03-2026</t>
        </is>
      </c>
      <c r="H2111" t="inlineStr">
        <is>
          <t>27/03/2026</t>
        </is>
      </c>
      <c r="I2111" t="inlineStr">
        <is>
          <t>17/03/2026</t>
        </is>
      </c>
      <c r="J2111" t="inlineStr">
        <is>
          <t>Nhân sự, Tư vấn</t>
        </is>
      </c>
      <c r="K2111" t="inlineStr">
        <is>
          <t>Trên 3 Năm</t>
        </is>
      </c>
      <c r="L2111" s="8">
        <f>HYPERLINK("https://careerviet.vn/vi/tim-viec-lam/55603-hanoi-senior-career-advisor-leader-english-speaking-jobs.35C69E99.html","Xem chi tiết")</f>
        <v/>
      </c>
    </row>
    <row r="2112">
      <c r="B2112" s="9" t="n">
        <v>2110</v>
      </c>
      <c r="C2112" s="10" t="inlineStr">
        <is>
          <t>Cán bộ Kỹ sư QS Xây Dựng</t>
        </is>
      </c>
      <c r="D2112" s="10" t="inlineStr">
        <is>
          <t>Công Ty Cổ Phần Xây Dựng CDC</t>
        </is>
      </c>
      <c r="E2112" s="10" t="inlineStr">
        <is>
          <t>Lương:Cạnh tranh</t>
        </is>
      </c>
      <c r="F2112" s="10" t="inlineStr">
        <is>
          <t>Hà NộiQuảng NinhThừa Thiên- Huế</t>
        </is>
      </c>
      <c r="G2112" s="10" t="inlineStr">
        <is>
          <t>29-03-2026</t>
        </is>
      </c>
      <c r="H2112" s="10" t="inlineStr">
        <is>
          <t>29/03/2026</t>
        </is>
      </c>
      <c r="I2112" s="10" t="inlineStr">
        <is>
          <t>17/03/2026</t>
        </is>
      </c>
      <c r="J2112" s="10" t="inlineStr">
        <is>
          <t>Xây dựng</t>
        </is>
      </c>
      <c r="K2112" s="10" t="inlineStr">
        <is>
          <t>N/A</t>
        </is>
      </c>
      <c r="L2112" s="11">
        <f>HYPERLINK("https://careerviet.vn/vi/tim-viec-lam/can-bo-ky-su-qs-xay-dung.35C69E18.html","Xem chi tiết")</f>
        <v/>
      </c>
      <c r="M2112" s="10" t="n"/>
    </row>
    <row r="2113">
      <c r="B2113" s="7" t="n">
        <v>2111</v>
      </c>
      <c r="C2113" t="inlineStr">
        <is>
          <t>Export Sales Representative (Chinese Speaking)</t>
        </is>
      </c>
      <c r="D2113" t="inlineStr">
        <is>
          <t>Blum Vietnam Co., Ltd</t>
        </is>
      </c>
      <c r="E2113" t="inlineStr">
        <is>
          <t>Lương:20 Tr - 30 Tr VND</t>
        </is>
      </c>
      <c r="F2113" t="inlineStr">
        <is>
          <t>Hồ Chí Minh</t>
        </is>
      </c>
      <c r="G2113" t="inlineStr">
        <is>
          <t>31-03-2026</t>
        </is>
      </c>
      <c r="H2113" t="inlineStr">
        <is>
          <t>31/03/2026</t>
        </is>
      </c>
      <c r="I2113" t="inlineStr">
        <is>
          <t>17/03/2026</t>
        </is>
      </c>
      <c r="J2113" t="inlineStr">
        <is>
          <t>Bán hàng / Kinh doanh, Nội ngoại thất, Kiến trúc</t>
        </is>
      </c>
      <c r="K2113" t="inlineStr">
        <is>
          <t>Trên 3 Năm</t>
        </is>
      </c>
      <c r="L2113" s="8">
        <f>HYPERLINK("https://careerviet.vn/vi/tim-viec-lam/export-sales-representative-chinese-speaking.35C69049.html","Xem chi tiết")</f>
        <v/>
      </c>
    </row>
    <row r="2114">
      <c r="B2114" s="9" t="n">
        <v>2112</v>
      </c>
      <c r="C2114" s="10" t="inlineStr">
        <is>
          <t>[HÀ NỘI] Store Manager (Cửa hàng trưởng cửa hàng thời trang)</t>
        </is>
      </c>
      <c r="D2114" s="10" t="inlineStr">
        <is>
          <t>CÔNG TY TNHH SEMIR INTERNATIONAL VIỆT NAM</t>
        </is>
      </c>
      <c r="E2114" s="10" t="inlineStr">
        <is>
          <t>Lương:Cạnh tranh</t>
        </is>
      </c>
      <c r="F2114" s="10" t="inlineStr">
        <is>
          <t>Hà Nội</t>
        </is>
      </c>
      <c r="G2114" s="10" t="inlineStr">
        <is>
          <t>12-03-2026</t>
        </is>
      </c>
      <c r="H2114" s="10" t="inlineStr">
        <is>
          <t>14/03/2026</t>
        </is>
      </c>
      <c r="I2114" s="10" t="inlineStr">
        <is>
          <t>17/03/2026</t>
        </is>
      </c>
      <c r="J2114" s="10" t="inlineStr">
        <is>
          <t>Bán lẻ / Bán sỉ, Bán hàng / Kinh doanh</t>
        </is>
      </c>
      <c r="K2114" s="10" t="inlineStr">
        <is>
          <t>3 - 5 Năm</t>
        </is>
      </c>
      <c r="L2114" s="11">
        <f>HYPERLINK("https://careerviet.vn/vi/tim-viec-lam/ha-noi-store-manager-cua-hang-truong-cua-hang-thoi-trang.35C69EBE.html","Xem chi tiết")</f>
        <v/>
      </c>
      <c r="M2114" s="10" t="n"/>
    </row>
    <row r="2115">
      <c r="B2115" s="7" t="n">
        <v>2113</v>
      </c>
      <c r="C2115" t="inlineStr">
        <is>
          <t>Kỹ Sư Triển Khai Bản Vẽ Thi Công (Shopdrawing)</t>
        </is>
      </c>
      <c r="D2115" t="inlineStr">
        <is>
          <t>Công Ty Cổ Phần Xây Dựng CDC</t>
        </is>
      </c>
      <c r="E2115" t="inlineStr">
        <is>
          <t>Lương:Cạnh tranh</t>
        </is>
      </c>
      <c r="F2115" t="inlineStr">
        <is>
          <t>Bình DươngQuảng NinhNghệ An</t>
        </is>
      </c>
      <c r="G2115" t="inlineStr">
        <is>
          <t>27-03-2026</t>
        </is>
      </c>
      <c r="H2115" t="inlineStr">
        <is>
          <t>27/03/2026</t>
        </is>
      </c>
      <c r="I2115" t="inlineStr">
        <is>
          <t>17/03/2026</t>
        </is>
      </c>
      <c r="J2115" t="inlineStr">
        <is>
          <t>Xây dựng</t>
        </is>
      </c>
      <c r="K2115" t="inlineStr">
        <is>
          <t>N/A</t>
        </is>
      </c>
      <c r="L2115" s="8">
        <f>HYPERLINK("https://careerviet.vn/vi/tim-viec-lam/ky-su-trien-khai-ban-ve-thi-cong-shopdrawing.35C69E77.html","Xem chi tiết")</f>
        <v/>
      </c>
    </row>
    <row r="2116">
      <c r="B2116" s="9" t="n">
        <v>2114</v>
      </c>
      <c r="C2116" s="10" t="inlineStr">
        <is>
          <t>Giám đốc Trung tâm Ngân hàng Giao dịch</t>
        </is>
      </c>
      <c r="D2116" s="10" t="inlineStr">
        <is>
          <t>Ngân Hàng TMCP Quốc Dân (NCB)</t>
        </is>
      </c>
      <c r="E2116" s="10" t="inlineStr">
        <is>
          <t>Lương:Cạnh tranh</t>
        </is>
      </c>
      <c r="F2116" s="10" t="inlineStr">
        <is>
          <t>Hà Nội</t>
        </is>
      </c>
      <c r="G2116" s="10" t="inlineStr">
        <is>
          <t>27-03-2026</t>
        </is>
      </c>
      <c r="H2116" s="10" t="inlineStr">
        <is>
          <t>27/03/2026</t>
        </is>
      </c>
      <c r="I2116" s="10" t="inlineStr">
        <is>
          <t>17/03/2026</t>
        </is>
      </c>
      <c r="J2116" s="10" t="inlineStr">
        <is>
          <t>Ngân hàng, Tài chính / Đầu tư</t>
        </is>
      </c>
      <c r="K2116" s="10" t="inlineStr">
        <is>
          <t>10 - 12 Năm</t>
        </is>
      </c>
      <c r="L2116" s="11">
        <f>HYPERLINK("https://careerviet.vn/vi/tim-viec-lam/giam-doc-trung-tam-ngan-hang-giao-dich.35C69DE6.html","Xem chi tiết")</f>
        <v/>
      </c>
      <c r="M2116" s="10" t="n"/>
    </row>
    <row r="2117">
      <c r="B2117" s="7" t="n">
        <v>2115</v>
      </c>
      <c r="C2117" t="inlineStr">
        <is>
          <t>Kỹ sư Kết cấu Xây dựng – Địa kỹ thuật (Plaxis 2D)/ Civil Structural Engineer - Geotechnical (Plaxis 2D)</t>
        </is>
      </c>
      <c r="D2117" t="inlineStr">
        <is>
          <t>Công Ty TNHH Boydens Vietnam part of Sweco</t>
        </is>
      </c>
      <c r="E2117" t="inlineStr">
        <is>
          <t>Lương:Cạnh tranh</t>
        </is>
      </c>
      <c r="F2117" t="inlineStr">
        <is>
          <t>Hồ Chí MinhHà Nội</t>
        </is>
      </c>
      <c r="G2117" t="inlineStr">
        <is>
          <t>31-05-2026</t>
        </is>
      </c>
      <c r="H2117" t="inlineStr">
        <is>
          <t>31/05/2026</t>
        </is>
      </c>
      <c r="I2117" t="inlineStr">
        <is>
          <t>17/03/2026</t>
        </is>
      </c>
      <c r="J2117" t="inlineStr">
        <is>
          <t>Trắc địa / Địa Chất, Xây dựng, Bất động sản</t>
        </is>
      </c>
      <c r="K2117" t="inlineStr">
        <is>
          <t>2 - 7 Năm</t>
        </is>
      </c>
      <c r="L2117" s="8">
        <f>HYPERLINK("https://careerviet.vn/vi/tim-viec-lam/ky-su-ket-cau-xay-dung-dia-ky-thuat-plaxis-2d-civil-structural-engineer-geotechnical-plaxis-2d.35C6A0ED.html","Xem chi tiết")</f>
        <v/>
      </c>
    </row>
    <row r="2118">
      <c r="B2118" s="9" t="n">
        <v>2116</v>
      </c>
      <c r="C2118" s="10" t="inlineStr">
        <is>
          <t>GIÁM SÁT KỸ THUẬT CÔNG NGHỆ - Beverage</t>
        </is>
      </c>
      <c r="D2118" s="10" t="inlineStr">
        <is>
          <t>Masan Consumer</t>
        </is>
      </c>
      <c r="E2118" s="10" t="inlineStr">
        <is>
          <t>Lương:Cạnh tranh</t>
        </is>
      </c>
      <c r="F2118" s="10" t="inlineStr">
        <is>
          <t>Bình Thuận</t>
        </is>
      </c>
      <c r="G2118" s="10" t="inlineStr">
        <is>
          <t>30-04-2026</t>
        </is>
      </c>
      <c r="H2118" s="10" t="inlineStr">
        <is>
          <t>30/04/2026</t>
        </is>
      </c>
      <c r="I2118" s="10" t="inlineStr">
        <is>
          <t>17/03/2026</t>
        </is>
      </c>
      <c r="J2118" s="10" t="inlineStr">
        <is>
          <t>Thực phẩm &amp; Đồ uống, Sản xuất / Vận hành sản xuất, Quản lý chất lượng (QA/QC)</t>
        </is>
      </c>
      <c r="K2118" s="10" t="inlineStr">
        <is>
          <t>3 - 5 Năm</t>
        </is>
      </c>
      <c r="L2118" s="11">
        <f>HYPERLINK("https://careerviet.vn/vi/tim-viec-lam/giam-sat-ky-thuat-cong-nghe-beverage.35C69D7F.html","Xem chi tiết")</f>
        <v/>
      </c>
      <c r="M2118" s="10" t="n"/>
    </row>
    <row r="2119">
      <c r="B2119" s="7" t="n">
        <v>2117</v>
      </c>
      <c r="C2119" t="inlineStr">
        <is>
          <t>Kỹ thuật viên/ Test &amp; Debug Technician</t>
        </is>
      </c>
      <c r="D2119" t="inlineStr">
        <is>
          <t>TNHH Sài Gòn Fabrication (Fab-9) Vietnam</t>
        </is>
      </c>
      <c r="E2119" t="inlineStr">
        <is>
          <t>Lương:8 Tr - 11 Tr VND</t>
        </is>
      </c>
      <c r="F2119" t="inlineStr">
        <is>
          <t>Bình Dương</t>
        </is>
      </c>
      <c r="G2119" t="inlineStr">
        <is>
          <t>15-04-2026</t>
        </is>
      </c>
      <c r="H2119" t="inlineStr">
        <is>
          <t>15/04/2026</t>
        </is>
      </c>
      <c r="I2119" t="inlineStr">
        <is>
          <t>17/03/2026</t>
        </is>
      </c>
      <c r="J2119" t="inlineStr">
        <is>
          <t>Điện / Điện tử / Điện lạnh / Điện công nghiệp</t>
        </is>
      </c>
      <c r="K2119" t="inlineStr">
        <is>
          <t>Chưa có kinh nghiệm</t>
        </is>
      </c>
      <c r="L2119" s="8">
        <f>HYPERLINK("https://careerviet.vn/vi/tim-viec-lam/ky-thuat-vien-test-debug-technician.35C69FEC.html","Xem chi tiết")</f>
        <v/>
      </c>
    </row>
    <row r="2120">
      <c r="B2120" s="9" t="n">
        <v>2118</v>
      </c>
      <c r="C2120" s="10" t="inlineStr">
        <is>
          <t>Giám Sát Thi Công Công Trình</t>
        </is>
      </c>
      <c r="D2120" s="10" t="inlineStr">
        <is>
          <t>Công ty cổ phần Cơ khí Đông Anh Licogi</t>
        </is>
      </c>
      <c r="E2120" s="10" t="inlineStr">
        <is>
          <t>Lương:14 Tr - 18 Tr VND</t>
        </is>
      </c>
      <c r="F2120" s="10" t="inlineStr">
        <is>
          <t>Hà Nội</t>
        </is>
      </c>
      <c r="G2120" s="10" t="inlineStr">
        <is>
          <t>12-03-2026</t>
        </is>
      </c>
      <c r="H2120" s="10" t="inlineStr">
        <is>
          <t>16/03/2026</t>
        </is>
      </c>
      <c r="I2120" s="10" t="inlineStr">
        <is>
          <t>17/03/2026</t>
        </is>
      </c>
      <c r="J2120" s="10" t="inlineStr">
        <is>
          <t>Quản lý điều hành, Kiến trúc, Xây dựng</t>
        </is>
      </c>
      <c r="K2120" s="10" t="inlineStr">
        <is>
          <t>N/A</t>
        </is>
      </c>
      <c r="L2120" s="11">
        <f>HYPERLINK("https://careerviet.vn/vi/tim-viec-lam/giam-sat-thi-cong-cong-trinh.35C69F9E.html","Xem chi tiết")</f>
        <v/>
      </c>
      <c r="M2120" s="10" t="n"/>
    </row>
    <row r="2121">
      <c r="B2121" s="7" t="n">
        <v>2119</v>
      </c>
      <c r="C2121" t="inlineStr">
        <is>
          <t>Project Sales Manager</t>
        </is>
      </c>
      <c r="D2121" t="inlineStr">
        <is>
          <t>NANOCO GROUP</t>
        </is>
      </c>
      <c r="E2121" t="inlineStr">
        <is>
          <t>Lương:Cạnh tranh</t>
        </is>
      </c>
      <c r="F2121" t="inlineStr">
        <is>
          <t>Hồ Chí Minh</t>
        </is>
      </c>
      <c r="G2121" t="inlineStr">
        <is>
          <t>29-03-2026</t>
        </is>
      </c>
      <c r="H2121" t="inlineStr">
        <is>
          <t>29/03/2026</t>
        </is>
      </c>
      <c r="I2121" t="inlineStr">
        <is>
          <t>17/03/2026</t>
        </is>
      </c>
      <c r="J2121" t="inlineStr">
        <is>
          <t>Điện / Điện tử / Điện lạnh / Điện công nghiệp, Bán Hàng Kỹ Thuật, Bán hàng / Kinh doanh</t>
        </is>
      </c>
      <c r="K2121" t="inlineStr">
        <is>
          <t>5 - 7 Năm</t>
        </is>
      </c>
      <c r="L2121" s="8">
        <f>HYPERLINK("https://careerviet.vn/vi/tim-viec-lam/project-sales-manager.35C69EC1.html","Xem chi tiết")</f>
        <v/>
      </c>
    </row>
    <row r="2122">
      <c r="B2122" s="9" t="n">
        <v>2120</v>
      </c>
      <c r="C2122" s="10" t="inlineStr">
        <is>
          <t>Trưởng phòng R&amp;D (ngành bánh)</t>
        </is>
      </c>
      <c r="D2122" s="10" t="inlineStr">
        <is>
          <t>Công ty TNHH PHD</t>
        </is>
      </c>
      <c r="E2122" s="10" t="inlineStr">
        <is>
          <t>Lương:30 Tr - 35 Tr VND</t>
        </is>
      </c>
      <c r="F2122" s="10" t="inlineStr">
        <is>
          <t>Hà Nội</t>
        </is>
      </c>
      <c r="G2122" s="10" t="inlineStr">
        <is>
          <t>31-03-2026</t>
        </is>
      </c>
      <c r="H2122" s="10" t="inlineStr">
        <is>
          <t>31/03/2026</t>
        </is>
      </c>
      <c r="I2122" s="10" t="inlineStr">
        <is>
          <t>17/03/2026</t>
        </is>
      </c>
      <c r="J2122" s="10" t="inlineStr">
        <is>
          <t>Thực phẩm &amp; Đồ uống, Quản lý chất lượng (QA/QC), Công nghệ thực phẩm / Dinh dưỡng</t>
        </is>
      </c>
      <c r="K2122" s="10" t="inlineStr">
        <is>
          <t>3 - 5 Năm</t>
        </is>
      </c>
      <c r="L2122" s="11">
        <f>HYPERLINK("https://careerviet.vn/vi/tim-viec-lam/truong-phong-r-d-nganh-banh.35C69D80.html","Xem chi tiết")</f>
        <v/>
      </c>
      <c r="M2122" s="10" t="n"/>
    </row>
    <row r="2123">
      <c r="B2123" s="7" t="n">
        <v>2121</v>
      </c>
      <c r="C2123" t="inlineStr">
        <is>
          <t>Giám Đốc Gia Cầm</t>
        </is>
      </c>
      <c r="D2123" t="inlineStr">
        <is>
          <t>CÔNG TY TNHH DƯỢC PHẨM THÚ Y THỊNH VƯỢNG</t>
        </is>
      </c>
      <c r="E2123" t="inlineStr">
        <is>
          <t>Lương:50 Tr - 80 Tr VND</t>
        </is>
      </c>
      <c r="F2123" t="inlineStr">
        <is>
          <t>Hà NộiHồ Chí MinhĐà Nẵng</t>
        </is>
      </c>
      <c r="G2123" t="inlineStr">
        <is>
          <t>27-03-2026</t>
        </is>
      </c>
      <c r="H2123" t="inlineStr">
        <is>
          <t>27/03/2026</t>
        </is>
      </c>
      <c r="I2123" t="inlineStr">
        <is>
          <t>17/03/2026</t>
        </is>
      </c>
      <c r="J2123" t="inlineStr">
        <is>
          <t>Chăn nuôi / Thú y, Nông nghiệp, Quản lý điều hành</t>
        </is>
      </c>
      <c r="K2123" t="inlineStr">
        <is>
          <t>Trên 5 Năm</t>
        </is>
      </c>
      <c r="L2123" s="8">
        <f>HYPERLINK("https://careerviet.vn/vi/tim-viec-lam/giam-doc-gia-cam.35C69DA6.html","Xem chi tiết")</f>
        <v/>
      </c>
    </row>
    <row r="2124">
      <c r="B2124" s="9" t="n">
        <v>2122</v>
      </c>
      <c r="C2124" s="10" t="inlineStr">
        <is>
          <t>Project Management Engineer (PME)  *Urgent*</t>
        </is>
      </c>
      <c r="D2124" s="10" t="inlineStr">
        <is>
          <t>GOOD VIEW PLASTICS (VIETNAM) COMPANY LIMITED</t>
        </is>
      </c>
      <c r="E2124" s="10" t="inlineStr">
        <is>
          <t>Lương:Cạnh tranh</t>
        </is>
      </c>
      <c r="F2124" s="10" t="inlineStr">
        <is>
          <t>Đồng Nai</t>
        </is>
      </c>
      <c r="G2124" s="10" t="inlineStr">
        <is>
          <t>06-04-2026</t>
        </is>
      </c>
      <c r="H2124" s="10" t="inlineStr">
        <is>
          <t>06/04/2026</t>
        </is>
      </c>
      <c r="I2124" s="10" t="inlineStr">
        <is>
          <t>17/03/2026</t>
        </is>
      </c>
      <c r="J2124" s="10" t="inlineStr">
        <is>
          <t>Sản xuất / Vận hành sản xuất, Mỹ thuật / Nghệ thuật / Thiết kế, Ngành khác</t>
        </is>
      </c>
      <c r="K2124" s="10" t="inlineStr">
        <is>
          <t>2 - 5 Năm</t>
        </is>
      </c>
      <c r="L2124" s="11">
        <f>HYPERLINK("https://careerviet.vn/vi/tim-viec-lam/project-management-engineer-pme-urgent.35C6B281.html","Xem chi tiết")</f>
        <v/>
      </c>
      <c r="M2124" s="10" t="n"/>
    </row>
    <row r="2125">
      <c r="B2125" s="7" t="n">
        <v>2123</v>
      </c>
      <c r="C2125" t="inlineStr">
        <is>
          <t>NHÂN VIÊN QC</t>
        </is>
      </c>
      <c r="D2125" t="inlineStr">
        <is>
          <t>CÔNG TY CỔ PHẦN  KTG ELECTRIC</t>
        </is>
      </c>
      <c r="E2125" t="inlineStr">
        <is>
          <t>Lương:Cạnh tranh</t>
        </is>
      </c>
      <c r="F2125" t="inlineStr">
        <is>
          <t>Hồ Chí Minh</t>
        </is>
      </c>
      <c r="G2125" t="inlineStr">
        <is>
          <t>06-04-2026</t>
        </is>
      </c>
      <c r="H2125" t="inlineStr">
        <is>
          <t>06/04/2026</t>
        </is>
      </c>
      <c r="I2125" t="inlineStr">
        <is>
          <t>17/03/2026</t>
        </is>
      </c>
      <c r="J2125" t="inlineStr">
        <is>
          <t>Quản lý chất lượng (QA/QC), Điện / Điện tử / Điện lạnh / Điện công nghiệp, Cơ khí / Ô tô / Tự động hóa</t>
        </is>
      </c>
      <c r="K2125" t="inlineStr">
        <is>
          <t>1 - 2 Năm</t>
        </is>
      </c>
      <c r="L2125" s="8">
        <f>HYPERLINK("https://careerviet.vn/vi/tim-viec-lam/nhan-vien-qc.35C6B41B.html","Xem chi tiết")</f>
        <v/>
      </c>
    </row>
    <row r="2126">
      <c r="B2126" s="9" t="n">
        <v>2124</v>
      </c>
      <c r="C2126" s="10" t="inlineStr">
        <is>
          <t>Nhân Viên Kinh Doanh</t>
        </is>
      </c>
      <c r="D2126" s="10" t="inlineStr">
        <is>
          <t>CÔNG TY TNHH BAO BÌ KIM LOẠI KAIDA</t>
        </is>
      </c>
      <c r="E2126" s="10" t="inlineStr">
        <is>
          <t>Lương:8 Tr - 20 Tr VND</t>
        </is>
      </c>
      <c r="F2126" s="10" t="inlineStr">
        <is>
          <t>Long An</t>
        </is>
      </c>
      <c r="G2126" s="10" t="inlineStr">
        <is>
          <t>27-03-2026</t>
        </is>
      </c>
      <c r="H2126" s="10" t="inlineStr">
        <is>
          <t>27/03/2026</t>
        </is>
      </c>
      <c r="I2126" s="10" t="inlineStr">
        <is>
          <t>17/03/2026</t>
        </is>
      </c>
      <c r="J2126" s="10" t="inlineStr">
        <is>
          <t>Bán hàng / Kinh doanh, Bán Hàng Kỹ Thuật, Ngành khác</t>
        </is>
      </c>
      <c r="K2126" s="10" t="inlineStr">
        <is>
          <t>1 Năm</t>
        </is>
      </c>
      <c r="L2126" s="11">
        <f>HYPERLINK("https://careerviet.vn/vi/tim-viec-lam/nhan-vien-kinh-doanh.35C69F46.html","Xem chi tiết")</f>
        <v/>
      </c>
      <c r="M2126" s="10" t="n"/>
    </row>
    <row r="2127">
      <c r="B2127" s="7" t="n">
        <v>2125</v>
      </c>
      <c r="C2127" t="inlineStr">
        <is>
          <t>127684 - [Home base] IT Sales Assistant Manager - Hardware</t>
        </is>
      </c>
      <c r="D2127" t="inlineStr">
        <is>
          <t>RGF HR Agent Vietnam Co., LTD</t>
        </is>
      </c>
      <c r="E2127" t="inlineStr">
        <is>
          <t>Lương:20 Tr - 30 Tr VND</t>
        </is>
      </c>
      <c r="F2127" t="inlineStr">
        <is>
          <t>Hồ Chí Minh</t>
        </is>
      </c>
      <c r="G2127" t="inlineStr">
        <is>
          <t>12-03-2026</t>
        </is>
      </c>
      <c r="H2127" t="inlineStr">
        <is>
          <t>12/03/2026</t>
        </is>
      </c>
      <c r="I2127" t="inlineStr">
        <is>
          <t>17/03/2026</t>
        </is>
      </c>
      <c r="J2127" t="inlineStr">
        <is>
          <t>Bán hàng / Kinh doanh, CNTT - Phần cứng / Mạng</t>
        </is>
      </c>
      <c r="K2127" t="inlineStr">
        <is>
          <t>3 - 5 Năm</t>
        </is>
      </c>
      <c r="L2127" s="8">
        <f>HYPERLINK("https://careerviet.vn/vi/tim-viec-lam/127684-home-base-it-sales-assistant-manager-hardware.35C6B421.html","Xem chi tiết")</f>
        <v/>
      </c>
    </row>
    <row r="2128">
      <c r="B2128" s="9" t="n">
        <v>2126</v>
      </c>
      <c r="C2128" s="10" t="inlineStr">
        <is>
          <t>Nhân viên kinh doanh (Dịch vụ an toàn hàng hải)</t>
        </is>
      </c>
      <c r="D2128" s="10" t="inlineStr">
        <is>
          <t>Công ty TNHH DV và Kỹ Thuật Biển Xanh (GOTCO)</t>
        </is>
      </c>
      <c r="E2128" s="10" t="inlineStr">
        <is>
          <t>Lương:14 Tr - 20 Tr VND</t>
        </is>
      </c>
      <c r="F2128" s="10" t="inlineStr">
        <is>
          <t>Hồ Chí Minh</t>
        </is>
      </c>
      <c r="G2128" s="10" t="inlineStr">
        <is>
          <t>15-04-2026</t>
        </is>
      </c>
      <c r="H2128" s="10" t="inlineStr">
        <is>
          <t>15/04/2026</t>
        </is>
      </c>
      <c r="I2128" s="10" t="inlineStr">
        <is>
          <t>17/03/2026</t>
        </is>
      </c>
      <c r="J2128" s="10" t="inlineStr">
        <is>
          <t>Bán hàng / Kinh doanh, Bán Hàng Kỹ Thuật, Xuất nhập khẩu</t>
        </is>
      </c>
      <c r="K2128" s="10" t="inlineStr">
        <is>
          <t>1 - 2 Năm</t>
        </is>
      </c>
      <c r="L2128" s="11">
        <f>HYPERLINK("https://careerviet.vn/vi/tim-viec-lam/nhan-vien-kinh-doanh-dich-vu-an-toan-hang-hai.35C6B376.html","Xem chi tiết")</f>
        <v/>
      </c>
      <c r="M2128" s="10" t="n"/>
    </row>
    <row r="2129">
      <c r="B2129" s="7" t="n">
        <v>2127</v>
      </c>
      <c r="C2129" t="inlineStr">
        <is>
          <t>Business Analyst (Từ 1 Năm Kinh Nghiệm Mảng Giáo Dục/ERP/F&amp;B)</t>
        </is>
      </c>
      <c r="D2129" t="inlineStr">
        <is>
          <t>CÔNG TY CỔ PHẦN TƯ VẤN ĐÁNH GIÁ VÀ PHÁT TRIỂN GIÁO DỤC EDUTALK</t>
        </is>
      </c>
      <c r="E2129" t="inlineStr">
        <is>
          <t>Lương:10 Tr - 13 Tr VND</t>
        </is>
      </c>
      <c r="F2129" t="inlineStr">
        <is>
          <t>Hà Nội</t>
        </is>
      </c>
      <c r="G2129" t="inlineStr">
        <is>
          <t>31-03-2026</t>
        </is>
      </c>
      <c r="H2129" t="inlineStr">
        <is>
          <t>31/03/2026</t>
        </is>
      </c>
      <c r="I2129" t="inlineStr">
        <is>
          <t>17/03/2026</t>
        </is>
      </c>
      <c r="J2129" t="inlineStr">
        <is>
          <t>CNTT - Phần mềm, Giáo dục / Đào tạo</t>
        </is>
      </c>
      <c r="K2129" t="inlineStr">
        <is>
          <t>N/A</t>
        </is>
      </c>
      <c r="L2129" s="8">
        <f>HYPERLINK("https://careerviet.vn/vi/tim-viec-lam/business-analyst-tu-1-nam-kinh-nghiem-mang-giao-duc-erp-f-b.35C6B571.html","Xem chi tiết")</f>
        <v/>
      </c>
    </row>
    <row r="2130">
      <c r="B2130" s="9" t="n">
        <v>2128</v>
      </c>
      <c r="C2130" s="10" t="inlineStr">
        <is>
          <t>External QC Manager (funiture experience is required)</t>
        </is>
      </c>
      <c r="D2130" s="10" t="inlineStr">
        <is>
          <t>Vietnam Furniture Resources (VFR)</t>
        </is>
      </c>
      <c r="E2130" s="10" t="inlineStr">
        <is>
          <t>Lương:Cạnh tranh</t>
        </is>
      </c>
      <c r="F2130" s="10" t="inlineStr">
        <is>
          <t>Bình Dương</t>
        </is>
      </c>
      <c r="G2130" s="10" t="inlineStr">
        <is>
          <t>26-05-2026</t>
        </is>
      </c>
      <c r="H2130" s="10" t="inlineStr">
        <is>
          <t>26/05/2026</t>
        </is>
      </c>
      <c r="I2130" s="10" t="inlineStr">
        <is>
          <t>17/03/2026</t>
        </is>
      </c>
      <c r="J2130" s="10" t="inlineStr">
        <is>
          <t>Đồ gỗ, Nội ngoại thất, Quản lý chất lượng (QA/QC)</t>
        </is>
      </c>
      <c r="K2130" s="10" t="inlineStr">
        <is>
          <t>Chưa có kinh nghiệm</t>
        </is>
      </c>
      <c r="L2130" s="11">
        <f>HYPERLINK("https://careerviet.vn/vi/tim-viec-lam/external-qc-manager-funiture-experience-is-required.35C6B45F.html","Xem chi tiết")</f>
        <v/>
      </c>
      <c r="M2130" s="10" t="n"/>
    </row>
    <row r="2131">
      <c r="B2131" s="7" t="n">
        <v>2129</v>
      </c>
      <c r="C2131" t="inlineStr">
        <is>
          <t>NHÂN VIÊN KINH DOANH（LCB: 10-20 TRIỆU+ HOA HỒNG)</t>
        </is>
      </c>
      <c r="D2131" t="inlineStr">
        <is>
          <t>Công ty TNHH kinh doanh dịch vụ Yuchai phát điện (Việt Nam)</t>
        </is>
      </c>
      <c r="E2131" t="inlineStr">
        <is>
          <t>Lương:10 Tr - 20 Tr VND</t>
        </is>
      </c>
      <c r="F2131" t="inlineStr">
        <is>
          <t>Hà Nội</t>
        </is>
      </c>
      <c r="G2131" t="inlineStr">
        <is>
          <t>30-04-2026</t>
        </is>
      </c>
      <c r="H2131" t="inlineStr">
        <is>
          <t>30/04/2026</t>
        </is>
      </c>
      <c r="I2131" t="inlineStr">
        <is>
          <t>17/03/2026</t>
        </is>
      </c>
      <c r="J2131" t="inlineStr">
        <is>
          <t>Bán hàng / Kinh doanh, Bán Hàng Kỹ Thuật, Điện / Điện tử / Điện lạnh / Điện công nghiệp</t>
        </is>
      </c>
      <c r="K2131" t="inlineStr">
        <is>
          <t>N/A</t>
        </is>
      </c>
      <c r="L2131" s="8">
        <f>HYPERLINK("https://careerviet.vn/vi/tim-viec-lam/nhan-vien-kinh-doanh-lcb-10-20-trieu-hoa-hong.35C6B248.html","Xem chi tiết")</f>
        <v/>
      </c>
    </row>
    <row r="2132">
      <c r="B2132" s="9" t="n">
        <v>2130</v>
      </c>
      <c r="C2132" s="10" t="inlineStr">
        <is>
          <t>Trưởng phòng Kế hoạch &amp; Đầu tư</t>
        </is>
      </c>
      <c r="D2132" s="10" t="inlineStr">
        <is>
          <t>Công Ty Cổ Phần Tập Đoàn TH</t>
        </is>
      </c>
      <c r="E2132" s="10" t="inlineStr">
        <is>
          <t>Lương:Cạnh tranh</t>
        </is>
      </c>
      <c r="F2132" s="10" t="inlineStr">
        <is>
          <t>Hà Nội</t>
        </is>
      </c>
      <c r="G2132" s="10" t="inlineStr">
        <is>
          <t>30-04-2026</t>
        </is>
      </c>
      <c r="H2132" s="10" t="inlineStr">
        <is>
          <t>30/04/2026</t>
        </is>
      </c>
      <c r="I2132" s="10" t="inlineStr">
        <is>
          <t>17/03/2026</t>
        </is>
      </c>
      <c r="J2132" s="10" t="inlineStr">
        <is>
          <t>Xây dựng</t>
        </is>
      </c>
      <c r="K2132" s="10" t="inlineStr">
        <is>
          <t>3 - 5 Năm</t>
        </is>
      </c>
      <c r="L2132" s="11">
        <f>HYPERLINK("https://careerviet.vn/vi/tim-viec-lam/truong-phong-ke-hoach-dau-tu.35C6B2F1.html","Xem chi tiết")</f>
        <v/>
      </c>
      <c r="M2132" s="10" t="n"/>
    </row>
    <row r="2133">
      <c r="B2133" s="7" t="n">
        <v>2131</v>
      </c>
      <c r="C2133" t="inlineStr">
        <is>
          <t>Trưởng Phòng Kinh Doanh</t>
        </is>
      </c>
      <c r="D2133" t="inlineStr">
        <is>
          <t>Công ty TNHH Đại Phát Tín</t>
        </is>
      </c>
      <c r="E2133" t="inlineStr">
        <is>
          <t>Lương:Cạnh tranh</t>
        </is>
      </c>
      <c r="F2133" t="inlineStr">
        <is>
          <t>Hồ Chí Minh</t>
        </is>
      </c>
      <c r="G2133" t="inlineStr">
        <is>
          <t>31-03-2026</t>
        </is>
      </c>
      <c r="H2133" t="inlineStr">
        <is>
          <t>31/03/2026</t>
        </is>
      </c>
      <c r="I2133" t="inlineStr">
        <is>
          <t>17/03/2026</t>
        </is>
      </c>
      <c r="J2133" t="inlineStr">
        <is>
          <t>Tiếp thị / Marketing, Bán hàng / Kinh doanh, Cơ khí / Ô tô / Tự động hóa</t>
        </is>
      </c>
      <c r="K2133" t="inlineStr">
        <is>
          <t>1 - 5 Năm</t>
        </is>
      </c>
      <c r="L2133" s="8">
        <f>HYPERLINK("https://careerviet.vn/vi/tim-viec-lam/truong-phong-kinh-doanh.35C6B428.html","Xem chi tiết")</f>
        <v/>
      </c>
    </row>
    <row r="2134">
      <c r="B2134" s="9" t="n">
        <v>2132</v>
      </c>
      <c r="C2134" s="10" t="inlineStr">
        <is>
          <t>Sales Admin 27684 - Cần Giuộc, Long An</t>
        </is>
      </c>
      <c r="D2134" s="10" t="inlineStr">
        <is>
          <t>Công Ty TNHH Reeracoen Việt Nam</t>
        </is>
      </c>
      <c r="E2134" s="10" t="inlineStr">
        <is>
          <t>Lương:10 Tr - 11 Tr VND</t>
        </is>
      </c>
      <c r="F2134" s="10" t="inlineStr">
        <is>
          <t>Long An</t>
        </is>
      </c>
      <c r="G2134" s="10" t="inlineStr">
        <is>
          <t>06-04-2026</t>
        </is>
      </c>
      <c r="H2134" s="10" t="inlineStr">
        <is>
          <t>06/04/2026</t>
        </is>
      </c>
      <c r="I2134" s="10" t="inlineStr">
        <is>
          <t>17/03/2026</t>
        </is>
      </c>
      <c r="J2134" s="10" t="inlineStr">
        <is>
          <t>Bán hàng / Kinh doanh, Hành chính / Thư ký, Biên phiên dịch</t>
        </is>
      </c>
      <c r="K2134" s="10" t="inlineStr">
        <is>
          <t>N/A</t>
        </is>
      </c>
      <c r="L2134" s="11">
        <f>HYPERLINK("https://careerviet.vn/vi/tim-viec-lam/sales-admin-27684-can-giuoc-long-an.35C6B519.html","Xem chi tiết")</f>
        <v/>
      </c>
      <c r="M2134" s="10" t="n"/>
    </row>
    <row r="2135">
      <c r="B2135" s="7" t="n">
        <v>2133</v>
      </c>
      <c r="C2135" t="inlineStr">
        <is>
          <t>Trưởng/Phó phòng đào tạo - Ban Nhân sự</t>
        </is>
      </c>
      <c r="D2135" t="inlineStr">
        <is>
          <t>Tổng Công ty Cổ phần Bảo hiểm Ngân hàng Đầu tư và Phát triển Việt Nam (BIC)</t>
        </is>
      </c>
      <c r="E2135" t="inlineStr">
        <is>
          <t>Lương:Cạnh tranh</t>
        </is>
      </c>
      <c r="F2135" t="inlineStr">
        <is>
          <t>Hà Nội</t>
        </is>
      </c>
      <c r="G2135" t="inlineStr">
        <is>
          <t>04-04-2026</t>
        </is>
      </c>
      <c r="H2135" t="inlineStr">
        <is>
          <t>04/04/2026</t>
        </is>
      </c>
      <c r="I2135" t="inlineStr">
        <is>
          <t>17/03/2026</t>
        </is>
      </c>
      <c r="J2135" t="inlineStr">
        <is>
          <t>Giáo dục / Đào tạo, Nhân sự</t>
        </is>
      </c>
      <c r="K2135" t="inlineStr">
        <is>
          <t>5 - 10 Năm</t>
        </is>
      </c>
      <c r="L2135" s="8">
        <f>HYPERLINK("https://careerviet.vn/vi/tim-viec-lam/truong-pho-phong-dao-tao-ban-nhan-su.35C6B568.html","Xem chi tiết")</f>
        <v/>
      </c>
    </row>
    <row r="2136">
      <c r="B2136" s="9" t="n">
        <v>2134</v>
      </c>
      <c r="C2136" s="10" t="inlineStr">
        <is>
          <t>O&amp;M Technical Coordinator / Nhân Viên Điều Phối Kỹ Thuật</t>
        </is>
      </c>
      <c r="D2136" s="10" t="inlineStr">
        <is>
          <t>CÔNG TY TNHH ĐIỆN LỰC AMATA (BIÊN HÒA)</t>
        </is>
      </c>
      <c r="E2136" s="10" t="inlineStr">
        <is>
          <t>Lương:Cạnh tranh</t>
        </is>
      </c>
      <c r="F2136" s="10" t="inlineStr">
        <is>
          <t>Hồ Chí Minh</t>
        </is>
      </c>
      <c r="G2136" s="10" t="inlineStr">
        <is>
          <t>06-04-2026</t>
        </is>
      </c>
      <c r="H2136" s="10" t="inlineStr">
        <is>
          <t>06/04/2026</t>
        </is>
      </c>
      <c r="I2136" s="10" t="inlineStr">
        <is>
          <t>17/03/2026</t>
        </is>
      </c>
      <c r="J2136" s="10" t="inlineStr">
        <is>
          <t>Cơ khí / Ô tô / Tự động hóa, Điện / Điện tử / Điện lạnh / Điện công nghiệp, Bảo trì / Sửa chữa</t>
        </is>
      </c>
      <c r="K2136" s="10" t="inlineStr">
        <is>
          <t>Trên 2 Năm</t>
        </is>
      </c>
      <c r="L2136" s="11">
        <f>HYPERLINK("https://careerviet.vn/vi/tim-viec-lam/o-m-technical-coordinator-nhan-vien-dieu-phoi-ky-thuat.35C6B3AC.html","Xem chi tiết")</f>
        <v/>
      </c>
      <c r="M2136" s="10" t="n"/>
    </row>
    <row r="2137">
      <c r="B2137" s="7" t="n">
        <v>2135</v>
      </c>
      <c r="C2137" t="inlineStr">
        <is>
          <t>Nhân viên điều phối (Support leader)</t>
        </is>
      </c>
      <c r="D2137" t="inlineStr">
        <is>
          <t>Công ty TNHH Buymed Logistics</t>
        </is>
      </c>
      <c r="E2137" t="inlineStr">
        <is>
          <t>Lương:9 Tr - 12 Tr VND</t>
        </is>
      </c>
      <c r="F2137" t="inlineStr">
        <is>
          <t>Bắc Ninh</t>
        </is>
      </c>
      <c r="G2137" t="inlineStr">
        <is>
          <t>07-04-2026</t>
        </is>
      </c>
      <c r="H2137" t="inlineStr">
        <is>
          <t>07/04/2026</t>
        </is>
      </c>
      <c r="I2137" t="inlineStr">
        <is>
          <t>17/03/2026</t>
        </is>
      </c>
      <c r="J2137" t="inlineStr">
        <is>
          <t>Vận chuyển / Giao nhận / Kho vận</t>
        </is>
      </c>
      <c r="K2137" t="inlineStr">
        <is>
          <t>1 - 2 Năm</t>
        </is>
      </c>
      <c r="L2137" s="8">
        <f>HYPERLINK("https://careerviet.vn/vi/tim-viec-lam/nhan-vien-dieu-phoi-support-leader.35C6B57D.html","Xem chi tiết")</f>
        <v/>
      </c>
    </row>
    <row r="2138">
      <c r="B2138" s="9" t="n">
        <v>2136</v>
      </c>
      <c r="C2138" s="10" t="inlineStr">
        <is>
          <t>Trưởng phòng Kỹ thuật (sửa chữa phương tiện)</t>
        </is>
      </c>
      <c r="D2138" s="10" t="inlineStr">
        <is>
          <t>Công ty Cổ phần Transimex Logisitcs</t>
        </is>
      </c>
      <c r="E2138" s="10" t="inlineStr">
        <is>
          <t>Lương:35 Tr - 40 Tr VND</t>
        </is>
      </c>
      <c r="F2138" s="10" t="inlineStr">
        <is>
          <t>Hồ Chí Minh</t>
        </is>
      </c>
      <c r="G2138" s="10" t="inlineStr">
        <is>
          <t>05-04-2026</t>
        </is>
      </c>
      <c r="H2138" s="10" t="inlineStr">
        <is>
          <t>05/04/2026</t>
        </is>
      </c>
      <c r="I2138" s="10" t="inlineStr">
        <is>
          <t>17/03/2026</t>
        </is>
      </c>
      <c r="J2138" s="10" t="inlineStr">
        <is>
          <t>Vận chuyển / Giao nhận / Kho vận, Cơ khí / Ô tô / Tự động hóa, Bảo trì / Sửa chữa</t>
        </is>
      </c>
      <c r="K2138" s="10" t="inlineStr">
        <is>
          <t>5 - 10 Năm</t>
        </is>
      </c>
      <c r="L2138" s="11">
        <f>HYPERLINK("https://careerviet.vn/vi/tim-viec-lam/truong-phong-ky-thuat-sua-chua-phuong-tien.35C6B51B.html","Xem chi tiết")</f>
        <v/>
      </c>
      <c r="M2138" s="10" t="n"/>
    </row>
    <row r="2139">
      <c r="B2139" s="7" t="n">
        <v>2137</v>
      </c>
      <c r="C2139" t="inlineStr">
        <is>
          <t>NHÂN VIÊN KINH DOANH</t>
        </is>
      </c>
      <c r="D2139" t="inlineStr">
        <is>
          <t>Công Ty Trách Nhiệm Hữu Hạn Một Thành Viên YGS Vina</t>
        </is>
      </c>
      <c r="E2139" t="inlineStr">
        <is>
          <t>Lương:Cạnh tranh</t>
        </is>
      </c>
      <c r="F2139" t="inlineStr">
        <is>
          <t>Đồng Nai</t>
        </is>
      </c>
      <c r="G2139" t="inlineStr">
        <is>
          <t>06-04-2026</t>
        </is>
      </c>
      <c r="H2139" t="inlineStr">
        <is>
          <t>06/04/2026</t>
        </is>
      </c>
      <c r="I2139" t="inlineStr">
        <is>
          <t>17/03/2026</t>
        </is>
      </c>
      <c r="J2139" t="inlineStr">
        <is>
          <t>Bán hàng / Kinh doanh, Sản xuất / Vận hành sản xuất, Bán lẻ / Bán sỉ</t>
        </is>
      </c>
      <c r="K2139" t="inlineStr">
        <is>
          <t>1 - 2 Năm</t>
        </is>
      </c>
      <c r="L2139" s="8">
        <f>HYPERLINK("https://careerviet.vn/vi/tim-viec-lam/nhan-vien-kinh-doanh.35C6B3AA.html","Xem chi tiết")</f>
        <v/>
      </c>
    </row>
    <row r="2140">
      <c r="B2140" s="9" t="n">
        <v>2138</v>
      </c>
      <c r="C2140" s="10" t="inlineStr">
        <is>
          <t>Accountant (Chinese Speaking)</t>
        </is>
      </c>
      <c r="D2140" s="10" t="inlineStr">
        <is>
          <t>CÔNG TY TNHH LINKTRANS LOGISTICS (VIỆT NAM)</t>
        </is>
      </c>
      <c r="E2140" s="10" t="inlineStr">
        <is>
          <t>Lương:15 Tr - 25 Tr VND</t>
        </is>
      </c>
      <c r="F2140" s="10" t="inlineStr">
        <is>
          <t>Hồ Chí Minh</t>
        </is>
      </c>
      <c r="G2140" s="10" t="inlineStr">
        <is>
          <t>06-04-2026</t>
        </is>
      </c>
      <c r="H2140" s="10" t="inlineStr">
        <is>
          <t>06/04/2026</t>
        </is>
      </c>
      <c r="I2140" s="10" t="inlineStr">
        <is>
          <t>17/03/2026</t>
        </is>
      </c>
      <c r="J2140" s="10" t="inlineStr">
        <is>
          <t>Kế toán / Kiểm toán, Tài chính / Đầu tư, Luật / Pháp lý</t>
        </is>
      </c>
      <c r="K2140" s="10" t="inlineStr">
        <is>
          <t>Trên 3 Năm</t>
        </is>
      </c>
      <c r="L2140" s="11">
        <f>HYPERLINK("https://careerviet.vn/vi/tim-viec-lam/accountant-chinese-speaking.35C6B4C0.html","Xem chi tiết")</f>
        <v/>
      </c>
      <c r="M2140" s="10" t="n"/>
    </row>
    <row r="2141">
      <c r="B2141" s="7" t="n">
        <v>2139</v>
      </c>
      <c r="C2141" t="inlineStr">
        <is>
          <t>Chuyên viên cao cấp Quản lý quy trình - Trung tâm Vận hành tối ưu - Khối Vận hành</t>
        </is>
      </c>
      <c r="D2141" t="inlineStr">
        <is>
          <t>Ngân hàng TMCP Đại Chúng Việt Nam - PVcomBank</t>
        </is>
      </c>
      <c r="E2141" t="inlineStr">
        <is>
          <t>Lương:Cạnh tranh</t>
        </is>
      </c>
      <c r="F2141" t="inlineStr">
        <is>
          <t>Hà Nội</t>
        </is>
      </c>
      <c r="G2141" t="inlineStr">
        <is>
          <t>03-04-2026</t>
        </is>
      </c>
      <c r="H2141" t="inlineStr">
        <is>
          <t>03/04/2026</t>
        </is>
      </c>
      <c r="I2141" t="inlineStr">
        <is>
          <t>17/03/2026</t>
        </is>
      </c>
      <c r="J2141" t="inlineStr">
        <is>
          <t>Ngân hàng, Tài chính / Đầu tư</t>
        </is>
      </c>
      <c r="K2141" t="inlineStr">
        <is>
          <t>3 - 10 Năm</t>
        </is>
      </c>
      <c r="L2141" s="8">
        <f>HYPERLINK("https://careerviet.vn/vi/tim-viec-lam/chuyen-vien-cao-cap-quan-ly-quy-trinh-trung-tam-van-hanh-toi-uu-khoi-van-hanh.35C6B56A.html","Xem chi tiết")</f>
        <v/>
      </c>
    </row>
    <row r="2142">
      <c r="B2142" s="9" t="n">
        <v>2140</v>
      </c>
      <c r="C2142" s="10" t="inlineStr">
        <is>
          <t>Nhân Viên Kỹ Thuật Điện Gia Dụng tại Quận 2</t>
        </is>
      </c>
      <c r="D2142" s="10" t="inlineStr">
        <is>
          <t>Công Ty TNHH Tập Đoàn Rita Võ</t>
        </is>
      </c>
      <c r="E2142" s="10" t="inlineStr">
        <is>
          <t>Lương:9 Tr - 12 Tr VND</t>
        </is>
      </c>
      <c r="F2142" s="10" t="inlineStr">
        <is>
          <t>Hồ Chí Minh</t>
        </is>
      </c>
      <c r="G2142" s="10" t="inlineStr">
        <is>
          <t>03-04-2026</t>
        </is>
      </c>
      <c r="H2142" s="10" t="inlineStr">
        <is>
          <t>03/04/2026</t>
        </is>
      </c>
      <c r="I2142" s="10" t="inlineStr">
        <is>
          <t>17/03/2026</t>
        </is>
      </c>
      <c r="J2142" s="10" t="inlineStr">
        <is>
          <t>Điện / Điện tử / Điện lạnh / Điện công nghiệp, Bảo trì / Sửa chữa</t>
        </is>
      </c>
      <c r="K2142" s="10" t="inlineStr">
        <is>
          <t>Trên 1 Năm</t>
        </is>
      </c>
      <c r="L2142" s="11">
        <f>HYPERLINK("https://careerviet.vn/vi/tim-viec-lam/nhan-vien-ky-thuat-dien-gia-dung-tai-quan-2.35C6B485.html","Xem chi tiết")</f>
        <v/>
      </c>
      <c r="M2142" s="10" t="n"/>
    </row>
    <row r="2143">
      <c r="B2143" s="7" t="n">
        <v>2141</v>
      </c>
      <c r="C2143" t="inlineStr">
        <is>
          <t>Kỹ sư  Shopdrawing/Họa viên/SD/Shopdrawing Engineer</t>
        </is>
      </c>
      <c r="D2143" t="inlineStr">
        <is>
          <t>Công Ty Cổ Phần Xây Dựng Central</t>
        </is>
      </c>
      <c r="E2143" t="inlineStr">
        <is>
          <t>Lương:Cạnh tranh</t>
        </is>
      </c>
      <c r="F2143" t="inlineStr">
        <is>
          <t>Hồ Chí MinhHà Nội</t>
        </is>
      </c>
      <c r="G2143" t="inlineStr">
        <is>
          <t>30-04-2026</t>
        </is>
      </c>
      <c r="H2143" t="inlineStr">
        <is>
          <t>30/04/2026</t>
        </is>
      </c>
      <c r="I2143" t="inlineStr">
        <is>
          <t>17/03/2026</t>
        </is>
      </c>
      <c r="J2143" t="inlineStr">
        <is>
          <t>Kiến trúc, Xây dựng</t>
        </is>
      </c>
      <c r="K2143" t="inlineStr">
        <is>
          <t>2 - 5 Năm</t>
        </is>
      </c>
      <c r="L2143" s="8">
        <f>HYPERLINK("https://careerviet.vn/vi/tim-viec-lam/ky-su-shopdrawing-hoa-vien-sd-shopdrawing-engineer.35C6B32D.html","Xem chi tiết")</f>
        <v/>
      </c>
    </row>
    <row r="2144">
      <c r="B2144" s="9" t="n">
        <v>2142</v>
      </c>
      <c r="C2144" s="10" t="inlineStr">
        <is>
          <t>Nhân Viên Kinh Doanh Thị Trường</t>
        </is>
      </c>
      <c r="D2144" s="10" t="inlineStr">
        <is>
          <t>CÔNG TY TNHH CÔNG NGHỆ MÁY ĐO KHÍ RIKEN VIỆT</t>
        </is>
      </c>
      <c r="E2144" s="10" t="inlineStr">
        <is>
          <t>Lương:Lên đến 30 Tr VND</t>
        </is>
      </c>
      <c r="F2144" s="10" t="inlineStr">
        <is>
          <t>Hồ Chí Minh</t>
        </is>
      </c>
      <c r="G2144" s="10" t="inlineStr">
        <is>
          <t>05-04-2026</t>
        </is>
      </c>
      <c r="H2144" s="10" t="inlineStr">
        <is>
          <t>05/04/2026</t>
        </is>
      </c>
      <c r="I2144" s="10" t="inlineStr">
        <is>
          <t>17/03/2026</t>
        </is>
      </c>
      <c r="J2144" s="10" t="inlineStr">
        <is>
          <t>Bán hàng / Kinh doanh, Bán lẻ / Bán sỉ, Bán Hàng Kỹ Thuật</t>
        </is>
      </c>
      <c r="K2144" s="10" t="inlineStr">
        <is>
          <t>Trên 1 Năm</t>
        </is>
      </c>
      <c r="L2144" s="11">
        <f>HYPERLINK("https://careerviet.vn/vi/tim-viec-lam/nhan-vien-kinh-doanh-thi-truong.35C6B55C.html","Xem chi tiết")</f>
        <v/>
      </c>
      <c r="M2144" s="10" t="n"/>
    </row>
    <row r="2145">
      <c r="B2145" s="7" t="n">
        <v>2143</v>
      </c>
      <c r="C2145" t="inlineStr">
        <is>
          <t>Chuyên viên cao cấp Cải tiến quy trình - Trung tâm vận hành tối ưu - Khối Vận hành</t>
        </is>
      </c>
      <c r="D2145" t="inlineStr">
        <is>
          <t>Ngân hàng TMCP Đại Chúng Việt Nam - PVcomBank</t>
        </is>
      </c>
      <c r="E2145" t="inlineStr">
        <is>
          <t>Lương:Cạnh tranh</t>
        </is>
      </c>
      <c r="F2145" t="inlineStr">
        <is>
          <t>Hà Nội</t>
        </is>
      </c>
      <c r="G2145" t="inlineStr">
        <is>
          <t>15-04-2026</t>
        </is>
      </c>
      <c r="H2145" t="inlineStr">
        <is>
          <t>15/04/2026</t>
        </is>
      </c>
      <c r="I2145" t="inlineStr">
        <is>
          <t>17/03/2026</t>
        </is>
      </c>
      <c r="J2145" t="inlineStr">
        <is>
          <t>Ngân hàng, Tài chính / Đầu tư</t>
        </is>
      </c>
      <c r="K2145" t="inlineStr">
        <is>
          <t>3 - 10 Năm</t>
        </is>
      </c>
      <c r="L2145" s="8">
        <f>HYPERLINK("https://careerviet.vn/vi/tim-viec-lam/chuyen-vien-cao-cap-cai-tien-quy-trinh-trung-tam-van-hanh-toi-uu-khoi-van-hanh.35C6B56C.html","Xem chi tiết")</f>
        <v/>
      </c>
    </row>
    <row r="2146">
      <c r="B2146" s="9" t="n">
        <v>2144</v>
      </c>
      <c r="C2146" s="10" t="inlineStr">
        <is>
          <t>Senior Performance Marketing Manager – TikTok Shop (Quản lý cấp cao Performance Marketing – TikTok Shop）</t>
        </is>
      </c>
      <c r="D2146" s="10" t="inlineStr">
        <is>
          <t>CÔNG TY TNHH SEA PREFERRED VIỆT NAM</t>
        </is>
      </c>
      <c r="E2146" s="10" t="inlineStr">
        <is>
          <t>Lương:Cạnh tranh</t>
        </is>
      </c>
      <c r="F2146" s="10" t="inlineStr">
        <is>
          <t>Hồ Chí Minh</t>
        </is>
      </c>
      <c r="G2146" s="10" t="inlineStr">
        <is>
          <t>05-04-2026</t>
        </is>
      </c>
      <c r="H2146" s="10" t="inlineStr">
        <is>
          <t>05/04/2026</t>
        </is>
      </c>
      <c r="I2146" s="10" t="inlineStr">
        <is>
          <t>17/03/2026</t>
        </is>
      </c>
      <c r="J2146" s="10" t="inlineStr">
        <is>
          <t>Tiếp thị / Marketing, Quản lý điều hành, Thương mại điện tử</t>
        </is>
      </c>
      <c r="K2146" s="10" t="inlineStr">
        <is>
          <t>Trên 2 Năm</t>
        </is>
      </c>
      <c r="L2146" s="11">
        <f>HYPERLINK("https://careerviet.vn/vi/tim-viec-lam/senior-performance-marketing-manager-tiktok-shop-quan-ly-cap-cao-performance-marketing-tiktok-shop.35C6B359.html","Xem chi tiết")</f>
        <v/>
      </c>
      <c r="M2146" s="10" t="n"/>
    </row>
    <row r="2147">
      <c r="B2147" s="7" t="n">
        <v>2145</v>
      </c>
      <c r="C2147" t="inlineStr">
        <is>
          <t>Nhân Viên Kế Toán Nội Bộ (Internal Accountant)</t>
        </is>
      </c>
      <c r="D2147" t="inlineStr">
        <is>
          <t>CÔNG TY TNHH COSHE GROUP</t>
        </is>
      </c>
      <c r="E2147" t="inlineStr">
        <is>
          <t>Lương:Cạnh tranh</t>
        </is>
      </c>
      <c r="F2147" t="inlineStr">
        <is>
          <t>Hồ Chí Minh</t>
        </is>
      </c>
      <c r="G2147" t="inlineStr">
        <is>
          <t>05-04-2026</t>
        </is>
      </c>
      <c r="H2147" t="inlineStr">
        <is>
          <t>05/04/2026</t>
        </is>
      </c>
      <c r="I2147" t="inlineStr">
        <is>
          <t>17/03/2026</t>
        </is>
      </c>
      <c r="J2147" t="inlineStr">
        <is>
          <t>Kế toán / Kiểm toán, Tài chính / Đầu tư, Luật / Pháp lý</t>
        </is>
      </c>
      <c r="K2147" t="inlineStr">
        <is>
          <t>Trên 1 Năm</t>
        </is>
      </c>
      <c r="L2147" s="8">
        <f>HYPERLINK("https://careerviet.vn/vi/tim-viec-lam/nhan-vien-ke-toan-noi-bo-internal-accountant.35C6B433.html","Xem chi tiết")</f>
        <v/>
      </c>
    </row>
    <row r="2148">
      <c r="B2148" s="9" t="n">
        <v>2146</v>
      </c>
      <c r="C2148" s="10" t="inlineStr">
        <is>
          <t>Chuyên Viên Nghiên Cứu Thị Trường (Biết tiếng Trung) - HCM</t>
        </is>
      </c>
      <c r="D2148" s="10" t="inlineStr">
        <is>
          <t>Công Ty Cổ Phần Sản Xuất Nhựa Duy Tân</t>
        </is>
      </c>
      <c r="E2148" s="10" t="inlineStr">
        <is>
          <t>Lương:Cạnh tranh</t>
        </is>
      </c>
      <c r="F2148" s="10" t="inlineStr">
        <is>
          <t>Hồ Chí Minh</t>
        </is>
      </c>
      <c r="G2148" s="10" t="inlineStr">
        <is>
          <t>30-03-2026</t>
        </is>
      </c>
      <c r="H2148" s="10" t="inlineStr">
        <is>
          <t>30/03/2026</t>
        </is>
      </c>
      <c r="I2148" s="10" t="inlineStr">
        <is>
          <t>17/03/2026</t>
        </is>
      </c>
      <c r="J2148" s="10" t="inlineStr">
        <is>
          <t>Tiếp thị / Marketing</t>
        </is>
      </c>
      <c r="K2148" s="10" t="inlineStr">
        <is>
          <t>Chưa có kinh nghiệm</t>
        </is>
      </c>
      <c r="L2148" s="11">
        <f>HYPERLINK("https://careerviet.vn/vi/tim-viec-lam/chuyen-vien-nghien-cuu-thi-truong-biet-tieng-trung-hcm.35C6B356.html","Xem chi tiết")</f>
        <v/>
      </c>
      <c r="M2148" s="10" t="n"/>
    </row>
    <row r="2149">
      <c r="B2149" s="7" t="n">
        <v>2147</v>
      </c>
      <c r="C2149" t="inlineStr">
        <is>
          <t>[Hồ Chí Minh] Kế Toán Viên</t>
        </is>
      </c>
      <c r="D2149" t="inlineStr">
        <is>
          <t>Bảo mật</t>
        </is>
      </c>
      <c r="E2149" t="inlineStr">
        <is>
          <t>Lương:8 Tr - 11 Tr VND</t>
        </is>
      </c>
      <c r="F2149" t="inlineStr">
        <is>
          <t>Hồ Chí Minh</t>
        </is>
      </c>
      <c r="G2149" t="inlineStr">
        <is>
          <t>31-03-2026</t>
        </is>
      </c>
      <c r="H2149" t="inlineStr">
        <is>
          <t>31/03/2026</t>
        </is>
      </c>
      <c r="I2149" t="inlineStr">
        <is>
          <t>17/03/2026</t>
        </is>
      </c>
      <c r="J2149" t="inlineStr">
        <is>
          <t>Kế toán / Kiểm toán</t>
        </is>
      </c>
      <c r="K2149" t="inlineStr">
        <is>
          <t>Trên 1 Năm</t>
        </is>
      </c>
      <c r="L2149" s="8">
        <f>HYPERLINK("https://careerviet.vn/vi/tim-viec-lam/ho-chi-minh-ke-toan-vien.35C6B332.html","Xem chi tiết")</f>
        <v/>
      </c>
    </row>
    <row r="2150">
      <c r="B2150" s="9" t="n">
        <v>2148</v>
      </c>
      <c r="C2150" s="10" t="inlineStr">
        <is>
          <t>Bulk Merchandiser</t>
        </is>
      </c>
      <c r="D2150" s="10" t="inlineStr">
        <is>
          <t>Un-Available LTD Co.,</t>
        </is>
      </c>
      <c r="E2150" s="10" t="inlineStr">
        <is>
          <t>Lương:Cạnh tranh</t>
        </is>
      </c>
      <c r="F2150" s="10" t="inlineStr">
        <is>
          <t>Hồ Chí Minh</t>
        </is>
      </c>
      <c r="G2150" s="10" t="inlineStr">
        <is>
          <t>11-04-2026</t>
        </is>
      </c>
      <c r="H2150" s="10" t="inlineStr">
        <is>
          <t>11/04/2026</t>
        </is>
      </c>
      <c r="I2150" s="10" t="inlineStr">
        <is>
          <t>17/03/2026</t>
        </is>
      </c>
      <c r="J2150" s="10" t="inlineStr">
        <is>
          <t>Sản xuất / Vận hành sản xuất, Dệt may / Da giày / Thời trang, Thu mua / Vật tư</t>
        </is>
      </c>
      <c r="K2150" s="10" t="inlineStr">
        <is>
          <t>1 - 2 Năm</t>
        </is>
      </c>
      <c r="L2150" s="11">
        <f>HYPERLINK("https://careerviet.vn/vi/tim-viec-lam/bulk-merchandiser.35C6B287.html","Xem chi tiết")</f>
        <v/>
      </c>
      <c r="M2150" s="10" t="n"/>
    </row>
    <row r="2151">
      <c r="B2151" s="7" t="n">
        <v>2149</v>
      </c>
      <c r="C2151" t="inlineStr">
        <is>
          <t>Chuyên Viên Quản Lý khách hàng - Presales/Sales Support</t>
        </is>
      </c>
      <c r="D2151" t="inlineStr">
        <is>
          <t>Công Ty Cổ Phần MISA</t>
        </is>
      </c>
      <c r="E2151" t="inlineStr">
        <is>
          <t>Lương:20 Tr - 30 Tr VND</t>
        </is>
      </c>
      <c r="F2151" t="inlineStr">
        <is>
          <t>Hồ Chí Minh</t>
        </is>
      </c>
      <c r="G2151" t="inlineStr">
        <is>
          <t>06-04-2026</t>
        </is>
      </c>
      <c r="H2151" t="inlineStr">
        <is>
          <t>06/04/2026</t>
        </is>
      </c>
      <c r="I2151" t="inlineStr">
        <is>
          <t>17/03/2026</t>
        </is>
      </c>
      <c r="J2151" t="inlineStr">
        <is>
          <t>N/A</t>
        </is>
      </c>
      <c r="K2151" t="inlineStr">
        <is>
          <t>N/A</t>
        </is>
      </c>
      <c r="L2151" s="8">
        <f>HYPERLINK("https://careerviet.vn/vi/tim-viec-lam/chuyen-vien-quan-ly-khach-hang-presales-sales-support.35C6B52C.html","Xem chi tiết")</f>
        <v/>
      </c>
    </row>
    <row r="2152">
      <c r="B2152" s="9" t="n">
        <v>2150</v>
      </c>
      <c r="C2152" s="10" t="inlineStr">
        <is>
          <t>Nhân viên trạm cân</t>
        </is>
      </c>
      <c r="D2152" s="10" t="inlineStr">
        <is>
          <t>Tan Hiep Phat Group</t>
        </is>
      </c>
      <c r="E2152" s="10" t="inlineStr">
        <is>
          <t>Lương:Cạnh tranh</t>
        </is>
      </c>
      <c r="F2152" s="10" t="inlineStr">
        <is>
          <t>Bình Dương</t>
        </is>
      </c>
      <c r="G2152" s="10" t="inlineStr">
        <is>
          <t>06-04-2026</t>
        </is>
      </c>
      <c r="H2152" s="10" t="inlineStr">
        <is>
          <t>06/04/2026</t>
        </is>
      </c>
      <c r="I2152" s="10" t="inlineStr">
        <is>
          <t>17/03/2026</t>
        </is>
      </c>
      <c r="J2152" s="10" t="inlineStr">
        <is>
          <t>Vận chuyển / Giao nhận / Kho vận, Lao động phổ thông</t>
        </is>
      </c>
      <c r="K2152" s="10" t="inlineStr">
        <is>
          <t>Chưa có kinh nghiệm</t>
        </is>
      </c>
      <c r="L2152" s="11">
        <f>HYPERLINK("https://careerviet.vn/vi/tim-viec-lam/nhan-vien-tram-can.35C6B2A4.html","Xem chi tiết")</f>
        <v/>
      </c>
      <c r="M2152" s="10" t="n"/>
    </row>
    <row r="2153">
      <c r="B2153" s="7" t="n">
        <v>2151</v>
      </c>
      <c r="C2153" t="inlineStr">
        <is>
          <t>Nhân viên Bảo trì</t>
        </is>
      </c>
      <c r="D2153" t="inlineStr">
        <is>
          <t>CÔNG TY CỔ PHẦN THỰC PHẨM ĐÔNG LẠNH KIDO</t>
        </is>
      </c>
      <c r="E2153" t="inlineStr">
        <is>
          <t>Lương:Cạnh tranh</t>
        </is>
      </c>
      <c r="F2153" t="inlineStr">
        <is>
          <t>Bắc Ninh</t>
        </is>
      </c>
      <c r="G2153" t="inlineStr">
        <is>
          <t>05-04-2026</t>
        </is>
      </c>
      <c r="H2153" t="inlineStr">
        <is>
          <t>05/04/2026</t>
        </is>
      </c>
      <c r="I2153" t="inlineStr">
        <is>
          <t>17/03/2026</t>
        </is>
      </c>
      <c r="J2153" t="inlineStr">
        <is>
          <t>Bảo trì / Sửa chữa</t>
        </is>
      </c>
      <c r="K2153" t="inlineStr">
        <is>
          <t>1 - 3 Năm</t>
        </is>
      </c>
      <c r="L2153" s="8">
        <f>HYPERLINK("https://careerviet.vn/vi/tim-viec-lam/nhan-vien-bao-tri.35C6B308.html","Xem chi tiết")</f>
        <v/>
      </c>
    </row>
    <row r="2154">
      <c r="B2154" s="9" t="n">
        <v>2152</v>
      </c>
      <c r="C2154" s="10" t="inlineStr">
        <is>
          <t>Innovation &amp; Application Technical Manager	(Food &amp; Nutrition)</t>
        </is>
      </c>
      <c r="D2154" s="10" t="inlineStr">
        <is>
          <t>Công Ty TNHH Brenntag Việt Nam</t>
        </is>
      </c>
      <c r="E2154" s="10" t="inlineStr">
        <is>
          <t>Lương:Cạnh tranh</t>
        </is>
      </c>
      <c r="F2154" s="10" t="inlineStr">
        <is>
          <t>Hồ Chí Minh</t>
        </is>
      </c>
      <c r="G2154" s="10" t="inlineStr">
        <is>
          <t>31-03-2026</t>
        </is>
      </c>
      <c r="H2154" s="10" t="inlineStr">
        <is>
          <t>31/03/2026</t>
        </is>
      </c>
      <c r="I2154" s="10" t="inlineStr">
        <is>
          <t>17/03/2026</t>
        </is>
      </c>
      <c r="J2154" s="10" t="inlineStr">
        <is>
          <t>Công nghệ thực phẩm / Dinh dưỡng</t>
        </is>
      </c>
      <c r="K2154" s="10" t="inlineStr">
        <is>
          <t>10 Năm</t>
        </is>
      </c>
      <c r="L2154" s="11">
        <f>HYPERLINK("https://careerviet.vn/vi/tim-viec-lam/innovation-application-technical-manager-food-nutrition.35C6B511.html","Xem chi tiết")</f>
        <v/>
      </c>
      <c r="M2154" s="10" t="n"/>
    </row>
    <row r="2155">
      <c r="B2155" s="7" t="n">
        <v>2153</v>
      </c>
      <c r="C2155" t="inlineStr">
        <is>
          <t>Bếp trưởng bếp chính bếp ăn trường học</t>
        </is>
      </c>
      <c r="D2155" t="inlineStr">
        <is>
          <t>Trường Tiểu học, Trung học cơ sở và Trung học phổ thông Reigate Grammar Việt Nam</t>
        </is>
      </c>
      <c r="E2155" t="inlineStr">
        <is>
          <t>Lương:10 Tr - 15 Tr VND</t>
        </is>
      </c>
      <c r="F2155" t="inlineStr">
        <is>
          <t>Hà Nội</t>
        </is>
      </c>
      <c r="G2155" t="inlineStr">
        <is>
          <t>3</t>
        </is>
      </c>
      <c r="H2155" t="inlineStr">
        <is>
          <t>20/03/2026</t>
        </is>
      </c>
      <c r="I2155" t="inlineStr">
        <is>
          <t>17/03/2026</t>
        </is>
      </c>
      <c r="J2155" t="inlineStr">
        <is>
          <t>Thực phẩm &amp; Đồ uống, Nhà hàng / Khách sạn, Công nghệ thực phẩm / Dinh dưỡng</t>
        </is>
      </c>
      <c r="K2155" t="inlineStr">
        <is>
          <t>1 - 3 Năm</t>
        </is>
      </c>
      <c r="L2155" s="8">
        <f>HYPERLINK("https://careerviet.vn/vi/tim-viec-lam/bep-truong-bep-chinh-bep-an-truong-hoc.35C6B2F2.html","Xem chi tiết")</f>
        <v/>
      </c>
    </row>
    <row r="2156">
      <c r="B2156" s="9" t="n">
        <v>2154</v>
      </c>
      <c r="C2156" s="10" t="inlineStr">
        <is>
          <t>R&amp;D Assistant</t>
        </is>
      </c>
      <c r="D2156" s="10" t="inlineStr">
        <is>
          <t>Brand Packaging Joint Stock Company</t>
        </is>
      </c>
      <c r="E2156" s="10" t="inlineStr">
        <is>
          <t>Lương:Cạnh tranh</t>
        </is>
      </c>
      <c r="F2156" s="10" t="inlineStr">
        <is>
          <t>Bình Dương</t>
        </is>
      </c>
      <c r="G2156" s="10" t="inlineStr">
        <is>
          <t>05-04-2026</t>
        </is>
      </c>
      <c r="H2156" s="10" t="inlineStr">
        <is>
          <t>05/04/2026</t>
        </is>
      </c>
      <c r="I2156" s="10" t="inlineStr">
        <is>
          <t>17/03/2026</t>
        </is>
      </c>
      <c r="J2156" s="10" t="inlineStr">
        <is>
          <t>Hóa học, Cơ khí / Ô tô / Tự động hóa, Sản xuất / Vận hành sản xuất</t>
        </is>
      </c>
      <c r="K2156" s="10" t="inlineStr">
        <is>
          <t>1 - 2 Năm</t>
        </is>
      </c>
      <c r="L2156" s="11">
        <f>HYPERLINK("https://careerviet.vn/vi/tim-viec-lam/r-d-assistant.35C6B2C4.html","Xem chi tiết")</f>
        <v/>
      </c>
      <c r="M2156" s="10" t="n"/>
    </row>
    <row r="2157">
      <c r="B2157" s="7" t="n">
        <v>2155</v>
      </c>
      <c r="C2157" t="inlineStr">
        <is>
          <t>Kỹ Thuật Viên Máy In</t>
        </is>
      </c>
      <c r="D2157" t="inlineStr">
        <is>
          <t>CÔNG TY TNHH KỸ THUẬT VÀ NGUYÊN LIỆU IN ẤN KODOFO</t>
        </is>
      </c>
      <c r="E2157" t="inlineStr">
        <is>
          <t>Lương:10 Tr - 15 Tr VND</t>
        </is>
      </c>
      <c r="F2157" t="inlineStr">
        <is>
          <t>Hồ Chí MinhHà Nội</t>
        </is>
      </c>
      <c r="G2157" t="inlineStr">
        <is>
          <t>30-04-2026</t>
        </is>
      </c>
      <c r="H2157" t="inlineStr">
        <is>
          <t>30/04/2026</t>
        </is>
      </c>
      <c r="I2157" t="inlineStr">
        <is>
          <t>17/03/2026</t>
        </is>
      </c>
      <c r="J2157" t="inlineStr">
        <is>
          <t>Bảo trì / Sửa chữa, In ấn / Xuất bản, Cơ khí / Ô tô / Tự động hóa</t>
        </is>
      </c>
      <c r="K2157" t="inlineStr">
        <is>
          <t>Lên đến 1 Năm</t>
        </is>
      </c>
      <c r="L2157" s="8">
        <f>HYPERLINK("https://careerviet.vn/vi/tim-viec-lam/ky-thuat-vien-may-in.35C6B33F.html","Xem chi tiết")</f>
        <v/>
      </c>
    </row>
    <row r="2158">
      <c r="B2158" s="9" t="n">
        <v>2156</v>
      </c>
      <c r="C2158" s="10" t="inlineStr">
        <is>
          <t>Chuyên viên Quản lý Đại lý</t>
        </is>
      </c>
      <c r="D2158" s="10" t="inlineStr">
        <is>
          <t>Công Ty Cổ Phần Tập Đoàn Sunshine</t>
        </is>
      </c>
      <c r="E2158" s="10" t="inlineStr">
        <is>
          <t>Lương:15 Tr - 20 Tr VND</t>
        </is>
      </c>
      <c r="F2158" s="10" t="inlineStr">
        <is>
          <t>Hồ Chí Minh</t>
        </is>
      </c>
      <c r="G2158" s="10" t="inlineStr">
        <is>
          <t>05-04-2026</t>
        </is>
      </c>
      <c r="H2158" s="10" t="inlineStr">
        <is>
          <t>05/04/2026</t>
        </is>
      </c>
      <c r="I2158" s="10" t="inlineStr">
        <is>
          <t>17/03/2026</t>
        </is>
      </c>
      <c r="J2158" s="10" t="inlineStr">
        <is>
          <t>Bán hàng / Kinh doanh, Bất động sản</t>
        </is>
      </c>
      <c r="K2158" s="10" t="inlineStr">
        <is>
          <t>Trên 2 Năm</t>
        </is>
      </c>
      <c r="L2158" s="11">
        <f>HYPERLINK("https://careerviet.vn/vi/tim-viec-lam/chuyen-vien-quan-ly-dai-ly.35C6B295.html","Xem chi tiết")</f>
        <v/>
      </c>
      <c r="M2158" s="10" t="n"/>
    </row>
    <row r="2159">
      <c r="B2159" s="7" t="n">
        <v>2157</v>
      </c>
      <c r="C2159" t="inlineStr">
        <is>
          <t>CHUYÊN VIÊN PHÁT TRIỂN NHÀ CUNG CẤP  [CƠ KHÍ -  CỦ CHI]</t>
        </is>
      </c>
      <c r="D2159" t="inlineStr">
        <is>
          <t>CÔNG TY CP SAIGON AUTO SUPPORTING INDUSTRY</t>
        </is>
      </c>
      <c r="E2159" t="inlineStr">
        <is>
          <t>Lương:Cạnh tranh</t>
        </is>
      </c>
      <c r="F2159" t="inlineStr">
        <is>
          <t>Hồ Chí Minh</t>
        </is>
      </c>
      <c r="G2159" t="inlineStr">
        <is>
          <t>20-04-2026</t>
        </is>
      </c>
      <c r="H2159" t="inlineStr">
        <is>
          <t>20/04/2026</t>
        </is>
      </c>
      <c r="I2159" t="inlineStr">
        <is>
          <t>17/03/2026</t>
        </is>
      </c>
      <c r="J2159" t="inlineStr">
        <is>
          <t>Cơ khí / Ô tô / Tự động hóa, Thu mua / Vật tư, Bán Hàng Kỹ Thuật</t>
        </is>
      </c>
      <c r="K2159" t="inlineStr">
        <is>
          <t>3 - 10 Năm</t>
        </is>
      </c>
      <c r="L2159" s="8">
        <f>HYPERLINK("https://careerviet.vn/vi/tim-viec-lam/chuyen-vien-phat-trien-nha-cung-cap-co-khi-cu-chi.35C6B294.html","Xem chi tiết")</f>
        <v/>
      </c>
    </row>
    <row r="2160">
      <c r="B2160" s="9" t="n">
        <v>2158</v>
      </c>
      <c r="C2160" s="10" t="inlineStr">
        <is>
          <t>Sales Engineer / Business Development / Nhân Viên Kinh Doanh (Hà Nội / Hồ Chí Minh)</t>
        </is>
      </c>
      <c r="D2160" s="10" t="inlineStr">
        <is>
          <t>Công ty Cổ Phần PMAC</t>
        </is>
      </c>
      <c r="E2160" s="10" t="inlineStr">
        <is>
          <t>Lương:10 Tr - 30 Tr VND</t>
        </is>
      </c>
      <c r="F2160" s="10" t="inlineStr">
        <is>
          <t>Hà NộiHồ Chí Minh</t>
        </is>
      </c>
      <c r="G2160" s="10" t="inlineStr">
        <is>
          <t>07-04-2026</t>
        </is>
      </c>
      <c r="H2160" s="10" t="inlineStr">
        <is>
          <t>07/04/2026</t>
        </is>
      </c>
      <c r="I2160" s="10" t="inlineStr">
        <is>
          <t>17/03/2026</t>
        </is>
      </c>
      <c r="J2160" s="10" t="inlineStr">
        <is>
          <t>Bán lẻ / Bán sỉ, Bán hàng / Kinh doanh, Bán Hàng Kỹ Thuật</t>
        </is>
      </c>
      <c r="K2160" s="10" t="inlineStr">
        <is>
          <t>Chưa có kinh nghiệm</t>
        </is>
      </c>
      <c r="L2160" s="11">
        <f>HYPERLINK("https://careerviet.vn/vi/tim-viec-lam/sales-engineer-business-development-nhan-vien-kinh-doanh-ha-noi-ho-chi-minh.35C6B55A.html","Xem chi tiết")</f>
        <v/>
      </c>
      <c r="M2160" s="10" t="n"/>
    </row>
    <row r="2161">
      <c r="B2161" s="7" t="n">
        <v>2159</v>
      </c>
      <c r="C2161" t="inlineStr">
        <is>
          <t>Maker Technique (Giám Sát Rập)</t>
        </is>
      </c>
      <c r="D2161" t="inlineStr">
        <is>
          <t>Công Ty TNHH Nyan Kids Đồng Nai</t>
        </is>
      </c>
      <c r="E2161" t="inlineStr">
        <is>
          <t>Lương:Cạnh tranh</t>
        </is>
      </c>
      <c r="F2161" t="inlineStr">
        <is>
          <t>Đồng Nai</t>
        </is>
      </c>
      <c r="G2161" t="inlineStr">
        <is>
          <t>30-04-2026</t>
        </is>
      </c>
      <c r="H2161" t="inlineStr">
        <is>
          <t>30/04/2026</t>
        </is>
      </c>
      <c r="I2161" t="inlineStr">
        <is>
          <t>17/03/2026</t>
        </is>
      </c>
      <c r="J2161" t="inlineStr">
        <is>
          <t>Dệt may / Da giày / Thời trang, Mỹ thuật / Nghệ thuật / Thiết kế, Sản xuất / Vận hành sản xuất</t>
        </is>
      </c>
      <c r="K2161" t="inlineStr">
        <is>
          <t>5 - 6 Năm</t>
        </is>
      </c>
      <c r="L2161" s="8">
        <f>HYPERLINK("https://careerviet.vn/vi/tim-viec-lam/maker-technique-giam-sat-rap.35C69D2E.html","Xem chi tiết")</f>
        <v/>
      </c>
    </row>
    <row r="2162">
      <c r="B2162" s="9" t="n">
        <v>2160</v>
      </c>
      <c r="C2162" s="10" t="inlineStr">
        <is>
          <t>TRƯỞNG PHÒNG TÀI CHÍNH - KẾ TOÁN  [CỦ CHI]</t>
        </is>
      </c>
      <c r="D2162" s="10" t="inlineStr">
        <is>
          <t>CÔNG TY CP SAIGON AUTO SUPPORTING INDUSTRY</t>
        </is>
      </c>
      <c r="E2162" s="10" t="inlineStr">
        <is>
          <t>Lương:Cạnh tranh</t>
        </is>
      </c>
      <c r="F2162" s="10" t="inlineStr">
        <is>
          <t>Hồ Chí Minh</t>
        </is>
      </c>
      <c r="G2162" s="10" t="inlineStr">
        <is>
          <t>15-04-2026</t>
        </is>
      </c>
      <c r="H2162" s="10" t="inlineStr">
        <is>
          <t>15/04/2026</t>
        </is>
      </c>
      <c r="I2162" s="10" t="inlineStr">
        <is>
          <t>17/03/2026</t>
        </is>
      </c>
      <c r="J2162" s="10" t="inlineStr">
        <is>
          <t>Kế toán / Kiểm toán, Ngân hàng</t>
        </is>
      </c>
      <c r="K2162" s="10" t="inlineStr">
        <is>
          <t>5 - 20 Năm</t>
        </is>
      </c>
      <c r="L2162" s="11">
        <f>HYPERLINK("https://careerviet.vn/vi/tim-viec-lam/truong-phong-tai-chinh-ke-toan-cu-chi.35C6B28A.html","Xem chi tiết")</f>
        <v/>
      </c>
      <c r="M2162" s="10" t="n"/>
    </row>
    <row r="2163">
      <c r="B2163" s="7" t="n">
        <v>2161</v>
      </c>
      <c r="C2163" t="inlineStr">
        <is>
          <t>Kế toán trưởng</t>
        </is>
      </c>
      <c r="D2163" t="inlineStr">
        <is>
          <t>CÔNG TY CỔ PHẦN XUẤT NHẬP KHẨU VÀ THƯƠNG MẠI FOREVER</t>
        </is>
      </c>
      <c r="E2163" t="inlineStr">
        <is>
          <t>Lương:25 Tr - 40 Tr VND</t>
        </is>
      </c>
      <c r="F2163" t="inlineStr">
        <is>
          <t>Hà Nội</t>
        </is>
      </c>
      <c r="G2163" t="inlineStr">
        <is>
          <t>31-03-2026</t>
        </is>
      </c>
      <c r="H2163" t="inlineStr">
        <is>
          <t>31/03/2026</t>
        </is>
      </c>
      <c r="I2163" t="inlineStr">
        <is>
          <t>17/03/2026</t>
        </is>
      </c>
      <c r="J2163" t="inlineStr">
        <is>
          <t>Kế toán / Kiểm toán</t>
        </is>
      </c>
      <c r="K2163" t="inlineStr">
        <is>
          <t>3 - 5 Năm</t>
        </is>
      </c>
      <c r="L2163" s="8">
        <f>HYPERLINK("https://careerviet.vn/vi/tim-viec-lam/ke-toan-truong.35C6A06B.html","Xem chi tiết")</f>
        <v/>
      </c>
    </row>
    <row r="2164">
      <c r="B2164" s="9" t="n">
        <v>2162</v>
      </c>
      <c r="C2164" s="10" t="inlineStr">
        <is>
          <t>Quản Lý Chuỗi - Khu vực Hà Nội</t>
        </is>
      </c>
      <c r="D2164" s="10" t="inlineStr">
        <is>
          <t>Cà Phê Muối Chú Long</t>
        </is>
      </c>
      <c r="E2164" s="10" t="inlineStr">
        <is>
          <t>Lương:12 Tr - 18 Tr VND</t>
        </is>
      </c>
      <c r="F2164" s="10" t="inlineStr">
        <is>
          <t>Hà Nội</t>
        </is>
      </c>
      <c r="G2164" s="10" t="inlineStr">
        <is>
          <t>04-04-2026</t>
        </is>
      </c>
      <c r="H2164" s="10" t="inlineStr">
        <is>
          <t>04/04/2026</t>
        </is>
      </c>
      <c r="I2164" s="10" t="inlineStr">
        <is>
          <t>17/03/2026</t>
        </is>
      </c>
      <c r="J2164" s="10" t="inlineStr">
        <is>
          <t>Thực phẩm &amp; Đồ uống, Nhà hàng / Khách sạn</t>
        </is>
      </c>
      <c r="K2164" s="10" t="inlineStr">
        <is>
          <t>3 - 5 Năm</t>
        </is>
      </c>
      <c r="L2164" s="11">
        <f>HYPERLINK("https://careerviet.vn/vi/tim-viec-lam/quan-ly-chuoi-khu-vuc-ha-noi.35C6B2DF.html","Xem chi tiết")</f>
        <v/>
      </c>
      <c r="M2164" s="10" t="n"/>
    </row>
    <row r="2165">
      <c r="B2165" s="7" t="n">
        <v>2163</v>
      </c>
      <c r="C2165" t="inlineStr">
        <is>
          <t>Nhân viên Kế toán</t>
        </is>
      </c>
      <c r="D2165" t="inlineStr">
        <is>
          <t>MAIC GROUP</t>
        </is>
      </c>
      <c r="E2165" t="inlineStr">
        <is>
          <t>Lương:10 Tr - 14 Tr VND</t>
        </is>
      </c>
      <c r="F2165" t="inlineStr">
        <is>
          <t>Hồ Chí Minh</t>
        </is>
      </c>
      <c r="G2165" t="inlineStr">
        <is>
          <t>31-03-2026</t>
        </is>
      </c>
      <c r="H2165" t="inlineStr">
        <is>
          <t>31/03/2026</t>
        </is>
      </c>
      <c r="I2165" t="inlineStr">
        <is>
          <t>17/03/2026</t>
        </is>
      </c>
      <c r="J2165" t="inlineStr">
        <is>
          <t>Kế toán / Kiểm toán</t>
        </is>
      </c>
      <c r="K2165" t="inlineStr">
        <is>
          <t>1 - 2 Năm</t>
        </is>
      </c>
      <c r="L2165" s="8">
        <f>HYPERLINK("https://careerviet.vn/vi/tim-viec-lam/nhan-vien-ke-toan.35C6B4EF.html","Xem chi tiết")</f>
        <v/>
      </c>
    </row>
    <row r="2166">
      <c r="B2166" s="9" t="n">
        <v>2164</v>
      </c>
      <c r="C2166" s="10" t="inlineStr">
        <is>
          <t>Trưởng Phòng Dịch Vụ Khách Hàng</t>
        </is>
      </c>
      <c r="D2166" s="10" t="inlineStr">
        <is>
          <t>CÔNG TY CỔ PHẦN GIẶT ỦI XANH</t>
        </is>
      </c>
      <c r="E2166" s="10" t="inlineStr">
        <is>
          <t>Lương:Cạnh tranh</t>
        </is>
      </c>
      <c r="F2166" s="10" t="inlineStr">
        <is>
          <t>Hồ Chí Minh</t>
        </is>
      </c>
      <c r="G2166" s="10" t="inlineStr">
        <is>
          <t>06-04-2026</t>
        </is>
      </c>
      <c r="H2166" s="10" t="inlineStr">
        <is>
          <t>06/04/2026</t>
        </is>
      </c>
      <c r="I2166" s="10" t="inlineStr">
        <is>
          <t>17/03/2026</t>
        </is>
      </c>
      <c r="J2166" s="10" t="inlineStr">
        <is>
          <t>Dịch vụ khách hàng, Vận chuyển / Giao nhận / Kho vận, Y tế / Chăm sóc sức khỏe / Thẩm mỹ / Làm đẹp</t>
        </is>
      </c>
      <c r="K2166" s="10" t="inlineStr">
        <is>
          <t>3 - 5 Năm</t>
        </is>
      </c>
      <c r="L2166" s="11">
        <f>HYPERLINK("https://careerviet.vn/vi/tim-viec-lam/truong-phong-dich-vu-khach-hang.35C6B3FE.html","Xem chi tiết")</f>
        <v/>
      </c>
      <c r="M2166" s="10" t="n"/>
    </row>
    <row r="2167">
      <c r="B2167" s="7" t="n">
        <v>2165</v>
      </c>
      <c r="C2167" t="inlineStr">
        <is>
          <t>Sales Logistics (Nhân viên kinh doanh)</t>
        </is>
      </c>
      <c r="D2167" t="inlineStr">
        <is>
          <t>Vantage Logistics Corporation</t>
        </is>
      </c>
      <c r="E2167" t="inlineStr">
        <is>
          <t>Lương:Cạnh tranh</t>
        </is>
      </c>
      <c r="F2167" t="inlineStr">
        <is>
          <t>Hà Nội</t>
        </is>
      </c>
      <c r="G2167" t="inlineStr">
        <is>
          <t>06-04-2026</t>
        </is>
      </c>
      <c r="H2167" t="inlineStr">
        <is>
          <t>06/04/2026</t>
        </is>
      </c>
      <c r="I2167" t="inlineStr">
        <is>
          <t>17/03/2026</t>
        </is>
      </c>
      <c r="J2167" t="inlineStr">
        <is>
          <t>Xuất nhập khẩu, Bán hàng / Kinh doanh, Bán lẻ / Bán sỉ</t>
        </is>
      </c>
      <c r="K2167" t="inlineStr">
        <is>
          <t>1 - 2 Năm</t>
        </is>
      </c>
      <c r="L2167" s="8">
        <f>HYPERLINK("https://careerviet.vn/vi/tim-viec-lam/sales-logistics-nhan-vien-kinh-doanh.35C6B404.html","Xem chi tiết")</f>
        <v/>
      </c>
    </row>
    <row r="2168">
      <c r="B2168" s="9" t="n">
        <v>2166</v>
      </c>
      <c r="C2168" s="10" t="inlineStr">
        <is>
          <t>Phiên dịch tiếng Trung 26331 - KCN VSIP 2, Bình Dương (có xe đưa đón)</t>
        </is>
      </c>
      <c r="D2168" s="10" t="inlineStr">
        <is>
          <t>Công Ty TNHH Reeracoen Việt Nam</t>
        </is>
      </c>
      <c r="E2168" s="10" t="inlineStr">
        <is>
          <t>Lương:15 Tr - 20 Tr VND</t>
        </is>
      </c>
      <c r="F2168" s="10" t="inlineStr">
        <is>
          <t>Bình Dương</t>
        </is>
      </c>
      <c r="G2168" s="10" t="inlineStr">
        <is>
          <t>06-04-2026</t>
        </is>
      </c>
      <c r="H2168" s="10" t="inlineStr">
        <is>
          <t>06/04/2026</t>
        </is>
      </c>
      <c r="I2168" s="10" t="inlineStr">
        <is>
          <t>17/03/2026</t>
        </is>
      </c>
      <c r="J2168" s="10" t="inlineStr">
        <is>
          <t>Biên phiên dịch, Hành chính / Thư ký, Nhân sự</t>
        </is>
      </c>
      <c r="K2168" s="10" t="inlineStr">
        <is>
          <t>1 - 2 Năm</t>
        </is>
      </c>
      <c r="L2168" s="11">
        <f>HYPERLINK("https://careerviet.vn/vi/tim-viec-lam/phien-dich-tieng-trung-26331-kcn-vsip-2-binh-duong-co-xe-dua-don.35C6B4F2.html","Xem chi tiết")</f>
        <v/>
      </c>
      <c r="M2168" s="10" t="n"/>
    </row>
    <row r="2169">
      <c r="B2169" s="7" t="n">
        <v>2167</v>
      </c>
      <c r="C2169" t="inlineStr">
        <is>
          <t>Kỹ thuật Trắc Đạc</t>
        </is>
      </c>
      <c r="D2169" t="inlineStr">
        <is>
          <t>Công Ty Cổ Phần Tập đoàn Xây dựng Thành Đô</t>
        </is>
      </c>
      <c r="E2169" t="inlineStr">
        <is>
          <t>Lương:18 Tr - 20 Tr VND</t>
        </is>
      </c>
      <c r="F2169" t="inlineStr">
        <is>
          <t>Hồ Chí Minh</t>
        </is>
      </c>
      <c r="G2169" t="inlineStr">
        <is>
          <t>11-04-2026</t>
        </is>
      </c>
      <c r="H2169" t="inlineStr">
        <is>
          <t>11/04/2026</t>
        </is>
      </c>
      <c r="I2169" t="inlineStr">
        <is>
          <t>17/03/2026</t>
        </is>
      </c>
      <c r="J2169" t="inlineStr">
        <is>
          <t>Xây dựng, Môi trường, Trắc địa / Địa Chất</t>
        </is>
      </c>
      <c r="K2169" t="inlineStr">
        <is>
          <t>Trên 3 Năm</t>
        </is>
      </c>
      <c r="L2169" s="8">
        <f>HYPERLINK("https://careerviet.vn/vi/tim-viec-lam/ky-thuat-trac-dac.35C6B2E9.html","Xem chi tiết")</f>
        <v/>
      </c>
    </row>
    <row r="2170">
      <c r="B2170" s="9" t="n">
        <v>2168</v>
      </c>
      <c r="C2170" s="10" t="inlineStr">
        <is>
          <t>Trưởng bộ phận phát triển kinh doanh, Phân khúc hộ kinh doanh và doanh nghiệp siêu nhỏ, Khối Khách hàng cá nhân</t>
        </is>
      </c>
      <c r="D2170" s="10" t="inlineStr">
        <is>
          <t>Ngân hàng TMCP Đại Chúng Việt Nam - PVcomBank</t>
        </is>
      </c>
      <c r="E2170" s="10" t="inlineStr">
        <is>
          <t>Lương:Cạnh tranh</t>
        </is>
      </c>
      <c r="F2170" s="10" t="inlineStr">
        <is>
          <t>Hà Nội</t>
        </is>
      </c>
      <c r="G2170" s="10" t="inlineStr">
        <is>
          <t>05-04-2026</t>
        </is>
      </c>
      <c r="H2170" s="10" t="inlineStr">
        <is>
          <t>05/04/2026</t>
        </is>
      </c>
      <c r="I2170" s="10" t="inlineStr">
        <is>
          <t>17/03/2026</t>
        </is>
      </c>
      <c r="J2170" s="10" t="inlineStr">
        <is>
          <t>Ngân hàng, Bán hàng / Kinh doanh</t>
        </is>
      </c>
      <c r="K2170" s="10" t="inlineStr">
        <is>
          <t>5 - 7 Năm</t>
        </is>
      </c>
      <c r="L2170" s="11">
        <f>HYPERLINK("https://careerviet.vn/vi/tim-viec-lam/truong-bo-phan-phat-trien-kinh-doanh-phan-khuc-ho-kinh-doanh-va-doanh-nghiep-sieu-nho-khoi-khach-hang-ca-nhan.35C6B41D.html","Xem chi tiết")</f>
        <v/>
      </c>
      <c r="M2170" s="10" t="n"/>
    </row>
    <row r="2171">
      <c r="B2171" s="7" t="n">
        <v>2169</v>
      </c>
      <c r="C2171" t="inlineStr">
        <is>
          <t>Operational Risk Management Policy Expert</t>
        </is>
      </c>
      <c r="D2171" t="inlineStr">
        <is>
          <t>FE CREDIT</t>
        </is>
      </c>
      <c r="E2171" t="inlineStr">
        <is>
          <t>Lương:Cạnh tranh</t>
        </is>
      </c>
      <c r="F2171" t="inlineStr">
        <is>
          <t>Hồ Chí Minh</t>
        </is>
      </c>
      <c r="G2171" t="inlineStr">
        <is>
          <t>04-04-2026</t>
        </is>
      </c>
      <c r="H2171" t="inlineStr">
        <is>
          <t>04/04/2026</t>
        </is>
      </c>
      <c r="I2171" t="inlineStr">
        <is>
          <t>17/03/2026</t>
        </is>
      </c>
      <c r="J2171" t="inlineStr">
        <is>
          <t>Ngân hàng</t>
        </is>
      </c>
      <c r="K2171" t="inlineStr">
        <is>
          <t>5 - 7 Năm</t>
        </is>
      </c>
      <c r="L2171" s="8">
        <f>HYPERLINK("https://careerviet.vn/vi/tim-viec-lam/operational-risk-management-policy-expert.35C6B245.html","Xem chi tiết")</f>
        <v/>
      </c>
    </row>
    <row r="2172">
      <c r="B2172" s="9" t="n">
        <v>2170</v>
      </c>
      <c r="C2172" s="10" t="inlineStr">
        <is>
          <t>Automation Tester (Automation QC Executive)</t>
        </is>
      </c>
      <c r="D2172" s="10" t="inlineStr">
        <is>
          <t>CÔNG TY CỔ PHẦN INTEGRATED LOGISTICS VELA</t>
        </is>
      </c>
      <c r="E2172" s="10" t="inlineStr">
        <is>
          <t>Lương:Cạnh tranh</t>
        </is>
      </c>
      <c r="F2172" s="10" t="inlineStr">
        <is>
          <t>Hồ Chí Minh</t>
        </is>
      </c>
      <c r="G2172" s="10" t="inlineStr">
        <is>
          <t>28-03-2026</t>
        </is>
      </c>
      <c r="H2172" s="10" t="inlineStr">
        <is>
          <t>28/03/2026</t>
        </is>
      </c>
      <c r="I2172" s="10" t="inlineStr">
        <is>
          <t>17/03/2026</t>
        </is>
      </c>
      <c r="J2172" s="10" t="inlineStr">
        <is>
          <t>Vận chuyển / Giao nhận / Kho vận, CNTT - Phần mềm, Xuất nhập khẩu</t>
        </is>
      </c>
      <c r="K2172" s="10" t="inlineStr">
        <is>
          <t>3 - 5 Năm</t>
        </is>
      </c>
      <c r="L2172" s="11">
        <f>HYPERLINK("https://careerviet.vn/vi/tim-viec-lam/automation-tester-automation-qc-executive.35C6A024.html","Xem chi tiết")</f>
        <v/>
      </c>
      <c r="M2172" s="10" t="n"/>
    </row>
    <row r="2173">
      <c r="B2173" s="7" t="n">
        <v>2171</v>
      </c>
      <c r="C2173" t="inlineStr">
        <is>
          <t>Real Estate Management Executive (REM)</t>
        </is>
      </c>
      <c r="D2173" t="inlineStr">
        <is>
          <t>Công ty TNHH GS25 Vietnam</t>
        </is>
      </c>
      <c r="E2173" t="inlineStr">
        <is>
          <t>Lương:10 Tr - 12 Tr VND</t>
        </is>
      </c>
      <c r="F2173" t="inlineStr">
        <is>
          <t>Hồ Chí Minh</t>
        </is>
      </c>
      <c r="G2173" t="inlineStr">
        <is>
          <t>30-04-2026</t>
        </is>
      </c>
      <c r="H2173" t="inlineStr">
        <is>
          <t>30/04/2026</t>
        </is>
      </c>
      <c r="I2173" t="inlineStr">
        <is>
          <t>17/03/2026</t>
        </is>
      </c>
      <c r="J2173" t="inlineStr">
        <is>
          <t>Bất động sản, Bán lẻ / Bán sỉ, Tư vấn</t>
        </is>
      </c>
      <c r="K2173" t="inlineStr">
        <is>
          <t>1 - 3 Năm</t>
        </is>
      </c>
      <c r="L2173" s="8">
        <f>HYPERLINK("https://careerviet.vn/vi/tim-viec-lam/real-estate-management-executive-rem.35C6B4D5.html","Xem chi tiết")</f>
        <v/>
      </c>
    </row>
    <row r="2174">
      <c r="B2174" s="9" t="n">
        <v>2172</v>
      </c>
      <c r="C2174" s="10" t="inlineStr">
        <is>
          <t>NHÂN VIÊN KINH DOANH – PHỤ KIỆN THANH NHÔM</t>
        </is>
      </c>
      <c r="D2174" s="10" t="inlineStr">
        <is>
          <t>CÔNG TY CỔ PHẦN XUẤT NHẬP KHẨU VÀ CÔNG NGHỆ VIỆT NAM</t>
        </is>
      </c>
      <c r="E2174" s="10" t="inlineStr">
        <is>
          <t>Lương:10 Tr - 30 Tr VND</t>
        </is>
      </c>
      <c r="F2174" s="10" t="inlineStr">
        <is>
          <t>Hồ Chí MinhHà Nội</t>
        </is>
      </c>
      <c r="G2174" s="10" t="inlineStr">
        <is>
          <t>04-05-2026</t>
        </is>
      </c>
      <c r="H2174" s="10" t="inlineStr">
        <is>
          <t>04/05/2026</t>
        </is>
      </c>
      <c r="I2174" s="10" t="inlineStr">
        <is>
          <t>17/03/2026</t>
        </is>
      </c>
      <c r="J2174" s="10" t="inlineStr">
        <is>
          <t>Bán hàng / Kinh doanh</t>
        </is>
      </c>
      <c r="K2174" s="10" t="inlineStr">
        <is>
          <t>1 - 3 Năm</t>
        </is>
      </c>
      <c r="L2174" s="11">
        <f>HYPERLINK("https://careerviet.vn/vi/tim-viec-lam/nhan-vien-kinh-doanh-phu-kien-thanh-nhom.35C6B3AE.html","Xem chi tiết")</f>
        <v/>
      </c>
      <c r="M2174" s="10" t="n"/>
    </row>
    <row r="2175">
      <c r="B2175" s="7" t="n">
        <v>2173</v>
      </c>
      <c r="C2175" t="inlineStr">
        <is>
          <t>Cán bộ Nghiệp vụ bảo hiểm hàng hải (mảng nghiệp vụ tàu)</t>
        </is>
      </c>
      <c r="D2175" t="inlineStr">
        <is>
          <t>Tổng Công ty Cổ phần Bảo hiểm Ngân hàng Đầu tư và Phát triển Việt Nam (BIC)</t>
        </is>
      </c>
      <c r="E2175" t="inlineStr">
        <is>
          <t>Lương:Cạnh tranh</t>
        </is>
      </c>
      <c r="F2175" t="inlineStr">
        <is>
          <t>Hà Nội</t>
        </is>
      </c>
      <c r="G2175" t="inlineStr">
        <is>
          <t>04-04-2026</t>
        </is>
      </c>
      <c r="H2175" t="inlineStr">
        <is>
          <t>04/04/2026</t>
        </is>
      </c>
      <c r="I2175" t="inlineStr">
        <is>
          <t>17/03/2026</t>
        </is>
      </c>
      <c r="J2175" t="inlineStr">
        <is>
          <t>Cơ khí / Ô tô / Tự động hóa, Bảo hiểm, Hàng hải</t>
        </is>
      </c>
      <c r="K2175" t="inlineStr">
        <is>
          <t>1 - 5 Năm</t>
        </is>
      </c>
      <c r="L2175" s="8">
        <f>HYPERLINK("https://careerviet.vn/vi/tim-viec-lam/can-bo-nghiep-vu-bao-hiem-hang-hai-mang-nghiep-vu-tau.35C6B565.html","Xem chi tiết")</f>
        <v/>
      </c>
    </row>
    <row r="2176">
      <c r="B2176" s="9" t="n">
        <v>2174</v>
      </c>
      <c r="C2176" s="10" t="inlineStr">
        <is>
          <t>Chuyên Viên Phát Triển Dự Án</t>
        </is>
      </c>
      <c r="D2176" s="10" t="inlineStr">
        <is>
          <t>CÔNG TY CỔ PHẦN TM VÀ DV AN VƯỢNG LAND</t>
        </is>
      </c>
      <c r="E2176" s="10" t="inlineStr">
        <is>
          <t>Lương:20 Tr - 30 Tr VND</t>
        </is>
      </c>
      <c r="F2176" s="10" t="inlineStr">
        <is>
          <t>Hà Nội</t>
        </is>
      </c>
      <c r="G2176" s="10" t="inlineStr">
        <is>
          <t>06-04-2026</t>
        </is>
      </c>
      <c r="H2176" s="10" t="inlineStr">
        <is>
          <t>06/04/2026</t>
        </is>
      </c>
      <c r="I2176" s="10" t="inlineStr">
        <is>
          <t>17/03/2026</t>
        </is>
      </c>
      <c r="J2176" s="10" t="inlineStr">
        <is>
          <t>Bất động sản, Hành chính / Thư ký, Bán hàng / Kinh doanh</t>
        </is>
      </c>
      <c r="K2176" s="10" t="inlineStr">
        <is>
          <t>Trên 2 Năm</t>
        </is>
      </c>
      <c r="L2176" s="11">
        <f>HYPERLINK("https://careerviet.vn/vi/tim-viec-lam/chuyen-vien-phat-trien-du-an.35C6B39D.html","Xem chi tiết")</f>
        <v/>
      </c>
      <c r="M2176" s="10" t="n"/>
    </row>
    <row r="2177">
      <c r="B2177" s="7" t="n">
        <v>2175</v>
      </c>
      <c r="C2177" t="inlineStr">
        <is>
          <t>Chuyên Viên Phân Tích Tài Chính</t>
        </is>
      </c>
      <c r="D2177" t="inlineStr">
        <is>
          <t>CÔNG TY CỔ PHẦN XÂY DỰNG WORLD STEEL</t>
        </is>
      </c>
      <c r="E2177" t="inlineStr">
        <is>
          <t>Lương:Cạnh tranh</t>
        </is>
      </c>
      <c r="F2177" t="inlineStr">
        <is>
          <t>Hồ Chí Minh</t>
        </is>
      </c>
      <c r="G2177" t="inlineStr">
        <is>
          <t>06-04-2026</t>
        </is>
      </c>
      <c r="H2177" t="inlineStr">
        <is>
          <t>06/04/2026</t>
        </is>
      </c>
      <c r="I2177" t="inlineStr">
        <is>
          <t>17/03/2026</t>
        </is>
      </c>
      <c r="J2177" t="inlineStr">
        <is>
          <t>Kế toán / Kiểm toán, Ngân hàng</t>
        </is>
      </c>
      <c r="K2177" t="inlineStr">
        <is>
          <t>5 - 10 Năm</t>
        </is>
      </c>
      <c r="L2177" s="8">
        <f>HYPERLINK("https://careerviet.vn/vi/tim-viec-lam/chuyen-vien-phan-tich-tai-chinh.35C6B47D.html","Xem chi tiết")</f>
        <v/>
      </c>
    </row>
    <row r="2178">
      <c r="B2178" s="9" t="n">
        <v>2176</v>
      </c>
      <c r="C2178" s="10" t="inlineStr">
        <is>
          <t>Senior GAHR có Tiếng Nhật 27575 - KCN Thăng Long 2, HY (Có xe đưa đón từ HN)</t>
        </is>
      </c>
      <c r="D2178" s="10" t="inlineStr">
        <is>
          <t>Công Ty TNHH Reeracoen Việt Nam</t>
        </is>
      </c>
      <c r="E2178" s="10" t="inlineStr">
        <is>
          <t>Lương:18 Tr - 22 Tr VND</t>
        </is>
      </c>
      <c r="F2178" s="10" t="inlineStr">
        <is>
          <t>Hưng Yên</t>
        </is>
      </c>
      <c r="G2178" s="10" t="inlineStr">
        <is>
          <t>06-04-2026</t>
        </is>
      </c>
      <c r="H2178" s="10" t="inlineStr">
        <is>
          <t>06/04/2026</t>
        </is>
      </c>
      <c r="I2178" s="10" t="inlineStr">
        <is>
          <t>17/03/2026</t>
        </is>
      </c>
      <c r="J2178" s="10" t="inlineStr">
        <is>
          <t>Hành chính / Thư ký, Nhân sự, Biên phiên dịch</t>
        </is>
      </c>
      <c r="K2178" s="10" t="inlineStr">
        <is>
          <t>Trên 2 Năm</t>
        </is>
      </c>
      <c r="L2178" s="11">
        <f>HYPERLINK("https://careerviet.vn/vi/tim-viec-lam/senior-gahr-co-tieng-nhat-27575-kcn-thang-long-2-hy-co-xe-dua-don-tu-hn.35C6B500.html","Xem chi tiết")</f>
        <v/>
      </c>
      <c r="M2178" s="10" t="n"/>
    </row>
    <row r="2179">
      <c r="B2179" s="7" t="n">
        <v>2177</v>
      </c>
      <c r="C2179" t="inlineStr">
        <is>
          <t>Kỹ Sư QA/QC</t>
        </is>
      </c>
      <c r="D2179" t="inlineStr">
        <is>
          <t>TRUNG TÂM TƯ VẤN ĐẦU TƯ VÀ XÂY DỰNG UDIC - CHI NHÁNH TỔNG CÔNG TY ĐẦU TƯ PHÁT TRIỂN HẠ TẦNG ĐÔ THỊ UDIC - CÔNG TY TNHH MỘT THÀNH VIÊN</t>
        </is>
      </c>
      <c r="E2179" t="inlineStr">
        <is>
          <t>Lương:18 Tr - 25 Tr VND</t>
        </is>
      </c>
      <c r="F2179" t="inlineStr">
        <is>
          <t>Hà Nội</t>
        </is>
      </c>
      <c r="G2179" t="inlineStr">
        <is>
          <t>05-04-2026</t>
        </is>
      </c>
      <c r="H2179" t="inlineStr">
        <is>
          <t>05/04/2026</t>
        </is>
      </c>
      <c r="I2179" t="inlineStr">
        <is>
          <t>17/03/2026</t>
        </is>
      </c>
      <c r="J2179" t="inlineStr">
        <is>
          <t>Quản lý chất lượng (QA/QC), Kiến trúc, Xây dựng</t>
        </is>
      </c>
      <c r="K2179" t="inlineStr">
        <is>
          <t>N/A</t>
        </is>
      </c>
      <c r="L2179" s="8">
        <f>HYPERLINK("https://careerviet.vn/vi/tim-viec-lam/ky-su-qa-qc.35C6B2EA.html","Xem chi tiết")</f>
        <v/>
      </c>
    </row>
    <row r="2180">
      <c r="B2180" s="9" t="n">
        <v>2178</v>
      </c>
      <c r="C2180" s="10" t="inlineStr">
        <is>
          <t>Phó Phòng Quản Lý Chất Lượng - QC Manager</t>
        </is>
      </c>
      <c r="D2180" s="10" t="inlineStr">
        <is>
          <t>CÔNG TY CỔ PHẦN GIẶT ỦI XANH</t>
        </is>
      </c>
      <c r="E2180" s="10" t="inlineStr">
        <is>
          <t>Lương:25 Tr - 35 Tr VND</t>
        </is>
      </c>
      <c r="F2180" s="10" t="inlineStr">
        <is>
          <t>Hồ Chí Minh</t>
        </is>
      </c>
      <c r="G2180" s="10" t="inlineStr">
        <is>
          <t>06-04-2026</t>
        </is>
      </c>
      <c r="H2180" s="10" t="inlineStr">
        <is>
          <t>06/04/2026</t>
        </is>
      </c>
      <c r="I2180" s="10" t="inlineStr">
        <is>
          <t>17/03/2026</t>
        </is>
      </c>
      <c r="J2180" s="10" t="inlineStr">
        <is>
          <t>Quản lý chất lượng (QA/QC), Y tế / Chăm sóc sức khỏe / Thẩm mỹ / Làm đẹp, Sản xuất / Vận hành sản xuất</t>
        </is>
      </c>
      <c r="K2180" s="10" t="inlineStr">
        <is>
          <t>Trên 5 Năm</t>
        </is>
      </c>
      <c r="L2180" s="11">
        <f>HYPERLINK("https://careerviet.vn/vi/tim-viec-lam/pho-phong-quan-ly-chat-luong-qc-manager.35C6B3FA.html","Xem chi tiết")</f>
        <v/>
      </c>
      <c r="M2180" s="10" t="n"/>
    </row>
    <row r="2181">
      <c r="B2181" s="7" t="n">
        <v>2179</v>
      </c>
      <c r="C2181" t="inlineStr">
        <is>
          <t>Hoạ Viên Triển Khai Nội Thất 2D</t>
        </is>
      </c>
      <c r="D2181" t="inlineStr">
        <is>
          <t>CÔNG TY TNHH KIẾN TRÚC XÂY DỰNG VÀ THƯƠNG MẠI AN</t>
        </is>
      </c>
      <c r="E2181" t="inlineStr">
        <is>
          <t>Lương:15 Tr - 20 Tr VND</t>
        </is>
      </c>
      <c r="F2181" t="inlineStr">
        <is>
          <t>Hồ Chí Minh</t>
        </is>
      </c>
      <c r="G2181" t="inlineStr">
        <is>
          <t>05-04-2026</t>
        </is>
      </c>
      <c r="H2181" t="inlineStr">
        <is>
          <t>05/04/2026</t>
        </is>
      </c>
      <c r="I2181" t="inlineStr">
        <is>
          <t>17/03/2026</t>
        </is>
      </c>
      <c r="J2181" t="inlineStr">
        <is>
          <t>Kiến trúc, Xây dựng, Nội ngoại thất</t>
        </is>
      </c>
      <c r="K2181" t="inlineStr">
        <is>
          <t>Trên 2 Năm</t>
        </is>
      </c>
      <c r="L2181" s="8">
        <f>HYPERLINK("https://careerviet.vn/vi/tim-viec-lam/hoa-vien-trien-khai-noi-that-2d.35C6B33A.html","Xem chi tiết")</f>
        <v/>
      </c>
    </row>
    <row r="2182">
      <c r="B2182" s="9" t="n">
        <v>2180</v>
      </c>
      <c r="C2182" s="10" t="inlineStr">
        <is>
          <t>KẾ TOÁN TỔNG HỢP (bán lẻ Thương mại điện tử)</t>
        </is>
      </c>
      <c r="D2182" s="10" t="inlineStr">
        <is>
          <t>THỜI TRANG NAM LEEVUS</t>
        </is>
      </c>
      <c r="E2182" s="10" t="inlineStr">
        <is>
          <t>Lương:15 Tr - 20 Tr VND</t>
        </is>
      </c>
      <c r="F2182" s="10" t="inlineStr">
        <is>
          <t>Hồ Chí Minh</t>
        </is>
      </c>
      <c r="G2182" s="10" t="inlineStr">
        <is>
          <t>31-03-2026</t>
        </is>
      </c>
      <c r="H2182" s="10" t="inlineStr">
        <is>
          <t>31/03/2026</t>
        </is>
      </c>
      <c r="I2182" s="10" t="inlineStr">
        <is>
          <t>17/03/2026</t>
        </is>
      </c>
      <c r="J2182" s="10" t="inlineStr">
        <is>
          <t>Kế toán / Kiểm toán, Thương mại điện tử, Tài chính / Đầu tư</t>
        </is>
      </c>
      <c r="K2182" s="10" t="inlineStr">
        <is>
          <t>Trên 3 Năm</t>
        </is>
      </c>
      <c r="L2182" s="11">
        <f>HYPERLINK("https://careerviet.vn/vi/tim-viec-lam/ke-toan-tong-hop-ban-le-thuong-mai-dien-tu.35C6AFF8.html","Xem chi tiết")</f>
        <v/>
      </c>
      <c r="M2182" s="10" t="n"/>
    </row>
    <row r="2183">
      <c r="B2183" s="7" t="n">
        <v>2181</v>
      </c>
      <c r="C2183" t="inlineStr">
        <is>
          <t>ADMIN THI CÔNG</t>
        </is>
      </c>
      <c r="D2183" t="inlineStr">
        <is>
          <t>CÔNG TY CỔ PHẦN SÀI GÒN NAM PHÁT</t>
        </is>
      </c>
      <c r="E2183" t="inlineStr">
        <is>
          <t>Lương:Cạnh tranh</t>
        </is>
      </c>
      <c r="F2183" t="inlineStr">
        <is>
          <t>Hồ Chí Minh</t>
        </is>
      </c>
      <c r="G2183" t="inlineStr">
        <is>
          <t>06-04-2026</t>
        </is>
      </c>
      <c r="H2183" t="inlineStr">
        <is>
          <t>06/04/2026</t>
        </is>
      </c>
      <c r="I2183" t="inlineStr">
        <is>
          <t>17/03/2026</t>
        </is>
      </c>
      <c r="J2183" t="inlineStr">
        <is>
          <t>Hành chính / Thư ký, Xây dựng, Bất động sản</t>
        </is>
      </c>
      <c r="K2183" t="inlineStr">
        <is>
          <t>1 - 2 Năm</t>
        </is>
      </c>
      <c r="L2183" s="8">
        <f>HYPERLINK("https://careerviet.vn/vi/tim-viec-lam/admin-thi-cong.35C6B3FC.html","Xem chi tiết")</f>
        <v/>
      </c>
    </row>
    <row r="2184">
      <c r="B2184" s="9" t="n">
        <v>2182</v>
      </c>
      <c r="C2184" s="10" t="inlineStr">
        <is>
          <t>Kỹ Sư ME</t>
        </is>
      </c>
      <c r="D2184" s="10" t="inlineStr">
        <is>
          <t>Công ty cổ phần tập đoàn An Thịnh</t>
        </is>
      </c>
      <c r="E2184" s="10" t="inlineStr">
        <is>
          <t>Lương:Cạnh tranh</t>
        </is>
      </c>
      <c r="F2184" s="10" t="inlineStr">
        <is>
          <t>Hà NộiPhú Thọ</t>
        </is>
      </c>
      <c r="G2184" s="10" t="inlineStr">
        <is>
          <t>05-04-2026</t>
        </is>
      </c>
      <c r="H2184" s="10" t="inlineStr">
        <is>
          <t>05/04/2026</t>
        </is>
      </c>
      <c r="I2184" s="10" t="inlineStr">
        <is>
          <t>17/03/2026</t>
        </is>
      </c>
      <c r="J2184" s="10" t="inlineStr">
        <is>
          <t>Xây dựng, Điện / Điện tử / Điện lạnh / Điện công nghiệp, Bất động sản</t>
        </is>
      </c>
      <c r="K2184" s="10" t="inlineStr">
        <is>
          <t>Trên 3 Năm</t>
        </is>
      </c>
      <c r="L2184" s="11">
        <f>HYPERLINK("https://careerviet.vn/vi/tim-viec-lam/ky-su-me.35C6B38D.html","Xem chi tiết")</f>
        <v/>
      </c>
      <c r="M2184" s="10" t="n"/>
    </row>
    <row r="2185">
      <c r="B2185" s="7" t="n">
        <v>2183</v>
      </c>
      <c r="C2185" t="inlineStr">
        <is>
          <t>NHÂN VIÊN ĐIỀU ĐỘ SẢN XUẤT</t>
        </is>
      </c>
      <c r="D2185" t="inlineStr">
        <is>
          <t>Công Ty Cổ Phần Eurowindow</t>
        </is>
      </c>
      <c r="E2185" t="inlineStr">
        <is>
          <t>Lương:9 Tr - 10 Tr VND</t>
        </is>
      </c>
      <c r="F2185" t="inlineStr">
        <is>
          <t>Hà Nội</t>
        </is>
      </c>
      <c r="G2185" t="inlineStr">
        <is>
          <t>12-03-2026</t>
        </is>
      </c>
      <c r="H2185" t="inlineStr">
        <is>
          <t>05/03/2026</t>
        </is>
      </c>
      <c r="I2185" t="inlineStr">
        <is>
          <t>17/03/2026</t>
        </is>
      </c>
      <c r="J2185" t="inlineStr">
        <is>
          <t>Kế toán / Kiểm toán, Sản xuất / Vận hành sản xuất, Thống kê</t>
        </is>
      </c>
      <c r="K2185" t="inlineStr">
        <is>
          <t>Chưa có kinh nghiệm</t>
        </is>
      </c>
      <c r="L2185" s="8">
        <f>HYPERLINK("https://careerviet.vn/vi/tim-viec-lam/nhan-vien-dieu-do-san-xuat.35C6B2F9.html","Xem chi tiết")</f>
        <v/>
      </c>
    </row>
    <row r="2186">
      <c r="B2186" s="9" t="n">
        <v>2184</v>
      </c>
      <c r="C2186" s="10" t="inlineStr">
        <is>
          <t>Kỹ sư thiết kế cơ khí 27738 - Chương Mỹ, HN</t>
        </is>
      </c>
      <c r="D2186" s="10" t="inlineStr">
        <is>
          <t>Công Ty TNHH Reeracoen Việt Nam</t>
        </is>
      </c>
      <c r="E2186" s="10" t="inlineStr">
        <is>
          <t>Lương:10 Tr - 13 Tr VND</t>
        </is>
      </c>
      <c r="F2186" s="10" t="inlineStr">
        <is>
          <t>Hà Nội</t>
        </is>
      </c>
      <c r="G2186" s="10" t="inlineStr">
        <is>
          <t>06-04-2026</t>
        </is>
      </c>
      <c r="H2186" s="10" t="inlineStr">
        <is>
          <t>06/04/2026</t>
        </is>
      </c>
      <c r="I2186" s="10" t="inlineStr">
        <is>
          <t>17/03/2026</t>
        </is>
      </c>
      <c r="J2186" s="10" t="inlineStr">
        <is>
          <t>Cơ khí / Ô tô / Tự động hóa, Điện / Điện tử / Điện lạnh / Điện công nghiệp, Bảo trì / Sửa chữa</t>
        </is>
      </c>
      <c r="K2186" s="10" t="inlineStr">
        <is>
          <t>N/A</t>
        </is>
      </c>
      <c r="L2186" s="11">
        <f>HYPERLINK("https://careerviet.vn/vi/tim-viec-lam/ky-su-thiet-ke-co-khi-27738-chuong-my-hn.35C6B508.html","Xem chi tiết")</f>
        <v/>
      </c>
      <c r="M2186" s="10" t="n"/>
    </row>
    <row r="2187">
      <c r="B2187" s="7" t="n">
        <v>2185</v>
      </c>
      <c r="C2187" t="inlineStr">
        <is>
          <t>GIÁM ĐỐC SẢN XUẤT</t>
        </is>
      </c>
      <c r="D2187" t="inlineStr">
        <is>
          <t>TRAN DUC CORPORATION - CÔNG TY CỔ PHẦN TRẦN ĐỨC</t>
        </is>
      </c>
      <c r="E2187" t="inlineStr">
        <is>
          <t>Lương:Cạnh tranh</t>
        </is>
      </c>
      <c r="F2187" t="inlineStr">
        <is>
          <t>Bình Dương</t>
        </is>
      </c>
      <c r="G2187" t="inlineStr">
        <is>
          <t>30-04-2026</t>
        </is>
      </c>
      <c r="H2187" t="inlineStr">
        <is>
          <t>30/04/2026</t>
        </is>
      </c>
      <c r="I2187" t="inlineStr">
        <is>
          <t>17/03/2026</t>
        </is>
      </c>
      <c r="J2187" t="inlineStr">
        <is>
          <t>Sản xuất / Vận hành sản xuất, Đồ gỗ, Nội ngoại thất</t>
        </is>
      </c>
      <c r="K2187" t="inlineStr">
        <is>
          <t>4 - 5 Năm</t>
        </is>
      </c>
      <c r="L2187" s="8">
        <f>HYPERLINK("https://careerviet.vn/vi/tim-viec-lam/giam-doc-san-xuat.35C6B42A.html","Xem chi tiết")</f>
        <v/>
      </c>
    </row>
    <row r="2188">
      <c r="B2188" s="9" t="n">
        <v>2186</v>
      </c>
      <c r="C2188" s="10" t="inlineStr">
        <is>
          <t>NHÂN VIÊN THIẾT KẾ NỘI THẤT</t>
        </is>
      </c>
      <c r="D2188" s="10" t="inlineStr">
        <is>
          <t>CÔNG TY CỔ PHẦN XÂY DỰNG VÀ ĐẦU TƯ GALAXY</t>
        </is>
      </c>
      <c r="E2188" s="10" t="inlineStr">
        <is>
          <t>Lương:15 Tr - 18 Tr VND</t>
        </is>
      </c>
      <c r="F2188" s="10" t="inlineStr">
        <is>
          <t>Hồ Chí Minh</t>
        </is>
      </c>
      <c r="G2188" s="10" t="inlineStr">
        <is>
          <t>31-03-2026</t>
        </is>
      </c>
      <c r="H2188" s="10" t="inlineStr">
        <is>
          <t>31/03/2026</t>
        </is>
      </c>
      <c r="I2188" s="10" t="inlineStr">
        <is>
          <t>17/03/2026</t>
        </is>
      </c>
      <c r="J2188" s="10" t="inlineStr">
        <is>
          <t>Kiến trúc, Xây dựng, Nội ngoại thất</t>
        </is>
      </c>
      <c r="K2188" s="10" t="inlineStr">
        <is>
          <t>2 - 6 Năm</t>
        </is>
      </c>
      <c r="L2188" s="11">
        <f>HYPERLINK("https://careerviet.vn/vi/tim-viec-lam/nhan-vien-thie-t-ke-no-i-tha-t.35C6B558.html","Xem chi tiết")</f>
        <v/>
      </c>
      <c r="M2188" s="10" t="n"/>
    </row>
    <row r="2189">
      <c r="B2189" s="7" t="n">
        <v>2187</v>
      </c>
      <c r="C2189" t="inlineStr">
        <is>
          <t>Nhân Viên Khai Thác Tàu Thủy</t>
        </is>
      </c>
      <c r="D2189" t="inlineStr">
        <is>
          <t>CÔNG TY CỔ PHẦN CẢNG TRANSIMEX</t>
        </is>
      </c>
      <c r="E2189" t="inlineStr">
        <is>
          <t>Lương:Cạnh tranh</t>
        </is>
      </c>
      <c r="F2189" t="inlineStr">
        <is>
          <t>Hồ Chí Minh</t>
        </is>
      </c>
      <c r="G2189" t="inlineStr">
        <is>
          <t>31-03-2026</t>
        </is>
      </c>
      <c r="H2189" t="inlineStr">
        <is>
          <t>31/03/2026</t>
        </is>
      </c>
      <c r="I2189" t="inlineStr">
        <is>
          <t>17/03/2026</t>
        </is>
      </c>
      <c r="J2189" t="inlineStr">
        <is>
          <t>Hàng hải, Vận chuyển / Giao nhận / Kho vận</t>
        </is>
      </c>
      <c r="K2189" t="inlineStr">
        <is>
          <t>Trên 1 Năm</t>
        </is>
      </c>
      <c r="L2189" s="8">
        <f>HYPERLINK("https://careerviet.vn/vi/tim-viec-lam/nhan-vien-khai-thac-tau-thuy.35C6A789.html","Xem chi tiết")</f>
        <v/>
      </c>
    </row>
    <row r="2190">
      <c r="B2190" s="9" t="n">
        <v>2188</v>
      </c>
      <c r="C2190" s="10" t="inlineStr">
        <is>
          <t>KỸ SƯ SHOP DRAWING XÂY DỰNG</t>
        </is>
      </c>
      <c r="D2190" s="10" t="inlineStr">
        <is>
          <t>Chi Nhánh Miền Nam - Tổng Công Ty Cổ Phần Xây Dựng Công Nghiệp Việt Nam</t>
        </is>
      </c>
      <c r="E2190" s="10" t="inlineStr">
        <is>
          <t>Lương:14 Tr - 20 Tr VND</t>
        </is>
      </c>
      <c r="F2190" s="10" t="inlineStr">
        <is>
          <t>Phú YênKhánh HòaNinh Thuận</t>
        </is>
      </c>
      <c r="G2190" s="10" t="inlineStr">
        <is>
          <t>31-03-2026</t>
        </is>
      </c>
      <c r="H2190" s="10" t="inlineStr">
        <is>
          <t>31/03/2026</t>
        </is>
      </c>
      <c r="I2190" s="10" t="inlineStr">
        <is>
          <t>17/03/2026</t>
        </is>
      </c>
      <c r="J2190" s="10" t="inlineStr">
        <is>
          <t>Kiến trúc, Xây dựng, Mỹ thuật / Nghệ thuật / Thiết kế</t>
        </is>
      </c>
      <c r="K2190" s="10" t="inlineStr">
        <is>
          <t>N/A</t>
        </is>
      </c>
      <c r="L2190" s="11">
        <f>HYPERLINK("https://careerviet.vn/vi/tim-viec-lam/ky-su-shop-drawing-xay-dung.35C6B372.html","Xem chi tiết")</f>
        <v/>
      </c>
      <c r="M2190" s="10" t="n"/>
    </row>
    <row r="2191">
      <c r="B2191" s="7" t="n">
        <v>2189</v>
      </c>
      <c r="C2191" t="inlineStr">
        <is>
          <t>Customer Service staff</t>
        </is>
      </c>
      <c r="D2191" t="inlineStr">
        <is>
          <t>Fuji Seal Việt Nam</t>
        </is>
      </c>
      <c r="E2191" t="inlineStr">
        <is>
          <t>Lương:Cạnh tranh</t>
        </is>
      </c>
      <c r="F2191" t="inlineStr">
        <is>
          <t>Bình Dương</t>
        </is>
      </c>
      <c r="G2191" t="inlineStr">
        <is>
          <t>31-03-2026</t>
        </is>
      </c>
      <c r="H2191" t="inlineStr">
        <is>
          <t>31/03/2026</t>
        </is>
      </c>
      <c r="I2191" t="inlineStr">
        <is>
          <t>17/03/2026</t>
        </is>
      </c>
      <c r="J2191" t="inlineStr">
        <is>
          <t>Tiếp thị / Marketing, Bán hàng / Kinh doanh, Dịch vụ khách hàng</t>
        </is>
      </c>
      <c r="K2191" t="inlineStr">
        <is>
          <t>Lên đến 3 Năm</t>
        </is>
      </c>
      <c r="L2191" s="8">
        <f>HYPERLINK("https://careerviet.vn/vi/tim-viec-lam/customer-service-staff.35C6B453.html","Xem chi tiết")</f>
        <v/>
      </c>
    </row>
    <row r="2192">
      <c r="B2192" s="9" t="n">
        <v>2190</v>
      </c>
      <c r="C2192" s="10" t="inlineStr">
        <is>
          <t>Nhân viên Sale Admin</t>
        </is>
      </c>
      <c r="D2192" s="10" t="inlineStr">
        <is>
          <t>Công ty cổ phần văn phòng phẩm Hồng Hà</t>
        </is>
      </c>
      <c r="E2192" s="10" t="inlineStr">
        <is>
          <t>Lương:10 Tr - 13 Tr VND</t>
        </is>
      </c>
      <c r="F2192" s="10" t="inlineStr">
        <is>
          <t>Hà Nội</t>
        </is>
      </c>
      <c r="G2192" s="10" t="inlineStr">
        <is>
          <t>31-03-2026</t>
        </is>
      </c>
      <c r="H2192" s="10" t="inlineStr">
        <is>
          <t>31/03/2026</t>
        </is>
      </c>
      <c r="I2192" s="10" t="inlineStr">
        <is>
          <t>17/03/2026</t>
        </is>
      </c>
      <c r="J2192" s="10" t="inlineStr">
        <is>
          <t>Bán hàng / Kinh doanh, Hành chính / Thư ký</t>
        </is>
      </c>
      <c r="K2192" s="10" t="inlineStr">
        <is>
          <t>1 - 2 Năm</t>
        </is>
      </c>
      <c r="L2192" s="11">
        <f>HYPERLINK("https://careerviet.vn/vi/tim-viec-lam/nhan-vien-sale-admin.35C6B2A1.html","Xem chi tiết")</f>
        <v/>
      </c>
      <c r="M2192" s="10" t="n"/>
    </row>
    <row r="2193">
      <c r="B2193" s="7" t="n">
        <v>2191</v>
      </c>
      <c r="C2193" t="inlineStr">
        <is>
          <t>QUẢN LÝ CỬA HÀNG (Bạch Mai)</t>
        </is>
      </c>
      <c r="D2193" t="inlineStr">
        <is>
          <t>Vascara Group</t>
        </is>
      </c>
      <c r="E2193" t="inlineStr">
        <is>
          <t>Lương:Cạnh tranh</t>
        </is>
      </c>
      <c r="F2193" t="inlineStr">
        <is>
          <t>Hà Nội</t>
        </is>
      </c>
      <c r="G2193" t="inlineStr">
        <is>
          <t>06-04-2026</t>
        </is>
      </c>
      <c r="H2193" t="inlineStr">
        <is>
          <t>06/04/2026</t>
        </is>
      </c>
      <c r="I2193" t="inlineStr">
        <is>
          <t>17/03/2026</t>
        </is>
      </c>
      <c r="J2193" t="inlineStr">
        <is>
          <t>Tiếp thị / Marketing, Bán lẻ / Bán sỉ, Bán hàng / Kinh doanh</t>
        </is>
      </c>
      <c r="K2193" t="inlineStr">
        <is>
          <t>1 - 2 Năm</t>
        </is>
      </c>
      <c r="L2193" s="8">
        <f>HYPERLINK("https://careerviet.vn/vi/tim-viec-lam/quan-ly-cua-hang-bach-mai.35C6B4FA.html","Xem chi tiết")</f>
        <v/>
      </c>
    </row>
    <row r="2194">
      <c r="B2194" s="9" t="n">
        <v>2192</v>
      </c>
      <c r="C2194" s="10" t="inlineStr">
        <is>
          <t>Nhân Viên HSE</t>
        </is>
      </c>
      <c r="D2194" s="10" t="inlineStr">
        <is>
          <t>CÔNG TY TNHH TIAN YOU</t>
        </is>
      </c>
      <c r="E2194" s="10" t="inlineStr">
        <is>
          <t>Lương:Cạnh tranh</t>
        </is>
      </c>
      <c r="F2194" s="10" t="inlineStr">
        <is>
          <t>Bình Dương</t>
        </is>
      </c>
      <c r="G2194" s="10" t="inlineStr">
        <is>
          <t>05-04-2026</t>
        </is>
      </c>
      <c r="H2194" s="10" t="inlineStr">
        <is>
          <t>05/04/2026</t>
        </is>
      </c>
      <c r="I2194" s="10" t="inlineStr">
        <is>
          <t>17/03/2026</t>
        </is>
      </c>
      <c r="J2194" s="10" t="inlineStr">
        <is>
          <t>An toàn lao động, Điện / Điện tử / Điện lạnh / Điện công nghiệp, Cơ khí / Ô tô / Tự động hóa</t>
        </is>
      </c>
      <c r="K2194" s="10" t="inlineStr">
        <is>
          <t>Trên 1 Năm</t>
        </is>
      </c>
      <c r="L2194" s="11">
        <f>HYPERLINK("https://careerviet.vn/vi/tim-viec-lam/nhan-vien-hse.35C6B234.html","Xem chi tiết")</f>
        <v/>
      </c>
      <c r="M2194" s="10" t="n"/>
    </row>
    <row r="2195">
      <c r="B2195" s="7" t="n">
        <v>2193</v>
      </c>
      <c r="C2195" t="inlineStr">
        <is>
          <t>Purchasing manager</t>
        </is>
      </c>
      <c r="D2195" t="inlineStr">
        <is>
          <t>Công ty TNHH Sài Gòn Stec</t>
        </is>
      </c>
      <c r="E2195" t="inlineStr">
        <is>
          <t>Lương:45 Tr - 60 Tr VND</t>
        </is>
      </c>
      <c r="F2195" t="inlineStr">
        <is>
          <t>Bình Dương</t>
        </is>
      </c>
      <c r="G2195" t="inlineStr">
        <is>
          <t>06-04-2026</t>
        </is>
      </c>
      <c r="H2195" t="inlineStr">
        <is>
          <t>06/04/2026</t>
        </is>
      </c>
      <c r="I2195" t="inlineStr">
        <is>
          <t>17/03/2026</t>
        </is>
      </c>
      <c r="J2195" t="inlineStr">
        <is>
          <t>Thu mua / Vật tư, Xuất nhập khẩu</t>
        </is>
      </c>
      <c r="K2195" t="inlineStr">
        <is>
          <t>5 - 10 Năm</t>
        </is>
      </c>
      <c r="L2195" s="8">
        <f>HYPERLINK("https://careerviet.vn/vi/tim-viec-lam/purchasing-manager.35C6B46D.html","Xem chi tiết")</f>
        <v/>
      </c>
    </row>
    <row r="2196">
      <c r="B2196" s="9" t="n">
        <v>2194</v>
      </c>
      <c r="C2196" s="10" t="inlineStr">
        <is>
          <t>Chuyên Viên Pháp Chế</t>
        </is>
      </c>
      <c r="D2196" s="10" t="inlineStr">
        <is>
          <t>TẬP ĐOÀN ĐẦU TƯ KINH ĐÔ</t>
        </is>
      </c>
      <c r="E2196" s="10" t="inlineStr">
        <is>
          <t>Lương:20 Tr - 30 Tr VND</t>
        </is>
      </c>
      <c r="F2196" s="10" t="inlineStr">
        <is>
          <t>Hà Nội</t>
        </is>
      </c>
      <c r="G2196" s="10" t="inlineStr">
        <is>
          <t>06-04-2026</t>
        </is>
      </c>
      <c r="H2196" s="10" t="inlineStr">
        <is>
          <t>06/04/2026</t>
        </is>
      </c>
      <c r="I2196" s="10" t="inlineStr">
        <is>
          <t>17/03/2026</t>
        </is>
      </c>
      <c r="J2196" s="10" t="inlineStr">
        <is>
          <t>Luật / Pháp lý, Bất động sản, Xây dựng</t>
        </is>
      </c>
      <c r="K2196" s="10" t="inlineStr">
        <is>
          <t>3 - 5 Năm</t>
        </is>
      </c>
      <c r="L2196" s="11">
        <f>HYPERLINK("https://careerviet.vn/vi/tim-viec-lam/chuyen-vien-phap-che.35C6B2E4.html","Xem chi tiết")</f>
        <v/>
      </c>
      <c r="M2196" s="10" t="n"/>
    </row>
    <row r="2197">
      <c r="B2197" s="7" t="n">
        <v>2195</v>
      </c>
      <c r="C2197" t="inlineStr">
        <is>
          <t>Kế Toán Tổng Hợp</t>
        </is>
      </c>
      <c r="D2197" t="inlineStr">
        <is>
          <t>Công Ty Cổ Phần Đầu Tư Viên Ngọc Mới</t>
        </is>
      </c>
      <c r="E2197" t="inlineStr">
        <is>
          <t>Lương:Cạnh tranh</t>
        </is>
      </c>
      <c r="F2197" t="inlineStr">
        <is>
          <t>Hồ Chí Minh</t>
        </is>
      </c>
      <c r="G2197" t="inlineStr">
        <is>
          <t>04-04-2026</t>
        </is>
      </c>
      <c r="H2197" t="inlineStr">
        <is>
          <t>04/04/2026</t>
        </is>
      </c>
      <c r="I2197" t="inlineStr">
        <is>
          <t>17/03/2026</t>
        </is>
      </c>
      <c r="J2197" t="inlineStr">
        <is>
          <t>Kế toán / Kiểm toán, Nhà hàng / Khách sạn, Bán lẻ / Bán sỉ</t>
        </is>
      </c>
      <c r="K2197" t="inlineStr">
        <is>
          <t>Trên 4 Năm</t>
        </is>
      </c>
      <c r="L2197" s="8">
        <f>HYPERLINK("https://careerviet.vn/vi/tim-viec-lam/ke-toan-tong-hop.35C6B1D5.html","Xem chi tiết")</f>
        <v/>
      </c>
    </row>
    <row r="2198">
      <c r="B2198" s="9" t="n">
        <v>2196</v>
      </c>
      <c r="C2198" s="10" t="inlineStr">
        <is>
          <t>Nhân Viên Sales Admin</t>
        </is>
      </c>
      <c r="D2198" s="10" t="inlineStr">
        <is>
          <t>TED SAIGON</t>
        </is>
      </c>
      <c r="E2198" s="10" t="inlineStr">
        <is>
          <t>Lương:10 Tr - 12 Tr VND</t>
        </is>
      </c>
      <c r="F2198" s="10" t="inlineStr">
        <is>
          <t>Hồ Chí Minh</t>
        </is>
      </c>
      <c r="G2198" s="10" t="inlineStr">
        <is>
          <t>26-03-2026</t>
        </is>
      </c>
      <c r="H2198" s="10" t="inlineStr">
        <is>
          <t>26/03/2026</t>
        </is>
      </c>
      <c r="I2198" s="10" t="inlineStr">
        <is>
          <t>17/03/2026</t>
        </is>
      </c>
      <c r="J2198" s="10" t="inlineStr">
        <is>
          <t>Hành chính / Thư ký, Giáo dục / Đào tạo, Tư vấn</t>
        </is>
      </c>
      <c r="K2198" s="10" t="inlineStr">
        <is>
          <t>1 - 2 Năm</t>
        </is>
      </c>
      <c r="L2198" s="11">
        <f>HYPERLINK("https://careerviet.vn/vi/tim-viec-lam/nhan-vien-sales-admin.35C6B41C.html","Xem chi tiết")</f>
        <v/>
      </c>
      <c r="M2198" s="10" t="n"/>
    </row>
    <row r="2199">
      <c r="B2199" s="7" t="n">
        <v>2197</v>
      </c>
      <c r="C2199" t="inlineStr">
        <is>
          <t>PHỤ KHO (Nhân viên Phụ kho)</t>
        </is>
      </c>
      <c r="D2199" t="inlineStr">
        <is>
          <t>CÔNG TY CỔ PHẦN  KTG ELECTRIC</t>
        </is>
      </c>
      <c r="E2199" t="inlineStr">
        <is>
          <t>Lương:Cạnh tranh</t>
        </is>
      </c>
      <c r="F2199" t="inlineStr">
        <is>
          <t>Hồ Chí MinhHà Nội</t>
        </is>
      </c>
      <c r="G2199" t="inlineStr">
        <is>
          <t>06-04-2026</t>
        </is>
      </c>
      <c r="H2199" t="inlineStr">
        <is>
          <t>06/04/2026</t>
        </is>
      </c>
      <c r="I2199" t="inlineStr">
        <is>
          <t>17/03/2026</t>
        </is>
      </c>
      <c r="J2199" t="inlineStr">
        <is>
          <t>Lao động phổ thông</t>
        </is>
      </c>
      <c r="K2199" t="inlineStr">
        <is>
          <t>.</t>
        </is>
      </c>
      <c r="L2199" s="8">
        <f>HYPERLINK("https://careerviet.vn/vi/tim-viec-lam/phu-kho-nhan-vien-phu-kho.35C6B4CE.html","Xem chi tiết")</f>
        <v/>
      </c>
    </row>
    <row r="2200">
      <c r="B2200" s="9" t="n">
        <v>2198</v>
      </c>
      <c r="C2200" s="10" t="inlineStr">
        <is>
          <t>Project Management Specialist</t>
        </is>
      </c>
      <c r="D2200" s="10" t="inlineStr">
        <is>
          <t>Rochdale Spears Co., Ltd.</t>
        </is>
      </c>
      <c r="E2200" s="10" t="inlineStr">
        <is>
          <t>Lương:Cạnh tranh</t>
        </is>
      </c>
      <c r="F2200" s="10" t="inlineStr">
        <is>
          <t>Bình Dương</t>
        </is>
      </c>
      <c r="G2200" s="10" t="inlineStr">
        <is>
          <t>02-04-2026</t>
        </is>
      </c>
      <c r="H2200" s="10" t="inlineStr">
        <is>
          <t>02/04/2026</t>
        </is>
      </c>
      <c r="I2200" s="10" t="inlineStr">
        <is>
          <t>17/03/2026</t>
        </is>
      </c>
      <c r="J2200" s="10" t="inlineStr">
        <is>
          <t>Sản xuất / Vận hành sản xuất</t>
        </is>
      </c>
      <c r="K2200" s="10" t="inlineStr">
        <is>
          <t>2 - 3 Năm</t>
        </is>
      </c>
      <c r="L2200" s="11">
        <f>HYPERLINK("https://careerviet.vn/vi/tim-viec-lam/project-management-specialist.35C6B4AF.html","Xem chi tiết")</f>
        <v/>
      </c>
      <c r="M2200" s="10" t="n"/>
    </row>
    <row r="2201">
      <c r="B2201" s="7" t="n">
        <v>2199</v>
      </c>
      <c r="C2201" t="inlineStr">
        <is>
          <t>Tổ phó Logistics</t>
        </is>
      </c>
      <c r="D2201" t="inlineStr">
        <is>
          <t>CÔNG TY TRÁCH NHIỆM HỮU HẠN SÀI GÒN PRECISION</t>
        </is>
      </c>
      <c r="E2201" t="inlineStr">
        <is>
          <t>Lương:Cạnh tranh</t>
        </is>
      </c>
      <c r="F2201" t="inlineStr">
        <is>
          <t>Hồ Chí Minh</t>
        </is>
      </c>
      <c r="G2201" t="inlineStr">
        <is>
          <t>30-05-2026</t>
        </is>
      </c>
      <c r="H2201" t="inlineStr">
        <is>
          <t>30/05/2026</t>
        </is>
      </c>
      <c r="I2201" t="inlineStr">
        <is>
          <t>17/03/2026</t>
        </is>
      </c>
      <c r="J2201" t="inlineStr">
        <is>
          <t>Xuất nhập khẩu, Sản xuất / Vận hành sản xuất</t>
        </is>
      </c>
      <c r="K2201" t="inlineStr">
        <is>
          <t>1 - 3 Năm</t>
        </is>
      </c>
      <c r="L2201" s="8">
        <f>HYPERLINK("https://careerviet.vn/vi/tim-viec-lam/to-pho-logistics.35C6B4B8.html","Xem chi tiết")</f>
        <v/>
      </c>
    </row>
    <row r="2202">
      <c r="B2202" s="9" t="n">
        <v>2200</v>
      </c>
      <c r="C2202" s="10" t="inlineStr">
        <is>
          <t>Chuyên gia phát triển kinh doanh, Phân khúc hộ kinh doanh và doanh nghiệp siêu nhỏ, Khối Khách hàng cá nhân</t>
        </is>
      </c>
      <c r="D2202" s="10" t="inlineStr">
        <is>
          <t>Ngân hàng TMCP Đại Chúng Việt Nam - PVcomBank</t>
        </is>
      </c>
      <c r="E2202" s="10" t="inlineStr">
        <is>
          <t>Lương:Cạnh tranh</t>
        </is>
      </c>
      <c r="F2202" s="10" t="inlineStr">
        <is>
          <t>Hà Nội</t>
        </is>
      </c>
      <c r="G2202" s="10" t="inlineStr">
        <is>
          <t>05-04-2026</t>
        </is>
      </c>
      <c r="H2202" s="10" t="inlineStr">
        <is>
          <t>05/04/2026</t>
        </is>
      </c>
      <c r="I2202" s="10" t="inlineStr">
        <is>
          <t>17/03/2026</t>
        </is>
      </c>
      <c r="J2202" s="10" t="inlineStr">
        <is>
          <t>Ngân hàng, Bán hàng / Kinh doanh</t>
        </is>
      </c>
      <c r="K2202" s="10" t="inlineStr">
        <is>
          <t>5 - 7 Năm</t>
        </is>
      </c>
      <c r="L2202" s="11">
        <f>HYPERLINK("https://careerviet.vn/vi/tim-viec-lam/chuyen-gia-phat-trien-kinh-doanh-phan-khuc-ho-kinh-doanh-va-doanh-nghiep-sieu-nho-khoi-khach-hang-ca-nhan.35C6B422.html","Xem chi tiết")</f>
        <v/>
      </c>
      <c r="M2202" s="10" t="n"/>
    </row>
    <row r="2203">
      <c r="B2203" s="7" t="n">
        <v>2201</v>
      </c>
      <c r="C2203" t="inlineStr">
        <is>
          <t>Kế Toán Trưởng</t>
        </is>
      </c>
      <c r="D2203" t="inlineStr">
        <is>
          <t>CÔNG TY CỔ PHẦN DỊCH VỤ ĐIỆN TỬ VIỆT</t>
        </is>
      </c>
      <c r="E2203" t="inlineStr">
        <is>
          <t>Lương:Cạnh tranh</t>
        </is>
      </c>
      <c r="F2203" t="inlineStr">
        <is>
          <t>Hồ Chí Minh</t>
        </is>
      </c>
      <c r="G2203" t="inlineStr">
        <is>
          <t>24-03-2026</t>
        </is>
      </c>
      <c r="H2203" t="inlineStr">
        <is>
          <t>24/03/2026</t>
        </is>
      </c>
      <c r="I2203" t="inlineStr">
        <is>
          <t>17/03/2026</t>
        </is>
      </c>
      <c r="J2203" t="inlineStr">
        <is>
          <t>Kế toán / Kiểm toán, Quản lý điều hành, Tài chính / Đầu tư</t>
        </is>
      </c>
      <c r="K2203" t="inlineStr">
        <is>
          <t>Trên 5 Năm</t>
        </is>
      </c>
      <c r="L2203" s="8">
        <f>HYPERLINK("https://careerviet.vn/vi/tim-viec-lam/ke-toan-truong.35C6971B.html","Xem chi tiết")</f>
        <v/>
      </c>
    </row>
    <row r="2204">
      <c r="B2204" s="9" t="n">
        <v>2202</v>
      </c>
      <c r="C2204" s="10" t="inlineStr">
        <is>
          <t>Cán bộ QS công trường</t>
        </is>
      </c>
      <c r="D2204" s="10" t="inlineStr">
        <is>
          <t>CÔNG TY CỔ PHẦN XÂY DỰNG VÀ CƠ KHÍ DELTA E&amp;C</t>
        </is>
      </c>
      <c r="E2204" s="10" t="inlineStr">
        <is>
          <t>Lương:18 Tr - 30 Tr VND</t>
        </is>
      </c>
      <c r="F2204" s="10" t="inlineStr">
        <is>
          <t>Hải PhòngHà Nội</t>
        </is>
      </c>
      <c r="G2204" s="10" t="inlineStr">
        <is>
          <t>30-04-2026</t>
        </is>
      </c>
      <c r="H2204" s="10" t="inlineStr">
        <is>
          <t>30/04/2026</t>
        </is>
      </c>
      <c r="I2204" s="10" t="inlineStr">
        <is>
          <t>17/03/2026</t>
        </is>
      </c>
      <c r="J2204" s="10" t="inlineStr">
        <is>
          <t>Xây dựng</t>
        </is>
      </c>
      <c r="K2204" s="10" t="inlineStr">
        <is>
          <t>N/A</t>
        </is>
      </c>
      <c r="L2204" s="11">
        <f>HYPERLINK("https://careerviet.vn/vi/tim-viec-lam/can-bo-qs-cong-truong.35C6C6EC.html","Xem chi tiết")</f>
        <v/>
      </c>
      <c r="M2204" s="10" t="n"/>
    </row>
    <row r="2205">
      <c r="B2205" s="7" t="n">
        <v>2203</v>
      </c>
      <c r="C2205" t="inlineStr">
        <is>
          <t>KIẾN TRÚC SƯ - THIẾT KẾ NỘI THẤT CÔNG TRÌNH DÂN DỤNG</t>
        </is>
      </c>
      <c r="D2205" t="inlineStr">
        <is>
          <t>CÔNG TY CỔ PHẦN XÂY DỰNG NGHĨA PHƯỚC</t>
        </is>
      </c>
      <c r="E2205" t="inlineStr">
        <is>
          <t>Lương:Cạnh tranh</t>
        </is>
      </c>
      <c r="F2205" t="inlineStr">
        <is>
          <t>Hồ Chí Minh</t>
        </is>
      </c>
      <c r="G2205" t="inlineStr">
        <is>
          <t>12-04-2026</t>
        </is>
      </c>
      <c r="H2205" t="inlineStr">
        <is>
          <t>12/04/2026</t>
        </is>
      </c>
      <c r="I2205" t="inlineStr">
        <is>
          <t>17/03/2026</t>
        </is>
      </c>
      <c r="J2205" t="inlineStr">
        <is>
          <t>Kiến trúc, Xây dựng, Nội ngoại thất</t>
        </is>
      </c>
      <c r="K2205" t="inlineStr">
        <is>
          <t>4 - 5 Năm</t>
        </is>
      </c>
      <c r="L2205" s="8">
        <f>HYPERLINK("https://careerviet.vn/vi/tim-viec-lam/kien-truc-su-thiet-ke-noi-that-cong-trinh-dan-dung.35C6C6DD.html","Xem chi tiết")</f>
        <v/>
      </c>
    </row>
    <row r="2206">
      <c r="B2206" s="9" t="n">
        <v>2204</v>
      </c>
      <c r="C2206" s="10" t="inlineStr">
        <is>
          <t>Nhân Viên Kế Toán Kho - Đức Hoà</t>
        </is>
      </c>
      <c r="D2206" s="10" t="inlineStr">
        <is>
          <t>CÔNG TY CỔ PHẦN BOHO CORPORATION</t>
        </is>
      </c>
      <c r="E2206" s="10" t="inlineStr">
        <is>
          <t>Lương:Cạnh tranh</t>
        </is>
      </c>
      <c r="F2206" s="10" t="inlineStr">
        <is>
          <t>Long An</t>
        </is>
      </c>
      <c r="G2206" s="10" t="inlineStr">
        <is>
          <t>30-04-2026</t>
        </is>
      </c>
      <c r="H2206" s="10" t="inlineStr">
        <is>
          <t>30/04/2026</t>
        </is>
      </c>
      <c r="I2206" s="10" t="inlineStr">
        <is>
          <t>17/03/2026</t>
        </is>
      </c>
      <c r="J2206" s="10" t="inlineStr">
        <is>
          <t>Kế toán / Kiểm toán</t>
        </is>
      </c>
      <c r="K2206" s="10" t="inlineStr">
        <is>
          <t>Chưa có kinh nghiệm</t>
        </is>
      </c>
      <c r="L2206" s="11">
        <f>HYPERLINK("https://careerviet.vn/vi/tim-viec-lam/nhan-vien-ke-toan-kho-duc-hoa.35C6C6CB.html","Xem chi tiết")</f>
        <v/>
      </c>
      <c r="M2206" s="10" t="n"/>
    </row>
    <row r="2207">
      <c r="B2207" s="7" t="n">
        <v>2205</v>
      </c>
      <c r="C2207" t="inlineStr">
        <is>
          <t>Nhân viên kinh doanh</t>
        </is>
      </c>
      <c r="D2207" t="inlineStr">
        <is>
          <t>CÔNG TY TNHH DTIS INTERNATIONAL</t>
        </is>
      </c>
      <c r="E2207" t="inlineStr">
        <is>
          <t>Lương:Cạnh tranh</t>
        </is>
      </c>
      <c r="F2207" t="inlineStr">
        <is>
          <t>Hồ Chí Minh</t>
        </is>
      </c>
      <c r="G2207" t="inlineStr">
        <is>
          <t>27-03-2026</t>
        </is>
      </c>
      <c r="H2207" t="inlineStr">
        <is>
          <t>27/03/2026</t>
        </is>
      </c>
      <c r="I2207" t="inlineStr">
        <is>
          <t>17/03/2026</t>
        </is>
      </c>
      <c r="J2207" t="inlineStr">
        <is>
          <t>Bán hàng / Kinh doanh, Tiếp thị / Marketing, CNTT - Phần mềm</t>
        </is>
      </c>
      <c r="K2207" t="inlineStr">
        <is>
          <t>N/A</t>
        </is>
      </c>
      <c r="L2207" s="8">
        <f>HYPERLINK("https://careerviet.vn/vi/tim-viec-lam/nhan-vien-kinh-doanh.35C69E14.html","Xem chi tiết")</f>
        <v/>
      </c>
    </row>
    <row r="2208">
      <c r="B2208" s="9" t="n">
        <v>2206</v>
      </c>
      <c r="C2208" s="10" t="inlineStr">
        <is>
          <t>QC Inspector</t>
        </is>
      </c>
      <c r="D2208" s="10" t="inlineStr">
        <is>
          <t>CÔNG TY TNHH ZIEHL-ABEGG VIỆT NAM</t>
        </is>
      </c>
      <c r="E2208" s="10" t="inlineStr">
        <is>
          <t>Lương:Cạnh tranh</t>
        </is>
      </c>
      <c r="F2208" s="10" t="inlineStr">
        <is>
          <t>Đồng Nai</t>
        </is>
      </c>
      <c r="G2208" s="10" t="inlineStr">
        <is>
          <t>16-04-2026</t>
        </is>
      </c>
      <c r="H2208" s="10" t="inlineStr">
        <is>
          <t>16/04/2026</t>
        </is>
      </c>
      <c r="I2208" s="10" t="inlineStr">
        <is>
          <t>17/03/2026</t>
        </is>
      </c>
      <c r="J2208" s="10" t="inlineStr">
        <is>
          <t>Quản lý chất lượng (QA/QC), Sản xuất / Vận hành sản xuất</t>
        </is>
      </c>
      <c r="K2208" s="10" t="inlineStr">
        <is>
          <t>1 - 3 Năm</t>
        </is>
      </c>
      <c r="L2208" s="11">
        <f>HYPERLINK("https://careerviet.vn/vi/tim-viec-lam/qc-inspector.35C6C6E0.html","Xem chi tiết")</f>
        <v/>
      </c>
      <c r="M2208" s="10" t="n"/>
    </row>
    <row r="2209">
      <c r="B2209" s="7" t="n">
        <v>2207</v>
      </c>
      <c r="C2209" t="inlineStr">
        <is>
          <t>Nhân Viên Giao Hàng kiêm Phụ Kho</t>
        </is>
      </c>
      <c r="D2209" t="inlineStr">
        <is>
          <t>Công ty TNHH Ngôi Nhà Châu Âu (Việt Nam)</t>
        </is>
      </c>
      <c r="E2209" t="inlineStr">
        <is>
          <t>Lương:5 Tr - 7 Tr VND</t>
        </is>
      </c>
      <c r="F2209" t="inlineStr">
        <is>
          <t>Tây Ninh</t>
        </is>
      </c>
      <c r="G2209" t="inlineStr">
        <is>
          <t>12-04-2026</t>
        </is>
      </c>
      <c r="H2209" t="inlineStr">
        <is>
          <t>12/04/2026</t>
        </is>
      </c>
      <c r="I2209" t="inlineStr">
        <is>
          <t>17/03/2026</t>
        </is>
      </c>
      <c r="J2209" t="inlineStr">
        <is>
          <t>Vận chuyển / Giao nhận / Kho vận, Xuất nhập khẩu</t>
        </is>
      </c>
      <c r="K2209" t="inlineStr">
        <is>
          <t>N/A</t>
        </is>
      </c>
      <c r="L2209" s="8">
        <f>HYPERLINK("https://careerviet.vn/vi/tim-viec-lam/nhan-vien-giao-hang-kiem-phu-kho.35C6C6BB.html","Xem chi tiết")</f>
        <v/>
      </c>
    </row>
    <row r="2210">
      <c r="B2210" s="9" t="n">
        <v>2208</v>
      </c>
      <c r="C2210" s="10" t="inlineStr">
        <is>
          <t>PM/ Quản Lý Dự Án</t>
        </is>
      </c>
      <c r="D2210" s="10" t="inlineStr">
        <is>
          <t>CÔNG TY TNHH CƠ ĐIỆN XÂY DỰNG ĐỨC PHÁT</t>
        </is>
      </c>
      <c r="E2210" s="10" t="inlineStr">
        <is>
          <t>Lương:Cạnh tranh</t>
        </is>
      </c>
      <c r="F2210" s="10" t="inlineStr">
        <is>
          <t>Khác</t>
        </is>
      </c>
      <c r="G2210" s="10" t="inlineStr">
        <is>
          <t>12-04-2026</t>
        </is>
      </c>
      <c r="H2210" s="10" t="inlineStr">
        <is>
          <t>12/04/2026</t>
        </is>
      </c>
      <c r="I2210" s="10" t="inlineStr">
        <is>
          <t>17/03/2026</t>
        </is>
      </c>
      <c r="J2210" s="10" t="inlineStr">
        <is>
          <t>Xây dựng, Cơ khí / Ô tô / Tự động hóa, Điện / Điện tử / Điện lạnh / Điện công nghiệp</t>
        </is>
      </c>
      <c r="K2210" s="10" t="inlineStr">
        <is>
          <t>2 - 3 Năm</t>
        </is>
      </c>
      <c r="L2210" s="11">
        <f>HYPERLINK("https://careerviet.vn/vi/tim-viec-lam/pm-quan-ly-du-an.35C6C69B.html","Xem chi tiết")</f>
        <v/>
      </c>
      <c r="M2210" s="10" t="n"/>
    </row>
    <row r="2211">
      <c r="B2211" s="7" t="n">
        <v>2209</v>
      </c>
      <c r="C2211" t="inlineStr">
        <is>
          <t>Trưởng bộ phận Thanh toán (VP Quận 2)</t>
        </is>
      </c>
      <c r="D2211" t="inlineStr">
        <is>
          <t>AA Corporation</t>
        </is>
      </c>
      <c r="E2211" t="inlineStr">
        <is>
          <t>Lương:800 - 1.000 USD</t>
        </is>
      </c>
      <c r="F2211" t="inlineStr">
        <is>
          <t>Hồ Chí Minh</t>
        </is>
      </c>
      <c r="G2211" t="inlineStr">
        <is>
          <t>14-04-2026</t>
        </is>
      </c>
      <c r="H2211" t="inlineStr">
        <is>
          <t>14/04/2026</t>
        </is>
      </c>
      <c r="I2211" t="inlineStr">
        <is>
          <t>17/03/2026</t>
        </is>
      </c>
      <c r="J2211" t="inlineStr">
        <is>
          <t>Kế toán / Kiểm toán, Tài chính / Đầu tư, Sản xuất / Vận hành sản xuất</t>
        </is>
      </c>
      <c r="K2211" t="inlineStr">
        <is>
          <t>3 - 5 Năm</t>
        </is>
      </c>
      <c r="L2211" s="8">
        <f>HYPERLINK("https://careerviet.vn/vi/tim-viec-lam/truong-bo-phan-thanh-toan-vp-quan-2.35C6C6C3.html","Xem chi tiết")</f>
        <v/>
      </c>
    </row>
    <row r="2212">
      <c r="B2212" s="9" t="n">
        <v>2210</v>
      </c>
      <c r="C2212" s="10" t="inlineStr">
        <is>
          <t>Nhân viên Kế toán thanh toán làm việc tại Dương Nội  Thu nhập 12-15 tr</t>
        </is>
      </c>
      <c r="D2212" s="10" t="inlineStr">
        <is>
          <t>Công ty Cổ phần Govi Việt Nam</t>
        </is>
      </c>
      <c r="E2212" s="10" t="inlineStr">
        <is>
          <t>Lương:12 Tr - 15 Tr VND</t>
        </is>
      </c>
      <c r="F2212" s="10" t="inlineStr">
        <is>
          <t>Hà Nội</t>
        </is>
      </c>
      <c r="G2212" s="10" t="inlineStr">
        <is>
          <t>5</t>
        </is>
      </c>
      <c r="H2212" s="10" t="inlineStr">
        <is>
          <t>22/03/2026</t>
        </is>
      </c>
      <c r="I2212" s="10" t="inlineStr">
        <is>
          <t>17/03/2026</t>
        </is>
      </c>
      <c r="J2212" s="10" t="inlineStr">
        <is>
          <t>Kế toán / Kiểm toán, Tài chính / Đầu tư, Nội ngoại thất</t>
        </is>
      </c>
      <c r="K2212" s="10" t="inlineStr">
        <is>
          <t>2 - 3 Năm</t>
        </is>
      </c>
      <c r="L2212" s="11">
        <f>HYPERLINK("https://careerviet.vn/vi/tim-viec-lam/nhan-vien-ke-toan-thanh-toan-lam-viec-tai-duong-noi-thu-nhap-12-15-tr.35C636BA.html","Xem chi tiết")</f>
        <v/>
      </c>
      <c r="M2212" s="10" t="n"/>
    </row>
    <row r="2213">
      <c r="B2213" s="7" t="n">
        <v>2211</v>
      </c>
      <c r="C2213" t="inlineStr">
        <is>
          <t>Kỹ sư QS MEP</t>
        </is>
      </c>
      <c r="D2213" t="inlineStr">
        <is>
          <t>CÔNG TY CỔ PHẦN XÂY DỰNG VÀ THIẾT KẾ BẮC TRUNG NAM</t>
        </is>
      </c>
      <c r="E2213" t="inlineStr">
        <is>
          <t>Lương:15 Tr - 20 Tr VND</t>
        </is>
      </c>
      <c r="F2213" t="inlineStr">
        <is>
          <t>Hồ Chí Minh</t>
        </is>
      </c>
      <c r="G2213" t="inlineStr">
        <is>
          <t>12-04-2026</t>
        </is>
      </c>
      <c r="H2213" t="inlineStr">
        <is>
          <t>12/04/2026</t>
        </is>
      </c>
      <c r="I2213" t="inlineStr">
        <is>
          <t>17/03/2026</t>
        </is>
      </c>
      <c r="J2213" t="inlineStr">
        <is>
          <t>Điện / Điện tử / Điện lạnh / Điện công nghiệp, Xây dựng</t>
        </is>
      </c>
      <c r="K2213" t="inlineStr">
        <is>
          <t>2 - 5 Năm</t>
        </is>
      </c>
      <c r="L2213" s="8">
        <f>HYPERLINK("https://careerviet.vn/vi/tim-viec-lam/ky-su-qs-mep.35C6C6AD.html","Xem chi tiết")</f>
        <v/>
      </c>
    </row>
    <row r="2214">
      <c r="B2214" s="9" t="n">
        <v>2212</v>
      </c>
      <c r="C2214" s="10" t="inlineStr">
        <is>
          <t>GẤP - NHÂN VIÊN KHO (ĐI LÀM NGAY)</t>
        </is>
      </c>
      <c r="D2214" s="10" t="inlineStr">
        <is>
          <t>Công ty TNHH Dược phẩm Lavifa</t>
        </is>
      </c>
      <c r="E2214" s="10" t="inlineStr">
        <is>
          <t>Lương:7,5 Tr - 9,5 Tr VND</t>
        </is>
      </c>
      <c r="F2214" s="10" t="inlineStr">
        <is>
          <t>Hồ Chí Minh</t>
        </is>
      </c>
      <c r="G2214" s="10" t="inlineStr">
        <is>
          <t>30-04-2026</t>
        </is>
      </c>
      <c r="H2214" s="10" t="inlineStr">
        <is>
          <t>30/04/2026</t>
        </is>
      </c>
      <c r="I2214" s="10" t="inlineStr">
        <is>
          <t>17/03/2026</t>
        </is>
      </c>
      <c r="J2214" s="10" t="inlineStr">
        <is>
          <t>Vận chuyển / Giao nhận / Kho vận, Dược phẩm/ Hóa Mỹ Phẩm, Xuất nhập khẩu</t>
        </is>
      </c>
      <c r="K2214" s="10" t="inlineStr">
        <is>
          <t>1 - 2 Năm</t>
        </is>
      </c>
      <c r="L2214" s="11">
        <f>HYPERLINK("https://careerviet.vn/vi/tim-viec-lam/gap-nhan-vien-kho-di-lam-ngay.35C6C673.html","Xem chi tiết")</f>
        <v/>
      </c>
      <c r="M2214" s="10" t="n"/>
    </row>
    <row r="2215">
      <c r="B2215" s="7" t="n">
        <v>2213</v>
      </c>
      <c r="C2215" t="inlineStr">
        <is>
          <t>Chuyên viên Thanh tra xây dựng</t>
        </is>
      </c>
      <c r="D2215" t="inlineStr">
        <is>
          <t>ERAS GROUP</t>
        </is>
      </c>
      <c r="E2215" t="inlineStr">
        <is>
          <t>Lương:Cạnh tranh</t>
        </is>
      </c>
      <c r="F2215" t="inlineStr">
        <is>
          <t>Bình Thuận</t>
        </is>
      </c>
      <c r="G2215" t="inlineStr">
        <is>
          <t>30-04-2026</t>
        </is>
      </c>
      <c r="H2215" t="inlineStr">
        <is>
          <t>30/04/2026</t>
        </is>
      </c>
      <c r="I2215" t="inlineStr">
        <is>
          <t>17/03/2026</t>
        </is>
      </c>
      <c r="J2215" t="inlineStr">
        <is>
          <t>Xây dựng</t>
        </is>
      </c>
      <c r="K2215" t="inlineStr">
        <is>
          <t>3 - 5 Năm</t>
        </is>
      </c>
      <c r="L2215" s="8">
        <f>HYPERLINK("https://careerviet.vn/vi/tim-viec-lam/chuyen-vien-thanh-tra-xay-dung.35C6C692.html","Xem chi tiết")</f>
        <v/>
      </c>
    </row>
    <row r="2216">
      <c r="B2216" s="9" t="n">
        <v>2214</v>
      </c>
      <c r="C2216" s="10" t="inlineStr">
        <is>
          <t>Chuyên viên Đấu thầu dự án xây dựng</t>
        </is>
      </c>
      <c r="D2216" s="10" t="inlineStr">
        <is>
          <t>CÔNG TY CỔ PHẦN XÂY DỰNG VÀ THIẾT KẾ BẮC TRUNG NAM</t>
        </is>
      </c>
      <c r="E2216" s="10" t="inlineStr">
        <is>
          <t>Lương:18 Tr - 25 Tr VND</t>
        </is>
      </c>
      <c r="F2216" s="10" t="inlineStr">
        <is>
          <t>Hồ Chí Minh</t>
        </is>
      </c>
      <c r="G2216" s="10" t="inlineStr">
        <is>
          <t>12-04-2026</t>
        </is>
      </c>
      <c r="H2216" s="10" t="inlineStr">
        <is>
          <t>12/04/2026</t>
        </is>
      </c>
      <c r="I2216" s="10" t="inlineStr">
        <is>
          <t>17/03/2026</t>
        </is>
      </c>
      <c r="J2216" s="10" t="inlineStr">
        <is>
          <t>Xây dựng, Điện / Điện tử / Điện lạnh / Điện công nghiệp, Kiến trúc</t>
        </is>
      </c>
      <c r="K2216" s="10" t="inlineStr">
        <is>
          <t>3 - 5 Năm</t>
        </is>
      </c>
      <c r="L2216" s="11">
        <f>HYPERLINK("https://careerviet.vn/vi/tim-viec-lam/chuyen-vien-dau-thau-du-an-xay-dung.35C6C69C.html","Xem chi tiết")</f>
        <v/>
      </c>
      <c r="M2216" s="10" t="n"/>
    </row>
    <row r="2217">
      <c r="B2217" s="7" t="n">
        <v>2215</v>
      </c>
      <c r="C2217" t="inlineStr">
        <is>
          <t>Sales Logistics (Hồ Chí Minh-Hà Nội-Hải Phòng)</t>
        </is>
      </c>
      <c r="D2217" t="inlineStr">
        <is>
          <t>CÔNG TY CỔ PHẦN GIAO NHẬN WIN WIN</t>
        </is>
      </c>
      <c r="E2217" t="inlineStr">
        <is>
          <t>Lương:Cạnh tranh</t>
        </is>
      </c>
      <c r="F2217" t="inlineStr">
        <is>
          <t>Hồ Chí MinhHải PhòngHà Nội</t>
        </is>
      </c>
      <c r="G2217" t="inlineStr">
        <is>
          <t>30-04-2026</t>
        </is>
      </c>
      <c r="H2217" t="inlineStr">
        <is>
          <t>30/04/2026</t>
        </is>
      </c>
      <c r="I2217" t="inlineStr">
        <is>
          <t>17/03/2026</t>
        </is>
      </c>
      <c r="J2217" t="inlineStr">
        <is>
          <t>Bán hàng / Kinh doanh, Vận chuyển / Giao nhận / Kho vận, Xuất nhập khẩu</t>
        </is>
      </c>
      <c r="K2217" t="inlineStr">
        <is>
          <t>1 - 3 Năm</t>
        </is>
      </c>
      <c r="L2217" s="8">
        <f>HYPERLINK("https://careerviet.vn/vi/tim-viec-lam/sales-logistics-ho-chi-minh-ha-noi-hai-phong.35C6C6AC.html","Xem chi tiết")</f>
        <v/>
      </c>
    </row>
    <row r="2218">
      <c r="B2218" s="9" t="n">
        <v>2216</v>
      </c>
      <c r="C2218" s="10" t="inlineStr">
        <is>
          <t>Phó Ca Vận Hành</t>
        </is>
      </c>
      <c r="D2218" s="10" t="inlineStr">
        <is>
          <t>Công Ty TNHH Interflour Việt Nam</t>
        </is>
      </c>
      <c r="E2218" s="10" t="inlineStr">
        <is>
          <t>Lương:Cạnh tranh</t>
        </is>
      </c>
      <c r="F2218" s="10" t="inlineStr">
        <is>
          <t>Bà Rịa - Vũng Tàu</t>
        </is>
      </c>
      <c r="G2218" s="10" t="inlineStr">
        <is>
          <t>12-04-2026</t>
        </is>
      </c>
      <c r="H2218" s="10" t="inlineStr">
        <is>
          <t>12/04/2026</t>
        </is>
      </c>
      <c r="I2218" s="10" t="inlineStr">
        <is>
          <t>17/03/2026</t>
        </is>
      </c>
      <c r="J2218" s="10" t="inlineStr">
        <is>
          <t>Cơ khí / Ô tô / Tự động hóa, Điện / Điện tử / Điện lạnh / Điện công nghiệp, Sản xuất / Vận hành sản xuất</t>
        </is>
      </c>
      <c r="K2218" s="10" t="inlineStr">
        <is>
          <t>N/A</t>
        </is>
      </c>
      <c r="L2218" s="11">
        <f>HYPERLINK("https://careerviet.vn/vi/tim-viec-lam/pho-ca-van-hanh.35C6C683.html","Xem chi tiết")</f>
        <v/>
      </c>
      <c r="M2218" s="10" t="n"/>
    </row>
    <row r="2219">
      <c r="B2219" s="7" t="n">
        <v>2217</v>
      </c>
      <c r="C2219" t="inlineStr">
        <is>
          <t>Nhân Viên Kinh Doanh Ca Đêm</t>
        </is>
      </c>
      <c r="D2219" t="inlineStr">
        <is>
          <t>CÔNG TY TNHH RICH PAY TEK</t>
        </is>
      </c>
      <c r="E2219" t="inlineStr">
        <is>
          <t>Lương:20 Tr - 50 Tr VND</t>
        </is>
      </c>
      <c r="F2219" t="inlineStr">
        <is>
          <t>Hồ Chí Minh</t>
        </is>
      </c>
      <c r="G2219" t="inlineStr">
        <is>
          <t>13-04-2026</t>
        </is>
      </c>
      <c r="H2219" t="inlineStr">
        <is>
          <t>13/04/2026</t>
        </is>
      </c>
      <c r="I2219" t="inlineStr">
        <is>
          <t>17/03/2026</t>
        </is>
      </c>
      <c r="J2219" t="inlineStr">
        <is>
          <t>Bán hàng / Kinh doanh, Tiếp thị / Marketing, Dịch vụ khách hàng</t>
        </is>
      </c>
      <c r="K2219" t="inlineStr">
        <is>
          <t>1 - 3 Năm</t>
        </is>
      </c>
      <c r="L2219" s="8">
        <f>HYPERLINK("https://careerviet.vn/vi/tim-viec-lam/nhan-vien-kinh-doanh-ca-dem.35C6C688.html","Xem chi tiết")</f>
        <v/>
      </c>
    </row>
    <row r="2220">
      <c r="B2220" s="9" t="n">
        <v>2218</v>
      </c>
      <c r="C2220" s="10" t="inlineStr">
        <is>
          <t>TRƯỞNG PHÒNG/TRƯỞNG NHÓM SALES LOGISTICS</t>
        </is>
      </c>
      <c r="D2220" s="10" t="inlineStr">
        <is>
          <t>CÔNG TY CỔ PHẦN GIAO NHẬN WIN WIN</t>
        </is>
      </c>
      <c r="E2220" s="10" t="inlineStr">
        <is>
          <t>Lương:Cạnh tranh</t>
        </is>
      </c>
      <c r="F2220" s="10" t="inlineStr">
        <is>
          <t>Hồ Chí Minh</t>
        </is>
      </c>
      <c r="G2220" s="10" t="inlineStr">
        <is>
          <t>30-04-2026</t>
        </is>
      </c>
      <c r="H2220" s="10" t="inlineStr">
        <is>
          <t>30/04/2026</t>
        </is>
      </c>
      <c r="I2220" s="10" t="inlineStr">
        <is>
          <t>17/03/2026</t>
        </is>
      </c>
      <c r="J2220" s="10" t="inlineStr">
        <is>
          <t>Bán hàng / Kinh doanh, Vận chuyển / Giao nhận / Kho vận, Xuất nhập khẩu</t>
        </is>
      </c>
      <c r="K2220" s="10" t="inlineStr">
        <is>
          <t>3 - 5 Năm</t>
        </is>
      </c>
      <c r="L2220" s="11">
        <f>HYPERLINK("https://careerviet.vn/vi/tim-viec-lam/truong-phong-truong-nhom-sales-logistics.35C6C676.html","Xem chi tiết")</f>
        <v/>
      </c>
      <c r="M2220" s="10" t="n"/>
    </row>
    <row r="2221">
      <c r="B2221" s="7" t="n">
        <v>2219</v>
      </c>
      <c r="C2221" t="inlineStr">
        <is>
          <t>Chuyên viên FP&amp;A (VP QUẬN 2)</t>
        </is>
      </c>
      <c r="D2221" t="inlineStr">
        <is>
          <t>AA Corporation</t>
        </is>
      </c>
      <c r="E2221" t="inlineStr">
        <is>
          <t>Lương:1.000 - 1.700 USD</t>
        </is>
      </c>
      <c r="F2221" t="inlineStr">
        <is>
          <t>Hồ Chí Minh</t>
        </is>
      </c>
      <c r="G2221" t="inlineStr">
        <is>
          <t>14-04-2026</t>
        </is>
      </c>
      <c r="H2221" t="inlineStr">
        <is>
          <t>14/04/2026</t>
        </is>
      </c>
      <c r="I2221" t="inlineStr">
        <is>
          <t>17/03/2026</t>
        </is>
      </c>
      <c r="J2221" t="inlineStr">
        <is>
          <t>Tài chính / Đầu tư, Sản xuất / Vận hành sản xuất, Kế toán / Kiểm toán</t>
        </is>
      </c>
      <c r="K2221" t="inlineStr">
        <is>
          <t>2 - 5 Năm</t>
        </is>
      </c>
      <c r="L2221" s="8">
        <f>HYPERLINK("https://careerviet.vn/vi/tim-viec-lam/chuyen-vien-fp-a-vp-quan-2.35C6C694.html","Xem chi tiết")</f>
        <v/>
      </c>
    </row>
    <row r="2222">
      <c r="B2222" s="9" t="n">
        <v>2220</v>
      </c>
      <c r="C2222" s="10" t="inlineStr">
        <is>
          <t>Social Community Manager</t>
        </is>
      </c>
      <c r="D2222" s="10" t="inlineStr">
        <is>
          <t>MAC Media</t>
        </is>
      </c>
      <c r="E2222" s="10" t="inlineStr">
        <is>
          <t>Lương:Cạnh tranh</t>
        </is>
      </c>
      <c r="F2222" s="10" t="inlineStr">
        <is>
          <t>Hồ Chí Minh</t>
        </is>
      </c>
      <c r="G2222" s="10" t="inlineStr">
        <is>
          <t>10-04-2026</t>
        </is>
      </c>
      <c r="H2222" s="10" t="inlineStr">
        <is>
          <t>10/04/2026</t>
        </is>
      </c>
      <c r="I2222" s="10" t="inlineStr">
        <is>
          <t>17/03/2026</t>
        </is>
      </c>
      <c r="J2222" s="10" t="inlineStr">
        <is>
          <t>Quảng cáo / Đối ngoại / Truyền Thông, Tiếp thị / Marketing</t>
        </is>
      </c>
      <c r="K2222" s="10" t="inlineStr">
        <is>
          <t>5 - 6 Năm</t>
        </is>
      </c>
      <c r="L2222" s="11">
        <f>HYPERLINK("https://careerviet.vn/vi/tim-viec-lam/social-community-manager.35C6C696.html","Xem chi tiết")</f>
        <v/>
      </c>
      <c r="M2222" s="10" t="n"/>
    </row>
    <row r="2223">
      <c r="B2223" s="7" t="n">
        <v>2221</v>
      </c>
      <c r="C2223" t="inlineStr">
        <is>
          <t>Trợ lý  hoạ sĩ truyện tranh - Lương theo giờ</t>
        </is>
      </c>
      <c r="D2223" t="inlineStr">
        <is>
          <t>Công ty TNHH Truyền Thông Rover Việt Nam</t>
        </is>
      </c>
      <c r="E2223" t="inlineStr">
        <is>
          <t>Lương:2,6 Tr - 2,8 Tr VND</t>
        </is>
      </c>
      <c r="F2223" t="inlineStr">
        <is>
          <t>Hà Nội</t>
        </is>
      </c>
      <c r="G2223" t="inlineStr">
        <is>
          <t>31-03-2026</t>
        </is>
      </c>
      <c r="H2223" t="inlineStr">
        <is>
          <t>31/03/2026</t>
        </is>
      </c>
      <c r="I2223" t="inlineStr">
        <is>
          <t>17/03/2026</t>
        </is>
      </c>
      <c r="J2223" t="inlineStr">
        <is>
          <t>Mỹ thuật / Nghệ thuật / Thiết kế</t>
        </is>
      </c>
      <c r="K2223" t="inlineStr">
        <is>
          <t>1 - 2 Năm</t>
        </is>
      </c>
      <c r="L2223" s="8">
        <f>HYPERLINK("https://careerviet.vn/vi/tim-viec-lam/tro-ly-hoa-si-truyen-tranh-luong-theo-gio.35C6C462.html","Xem chi tiết")</f>
        <v/>
      </c>
    </row>
    <row r="2224">
      <c r="B2224" s="9" t="n">
        <v>2222</v>
      </c>
      <c r="C2224" s="10" t="inlineStr">
        <is>
          <t>Nhân Viên Kỹ Thuật Trạm Xử Lý Nước Thải</t>
        </is>
      </c>
      <c r="D2224" s="10" t="inlineStr">
        <is>
          <t>TẬP ĐOÀN CEO (CEO GROUP) tại PHÚ QUỐC</t>
        </is>
      </c>
      <c r="E2224" s="10" t="inlineStr">
        <is>
          <t>Lương:Cạnh tranh</t>
        </is>
      </c>
      <c r="F2224" s="10" t="inlineStr">
        <is>
          <t>Kiên Giang</t>
        </is>
      </c>
      <c r="G2224" s="10" t="inlineStr">
        <is>
          <t>11-04-2026</t>
        </is>
      </c>
      <c r="H2224" s="10" t="inlineStr">
        <is>
          <t>11/04/2026</t>
        </is>
      </c>
      <c r="I2224" s="10" t="inlineStr">
        <is>
          <t>17/03/2026</t>
        </is>
      </c>
      <c r="J2224" s="10" t="inlineStr">
        <is>
          <t>Điện / Điện tử / Điện lạnh / Điện công nghiệp, Nhà hàng / Khách sạn, Môi trường</t>
        </is>
      </c>
      <c r="K2224" s="10" t="inlineStr">
        <is>
          <t>2 - 3 Năm</t>
        </is>
      </c>
      <c r="L2224" s="11">
        <f>HYPERLINK("https://careerviet.vn/vi/tim-viec-lam/nhan-vien-ky-thuat-tram-xu-ly-nuoc-thai.35C6C4C0.html","Xem chi tiết")</f>
        <v/>
      </c>
      <c r="M2224" s="10" t="n"/>
    </row>
    <row r="2225">
      <c r="B2225" s="7" t="n">
        <v>2223</v>
      </c>
      <c r="C2225" t="inlineStr">
        <is>
          <t>Chuyên Viên Tài Chính Quản Trị</t>
        </is>
      </c>
      <c r="D2225" t="inlineStr">
        <is>
          <t>CÔNG TY CỔ PHẦN TẬP ĐOÀN GELEX</t>
        </is>
      </c>
      <c r="E2225" t="inlineStr">
        <is>
          <t>Lương:Cạnh tranh</t>
        </is>
      </c>
      <c r="F2225" t="inlineStr">
        <is>
          <t>Hà Nội</t>
        </is>
      </c>
      <c r="G2225" t="inlineStr">
        <is>
          <t>15-04-2026</t>
        </is>
      </c>
      <c r="H2225" t="inlineStr">
        <is>
          <t>15/04/2026</t>
        </is>
      </c>
      <c r="I2225" t="inlineStr">
        <is>
          <t>17/03/2026</t>
        </is>
      </c>
      <c r="J2225" t="inlineStr">
        <is>
          <t>Kế toán / Kiểm toán, Tài chính / Đầu tư, Xây dựng</t>
        </is>
      </c>
      <c r="K2225" t="inlineStr">
        <is>
          <t>3 - 5 Năm</t>
        </is>
      </c>
      <c r="L2225" s="8">
        <f>HYPERLINK("https://careerviet.vn/vi/tim-viec-lam/chuyen-vien-tai-chinh-quan-tri.35C6C6CA.html","Xem chi tiết")</f>
        <v/>
      </c>
    </row>
    <row r="2226">
      <c r="B2226" s="9" t="n">
        <v>2224</v>
      </c>
      <c r="C2226" s="10" t="inlineStr">
        <is>
          <t>Chuyên viên QC Cơ điện</t>
        </is>
      </c>
      <c r="D2226" s="10" t="inlineStr">
        <is>
          <t>CÔNG TY CỔ PHẦN PHÁT TRIỂN VÀ ĐẦU TƯ XÂY DỰNG VINCONS</t>
        </is>
      </c>
      <c r="E2226" s="10" t="inlineStr">
        <is>
          <t>Lương:Cạnh tranh</t>
        </is>
      </c>
      <c r="F2226" s="10" t="inlineStr">
        <is>
          <t>Hồ Chí MinhHà NộiQuảng Ninh</t>
        </is>
      </c>
      <c r="G2226" s="10" t="inlineStr">
        <is>
          <t>30-04-2026</t>
        </is>
      </c>
      <c r="H2226" s="10" t="inlineStr">
        <is>
          <t>30/04/2026</t>
        </is>
      </c>
      <c r="I2226" s="10" t="inlineStr">
        <is>
          <t>17/03/2026</t>
        </is>
      </c>
      <c r="J2226" s="10" t="inlineStr">
        <is>
          <t>Cơ khí / Ô tô / Tự động hóa, Điện / Điện tử / Điện lạnh / Điện công nghiệp, Xây dựng</t>
        </is>
      </c>
      <c r="K2226" s="10" t="inlineStr">
        <is>
          <t>Trên 2 Năm</t>
        </is>
      </c>
      <c r="L2226" s="11">
        <f>HYPERLINK("https://careerviet.vn/vi/tim-viec-lam/chuyen-vien-qc-co-dien.35C6C389.html","Xem chi tiết")</f>
        <v/>
      </c>
      <c r="M2226" s="10" t="n"/>
    </row>
    <row r="2227">
      <c r="B2227" s="7" t="n">
        <v>2225</v>
      </c>
      <c r="C2227" t="inlineStr">
        <is>
          <t>Sales Executive</t>
        </is>
      </c>
      <c r="D2227" t="inlineStr">
        <is>
          <t>CÔNG TY CỔ PHẨN TẬP ĐOÀN MK</t>
        </is>
      </c>
      <c r="E2227" t="inlineStr">
        <is>
          <t>Lương:Cạnh tranh</t>
        </is>
      </c>
      <c r="F2227" t="inlineStr">
        <is>
          <t>Hà Nội</t>
        </is>
      </c>
      <c r="G2227" t="inlineStr">
        <is>
          <t>13-04-2026</t>
        </is>
      </c>
      <c r="H2227" t="inlineStr">
        <is>
          <t>13/04/2026</t>
        </is>
      </c>
      <c r="I2227" t="inlineStr">
        <is>
          <t>17/03/2026</t>
        </is>
      </c>
      <c r="J2227" t="inlineStr">
        <is>
          <t>Bán Hàng Kỹ Thuật, Bán hàng / Kinh doanh</t>
        </is>
      </c>
      <c r="K2227" t="inlineStr">
        <is>
          <t>3 - 10 Năm</t>
        </is>
      </c>
      <c r="L2227" s="8">
        <f>HYPERLINK("https://careerviet.vn/vi/tim-viec-lam/sales-executive.35C6C61E.html","Xem chi tiết")</f>
        <v/>
      </c>
    </row>
    <row r="2228">
      <c r="B2228" s="9" t="n">
        <v>2226</v>
      </c>
      <c r="C2228" s="10" t="inlineStr">
        <is>
          <t>Chỉ Huy phó hiện trường</t>
        </is>
      </c>
      <c r="D2228" s="10" t="inlineStr">
        <is>
          <t>CÔNG TY TNHH XÂY DỰNG THƯƠNG MẠI LỤC GIÁC</t>
        </is>
      </c>
      <c r="E2228" s="10" t="inlineStr">
        <is>
          <t>Lương:18 Tr - 25 Tr VND</t>
        </is>
      </c>
      <c r="F2228" s="10" t="inlineStr">
        <is>
          <t>Hồ Chí MinhBình Thuận</t>
        </is>
      </c>
      <c r="G2228" s="10" t="inlineStr">
        <is>
          <t>13-04-2026</t>
        </is>
      </c>
      <c r="H2228" s="10" t="inlineStr">
        <is>
          <t>13/04/2026</t>
        </is>
      </c>
      <c r="I2228" s="10" t="inlineStr">
        <is>
          <t>17/03/2026</t>
        </is>
      </c>
      <c r="J2228" s="10" t="inlineStr">
        <is>
          <t>Xây dựng, Kiến trúc, Ngành khác</t>
        </is>
      </c>
      <c r="K2228" s="10" t="inlineStr">
        <is>
          <t>3 - 5 Năm</t>
        </is>
      </c>
      <c r="L2228" s="11">
        <f>HYPERLINK("https://careerviet.vn/vi/tim-viec-lam/chi-huy-pho-hien-truong.35C6C668.html","Xem chi tiết")</f>
        <v/>
      </c>
      <c r="M2228" s="10" t="n"/>
    </row>
    <row r="2229">
      <c r="B2229" s="7" t="n">
        <v>2227</v>
      </c>
      <c r="C2229" t="inlineStr">
        <is>
          <t>Chuyên viên Kế toán tài sản</t>
        </is>
      </c>
      <c r="D2229" t="inlineStr">
        <is>
          <t>Công Ty Cổ Phần Tập Đoàn TH</t>
        </is>
      </c>
      <c r="E2229" t="inlineStr">
        <is>
          <t>Lương:Cạnh tranh</t>
        </is>
      </c>
      <c r="F2229" t="inlineStr">
        <is>
          <t>Hà Nội</t>
        </is>
      </c>
      <c r="G2229" t="inlineStr">
        <is>
          <t>15-04-2026</t>
        </is>
      </c>
      <c r="H2229" t="inlineStr">
        <is>
          <t>15/04/2026</t>
        </is>
      </c>
      <c r="I2229" t="inlineStr">
        <is>
          <t>17/03/2026</t>
        </is>
      </c>
      <c r="J2229" t="inlineStr">
        <is>
          <t>Kế toán / Kiểm toán</t>
        </is>
      </c>
      <c r="K2229" t="inlineStr">
        <is>
          <t>3 - 5 Năm</t>
        </is>
      </c>
      <c r="L2229" s="8">
        <f>HYPERLINK("https://careerviet.vn/vi/tim-viec-lam/chuyen-vien-ke-toan-tai-san.35C6C67D.html","Xem chi tiết")</f>
        <v/>
      </c>
    </row>
    <row r="2230">
      <c r="B2230" s="9" t="n">
        <v>2228</v>
      </c>
      <c r="C2230" s="10" t="inlineStr">
        <is>
          <t>Senior Account Executive (Real Estate)</t>
        </is>
      </c>
      <c r="D2230" s="10" t="inlineStr">
        <is>
          <t>MAC Media</t>
        </is>
      </c>
      <c r="E2230" s="10" t="inlineStr">
        <is>
          <t>Lương:Cạnh tranh</t>
        </is>
      </c>
      <c r="F2230" s="10" t="inlineStr">
        <is>
          <t>Hồ Chí Minh</t>
        </is>
      </c>
      <c r="G2230" s="10" t="inlineStr">
        <is>
          <t>10-04-2026</t>
        </is>
      </c>
      <c r="H2230" s="10" t="inlineStr">
        <is>
          <t>10/04/2026</t>
        </is>
      </c>
      <c r="I2230" s="10" t="inlineStr">
        <is>
          <t>17/03/2026</t>
        </is>
      </c>
      <c r="J2230" s="10" t="inlineStr">
        <is>
          <t>Quảng cáo / Đối ngoại / Truyền Thông, Tiếp thị / Marketing</t>
        </is>
      </c>
      <c r="K2230" s="10" t="inlineStr">
        <is>
          <t>3 - 4 Năm</t>
        </is>
      </c>
      <c r="L2230" s="11">
        <f>HYPERLINK("https://careerviet.vn/vi/tim-viec-lam/senior-account-executive-real-estate.35C6C681.html","Xem chi tiết")</f>
        <v/>
      </c>
      <c r="M2230" s="10" t="n"/>
    </row>
    <row r="2231">
      <c r="B2231" s="7" t="n">
        <v>2229</v>
      </c>
      <c r="C2231" t="inlineStr">
        <is>
          <t>Chuyên Viên Kỹ Thuật Hiện Trường (MEP/XDDD/Ép Cọc)</t>
        </is>
      </c>
      <c r="D2231" t="inlineStr">
        <is>
          <t>CÔNG TY CỔ PHẦN PHÁT TRIỂN VÀ ĐẦU TƯ XÂY DỰNG VINCONS</t>
        </is>
      </c>
      <c r="E2231" t="inlineStr">
        <is>
          <t>Lương:Cạnh tranh</t>
        </is>
      </c>
      <c r="F2231" t="inlineStr">
        <is>
          <t>Hà NộiHồ Chí MinhLong An</t>
        </is>
      </c>
      <c r="G2231" t="inlineStr">
        <is>
          <t>31-03-2026</t>
        </is>
      </c>
      <c r="H2231" t="inlineStr">
        <is>
          <t>31/03/2026</t>
        </is>
      </c>
      <c r="I2231" t="inlineStr">
        <is>
          <t>17/03/2026</t>
        </is>
      </c>
      <c r="J2231" t="inlineStr">
        <is>
          <t>Xây dựng, Điện / Điện tử / Điện lạnh / Điện công nghiệp</t>
        </is>
      </c>
      <c r="K2231" t="inlineStr">
        <is>
          <t>1 - 3 Năm</t>
        </is>
      </c>
      <c r="L2231" s="8">
        <f>HYPERLINK("https://careerviet.vn/vi/tim-viec-lam/chuyen-vien-ky-thuat-hien-truong-mep-xddd-ep-coc.35C6BBD0.html","Xem chi tiết")</f>
        <v/>
      </c>
    </row>
    <row r="2232">
      <c r="B2232" s="9" t="n">
        <v>2230</v>
      </c>
      <c r="C2232" s="10" t="inlineStr">
        <is>
          <t>Chuyên viên Quan Hệ Lao Động</t>
        </is>
      </c>
      <c r="D2232" s="10" t="inlineStr">
        <is>
          <t>Công ty Cổ phần Nông nghiệp BAF Việt Nam</t>
        </is>
      </c>
      <c r="E2232" s="10" t="inlineStr">
        <is>
          <t>Lương:12 Tr - 16 Tr VND</t>
        </is>
      </c>
      <c r="F2232" s="10" t="inlineStr">
        <is>
          <t>Hồ Chí Minh</t>
        </is>
      </c>
      <c r="G2232" s="10" t="inlineStr">
        <is>
          <t>30-04-2026</t>
        </is>
      </c>
      <c r="H2232" s="10" t="inlineStr">
        <is>
          <t>30/04/2026</t>
        </is>
      </c>
      <c r="I2232" s="10" t="inlineStr">
        <is>
          <t>17/03/2026</t>
        </is>
      </c>
      <c r="J2232" s="10" t="inlineStr">
        <is>
          <t>Nhân sự, Luật / Pháp lý</t>
        </is>
      </c>
      <c r="K2232" s="10" t="inlineStr">
        <is>
          <t>Chưa có kinh nghiệm</t>
        </is>
      </c>
      <c r="L2232" s="11">
        <f>HYPERLINK("https://careerviet.vn/vi/tim-viec-lam/chuyen-vien-quan-he-lao-dong.35C6C65E.html","Xem chi tiết")</f>
        <v/>
      </c>
      <c r="M2232" s="10" t="n"/>
    </row>
    <row r="2233">
      <c r="B2233" s="7" t="n">
        <v>2231</v>
      </c>
      <c r="C2233" t="inlineStr">
        <is>
          <t>Payable Accountant</t>
        </is>
      </c>
      <c r="D2233" t="inlineStr">
        <is>
          <t>Công Ty TNHH Interflour Việt Nam</t>
        </is>
      </c>
      <c r="E2233" t="inlineStr">
        <is>
          <t>Lương:Cạnh tranh</t>
        </is>
      </c>
      <c r="F2233" t="inlineStr">
        <is>
          <t>Bà Rịa - Vũng Tàu</t>
        </is>
      </c>
      <c r="G2233" t="inlineStr">
        <is>
          <t>12-04-2026</t>
        </is>
      </c>
      <c r="H2233" t="inlineStr">
        <is>
          <t>12/04/2026</t>
        </is>
      </c>
      <c r="I2233" t="inlineStr">
        <is>
          <t>17/03/2026</t>
        </is>
      </c>
      <c r="J2233" t="inlineStr">
        <is>
          <t>Kế toán / Kiểm toán</t>
        </is>
      </c>
      <c r="K2233" t="inlineStr">
        <is>
          <t>3 - 5 Năm</t>
        </is>
      </c>
      <c r="L2233" s="8">
        <f>HYPERLINK("https://careerviet.vn/vi/tim-viec-lam/payable-accountant.35C6C671.html","Xem chi tiết")</f>
        <v/>
      </c>
    </row>
    <row r="2234">
      <c r="B2234" s="9" t="n">
        <v>2232</v>
      </c>
      <c r="C2234" s="10" t="inlineStr">
        <is>
          <t>Kỹ Sư Hệ Thống Điện</t>
        </is>
      </c>
      <c r="D2234" s="10" t="inlineStr">
        <is>
          <t>TẬP ĐOÀN CEO (CEO GROUP) tại PHÚ QUỐC</t>
        </is>
      </c>
      <c r="E2234" s="10" t="inlineStr">
        <is>
          <t>Lương:Cạnh tranh</t>
        </is>
      </c>
      <c r="F2234" s="10" t="inlineStr">
        <is>
          <t>Kiên Giang</t>
        </is>
      </c>
      <c r="G2234" s="10" t="inlineStr">
        <is>
          <t>11-04-2026</t>
        </is>
      </c>
      <c r="H2234" s="10" t="inlineStr">
        <is>
          <t>11/04/2026</t>
        </is>
      </c>
      <c r="I2234" s="10" t="inlineStr">
        <is>
          <t>17/03/2026</t>
        </is>
      </c>
      <c r="J2234" s="10" t="inlineStr">
        <is>
          <t>Điện / Điện tử / Điện lạnh / Điện công nghiệp, Nhà hàng / Khách sạn, Môi trường</t>
        </is>
      </c>
      <c r="K2234" s="10" t="inlineStr">
        <is>
          <t>3 - 5 Năm</t>
        </is>
      </c>
      <c r="L2234" s="11">
        <f>HYPERLINK("https://careerviet.vn/vi/tim-viec-lam/ky-su-he-thong-dien.35C6C4C5.html","Xem chi tiết")</f>
        <v/>
      </c>
      <c r="M2234" s="10" t="n"/>
    </row>
    <row r="2235">
      <c r="B2235" s="7" t="n">
        <v>2233</v>
      </c>
      <c r="C2235" t="inlineStr">
        <is>
          <t>Nhân viên Sale Admin - Kênh GT</t>
        </is>
      </c>
      <c r="D2235" t="inlineStr">
        <is>
          <t>CÔNG TY TNHH THƯƠNG MẠI DỊCH VỤ HAPPY PHONE</t>
        </is>
      </c>
      <c r="E2235" t="inlineStr">
        <is>
          <t>Lương:10 Tr - 18 Tr VND</t>
        </is>
      </c>
      <c r="F2235" t="inlineStr">
        <is>
          <t>Hồ Chí Minh</t>
        </is>
      </c>
      <c r="G2235" t="inlineStr">
        <is>
          <t>14-04-2026</t>
        </is>
      </c>
      <c r="H2235" t="inlineStr">
        <is>
          <t>14/04/2026</t>
        </is>
      </c>
      <c r="I2235" t="inlineStr">
        <is>
          <t>17/03/2026</t>
        </is>
      </c>
      <c r="J2235" t="inlineStr">
        <is>
          <t>Bán lẻ / Bán sỉ, Hàng gia dụng / Chăm sóc cá nhân, Hành chính / Thư ký</t>
        </is>
      </c>
      <c r="K2235" t="inlineStr">
        <is>
          <t>2 - 4 Năm</t>
        </is>
      </c>
      <c r="L2235" s="8">
        <f>HYPERLINK("https://careerviet.vn/vi/tim-viec-lam/nhan-vien-sale-admin-kenh-gt.35C6C64C.html","Xem chi tiết")</f>
        <v/>
      </c>
    </row>
    <row r="2236">
      <c r="B2236" s="9" t="n">
        <v>2234</v>
      </c>
      <c r="C2236" s="10" t="inlineStr">
        <is>
          <t>Trưởng Phòng Hành Chính Nhân Sự - P. Dĩ An, TP. HCM ( Bình Dương cũ)</t>
        </is>
      </c>
      <c r="D2236" s="10" t="inlineStr">
        <is>
          <t>CÔNG TY TNHH BAO BÌ SAHA DHARAWAT</t>
        </is>
      </c>
      <c r="E2236" s="10" t="inlineStr">
        <is>
          <t>Lương:Cạnh tranh</t>
        </is>
      </c>
      <c r="F2236" s="10" t="inlineStr">
        <is>
          <t>Bình Dương</t>
        </is>
      </c>
      <c r="G2236" s="10" t="inlineStr">
        <is>
          <t>20-04-2026</t>
        </is>
      </c>
      <c r="H2236" s="10" t="inlineStr">
        <is>
          <t>20/04/2026</t>
        </is>
      </c>
      <c r="I2236" s="10" t="inlineStr">
        <is>
          <t>17/03/2026</t>
        </is>
      </c>
      <c r="J2236" s="10" t="inlineStr">
        <is>
          <t>Hành chính / Thư ký, Nhân sự, In ấn / Xuất bản</t>
        </is>
      </c>
      <c r="K2236" s="10" t="inlineStr">
        <is>
          <t>5 Năm</t>
        </is>
      </c>
      <c r="L2236" s="11">
        <f>HYPERLINK("https://careerviet.vn/vi/tim-viec-lam/truong-phong-hanh-chinh-nhan-su-p-di-an-tp-hcm-binh-duong-cu.35C6C57E.html","Xem chi tiết")</f>
        <v/>
      </c>
      <c r="M2236" s="10" t="n"/>
    </row>
    <row r="2237">
      <c r="B2237" s="7" t="n">
        <v>2235</v>
      </c>
      <c r="C2237" t="inlineStr">
        <is>
          <t>Giám đốc xây dựng</t>
        </is>
      </c>
      <c r="D2237" t="inlineStr">
        <is>
          <t>CÔNG TY CỔ PHẦN XÂY DỰNG VÀ CƠ KHÍ DELTA E&amp;C</t>
        </is>
      </c>
      <c r="E2237" t="inlineStr">
        <is>
          <t>Lương:50 Tr - 70 Tr VND</t>
        </is>
      </c>
      <c r="F2237" t="inlineStr">
        <is>
          <t>Hà Nội</t>
        </is>
      </c>
      <c r="G2237" t="inlineStr">
        <is>
          <t>30-04-2026</t>
        </is>
      </c>
      <c r="H2237" t="inlineStr">
        <is>
          <t>30/04/2026</t>
        </is>
      </c>
      <c r="I2237" t="inlineStr">
        <is>
          <t>17/03/2026</t>
        </is>
      </c>
      <c r="J2237" t="inlineStr">
        <is>
          <t>Xây dựng</t>
        </is>
      </c>
      <c r="K2237" t="inlineStr">
        <is>
          <t>5 - 10 Năm</t>
        </is>
      </c>
      <c r="L2237" s="8">
        <f>HYPERLINK("https://careerviet.vn/vi/tim-viec-lam/giam-doc-xay-dung.35C6C663.html","Xem chi tiết")</f>
        <v/>
      </c>
    </row>
    <row r="2238">
      <c r="B2238" s="9" t="n">
        <v>2236</v>
      </c>
      <c r="C2238" s="10" t="inlineStr">
        <is>
          <t>Operations Admin Executive</t>
        </is>
      </c>
      <c r="D2238" s="10" t="inlineStr">
        <is>
          <t>CÔNG TY CỔ PHẦN ĐẦU TƯ CME SOLAR</t>
        </is>
      </c>
      <c r="E2238" s="10" t="inlineStr">
        <is>
          <t>Lương:Cạnh tranh</t>
        </is>
      </c>
      <c r="F2238" s="10" t="inlineStr">
        <is>
          <t>Hồ Chí Minh</t>
        </is>
      </c>
      <c r="G2238" s="10" t="inlineStr">
        <is>
          <t>31-03-2026</t>
        </is>
      </c>
      <c r="H2238" s="10" t="inlineStr">
        <is>
          <t>31/03/2026</t>
        </is>
      </c>
      <c r="I2238" s="10" t="inlineStr">
        <is>
          <t>17/03/2026</t>
        </is>
      </c>
      <c r="J2238" s="10" t="inlineStr">
        <is>
          <t>Dịch vụ khách hàng, Hành chính / Thư ký, Bán Hàng Kỹ Thuật</t>
        </is>
      </c>
      <c r="K2238" s="10" t="inlineStr">
        <is>
          <t>1 - 2 Năm</t>
        </is>
      </c>
      <c r="L2238" s="11">
        <f>HYPERLINK("https://careerviet.vn/vi/tim-viec-lam/operations-admin-executive.35C6C63C.html","Xem chi tiết")</f>
        <v/>
      </c>
      <c r="M2238" s="10" t="n"/>
    </row>
    <row r="2239">
      <c r="B2239" s="7" t="n">
        <v>2237</v>
      </c>
      <c r="C2239" t="inlineStr">
        <is>
          <t>[Hà Nội] Kế hoạch Bán hàng - Sales Planning Staff</t>
        </is>
      </c>
      <c r="D2239" t="inlineStr">
        <is>
          <t>CÔNG TY TNHH DAESANG VIỆT NAM</t>
        </is>
      </c>
      <c r="E2239" t="inlineStr">
        <is>
          <t>Lương:11 Tr - 15 Tr VND</t>
        </is>
      </c>
      <c r="F2239" t="inlineStr">
        <is>
          <t>Hà Nội</t>
        </is>
      </c>
      <c r="G2239" t="inlineStr">
        <is>
          <t>5</t>
        </is>
      </c>
      <c r="H2239" t="inlineStr">
        <is>
          <t>22/03/2026</t>
        </is>
      </c>
      <c r="I2239" t="inlineStr">
        <is>
          <t>17/03/2026</t>
        </is>
      </c>
      <c r="J2239" t="inlineStr">
        <is>
          <t>Bán lẻ / Bán sỉ, Bán hàng / Kinh doanh</t>
        </is>
      </c>
      <c r="K2239" t="inlineStr">
        <is>
          <t>2 - 3 Năm</t>
        </is>
      </c>
      <c r="L2239" s="8">
        <f>HYPERLINK("https://careerviet.vn/vi/tim-viec-lam/ha-noi-ke-hoach-ban-hang-sales-planning-staff.35C6C662.html","Xem chi tiết")</f>
        <v/>
      </c>
    </row>
    <row r="2240">
      <c r="B2240" s="9" t="n">
        <v>2238</v>
      </c>
      <c r="C2240" s="10" t="inlineStr">
        <is>
          <t>Cloud Engineer (Storage)</t>
        </is>
      </c>
      <c r="D2240" s="10" t="inlineStr">
        <is>
          <t>Công ty TNHH Viettel - CHT</t>
        </is>
      </c>
      <c r="E2240" s="10" t="inlineStr">
        <is>
          <t>Lương:Cạnh tranh</t>
        </is>
      </c>
      <c r="F2240" s="10" t="inlineStr">
        <is>
          <t>Hà NộiHồ Chí Minh</t>
        </is>
      </c>
      <c r="G2240" s="10" t="inlineStr">
        <is>
          <t>14-04-2026</t>
        </is>
      </c>
      <c r="H2240" s="10" t="inlineStr">
        <is>
          <t>14/04/2026</t>
        </is>
      </c>
      <c r="I2240" s="10" t="inlineStr">
        <is>
          <t>17/03/2026</t>
        </is>
      </c>
      <c r="J2240" s="10" t="inlineStr">
        <is>
          <t>CNTT - Phần mềm, CNTT - Phần cứng / Mạng</t>
        </is>
      </c>
      <c r="K2240" s="10" t="inlineStr">
        <is>
          <t>Trên 2 Năm</t>
        </is>
      </c>
      <c r="L2240" s="11">
        <f>HYPERLINK("https://careerviet.vn/vi/tim-viec-lam/cloud-engineer-storage.35C6C660.html","Xem chi tiết")</f>
        <v/>
      </c>
      <c r="M2240" s="10" t="n"/>
    </row>
    <row r="2241">
      <c r="B2241" s="7" t="n">
        <v>2239</v>
      </c>
      <c r="C2241" t="inlineStr">
        <is>
          <t>Kỹ thuật khai thác khuôn mẫu | PCC Technical Engineer Footwear - Tooling</t>
        </is>
      </c>
      <c r="D2241" t="inlineStr">
        <is>
          <t>Công ty TNHH Giầy Chingluh Việt Nam</t>
        </is>
      </c>
      <c r="E2241" t="inlineStr">
        <is>
          <t>Lương:Cạnh tranh</t>
        </is>
      </c>
      <c r="F2241" t="inlineStr">
        <is>
          <t>Long An</t>
        </is>
      </c>
      <c r="G2241" t="inlineStr">
        <is>
          <t>30-04-2026</t>
        </is>
      </c>
      <c r="H2241" t="inlineStr">
        <is>
          <t>30/04/2026</t>
        </is>
      </c>
      <c r="I2241" t="inlineStr">
        <is>
          <t>17/03/2026</t>
        </is>
      </c>
      <c r="J2241" t="inlineStr">
        <is>
          <t>Cơ khí / Ô tô / Tự động hóa, Dệt may / Da giày / Thời trang, Quản lý chất lượng (QA/QC)</t>
        </is>
      </c>
      <c r="K2241" t="inlineStr">
        <is>
          <t>1 - 3 Năm</t>
        </is>
      </c>
      <c r="L2241" s="8">
        <f>HYPERLINK("https://careerviet.vn/vi/tim-viec-lam/ky-thuat-khai-thac-khuon-mau-pcc-technical-engineer-footwear-tooling.35C6C631.html","Xem chi tiết")</f>
        <v/>
      </c>
    </row>
    <row r="2242">
      <c r="B2242" s="9" t="n">
        <v>2240</v>
      </c>
      <c r="C2242" s="10" t="inlineStr">
        <is>
          <t>Phụ trách/ Chuyên viên Kinh doanh Xuất khẩu</t>
        </is>
      </c>
      <c r="D2242" s="10" t="inlineStr">
        <is>
          <t>Công ty Cổ Phần Đầu Tư Thương Mại SMC</t>
        </is>
      </c>
      <c r="E2242" s="10" t="inlineStr">
        <is>
          <t>Lương:20 Tr - 30 Tr VND</t>
        </is>
      </c>
      <c r="F2242" s="10" t="inlineStr">
        <is>
          <t>Hồ Chí Minh</t>
        </is>
      </c>
      <c r="G2242" s="10" t="inlineStr">
        <is>
          <t>30-04-2026</t>
        </is>
      </c>
      <c r="H2242" s="10" t="inlineStr">
        <is>
          <t>30/04/2026</t>
        </is>
      </c>
      <c r="I2242" s="10" t="inlineStr">
        <is>
          <t>17/03/2026</t>
        </is>
      </c>
      <c r="J2242" s="10" t="inlineStr">
        <is>
          <t>Bán hàng / Kinh doanh, Bán lẻ / Bán sỉ, Xuất nhập khẩu</t>
        </is>
      </c>
      <c r="K2242" s="10" t="inlineStr">
        <is>
          <t>3 - 5 Năm</t>
        </is>
      </c>
      <c r="L2242" s="11">
        <f>HYPERLINK("https://careerviet.vn/vi/tim-viec-lam/phu-trach-chuyen-vien-kinh-doanh-xuat-khau.35C6C633.html","Xem chi tiết")</f>
        <v/>
      </c>
      <c r="M2242" s="10" t="n"/>
    </row>
    <row r="2243">
      <c r="B2243" s="7" t="n">
        <v>2241</v>
      </c>
      <c r="C2243" t="inlineStr">
        <is>
          <t>Chuyên viên C&amp;B</t>
        </is>
      </c>
      <c r="D2243" t="inlineStr">
        <is>
          <t>Công Ty TNHH Thời Trang Nón Sơn</t>
        </is>
      </c>
      <c r="E2243" t="inlineStr">
        <is>
          <t>Lương:25 Tr - 30 Tr VND</t>
        </is>
      </c>
      <c r="F2243" t="inlineStr">
        <is>
          <t>Hồ Chí Minh</t>
        </is>
      </c>
      <c r="G2243" t="inlineStr">
        <is>
          <t>10-04-2026</t>
        </is>
      </c>
      <c r="H2243" t="inlineStr">
        <is>
          <t>10/04/2026</t>
        </is>
      </c>
      <c r="I2243" t="inlineStr">
        <is>
          <t>17/03/2026</t>
        </is>
      </c>
      <c r="J2243" t="inlineStr">
        <is>
          <t>Nhân sự</t>
        </is>
      </c>
      <c r="K2243" t="inlineStr">
        <is>
          <t>4 - 5 Năm</t>
        </is>
      </c>
      <c r="L2243" s="8">
        <f>HYPERLINK("https://careerviet.vn/vi/tim-viec-lam/chuyen-vien-c-b.35C6C4B0.html","Xem chi tiết")</f>
        <v/>
      </c>
    </row>
    <row r="2244">
      <c r="B2244" s="9" t="n">
        <v>2242</v>
      </c>
      <c r="C2244" s="10" t="inlineStr">
        <is>
          <t>Chuyên viên/Chuyên viên chính/Chuyên viên cấp cao Quan hệ Khách hàng (Mảng Khách hàng Ưu tiên)</t>
        </is>
      </c>
      <c r="D2244" s="10" t="inlineStr">
        <is>
          <t>Ngân Hàng TMCP Quốc Dân (NCB)</t>
        </is>
      </c>
      <c r="E2244" s="10" t="inlineStr">
        <is>
          <t>Lương:Cạnh tranh</t>
        </is>
      </c>
      <c r="F2244" s="10" t="inlineStr">
        <is>
          <t>Hồ Chí MinhHà Nội</t>
        </is>
      </c>
      <c r="G2244" s="10" t="inlineStr">
        <is>
          <t>13-04-2026</t>
        </is>
      </c>
      <c r="H2244" s="10" t="inlineStr">
        <is>
          <t>13/04/2026</t>
        </is>
      </c>
      <c r="I2244" s="10" t="inlineStr">
        <is>
          <t>17/03/2026</t>
        </is>
      </c>
      <c r="J2244" s="10" t="inlineStr">
        <is>
          <t>Ngân hàng, Bán hàng / Kinh doanh, Tư vấn</t>
        </is>
      </c>
      <c r="K2244" s="10" t="inlineStr">
        <is>
          <t>1 - 3 Năm</t>
        </is>
      </c>
      <c r="L2244" s="11">
        <f>HYPERLINK("https://careerviet.vn/vi/tim-viec-lam/chuyen-vien-chuyen-vien-chinh-chuyen-vien-cap-cao-quan-he-khach-hang-mang-khach-hang-uu-tien.35C6C632.html","Xem chi tiết")</f>
        <v/>
      </c>
      <c r="M2244" s="10" t="n"/>
    </row>
    <row r="2245">
      <c r="B2245" s="7" t="n">
        <v>2243</v>
      </c>
      <c r="C2245" t="inlineStr">
        <is>
          <t>Trưởng Phòng Kinh Doanh</t>
        </is>
      </c>
      <c r="D2245" t="inlineStr">
        <is>
          <t>CÔNG TY CỔ PHẦN QHC GLOBAL</t>
        </is>
      </c>
      <c r="E2245" t="inlineStr">
        <is>
          <t>Lương:Cạnh tranh</t>
        </is>
      </c>
      <c r="F2245" t="inlineStr">
        <is>
          <t>Hồ Chí Minh</t>
        </is>
      </c>
      <c r="G2245" t="inlineStr">
        <is>
          <t>26-03-2026</t>
        </is>
      </c>
      <c r="H2245" t="inlineStr">
        <is>
          <t>26/03/2026</t>
        </is>
      </c>
      <c r="I2245" t="inlineStr">
        <is>
          <t>17/03/2026</t>
        </is>
      </c>
      <c r="J2245" t="inlineStr">
        <is>
          <t>Bán hàng / Kinh doanh, Thực phẩm &amp; Đồ uống, Bán lẻ / Bán sỉ</t>
        </is>
      </c>
      <c r="K2245" t="inlineStr">
        <is>
          <t>Trên 3 Năm</t>
        </is>
      </c>
      <c r="L2245" s="8">
        <f>HYPERLINK("https://careerviet.vn/vi/tim-viec-lam/truong-phong-kinh-doanh.35C69AA6.html","Xem chi tiết")</f>
        <v/>
      </c>
    </row>
    <row r="2246">
      <c r="B2246" s="9" t="n">
        <v>2244</v>
      </c>
      <c r="C2246" s="10" t="inlineStr">
        <is>
          <t>NHÂN VIÊN MUA HÀNG</t>
        </is>
      </c>
      <c r="D2246" s="10" t="inlineStr">
        <is>
          <t>Công Ty CP Gỗ Minh Dương</t>
        </is>
      </c>
      <c r="E2246" s="10" t="inlineStr">
        <is>
          <t>Lương:Cạnh tranh</t>
        </is>
      </c>
      <c r="F2246" s="10" t="inlineStr">
        <is>
          <t>Hồ Chí Minh</t>
        </is>
      </c>
      <c r="G2246" s="10" t="inlineStr">
        <is>
          <t>12-04-2026</t>
        </is>
      </c>
      <c r="H2246" s="10" t="inlineStr">
        <is>
          <t>12/04/2026</t>
        </is>
      </c>
      <c r="I2246" s="10" t="inlineStr">
        <is>
          <t>17/03/2026</t>
        </is>
      </c>
      <c r="J2246" s="10" t="inlineStr">
        <is>
          <t>Thu mua / Vật tư, Nội ngoại thất, Đồ gỗ</t>
        </is>
      </c>
      <c r="K2246" s="10" t="inlineStr">
        <is>
          <t>Trên 1 Năm</t>
        </is>
      </c>
      <c r="L2246" s="11">
        <f>HYPERLINK("https://careerviet.vn/vi/tim-viec-lam/nhan-vien-mua-hang.35C6C505.html","Xem chi tiết")</f>
        <v/>
      </c>
      <c r="M2246" s="10" t="n"/>
    </row>
    <row r="2247">
      <c r="B2247" s="7" t="n">
        <v>2245</v>
      </c>
      <c r="C2247" t="inlineStr">
        <is>
          <t>Nhân viên Quay Dựng - F&amp;B</t>
        </is>
      </c>
      <c r="D2247" t="inlineStr">
        <is>
          <t>CÔNG TY TNHH PHÁT TRIỂN ĐỒ UỐNG AN VIỆT SÔNG HỒNG</t>
        </is>
      </c>
      <c r="E2247" t="inlineStr">
        <is>
          <t>Lương:12 Tr - 15 Tr VND</t>
        </is>
      </c>
      <c r="F2247" t="inlineStr">
        <is>
          <t>Hà Nội</t>
        </is>
      </c>
      <c r="G2247" t="inlineStr">
        <is>
          <t>31-03-2026</t>
        </is>
      </c>
      <c r="H2247" t="inlineStr">
        <is>
          <t>31/03/2026</t>
        </is>
      </c>
      <c r="I2247" t="inlineStr">
        <is>
          <t>17/03/2026</t>
        </is>
      </c>
      <c r="J2247" t="inlineStr">
        <is>
          <t>Thực phẩm &amp; Đồ uống, Mỹ thuật / Nghệ thuật / Thiết kế</t>
        </is>
      </c>
      <c r="K2247" t="inlineStr">
        <is>
          <t>1 - 2 Năm</t>
        </is>
      </c>
      <c r="L2247" s="8">
        <f>HYPERLINK("https://careerviet.vn/vi/tim-viec-lam/nhan-vien-quay-dung-f-b.35C6C644.html","Xem chi tiết")</f>
        <v/>
      </c>
    </row>
    <row r="2248">
      <c r="B2248" s="9" t="n">
        <v>2246</v>
      </c>
      <c r="C2248" s="10" t="inlineStr">
        <is>
          <t>JISAHWA STAFF (Trade Marketing Executive)</t>
        </is>
      </c>
      <c r="D2248" s="10" t="inlineStr">
        <is>
          <t>KOTRA DA NANG</t>
        </is>
      </c>
      <c r="E2248" s="10" t="inlineStr">
        <is>
          <t>Lương:15 Tr - 17 Tr VND</t>
        </is>
      </c>
      <c r="F2248" s="10" t="inlineStr">
        <is>
          <t>Đà Nẵng</t>
        </is>
      </c>
      <c r="G2248" s="10" t="inlineStr">
        <is>
          <t>25-03-2026</t>
        </is>
      </c>
      <c r="H2248" s="10" t="inlineStr">
        <is>
          <t>25/03/2026</t>
        </is>
      </c>
      <c r="I2248" s="10" t="inlineStr">
        <is>
          <t>17/03/2026</t>
        </is>
      </c>
      <c r="J2248" s="10" t="inlineStr">
        <is>
          <t>Tiếp thị / Marketing, Tiếp thị trực tuyến</t>
        </is>
      </c>
      <c r="K2248" s="10" t="inlineStr">
        <is>
          <t>2 - 3 Năm</t>
        </is>
      </c>
      <c r="L2248" s="11">
        <f>HYPERLINK("https://careerviet.vn/vi/tim-viec-lam/jisahwa-staff-trade-marketing-executive.35C6C47B.html","Xem chi tiết")</f>
        <v/>
      </c>
      <c r="M2248" s="10" t="n"/>
    </row>
    <row r="2249">
      <c r="B2249" s="7" t="n">
        <v>2247</v>
      </c>
      <c r="C2249" t="inlineStr">
        <is>
          <t>Kỹ sư Giám Sát hiện trường hoàn thiện</t>
        </is>
      </c>
      <c r="D2249" t="inlineStr">
        <is>
          <t>CÔNG TY TNHH XÂY DỰNG THƯƠNG MẠI LỤC GIÁC</t>
        </is>
      </c>
      <c r="E2249" t="inlineStr">
        <is>
          <t>Lương:15 Tr - 20 Tr VND</t>
        </is>
      </c>
      <c r="F2249" t="inlineStr">
        <is>
          <t>Hồ Chí MinhBình Thuận</t>
        </is>
      </c>
      <c r="G2249" t="inlineStr">
        <is>
          <t>13-04-2026</t>
        </is>
      </c>
      <c r="H2249" t="inlineStr">
        <is>
          <t>13/04/2026</t>
        </is>
      </c>
      <c r="I2249" t="inlineStr">
        <is>
          <t>17/03/2026</t>
        </is>
      </c>
      <c r="J2249" t="inlineStr">
        <is>
          <t>Kiến trúc, Xây dựng, Ngành khác</t>
        </is>
      </c>
      <c r="K2249" t="inlineStr">
        <is>
          <t>1 - 2 Năm</t>
        </is>
      </c>
      <c r="L2249" s="8">
        <f>HYPERLINK("https://careerviet.vn/vi/tim-viec-lam/ky-su-giam-sat-hien-truong-hoan-thien.35C6C64F.html","Xem chi tiết")</f>
        <v/>
      </c>
    </row>
    <row r="2250">
      <c r="B2250" s="9" t="n">
        <v>2248</v>
      </c>
      <c r="C2250" s="10" t="inlineStr">
        <is>
          <t>Trưởng phòng Quản lý và cải tiến quy trình - Khối Vận hành</t>
        </is>
      </c>
      <c r="D2250" s="10" t="inlineStr">
        <is>
          <t>Ngân hàng TMCP Đại Chúng Việt Nam - PVcomBank</t>
        </is>
      </c>
      <c r="E2250" s="10" t="inlineStr">
        <is>
          <t>Lương:Cạnh tranh</t>
        </is>
      </c>
      <c r="F2250" s="10" t="inlineStr">
        <is>
          <t>Hà Nội</t>
        </is>
      </c>
      <c r="G2250" s="10" t="inlineStr">
        <is>
          <t>03-04-2026</t>
        </is>
      </c>
      <c r="H2250" s="10" t="inlineStr">
        <is>
          <t>03/04/2026</t>
        </is>
      </c>
      <c r="I2250" s="10" t="inlineStr">
        <is>
          <t>17/03/2026</t>
        </is>
      </c>
      <c r="J2250" s="10" t="inlineStr">
        <is>
          <t>Ngân hàng, Tài chính / Đầu tư</t>
        </is>
      </c>
      <c r="K2250" s="10" t="inlineStr">
        <is>
          <t>5 - 10 Năm</t>
        </is>
      </c>
      <c r="L2250" s="11">
        <f>HYPERLINK("https://careerviet.vn/vi/tim-viec-lam/truong-phong-quan-ly-va-cai-tien-quy-trinh-khoi-van-hanh.35C6B562.html","Xem chi tiết")</f>
        <v/>
      </c>
      <c r="M2250" s="10" t="n"/>
    </row>
    <row r="2251">
      <c r="B2251" s="7" t="n">
        <v>2249</v>
      </c>
      <c r="C2251" t="inlineStr">
        <is>
          <t>Sales Phần mềm 26597 - Bình Chánh, HCM</t>
        </is>
      </c>
      <c r="D2251" t="inlineStr">
        <is>
          <t>Công Ty TNHH Reeracoen Việt Nam</t>
        </is>
      </c>
      <c r="E2251" t="inlineStr">
        <is>
          <t>Lương:20 Tr - 30 Tr VND</t>
        </is>
      </c>
      <c r="F2251" t="inlineStr">
        <is>
          <t>Hồ Chí Minh</t>
        </is>
      </c>
      <c r="G2251" t="inlineStr">
        <is>
          <t>06-04-2026</t>
        </is>
      </c>
      <c r="H2251" t="inlineStr">
        <is>
          <t>06/04/2026</t>
        </is>
      </c>
      <c r="I2251" t="inlineStr">
        <is>
          <t>17/03/2026</t>
        </is>
      </c>
      <c r="J2251" t="inlineStr">
        <is>
          <t>Bán hàng / Kinh doanh, Bán Hàng Kỹ Thuật, CNTT - Phần mềm</t>
        </is>
      </c>
      <c r="K2251" t="inlineStr">
        <is>
          <t>2 - 3 Năm</t>
        </is>
      </c>
      <c r="L2251" s="8">
        <f>HYPERLINK("https://careerviet.vn/vi/tim-viec-lam/sales-phan-mem-26597-binh-chanh-hcm.35C6B520.html","Xem chi tiết")</f>
        <v/>
      </c>
    </row>
    <row r="2252">
      <c r="B2252" s="9" t="n">
        <v>2250</v>
      </c>
      <c r="C2252" s="10" t="inlineStr">
        <is>
          <t>Kỹ sư kho lạnh 27737 - Cần Giuộc, Long An</t>
        </is>
      </c>
      <c r="D2252" s="10" t="inlineStr">
        <is>
          <t>Công Ty TNHH Reeracoen Việt Nam</t>
        </is>
      </c>
      <c r="E2252" s="10" t="inlineStr">
        <is>
          <t>Lương:10 Tr - 12 Tr VND</t>
        </is>
      </c>
      <c r="F2252" s="10" t="inlineStr">
        <is>
          <t>Long An</t>
        </is>
      </c>
      <c r="G2252" s="10" t="inlineStr">
        <is>
          <t>06-04-2026</t>
        </is>
      </c>
      <c r="H2252" s="10" t="inlineStr">
        <is>
          <t>06/04/2026</t>
        </is>
      </c>
      <c r="I2252" s="10" t="inlineStr">
        <is>
          <t>17/03/2026</t>
        </is>
      </c>
      <c r="J2252" s="10" t="inlineStr">
        <is>
          <t>Cơ khí / Ô tô / Tự động hóa, Điện / Điện tử / Điện lạnh / Điện công nghiệp, Bảo trì / Sửa chữa</t>
        </is>
      </c>
      <c r="K2252" s="10" t="inlineStr">
        <is>
          <t>N/A</t>
        </is>
      </c>
      <c r="L2252" s="11">
        <f>HYPERLINK("https://careerviet.vn/vi/tim-viec-lam/ky-su-kho-lanh-27737-can-giuoc-long-an.35C6B514.html","Xem chi tiết")</f>
        <v/>
      </c>
      <c r="M2252" s="10" t="n"/>
    </row>
    <row r="2253">
      <c r="B2253" s="7" t="n">
        <v>2251</v>
      </c>
      <c r="C2253" t="inlineStr">
        <is>
          <t>Nhân viên HSE</t>
        </is>
      </c>
      <c r="D2253" t="inlineStr">
        <is>
          <t>Công ty TNHH Olam Việt Nam</t>
        </is>
      </c>
      <c r="E2253" t="inlineStr">
        <is>
          <t>Lương:Cạnh tranh</t>
        </is>
      </c>
      <c r="F2253" t="inlineStr">
        <is>
          <t>Đồng Nai</t>
        </is>
      </c>
      <c r="G2253" t="inlineStr">
        <is>
          <t>11-04-2026</t>
        </is>
      </c>
      <c r="H2253" t="inlineStr">
        <is>
          <t>11/04/2026</t>
        </is>
      </c>
      <c r="I2253" t="inlineStr">
        <is>
          <t>17/03/2026</t>
        </is>
      </c>
      <c r="J2253" t="inlineStr">
        <is>
          <t>An toàn lao động, Môi trường, Sản xuất / Vận hành sản xuất</t>
        </is>
      </c>
      <c r="K2253" t="inlineStr">
        <is>
          <t>1 - 2 Năm</t>
        </is>
      </c>
      <c r="L2253" s="8">
        <f>HYPERLINK("https://careerviet.vn/vi/tim-viec-lam/nhan-vien-hse.35C6C648.html","Xem chi tiết")</f>
        <v/>
      </c>
    </row>
    <row r="2254">
      <c r="B2254" s="9" t="n">
        <v>2252</v>
      </c>
      <c r="C2254" s="10" t="inlineStr">
        <is>
          <t>Chuyên viên/Chuyên viên chính/Chuyên viên cấp cao Quan hệ Khách hàng (Mảng Khách hàng Cá nhân)</t>
        </is>
      </c>
      <c r="D2254" s="10" t="inlineStr">
        <is>
          <t>Ngân Hàng TMCP Quốc Dân (NCB)</t>
        </is>
      </c>
      <c r="E2254" s="10" t="inlineStr">
        <is>
          <t>Lương:Cạnh tranh</t>
        </is>
      </c>
      <c r="F2254" s="10" t="inlineStr">
        <is>
          <t>Hà NộiHồ Chí Minh</t>
        </is>
      </c>
      <c r="G2254" s="10" t="inlineStr">
        <is>
          <t>13-04-2026</t>
        </is>
      </c>
      <c r="H2254" s="10" t="inlineStr">
        <is>
          <t>13/04/2026</t>
        </is>
      </c>
      <c r="I2254" s="10" t="inlineStr">
        <is>
          <t>17/03/2026</t>
        </is>
      </c>
      <c r="J2254" s="10" t="inlineStr">
        <is>
          <t>Ngân hàng, Bán hàng / Kinh doanh, Bảo hiểm</t>
        </is>
      </c>
      <c r="K2254" s="10" t="inlineStr">
        <is>
          <t>Trên 1 Năm</t>
        </is>
      </c>
      <c r="L2254" s="11">
        <f>HYPERLINK("https://careerviet.vn/vi/tim-viec-lam/chuyen-vien-chuyen-vien-chinh-chuyen-vien-cap-cao-quan-he-khach-hang-mang-khach-hang-ca-nhan.35C6C5E0.html","Xem chi tiết")</f>
        <v/>
      </c>
      <c r="M2254" s="10" t="n"/>
    </row>
    <row r="2255">
      <c r="B2255" s="7" t="n">
        <v>2253</v>
      </c>
      <c r="C2255" t="inlineStr">
        <is>
          <t>Kế toán trưởng 27631 - KCN Yên Mỹ 2, Hưng Yên (Có xe đưa đón từ HN)</t>
        </is>
      </c>
      <c r="D2255" t="inlineStr">
        <is>
          <t>Công Ty TNHH Reeracoen Việt Nam</t>
        </is>
      </c>
      <c r="E2255" t="inlineStr">
        <is>
          <t>Lương:20 Tr - 27 Tr VND</t>
        </is>
      </c>
      <c r="F2255" t="inlineStr">
        <is>
          <t>Hưng Yên</t>
        </is>
      </c>
      <c r="G2255" t="inlineStr">
        <is>
          <t>06-04-2026</t>
        </is>
      </c>
      <c r="H2255" t="inlineStr">
        <is>
          <t>06/04/2026</t>
        </is>
      </c>
      <c r="I2255" t="inlineStr">
        <is>
          <t>17/03/2026</t>
        </is>
      </c>
      <c r="J2255" t="inlineStr">
        <is>
          <t>Kế toán / Kiểm toán, Tài chính / Đầu tư, Quản lý điều hành</t>
        </is>
      </c>
      <c r="K2255" t="inlineStr">
        <is>
          <t>Trên 5 Năm</t>
        </is>
      </c>
      <c r="L2255" s="8">
        <f>HYPERLINK("https://careerviet.vn/vi/tim-viec-lam/ke-toan-truong-27631-kcn-yen-my-2-hung-yen-co-xe-dua-don-tu-hn.35C6B4F7.html","Xem chi tiết")</f>
        <v/>
      </c>
    </row>
    <row r="2256">
      <c r="B2256" s="9" t="n">
        <v>2254</v>
      </c>
      <c r="C2256" s="10" t="inlineStr">
        <is>
          <t>Chuyên viên Pháp lý</t>
        </is>
      </c>
      <c r="D2256" s="10" t="inlineStr">
        <is>
          <t>BIM Group</t>
        </is>
      </c>
      <c r="E2256" s="10" t="inlineStr">
        <is>
          <t>Lương:Cạnh tranh</t>
        </is>
      </c>
      <c r="F2256" s="10" t="inlineStr">
        <is>
          <t>Hà Nội</t>
        </is>
      </c>
      <c r="G2256" s="10" t="inlineStr">
        <is>
          <t>30-04-2026</t>
        </is>
      </c>
      <c r="H2256" s="10" t="inlineStr">
        <is>
          <t>30/04/2026</t>
        </is>
      </c>
      <c r="I2256" s="10" t="inlineStr">
        <is>
          <t>17/03/2026</t>
        </is>
      </c>
      <c r="J2256" s="10" t="inlineStr">
        <is>
          <t>Luật / Pháp lý, Bất động sản, Xây dựng</t>
        </is>
      </c>
      <c r="K2256" s="10" t="inlineStr">
        <is>
          <t>4 - 5 Năm</t>
        </is>
      </c>
      <c r="L2256" s="11">
        <f>HYPERLINK("https://careerviet.vn/vi/tim-viec-lam/chuyen-vien-phap-ly.35C6B299.html","Xem chi tiết")</f>
        <v/>
      </c>
      <c r="M2256" s="10" t="n"/>
    </row>
    <row r="2257">
      <c r="B2257" s="7" t="n">
        <v>2255</v>
      </c>
      <c r="C2257" t="inlineStr">
        <is>
          <t>Chuyên Viên Tư Vấn Di Trú Cấp Cao (Senior Immigration Consultant)</t>
        </is>
      </c>
      <c r="D2257" t="inlineStr">
        <is>
          <t>CÔNG TY TNHH TƯ VẤN ĐỊNH CƯ PORTICO AND BRIDGE</t>
        </is>
      </c>
      <c r="E2257" t="inlineStr">
        <is>
          <t>Lương:Cạnh tranh</t>
        </is>
      </c>
      <c r="F2257" t="inlineStr">
        <is>
          <t>Hồ Chí Minh</t>
        </is>
      </c>
      <c r="G2257" t="inlineStr">
        <is>
          <t>13-04-2026</t>
        </is>
      </c>
      <c r="H2257" t="inlineStr">
        <is>
          <t>13/04/2026</t>
        </is>
      </c>
      <c r="I2257" t="inlineStr">
        <is>
          <t>17/03/2026</t>
        </is>
      </c>
      <c r="J2257" t="inlineStr">
        <is>
          <t>Bán hàng / Kinh doanh, Tư vấn, Dịch vụ khách hàng</t>
        </is>
      </c>
      <c r="K2257" t="inlineStr">
        <is>
          <t>Trên 1 Năm</t>
        </is>
      </c>
      <c r="L2257" s="8">
        <f>HYPERLINK("https://careerviet.vn/vi/tim-viec-lam/chuyen-vien-tu-van-di-tru-cap-cao-senior-immigration-consultant.35C6C5F3.html","Xem chi tiết")</f>
        <v/>
      </c>
    </row>
    <row r="2258">
      <c r="B2258" s="9" t="n">
        <v>2256</v>
      </c>
      <c r="C2258" s="10" t="inlineStr">
        <is>
          <t>Trưởng bộ phận Quản trị giải pháp tài chính</t>
        </is>
      </c>
      <c r="D2258" s="10" t="inlineStr">
        <is>
          <t>Ngân hàng TMCP Đại Chúng Việt Nam - PVcomBank</t>
        </is>
      </c>
      <c r="E2258" s="10" t="inlineStr">
        <is>
          <t>Lương:Cạnh tranh</t>
        </is>
      </c>
      <c r="F2258" s="10" t="inlineStr">
        <is>
          <t>Hà Nội</t>
        </is>
      </c>
      <c r="G2258" s="10" t="inlineStr">
        <is>
          <t>05-04-2026</t>
        </is>
      </c>
      <c r="H2258" s="10" t="inlineStr">
        <is>
          <t>05/04/2026</t>
        </is>
      </c>
      <c r="I2258" s="10" t="inlineStr">
        <is>
          <t>17/03/2026</t>
        </is>
      </c>
      <c r="J2258" s="10" t="inlineStr">
        <is>
          <t>Ngân hàng, Bán hàng / Kinh doanh</t>
        </is>
      </c>
      <c r="K2258" s="10" t="inlineStr">
        <is>
          <t>5 - 7 Năm</t>
        </is>
      </c>
      <c r="L2258" s="11">
        <f>HYPERLINK("https://careerviet.vn/vi/tim-viec-lam/truong-bo-phan-quan-tri-giai-phap-tai-chinh.35C6B42C.html","Xem chi tiết")</f>
        <v/>
      </c>
      <c r="M2258" s="10" t="n"/>
    </row>
    <row r="2259">
      <c r="B2259" s="7" t="n">
        <v>2257</v>
      </c>
      <c r="C2259" t="inlineStr">
        <is>
          <t>Chuyên viên kinh doanh - Sales B2B</t>
        </is>
      </c>
      <c r="D2259" t="inlineStr">
        <is>
          <t>Công Ty Cổ Phần Đầu Tư K&amp;G Việt Nam</t>
        </is>
      </c>
      <c r="E2259" t="inlineStr">
        <is>
          <t>Lương:15 Tr - 20 Tr VND</t>
        </is>
      </c>
      <c r="F2259" t="inlineStr">
        <is>
          <t>Hà Nội</t>
        </is>
      </c>
      <c r="G2259" t="inlineStr">
        <is>
          <t>06-04-2026</t>
        </is>
      </c>
      <c r="H2259" t="inlineStr">
        <is>
          <t>06/04/2026</t>
        </is>
      </c>
      <c r="I2259" t="inlineStr">
        <is>
          <t>17/03/2026</t>
        </is>
      </c>
      <c r="J2259" t="inlineStr">
        <is>
          <t>Bán hàng / Kinh doanh, Dệt may / Da giày / Thời trang</t>
        </is>
      </c>
      <c r="K2259" t="inlineStr">
        <is>
          <t>N/A</t>
        </is>
      </c>
      <c r="L2259" s="8">
        <f>HYPERLINK("https://careerviet.vn/vi/tim-viec-lam/chuyen-vien-kinh-doanh-sales-b2b.35C6B49F.html","Xem chi tiết")</f>
        <v/>
      </c>
    </row>
    <row r="2260">
      <c r="B2260" s="9" t="n">
        <v>2258</v>
      </c>
      <c r="C2260" s="10" t="inlineStr">
        <is>
          <t>Chuyên viên kinh doanh</t>
        </is>
      </c>
      <c r="D2260" s="10" t="inlineStr">
        <is>
          <t>CÔNG TY TNHH JP NELSON EQUIPMENT VIỆT NAM</t>
        </is>
      </c>
      <c r="E2260" s="10" t="inlineStr">
        <is>
          <t>Lương:12 Tr - 15 Tr VND</t>
        </is>
      </c>
      <c r="F2260" s="10" t="inlineStr">
        <is>
          <t>Đồng Nai</t>
        </is>
      </c>
      <c r="G2260" s="10" t="inlineStr">
        <is>
          <t>30-04-2026</t>
        </is>
      </c>
      <c r="H2260" s="10" t="inlineStr">
        <is>
          <t>30/04/2026</t>
        </is>
      </c>
      <c r="I2260" s="10" t="inlineStr">
        <is>
          <t>17/03/2026</t>
        </is>
      </c>
      <c r="J2260" s="10" t="inlineStr">
        <is>
          <t>Tiếp thị / Marketing, Bán hàng / Kinh doanh, Xây dựng</t>
        </is>
      </c>
      <c r="K2260" s="10" t="inlineStr">
        <is>
          <t>N/A</t>
        </is>
      </c>
      <c r="L2260" s="11">
        <f>HYPERLINK("https://careerviet.vn/vi/tim-viec-lam/chuyen-vien-kinh-doanh.35C6B494.html","Xem chi tiết")</f>
        <v/>
      </c>
      <c r="M2260" s="10" t="n"/>
    </row>
    <row r="2261">
      <c r="B2261" s="7" t="n">
        <v>2259</v>
      </c>
      <c r="C2261" t="inlineStr">
        <is>
          <t>Pattern Maker – Nhân viên Kỹ thuật rập</t>
        </is>
      </c>
      <c r="D2261" t="inlineStr">
        <is>
          <t>Chantelle Vietnam</t>
        </is>
      </c>
      <c r="E2261" t="inlineStr">
        <is>
          <t>Lương:Cạnh tranh</t>
        </is>
      </c>
      <c r="F2261" t="inlineStr">
        <is>
          <t>Bình Dương</t>
        </is>
      </c>
      <c r="G2261" t="inlineStr">
        <is>
          <t>10-04-2026</t>
        </is>
      </c>
      <c r="H2261" t="inlineStr">
        <is>
          <t>10/04/2026</t>
        </is>
      </c>
      <c r="I2261" t="inlineStr">
        <is>
          <t>17/03/2026</t>
        </is>
      </c>
      <c r="J2261" t="inlineStr">
        <is>
          <t>Dệt may / Da giày / Thời trang, Mỹ thuật / Nghệ thuật / Thiết kế, Hành chính / Thư ký</t>
        </is>
      </c>
      <c r="K2261" t="inlineStr">
        <is>
          <t>1 - 3 Năm</t>
        </is>
      </c>
      <c r="L2261" s="8">
        <f>HYPERLINK("https://careerviet.vn/vi/tim-viec-lam/pattern-maker-nhan-vien-ky-thuat-rap.35C6B4D0.html","Xem chi tiết")</f>
        <v/>
      </c>
    </row>
    <row r="2262">
      <c r="B2262" s="9" t="n">
        <v>2260</v>
      </c>
      <c r="C2262" s="10" t="inlineStr">
        <is>
          <t>Nhân Viên Hồ Sơ Thầu</t>
        </is>
      </c>
      <c r="D2262" s="10" t="inlineStr">
        <is>
          <t>CÔNG TY TNHH CÔNG NGHỆ MÁY ĐO KHÍ RIKEN VIỆT</t>
        </is>
      </c>
      <c r="E2262" s="10" t="inlineStr">
        <is>
          <t>Lương:Cạnh tranh</t>
        </is>
      </c>
      <c r="F2262" s="10" t="inlineStr">
        <is>
          <t>Hải PhòngHồ Chí Minh</t>
        </is>
      </c>
      <c r="G2262" s="10" t="inlineStr">
        <is>
          <t>05-04-2026</t>
        </is>
      </c>
      <c r="H2262" s="10" t="inlineStr">
        <is>
          <t>05/04/2026</t>
        </is>
      </c>
      <c r="I2262" s="10" t="inlineStr">
        <is>
          <t>17/03/2026</t>
        </is>
      </c>
      <c r="J2262" s="10" t="inlineStr">
        <is>
          <t>Dầu khí, Môi trường, Khoáng sản</t>
        </is>
      </c>
      <c r="K2262" s="10" t="inlineStr">
        <is>
          <t>Trên 1 Năm</t>
        </is>
      </c>
      <c r="L2262" s="11">
        <f>HYPERLINK("https://careerviet.vn/vi/tim-viec-lam/nhan-vien-ho-so-thau.35C6B55D.html","Xem chi tiết")</f>
        <v/>
      </c>
      <c r="M2262" s="10" t="n"/>
    </row>
    <row r="2263">
      <c r="B2263" s="7" t="n">
        <v>2261</v>
      </c>
      <c r="C2263" t="inlineStr">
        <is>
          <t>Nhân Viên Kinh Doanh</t>
        </is>
      </c>
      <c r="D2263" t="inlineStr">
        <is>
          <t>CÔNG TY TNHH TIAN YOU</t>
        </is>
      </c>
      <c r="E2263" t="inlineStr">
        <is>
          <t>Lương:Cạnh tranh</t>
        </is>
      </c>
      <c r="F2263" t="inlineStr">
        <is>
          <t>Bình Dương</t>
        </is>
      </c>
      <c r="G2263" t="inlineStr">
        <is>
          <t>05-04-2026</t>
        </is>
      </c>
      <c r="H2263" t="inlineStr">
        <is>
          <t>05/04/2026</t>
        </is>
      </c>
      <c r="I2263" t="inlineStr">
        <is>
          <t>17/03/2026</t>
        </is>
      </c>
      <c r="J2263" t="inlineStr">
        <is>
          <t>Bán hàng / Kinh doanh, Tiếp thị / Marketing, Điện / Điện tử / Điện lạnh / Điện công nghiệp</t>
        </is>
      </c>
      <c r="K2263" t="inlineStr">
        <is>
          <t>N/A</t>
        </is>
      </c>
      <c r="L2263" s="8">
        <f>HYPERLINK("https://careerviet.vn/vi/tim-viec-lam/nhan-vien-kinh-doanh.35C6B236.html","Xem chi tiết")</f>
        <v/>
      </c>
    </row>
    <row r="2264">
      <c r="B2264" s="9" t="n">
        <v>2262</v>
      </c>
      <c r="C2264" s="10" t="inlineStr">
        <is>
          <t>NHÂN VIÊN MEDIA</t>
        </is>
      </c>
      <c r="D2264" s="10" t="inlineStr">
        <is>
          <t>CÔNG TY CỔ PHẦN XÂY DỰNG VÀ ĐẦU TƯ GALAXY</t>
        </is>
      </c>
      <c r="E2264" s="10" t="inlineStr">
        <is>
          <t>Lương:8 Tr - 15 Tr VND</t>
        </is>
      </c>
      <c r="F2264" s="10" t="inlineStr">
        <is>
          <t>Hồ Chí Minh</t>
        </is>
      </c>
      <c r="G2264" s="10" t="inlineStr">
        <is>
          <t>31-03-2026</t>
        </is>
      </c>
      <c r="H2264" s="10" t="inlineStr">
        <is>
          <t>31/03/2026</t>
        </is>
      </c>
      <c r="I2264" s="10" t="inlineStr">
        <is>
          <t>17/03/2026</t>
        </is>
      </c>
      <c r="J2264" s="10" t="inlineStr">
        <is>
          <t>Mỹ thuật / Nghệ thuật / Thiết kế, Quảng cáo / Đối ngoại / Truyền Thông, Xây dựng</t>
        </is>
      </c>
      <c r="K2264" s="10" t="inlineStr">
        <is>
          <t>1 - 4 Năm</t>
        </is>
      </c>
      <c r="L2264" s="11">
        <f>HYPERLINK("https://careerviet.vn/vi/tim-viec-lam/nhan-vien-media.35C6B563.html","Xem chi tiết")</f>
        <v/>
      </c>
      <c r="M2264" s="10" t="n"/>
    </row>
    <row r="2265">
      <c r="B2265" s="7" t="n">
        <v>2263</v>
      </c>
      <c r="C2265" t="inlineStr">
        <is>
          <t>PHIÊN DỊCH TRUNG - VIỆT</t>
        </is>
      </c>
      <c r="D2265" t="inlineStr">
        <is>
          <t>Công ty TNHH Sài Gòn Stec</t>
        </is>
      </c>
      <c r="E2265" t="inlineStr">
        <is>
          <t>Lương:15 Tr - 20 Tr VND</t>
        </is>
      </c>
      <c r="F2265" t="inlineStr">
        <is>
          <t>Bình Dương</t>
        </is>
      </c>
      <c r="G2265" t="inlineStr">
        <is>
          <t>06-04-2026</t>
        </is>
      </c>
      <c r="H2265" t="inlineStr">
        <is>
          <t>06/04/2026</t>
        </is>
      </c>
      <c r="I2265" t="inlineStr">
        <is>
          <t>17/03/2026</t>
        </is>
      </c>
      <c r="J2265" t="inlineStr">
        <is>
          <t>Biên phiên dịch, Nhân sự, Hành chính / Thư ký</t>
        </is>
      </c>
      <c r="K2265" t="inlineStr">
        <is>
          <t>1 - 3 Năm</t>
        </is>
      </c>
      <c r="L2265" s="8">
        <f>HYPERLINK("https://careerviet.vn/vi/tim-viec-lam/phien-dich-trung-viet.35C6B469.html","Xem chi tiết")</f>
        <v/>
      </c>
    </row>
    <row r="2266">
      <c r="B2266" s="9" t="n">
        <v>2264</v>
      </c>
      <c r="C2266" s="10" t="inlineStr">
        <is>
          <t>KẾ TOÁN THUẾ</t>
        </is>
      </c>
      <c r="D2266" s="10" t="inlineStr">
        <is>
          <t>CÔNG TY TNHH TÂM LUXURY</t>
        </is>
      </c>
      <c r="E2266" s="10" t="inlineStr">
        <is>
          <t>Lương:15 Tr - 20 Tr VND</t>
        </is>
      </c>
      <c r="F2266" s="10" t="inlineStr">
        <is>
          <t>Hồ Chí Minh</t>
        </is>
      </c>
      <c r="G2266" s="10" t="inlineStr">
        <is>
          <t>06-04-2026</t>
        </is>
      </c>
      <c r="H2266" s="10" t="inlineStr">
        <is>
          <t>06/04/2026</t>
        </is>
      </c>
      <c r="I2266" s="10" t="inlineStr">
        <is>
          <t>17/03/2026</t>
        </is>
      </c>
      <c r="J2266" s="10" t="inlineStr">
        <is>
          <t>Kế toán / Kiểm toán, Tài chính / Đầu tư</t>
        </is>
      </c>
      <c r="K2266" s="10" t="inlineStr">
        <is>
          <t>Trên 2 Năm</t>
        </is>
      </c>
      <c r="L2266" s="11">
        <f>HYPERLINK("https://careerviet.vn/vi/tim-viec-lam/ke-toan-thue.35C6B4D2.html","Xem chi tiết")</f>
        <v/>
      </c>
      <c r="M2266" s="10" t="n"/>
    </row>
    <row r="2267">
      <c r="B2267" s="7" t="n">
        <v>2265</v>
      </c>
      <c r="C2267" t="inlineStr">
        <is>
          <t>Kế Toán Tổng Hợp - Tiếng Trung</t>
        </is>
      </c>
      <c r="D2267" t="inlineStr">
        <is>
          <t>CÔNG TY TNHH COTG FOOD TECH VIỆT NAM</t>
        </is>
      </c>
      <c r="E2267" t="inlineStr">
        <is>
          <t>Lương:25 Tr - 35 Tr VND</t>
        </is>
      </c>
      <c r="F2267" t="inlineStr">
        <is>
          <t>Hồ Chí Minh</t>
        </is>
      </c>
      <c r="G2267" t="inlineStr">
        <is>
          <t>05-04-2026</t>
        </is>
      </c>
      <c r="H2267" t="inlineStr">
        <is>
          <t>05/04/2026</t>
        </is>
      </c>
      <c r="I2267" t="inlineStr">
        <is>
          <t>17/03/2026</t>
        </is>
      </c>
      <c r="J2267" t="inlineStr">
        <is>
          <t>Kế toán / Kiểm toán, Bán hàng / Kinh doanh, Thực phẩm &amp; Đồ uống</t>
        </is>
      </c>
      <c r="K2267" t="inlineStr">
        <is>
          <t>5 - 8 Năm</t>
        </is>
      </c>
      <c r="L2267" s="8">
        <f>HYPERLINK("https://careerviet.vn/vi/tim-viec-lam/ke-toan-tong-hop-tieng-trung.35C6B464.html","Xem chi tiết")</f>
        <v/>
      </c>
    </row>
    <row r="2268">
      <c r="B2268" s="9" t="n">
        <v>2266</v>
      </c>
      <c r="C2268" s="10" t="inlineStr">
        <is>
          <t>Chuyên viên Cao cấp Phòng chống rửa tiền - Phòng Kiểm soát tuân thủ - Hội sở HDBank HCM</t>
        </is>
      </c>
      <c r="D2268" s="10" t="inlineStr">
        <is>
          <t>Ngân hàng TMCP Phát triển TP.HCM (HDBank)</t>
        </is>
      </c>
      <c r="E2268" s="10" t="inlineStr">
        <is>
          <t>Lương:Cạnh tranh</t>
        </is>
      </c>
      <c r="F2268" s="10" t="inlineStr">
        <is>
          <t>Hồ Chí Minh</t>
        </is>
      </c>
      <c r="G2268" s="10" t="inlineStr">
        <is>
          <t>30-04-2026</t>
        </is>
      </c>
      <c r="H2268" s="10" t="inlineStr">
        <is>
          <t>30/04/2026</t>
        </is>
      </c>
      <c r="I2268" s="10" t="inlineStr">
        <is>
          <t>17/03/2026</t>
        </is>
      </c>
      <c r="J2268" s="10" t="inlineStr">
        <is>
          <t>Luật / Pháp lý, Ngân hàng, Tài chính / Đầu tư</t>
        </is>
      </c>
      <c r="K2268" s="10" t="inlineStr">
        <is>
          <t>3 - 8 Năm</t>
        </is>
      </c>
      <c r="L2268" s="11">
        <f>HYPERLINK("https://careerviet.vn/vi/tim-viec-lam/chuyen-vien-cao-cap-phong-chong-rua-tien-phong-kiem-soat-tuan-thu-hoi-so-hdbank-hcm.35C6B43E.html","Xem chi tiết")</f>
        <v/>
      </c>
      <c r="M2268" s="10" t="n"/>
    </row>
    <row r="2269">
      <c r="B2269" s="7" t="n">
        <v>2267</v>
      </c>
      <c r="C2269" t="inlineStr">
        <is>
          <t>Nhân Viên Cải Tiến IE</t>
        </is>
      </c>
      <c r="D2269" t="inlineStr">
        <is>
          <t>CÔNG TY TNHH TIAN YOU</t>
        </is>
      </c>
      <c r="E2269" t="inlineStr">
        <is>
          <t>Lương:Cạnh tranh</t>
        </is>
      </c>
      <c r="F2269" t="inlineStr">
        <is>
          <t>Bình Dương</t>
        </is>
      </c>
      <c r="G2269" t="inlineStr">
        <is>
          <t>05-04-2026</t>
        </is>
      </c>
      <c r="H2269" t="inlineStr">
        <is>
          <t>05/04/2026</t>
        </is>
      </c>
      <c r="I2269" t="inlineStr">
        <is>
          <t>17/03/2026</t>
        </is>
      </c>
      <c r="J2269" t="inlineStr">
        <is>
          <t>Cơ khí / Ô tô / Tự động hóa, Bảo trì / Sửa chữa, Điện / Điện tử / Điện lạnh / Điện công nghiệp</t>
        </is>
      </c>
      <c r="K2269" t="inlineStr">
        <is>
          <t>N/A</t>
        </is>
      </c>
      <c r="L2269" s="8">
        <f>HYPERLINK("https://careerviet.vn/vi/tim-viec-lam/nhan-vien-cai-tien-ie.35C6B347.html","Xem chi tiết")</f>
        <v/>
      </c>
    </row>
    <row r="2270">
      <c r="B2270" s="9" t="n">
        <v>2268</v>
      </c>
      <c r="C2270" s="10" t="inlineStr">
        <is>
          <t>Chuyên viên vận hành cấp cao</t>
        </is>
      </c>
      <c r="D2270" s="10" t="inlineStr">
        <is>
          <t>CÔNG TY TNHH JP NELSON EQUIPMENT VIỆT NAM</t>
        </is>
      </c>
      <c r="E2270" s="10" t="inlineStr">
        <is>
          <t>Lương:15 Tr - 20 Tr VND</t>
        </is>
      </c>
      <c r="F2270" s="10" t="inlineStr">
        <is>
          <t>Đồng Nai</t>
        </is>
      </c>
      <c r="G2270" s="10" t="inlineStr">
        <is>
          <t>30-04-2026</t>
        </is>
      </c>
      <c r="H2270" s="10" t="inlineStr">
        <is>
          <t>30/04/2026</t>
        </is>
      </c>
      <c r="I2270" s="10" t="inlineStr">
        <is>
          <t>17/03/2026</t>
        </is>
      </c>
      <c r="J2270" s="10" t="inlineStr">
        <is>
          <t>Cơ khí / Ô tô / Tự động hóa, Điện / Điện tử / Điện lạnh / Điện công nghiệp, Xây dựng</t>
        </is>
      </c>
      <c r="K2270" s="10" t="inlineStr">
        <is>
          <t>2 - 5 Năm</t>
        </is>
      </c>
      <c r="L2270" s="11">
        <f>HYPERLINK("https://careerviet.vn/vi/tim-viec-lam/chuyen-vien-van-hanh-cap-cao.35C6B4A1.html","Xem chi tiết")</f>
        <v/>
      </c>
      <c r="M2270" s="10" t="n"/>
    </row>
    <row r="2271">
      <c r="B2271" s="7" t="n">
        <v>2269</v>
      </c>
      <c r="C2271" t="inlineStr">
        <is>
          <t>Chuyên viên Hành Chính Nhân Sự C&amp;B Phụ Trách Quan Hệ Lao Động</t>
        </is>
      </c>
      <c r="D2271" t="inlineStr">
        <is>
          <t>Công Ty Cổ Phần Thiết Kế Và Xây Dựng Giza Việt Nam</t>
        </is>
      </c>
      <c r="E2271" t="inlineStr">
        <is>
          <t>Lương:12 Tr - 18 Tr VND</t>
        </is>
      </c>
      <c r="F2271" t="inlineStr">
        <is>
          <t>Hà Nội</t>
        </is>
      </c>
      <c r="G2271" t="inlineStr">
        <is>
          <t>31-03-2026</t>
        </is>
      </c>
      <c r="H2271" t="inlineStr">
        <is>
          <t>31/03/2026</t>
        </is>
      </c>
      <c r="I2271" t="inlineStr">
        <is>
          <t>17/03/2026</t>
        </is>
      </c>
      <c r="J2271" t="inlineStr">
        <is>
          <t>Nhân sự, Hành chính / Thư ký, Xây dựng</t>
        </is>
      </c>
      <c r="K2271" t="inlineStr">
        <is>
          <t>2 - 4 Năm</t>
        </is>
      </c>
      <c r="L2271" s="8">
        <f>HYPERLINK("https://careerviet.vn/vi/tim-viec-lam/chuyen-vien-hanh-chinh-nhan-su-c-b-phu-trach-quan-he-lao-dong.35C6B440.html","Xem chi tiết")</f>
        <v/>
      </c>
    </row>
    <row r="2272">
      <c r="B2272" s="9" t="n">
        <v>2270</v>
      </c>
      <c r="C2272" s="10" t="inlineStr">
        <is>
          <t>Chuyên Viên Nghiên Cứu Thị Trường - HCM</t>
        </is>
      </c>
      <c r="D2272" s="10" t="inlineStr">
        <is>
          <t>Công Ty Cổ Phần Sản Xuất Nhựa Duy Tân</t>
        </is>
      </c>
      <c r="E2272" s="10" t="inlineStr">
        <is>
          <t>Lương:Cạnh tranh</t>
        </is>
      </c>
      <c r="F2272" s="10" t="inlineStr">
        <is>
          <t>Hồ Chí Minh</t>
        </is>
      </c>
      <c r="G2272" s="10" t="inlineStr">
        <is>
          <t>30-03-2026</t>
        </is>
      </c>
      <c r="H2272" s="10" t="inlineStr">
        <is>
          <t>30/03/2026</t>
        </is>
      </c>
      <c r="I2272" s="10" t="inlineStr">
        <is>
          <t>17/03/2026</t>
        </is>
      </c>
      <c r="J2272" s="10" t="inlineStr">
        <is>
          <t>Tiếp thị / Marketing</t>
        </is>
      </c>
      <c r="K2272" s="10" t="inlineStr">
        <is>
          <t>Lên đến 2 Năm</t>
        </is>
      </c>
      <c r="L2272" s="11">
        <f>HYPERLINK("https://careerviet.vn/vi/tim-viec-lam/chuyen-vien-nghien-cuu-thi-truong-hcm.35C6B4A9.html","Xem chi tiết")</f>
        <v/>
      </c>
      <c r="M2272" s="10" t="n"/>
    </row>
    <row r="2273">
      <c r="B2273" s="7" t="n">
        <v>2271</v>
      </c>
      <c r="C2273" t="inlineStr">
        <is>
          <t>SENIOR COPORATE FINANCE &amp; CAPITAL RAISING</t>
        </is>
      </c>
      <c r="D2273" t="inlineStr">
        <is>
          <t>Công Ty Cổ Phần Indefol Solar</t>
        </is>
      </c>
      <c r="E2273" t="inlineStr">
        <is>
          <t>Lương:1.000 - 1.500 USD</t>
        </is>
      </c>
      <c r="F2273" t="inlineStr">
        <is>
          <t>Hồ Chí Minh</t>
        </is>
      </c>
      <c r="G2273" t="inlineStr">
        <is>
          <t>30-04-2026</t>
        </is>
      </c>
      <c r="H2273" t="inlineStr">
        <is>
          <t>30/04/2026</t>
        </is>
      </c>
      <c r="I2273" t="inlineStr">
        <is>
          <t>17/03/2026</t>
        </is>
      </c>
      <c r="J2273" t="inlineStr">
        <is>
          <t>Tài chính / Đầu tư</t>
        </is>
      </c>
      <c r="K2273" t="inlineStr">
        <is>
          <t>3 - 5 Năm</t>
        </is>
      </c>
      <c r="L2273" s="8">
        <f>HYPERLINK("https://careerviet.vn/vi/tim-viec-lam/senior-coporate-finance-capital-raising.35C6B3A0.html","Xem chi tiết")</f>
        <v/>
      </c>
    </row>
    <row r="2274">
      <c r="B2274" s="9" t="n">
        <v>2272</v>
      </c>
      <c r="C2274" s="10" t="inlineStr">
        <is>
          <t>Kế Toán Tổng Hợp</t>
        </is>
      </c>
      <c r="D2274" s="10" t="inlineStr">
        <is>
          <t>CÔNG TY CỔ PHẦN ĐẦU TƯ THƯƠNG MẠI TÂY VIÊN HÀ NỘI</t>
        </is>
      </c>
      <c r="E2274" s="10" t="inlineStr">
        <is>
          <t>Lương:14 Tr - 20 Tr VND</t>
        </is>
      </c>
      <c r="F2274" s="10" t="inlineStr">
        <is>
          <t>Hà Nội</t>
        </is>
      </c>
      <c r="G2274" s="10" t="inlineStr">
        <is>
          <t>06-04-2026</t>
        </is>
      </c>
      <c r="H2274" s="10" t="inlineStr">
        <is>
          <t>06/04/2026</t>
        </is>
      </c>
      <c r="I2274" s="10" t="inlineStr">
        <is>
          <t>17/03/2026</t>
        </is>
      </c>
      <c r="J2274" s="10" t="inlineStr">
        <is>
          <t>Kế toán / Kiểm toán, Tài chính / Đầu tư, Luật / Pháp lý</t>
        </is>
      </c>
      <c r="K2274" s="10" t="inlineStr">
        <is>
          <t>Trên 3 Năm</t>
        </is>
      </c>
      <c r="L2274" s="11">
        <f>HYPERLINK("https://careerviet.vn/vi/tim-viec-lam/ke-toan-tong-hop.35C6B459.html","Xem chi tiết")</f>
        <v/>
      </c>
      <c r="M2274" s="10" t="n"/>
    </row>
    <row r="2275">
      <c r="B2275" s="7" t="n">
        <v>2273</v>
      </c>
      <c r="C2275" t="inlineStr">
        <is>
          <t>Kế toán quản trị</t>
        </is>
      </c>
      <c r="D2275" t="inlineStr">
        <is>
          <t>CÔNG TY TNHH SX BAO BÌ NAM VIỆT</t>
        </is>
      </c>
      <c r="E2275" t="inlineStr">
        <is>
          <t>Lương:18 Tr - 30 Tr VND</t>
        </is>
      </c>
      <c r="F2275" t="inlineStr">
        <is>
          <t>Hồ Chí Minh</t>
        </is>
      </c>
      <c r="G2275" t="inlineStr">
        <is>
          <t>07-04-2026</t>
        </is>
      </c>
      <c r="H2275" t="inlineStr">
        <is>
          <t>07/04/2026</t>
        </is>
      </c>
      <c r="I2275" t="inlineStr">
        <is>
          <t>17/03/2026</t>
        </is>
      </c>
      <c r="J2275" t="inlineStr">
        <is>
          <t>Kế toán / Kiểm toán</t>
        </is>
      </c>
      <c r="K2275" t="inlineStr">
        <is>
          <t>2 - 5 Năm</t>
        </is>
      </c>
      <c r="L2275" s="8">
        <f>HYPERLINK("https://careerviet.vn/vi/tim-viec-lam/ke-toan-quan-tri.35C6B40E.html","Xem chi tiết")</f>
        <v/>
      </c>
    </row>
    <row r="2276">
      <c r="B2276" s="9" t="n">
        <v>2274</v>
      </c>
      <c r="C2276" s="10" t="inlineStr">
        <is>
          <t>HR Supervisor (Giao tiếp tiếng Trung)</t>
        </is>
      </c>
      <c r="D2276" s="10" t="inlineStr">
        <is>
          <t>Xuân Cầu Holdings</t>
        </is>
      </c>
      <c r="E2276" s="10" t="inlineStr">
        <is>
          <t>Lương:Cạnh tranh</t>
        </is>
      </c>
      <c r="F2276" s="10" t="inlineStr">
        <is>
          <t>Hà Nội</t>
        </is>
      </c>
      <c r="G2276" s="10" t="inlineStr">
        <is>
          <t>30-04-2026</t>
        </is>
      </c>
      <c r="H2276" s="10" t="inlineStr">
        <is>
          <t>30/04/2026</t>
        </is>
      </c>
      <c r="I2276" s="10" t="inlineStr">
        <is>
          <t>17/03/2026</t>
        </is>
      </c>
      <c r="J2276" s="10" t="inlineStr">
        <is>
          <t>Nhân sự</t>
        </is>
      </c>
      <c r="K2276" s="10" t="inlineStr">
        <is>
          <t>5 - 7 Năm</t>
        </is>
      </c>
      <c r="L2276" s="11">
        <f>HYPERLINK("https://careerviet.vn/vi/tim-viec-lam/hr-supervisor-giao-tiep-tieng-trung.35C6B43A.html","Xem chi tiết")</f>
        <v/>
      </c>
      <c r="M2276" s="10" t="n"/>
    </row>
    <row r="2277">
      <c r="B2277" s="7" t="n">
        <v>2275</v>
      </c>
      <c r="C2277" t="inlineStr">
        <is>
          <t>Chuyên viên cao cấp phát triển kinh doanh, Phân khúc hộ kinh doanh và doanh nghiệp siêu nhỏ, Khối Khách hàng cá nhân</t>
        </is>
      </c>
      <c r="D2277" t="inlineStr">
        <is>
          <t>Ngân hàng TMCP Đại Chúng Việt Nam - PVcomBank</t>
        </is>
      </c>
      <c r="E2277" t="inlineStr">
        <is>
          <t>Lương:Cạnh tranh</t>
        </is>
      </c>
      <c r="F2277" t="inlineStr">
        <is>
          <t>Hà Nội</t>
        </is>
      </c>
      <c r="G2277" t="inlineStr">
        <is>
          <t>05-04-2026</t>
        </is>
      </c>
      <c r="H2277" t="inlineStr">
        <is>
          <t>05/04/2026</t>
        </is>
      </c>
      <c r="I2277" t="inlineStr">
        <is>
          <t>17/03/2026</t>
        </is>
      </c>
      <c r="J2277" t="inlineStr">
        <is>
          <t>Ngân hàng, Bán hàng / Kinh doanh</t>
        </is>
      </c>
      <c r="K2277" t="inlineStr">
        <is>
          <t>3 - 5 Năm</t>
        </is>
      </c>
      <c r="L2277" s="8">
        <f>HYPERLINK("https://careerviet.vn/vi/tim-viec-lam/chuyen-vien-cao-cap-phat-trien-kinh-doanh-phan-khuc-ho-kinh-doanh-va-doanh-nghiep-sieu-nho-khoi-khach-hang-ca-nhan.35C6B427.html","Xem chi tiết")</f>
        <v/>
      </c>
    </row>
    <row r="2278">
      <c r="B2278" s="9" t="n">
        <v>2276</v>
      </c>
      <c r="C2278" s="10" t="inlineStr">
        <is>
          <t>Chuyên viên xuất nhập khẩu</t>
        </is>
      </c>
      <c r="D2278" s="10" t="inlineStr">
        <is>
          <t>CÔNG TY TNHH GOTOP TEXTILE (VIETNAM)</t>
        </is>
      </c>
      <c r="E2278" s="10" t="inlineStr">
        <is>
          <t>Lương:15 Tr - 20 Tr VND</t>
        </is>
      </c>
      <c r="F2278" s="10" t="inlineStr">
        <is>
          <t>Long An</t>
        </is>
      </c>
      <c r="G2278" s="10" t="inlineStr">
        <is>
          <t>01-04-2026</t>
        </is>
      </c>
      <c r="H2278" s="10" t="inlineStr">
        <is>
          <t>01/04/2026</t>
        </is>
      </c>
      <c r="I2278" s="10" t="inlineStr">
        <is>
          <t>17/03/2026</t>
        </is>
      </c>
      <c r="J2278" s="10" t="inlineStr">
        <is>
          <t>Dệt may / Da giày / Thời trang</t>
        </is>
      </c>
      <c r="K2278" s="10" t="inlineStr">
        <is>
          <t>2 - 5 Năm</t>
        </is>
      </c>
      <c r="L2278" s="11">
        <f>HYPERLINK("https://careerviet.vn/vi/tim-viec-lam/chuyen-vien-xuat-nhap-khau.35C6B2A2.html","Xem chi tiết")</f>
        <v/>
      </c>
      <c r="M2278" s="10" t="n"/>
    </row>
    <row r="2279">
      <c r="B2279" s="7" t="n">
        <v>2277</v>
      </c>
      <c r="C2279" t="inlineStr">
        <is>
          <t>[KCN Long Thành - Đồng Nai] Quản Lý Bảo Trì Sửa Chữa Máy Móc Thiết Bị</t>
        </is>
      </c>
      <c r="D2279" t="inlineStr">
        <is>
          <t>Công ty Cổ Phần Tập Đoàn Thiên Long</t>
        </is>
      </c>
      <c r="E2279" t="inlineStr">
        <is>
          <t>Lương:20 Tr - 27 Tr VND</t>
        </is>
      </c>
      <c r="F2279" t="inlineStr">
        <is>
          <t>Đồng Nai</t>
        </is>
      </c>
      <c r="G2279" t="inlineStr">
        <is>
          <t>05-04-2026</t>
        </is>
      </c>
      <c r="H2279" t="inlineStr">
        <is>
          <t>05/04/2026</t>
        </is>
      </c>
      <c r="I2279" t="inlineStr">
        <is>
          <t>17/03/2026</t>
        </is>
      </c>
      <c r="J2279" t="inlineStr">
        <is>
          <t>Bảo trì / Sửa chữa</t>
        </is>
      </c>
      <c r="K2279" t="inlineStr">
        <is>
          <t>3 - 5 Năm</t>
        </is>
      </c>
      <c r="L2279" s="8">
        <f>HYPERLINK("https://careerviet.vn/vi/tim-viec-lam/kcn-long-thanh-dong-nai-quan-ly-bao-tri-sua-chua-may-moc-thiet-bi.35C6B423.html","Xem chi tiết")</f>
        <v/>
      </c>
    </row>
    <row r="2280">
      <c r="B2280" s="9" t="n">
        <v>2278</v>
      </c>
      <c r="C2280" s="10" t="inlineStr">
        <is>
          <t>Trưởng Phòng Hành Chính Nhân Sự</t>
        </is>
      </c>
      <c r="D2280" s="10" t="inlineStr">
        <is>
          <t>Công Ty Cổ Phần Thiết Kế Và Xây Dựng Giza Việt Nam</t>
        </is>
      </c>
      <c r="E2280" s="10" t="inlineStr">
        <is>
          <t>Lương:30 Tr - 40 Tr VND</t>
        </is>
      </c>
      <c r="F2280" s="10" t="inlineStr">
        <is>
          <t>Hà Nội</t>
        </is>
      </c>
      <c r="G2280" s="10" t="inlineStr">
        <is>
          <t>31-03-2026</t>
        </is>
      </c>
      <c r="H2280" s="10" t="inlineStr">
        <is>
          <t>31/03/2026</t>
        </is>
      </c>
      <c r="I2280" s="10" t="inlineStr">
        <is>
          <t>17/03/2026</t>
        </is>
      </c>
      <c r="J2280" s="10" t="inlineStr">
        <is>
          <t>Xây dựng, Nhân sự, Quản lý điều hành</t>
        </is>
      </c>
      <c r="K2280" s="10" t="inlineStr">
        <is>
          <t>3 - 5 Năm</t>
        </is>
      </c>
      <c r="L2280" s="11">
        <f>HYPERLINK("https://careerviet.vn/vi/tim-viec-lam/truong-phong-hanh-chinh-nhan-su.35C6B3C2.html","Xem chi tiết")</f>
        <v/>
      </c>
      <c r="M2280" s="10" t="n"/>
    </row>
    <row r="2281">
      <c r="B2281" s="7" t="n">
        <v>2279</v>
      </c>
      <c r="C2281" t="inlineStr">
        <is>
          <t>PROJECT MANAGER ( Chỉ tuyển kinh nghiêm về Semiconductor)</t>
        </is>
      </c>
      <c r="D2281" t="inlineStr">
        <is>
          <t>Tập Đoàn CT Group Việt Nam</t>
        </is>
      </c>
      <c r="E2281" t="inlineStr">
        <is>
          <t>Lương:40 Tr - 50 Tr VND</t>
        </is>
      </c>
      <c r="F2281" t="inlineStr">
        <is>
          <t>Hồ Chí Minh</t>
        </is>
      </c>
      <c r="G2281" t="inlineStr">
        <is>
          <t>30-04-2026</t>
        </is>
      </c>
      <c r="H2281" t="inlineStr">
        <is>
          <t>30/04/2026</t>
        </is>
      </c>
      <c r="I2281" t="inlineStr">
        <is>
          <t>17/03/2026</t>
        </is>
      </c>
      <c r="J2281" t="inlineStr">
        <is>
          <t>Điện / Điện tử / Điện lạnh / Điện công nghiệp, Sản xuất / Vận hành sản xuất</t>
        </is>
      </c>
      <c r="K2281" t="inlineStr">
        <is>
          <t>5 - 7 Năm</t>
        </is>
      </c>
      <c r="L2281" s="8">
        <f>HYPERLINK("https://careerviet.vn/vi/tim-viec-lam/project-manager-chi-tuyen-kinh-nghiem-ve-semiconductor.35C6B570.html","Xem chi tiết")</f>
        <v/>
      </c>
    </row>
    <row r="2282">
      <c r="B2282" s="9" t="n">
        <v>2280</v>
      </c>
      <c r="C2282" s="10" t="inlineStr">
        <is>
          <t>Engineering Manager</t>
        </is>
      </c>
      <c r="D2282" s="10" t="inlineStr">
        <is>
          <t>CÔNG TY TNHH SX BAO BÌ NAM VIỆT</t>
        </is>
      </c>
      <c r="E2282" s="10" t="inlineStr">
        <is>
          <t>Lương:25 Tr - 45 Tr VND</t>
        </is>
      </c>
      <c r="F2282" s="10" t="inlineStr">
        <is>
          <t>Đồng Nai</t>
        </is>
      </c>
      <c r="G2282" s="10" t="inlineStr">
        <is>
          <t>07-04-2026</t>
        </is>
      </c>
      <c r="H2282" s="10" t="inlineStr">
        <is>
          <t>07/04/2026</t>
        </is>
      </c>
      <c r="I2282" s="10" t="inlineStr">
        <is>
          <t>17/03/2026</t>
        </is>
      </c>
      <c r="J2282" s="10" t="inlineStr">
        <is>
          <t>Cơ khí / Ô tô / Tự động hóa, Điện / Điện tử / Điện lạnh / Điện công nghiệp</t>
        </is>
      </c>
      <c r="K2282" s="10" t="inlineStr">
        <is>
          <t>2 - 5 Năm</t>
        </is>
      </c>
      <c r="L2282" s="11">
        <f>HYPERLINK("https://careerviet.vn/vi/tim-viec-lam/engineering-manager.35C6B451.html","Xem chi tiết")</f>
        <v/>
      </c>
      <c r="M2282" s="10" t="n"/>
    </row>
    <row r="2283">
      <c r="B2283" s="7" t="n">
        <v>2281</v>
      </c>
      <c r="C2283" t="inlineStr">
        <is>
          <t>TRƯỞNG NHÓM TUYỂN DỤNG (MASS)</t>
        </is>
      </c>
      <c r="D2283" t="inlineStr">
        <is>
          <t>J&amp;T Express</t>
        </is>
      </c>
      <c r="E2283" t="inlineStr">
        <is>
          <t>Lương:Cạnh tranh</t>
        </is>
      </c>
      <c r="F2283" t="inlineStr">
        <is>
          <t>Nghệ An</t>
        </is>
      </c>
      <c r="G2283" t="inlineStr">
        <is>
          <t>30-04-2026</t>
        </is>
      </c>
      <c r="H2283" t="inlineStr">
        <is>
          <t>30/04/2026</t>
        </is>
      </c>
      <c r="I2283" t="inlineStr">
        <is>
          <t>17/03/2026</t>
        </is>
      </c>
      <c r="J2283" t="inlineStr">
        <is>
          <t>Vận chuyển / Giao nhận / Kho vận, Nhân sự, Hành chính / Thư ký</t>
        </is>
      </c>
      <c r="K2283" t="inlineStr">
        <is>
          <t>2 - 5 Năm</t>
        </is>
      </c>
      <c r="L2283" s="8">
        <f>HYPERLINK("https://careerviet.vn/vi/tim-viec-lam/truong-nhom-tuyen-dung-mass.35C6B44C.html","Xem chi tiết")</f>
        <v/>
      </c>
    </row>
    <row r="2284">
      <c r="B2284" s="9" t="n">
        <v>2282</v>
      </c>
      <c r="C2284" s="10" t="inlineStr">
        <is>
          <t>Chuyên viên nhân sự tuyển dụng</t>
        </is>
      </c>
      <c r="D2284" s="10" t="inlineStr">
        <is>
          <t>Công ty TNHH  May Oasis</t>
        </is>
      </c>
      <c r="E2284" s="10" t="inlineStr">
        <is>
          <t>Lương:12 Tr - 15 Tr VND</t>
        </is>
      </c>
      <c r="F2284" s="10" t="inlineStr">
        <is>
          <t>Hồ Chí Minh</t>
        </is>
      </c>
      <c r="G2284" s="10" t="inlineStr">
        <is>
          <t>12-03-2026</t>
        </is>
      </c>
      <c r="H2284" s="10" t="inlineStr">
        <is>
          <t>06/03/2026</t>
        </is>
      </c>
      <c r="I2284" s="10" t="inlineStr">
        <is>
          <t>17/03/2026</t>
        </is>
      </c>
      <c r="J2284" s="10" t="inlineStr">
        <is>
          <t>Nhân sự, Hành chính / Thư ký, Dệt may / Da giày / Thời trang</t>
        </is>
      </c>
      <c r="K2284" s="10" t="inlineStr">
        <is>
          <t>3 - 5 Năm</t>
        </is>
      </c>
      <c r="L2284" s="11">
        <f>HYPERLINK("https://careerviet.vn/vi/tim-viec-lam/chuyen-vien-nhan-su-tuyen-dung.35C6B418.html","Xem chi tiết")</f>
        <v/>
      </c>
      <c r="M2284" s="10" t="n"/>
    </row>
    <row r="2285">
      <c r="B2285" s="7" t="n">
        <v>2283</v>
      </c>
      <c r="C2285" t="inlineStr">
        <is>
          <t>Giám Sát Sản Xuất/ Production Supervisor</t>
        </is>
      </c>
      <c r="D2285" t="inlineStr">
        <is>
          <t>BETRIMEX - Công Ty Cổ Phần Xuất Nhập Khẩu Bến Tre</t>
        </is>
      </c>
      <c r="E2285" t="inlineStr">
        <is>
          <t>Lương:Cạnh tranh</t>
        </is>
      </c>
      <c r="F2285" t="inlineStr">
        <is>
          <t>Bến Tre</t>
        </is>
      </c>
      <c r="G2285" t="inlineStr">
        <is>
          <t>05-04-2026</t>
        </is>
      </c>
      <c r="H2285" t="inlineStr">
        <is>
          <t>05/04/2026</t>
        </is>
      </c>
      <c r="I2285" t="inlineStr">
        <is>
          <t>17/03/2026</t>
        </is>
      </c>
      <c r="J2285" t="inlineStr">
        <is>
          <t>Quản lý điều hành, Sản xuất / Vận hành sản xuất</t>
        </is>
      </c>
      <c r="K2285" t="inlineStr">
        <is>
          <t>N/A</t>
        </is>
      </c>
      <c r="L2285" s="8">
        <f>HYPERLINK("https://careerviet.vn/vi/tim-viec-lam/giam-sat-san-xuat-production-supervisor.35C6B3D5.html","Xem chi tiết")</f>
        <v/>
      </c>
    </row>
    <row r="2286">
      <c r="B2286" s="9" t="n">
        <v>2284</v>
      </c>
      <c r="C2286" s="10" t="inlineStr">
        <is>
          <t>Chuyên viên Pháp lý tố tụng</t>
        </is>
      </c>
      <c r="D2286" s="10" t="inlineStr">
        <is>
          <t>TẬP ĐOÀN NAMGROUP</t>
        </is>
      </c>
      <c r="E2286" s="10" t="inlineStr">
        <is>
          <t>Lương:Cạnh tranh</t>
        </is>
      </c>
      <c r="F2286" s="10" t="inlineStr">
        <is>
          <t>Hồ Chí Minh</t>
        </is>
      </c>
      <c r="G2286" s="10" t="inlineStr">
        <is>
          <t>30-04-2026</t>
        </is>
      </c>
      <c r="H2286" s="10" t="inlineStr">
        <is>
          <t>30/04/2026</t>
        </is>
      </c>
      <c r="I2286" s="10" t="inlineStr">
        <is>
          <t>17/03/2026</t>
        </is>
      </c>
      <c r="J2286" s="10" t="inlineStr">
        <is>
          <t>Luật / Pháp lý</t>
        </is>
      </c>
      <c r="K2286" s="10" t="inlineStr">
        <is>
          <t>Chưa có kinh nghiệm</t>
        </is>
      </c>
      <c r="L2286" s="11">
        <f>HYPERLINK("https://careerviet.vn/vi/tim-viec-lam/chuyen-vien-phap-ly-to-tung.35C6B3D7.html","Xem chi tiết")</f>
        <v/>
      </c>
      <c r="M2286" s="10" t="n"/>
    </row>
    <row r="2287">
      <c r="B2287" s="7" t="n">
        <v>2285</v>
      </c>
      <c r="C2287" t="inlineStr">
        <is>
          <t>Nhân Viên Kinh Doanh Kỹ Thuật</t>
        </is>
      </c>
      <c r="D2287" t="inlineStr">
        <is>
          <t>Công Ty TNHH Xuất Nhập Khẩu Thái Châu</t>
        </is>
      </c>
      <c r="E2287" t="inlineStr">
        <is>
          <t>Lương:Cạnh tranh</t>
        </is>
      </c>
      <c r="F2287" t="inlineStr">
        <is>
          <t>Hồ Chí Minh</t>
        </is>
      </c>
      <c r="G2287" t="inlineStr">
        <is>
          <t>06-04-2026</t>
        </is>
      </c>
      <c r="H2287" t="inlineStr">
        <is>
          <t>06/04/2026</t>
        </is>
      </c>
      <c r="I2287" t="inlineStr">
        <is>
          <t>17/03/2026</t>
        </is>
      </c>
      <c r="J2287" t="inlineStr">
        <is>
          <t>Bán hàng / Kinh doanh, Xây dựng, Bán Hàng Kỹ Thuật</t>
        </is>
      </c>
      <c r="K2287" t="inlineStr">
        <is>
          <t>N/A</t>
        </is>
      </c>
      <c r="L2287" s="8">
        <f>HYPERLINK("https://careerviet.vn/vi/tim-viec-lam/nhan-vien-kinh-doanh-ky-thuat.35C6B396.html","Xem chi tiết")</f>
        <v/>
      </c>
    </row>
    <row r="2288">
      <c r="B2288" s="9" t="n">
        <v>2286</v>
      </c>
      <c r="C2288" s="10" t="inlineStr">
        <is>
          <t>Nhân viên kỹ thuật</t>
        </is>
      </c>
      <c r="D2288" s="10" t="inlineStr">
        <is>
          <t>Công ty Cổ phần Sữa VitaDairy Việt Nam</t>
        </is>
      </c>
      <c r="E2288" s="10" t="inlineStr">
        <is>
          <t>Lương:9 Tr - 12 Tr VND</t>
        </is>
      </c>
      <c r="F2288" s="10" t="inlineStr">
        <is>
          <t>Bình Dương</t>
        </is>
      </c>
      <c r="G2288" s="10" t="inlineStr">
        <is>
          <t>31-03-2026</t>
        </is>
      </c>
      <c r="H2288" s="10" t="inlineStr">
        <is>
          <t>31/03/2026</t>
        </is>
      </c>
      <c r="I2288" s="10" t="inlineStr">
        <is>
          <t>17/03/2026</t>
        </is>
      </c>
      <c r="J2288" s="10" t="inlineStr">
        <is>
          <t>Cơ khí / Ô tô / Tự động hóa</t>
        </is>
      </c>
      <c r="K2288" s="10" t="inlineStr">
        <is>
          <t>Chưa có kinh nghiệm</t>
        </is>
      </c>
      <c r="L2288" s="11">
        <f>HYPERLINK("https://careerviet.vn/vi/tim-viec-lam/nhan-vien-ky-thuat.35C6B3C3.html","Xem chi tiết")</f>
        <v/>
      </c>
      <c r="M2288" s="10" t="n"/>
    </row>
    <row r="2289">
      <c r="B2289" s="7" t="n">
        <v>2287</v>
      </c>
      <c r="C2289" t="inlineStr">
        <is>
          <t>Nhân Viên Phát Triển Thị Trường</t>
        </is>
      </c>
      <c r="D2289" t="inlineStr">
        <is>
          <t>Công Ty TNHH Xuất Nhập Khẩu Thái Châu</t>
        </is>
      </c>
      <c r="E2289" t="inlineStr">
        <is>
          <t>Lương:Cạnh tranh</t>
        </is>
      </c>
      <c r="F2289" t="inlineStr">
        <is>
          <t>Hồ Chí Minh</t>
        </is>
      </c>
      <c r="G2289" t="inlineStr">
        <is>
          <t>06-04-2026</t>
        </is>
      </c>
      <c r="H2289" t="inlineStr">
        <is>
          <t>06/04/2026</t>
        </is>
      </c>
      <c r="I2289" t="inlineStr">
        <is>
          <t>17/03/2026</t>
        </is>
      </c>
      <c r="J2289" t="inlineStr">
        <is>
          <t>Tư vấn, Bán lẻ / Bán sỉ, Bán hàng / Kinh doanh</t>
        </is>
      </c>
      <c r="K2289" t="inlineStr">
        <is>
          <t>Trên 5 Năm</t>
        </is>
      </c>
      <c r="L2289" s="8">
        <f>HYPERLINK("https://careerviet.vn/vi/tim-viec-lam/nhan-vien-phat-trien-thi-truong.35C6B38B.html","Xem chi tiết")</f>
        <v/>
      </c>
    </row>
    <row r="2290">
      <c r="B2290" s="9" t="n">
        <v>2288</v>
      </c>
      <c r="C2290" s="10" t="inlineStr">
        <is>
          <t>Nhân Viên Kinh Doanh - Đà Nẵng</t>
        </is>
      </c>
      <c r="D2290" s="10" t="inlineStr">
        <is>
          <t>CT CP Tập Đoàn Thái Tuấn</t>
        </is>
      </c>
      <c r="E2290" s="10" t="inlineStr">
        <is>
          <t>Lương:10 Tr - 12 Tr VND</t>
        </is>
      </c>
      <c r="F2290" s="10" t="inlineStr">
        <is>
          <t>Đà Nẵng</t>
        </is>
      </c>
      <c r="G2290" s="10" t="inlineStr">
        <is>
          <t>05-04-2026</t>
        </is>
      </c>
      <c r="H2290" s="10" t="inlineStr">
        <is>
          <t>05/04/2026</t>
        </is>
      </c>
      <c r="I2290" s="10" t="inlineStr">
        <is>
          <t>17/03/2026</t>
        </is>
      </c>
      <c r="J2290" s="10" t="inlineStr">
        <is>
          <t>Bán hàng / Kinh doanh, Bán lẻ / Bán sỉ, Dệt may / Da giày / Thời trang</t>
        </is>
      </c>
      <c r="K2290" s="10" t="inlineStr">
        <is>
          <t>Không yêu cầu kinh nghiệm</t>
        </is>
      </c>
      <c r="L2290" s="11">
        <f>HYPERLINK("https://careerviet.vn/vi/tim-viec-lam/nhan-vien-kinh-doanh-da-nang.35C6B3D6.html","Xem chi tiết")</f>
        <v/>
      </c>
      <c r="M2290" s="10" t="n"/>
    </row>
    <row r="2291">
      <c r="B2291" s="7" t="n">
        <v>2289</v>
      </c>
      <c r="C2291" t="inlineStr">
        <is>
          <t>CHIEF ACCOUNTANT (LONG THANH)</t>
        </is>
      </c>
      <c r="D2291" t="inlineStr">
        <is>
          <t>Công ty TNHH Olam Việt Nam</t>
        </is>
      </c>
      <c r="E2291" t="inlineStr">
        <is>
          <t>Lương:Cạnh tranh</t>
        </is>
      </c>
      <c r="F2291" t="inlineStr">
        <is>
          <t>Đồng Nai</t>
        </is>
      </c>
      <c r="G2291" t="inlineStr">
        <is>
          <t>04-04-2026</t>
        </is>
      </c>
      <c r="H2291" t="inlineStr">
        <is>
          <t>04/04/2026</t>
        </is>
      </c>
      <c r="I2291" t="inlineStr">
        <is>
          <t>17/03/2026</t>
        </is>
      </c>
      <c r="J2291" t="inlineStr">
        <is>
          <t>Kế toán / Kiểm toán, Tài chính / Đầu tư, Thực phẩm &amp; Đồ uống</t>
        </is>
      </c>
      <c r="K2291" t="inlineStr">
        <is>
          <t>5 - 10 Năm</t>
        </is>
      </c>
      <c r="L2291" s="8">
        <f>HYPERLINK("https://careerviet.vn/vi/tim-viec-lam/chief-accountant-long-thanh.35C6B333.html","Xem chi tiết")</f>
        <v/>
      </c>
    </row>
    <row r="2292">
      <c r="B2292" s="9" t="n">
        <v>2290</v>
      </c>
      <c r="C2292" s="10" t="inlineStr">
        <is>
          <t>HR ADMIN</t>
        </is>
      </c>
      <c r="D2292" s="10" t="inlineStr">
        <is>
          <t>CÔNG TY CỔ PHẦN GENTA THỤY SĨ</t>
        </is>
      </c>
      <c r="E2292" s="10" t="inlineStr">
        <is>
          <t>Lương:9 Tr - 12 Tr VND</t>
        </is>
      </c>
      <c r="F2292" s="10" t="inlineStr">
        <is>
          <t>Long An</t>
        </is>
      </c>
      <c r="G2292" s="10" t="inlineStr">
        <is>
          <t>02-04-2026</t>
        </is>
      </c>
      <c r="H2292" s="10" t="inlineStr">
        <is>
          <t>02/04/2026</t>
        </is>
      </c>
      <c r="I2292" s="10" t="inlineStr">
        <is>
          <t>17/03/2026</t>
        </is>
      </c>
      <c r="J2292" s="10" t="inlineStr">
        <is>
          <t>Sản xuất / Vận hành sản xuất, Hành chính / Thư ký</t>
        </is>
      </c>
      <c r="K2292" s="10" t="inlineStr">
        <is>
          <t>1 - 2 Năm</t>
        </is>
      </c>
      <c r="L2292" s="11">
        <f>HYPERLINK("https://careerviet.vn/vi/tim-viec-lam/hr-admin.35C6B3E8.html","Xem chi tiết")</f>
        <v/>
      </c>
      <c r="M2292" s="10" t="n"/>
    </row>
    <row r="2293">
      <c r="B2293" s="7" t="n">
        <v>2291</v>
      </c>
      <c r="C2293" t="inlineStr">
        <is>
          <t>Presales Engineer</t>
        </is>
      </c>
      <c r="D2293" t="inlineStr">
        <is>
          <t>Công Ty TNHH TM DV Eternal Asia Việt Nam</t>
        </is>
      </c>
      <c r="E2293" t="inlineStr">
        <is>
          <t>Lương:Cạnh tranh</t>
        </is>
      </c>
      <c r="F2293" t="inlineStr">
        <is>
          <t>Hồ Chí Minh</t>
        </is>
      </c>
      <c r="G2293" t="inlineStr">
        <is>
          <t>05-04-2026</t>
        </is>
      </c>
      <c r="H2293" t="inlineStr">
        <is>
          <t>05/04/2026</t>
        </is>
      </c>
      <c r="I2293" t="inlineStr">
        <is>
          <t>17/03/2026</t>
        </is>
      </c>
      <c r="J2293" t="inlineStr">
        <is>
          <t>Bán hàng / Kinh doanh, Bán Hàng Kỹ Thuật, CNTT - Phần cứng / Mạng</t>
        </is>
      </c>
      <c r="K2293" t="inlineStr">
        <is>
          <t>Trên 2 Năm</t>
        </is>
      </c>
      <c r="L2293" s="8">
        <f>HYPERLINK("https://careerviet.vn/vi/tim-viec-lam/presales-engineer.35C6B2DC.html","Xem chi tiết")</f>
        <v/>
      </c>
    </row>
    <row r="2294">
      <c r="B2294" s="9" t="n">
        <v>2292</v>
      </c>
      <c r="C2294" s="10" t="inlineStr">
        <is>
          <t>Nhân viên bảo trì</t>
        </is>
      </c>
      <c r="D2294" s="10" t="inlineStr">
        <is>
          <t>CÔNG TY TNHH THANG MÁY TOSHIBA VIỆT NAM</t>
        </is>
      </c>
      <c r="E2294" s="10" t="inlineStr">
        <is>
          <t>Lương:9 Tr - 12 Tr VND</t>
        </is>
      </c>
      <c r="F2294" s="10" t="inlineStr">
        <is>
          <t>Hà Nội</t>
        </is>
      </c>
      <c r="G2294" s="10" t="inlineStr">
        <is>
          <t>05-04-2026</t>
        </is>
      </c>
      <c r="H2294" s="10" t="inlineStr">
        <is>
          <t>05/04/2026</t>
        </is>
      </c>
      <c r="I2294" s="10" t="inlineStr">
        <is>
          <t>17/03/2026</t>
        </is>
      </c>
      <c r="J2294" s="10" t="inlineStr">
        <is>
          <t>Bảo trì / Sửa chữa, Điện / Điện tử / Điện lạnh / Điện công nghiệp, Cơ khí / Ô tô / Tự động hóa</t>
        </is>
      </c>
      <c r="K2294" s="10" t="inlineStr">
        <is>
          <t>N/A</t>
        </is>
      </c>
      <c r="L2294" s="11">
        <f>HYPERLINK("https://careerviet.vn/vi/tim-viec-lam/nhan-vien-bao-tri.35C6B324.html","Xem chi tiết")</f>
        <v/>
      </c>
      <c r="M2294" s="10" t="n"/>
    </row>
    <row r="2295">
      <c r="B2295" s="7" t="n">
        <v>2293</v>
      </c>
      <c r="C2295" t="inlineStr">
        <is>
          <t>Trình Dược Viên (Kênh Bệnh Viện ETC) - Ngành Hàng Dược Phẩm - Hà Nội / Hồ Chí Minh</t>
        </is>
      </c>
      <c r="D2295" t="inlineStr">
        <is>
          <t>Abbott</t>
        </is>
      </c>
      <c r="E2295" t="inlineStr">
        <is>
          <t>Lương:Cạnh tranh</t>
        </is>
      </c>
      <c r="F2295" t="inlineStr">
        <is>
          <t>Hà NộiHồ Chí Minh</t>
        </is>
      </c>
      <c r="G2295" t="inlineStr">
        <is>
          <t>31-03-2026</t>
        </is>
      </c>
      <c r="H2295" t="inlineStr">
        <is>
          <t>31/03/2026</t>
        </is>
      </c>
      <c r="I2295" t="inlineStr">
        <is>
          <t>17/03/2026</t>
        </is>
      </c>
      <c r="J2295" t="inlineStr">
        <is>
          <t>Bán hàng / Kinh doanh</t>
        </is>
      </c>
      <c r="K2295" t="inlineStr">
        <is>
          <t>Chưa có kinh nghiệm</t>
        </is>
      </c>
      <c r="L2295" s="8">
        <f>HYPERLINK("https://careerviet.vn/vi/tim-viec-lam/trinh-duoc-vien-kenh-benh-vien-etc-nganh-hang-duoc-pham-ha-noi-ho-chi-minh.35C6B34E.html","Xem chi tiết")</f>
        <v/>
      </c>
    </row>
    <row r="2296">
      <c r="B2296" s="9" t="n">
        <v>2294</v>
      </c>
      <c r="C2296" s="10" t="inlineStr">
        <is>
          <t>Chuyên viên Cải tiến quy trình - Trung tâm vận hành tối ưu - Khối Vận hành</t>
        </is>
      </c>
      <c r="D2296" s="10" t="inlineStr">
        <is>
          <t>Ngân hàng TMCP Đại Chúng Việt Nam - PVcomBank</t>
        </is>
      </c>
      <c r="E2296" s="10" t="inlineStr">
        <is>
          <t>Lương:Cạnh tranh</t>
        </is>
      </c>
      <c r="F2296" s="10" t="inlineStr">
        <is>
          <t>Hà Nội</t>
        </is>
      </c>
      <c r="G2296" s="10" t="inlineStr">
        <is>
          <t>12-03-2026</t>
        </is>
      </c>
      <c r="H2296" s="10" t="inlineStr">
        <is>
          <t>05/03/2026</t>
        </is>
      </c>
      <c r="I2296" s="10" t="inlineStr">
        <is>
          <t>17/03/2026</t>
        </is>
      </c>
      <c r="J2296" s="10" t="inlineStr">
        <is>
          <t>Ngân hàng, Tài chính / Đầu tư</t>
        </is>
      </c>
      <c r="K2296" s="10" t="inlineStr">
        <is>
          <t>1 - 5 Năm</t>
        </is>
      </c>
      <c r="L2296" s="11">
        <f>HYPERLINK("https://careerviet.vn/vi/tim-viec-lam/chuyen-vien-cai-tien-quy-trinh-trung-tam-van-hanh-toi-uu-khoi-van-hanh.35C6B56E.html","Xem chi tiết")</f>
        <v/>
      </c>
      <c r="M2296" s="10" t="n"/>
    </row>
    <row r="2297">
      <c r="B2297" s="7" t="n">
        <v>2295</v>
      </c>
      <c r="C2297" t="inlineStr">
        <is>
          <t>Giáo Viên IELTS 7.5+ Part Tối tại Hải Dương (Upto 35tr/tháng, Có hỗ trợ đi lại upto 3tr, Thưởng Signing Bonus Upto 4tr)</t>
        </is>
      </c>
      <c r="D2297" t="inlineStr">
        <is>
          <t>CÔNG TY CỔ PHẦN TƯ VẤN ĐÁNH GIÁ VÀ PHÁT TRIỂN GIÁO DỤC EDUTALK</t>
        </is>
      </c>
      <c r="E2297" t="inlineStr">
        <is>
          <t>Lương:15 Tr - 35 Tr VND</t>
        </is>
      </c>
      <c r="F2297" t="inlineStr">
        <is>
          <t>Hải Dương</t>
        </is>
      </c>
      <c r="G2297" t="inlineStr">
        <is>
          <t>31-03-2026</t>
        </is>
      </c>
      <c r="H2297" t="inlineStr">
        <is>
          <t>31/03/2026</t>
        </is>
      </c>
      <c r="I2297" t="inlineStr">
        <is>
          <t>17/03/2026</t>
        </is>
      </c>
      <c r="J2297" t="inlineStr">
        <is>
          <t>Giáo dục / Đào tạo</t>
        </is>
      </c>
      <c r="K2297" t="inlineStr">
        <is>
          <t>1 - 2 Năm</t>
        </is>
      </c>
      <c r="L2297" s="8">
        <f>HYPERLINK("https://careerviet.vn/vi/tim-viec-lam/giao-vien-ielts-7-5-part-toi-tai-hai-duong-upto-35tr-thang-co-ho-tro-di-lai-upto-3tr-thuong-signing-bonus-upto-4tr.35C6B576.html","Xem chi tiết")</f>
        <v/>
      </c>
    </row>
    <row r="2298">
      <c r="B2298" s="9" t="n">
        <v>2296</v>
      </c>
      <c r="C2298" s="10" t="inlineStr">
        <is>
          <t>Telesales /Telemarketing Executive</t>
        </is>
      </c>
      <c r="D2298" s="10" t="inlineStr">
        <is>
          <t>UrBox - Công ty Cổ phần Tiếp Thị Số Tô Quà</t>
        </is>
      </c>
      <c r="E2298" s="10" t="inlineStr">
        <is>
          <t>Lương:Cạnh tranh</t>
        </is>
      </c>
      <c r="F2298" s="10" t="inlineStr">
        <is>
          <t>Hồ Chí Minh</t>
        </is>
      </c>
      <c r="G2298" s="10" t="inlineStr">
        <is>
          <t>10-04-2026</t>
        </is>
      </c>
      <c r="H2298" s="10" t="inlineStr">
        <is>
          <t>10/04/2026</t>
        </is>
      </c>
      <c r="I2298" s="10" t="inlineStr">
        <is>
          <t>17/03/2026</t>
        </is>
      </c>
      <c r="J2298" s="10" t="inlineStr">
        <is>
          <t>Tiếp thị / Marketing, Bán hàng / Kinh doanh, Tiếp thị trực tuyến</t>
        </is>
      </c>
      <c r="K2298" s="10" t="inlineStr">
        <is>
          <t>1 - 3 Năm</t>
        </is>
      </c>
      <c r="L2298" s="11">
        <f>HYPERLINK("https://careerviet.vn/vi/tim-viec-lam/telesales-telemarketing-executive.35C6B39E.html","Xem chi tiết")</f>
        <v/>
      </c>
      <c r="M2298" s="10" t="n"/>
    </row>
    <row r="2299">
      <c r="B2299" s="7" t="n">
        <v>2297</v>
      </c>
      <c r="C2299" t="inlineStr">
        <is>
          <t>[CN Tây Nghệ An] Chuyên viên Hỗ trợ Vận hành (phân công công việc HTVH thuộc Hub TSBĐ)</t>
        </is>
      </c>
      <c r="D2299" t="inlineStr">
        <is>
          <t>Ngân hàng TMCP Lộc Phát Việt Nam (LPBank)</t>
        </is>
      </c>
      <c r="E2299" t="inlineStr">
        <is>
          <t>Lương:Cạnh tranh</t>
        </is>
      </c>
      <c r="F2299" t="inlineStr">
        <is>
          <t>Nghệ An</t>
        </is>
      </c>
      <c r="G2299" t="inlineStr">
        <is>
          <t>03-04-2026</t>
        </is>
      </c>
      <c r="H2299" t="inlineStr">
        <is>
          <t>03/04/2026</t>
        </is>
      </c>
      <c r="I2299" t="inlineStr">
        <is>
          <t>17/03/2026</t>
        </is>
      </c>
      <c r="J2299" t="inlineStr">
        <is>
          <t>Ngân hàng</t>
        </is>
      </c>
      <c r="K2299" t="inlineStr">
        <is>
          <t>Trên 1 Năm</t>
        </is>
      </c>
      <c r="L2299" s="8">
        <f>HYPERLINK("https://careerviet.vn/vi/tim-viec-lam/cn-tay-nghe-an-chuyen-vien-ho-tro-van-hanh-phan-cong-cong-viec-htvh-thuoc-hub-tsbd.35C6B382.html","Xem chi tiết")</f>
        <v/>
      </c>
    </row>
    <row r="2300">
      <c r="B2300" s="9" t="n">
        <v>2298</v>
      </c>
      <c r="C2300" s="10" t="inlineStr">
        <is>
          <t>Phó phòng Kế toán quản trị</t>
        </is>
      </c>
      <c r="D2300" s="10" t="inlineStr">
        <is>
          <t>CÔNG TY CP TẬP ĐOÀN VAS NGHI SƠN</t>
        </is>
      </c>
      <c r="E2300" s="10" t="inlineStr">
        <is>
          <t>Lương:Cạnh tranh</t>
        </is>
      </c>
      <c r="F2300" s="10" t="inlineStr">
        <is>
          <t>Hồ Chí Minh</t>
        </is>
      </c>
      <c r="G2300" s="10" t="inlineStr">
        <is>
          <t>06-04-2026</t>
        </is>
      </c>
      <c r="H2300" s="10" t="inlineStr">
        <is>
          <t>06/04/2026</t>
        </is>
      </c>
      <c r="I2300" s="10" t="inlineStr">
        <is>
          <t>17/03/2026</t>
        </is>
      </c>
      <c r="J2300" s="10" t="inlineStr">
        <is>
          <t>Kế toán / Kiểm toán, Tài chính / Đầu tư</t>
        </is>
      </c>
      <c r="K2300" s="10" t="inlineStr">
        <is>
          <t>2 - 5 Năm</t>
        </is>
      </c>
      <c r="L2300" s="11">
        <f>HYPERLINK("https://careerviet.vn/vi/tim-viec-lam/pho-phong-ke-toan-quan-tri.35C6B34C.html","Xem chi tiết")</f>
        <v/>
      </c>
      <c r="M2300" s="10" t="n"/>
    </row>
    <row r="2301">
      <c r="B2301" s="7" t="n">
        <v>2299</v>
      </c>
      <c r="C2301" t="inlineStr">
        <is>
          <t>Quantity Surveyors (MEP, C&amp;S)</t>
        </is>
      </c>
      <c r="D2301" t="inlineStr">
        <is>
          <t>CÔNG TY TNHH BK VIỆT NAM</t>
        </is>
      </c>
      <c r="E2301" t="inlineStr">
        <is>
          <t>Lương:Cạnh tranh</t>
        </is>
      </c>
      <c r="F2301" t="inlineStr">
        <is>
          <t>Hồ Chí Minh</t>
        </is>
      </c>
      <c r="G2301" t="inlineStr">
        <is>
          <t>04-04-2026</t>
        </is>
      </c>
      <c r="H2301" t="inlineStr">
        <is>
          <t>04/04/2026</t>
        </is>
      </c>
      <c r="I2301" t="inlineStr">
        <is>
          <t>17/03/2026</t>
        </is>
      </c>
      <c r="J2301" t="inlineStr">
        <is>
          <t>Xây dựng, Bất động sản</t>
        </is>
      </c>
      <c r="K2301" t="inlineStr">
        <is>
          <t>3 - 5 Năm</t>
        </is>
      </c>
      <c r="L2301" s="8">
        <f>HYPERLINK("https://careerviet.vn/vi/tim-viec-lam/quantity-surveyors-mep-c-s.35C6B178.html","Xem chi tiết")</f>
        <v/>
      </c>
    </row>
    <row r="2302">
      <c r="B2302" s="9" t="n">
        <v>2300</v>
      </c>
      <c r="C2302" s="10" t="inlineStr">
        <is>
          <t>Nhân viên Tuyển dụng (nam)</t>
        </is>
      </c>
      <c r="D2302" s="10" t="inlineStr">
        <is>
          <t>CÔNG TY TNHH MỘT THÀNH VIÊN VẬN TẢI VÀ DU LỊCH JAC</t>
        </is>
      </c>
      <c r="E2302" s="10" t="inlineStr">
        <is>
          <t>Lương:Cạnh tranh</t>
        </is>
      </c>
      <c r="F2302" s="10" t="inlineStr">
        <is>
          <t>Hà Nội</t>
        </is>
      </c>
      <c r="G2302" s="10" t="inlineStr">
        <is>
          <t>15-04-2026</t>
        </is>
      </c>
      <c r="H2302" s="10" t="inlineStr">
        <is>
          <t>15/04/2026</t>
        </is>
      </c>
      <c r="I2302" s="10" t="inlineStr">
        <is>
          <t>17/03/2026</t>
        </is>
      </c>
      <c r="J2302" s="10" t="inlineStr">
        <is>
          <t>Nhân sự, Mới tốt nghiệp / Thực tập, Hành chính / Thư ký</t>
        </is>
      </c>
      <c r="K2302" s="10" t="inlineStr">
        <is>
          <t>Trên 1 Năm</t>
        </is>
      </c>
      <c r="L2302" s="11">
        <f>HYPERLINK("https://careerviet.vn/vi/tim-viec-lam/nhan-vien-tuyen-dung-nam.35C6B552.html","Xem chi tiết")</f>
        <v/>
      </c>
      <c r="M2302" s="10" t="n"/>
    </row>
    <row r="2303">
      <c r="B2303" s="7" t="n">
        <v>2301</v>
      </c>
      <c r="C2303" t="inlineStr">
        <is>
          <t>Chuyên viên Kỹ thuật Dự án</t>
        </is>
      </c>
      <c r="D2303" t="inlineStr">
        <is>
          <t>Saint-Gobain Vietnam</t>
        </is>
      </c>
      <c r="E2303" t="inlineStr">
        <is>
          <t>Lương:Cạnh tranh</t>
        </is>
      </c>
      <c r="F2303" t="inlineStr">
        <is>
          <t>Hà Nội</t>
        </is>
      </c>
      <c r="G2303" t="inlineStr">
        <is>
          <t>10-04-2026</t>
        </is>
      </c>
      <c r="H2303" t="inlineStr">
        <is>
          <t>10/04/2026</t>
        </is>
      </c>
      <c r="I2303" t="inlineStr">
        <is>
          <t>17/03/2026</t>
        </is>
      </c>
      <c r="J2303" t="inlineStr">
        <is>
          <t>Bán Hàng Kỹ Thuật</t>
        </is>
      </c>
      <c r="K2303" t="inlineStr">
        <is>
          <t>3 - 4 Năm</t>
        </is>
      </c>
      <c r="L2303" s="8">
        <f>HYPERLINK("https://careerviet.vn/vi/tim-viec-lam/chuyen-vien-ky-thuat-du-an.35C6B39A.html","Xem chi tiết")</f>
        <v/>
      </c>
    </row>
    <row r="2304">
      <c r="B2304" s="9" t="n">
        <v>2302</v>
      </c>
      <c r="C2304" s="10" t="inlineStr">
        <is>
          <t>Accountant Supervisor (làm việc tại Tây Ninh)</t>
        </is>
      </c>
      <c r="D2304" s="10" t="inlineStr">
        <is>
          <t>Công Ty TNHH SML Việt Nam</t>
        </is>
      </c>
      <c r="E2304" s="10" t="inlineStr">
        <is>
          <t>Lương:Cạnh tranh</t>
        </is>
      </c>
      <c r="F2304" s="10" t="inlineStr">
        <is>
          <t>Tây Ninh</t>
        </is>
      </c>
      <c r="G2304" s="10" t="inlineStr">
        <is>
          <t>31-03-2026</t>
        </is>
      </c>
      <c r="H2304" s="10" t="inlineStr">
        <is>
          <t>31/03/2026</t>
        </is>
      </c>
      <c r="I2304" s="10" t="inlineStr">
        <is>
          <t>17/03/2026</t>
        </is>
      </c>
      <c r="J2304" s="10" t="inlineStr">
        <is>
          <t>Kế toán / Kiểm toán, Tài chính / Đầu tư, Dệt may / Da giày / Thời trang</t>
        </is>
      </c>
      <c r="K2304" s="10" t="inlineStr">
        <is>
          <t>5 - 10 Năm</t>
        </is>
      </c>
      <c r="L2304" s="11">
        <f>HYPERLINK("https://careerviet.vn/vi/tim-viec-lam/accountant-supervisor-lam-viec-tai-tay-ninh.35C6B2C5.html","Xem chi tiết")</f>
        <v/>
      </c>
      <c r="M2304" s="10" t="n"/>
    </row>
    <row r="2305">
      <c r="B2305" s="7" t="n">
        <v>2303</v>
      </c>
      <c r="C2305" t="inlineStr">
        <is>
          <t>Nhân viên HCNS có Tiếng Nhật 27740 - Lương Sơn, Hòa Bình (có xe đưa đón từ HN)</t>
        </is>
      </c>
      <c r="D2305" t="inlineStr">
        <is>
          <t>Công Ty TNHH Reeracoen Việt Nam</t>
        </is>
      </c>
      <c r="E2305" t="inlineStr">
        <is>
          <t>Lương:10 Tr - 20 Tr VND</t>
        </is>
      </c>
      <c r="F2305" t="inlineStr">
        <is>
          <t>Hòa Bình</t>
        </is>
      </c>
      <c r="G2305" t="inlineStr">
        <is>
          <t>06-04-2026</t>
        </is>
      </c>
      <c r="H2305" t="inlineStr">
        <is>
          <t>06/04/2026</t>
        </is>
      </c>
      <c r="I2305" t="inlineStr">
        <is>
          <t>17/03/2026</t>
        </is>
      </c>
      <c r="J2305" t="inlineStr">
        <is>
          <t>Hành chính / Thư ký, Biên phiên dịch</t>
        </is>
      </c>
      <c r="K2305" t="inlineStr">
        <is>
          <t>N/A</t>
        </is>
      </c>
      <c r="L2305" s="8">
        <f>HYPERLINK("https://careerviet.vn/vi/tim-viec-lam/nhan-vien-hcns-co-tieng-nhat-27740-luong-son-hoa-binh-co-xe-dua-don-tu-hn.35C6B504.html","Xem chi tiết")</f>
        <v/>
      </c>
    </row>
    <row r="2306">
      <c r="B2306" s="9" t="n">
        <v>2304</v>
      </c>
      <c r="C2306" s="10" t="inlineStr">
        <is>
          <t>Digital Marketing Presales Specialist - Vietnam Market [Relocation to  Kuala Lumpur]</t>
        </is>
      </c>
      <c r="D2306" s="10" t="inlineStr">
        <is>
          <t>TDCX Malaysia (Teledirect Telecommerce Sdn Bhd)</t>
        </is>
      </c>
      <c r="E2306" s="10" t="inlineStr">
        <is>
          <t>Lương:35 Tr - 45 Tr VND</t>
        </is>
      </c>
      <c r="F2306" s="10" t="inlineStr">
        <is>
          <t>Kuala Lumpur</t>
        </is>
      </c>
      <c r="G2306" s="10" t="inlineStr">
        <is>
          <t>10-04-2026</t>
        </is>
      </c>
      <c r="H2306" s="10" t="inlineStr">
        <is>
          <t>10/04/2026</t>
        </is>
      </c>
      <c r="I2306" s="10" t="inlineStr">
        <is>
          <t>17/03/2026</t>
        </is>
      </c>
      <c r="J2306" s="10" t="inlineStr">
        <is>
          <t>Tiếp thị / Marketing</t>
        </is>
      </c>
      <c r="K2306" s="10" t="inlineStr">
        <is>
          <t>1 - 8 Năm</t>
        </is>
      </c>
      <c r="L2306" s="11">
        <f>HYPERLINK("https://careerviet.vn/vi/tim-viec-lam/digital-marketing-presales-specialist-vietnam-market-relocation-to-kuala-lumpur.35C6B313.html","Xem chi tiết")</f>
        <v/>
      </c>
      <c r="M2306" s="10" t="n"/>
    </row>
    <row r="2307">
      <c r="B2307" s="7" t="n">
        <v>2305</v>
      </c>
      <c r="C2307" t="inlineStr">
        <is>
          <t>[Hà Nội, Hồ Chí Minh]  Kỹ sư Xây dựng dân dụng (Có khả năng đi công tác nước ngoài)</t>
        </is>
      </c>
      <c r="D2307" t="inlineStr">
        <is>
          <t>Tổng Công ty Cổ phần Công trình Viettel</t>
        </is>
      </c>
      <c r="E2307" t="inlineStr">
        <is>
          <t>Lương:20 Tr - 30 Tr VND</t>
        </is>
      </c>
      <c r="F2307" t="inlineStr">
        <is>
          <t>Hà NộiHồ Chí Minh</t>
        </is>
      </c>
      <c r="G2307" t="inlineStr">
        <is>
          <t>30-03-2026</t>
        </is>
      </c>
      <c r="H2307" t="inlineStr">
        <is>
          <t>30/03/2026</t>
        </is>
      </c>
      <c r="I2307" t="inlineStr">
        <is>
          <t>17/03/2026</t>
        </is>
      </c>
      <c r="J2307" t="inlineStr">
        <is>
          <t>Kiến trúc, Xây dựng, Điện / Điện tử / Điện lạnh / Điện công nghiệp</t>
        </is>
      </c>
      <c r="K2307" t="inlineStr">
        <is>
          <t>3 - 5 Năm</t>
        </is>
      </c>
      <c r="L2307" s="8">
        <f>HYPERLINK("https://careerviet.vn/vi/tim-viec-lam/ha-noi-ho-chi-minh-ky-su-xay-dung-dan-dung-co-kha-nang-di-cong-tac-nuoc-ngoai.35C6B3A5.html","Xem chi tiết")</f>
        <v/>
      </c>
    </row>
    <row r="2308">
      <c r="B2308" s="9" t="n">
        <v>2306</v>
      </c>
      <c r="C2308" s="10" t="inlineStr">
        <is>
          <t>Chuyên viên Kế hoạch Sản xuất và kinh doanh</t>
        </is>
      </c>
      <c r="D2308" s="10" t="inlineStr">
        <is>
          <t>Công Ty Cổ Phần Tập Đoàn TH</t>
        </is>
      </c>
      <c r="E2308" s="10" t="inlineStr">
        <is>
          <t>Lương:15 Tr - 20 Tr VND</t>
        </is>
      </c>
      <c r="F2308" s="10" t="inlineStr">
        <is>
          <t>Hà Nội</t>
        </is>
      </c>
      <c r="G2308" s="10" t="inlineStr">
        <is>
          <t>05-04-2026</t>
        </is>
      </c>
      <c r="H2308" s="10" t="inlineStr">
        <is>
          <t>05/04/2026</t>
        </is>
      </c>
      <c r="I2308" s="10" t="inlineStr">
        <is>
          <t>17/03/2026</t>
        </is>
      </c>
      <c r="J2308" s="10" t="inlineStr">
        <is>
          <t>Bán hàng / Kinh doanh</t>
        </is>
      </c>
      <c r="K2308" s="10" t="inlineStr">
        <is>
          <t>2 - 3 Năm</t>
        </is>
      </c>
      <c r="L2308" s="11">
        <f>HYPERLINK("https://careerviet.vn/vi/tim-viec-lam/chuyen-vien-ke-hoach-san-xuat-va-kinh-doanh.35C6B2F4.html","Xem chi tiết")</f>
        <v/>
      </c>
      <c r="M2308" s="10" t="n"/>
    </row>
    <row r="2309">
      <c r="B2309" s="7" t="n">
        <v>2307</v>
      </c>
      <c r="C2309" t="inlineStr">
        <is>
          <t>Nhân viên phối bộ ( nhà máy 1 )</t>
        </is>
      </c>
      <c r="D2309" t="inlineStr">
        <is>
          <t>Công ty TNHH Midea Consumer Electric Vietnam</t>
        </is>
      </c>
      <c r="E2309" t="inlineStr">
        <is>
          <t>Lương:Cạnh tranh</t>
        </is>
      </c>
      <c r="F2309" t="inlineStr">
        <is>
          <t>Bình Dương</t>
        </is>
      </c>
      <c r="G2309" t="inlineStr">
        <is>
          <t>12-03-2026</t>
        </is>
      </c>
      <c r="H2309" t="inlineStr">
        <is>
          <t>06/03/2026</t>
        </is>
      </c>
      <c r="I2309" t="inlineStr">
        <is>
          <t>17/03/2026</t>
        </is>
      </c>
      <c r="J2309" t="inlineStr">
        <is>
          <t>Thu mua / Vật tư</t>
        </is>
      </c>
      <c r="K2309" t="inlineStr">
        <is>
          <t>1 - 2 Năm</t>
        </is>
      </c>
      <c r="L2309" s="8">
        <f>HYPERLINK("https://careerviet.vn/vi/tim-viec-lam/nhan-vien-phoi-bo-nha-may-1.35C6B3DF.html","Xem chi tiết")</f>
        <v/>
      </c>
    </row>
    <row r="2310">
      <c r="B2310" s="9" t="n">
        <v>2308</v>
      </c>
      <c r="C2310" s="10" t="inlineStr">
        <is>
          <t>Expert, Financial Control</t>
        </is>
      </c>
      <c r="D2310" s="10" t="inlineStr">
        <is>
          <t>NGÂN HÀNG TMCP KỸ THƯƠNG VIỆT NAM (TECHCOMBANK)</t>
        </is>
      </c>
      <c r="E2310" s="10" t="inlineStr">
        <is>
          <t>Lương:Cạnh tranh</t>
        </is>
      </c>
      <c r="F2310" s="10" t="inlineStr">
        <is>
          <t>Hà Nội</t>
        </is>
      </c>
      <c r="G2310" s="10" t="inlineStr">
        <is>
          <t>06-04-2026</t>
        </is>
      </c>
      <c r="H2310" s="10" t="inlineStr">
        <is>
          <t>06/04/2026</t>
        </is>
      </c>
      <c r="I2310" s="10" t="inlineStr">
        <is>
          <t>17/03/2026</t>
        </is>
      </c>
      <c r="J2310" s="10" t="inlineStr">
        <is>
          <t>Ngân hàng, Luật / Pháp lý, Tài chính / Đầu tư</t>
        </is>
      </c>
      <c r="K2310" s="10" t="inlineStr">
        <is>
          <t>Trên 7 Năm</t>
        </is>
      </c>
      <c r="L2310" s="11">
        <f>HYPERLINK("https://careerviet.vn/vi/tim-viec-lam/expert-financial-control.35C6B326.html","Xem chi tiết")</f>
        <v/>
      </c>
      <c r="M2310" s="10" t="n"/>
    </row>
    <row r="2311">
      <c r="B2311" s="7" t="n">
        <v>2309</v>
      </c>
      <c r="C2311" t="inlineStr">
        <is>
          <t>[Hà Nội, Hồ Chí Minh]  Kỹ sư Thiết kế &amp; Lắp đặt Hệ thống BESS cho dự án Solar farm, NLMT</t>
        </is>
      </c>
      <c r="D2311" t="inlineStr">
        <is>
          <t>Tổng Công ty Cổ phần Công trình Viettel</t>
        </is>
      </c>
      <c r="E2311" t="inlineStr">
        <is>
          <t>Lương:25 Tr - 35 Tr VND</t>
        </is>
      </c>
      <c r="F2311" t="inlineStr">
        <is>
          <t>Hà NộiHồ Chí Minh</t>
        </is>
      </c>
      <c r="G2311" t="inlineStr">
        <is>
          <t>30-03-2026</t>
        </is>
      </c>
      <c r="H2311" t="inlineStr">
        <is>
          <t>30/03/2026</t>
        </is>
      </c>
      <c r="I2311" t="inlineStr">
        <is>
          <t>17/03/2026</t>
        </is>
      </c>
      <c r="J2311" t="inlineStr">
        <is>
          <t>Mỹ thuật / Nghệ thuật / Thiết kế, Cơ khí / Ô tô / Tự động hóa, Điện / Điện tử / Điện lạnh / Điện công nghiệp</t>
        </is>
      </c>
      <c r="K2311" t="inlineStr">
        <is>
          <t>2 - 5 Năm</t>
        </is>
      </c>
      <c r="L2311" s="8">
        <f>HYPERLINK("https://careerviet.vn/vi/tim-viec-lam/ha-noi-ho-chi-minh-ky-su-thiet-ke-lap-dat-he-thong-bess-cho-du-an-solar-farm-nlmt.35C6B349.html","Xem chi tiết")</f>
        <v/>
      </c>
    </row>
    <row r="2312">
      <c r="B2312" s="9" t="n">
        <v>2310</v>
      </c>
      <c r="C2312" s="10" t="inlineStr">
        <is>
          <t>Nhân viên Sản xuất Video &amp; Hình ảnh</t>
        </is>
      </c>
      <c r="D2312" s="10" t="inlineStr">
        <is>
          <t>CÔNG TY CỔ PHẦN DƯỢC PHẨM FPT LONG CHÂU</t>
        </is>
      </c>
      <c r="E2312" s="10" t="inlineStr">
        <is>
          <t>Lương:Cạnh tranh</t>
        </is>
      </c>
      <c r="F2312" s="10" t="inlineStr">
        <is>
          <t>Hồ Chí Minh</t>
        </is>
      </c>
      <c r="G2312" s="10" t="inlineStr">
        <is>
          <t>15-04-2026</t>
        </is>
      </c>
      <c r="H2312" s="10" t="inlineStr">
        <is>
          <t>15/04/2026</t>
        </is>
      </c>
      <c r="I2312" s="10" t="inlineStr">
        <is>
          <t>17/03/2026</t>
        </is>
      </c>
      <c r="J2312" s="10" t="inlineStr">
        <is>
          <t>Bán lẻ / Bán sỉ, Y tế / Chăm sóc sức khỏe / Thẩm mỹ / Làm đẹp</t>
        </is>
      </c>
      <c r="K2312" s="10" t="inlineStr">
        <is>
          <t>1 - 2 Năm</t>
        </is>
      </c>
      <c r="L2312" s="11">
        <f>HYPERLINK("https://careerviet.vn/vi/tim-viec-lam/nhan-vien-san-xuat-video-hinh-anh.35C6B311.html","Xem chi tiết")</f>
        <v/>
      </c>
      <c r="M2312" s="10" t="n"/>
    </row>
    <row r="2313">
      <c r="B2313" s="7" t="n">
        <v>2311</v>
      </c>
      <c r="C2313" t="inlineStr">
        <is>
          <t>[Hà Nội, Hồ Chí Minh]  Kỹ sư Thiết kế &amp; Giám sát Scada cho dự án Solar Farm</t>
        </is>
      </c>
      <c r="D2313" t="inlineStr">
        <is>
          <t>Tổng Công ty Cổ phần Công trình Viettel</t>
        </is>
      </c>
      <c r="E2313" t="inlineStr">
        <is>
          <t>Lương:20 Tr - 30 Tr VND</t>
        </is>
      </c>
      <c r="F2313" t="inlineStr">
        <is>
          <t>Hà NộiHồ Chí Minh</t>
        </is>
      </c>
      <c r="G2313" t="inlineStr">
        <is>
          <t>30-03-2026</t>
        </is>
      </c>
      <c r="H2313" t="inlineStr">
        <is>
          <t>30/03/2026</t>
        </is>
      </c>
      <c r="I2313" t="inlineStr">
        <is>
          <t>17/03/2026</t>
        </is>
      </c>
      <c r="J2313" t="inlineStr">
        <is>
          <t>Mỹ thuật / Nghệ thuật / Thiết kế, Cơ khí / Ô tô / Tự động hóa, Điện / Điện tử / Điện lạnh / Điện công nghiệp</t>
        </is>
      </c>
      <c r="K2313" t="inlineStr">
        <is>
          <t>2 - 4 Năm</t>
        </is>
      </c>
      <c r="L2313" s="8">
        <f>HYPERLINK("https://careerviet.vn/vi/tim-viec-lam/ha-noi-ho-chi-minh-ky-su-thiet-ke-giam-sat-scada-cho-du-an-solar-farm.35C6B342.html","Xem chi tiết")</f>
        <v/>
      </c>
    </row>
    <row r="2314">
      <c r="B2314" s="9" t="n">
        <v>2312</v>
      </c>
      <c r="C2314" s="10" t="inlineStr">
        <is>
          <t>Sales Manager/ Account Manager</t>
        </is>
      </c>
      <c r="D2314" s="10" t="inlineStr">
        <is>
          <t>OMN1 Solution</t>
        </is>
      </c>
      <c r="E2314" s="10" t="inlineStr">
        <is>
          <t>Lương:Cạnh tranh</t>
        </is>
      </c>
      <c r="F2314" s="10" t="inlineStr">
        <is>
          <t>Hồ Chí Minh</t>
        </is>
      </c>
      <c r="G2314" s="10" t="inlineStr">
        <is>
          <t>06-04-2026</t>
        </is>
      </c>
      <c r="H2314" s="10" t="inlineStr">
        <is>
          <t>06/04/2026</t>
        </is>
      </c>
      <c r="I2314" s="10" t="inlineStr">
        <is>
          <t>17/03/2026</t>
        </is>
      </c>
      <c r="J2314" s="10" t="inlineStr">
        <is>
          <t>Bán hàng / Kinh doanh, CNTT - Phần mềm, CNTT - Phần cứng / Mạng</t>
        </is>
      </c>
      <c r="K2314" s="10" t="inlineStr">
        <is>
          <t>2 - 3 Năm</t>
        </is>
      </c>
      <c r="L2314" s="11">
        <f>HYPERLINK("https://careerviet.vn/vi/tim-viec-lam/sales-manager-account-manager.35C6B526.html","Xem chi tiết")</f>
        <v/>
      </c>
      <c r="M2314" s="10" t="n"/>
    </row>
    <row r="2315">
      <c r="B2315" s="7" t="n">
        <v>2313</v>
      </c>
      <c r="C2315" t="inlineStr">
        <is>
          <t>Kiến Trúc Sư</t>
        </is>
      </c>
      <c r="D2315" t="inlineStr">
        <is>
          <t>Công ty Cổ phần Thiết kế Xây dựng Chính Nam</t>
        </is>
      </c>
      <c r="E2315" t="inlineStr">
        <is>
          <t>Lương:12 Tr - 25 Tr VND</t>
        </is>
      </c>
      <c r="F2315" t="inlineStr">
        <is>
          <t>Đồng Nai</t>
        </is>
      </c>
      <c r="G2315" t="inlineStr">
        <is>
          <t>31-03-2026</t>
        </is>
      </c>
      <c r="H2315" t="inlineStr">
        <is>
          <t>31/03/2026</t>
        </is>
      </c>
      <c r="I2315" t="inlineStr">
        <is>
          <t>17/03/2026</t>
        </is>
      </c>
      <c r="J2315" t="inlineStr">
        <is>
          <t>Kiến trúc, Xây dựng</t>
        </is>
      </c>
      <c r="K2315" t="inlineStr">
        <is>
          <t>2 - 4 Năm</t>
        </is>
      </c>
      <c r="L2315" s="8">
        <f>HYPERLINK("https://careerviet.vn/vi/tim-viec-lam/kien-truc-su.35C6B4E7.html","Xem chi tiết")</f>
        <v/>
      </c>
    </row>
    <row r="2316">
      <c r="B2316" s="9" t="n">
        <v>2314</v>
      </c>
      <c r="C2316" s="10" t="inlineStr">
        <is>
          <t>Martech Expert</t>
        </is>
      </c>
      <c r="D2316" s="10" t="inlineStr">
        <is>
          <t>FE CREDIT</t>
        </is>
      </c>
      <c r="E2316" s="10" t="inlineStr">
        <is>
          <t>Lương:Cạnh tranh</t>
        </is>
      </c>
      <c r="F2316" s="10" t="inlineStr">
        <is>
          <t>Hồ Chí Minh</t>
        </is>
      </c>
      <c r="G2316" s="10" t="inlineStr">
        <is>
          <t>30-04-2026</t>
        </is>
      </c>
      <c r="H2316" s="10" t="inlineStr">
        <is>
          <t>30/04/2026</t>
        </is>
      </c>
      <c r="I2316" s="10" t="inlineStr">
        <is>
          <t>17/03/2026</t>
        </is>
      </c>
      <c r="J2316" s="10" t="inlineStr">
        <is>
          <t>Tiếp thị / Marketing, Tài chính / Đầu tư, Ngân hàng</t>
        </is>
      </c>
      <c r="K2316" s="10" t="inlineStr">
        <is>
          <t>4 - 6 Năm</t>
        </is>
      </c>
      <c r="L2316" s="11">
        <f>HYPERLINK("https://careerviet.vn/vi/tim-viec-lam/martech-expert.35C6B553.html","Xem chi tiết")</f>
        <v/>
      </c>
      <c r="M2316" s="10" t="n"/>
    </row>
    <row r="2317">
      <c r="B2317" s="7" t="n">
        <v>2315</v>
      </c>
      <c r="C2317" t="inlineStr">
        <is>
          <t>CHUYÊN VIÊN KINH DOANH BẤT ĐỘNG SẢN</t>
        </is>
      </c>
      <c r="D2317" t="inlineStr">
        <is>
          <t>CÔNG TY CỔ PHẦN ĐẦU TƯ BẤT ĐỘNG SẢN LÊ VIN LAND</t>
        </is>
      </c>
      <c r="E2317" t="inlineStr">
        <is>
          <t>Lương:5 Tr - 10 Tr VND</t>
        </is>
      </c>
      <c r="F2317" t="inlineStr">
        <is>
          <t>Hồ Chí Minh</t>
        </is>
      </c>
      <c r="G2317" t="inlineStr">
        <is>
          <t>31-03-2026</t>
        </is>
      </c>
      <c r="H2317" t="inlineStr">
        <is>
          <t>31/03/2026</t>
        </is>
      </c>
      <c r="I2317" t="inlineStr">
        <is>
          <t>17/03/2026</t>
        </is>
      </c>
      <c r="J2317" t="inlineStr">
        <is>
          <t>Bán hàng / Kinh doanh, Bất động sản, Tiếp thị / Marketing</t>
        </is>
      </c>
      <c r="K2317" t="inlineStr">
        <is>
          <t>1 - 3 Năm</t>
        </is>
      </c>
      <c r="L2317" s="8">
        <f>HYPERLINK("https://careerviet.vn/vi/tim-viec-lam/chuyen-vien-kinh-doanh-bat-dong-san.35C6B352.html","Xem chi tiết")</f>
        <v/>
      </c>
    </row>
    <row r="2318">
      <c r="B2318" s="9" t="n">
        <v>2316</v>
      </c>
      <c r="C2318" s="10" t="inlineStr">
        <is>
          <t>Sales Deputy Manager (Customer &amp; Sales Operations)</t>
        </is>
      </c>
      <c r="D2318" s="10" t="inlineStr">
        <is>
          <t>CÔNG TY CỔ PHẦN GIẶT ỦI XANH</t>
        </is>
      </c>
      <c r="E2318" s="10" t="inlineStr">
        <is>
          <t>Lương:Cạnh tranh</t>
        </is>
      </c>
      <c r="F2318" s="10" t="inlineStr">
        <is>
          <t>Hồ Chí Minh</t>
        </is>
      </c>
      <c r="G2318" s="10" t="inlineStr">
        <is>
          <t>05-04-2026</t>
        </is>
      </c>
      <c r="H2318" s="10" t="inlineStr">
        <is>
          <t>05/04/2026</t>
        </is>
      </c>
      <c r="I2318" s="10" t="inlineStr">
        <is>
          <t>17/03/2026</t>
        </is>
      </c>
      <c r="J2318" s="10" t="inlineStr">
        <is>
          <t>Tiếp thị / Marketing, Bán hàng / Kinh doanh, Y tế / Chăm sóc sức khỏe / Thẩm mỹ / Làm đẹp</t>
        </is>
      </c>
      <c r="K2318" s="10" t="inlineStr">
        <is>
          <t>Trên 1 Năm</t>
        </is>
      </c>
      <c r="L2318" s="11">
        <f>HYPERLINK("https://careerviet.vn/vi/tim-viec-lam/sales-deputy-manager-customer-sales-operations.35C6B3C0.html","Xem chi tiết")</f>
        <v/>
      </c>
      <c r="M2318" s="10" t="n"/>
    </row>
    <row r="2319">
      <c r="B2319" s="7" t="n">
        <v>2317</v>
      </c>
      <c r="C2319" t="inlineStr">
        <is>
          <t>Sales Representative - Office Furniture [Hà Nội]</t>
        </is>
      </c>
      <c r="D2319" t="inlineStr">
        <is>
          <t>CÔNG TY TNHH SESPRO VIỆT NAM</t>
        </is>
      </c>
      <c r="E2319" t="inlineStr">
        <is>
          <t>Lương:10 Tr - 15 Tr VND</t>
        </is>
      </c>
      <c r="F2319" t="inlineStr">
        <is>
          <t>Hà Nội</t>
        </is>
      </c>
      <c r="G2319" t="inlineStr">
        <is>
          <t>31-03-2026</t>
        </is>
      </c>
      <c r="H2319" t="inlineStr">
        <is>
          <t>31/03/2026</t>
        </is>
      </c>
      <c r="I2319" t="inlineStr">
        <is>
          <t>17/03/2026</t>
        </is>
      </c>
      <c r="J2319" t="inlineStr">
        <is>
          <t>Bán hàng / Kinh doanh, Kiến trúc, Nội ngoại thất</t>
        </is>
      </c>
      <c r="K2319" t="inlineStr">
        <is>
          <t>Trên 1 Năm</t>
        </is>
      </c>
      <c r="L2319" s="8">
        <f>HYPERLINK("https://careerviet.vn/vi/tim-viec-lam/sales-representative-office-furniture-ha-noi.35C6B340.html","Xem chi tiết")</f>
        <v/>
      </c>
    </row>
    <row r="2320">
      <c r="B2320" s="9" t="n">
        <v>2318</v>
      </c>
      <c r="C2320" s="10" t="inlineStr">
        <is>
          <t>Kỹ Sư Kinh Tế Xây Dựng - QS</t>
        </is>
      </c>
      <c r="D2320" s="10" t="inlineStr">
        <is>
          <t>Công ty Cổ phần Thiết kế Xây dựng Chính Nam</t>
        </is>
      </c>
      <c r="E2320" s="10" t="inlineStr">
        <is>
          <t>Lương:12 Tr - 20 Tr VND</t>
        </is>
      </c>
      <c r="F2320" s="10" t="inlineStr">
        <is>
          <t>Đồng Nai</t>
        </is>
      </c>
      <c r="G2320" s="10" t="inlineStr">
        <is>
          <t>31-03-2026</t>
        </is>
      </c>
      <c r="H2320" s="10" t="inlineStr">
        <is>
          <t>31/03/2026</t>
        </is>
      </c>
      <c r="I2320" s="10" t="inlineStr">
        <is>
          <t>17/03/2026</t>
        </is>
      </c>
      <c r="J2320" s="10" t="inlineStr">
        <is>
          <t>Xây dựng, Kiến trúc</t>
        </is>
      </c>
      <c r="K2320" s="10" t="inlineStr">
        <is>
          <t>1 - 2 Năm</t>
        </is>
      </c>
      <c r="L2320" s="11">
        <f>HYPERLINK("https://careerviet.vn/vi/tim-viec-lam/ky-su-kinh-te-xay-dung-qs.35C6B4E5.html","Xem chi tiết")</f>
        <v/>
      </c>
      <c r="M2320" s="10" t="n"/>
    </row>
    <row r="2321">
      <c r="B2321" s="7" t="n">
        <v>2319</v>
      </c>
      <c r="C2321" t="inlineStr">
        <is>
          <t>Chuyên Viên QS</t>
        </is>
      </c>
      <c r="D2321" t="inlineStr">
        <is>
          <t>CÔNG TY CỔ PHẦN ĐẦU TƯ THƯƠNG MẠI TÂY VIÊN HÀ NỘI</t>
        </is>
      </c>
      <c r="E2321" t="inlineStr">
        <is>
          <t>Lương:15 Tr - 25 Tr VND</t>
        </is>
      </c>
      <c r="F2321" t="inlineStr">
        <is>
          <t>Hà Nội</t>
        </is>
      </c>
      <c r="G2321" t="inlineStr">
        <is>
          <t>06-04-2026</t>
        </is>
      </c>
      <c r="H2321" t="inlineStr">
        <is>
          <t>06/04/2026</t>
        </is>
      </c>
      <c r="I2321" t="inlineStr">
        <is>
          <t>17/03/2026</t>
        </is>
      </c>
      <c r="J2321" t="inlineStr">
        <is>
          <t>Xây dựng, Kiến trúc, Quản lý chất lượng (QA/QC)</t>
        </is>
      </c>
      <c r="K2321" t="inlineStr">
        <is>
          <t>N/A</t>
        </is>
      </c>
      <c r="L2321" s="8">
        <f>HYPERLINK("https://careerviet.vn/vi/tim-viec-lam/chuyen-vien-qs.35C6B456.html","Xem chi tiết")</f>
        <v/>
      </c>
    </row>
    <row r="2322">
      <c r="B2322" s="9" t="n">
        <v>2320</v>
      </c>
      <c r="C2322" s="10" t="inlineStr">
        <is>
          <t>Nhân viên Chăm sóc Khách hàng (Hà Nội)</t>
        </is>
      </c>
      <c r="D2322" s="10" t="inlineStr">
        <is>
          <t>Công ty Cổ phần Sữa VitaDairy Việt Nam</t>
        </is>
      </c>
      <c r="E2322" s="10" t="inlineStr">
        <is>
          <t>Lương:Cạnh tranh</t>
        </is>
      </c>
      <c r="F2322" s="10" t="inlineStr">
        <is>
          <t>Hà Nội</t>
        </is>
      </c>
      <c r="G2322" s="10" t="inlineStr">
        <is>
          <t>06-04-2026</t>
        </is>
      </c>
      <c r="H2322" s="10" t="inlineStr">
        <is>
          <t>06/04/2026</t>
        </is>
      </c>
      <c r="I2322" s="10" t="inlineStr">
        <is>
          <t>17/03/2026</t>
        </is>
      </c>
      <c r="J2322" s="10" t="inlineStr">
        <is>
          <t>Y tế / Chăm sóc sức khỏe / Thẩm mỹ / Làm đẹp, Tư vấn, Dịch vụ khách hàng</t>
        </is>
      </c>
      <c r="K2322" s="10" t="inlineStr">
        <is>
          <t>1 - 2 Năm</t>
        </is>
      </c>
      <c r="L2322" s="11">
        <f>HYPERLINK("https://careerviet.vn/vi/tim-viec-lam/nhan-vien-cham-soc-khach-hang-ha-noi.35C6B52F.html","Xem chi tiết")</f>
        <v/>
      </c>
      <c r="M2322" s="10" t="n"/>
    </row>
    <row r="2323">
      <c r="B2323" s="7" t="n">
        <v>2321</v>
      </c>
      <c r="C2323" t="inlineStr">
        <is>
          <t>Chief Financial Officer - CFO</t>
        </is>
      </c>
      <c r="D2323" t="inlineStr">
        <is>
          <t>Công Ty TNHH MTV Jordan Manufacturing Việt Nam</t>
        </is>
      </c>
      <c r="E2323" t="inlineStr">
        <is>
          <t>Lương:Cạnh tranh</t>
        </is>
      </c>
      <c r="F2323" t="inlineStr">
        <is>
          <t>Tây NinhLong An</t>
        </is>
      </c>
      <c r="G2323" t="inlineStr">
        <is>
          <t>31-03-2026</t>
        </is>
      </c>
      <c r="H2323" t="inlineStr">
        <is>
          <t>31/03/2026</t>
        </is>
      </c>
      <c r="I2323" t="inlineStr">
        <is>
          <t>17/03/2026</t>
        </is>
      </c>
      <c r="J2323" t="inlineStr">
        <is>
          <t>Tài chính / Đầu tư, Kế toán / Kiểm toán, Sản xuất / Vận hành sản xuất</t>
        </is>
      </c>
      <c r="K2323" t="inlineStr">
        <is>
          <t>Trên 15 Năm</t>
        </is>
      </c>
      <c r="L2323" s="8">
        <f>HYPERLINK("https://careerviet.vn/vi/tim-viec-lam/chief-financial-officer-cfo.35C6C744.html","Xem chi tiết")</f>
        <v/>
      </c>
    </row>
    <row r="2324">
      <c r="B2324" s="9" t="n">
        <v>2322</v>
      </c>
      <c r="C2324" s="10" t="inlineStr">
        <is>
          <t>Engineering Supervisor</t>
        </is>
      </c>
      <c r="D2324" s="10" t="inlineStr">
        <is>
          <t>CÔNG TY TNHH SX BAO BÌ NAM VIỆT</t>
        </is>
      </c>
      <c r="E2324" s="10" t="inlineStr">
        <is>
          <t>Lương:18 Tr - 25 Tr VND</t>
        </is>
      </c>
      <c r="F2324" s="10" t="inlineStr">
        <is>
          <t>Hồ Chí Minh</t>
        </is>
      </c>
      <c r="G2324" s="10" t="inlineStr">
        <is>
          <t>07-04-2026</t>
        </is>
      </c>
      <c r="H2324" s="10" t="inlineStr">
        <is>
          <t>07/04/2026</t>
        </is>
      </c>
      <c r="I2324" s="10" t="inlineStr">
        <is>
          <t>17/03/2026</t>
        </is>
      </c>
      <c r="J2324" s="10" t="inlineStr">
        <is>
          <t>Điện / Điện tử / Điện lạnh / Điện công nghiệp, Cơ khí / Ô tô / Tự động hóa</t>
        </is>
      </c>
      <c r="K2324" s="10" t="inlineStr">
        <is>
          <t>2 - 5 Năm</t>
        </is>
      </c>
      <c r="L2324" s="11">
        <f>HYPERLINK("https://careerviet.vn/vi/tim-viec-lam/engineering-supervisor.35C6B3DA.html","Xem chi tiết")</f>
        <v/>
      </c>
      <c r="M2324" s="10" t="n"/>
    </row>
    <row r="2325">
      <c r="B2325" s="7" t="n">
        <v>2323</v>
      </c>
      <c r="C2325" t="inlineStr">
        <is>
          <t>Video Editor</t>
        </is>
      </c>
      <c r="D2325" t="inlineStr">
        <is>
          <t>CÔNG TY TNHH THƯƠNG MẠI LÝ PHONG</t>
        </is>
      </c>
      <c r="E2325" t="inlineStr">
        <is>
          <t>Lương:10 Tr - 12 Tr VND</t>
        </is>
      </c>
      <c r="F2325" t="inlineStr">
        <is>
          <t>Hồ Chí Minh</t>
        </is>
      </c>
      <c r="G2325" t="inlineStr">
        <is>
          <t>05-04-2026</t>
        </is>
      </c>
      <c r="H2325" t="inlineStr">
        <is>
          <t>05/04/2026</t>
        </is>
      </c>
      <c r="I2325" t="inlineStr">
        <is>
          <t>17/03/2026</t>
        </is>
      </c>
      <c r="J2325" t="inlineStr">
        <is>
          <t>Quảng cáo / Đối ngoại / Truyền Thông, Tiếp thị / Marketing, Truyền hình / Báo chí / Biên tập</t>
        </is>
      </c>
      <c r="K2325" t="inlineStr">
        <is>
          <t>1 - 2 Năm</t>
        </is>
      </c>
      <c r="L2325" s="8">
        <f>HYPERLINK("https://careerviet.vn/vi/tim-viec-lam/video-editor.35C6B42B.html","Xem chi tiết")</f>
        <v/>
      </c>
    </row>
    <row r="2326">
      <c r="B2326" s="9" t="n">
        <v>2324</v>
      </c>
      <c r="C2326" s="10" t="inlineStr">
        <is>
          <t>Factory HSE Manager</t>
        </is>
      </c>
      <c r="D2326" s="10" t="inlineStr">
        <is>
          <t>Công Ty TNHH Điều Intersnack Việt Nam</t>
        </is>
      </c>
      <c r="E2326" s="10" t="inlineStr">
        <is>
          <t>Lương:Cạnh tranh</t>
        </is>
      </c>
      <c r="F2326" s="10" t="inlineStr">
        <is>
          <t>Bình Thuận</t>
        </is>
      </c>
      <c r="G2326" s="10" t="inlineStr">
        <is>
          <t>13-04-2026</t>
        </is>
      </c>
      <c r="H2326" s="10" t="inlineStr">
        <is>
          <t>13/04/2026</t>
        </is>
      </c>
      <c r="I2326" s="10" t="inlineStr">
        <is>
          <t>17/03/2026</t>
        </is>
      </c>
      <c r="J2326" s="10" t="inlineStr">
        <is>
          <t>Sản xuất / Vận hành sản xuất, An toàn lao động, Môi trường</t>
        </is>
      </c>
      <c r="K2326" s="10" t="inlineStr">
        <is>
          <t>Trên 2 Năm</t>
        </is>
      </c>
      <c r="L2326" s="11">
        <f>HYPERLINK("https://careerviet.vn/vi/tim-viec-lam/factory-hse-manager.35C6C705.html","Xem chi tiết")</f>
        <v/>
      </c>
      <c r="M2326" s="10" t="n"/>
    </row>
    <row r="2327">
      <c r="B2327" s="7" t="n">
        <v>2325</v>
      </c>
      <c r="C2327" t="inlineStr">
        <is>
          <t>Nhân Viên Kế Toán Thuế (Gấp)</t>
        </is>
      </c>
      <c r="D2327" t="inlineStr">
        <is>
          <t>Công ty TNHH SX-TM-DV Qui Phúc</t>
        </is>
      </c>
      <c r="E2327" t="inlineStr">
        <is>
          <t>Lương:Cạnh tranh</t>
        </is>
      </c>
      <c r="F2327" t="inlineStr">
        <is>
          <t>Hồ Chí Minh</t>
        </is>
      </c>
      <c r="G2327" t="inlineStr">
        <is>
          <t>03-04-2026</t>
        </is>
      </c>
      <c r="H2327" t="inlineStr">
        <is>
          <t>03/04/2026</t>
        </is>
      </c>
      <c r="I2327" t="inlineStr">
        <is>
          <t>17/03/2026</t>
        </is>
      </c>
      <c r="J2327" t="inlineStr">
        <is>
          <t>Kế toán / Kiểm toán, Ngân hàng, Luật / Pháp lý</t>
        </is>
      </c>
      <c r="K2327" t="inlineStr">
        <is>
          <t>2 - 3 Năm</t>
        </is>
      </c>
      <c r="L2327" s="8">
        <f>HYPERLINK("https://careerviet.vn/vi/tim-viec-lam/nhan-vien-ke-toan-thue-gap.35C6C7F9.html","Xem chi tiết")</f>
        <v/>
      </c>
    </row>
    <row r="2328">
      <c r="B2328" s="9" t="n">
        <v>2326</v>
      </c>
      <c r="C2328" s="10" t="inlineStr">
        <is>
          <t>Kế toán tổng hợp ( F&amp;B)</t>
        </is>
      </c>
      <c r="D2328" s="10" t="inlineStr">
        <is>
          <t>ONE GROUP</t>
        </is>
      </c>
      <c r="E2328" s="10" t="inlineStr">
        <is>
          <t>Lương:Cạnh tranh</t>
        </is>
      </c>
      <c r="F2328" s="10" t="inlineStr">
        <is>
          <t>Hồ Chí Minh</t>
        </is>
      </c>
      <c r="G2328" s="10" t="inlineStr">
        <is>
          <t>26-03-2026</t>
        </is>
      </c>
      <c r="H2328" s="10" t="inlineStr">
        <is>
          <t>26/03/2026</t>
        </is>
      </c>
      <c r="I2328" s="10" t="inlineStr">
        <is>
          <t>17/03/2026</t>
        </is>
      </c>
      <c r="J2328" s="10" t="inlineStr">
        <is>
          <t>Kế toán / Kiểm toán, Tài chính / Đầu tư, Ngân hàng</t>
        </is>
      </c>
      <c r="K2328" s="10" t="inlineStr">
        <is>
          <t>2 - 3 Năm</t>
        </is>
      </c>
      <c r="L2328" s="11">
        <f>HYPERLINK("https://careerviet.vn/vi/tim-viec-lam/ke-toan-tong-hop-f-b.35C63F75.html","Xem chi tiết")</f>
        <v/>
      </c>
      <c r="M2328" s="10" t="n"/>
    </row>
    <row r="2329">
      <c r="B2329" s="7" t="n">
        <v>2327</v>
      </c>
      <c r="C2329" t="inlineStr">
        <is>
          <t>Country Maintenance Manager</t>
        </is>
      </c>
      <c r="D2329" t="inlineStr">
        <is>
          <t>Công Ty TNHH Điều Intersnack Việt Nam</t>
        </is>
      </c>
      <c r="E2329" t="inlineStr">
        <is>
          <t>Lương:Cạnh tranh</t>
        </is>
      </c>
      <c r="F2329" t="inlineStr">
        <is>
          <t>Long AnBình ThuậnTây Ninh</t>
        </is>
      </c>
      <c r="G2329" t="inlineStr">
        <is>
          <t>13-04-2026</t>
        </is>
      </c>
      <c r="H2329" t="inlineStr">
        <is>
          <t>13/04/2026</t>
        </is>
      </c>
      <c r="I2329" t="inlineStr">
        <is>
          <t>17/03/2026</t>
        </is>
      </c>
      <c r="J2329" t="inlineStr">
        <is>
          <t>Sản xuất / Vận hành sản xuất, Cơ khí / Ô tô / Tự động hóa, Điện / Điện tử / Điện lạnh / Điện công nghiệp</t>
        </is>
      </c>
      <c r="K2329" t="inlineStr">
        <is>
          <t>Trên 3 Năm</t>
        </is>
      </c>
      <c r="L2329" s="8">
        <f>HYPERLINK("https://careerviet.vn/vi/tim-viec-lam/country-maintenance-manager.35C6C709.html","Xem chi tiết")</f>
        <v/>
      </c>
    </row>
    <row r="2330">
      <c r="B2330" s="9" t="n">
        <v>2328</v>
      </c>
      <c r="C2330" s="10" t="inlineStr">
        <is>
          <t>Nhân Viên Bán Hàng  (Sân bay Quốc tế Tân Sơn Nhất)</t>
        </is>
      </c>
      <c r="D2330" s="10" t="inlineStr">
        <is>
          <t>Công ty Cổ Phần Dịch Vụ Hàng Không Sân Bay Tân Sơn Nhất</t>
        </is>
      </c>
      <c r="E2330" s="10" t="inlineStr">
        <is>
          <t>Lương:14 Tr - 15 Tr VND</t>
        </is>
      </c>
      <c r="F2330" s="10" t="inlineStr">
        <is>
          <t>Hồ Chí Minh</t>
        </is>
      </c>
      <c r="G2330" s="10" t="inlineStr">
        <is>
          <t>30-04-2026</t>
        </is>
      </c>
      <c r="H2330" s="10" t="inlineStr">
        <is>
          <t>30/04/2026</t>
        </is>
      </c>
      <c r="I2330" s="10" t="inlineStr">
        <is>
          <t>17/03/2026</t>
        </is>
      </c>
      <c r="J2330" s="10" t="inlineStr">
        <is>
          <t>Bán hàng / Kinh doanh, Dịch vụ khách hàng, Hàng không</t>
        </is>
      </c>
      <c r="K2330" s="10" t="inlineStr">
        <is>
          <t>Lên đến 1 Năm</t>
        </is>
      </c>
      <c r="L2330" s="11">
        <f>HYPERLINK("https://careerviet.vn/vi/tim-viec-lam/nhan-vien-ban-hang-san-bay-quoc-te-tan-son-nhat.35C6C580.html","Xem chi tiết")</f>
        <v/>
      </c>
      <c r="M2330" s="10" t="n"/>
    </row>
    <row r="2331">
      <c r="B2331" s="7" t="n">
        <v>2329</v>
      </c>
      <c r="C2331" t="inlineStr">
        <is>
          <t>Giám sát Thi công nội thất</t>
        </is>
      </c>
      <c r="D2331" t="inlineStr">
        <is>
          <t>Công ty Cổ Phần Dịch Vụ Hàng Không Sân Bay Tân Sơn Nhất</t>
        </is>
      </c>
      <c r="E2331" t="inlineStr">
        <is>
          <t>Lương:15 Tr - 17 Tr VND</t>
        </is>
      </c>
      <c r="F2331" t="inlineStr">
        <is>
          <t>Hồ Chí Minh</t>
        </is>
      </c>
      <c r="G2331" t="inlineStr">
        <is>
          <t>15-04-2026</t>
        </is>
      </c>
      <c r="H2331" t="inlineStr">
        <is>
          <t>15/04/2026</t>
        </is>
      </c>
      <c r="I2331" t="inlineStr">
        <is>
          <t>17/03/2026</t>
        </is>
      </c>
      <c r="J2331" t="inlineStr">
        <is>
          <t>Xây dựng, Kiến trúc, Điện / Điện tử / Điện lạnh / Điện công nghiệp</t>
        </is>
      </c>
      <c r="K2331" t="inlineStr">
        <is>
          <t>3 - 5 Năm</t>
        </is>
      </c>
      <c r="L2331" s="8">
        <f>HYPERLINK("https://careerviet.vn/vi/tim-viec-lam/giam-sat-thi-cong-noi-that.35C6C583.html","Xem chi tiết")</f>
        <v/>
      </c>
    </row>
    <row r="2332">
      <c r="B2332" s="9" t="n">
        <v>2330</v>
      </c>
      <c r="C2332" s="10" t="inlineStr">
        <is>
          <t>Chuyên Viên Kỹ Thuật Tàu Biển</t>
        </is>
      </c>
      <c r="D2332" s="10" t="inlineStr">
        <is>
          <t>CÔNG TY CỔ PHẦN THƯƠNG MẠI VÀ XUẤT NHẬP KHẨU VẬT TƯ GIAO THÔNG</t>
        </is>
      </c>
      <c r="E2332" s="10" t="inlineStr">
        <is>
          <t>Lương:Cạnh tranh</t>
        </is>
      </c>
      <c r="F2332" s="10" t="inlineStr">
        <is>
          <t>Hà Nội</t>
        </is>
      </c>
      <c r="G2332" s="10" t="inlineStr">
        <is>
          <t>6</t>
        </is>
      </c>
      <c r="H2332" s="10" t="inlineStr">
        <is>
          <t>23/03/2026</t>
        </is>
      </c>
      <c r="I2332" s="10" t="inlineStr">
        <is>
          <t>17/03/2026</t>
        </is>
      </c>
      <c r="J2332" s="10" t="inlineStr">
        <is>
          <t>Hàng hải, Bảo trì / Sửa chữa</t>
        </is>
      </c>
      <c r="K2332" s="10" t="inlineStr">
        <is>
          <t>Trên 2 Năm</t>
        </is>
      </c>
      <c r="L2332" s="11">
        <f>HYPERLINK("https://careerviet.vn/vi/tim-viec-lam/chuyen-vien-ky-thuat-tau-bien.35C693B3.html","Xem chi tiết")</f>
        <v/>
      </c>
      <c r="M2332" s="10" t="n"/>
    </row>
    <row r="2333">
      <c r="B2333" s="7" t="n">
        <v>2331</v>
      </c>
      <c r="C2333" t="inlineStr">
        <is>
          <t>Operations Team Leader, PUD</t>
        </is>
      </c>
      <c r="D2333" t="inlineStr">
        <is>
          <t>CareerViet's client</t>
        </is>
      </c>
      <c r="E2333" t="inlineStr">
        <is>
          <t>Lương:Cạnh tranh</t>
        </is>
      </c>
      <c r="F2333" t="inlineStr">
        <is>
          <t>Hà NộiHồ Chí Minh</t>
        </is>
      </c>
      <c r="G2333" t="inlineStr">
        <is>
          <t>11-04-2026</t>
        </is>
      </c>
      <c r="H2333" t="inlineStr">
        <is>
          <t>11/04/2026</t>
        </is>
      </c>
      <c r="I2333" t="inlineStr">
        <is>
          <t>17/03/2026</t>
        </is>
      </c>
      <c r="J2333" t="inlineStr">
        <is>
          <t>Dịch vụ khách hàng, Vận chuyển / Giao nhận / Kho vận, Quản lý điều hành</t>
        </is>
      </c>
      <c r="K2333" t="inlineStr">
        <is>
          <t>Trên 4 Năm</t>
        </is>
      </c>
      <c r="L2333" s="8">
        <f>HYPERLINK("https://careerviet.vn/vi/tim-viec-lam/operations-team-leader-pud.35C6C50D.html","Xem chi tiết")</f>
        <v/>
      </c>
    </row>
    <row r="2334">
      <c r="B2334" s="9" t="n">
        <v>2332</v>
      </c>
      <c r="C2334" s="10" t="inlineStr">
        <is>
          <t>Kế Toán Tổng Hợp (FMCG)</t>
        </is>
      </c>
      <c r="D2334" s="10" t="inlineStr">
        <is>
          <t>CÔNG TY CỔ PHẦN THƯƠNG MẠI DỊCH VỤ SẢN XUẤT HƯƠNG THỦY</t>
        </is>
      </c>
      <c r="E2334" s="10" t="inlineStr">
        <is>
          <t>Lương:30 Tr - 35 Tr VND</t>
        </is>
      </c>
      <c r="F2334" s="10" t="inlineStr">
        <is>
          <t>Hồ Chí Minh</t>
        </is>
      </c>
      <c r="G2334" s="10" t="inlineStr">
        <is>
          <t>6</t>
        </is>
      </c>
      <c r="H2334" s="10" t="inlineStr">
        <is>
          <t>23/03/2026</t>
        </is>
      </c>
      <c r="I2334" s="10" t="inlineStr">
        <is>
          <t>17/03/2026</t>
        </is>
      </c>
      <c r="J2334" s="10" t="inlineStr">
        <is>
          <t>Kế toán / Kiểm toán, Bán lẻ / Bán sỉ, Bán hàng / Kinh doanh</t>
        </is>
      </c>
      <c r="K2334" s="10" t="inlineStr">
        <is>
          <t>7 - 10 Năm</t>
        </is>
      </c>
      <c r="L2334" s="11">
        <f>HYPERLINK("https://careerviet.vn/vi/tim-viec-lam/ke-toan-tong-hop-fmcg.35C664C7.html","Xem chi tiết")</f>
        <v/>
      </c>
      <c r="M2334" s="10" t="n"/>
    </row>
    <row r="2335">
      <c r="B2335" s="7" t="n">
        <v>2333</v>
      </c>
      <c r="C2335" t="inlineStr">
        <is>
          <t>Manufacturing Engineer</t>
        </is>
      </c>
      <c r="D2335" t="inlineStr">
        <is>
          <t>CÔNG TY TNHH COMPUTIME (VIỆT NAM)</t>
        </is>
      </c>
      <c r="E2335" t="inlineStr">
        <is>
          <t>Lương:Cạnh tranh</t>
        </is>
      </c>
      <c r="F2335" t="inlineStr">
        <is>
          <t>Bình Dương</t>
        </is>
      </c>
      <c r="G2335" t="inlineStr">
        <is>
          <t>30-04-2026</t>
        </is>
      </c>
      <c r="H2335" t="inlineStr">
        <is>
          <t>30/04/2026</t>
        </is>
      </c>
      <c r="I2335" t="inlineStr">
        <is>
          <t>17/03/2026</t>
        </is>
      </c>
      <c r="J2335" t="inlineStr">
        <is>
          <t>Điện / Điện tử / Điện lạnh / Điện công nghiệp</t>
        </is>
      </c>
      <c r="K2335" t="inlineStr">
        <is>
          <t>3 - 5 Năm</t>
        </is>
      </c>
      <c r="L2335" s="8">
        <f>HYPERLINK("https://careerviet.vn/vi/tim-viec-lam/manufacturing-engineer.35C6C587.html","Xem chi tiết")</f>
        <v/>
      </c>
    </row>
    <row r="2336">
      <c r="B2336" s="9" t="n">
        <v>2334</v>
      </c>
      <c r="C2336" s="10" t="inlineStr">
        <is>
          <t>Nhân Viên Hỗ Trợ Khai Thác (Operations Support Agent, Sorting)</t>
        </is>
      </c>
      <c r="D2336" s="10" t="inlineStr">
        <is>
          <t>Bảo mật</t>
        </is>
      </c>
      <c r="E2336" s="10" t="inlineStr">
        <is>
          <t>Lương:Cạnh tranh</t>
        </is>
      </c>
      <c r="F2336" s="10" t="inlineStr">
        <is>
          <t>Hà NộiHồ Chí Minh</t>
        </is>
      </c>
      <c r="G2336" s="10" t="inlineStr">
        <is>
          <t>11-04-2026</t>
        </is>
      </c>
      <c r="H2336" s="10" t="inlineStr">
        <is>
          <t>11/04/2026</t>
        </is>
      </c>
      <c r="I2336" s="10" t="inlineStr">
        <is>
          <t>17/03/2026</t>
        </is>
      </c>
      <c r="J2336" s="10" t="inlineStr">
        <is>
          <t>Dịch vụ khách hàng, Vận chuyển / Giao nhận / Kho vận, Quản lý điều hành</t>
        </is>
      </c>
      <c r="K2336" s="10" t="inlineStr">
        <is>
          <t>Trên 1 Năm</t>
        </is>
      </c>
      <c r="L2336" s="11">
        <f>HYPERLINK("https://careerviet.vn/vi/tim-viec-lam/nhan-vien-ho-tro-khai-thac-operations-support-agent-sorting.35C6C512.html","Xem chi tiết")</f>
        <v/>
      </c>
      <c r="M2336" s="10" t="n"/>
    </row>
    <row r="2337">
      <c r="B2337" s="7" t="n">
        <v>2335</v>
      </c>
      <c r="C2337" t="inlineStr">
        <is>
          <t>GIÁM ĐỐC TÀI CHÍNH</t>
        </is>
      </c>
      <c r="D2337" t="inlineStr">
        <is>
          <t>Thuan Phuong Group</t>
        </is>
      </c>
      <c r="E2337" t="inlineStr">
        <is>
          <t>Lương:Cạnh tranh</t>
        </is>
      </c>
      <c r="F2337" t="inlineStr">
        <is>
          <t>Hồ Chí Minh</t>
        </is>
      </c>
      <c r="G2337" t="inlineStr">
        <is>
          <t>12-04-2026</t>
        </is>
      </c>
      <c r="H2337" t="inlineStr">
        <is>
          <t>12/04/2026</t>
        </is>
      </c>
      <c r="I2337" t="inlineStr">
        <is>
          <t>17/03/2026</t>
        </is>
      </c>
      <c r="J2337" t="inlineStr">
        <is>
          <t>Kế toán / Kiểm toán, Tài chính / Đầu tư, Dệt may / Da giày / Thời trang</t>
        </is>
      </c>
      <c r="K2337" t="inlineStr">
        <is>
          <t>3 - 15 Năm</t>
        </is>
      </c>
      <c r="L2337" s="8">
        <f>HYPERLINK("https://careerviet.vn/vi/tim-viec-lam/giam-doc-tai-chinh.35C6C586.html","Xem chi tiết")</f>
        <v/>
      </c>
    </row>
    <row r="2338">
      <c r="B2338" s="9" t="n">
        <v>2336</v>
      </c>
      <c r="C2338" s="10" t="inlineStr">
        <is>
          <t>Chuyên viên Digital Marketing</t>
        </is>
      </c>
      <c r="D2338" s="10" t="inlineStr">
        <is>
          <t>CÔNG TY CỔ PHẦN BẤT ĐỘNG SẢN G.EMPIRE</t>
        </is>
      </c>
      <c r="E2338" s="10" t="inlineStr">
        <is>
          <t>Lương:17 Tr - 20 Tr VND</t>
        </is>
      </c>
      <c r="F2338" s="10" t="inlineStr">
        <is>
          <t>Hồ Chí Minh</t>
        </is>
      </c>
      <c r="G2338" s="10" t="inlineStr">
        <is>
          <t>12-04-2026</t>
        </is>
      </c>
      <c r="H2338" s="10" t="inlineStr">
        <is>
          <t>12/04/2026</t>
        </is>
      </c>
      <c r="I2338" s="10" t="inlineStr">
        <is>
          <t>17/03/2026</t>
        </is>
      </c>
      <c r="J2338" s="10" t="inlineStr">
        <is>
          <t>Bất động sản, Tiếp thị / Marketing, Quảng cáo / Đối ngoại / Truyền Thông</t>
        </is>
      </c>
      <c r="K2338" s="10" t="inlineStr">
        <is>
          <t>3 - 7 Năm</t>
        </is>
      </c>
      <c r="L2338" s="11">
        <f>HYPERLINK("https://careerviet.vn/vi/tim-viec-lam/chuyen-vien-digital-marketing.35C6C553.html","Xem chi tiết")</f>
        <v/>
      </c>
      <c r="M2338" s="10" t="n"/>
    </row>
    <row r="2339">
      <c r="B2339" s="7" t="n">
        <v>2337</v>
      </c>
      <c r="C2339" t="inlineStr">
        <is>
          <t>Brand Marketing Supervisor</t>
        </is>
      </c>
      <c r="D2339" t="inlineStr">
        <is>
          <t>Công Ty Cổ Phần Thời Trang &amp; Mỹ Phẩm Duy Anh (DAFC)</t>
        </is>
      </c>
      <c r="E2339" t="inlineStr">
        <is>
          <t>Lương:Cạnh tranh</t>
        </is>
      </c>
      <c r="F2339" t="inlineStr">
        <is>
          <t>Hồ Chí Minh</t>
        </is>
      </c>
      <c r="G2339" t="inlineStr">
        <is>
          <t>30-04-2026</t>
        </is>
      </c>
      <c r="H2339" t="inlineStr">
        <is>
          <t>30/04/2026</t>
        </is>
      </c>
      <c r="I2339" t="inlineStr">
        <is>
          <t>17/03/2026</t>
        </is>
      </c>
      <c r="J2339" t="inlineStr">
        <is>
          <t>Tiếp thị / Marketing, Bán lẻ / Bán sỉ, Dệt may / Da giày / Thời trang</t>
        </is>
      </c>
      <c r="K2339" t="inlineStr">
        <is>
          <t>Trên 3 Năm</t>
        </is>
      </c>
      <c r="L2339" s="8">
        <f>HYPERLINK("https://careerviet.vn/vi/tim-viec-lam/brand-marketing-supervisor.35C6B0CF.html","Xem chi tiết")</f>
        <v/>
      </c>
    </row>
    <row r="2340">
      <c r="B2340" s="9" t="n">
        <v>2338</v>
      </c>
      <c r="C2340" s="10" t="inlineStr">
        <is>
          <t>Kế Toán Doanh Thu - Hà Nội</t>
        </is>
      </c>
      <c r="D2340" s="10" t="inlineStr">
        <is>
          <t>Công Ty Cổ Phần Lương Thực A AN</t>
        </is>
      </c>
      <c r="E2340" s="10" t="inlineStr">
        <is>
          <t>Lương:13 Tr - 15 Tr VND</t>
        </is>
      </c>
      <c r="F2340" s="10" t="inlineStr">
        <is>
          <t>Hà Nội</t>
        </is>
      </c>
      <c r="G2340" s="10" t="inlineStr">
        <is>
          <t>15-04-2026</t>
        </is>
      </c>
      <c r="H2340" s="10" t="inlineStr">
        <is>
          <t>15/04/2026</t>
        </is>
      </c>
      <c r="I2340" s="10" t="inlineStr">
        <is>
          <t>17/03/2026</t>
        </is>
      </c>
      <c r="J2340" s="10" t="inlineStr">
        <is>
          <t>Kế toán / Kiểm toán, Tài chính / Đầu tư</t>
        </is>
      </c>
      <c r="K2340" s="10" t="inlineStr">
        <is>
          <t>2 - 3 Năm</t>
        </is>
      </c>
      <c r="L2340" s="11">
        <f>HYPERLINK("https://careerviet.vn/vi/tim-viec-lam/ke-toan-doanh-thu-ha-noi.35C6C569.html","Xem chi tiết")</f>
        <v/>
      </c>
      <c r="M2340" s="10" t="n"/>
    </row>
    <row r="2341">
      <c r="B2341" s="7" t="n">
        <v>2339</v>
      </c>
      <c r="C2341" t="inlineStr">
        <is>
          <t>Nhân Viên Lái Xe</t>
        </is>
      </c>
      <c r="D2341" t="inlineStr">
        <is>
          <t>Công Ty Cổ phần Hệ thống Công Nghệ Hoàng Hải</t>
        </is>
      </c>
      <c r="E2341" t="inlineStr">
        <is>
          <t>Lương:Cạnh tranh</t>
        </is>
      </c>
      <c r="F2341" t="inlineStr">
        <is>
          <t>Hồ Chí Minh</t>
        </is>
      </c>
      <c r="G2341" t="inlineStr">
        <is>
          <t>11-04-2026</t>
        </is>
      </c>
      <c r="H2341" t="inlineStr">
        <is>
          <t>11/04/2026</t>
        </is>
      </c>
      <c r="I2341" t="inlineStr">
        <is>
          <t>17/03/2026</t>
        </is>
      </c>
      <c r="J2341" t="inlineStr">
        <is>
          <t>Vận chuyển / Giao nhận / Kho vận, Bảo trì / Sửa chữa, Ngành khác</t>
        </is>
      </c>
      <c r="K2341" t="inlineStr">
        <is>
          <t>N/A</t>
        </is>
      </c>
      <c r="L2341" s="8">
        <f>HYPERLINK("https://careerviet.vn/vi/tim-viec-lam/nhan-vien-la-i-xe.35C6C54F.html","Xem chi tiết")</f>
        <v/>
      </c>
    </row>
    <row r="2342">
      <c r="B2342" s="9" t="n">
        <v>2340</v>
      </c>
      <c r="C2342" s="10" t="inlineStr">
        <is>
          <t>Head of Commercial (Trưởng Ban Thương Mại)</t>
        </is>
      </c>
      <c r="D2342" s="10" t="inlineStr">
        <is>
          <t>PRECIOUS PRESTIGE TRADING AND LOGISTICS</t>
        </is>
      </c>
      <c r="E2342" s="10" t="inlineStr">
        <is>
          <t>Lương:Cạnh tranh</t>
        </is>
      </c>
      <c r="F2342" s="10" t="inlineStr">
        <is>
          <t>Hồ Chí Minh</t>
        </is>
      </c>
      <c r="G2342" s="10" t="inlineStr">
        <is>
          <t>11-04-2026</t>
        </is>
      </c>
      <c r="H2342" s="10" t="inlineStr">
        <is>
          <t>11/04/2026</t>
        </is>
      </c>
      <c r="I2342" s="10" t="inlineStr">
        <is>
          <t>17/03/2026</t>
        </is>
      </c>
      <c r="J2342" s="10" t="inlineStr">
        <is>
          <t>Vận chuyển / Giao nhận / Kho vận, Xuất nhập khẩu, Bán hàng / Kinh doanh</t>
        </is>
      </c>
      <c r="K2342" s="10" t="inlineStr">
        <is>
          <t>N/A</t>
        </is>
      </c>
      <c r="L2342" s="11">
        <f>HYPERLINK("https://careerviet.vn/vi/tim-viec-lam/head-of-commercial-truong-ban-thuong-mai.35C6C568.html","Xem chi tiết")</f>
        <v/>
      </c>
      <c r="M2342" s="10" t="n"/>
    </row>
    <row r="2343">
      <c r="B2343" s="7" t="n">
        <v>2341</v>
      </c>
      <c r="C2343" t="inlineStr">
        <is>
          <t>Nhân Viên Giao Nhận</t>
        </is>
      </c>
      <c r="D2343" t="inlineStr">
        <is>
          <t>Công Ty Cổ phần Hệ thống Công Nghệ Hoàng Hải</t>
        </is>
      </c>
      <c r="E2343" t="inlineStr">
        <is>
          <t>Lương:Cạnh tranh</t>
        </is>
      </c>
      <c r="F2343" t="inlineStr">
        <is>
          <t>Hồ Chí Minh</t>
        </is>
      </c>
      <c r="G2343" t="inlineStr">
        <is>
          <t>11-04-2026</t>
        </is>
      </c>
      <c r="H2343" t="inlineStr">
        <is>
          <t>11/04/2026</t>
        </is>
      </c>
      <c r="I2343" t="inlineStr">
        <is>
          <t>17/03/2026</t>
        </is>
      </c>
      <c r="J2343" t="inlineStr">
        <is>
          <t>Vận chuyển / Giao nhận / Kho vận, Ngành khác, Hành chính / Thư ký</t>
        </is>
      </c>
      <c r="K2343" t="inlineStr">
        <is>
          <t>N/A</t>
        </is>
      </c>
      <c r="L2343" s="8">
        <f>HYPERLINK("https://careerviet.vn/vi/tim-viec-lam/nhan-vien-giao-nha-n.35C6C550.html","Xem chi tiết")</f>
        <v/>
      </c>
    </row>
    <row r="2344">
      <c r="B2344" s="9" t="n">
        <v>2342</v>
      </c>
      <c r="C2344" s="10" t="inlineStr">
        <is>
          <t>Trưởng Nhóm Tư Vấn Bán Hàng Qua Điện Thoại</t>
        </is>
      </c>
      <c r="D2344" s="10" t="inlineStr">
        <is>
          <t>Vietnam Concentrix Services Company Limited</t>
        </is>
      </c>
      <c r="E2344" s="10" t="inlineStr">
        <is>
          <t>Lương:35 Tr - 45 Tr VND</t>
        </is>
      </c>
      <c r="F2344" s="10" t="inlineStr">
        <is>
          <t>Hồ Chí Minh</t>
        </is>
      </c>
      <c r="G2344" s="10" t="inlineStr">
        <is>
          <t>11-04-2026</t>
        </is>
      </c>
      <c r="H2344" s="10" t="inlineStr">
        <is>
          <t>11/04/2026</t>
        </is>
      </c>
      <c r="I2344" s="10" t="inlineStr">
        <is>
          <t>17/03/2026</t>
        </is>
      </c>
      <c r="J2344" s="10" t="inlineStr">
        <is>
          <t>Bán hàng / Kinh doanh, Tiếp thị trực tuyến, Bán lẻ / Bán sỉ</t>
        </is>
      </c>
      <c r="K2344" s="10" t="inlineStr">
        <is>
          <t>Trên 1 Năm</t>
        </is>
      </c>
      <c r="L2344" s="11">
        <f>HYPERLINK("https://careerviet.vn/vi/tim-viec-lam/truong-nhom-tu-van-ban-hang-qua-dien-thoai.35C6C53E.html","Xem chi tiết")</f>
        <v/>
      </c>
      <c r="M2344" s="10" t="n"/>
    </row>
    <row r="2345">
      <c r="B2345" s="7" t="n">
        <v>2343</v>
      </c>
      <c r="C2345" t="inlineStr">
        <is>
          <t>Application and Product Specialist (Medical Devices)</t>
        </is>
      </c>
      <c r="D2345" t="inlineStr">
        <is>
          <t>Công ty TNHH Vạn Niên</t>
        </is>
      </c>
      <c r="E2345" t="inlineStr">
        <is>
          <t>Lương:15 Tr - 20 Tr VND</t>
        </is>
      </c>
      <c r="F2345" t="inlineStr">
        <is>
          <t>Hà NộiHồ Chí Minh</t>
        </is>
      </c>
      <c r="G2345" t="inlineStr">
        <is>
          <t>13-04-2026</t>
        </is>
      </c>
      <c r="H2345" t="inlineStr">
        <is>
          <t>13/04/2026</t>
        </is>
      </c>
      <c r="I2345" t="inlineStr">
        <is>
          <t>17/03/2026</t>
        </is>
      </c>
      <c r="J2345" t="inlineStr">
        <is>
          <t>Y tế / Chăm sóc sức khỏe / Thẩm mỹ / Làm đẹp, Công nghệ sinh học, Dược phẩm/ Hóa Mỹ Phẩm</t>
        </is>
      </c>
      <c r="K2345" t="inlineStr">
        <is>
          <t>2 - 5 Năm</t>
        </is>
      </c>
      <c r="L2345" s="8">
        <f>HYPERLINK("https://careerviet.vn/vi/tim-viec-lam/application-and-product-specialist-medical-devices.35C6C522.html","Xem chi tiết")</f>
        <v/>
      </c>
    </row>
    <row r="2346">
      <c r="B2346" s="9" t="n">
        <v>2344</v>
      </c>
      <c r="C2346" s="10" t="inlineStr">
        <is>
          <t>Shopdrawing Dự Án</t>
        </is>
      </c>
      <c r="D2346" s="10" t="inlineStr">
        <is>
          <t>Công Ty CP SXTM Thiết Kế Bình Minh</t>
        </is>
      </c>
      <c r="E2346" s="10" t="inlineStr">
        <is>
          <t>Lương:20 Tr - 28 Tr VND</t>
        </is>
      </c>
      <c r="F2346" s="10" t="inlineStr">
        <is>
          <t>Hồ Chí Minh</t>
        </is>
      </c>
      <c r="G2346" s="10" t="inlineStr">
        <is>
          <t>15-04-2026</t>
        </is>
      </c>
      <c r="H2346" s="10" t="inlineStr">
        <is>
          <t>15/04/2026</t>
        </is>
      </c>
      <c r="I2346" s="10" t="inlineStr">
        <is>
          <t>17/03/2026</t>
        </is>
      </c>
      <c r="J2346" s="10" t="inlineStr">
        <is>
          <t>Đồ gỗ, Kiến trúc, Xây dựng</t>
        </is>
      </c>
      <c r="K2346" s="10" t="inlineStr">
        <is>
          <t>2 - 5 Năm</t>
        </is>
      </c>
      <c r="L2346" s="11">
        <f>HYPERLINK("https://careerviet.vn/vi/tim-viec-lam/shopdrawing-du-an.35C6C548.html","Xem chi tiết")</f>
        <v/>
      </c>
      <c r="M2346" s="10" t="n"/>
    </row>
    <row r="2347">
      <c r="B2347" s="7" t="n">
        <v>2345</v>
      </c>
      <c r="C2347" t="inlineStr">
        <is>
          <t>Chuyên Viên Tư Vấn Kỹ Thuật</t>
        </is>
      </c>
      <c r="D2347" t="inlineStr">
        <is>
          <t>CÔNG TY CỔ PHẦN CASPER VIỆT NAM</t>
        </is>
      </c>
      <c r="E2347" t="inlineStr">
        <is>
          <t>Lương:12 Tr - 15 Tr VND</t>
        </is>
      </c>
      <c r="F2347" t="inlineStr">
        <is>
          <t>Hà Nội</t>
        </is>
      </c>
      <c r="G2347" t="inlineStr">
        <is>
          <t>30-04-2026</t>
        </is>
      </c>
      <c r="H2347" t="inlineStr">
        <is>
          <t>30/04/2026</t>
        </is>
      </c>
      <c r="I2347" t="inlineStr">
        <is>
          <t>17/03/2026</t>
        </is>
      </c>
      <c r="J2347" t="inlineStr">
        <is>
          <t>Bảo trì / Sửa chữa, Điện / Điện tử / Điện lạnh / Điện công nghiệp</t>
        </is>
      </c>
      <c r="K2347" t="inlineStr">
        <is>
          <t>2 - 3 Năm</t>
        </is>
      </c>
      <c r="L2347" s="8">
        <f>HYPERLINK("https://careerviet.vn/vi/tim-viec-lam/chuyen-vien-tu-van-ky-thuat.35C6C56E.html","Xem chi tiết")</f>
        <v/>
      </c>
    </row>
    <row r="2348">
      <c r="B2348" s="9" t="n">
        <v>2346</v>
      </c>
      <c r="C2348" s="10" t="inlineStr">
        <is>
          <t>GIÁM ĐỐC KINH DOANH BĐS</t>
        </is>
      </c>
      <c r="D2348" s="10" t="inlineStr">
        <is>
          <t>CÔNG TY CỔ PHẦN BẤT ĐỘNG SẢN G.EMPIRE</t>
        </is>
      </c>
      <c r="E2348" s="10" t="inlineStr">
        <is>
          <t>Lương:25 Tr - 40 Tr VND</t>
        </is>
      </c>
      <c r="F2348" s="10" t="inlineStr">
        <is>
          <t>Hồ Chí Minh</t>
        </is>
      </c>
      <c r="G2348" s="10" t="inlineStr">
        <is>
          <t>12-03-2026</t>
        </is>
      </c>
      <c r="H2348" s="10" t="inlineStr">
        <is>
          <t>14/03/2026</t>
        </is>
      </c>
      <c r="I2348" s="10" t="inlineStr">
        <is>
          <t>17/03/2026</t>
        </is>
      </c>
      <c r="J2348" s="10" t="inlineStr">
        <is>
          <t>Bán hàng / Kinh doanh, Tài chính / Đầu tư, Bất động sản</t>
        </is>
      </c>
      <c r="K2348" s="10" t="inlineStr">
        <is>
          <t>5 - 10 Năm</t>
        </is>
      </c>
      <c r="L2348" s="11">
        <f>HYPERLINK("https://careerviet.vn/vi/tim-viec-lam/giam-doc-kinh-doanh-bds.35C6C55F.html","Xem chi tiết")</f>
        <v/>
      </c>
      <c r="M2348" s="10" t="n"/>
    </row>
    <row r="2349">
      <c r="B2349" s="7" t="n">
        <v>2347</v>
      </c>
      <c r="C2349" t="inlineStr">
        <is>
          <t>Nhân viên thiết kế</t>
        </is>
      </c>
      <c r="D2349" t="inlineStr">
        <is>
          <t>Công ty Cổ phần Tập đoàn Trường Tươi</t>
        </is>
      </c>
      <c r="E2349" t="inlineStr">
        <is>
          <t>Lương:Cạnh tranh</t>
        </is>
      </c>
      <c r="F2349" t="inlineStr">
        <is>
          <t>Bình Phước</t>
        </is>
      </c>
      <c r="G2349" t="inlineStr">
        <is>
          <t>30-04-2026</t>
        </is>
      </c>
      <c r="H2349" t="inlineStr">
        <is>
          <t>30/04/2026</t>
        </is>
      </c>
      <c r="I2349" t="inlineStr">
        <is>
          <t>17/03/2026</t>
        </is>
      </c>
      <c r="J2349" t="inlineStr">
        <is>
          <t>Mỹ thuật / Nghệ thuật / Thiết kế</t>
        </is>
      </c>
      <c r="K2349" t="inlineStr">
        <is>
          <t>1 - 5 Năm</t>
        </is>
      </c>
      <c r="L2349" s="8">
        <f>HYPERLINK("https://careerviet.vn/vi/tim-viec-lam/nhan-vien-thiet-ke.35C6C52D.html","Xem chi tiết")</f>
        <v/>
      </c>
    </row>
    <row r="2350">
      <c r="B2350" s="9" t="n">
        <v>2348</v>
      </c>
      <c r="C2350" s="10" t="inlineStr">
        <is>
          <t>Chuyên Viên An Toàn Lao Động</t>
        </is>
      </c>
      <c r="D2350" s="10" t="inlineStr">
        <is>
          <t>CÔNG TY CỔ PHẦN PHÁT TRIỂN VÀ ĐẦU TƯ XÂY DỰNG VINCONS</t>
        </is>
      </c>
      <c r="E2350" s="10" t="inlineStr">
        <is>
          <t>Lương:25 Tr - 33 Tr VND</t>
        </is>
      </c>
      <c r="F2350" s="10" t="inlineStr">
        <is>
          <t>Hồ Chí Minh</t>
        </is>
      </c>
      <c r="G2350" s="10" t="inlineStr">
        <is>
          <t>31-03-2026</t>
        </is>
      </c>
      <c r="H2350" s="10" t="inlineStr">
        <is>
          <t>31/03/2026</t>
        </is>
      </c>
      <c r="I2350" s="10" t="inlineStr">
        <is>
          <t>17/03/2026</t>
        </is>
      </c>
      <c r="J2350" s="10" t="inlineStr">
        <is>
          <t>Xây dựng, An toàn lao động</t>
        </is>
      </c>
      <c r="K2350" s="10" t="inlineStr">
        <is>
          <t>1 - 3 Năm</t>
        </is>
      </c>
      <c r="L2350" s="11">
        <f>HYPERLINK("https://careerviet.vn/vi/tim-viec-lam/chuyen-vien-an-toan-lao-dong.35C6C388.html","Xem chi tiết")</f>
        <v/>
      </c>
      <c r="M2350" s="10" t="n"/>
    </row>
    <row r="2351">
      <c r="B2351" s="7" t="n">
        <v>2349</v>
      </c>
      <c r="C2351" t="inlineStr">
        <is>
          <t>Fabrication Engineer ( Kỹ sư sản xuất cơ khí)</t>
        </is>
      </c>
      <c r="D2351" t="inlineStr">
        <is>
          <t>CÔNG TY TNHH S.I E&amp;C VIỆT NAM</t>
        </is>
      </c>
      <c r="E2351" t="inlineStr">
        <is>
          <t>Lương:16 Tr - 28 Tr VND</t>
        </is>
      </c>
      <c r="F2351" t="inlineStr">
        <is>
          <t>Đồng Nai</t>
        </is>
      </c>
      <c r="G2351" t="inlineStr">
        <is>
          <t>11-04-2026</t>
        </is>
      </c>
      <c r="H2351" t="inlineStr">
        <is>
          <t>11/04/2026</t>
        </is>
      </c>
      <c r="I2351" t="inlineStr">
        <is>
          <t>17/03/2026</t>
        </is>
      </c>
      <c r="J2351" t="inlineStr">
        <is>
          <t>Cơ khí / Ô tô / Tự động hóa</t>
        </is>
      </c>
      <c r="K2351" t="inlineStr">
        <is>
          <t>3 - 5 Năm</t>
        </is>
      </c>
      <c r="L2351" s="8">
        <f>HYPERLINK("https://careerviet.vn/vi/tim-viec-lam/fabrication-engineer-ky-su-san-xuat-co-khi.35C6C335.html","Xem chi tiết")</f>
        <v/>
      </c>
    </row>
    <row r="2352">
      <c r="B2352" s="9" t="n">
        <v>2350</v>
      </c>
      <c r="C2352" s="10" t="inlineStr">
        <is>
          <t>Nhân Viên Truyền Thông</t>
        </is>
      </c>
      <c r="D2352" s="10" t="inlineStr">
        <is>
          <t>Công Ty TNHH Thương Mại Và Dịch Vụ Nguyễn Huy</t>
        </is>
      </c>
      <c r="E2352" s="10" t="inlineStr">
        <is>
          <t>Lương:12 Tr - 15 Tr VND</t>
        </is>
      </c>
      <c r="F2352" s="10" t="inlineStr">
        <is>
          <t>Hà Nội</t>
        </is>
      </c>
      <c r="G2352" s="10" t="inlineStr">
        <is>
          <t>12-04-2026</t>
        </is>
      </c>
      <c r="H2352" s="10" t="inlineStr">
        <is>
          <t>12/04/2026</t>
        </is>
      </c>
      <c r="I2352" s="10" t="inlineStr">
        <is>
          <t>17/03/2026</t>
        </is>
      </c>
      <c r="J2352" s="10" t="inlineStr">
        <is>
          <t>Quảng cáo / Đối ngoại / Truyền Thông, Tiếp thị / Marketing, Mỹ thuật / Nghệ thuật / Thiết kế</t>
        </is>
      </c>
      <c r="K2352" s="10" t="inlineStr">
        <is>
          <t>Trên 1 Năm</t>
        </is>
      </c>
      <c r="L2352" s="11">
        <f>HYPERLINK("https://careerviet.vn/vi/tim-viec-lam/nhan-vien-truyen-thong.35C6C332.html","Xem chi tiết")</f>
        <v/>
      </c>
      <c r="M2352" s="10" t="n"/>
    </row>
    <row r="2353">
      <c r="B2353" s="7" t="n">
        <v>2351</v>
      </c>
      <c r="C2353" t="inlineStr">
        <is>
          <t>Chuyên Viên Bán Hàng TMĐT E-Commerce</t>
        </is>
      </c>
      <c r="D2353" t="inlineStr">
        <is>
          <t>Công ty TNHH Ngôi Nhà Châu Âu (Việt Nam)</t>
        </is>
      </c>
      <c r="E2353" t="inlineStr">
        <is>
          <t>Lương:10 Tr - 15 Tr VND</t>
        </is>
      </c>
      <c r="F2353" t="inlineStr">
        <is>
          <t>Long An</t>
        </is>
      </c>
      <c r="G2353" t="inlineStr">
        <is>
          <t>12-04-2026</t>
        </is>
      </c>
      <c r="H2353" t="inlineStr">
        <is>
          <t>12/04/2026</t>
        </is>
      </c>
      <c r="I2353" t="inlineStr">
        <is>
          <t>17/03/2026</t>
        </is>
      </c>
      <c r="J2353" t="inlineStr">
        <is>
          <t>Thương mại điện tử, Bán hàng / Kinh doanh, Tiếp thị trực tuyến</t>
        </is>
      </c>
      <c r="K2353" t="inlineStr">
        <is>
          <t>2 - 3 Năm</t>
        </is>
      </c>
      <c r="L2353" s="8">
        <f>HYPERLINK("https://careerviet.vn/vi/tim-viec-lam/chuyen-vien-ban-hang-tmdt-e-commerce.35C6C321.html","Xem chi tiết")</f>
        <v/>
      </c>
    </row>
    <row r="2354">
      <c r="B2354" s="9" t="n">
        <v>2352</v>
      </c>
      <c r="C2354" s="10" t="inlineStr">
        <is>
          <t>Nhân viên kế toán 27360 - Yên Hòa, HN</t>
        </is>
      </c>
      <c r="D2354" s="10" t="inlineStr">
        <is>
          <t>Công Ty TNHH Reeracoen Việt Nam</t>
        </is>
      </c>
      <c r="E2354" s="10" t="inlineStr">
        <is>
          <t>Lương:17 Tr - 25 Tr VND</t>
        </is>
      </c>
      <c r="F2354" s="10" t="inlineStr">
        <is>
          <t>Hà Nội</t>
        </is>
      </c>
      <c r="G2354" s="10" t="inlineStr">
        <is>
          <t>12-04-2026</t>
        </is>
      </c>
      <c r="H2354" s="10" t="inlineStr">
        <is>
          <t>12/04/2026</t>
        </is>
      </c>
      <c r="I2354" s="10" t="inlineStr">
        <is>
          <t>17/03/2026</t>
        </is>
      </c>
      <c r="J2354" s="10" t="inlineStr">
        <is>
          <t>Kế toán / Kiểm toán, Tài chính / Đầu tư, Biên phiên dịch</t>
        </is>
      </c>
      <c r="K2354" s="10" t="inlineStr">
        <is>
          <t>2 - 4 Năm</t>
        </is>
      </c>
      <c r="L2354" s="11">
        <f>HYPERLINK("https://careerviet.vn/vi/tim-viec-lam/nhan-vien-ke-toan-27360-yen-hoa-hn.35C6C530.html","Xem chi tiết")</f>
        <v/>
      </c>
      <c r="M2354" s="10" t="n"/>
    </row>
    <row r="2355">
      <c r="B2355" s="7" t="n">
        <v>2353</v>
      </c>
      <c r="C2355" t="inlineStr">
        <is>
          <t>Phó phòng Tài chính 27611 - KCN Sông Khoai, Quảng Ninh</t>
        </is>
      </c>
      <c r="D2355" t="inlineStr">
        <is>
          <t>Công Ty TNHH Reeracoen Việt Nam</t>
        </is>
      </c>
      <c r="E2355" t="inlineStr">
        <is>
          <t>Lương:30 Tr - 38 Tr VND</t>
        </is>
      </c>
      <c r="F2355" t="inlineStr">
        <is>
          <t>Quảng Ninh</t>
        </is>
      </c>
      <c r="G2355" t="inlineStr">
        <is>
          <t>12-04-2026</t>
        </is>
      </c>
      <c r="H2355" t="inlineStr">
        <is>
          <t>12/04/2026</t>
        </is>
      </c>
      <c r="I2355" t="inlineStr">
        <is>
          <t>17/03/2026</t>
        </is>
      </c>
      <c r="J2355" t="inlineStr">
        <is>
          <t>Tài chính / Đầu tư, Kế toán / Kiểm toán, Quản lý điều hành</t>
        </is>
      </c>
      <c r="K2355" t="inlineStr">
        <is>
          <t>Trên 5 Năm</t>
        </is>
      </c>
      <c r="L2355" s="8">
        <f>HYPERLINK("https://careerviet.vn/vi/tim-viec-lam/pho-phong-tai-chinh-27611-kcn-song-khoai-quang-ninh.35C6C53C.html","Xem chi tiết")</f>
        <v/>
      </c>
    </row>
    <row r="2356">
      <c r="B2356" s="9" t="n">
        <v>2354</v>
      </c>
      <c r="C2356" s="10" t="inlineStr">
        <is>
          <t>3D EVENT DESIGNER/ Nhân viên thiết kế sự kiện 3D</t>
        </is>
      </c>
      <c r="D2356" s="10" t="inlineStr">
        <is>
          <t>CÔNG TY CỔ PHẦN TRUYỀN THÔNG ÁNH SAO XANH</t>
        </is>
      </c>
      <c r="E2356" s="10" t="inlineStr">
        <is>
          <t>Lương:Cạnh tranh</t>
        </is>
      </c>
      <c r="F2356" s="10" t="inlineStr">
        <is>
          <t>Hồ Chí Minh</t>
        </is>
      </c>
      <c r="G2356" s="10" t="inlineStr">
        <is>
          <t>11-04-2026</t>
        </is>
      </c>
      <c r="H2356" s="10" t="inlineStr">
        <is>
          <t>11/04/2026</t>
        </is>
      </c>
      <c r="I2356" s="10" t="inlineStr">
        <is>
          <t>17/03/2026</t>
        </is>
      </c>
      <c r="J2356" s="10" t="inlineStr">
        <is>
          <t>Tổ chức sự kiện, Du lịch, Quảng cáo / Đối ngoại / Truyền Thông</t>
        </is>
      </c>
      <c r="K2356" s="10" t="inlineStr">
        <is>
          <t>3 - 5 Năm</t>
        </is>
      </c>
      <c r="L2356" s="11">
        <f>HYPERLINK("https://careerviet.vn/vi/tim-viec-lam/3d-event-designer-nhan-vien-thiet-ke-su-kien-3d.35C6C314.html","Xem chi tiết")</f>
        <v/>
      </c>
      <c r="M2356" s="10" t="n"/>
    </row>
    <row r="2357">
      <c r="B2357" s="7" t="n">
        <v>2355</v>
      </c>
      <c r="C2357" t="inlineStr">
        <is>
          <t>Nhân viên kế toán 27782 - KCX Tân Thuận, HCM</t>
        </is>
      </c>
      <c r="D2357" t="inlineStr">
        <is>
          <t>Công Ty TNHH Reeracoen Việt Nam</t>
        </is>
      </c>
      <c r="E2357" t="inlineStr">
        <is>
          <t>Lương:10 Tr - 13 Tr VND</t>
        </is>
      </c>
      <c r="F2357" t="inlineStr">
        <is>
          <t>Hồ Chí Minh</t>
        </is>
      </c>
      <c r="G2357" t="inlineStr">
        <is>
          <t>12-04-2026</t>
        </is>
      </c>
      <c r="H2357" t="inlineStr">
        <is>
          <t>12/04/2026</t>
        </is>
      </c>
      <c r="I2357" t="inlineStr">
        <is>
          <t>17/03/2026</t>
        </is>
      </c>
      <c r="J2357" t="inlineStr">
        <is>
          <t>Kế toán / Kiểm toán, Tài chính / Đầu tư, Hành chính / Thư ký</t>
        </is>
      </c>
      <c r="K2357" t="inlineStr">
        <is>
          <t>Trên 1 Năm</t>
        </is>
      </c>
      <c r="L2357" s="8">
        <f>HYPERLINK("https://careerviet.vn/vi/tim-viec-lam/nhan-vien-ke-toan-27782-kcx-tan-thuan-hcm.35C6C32A.html","Xem chi tiết")</f>
        <v/>
      </c>
    </row>
    <row r="2358">
      <c r="B2358" s="9" t="n">
        <v>2356</v>
      </c>
      <c r="C2358" s="10" t="inlineStr">
        <is>
          <t>Total Rewards Supervisor (Securities Industry)</t>
        </is>
      </c>
      <c r="D2358" s="10" t="inlineStr">
        <is>
          <t>Phu Hung Securities Corporation</t>
        </is>
      </c>
      <c r="E2358" s="10" t="inlineStr">
        <is>
          <t>Lương:Cạnh tranh</t>
        </is>
      </c>
      <c r="F2358" s="10" t="inlineStr">
        <is>
          <t>Hồ Chí Minh</t>
        </is>
      </c>
      <c r="G2358" s="10" t="inlineStr">
        <is>
          <t>13-04-2026</t>
        </is>
      </c>
      <c r="H2358" s="10" t="inlineStr">
        <is>
          <t>13/04/2026</t>
        </is>
      </c>
      <c r="I2358" s="10" t="inlineStr">
        <is>
          <t>17/03/2026</t>
        </is>
      </c>
      <c r="J2358" s="10" t="inlineStr">
        <is>
          <t>Nhân sự, Chứng khoán, Tài chính / Đầu tư</t>
        </is>
      </c>
      <c r="K2358" s="10" t="inlineStr">
        <is>
          <t>4 - 6 Năm</t>
        </is>
      </c>
      <c r="L2358" s="11">
        <f>HYPERLINK("https://careerviet.vn/vi/tim-viec-lam/total-rewards-supervisor-securities-industry.35C6C328.html","Xem chi tiết")</f>
        <v/>
      </c>
      <c r="M2358" s="10" t="n"/>
    </row>
    <row r="2359">
      <c r="B2359" s="7" t="n">
        <v>2357</v>
      </c>
      <c r="C2359" t="inlineStr">
        <is>
          <t>Chuyên Viên Pháp Chế Sở Hữu Trí Tuệ Và Sản Phẩm</t>
        </is>
      </c>
      <c r="D2359" t="inlineStr">
        <is>
          <t>Công ty Cổ Phần Thực Phẩm Dinh Dưỡng NutiFood</t>
        </is>
      </c>
      <c r="E2359" t="inlineStr">
        <is>
          <t>Lương:Cạnh tranh</t>
        </is>
      </c>
      <c r="F2359" t="inlineStr">
        <is>
          <t>Hồ Chí Minh</t>
        </is>
      </c>
      <c r="G2359" t="inlineStr">
        <is>
          <t>12-04-2026</t>
        </is>
      </c>
      <c r="H2359" t="inlineStr">
        <is>
          <t>12/04/2026</t>
        </is>
      </c>
      <c r="I2359" t="inlineStr">
        <is>
          <t>17/03/2026</t>
        </is>
      </c>
      <c r="J2359" t="inlineStr">
        <is>
          <t>Luật / Pháp lý, Hành chính / Thư ký, Dịch vụ khách hàng</t>
        </is>
      </c>
      <c r="K2359" t="inlineStr">
        <is>
          <t>Trên 2 Năm</t>
        </is>
      </c>
      <c r="L2359" s="8">
        <f>HYPERLINK("https://careerviet.vn/vi/tim-viec-lam/chuyen-vien-phap-che-so-huu-tri-tue-va-san-pham.35C6C2D1.html","Xem chi tiết")</f>
        <v/>
      </c>
    </row>
    <row r="2360">
      <c r="B2360" s="9" t="n">
        <v>2358</v>
      </c>
      <c r="C2360" s="10" t="inlineStr">
        <is>
          <t>[Factory 1] SPO Officer (Environmental Engineering Fresher)</t>
        </is>
      </c>
      <c r="D2360" s="10" t="inlineStr">
        <is>
          <t>CÔNG TY TNHH ROHTO-MENTHOLATUM (VIỆT NAM)</t>
        </is>
      </c>
      <c r="E2360" s="10" t="inlineStr">
        <is>
          <t>Lương:Cạnh tranh</t>
        </is>
      </c>
      <c r="F2360" s="10" t="inlineStr">
        <is>
          <t>Bình Dương</t>
        </is>
      </c>
      <c r="G2360" s="10" t="inlineStr">
        <is>
          <t>11-04-2026</t>
        </is>
      </c>
      <c r="H2360" s="10" t="inlineStr">
        <is>
          <t>11/04/2026</t>
        </is>
      </c>
      <c r="I2360" s="10" t="inlineStr">
        <is>
          <t>17/03/2026</t>
        </is>
      </c>
      <c r="J2360" s="10" t="inlineStr">
        <is>
          <t>Dược phẩm/ Hóa Mỹ Phẩm, An toàn lao động, Môi trường</t>
        </is>
      </c>
      <c r="K2360" s="10" t="inlineStr">
        <is>
          <t>Không yêu cầu kinh nghiệm</t>
        </is>
      </c>
      <c r="L2360" s="11">
        <f>HYPERLINK("https://careerviet.vn/vi/tim-viec-lam/factory-1-spo-officer-environmental-engineering-fresher.35C6C2A0.html","Xem chi tiết")</f>
        <v/>
      </c>
      <c r="M2360" s="10" t="n"/>
    </row>
    <row r="2361">
      <c r="B2361" s="7" t="n">
        <v>2359</v>
      </c>
      <c r="C2361" t="inlineStr">
        <is>
          <t>Chuyên Viên  Dự Toán Nội Thất</t>
        </is>
      </c>
      <c r="D2361" t="inlineStr">
        <is>
          <t>Công ty Cổ phần Tập đoàn Gỗ Minh Long</t>
        </is>
      </c>
      <c r="E2361" t="inlineStr">
        <is>
          <t>Lương:15 Tr - 20 Tr VND</t>
        </is>
      </c>
      <c r="F2361" t="inlineStr">
        <is>
          <t>Hưng Yên</t>
        </is>
      </c>
      <c r="G2361" t="inlineStr">
        <is>
          <t>11-04-2026</t>
        </is>
      </c>
      <c r="H2361" t="inlineStr">
        <is>
          <t>11/04/2026</t>
        </is>
      </c>
      <c r="I2361" t="inlineStr">
        <is>
          <t>17/03/2026</t>
        </is>
      </c>
      <c r="J2361" t="inlineStr">
        <is>
          <t>Kiến trúc, Xây dựng, Nội ngoại thất</t>
        </is>
      </c>
      <c r="K2361" t="inlineStr">
        <is>
          <t>1 - 3 Năm</t>
        </is>
      </c>
      <c r="L2361" s="8">
        <f>HYPERLINK("https://careerviet.vn/vi/tim-viec-lam/chuyen-vien-du-toan-noi-that.35C6C2FA.html","Xem chi tiết")</f>
        <v/>
      </c>
    </row>
    <row r="2362">
      <c r="B2362" s="9" t="n">
        <v>2360</v>
      </c>
      <c r="C2362" s="10" t="inlineStr">
        <is>
          <t>QA Store (Chỉ tuyển nam)</t>
        </is>
      </c>
      <c r="D2362" s="10" t="inlineStr">
        <is>
          <t>CÔNG TY CỔ PHẦN KING FOOD MARKET</t>
        </is>
      </c>
      <c r="E2362" s="10" t="inlineStr">
        <is>
          <t>Lương:10 Tr - 12 Tr VND</t>
        </is>
      </c>
      <c r="F2362" s="10" t="inlineStr">
        <is>
          <t>Hồ Chí Minh</t>
        </is>
      </c>
      <c r="G2362" s="10" t="inlineStr">
        <is>
          <t>12-04-2026</t>
        </is>
      </c>
      <c r="H2362" s="10" t="inlineStr">
        <is>
          <t>12/04/2026</t>
        </is>
      </c>
      <c r="I2362" s="10" t="inlineStr">
        <is>
          <t>17/03/2026</t>
        </is>
      </c>
      <c r="J2362" s="10" t="inlineStr">
        <is>
          <t>Bán lẻ / Bán sỉ, Quản lý chất lượng (QA/QC), Thực phẩm &amp; Đồ uống</t>
        </is>
      </c>
      <c r="K2362" s="10" t="inlineStr">
        <is>
          <t>1 - 2 Năm</t>
        </is>
      </c>
      <c r="L2362" s="11">
        <f>HYPERLINK("https://careerviet.vn/vi/tim-viec-lam/qa-store-chi-tuyen-nam.35C6C2EA.html","Xem chi tiết")</f>
        <v/>
      </c>
      <c r="M2362" s="10" t="n"/>
    </row>
    <row r="2363">
      <c r="B2363" s="7" t="n">
        <v>2361</v>
      </c>
      <c r="C2363" t="inlineStr">
        <is>
          <t>C&amp;B Staff</t>
        </is>
      </c>
      <c r="D2363" t="inlineStr">
        <is>
          <t>Công ty TNHH, Liên Doanh Vĩnh Hưng (TMI Việt Nam)</t>
        </is>
      </c>
      <c r="E2363" t="inlineStr">
        <is>
          <t>Lương:10 Tr - 11 Tr VND</t>
        </is>
      </c>
      <c r="F2363" t="inlineStr">
        <is>
          <t>Hồ Chí Minh</t>
        </is>
      </c>
      <c r="G2363" t="inlineStr">
        <is>
          <t>14-04-2026</t>
        </is>
      </c>
      <c r="H2363" t="inlineStr">
        <is>
          <t>14/04/2026</t>
        </is>
      </c>
      <c r="I2363" t="inlineStr">
        <is>
          <t>17/03/2026</t>
        </is>
      </c>
      <c r="J2363" t="inlineStr">
        <is>
          <t>Hành chính / Thư ký, Nhân sự, Kế toán / Kiểm toán</t>
        </is>
      </c>
      <c r="K2363" t="inlineStr">
        <is>
          <t>1 - 5 Năm</t>
        </is>
      </c>
      <c r="L2363" s="8">
        <f>HYPERLINK("https://careerviet.vn/vi/tim-viec-lam/c-b-staff.35C6C322.html","Xem chi tiết")</f>
        <v/>
      </c>
    </row>
    <row r="2364">
      <c r="B2364" s="9" t="n">
        <v>2362</v>
      </c>
      <c r="C2364" s="10" t="inlineStr">
        <is>
          <t>Trợ Lý Kinh Doanh - Sale Admin</t>
        </is>
      </c>
      <c r="D2364" s="10" t="inlineStr">
        <is>
          <t>CÔNG TY TNHH ĐẦU TƯ PHÁT TRIỂN THƯƠNG MẠI DỊCH VỤ HÀ TRUNG</t>
        </is>
      </c>
      <c r="E2364" s="10" t="inlineStr">
        <is>
          <t>Lương:10 Tr - 12 Tr VND</t>
        </is>
      </c>
      <c r="F2364" s="10" t="inlineStr">
        <is>
          <t>Hà Nội</t>
        </is>
      </c>
      <c r="G2364" s="10" t="inlineStr">
        <is>
          <t>12-04-2026</t>
        </is>
      </c>
      <c r="H2364" s="10" t="inlineStr">
        <is>
          <t>12/04/2026</t>
        </is>
      </c>
      <c r="I2364" s="10" t="inlineStr">
        <is>
          <t>17/03/2026</t>
        </is>
      </c>
      <c r="J2364" s="10" t="inlineStr">
        <is>
          <t>Bán hàng / Kinh doanh, Hành chính / Thư ký, Tiếp thị / Marketing</t>
        </is>
      </c>
      <c r="K2364" s="10" t="inlineStr">
        <is>
          <t>Trên 1 Năm</t>
        </is>
      </c>
      <c r="L2364" s="11">
        <f>HYPERLINK("https://careerviet.vn/vi/tim-viec-lam/tro-ly-kinh-doanh-sale-admin.35C6C2BB.html","Xem chi tiết")</f>
        <v/>
      </c>
      <c r="M2364" s="10" t="n"/>
    </row>
    <row r="2365">
      <c r="B2365" s="7" t="n">
        <v>2363</v>
      </c>
      <c r="C2365" t="inlineStr">
        <is>
          <t>Mechanical engineering (CNC)</t>
        </is>
      </c>
      <c r="D2365" t="inlineStr">
        <is>
          <t>Công ty TNHH OT MOTOR VINA</t>
        </is>
      </c>
      <c r="E2365" t="inlineStr">
        <is>
          <t>Lương:12 Tr - 16 Tr VND</t>
        </is>
      </c>
      <c r="F2365" t="inlineStr">
        <is>
          <t>Đồng Nai</t>
        </is>
      </c>
      <c r="G2365" t="inlineStr">
        <is>
          <t>06-04-2026</t>
        </is>
      </c>
      <c r="H2365" t="inlineStr">
        <is>
          <t>06/04/2026</t>
        </is>
      </c>
      <c r="I2365" t="inlineStr">
        <is>
          <t>17/03/2026</t>
        </is>
      </c>
      <c r="J2365" t="inlineStr">
        <is>
          <t>Cơ khí / Ô tô / Tự động hóa</t>
        </is>
      </c>
      <c r="K2365" t="inlineStr">
        <is>
          <t>N/A</t>
        </is>
      </c>
      <c r="L2365" s="8">
        <f>HYPERLINK("https://careerviet.vn/vi/tim-viec-lam/mechanical-engineering-cnc.35C6C2F3.html","Xem chi tiết")</f>
        <v/>
      </c>
    </row>
    <row r="2366">
      <c r="B2366" s="9" t="n">
        <v>2364</v>
      </c>
      <c r="C2366" s="10" t="inlineStr">
        <is>
          <t>HR Manager</t>
        </is>
      </c>
      <c r="D2366" s="10" t="inlineStr">
        <is>
          <t>CHI NHÁNH THÀNH PHỐ HỒ CHÍ MINH – CÔNG TY TNHH HỆ THỐNG CÔNG NGHỆ TIẾP VẬN KUKDONG</t>
        </is>
      </c>
      <c r="E2366" s="10" t="inlineStr">
        <is>
          <t>Lương:25 Tr - 30 Tr VND</t>
        </is>
      </c>
      <c r="F2366" s="10" t="inlineStr">
        <is>
          <t>Hồ Chí Minh</t>
        </is>
      </c>
      <c r="G2366" s="10" t="inlineStr">
        <is>
          <t>12-04-2026</t>
        </is>
      </c>
      <c r="H2366" s="10" t="inlineStr">
        <is>
          <t>12/04/2026</t>
        </is>
      </c>
      <c r="I2366" s="10" t="inlineStr">
        <is>
          <t>17/03/2026</t>
        </is>
      </c>
      <c r="J2366" s="10" t="inlineStr">
        <is>
          <t>Nhân sự, Hành chính / Thư ký</t>
        </is>
      </c>
      <c r="K2366" s="10" t="inlineStr">
        <is>
          <t>5 - 6 Năm</t>
        </is>
      </c>
      <c r="L2366" s="11">
        <f>HYPERLINK("https://careerviet.vn/vi/tim-viec-lam/hr-manager.35C6C311.html","Xem chi tiết")</f>
        <v/>
      </c>
      <c r="M2366" s="10" t="n"/>
    </row>
    <row r="2367">
      <c r="B2367" s="7" t="n">
        <v>2365</v>
      </c>
      <c r="C2367" t="inlineStr">
        <is>
          <t>Chuyên Viên Giám Sát Nội Thất</t>
        </is>
      </c>
      <c r="D2367" t="inlineStr">
        <is>
          <t>Công ty Cổ phần Tập đoàn Gỗ Minh Long</t>
        </is>
      </c>
      <c r="E2367" t="inlineStr">
        <is>
          <t>Lương:15 Tr - 20 Tr VND</t>
        </is>
      </c>
      <c r="F2367" t="inlineStr">
        <is>
          <t>Hà Nội</t>
        </is>
      </c>
      <c r="G2367" t="inlineStr">
        <is>
          <t>11-04-2026</t>
        </is>
      </c>
      <c r="H2367" t="inlineStr">
        <is>
          <t>11/04/2026</t>
        </is>
      </c>
      <c r="I2367" t="inlineStr">
        <is>
          <t>17/03/2026</t>
        </is>
      </c>
      <c r="J2367" t="inlineStr">
        <is>
          <t>Kiến trúc, Nội ngoại thất, Xây dựng</t>
        </is>
      </c>
      <c r="K2367" t="inlineStr">
        <is>
          <t>1 - 3 Năm</t>
        </is>
      </c>
      <c r="L2367" s="8">
        <f>HYPERLINK("https://careerviet.vn/vi/tim-viec-lam/chuyen-vien-giam-sat-noi-that.35C6C2F2.html","Xem chi tiết")</f>
        <v/>
      </c>
    </row>
    <row r="2368">
      <c r="B2368" s="9" t="n">
        <v>2366</v>
      </c>
      <c r="C2368" s="10" t="inlineStr">
        <is>
          <t>Giám Sát Thi Công Làm Việc Tại TPHCM - Lương Từ 15-20 Triệu</t>
        </is>
      </c>
      <c r="D2368" s="10" t="inlineStr">
        <is>
          <t>CÔNG TY TNHH ĐẦU TƯ XÂY DỰNG QUÂN ĐẠT</t>
        </is>
      </c>
      <c r="E2368" s="10" t="inlineStr">
        <is>
          <t>Lương:15 Tr - 20 Tr VND</t>
        </is>
      </c>
      <c r="F2368" s="10" t="inlineStr">
        <is>
          <t>Hồ Chí Minh</t>
        </is>
      </c>
      <c r="G2368" s="10" t="inlineStr">
        <is>
          <t>11-04-2026</t>
        </is>
      </c>
      <c r="H2368" s="10" t="inlineStr">
        <is>
          <t>11/04/2026</t>
        </is>
      </c>
      <c r="I2368" s="10" t="inlineStr">
        <is>
          <t>17/03/2026</t>
        </is>
      </c>
      <c r="J2368" s="10" t="inlineStr">
        <is>
          <t>Kiến trúc, Xây dựng, Nội ngoại thất</t>
        </is>
      </c>
      <c r="K2368" s="10" t="inlineStr">
        <is>
          <t>1 Năm</t>
        </is>
      </c>
      <c r="L2368" s="11">
        <f>HYPERLINK("https://careerviet.vn/vi/tim-viec-lam/giam-sat-thi-cong-lam-viec-tai-tphcm-luong-tu-15-20-trieu.35C6C2ED.html","Xem chi tiết")</f>
        <v/>
      </c>
      <c r="M2368" s="10" t="n"/>
    </row>
    <row r="2369">
      <c r="B2369" s="7" t="n">
        <v>2367</v>
      </c>
      <c r="C2369" t="inlineStr">
        <is>
          <t>Academic Coach (Cố Vấn Học Tập)  - Go Vap District</t>
        </is>
      </c>
      <c r="D2369" t="inlineStr">
        <is>
          <t>Wall Street English</t>
        </is>
      </c>
      <c r="E2369" t="inlineStr">
        <is>
          <t>Lương:10 Tr - 12 Tr VND</t>
        </is>
      </c>
      <c r="F2369" t="inlineStr">
        <is>
          <t>Hồ Chí Minh</t>
        </is>
      </c>
      <c r="G2369" t="inlineStr">
        <is>
          <t>12-04-2026</t>
        </is>
      </c>
      <c r="H2369" t="inlineStr">
        <is>
          <t>12/04/2026</t>
        </is>
      </c>
      <c r="I2369" t="inlineStr">
        <is>
          <t>17/03/2026</t>
        </is>
      </c>
      <c r="J2369" t="inlineStr">
        <is>
          <t>Tư vấn, Dịch vụ khách hàng, Giáo dục / Đào tạo</t>
        </is>
      </c>
      <c r="K2369" t="inlineStr">
        <is>
          <t>2 - 3 Năm</t>
        </is>
      </c>
      <c r="L2369" s="8">
        <f>HYPERLINK("https://careerviet.vn/vi/tim-viec-lam/academic-coach-co-van-hoc-tap-go-vap-district.35C6C2EF.html","Xem chi tiết")</f>
        <v/>
      </c>
    </row>
    <row r="2370">
      <c r="B2370" s="9" t="n">
        <v>2368</v>
      </c>
      <c r="C2370" s="10" t="inlineStr">
        <is>
          <t>Network Engineer - Kỹ sư mạng</t>
        </is>
      </c>
      <c r="D2370" s="10" t="inlineStr">
        <is>
          <t>Chi Nhánh Thành Phố Hồ Chí Minh Công Ty TNHH SNET Việt Nam</t>
        </is>
      </c>
      <c r="E2370" s="10" t="inlineStr">
        <is>
          <t>Lương:20 Tr - 25 Tr VND</t>
        </is>
      </c>
      <c r="F2370" s="10" t="inlineStr">
        <is>
          <t>Hồ Chí Minh</t>
        </is>
      </c>
      <c r="G2370" s="10" t="inlineStr">
        <is>
          <t>30-04-2026</t>
        </is>
      </c>
      <c r="H2370" s="10" t="inlineStr">
        <is>
          <t>30/04/2026</t>
        </is>
      </c>
      <c r="I2370" s="10" t="inlineStr">
        <is>
          <t>17/03/2026</t>
        </is>
      </c>
      <c r="J2370" s="10" t="inlineStr">
        <is>
          <t>Bưu chính viễn thông, CNTT - Phần mềm, CNTT - Phần cứng / Mạng</t>
        </is>
      </c>
      <c r="K2370" s="10" t="inlineStr">
        <is>
          <t>4 - 6 Năm</t>
        </is>
      </c>
      <c r="L2370" s="11">
        <f>HYPERLINK("https://careerviet.vn/vi/tim-viec-lam/network-engineer-ky-su-mang.35C6C2E8.html","Xem chi tiết")</f>
        <v/>
      </c>
      <c r="M2370" s="10" t="n"/>
    </row>
    <row r="2371">
      <c r="B2371" s="7" t="n">
        <v>2369</v>
      </c>
      <c r="C2371" t="inlineStr">
        <is>
          <t>Chuyên Viên Nhân Sự (mạnh Tuyển Dụng - Đào tạo)</t>
        </is>
      </c>
      <c r="D2371" t="inlineStr">
        <is>
          <t>CÔNG TY CỔ PHẦN CHẾ BIẾN THỰC PHẨM HOÀNG SƠN</t>
        </is>
      </c>
      <c r="E2371" t="inlineStr">
        <is>
          <t>Lương:12 Tr - 15 Tr VND</t>
        </is>
      </c>
      <c r="F2371" t="inlineStr">
        <is>
          <t>Bình Dương</t>
        </is>
      </c>
      <c r="G2371" t="inlineStr">
        <is>
          <t>30-04-2026</t>
        </is>
      </c>
      <c r="H2371" t="inlineStr">
        <is>
          <t>30/04/2026</t>
        </is>
      </c>
      <c r="I2371" t="inlineStr">
        <is>
          <t>17/03/2026</t>
        </is>
      </c>
      <c r="J2371" t="inlineStr">
        <is>
          <t>Nhân sự, Hành chính / Thư ký</t>
        </is>
      </c>
      <c r="K2371" t="inlineStr">
        <is>
          <t>1 - 3 Năm</t>
        </is>
      </c>
      <c r="L2371" s="8">
        <f>HYPERLINK("https://careerviet.vn/vi/tim-viec-lam/chuyen-vien-nhan-su-manh-tuyen-dung-dao-tao.35C6C2CC.html","Xem chi tiết")</f>
        <v/>
      </c>
    </row>
    <row r="2372">
      <c r="B2372" s="9" t="n">
        <v>2370</v>
      </c>
      <c r="C2372" s="10" t="inlineStr">
        <is>
          <t>KỸ SƯ TỰ ĐỘNG HÓA</t>
        </is>
      </c>
      <c r="D2372" s="10" t="inlineStr">
        <is>
          <t>CÔNG TY CỔ PHẦN CHẾ BIẾN THỰC PHẨM HOÀNG SƠN</t>
        </is>
      </c>
      <c r="E2372" s="10" t="inlineStr">
        <is>
          <t>Lương:Cạnh tranh</t>
        </is>
      </c>
      <c r="F2372" s="10" t="inlineStr">
        <is>
          <t>Bình Dương</t>
        </is>
      </c>
      <c r="G2372" s="10" t="inlineStr">
        <is>
          <t>31-03-2026</t>
        </is>
      </c>
      <c r="H2372" s="10" t="inlineStr">
        <is>
          <t>31/03/2026</t>
        </is>
      </c>
      <c r="I2372" s="10" t="inlineStr">
        <is>
          <t>17/03/2026</t>
        </is>
      </c>
      <c r="J2372" s="10" t="inlineStr">
        <is>
          <t>Bảo trì / Sửa chữa, Điện / Điện tử / Điện lạnh / Điện công nghiệp, Cơ khí / Ô tô / Tự động hóa</t>
        </is>
      </c>
      <c r="K2372" s="10" t="inlineStr">
        <is>
          <t>2 - 5 Năm</t>
        </is>
      </c>
      <c r="L2372" s="11">
        <f>HYPERLINK("https://careerviet.vn/vi/tim-viec-lam/ky-su-tu-dong-hoa.35C6C2E2.html","Xem chi tiết")</f>
        <v/>
      </c>
      <c r="M2372" s="10" t="n"/>
    </row>
    <row r="2373">
      <c r="B2373" s="7" t="n">
        <v>2371</v>
      </c>
      <c r="C2373" t="inlineStr">
        <is>
          <t>[Factory 1] RA Officer (Pharmacy/ Chemical/ Biotech)</t>
        </is>
      </c>
      <c r="D2373" t="inlineStr">
        <is>
          <t>CÔNG TY TNHH ROHTO-MENTHOLATUM (VIỆT NAM)</t>
        </is>
      </c>
      <c r="E2373" t="inlineStr">
        <is>
          <t>Lương:Cạnh tranh</t>
        </is>
      </c>
      <c r="F2373" t="inlineStr">
        <is>
          <t>Bình Dương</t>
        </is>
      </c>
      <c r="G2373" t="inlineStr">
        <is>
          <t>11-04-2026</t>
        </is>
      </c>
      <c r="H2373" t="inlineStr">
        <is>
          <t>11/04/2026</t>
        </is>
      </c>
      <c r="I2373" t="inlineStr">
        <is>
          <t>17/03/2026</t>
        </is>
      </c>
      <c r="J2373" t="inlineStr">
        <is>
          <t>Dược phẩm/ Hóa Mỹ Phẩm, Y tế / Chăm sóc sức khỏe / Thẩm mỹ / Làm đẹp</t>
        </is>
      </c>
      <c r="K2373" t="inlineStr">
        <is>
          <t>Không yêu cầu kinh nghiệm</t>
        </is>
      </c>
      <c r="L2373" s="8">
        <f>HYPERLINK("https://careerviet.vn/vi/tim-viec-lam/factory-1-ra-officer-pharmacy-chemical-biotech.35C6C2D9.html","Xem chi tiết")</f>
        <v/>
      </c>
    </row>
    <row r="2374">
      <c r="B2374" s="9" t="n">
        <v>2372</v>
      </c>
      <c r="C2374" s="10" t="inlineStr">
        <is>
          <t>Sample Material Procurement Lead (Bottom team)</t>
        </is>
      </c>
      <c r="D2374" s="10" t="inlineStr">
        <is>
          <t>CÔNG TY TNHH POUYUEN VIỆT NAM</t>
        </is>
      </c>
      <c r="E2374" s="10" t="inlineStr">
        <is>
          <t>Lương:Cạnh tranh</t>
        </is>
      </c>
      <c r="F2374" s="10" t="inlineStr">
        <is>
          <t>Hồ Chí Minh</t>
        </is>
      </c>
      <c r="G2374" s="10" t="inlineStr">
        <is>
          <t>30-04-2026</t>
        </is>
      </c>
      <c r="H2374" s="10" t="inlineStr">
        <is>
          <t>30/04/2026</t>
        </is>
      </c>
      <c r="I2374" s="10" t="inlineStr">
        <is>
          <t>17/03/2026</t>
        </is>
      </c>
      <c r="J2374" s="10" t="inlineStr">
        <is>
          <t>Sản xuất / Vận hành sản xuất, Dệt may / Da giày / Thời trang, Thu mua / Vật tư</t>
        </is>
      </c>
      <c r="K2374" s="10" t="inlineStr">
        <is>
          <t>5 - 8 Năm</t>
        </is>
      </c>
      <c r="L2374" s="11">
        <f>HYPERLINK("https://careerviet.vn/vi/tim-viec-lam/sample-material-procurement-lead-bottom-team.35C6C2E1.html","Xem chi tiết")</f>
        <v/>
      </c>
      <c r="M2374" s="10" t="n"/>
    </row>
    <row r="2375">
      <c r="B2375" s="7" t="n">
        <v>2373</v>
      </c>
      <c r="C2375" t="inlineStr">
        <is>
          <t>Trưởng phòng Nhân sự</t>
        </is>
      </c>
      <c r="D2375" t="inlineStr">
        <is>
          <t>Công Ty Cổ Phần Đông Tây Land</t>
        </is>
      </c>
      <c r="E2375" t="inlineStr">
        <is>
          <t>Lương:30 Tr - 35 Tr VND</t>
        </is>
      </c>
      <c r="F2375" t="inlineStr">
        <is>
          <t>Hồ Chí Minh</t>
        </is>
      </c>
      <c r="G2375" t="inlineStr">
        <is>
          <t>10-04-2026</t>
        </is>
      </c>
      <c r="H2375" t="inlineStr">
        <is>
          <t>10/04/2026</t>
        </is>
      </c>
      <c r="I2375" t="inlineStr">
        <is>
          <t>17/03/2026</t>
        </is>
      </c>
      <c r="J2375" t="inlineStr">
        <is>
          <t>Nhân sự, Bất động sản, Luật / Pháp lý</t>
        </is>
      </c>
      <c r="K2375" t="inlineStr">
        <is>
          <t>3 - 5 Năm</t>
        </is>
      </c>
      <c r="L2375" s="8">
        <f>HYPERLINK("https://careerviet.vn/vi/tim-viec-lam/truong-phong-nhan-su.35C6C2C6.html","Xem chi tiết")</f>
        <v/>
      </c>
    </row>
    <row r="2376">
      <c r="B2376" s="9" t="n">
        <v>2374</v>
      </c>
      <c r="C2376" s="10" t="inlineStr">
        <is>
          <t>Nhân viên QC</t>
        </is>
      </c>
      <c r="D2376" s="10" t="inlineStr">
        <is>
          <t>Levents Global</t>
        </is>
      </c>
      <c r="E2376" s="10" t="inlineStr">
        <is>
          <t>Lương:Cạnh tranh</t>
        </is>
      </c>
      <c r="F2376" s="10" t="inlineStr">
        <is>
          <t>Hồ Chí Minh</t>
        </is>
      </c>
      <c r="G2376" s="10" t="inlineStr">
        <is>
          <t>11-04-2026</t>
        </is>
      </c>
      <c r="H2376" s="10" t="inlineStr">
        <is>
          <t>11/04/2026</t>
        </is>
      </c>
      <c r="I2376" s="10" t="inlineStr">
        <is>
          <t>17/03/2026</t>
        </is>
      </c>
      <c r="J2376" s="10" t="inlineStr">
        <is>
          <t>Sản xuất / Vận hành sản xuất, Vận chuyển / Giao nhận / Kho vận, Bán hàng / Kinh doanh</t>
        </is>
      </c>
      <c r="K2376" s="10" t="inlineStr">
        <is>
          <t>1 - 2 Năm</t>
        </is>
      </c>
      <c r="L2376" s="11">
        <f>HYPERLINK("https://careerviet.vn/vi/tim-viec-lam/nhan-vien-qc.35C6C2DF.html","Xem chi tiết")</f>
        <v/>
      </c>
      <c r="M2376" s="10" t="n"/>
    </row>
    <row r="2377">
      <c r="B2377" s="7" t="n">
        <v>2375</v>
      </c>
      <c r="C2377" t="inlineStr">
        <is>
          <t>International Sales Manager (Agriculture Products)</t>
        </is>
      </c>
      <c r="D2377" t="inlineStr">
        <is>
          <t>CÔNG TY CỔ PHẦN HỢP TÁC ĐẦU TƯ &amp; CÔNG NGHỆ TECHCOOP</t>
        </is>
      </c>
      <c r="E2377" t="inlineStr">
        <is>
          <t>Lương:20 Tr - 35 Tr VND</t>
        </is>
      </c>
      <c r="F2377" t="inlineStr">
        <is>
          <t>Hồ Chí MinhHà Nội</t>
        </is>
      </c>
      <c r="G2377" t="inlineStr">
        <is>
          <t>31-03-2026</t>
        </is>
      </c>
      <c r="H2377" t="inlineStr">
        <is>
          <t>31/03/2026</t>
        </is>
      </c>
      <c r="I2377" t="inlineStr">
        <is>
          <t>17/03/2026</t>
        </is>
      </c>
      <c r="J2377" t="inlineStr">
        <is>
          <t>Bán hàng / Kinh doanh, Nông nghiệp, Xuất nhập khẩu</t>
        </is>
      </c>
      <c r="K2377" t="inlineStr">
        <is>
          <t>4 - 10 Năm</t>
        </is>
      </c>
      <c r="L2377" s="8">
        <f>HYPERLINK("https://careerviet.vn/vi/tim-viec-lam/international-sales-manager-agriculture-products.35C6C295.html","Xem chi tiết")</f>
        <v/>
      </c>
    </row>
    <row r="2378">
      <c r="B2378" s="9" t="n">
        <v>2376</v>
      </c>
      <c r="C2378" s="10" t="inlineStr">
        <is>
          <t>[Factory 1] Engineering Admin Officer (Industrial Management/ Electrical Fresher)</t>
        </is>
      </c>
      <c r="D2378" s="10" t="inlineStr">
        <is>
          <t>CÔNG TY TNHH ROHTO-MENTHOLATUM (VIỆT NAM)</t>
        </is>
      </c>
      <c r="E2378" s="10" t="inlineStr">
        <is>
          <t>Lương:Cạnh tranh</t>
        </is>
      </c>
      <c r="F2378" s="10" t="inlineStr">
        <is>
          <t>Bình Dương</t>
        </is>
      </c>
      <c r="G2378" s="10" t="inlineStr">
        <is>
          <t>11-04-2026</t>
        </is>
      </c>
      <c r="H2378" s="10" t="inlineStr">
        <is>
          <t>11/04/2026</t>
        </is>
      </c>
      <c r="I2378" s="10" t="inlineStr">
        <is>
          <t>17/03/2026</t>
        </is>
      </c>
      <c r="J2378" s="10" t="inlineStr">
        <is>
          <t>Mới tốt nghiệp / Thực tập, Quản lý chất lượng (QA/QC), Hành chính / Thư ký</t>
        </is>
      </c>
      <c r="K2378" s="10" t="inlineStr">
        <is>
          <t>Không yêu cầu kinh nghiệm</t>
        </is>
      </c>
      <c r="L2378" s="11">
        <f>HYPERLINK("https://careerviet.vn/vi/tim-viec-lam/factory-1-engineering-admin-officer-industrial-management-electrical-fresher.35C6C2C8.html","Xem chi tiết")</f>
        <v/>
      </c>
      <c r="M2378" s="10" t="n"/>
    </row>
    <row r="2379">
      <c r="B2379" s="7" t="n">
        <v>2377</v>
      </c>
      <c r="C2379" t="inlineStr">
        <is>
          <t>Nhân viên mua hàng Công trình Nội thất</t>
        </is>
      </c>
      <c r="D2379" t="inlineStr">
        <is>
          <t>CÔNG TY CỔ PHẦN XÂY DỰNG VÀ THƯƠNG MẠI HQS</t>
        </is>
      </c>
      <c r="E2379" t="inlineStr">
        <is>
          <t>Lương:13 Tr - 16 Tr VND</t>
        </is>
      </c>
      <c r="F2379" t="inlineStr">
        <is>
          <t>Hồ Chí Minh</t>
        </is>
      </c>
      <c r="G2379" t="inlineStr">
        <is>
          <t>11-04-2026</t>
        </is>
      </c>
      <c r="H2379" t="inlineStr">
        <is>
          <t>11/04/2026</t>
        </is>
      </c>
      <c r="I2379" t="inlineStr">
        <is>
          <t>17/03/2026</t>
        </is>
      </c>
      <c r="J2379" t="inlineStr">
        <is>
          <t>Thu mua / Vật tư, Xây dựng, Nội ngoại thất</t>
        </is>
      </c>
      <c r="K2379" t="inlineStr">
        <is>
          <t>Trên 1 Năm</t>
        </is>
      </c>
      <c r="L2379" s="8">
        <f>HYPERLINK("https://careerviet.vn/vi/tim-viec-lam/nhan-vien-mua-hang-cong-trinh-noi-that.35C6C2D8.html","Xem chi tiết")</f>
        <v/>
      </c>
    </row>
    <row r="2380">
      <c r="B2380" s="9" t="n">
        <v>2378</v>
      </c>
      <c r="C2380" s="10" t="inlineStr">
        <is>
          <t>AutoCAD Drafter</t>
        </is>
      </c>
      <c r="D2380" s="10" t="inlineStr">
        <is>
          <t>CÔNG TY TNHH SESPRO VIỆT NAM</t>
        </is>
      </c>
      <c r="E2380" s="10" t="inlineStr">
        <is>
          <t>Lương:11 Tr - 15 Tr VND</t>
        </is>
      </c>
      <c r="F2380" s="10" t="inlineStr">
        <is>
          <t>Hồ Chí Minh</t>
        </is>
      </c>
      <c r="G2380" s="10" t="inlineStr">
        <is>
          <t>5</t>
        </is>
      </c>
      <c r="H2380" s="10" t="inlineStr">
        <is>
          <t>22/03/2026</t>
        </is>
      </c>
      <c r="I2380" s="10" t="inlineStr">
        <is>
          <t>17/03/2026</t>
        </is>
      </c>
      <c r="J2380" s="10" t="inlineStr">
        <is>
          <t>Mỹ thuật / Nghệ thuật / Thiết kế, Nội ngoại thất, Kiến trúc</t>
        </is>
      </c>
      <c r="K2380" s="10" t="inlineStr">
        <is>
          <t>1 - 2 Năm</t>
        </is>
      </c>
      <c r="L2380" s="11">
        <f>HYPERLINK("https://careerviet.vn/vi/tim-viec-lam/autocad-drafter.35C68D93.html","Xem chi tiết")</f>
        <v/>
      </c>
      <c r="M2380" s="10" t="n"/>
    </row>
    <row r="2381">
      <c r="B2381" s="7" t="n">
        <v>2379</v>
      </c>
      <c r="C2381" t="inlineStr">
        <is>
          <t>QA Supervisor (Food)</t>
        </is>
      </c>
      <c r="D2381" t="inlineStr">
        <is>
          <t>Công Ty Cổ Phần Dịch Vụ và Cung Cấp Thực Phẩm Quốc Tế-IFSS</t>
        </is>
      </c>
      <c r="E2381" t="inlineStr">
        <is>
          <t>Lương:20 Tr - 25 Tr VND</t>
        </is>
      </c>
      <c r="F2381" t="inlineStr">
        <is>
          <t>Hồ Chí Minh</t>
        </is>
      </c>
      <c r="G2381" t="inlineStr">
        <is>
          <t>12-04-2026</t>
        </is>
      </c>
      <c r="H2381" t="inlineStr">
        <is>
          <t>12/04/2026</t>
        </is>
      </c>
      <c r="I2381" t="inlineStr">
        <is>
          <t>17/03/2026</t>
        </is>
      </c>
      <c r="J2381" t="inlineStr">
        <is>
          <t>Thực phẩm &amp; Đồ uống, Quản lý chất lượng (QA/QC), Công nghệ thực phẩm / Dinh dưỡng</t>
        </is>
      </c>
      <c r="K2381" t="inlineStr">
        <is>
          <t>6 - 20 Năm</t>
        </is>
      </c>
      <c r="L2381" s="8">
        <f>HYPERLINK("https://careerviet.vn/vi/tim-viec-lam/qa-supervisor-food.35C6C2CD.html","Xem chi tiết")</f>
        <v/>
      </c>
    </row>
    <row r="2382">
      <c r="B2382" s="9" t="n">
        <v>2380</v>
      </c>
      <c r="C2382" s="10" t="inlineStr">
        <is>
          <t>[Factory 1] IPC Officer (Chemical/ Biotech/ Pharmacy Fresher)</t>
        </is>
      </c>
      <c r="D2382" s="10" t="inlineStr">
        <is>
          <t>CÔNG TY TNHH ROHTO-MENTHOLATUM (VIỆT NAM)</t>
        </is>
      </c>
      <c r="E2382" s="10" t="inlineStr">
        <is>
          <t>Lương:Cạnh tranh</t>
        </is>
      </c>
      <c r="F2382" s="10" t="inlineStr">
        <is>
          <t>Bình Dương</t>
        </is>
      </c>
      <c r="G2382" s="10" t="inlineStr">
        <is>
          <t>11-04-2026</t>
        </is>
      </c>
      <c r="H2382" s="10" t="inlineStr">
        <is>
          <t>11/04/2026</t>
        </is>
      </c>
      <c r="I2382" s="10" t="inlineStr">
        <is>
          <t>17/03/2026</t>
        </is>
      </c>
      <c r="J2382" s="10" t="inlineStr">
        <is>
          <t>Dược phẩm/ Hóa Mỹ Phẩm, Hàng gia dụng / Chăm sóc cá nhân, Quản lý chất lượng (QA/QC)</t>
        </is>
      </c>
      <c r="K2382" s="10" t="inlineStr">
        <is>
          <t>Không yêu cầu kinh nghiệm</t>
        </is>
      </c>
      <c r="L2382" s="11">
        <f>HYPERLINK("https://careerviet.vn/vi/tim-viec-lam/factory-1-ipc-officer-chemical-biotech-pharmacy-fresher.35C6C2B9.html","Xem chi tiết")</f>
        <v/>
      </c>
      <c r="M2382" s="10" t="n"/>
    </row>
    <row r="2383">
      <c r="B2383" s="7" t="n">
        <v>2381</v>
      </c>
      <c r="C2383" t="inlineStr">
        <is>
          <t>Nhân Viên Kinh Doanh</t>
        </is>
      </c>
      <c r="D2383" t="inlineStr">
        <is>
          <t>Bảo mật</t>
        </is>
      </c>
      <c r="E2383" t="inlineStr">
        <is>
          <t>Lương:18 Tr - 25 Tr VND</t>
        </is>
      </c>
      <c r="F2383" t="inlineStr">
        <is>
          <t>Hồ Chí Minh</t>
        </is>
      </c>
      <c r="G2383" t="inlineStr">
        <is>
          <t>31-03-2026</t>
        </is>
      </c>
      <c r="H2383" t="inlineStr">
        <is>
          <t>31/03/2026</t>
        </is>
      </c>
      <c r="I2383" t="inlineStr">
        <is>
          <t>17/03/2026</t>
        </is>
      </c>
      <c r="J2383" t="inlineStr">
        <is>
          <t>Bán hàng / Kinh doanh, Xuất nhập khẩu, Bán lẻ / Bán sỉ</t>
        </is>
      </c>
      <c r="K2383" t="inlineStr">
        <is>
          <t>N/A</t>
        </is>
      </c>
      <c r="L2383" s="8">
        <f>HYPERLINK("https://careerviet.vn/vi/tim-viec-lam/nhan-vien-kinh-doanh.35C6C291.html","Xem chi tiết")</f>
        <v/>
      </c>
    </row>
    <row r="2384">
      <c r="B2384" s="9" t="n">
        <v>2382</v>
      </c>
      <c r="C2384" s="10" t="inlineStr">
        <is>
          <t>Social Media Specialist</t>
        </is>
      </c>
      <c r="D2384" s="10" t="inlineStr">
        <is>
          <t>Công Ty Cổ phần Tập Đoàn KIDO</t>
        </is>
      </c>
      <c r="E2384" s="10" t="inlineStr">
        <is>
          <t>Lương:Cạnh tranh</t>
        </is>
      </c>
      <c r="F2384" s="10" t="inlineStr">
        <is>
          <t>Hồ Chí Minh</t>
        </is>
      </c>
      <c r="G2384" s="10" t="inlineStr">
        <is>
          <t>09-04-2026</t>
        </is>
      </c>
      <c r="H2384" s="10" t="inlineStr">
        <is>
          <t>09/04/2026</t>
        </is>
      </c>
      <c r="I2384" s="10" t="inlineStr">
        <is>
          <t>17/03/2026</t>
        </is>
      </c>
      <c r="J2384" s="10" t="inlineStr">
        <is>
          <t>Dịch vụ khách hàng, Truyền hình / Báo chí / Biên tập, Quảng cáo / Đối ngoại / Truyền Thông</t>
        </is>
      </c>
      <c r="K2384" s="10" t="inlineStr">
        <is>
          <t>2 - 5 Năm</t>
        </is>
      </c>
      <c r="L2384" s="11">
        <f>HYPERLINK("https://careerviet.vn/vi/tim-viec-lam/social-media-specialist.35C6C2B4.html","Xem chi tiết")</f>
        <v/>
      </c>
      <c r="M2384" s="10" t="n"/>
    </row>
    <row r="2385">
      <c r="B2385" s="7" t="n">
        <v>2383</v>
      </c>
      <c r="C2385" t="inlineStr">
        <is>
          <t>[Factory 1] Packaging Technology Officer</t>
        </is>
      </c>
      <c r="D2385" t="inlineStr">
        <is>
          <t>CÔNG TY TNHH ROHTO-MENTHOLATUM (VIỆT NAM)</t>
        </is>
      </c>
      <c r="E2385" t="inlineStr">
        <is>
          <t>Lương:Cạnh tranh</t>
        </is>
      </c>
      <c r="F2385" t="inlineStr">
        <is>
          <t>Bình Dương</t>
        </is>
      </c>
      <c r="G2385" t="inlineStr">
        <is>
          <t>11-04-2026</t>
        </is>
      </c>
      <c r="H2385" t="inlineStr">
        <is>
          <t>11/04/2026</t>
        </is>
      </c>
      <c r="I2385" t="inlineStr">
        <is>
          <t>17/03/2026</t>
        </is>
      </c>
      <c r="J2385" t="inlineStr">
        <is>
          <t>Mới tốt nghiệp / Thực tập, In ấn / Xuất bản, Hóa học</t>
        </is>
      </c>
      <c r="K2385" t="inlineStr">
        <is>
          <t>Không yêu cầu kinh nghiệm</t>
        </is>
      </c>
      <c r="L2385" s="8">
        <f>HYPERLINK("https://careerviet.vn/vi/tim-viec-lam/factory-1-packaging-technology-officer.35C6C2AC.html","Xem chi tiết")</f>
        <v/>
      </c>
    </row>
    <row r="2386">
      <c r="B2386" s="9" t="n">
        <v>2384</v>
      </c>
      <c r="C2386" s="10" t="inlineStr">
        <is>
          <t>Chuyên Viên Tư Vấn Tuyển Sinh/Nhân Viên Kinh Doanh/Telesales</t>
        </is>
      </c>
      <c r="D2386" s="10" t="inlineStr">
        <is>
          <t>Công ty CP Công nghệ giáo dục Trường học trực tuyến (ONSCHOOL)</t>
        </is>
      </c>
      <c r="E2386" s="10" t="inlineStr">
        <is>
          <t>Lương:16 Tr - 36 Tr VND</t>
        </is>
      </c>
      <c r="F2386" s="10" t="inlineStr">
        <is>
          <t>Hồ Chí MinhHà Nội</t>
        </is>
      </c>
      <c r="G2386" s="10" t="inlineStr">
        <is>
          <t>25-03-2026</t>
        </is>
      </c>
      <c r="H2386" s="10" t="inlineStr">
        <is>
          <t>25/03/2026</t>
        </is>
      </c>
      <c r="I2386" s="10" t="inlineStr">
        <is>
          <t>17/03/2026</t>
        </is>
      </c>
      <c r="J2386" s="10" t="inlineStr">
        <is>
          <t>Giáo dục / Đào tạo, Tài chính / Đầu tư</t>
        </is>
      </c>
      <c r="K2386" s="10" t="inlineStr">
        <is>
          <t>1 - 5 Năm</t>
        </is>
      </c>
      <c r="L2386" s="11">
        <f>HYPERLINK("https://careerviet.vn/vi/tim-viec-lam/chuyen-vien-tu-van-tuyen-sinh-nhan-vien-kinh-doanh-telesales.35C6C28F.html","Xem chi tiết")</f>
        <v/>
      </c>
      <c r="M2386" s="10" t="n"/>
    </row>
    <row r="2387">
      <c r="B2387" s="7" t="n">
        <v>2385</v>
      </c>
      <c r="C2387" t="inlineStr">
        <is>
          <t>Chuyên viên QA</t>
        </is>
      </c>
      <c r="D2387" t="inlineStr">
        <is>
          <t>Bảo mật</t>
        </is>
      </c>
      <c r="E2387" t="inlineStr">
        <is>
          <t>Lương:18 Tr - 22 Tr VND</t>
        </is>
      </c>
      <c r="F2387" t="inlineStr">
        <is>
          <t>Đồng Nai</t>
        </is>
      </c>
      <c r="G2387" t="inlineStr">
        <is>
          <t>31-03-2026</t>
        </is>
      </c>
      <c r="H2387" t="inlineStr">
        <is>
          <t>31/03/2026</t>
        </is>
      </c>
      <c r="I2387" t="inlineStr">
        <is>
          <t>17/03/2026</t>
        </is>
      </c>
      <c r="J2387" t="inlineStr">
        <is>
          <t>Quản lý chất lượng (QA/QC), Sản xuất / Vận hành sản xuất</t>
        </is>
      </c>
      <c r="K2387" t="inlineStr">
        <is>
          <t>3 - 5 Năm</t>
        </is>
      </c>
      <c r="L2387" s="8">
        <f>HYPERLINK("https://careerviet.vn/vi/tim-viec-lam/chuyen-vien-qa.35C6C289.html","Xem chi tiết")</f>
        <v/>
      </c>
    </row>
    <row r="2388">
      <c r="B2388" s="9" t="n">
        <v>2386</v>
      </c>
      <c r="C2388" s="10" t="inlineStr">
        <is>
          <t>TUYỂN DỤNG TRÌNH DƯỢC VIÊN</t>
        </is>
      </c>
      <c r="D2388" s="10" t="inlineStr">
        <is>
          <t>CÔNG TY CỔ PHẦN DƯỢC PHẨM TIPHARCO</t>
        </is>
      </c>
      <c r="E2388" s="10" t="inlineStr">
        <is>
          <t>Lương:Cạnh tranh</t>
        </is>
      </c>
      <c r="F2388" s="10" t="inlineStr">
        <is>
          <t>Tiền Giang</t>
        </is>
      </c>
      <c r="G2388" s="10" t="inlineStr">
        <is>
          <t>11-04-2026</t>
        </is>
      </c>
      <c r="H2388" s="10" t="inlineStr">
        <is>
          <t>11/04/2026</t>
        </is>
      </c>
      <c r="I2388" s="10" t="inlineStr">
        <is>
          <t>17/03/2026</t>
        </is>
      </c>
      <c r="J2388" s="10" t="inlineStr">
        <is>
          <t>Bán hàng / Kinh doanh, Dược phẩm/ Hóa Mỹ Phẩm, Bán lẻ / Bán sỉ</t>
        </is>
      </c>
      <c r="K2388" s="10" t="inlineStr">
        <is>
          <t>N/A</t>
        </is>
      </c>
      <c r="L2388" s="11">
        <f>HYPERLINK("https://careerviet.vn/vi/tim-viec-lam/tuyen-dung-trinh-duoc-vien.35C6C28C.html","Xem chi tiết")</f>
        <v/>
      </c>
      <c r="M2388" s="10" t="n"/>
    </row>
    <row r="2389">
      <c r="B2389" s="7" t="n">
        <v>2387</v>
      </c>
      <c r="C2389" t="inlineStr">
        <is>
          <t>Chuyên viên cao cấp Nghiên cứu Thị trường và Tiền khả thi</t>
        </is>
      </c>
      <c r="D2389" t="inlineStr">
        <is>
          <t>Công Ty Cổ Phần Tập Đoàn Đầu Tư Địa Ốc No Va</t>
        </is>
      </c>
      <c r="E2389" t="inlineStr">
        <is>
          <t>Lương:25 Tr - 35 Tr VND</t>
        </is>
      </c>
      <c r="F2389" t="inlineStr">
        <is>
          <t>Hồ Chí Minh</t>
        </is>
      </c>
      <c r="G2389" t="inlineStr">
        <is>
          <t>12-04-2026</t>
        </is>
      </c>
      <c r="H2389" t="inlineStr">
        <is>
          <t>12/04/2026</t>
        </is>
      </c>
      <c r="I2389" t="inlineStr">
        <is>
          <t>17/03/2026</t>
        </is>
      </c>
      <c r="J2389" t="inlineStr">
        <is>
          <t>Tiếp thị / Marketing, Bất động sản, Tài chính / Đầu tư</t>
        </is>
      </c>
      <c r="K2389" t="inlineStr">
        <is>
          <t>5 - 10 Năm</t>
        </is>
      </c>
      <c r="L2389" s="8">
        <f>HYPERLINK("https://careerviet.vn/vi/tim-viec-lam/chuyen-vien-cao-cap-nghien-cuu-thi-truong-va-tien-kha-thi.35C6C2A9.html","Xem chi tiết")</f>
        <v/>
      </c>
    </row>
    <row r="2390">
      <c r="B2390" s="9" t="n">
        <v>2388</v>
      </c>
      <c r="C2390" s="10" t="inlineStr">
        <is>
          <t>Quản Lý Sản Xuất</t>
        </is>
      </c>
      <c r="D2390" s="10" t="inlineStr">
        <is>
          <t>Chi Nhánh Công Ty TNHH Ojitex (Việt Nam)</t>
        </is>
      </c>
      <c r="E2390" s="10" t="inlineStr">
        <is>
          <t>Lương:15 Tr - 25 Tr VND</t>
        </is>
      </c>
      <c r="F2390" s="10" t="inlineStr">
        <is>
          <t>Bình Dương</t>
        </is>
      </c>
      <c r="G2390" s="10" t="inlineStr">
        <is>
          <t>12-03-2026</t>
        </is>
      </c>
      <c r="H2390" s="10" t="inlineStr">
        <is>
          <t>14/03/2026</t>
        </is>
      </c>
      <c r="I2390" s="10" t="inlineStr">
        <is>
          <t>17/03/2026</t>
        </is>
      </c>
      <c r="J2390" s="10" t="inlineStr">
        <is>
          <t>Cơ khí / Ô tô / Tự động hóa, Bảo trì / Sửa chữa, Sản xuất / Vận hành sản xuất</t>
        </is>
      </c>
      <c r="K2390" s="10" t="inlineStr">
        <is>
          <t>4 - 5 Năm</t>
        </is>
      </c>
      <c r="L2390" s="11">
        <f>HYPERLINK("https://careerviet.vn/vi/tim-viec-lam/quan-ly-san-xuat.35C6958D.html","Xem chi tiết")</f>
        <v/>
      </c>
      <c r="M2390" s="10" t="n"/>
    </row>
    <row r="2391">
      <c r="B2391" s="7" t="n">
        <v>2389</v>
      </c>
      <c r="C2391" t="inlineStr">
        <is>
          <t>Chuyên viên HCNS</t>
        </is>
      </c>
      <c r="D2391" t="inlineStr">
        <is>
          <t>Công Ty Cổ Phần Sản Xuất - Thương Mại Sài Gòn (SMC)</t>
        </is>
      </c>
      <c r="E2391" t="inlineStr">
        <is>
          <t>Lương:15 Tr - 20 Tr VND</t>
        </is>
      </c>
      <c r="F2391" t="inlineStr">
        <is>
          <t>Hồ Chí Minh</t>
        </is>
      </c>
      <c r="G2391" t="inlineStr">
        <is>
          <t>31-03-2026</t>
        </is>
      </c>
      <c r="H2391" t="inlineStr">
        <is>
          <t>31/03/2026</t>
        </is>
      </c>
      <c r="I2391" t="inlineStr">
        <is>
          <t>17/03/2026</t>
        </is>
      </c>
      <c r="J2391" t="inlineStr">
        <is>
          <t>Nhân sự, Hành chính / Thư ký, Luật / Pháp lý</t>
        </is>
      </c>
      <c r="K2391" t="inlineStr">
        <is>
          <t>Trên 5 Năm</t>
        </is>
      </c>
      <c r="L2391" s="8">
        <f>HYPERLINK("https://careerviet.vn/vi/tim-viec-lam/chuyen-vien-hcns.35C6C2C5.html","Xem chi tiết")</f>
        <v/>
      </c>
    </row>
    <row r="2392">
      <c r="B2392" s="9" t="n">
        <v>2390</v>
      </c>
      <c r="C2392" s="10" t="inlineStr">
        <is>
          <t>Chuyên viên Tài chính</t>
        </is>
      </c>
      <c r="D2392" s="10" t="inlineStr">
        <is>
          <t>Viet Han Concrete JSC.,</t>
        </is>
      </c>
      <c r="E2392" s="10" t="inlineStr">
        <is>
          <t>Lương:Cạnh tranh</t>
        </is>
      </c>
      <c r="F2392" s="10" t="inlineStr">
        <is>
          <t>Hồ Chí Minh</t>
        </is>
      </c>
      <c r="G2392" s="10" t="inlineStr">
        <is>
          <t>12-04-2026</t>
        </is>
      </c>
      <c r="H2392" s="10" t="inlineStr">
        <is>
          <t>12/04/2026</t>
        </is>
      </c>
      <c r="I2392" s="10" t="inlineStr">
        <is>
          <t>17/03/2026</t>
        </is>
      </c>
      <c r="J2392" s="10" t="inlineStr">
        <is>
          <t>Kế toán / Kiểm toán, Ngân hàng, Tài chính / Đầu tư</t>
        </is>
      </c>
      <c r="K2392" s="10" t="inlineStr">
        <is>
          <t>2 - 5 Năm</t>
        </is>
      </c>
      <c r="L2392" s="11">
        <f>HYPERLINK("https://careerviet.vn/vi/tim-viec-lam/chuyen-vien-tai-chinh.35C6C27E.html","Xem chi tiết")</f>
        <v/>
      </c>
      <c r="M2392" s="10" t="n"/>
    </row>
    <row r="2393">
      <c r="B2393" s="7" t="n">
        <v>2391</v>
      </c>
      <c r="C2393" t="inlineStr">
        <is>
          <t>Nhân Viên Xử Lý Hợp Đồng (Hỗ Trợ Tín Dụng)</t>
        </is>
      </c>
      <c r="D2393" t="inlineStr">
        <is>
          <t>Công Ty Tài Chính Mirae Asset (Việt Nam)</t>
        </is>
      </c>
      <c r="E2393" t="inlineStr">
        <is>
          <t>Lương:Cạnh tranh</t>
        </is>
      </c>
      <c r="F2393" t="inlineStr">
        <is>
          <t>Hồ Chí Minh</t>
        </is>
      </c>
      <c r="G2393" t="inlineStr">
        <is>
          <t>10-04-2026</t>
        </is>
      </c>
      <c r="H2393" t="inlineStr">
        <is>
          <t>10/04/2026</t>
        </is>
      </c>
      <c r="I2393" t="inlineStr">
        <is>
          <t>17/03/2026</t>
        </is>
      </c>
      <c r="J2393" t="inlineStr">
        <is>
          <t>Ngân hàng, Tài chính / Đầu tư</t>
        </is>
      </c>
      <c r="K2393" t="inlineStr">
        <is>
          <t>1 - 5 Năm</t>
        </is>
      </c>
      <c r="L2393" s="8">
        <f>HYPERLINK("https://careerviet.vn/vi/tim-viec-lam/nhan-vien-xu-ly-hop-dong-ho-tro-tin-dung.35C6C27F.html","Xem chi tiết")</f>
        <v/>
      </c>
    </row>
    <row r="2394">
      <c r="B2394" s="9" t="n">
        <v>2392</v>
      </c>
      <c r="C2394" s="10" t="inlineStr">
        <is>
          <t>Nhân Viên Kế Toán</t>
        </is>
      </c>
      <c r="D2394" s="10" t="inlineStr">
        <is>
          <t>Công Ty CP Khoa Học Kỹ Thuật Tâm Đức</t>
        </is>
      </c>
      <c r="E2394" s="10" t="inlineStr">
        <is>
          <t>Lương:10 Tr - 15 Tr VND</t>
        </is>
      </c>
      <c r="F2394" s="10" t="inlineStr">
        <is>
          <t>Hồ Chí Minh</t>
        </is>
      </c>
      <c r="G2394" s="10" t="inlineStr">
        <is>
          <t>30-03-2026</t>
        </is>
      </c>
      <c r="H2394" s="10" t="inlineStr">
        <is>
          <t>30/03/2026</t>
        </is>
      </c>
      <c r="I2394" s="10" t="inlineStr">
        <is>
          <t>17/03/2026</t>
        </is>
      </c>
      <c r="J2394" s="10" t="inlineStr">
        <is>
          <t>Kế toán / Kiểm toán, Giáo dục / Đào tạo, Hành chính / Thư ký</t>
        </is>
      </c>
      <c r="K2394" s="10" t="inlineStr">
        <is>
          <t>1 - 3 Năm</t>
        </is>
      </c>
      <c r="L2394" s="11">
        <f>HYPERLINK("https://careerviet.vn/vi/tim-viec-lam/nhan-vien-ke-toa-n.35C6C217.html","Xem chi tiết")</f>
        <v/>
      </c>
      <c r="M2394" s="10" t="n"/>
    </row>
    <row r="2395">
      <c r="B2395" s="7" t="n">
        <v>2393</v>
      </c>
      <c r="C2395" t="inlineStr">
        <is>
          <t>Nhân Viên Quản Lý Tài Sản</t>
        </is>
      </c>
      <c r="D2395" t="inlineStr">
        <is>
          <t>Công Ty Tài Chính Mirae Asset (Việt Nam)</t>
        </is>
      </c>
      <c r="E2395" t="inlineStr">
        <is>
          <t>Lương:Cạnh tranh</t>
        </is>
      </c>
      <c r="F2395" t="inlineStr">
        <is>
          <t>Hồ Chí Minh</t>
        </is>
      </c>
      <c r="G2395" t="inlineStr">
        <is>
          <t>10-04-2026</t>
        </is>
      </c>
      <c r="H2395" t="inlineStr">
        <is>
          <t>10/04/2026</t>
        </is>
      </c>
      <c r="I2395" t="inlineStr">
        <is>
          <t>17/03/2026</t>
        </is>
      </c>
      <c r="J2395" t="inlineStr">
        <is>
          <t>Ngân hàng, Thu mua / Vật tư, Tài chính / Đầu tư</t>
        </is>
      </c>
      <c r="K2395" t="inlineStr">
        <is>
          <t>2 - 5 Năm</t>
        </is>
      </c>
      <c r="L2395" s="8">
        <f>HYPERLINK("https://careerviet.vn/vi/tim-viec-lam/nhan-vien-quan-ly-tai-san.35C6C282.html","Xem chi tiết")</f>
        <v/>
      </c>
    </row>
    <row r="2396">
      <c r="B2396" s="9" t="n">
        <v>2394</v>
      </c>
      <c r="C2396" s="10" t="inlineStr">
        <is>
          <t>Điều Dưỡng</t>
        </is>
      </c>
      <c r="D2396" s="10" t="inlineStr">
        <is>
          <t>Hải Yến Eye Care - Công Ty TNHH Hải Yến Anh Trần</t>
        </is>
      </c>
      <c r="E2396" s="10" t="inlineStr">
        <is>
          <t>Lương:Cạnh tranh</t>
        </is>
      </c>
      <c r="F2396" s="10" t="inlineStr">
        <is>
          <t>Hồ Chí Minh</t>
        </is>
      </c>
      <c r="G2396" s="10" t="inlineStr">
        <is>
          <t>11-04-2026</t>
        </is>
      </c>
      <c r="H2396" s="10" t="inlineStr">
        <is>
          <t>11/04/2026</t>
        </is>
      </c>
      <c r="I2396" s="10" t="inlineStr">
        <is>
          <t>17/03/2026</t>
        </is>
      </c>
      <c r="J2396" s="10" t="inlineStr">
        <is>
          <t>Y tế / Chăm sóc sức khỏe / Thẩm mỹ / Làm đẹp</t>
        </is>
      </c>
      <c r="K2396" s="10" t="inlineStr">
        <is>
          <t>Trên 1 Năm</t>
        </is>
      </c>
      <c r="L2396" s="11">
        <f>HYPERLINK("https://careerviet.vn/vi/tim-viec-lam/dieu-duong.35C6C269.html","Xem chi tiết")</f>
        <v/>
      </c>
      <c r="M2396" s="10" t="n"/>
    </row>
    <row r="2397">
      <c r="B2397" s="7" t="n">
        <v>2395</v>
      </c>
      <c r="C2397" t="inlineStr">
        <is>
          <t>[Factory 1] Techniques Engineer (Automation/ Electronics/ Electrical Fresher)</t>
        </is>
      </c>
      <c r="D2397" t="inlineStr">
        <is>
          <t>CÔNG TY TNHH ROHTO-MENTHOLATUM (VIỆT NAM)</t>
        </is>
      </c>
      <c r="E2397" t="inlineStr">
        <is>
          <t>Lương:Cạnh tranh</t>
        </is>
      </c>
      <c r="F2397" t="inlineStr">
        <is>
          <t>Bình Dương</t>
        </is>
      </c>
      <c r="G2397" t="inlineStr">
        <is>
          <t>11-04-2026</t>
        </is>
      </c>
      <c r="H2397" t="inlineStr">
        <is>
          <t>11/04/2026</t>
        </is>
      </c>
      <c r="I2397" t="inlineStr">
        <is>
          <t>17/03/2026</t>
        </is>
      </c>
      <c r="J2397" t="inlineStr">
        <is>
          <t>Điện / Điện tử / Điện lạnh / Điện công nghiệp, Bảo trì / Sửa chữa, Cơ khí / Ô tô / Tự động hóa</t>
        </is>
      </c>
      <c r="K2397" t="inlineStr">
        <is>
          <t>Không yêu cầu kinh nghiệm</t>
        </is>
      </c>
      <c r="L2397" s="8">
        <f>HYPERLINK("https://careerviet.vn/vi/tim-viec-lam/factory-1-techniques-engineer-automation-electronics-electrical-fresher.35C6C2A5.html","Xem chi tiết")</f>
        <v/>
      </c>
    </row>
    <row r="2398">
      <c r="B2398" s="9" t="n">
        <v>2396</v>
      </c>
      <c r="C2398" s="10" t="inlineStr">
        <is>
          <t>Makerting Manager</t>
        </is>
      </c>
      <c r="D2398" s="10" t="inlineStr">
        <is>
          <t>Hải Yến Eye Care - Công Ty TNHH Hải Yến Anh Trần</t>
        </is>
      </c>
      <c r="E2398" s="10" t="inlineStr">
        <is>
          <t>Lương:Cạnh tranh</t>
        </is>
      </c>
      <c r="F2398" s="10" t="inlineStr">
        <is>
          <t>Hồ Chí Minh</t>
        </is>
      </c>
      <c r="G2398" s="10" t="inlineStr">
        <is>
          <t>12-04-2026</t>
        </is>
      </c>
      <c r="H2398" s="10" t="inlineStr">
        <is>
          <t>12/04/2026</t>
        </is>
      </c>
      <c r="I2398" s="10" t="inlineStr">
        <is>
          <t>17/03/2026</t>
        </is>
      </c>
      <c r="J2398" s="10" t="inlineStr">
        <is>
          <t>Tiếp thị / Marketing, Tổ chức sự kiện, Truyền hình / Báo chí / Biên tập</t>
        </is>
      </c>
      <c r="K2398" s="10" t="inlineStr">
        <is>
          <t>Trên 3 Năm</t>
        </is>
      </c>
      <c r="L2398" s="11">
        <f>HYPERLINK("https://careerviet.vn/vi/tim-viec-lam/makerting-manager.35C6C273.html","Xem chi tiết")</f>
        <v/>
      </c>
      <c r="M2398" s="10" t="n"/>
    </row>
    <row r="2399">
      <c r="B2399" s="7" t="n">
        <v>2397</v>
      </c>
      <c r="C2399" t="inlineStr">
        <is>
          <t>Nhân viên Sales Admin</t>
        </is>
      </c>
      <c r="D2399" t="inlineStr">
        <is>
          <t>Công Ty CP Khoa Học Kỹ Thuật Tâm Đức</t>
        </is>
      </c>
      <c r="E2399" t="inlineStr">
        <is>
          <t>Lương:10 Tr - 15 Tr VND</t>
        </is>
      </c>
      <c r="F2399" t="inlineStr">
        <is>
          <t>Hồ Chí Minh</t>
        </is>
      </c>
      <c r="G2399" t="inlineStr">
        <is>
          <t>30-03-2026</t>
        </is>
      </c>
      <c r="H2399" t="inlineStr">
        <is>
          <t>30/03/2026</t>
        </is>
      </c>
      <c r="I2399" t="inlineStr">
        <is>
          <t>17/03/2026</t>
        </is>
      </c>
      <c r="J2399" t="inlineStr">
        <is>
          <t>Tiếp thị / Marketing, Hành chính / Thư ký, Bán hàng / Kinh doanh</t>
        </is>
      </c>
      <c r="K2399" t="inlineStr">
        <is>
          <t>1 - 3 Năm</t>
        </is>
      </c>
      <c r="L2399" s="8">
        <f>HYPERLINK("https://careerviet.vn/vi/tim-viec-lam/nhan-vien-sales-admin.35C51D8F.html","Xem chi tiết")</f>
        <v/>
      </c>
    </row>
    <row r="2400">
      <c r="B2400" s="9" t="n">
        <v>2398</v>
      </c>
      <c r="C2400" s="10" t="inlineStr">
        <is>
          <t>Kế Toán Trưởng</t>
        </is>
      </c>
      <c r="D2400" s="10" t="inlineStr">
        <is>
          <t>CÔNG TY TNHH VẬN TẢI PHAN KHÁNH</t>
        </is>
      </c>
      <c r="E2400" s="10" t="inlineStr">
        <is>
          <t>Lương:25 Tr - 40 Tr VND</t>
        </is>
      </c>
      <c r="F2400" s="10" t="inlineStr">
        <is>
          <t>Long An</t>
        </is>
      </c>
      <c r="G2400" s="10" t="inlineStr">
        <is>
          <t>02-04-2026</t>
        </is>
      </c>
      <c r="H2400" s="10" t="inlineStr">
        <is>
          <t>02/04/2026</t>
        </is>
      </c>
      <c r="I2400" s="10" t="inlineStr">
        <is>
          <t>17/03/2026</t>
        </is>
      </c>
      <c r="J2400" s="10" t="inlineStr">
        <is>
          <t>Kế toán / Kiểm toán, Quản lý điều hành</t>
        </is>
      </c>
      <c r="K2400" s="10" t="inlineStr">
        <is>
          <t>N/A</t>
        </is>
      </c>
      <c r="L2400" s="11">
        <f>HYPERLINK("https://careerviet.vn/vi/tim-viec-lam/ke-toan-truong.35C6A954.html","Xem chi tiết")</f>
        <v/>
      </c>
      <c r="M2400" s="10" t="n"/>
    </row>
    <row r="2401">
      <c r="B2401" s="7" t="n">
        <v>2399</v>
      </c>
      <c r="C2401" t="inlineStr">
        <is>
          <t>Chuyên Viên CNTT – Phần Cứng Hạ Tầng</t>
        </is>
      </c>
      <c r="D2401" t="inlineStr">
        <is>
          <t>CÔNG TY CỔ PHẦN BẤT ĐỘNG SẢN SÀI GÒN VI NA</t>
        </is>
      </c>
      <c r="E2401" t="inlineStr">
        <is>
          <t>Lương:Cạnh tranh</t>
        </is>
      </c>
      <c r="F2401" t="inlineStr">
        <is>
          <t>Hồ Chí Minh</t>
        </is>
      </c>
      <c r="G2401" t="inlineStr">
        <is>
          <t>10-04-2026</t>
        </is>
      </c>
      <c r="H2401" t="inlineStr">
        <is>
          <t>10/04/2026</t>
        </is>
      </c>
      <c r="I2401" t="inlineStr">
        <is>
          <t>17/03/2026</t>
        </is>
      </c>
      <c r="J2401" t="inlineStr">
        <is>
          <t>CNTT - Phần mềm, CNTT - Phần cứng / Mạng, Bảo trì / Sửa chữa</t>
        </is>
      </c>
      <c r="K2401" t="inlineStr">
        <is>
          <t>Trên 2 Năm</t>
        </is>
      </c>
      <c r="L2401" s="8">
        <f>HYPERLINK("https://careerviet.vn/vi/tim-viec-lam/chuyen-vien-cntt-phan-cung-ha-tang.35C6C0E6.html","Xem chi tiết")</f>
        <v/>
      </c>
    </row>
    <row r="2402">
      <c r="B2402" s="9" t="n">
        <v>2400</v>
      </c>
      <c r="C2402" s="10" t="inlineStr">
        <is>
          <t>Nhân Viên Bảo Trì Điện Công Nghiệp</t>
        </is>
      </c>
      <c r="D2402" s="10" t="inlineStr">
        <is>
          <t>Công ty TNHH Greystone Data Systems Việt Nam</t>
        </is>
      </c>
      <c r="E2402" s="10" t="inlineStr">
        <is>
          <t>Lương:8,2 Tr - 9 Tr VND</t>
        </is>
      </c>
      <c r="F2402" s="10" t="inlineStr">
        <is>
          <t>Hồ Chí Minh</t>
        </is>
      </c>
      <c r="G2402" s="10" t="inlineStr">
        <is>
          <t>12-04-2026</t>
        </is>
      </c>
      <c r="H2402" s="10" t="inlineStr">
        <is>
          <t>12/04/2026</t>
        </is>
      </c>
      <c r="I2402" s="10" t="inlineStr">
        <is>
          <t>17/03/2026</t>
        </is>
      </c>
      <c r="J2402" s="10" t="inlineStr">
        <is>
          <t>Cơ khí / Ô tô / Tự động hóa, Điện / Điện tử / Điện lạnh / Điện công nghiệp</t>
        </is>
      </c>
      <c r="K2402" s="10" t="inlineStr">
        <is>
          <t>1 - 2 Năm</t>
        </is>
      </c>
      <c r="L2402" s="11">
        <f>HYPERLINK("https://careerviet.vn/vi/tim-viec-lam/nhan-vien-bao-tri-dien-cong-nghiep.35C6C266.html","Xem chi tiết")</f>
        <v/>
      </c>
      <c r="M2402" s="10" t="n"/>
    </row>
    <row r="2403">
      <c r="B2403" s="7" t="n">
        <v>2401</v>
      </c>
      <c r="C2403" t="inlineStr">
        <is>
          <t>KẾ TOÁN TỔNG HỢP</t>
        </is>
      </c>
      <c r="D2403" t="inlineStr">
        <is>
          <t>CÔNG TY CỔ PHẦN PHÁT TRIỂN HI-TECH VIỆT NAM</t>
        </is>
      </c>
      <c r="E2403" t="inlineStr">
        <is>
          <t>Lương:15 Tr - 25 Tr VND</t>
        </is>
      </c>
      <c r="F2403" t="inlineStr">
        <is>
          <t>Hà NộiHải Phòng</t>
        </is>
      </c>
      <c r="G2403" t="inlineStr">
        <is>
          <t>07-04-2026</t>
        </is>
      </c>
      <c r="H2403" t="inlineStr">
        <is>
          <t>07/04/2026</t>
        </is>
      </c>
      <c r="I2403" t="inlineStr">
        <is>
          <t>17/03/2026</t>
        </is>
      </c>
      <c r="J2403" t="inlineStr">
        <is>
          <t>Kế toán / Kiểm toán, Bất động sản, Tài chính / Đầu tư</t>
        </is>
      </c>
      <c r="K2403" t="inlineStr">
        <is>
          <t>4 - 5 Năm</t>
        </is>
      </c>
      <c r="L2403" s="8">
        <f>HYPERLINK("https://careerviet.vn/vi/tim-viec-lam/ke-toan-tong-hop.35C6B5AD.html","Xem chi tiết")</f>
        <v/>
      </c>
    </row>
    <row r="2404">
      <c r="B2404" s="9" t="n">
        <v>2402</v>
      </c>
      <c r="C2404" s="10" t="inlineStr">
        <is>
          <t>Chuyên viên Kinh Doanh Bất Động Sản</t>
        </is>
      </c>
      <c r="D2404" s="10" t="inlineStr">
        <is>
          <t>CÔNG TY CỔ PHẦN TẬP ĐOÀN ĐẦU TƯ ĐỊA ỐC THIÊN PHÚC</t>
        </is>
      </c>
      <c r="E2404" s="10" t="inlineStr">
        <is>
          <t>Lương:Cạnh tranh</t>
        </is>
      </c>
      <c r="F2404" s="10" t="inlineStr">
        <is>
          <t>Hồ Chí Minh</t>
        </is>
      </c>
      <c r="G2404" s="10" t="inlineStr">
        <is>
          <t>30-03-2026</t>
        </is>
      </c>
      <c r="H2404" s="10" t="inlineStr">
        <is>
          <t>30/03/2026</t>
        </is>
      </c>
      <c r="I2404" s="10" t="inlineStr">
        <is>
          <t>17/03/2026</t>
        </is>
      </c>
      <c r="J2404" s="10" t="inlineStr">
        <is>
          <t>Bán hàng / Kinh doanh, Bất động sản, Tư vấn</t>
        </is>
      </c>
      <c r="K2404" s="10" t="inlineStr">
        <is>
          <t>Chưa có kinh nghiệm</t>
        </is>
      </c>
      <c r="L2404" s="11">
        <f>HYPERLINK("https://careerviet.vn/vi/tim-viec-lam/chuyen-vien-kinh-doanh-bat-dong-san.35C6B59E.html","Xem chi tiết")</f>
        <v/>
      </c>
      <c r="M2404" s="10" t="n"/>
    </row>
    <row r="2405">
      <c r="B2405" s="7" t="n">
        <v>2403</v>
      </c>
      <c r="C2405" t="inlineStr">
        <is>
          <t>Kế toán Nội bộ</t>
        </is>
      </c>
      <c r="D2405" t="inlineStr">
        <is>
          <t>CÔNG TY CỔ PHẦN GENTA THỤY SĨ</t>
        </is>
      </c>
      <c r="E2405" t="inlineStr">
        <is>
          <t>Lương:10 Tr - 12 Tr VND</t>
        </is>
      </c>
      <c r="F2405" t="inlineStr">
        <is>
          <t>Long An</t>
        </is>
      </c>
      <c r="G2405" t="inlineStr">
        <is>
          <t>02-04-2026</t>
        </is>
      </c>
      <c r="H2405" t="inlineStr">
        <is>
          <t>02/04/2026</t>
        </is>
      </c>
      <c r="I2405" t="inlineStr">
        <is>
          <t>17/03/2026</t>
        </is>
      </c>
      <c r="J2405" t="inlineStr">
        <is>
          <t>Kế toán / Kiểm toán, Sản xuất / Vận hành sản xuất, Thu mua / Vật tư</t>
        </is>
      </c>
      <c r="K2405" t="inlineStr">
        <is>
          <t>1 - 2 Năm</t>
        </is>
      </c>
      <c r="L2405" s="8">
        <f>HYPERLINK("https://careerviet.vn/vi/tim-viec-lam/ke-toan-noi-bo.35C6B585.html","Xem chi tiết")</f>
        <v/>
      </c>
    </row>
    <row r="2406">
      <c r="B2406" s="9" t="n">
        <v>2404</v>
      </c>
      <c r="C2406" s="10" t="inlineStr">
        <is>
          <t>Sales Executive – Tổng thu nhập từ 20 - 30 triệu</t>
        </is>
      </c>
      <c r="D2406" s="10" t="inlineStr">
        <is>
          <t>Hung Phat Co. - Peerapat Technology Thailand</t>
        </is>
      </c>
      <c r="E2406" s="10" t="inlineStr">
        <is>
          <t>Lương:11 Tr - 16 Tr VND</t>
        </is>
      </c>
      <c r="F2406" s="10" t="inlineStr">
        <is>
          <t>Hồ Chí MinhKhánh HòaLâm Đồng</t>
        </is>
      </c>
      <c r="G2406" s="10" t="inlineStr">
        <is>
          <t>07-04-2026</t>
        </is>
      </c>
      <c r="H2406" s="10" t="inlineStr">
        <is>
          <t>07/04/2026</t>
        </is>
      </c>
      <c r="I2406" s="10" t="inlineStr">
        <is>
          <t>17/03/2026</t>
        </is>
      </c>
      <c r="J2406" s="10" t="inlineStr">
        <is>
          <t>Tiếp thị / Marketing, Bán lẻ / Bán sỉ, Bán hàng / Kinh doanh</t>
        </is>
      </c>
      <c r="K2406" s="10" t="inlineStr">
        <is>
          <t>Trên 1 Năm</t>
        </is>
      </c>
      <c r="L2406" s="11">
        <f>HYPERLINK("https://careerviet.vn/vi/tim-viec-lam/sales-executive-tong-thu-nhap-tu-20-30-trieu.35C6B1F2.html","Xem chi tiết")</f>
        <v/>
      </c>
      <c r="M2406" s="10" t="n"/>
    </row>
    <row r="2407">
      <c r="B2407" s="7" t="n">
        <v>2405</v>
      </c>
      <c r="C2407" t="inlineStr">
        <is>
          <t>Nhân viên Kinh doanh Bất động sản</t>
        </is>
      </c>
      <c r="D2407" t="inlineStr">
        <is>
          <t>CÔNG TY CỔ PHẦN PHÁT TRIỂN HI-TECH VIỆT NAM</t>
        </is>
      </c>
      <c r="E2407" t="inlineStr">
        <is>
          <t>Lương:15 Tr - 20 Tr VND</t>
        </is>
      </c>
      <c r="F2407" t="inlineStr">
        <is>
          <t>Hà NộiHải Phòng</t>
        </is>
      </c>
      <c r="G2407" t="inlineStr">
        <is>
          <t>07-04-2026</t>
        </is>
      </c>
      <c r="H2407" t="inlineStr">
        <is>
          <t>07/04/2026</t>
        </is>
      </c>
      <c r="I2407" t="inlineStr">
        <is>
          <t>17/03/2026</t>
        </is>
      </c>
      <c r="J2407" t="inlineStr">
        <is>
          <t>Bán hàng / Kinh doanh, Bất động sản, Tư vấn</t>
        </is>
      </c>
      <c r="K2407" t="inlineStr">
        <is>
          <t>2 - 3 Năm</t>
        </is>
      </c>
      <c r="L2407" s="8">
        <f>HYPERLINK("https://careerviet.vn/vi/tim-viec-lam/nhan-vien-kinh-doanh-bat-dong-san.35C6B5B4.html","Xem chi tiết")</f>
        <v/>
      </c>
    </row>
    <row r="2408">
      <c r="B2408" s="9" t="n">
        <v>2406</v>
      </c>
      <c r="C2408" s="10" t="inlineStr">
        <is>
          <t>Giám sát An toàn công trường xây dựng</t>
        </is>
      </c>
      <c r="D2408" s="10" t="inlineStr">
        <is>
          <t>CÔNG TY CỔ PHẦN XÂY DỰNG VÀ THIẾT KẾ BẮC TRUNG NAM</t>
        </is>
      </c>
      <c r="E2408" s="10" t="inlineStr">
        <is>
          <t>Lương:15 Tr - 18 Tr VND</t>
        </is>
      </c>
      <c r="F2408" s="10" t="inlineStr">
        <is>
          <t>Đồng Nai</t>
        </is>
      </c>
      <c r="G2408" s="10" t="inlineStr">
        <is>
          <t>07-04-2026</t>
        </is>
      </c>
      <c r="H2408" s="10" t="inlineStr">
        <is>
          <t>07/04/2026</t>
        </is>
      </c>
      <c r="I2408" s="10" t="inlineStr">
        <is>
          <t>17/03/2026</t>
        </is>
      </c>
      <c r="J2408" s="10" t="inlineStr">
        <is>
          <t>Xây dựng, An toàn lao động</t>
        </is>
      </c>
      <c r="K2408" s="10" t="inlineStr">
        <is>
          <t>2 - 5 Năm</t>
        </is>
      </c>
      <c r="L2408" s="11">
        <f>HYPERLINK("https://careerviet.vn/vi/tim-viec-lam/giam-sat-an-toan-cong-truong-xay-dung.35C6B589.html","Xem chi tiết")</f>
        <v/>
      </c>
      <c r="M2408" s="10" t="n"/>
    </row>
    <row r="2409">
      <c r="B2409" s="7" t="n">
        <v>2407</v>
      </c>
      <c r="C2409" t="inlineStr">
        <is>
          <t>Nhân viên tư vấn giáo dục</t>
        </is>
      </c>
      <c r="D2409" t="inlineStr">
        <is>
          <t>Công ty TNHH Thương Mại &amp; Dịch Vụ Tri Linh</t>
        </is>
      </c>
      <c r="E2409" t="inlineStr">
        <is>
          <t>Lương:7 Tr - 10 Tr VND</t>
        </is>
      </c>
      <c r="F2409" t="inlineStr">
        <is>
          <t>Hồ Chí Minh</t>
        </is>
      </c>
      <c r="G2409" t="inlineStr">
        <is>
          <t>30-04-2026</t>
        </is>
      </c>
      <c r="H2409" t="inlineStr">
        <is>
          <t>30/04/2026</t>
        </is>
      </c>
      <c r="I2409" t="inlineStr">
        <is>
          <t>17/03/2026</t>
        </is>
      </c>
      <c r="J2409" t="inlineStr">
        <is>
          <t>Tư vấn, Bán hàng / Kinh doanh, Giáo dục / Đào tạo</t>
        </is>
      </c>
      <c r="K2409" t="inlineStr">
        <is>
          <t>N/A</t>
        </is>
      </c>
      <c r="L2409" s="8">
        <f>HYPERLINK("https://careerviet.vn/vi/tim-viec-lam/nhan-vien-tu-van-giao-duc.35C6B5AC.html","Xem chi tiết")</f>
        <v/>
      </c>
    </row>
    <row r="2410">
      <c r="B2410" s="9" t="n">
        <v>2408</v>
      </c>
      <c r="C2410" s="10" t="inlineStr">
        <is>
          <t>Chemical Officer (Nhân Viên Hóa Chất)</t>
        </is>
      </c>
      <c r="D2410" s="10" t="inlineStr">
        <is>
          <t>CÔNG TY TNHH SX-TM HÀNH MỸ</t>
        </is>
      </c>
      <c r="E2410" s="10" t="inlineStr">
        <is>
          <t>Lương:10 Tr - 15 Tr VND</t>
        </is>
      </c>
      <c r="F2410" s="10" t="inlineStr">
        <is>
          <t>Tây Ninh</t>
        </is>
      </c>
      <c r="G2410" s="10" t="inlineStr">
        <is>
          <t>07-04-2026</t>
        </is>
      </c>
      <c r="H2410" s="10" t="inlineStr">
        <is>
          <t>07/04/2026</t>
        </is>
      </c>
      <c r="I2410" s="10" t="inlineStr">
        <is>
          <t>17/03/2026</t>
        </is>
      </c>
      <c r="J2410" s="10" t="inlineStr">
        <is>
          <t>Hóa học, Quản lý chất lượng (QA/QC), Đồ gỗ</t>
        </is>
      </c>
      <c r="K2410" s="10" t="inlineStr">
        <is>
          <t>N/A</t>
        </is>
      </c>
      <c r="L2410" s="11">
        <f>HYPERLINK("https://careerviet.vn/vi/tim-viec-lam/chemical-officer-nhan-vien-hoa-chat.35C6B593.html","Xem chi tiết")</f>
        <v/>
      </c>
      <c r="M2410" s="10" t="n"/>
    </row>
    <row r="2411">
      <c r="B2411" s="7" t="n">
        <v>2409</v>
      </c>
      <c r="C2411" t="inlineStr">
        <is>
          <t>KẾ TOÁN CÔNG NỢ PHẢI THU</t>
        </is>
      </c>
      <c r="D2411" t="inlineStr">
        <is>
          <t>Công ty Cổ phần Anh Minh Quân</t>
        </is>
      </c>
      <c r="E2411" t="inlineStr">
        <is>
          <t>Lương:Cạnh tranh</t>
        </is>
      </c>
      <c r="F2411" t="inlineStr">
        <is>
          <t>Hồ Chí Minh</t>
        </is>
      </c>
      <c r="G2411" t="inlineStr">
        <is>
          <t>30-04-2026</t>
        </is>
      </c>
      <c r="H2411" t="inlineStr">
        <is>
          <t>30/04/2026</t>
        </is>
      </c>
      <c r="I2411" t="inlineStr">
        <is>
          <t>17/03/2026</t>
        </is>
      </c>
      <c r="J2411" t="inlineStr">
        <is>
          <t>Kế toán / Kiểm toán</t>
        </is>
      </c>
      <c r="K2411" t="inlineStr">
        <is>
          <t>3 - 5 Năm</t>
        </is>
      </c>
      <c r="L2411" s="8">
        <f>HYPERLINK("https://careerviet.vn/vi/tim-viec-lam/ke-toan-cong-no-phai-thu.35C6B64A.html","Xem chi tiết")</f>
        <v/>
      </c>
    </row>
    <row r="2412">
      <c r="B2412" s="9" t="n">
        <v>2410</v>
      </c>
      <c r="C2412" s="10" t="inlineStr">
        <is>
          <t>Chuyên viên Hành chính Nhân sự Tổng hợp</t>
        </is>
      </c>
      <c r="D2412" s="10" t="inlineStr">
        <is>
          <t>CÔNG TY TNHH VĨNH CARA DIAMOND JEWELRY</t>
        </is>
      </c>
      <c r="E2412" s="10" t="inlineStr">
        <is>
          <t>Lương:14 Tr - 18 Tr VND</t>
        </is>
      </c>
      <c r="F2412" s="10" t="inlineStr">
        <is>
          <t>Hồ Chí Minh</t>
        </is>
      </c>
      <c r="G2412" s="10" t="inlineStr">
        <is>
          <t>07-04-2026</t>
        </is>
      </c>
      <c r="H2412" s="10" t="inlineStr">
        <is>
          <t>07/04/2026</t>
        </is>
      </c>
      <c r="I2412" s="10" t="inlineStr">
        <is>
          <t>17/03/2026</t>
        </is>
      </c>
      <c r="J2412" s="10" t="inlineStr">
        <is>
          <t>Bán hàng / Kinh doanh, Hành chính / Thư ký, Nhân sự</t>
        </is>
      </c>
      <c r="K2412" s="10" t="inlineStr">
        <is>
          <t>3 - 7 Năm</t>
        </is>
      </c>
      <c r="L2412" s="11">
        <f>HYPERLINK("https://careerviet.vn/vi/tim-viec-lam/chuyen-vien-hanh-chinh-nhan-su-tong-hop.35C6B5F6.html","Xem chi tiết")</f>
        <v/>
      </c>
      <c r="M2412" s="10" t="n"/>
    </row>
    <row r="2413">
      <c r="B2413" s="7" t="n">
        <v>2411</v>
      </c>
      <c r="C2413" t="inlineStr">
        <is>
          <t>PHÓ PHÒNG MARKETING &amp; TRUYỀN THÔNG</t>
        </is>
      </c>
      <c r="D2413" t="inlineStr">
        <is>
          <t>Hoàng Huy Group</t>
        </is>
      </c>
      <c r="E2413" t="inlineStr">
        <is>
          <t>Lương:25 Tr - 30 Tr VND</t>
        </is>
      </c>
      <c r="F2413" t="inlineStr">
        <is>
          <t>Hà Nội</t>
        </is>
      </c>
      <c r="G2413" t="inlineStr">
        <is>
          <t>31-03-2026</t>
        </is>
      </c>
      <c r="H2413" t="inlineStr">
        <is>
          <t>31/03/2026</t>
        </is>
      </c>
      <c r="I2413" t="inlineStr">
        <is>
          <t>17/03/2026</t>
        </is>
      </c>
      <c r="J2413" t="inlineStr">
        <is>
          <t>Bất động sản, Tiếp thị / Marketing, Quảng cáo / Đối ngoại / Truyền Thông</t>
        </is>
      </c>
      <c r="K2413" t="inlineStr">
        <is>
          <t>3 - 5 Năm</t>
        </is>
      </c>
      <c r="L2413" s="8">
        <f>HYPERLINK("https://careerviet.vn/vi/tim-viec-lam/pho-phong-marketing-truyen-thong.35C6B5A0.html","Xem chi tiết")</f>
        <v/>
      </c>
    </row>
    <row r="2414">
      <c r="B2414" s="9" t="n">
        <v>2412</v>
      </c>
      <c r="C2414" s="10" t="inlineStr">
        <is>
          <t>Trưởng Nhóm QC Kết Cấu Thép</t>
        </is>
      </c>
      <c r="D2414" s="10" t="inlineStr">
        <is>
          <t>CÔNG TY TNHH SẢN XUẤT VÀ THƯƠNG MẠI DỊCH VỤ NGHĨA PHÁT</t>
        </is>
      </c>
      <c r="E2414" s="10" t="inlineStr">
        <is>
          <t>Lương:20 Tr - 26 Tr VND</t>
        </is>
      </c>
      <c r="F2414" s="10" t="inlineStr">
        <is>
          <t>Hồ Chí Minh</t>
        </is>
      </c>
      <c r="G2414" s="10" t="inlineStr">
        <is>
          <t>05-04-2026</t>
        </is>
      </c>
      <c r="H2414" s="10" t="inlineStr">
        <is>
          <t>05/04/2026</t>
        </is>
      </c>
      <c r="I2414" s="10" t="inlineStr">
        <is>
          <t>17/03/2026</t>
        </is>
      </c>
      <c r="J2414" s="10" t="inlineStr">
        <is>
          <t>Quản lý chất lượng (QA/QC), Xây dựng, Cơ khí / Ô tô / Tự động hóa</t>
        </is>
      </c>
      <c r="K2414" s="10" t="inlineStr">
        <is>
          <t>Trên 3 Năm</t>
        </is>
      </c>
      <c r="L2414" s="11">
        <f>HYPERLINK("https://careerviet.vn/vi/tim-viec-lam/truong-nhom-qc-ket-cau-thep.35C6B392.html","Xem chi tiết")</f>
        <v/>
      </c>
      <c r="M2414" s="10" t="n"/>
    </row>
    <row r="2415">
      <c r="B2415" s="7" t="n">
        <v>2413</v>
      </c>
      <c r="C2415" t="inlineStr">
        <is>
          <t>Chuyên viên QS và Đấu thầu</t>
        </is>
      </c>
      <c r="D2415" t="inlineStr">
        <is>
          <t>CÔNG TY CỔ PHẦN XÂY DỰNG MEGASPACE</t>
        </is>
      </c>
      <c r="E2415" t="inlineStr">
        <is>
          <t>Lương:15 Tr - 25 Tr VND</t>
        </is>
      </c>
      <c r="F2415" t="inlineStr">
        <is>
          <t>Hà NộiBắc NinhHưng Yên</t>
        </is>
      </c>
      <c r="G2415" t="inlineStr">
        <is>
          <t>25-03-2026</t>
        </is>
      </c>
      <c r="H2415" t="inlineStr">
        <is>
          <t>25/03/2026</t>
        </is>
      </c>
      <c r="I2415" t="inlineStr">
        <is>
          <t>17/03/2026</t>
        </is>
      </c>
      <c r="J2415" t="inlineStr">
        <is>
          <t>Cơ khí / Ô tô / Tự động hóa, Điện / Điện tử / Điện lạnh / Điện công nghiệp, Xây dựng</t>
        </is>
      </c>
      <c r="K2415" t="inlineStr">
        <is>
          <t>Trên 3 Năm</t>
        </is>
      </c>
      <c r="L2415" s="8">
        <f>HYPERLINK("https://careerviet.vn/vi/tim-viec-lam/chuyen-vien-qs-va-dau-thau.35C6B58C.html","Xem chi tiết")</f>
        <v/>
      </c>
    </row>
    <row r="2416">
      <c r="B2416" s="9" t="n">
        <v>2414</v>
      </c>
      <c r="C2416" s="10" t="inlineStr">
        <is>
          <t>Kế Toán Trưởng</t>
        </is>
      </c>
      <c r="D2416" s="10" t="inlineStr">
        <is>
          <t>Anh Nguyen Co Ltd</t>
        </is>
      </c>
      <c r="E2416" s="10" t="inlineStr">
        <is>
          <t>Lương:25 Tr - 35 Tr VND</t>
        </is>
      </c>
      <c r="F2416" s="10" t="inlineStr">
        <is>
          <t>Hà Nội</t>
        </is>
      </c>
      <c r="G2416" s="10" t="inlineStr">
        <is>
          <t>07-04-2026</t>
        </is>
      </c>
      <c r="H2416" s="10" t="inlineStr">
        <is>
          <t>07/04/2026</t>
        </is>
      </c>
      <c r="I2416" s="10" t="inlineStr">
        <is>
          <t>17/03/2026</t>
        </is>
      </c>
      <c r="J2416" s="10" t="inlineStr">
        <is>
          <t>Quản lý điều hành, Kế toán / Kiểm toán, Tài chính / Đầu tư</t>
        </is>
      </c>
      <c r="K2416" s="10" t="inlineStr">
        <is>
          <t>Trên 5 Năm</t>
        </is>
      </c>
      <c r="L2416" s="11">
        <f>HYPERLINK("https://careerviet.vn/vi/tim-viec-lam/ke-toan-truong.35C6B5B0.html","Xem chi tiết")</f>
        <v/>
      </c>
      <c r="M2416" s="10" t="n"/>
    </row>
    <row r="2417">
      <c r="B2417" s="7" t="n">
        <v>2415</v>
      </c>
      <c r="C2417" t="inlineStr">
        <is>
          <t>TRƯỞNG PHÒNG KINH DOANH B2B  (Thu nhập từ 30 triệu~60 triệu) ĐI LÀM NGAY</t>
        </is>
      </c>
      <c r="D2417" t="inlineStr">
        <is>
          <t>CÔNG TY CỔ PHẦN LUX DECOR SÀI GÒN</t>
        </is>
      </c>
      <c r="E2417" t="inlineStr">
        <is>
          <t>Lương:30 Tr - 60 Tr VND</t>
        </is>
      </c>
      <c r="F2417" t="inlineStr">
        <is>
          <t>Hồ Chí Minh</t>
        </is>
      </c>
      <c r="G2417" t="inlineStr">
        <is>
          <t>31-03-2026</t>
        </is>
      </c>
      <c r="H2417" t="inlineStr">
        <is>
          <t>31/03/2026</t>
        </is>
      </c>
      <c r="I2417" t="inlineStr">
        <is>
          <t>17/03/2026</t>
        </is>
      </c>
      <c r="J2417" t="inlineStr">
        <is>
          <t>Bán hàng / Kinh doanh, Tiếp thị / Marketing, Xây dựng</t>
        </is>
      </c>
      <c r="K2417" t="inlineStr">
        <is>
          <t>3 - 5 Năm</t>
        </is>
      </c>
      <c r="L2417" s="8">
        <f>HYPERLINK("https://careerviet.vn/vi/tim-viec-lam/truong-phong-kinh-doanh-b2b-thu-nhap-tu-30-trieu-60-trieu-di-lam-ngay.35C6B598.html","Xem chi tiết")</f>
        <v/>
      </c>
    </row>
    <row r="2418">
      <c r="B2418" s="9" t="n">
        <v>2416</v>
      </c>
      <c r="C2418" s="10" t="inlineStr">
        <is>
          <t>Kế toán tổng hợp</t>
        </is>
      </c>
      <c r="D2418" s="10" t="inlineStr">
        <is>
          <t>Công ty Cổ phần Anh Minh Quân</t>
        </is>
      </c>
      <c r="E2418" s="10" t="inlineStr">
        <is>
          <t>Lương:Cạnh tranh</t>
        </is>
      </c>
      <c r="F2418" s="10" t="inlineStr">
        <is>
          <t>Hồ Chí Minh</t>
        </is>
      </c>
      <c r="G2418" s="10" t="inlineStr">
        <is>
          <t>30-04-2026</t>
        </is>
      </c>
      <c r="H2418" s="10" t="inlineStr">
        <is>
          <t>30/04/2026</t>
        </is>
      </c>
      <c r="I2418" s="10" t="inlineStr">
        <is>
          <t>17/03/2026</t>
        </is>
      </c>
      <c r="J2418" s="10" t="inlineStr">
        <is>
          <t>Kế toán / Kiểm toán</t>
        </is>
      </c>
      <c r="K2418" s="10" t="inlineStr">
        <is>
          <t>3 - 5 Năm</t>
        </is>
      </c>
      <c r="L2418" s="11">
        <f>HYPERLINK("https://careerviet.vn/vi/tim-viec-lam/ke-toan-tong-hop.35C6B63C.html","Xem chi tiết")</f>
        <v/>
      </c>
      <c r="M2418" s="10" t="n"/>
    </row>
    <row r="2419">
      <c r="B2419" s="7" t="n">
        <v>2417</v>
      </c>
      <c r="C2419" t="inlineStr">
        <is>
          <t>Trưởng nhóm Quản lý thương hiệu (Trưởng nhóm Brand)</t>
        </is>
      </c>
      <c r="D2419" t="inlineStr">
        <is>
          <t>Công ty Cổ phần TP Solar</t>
        </is>
      </c>
      <c r="E2419" t="inlineStr">
        <is>
          <t>Lương:23 Tr - 27 Tr VND</t>
        </is>
      </c>
      <c r="F2419" t="inlineStr">
        <is>
          <t>Hà Nội</t>
        </is>
      </c>
      <c r="G2419" t="inlineStr">
        <is>
          <t>31-03-2026</t>
        </is>
      </c>
      <c r="H2419" t="inlineStr">
        <is>
          <t>31/03/2026</t>
        </is>
      </c>
      <c r="I2419" t="inlineStr">
        <is>
          <t>17/03/2026</t>
        </is>
      </c>
      <c r="J2419" t="inlineStr">
        <is>
          <t>Tiếp thị / Marketing, Thương mại điện tử, Bán hàng / Kinh doanh</t>
        </is>
      </c>
      <c r="K2419" t="inlineStr">
        <is>
          <t>2 - 3 Năm</t>
        </is>
      </c>
      <c r="L2419" s="8">
        <f>HYPERLINK("https://careerviet.vn/vi/tim-viec-lam/truong-nhom-quan-ly-thuong-hieu-truong-nhom-brand.35C6B656.html","Xem chi tiết")</f>
        <v/>
      </c>
    </row>
    <row r="2420">
      <c r="B2420" s="9" t="n">
        <v>2418</v>
      </c>
      <c r="C2420" s="10" t="inlineStr">
        <is>
          <t>QA MANAGER</t>
        </is>
      </c>
      <c r="D2420" s="10" t="inlineStr">
        <is>
          <t>CÔNG TY TNHH SX-TM HÀNH MỸ</t>
        </is>
      </c>
      <c r="E2420" s="10" t="inlineStr">
        <is>
          <t>Lương:Cạnh tranh</t>
        </is>
      </c>
      <c r="F2420" s="10" t="inlineStr">
        <is>
          <t>Tây Ninh</t>
        </is>
      </c>
      <c r="G2420" s="10" t="inlineStr">
        <is>
          <t>07-04-2026</t>
        </is>
      </c>
      <c r="H2420" s="10" t="inlineStr">
        <is>
          <t>07/04/2026</t>
        </is>
      </c>
      <c r="I2420" s="10" t="inlineStr">
        <is>
          <t>17/03/2026</t>
        </is>
      </c>
      <c r="J2420" s="10" t="inlineStr">
        <is>
          <t>Quản lý điều hành, Quản lý chất lượng (QA/QC), Đồ gỗ</t>
        </is>
      </c>
      <c r="K2420" s="10" t="inlineStr">
        <is>
          <t>3 - 5 Năm</t>
        </is>
      </c>
      <c r="L2420" s="11">
        <f>HYPERLINK("https://careerviet.vn/vi/tim-viec-lam/qa-manager.35C6B590.html","Xem chi tiết")</f>
        <v/>
      </c>
      <c r="M2420" s="10" t="n"/>
    </row>
    <row r="2421">
      <c r="B2421" s="7" t="n">
        <v>2419</v>
      </c>
      <c r="C2421" t="inlineStr">
        <is>
          <t>Nhân Viên Kinh Doanh Thiết Bị Y Tế</t>
        </is>
      </c>
      <c r="D2421" t="inlineStr">
        <is>
          <t>Công ty TNHH Phân Phối Liên Kết Quốc Tế (ILD)</t>
        </is>
      </c>
      <c r="E2421" t="inlineStr">
        <is>
          <t>Lương:15 Tr - 20 Tr VND</t>
        </is>
      </c>
      <c r="F2421" t="inlineStr">
        <is>
          <t>Hồ Chí Minh</t>
        </is>
      </c>
      <c r="G2421" t="inlineStr">
        <is>
          <t>07-04-2026</t>
        </is>
      </c>
      <c r="H2421" t="inlineStr">
        <is>
          <t>07/04/2026</t>
        </is>
      </c>
      <c r="I2421" t="inlineStr">
        <is>
          <t>17/03/2026</t>
        </is>
      </c>
      <c r="J2421" t="inlineStr">
        <is>
          <t>Bán hàng / Kinh doanh, Y tế / Chăm sóc sức khỏe / Thẩm mỹ / Làm đẹp</t>
        </is>
      </c>
      <c r="K2421" t="inlineStr">
        <is>
          <t>2 - 3 Năm</t>
        </is>
      </c>
      <c r="L2421" s="8">
        <f>HYPERLINK("https://careerviet.vn/vi/tim-viec-lam/nhan-vien-kinh-doanh-thiet-bi-y-te.35C6B5C8.html","Xem chi tiết")</f>
        <v/>
      </c>
    </row>
    <row r="2422">
      <c r="B2422" s="9" t="n">
        <v>2420</v>
      </c>
      <c r="C2422" s="10" t="inlineStr">
        <is>
          <t>Tuyển nhân viên mua hàng (biếtTiếng Trung)</t>
        </is>
      </c>
      <c r="D2422" s="10" t="inlineStr">
        <is>
          <t>Công ty Cổ phần TP Solar</t>
        </is>
      </c>
      <c r="E2422" s="10" t="inlineStr">
        <is>
          <t>Lương:13 Tr - 15 Tr VND</t>
        </is>
      </c>
      <c r="F2422" s="10" t="inlineStr">
        <is>
          <t>Hưng Yên</t>
        </is>
      </c>
      <c r="G2422" s="10" t="inlineStr">
        <is>
          <t>31-03-2026</t>
        </is>
      </c>
      <c r="H2422" s="10" t="inlineStr">
        <is>
          <t>31/03/2026</t>
        </is>
      </c>
      <c r="I2422" s="10" t="inlineStr">
        <is>
          <t>17/03/2026</t>
        </is>
      </c>
      <c r="J2422" s="10" t="inlineStr">
        <is>
          <t>Thu mua / Vật tư, Bán hàng / Kinh doanh, Dịch vụ khách hàng</t>
        </is>
      </c>
      <c r="K2422" s="10" t="inlineStr">
        <is>
          <t>13 - 15 Năm</t>
        </is>
      </c>
      <c r="L2422" s="11">
        <f>HYPERLINK("https://careerviet.vn/vi/tim-viec-lam/tuyen-nhan-vien-mua-hang-biettieng-trung.35C6B652.html","Xem chi tiết")</f>
        <v/>
      </c>
      <c r="M2422" s="10" t="n"/>
    </row>
    <row r="2423">
      <c r="B2423" s="7" t="n">
        <v>2421</v>
      </c>
      <c r="C2423" t="inlineStr">
        <is>
          <t>Nhân viên kinh doanh thị trường (Củ Chi, Hóc Môn, Vũng Tàu, Long An)</t>
        </is>
      </c>
      <c r="D2423" t="inlineStr">
        <is>
          <t>Công ty Cổ Phần Nhựa Thiếu Niên Tiền Phong Phía Nam</t>
        </is>
      </c>
      <c r="E2423" t="inlineStr">
        <is>
          <t>Lương:Cạnh tranh</t>
        </is>
      </c>
      <c r="F2423" t="inlineStr">
        <is>
          <t>Hồ Chí MinhBà Rịa - Vũng TàuLong An</t>
        </is>
      </c>
      <c r="G2423" t="inlineStr">
        <is>
          <t>30-03-2026</t>
        </is>
      </c>
      <c r="H2423" t="inlineStr">
        <is>
          <t>30/03/2026</t>
        </is>
      </c>
      <c r="I2423" t="inlineStr">
        <is>
          <t>17/03/2026</t>
        </is>
      </c>
      <c r="J2423" t="inlineStr">
        <is>
          <t>Tiếp thị / Marketing, Bán lẻ / Bán sỉ, Bán hàng / Kinh doanh</t>
        </is>
      </c>
      <c r="K2423" t="inlineStr">
        <is>
          <t>1 - 2 Năm</t>
        </is>
      </c>
      <c r="L2423" s="8">
        <f>HYPERLINK("https://careerviet.vn/vi/tim-viec-lam/nhan-vien-kinh-doanh-thi-truong-cu-chi-hoc-mon-vung-tau-long-an.35C6B604.html","Xem chi tiết")</f>
        <v/>
      </c>
    </row>
    <row r="2424">
      <c r="B2424" s="9" t="n">
        <v>2422</v>
      </c>
      <c r="C2424" s="10" t="inlineStr">
        <is>
          <t>TT. Ngân hàng giao dịch, Hội sở_CVC Tác nghiệp Tài trợ thương mại</t>
        </is>
      </c>
      <c r="D2424" s="10" t="inlineStr">
        <is>
          <t>Ngân Hàng TMCP Phương Đông - OCB</t>
        </is>
      </c>
      <c r="E2424" s="10" t="inlineStr">
        <is>
          <t>Lương:Cạnh tranh</t>
        </is>
      </c>
      <c r="F2424" s="10" t="inlineStr">
        <is>
          <t>Hồ Chí Minh</t>
        </is>
      </c>
      <c r="G2424" s="10" t="inlineStr">
        <is>
          <t>06-04-2026</t>
        </is>
      </c>
      <c r="H2424" s="10" t="inlineStr">
        <is>
          <t>06/04/2026</t>
        </is>
      </c>
      <c r="I2424" s="10" t="inlineStr">
        <is>
          <t>17/03/2026</t>
        </is>
      </c>
      <c r="J2424" s="10" t="inlineStr">
        <is>
          <t>Ngân hàng</t>
        </is>
      </c>
      <c r="K2424" s="10" t="inlineStr">
        <is>
          <t>2 - 3 Năm</t>
        </is>
      </c>
      <c r="L2424" s="11">
        <f>HYPERLINK("https://careerviet.vn/vi/tim-viec-lam/tt-ngan-hang-giao-dich-hoi-so_cvc-tac-nghiep-tai-tro-thuong-mai.35C6B596.html","Xem chi tiết")</f>
        <v/>
      </c>
      <c r="M2424" s="10" t="n"/>
    </row>
    <row r="2425">
      <c r="B2425" s="7" t="n">
        <v>2423</v>
      </c>
      <c r="C2425" t="inlineStr">
        <is>
          <t>Kế toán tổng hợp</t>
        </is>
      </c>
      <c r="D2425" t="inlineStr">
        <is>
          <t>Anh Nguyen Co Ltd</t>
        </is>
      </c>
      <c r="E2425" t="inlineStr">
        <is>
          <t>Lương:15 Tr - 24 Tr VND</t>
        </is>
      </c>
      <c r="F2425" t="inlineStr">
        <is>
          <t>Hà Nội</t>
        </is>
      </c>
      <c r="G2425" t="inlineStr">
        <is>
          <t>10-04-2026</t>
        </is>
      </c>
      <c r="H2425" t="inlineStr">
        <is>
          <t>10/04/2026</t>
        </is>
      </c>
      <c r="I2425" t="inlineStr">
        <is>
          <t>17/03/2026</t>
        </is>
      </c>
      <c r="J2425" t="inlineStr">
        <is>
          <t>Kế toán / Kiểm toán</t>
        </is>
      </c>
      <c r="K2425" t="inlineStr">
        <is>
          <t>Chưa có kinh nghiệm</t>
        </is>
      </c>
      <c r="L2425" s="8">
        <f>HYPERLINK("https://careerviet.vn/vi/tim-viec-lam/ke-toan-tong-hop.35C6B5BB.html","Xem chi tiết")</f>
        <v/>
      </c>
    </row>
    <row r="2426">
      <c r="B2426" s="9" t="n">
        <v>2424</v>
      </c>
      <c r="C2426" s="10" t="inlineStr">
        <is>
          <t>TỔ TRƯỞNG BẢO TRÌ NHÀ MÁY</t>
        </is>
      </c>
      <c r="D2426" s="10" t="inlineStr">
        <is>
          <t>Công ty TNHH SX - TM Nhật Tiến</t>
        </is>
      </c>
      <c r="E2426" s="10" t="inlineStr">
        <is>
          <t>Lương:18 Tr - 25 Tr VND</t>
        </is>
      </c>
      <c r="F2426" s="10" t="inlineStr">
        <is>
          <t>Long An</t>
        </is>
      </c>
      <c r="G2426" s="10" t="inlineStr">
        <is>
          <t>31-03-2026</t>
        </is>
      </c>
      <c r="H2426" s="10" t="inlineStr">
        <is>
          <t>31/03/2026</t>
        </is>
      </c>
      <c r="I2426" s="10" t="inlineStr">
        <is>
          <t>17/03/2026</t>
        </is>
      </c>
      <c r="J2426" s="10" t="inlineStr">
        <is>
          <t>Bảo trì / Sửa chữa</t>
        </is>
      </c>
      <c r="K2426" s="10" t="inlineStr">
        <is>
          <t>3 - 5 Năm</t>
        </is>
      </c>
      <c r="L2426" s="11">
        <f>HYPERLINK("https://careerviet.vn/vi/tim-viec-lam/to-truong-bao-tri-nha-may.35C6B436.html","Xem chi tiết")</f>
        <v/>
      </c>
      <c r="M2426" s="10" t="n"/>
    </row>
    <row r="2427">
      <c r="B2427" s="7" t="n">
        <v>2425</v>
      </c>
      <c r="C2427" t="inlineStr">
        <is>
          <t>Chuyên viên Kế toán Công nợ &amp; Kho</t>
        </is>
      </c>
      <c r="D2427" t="inlineStr">
        <is>
          <t>UrBox - Công ty Cổ phần Tiếp Thị Số Tô Quà</t>
        </is>
      </c>
      <c r="E2427" t="inlineStr">
        <is>
          <t>Lương:15 Tr - 25 Tr VND</t>
        </is>
      </c>
      <c r="F2427" t="inlineStr">
        <is>
          <t>Hà Nội</t>
        </is>
      </c>
      <c r="G2427" t="inlineStr">
        <is>
          <t>30-04-2026</t>
        </is>
      </c>
      <c r="H2427" t="inlineStr">
        <is>
          <t>30/04/2026</t>
        </is>
      </c>
      <c r="I2427" t="inlineStr">
        <is>
          <t>17/03/2026</t>
        </is>
      </c>
      <c r="J2427" t="inlineStr">
        <is>
          <t>Kế toán / Kiểm toán, Ngân hàng, Tài chính / Đầu tư</t>
        </is>
      </c>
      <c r="K2427" t="inlineStr">
        <is>
          <t>2 - 8 Năm</t>
        </is>
      </c>
      <c r="L2427" s="8">
        <f>HYPERLINK("https://careerviet.vn/vi/tim-viec-lam/chuyen-vien-ke-toan-cong-no-kho.35C6C91C.html","Xem chi tiết")</f>
        <v/>
      </c>
    </row>
    <row r="2428">
      <c r="B2428" s="9" t="n">
        <v>2426</v>
      </c>
      <c r="C2428" s="10" t="inlineStr">
        <is>
          <t>Kế toán thuế (Senior)</t>
        </is>
      </c>
      <c r="D2428" s="10" t="inlineStr">
        <is>
          <t>CÔNG TY TNHH THE MIRACLE VIỆT NAM</t>
        </is>
      </c>
      <c r="E2428" s="10" t="inlineStr">
        <is>
          <t>Lương:Cạnh tranh</t>
        </is>
      </c>
      <c r="F2428" s="10" t="inlineStr">
        <is>
          <t>Hồ Chí Minh</t>
        </is>
      </c>
      <c r="G2428" s="10" t="inlineStr">
        <is>
          <t>06-04-2026</t>
        </is>
      </c>
      <c r="H2428" s="10" t="inlineStr">
        <is>
          <t>06/04/2026</t>
        </is>
      </c>
      <c r="I2428" s="10" t="inlineStr">
        <is>
          <t>17/03/2026</t>
        </is>
      </c>
      <c r="J2428" s="10" t="inlineStr">
        <is>
          <t>Kế toán / Kiểm toán</t>
        </is>
      </c>
      <c r="K2428" s="10" t="inlineStr">
        <is>
          <t>3 - 5 Năm</t>
        </is>
      </c>
      <c r="L2428" s="11">
        <f>HYPERLINK("https://careerviet.vn/vi/tim-viec-lam/ke-toan-thue-senior.35C6B345.html","Xem chi tiết")</f>
        <v/>
      </c>
      <c r="M2428" s="10" t="n"/>
    </row>
    <row r="2429">
      <c r="B2429" s="7" t="n">
        <v>2427</v>
      </c>
      <c r="C2429" t="inlineStr">
        <is>
          <t>Trưởng phòng mua hàng (Lương hấp dẫn 30-35tr)</t>
        </is>
      </c>
      <c r="D2429" t="inlineStr">
        <is>
          <t>Công ty Cổ phần TP Solar</t>
        </is>
      </c>
      <c r="E2429" t="inlineStr">
        <is>
          <t>Lương:30 Tr - 35 Tr VND</t>
        </is>
      </c>
      <c r="F2429" t="inlineStr">
        <is>
          <t>Hưng Yên</t>
        </is>
      </c>
      <c r="G2429" t="inlineStr">
        <is>
          <t>31-03-2026</t>
        </is>
      </c>
      <c r="H2429" t="inlineStr">
        <is>
          <t>31/03/2026</t>
        </is>
      </c>
      <c r="I2429" t="inlineStr">
        <is>
          <t>17/03/2026</t>
        </is>
      </c>
      <c r="J2429" t="inlineStr">
        <is>
          <t>Bán lẻ / Bán sỉ, Bán hàng / Kinh doanh, Thu mua / Vật tư</t>
        </is>
      </c>
      <c r="K2429" t="inlineStr">
        <is>
          <t>2 - 4 Năm</t>
        </is>
      </c>
      <c r="L2429" s="8">
        <f>HYPERLINK("https://careerviet.vn/vi/tim-viec-lam/truong-phong-mua-hang-luong-hap-dan-30-35tr.35C6B658.html","Xem chi tiết")</f>
        <v/>
      </c>
    </row>
    <row r="2430">
      <c r="B2430" s="9" t="n">
        <v>2428</v>
      </c>
      <c r="C2430" s="10" t="inlineStr">
        <is>
          <t>KỸ SƯ NÔNG NGHIỆP – QUẢN LÝ TRANG TRẠI (CHANH DÂY XUẤT KHẨU)</t>
        </is>
      </c>
      <c r="D2430" s="10" t="inlineStr">
        <is>
          <t>CÔNG TY TNHH TRÁI CÂY LẠ THỊNH AN</t>
        </is>
      </c>
      <c r="E2430" s="10" t="inlineStr">
        <is>
          <t>Lương:10 Tr - 15 Tr VND</t>
        </is>
      </c>
      <c r="F2430" s="10" t="inlineStr">
        <is>
          <t>Gia Lai</t>
        </is>
      </c>
      <c r="G2430" s="10" t="inlineStr">
        <is>
          <t>14-04-2026</t>
        </is>
      </c>
      <c r="H2430" s="10" t="inlineStr">
        <is>
          <t>14/04/2026</t>
        </is>
      </c>
      <c r="I2430" s="10" t="inlineStr">
        <is>
          <t>17/03/2026</t>
        </is>
      </c>
      <c r="J2430" s="10" t="inlineStr">
        <is>
          <t>Nông nghiệp, Xuất nhập khẩu</t>
        </is>
      </c>
      <c r="K2430" s="10" t="inlineStr">
        <is>
          <t>2 - 3 Năm</t>
        </is>
      </c>
      <c r="L2430" s="11">
        <f>HYPERLINK("https://careerviet.vn/vi/tim-viec-lam/ky-su-nong-nghiep-quan-ly-trang-trai-chanh-day-xuat-khau.35C6C91A.html","Xem chi tiết")</f>
        <v/>
      </c>
      <c r="M2430" s="10" t="n"/>
    </row>
    <row r="2431">
      <c r="B2431" s="7" t="n">
        <v>2429</v>
      </c>
      <c r="C2431" t="inlineStr">
        <is>
          <t>Content Marketing (Ưu tiên nhận việc ngay)</t>
        </is>
      </c>
      <c r="D2431" t="inlineStr">
        <is>
          <t>Công Ty TNHH Muse Medical</t>
        </is>
      </c>
      <c r="E2431" t="inlineStr">
        <is>
          <t>Lương:Cạnh tranh</t>
        </is>
      </c>
      <c r="F2431" t="inlineStr">
        <is>
          <t>Hồ Chí Minh</t>
        </is>
      </c>
      <c r="G2431" t="inlineStr">
        <is>
          <t>13-04-2026</t>
        </is>
      </c>
      <c r="H2431" t="inlineStr">
        <is>
          <t>13/04/2026</t>
        </is>
      </c>
      <c r="I2431" t="inlineStr">
        <is>
          <t>17/03/2026</t>
        </is>
      </c>
      <c r="J2431" t="inlineStr">
        <is>
          <t>Tiếp thị / Marketing, Y tế / Chăm sóc sức khỏe / Thẩm mỹ / Làm đẹp, Quảng cáo / Đối ngoại / Truyền Thông</t>
        </is>
      </c>
      <c r="K2431" t="inlineStr">
        <is>
          <t>1 - 2 Năm</t>
        </is>
      </c>
      <c r="L2431" s="8">
        <f>HYPERLINK("https://careerviet.vn/vi/tim-viec-lam/content-marketing-uu-tien-nhan-viec-ngay.35C6C913.html","Xem chi tiết")</f>
        <v/>
      </c>
    </row>
    <row r="2432">
      <c r="B2432" s="9" t="n">
        <v>2430</v>
      </c>
      <c r="C2432" s="10" t="inlineStr">
        <is>
          <t>Nhân viên hành chính nhân sự tổng hợp</t>
        </is>
      </c>
      <c r="D2432" s="10" t="inlineStr">
        <is>
          <t>Công ty Cổ phần Tập đoàn Gỗ Minh Long</t>
        </is>
      </c>
      <c r="E2432" s="10" t="inlineStr">
        <is>
          <t>Lương:13 Tr - 18 Tr VND</t>
        </is>
      </c>
      <c r="F2432" s="10" t="inlineStr">
        <is>
          <t>Hưng Yên</t>
        </is>
      </c>
      <c r="G2432" s="10" t="inlineStr">
        <is>
          <t>15-04-2026</t>
        </is>
      </c>
      <c r="H2432" s="10" t="inlineStr">
        <is>
          <t>15/04/2026</t>
        </is>
      </c>
      <c r="I2432" s="10" t="inlineStr">
        <is>
          <t>17/03/2026</t>
        </is>
      </c>
      <c r="J2432" s="10" t="inlineStr">
        <is>
          <t>Nhân sự, Hành chính / Thư ký</t>
        </is>
      </c>
      <c r="K2432" s="10" t="inlineStr">
        <is>
          <t>Trên 3 Năm</t>
        </is>
      </c>
      <c r="L2432" s="11">
        <f>HYPERLINK("https://careerviet.vn/vi/tim-viec-lam/nhan-vien-hanh-chinh-nhan-su-tong-hop.35C6C915.html","Xem chi tiết")</f>
        <v/>
      </c>
      <c r="M2432" s="10" t="n"/>
    </row>
    <row r="2433">
      <c r="B2433" s="7" t="n">
        <v>2431</v>
      </c>
      <c r="C2433" t="inlineStr">
        <is>
          <t>Chuyên viên Phát triển khoa học dữ liệu - Data Scientist - Khối Công nghệ thông tin (HO26.84)</t>
        </is>
      </c>
      <c r="D2433" t="inlineStr">
        <is>
          <t>Ngân Hàng TMCP Quân Đội</t>
        </is>
      </c>
      <c r="E2433" t="inlineStr">
        <is>
          <t>Lương:Cạnh tranh</t>
        </is>
      </c>
      <c r="F2433" t="inlineStr">
        <is>
          <t>Hà Nội</t>
        </is>
      </c>
      <c r="G2433" t="inlineStr">
        <is>
          <t>13-04-2026</t>
        </is>
      </c>
      <c r="H2433" t="inlineStr">
        <is>
          <t>13/04/2026</t>
        </is>
      </c>
      <c r="I2433" t="inlineStr">
        <is>
          <t>17/03/2026</t>
        </is>
      </c>
      <c r="J2433" t="inlineStr">
        <is>
          <t>Ngân hàng, CNTT - Phần mềm, CNTT - Phần cứng / Mạng</t>
        </is>
      </c>
      <c r="K2433" t="inlineStr">
        <is>
          <t>Trên 1 Năm</t>
        </is>
      </c>
      <c r="L2433" s="8">
        <f>HYPERLINK("https://careerviet.vn/vi/tim-viec-lam/chuyen-vien-phat-trien-khoa-hoc-du-lieu-data-scientist-khoi-cong-nghe-thong-tin-ho26-84.35C6C8FD.html","Xem chi tiết")</f>
        <v/>
      </c>
    </row>
    <row r="2434">
      <c r="B2434" s="9" t="n">
        <v>2432</v>
      </c>
      <c r="C2434" s="10" t="inlineStr">
        <is>
          <t>KỸ SƯ BẢO TRÌ MÁY MÓC CƠ KHÍ - NHÀ MÁY 2</t>
        </is>
      </c>
      <c r="D2434" s="10" t="inlineStr">
        <is>
          <t>CÔNG TY TRÁCH NHIỆM HỮU HẠN SÀI GÒN PRECISION</t>
        </is>
      </c>
      <c r="E2434" s="10" t="inlineStr">
        <is>
          <t>Lương:Cạnh tranh</t>
        </is>
      </c>
      <c r="F2434" s="10" t="inlineStr">
        <is>
          <t>Hồ Chí Minh</t>
        </is>
      </c>
      <c r="G2434" s="10" t="inlineStr">
        <is>
          <t>30-03-2026</t>
        </is>
      </c>
      <c r="H2434" s="10" t="inlineStr">
        <is>
          <t>30/03/2026</t>
        </is>
      </c>
      <c r="I2434" s="10" t="inlineStr">
        <is>
          <t>17/03/2026</t>
        </is>
      </c>
      <c r="J2434" s="10" t="inlineStr">
        <is>
          <t>Cơ khí / Ô tô / Tự động hóa, Sản xuất / Vận hành sản xuất, Bảo trì / Sửa chữa</t>
        </is>
      </c>
      <c r="K2434" s="10" t="inlineStr">
        <is>
          <t>N/A</t>
        </is>
      </c>
      <c r="L2434" s="11">
        <f>HYPERLINK("https://careerviet.vn/vi/tim-viec-lam/ky-su-bao-tri-may-moc-co-khi-nha-may-2.35C6B627.html","Xem chi tiết")</f>
        <v/>
      </c>
      <c r="M2434" s="10" t="n"/>
    </row>
    <row r="2435">
      <c r="B2435" s="7" t="n">
        <v>2433</v>
      </c>
      <c r="C2435" t="inlineStr">
        <is>
          <t>QUẢN LÝ NHÂN SỰ/ QUẢN LÝ VẬN HÀNH NỘI BỘ</t>
        </is>
      </c>
      <c r="D2435" t="inlineStr">
        <is>
          <t>CÔNG TY TNHH K-MEDICAL</t>
        </is>
      </c>
      <c r="E2435" t="inlineStr">
        <is>
          <t>Lương:Cạnh tranh</t>
        </is>
      </c>
      <c r="F2435" t="inlineStr">
        <is>
          <t>Hồ Chí Minh</t>
        </is>
      </c>
      <c r="G2435" t="inlineStr">
        <is>
          <t>13-04-2026</t>
        </is>
      </c>
      <c r="H2435" t="inlineStr">
        <is>
          <t>13/04/2026</t>
        </is>
      </c>
      <c r="I2435" t="inlineStr">
        <is>
          <t>17/03/2026</t>
        </is>
      </c>
      <c r="J2435" t="inlineStr">
        <is>
          <t>Y tế / Chăm sóc sức khỏe / Thẩm mỹ / Làm đẹp, Quản lý điều hành, Nhân sự</t>
        </is>
      </c>
      <c r="K2435" t="inlineStr">
        <is>
          <t>3 - 5 Năm</t>
        </is>
      </c>
      <c r="L2435" s="8">
        <f>HYPERLINK("https://careerviet.vn/vi/tim-viec-lam/quan-ly-nhan-su-quan-ly-van-hanh-noi-bo.35C6C916.html","Xem chi tiết")</f>
        <v/>
      </c>
    </row>
    <row r="2436">
      <c r="B2436" s="9" t="n">
        <v>2434</v>
      </c>
      <c r="C2436" s="10" t="inlineStr">
        <is>
          <t>Trợ lý kinh doanh</t>
        </is>
      </c>
      <c r="D2436" s="10" t="inlineStr">
        <is>
          <t>CÔNG TY CỔ PHẦN GIẢI PHÁP  NAM VIỆT GROUP</t>
        </is>
      </c>
      <c r="E2436" s="10" t="inlineStr">
        <is>
          <t>Lương:12 Tr - 15 Tr VND</t>
        </is>
      </c>
      <c r="F2436" s="10" t="inlineStr">
        <is>
          <t>Hồ Chí Minh</t>
        </is>
      </c>
      <c r="G2436" s="10" t="inlineStr">
        <is>
          <t>31-05-2026</t>
        </is>
      </c>
      <c r="H2436" s="10" t="inlineStr">
        <is>
          <t>31/05/2026</t>
        </is>
      </c>
      <c r="I2436" s="10" t="inlineStr">
        <is>
          <t>17/03/2026</t>
        </is>
      </c>
      <c r="J2436" s="10" t="inlineStr">
        <is>
          <t>Bán hàng / Kinh doanh</t>
        </is>
      </c>
      <c r="K2436" s="10" t="inlineStr">
        <is>
          <t>3 - 5 Năm</t>
        </is>
      </c>
      <c r="L2436" s="11">
        <f>HYPERLINK("https://careerviet.vn/vi/tim-viec-lam/tro-ly-kinh-doanh.35C6C917.html","Xem chi tiết")</f>
        <v/>
      </c>
      <c r="M2436" s="10" t="n"/>
    </row>
    <row r="2437">
      <c r="B2437" s="7" t="n">
        <v>2435</v>
      </c>
      <c r="C2437" t="inlineStr">
        <is>
          <t>Online Coordinator (HO - 000210_SHO-ONL-121-200-081-1)</t>
        </is>
      </c>
      <c r="D2437" t="inlineStr">
        <is>
          <t>Central Brand &amp; Specialty Việt Nam</t>
        </is>
      </c>
      <c r="E2437" t="inlineStr">
        <is>
          <t>Lương:Cạnh tranh</t>
        </is>
      </c>
      <c r="F2437" t="inlineStr">
        <is>
          <t>Hồ Chí Minh</t>
        </is>
      </c>
      <c r="G2437" t="inlineStr">
        <is>
          <t>31-03-2026</t>
        </is>
      </c>
      <c r="H2437" t="inlineStr">
        <is>
          <t>31/03/2026</t>
        </is>
      </c>
      <c r="I2437" t="inlineStr">
        <is>
          <t>17/03/2026</t>
        </is>
      </c>
      <c r="J2437" t="inlineStr">
        <is>
          <t>Thương mại điện tử, Bán lẻ / Bán sỉ, Hành chính / Thư ký</t>
        </is>
      </c>
      <c r="K2437" t="inlineStr">
        <is>
          <t>2 - 4 Năm</t>
        </is>
      </c>
      <c r="L2437" s="8">
        <f>HYPERLINK("https://careerviet.vn/vi/tim-viec-lam/online-coordinator-ho-000210_sho-onl-121-200-081-1.35C6C911.html","Xem chi tiết")</f>
        <v/>
      </c>
    </row>
    <row r="2438">
      <c r="B2438" s="9" t="n">
        <v>2436</v>
      </c>
      <c r="C2438" s="10" t="inlineStr">
        <is>
          <t>AI Expert - Khối Công nghệ thông tin (HOLT.15)</t>
        </is>
      </c>
      <c r="D2438" s="10" t="inlineStr">
        <is>
          <t>Ngân Hàng TMCP Quân Đội</t>
        </is>
      </c>
      <c r="E2438" s="10" t="inlineStr">
        <is>
          <t>Lương:Cạnh tranh</t>
        </is>
      </c>
      <c r="F2438" s="10" t="inlineStr">
        <is>
          <t>Hà Nội</t>
        </is>
      </c>
      <c r="G2438" s="10" t="inlineStr">
        <is>
          <t>13-04-2026</t>
        </is>
      </c>
      <c r="H2438" s="10" t="inlineStr">
        <is>
          <t>13/04/2026</t>
        </is>
      </c>
      <c r="I2438" s="10" t="inlineStr">
        <is>
          <t>17/03/2026</t>
        </is>
      </c>
      <c r="J2438" s="10" t="inlineStr">
        <is>
          <t>Ngân hàng, CNTT - Phần mềm, CNTT - Phần cứng / Mạng</t>
        </is>
      </c>
      <c r="K2438" s="10" t="inlineStr">
        <is>
          <t>Trên 3 Năm</t>
        </is>
      </c>
      <c r="L2438" s="11">
        <f>HYPERLINK("https://careerviet.vn/vi/tim-viec-lam/ai-expert-khoi-cong-nghe-thong-tin-holt-15.35C6C902.html","Xem chi tiết")</f>
        <v/>
      </c>
      <c r="M2438" s="10" t="n"/>
    </row>
    <row r="2439">
      <c r="B2439" s="7" t="n">
        <v>2437</v>
      </c>
      <c r="C2439" t="inlineStr">
        <is>
          <t>AI Software Engineer (Python/Go/C/C++ Backend &amp; AI Agents) - Khối Công nghệ thông tin (HOLT.19)</t>
        </is>
      </c>
      <c r="D2439" t="inlineStr">
        <is>
          <t>Ngân Hàng TMCP Quân Đội</t>
        </is>
      </c>
      <c r="E2439" t="inlineStr">
        <is>
          <t>Lương:Cạnh tranh</t>
        </is>
      </c>
      <c r="F2439" t="inlineStr">
        <is>
          <t>Hà Nội</t>
        </is>
      </c>
      <c r="G2439" t="inlineStr">
        <is>
          <t>13-04-2026</t>
        </is>
      </c>
      <c r="H2439" t="inlineStr">
        <is>
          <t>13/04/2026</t>
        </is>
      </c>
      <c r="I2439" t="inlineStr">
        <is>
          <t>17/03/2026</t>
        </is>
      </c>
      <c r="J2439" t="inlineStr">
        <is>
          <t>Ngân hàng, CNTT - Phần mềm, CNTT - Phần cứng / Mạng</t>
        </is>
      </c>
      <c r="K2439" t="inlineStr">
        <is>
          <t>Trên 1 Năm</t>
        </is>
      </c>
      <c r="L2439" s="8">
        <f>HYPERLINK("https://careerviet.vn/vi/tim-viec-lam/ai-software-engineer-python-go-c-c-backend-ai-agents-khoi-cong-nghe-thong-tin-holt-19.35C6C907.html","Xem chi tiết")</f>
        <v/>
      </c>
    </row>
    <row r="2440">
      <c r="B2440" s="9" t="n">
        <v>2438</v>
      </c>
      <c r="C2440" s="10" t="inlineStr">
        <is>
          <t>Kế toán trưởng</t>
        </is>
      </c>
      <c r="D2440" s="10" t="inlineStr">
        <is>
          <t>MENHUB RETAIL</t>
        </is>
      </c>
      <c r="E2440" s="10" t="inlineStr">
        <is>
          <t>Lương:Cạnh tranh</t>
        </is>
      </c>
      <c r="F2440" s="10" t="inlineStr">
        <is>
          <t>Hồ Chí Minh</t>
        </is>
      </c>
      <c r="G2440" s="10" t="inlineStr">
        <is>
          <t>15-04-2026</t>
        </is>
      </c>
      <c r="H2440" s="10" t="inlineStr">
        <is>
          <t>15/04/2026</t>
        </is>
      </c>
      <c r="I2440" s="10" t="inlineStr">
        <is>
          <t>17/03/2026</t>
        </is>
      </c>
      <c r="J2440" s="10" t="inlineStr">
        <is>
          <t>Bán lẻ / Bán sỉ, Kế toán / Kiểm toán, Tài chính / Đầu tư</t>
        </is>
      </c>
      <c r="K2440" s="10" t="inlineStr">
        <is>
          <t>3 - 5 Năm</t>
        </is>
      </c>
      <c r="L2440" s="11">
        <f>HYPERLINK("https://careerviet.vn/vi/tim-viec-lam/ke-toan-truong.35C6C888.html","Xem chi tiết")</f>
        <v/>
      </c>
      <c r="M2440" s="10" t="n"/>
    </row>
    <row r="2441">
      <c r="B2441" s="7" t="n">
        <v>2439</v>
      </c>
      <c r="C2441" t="inlineStr">
        <is>
          <t>Trưởng phòng Công nghệ Thị giác Máy tính - Phòng Công nghệ thị giác máy tính - Head of Computer Vision Technology Department  - Khối CNTT (HO26.85)</t>
        </is>
      </c>
      <c r="D2441" t="inlineStr">
        <is>
          <t>Ngân Hàng TMCP Quân Đội</t>
        </is>
      </c>
      <c r="E2441" t="inlineStr">
        <is>
          <t>Lương:Cạnh tranh</t>
        </is>
      </c>
      <c r="F2441" t="inlineStr">
        <is>
          <t>Hà Nội</t>
        </is>
      </c>
      <c r="G2441" t="inlineStr">
        <is>
          <t>13-04-2026</t>
        </is>
      </c>
      <c r="H2441" t="inlineStr">
        <is>
          <t>13/04/2026</t>
        </is>
      </c>
      <c r="I2441" t="inlineStr">
        <is>
          <t>17/03/2026</t>
        </is>
      </c>
      <c r="J2441" t="inlineStr">
        <is>
          <t>Ngân hàng, CNTT - Phần mềm, CNTT - Phần cứng / Mạng</t>
        </is>
      </c>
      <c r="K2441" t="inlineStr">
        <is>
          <t>Trên 5 Năm</t>
        </is>
      </c>
      <c r="L2441" s="8">
        <f>HYPERLINK("https://careerviet.vn/vi/tim-viec-lam/truong-phong-cong-nghe-thi-giac-may-tinh-phong-cong-nghe-thi-giac-may-tinh-head-of-computer-vision-technology-department-khoi-cntt-ho26-85.35C6C8FE.html","Xem chi tiết")</f>
        <v/>
      </c>
    </row>
    <row r="2442">
      <c r="B2442" s="9" t="n">
        <v>2440</v>
      </c>
      <c r="C2442" s="10" t="inlineStr">
        <is>
          <t>Senior Digital Marketing (Ưu tiên nhận việc ngay)</t>
        </is>
      </c>
      <c r="D2442" s="10" t="inlineStr">
        <is>
          <t>Công Ty TNHH Muse Medical</t>
        </is>
      </c>
      <c r="E2442" s="10" t="inlineStr">
        <is>
          <t>Lương:Cạnh tranh</t>
        </is>
      </c>
      <c r="F2442" s="10" t="inlineStr">
        <is>
          <t>Hồ Chí Minh</t>
        </is>
      </c>
      <c r="G2442" s="10" t="inlineStr">
        <is>
          <t>13-04-2026</t>
        </is>
      </c>
      <c r="H2442" s="10" t="inlineStr">
        <is>
          <t>13/04/2026</t>
        </is>
      </c>
      <c r="I2442" s="10" t="inlineStr">
        <is>
          <t>17/03/2026</t>
        </is>
      </c>
      <c r="J2442" s="10" t="inlineStr">
        <is>
          <t>Tiếp thị / Marketing, Y tế / Chăm sóc sức khỏe / Thẩm mỹ / Làm đẹp, Quảng cáo / Đối ngoại / Truyền Thông</t>
        </is>
      </c>
      <c r="K2442" s="10" t="inlineStr">
        <is>
          <t>Trên 2 Năm</t>
        </is>
      </c>
      <c r="L2442" s="11">
        <f>HYPERLINK("https://careerviet.vn/vi/tim-viec-lam/senior-digital-marketing-uu-tien-nhan-viec-ngay.35C6C910.html","Xem chi tiết")</f>
        <v/>
      </c>
      <c r="M2442" s="10" t="n"/>
    </row>
    <row r="2443">
      <c r="B2443" s="7" t="n">
        <v>2441</v>
      </c>
      <c r="C2443" t="inlineStr">
        <is>
          <t>Senior AI Expert - Khối Công nghệ thông tin (HOLT.16)</t>
        </is>
      </c>
      <c r="D2443" t="inlineStr">
        <is>
          <t>Ngân Hàng TMCP Quân Đội</t>
        </is>
      </c>
      <c r="E2443" t="inlineStr">
        <is>
          <t>Lương:Cạnh tranh</t>
        </is>
      </c>
      <c r="F2443" t="inlineStr">
        <is>
          <t>Hà Nội</t>
        </is>
      </c>
      <c r="G2443" t="inlineStr">
        <is>
          <t>13-04-2026</t>
        </is>
      </c>
      <c r="H2443" t="inlineStr">
        <is>
          <t>13/04/2026</t>
        </is>
      </c>
      <c r="I2443" t="inlineStr">
        <is>
          <t>17/03/2026</t>
        </is>
      </c>
      <c r="J2443" t="inlineStr">
        <is>
          <t>Ngân hàng, CNTT - Phần mềm, CNTT - Phần cứng / Mạng</t>
        </is>
      </c>
      <c r="K2443" t="inlineStr">
        <is>
          <t>Trên 5 Năm</t>
        </is>
      </c>
      <c r="L2443" s="8">
        <f>HYPERLINK("https://careerviet.vn/vi/tim-viec-lam/senior-ai-expert-khoi-cong-nghe-thong-tin-holt-16.35C6C903.html","Xem chi tiết")</f>
        <v/>
      </c>
    </row>
    <row r="2444">
      <c r="B2444" s="9" t="n">
        <v>2442</v>
      </c>
      <c r="C2444" s="10" t="inlineStr">
        <is>
          <t>Kế toán tổng hợp xuất nhập khẩu</t>
        </is>
      </c>
      <c r="D2444" s="10" t="inlineStr">
        <is>
          <t>CÔNG TY TNHH TRÁI CÂY LẠ THỊNH AN</t>
        </is>
      </c>
      <c r="E2444" s="10" t="inlineStr">
        <is>
          <t>Lương:15 Tr - 20 Tr VND</t>
        </is>
      </c>
      <c r="F2444" s="10" t="inlineStr">
        <is>
          <t>Hồ Chí Minh</t>
        </is>
      </c>
      <c r="G2444" s="10" t="inlineStr">
        <is>
          <t>14-04-2026</t>
        </is>
      </c>
      <c r="H2444" s="10" t="inlineStr">
        <is>
          <t>14/04/2026</t>
        </is>
      </c>
      <c r="I2444" s="10" t="inlineStr">
        <is>
          <t>17/03/2026</t>
        </is>
      </c>
      <c r="J2444" s="10" t="inlineStr">
        <is>
          <t>Kế toán / Kiểm toán, Xuất nhập khẩu, Sản xuất / Vận hành sản xuất</t>
        </is>
      </c>
      <c r="K2444" s="10" t="inlineStr">
        <is>
          <t>3 - 5 Năm</t>
        </is>
      </c>
      <c r="L2444" s="11">
        <f>HYPERLINK("https://careerviet.vn/vi/tim-viec-lam/ke-toan-tong-hop-xuat-nhap-khau.35C6C90D.html","Xem chi tiết")</f>
        <v/>
      </c>
      <c r="M2444" s="10" t="n"/>
    </row>
    <row r="2445">
      <c r="B2445" s="7" t="n">
        <v>2443</v>
      </c>
      <c r="C2445" t="inlineStr">
        <is>
          <t>Senior AI Engineer (Computer Vision/NPL/LLM) - Khối Công nghệ thông tin (HOLT.17)</t>
        </is>
      </c>
      <c r="D2445" t="inlineStr">
        <is>
          <t>Ngân Hàng TMCP Quân Đội</t>
        </is>
      </c>
      <c r="E2445" t="inlineStr">
        <is>
          <t>Lương:Cạnh tranh</t>
        </is>
      </c>
      <c r="F2445" t="inlineStr">
        <is>
          <t>Hà Nội</t>
        </is>
      </c>
      <c r="G2445" t="inlineStr">
        <is>
          <t>13-04-2026</t>
        </is>
      </c>
      <c r="H2445" t="inlineStr">
        <is>
          <t>13/04/2026</t>
        </is>
      </c>
      <c r="I2445" t="inlineStr">
        <is>
          <t>17/03/2026</t>
        </is>
      </c>
      <c r="J2445" t="inlineStr">
        <is>
          <t>Ngân hàng, CNTT - Phần mềm, CNTT - Phần cứng / Mạng</t>
        </is>
      </c>
      <c r="K2445" t="inlineStr">
        <is>
          <t>Trên 2 Năm</t>
        </is>
      </c>
      <c r="L2445" s="8">
        <f>HYPERLINK("https://careerviet.vn/vi/tim-viec-lam/senior-ai-engineer-computer-vision-npl-llm-khoi-cong-nghe-thong-tin-holt-17.35C6C905.html","Xem chi tiết")</f>
        <v/>
      </c>
    </row>
    <row r="2446">
      <c r="B2446" s="9" t="n">
        <v>2444</v>
      </c>
      <c r="C2446" s="10" t="inlineStr">
        <is>
          <t>Chuyên viên Marketing</t>
        </is>
      </c>
      <c r="D2446" s="10" t="inlineStr">
        <is>
          <t>CÔNG TY CỔ PHẦN BOHO CORPORATION</t>
        </is>
      </c>
      <c r="E2446" s="10" t="inlineStr">
        <is>
          <t>Lương:17 Tr - 24 Tr VND</t>
        </is>
      </c>
      <c r="F2446" s="10" t="inlineStr">
        <is>
          <t>Hồ Chí Minh</t>
        </is>
      </c>
      <c r="G2446" s="10" t="inlineStr">
        <is>
          <t>30-04-2026</t>
        </is>
      </c>
      <c r="H2446" s="10" t="inlineStr">
        <is>
          <t>30/04/2026</t>
        </is>
      </c>
      <c r="I2446" s="10" t="inlineStr">
        <is>
          <t>17/03/2026</t>
        </is>
      </c>
      <c r="J2446" s="10" t="inlineStr">
        <is>
          <t>Tiếp thị / Marketing, Quảng cáo / Đối ngoại / Truyền Thông</t>
        </is>
      </c>
      <c r="K2446" s="10" t="inlineStr">
        <is>
          <t>Chưa có kinh nghiệm</t>
        </is>
      </c>
      <c r="L2446" s="11">
        <f>HYPERLINK("https://careerviet.vn/vi/tim-viec-lam/chuyen-vien-marketing.35C6C8F0.html","Xem chi tiết")</f>
        <v/>
      </c>
      <c r="M2446" s="10" t="n"/>
    </row>
    <row r="2447">
      <c r="B2447" s="7" t="n">
        <v>2445</v>
      </c>
      <c r="C2447" t="inlineStr">
        <is>
          <t>Agentic Engineer (Python/Go/C/C++ Backend &amp; AI Agents) - Khối Công nghệ thông tin (HOLT.18)</t>
        </is>
      </c>
      <c r="D2447" t="inlineStr">
        <is>
          <t>Ngân Hàng TMCP Quân Đội</t>
        </is>
      </c>
      <c r="E2447" t="inlineStr">
        <is>
          <t>Lương:Cạnh tranh</t>
        </is>
      </c>
      <c r="F2447" t="inlineStr">
        <is>
          <t>Hà Nội</t>
        </is>
      </c>
      <c r="G2447" t="inlineStr">
        <is>
          <t>13-04-2026</t>
        </is>
      </c>
      <c r="H2447" t="inlineStr">
        <is>
          <t>13/04/2026</t>
        </is>
      </c>
      <c r="I2447" t="inlineStr">
        <is>
          <t>17/03/2026</t>
        </is>
      </c>
      <c r="J2447" t="inlineStr">
        <is>
          <t>Ngân hàng, CNTT - Phần mềm, CNTT - Phần cứng / Mạng</t>
        </is>
      </c>
      <c r="K2447" t="inlineStr">
        <is>
          <t>Trên 1 Năm</t>
        </is>
      </c>
      <c r="L2447" s="8">
        <f>HYPERLINK("https://careerviet.vn/vi/tim-viec-lam/agentic-engineer-python-go-c-c-backend-ai-agents-khoi-cong-nghe-thong-tin-holt-18.35C6C906.html","Xem chi tiết")</f>
        <v/>
      </c>
    </row>
    <row r="2448">
      <c r="B2448" s="9" t="n">
        <v>2446</v>
      </c>
      <c r="C2448" s="10" t="inlineStr">
        <is>
          <t>Product Manager (Pharmaceutical)</t>
        </is>
      </c>
      <c r="D2448" s="10" t="inlineStr">
        <is>
          <t>CÔNG TY TNHH Y-MED HEALTHCARE</t>
        </is>
      </c>
      <c r="E2448" s="10" t="inlineStr">
        <is>
          <t>Lương:Cạnh tranh</t>
        </is>
      </c>
      <c r="F2448" s="10" t="inlineStr">
        <is>
          <t>Hồ Chí Minh</t>
        </is>
      </c>
      <c r="G2448" s="10" t="inlineStr">
        <is>
          <t>30-04-2026</t>
        </is>
      </c>
      <c r="H2448" s="10" t="inlineStr">
        <is>
          <t>30/04/2026</t>
        </is>
      </c>
      <c r="I2448" s="10" t="inlineStr">
        <is>
          <t>17/03/2026</t>
        </is>
      </c>
      <c r="J2448" s="10" t="inlineStr">
        <is>
          <t>Tiếp thị / Marketing, Dược phẩm/ Hóa Mỹ Phẩm</t>
        </is>
      </c>
      <c r="K2448" s="10" t="inlineStr">
        <is>
          <t>Trên 5 Năm</t>
        </is>
      </c>
      <c r="L2448" s="11">
        <f>HYPERLINK("https://careerviet.vn/vi/tim-viec-lam/product-manager-pharmaceutical.35C6C8FC.html","Xem chi tiết")</f>
        <v/>
      </c>
      <c r="M2448" s="10" t="n"/>
    </row>
    <row r="2449">
      <c r="B2449" s="7" t="n">
        <v>2447</v>
      </c>
      <c r="C2449" t="inlineStr">
        <is>
          <t>Phiên dịch Tiếng Nhật 27797 - KCN Amata, Đồng Nai</t>
        </is>
      </c>
      <c r="D2449" t="inlineStr">
        <is>
          <t>Công Ty TNHH Reeracoen Việt Nam</t>
        </is>
      </c>
      <c r="E2449" t="inlineStr">
        <is>
          <t>Lương:15 Tr - 25 Tr VND</t>
        </is>
      </c>
      <c r="F2449" t="inlineStr">
        <is>
          <t>Đồng Nai</t>
        </is>
      </c>
      <c r="G2449" t="inlineStr">
        <is>
          <t>13-04-2026</t>
        </is>
      </c>
      <c r="H2449" t="inlineStr">
        <is>
          <t>13/04/2026</t>
        </is>
      </c>
      <c r="I2449" t="inlineStr">
        <is>
          <t>17/03/2026</t>
        </is>
      </c>
      <c r="J2449" t="inlineStr">
        <is>
          <t>Biên phiên dịch, Hành chính / Thư ký, Nhân sự</t>
        </is>
      </c>
      <c r="K2449" t="inlineStr">
        <is>
          <t>Trên 2 Năm</t>
        </is>
      </c>
      <c r="L2449" s="8">
        <f>HYPERLINK("https://careerviet.vn/vi/tim-viec-lam/phien-dich-tieng-nhat-27797-kcn-amata-dong-nai.35C6C8E9.html","Xem chi tiết")</f>
        <v/>
      </c>
    </row>
    <row r="2450">
      <c r="B2450" s="9" t="n">
        <v>2448</v>
      </c>
      <c r="C2450" s="10" t="inlineStr">
        <is>
          <t>Nhân viên đấu thầu (Cơ điện MEP)</t>
        </is>
      </c>
      <c r="D2450" s="10" t="inlineStr">
        <is>
          <t>CÔNG TY CỔ PHẦN ĐẦU TƯ VÀ XÂY DỰNG RPC GROUP</t>
        </is>
      </c>
      <c r="E2450" s="10" t="inlineStr">
        <is>
          <t>Lương:10 Tr - 22 Tr VND</t>
        </is>
      </c>
      <c r="F2450" s="10" t="inlineStr">
        <is>
          <t>Hà Nội</t>
        </is>
      </c>
      <c r="G2450" s="10" t="inlineStr">
        <is>
          <t>13-04-2026</t>
        </is>
      </c>
      <c r="H2450" s="10" t="inlineStr">
        <is>
          <t>13/04/2026</t>
        </is>
      </c>
      <c r="I2450" s="10" t="inlineStr">
        <is>
          <t>17/03/2026</t>
        </is>
      </c>
      <c r="J2450" s="10" t="inlineStr">
        <is>
          <t>Điện / Điện tử / Điện lạnh / Điện công nghiệp, Thương mại điện tử, Bán Hàng Kỹ Thuật</t>
        </is>
      </c>
      <c r="K2450" s="10" t="inlineStr">
        <is>
          <t>Trên 1 Năm</t>
        </is>
      </c>
      <c r="L2450" s="11">
        <f>HYPERLINK("https://careerviet.vn/vi/tim-viec-lam/nhan-vien-dau-thau-co-dien-mep.35C6C8EC.html","Xem chi tiết")</f>
        <v/>
      </c>
      <c r="M2450" s="10" t="n"/>
    </row>
    <row r="2451">
      <c r="B2451" s="7" t="n">
        <v>2449</v>
      </c>
      <c r="C2451" t="inlineStr">
        <is>
          <t>THIẾT KẾ NỘI THẤT (3D)</t>
        </is>
      </c>
      <c r="D2451" t="inlineStr">
        <is>
          <t>CÔNG TY TNHH SNOW KING GLOBAL</t>
        </is>
      </c>
      <c r="E2451" t="inlineStr">
        <is>
          <t>Lương:12 Tr - 17 Tr VND</t>
        </is>
      </c>
      <c r="F2451" t="inlineStr">
        <is>
          <t>Hà Nội</t>
        </is>
      </c>
      <c r="G2451" t="inlineStr">
        <is>
          <t>12-04-2026</t>
        </is>
      </c>
      <c r="H2451" t="inlineStr">
        <is>
          <t>12/04/2026</t>
        </is>
      </c>
      <c r="I2451" t="inlineStr">
        <is>
          <t>17/03/2026</t>
        </is>
      </c>
      <c r="J2451" t="inlineStr">
        <is>
          <t>Mỹ thuật / Nghệ thuật / Thiết kế, Nội ngoại thất</t>
        </is>
      </c>
      <c r="K2451" t="inlineStr">
        <is>
          <t>Trên 1 Năm</t>
        </is>
      </c>
      <c r="L2451" s="8">
        <f>HYPERLINK("https://careerviet.vn/vi/tim-viec-lam/thiet-ke-noi-that-3d.35C6C805.html","Xem chi tiết")</f>
        <v/>
      </c>
    </row>
    <row r="2452">
      <c r="B2452" s="9" t="n">
        <v>2450</v>
      </c>
      <c r="C2452" s="10" t="inlineStr">
        <is>
          <t>Nhân viên Hành chính - Lễ tân</t>
        </is>
      </c>
      <c r="D2452" s="10" t="inlineStr">
        <is>
          <t>Công Ty CP Công Nghiệp Kim Bình</t>
        </is>
      </c>
      <c r="E2452" s="10" t="inlineStr">
        <is>
          <t>Lương:8 Tr - 11 Tr VND</t>
        </is>
      </c>
      <c r="F2452" s="10" t="inlineStr">
        <is>
          <t>Hồ Chí Minh</t>
        </is>
      </c>
      <c r="G2452" s="10" t="inlineStr">
        <is>
          <t>09-05-2026</t>
        </is>
      </c>
      <c r="H2452" s="10" t="inlineStr">
        <is>
          <t>09/05/2026</t>
        </is>
      </c>
      <c r="I2452" s="10" t="inlineStr">
        <is>
          <t>17/03/2026</t>
        </is>
      </c>
      <c r="J2452" s="10" t="inlineStr">
        <is>
          <t>Nhân sự, Hành chính / Thư ký</t>
        </is>
      </c>
      <c r="K2452" s="10" t="inlineStr">
        <is>
          <t>2 - 5 Năm</t>
        </is>
      </c>
      <c r="L2452" s="11">
        <f>HYPERLINK("https://careerviet.vn/vi/tim-viec-lam/nhan-vien-hanh-chinh-le-tan.35C6C8F1.html","Xem chi tiết")</f>
        <v/>
      </c>
      <c r="M2452" s="10" t="n"/>
    </row>
    <row r="2453">
      <c r="B2453" s="7" t="n">
        <v>2451</v>
      </c>
      <c r="C2453" t="inlineStr">
        <is>
          <t>Chuyên viên chính Giám sát, Kiểm tra và Cơ cấu tín dụng Khách hàng Cá nhân</t>
        </is>
      </c>
      <c r="D2453" t="inlineStr">
        <is>
          <t>Ngân Hàng TMCP Tiên Phong (TPBank)</t>
        </is>
      </c>
      <c r="E2453" t="inlineStr">
        <is>
          <t>Lương:20 Tr - 25 Tr VND</t>
        </is>
      </c>
      <c r="F2453" t="inlineStr">
        <is>
          <t>Hồ Chí Minh</t>
        </is>
      </c>
      <c r="G2453" t="inlineStr">
        <is>
          <t>13-04-2026</t>
        </is>
      </c>
      <c r="H2453" t="inlineStr">
        <is>
          <t>13/04/2026</t>
        </is>
      </c>
      <c r="I2453" t="inlineStr">
        <is>
          <t>17/03/2026</t>
        </is>
      </c>
      <c r="J2453" t="inlineStr">
        <is>
          <t>Ngân hàng, Tài chính / Đầu tư</t>
        </is>
      </c>
      <c r="K2453" t="inlineStr">
        <is>
          <t>3 - 5 Năm</t>
        </is>
      </c>
      <c r="L2453" s="8">
        <f>HYPERLINK("https://careerviet.vn/vi/tim-viec-lam/chuyen-vien-chinh-giam-sat-kiem-tra-va-co-cau-tin-dung-khach-hang-ca-nhan.35C6C7E9.html","Xem chi tiết")</f>
        <v/>
      </c>
    </row>
    <row r="2454">
      <c r="B2454" s="9" t="n">
        <v>2452</v>
      </c>
      <c r="C2454" s="10" t="inlineStr">
        <is>
          <t>Trưởng Bộ phận Marketing và Tuyển sinh</t>
        </is>
      </c>
      <c r="D2454" s="10" t="inlineStr">
        <is>
          <t>Trường Tiểu học, Trung học cơ sở và Trung học phổ thông Reigate Grammar Việt Nam</t>
        </is>
      </c>
      <c r="E2454" s="10" t="inlineStr">
        <is>
          <t>Lương:Cạnh tranh</t>
        </is>
      </c>
      <c r="F2454" s="10" t="inlineStr">
        <is>
          <t>Hà Nội</t>
        </is>
      </c>
      <c r="G2454" s="10" t="inlineStr">
        <is>
          <t>31-03-2026</t>
        </is>
      </c>
      <c r="H2454" s="10" t="inlineStr">
        <is>
          <t>31/03/2026</t>
        </is>
      </c>
      <c r="I2454" s="10" t="inlineStr">
        <is>
          <t>17/03/2026</t>
        </is>
      </c>
      <c r="J2454" s="10" t="inlineStr">
        <is>
          <t>Tiếp thị / Marketing, Giáo dục / Đào tạo</t>
        </is>
      </c>
      <c r="K2454" s="10" t="inlineStr">
        <is>
          <t>3 - 5 Năm</t>
        </is>
      </c>
      <c r="L2454" s="11">
        <f>HYPERLINK("https://careerviet.vn/vi/tim-viec-lam/truong-bo-phan-marketing-va-tuyen-sinh.35C6C77D.html","Xem chi tiết")</f>
        <v/>
      </c>
      <c r="M2454" s="10" t="n"/>
    </row>
    <row r="2455">
      <c r="B2455" s="7" t="n">
        <v>2453</v>
      </c>
      <c r="C2455" t="inlineStr">
        <is>
          <t>NHÂN VIÊN PHÁP LÝ</t>
        </is>
      </c>
      <c r="D2455" t="inlineStr">
        <is>
          <t>Công ty TNHH SX-TM Thép Tây Nam</t>
        </is>
      </c>
      <c r="E2455" t="inlineStr">
        <is>
          <t>Lương:10 Tr - 15 Tr VND</t>
        </is>
      </c>
      <c r="F2455" t="inlineStr">
        <is>
          <t>Long An</t>
        </is>
      </c>
      <c r="G2455" t="inlineStr">
        <is>
          <t>13-04-2026</t>
        </is>
      </c>
      <c r="H2455" t="inlineStr">
        <is>
          <t>13/04/2026</t>
        </is>
      </c>
      <c r="I2455" t="inlineStr">
        <is>
          <t>17/03/2026</t>
        </is>
      </c>
      <c r="J2455" t="inlineStr">
        <is>
          <t>Luật / Pháp lý, Tư vấn</t>
        </is>
      </c>
      <c r="K2455" t="inlineStr">
        <is>
          <t>Chưa có kinh nghiệm</t>
        </is>
      </c>
      <c r="L2455" s="8">
        <f>HYPERLINK("https://careerviet.vn/vi/tim-viec-lam/nhan-vien-phap-ly.35C6C901.html","Xem chi tiết")</f>
        <v/>
      </c>
    </row>
    <row r="2456">
      <c r="B2456" s="9" t="n">
        <v>2454</v>
      </c>
      <c r="C2456" s="10" t="inlineStr">
        <is>
          <t>Nhân viên Kinh doanh (Ngành nguyên liệu phụ gia thực phẩm)</t>
        </is>
      </c>
      <c r="D2456" s="10" t="inlineStr">
        <is>
          <t>Công ty Cổ Phần Thương Mại và Tư Vấn Cát Vàng</t>
        </is>
      </c>
      <c r="E2456" s="10" t="inlineStr">
        <is>
          <t>Lương:Cạnh tranh</t>
        </is>
      </c>
      <c r="F2456" s="10" t="inlineStr">
        <is>
          <t>Hồ Chí Minh</t>
        </is>
      </c>
      <c r="G2456" s="10" t="inlineStr">
        <is>
          <t>31-03-2026</t>
        </is>
      </c>
      <c r="H2456" s="10" t="inlineStr">
        <is>
          <t>31/03/2026</t>
        </is>
      </c>
      <c r="I2456" s="10" t="inlineStr">
        <is>
          <t>17/03/2026</t>
        </is>
      </c>
      <c r="J2456" s="10" t="inlineStr">
        <is>
          <t>Bán hàng / Kinh doanh, Dược phẩm/ Hóa Mỹ Phẩm, Công nghệ thực phẩm / Dinh dưỡng</t>
        </is>
      </c>
      <c r="K2456" s="10" t="inlineStr">
        <is>
          <t>1 - 2 Năm</t>
        </is>
      </c>
      <c r="L2456" s="11">
        <f>HYPERLINK("https://careerviet.vn/vi/tim-viec-lam/nhan-vien-kinh-doanh-nganh-nguyen-lieu-phu-gia-thuc-pham.35C6C623.html","Xem chi tiết")</f>
        <v/>
      </c>
      <c r="M2456" s="10" t="n"/>
    </row>
    <row r="2457">
      <c r="B2457" s="7" t="n">
        <v>2455</v>
      </c>
      <c r="C2457" t="inlineStr">
        <is>
          <t>TRỢ LÝ KỸ THUẬT XÂY DỰNG</t>
        </is>
      </c>
      <c r="D2457" t="inlineStr">
        <is>
          <t>Công Ty TNHH Sản Xuất Kinh Doanh Hai Thành</t>
        </is>
      </c>
      <c r="E2457" t="inlineStr">
        <is>
          <t>Lương:20 Tr - 22 Tr VND</t>
        </is>
      </c>
      <c r="F2457" t="inlineStr">
        <is>
          <t>Hồ Chí Minh</t>
        </is>
      </c>
      <c r="G2457" t="inlineStr">
        <is>
          <t>30-04-2026</t>
        </is>
      </c>
      <c r="H2457" t="inlineStr">
        <is>
          <t>30/04/2026</t>
        </is>
      </c>
      <c r="I2457" t="inlineStr">
        <is>
          <t>17/03/2026</t>
        </is>
      </c>
      <c r="J2457" t="inlineStr">
        <is>
          <t>Kiến trúc, Xây dựng, Bất động sản</t>
        </is>
      </c>
      <c r="K2457" t="inlineStr">
        <is>
          <t>3 - 5 Năm</t>
        </is>
      </c>
      <c r="L2457" s="8">
        <f>HYPERLINK("https://careerviet.vn/vi/tim-viec-lam/tro-ly-ky-thuat-xay-dung.35C6C7E5.html","Xem chi tiết")</f>
        <v/>
      </c>
    </row>
    <row r="2458">
      <c r="B2458" s="9" t="n">
        <v>2456</v>
      </c>
      <c r="C2458" s="10" t="inlineStr">
        <is>
          <t>Kỹ Sư Bảo Trì Điện Sản Xuất (PLC/ Tủ Điện DCS/ Thiết Bị Điện)</t>
        </is>
      </c>
      <c r="D2458" s="10" t="inlineStr">
        <is>
          <t>Công ty TNHH Vật liệu Nam châm Shin-Etsu Việt Nam</t>
        </is>
      </c>
      <c r="E2458" s="10" t="inlineStr">
        <is>
          <t>Lương:13 Tr - 19 Tr VND</t>
        </is>
      </c>
      <c r="F2458" s="10" t="inlineStr">
        <is>
          <t>Hải PhòngQuảng Ninh</t>
        </is>
      </c>
      <c r="G2458" s="10" t="inlineStr">
        <is>
          <t>13-04-2026</t>
        </is>
      </c>
      <c r="H2458" s="10" t="inlineStr">
        <is>
          <t>13/04/2026</t>
        </is>
      </c>
      <c r="I2458" s="10" t="inlineStr">
        <is>
          <t>17/03/2026</t>
        </is>
      </c>
      <c r="J2458" s="10" t="inlineStr">
        <is>
          <t>Điện / Điện tử / Điện lạnh / Điện công nghiệp, Bảo trì / Sửa chữa, Cơ khí / Ô tô / Tự động hóa</t>
        </is>
      </c>
      <c r="K2458" s="10" t="inlineStr">
        <is>
          <t>Lên đến 2 Năm</t>
        </is>
      </c>
      <c r="L2458" s="11">
        <f>HYPERLINK("https://careerviet.vn/vi/tim-viec-lam/ky-su-bao-tri-dien-san-xuat-plc-tu-dien-dcs-thiet-bi-dien.35C6C79C.html","Xem chi tiết")</f>
        <v/>
      </c>
      <c r="M2458" s="10" t="n"/>
    </row>
    <row r="2459">
      <c r="B2459" s="7" t="n">
        <v>2457</v>
      </c>
      <c r="C2459" t="inlineStr">
        <is>
          <t>KTS Thiết kế Concept</t>
        </is>
      </c>
      <c r="D2459" t="inlineStr">
        <is>
          <t>Công Ty TNHH Tư Vấn Đầu Tư Và Xây Dựng Quốc Tế (ICIC)</t>
        </is>
      </c>
      <c r="E2459" t="inlineStr">
        <is>
          <t>Lương:Cạnh tranh</t>
        </is>
      </c>
      <c r="F2459" t="inlineStr">
        <is>
          <t>Hồ Chí Minh</t>
        </is>
      </c>
      <c r="G2459" t="inlineStr">
        <is>
          <t>30-04-2026</t>
        </is>
      </c>
      <c r="H2459" t="inlineStr">
        <is>
          <t>30/04/2026</t>
        </is>
      </c>
      <c r="I2459" t="inlineStr">
        <is>
          <t>17/03/2026</t>
        </is>
      </c>
      <c r="J2459" t="inlineStr">
        <is>
          <t>Kiến trúc, Mỹ thuật / Nghệ thuật / Thiết kế</t>
        </is>
      </c>
      <c r="K2459" t="inlineStr">
        <is>
          <t>3 - 5 Năm</t>
        </is>
      </c>
      <c r="L2459" s="8">
        <f>HYPERLINK("https://careerviet.vn/vi/tim-viec-lam/kts-thiet-ke-concept.35C6C7C8.html","Xem chi tiết")</f>
        <v/>
      </c>
    </row>
    <row r="2460">
      <c r="B2460" s="9" t="n">
        <v>2458</v>
      </c>
      <c r="C2460" s="10" t="inlineStr">
        <is>
          <t>Kỹ Sư Bảo Trì Kỹ Thuật Máy (Cơ Khí/ Điện/ Bảo Trì/ Sửa Chữa)</t>
        </is>
      </c>
      <c r="D2460" s="10" t="inlineStr">
        <is>
          <t>Công ty TNHH Vật liệu Nam châm Shin-Etsu Việt Nam</t>
        </is>
      </c>
      <c r="E2460" s="10" t="inlineStr">
        <is>
          <t>Lương:13 Tr - 20 Tr VND</t>
        </is>
      </c>
      <c r="F2460" s="10" t="inlineStr">
        <is>
          <t>Hải Phòng</t>
        </is>
      </c>
      <c r="G2460" s="10" t="inlineStr">
        <is>
          <t>13-04-2026</t>
        </is>
      </c>
      <c r="H2460" s="10" t="inlineStr">
        <is>
          <t>13/04/2026</t>
        </is>
      </c>
      <c r="I2460" s="10" t="inlineStr">
        <is>
          <t>17/03/2026</t>
        </is>
      </c>
      <c r="J2460" s="10" t="inlineStr">
        <is>
          <t>Điện / Điện tử / Điện lạnh / Điện công nghiệp, Bảo trì / Sửa chữa, Cơ khí / Ô tô / Tự động hóa</t>
        </is>
      </c>
      <c r="K2460" s="10" t="inlineStr">
        <is>
          <t>1 - 2 Năm</t>
        </is>
      </c>
      <c r="L2460" s="11">
        <f>HYPERLINK("https://careerviet.vn/vi/tim-viec-lam/ky-su-bao-tri-ky-thuat-may-co-khi-dien-bao-tri-sua-chua.35C6C796.html","Xem chi tiết")</f>
        <v/>
      </c>
      <c r="M2460" s="10" t="n"/>
    </row>
    <row r="2461">
      <c r="B2461" s="7" t="n">
        <v>2459</v>
      </c>
      <c r="C2461" t="inlineStr">
        <is>
          <t>Logistic Officer</t>
        </is>
      </c>
      <c r="D2461" t="inlineStr">
        <is>
          <t>Công ty TNHH Olam Việt Nam</t>
        </is>
      </c>
      <c r="E2461" t="inlineStr">
        <is>
          <t>Lương:Cạnh tranh</t>
        </is>
      </c>
      <c r="F2461" t="inlineStr">
        <is>
          <t>Long An</t>
        </is>
      </c>
      <c r="G2461" t="inlineStr">
        <is>
          <t>15-04-2026</t>
        </is>
      </c>
      <c r="H2461" t="inlineStr">
        <is>
          <t>15/04/2026</t>
        </is>
      </c>
      <c r="I2461" t="inlineStr">
        <is>
          <t>17/03/2026</t>
        </is>
      </c>
      <c r="J2461" t="inlineStr">
        <is>
          <t>N/A</t>
        </is>
      </c>
      <c r="K2461" t="inlineStr">
        <is>
          <t>Lên đến 1 Năm</t>
        </is>
      </c>
      <c r="L2461" s="8">
        <f>HYPERLINK("https://careerviet.vn/vi/tim-viec-lam/logistic-officer.35C6C7CD.html","Xem chi tiết")</f>
        <v/>
      </c>
    </row>
    <row r="2462">
      <c r="B2462" s="9" t="n">
        <v>2460</v>
      </c>
      <c r="C2462" s="10" t="inlineStr">
        <is>
          <t>Nhân Viên KCS</t>
        </is>
      </c>
      <c r="D2462" s="10" t="inlineStr">
        <is>
          <t>Công Ty TNHH Thủy Sản Simmy</t>
        </is>
      </c>
      <c r="E2462" s="10" t="inlineStr">
        <is>
          <t>Lương:10 Tr - 15 Tr VND</t>
        </is>
      </c>
      <c r="F2462" s="10" t="inlineStr">
        <is>
          <t>Long An</t>
        </is>
      </c>
      <c r="G2462" s="10" t="inlineStr">
        <is>
          <t>12-04-2026</t>
        </is>
      </c>
      <c r="H2462" s="10" t="inlineStr">
        <is>
          <t>12/04/2026</t>
        </is>
      </c>
      <c r="I2462" s="10" t="inlineStr">
        <is>
          <t>17/03/2026</t>
        </is>
      </c>
      <c r="J2462" s="10" t="inlineStr">
        <is>
          <t>Quản lý chất lượng (QA/QC), Công nghệ thực phẩm / Dinh dưỡng, Sản xuất / Vận hành sản xuất</t>
        </is>
      </c>
      <c r="K2462" s="10" t="inlineStr">
        <is>
          <t>Trên 1 Năm</t>
        </is>
      </c>
      <c r="L2462" s="11">
        <f>HYPERLINK("https://careerviet.vn/vi/tim-viec-lam/nhan-vien-kcs.35C6C7C0.html","Xem chi tiết")</f>
        <v/>
      </c>
      <c r="M2462" s="10" t="n"/>
    </row>
    <row r="2463">
      <c r="B2463" s="7" t="n">
        <v>2461</v>
      </c>
      <c r="C2463" t="inlineStr">
        <is>
          <t>Garment Technical Designer (TD)/ Nhân viên thiết kế</t>
        </is>
      </c>
      <c r="D2463" t="inlineStr">
        <is>
          <t>CÔNG TY TNHH NOBLAND VIỆT NAM</t>
        </is>
      </c>
      <c r="E2463" t="inlineStr">
        <is>
          <t>Lương:10 Tr - 30 Tr VND</t>
        </is>
      </c>
      <c r="F2463" t="inlineStr">
        <is>
          <t>Hồ Chí Minh</t>
        </is>
      </c>
      <c r="G2463" t="inlineStr">
        <is>
          <t>30-04-2026</t>
        </is>
      </c>
      <c r="H2463" t="inlineStr">
        <is>
          <t>30/04/2026</t>
        </is>
      </c>
      <c r="I2463" t="inlineStr">
        <is>
          <t>17/03/2026</t>
        </is>
      </c>
      <c r="J2463" t="inlineStr">
        <is>
          <t>Sản xuất / Vận hành sản xuất, Dệt may / Da giày / Thời trang, Quản lý chất lượng (QA/QC)</t>
        </is>
      </c>
      <c r="K2463" t="inlineStr">
        <is>
          <t>1 - 10 Năm</t>
        </is>
      </c>
      <c r="L2463" s="8">
        <f>HYPERLINK("https://careerviet.vn/vi/tim-viec-lam/garment-technical-designer-td-nhan-vien-thiet-ke.35C6C7AC.html","Xem chi tiết")</f>
        <v/>
      </c>
    </row>
    <row r="2464">
      <c r="B2464" s="9" t="n">
        <v>2462</v>
      </c>
      <c r="C2464" s="10" t="inlineStr">
        <is>
          <t>Nhân Viên Kinh Doanh (Sales Executive)</t>
        </is>
      </c>
      <c r="D2464" s="10" t="inlineStr">
        <is>
          <t>Công Ty TNHH Stella Global Việt Nam</t>
        </is>
      </c>
      <c r="E2464" s="10" t="inlineStr">
        <is>
          <t>Lương:Cạnh tranh</t>
        </is>
      </c>
      <c r="F2464" s="10" t="inlineStr">
        <is>
          <t>Hà Nội</t>
        </is>
      </c>
      <c r="G2464" s="10" t="inlineStr">
        <is>
          <t>26-03-2026</t>
        </is>
      </c>
      <c r="H2464" s="10" t="inlineStr">
        <is>
          <t>26/03/2026</t>
        </is>
      </c>
      <c r="I2464" s="10" t="inlineStr">
        <is>
          <t>17/03/2026</t>
        </is>
      </c>
      <c r="J2464" s="10" t="inlineStr">
        <is>
          <t>Bán hàng / Kinh doanh, Kiến trúc, Nội ngoại thất</t>
        </is>
      </c>
      <c r="K2464" s="10" t="inlineStr">
        <is>
          <t>1 - 2 Năm</t>
        </is>
      </c>
      <c r="L2464" s="11">
        <f>HYPERLINK("https://careerviet.vn/vi/tim-viec-lam/nhan-vien-kinh-doanh-sales-executive.35B2D5CB.html","Xem chi tiết")</f>
        <v/>
      </c>
      <c r="M2464" s="10" t="n"/>
    </row>
    <row r="2465">
      <c r="B2465" s="7" t="n">
        <v>2463</v>
      </c>
      <c r="C2465" t="inlineStr">
        <is>
          <t>Kỹ sư giám sát xây dựng</t>
        </is>
      </c>
      <c r="D2465" t="inlineStr">
        <is>
          <t>Công Ty TNHH Tư Vấn Đầu Tư Và Xây Dựng Quốc Tế (ICIC)</t>
        </is>
      </c>
      <c r="E2465" t="inlineStr">
        <is>
          <t>Lương:Cạnh tranh</t>
        </is>
      </c>
      <c r="F2465" t="inlineStr">
        <is>
          <t>Hồ Chí Minh</t>
        </is>
      </c>
      <c r="G2465" t="inlineStr">
        <is>
          <t>30-04-2026</t>
        </is>
      </c>
      <c r="H2465" t="inlineStr">
        <is>
          <t>30/04/2026</t>
        </is>
      </c>
      <c r="I2465" t="inlineStr">
        <is>
          <t>17/03/2026</t>
        </is>
      </c>
      <c r="J2465" t="inlineStr">
        <is>
          <t>Xây dựng</t>
        </is>
      </c>
      <c r="K2465" t="inlineStr">
        <is>
          <t>3 - 5 Năm</t>
        </is>
      </c>
      <c r="L2465" s="8">
        <f>HYPERLINK("https://careerviet.vn/vi/tim-viec-lam/ky-su-giam-sat-xay-dung.35C6C7B8.html","Xem chi tiết")</f>
        <v/>
      </c>
    </row>
    <row r="2466">
      <c r="B2466" s="9" t="n">
        <v>2464</v>
      </c>
      <c r="C2466" s="10" t="inlineStr">
        <is>
          <t>Import and Export Document Staff (Japanese Logistics Company)</t>
        </is>
      </c>
      <c r="D2466" s="10" t="inlineStr">
        <is>
          <t>Công ty LD TNHH Nippon Express (Việt Nam)</t>
        </is>
      </c>
      <c r="E2466" s="10" t="inlineStr">
        <is>
          <t>Lương:Cạnh tranh</t>
        </is>
      </c>
      <c r="F2466" s="10" t="inlineStr">
        <is>
          <t>Đồng NaiHồ Chí MinhBình Dương</t>
        </is>
      </c>
      <c r="G2466" s="10" t="inlineStr">
        <is>
          <t>30-04-2026</t>
        </is>
      </c>
      <c r="H2466" s="10" t="inlineStr">
        <is>
          <t>30/04/2026</t>
        </is>
      </c>
      <c r="I2466" s="10" t="inlineStr">
        <is>
          <t>17/03/2026</t>
        </is>
      </c>
      <c r="J2466" s="10" t="inlineStr">
        <is>
          <t>Dịch vụ khách hàng, Vận chuyển / Giao nhận / Kho vận, Xuất nhập khẩu</t>
        </is>
      </c>
      <c r="K2466" s="10" t="inlineStr">
        <is>
          <t>1 - 2 Năm</t>
        </is>
      </c>
      <c r="L2466" s="11">
        <f>HYPERLINK("https://careerviet.vn/vi/tim-viec-lam/import-and-export-document-staff-japanese-logistics-company.35C6C79A.html","Xem chi tiết")</f>
        <v/>
      </c>
      <c r="M2466" s="10" t="n"/>
    </row>
    <row r="2467">
      <c r="B2467" s="7" t="n">
        <v>2465</v>
      </c>
      <c r="C2467" t="inlineStr">
        <is>
          <t>QUẢN ĐỐC CHUYỀN MAY</t>
        </is>
      </c>
      <c r="D2467" t="inlineStr">
        <is>
          <t>Công Ty TNHH May Thêu Giày An Phước</t>
        </is>
      </c>
      <c r="E2467" t="inlineStr">
        <is>
          <t>Lương:Cạnh tranh</t>
        </is>
      </c>
      <c r="F2467" t="inlineStr">
        <is>
          <t>Hồ Chí Minh</t>
        </is>
      </c>
      <c r="G2467" t="inlineStr">
        <is>
          <t>25-03-2026</t>
        </is>
      </c>
      <c r="H2467" t="inlineStr">
        <is>
          <t>25/03/2026</t>
        </is>
      </c>
      <c r="I2467" t="inlineStr">
        <is>
          <t>17/03/2026</t>
        </is>
      </c>
      <c r="J2467" t="inlineStr">
        <is>
          <t>Dệt may / Da giày / Thời trang, Quản lý chất lượng (QA/QC), Sản xuất / Vận hành sản xuất</t>
        </is>
      </c>
      <c r="K2467" t="inlineStr">
        <is>
          <t>5 - 10 Năm</t>
        </is>
      </c>
      <c r="L2467" s="8">
        <f>HYPERLINK("https://careerviet.vn/vi/tim-viec-lam/quan-doc-chuyen-may.35C6C799.html","Xem chi tiết")</f>
        <v/>
      </c>
    </row>
    <row r="2468">
      <c r="B2468" s="9" t="n">
        <v>2466</v>
      </c>
      <c r="C2468" s="10" t="inlineStr">
        <is>
          <t>Retail Store Manager (KKV Flagship Lê Lợi)</t>
        </is>
      </c>
      <c r="D2468" s="10" t="inlineStr">
        <is>
          <t>KK Vietnam</t>
        </is>
      </c>
      <c r="E2468" s="10" t="inlineStr">
        <is>
          <t>Lương:Lên đến 35 Tr VND</t>
        </is>
      </c>
      <c r="F2468" s="10" t="inlineStr">
        <is>
          <t>Hồ Chí Minh</t>
        </is>
      </c>
      <c r="G2468" s="10" t="inlineStr">
        <is>
          <t>26-04-2026</t>
        </is>
      </c>
      <c r="H2468" s="10" t="inlineStr">
        <is>
          <t>26/04/2026</t>
        </is>
      </c>
      <c r="I2468" s="10" t="inlineStr">
        <is>
          <t>17/03/2026</t>
        </is>
      </c>
      <c r="J2468" s="10" t="inlineStr">
        <is>
          <t>Bán lẻ / Bán sỉ, Bán hàng / Kinh doanh</t>
        </is>
      </c>
      <c r="K2468" s="10" t="inlineStr">
        <is>
          <t>3 - 6 Năm</t>
        </is>
      </c>
      <c r="L2468" s="11">
        <f>HYPERLINK("https://careerviet.vn/vi/tim-viec-lam/retail-store-manager-kkv-flagship-le-loi.35C4952A.html","Xem chi tiết")</f>
        <v/>
      </c>
      <c r="M2468" s="10" t="n"/>
    </row>
    <row r="2469">
      <c r="B2469" s="7" t="n">
        <v>2467</v>
      </c>
      <c r="C2469" t="inlineStr">
        <is>
          <t>CN Yên Bái - Chuyên viên Khách hàng cá nhân</t>
        </is>
      </c>
      <c r="D2469" t="inlineStr">
        <is>
          <t>Ngân hàng TMCP Lộc Phát Việt Nam (LPBank)</t>
        </is>
      </c>
      <c r="E2469" t="inlineStr">
        <is>
          <t>Lương:Cạnh tranh</t>
        </is>
      </c>
      <c r="F2469" t="inlineStr">
        <is>
          <t>Yên Bái</t>
        </is>
      </c>
      <c r="G2469" t="inlineStr">
        <is>
          <t>10-05-2026</t>
        </is>
      </c>
      <c r="H2469" t="inlineStr">
        <is>
          <t>10/05/2026</t>
        </is>
      </c>
      <c r="I2469" t="inlineStr">
        <is>
          <t>17/03/2026</t>
        </is>
      </c>
      <c r="J2469" t="inlineStr">
        <is>
          <t>Kế toán / Kiểm toán, Ngân hàng, Bán hàng / Kinh doanh</t>
        </is>
      </c>
      <c r="K2469" t="inlineStr">
        <is>
          <t>N/A</t>
        </is>
      </c>
      <c r="L2469" s="8">
        <f>HYPERLINK("https://careerviet.vn/vi/tim-viec-lam/cn-yen-bai-chuyen-vien-khach-hang-ca-nhan.35C6C794.html","Xem chi tiết")</f>
        <v/>
      </c>
    </row>
    <row r="2470">
      <c r="B2470" s="9" t="n">
        <v>2468</v>
      </c>
      <c r="C2470" s="10" t="inlineStr">
        <is>
          <t>Chuyên Viên Quản Lý Rủi Ro</t>
        </is>
      </c>
      <c r="D2470" s="10" t="inlineStr">
        <is>
          <t>Indovina Bank Ltd.</t>
        </is>
      </c>
      <c r="E2470" s="10" t="inlineStr">
        <is>
          <t>Lương:Cạnh tranh</t>
        </is>
      </c>
      <c r="F2470" s="10" t="inlineStr">
        <is>
          <t>Hồ Chí Minh</t>
        </is>
      </c>
      <c r="G2470" s="10" t="inlineStr">
        <is>
          <t>13-04-2026</t>
        </is>
      </c>
      <c r="H2470" s="10" t="inlineStr">
        <is>
          <t>13/04/2026</t>
        </is>
      </c>
      <c r="I2470" s="10" t="inlineStr">
        <is>
          <t>17/03/2026</t>
        </is>
      </c>
      <c r="J2470" s="10" t="inlineStr">
        <is>
          <t>Ngân hàng, Tài chính / Đầu tư</t>
        </is>
      </c>
      <c r="K2470" s="10" t="inlineStr">
        <is>
          <t>1 - 2 Năm</t>
        </is>
      </c>
      <c r="L2470" s="11">
        <f>HYPERLINK("https://careerviet.vn/vi/tim-viec-lam/chuyen-vien-quan-ly-rui-ro.35C6C7A5.html","Xem chi tiết")</f>
        <v/>
      </c>
      <c r="M2470" s="10" t="n"/>
    </row>
    <row r="2471">
      <c r="B2471" s="7" t="n">
        <v>2469</v>
      </c>
      <c r="C2471" t="inlineStr">
        <is>
          <t>Nhân Viên Kế Toán TMĐT</t>
        </is>
      </c>
      <c r="D2471" t="inlineStr">
        <is>
          <t>CÔNG TY TNHH TAESAM GLOBAL</t>
        </is>
      </c>
      <c r="E2471" t="inlineStr">
        <is>
          <t>Lương:9 Tr - 12 Tr VND</t>
        </is>
      </c>
      <c r="F2471" t="inlineStr">
        <is>
          <t>Hồ Chí Minh</t>
        </is>
      </c>
      <c r="G2471" t="inlineStr">
        <is>
          <t>6</t>
        </is>
      </c>
      <c r="H2471" t="inlineStr">
        <is>
          <t>23/03/2026</t>
        </is>
      </c>
      <c r="I2471" t="inlineStr">
        <is>
          <t>17/03/2026</t>
        </is>
      </c>
      <c r="J2471" t="inlineStr">
        <is>
          <t>Kế toán / Kiểm toán, Thương mại điện tử</t>
        </is>
      </c>
      <c r="K2471" t="inlineStr">
        <is>
          <t>1 - 2 Năm</t>
        </is>
      </c>
      <c r="L2471" s="8">
        <f>HYPERLINK("https://careerviet.vn/vi/tim-viec-lam/nhan-vien-ke-toan-tmdt.35C68D29.html","Xem chi tiết")</f>
        <v/>
      </c>
    </row>
    <row r="2472">
      <c r="B2472" s="9" t="n">
        <v>2470</v>
      </c>
      <c r="C2472" s="10" t="inlineStr">
        <is>
          <t>Chuyên Viên Tư Vấn Hồ Sơ Du Học</t>
        </is>
      </c>
      <c r="D2472" s="10" t="inlineStr">
        <is>
          <t>Công Ty TNHH Tư Vấn Du Học New World</t>
        </is>
      </c>
      <c r="E2472" s="10" t="inlineStr">
        <is>
          <t>Lương:Cạnh tranh</t>
        </is>
      </c>
      <c r="F2472" s="10" t="inlineStr">
        <is>
          <t>Hồ Chí MinhCần ThơĐồng Nai</t>
        </is>
      </c>
      <c r="G2472" s="10" t="inlineStr">
        <is>
          <t>12-04-2026</t>
        </is>
      </c>
      <c r="H2472" s="10" t="inlineStr">
        <is>
          <t>12/04/2026</t>
        </is>
      </c>
      <c r="I2472" s="10" t="inlineStr">
        <is>
          <t>17/03/2026</t>
        </is>
      </c>
      <c r="J2472" s="10" t="inlineStr">
        <is>
          <t>Tư vấn, Giáo dục / Đào tạo, Bán hàng / Kinh doanh</t>
        </is>
      </c>
      <c r="K2472" s="10" t="inlineStr">
        <is>
          <t>1 Năm</t>
        </is>
      </c>
      <c r="L2472" s="11">
        <f>HYPERLINK("https://careerviet.vn/vi/tim-viec-lam/chuyen-vien-tu-van-ho-so-du-hoc.35C6C7B7.html","Xem chi tiết")</f>
        <v/>
      </c>
      <c r="M2472" s="10" t="n"/>
    </row>
    <row r="2473">
      <c r="B2473" s="7" t="n">
        <v>2471</v>
      </c>
      <c r="C2473" t="inlineStr">
        <is>
          <t>CN Lai Châu - Chuyên viên Khách hàng cá nhân</t>
        </is>
      </c>
      <c r="D2473" t="inlineStr">
        <is>
          <t>Ngân hàng TMCP Lộc Phát Việt Nam (LPBank)</t>
        </is>
      </c>
      <c r="E2473" t="inlineStr">
        <is>
          <t>Lương:Cạnh tranh</t>
        </is>
      </c>
      <c r="F2473" t="inlineStr">
        <is>
          <t>Lai Châu</t>
        </is>
      </c>
      <c r="G2473" t="inlineStr">
        <is>
          <t>10-05-2026</t>
        </is>
      </c>
      <c r="H2473" t="inlineStr">
        <is>
          <t>10/05/2026</t>
        </is>
      </c>
      <c r="I2473" t="inlineStr">
        <is>
          <t>17/03/2026</t>
        </is>
      </c>
      <c r="J2473" t="inlineStr">
        <is>
          <t>Kế toán / Kiểm toán, Ngân hàng, Bán hàng / Kinh doanh</t>
        </is>
      </c>
      <c r="K2473" t="inlineStr">
        <is>
          <t>N/A</t>
        </is>
      </c>
      <c r="L2473" s="8">
        <f>HYPERLINK("https://careerviet.vn/vi/tim-viec-lam/cn-lai-chau-chuyen-vien-khach-hang-ca-nhan.35C6C79B.html","Xem chi tiết")</f>
        <v/>
      </c>
    </row>
    <row r="2474">
      <c r="B2474" s="9" t="n">
        <v>2472</v>
      </c>
      <c r="C2474" s="10" t="inlineStr">
        <is>
          <t>CN Hà Giang - Chuyên viên Khách hàng cá nhân</t>
        </is>
      </c>
      <c r="D2474" s="10" t="inlineStr">
        <is>
          <t>Ngân hàng TMCP Lộc Phát Việt Nam (LPBank)</t>
        </is>
      </c>
      <c r="E2474" s="10" t="inlineStr">
        <is>
          <t>Lương:Cạnh tranh</t>
        </is>
      </c>
      <c r="F2474" s="10" t="inlineStr">
        <is>
          <t>Hà Giang</t>
        </is>
      </c>
      <c r="G2474" s="10" t="inlineStr">
        <is>
          <t>10-05-2026</t>
        </is>
      </c>
      <c r="H2474" s="10" t="inlineStr">
        <is>
          <t>10/05/2026</t>
        </is>
      </c>
      <c r="I2474" s="10" t="inlineStr">
        <is>
          <t>17/03/2026</t>
        </is>
      </c>
      <c r="J2474" s="10" t="inlineStr">
        <is>
          <t>Kế toán / Kiểm toán, Ngân hàng, Bán hàng / Kinh doanh</t>
        </is>
      </c>
      <c r="K2474" s="10" t="inlineStr">
        <is>
          <t>N/A</t>
        </is>
      </c>
      <c r="L2474" s="11">
        <f>HYPERLINK("https://careerviet.vn/vi/tim-viec-lam/cn-ha-giang-chuyen-vien-khach-hang-ca-nhan.35C6C790.html","Xem chi tiết")</f>
        <v/>
      </c>
      <c r="M2474" s="10" t="n"/>
    </row>
    <row r="2475">
      <c r="B2475" s="7" t="n">
        <v>2473</v>
      </c>
      <c r="C2475" t="inlineStr">
        <is>
          <t>Clearance Agent (Nhân viên thủ tục Hải quan)</t>
        </is>
      </c>
      <c r="D2475" t="inlineStr">
        <is>
          <t>FedEx Express Vietnam</t>
        </is>
      </c>
      <c r="E2475" t="inlineStr">
        <is>
          <t>Lương:Cạnh tranh</t>
        </is>
      </c>
      <c r="F2475" t="inlineStr">
        <is>
          <t>Hà Nội</t>
        </is>
      </c>
      <c r="G2475" t="inlineStr">
        <is>
          <t>11-04-2026</t>
        </is>
      </c>
      <c r="H2475" t="inlineStr">
        <is>
          <t>11/04/2026</t>
        </is>
      </c>
      <c r="I2475" t="inlineStr">
        <is>
          <t>17/03/2026</t>
        </is>
      </c>
      <c r="J2475" t="inlineStr">
        <is>
          <t>Vận chuyển / Giao nhận / Kho vận, Hành chính / Thư ký, Xuất nhập khẩu</t>
        </is>
      </c>
      <c r="K2475" t="inlineStr">
        <is>
          <t>Trên 1 Năm</t>
        </is>
      </c>
      <c r="L2475" s="8">
        <f>HYPERLINK("https://careerviet.vn/vi/tim-viec-lam/clearance-agent-nhan-vien-thu-tuc-hai-quan.35C6C525.html","Xem chi tiết")</f>
        <v/>
      </c>
    </row>
    <row r="2476">
      <c r="B2476" s="9" t="n">
        <v>2474</v>
      </c>
      <c r="C2476" s="10" t="inlineStr">
        <is>
          <t>SEO Content Writer</t>
        </is>
      </c>
      <c r="D2476" s="10" t="inlineStr">
        <is>
          <t>Bảo mật</t>
        </is>
      </c>
      <c r="E2476" s="10" t="inlineStr">
        <is>
          <t>Lương:15 Tr - 20 Tr VND</t>
        </is>
      </c>
      <c r="F2476" s="10" t="inlineStr">
        <is>
          <t>Đà Nẵng</t>
        </is>
      </c>
      <c r="G2476" s="10" t="inlineStr">
        <is>
          <t>10-04-2026</t>
        </is>
      </c>
      <c r="H2476" s="10" t="inlineStr">
        <is>
          <t>10/04/2026</t>
        </is>
      </c>
      <c r="I2476" s="10" t="inlineStr">
        <is>
          <t>17/03/2026</t>
        </is>
      </c>
      <c r="J2476" s="10" t="inlineStr">
        <is>
          <t>Tiếp thị / Marketing</t>
        </is>
      </c>
      <c r="K2476" s="10" t="inlineStr">
        <is>
          <t>Chưa có kinh nghiệm</t>
        </is>
      </c>
      <c r="L2476" s="11">
        <f>HYPERLINK("https://careerviet.vn/vi/tim-viec-lam/seo-content-writer.35C6C76D.html","Xem chi tiết")</f>
        <v/>
      </c>
      <c r="M2476" s="10" t="n"/>
    </row>
    <row r="2477">
      <c r="B2477" s="7" t="n">
        <v>2475</v>
      </c>
      <c r="C2477" t="inlineStr">
        <is>
          <t>Kỹ thuật viên vận hành máy &amp; bảo trì (Cần Thơ, Hậu Giang)</t>
        </is>
      </c>
      <c r="D2477" t="inlineStr">
        <is>
          <t>Masan Consumer</t>
        </is>
      </c>
      <c r="E2477" t="inlineStr">
        <is>
          <t>Lương:Cạnh tranh</t>
        </is>
      </c>
      <c r="F2477" t="inlineStr">
        <is>
          <t>Hậu Giang</t>
        </is>
      </c>
      <c r="G2477" t="inlineStr">
        <is>
          <t>30-04-2026</t>
        </is>
      </c>
      <c r="H2477" t="inlineStr">
        <is>
          <t>30/04/2026</t>
        </is>
      </c>
      <c r="I2477" t="inlineStr">
        <is>
          <t>17/03/2026</t>
        </is>
      </c>
      <c r="J2477" t="inlineStr">
        <is>
          <t>Cơ khí / Ô tô / Tự động hóa, Bảo trì / Sửa chữa</t>
        </is>
      </c>
      <c r="K2477" t="inlineStr">
        <is>
          <t>1 - 3 Năm</t>
        </is>
      </c>
      <c r="L2477" s="8">
        <f>HYPERLINK("https://careerviet.vn/vi/tim-viec-lam/ky-thuat-vien-van-hanh-may-bao-tri-can-tho-hau-giang.35C6C774.html","Xem chi tiết")</f>
        <v/>
      </c>
    </row>
    <row r="2478">
      <c r="B2478" s="9" t="n">
        <v>2476</v>
      </c>
      <c r="C2478" s="10" t="inlineStr">
        <is>
          <t>Nhân Viên R&amp;D - Ngành Kem</t>
        </is>
      </c>
      <c r="D2478" s="10" t="inlineStr">
        <is>
          <t>Công ty Cổ Phần Thực Phẩm Dinh Dưỡng NutiFood</t>
        </is>
      </c>
      <c r="E2478" s="10" t="inlineStr">
        <is>
          <t>Lương:10 Tr - 12 Tr VND</t>
        </is>
      </c>
      <c r="F2478" s="10" t="inlineStr">
        <is>
          <t>Hồ Chí Minh</t>
        </is>
      </c>
      <c r="G2478" s="10" t="inlineStr">
        <is>
          <t>13-04-2026</t>
        </is>
      </c>
      <c r="H2478" s="10" t="inlineStr">
        <is>
          <t>13/04/2026</t>
        </is>
      </c>
      <c r="I2478" s="10" t="inlineStr">
        <is>
          <t>17/03/2026</t>
        </is>
      </c>
      <c r="J2478" s="10" t="inlineStr">
        <is>
          <t>Thực phẩm &amp; Đồ uống, Công nghệ thực phẩm / Dinh dưỡng</t>
        </is>
      </c>
      <c r="K2478" s="10" t="inlineStr">
        <is>
          <t>1 - 2 Năm</t>
        </is>
      </c>
      <c r="L2478" s="11">
        <f>HYPERLINK("https://careerviet.vn/vi/tim-viec-lam/nhan-vien-r-d-nganh-kem.35C6C778.html","Xem chi tiết")</f>
        <v/>
      </c>
      <c r="M2478" s="10" t="n"/>
    </row>
    <row r="2479">
      <c r="B2479" s="7" t="n">
        <v>2477</v>
      </c>
      <c r="C2479" t="inlineStr">
        <is>
          <t>Quản lý Kinh doanh – chuyên về Bảo hiểm Con người</t>
        </is>
      </c>
      <c r="D2479" t="inlineStr">
        <is>
          <t>CÔNG TY TNHH IGLOO VIỆT NAM</t>
        </is>
      </c>
      <c r="E2479" t="inlineStr">
        <is>
          <t>Lương:Cạnh tranh</t>
        </is>
      </c>
      <c r="F2479" t="inlineStr">
        <is>
          <t>Hồ Chí MinhHà Nội</t>
        </is>
      </c>
      <c r="G2479" t="inlineStr">
        <is>
          <t>30-03-2026</t>
        </is>
      </c>
      <c r="H2479" t="inlineStr">
        <is>
          <t>30/03/2026</t>
        </is>
      </c>
      <c r="I2479" t="inlineStr">
        <is>
          <t>17/03/2026</t>
        </is>
      </c>
      <c r="J2479" t="inlineStr">
        <is>
          <t>Bảo hiểmBằng cấpĐại họcĐộ tuổiKhông giới hạn tuổi</t>
        </is>
      </c>
      <c r="K2479" t="inlineStr">
        <is>
          <t>N/A</t>
        </is>
      </c>
      <c r="L2479" s="8">
        <f>HYPERLINK("https://careerviet.vn/vi/tim-viec-lam/quan-ly-kinh-doanh-chuyen-ve-bao-hiem-con-nguoi.35C6BCD7.html","Xem chi tiết")</f>
        <v/>
      </c>
    </row>
    <row r="2480">
      <c r="B2480" s="9" t="n">
        <v>2478</v>
      </c>
      <c r="C2480" s="10" t="inlineStr">
        <is>
          <t>Trưởng phòng kinh doanh</t>
        </is>
      </c>
      <c r="D2480" s="10" t="inlineStr">
        <is>
          <t>CÔNG TY TNHH THƯƠNG MẠI DỊCH VỤ N.K.MAY MẮN</t>
        </is>
      </c>
      <c r="E2480" s="10" t="inlineStr">
        <is>
          <t>Lương:16 Tr - 20 Tr VND</t>
        </is>
      </c>
      <c r="F2480" s="10" t="inlineStr">
        <is>
          <t>Hồ Chí Minh</t>
        </is>
      </c>
      <c r="G2480" s="10" t="inlineStr">
        <is>
          <t>31-03-2026</t>
        </is>
      </c>
      <c r="H2480" s="10" t="inlineStr">
        <is>
          <t>31/03/2026</t>
        </is>
      </c>
      <c r="I2480" s="10" t="inlineStr">
        <is>
          <t>17/03/2026</t>
        </is>
      </c>
      <c r="J2480" s="10" t="inlineStr">
        <is>
          <t>Bán lẻ / Bán sỉ, Bán hàng / Kinh doanh, Tiếp thị trực tuyến</t>
        </is>
      </c>
      <c r="K2480" s="10" t="inlineStr">
        <is>
          <t>3 - 10 Năm</t>
        </is>
      </c>
      <c r="L2480" s="11">
        <f>HYPERLINK("https://careerviet.vn/vi/tim-viec-lam/truong-phong-kinh-doanh.35C49D83.html","Xem chi tiết")</f>
        <v/>
      </c>
      <c r="M2480" s="10" t="n"/>
    </row>
    <row r="2481">
      <c r="B2481" s="7" t="n">
        <v>2479</v>
      </c>
      <c r="C2481" t="inlineStr">
        <is>
          <t>Project Supervisor</t>
        </is>
      </c>
      <c r="D2481" t="inlineStr">
        <is>
          <t>Công Ty Cổ Phần Thời Trang &amp; Mỹ Phẩm Duy Anh (DAFC)</t>
        </is>
      </c>
      <c r="E2481" t="inlineStr">
        <is>
          <t>Lương:Cạnh tranh</t>
        </is>
      </c>
      <c r="F2481" t="inlineStr">
        <is>
          <t>Hồ Chí Minh</t>
        </is>
      </c>
      <c r="G2481" t="inlineStr">
        <is>
          <t>30-04-2026</t>
        </is>
      </c>
      <c r="H2481" t="inlineStr">
        <is>
          <t>30/04/2026</t>
        </is>
      </c>
      <c r="I2481" t="inlineStr">
        <is>
          <t>17/03/2026</t>
        </is>
      </c>
      <c r="J2481" t="inlineStr">
        <is>
          <t>Kiến trúc, Xây dựng, Nội ngoại thất</t>
        </is>
      </c>
      <c r="K2481" t="inlineStr">
        <is>
          <t>Trên 2 Năm</t>
        </is>
      </c>
      <c r="L2481" s="8">
        <f>HYPERLINK("https://careerviet.vn/vi/tim-viec-lam/project-supervisor.35C6C764.html","Xem chi tiết")</f>
        <v/>
      </c>
    </row>
    <row r="2482">
      <c r="B2482" s="9" t="n">
        <v>2480</v>
      </c>
      <c r="C2482" s="10" t="inlineStr">
        <is>
          <t>Quản lý Phát triển Kinh doanh kênh đại lý ( có kinh nghiệm Bảo hiểm)</t>
        </is>
      </c>
      <c r="D2482" s="10" t="inlineStr">
        <is>
          <t>CÔNG TY TNHH IGLOO VIỆT NAM</t>
        </is>
      </c>
      <c r="E2482" s="10" t="inlineStr">
        <is>
          <t>Lương:Cạnh tranh</t>
        </is>
      </c>
      <c r="F2482" s="10" t="inlineStr">
        <is>
          <t>Hồ Chí MinhĐà NẵngHà Nội</t>
        </is>
      </c>
      <c r="G2482" s="10" t="inlineStr">
        <is>
          <t>30-03-2026</t>
        </is>
      </c>
      <c r="H2482" s="10" t="inlineStr">
        <is>
          <t>30/03/2026</t>
        </is>
      </c>
      <c r="I2482" s="10" t="inlineStr">
        <is>
          <t>17/03/2026</t>
        </is>
      </c>
      <c r="J2482" s="10" t="inlineStr">
        <is>
          <t>Bán hàng / Kinh doanh, Bảo hiểmBằng cấpCao đẳngĐộ tuổiKhông giới hạn tuổi</t>
        </is>
      </c>
      <c r="K2482" s="10" t="inlineStr">
        <is>
          <t>N/A</t>
        </is>
      </c>
      <c r="L2482" s="11">
        <f>HYPERLINK("https://careerviet.vn/vi/tim-viec-lam/quan-ly-phat-trien-kinh-doanh-kenh-dai-ly-co-kinh-nghiem-bao-hiem.35C6BEB1.html","Xem chi tiết")</f>
        <v/>
      </c>
      <c r="M2482" s="10" t="n"/>
    </row>
    <row r="2483">
      <c r="B2483" s="7" t="n">
        <v>2481</v>
      </c>
      <c r="C2483" t="inlineStr">
        <is>
          <t>Chuyên Viên Pháp Lý Dự Án</t>
        </is>
      </c>
      <c r="D2483" t="inlineStr">
        <is>
          <t>Công Ty TNHH Gotec Việt Nam</t>
        </is>
      </c>
      <c r="E2483" t="inlineStr">
        <is>
          <t>Lương:Cạnh tranh</t>
        </is>
      </c>
      <c r="F2483" t="inlineStr">
        <is>
          <t>Hồ Chí Minh</t>
        </is>
      </c>
      <c r="G2483" t="inlineStr">
        <is>
          <t>13-04-2026</t>
        </is>
      </c>
      <c r="H2483" t="inlineStr">
        <is>
          <t>13/04/2026</t>
        </is>
      </c>
      <c r="I2483" t="inlineStr">
        <is>
          <t>17/03/2026</t>
        </is>
      </c>
      <c r="J2483" t="inlineStr">
        <is>
          <t>Luật / Pháp lý, Bất động sản, Xây dựng</t>
        </is>
      </c>
      <c r="K2483" t="inlineStr">
        <is>
          <t>Trên 3 Năm</t>
        </is>
      </c>
      <c r="L2483" s="8">
        <f>HYPERLINK("https://careerviet.vn/vi/tim-viec-lam/chuyen-vien-phap-ly-du-an.35C6C72D.html","Xem chi tiết")</f>
        <v/>
      </c>
    </row>
    <row r="2484">
      <c r="B2484" s="9" t="n">
        <v>2482</v>
      </c>
      <c r="C2484" s="10" t="inlineStr">
        <is>
          <t>Brand Marketing Assistant Manager - Luxury Retail/Fashion/Cosmetic</t>
        </is>
      </c>
      <c r="D2484" s="10" t="inlineStr">
        <is>
          <t>Công Ty Cổ Phần Thời Trang &amp; Mỹ Phẩm Duy Anh (DAFC)</t>
        </is>
      </c>
      <c r="E2484" s="10" t="inlineStr">
        <is>
          <t>Lương:Cạnh tranh</t>
        </is>
      </c>
      <c r="F2484" s="10" t="inlineStr">
        <is>
          <t>Hồ Chí Minh</t>
        </is>
      </c>
      <c r="G2484" s="10" t="inlineStr">
        <is>
          <t>03-05-2026</t>
        </is>
      </c>
      <c r="H2484" s="10" t="inlineStr">
        <is>
          <t>03/05/2026</t>
        </is>
      </c>
      <c r="I2484" s="10" t="inlineStr">
        <is>
          <t>17/03/2026</t>
        </is>
      </c>
      <c r="J2484" s="10" t="inlineStr">
        <is>
          <t>Tiếp thị / Marketing, Bán lẻ / Bán sỉ, Dệt may / Da giày / Thời trang</t>
        </is>
      </c>
      <c r="K2484" s="10" t="inlineStr">
        <is>
          <t>Trên 5 Năm</t>
        </is>
      </c>
      <c r="L2484" s="11">
        <f>HYPERLINK("https://careerviet.vn/vi/tim-viec-lam/brand-marketing-assistant-manager-luxury-retail-fashion-cosmetic.35C677FA.html","Xem chi tiết")</f>
        <v/>
      </c>
      <c r="M2484" s="10" t="n"/>
    </row>
    <row r="2485">
      <c r="B2485" s="7" t="n">
        <v>2483</v>
      </c>
      <c r="C2485" t="inlineStr">
        <is>
          <t>Chuyên viên/Chuyên viên Cao cấp Quan Hệ Khách Hàng Cá Nhân - KV.Hồ Chí Minh (Golden Opportunity)</t>
        </is>
      </c>
      <c r="D2485" t="inlineStr">
        <is>
          <t>Ngân hàng TMCP Phát triển TP.HCM (HDBank)</t>
        </is>
      </c>
      <c r="E2485" t="inlineStr">
        <is>
          <t>Lương:Cạnh tranh</t>
        </is>
      </c>
      <c r="F2485" t="inlineStr">
        <is>
          <t>Hồ Chí Minh</t>
        </is>
      </c>
      <c r="G2485" t="inlineStr">
        <is>
          <t>30-04-2026</t>
        </is>
      </c>
      <c r="H2485" t="inlineStr">
        <is>
          <t>30/04/2026</t>
        </is>
      </c>
      <c r="I2485" t="inlineStr">
        <is>
          <t>17/03/2026</t>
        </is>
      </c>
      <c r="J2485" t="inlineStr">
        <is>
          <t>Bán hàng / Kinh doanh, Ngân hàng, Tài chính / Đầu tư</t>
        </is>
      </c>
      <c r="K2485" t="inlineStr">
        <is>
          <t>1 - 5 Năm</t>
        </is>
      </c>
      <c r="L2485" s="8">
        <f>HYPERLINK("https://careerviet.vn/vi/tim-viec-lam/chuyen-vien-chuyen-vien-cao-cap-quan-he-khach-hang-ca-nhan-kv-ho-chi-minh-golden-opportunity.35C6C75C.html","Xem chi tiết")</f>
        <v/>
      </c>
    </row>
    <row r="2486">
      <c r="B2486" s="9" t="n">
        <v>2484</v>
      </c>
      <c r="C2486" s="10" t="inlineStr">
        <is>
          <t>Chuyên Viên /Chuyên viên Cao Cấp Quan Hệ Khách Hàng Doanh Nghiệp - TP.HCM  (Golden Opportunity)</t>
        </is>
      </c>
      <c r="D2486" s="10" t="inlineStr">
        <is>
          <t>Ngân hàng TMCP Phát triển TP.HCM (HDBank)</t>
        </is>
      </c>
      <c r="E2486" s="10" t="inlineStr">
        <is>
          <t>Lương:Cạnh tranh</t>
        </is>
      </c>
      <c r="F2486" s="10" t="inlineStr">
        <is>
          <t>Hồ Chí Minh</t>
        </is>
      </c>
      <c r="G2486" s="10" t="inlineStr">
        <is>
          <t>30-04-2026</t>
        </is>
      </c>
      <c r="H2486" s="10" t="inlineStr">
        <is>
          <t>30/04/2026</t>
        </is>
      </c>
      <c r="I2486" s="10" t="inlineStr">
        <is>
          <t>17/03/2026</t>
        </is>
      </c>
      <c r="J2486" s="10" t="inlineStr">
        <is>
          <t>Bán hàng / Kinh doanh, Ngân hàng, Tài chính / Đầu tư</t>
        </is>
      </c>
      <c r="K2486" s="10" t="inlineStr">
        <is>
          <t>1 - 5 Năm</t>
        </is>
      </c>
      <c r="L2486" s="11">
        <f>HYPERLINK("https://careerviet.vn/vi/tim-viec-lam/chuyen-vien-chuyen-vien-cao-cap-quan-he-khach-hang-doanh-nghiep-tp-hcm-golden-opportunity.35C6C762.html","Xem chi tiết")</f>
        <v/>
      </c>
      <c r="M2486" s="10" t="n"/>
    </row>
    <row r="2487">
      <c r="B2487" s="7" t="n">
        <v>2485</v>
      </c>
      <c r="C2487" t="inlineStr">
        <is>
          <t>Senior Process Engineer</t>
        </is>
      </c>
      <c r="D2487" t="inlineStr">
        <is>
          <t>Aldila Composite Products</t>
        </is>
      </c>
      <c r="E2487" t="inlineStr">
        <is>
          <t>Lương:Cạnh tranh</t>
        </is>
      </c>
      <c r="F2487" t="inlineStr">
        <is>
          <t>Bình Dương</t>
        </is>
      </c>
      <c r="G2487" t="inlineStr">
        <is>
          <t>31-03-2026</t>
        </is>
      </c>
      <c r="H2487" t="inlineStr">
        <is>
          <t>31/03/2026</t>
        </is>
      </c>
      <c r="I2487" t="inlineStr">
        <is>
          <t>17/03/2026</t>
        </is>
      </c>
      <c r="J2487" t="inlineStr">
        <is>
          <t>Cơ khí / Ô tô / Tự động hóa</t>
        </is>
      </c>
      <c r="K2487" t="inlineStr">
        <is>
          <t>1 - 3 Năm</t>
        </is>
      </c>
      <c r="L2487" s="8">
        <f>HYPERLINK("https://careerviet.vn/vi/tim-viec-lam/senior-process-engineer.35C6C757.html","Xem chi tiết")</f>
        <v/>
      </c>
    </row>
    <row r="2488">
      <c r="B2488" s="9" t="n">
        <v>2486</v>
      </c>
      <c r="C2488" s="10" t="inlineStr">
        <is>
          <t>HR Data Analyst</t>
        </is>
      </c>
      <c r="D2488" s="10" t="inlineStr">
        <is>
          <t>Tập Đoàn Kim Tín</t>
        </is>
      </c>
      <c r="E2488" s="10" t="inlineStr">
        <is>
          <t>Lương:Cạnh tranh</t>
        </is>
      </c>
      <c r="F2488" s="10" t="inlineStr">
        <is>
          <t>Hồ Chí Minh</t>
        </is>
      </c>
      <c r="G2488" s="10" t="inlineStr">
        <is>
          <t>11-04-2026</t>
        </is>
      </c>
      <c r="H2488" s="10" t="inlineStr">
        <is>
          <t>11/04/2026</t>
        </is>
      </c>
      <c r="I2488" s="10" t="inlineStr">
        <is>
          <t>17/03/2026</t>
        </is>
      </c>
      <c r="J2488" s="10" t="inlineStr">
        <is>
          <t>Sản xuất / Vận hành sản xuất</t>
        </is>
      </c>
      <c r="K2488" s="10" t="inlineStr">
        <is>
          <t>2 - 5 Năm</t>
        </is>
      </c>
      <c r="L2488" s="11">
        <f>HYPERLINK("https://careerviet.vn/vi/tim-viec-lam/hr-data-analyst.35C6C73C.html","Xem chi tiết")</f>
        <v/>
      </c>
      <c r="M2488" s="10" t="n"/>
    </row>
    <row r="2489">
      <c r="B2489" s="7" t="n">
        <v>2487</v>
      </c>
      <c r="C2489" t="inlineStr">
        <is>
          <t>Thiết Kế Kết Cấu (Kết Cấu Thép)</t>
        </is>
      </c>
      <c r="D2489" t="inlineStr">
        <is>
          <t>ATAD Steel Structure Corporation</t>
        </is>
      </c>
      <c r="E2489" t="inlineStr">
        <is>
          <t>Lương:450 - 700 USD</t>
        </is>
      </c>
      <c r="F2489" t="inlineStr">
        <is>
          <t>Hồ Chí Minh</t>
        </is>
      </c>
      <c r="G2489" t="inlineStr">
        <is>
          <t>6</t>
        </is>
      </c>
      <c r="H2489" t="inlineStr">
        <is>
          <t>23/03/2026</t>
        </is>
      </c>
      <c r="I2489" t="inlineStr">
        <is>
          <t>17/03/2026</t>
        </is>
      </c>
      <c r="J2489" t="inlineStr">
        <is>
          <t>Kiến trúc, Xây dựng</t>
        </is>
      </c>
      <c r="K2489" t="inlineStr">
        <is>
          <t>N/A</t>
        </is>
      </c>
      <c r="L2489" s="8">
        <f>HYPERLINK("https://careerviet.vn/vi/tim-viec-lam/thiet-ke-ket-cau-ket-cau-thep.35C6C76B.html","Xem chi tiết")</f>
        <v/>
      </c>
    </row>
    <row r="2490">
      <c r="B2490" s="9" t="n">
        <v>2488</v>
      </c>
      <c r="C2490" s="10" t="inlineStr">
        <is>
          <t>Chuyên viên Tuyển Dụng và Đào Tạo</t>
        </is>
      </c>
      <c r="D2490" s="10" t="inlineStr">
        <is>
          <t>Công ty TNHH Chế Tạo Máy Dược Phẩm Tiến Tuấn</t>
        </is>
      </c>
      <c r="E2490" s="10" t="inlineStr">
        <is>
          <t>Lương:14 Tr - 15 Tr VND</t>
        </is>
      </c>
      <c r="F2490" s="10" t="inlineStr">
        <is>
          <t>Hồ Chí Minh</t>
        </is>
      </c>
      <c r="G2490" s="10" t="inlineStr">
        <is>
          <t>13-04-2026</t>
        </is>
      </c>
      <c r="H2490" s="10" t="inlineStr">
        <is>
          <t>13/04/2026</t>
        </is>
      </c>
      <c r="I2490" s="10" t="inlineStr">
        <is>
          <t>17/03/2026</t>
        </is>
      </c>
      <c r="J2490" s="10" t="inlineStr">
        <is>
          <t>Hành chính / Thư ký, Bán hàng / Kinh doanh, Nhân sự</t>
        </is>
      </c>
      <c r="K2490" s="10" t="inlineStr">
        <is>
          <t>5 - 7 Năm</t>
        </is>
      </c>
      <c r="L2490" s="11">
        <f>HYPERLINK("https://careerviet.vn/vi/tim-viec-lam/chuyen-vien-tuyen-dung-va-dao-tao.35C6C754.html","Xem chi tiết")</f>
        <v/>
      </c>
      <c r="M2490" s="10" t="n"/>
    </row>
    <row r="2491">
      <c r="B2491" s="7" t="n">
        <v>2489</v>
      </c>
      <c r="C2491" t="inlineStr">
        <is>
          <t>Nhân Viên Đặt Phòng</t>
        </is>
      </c>
      <c r="D2491" t="inlineStr">
        <is>
          <t>BiziTrip</t>
        </is>
      </c>
      <c r="E2491" t="inlineStr">
        <is>
          <t>Lương:8 Tr - 15 Tr VND</t>
        </is>
      </c>
      <c r="F2491" t="inlineStr">
        <is>
          <t>Hồ Chí Minh</t>
        </is>
      </c>
      <c r="G2491" t="inlineStr">
        <is>
          <t>13-04-2026</t>
        </is>
      </c>
      <c r="H2491" t="inlineStr">
        <is>
          <t>13/04/2026</t>
        </is>
      </c>
      <c r="I2491" t="inlineStr">
        <is>
          <t>17/03/2026</t>
        </is>
      </c>
      <c r="J2491" t="inlineStr">
        <is>
          <t>Dịch vụ khách hàng, Tư vấn, Nhà hàng / Khách sạn</t>
        </is>
      </c>
      <c r="K2491" t="inlineStr">
        <is>
          <t>N/A</t>
        </is>
      </c>
      <c r="L2491" s="8">
        <f>HYPERLINK("https://careerviet.vn/vi/tim-viec-lam/nhan-vien-dat-phong.35C6C70C.html","Xem chi tiết")</f>
        <v/>
      </c>
    </row>
    <row r="2492">
      <c r="B2492" s="9" t="n">
        <v>2490</v>
      </c>
      <c r="C2492" s="10" t="inlineStr">
        <is>
          <t>Chuyên viên Quản trị rủi ro</t>
        </is>
      </c>
      <c r="D2492" s="10" t="inlineStr">
        <is>
          <t>CÔNG TY CỔ PHẦN TẬP ĐOÀN GELEX</t>
        </is>
      </c>
      <c r="E2492" s="10" t="inlineStr">
        <is>
          <t>Lương:Cạnh tranh</t>
        </is>
      </c>
      <c r="F2492" s="10" t="inlineStr">
        <is>
          <t>Hà Nội</t>
        </is>
      </c>
      <c r="G2492" s="10" t="inlineStr">
        <is>
          <t>12-04-2026</t>
        </is>
      </c>
      <c r="H2492" s="10" t="inlineStr">
        <is>
          <t>12/04/2026</t>
        </is>
      </c>
      <c r="I2492" s="10" t="inlineStr">
        <is>
          <t>17/03/2026</t>
        </is>
      </c>
      <c r="J2492" s="10" t="inlineStr">
        <is>
          <t>Tài chính / Đầu tư, Ngân hàng</t>
        </is>
      </c>
      <c r="K2492" s="10" t="inlineStr">
        <is>
          <t>Trên 2 Năm</t>
        </is>
      </c>
      <c r="L2492" s="11">
        <f>HYPERLINK("https://careerviet.vn/vi/tim-viec-lam/chuyen-vien-quan-tri-rui-ro.35C6C74C.html","Xem chi tiết")</f>
        <v/>
      </c>
      <c r="M2492" s="10" t="n"/>
    </row>
    <row r="2493">
      <c r="B2493" s="7" t="n">
        <v>2491</v>
      </c>
      <c r="C2493" t="inlineStr">
        <is>
          <t>Kế toán trưởng</t>
        </is>
      </c>
      <c r="D2493" t="inlineStr">
        <is>
          <t>Công ty TNHH Dịch Vụ Và Đầu Tư Hoàng An</t>
        </is>
      </c>
      <c r="E2493" t="inlineStr">
        <is>
          <t>Lương:20 Tr - 30 Tr VND</t>
        </is>
      </c>
      <c r="F2493" t="inlineStr">
        <is>
          <t>Hồ Chí Minh</t>
        </is>
      </c>
      <c r="G2493" t="inlineStr">
        <is>
          <t>12-04-2026</t>
        </is>
      </c>
      <c r="H2493" t="inlineStr">
        <is>
          <t>12/04/2026</t>
        </is>
      </c>
      <c r="I2493" t="inlineStr">
        <is>
          <t>17/03/2026</t>
        </is>
      </c>
      <c r="J2493" t="inlineStr">
        <is>
          <t>Kế toán / Kiểm toán, Tài chính / Đầu tư</t>
        </is>
      </c>
      <c r="K2493" t="inlineStr">
        <is>
          <t>3 - 5 Năm</t>
        </is>
      </c>
      <c r="L2493" s="8">
        <f>HYPERLINK("https://careerviet.vn/vi/tim-viec-lam/ke-toan-truong.35C6C706.html","Xem chi tiết")</f>
        <v/>
      </c>
    </row>
    <row r="2494">
      <c r="B2494" s="9" t="n">
        <v>2492</v>
      </c>
      <c r="C2494" s="10" t="inlineStr">
        <is>
          <t>Chuyên viên R&amp;D công nghệ (Cơ khí)</t>
        </is>
      </c>
      <c r="D2494" s="10" t="inlineStr">
        <is>
          <t>Tập Đoàn Kim Tín</t>
        </is>
      </c>
      <c r="E2494" s="10" t="inlineStr">
        <is>
          <t>Lương:15 Tr - 25 Tr VND</t>
        </is>
      </c>
      <c r="F2494" s="10" t="inlineStr">
        <is>
          <t>Hồ Chí Minh</t>
        </is>
      </c>
      <c r="G2494" s="10" t="inlineStr">
        <is>
          <t>11-04-2026</t>
        </is>
      </c>
      <c r="H2494" s="10" t="inlineStr">
        <is>
          <t>11/04/2026</t>
        </is>
      </c>
      <c r="I2494" s="10" t="inlineStr">
        <is>
          <t>17/03/2026</t>
        </is>
      </c>
      <c r="J2494" s="10" t="inlineStr">
        <is>
          <t>Cơ khí / Ô tô / Tự động hóa, Sản xuất / Vận hành sản xuất</t>
        </is>
      </c>
      <c r="K2494" s="10" t="inlineStr">
        <is>
          <t>3 - 5 Năm</t>
        </is>
      </c>
      <c r="L2494" s="11">
        <f>HYPERLINK("https://careerviet.vn/vi/tim-viec-lam/chuyen-vien-r-d-cong-nghe-co-khi.35C6C70E.html","Xem chi tiết")</f>
        <v/>
      </c>
      <c r="M2494" s="10" t="n"/>
    </row>
    <row r="2495">
      <c r="B2495" s="7" t="n">
        <v>2493</v>
      </c>
      <c r="C2495" t="inlineStr">
        <is>
          <t>Junior Advisor for Data and Tracking of the NDC</t>
        </is>
      </c>
      <c r="D2495" t="inlineStr">
        <is>
          <t>Văn phòng đại diện Tổ chức Hợp tác Quốc tế Đức GIZ tại Hà Nội</t>
        </is>
      </c>
      <c r="E2495" t="inlineStr">
        <is>
          <t>Lương:Cạnh tranh</t>
        </is>
      </c>
      <c r="F2495" t="inlineStr">
        <is>
          <t>Hà Nội</t>
        </is>
      </c>
      <c r="G2495" t="inlineStr">
        <is>
          <t>27-03-2026</t>
        </is>
      </c>
      <c r="H2495" t="inlineStr">
        <is>
          <t>27/03/2026</t>
        </is>
      </c>
      <c r="I2495" t="inlineStr">
        <is>
          <t>17/03/2026</t>
        </is>
      </c>
      <c r="J2495" t="inlineStr">
        <is>
          <t>N/A</t>
        </is>
      </c>
      <c r="K2495" t="inlineStr">
        <is>
          <t>N/A</t>
        </is>
      </c>
      <c r="L2495" s="8">
        <f>HYPERLINK("https://careerviet.vn/vi/tim-viec-lam/junior-advisor-for-data-and-tracking-of-the-ndc.35C6C55B.html","Xem chi tiết")</f>
        <v/>
      </c>
    </row>
    <row r="2496">
      <c r="B2496" s="9" t="n">
        <v>2494</v>
      </c>
      <c r="C2496" s="10" t="inlineStr">
        <is>
          <t>Giáo Viên Mầm Non</t>
        </is>
      </c>
      <c r="D2496" s="10" t="inlineStr">
        <is>
          <t>Công Ty TNHH Kindy City</t>
        </is>
      </c>
      <c r="E2496" s="10" t="inlineStr">
        <is>
          <t>Lương:9 Tr - 12 Tr VND</t>
        </is>
      </c>
      <c r="F2496" s="10" t="inlineStr">
        <is>
          <t>Hồ Chí Minh</t>
        </is>
      </c>
      <c r="G2496" s="10" t="inlineStr">
        <is>
          <t>04-04-2026</t>
        </is>
      </c>
      <c r="H2496" s="10" t="inlineStr">
        <is>
          <t>04/04/2026</t>
        </is>
      </c>
      <c r="I2496" s="10" t="inlineStr">
        <is>
          <t>17/03/2026</t>
        </is>
      </c>
      <c r="J2496" s="10" t="inlineStr">
        <is>
          <t>Giáo dục / Đào tạo, Mới tốt nghiệp / Thực tập</t>
        </is>
      </c>
      <c r="K2496" s="10" t="inlineStr">
        <is>
          <t>1 - 4 Năm</t>
        </is>
      </c>
      <c r="L2496" s="11">
        <f>HYPERLINK("https://careerviet.vn/vi/tim-viec-lam/giao-vien-mam-non.35C6C72B.html","Xem chi tiết")</f>
        <v/>
      </c>
      <c r="M2496" s="10" t="n"/>
    </row>
    <row r="2497">
      <c r="B2497" s="7" t="n">
        <v>2495</v>
      </c>
      <c r="C2497" t="inlineStr">
        <is>
          <t>Nhân viên kỹ thuật</t>
        </is>
      </c>
      <c r="D2497" t="inlineStr">
        <is>
          <t>CÔNG TY TNHH AMERICA INDOCHINA MANAGEMENT VIETNAM</t>
        </is>
      </c>
      <c r="E2497" t="inlineStr">
        <is>
          <t>Lương:Cạnh tranh</t>
        </is>
      </c>
      <c r="F2497" t="inlineStr">
        <is>
          <t>Hồ Chí Minh</t>
        </is>
      </c>
      <c r="G2497" t="inlineStr">
        <is>
          <t>28-03-2026</t>
        </is>
      </c>
      <c r="H2497" t="inlineStr">
        <is>
          <t>28/03/2026</t>
        </is>
      </c>
      <c r="I2497" t="inlineStr">
        <is>
          <t>17/03/2026</t>
        </is>
      </c>
      <c r="J2497" t="inlineStr">
        <is>
          <t>Điện / Điện tử / Điện lạnh / Điện công nghiệp, Bảo trì / Sửa chữa, Nhà hàng / Khách sạn</t>
        </is>
      </c>
      <c r="K2497" t="inlineStr">
        <is>
          <t>1 - 2 Năm</t>
        </is>
      </c>
      <c r="L2497" s="8">
        <f>HYPERLINK("https://careerviet.vn/vi/tim-viec-lam/nhan-vien-ky-thuat.35C6C707.html","Xem chi tiết")</f>
        <v/>
      </c>
    </row>
    <row r="2498">
      <c r="B2498" s="9" t="n">
        <v>2496</v>
      </c>
      <c r="C2498" s="10" t="inlineStr">
        <is>
          <t>Nhân viên quản lý vật tư hành chính</t>
        </is>
      </c>
      <c r="D2498" s="10" t="inlineStr">
        <is>
          <t>Công ty Cổ phần Toyota Thái Hòa</t>
        </is>
      </c>
      <c r="E2498" s="10" t="inlineStr">
        <is>
          <t>Lương:10 Tr - 12 Tr VND</t>
        </is>
      </c>
      <c r="F2498" s="10" t="inlineStr">
        <is>
          <t>Hà Nội</t>
        </is>
      </c>
      <c r="G2498" s="10" t="inlineStr">
        <is>
          <t>31-03-2026</t>
        </is>
      </c>
      <c r="H2498" s="10" t="inlineStr">
        <is>
          <t>31/03/2026</t>
        </is>
      </c>
      <c r="I2498" s="10" t="inlineStr">
        <is>
          <t>17/03/2026</t>
        </is>
      </c>
      <c r="J2498" s="10" t="inlineStr">
        <is>
          <t>Hành chính / Thư ký, Cơ khí / Ô tô / Tự động hóa, Kế toán / Kiểm toán</t>
        </is>
      </c>
      <c r="K2498" s="10" t="inlineStr">
        <is>
          <t>1 - 2 Năm</t>
        </is>
      </c>
      <c r="L2498" s="11">
        <f>HYPERLINK("https://careerviet.vn/vi/tim-viec-lam/nhan-vien-quan-ly-vat-tu-hanh-chinh.35C6C741.html","Xem chi tiết")</f>
        <v/>
      </c>
      <c r="M2498" s="10" t="n"/>
    </row>
    <row r="2499">
      <c r="B2499" s="7" t="n">
        <v>2497</v>
      </c>
      <c r="C2499" t="inlineStr">
        <is>
          <t>Sales Operations Manager</t>
        </is>
      </c>
      <c r="D2499" t="inlineStr">
        <is>
          <t>Công Ty TNHH Map Pacific Singapore</t>
        </is>
      </c>
      <c r="E2499" t="inlineStr">
        <is>
          <t>Lương:Cạnh tranh</t>
        </is>
      </c>
      <c r="F2499" t="inlineStr">
        <is>
          <t>Đồng Nai</t>
        </is>
      </c>
      <c r="G2499" t="inlineStr">
        <is>
          <t>30-04-2026</t>
        </is>
      </c>
      <c r="H2499" t="inlineStr">
        <is>
          <t>30/04/2026</t>
        </is>
      </c>
      <c r="I2499" t="inlineStr">
        <is>
          <t>17/03/2026</t>
        </is>
      </c>
      <c r="J2499" t="inlineStr">
        <is>
          <t>Bán hàng / Kinh doanh, Tiếp thị / Marketing</t>
        </is>
      </c>
      <c r="K2499" t="inlineStr">
        <is>
          <t>5 - 10 Năm</t>
        </is>
      </c>
      <c r="L2499" s="8">
        <f>HYPERLINK("https://careerviet.vn/vi/tim-viec-lam/sales-operations-manager.35C6C682.html","Xem chi tiết")</f>
        <v/>
      </c>
    </row>
    <row r="2500">
      <c r="B2500" s="9" t="n">
        <v>2498</v>
      </c>
      <c r="C2500" s="10" t="inlineStr">
        <is>
          <t>SENIOR APPLICATION ENGINEER</t>
        </is>
      </c>
      <c r="D2500" s="10" t="inlineStr">
        <is>
          <t>PCB GraphTech Việt Nam</t>
        </is>
      </c>
      <c r="E2500" s="10" t="inlineStr">
        <is>
          <t>Lương:Cạnh tranh</t>
        </is>
      </c>
      <c r="F2500" s="10" t="inlineStr">
        <is>
          <t>Hồ Chí Minh</t>
        </is>
      </c>
      <c r="G2500" s="10" t="inlineStr">
        <is>
          <t>12-04-2026</t>
        </is>
      </c>
      <c r="H2500" s="10" t="inlineStr">
        <is>
          <t>12/04/2026</t>
        </is>
      </c>
      <c r="I2500" s="10" t="inlineStr">
        <is>
          <t>17/03/2026</t>
        </is>
      </c>
      <c r="J2500" s="10" t="inlineStr">
        <is>
          <t>CNTT - Phần mềm, Cơ khí / Ô tô / Tự động hóa, Điện / Điện tử / Điện lạnh / Điện công nghiệp</t>
        </is>
      </c>
      <c r="K2500" s="10" t="inlineStr">
        <is>
          <t>Trên 5 Năm</t>
        </is>
      </c>
      <c r="L2500" s="11">
        <f>HYPERLINK("https://careerviet.vn/vi/tim-viec-lam/senior-application-engineer.35C6C6ED.html","Xem chi tiết")</f>
        <v/>
      </c>
      <c r="M2500" s="10" t="n"/>
    </row>
    <row r="2501">
      <c r="B2501" s="7" t="n">
        <v>2499</v>
      </c>
      <c r="C2501" t="inlineStr">
        <is>
          <t>NV/CV THN Hiện Trường - An Giang, Kiên Giang, Cà Mau - TA149 - ID859</t>
        </is>
      </c>
      <c r="D2501" t="inlineStr">
        <is>
          <t>Ngân Hàng TMCP Việt Nam Thịnh Vượng - VPBANK</t>
        </is>
      </c>
      <c r="E2501" t="inlineStr">
        <is>
          <t>Lương:Cạnh tranh</t>
        </is>
      </c>
      <c r="F2501" t="inlineStr">
        <is>
          <t>An GiangCà MauKiên Giang</t>
        </is>
      </c>
      <c r="G2501" t="inlineStr">
        <is>
          <t>10-04-2026</t>
        </is>
      </c>
      <c r="H2501" t="inlineStr">
        <is>
          <t>10/04/2026</t>
        </is>
      </c>
      <c r="I2501" t="inlineStr">
        <is>
          <t>17/03/2026</t>
        </is>
      </c>
      <c r="J2501" t="inlineStr">
        <is>
          <t>Ngân hàng, Tài chính / Đầu tư, Luật / Pháp lý</t>
        </is>
      </c>
      <c r="K2501" t="inlineStr">
        <is>
          <t>N/A</t>
        </is>
      </c>
      <c r="L2501" s="8">
        <f>HYPERLINK("https://careerviet.vn/vi/tim-viec-lam/nv-cv-thn-hien-truong-an-giang-kien-giang-ca-mau-ta149-id859.35C68369.html","Xem chi tiết")</f>
        <v/>
      </c>
    </row>
    <row r="2502">
      <c r="B2502" s="9" t="n">
        <v>2500</v>
      </c>
      <c r="C2502" s="10" t="inlineStr">
        <is>
          <t>Mass Recruitment Team Leader</t>
        </is>
      </c>
      <c r="D2502" s="10" t="inlineStr">
        <is>
          <t>FE CREDIT</t>
        </is>
      </c>
      <c r="E2502" s="10" t="inlineStr">
        <is>
          <t>Lương:Cạnh tranh</t>
        </is>
      </c>
      <c r="F2502" s="10" t="inlineStr">
        <is>
          <t>Hồ Chí Minh</t>
        </is>
      </c>
      <c r="G2502" s="10" t="inlineStr">
        <is>
          <t>10-04-2026</t>
        </is>
      </c>
      <c r="H2502" s="10" t="inlineStr">
        <is>
          <t>10/04/2026</t>
        </is>
      </c>
      <c r="I2502" s="10" t="inlineStr">
        <is>
          <t>17/03/2026</t>
        </is>
      </c>
      <c r="J2502" s="10" t="inlineStr">
        <is>
          <t>Ngân hàng, Bán hàng / Kinh doanh, Nhân sự</t>
        </is>
      </c>
      <c r="K2502" s="10" t="inlineStr">
        <is>
          <t>4 - 5 Năm</t>
        </is>
      </c>
      <c r="L2502" s="11">
        <f>HYPERLINK("https://careerviet.vn/vi/tim-viec-lam/mass-recruitment-team-leader.35C68412.html","Xem chi tiết")</f>
        <v/>
      </c>
      <c r="M2502" s="10" t="n"/>
    </row>
    <row r="2503">
      <c r="B2503" s="7" t="n">
        <v>2501</v>
      </c>
      <c r="C2503" t="inlineStr">
        <is>
          <t>Chuyên gia đối tác khách hàng doanh nghiệp (Mảng đối tác số) - Khối KHDN</t>
        </is>
      </c>
      <c r="D2503" t="inlineStr">
        <is>
          <t>Ngân hàng TMCP Đại Chúng Việt Nam - PVcomBank</t>
        </is>
      </c>
      <c r="E2503" t="inlineStr">
        <is>
          <t>Lương:1.000 - 2.000 USD</t>
        </is>
      </c>
      <c r="F2503" t="inlineStr">
        <is>
          <t>Hà Nội</t>
        </is>
      </c>
      <c r="G2503" t="inlineStr">
        <is>
          <t>10-04-2026</t>
        </is>
      </c>
      <c r="H2503" t="inlineStr">
        <is>
          <t>10/04/2026</t>
        </is>
      </c>
      <c r="I2503" t="inlineStr">
        <is>
          <t>17/03/2026</t>
        </is>
      </c>
      <c r="J2503" t="inlineStr">
        <is>
          <t>Ngân hàng</t>
        </is>
      </c>
      <c r="K2503" t="inlineStr">
        <is>
          <t>3 - 10 Năm</t>
        </is>
      </c>
      <c r="L2503" s="8">
        <f>HYPERLINK("https://careerviet.vn/vi/tim-viec-lam/chuyen-gia-doi-tac-khach-hang-doanh-nghiep-mang-doi-tac-so-khoi-khdn.35C6834B.html","Xem chi tiết")</f>
        <v/>
      </c>
    </row>
    <row r="2504">
      <c r="B2504" s="9" t="n">
        <v>2502</v>
      </c>
      <c r="C2504" s="10" t="inlineStr">
        <is>
          <t>Quản Lý Kinh Doanh Thị Trường Kênh Phân Phối</t>
        </is>
      </c>
      <c r="D2504" s="10" t="inlineStr">
        <is>
          <t>CÔNG TY TNHH MỘT THÀNH VIÊN XUẤT NHẬP KHẨU THƯƠNG MẠI DỊCH VỤ HÙNG THỦY</t>
        </is>
      </c>
      <c r="E2504" s="10" t="inlineStr">
        <is>
          <t>Lương:15 Tr - 25 Tr VND</t>
        </is>
      </c>
      <c r="F2504" s="10" t="inlineStr">
        <is>
          <t>Hồ Chí Minh</t>
        </is>
      </c>
      <c r="G2504" s="10" t="inlineStr">
        <is>
          <t>10-04-2026</t>
        </is>
      </c>
      <c r="H2504" s="10" t="inlineStr">
        <is>
          <t>10/04/2026</t>
        </is>
      </c>
      <c r="I2504" s="10" t="inlineStr">
        <is>
          <t>17/03/2026</t>
        </is>
      </c>
      <c r="J2504" s="10" t="inlineStr">
        <is>
          <t>Bán lẻ / Bán sỉ, Bán hàng / Kinh doanh, Hàng gia dụng / Chăm sóc cá nhân</t>
        </is>
      </c>
      <c r="K2504" s="10" t="inlineStr">
        <is>
          <t>3 - 5 Năm</t>
        </is>
      </c>
      <c r="L2504" s="11">
        <f>HYPERLINK("https://careerviet.vn/vi/tim-viec-lam/quan-ly-kinh-doanh-thi-truong-kenh-phan-phoi.35C68395.html","Xem chi tiết")</f>
        <v/>
      </c>
      <c r="M2504" s="10" t="n"/>
    </row>
    <row r="2505">
      <c r="B2505" s="7" t="n">
        <v>2503</v>
      </c>
      <c r="C2505" t="inlineStr">
        <is>
          <t>CN Vĩnh Phúc - Chuyên viên Khách hàng cá nhân</t>
        </is>
      </c>
      <c r="D2505" t="inlineStr">
        <is>
          <t>Ngân hàng TMCP Lộc Phát Việt Nam (LPBank)</t>
        </is>
      </c>
      <c r="E2505" t="inlineStr">
        <is>
          <t>Lương:Cạnh tranh</t>
        </is>
      </c>
      <c r="F2505" t="inlineStr">
        <is>
          <t>Vĩnh Phúc</t>
        </is>
      </c>
      <c r="G2505" t="inlineStr">
        <is>
          <t>10-05-2026</t>
        </is>
      </c>
      <c r="H2505" t="inlineStr">
        <is>
          <t>10/05/2026</t>
        </is>
      </c>
      <c r="I2505" t="inlineStr">
        <is>
          <t>17/03/2026</t>
        </is>
      </c>
      <c r="J2505" t="inlineStr">
        <is>
          <t>Kế toán / Kiểm toán, Ngân hàng, Bán hàng / Kinh doanh</t>
        </is>
      </c>
      <c r="K2505" t="inlineStr">
        <is>
          <t>N/A</t>
        </is>
      </c>
      <c r="L2505" s="8">
        <f>HYPERLINK("https://careerviet.vn/vi/tim-viec-lam/cn-vinh-phuc-chuyen-vien-khach-hang-ca-nhan.35C6C780.html","Xem chi tiết")</f>
        <v/>
      </c>
    </row>
    <row r="2506">
      <c r="B2506" s="9" t="n">
        <v>2504</v>
      </c>
      <c r="C2506" s="10" t="inlineStr">
        <is>
          <t>Chuyên gia pháp lý quản trị và phi tín dụng - Khối Pháp chế và Tuân thủ -</t>
        </is>
      </c>
      <c r="D2506" s="10" t="inlineStr">
        <is>
          <t>Ngân hàng TMCP Đại Chúng Việt Nam - PVcomBank</t>
        </is>
      </c>
      <c r="E2506" s="10" t="inlineStr">
        <is>
          <t>Lương:Cạnh tranh</t>
        </is>
      </c>
      <c r="F2506" s="10" t="inlineStr">
        <is>
          <t>Hà Nội</t>
        </is>
      </c>
      <c r="G2506" s="10" t="inlineStr">
        <is>
          <t>10-04-2026</t>
        </is>
      </c>
      <c r="H2506" s="10" t="inlineStr">
        <is>
          <t>10/04/2026</t>
        </is>
      </c>
      <c r="I2506" s="10" t="inlineStr">
        <is>
          <t>17/03/2026</t>
        </is>
      </c>
      <c r="J2506" s="10" t="inlineStr">
        <is>
          <t>Ngân hàng, Tài chính / Đầu tư</t>
        </is>
      </c>
      <c r="K2506" s="10" t="inlineStr">
        <is>
          <t>3 - 10 Năm</t>
        </is>
      </c>
      <c r="L2506" s="11">
        <f>HYPERLINK("https://careerviet.vn/vi/tim-viec-lam/chuyen-gia-phap-ly-quan-tri-va-phi-tin-dung-khoi-phap-che-va-tuan-thu.35C68333.html","Xem chi tiết")</f>
        <v/>
      </c>
      <c r="M2506" s="10" t="n"/>
    </row>
    <row r="2507">
      <c r="B2507" s="7" t="n">
        <v>2505</v>
      </c>
      <c r="C2507" t="inlineStr">
        <is>
          <t>NV/CV Thu Hồi Nợ Hiện Trường - Long An, Tiền Giang, Bến Tre - TA149 - ID859</t>
        </is>
      </c>
      <c r="D2507" t="inlineStr">
        <is>
          <t>Ngân Hàng TMCP Việt Nam Thịnh Vượng - VPBANK</t>
        </is>
      </c>
      <c r="E2507" t="inlineStr">
        <is>
          <t>Lương:Cạnh tranh</t>
        </is>
      </c>
      <c r="F2507" t="inlineStr">
        <is>
          <t>Long AnBến TreTiền Giang</t>
        </is>
      </c>
      <c r="G2507" t="inlineStr">
        <is>
          <t>10-04-2026</t>
        </is>
      </c>
      <c r="H2507" t="inlineStr">
        <is>
          <t>10/04/2026</t>
        </is>
      </c>
      <c r="I2507" t="inlineStr">
        <is>
          <t>17/03/2026</t>
        </is>
      </c>
      <c r="J2507" t="inlineStr">
        <is>
          <t>Ngân hàng, Tài chính / Đầu tư, Luật / Pháp lý</t>
        </is>
      </c>
      <c r="K2507" t="inlineStr">
        <is>
          <t>N/A</t>
        </is>
      </c>
      <c r="L2507" s="8">
        <f>HYPERLINK("https://careerviet.vn/vi/tim-viec-lam/nv-cv-thu-hoi-no-hien-truong-long-an-tien-giang-ben-tre-ta149-id859.35C68372.html","Xem chi tiết")</f>
        <v/>
      </c>
    </row>
    <row r="2508">
      <c r="B2508" s="9" t="n">
        <v>2506</v>
      </c>
      <c r="C2508" s="10" t="inlineStr">
        <is>
          <t>Growth Marketing Manager (HEALTHCARE &amp; MED-TECH)</t>
        </is>
      </c>
      <c r="D2508" s="10" t="inlineStr">
        <is>
          <t>Công ty CP Bệnh Viện Đa Khoa Quốc Tế Vinmec</t>
        </is>
      </c>
      <c r="E2508" s="10" t="inlineStr">
        <is>
          <t>Lương:Cạnh tranh</t>
        </is>
      </c>
      <c r="F2508" s="10" t="inlineStr">
        <is>
          <t>Hà Nội</t>
        </is>
      </c>
      <c r="G2508" s="10" t="inlineStr">
        <is>
          <t>10-04-2026</t>
        </is>
      </c>
      <c r="H2508" s="10" t="inlineStr">
        <is>
          <t>10/04/2026</t>
        </is>
      </c>
      <c r="I2508" s="10" t="inlineStr">
        <is>
          <t>17/03/2026</t>
        </is>
      </c>
      <c r="J2508" s="10" t="inlineStr">
        <is>
          <t>Tiếp thị / Marketing</t>
        </is>
      </c>
      <c r="K2508" s="10" t="inlineStr">
        <is>
          <t>3 - 5 Năm</t>
        </is>
      </c>
      <c r="L2508" s="11">
        <f>HYPERLINK("https://careerviet.vn/vi/tim-viec-lam/growth-marketing-manager-healthcare-med-tech.35C652E2.html","Xem chi tiết")</f>
        <v/>
      </c>
      <c r="M2508" s="10" t="n"/>
    </row>
    <row r="2509">
      <c r="B2509" s="7" t="n">
        <v>2507</v>
      </c>
      <c r="C2509" t="inlineStr">
        <is>
          <t>Trưởng Nhóm Kinh Doanh (Sales Leader)</t>
        </is>
      </c>
      <c r="D2509" t="inlineStr">
        <is>
          <t>CÔNG TY TNHH SINH HỌC PHÂN TỬ TRÍ VIỆT</t>
        </is>
      </c>
      <c r="E2509" t="inlineStr">
        <is>
          <t>Lương:Lên đến 30 Tr VND</t>
        </is>
      </c>
      <c r="F2509" t="inlineStr">
        <is>
          <t>Hồ Chí Minh</t>
        </is>
      </c>
      <c r="G2509" t="inlineStr">
        <is>
          <t>10-04-2026</t>
        </is>
      </c>
      <c r="H2509" t="inlineStr">
        <is>
          <t>10/04/2026</t>
        </is>
      </c>
      <c r="I2509" t="inlineStr">
        <is>
          <t>17/03/2026</t>
        </is>
      </c>
      <c r="J2509" t="inlineStr">
        <is>
          <t>Bán hàng / Kinh doanh, Quản lý điều hành, Y tế / Chăm sóc sức khỏe / Thẩm mỹ / Làm đẹp</t>
        </is>
      </c>
      <c r="K2509" t="inlineStr">
        <is>
          <t>Trên 3 Năm</t>
        </is>
      </c>
      <c r="L2509" s="8">
        <f>HYPERLINK("https://careerviet.vn/vi/tim-viec-lam/truong-nhom-kinh-doanh-sales-leader.35C68423.html","Xem chi tiết")</f>
        <v/>
      </c>
    </row>
    <row r="2510">
      <c r="B2510" s="9" t="n">
        <v>2508</v>
      </c>
      <c r="C2510" s="10" t="inlineStr">
        <is>
          <t>Đại diện Thuơng mại (Sales Representative)</t>
        </is>
      </c>
      <c r="D2510" s="10" t="inlineStr">
        <is>
          <t>CÔNG TY TNHH THƯƠNG MẠI DỊCH VỤ N.K.MAY MẮN</t>
        </is>
      </c>
      <c r="E2510" s="10" t="inlineStr">
        <is>
          <t>Lương:Cạnh tranh</t>
        </is>
      </c>
      <c r="F2510" s="10" t="inlineStr">
        <is>
          <t>Hồ Chí MinhĐà NẵngHà Nội</t>
        </is>
      </c>
      <c r="G2510" s="10" t="inlineStr">
        <is>
          <t>14-04-2026</t>
        </is>
      </c>
      <c r="H2510" s="10" t="inlineStr">
        <is>
          <t>14/04/2026</t>
        </is>
      </c>
      <c r="I2510" s="10" t="inlineStr">
        <is>
          <t>17/03/2026</t>
        </is>
      </c>
      <c r="J2510" s="10" t="inlineStr">
        <is>
          <t>Bán lẻ / Bán sỉ, Tiếp thị / Marketing, Y tế / Chăm sóc sức khỏe / Thẩm mỹ / Làm đẹp</t>
        </is>
      </c>
      <c r="K2510" s="10" t="inlineStr">
        <is>
          <t>1 - 10 Năm</t>
        </is>
      </c>
      <c r="L2510" s="11">
        <f>HYPERLINK("https://careerviet.vn/vi/tim-viec-lam/dai-dien-thuong-mai-sales-representative.35C6C6E7.html","Xem chi tiết")</f>
        <v/>
      </c>
      <c r="M2510" s="10" t="n"/>
    </row>
    <row r="2511">
      <c r="B2511" s="7" t="n">
        <v>2509</v>
      </c>
      <c r="C2511" t="inlineStr">
        <is>
          <t>Nhân viên quản lý dự án</t>
        </is>
      </c>
      <c r="D2511" t="inlineStr">
        <is>
          <t>Công ty TNHH SKT Vina</t>
        </is>
      </c>
      <c r="E2511" t="inlineStr">
        <is>
          <t>Lương:8 Tr - 18 Tr VND</t>
        </is>
      </c>
      <c r="F2511" t="inlineStr">
        <is>
          <t>Hà Nội</t>
        </is>
      </c>
      <c r="G2511" t="inlineStr">
        <is>
          <t>10-04-2026</t>
        </is>
      </c>
      <c r="H2511" t="inlineStr">
        <is>
          <t>10/04/2026</t>
        </is>
      </c>
      <c r="I2511" t="inlineStr">
        <is>
          <t>17/03/2026</t>
        </is>
      </c>
      <c r="J2511" t="inlineStr">
        <is>
          <t>Vận chuyển / Giao nhận / Kho vận, Quản lý điều hành</t>
        </is>
      </c>
      <c r="K2511" t="inlineStr">
        <is>
          <t>Lên đến 2 Năm</t>
        </is>
      </c>
      <c r="L2511" s="8">
        <f>HYPERLINK("https://careerviet.vn/vi/tim-viec-lam/nhan-vien-quan-ly-du-an.35C652C8.html","Xem chi tiết")</f>
        <v/>
      </c>
    </row>
    <row r="2512">
      <c r="B2512" s="9" t="n">
        <v>2510</v>
      </c>
      <c r="C2512" s="10" t="inlineStr">
        <is>
          <t>Collections Project Manager</t>
        </is>
      </c>
      <c r="D2512" s="10" t="inlineStr">
        <is>
          <t>FE CREDIT</t>
        </is>
      </c>
      <c r="E2512" s="10" t="inlineStr">
        <is>
          <t>Lương:Cạnh tranh</t>
        </is>
      </c>
      <c r="F2512" s="10" t="inlineStr">
        <is>
          <t>Hồ Chí Minh</t>
        </is>
      </c>
      <c r="G2512" s="10" t="inlineStr">
        <is>
          <t>10-04-2026</t>
        </is>
      </c>
      <c r="H2512" s="10" t="inlineStr">
        <is>
          <t>10/04/2026</t>
        </is>
      </c>
      <c r="I2512" s="10" t="inlineStr">
        <is>
          <t>17/03/2026</t>
        </is>
      </c>
      <c r="J2512" s="10" t="inlineStr">
        <is>
          <t>Ngân hàng, Bảo hiểm, Tài chính / Đầu tư</t>
        </is>
      </c>
      <c r="K2512" s="10" t="inlineStr">
        <is>
          <t>2 - 3 Năm</t>
        </is>
      </c>
      <c r="L2512" s="11">
        <f>HYPERLINK("https://careerviet.vn/vi/tim-viec-lam/collections-project-manager.35C68424.html","Xem chi tiết")</f>
        <v/>
      </c>
      <c r="M2512" s="10" t="n"/>
    </row>
    <row r="2513">
      <c r="B2513" s="7" t="n">
        <v>2511</v>
      </c>
      <c r="C2513" t="inlineStr">
        <is>
          <t>International Freight Forwarding Sales  (Hà Nội)</t>
        </is>
      </c>
      <c r="D2513" t="inlineStr">
        <is>
          <t>S.F. EXPRESS LTD.</t>
        </is>
      </c>
      <c r="E2513" t="inlineStr">
        <is>
          <t>Lương:20 Tr - 60 Tr VND</t>
        </is>
      </c>
      <c r="F2513" t="inlineStr">
        <is>
          <t>Hà Nội</t>
        </is>
      </c>
      <c r="G2513" t="inlineStr">
        <is>
          <t>10-04-2026</t>
        </is>
      </c>
      <c r="H2513" t="inlineStr">
        <is>
          <t>10/04/2026</t>
        </is>
      </c>
      <c r="I2513" t="inlineStr">
        <is>
          <t>17/03/2026</t>
        </is>
      </c>
      <c r="J2513" t="inlineStr">
        <is>
          <t>Xuất nhập khẩu, Hàng không, Bán hàng / Kinh doanh</t>
        </is>
      </c>
      <c r="K2513" t="inlineStr">
        <is>
          <t>2 - 3 Năm</t>
        </is>
      </c>
      <c r="L2513" s="8">
        <f>HYPERLINK("https://careerviet.vn/vi/tim-viec-lam/international-freight-forwarding-sales-ha-noi.35C683FE.html","Xem chi tiết")</f>
        <v/>
      </c>
    </row>
    <row r="2514">
      <c r="B2514" s="9" t="n">
        <v>2512</v>
      </c>
      <c r="C2514" s="10" t="inlineStr">
        <is>
          <t>GRC &amp; Security Consultant</t>
        </is>
      </c>
      <c r="D2514" s="10" t="inlineStr">
        <is>
          <t>Cổ Phần Kết Nối Nhân Tài - Talentnet Corporation</t>
        </is>
      </c>
      <c r="E2514" s="10" t="inlineStr">
        <is>
          <t>Lương:Cạnh tranh</t>
        </is>
      </c>
      <c r="F2514" s="10" t="inlineStr">
        <is>
          <t>Hồ Chí Minh</t>
        </is>
      </c>
      <c r="G2514" s="10" t="inlineStr">
        <is>
          <t>10-04-2026</t>
        </is>
      </c>
      <c r="H2514" s="10" t="inlineStr">
        <is>
          <t>10/04/2026</t>
        </is>
      </c>
      <c r="I2514" s="10" t="inlineStr">
        <is>
          <t>17/03/2026</t>
        </is>
      </c>
      <c r="J2514" s="10" t="inlineStr">
        <is>
          <t>CNTT - Phần cứng / Mạng</t>
        </is>
      </c>
      <c r="K2514" s="10" t="inlineStr">
        <is>
          <t>3 - 4 Năm</t>
        </is>
      </c>
      <c r="L2514" s="11">
        <f>HYPERLINK("https://careerviet.vn/vi/tim-viec-lam/grc-security-consultant.35C68382.html","Xem chi tiết")</f>
        <v/>
      </c>
      <c r="M2514" s="10" t="n"/>
    </row>
    <row r="2515">
      <c r="B2515" s="7" t="n">
        <v>2513</v>
      </c>
      <c r="C2515" t="inlineStr">
        <is>
          <t>NV/CV THN Hiện Trường - Vĩnh Phúc, Yên Bái, Quảng Ninh - ID593</t>
        </is>
      </c>
      <c r="D2515" t="inlineStr">
        <is>
          <t>Ngân Hàng TMCP Việt Nam Thịnh Vượng - VPBANK</t>
        </is>
      </c>
      <c r="E2515" t="inlineStr">
        <is>
          <t>Lương:Cạnh tranh</t>
        </is>
      </c>
      <c r="F2515" t="inlineStr">
        <is>
          <t>Yên BáiVĩnh PhúcQuảng Ninh</t>
        </is>
      </c>
      <c r="G2515" t="inlineStr">
        <is>
          <t>10-04-2026</t>
        </is>
      </c>
      <c r="H2515" t="inlineStr">
        <is>
          <t>10/04/2026</t>
        </is>
      </c>
      <c r="I2515" t="inlineStr">
        <is>
          <t>17/03/2026</t>
        </is>
      </c>
      <c r="J2515" t="inlineStr">
        <is>
          <t>Dịch vụ khách hàng, Ngân hàng, Tài chính / Đầu tư</t>
        </is>
      </c>
      <c r="K2515" t="inlineStr">
        <is>
          <t>N/A</t>
        </is>
      </c>
      <c r="L2515" s="8">
        <f>HYPERLINK("https://careerviet.vn/vi/tim-viec-lam/nv-cv-thn-hien-truong-vinh-phuc-yen-bai-quang-ninh-id593.35C68379.html","Xem chi tiết")</f>
        <v/>
      </c>
    </row>
    <row r="2516">
      <c r="B2516" s="9" t="n">
        <v>2514</v>
      </c>
      <c r="C2516" s="10" t="inlineStr">
        <is>
          <t>Chuyên viên xử lý vi phạm - Khối Pháp chế và Tuân thủ</t>
        </is>
      </c>
      <c r="D2516" s="10" t="inlineStr">
        <is>
          <t>Ngân hàng TMCP Đại Chúng Việt Nam - PVcomBank</t>
        </is>
      </c>
      <c r="E2516" s="10" t="inlineStr">
        <is>
          <t>Lương:Cạnh tranh</t>
        </is>
      </c>
      <c r="F2516" s="10" t="inlineStr">
        <is>
          <t>Hà Nội</t>
        </is>
      </c>
      <c r="G2516" s="10" t="inlineStr">
        <is>
          <t>10-04-2026</t>
        </is>
      </c>
      <c r="H2516" s="10" t="inlineStr">
        <is>
          <t>10/04/2026</t>
        </is>
      </c>
      <c r="I2516" s="10" t="inlineStr">
        <is>
          <t>17/03/2026</t>
        </is>
      </c>
      <c r="J2516" s="10" t="inlineStr">
        <is>
          <t>Nhân sự, Ngân hàng, Tài chính / Đầu tư</t>
        </is>
      </c>
      <c r="K2516" s="10" t="inlineStr">
        <is>
          <t>1 - 5 Năm</t>
        </is>
      </c>
      <c r="L2516" s="11">
        <f>HYPERLINK("https://careerviet.vn/vi/tim-viec-lam/chuyen-vien-xu-ly-vi-pham-khoi-phap-che-va-tuan-thu.35C68332.html","Xem chi tiết")</f>
        <v/>
      </c>
      <c r="M2516" s="10" t="n"/>
    </row>
    <row r="2517">
      <c r="B2517" s="7" t="n">
        <v>2515</v>
      </c>
      <c r="C2517" t="inlineStr">
        <is>
          <t>NHÂN VIÊN KHO – CÔNG TRÌNH KHÁNH HÒA (KCN NINH THỦY)</t>
        </is>
      </c>
      <c r="D2517" t="inlineStr">
        <is>
          <t>Công Ty CP Xây Dựng A&amp;C</t>
        </is>
      </c>
      <c r="E2517" t="inlineStr">
        <is>
          <t>Lương:Cạnh tranh</t>
        </is>
      </c>
      <c r="F2517" t="inlineStr">
        <is>
          <t>Khánh Hòa</t>
        </is>
      </c>
      <c r="G2517" t="inlineStr">
        <is>
          <t>10-04-2026</t>
        </is>
      </c>
      <c r="H2517" t="inlineStr">
        <is>
          <t>10/04/2026</t>
        </is>
      </c>
      <c r="I2517" t="inlineStr">
        <is>
          <t>17/03/2026</t>
        </is>
      </c>
      <c r="J2517" t="inlineStr">
        <is>
          <t>Kiến trúc, Xây dựng</t>
        </is>
      </c>
      <c r="K2517" t="inlineStr">
        <is>
          <t>Trên 3 Năm</t>
        </is>
      </c>
      <c r="L2517" s="8">
        <f>HYPERLINK("https://careerviet.vn/vi/tim-viec-lam/nhan-vien-kho-cong-trinh-khanh-hoa-kcn-ninh-thuy.35C682F7.html","Xem chi tiết")</f>
        <v/>
      </c>
    </row>
    <row r="2518">
      <c r="B2518" s="9" t="n">
        <v>2516</v>
      </c>
      <c r="C2518" s="10" t="inlineStr">
        <is>
          <t>Leader tuyển dụng</t>
        </is>
      </c>
      <c r="D2518" s="10" t="inlineStr">
        <is>
          <t>Công Ty TNHH TM &amp; XNK Nhất Lâm</t>
        </is>
      </c>
      <c r="E2518" s="10" t="inlineStr">
        <is>
          <t>Lương:14 Tr - 18 Tr VND</t>
        </is>
      </c>
      <c r="F2518" s="10" t="inlineStr">
        <is>
          <t>Hà Nội</t>
        </is>
      </c>
      <c r="G2518" s="10" t="inlineStr">
        <is>
          <t>10-04-2026</t>
        </is>
      </c>
      <c r="H2518" s="10" t="inlineStr">
        <is>
          <t>10/04/2026</t>
        </is>
      </c>
      <c r="I2518" s="10" t="inlineStr">
        <is>
          <t>17/03/2026</t>
        </is>
      </c>
      <c r="J2518" s="10" t="inlineStr">
        <is>
          <t>Hành chính / Thư ký, Nhân sự</t>
        </is>
      </c>
      <c r="K2518" s="10" t="inlineStr">
        <is>
          <t>1 - 2 Năm</t>
        </is>
      </c>
      <c r="L2518" s="11">
        <f>HYPERLINK("https://careerviet.vn/vi/tim-viec-lam/leader-tuyen-dung.35C6524C.html","Xem chi tiết")</f>
        <v/>
      </c>
      <c r="M2518" s="10" t="n"/>
    </row>
    <row r="2519">
      <c r="B2519" s="7" t="n">
        <v>2517</v>
      </c>
      <c r="C2519" t="inlineStr">
        <is>
          <t>[Đồng Nai_Beta Biên Hòa] Trợ Lý Quản Lý Rạp (Assistant Cinema Manager)</t>
        </is>
      </c>
      <c r="D2519" t="inlineStr">
        <is>
          <t>Beta Group</t>
        </is>
      </c>
      <c r="E2519" t="inlineStr">
        <is>
          <t>Lương:10 Tr - 14 Tr VND</t>
        </is>
      </c>
      <c r="F2519" t="inlineStr">
        <is>
          <t>Đồng Nai</t>
        </is>
      </c>
      <c r="G2519" t="inlineStr">
        <is>
          <t>10-04-2026</t>
        </is>
      </c>
      <c r="H2519" t="inlineStr">
        <is>
          <t>10/04/2026</t>
        </is>
      </c>
      <c r="I2519" t="inlineStr">
        <is>
          <t>17/03/2026</t>
        </is>
      </c>
      <c r="J2519" t="inlineStr">
        <is>
          <t>Dịch vụ khách hàng, Nhà hàng / Khách sạn, Bán lẻ / Bán sỉ</t>
        </is>
      </c>
      <c r="K2519" t="inlineStr">
        <is>
          <t>3 - 5 Năm</t>
        </is>
      </c>
      <c r="L2519" s="8">
        <f>HYPERLINK("https://careerviet.vn/vi/tim-viec-lam/dong-nai_beta-bien-hoa-tro-ly-quan-ly-rap-assistant-cinema-manager.35C68374.html","Xem chi tiết")</f>
        <v/>
      </c>
    </row>
    <row r="2520">
      <c r="B2520" s="9" t="n">
        <v>2518</v>
      </c>
      <c r="C2520" s="10" t="inlineStr">
        <is>
          <t>Trưởng nhóm Phân tích &amp; Chiến lược Thu hồi nợ</t>
        </is>
      </c>
      <c r="D2520" s="10" t="inlineStr">
        <is>
          <t>LOTTE FINANCE VIETNAM</t>
        </is>
      </c>
      <c r="E2520" s="10" t="inlineStr">
        <is>
          <t>Lương:Cạnh tranh</t>
        </is>
      </c>
      <c r="F2520" s="10" t="inlineStr">
        <is>
          <t>Hồ Chí Minh</t>
        </is>
      </c>
      <c r="G2520" s="10" t="inlineStr">
        <is>
          <t>10-04-2026</t>
        </is>
      </c>
      <c r="H2520" s="10" t="inlineStr">
        <is>
          <t>10/04/2026</t>
        </is>
      </c>
      <c r="I2520" s="10" t="inlineStr">
        <is>
          <t>17/03/2026</t>
        </is>
      </c>
      <c r="J2520" s="10" t="inlineStr">
        <is>
          <t>Bán hàng / Kinh doanh, Ngân hàng, Tài chính / Đầu tư</t>
        </is>
      </c>
      <c r="K2520" s="10" t="inlineStr">
        <is>
          <t>Trên 3 Năm</t>
        </is>
      </c>
      <c r="L2520" s="11">
        <f>HYPERLINK("https://careerviet.vn/vi/tim-viec-lam/truong-nhom-phan-tich-chien-luoc-thu-hoi-no.35C682E3.html","Xem chi tiết")</f>
        <v/>
      </c>
      <c r="M2520" s="10" t="n"/>
    </row>
    <row r="2521">
      <c r="B2521" s="7" t="n">
        <v>2519</v>
      </c>
      <c r="C2521" t="inlineStr">
        <is>
          <t>Kỹ sư luyện kim và đúc kim loại/Metallurgical &amp; Foundry Engineer</t>
        </is>
      </c>
      <c r="D2521" t="inlineStr">
        <is>
          <t>Công ty TNHH Sản Phẩm Công Nghiệp Toshiba Asia</t>
        </is>
      </c>
      <c r="E2521" t="inlineStr">
        <is>
          <t>Lương:Cạnh tranh</t>
        </is>
      </c>
      <c r="F2521" t="inlineStr">
        <is>
          <t>Đồng Nai</t>
        </is>
      </c>
      <c r="G2521" t="inlineStr">
        <is>
          <t>10-04-2026</t>
        </is>
      </c>
      <c r="H2521" t="inlineStr">
        <is>
          <t>10/04/2026</t>
        </is>
      </c>
      <c r="I2521" t="inlineStr">
        <is>
          <t>17/03/2026</t>
        </is>
      </c>
      <c r="J2521" t="inlineStr">
        <is>
          <t>Cơ khí / Ô tô / Tự động hóa, Điện / Điện tử / Điện lạnh / Điện công nghiệp</t>
        </is>
      </c>
      <c r="K2521" t="inlineStr">
        <is>
          <t>Trên 1 Năm</t>
        </is>
      </c>
      <c r="L2521" s="8">
        <f>HYPERLINK("https://careerviet.vn/vi/tim-viec-lam/ky-su-luyen-kim-va-duc-kim-loai-metallurgical-foundry-engineer.35C68401.html","Xem chi tiết")</f>
        <v/>
      </c>
    </row>
    <row r="2522">
      <c r="B2522" s="9" t="n">
        <v>2520</v>
      </c>
      <c r="C2522" s="10" t="inlineStr">
        <is>
          <t>Trình Dược Viên Kênh Nhà Thuốc (OTC) - Ngành hàng Dược phẩm - Hà Nội/Đà Nẵng/Hồ Chí Minh</t>
        </is>
      </c>
      <c r="D2522" s="10" t="inlineStr">
        <is>
          <t>Abbott</t>
        </is>
      </c>
      <c r="E2522" s="10" t="inlineStr">
        <is>
          <t>Lương:Cạnh tranh</t>
        </is>
      </c>
      <c r="F2522" s="10" t="inlineStr">
        <is>
          <t>Hà NộiĐà NẵngHồ Chí Minh</t>
        </is>
      </c>
      <c r="G2522" s="10" t="inlineStr">
        <is>
          <t>10-04-2026</t>
        </is>
      </c>
      <c r="H2522" s="10" t="inlineStr">
        <is>
          <t>10/04/2026</t>
        </is>
      </c>
      <c r="I2522" s="10" t="inlineStr">
        <is>
          <t>17/03/2026</t>
        </is>
      </c>
      <c r="J2522" s="10" t="inlineStr">
        <is>
          <t>Dược phẩm/ Hóa Mỹ Phẩm</t>
        </is>
      </c>
      <c r="K2522" s="10" t="inlineStr">
        <is>
          <t>1 - 3 Năm</t>
        </is>
      </c>
      <c r="L2522" s="11">
        <f>HYPERLINK("https://careerviet.vn/vi/tim-viec-lam/trinh-duoc-vien-kenh-nha-thuoc-otc-nganh-hang-duoc-pham-ha-noi-da-nang-ho-chi-minh.35C68354.html","Xem chi tiết")</f>
        <v/>
      </c>
      <c r="M2522" s="10" t="n"/>
    </row>
    <row r="2523">
      <c r="B2523" s="7" t="n">
        <v>2521</v>
      </c>
      <c r="C2523" t="inlineStr">
        <is>
          <t>127652 - Freight Forwarding Manager (to-be General Manager)- Logistics</t>
        </is>
      </c>
      <c r="D2523" t="inlineStr">
        <is>
          <t>RGF HR Agent Vietnam Co., LTD</t>
        </is>
      </c>
      <c r="E2523" t="inlineStr">
        <is>
          <t>Lương:30 Tr - 40 Tr VND</t>
        </is>
      </c>
      <c r="F2523" t="inlineStr">
        <is>
          <t>Hồ Chí Minh</t>
        </is>
      </c>
      <c r="G2523" t="inlineStr">
        <is>
          <t>10-04-2026</t>
        </is>
      </c>
      <c r="H2523" t="inlineStr">
        <is>
          <t>10/04/2026</t>
        </is>
      </c>
      <c r="I2523" t="inlineStr">
        <is>
          <t>17/03/2026</t>
        </is>
      </c>
      <c r="J2523" t="inlineStr">
        <is>
          <t>Bán hàng / Kinh doanh, Vận chuyển / Giao nhận / Kho vận, Ngành khác</t>
        </is>
      </c>
      <c r="K2523" t="inlineStr">
        <is>
          <t>Trên 10 Năm</t>
        </is>
      </c>
      <c r="L2523" s="8">
        <f>HYPERLINK("https://careerviet.vn/vi/tim-viec-lam/127652-freight-forwarding-manager-to-be-general-manager-logistics.35C6842E.html","Xem chi tiết")</f>
        <v/>
      </c>
    </row>
    <row r="2524">
      <c r="B2524" s="9" t="n">
        <v>2522</v>
      </c>
      <c r="C2524" s="10" t="inlineStr">
        <is>
          <t>CV/CVC Xử Lý Nợ Tố Tụng - Quảng Nam, An Giang, Vĩnh Long - ID595</t>
        </is>
      </c>
      <c r="D2524" s="10" t="inlineStr">
        <is>
          <t>Ngân Hàng TMCP Việt Nam Thịnh Vượng - VPBANK</t>
        </is>
      </c>
      <c r="E2524" s="10" t="inlineStr">
        <is>
          <t>Lương:Cạnh tranh</t>
        </is>
      </c>
      <c r="F2524" s="10" t="inlineStr">
        <is>
          <t>Quảng NamAn GiangVĩnh Long</t>
        </is>
      </c>
      <c r="G2524" s="10" t="inlineStr">
        <is>
          <t>10-04-2026</t>
        </is>
      </c>
      <c r="H2524" s="10" t="inlineStr">
        <is>
          <t>10/04/2026</t>
        </is>
      </c>
      <c r="I2524" s="10" t="inlineStr">
        <is>
          <t>17/03/2026</t>
        </is>
      </c>
      <c r="J2524" s="10" t="inlineStr">
        <is>
          <t>Luật / Pháp lý, Ngân hàng, Tài chính / Đầu tư</t>
        </is>
      </c>
      <c r="K2524" s="10" t="inlineStr">
        <is>
          <t>N/A</t>
        </is>
      </c>
      <c r="L2524" s="11">
        <f>HYPERLINK("https://careerviet.vn/vi/tim-viec-lam/cv-cvc-xu-ly-no-to-tung-quang-nam-an-giang-vinh-long-id595.35C68348.html","Xem chi tiết")</f>
        <v/>
      </c>
      <c r="M2524" s="10" t="n"/>
    </row>
    <row r="2525">
      <c r="B2525" s="7" t="n">
        <v>2523</v>
      </c>
      <c r="C2525" t="inlineStr">
        <is>
          <t>Chuyên gia quản lý quy trình - Phòng Quản lý chất lượng dịch vụ - Khối Vận hành</t>
        </is>
      </c>
      <c r="D2525" t="inlineStr">
        <is>
          <t>Ngân hàng TMCP Đại Chúng Việt Nam - PVcomBank</t>
        </is>
      </c>
      <c r="E2525" t="inlineStr">
        <is>
          <t>Lương:Cạnh tranh</t>
        </is>
      </c>
      <c r="F2525" t="inlineStr">
        <is>
          <t>Hà Nội</t>
        </is>
      </c>
      <c r="G2525" t="inlineStr">
        <is>
          <t>10-04-2026</t>
        </is>
      </c>
      <c r="H2525" t="inlineStr">
        <is>
          <t>10/04/2026</t>
        </is>
      </c>
      <c r="I2525" t="inlineStr">
        <is>
          <t>17/03/2026</t>
        </is>
      </c>
      <c r="J2525" t="inlineStr">
        <is>
          <t>Ngân hàng</t>
        </is>
      </c>
      <c r="K2525" t="inlineStr">
        <is>
          <t>3 - 10 Năm</t>
        </is>
      </c>
      <c r="L2525" s="8">
        <f>HYPERLINK("https://careerviet.vn/vi/tim-viec-lam/chuyen-gia-quan-ly-quy-trinh-phong-quan-ly-chat-luong-dich-vu-khoi-van-hanh.35C652C0.html","Xem chi tiết")</f>
        <v/>
      </c>
    </row>
    <row r="2526">
      <c r="B2526" s="9" t="n">
        <v>2524</v>
      </c>
      <c r="C2526" s="10" t="inlineStr">
        <is>
          <t>MIỀN BẮC - QUẢN LÝ KHU VỰC (ANM)</t>
        </is>
      </c>
      <c r="D2526" s="10" t="inlineStr">
        <is>
          <t>Công Ty TNHH BEST Logistics Technology (Việt Nam)</t>
        </is>
      </c>
      <c r="E2526" s="10" t="inlineStr">
        <is>
          <t>Lương:22 Tr - 40 Tr VND</t>
        </is>
      </c>
      <c r="F2526" s="10" t="inlineStr">
        <is>
          <t>Bắc Giang</t>
        </is>
      </c>
      <c r="G2526" s="10" t="inlineStr">
        <is>
          <t>10-04-2026</t>
        </is>
      </c>
      <c r="H2526" s="10" t="inlineStr">
        <is>
          <t>10/04/2026</t>
        </is>
      </c>
      <c r="I2526" s="10" t="inlineStr">
        <is>
          <t>17/03/2026</t>
        </is>
      </c>
      <c r="J2526" s="10" t="inlineStr">
        <is>
          <t>Vận chuyển / Giao nhận / Kho vận</t>
        </is>
      </c>
      <c r="K2526" s="10" t="inlineStr">
        <is>
          <t>1 - 5 Năm</t>
        </is>
      </c>
      <c r="L2526" s="11">
        <f>HYPERLINK("https://careerviet.vn/vi/tim-viec-lam/mien-bac-quan-ly-khu-vuc-anm.35C652E1.html","Xem chi tiết")</f>
        <v/>
      </c>
      <c r="M2526" s="10" t="n"/>
    </row>
    <row r="2527">
      <c r="B2527" s="7" t="n">
        <v>2525</v>
      </c>
      <c r="C2527" t="inlineStr">
        <is>
          <t>LIVESTREAM OPERATIONS EXECUTIVE</t>
        </is>
      </c>
      <c r="D2527" t="inlineStr">
        <is>
          <t>Vascara Group</t>
        </is>
      </c>
      <c r="E2527" t="inlineStr">
        <is>
          <t>Lương:Cạnh tranh</t>
        </is>
      </c>
      <c r="F2527" t="inlineStr">
        <is>
          <t>Hồ Chí Minh</t>
        </is>
      </c>
      <c r="G2527" t="inlineStr">
        <is>
          <t>10-04-2026</t>
        </is>
      </c>
      <c r="H2527" t="inlineStr">
        <is>
          <t>10/04/2026</t>
        </is>
      </c>
      <c r="I2527" t="inlineStr">
        <is>
          <t>17/03/2026</t>
        </is>
      </c>
      <c r="J2527" t="inlineStr">
        <is>
          <t>Tiếp thị / Marketing, Thương mại điện tử, Quảng cáo / Đối ngoại / Truyền Thông</t>
        </is>
      </c>
      <c r="K2527" t="inlineStr">
        <is>
          <t>1 - 2 Năm</t>
        </is>
      </c>
      <c r="L2527" s="8">
        <f>HYPERLINK("https://careerviet.vn/vi/tim-viec-lam/livestream-operations-executive.35C68336.html","Xem chi tiết")</f>
        <v/>
      </c>
    </row>
    <row r="2528">
      <c r="B2528" s="9" t="n">
        <v>2526</v>
      </c>
      <c r="C2528" s="10" t="inlineStr">
        <is>
          <t>Kế Toán Trưởng</t>
        </is>
      </c>
      <c r="D2528" s="10" t="inlineStr">
        <is>
          <t>CÔNG TY TNHH MỘT THÀNH VIÊN GẠCH TUYNEL HIẾU THẢO</t>
        </is>
      </c>
      <c r="E2528" s="10" t="inlineStr">
        <is>
          <t>Lương:25 Tr - 35 Tr VND</t>
        </is>
      </c>
      <c r="F2528" s="10" t="inlineStr">
        <is>
          <t>Bình Dương</t>
        </is>
      </c>
      <c r="G2528" s="10" t="inlineStr">
        <is>
          <t>10-04-2026</t>
        </is>
      </c>
      <c r="H2528" s="10" t="inlineStr">
        <is>
          <t>10/04/2026</t>
        </is>
      </c>
      <c r="I2528" s="10" t="inlineStr">
        <is>
          <t>17/03/2026</t>
        </is>
      </c>
      <c r="J2528" s="10" t="inlineStr">
        <is>
          <t>Kế toán / Kiểm toán, Tài chính / Đầu tư</t>
        </is>
      </c>
      <c r="K2528" s="10" t="inlineStr">
        <is>
          <t>3 - 5 Năm</t>
        </is>
      </c>
      <c r="L2528" s="11">
        <f>HYPERLINK("https://careerviet.vn/vi/tim-viec-lam/ke-toan-truong.35C67FB1.html","Xem chi tiết")</f>
        <v/>
      </c>
      <c r="M2528" s="10" t="n"/>
    </row>
    <row r="2529">
      <c r="B2529" s="7" t="n">
        <v>2527</v>
      </c>
      <c r="C2529" t="inlineStr">
        <is>
          <t>PM PART LEADER</t>
        </is>
      </c>
      <c r="D2529" t="inlineStr">
        <is>
          <t>CÔNG TY TNHH CS BEARING VIỆT NAM</t>
        </is>
      </c>
      <c r="E2529" t="inlineStr">
        <is>
          <t>Lương:15 Tr - 30 Tr VND</t>
        </is>
      </c>
      <c r="F2529" t="inlineStr">
        <is>
          <t>Bà Rịa - Vũng Tàu</t>
        </is>
      </c>
      <c r="G2529" t="inlineStr">
        <is>
          <t>10-04-2026</t>
        </is>
      </c>
      <c r="H2529" t="inlineStr">
        <is>
          <t>10/04/2026</t>
        </is>
      </c>
      <c r="I2529" t="inlineStr">
        <is>
          <t>17/03/2026</t>
        </is>
      </c>
      <c r="J2529" t="inlineStr">
        <is>
          <t>Quản lý điều hành, Cơ khí / Ô tô / Tự động hóa, Sản xuất / Vận hành sản xuất</t>
        </is>
      </c>
      <c r="K2529" t="inlineStr">
        <is>
          <t>3 - 4 Năm</t>
        </is>
      </c>
      <c r="L2529" s="8">
        <f>HYPERLINK("https://careerviet.vn/vi/tim-viec-lam/pm-part-leader.35C683FC.html","Xem chi tiết")</f>
        <v/>
      </c>
    </row>
    <row r="2530">
      <c r="B2530" s="9" t="n">
        <v>2528</v>
      </c>
      <c r="C2530" s="10" t="inlineStr">
        <is>
          <t>QMS Engineer - Kỹ sư QMS</t>
        </is>
      </c>
      <c r="D2530" s="10" t="inlineStr">
        <is>
          <t>Công ty TNHH Vexos Việt Nam</t>
        </is>
      </c>
      <c r="E2530" s="10" t="inlineStr">
        <is>
          <t>Lương:Cạnh tranh</t>
        </is>
      </c>
      <c r="F2530" s="10" t="inlineStr">
        <is>
          <t>Hồ Chí Minh</t>
        </is>
      </c>
      <c r="G2530" s="10" t="inlineStr">
        <is>
          <t>26-03-2026</t>
        </is>
      </c>
      <c r="H2530" s="10" t="inlineStr">
        <is>
          <t>26/03/2026</t>
        </is>
      </c>
      <c r="I2530" s="10" t="inlineStr">
        <is>
          <t>17/03/2026</t>
        </is>
      </c>
      <c r="J2530" s="10" t="inlineStr">
        <is>
          <t>Vận chuyển / Giao nhận / Kho vận, Xuất nhập khẩu, Sản xuất / Vận hành sản xuất</t>
        </is>
      </c>
      <c r="K2530" s="10" t="inlineStr">
        <is>
          <t>3 - 10 Năm</t>
        </is>
      </c>
      <c r="L2530" s="11">
        <f>HYPERLINK("https://careerviet.vn/vi/tim-viec-lam/qms-engineer-ky-su-qms.35C69BD8.html","Xem chi tiết")</f>
        <v/>
      </c>
      <c r="M2530" s="10" t="n"/>
    </row>
    <row r="2531">
      <c r="B2531" s="7" t="n">
        <v>2529</v>
      </c>
      <c r="C2531" t="inlineStr">
        <is>
          <t>Kế Toán Tổng Hợp (Mạnh Thuế)</t>
        </is>
      </c>
      <c r="D2531" t="inlineStr">
        <is>
          <t>Công Ty TNHH Thương Mại Dịch Vụ Xuất Nhập Khẩu The Vigo</t>
        </is>
      </c>
      <c r="E2531" t="inlineStr">
        <is>
          <t>Lương:20 Tr - 30 Tr VND</t>
        </is>
      </c>
      <c r="F2531" t="inlineStr">
        <is>
          <t>Hồ Chí Minh</t>
        </is>
      </c>
      <c r="G2531" t="inlineStr">
        <is>
          <t>10-04-2026</t>
        </is>
      </c>
      <c r="H2531" t="inlineStr">
        <is>
          <t>10/04/2026</t>
        </is>
      </c>
      <c r="I2531" t="inlineStr">
        <is>
          <t>17/03/2026</t>
        </is>
      </c>
      <c r="J2531" t="inlineStr">
        <is>
          <t>Kế toán / Kiểm toán</t>
        </is>
      </c>
      <c r="K2531" t="inlineStr">
        <is>
          <t>3 - 5 Năm</t>
        </is>
      </c>
      <c r="L2531" s="8">
        <f>HYPERLINK("https://careerviet.vn/vi/tim-viec-lam/ke-toan-tong-hop-manh-thue.35C67F24.html","Xem chi tiết")</f>
        <v/>
      </c>
    </row>
    <row r="2532">
      <c r="B2532" s="9" t="n">
        <v>2530</v>
      </c>
      <c r="C2532" s="10" t="inlineStr">
        <is>
          <t>Trưởng ban kiểm toán</t>
        </is>
      </c>
      <c r="D2532" s="10" t="inlineStr">
        <is>
          <t>Công Ty Cổ Phần Đức Mạnh</t>
        </is>
      </c>
      <c r="E2532" s="10" t="inlineStr">
        <is>
          <t>Lương:Cạnh tranh</t>
        </is>
      </c>
      <c r="F2532" s="10" t="inlineStr">
        <is>
          <t>Đà Nẵng</t>
        </is>
      </c>
      <c r="G2532" s="10" t="inlineStr">
        <is>
          <t>31-03-2026</t>
        </is>
      </c>
      <c r="H2532" s="10" t="inlineStr">
        <is>
          <t>31/03/2026</t>
        </is>
      </c>
      <c r="I2532" s="10" t="inlineStr">
        <is>
          <t>17/03/2026</t>
        </is>
      </c>
      <c r="J2532" s="10" t="inlineStr">
        <is>
          <t>Kế toán / Kiểm toán</t>
        </is>
      </c>
      <c r="K2532" s="10" t="inlineStr">
        <is>
          <t>5 - 7 Năm</t>
        </is>
      </c>
      <c r="L2532" s="11">
        <f>HYPERLINK("https://careerviet.vn/vi/tim-viec-lam/truong-ban-kiem-toan.35C69A02.html","Xem chi tiết")</f>
        <v/>
      </c>
      <c r="M2532" s="10" t="n"/>
    </row>
    <row r="2533">
      <c r="B2533" s="7" t="n">
        <v>2531</v>
      </c>
      <c r="C2533" t="inlineStr">
        <is>
          <t>Quản Lý Cửa Hàng tại Yên Lạc - Vĩnh Phúc</t>
        </is>
      </c>
      <c r="D2533" t="inlineStr">
        <is>
          <t>CÔNG TY CỔ PHẦN VUA NỆM</t>
        </is>
      </c>
      <c r="E2533" t="inlineStr">
        <is>
          <t>Lương:12 Tr - 15 Tr VND</t>
        </is>
      </c>
      <c r="F2533" t="inlineStr">
        <is>
          <t>Vĩnh Phúc</t>
        </is>
      </c>
      <c r="G2533" t="inlineStr">
        <is>
          <t>28-03-2026</t>
        </is>
      </c>
      <c r="H2533" t="inlineStr">
        <is>
          <t>28/03/2026</t>
        </is>
      </c>
      <c r="I2533" t="inlineStr">
        <is>
          <t>17/03/2026</t>
        </is>
      </c>
      <c r="J2533" t="inlineStr">
        <is>
          <t>Bán lẻ / Bán sỉ, Bán hàng / Kinh doanh, Tư vấn</t>
        </is>
      </c>
      <c r="K2533" t="inlineStr">
        <is>
          <t>2 - 3 Năm</t>
        </is>
      </c>
      <c r="L2533" s="8">
        <f>HYPERLINK("https://careerviet.vn/vi/tim-viec-lam/quan-ly-cua-hang-tai-yen-lac-vinh-phuc.35C69B17.html","Xem chi tiết")</f>
        <v/>
      </c>
    </row>
    <row r="2534">
      <c r="B2534" s="9" t="n">
        <v>2532</v>
      </c>
      <c r="C2534" s="10" t="inlineStr">
        <is>
          <t>Chuyên viên Video Editor</t>
        </is>
      </c>
      <c r="D2534" s="10" t="inlineStr">
        <is>
          <t>CÔNG TY TNHH WIR GROUP</t>
        </is>
      </c>
      <c r="E2534" s="10" t="inlineStr">
        <is>
          <t>Lương:14 Tr - 16 Tr VND</t>
        </is>
      </c>
      <c r="F2534" s="10" t="inlineStr">
        <is>
          <t>Hà Nội</t>
        </is>
      </c>
      <c r="G2534" s="10" t="inlineStr">
        <is>
          <t>11-03-2026</t>
        </is>
      </c>
      <c r="H2534" s="10" t="inlineStr">
        <is>
          <t>28/02/2026</t>
        </is>
      </c>
      <c r="I2534" s="10" t="inlineStr">
        <is>
          <t>17/03/2026</t>
        </is>
      </c>
      <c r="J2534" s="10" t="inlineStr">
        <is>
          <t>Mỹ thuật / Nghệ thuật / Thiết kế, Truyền hình / Báo chí / Biên tập, Quảng cáo / Đối ngoại / Truyền Thông</t>
        </is>
      </c>
      <c r="K2534" s="10" t="inlineStr">
        <is>
          <t>2 - 3 Năm</t>
        </is>
      </c>
      <c r="L2534" s="11">
        <f>HYPERLINK("https://careerviet.vn/vi/tim-viec-lam/chuyen-vien-video-editor.35C69BAF.html","Xem chi tiết")</f>
        <v/>
      </c>
      <c r="M2534" s="10" t="n"/>
    </row>
    <row r="2535">
      <c r="B2535" s="7" t="n">
        <v>2533</v>
      </c>
      <c r="C2535" t="inlineStr">
        <is>
          <t>ACCOUNT MANAGER</t>
        </is>
      </c>
      <c r="D2535" t="inlineStr">
        <is>
          <t>CÔNG TY TNHH INZI VINA</t>
        </is>
      </c>
      <c r="E2535" t="inlineStr">
        <is>
          <t>Lương:Cạnh tranh</t>
        </is>
      </c>
      <c r="F2535" t="inlineStr">
        <is>
          <t>Đồng Nai</t>
        </is>
      </c>
      <c r="G2535" t="inlineStr">
        <is>
          <t>30-04-2026</t>
        </is>
      </c>
      <c r="H2535" t="inlineStr">
        <is>
          <t>30/04/2026</t>
        </is>
      </c>
      <c r="I2535" t="inlineStr">
        <is>
          <t>17/03/2026</t>
        </is>
      </c>
      <c r="J2535" t="inlineStr">
        <is>
          <t>Kế toán / Kiểm toán, Luật / Pháp lý</t>
        </is>
      </c>
      <c r="K2535" t="inlineStr">
        <is>
          <t>Trên 5 Năm</t>
        </is>
      </c>
      <c r="L2535" s="8">
        <f>HYPERLINK("https://careerviet.vn/vi/tim-viec-lam/account-manager.35C68976.html","Xem chi tiết")</f>
        <v/>
      </c>
    </row>
    <row r="2536">
      <c r="B2536" s="9" t="n">
        <v>2534</v>
      </c>
      <c r="C2536" s="10" t="inlineStr">
        <is>
          <t>Chuyên viên tuyển dụng</t>
        </is>
      </c>
      <c r="D2536" s="10" t="inlineStr">
        <is>
          <t>BỆNH VIỆN ĐA KHOA PHƯƠNG ĐÔNG</t>
        </is>
      </c>
      <c r="E2536" s="10" t="inlineStr">
        <is>
          <t>Lương:10 Tr - 15 Tr VND</t>
        </is>
      </c>
      <c r="F2536" s="10" t="inlineStr">
        <is>
          <t>Hà Nội</t>
        </is>
      </c>
      <c r="G2536" s="10" t="inlineStr">
        <is>
          <t>31-03-2026</t>
        </is>
      </c>
      <c r="H2536" s="10" t="inlineStr">
        <is>
          <t>31/03/2026</t>
        </is>
      </c>
      <c r="I2536" s="10" t="inlineStr">
        <is>
          <t>17/03/2026</t>
        </is>
      </c>
      <c r="J2536" s="10" t="inlineStr">
        <is>
          <t>Nhân sự, Y tế / Chăm sóc sức khỏe / Thẩm mỹ / Làm đẹp</t>
        </is>
      </c>
      <c r="K2536" s="10" t="inlineStr">
        <is>
          <t>2 - 4 Năm</t>
        </is>
      </c>
      <c r="L2536" s="11">
        <f>HYPERLINK("https://careerviet.vn/vi/tim-viec-lam/chuyen-vien-tuyen-dung.35C69A8C.html","Xem chi tiết")</f>
        <v/>
      </c>
      <c r="M2536" s="10" t="n"/>
    </row>
    <row r="2537">
      <c r="B2537" s="7" t="n">
        <v>2535</v>
      </c>
      <c r="C2537" t="inlineStr">
        <is>
          <t>127647 - Site Supervisor / Construction Supervisor - Construction</t>
        </is>
      </c>
      <c r="D2537" t="inlineStr">
        <is>
          <t>RGF HR Agent Vietnam Co., LTD</t>
        </is>
      </c>
      <c r="E2537" t="inlineStr">
        <is>
          <t>Lương:15 Tr - 21 Tr VND</t>
        </is>
      </c>
      <c r="F2537" t="inlineStr">
        <is>
          <t>Hồ Chí Minh</t>
        </is>
      </c>
      <c r="G2537" t="inlineStr">
        <is>
          <t>11-03-2026</t>
        </is>
      </c>
      <c r="H2537" t="inlineStr">
        <is>
          <t>12/03/2026</t>
        </is>
      </c>
      <c r="I2537" t="inlineStr">
        <is>
          <t>17/03/2026</t>
        </is>
      </c>
      <c r="J2537" t="inlineStr">
        <is>
          <t>Xây dựng, Kiến trúc</t>
        </is>
      </c>
      <c r="K2537" t="inlineStr">
        <is>
          <t>3 - 5 Năm</t>
        </is>
      </c>
      <c r="L2537" s="8">
        <f>HYPERLINK("https://careerviet.vn/vi/tim-viec-lam/127647-site-supervisor-construction-supervisor-construction.35C69AFC.html","Xem chi tiết")</f>
        <v/>
      </c>
    </row>
    <row r="2538">
      <c r="B2538" s="9" t="n">
        <v>2536</v>
      </c>
      <c r="C2538" s="10" t="inlineStr">
        <is>
          <t>Trưởng Bộ phận Vận hành ATM</t>
        </is>
      </c>
      <c r="D2538" s="10" t="inlineStr">
        <is>
          <t>BVBank - Ngân hàng Bản Việt</t>
        </is>
      </c>
      <c r="E2538" s="10" t="inlineStr">
        <is>
          <t>Lương:Cạnh tranh</t>
        </is>
      </c>
      <c r="F2538" s="10" t="inlineStr">
        <is>
          <t>Hồ Chí Minh</t>
        </is>
      </c>
      <c r="G2538" s="10" t="inlineStr">
        <is>
          <t>25-03-2026</t>
        </is>
      </c>
      <c r="H2538" s="10" t="inlineStr">
        <is>
          <t>25/03/2026</t>
        </is>
      </c>
      <c r="I2538" s="10" t="inlineStr">
        <is>
          <t>17/03/2026</t>
        </is>
      </c>
      <c r="J2538" s="10" t="inlineStr">
        <is>
          <t>Ngân hàng, Tài chính / Đầu tư</t>
        </is>
      </c>
      <c r="K2538" s="10" t="inlineStr">
        <is>
          <t>3 - 4 Năm</t>
        </is>
      </c>
      <c r="L2538" s="11">
        <f>HYPERLINK("https://careerviet.vn/vi/tim-viec-lam/truong-bo-phan-van-hanh-atm.35C69A2A.html","Xem chi tiết")</f>
        <v/>
      </c>
      <c r="M2538" s="10" t="n"/>
    </row>
    <row r="2539">
      <c r="B2539" s="7" t="n">
        <v>2537</v>
      </c>
      <c r="C2539" t="inlineStr">
        <is>
          <t>[DSWL] Nhân viên Kinh doanh - Kênh Y tế</t>
        </is>
      </c>
      <c r="D2539" t="inlineStr">
        <is>
          <t>CÔNG TY TNHH DAESANG VIỆT NAM</t>
        </is>
      </c>
      <c r="E2539" t="inlineStr">
        <is>
          <t>Lương:Cạnh tranh</t>
        </is>
      </c>
      <c r="F2539" t="inlineStr">
        <is>
          <t>Hà Nội</t>
        </is>
      </c>
      <c r="G2539" t="inlineStr">
        <is>
          <t>31-03-2026</t>
        </is>
      </c>
      <c r="H2539" t="inlineStr">
        <is>
          <t>31/03/2026</t>
        </is>
      </c>
      <c r="I2539" t="inlineStr">
        <is>
          <t>17/03/2026</t>
        </is>
      </c>
      <c r="J2539" t="inlineStr">
        <is>
          <t>Bán hàng / Kinh doanh, Bán lẻ / Bán sỉ, Y tế / Chăm sóc sức khỏe / Thẩm mỹ / Làm đẹp</t>
        </is>
      </c>
      <c r="K2539" t="inlineStr">
        <is>
          <t>3 - 5 Năm</t>
        </is>
      </c>
      <c r="L2539" s="8">
        <f>HYPERLINK("https://careerviet.vn/vi/tim-viec-lam/dswl-nhan-vien-kinh-doanh-kenh-y-te.35C69AEF.html","Xem chi tiết")</f>
        <v/>
      </c>
    </row>
    <row r="2540">
      <c r="B2540" s="9" t="n">
        <v>2538</v>
      </c>
      <c r="C2540" s="10" t="inlineStr">
        <is>
          <t>128162 - Corporate Communication Manager - Real Estate</t>
        </is>
      </c>
      <c r="D2540" s="10" t="inlineStr">
        <is>
          <t>RGF HR Agent Vietnam Co., LTD</t>
        </is>
      </c>
      <c r="E2540" s="10" t="inlineStr">
        <is>
          <t>Lương:Cạnh tranh</t>
        </is>
      </c>
      <c r="F2540" s="10" t="inlineStr">
        <is>
          <t>Hồ Chí Minh</t>
        </is>
      </c>
      <c r="G2540" s="10" t="inlineStr">
        <is>
          <t>11-03-2026</t>
        </is>
      </c>
      <c r="H2540" s="10" t="inlineStr">
        <is>
          <t>12/03/2026</t>
        </is>
      </c>
      <c r="I2540" s="10" t="inlineStr">
        <is>
          <t>17/03/2026</t>
        </is>
      </c>
      <c r="J2540" s="10" t="inlineStr">
        <is>
          <t>Bán hàng / Kinh doanh, Bất động sản</t>
        </is>
      </c>
      <c r="K2540" s="10" t="inlineStr">
        <is>
          <t>5 - 7 Năm</t>
        </is>
      </c>
      <c r="L2540" s="11">
        <f>HYPERLINK("https://careerviet.vn/vi/tim-viec-lam/128162-corporate-communication-manager-real-estate.35C69AC7.html","Xem chi tiết")</f>
        <v/>
      </c>
      <c r="M2540" s="10" t="n"/>
    </row>
    <row r="2541">
      <c r="B2541" s="7" t="n">
        <v>2539</v>
      </c>
      <c r="C2541" t="inlineStr">
        <is>
          <t>Nhân viên bán hàng tại Thành phố Bắc Giang (cũ)</t>
        </is>
      </c>
      <c r="D2541" t="inlineStr">
        <is>
          <t>Công Ty TNHH T.M.G</t>
        </is>
      </c>
      <c r="E2541" t="inlineStr">
        <is>
          <t>Lương:6,0 Tr - 6,9 Tr VND</t>
        </is>
      </c>
      <c r="F2541" t="inlineStr">
        <is>
          <t>Bắc Giang</t>
        </is>
      </c>
      <c r="G2541" t="inlineStr">
        <is>
          <t>28-04-2026</t>
        </is>
      </c>
      <c r="H2541" t="inlineStr">
        <is>
          <t>28/04/2026</t>
        </is>
      </c>
      <c r="I2541" t="inlineStr">
        <is>
          <t>17/03/2026</t>
        </is>
      </c>
      <c r="J2541" t="inlineStr">
        <is>
          <t>Tiếp thị / Marketing, Bán lẻ / Bán sỉ, Bán hàng / Kinh doanh</t>
        </is>
      </c>
      <c r="K2541" t="inlineStr">
        <is>
          <t>N/A</t>
        </is>
      </c>
      <c r="L2541" s="8">
        <f>HYPERLINK("https://careerviet.vn/vi/tim-viec-lam/nhan-vien-ban-hang-tai-thanh-pho-bac-giang-cu.35C69B3D.html","Xem chi tiết")</f>
        <v/>
      </c>
    </row>
    <row r="2542">
      <c r="B2542" s="9" t="n">
        <v>2540</v>
      </c>
      <c r="C2542" s="10" t="inlineStr">
        <is>
          <t>[NGHĨA ĐÔ] Nhân Viên Kỹ Thuật</t>
        </is>
      </c>
      <c r="D2542" s="10" t="inlineStr">
        <is>
          <t>CÔNG TY CỔ PHẦN EUROWINDOW HOLDING</t>
        </is>
      </c>
      <c r="E2542" s="10" t="inlineStr">
        <is>
          <t>Lương:Cạnh tranh</t>
        </is>
      </c>
      <c r="F2542" s="10" t="inlineStr">
        <is>
          <t>Hà Nội</t>
        </is>
      </c>
      <c r="G2542" s="10" t="inlineStr">
        <is>
          <t>11-03-2026</t>
        </is>
      </c>
      <c r="H2542" s="10" t="inlineStr">
        <is>
          <t>09/03/2026</t>
        </is>
      </c>
      <c r="I2542" s="10" t="inlineStr">
        <is>
          <t>17/03/2026</t>
        </is>
      </c>
      <c r="J2542" s="10" t="inlineStr">
        <is>
          <t>Điện / Điện tử / Điện lạnh / Điện công nghiệp, Bất động sản</t>
        </is>
      </c>
      <c r="K2542" s="10" t="inlineStr">
        <is>
          <t>Lên đến 1 Năm</t>
        </is>
      </c>
      <c r="L2542" s="11">
        <f>HYPERLINK("https://careerviet.vn/vi/tim-viec-lam/nghia-do-nhan-vien-ky-thuat.35C69B77.html","Xem chi tiết")</f>
        <v/>
      </c>
      <c r="M2542" s="10" t="n"/>
    </row>
    <row r="2543">
      <c r="B2543" s="7" t="n">
        <v>2541</v>
      </c>
      <c r="C2543" t="inlineStr">
        <is>
          <t>DTP Operator</t>
        </is>
      </c>
      <c r="D2543" t="inlineStr">
        <is>
          <t>Công Ty TNHH Truyền Thông Kilala</t>
        </is>
      </c>
      <c r="E2543" t="inlineStr">
        <is>
          <t>Lương:Cạnh tranh</t>
        </is>
      </c>
      <c r="F2543" t="inlineStr">
        <is>
          <t>Hồ Chí Minh</t>
        </is>
      </c>
      <c r="G2543" t="inlineStr">
        <is>
          <t>25-03-2026</t>
        </is>
      </c>
      <c r="H2543" t="inlineStr">
        <is>
          <t>25/03/2026</t>
        </is>
      </c>
      <c r="I2543" t="inlineStr">
        <is>
          <t>17/03/2026</t>
        </is>
      </c>
      <c r="J2543" t="inlineStr">
        <is>
          <t>Truyền hình / Báo chí / Biên tập, Tiếp thị / Marketing, Mỹ thuật / Nghệ thuật / Thiết kế</t>
        </is>
      </c>
      <c r="K2543" t="inlineStr">
        <is>
          <t>Trên 1 Năm</t>
        </is>
      </c>
      <c r="L2543" s="8">
        <f>HYPERLINK("https://careerviet.vn/vi/tim-viec-lam/dtp-operator.35C699F3.html","Xem chi tiết")</f>
        <v/>
      </c>
    </row>
    <row r="2544">
      <c r="B2544" s="9" t="n">
        <v>2542</v>
      </c>
      <c r="C2544" s="10" t="inlineStr">
        <is>
          <t>NHÂN VIÊN MUA HÀNG TIẾNG TRUNG (Order hàng)</t>
        </is>
      </c>
      <c r="D2544" s="10" t="inlineStr">
        <is>
          <t>Công ty cổ phần Okapi Việt Nam - Thương hiệu thời trang BADASS</t>
        </is>
      </c>
      <c r="E2544" s="10" t="inlineStr">
        <is>
          <t>Lương:13 Tr - 20 Tr VND</t>
        </is>
      </c>
      <c r="F2544" s="10" t="inlineStr">
        <is>
          <t>Hà Nội</t>
        </is>
      </c>
      <c r="G2544" s="10" t="inlineStr">
        <is>
          <t>31-03-2026</t>
        </is>
      </c>
      <c r="H2544" s="10" t="inlineStr">
        <is>
          <t>31/03/2026</t>
        </is>
      </c>
      <c r="I2544" s="10" t="inlineStr">
        <is>
          <t>17/03/2026</t>
        </is>
      </c>
      <c r="J2544" s="10" t="inlineStr">
        <is>
          <t>Bán lẻ / Bán sỉ, Dệt may / Da giày / Thời trang, Thu mua / Vật tư</t>
        </is>
      </c>
      <c r="K2544" s="10" t="inlineStr">
        <is>
          <t>Trên 1 Năm</t>
        </is>
      </c>
      <c r="L2544" s="11">
        <f>HYPERLINK("https://careerviet.vn/vi/tim-viec-lam/nhan-vien-mua-hang-tieng-trung-order-hang.35C699AD.html","Xem chi tiết")</f>
        <v/>
      </c>
      <c r="M2544" s="10" t="n"/>
    </row>
    <row r="2545">
      <c r="B2545" s="7" t="n">
        <v>2543</v>
      </c>
      <c r="C2545" t="inlineStr">
        <is>
          <t>Nhân Viên Phụ Trách Chuyên Môn Dược</t>
        </is>
      </c>
      <c r="D2545" t="inlineStr">
        <is>
          <t>FC CO.,LTD</t>
        </is>
      </c>
      <c r="E2545" t="inlineStr">
        <is>
          <t>Lương:Cạnh tranh</t>
        </is>
      </c>
      <c r="F2545" t="inlineStr">
        <is>
          <t>Hồ Chí Minh</t>
        </is>
      </c>
      <c r="G2545" t="inlineStr">
        <is>
          <t>26-03-2026</t>
        </is>
      </c>
      <c r="H2545" t="inlineStr">
        <is>
          <t>26/03/2026</t>
        </is>
      </c>
      <c r="I2545" t="inlineStr">
        <is>
          <t>17/03/2026</t>
        </is>
      </c>
      <c r="J2545" t="inlineStr">
        <is>
          <t>Dược phẩm/ Hóa Mỹ Phẩm, Xuất nhập khẩu, Y tế / Chăm sóc sức khỏe / Thẩm mỹ / Làm đẹp</t>
        </is>
      </c>
      <c r="K2545" t="inlineStr">
        <is>
          <t>N/A</t>
        </is>
      </c>
      <c r="L2545" s="8">
        <f>HYPERLINK("https://careerviet.vn/vi/tim-viec-lam/nhan-vien-phu-trach-chuyen-mon-duoc.35C69C5E.html","Xem chi tiết")</f>
        <v/>
      </c>
    </row>
    <row r="2546">
      <c r="B2546" s="9" t="n">
        <v>2544</v>
      </c>
      <c r="C2546" s="10" t="inlineStr">
        <is>
          <t>Chuyên viên Vận hành thẻ - Khối Vận hành</t>
        </is>
      </c>
      <c r="D2546" s="10" t="inlineStr">
        <is>
          <t>Ngân Hàng TMCP Quốc Dân (NCB)</t>
        </is>
      </c>
      <c r="E2546" s="10" t="inlineStr">
        <is>
          <t>Lương:Cạnh tranh</t>
        </is>
      </c>
      <c r="F2546" s="10" t="inlineStr">
        <is>
          <t>Hà Nội</t>
        </is>
      </c>
      <c r="G2546" s="10" t="inlineStr">
        <is>
          <t>26-03-2026</t>
        </is>
      </c>
      <c r="H2546" s="10" t="inlineStr">
        <is>
          <t>26/03/2026</t>
        </is>
      </c>
      <c r="I2546" s="10" t="inlineStr">
        <is>
          <t>17/03/2026</t>
        </is>
      </c>
      <c r="J2546" s="10" t="inlineStr">
        <is>
          <t>Tài chính / Đầu tư, Ngân hàng</t>
        </is>
      </c>
      <c r="K2546" s="10" t="inlineStr">
        <is>
          <t>Trên 1 Năm</t>
        </is>
      </c>
      <c r="L2546" s="11">
        <f>HYPERLINK("https://careerviet.vn/vi/tim-viec-lam/chuyen-vien-van-hanh-the-khoi-van-hanh.35C69BB7.html","Xem chi tiết")</f>
        <v/>
      </c>
      <c r="M2546" s="10" t="n"/>
    </row>
    <row r="2547">
      <c r="B2547" s="7" t="n">
        <v>2545</v>
      </c>
      <c r="C2547" t="inlineStr">
        <is>
          <t>[NGHĨA ĐÔ] Nhân Viên Hành Chính Tòa nhà</t>
        </is>
      </c>
      <c r="D2547" t="inlineStr">
        <is>
          <t>CÔNG TY CỔ PHẦN EUROWINDOW HOLDING</t>
        </is>
      </c>
      <c r="E2547" t="inlineStr">
        <is>
          <t>Lương:Cạnh tranh</t>
        </is>
      </c>
      <c r="F2547" t="inlineStr">
        <is>
          <t>Hà Nội</t>
        </is>
      </c>
      <c r="G2547" t="inlineStr">
        <is>
          <t>11-03-2026</t>
        </is>
      </c>
      <c r="H2547" t="inlineStr">
        <is>
          <t>13/03/2026</t>
        </is>
      </c>
      <c r="I2547" t="inlineStr">
        <is>
          <t>17/03/2026</t>
        </is>
      </c>
      <c r="J2547" t="inlineStr">
        <is>
          <t>Dịch vụ khách hàng, Hành chính / Thư ký, Bất động sản</t>
        </is>
      </c>
      <c r="K2547" t="inlineStr">
        <is>
          <t>1 - 3 Năm</t>
        </is>
      </c>
      <c r="L2547" s="8">
        <f>HYPERLINK("https://careerviet.vn/vi/tim-viec-lam/nghia-do-nhan-vien-hanh-chinh-toa-nha.35C69B74.html","Xem chi tiết")</f>
        <v/>
      </c>
    </row>
    <row r="2548">
      <c r="B2548" s="9" t="n">
        <v>2546</v>
      </c>
      <c r="C2548" s="10" t="inlineStr">
        <is>
          <t>Kỹ Sư Ép Nhựa</t>
        </is>
      </c>
      <c r="D2548" s="10" t="inlineStr">
        <is>
          <t>CÔNG TY TNHH RYDER INDUSTRIES VIỆT NAM</t>
        </is>
      </c>
      <c r="E2548" s="10" t="inlineStr">
        <is>
          <t>Lương:30 Tr - 40 Tr VND</t>
        </is>
      </c>
      <c r="F2548" s="10" t="inlineStr">
        <is>
          <t>Đồng Nai</t>
        </is>
      </c>
      <c r="G2548" s="10" t="inlineStr">
        <is>
          <t>26-03-2026</t>
        </is>
      </c>
      <c r="H2548" s="10" t="inlineStr">
        <is>
          <t>26/03/2026</t>
        </is>
      </c>
      <c r="I2548" s="10" t="inlineStr">
        <is>
          <t>17/03/2026</t>
        </is>
      </c>
      <c r="J2548" s="10" t="inlineStr">
        <is>
          <t>Điện / Điện tử / Điện lạnh / Điện công nghiệp, Cơ khí / Ô tô / Tự động hóa, Sản xuất / Vận hành sản xuất</t>
        </is>
      </c>
      <c r="K2548" s="10" t="inlineStr">
        <is>
          <t>Trên 5 Năm</t>
        </is>
      </c>
      <c r="L2548" s="11">
        <f>HYPERLINK("https://careerviet.vn/vi/tim-viec-lam/ky-su-ep-nhua.35C69A60.html","Xem chi tiết")</f>
        <v/>
      </c>
      <c r="M2548" s="10" t="n"/>
    </row>
    <row r="2549">
      <c r="B2549" s="7" t="n">
        <v>2547</v>
      </c>
      <c r="C2549" t="inlineStr">
        <is>
          <t>Nhân Viên Thiết Kế Kỹ Thuật (Nhà Máy Bến Cát Bình Dương)</t>
        </is>
      </c>
      <c r="D2549" t="inlineStr">
        <is>
          <t>Công Ty TNHH SX Và TM Quân Đạt</t>
        </is>
      </c>
      <c r="E2549" t="inlineStr">
        <is>
          <t>Lương:Cạnh tranh</t>
        </is>
      </c>
      <c r="F2549" t="inlineStr">
        <is>
          <t>Bình Dương</t>
        </is>
      </c>
      <c r="G2549" t="inlineStr">
        <is>
          <t>28-03-2026</t>
        </is>
      </c>
      <c r="H2549" t="inlineStr">
        <is>
          <t>28/03/2026</t>
        </is>
      </c>
      <c r="I2549" t="inlineStr">
        <is>
          <t>17/03/2026</t>
        </is>
      </c>
      <c r="J2549" t="inlineStr">
        <is>
          <t>Cơ khí / Ô tô / Tự động hóa, Sản xuất / Vận hành sản xuất, Xây dựng</t>
        </is>
      </c>
      <c r="K2549" t="inlineStr">
        <is>
          <t>N/A</t>
        </is>
      </c>
      <c r="L2549" s="8">
        <f>HYPERLINK("https://careerviet.vn/vi/tim-viec-lam/nhan-vien-thiet-ke-ky-thuat-nha-may-ben-cat-binh-duong.35C69A27.html","Xem chi tiết")</f>
        <v/>
      </c>
    </row>
    <row r="2550">
      <c r="B2550" s="9" t="n">
        <v>2548</v>
      </c>
      <c r="C2550" s="10" t="inlineStr">
        <is>
          <t>Chuyên Viên CNTT – Phần Mềm Hệ Thống</t>
        </is>
      </c>
      <c r="D2550" s="10" t="inlineStr">
        <is>
          <t>CÔNG TY CỔ PHẦN BẤT ĐỘNG SẢN SÀI GÒN VI NA</t>
        </is>
      </c>
      <c r="E2550" s="10" t="inlineStr">
        <is>
          <t>Lương:Cạnh tranh</t>
        </is>
      </c>
      <c r="F2550" s="10" t="inlineStr">
        <is>
          <t>Hồ Chí Minh</t>
        </is>
      </c>
      <c r="G2550" s="10" t="inlineStr">
        <is>
          <t>10-04-2026</t>
        </is>
      </c>
      <c r="H2550" s="10" t="inlineStr">
        <is>
          <t>10/04/2026</t>
        </is>
      </c>
      <c r="I2550" s="10" t="inlineStr">
        <is>
          <t>17/03/2026</t>
        </is>
      </c>
      <c r="J2550" s="10" t="inlineStr">
        <is>
          <t>CNTT - Phần mềm, CNTT - Phần cứng / Mạng</t>
        </is>
      </c>
      <c r="K2550" s="10" t="inlineStr">
        <is>
          <t>Trên 2 Năm</t>
        </is>
      </c>
      <c r="L2550" s="11">
        <f>HYPERLINK("https://careerviet.vn/vi/tim-viec-lam/chuyen-vien-cntt-phan-mem-he-thong.35C6C0E7.html","Xem chi tiết")</f>
        <v/>
      </c>
      <c r="M2550" s="10" t="n"/>
    </row>
    <row r="2551">
      <c r="B2551" s="7" t="n">
        <v>2549</v>
      </c>
      <c r="C2551" t="inlineStr">
        <is>
          <t>Chuyên Viên Phát Triển Ứng Dụng Power Platform</t>
        </is>
      </c>
      <c r="D2551" t="inlineStr">
        <is>
          <t>Khải Toàn Group</t>
        </is>
      </c>
      <c r="E2551" t="inlineStr">
        <is>
          <t>Lương:Cạnh tranh</t>
        </is>
      </c>
      <c r="F2551" t="inlineStr">
        <is>
          <t>Hồ Chí Minh</t>
        </is>
      </c>
      <c r="G2551" t="inlineStr">
        <is>
          <t>31-03-2026</t>
        </is>
      </c>
      <c r="H2551" t="inlineStr">
        <is>
          <t>31/03/2026</t>
        </is>
      </c>
      <c r="I2551" t="inlineStr">
        <is>
          <t>17/03/2026</t>
        </is>
      </c>
      <c r="J2551" t="inlineStr">
        <is>
          <t>CNTT - Phần mềm</t>
        </is>
      </c>
      <c r="K2551" t="inlineStr">
        <is>
          <t>Trên 1 Năm</t>
        </is>
      </c>
      <c r="L2551" s="8">
        <f>HYPERLINK("https://careerviet.vn/vi/tim-viec-lam/chuyen-vien-phat-trien-ung-dung-power-platform.35C69A61.html","Xem chi tiết")</f>
        <v/>
      </c>
    </row>
    <row r="2552">
      <c r="B2552" s="9" t="n">
        <v>2550</v>
      </c>
      <c r="C2552" s="10" t="inlineStr">
        <is>
          <t>Nhân viên bán hàng tại Thành phố Hải Dương (cũ)</t>
        </is>
      </c>
      <c r="D2552" s="10" t="inlineStr">
        <is>
          <t>Công Ty TNHH T.M.G</t>
        </is>
      </c>
      <c r="E2552" s="10" t="inlineStr">
        <is>
          <t>Lương:6,0 Tr - 6,9 Tr VND</t>
        </is>
      </c>
      <c r="F2552" s="10" t="inlineStr">
        <is>
          <t>Hải Dương</t>
        </is>
      </c>
      <c r="G2552" s="10" t="inlineStr">
        <is>
          <t>28-04-2026</t>
        </is>
      </c>
      <c r="H2552" s="10" t="inlineStr">
        <is>
          <t>28/04/2026</t>
        </is>
      </c>
      <c r="I2552" s="10" t="inlineStr">
        <is>
          <t>17/03/2026</t>
        </is>
      </c>
      <c r="J2552" s="10" t="inlineStr">
        <is>
          <t>Bán hàng / Kinh doanh</t>
        </is>
      </c>
      <c r="K2552" s="10" t="inlineStr">
        <is>
          <t>N/A</t>
        </is>
      </c>
      <c r="L2552" s="11">
        <f>HYPERLINK("https://careerviet.vn/vi/tim-viec-lam/nhan-vien-ban-hang-tai-thanh-pho-hai-duong-cu.35C69B5B.html","Xem chi tiết")</f>
        <v/>
      </c>
      <c r="M2552" s="10" t="n"/>
    </row>
    <row r="2553">
      <c r="B2553" s="7" t="n">
        <v>2551</v>
      </c>
      <c r="C2553" t="inlineStr">
        <is>
          <t>QA Staf/ Nhân viên QA</t>
        </is>
      </c>
      <c r="D2553" t="inlineStr">
        <is>
          <t>RAWLPLUG VIETNAM COMPANY LIMITED</t>
        </is>
      </c>
      <c r="E2553" t="inlineStr">
        <is>
          <t>Lương:9 Tr - 14 Tr VND</t>
        </is>
      </c>
      <c r="F2553" t="inlineStr">
        <is>
          <t>Bình Dương</t>
        </is>
      </c>
      <c r="G2553" t="inlineStr">
        <is>
          <t>31-03-2026</t>
        </is>
      </c>
      <c r="H2553" t="inlineStr">
        <is>
          <t>31/03/2026</t>
        </is>
      </c>
      <c r="I2553" t="inlineStr">
        <is>
          <t>17/03/2026</t>
        </is>
      </c>
      <c r="J2553" t="inlineStr">
        <is>
          <t>Sản xuất / Vận hành sản xuất, Quản lý chất lượng (QA/QC), In ấn / Xuất bản</t>
        </is>
      </c>
      <c r="K2553" t="inlineStr">
        <is>
          <t>Lên đến 5 Năm</t>
        </is>
      </c>
      <c r="L2553" s="8">
        <f>HYPERLINK("https://careerviet.vn/vi/tim-viec-lam/qa-staf-nhan-vien-qa.35C6C25E.html","Xem chi tiết")</f>
        <v/>
      </c>
    </row>
    <row r="2554">
      <c r="B2554" s="9" t="n">
        <v>2552</v>
      </c>
      <c r="C2554" s="10" t="inlineStr">
        <is>
          <t>Giám Đốc Công Nghệ Thông Tin</t>
        </is>
      </c>
      <c r="D2554" s="10" t="inlineStr">
        <is>
          <t>CÔNG TY CỔ PHẦN BẤT ĐỘNG SẢN SÀI GÒN VI NA</t>
        </is>
      </c>
      <c r="E2554" s="10" t="inlineStr">
        <is>
          <t>Lương:Cạnh tranh</t>
        </is>
      </c>
      <c r="F2554" s="10" t="inlineStr">
        <is>
          <t>Hồ Chí Minh</t>
        </is>
      </c>
      <c r="G2554" s="10" t="inlineStr">
        <is>
          <t>10-04-2026</t>
        </is>
      </c>
      <c r="H2554" s="10" t="inlineStr">
        <is>
          <t>10/04/2026</t>
        </is>
      </c>
      <c r="I2554" s="10" t="inlineStr">
        <is>
          <t>17/03/2026</t>
        </is>
      </c>
      <c r="J2554" s="10" t="inlineStr">
        <is>
          <t>Quản lý điều hành, CNTT - Phần mềm, CNTT - Phần cứng / Mạng</t>
        </is>
      </c>
      <c r="K2554" s="10" t="inlineStr">
        <is>
          <t>Trên 10 Năm</t>
        </is>
      </c>
      <c r="L2554" s="11">
        <f>HYPERLINK("https://careerviet.vn/vi/tim-viec-lam/giam-doc-cong-nghe-thong-tin.35C6C0E2.html","Xem chi tiết")</f>
        <v/>
      </c>
      <c r="M2554" s="10" t="n"/>
    </row>
    <row r="2555">
      <c r="B2555" s="7" t="n">
        <v>2553</v>
      </c>
      <c r="C2555" t="inlineStr">
        <is>
          <t>CHUYÊN VIÊN MARKETING</t>
        </is>
      </c>
      <c r="D2555" t="inlineStr">
        <is>
          <t>Công Ty TNHH Sản Xuất Kinh Doanh Hai Thành</t>
        </is>
      </c>
      <c r="E2555" t="inlineStr">
        <is>
          <t>Lương:16 Tr - 20 Tr VND</t>
        </is>
      </c>
      <c r="F2555" t="inlineStr">
        <is>
          <t>Hồ Chí Minh</t>
        </is>
      </c>
      <c r="G2555" t="inlineStr">
        <is>
          <t>30-04-2026</t>
        </is>
      </c>
      <c r="H2555" t="inlineStr">
        <is>
          <t>30/04/2026</t>
        </is>
      </c>
      <c r="I2555" t="inlineStr">
        <is>
          <t>17/03/2026</t>
        </is>
      </c>
      <c r="J2555" t="inlineStr">
        <is>
          <t>Tiếp thị / Marketing, Truyền hình / Báo chí / Biên tập, Quảng cáo / Đối ngoại / Truyền Thông</t>
        </is>
      </c>
      <c r="K2555" t="inlineStr">
        <is>
          <t>3 - 5 Năm</t>
        </is>
      </c>
      <c r="L2555" s="8">
        <f>HYPERLINK("https://careerviet.vn/vi/tim-viec-lam/chuyen-vien-marketing.35C6C253.html","Xem chi tiết")</f>
        <v/>
      </c>
    </row>
    <row r="2556">
      <c r="B2556" s="9" t="n">
        <v>2554</v>
      </c>
      <c r="C2556" s="10" t="inlineStr">
        <is>
          <t>GIÁO VIÊN IELTS ONLINE TỪ 7.0 (PART/FULL) - TỪ 2 THÁNG KINH NGHIỆM DẠY IELTS</t>
        </is>
      </c>
      <c r="D2556" s="10" t="inlineStr">
        <is>
          <t>CÔNG TY CỔ PHẦN TƯ VẤN ĐÁNH GIÁ VÀ PHÁT TRIỂN GIÁO DỤC EDUTALK</t>
        </is>
      </c>
      <c r="E2556" s="10" t="inlineStr">
        <is>
          <t>Lương:5 Tr - 15 Tr VND</t>
        </is>
      </c>
      <c r="F2556" s="10" t="inlineStr">
        <is>
          <t>Hà Nội</t>
        </is>
      </c>
      <c r="G2556" s="10" t="inlineStr">
        <is>
          <t>10-04-2026</t>
        </is>
      </c>
      <c r="H2556" s="10" t="inlineStr">
        <is>
          <t>10/04/2026</t>
        </is>
      </c>
      <c r="I2556" s="10" t="inlineStr">
        <is>
          <t>17/03/2026</t>
        </is>
      </c>
      <c r="J2556" s="10" t="inlineStr">
        <is>
          <t>Giáo dục / Đào tạo</t>
        </is>
      </c>
      <c r="K2556" s="10" t="inlineStr">
        <is>
          <t>N/A</t>
        </is>
      </c>
      <c r="L2556" s="11">
        <f>HYPERLINK("https://careerviet.vn/vi/tim-viec-lam/giao-vien-ielts-online-tu-7-0-part-full-tu-2-thang-kinh-nghiem-day-ielts.35C6529A.html","Xem chi tiết")</f>
        <v/>
      </c>
      <c r="M2556" s="10" t="n"/>
    </row>
    <row r="2557">
      <c r="B2557" s="7" t="n">
        <v>2555</v>
      </c>
      <c r="C2557" t="inlineStr">
        <is>
          <t>Business Development Specialist/ Chuyên Viên Kinh Doanh</t>
        </is>
      </c>
      <c r="D2557" t="inlineStr">
        <is>
          <t>Tập Đoàn CT Group Việt Nam</t>
        </is>
      </c>
      <c r="E2557" t="inlineStr">
        <is>
          <t>Lương:20 Tr - 30 Tr VND</t>
        </is>
      </c>
      <c r="F2557" t="inlineStr">
        <is>
          <t>Hồ Chí Minh</t>
        </is>
      </c>
      <c r="G2557" t="inlineStr">
        <is>
          <t>13-04-2026</t>
        </is>
      </c>
      <c r="H2557" t="inlineStr">
        <is>
          <t>13/04/2026</t>
        </is>
      </c>
      <c r="I2557" t="inlineStr">
        <is>
          <t>17/03/2026</t>
        </is>
      </c>
      <c r="J2557" t="inlineStr">
        <is>
          <t>Bán hàng / Kinh doanh, Bán Hàng Kỹ Thuật</t>
        </is>
      </c>
      <c r="K2557" t="inlineStr">
        <is>
          <t>2 - 3 Năm</t>
        </is>
      </c>
      <c r="L2557" s="8">
        <f>HYPERLINK("https://careerviet.vn/vi/tim-viec-lam/business-development-specialist-chuyen-vien-kinh-doanh.35C6C251.html","Xem chi tiết")</f>
        <v/>
      </c>
    </row>
    <row r="2558">
      <c r="B2558" s="9" t="n">
        <v>2556</v>
      </c>
      <c r="C2558" s="10" t="inlineStr">
        <is>
          <t>NHÂN VIÊN KỸ THUẬT</t>
        </is>
      </c>
      <c r="D2558" s="10" t="inlineStr">
        <is>
          <t>CÔNG TY CỔ PHẦN NHỰA XỐP 76</t>
        </is>
      </c>
      <c r="E2558" s="10" t="inlineStr">
        <is>
          <t>Lương:15 Tr - 20 Tr VND</t>
        </is>
      </c>
      <c r="F2558" s="10" t="inlineStr">
        <is>
          <t>Hà Nội</t>
        </is>
      </c>
      <c r="G2558" s="10" t="inlineStr">
        <is>
          <t>10-04-2026</t>
        </is>
      </c>
      <c r="H2558" s="10" t="inlineStr">
        <is>
          <t>10/04/2026</t>
        </is>
      </c>
      <c r="I2558" s="10" t="inlineStr">
        <is>
          <t>17/03/2026</t>
        </is>
      </c>
      <c r="J2558" s="10" t="inlineStr">
        <is>
          <t>Bán Hàng Kỹ Thuật, Cơ khí / Ô tô / Tự động hóa, Bảo trì / Sửa chữa</t>
        </is>
      </c>
      <c r="K2558" s="10" t="inlineStr">
        <is>
          <t>Lên đến 1 Năm</t>
        </is>
      </c>
      <c r="L2558" s="11">
        <f>HYPERLINK("https://careerviet.vn/vi/tim-viec-lam/nhan-vien-ky-thuat.35C6C160.html","Xem chi tiết")</f>
        <v/>
      </c>
      <c r="M2558" s="10" t="n"/>
    </row>
    <row r="2559">
      <c r="B2559" s="7" t="n">
        <v>2557</v>
      </c>
      <c r="C2559" t="inlineStr">
        <is>
          <t>Nhân viên thu hồi nợ hiện trường (Quảng Ninh/Ninh Bình/Hải Dương/Hải Phòng/Thanh Hóa/Thái Bình)</t>
        </is>
      </c>
      <c r="D2559" t="inlineStr">
        <is>
          <t>Công Ty Quản Lý Nợ Và Khai Thác Tài Sản - Ngân Hàng TMCP Quân Đội</t>
        </is>
      </c>
      <c r="E2559" t="inlineStr">
        <is>
          <t>Lương:Cạnh tranh</t>
        </is>
      </c>
      <c r="F2559" t="inlineStr">
        <is>
          <t>Quảng Ninh</t>
        </is>
      </c>
      <c r="G2559" t="inlineStr">
        <is>
          <t>10-04-2026</t>
        </is>
      </c>
      <c r="H2559" t="inlineStr">
        <is>
          <t>10/04/2026</t>
        </is>
      </c>
      <c r="I2559" t="inlineStr">
        <is>
          <t>17/03/2026</t>
        </is>
      </c>
      <c r="J2559" t="inlineStr">
        <is>
          <t>Luật / Pháp lý, Ngân hàng, Tài chính / Đầu tư</t>
        </is>
      </c>
      <c r="K2559" t="inlineStr">
        <is>
          <t>Trên 1 Năm</t>
        </is>
      </c>
      <c r="L2559" s="8">
        <f>HYPERLINK("https://careerviet.vn/vi/tim-viec-lam/nhan-vien-thu-hoi-no-hien-truong-quang-ninh-ninh-binh-hai-duong-hai-phong-thanh-hoa-thai-binh.35C68405.html","Xem chi tiết")</f>
        <v/>
      </c>
    </row>
    <row r="2560">
      <c r="B2560" s="9" t="n">
        <v>2558</v>
      </c>
      <c r="C2560" s="10" t="inlineStr">
        <is>
          <t>Chuyên viên Telesale Sản phẩm vay tín chấp - Hà Nội</t>
        </is>
      </c>
      <c r="D2560" s="10" t="inlineStr">
        <is>
          <t>Ngân Hàng TMCP Quốc Tế Việt Nam</t>
        </is>
      </c>
      <c r="E2560" s="10" t="inlineStr">
        <is>
          <t>Lương:10 Tr - 15 Tr VND</t>
        </is>
      </c>
      <c r="F2560" s="10" t="inlineStr">
        <is>
          <t>Hà Nội</t>
        </is>
      </c>
      <c r="G2560" s="10" t="inlineStr">
        <is>
          <t>10-04-2026</t>
        </is>
      </c>
      <c r="H2560" s="10" t="inlineStr">
        <is>
          <t>10/04/2026</t>
        </is>
      </c>
      <c r="I2560" s="10" t="inlineStr">
        <is>
          <t>17/03/2026</t>
        </is>
      </c>
      <c r="J2560" s="10" t="inlineStr">
        <is>
          <t>Bán hàng / Kinh doanh, Tiếp thị trực tuyến, Ngân hàng</t>
        </is>
      </c>
      <c r="K2560" s="10" t="inlineStr">
        <is>
          <t>Trên 1 Năm</t>
        </is>
      </c>
      <c r="L2560" s="11">
        <f>HYPERLINK("https://careerviet.vn/vi/tim-viec-lam/chuyen-vien-telesale-san-pham-vay-tin-chap-ha-noi.35C682F3.html","Xem chi tiết")</f>
        <v/>
      </c>
      <c r="M2560" s="10" t="n"/>
    </row>
    <row r="2561">
      <c r="B2561" s="7" t="n">
        <v>2559</v>
      </c>
      <c r="C2561" t="inlineStr">
        <is>
          <t>127916 - [HCM] Kỹ sư hỗ trợ công trường nói tiếng Nhật - Xây dựng</t>
        </is>
      </c>
      <c r="D2561" t="inlineStr">
        <is>
          <t>RGF HR Agent Vietnam Co., LTD</t>
        </is>
      </c>
      <c r="E2561" t="inlineStr">
        <is>
          <t>Lương:15 Tr - 25 Tr VND</t>
        </is>
      </c>
      <c r="F2561" t="inlineStr">
        <is>
          <t>Hồ Chí Minh</t>
        </is>
      </c>
      <c r="G2561" t="inlineStr">
        <is>
          <t>31-03-2026</t>
        </is>
      </c>
      <c r="H2561" t="inlineStr">
        <is>
          <t>31/03/2026</t>
        </is>
      </c>
      <c r="I2561" t="inlineStr">
        <is>
          <t>17/03/2026</t>
        </is>
      </c>
      <c r="J2561" t="inlineStr">
        <is>
          <t>Xây dựng, Kiến trúc</t>
        </is>
      </c>
      <c r="K2561" t="inlineStr">
        <is>
          <t>2 - 3 Năm</t>
        </is>
      </c>
      <c r="L2561" s="8">
        <f>HYPERLINK("https://careerviet.vn/vi/tim-viec-lam/127916-hcm-ky-su-ho-tro-cong-truong-noi-tieng-nhat-xay-dung.35C69ABE.html","Xem chi tiết")</f>
        <v/>
      </c>
    </row>
    <row r="2562">
      <c r="B2562" s="9" t="n">
        <v>2560</v>
      </c>
      <c r="C2562" s="10" t="inlineStr">
        <is>
          <t>NV/CV THN Qua Điện Thoại - Hà Nội - ID594</t>
        </is>
      </c>
      <c r="D2562" s="10" t="inlineStr">
        <is>
          <t>Ngân Hàng TMCP Việt Nam Thịnh Vượng - VPBANK</t>
        </is>
      </c>
      <c r="E2562" s="10" t="inlineStr">
        <is>
          <t>Lương:14 Tr - 15 Tr VND</t>
        </is>
      </c>
      <c r="F2562" s="10" t="inlineStr">
        <is>
          <t>Hà Nội</t>
        </is>
      </c>
      <c r="G2562" s="10" t="inlineStr">
        <is>
          <t>10-04-2026</t>
        </is>
      </c>
      <c r="H2562" s="10" t="inlineStr">
        <is>
          <t>10/04/2026</t>
        </is>
      </c>
      <c r="I2562" s="10" t="inlineStr">
        <is>
          <t>17/03/2026</t>
        </is>
      </c>
      <c r="J2562" s="10" t="inlineStr">
        <is>
          <t>Dịch vụ khách hàng, Ngân hàng, Tài chính / Đầu tư</t>
        </is>
      </c>
      <c r="K2562" s="10" t="inlineStr">
        <is>
          <t>N/A</t>
        </is>
      </c>
      <c r="L2562" s="11">
        <f>HYPERLINK("https://careerviet.vn/vi/tim-viec-lam/nv-cv-thn-qua-dien-thoai-ha-noi-id594.35C68349.html","Xem chi tiết")</f>
        <v/>
      </c>
      <c r="M2562" s="10" t="n"/>
    </row>
    <row r="2563">
      <c r="B2563" s="7" t="n">
        <v>2561</v>
      </c>
      <c r="C2563" t="inlineStr">
        <is>
          <t>Phó Giám Đốc Tài Chính Kế Toán</t>
        </is>
      </c>
      <c r="D2563" t="inlineStr">
        <is>
          <t>CÔNG TY CỔ PHẦN BẤT ĐỘNG SẢN SÀI GÒN VI NA</t>
        </is>
      </c>
      <c r="E2563" t="inlineStr">
        <is>
          <t>Lương:Cạnh tranh</t>
        </is>
      </c>
      <c r="F2563" t="inlineStr">
        <is>
          <t>Hồ Chí Minh</t>
        </is>
      </c>
      <c r="G2563" t="inlineStr">
        <is>
          <t>10-04-2026</t>
        </is>
      </c>
      <c r="H2563" t="inlineStr">
        <is>
          <t>10/04/2026</t>
        </is>
      </c>
      <c r="I2563" t="inlineStr">
        <is>
          <t>17/03/2026</t>
        </is>
      </c>
      <c r="J2563" t="inlineStr">
        <is>
          <t>Tài chính / Đầu tư, Kế toán / Kiểm toán, Quản lý điều hành</t>
        </is>
      </c>
      <c r="K2563" t="inlineStr">
        <is>
          <t>Trên 3 Năm</t>
        </is>
      </c>
      <c r="L2563" s="8">
        <f>HYPERLINK("https://careerviet.vn/vi/tim-viec-lam/pho-giam-doc-tai-chinh-ke-toan.35C6C0E1.html","Xem chi tiết")</f>
        <v/>
      </c>
    </row>
    <row r="2564">
      <c r="B2564" s="9" t="n">
        <v>2562</v>
      </c>
      <c r="C2564" s="10" t="inlineStr">
        <is>
          <t>Trình dược viên</t>
        </is>
      </c>
      <c r="D2564" s="10" t="inlineStr">
        <is>
          <t>CÔNG TY CỔ PHẦN DƯỢC PHẨM REVO</t>
        </is>
      </c>
      <c r="E2564" s="10" t="inlineStr">
        <is>
          <t>Lương:Trên 12 Tr VND</t>
        </is>
      </c>
      <c r="F2564" s="10" t="inlineStr">
        <is>
          <t>Hà NộiHồ Chí MinhLong An</t>
        </is>
      </c>
      <c r="G2564" s="10" t="inlineStr">
        <is>
          <t>12-04-2026</t>
        </is>
      </c>
      <c r="H2564" s="10" t="inlineStr">
        <is>
          <t>12/04/2026</t>
        </is>
      </c>
      <c r="I2564" s="10" t="inlineStr">
        <is>
          <t>17/03/2026</t>
        </is>
      </c>
      <c r="J2564" s="10" t="inlineStr">
        <is>
          <t>Dược phẩm/ Hóa Mỹ Phẩm, Bán hàng / Kinh doanh, Tư vấn</t>
        </is>
      </c>
      <c r="K2564" s="10" t="inlineStr">
        <is>
          <t>Trên 1 Năm</t>
        </is>
      </c>
      <c r="L2564" s="11">
        <f>HYPERLINK("https://careerviet.vn/vi/tim-viec-lam/trinh-duoc-vien.35C6C227.html","Xem chi tiết")</f>
        <v/>
      </c>
      <c r="M2564" s="10" t="n"/>
    </row>
    <row r="2565">
      <c r="B2565" s="7" t="n">
        <v>2563</v>
      </c>
      <c r="C2565" t="inlineStr">
        <is>
          <t>Kỹ Sư Thiết Kế Điện Nước (MEP)</t>
        </is>
      </c>
      <c r="D2565" t="inlineStr">
        <is>
          <t>Công Ty TNHH Đầu Tư Xây Dựng &amp; Công Nghệ Môi Trường Dương Nhật</t>
        </is>
      </c>
      <c r="E2565" t="inlineStr">
        <is>
          <t>Lương:18 Tr - 27 Tr VND</t>
        </is>
      </c>
      <c r="F2565" t="inlineStr">
        <is>
          <t>Hồ Chí Minh</t>
        </is>
      </c>
      <c r="G2565" t="inlineStr">
        <is>
          <t>10-04-2026</t>
        </is>
      </c>
      <c r="H2565" t="inlineStr">
        <is>
          <t>10/04/2026</t>
        </is>
      </c>
      <c r="I2565" t="inlineStr">
        <is>
          <t>17/03/2026</t>
        </is>
      </c>
      <c r="J2565" t="inlineStr">
        <is>
          <t>Xây dựng, Bất động sản, Điện / Điện tử / Điện lạnh / Điện công nghiệp</t>
        </is>
      </c>
      <c r="K2565" t="inlineStr">
        <is>
          <t>3 - 5 Năm</t>
        </is>
      </c>
      <c r="L2565" s="8">
        <f>HYPERLINK("https://careerviet.vn/vi/tim-viec-lam/ky-su-thiet-ke-dien-nuoc-mep.35C6842B.html","Xem chi tiết")</f>
        <v/>
      </c>
    </row>
    <row r="2566">
      <c r="B2566" s="9" t="n">
        <v>2564</v>
      </c>
      <c r="C2566" s="10" t="inlineStr">
        <is>
          <t>Nhân viên Kế toán Nguồn vốn</t>
        </is>
      </c>
      <c r="D2566" s="10" t="inlineStr">
        <is>
          <t>Công Ty Cổ Phần TEKCOM</t>
        </is>
      </c>
      <c r="E2566" s="10" t="inlineStr">
        <is>
          <t>Lương:Cạnh tranh</t>
        </is>
      </c>
      <c r="F2566" s="10" t="inlineStr">
        <is>
          <t>Bình Dương</t>
        </is>
      </c>
      <c r="G2566" s="10" t="inlineStr">
        <is>
          <t>10-04-2026</t>
        </is>
      </c>
      <c r="H2566" s="10" t="inlineStr">
        <is>
          <t>10/04/2026</t>
        </is>
      </c>
      <c r="I2566" s="10" t="inlineStr">
        <is>
          <t>17/03/2026</t>
        </is>
      </c>
      <c r="J2566" s="10" t="inlineStr">
        <is>
          <t>Kế toán / Kiểm toán, Ngân hàng, Tài chính / Đầu tư</t>
        </is>
      </c>
      <c r="K2566" s="10" t="inlineStr">
        <is>
          <t>2 - 3 Năm</t>
        </is>
      </c>
      <c r="L2566" s="11">
        <f>HYPERLINK("https://careerviet.vn/vi/tim-viec-lam/nhan-vien-ke-toan-nguon-von.35C68391.html","Xem chi tiết")</f>
        <v/>
      </c>
      <c r="M2566" s="10" t="n"/>
    </row>
    <row r="2567">
      <c r="B2567" s="7" t="n">
        <v>2565</v>
      </c>
      <c r="C2567" t="inlineStr">
        <is>
          <t>KV Đông Nam Bộ - Giám đốc/Chuyên viên Quan hệ khách hàng Cá nhân</t>
        </is>
      </c>
      <c r="D2567" t="inlineStr">
        <is>
          <t>BVBank - Ngân hàng Bản Việt</t>
        </is>
      </c>
      <c r="E2567" t="inlineStr">
        <is>
          <t>Lương:Cạnh tranh</t>
        </is>
      </c>
      <c r="F2567" t="inlineStr">
        <is>
          <t>Tây NinhBình PhướcĐồng Nai</t>
        </is>
      </c>
      <c r="G2567" t="inlineStr">
        <is>
          <t>11-04-2026</t>
        </is>
      </c>
      <c r="H2567" t="inlineStr">
        <is>
          <t>11/04/2026</t>
        </is>
      </c>
      <c r="I2567" t="inlineStr">
        <is>
          <t>17/03/2026</t>
        </is>
      </c>
      <c r="J2567" t="inlineStr">
        <is>
          <t>Ngân hàng, Tài chính / Đầu tư, Bán hàng / Kinh doanh</t>
        </is>
      </c>
      <c r="K2567" t="inlineStr">
        <is>
          <t>1 - 2 Năm</t>
        </is>
      </c>
      <c r="L2567" s="8">
        <f>HYPERLINK("https://careerviet.vn/vi/tim-viec-lam/kv-dong-nam-bo-giam-doc-chuyen-vien-quan-he-khach-hang-ca-nhan.35C6C25B.html","Xem chi tiết")</f>
        <v/>
      </c>
    </row>
    <row r="2568">
      <c r="B2568" s="9" t="n">
        <v>2566</v>
      </c>
      <c r="C2568" s="10" t="inlineStr">
        <is>
          <t>NV/CV THN Hiện Trường - Đồng Nai, Tây Ninh, Bình Phước - TA149 - ID859</t>
        </is>
      </c>
      <c r="D2568" s="10" t="inlineStr">
        <is>
          <t>Ngân Hàng TMCP Việt Nam Thịnh Vượng - VPBANK</t>
        </is>
      </c>
      <c r="E2568" s="10" t="inlineStr">
        <is>
          <t>Lương:Cạnh tranh</t>
        </is>
      </c>
      <c r="F2568" s="10" t="inlineStr">
        <is>
          <t>Đồng NaiBình PhướcTây Ninh</t>
        </is>
      </c>
      <c r="G2568" s="10" t="inlineStr">
        <is>
          <t>10-04-2026</t>
        </is>
      </c>
      <c r="H2568" s="10" t="inlineStr">
        <is>
          <t>10/04/2026</t>
        </is>
      </c>
      <c r="I2568" s="10" t="inlineStr">
        <is>
          <t>17/03/2026</t>
        </is>
      </c>
      <c r="J2568" s="10" t="inlineStr">
        <is>
          <t>Ngân hàng, Tài chính / Đầu tư, Luật / Pháp lý</t>
        </is>
      </c>
      <c r="K2568" s="10" t="inlineStr">
        <is>
          <t>N/A</t>
        </is>
      </c>
      <c r="L2568" s="11">
        <f>HYPERLINK("https://careerviet.vn/vi/tim-viec-lam/nv-cv-thn-hien-truong-dong-nai-tay-ninh-binh-phuoc-ta149-id859.35C68370.html","Xem chi tiết")</f>
        <v/>
      </c>
      <c r="M2568" s="10" t="n"/>
    </row>
    <row r="2569">
      <c r="B2569" s="7" t="n">
        <v>2567</v>
      </c>
      <c r="C2569" t="inlineStr">
        <is>
          <t>Nhân Viên Chứng Từ Hàng Air Tiếng Trung/Tiếng Anh</t>
        </is>
      </c>
      <c r="D2569" t="inlineStr">
        <is>
          <t>CÔNG TY TNHH BSI FREIGHT VIỆT NAM</t>
        </is>
      </c>
      <c r="E2569" t="inlineStr">
        <is>
          <t>Lương:18 Tr - 22 Tr VND</t>
        </is>
      </c>
      <c r="F2569" t="inlineStr">
        <is>
          <t>Hồ Chí Minh</t>
        </is>
      </c>
      <c r="G2569" t="inlineStr">
        <is>
          <t>12-04-2026</t>
        </is>
      </c>
      <c r="H2569" t="inlineStr">
        <is>
          <t>12/04/2026</t>
        </is>
      </c>
      <c r="I2569" t="inlineStr">
        <is>
          <t>17/03/2026</t>
        </is>
      </c>
      <c r="J2569" t="inlineStr">
        <is>
          <t>Vận chuyển / Giao nhận / Kho vận, Hành chính / Thư ký, Xuất nhập khẩu</t>
        </is>
      </c>
      <c r="K2569" t="inlineStr">
        <is>
          <t>2 - 3 Năm</t>
        </is>
      </c>
      <c r="L2569" s="8">
        <f>HYPERLINK("https://careerviet.vn/vi/tim-viec-lam/nhan-vien-chung-tu-hang-air-tieng-trung-tieng-anh.35C6C214.html","Xem chi tiết")</f>
        <v/>
      </c>
    </row>
    <row r="2570">
      <c r="B2570" s="9" t="n">
        <v>2568</v>
      </c>
      <c r="C2570" s="10" t="inlineStr">
        <is>
          <t>Chuyên Viên Phát Triển Đối Tác Kinh Doanh Vaccine (B2B) - Miền Nam</t>
        </is>
      </c>
      <c r="D2570" s="10" t="inlineStr">
        <is>
          <t>CÔNG TY CỔ PHẦN DƯỢC PHẨM FPT LONG CHÂU</t>
        </is>
      </c>
      <c r="E2570" s="10" t="inlineStr">
        <is>
          <t>Lương:13 Tr - 15 Tr VND</t>
        </is>
      </c>
      <c r="F2570" s="10" t="inlineStr">
        <is>
          <t>Hồ Chí Minh</t>
        </is>
      </c>
      <c r="G2570" s="10" t="inlineStr">
        <is>
          <t>10-04-2026</t>
        </is>
      </c>
      <c r="H2570" s="10" t="inlineStr">
        <is>
          <t>10/04/2026</t>
        </is>
      </c>
      <c r="I2570" s="10" t="inlineStr">
        <is>
          <t>17/03/2026</t>
        </is>
      </c>
      <c r="J2570" s="10" t="inlineStr">
        <is>
          <t>Bán hàng / Kinh doanh, Dược phẩm/ Hóa Mỹ Phẩm, Y tế / Chăm sóc sức khỏe / Thẩm mỹ / Làm đẹp</t>
        </is>
      </c>
      <c r="K2570" s="10" t="inlineStr">
        <is>
          <t>Lên đến 1 Năm</t>
        </is>
      </c>
      <c r="L2570" s="11">
        <f>HYPERLINK("https://careerviet.vn/vi/tim-viec-lam/chuyen-vien-phat-trien-doi-tac-kinh-doanh-vaccine-b2b-mien-nam.35C65287.html","Xem chi tiết")</f>
        <v/>
      </c>
      <c r="M2570" s="10" t="n"/>
    </row>
    <row r="2571">
      <c r="B2571" s="7" t="n">
        <v>2569</v>
      </c>
      <c r="C2571" t="inlineStr">
        <is>
          <t>Nhân Viên Kế Hoạch Sản Xuất-Nhà máy 2, KCX Linh Trung 2</t>
        </is>
      </c>
      <c r="D2571" t="inlineStr">
        <is>
          <t>CÔNG TY TRÁCH NHIỆM HỮU HẠN SÀI GÒN PRECISION</t>
        </is>
      </c>
      <c r="E2571" t="inlineStr">
        <is>
          <t>Lương:Cạnh tranh</t>
        </is>
      </c>
      <c r="F2571" t="inlineStr">
        <is>
          <t>Hồ Chí Minh</t>
        </is>
      </c>
      <c r="G2571" t="inlineStr">
        <is>
          <t>09-04-2026</t>
        </is>
      </c>
      <c r="H2571" t="inlineStr">
        <is>
          <t>09/04/2026</t>
        </is>
      </c>
      <c r="I2571" t="inlineStr">
        <is>
          <t>17/03/2026</t>
        </is>
      </c>
      <c r="J2571" t="inlineStr">
        <is>
          <t>Cơ khí / Ô tô / Tự động hóa, Sản xuất / Vận hành sản xuất</t>
        </is>
      </c>
      <c r="K2571" t="inlineStr">
        <is>
          <t>Lên đến 1 Năm</t>
        </is>
      </c>
      <c r="L2571" s="8">
        <f>HYPERLINK("https://careerviet.vn/vi/tim-viec-lam/nhan-vien-ke-hoach-san-xuat-nha-may-2-kcx-linh-trung-2.35C6C207.html","Xem chi tiết")</f>
        <v/>
      </c>
    </row>
    <row r="2572">
      <c r="B2572" s="9" t="n">
        <v>2570</v>
      </c>
      <c r="C2572" s="10" t="inlineStr">
        <is>
          <t>KỸ SƯ THIẾT KẾ CƠ KHÍ - NHÀ MÁY 2, KCX LINH TRUNG 2</t>
        </is>
      </c>
      <c r="D2572" s="10" t="inlineStr">
        <is>
          <t>CÔNG TY TRÁCH NHIỆM HỮU HẠN SÀI GÒN PRECISION</t>
        </is>
      </c>
      <c r="E2572" s="10" t="inlineStr">
        <is>
          <t>Lương:Cạnh tranh</t>
        </is>
      </c>
      <c r="F2572" s="10" t="inlineStr">
        <is>
          <t>Hồ Chí Minh</t>
        </is>
      </c>
      <c r="G2572" s="10" t="inlineStr">
        <is>
          <t>09-05-2026</t>
        </is>
      </c>
      <c r="H2572" s="10" t="inlineStr">
        <is>
          <t>09/05/2026</t>
        </is>
      </c>
      <c r="I2572" s="10" t="inlineStr">
        <is>
          <t>17/03/2026</t>
        </is>
      </c>
      <c r="J2572" s="10" t="inlineStr">
        <is>
          <t>Cơ khí / Ô tô / Tự động hóa</t>
        </is>
      </c>
      <c r="K2572" s="10" t="inlineStr">
        <is>
          <t>Lên đến 1 Năm</t>
        </is>
      </c>
      <c r="L2572" s="11">
        <f>HYPERLINK("https://careerviet.vn/vi/tim-viec-lam/ky-su-thiet-ke-co-khi-nha-may-2-kcx-linh-trung-2.35C6C22C.html","Xem chi tiết")</f>
        <v/>
      </c>
      <c r="M2572" s="10" t="n"/>
    </row>
    <row r="2573">
      <c r="B2573" s="7" t="n">
        <v>2571</v>
      </c>
      <c r="C2573" t="inlineStr">
        <is>
          <t>Giám Sát Kinh Doanh - Keo Dán Gạch, Silicon, Chống Thấm Weber</t>
        </is>
      </c>
      <c r="D2573" t="inlineStr">
        <is>
          <t>Bảo mật</t>
        </is>
      </c>
      <c r="E2573" t="inlineStr">
        <is>
          <t>Lương:Cạnh tranh</t>
        </is>
      </c>
      <c r="F2573" t="inlineStr">
        <is>
          <t>Đà Nẵng</t>
        </is>
      </c>
      <c r="G2573" t="inlineStr">
        <is>
          <t>10-04-2026</t>
        </is>
      </c>
      <c r="H2573" t="inlineStr">
        <is>
          <t>10/04/2026</t>
        </is>
      </c>
      <c r="I2573" t="inlineStr">
        <is>
          <t>17/03/2026</t>
        </is>
      </c>
      <c r="J2573" t="inlineStr">
        <is>
          <t>Bán lẻ / Bán sỉ, Bán hàng / Kinh doanh, Xây dựng</t>
        </is>
      </c>
      <c r="K2573" t="inlineStr">
        <is>
          <t>3 - 5 Năm</t>
        </is>
      </c>
      <c r="L2573" s="8">
        <f>HYPERLINK("https://careerviet.vn/vi/tim-viec-lam/giam-sat-kinh-doanh-keo-dan-gach-silicon-chong-tham-weber.35C6842F.html","Xem chi tiết")</f>
        <v/>
      </c>
    </row>
    <row r="2574">
      <c r="B2574" s="9" t="n">
        <v>2572</v>
      </c>
      <c r="C2574" s="10" t="inlineStr">
        <is>
          <t>Senior Data Analyst (Customer Segmentation)</t>
        </is>
      </c>
      <c r="D2574" s="10" t="inlineStr">
        <is>
          <t>FE CREDIT</t>
        </is>
      </c>
      <c r="E2574" s="10" t="inlineStr">
        <is>
          <t>Lương:Cạnh tranh</t>
        </is>
      </c>
      <c r="F2574" s="10" t="inlineStr">
        <is>
          <t>Hồ Chí Minh</t>
        </is>
      </c>
      <c r="G2574" s="10" t="inlineStr">
        <is>
          <t>10-04-2026</t>
        </is>
      </c>
      <c r="H2574" s="10" t="inlineStr">
        <is>
          <t>10/04/2026</t>
        </is>
      </c>
      <c r="I2574" s="10" t="inlineStr">
        <is>
          <t>17/03/2026</t>
        </is>
      </c>
      <c r="J2574" s="10" t="inlineStr">
        <is>
          <t>Tiếp thị / Marketing, Ngân hàng, Tài chính / Đầu tư</t>
        </is>
      </c>
      <c r="K2574" s="10" t="inlineStr">
        <is>
          <t>2 - 3 Năm</t>
        </is>
      </c>
      <c r="L2574" s="11">
        <f>HYPERLINK("https://careerviet.vn/vi/tim-viec-lam/senior-data-analyst-customer-segmentation.35C68416.html","Xem chi tiết")</f>
        <v/>
      </c>
      <c r="M2574" s="10" t="n"/>
    </row>
    <row r="2575">
      <c r="B2575" s="7" t="n">
        <v>2573</v>
      </c>
      <c r="C2575" t="inlineStr">
        <is>
          <t>QC Supervisor</t>
        </is>
      </c>
      <c r="D2575" t="inlineStr">
        <is>
          <t>Công Ty TNHH Tecan Precision Machining VN</t>
        </is>
      </c>
      <c r="E2575" t="inlineStr">
        <is>
          <t>Lương:Cạnh tranh</t>
        </is>
      </c>
      <c r="F2575" t="inlineStr">
        <is>
          <t>Bình Dương</t>
        </is>
      </c>
      <c r="G2575" t="inlineStr">
        <is>
          <t>10-04-2026</t>
        </is>
      </c>
      <c r="H2575" t="inlineStr">
        <is>
          <t>10/04/2026</t>
        </is>
      </c>
      <c r="I2575" t="inlineStr">
        <is>
          <t>17/03/2026</t>
        </is>
      </c>
      <c r="J2575" t="inlineStr">
        <is>
          <t>Cơ khí / Ô tô / Tự động hóa, Sản xuất / Vận hành sản xuất, Quản lý chất lượng (QA/QC)</t>
        </is>
      </c>
      <c r="K2575" t="inlineStr">
        <is>
          <t>3 - 5 Năm</t>
        </is>
      </c>
      <c r="L2575" s="8">
        <f>HYPERLINK("https://careerviet.vn/vi/tim-viec-lam/qc-supervisor.35C682EA.html","Xem chi tiết")</f>
        <v/>
      </c>
    </row>
    <row r="2576">
      <c r="B2576" s="9" t="n">
        <v>2574</v>
      </c>
      <c r="C2576" s="10" t="inlineStr">
        <is>
          <t>Chuyên Viên Kiểm Soát Tuân Thủ</t>
        </is>
      </c>
      <c r="D2576" s="10" t="inlineStr">
        <is>
          <t>Công ty Cổ Phần Thực Phẩm Dinh Dưỡng NutiFood</t>
        </is>
      </c>
      <c r="E2576" s="10" t="inlineStr">
        <is>
          <t>Lương:Cạnh tranh</t>
        </is>
      </c>
      <c r="F2576" s="10" t="inlineStr">
        <is>
          <t>Hồ Chí Minh</t>
        </is>
      </c>
      <c r="G2576" s="10" t="inlineStr">
        <is>
          <t>30-04-2026</t>
        </is>
      </c>
      <c r="H2576" s="10" t="inlineStr">
        <is>
          <t>30/04/2026</t>
        </is>
      </c>
      <c r="I2576" s="10" t="inlineStr">
        <is>
          <t>17/03/2026</t>
        </is>
      </c>
      <c r="J2576" s="10" t="inlineStr">
        <is>
          <t>Kế toán / Kiểm toán, Luật / Pháp lý</t>
        </is>
      </c>
      <c r="K2576" s="10" t="inlineStr">
        <is>
          <t>2 - 3 Năm</t>
        </is>
      </c>
      <c r="L2576" s="11">
        <f>HYPERLINK("https://careerviet.vn/vi/tim-viec-lam/chuyen-vien-kiem-soat-tuan-thu.35C6C234.html","Xem chi tiết")</f>
        <v/>
      </c>
      <c r="M2576" s="10" t="n"/>
    </row>
    <row r="2577">
      <c r="B2577" s="7" t="n">
        <v>2575</v>
      </c>
      <c r="C2577" t="inlineStr">
        <is>
          <t>KOL Business Development Specialist</t>
        </is>
      </c>
      <c r="D2577" t="inlineStr">
        <is>
          <t>Công ty TNHH TM Xuất Nhập Khẩu Megasoft (Việt Nam)</t>
        </is>
      </c>
      <c r="E2577" t="inlineStr">
        <is>
          <t>Lương:Cạnh tranh</t>
        </is>
      </c>
      <c r="F2577" t="inlineStr">
        <is>
          <t>Hồ Chí Minh</t>
        </is>
      </c>
      <c r="G2577" t="inlineStr">
        <is>
          <t>10-04-2026</t>
        </is>
      </c>
      <c r="H2577" t="inlineStr">
        <is>
          <t>10/04/2026</t>
        </is>
      </c>
      <c r="I2577" t="inlineStr">
        <is>
          <t>17/03/2026</t>
        </is>
      </c>
      <c r="J2577" t="inlineStr">
        <is>
          <t>Bán hàng / Kinh doanh, Tư vấn, Xuất nhập khẩu</t>
        </is>
      </c>
      <c r="K2577" t="inlineStr">
        <is>
          <t>1 - 3 Năm</t>
        </is>
      </c>
      <c r="L2577" s="8">
        <f>HYPERLINK("https://careerviet.vn/vi/tim-viec-lam/kol-business-development-specialist.35C68390.html","Xem chi tiết")</f>
        <v/>
      </c>
    </row>
    <row r="2578">
      <c r="B2578" s="9" t="n">
        <v>2576</v>
      </c>
      <c r="C2578" s="10" t="inlineStr">
        <is>
          <t>Nhân Viên Kỹ Thuật CNC</t>
        </is>
      </c>
      <c r="D2578" s="10" t="inlineStr">
        <is>
          <t>CÔNG TY TNHH WETOOL</t>
        </is>
      </c>
      <c r="E2578" s="10" t="inlineStr">
        <is>
          <t>Lương:14 Tr - 17 Tr VND</t>
        </is>
      </c>
      <c r="F2578" s="10" t="inlineStr">
        <is>
          <t>Long An</t>
        </is>
      </c>
      <c r="G2578" s="10" t="inlineStr">
        <is>
          <t>10-04-2026</t>
        </is>
      </c>
      <c r="H2578" s="10" t="inlineStr">
        <is>
          <t>10/04/2026</t>
        </is>
      </c>
      <c r="I2578" s="10" t="inlineStr">
        <is>
          <t>17/03/2026</t>
        </is>
      </c>
      <c r="J2578" s="10" t="inlineStr">
        <is>
          <t>Cơ khí / Ô tô / Tự động hóa, Sản xuất / Vận hành sản xuất</t>
        </is>
      </c>
      <c r="K2578" s="10" t="inlineStr">
        <is>
          <t>1 - 2 Năm</t>
        </is>
      </c>
      <c r="L2578" s="11">
        <f>HYPERLINK("https://careerviet.vn/vi/tim-viec-lam/nhan-vien-ky-thuat-cnc.35C68406.html","Xem chi tiết")</f>
        <v/>
      </c>
      <c r="M2578" s="10" t="n"/>
    </row>
    <row r="2579">
      <c r="B2579" s="7" t="n">
        <v>2577</v>
      </c>
      <c r="C2579" t="inlineStr">
        <is>
          <t>Medical Representative</t>
        </is>
      </c>
      <c r="D2579" t="inlineStr">
        <is>
          <t>CÔNG TY TNHH MINTHACARE</t>
        </is>
      </c>
      <c r="E2579" t="inlineStr">
        <is>
          <t>Lương:Cạnh tranh</t>
        </is>
      </c>
      <c r="F2579" t="inlineStr">
        <is>
          <t>Hồ Chí Minh</t>
        </is>
      </c>
      <c r="G2579" t="inlineStr">
        <is>
          <t>10-04-2026</t>
        </is>
      </c>
      <c r="H2579" t="inlineStr">
        <is>
          <t>10/04/2026</t>
        </is>
      </c>
      <c r="I2579" t="inlineStr">
        <is>
          <t>17/03/2026</t>
        </is>
      </c>
      <c r="J2579" t="inlineStr">
        <is>
          <t>Tiếp thị / Marketing, Bán lẻ / Bán sỉ, Dược phẩm/ Hóa Mỹ Phẩm</t>
        </is>
      </c>
      <c r="K2579" t="inlineStr">
        <is>
          <t>1 - 5 Năm</t>
        </is>
      </c>
      <c r="L2579" s="8">
        <f>HYPERLINK("https://careerviet.vn/vi/tim-viec-lam/medical-representative.35C6845D.html","Xem chi tiết")</f>
        <v/>
      </c>
    </row>
    <row r="2580">
      <c r="B2580" s="9" t="n">
        <v>2578</v>
      </c>
      <c r="C2580" s="10" t="inlineStr">
        <is>
          <t>Chuyên gia nghiên cứu và phát triển sản phẩm tín dụng - Khối Khách hàng doanh nghiệp</t>
        </is>
      </c>
      <c r="D2580" s="10" t="inlineStr">
        <is>
          <t>Ngân hàng TMCP Đại Chúng Việt Nam - PVcomBank</t>
        </is>
      </c>
      <c r="E2580" s="10" t="inlineStr">
        <is>
          <t>Lương:Cạnh tranh</t>
        </is>
      </c>
      <c r="F2580" s="10" t="inlineStr">
        <is>
          <t>Hà Nội</t>
        </is>
      </c>
      <c r="G2580" s="10" t="inlineStr">
        <is>
          <t>10-04-2026</t>
        </is>
      </c>
      <c r="H2580" s="10" t="inlineStr">
        <is>
          <t>10/04/2026</t>
        </is>
      </c>
      <c r="I2580" s="10" t="inlineStr">
        <is>
          <t>17/03/2026</t>
        </is>
      </c>
      <c r="J2580" s="10" t="inlineStr">
        <is>
          <t>Ngân hàng, Tài chính / Đầu tư</t>
        </is>
      </c>
      <c r="K2580" s="10" t="inlineStr">
        <is>
          <t>3 - 10 Năm</t>
        </is>
      </c>
      <c r="L2580" s="11">
        <f>HYPERLINK("https://careerviet.vn/vi/tim-viec-lam/chuyen-gia-nghien-cuu-va-phat-trien-san-pham-tin-dung-khoi-khach-hang-doanh-nghiep.35C6834F.html","Xem chi tiết")</f>
        <v/>
      </c>
      <c r="M2580" s="10" t="n"/>
    </row>
    <row r="2581">
      <c r="B2581" s="7" t="n">
        <v>2579</v>
      </c>
      <c r="C2581" t="inlineStr">
        <is>
          <t>Sales Admin</t>
        </is>
      </c>
      <c r="D2581" t="inlineStr">
        <is>
          <t>Công Ty TNHH Tư Vấn Kỹ Thuật Và Tin Học Thương Mại Viet C.A.D</t>
        </is>
      </c>
      <c r="E2581" t="inlineStr">
        <is>
          <t>Lương:8 Tr - 10 Tr VND</t>
        </is>
      </c>
      <c r="F2581" t="inlineStr">
        <is>
          <t>Hà Nội</t>
        </is>
      </c>
      <c r="G2581" t="inlineStr">
        <is>
          <t>10-04-2026</t>
        </is>
      </c>
      <c r="H2581" t="inlineStr">
        <is>
          <t>10/04/2026</t>
        </is>
      </c>
      <c r="I2581" t="inlineStr">
        <is>
          <t>17/03/2026</t>
        </is>
      </c>
      <c r="J2581" t="inlineStr">
        <is>
          <t>Bán hàng / Kinh doanh, Hành chính / Thư ký, CNTT - Phần mềm</t>
        </is>
      </c>
      <c r="K2581" t="inlineStr">
        <is>
          <t>2 - 3 Năm</t>
        </is>
      </c>
      <c r="L2581" s="8">
        <f>HYPERLINK("https://careerviet.vn/vi/tim-viec-lam/sales-admin.35C65276.html","Xem chi tiết")</f>
        <v/>
      </c>
    </row>
    <row r="2582">
      <c r="B2582" s="9" t="n">
        <v>2580</v>
      </c>
      <c r="C2582" s="10" t="inlineStr">
        <is>
          <t>NV/CV THN Hiện Trường - Nợ Sớm - Tây Ninh, Bình Dương, Bà Rịa Vũng Tàu - ID859</t>
        </is>
      </c>
      <c r="D2582" s="10" t="inlineStr">
        <is>
          <t>Ngân Hàng TMCP Việt Nam Thịnh Vượng - VPBANK</t>
        </is>
      </c>
      <c r="E2582" s="10" t="inlineStr">
        <is>
          <t>Lương:Cạnh tranh</t>
        </is>
      </c>
      <c r="F2582" s="10" t="inlineStr">
        <is>
          <t>Bà Rịa - Vũng TàuBình DươngTây Ninh</t>
        </is>
      </c>
      <c r="G2582" s="10" t="inlineStr">
        <is>
          <t>10-04-2026</t>
        </is>
      </c>
      <c r="H2582" s="10" t="inlineStr">
        <is>
          <t>10/04/2026</t>
        </is>
      </c>
      <c r="I2582" s="10" t="inlineStr">
        <is>
          <t>17/03/2026</t>
        </is>
      </c>
      <c r="J2582" s="10" t="inlineStr">
        <is>
          <t>Dịch vụ khách hàng, Ngân hàng, Tài chính / Đầu tư</t>
        </is>
      </c>
      <c r="K2582" s="10" t="inlineStr">
        <is>
          <t>N/A</t>
        </is>
      </c>
      <c r="L2582" s="11">
        <f>HYPERLINK("https://careerviet.vn/vi/tim-viec-lam/nv-cv-thn-hien-truong-no-som-tay-ninh-binh-duong-ba-ria-vung-tau-id859.35C6837C.html","Xem chi tiết")</f>
        <v/>
      </c>
      <c r="M2582" s="10" t="n"/>
    </row>
    <row r="2583">
      <c r="B2583" s="7" t="n">
        <v>2581</v>
      </c>
      <c r="C2583" t="inlineStr">
        <is>
          <t>NV/CV THN Hiện Trường - Hải Phòng, Thái Nguyên, Bắc Ninh - ID593</t>
        </is>
      </c>
      <c r="D2583" t="inlineStr">
        <is>
          <t>Ngân Hàng TMCP Việt Nam Thịnh Vượng - VPBANK</t>
        </is>
      </c>
      <c r="E2583" t="inlineStr">
        <is>
          <t>Lương:Cạnh tranh</t>
        </is>
      </c>
      <c r="F2583" t="inlineStr">
        <is>
          <t>Hải PhòngThái NguyênBắc Ninh</t>
        </is>
      </c>
      <c r="G2583" t="inlineStr">
        <is>
          <t>10-04-2026</t>
        </is>
      </c>
      <c r="H2583" t="inlineStr">
        <is>
          <t>10/04/2026</t>
        </is>
      </c>
      <c r="I2583" t="inlineStr">
        <is>
          <t>17/03/2026</t>
        </is>
      </c>
      <c r="J2583" t="inlineStr">
        <is>
          <t>Ngân hàng, Tài chính / Đầu tư, Luật / Pháp lý</t>
        </is>
      </c>
      <c r="K2583" t="inlineStr">
        <is>
          <t>N/A</t>
        </is>
      </c>
      <c r="L2583" s="8">
        <f>HYPERLINK("https://careerviet.vn/vi/tim-viec-lam/nv-cv-thn-hien-truong-hai-phong-thai-nguyen-bac-ninh-id593.35C68364.html","Xem chi tiết")</f>
        <v/>
      </c>
    </row>
    <row r="2584">
      <c r="B2584" s="9" t="n">
        <v>2582</v>
      </c>
      <c r="C2584" s="10" t="inlineStr">
        <is>
          <t>Trưởng phòng XLN Pháp lý - Miền Bắc - TA092</t>
        </is>
      </c>
      <c r="D2584" s="10" t="inlineStr">
        <is>
          <t>Ngân Hàng TMCP Việt Nam Thịnh Vượng - VPBANK</t>
        </is>
      </c>
      <c r="E2584" s="10" t="inlineStr">
        <is>
          <t>Lương:Cạnh tranh</t>
        </is>
      </c>
      <c r="F2584" s="10" t="inlineStr">
        <is>
          <t>Hồ Chí MinhQuảng NinhHải Phòng</t>
        </is>
      </c>
      <c r="G2584" s="10" t="inlineStr">
        <is>
          <t>10-04-2026</t>
        </is>
      </c>
      <c r="H2584" s="10" t="inlineStr">
        <is>
          <t>10/04/2026</t>
        </is>
      </c>
      <c r="I2584" s="10" t="inlineStr">
        <is>
          <t>17/03/2026</t>
        </is>
      </c>
      <c r="J2584" s="10" t="inlineStr">
        <is>
          <t>Ngân hàng, Tài chính / Đầu tư, Luật / Pháp lý</t>
        </is>
      </c>
      <c r="K2584" s="10" t="inlineStr">
        <is>
          <t>2 - 3 Năm</t>
        </is>
      </c>
      <c r="L2584" s="11">
        <f>HYPERLINK("https://careerviet.vn/vi/tim-viec-lam/truong-phong-xln-phap-ly-mien-bac-ta092.35C6835C.html","Xem chi tiết")</f>
        <v/>
      </c>
      <c r="M2584" s="10" t="n"/>
    </row>
    <row r="2585">
      <c r="B2585" s="7" t="n">
        <v>2583</v>
      </c>
      <c r="C2585" t="inlineStr">
        <is>
          <t>Chuyên viên Kiểm soát Thiết kế cơ điện (M&amp;E)</t>
        </is>
      </c>
      <c r="D2585" t="inlineStr">
        <is>
          <t>Công Ty Cổ Phần Quốc Tế Sơn Hà</t>
        </is>
      </c>
      <c r="E2585" t="inlineStr">
        <is>
          <t>Lương:Cạnh tranh</t>
        </is>
      </c>
      <c r="F2585" t="inlineStr">
        <is>
          <t>Hà Nội</t>
        </is>
      </c>
      <c r="G2585" t="inlineStr">
        <is>
          <t>10-04-2026</t>
        </is>
      </c>
      <c r="H2585" t="inlineStr">
        <is>
          <t>10/04/2026</t>
        </is>
      </c>
      <c r="I2585" t="inlineStr">
        <is>
          <t>17/03/2026</t>
        </is>
      </c>
      <c r="J2585" t="inlineStr">
        <is>
          <t>Xây dựng</t>
        </is>
      </c>
      <c r="K2585" t="inlineStr">
        <is>
          <t>3 - 7 Năm</t>
        </is>
      </c>
      <c r="L2585" s="8">
        <f>HYPERLINK("https://careerviet.vn/vi/tim-viec-lam/chuyen-vien-kiem-soat-thiet-ke-co-dien-m-e.35C683CC.html","Xem chi tiết")</f>
        <v/>
      </c>
    </row>
    <row r="2586">
      <c r="B2586" s="9" t="n">
        <v>2584</v>
      </c>
      <c r="C2586" s="10" t="inlineStr">
        <is>
          <t>NV/CV Thu Hồi Nợ Hiện Trường - TA079 - Bình Định, Gia Lai, Khánh Hòa - ID860</t>
        </is>
      </c>
      <c r="D2586" s="10" t="inlineStr">
        <is>
          <t>Ngân Hàng TMCP Việt Nam Thịnh Vượng - VPBANK</t>
        </is>
      </c>
      <c r="E2586" s="10" t="inlineStr">
        <is>
          <t>Lương:Cạnh tranh</t>
        </is>
      </c>
      <c r="F2586" s="10" t="inlineStr">
        <is>
          <t>Bình ĐịnhGia LaiKhánh Hòa</t>
        </is>
      </c>
      <c r="G2586" s="10" t="inlineStr">
        <is>
          <t>10-04-2026</t>
        </is>
      </c>
      <c r="H2586" s="10" t="inlineStr">
        <is>
          <t>10/04/2026</t>
        </is>
      </c>
      <c r="I2586" s="10" t="inlineStr">
        <is>
          <t>17/03/2026</t>
        </is>
      </c>
      <c r="J2586" s="10" t="inlineStr">
        <is>
          <t>Ngân hàng, Tài chính / Đầu tư, Luật / Pháp lý</t>
        </is>
      </c>
      <c r="K2586" s="10" t="inlineStr">
        <is>
          <t>N/A</t>
        </is>
      </c>
      <c r="L2586" s="11">
        <f>HYPERLINK("https://careerviet.vn/vi/tim-viec-lam/nv-cv-thu-hoi-no-hien-truong-ta079-binh-dinh-gia-lai-khanh-hoa-id860.35C68356.html","Xem chi tiết")</f>
        <v/>
      </c>
      <c r="M2586" s="10" t="n"/>
    </row>
    <row r="2587">
      <c r="B2587" s="7" t="n">
        <v>2585</v>
      </c>
      <c r="C2587" t="inlineStr">
        <is>
          <t>Quản Lý / Giám Sát Kinh Doanh Kênh Siêu Thị</t>
        </is>
      </c>
      <c r="D2587" t="inlineStr">
        <is>
          <t>CÔNG TY TNHH MỘT THÀNH VIÊN XUẤT NHẬP KHẨU THƯƠNG MẠI DỊCH VỤ HÙNG THỦY</t>
        </is>
      </c>
      <c r="E2587" t="inlineStr">
        <is>
          <t>Lương:15 Tr - 30 Tr VND</t>
        </is>
      </c>
      <c r="F2587" t="inlineStr">
        <is>
          <t>Hồ Chí Minh</t>
        </is>
      </c>
      <c r="G2587" t="inlineStr">
        <is>
          <t>10-04-2026</t>
        </is>
      </c>
      <c r="H2587" t="inlineStr">
        <is>
          <t>10/04/2026</t>
        </is>
      </c>
      <c r="I2587" t="inlineStr">
        <is>
          <t>17/03/2026</t>
        </is>
      </c>
      <c r="J2587" t="inlineStr">
        <is>
          <t>Bán lẻ / Bán sỉ, Bán hàng / Kinh doanh, Hàng gia dụng / Chăm sóc cá nhân</t>
        </is>
      </c>
      <c r="K2587" t="inlineStr">
        <is>
          <t>2 - 5 Năm</t>
        </is>
      </c>
      <c r="L2587" s="8">
        <f>HYPERLINK("https://careerviet.vn/vi/tim-viec-lam/quan-ly-giam-sat-kinh-doanh-kenh-sieu-thi.35C68393.html","Xem chi tiết")</f>
        <v/>
      </c>
    </row>
    <row r="2588">
      <c r="B2588" s="9" t="n">
        <v>2586</v>
      </c>
      <c r="C2588" s="10" t="inlineStr">
        <is>
          <t>NV/CV THN Hiện Trường - Nợ Sớm - Bình Phước, Lâm Đồng, Hồ Chí Minh - ID859</t>
        </is>
      </c>
      <c r="D2588" s="10" t="inlineStr">
        <is>
          <t>Ngân Hàng TMCP Việt Nam Thịnh Vượng - VPBANK</t>
        </is>
      </c>
      <c r="E2588" s="10" t="inlineStr">
        <is>
          <t>Lương:Cạnh tranh</t>
        </is>
      </c>
      <c r="F2588" s="10" t="inlineStr">
        <is>
          <t>Hồ Chí MinhBình PhướcLâm Đồng</t>
        </is>
      </c>
      <c r="G2588" s="10" t="inlineStr">
        <is>
          <t>10-04-2026</t>
        </is>
      </c>
      <c r="H2588" s="10" t="inlineStr">
        <is>
          <t>10/04/2026</t>
        </is>
      </c>
      <c r="I2588" s="10" t="inlineStr">
        <is>
          <t>17/03/2026</t>
        </is>
      </c>
      <c r="J2588" s="10" t="inlineStr">
        <is>
          <t>Ngân hàng, Tài chính / Đầu tư, Luật / Pháp lý</t>
        </is>
      </c>
      <c r="K2588" s="10" t="inlineStr">
        <is>
          <t>N/A</t>
        </is>
      </c>
      <c r="L2588" s="11">
        <f>HYPERLINK("https://careerviet.vn/vi/tim-viec-lam/nv-cv-thn-hien-truong-no-som-binh-phuoc-lam-dong-ho-chi-minh-id859.35C68346.html","Xem chi tiết")</f>
        <v/>
      </c>
      <c r="M2588" s="10" t="n"/>
    </row>
    <row r="2589">
      <c r="B2589" s="7" t="n">
        <v>2587</v>
      </c>
      <c r="C2589" t="inlineStr">
        <is>
          <t>QUẢNG NINH - KẾ TOÁN VẬN HÀNH</t>
        </is>
      </c>
      <c r="D2589" t="inlineStr">
        <is>
          <t>BIM Group</t>
        </is>
      </c>
      <c r="E2589" t="inlineStr">
        <is>
          <t>Lương:Cạnh tranh</t>
        </is>
      </c>
      <c r="F2589" t="inlineStr">
        <is>
          <t>Quảng Ninh</t>
        </is>
      </c>
      <c r="G2589" t="inlineStr">
        <is>
          <t>10-04-2026</t>
        </is>
      </c>
      <c r="H2589" t="inlineStr">
        <is>
          <t>10/04/2026</t>
        </is>
      </c>
      <c r="I2589" t="inlineStr">
        <is>
          <t>17/03/2026</t>
        </is>
      </c>
      <c r="J2589" t="inlineStr">
        <is>
          <t>Kế toán / Kiểm toán</t>
        </is>
      </c>
      <c r="K2589" t="inlineStr">
        <is>
          <t>1 - 2 Năm</t>
        </is>
      </c>
      <c r="L2589" s="8">
        <f>HYPERLINK("https://careerviet.vn/vi/tim-viec-lam/quang-ninh-ke-toan-van-hanh.35C68383.html","Xem chi tiết")</f>
        <v/>
      </c>
    </row>
    <row r="2590">
      <c r="B2590" s="9" t="n">
        <v>2588</v>
      </c>
      <c r="C2590" s="10" t="inlineStr">
        <is>
          <t>Dược Sĩ</t>
        </is>
      </c>
      <c r="D2590" s="10" t="inlineStr">
        <is>
          <t>Công ty CP Bệnh Viện Đa Khoa Quốc Tế Vinmec</t>
        </is>
      </c>
      <c r="E2590" s="10" t="inlineStr">
        <is>
          <t>Lương:Cạnh tranh</t>
        </is>
      </c>
      <c r="F2590" s="10" t="inlineStr">
        <is>
          <t>Hà Nội</t>
        </is>
      </c>
      <c r="G2590" s="10" t="inlineStr">
        <is>
          <t>10-04-2026</t>
        </is>
      </c>
      <c r="H2590" s="10" t="inlineStr">
        <is>
          <t>10/04/2026</t>
        </is>
      </c>
      <c r="I2590" s="10" t="inlineStr">
        <is>
          <t>17/03/2026</t>
        </is>
      </c>
      <c r="J2590" s="10" t="inlineStr">
        <is>
          <t>Y tế / Chăm sóc sức khỏe / Thẩm mỹ / Làm đẹp</t>
        </is>
      </c>
      <c r="K2590" s="10" t="inlineStr">
        <is>
          <t>Trên 1 Năm</t>
        </is>
      </c>
      <c r="L2590" s="11">
        <f>HYPERLINK("https://careerviet.vn/vi/tim-viec-lam/duoc-si.35C652BC.html","Xem chi tiết")</f>
        <v/>
      </c>
      <c r="M2590" s="10" t="n"/>
    </row>
    <row r="2591">
      <c r="B2591" s="7" t="n">
        <v>2589</v>
      </c>
      <c r="C2591" t="inlineStr">
        <is>
          <t>NV/CV Thu Hồi Nợ Hiện Trường - Mekong - TA149 - ID859</t>
        </is>
      </c>
      <c r="D2591" t="inlineStr">
        <is>
          <t>Ngân Hàng TMCP Việt Nam Thịnh Vượng - VPBANK</t>
        </is>
      </c>
      <c r="E2591" t="inlineStr">
        <is>
          <t>Lương:Cạnh tranh</t>
        </is>
      </c>
      <c r="F2591" t="inlineStr">
        <is>
          <t>Cần ThơCà MauKiên Giang</t>
        </is>
      </c>
      <c r="G2591" t="inlineStr">
        <is>
          <t>10-04-2026</t>
        </is>
      </c>
      <c r="H2591" t="inlineStr">
        <is>
          <t>10/04/2026</t>
        </is>
      </c>
      <c r="I2591" t="inlineStr">
        <is>
          <t>17/03/2026</t>
        </is>
      </c>
      <c r="J2591" t="inlineStr">
        <is>
          <t>Ngân hàng, Tài chính / Đầu tư, Luật / Pháp lý</t>
        </is>
      </c>
      <c r="K2591" t="inlineStr">
        <is>
          <t>N/A</t>
        </is>
      </c>
      <c r="L2591" s="8">
        <f>HYPERLINK("https://careerviet.vn/vi/tim-viec-lam/nv-cv-thu-hoi-no-hien-truong-mekong-ta149-id859.35C68376.html","Xem chi tiết")</f>
        <v/>
      </c>
    </row>
    <row r="2592">
      <c r="B2592" s="9" t="n">
        <v>2590</v>
      </c>
      <c r="C2592" s="10" t="inlineStr">
        <is>
          <t>Giám đốc Kinh doanh Chi nhánh TP.HCM – Dược phẩm</t>
        </is>
      </c>
      <c r="D2592" s="10" t="inlineStr">
        <is>
          <t>Công ty TNHH Bình Việt Đức (BIVID)</t>
        </is>
      </c>
      <c r="E2592" s="10" t="inlineStr">
        <is>
          <t>Lương:35 Tr - 50 Tr VND</t>
        </is>
      </c>
      <c r="F2592" s="10" t="inlineStr">
        <is>
          <t>Hồ Chí Minh</t>
        </is>
      </c>
      <c r="G2592" s="10" t="inlineStr">
        <is>
          <t>10-04-2026</t>
        </is>
      </c>
      <c r="H2592" s="10" t="inlineStr">
        <is>
          <t>10/04/2026</t>
        </is>
      </c>
      <c r="I2592" s="10" t="inlineStr">
        <is>
          <t>17/03/2026</t>
        </is>
      </c>
      <c r="J2592" s="10" t="inlineStr">
        <is>
          <t>Bán hàng / Kinh doanh, Dược phẩm/ Hóa Mỹ Phẩm</t>
        </is>
      </c>
      <c r="K2592" s="10" t="inlineStr">
        <is>
          <t>3 - 5 Năm</t>
        </is>
      </c>
      <c r="L2592" s="11">
        <f>HYPERLINK("https://careerviet.vn/vi/tim-viec-lam/giam-doc-kinh-doanh-chi-nhanh-tp-hcm-duoc-pham.35C682FD.html","Xem chi tiết")</f>
        <v/>
      </c>
      <c r="M2592" s="10" t="n"/>
    </row>
    <row r="2593">
      <c r="B2593" s="7" t="n">
        <v>2591</v>
      </c>
      <c r="C2593" t="inlineStr">
        <is>
          <t>Kế toán giá thành sản xuất</t>
        </is>
      </c>
      <c r="D2593" t="inlineStr">
        <is>
          <t>Thuan Phuong Group</t>
        </is>
      </c>
      <c r="E2593" t="inlineStr">
        <is>
          <t>Lương:Cạnh tranh</t>
        </is>
      </c>
      <c r="F2593" t="inlineStr">
        <is>
          <t>Hồ Chí Minh</t>
        </is>
      </c>
      <c r="G2593" t="inlineStr">
        <is>
          <t>09-04-2026</t>
        </is>
      </c>
      <c r="H2593" t="inlineStr">
        <is>
          <t>09/04/2026</t>
        </is>
      </c>
      <c r="I2593" t="inlineStr">
        <is>
          <t>17/03/2026</t>
        </is>
      </c>
      <c r="J2593" t="inlineStr">
        <is>
          <t>Dệt may / Da giày / Thời trang, Kế toán / Kiểm toán</t>
        </is>
      </c>
      <c r="K2593" t="inlineStr">
        <is>
          <t>Trên 3 Năm</t>
        </is>
      </c>
      <c r="L2593" s="8">
        <f>HYPERLINK("https://careerviet.vn/vi/tim-viec-lam/ke-toan-gia-thanh-san-xuat.35C6838E.html","Xem chi tiết")</f>
        <v/>
      </c>
    </row>
    <row r="2594">
      <c r="B2594" s="9" t="n">
        <v>2592</v>
      </c>
      <c r="C2594" s="10" t="inlineStr">
        <is>
          <t>Senior Customer Acquisition Specialist</t>
        </is>
      </c>
      <c r="D2594" s="10" t="inlineStr">
        <is>
          <t>FE CREDIT</t>
        </is>
      </c>
      <c r="E2594" s="10" t="inlineStr">
        <is>
          <t>Lương:Cạnh tranh</t>
        </is>
      </c>
      <c r="F2594" s="10" t="inlineStr">
        <is>
          <t>Hồ Chí Minh</t>
        </is>
      </c>
      <c r="G2594" s="10" t="inlineStr">
        <is>
          <t>10-04-2026</t>
        </is>
      </c>
      <c r="H2594" s="10" t="inlineStr">
        <is>
          <t>10/04/2026</t>
        </is>
      </c>
      <c r="I2594" s="10" t="inlineStr">
        <is>
          <t>17/03/2026</t>
        </is>
      </c>
      <c r="J2594" s="10" t="inlineStr">
        <is>
          <t>Tiếp thị / Marketing, Tiếp thị trực tuyến, Ngân hàng</t>
        </is>
      </c>
      <c r="K2594" s="10" t="inlineStr">
        <is>
          <t>3 - 4 Năm</t>
        </is>
      </c>
      <c r="L2594" s="11">
        <f>HYPERLINK("https://careerviet.vn/vi/tim-viec-lam/senior-customer-acquisition-specialist.35C6841E.html","Xem chi tiết")</f>
        <v/>
      </c>
      <c r="M2594" s="10" t="n"/>
    </row>
    <row r="2595">
      <c r="B2595" s="7" t="n">
        <v>2593</v>
      </c>
      <c r="C2595" t="inlineStr">
        <is>
          <t>ESG Manager</t>
        </is>
      </c>
      <c r="D2595" t="inlineStr">
        <is>
          <t>Cổ Phần Kết Nối Nhân Tài - Talentnet Corporation</t>
        </is>
      </c>
      <c r="E2595" t="inlineStr">
        <is>
          <t>Lương:Cạnh tranh</t>
        </is>
      </c>
      <c r="F2595" t="inlineStr">
        <is>
          <t>Hồ Chí Minh</t>
        </is>
      </c>
      <c r="G2595" t="inlineStr">
        <is>
          <t>10-04-2026</t>
        </is>
      </c>
      <c r="H2595" t="inlineStr">
        <is>
          <t>10/04/2026</t>
        </is>
      </c>
      <c r="I2595" t="inlineStr">
        <is>
          <t>17/03/2026</t>
        </is>
      </c>
      <c r="J2595" t="inlineStr">
        <is>
          <t>Nhân sự</t>
        </is>
      </c>
      <c r="K2595" t="inlineStr">
        <is>
          <t>6 - 7 Năm</t>
        </is>
      </c>
      <c r="L2595" s="8">
        <f>HYPERLINK("https://careerviet.vn/vi/tim-viec-lam/esg-manager.35C683CB.html","Xem chi tiết")</f>
        <v/>
      </c>
    </row>
    <row r="2596">
      <c r="B2596" s="9" t="n">
        <v>2594</v>
      </c>
      <c r="C2596" s="10" t="inlineStr">
        <is>
          <t>Club InterContinental Agent</t>
        </is>
      </c>
      <c r="D2596" s="10" t="inlineStr">
        <is>
          <t>Công Ty TNHH Dự Án Hồ Tràm</t>
        </is>
      </c>
      <c r="E2596" s="10" t="inlineStr">
        <is>
          <t>Lương:Cạnh tranh</t>
        </is>
      </c>
      <c r="F2596" s="10" t="inlineStr">
        <is>
          <t>Hồ Chí Minh</t>
        </is>
      </c>
      <c r="G2596" s="10" t="inlineStr">
        <is>
          <t>10-04-2026</t>
        </is>
      </c>
      <c r="H2596" s="10" t="inlineStr">
        <is>
          <t>10/04/2026</t>
        </is>
      </c>
      <c r="I2596" s="10" t="inlineStr">
        <is>
          <t>17/03/2026</t>
        </is>
      </c>
      <c r="J2596" s="10" t="inlineStr">
        <is>
          <t>Dịch vụ khách hàng</t>
        </is>
      </c>
      <c r="K2596" s="10" t="inlineStr">
        <is>
          <t>1 - 2 Năm</t>
        </is>
      </c>
      <c r="L2596" s="11">
        <f>HYPERLINK("https://careerviet.vn/vi/tim-viec-lam/club-intercontinental-agent.35C682FA.html","Xem chi tiết")</f>
        <v/>
      </c>
      <c r="M2596" s="10" t="n"/>
    </row>
    <row r="2597">
      <c r="B2597" s="7" t="n">
        <v>2595</v>
      </c>
      <c r="C2597" t="inlineStr">
        <is>
          <t>128163 - [Ha Noi] Sales &amp; Marketing Assistant Manager - Real Estate</t>
        </is>
      </c>
      <c r="D2597" t="inlineStr">
        <is>
          <t>RGF HR Agent Vietnam Co., LTD</t>
        </is>
      </c>
      <c r="E2597" t="inlineStr">
        <is>
          <t>Lương:Cạnh tranh</t>
        </is>
      </c>
      <c r="F2597" t="inlineStr">
        <is>
          <t>Hà Nội</t>
        </is>
      </c>
      <c r="G2597" t="inlineStr">
        <is>
          <t>26-03-2026</t>
        </is>
      </c>
      <c r="H2597" t="inlineStr">
        <is>
          <t>26/03/2026</t>
        </is>
      </c>
      <c r="I2597" t="inlineStr">
        <is>
          <t>17/03/2026</t>
        </is>
      </c>
      <c r="J2597" t="inlineStr">
        <is>
          <t>Bán lẻ / Bán sỉ, Tiếp thị / Marketing, Bất động sản</t>
        </is>
      </c>
      <c r="K2597" t="inlineStr">
        <is>
          <t>Trên 3 Năm</t>
        </is>
      </c>
      <c r="L2597" s="8">
        <f>HYPERLINK("https://careerviet.vn/vi/tim-viec-lam/128163-ha-noi-sales-marketing-assistant-manager-real-estate.35C69B6E.html","Xem chi tiết")</f>
        <v/>
      </c>
    </row>
    <row r="2598">
      <c r="B2598" s="9" t="n">
        <v>2596</v>
      </c>
      <c r="C2598" s="10" t="inlineStr">
        <is>
          <t>NV/CV THN Hiện Trường - Hồ Chí Minh, Bình Dương, Vũng Tàu - ID859</t>
        </is>
      </c>
      <c r="D2598" s="10" t="inlineStr">
        <is>
          <t>Ngân Hàng TMCP Việt Nam Thịnh Vượng - VPBANK</t>
        </is>
      </c>
      <c r="E2598" s="10" t="inlineStr">
        <is>
          <t>Lương:20 Tr - 50 Tr VND</t>
        </is>
      </c>
      <c r="F2598" s="10" t="inlineStr">
        <is>
          <t>Hồ Chí MinhBình DươngBà Rịa - Vũng Tàu</t>
        </is>
      </c>
      <c r="G2598" s="10" t="inlineStr">
        <is>
          <t>10-04-2026</t>
        </is>
      </c>
      <c r="H2598" s="10" t="inlineStr">
        <is>
          <t>10/04/2026</t>
        </is>
      </c>
      <c r="I2598" s="10" t="inlineStr">
        <is>
          <t>17/03/2026</t>
        </is>
      </c>
      <c r="J2598" s="10" t="inlineStr">
        <is>
          <t>Ngân hàng, Tài chính / Đầu tư, Luật / Pháp lý</t>
        </is>
      </c>
      <c r="K2598" s="10" t="inlineStr">
        <is>
          <t>N/A</t>
        </is>
      </c>
      <c r="L2598" s="11">
        <f>HYPERLINK("https://careerviet.vn/vi/tim-viec-lam/nv-cv-thn-hien-truong-ho-chi-minh-binh-duong-vung-tau-id859.35C68350.html","Xem chi tiết")</f>
        <v/>
      </c>
      <c r="M2598" s="10" t="n"/>
    </row>
    <row r="2599">
      <c r="B2599" s="7" t="n">
        <v>2597</v>
      </c>
      <c r="C2599" t="inlineStr">
        <is>
          <t>NHÂN VIÊN VI TÍNH CO.OPMART CHÂU ĐỐC (AN GIANG)</t>
        </is>
      </c>
      <c r="D2599" t="inlineStr">
        <is>
          <t>Liên Hiệp HTX Thương Mại TPHCM - SAIGON CO.OP</t>
        </is>
      </c>
      <c r="E2599" t="inlineStr">
        <is>
          <t>Lương:Cạnh tranh</t>
        </is>
      </c>
      <c r="F2599" t="inlineStr">
        <is>
          <t>An Giang</t>
        </is>
      </c>
      <c r="G2599" t="inlineStr">
        <is>
          <t>10-04-2026</t>
        </is>
      </c>
      <c r="H2599" t="inlineStr">
        <is>
          <t>10/04/2026</t>
        </is>
      </c>
      <c r="I2599" t="inlineStr">
        <is>
          <t>17/03/2026</t>
        </is>
      </c>
      <c r="J2599" t="inlineStr">
        <is>
          <t>CNTT - Phần mềm, CNTT - Phần cứng / Mạng</t>
        </is>
      </c>
      <c r="K2599" t="inlineStr">
        <is>
          <t>1 - 2 Năm</t>
        </is>
      </c>
      <c r="L2599" s="8">
        <f>HYPERLINK("https://careerviet.vn/vi/tim-viec-lam/nhan-vien-vi-tinh-co-opmart-chau-doc-an-giang.35C6833D.html","Xem chi tiết")</f>
        <v/>
      </c>
    </row>
    <row r="2600">
      <c r="B2600" s="9" t="n">
        <v>2598</v>
      </c>
      <c r="C2600" s="10" t="inlineStr">
        <is>
          <t>CV/CVC Xử Lý Nợ - Thi Hành Án (Mảng Thi Hành Án) - HCM, Đồng Nai, Tiền Giang - TA185  - ID783</t>
        </is>
      </c>
      <c r="D2600" s="10" t="inlineStr">
        <is>
          <t>Ngân Hàng TMCP Việt Nam Thịnh Vượng - VPBANK</t>
        </is>
      </c>
      <c r="E2600" s="10" t="inlineStr">
        <is>
          <t>Lương:20 Tr - 50 Tr VND</t>
        </is>
      </c>
      <c r="F2600" s="10" t="inlineStr">
        <is>
          <t>Hồ Chí MinhĐồng NaiTiền Giang</t>
        </is>
      </c>
      <c r="G2600" s="10" t="inlineStr">
        <is>
          <t>10-04-2026</t>
        </is>
      </c>
      <c r="H2600" s="10" t="inlineStr">
        <is>
          <t>10/04/2026</t>
        </is>
      </c>
      <c r="I2600" s="10" t="inlineStr">
        <is>
          <t>17/03/2026</t>
        </is>
      </c>
      <c r="J2600" s="10" t="inlineStr">
        <is>
          <t>Luật / Pháp lý, Ngân hàng, Tài chính / Đầu tư</t>
        </is>
      </c>
      <c r="K2600" s="10" t="inlineStr">
        <is>
          <t>Trên 1 Năm</t>
        </is>
      </c>
      <c r="L2600" s="11">
        <f>HYPERLINK("https://careerviet.vn/vi/tim-viec-lam/cv-cvc-xu-ly-no-thi-hanh-an-mang-thi-hanh-an-hcm-dong-nai-tien-giang-ta185-id783.35C68355.html","Xem chi tiết")</f>
        <v/>
      </c>
      <c r="M2600" s="10" t="n"/>
    </row>
    <row r="2601">
      <c r="B2601" s="7" t="n">
        <v>2599</v>
      </c>
      <c r="C2601" t="inlineStr">
        <is>
          <t>CVCC Chiến Lược Thu Hồi Nợ - HCM - TA108</t>
        </is>
      </c>
      <c r="D2601" t="inlineStr">
        <is>
          <t>Ngân Hàng TMCP Việt Nam Thịnh Vượng - VPBANK</t>
        </is>
      </c>
      <c r="E2601" t="inlineStr">
        <is>
          <t>Lương:Cạnh tranh</t>
        </is>
      </c>
      <c r="F2601" t="inlineStr">
        <is>
          <t>Hồ Chí Minh</t>
        </is>
      </c>
      <c r="G2601" t="inlineStr">
        <is>
          <t>10-04-2026</t>
        </is>
      </c>
      <c r="H2601" t="inlineStr">
        <is>
          <t>10/04/2026</t>
        </is>
      </c>
      <c r="I2601" t="inlineStr">
        <is>
          <t>17/03/2026</t>
        </is>
      </c>
      <c r="J2601" t="inlineStr">
        <is>
          <t>Ngân hàng, Tài chính / Đầu tư, Luật / Pháp lý</t>
        </is>
      </c>
      <c r="K2601" t="inlineStr">
        <is>
          <t>Trên 3 Năm</t>
        </is>
      </c>
      <c r="L2601" s="8">
        <f>HYPERLINK("https://careerviet.vn/vi/tim-viec-lam/cvcc-chien-luoc-thu-hoi-no-hcm-ta108.35C6835D.html","Xem chi tiết")</f>
        <v/>
      </c>
    </row>
    <row r="2602">
      <c r="B2602" s="9" t="n">
        <v>2600</v>
      </c>
      <c r="C2602" s="10" t="inlineStr">
        <is>
          <t>Trợ lý Giám Đốc Trung Tâm R&amp;D</t>
        </is>
      </c>
      <c r="D2602" s="10" t="inlineStr">
        <is>
          <t>Tập Đoàn Kim Tín</t>
        </is>
      </c>
      <c r="E2602" s="10" t="inlineStr">
        <is>
          <t>Lương:Cạnh tranh</t>
        </is>
      </c>
      <c r="F2602" s="10" t="inlineStr">
        <is>
          <t>Hồ Chí MinhBình Phước</t>
        </is>
      </c>
      <c r="G2602" s="10" t="inlineStr">
        <is>
          <t>10-04-2026</t>
        </is>
      </c>
      <c r="H2602" s="10" t="inlineStr">
        <is>
          <t>10/04/2026</t>
        </is>
      </c>
      <c r="I2602" s="10" t="inlineStr">
        <is>
          <t>17/03/2026</t>
        </is>
      </c>
      <c r="J2602" s="10" t="inlineStr">
        <is>
          <t>Cơ khí / Ô tô / Tự động hóa, Sản xuất / Vận hành sản xuất, Đồ gỗ</t>
        </is>
      </c>
      <c r="K2602" s="10" t="inlineStr">
        <is>
          <t>N/A</t>
        </is>
      </c>
      <c r="L2602" s="11">
        <f>HYPERLINK("https://careerviet.vn/vi/tim-viec-lam/tro-ly-giam-doc-trung-tam-r-d.35C683B4.html","Xem chi tiết")</f>
        <v/>
      </c>
      <c r="M2602" s="10" t="n"/>
    </row>
    <row r="2603">
      <c r="B2603" s="7" t="n">
        <v>2601</v>
      </c>
      <c r="C2603" t="inlineStr">
        <is>
          <t>Nhân viên Kinh doanh</t>
        </is>
      </c>
      <c r="D2603" t="inlineStr">
        <is>
          <t>Công Ty Cổ Phần Du Lịch Vietravel</t>
        </is>
      </c>
      <c r="E2603" t="inlineStr">
        <is>
          <t>Lương:Cạnh tranh</t>
        </is>
      </c>
      <c r="F2603" t="inlineStr">
        <is>
          <t>Long An</t>
        </is>
      </c>
      <c r="G2603" t="inlineStr">
        <is>
          <t>28-03-2026</t>
        </is>
      </c>
      <c r="H2603" t="inlineStr">
        <is>
          <t>28/03/2026</t>
        </is>
      </c>
      <c r="I2603" t="inlineStr">
        <is>
          <t>17/03/2026</t>
        </is>
      </c>
      <c r="J2603" t="inlineStr">
        <is>
          <t>Du lịch, Mới tốt nghiệp / Thực tập, Tài chính / Đầu tư</t>
        </is>
      </c>
      <c r="K2603" t="inlineStr">
        <is>
          <t>1 - 3 Năm</t>
        </is>
      </c>
      <c r="L2603" s="8">
        <f>HYPERLINK("https://careerviet.vn/vi/tim-viec-lam/nhan-vien-kinh-doanh.35C69B3B.html","Xem chi tiết")</f>
        <v/>
      </c>
    </row>
    <row r="2604">
      <c r="B2604" s="9" t="n">
        <v>2602</v>
      </c>
      <c r="C2604" s="10" t="inlineStr">
        <is>
          <t>Kế toán tổng hợp ( Khu vực Hà Nội )</t>
        </is>
      </c>
      <c r="D2604" s="10" t="inlineStr">
        <is>
          <t>Công Ty TNHH Tư Vấn Kỹ Thuật Và Tin Học Thương Mại Viet C.A.D</t>
        </is>
      </c>
      <c r="E2604" s="10" t="inlineStr">
        <is>
          <t>Lương:Cạnh tranh</t>
        </is>
      </c>
      <c r="F2604" s="10" t="inlineStr">
        <is>
          <t>Hà Nội</t>
        </is>
      </c>
      <c r="G2604" s="10" t="inlineStr">
        <is>
          <t>10-04-2026</t>
        </is>
      </c>
      <c r="H2604" s="10" t="inlineStr">
        <is>
          <t>10/04/2026</t>
        </is>
      </c>
      <c r="I2604" s="10" t="inlineStr">
        <is>
          <t>17/03/2026</t>
        </is>
      </c>
      <c r="J2604" s="10" t="inlineStr">
        <is>
          <t>Kế toán / Kiểm toán</t>
        </is>
      </c>
      <c r="K2604" s="10" t="inlineStr">
        <is>
          <t>2 - 4 Năm</t>
        </is>
      </c>
      <c r="L2604" s="11">
        <f>HYPERLINK("https://careerviet.vn/vi/tim-viec-lam/ke-toan-tong-hop-khu-vuc-ha-noi.35C65270.html","Xem chi tiết")</f>
        <v/>
      </c>
      <c r="M2604" s="10" t="n"/>
    </row>
    <row r="2605">
      <c r="B2605" s="7" t="n">
        <v>2603</v>
      </c>
      <c r="C2605" t="inlineStr">
        <is>
          <t>128126 - Creative Planner (Manager Level) - Marketing Agency</t>
        </is>
      </c>
      <c r="D2605" t="inlineStr">
        <is>
          <t>RGF HR Agent Vietnam Co., LTD</t>
        </is>
      </c>
      <c r="E2605" t="inlineStr">
        <is>
          <t>Lương:25 Tr - 40 Tr VND</t>
        </is>
      </c>
      <c r="F2605" t="inlineStr">
        <is>
          <t>Hồ Chí Minh</t>
        </is>
      </c>
      <c r="G2605" t="inlineStr">
        <is>
          <t>11-03-2026</t>
        </is>
      </c>
      <c r="H2605" t="inlineStr">
        <is>
          <t>12/03/2026</t>
        </is>
      </c>
      <c r="I2605" t="inlineStr">
        <is>
          <t>17/03/2026</t>
        </is>
      </c>
      <c r="J2605" t="inlineStr">
        <is>
          <t>Tiếp thị / Marketing</t>
        </is>
      </c>
      <c r="K2605" t="inlineStr">
        <is>
          <t>5 - 7 Năm</t>
        </is>
      </c>
      <c r="L2605" s="8">
        <f>HYPERLINK("https://careerviet.vn/vi/tim-viec-lam/128126-creative-planner-manager-level-marketing-agency.35C69A7A.html","Xem chi tiết")</f>
        <v/>
      </c>
    </row>
    <row r="2606">
      <c r="B2606" s="9" t="n">
        <v>2604</v>
      </c>
      <c r="C2606" s="10" t="inlineStr">
        <is>
          <t>Kỹ Sư Thiết Kế/ Designer Engineer</t>
        </is>
      </c>
      <c r="D2606" s="10" t="inlineStr">
        <is>
          <t>Công Ty TNHH Optimus Packaging (Việt Nam)</t>
        </is>
      </c>
      <c r="E2606" s="10" t="inlineStr">
        <is>
          <t>Lương:Cạnh tranh</t>
        </is>
      </c>
      <c r="F2606" s="10" t="inlineStr">
        <is>
          <t>Bình Dương</t>
        </is>
      </c>
      <c r="G2606" s="10" t="inlineStr">
        <is>
          <t>26-03-2026</t>
        </is>
      </c>
      <c r="H2606" s="10" t="inlineStr">
        <is>
          <t>26/03/2026</t>
        </is>
      </c>
      <c r="I2606" s="10" t="inlineStr">
        <is>
          <t>17/03/2026</t>
        </is>
      </c>
      <c r="J2606" s="10" t="inlineStr">
        <is>
          <t>Mỹ thuật / Nghệ thuật / Thiết kế, Kiến trúc, Cơ khí / Ô tô / Tự động hóa</t>
        </is>
      </c>
      <c r="K2606" s="10" t="inlineStr">
        <is>
          <t>Trên 2 Năm</t>
        </is>
      </c>
      <c r="L2606" s="11">
        <f>HYPERLINK("https://careerviet.vn/vi/tim-viec-lam/ky-su-thiet-ke-designer-engineer.35C69A9C.html","Xem chi tiết")</f>
        <v/>
      </c>
      <c r="M2606" s="10" t="n"/>
    </row>
    <row r="2607">
      <c r="B2607" s="7" t="n">
        <v>2605</v>
      </c>
      <c r="C2607" t="inlineStr">
        <is>
          <t>[Hotel HN] HR Manager</t>
        </is>
      </c>
      <c r="D2607" t="inlineStr">
        <is>
          <t>Công ty Cổ phần Tập đoàn Minh Anh</t>
        </is>
      </c>
      <c r="E2607" t="inlineStr">
        <is>
          <t>Lương:Cạnh tranh</t>
        </is>
      </c>
      <c r="F2607" t="inlineStr">
        <is>
          <t>Hà Nội</t>
        </is>
      </c>
      <c r="G2607" t="inlineStr">
        <is>
          <t>31-03-2026</t>
        </is>
      </c>
      <c r="H2607" t="inlineStr">
        <is>
          <t>31/03/2026</t>
        </is>
      </c>
      <c r="I2607" t="inlineStr">
        <is>
          <t>17/03/2026</t>
        </is>
      </c>
      <c r="J2607" t="inlineStr">
        <is>
          <t>Nhân sự, Hành chính / Thư ký, Nhà hàng / Khách sạn</t>
        </is>
      </c>
      <c r="K2607" t="inlineStr">
        <is>
          <t>3 - 5 Năm</t>
        </is>
      </c>
      <c r="L2607" s="8">
        <f>HYPERLINK("https://careerviet.vn/vi/tim-viec-lam/hotel-hn-hr-manager.35C69B01.html","Xem chi tiết")</f>
        <v/>
      </c>
    </row>
    <row r="2608">
      <c r="B2608" s="9" t="n">
        <v>2606</v>
      </c>
      <c r="C2608" s="10" t="inlineStr">
        <is>
          <t>KIẾN TRÚC SƯ CHỦ TRÌ NỘI THẤT (HN)</t>
        </is>
      </c>
      <c r="D2608" s="10" t="inlineStr">
        <is>
          <t>CÔNG TY TNHH THIẾT KẾ HPA &amp; PARTNERS (VIÊT NAM)</t>
        </is>
      </c>
      <c r="E2608" s="10" t="inlineStr">
        <is>
          <t>Lương:30 Tr - 40 Tr VND</t>
        </is>
      </c>
      <c r="F2608" s="10" t="inlineStr">
        <is>
          <t>Hà Nội</t>
        </is>
      </c>
      <c r="G2608" s="10" t="inlineStr">
        <is>
          <t>31-03-2026</t>
        </is>
      </c>
      <c r="H2608" s="10" t="inlineStr">
        <is>
          <t>31/03/2026</t>
        </is>
      </c>
      <c r="I2608" s="10" t="inlineStr">
        <is>
          <t>17/03/2026</t>
        </is>
      </c>
      <c r="J2608" s="10" t="inlineStr">
        <is>
          <t>Nội ngoại thất, Kiến trúc, Xây dựng</t>
        </is>
      </c>
      <c r="K2608" s="10" t="inlineStr">
        <is>
          <t>Trên 3 Năm</t>
        </is>
      </c>
      <c r="L2608" s="11">
        <f>HYPERLINK("https://careerviet.vn/vi/tim-viec-lam/kien-truc-su-chu-tri-noi-that-hn.35C69947.html","Xem chi tiết")</f>
        <v/>
      </c>
      <c r="M2608" s="10" t="n"/>
    </row>
    <row r="2609">
      <c r="B2609" s="7" t="n">
        <v>2607</v>
      </c>
      <c r="C2609" t="inlineStr">
        <is>
          <t>Nhân Viên Bán Hàng Yên Lạc - Vĩnh Phúc</t>
        </is>
      </c>
      <c r="D2609" t="inlineStr">
        <is>
          <t>CÔNG TY CỔ PHẦN VUA NỆM</t>
        </is>
      </c>
      <c r="E2609" t="inlineStr">
        <is>
          <t>Lương:8 Tr - 12 Tr VND</t>
        </is>
      </c>
      <c r="F2609" t="inlineStr">
        <is>
          <t>Vĩnh Phúc</t>
        </is>
      </c>
      <c r="G2609" t="inlineStr">
        <is>
          <t>28-03-2026</t>
        </is>
      </c>
      <c r="H2609" t="inlineStr">
        <is>
          <t>28/03/2026</t>
        </is>
      </c>
      <c r="I2609" t="inlineStr">
        <is>
          <t>17/03/2026</t>
        </is>
      </c>
      <c r="J2609" t="inlineStr">
        <is>
          <t>Bán lẻ / Bán sỉ, Bán hàng / Kinh doanh, Lao động phổ thông</t>
        </is>
      </c>
      <c r="K2609" t="inlineStr">
        <is>
          <t>1 - 2 Năm</t>
        </is>
      </c>
      <c r="L2609" s="8">
        <f>HYPERLINK("https://careerviet.vn/vi/tim-viec-lam/nhan-vien-ban-hang-yen-lac-vinh-phuc.35C69B1B.html","Xem chi tiết")</f>
        <v/>
      </c>
    </row>
    <row r="2610">
      <c r="B2610" s="9" t="n">
        <v>2608</v>
      </c>
      <c r="C2610" s="10" t="inlineStr">
        <is>
          <t>Procurement Executive (Technical Category)</t>
        </is>
      </c>
      <c r="D2610" s="10" t="inlineStr">
        <is>
          <t>CÔNG TY TNHH ENTOBEL BÀ RỊA - VŨNG TÀU</t>
        </is>
      </c>
      <c r="E2610" s="10" t="inlineStr">
        <is>
          <t>Lương:Cạnh tranh</t>
        </is>
      </c>
      <c r="F2610" s="10" t="inlineStr">
        <is>
          <t>Bà Rịa - Vũng Tàu</t>
        </is>
      </c>
      <c r="G2610" s="10" t="inlineStr">
        <is>
          <t>30-04-2026</t>
        </is>
      </c>
      <c r="H2610" s="10" t="inlineStr">
        <is>
          <t>30/04/2026</t>
        </is>
      </c>
      <c r="I2610" s="10" t="inlineStr">
        <is>
          <t>17/03/2026</t>
        </is>
      </c>
      <c r="J2610" s="10" t="inlineStr">
        <is>
          <t>Sản xuất / Vận hành sản xuất</t>
        </is>
      </c>
      <c r="K2610" s="10" t="inlineStr">
        <is>
          <t>3 - 5 Năm</t>
        </is>
      </c>
      <c r="L2610" s="11">
        <f>HYPERLINK("https://careerviet.vn/vi/tim-viec-lam/procurement-executive-technical-category.35C698C3.html","Xem chi tiết")</f>
        <v/>
      </c>
      <c r="M2610" s="10" t="n"/>
    </row>
    <row r="2611">
      <c r="B2611" s="7" t="n">
        <v>2609</v>
      </c>
      <c r="C2611" t="inlineStr">
        <is>
          <t>Kỹ Sư Phát Triển Sản Phẩm Mới (Hà Nam)</t>
        </is>
      </c>
      <c r="D2611" t="inlineStr">
        <is>
          <t>Công ty Cổ phần Casla</t>
        </is>
      </c>
      <c r="E2611" t="inlineStr">
        <is>
          <t>Lương:15 Tr - 30 Tr VND</t>
        </is>
      </c>
      <c r="F2611" t="inlineStr">
        <is>
          <t>Hà NộiHà Nam</t>
        </is>
      </c>
      <c r="G2611" t="inlineStr">
        <is>
          <t>31-03-2026</t>
        </is>
      </c>
      <c r="H2611" t="inlineStr">
        <is>
          <t>31/03/2026</t>
        </is>
      </c>
      <c r="I2611" t="inlineStr">
        <is>
          <t>17/03/2026</t>
        </is>
      </c>
      <c r="J2611" t="inlineStr">
        <is>
          <t>Cơ khí / Ô tô / Tự động hóa, Hóa học, Sản xuất / Vận hành sản xuất</t>
        </is>
      </c>
      <c r="K2611" t="inlineStr">
        <is>
          <t>3 - 15 Năm</t>
        </is>
      </c>
      <c r="L2611" s="8">
        <f>HYPERLINK("https://careerviet.vn/vi/tim-viec-lam/ky-su-phat-trien-san-pham-moi-ha-nam.35C69A70.html","Xem chi tiết")</f>
        <v/>
      </c>
    </row>
    <row r="2612">
      <c r="B2612" s="9" t="n">
        <v>2610</v>
      </c>
      <c r="C2612" s="10" t="inlineStr">
        <is>
          <t>Kỹ Sư Test SMT</t>
        </is>
      </c>
      <c r="D2612" s="10" t="inlineStr">
        <is>
          <t>CÔNG TY TNHH RYDER INDUSTRIES VIỆT NAM</t>
        </is>
      </c>
      <c r="E2612" s="10" t="inlineStr">
        <is>
          <t>Lương:30 Tr - 40 Tr VND</t>
        </is>
      </c>
      <c r="F2612" s="10" t="inlineStr">
        <is>
          <t>Đồng Nai</t>
        </is>
      </c>
      <c r="G2612" s="10" t="inlineStr">
        <is>
          <t>26-03-2026</t>
        </is>
      </c>
      <c r="H2612" s="10" t="inlineStr">
        <is>
          <t>26/03/2026</t>
        </is>
      </c>
      <c r="I2612" s="10" t="inlineStr">
        <is>
          <t>17/03/2026</t>
        </is>
      </c>
      <c r="J2612" s="10" t="inlineStr">
        <is>
          <t>Điện / Điện tử / Điện lạnh / Điện công nghiệp, Cơ khí / Ô tô / Tự động hóa, Sản xuất / Vận hành sản xuất</t>
        </is>
      </c>
      <c r="K2612" s="10" t="inlineStr">
        <is>
          <t>Trên 5 Năm</t>
        </is>
      </c>
      <c r="L2612" s="11">
        <f>HYPERLINK("https://careerviet.vn/vi/tim-viec-lam/ky-su-test-smt.35C69A67.html","Xem chi tiết")</f>
        <v/>
      </c>
      <c r="M2612" s="10" t="n"/>
    </row>
    <row r="2613">
      <c r="B2613" s="7" t="n">
        <v>2611</v>
      </c>
      <c r="C2613" t="inlineStr">
        <is>
          <t>Kế Toán Tổng Hợp</t>
        </is>
      </c>
      <c r="D2613" t="inlineStr">
        <is>
          <t>Công Ty TNHH Thủy Design House</t>
        </is>
      </c>
      <c r="E2613" t="inlineStr">
        <is>
          <t>Lương:15 Tr - 25 Tr VND</t>
        </is>
      </c>
      <c r="F2613" t="inlineStr">
        <is>
          <t>Hồ Chí Minh</t>
        </is>
      </c>
      <c r="G2613" t="inlineStr">
        <is>
          <t>26-03-2026</t>
        </is>
      </c>
      <c r="H2613" t="inlineStr">
        <is>
          <t>26/03/2026</t>
        </is>
      </c>
      <c r="I2613" t="inlineStr">
        <is>
          <t>17/03/2026</t>
        </is>
      </c>
      <c r="J2613" t="inlineStr">
        <is>
          <t>Kế toán / Kiểm toán, Tài chính / Đầu tư, Ngân hàng</t>
        </is>
      </c>
      <c r="K2613" t="inlineStr">
        <is>
          <t>2 - 3 Năm</t>
        </is>
      </c>
      <c r="L2613" s="8">
        <f>HYPERLINK("https://careerviet.vn/vi/tim-viec-lam/ke-toan-tong-hop.35C69AB4.html","Xem chi tiết")</f>
        <v/>
      </c>
    </row>
    <row r="2614">
      <c r="B2614" s="9" t="n">
        <v>2612</v>
      </c>
      <c r="C2614" s="10" t="inlineStr">
        <is>
          <t>Kỹ Sư Nhuộm</t>
        </is>
      </c>
      <c r="D2614" s="10" t="inlineStr">
        <is>
          <t>Công ty CP TCE VINA DENIM</t>
        </is>
      </c>
      <c r="E2614" s="10" t="inlineStr">
        <is>
          <t>Lương:Trên 20 Tr VND</t>
        </is>
      </c>
      <c r="F2614" s="10" t="inlineStr">
        <is>
          <t>Nam ĐịnhHà NamNinh Bình</t>
        </is>
      </c>
      <c r="G2614" s="10" t="inlineStr">
        <is>
          <t>25-03-2026</t>
        </is>
      </c>
      <c r="H2614" s="10" t="inlineStr">
        <is>
          <t>25/03/2026</t>
        </is>
      </c>
      <c r="I2614" s="10" t="inlineStr">
        <is>
          <t>17/03/2026</t>
        </is>
      </c>
      <c r="J2614" s="10" t="inlineStr">
        <is>
          <t>Dệt may / Da giày / Thời trang, Sản xuất / Vận hành sản xuất, Quản lý chất lượng (QA/QC)</t>
        </is>
      </c>
      <c r="K2614" s="10" t="inlineStr">
        <is>
          <t>Trên 10 Năm</t>
        </is>
      </c>
      <c r="L2614" s="11">
        <f>HYPERLINK("https://careerviet.vn/vi/tim-viec-lam/ky-su-nhuom.35C69A53.html","Xem chi tiết")</f>
        <v/>
      </c>
      <c r="M2614" s="10" t="n"/>
    </row>
    <row r="2615">
      <c r="B2615" s="7" t="n">
        <v>2613</v>
      </c>
      <c r="C2615" t="inlineStr">
        <is>
          <t>Trưởng Phòng Tuyển dụng</t>
        </is>
      </c>
      <c r="D2615" t="inlineStr">
        <is>
          <t>Công Ty Cổ Phần Kinh Doanh và Đầu Tư Đất Xanh Miền Trung</t>
        </is>
      </c>
      <c r="E2615" t="inlineStr">
        <is>
          <t>Lương:Cạnh tranh</t>
        </is>
      </c>
      <c r="F2615" t="inlineStr">
        <is>
          <t>Đà Nẵng</t>
        </is>
      </c>
      <c r="G2615" t="inlineStr">
        <is>
          <t>31-03-2026</t>
        </is>
      </c>
      <c r="H2615" t="inlineStr">
        <is>
          <t>31/03/2026</t>
        </is>
      </c>
      <c r="I2615" t="inlineStr">
        <is>
          <t>17/03/2026</t>
        </is>
      </c>
      <c r="J2615" t="inlineStr">
        <is>
          <t>Bất động sản</t>
        </is>
      </c>
      <c r="K2615" t="inlineStr">
        <is>
          <t>3 - 5 Năm</t>
        </is>
      </c>
      <c r="L2615" s="8">
        <f>HYPERLINK("https://careerviet.vn/vi/tim-viec-lam/truong-phong-tuyen-dung.35C69A40.html","Xem chi tiết")</f>
        <v/>
      </c>
    </row>
    <row r="2616">
      <c r="B2616" s="9" t="n">
        <v>2614</v>
      </c>
      <c r="C2616" s="10" t="inlineStr">
        <is>
          <t>Chuyên Viên Kinh Doanh Mảng Chống thấm VLXD</t>
        </is>
      </c>
      <c r="D2616" s="10" t="inlineStr">
        <is>
          <t>Công ty Cổ phần Đầu tư Ngôi sao Châu á</t>
        </is>
      </c>
      <c r="E2616" s="10" t="inlineStr">
        <is>
          <t>Lương:15 Tr - 20 Tr VND</t>
        </is>
      </c>
      <c r="F2616" s="10" t="inlineStr">
        <is>
          <t>Hà NộiĐà NẵngHồ Chí Minh</t>
        </is>
      </c>
      <c r="G2616" s="10" t="inlineStr">
        <is>
          <t>30-04-2026</t>
        </is>
      </c>
      <c r="H2616" s="10" t="inlineStr">
        <is>
          <t>30/04/2026</t>
        </is>
      </c>
      <c r="I2616" s="10" t="inlineStr">
        <is>
          <t>17/03/2026</t>
        </is>
      </c>
      <c r="J2616" s="10" t="inlineStr">
        <is>
          <t>Bán hàng / Kinh doanh, Hóa học, Xây dựng</t>
        </is>
      </c>
      <c r="K2616" s="10" t="inlineStr">
        <is>
          <t>2 - 3 Năm</t>
        </is>
      </c>
      <c r="L2616" s="11">
        <f>HYPERLINK("https://careerviet.vn/vi/tim-viec-lam/chuyen-vien-kinh-doanh-mang-chong-tham-vlxd.35C69914.html","Xem chi tiết")</f>
        <v/>
      </c>
      <c r="M2616" s="10" t="n"/>
    </row>
    <row r="2617">
      <c r="B2617" s="7" t="n">
        <v>2615</v>
      </c>
      <c r="C2617" t="inlineStr">
        <is>
          <t>128167 - Tiếng Trung - Trưởng phòng Quản lý Chất lượng - ngành Dệt may</t>
        </is>
      </c>
      <c r="D2617" t="inlineStr">
        <is>
          <t>RGF HR Agent Vietnam Co., LTD</t>
        </is>
      </c>
      <c r="E2617" t="inlineStr">
        <is>
          <t>Lương:25 Tr - 37,5 Tr VND</t>
        </is>
      </c>
      <c r="F2617" t="inlineStr">
        <is>
          <t>Bến Tre</t>
        </is>
      </c>
      <c r="G2617" t="inlineStr">
        <is>
          <t>31-03-2026</t>
        </is>
      </c>
      <c r="H2617" t="inlineStr">
        <is>
          <t>31/03/2026</t>
        </is>
      </c>
      <c r="I2617" t="inlineStr">
        <is>
          <t>17/03/2026</t>
        </is>
      </c>
      <c r="J2617" t="inlineStr">
        <is>
          <t>Quản lý chất lượng (QA/QC), Dệt may / Da giày / Thời trang</t>
        </is>
      </c>
      <c r="K2617" t="inlineStr">
        <is>
          <t>3 - 4 Năm</t>
        </is>
      </c>
      <c r="L2617" s="8">
        <f>HYPERLINK("https://careerviet.vn/vi/tim-viec-lam/128167-tieng-trung-truong-phong-quan-ly-chat-luong-nganh-det-may.35C69ADE.html","Xem chi tiết")</f>
        <v/>
      </c>
    </row>
    <row r="2618">
      <c r="B2618" s="9" t="n">
        <v>2616</v>
      </c>
      <c r="C2618" s="10" t="inlineStr">
        <is>
          <t>Nhân Viên An Ninh</t>
        </is>
      </c>
      <c r="D2618" s="10" t="inlineStr">
        <is>
          <t>FamilyMart VietNam Joint Stock Company</t>
        </is>
      </c>
      <c r="E2618" s="10" t="inlineStr">
        <is>
          <t>Lương:Cạnh tranh</t>
        </is>
      </c>
      <c r="F2618" s="10" t="inlineStr">
        <is>
          <t>Hồ Chí Minh</t>
        </is>
      </c>
      <c r="G2618" s="10" t="inlineStr">
        <is>
          <t>02-04-2026</t>
        </is>
      </c>
      <c r="H2618" s="10" t="inlineStr">
        <is>
          <t>02/04/2026</t>
        </is>
      </c>
      <c r="I2618" s="10" t="inlineStr">
        <is>
          <t>17/03/2026</t>
        </is>
      </c>
      <c r="J2618" s="10" t="inlineStr">
        <is>
          <t>Bán lẻ / Bán sỉ, An Ninh / Bảo Vệ</t>
        </is>
      </c>
      <c r="K2618" s="10" t="inlineStr">
        <is>
          <t>3 - 5 Năm</t>
        </is>
      </c>
      <c r="L2618" s="11">
        <f>HYPERLINK("https://careerviet.vn/vi/tim-viec-lam/nhan-vien-an-ninh.35C69C8F.html","Xem chi tiết")</f>
        <v/>
      </c>
      <c r="M2618" s="10" t="n"/>
    </row>
    <row r="2619">
      <c r="B2619" s="7" t="n">
        <v>2617</v>
      </c>
      <c r="C2619" t="inlineStr">
        <is>
          <t>128164 - Tiếng Nhật - Trưởng Phòng Nhân sự Tổng vụ - Thiết Bị Y Tế</t>
        </is>
      </c>
      <c r="D2619" t="inlineStr">
        <is>
          <t>RGF HR Agent Vietnam Co., LTD</t>
        </is>
      </c>
      <c r="E2619" t="inlineStr">
        <is>
          <t>Lương:20 Tr - 30 Tr VND</t>
        </is>
      </c>
      <c r="F2619" t="inlineStr">
        <is>
          <t>Đồng Nai</t>
        </is>
      </c>
      <c r="G2619" t="inlineStr">
        <is>
          <t>31-03-2026</t>
        </is>
      </c>
      <c r="H2619" t="inlineStr">
        <is>
          <t>31/03/2026</t>
        </is>
      </c>
      <c r="I2619" t="inlineStr">
        <is>
          <t>17/03/2026</t>
        </is>
      </c>
      <c r="J2619" t="inlineStr">
        <is>
          <t>Nhân sự, Y tế / Chăm sóc sức khỏe / Thẩm mỹ / Làm đẹp</t>
        </is>
      </c>
      <c r="K2619" t="inlineStr">
        <is>
          <t>5 - 6 Năm</t>
        </is>
      </c>
      <c r="L2619" s="8">
        <f>HYPERLINK("https://careerviet.vn/vi/tim-viec-lam/128164-tieng-nhat-truong-phong-nhan-su-tong-vu-thiet-bi-y-te.35C69AD4.html","Xem chi tiết")</f>
        <v/>
      </c>
    </row>
    <row r="2620">
      <c r="B2620" s="9" t="n">
        <v>2618</v>
      </c>
      <c r="C2620" s="10" t="inlineStr">
        <is>
          <t>Trưởng nhóm Thiết kế</t>
        </is>
      </c>
      <c r="D2620" s="10" t="inlineStr">
        <is>
          <t>Chi nhánh Công ty TNHH MTV BCA-Thăng Long tại TP.HCM</t>
        </is>
      </c>
      <c r="E2620" s="10" t="inlineStr">
        <is>
          <t>Lương:25 Tr - 35 Tr VND</t>
        </is>
      </c>
      <c r="F2620" s="10" t="inlineStr">
        <is>
          <t>Hồ Chí Minh</t>
        </is>
      </c>
      <c r="G2620" s="10" t="inlineStr">
        <is>
          <t>31-03-2026</t>
        </is>
      </c>
      <c r="H2620" s="10" t="inlineStr">
        <is>
          <t>31/03/2026</t>
        </is>
      </c>
      <c r="I2620" s="10" t="inlineStr">
        <is>
          <t>17/03/2026</t>
        </is>
      </c>
      <c r="J2620" s="10" t="inlineStr">
        <is>
          <t>Điện / Điện tử / Điện lạnh / Điện công nghiệp, Cơ khí / Ô tô / Tự động hóa, Môi trường</t>
        </is>
      </c>
      <c r="K2620" s="10" t="inlineStr">
        <is>
          <t>3 - 5 Năm</t>
        </is>
      </c>
      <c r="L2620" s="11">
        <f>HYPERLINK("https://careerviet.vn/vi/tim-viec-lam/truong-nhom-thiet-ke.35C69BE4.html","Xem chi tiết")</f>
        <v/>
      </c>
      <c r="M2620" s="10" t="n"/>
    </row>
    <row r="2621">
      <c r="B2621" s="7" t="n">
        <v>2619</v>
      </c>
      <c r="C2621" t="inlineStr">
        <is>
          <t>Nhân viên Kỹ thuật (Thiết kế Rập- Gerber)</t>
        </is>
      </c>
      <c r="D2621" t="inlineStr">
        <is>
          <t>Công ty TNHH, Liên Doanh Vĩnh Hưng (TMI Việt Nam)</t>
        </is>
      </c>
      <c r="E2621" t="inlineStr">
        <is>
          <t>Lương:11 Tr - 15 Tr VND</t>
        </is>
      </c>
      <c r="F2621" t="inlineStr">
        <is>
          <t>Hồ Chí Minh</t>
        </is>
      </c>
      <c r="G2621" t="inlineStr">
        <is>
          <t>31-03-2026</t>
        </is>
      </c>
      <c r="H2621" t="inlineStr">
        <is>
          <t>31/03/2026</t>
        </is>
      </c>
      <c r="I2621" t="inlineStr">
        <is>
          <t>17/03/2026</t>
        </is>
      </c>
      <c r="J2621" t="inlineStr">
        <is>
          <t>Dệt may / Da giày / Thời trang</t>
        </is>
      </c>
      <c r="K2621" t="inlineStr">
        <is>
          <t>1 - 3 Năm</t>
        </is>
      </c>
      <c r="L2621" s="8">
        <f>HYPERLINK("https://careerviet.vn/vi/tim-viec-lam/nhan-vien-ky-thuat-thiet-ke-rap-gerber.35C69BBA.html","Xem chi tiết")</f>
        <v/>
      </c>
    </row>
    <row r="2622">
      <c r="B2622" s="9" t="n">
        <v>2620</v>
      </c>
      <c r="C2622" s="10" t="inlineStr">
        <is>
          <t>KỸ THUẬT MÁY XƯỞNG SẢN XUẤT ĐỒ GỖ NỘI THẤT</t>
        </is>
      </c>
      <c r="D2622" s="10" t="inlineStr">
        <is>
          <t>CÔNG TY TNHH YN VIỆT NAM</t>
        </is>
      </c>
      <c r="E2622" s="10" t="inlineStr">
        <is>
          <t>Lương:18 Tr - 25 Tr VND</t>
        </is>
      </c>
      <c r="F2622" s="10" t="inlineStr">
        <is>
          <t>Bình Dương</t>
        </is>
      </c>
      <c r="G2622" s="10" t="inlineStr">
        <is>
          <t>31-03-2026</t>
        </is>
      </c>
      <c r="H2622" s="10" t="inlineStr">
        <is>
          <t>31/03/2026</t>
        </is>
      </c>
      <c r="I2622" s="10" t="inlineStr">
        <is>
          <t>17/03/2026</t>
        </is>
      </c>
      <c r="J2622" s="10" t="inlineStr">
        <is>
          <t>Cơ khí / Ô tô / Tự động hóa, Bảo trì / Sửa chữa, Sản xuất / Vận hành sản xuất</t>
        </is>
      </c>
      <c r="K2622" s="10" t="inlineStr">
        <is>
          <t>4 - 8 NămĐịa điểm</t>
        </is>
      </c>
      <c r="L2622" s="11">
        <f>HYPERLINK("https://careerviet.vn/vi/tim-viec-lam/ky-thuat-may-xuong-san-xuat-do-go-noi-that.35C69902.html","Xem chi tiết")</f>
        <v/>
      </c>
      <c r="M2622" s="10" t="n"/>
    </row>
    <row r="2623">
      <c r="B2623" s="7" t="n">
        <v>2621</v>
      </c>
      <c r="C2623" t="inlineStr">
        <is>
          <t>CHUYÊN VIÊN PHÁP LÝ DỰ ÁN</t>
        </is>
      </c>
      <c r="D2623" t="inlineStr">
        <is>
          <t>CÔNG TY CP TẬP ĐOÀN ĐẦU TƯ HOÀNG GIA VIỆT NAM</t>
        </is>
      </c>
      <c r="E2623" t="inlineStr">
        <is>
          <t>Lương:Cạnh tranh</t>
        </is>
      </c>
      <c r="F2623" t="inlineStr">
        <is>
          <t>Hồ Chí Minh</t>
        </is>
      </c>
      <c r="G2623" t="inlineStr">
        <is>
          <t>31-03-2026</t>
        </is>
      </c>
      <c r="H2623" t="inlineStr">
        <is>
          <t>31/03/2026</t>
        </is>
      </c>
      <c r="I2623" t="inlineStr">
        <is>
          <t>17/03/2026</t>
        </is>
      </c>
      <c r="J2623" t="inlineStr">
        <is>
          <t>Luật / Pháp lý, Xây dựng</t>
        </is>
      </c>
      <c r="K2623" t="inlineStr">
        <is>
          <t>5 - 7 Năm</t>
        </is>
      </c>
      <c r="L2623" s="8">
        <f>HYPERLINK("https://careerviet.vn/vi/tim-viec-lam/chuyen-vien-phap-ly-du-an.35C699FF.html","Xem chi tiết")</f>
        <v/>
      </c>
    </row>
    <row r="2624">
      <c r="B2624" s="9" t="n">
        <v>2622</v>
      </c>
      <c r="C2624" s="10" t="inlineStr">
        <is>
          <t>Mechanical Engineer (Native Korean Speaker)</t>
        </is>
      </c>
      <c r="D2624" s="10" t="inlineStr">
        <is>
          <t>Samsung Electronics HCMC CE Complex Co., Ltd</t>
        </is>
      </c>
      <c r="E2624" s="10" t="inlineStr">
        <is>
          <t>Lương:Cạnh tranh</t>
        </is>
      </c>
      <c r="F2624" s="10" t="inlineStr">
        <is>
          <t>Hồ Chí Minh</t>
        </is>
      </c>
      <c r="G2624" s="10" t="inlineStr">
        <is>
          <t>30-04-2026</t>
        </is>
      </c>
      <c r="H2624" s="10" t="inlineStr">
        <is>
          <t>30/04/2026</t>
        </is>
      </c>
      <c r="I2624" s="10" t="inlineStr">
        <is>
          <t>17/03/2026</t>
        </is>
      </c>
      <c r="J2624" s="10" t="inlineStr">
        <is>
          <t>Cơ khí / Ô tô / Tự động hóa</t>
        </is>
      </c>
      <c r="K2624" s="10" t="inlineStr">
        <is>
          <t>4 - 6 Năm</t>
        </is>
      </c>
      <c r="L2624" s="11">
        <f>HYPERLINK("https://careerviet.vn/vi/tim-viec-lam/mechanical-engineer-native-korean-speaker.35C698FB.html","Xem chi tiết")</f>
        <v/>
      </c>
      <c r="M2624" s="10" t="n"/>
    </row>
    <row r="2625">
      <c r="B2625" s="7" t="n">
        <v>2623</v>
      </c>
      <c r="C2625" t="inlineStr">
        <is>
          <t>Chuyên viên pháp chế</t>
        </is>
      </c>
      <c r="D2625" t="inlineStr">
        <is>
          <t>CÔNG TY CỔ PHẦN EUROWINDOW HOLDING</t>
        </is>
      </c>
      <c r="E2625" t="inlineStr">
        <is>
          <t>Lương:Cạnh tranh</t>
        </is>
      </c>
      <c r="F2625" t="inlineStr">
        <is>
          <t>Hà Nội</t>
        </is>
      </c>
      <c r="G2625" t="inlineStr">
        <is>
          <t>31-03-2026</t>
        </is>
      </c>
      <c r="H2625" t="inlineStr">
        <is>
          <t>31/03/2026</t>
        </is>
      </c>
      <c r="I2625" t="inlineStr">
        <is>
          <t>17/03/2026</t>
        </is>
      </c>
      <c r="J2625" t="inlineStr">
        <is>
          <t>Luật / Pháp lý</t>
        </is>
      </c>
      <c r="K2625" t="inlineStr">
        <is>
          <t>7 - 15 Năm</t>
        </is>
      </c>
      <c r="L2625" s="8">
        <f>HYPERLINK("https://careerviet.vn/vi/tim-viec-lam/chuyen-vien-phap-che.35C69CDD.html","Xem chi tiết")</f>
        <v/>
      </c>
    </row>
    <row r="2626">
      <c r="B2626" s="9" t="n">
        <v>2624</v>
      </c>
      <c r="C2626" s="10" t="inlineStr">
        <is>
          <t>BAF - Nhân viên kế toán công nợ phải thu</t>
        </is>
      </c>
      <c r="D2626" s="10" t="inlineStr">
        <is>
          <t>Công ty Cổ phần Nông nghiệp BAF Việt Nam</t>
        </is>
      </c>
      <c r="E2626" s="10" t="inlineStr">
        <is>
          <t>Lương:Cạnh tranh</t>
        </is>
      </c>
      <c r="F2626" s="10" t="inlineStr">
        <is>
          <t>Hồ Chí Minh</t>
        </is>
      </c>
      <c r="G2626" s="10" t="inlineStr">
        <is>
          <t>26-03-2026</t>
        </is>
      </c>
      <c r="H2626" s="10" t="inlineStr">
        <is>
          <t>26/03/2026</t>
        </is>
      </c>
      <c r="I2626" s="10" t="inlineStr">
        <is>
          <t>17/03/2026</t>
        </is>
      </c>
      <c r="J2626" s="10" t="inlineStr">
        <is>
          <t>Kế toán / Kiểm toán</t>
        </is>
      </c>
      <c r="K2626" s="10" t="inlineStr">
        <is>
          <t>1 - 3 Năm</t>
        </is>
      </c>
      <c r="L2626" s="11">
        <f>HYPERLINK("https://careerviet.vn/vi/tim-viec-lam/baf-nhan-vien-ke-toan-cong-no-phai-thu.35C69905.html","Xem chi tiết")</f>
        <v/>
      </c>
      <c r="M2626" s="10" t="n"/>
    </row>
    <row r="2627">
      <c r="B2627" s="7" t="n">
        <v>2625</v>
      </c>
      <c r="C2627" t="inlineStr">
        <is>
          <t>Giám đốc Quản lý Quan hệ Khách hàng Doanh nghiệp - EB - MSB - 3Y039</t>
        </is>
      </c>
      <c r="D2627" t="inlineStr">
        <is>
          <t>Ngân hàng Thương mại Cổ phần Hàng Hải Việt Nam (MSB)</t>
        </is>
      </c>
      <c r="E2627" t="inlineStr">
        <is>
          <t>Lương:25 Tr - 32 Tr VND</t>
        </is>
      </c>
      <c r="F2627" t="inlineStr">
        <is>
          <t>Hà Nội</t>
        </is>
      </c>
      <c r="G2627" t="inlineStr">
        <is>
          <t>26-03-2026</t>
        </is>
      </c>
      <c r="H2627" t="inlineStr">
        <is>
          <t>26/03/2026</t>
        </is>
      </c>
      <c r="I2627" t="inlineStr">
        <is>
          <t>17/03/2026</t>
        </is>
      </c>
      <c r="J2627" t="inlineStr">
        <is>
          <t>Ngân hàng</t>
        </is>
      </c>
      <c r="K2627" t="inlineStr">
        <is>
          <t>4 - 5 Năm</t>
        </is>
      </c>
      <c r="L2627" s="8">
        <f>HYPERLINK("https://careerviet.vn/vi/tim-viec-lam/giam-doc-quan-ly-quan-he-khach-hang-doanh-nghiep-eb-msb-3y039.35C6993F.html","Xem chi tiết")</f>
        <v/>
      </c>
    </row>
    <row r="2628">
      <c r="B2628" s="9" t="n">
        <v>2626</v>
      </c>
      <c r="C2628" s="10" t="inlineStr">
        <is>
          <t>Chuyên viên Thiết kế nội thất</t>
        </is>
      </c>
      <c r="D2628" s="10" t="inlineStr">
        <is>
          <t>CÔNG TY TNHH XCONS E&amp;C</t>
        </is>
      </c>
      <c r="E2628" s="10" t="inlineStr">
        <is>
          <t>Lương:Cạnh tranh</t>
        </is>
      </c>
      <c r="F2628" s="10" t="inlineStr">
        <is>
          <t>Hồ Chí Minh</t>
        </is>
      </c>
      <c r="G2628" s="10" t="inlineStr">
        <is>
          <t>31-03-2026</t>
        </is>
      </c>
      <c r="H2628" s="10" t="inlineStr">
        <is>
          <t>31/03/2026</t>
        </is>
      </c>
      <c r="I2628" s="10" t="inlineStr">
        <is>
          <t>17/03/2026</t>
        </is>
      </c>
      <c r="J2628" s="10" t="inlineStr">
        <is>
          <t>Mỹ thuật / Nghệ thuật / Thiết kế, Kiến trúc, Nội ngoại thất</t>
        </is>
      </c>
      <c r="K2628" s="10" t="inlineStr">
        <is>
          <t>4 - 5 Năm</t>
        </is>
      </c>
      <c r="L2628" s="11">
        <f>HYPERLINK("https://careerviet.vn/vi/tim-viec-lam/chuyen-vien-thiet-ke-noi-that.35C69ADD.html","Xem chi tiết")</f>
        <v/>
      </c>
      <c r="M2628" s="10" t="n"/>
    </row>
    <row r="2629">
      <c r="B2629" s="7" t="n">
        <v>2627</v>
      </c>
      <c r="C2629" t="inlineStr">
        <is>
          <t>QUẢN LÝ CỬA HÀNG HÀ NỘI</t>
        </is>
      </c>
      <c r="D2629" t="inlineStr">
        <is>
          <t>Bánh Mì PewPew</t>
        </is>
      </c>
      <c r="E2629" t="inlineStr">
        <is>
          <t>Lương:9 Tr - 15 Tr VND</t>
        </is>
      </c>
      <c r="F2629" t="inlineStr">
        <is>
          <t>Hà Nội</t>
        </is>
      </c>
      <c r="G2629" t="inlineStr">
        <is>
          <t>25-03-2026</t>
        </is>
      </c>
      <c r="H2629" t="inlineStr">
        <is>
          <t>25/03/2026</t>
        </is>
      </c>
      <c r="I2629" t="inlineStr">
        <is>
          <t>17/03/2026</t>
        </is>
      </c>
      <c r="J2629" t="inlineStr">
        <is>
          <t>Bán hàng / Kinh doanh, Nhà hàng / Khách sạn, Thực phẩm &amp; Đồ uống</t>
        </is>
      </c>
      <c r="K2629" t="inlineStr">
        <is>
          <t>Trên 1 Năm</t>
        </is>
      </c>
      <c r="L2629" s="8">
        <f>HYPERLINK("https://careerviet.vn/vi/tim-viec-lam/quan-ly-cua-hang-ha-noi.35C69ADF.html","Xem chi tiết")</f>
        <v/>
      </c>
    </row>
    <row r="2630">
      <c r="B2630" s="9" t="n">
        <v>2628</v>
      </c>
      <c r="C2630" s="10" t="inlineStr">
        <is>
          <t>Nhân Viên Chăm Sóc Khách Hàng Sau Bán Hàng (13-15M)</t>
        </is>
      </c>
      <c r="D2630" s="10" t="inlineStr">
        <is>
          <t>CÔNG TY CỔ PHẦN VUA NỆM</t>
        </is>
      </c>
      <c r="E2630" s="10" t="inlineStr">
        <is>
          <t>Lương:13 Tr - 15 Tr VND</t>
        </is>
      </c>
      <c r="F2630" s="10" t="inlineStr">
        <is>
          <t>Hà Nội</t>
        </is>
      </c>
      <c r="G2630" s="10" t="inlineStr">
        <is>
          <t>28-03-2026</t>
        </is>
      </c>
      <c r="H2630" s="10" t="inlineStr">
        <is>
          <t>28/03/2026</t>
        </is>
      </c>
      <c r="I2630" s="10" t="inlineStr">
        <is>
          <t>17/03/2026</t>
        </is>
      </c>
      <c r="J2630" s="10" t="inlineStr">
        <is>
          <t>Bán lẻ / Bán sỉ, Dịch vụ khách hàng</t>
        </is>
      </c>
      <c r="K2630" s="10" t="inlineStr">
        <is>
          <t>2 - 3 Năm</t>
        </is>
      </c>
      <c r="L2630" s="11">
        <f>HYPERLINK("https://careerviet.vn/vi/tim-viec-lam/nhan-vien-cham-soc-khach-hang-sau-ban-hang-13-15m.35C698E9.html","Xem chi tiết")</f>
        <v/>
      </c>
      <c r="M2630" s="10" t="n"/>
    </row>
    <row r="2631">
      <c r="B2631" s="7" t="n">
        <v>2629</v>
      </c>
      <c r="C2631" t="inlineStr">
        <is>
          <t>Kế Toán Tổng Hợp</t>
        </is>
      </c>
      <c r="D2631" t="inlineStr">
        <is>
          <t>CÔNG TY CỔ PHẦN TONA SYNTEGRA SOLAR</t>
        </is>
      </c>
      <c r="E2631" t="inlineStr">
        <is>
          <t>Lương:Cạnh tranh</t>
        </is>
      </c>
      <c r="F2631" t="inlineStr">
        <is>
          <t>Hồ Chí Minh</t>
        </is>
      </c>
      <c r="G2631" t="inlineStr">
        <is>
          <t>24-03-2026</t>
        </is>
      </c>
      <c r="H2631" t="inlineStr">
        <is>
          <t>24/03/2026</t>
        </is>
      </c>
      <c r="I2631" t="inlineStr">
        <is>
          <t>17/03/2026</t>
        </is>
      </c>
      <c r="J2631" t="inlineStr">
        <is>
          <t>Kế toán / Kiểm toán, Tài chính / Đầu tư, Luật / Pháp lý</t>
        </is>
      </c>
      <c r="K2631" t="inlineStr">
        <is>
          <t>Trên 3 Năm</t>
        </is>
      </c>
      <c r="L2631" s="8">
        <f>HYPERLINK("https://careerviet.vn/vi/tim-viec-lam/ke-toan-tong-hop.35C69884.html","Xem chi tiết")</f>
        <v/>
      </c>
    </row>
    <row r="2632">
      <c r="B2632" s="9" t="n">
        <v>2630</v>
      </c>
      <c r="C2632" s="10" t="inlineStr">
        <is>
          <t>Trợ lý kinh doanh 27684 - KCN Long Hậu, Long An</t>
        </is>
      </c>
      <c r="D2632" s="10" t="inlineStr">
        <is>
          <t>Công Ty TNHH Reeracoen Việt Nam</t>
        </is>
      </c>
      <c r="E2632" s="10" t="inlineStr">
        <is>
          <t>Lương:10 Tr - 11 Tr VND</t>
        </is>
      </c>
      <c r="F2632" s="10" t="inlineStr">
        <is>
          <t>Long An</t>
        </is>
      </c>
      <c r="G2632" s="10" t="inlineStr">
        <is>
          <t>26-03-2026</t>
        </is>
      </c>
      <c r="H2632" s="10" t="inlineStr">
        <is>
          <t>26/03/2026</t>
        </is>
      </c>
      <c r="I2632" s="10" t="inlineStr">
        <is>
          <t>17/03/2026</t>
        </is>
      </c>
      <c r="J2632" s="10" t="inlineStr">
        <is>
          <t>Hành chính / Thư ký, Bán hàng / Kinh doanh, Biên phiên dịch</t>
        </is>
      </c>
      <c r="K2632" s="10" t="inlineStr">
        <is>
          <t>N/A</t>
        </is>
      </c>
      <c r="L2632" s="11">
        <f>HYPERLINK("https://careerviet.vn/vi/tim-viec-lam/tro-ly-kinh-doanh-27684-kcn-long-hau-long-an.35C69991.html","Xem chi tiết")</f>
        <v/>
      </c>
      <c r="M2632" s="10" t="n"/>
    </row>
    <row r="2633">
      <c r="B2633" s="7" t="n">
        <v>2631</v>
      </c>
      <c r="C2633" t="inlineStr">
        <is>
          <t>Surveyor – Kỹ sư trắc đạc</t>
        </is>
      </c>
      <c r="D2633" t="inlineStr">
        <is>
          <t>Handong Engineering &amp; Construction JSC</t>
        </is>
      </c>
      <c r="E2633" t="inlineStr">
        <is>
          <t>Lương:Cạnh tranh</t>
        </is>
      </c>
      <c r="F2633" t="inlineStr">
        <is>
          <t>Bình DươngHải Phòng</t>
        </is>
      </c>
      <c r="G2633" t="inlineStr">
        <is>
          <t>31-03-2026</t>
        </is>
      </c>
      <c r="H2633" t="inlineStr">
        <is>
          <t>31/03/2026</t>
        </is>
      </c>
      <c r="I2633" t="inlineStr">
        <is>
          <t>17/03/2026</t>
        </is>
      </c>
      <c r="J2633" t="inlineStr">
        <is>
          <t>Trắc địa / Địa Chất, Xây dựng</t>
        </is>
      </c>
      <c r="K2633" t="inlineStr">
        <is>
          <t>4 - 7 Năm</t>
        </is>
      </c>
      <c r="L2633" s="8">
        <f>HYPERLINK("https://careerviet.vn/vi/tim-viec-lam/surveyor-ky-su-trac-dac.35C69C0B.html","Xem chi tiết")</f>
        <v/>
      </c>
    </row>
    <row r="2634">
      <c r="B2634" s="9" t="n">
        <v>2632</v>
      </c>
      <c r="C2634" s="10" t="inlineStr">
        <is>
          <t>Kế toán tổng hợp</t>
        </is>
      </c>
      <c r="D2634" s="10" t="inlineStr">
        <is>
          <t>CÔNG TY CỔ PHẦN EUROWINDOW HOLDING</t>
        </is>
      </c>
      <c r="E2634" s="10" t="inlineStr">
        <is>
          <t>Lương:Cạnh tranh</t>
        </is>
      </c>
      <c r="F2634" s="10" t="inlineStr">
        <is>
          <t>Hà Nội</t>
        </is>
      </c>
      <c r="G2634" s="10" t="inlineStr">
        <is>
          <t>30-03-2026</t>
        </is>
      </c>
      <c r="H2634" s="10" t="inlineStr">
        <is>
          <t>30/03/2026</t>
        </is>
      </c>
      <c r="I2634" s="10" t="inlineStr">
        <is>
          <t>17/03/2026</t>
        </is>
      </c>
      <c r="J2634" s="10" t="inlineStr">
        <is>
          <t>Kế toán / Kiểm toán</t>
        </is>
      </c>
      <c r="K2634" s="10" t="inlineStr">
        <is>
          <t>2 - 5 Năm</t>
        </is>
      </c>
      <c r="L2634" s="11">
        <f>HYPERLINK("https://careerviet.vn/vi/tim-viec-lam/ke-toan-tong-hop.35C69A84.html","Xem chi tiết")</f>
        <v/>
      </c>
      <c r="M2634" s="10" t="n"/>
    </row>
    <row r="2635">
      <c r="B2635" s="7" t="n">
        <v>2633</v>
      </c>
      <c r="C2635" t="inlineStr">
        <is>
          <t>CHUYÊN VIÊN THU MUA NVL</t>
        </is>
      </c>
      <c r="D2635" t="inlineStr">
        <is>
          <t>CÔNG TY CỔ PHẦN DƯỢC PHẨM TIPHARCO</t>
        </is>
      </c>
      <c r="E2635" t="inlineStr">
        <is>
          <t>Lương:Cạnh tranh</t>
        </is>
      </c>
      <c r="F2635" t="inlineStr">
        <is>
          <t>Tiền Giang</t>
        </is>
      </c>
      <c r="G2635" t="inlineStr">
        <is>
          <t>25-03-2026</t>
        </is>
      </c>
      <c r="H2635" t="inlineStr">
        <is>
          <t>25/03/2026</t>
        </is>
      </c>
      <c r="I2635" t="inlineStr">
        <is>
          <t>17/03/2026</t>
        </is>
      </c>
      <c r="J2635" t="inlineStr">
        <is>
          <t>Dược phẩm/ Hóa Mỹ Phẩm, Y tế / Chăm sóc sức khỏe / Thẩm mỹ / Làm đẹp, Thu mua / Vật tư</t>
        </is>
      </c>
      <c r="K2635" t="inlineStr">
        <is>
          <t>N/A</t>
        </is>
      </c>
      <c r="L2635" s="8">
        <f>HYPERLINK("https://careerviet.vn/vi/tim-viec-lam/chuyen-vien-thu-mua-nvl.35C69C4B.html","Xem chi tiết")</f>
        <v/>
      </c>
    </row>
    <row r="2636">
      <c r="B2636" s="9" t="n">
        <v>2634</v>
      </c>
      <c r="C2636" s="10" t="inlineStr">
        <is>
          <t>Nhân Viên Giám Sát Dịch Vụ Vệ Sinh</t>
        </is>
      </c>
      <c r="D2636" s="10" t="inlineStr">
        <is>
          <t>Công Ty Cổ Phần Dịch Vụ, Thương Mại Và Đầu Tư Sao Thủy</t>
        </is>
      </c>
      <c r="E2636" s="10" t="inlineStr">
        <is>
          <t>Lương:Cạnh tranh</t>
        </is>
      </c>
      <c r="F2636" s="10" t="inlineStr">
        <is>
          <t>Hà NộiHồ Chí Minh</t>
        </is>
      </c>
      <c r="G2636" s="10" t="inlineStr">
        <is>
          <t>1</t>
        </is>
      </c>
      <c r="H2636" s="10" t="inlineStr">
        <is>
          <t>18/03/2026</t>
        </is>
      </c>
      <c r="I2636" s="10" t="inlineStr">
        <is>
          <t>17/03/2026</t>
        </is>
      </c>
      <c r="J2636" s="10" t="inlineStr">
        <is>
          <t>Dịch vụ khách hàng, Hành chính / Thư ký, Nhà hàng / Khách sạn</t>
        </is>
      </c>
      <c r="K2636" s="10" t="inlineStr">
        <is>
          <t>2 - 5 Năm</t>
        </is>
      </c>
      <c r="L2636" s="11">
        <f>HYPERLINK("https://careerviet.vn/vi/tim-viec-lam/nhan-vien-giam-sat-dich-vu-ve-sinh.35C69C6F.html","Xem chi tiết")</f>
        <v/>
      </c>
      <c r="M2636" s="10" t="n"/>
    </row>
    <row r="2637">
      <c r="B2637" s="7" t="n">
        <v>2635</v>
      </c>
      <c r="C2637" t="inlineStr">
        <is>
          <t>SMT Engineer/ Kỹ Sư SMT</t>
        </is>
      </c>
      <c r="D2637" t="inlineStr">
        <is>
          <t>Công ty TNHH Vexos Việt Nam</t>
        </is>
      </c>
      <c r="E2637" t="inlineStr">
        <is>
          <t>Lương:Cạnh tranh</t>
        </is>
      </c>
      <c r="F2637" t="inlineStr">
        <is>
          <t>Hồ Chí Minh</t>
        </is>
      </c>
      <c r="G2637" t="inlineStr">
        <is>
          <t>26-03-2026</t>
        </is>
      </c>
      <c r="H2637" t="inlineStr">
        <is>
          <t>26/03/2026</t>
        </is>
      </c>
      <c r="I2637" t="inlineStr">
        <is>
          <t>17/03/2026</t>
        </is>
      </c>
      <c r="J2637" t="inlineStr">
        <is>
          <t>Điện / Điện tử / Điện lạnh / Điện công nghiệp, Sản xuất / Vận hành sản xuất, Quản lý chất lượng (QA/QC)</t>
        </is>
      </c>
      <c r="K2637" t="inlineStr">
        <is>
          <t>4 - 10 Năm</t>
        </is>
      </c>
      <c r="L2637" s="8">
        <f>HYPERLINK("https://careerviet.vn/vi/tim-viec-lam/smt-engineer-ky-su-smt.35C69B8A.html","Xem chi tiết")</f>
        <v/>
      </c>
    </row>
    <row r="2638">
      <c r="B2638" s="9" t="n">
        <v>2636</v>
      </c>
      <c r="C2638" s="10" t="inlineStr">
        <is>
          <t>Kế Toán Thuế</t>
        </is>
      </c>
      <c r="D2638" s="10" t="inlineStr">
        <is>
          <t>Công Ty Cổ Phần Tập Đoàn Điểm Nhấn (DN Group)</t>
        </is>
      </c>
      <c r="E2638" s="10" t="inlineStr">
        <is>
          <t>Lương:15 Tr - 20 Tr VND</t>
        </is>
      </c>
      <c r="F2638" s="10" t="inlineStr">
        <is>
          <t>Hồ Chí Minh</t>
        </is>
      </c>
      <c r="G2638" s="10" t="inlineStr">
        <is>
          <t>26-03-2026</t>
        </is>
      </c>
      <c r="H2638" s="10" t="inlineStr">
        <is>
          <t>26/03/2026</t>
        </is>
      </c>
      <c r="I2638" s="10" t="inlineStr">
        <is>
          <t>17/03/2026</t>
        </is>
      </c>
      <c r="J2638" s="10" t="inlineStr">
        <is>
          <t>Kế toán / Kiểm toán</t>
        </is>
      </c>
      <c r="K2638" s="10" t="inlineStr">
        <is>
          <t>2 - 5 Năm</t>
        </is>
      </c>
      <c r="L2638" s="11">
        <f>HYPERLINK("https://careerviet.vn/vi/tim-viec-lam/ke-toan-thue.35C69A58.html","Xem chi tiết")</f>
        <v/>
      </c>
      <c r="M2638" s="10" t="n"/>
    </row>
    <row r="2639">
      <c r="B2639" s="7" t="n">
        <v>2637</v>
      </c>
      <c r="C2639" t="inlineStr">
        <is>
          <t>Giám Đốc QA</t>
        </is>
      </c>
      <c r="D2639" t="inlineStr">
        <is>
          <t>CÔNG TY TNHH RYDER INDUSTRIES VIỆT NAM</t>
        </is>
      </c>
      <c r="E2639" t="inlineStr">
        <is>
          <t>Lương:50 Tr - 70 Tr VND</t>
        </is>
      </c>
      <c r="F2639" t="inlineStr">
        <is>
          <t>Đồng Nai</t>
        </is>
      </c>
      <c r="G2639" t="inlineStr">
        <is>
          <t>26-03-2026</t>
        </is>
      </c>
      <c r="H2639" t="inlineStr">
        <is>
          <t>26/03/2026</t>
        </is>
      </c>
      <c r="I2639" t="inlineStr">
        <is>
          <t>17/03/2026</t>
        </is>
      </c>
      <c r="J2639" t="inlineStr">
        <is>
          <t>Điện / Điện tử / Điện lạnh / Điện công nghiệp, Quản lý chất lượng (QA/QC), Cơ khí / Ô tô / Tự động hóa</t>
        </is>
      </c>
      <c r="K2639" t="inlineStr">
        <is>
          <t>Trên 8 Năm</t>
        </is>
      </c>
      <c r="L2639" s="8">
        <f>HYPERLINK("https://careerviet.vn/vi/tim-viec-lam/giam-doc-qa.35C69A55.html","Xem chi tiết")</f>
        <v/>
      </c>
    </row>
    <row r="2640">
      <c r="B2640" s="9" t="n">
        <v>2638</v>
      </c>
      <c r="C2640" s="10" t="inlineStr">
        <is>
          <t>NHÂN VIÊN QC CHO XƯỞNG SẢN XUẤT ĐỒ GỖ NỘI THẤT</t>
        </is>
      </c>
      <c r="D2640" s="10" t="inlineStr">
        <is>
          <t>CÔNG TY TNHH YN VIỆT NAM</t>
        </is>
      </c>
      <c r="E2640" s="10" t="inlineStr">
        <is>
          <t>Lương:10 Tr - 18 Tr VND</t>
        </is>
      </c>
      <c r="F2640" s="10" t="inlineStr">
        <is>
          <t>Bình Dương</t>
        </is>
      </c>
      <c r="G2640" s="10" t="inlineStr">
        <is>
          <t>31-03-2026</t>
        </is>
      </c>
      <c r="H2640" s="10" t="inlineStr">
        <is>
          <t>31/03/2026</t>
        </is>
      </c>
      <c r="I2640" s="10" t="inlineStr">
        <is>
          <t>17/03/2026</t>
        </is>
      </c>
      <c r="J2640" s="10" t="inlineStr">
        <is>
          <t>Quản lý chất lượng (QA/QC), Đồ gỗ, Sản xuất / Vận hành sản xuất</t>
        </is>
      </c>
      <c r="K2640" s="10" t="inlineStr">
        <is>
          <t>2 - 5 NămĐịa điểm</t>
        </is>
      </c>
      <c r="L2640" s="11">
        <f>HYPERLINK("https://careerviet.vn/vi/tim-viec-lam/nhan-vien-qc-cho-xuong-san-xuat-do-go-noi-that.35C6991A.html","Xem chi tiết")</f>
        <v/>
      </c>
      <c r="M2640" s="10" t="n"/>
    </row>
    <row r="2641">
      <c r="B2641" s="7" t="n">
        <v>2639</v>
      </c>
      <c r="C2641" t="inlineStr">
        <is>
          <t>Giám Đốc Kinh Doanh Thiết Bị Y Tế – Thị Trường Việt Nam</t>
        </is>
      </c>
      <c r="D2641" t="inlineStr">
        <is>
          <t>CÔNG TY TNHH ĐỈNH VIỆT HEALTHCARE &amp; LIFESTYLE</t>
        </is>
      </c>
      <c r="E2641" t="inlineStr">
        <is>
          <t>Lương:15 Tr - 20 Tr VND</t>
        </is>
      </c>
      <c r="F2641" t="inlineStr">
        <is>
          <t>Hồ Chí Minh</t>
        </is>
      </c>
      <c r="G2641" t="inlineStr">
        <is>
          <t>04-04-2026</t>
        </is>
      </c>
      <c r="H2641" t="inlineStr">
        <is>
          <t>04/04/2026</t>
        </is>
      </c>
      <c r="I2641" t="inlineStr">
        <is>
          <t>17/03/2026</t>
        </is>
      </c>
      <c r="J2641" t="inlineStr">
        <is>
          <t>Y tế / Chăm sóc sức khỏe / Thẩm mỹ / Làm đẹp, Bán hàng / Kinh doanh, Bán Hàng Kỹ Thuật</t>
        </is>
      </c>
      <c r="K2641" t="inlineStr">
        <is>
          <t>Trên 2 Năm</t>
        </is>
      </c>
      <c r="L2641" s="8">
        <f>HYPERLINK("https://careerviet.vn/vi/tim-viec-lam/giam-doc-kinh-doanh-thiet-bi-y-te-thi-truong-viet-nam.35C6AE39.html","Xem chi tiết")</f>
        <v/>
      </c>
    </row>
    <row r="2642">
      <c r="B2642" s="9" t="n">
        <v>2640</v>
      </c>
      <c r="C2642" s="10" t="inlineStr">
        <is>
          <t>SALE EXECUTIVE (GARMENT / TEXTILE / FOOTWEAR) - (English &amp; Chinese) - 6_month contract</t>
        </is>
      </c>
      <c r="D2642" s="10" t="inlineStr">
        <is>
          <t>Chi nhánh CÔNG TY TNHH INTERTEK VIỆT NAM</t>
        </is>
      </c>
      <c r="E2642" s="10" t="inlineStr">
        <is>
          <t>Lương:Cạnh tranh</t>
        </is>
      </c>
      <c r="F2642" s="10" t="inlineStr">
        <is>
          <t>Hà Nội</t>
        </is>
      </c>
      <c r="G2642" s="10" t="inlineStr">
        <is>
          <t>05-04-2026</t>
        </is>
      </c>
      <c r="H2642" s="10" t="inlineStr">
        <is>
          <t>05/04/2026</t>
        </is>
      </c>
      <c r="I2642" s="10" t="inlineStr">
        <is>
          <t>17/03/2026</t>
        </is>
      </c>
      <c r="J2642" s="10" t="inlineStr">
        <is>
          <t>Dệt may / Da giày / Thời trang, Bán hàng / Kinh doanh</t>
        </is>
      </c>
      <c r="K2642" s="10" t="inlineStr">
        <is>
          <t>Trên 2 Năm</t>
        </is>
      </c>
      <c r="L2642" s="11">
        <f>HYPERLINK("https://careerviet.vn/vi/tim-viec-lam/sale-executive-garment-textile-footwear-english-chinese-6_month-contract.35C6B220.html","Xem chi tiết")</f>
        <v/>
      </c>
      <c r="M2642" s="10" t="n"/>
    </row>
    <row r="2643">
      <c r="B2643" s="7" t="n">
        <v>2641</v>
      </c>
      <c r="C2643" t="inlineStr">
        <is>
          <t>Trưởng Nhóm Phát Triển Kinh Doanh MT / Food Chain - F&amp;B</t>
        </is>
      </c>
      <c r="D2643" t="inlineStr">
        <is>
          <t>Công Ty TNHH Kamereo</t>
        </is>
      </c>
      <c r="E2643" t="inlineStr">
        <is>
          <t>Lương:Cạnh tranh</t>
        </is>
      </c>
      <c r="F2643" t="inlineStr">
        <is>
          <t>Hồ Chí MinhHà Nội</t>
        </is>
      </c>
      <c r="G2643" t="inlineStr">
        <is>
          <t>31-03-2026</t>
        </is>
      </c>
      <c r="H2643" t="inlineStr">
        <is>
          <t>31/03/2026</t>
        </is>
      </c>
      <c r="I2643" t="inlineStr">
        <is>
          <t>17/03/2026</t>
        </is>
      </c>
      <c r="J2643" t="inlineStr">
        <is>
          <t>Bán hàng / Kinh doanh, Thực phẩm &amp; Đồ uống, Bán lẻ / Bán sỉ</t>
        </is>
      </c>
      <c r="K2643" t="inlineStr">
        <is>
          <t>Trên 3 Năm</t>
        </is>
      </c>
      <c r="L2643" s="8">
        <f>HYPERLINK("https://careerviet.vn/vi/tim-viec-lam/truong-nhom-phat-trien-kinh-doanh-mt-food-chain-f-b.35C69B23.html","Xem chi tiết")</f>
        <v/>
      </c>
    </row>
    <row r="2644">
      <c r="B2644" s="9" t="n">
        <v>2642</v>
      </c>
      <c r="C2644" s="10" t="inlineStr">
        <is>
          <t>Sales and Service Staff</t>
        </is>
      </c>
      <c r="D2644" s="10" t="inlineStr">
        <is>
          <t>CÔNG TY TNHH THƯƠNG MẠI RỒNG TIẾN</t>
        </is>
      </c>
      <c r="E2644" s="10" t="inlineStr">
        <is>
          <t>Lương:Cạnh tranh</t>
        </is>
      </c>
      <c r="F2644" s="10" t="inlineStr">
        <is>
          <t>Hồ Chí Minh</t>
        </is>
      </c>
      <c r="G2644" s="10" t="inlineStr">
        <is>
          <t>31-03-2026</t>
        </is>
      </c>
      <c r="H2644" s="10" t="inlineStr">
        <is>
          <t>31/03/2026</t>
        </is>
      </c>
      <c r="I2644" s="10" t="inlineStr">
        <is>
          <t>17/03/2026</t>
        </is>
      </c>
      <c r="J2644" s="10" t="inlineStr">
        <is>
          <t>Bán hàng / Kinh doanh, Công nghệ sinh học, Dược phẩm/ Hóa Mỹ Phẩm</t>
        </is>
      </c>
      <c r="K2644" s="10" t="inlineStr">
        <is>
          <t>Chưa có kinh nghiệm</t>
        </is>
      </c>
      <c r="L2644" s="11">
        <f>HYPERLINK("https://careerviet.vn/vi/tim-viec-lam/sales-and-service-staff.35C6AEF4.html","Xem chi tiết")</f>
        <v/>
      </c>
      <c r="M2644" s="10" t="n"/>
    </row>
    <row r="2645">
      <c r="B2645" s="7" t="n">
        <v>2643</v>
      </c>
      <c r="C2645" t="inlineStr">
        <is>
          <t>ASM - Giám Đốc Kinh Doanh Vùng Thủ Đô</t>
        </is>
      </c>
      <c r="D2645" t="inlineStr">
        <is>
          <t>CÔNG TY CP BIA &amp; NGK HẠ LONG</t>
        </is>
      </c>
      <c r="E2645" t="inlineStr">
        <is>
          <t>Lương:40 Tr - 60 Tr VND</t>
        </is>
      </c>
      <c r="F2645" t="inlineStr">
        <is>
          <t>Hà Nội</t>
        </is>
      </c>
      <c r="G2645" t="inlineStr">
        <is>
          <t>04-04-2026</t>
        </is>
      </c>
      <c r="H2645" t="inlineStr">
        <is>
          <t>04/04/2026</t>
        </is>
      </c>
      <c r="I2645" t="inlineStr">
        <is>
          <t>17/03/2026</t>
        </is>
      </c>
      <c r="J2645" t="inlineStr">
        <is>
          <t>Thực phẩm &amp; Đồ uống, Bán lẻ / Bán sỉ</t>
        </is>
      </c>
      <c r="K2645" t="inlineStr">
        <is>
          <t>3 - 5 Năm</t>
        </is>
      </c>
      <c r="L2645" s="8">
        <f>HYPERLINK("https://careerviet.vn/vi/tim-viec-lam/asm-giam-doc-kinh-doanh-vung-thu-do.35C6B14C.html","Xem chi tiết")</f>
        <v/>
      </c>
    </row>
    <row r="2646">
      <c r="B2646" s="9" t="n">
        <v>2644</v>
      </c>
      <c r="C2646" s="10" t="inlineStr">
        <is>
          <t>Tổ Phó QC</t>
        </is>
      </c>
      <c r="D2646" s="10" t="inlineStr">
        <is>
          <t>CÔNG TY TNHH THE SQUARE VINA</t>
        </is>
      </c>
      <c r="E2646" s="10" t="inlineStr">
        <is>
          <t>Lương:Cạnh tranh</t>
        </is>
      </c>
      <c r="F2646" s="10" t="inlineStr">
        <is>
          <t>Bà Rịa - Vũng Tàu</t>
        </is>
      </c>
      <c r="G2646" s="10" t="inlineStr">
        <is>
          <t>04-04-2026</t>
        </is>
      </c>
      <c r="H2646" s="10" t="inlineStr">
        <is>
          <t>04/04/2026</t>
        </is>
      </c>
      <c r="I2646" s="10" t="inlineStr">
        <is>
          <t>17/03/2026</t>
        </is>
      </c>
      <c r="J2646" s="10" t="inlineStr">
        <is>
          <t>Quản lý chất lượng (QA/QC), Sản xuất / Vận hành sản xuất</t>
        </is>
      </c>
      <c r="K2646" s="10" t="inlineStr">
        <is>
          <t>4 - 6 Năm</t>
        </is>
      </c>
      <c r="L2646" s="11">
        <f>HYPERLINK("https://careerviet.vn/vi/tim-viec-lam/to-pho-qc.35C6B0BE.html","Xem chi tiết")</f>
        <v/>
      </c>
      <c r="M2646" s="10" t="n"/>
    </row>
    <row r="2647">
      <c r="B2647" s="7" t="n">
        <v>2645</v>
      </c>
      <c r="C2647" t="inlineStr">
        <is>
          <t>128222 - Deputy Director - Hardware</t>
        </is>
      </c>
      <c r="D2647" t="inlineStr">
        <is>
          <t>RGF HR Agent Vietnam Co., LTD</t>
        </is>
      </c>
      <c r="E2647" t="inlineStr">
        <is>
          <t>Lương:Cạnh tranh</t>
        </is>
      </c>
      <c r="F2647" t="inlineStr">
        <is>
          <t>Hồ Chí Minh</t>
        </is>
      </c>
      <c r="G2647" t="inlineStr">
        <is>
          <t>11-03-2026</t>
        </is>
      </c>
      <c r="H2647" t="inlineStr">
        <is>
          <t>12/03/2026</t>
        </is>
      </c>
      <c r="I2647" t="inlineStr">
        <is>
          <t>17/03/2026</t>
        </is>
      </c>
      <c r="J2647" t="inlineStr">
        <is>
          <t>CNTT - Phần cứng / Mạng</t>
        </is>
      </c>
      <c r="K2647" t="inlineStr">
        <is>
          <t>10 - 11 Năm</t>
        </is>
      </c>
      <c r="L2647" s="8">
        <f>HYPERLINK("https://careerviet.vn/vi/tim-viec-lam/128222-deputy-director-hardware.35C6B16D.html","Xem chi tiết")</f>
        <v/>
      </c>
    </row>
    <row r="2648">
      <c r="B2648" s="9" t="n">
        <v>2646</v>
      </c>
      <c r="C2648" s="10" t="inlineStr">
        <is>
          <t>Frontend Techlead – Khối Ngân hàng Số</t>
        </is>
      </c>
      <c r="D2648" s="10" t="inlineStr">
        <is>
          <t>Ngân Hàng TMCP Sài Gòn - Hà Nội ( SHB )</t>
        </is>
      </c>
      <c r="E2648" s="10" t="inlineStr">
        <is>
          <t>Lương:Cạnh tranh</t>
        </is>
      </c>
      <c r="F2648" s="10" t="inlineStr">
        <is>
          <t>Hà Nội</t>
        </is>
      </c>
      <c r="G2648" s="10" t="inlineStr">
        <is>
          <t>28-03-2026</t>
        </is>
      </c>
      <c r="H2648" s="10" t="inlineStr">
        <is>
          <t>28/03/2026</t>
        </is>
      </c>
      <c r="I2648" s="10" t="inlineStr">
        <is>
          <t>17/03/2026</t>
        </is>
      </c>
      <c r="J2648" s="10" t="inlineStr">
        <is>
          <t>CNTT - Phần mềm</t>
        </is>
      </c>
      <c r="K2648" s="10" t="inlineStr">
        <is>
          <t>Trên 5 Năm</t>
        </is>
      </c>
      <c r="L2648" s="11">
        <f>HYPERLINK("https://careerviet.vn/vi/tim-viec-lam/frontend-techlead-khoi-ngan-hang-so.35C69B73.html","Xem chi tiết")</f>
        <v/>
      </c>
      <c r="M2648" s="10" t="n"/>
    </row>
    <row r="2649">
      <c r="B2649" s="7" t="n">
        <v>2647</v>
      </c>
      <c r="C2649" t="inlineStr">
        <is>
          <t>Product Supervisor</t>
        </is>
      </c>
      <c r="D2649" t="inlineStr">
        <is>
          <t>Công Ty Tài Chính Mirae Asset (Việt Nam)</t>
        </is>
      </c>
      <c r="E2649" t="inlineStr">
        <is>
          <t>Lương:Cạnh tranh</t>
        </is>
      </c>
      <c r="F2649" t="inlineStr">
        <is>
          <t>Hồ Chí Minh</t>
        </is>
      </c>
      <c r="G2649" t="inlineStr">
        <is>
          <t>28-03-2026</t>
        </is>
      </c>
      <c r="H2649" t="inlineStr">
        <is>
          <t>28/03/2026</t>
        </is>
      </c>
      <c r="I2649" t="inlineStr">
        <is>
          <t>17/03/2026</t>
        </is>
      </c>
      <c r="J2649" t="inlineStr">
        <is>
          <t>Bảo hiểm, Bất động sản, Bán hàng / Kinh doanh</t>
        </is>
      </c>
      <c r="K2649" t="inlineStr">
        <is>
          <t>3 - 5 Năm</t>
        </is>
      </c>
      <c r="L2649" s="8">
        <f>HYPERLINK("https://careerviet.vn/vi/tim-viec-lam/product-supervisor.35C69C91.html","Xem chi tiết")</f>
        <v/>
      </c>
    </row>
    <row r="2650">
      <c r="B2650" s="9" t="n">
        <v>2648</v>
      </c>
      <c r="C2650" s="10" t="inlineStr">
        <is>
          <t>Nhân viên Điều hành kinh doanh</t>
        </is>
      </c>
      <c r="D2650" s="10" t="inlineStr">
        <is>
          <t>Công ty TNHH Viettel - CHT</t>
        </is>
      </c>
      <c r="E2650" s="10" t="inlineStr">
        <is>
          <t>Lương:Cạnh tranh</t>
        </is>
      </c>
      <c r="F2650" s="10" t="inlineStr">
        <is>
          <t>Hà Nội</t>
        </is>
      </c>
      <c r="G2650" s="10" t="inlineStr">
        <is>
          <t>14-04-2026</t>
        </is>
      </c>
      <c r="H2650" s="10" t="inlineStr">
        <is>
          <t>14/04/2026</t>
        </is>
      </c>
      <c r="I2650" s="10" t="inlineStr">
        <is>
          <t>17/03/2026</t>
        </is>
      </c>
      <c r="J2650" s="10" t="inlineStr">
        <is>
          <t>CNTT - Phần mềm, Bán hàng / Kinh doanh, CNTT - Phần cứng / Mạng</t>
        </is>
      </c>
      <c r="K2650" s="10" t="inlineStr">
        <is>
          <t>Trên 3 Năm</t>
        </is>
      </c>
      <c r="L2650" s="11">
        <f>HYPERLINK("https://careerviet.vn/vi/tim-viec-lam/nhan-vien-dieu-hanh-kinh-doanh.35C6B251.html","Xem chi tiết")</f>
        <v/>
      </c>
      <c r="M2650" s="10" t="n"/>
    </row>
    <row r="2651">
      <c r="B2651" s="7" t="n">
        <v>2649</v>
      </c>
      <c r="C2651" t="inlineStr">
        <is>
          <t>KỸ SƯ THIẾT KẾ CẦU ĐƯỜNG</t>
        </is>
      </c>
      <c r="D2651" t="inlineStr">
        <is>
          <t>PRECIOUS PRESTIGE TRADING AND LOGISTICS</t>
        </is>
      </c>
      <c r="E2651" t="inlineStr">
        <is>
          <t>Lương:Cạnh tranh</t>
        </is>
      </c>
      <c r="F2651" t="inlineStr">
        <is>
          <t>Hồ Chí Minh</t>
        </is>
      </c>
      <c r="G2651" t="inlineStr">
        <is>
          <t>04-04-2026</t>
        </is>
      </c>
      <c r="H2651" t="inlineStr">
        <is>
          <t>04/04/2026</t>
        </is>
      </c>
      <c r="I2651" t="inlineStr">
        <is>
          <t>17/03/2026</t>
        </is>
      </c>
      <c r="J2651" t="inlineStr">
        <is>
          <t>Trắc địa / Địa Chất, Xây dựng, Mỹ thuật / Nghệ thuật / Thiết kế</t>
        </is>
      </c>
      <c r="K2651" t="inlineStr">
        <is>
          <t>N/A</t>
        </is>
      </c>
      <c r="L2651" s="8">
        <f>HYPERLINK("https://careerviet.vn/vi/tim-viec-lam/ky-su-thiet-ke-cau-duong.35C6B07E.html","Xem chi tiết")</f>
        <v/>
      </c>
    </row>
    <row r="2652">
      <c r="B2652" s="9" t="n">
        <v>2650</v>
      </c>
      <c r="C2652" s="10" t="inlineStr">
        <is>
          <t>PĐG - Chuyên viên Kế toán tổng hợp</t>
        </is>
      </c>
      <c r="D2652" s="10" t="inlineStr">
        <is>
          <t>Phu Dong Group</t>
        </is>
      </c>
      <c r="E2652" s="10" t="inlineStr">
        <is>
          <t>Lương:Cạnh tranh</t>
        </is>
      </c>
      <c r="F2652" s="10" t="inlineStr">
        <is>
          <t>Hồ Chí Minh</t>
        </is>
      </c>
      <c r="G2652" s="10" t="inlineStr">
        <is>
          <t>31-03-2026</t>
        </is>
      </c>
      <c r="H2652" s="10" t="inlineStr">
        <is>
          <t>31/03/2026</t>
        </is>
      </c>
      <c r="I2652" s="10" t="inlineStr">
        <is>
          <t>17/03/2026</t>
        </is>
      </c>
      <c r="J2652" s="10" t="inlineStr">
        <is>
          <t>Kế toán / Kiểm toán, Bất động sản, Xây dựng</t>
        </is>
      </c>
      <c r="K2652" s="10" t="inlineStr">
        <is>
          <t>2 - 6 Năm</t>
        </is>
      </c>
      <c r="L2652" s="11">
        <f>HYPERLINK("https://careerviet.vn/vi/tim-viec-lam/pdg-chuyen-vien-ke-toan-tong-hop.35C6B268.html","Xem chi tiết")</f>
        <v/>
      </c>
      <c r="M2652" s="10" t="n"/>
    </row>
    <row r="2653">
      <c r="B2653" s="7" t="n">
        <v>2651</v>
      </c>
      <c r="C2653" t="inlineStr">
        <is>
          <t>Nhân viên Thiết kế Trang sức 2D Jewelry</t>
        </is>
      </c>
      <c r="D2653" t="inlineStr">
        <is>
          <t>Công ty TNHH MTV Sen Vàng Việt Nam</t>
        </is>
      </c>
      <c r="E2653" t="inlineStr">
        <is>
          <t>Lương:Cạnh tranh</t>
        </is>
      </c>
      <c r="F2653" t="inlineStr">
        <is>
          <t>Hồ Chí Minh</t>
        </is>
      </c>
      <c r="G2653" t="inlineStr">
        <is>
          <t>04-04-2026</t>
        </is>
      </c>
      <c r="H2653" t="inlineStr">
        <is>
          <t>04/04/2026</t>
        </is>
      </c>
      <c r="I2653" t="inlineStr">
        <is>
          <t>17/03/2026</t>
        </is>
      </c>
      <c r="J2653" t="inlineStr">
        <is>
          <t>Mỹ thuật / Nghệ thuật / Thiết kế, Nhân sự, Kiến trúc</t>
        </is>
      </c>
      <c r="K2653" t="inlineStr">
        <is>
          <t>1 - 3 Năm</t>
        </is>
      </c>
      <c r="L2653" s="8">
        <f>HYPERLINK("https://careerviet.vn/vi/tim-viec-lam/nhan-vien-thiet-ke-trang-suc-2d-jewelry.35C6B188.html","Xem chi tiết")</f>
        <v/>
      </c>
    </row>
    <row r="2654">
      <c r="B2654" s="9" t="n">
        <v>2652</v>
      </c>
      <c r="C2654" s="10" t="inlineStr">
        <is>
          <t>Kỹ sư giám sát thi công</t>
        </is>
      </c>
      <c r="D2654" s="10" t="inlineStr">
        <is>
          <t>Chi nhánh Công ty TNHH MTV BCA-Thăng Long tại TP.HCM</t>
        </is>
      </c>
      <c r="E2654" s="10" t="inlineStr">
        <is>
          <t>Lương:15 Tr - 25 Tr VND</t>
        </is>
      </c>
      <c r="F2654" s="10" t="inlineStr">
        <is>
          <t>Đồng NaiBà Rịa - Vũng TàuHồ Chí Minh</t>
        </is>
      </c>
      <c r="G2654" s="10" t="inlineStr">
        <is>
          <t>31-03-2026</t>
        </is>
      </c>
      <c r="H2654" s="10" t="inlineStr">
        <is>
          <t>31/03/2026</t>
        </is>
      </c>
      <c r="I2654" s="10" t="inlineStr">
        <is>
          <t>17/03/2026</t>
        </is>
      </c>
      <c r="J2654" s="10" t="inlineStr">
        <is>
          <t>Cơ khí / Ô tô / Tự động hóa, Điện / Điện tử / Điện lạnh / Điện công nghiệp</t>
        </is>
      </c>
      <c r="K2654" s="10" t="inlineStr">
        <is>
          <t>2 - 5 Năm</t>
        </is>
      </c>
      <c r="L2654" s="11">
        <f>HYPERLINK("https://careerviet.vn/vi/tim-viec-lam/ky-su-giam-sat-thi-cong.35C69BF9.html","Xem chi tiết")</f>
        <v/>
      </c>
      <c r="M2654" s="10" t="n"/>
    </row>
    <row r="2655">
      <c r="B2655" s="7" t="n">
        <v>2653</v>
      </c>
      <c r="C2655" t="inlineStr">
        <is>
          <t>Khu vực Miền Tây - GĐ/CV/NV Quan Hệ Khách Hàng Cá Nhân</t>
        </is>
      </c>
      <c r="D2655" t="inlineStr">
        <is>
          <t>Ngân Hàng TMCP Phương Đông - OCB</t>
        </is>
      </c>
      <c r="E2655" t="inlineStr">
        <is>
          <t>Lương:Cạnh tranh</t>
        </is>
      </c>
      <c r="F2655" t="inlineStr">
        <is>
          <t>An Giang</t>
        </is>
      </c>
      <c r="G2655" t="inlineStr">
        <is>
          <t>31-03-2026</t>
        </is>
      </c>
      <c r="H2655" t="inlineStr">
        <is>
          <t>31/03/2026</t>
        </is>
      </c>
      <c r="I2655" t="inlineStr">
        <is>
          <t>17/03/2026</t>
        </is>
      </c>
      <c r="J2655" t="inlineStr">
        <is>
          <t>Ngân hàng</t>
        </is>
      </c>
      <c r="K2655" t="inlineStr">
        <is>
          <t>1 - 5 Năm</t>
        </is>
      </c>
      <c r="L2655" s="8">
        <f>HYPERLINK("https://careerviet.vn/vi/tim-viec-lam/khu-vuc-mien-tay-gd-cv-nv-quan-he-khach-hang-ca-nhan.35C69B59.html","Xem chi tiết")</f>
        <v/>
      </c>
    </row>
    <row r="2656">
      <c r="B2656" s="9" t="n">
        <v>2654</v>
      </c>
      <c r="C2656" s="10" t="inlineStr">
        <is>
          <t>Nhân viên kế toán thuế</t>
        </is>
      </c>
      <c r="D2656" s="10" t="inlineStr">
        <is>
          <t>CÔNG TY CỔ PHẦN ĐẦU TƯ VÀ PHÁT TRIỂN LẠC HỒNG</t>
        </is>
      </c>
      <c r="E2656" s="10" t="inlineStr">
        <is>
          <t>Lương:13 Tr - 15 Tr VND</t>
        </is>
      </c>
      <c r="F2656" s="10" t="inlineStr">
        <is>
          <t>Hà Nội</t>
        </is>
      </c>
      <c r="G2656" s="10" t="inlineStr">
        <is>
          <t>05-04-2026</t>
        </is>
      </c>
      <c r="H2656" s="10" t="inlineStr">
        <is>
          <t>05/04/2026</t>
        </is>
      </c>
      <c r="I2656" s="10" t="inlineStr">
        <is>
          <t>17/03/2026</t>
        </is>
      </c>
      <c r="J2656" s="10" t="inlineStr">
        <is>
          <t>Kế toán / Kiểm toán</t>
        </is>
      </c>
      <c r="K2656" s="10" t="inlineStr">
        <is>
          <t>N/A</t>
        </is>
      </c>
      <c r="L2656" s="11">
        <f>HYPERLINK("https://careerviet.vn/vi/tim-viec-lam/nhan-vien-ke-toan-thue.35C6AF41.html","Xem chi tiết")</f>
        <v/>
      </c>
      <c r="M2656" s="10" t="n"/>
    </row>
    <row r="2657">
      <c r="B2657" s="7" t="n">
        <v>2655</v>
      </c>
      <c r="C2657" t="inlineStr">
        <is>
          <t>Trưởng Phòng Cấp Cao - Kiểm soát Tuân thủ, Rủi ro Tài chính</t>
        </is>
      </c>
      <c r="D2657" t="inlineStr">
        <is>
          <t>Công Ty Cổ Phần GreenFeed Việt Nam</t>
        </is>
      </c>
      <c r="E2657" t="inlineStr">
        <is>
          <t>Lương:Cạnh tranh</t>
        </is>
      </c>
      <c r="F2657" t="inlineStr">
        <is>
          <t>Hồ Chí Minh</t>
        </is>
      </c>
      <c r="G2657" t="inlineStr">
        <is>
          <t>04-04-2026</t>
        </is>
      </c>
      <c r="H2657" t="inlineStr">
        <is>
          <t>04/04/2026</t>
        </is>
      </c>
      <c r="I2657" t="inlineStr">
        <is>
          <t>17/03/2026</t>
        </is>
      </c>
      <c r="J2657" t="inlineStr">
        <is>
          <t>Kế toán / Kiểm toán</t>
        </is>
      </c>
      <c r="K2657" t="inlineStr">
        <is>
          <t>5 - 10 Năm</t>
        </is>
      </c>
      <c r="L2657" s="8">
        <f>HYPERLINK("https://careerviet.vn/vi/tim-viec-lam/truong-phong-cap-cao-kiem-soat-tuan-thu-rui-ro-tai-chinh.35C6B0E5.html","Xem chi tiết")</f>
        <v/>
      </c>
    </row>
    <row r="2658">
      <c r="B2658" s="9" t="n">
        <v>2656</v>
      </c>
      <c r="C2658" s="10" t="inlineStr">
        <is>
          <t>Chuyên viên Tư vấn PCCC</t>
        </is>
      </c>
      <c r="D2658" s="10" t="inlineStr">
        <is>
          <t>Chi nhánh Công ty TNHH MTV BCA-Thăng Long tại TP.HCM</t>
        </is>
      </c>
      <c r="E2658" s="10" t="inlineStr">
        <is>
          <t>Lương:20 Tr - 25 Tr VND</t>
        </is>
      </c>
      <c r="F2658" s="10" t="inlineStr">
        <is>
          <t>Hồ Chí Minh</t>
        </is>
      </c>
      <c r="G2658" s="10" t="inlineStr">
        <is>
          <t>31-03-2026</t>
        </is>
      </c>
      <c r="H2658" s="10" t="inlineStr">
        <is>
          <t>31/03/2026</t>
        </is>
      </c>
      <c r="I2658" s="10" t="inlineStr">
        <is>
          <t>17/03/2026</t>
        </is>
      </c>
      <c r="J2658" s="10" t="inlineStr">
        <is>
          <t>Cơ khí / Ô tô / Tự động hóa, Điện / Điện tử / Điện lạnh / Điện công nghiệp, Xây dựng</t>
        </is>
      </c>
      <c r="K2658" s="10" t="inlineStr">
        <is>
          <t>3 - 5 Năm</t>
        </is>
      </c>
      <c r="L2658" s="11">
        <f>HYPERLINK("https://careerviet.vn/vi/tim-viec-lam/chuyen-vien-tu-van-pccc.35C69BEA.html","Xem chi tiết")</f>
        <v/>
      </c>
      <c r="M2658" s="10" t="n"/>
    </row>
    <row r="2659">
      <c r="B2659" s="7" t="n">
        <v>2657</v>
      </c>
      <c r="C2659" t="inlineStr">
        <is>
          <t>Chuyên viên Performance Marketing</t>
        </is>
      </c>
      <c r="D2659" t="inlineStr">
        <is>
          <t>Công ty CP Công nghệ giáo dục Trường học trực tuyến (ONSCHOOL)</t>
        </is>
      </c>
      <c r="E2659" t="inlineStr">
        <is>
          <t>Lương:13 Tr - 18 Tr VND</t>
        </is>
      </c>
      <c r="F2659" t="inlineStr">
        <is>
          <t>Hà Nội</t>
        </is>
      </c>
      <c r="G2659" t="inlineStr">
        <is>
          <t>25-03-2026</t>
        </is>
      </c>
      <c r="H2659" t="inlineStr">
        <is>
          <t>25/03/2026</t>
        </is>
      </c>
      <c r="I2659" t="inlineStr">
        <is>
          <t>17/03/2026</t>
        </is>
      </c>
      <c r="J2659" t="inlineStr">
        <is>
          <t>Tiếp thị / Marketing</t>
        </is>
      </c>
      <c r="K2659" t="inlineStr">
        <is>
          <t>2 - 3 Năm</t>
        </is>
      </c>
      <c r="L2659" s="8">
        <f>HYPERLINK("https://careerviet.vn/vi/tim-viec-lam/chuyen-vien-performance-marketing.35C699AF.html","Xem chi tiết")</f>
        <v/>
      </c>
    </row>
    <row r="2660">
      <c r="B2660" s="9" t="n">
        <v>2658</v>
      </c>
      <c r="C2660" s="10" t="inlineStr">
        <is>
          <t>ĐẦU BẾP CO.OPMART PHAN THIẾT</t>
        </is>
      </c>
      <c r="D2660" s="10" t="inlineStr">
        <is>
          <t>Liên Hiệp HTX Thương Mại TPHCM - SAIGON CO.OP</t>
        </is>
      </c>
      <c r="E2660" s="10" t="inlineStr">
        <is>
          <t>Lương:Cạnh tranh</t>
        </is>
      </c>
      <c r="F2660" s="10" t="inlineStr">
        <is>
          <t>Bình Thuận</t>
        </is>
      </c>
      <c r="G2660" s="10" t="inlineStr">
        <is>
          <t>28-03-2026</t>
        </is>
      </c>
      <c r="H2660" s="10" t="inlineStr">
        <is>
          <t>28/03/2026</t>
        </is>
      </c>
      <c r="I2660" s="10" t="inlineStr">
        <is>
          <t>17/03/2026</t>
        </is>
      </c>
      <c r="J2660" s="10" t="inlineStr">
        <is>
          <t>Lao động phổ thông, Công nghệ thực phẩm / Dinh dưỡng</t>
        </is>
      </c>
      <c r="K2660" s="10" t="inlineStr">
        <is>
          <t>1 - 2 Năm</t>
        </is>
      </c>
      <c r="L2660" s="11">
        <f>HYPERLINK("https://careerviet.vn/vi/tim-viec-lam/dau-bep-co-opmart-phan-thiet.35C69A76.html","Xem chi tiết")</f>
        <v/>
      </c>
      <c r="M2660" s="10" t="n"/>
    </row>
    <row r="2661">
      <c r="B2661" s="7" t="n">
        <v>2659</v>
      </c>
      <c r="C2661" t="inlineStr">
        <is>
          <t>[Hà Nội] Sales Planning Officer/ Cán Bộ Kế Hoạch Bán Hàng (Pet Care)</t>
        </is>
      </c>
      <c r="D2661" t="inlineStr">
        <is>
          <t>Công Ty Cổ Phần Diana Unicharm</t>
        </is>
      </c>
      <c r="E2661" t="inlineStr">
        <is>
          <t>Lương:16 Tr - 24 Tr VND</t>
        </is>
      </c>
      <c r="F2661" t="inlineStr">
        <is>
          <t>Hà Nội</t>
        </is>
      </c>
      <c r="G2661" t="inlineStr">
        <is>
          <t>26-03-2026</t>
        </is>
      </c>
      <c r="H2661" t="inlineStr">
        <is>
          <t>26/03/2026</t>
        </is>
      </c>
      <c r="I2661" t="inlineStr">
        <is>
          <t>17/03/2026</t>
        </is>
      </c>
      <c r="J2661" t="inlineStr">
        <is>
          <t>Bán hàng / Kinh doanh, Hàng gia dụng / Chăm sóc cá nhân</t>
        </is>
      </c>
      <c r="K2661" t="inlineStr">
        <is>
          <t>2 - 3 Năm</t>
        </is>
      </c>
      <c r="L2661" s="8">
        <f>HYPERLINK("https://careerviet.vn/vi/tim-viec-lam/ha-noi-sales-planning-officer-can-bo-ke-hoach-ban-hang-pet-care.35C69A0C.html","Xem chi tiết")</f>
        <v/>
      </c>
    </row>
    <row r="2662">
      <c r="B2662" s="9" t="n">
        <v>2660</v>
      </c>
      <c r="C2662" s="10" t="inlineStr">
        <is>
          <t>[TBYT] CHUYÊN VIÊN KINH DOANH  - UPTO: 35TR</t>
        </is>
      </c>
      <c r="D2662" s="10" t="inlineStr">
        <is>
          <t>Công ty Cổ phần Vật tư Khoa học BIOMEDIC</t>
        </is>
      </c>
      <c r="E2662" s="10" t="inlineStr">
        <is>
          <t>Lương:15 Tr - 35 Tr VND</t>
        </is>
      </c>
      <c r="F2662" s="10" t="inlineStr">
        <is>
          <t>Hà Nội</t>
        </is>
      </c>
      <c r="G2662" s="10" t="inlineStr">
        <is>
          <t>31-03-2026</t>
        </is>
      </c>
      <c r="H2662" s="10" t="inlineStr">
        <is>
          <t>31/03/2026</t>
        </is>
      </c>
      <c r="I2662" s="10" t="inlineStr">
        <is>
          <t>17/03/2026</t>
        </is>
      </c>
      <c r="J2662" s="10" t="inlineStr">
        <is>
          <t>Dược phẩm/ Hóa Mỹ Phẩm, Y tế / Chăm sóc sức khỏe / Thẩm mỹ / Làm đẹp, Công nghệ sinh học</t>
        </is>
      </c>
      <c r="K2662" s="10" t="inlineStr">
        <is>
          <t>1 - 3 Năm</t>
        </is>
      </c>
      <c r="L2662" s="11">
        <f>HYPERLINK("https://careerviet.vn/vi/tim-viec-lam/tbyt-chuyen-vien-kinh-doanh-upto-35tr.35C698FE.html","Xem chi tiết")</f>
        <v/>
      </c>
      <c r="M2662" s="10" t="n"/>
    </row>
    <row r="2663">
      <c r="B2663" s="7" t="n">
        <v>2661</v>
      </c>
      <c r="C2663" t="inlineStr">
        <is>
          <t>Nhân Viên Quay Dựng Video Truyền Thông</t>
        </is>
      </c>
      <c r="D2663" t="inlineStr">
        <is>
          <t>CÔNG TY TNHH GIFT BUSINESS</t>
        </is>
      </c>
      <c r="E2663" t="inlineStr">
        <is>
          <t>Lương:Cạnh tranh</t>
        </is>
      </c>
      <c r="F2663" t="inlineStr">
        <is>
          <t>Hồ Chí Minh</t>
        </is>
      </c>
      <c r="G2663" t="inlineStr">
        <is>
          <t>26-03-2026</t>
        </is>
      </c>
      <c r="H2663" t="inlineStr">
        <is>
          <t>26/03/2026</t>
        </is>
      </c>
      <c r="I2663" t="inlineStr">
        <is>
          <t>17/03/2026</t>
        </is>
      </c>
      <c r="J2663" t="inlineStr">
        <is>
          <t>Quảng cáo / Đối ngoại / Truyền Thông, CNTT - Phần mềm, Mỹ thuật / Nghệ thuật / Thiết kế</t>
        </is>
      </c>
      <c r="K2663" t="inlineStr">
        <is>
          <t>Trên 1 Năm</t>
        </is>
      </c>
      <c r="L2663" s="8">
        <f>HYPERLINK("https://careerviet.vn/vi/tim-viec-lam/nhan-vien-quay-dung-video-truyen-thong.35C69A08.html","Xem chi tiết")</f>
        <v/>
      </c>
    </row>
    <row r="2664">
      <c r="B2664" s="9" t="n">
        <v>2662</v>
      </c>
      <c r="C2664" s="10" t="inlineStr">
        <is>
          <t>QUẢN LÝ THIẾT KẾ MEP (HN)</t>
        </is>
      </c>
      <c r="D2664" s="10" t="inlineStr">
        <is>
          <t>CÔNG TY TNHH THIẾT KẾ HPA &amp; PARTNERS (VIÊT NAM)</t>
        </is>
      </c>
      <c r="E2664" s="10" t="inlineStr">
        <is>
          <t>Lương:30 Tr - 40 Tr VND</t>
        </is>
      </c>
      <c r="F2664" s="10" t="inlineStr">
        <is>
          <t>Hà Nội</t>
        </is>
      </c>
      <c r="G2664" s="10" t="inlineStr">
        <is>
          <t>31-03-2026</t>
        </is>
      </c>
      <c r="H2664" s="10" t="inlineStr">
        <is>
          <t>31/03/2026</t>
        </is>
      </c>
      <c r="I2664" s="10" t="inlineStr">
        <is>
          <t>17/03/2026</t>
        </is>
      </c>
      <c r="J2664" s="10" t="inlineStr">
        <is>
          <t>Xây dựng, Kiến trúc, Nội ngoại thất</t>
        </is>
      </c>
      <c r="K2664" s="10" t="inlineStr">
        <is>
          <t>Trên 5 Năm</t>
        </is>
      </c>
      <c r="L2664" s="11">
        <f>HYPERLINK("https://careerviet.vn/vi/tim-viec-lam/quan-ly-thiet-ke-mep-hn.35C69972.html","Xem chi tiết")</f>
        <v/>
      </c>
      <c r="M2664" s="10" t="n"/>
    </row>
    <row r="2665">
      <c r="B2665" s="7" t="n">
        <v>2663</v>
      </c>
      <c r="C2665" t="inlineStr">
        <is>
          <t>Chuyên Viên Quan Hệ Khách Hàng Cá Nhân - Hà Nội (Lương cứng 10-30 triệu + Phụ cấp + lương kinh doanh)</t>
        </is>
      </c>
      <c r="D2665" t="inlineStr">
        <is>
          <t>Ngân hàng TMCP Việt Á – VietABank</t>
        </is>
      </c>
      <c r="E2665" t="inlineStr">
        <is>
          <t>Lương:Cạnh tranh</t>
        </is>
      </c>
      <c r="F2665" t="inlineStr">
        <is>
          <t>Hà Nội</t>
        </is>
      </c>
      <c r="G2665" t="inlineStr">
        <is>
          <t>31-03-2026</t>
        </is>
      </c>
      <c r="H2665" t="inlineStr">
        <is>
          <t>31/03/2026</t>
        </is>
      </c>
      <c r="I2665" t="inlineStr">
        <is>
          <t>17/03/2026</t>
        </is>
      </c>
      <c r="J2665" t="inlineStr">
        <is>
          <t>Ngân hàng, Bảo hiểm, Bất động sản</t>
        </is>
      </c>
      <c r="K2665" t="inlineStr">
        <is>
          <t>Trên 1 Năm</t>
        </is>
      </c>
      <c r="L2665" s="8">
        <f>HYPERLINK("https://careerviet.vn/vi/tim-viec-lam/chuyen-vien-quan-he-khach-hang-ca-nhan-ha-noi-luong-cung-10-30-trieu-phu-cap-luong-kinh-doanh.35C692F0.html","Xem chi tiết")</f>
        <v/>
      </c>
    </row>
    <row r="2666">
      <c r="B2666" s="9" t="n">
        <v>2664</v>
      </c>
      <c r="C2666" s="10" t="inlineStr">
        <is>
          <t>Kế Toán Trưởng Ngành Logistics</t>
        </is>
      </c>
      <c r="D2666" s="10" t="inlineStr">
        <is>
          <t>SEAHORSE SHIPPING CORPORATION</t>
        </is>
      </c>
      <c r="E2666" s="10" t="inlineStr">
        <is>
          <t>Lương:Cạnh tranh</t>
        </is>
      </c>
      <c r="F2666" s="10" t="inlineStr">
        <is>
          <t>Hồ Chí Minh</t>
        </is>
      </c>
      <c r="G2666" s="10" t="inlineStr">
        <is>
          <t>31-03-2026</t>
        </is>
      </c>
      <c r="H2666" s="10" t="inlineStr">
        <is>
          <t>31/03/2026</t>
        </is>
      </c>
      <c r="I2666" s="10" t="inlineStr">
        <is>
          <t>17/03/2026</t>
        </is>
      </c>
      <c r="J2666" s="10" t="inlineStr">
        <is>
          <t>Luật / Pháp lý, Tài chính / Đầu tư, Kế toán / Kiểm toán</t>
        </is>
      </c>
      <c r="K2666" s="10" t="inlineStr">
        <is>
          <t>3 - 10 Năm</t>
        </is>
      </c>
      <c r="L2666" s="11">
        <f>HYPERLINK("https://careerviet.vn/vi/tim-viec-lam/ke-toan-truong-nganh-logistics.35C6991B.html","Xem chi tiết")</f>
        <v/>
      </c>
      <c r="M2666" s="10" t="n"/>
    </row>
    <row r="2667">
      <c r="B2667" s="7" t="n">
        <v>2665</v>
      </c>
      <c r="C2667" t="inlineStr">
        <is>
          <t>Giám Sát An Toàn</t>
        </is>
      </c>
      <c r="D2667" t="inlineStr">
        <is>
          <t>Chi nhánh Công ty TNHH MTV BCA-Thăng Long tại TP.HCM</t>
        </is>
      </c>
      <c r="E2667" t="inlineStr">
        <is>
          <t>Lương:20 Tr - 25 Tr VND</t>
        </is>
      </c>
      <c r="F2667" t="inlineStr">
        <is>
          <t>Hồ Chí MinhBà Rịa - Vũng TàuĐồng Nai</t>
        </is>
      </c>
      <c r="G2667" t="inlineStr">
        <is>
          <t>31-03-2026</t>
        </is>
      </c>
      <c r="H2667" t="inlineStr">
        <is>
          <t>31/03/2026</t>
        </is>
      </c>
      <c r="I2667" t="inlineStr">
        <is>
          <t>17/03/2026</t>
        </is>
      </c>
      <c r="J2667" t="inlineStr">
        <is>
          <t>Cơ khí / Ô tô / Tự động hóa, An toàn lao động, Điện / Điện tử / Điện lạnh / Điện công nghiệp</t>
        </is>
      </c>
      <c r="K2667" t="inlineStr">
        <is>
          <t>2 - 5 Năm</t>
        </is>
      </c>
      <c r="L2667" s="8">
        <f>HYPERLINK("https://careerviet.vn/vi/tim-viec-lam/giam-sat-an-toan.35C69C00.html","Xem chi tiết")</f>
        <v/>
      </c>
    </row>
    <row r="2668">
      <c r="B2668" s="9" t="n">
        <v>2666</v>
      </c>
      <c r="C2668" s="10" t="inlineStr">
        <is>
          <t>Kỹ sư giám sát xây dựng</t>
        </is>
      </c>
      <c r="D2668" s="10" t="inlineStr">
        <is>
          <t>CÔNG TY CỔ PHẦN EUROWINDOW HOLDING</t>
        </is>
      </c>
      <c r="E2668" s="10" t="inlineStr">
        <is>
          <t>Lương:Cạnh tranh</t>
        </is>
      </c>
      <c r="F2668" s="10" t="inlineStr">
        <is>
          <t>Hà Nội</t>
        </is>
      </c>
      <c r="G2668" s="10" t="inlineStr">
        <is>
          <t>31-03-2026</t>
        </is>
      </c>
      <c r="H2668" s="10" t="inlineStr">
        <is>
          <t>31/03/2026</t>
        </is>
      </c>
      <c r="I2668" s="10" t="inlineStr">
        <is>
          <t>17/03/2026</t>
        </is>
      </c>
      <c r="J2668" s="10" t="inlineStr">
        <is>
          <t>Xây dựng</t>
        </is>
      </c>
      <c r="K2668" s="10" t="inlineStr">
        <is>
          <t>2 - 10 Năm</t>
        </is>
      </c>
      <c r="L2668" s="11">
        <f>HYPERLINK("https://careerviet.vn/vi/tim-viec-lam/ky-su-giam-sat-xay-dung.35C69ACE.html","Xem chi tiết")</f>
        <v/>
      </c>
      <c r="M2668" s="10" t="n"/>
    </row>
    <row r="2669">
      <c r="B2669" s="7" t="n">
        <v>2667</v>
      </c>
      <c r="C2669" t="inlineStr">
        <is>
          <t>Senior Quality Engineer/ Kỹ Sư Chất Lượng Cấp Cao</t>
        </is>
      </c>
      <c r="D2669" t="inlineStr">
        <is>
          <t>Công ty TNHH Vexos Việt Nam</t>
        </is>
      </c>
      <c r="E2669" t="inlineStr">
        <is>
          <t>Lương:Cạnh tranh</t>
        </is>
      </c>
      <c r="F2669" t="inlineStr">
        <is>
          <t>Hồ Chí Minh</t>
        </is>
      </c>
      <c r="G2669" t="inlineStr">
        <is>
          <t>26-03-2026</t>
        </is>
      </c>
      <c r="H2669" t="inlineStr">
        <is>
          <t>26/03/2026</t>
        </is>
      </c>
      <c r="I2669" t="inlineStr">
        <is>
          <t>17/03/2026</t>
        </is>
      </c>
      <c r="J2669" t="inlineStr">
        <is>
          <t>Điện / Điện tử / Điện lạnh / Điện công nghiệp, Sản xuất / Vận hành sản xuất, Quản lý chất lượng (QA/QC)</t>
        </is>
      </c>
      <c r="K2669" t="inlineStr">
        <is>
          <t>3 - 5 Năm</t>
        </is>
      </c>
      <c r="L2669" s="8">
        <f>HYPERLINK("https://careerviet.vn/vi/tim-viec-lam/senior-quality-engineer-ky-su-chat-luong-cap-cao.35C69A33.html","Xem chi tiết")</f>
        <v/>
      </c>
    </row>
    <row r="2670">
      <c r="B2670" s="9" t="n">
        <v>2668</v>
      </c>
      <c r="C2670" s="10" t="inlineStr">
        <is>
          <t>Kĩ sư cơ khí</t>
        </is>
      </c>
      <c r="D2670" s="10" t="inlineStr">
        <is>
          <t>CÔNG TY TNHH LTK VIỆT NAM</t>
        </is>
      </c>
      <c r="E2670" s="10" t="inlineStr">
        <is>
          <t>Lương:12 Tr - 15 Tr VND</t>
        </is>
      </c>
      <c r="F2670" s="10" t="inlineStr">
        <is>
          <t>Hà NộiHưng YênBắc Ninh</t>
        </is>
      </c>
      <c r="G2670" s="10" t="inlineStr">
        <is>
          <t>11-03-2026</t>
        </is>
      </c>
      <c r="H2670" s="10" t="inlineStr">
        <is>
          <t>28/02/2026</t>
        </is>
      </c>
      <c r="I2670" s="10" t="inlineStr">
        <is>
          <t>17/03/2026</t>
        </is>
      </c>
      <c r="J2670" s="10" t="inlineStr">
        <is>
          <t>Cơ khí / Ô tô / Tự động hóa, Điện / Điện tử / Điện lạnh / Điện công nghiệp, Bảo trì / Sửa chữa</t>
        </is>
      </c>
      <c r="K2670" s="10" t="inlineStr">
        <is>
          <t>2 - 3 Năm</t>
        </is>
      </c>
      <c r="L2670" s="11">
        <f>HYPERLINK("https://careerviet.vn/vi/tim-viec-lam/ki-su-co-khi.35C69976.html","Xem chi tiết")</f>
        <v/>
      </c>
      <c r="M2670" s="10" t="n"/>
    </row>
    <row r="2671">
      <c r="B2671" s="7" t="n">
        <v>2669</v>
      </c>
      <c r="C2671" t="inlineStr">
        <is>
          <t>Nhân Viên Kinh Doanh</t>
        </is>
      </c>
      <c r="D2671" t="inlineStr">
        <is>
          <t>CÔNG TY TNHH SAFFRONCLUB VIỆT NAM</t>
        </is>
      </c>
      <c r="E2671" t="inlineStr">
        <is>
          <t>Lương:8 Tr - 10 Tr VND</t>
        </is>
      </c>
      <c r="F2671" t="inlineStr">
        <is>
          <t>Hà NộiHồ Chí Minh</t>
        </is>
      </c>
      <c r="G2671" t="inlineStr">
        <is>
          <t>30-03-2026</t>
        </is>
      </c>
      <c r="H2671" t="inlineStr">
        <is>
          <t>30/03/2026</t>
        </is>
      </c>
      <c r="I2671" t="inlineStr">
        <is>
          <t>17/03/2026</t>
        </is>
      </c>
      <c r="J2671" t="inlineStr">
        <is>
          <t>Bán hàng / Kinh doanh, Tư vấn, Dịch vụ khách hàng</t>
        </is>
      </c>
      <c r="K2671" t="inlineStr">
        <is>
          <t>N/A</t>
        </is>
      </c>
      <c r="L2671" s="8">
        <f>HYPERLINK("https://careerviet.vn/vi/tim-viec-lam/nhan-vien-kinh-doanh.35C697B2.html","Xem chi tiết")</f>
        <v/>
      </c>
    </row>
    <row r="2672">
      <c r="B2672" s="9" t="n">
        <v>2670</v>
      </c>
      <c r="C2672" s="10" t="inlineStr">
        <is>
          <t>Kế Toán Thuế - Lương 20 -25tr</t>
        </is>
      </c>
      <c r="D2672" s="10" t="inlineStr">
        <is>
          <t>CÔNG TY TNHH CÔNG NGHỆ TANIXA</t>
        </is>
      </c>
      <c r="E2672" s="10" t="inlineStr">
        <is>
          <t>Lương:20 Tr - 25 Tr VND</t>
        </is>
      </c>
      <c r="F2672" s="10" t="inlineStr">
        <is>
          <t>Long AnHồ Chí Minh</t>
        </is>
      </c>
      <c r="G2672" s="10" t="inlineStr">
        <is>
          <t>31-03-2026</t>
        </is>
      </c>
      <c r="H2672" s="10" t="inlineStr">
        <is>
          <t>31/03/2026</t>
        </is>
      </c>
      <c r="I2672" s="10" t="inlineStr">
        <is>
          <t>17/03/2026</t>
        </is>
      </c>
      <c r="J2672" s="10" t="inlineStr">
        <is>
          <t>Kế toán / Kiểm toán, Tài chính / Đầu tư, Sản xuất / Vận hành sản xuất</t>
        </is>
      </c>
      <c r="K2672" s="10" t="inlineStr">
        <is>
          <t>Trên 3 Năm</t>
        </is>
      </c>
      <c r="L2672" s="11">
        <f>HYPERLINK("https://careerviet.vn/vi/tim-viec-lam/ke-toan-thue-luong-20-25tr.35C69948.html","Xem chi tiết")</f>
        <v/>
      </c>
      <c r="M2672" s="10" t="n"/>
    </row>
    <row r="2673">
      <c r="B2673" s="7" t="n">
        <v>2671</v>
      </c>
      <c r="C2673" t="inlineStr">
        <is>
          <t>Trưởng phòng  Kinh doanh dự án</t>
        </is>
      </c>
      <c r="D2673" t="inlineStr">
        <is>
          <t>CÔNG TY CỔ PHẦN SẢN XUẤT THƯƠNG MẠI DỊCH VỤ MỸ THUẬT TÂN VIỆT</t>
        </is>
      </c>
      <c r="E2673" t="inlineStr">
        <is>
          <t>Lương:15 Tr - 20 Tr VND</t>
        </is>
      </c>
      <c r="F2673" t="inlineStr">
        <is>
          <t>Hồ Chí Minh</t>
        </is>
      </c>
      <c r="G2673" t="inlineStr">
        <is>
          <t>31-12-2026</t>
        </is>
      </c>
      <c r="H2673" t="inlineStr">
        <is>
          <t>31/12/2026</t>
        </is>
      </c>
      <c r="I2673" t="inlineStr">
        <is>
          <t>17/03/2026</t>
        </is>
      </c>
      <c r="J2673" t="inlineStr">
        <is>
          <t>Bán hàng / Kinh doanh, Sản xuất / Vận hành sản xuất, Mỹ thuật / Nghệ thuật / Thiết kế</t>
        </is>
      </c>
      <c r="K2673" t="inlineStr">
        <is>
          <t>2 - 5 Năm</t>
        </is>
      </c>
      <c r="L2673" s="8">
        <f>HYPERLINK("https://careerviet.vn/vi/tim-viec-lam/truong-phong-kinh-doanh-du-an.35C69BF3.html","Xem chi tiết")</f>
        <v/>
      </c>
    </row>
    <row r="2674">
      <c r="B2674" s="9" t="n">
        <v>2672</v>
      </c>
      <c r="C2674" s="10" t="inlineStr">
        <is>
          <t>Nhân viên Kinh doanh Dịch vụ Y tế</t>
        </is>
      </c>
      <c r="D2674" s="10" t="inlineStr">
        <is>
          <t>CÔNG TY TNHH BỆNH VIỆN ĐKTN AN SINH - PHÚC TRƯỜNG MINH</t>
        </is>
      </c>
      <c r="E2674" s="10" t="inlineStr">
        <is>
          <t>Lương:12 Tr - 15 Tr VND</t>
        </is>
      </c>
      <c r="F2674" s="10" t="inlineStr">
        <is>
          <t>Hà Nội</t>
        </is>
      </c>
      <c r="G2674" s="10" t="inlineStr">
        <is>
          <t>31-03-2026</t>
        </is>
      </c>
      <c r="H2674" s="10" t="inlineStr">
        <is>
          <t>31/03/2026</t>
        </is>
      </c>
      <c r="I2674" s="10" t="inlineStr">
        <is>
          <t>17/03/2026</t>
        </is>
      </c>
      <c r="J2674" s="10" t="inlineStr">
        <is>
          <t>Tiếp thị / Marketing, Bán hàng / Kinh doanh, Y tế / Chăm sóc sức khỏe / Thẩm mỹ / Làm đẹp</t>
        </is>
      </c>
      <c r="K2674" s="10" t="inlineStr">
        <is>
          <t>N/A</t>
        </is>
      </c>
      <c r="L2674" s="11">
        <f>HYPERLINK("https://careerviet.vn/vi/tim-viec-lam/nhan-vien-kinh-doanh-dich-vu-y-te.35C69BB0.html","Xem chi tiết")</f>
        <v/>
      </c>
      <c r="M2674" s="10" t="n"/>
    </row>
    <row r="2675">
      <c r="B2675" s="7" t="n">
        <v>2673</v>
      </c>
      <c r="C2675" t="inlineStr">
        <is>
          <t>128152 - Polymer Trading Manager - Trading</t>
        </is>
      </c>
      <c r="D2675" t="inlineStr">
        <is>
          <t>RGF HR Agent Vietnam Co., LTD</t>
        </is>
      </c>
      <c r="E2675" t="inlineStr">
        <is>
          <t>Lương:Cạnh tranh</t>
        </is>
      </c>
      <c r="F2675" t="inlineStr">
        <is>
          <t>Hồ Chí Minh</t>
        </is>
      </c>
      <c r="G2675" t="inlineStr">
        <is>
          <t>11-03-2026</t>
        </is>
      </c>
      <c r="H2675" t="inlineStr">
        <is>
          <t>12/03/2026</t>
        </is>
      </c>
      <c r="I2675" t="inlineStr">
        <is>
          <t>17/03/2026</t>
        </is>
      </c>
      <c r="J2675" t="inlineStr">
        <is>
          <t>Bán hàng / Kinh doanh</t>
        </is>
      </c>
      <c r="K2675" t="inlineStr">
        <is>
          <t>5 - 7 Năm</t>
        </is>
      </c>
      <c r="L2675" s="8">
        <f>HYPERLINK("https://careerviet.vn/vi/tim-viec-lam/128152-polymer-trading-manager-trading.35C69ABF.html","Xem chi tiết")</f>
        <v/>
      </c>
    </row>
    <row r="2676">
      <c r="B2676" s="9" t="n">
        <v>2674</v>
      </c>
      <c r="C2676" s="10" t="inlineStr">
        <is>
          <t>Nhân Viên Kỹ Thuật/ Bảo Trì Thang Máy (Lâm Đồng)</t>
        </is>
      </c>
      <c r="D2676" s="10" t="inlineStr">
        <is>
          <t>CÔNG TY TNHH FUJITEC VIỆT NAM</t>
        </is>
      </c>
      <c r="E2676" s="10" t="inlineStr">
        <is>
          <t>Lương:Cạnh tranh</t>
        </is>
      </c>
      <c r="F2676" s="10" t="inlineStr">
        <is>
          <t>Lâm Đồng</t>
        </is>
      </c>
      <c r="G2676" s="10" t="inlineStr">
        <is>
          <t>26-03-2026</t>
        </is>
      </c>
      <c r="H2676" s="10" t="inlineStr">
        <is>
          <t>26/03/2026</t>
        </is>
      </c>
      <c r="I2676" s="10" t="inlineStr">
        <is>
          <t>17/03/2026</t>
        </is>
      </c>
      <c r="J2676" s="10" t="inlineStr">
        <is>
          <t>Bảo trì / Sửa chữa, Cơ khí / Ô tô / Tự động hóa, Điện / Điện tử / Điện lạnh / Điện công nghiệp</t>
        </is>
      </c>
      <c r="K2676" s="10" t="inlineStr">
        <is>
          <t>N/A</t>
        </is>
      </c>
      <c r="L2676" s="11">
        <f>HYPERLINK("https://careerviet.vn/vi/tim-viec-lam/nhan-vien-ky-thuat-bao-tri-thang-may-lam-dong.35C69BE7.html","Xem chi tiết")</f>
        <v/>
      </c>
      <c r="M2676" s="10" t="n"/>
    </row>
    <row r="2677">
      <c r="B2677" s="7" t="n">
        <v>2675</v>
      </c>
      <c r="C2677" t="inlineStr">
        <is>
          <t>Senior Legal Executive - Chuyên viên cao cấp pháp lý</t>
        </is>
      </c>
      <c r="D2677" t="inlineStr">
        <is>
          <t>Công Ty Tài Chính Mirae Asset (Việt Nam)</t>
        </is>
      </c>
      <c r="E2677" t="inlineStr">
        <is>
          <t>Lương:Cạnh tranh</t>
        </is>
      </c>
      <c r="F2677" t="inlineStr">
        <is>
          <t>Hồ Chí Minh</t>
        </is>
      </c>
      <c r="G2677" t="inlineStr">
        <is>
          <t>28-03-2026</t>
        </is>
      </c>
      <c r="H2677" t="inlineStr">
        <is>
          <t>28/03/2026</t>
        </is>
      </c>
      <c r="I2677" t="inlineStr">
        <is>
          <t>17/03/2026</t>
        </is>
      </c>
      <c r="J2677" t="inlineStr">
        <is>
          <t>Quản lý điều hành, Luật / Pháp lý, Tài chính / Đầu tư</t>
        </is>
      </c>
      <c r="K2677" t="inlineStr">
        <is>
          <t>5 - 7 Năm</t>
        </is>
      </c>
      <c r="L2677" s="8">
        <f>HYPERLINK("https://careerviet.vn/vi/tim-viec-lam/senior-legal-executive-chuyen-vien-cao-cap-phap-ly.35C69BDF.html","Xem chi tiết")</f>
        <v/>
      </c>
    </row>
    <row r="2678">
      <c r="B2678" s="9" t="n">
        <v>2676</v>
      </c>
      <c r="C2678" s="10" t="inlineStr">
        <is>
          <t>Kỹ sư Bảo trì Tự động hóa - Nhà Máy Long An</t>
        </is>
      </c>
      <c r="D2678" s="10" t="inlineStr">
        <is>
          <t>Suntory PepsiCo</t>
        </is>
      </c>
      <c r="E2678" s="10" t="inlineStr">
        <is>
          <t>Lương:Cạnh tranh</t>
        </is>
      </c>
      <c r="F2678" s="10" t="inlineStr">
        <is>
          <t>Long An</t>
        </is>
      </c>
      <c r="G2678" s="10" t="inlineStr">
        <is>
          <t>31-03-2026</t>
        </is>
      </c>
      <c r="H2678" s="10" t="inlineStr">
        <is>
          <t>31/03/2026</t>
        </is>
      </c>
      <c r="I2678" s="10" t="inlineStr">
        <is>
          <t>17/03/2026</t>
        </is>
      </c>
      <c r="J2678" s="10" t="inlineStr">
        <is>
          <t>Cơ khí / Ô tô / Tự động hóa</t>
        </is>
      </c>
      <c r="K2678" s="10" t="inlineStr">
        <is>
          <t>2 - 8 Năm</t>
        </is>
      </c>
      <c r="L2678" s="11">
        <f>HYPERLINK("https://careerviet.vn/vi/tim-viec-lam/ky-su-bao-tri-tu-dong-hoa-nha-may-long-an.35C69C59.html","Xem chi tiết")</f>
        <v/>
      </c>
      <c r="M2678" s="10" t="n"/>
    </row>
    <row r="2679">
      <c r="B2679" s="7" t="n">
        <v>2677</v>
      </c>
      <c r="C2679" t="inlineStr">
        <is>
          <t>Nhân viên Content Creator</t>
        </is>
      </c>
      <c r="D2679" t="inlineStr">
        <is>
          <t>CÔNG TY TNHH WIR GROUP</t>
        </is>
      </c>
      <c r="E2679" t="inlineStr">
        <is>
          <t>Lương:10 Tr - 13 Tr VND</t>
        </is>
      </c>
      <c r="F2679" t="inlineStr">
        <is>
          <t>Hà Nội</t>
        </is>
      </c>
      <c r="G2679" t="inlineStr">
        <is>
          <t>31-03-2026</t>
        </is>
      </c>
      <c r="H2679" t="inlineStr">
        <is>
          <t>31/03/2026</t>
        </is>
      </c>
      <c r="I2679" t="inlineStr">
        <is>
          <t>17/03/2026</t>
        </is>
      </c>
      <c r="J2679" t="inlineStr">
        <is>
          <t>Tiếp thị / Marketing, Dược phẩm/ Hóa Mỹ Phẩm, Y tế / Chăm sóc sức khỏe / Thẩm mỹ / Làm đẹp</t>
        </is>
      </c>
      <c r="K2679" t="inlineStr">
        <is>
          <t>1 - 2 Năm</t>
        </is>
      </c>
      <c r="L2679" s="8">
        <f>HYPERLINK("https://careerviet.vn/vi/tim-viec-lam/nhan-vien-content-creator.35C69373.html","Xem chi tiết")</f>
        <v/>
      </c>
    </row>
    <row r="2680">
      <c r="B2680" s="9" t="n">
        <v>2678</v>
      </c>
      <c r="C2680" s="10" t="inlineStr">
        <is>
          <t>120880 - Tiếng Nhật - Nhân viên Kinh doanh - Ngành Tư vấn</t>
        </is>
      </c>
      <c r="D2680" s="10" t="inlineStr">
        <is>
          <t>RGF HR Agent Vietnam Co., LTD</t>
        </is>
      </c>
      <c r="E2680" s="10" t="inlineStr">
        <is>
          <t>Lương:20 Tr - 25 Tr VND</t>
        </is>
      </c>
      <c r="F2680" s="10" t="inlineStr">
        <is>
          <t>Hồ Chí Minh</t>
        </is>
      </c>
      <c r="G2680" s="10" t="inlineStr">
        <is>
          <t>31-03-2026</t>
        </is>
      </c>
      <c r="H2680" s="10" t="inlineStr">
        <is>
          <t>31/03/2026</t>
        </is>
      </c>
      <c r="I2680" s="10" t="inlineStr">
        <is>
          <t>17/03/2026</t>
        </is>
      </c>
      <c r="J2680" s="10" t="inlineStr">
        <is>
          <t>Tư vấn, Bán hàng / Kinh doanh</t>
        </is>
      </c>
      <c r="K2680" s="10" t="inlineStr">
        <is>
          <t>N/A</t>
        </is>
      </c>
      <c r="L2680" s="11">
        <f>HYPERLINK("https://careerviet.vn/vi/tim-viec-lam/120880-tieng-nhat-nhan-vien-kinh-doanh-nganh-tu-van.35C69A8B.html","Xem chi tiết")</f>
        <v/>
      </c>
      <c r="M2680" s="10" t="n"/>
    </row>
    <row r="2681">
      <c r="B2681" s="7" t="n">
        <v>2679</v>
      </c>
      <c r="C2681" t="inlineStr">
        <is>
          <t>127907 - Giám sát Sản xuất - ngành Sản xuất</t>
        </is>
      </c>
      <c r="D2681" t="inlineStr">
        <is>
          <t>RGF HR Agent Vietnam Co., LTD</t>
        </is>
      </c>
      <c r="E2681" t="inlineStr">
        <is>
          <t>Lương:20 Tr - 30 Tr VND</t>
        </is>
      </c>
      <c r="F2681" t="inlineStr">
        <is>
          <t>Quảng Ninh</t>
        </is>
      </c>
      <c r="G2681" t="inlineStr">
        <is>
          <t>26-03-2026</t>
        </is>
      </c>
      <c r="H2681" t="inlineStr">
        <is>
          <t>26/03/2026</t>
        </is>
      </c>
      <c r="I2681" t="inlineStr">
        <is>
          <t>17/03/2026</t>
        </is>
      </c>
      <c r="J2681" t="inlineStr">
        <is>
          <t>Sản xuất / Vận hành sản xuất</t>
        </is>
      </c>
      <c r="K2681" t="inlineStr">
        <is>
          <t>Trên 5 Năm</t>
        </is>
      </c>
      <c r="L2681" s="8">
        <f>HYPERLINK("https://careerviet.vn/vi/tim-viec-lam/127907-giam-sat-san-xuat-nganh-san-xuat.35C69B5E.html","Xem chi tiết")</f>
        <v/>
      </c>
    </row>
    <row r="2682">
      <c r="B2682" s="9" t="n">
        <v>2680</v>
      </c>
      <c r="C2682" s="10" t="inlineStr">
        <is>
          <t>GIÁM SÁT BẢO TRÌ - TÂY NINH</t>
        </is>
      </c>
      <c r="D2682" s="10" t="inlineStr">
        <is>
          <t>Công Ty TNHH Điều Intersnack Việt Nam</t>
        </is>
      </c>
      <c r="E2682" s="10" t="inlineStr">
        <is>
          <t>Lương:Cạnh tranh</t>
        </is>
      </c>
      <c r="F2682" s="10" t="inlineStr">
        <is>
          <t>Tây Ninh</t>
        </is>
      </c>
      <c r="G2682" s="10" t="inlineStr">
        <is>
          <t>31-03-2026</t>
        </is>
      </c>
      <c r="H2682" s="10" t="inlineStr">
        <is>
          <t>31/03/2026</t>
        </is>
      </c>
      <c r="I2682" s="10" t="inlineStr">
        <is>
          <t>17/03/2026</t>
        </is>
      </c>
      <c r="J2682" s="10" t="inlineStr">
        <is>
          <t>Điện / Điện tử / Điện lạnh / Điện công nghiệp, Bảo trì / Sửa chữa</t>
        </is>
      </c>
      <c r="K2682" s="10" t="inlineStr">
        <is>
          <t>2 - 3 Năm</t>
        </is>
      </c>
      <c r="L2682" s="11">
        <f>HYPERLINK("https://careerviet.vn/vi/tim-viec-lam/giam-sat-bao-tri-tay-ninh.35C69952.html","Xem chi tiết")</f>
        <v/>
      </c>
      <c r="M2682" s="10" t="n"/>
    </row>
    <row r="2683">
      <c r="B2683" s="7" t="n">
        <v>2681</v>
      </c>
      <c r="C2683" t="inlineStr">
        <is>
          <t>Trưởng Phòng Pháp Chế</t>
        </is>
      </c>
      <c r="D2683" t="inlineStr">
        <is>
          <t>Công ty Cổ phần Tập đoàn Gỗ Minh Long</t>
        </is>
      </c>
      <c r="E2683" t="inlineStr">
        <is>
          <t>Lương:25 Tr - 35 Tr VND</t>
        </is>
      </c>
      <c r="F2683" t="inlineStr">
        <is>
          <t>Hà Nội</t>
        </is>
      </c>
      <c r="G2683" t="inlineStr">
        <is>
          <t>31-03-2026</t>
        </is>
      </c>
      <c r="H2683" t="inlineStr">
        <is>
          <t>31/03/2026</t>
        </is>
      </c>
      <c r="I2683" t="inlineStr">
        <is>
          <t>17/03/2026</t>
        </is>
      </c>
      <c r="J2683" t="inlineStr">
        <is>
          <t>Tài chính / Đầu tư, Chứng khoán, Luật / Pháp lý</t>
        </is>
      </c>
      <c r="K2683" t="inlineStr">
        <is>
          <t>Lên đến 3 Năm</t>
        </is>
      </c>
      <c r="L2683" s="8">
        <f>HYPERLINK("https://careerviet.vn/vi/tim-viec-lam/truong-phong-phap-che.35C69C62.html","Xem chi tiết")</f>
        <v/>
      </c>
    </row>
    <row r="2684">
      <c r="B2684" s="9" t="n">
        <v>2682</v>
      </c>
      <c r="C2684" s="10" t="inlineStr">
        <is>
          <t>Data Scientist</t>
        </is>
      </c>
      <c r="D2684" s="10" t="inlineStr">
        <is>
          <t>Công Ty TNHH T.M.G</t>
        </is>
      </c>
      <c r="E2684" s="10" t="inlineStr">
        <is>
          <t>Lương:Cạnh tranh</t>
        </is>
      </c>
      <c r="F2684" s="10" t="inlineStr">
        <is>
          <t>Hồ Chí Minh</t>
        </is>
      </c>
      <c r="G2684" s="10" t="inlineStr">
        <is>
          <t>30-03-2026</t>
        </is>
      </c>
      <c r="H2684" s="10" t="inlineStr">
        <is>
          <t>30/03/2026</t>
        </is>
      </c>
      <c r="I2684" s="10" t="inlineStr">
        <is>
          <t>17/03/2026</t>
        </is>
      </c>
      <c r="J2684" s="10" t="inlineStr">
        <is>
          <t>CNTT - Phần mềm, CNTT - Phần cứng / Mạng, Bán hàng / Kinh doanh</t>
        </is>
      </c>
      <c r="K2684" s="10" t="inlineStr">
        <is>
          <t>2 - 10 Năm</t>
        </is>
      </c>
      <c r="L2684" s="11">
        <f>HYPERLINK("https://careerviet.vn/vi/tim-viec-lam/data-scientist.35C69B4F.html","Xem chi tiết")</f>
        <v/>
      </c>
      <c r="M2684" s="10" t="n"/>
    </row>
    <row r="2685">
      <c r="B2685" s="7" t="n">
        <v>2683</v>
      </c>
      <c r="C2685" t="inlineStr">
        <is>
          <t>[Thủ Dầu Một Bình Dương] Nhân Viên Kế Toán</t>
        </is>
      </c>
      <c r="D2685" t="inlineStr">
        <is>
          <t>Công Ty Cổ Phần Vacxin Việt Nam</t>
        </is>
      </c>
      <c r="E2685" t="inlineStr">
        <is>
          <t>Lương:Cạnh tranh</t>
        </is>
      </c>
      <c r="F2685" t="inlineStr">
        <is>
          <t>Bình Dương</t>
        </is>
      </c>
      <c r="G2685" t="inlineStr">
        <is>
          <t>30-04-2026</t>
        </is>
      </c>
      <c r="H2685" t="inlineStr">
        <is>
          <t>30/04/2026</t>
        </is>
      </c>
      <c r="I2685" t="inlineStr">
        <is>
          <t>17/03/2026</t>
        </is>
      </c>
      <c r="J2685" t="inlineStr">
        <is>
          <t>Kế toán / Kiểm toán</t>
        </is>
      </c>
      <c r="K2685" t="inlineStr">
        <is>
          <t>1 - 2 Năm</t>
        </is>
      </c>
      <c r="L2685" s="8">
        <f>HYPERLINK("https://careerviet.vn/vi/tim-viec-lam/thu-dau-mot-binh-duong-nhan-vien-ke-toan.35C69A48.html","Xem chi tiết")</f>
        <v/>
      </c>
    </row>
    <row r="2686">
      <c r="B2686" s="9" t="n">
        <v>2684</v>
      </c>
      <c r="C2686" s="10" t="inlineStr">
        <is>
          <t>Kế toán tổng hợp</t>
        </is>
      </c>
      <c r="D2686" s="10" t="inlineStr">
        <is>
          <t>Công ty cổ phần thiết bị ANTTEK Việt Nam</t>
        </is>
      </c>
      <c r="E2686" s="10" t="inlineStr">
        <is>
          <t>Lương:11 Tr - 15 Tr VND</t>
        </is>
      </c>
      <c r="F2686" s="10" t="inlineStr">
        <is>
          <t>Hà Nội</t>
        </is>
      </c>
      <c r="G2686" s="10" t="inlineStr">
        <is>
          <t>31-03-2026</t>
        </is>
      </c>
      <c r="H2686" s="10" t="inlineStr">
        <is>
          <t>31/03/2026</t>
        </is>
      </c>
      <c r="I2686" s="10" t="inlineStr">
        <is>
          <t>17/03/2026</t>
        </is>
      </c>
      <c r="J2686" s="10" t="inlineStr">
        <is>
          <t>Kế toán / Kiểm toán, Tài chính / Đầu tư, Hành chính / Thư ký</t>
        </is>
      </c>
      <c r="K2686" s="10" t="inlineStr">
        <is>
          <t>Trên 2 Năm</t>
        </is>
      </c>
      <c r="L2686" s="11">
        <f>HYPERLINK("https://careerviet.vn/vi/tim-viec-lam/ke-toan-tong-hop.35C69CCB.html","Xem chi tiết")</f>
        <v/>
      </c>
      <c r="M2686" s="10" t="n"/>
    </row>
    <row r="2687">
      <c r="B2687" s="7" t="n">
        <v>2685</v>
      </c>
      <c r="C2687" t="inlineStr">
        <is>
          <t>Sale Service Engineer</t>
        </is>
      </c>
      <c r="D2687" t="inlineStr">
        <is>
          <t>CÔNG TY CỔ PHẦN GIẢI PHÁP VPOWER</t>
        </is>
      </c>
      <c r="E2687" t="inlineStr">
        <is>
          <t>Lương:Cạnh tranh</t>
        </is>
      </c>
      <c r="F2687" t="inlineStr">
        <is>
          <t>Hồ Chí Minh</t>
        </is>
      </c>
      <c r="G2687" t="inlineStr">
        <is>
          <t>26-03-2026</t>
        </is>
      </c>
      <c r="H2687" t="inlineStr">
        <is>
          <t>26/03/2026</t>
        </is>
      </c>
      <c r="I2687" t="inlineStr">
        <is>
          <t>17/03/2026</t>
        </is>
      </c>
      <c r="J2687" t="inlineStr">
        <is>
          <t>Bán Hàng Kỹ Thuật, Điện / Điện tử / Điện lạnh / Điện công nghiệp, Bảo trì / Sửa chữa</t>
        </is>
      </c>
      <c r="K2687" t="inlineStr">
        <is>
          <t>1 - 5 Năm</t>
        </is>
      </c>
      <c r="L2687" s="8">
        <f>HYPERLINK("https://careerviet.vn/vi/tim-viec-lam/sale-service-engineer.35C69A83.html","Xem chi tiết")</f>
        <v/>
      </c>
    </row>
    <row r="2688">
      <c r="B2688" s="9" t="n">
        <v>2686</v>
      </c>
      <c r="C2688" s="10" t="inlineStr">
        <is>
          <t>Kỹ sư tự động hóa (Biết lái ô tô bằng B2 trở lên)</t>
        </is>
      </c>
      <c r="D2688" s="10" t="inlineStr">
        <is>
          <t>Công ty TNHH Máy Chính Xác AMC</t>
        </is>
      </c>
      <c r="E2688" s="10" t="inlineStr">
        <is>
          <t>Lương:12 Tr - 22 Tr VND</t>
        </is>
      </c>
      <c r="F2688" s="10" t="inlineStr">
        <is>
          <t>Hà Nội</t>
        </is>
      </c>
      <c r="G2688" s="10" t="inlineStr">
        <is>
          <t>31-03-2026</t>
        </is>
      </c>
      <c r="H2688" s="10" t="inlineStr">
        <is>
          <t>31/03/2026</t>
        </is>
      </c>
      <c r="I2688" s="10" t="inlineStr">
        <is>
          <t>17/03/2026</t>
        </is>
      </c>
      <c r="J2688" s="10" t="inlineStr">
        <is>
          <t>Cơ khí / Ô tô / Tự động hóa, Điện / Điện tử / Điện lạnh / Điện công nghiệp, Bảo trì / Sửa chữa</t>
        </is>
      </c>
      <c r="K2688" s="10" t="inlineStr">
        <is>
          <t>1 - 10 Năm</t>
        </is>
      </c>
      <c r="L2688" s="11">
        <f>HYPERLINK("https://careerviet.vn/vi/tim-viec-lam/ky-su-tu-dong-hoa-biet-lai-o-to-bang-b2-tro-len.35C69C64.html","Xem chi tiết")</f>
        <v/>
      </c>
      <c r="M2688" s="10" t="n"/>
    </row>
    <row r="2689">
      <c r="B2689" s="7" t="n">
        <v>2687</v>
      </c>
      <c r="C2689" t="inlineStr">
        <is>
          <t>Kỹ sư thiết kế kết cấu</t>
        </is>
      </c>
      <c r="D2689" t="inlineStr">
        <is>
          <t>Công Ty TNHH Tư Vấn Thiết Kế Xây Dựng Mai - Archi</t>
        </is>
      </c>
      <c r="E2689" t="inlineStr">
        <is>
          <t>Lương:Cạnh tranh</t>
        </is>
      </c>
      <c r="F2689" t="inlineStr">
        <is>
          <t>Hồ Chí Minh</t>
        </is>
      </c>
      <c r="G2689" t="inlineStr">
        <is>
          <t>30-04-2026</t>
        </is>
      </c>
      <c r="H2689" t="inlineStr">
        <is>
          <t>30/04/2026</t>
        </is>
      </c>
      <c r="I2689" t="inlineStr">
        <is>
          <t>17/03/2026</t>
        </is>
      </c>
      <c r="J2689" t="inlineStr">
        <is>
          <t>Xây dựng</t>
        </is>
      </c>
      <c r="K2689" t="inlineStr">
        <is>
          <t>5 - 10 Năm</t>
        </is>
      </c>
      <c r="L2689" s="8">
        <f>HYPERLINK("https://careerviet.vn/vi/tim-viec-lam/ky-su-thiet-ke-ket-cau.35C69B2A.html","Xem chi tiết")</f>
        <v/>
      </c>
    </row>
    <row r="2690">
      <c r="B2690" s="9" t="n">
        <v>2688</v>
      </c>
      <c r="C2690" s="10" t="inlineStr">
        <is>
          <t>Kiến Trúc Sư Chủ trì</t>
        </is>
      </c>
      <c r="D2690" s="10" t="inlineStr">
        <is>
          <t>CÔNG TY TNHH XCONS E&amp;C</t>
        </is>
      </c>
      <c r="E2690" s="10" t="inlineStr">
        <is>
          <t>Lương:Cạnh tranh</t>
        </is>
      </c>
      <c r="F2690" s="10" t="inlineStr">
        <is>
          <t>Hồ Chí Minh</t>
        </is>
      </c>
      <c r="G2690" s="10" t="inlineStr">
        <is>
          <t>31-03-2026</t>
        </is>
      </c>
      <c r="H2690" s="10" t="inlineStr">
        <is>
          <t>31/03/2026</t>
        </is>
      </c>
      <c r="I2690" s="10" t="inlineStr">
        <is>
          <t>17/03/2026</t>
        </is>
      </c>
      <c r="J2690" s="10" t="inlineStr">
        <is>
          <t>Mỹ thuật / Nghệ thuật / Thiết kế, Kiến trúc, Xây dựng</t>
        </is>
      </c>
      <c r="K2690" s="10" t="inlineStr">
        <is>
          <t>Trên 4 Năm</t>
        </is>
      </c>
      <c r="L2690" s="11">
        <f>HYPERLINK("https://careerviet.vn/vi/tim-viec-lam/kien-truc-su-chu-tri.35C69AD6.html","Xem chi tiết")</f>
        <v/>
      </c>
      <c r="M2690" s="10" t="n"/>
    </row>
    <row r="2691">
      <c r="B2691" s="7" t="n">
        <v>2689</v>
      </c>
      <c r="C2691" t="inlineStr">
        <is>
          <t>Kỹ sư chất lượng 27676 - Đống Đa, HN</t>
        </is>
      </c>
      <c r="D2691" t="inlineStr">
        <is>
          <t>Công Ty TNHH Reeracoen Việt Nam</t>
        </is>
      </c>
      <c r="E2691" t="inlineStr">
        <is>
          <t>Lương:8,5 Tr - 12 Tr VND</t>
        </is>
      </c>
      <c r="F2691" t="inlineStr">
        <is>
          <t>Hà Nội</t>
        </is>
      </c>
      <c r="G2691" t="inlineStr">
        <is>
          <t>26-03-2026</t>
        </is>
      </c>
      <c r="H2691" t="inlineStr">
        <is>
          <t>26/03/2026</t>
        </is>
      </c>
      <c r="I2691" t="inlineStr">
        <is>
          <t>17/03/2026</t>
        </is>
      </c>
      <c r="J2691" t="inlineStr">
        <is>
          <t>Cơ khí / Ô tô / Tự động hóa, Điện / Điện tử / Điện lạnh / Điện công nghiệp, Bảo trì / Sửa chữa</t>
        </is>
      </c>
      <c r="K2691" t="inlineStr">
        <is>
          <t>N/A</t>
        </is>
      </c>
      <c r="L2691" s="8">
        <f>HYPERLINK("https://careerviet.vn/vi/tim-viec-lam/ky-su-chat-luong-27676-dong-da-hn.35C69CD2.html","Xem chi tiết")</f>
        <v/>
      </c>
    </row>
    <row r="2692">
      <c r="B2692" s="9" t="n">
        <v>2690</v>
      </c>
      <c r="C2692" s="10" t="inlineStr">
        <is>
          <t>Chuyên viên chính/ Chuyên viên cao cấp QHKH doanh nghiệp - EB - MSB - 3Y038</t>
        </is>
      </c>
      <c r="D2692" s="10" t="inlineStr">
        <is>
          <t>Ngân hàng Thương mại Cổ phần Hàng Hải Việt Nam (MSB)</t>
        </is>
      </c>
      <c r="E2692" s="10" t="inlineStr">
        <is>
          <t>Lương:16 Tr - 20 Tr VND</t>
        </is>
      </c>
      <c r="F2692" s="10" t="inlineStr">
        <is>
          <t>Hà Nội</t>
        </is>
      </c>
      <c r="G2692" s="10" t="inlineStr">
        <is>
          <t>26-03-2026</t>
        </is>
      </c>
      <c r="H2692" s="10" t="inlineStr">
        <is>
          <t>26/03/2026</t>
        </is>
      </c>
      <c r="I2692" s="10" t="inlineStr">
        <is>
          <t>17/03/2026</t>
        </is>
      </c>
      <c r="J2692" s="10" t="inlineStr">
        <is>
          <t>Ngân hàng</t>
        </is>
      </c>
      <c r="K2692" s="10" t="inlineStr">
        <is>
          <t>2 - 3 Năm</t>
        </is>
      </c>
      <c r="L2692" s="11">
        <f>HYPERLINK("https://careerviet.vn/vi/tim-viec-lam/chuyen-vien-chinh-chuyen-vien-cao-cap-qhkh-doanh-nghiep-eb-msb-3y038.35C69A93.html","Xem chi tiết")</f>
        <v/>
      </c>
      <c r="M2692" s="10" t="n"/>
    </row>
    <row r="2693">
      <c r="B2693" s="7" t="n">
        <v>2691</v>
      </c>
      <c r="C2693" t="inlineStr">
        <is>
          <t>Project Administrator (Temporary)</t>
        </is>
      </c>
      <c r="D2693" t="inlineStr">
        <is>
          <t>CÔNG TY TNHH AMERICA INDOCHINA MANAGEMENT VIETNAM</t>
        </is>
      </c>
      <c r="E2693" t="inlineStr">
        <is>
          <t>Lương:Cạnh tranh</t>
        </is>
      </c>
      <c r="F2693" t="inlineStr">
        <is>
          <t>Hà Nội</t>
        </is>
      </c>
      <c r="G2693" t="inlineStr">
        <is>
          <t>11-03-2026</t>
        </is>
      </c>
      <c r="H2693" t="inlineStr">
        <is>
          <t>14/03/2026</t>
        </is>
      </c>
      <c r="I2693" t="inlineStr">
        <is>
          <t>17/03/2026</t>
        </is>
      </c>
      <c r="J2693" t="inlineStr">
        <is>
          <t>Hành chính / Thư ký, Xây dựng, Nội ngoại thất</t>
        </is>
      </c>
      <c r="K2693" t="inlineStr">
        <is>
          <t>2 - 5 Năm</t>
        </is>
      </c>
      <c r="L2693" s="8">
        <f>HYPERLINK("https://careerviet.vn/vi/tim-viec-lam/project-administrator-temporary.35C69CD5.html","Xem chi tiết")</f>
        <v/>
      </c>
    </row>
    <row r="2694">
      <c r="B2694" s="9" t="n">
        <v>2692</v>
      </c>
      <c r="C2694" s="10" t="inlineStr">
        <is>
          <t>Quản lý thiết kế kiến trúc và nội thất</t>
        </is>
      </c>
      <c r="D2694" s="10" t="inlineStr">
        <is>
          <t>Công Ty Cổ Phần Decox</t>
        </is>
      </c>
      <c r="E2694" s="10" t="inlineStr">
        <is>
          <t>Lương:20 Tr - 35 Tr VND</t>
        </is>
      </c>
      <c r="F2694" s="10" t="inlineStr">
        <is>
          <t>Hồ Chí Minh</t>
        </is>
      </c>
      <c r="G2694" s="10" t="inlineStr">
        <is>
          <t>27-03-2026</t>
        </is>
      </c>
      <c r="H2694" s="10" t="inlineStr">
        <is>
          <t>27/03/2026</t>
        </is>
      </c>
      <c r="I2694" s="10" t="inlineStr">
        <is>
          <t>17/03/2026</t>
        </is>
      </c>
      <c r="J2694" s="10" t="inlineStr">
        <is>
          <t>Kiến trúc, Xây dựng, Nội ngoại thất</t>
        </is>
      </c>
      <c r="K2694" s="10" t="inlineStr">
        <is>
          <t>3 - 5 Năm</t>
        </is>
      </c>
      <c r="L2694" s="11">
        <f>HYPERLINK("https://careerviet.vn/vi/tim-viec-lam/quan-ly-thiet-ke-kien-truc-va-noi-that.35C699C1.html","Xem chi tiết")</f>
        <v/>
      </c>
      <c r="M2694" s="10" t="n"/>
    </row>
    <row r="2695">
      <c r="B2695" s="7" t="n">
        <v>2693</v>
      </c>
      <c r="C2695" t="inlineStr">
        <is>
          <t>127896 - Chuyên gia Chiến lược &amp; Thực thi Kênh Bán lẻ - Ngành Thực phẩm</t>
        </is>
      </c>
      <c r="D2695" t="inlineStr">
        <is>
          <t>RGF HR Agent Vietnam Co., LTD</t>
        </is>
      </c>
      <c r="E2695" t="inlineStr">
        <is>
          <t>Lương:20 Tr - 28 Tr VND</t>
        </is>
      </c>
      <c r="F2695" t="inlineStr">
        <is>
          <t>Hà Nội</t>
        </is>
      </c>
      <c r="G2695" t="inlineStr">
        <is>
          <t>26-03-2026</t>
        </is>
      </c>
      <c r="H2695" t="inlineStr">
        <is>
          <t>26/03/2026</t>
        </is>
      </c>
      <c r="I2695" t="inlineStr">
        <is>
          <t>17/03/2026</t>
        </is>
      </c>
      <c r="J2695" t="inlineStr">
        <is>
          <t>Bán lẻ / Bán sỉ, Thực phẩm &amp; Đồ uống, Bán hàng / Kinh doanh</t>
        </is>
      </c>
      <c r="K2695" t="inlineStr">
        <is>
          <t>Trên 3 Năm</t>
        </is>
      </c>
      <c r="L2695" s="8">
        <f>HYPERLINK("https://careerviet.vn/vi/tim-viec-lam/127896-chuyen-gia-chien-luoc-thuc-thi-kenh-ban-le-nganh-thuc-pham.35C69B54.html","Xem chi tiết")</f>
        <v/>
      </c>
    </row>
    <row r="2696">
      <c r="B2696" s="9" t="n">
        <v>2694</v>
      </c>
      <c r="C2696" s="10" t="inlineStr">
        <is>
          <t>Kế toán tổng hợp</t>
        </is>
      </c>
      <c r="D2696" s="10" t="inlineStr">
        <is>
          <t>Công ty cổ phần Giải pháp và Truyền thông VTVBroadcom</t>
        </is>
      </c>
      <c r="E2696" s="10" t="inlineStr">
        <is>
          <t>Lương:14 Tr - 18 Tr VND</t>
        </is>
      </c>
      <c r="F2696" s="10" t="inlineStr">
        <is>
          <t>Hồ Chí Minh</t>
        </is>
      </c>
      <c r="G2696" s="10" t="inlineStr">
        <is>
          <t>28-03-2026</t>
        </is>
      </c>
      <c r="H2696" s="10" t="inlineStr">
        <is>
          <t>28/03/2026</t>
        </is>
      </c>
      <c r="I2696" s="10" t="inlineStr">
        <is>
          <t>17/03/2026</t>
        </is>
      </c>
      <c r="J2696" s="10" t="inlineStr">
        <is>
          <t>Kế toán / Kiểm toán</t>
        </is>
      </c>
      <c r="K2696" s="10" t="inlineStr">
        <is>
          <t>3 - 8 Năm</t>
        </is>
      </c>
      <c r="L2696" s="11">
        <f>HYPERLINK("https://careerviet.vn/vi/tim-viec-lam/ke-toan-tong-hop.35C69C43.html","Xem chi tiết")</f>
        <v/>
      </c>
      <c r="M2696" s="10" t="n"/>
    </row>
    <row r="2697">
      <c r="B2697" s="7" t="n">
        <v>2695</v>
      </c>
      <c r="C2697" t="inlineStr">
        <is>
          <t>Nhân viên trắc đạc</t>
        </is>
      </c>
      <c r="D2697" t="inlineStr">
        <is>
          <t>CÔNG TY CỔ PHẦN KỸ THUẬT XÂY DỰNG AN TÍN</t>
        </is>
      </c>
      <c r="E2697" t="inlineStr">
        <is>
          <t>Lương:12 Tr - 18 Tr VND</t>
        </is>
      </c>
      <c r="F2697" t="inlineStr">
        <is>
          <t>Quảng Trị</t>
        </is>
      </c>
      <c r="G2697" t="inlineStr">
        <is>
          <t>3</t>
        </is>
      </c>
      <c r="H2697" t="inlineStr">
        <is>
          <t>20/03/2026</t>
        </is>
      </c>
      <c r="I2697" t="inlineStr">
        <is>
          <t>17/03/2026</t>
        </is>
      </c>
      <c r="J2697" t="inlineStr">
        <is>
          <t>Xây dựng</t>
        </is>
      </c>
      <c r="K2697" t="inlineStr">
        <is>
          <t>Chưa có kinh nghiệm</t>
        </is>
      </c>
      <c r="L2697" s="8">
        <f>HYPERLINK("https://careerviet.vn/vi/tim-viec-lam/nhan-vien-trac-dac.35C69CF9.html","Xem chi tiết")</f>
        <v/>
      </c>
    </row>
    <row r="2698">
      <c r="B2698" s="9" t="n">
        <v>2696</v>
      </c>
      <c r="C2698" s="10" t="inlineStr">
        <is>
          <t>Trưởng nhóm Kỹ sư Dự toán ngân sách</t>
        </is>
      </c>
      <c r="D2698" s="10" t="inlineStr">
        <is>
          <t>CÔNG TY CỔ PHẦN THƯƠNG MẠI DỊCH VỤ XÂY DỰNG E&amp;C</t>
        </is>
      </c>
      <c r="E2698" s="10" t="inlineStr">
        <is>
          <t>Lương:28 Tr - 35 Tr VND</t>
        </is>
      </c>
      <c r="F2698" s="10" t="inlineStr">
        <is>
          <t>Đồng NaiHồ Chí Minh</t>
        </is>
      </c>
      <c r="G2698" s="10" t="inlineStr">
        <is>
          <t>05-04-2026</t>
        </is>
      </c>
      <c r="H2698" s="10" t="inlineStr">
        <is>
          <t>05/04/2026</t>
        </is>
      </c>
      <c r="I2698" s="10" t="inlineStr">
        <is>
          <t>17/03/2026</t>
        </is>
      </c>
      <c r="J2698" s="10" t="inlineStr">
        <is>
          <t>Xây dựng, Bất động sản, Kiến trúc</t>
        </is>
      </c>
      <c r="K2698" s="10" t="inlineStr">
        <is>
          <t>3 - 5 Năm</t>
        </is>
      </c>
      <c r="L2698" s="11">
        <f>HYPERLINK("https://careerviet.vn/vi/tim-viec-lam/truong-nhom-ky-su-du-toan-ngan-sach.35C6B0DB.html","Xem chi tiết")</f>
        <v/>
      </c>
      <c r="M2698" s="10" t="n"/>
    </row>
    <row r="2699">
      <c r="B2699" s="7" t="n">
        <v>2697</v>
      </c>
      <c r="C2699" t="inlineStr">
        <is>
          <t>128259 - Finance &amp; Accounting Supervisor - Foods</t>
        </is>
      </c>
      <c r="D2699" t="inlineStr">
        <is>
          <t>RGF HR Agent Vietnam Co., LTD</t>
        </is>
      </c>
      <c r="E2699" t="inlineStr">
        <is>
          <t>Lương:Cạnh tranh</t>
        </is>
      </c>
      <c r="F2699" t="inlineStr">
        <is>
          <t>Bà Rịa - Vũng Tàu</t>
        </is>
      </c>
      <c r="G2699" t="inlineStr">
        <is>
          <t>11-03-2026</t>
        </is>
      </c>
      <c r="H2699" t="inlineStr">
        <is>
          <t>12/03/2026</t>
        </is>
      </c>
      <c r="I2699" t="inlineStr">
        <is>
          <t>17/03/2026</t>
        </is>
      </c>
      <c r="J2699" t="inlineStr">
        <is>
          <t>Thực phẩm &amp; Đồ uống</t>
        </is>
      </c>
      <c r="K2699" t="inlineStr">
        <is>
          <t>3 - 5 Năm</t>
        </is>
      </c>
      <c r="L2699" s="8">
        <f>HYPERLINK("https://careerviet.vn/vi/tim-viec-lam/128259-finance-accounting-supervisor-foods.35C69B75.html","Xem chi tiết")</f>
        <v/>
      </c>
    </row>
    <row r="2700">
      <c r="B2700" s="9" t="n">
        <v>2698</v>
      </c>
      <c r="C2700" s="10" t="inlineStr">
        <is>
          <t>Kế Toán Tổng Hợp/ 会计主任</t>
        </is>
      </c>
      <c r="D2700" s="10" t="inlineStr">
        <is>
          <t>S.Power - CÔNG TY TNHH DỆT MAY S.POWER (VIỆT NAM)</t>
        </is>
      </c>
      <c r="E2700" s="10" t="inlineStr">
        <is>
          <t>Lương:Cạnh tranh</t>
        </is>
      </c>
      <c r="F2700" s="10" t="inlineStr">
        <is>
          <t>Tây Ninh</t>
        </is>
      </c>
      <c r="G2700" s="10" t="inlineStr">
        <is>
          <t>26-03-2026</t>
        </is>
      </c>
      <c r="H2700" s="10" t="inlineStr">
        <is>
          <t>26/03/2026</t>
        </is>
      </c>
      <c r="I2700" s="10" t="inlineStr">
        <is>
          <t>17/03/2026</t>
        </is>
      </c>
      <c r="J2700" s="10" t="inlineStr">
        <is>
          <t>Kế toán / Kiểm toán, Dệt may / Da giày / Thời trang, Tài chính / Đầu tư</t>
        </is>
      </c>
      <c r="K2700" s="10" t="inlineStr">
        <is>
          <t>Trên 1 Năm</t>
        </is>
      </c>
      <c r="L2700" s="11">
        <f>HYPERLINK("https://careerviet.vn/vi/tim-viec-lam/ke-toan-tong-hop.35C69BF4.html","Xem chi tiết")</f>
        <v/>
      </c>
      <c r="M2700" s="10" t="n"/>
    </row>
    <row r="2701">
      <c r="B2701" s="7" t="n">
        <v>2699</v>
      </c>
      <c r="C2701" t="inlineStr">
        <is>
          <t>Chuyên viên Tuyển dụng có Tiếng Nhật 27677 - Quận 1, HCM</t>
        </is>
      </c>
      <c r="D2701" t="inlineStr">
        <is>
          <t>Công Ty TNHH Reeracoen Việt Nam</t>
        </is>
      </c>
      <c r="E2701" t="inlineStr">
        <is>
          <t>Lương:16 Tr - 25 Tr VND</t>
        </is>
      </c>
      <c r="F2701" t="inlineStr">
        <is>
          <t>Hồ Chí Minh</t>
        </is>
      </c>
      <c r="G2701" t="inlineStr">
        <is>
          <t>26-03-2026</t>
        </is>
      </c>
      <c r="H2701" t="inlineStr">
        <is>
          <t>26/03/2026</t>
        </is>
      </c>
      <c r="I2701" t="inlineStr">
        <is>
          <t>17/03/2026</t>
        </is>
      </c>
      <c r="J2701" t="inlineStr">
        <is>
          <t>Nhân sự, Hành chính / Thư ký, Biên phiên dịch</t>
        </is>
      </c>
      <c r="K2701" t="inlineStr">
        <is>
          <t>Trên 3 Năm</t>
        </is>
      </c>
      <c r="L2701" s="8">
        <f>HYPERLINK("https://careerviet.vn/vi/tim-viec-lam/chuyen-vien-tuyen-dung-co-tieng-nhat-27677-quan-1-hcm.35C69C36.html","Xem chi tiết")</f>
        <v/>
      </c>
    </row>
    <row r="2702">
      <c r="B2702" s="9" t="n">
        <v>2700</v>
      </c>
      <c r="C2702" s="10" t="inlineStr">
        <is>
          <t>Nhân Viên Bán Vé Máy Bay (Đại diện hãng)</t>
        </is>
      </c>
      <c r="D2702" s="10" t="inlineStr">
        <is>
          <t>CÔNG TY TNHH DỊCH VỤ HÀNG KHÔNG HƯƠNG GIANG</t>
        </is>
      </c>
      <c r="E2702" s="10" t="inlineStr">
        <is>
          <t>Lương:Cạnh tranh</t>
        </is>
      </c>
      <c r="F2702" s="10" t="inlineStr">
        <is>
          <t>Hồ Chí Minh</t>
        </is>
      </c>
      <c r="G2702" s="10" t="inlineStr">
        <is>
          <t>05-04-2026</t>
        </is>
      </c>
      <c r="H2702" s="10" t="inlineStr">
        <is>
          <t>05/04/2026</t>
        </is>
      </c>
      <c r="I2702" s="10" t="inlineStr">
        <is>
          <t>17/03/2026</t>
        </is>
      </c>
      <c r="J2702" s="10" t="inlineStr">
        <is>
          <t>Nhà hàng / Khách sạn, Du lịch, Hàng không</t>
        </is>
      </c>
      <c r="K2702" s="10" t="inlineStr">
        <is>
          <t>1 - 3 Năm</t>
        </is>
      </c>
      <c r="L2702" s="11">
        <f>HYPERLINK("https://careerviet.vn/vi/tim-viec-lam/nhan-vien-ban-ve-may-bay-dai-dien-hang.35C6B0BC.html","Xem chi tiết")</f>
        <v/>
      </c>
      <c r="M2702" s="10" t="n"/>
    </row>
    <row r="2703">
      <c r="B2703" s="7" t="n">
        <v>2701</v>
      </c>
      <c r="C2703" t="inlineStr">
        <is>
          <t>Kỹ Sư Điện Công Nghiệp</t>
        </is>
      </c>
      <c r="D2703" t="inlineStr">
        <is>
          <t>Công Ty Cổ Phần Vietstar</t>
        </is>
      </c>
      <c r="E2703" t="inlineStr">
        <is>
          <t>Lương:25 Tr - 30 Tr VND</t>
        </is>
      </c>
      <c r="F2703" t="inlineStr">
        <is>
          <t>Hồ Chí Minh</t>
        </is>
      </c>
      <c r="G2703" t="inlineStr">
        <is>
          <t>31-03-2026</t>
        </is>
      </c>
      <c r="H2703" t="inlineStr">
        <is>
          <t>31/03/2026</t>
        </is>
      </c>
      <c r="I2703" t="inlineStr">
        <is>
          <t>17/03/2026</t>
        </is>
      </c>
      <c r="J2703" t="inlineStr">
        <is>
          <t>Điện / Điện tử / Điện lạnh / Điện công nghiệp, Xây dựng, Bảo trì / Sửa chữa</t>
        </is>
      </c>
      <c r="K2703" t="inlineStr">
        <is>
          <t>Trên 5 Năm</t>
        </is>
      </c>
      <c r="L2703" s="8">
        <f>HYPERLINK("https://careerviet.vn/vi/tim-viec-lam/ky-su-dien-cong-nghiep.35C6AF3F.html","Xem chi tiết")</f>
        <v/>
      </c>
    </row>
    <row r="2704">
      <c r="B2704" s="9" t="n">
        <v>2702</v>
      </c>
      <c r="C2704" s="10" t="inlineStr">
        <is>
          <t>KẾ TOÁN THANH TOÁN</t>
        </is>
      </c>
      <c r="D2704" s="10" t="inlineStr">
        <is>
          <t>VINCY - Công Ty TNHH TM - SX Hồ Nguyễn</t>
        </is>
      </c>
      <c r="E2704" s="10" t="inlineStr">
        <is>
          <t>Lương:10 Tr - 15 Tr VND</t>
        </is>
      </c>
      <c r="F2704" s="10" t="inlineStr">
        <is>
          <t>Hồ Chí Minh</t>
        </is>
      </c>
      <c r="G2704" s="10" t="inlineStr">
        <is>
          <t>31-03-2026</t>
        </is>
      </c>
      <c r="H2704" s="10" t="inlineStr">
        <is>
          <t>31/03/2026</t>
        </is>
      </c>
      <c r="I2704" s="10" t="inlineStr">
        <is>
          <t>17/03/2026</t>
        </is>
      </c>
      <c r="J2704" s="10" t="inlineStr">
        <is>
          <t>Kế toán / Kiểm toán, Hành chính / Thư ký, Thương mại điện tử</t>
        </is>
      </c>
      <c r="K2704" s="10" t="inlineStr">
        <is>
          <t>2 - 3 Năm</t>
        </is>
      </c>
      <c r="L2704" s="11">
        <f>HYPERLINK("https://careerviet.vn/vi/tim-viec-lam/ke-toan-thanh-toan.35C6AFF0.html","Xem chi tiết")</f>
        <v/>
      </c>
      <c r="M2704" s="10" t="n"/>
    </row>
    <row r="2705">
      <c r="B2705" s="7" t="n">
        <v>2703</v>
      </c>
      <c r="C2705" t="inlineStr">
        <is>
          <t>Nhân viên An Toàn Lao Động</t>
        </is>
      </c>
      <c r="D2705" t="inlineStr">
        <is>
          <t>CÔNG TY CỔ PHẦN KỸ THUẬT XÂY DỰNG AN TÍN</t>
        </is>
      </c>
      <c r="E2705" t="inlineStr">
        <is>
          <t>Lương:12 Tr - 18 Tr VND</t>
        </is>
      </c>
      <c r="F2705" t="inlineStr">
        <is>
          <t>Quảng Trị</t>
        </is>
      </c>
      <c r="G2705" t="inlineStr">
        <is>
          <t>11-03-2026</t>
        </is>
      </c>
      <c r="H2705" t="inlineStr">
        <is>
          <t>15/03/2026</t>
        </is>
      </c>
      <c r="I2705" t="inlineStr">
        <is>
          <t>17/03/2026</t>
        </is>
      </c>
      <c r="J2705" t="inlineStr">
        <is>
          <t>Xây dựng</t>
        </is>
      </c>
      <c r="K2705" t="inlineStr">
        <is>
          <t>2 - 5 Năm</t>
        </is>
      </c>
      <c r="L2705" s="8">
        <f>HYPERLINK("https://careerviet.vn/vi/tim-viec-lam/nhan-vien-an-toan-lao-dong.35C69CF8.html","Xem chi tiết")</f>
        <v/>
      </c>
    </row>
    <row r="2706">
      <c r="B2706" s="9" t="n">
        <v>2704</v>
      </c>
      <c r="C2706" s="10" t="inlineStr">
        <is>
          <t>Nhân Viên Thiết Kế 3D</t>
        </is>
      </c>
      <c r="D2706" s="10" t="inlineStr">
        <is>
          <t>Công ty TNHH Kiến tạo và Kiệt tác ( Work &amp; Wondes)</t>
        </is>
      </c>
      <c r="E2706" s="10" t="inlineStr">
        <is>
          <t>Lương:15 Tr - 20 Tr VND</t>
        </is>
      </c>
      <c r="F2706" s="10" t="inlineStr">
        <is>
          <t>Hà Nội</t>
        </is>
      </c>
      <c r="G2706" s="10" t="inlineStr">
        <is>
          <t>25-03-2026</t>
        </is>
      </c>
      <c r="H2706" s="10" t="inlineStr">
        <is>
          <t>25/03/2026</t>
        </is>
      </c>
      <c r="I2706" s="10" t="inlineStr">
        <is>
          <t>17/03/2026</t>
        </is>
      </c>
      <c r="J2706" s="10" t="inlineStr">
        <is>
          <t>Mỹ thuật / Nghệ thuật / Thiết kế, Kiến trúc, Nội ngoại thất</t>
        </is>
      </c>
      <c r="K2706" s="10" t="inlineStr">
        <is>
          <t>Trên 3 Năm</t>
        </is>
      </c>
      <c r="L2706" s="11">
        <f>HYPERLINK("https://careerviet.vn/vi/tim-viec-lam/nhan-vien-thiet-ke-3d.35C69A22.html","Xem chi tiết")</f>
        <v/>
      </c>
      <c r="M2706" s="10" t="n"/>
    </row>
    <row r="2707">
      <c r="B2707" s="7" t="n">
        <v>2705</v>
      </c>
      <c r="C2707" t="inlineStr">
        <is>
          <t>Senior Power Systems / High Power Electrical Engineer</t>
        </is>
      </c>
      <c r="D2707" t="inlineStr">
        <is>
          <t>Công Ty Cổ Phần Indefol Solar</t>
        </is>
      </c>
      <c r="E2707" t="inlineStr">
        <is>
          <t>Lương:15 Tr - 50 Tr VND</t>
        </is>
      </c>
      <c r="F2707" t="inlineStr">
        <is>
          <t>Hồ Chí Minh</t>
        </is>
      </c>
      <c r="G2707" t="inlineStr">
        <is>
          <t>30-04-2026</t>
        </is>
      </c>
      <c r="H2707" t="inlineStr">
        <is>
          <t>30/04/2026</t>
        </is>
      </c>
      <c r="I2707" t="inlineStr">
        <is>
          <t>17/03/2026</t>
        </is>
      </c>
      <c r="J2707" t="inlineStr">
        <is>
          <t>Điện / Điện tử / Điện lạnh / Điện công nghiệp</t>
        </is>
      </c>
      <c r="K2707" t="inlineStr">
        <is>
          <t>1 - 5 Năm</t>
        </is>
      </c>
      <c r="L2707" s="8">
        <f>HYPERLINK("https://careerviet.vn/vi/tim-viec-lam/senior-power-systems-high-power-electrical-engineer.35C6B06B.html","Xem chi tiết")</f>
        <v/>
      </c>
    </row>
    <row r="2708">
      <c r="B2708" s="9" t="n">
        <v>2706</v>
      </c>
      <c r="C2708" s="10" t="inlineStr">
        <is>
          <t>Kỹ Sư Cơ Điện - Vị Trí Giám sát/Kỹ Sư Thiết kế</t>
        </is>
      </c>
      <c r="D2708" s="10" t="inlineStr">
        <is>
          <t>CÔNG TY CỔ PHẦN XÂY DỰNG CƠ ĐIỆN LÊ NGUYÊN</t>
        </is>
      </c>
      <c r="E2708" s="10" t="inlineStr">
        <is>
          <t>Lương:13 Tr - 23 Tr VND</t>
        </is>
      </c>
      <c r="F2708" s="10" t="inlineStr">
        <is>
          <t>Hồ Chí Minh</t>
        </is>
      </c>
      <c r="G2708" s="10" t="inlineStr">
        <is>
          <t>05-04-2026</t>
        </is>
      </c>
      <c r="H2708" s="10" t="inlineStr">
        <is>
          <t>05/04/2026</t>
        </is>
      </c>
      <c r="I2708" s="10" t="inlineStr">
        <is>
          <t>17/03/2026</t>
        </is>
      </c>
      <c r="J2708" s="10" t="inlineStr">
        <is>
          <t>Điện / Điện tử / Điện lạnh / Điện công nghiệp, Cơ khí / Ô tô / Tự động hóa, Mỹ thuật / Nghệ thuật / Thiết kế</t>
        </is>
      </c>
      <c r="K2708" s="10" t="inlineStr">
        <is>
          <t>1 - 2 Năm</t>
        </is>
      </c>
      <c r="L2708" s="11">
        <f>HYPERLINK("https://careerviet.vn/vi/tim-viec-lam/ky-su-co-dien-vi-tri-giam-sat-ky-su-thiet-ke.35C6AFB0.html","Xem chi tiết")</f>
        <v/>
      </c>
      <c r="M2708" s="10" t="n"/>
    </row>
    <row r="2709">
      <c r="B2709" s="7" t="n">
        <v>2707</v>
      </c>
      <c r="C2709" t="inlineStr">
        <is>
          <t>Nhân Viên Phục Vụ</t>
        </is>
      </c>
      <c r="D2709" t="inlineStr">
        <is>
          <t>CÔNG TY TNHH OIZUMI FOODS VIỆT NAM</t>
        </is>
      </c>
      <c r="E2709" t="inlineStr">
        <is>
          <t>Lương:6 Tr - 10 Tr VND</t>
        </is>
      </c>
      <c r="F2709" t="inlineStr">
        <is>
          <t>Hồ Chí MinhBình Dương</t>
        </is>
      </c>
      <c r="G2709" t="inlineStr">
        <is>
          <t>04-04-2026</t>
        </is>
      </c>
      <c r="H2709" t="inlineStr">
        <is>
          <t>04/04/2026</t>
        </is>
      </c>
      <c r="I2709" t="inlineStr">
        <is>
          <t>17/03/2026</t>
        </is>
      </c>
      <c r="J2709" t="inlineStr">
        <is>
          <t>Nhà hàng / Khách sạn, Mới tốt nghiệp / Thực tập, Thực phẩm &amp; Đồ uống</t>
        </is>
      </c>
      <c r="K2709" t="inlineStr">
        <is>
          <t>Lên đến 1 Năm</t>
        </is>
      </c>
      <c r="L2709" s="8">
        <f>HYPERLINK("https://careerviet.vn/vi/tim-viec-lam/nhan-vien-phuc-vu.35C6AFB8.html","Xem chi tiết")</f>
        <v/>
      </c>
    </row>
    <row r="2710">
      <c r="B2710" s="9" t="n">
        <v>2708</v>
      </c>
      <c r="C2710" s="10" t="inlineStr">
        <is>
          <t>Kế toán tổng hợp</t>
        </is>
      </c>
      <c r="D2710" s="10" t="inlineStr">
        <is>
          <t>CÔNG TY TNHH SX-TM-XD KYODO</t>
        </is>
      </c>
      <c r="E2710" s="10" t="inlineStr">
        <is>
          <t>Lương:13 Tr - 16 Tr VND</t>
        </is>
      </c>
      <c r="F2710" s="10" t="inlineStr">
        <is>
          <t>Hồ Chí Minh</t>
        </is>
      </c>
      <c r="G2710" s="10" t="inlineStr">
        <is>
          <t>30-04-2026</t>
        </is>
      </c>
      <c r="H2710" s="10" t="inlineStr">
        <is>
          <t>30/04/2026</t>
        </is>
      </c>
      <c r="I2710" s="10" t="inlineStr">
        <is>
          <t>17/03/2026</t>
        </is>
      </c>
      <c r="J2710" s="10" t="inlineStr">
        <is>
          <t>Kế toán / Kiểm toán, Xây dựng</t>
        </is>
      </c>
      <c r="K2710" s="10" t="inlineStr">
        <is>
          <t>1 - 2 Năm</t>
        </is>
      </c>
      <c r="L2710" s="11">
        <f>HYPERLINK("https://careerviet.vn/vi/tim-viec-lam/ke-toan-tong-hop.35C6B056.html","Xem chi tiết")</f>
        <v/>
      </c>
      <c r="M2710" s="10" t="n"/>
    </row>
    <row r="2711">
      <c r="B2711" s="7" t="n">
        <v>2709</v>
      </c>
      <c r="C2711" t="inlineStr">
        <is>
          <t>Production Supervisor for sample team and technical department</t>
        </is>
      </c>
      <c r="D2711" t="inlineStr">
        <is>
          <t>Công ty TNHH Gritti Việt Nam</t>
        </is>
      </c>
      <c r="E2711" t="inlineStr">
        <is>
          <t>Lương:Cạnh tranh</t>
        </is>
      </c>
      <c r="F2711" t="inlineStr">
        <is>
          <t>Bình Dương</t>
        </is>
      </c>
      <c r="G2711" t="inlineStr">
        <is>
          <t>04-04-2026</t>
        </is>
      </c>
      <c r="H2711" t="inlineStr">
        <is>
          <t>04/04/2026</t>
        </is>
      </c>
      <c r="I2711" t="inlineStr">
        <is>
          <t>17/03/2026</t>
        </is>
      </c>
      <c r="J2711" t="inlineStr">
        <is>
          <t>Cơ khí / Ô tô / Tự động hóa, Sản xuất / Vận hành sản xuất</t>
        </is>
      </c>
      <c r="K2711" t="inlineStr">
        <is>
          <t>Trên 4 Năm</t>
        </is>
      </c>
      <c r="L2711" s="8">
        <f>HYPERLINK("https://careerviet.vn/vi/tim-viec-lam/production-supervisor-for-sample-team-and-technical-department.35C6B038.html","Xem chi tiết")</f>
        <v/>
      </c>
    </row>
    <row r="2712">
      <c r="B2712" s="9" t="n">
        <v>2710</v>
      </c>
      <c r="C2712" s="10" t="inlineStr">
        <is>
          <t>Trưởng Bộ Phận Cơ Điện (Hà Nam)</t>
        </is>
      </c>
      <c r="D2712" s="10" t="inlineStr">
        <is>
          <t>Công ty Cổ phần Casla</t>
        </is>
      </c>
      <c r="E2712" s="10" t="inlineStr">
        <is>
          <t>Lương:25 Tr - 30 Tr VND</t>
        </is>
      </c>
      <c r="F2712" s="10" t="inlineStr">
        <is>
          <t>Hà Nam</t>
        </is>
      </c>
      <c r="G2712" s="10" t="inlineStr">
        <is>
          <t>31-03-2026</t>
        </is>
      </c>
      <c r="H2712" s="10" t="inlineStr">
        <is>
          <t>31/03/2026</t>
        </is>
      </c>
      <c r="I2712" s="10" t="inlineStr">
        <is>
          <t>17/03/2026</t>
        </is>
      </c>
      <c r="J2712" s="10" t="inlineStr">
        <is>
          <t>Cơ khí / Ô tô / Tự động hóa, Điện / Điện tử / Điện lạnh / Điện công nghiệp, Sản xuất / Vận hành sản xuất</t>
        </is>
      </c>
      <c r="K2712" s="10" t="inlineStr">
        <is>
          <t>5 - 15 Năm</t>
        </is>
      </c>
      <c r="L2712" s="11">
        <f>HYPERLINK("https://careerviet.vn/vi/tim-viec-lam/truong-bo-phan-co-dien-ha-nam.35C6AFFD.html","Xem chi tiết")</f>
        <v/>
      </c>
      <c r="M2712" s="10" t="n"/>
    </row>
    <row r="2713">
      <c r="B2713" s="7" t="n">
        <v>2711</v>
      </c>
      <c r="C2713" t="inlineStr">
        <is>
          <t>Nhân Viên Telesale</t>
        </is>
      </c>
      <c r="D2713" t="inlineStr">
        <is>
          <t>Esora Academy</t>
        </is>
      </c>
      <c r="E2713" t="inlineStr">
        <is>
          <t>Lương:8 Tr - 10 Tr VND</t>
        </is>
      </c>
      <c r="F2713" t="inlineStr">
        <is>
          <t>Hồ Chí Minh</t>
        </is>
      </c>
      <c r="G2713" t="inlineStr">
        <is>
          <t>31-03-2026</t>
        </is>
      </c>
      <c r="H2713" t="inlineStr">
        <is>
          <t>31/03/2026</t>
        </is>
      </c>
      <c r="I2713" t="inlineStr">
        <is>
          <t>17/03/2026</t>
        </is>
      </c>
      <c r="J2713" t="inlineStr">
        <is>
          <t>Tiếp thị / Marketing, Bán hàng / Kinh doanh</t>
        </is>
      </c>
      <c r="K2713" t="inlineStr">
        <is>
          <t>N/A</t>
        </is>
      </c>
      <c r="L2713" s="8">
        <f>HYPERLINK("https://careerviet.vn/vi/tim-viec-lam/nhan-vien-telesale.35C66C26.html","Xem chi tiết")</f>
        <v/>
      </c>
    </row>
    <row r="2714">
      <c r="B2714" s="9" t="n">
        <v>2712</v>
      </c>
      <c r="C2714" s="10" t="inlineStr">
        <is>
          <t>Trưởng phòng Thiết kế thời trang</t>
        </is>
      </c>
      <c r="D2714" s="10" t="inlineStr">
        <is>
          <t>Công Ty Cổ Phần Tập Đoàn Thời Trang Việt Nam</t>
        </is>
      </c>
      <c r="E2714" s="10" t="inlineStr">
        <is>
          <t>Lương:20 Tr - 35 Tr VND</t>
        </is>
      </c>
      <c r="F2714" s="10" t="inlineStr">
        <is>
          <t>Hà Nội</t>
        </is>
      </c>
      <c r="G2714" s="10" t="inlineStr">
        <is>
          <t>04-04-2026</t>
        </is>
      </c>
      <c r="H2714" s="10" t="inlineStr">
        <is>
          <t>04/04/2026</t>
        </is>
      </c>
      <c r="I2714" s="10" t="inlineStr">
        <is>
          <t>17/03/2026</t>
        </is>
      </c>
      <c r="J2714" s="10" t="inlineStr">
        <is>
          <t>Dệt may / Da giày / Thời trang</t>
        </is>
      </c>
      <c r="K2714" s="10" t="inlineStr">
        <is>
          <t>2 - 5 Năm</t>
        </is>
      </c>
      <c r="L2714" s="11">
        <f>HYPERLINK("https://careerviet.vn/vi/tim-viec-lam/truong-phong-thiet-ke-thoi-trang.35C6AFED.html","Xem chi tiết")</f>
        <v/>
      </c>
      <c r="M2714" s="10" t="n"/>
    </row>
    <row r="2715">
      <c r="B2715" s="7" t="n">
        <v>2713</v>
      </c>
      <c r="C2715" t="inlineStr">
        <is>
          <t>Nhân viên điều phối vận tải</t>
        </is>
      </c>
      <c r="D2715" t="inlineStr">
        <is>
          <t>CHI NHÁNH CT CP TẬP ĐOÀN SUNHOUSE TẠI TPHCM</t>
        </is>
      </c>
      <c r="E2715" t="inlineStr">
        <is>
          <t>Lương:12 Tr - 15 Tr VND</t>
        </is>
      </c>
      <c r="F2715" t="inlineStr">
        <is>
          <t>Hồ Chí Minh</t>
        </is>
      </c>
      <c r="G2715" t="inlineStr">
        <is>
          <t>11-04-2026</t>
        </is>
      </c>
      <c r="H2715" t="inlineStr">
        <is>
          <t>11/04/2026</t>
        </is>
      </c>
      <c r="I2715" t="inlineStr">
        <is>
          <t>17/03/2026</t>
        </is>
      </c>
      <c r="J2715" t="inlineStr">
        <is>
          <t>Bán lẻ / Bán sỉ, Vận chuyển / Giao nhận / Kho vận, Sản xuất / Vận hành sản xuất</t>
        </is>
      </c>
      <c r="K2715" t="inlineStr">
        <is>
          <t>1 - 2 Năm</t>
        </is>
      </c>
      <c r="L2715" s="8">
        <f>HYPERLINK("https://careerviet.vn/vi/tim-viec-lam/nhan-vien-dieu-phoi-van-tai.35C6AFFC.html","Xem chi tiết")</f>
        <v/>
      </c>
    </row>
    <row r="2716">
      <c r="B2716" s="9" t="n">
        <v>2714</v>
      </c>
      <c r="C2716" s="10" t="inlineStr">
        <is>
          <t>Chuyên gia/CVCC Đối tác nhân sự - Khối QT&amp;PTNNL</t>
        </is>
      </c>
      <c r="D2716" s="10" t="inlineStr">
        <is>
          <t>Ngân Hàng TMCP Sài Gòn - Hà Nội ( SHB )</t>
        </is>
      </c>
      <c r="E2716" s="10" t="inlineStr">
        <is>
          <t>Lương:Cạnh tranh</t>
        </is>
      </c>
      <c r="F2716" s="10" t="inlineStr">
        <is>
          <t>Hà Nội</t>
        </is>
      </c>
      <c r="G2716" s="10" t="inlineStr">
        <is>
          <t>04-04-2026</t>
        </is>
      </c>
      <c r="H2716" s="10" t="inlineStr">
        <is>
          <t>04/04/2026</t>
        </is>
      </c>
      <c r="I2716" s="10" t="inlineStr">
        <is>
          <t>17/03/2026</t>
        </is>
      </c>
      <c r="J2716" s="10" t="inlineStr">
        <is>
          <t>Ngân hàng, Nhân sự</t>
        </is>
      </c>
      <c r="K2716" s="10" t="inlineStr">
        <is>
          <t>Trên 8 Năm</t>
        </is>
      </c>
      <c r="L2716" s="11">
        <f>HYPERLINK("https://careerviet.vn/vi/tim-viec-lam/chuyen-gia-cvcc-doi-tac-nhan-su-khoi-qt-ptnnl.35C6AF67.html","Xem chi tiết")</f>
        <v/>
      </c>
      <c r="M2716" s="10" t="n"/>
    </row>
    <row r="2717">
      <c r="B2717" s="7" t="n">
        <v>2715</v>
      </c>
      <c r="C2717" t="inlineStr">
        <is>
          <t>Sale Agent</t>
        </is>
      </c>
      <c r="D2717" t="inlineStr">
        <is>
          <t>CÔNG TY TNHH VẬN TẢI BIỂN ĐÔNG LONG</t>
        </is>
      </c>
      <c r="E2717" t="inlineStr">
        <is>
          <t>Lương:Cạnh tranh</t>
        </is>
      </c>
      <c r="F2717" t="inlineStr">
        <is>
          <t>Hồ Chí Minh</t>
        </is>
      </c>
      <c r="G2717" t="inlineStr">
        <is>
          <t>04-04-2026</t>
        </is>
      </c>
      <c r="H2717" t="inlineStr">
        <is>
          <t>04/04/2026</t>
        </is>
      </c>
      <c r="I2717" t="inlineStr">
        <is>
          <t>17/03/2026</t>
        </is>
      </c>
      <c r="J2717" t="inlineStr">
        <is>
          <t>Hành chính / Thư ký, Xuất nhập khẩu, Vận chuyển / Giao nhận / Kho vận</t>
        </is>
      </c>
      <c r="K2717" t="inlineStr">
        <is>
          <t>Trên 1 Năm</t>
        </is>
      </c>
      <c r="L2717" s="8">
        <f>HYPERLINK("https://careerviet.vn/vi/tim-viec-lam/sale-agent.35C6B008.html","Xem chi tiết")</f>
        <v/>
      </c>
    </row>
    <row r="2718">
      <c r="B2718" s="9" t="n">
        <v>2716</v>
      </c>
      <c r="C2718" s="10" t="inlineStr">
        <is>
          <t>Miền Đông - Nhân Viên Bán Hàng Khách hàng Trọng điểm - Đại lý, Tạp hóa</t>
        </is>
      </c>
      <c r="D2718" s="10" t="inlineStr">
        <is>
          <t>Abbott</t>
        </is>
      </c>
      <c r="E2718" s="10" t="inlineStr">
        <is>
          <t>Lương:Cạnh tranh</t>
        </is>
      </c>
      <c r="F2718" s="10" t="inlineStr">
        <is>
          <t>Đồng NaiBình PhướcBà Rịa - Vũng Tàu</t>
        </is>
      </c>
      <c r="G2718" s="10" t="inlineStr">
        <is>
          <t>30-04-2026</t>
        </is>
      </c>
      <c r="H2718" s="10" t="inlineStr">
        <is>
          <t>30/04/2026</t>
        </is>
      </c>
      <c r="I2718" s="10" t="inlineStr">
        <is>
          <t>17/03/2026</t>
        </is>
      </c>
      <c r="J2718" s="10" t="inlineStr">
        <is>
          <t>Tiếp thị / Marketing, Bán lẻ / Bán sỉ, Bán hàng / Kinh doanh</t>
        </is>
      </c>
      <c r="K2718" s="10" t="inlineStr">
        <is>
          <t>Chưa có kinh nghiệm</t>
        </is>
      </c>
      <c r="L2718" s="11">
        <f>HYPERLINK("https://careerviet.vn/vi/tim-viec-lam/mien-dong-nhan-vien-ban-hang-khach-hang-trong-diem-dai-ly-tap-hoa.35C6AFDC.html","Xem chi tiết")</f>
        <v/>
      </c>
      <c r="M2718" s="10" t="n"/>
    </row>
    <row r="2719">
      <c r="B2719" s="7" t="n">
        <v>2717</v>
      </c>
      <c r="C2719" t="inlineStr">
        <is>
          <t>Kỹ Sư Cơ Sở Hạ Tầng Cấp Cao - Kv. Bình Thuận</t>
        </is>
      </c>
      <c r="D2719" t="inlineStr">
        <is>
          <t>Masan Consumer</t>
        </is>
      </c>
      <c r="E2719" t="inlineStr">
        <is>
          <t>Lương:Cạnh tranh</t>
        </is>
      </c>
      <c r="F2719" t="inlineStr">
        <is>
          <t>Bình Thuận</t>
        </is>
      </c>
      <c r="G2719" t="inlineStr">
        <is>
          <t>30-04-2026</t>
        </is>
      </c>
      <c r="H2719" t="inlineStr">
        <is>
          <t>30/04/2026</t>
        </is>
      </c>
      <c r="I2719" t="inlineStr">
        <is>
          <t>17/03/2026</t>
        </is>
      </c>
      <c r="J2719" t="inlineStr">
        <is>
          <t>Xây dựng, Bảo trì / Sửa chữa</t>
        </is>
      </c>
      <c r="K2719" t="inlineStr">
        <is>
          <t>2 - 3 Năm</t>
        </is>
      </c>
      <c r="L2719" s="8">
        <f>HYPERLINK("https://careerviet.vn/vi/tim-viec-lam/ky-su-co-so-ha-tang-cap-cao-kv-binh-thuan.35C6AF85.html","Xem chi tiết")</f>
        <v/>
      </c>
    </row>
    <row r="2720">
      <c r="B2720" s="9" t="n">
        <v>2718</v>
      </c>
      <c r="C2720" s="10" t="inlineStr">
        <is>
          <t>Kỹ Sư Shopdrawing</t>
        </is>
      </c>
      <c r="D2720" s="10" t="inlineStr">
        <is>
          <t>CÔNG TY CỔ PHẦN XD VÀ KCT LONG VIỆT KHANG</t>
        </is>
      </c>
      <c r="E2720" s="10" t="inlineStr">
        <is>
          <t>Lương:12 Tr - 20 Tr VND</t>
        </is>
      </c>
      <c r="F2720" s="10" t="inlineStr">
        <is>
          <t>Đà Nẵng</t>
        </is>
      </c>
      <c r="G2720" s="10" t="inlineStr">
        <is>
          <t>03-04-2026</t>
        </is>
      </c>
      <c r="H2720" s="10" t="inlineStr">
        <is>
          <t>03/04/2026</t>
        </is>
      </c>
      <c r="I2720" s="10" t="inlineStr">
        <is>
          <t>17/03/2026</t>
        </is>
      </c>
      <c r="J2720" s="10" t="inlineStr">
        <is>
          <t>Xây dựng, Mỹ thuật / Nghệ thuật / Thiết kế, Kiến trúc</t>
        </is>
      </c>
      <c r="K2720" s="10" t="inlineStr">
        <is>
          <t>N/A</t>
        </is>
      </c>
      <c r="L2720" s="11">
        <f>HYPERLINK("https://careerviet.vn/vi/tim-viec-lam/ky-su-shopdrawing.35C6ABBB.html","Xem chi tiết")</f>
        <v/>
      </c>
      <c r="M2720" s="10" t="n"/>
    </row>
    <row r="2721">
      <c r="B2721" s="7" t="n">
        <v>2719</v>
      </c>
      <c r="C2721" t="inlineStr">
        <is>
          <t>Operations Automation Senior Production Engineer</t>
        </is>
      </c>
      <c r="D2721" t="inlineStr">
        <is>
          <t>Sonion Vietnam</t>
        </is>
      </c>
      <c r="E2721" t="inlineStr">
        <is>
          <t>Lương:Cạnh tranh</t>
        </is>
      </c>
      <c r="F2721" t="inlineStr">
        <is>
          <t>Hồ Chí Minh</t>
        </is>
      </c>
      <c r="G2721" t="inlineStr">
        <is>
          <t>30-04-2026</t>
        </is>
      </c>
      <c r="H2721" t="inlineStr">
        <is>
          <t>30/04/2026</t>
        </is>
      </c>
      <c r="I2721" t="inlineStr">
        <is>
          <t>17/03/2026</t>
        </is>
      </c>
      <c r="J2721" t="inlineStr">
        <is>
          <t>Sản xuất / Vận hành sản xuất</t>
        </is>
      </c>
      <c r="K2721" t="inlineStr">
        <is>
          <t>3 - 5 Năm</t>
        </is>
      </c>
      <c r="L2721" s="8">
        <f>HYPERLINK("https://careerviet.vn/vi/tim-viec-lam/operations-automation-senior-production-engineer.35C6AF89.html","Xem chi tiết")</f>
        <v/>
      </c>
    </row>
    <row r="2722">
      <c r="B2722" s="9" t="n">
        <v>2720</v>
      </c>
      <c r="C2722" s="10" t="inlineStr">
        <is>
          <t>Senior Process Engineer (Dong Nai - company bus)</t>
        </is>
      </c>
      <c r="D2722" s="10" t="inlineStr">
        <is>
          <t>Techtronic Industries Vietnam Manufacturing Company Limited</t>
        </is>
      </c>
      <c r="E2722" s="10" t="inlineStr">
        <is>
          <t>Lương:Cạnh tranh</t>
        </is>
      </c>
      <c r="F2722" s="10" t="inlineStr">
        <is>
          <t>Đồng Nai</t>
        </is>
      </c>
      <c r="G2722" s="10" t="inlineStr">
        <is>
          <t>04-04-2026</t>
        </is>
      </c>
      <c r="H2722" s="10" t="inlineStr">
        <is>
          <t>04/04/2026</t>
        </is>
      </c>
      <c r="I2722" s="10" t="inlineStr">
        <is>
          <t>17/03/2026</t>
        </is>
      </c>
      <c r="J2722" s="10" t="inlineStr">
        <is>
          <t>Cơ khí / Ô tô / Tự động hóa, Điện / Điện tử / Điện lạnh / Điện công nghiệp</t>
        </is>
      </c>
      <c r="K2722" s="10" t="inlineStr">
        <is>
          <t>3 - 4 Năm</t>
        </is>
      </c>
      <c r="L2722" s="11">
        <f>HYPERLINK("https://careerviet.vn/vi/tim-viec-lam/senior-process-engineer-dong-nai-company-bus.35C6B00B.html","Xem chi tiết")</f>
        <v/>
      </c>
      <c r="M2722" s="10" t="n"/>
    </row>
    <row r="2723">
      <c r="B2723" s="7" t="n">
        <v>2721</v>
      </c>
      <c r="C2723" t="inlineStr">
        <is>
          <t>THIẾT KẾ KỸ THUẬT - CHI NHÁNH ĐÀ NẴNG</t>
        </is>
      </c>
      <c r="D2723" t="inlineStr">
        <is>
          <t>Công Ty TNHH SX Và TM Quân Đạt</t>
        </is>
      </c>
      <c r="E2723" t="inlineStr">
        <is>
          <t>Lương:Cạnh tranh</t>
        </is>
      </c>
      <c r="F2723" t="inlineStr">
        <is>
          <t>Đà Nẵng</t>
        </is>
      </c>
      <c r="G2723" t="inlineStr">
        <is>
          <t>05-04-2026</t>
        </is>
      </c>
      <c r="H2723" t="inlineStr">
        <is>
          <t>05/04/2026</t>
        </is>
      </c>
      <c r="I2723" t="inlineStr">
        <is>
          <t>17/03/2026</t>
        </is>
      </c>
      <c r="J2723" t="inlineStr">
        <is>
          <t>Cơ khí / Ô tô / Tự động hóa, Kiến trúc, Xây dựng</t>
        </is>
      </c>
      <c r="K2723" t="inlineStr">
        <is>
          <t>N/A</t>
        </is>
      </c>
      <c r="L2723" s="8">
        <f>HYPERLINK("https://careerviet.vn/vi/tim-viec-lam/thiet-ke-ky-thuat-chi-nhanh-da-nang.35C6AFD2.html","Xem chi tiết")</f>
        <v/>
      </c>
    </row>
    <row r="2724">
      <c r="B2724" s="9" t="n">
        <v>2722</v>
      </c>
      <c r="C2724" s="10" t="inlineStr">
        <is>
          <t>MES Specialist</t>
        </is>
      </c>
      <c r="D2724" s="10" t="inlineStr">
        <is>
          <t>Sonion Vietnam</t>
        </is>
      </c>
      <c r="E2724" s="10" t="inlineStr">
        <is>
          <t>Lương:Cạnh tranh</t>
        </is>
      </c>
      <c r="F2724" s="10" t="inlineStr">
        <is>
          <t>Hồ Chí Minh</t>
        </is>
      </c>
      <c r="G2724" s="10" t="inlineStr">
        <is>
          <t>30-04-2026</t>
        </is>
      </c>
      <c r="H2724" s="10" t="inlineStr">
        <is>
          <t>30/04/2026</t>
        </is>
      </c>
      <c r="I2724" s="10" t="inlineStr">
        <is>
          <t>17/03/2026</t>
        </is>
      </c>
      <c r="J2724" s="10" t="inlineStr">
        <is>
          <t>Cơ khí / Ô tô / Tự động hóa, CNTT - Phần mềm, CNTT - Phần cứng / Mạng</t>
        </is>
      </c>
      <c r="K2724" s="10" t="inlineStr">
        <is>
          <t>1 - 2 Năm</t>
        </is>
      </c>
      <c r="L2724" s="11">
        <f>HYPERLINK("https://careerviet.vn/vi/tim-viec-lam/mes-specialist.35C6AF8E.html","Xem chi tiết")</f>
        <v/>
      </c>
      <c r="M2724" s="10" t="n"/>
    </row>
    <row r="2725">
      <c r="B2725" s="7" t="n">
        <v>2723</v>
      </c>
      <c r="C2725" t="inlineStr">
        <is>
          <t>Kỹ sư thiết kế cơ khí</t>
        </is>
      </c>
      <c r="D2725" t="inlineStr">
        <is>
          <t>Công ty TNHH Chế Tạo Máy Dược Phẩm Tiến Tuấn</t>
        </is>
      </c>
      <c r="E2725" t="inlineStr">
        <is>
          <t>Lương:15 Tr - 25 Tr VND</t>
        </is>
      </c>
      <c r="F2725" t="inlineStr">
        <is>
          <t>Hồ Chí Minh</t>
        </is>
      </c>
      <c r="G2725" t="inlineStr">
        <is>
          <t>05-04-2026</t>
        </is>
      </c>
      <c r="H2725" t="inlineStr">
        <is>
          <t>05/04/2026</t>
        </is>
      </c>
      <c r="I2725" t="inlineStr">
        <is>
          <t>17/03/2026</t>
        </is>
      </c>
      <c r="J2725" t="inlineStr">
        <is>
          <t>Cơ khí / Ô tô / Tự động hóa, Điện / Điện tử / Điện lạnh / Điện công nghiệp, Mỹ thuật / Nghệ thuật / Thiết kế</t>
        </is>
      </c>
      <c r="K2725" t="inlineStr">
        <is>
          <t>3 - 5 Năm</t>
        </is>
      </c>
      <c r="L2725" s="8">
        <f>HYPERLINK("https://careerviet.vn/vi/tim-viec-lam/ky-su-thiet-ke-co-khi.35C6AFC6.html","Xem chi tiết")</f>
        <v/>
      </c>
    </row>
    <row r="2726">
      <c r="B2726" s="9" t="n">
        <v>2724</v>
      </c>
      <c r="C2726" s="10" t="inlineStr">
        <is>
          <t>Chuyên Viên Tư Vấn Định Cư/ Visa</t>
        </is>
      </c>
      <c r="D2726" s="10" t="inlineStr">
        <is>
          <t>CÔNG TY TNHH HAI WEN HOLDING GROUP VIỆT NAM</t>
        </is>
      </c>
      <c r="E2726" s="10" t="inlineStr">
        <is>
          <t>Lương:Cạnh tranh</t>
        </is>
      </c>
      <c r="F2726" s="10" t="inlineStr">
        <is>
          <t>Hồ Chí Minh</t>
        </is>
      </c>
      <c r="G2726" s="10" t="inlineStr">
        <is>
          <t>05-04-2026</t>
        </is>
      </c>
      <c r="H2726" s="10" t="inlineStr">
        <is>
          <t>05/04/2026</t>
        </is>
      </c>
      <c r="I2726" s="10" t="inlineStr">
        <is>
          <t>17/03/2026</t>
        </is>
      </c>
      <c r="J2726" s="10" t="inlineStr">
        <is>
          <t>Tư vấn, Dịch vụ khách hàng, Bán hàng / Kinh doanh</t>
        </is>
      </c>
      <c r="K2726" s="10" t="inlineStr">
        <is>
          <t>1 - 2 Năm</t>
        </is>
      </c>
      <c r="L2726" s="11">
        <f>HYPERLINK("https://careerviet.vn/vi/tim-viec-lam/chuyen-vien-tu-van-dinh-cu-visa.35C6B153.html","Xem chi tiết")</f>
        <v/>
      </c>
      <c r="M2726" s="10" t="n"/>
    </row>
    <row r="2727">
      <c r="B2727" s="7" t="n">
        <v>2725</v>
      </c>
      <c r="C2727" t="inlineStr">
        <is>
          <t>Sales Executive/Nhân Viên Kinh Doanh</t>
        </is>
      </c>
      <c r="D2727" t="inlineStr">
        <is>
          <t>Công ty TNHH Chế Tạo Máy Dược Phẩm Tiến Tuấn</t>
        </is>
      </c>
      <c r="E2727" t="inlineStr">
        <is>
          <t>Lương:12 Tr - 15 Tr VND</t>
        </is>
      </c>
      <c r="F2727" t="inlineStr">
        <is>
          <t>Hồ Chí Minh</t>
        </is>
      </c>
      <c r="G2727" t="inlineStr">
        <is>
          <t>03-04-2026</t>
        </is>
      </c>
      <c r="H2727" t="inlineStr">
        <is>
          <t>03/04/2026</t>
        </is>
      </c>
      <c r="I2727" t="inlineStr">
        <is>
          <t>17/03/2026</t>
        </is>
      </c>
      <c r="J2727" t="inlineStr">
        <is>
          <t>Bán hàng / Kinh doanh, Cơ khí / Ô tô / Tự động hóa, Tiếp thị / Marketing</t>
        </is>
      </c>
      <c r="K2727" t="inlineStr">
        <is>
          <t>2 - 3 Năm</t>
        </is>
      </c>
      <c r="L2727" s="8">
        <f>HYPERLINK("https://careerviet.vn/vi/tim-viec-lam/sales-executive-nhan-vien-kinh-doanh.35C6AC5F.html","Xem chi tiết")</f>
        <v/>
      </c>
    </row>
    <row r="2728">
      <c r="B2728" s="9" t="n">
        <v>2726</v>
      </c>
      <c r="C2728" s="10" t="inlineStr">
        <is>
          <t>Sales</t>
        </is>
      </c>
      <c r="D2728" s="10" t="inlineStr">
        <is>
          <t>Công Ty Cổ Phần Tập Đoàn Phú Thành Việt</t>
        </is>
      </c>
      <c r="E2728" s="10" t="inlineStr">
        <is>
          <t>Lương:9 Tr - 15 Tr VND</t>
        </is>
      </c>
      <c r="F2728" s="10" t="inlineStr">
        <is>
          <t>Hồ Chí Minh</t>
        </is>
      </c>
      <c r="G2728" s="10" t="inlineStr">
        <is>
          <t>05-04-2026</t>
        </is>
      </c>
      <c r="H2728" s="10" t="inlineStr">
        <is>
          <t>05/04/2026</t>
        </is>
      </c>
      <c r="I2728" s="10" t="inlineStr">
        <is>
          <t>17/03/2026</t>
        </is>
      </c>
      <c r="J2728" s="10" t="inlineStr">
        <is>
          <t>Bán hàng / Kinh doanh, Dịch vụ khách hàng, Xuất nhập khẩu</t>
        </is>
      </c>
      <c r="K2728" s="10" t="inlineStr">
        <is>
          <t>N/A</t>
        </is>
      </c>
      <c r="L2728" s="11">
        <f>HYPERLINK("https://careerviet.vn/vi/tim-viec-lam/sales.35C6B1A4.html","Xem chi tiết")</f>
        <v/>
      </c>
      <c r="M2728" s="10" t="n"/>
    </row>
    <row r="2729">
      <c r="B2729" s="7" t="n">
        <v>2727</v>
      </c>
      <c r="C2729" t="inlineStr">
        <is>
          <t>Biên tập Sáng tạo nội dung Video</t>
        </is>
      </c>
      <c r="D2729" t="inlineStr">
        <is>
          <t>Công ty Cổ phần Tập đoàn Gỗ Minh Long</t>
        </is>
      </c>
      <c r="E2729" t="inlineStr">
        <is>
          <t>Lương:15 Tr - 25 Tr VND</t>
        </is>
      </c>
      <c r="F2729" t="inlineStr">
        <is>
          <t>Hà Nội</t>
        </is>
      </c>
      <c r="G2729" t="inlineStr">
        <is>
          <t>30-04-2026</t>
        </is>
      </c>
      <c r="H2729" t="inlineStr">
        <is>
          <t>30/04/2026</t>
        </is>
      </c>
      <c r="I2729" t="inlineStr">
        <is>
          <t>17/03/2026</t>
        </is>
      </c>
      <c r="J2729" t="inlineStr">
        <is>
          <t>Tiếp thị / Marketing, Truyền hình / Báo chí / Biên tập, Quảng cáo / Đối ngoại / Truyền Thông</t>
        </is>
      </c>
      <c r="K2729" t="inlineStr">
        <is>
          <t>3 - 10 Năm</t>
        </is>
      </c>
      <c r="L2729" s="8">
        <f>HYPERLINK("https://careerviet.vn/vi/tim-viec-lam/bien-tap-sang-tao-noi-dung-video.35C6B18D.html","Xem chi tiết")</f>
        <v/>
      </c>
    </row>
    <row r="2730">
      <c r="B2730" s="9" t="n">
        <v>2728</v>
      </c>
      <c r="C2730" s="10" t="inlineStr">
        <is>
          <t>NHÂN VIÊN THIẾT KẾ TRANG SỨC 3D</t>
        </is>
      </c>
      <c r="D2730" s="10" t="inlineStr">
        <is>
          <t>Công ty TNHH MTV Sen Vàng Việt Nam</t>
        </is>
      </c>
      <c r="E2730" s="10" t="inlineStr">
        <is>
          <t>Lương:Cạnh tranh</t>
        </is>
      </c>
      <c r="F2730" s="10" t="inlineStr">
        <is>
          <t>Hồ Chí Minh</t>
        </is>
      </c>
      <c r="G2730" s="10" t="inlineStr">
        <is>
          <t>04-04-2026</t>
        </is>
      </c>
      <c r="H2730" s="10" t="inlineStr">
        <is>
          <t>04/04/2026</t>
        </is>
      </c>
      <c r="I2730" s="10" t="inlineStr">
        <is>
          <t>17/03/2026</t>
        </is>
      </c>
      <c r="J2730" s="10" t="inlineStr">
        <is>
          <t>Mỹ thuật / Nghệ thuật / Thiết kế, Quảng cáo / Đối ngoại / Truyền Thông, Mới tốt nghiệp / Thực tập</t>
        </is>
      </c>
      <c r="K2730" s="10" t="inlineStr">
        <is>
          <t>1 - 3 Năm</t>
        </is>
      </c>
      <c r="L2730" s="11">
        <f>HYPERLINK("https://careerviet.vn/vi/tim-viec-lam/nhan-vien-thiet-ke-trang-suc-3d.35C6B186.html","Xem chi tiết")</f>
        <v/>
      </c>
      <c r="M2730" s="10" t="n"/>
    </row>
    <row r="2731">
      <c r="B2731" s="7" t="n">
        <v>2729</v>
      </c>
      <c r="C2731" t="inlineStr">
        <is>
          <t>GROWTH PARTNERSHIPS COORDINATOR</t>
        </is>
      </c>
      <c r="D2731" t="inlineStr">
        <is>
          <t>CÔNG TY TNHH MỘT THÀNH VIÊN LÝ GIA VIÊN</t>
        </is>
      </c>
      <c r="E2731" t="inlineStr">
        <is>
          <t>Lương:10 Tr - 12 Tr VND</t>
        </is>
      </c>
      <c r="F2731" t="inlineStr">
        <is>
          <t>Hồ Chí Minh</t>
        </is>
      </c>
      <c r="G2731" t="inlineStr">
        <is>
          <t>05-04-2026</t>
        </is>
      </c>
      <c r="H2731" t="inlineStr">
        <is>
          <t>05/04/2026</t>
        </is>
      </c>
      <c r="I2731" t="inlineStr">
        <is>
          <t>17/03/2026</t>
        </is>
      </c>
      <c r="J2731" t="inlineStr">
        <is>
          <t>Tiếp thị / Marketing, Tổ chức sự kiện, Quảng cáo / Đối ngoại / Truyền Thông</t>
        </is>
      </c>
      <c r="K2731" t="inlineStr">
        <is>
          <t>1 - 3 Năm</t>
        </is>
      </c>
      <c r="L2731" s="8">
        <f>HYPERLINK("https://careerviet.vn/vi/tim-viec-lam/growth-partnerships-coordinator.35C6B1CF.html","Xem chi tiết")</f>
        <v/>
      </c>
    </row>
    <row r="2732">
      <c r="B2732" s="9" t="n">
        <v>2730</v>
      </c>
      <c r="C2732" s="10" t="inlineStr">
        <is>
          <t>Nhân viên Sáng tạo Nội dung sự kiện (MICE)</t>
        </is>
      </c>
      <c r="D2732" s="10" t="inlineStr">
        <is>
          <t>CÔNG TY TNHH CÁNH CUNG</t>
        </is>
      </c>
      <c r="E2732" s="10" t="inlineStr">
        <is>
          <t>Lương:7 Tr - 10 Tr VND</t>
        </is>
      </c>
      <c r="F2732" s="10" t="inlineStr">
        <is>
          <t>Hồ Chí Minh</t>
        </is>
      </c>
      <c r="G2732" s="10" t="inlineStr">
        <is>
          <t>05-04-2026</t>
        </is>
      </c>
      <c r="H2732" s="10" t="inlineStr">
        <is>
          <t>05/04/2026</t>
        </is>
      </c>
      <c r="I2732" s="10" t="inlineStr">
        <is>
          <t>17/03/2026</t>
        </is>
      </c>
      <c r="J2732" s="10" t="inlineStr">
        <is>
          <t>Du lịch, Tổ chức sự kiện, Quảng cáo / Đối ngoại / Truyền Thông</t>
        </is>
      </c>
      <c r="K2732" s="10" t="inlineStr">
        <is>
          <t>1 - 3 Năm</t>
        </is>
      </c>
      <c r="L2732" s="11">
        <f>HYPERLINK("https://careerviet.vn/vi/tim-viec-lam/nhan-vien-sang-tao-noi-dung-su-kien-mice.35C6B120.html","Xem chi tiết")</f>
        <v/>
      </c>
      <c r="M2732" s="10" t="n"/>
    </row>
    <row r="2733">
      <c r="B2733" s="7" t="n">
        <v>2731</v>
      </c>
      <c r="C2733" t="inlineStr">
        <is>
          <t>Trưởng nhóm QC/QC Leader</t>
        </is>
      </c>
      <c r="D2733" t="inlineStr">
        <is>
          <t>CÔNG TY TNHH THE SQUARE VINA</t>
        </is>
      </c>
      <c r="E2733" t="inlineStr">
        <is>
          <t>Lương:Cạnh tranh</t>
        </is>
      </c>
      <c r="F2733" t="inlineStr">
        <is>
          <t>Bà Rịa - Vũng Tàu</t>
        </is>
      </c>
      <c r="G2733" t="inlineStr">
        <is>
          <t>04-04-2026</t>
        </is>
      </c>
      <c r="H2733" t="inlineStr">
        <is>
          <t>04/04/2026</t>
        </is>
      </c>
      <c r="I2733" t="inlineStr">
        <is>
          <t>17/03/2026</t>
        </is>
      </c>
      <c r="J2733" t="inlineStr">
        <is>
          <t>Quản lý chất lượng (QA/QC), Sản xuất / Vận hành sản xuất</t>
        </is>
      </c>
      <c r="K2733" t="inlineStr">
        <is>
          <t>7 - 10 Năm</t>
        </is>
      </c>
      <c r="L2733" s="8">
        <f>HYPERLINK("https://careerviet.vn/vi/tim-viec-lam/truong-nhom-qc-qc-leader.35C6B0BD.html","Xem chi tiết")</f>
        <v/>
      </c>
    </row>
    <row r="2734">
      <c r="B2734" s="9" t="n">
        <v>2732</v>
      </c>
      <c r="C2734" s="10" t="inlineStr">
        <is>
          <t>Nhân viên Kế toán Kho</t>
        </is>
      </c>
      <c r="D2734" s="10" t="inlineStr">
        <is>
          <t>Cty TNHH SX - TM Dược Phẩm Thành Nam</t>
        </is>
      </c>
      <c r="E2734" s="10" t="inlineStr">
        <is>
          <t>Lương:Cạnh tranh</t>
        </is>
      </c>
      <c r="F2734" s="10" t="inlineStr">
        <is>
          <t>Bình Dương</t>
        </is>
      </c>
      <c r="G2734" s="10" t="inlineStr">
        <is>
          <t>30-04-2026</t>
        </is>
      </c>
      <c r="H2734" s="10" t="inlineStr">
        <is>
          <t>30/04/2026</t>
        </is>
      </c>
      <c r="I2734" s="10" t="inlineStr">
        <is>
          <t>17/03/2026</t>
        </is>
      </c>
      <c r="J2734" s="10" t="inlineStr">
        <is>
          <t>Tài chính / Đầu tư, Dược phẩm/ Hóa Mỹ Phẩm, Kế toán / Kiểm toán</t>
        </is>
      </c>
      <c r="K2734" s="10" t="inlineStr">
        <is>
          <t>1 - 2 Năm</t>
        </is>
      </c>
      <c r="L2734" s="11">
        <f>HYPERLINK("https://careerviet.vn/vi/tim-viec-lam/nhan-vien-ke-toan-kho.35C6AF2B.html","Xem chi tiết")</f>
        <v/>
      </c>
      <c r="M2734" s="10" t="n"/>
    </row>
    <row r="2735">
      <c r="B2735" s="7" t="n">
        <v>2733</v>
      </c>
      <c r="C2735" t="inlineStr">
        <is>
          <t>Chuyên viên học vụ</t>
        </is>
      </c>
      <c r="D2735" t="inlineStr">
        <is>
          <t>Công ty TNHH MTV Giáo Dục Việt Mỹ</t>
        </is>
      </c>
      <c r="E2735" t="inlineStr">
        <is>
          <t>Lương:8 Tr - 15 Tr VND</t>
        </is>
      </c>
      <c r="F2735" t="inlineStr">
        <is>
          <t>Đồng NaiBình PhướcKiên Giang</t>
        </is>
      </c>
      <c r="G2735" t="inlineStr">
        <is>
          <t>31-03-2026</t>
        </is>
      </c>
      <c r="H2735" t="inlineStr">
        <is>
          <t>31/03/2026</t>
        </is>
      </c>
      <c r="I2735" t="inlineStr">
        <is>
          <t>17/03/2026</t>
        </is>
      </c>
      <c r="J2735" t="inlineStr">
        <is>
          <t>Giáo dục / Đào tạo, Dịch vụ khách hàng, Tư vấn</t>
        </is>
      </c>
      <c r="K2735" t="inlineStr">
        <is>
          <t>1 - 2 Năm</t>
        </is>
      </c>
      <c r="L2735" s="8">
        <f>HYPERLINK("https://careerviet.vn/vi/tim-viec-lam/chuyen-vien-hoc-vu.35C6B246.html","Xem chi tiết")</f>
        <v/>
      </c>
    </row>
    <row r="2736">
      <c r="B2736" s="9" t="n">
        <v>2734</v>
      </c>
      <c r="C2736" s="10" t="inlineStr">
        <is>
          <t>Nhân viên kế toán</t>
        </is>
      </c>
      <c r="D2736" s="10" t="inlineStr">
        <is>
          <t>CÔNG TY TNHH PING SHENG FENG (PING GROUP)</t>
        </is>
      </c>
      <c r="E2736" s="10" t="inlineStr">
        <is>
          <t>Lương:7 Tr - 9 Tr VND</t>
        </is>
      </c>
      <c r="F2736" s="10" t="inlineStr">
        <is>
          <t>Hồ Chí Minh</t>
        </is>
      </c>
      <c r="G2736" s="10" t="inlineStr">
        <is>
          <t>30-04-2026</t>
        </is>
      </c>
      <c r="H2736" s="10" t="inlineStr">
        <is>
          <t>30/04/2026</t>
        </is>
      </c>
      <c r="I2736" s="10" t="inlineStr">
        <is>
          <t>17/03/2026</t>
        </is>
      </c>
      <c r="J2736" s="10" t="inlineStr">
        <is>
          <t>Kế toán / Kiểm toán, Hành chính / Thư ký, Nhà hàng / Khách sạn</t>
        </is>
      </c>
      <c r="K2736" s="10" t="inlineStr">
        <is>
          <t>Lên đến 1 Năm</t>
        </is>
      </c>
      <c r="L2736" s="11">
        <f>HYPERLINK("https://careerviet.vn/vi/tim-viec-lam/nhan-vien-ke-toan.35C6AE20.html","Xem chi tiết")</f>
        <v/>
      </c>
      <c r="M2736" s="10" t="n"/>
    </row>
    <row r="2737">
      <c r="B2737" s="7" t="n">
        <v>2735</v>
      </c>
      <c r="C2737" t="inlineStr">
        <is>
          <t>Trưởng Nhóm Booking KOL,KOC (LCB 20tr + THƯỞNG)</t>
        </is>
      </c>
      <c r="D2737" t="inlineStr">
        <is>
          <t>CÔNG TY TNHH TRƯỜNG CA VIỆT NAM</t>
        </is>
      </c>
      <c r="E2737" t="inlineStr">
        <is>
          <t>Lương:Trên 20 Tr VND</t>
        </is>
      </c>
      <c r="F2737" t="inlineStr">
        <is>
          <t>Hồ Chí Minh</t>
        </is>
      </c>
      <c r="G2737" t="inlineStr">
        <is>
          <t>31-03-2026</t>
        </is>
      </c>
      <c r="H2737" t="inlineStr">
        <is>
          <t>31/03/2026</t>
        </is>
      </c>
      <c r="I2737" t="inlineStr">
        <is>
          <t>17/03/2026</t>
        </is>
      </c>
      <c r="J2737" t="inlineStr">
        <is>
          <t>Thương mại điện tử, Tiếp thị / Marketing, Quảng cáo / Đối ngoại / Truyền Thông</t>
        </is>
      </c>
      <c r="K2737" t="inlineStr">
        <is>
          <t>1 - 5 Năm</t>
        </is>
      </c>
      <c r="L2737" s="8">
        <f>HYPERLINK("https://careerviet.vn/vi/tim-viec-lam/truong-nhom-booking-kol-koc-lcb-20tr-thuong.35C6A821.html","Xem chi tiết")</f>
        <v/>
      </c>
    </row>
    <row r="2738">
      <c r="B2738" s="9" t="n">
        <v>2736</v>
      </c>
      <c r="C2738" s="10" t="inlineStr">
        <is>
          <t>Kỹ sư cơ khí- Phụ trách kỹ thuật Nhà máy lắp ráp</t>
        </is>
      </c>
      <c r="D2738" s="10" t="inlineStr">
        <is>
          <t>Công ty TNHH Cơ Khí Xây Dựng Du Lịch Bách Tùng</t>
        </is>
      </c>
      <c r="E2738" s="10" t="inlineStr">
        <is>
          <t>Lương:12 Tr - 18 Tr VND</t>
        </is>
      </c>
      <c r="F2738" s="10" t="inlineStr">
        <is>
          <t>Bình Dương</t>
        </is>
      </c>
      <c r="G2738" s="10" t="inlineStr">
        <is>
          <t>05-04-2026</t>
        </is>
      </c>
      <c r="H2738" s="10" t="inlineStr">
        <is>
          <t>05/04/2026</t>
        </is>
      </c>
      <c r="I2738" s="10" t="inlineStr">
        <is>
          <t>17/03/2026</t>
        </is>
      </c>
      <c r="J2738" s="10" t="inlineStr">
        <is>
          <t>Cơ khí / Ô tô / Tự động hóa, Ngành khác</t>
        </is>
      </c>
      <c r="K2738" s="10" t="inlineStr">
        <is>
          <t>Lên đến 1 Năm</t>
        </is>
      </c>
      <c r="L2738" s="11">
        <f>HYPERLINK("https://careerviet.vn/vi/tim-viec-lam/ky-su-co-khi-phu-trach-ky-thuat-nha-may-lap-rap.35C6AF0F.html","Xem chi tiết")</f>
        <v/>
      </c>
      <c r="M2738" s="10" t="n"/>
    </row>
    <row r="2739">
      <c r="B2739" s="7" t="n">
        <v>2737</v>
      </c>
      <c r="C2739" t="inlineStr">
        <is>
          <t>NHÂN VIÊN QUY TRÌNH</t>
        </is>
      </c>
      <c r="D2739" t="inlineStr">
        <is>
          <t>CÔNG TY CỔ PHẦN VÀNG BẠC ĐÁ QUÝ LỘC PHÚC</t>
        </is>
      </c>
      <c r="E2739" t="inlineStr">
        <is>
          <t>Lương:10 Tr - 12 Tr VND</t>
        </is>
      </c>
      <c r="F2739" t="inlineStr">
        <is>
          <t>Hồ Chí Minh</t>
        </is>
      </c>
      <c r="G2739" t="inlineStr">
        <is>
          <t>05-04-2026</t>
        </is>
      </c>
      <c r="H2739" t="inlineStr">
        <is>
          <t>05/04/2026</t>
        </is>
      </c>
      <c r="I2739" t="inlineStr">
        <is>
          <t>17/03/2026</t>
        </is>
      </c>
      <c r="J2739" t="inlineStr">
        <is>
          <t>Nhân sự, Quản lý chất lượng (QA/QC)</t>
        </is>
      </c>
      <c r="K2739" t="inlineStr">
        <is>
          <t>1 - 3 Năm</t>
        </is>
      </c>
      <c r="L2739" s="8">
        <f>HYPERLINK("https://careerviet.vn/vi/tim-viec-lam/nhan-vien-quy-trinh.35C6B232.html","Xem chi tiết")</f>
        <v/>
      </c>
    </row>
    <row r="2740">
      <c r="B2740" s="9" t="n">
        <v>2738</v>
      </c>
      <c r="C2740" s="10" t="inlineStr">
        <is>
          <t>Automation Tester</t>
        </is>
      </c>
      <c r="D2740" s="10" t="inlineStr">
        <is>
          <t>Công ty Cổ phần Vietsol</t>
        </is>
      </c>
      <c r="E2740" s="10" t="inlineStr">
        <is>
          <t>Lương:15 Tr - 25 Tr VND</t>
        </is>
      </c>
      <c r="F2740" s="10" t="inlineStr">
        <is>
          <t>Hà Nội</t>
        </is>
      </c>
      <c r="G2740" s="10" t="inlineStr">
        <is>
          <t>31-05-2026</t>
        </is>
      </c>
      <c r="H2740" s="10" t="inlineStr">
        <is>
          <t>31/05/2026</t>
        </is>
      </c>
      <c r="I2740" s="10" t="inlineStr">
        <is>
          <t>17/03/2026</t>
        </is>
      </c>
      <c r="J2740" s="10" t="inlineStr">
        <is>
          <t>CNTT - Phần mềm</t>
        </is>
      </c>
      <c r="K2740" s="10" t="inlineStr">
        <is>
          <t>3 - 5 Năm</t>
        </is>
      </c>
      <c r="L2740" s="11">
        <f>HYPERLINK("https://careerviet.vn/vi/tim-viec-lam/automation-tester.35C6B179.html","Xem chi tiết")</f>
        <v/>
      </c>
      <c r="M2740" s="10" t="n"/>
    </row>
    <row r="2741">
      <c r="B2741" s="7" t="n">
        <v>2739</v>
      </c>
      <c r="C2741" t="inlineStr">
        <is>
          <t>Nhân viên Kiểm da làm việc tại Bình Dương</t>
        </is>
      </c>
      <c r="D2741" t="inlineStr">
        <is>
          <t>Công ty TNHH Sao Vàng</t>
        </is>
      </c>
      <c r="E2741" t="inlineStr">
        <is>
          <t>Lương:10 Tr - 14 Tr VND</t>
        </is>
      </c>
      <c r="F2741" t="inlineStr">
        <is>
          <t>Bình DươngHồ Chí MinhĐồng Nai</t>
        </is>
      </c>
      <c r="G2741" t="inlineStr">
        <is>
          <t>04-04-2026</t>
        </is>
      </c>
      <c r="H2741" t="inlineStr">
        <is>
          <t>04/04/2026</t>
        </is>
      </c>
      <c r="I2741" t="inlineStr">
        <is>
          <t>17/03/2026</t>
        </is>
      </c>
      <c r="J2741" t="inlineStr">
        <is>
          <t>Dệt may / Da giày / Thời trang, Quản lý chất lượng (QA/QC), Sản xuất / Vận hành sản xuất</t>
        </is>
      </c>
      <c r="K2741" t="inlineStr">
        <is>
          <t>N/A</t>
        </is>
      </c>
      <c r="L2741" s="8">
        <f>HYPERLINK("https://careerviet.vn/vi/tim-viec-lam/nhan-vien-kiem-da-lam-viec-tai-binh-duong.35C6B033.html","Xem chi tiết")</f>
        <v/>
      </c>
    </row>
    <row r="2742">
      <c r="B2742" s="9" t="n">
        <v>2740</v>
      </c>
      <c r="C2742" s="10" t="inlineStr">
        <is>
          <t>128410 - Branch Manager - Logistics</t>
        </is>
      </c>
      <c r="D2742" s="10" t="inlineStr">
        <is>
          <t>RGF HR Agent Vietnam Co., LTD</t>
        </is>
      </c>
      <c r="E2742" s="10" t="inlineStr">
        <is>
          <t>Lương:Cạnh tranh</t>
        </is>
      </c>
      <c r="F2742" s="10" t="inlineStr">
        <is>
          <t>Hồ Chí Minh</t>
        </is>
      </c>
      <c r="G2742" s="10" t="inlineStr">
        <is>
          <t>11-03-2026</t>
        </is>
      </c>
      <c r="H2742" s="10" t="inlineStr">
        <is>
          <t>12/03/2026</t>
        </is>
      </c>
      <c r="I2742" s="10" t="inlineStr">
        <is>
          <t>17/03/2026</t>
        </is>
      </c>
      <c r="J2742" s="10" t="inlineStr">
        <is>
          <t>Xuất nhập khẩu</t>
        </is>
      </c>
      <c r="K2742" s="10" t="inlineStr">
        <is>
          <t>7 - 10 Năm</t>
        </is>
      </c>
      <c r="L2742" s="11">
        <f>HYPERLINK("https://careerviet.vn/vi/tim-viec-lam/128410-branch-manager-logistics.35C6AD91.html","Xem chi tiết")</f>
        <v/>
      </c>
      <c r="M2742" s="10" t="n"/>
    </row>
    <row r="2743">
      <c r="B2743" s="7" t="n">
        <v>2741</v>
      </c>
      <c r="C2743" t="inlineStr">
        <is>
          <t>Sales Executive - Business Assurance / Certification Service</t>
        </is>
      </c>
      <c r="D2743" t="inlineStr">
        <is>
          <t>Chi nhánh CÔNG TY TNHH INTERTEK VIỆT NAM</t>
        </is>
      </c>
      <c r="E2743" t="inlineStr">
        <is>
          <t>Lương:Cạnh tranh</t>
        </is>
      </c>
      <c r="F2743" t="inlineStr">
        <is>
          <t>Hồ Chí Minh</t>
        </is>
      </c>
      <c r="G2743" t="inlineStr">
        <is>
          <t>06-04-2026</t>
        </is>
      </c>
      <c r="H2743" t="inlineStr">
        <is>
          <t>06/04/2026</t>
        </is>
      </c>
      <c r="I2743" t="inlineStr">
        <is>
          <t>17/03/2026</t>
        </is>
      </c>
      <c r="J2743" t="inlineStr">
        <is>
          <t>Tiếp thị / Marketing, Bán hàng / Kinh doanh, Dịch vụ khách hàng</t>
        </is>
      </c>
      <c r="K2743" t="inlineStr">
        <is>
          <t>Trên 2 Năm</t>
        </is>
      </c>
      <c r="L2743" s="8">
        <f>HYPERLINK("https://careerviet.vn/vi/tim-viec-lam/sales-executive-business-assurance-certification-service.35C6AFEC.html","Xem chi tiết")</f>
        <v/>
      </c>
    </row>
    <row r="2744">
      <c r="B2744" s="9" t="n">
        <v>2742</v>
      </c>
      <c r="C2744" s="10" t="inlineStr">
        <is>
          <t>Kỹ sư điện mặt trời</t>
        </is>
      </c>
      <c r="D2744" s="10" t="inlineStr">
        <is>
          <t>CÔNG TY CỔ PHẦN SOLAR ELECTRIC VIỆT NAM</t>
        </is>
      </c>
      <c r="E2744" s="10" t="inlineStr">
        <is>
          <t>Lương:15 Tr - 25 Tr VND</t>
        </is>
      </c>
      <c r="F2744" s="10" t="inlineStr">
        <is>
          <t>Hà Nội</t>
        </is>
      </c>
      <c r="G2744" s="10" t="inlineStr">
        <is>
          <t>05-04-2026</t>
        </is>
      </c>
      <c r="H2744" s="10" t="inlineStr">
        <is>
          <t>05/04/2026</t>
        </is>
      </c>
      <c r="I2744" s="10" t="inlineStr">
        <is>
          <t>17/03/2026</t>
        </is>
      </c>
      <c r="J2744" s="10" t="inlineStr">
        <is>
          <t>Điện / Điện tử / Điện lạnh / Điện công nghiệp, Cơ khí / Ô tô / Tự động hóa, Mỹ thuật / Nghệ thuật / Thiết kế</t>
        </is>
      </c>
      <c r="K2744" s="10" t="inlineStr">
        <is>
          <t>N/A</t>
        </is>
      </c>
      <c r="L2744" s="11">
        <f>HYPERLINK("https://careerviet.vn/vi/tim-viec-lam/ky-su-dien-mat-troi.35C6B230.html","Xem chi tiết")</f>
        <v/>
      </c>
      <c r="M2744" s="10" t="n"/>
    </row>
    <row r="2745">
      <c r="B2745" s="7" t="n">
        <v>2743</v>
      </c>
      <c r="C2745" t="inlineStr">
        <is>
          <t>THỦ KHO CÔNG TRÌNH - Hồ Chí Minh/Đà Nẵng</t>
        </is>
      </c>
      <c r="D2745" t="inlineStr">
        <is>
          <t>Công Ty Cổ Phần Xây Dựng Central</t>
        </is>
      </c>
      <c r="E2745" t="inlineStr">
        <is>
          <t>Lương:13 Tr - 18 Tr VND</t>
        </is>
      </c>
      <c r="F2745" t="inlineStr">
        <is>
          <t>Hồ Chí Minh</t>
        </is>
      </c>
      <c r="G2745" t="inlineStr">
        <is>
          <t>30-04-2026</t>
        </is>
      </c>
      <c r="H2745" t="inlineStr">
        <is>
          <t>30/04/2026</t>
        </is>
      </c>
      <c r="I2745" t="inlineStr">
        <is>
          <t>17/03/2026</t>
        </is>
      </c>
      <c r="J2745" t="inlineStr">
        <is>
          <t>Xây dựng, Điện / Điện tử / Điện lạnh / Điện công nghiệp, Kế toán / Kiểm toán</t>
        </is>
      </c>
      <c r="K2745" t="inlineStr">
        <is>
          <t>Chưa có kinh nghiệm</t>
        </is>
      </c>
      <c r="L2745" s="8">
        <f>HYPERLINK("https://careerviet.vn/vi/tim-viec-lam/thu-kho-cong-trinh-ho-chi-minh-da-nang.35C6AFD6.html","Xem chi tiết")</f>
        <v/>
      </c>
    </row>
    <row r="2746">
      <c r="B2746" s="9" t="n">
        <v>2744</v>
      </c>
      <c r="C2746" s="10" t="inlineStr">
        <is>
          <t>Kế Toán Nội Bộ</t>
        </is>
      </c>
      <c r="D2746" s="10" t="inlineStr">
        <is>
          <t>Công Ty TNHH Leo Ocean Marine</t>
        </is>
      </c>
      <c r="E2746" s="10" t="inlineStr">
        <is>
          <t>Lương:10 Tr - 14 Tr VND</t>
        </is>
      </c>
      <c r="F2746" s="10" t="inlineStr">
        <is>
          <t>Hồ Chí Minh</t>
        </is>
      </c>
      <c r="G2746" s="10" t="inlineStr">
        <is>
          <t>04-04-2026</t>
        </is>
      </c>
      <c r="H2746" s="10" t="inlineStr">
        <is>
          <t>04/04/2026</t>
        </is>
      </c>
      <c r="I2746" s="10" t="inlineStr">
        <is>
          <t>17/03/2026</t>
        </is>
      </c>
      <c r="J2746" s="10" t="inlineStr">
        <is>
          <t>Kế toán / Kiểm toán, Tài chính / Đầu tư, Luật / Pháp lý</t>
        </is>
      </c>
      <c r="K2746" s="10" t="inlineStr">
        <is>
          <t>Trên 1 Năm</t>
        </is>
      </c>
      <c r="L2746" s="11">
        <f>HYPERLINK("https://careerviet.vn/vi/tim-viec-lam/ke-toan-noi-bo.35C6AFC7.html","Xem chi tiết")</f>
        <v/>
      </c>
      <c r="M2746" s="10" t="n"/>
    </row>
    <row r="2747">
      <c r="B2747" s="7" t="n">
        <v>2745</v>
      </c>
      <c r="C2747" t="inlineStr">
        <is>
          <t>Cửa hàng trưởng</t>
        </is>
      </c>
      <c r="D2747" t="inlineStr">
        <is>
          <t>Công Ty TNHH Thủy Design House</t>
        </is>
      </c>
      <c r="E2747" t="inlineStr">
        <is>
          <t>Lương:13 Tr - 20 Tr VND</t>
        </is>
      </c>
      <c r="F2747" t="inlineStr">
        <is>
          <t>Hà NộiHồ Chí Minh</t>
        </is>
      </c>
      <c r="G2747" t="inlineStr">
        <is>
          <t>31-03-2026</t>
        </is>
      </c>
      <c r="H2747" t="inlineStr">
        <is>
          <t>31/03/2026</t>
        </is>
      </c>
      <c r="I2747" t="inlineStr">
        <is>
          <t>17/03/2026</t>
        </is>
      </c>
      <c r="J2747" t="inlineStr">
        <is>
          <t>Tiếp thị / Marketing, Bán hàng / Kinh doanh, Dệt may / Da giày / Thời trang</t>
        </is>
      </c>
      <c r="K2747" t="inlineStr">
        <is>
          <t>Lên đến 2 Năm</t>
        </is>
      </c>
      <c r="L2747" s="8">
        <f>HYPERLINK("https://careerviet.vn/vi/tim-viec-lam/cua-hang-truong.35C6B0DA.html","Xem chi tiết")</f>
        <v/>
      </c>
    </row>
    <row r="2748">
      <c r="B2748" s="9" t="n">
        <v>2746</v>
      </c>
      <c r="C2748" s="10" t="inlineStr">
        <is>
          <t>Chỉ huy trưởng công trình đường</t>
        </is>
      </c>
      <c r="D2748" s="10" t="inlineStr">
        <is>
          <t>CÔNG TY TNHH XÂY DỰNG TỰ LẬP</t>
        </is>
      </c>
      <c r="E2748" s="10" t="inlineStr">
        <is>
          <t>Lương:Trên 35 Tr VND</t>
        </is>
      </c>
      <c r="F2748" s="10" t="inlineStr">
        <is>
          <t>Phú Thọ</t>
        </is>
      </c>
      <c r="G2748" s="10" t="inlineStr">
        <is>
          <t>10-04-2026</t>
        </is>
      </c>
      <c r="H2748" s="10" t="inlineStr">
        <is>
          <t>10/04/2026</t>
        </is>
      </c>
      <c r="I2748" s="10" t="inlineStr">
        <is>
          <t>17/03/2026</t>
        </is>
      </c>
      <c r="J2748" s="10" t="inlineStr">
        <is>
          <t>Xây dựng, Kiến trúcBằng cấpKhông yêu cầuĐộ tuổi25 - 50</t>
        </is>
      </c>
      <c r="K2748" s="10" t="inlineStr">
        <is>
          <t>N/A</t>
        </is>
      </c>
      <c r="L2748" s="11">
        <f>HYPERLINK("https://careerviet.vn/vi/tim-viec-lam/chi-huy-truong-cong-trinh-duong.35C6B0E2.html","Xem chi tiết")</f>
        <v/>
      </c>
      <c r="M2748" s="10" t="n"/>
    </row>
    <row r="2749">
      <c r="B2749" s="7" t="n">
        <v>2747</v>
      </c>
      <c r="C2749" t="inlineStr">
        <is>
          <t>Chuyên Viên BPTC - Shopdrawing</t>
        </is>
      </c>
      <c r="D2749" t="inlineStr">
        <is>
          <t>CÔNG TY CỔ PHẦN PHÁT TRIỂN VÀ ĐẦU TƯ XÂY DỰNG VINCONS</t>
        </is>
      </c>
      <c r="E2749" t="inlineStr">
        <is>
          <t>Lương:25 Tr - 33 Tr VND</t>
        </is>
      </c>
      <c r="F2749" t="inlineStr">
        <is>
          <t>Hồ Chí Minh</t>
        </is>
      </c>
      <c r="G2749" t="inlineStr">
        <is>
          <t>31-03-2026</t>
        </is>
      </c>
      <c r="H2749" t="inlineStr">
        <is>
          <t>31/03/2026</t>
        </is>
      </c>
      <c r="I2749" t="inlineStr">
        <is>
          <t>17/03/2026</t>
        </is>
      </c>
      <c r="J2749" t="inlineStr">
        <is>
          <t>Xây dựng</t>
        </is>
      </c>
      <c r="K2749" t="inlineStr">
        <is>
          <t>1 - 3 Năm</t>
        </is>
      </c>
      <c r="L2749" s="8">
        <f>HYPERLINK("https://careerviet.vn/vi/tim-viec-lam/chuyen-vien-bptc-shopdrawing.35C6C383.html","Xem chi tiết")</f>
        <v/>
      </c>
    </row>
    <row r="2750">
      <c r="B2750" s="9" t="n">
        <v>2748</v>
      </c>
      <c r="C2750" s="10" t="inlineStr">
        <is>
          <t>Nhân Viên Mua Hàng_Purchasing Senior Staff</t>
        </is>
      </c>
      <c r="D2750" s="10" t="inlineStr">
        <is>
          <t>CÔNG TY TNHH MHI ENGINE SYSTEM VIỆT NAM</t>
        </is>
      </c>
      <c r="E2750" s="10" t="inlineStr">
        <is>
          <t>Lương:14 Tr - 16 Tr VND</t>
        </is>
      </c>
      <c r="F2750" s="10" t="inlineStr">
        <is>
          <t>Hồ Chí Minh</t>
        </is>
      </c>
      <c r="G2750" s="10" t="inlineStr">
        <is>
          <t>10-04-2026</t>
        </is>
      </c>
      <c r="H2750" s="10" t="inlineStr">
        <is>
          <t>10/04/2026</t>
        </is>
      </c>
      <c r="I2750" s="10" t="inlineStr">
        <is>
          <t>17/03/2026</t>
        </is>
      </c>
      <c r="J2750" s="10" t="inlineStr">
        <is>
          <t>Thu mua / Vật tư, Lao động phổ thông</t>
        </is>
      </c>
      <c r="K2750" s="10" t="inlineStr">
        <is>
          <t>2 - 5 Năm</t>
        </is>
      </c>
      <c r="L2750" s="11">
        <f>HYPERLINK("https://careerviet.vn/vi/tim-viec-lam/nhan-vien-mua-hang_purchasing-senior-staff.35C6B1FD.html","Xem chi tiết")</f>
        <v/>
      </c>
      <c r="M2750" s="10" t="n"/>
    </row>
    <row r="2751">
      <c r="B2751" s="7" t="n">
        <v>2749</v>
      </c>
      <c r="C2751" t="inlineStr">
        <is>
          <t>Senior Project Engineer</t>
        </is>
      </c>
      <c r="D2751" t="inlineStr">
        <is>
          <t>PEB STEEL BUILDINGS CO., LTD.</t>
        </is>
      </c>
      <c r="E2751" t="inlineStr">
        <is>
          <t>Lương:Cạnh tranh</t>
        </is>
      </c>
      <c r="F2751" t="inlineStr">
        <is>
          <t>Hồ Chí Minh</t>
        </is>
      </c>
      <c r="G2751" t="inlineStr">
        <is>
          <t>30-04-2026</t>
        </is>
      </c>
      <c r="H2751" t="inlineStr">
        <is>
          <t>30/04/2026</t>
        </is>
      </c>
      <c r="I2751" t="inlineStr">
        <is>
          <t>17/03/2026</t>
        </is>
      </c>
      <c r="J2751" t="inlineStr">
        <is>
          <t>Xây dựng</t>
        </is>
      </c>
      <c r="K2751" t="inlineStr">
        <is>
          <t>5 - 8 Năm</t>
        </is>
      </c>
      <c r="L2751" s="8">
        <f>HYPERLINK("https://careerviet.vn/vi/tim-viec-lam/senior-project-engineer.35C6B1CC.html","Xem chi tiết")</f>
        <v/>
      </c>
    </row>
    <row r="2752">
      <c r="B2752" s="9" t="n">
        <v>2750</v>
      </c>
      <c r="C2752" s="10" t="inlineStr">
        <is>
          <t>Nhân Viên Sales Logistics</t>
        </is>
      </c>
      <c r="D2752" s="10" t="inlineStr">
        <is>
          <t>Bảo mật</t>
        </is>
      </c>
      <c r="E2752" s="10" t="inlineStr">
        <is>
          <t>Lương:Cạnh tranh</t>
        </is>
      </c>
      <c r="F2752" s="10" t="inlineStr">
        <is>
          <t>Hồ Chí MinhBình DươngHà Nội</t>
        </is>
      </c>
      <c r="G2752" s="10" t="inlineStr">
        <is>
          <t>13-04-2026</t>
        </is>
      </c>
      <c r="H2752" s="10" t="inlineStr">
        <is>
          <t>13/04/2026</t>
        </is>
      </c>
      <c r="I2752" s="10" t="inlineStr">
        <is>
          <t>17/03/2026</t>
        </is>
      </c>
      <c r="J2752" s="10" t="inlineStr">
        <is>
          <t>Bán hàng / Kinh doanh, Vận chuyển / Giao nhận / Kho vận, Xuất nhập khẩu</t>
        </is>
      </c>
      <c r="K2752" s="10" t="inlineStr">
        <is>
          <t>1 - 3 Năm</t>
        </is>
      </c>
      <c r="L2752" s="11">
        <f>HYPERLINK("https://careerviet.vn/vi/tim-viec-lam/nhan-vien-sales-logistics.35C6C4D4.html","Xem chi tiết")</f>
        <v/>
      </c>
      <c r="M2752" s="10" t="n"/>
    </row>
    <row r="2753">
      <c r="B2753" s="7" t="n">
        <v>2751</v>
      </c>
      <c r="C2753" t="inlineStr">
        <is>
          <t>Nhân Viên Vận Hành</t>
        </is>
      </c>
      <c r="D2753" t="inlineStr">
        <is>
          <t>Công ty TNHH Bel Việt Nam</t>
        </is>
      </c>
      <c r="E2753" t="inlineStr">
        <is>
          <t>Lương:9 Tr - 11 Tr VND</t>
        </is>
      </c>
      <c r="F2753" t="inlineStr">
        <is>
          <t>Bình Dương</t>
        </is>
      </c>
      <c r="G2753" t="inlineStr">
        <is>
          <t>11-04-2026</t>
        </is>
      </c>
      <c r="H2753" t="inlineStr">
        <is>
          <t>11/04/2026</t>
        </is>
      </c>
      <c r="I2753" t="inlineStr">
        <is>
          <t>17/03/2026</t>
        </is>
      </c>
      <c r="J2753" t="inlineStr">
        <is>
          <t>Công nghệ thực phẩm / Dinh dưỡng, Sản xuất / Vận hành sản xuất, Cơ khí / Ô tô / Tự động hóa</t>
        </is>
      </c>
      <c r="K2753" t="inlineStr">
        <is>
          <t>N/A</t>
        </is>
      </c>
      <c r="L2753" s="8">
        <f>HYPERLINK("https://careerviet.vn/vi/tim-viec-lam/nhan-vien-van-hanh.35C6C4FF.html","Xem chi tiết")</f>
        <v/>
      </c>
    </row>
    <row r="2754">
      <c r="B2754" s="9" t="n">
        <v>2752</v>
      </c>
      <c r="C2754" s="10" t="inlineStr">
        <is>
          <t>[HƯNG YÊN] Thư ký Ban Quản lý dự án</t>
        </is>
      </c>
      <c r="D2754" s="10" t="inlineStr">
        <is>
          <t>Công Ty Cổ Phần Thương Mại Tư Vấn Và Xây Dựng Vĩnh Hưng</t>
        </is>
      </c>
      <c r="E2754" s="10" t="inlineStr">
        <is>
          <t>Lương:12 Tr - 16 Tr VND</t>
        </is>
      </c>
      <c r="F2754" s="10" t="inlineStr">
        <is>
          <t>Hưng Yên</t>
        </is>
      </c>
      <c r="G2754" s="10" t="inlineStr">
        <is>
          <t>31-03-2026</t>
        </is>
      </c>
      <c r="H2754" s="10" t="inlineStr">
        <is>
          <t>31/03/2026</t>
        </is>
      </c>
      <c r="I2754" s="10" t="inlineStr">
        <is>
          <t>17/03/2026</t>
        </is>
      </c>
      <c r="J2754" s="10" t="inlineStr">
        <is>
          <t>Hành chính / Thư ký, Xây dựng</t>
        </is>
      </c>
      <c r="K2754" s="10" t="inlineStr">
        <is>
          <t>1 - 2 Năm</t>
        </is>
      </c>
      <c r="L2754" s="11">
        <f>HYPERLINK("https://careerviet.vn/vi/tim-viec-lam/hung-yen-thu-ky-ban-quan-ly-du-an.35C6B07B.html","Xem chi tiết")</f>
        <v/>
      </c>
      <c r="M2754" s="10" t="n"/>
    </row>
    <row r="2755">
      <c r="B2755" s="7" t="n">
        <v>2753</v>
      </c>
      <c r="C2755" t="inlineStr">
        <is>
          <t>Nhân Viên Kế Hoạch</t>
        </is>
      </c>
      <c r="D2755" t="inlineStr">
        <is>
          <t>Công Ty Cổ Phần Sản Xuất Nhựa Duy Tân</t>
        </is>
      </c>
      <c r="E2755" t="inlineStr">
        <is>
          <t>Lương:Cạnh tranh</t>
        </is>
      </c>
      <c r="F2755" t="inlineStr">
        <is>
          <t>Long An</t>
        </is>
      </c>
      <c r="G2755" t="inlineStr">
        <is>
          <t>12-04-2026</t>
        </is>
      </c>
      <c r="H2755" t="inlineStr">
        <is>
          <t>12/04/2026</t>
        </is>
      </c>
      <c r="I2755" t="inlineStr">
        <is>
          <t>17/03/2026</t>
        </is>
      </c>
      <c r="J2755" t="inlineStr">
        <is>
          <t>Sản xuất / Vận hành sản xuất</t>
        </is>
      </c>
      <c r="K2755" t="inlineStr">
        <is>
          <t>2 - 3 Năm</t>
        </is>
      </c>
      <c r="L2755" s="8">
        <f>HYPERLINK("https://careerviet.vn/vi/tim-viec-lam/nhan-vien-ke-hoach.35C6C4F4.html","Xem chi tiết")</f>
        <v/>
      </c>
    </row>
    <row r="2756">
      <c r="B2756" s="9" t="n">
        <v>2754</v>
      </c>
      <c r="C2756" s="10" t="inlineStr">
        <is>
          <t>Kế toán tổng hợp</t>
        </is>
      </c>
      <c r="D2756" s="10" t="inlineStr">
        <is>
          <t>SKODA BÌNH DƯƠNG</t>
        </is>
      </c>
      <c r="E2756" s="10" t="inlineStr">
        <is>
          <t>Lương:Cạnh tranh</t>
        </is>
      </c>
      <c r="F2756" s="10" t="inlineStr">
        <is>
          <t>Hồ Chí MinhBình Dương</t>
        </is>
      </c>
      <c r="G2756" s="10" t="inlineStr">
        <is>
          <t>12-04-2026</t>
        </is>
      </c>
      <c r="H2756" s="10" t="inlineStr">
        <is>
          <t>12/04/2026</t>
        </is>
      </c>
      <c r="I2756" s="10" t="inlineStr">
        <is>
          <t>17/03/2026</t>
        </is>
      </c>
      <c r="J2756" s="10" t="inlineStr">
        <is>
          <t>Kế toán / Kiểm toán, Tài chính / Đầu tư, Cơ khí / Ô tô / Tự động hóa</t>
        </is>
      </c>
      <c r="K2756" s="10" t="inlineStr">
        <is>
          <t>Lên đến 1 Năm</t>
        </is>
      </c>
      <c r="L2756" s="11">
        <f>HYPERLINK("https://careerviet.vn/vi/tim-viec-lam/ke-toan-tong-hop.35C6C4DF.html","Xem chi tiết")</f>
        <v/>
      </c>
      <c r="M2756" s="10" t="n"/>
    </row>
    <row r="2757">
      <c r="B2757" s="7" t="n">
        <v>2755</v>
      </c>
      <c r="C2757" t="inlineStr">
        <is>
          <t>Nhân viên tài chính</t>
        </is>
      </c>
      <c r="D2757" t="inlineStr">
        <is>
          <t>Thuan Phuong Group</t>
        </is>
      </c>
      <c r="E2757" t="inlineStr">
        <is>
          <t>Lương:Cạnh tranh</t>
        </is>
      </c>
      <c r="F2757" t="inlineStr">
        <is>
          <t>Hồ Chí Minh</t>
        </is>
      </c>
      <c r="G2757" t="inlineStr">
        <is>
          <t>11-04-2026</t>
        </is>
      </c>
      <c r="H2757" t="inlineStr">
        <is>
          <t>11/04/2026</t>
        </is>
      </c>
      <c r="I2757" t="inlineStr">
        <is>
          <t>17/03/2026</t>
        </is>
      </c>
      <c r="J2757" t="inlineStr">
        <is>
          <t>Kế toán / Kiểm toán, Tài chính / Đầu tư, Dệt may / Da giày / Thời trang</t>
        </is>
      </c>
      <c r="K2757" t="inlineStr">
        <is>
          <t>3 - 10 Năm</t>
        </is>
      </c>
      <c r="L2757" s="8">
        <f>HYPERLINK("https://careerviet.vn/vi/tim-viec-lam/nhan-vien-tai-chinh.35C6761A.html","Xem chi tiết")</f>
        <v/>
      </c>
    </row>
    <row r="2758">
      <c r="B2758" s="9" t="n">
        <v>2756</v>
      </c>
      <c r="C2758" s="10" t="inlineStr">
        <is>
          <t>Nhân viên Môi trường</t>
        </is>
      </c>
      <c r="D2758" s="10" t="inlineStr">
        <is>
          <t>Công ty Cổ phần Kho vận Giao nhận Ngoại thương Mộc An Châu</t>
        </is>
      </c>
      <c r="E2758" s="10" t="inlineStr">
        <is>
          <t>Lương:10 Tr - 13 Tr VND</t>
        </is>
      </c>
      <c r="F2758" s="10" t="inlineStr">
        <is>
          <t>Hồ Chí Minh</t>
        </is>
      </c>
      <c r="G2758" s="10" t="inlineStr">
        <is>
          <t>30-04-2026</t>
        </is>
      </c>
      <c r="H2758" s="10" t="inlineStr">
        <is>
          <t>30/04/2026</t>
        </is>
      </c>
      <c r="I2758" s="10" t="inlineStr">
        <is>
          <t>17/03/2026</t>
        </is>
      </c>
      <c r="J2758" s="10" t="inlineStr">
        <is>
          <t>Môi trường</t>
        </is>
      </c>
      <c r="K2758" s="10" t="inlineStr">
        <is>
          <t>Chưa có kinh nghiệm</t>
        </is>
      </c>
      <c r="L2758" s="11">
        <f>HYPERLINK("https://careerviet.vn/vi/tim-viec-lam/nhan-vien-moi-truong.35C6C4C7.html","Xem chi tiết")</f>
        <v/>
      </c>
      <c r="M2758" s="10" t="n"/>
    </row>
    <row r="2759">
      <c r="B2759" s="7" t="n">
        <v>2757</v>
      </c>
      <c r="C2759" t="inlineStr">
        <is>
          <t>(Tuyển gấp) Cán bộ hồ sơ quyết toán</t>
        </is>
      </c>
      <c r="D2759" t="inlineStr">
        <is>
          <t>CÔNG TY CỔ PHẦN KÍNH LÊ GIANG</t>
        </is>
      </c>
      <c r="E2759" t="inlineStr">
        <is>
          <t>Lương:18 Tr - 25 Tr VND</t>
        </is>
      </c>
      <c r="F2759" t="inlineStr">
        <is>
          <t>Hà NộiQuảng NinhHồ Chí Minh</t>
        </is>
      </c>
      <c r="G2759" t="inlineStr">
        <is>
          <t>11-04-2026</t>
        </is>
      </c>
      <c r="H2759" t="inlineStr">
        <is>
          <t>11/04/2026</t>
        </is>
      </c>
      <c r="I2759" t="inlineStr">
        <is>
          <t>17/03/2026</t>
        </is>
      </c>
      <c r="J2759" t="inlineStr">
        <is>
          <t>Xây dựng, Kiến trúc, Hành chính / Thư ký</t>
        </is>
      </c>
      <c r="K2759" t="inlineStr">
        <is>
          <t>Trên 1 Năm</t>
        </is>
      </c>
      <c r="L2759" s="8">
        <f>HYPERLINK("https://careerviet.vn/vi/tim-viec-lam/tuyen-gap-can-bo-ho-so-quyet-toan.35C6BEC7.html","Xem chi tiết")</f>
        <v/>
      </c>
    </row>
    <row r="2760">
      <c r="B2760" s="9" t="n">
        <v>2758</v>
      </c>
      <c r="C2760" s="10" t="inlineStr">
        <is>
          <t>Trợ lý Giám đốc Nhà máy</t>
        </is>
      </c>
      <c r="D2760" s="10" t="inlineStr">
        <is>
          <t>VINFAST TRADING AND PRODUCTION JSC</t>
        </is>
      </c>
      <c r="E2760" s="10" t="inlineStr">
        <is>
          <t>Lương:Cạnh tranh</t>
        </is>
      </c>
      <c r="F2760" s="10" t="inlineStr">
        <is>
          <t>Hà Tĩnh</t>
        </is>
      </c>
      <c r="G2760" s="10" t="inlineStr">
        <is>
          <t>11-04-2026</t>
        </is>
      </c>
      <c r="H2760" s="10" t="inlineStr">
        <is>
          <t>11/04/2026</t>
        </is>
      </c>
      <c r="I2760" s="10" t="inlineStr">
        <is>
          <t>17/03/2026</t>
        </is>
      </c>
      <c r="J2760" s="10" t="inlineStr">
        <is>
          <t>Hành chính / Thư ký</t>
        </is>
      </c>
      <c r="K2760" s="10" t="inlineStr">
        <is>
          <t>N/A</t>
        </is>
      </c>
      <c r="L2760" s="11">
        <f>HYPERLINK("https://careerviet.vn/vi/tim-viec-lam/tro-ly-giam-doc-nha-may.35C6C4FC.html","Xem chi tiết")</f>
        <v/>
      </c>
      <c r="M2760" s="10" t="n"/>
    </row>
    <row r="2761">
      <c r="B2761" s="7" t="n">
        <v>2759</v>
      </c>
      <c r="C2761" t="inlineStr">
        <is>
          <t>NHÂN VIÊN NGHIỆP VỤ CÔNG NGHỆ SỐ - CAMERA AN NINH</t>
        </is>
      </c>
      <c r="D2761" t="inlineStr">
        <is>
          <t>Công Ty Cổ Phần Tập Đoàn Đèo Cả</t>
        </is>
      </c>
      <c r="E2761" t="inlineStr">
        <is>
          <t>Lương:12 Tr - 15 Tr VND</t>
        </is>
      </c>
      <c r="F2761" t="inlineStr">
        <is>
          <t>Hồ Chí Minh</t>
        </is>
      </c>
      <c r="G2761" t="inlineStr">
        <is>
          <t>12-04-2026</t>
        </is>
      </c>
      <c r="H2761" t="inlineStr">
        <is>
          <t>12/04/2026</t>
        </is>
      </c>
      <c r="I2761" t="inlineStr">
        <is>
          <t>17/03/2026</t>
        </is>
      </c>
      <c r="J2761" t="inlineStr">
        <is>
          <t>An Ninh / Bảo Vệ, CNTT - Phần cứng / Mạng, Bưu chính viễn thông</t>
        </is>
      </c>
      <c r="K2761" t="inlineStr">
        <is>
          <t>3 Năm</t>
        </is>
      </c>
      <c r="L2761" s="8">
        <f>HYPERLINK("https://careerviet.vn/vi/tim-viec-lam/nhan-vien-nghiep-vu-cong-nghe-so-camera-an-ninh.35C6C4ED.html","Xem chi tiết")</f>
        <v/>
      </c>
    </row>
    <row r="2762">
      <c r="B2762" s="9" t="n">
        <v>2760</v>
      </c>
      <c r="C2762" s="10" t="inlineStr">
        <is>
          <t>KẾ TOÁN NGÂN HÀNG</t>
        </is>
      </c>
      <c r="D2762" s="10" t="inlineStr">
        <is>
          <t>CÔNG TY CỔ PHẦN HỒ TIÊU VIỆT</t>
        </is>
      </c>
      <c r="E2762" s="10" t="inlineStr">
        <is>
          <t>Lương:10 Tr - 14 Tr VND</t>
        </is>
      </c>
      <c r="F2762" s="10" t="inlineStr">
        <is>
          <t>Hồ Chí Minh</t>
        </is>
      </c>
      <c r="G2762" s="10" t="inlineStr">
        <is>
          <t>12-04-2026</t>
        </is>
      </c>
      <c r="H2762" s="10" t="inlineStr">
        <is>
          <t>12/04/2026</t>
        </is>
      </c>
      <c r="I2762" s="10" t="inlineStr">
        <is>
          <t>17/03/2026</t>
        </is>
      </c>
      <c r="J2762" s="10" t="inlineStr">
        <is>
          <t>Tài chính / Đầu tư, Hành chính / Thư ký, Kế toán / Kiểm toán</t>
        </is>
      </c>
      <c r="K2762" s="10" t="inlineStr">
        <is>
          <t>Trên 2 Năm</t>
        </is>
      </c>
      <c r="L2762" s="11">
        <f>HYPERLINK("https://careerviet.vn/vi/tim-viec-lam/ke-toan-ngan-hang.35C6C4C6.html","Xem chi tiết")</f>
        <v/>
      </c>
      <c r="M2762" s="10" t="n"/>
    </row>
    <row r="2763">
      <c r="B2763" s="7" t="n">
        <v>2761</v>
      </c>
      <c r="C2763" t="inlineStr">
        <is>
          <t>Nhân Viên Kinh Doanh</t>
        </is>
      </c>
      <c r="D2763" t="inlineStr">
        <is>
          <t>CÔNG TY CỔ PHẦN TẬP ĐOÀN RENSO</t>
        </is>
      </c>
      <c r="E2763" t="inlineStr">
        <is>
          <t>Lương:7 Tr - 10 Tr VND</t>
        </is>
      </c>
      <c r="F2763" t="inlineStr">
        <is>
          <t>Hồ Chí Minh</t>
        </is>
      </c>
      <c r="G2763" t="inlineStr">
        <is>
          <t>04-04-2026</t>
        </is>
      </c>
      <c r="H2763" t="inlineStr">
        <is>
          <t>04/04/2026</t>
        </is>
      </c>
      <c r="I2763" t="inlineStr">
        <is>
          <t>17/03/2026</t>
        </is>
      </c>
      <c r="J2763" t="inlineStr">
        <is>
          <t>Bán hàng / Kinh doanh, Tư vấn, Dịch vụ khách hàng</t>
        </is>
      </c>
      <c r="K2763" t="inlineStr">
        <is>
          <t>Trên 1 Năm</t>
        </is>
      </c>
      <c r="L2763" s="8">
        <f>HYPERLINK("https://careerviet.vn/vi/tim-viec-lam/nhan-vien-kinh-doanh.35C6AFEA.html","Xem chi tiết")</f>
        <v/>
      </c>
    </row>
    <row r="2764">
      <c r="B2764" s="9" t="n">
        <v>2762</v>
      </c>
      <c r="C2764" s="10" t="inlineStr">
        <is>
          <t>Nhân Viên Kế Toán Nội Bộ 会计员</t>
        </is>
      </c>
      <c r="D2764" s="10" t="inlineStr">
        <is>
          <t>CÔNG TY TNHH GOTOP TEXTILE (VIETNAM)</t>
        </is>
      </c>
      <c r="E2764" s="10" t="inlineStr">
        <is>
          <t>Lương:Cạnh tranh</t>
        </is>
      </c>
      <c r="F2764" s="10" t="inlineStr">
        <is>
          <t>Long AnHồ Chí Minh</t>
        </is>
      </c>
      <c r="G2764" s="10" t="inlineStr">
        <is>
          <t>12-04-2026</t>
        </is>
      </c>
      <c r="H2764" s="10" t="inlineStr">
        <is>
          <t>12/04/2026</t>
        </is>
      </c>
      <c r="I2764" s="10" t="inlineStr">
        <is>
          <t>17/03/2026</t>
        </is>
      </c>
      <c r="J2764" s="10" t="inlineStr">
        <is>
          <t>Biên phiên dịch, Kế toán / Kiểm toán, Dệt may / Da giày / Thời trang</t>
        </is>
      </c>
      <c r="K2764" s="10" t="inlineStr">
        <is>
          <t>1 - 2 Năm</t>
        </is>
      </c>
      <c r="L2764" s="11">
        <f>HYPERLINK("https://careerviet.vn/vi/tim-viec-lam/nhan-vien-ke-toan-noi-bo.35C6C4D3.html","Xem chi tiết")</f>
        <v/>
      </c>
      <c r="M2764" s="10" t="n"/>
    </row>
    <row r="2765">
      <c r="B2765" s="7" t="n">
        <v>2763</v>
      </c>
      <c r="C2765" t="inlineStr">
        <is>
          <t>Sales - Admin Tiếng Trung (Hoa)</t>
        </is>
      </c>
      <c r="D2765" t="inlineStr">
        <is>
          <t>E-Block - Công Ty Cổ Phần Gạch Khối Tân Kỷ Nguyên</t>
        </is>
      </c>
      <c r="E2765" t="inlineStr">
        <is>
          <t>Lương:Trên 16 Tr VND</t>
        </is>
      </c>
      <c r="F2765" t="inlineStr">
        <is>
          <t>Hồ Chí Minh</t>
        </is>
      </c>
      <c r="G2765" t="inlineStr">
        <is>
          <t>11-04-2026</t>
        </is>
      </c>
      <c r="H2765" t="inlineStr">
        <is>
          <t>11/04/2026</t>
        </is>
      </c>
      <c r="I2765" t="inlineStr">
        <is>
          <t>17/03/2026</t>
        </is>
      </c>
      <c r="J2765" t="inlineStr">
        <is>
          <t>Bán hàng / Kinh doanh, Tư vấn, Hành chính / Thư ký</t>
        </is>
      </c>
      <c r="K2765" t="inlineStr">
        <is>
          <t>N/A</t>
        </is>
      </c>
      <c r="L2765" s="8">
        <f>HYPERLINK("https://careerviet.vn/vi/tim-viec-lam/sales-admin-tieng-trung-hoa.35C6C4D0.html","Xem chi tiết")</f>
        <v/>
      </c>
    </row>
    <row r="2766">
      <c r="B2766" s="9" t="n">
        <v>2764</v>
      </c>
      <c r="C2766" s="10" t="inlineStr">
        <is>
          <t>NHÂN VIÊN NGHIỆP VỤ HUẤN LUYỆN AN NINH NỘI BỘ</t>
        </is>
      </c>
      <c r="D2766" s="10" t="inlineStr">
        <is>
          <t>Công Ty Cổ Phần Tập Đoàn Đèo Cả</t>
        </is>
      </c>
      <c r="E2766" s="10" t="inlineStr">
        <is>
          <t>Lương:12 Tr - 15 Tr VND</t>
        </is>
      </c>
      <c r="F2766" s="10" t="inlineStr">
        <is>
          <t>Hồ Chí Minh</t>
        </is>
      </c>
      <c r="G2766" s="10" t="inlineStr">
        <is>
          <t>12-04-2026</t>
        </is>
      </c>
      <c r="H2766" s="10" t="inlineStr">
        <is>
          <t>12/04/2026</t>
        </is>
      </c>
      <c r="I2766" s="10" t="inlineStr">
        <is>
          <t>17/03/2026</t>
        </is>
      </c>
      <c r="J2766" s="10" t="inlineStr">
        <is>
          <t>An Ninh / Bảo Vệ</t>
        </is>
      </c>
      <c r="K2766" s="10" t="inlineStr">
        <is>
          <t>3 Năm</t>
        </is>
      </c>
      <c r="L2766" s="11">
        <f>HYPERLINK("https://careerviet.vn/vi/tim-viec-lam/nhan-vien-nghiep-vu-huan-luyen-an-ninh-noi-bo.35C6C4EF.html","Xem chi tiết")</f>
        <v/>
      </c>
      <c r="M2766" s="10" t="n"/>
    </row>
    <row r="2767">
      <c r="B2767" s="7" t="n">
        <v>2765</v>
      </c>
      <c r="C2767" t="inlineStr">
        <is>
          <t>Chuyên viên QS-QA/QC</t>
        </is>
      </c>
      <c r="D2767" t="inlineStr">
        <is>
          <t>CÔNG TY CỔ PHẦN SẢN XUẤT THƯƠNG MẠI DỊCH VỤ LIÊN SƠN</t>
        </is>
      </c>
      <c r="E2767" t="inlineStr">
        <is>
          <t>Lương:18 Tr - 23 Tr VND</t>
        </is>
      </c>
      <c r="F2767" t="inlineStr">
        <is>
          <t>Hồ Chí Minh</t>
        </is>
      </c>
      <c r="G2767" t="inlineStr">
        <is>
          <t>11-04-2026</t>
        </is>
      </c>
      <c r="H2767" t="inlineStr">
        <is>
          <t>11/04/2026</t>
        </is>
      </c>
      <c r="I2767" t="inlineStr">
        <is>
          <t>17/03/2026</t>
        </is>
      </c>
      <c r="J2767" t="inlineStr">
        <is>
          <t>Nội ngoại thất, Xây dựng, Kiến trúc</t>
        </is>
      </c>
      <c r="K2767" t="inlineStr">
        <is>
          <t>2 - 8 Năm</t>
        </is>
      </c>
      <c r="L2767" s="8">
        <f>HYPERLINK("https://careerviet.vn/vi/tim-viec-lam/chuyen-vien-qs-qa-qc.35C6C426.html","Xem chi tiết")</f>
        <v/>
      </c>
    </row>
    <row r="2768">
      <c r="B2768" s="9" t="n">
        <v>2766</v>
      </c>
      <c r="C2768" s="10" t="inlineStr">
        <is>
          <t>Trưởng bộ phận Kỹ thuật vận hành</t>
        </is>
      </c>
      <c r="D2768" s="10" t="inlineStr">
        <is>
          <t>BIM Group</t>
        </is>
      </c>
      <c r="E2768" s="10" t="inlineStr">
        <is>
          <t>Lương:Cạnh tranh</t>
        </is>
      </c>
      <c r="F2768" s="10" t="inlineStr">
        <is>
          <t>Ninh Thuận</t>
        </is>
      </c>
      <c r="G2768" s="10" t="inlineStr">
        <is>
          <t>09-04-2026</t>
        </is>
      </c>
      <c r="H2768" s="10" t="inlineStr">
        <is>
          <t>09/04/2026</t>
        </is>
      </c>
      <c r="I2768" s="10" t="inlineStr">
        <is>
          <t>17/03/2026</t>
        </is>
      </c>
      <c r="J2768" s="10" t="inlineStr">
        <is>
          <t>Điện / Điện tử / Điện lạnh / Điện công nghiệp</t>
        </is>
      </c>
      <c r="K2768" s="10" t="inlineStr">
        <is>
          <t>5 - 10 Năm</t>
        </is>
      </c>
      <c r="L2768" s="11">
        <f>HYPERLINK("https://careerviet.vn/vi/tim-viec-lam/truong-bo-phan-ky-thuat-van-hanh.35C6C4B8.html","Xem chi tiết")</f>
        <v/>
      </c>
      <c r="M2768" s="10" t="n"/>
    </row>
    <row r="2769">
      <c r="B2769" s="7" t="n">
        <v>2767</v>
      </c>
      <c r="C2769" t="inlineStr">
        <is>
          <t>Trưởng phòng Tài chính (Finance Manager)</t>
        </is>
      </c>
      <c r="D2769" t="inlineStr">
        <is>
          <t>Công Ty Cổ Phần Tân Vĩnh Cửu (Tavico group)</t>
        </is>
      </c>
      <c r="E2769" t="inlineStr">
        <is>
          <t>Lương:Cạnh tranh</t>
        </is>
      </c>
      <c r="F2769" t="inlineStr">
        <is>
          <t>Đồng Nai</t>
        </is>
      </c>
      <c r="G2769" t="inlineStr">
        <is>
          <t>28-04-2026</t>
        </is>
      </c>
      <c r="H2769" t="inlineStr">
        <is>
          <t>28/04/2026</t>
        </is>
      </c>
      <c r="I2769" t="inlineStr">
        <is>
          <t>17/03/2026</t>
        </is>
      </c>
      <c r="J2769" t="inlineStr">
        <is>
          <t>Tài chính / Đầu tư, Kế toán / Kiểm toán</t>
        </is>
      </c>
      <c r="K2769" t="inlineStr">
        <is>
          <t>3 - 5 Năm</t>
        </is>
      </c>
      <c r="L2769" s="8">
        <f>HYPERLINK("https://careerviet.vn/vi/tim-viec-lam/truong-phong-tai-chinh-finance-manager.35C6C4AF.html","Xem chi tiết")</f>
        <v/>
      </c>
    </row>
    <row r="2770">
      <c r="B2770" s="9" t="n">
        <v>2768</v>
      </c>
      <c r="C2770" s="10" t="inlineStr">
        <is>
          <t>Phiên dịch viên</t>
        </is>
      </c>
      <c r="D2770" s="10" t="inlineStr">
        <is>
          <t>Công ty Cổ phần Tập đoàn Trường Tươi</t>
        </is>
      </c>
      <c r="E2770" s="10" t="inlineStr">
        <is>
          <t>Lương:Cạnh tranh</t>
        </is>
      </c>
      <c r="F2770" s="10" t="inlineStr">
        <is>
          <t>Hồ Chí Minh</t>
        </is>
      </c>
      <c r="G2770" s="10" t="inlineStr">
        <is>
          <t>30-04-2026</t>
        </is>
      </c>
      <c r="H2770" s="10" t="inlineStr">
        <is>
          <t>30/04/2026</t>
        </is>
      </c>
      <c r="I2770" s="10" t="inlineStr">
        <is>
          <t>17/03/2026</t>
        </is>
      </c>
      <c r="J2770" s="10" t="inlineStr">
        <is>
          <t>Biên phiên dịch</t>
        </is>
      </c>
      <c r="K2770" s="10" t="inlineStr">
        <is>
          <t>5 - 15 Năm</t>
        </is>
      </c>
      <c r="L2770" s="11">
        <f>HYPERLINK("https://careerviet.vn/vi/tim-viec-lam/phien-dich-vien.35C6C4F5.html","Xem chi tiết")</f>
        <v/>
      </c>
      <c r="M2770" s="10" t="n"/>
    </row>
    <row r="2771">
      <c r="B2771" s="7" t="n">
        <v>2769</v>
      </c>
      <c r="C2771" t="inlineStr">
        <is>
          <t>Nhân viên Media &amp; Designer</t>
        </is>
      </c>
      <c r="D2771" t="inlineStr">
        <is>
          <t>TẬP ĐOÀN HẠ TẦNG ĐÔ THỊ</t>
        </is>
      </c>
      <c r="E2771" t="inlineStr">
        <is>
          <t>Lương:Cạnh tranh</t>
        </is>
      </c>
      <c r="F2771" t="inlineStr">
        <is>
          <t>Hà Nội</t>
        </is>
      </c>
      <c r="G2771" t="inlineStr">
        <is>
          <t>30-04-2026</t>
        </is>
      </c>
      <c r="H2771" t="inlineStr">
        <is>
          <t>30/04/2026</t>
        </is>
      </c>
      <c r="I2771" t="inlineStr">
        <is>
          <t>17/03/2026</t>
        </is>
      </c>
      <c r="J2771" t="inlineStr">
        <is>
          <t>Mỹ thuật / Nghệ thuật / Thiết kế, Tiếp thị / Marketing, Quảng cáo / Đối ngoại / Truyền Thông</t>
        </is>
      </c>
      <c r="K2771" t="inlineStr">
        <is>
          <t>1 - 2 Năm</t>
        </is>
      </c>
      <c r="L2771" s="8">
        <f>HYPERLINK("https://careerviet.vn/vi/tim-viec-lam/nhan-vien-media-designer.35C6C4A6.html","Xem chi tiết")</f>
        <v/>
      </c>
    </row>
    <row r="2772">
      <c r="B2772" s="9" t="n">
        <v>2770</v>
      </c>
      <c r="C2772" s="10" t="inlineStr">
        <is>
          <t>Nhân Viên Kỹ Thuật Ô Tô (Điện)</t>
        </is>
      </c>
      <c r="D2772" s="10" t="inlineStr">
        <is>
          <t>Công ty TNHH SX-TM-DV Qui Phúc</t>
        </is>
      </c>
      <c r="E2772" s="10" t="inlineStr">
        <is>
          <t>Lương:14 Tr - 15 Tr VND</t>
        </is>
      </c>
      <c r="F2772" s="10" t="inlineStr">
        <is>
          <t>Hồ Chí Minh</t>
        </is>
      </c>
      <c r="G2772" s="10" t="inlineStr">
        <is>
          <t>11-04-2026</t>
        </is>
      </c>
      <c r="H2772" s="10" t="inlineStr">
        <is>
          <t>11/04/2026</t>
        </is>
      </c>
      <c r="I2772" s="10" t="inlineStr">
        <is>
          <t>17/03/2026</t>
        </is>
      </c>
      <c r="J2772" s="10" t="inlineStr">
        <is>
          <t>Cơ khí / Ô tô / Tự động hóa, Điện / Điện tử / Điện lạnh / Điện công nghiệp, Bảo trì / Sửa chữa</t>
        </is>
      </c>
      <c r="K2772" s="10" t="inlineStr">
        <is>
          <t>2 - 3 Năm</t>
        </is>
      </c>
      <c r="L2772" s="11">
        <f>HYPERLINK("https://careerviet.vn/vi/tim-viec-lam/nhan-vien-ky-thuat-o-to-dien.35C6C4C2.html","Xem chi tiết")</f>
        <v/>
      </c>
      <c r="M2772" s="10" t="n"/>
    </row>
    <row r="2773">
      <c r="B2773" s="7" t="n">
        <v>2771</v>
      </c>
      <c r="C2773" t="inlineStr">
        <is>
          <t>Senior Business Development – Livestream KOL/KOC (TikTok Shop / Shopee)</t>
        </is>
      </c>
      <c r="D2773" t="inlineStr">
        <is>
          <t>Công Ty TNHH Han Fias Việt Nam</t>
        </is>
      </c>
      <c r="E2773" t="inlineStr">
        <is>
          <t>Lương:Trên 18 Tr VND</t>
        </is>
      </c>
      <c r="F2773" t="inlineStr">
        <is>
          <t>Hồ Chí Minh</t>
        </is>
      </c>
      <c r="G2773" t="inlineStr">
        <is>
          <t>12-04-2026</t>
        </is>
      </c>
      <c r="H2773" t="inlineStr">
        <is>
          <t>12/04/2026</t>
        </is>
      </c>
      <c r="I2773" t="inlineStr">
        <is>
          <t>17/03/2026</t>
        </is>
      </c>
      <c r="J2773" t="inlineStr">
        <is>
          <t>Tiếp thị / Marketing, Bán hàng / Kinh doanh, Tiếp thị trực tuyến</t>
        </is>
      </c>
      <c r="K2773" t="inlineStr">
        <is>
          <t>Trên 3 Năm</t>
        </is>
      </c>
      <c r="L2773" s="8">
        <f>HYPERLINK("https://careerviet.vn/vi/tim-viec-lam/senior-business-development-livestream-kol-koc-tiktok-shop-shopee.35C6C41E.html","Xem chi tiết")</f>
        <v/>
      </c>
    </row>
    <row r="2774">
      <c r="B2774" s="9" t="n">
        <v>2772</v>
      </c>
      <c r="C2774" s="10" t="inlineStr">
        <is>
          <t>Chuyên Viên Phát Triển Dự Án Mảng Đất Đai</t>
        </is>
      </c>
      <c r="D2774" s="10" t="inlineStr">
        <is>
          <t>TẬP ĐOÀN HẠ TẦNG ĐÔ THỊ</t>
        </is>
      </c>
      <c r="E2774" s="10" t="inlineStr">
        <is>
          <t>Lương:Cạnh tranh</t>
        </is>
      </c>
      <c r="F2774" s="10" t="inlineStr">
        <is>
          <t>Hà Nội</t>
        </is>
      </c>
      <c r="G2774" s="10" t="inlineStr">
        <is>
          <t>30-04-2026</t>
        </is>
      </c>
      <c r="H2774" s="10" t="inlineStr">
        <is>
          <t>30/04/2026</t>
        </is>
      </c>
      <c r="I2774" s="10" t="inlineStr">
        <is>
          <t>17/03/2026</t>
        </is>
      </c>
      <c r="J2774" s="10" t="inlineStr">
        <is>
          <t>Bất động sản, Luật / Pháp lý, Xây dựng</t>
        </is>
      </c>
      <c r="K2774" s="10" t="inlineStr">
        <is>
          <t>2 - 5 Năm</t>
        </is>
      </c>
      <c r="L2774" s="11">
        <f>HYPERLINK("https://careerviet.vn/vi/tim-viec-lam/chuyen-vien-phat-trien-du-an-mang-dat-dai.35C6C4A4.html","Xem chi tiết")</f>
        <v/>
      </c>
      <c r="M2774" s="10" t="n"/>
    </row>
    <row r="2775">
      <c r="B2775" s="7" t="n">
        <v>2773</v>
      </c>
      <c r="C2775" t="inlineStr">
        <is>
          <t>Chuyên viên C&amp;B</t>
        </is>
      </c>
      <c r="D2775" t="inlineStr">
        <is>
          <t>CÔNG TY TNHH AUSSCO VIỆT NAM</t>
        </is>
      </c>
      <c r="E2775" t="inlineStr">
        <is>
          <t>Lương:13 Tr - 20 Tr VND</t>
        </is>
      </c>
      <c r="F2775" t="inlineStr">
        <is>
          <t>Bình Dương</t>
        </is>
      </c>
      <c r="G2775" t="inlineStr">
        <is>
          <t>31-03-2026</t>
        </is>
      </c>
      <c r="H2775" t="inlineStr">
        <is>
          <t>31/03/2026</t>
        </is>
      </c>
      <c r="I2775" t="inlineStr">
        <is>
          <t>17/03/2026</t>
        </is>
      </c>
      <c r="J2775" t="inlineStr">
        <is>
          <t>Sản xuất / Vận hành sản xuất, Hành chính / Thư ký, Nhân sự</t>
        </is>
      </c>
      <c r="K2775" t="inlineStr">
        <is>
          <t>2 - 3 Năm</t>
        </is>
      </c>
      <c r="L2775" s="8">
        <f>HYPERLINK("https://careerviet.vn/vi/tim-viec-lam/chuyen-vien-c-b.35C6C4DA.html","Xem chi tiết")</f>
        <v/>
      </c>
    </row>
    <row r="2776">
      <c r="B2776" s="9" t="n">
        <v>2774</v>
      </c>
      <c r="C2776" s="10" t="inlineStr">
        <is>
          <t>Trưởng phòng kinh doanh</t>
        </is>
      </c>
      <c r="D2776" s="10" t="inlineStr">
        <is>
          <t>Công Ty TNHH Thủy Design House</t>
        </is>
      </c>
      <c r="E2776" s="10" t="inlineStr">
        <is>
          <t>Lương:25 Tr - 30 Tr VND</t>
        </is>
      </c>
      <c r="F2776" s="10" t="inlineStr">
        <is>
          <t>Hồ Chí Minh</t>
        </is>
      </c>
      <c r="G2776" s="10" t="inlineStr">
        <is>
          <t>31-03-2026</t>
        </is>
      </c>
      <c r="H2776" s="10" t="inlineStr">
        <is>
          <t>31/03/2026</t>
        </is>
      </c>
      <c r="I2776" s="10" t="inlineStr">
        <is>
          <t>17/03/2026</t>
        </is>
      </c>
      <c r="J2776" s="10" t="inlineStr">
        <is>
          <t>Tiếp thị / Marketing, Bán lẻ / Bán sỉ, Bán hàng / Kinh doanh</t>
        </is>
      </c>
      <c r="K2776" s="10" t="inlineStr">
        <is>
          <t>Lên đến 3 Năm</t>
        </is>
      </c>
      <c r="L2776" s="11">
        <f>HYPERLINK("https://careerviet.vn/vi/tim-viec-lam/truong-phong-kinh-doanh.35C6B0D7.html","Xem chi tiết")</f>
        <v/>
      </c>
      <c r="M2776" s="10" t="n"/>
    </row>
    <row r="2777">
      <c r="B2777" s="7" t="n">
        <v>2775</v>
      </c>
      <c r="C2777" t="inlineStr">
        <is>
          <t>Chuyên Viên Thiết Kế Quy Hoạch</t>
        </is>
      </c>
      <c r="D2777" t="inlineStr">
        <is>
          <t>TẬP ĐOÀN HẠ TẦNG ĐÔ THỊ</t>
        </is>
      </c>
      <c r="E2777" t="inlineStr">
        <is>
          <t>Lương:Cạnh tranh</t>
        </is>
      </c>
      <c r="F2777" t="inlineStr">
        <is>
          <t>Hà Nội</t>
        </is>
      </c>
      <c r="G2777" t="inlineStr">
        <is>
          <t>30-04-2026</t>
        </is>
      </c>
      <c r="H2777" t="inlineStr">
        <is>
          <t>30/04/2026</t>
        </is>
      </c>
      <c r="I2777" t="inlineStr">
        <is>
          <t>17/03/2026</t>
        </is>
      </c>
      <c r="J2777" t="inlineStr">
        <is>
          <t>Bất động sản, Mỹ thuật / Nghệ thuật / Thiết kế, Kiến trúc</t>
        </is>
      </c>
      <c r="K2777" t="inlineStr">
        <is>
          <t>2 - 5 Năm</t>
        </is>
      </c>
      <c r="L2777" s="8">
        <f>HYPERLINK("https://careerviet.vn/vi/tim-viec-lam/chuyen-vien-thiet-ke-quy-hoach.35C6C4A5.html","Xem chi tiết")</f>
        <v/>
      </c>
    </row>
    <row r="2778">
      <c r="B2778" s="9" t="n">
        <v>2776</v>
      </c>
      <c r="C2778" s="10" t="inlineStr">
        <is>
          <t>Chuyên viên QS Cơ Điện</t>
        </is>
      </c>
      <c r="D2778" s="10" t="inlineStr">
        <is>
          <t>CÔNG TY CỔ PHẦN PHÁT TRIỂN VÀ ĐẦU TƯ XÂY DỰNG VINCONS</t>
        </is>
      </c>
      <c r="E2778" s="10" t="inlineStr">
        <is>
          <t>Lương:Cạnh tranh</t>
        </is>
      </c>
      <c r="F2778" s="10" t="inlineStr">
        <is>
          <t>Hà NộiHồ Chí MinhQuảng Ninh</t>
        </is>
      </c>
      <c r="G2778" s="10" t="inlineStr">
        <is>
          <t>30-04-2026</t>
        </is>
      </c>
      <c r="H2778" s="10" t="inlineStr">
        <is>
          <t>30/04/2026</t>
        </is>
      </c>
      <c r="I2778" s="10" t="inlineStr">
        <is>
          <t>17/03/2026</t>
        </is>
      </c>
      <c r="J2778" s="10" t="inlineStr">
        <is>
          <t>Xây dựng, Cơ khí / Ô tô / Tự động hóa, Điện / Điện tử / Điện lạnh / Điện công nghiệp</t>
        </is>
      </c>
      <c r="K2778" s="10" t="inlineStr">
        <is>
          <t>Trên 2 Năm</t>
        </is>
      </c>
      <c r="L2778" s="11">
        <f>HYPERLINK("https://careerviet.vn/vi/tim-viec-lam/chuyen-vien-qs-co-dien.35C6C38E.html","Xem chi tiết")</f>
        <v/>
      </c>
      <c r="M2778" s="10" t="n"/>
    </row>
    <row r="2779">
      <c r="B2779" s="7" t="n">
        <v>2777</v>
      </c>
      <c r="C2779" t="inlineStr">
        <is>
          <t>THƯ KÝ TỔNG GIÁM ĐỐC</t>
        </is>
      </c>
      <c r="D2779" t="inlineStr">
        <is>
          <t>CÔNG TY CỔ PHẦN THỰC PHẨM FRESCO</t>
        </is>
      </c>
      <c r="E2779" t="inlineStr">
        <is>
          <t>Lương:15 Tr - 20 Tr VND</t>
        </is>
      </c>
      <c r="F2779" t="inlineStr">
        <is>
          <t>Hồ Chí Minh</t>
        </is>
      </c>
      <c r="G2779" t="inlineStr">
        <is>
          <t>31-03-2026</t>
        </is>
      </c>
      <c r="H2779" t="inlineStr">
        <is>
          <t>31/03/2026</t>
        </is>
      </c>
      <c r="I2779" t="inlineStr">
        <is>
          <t>17/03/2026</t>
        </is>
      </c>
      <c r="J2779" t="inlineStr">
        <is>
          <t>Thực phẩm &amp; Đồ uống, Hành chính / Thư ký, Luật / Pháp lý</t>
        </is>
      </c>
      <c r="K2779" t="inlineStr">
        <is>
          <t>N/A</t>
        </is>
      </c>
      <c r="L2779" s="8">
        <f>HYPERLINK("https://careerviet.vn/vi/tim-viec-lam/thu-ky-tong-giam-doc.35C6B80A.html","Xem chi tiết")</f>
        <v/>
      </c>
    </row>
    <row r="2780">
      <c r="B2780" s="9" t="n">
        <v>2778</v>
      </c>
      <c r="C2780" s="10" t="inlineStr">
        <is>
          <t>Nhân viên mua hàng</t>
        </is>
      </c>
      <c r="D2780" s="10" t="inlineStr">
        <is>
          <t>Công Ty CP Lizen</t>
        </is>
      </c>
      <c r="E2780" s="10" t="inlineStr">
        <is>
          <t>Lương:10 Tr - 20 Tr VND</t>
        </is>
      </c>
      <c r="F2780" s="10" t="inlineStr">
        <is>
          <t>Hồ Chí Minh</t>
        </is>
      </c>
      <c r="G2780" s="10" t="inlineStr">
        <is>
          <t>31-03-2026</t>
        </is>
      </c>
      <c r="H2780" s="10" t="inlineStr">
        <is>
          <t>31/03/2026</t>
        </is>
      </c>
      <c r="I2780" s="10" t="inlineStr">
        <is>
          <t>17/03/2026</t>
        </is>
      </c>
      <c r="J2780" s="10" t="inlineStr">
        <is>
          <t>Thu mua / Vật tư, Xây dựng, Kế toán / Kiểm toán</t>
        </is>
      </c>
      <c r="K2780" s="10" t="inlineStr">
        <is>
          <t>Chưa có kinh nghiệm</t>
        </is>
      </c>
      <c r="L2780" s="11">
        <f>HYPERLINK("https://careerviet.vn/vi/tim-viec-lam/nhan-vien-mua-hang.35C6C478.html","Xem chi tiết")</f>
        <v/>
      </c>
      <c r="M2780" s="10" t="n"/>
    </row>
    <row r="2781">
      <c r="B2781" s="7" t="n">
        <v>2779</v>
      </c>
      <c r="C2781" t="inlineStr">
        <is>
          <t>Graphic Designer</t>
        </is>
      </c>
      <c r="D2781" t="inlineStr">
        <is>
          <t>Mars Group</t>
        </is>
      </c>
      <c r="E2781" t="inlineStr">
        <is>
          <t>Lương:Cạnh tranh</t>
        </is>
      </c>
      <c r="F2781" t="inlineStr">
        <is>
          <t>Hồ Chí Minh</t>
        </is>
      </c>
      <c r="G2781" t="inlineStr">
        <is>
          <t>05-05-2026</t>
        </is>
      </c>
      <c r="H2781" t="inlineStr">
        <is>
          <t>05/05/2026</t>
        </is>
      </c>
      <c r="I2781" t="inlineStr">
        <is>
          <t>17/03/2026</t>
        </is>
      </c>
      <c r="J2781" t="inlineStr">
        <is>
          <t>CNTT - Phần mềm, Mỹ thuật / Nghệ thuật / Thiết kế, Quảng cáo / Đối ngoại / Truyền Thông</t>
        </is>
      </c>
      <c r="K2781" t="inlineStr">
        <is>
          <t>1 - 2 Năm</t>
        </is>
      </c>
      <c r="L2781" s="8">
        <f>HYPERLINK("https://careerviet.vn/vi/tim-viec-lam/graphic-designer.35C6C2BD.html","Xem chi tiết")</f>
        <v/>
      </c>
    </row>
    <row r="2782">
      <c r="B2782" s="9" t="n">
        <v>2780</v>
      </c>
      <c r="C2782" s="10" t="inlineStr">
        <is>
          <t>Kỹ thuật viên</t>
        </is>
      </c>
      <c r="D2782" s="10" t="inlineStr">
        <is>
          <t>CÔNG TY CỔ PHẦN PHÁT TRIỂN VIỄN THÔNG VÀ TRUYỀN HÌNH VIỆT NAM</t>
        </is>
      </c>
      <c r="E2782" s="10" t="inlineStr">
        <is>
          <t>Lương:4 Tr - 7 Tr VND</t>
        </is>
      </c>
      <c r="F2782" s="10" t="inlineStr">
        <is>
          <t>Hà NộiBắc NinhBắc Giang</t>
        </is>
      </c>
      <c r="G2782" s="10" t="inlineStr">
        <is>
          <t>30-04-2026</t>
        </is>
      </c>
      <c r="H2782" s="10" t="inlineStr">
        <is>
          <t>30/04/2026</t>
        </is>
      </c>
      <c r="I2782" s="10" t="inlineStr">
        <is>
          <t>17/03/2026</t>
        </is>
      </c>
      <c r="J2782" s="10" t="inlineStr">
        <is>
          <t>Bưu chính viễn thông, Bảo trì / Sửa chữa, CNTT - Phần cứng / Mạng</t>
        </is>
      </c>
      <c r="K2782" s="10" t="inlineStr">
        <is>
          <t>N/A</t>
        </is>
      </c>
      <c r="L2782" s="11">
        <f>HYPERLINK("https://careerviet.vn/vi/tim-viec-lam/ky-thuat-vien.35C6C48D.html","Xem chi tiết")</f>
        <v/>
      </c>
      <c r="M2782" s="10" t="n"/>
    </row>
    <row r="2783">
      <c r="B2783" s="7" t="n">
        <v>2781</v>
      </c>
      <c r="C2783" t="inlineStr">
        <is>
          <t>Thợ Bọc Da (Biết May Công Nghiệp)</t>
        </is>
      </c>
      <c r="D2783" t="inlineStr">
        <is>
          <t>CÔNG TY TNHH HI-MEC VIỆT NAM</t>
        </is>
      </c>
      <c r="E2783" t="inlineStr">
        <is>
          <t>Lương:Cạnh tranh</t>
        </is>
      </c>
      <c r="F2783" t="inlineStr">
        <is>
          <t>Hồ Chí Minh</t>
        </is>
      </c>
      <c r="G2783" t="inlineStr">
        <is>
          <t>12-04-2026</t>
        </is>
      </c>
      <c r="H2783" t="inlineStr">
        <is>
          <t>12/04/2026</t>
        </is>
      </c>
      <c r="I2783" t="inlineStr">
        <is>
          <t>17/03/2026</t>
        </is>
      </c>
      <c r="J2783" t="inlineStr">
        <is>
          <t>Dệt may / Da giày / Thời trang, Sản xuất / Vận hành sản xuất, Nội ngoại thất</t>
        </is>
      </c>
      <c r="K2783" t="inlineStr">
        <is>
          <t>N/A</t>
        </is>
      </c>
      <c r="L2783" s="8">
        <f>HYPERLINK("https://careerviet.vn/vi/tim-viec-lam/tho-boc-da-biet-may-cong-nghiep.35C6C450.html","Xem chi tiết")</f>
        <v/>
      </c>
    </row>
    <row r="2784">
      <c r="B2784" s="9" t="n">
        <v>2782</v>
      </c>
      <c r="C2784" s="10" t="inlineStr">
        <is>
          <t>Trưởng Phòng Kinh Doanh</t>
        </is>
      </c>
      <c r="D2784" s="10" t="inlineStr">
        <is>
          <t>DOANH NGHIỆP TƯ NHÂN SẢN XUẤT- THƯƠNG MẠI NGUYỄN TRÌNH</t>
        </is>
      </c>
      <c r="E2784" s="10" t="inlineStr">
        <is>
          <t>Lương:Cạnh tranh</t>
        </is>
      </c>
      <c r="F2784" s="10" t="inlineStr">
        <is>
          <t>Vĩnh Long</t>
        </is>
      </c>
      <c r="G2784" s="10" t="inlineStr">
        <is>
          <t>11-04-2026</t>
        </is>
      </c>
      <c r="H2784" s="10" t="inlineStr">
        <is>
          <t>11/04/2026</t>
        </is>
      </c>
      <c r="I2784" s="10" t="inlineStr">
        <is>
          <t>17/03/2026</t>
        </is>
      </c>
      <c r="J2784" s="10" t="inlineStr">
        <is>
          <t>Bán hàng / Kinh doanh, Quản lý điều hành, Tư vấn</t>
        </is>
      </c>
      <c r="K2784" s="10" t="inlineStr">
        <is>
          <t>3 - 5 Năm</t>
        </is>
      </c>
      <c r="L2784" s="11">
        <f>HYPERLINK("https://careerviet.vn/vi/tim-viec-lam/truong-phong-kinh-doanh.35C6C49A.html","Xem chi tiết")</f>
        <v/>
      </c>
      <c r="M2784" s="10" t="n"/>
    </row>
    <row r="2785">
      <c r="B2785" s="7" t="n">
        <v>2783</v>
      </c>
      <c r="C2785" t="inlineStr">
        <is>
          <t>Trưởng BP Quản lý dự án về M&amp;E</t>
        </is>
      </c>
      <c r="D2785" t="inlineStr">
        <is>
          <t>CÔNG TY CỔ PHẦN ĐẦU TƯ THIÊN ÂN</t>
        </is>
      </c>
      <c r="E2785" t="inlineStr">
        <is>
          <t>Lương:20 Tr - 25 Tr VND</t>
        </is>
      </c>
      <c r="F2785" t="inlineStr">
        <is>
          <t>Hà NộiBắc GiangBắc Ninh</t>
        </is>
      </c>
      <c r="G2785" t="inlineStr">
        <is>
          <t>11-04-2026</t>
        </is>
      </c>
      <c r="H2785" t="inlineStr">
        <is>
          <t>11/04/2026</t>
        </is>
      </c>
      <c r="I2785" t="inlineStr">
        <is>
          <t>17/03/2026</t>
        </is>
      </c>
      <c r="J2785" t="inlineStr">
        <is>
          <t>Xây dựng, Điện / Điện tử / Điện lạnh / Điện công nghiệp, Bất động sản</t>
        </is>
      </c>
      <c r="K2785" t="inlineStr">
        <is>
          <t>Trên 5 Năm</t>
        </is>
      </c>
      <c r="L2785" s="8">
        <f>HYPERLINK("https://careerviet.vn/vi/tim-viec-lam/truong-bp-quan-ly-du-an-ve-m-e.35C6C4AB.html","Xem chi tiết")</f>
        <v/>
      </c>
    </row>
    <row r="2786">
      <c r="B2786" s="9" t="n">
        <v>2784</v>
      </c>
      <c r="C2786" s="10" t="inlineStr">
        <is>
          <t>Thư ký văn phòng</t>
        </is>
      </c>
      <c r="D2786" s="10" t="inlineStr">
        <is>
          <t>Bảo mật</t>
        </is>
      </c>
      <c r="E2786" s="10" t="inlineStr">
        <is>
          <t>Lương:10 Tr - 12 Tr VND</t>
        </is>
      </c>
      <c r="F2786" s="10" t="inlineStr">
        <is>
          <t>Hồ Chí Minh</t>
        </is>
      </c>
      <c r="G2786" s="10" t="inlineStr">
        <is>
          <t>12-04-2026</t>
        </is>
      </c>
      <c r="H2786" s="10" t="inlineStr">
        <is>
          <t>12/04/2026</t>
        </is>
      </c>
      <c r="I2786" s="10" t="inlineStr">
        <is>
          <t>17/03/2026</t>
        </is>
      </c>
      <c r="J2786" s="10" t="inlineStr">
        <is>
          <t>Hành chính / Thư ký, Nhân sự</t>
        </is>
      </c>
      <c r="K2786" s="10" t="inlineStr">
        <is>
          <t>1 - 2 Năm</t>
        </is>
      </c>
      <c r="L2786" s="11">
        <f>HYPERLINK("https://careerviet.vn/vi/tim-viec-lam/thu-ky-van-phong.35C6C476.html","Xem chi tiết")</f>
        <v/>
      </c>
      <c r="M2786" s="10" t="n"/>
    </row>
    <row r="2787">
      <c r="B2787" s="7" t="n">
        <v>2785</v>
      </c>
      <c r="C2787" t="inlineStr">
        <is>
          <t>Nhân Viên Thiết Kế Sản Phẩm Cơ Khí</t>
        </is>
      </c>
      <c r="D2787" t="inlineStr">
        <is>
          <t>CÔNG TY TNHH HI-MEC VIỆT NAM</t>
        </is>
      </c>
      <c r="E2787" t="inlineStr">
        <is>
          <t>Lương:12 Tr - 15 Tr VND</t>
        </is>
      </c>
      <c r="F2787" t="inlineStr">
        <is>
          <t>Hồ Chí Minh</t>
        </is>
      </c>
      <c r="G2787" t="inlineStr">
        <is>
          <t>12-04-2026</t>
        </is>
      </c>
      <c r="H2787" t="inlineStr">
        <is>
          <t>12/04/2026</t>
        </is>
      </c>
      <c r="I2787" t="inlineStr">
        <is>
          <t>17/03/2026</t>
        </is>
      </c>
      <c r="J2787" t="inlineStr">
        <is>
          <t>Cơ khí / Ô tô / Tự động hóa, Sản xuất / Vận hành sản xuất, Mỹ thuật / Nghệ thuật / Thiết kế</t>
        </is>
      </c>
      <c r="K2787" t="inlineStr">
        <is>
          <t>N/A</t>
        </is>
      </c>
      <c r="L2787" s="8">
        <f>HYPERLINK("https://careerviet.vn/vi/tim-viec-lam/nhan-vien-thiet-ke-san-pham-co-khi.35C6C458.html","Xem chi tiết")</f>
        <v/>
      </c>
    </row>
    <row r="2788">
      <c r="B2788" s="9" t="n">
        <v>2786</v>
      </c>
      <c r="C2788" s="10" t="inlineStr">
        <is>
          <t>Quản lý vận hành kho</t>
        </is>
      </c>
      <c r="D2788" s="10" t="inlineStr">
        <is>
          <t>Công ty TNHH Dược phẩm Lavifa</t>
        </is>
      </c>
      <c r="E2788" s="10" t="inlineStr">
        <is>
          <t>Lương:13 Tr - 16 Tr VND</t>
        </is>
      </c>
      <c r="F2788" s="10" t="inlineStr">
        <is>
          <t>Hồ Chí Minh</t>
        </is>
      </c>
      <c r="G2788" s="10" t="inlineStr">
        <is>
          <t>30-04-2026</t>
        </is>
      </c>
      <c r="H2788" s="10" t="inlineStr">
        <is>
          <t>30/04/2026</t>
        </is>
      </c>
      <c r="I2788" s="10" t="inlineStr">
        <is>
          <t>17/03/2026</t>
        </is>
      </c>
      <c r="J2788" s="10" t="inlineStr">
        <is>
          <t>Vận chuyển / Giao nhận / Kho vận, Xuất nhập khẩu, Kế toán / Kiểm toán</t>
        </is>
      </c>
      <c r="K2788" s="10" t="inlineStr">
        <is>
          <t>1 - 2 Năm</t>
        </is>
      </c>
      <c r="L2788" s="11">
        <f>HYPERLINK("https://careerviet.vn/vi/tim-viec-lam/quan-ly-van-hanh-kho.35C6C0FE.html","Xem chi tiết")</f>
        <v/>
      </c>
      <c r="M2788" s="10" t="n"/>
    </row>
    <row r="2789">
      <c r="B2789" s="7" t="n">
        <v>2787</v>
      </c>
      <c r="C2789" t="inlineStr">
        <is>
          <t>Officer, Operations Materials Management (Contract 9-Month)</t>
        </is>
      </c>
      <c r="D2789" t="inlineStr">
        <is>
          <t>Swarovski Manufacturing Vietnam LLC</t>
        </is>
      </c>
      <c r="E2789" t="inlineStr">
        <is>
          <t>Lương:Cạnh tranh</t>
        </is>
      </c>
      <c r="F2789" t="inlineStr">
        <is>
          <t>Đồng Nai</t>
        </is>
      </c>
      <c r="G2789" t="inlineStr">
        <is>
          <t>11-04-2026</t>
        </is>
      </c>
      <c r="H2789" t="inlineStr">
        <is>
          <t>11/04/2026</t>
        </is>
      </c>
      <c r="I2789" t="inlineStr">
        <is>
          <t>17/03/2026</t>
        </is>
      </c>
      <c r="J2789" t="inlineStr">
        <is>
          <t>Sản xuất / Vận hành sản xuất</t>
        </is>
      </c>
      <c r="K2789" t="inlineStr">
        <is>
          <t>1 - 3 Năm</t>
        </is>
      </c>
      <c r="L2789" s="8">
        <f>HYPERLINK("https://careerviet.vn/vi/tim-viec-lam/officer-operations-materials-management-contract-9-month.35C6C493.html","Xem chi tiết")</f>
        <v/>
      </c>
    </row>
    <row r="2790">
      <c r="B2790" s="9" t="n">
        <v>2788</v>
      </c>
      <c r="C2790" s="10" t="inlineStr">
        <is>
          <t>Kỹ sư QS</t>
        </is>
      </c>
      <c r="D2790" s="10" t="inlineStr">
        <is>
          <t>CÔNG TY CỔ PHẦN SẢN XUẤT VÀ BẢO DƯỠNG THIẾT BỊ HÀNG KHÔNG</t>
        </is>
      </c>
      <c r="E2790" s="10" t="inlineStr">
        <is>
          <t>Lương:Cạnh tranh</t>
        </is>
      </c>
      <c r="F2790" s="10" t="inlineStr">
        <is>
          <t>Đồng NaiKiên Giang</t>
        </is>
      </c>
      <c r="G2790" s="10" t="inlineStr">
        <is>
          <t>25-04-2026</t>
        </is>
      </c>
      <c r="H2790" s="10" t="inlineStr">
        <is>
          <t>25/04/2026</t>
        </is>
      </c>
      <c r="I2790" s="10" t="inlineStr">
        <is>
          <t>17/03/2026</t>
        </is>
      </c>
      <c r="J2790" s="10" t="inlineStr">
        <is>
          <t>Sản xuất / Vận hành sản xuất, Bảo trì / Sửa chữa, Xây dựng</t>
        </is>
      </c>
      <c r="K2790" s="10" t="inlineStr">
        <is>
          <t>Trên 1 Năm</t>
        </is>
      </c>
      <c r="L2790" s="11">
        <f>HYPERLINK("https://careerviet.vn/vi/tim-viec-lam/ky-su-qs.35C6C420.html","Xem chi tiết")</f>
        <v/>
      </c>
      <c r="M2790" s="10" t="n"/>
    </row>
    <row r="2791">
      <c r="B2791" s="7" t="n">
        <v>2789</v>
      </c>
      <c r="C2791" t="inlineStr">
        <is>
          <t>Kỹ sư cơ khí</t>
        </is>
      </c>
      <c r="D2791" t="inlineStr">
        <is>
          <t>CÔNG TY CỔ PHẦN SẢN XUẤT VÀ BẢO DƯỠNG THIẾT BỊ HÀNG KHÔNG</t>
        </is>
      </c>
      <c r="E2791" t="inlineStr">
        <is>
          <t>Lương:Cạnh tranh</t>
        </is>
      </c>
      <c r="F2791" t="inlineStr">
        <is>
          <t>Đồng NaiHải PhòngHà Nội</t>
        </is>
      </c>
      <c r="G2791" t="inlineStr">
        <is>
          <t>25-04-2026</t>
        </is>
      </c>
      <c r="H2791" t="inlineStr">
        <is>
          <t>25/04/2026</t>
        </is>
      </c>
      <c r="I2791" t="inlineStr">
        <is>
          <t>17/03/2026</t>
        </is>
      </c>
      <c r="J2791" t="inlineStr">
        <is>
          <t>Cơ khí / Ô tô / Tự động hóa, Điện / Điện tử / Điện lạnh / Điện công nghiệp, Bảo trì / Sửa chữa</t>
        </is>
      </c>
      <c r="K2791" t="inlineStr">
        <is>
          <t>Trên 1 Năm</t>
        </is>
      </c>
      <c r="L2791" s="8">
        <f>HYPERLINK("https://careerviet.vn/vi/tim-viec-lam/ky-su-co-khi.35C6C3E2.html","Xem chi tiết")</f>
        <v/>
      </c>
    </row>
    <row r="2792">
      <c r="B2792" s="9" t="n">
        <v>2790</v>
      </c>
      <c r="C2792" s="10" t="inlineStr">
        <is>
          <t>Chuyên viên Data &amp; Sale Admin</t>
        </is>
      </c>
      <c r="D2792" s="10" t="inlineStr">
        <is>
          <t>CÔNG TY CỔ PHẦN CASPER VIỆT NAM</t>
        </is>
      </c>
      <c r="E2792" s="10" t="inlineStr">
        <is>
          <t>Lương:Cạnh tranh</t>
        </is>
      </c>
      <c r="F2792" s="10" t="inlineStr">
        <is>
          <t>Hà Nội</t>
        </is>
      </c>
      <c r="G2792" s="10" t="inlineStr">
        <is>
          <t>12-03-2026</t>
        </is>
      </c>
      <c r="H2792" s="10" t="inlineStr">
        <is>
          <t>29/09/2025</t>
        </is>
      </c>
      <c r="I2792" s="10" t="inlineStr">
        <is>
          <t>17/03/2026</t>
        </is>
      </c>
      <c r="J2792" s="10" t="inlineStr">
        <is>
          <t>Bán hàng / Kinh doanh, Hành chính / Thư ký, Kế toán / Kiểm toán</t>
        </is>
      </c>
      <c r="K2792" s="10" t="inlineStr">
        <is>
          <t>2 - 3 Năm</t>
        </is>
      </c>
      <c r="L2792" s="11">
        <f>HYPERLINK("https://careerviet.vn/vi/tim-viec-lam/chuyen-vien-data-sale-admin.35C5451B.html","Xem chi tiết")</f>
        <v/>
      </c>
      <c r="M2792" s="10" t="n"/>
    </row>
    <row r="2793">
      <c r="B2793" s="7" t="n">
        <v>2791</v>
      </c>
      <c r="C2793" t="inlineStr">
        <is>
          <t>Nhân Viên Kinh Doanh Vải - Hà Nội</t>
        </is>
      </c>
      <c r="D2793" t="inlineStr">
        <is>
          <t>CT CP Tập Đoàn Thái Tuấn</t>
        </is>
      </c>
      <c r="E2793" t="inlineStr">
        <is>
          <t>Lương:10 Tr - 15 Tr VND</t>
        </is>
      </c>
      <c r="F2793" t="inlineStr">
        <is>
          <t>Hà Nội</t>
        </is>
      </c>
      <c r="G2793" t="inlineStr">
        <is>
          <t>11-04-2026</t>
        </is>
      </c>
      <c r="H2793" t="inlineStr">
        <is>
          <t>11/04/2026</t>
        </is>
      </c>
      <c r="I2793" t="inlineStr">
        <is>
          <t>17/03/2026</t>
        </is>
      </c>
      <c r="J2793" t="inlineStr">
        <is>
          <t>Bán lẻ / Bán sỉ, Bán hàng / Kinh doanh, Dệt may / Da giày / Thời trang</t>
        </is>
      </c>
      <c r="K2793" t="inlineStr">
        <is>
          <t>Chưa có kinh nghiệm</t>
        </is>
      </c>
      <c r="L2793" s="8">
        <f>HYPERLINK("https://careerviet.vn/vi/tim-viec-lam/nhan-vien-kinh-doanh-vai-ha-noi.35C6C4AD.html","Xem chi tiết")</f>
        <v/>
      </c>
    </row>
    <row r="2794">
      <c r="B2794" s="9" t="n">
        <v>2792</v>
      </c>
      <c r="C2794" s="10" t="inlineStr">
        <is>
          <t>TRƯỞNG BỘ PHẬN QA/QC</t>
        </is>
      </c>
      <c r="D2794" s="10" t="inlineStr">
        <is>
          <t>CÔNG TY CỔ PHẦN SẢN XUẤT VÀ BẢO DƯỠNG THIẾT BỊ HÀNG KHÔNG</t>
        </is>
      </c>
      <c r="E2794" s="10" t="inlineStr">
        <is>
          <t>Lương:Cạnh tranh</t>
        </is>
      </c>
      <c r="F2794" s="10" t="inlineStr">
        <is>
          <t>Đồng NaiKiên Giang</t>
        </is>
      </c>
      <c r="G2794" s="10" t="inlineStr">
        <is>
          <t>25-04-2026</t>
        </is>
      </c>
      <c r="H2794" s="10" t="inlineStr">
        <is>
          <t>25/04/2026</t>
        </is>
      </c>
      <c r="I2794" s="10" t="inlineStr">
        <is>
          <t>17/03/2026</t>
        </is>
      </c>
      <c r="J2794" s="10" t="inlineStr">
        <is>
          <t>Quản lý chất lượng (QA/QC)</t>
        </is>
      </c>
      <c r="K2794" s="10" t="inlineStr">
        <is>
          <t>Trên 5 Năm</t>
        </is>
      </c>
      <c r="L2794" s="11">
        <f>HYPERLINK("https://careerviet.vn/vi/tim-viec-lam/truong-bo-phan-qa-qc.35C6C3F4.html","Xem chi tiết")</f>
        <v/>
      </c>
      <c r="M2794" s="10" t="n"/>
    </row>
    <row r="2795">
      <c r="B2795" s="7" t="n">
        <v>2793</v>
      </c>
      <c r="C2795" t="inlineStr">
        <is>
          <t>Giám Sát QA</t>
        </is>
      </c>
      <c r="D2795" t="inlineStr">
        <is>
          <t>CÔNG TY CỔ PHẦN CHẾ BIẾN THỰC PHẨM HOÀNG SƠN</t>
        </is>
      </c>
      <c r="E2795" t="inlineStr">
        <is>
          <t>Lương:Cạnh tranh</t>
        </is>
      </c>
      <c r="F2795" t="inlineStr">
        <is>
          <t>Bình Dương</t>
        </is>
      </c>
      <c r="G2795" t="inlineStr">
        <is>
          <t>30-04-2026</t>
        </is>
      </c>
      <c r="H2795" t="inlineStr">
        <is>
          <t>30/04/2026</t>
        </is>
      </c>
      <c r="I2795" t="inlineStr">
        <is>
          <t>17/03/2026</t>
        </is>
      </c>
      <c r="J2795" t="inlineStr">
        <is>
          <t>Công nghệ thực phẩm / Dinh dưỡng, Sản xuất / Vận hành sản xuất, Quản lý chất lượng (QA/QC)</t>
        </is>
      </c>
      <c r="K2795" t="inlineStr">
        <is>
          <t>2 - 5 Năm</t>
        </is>
      </c>
      <c r="L2795" s="8">
        <f>HYPERLINK("https://careerviet.vn/vi/tim-viec-lam/giam-sat-qa.35C6C489.html","Xem chi tiết")</f>
        <v/>
      </c>
    </row>
    <row r="2796">
      <c r="B2796" s="9" t="n">
        <v>2794</v>
      </c>
      <c r="C2796" s="10" t="inlineStr">
        <is>
          <t>PHÓ GIÁM ĐỐC PHÁP LÝ DỰ ÁN</t>
        </is>
      </c>
      <c r="D2796" s="10" t="inlineStr">
        <is>
          <t>Công Ty Cổ Phần Tập Đoàn Đầu Tư Địa Ốc No Va</t>
        </is>
      </c>
      <c r="E2796" s="10" t="inlineStr">
        <is>
          <t>Lương:Cạnh tranh</t>
        </is>
      </c>
      <c r="F2796" s="10" t="inlineStr">
        <is>
          <t>Hồ Chí Minh</t>
        </is>
      </c>
      <c r="G2796" s="10" t="inlineStr">
        <is>
          <t>12-04-2026</t>
        </is>
      </c>
      <c r="H2796" s="10" t="inlineStr">
        <is>
          <t>12/04/2026</t>
        </is>
      </c>
      <c r="I2796" s="10" t="inlineStr">
        <is>
          <t>17/03/2026</t>
        </is>
      </c>
      <c r="J2796" s="10" t="inlineStr">
        <is>
          <t>Luật / Pháp lý, Bất động sản</t>
        </is>
      </c>
      <c r="K2796" s="10" t="inlineStr">
        <is>
          <t>10 - 20 Năm</t>
        </is>
      </c>
      <c r="L2796" s="11">
        <f>HYPERLINK("https://careerviet.vn/vi/tim-viec-lam/pho-giam-doc-phap-ly-du-an.35C6C470.html","Xem chi tiết")</f>
        <v/>
      </c>
      <c r="M2796" s="10" t="n"/>
    </row>
    <row r="2797">
      <c r="B2797" s="7" t="n">
        <v>2795</v>
      </c>
      <c r="C2797" t="inlineStr">
        <is>
          <t>Nhân viên bán hàng tại Thành phố Thái Nguyên</t>
        </is>
      </c>
      <c r="D2797" t="inlineStr">
        <is>
          <t>Công Ty TNHH T.M.G</t>
        </is>
      </c>
      <c r="E2797" t="inlineStr">
        <is>
          <t>Lương:6,0 Tr - 6,9 Tr VND</t>
        </is>
      </c>
      <c r="F2797" t="inlineStr">
        <is>
          <t>Thái Nguyên</t>
        </is>
      </c>
      <c r="G2797" t="inlineStr">
        <is>
          <t>28-04-2026</t>
        </is>
      </c>
      <c r="H2797" t="inlineStr">
        <is>
          <t>28/04/2026</t>
        </is>
      </c>
      <c r="I2797" t="inlineStr">
        <is>
          <t>17/03/2026</t>
        </is>
      </c>
      <c r="J2797" t="inlineStr">
        <is>
          <t>Bán hàng / Kinh doanh</t>
        </is>
      </c>
      <c r="K2797" t="inlineStr">
        <is>
          <t>N/A</t>
        </is>
      </c>
      <c r="L2797" s="8">
        <f>HYPERLINK("https://careerviet.vn/vi/tim-viec-lam/nhan-vien-ban-hang-tai-thanh-pho-thai-nguyen.35C69B61.html","Xem chi tiết")</f>
        <v/>
      </c>
    </row>
    <row r="2798">
      <c r="B2798" s="9" t="n">
        <v>2796</v>
      </c>
      <c r="C2798" s="10" t="inlineStr">
        <is>
          <t>Senior Post Production Editor (Show)</t>
        </is>
      </c>
      <c r="D2798" s="10" t="inlineStr">
        <is>
          <t>DatVietVAC Group Holdings</t>
        </is>
      </c>
      <c r="E2798" s="10" t="inlineStr">
        <is>
          <t>Lương:Cạnh tranh</t>
        </is>
      </c>
      <c r="F2798" s="10" t="inlineStr">
        <is>
          <t>Hồ Chí Minh</t>
        </is>
      </c>
      <c r="G2798" s="10" t="inlineStr">
        <is>
          <t>31-03-2026</t>
        </is>
      </c>
      <c r="H2798" s="10" t="inlineStr">
        <is>
          <t>31/03/2026</t>
        </is>
      </c>
      <c r="I2798" s="10" t="inlineStr">
        <is>
          <t>17/03/2026</t>
        </is>
      </c>
      <c r="J2798" s="10" t="inlineStr">
        <is>
          <t>Giải trí, Quảng cáo / Đối ngoại / Truyền Thông, Truyền hình / Báo chí / Biên tập</t>
        </is>
      </c>
      <c r="K2798" s="10" t="inlineStr">
        <is>
          <t>Trên 4 Năm</t>
        </is>
      </c>
      <c r="L2798" s="11">
        <f>HYPERLINK("https://careerviet.vn/vi/tim-viec-lam/senior-post-production-editor-show.35C69AFD.html","Xem chi tiết")</f>
        <v/>
      </c>
      <c r="M2798" s="10" t="n"/>
    </row>
    <row r="2799">
      <c r="B2799" s="7" t="n">
        <v>2797</v>
      </c>
      <c r="C2799" t="inlineStr">
        <is>
          <t>Chuyên Viên Nhân Sự Tổng Hợp</t>
        </is>
      </c>
      <c r="D2799" t="inlineStr">
        <is>
          <t>TNHH Ezbook Việt Nam</t>
        </is>
      </c>
      <c r="E2799" t="inlineStr">
        <is>
          <t>Lương:Cạnh tranh</t>
        </is>
      </c>
      <c r="F2799" t="inlineStr">
        <is>
          <t>Hồ Chí Minh</t>
        </is>
      </c>
      <c r="G2799" t="inlineStr">
        <is>
          <t>03-04-2026</t>
        </is>
      </c>
      <c r="H2799" t="inlineStr">
        <is>
          <t>03/04/2026</t>
        </is>
      </c>
      <c r="I2799" t="inlineStr">
        <is>
          <t>17/03/2026</t>
        </is>
      </c>
      <c r="J2799" t="inlineStr">
        <is>
          <t>Nhân sự, Hành chính / Thư ký, Du lịch</t>
        </is>
      </c>
      <c r="K2799" t="inlineStr">
        <is>
          <t>Không yêu cầu kinh nghiệm</t>
        </is>
      </c>
      <c r="L2799" s="8">
        <f>HYPERLINK("https://careerviet.vn/vi/tim-viec-lam/chuyen-vien-nhan-su-tong-hop.35C6A89E.html","Xem chi tiết")</f>
        <v/>
      </c>
    </row>
    <row r="2800">
      <c r="B2800" s="9" t="n">
        <v>2798</v>
      </c>
      <c r="C2800" s="10" t="inlineStr">
        <is>
          <t>KỸ SƯ ĐIỆN M&amp;E</t>
        </is>
      </c>
      <c r="D2800" s="10" t="inlineStr">
        <is>
          <t>CÔNG TY CỔ PHẦN SẢN XUẤT VÀ BẢO DƯỠNG THIẾT BỊ HÀNG KHÔNG</t>
        </is>
      </c>
      <c r="E2800" s="10" t="inlineStr">
        <is>
          <t>Lương:Cạnh tranh</t>
        </is>
      </c>
      <c r="F2800" s="10" t="inlineStr">
        <is>
          <t>Đồng NaiHải PhòngHà Nội</t>
        </is>
      </c>
      <c r="G2800" s="10" t="inlineStr">
        <is>
          <t>25-04-2026</t>
        </is>
      </c>
      <c r="H2800" s="10" t="inlineStr">
        <is>
          <t>25/04/2026</t>
        </is>
      </c>
      <c r="I2800" s="10" t="inlineStr">
        <is>
          <t>17/03/2026</t>
        </is>
      </c>
      <c r="J2800" s="10" t="inlineStr">
        <is>
          <t>Điện / Điện tử / Điện lạnh / Điện công nghiệp, Cơ khí / Ô tô / Tự động hóa, Bảo trì / Sửa chữa</t>
        </is>
      </c>
      <c r="K2800" s="10" t="inlineStr">
        <is>
          <t>Trên 1 Năm</t>
        </is>
      </c>
      <c r="L2800" s="11">
        <f>HYPERLINK("https://careerviet.vn/vi/tim-viec-lam/ky-su-dien-m-e.35C6C3CD.html","Xem chi tiết")</f>
        <v/>
      </c>
      <c r="M2800" s="10" t="n"/>
    </row>
    <row r="2801">
      <c r="B2801" s="7" t="n">
        <v>2799</v>
      </c>
      <c r="C2801" t="inlineStr">
        <is>
          <t>Kỹ Sư Ballast – Chuyên Ngành Kỹ Thuật Tàu Thủy</t>
        </is>
      </c>
      <c r="D2801" t="inlineStr">
        <is>
          <t>PRECIOUS PRESTIGE TRADING AND LOGISTICS</t>
        </is>
      </c>
      <c r="E2801" t="inlineStr">
        <is>
          <t>Lương:Cạnh tranh</t>
        </is>
      </c>
      <c r="F2801" t="inlineStr">
        <is>
          <t>Hồ Chí Minh</t>
        </is>
      </c>
      <c r="G2801" t="inlineStr">
        <is>
          <t>12-04-2026</t>
        </is>
      </c>
      <c r="H2801" t="inlineStr">
        <is>
          <t>12/04/2026</t>
        </is>
      </c>
      <c r="I2801" t="inlineStr">
        <is>
          <t>17/03/2026</t>
        </is>
      </c>
      <c r="J2801" t="inlineStr">
        <is>
          <t>Hàng hải, Cơ khí / Ô tô / Tự động hóa, Vận chuyển / Giao nhận / Kho vận</t>
        </is>
      </c>
      <c r="K2801" t="inlineStr">
        <is>
          <t>N/A</t>
        </is>
      </c>
      <c r="L2801" s="8">
        <f>HYPERLINK("https://careerviet.vn/vi/tim-viec-lam/ky-su-ballast-chuyen-nganh-ky-thuat-tau-thuy.35C6C42B.html","Xem chi tiết")</f>
        <v/>
      </c>
    </row>
    <row r="2802">
      <c r="B2802" s="9" t="n">
        <v>2800</v>
      </c>
      <c r="C2802" s="10" t="inlineStr">
        <is>
          <t>Quản Lý Sợi</t>
        </is>
      </c>
      <c r="D2802" s="10" t="inlineStr">
        <is>
          <t>Công ty CP TCE VINA DENIM</t>
        </is>
      </c>
      <c r="E2802" s="10" t="inlineStr">
        <is>
          <t>Lương:Trên 20 Tr VND</t>
        </is>
      </c>
      <c r="F2802" s="10" t="inlineStr">
        <is>
          <t>Nam ĐịnhHà NamNinh Bình</t>
        </is>
      </c>
      <c r="G2802" s="10" t="inlineStr">
        <is>
          <t>25-03-2026</t>
        </is>
      </c>
      <c r="H2802" s="10" t="inlineStr">
        <is>
          <t>25/03/2026</t>
        </is>
      </c>
      <c r="I2802" s="10" t="inlineStr">
        <is>
          <t>17/03/2026</t>
        </is>
      </c>
      <c r="J2802" s="10" t="inlineStr">
        <is>
          <t>Quản lý điều hành, Sản xuất / Vận hành sản xuất, Dệt may / Da giày / Thời trang</t>
        </is>
      </c>
      <c r="K2802" s="10" t="inlineStr">
        <is>
          <t>N/A</t>
        </is>
      </c>
      <c r="L2802" s="11">
        <f>HYPERLINK("https://careerviet.vn/vi/tim-viec-lam/quan-ly-soi.35C69A65.html","Xem chi tiết")</f>
        <v/>
      </c>
      <c r="M2802" s="10" t="n"/>
    </row>
    <row r="2803">
      <c r="B2803" s="7" t="n">
        <v>2801</v>
      </c>
      <c r="C2803" t="inlineStr">
        <is>
          <t>CHỈ HUY TRƯỞNG PHỤ TRÁCH KỸ THUẬT DỰ ÁN (Thiết bị - Cơ - Điện - IT)</t>
        </is>
      </c>
      <c r="D2803" t="inlineStr">
        <is>
          <t>CÔNG TY CỔ PHẦN SẢN XUẤT VÀ BẢO DƯỠNG THIẾT BỊ HÀNG KHÔNG</t>
        </is>
      </c>
      <c r="E2803" t="inlineStr">
        <is>
          <t>Lương:Cạnh tranh</t>
        </is>
      </c>
      <c r="F2803" t="inlineStr">
        <is>
          <t>Kiên Giang</t>
        </is>
      </c>
      <c r="G2803" t="inlineStr">
        <is>
          <t>25-04-2026</t>
        </is>
      </c>
      <c r="H2803" t="inlineStr">
        <is>
          <t>25/04/2026</t>
        </is>
      </c>
      <c r="I2803" t="inlineStr">
        <is>
          <t>17/03/2026</t>
        </is>
      </c>
      <c r="J2803" t="inlineStr">
        <is>
          <t>Cơ khí / Ô tô / Tự động hóa, Điện / Điện tử / Điện lạnh / Điện công nghiệp, Bảo trì / Sửa chữa</t>
        </is>
      </c>
      <c r="K2803" t="inlineStr">
        <is>
          <t>Trên 5 Năm</t>
        </is>
      </c>
      <c r="L2803" s="8">
        <f>HYPERLINK("https://careerviet.vn/vi/tim-viec-lam/chi-huy-truong-phu-trach-ky-thuat-du-an-thiet-bi-co-dien-it.35C6C343.html","Xem chi tiết")</f>
        <v/>
      </c>
    </row>
    <row r="2804">
      <c r="B2804" s="9" t="n">
        <v>2802</v>
      </c>
      <c r="C2804" s="10" t="inlineStr">
        <is>
          <t>Chuyên Viên Kinh Doanh Bất Động Sản</t>
        </is>
      </c>
      <c r="D2804" s="10" t="inlineStr">
        <is>
          <t>CÔNG TY CỔ PHẦN EUROWINDOW HOLDING</t>
        </is>
      </c>
      <c r="E2804" s="10" t="inlineStr">
        <is>
          <t>Lương:Cạnh tranh</t>
        </is>
      </c>
      <c r="F2804" s="10" t="inlineStr">
        <is>
          <t>Hà Nội</t>
        </is>
      </c>
      <c r="G2804" s="10" t="inlineStr">
        <is>
          <t>31-03-2026</t>
        </is>
      </c>
      <c r="H2804" s="10" t="inlineStr">
        <is>
          <t>31/03/2026</t>
        </is>
      </c>
      <c r="I2804" s="10" t="inlineStr">
        <is>
          <t>17/03/2026</t>
        </is>
      </c>
      <c r="J2804" s="10" t="inlineStr">
        <is>
          <t>Bán hàng / Kinh doanh, Bất động sản</t>
        </is>
      </c>
      <c r="K2804" s="10" t="inlineStr">
        <is>
          <t>1 - 5 Năm</t>
        </is>
      </c>
      <c r="L2804" s="11">
        <f>HYPERLINK("https://careerviet.vn/vi/tim-viec-lam/chuyen-vien-kinh-doanh-bat-dong-san.35C69B30.html","Xem chi tiết")</f>
        <v/>
      </c>
      <c r="M2804" s="10" t="n"/>
    </row>
    <row r="2805">
      <c r="B2805" s="7" t="n">
        <v>2803</v>
      </c>
      <c r="C2805" t="inlineStr">
        <is>
          <t>Chuyên Viên Vận Hành Hệ Thống Phụ Trợ (Utility)</t>
        </is>
      </c>
      <c r="D2805" t="inlineStr">
        <is>
          <t>Masan Consumer</t>
        </is>
      </c>
      <c r="E2805" t="inlineStr">
        <is>
          <t>Lương:11 Tr - 14 Tr VND</t>
        </is>
      </c>
      <c r="F2805" t="inlineStr">
        <is>
          <t>Đồng Nai</t>
        </is>
      </c>
      <c r="G2805" t="inlineStr">
        <is>
          <t>31-03-2026</t>
        </is>
      </c>
      <c r="H2805" t="inlineStr">
        <is>
          <t>31/03/2026</t>
        </is>
      </c>
      <c r="I2805" t="inlineStr">
        <is>
          <t>17/03/2026</t>
        </is>
      </c>
      <c r="J2805" t="inlineStr">
        <is>
          <t>Môi trường, Bảo trì / Sửa chữa, Sản xuất / Vận hành sản xuất</t>
        </is>
      </c>
      <c r="K2805" t="inlineStr">
        <is>
          <t>2 - 3 Năm</t>
        </is>
      </c>
      <c r="L2805" s="8">
        <f>HYPERLINK("https://careerviet.vn/vi/tim-viec-lam/chuyen-vien-van-hanh-he-thong-phu-tro-utility.35C69B68.html","Xem chi tiết")</f>
        <v/>
      </c>
    </row>
    <row r="2806">
      <c r="B2806" s="9" t="n">
        <v>2804</v>
      </c>
      <c r="C2806" s="10" t="inlineStr">
        <is>
          <t>DevOps</t>
        </is>
      </c>
      <c r="D2806" s="10" t="inlineStr">
        <is>
          <t>CÔNG TY CỔ PHẦN DƯỢC PHẨM FPT LONG CHÂU</t>
        </is>
      </c>
      <c r="E2806" s="10" t="inlineStr">
        <is>
          <t>Lương:Cạnh tranh</t>
        </is>
      </c>
      <c r="F2806" s="10" t="inlineStr">
        <is>
          <t>Hồ Chí Minh</t>
        </is>
      </c>
      <c r="G2806" s="10" t="inlineStr">
        <is>
          <t>25-03-2026</t>
        </is>
      </c>
      <c r="H2806" s="10" t="inlineStr">
        <is>
          <t>25/03/2026</t>
        </is>
      </c>
      <c r="I2806" s="10" t="inlineStr">
        <is>
          <t>17/03/2026</t>
        </is>
      </c>
      <c r="J2806" s="10" t="inlineStr">
        <is>
          <t>Bán hàng / Kinh doanh, Y tế / Chăm sóc sức khỏe / Thẩm mỹ / Làm đẹp, CNTT - Phần mềm</t>
        </is>
      </c>
      <c r="K2806" s="10" t="inlineStr">
        <is>
          <t>3 - 5 Năm</t>
        </is>
      </c>
      <c r="L2806" s="11">
        <f>HYPERLINK("https://careerviet.vn/vi/tim-viec-lam/devops.35C69C56.html","Xem chi tiết")</f>
        <v/>
      </c>
      <c r="M2806" s="10" t="n"/>
    </row>
    <row r="2807">
      <c r="B2807" s="7" t="n">
        <v>2805</v>
      </c>
      <c r="C2807" t="inlineStr">
        <is>
          <t>Kỹ Sư Quy Trình Sản Xuất (Hà Nam)</t>
        </is>
      </c>
      <c r="D2807" t="inlineStr">
        <is>
          <t>Công ty Cổ phần Casla</t>
        </is>
      </c>
      <c r="E2807" t="inlineStr">
        <is>
          <t>Lương:20 Tr - 30 Tr VND</t>
        </is>
      </c>
      <c r="F2807" t="inlineStr">
        <is>
          <t>Hà NộiHà Nam</t>
        </is>
      </c>
      <c r="G2807" t="inlineStr">
        <is>
          <t>31-03-2026</t>
        </is>
      </c>
      <c r="H2807" t="inlineStr">
        <is>
          <t>31/03/2026</t>
        </is>
      </c>
      <c r="I2807" t="inlineStr">
        <is>
          <t>17/03/2026</t>
        </is>
      </c>
      <c r="J2807" t="inlineStr">
        <is>
          <t>Cơ khí / Ô tô / Tự động hóa, Hóa học, Sản xuất / Vận hành sản xuất</t>
        </is>
      </c>
      <c r="K2807" t="inlineStr">
        <is>
          <t>3 - 15 Năm</t>
        </is>
      </c>
      <c r="L2807" s="8">
        <f>HYPERLINK("https://careerviet.vn/vi/tim-viec-lam/ky-su-quy-trinh-san-xuat-ha-nam.35C69A71.html","Xem chi tiết")</f>
        <v/>
      </c>
    </row>
    <row r="2808">
      <c r="B2808" s="9" t="n">
        <v>2806</v>
      </c>
      <c r="C2808" s="10" t="inlineStr">
        <is>
          <t>[JHC0037607] ACCOUNTING SUPERVISOR</t>
        </is>
      </c>
      <c r="D2808" s="10" t="inlineStr">
        <is>
          <t>Iconic Co.,Ltd</t>
        </is>
      </c>
      <c r="E2808" s="10" t="inlineStr">
        <is>
          <t>Lương:900 - 1.200 USD</t>
        </is>
      </c>
      <c r="F2808" s="10" t="inlineStr">
        <is>
          <t>Bình Dương</t>
        </is>
      </c>
      <c r="G2808" s="10" t="inlineStr">
        <is>
          <t>26-03-2026</t>
        </is>
      </c>
      <c r="H2808" s="10" t="inlineStr">
        <is>
          <t>26/03/2026</t>
        </is>
      </c>
      <c r="I2808" s="10" t="inlineStr">
        <is>
          <t>17/03/2026</t>
        </is>
      </c>
      <c r="J2808" s="10" t="inlineStr">
        <is>
          <t>Kế toán / Kiểm toán</t>
        </is>
      </c>
      <c r="K2808" s="10" t="inlineStr">
        <is>
          <t>Trên 4 Năm</t>
        </is>
      </c>
      <c r="L2808" s="11">
        <f>HYPERLINK("https://careerviet.vn/vi/tim-viec-lam/jhc0037607-accounting-supervisor.35C69BE5.html","Xem chi tiết")</f>
        <v/>
      </c>
      <c r="M2808" s="10" t="n"/>
    </row>
    <row r="2809">
      <c r="B2809" s="7" t="n">
        <v>2807</v>
      </c>
      <c r="C2809" t="inlineStr">
        <is>
          <t>Chuyên viên phân tích nghiệp vụ Business Analyst (BA)</t>
        </is>
      </c>
      <c r="D2809" t="inlineStr">
        <is>
          <t>Chương trình Học viện Công nghệ BKACAD</t>
        </is>
      </c>
      <c r="E2809" t="inlineStr">
        <is>
          <t>Lương:15 Tr - 25 Tr VND</t>
        </is>
      </c>
      <c r="F2809" t="inlineStr">
        <is>
          <t>Hà Nội</t>
        </is>
      </c>
      <c r="G2809" t="inlineStr">
        <is>
          <t>25-03-2026</t>
        </is>
      </c>
      <c r="H2809" t="inlineStr">
        <is>
          <t>25/03/2026</t>
        </is>
      </c>
      <c r="I2809" t="inlineStr">
        <is>
          <t>17/03/2026</t>
        </is>
      </c>
      <c r="J2809" t="inlineStr">
        <is>
          <t>Dịch vụ khách hàng, CNTT - Phần mềm, CNTT - Phần cứng / Mạng</t>
        </is>
      </c>
      <c r="K2809" t="inlineStr">
        <is>
          <t>2 - 5 Năm</t>
        </is>
      </c>
      <c r="L2809" s="8">
        <f>HYPERLINK("https://careerviet.vn/vi/tim-viec-lam/chuyen-vien-phan-tich-nghiep-vu-business-analyst-ba.35C69CBE.html","Xem chi tiết")</f>
        <v/>
      </c>
    </row>
    <row r="2810">
      <c r="B2810" s="9" t="n">
        <v>2808</v>
      </c>
      <c r="C2810" s="10" t="inlineStr">
        <is>
          <t>Nhân Viên Kho Vận - Ưu Tiên Nam</t>
        </is>
      </c>
      <c r="D2810" s="10" t="inlineStr">
        <is>
          <t>CÔNG TY TNHH CARE FOR VIỆT NAM</t>
        </is>
      </c>
      <c r="E2810" s="10" t="inlineStr">
        <is>
          <t>Lương:10 Tr - 15 Tr VND</t>
        </is>
      </c>
      <c r="F2810" s="10" t="inlineStr">
        <is>
          <t>Hồ Chí Minh</t>
        </is>
      </c>
      <c r="G2810" s="10" t="inlineStr">
        <is>
          <t>31-03-2026</t>
        </is>
      </c>
      <c r="H2810" s="10" t="inlineStr">
        <is>
          <t>31/03/2026</t>
        </is>
      </c>
      <c r="I2810" s="10" t="inlineStr">
        <is>
          <t>17/03/2026</t>
        </is>
      </c>
      <c r="J2810" s="10" t="inlineStr">
        <is>
          <t>Bán lẻ / Bán sỉ, Bán hàng / Kinh doanh, Kế toán / Kiểm toán</t>
        </is>
      </c>
      <c r="K2810" s="10" t="inlineStr">
        <is>
          <t>1 - 3 Năm</t>
        </is>
      </c>
      <c r="L2810" s="11">
        <f>HYPERLINK("https://careerviet.vn/vi/tim-viec-lam/nhan-vien-kho-van-uu-tien-nam.35C699DE.html","Xem chi tiết")</f>
        <v/>
      </c>
      <c r="M2810" s="10" t="n"/>
    </row>
    <row r="2811">
      <c r="B2811" s="7" t="n">
        <v>2809</v>
      </c>
      <c r="C2811" t="inlineStr">
        <is>
          <t>Chuyên viên Công nghệ</t>
        </is>
      </c>
      <c r="D2811" t="inlineStr">
        <is>
          <t>CÔNG TY CP BIA &amp; NGK HẠ LONG</t>
        </is>
      </c>
      <c r="E2811" t="inlineStr">
        <is>
          <t>Lương:15 Tr - 25 Tr VND</t>
        </is>
      </c>
      <c r="F2811" t="inlineStr">
        <is>
          <t>Quảng Ninh</t>
        </is>
      </c>
      <c r="G2811" t="inlineStr">
        <is>
          <t>31-03-2026</t>
        </is>
      </c>
      <c r="H2811" t="inlineStr">
        <is>
          <t>31/03/2026</t>
        </is>
      </c>
      <c r="I2811" t="inlineStr">
        <is>
          <t>17/03/2026</t>
        </is>
      </c>
      <c r="J2811" t="inlineStr">
        <is>
          <t>Hóa học, Thực phẩm &amp; Đồ uống, Công nghệ thực phẩm / Dinh dưỡng</t>
        </is>
      </c>
      <c r="K2811" t="inlineStr">
        <is>
          <t>3 - 5 Năm</t>
        </is>
      </c>
      <c r="L2811" s="8">
        <f>HYPERLINK("https://careerviet.vn/vi/tim-viec-lam/chuyen-vien-cong-nghe.35C69B91.html","Xem chi tiết")</f>
        <v/>
      </c>
    </row>
    <row r="2812">
      <c r="B2812" s="9" t="n">
        <v>2810</v>
      </c>
      <c r="C2812" s="10" t="inlineStr">
        <is>
          <t>Kỹ Sư QA/QC (làm việc tại văn phòng công ty)</t>
        </is>
      </c>
      <c r="D2812" s="10" t="inlineStr">
        <is>
          <t>Công Ty Cổ Phần Xây Dựng Công Trình Tây Hồ</t>
        </is>
      </c>
      <c r="E2812" s="10" t="inlineStr">
        <is>
          <t>Lương:Cạnh tranh</t>
        </is>
      </c>
      <c r="F2812" s="10" t="inlineStr">
        <is>
          <t>Hồ Chí MinhĐồng NaiBình Dương</t>
        </is>
      </c>
      <c r="G2812" s="10" t="inlineStr">
        <is>
          <t>26-03-2026</t>
        </is>
      </c>
      <c r="H2812" s="10" t="inlineStr">
        <is>
          <t>26/03/2026</t>
        </is>
      </c>
      <c r="I2812" s="10" t="inlineStr">
        <is>
          <t>17/03/2026</t>
        </is>
      </c>
      <c r="J2812" s="10" t="inlineStr">
        <is>
          <t>Xây dựng, Kiến trúc, Bất động sản</t>
        </is>
      </c>
      <c r="K2812" s="10" t="inlineStr">
        <is>
          <t>Trên 3 Năm</t>
        </is>
      </c>
      <c r="L2812" s="11">
        <f>HYPERLINK("https://careerviet.vn/vi/tim-viec-lam/ky-su-qa-qc-lam-viec-tai-van-phong-cong-ty.35C69C66.html","Xem chi tiết")</f>
        <v/>
      </c>
      <c r="M2812" s="10" t="n"/>
    </row>
    <row r="2813">
      <c r="B2813" s="7" t="n">
        <v>2811</v>
      </c>
      <c r="C2813" t="inlineStr">
        <is>
          <t>NHÂN VIÊN MÀI ĐẾ GIÀY</t>
        </is>
      </c>
      <c r="D2813" t="inlineStr">
        <is>
          <t>CÔNG TY TNHH POUYUEN VIỆT NAM</t>
        </is>
      </c>
      <c r="E2813" t="inlineStr">
        <is>
          <t>Lương:Cạnh tranh</t>
        </is>
      </c>
      <c r="F2813" t="inlineStr">
        <is>
          <t>Hồ Chí Minh</t>
        </is>
      </c>
      <c r="G2813" t="inlineStr">
        <is>
          <t>31-03-2026</t>
        </is>
      </c>
      <c r="H2813" t="inlineStr">
        <is>
          <t>31/03/2026</t>
        </is>
      </c>
      <c r="I2813" t="inlineStr">
        <is>
          <t>17/03/2026</t>
        </is>
      </c>
      <c r="J2813" t="inlineStr">
        <is>
          <t>Sản xuất / Vận hành sản xuất, Dệt may / Da giày / Thời trang, Lao động phổ thông</t>
        </is>
      </c>
      <c r="K2813" t="inlineStr">
        <is>
          <t>N/A</t>
        </is>
      </c>
      <c r="L2813" s="8">
        <f>HYPERLINK("https://careerviet.vn/vi/tim-viec-lam/nhan-vien-mai-de-giay.35C69AC8.html","Xem chi tiết")</f>
        <v/>
      </c>
    </row>
    <row r="2814">
      <c r="B2814" s="9" t="n">
        <v>2812</v>
      </c>
      <c r="C2814" s="10" t="inlineStr">
        <is>
          <t>Chuyên Viên Kỹ Thuật (Đứng Máy Tiện CNC)</t>
        </is>
      </c>
      <c r="D2814" s="10" t="inlineStr">
        <is>
          <t>CÔNG TY TNHH BAUD VIETNAM</t>
        </is>
      </c>
      <c r="E2814" s="10" t="inlineStr">
        <is>
          <t>Lương:12 Tr - 17 Tr VND</t>
        </is>
      </c>
      <c r="F2814" s="10" t="inlineStr">
        <is>
          <t>Bình DươngHồ Chí Minh</t>
        </is>
      </c>
      <c r="G2814" s="10" t="inlineStr">
        <is>
          <t>26-03-2026</t>
        </is>
      </c>
      <c r="H2814" s="10" t="inlineStr">
        <is>
          <t>26/03/2026</t>
        </is>
      </c>
      <c r="I2814" s="10" t="inlineStr">
        <is>
          <t>17/03/2026</t>
        </is>
      </c>
      <c r="J2814" s="10" t="inlineStr">
        <is>
          <t>Cơ khí / Ô tô / Tự động hóa, Điện / Điện tử / Điện lạnh / Điện công nghiệp, Sản xuất / Vận hành sản xuất</t>
        </is>
      </c>
      <c r="K2814" s="10" t="inlineStr">
        <is>
          <t>2 - 4 Năm</t>
        </is>
      </c>
      <c r="L2814" s="11">
        <f>HYPERLINK("https://careerviet.vn/vi/tim-viec-lam/chuyen-vien-ky-thuat-dung-may-tien-cnc.35C69BD7.html","Xem chi tiết")</f>
        <v/>
      </c>
      <c r="M2814" s="10" t="n"/>
    </row>
    <row r="2815">
      <c r="B2815" s="7" t="n">
        <v>2813</v>
      </c>
      <c r="C2815" t="inlineStr">
        <is>
          <t>Internal Audit Manager</t>
        </is>
      </c>
      <c r="D2815" t="inlineStr">
        <is>
          <t>HD SAISON Finance Co., Ltd</t>
        </is>
      </c>
      <c r="E2815" t="inlineStr">
        <is>
          <t>Lương:Cạnh tranh</t>
        </is>
      </c>
      <c r="F2815" t="inlineStr">
        <is>
          <t>Hồ Chí Minh</t>
        </is>
      </c>
      <c r="G2815" t="inlineStr">
        <is>
          <t>31-03-2026</t>
        </is>
      </c>
      <c r="H2815" t="inlineStr">
        <is>
          <t>31/03/2026</t>
        </is>
      </c>
      <c r="I2815" t="inlineStr">
        <is>
          <t>17/03/2026</t>
        </is>
      </c>
      <c r="J2815" t="inlineStr">
        <is>
          <t>Tài chính / Đầu tư, Luật / Pháp lý, Kế toán / Kiểm toán</t>
        </is>
      </c>
      <c r="K2815" t="inlineStr">
        <is>
          <t>5 - 7 Năm</t>
        </is>
      </c>
      <c r="L2815" s="8">
        <f>HYPERLINK("https://careerviet.vn/vi/tim-viec-lam/internal-audit-manager.35C69AF1.html","Xem chi tiết")</f>
        <v/>
      </c>
    </row>
    <row r="2816">
      <c r="B2816" s="9" t="n">
        <v>2814</v>
      </c>
      <c r="C2816" s="10" t="inlineStr">
        <is>
          <t>Tổ trưởng sản xuất (Nam, Làm việc tại Hà Nam)</t>
        </is>
      </c>
      <c r="D2816" s="10" t="inlineStr">
        <is>
          <t>Công ty Cổ phần Casla</t>
        </is>
      </c>
      <c r="E2816" s="10" t="inlineStr">
        <is>
          <t>Lương:19 Tr - 22 Tr VND</t>
        </is>
      </c>
      <c r="F2816" s="10" t="inlineStr">
        <is>
          <t>Hà Nội</t>
        </is>
      </c>
      <c r="G2816" s="10" t="inlineStr">
        <is>
          <t>31-03-2026</t>
        </is>
      </c>
      <c r="H2816" s="10" t="inlineStr">
        <is>
          <t>31/03/2026</t>
        </is>
      </c>
      <c r="I2816" s="10" t="inlineStr">
        <is>
          <t>17/03/2026</t>
        </is>
      </c>
      <c r="J2816" s="10" t="inlineStr">
        <is>
          <t>Cơ khí / Ô tô / Tự động hóa, Sản xuất / Vận hành sản xuất, Điện / Điện tử / Điện lạnh / Điện công nghiệp</t>
        </is>
      </c>
      <c r="K2816" s="10" t="inlineStr">
        <is>
          <t>5 - 15 Năm</t>
        </is>
      </c>
      <c r="L2816" s="11">
        <f>HYPERLINK("https://careerviet.vn/vi/tim-viec-lam/to-truong-san-xuat-nam-lam-viec-tai-ha-nam.35C69A72.html","Xem chi tiết")</f>
        <v/>
      </c>
      <c r="M2816" s="10" t="n"/>
    </row>
    <row r="2817">
      <c r="B2817" s="7" t="n">
        <v>2815</v>
      </c>
      <c r="C2817" t="inlineStr">
        <is>
          <t>Studio Director/ Giám Đốc Thiết Kế</t>
        </is>
      </c>
      <c r="D2817" t="inlineStr">
        <is>
          <t>CÔNG TY TNHH THIẾT KẾ HPA &amp; PARTNERS (VIÊT NAM)</t>
        </is>
      </c>
      <c r="E2817" t="inlineStr">
        <is>
          <t>Lương:Cạnh tranh</t>
        </is>
      </c>
      <c r="F2817" t="inlineStr">
        <is>
          <t>Hồ Chí Minh</t>
        </is>
      </c>
      <c r="G2817" t="inlineStr">
        <is>
          <t>26-03-2026</t>
        </is>
      </c>
      <c r="H2817" t="inlineStr">
        <is>
          <t>26/03/2026</t>
        </is>
      </c>
      <c r="I2817" t="inlineStr">
        <is>
          <t>17/03/2026</t>
        </is>
      </c>
      <c r="J2817" t="inlineStr">
        <is>
          <t>Quản lý điều hành, Mỹ thuật / Nghệ thuật / Thiết kế, Tiếp thị / Marketing</t>
        </is>
      </c>
      <c r="K2817" t="inlineStr">
        <is>
          <t>8 - 10 Năm</t>
        </is>
      </c>
      <c r="L2817" s="8">
        <f>HYPERLINK("https://careerviet.vn/vi/tim-viec-lam/studio-director-giam-doc-thiet-ke.35C69921.html","Xem chi tiết")</f>
        <v/>
      </c>
    </row>
    <row r="2818">
      <c r="B2818" s="9" t="n">
        <v>2816</v>
      </c>
      <c r="C2818" s="10" t="inlineStr">
        <is>
          <t>Senior PE Engineer - Dau Giay (having shuttle bus)</t>
        </is>
      </c>
      <c r="D2818" s="10" t="inlineStr">
        <is>
          <t>Techtronic Industries Vietnam Manufacturing Company Limited</t>
        </is>
      </c>
      <c r="E2818" s="10" t="inlineStr">
        <is>
          <t>Lương:Cạnh tranh</t>
        </is>
      </c>
      <c r="F2818" s="10" t="inlineStr">
        <is>
          <t>Đồng Nai</t>
        </is>
      </c>
      <c r="G2818" s="10" t="inlineStr">
        <is>
          <t>28-03-2026</t>
        </is>
      </c>
      <c r="H2818" s="10" t="inlineStr">
        <is>
          <t>28/03/2026</t>
        </is>
      </c>
      <c r="I2818" s="10" t="inlineStr">
        <is>
          <t>17/03/2026</t>
        </is>
      </c>
      <c r="J2818" s="10" t="inlineStr">
        <is>
          <t>Cơ khí / Ô tô / Tự động hóa, Sản xuất / Vận hành sản xuất, Điện / Điện tử / Điện lạnh / Điện công nghiệp</t>
        </is>
      </c>
      <c r="K2818" s="10" t="inlineStr">
        <is>
          <t>4 - 6 Năm</t>
        </is>
      </c>
      <c r="L2818" s="11">
        <f>HYPERLINK("https://careerviet.vn/vi/tim-viec-lam/senior-pe-engineer-dau-giay-having-shuttle-bus.35C69B4B.html","Xem chi tiết")</f>
        <v/>
      </c>
      <c r="M2818" s="10" t="n"/>
    </row>
    <row r="2819">
      <c r="B2819" s="7" t="n">
        <v>2817</v>
      </c>
      <c r="C2819" t="inlineStr">
        <is>
          <t>Nhân Viên Kinh Doanh / Giám sát vùng</t>
        </is>
      </c>
      <c r="D2819" t="inlineStr">
        <is>
          <t>CÔNG TY CỔ PHẦN SẢN XUẤT PHÁT TRIỂN MIZEN</t>
        </is>
      </c>
      <c r="E2819" t="inlineStr">
        <is>
          <t>Lương:Cạnh tranh</t>
        </is>
      </c>
      <c r="F2819" t="inlineStr">
        <is>
          <t>Hà NộiHồ Chí MinhĐà Nẵng</t>
        </is>
      </c>
      <c r="G2819" t="inlineStr">
        <is>
          <t>26-03-2026</t>
        </is>
      </c>
      <c r="H2819" t="inlineStr">
        <is>
          <t>26/03/2026</t>
        </is>
      </c>
      <c r="I2819" t="inlineStr">
        <is>
          <t>17/03/2026</t>
        </is>
      </c>
      <c r="J2819" t="inlineStr">
        <is>
          <t>Bán hàng / Kinh doanh, Bán lẻ / Bán sỉ, Nội ngoại thất</t>
        </is>
      </c>
      <c r="K2819" t="inlineStr">
        <is>
          <t>N/A</t>
        </is>
      </c>
      <c r="L2819" s="8">
        <f>HYPERLINK("https://careerviet.vn/vi/tim-viec-lam/nhan-vien-kinh-doanh-giam-sat-vung.35C69B9E.html","Xem chi tiết")</f>
        <v/>
      </c>
    </row>
    <row r="2820">
      <c r="B2820" s="9" t="n">
        <v>2818</v>
      </c>
      <c r="C2820" s="10" t="inlineStr">
        <is>
          <t>Nhân Viên Chăm Sóc Khách Hàng (Admission Officer) - ILA Quang Trung</t>
        </is>
      </c>
      <c r="D2820" s="10" t="inlineStr">
        <is>
          <t>ILA Việt Nam</t>
        </is>
      </c>
      <c r="E2820" s="10" t="inlineStr">
        <is>
          <t>Lương:7,5 Tr - 10 Tr VND</t>
        </is>
      </c>
      <c r="F2820" s="10" t="inlineStr">
        <is>
          <t>Hồ Chí Minh</t>
        </is>
      </c>
      <c r="G2820" s="10" t="inlineStr">
        <is>
          <t>31-03-2026</t>
        </is>
      </c>
      <c r="H2820" s="10" t="inlineStr">
        <is>
          <t>31/03/2026</t>
        </is>
      </c>
      <c r="I2820" s="10" t="inlineStr">
        <is>
          <t>17/03/2026</t>
        </is>
      </c>
      <c r="J2820" s="10" t="inlineStr">
        <is>
          <t>Tư vấn, Dịch vụ khách hàng, Giáo dục / Đào tạo</t>
        </is>
      </c>
      <c r="K2820" s="10" t="inlineStr">
        <is>
          <t>1 - 2 Năm</t>
        </is>
      </c>
      <c r="L2820" s="11">
        <f>HYPERLINK("https://careerviet.vn/vi/tim-viec-lam/nhan-vien-cham-soc-khach-hang-admission-officer-ila-quang-trung.35C69B57.html","Xem chi tiết")</f>
        <v/>
      </c>
      <c r="M2820" s="10" t="n"/>
    </row>
    <row r="2821">
      <c r="B2821" s="7" t="n">
        <v>2819</v>
      </c>
      <c r="C2821" t="inlineStr">
        <is>
          <t>QUẢN LÝ THIẾT KẾ KẾT CẤU (HN)</t>
        </is>
      </c>
      <c r="D2821" t="inlineStr">
        <is>
          <t>CÔNG TY TNHH THIẾT KẾ HPA &amp; PARTNERS (VIÊT NAM)</t>
        </is>
      </c>
      <c r="E2821" t="inlineStr">
        <is>
          <t>Lương:30 Tr - 40 Tr VND</t>
        </is>
      </c>
      <c r="F2821" t="inlineStr">
        <is>
          <t>Hà Nội</t>
        </is>
      </c>
      <c r="G2821" t="inlineStr">
        <is>
          <t>31-03-2026</t>
        </is>
      </c>
      <c r="H2821" t="inlineStr">
        <is>
          <t>31/03/2026</t>
        </is>
      </c>
      <c r="I2821" t="inlineStr">
        <is>
          <t>17/03/2026</t>
        </is>
      </c>
      <c r="J2821" t="inlineStr">
        <is>
          <t>Xây dựng, Kiến trúc, Nội ngoại thất</t>
        </is>
      </c>
      <c r="K2821" t="inlineStr">
        <is>
          <t>Trên 3 Năm</t>
        </is>
      </c>
      <c r="L2821" s="8">
        <f>HYPERLINK("https://careerviet.vn/vi/tim-viec-lam/quan-ly-thiet-ke-ket-cau-hn.35C69968.html","Xem chi tiết")</f>
        <v/>
      </c>
    </row>
    <row r="2822">
      <c r="B2822" s="9" t="n">
        <v>2820</v>
      </c>
      <c r="C2822" s="10" t="inlineStr">
        <is>
          <t>NHÂN VIÊN HSE - NHÀ MÁY BẾN CÁT- BÌNH DƯƠNG</t>
        </is>
      </c>
      <c r="D2822" s="10" t="inlineStr">
        <is>
          <t>Công Ty TNHH SX Và TM Quân Đạt</t>
        </is>
      </c>
      <c r="E2822" s="10" t="inlineStr">
        <is>
          <t>Lương:Cạnh tranh</t>
        </is>
      </c>
      <c r="F2822" s="10" t="inlineStr">
        <is>
          <t>Bình Dương</t>
        </is>
      </c>
      <c r="G2822" s="10" t="inlineStr">
        <is>
          <t>11-03-2026</t>
        </is>
      </c>
      <c r="H2822" s="10" t="inlineStr">
        <is>
          <t>09/03/2026</t>
        </is>
      </c>
      <c r="I2822" s="10" t="inlineStr">
        <is>
          <t>17/03/2026</t>
        </is>
      </c>
      <c r="J2822" s="10" t="inlineStr">
        <is>
          <t>Sản xuất / Vận hành sản xuất, An toàn lao động, Xây dựng</t>
        </is>
      </c>
      <c r="K2822" s="10" t="inlineStr">
        <is>
          <t>1 - 2 Năm</t>
        </is>
      </c>
      <c r="L2822" s="11">
        <f>HYPERLINK("https://careerviet.vn/vi/tim-viec-lam/nhan-vien-hse-nha-may-ben-cat-binh-duong.35C698DC.html","Xem chi tiết")</f>
        <v/>
      </c>
      <c r="M2822" s="10" t="n"/>
    </row>
    <row r="2823">
      <c r="B2823" s="7" t="n">
        <v>2821</v>
      </c>
      <c r="C2823" t="inlineStr">
        <is>
          <t>Kỹ Sư QS</t>
        </is>
      </c>
      <c r="D2823" t="inlineStr">
        <is>
          <t>Công Ty Cổ Phần Xây Dựng Công Trình Tây Hồ</t>
        </is>
      </c>
      <c r="E2823" t="inlineStr">
        <is>
          <t>Lương:Cạnh tranh</t>
        </is>
      </c>
      <c r="F2823" t="inlineStr">
        <is>
          <t>Hồ Chí MinhĐồng NaiBình Dương</t>
        </is>
      </c>
      <c r="G2823" t="inlineStr">
        <is>
          <t>26-03-2026</t>
        </is>
      </c>
      <c r="H2823" t="inlineStr">
        <is>
          <t>26/03/2026</t>
        </is>
      </c>
      <c r="I2823" t="inlineStr">
        <is>
          <t>17/03/2026</t>
        </is>
      </c>
      <c r="J2823" t="inlineStr">
        <is>
          <t>Xây dựng, Kiến trúc, Bất động sản</t>
        </is>
      </c>
      <c r="K2823" t="inlineStr">
        <is>
          <t>Trên 1 Năm</t>
        </is>
      </c>
      <c r="L2823" s="8">
        <f>HYPERLINK("https://careerviet.vn/vi/tim-viec-lam/ky-su-qs.35C69C60.html","Xem chi tiết")</f>
        <v/>
      </c>
    </row>
    <row r="2824">
      <c r="B2824" s="9" t="n">
        <v>2822</v>
      </c>
      <c r="C2824" s="10" t="inlineStr">
        <is>
          <t>Quản lý bảo trì máy CNC</t>
        </is>
      </c>
      <c r="D2824" s="10" t="inlineStr">
        <is>
          <t>Công Ty TNHH Nidec Advanced Motor (Việt Nam)</t>
        </is>
      </c>
      <c r="E2824" s="10" t="inlineStr">
        <is>
          <t>Lương:Cạnh tranh</t>
        </is>
      </c>
      <c r="F2824" s="10" t="inlineStr">
        <is>
          <t>Hồ Chí Minh</t>
        </is>
      </c>
      <c r="G2824" s="10" t="inlineStr">
        <is>
          <t>26-03-2026</t>
        </is>
      </c>
      <c r="H2824" s="10" t="inlineStr">
        <is>
          <t>26/03/2026</t>
        </is>
      </c>
      <c r="I2824" s="10" t="inlineStr">
        <is>
          <t>17/03/2026</t>
        </is>
      </c>
      <c r="J2824" s="10" t="inlineStr">
        <is>
          <t>Cơ khí / Ô tô / Tự động hóa, Sản xuất / Vận hành sản xuất</t>
        </is>
      </c>
      <c r="K2824" s="10" t="inlineStr">
        <is>
          <t>3 - 5 Năm</t>
        </is>
      </c>
      <c r="L2824" s="11">
        <f>HYPERLINK("https://careerviet.vn/vi/tim-viec-lam/quan-ly-bao-tri-may-cnc.35C69A80.html","Xem chi tiết")</f>
        <v/>
      </c>
      <c r="M2824" s="10" t="n"/>
    </row>
    <row r="2825">
      <c r="B2825" s="7" t="n">
        <v>2823</v>
      </c>
      <c r="C2825" t="inlineStr">
        <is>
          <t>Trưởng phòng QA (ngành Funiture Metal)</t>
        </is>
      </c>
      <c r="D2825" t="inlineStr">
        <is>
          <t>Công Ty TNHH SX - TM - DV Lê Trần</t>
        </is>
      </c>
      <c r="E2825" t="inlineStr">
        <is>
          <t>Lương:25 Tr - 30 Tr VND</t>
        </is>
      </c>
      <c r="F2825" t="inlineStr">
        <is>
          <t>Hồ Chí Minh</t>
        </is>
      </c>
      <c r="G2825" t="inlineStr">
        <is>
          <t>11-03-2026</t>
        </is>
      </c>
      <c r="H2825" t="inlineStr">
        <is>
          <t>28/02/2026</t>
        </is>
      </c>
      <c r="I2825" t="inlineStr">
        <is>
          <t>17/03/2026</t>
        </is>
      </c>
      <c r="J2825" t="inlineStr">
        <is>
          <t>Sản xuất / Vận hành sản xuất, Cơ khí / Ô tô / Tự động hóa, Điện / Điện tử / Điện lạnh / Điện công nghiệp</t>
        </is>
      </c>
      <c r="K2825" t="inlineStr">
        <is>
          <t>5 - 10 Năm</t>
        </is>
      </c>
      <c r="L2825" s="8">
        <f>HYPERLINK("https://careerviet.vn/vi/tim-viec-lam/truong-phong-qa-nganh-funiture-metal.35C69ACB.html","Xem chi tiết")</f>
        <v/>
      </c>
    </row>
    <row r="2826">
      <c r="B2826" s="9" t="n">
        <v>2824</v>
      </c>
      <c r="C2826" s="10" t="inlineStr">
        <is>
          <t>127737 - Mechanical Design Engineer - Water Treatment System</t>
        </is>
      </c>
      <c r="D2826" s="10" t="inlineStr">
        <is>
          <t>RGF HR Agent Vietnam Co., LTD</t>
        </is>
      </c>
      <c r="E2826" s="10" t="inlineStr">
        <is>
          <t>Lương:Lên đến 26 Tr VND</t>
        </is>
      </c>
      <c r="F2826" s="10" t="inlineStr">
        <is>
          <t>Hồ Chí Minh</t>
        </is>
      </c>
      <c r="G2826" s="10" t="inlineStr">
        <is>
          <t>11-03-2026</t>
        </is>
      </c>
      <c r="H2826" s="10" t="inlineStr">
        <is>
          <t>12/03/2026</t>
        </is>
      </c>
      <c r="I2826" s="10" t="inlineStr">
        <is>
          <t>17/03/2026</t>
        </is>
      </c>
      <c r="J2826" s="10" t="inlineStr">
        <is>
          <t>Xây dựng, Kiến trúc, Thủy lợi</t>
        </is>
      </c>
      <c r="K2826" s="10" t="inlineStr">
        <is>
          <t>3 - 5 Năm</t>
        </is>
      </c>
      <c r="L2826" s="11">
        <f>HYPERLINK("https://careerviet.vn/vi/tim-viec-lam/127737-mechanical-design-engineer-water-treatment-system.35C69B16.html","Xem chi tiết")</f>
        <v/>
      </c>
      <c r="M2826" s="10" t="n"/>
    </row>
    <row r="2827">
      <c r="B2827" s="7" t="n">
        <v>2825</v>
      </c>
      <c r="C2827" t="inlineStr">
        <is>
          <t>Chuyên viên cao cấp phát triển năng lực bán</t>
        </is>
      </c>
      <c r="D2827" t="inlineStr">
        <is>
          <t>Ngân Hàng TMCP Phương Đông - OCB</t>
        </is>
      </c>
      <c r="E2827" t="inlineStr">
        <is>
          <t>Lương:Cạnh tranh</t>
        </is>
      </c>
      <c r="F2827" t="inlineStr">
        <is>
          <t>Hồ Chí Minh</t>
        </is>
      </c>
      <c r="G2827" t="inlineStr">
        <is>
          <t>31-03-2026</t>
        </is>
      </c>
      <c r="H2827" t="inlineStr">
        <is>
          <t>31/03/2026</t>
        </is>
      </c>
      <c r="I2827" t="inlineStr">
        <is>
          <t>17/03/2026</t>
        </is>
      </c>
      <c r="J2827" t="inlineStr">
        <is>
          <t>Ngân hàng</t>
        </is>
      </c>
      <c r="K2827" t="inlineStr">
        <is>
          <t>1 - 3 Năm</t>
        </is>
      </c>
      <c r="L2827" s="8">
        <f>HYPERLINK("https://careerviet.vn/vi/tim-viec-lam/chuyen-vien-cao-cap-phat-trien-nang-luc-ban.35C69BE0.html","Xem chi tiết")</f>
        <v/>
      </c>
    </row>
    <row r="2828">
      <c r="B2828" s="9" t="n">
        <v>2826</v>
      </c>
      <c r="C2828" s="10" t="inlineStr">
        <is>
          <t>Sales Executive</t>
        </is>
      </c>
      <c r="D2828" s="10" t="inlineStr">
        <is>
          <t>CÔNG TY TNHH S-DAT TECH</t>
        </is>
      </c>
      <c r="E2828" s="10" t="inlineStr">
        <is>
          <t>Lương:16 Tr - 20 Tr VND</t>
        </is>
      </c>
      <c r="F2828" s="10" t="inlineStr">
        <is>
          <t>Hồ Chí Minh</t>
        </is>
      </c>
      <c r="G2828" s="10" t="inlineStr">
        <is>
          <t>25-03-2026</t>
        </is>
      </c>
      <c r="H2828" s="10" t="inlineStr">
        <is>
          <t>25/03/2026</t>
        </is>
      </c>
      <c r="I2828" s="10" t="inlineStr">
        <is>
          <t>17/03/2026</t>
        </is>
      </c>
      <c r="J2828" s="10" t="inlineStr">
        <is>
          <t>Cơ khí / Ô tô / Tự động hóa, Sản xuất / Vận hành sản xuất, Dầu khí</t>
        </is>
      </c>
      <c r="K2828" s="10" t="inlineStr">
        <is>
          <t>3 Năm</t>
        </is>
      </c>
      <c r="L2828" s="11">
        <f>HYPERLINK("https://careerviet.vn/vi/tim-viec-lam/sales-executive.35C699C5.html","Xem chi tiết")</f>
        <v/>
      </c>
      <c r="M2828" s="10" t="n"/>
    </row>
    <row r="2829">
      <c r="B2829" s="7" t="n">
        <v>2827</v>
      </c>
      <c r="C2829" t="inlineStr">
        <is>
          <t>Internal Project Manager / Project Control Lead</t>
        </is>
      </c>
      <c r="D2829" t="inlineStr">
        <is>
          <t>Công ty TNHH STVS</t>
        </is>
      </c>
      <c r="E2829" t="inlineStr">
        <is>
          <t>Lương:18 Tr - 30 Tr VND</t>
        </is>
      </c>
      <c r="F2829" t="inlineStr">
        <is>
          <t>Hồ Chí Minh</t>
        </is>
      </c>
      <c r="G2829" t="inlineStr">
        <is>
          <t>11-04-2026</t>
        </is>
      </c>
      <c r="H2829" t="inlineStr">
        <is>
          <t>11/04/2026</t>
        </is>
      </c>
      <c r="I2829" t="inlineStr">
        <is>
          <t>17/03/2026</t>
        </is>
      </c>
      <c r="J2829" t="inlineStr">
        <is>
          <t>Sản xuất / Vận hành sản xuất, Xây dựng, Cơ khí / Ô tô / Tự động hóa</t>
        </is>
      </c>
      <c r="K2829" t="inlineStr">
        <is>
          <t>Trên 3 Năm</t>
        </is>
      </c>
      <c r="L2829" s="8">
        <f>HYPERLINK("https://careerviet.vn/vi/tim-viec-lam/internal-project-manager-project-control-lead.35C6C47D.html","Xem chi tiết")</f>
        <v/>
      </c>
    </row>
    <row r="2830">
      <c r="B2830" s="9" t="n">
        <v>2828</v>
      </c>
      <c r="C2830" s="10" t="inlineStr">
        <is>
          <t>Nhân viên giao hàng bằng xe máy</t>
        </is>
      </c>
      <c r="D2830" s="10" t="inlineStr">
        <is>
          <t>Công ty Cổ phần Miền Thực Phẩm</t>
        </is>
      </c>
      <c r="E2830" s="10" t="inlineStr">
        <is>
          <t>Lương:8 Tr - 13 Tr VND</t>
        </is>
      </c>
      <c r="F2830" s="10" t="inlineStr">
        <is>
          <t>Hà Nội</t>
        </is>
      </c>
      <c r="G2830" s="10" t="inlineStr">
        <is>
          <t>30-03-2026</t>
        </is>
      </c>
      <c r="H2830" s="10" t="inlineStr">
        <is>
          <t>30/03/2026</t>
        </is>
      </c>
      <c r="I2830" s="10" t="inlineStr">
        <is>
          <t>17/03/2026</t>
        </is>
      </c>
      <c r="J2830" s="10" t="inlineStr">
        <is>
          <t>Bán lẻ / Bán sỉ, Vận chuyển / Giao nhận / Kho vận, Lao động phổ thông</t>
        </is>
      </c>
      <c r="K2830" s="10" t="inlineStr">
        <is>
          <t>N/A</t>
        </is>
      </c>
      <c r="L2830" s="11">
        <f>HYPERLINK("https://careerviet.vn/vi/tim-viec-lam/nhan-vien-giao-hang-bang-xe-may.35C654A2.html","Xem chi tiết")</f>
        <v/>
      </c>
      <c r="M2830" s="10" t="n"/>
    </row>
    <row r="2831">
      <c r="B2831" s="7" t="n">
        <v>2829</v>
      </c>
      <c r="C2831" t="inlineStr">
        <is>
          <t>Chuyên viên tuyển dụng đào tạo</t>
        </is>
      </c>
      <c r="D2831" t="inlineStr">
        <is>
          <t>CÔNG TY CỔ PHẦN PHÁT TRIỂN CƠ ĐIỆN LẠNH HOÀNG ĐẠT</t>
        </is>
      </c>
      <c r="E2831" t="inlineStr">
        <is>
          <t>Lương:13 Tr - 15 Tr VND</t>
        </is>
      </c>
      <c r="F2831" t="inlineStr">
        <is>
          <t>Hà Nội</t>
        </is>
      </c>
      <c r="G2831" t="inlineStr">
        <is>
          <t>25-03-2026</t>
        </is>
      </c>
      <c r="H2831" t="inlineStr">
        <is>
          <t>25/03/2026</t>
        </is>
      </c>
      <c r="I2831" t="inlineStr">
        <is>
          <t>17/03/2026</t>
        </is>
      </c>
      <c r="J2831" t="inlineStr">
        <is>
          <t>Nhân sự</t>
        </is>
      </c>
      <c r="K2831" t="inlineStr">
        <is>
          <t>Lên đến 1 Năm</t>
        </is>
      </c>
      <c r="L2831" s="8">
        <f>HYPERLINK("https://careerviet.vn/vi/tim-viec-lam/chuyen-vien-tuyen-dung-dao-tao.35C69B85.html","Xem chi tiết")</f>
        <v/>
      </c>
    </row>
    <row r="2832">
      <c r="B2832" s="9" t="n">
        <v>2830</v>
      </c>
      <c r="C2832" s="10" t="inlineStr">
        <is>
          <t>128141 - Solution Engineer (O&amp;M Coordinator and Proposal) - Water Treatment System</t>
        </is>
      </c>
      <c r="D2832" s="10" t="inlineStr">
        <is>
          <t>RGF HR Agent Vietnam Co., LTD</t>
        </is>
      </c>
      <c r="E2832" s="10" t="inlineStr">
        <is>
          <t>Lương:Cạnh tranh</t>
        </is>
      </c>
      <c r="F2832" s="10" t="inlineStr">
        <is>
          <t>Hồ Chí Minh</t>
        </is>
      </c>
      <c r="G2832" s="10" t="inlineStr">
        <is>
          <t>11-03-2026</t>
        </is>
      </c>
      <c r="H2832" s="10" t="inlineStr">
        <is>
          <t>12/03/2026</t>
        </is>
      </c>
      <c r="I2832" s="10" t="inlineStr">
        <is>
          <t>17/03/2026</t>
        </is>
      </c>
      <c r="J2832" s="10" t="inlineStr">
        <is>
          <t>Thủy lợi, Xây dựng</t>
        </is>
      </c>
      <c r="K2832" s="10" t="inlineStr">
        <is>
          <t>1 - 2 Năm</t>
        </is>
      </c>
      <c r="L2832" s="11">
        <f>HYPERLINK("https://careerviet.vn/vi/tim-viec-lam/128141-solution-engineer-o-m-coordinator-and-proposal-water-treatment-system.35C69A6E.html","Xem chi tiết")</f>
        <v/>
      </c>
      <c r="M2832" s="10" t="n"/>
    </row>
    <row r="2833">
      <c r="B2833" s="7" t="n">
        <v>2831</v>
      </c>
      <c r="C2833" t="inlineStr">
        <is>
          <t>[Hà Nội] Trade Marketing Assistant Manager - Temporary</t>
        </is>
      </c>
      <c r="D2833" t="inlineStr">
        <is>
          <t>Saint-Gobain Vietnam</t>
        </is>
      </c>
      <c r="E2833" t="inlineStr">
        <is>
          <t>Lương:20 Tr - 30 Tr VND</t>
        </is>
      </c>
      <c r="F2833" t="inlineStr">
        <is>
          <t>Hà Nội</t>
        </is>
      </c>
      <c r="G2833" t="inlineStr">
        <is>
          <t>31-03-2026</t>
        </is>
      </c>
      <c r="H2833" t="inlineStr">
        <is>
          <t>31/03/2026</t>
        </is>
      </c>
      <c r="I2833" t="inlineStr">
        <is>
          <t>17/03/2026</t>
        </is>
      </c>
      <c r="J2833" t="inlineStr">
        <is>
          <t>Tiếp thị / Marketing</t>
        </is>
      </c>
      <c r="K2833" t="inlineStr">
        <is>
          <t>5 - 8 Năm</t>
        </is>
      </c>
      <c r="L2833" s="8">
        <f>HYPERLINK("https://careerviet.vn/vi/tim-viec-lam/ha-noi-trade-marketing-assistant-manager-temporary.35C699D1.html","Xem chi tiết")</f>
        <v/>
      </c>
    </row>
    <row r="2834">
      <c r="B2834" s="9" t="n">
        <v>2832</v>
      </c>
      <c r="C2834" s="10" t="inlineStr">
        <is>
          <t>Logistics Staff</t>
        </is>
      </c>
      <c r="D2834" s="10" t="inlineStr">
        <is>
          <t>Công ty TNHH Airspeed Manufacturing Việt Nam</t>
        </is>
      </c>
      <c r="E2834" s="10" t="inlineStr">
        <is>
          <t>Lương:Cạnh tranh</t>
        </is>
      </c>
      <c r="F2834" s="10" t="inlineStr">
        <is>
          <t>Long An</t>
        </is>
      </c>
      <c r="G2834" s="10" t="inlineStr">
        <is>
          <t>31-03-2026</t>
        </is>
      </c>
      <c r="H2834" s="10" t="inlineStr">
        <is>
          <t>31/03/2026</t>
        </is>
      </c>
      <c r="I2834" s="10" t="inlineStr">
        <is>
          <t>17/03/2026</t>
        </is>
      </c>
      <c r="J2834" s="10" t="inlineStr">
        <is>
          <t>Xuất nhập khẩu, Sản xuất / Vận hành sản xuất, Vận chuyển / Giao nhận / Kho vận</t>
        </is>
      </c>
      <c r="K2834" s="10" t="inlineStr">
        <is>
          <t>1 - 3 Năm</t>
        </is>
      </c>
      <c r="L2834" s="11">
        <f>HYPERLINK("https://careerviet.vn/vi/tim-viec-lam/logistics-staff.35C69970.html","Xem chi tiết")</f>
        <v/>
      </c>
      <c r="M2834" s="10" t="n"/>
    </row>
    <row r="2835">
      <c r="B2835" s="7" t="n">
        <v>2833</v>
      </c>
      <c r="C2835" t="inlineStr">
        <is>
          <t>Sales Marketing có Tiếng Nhật 26433 - Quận 1, HCM</t>
        </is>
      </c>
      <c r="D2835" t="inlineStr">
        <is>
          <t>Công Ty TNHH Reeracoen Việt Nam</t>
        </is>
      </c>
      <c r="E2835" t="inlineStr">
        <is>
          <t>Lương:15 Tr - 23 Tr VND</t>
        </is>
      </c>
      <c r="F2835" t="inlineStr">
        <is>
          <t>Hồ Chí Minh</t>
        </is>
      </c>
      <c r="G2835" t="inlineStr">
        <is>
          <t>26-03-2026</t>
        </is>
      </c>
      <c r="H2835" t="inlineStr">
        <is>
          <t>26/03/2026</t>
        </is>
      </c>
      <c r="I2835" t="inlineStr">
        <is>
          <t>17/03/2026</t>
        </is>
      </c>
      <c r="J2835" t="inlineStr">
        <is>
          <t>Bán lẻ / Bán sỉ, Bán hàng / Kinh doanh, Tiếp thị trực tuyến</t>
        </is>
      </c>
      <c r="K2835" t="inlineStr">
        <is>
          <t>Trên 3 Năm</t>
        </is>
      </c>
      <c r="L2835" s="8">
        <f>HYPERLINK("https://careerviet.vn/vi/tim-viec-lam/sales-marketing-co-tieng-nhat-26433-quan-1-hcm.35C69CCF.html","Xem chi tiết")</f>
        <v/>
      </c>
    </row>
    <row r="2836">
      <c r="B2836" s="9" t="n">
        <v>2834</v>
      </c>
      <c r="C2836" s="10" t="inlineStr">
        <is>
          <t>Kỹ Sư Dệt</t>
        </is>
      </c>
      <c r="D2836" s="10" t="inlineStr">
        <is>
          <t>Công ty CP TCE VINA DENIM</t>
        </is>
      </c>
      <c r="E2836" s="10" t="inlineStr">
        <is>
          <t>Lương:Trên 20 Tr VND</t>
        </is>
      </c>
      <c r="F2836" s="10" t="inlineStr">
        <is>
          <t>Nam ĐịnhHà NamNinh Bình</t>
        </is>
      </c>
      <c r="G2836" s="10" t="inlineStr">
        <is>
          <t>25-03-2026</t>
        </is>
      </c>
      <c r="H2836" s="10" t="inlineStr">
        <is>
          <t>25/03/2026</t>
        </is>
      </c>
      <c r="I2836" s="10" t="inlineStr">
        <is>
          <t>17/03/2026</t>
        </is>
      </c>
      <c r="J2836" s="10" t="inlineStr">
        <is>
          <t>Dệt may / Da giày / Thời trang, Sản xuất / Vận hành sản xuất, Quản lý chất lượng (QA/QC)</t>
        </is>
      </c>
      <c r="K2836" s="10" t="inlineStr">
        <is>
          <t>Trên 10 Năm</t>
        </is>
      </c>
      <c r="L2836" s="11">
        <f>HYPERLINK("https://careerviet.vn/vi/tim-viec-lam/ky-su-det.35C69A56.html","Xem chi tiết")</f>
        <v/>
      </c>
      <c r="M2836" s="10" t="n"/>
    </row>
    <row r="2837">
      <c r="B2837" s="7" t="n">
        <v>2835</v>
      </c>
      <c r="C2837" t="inlineStr">
        <is>
          <t>Nhân Viên Vận Hành Máy</t>
        </is>
      </c>
      <c r="D2837" t="inlineStr">
        <is>
          <t>Harris Spice Viet Nam Co., Ltd.</t>
        </is>
      </c>
      <c r="E2837" t="inlineStr">
        <is>
          <t>Lương:Cạnh tranh</t>
        </is>
      </c>
      <c r="F2837" t="inlineStr">
        <is>
          <t>Bình Dương</t>
        </is>
      </c>
      <c r="G2837" t="inlineStr">
        <is>
          <t>25-03-2026</t>
        </is>
      </c>
      <c r="H2837" t="inlineStr">
        <is>
          <t>25/03/2026</t>
        </is>
      </c>
      <c r="I2837" t="inlineStr">
        <is>
          <t>17/03/2026</t>
        </is>
      </c>
      <c r="J2837" t="inlineStr">
        <is>
          <t>Thực phẩm &amp; Đồ uống, Sản xuất / Vận hành sản xuất, Quản lý chất lượng (QA/QC)</t>
        </is>
      </c>
      <c r="K2837" t="inlineStr">
        <is>
          <t>1 - 2 Năm</t>
        </is>
      </c>
      <c r="L2837" s="8">
        <f>HYPERLINK("https://careerviet.vn/vi/tim-viec-lam/nhan-vien-van-hanh-may.35C699B7.html","Xem chi tiết")</f>
        <v/>
      </c>
    </row>
    <row r="2838">
      <c r="B2838" s="9" t="n">
        <v>2836</v>
      </c>
      <c r="C2838" s="10" t="inlineStr">
        <is>
          <t>Thiết kế nội thất</t>
        </is>
      </c>
      <c r="D2838" s="10" t="inlineStr">
        <is>
          <t>TTT Corporation</t>
        </is>
      </c>
      <c r="E2838" s="10" t="inlineStr">
        <is>
          <t>Lương:Cạnh tranh</t>
        </is>
      </c>
      <c r="F2838" s="10" t="inlineStr">
        <is>
          <t>Hồ Chí Minh</t>
        </is>
      </c>
      <c r="G2838" s="10" t="inlineStr">
        <is>
          <t>27-03-2026</t>
        </is>
      </c>
      <c r="H2838" s="10" t="inlineStr">
        <is>
          <t>27/03/2026</t>
        </is>
      </c>
      <c r="I2838" s="10" t="inlineStr">
        <is>
          <t>17/03/2026</t>
        </is>
      </c>
      <c r="J2838" s="10" t="inlineStr">
        <is>
          <t>Nội ngoại thất, Kiến trúc</t>
        </is>
      </c>
      <c r="K2838" s="10" t="inlineStr">
        <is>
          <t>3 - 5 Năm</t>
        </is>
      </c>
      <c r="L2838" s="11">
        <f>HYPERLINK("https://careerviet.vn/vi/tim-viec-lam/thiet-ke-noi-that.35C69C01.html","Xem chi tiết")</f>
        <v/>
      </c>
      <c r="M2838" s="10" t="n"/>
    </row>
    <row r="2839">
      <c r="B2839" s="7" t="n">
        <v>2837</v>
      </c>
      <c r="C2839" t="inlineStr">
        <is>
          <t>BAF - Kế toán thuế</t>
        </is>
      </c>
      <c r="D2839" t="inlineStr">
        <is>
          <t>Công ty Cổ phần Nông nghiệp BAF Việt Nam</t>
        </is>
      </c>
      <c r="E2839" t="inlineStr">
        <is>
          <t>Lương:Cạnh tranh</t>
        </is>
      </c>
      <c r="F2839" t="inlineStr">
        <is>
          <t>Hồ Chí Minh</t>
        </is>
      </c>
      <c r="G2839" t="inlineStr">
        <is>
          <t>26-03-2026</t>
        </is>
      </c>
      <c r="H2839" t="inlineStr">
        <is>
          <t>26/03/2026</t>
        </is>
      </c>
      <c r="I2839" t="inlineStr">
        <is>
          <t>17/03/2026</t>
        </is>
      </c>
      <c r="J2839" t="inlineStr">
        <is>
          <t>Kế toán / Kiểm toán, Ngân hàng</t>
        </is>
      </c>
      <c r="K2839" t="inlineStr">
        <is>
          <t>2 - 5 Năm</t>
        </is>
      </c>
      <c r="L2839" s="8">
        <f>HYPERLINK("https://careerviet.vn/vi/tim-viec-lam/baf-ke-toan-thue.35C69906.html","Xem chi tiết")</f>
        <v/>
      </c>
    </row>
    <row r="2840">
      <c r="B2840" s="9" t="n">
        <v>2838</v>
      </c>
      <c r="C2840" s="10" t="inlineStr">
        <is>
          <t>Nhân viên Xuất nhập khẩu có Tiếng Nhật 27681 - Quận 1, HCM</t>
        </is>
      </c>
      <c r="D2840" s="10" t="inlineStr">
        <is>
          <t>Công Ty TNHH Reeracoen Việt Nam</t>
        </is>
      </c>
      <c r="E2840" s="10" t="inlineStr">
        <is>
          <t>Lương:15 Tr - 23 Tr VND</t>
        </is>
      </c>
      <c r="F2840" s="10" t="inlineStr">
        <is>
          <t>Hồ Chí Minh</t>
        </is>
      </c>
      <c r="G2840" s="10" t="inlineStr">
        <is>
          <t>26-03-2026</t>
        </is>
      </c>
      <c r="H2840" s="10" t="inlineStr">
        <is>
          <t>26/03/2026</t>
        </is>
      </c>
      <c r="I2840" s="10" t="inlineStr">
        <is>
          <t>17/03/2026</t>
        </is>
      </c>
      <c r="J2840" s="10" t="inlineStr">
        <is>
          <t>Xuất nhập khẩu, Vận chuyển / Giao nhận / Kho vận, Biên phiên dịch</t>
        </is>
      </c>
      <c r="K2840" s="10" t="inlineStr">
        <is>
          <t>Trên 3 Năm</t>
        </is>
      </c>
      <c r="L2840" s="11">
        <f>HYPERLINK("https://careerviet.vn/vi/tim-viec-lam/nhan-vien-xuat-nhap-khau-co-tieng-nhat-27681-quan-1-hcm.35C69CC5.html","Xem chi tiết")</f>
        <v/>
      </c>
      <c r="M2840" s="10" t="n"/>
    </row>
    <row r="2841">
      <c r="B2841" s="7" t="n">
        <v>2839</v>
      </c>
      <c r="C2841" t="inlineStr">
        <is>
          <t>KẾ TOÁN NỘI BỘ</t>
        </is>
      </c>
      <c r="D2841" t="inlineStr">
        <is>
          <t>Công ty cổ phần Okapi Việt Nam - Thương hiệu thời trang BADASS</t>
        </is>
      </c>
      <c r="E2841" t="inlineStr">
        <is>
          <t>Lương:10 Tr - 15 Tr VND</t>
        </is>
      </c>
      <c r="F2841" t="inlineStr">
        <is>
          <t>Hà Nội</t>
        </is>
      </c>
      <c r="G2841" t="inlineStr">
        <is>
          <t>25-03-2026</t>
        </is>
      </c>
      <c r="H2841" t="inlineStr">
        <is>
          <t>25/03/2026</t>
        </is>
      </c>
      <c r="I2841" t="inlineStr">
        <is>
          <t>17/03/2026</t>
        </is>
      </c>
      <c r="J2841" t="inlineStr">
        <is>
          <t>Hành chính / Thư ký, Kế toán / Kiểm toán, Dệt may / Da giày / Thời trang</t>
        </is>
      </c>
      <c r="K2841" t="inlineStr">
        <is>
          <t>5 - 7 Năm</t>
        </is>
      </c>
      <c r="L2841" s="8">
        <f>HYPERLINK("https://careerviet.vn/vi/tim-viec-lam/ke-toan-noi-bo.35C699AA.html","Xem chi tiết")</f>
        <v/>
      </c>
    </row>
    <row r="2842">
      <c r="B2842" s="9" t="n">
        <v>2840</v>
      </c>
      <c r="C2842" s="10" t="inlineStr">
        <is>
          <t>Quản trị viên tập sự/ Management Trainee</t>
        </is>
      </c>
      <c r="D2842" s="10" t="inlineStr">
        <is>
          <t>Công Ty CP Việt Tinh Anh</t>
        </is>
      </c>
      <c r="E2842" s="10" t="inlineStr">
        <is>
          <t>Lương:Cạnh tranh</t>
        </is>
      </c>
      <c r="F2842" s="10" t="inlineStr">
        <is>
          <t>Hồ Chí Minh</t>
        </is>
      </c>
      <c r="G2842" s="10" t="inlineStr">
        <is>
          <t>25-03-2026</t>
        </is>
      </c>
      <c r="H2842" s="10" t="inlineStr">
        <is>
          <t>25/03/2026</t>
        </is>
      </c>
      <c r="I2842" s="10" t="inlineStr">
        <is>
          <t>17/03/2026</t>
        </is>
      </c>
      <c r="J2842" s="10" t="inlineStr">
        <is>
          <t>Tiếp thị / Marketing, Thương mại điện tử, Bán lẻ / Bán sỉ</t>
        </is>
      </c>
      <c r="K2842" s="10" t="inlineStr">
        <is>
          <t>N/A</t>
        </is>
      </c>
      <c r="L2842" s="11">
        <f>HYPERLINK("https://careerviet.vn/vi/tim-viec-lam/quan-tri-vien-tap-su-management-trainee.35C69CE4.html","Xem chi tiết")</f>
        <v/>
      </c>
      <c r="M2842" s="10" t="n"/>
    </row>
    <row r="2843">
      <c r="B2843" s="7" t="n">
        <v>2841</v>
      </c>
      <c r="C2843" t="inlineStr">
        <is>
          <t>Sales Engineer 24033 - Thủ Đức, HCM</t>
        </is>
      </c>
      <c r="D2843" t="inlineStr">
        <is>
          <t>Công Ty TNHH Reeracoen Việt Nam</t>
        </is>
      </c>
      <c r="E2843" t="inlineStr">
        <is>
          <t>Lương:16 Tr - 23 Tr VND</t>
        </is>
      </c>
      <c r="F2843" t="inlineStr">
        <is>
          <t>Hồ Chí Minh</t>
        </is>
      </c>
      <c r="G2843" t="inlineStr">
        <is>
          <t>26-03-2026</t>
        </is>
      </c>
      <c r="H2843" t="inlineStr">
        <is>
          <t>26/03/2026</t>
        </is>
      </c>
      <c r="I2843" t="inlineStr">
        <is>
          <t>17/03/2026</t>
        </is>
      </c>
      <c r="J2843" t="inlineStr">
        <is>
          <t>Bán hàng / Kinh doanh, Bán Hàng Kỹ Thuật, Bán lẻ / Bán sỉ</t>
        </is>
      </c>
      <c r="K2843" t="inlineStr">
        <is>
          <t>2 - 3 Năm</t>
        </is>
      </c>
      <c r="L2843" s="8">
        <f>HYPERLINK("https://careerviet.vn/vi/tim-viec-lam/sales-engineer-24033-thu-duc-hcm.35C69CBD.html","Xem chi tiết")</f>
        <v/>
      </c>
    </row>
    <row r="2844">
      <c r="B2844" s="9" t="n">
        <v>2842</v>
      </c>
      <c r="C2844" s="10" t="inlineStr">
        <is>
          <t>Kỹ Sư Hoàn Tất</t>
        </is>
      </c>
      <c r="D2844" s="10" t="inlineStr">
        <is>
          <t>Công ty CP TCE VINA DENIM</t>
        </is>
      </c>
      <c r="E2844" s="10" t="inlineStr">
        <is>
          <t>Lương:Trên 20 Tr VND</t>
        </is>
      </c>
      <c r="F2844" s="10" t="inlineStr">
        <is>
          <t>Nam ĐịnhHà NamNinh Bình</t>
        </is>
      </c>
      <c r="G2844" s="10" t="inlineStr">
        <is>
          <t>25-03-2026</t>
        </is>
      </c>
      <c r="H2844" s="10" t="inlineStr">
        <is>
          <t>25/03/2026</t>
        </is>
      </c>
      <c r="I2844" s="10" t="inlineStr">
        <is>
          <t>17/03/2026</t>
        </is>
      </c>
      <c r="J2844" s="10" t="inlineStr">
        <is>
          <t>Dệt may / Da giày / Thời trang, Sản xuất / Vận hành sản xuất, Quản lý chất lượng (QA/QC)</t>
        </is>
      </c>
      <c r="K2844" s="10" t="inlineStr">
        <is>
          <t>Trên 10 Năm</t>
        </is>
      </c>
      <c r="L2844" s="11">
        <f>HYPERLINK("https://careerviet.vn/vi/tim-viec-lam/ky-su-hoan-tat.35C69A4C.html","Xem chi tiết")</f>
        <v/>
      </c>
      <c r="M2844" s="10" t="n"/>
    </row>
    <row r="2845">
      <c r="B2845" s="7" t="n">
        <v>2843</v>
      </c>
      <c r="C2845" t="inlineStr">
        <is>
          <t>MANUAL TESTER</t>
        </is>
      </c>
      <c r="D2845" t="inlineStr">
        <is>
          <t>Công ty Cổ phần Vietsol</t>
        </is>
      </c>
      <c r="E2845" t="inlineStr">
        <is>
          <t>Lương:15 Tr - 25 Tr VND</t>
        </is>
      </c>
      <c r="F2845" t="inlineStr">
        <is>
          <t>Hà Nội</t>
        </is>
      </c>
      <c r="G2845" t="inlineStr">
        <is>
          <t>31-05-2026</t>
        </is>
      </c>
      <c r="H2845" t="inlineStr">
        <is>
          <t>31/05/2026</t>
        </is>
      </c>
      <c r="I2845" t="inlineStr">
        <is>
          <t>17/03/2026</t>
        </is>
      </c>
      <c r="J2845" t="inlineStr">
        <is>
          <t>CNTT - Phần mềm</t>
        </is>
      </c>
      <c r="K2845" t="inlineStr">
        <is>
          <t>3 - 5 Năm</t>
        </is>
      </c>
      <c r="L2845" s="8">
        <f>HYPERLINK("https://careerviet.vn/vi/tim-viec-lam/manual-tester.35C6B18A.html","Xem chi tiết")</f>
        <v/>
      </c>
    </row>
    <row r="2846">
      <c r="B2846" s="9" t="n">
        <v>2844</v>
      </c>
      <c r="C2846" s="10" t="inlineStr">
        <is>
          <t>128204 - Tiếng Nhật - Trưởng nhóm Kỹ sư thiết kế - Ngành Kiến trúc</t>
        </is>
      </c>
      <c r="D2846" s="10" t="inlineStr">
        <is>
          <t>RGF HR Agent Vietnam Co., LTD</t>
        </is>
      </c>
      <c r="E2846" s="10" t="inlineStr">
        <is>
          <t>Lương:Cạnh tranh</t>
        </is>
      </c>
      <c r="F2846" s="10" t="inlineStr">
        <is>
          <t>Hồ Chí Minh</t>
        </is>
      </c>
      <c r="G2846" s="10" t="inlineStr">
        <is>
          <t>31-03-2026</t>
        </is>
      </c>
      <c r="H2846" s="10" t="inlineStr">
        <is>
          <t>31/03/2026</t>
        </is>
      </c>
      <c r="I2846" s="10" t="inlineStr">
        <is>
          <t>17/03/2026</t>
        </is>
      </c>
      <c r="J2846" s="10" t="inlineStr">
        <is>
          <t>Kiến trúc, Xây dựng</t>
        </is>
      </c>
      <c r="K2846" s="10" t="inlineStr">
        <is>
          <t>5 - 7 Năm</t>
        </is>
      </c>
      <c r="L2846" s="11">
        <f>HYPERLINK("https://careerviet.vn/vi/tim-viec-lam/128204-tieng-nhat-truong-nhom-ky-su-thiet-ke-nganh-kien-truc.35C69B31.html","Xem chi tiết")</f>
        <v/>
      </c>
      <c r="M2846" s="10" t="n"/>
    </row>
    <row r="2847">
      <c r="B2847" s="7" t="n">
        <v>2845</v>
      </c>
      <c r="C2847" t="inlineStr">
        <is>
          <t>Nhân Viên Bếp Chính</t>
        </is>
      </c>
      <c r="D2847" t="inlineStr">
        <is>
          <t>Bánh Mì PewPew</t>
        </is>
      </c>
      <c r="E2847" t="inlineStr">
        <is>
          <t>Lương:8 Tr - 10 Tr VND</t>
        </is>
      </c>
      <c r="F2847" t="inlineStr">
        <is>
          <t>Hồ Chí Minh</t>
        </is>
      </c>
      <c r="G2847" t="inlineStr">
        <is>
          <t>25-03-2026</t>
        </is>
      </c>
      <c r="H2847" t="inlineStr">
        <is>
          <t>25/03/2026</t>
        </is>
      </c>
      <c r="I2847" t="inlineStr">
        <is>
          <t>17/03/2026</t>
        </is>
      </c>
      <c r="J2847" t="inlineStr">
        <is>
          <t>Nhà hàng / Khách sạn, Thực phẩm &amp; Đồ uống, Công nghệ thực phẩm / Dinh dưỡng</t>
        </is>
      </c>
      <c r="K2847" t="inlineStr">
        <is>
          <t>Trên 1 Năm</t>
        </is>
      </c>
      <c r="L2847" s="8">
        <f>HYPERLINK("https://careerviet.vn/vi/tim-viec-lam/nhan-vien-bep-chinh.35C69931.html","Xem chi tiết")</f>
        <v/>
      </c>
    </row>
    <row r="2848">
      <c r="B2848" s="9" t="n">
        <v>2846</v>
      </c>
      <c r="C2848" s="10" t="inlineStr">
        <is>
          <t>Quản Đốc  Phân Xưởng Công Nghệ Sản Xuất Bia</t>
        </is>
      </c>
      <c r="D2848" s="10" t="inlineStr">
        <is>
          <t>CÔNG TY TNHH NƯỚC GIẢI KHÁT &amp; BAO BÌ THỰC PHẨM VINAKEN</t>
        </is>
      </c>
      <c r="E2848" s="10" t="inlineStr">
        <is>
          <t>Lương:26 Tr - 35 Tr VND</t>
        </is>
      </c>
      <c r="F2848" s="10" t="inlineStr">
        <is>
          <t>Bắc Giang</t>
        </is>
      </c>
      <c r="G2848" s="10" t="inlineStr">
        <is>
          <t>30-04-2026</t>
        </is>
      </c>
      <c r="H2848" s="10" t="inlineStr">
        <is>
          <t>30/04/2026</t>
        </is>
      </c>
      <c r="I2848" s="10" t="inlineStr">
        <is>
          <t>17/03/2026</t>
        </is>
      </c>
      <c r="J2848" s="10" t="inlineStr">
        <is>
          <t>Quản lý điều hành, Công nghệ thực phẩm / Dinh dưỡng, Sản xuất / Vận hành sản xuất</t>
        </is>
      </c>
      <c r="K2848" s="10" t="inlineStr">
        <is>
          <t>3 - 10 Năm</t>
        </is>
      </c>
      <c r="L2848" s="11">
        <f>HYPERLINK("https://careerviet.vn/vi/tim-viec-lam/quan-doc-phan-xuong-cong-nghe-san-xuat-bia.35C699FC.html","Xem chi tiết")</f>
        <v/>
      </c>
      <c r="M2848" s="10" t="n"/>
    </row>
    <row r="2849">
      <c r="B2849" s="7" t="n">
        <v>2847</v>
      </c>
      <c r="C2849" t="inlineStr">
        <is>
          <t>Phó trưởng phòng Kế hoạch - Vật tư</t>
        </is>
      </c>
      <c r="D2849" t="inlineStr">
        <is>
          <t>Chi nhánh Công ty TNHH MTV BCA-Thăng Long tại TP.HCM</t>
        </is>
      </c>
      <c r="E2849" t="inlineStr">
        <is>
          <t>Lương:Cạnh tranh</t>
        </is>
      </c>
      <c r="F2849" t="inlineStr">
        <is>
          <t>Hồ Chí Minh</t>
        </is>
      </c>
      <c r="G2849" t="inlineStr">
        <is>
          <t>31-03-2026</t>
        </is>
      </c>
      <c r="H2849" t="inlineStr">
        <is>
          <t>31/03/2026</t>
        </is>
      </c>
      <c r="I2849" t="inlineStr">
        <is>
          <t>17/03/2026</t>
        </is>
      </c>
      <c r="J2849" t="inlineStr">
        <is>
          <t>Cơ khí / Ô tô / Tự động hóa, Điện / Điện tử / Điện lạnh / Điện công nghiệp, Xuất nhập khẩu</t>
        </is>
      </c>
      <c r="K2849" t="inlineStr">
        <is>
          <t>6 - 10 Năm</t>
        </is>
      </c>
      <c r="L2849" s="8">
        <f>HYPERLINK("https://careerviet.vn/vi/tim-viec-lam/pho-truong-phong-ke-hoach-vat-tu.35C69BF2.html","Xem chi tiết")</f>
        <v/>
      </c>
    </row>
    <row r="2850">
      <c r="B2850" s="9" t="n">
        <v>2848</v>
      </c>
      <c r="C2850" s="10" t="inlineStr">
        <is>
          <t>R&amp;D Admin Assistant – Japanese N3</t>
        </is>
      </c>
      <c r="D2850" s="10" t="inlineStr">
        <is>
          <t>Công Ty TNHH YKK Việt Nam</t>
        </is>
      </c>
      <c r="E2850" s="10" t="inlineStr">
        <is>
          <t>Lương:12 Tr - 13 Tr VND</t>
        </is>
      </c>
      <c r="F2850" s="10" t="inlineStr">
        <is>
          <t>Đồng Nai</t>
        </is>
      </c>
      <c r="G2850" s="10" t="inlineStr">
        <is>
          <t>31-03-2026</t>
        </is>
      </c>
      <c r="H2850" s="10" t="inlineStr">
        <is>
          <t>31/03/2026</t>
        </is>
      </c>
      <c r="I2850" s="10" t="inlineStr">
        <is>
          <t>17/03/2026</t>
        </is>
      </c>
      <c r="J2850" s="10" t="inlineStr">
        <is>
          <t>Mới tốt nghiệp / Thực tập, Hành chính / Thư ký, Biên phiên dịch</t>
        </is>
      </c>
      <c r="K2850" s="10" t="inlineStr">
        <is>
          <t>N/A</t>
        </is>
      </c>
      <c r="L2850" s="11">
        <f>HYPERLINK("https://careerviet.vn/vi/tim-viec-lam/r-d-admin-assistant-japanese-n3.35C69AC1.html","Xem chi tiết")</f>
        <v/>
      </c>
      <c r="M2850" s="10" t="n"/>
    </row>
    <row r="2851">
      <c r="B2851" s="7" t="n">
        <v>2849</v>
      </c>
      <c r="C2851" t="inlineStr">
        <is>
          <t>Chuyên viên Kỹ thuật</t>
        </is>
      </c>
      <c r="D2851" t="inlineStr">
        <is>
          <t>Ngân Hàng TMCP Phương Đông - OCB</t>
        </is>
      </c>
      <c r="E2851" t="inlineStr">
        <is>
          <t>Lương:Cạnh tranh</t>
        </is>
      </c>
      <c r="F2851" t="inlineStr">
        <is>
          <t>Hà Nội</t>
        </is>
      </c>
      <c r="G2851" t="inlineStr">
        <is>
          <t>31-03-2026</t>
        </is>
      </c>
      <c r="H2851" t="inlineStr">
        <is>
          <t>31/03/2026</t>
        </is>
      </c>
      <c r="I2851" t="inlineStr">
        <is>
          <t>17/03/2026</t>
        </is>
      </c>
      <c r="J2851" t="inlineStr">
        <is>
          <t>Ngân hàng</t>
        </is>
      </c>
      <c r="K2851" t="inlineStr">
        <is>
          <t>1 - 3 Năm</t>
        </is>
      </c>
      <c r="L2851" s="8">
        <f>HYPERLINK("https://careerviet.vn/vi/tim-viec-lam/chuyen-vien-ky-thuat.35C69BD5.html","Xem chi tiết")</f>
        <v/>
      </c>
    </row>
    <row r="2852">
      <c r="B2852" s="9" t="n">
        <v>2850</v>
      </c>
      <c r="C2852" s="10" t="inlineStr">
        <is>
          <t>Customer Service Staff (Chinese)</t>
        </is>
      </c>
      <c r="D2852" s="10" t="inlineStr">
        <is>
          <t>S.F. EXPRESS LTD.</t>
        </is>
      </c>
      <c r="E2852" s="10" t="inlineStr">
        <is>
          <t>Lương:15 Tr - 22 Tr VND</t>
        </is>
      </c>
      <c r="F2852" s="10" t="inlineStr">
        <is>
          <t>Hồ Chí Minh</t>
        </is>
      </c>
      <c r="G2852" s="10" t="inlineStr">
        <is>
          <t>11-03-2026</t>
        </is>
      </c>
      <c r="H2852" s="10" t="inlineStr">
        <is>
          <t>05/03/2026</t>
        </is>
      </c>
      <c r="I2852" s="10" t="inlineStr">
        <is>
          <t>17/03/2026</t>
        </is>
      </c>
      <c r="J2852" s="10" t="inlineStr">
        <is>
          <t>Xuất nhập khẩu, Hàng không, Bán hàng / Kinh doanh</t>
        </is>
      </c>
      <c r="K2852" s="10" t="inlineStr">
        <is>
          <t>2 - 3 Năm</t>
        </is>
      </c>
      <c r="L2852" s="11">
        <f>HYPERLINK("https://careerviet.vn/vi/tim-viec-lam/customer-service-staff-chinese.35C6B259.html","Xem chi tiết")</f>
        <v/>
      </c>
      <c r="M2852" s="10" t="n"/>
    </row>
    <row r="2853">
      <c r="B2853" s="7" t="n">
        <v>2851</v>
      </c>
      <c r="C2853" t="inlineStr">
        <is>
          <t>Trình dược viên (Dược Mỹ phẩm)</t>
        </is>
      </c>
      <c r="D2853" t="inlineStr">
        <is>
          <t>CareerViet's client</t>
        </is>
      </c>
      <c r="E2853" t="inlineStr">
        <is>
          <t>Lương:Cạnh tranh</t>
        </is>
      </c>
      <c r="F2853" t="inlineStr">
        <is>
          <t>Đồng Nai</t>
        </is>
      </c>
      <c r="G2853" t="inlineStr">
        <is>
          <t>06-04-2026</t>
        </is>
      </c>
      <c r="H2853" t="inlineStr">
        <is>
          <t>06/04/2026</t>
        </is>
      </c>
      <c r="I2853" t="inlineStr">
        <is>
          <t>17/03/2026</t>
        </is>
      </c>
      <c r="J2853" t="inlineStr">
        <is>
          <t>Bán lẻ / Bán sỉ, Bán hàng / Kinh doanh, Dược phẩm/ Hóa Mỹ Phẩm</t>
        </is>
      </c>
      <c r="K2853" t="inlineStr">
        <is>
          <t>2 - 5 Năm</t>
        </is>
      </c>
      <c r="L2853" s="8">
        <f>HYPERLINK("https://careerviet.vn/vi/tim-viec-lam/trinh-duoc-vien-duoc-my-pham.35C6B1CE.html","Xem chi tiết")</f>
        <v/>
      </c>
    </row>
    <row r="2854">
      <c r="B2854" s="9" t="n">
        <v>2852</v>
      </c>
      <c r="C2854" s="10" t="inlineStr">
        <is>
          <t>GIÁM SÁT AN TOÀN LAO ĐỘNG</t>
        </is>
      </c>
      <c r="D2854" s="10" t="inlineStr">
        <is>
          <t>CÔNG TY CỔ PHẦN AN PHA KIM (UA FACADE)</t>
        </is>
      </c>
      <c r="E2854" s="10" t="inlineStr">
        <is>
          <t>Lương:Cạnh tranh</t>
        </is>
      </c>
      <c r="F2854" s="10" t="inlineStr">
        <is>
          <t>Hồ Chí Minh</t>
        </is>
      </c>
      <c r="G2854" s="10" t="inlineStr">
        <is>
          <t>31-03-2026</t>
        </is>
      </c>
      <c r="H2854" s="10" t="inlineStr">
        <is>
          <t>31/03/2026</t>
        </is>
      </c>
      <c r="I2854" s="10" t="inlineStr">
        <is>
          <t>17/03/2026</t>
        </is>
      </c>
      <c r="J2854" s="10" t="inlineStr">
        <is>
          <t>An toàn lao động, Xây dựng, Nội ngoại thất</t>
        </is>
      </c>
      <c r="K2854" s="10" t="inlineStr">
        <is>
          <t>2 - 5 Năm</t>
        </is>
      </c>
      <c r="L2854" s="11">
        <f>HYPERLINK("https://careerviet.vn/vi/tim-viec-lam/giam-sat-an-toan-lao-dong.35C69A64.html","Xem chi tiết")</f>
        <v/>
      </c>
      <c r="M2854" s="10" t="n"/>
    </row>
    <row r="2855">
      <c r="B2855" s="7" t="n">
        <v>2853</v>
      </c>
      <c r="C2855" t="inlineStr">
        <is>
          <t>NHÂN VIÊN KINH DOANH QUỐC TẾ (INTERNATIONAL SALES)</t>
        </is>
      </c>
      <c r="D2855" t="inlineStr">
        <is>
          <t>Công ty TNHH Thiết bị lạnh và Cách nhiệt TST</t>
        </is>
      </c>
      <c r="E2855" t="inlineStr">
        <is>
          <t>Lương:15 Tr - 30 Tr VND</t>
        </is>
      </c>
      <c r="F2855" t="inlineStr">
        <is>
          <t>Hồ Chí Minh</t>
        </is>
      </c>
      <c r="G2855" t="inlineStr">
        <is>
          <t>31-03-2026</t>
        </is>
      </c>
      <c r="H2855" t="inlineStr">
        <is>
          <t>31/03/2026</t>
        </is>
      </c>
      <c r="I2855" t="inlineStr">
        <is>
          <t>17/03/2026</t>
        </is>
      </c>
      <c r="J2855" t="inlineStr">
        <is>
          <t>Điện / Điện tử / Điện lạnh / Điện công nghiệp, Bán hàng / Kinh doanh</t>
        </is>
      </c>
      <c r="K2855" t="inlineStr">
        <is>
          <t>Chưa có kinh nghiệm</t>
        </is>
      </c>
      <c r="L2855" s="8">
        <f>HYPERLINK("https://careerviet.vn/vi/tim-viec-lam/nhan-vien-kinh-doanh-quoc-te-international-sales.35C6B1CD.html","Xem chi tiết")</f>
        <v/>
      </c>
    </row>
    <row r="2856">
      <c r="B2856" s="9" t="n">
        <v>2854</v>
      </c>
      <c r="C2856" s="10" t="inlineStr">
        <is>
          <t>Tư vấn viên Bán Hàng Trang Sức</t>
        </is>
      </c>
      <c r="D2856" s="10" t="inlineStr">
        <is>
          <t>Hoang Gia Pearl</t>
        </is>
      </c>
      <c r="E2856" s="10" t="inlineStr">
        <is>
          <t>Lương:6 Tr - 20 Tr VND</t>
        </is>
      </c>
      <c r="F2856" s="10" t="inlineStr">
        <is>
          <t>Hồ Chí Minh</t>
        </is>
      </c>
      <c r="G2856" s="10" t="inlineStr">
        <is>
          <t>04-04-2026</t>
        </is>
      </c>
      <c r="H2856" s="10" t="inlineStr">
        <is>
          <t>04/04/2026</t>
        </is>
      </c>
      <c r="I2856" s="10" t="inlineStr">
        <is>
          <t>17/03/2026</t>
        </is>
      </c>
      <c r="J2856" s="10" t="inlineStr">
        <is>
          <t>Bán lẻ / Bán sỉ, Bán hàng / Kinh doanh, Tư vấn</t>
        </is>
      </c>
      <c r="K2856" s="10" t="inlineStr">
        <is>
          <t>N/A</t>
        </is>
      </c>
      <c r="L2856" s="11">
        <f>HYPERLINK("https://careerviet.vn/vi/tim-viec-lam/tu-van-vien-ban-hang-trang-suc.35C6B1DA.html","Xem chi tiết")</f>
        <v/>
      </c>
      <c r="M2856" s="10" t="n"/>
    </row>
    <row r="2857">
      <c r="B2857" s="7" t="n">
        <v>2855</v>
      </c>
      <c r="C2857" t="inlineStr">
        <is>
          <t>Kế toán công nợ</t>
        </is>
      </c>
      <c r="D2857" t="inlineStr">
        <is>
          <t>CÔNG TY TNHH PHÁT TRIỂN THƯƠNG MẠI BĐS NEWSTARLAND</t>
        </is>
      </c>
      <c r="E2857" t="inlineStr">
        <is>
          <t>Lương:11 Tr - 14 Tr VND</t>
        </is>
      </c>
      <c r="F2857" t="inlineStr">
        <is>
          <t>Hà Nội</t>
        </is>
      </c>
      <c r="G2857" t="inlineStr">
        <is>
          <t>28-03-2026</t>
        </is>
      </c>
      <c r="H2857" t="inlineStr">
        <is>
          <t>28/03/2026</t>
        </is>
      </c>
      <c r="I2857" t="inlineStr">
        <is>
          <t>17/03/2026</t>
        </is>
      </c>
      <c r="J2857" t="inlineStr">
        <is>
          <t>Kế toán / Kiểm toán, Tài chính / Đầu tư</t>
        </is>
      </c>
      <c r="K2857" t="inlineStr">
        <is>
          <t>2 - 3 Năm</t>
        </is>
      </c>
      <c r="L2857" s="8">
        <f>HYPERLINK("https://careerviet.vn/vi/tim-viec-lam/ke-toan-cong-no.35C6B23E.html","Xem chi tiết")</f>
        <v/>
      </c>
    </row>
    <row r="2858">
      <c r="B2858" s="9" t="n">
        <v>2856</v>
      </c>
      <c r="C2858" s="10" t="inlineStr">
        <is>
          <t>Nhân Viên Nhập Liệu</t>
        </is>
      </c>
      <c r="D2858" s="10" t="inlineStr">
        <is>
          <t>Công ty TNHH Gold Coin Feedmill Đồng Nai - Chi Nhánh Long An</t>
        </is>
      </c>
      <c r="E2858" s="10" t="inlineStr">
        <is>
          <t>Lương:9 Tr - 11 Tr VND</t>
        </is>
      </c>
      <c r="F2858" s="10" t="inlineStr">
        <is>
          <t>Long An</t>
        </is>
      </c>
      <c r="G2858" s="10" t="inlineStr">
        <is>
          <t>04-04-2026</t>
        </is>
      </c>
      <c r="H2858" s="10" t="inlineStr">
        <is>
          <t>04/04/2026</t>
        </is>
      </c>
      <c r="I2858" s="10" t="inlineStr">
        <is>
          <t>17/03/2026</t>
        </is>
      </c>
      <c r="J2858" s="10" t="inlineStr">
        <is>
          <t>Hành chính / Thư ký, Sản xuất / Vận hành sản xuất, Thống kê</t>
        </is>
      </c>
      <c r="K2858" s="10" t="inlineStr">
        <is>
          <t>N/A</t>
        </is>
      </c>
      <c r="L2858" s="11">
        <f>HYPERLINK("https://careerviet.vn/vi/tim-viec-lam/nhan-vien-nhap-lieu.35C6B0C1.html","Xem chi tiết")</f>
        <v/>
      </c>
      <c r="M2858" s="10" t="n"/>
    </row>
    <row r="2859">
      <c r="B2859" s="7" t="n">
        <v>2857</v>
      </c>
      <c r="C2859" t="inlineStr">
        <is>
          <t>NHÂN VIÊN KÉO KHUÔN</t>
        </is>
      </c>
      <c r="D2859" t="inlineStr">
        <is>
          <t>CÔNG TY TNHH POUYUEN VIỆT NAM</t>
        </is>
      </c>
      <c r="E2859" t="inlineStr">
        <is>
          <t>Lương:Cạnh tranh</t>
        </is>
      </c>
      <c r="F2859" t="inlineStr">
        <is>
          <t>Hồ Chí Minh</t>
        </is>
      </c>
      <c r="G2859" t="inlineStr">
        <is>
          <t>31-03-2026</t>
        </is>
      </c>
      <c r="H2859" t="inlineStr">
        <is>
          <t>31/03/2026</t>
        </is>
      </c>
      <c r="I2859" t="inlineStr">
        <is>
          <t>17/03/2026</t>
        </is>
      </c>
      <c r="J2859" t="inlineStr">
        <is>
          <t>Sản xuất / Vận hành sản xuất, Dệt may / Da giày / Thời trang, Lao động phổ thông</t>
        </is>
      </c>
      <c r="K2859" t="inlineStr">
        <is>
          <t>N/A</t>
        </is>
      </c>
      <c r="L2859" s="8">
        <f>HYPERLINK("https://careerviet.vn/vi/tim-viec-lam/nhan-vien-keo-khuon.35C69AC5.html","Xem chi tiết")</f>
        <v/>
      </c>
    </row>
    <row r="2860">
      <c r="B2860" s="9" t="n">
        <v>2858</v>
      </c>
      <c r="C2860" s="10" t="inlineStr">
        <is>
          <t>Nhân viên kinh doanh nội địa</t>
        </is>
      </c>
      <c r="D2860" s="10" t="inlineStr">
        <is>
          <t>EuP Group</t>
        </is>
      </c>
      <c r="E2860" s="10" t="inlineStr">
        <is>
          <t>Lương:20 Tr - 25 Tr VND</t>
        </is>
      </c>
      <c r="F2860" s="10" t="inlineStr">
        <is>
          <t>Hà Nội</t>
        </is>
      </c>
      <c r="G2860" s="10" t="inlineStr">
        <is>
          <t>04-04-2026</t>
        </is>
      </c>
      <c r="H2860" s="10" t="inlineStr">
        <is>
          <t>04/04/2026</t>
        </is>
      </c>
      <c r="I2860" s="10" t="inlineStr">
        <is>
          <t>17/03/2026</t>
        </is>
      </c>
      <c r="J2860" s="10" t="inlineStr">
        <is>
          <t>Tiếp thị / Marketing, Bán hàng / Kinh doanh, Bán Hàng Kỹ Thuật</t>
        </is>
      </c>
      <c r="K2860" s="10" t="inlineStr">
        <is>
          <t>Chưa có kinh nghiệm</t>
        </is>
      </c>
      <c r="L2860" s="11">
        <f>HYPERLINK("https://careerviet.vn/vi/tim-viec-lam/nhan-vien-kinh-doanh-noi-dia.35C6B0FE.html","Xem chi tiết")</f>
        <v/>
      </c>
      <c r="M2860" s="10" t="n"/>
    </row>
    <row r="2861">
      <c r="B2861" s="7" t="n">
        <v>2859</v>
      </c>
      <c r="C2861" t="inlineStr">
        <is>
          <t>[JHC0037763] Nhân viên Phòng Khuôn Đúc Ép Nhựa</t>
        </is>
      </c>
      <c r="D2861" t="inlineStr">
        <is>
          <t>Iconic Co.,Ltd</t>
        </is>
      </c>
      <c r="E2861" t="inlineStr">
        <is>
          <t>Lương:15 Tr - 18 Tr VND</t>
        </is>
      </c>
      <c r="F2861" t="inlineStr">
        <is>
          <t>Đồng Nai</t>
        </is>
      </c>
      <c r="G2861" t="inlineStr">
        <is>
          <t>05-04-2026</t>
        </is>
      </c>
      <c r="H2861" t="inlineStr">
        <is>
          <t>05/04/2026</t>
        </is>
      </c>
      <c r="I2861" t="inlineStr">
        <is>
          <t>17/03/2026</t>
        </is>
      </c>
      <c r="J2861" t="inlineStr">
        <is>
          <t>Cơ khí / Ô tô / Tự động hóa</t>
        </is>
      </c>
      <c r="K2861" t="inlineStr">
        <is>
          <t>Trên 4 Năm</t>
        </is>
      </c>
      <c r="L2861" s="8">
        <f>HYPERLINK("https://careerviet.vn/vi/tim-viec-lam/jhc0037763-nhan-vien-phong-khuon-duc-ep-nhua.35C6B1D6.html","Xem chi tiết")</f>
        <v/>
      </c>
    </row>
    <row r="2862">
      <c r="B2862" s="9" t="n">
        <v>2860</v>
      </c>
      <c r="C2862" s="10" t="inlineStr">
        <is>
          <t>Kỹ sư Điện tử ô tô (Automotive Electronics Engineer)</t>
        </is>
      </c>
      <c r="D2862" s="10" t="inlineStr">
        <is>
          <t>Công Ty Cổ Phần Tập Đoàn Ô Tô Hiệp Hòa</t>
        </is>
      </c>
      <c r="E2862" s="10" t="inlineStr">
        <is>
          <t>Lương:15 Tr - 50 Tr VND</t>
        </is>
      </c>
      <c r="F2862" s="10" t="inlineStr">
        <is>
          <t>Hưng Yên</t>
        </is>
      </c>
      <c r="G2862" s="10" t="inlineStr">
        <is>
          <t>30-04-2026</t>
        </is>
      </c>
      <c r="H2862" s="10" t="inlineStr">
        <is>
          <t>30/04/2026</t>
        </is>
      </c>
      <c r="I2862" s="10" t="inlineStr">
        <is>
          <t>17/03/2026</t>
        </is>
      </c>
      <c r="J2862" s="10" t="inlineStr">
        <is>
          <t>Cơ khí / Ô tô / Tự động hóa</t>
        </is>
      </c>
      <c r="K2862" s="10" t="inlineStr">
        <is>
          <t>Trên 1 Năm</t>
        </is>
      </c>
      <c r="L2862" s="11">
        <f>HYPERLINK("https://careerviet.vn/vi/tim-viec-lam/ky-su-dien-tu-o-to-automotive-electronics-engineer.35C6B26A.html","Xem chi tiết")</f>
        <v/>
      </c>
      <c r="M2862" s="10" t="n"/>
    </row>
    <row r="2863">
      <c r="B2863" s="7" t="n">
        <v>2861</v>
      </c>
      <c r="C2863" t="inlineStr">
        <is>
          <t>Nhân Viên Kinh Doanh B2B</t>
        </is>
      </c>
      <c r="D2863" t="inlineStr">
        <is>
          <t>CÔNG TY TNHH KỸ THUẬT VÀ NGUYÊN LIỆU IN ẤN KODOFO</t>
        </is>
      </c>
      <c r="E2863" t="inlineStr">
        <is>
          <t>Lương:10 Tr - 25 Tr VND</t>
        </is>
      </c>
      <c r="F2863" t="inlineStr">
        <is>
          <t>Hồ Chí MinhHà Nội</t>
        </is>
      </c>
      <c r="G2863" t="inlineStr">
        <is>
          <t>30-04-2026</t>
        </is>
      </c>
      <c r="H2863" t="inlineStr">
        <is>
          <t>30/04/2026</t>
        </is>
      </c>
      <c r="I2863" t="inlineStr">
        <is>
          <t>17/03/2026</t>
        </is>
      </c>
      <c r="J2863" t="inlineStr">
        <is>
          <t>Tiếp thị / Marketing, Bán hàng / Kinh doanh, In ấn / Xuất bản</t>
        </is>
      </c>
      <c r="K2863" t="inlineStr">
        <is>
          <t>Lên đến 1 Năm</t>
        </is>
      </c>
      <c r="L2863" s="8">
        <f>HYPERLINK("https://careerviet.vn/vi/tim-viec-lam/nhan-vien-kinh-doanh-b2b.35C6B203.html","Xem chi tiết")</f>
        <v/>
      </c>
    </row>
    <row r="2864">
      <c r="B2864" s="9" t="n">
        <v>2862</v>
      </c>
      <c r="C2864" s="10" t="inlineStr">
        <is>
          <t>Executive Recruiter (US/EU Timezone, salary upto $1200)</t>
        </is>
      </c>
      <c r="D2864" s="10" t="inlineStr">
        <is>
          <t>ARCHES</t>
        </is>
      </c>
      <c r="E2864" s="10" t="inlineStr">
        <is>
          <t>Lương:800 - 1.200 USD</t>
        </is>
      </c>
      <c r="F2864" s="10" t="inlineStr">
        <is>
          <t>Hồ Chí Minh</t>
        </is>
      </c>
      <c r="G2864" s="10" t="inlineStr">
        <is>
          <t>05-04-2026</t>
        </is>
      </c>
      <c r="H2864" s="10" t="inlineStr">
        <is>
          <t>05/04/2026</t>
        </is>
      </c>
      <c r="I2864" s="10" t="inlineStr">
        <is>
          <t>17/03/2026</t>
        </is>
      </c>
      <c r="J2864" s="10" t="inlineStr">
        <is>
          <t>Hành chính / Thư ký, Nhân sự, Bán hàng / Kinh doanh</t>
        </is>
      </c>
      <c r="K2864" s="10" t="inlineStr">
        <is>
          <t>1 - 4 Năm</t>
        </is>
      </c>
      <c r="L2864" s="11">
        <f>HYPERLINK("https://careerviet.vn/vi/tim-viec-lam/executive-recruiter-us-eu-timezone-salary-upto-1200.35C6B242.html","Xem chi tiết")</f>
        <v/>
      </c>
      <c r="M2864" s="10" t="n"/>
    </row>
    <row r="2865">
      <c r="B2865" s="7" t="n">
        <v>2863</v>
      </c>
      <c r="C2865" t="inlineStr">
        <is>
          <t>Store Manager - New Luxury Fashion Brand</t>
        </is>
      </c>
      <c r="D2865" t="inlineStr">
        <is>
          <t>Công Ty Cổ Phần Thời Trang &amp; Mỹ Phẩm Duy Anh (DAFC)</t>
        </is>
      </c>
      <c r="E2865" t="inlineStr">
        <is>
          <t>Lương:Cạnh tranh</t>
        </is>
      </c>
      <c r="F2865" t="inlineStr">
        <is>
          <t>Hồ Chí Minh</t>
        </is>
      </c>
      <c r="G2865" t="inlineStr">
        <is>
          <t>30-04-2026</t>
        </is>
      </c>
      <c r="H2865" t="inlineStr">
        <is>
          <t>30/04/2026</t>
        </is>
      </c>
      <c r="I2865" t="inlineStr">
        <is>
          <t>17/03/2026</t>
        </is>
      </c>
      <c r="J2865" t="inlineStr">
        <is>
          <t>Bán lẻ / Bán sỉ, Bán hàng / Kinh doanh, Dệt may / Da giày / Thời trang</t>
        </is>
      </c>
      <c r="K2865" t="inlineStr">
        <is>
          <t>2 - 5 Năm</t>
        </is>
      </c>
      <c r="L2865" s="8">
        <f>HYPERLINK("https://careerviet.vn/vi/tim-viec-lam/store-manager-new-luxury-fashion-brand.35C6B253.html","Xem chi tiết")</f>
        <v/>
      </c>
    </row>
    <row r="2866">
      <c r="B2866" s="9" t="n">
        <v>2864</v>
      </c>
      <c r="C2866" s="10" t="inlineStr">
        <is>
          <t>Trưởng Nhóm Hành Chính Nhân Sự Xưởng</t>
        </is>
      </c>
      <c r="D2866" s="10" t="inlineStr">
        <is>
          <t>CÔNG TY TNHH ĐẦU TƯ THƯƠNG MẠI VÀ SẢN XUẤT CHÍNH PHÁT</t>
        </is>
      </c>
      <c r="E2866" s="10" t="inlineStr">
        <is>
          <t>Lương:16 Tr - 19 Tr VND</t>
        </is>
      </c>
      <c r="F2866" s="10" t="inlineStr">
        <is>
          <t>Hồ Chí Minh</t>
        </is>
      </c>
      <c r="G2866" s="10" t="inlineStr">
        <is>
          <t>06-04-2026</t>
        </is>
      </c>
      <c r="H2866" s="10" t="inlineStr">
        <is>
          <t>06/04/2026</t>
        </is>
      </c>
      <c r="I2866" s="10" t="inlineStr">
        <is>
          <t>17/03/2026</t>
        </is>
      </c>
      <c r="J2866" s="10" t="inlineStr">
        <is>
          <t>Nhân sự</t>
        </is>
      </c>
      <c r="K2866" s="10" t="inlineStr">
        <is>
          <t>1 - 2 Năm</t>
        </is>
      </c>
      <c r="L2866" s="11">
        <f>HYPERLINK("https://careerviet.vn/vi/tim-viec-lam/truong-nhom-hanh-chinh-nhan-su-xuong.35C6AFA0.html","Xem chi tiết")</f>
        <v/>
      </c>
      <c r="M2866" s="10" t="n"/>
    </row>
    <row r="2867">
      <c r="B2867" s="7" t="n">
        <v>2865</v>
      </c>
      <c r="C2867" t="inlineStr">
        <is>
          <t>Giám Đốc Nhân Sự</t>
        </is>
      </c>
      <c r="D2867" t="inlineStr">
        <is>
          <t>Anh Nguyen Co Ltd</t>
        </is>
      </c>
      <c r="E2867" t="inlineStr">
        <is>
          <t>Lương:20 Tr - 35 Tr VND</t>
        </is>
      </c>
      <c r="F2867" t="inlineStr">
        <is>
          <t>Hà Nội</t>
        </is>
      </c>
      <c r="G2867" t="inlineStr">
        <is>
          <t>04-04-2026</t>
        </is>
      </c>
      <c r="H2867" t="inlineStr">
        <is>
          <t>04/04/2026</t>
        </is>
      </c>
      <c r="I2867" t="inlineStr">
        <is>
          <t>17/03/2026</t>
        </is>
      </c>
      <c r="J2867" t="inlineStr">
        <is>
          <t>Quản lý điều hành, Nhân sự, Bất động sản</t>
        </is>
      </c>
      <c r="K2867" t="inlineStr">
        <is>
          <t>5 - 7 Năm</t>
        </is>
      </c>
      <c r="L2867" s="8">
        <f>HYPERLINK("https://careerviet.vn/vi/tim-viec-lam/giam-doc-nhan-su.35C6B140.html","Xem chi tiết")</f>
        <v/>
      </c>
    </row>
    <row r="2868">
      <c r="B2868" s="9" t="n">
        <v>2866</v>
      </c>
      <c r="C2868" s="10" t="inlineStr">
        <is>
          <t>Nhân viên bảo vệ</t>
        </is>
      </c>
      <c r="D2868" s="10" t="inlineStr">
        <is>
          <t>CÔNG TY TNHH 4GS TEXAS REALTY</t>
        </is>
      </c>
      <c r="E2868" s="10" t="inlineStr">
        <is>
          <t>Lương:8 Tr - 9 Tr VND</t>
        </is>
      </c>
      <c r="F2868" s="10" t="inlineStr">
        <is>
          <t>Hồ Chí Minh</t>
        </is>
      </c>
      <c r="G2868" s="10" t="inlineStr">
        <is>
          <t>05-04-2026</t>
        </is>
      </c>
      <c r="H2868" s="10" t="inlineStr">
        <is>
          <t>05/04/2026</t>
        </is>
      </c>
      <c r="I2868" s="10" t="inlineStr">
        <is>
          <t>17/03/2026</t>
        </is>
      </c>
      <c r="J2868" s="10" t="inlineStr">
        <is>
          <t>An Ninh / Bảo Vệ</t>
        </is>
      </c>
      <c r="K2868" s="10" t="inlineStr">
        <is>
          <t>1 - 2 Năm</t>
        </is>
      </c>
      <c r="L2868" s="11">
        <f>HYPERLINK("https://careerviet.vn/vi/tim-viec-lam/nhan-vien-bao-ve.35C6B1B1.html","Xem chi tiết")</f>
        <v/>
      </c>
      <c r="M2868" s="10" t="n"/>
    </row>
    <row r="2869">
      <c r="B2869" s="7" t="n">
        <v>2867</v>
      </c>
      <c r="C2869" t="inlineStr">
        <is>
          <t>Chuyên viên tư vấn tuyển sinh</t>
        </is>
      </c>
      <c r="D2869" t="inlineStr">
        <is>
          <t>Công ty TNHH MTV Giáo Dục Việt Mỹ</t>
        </is>
      </c>
      <c r="E2869" t="inlineStr">
        <is>
          <t>Lương:8 Tr - 15 Tr VND</t>
        </is>
      </c>
      <c r="F2869" t="inlineStr">
        <is>
          <t>Đồng NaiBình PhướcKiên Giang</t>
        </is>
      </c>
      <c r="G2869" t="inlineStr">
        <is>
          <t>31-03-2026</t>
        </is>
      </c>
      <c r="H2869" t="inlineStr">
        <is>
          <t>31/03/2026</t>
        </is>
      </c>
      <c r="I2869" t="inlineStr">
        <is>
          <t>17/03/2026</t>
        </is>
      </c>
      <c r="J2869" t="inlineStr">
        <is>
          <t>Bán hàng / Kinh doanh, Tư vấn, Dịch vụ khách hàng</t>
        </is>
      </c>
      <c r="K2869" t="inlineStr">
        <is>
          <t>1 - 2 Năm</t>
        </is>
      </c>
      <c r="L2869" s="8">
        <f>HYPERLINK("https://careerviet.vn/vi/tim-viec-lam/chuyen-vien-tu-van-tuyen-sinh.35C6B240.html","Xem chi tiết")</f>
        <v/>
      </c>
    </row>
    <row r="2870">
      <c r="B2870" s="9" t="n">
        <v>2868</v>
      </c>
      <c r="C2870" s="10" t="inlineStr">
        <is>
          <t>Trưởng Bộ Phận Kinh Doanh Online - Ecommerce Manager</t>
        </is>
      </c>
      <c r="D2870" s="10" t="inlineStr">
        <is>
          <t>Công ty Cổ phần Thời Trang YODY</t>
        </is>
      </c>
      <c r="E2870" s="10" t="inlineStr">
        <is>
          <t>Lương:Cạnh tranh</t>
        </is>
      </c>
      <c r="F2870" s="10" t="inlineStr">
        <is>
          <t>Hà Nội</t>
        </is>
      </c>
      <c r="G2870" s="10" t="inlineStr">
        <is>
          <t>31-03-2026</t>
        </is>
      </c>
      <c r="H2870" s="10" t="inlineStr">
        <is>
          <t>31/03/2026</t>
        </is>
      </c>
      <c r="I2870" s="10" t="inlineStr">
        <is>
          <t>17/03/2026</t>
        </is>
      </c>
      <c r="J2870" s="10" t="inlineStr">
        <is>
          <t>Tiếp thị trực tuyến, Bán hàng / Kinh doanh</t>
        </is>
      </c>
      <c r="K2870" s="10" t="inlineStr">
        <is>
          <t>Trên 3 Năm</t>
        </is>
      </c>
      <c r="L2870" s="11">
        <f>HYPERLINK("https://careerviet.vn/vi/tim-viec-lam/truong-bo-phan-kinh-doanh-online-ecommerce-manager.35C6B1E1.html","Xem chi tiết")</f>
        <v/>
      </c>
      <c r="M2870" s="10" t="n"/>
    </row>
    <row r="2871">
      <c r="B2871" s="7" t="n">
        <v>2869</v>
      </c>
      <c r="C2871" t="inlineStr">
        <is>
          <t>Trưởng Bộ Phận Quản Lý Chất Lượng | QC Manager</t>
        </is>
      </c>
      <c r="D2871" t="inlineStr">
        <is>
          <t>Công ty Cổ phần Thời Trang YODY</t>
        </is>
      </c>
      <c r="E2871" t="inlineStr">
        <is>
          <t>Lương:Cạnh tranh</t>
        </is>
      </c>
      <c r="F2871" t="inlineStr">
        <is>
          <t>Hải DươngHà Nội</t>
        </is>
      </c>
      <c r="G2871" t="inlineStr">
        <is>
          <t>31-03-2026</t>
        </is>
      </c>
      <c r="H2871" t="inlineStr">
        <is>
          <t>31/03/2026</t>
        </is>
      </c>
      <c r="I2871" t="inlineStr">
        <is>
          <t>17/03/2026</t>
        </is>
      </c>
      <c r="J2871" t="inlineStr">
        <is>
          <t>Dệt may / Da giày / Thời trang, Quản lý chất lượng (QA/QC)</t>
        </is>
      </c>
      <c r="K2871" t="inlineStr">
        <is>
          <t>Trên 5 Năm</t>
        </is>
      </c>
      <c r="L2871" s="8">
        <f>HYPERLINK("https://careerviet.vn/vi/tim-viec-lam/truong-bo-phan-quan-ly-chat-luong-qc-manager.35C6B21D.html","Xem chi tiết")</f>
        <v/>
      </c>
    </row>
    <row r="2872">
      <c r="B2872" s="9" t="n">
        <v>2870</v>
      </c>
      <c r="C2872" s="10" t="inlineStr">
        <is>
          <t>Trưởng phòng HCNS</t>
        </is>
      </c>
      <c r="D2872" s="10" t="inlineStr">
        <is>
          <t>CÔNG TY TNHH ĐẦU TƯ XÂY DỰNG THƯƠNG MẠI DỊCH VỤ ĐẠI LONG</t>
        </is>
      </c>
      <c r="E2872" s="10" t="inlineStr">
        <is>
          <t>Lương:14 Tr - 18 Tr VND</t>
        </is>
      </c>
      <c r="F2872" s="10" t="inlineStr">
        <is>
          <t>Hồ Chí Minh</t>
        </is>
      </c>
      <c r="G2872" s="10" t="inlineStr">
        <is>
          <t>15-04-2026</t>
        </is>
      </c>
      <c r="H2872" s="10" t="inlineStr">
        <is>
          <t>15/04/2026</t>
        </is>
      </c>
      <c r="I2872" s="10" t="inlineStr">
        <is>
          <t>17/03/2026</t>
        </is>
      </c>
      <c r="J2872" s="10" t="inlineStr">
        <is>
          <t>Xây dựng</t>
        </is>
      </c>
      <c r="K2872" s="10" t="inlineStr">
        <is>
          <t>3 - 5 Năm</t>
        </is>
      </c>
      <c r="L2872" s="11">
        <f>HYPERLINK("https://careerviet.vn/vi/tim-viec-lam/truong-phong-hcns.35C6B1FF.html","Xem chi tiết")</f>
        <v/>
      </c>
      <c r="M2872" s="10" t="n"/>
    </row>
    <row r="2873">
      <c r="B2873" s="7" t="n">
        <v>2871</v>
      </c>
      <c r="C2873" t="inlineStr">
        <is>
          <t>128358 - Nhân viên/Giám sát chất lượng - ngành Thương mại</t>
        </is>
      </c>
      <c r="D2873" t="inlineStr">
        <is>
          <t>RGF HR Agent Vietnam Co., LTD</t>
        </is>
      </c>
      <c r="E2873" t="inlineStr">
        <is>
          <t>Lương:20 Tr - 20 Tr VND</t>
        </is>
      </c>
      <c r="F2873" t="inlineStr">
        <is>
          <t>Ninh Bình</t>
        </is>
      </c>
      <c r="G2873" t="inlineStr">
        <is>
          <t>05-04-2026</t>
        </is>
      </c>
      <c r="H2873" t="inlineStr">
        <is>
          <t>05/04/2026</t>
        </is>
      </c>
      <c r="I2873" t="inlineStr">
        <is>
          <t>17/03/2026</t>
        </is>
      </c>
      <c r="J2873" t="inlineStr">
        <is>
          <t>Quản lý chất lượng (QA/QC)</t>
        </is>
      </c>
      <c r="K2873" t="inlineStr">
        <is>
          <t>Trên 2 Năm</t>
        </is>
      </c>
      <c r="L2873" s="8">
        <f>HYPERLINK("https://careerviet.vn/vi/tim-viec-lam/128358-nhan-vien-giam-sat-chat-luong-nganh-thuong-mai.35C6B23B.html","Xem chi tiết")</f>
        <v/>
      </c>
    </row>
    <row r="2874">
      <c r="B2874" s="9" t="n">
        <v>2872</v>
      </c>
      <c r="C2874" s="10" t="inlineStr">
        <is>
          <t>Kế toán (AR, AP | GA)</t>
        </is>
      </c>
      <c r="D2874" s="10" t="inlineStr">
        <is>
          <t>DatVietVAC Group Holdings</t>
        </is>
      </c>
      <c r="E2874" s="10" t="inlineStr">
        <is>
          <t>Lương:12 Tr - 18 Tr VND</t>
        </is>
      </c>
      <c r="F2874" s="10" t="inlineStr">
        <is>
          <t>Hồ Chí Minh</t>
        </is>
      </c>
      <c r="G2874" s="10" t="inlineStr">
        <is>
          <t>30-04-2026</t>
        </is>
      </c>
      <c r="H2874" s="10" t="inlineStr">
        <is>
          <t>30/04/2026</t>
        </is>
      </c>
      <c r="I2874" s="10" t="inlineStr">
        <is>
          <t>17/03/2026</t>
        </is>
      </c>
      <c r="J2874" s="10" t="inlineStr">
        <is>
          <t>Kế toán / Kiểm toán</t>
        </is>
      </c>
      <c r="K2874" s="10" t="inlineStr">
        <is>
          <t>3 - 4 Năm</t>
        </is>
      </c>
      <c r="L2874" s="11">
        <f>HYPERLINK("https://careerviet.vn/vi/tim-viec-lam/ke-toan-ar-ap-ga.35C6AFB3.html","Xem chi tiết")</f>
        <v/>
      </c>
      <c r="M2874" s="10" t="n"/>
    </row>
    <row r="2875">
      <c r="B2875" s="7" t="n">
        <v>2873</v>
      </c>
      <c r="C2875" t="inlineStr">
        <is>
          <t>HR Senior Staff</t>
        </is>
      </c>
      <c r="D2875" t="inlineStr">
        <is>
          <t>Panasonic Vietnam Group</t>
        </is>
      </c>
      <c r="E2875" t="inlineStr">
        <is>
          <t>Lương:Cạnh tranh</t>
        </is>
      </c>
      <c r="F2875" t="inlineStr">
        <is>
          <t>Hà Nội</t>
        </is>
      </c>
      <c r="G2875" t="inlineStr">
        <is>
          <t>08-04-2026</t>
        </is>
      </c>
      <c r="H2875" t="inlineStr">
        <is>
          <t>08/04/2026</t>
        </is>
      </c>
      <c r="I2875" t="inlineStr">
        <is>
          <t>17/03/2026</t>
        </is>
      </c>
      <c r="J2875" t="inlineStr">
        <is>
          <t>Nhân sự</t>
        </is>
      </c>
      <c r="K2875" t="inlineStr">
        <is>
          <t>1 - 2 Năm</t>
        </is>
      </c>
      <c r="L2875" s="8">
        <f>HYPERLINK("https://careerviet.vn/vi/tim-viec-lam/hr-senior-staff.35C6B08D.html","Xem chi tiết")</f>
        <v/>
      </c>
    </row>
    <row r="2876">
      <c r="B2876" s="9" t="n">
        <v>2874</v>
      </c>
      <c r="C2876" s="10" t="inlineStr">
        <is>
          <t>Kế Toán Tổng Hợp</t>
        </is>
      </c>
      <c r="D2876" s="10" t="inlineStr">
        <is>
          <t>CÔNG TY TNHH XÂY DỰNG VÀ KHẢO SÁT CÔNG TRÌNH THANH TUẤN</t>
        </is>
      </c>
      <c r="E2876" s="10" t="inlineStr">
        <is>
          <t>Lương:Trên 13 Tr VND</t>
        </is>
      </c>
      <c r="F2876" s="10" t="inlineStr">
        <is>
          <t>Hồ Chí Minh</t>
        </is>
      </c>
      <c r="G2876" s="10" t="inlineStr">
        <is>
          <t>31-03-2026</t>
        </is>
      </c>
      <c r="H2876" s="10" t="inlineStr">
        <is>
          <t>31/03/2026</t>
        </is>
      </c>
      <c r="I2876" s="10" t="inlineStr">
        <is>
          <t>17/03/2026</t>
        </is>
      </c>
      <c r="J2876" s="10" t="inlineStr">
        <is>
          <t>Kế toán / Kiểm toán, Tài chính / Đầu tư, Xây dựng</t>
        </is>
      </c>
      <c r="K2876" s="10" t="inlineStr">
        <is>
          <t>1 - 2 Năm</t>
        </is>
      </c>
      <c r="L2876" s="11">
        <f>HYPERLINK("https://careerviet.vn/vi/tim-viec-lam/ke-toa-n-to-ng-ho-p.35C6B19C.html","Xem chi tiết")</f>
        <v/>
      </c>
      <c r="M2876" s="10" t="n"/>
    </row>
    <row r="2877">
      <c r="B2877" s="7" t="n">
        <v>2875</v>
      </c>
      <c r="C2877" t="inlineStr">
        <is>
          <t>Giám sát MEP</t>
        </is>
      </c>
      <c r="D2877" t="inlineStr">
        <is>
          <t>ERAS GROUP</t>
        </is>
      </c>
      <c r="E2877" t="inlineStr">
        <is>
          <t>Lương:Cạnh tranh</t>
        </is>
      </c>
      <c r="F2877" t="inlineStr">
        <is>
          <t>Bình Thuận</t>
        </is>
      </c>
      <c r="G2877" t="inlineStr">
        <is>
          <t>11-04-2026</t>
        </is>
      </c>
      <c r="H2877" t="inlineStr">
        <is>
          <t>11/04/2026</t>
        </is>
      </c>
      <c r="I2877" t="inlineStr">
        <is>
          <t>17/03/2026</t>
        </is>
      </c>
      <c r="J2877" t="inlineStr">
        <is>
          <t>Xây dựng, Điện / Điện tử / Điện lạnh / Điện công nghiệp</t>
        </is>
      </c>
      <c r="K2877" t="inlineStr">
        <is>
          <t>3 - 5 Năm</t>
        </is>
      </c>
      <c r="L2877" s="8">
        <f>HYPERLINK("https://careerviet.vn/vi/tim-viec-lam/giam-sat-mep.35C6B237.html","Xem chi tiết")</f>
        <v/>
      </c>
    </row>
    <row r="2878">
      <c r="B2878" s="9" t="n">
        <v>2876</v>
      </c>
      <c r="C2878" s="10" t="inlineStr">
        <is>
          <t>Kế Toán Viên: Doanh Thu-Công Nợ- Vật Tư-Công Cụ Dụng Cụ</t>
        </is>
      </c>
      <c r="D2878" s="10" t="inlineStr">
        <is>
          <t>CÔNG TY TNHH KHẢO SÁT VÀ XÂY DỰNG PECC2 (PSC)</t>
        </is>
      </c>
      <c r="E2878" s="10" t="inlineStr">
        <is>
          <t>Lương:Cạnh tranh</t>
        </is>
      </c>
      <c r="F2878" s="10" t="inlineStr">
        <is>
          <t>Hồ Chí Minh</t>
        </is>
      </c>
      <c r="G2878" s="10" t="inlineStr">
        <is>
          <t>03-04-2026</t>
        </is>
      </c>
      <c r="H2878" s="10" t="inlineStr">
        <is>
          <t>03/04/2026</t>
        </is>
      </c>
      <c r="I2878" s="10" t="inlineStr">
        <is>
          <t>17/03/2026</t>
        </is>
      </c>
      <c r="J2878" s="10" t="inlineStr">
        <is>
          <t>Kế toán / Kiểm toán, Tài chính / Đầu tư</t>
        </is>
      </c>
      <c r="K2878" s="10" t="inlineStr">
        <is>
          <t>Trên 2 Năm</t>
        </is>
      </c>
      <c r="L2878" s="11">
        <f>HYPERLINK("https://careerviet.vn/vi/tim-viec-lam/ke-toan-vien-doanh-thu-cong-no-vat-tu-cong-cu-dung-cu.35C6ACDE.html","Xem chi tiết")</f>
        <v/>
      </c>
      <c r="M2878" s="10" t="n"/>
    </row>
    <row r="2879">
      <c r="B2879" s="7" t="n">
        <v>2877</v>
      </c>
      <c r="C2879" t="inlineStr">
        <is>
          <t>CRM Manager</t>
        </is>
      </c>
      <c r="D2879" t="inlineStr">
        <is>
          <t>Công ty Cổ phần Thời Trang YODY</t>
        </is>
      </c>
      <c r="E2879" t="inlineStr">
        <is>
          <t>Lương:Cạnh tranh</t>
        </is>
      </c>
      <c r="F2879" t="inlineStr">
        <is>
          <t>Hồ Chí MinhHà Nội</t>
        </is>
      </c>
      <c r="G2879" t="inlineStr">
        <is>
          <t>31-03-2026</t>
        </is>
      </c>
      <c r="H2879" t="inlineStr">
        <is>
          <t>31/03/2026</t>
        </is>
      </c>
      <c r="I2879" t="inlineStr">
        <is>
          <t>17/03/2026</t>
        </is>
      </c>
      <c r="J2879" t="inlineStr">
        <is>
          <t>Tiếp thị / Marketing, Dệt may / Da giày / Thời trang</t>
        </is>
      </c>
      <c r="K2879" t="inlineStr">
        <is>
          <t>Trên 3 Năm</t>
        </is>
      </c>
      <c r="L2879" s="8">
        <f>HYPERLINK("https://careerviet.vn/vi/tim-viec-lam/crm-manager.35C6B1E6.html","Xem chi tiết")</f>
        <v/>
      </c>
    </row>
    <row r="2880">
      <c r="B2880" s="9" t="n">
        <v>2878</v>
      </c>
      <c r="C2880" s="10" t="inlineStr">
        <is>
          <t>128231 - Korean Required - Sales Manager - Logistics</t>
        </is>
      </c>
      <c r="D2880" s="10" t="inlineStr">
        <is>
          <t>RGF HR Agent Vietnam Co., LTD</t>
        </is>
      </c>
      <c r="E2880" s="10" t="inlineStr">
        <is>
          <t>Lương:Cạnh tranh</t>
        </is>
      </c>
      <c r="F2880" s="10" t="inlineStr">
        <is>
          <t>Hà Nội</t>
        </is>
      </c>
      <c r="G2880" s="10" t="inlineStr">
        <is>
          <t>05-04-2026</t>
        </is>
      </c>
      <c r="H2880" s="10" t="inlineStr">
        <is>
          <t>05/04/2026</t>
        </is>
      </c>
      <c r="I2880" s="10" t="inlineStr">
        <is>
          <t>17/03/2026</t>
        </is>
      </c>
      <c r="J2880" s="10" t="inlineStr">
        <is>
          <t>Bán hàng / Kinh doanh</t>
        </is>
      </c>
      <c r="K2880" s="10" t="inlineStr">
        <is>
          <t>3 - 5 Năm</t>
        </is>
      </c>
      <c r="L2880" s="11">
        <f>HYPERLINK("https://careerviet.vn/vi/tim-viec-lam/128231-korean-required-sales-manager-logistics.35C6B243.html","Xem chi tiết")</f>
        <v/>
      </c>
      <c r="M2880" s="10" t="n"/>
    </row>
    <row r="2881">
      <c r="B2881" s="7" t="n">
        <v>2879</v>
      </c>
      <c r="C2881" t="inlineStr">
        <is>
          <t>Giám Đốc Kinh Doanh  (Korean Sales Director)</t>
        </is>
      </c>
      <c r="D2881" t="inlineStr">
        <is>
          <t>CÔNG TY CỔ PHẦN VINA TECHNOLOGY</t>
        </is>
      </c>
      <c r="E2881" t="inlineStr">
        <is>
          <t>Lương:Cạnh tranh</t>
        </is>
      </c>
      <c r="F2881" t="inlineStr">
        <is>
          <t>Thái Nguyên</t>
        </is>
      </c>
      <c r="G2881" t="inlineStr">
        <is>
          <t>04-04-2026</t>
        </is>
      </c>
      <c r="H2881" t="inlineStr">
        <is>
          <t>04/04/2026</t>
        </is>
      </c>
      <c r="I2881" t="inlineStr">
        <is>
          <t>17/03/2026</t>
        </is>
      </c>
      <c r="J2881" t="inlineStr">
        <is>
          <t>Bán hàng / Kinh doanh, Quản lý điều hành, Tư vấn</t>
        </is>
      </c>
      <c r="K2881" t="inlineStr">
        <is>
          <t>Trên 10 Năm</t>
        </is>
      </c>
      <c r="L2881" s="8">
        <f>HYPERLINK("https://careerviet.vn/vi/tim-viec-lam/giam-doc-kinh-doanh-korean-sales-director.35C6B1FE.html","Xem chi tiết")</f>
        <v/>
      </c>
    </row>
    <row r="2882">
      <c r="B2882" s="9" t="n">
        <v>2880</v>
      </c>
      <c r="C2882" s="10" t="inlineStr">
        <is>
          <t>Nhân viên MKT Tổng hợp KV Sóc Trăng</t>
        </is>
      </c>
      <c r="D2882" s="10" t="inlineStr">
        <is>
          <t>Hệ thống Trung tâm Ngoại ngữ Cambridge</t>
        </is>
      </c>
      <c r="E2882" s="10" t="inlineStr">
        <is>
          <t>Lương:Cạnh tranh</t>
        </is>
      </c>
      <c r="F2882" s="10" t="inlineStr">
        <is>
          <t>Sóc Trăng</t>
        </is>
      </c>
      <c r="G2882" s="10" t="inlineStr">
        <is>
          <t>31-03-2026</t>
        </is>
      </c>
      <c r="H2882" s="10" t="inlineStr">
        <is>
          <t>31/03/2026</t>
        </is>
      </c>
      <c r="I2882" s="10" t="inlineStr">
        <is>
          <t>17/03/2026</t>
        </is>
      </c>
      <c r="J2882" s="10" t="inlineStr">
        <is>
          <t>Tiếp thị / Marketing, Mỹ thuật / Nghệ thuật / Thiết kế, Quảng cáo / Đối ngoại / Truyền Thông</t>
        </is>
      </c>
      <c r="K2882" s="10" t="inlineStr">
        <is>
          <t>1 - 2 Năm</t>
        </is>
      </c>
      <c r="L2882" s="11">
        <f>HYPERLINK("https://careerviet.vn/vi/tim-viec-lam/nhan-vien-mkt-tong-hop-kv-soc-trang.35C6B129.html","Xem chi tiết")</f>
        <v/>
      </c>
      <c r="M2882" s="10" t="n"/>
    </row>
    <row r="2883">
      <c r="B2883" s="7" t="n">
        <v>2881</v>
      </c>
      <c r="C2883" t="inlineStr">
        <is>
          <t>NHÂN VIÊN KỸ THUẬT LẮP ĐẶT CAMERA</t>
        </is>
      </c>
      <c r="D2883" t="inlineStr">
        <is>
          <t>CÔNG TY CỔ PHẦN GIẢI PHÁP CÔNG NGHỆ HCTECH</t>
        </is>
      </c>
      <c r="E2883" t="inlineStr">
        <is>
          <t>Lương:Cạnh tranh</t>
        </is>
      </c>
      <c r="F2883" t="inlineStr">
        <is>
          <t>Bình DươngHà NộiĐà Nẵng</t>
        </is>
      </c>
      <c r="G2883" t="inlineStr">
        <is>
          <t>04-04-2026</t>
        </is>
      </c>
      <c r="H2883" t="inlineStr">
        <is>
          <t>04/04/2026</t>
        </is>
      </c>
      <c r="I2883" t="inlineStr">
        <is>
          <t>17/03/2026</t>
        </is>
      </c>
      <c r="J2883" t="inlineStr">
        <is>
          <t>Điện / Điện tử / Điện lạnh / Điện công nghiệp, Bảo trì / Sửa chữa, CNTT - Phần cứng / Mạng</t>
        </is>
      </c>
      <c r="K2883" t="inlineStr">
        <is>
          <t>Trên 1 Năm</t>
        </is>
      </c>
      <c r="L2883" s="8">
        <f>HYPERLINK("https://careerviet.vn/vi/tim-viec-lam/nhan-vien-ky-thuat-lap-dat-camera.35C6B25C.html","Xem chi tiết")</f>
        <v/>
      </c>
    </row>
    <row r="2884">
      <c r="B2884" s="9" t="n">
        <v>2882</v>
      </c>
      <c r="C2884" s="10" t="inlineStr">
        <is>
          <t>Maintenance and Facilities Engineer</t>
        </is>
      </c>
      <c r="D2884" s="10" t="inlineStr">
        <is>
          <t>Bảo mật</t>
        </is>
      </c>
      <c r="E2884" s="10" t="inlineStr">
        <is>
          <t>Lương:Cạnh tranh</t>
        </is>
      </c>
      <c r="F2884" s="10" t="inlineStr">
        <is>
          <t>Hồ Chí Minh</t>
        </is>
      </c>
      <c r="G2884" s="10" t="inlineStr">
        <is>
          <t>31-03-2026</t>
        </is>
      </c>
      <c r="H2884" s="10" t="inlineStr">
        <is>
          <t>31/03/2026</t>
        </is>
      </c>
      <c r="I2884" s="10" t="inlineStr">
        <is>
          <t>17/03/2026</t>
        </is>
      </c>
      <c r="J2884" s="10" t="inlineStr">
        <is>
          <t>Sản xuất / Vận hành sản xuất</t>
        </is>
      </c>
      <c r="K2884" s="10" t="inlineStr">
        <is>
          <t>3 - 5 Năm</t>
        </is>
      </c>
      <c r="L2884" s="11">
        <f>HYPERLINK("https://careerviet.vn/vi/tim-viec-lam/maintenance-and-facilities-engineer.35C6B202.html","Xem chi tiết")</f>
        <v/>
      </c>
      <c r="M2884" s="10" t="n"/>
    </row>
    <row r="2885">
      <c r="B2885" s="7" t="n">
        <v>2883</v>
      </c>
      <c r="C2885" t="inlineStr">
        <is>
          <t>Nhân viên Kế Toán Tài Sản Cố Định</t>
        </is>
      </c>
      <c r="D2885" t="inlineStr">
        <is>
          <t>CÔNG TY CỔ PHẦN TRANSIMEX</t>
        </is>
      </c>
      <c r="E2885" t="inlineStr">
        <is>
          <t>Lương:10 Tr - 15 Tr VND</t>
        </is>
      </c>
      <c r="F2885" t="inlineStr">
        <is>
          <t>Hồ Chí Minh</t>
        </is>
      </c>
      <c r="G2885" t="inlineStr">
        <is>
          <t>04-04-2026</t>
        </is>
      </c>
      <c r="H2885" t="inlineStr">
        <is>
          <t>04/04/2026</t>
        </is>
      </c>
      <c r="I2885" t="inlineStr">
        <is>
          <t>17/03/2026</t>
        </is>
      </c>
      <c r="J2885" t="inlineStr">
        <is>
          <t>Kế toán / Kiểm toán</t>
        </is>
      </c>
      <c r="K2885" t="inlineStr">
        <is>
          <t>2 - 5 Năm</t>
        </is>
      </c>
      <c r="L2885" s="8">
        <f>HYPERLINK("https://careerviet.vn/vi/tim-viec-lam/nhan-vien-ke-toan-tai-san-co-dinh.35C6B189.html","Xem chi tiết")</f>
        <v/>
      </c>
    </row>
    <row r="2886">
      <c r="B2886" s="9" t="n">
        <v>2884</v>
      </c>
      <c r="C2886" s="10" t="inlineStr">
        <is>
          <t>GIÁM ĐỐC DỰ ÁN</t>
        </is>
      </c>
      <c r="D2886" s="10" t="inlineStr">
        <is>
          <t>Công Ty TNHH Soltec Việt Nam</t>
        </is>
      </c>
      <c r="E2886" s="10" t="inlineStr">
        <is>
          <t>Lương:Cạnh tranh</t>
        </is>
      </c>
      <c r="F2886" s="10" t="inlineStr">
        <is>
          <t>Đồng Nai</t>
        </is>
      </c>
      <c r="G2886" s="10" t="inlineStr">
        <is>
          <t>15-04-2026</t>
        </is>
      </c>
      <c r="H2886" s="10" t="inlineStr">
        <is>
          <t>15/04/2026</t>
        </is>
      </c>
      <c r="I2886" s="10" t="inlineStr">
        <is>
          <t>17/03/2026</t>
        </is>
      </c>
      <c r="J2886" s="10" t="inlineStr">
        <is>
          <t>Cơ khí / Ô tô / Tự động hóa, Quản lý chất lượng (QA/QC), Sản xuất / Vận hành sản xuất</t>
        </is>
      </c>
      <c r="K2886" s="10" t="inlineStr">
        <is>
          <t>Trên 2 Năm</t>
        </is>
      </c>
      <c r="L2886" s="11">
        <f>HYPERLINK("https://careerviet.vn/vi/tim-viec-lam/giam-doc-du-an.35C6AD82.html","Xem chi tiết")</f>
        <v/>
      </c>
      <c r="M2886" s="10" t="n"/>
    </row>
    <row r="2887">
      <c r="B2887" s="7" t="n">
        <v>2885</v>
      </c>
      <c r="C2887" t="inlineStr">
        <is>
          <t>Kỹ Sư Dự Toán Xây Dựng</t>
        </is>
      </c>
      <c r="D2887" t="inlineStr">
        <is>
          <t>CÔNG TY CỔ PHẦN ĐẦU TƯ THIÊN ÂN</t>
        </is>
      </c>
      <c r="E2887" t="inlineStr">
        <is>
          <t>Lương:15 Tr - 20 Tr VND</t>
        </is>
      </c>
      <c r="F2887" t="inlineStr">
        <is>
          <t>Hà Nội</t>
        </is>
      </c>
      <c r="G2887" t="inlineStr">
        <is>
          <t>10-04-2026</t>
        </is>
      </c>
      <c r="H2887" t="inlineStr">
        <is>
          <t>10/04/2026</t>
        </is>
      </c>
      <c r="I2887" t="inlineStr">
        <is>
          <t>17/03/2026</t>
        </is>
      </c>
      <c r="J2887" t="inlineStr">
        <is>
          <t>Kiến trúc, Xây dựng, Bất động sản</t>
        </is>
      </c>
      <c r="K2887" t="inlineStr">
        <is>
          <t>Trên 3 Năm</t>
        </is>
      </c>
      <c r="L2887" s="8">
        <f>HYPERLINK("https://careerviet.vn/vi/tim-viec-lam/ky-su-du-toan-xay-dung.35C6B201.html","Xem chi tiết")</f>
        <v/>
      </c>
    </row>
    <row r="2888">
      <c r="B2888" s="9" t="n">
        <v>2886</v>
      </c>
      <c r="C2888" s="10" t="inlineStr">
        <is>
          <t>QA Supervisor (Chinese language)</t>
        </is>
      </c>
      <c r="D2888" s="10" t="inlineStr">
        <is>
          <t>Công ty TNHH, Liên Doanh Vĩnh Hưng (TMI Việt Nam)</t>
        </is>
      </c>
      <c r="E2888" s="10" t="inlineStr">
        <is>
          <t>Lương:20 Tr - 25 Tr VND</t>
        </is>
      </c>
      <c r="F2888" s="10" t="inlineStr">
        <is>
          <t>Hồ Chí Minh</t>
        </is>
      </c>
      <c r="G2888" s="10" t="inlineStr">
        <is>
          <t>11-04-2026</t>
        </is>
      </c>
      <c r="H2888" s="10" t="inlineStr">
        <is>
          <t>11/04/2026</t>
        </is>
      </c>
      <c r="I2888" s="10" t="inlineStr">
        <is>
          <t>17/03/2026</t>
        </is>
      </c>
      <c r="J2888" s="10" t="inlineStr">
        <is>
          <t>Sản xuất / Vận hành sản xuất, Dệt may / Da giày / Thời trang, Quản lý chất lượng (QA/QC)</t>
        </is>
      </c>
      <c r="K2888" s="10" t="inlineStr">
        <is>
          <t>3 - 5 Năm</t>
        </is>
      </c>
      <c r="L2888" s="11">
        <f>HYPERLINK("https://careerviet.vn/vi/tim-viec-lam/qa-supervisor-chinese-language.35C6AF52.html","Xem chi tiết")</f>
        <v/>
      </c>
      <c r="M2888" s="10" t="n"/>
    </row>
    <row r="2889">
      <c r="B2889" s="7" t="n">
        <v>2887</v>
      </c>
      <c r="C2889" t="inlineStr">
        <is>
          <t>Trưởng Phòng Vận Hành Môi Trường</t>
        </is>
      </c>
      <c r="D2889" t="inlineStr">
        <is>
          <t>Công Ty Cổ Phần Tập Đoàn Hùng Nhơn</t>
        </is>
      </c>
      <c r="E2889" t="inlineStr">
        <is>
          <t>Lương:Cạnh tranh</t>
        </is>
      </c>
      <c r="F2889" t="inlineStr">
        <is>
          <t>Hồ Chí Minh</t>
        </is>
      </c>
      <c r="G2889" t="inlineStr">
        <is>
          <t>03-04-2026</t>
        </is>
      </c>
      <c r="H2889" t="inlineStr">
        <is>
          <t>03/04/2026</t>
        </is>
      </c>
      <c r="I2889" t="inlineStr">
        <is>
          <t>17/03/2026</t>
        </is>
      </c>
      <c r="J2889" t="inlineStr">
        <is>
          <t>Công nghệ sinh học, Môi trường, Hóa học</t>
        </is>
      </c>
      <c r="K2889" t="inlineStr">
        <is>
          <t>3 - 5 Năm</t>
        </is>
      </c>
      <c r="L2889" s="8">
        <f>HYPERLINK("https://careerviet.vn/vi/tim-viec-lam/truong-phong-van-hanh-moi-truong.35C6B1C6.html","Xem chi tiết")</f>
        <v/>
      </c>
    </row>
    <row r="2890">
      <c r="B2890" s="9" t="n">
        <v>2888</v>
      </c>
      <c r="C2890" s="10" t="inlineStr">
        <is>
          <t>Chuyên viên Quản lý rủi ro</t>
        </is>
      </c>
      <c r="D2890" s="10" t="inlineStr">
        <is>
          <t>Công Ty Cổ Phần Tập Đoàn TH</t>
        </is>
      </c>
      <c r="E2890" s="10" t="inlineStr">
        <is>
          <t>Lương:Cạnh tranh</t>
        </is>
      </c>
      <c r="F2890" s="10" t="inlineStr">
        <is>
          <t>Hà Nội</t>
        </is>
      </c>
      <c r="G2890" s="10" t="inlineStr">
        <is>
          <t>05-04-2026</t>
        </is>
      </c>
      <c r="H2890" s="10" t="inlineStr">
        <is>
          <t>05/04/2026</t>
        </is>
      </c>
      <c r="I2890" s="10" t="inlineStr">
        <is>
          <t>17/03/2026</t>
        </is>
      </c>
      <c r="J2890" s="10" t="inlineStr">
        <is>
          <t>Thực phẩm &amp; Đồ uống, Kế toán / Kiểm toán, Ngân hàng</t>
        </is>
      </c>
      <c r="K2890" s="10" t="inlineStr">
        <is>
          <t>Trên 3 Năm</t>
        </is>
      </c>
      <c r="L2890" s="11">
        <f>HYPERLINK("https://careerviet.vn/vi/tim-viec-lam/chuyen-vien-quan-ly-rui-ro.35C6B225.html","Xem chi tiết")</f>
        <v/>
      </c>
      <c r="M2890" s="10" t="n"/>
    </row>
    <row r="2891">
      <c r="B2891" s="7" t="n">
        <v>2889</v>
      </c>
      <c r="C2891" t="inlineStr">
        <is>
          <t>Nhân viên Marketing - Hué Plaza</t>
        </is>
      </c>
      <c r="D2891" t="inlineStr">
        <is>
          <t>Công Ty Cổ Phần Du Lịch Vietravel</t>
        </is>
      </c>
      <c r="E2891" t="inlineStr">
        <is>
          <t>Lương:Cạnh tranh</t>
        </is>
      </c>
      <c r="F2891" t="inlineStr">
        <is>
          <t>Thừa Thiên- Huế</t>
        </is>
      </c>
      <c r="G2891" t="inlineStr">
        <is>
          <t>03-04-2026</t>
        </is>
      </c>
      <c r="H2891" t="inlineStr">
        <is>
          <t>03/04/2026</t>
        </is>
      </c>
      <c r="I2891" t="inlineStr">
        <is>
          <t>17/03/2026</t>
        </is>
      </c>
      <c r="J2891" t="inlineStr">
        <is>
          <t>Tiếp thị / Marketing, Du lịch, Quảng cáo / Đối ngoại / Truyền Thông</t>
        </is>
      </c>
      <c r="K2891" t="inlineStr">
        <is>
          <t>1 - 2 Năm</t>
        </is>
      </c>
      <c r="L2891" s="8">
        <f>HYPERLINK("https://careerviet.vn/vi/tim-viec-lam/nhan-vien-marketing-hue-plaza.35C6B07D.html","Xem chi tiết")</f>
        <v/>
      </c>
    </row>
    <row r="2892">
      <c r="B2892" s="9" t="n">
        <v>2890</v>
      </c>
      <c r="C2892" s="10" t="inlineStr">
        <is>
          <t>Trưởng Bộ Phận Kỹ Thuật (Rập &amp; May Mẫu)</t>
        </is>
      </c>
      <c r="D2892" s="10" t="inlineStr">
        <is>
          <t>Công ty Cổ phần Thời Trang YODY</t>
        </is>
      </c>
      <c r="E2892" s="10" t="inlineStr">
        <is>
          <t>Lương:Cạnh tranh</t>
        </is>
      </c>
      <c r="F2892" s="10" t="inlineStr">
        <is>
          <t>Hà NộiHải Dương</t>
        </is>
      </c>
      <c r="G2892" s="10" t="inlineStr">
        <is>
          <t>31-03-2026</t>
        </is>
      </c>
      <c r="H2892" s="10" t="inlineStr">
        <is>
          <t>31/03/2026</t>
        </is>
      </c>
      <c r="I2892" s="10" t="inlineStr">
        <is>
          <t>17/03/2026</t>
        </is>
      </c>
      <c r="J2892" s="10" t="inlineStr">
        <is>
          <t>Dệt may / Da giày / Thời trang</t>
        </is>
      </c>
      <c r="K2892" s="10" t="inlineStr">
        <is>
          <t>Trên 3 Năm</t>
        </is>
      </c>
      <c r="L2892" s="11">
        <f>HYPERLINK("https://careerviet.vn/vi/tim-viec-lam/truong-bo-phan-ky-thuat-rap-may-mau.35C6B1D3.html","Xem chi tiết")</f>
        <v/>
      </c>
      <c r="M2892" s="10" t="n"/>
    </row>
    <row r="2893">
      <c r="B2893" s="7" t="n">
        <v>2891</v>
      </c>
      <c r="C2893" t="inlineStr">
        <is>
          <t>Key Account Operations Executive - Chinese  (Ho Chi Minh)</t>
        </is>
      </c>
      <c r="D2893" t="inlineStr">
        <is>
          <t>S.F. EXPRESS LTD.</t>
        </is>
      </c>
      <c r="E2893" t="inlineStr">
        <is>
          <t>Lương:20 Tr - 25 Tr VND</t>
        </is>
      </c>
      <c r="F2893" t="inlineStr">
        <is>
          <t>Hồ Chí Minh</t>
        </is>
      </c>
      <c r="G2893" t="inlineStr">
        <is>
          <t>31-03-2026</t>
        </is>
      </c>
      <c r="H2893" t="inlineStr">
        <is>
          <t>31/03/2026</t>
        </is>
      </c>
      <c r="I2893" t="inlineStr">
        <is>
          <t>17/03/2026</t>
        </is>
      </c>
      <c r="J2893" t="inlineStr">
        <is>
          <t>Tiếp thị / Marketing, Vận chuyển / Giao nhận / Kho vận, Xuất nhập khẩu</t>
        </is>
      </c>
      <c r="K2893" t="inlineStr">
        <is>
          <t>2 - 5 Năm</t>
        </is>
      </c>
      <c r="L2893" s="8">
        <f>HYPERLINK("https://careerviet.vn/vi/tim-viec-lam/key-account-operations-executive-chinese-ho-chi-minh.35C6AFE8.html","Xem chi tiết")</f>
        <v/>
      </c>
    </row>
    <row r="2894">
      <c r="B2894" s="9" t="n">
        <v>2892</v>
      </c>
      <c r="C2894" s="10" t="inlineStr">
        <is>
          <t>Nhân viên thiết kế</t>
        </is>
      </c>
      <c r="D2894" s="10" t="inlineStr">
        <is>
          <t>Hệ thống Trung tâm Ngoại ngữ Cambridge</t>
        </is>
      </c>
      <c r="E2894" s="10" t="inlineStr">
        <is>
          <t>Lương:8 Tr - 10 Tr VND</t>
        </is>
      </c>
      <c r="F2894" s="10" t="inlineStr">
        <is>
          <t>Bến Tre</t>
        </is>
      </c>
      <c r="G2894" s="10" t="inlineStr">
        <is>
          <t>31-03-2026</t>
        </is>
      </c>
      <c r="H2894" s="10" t="inlineStr">
        <is>
          <t>31/03/2026</t>
        </is>
      </c>
      <c r="I2894" s="10" t="inlineStr">
        <is>
          <t>17/03/2026</t>
        </is>
      </c>
      <c r="J2894" s="10" t="inlineStr">
        <is>
          <t>Mỹ thuật / Nghệ thuật / Thiết kế, Truyền hình / Báo chí / Biên tập, Quảng cáo / Đối ngoại / Truyền Thông</t>
        </is>
      </c>
      <c r="K2894" s="10" t="inlineStr">
        <is>
          <t>1 - 2 Năm</t>
        </is>
      </c>
      <c r="L2894" s="11">
        <f>HYPERLINK("https://careerviet.vn/vi/tim-viec-lam/nhan-vien-thiet-ke.35C6B16A.html","Xem chi tiết")</f>
        <v/>
      </c>
      <c r="M2894" s="10" t="n"/>
    </row>
    <row r="2895">
      <c r="B2895" s="7" t="n">
        <v>2893</v>
      </c>
      <c r="C2895" t="inlineStr">
        <is>
          <t>Senior Product Owner</t>
        </is>
      </c>
      <c r="D2895" t="inlineStr">
        <is>
          <t>Citigroup Limited Industries, Inc.</t>
        </is>
      </c>
      <c r="E2895" t="inlineStr">
        <is>
          <t>Lương:Cạnh tranh</t>
        </is>
      </c>
      <c r="F2895" t="inlineStr">
        <is>
          <t>Hồ Chí Minh</t>
        </is>
      </c>
      <c r="G2895" t="inlineStr">
        <is>
          <t>11-04-2026</t>
        </is>
      </c>
      <c r="H2895" t="inlineStr">
        <is>
          <t>11/04/2026</t>
        </is>
      </c>
      <c r="I2895" t="inlineStr">
        <is>
          <t>17/03/2026</t>
        </is>
      </c>
      <c r="J2895" t="inlineStr">
        <is>
          <t>Xuất nhập khẩu, Nội ngoại thất</t>
        </is>
      </c>
      <c r="K2895" t="inlineStr">
        <is>
          <t>3 - 5 Năm</t>
        </is>
      </c>
      <c r="L2895" s="8">
        <f>HYPERLINK("https://careerviet.vn/vi/tim-viec-lam/senior-product-owner.35C6B1D7.html","Xem chi tiết")</f>
        <v/>
      </c>
    </row>
    <row r="2896">
      <c r="B2896" s="9" t="n">
        <v>2894</v>
      </c>
      <c r="C2896" s="10" t="inlineStr">
        <is>
          <t>Digital Marketing Supervisor (Pharmaceutical)</t>
        </is>
      </c>
      <c r="D2896" s="10" t="inlineStr">
        <is>
          <t>CareerViet's client</t>
        </is>
      </c>
      <c r="E2896" s="10" t="inlineStr">
        <is>
          <t>Lương:Cạnh tranh</t>
        </is>
      </c>
      <c r="F2896" s="10" t="inlineStr">
        <is>
          <t>Hồ Chí Minh</t>
        </is>
      </c>
      <c r="G2896" s="10" t="inlineStr">
        <is>
          <t>31-03-2026</t>
        </is>
      </c>
      <c r="H2896" s="10" t="inlineStr">
        <is>
          <t>31/03/2026</t>
        </is>
      </c>
      <c r="I2896" s="10" t="inlineStr">
        <is>
          <t>17/03/2026</t>
        </is>
      </c>
      <c r="J2896" s="10" t="inlineStr">
        <is>
          <t>Tiếp thị / Marketing</t>
        </is>
      </c>
      <c r="K2896" s="10" t="inlineStr">
        <is>
          <t>2 - 3 Năm</t>
        </is>
      </c>
      <c r="L2896" s="11">
        <f>HYPERLINK("https://careerviet.vn/vi/tim-viec-lam/digital-marketing-supervisor-pharmaceutical.35C6B197.html","Xem chi tiết")</f>
        <v/>
      </c>
      <c r="M2896" s="10" t="n"/>
    </row>
    <row r="2897">
      <c r="B2897" s="7" t="n">
        <v>2895</v>
      </c>
      <c r="C2897" t="inlineStr">
        <is>
          <t>Quản lý kênh ETC Ngành hàng làm đẹp/Thẩm mỹ nội khoa</t>
        </is>
      </c>
      <c r="D2897" t="inlineStr">
        <is>
          <t>CÔNG TY TNHH WIR GROUP</t>
        </is>
      </c>
      <c r="E2897" t="inlineStr">
        <is>
          <t>Lương:30 Tr - 45 Tr VND</t>
        </is>
      </c>
      <c r="F2897" t="inlineStr">
        <is>
          <t>Hồ Chí Minh</t>
        </is>
      </c>
      <c r="G2897" t="inlineStr">
        <is>
          <t>31-03-2026</t>
        </is>
      </c>
      <c r="H2897" t="inlineStr">
        <is>
          <t>31/03/2026</t>
        </is>
      </c>
      <c r="I2897" t="inlineStr">
        <is>
          <t>17/03/2026</t>
        </is>
      </c>
      <c r="J2897" t="inlineStr">
        <is>
          <t>Dược phẩm/ Hóa Mỹ Phẩm, Y tế / Chăm sóc sức khỏe / Thẩm mỹ / Làm đẹp, Bán lẻ / Bán sỉ</t>
        </is>
      </c>
      <c r="K2897" t="inlineStr">
        <is>
          <t>3 - 5 Năm</t>
        </is>
      </c>
      <c r="L2897" s="8">
        <f>HYPERLINK("https://careerviet.vn/vi/tim-viec-lam/quan-ly-kenh-etc-nganh-hang-lam-dep-tham-my-noi-khoa.35C6B0EC.html","Xem chi tiết")</f>
        <v/>
      </c>
    </row>
    <row r="2898">
      <c r="B2898" s="9" t="n">
        <v>2896</v>
      </c>
      <c r="C2898" s="10" t="inlineStr">
        <is>
          <t>Nhân viên Hành chính &amp; Nhân sự</t>
        </is>
      </c>
      <c r="D2898" s="10" t="inlineStr">
        <is>
          <t>CÔNG TY CỔ PHẦN TRANSIMEX</t>
        </is>
      </c>
      <c r="E2898" s="10" t="inlineStr">
        <is>
          <t>Lương:10 Tr - 15 Tr VND</t>
        </is>
      </c>
      <c r="F2898" s="10" t="inlineStr">
        <is>
          <t>Bình Dương</t>
        </is>
      </c>
      <c r="G2898" s="10" t="inlineStr">
        <is>
          <t>05-04-2026</t>
        </is>
      </c>
      <c r="H2898" s="10" t="inlineStr">
        <is>
          <t>05/04/2026</t>
        </is>
      </c>
      <c r="I2898" s="10" t="inlineStr">
        <is>
          <t>17/03/2026</t>
        </is>
      </c>
      <c r="J2898" s="10" t="inlineStr">
        <is>
          <t>Hành chính / Thư ký</t>
        </is>
      </c>
      <c r="K2898" s="10" t="inlineStr">
        <is>
          <t>3 - 10 Năm</t>
        </is>
      </c>
      <c r="L2898" s="11">
        <f>HYPERLINK("https://careerviet.vn/vi/tim-viec-lam/nhan-vien-hanh-chinh-nhan-su.35C619CC.html","Xem chi tiết")</f>
        <v/>
      </c>
      <c r="M2898" s="10" t="n"/>
    </row>
    <row r="2899">
      <c r="B2899" s="7" t="n">
        <v>2897</v>
      </c>
      <c r="C2899" t="inlineStr">
        <is>
          <t>Trưởng nhóm mua sắm vật tư</t>
        </is>
      </c>
      <c r="D2899" t="inlineStr">
        <is>
          <t>Chi nhánh Công ty TNHH MTV BCA-Thăng Long tại TP.HCM</t>
        </is>
      </c>
      <c r="E2899" t="inlineStr">
        <is>
          <t>Lương:25 Tr - 30 Tr VND</t>
        </is>
      </c>
      <c r="F2899" t="inlineStr">
        <is>
          <t>Hồ Chí Minh</t>
        </is>
      </c>
      <c r="G2899" t="inlineStr">
        <is>
          <t>11-04-2026</t>
        </is>
      </c>
      <c r="H2899" t="inlineStr">
        <is>
          <t>11/04/2026</t>
        </is>
      </c>
      <c r="I2899" t="inlineStr">
        <is>
          <t>17/03/2026</t>
        </is>
      </c>
      <c r="J2899" t="inlineStr">
        <is>
          <t>Cơ khí / Ô tô / Tự động hóa, Điện / Điện tử / Điện lạnh / Điện công nghiệp, Xuất nhập khẩu</t>
        </is>
      </c>
      <c r="K2899" t="inlineStr">
        <is>
          <t>6 - 10 Năm</t>
        </is>
      </c>
      <c r="L2899" s="8">
        <f>HYPERLINK("https://careerviet.vn/vi/tim-viec-lam/truong-nhom-mua-sam-vat-tu.35C6B0E1.html","Xem chi tiết")</f>
        <v/>
      </c>
    </row>
    <row r="2900">
      <c r="B2900" s="9" t="n">
        <v>2898</v>
      </c>
      <c r="C2900" s="10" t="inlineStr">
        <is>
          <t>KIỂM TOÁN VIÊN CÔNG NGHỆ THÔNG TIN - KIỂM TOÁN NỘI BỘ - TRỰC THUỘC BAN KIỂM SOÁT</t>
        </is>
      </c>
      <c r="D2900" s="10" t="inlineStr">
        <is>
          <t>NGÂN HÀNG TMCP SÀI GÒN THƯƠNG TÍN (SACOMBANK)</t>
        </is>
      </c>
      <c r="E2900" s="10" t="inlineStr">
        <is>
          <t>Lương:Cạnh tranh</t>
        </is>
      </c>
      <c r="F2900" s="10" t="inlineStr">
        <is>
          <t>Hồ Chí Minh</t>
        </is>
      </c>
      <c r="G2900" s="10" t="inlineStr">
        <is>
          <t>03-04-2026</t>
        </is>
      </c>
      <c r="H2900" s="10" t="inlineStr">
        <is>
          <t>03/04/2026</t>
        </is>
      </c>
      <c r="I2900" s="10" t="inlineStr">
        <is>
          <t>17/03/2026</t>
        </is>
      </c>
      <c r="J2900" s="10" t="inlineStr">
        <is>
          <t>Kế toán / Kiểm toán</t>
        </is>
      </c>
      <c r="K2900" s="10" t="inlineStr">
        <is>
          <t>2 Năm</t>
        </is>
      </c>
      <c r="L2900" s="11">
        <f>HYPERLINK("https://careerviet.vn/vi/tim-viec-lam/kiem-toan-vien-cong-nghe-thong-tin-kiem-toan-noi-bo-truc-thuoc-ban-kiem-soat.35C6AEF5.html","Xem chi tiết")</f>
        <v/>
      </c>
      <c r="M2900" s="10" t="n"/>
    </row>
    <row r="2901">
      <c r="B2901" s="7" t="n">
        <v>2899</v>
      </c>
      <c r="C2901" t="inlineStr">
        <is>
          <t>Kế toán trưởng</t>
        </is>
      </c>
      <c r="D2901" t="inlineStr">
        <is>
          <t>CÔNG TY CỔ PHẦN ULTD THỊNH PHÁT</t>
        </is>
      </c>
      <c r="E2901" t="inlineStr">
        <is>
          <t>Lương:25 Tr - 35 Tr VND</t>
        </is>
      </c>
      <c r="F2901" t="inlineStr">
        <is>
          <t>Hà Nội</t>
        </is>
      </c>
      <c r="G2901" t="inlineStr">
        <is>
          <t>05-04-2026</t>
        </is>
      </c>
      <c r="H2901" t="inlineStr">
        <is>
          <t>05/04/2026</t>
        </is>
      </c>
      <c r="I2901" t="inlineStr">
        <is>
          <t>17/03/2026</t>
        </is>
      </c>
      <c r="J2901" t="inlineStr">
        <is>
          <t>Kế toán / Kiểm toán, Bán lẻ / Bán sỉ, Thương mại điện tử</t>
        </is>
      </c>
      <c r="K2901" t="inlineStr">
        <is>
          <t>2 - 3 Năm</t>
        </is>
      </c>
      <c r="L2901" s="8">
        <f>HYPERLINK("https://careerviet.vn/vi/tim-viec-lam/ke-toan-truong.35C6B0F0.html","Xem chi tiết")</f>
        <v/>
      </c>
    </row>
    <row r="2902">
      <c r="B2902" s="9" t="n">
        <v>2900</v>
      </c>
      <c r="C2902" s="10" t="inlineStr">
        <is>
          <t>Trưởng phòng Thiết kế Kiểu dáng – Industrial Design Manager</t>
        </is>
      </c>
      <c r="D2902" s="10" t="inlineStr">
        <is>
          <t>Tập Đoàn Karofi Holding</t>
        </is>
      </c>
      <c r="E2902" s="10" t="inlineStr">
        <is>
          <t>Lương:2.000 - 3.500 USD</t>
        </is>
      </c>
      <c r="F2902" s="10" t="inlineStr">
        <is>
          <t>Hà Nội</t>
        </is>
      </c>
      <c r="G2902" s="10" t="inlineStr">
        <is>
          <t>30-05-2026</t>
        </is>
      </c>
      <c r="H2902" s="10" t="inlineStr">
        <is>
          <t>30/05/2026</t>
        </is>
      </c>
      <c r="I2902" s="10" t="inlineStr">
        <is>
          <t>17/03/2026</t>
        </is>
      </c>
      <c r="J2902" s="10" t="inlineStr">
        <is>
          <t>Hàng gia dụng / Chăm sóc cá nhân, Mỹ thuật / Nghệ thuật / Thiết kế, Quảng cáo / Đối ngoại / Truyền Thông</t>
        </is>
      </c>
      <c r="K2902" s="10" t="inlineStr">
        <is>
          <t>5 - 15 Năm</t>
        </is>
      </c>
      <c r="L2902" s="11">
        <f>HYPERLINK("https://careerviet.vn/vi/tim-viec-lam/truong-phong-thiet-ke-kieu-dang-industrial-design-manager.35C6C19C.html","Xem chi tiết")</f>
        <v/>
      </c>
      <c r="M2902" s="10" t="n"/>
    </row>
    <row r="2903">
      <c r="B2903" s="7" t="n">
        <v>2901</v>
      </c>
      <c r="C2903" t="inlineStr">
        <is>
          <t>Kỹ Sư QA/QC</t>
        </is>
      </c>
      <c r="D2903" t="inlineStr">
        <is>
          <t>CÔNG TY CỔ PHẦN KẾT CẤU THÉP REMARK</t>
        </is>
      </c>
      <c r="E2903" t="inlineStr">
        <is>
          <t>Lương:Lên đến 25 Tr VND</t>
        </is>
      </c>
      <c r="F2903" t="inlineStr">
        <is>
          <t>Đồng Nai</t>
        </is>
      </c>
      <c r="G2903" t="inlineStr">
        <is>
          <t>04-04-2026</t>
        </is>
      </c>
      <c r="H2903" t="inlineStr">
        <is>
          <t>04/04/2026</t>
        </is>
      </c>
      <c r="I2903" t="inlineStr">
        <is>
          <t>17/03/2026</t>
        </is>
      </c>
      <c r="J2903" t="inlineStr">
        <is>
          <t>Quản lý chất lượng (QA/QC), Sản xuất / Vận hành sản xuất, Xây dựng</t>
        </is>
      </c>
      <c r="K2903" t="inlineStr">
        <is>
          <t>Trên 2 Năm</t>
        </is>
      </c>
      <c r="L2903" s="8">
        <f>HYPERLINK("https://careerviet.vn/vi/tim-viec-lam/ky-su-qa-qc.35C6B05F.html","Xem chi tiết")</f>
        <v/>
      </c>
    </row>
    <row r="2904">
      <c r="B2904" s="9" t="n">
        <v>2902</v>
      </c>
      <c r="C2904" s="10" t="inlineStr">
        <is>
          <t>Trưởng nhóm Kinh doanh Online</t>
        </is>
      </c>
      <c r="D2904" s="10" t="inlineStr">
        <is>
          <t>Levents Global</t>
        </is>
      </c>
      <c r="E2904" s="10" t="inlineStr">
        <is>
          <t>Lương:15 Tr - 20 Tr VND</t>
        </is>
      </c>
      <c r="F2904" s="10" t="inlineStr">
        <is>
          <t>Hồ Chí Minh</t>
        </is>
      </c>
      <c r="G2904" s="10" t="inlineStr">
        <is>
          <t>11-04-2026</t>
        </is>
      </c>
      <c r="H2904" s="10" t="inlineStr">
        <is>
          <t>11/04/2026</t>
        </is>
      </c>
      <c r="I2904" s="10" t="inlineStr">
        <is>
          <t>17/03/2026</t>
        </is>
      </c>
      <c r="J2904" s="10" t="inlineStr">
        <is>
          <t>Bán hàng / Kinh doanh, Thương mại điện tử, Bán lẻ / Bán sỉ</t>
        </is>
      </c>
      <c r="K2904" s="10" t="inlineStr">
        <is>
          <t>2 - 3 Năm</t>
        </is>
      </c>
      <c r="L2904" s="11">
        <f>HYPERLINK("https://careerviet.vn/vi/tim-viec-lam/truong-nhom-kinh-doanh-online.35C6C101.html","Xem chi tiết")</f>
        <v/>
      </c>
      <c r="M2904" s="10" t="n"/>
    </row>
    <row r="2905">
      <c r="B2905" s="7" t="n">
        <v>2903</v>
      </c>
      <c r="C2905" t="inlineStr">
        <is>
          <t>Chuyên Viên Thiết Kế Kiêm Hiệu Chỉnh Video</t>
        </is>
      </c>
      <c r="D2905" t="inlineStr">
        <is>
          <t>CÔNG TY TNHH SẢN XUẤT THƯƠNG MẠI DỊCH VỤ FARM CENTRE</t>
        </is>
      </c>
      <c r="E2905" t="inlineStr">
        <is>
          <t>Lương:Cạnh tranh</t>
        </is>
      </c>
      <c r="F2905" t="inlineStr">
        <is>
          <t>Hồ Chí Minh</t>
        </is>
      </c>
      <c r="G2905" t="inlineStr">
        <is>
          <t>11-04-2026</t>
        </is>
      </c>
      <c r="H2905" t="inlineStr">
        <is>
          <t>11/04/2026</t>
        </is>
      </c>
      <c r="I2905" t="inlineStr">
        <is>
          <t>17/03/2026</t>
        </is>
      </c>
      <c r="J2905" t="inlineStr">
        <is>
          <t>Mỹ thuật / Nghệ thuật / Thiết kế, Quảng cáo / Đối ngoại / Truyền Thông, Nông nghiệp</t>
        </is>
      </c>
      <c r="K2905" t="inlineStr">
        <is>
          <t>2 - 3 Năm</t>
        </is>
      </c>
      <c r="L2905" s="8">
        <f>HYPERLINK("https://careerviet.vn/vi/tim-viec-lam/chuyen-vien-thiet-ke-kiem-hieu-chinh-video.35C6C192.html","Xem chi tiết")</f>
        <v/>
      </c>
    </row>
    <row r="2906">
      <c r="B2906" s="9" t="n">
        <v>2904</v>
      </c>
      <c r="C2906" s="10" t="inlineStr">
        <is>
          <t>Nhân Viên Đánh Giá Màu Sắc</t>
        </is>
      </c>
      <c r="D2906" s="10" t="inlineStr">
        <is>
          <t>CÔNG TY TNHH PHỤ TÙNG NÚT ÁO QUỐC TẾ UNITEX (VIỆT NAM)</t>
        </is>
      </c>
      <c r="E2906" s="10" t="inlineStr">
        <is>
          <t>Lương:Trên 15 Tr VND</t>
        </is>
      </c>
      <c r="F2906" s="10" t="inlineStr">
        <is>
          <t>Bình Dương</t>
        </is>
      </c>
      <c r="G2906" s="10" t="inlineStr">
        <is>
          <t>11-04-2026</t>
        </is>
      </c>
      <c r="H2906" s="10" t="inlineStr">
        <is>
          <t>11/04/2026</t>
        </is>
      </c>
      <c r="I2906" s="10" t="inlineStr">
        <is>
          <t>17/03/2026</t>
        </is>
      </c>
      <c r="J2906" s="10" t="inlineStr">
        <is>
          <t>Dệt may / Da giày / Thời trang, Sản xuất / Vận hành sản xuất, Quản lý chất lượng (QA/QC)</t>
        </is>
      </c>
      <c r="K2906" s="10" t="inlineStr">
        <is>
          <t>2 - 3 Năm</t>
        </is>
      </c>
      <c r="L2906" s="11">
        <f>HYPERLINK("https://careerviet.vn/vi/tim-viec-lam/nhan-vien-danh-gia-mau-sac.35C6C19D.html","Xem chi tiết")</f>
        <v/>
      </c>
      <c r="M2906" s="10" t="n"/>
    </row>
    <row r="2907">
      <c r="B2907" s="7" t="n">
        <v>2905</v>
      </c>
      <c r="C2907" t="inlineStr">
        <is>
          <t>Kỹ sư hóa nhuộm</t>
        </is>
      </c>
      <c r="D2907" t="inlineStr">
        <is>
          <t>Thuan Phuong Group</t>
        </is>
      </c>
      <c r="E2907" t="inlineStr">
        <is>
          <t>Lương:Cạnh tranh</t>
        </is>
      </c>
      <c r="F2907" t="inlineStr">
        <is>
          <t>Tiền Giang</t>
        </is>
      </c>
      <c r="G2907" t="inlineStr">
        <is>
          <t>3</t>
        </is>
      </c>
      <c r="H2907" t="inlineStr">
        <is>
          <t>19/03/2026</t>
        </is>
      </c>
      <c r="I2907" t="inlineStr">
        <is>
          <t>17/03/2026</t>
        </is>
      </c>
      <c r="J2907" t="inlineStr">
        <is>
          <t>Dệt may / Da giày / Thời trang, Hóa học</t>
        </is>
      </c>
      <c r="K2907" t="inlineStr">
        <is>
          <t>2 - 5 Năm</t>
        </is>
      </c>
      <c r="L2907" s="8">
        <f>HYPERLINK("https://careerviet.vn/vi/tim-viec-lam/ky-su-hoa-nhuom.35C66041.html","Xem chi tiết")</f>
        <v/>
      </c>
    </row>
    <row r="2908">
      <c r="B2908" s="9" t="n">
        <v>2906</v>
      </c>
      <c r="C2908" s="10" t="inlineStr">
        <is>
          <t>Senior Accountant</t>
        </is>
      </c>
      <c r="D2908" s="10" t="inlineStr">
        <is>
          <t>CÔNG TY TRÁCH NHIỆM HỮU HẠN TƯ VẤN AC&amp;C</t>
        </is>
      </c>
      <c r="E2908" s="10" t="inlineStr">
        <is>
          <t>Lương:13 Tr - 18 Tr VND</t>
        </is>
      </c>
      <c r="F2908" s="10" t="inlineStr">
        <is>
          <t>Hồ Chí Minh</t>
        </is>
      </c>
      <c r="G2908" s="10" t="inlineStr">
        <is>
          <t>11-04-2026</t>
        </is>
      </c>
      <c r="H2908" s="10" t="inlineStr">
        <is>
          <t>11/04/2026</t>
        </is>
      </c>
      <c r="I2908" s="10" t="inlineStr">
        <is>
          <t>17/03/2026</t>
        </is>
      </c>
      <c r="J2908" s="10" t="inlineStr">
        <is>
          <t>Kế toán / Kiểm toán, Tài chính / Đầu tư, Luật / Pháp lý</t>
        </is>
      </c>
      <c r="K2908" s="10" t="inlineStr">
        <is>
          <t>3 - 5 Năm</t>
        </is>
      </c>
      <c r="L2908" s="11">
        <f>HYPERLINK("https://careerviet.vn/vi/tim-viec-lam/senior-accountant.35C6C100.html","Xem chi tiết")</f>
        <v/>
      </c>
      <c r="M2908" s="10" t="n"/>
    </row>
    <row r="2909">
      <c r="B2909" s="7" t="n">
        <v>2907</v>
      </c>
      <c r="C2909" t="inlineStr">
        <is>
          <t>Marketing Executive</t>
        </is>
      </c>
      <c r="D2909" t="inlineStr">
        <is>
          <t>CÔNG TY CỔ PHẦN BÁN LẺ VIỆT MOTO</t>
        </is>
      </c>
      <c r="E2909" t="inlineStr">
        <is>
          <t>Lương:Cạnh tranh</t>
        </is>
      </c>
      <c r="F2909" t="inlineStr">
        <is>
          <t>Hồ Chí Minh</t>
        </is>
      </c>
      <c r="G2909" t="inlineStr">
        <is>
          <t>15-04-2026</t>
        </is>
      </c>
      <c r="H2909" t="inlineStr">
        <is>
          <t>15/04/2026</t>
        </is>
      </c>
      <c r="I2909" t="inlineStr">
        <is>
          <t>17/03/2026</t>
        </is>
      </c>
      <c r="J2909" t="inlineStr">
        <is>
          <t>Tiếp thị / Marketing, Cơ khí / Ô tô / Tự động hóa, Bán lẻ / Bán sỉ</t>
        </is>
      </c>
      <c r="K2909" t="inlineStr">
        <is>
          <t>2 - 10 Năm</t>
        </is>
      </c>
      <c r="L2909" s="8">
        <f>HYPERLINK("https://careerviet.vn/vi/tim-viec-lam/marketing-executive.35C6C010.html","Xem chi tiết")</f>
        <v/>
      </c>
    </row>
    <row r="2910">
      <c r="B2910" s="9" t="n">
        <v>2908</v>
      </c>
      <c r="C2910" s="10" t="inlineStr">
        <is>
          <t>Accounting Manager (Trưởng Phòng Kế Toán)</t>
        </is>
      </c>
      <c r="D2910" s="10" t="inlineStr">
        <is>
          <t>CÔNG TY TRÁCH NHIỆM HỮU HẠN TƯ VẤN AC&amp;C</t>
        </is>
      </c>
      <c r="E2910" s="10" t="inlineStr">
        <is>
          <t>Lương:Cạnh tranh</t>
        </is>
      </c>
      <c r="F2910" s="10" t="inlineStr">
        <is>
          <t>Hồ Chí Minh</t>
        </is>
      </c>
      <c r="G2910" s="10" t="inlineStr">
        <is>
          <t>11-04-2026</t>
        </is>
      </c>
      <c r="H2910" s="10" t="inlineStr">
        <is>
          <t>11/04/2026</t>
        </is>
      </c>
      <c r="I2910" s="10" t="inlineStr">
        <is>
          <t>17/03/2026</t>
        </is>
      </c>
      <c r="J2910" s="10" t="inlineStr">
        <is>
          <t>Kế toán / Kiểm toán, Tài chính / Đầu tư, Luật / Pháp lý</t>
        </is>
      </c>
      <c r="K2910" s="10" t="inlineStr">
        <is>
          <t>5 - 7 Năm</t>
        </is>
      </c>
      <c r="L2910" s="11">
        <f>HYPERLINK("https://careerviet.vn/vi/tim-viec-lam/accounting-manager-truong-phong-ke-toan.35C6C0F6.html","Xem chi tiết")</f>
        <v/>
      </c>
      <c r="M2910" s="10" t="n"/>
    </row>
    <row r="2911">
      <c r="B2911" s="7" t="n">
        <v>2909</v>
      </c>
      <c r="C2911" t="inlineStr">
        <is>
          <t>Chuyên Viên Quan Hệ Khách Hàng Doanh Nghiệp - Cần Thơ</t>
        </is>
      </c>
      <c r="D2911" t="inlineStr">
        <is>
          <t>Ngân Hàng Thương Mại Cổ Phần Bảo Việt</t>
        </is>
      </c>
      <c r="E2911" t="inlineStr">
        <is>
          <t>Lương:10 Tr - 20 Tr VND</t>
        </is>
      </c>
      <c r="F2911" t="inlineStr">
        <is>
          <t>Cần Thơ</t>
        </is>
      </c>
      <c r="G2911" t="inlineStr">
        <is>
          <t>12-04-2026</t>
        </is>
      </c>
      <c r="H2911" t="inlineStr">
        <is>
          <t>12/04/2026</t>
        </is>
      </c>
      <c r="I2911" t="inlineStr">
        <is>
          <t>17/03/2026</t>
        </is>
      </c>
      <c r="J2911" t="inlineStr">
        <is>
          <t>Kế toán / Kiểm toán, Ngân hàng, Tài chính / Đầu tư</t>
        </is>
      </c>
      <c r="K2911" t="inlineStr">
        <is>
          <t>1 - 3 Năm</t>
        </is>
      </c>
      <c r="L2911" s="8">
        <f>HYPERLINK("https://careerviet.vn/vi/tim-viec-lam/chuyen-vien-quan-he-khach-hang-doanh-nghiep-can-tho.35C6C178.html","Xem chi tiết")</f>
        <v/>
      </c>
    </row>
    <row r="2912">
      <c r="B2912" s="9" t="n">
        <v>2910</v>
      </c>
      <c r="C2912" s="10" t="inlineStr">
        <is>
          <t>Kiến Trúc Sư Triển Khai Kỹ Thuật</t>
        </is>
      </c>
      <c r="D2912" s="10" t="inlineStr">
        <is>
          <t>CÔNG TY CỔ PHẦN T - ARCHITECTS</t>
        </is>
      </c>
      <c r="E2912" s="10" t="inlineStr">
        <is>
          <t>Lương:Cạnh tranh</t>
        </is>
      </c>
      <c r="F2912" s="10" t="inlineStr">
        <is>
          <t>Hà Nội</t>
        </is>
      </c>
      <c r="G2912" s="10" t="inlineStr">
        <is>
          <t>11-04-2026</t>
        </is>
      </c>
      <c r="H2912" s="10" t="inlineStr">
        <is>
          <t>11/04/2026</t>
        </is>
      </c>
      <c r="I2912" s="10" t="inlineStr">
        <is>
          <t>17/03/2026</t>
        </is>
      </c>
      <c r="J2912" s="10" t="inlineStr">
        <is>
          <t>Kiến trúc, Mỹ thuật / Nghệ thuật / Thiết kế, Xây dựng</t>
        </is>
      </c>
      <c r="K2912" s="10" t="inlineStr">
        <is>
          <t>Trên 2 Năm</t>
        </is>
      </c>
      <c r="L2912" s="11">
        <f>HYPERLINK("https://careerviet.vn/vi/tim-viec-lam/kien-truc-su-trien-khai-ky-thuat.35C6C0CA.html","Xem chi tiết")</f>
        <v/>
      </c>
      <c r="M2912" s="10" t="n"/>
    </row>
    <row r="2913">
      <c r="B2913" s="7" t="n">
        <v>2911</v>
      </c>
      <c r="C2913" t="inlineStr">
        <is>
          <t>Chuyên Viên Quan Hệ Khách Hàng Cá Nhân - Hà Nội</t>
        </is>
      </c>
      <c r="D2913" t="inlineStr">
        <is>
          <t>Ngân Hàng Thương Mại Cổ Phần Bảo Việt</t>
        </is>
      </c>
      <c r="E2913" t="inlineStr">
        <is>
          <t>Lương:10 Tr - 18 Tr VND</t>
        </is>
      </c>
      <c r="F2913" t="inlineStr">
        <is>
          <t>Hà Nội</t>
        </is>
      </c>
      <c r="G2913" t="inlineStr">
        <is>
          <t>12-04-2026</t>
        </is>
      </c>
      <c r="H2913" t="inlineStr">
        <is>
          <t>12/04/2026</t>
        </is>
      </c>
      <c r="I2913" t="inlineStr">
        <is>
          <t>17/03/2026</t>
        </is>
      </c>
      <c r="J2913" t="inlineStr">
        <is>
          <t>Ngân hàng, Tài chính / Đầu tư, Bất động sản</t>
        </is>
      </c>
      <c r="K2913" t="inlineStr">
        <is>
          <t>1 - 5 Năm</t>
        </is>
      </c>
      <c r="L2913" s="8">
        <f>HYPERLINK("https://careerviet.vn/vi/tim-viec-lam/chuyen-vien-quan-he-khach-hang-ca-nhan-ha-noi.35C6C175.html","Xem chi tiết")</f>
        <v/>
      </c>
    </row>
    <row r="2914">
      <c r="B2914" s="9" t="n">
        <v>2912</v>
      </c>
      <c r="C2914" s="10" t="inlineStr">
        <is>
          <t>Kỹ sư thiết kế điện</t>
        </is>
      </c>
      <c r="D2914" s="10" t="inlineStr">
        <is>
          <t>CÔNG TY TRÁCH NHIỆM HỮU HẠN SÀI GÒN PRECISION</t>
        </is>
      </c>
      <c r="E2914" s="10" t="inlineStr">
        <is>
          <t>Lương:Cạnh tranh</t>
        </is>
      </c>
      <c r="F2914" s="10" t="inlineStr">
        <is>
          <t>Hồ Chí Minh</t>
        </is>
      </c>
      <c r="G2914" s="10" t="inlineStr">
        <is>
          <t>29-05-2026</t>
        </is>
      </c>
      <c r="H2914" s="10" t="inlineStr">
        <is>
          <t>29/05/2026</t>
        </is>
      </c>
      <c r="I2914" s="10" t="inlineStr">
        <is>
          <t>17/03/2026</t>
        </is>
      </c>
      <c r="J2914" s="10" t="inlineStr">
        <is>
          <t>Cơ khí / Ô tô / Tự động hóa</t>
        </is>
      </c>
      <c r="K2914" s="10" t="inlineStr">
        <is>
          <t>Chưa có kinh nghiệm</t>
        </is>
      </c>
      <c r="L2914" s="11">
        <f>HYPERLINK("https://careerviet.vn/vi/tim-viec-lam/ky-su-thiet-ke-dien.35C6C195.html","Xem chi tiết")</f>
        <v/>
      </c>
      <c r="M2914" s="10" t="n"/>
    </row>
    <row r="2915">
      <c r="B2915" s="7" t="n">
        <v>2913</v>
      </c>
      <c r="C2915" t="inlineStr">
        <is>
          <t>Trưởng Phòng Khách Hàng Cá Nhân - CN Bình Dương</t>
        </is>
      </c>
      <c r="D2915" t="inlineStr">
        <is>
          <t>Ngân Hàng Thương Mại Cổ Phần Bảo Việt</t>
        </is>
      </c>
      <c r="E2915" t="inlineStr">
        <is>
          <t>Lương:Cạnh tranh</t>
        </is>
      </c>
      <c r="F2915" t="inlineStr">
        <is>
          <t>Khánh Hòa</t>
        </is>
      </c>
      <c r="G2915" t="inlineStr">
        <is>
          <t>12-04-2026</t>
        </is>
      </c>
      <c r="H2915" t="inlineStr">
        <is>
          <t>12/04/2026</t>
        </is>
      </c>
      <c r="I2915" t="inlineStr">
        <is>
          <t>17/03/2026</t>
        </is>
      </c>
      <c r="J2915" t="inlineStr">
        <is>
          <t>Ngân hàng, Tài chính / Đầu tư, Bán hàng / Kinh doanh</t>
        </is>
      </c>
      <c r="K2915" t="inlineStr">
        <is>
          <t>3 - 6 Năm</t>
        </is>
      </c>
      <c r="L2915" s="8">
        <f>HYPERLINK("https://careerviet.vn/vi/tim-viec-lam/truong-phong-khach-hang-ca-nhan-cn-binh-duong.35C6C170.html","Xem chi tiết")</f>
        <v/>
      </c>
    </row>
    <row r="2916">
      <c r="B2916" s="9" t="n">
        <v>2914</v>
      </c>
      <c r="C2916" s="10" t="inlineStr">
        <is>
          <t>Chuyên Viên Quan Hệ Khách Hàng Doanh Nghiệp - Hải Phòng</t>
        </is>
      </c>
      <c r="D2916" s="10" t="inlineStr">
        <is>
          <t>Ngân Hàng Thương Mại Cổ Phần Bảo Việt</t>
        </is>
      </c>
      <c r="E2916" s="10" t="inlineStr">
        <is>
          <t>Lương:10 Tr - 20 Tr VND</t>
        </is>
      </c>
      <c r="F2916" s="10" t="inlineStr">
        <is>
          <t>Hải Phòng</t>
        </is>
      </c>
      <c r="G2916" s="10" t="inlineStr">
        <is>
          <t>12-04-2026</t>
        </is>
      </c>
      <c r="H2916" s="10" t="inlineStr">
        <is>
          <t>12/04/2026</t>
        </is>
      </c>
      <c r="I2916" s="10" t="inlineStr">
        <is>
          <t>17/03/2026</t>
        </is>
      </c>
      <c r="J2916" s="10" t="inlineStr">
        <is>
          <t>Kế toán / Kiểm toán, Ngân hàng, Tài chính / Đầu tư</t>
        </is>
      </c>
      <c r="K2916" s="10" t="inlineStr">
        <is>
          <t>1 - 3 Năm</t>
        </is>
      </c>
      <c r="L2916" s="11">
        <f>HYPERLINK("https://careerviet.vn/vi/tim-viec-lam/chuyen-vien-quan-he-khach-hang-doanh-nghiep-hai-phong.35C6C177.html","Xem chi tiết")</f>
        <v/>
      </c>
      <c r="M2916" s="10" t="n"/>
    </row>
    <row r="2917">
      <c r="B2917" s="7" t="n">
        <v>2915</v>
      </c>
      <c r="C2917" t="inlineStr">
        <is>
          <t>Trợ lý Giám đốc - Tiếng Trung</t>
        </is>
      </c>
      <c r="D2917" t="inlineStr">
        <is>
          <t>CÔNG TY TNHH LETS COMESTICS VIỆT NAM (INTO YOU Brand)</t>
        </is>
      </c>
      <c r="E2917" t="inlineStr">
        <is>
          <t>Lương:16 Tr - 18 Tr VND</t>
        </is>
      </c>
      <c r="F2917" t="inlineStr">
        <is>
          <t>Hồ Chí Minh</t>
        </is>
      </c>
      <c r="G2917" t="inlineStr">
        <is>
          <t>11-04-2026</t>
        </is>
      </c>
      <c r="H2917" t="inlineStr">
        <is>
          <t>11/04/2026</t>
        </is>
      </c>
      <c r="I2917" t="inlineStr">
        <is>
          <t>17/03/2026</t>
        </is>
      </c>
      <c r="J2917" t="inlineStr">
        <is>
          <t>Hành chính / Thư ký, Nhân sự, Thương mại điện tử</t>
        </is>
      </c>
      <c r="K2917" t="inlineStr">
        <is>
          <t>Trên 2 Năm</t>
        </is>
      </c>
      <c r="L2917" s="8">
        <f>HYPERLINK("https://careerviet.vn/vi/tim-viec-lam/tro-ly-giam-doc-tieng-trung.35C6C135.html","Xem chi tiết")</f>
        <v/>
      </c>
    </row>
    <row r="2918">
      <c r="B2918" s="9" t="n">
        <v>2916</v>
      </c>
      <c r="C2918" s="10" t="inlineStr">
        <is>
          <t>Chuyên Viên Chính Quản Lý Rủi Ro Hoạt Động</t>
        </is>
      </c>
      <c r="D2918" s="10" t="inlineStr">
        <is>
          <t>Ngân Hàng Thương Mại Cổ Phần Bảo Việt</t>
        </is>
      </c>
      <c r="E2918" s="10" t="inlineStr">
        <is>
          <t>Lương:Cạnh tranh</t>
        </is>
      </c>
      <c r="F2918" s="10" t="inlineStr">
        <is>
          <t>Hà Nội</t>
        </is>
      </c>
      <c r="G2918" s="10" t="inlineStr">
        <is>
          <t>12-04-2026</t>
        </is>
      </c>
      <c r="H2918" s="10" t="inlineStr">
        <is>
          <t>12/04/2026</t>
        </is>
      </c>
      <c r="I2918" s="10" t="inlineStr">
        <is>
          <t>17/03/2026</t>
        </is>
      </c>
      <c r="J2918" s="10" t="inlineStr">
        <is>
          <t>Dịch vụ khách hàng, Ngân hàng, Bán hàng / Kinh doanh</t>
        </is>
      </c>
      <c r="K2918" s="10" t="inlineStr">
        <is>
          <t>Trên 2 Năm</t>
        </is>
      </c>
      <c r="L2918" s="11">
        <f>HYPERLINK("https://careerviet.vn/vi/tim-viec-lam/chuyen-vien-chinh-quan-ly-rui-ro-hoat-dong.35C6C16F.html","Xem chi tiết")</f>
        <v/>
      </c>
      <c r="M2918" s="10" t="n"/>
    </row>
    <row r="2919">
      <c r="B2919" s="7" t="n">
        <v>2917</v>
      </c>
      <c r="C2919" t="inlineStr">
        <is>
          <t>Nhân viên quản lý affiliate</t>
        </is>
      </c>
      <c r="D2919" t="inlineStr">
        <is>
          <t>Công Ty TNHH TM &amp; XNK Nhất Lâm</t>
        </is>
      </c>
      <c r="E2919" t="inlineStr">
        <is>
          <t>Lương:10 Tr - 13 Tr VND</t>
        </is>
      </c>
      <c r="F2919" t="inlineStr">
        <is>
          <t>Hồ Chí Minh</t>
        </is>
      </c>
      <c r="G2919" t="inlineStr">
        <is>
          <t>30-03-2026</t>
        </is>
      </c>
      <c r="H2919" t="inlineStr">
        <is>
          <t>30/03/2026</t>
        </is>
      </c>
      <c r="I2919" t="inlineStr">
        <is>
          <t>17/03/2026</t>
        </is>
      </c>
      <c r="J2919" t="inlineStr">
        <is>
          <t>Tiếp thị / Marketing, Bán lẻ / Bán sỉ</t>
        </is>
      </c>
      <c r="K2919" t="inlineStr">
        <is>
          <t>1 - 2 Năm</t>
        </is>
      </c>
      <c r="L2919" s="8">
        <f>HYPERLINK("https://careerviet.vn/vi/tim-viec-lam/nhan-vien-quan-ly-affiliate.35C6C18F.html","Xem chi tiết")</f>
        <v/>
      </c>
    </row>
    <row r="2920">
      <c r="B2920" s="9" t="n">
        <v>2918</v>
      </c>
      <c r="C2920" s="10" t="inlineStr">
        <is>
          <t>Chuyên Viên Quan Hệ Khách Hàng Cá Nhân -  Hải Phòng</t>
        </is>
      </c>
      <c r="D2920" s="10" t="inlineStr">
        <is>
          <t>Ngân Hàng Thương Mại Cổ Phần Bảo Việt</t>
        </is>
      </c>
      <c r="E2920" s="10" t="inlineStr">
        <is>
          <t>Lương:10 Tr - 18 Tr VND</t>
        </is>
      </c>
      <c r="F2920" s="10" t="inlineStr">
        <is>
          <t>Hải Phòng</t>
        </is>
      </c>
      <c r="G2920" s="10" t="inlineStr">
        <is>
          <t>12-04-2026</t>
        </is>
      </c>
      <c r="H2920" s="10" t="inlineStr">
        <is>
          <t>12/04/2026</t>
        </is>
      </c>
      <c r="I2920" s="10" t="inlineStr">
        <is>
          <t>17/03/2026</t>
        </is>
      </c>
      <c r="J2920" s="10" t="inlineStr">
        <is>
          <t>Ngân hàng, Tài chính / Đầu tư, Bất động sản</t>
        </is>
      </c>
      <c r="K2920" s="10" t="inlineStr">
        <is>
          <t>1 - 5 Năm</t>
        </is>
      </c>
      <c r="L2920" s="11">
        <f>HYPERLINK("https://careerviet.vn/vi/tim-viec-lam/chuyen-vien-quan-he-khach-hang-ca-nhan-hai-phong.35C6C173.html","Xem chi tiết")</f>
        <v/>
      </c>
      <c r="M2920" s="10" t="n"/>
    </row>
    <row r="2921">
      <c r="B2921" s="7" t="n">
        <v>2919</v>
      </c>
      <c r="C2921" t="inlineStr">
        <is>
          <t>[TBYT] CV KINH DOANH HN &amp; HCM - UPTO: 35TR</t>
        </is>
      </c>
      <c r="D2921" t="inlineStr">
        <is>
          <t>Công ty Cổ phần Vật tư Khoa học BIOMEDIC</t>
        </is>
      </c>
      <c r="E2921" t="inlineStr">
        <is>
          <t>Lương:15 Tr - 35 Tr VND</t>
        </is>
      </c>
      <c r="F2921" t="inlineStr">
        <is>
          <t>Hà NộiHồ Chí Minh</t>
        </is>
      </c>
      <c r="G2921" t="inlineStr">
        <is>
          <t>30-04-2026</t>
        </is>
      </c>
      <c r="H2921" t="inlineStr">
        <is>
          <t>30/04/2026</t>
        </is>
      </c>
      <c r="I2921" t="inlineStr">
        <is>
          <t>17/03/2026</t>
        </is>
      </c>
      <c r="J2921" t="inlineStr">
        <is>
          <t>Dược phẩm/ Hóa Mỹ Phẩm, Y tế / Chăm sóc sức khỏe / Thẩm mỹ / Làm đẹp, Công nghệ sinh học</t>
        </is>
      </c>
      <c r="K2921" t="inlineStr">
        <is>
          <t>1 - 3 Năm</t>
        </is>
      </c>
      <c r="L2921" s="8">
        <f>HYPERLINK("https://careerviet.vn/vi/tim-viec-lam/tbyt-cv-kinh-doanh-hn-hcm-upto-35tr.35C6C17B.html","Xem chi tiết")</f>
        <v/>
      </c>
    </row>
    <row r="2922">
      <c r="B2922" s="9" t="n">
        <v>2920</v>
      </c>
      <c r="C2922" s="10" t="inlineStr">
        <is>
          <t>Trưởng Phòng Khách Hàng Doanh Nghiệp</t>
        </is>
      </c>
      <c r="D2922" s="10" t="inlineStr">
        <is>
          <t>Ngân Hàng Thương Mại Cổ Phần Bảo Việt</t>
        </is>
      </c>
      <c r="E2922" s="10" t="inlineStr">
        <is>
          <t>Lương:Cạnh tranh</t>
        </is>
      </c>
      <c r="F2922" s="10" t="inlineStr">
        <is>
          <t>Lào CaiThái NguyênThanh Hóa</t>
        </is>
      </c>
      <c r="G2922" s="10" t="inlineStr">
        <is>
          <t>12-04-2026</t>
        </is>
      </c>
      <c r="H2922" s="10" t="inlineStr">
        <is>
          <t>12/04/2026</t>
        </is>
      </c>
      <c r="I2922" s="10" t="inlineStr">
        <is>
          <t>17/03/2026</t>
        </is>
      </c>
      <c r="J2922" s="10" t="inlineStr">
        <is>
          <t>Ngân hàng, Tài chính / Đầu tư, Bán hàng / Kinh doanh</t>
        </is>
      </c>
      <c r="K2922" s="10" t="inlineStr">
        <is>
          <t>3 - 5 Năm</t>
        </is>
      </c>
      <c r="L2922" s="11">
        <f>HYPERLINK("https://careerviet.vn/vi/tim-viec-lam/truong-phong-khach-hang-doanh-nghiep.35C6C16E.html","Xem chi tiết")</f>
        <v/>
      </c>
      <c r="M2922" s="10" t="n"/>
    </row>
    <row r="2923">
      <c r="B2923" s="7" t="n">
        <v>2921</v>
      </c>
      <c r="C2923" t="inlineStr">
        <is>
          <t>Phó Giám Đốc Chi Nhánh</t>
        </is>
      </c>
      <c r="D2923" t="inlineStr">
        <is>
          <t>Ngân Hàng Thương Mại Cổ Phần Bảo Việt</t>
        </is>
      </c>
      <c r="E2923" t="inlineStr">
        <is>
          <t>Lương:Cạnh tranh</t>
        </is>
      </c>
      <c r="F2923" t="inlineStr">
        <is>
          <t>Thanh HóaThái NguyênNghệ An</t>
        </is>
      </c>
      <c r="G2923" t="inlineStr">
        <is>
          <t>12-04-2026</t>
        </is>
      </c>
      <c r="H2923" t="inlineStr">
        <is>
          <t>12/04/2026</t>
        </is>
      </c>
      <c r="I2923" t="inlineStr">
        <is>
          <t>17/03/2026</t>
        </is>
      </c>
      <c r="J2923" t="inlineStr">
        <is>
          <t>Ngân hàng, Tài chính / Đầu tư</t>
        </is>
      </c>
      <c r="K2923" t="inlineStr">
        <is>
          <t>3 - 5 Năm</t>
        </is>
      </c>
      <c r="L2923" s="8">
        <f>HYPERLINK("https://careerviet.vn/vi/tim-viec-lam/pho-giam-doc-chi-nhanh.35C6C16D.html","Xem chi tiết")</f>
        <v/>
      </c>
    </row>
    <row r="2924">
      <c r="B2924" s="9" t="n">
        <v>2922</v>
      </c>
      <c r="C2924" s="10" t="inlineStr">
        <is>
          <t>Chuyên viên Trải nghiệm Khách hàng</t>
        </is>
      </c>
      <c r="D2924" s="10" t="inlineStr">
        <is>
          <t>Công Ty Cổ Phần Du Lịch Vietravel</t>
        </is>
      </c>
      <c r="E2924" s="10" t="inlineStr">
        <is>
          <t>Lương:Cạnh tranh</t>
        </is>
      </c>
      <c r="F2924" s="10" t="inlineStr">
        <is>
          <t>Hồ Chí Minh</t>
        </is>
      </c>
      <c r="G2924" s="10" t="inlineStr">
        <is>
          <t>24-04-2026</t>
        </is>
      </c>
      <c r="H2924" s="10" t="inlineStr">
        <is>
          <t>24/04/2026</t>
        </is>
      </c>
      <c r="I2924" s="10" t="inlineStr">
        <is>
          <t>17/03/2026</t>
        </is>
      </c>
      <c r="J2924" s="10" t="inlineStr">
        <is>
          <t>Dịch vụ khách hàng, Du lịch, Quảng cáo / Đối ngoại / Truyền Thông</t>
        </is>
      </c>
      <c r="K2924" s="10" t="inlineStr">
        <is>
          <t>2 - 3 Năm</t>
        </is>
      </c>
      <c r="L2924" s="11">
        <f>HYPERLINK("https://careerviet.vn/vi/tim-viec-lam/chuyen-vien-trai-nghiem-khach-hang.35C6C180.html","Xem chi tiết")</f>
        <v/>
      </c>
      <c r="M2924" s="10" t="n"/>
    </row>
    <row r="2925">
      <c r="B2925" s="7" t="n">
        <v>2923</v>
      </c>
      <c r="C2925" t="inlineStr">
        <is>
          <t>Chuyên Viên Quan Hệ Khách Hàng Cá Nhân -  Lào Cai</t>
        </is>
      </c>
      <c r="D2925" t="inlineStr">
        <is>
          <t>Ngân Hàng Thương Mại Cổ Phần Bảo Việt</t>
        </is>
      </c>
      <c r="E2925" t="inlineStr">
        <is>
          <t>Lương:10 Tr - 18 Tr VND</t>
        </is>
      </c>
      <c r="F2925" t="inlineStr">
        <is>
          <t>Lào Cai</t>
        </is>
      </c>
      <c r="G2925" t="inlineStr">
        <is>
          <t>12-04-2026</t>
        </is>
      </c>
      <c r="H2925" t="inlineStr">
        <is>
          <t>12/04/2026</t>
        </is>
      </c>
      <c r="I2925" t="inlineStr">
        <is>
          <t>17/03/2026</t>
        </is>
      </c>
      <c r="J2925" t="inlineStr">
        <is>
          <t>Ngân hàng, Tài chính / Đầu tư, Bất động sản</t>
        </is>
      </c>
      <c r="K2925" t="inlineStr">
        <is>
          <t>1 - 3 Năm</t>
        </is>
      </c>
      <c r="L2925" s="8">
        <f>HYPERLINK("https://careerviet.vn/vi/tim-viec-lam/chuyen-vien-quan-he-khach-hang-ca-nhan-lao-cai.35C6C172.html","Xem chi tiết")</f>
        <v/>
      </c>
    </row>
    <row r="2926">
      <c r="B2926" s="9" t="n">
        <v>2924</v>
      </c>
      <c r="C2926" s="10" t="inlineStr">
        <is>
          <t>Kế Toán Trưởng</t>
        </is>
      </c>
      <c r="D2926" s="10" t="inlineStr">
        <is>
          <t>CÔNG TY TNHH LETS COMESTICS VIỆT NAM (INTO YOU Brand)</t>
        </is>
      </c>
      <c r="E2926" s="10" t="inlineStr">
        <is>
          <t>Lương:25 Tr - 30 Tr VND</t>
        </is>
      </c>
      <c r="F2926" s="10" t="inlineStr">
        <is>
          <t>Hồ Chí Minh</t>
        </is>
      </c>
      <c r="G2926" s="10" t="inlineStr">
        <is>
          <t>11-04-2026</t>
        </is>
      </c>
      <c r="H2926" s="10" t="inlineStr">
        <is>
          <t>11/04/2026</t>
        </is>
      </c>
      <c r="I2926" s="10" t="inlineStr">
        <is>
          <t>17/03/2026</t>
        </is>
      </c>
      <c r="J2926" s="10" t="inlineStr">
        <is>
          <t>Kế toán / Kiểm toán, Tài chính / Đầu tư, Thương mại điện tử</t>
        </is>
      </c>
      <c r="K2926" s="10" t="inlineStr">
        <is>
          <t>N/A</t>
        </is>
      </c>
      <c r="L2926" s="11">
        <f>HYPERLINK("https://careerviet.vn/vi/tim-viec-lam/ke-toan-truong.35C6C129.html","Xem chi tiết")</f>
        <v/>
      </c>
      <c r="M2926" s="10" t="n"/>
    </row>
    <row r="2927">
      <c r="B2927" s="7" t="n">
        <v>2925</v>
      </c>
      <c r="C2927" t="inlineStr">
        <is>
          <t>Chuyên viên Kiểm soát Nội bộ (Kiểm soát chất lượng - QA/QC)</t>
        </is>
      </c>
      <c r="D2927" t="inlineStr">
        <is>
          <t>CÔNG TY CỔ PHẦN ĐẦU TƯ ĐỊA ỐC VẠN PHÚC</t>
        </is>
      </c>
      <c r="E2927" t="inlineStr">
        <is>
          <t>Lương:Cạnh tranh</t>
        </is>
      </c>
      <c r="F2927" t="inlineStr">
        <is>
          <t>Hồ Chí Minh</t>
        </is>
      </c>
      <c r="G2927" t="inlineStr">
        <is>
          <t>29-04-2026</t>
        </is>
      </c>
      <c r="H2927" t="inlineStr">
        <is>
          <t>29/04/2026</t>
        </is>
      </c>
      <c r="I2927" t="inlineStr">
        <is>
          <t>17/03/2026</t>
        </is>
      </c>
      <c r="J2927" t="inlineStr">
        <is>
          <t>Xây dựng, Bất động sản, Quản lý chất lượng (QA/QC)</t>
        </is>
      </c>
      <c r="K2927" t="inlineStr">
        <is>
          <t>5 - 10 Năm</t>
        </is>
      </c>
      <c r="L2927" s="8">
        <f>HYPERLINK("https://careerviet.vn/vi/tim-viec-lam/chuyen-vien-kiem-soat-noi-bo-kiem-soat-chat-luong-qa-qc.35C6C181.html","Xem chi tiết")</f>
        <v/>
      </c>
    </row>
    <row r="2928">
      <c r="B2928" s="9" t="n">
        <v>2926</v>
      </c>
      <c r="C2928" s="10" t="inlineStr">
        <is>
          <t>TRƯỞNG PHÒNG QUẢN LÝ CUNG ỨNG (SUPPLY CHAIN MANAGER)- Ngành Nhôm / Vật liệu xây dựng</t>
        </is>
      </c>
      <c r="D2928" s="10" t="inlineStr">
        <is>
          <t>Công ty TNHH SX TM ĐT Nhôm AN LẬP PHÁT</t>
        </is>
      </c>
      <c r="E2928" s="10" t="inlineStr">
        <is>
          <t>Lương:Cạnh tranh</t>
        </is>
      </c>
      <c r="F2928" s="10" t="inlineStr">
        <is>
          <t>Hồ Chí Minh</t>
        </is>
      </c>
      <c r="G2928" s="10" t="inlineStr">
        <is>
          <t>10-04-2026</t>
        </is>
      </c>
      <c r="H2928" s="10" t="inlineStr">
        <is>
          <t>10/04/2026</t>
        </is>
      </c>
      <c r="I2928" s="10" t="inlineStr">
        <is>
          <t>17/03/2026</t>
        </is>
      </c>
      <c r="J2928" s="10" t="inlineStr">
        <is>
          <t>Xây dựng, Thu mua / Vật tư, Sản xuất / Vận hành sản xuất</t>
        </is>
      </c>
      <c r="K2928" s="10" t="inlineStr">
        <is>
          <t>7 - 10 Năm</t>
        </is>
      </c>
      <c r="L2928" s="11">
        <f>HYPERLINK("https://careerviet.vn/vi/tim-viec-lam/truong-phong-quan-ly-cung-ung-supply-chain-manager-nganh-nhom-vat-lieu-xay-dung.35C6C18C.html","Xem chi tiết")</f>
        <v/>
      </c>
      <c r="M2928" s="10" t="n"/>
    </row>
    <row r="2929">
      <c r="B2929" s="7" t="n">
        <v>2927</v>
      </c>
      <c r="C2929" t="inlineStr">
        <is>
          <t>Kế toán thuế</t>
        </is>
      </c>
      <c r="D2929" t="inlineStr">
        <is>
          <t>Phan Bách Refrigeration JSC</t>
        </is>
      </c>
      <c r="E2929" t="inlineStr">
        <is>
          <t>Lương:13 Tr - 15 Tr VND</t>
        </is>
      </c>
      <c r="F2929" t="inlineStr">
        <is>
          <t>Hồ Chí Minh</t>
        </is>
      </c>
      <c r="G2929" t="inlineStr">
        <is>
          <t>15-04-2026</t>
        </is>
      </c>
      <c r="H2929" t="inlineStr">
        <is>
          <t>15/04/2026</t>
        </is>
      </c>
      <c r="I2929" t="inlineStr">
        <is>
          <t>17/03/2026</t>
        </is>
      </c>
      <c r="J2929" t="inlineStr">
        <is>
          <t>Kế toán / Kiểm toán</t>
        </is>
      </c>
      <c r="K2929" t="inlineStr">
        <is>
          <t>2 - 3 Năm</t>
        </is>
      </c>
      <c r="L2929" s="8">
        <f>HYPERLINK("https://careerviet.vn/vi/tim-viec-lam/ke-toan-thue.35C6C17C.html","Xem chi tiết")</f>
        <v/>
      </c>
    </row>
    <row r="2930">
      <c r="B2930" s="9" t="n">
        <v>2928</v>
      </c>
      <c r="C2930" s="10" t="inlineStr">
        <is>
          <t>Kế Toán Tổng Hợp</t>
        </is>
      </c>
      <c r="D2930" s="10" t="inlineStr">
        <is>
          <t>CÔNG TY TNHH DÂY ĐỒNG THIỆN PHÁT</t>
        </is>
      </c>
      <c r="E2930" s="10" t="inlineStr">
        <is>
          <t>Lương:Cạnh tranh</t>
        </is>
      </c>
      <c r="F2930" s="10" t="inlineStr">
        <is>
          <t>Long AnBình Dương</t>
        </is>
      </c>
      <c r="G2930" s="10" t="inlineStr">
        <is>
          <t>31-03-2026</t>
        </is>
      </c>
      <c r="H2930" s="10" t="inlineStr">
        <is>
          <t>31/03/2026</t>
        </is>
      </c>
      <c r="I2930" s="10" t="inlineStr">
        <is>
          <t>17/03/2026</t>
        </is>
      </c>
      <c r="J2930" s="10" t="inlineStr">
        <is>
          <t>Kế toán / Kiểm toán</t>
        </is>
      </c>
      <c r="K2930" s="10" t="inlineStr">
        <is>
          <t>3 - 5 Năm</t>
        </is>
      </c>
      <c r="L2930" s="11">
        <f>HYPERLINK("https://careerviet.vn/vi/tim-viec-lam/ke-toan-tong-hop.35C6C13B.html","Xem chi tiết")</f>
        <v/>
      </c>
      <c r="M2930" s="10" t="n"/>
    </row>
    <row r="2931">
      <c r="B2931" s="7" t="n">
        <v>2929</v>
      </c>
      <c r="C2931" t="inlineStr">
        <is>
          <t>Nhân Viên Kế Hoạch Sản Xuất</t>
        </is>
      </c>
      <c r="D2931" t="inlineStr">
        <is>
          <t>CÔNG TY TNHH PHONG THẠNH</t>
        </is>
      </c>
      <c r="E2931" t="inlineStr">
        <is>
          <t>Lương:Cạnh tranh</t>
        </is>
      </c>
      <c r="F2931" t="inlineStr">
        <is>
          <t>Bình Dương</t>
        </is>
      </c>
      <c r="G2931" t="inlineStr">
        <is>
          <t>10-04-2026</t>
        </is>
      </c>
      <c r="H2931" t="inlineStr">
        <is>
          <t>10/04/2026</t>
        </is>
      </c>
      <c r="I2931" t="inlineStr">
        <is>
          <t>17/03/2026</t>
        </is>
      </c>
      <c r="J2931" t="inlineStr">
        <is>
          <t>Sản xuất / Vận hành sản xuất, Vận chuyển / Giao nhận / Kho vận, Thống kê</t>
        </is>
      </c>
      <c r="K2931" t="inlineStr">
        <is>
          <t>N/A</t>
        </is>
      </c>
      <c r="L2931" s="8">
        <f>HYPERLINK("https://careerviet.vn/vi/tim-viec-lam/nhan-vien-ke-hoach-san-xuat.35C6C185.html","Xem chi tiết")</f>
        <v/>
      </c>
    </row>
    <row r="2932">
      <c r="B2932" s="9" t="n">
        <v>2930</v>
      </c>
      <c r="C2932" s="10" t="inlineStr">
        <is>
          <t>Chuyên Viên Tác Nghiệp Tín Dụng( Lào Cai, Bắc Ninh)</t>
        </is>
      </c>
      <c r="D2932" s="10" t="inlineStr">
        <is>
          <t>Ngân Hàng Thương Mại Cổ Phần Bảo Việt</t>
        </is>
      </c>
      <c r="E2932" s="10" t="inlineStr">
        <is>
          <t>Lương:8 Tr - 13 Tr VND</t>
        </is>
      </c>
      <c r="F2932" s="10" t="inlineStr">
        <is>
          <t>Bắc NinhLào Cai</t>
        </is>
      </c>
      <c r="G2932" s="10" t="inlineStr">
        <is>
          <t>12-04-2026</t>
        </is>
      </c>
      <c r="H2932" s="10" t="inlineStr">
        <is>
          <t>12/04/2026</t>
        </is>
      </c>
      <c r="I2932" s="10" t="inlineStr">
        <is>
          <t>17/03/2026</t>
        </is>
      </c>
      <c r="J2932" s="10" t="inlineStr">
        <is>
          <t>Ngân hàng, Luật / Pháp lý, Tài chính / Đầu tư</t>
        </is>
      </c>
      <c r="K2932" s="10" t="inlineStr">
        <is>
          <t>1 - 2 Năm</t>
        </is>
      </c>
      <c r="L2932" s="11">
        <f>HYPERLINK("https://careerviet.vn/vi/tim-viec-lam/chuyen-vien-tac-nghiep-tin-dung-lao-cai-bac-ninh.35C6C16C.html","Xem chi tiết")</f>
        <v/>
      </c>
      <c r="M2932" s="10" t="n"/>
    </row>
    <row r="2933">
      <c r="B2933" s="7" t="n">
        <v>2931</v>
      </c>
      <c r="C2933" t="inlineStr">
        <is>
          <t>Trưởng phòng Quản trị Thương hiệu</t>
        </is>
      </c>
      <c r="D2933" t="inlineStr">
        <is>
          <t>Công Ty Cổ Phần Du Lịch Vietravel</t>
        </is>
      </c>
      <c r="E2933" t="inlineStr">
        <is>
          <t>Lương:Cạnh tranh</t>
        </is>
      </c>
      <c r="F2933" t="inlineStr">
        <is>
          <t>Hồ Chí Minh</t>
        </is>
      </c>
      <c r="G2933" t="inlineStr">
        <is>
          <t>24-04-2026</t>
        </is>
      </c>
      <c r="H2933" t="inlineStr">
        <is>
          <t>24/04/2026</t>
        </is>
      </c>
      <c r="I2933" t="inlineStr">
        <is>
          <t>17/03/2026</t>
        </is>
      </c>
      <c r="J2933" t="inlineStr">
        <is>
          <t>Du lịch, Quảng cáo / Đối ngoại / Truyền Thông</t>
        </is>
      </c>
      <c r="K2933" t="inlineStr">
        <is>
          <t>5 - 6 Năm</t>
        </is>
      </c>
      <c r="L2933" s="8">
        <f>HYPERLINK("https://careerviet.vn/vi/tim-viec-lam/truong-phong-quan-tri-thuong-hieu.35C6C17E.html","Xem chi tiết")</f>
        <v/>
      </c>
    </row>
    <row r="2934">
      <c r="B2934" s="9" t="n">
        <v>2932</v>
      </c>
      <c r="C2934" s="10" t="inlineStr">
        <is>
          <t>Chuyên viên Thiết kế 2D, 3D</t>
        </is>
      </c>
      <c r="D2934" s="10" t="inlineStr">
        <is>
          <t>Công Ty Cổ Phần Du Lịch Vietravel</t>
        </is>
      </c>
      <c r="E2934" s="10" t="inlineStr">
        <is>
          <t>Lương:Cạnh tranh</t>
        </is>
      </c>
      <c r="F2934" s="10" t="inlineStr">
        <is>
          <t>Hồ Chí Minh</t>
        </is>
      </c>
      <c r="G2934" s="10" t="inlineStr">
        <is>
          <t>24-04-2026</t>
        </is>
      </c>
      <c r="H2934" s="10" t="inlineStr">
        <is>
          <t>24/04/2026</t>
        </is>
      </c>
      <c r="I2934" s="10" t="inlineStr">
        <is>
          <t>17/03/2026</t>
        </is>
      </c>
      <c r="J2934" s="10" t="inlineStr">
        <is>
          <t>Du lịch, Quảng cáo / Đối ngoại / Truyền Thông</t>
        </is>
      </c>
      <c r="K2934" s="10" t="inlineStr">
        <is>
          <t>2 - 3 Năm</t>
        </is>
      </c>
      <c r="L2934" s="11">
        <f>HYPERLINK("https://careerviet.vn/vi/tim-viec-lam/chuyen-vien-thiet-ke-2d-3d.35C6C17A.html","Xem chi tiết")</f>
        <v/>
      </c>
      <c r="M2934" s="10" t="n"/>
    </row>
    <row r="2935">
      <c r="B2935" s="7" t="n">
        <v>2933</v>
      </c>
      <c r="C2935" t="inlineStr">
        <is>
          <t>Nhân Viên Kinh Doanh Thị Trường</t>
        </is>
      </c>
      <c r="D2935" t="inlineStr">
        <is>
          <t>Công ty TNHH Thực Phẩm &amp; TMDV Lê Gia</t>
        </is>
      </c>
      <c r="E2935" t="inlineStr">
        <is>
          <t>Lương:12 Tr - 15 Tr VND</t>
        </is>
      </c>
      <c r="F2935" t="inlineStr">
        <is>
          <t>Hà Nội</t>
        </is>
      </c>
      <c r="G2935" t="inlineStr">
        <is>
          <t>11-04-2026</t>
        </is>
      </c>
      <c r="H2935" t="inlineStr">
        <is>
          <t>11/04/2026</t>
        </is>
      </c>
      <c r="I2935" t="inlineStr">
        <is>
          <t>17/03/2026</t>
        </is>
      </c>
      <c r="J2935" t="inlineStr">
        <is>
          <t>Bán lẻ / Bán sỉ, Bán hàng / Kinh doanh, Thực phẩm &amp; Đồ uống</t>
        </is>
      </c>
      <c r="K2935" t="inlineStr">
        <is>
          <t>về ngành bán lẻ, FMCG, nhân viên thị trường, trẻ là lợi thế. THU NHẬP &amp;</t>
        </is>
      </c>
      <c r="L2935" s="8">
        <f>HYPERLINK("https://careerviet.vn/vi/tim-viec-lam/nhan-vien-kinh-doanh-thi-truong.35C6C0BA.html","Xem chi tiết")</f>
        <v/>
      </c>
    </row>
    <row r="2936">
      <c r="B2936" s="9" t="n">
        <v>2934</v>
      </c>
      <c r="C2936" s="10" t="inlineStr">
        <is>
          <t>Phó phòng Sáng tạo &amp; Thiết kế</t>
        </is>
      </c>
      <c r="D2936" s="10" t="inlineStr">
        <is>
          <t>Công Ty Cổ Phần Du Lịch Vietravel</t>
        </is>
      </c>
      <c r="E2936" s="10" t="inlineStr">
        <is>
          <t>Lương:Cạnh tranh</t>
        </is>
      </c>
      <c r="F2936" s="10" t="inlineStr">
        <is>
          <t>Hồ Chí Minh</t>
        </is>
      </c>
      <c r="G2936" s="10" t="inlineStr">
        <is>
          <t>24-04-2026</t>
        </is>
      </c>
      <c r="H2936" s="10" t="inlineStr">
        <is>
          <t>24/04/2026</t>
        </is>
      </c>
      <c r="I2936" s="10" t="inlineStr">
        <is>
          <t>17/03/2026</t>
        </is>
      </c>
      <c r="J2936" s="10" t="inlineStr">
        <is>
          <t>Du lịch, Quảng cáo / Đối ngoại / Truyền Thông</t>
        </is>
      </c>
      <c r="K2936" s="10" t="inlineStr">
        <is>
          <t>5 - 6 Năm</t>
        </is>
      </c>
      <c r="L2936" s="11">
        <f>HYPERLINK("https://careerviet.vn/vi/tim-viec-lam/pho-phong-sang-tao-thiet-ke.35C6C171.html","Xem chi tiết")</f>
        <v/>
      </c>
      <c r="M2936" s="10" t="n"/>
    </row>
    <row r="2937">
      <c r="B2937" s="7" t="n">
        <v>2935</v>
      </c>
      <c r="C2937" t="inlineStr">
        <is>
          <t>Chuyên viên Quản trị CRM</t>
        </is>
      </c>
      <c r="D2937" t="inlineStr">
        <is>
          <t>Công Ty Cổ Phần Du Lịch Vietravel</t>
        </is>
      </c>
      <c r="E2937" t="inlineStr">
        <is>
          <t>Lương:Cạnh tranh</t>
        </is>
      </c>
      <c r="F2937" t="inlineStr">
        <is>
          <t>Hồ Chí Minh</t>
        </is>
      </c>
      <c r="G2937" t="inlineStr">
        <is>
          <t>24-04-2026</t>
        </is>
      </c>
      <c r="H2937" t="inlineStr">
        <is>
          <t>24/04/2026</t>
        </is>
      </c>
      <c r="I2937" t="inlineStr">
        <is>
          <t>17/03/2026</t>
        </is>
      </c>
      <c r="J2937" t="inlineStr">
        <is>
          <t>Du lịch, Quảng cáo / Đối ngoại / Truyền Thông</t>
        </is>
      </c>
      <c r="K2937" t="inlineStr">
        <is>
          <t>2 - 3 Năm</t>
        </is>
      </c>
      <c r="L2937" s="8">
        <f>HYPERLINK("https://careerviet.vn/vi/tim-viec-lam/chuyen-vien-quan-tri-crm.35C6C16A.html","Xem chi tiết")</f>
        <v/>
      </c>
    </row>
    <row r="2938">
      <c r="B2938" s="9" t="n">
        <v>2936</v>
      </c>
      <c r="C2938" s="10" t="inlineStr">
        <is>
          <t>Chuyên viên MarCom</t>
        </is>
      </c>
      <c r="D2938" s="10" t="inlineStr">
        <is>
          <t>Công Ty Cổ Phần Du Lịch Vietravel</t>
        </is>
      </c>
      <c r="E2938" s="10" t="inlineStr">
        <is>
          <t>Lương:Cạnh tranh</t>
        </is>
      </c>
      <c r="F2938" s="10" t="inlineStr">
        <is>
          <t>Hồ Chí Minh</t>
        </is>
      </c>
      <c r="G2938" s="10" t="inlineStr">
        <is>
          <t>24-04-2026</t>
        </is>
      </c>
      <c r="H2938" s="10" t="inlineStr">
        <is>
          <t>24/04/2026</t>
        </is>
      </c>
      <c r="I2938" s="10" t="inlineStr">
        <is>
          <t>17/03/2026</t>
        </is>
      </c>
      <c r="J2938" s="10" t="inlineStr">
        <is>
          <t>Du lịch, Quảng cáo / Đối ngoại / Truyền Thông</t>
        </is>
      </c>
      <c r="K2938" s="10" t="inlineStr">
        <is>
          <t>1 - 3 Năm</t>
        </is>
      </c>
      <c r="L2938" s="11">
        <f>HYPERLINK("https://careerviet.vn/vi/tim-viec-lam/chuyen-vien-marcom.35C6C165.html","Xem chi tiết")</f>
        <v/>
      </c>
      <c r="M2938" s="10" t="n"/>
    </row>
    <row r="2939">
      <c r="B2939" s="7" t="n">
        <v>2937</v>
      </c>
      <c r="C2939" t="inlineStr">
        <is>
          <t>Marketing Executive</t>
        </is>
      </c>
      <c r="D2939" t="inlineStr">
        <is>
          <t>CÔNG TY TNHH SOLEIL FARM</t>
        </is>
      </c>
      <c r="E2939" t="inlineStr">
        <is>
          <t>Lương:12 Tr - 15 Tr VND</t>
        </is>
      </c>
      <c r="F2939" t="inlineStr">
        <is>
          <t>Hồ Chí Minh</t>
        </is>
      </c>
      <c r="G2939" t="inlineStr">
        <is>
          <t>31-03-2026</t>
        </is>
      </c>
      <c r="H2939" t="inlineStr">
        <is>
          <t>31/03/2026</t>
        </is>
      </c>
      <c r="I2939" t="inlineStr">
        <is>
          <t>17/03/2026</t>
        </is>
      </c>
      <c r="J2939" t="inlineStr">
        <is>
          <t>Tiếp thị / Marketing, Bán lẻ / Bán sỉ, Nông nghiệp</t>
        </is>
      </c>
      <c r="K2939" t="inlineStr">
        <is>
          <t>1 - 2 Năm</t>
        </is>
      </c>
      <c r="L2939" s="8">
        <f>HYPERLINK("https://careerviet.vn/vi/tim-viec-lam/marketing-executive.35C6C15C.html","Xem chi tiết")</f>
        <v/>
      </c>
    </row>
    <row r="2940">
      <c r="B2940" s="9" t="n">
        <v>2938</v>
      </c>
      <c r="C2940" s="10" t="inlineStr">
        <is>
          <t>Technical Development Executive</t>
        </is>
      </c>
      <c r="D2940" s="10" t="inlineStr">
        <is>
          <t>Saint-Gobain Vietnam</t>
        </is>
      </c>
      <c r="E2940" s="10" t="inlineStr">
        <is>
          <t>Lương:Cạnh tranh</t>
        </is>
      </c>
      <c r="F2940" s="10" t="inlineStr">
        <is>
          <t>Hồ Chí Minh</t>
        </is>
      </c>
      <c r="G2940" s="10" t="inlineStr">
        <is>
          <t>11-04-2026</t>
        </is>
      </c>
      <c r="H2940" s="10" t="inlineStr">
        <is>
          <t>11/04/2026</t>
        </is>
      </c>
      <c r="I2940" s="10" t="inlineStr">
        <is>
          <t>17/03/2026</t>
        </is>
      </c>
      <c r="J2940" s="10" t="inlineStr">
        <is>
          <t>Kiến trúc, Xây dựng</t>
        </is>
      </c>
      <c r="K2940" s="10" t="inlineStr">
        <is>
          <t>2 - 4 Năm</t>
        </is>
      </c>
      <c r="L2940" s="11">
        <f>HYPERLINK("https://careerviet.vn/vi/tim-viec-lam/technical-development-executive.35C6C13A.html","Xem chi tiết")</f>
        <v/>
      </c>
      <c r="M2940" s="10" t="n"/>
    </row>
    <row r="2941">
      <c r="B2941" s="7" t="n">
        <v>2939</v>
      </c>
      <c r="C2941" t="inlineStr">
        <is>
          <t>Data Analytics Manager</t>
        </is>
      </c>
      <c r="D2941" t="inlineStr">
        <is>
          <t>Công Ty Cổ Phần Tập Đoàn TH</t>
        </is>
      </c>
      <c r="E2941" t="inlineStr">
        <is>
          <t>Lương:50 Tr - 60 Tr VND</t>
        </is>
      </c>
      <c r="F2941" t="inlineStr">
        <is>
          <t>Hà Nội</t>
        </is>
      </c>
      <c r="G2941" t="inlineStr">
        <is>
          <t>10-04-2026</t>
        </is>
      </c>
      <c r="H2941" t="inlineStr">
        <is>
          <t>10/04/2026</t>
        </is>
      </c>
      <c r="I2941" t="inlineStr">
        <is>
          <t>17/03/2026</t>
        </is>
      </c>
      <c r="J2941" t="inlineStr">
        <is>
          <t>Ngân hàng, Bán lẻ / Bán sỉ, Bán hàng / Kinh doanh</t>
        </is>
      </c>
      <c r="K2941" t="inlineStr">
        <is>
          <t>5 - 7 Năm</t>
        </is>
      </c>
      <c r="L2941" s="8">
        <f>HYPERLINK("https://careerviet.vn/vi/tim-viec-lam/data-analytics-manager.35C6C163.html","Xem chi tiết")</f>
        <v/>
      </c>
    </row>
    <row r="2942">
      <c r="B2942" s="9" t="n">
        <v>2940</v>
      </c>
      <c r="C2942" s="10" t="inlineStr">
        <is>
          <t>Nhân Viên QS</t>
        </is>
      </c>
      <c r="D2942" s="10" t="inlineStr">
        <is>
          <t>Công ty TNHH Tư vấn Dự án SEAS</t>
        </is>
      </c>
      <c r="E2942" s="10" t="inlineStr">
        <is>
          <t>Lương:Cạnh tranh</t>
        </is>
      </c>
      <c r="F2942" s="10" t="inlineStr">
        <is>
          <t>Hồ Chí Minh</t>
        </is>
      </c>
      <c r="G2942" s="10" t="inlineStr">
        <is>
          <t>11-04-2026</t>
        </is>
      </c>
      <c r="H2942" s="10" t="inlineStr">
        <is>
          <t>11/04/2026</t>
        </is>
      </c>
      <c r="I2942" s="10" t="inlineStr">
        <is>
          <t>17/03/2026</t>
        </is>
      </c>
      <c r="J2942" s="10" t="inlineStr">
        <is>
          <t>Cơ khí / Ô tô / Tự động hóa, Xây dựng, Kiến trúc</t>
        </is>
      </c>
      <c r="K2942" s="10" t="inlineStr">
        <is>
          <t>2 - 3 Năm</t>
        </is>
      </c>
      <c r="L2942" s="11">
        <f>HYPERLINK("https://careerviet.vn/vi/tim-viec-lam/nhan-vien-qs.35C6C155.html","Xem chi tiết")</f>
        <v/>
      </c>
      <c r="M2942" s="10" t="n"/>
    </row>
    <row r="2943">
      <c r="B2943" s="7" t="n">
        <v>2941</v>
      </c>
      <c r="C2943" t="inlineStr">
        <is>
          <t>Kế toán nội bộ</t>
        </is>
      </c>
      <c r="D2943" t="inlineStr">
        <is>
          <t>CÔNG TY CỔ PHẦN VÀNG BẠC ĐÁ QUÝ LỘC PHÚC</t>
        </is>
      </c>
      <c r="E2943" t="inlineStr">
        <is>
          <t>Lương:Cạnh tranh</t>
        </is>
      </c>
      <c r="F2943" t="inlineStr">
        <is>
          <t>Hồ Chí Minh</t>
        </is>
      </c>
      <c r="G2943" t="inlineStr">
        <is>
          <t>31-03-2026</t>
        </is>
      </c>
      <c r="H2943" t="inlineStr">
        <is>
          <t>31/03/2026</t>
        </is>
      </c>
      <c r="I2943" t="inlineStr">
        <is>
          <t>17/03/2026</t>
        </is>
      </c>
      <c r="J2943" t="inlineStr">
        <is>
          <t>Kế toán / Kiểm toán</t>
        </is>
      </c>
      <c r="K2943" t="inlineStr">
        <is>
          <t>2 - 5 Năm</t>
        </is>
      </c>
      <c r="L2943" s="8">
        <f>HYPERLINK("https://careerviet.vn/vi/tim-viec-lam/ke-toan-noi-bo.35C6961A.html","Xem chi tiết")</f>
        <v/>
      </c>
    </row>
    <row r="2944">
      <c r="B2944" s="9" t="n">
        <v>2942</v>
      </c>
      <c r="C2944" s="10" t="inlineStr">
        <is>
          <t>Chuyên viên Nghiên cứu Thị trường</t>
        </is>
      </c>
      <c r="D2944" s="10" t="inlineStr">
        <is>
          <t>Công Ty Cổ Phần Du Lịch Vietravel</t>
        </is>
      </c>
      <c r="E2944" s="10" t="inlineStr">
        <is>
          <t>Lương:Cạnh tranh</t>
        </is>
      </c>
      <c r="F2944" s="10" t="inlineStr">
        <is>
          <t>Hồ Chí Minh</t>
        </is>
      </c>
      <c r="G2944" s="10" t="inlineStr">
        <is>
          <t>24-04-2026</t>
        </is>
      </c>
      <c r="H2944" s="10" t="inlineStr">
        <is>
          <t>24/04/2026</t>
        </is>
      </c>
      <c r="I2944" s="10" t="inlineStr">
        <is>
          <t>17/03/2026</t>
        </is>
      </c>
      <c r="J2944" s="10" t="inlineStr">
        <is>
          <t>Du lịch, Quảng cáo / Đối ngoại / Truyền Thông</t>
        </is>
      </c>
      <c r="K2944" s="10" t="inlineStr">
        <is>
          <t>1 - 2 Năm</t>
        </is>
      </c>
      <c r="L2944" s="11">
        <f>HYPERLINK("https://careerviet.vn/vi/tim-viec-lam/chuyen-vien-nghien-cuu-thi-truong.35C6C15D.html","Xem chi tiết")</f>
        <v/>
      </c>
      <c r="M2944" s="10" t="n"/>
    </row>
    <row r="2945">
      <c r="B2945" s="7" t="n">
        <v>2943</v>
      </c>
      <c r="C2945" t="inlineStr">
        <is>
          <t>Sales Tour</t>
        </is>
      </c>
      <c r="D2945" t="inlineStr">
        <is>
          <t>CÔNG TY CỔ PHẦN CÔNG NGHỆ DU LỊCH GOTADI - CHI NHÁNH HAN</t>
        </is>
      </c>
      <c r="E2945" t="inlineStr">
        <is>
          <t>Lương:Cạnh tranh</t>
        </is>
      </c>
      <c r="F2945" t="inlineStr">
        <is>
          <t>Hà Nội</t>
        </is>
      </c>
      <c r="G2945" t="inlineStr">
        <is>
          <t>11-04-2026</t>
        </is>
      </c>
      <c r="H2945" t="inlineStr">
        <is>
          <t>11/04/2026</t>
        </is>
      </c>
      <c r="I2945" t="inlineStr">
        <is>
          <t>17/03/2026</t>
        </is>
      </c>
      <c r="J2945" t="inlineStr">
        <is>
          <t>Bán hàng / Kinh doanh, Hàng không, Du lịch</t>
        </is>
      </c>
      <c r="K2945" t="inlineStr">
        <is>
          <t>Trên 2 Năm</t>
        </is>
      </c>
      <c r="L2945" s="8">
        <f>HYPERLINK("https://careerviet.vn/vi/tim-viec-lam/sales-tour.35C6BF0B.html","Xem chi tiết")</f>
        <v/>
      </c>
    </row>
    <row r="2946">
      <c r="B2946" s="9" t="n">
        <v>2944</v>
      </c>
      <c r="C2946" s="10" t="inlineStr">
        <is>
          <t>Trưởng phòng Tăng trưởng</t>
        </is>
      </c>
      <c r="D2946" s="10" t="inlineStr">
        <is>
          <t>Công Ty Cổ Phần Du Lịch Vietravel</t>
        </is>
      </c>
      <c r="E2946" s="10" t="inlineStr">
        <is>
          <t>Lương:Cạnh tranh</t>
        </is>
      </c>
      <c r="F2946" s="10" t="inlineStr">
        <is>
          <t>Hồ Chí Minh</t>
        </is>
      </c>
      <c r="G2946" s="10" t="inlineStr">
        <is>
          <t>24-04-2026</t>
        </is>
      </c>
      <c r="H2946" s="10" t="inlineStr">
        <is>
          <t>24/04/2026</t>
        </is>
      </c>
      <c r="I2946" s="10" t="inlineStr">
        <is>
          <t>17/03/2026</t>
        </is>
      </c>
      <c r="J2946" s="10" t="inlineStr">
        <is>
          <t>Du lịch, Quảng cáo / Đối ngoại / Truyền Thông</t>
        </is>
      </c>
      <c r="K2946" s="10" t="inlineStr">
        <is>
          <t>5 - 6 Năm</t>
        </is>
      </c>
      <c r="L2946" s="11">
        <f>HYPERLINK("https://careerviet.vn/vi/tim-viec-lam/truong-phong-tang-truong.35C6C156.html","Xem chi tiết")</f>
        <v/>
      </c>
      <c r="M2946" s="10" t="n"/>
    </row>
    <row r="2947">
      <c r="B2947" s="7" t="n">
        <v>2945</v>
      </c>
      <c r="C2947" t="inlineStr">
        <is>
          <t>Nhân Viên KS Cơ Khí (Thiết Kế Đường Ống)</t>
        </is>
      </c>
      <c r="D2947" t="inlineStr">
        <is>
          <t>Công ty TNHH Tư vấn Dự án SEAS</t>
        </is>
      </c>
      <c r="E2947" t="inlineStr">
        <is>
          <t>Lương:Cạnh tranh</t>
        </is>
      </c>
      <c r="F2947" t="inlineStr">
        <is>
          <t>Hồ Chí Minh</t>
        </is>
      </c>
      <c r="G2947" t="inlineStr">
        <is>
          <t>11-04-2026</t>
        </is>
      </c>
      <c r="H2947" t="inlineStr">
        <is>
          <t>11/04/2026</t>
        </is>
      </c>
      <c r="I2947" t="inlineStr">
        <is>
          <t>17/03/2026</t>
        </is>
      </c>
      <c r="J2947" t="inlineStr">
        <is>
          <t>Cơ khí / Ô tô / Tự động hóa, Mỹ thuật / Nghệ thuật / Thiết kế, Xây dựng</t>
        </is>
      </c>
      <c r="K2947" t="inlineStr">
        <is>
          <t>Trên 2 Năm</t>
        </is>
      </c>
      <c r="L2947" s="8">
        <f>HYPERLINK("https://careerviet.vn/vi/tim-viec-lam/nhan-vien-ks-co-khi-thiet-ke-duong-ong.35C6C153.html","Xem chi tiết")</f>
        <v/>
      </c>
    </row>
    <row r="2948">
      <c r="B2948" s="9" t="n">
        <v>2946</v>
      </c>
      <c r="C2948" s="10" t="inlineStr">
        <is>
          <t>Nhân Viên Điều Hành</t>
        </is>
      </c>
      <c r="D2948" s="10" t="inlineStr">
        <is>
          <t>CÔNG TY CỔ PHẦN CÔNG NGHỆ DU LỊCH GOTADI - CHI NHÁNH HAN</t>
        </is>
      </c>
      <c r="E2948" s="10" t="inlineStr">
        <is>
          <t>Lương:Cạnh tranh</t>
        </is>
      </c>
      <c r="F2948" s="10" t="inlineStr">
        <is>
          <t>Hà Nội</t>
        </is>
      </c>
      <c r="G2948" s="10" t="inlineStr">
        <is>
          <t>11-04-2026</t>
        </is>
      </c>
      <c r="H2948" s="10" t="inlineStr">
        <is>
          <t>11/04/2026</t>
        </is>
      </c>
      <c r="I2948" s="10" t="inlineStr">
        <is>
          <t>17/03/2026</t>
        </is>
      </c>
      <c r="J2948" s="10" t="inlineStr">
        <is>
          <t>Quản lý điều hành, Du lịch, Bán hàng / Kinh doanh</t>
        </is>
      </c>
      <c r="K2948" s="10" t="inlineStr">
        <is>
          <t>Trên 2 Năm</t>
        </is>
      </c>
      <c r="L2948" s="11">
        <f>HYPERLINK("https://careerviet.vn/vi/tim-viec-lam/nhan-vien-dieu-hanh.35C6BF11.html","Xem chi tiết")</f>
        <v/>
      </c>
      <c r="M2948" s="10" t="n"/>
    </row>
    <row r="2949">
      <c r="B2949" s="7" t="n">
        <v>2947</v>
      </c>
      <c r="C2949" t="inlineStr">
        <is>
          <t>Chuyên viên DA/BI (Data Analyst/Business Intelligence)</t>
        </is>
      </c>
      <c r="D2949" t="inlineStr">
        <is>
          <t>Công Ty Cổ Phần Du Lịch Vietravel</t>
        </is>
      </c>
      <c r="E2949" t="inlineStr">
        <is>
          <t>Lương:Cạnh tranh</t>
        </is>
      </c>
      <c r="F2949" t="inlineStr">
        <is>
          <t>Hồ Chí Minh</t>
        </is>
      </c>
      <c r="G2949" t="inlineStr">
        <is>
          <t>24-04-2026</t>
        </is>
      </c>
      <c r="H2949" t="inlineStr">
        <is>
          <t>24/04/2026</t>
        </is>
      </c>
      <c r="I2949" t="inlineStr">
        <is>
          <t>17/03/2026</t>
        </is>
      </c>
      <c r="J2949" t="inlineStr">
        <is>
          <t>Du lịch, Quảng cáo / Đối ngoại / Truyền Thông</t>
        </is>
      </c>
      <c r="K2949" t="inlineStr">
        <is>
          <t>2 - 3 Năm</t>
        </is>
      </c>
      <c r="L2949" s="8">
        <f>HYPERLINK("https://careerviet.vn/vi/tim-viec-lam/chuyen-vien-da-bi-data-analyst-business-intelligence.35C6C159.html","Xem chi tiết")</f>
        <v/>
      </c>
    </row>
    <row r="2950">
      <c r="B2950" s="9" t="n">
        <v>2948</v>
      </c>
      <c r="C2950" s="10" t="inlineStr">
        <is>
          <t>Kế Toán Công Nợ</t>
        </is>
      </c>
      <c r="D2950" s="10" t="inlineStr">
        <is>
          <t>CÔNG TY CỔ PHẦN CÔNG NGHỆ DU LỊCH GOTADI - CHI NHÁNH HAN</t>
        </is>
      </c>
      <c r="E2950" s="10" t="inlineStr">
        <is>
          <t>Lương:Cạnh tranh</t>
        </is>
      </c>
      <c r="F2950" s="10" t="inlineStr">
        <is>
          <t>Hà Nội</t>
        </is>
      </c>
      <c r="G2950" s="10" t="inlineStr">
        <is>
          <t>11-04-2026</t>
        </is>
      </c>
      <c r="H2950" s="10" t="inlineStr">
        <is>
          <t>11/04/2026</t>
        </is>
      </c>
      <c r="I2950" s="10" t="inlineStr">
        <is>
          <t>17/03/2026</t>
        </is>
      </c>
      <c r="J2950" s="10" t="inlineStr">
        <is>
          <t>Kế toán / Kiểm toán, Tài chính / Đầu tư, Luật / Pháp lý</t>
        </is>
      </c>
      <c r="K2950" s="10" t="inlineStr">
        <is>
          <t>Trên 2 Năm</t>
        </is>
      </c>
      <c r="L2950" s="11">
        <f>HYPERLINK("https://careerviet.vn/vi/tim-viec-lam/ke-toan-cong-no.35C6BF16.html","Xem chi tiết")</f>
        <v/>
      </c>
      <c r="M2950" s="10" t="n"/>
    </row>
    <row r="2951">
      <c r="B2951" s="7" t="n">
        <v>2949</v>
      </c>
      <c r="C2951" t="inlineStr">
        <is>
          <t>Kỹ Sư Kết Cấu</t>
        </is>
      </c>
      <c r="D2951" t="inlineStr">
        <is>
          <t>CÔNG TY CỔ PHẦN HAWEE BẤT ĐỘNG SẢN</t>
        </is>
      </c>
      <c r="E2951" t="inlineStr">
        <is>
          <t>Lương:Trên 22 Tr VND</t>
        </is>
      </c>
      <c r="F2951" t="inlineStr">
        <is>
          <t>Hà Nội</t>
        </is>
      </c>
      <c r="G2951" t="inlineStr">
        <is>
          <t>10-04-2026</t>
        </is>
      </c>
      <c r="H2951" t="inlineStr">
        <is>
          <t>10/04/2026</t>
        </is>
      </c>
      <c r="I2951" t="inlineStr">
        <is>
          <t>17/03/2026</t>
        </is>
      </c>
      <c r="J2951" t="inlineStr">
        <is>
          <t>Xây dựng, Kiến trúc, Bất động sản</t>
        </is>
      </c>
      <c r="K2951" t="inlineStr">
        <is>
          <t>Trên 5 Năm</t>
        </is>
      </c>
      <c r="L2951" s="8">
        <f>HYPERLINK("https://careerviet.vn/vi/tim-viec-lam/ky-su-ket-cau.35C6BEE9.html","Xem chi tiết")</f>
        <v/>
      </c>
    </row>
    <row r="2952">
      <c r="B2952" s="9" t="n">
        <v>2950</v>
      </c>
      <c r="C2952" s="10" t="inlineStr">
        <is>
          <t>Quản Lý Đại Lý</t>
        </is>
      </c>
      <c r="D2952" s="10" t="inlineStr">
        <is>
          <t>CÔNG TY CỔ PHẦN HAWEE BẤT ĐỘNG SẢN</t>
        </is>
      </c>
      <c r="E2952" s="10" t="inlineStr">
        <is>
          <t>Lương:Cạnh tranh</t>
        </is>
      </c>
      <c r="F2952" s="10" t="inlineStr">
        <is>
          <t>Hà Nội</t>
        </is>
      </c>
      <c r="G2952" s="10" t="inlineStr">
        <is>
          <t>10-04-2026</t>
        </is>
      </c>
      <c r="H2952" s="10" t="inlineStr">
        <is>
          <t>10/04/2026</t>
        </is>
      </c>
      <c r="I2952" s="10" t="inlineStr">
        <is>
          <t>17/03/2026</t>
        </is>
      </c>
      <c r="J2952" s="10" t="inlineStr">
        <is>
          <t>Xây dựng, Kiến trúc, Bất động sản</t>
        </is>
      </c>
      <c r="K2952" s="10" t="inlineStr">
        <is>
          <t>Trên 3 Năm</t>
        </is>
      </c>
      <c r="L2952" s="11">
        <f>HYPERLINK("https://careerviet.vn/vi/tim-viec-lam/quan-ly-dai-ly.35C6BEEC.html","Xem chi tiết")</f>
        <v/>
      </c>
      <c r="M2952" s="10" t="n"/>
    </row>
    <row r="2953">
      <c r="B2953" s="7" t="n">
        <v>2951</v>
      </c>
      <c r="C2953" t="inlineStr">
        <is>
          <t>Nhân Viên Tư Vấn &amp; Bán Hàng (Sales Executive)</t>
        </is>
      </c>
      <c r="D2953" t="inlineStr">
        <is>
          <t>Công ty TNHH Ru9</t>
        </is>
      </c>
      <c r="E2953" t="inlineStr">
        <is>
          <t>Lương:10 Tr - 20 Tr VND</t>
        </is>
      </c>
      <c r="F2953" t="inlineStr">
        <is>
          <t>Hà Nội</t>
        </is>
      </c>
      <c r="G2953" t="inlineStr">
        <is>
          <t>10-04-2026</t>
        </is>
      </c>
      <c r="H2953" t="inlineStr">
        <is>
          <t>10/04/2026</t>
        </is>
      </c>
      <c r="I2953" t="inlineStr">
        <is>
          <t>17/03/2026</t>
        </is>
      </c>
      <c r="J2953" t="inlineStr">
        <is>
          <t>Bán lẻ / Bán sỉ, Bán hàng / Kinh doanh, Tiếp thị / Marketing</t>
        </is>
      </c>
      <c r="K2953" t="inlineStr">
        <is>
          <t>1 - 2 Năm</t>
        </is>
      </c>
      <c r="L2953" s="8">
        <f>HYPERLINK("https://careerviet.vn/vi/tim-viec-lam/nhan-vien-tu-van-ban-hang-sales-executive.35C6C15B.html","Xem chi tiết")</f>
        <v/>
      </c>
    </row>
    <row r="2954">
      <c r="B2954" s="9" t="n">
        <v>2952</v>
      </c>
      <c r="C2954" s="10" t="inlineStr">
        <is>
          <t>Chuyên viên Sales Admin</t>
        </is>
      </c>
      <c r="D2954" s="10" t="inlineStr">
        <is>
          <t>CÔNG TY TNHH ĐẦU TƯ VÀ PHÁT TRIỂN LÊ PHONG</t>
        </is>
      </c>
      <c r="E2954" s="10" t="inlineStr">
        <is>
          <t>Lương:Cạnh tranh</t>
        </is>
      </c>
      <c r="F2954" s="10" t="inlineStr">
        <is>
          <t>Hồ Chí MinhBình Dương</t>
        </is>
      </c>
      <c r="G2954" s="10" t="inlineStr">
        <is>
          <t>11-04-2026</t>
        </is>
      </c>
      <c r="H2954" s="10" t="inlineStr">
        <is>
          <t>11/04/2026</t>
        </is>
      </c>
      <c r="I2954" s="10" t="inlineStr">
        <is>
          <t>17/03/2026</t>
        </is>
      </c>
      <c r="J2954" s="10" t="inlineStr">
        <is>
          <t>Bất động sản</t>
        </is>
      </c>
      <c r="K2954" s="10" t="inlineStr">
        <is>
          <t>1 - 2 Năm</t>
        </is>
      </c>
      <c r="L2954" s="11">
        <f>HYPERLINK("https://careerviet.vn/vi/tim-viec-lam/chuyen-vien-sales-admin.35C6BECA.html","Xem chi tiết")</f>
        <v/>
      </c>
      <c r="M2954" s="10" t="n"/>
    </row>
    <row r="2955">
      <c r="B2955" s="7" t="n">
        <v>2953</v>
      </c>
      <c r="C2955" t="inlineStr">
        <is>
          <t>Project Engineer - Steel Structure</t>
        </is>
      </c>
      <c r="D2955" t="inlineStr">
        <is>
          <t>ATAD Steel Structure Corporation</t>
        </is>
      </c>
      <c r="E2955" t="inlineStr">
        <is>
          <t>Lương:Cạnh tranh</t>
        </is>
      </c>
      <c r="F2955" t="inlineStr">
        <is>
          <t>Hồ Chí Minh</t>
        </is>
      </c>
      <c r="G2955" t="inlineStr">
        <is>
          <t>11-04-2026</t>
        </is>
      </c>
      <c r="H2955" t="inlineStr">
        <is>
          <t>11/04/2026</t>
        </is>
      </c>
      <c r="I2955" t="inlineStr">
        <is>
          <t>17/03/2026</t>
        </is>
      </c>
      <c r="J2955" t="inlineStr">
        <is>
          <t>Xây dựng, Cơ khí / Ô tô / Tự động hóa</t>
        </is>
      </c>
      <c r="K2955" t="inlineStr">
        <is>
          <t>2 - 4 Năm</t>
        </is>
      </c>
      <c r="L2955" s="8">
        <f>HYPERLINK("https://careerviet.vn/vi/tim-viec-lam/project-engineer-steel-structure.35C6BECB.html","Xem chi tiết")</f>
        <v/>
      </c>
    </row>
    <row r="2956">
      <c r="B2956" s="9" t="n">
        <v>2954</v>
      </c>
      <c r="C2956" s="10" t="inlineStr">
        <is>
          <t>CHỈ HUY TRƯỞNG</t>
        </is>
      </c>
      <c r="D2956" s="10" t="inlineStr">
        <is>
          <t>CÔNG TY TNHH ĐẦU TƯ VÀ XÂY DỰNG TNG</t>
        </is>
      </c>
      <c r="E2956" s="10" t="inlineStr">
        <is>
          <t>Lương:28 Tr - 35 Tr VND</t>
        </is>
      </c>
      <c r="F2956" s="10" t="inlineStr">
        <is>
          <t>Bắc Ninh</t>
        </is>
      </c>
      <c r="G2956" s="10" t="inlineStr">
        <is>
          <t>10-04-2026</t>
        </is>
      </c>
      <c r="H2956" s="10" t="inlineStr">
        <is>
          <t>10/04/2026</t>
        </is>
      </c>
      <c r="I2956" s="10" t="inlineStr">
        <is>
          <t>17/03/2026</t>
        </is>
      </c>
      <c r="J2956" s="10" t="inlineStr">
        <is>
          <t>Xây dựng</t>
        </is>
      </c>
      <c r="K2956" s="10" t="inlineStr">
        <is>
          <t>Trên 3 Năm</t>
        </is>
      </c>
      <c r="L2956" s="11">
        <f>HYPERLINK("https://careerviet.vn/vi/tim-viec-lam/chi-huy-truong.35C6BEDC.html","Xem chi tiết")</f>
        <v/>
      </c>
      <c r="M2956" s="10" t="n"/>
    </row>
    <row r="2957">
      <c r="B2957" s="7" t="n">
        <v>2955</v>
      </c>
      <c r="C2957" t="inlineStr">
        <is>
          <t>IPQC Technician (Khu công nghiệp Đại Đăng, Bình Dương)</t>
        </is>
      </c>
      <c r="D2957" t="inlineStr">
        <is>
          <t>Techtronic Industries Vietnam Manufacturing Company Limited</t>
        </is>
      </c>
      <c r="E2957" t="inlineStr">
        <is>
          <t>Lương:Cạnh tranh</t>
        </is>
      </c>
      <c r="F2957" t="inlineStr">
        <is>
          <t>Bình Dương</t>
        </is>
      </c>
      <c r="G2957" t="inlineStr">
        <is>
          <t>30-03-2026</t>
        </is>
      </c>
      <c r="H2957" t="inlineStr">
        <is>
          <t>30/03/2026</t>
        </is>
      </c>
      <c r="I2957" t="inlineStr">
        <is>
          <t>17/03/2026</t>
        </is>
      </c>
      <c r="J2957" t="inlineStr">
        <is>
          <t>Cơ khí / Ô tô / Tự động hóa, Quản lý chất lượng (QA/QC), Điện / Điện tử / Điện lạnh / Điện công nghiệp</t>
        </is>
      </c>
      <c r="K2957" t="inlineStr">
        <is>
          <t>N/A</t>
        </is>
      </c>
      <c r="L2957" s="8">
        <f>HYPERLINK("https://careerviet.vn/vi/tim-viec-lam/ipqc-technician-khu-cong-nghiep-dai-dang-binh-duong.35C6BEDE.html","Xem chi tiết")</f>
        <v/>
      </c>
    </row>
    <row r="2958">
      <c r="B2958" s="9" t="n">
        <v>2956</v>
      </c>
      <c r="C2958" s="10" t="inlineStr">
        <is>
          <t>Kỹ sư dự toán đấu thầu (Cơ điện)</t>
        </is>
      </c>
      <c r="D2958" s="10" t="inlineStr">
        <is>
          <t>Công ty Cổ phần Xây dựng CBC</t>
        </is>
      </c>
      <c r="E2958" s="10" t="inlineStr">
        <is>
          <t>Lương:15 Tr - 20 Tr VND</t>
        </is>
      </c>
      <c r="F2958" s="10" t="inlineStr">
        <is>
          <t>Hà Nội</t>
        </is>
      </c>
      <c r="G2958" s="10" t="inlineStr">
        <is>
          <t>30-04-2026</t>
        </is>
      </c>
      <c r="H2958" s="10" t="inlineStr">
        <is>
          <t>30/04/2026</t>
        </is>
      </c>
      <c r="I2958" s="10" t="inlineStr">
        <is>
          <t>17/03/2026</t>
        </is>
      </c>
      <c r="J2958" s="10" t="inlineStr">
        <is>
          <t>Điện / Điện tử / Điện lạnh / Điện công nghiệp, Xây dựng</t>
        </is>
      </c>
      <c r="K2958" s="10" t="inlineStr">
        <is>
          <t>3 - 5 Năm</t>
        </is>
      </c>
      <c r="L2958" s="11">
        <f>HYPERLINK("https://careerviet.vn/vi/tim-viec-lam/ky-su-du-toan-dau-thau-co-dien.35C6BEC5.html","Xem chi tiết")</f>
        <v/>
      </c>
      <c r="M2958" s="10" t="n"/>
    </row>
    <row r="2959">
      <c r="B2959" s="7" t="n">
        <v>2957</v>
      </c>
      <c r="C2959" t="inlineStr">
        <is>
          <t>Nhân Viên Nhân Sự - HR Executive</t>
        </is>
      </c>
      <c r="D2959" t="inlineStr">
        <is>
          <t>CÔNG TY CỔ PHẦN CÔNG NGHỆ DU LỊCH GOTADI - CHI NHÁNH HAN</t>
        </is>
      </c>
      <c r="E2959" t="inlineStr">
        <is>
          <t>Lương:Cạnh tranh</t>
        </is>
      </c>
      <c r="F2959" t="inlineStr">
        <is>
          <t>Hà Nội</t>
        </is>
      </c>
      <c r="G2959" t="inlineStr">
        <is>
          <t>11-04-2026</t>
        </is>
      </c>
      <c r="H2959" t="inlineStr">
        <is>
          <t>11/04/2026</t>
        </is>
      </c>
      <c r="I2959" t="inlineStr">
        <is>
          <t>17/03/2026</t>
        </is>
      </c>
      <c r="J2959" t="inlineStr">
        <is>
          <t>Nhân sự, Hành chính / Thư ký, Luật / Pháp lý</t>
        </is>
      </c>
      <c r="K2959" t="inlineStr">
        <is>
          <t>Trên 2 Năm</t>
        </is>
      </c>
      <c r="L2959" s="8">
        <f>HYPERLINK("https://careerviet.vn/vi/tim-viec-lam/nhan-vien-nhan-su-hr-executive.35C6BF04.html","Xem chi tiết")</f>
        <v/>
      </c>
    </row>
    <row r="2960">
      <c r="B2960" s="9" t="n">
        <v>2958</v>
      </c>
      <c r="C2960" s="10" t="inlineStr">
        <is>
          <t>Sales thiết bị bếp công nghiệp</t>
        </is>
      </c>
      <c r="D2960" s="10" t="inlineStr">
        <is>
          <t>Công ty cổ phần thương mại kỹ thuật An Việt</t>
        </is>
      </c>
      <c r="E2960" s="10" t="inlineStr">
        <is>
          <t>Lương:15 Tr - 30 Tr VND</t>
        </is>
      </c>
      <c r="F2960" s="10" t="inlineStr">
        <is>
          <t>Hà NộiHồ Chí Minh</t>
        </is>
      </c>
      <c r="G2960" s="10" t="inlineStr">
        <is>
          <t>31-03-2026</t>
        </is>
      </c>
      <c r="H2960" s="10" t="inlineStr">
        <is>
          <t>31/03/2026</t>
        </is>
      </c>
      <c r="I2960" s="10" t="inlineStr">
        <is>
          <t>17/03/2026</t>
        </is>
      </c>
      <c r="J2960" s="10" t="inlineStr">
        <is>
          <t>Tiếp thị / Marketing, Bán lẻ / Bán sỉ, Bán hàng / Kinh doanh</t>
        </is>
      </c>
      <c r="K2960" s="10" t="inlineStr">
        <is>
          <t>1 - 3 Năm</t>
        </is>
      </c>
      <c r="L2960" s="11">
        <f>HYPERLINK("https://careerviet.vn/vi/tim-viec-lam/sales-thiet-bi-bep-cong-nghiep.35C6BECC.html","Xem chi tiết")</f>
        <v/>
      </c>
      <c r="M2960" s="10" t="n"/>
    </row>
    <row r="2961">
      <c r="B2961" s="7" t="n">
        <v>2959</v>
      </c>
      <c r="C2961" t="inlineStr">
        <is>
          <t>Kỹ sư QS văn phòng</t>
        </is>
      </c>
      <c r="D2961" t="inlineStr">
        <is>
          <t>CÔNG TY TNHH SẢN XUẤT THƯƠNG MẠI XÂY DỰNG PHÚ KHẢI</t>
        </is>
      </c>
      <c r="E2961" t="inlineStr">
        <is>
          <t>Lương:14 Tr - 25 Tr VND</t>
        </is>
      </c>
      <c r="F2961" t="inlineStr">
        <is>
          <t>Hồ Chí Minh</t>
        </is>
      </c>
      <c r="G2961" t="inlineStr">
        <is>
          <t>30-04-2026</t>
        </is>
      </c>
      <c r="H2961" t="inlineStr">
        <is>
          <t>30/04/2026</t>
        </is>
      </c>
      <c r="I2961" t="inlineStr">
        <is>
          <t>17/03/2026</t>
        </is>
      </c>
      <c r="J2961" t="inlineStr">
        <is>
          <t>Xây dựng, Điện / Điện tử / Điện lạnh / Điện công nghiệp</t>
        </is>
      </c>
      <c r="K2961" t="inlineStr">
        <is>
          <t>Trên 3 Năm</t>
        </is>
      </c>
      <c r="L2961" s="8">
        <f>HYPERLINK("https://careerviet.vn/vi/tim-viec-lam/ky-su-qs-van-phong.35C6BEB8.html","Xem chi tiết")</f>
        <v/>
      </c>
    </row>
    <row r="2962">
      <c r="B2962" s="9" t="n">
        <v>2960</v>
      </c>
      <c r="C2962" s="10" t="inlineStr">
        <is>
          <t>Nhân viên xuất nhập khẩu</t>
        </is>
      </c>
      <c r="D2962" s="10" t="inlineStr">
        <is>
          <t>CÔNG TY TNHH KHAI THÁC HẢI SẢN, CHẾ BIẾN NƯỚC MẮM THANH HÀ</t>
        </is>
      </c>
      <c r="E2962" s="10" t="inlineStr">
        <is>
          <t>Lương:10 Tr - 17 Tr VND</t>
        </is>
      </c>
      <c r="F2962" s="10" t="inlineStr">
        <is>
          <t>Hồ Chí Minh</t>
        </is>
      </c>
      <c r="G2962" s="10" t="inlineStr">
        <is>
          <t>28-03-2026</t>
        </is>
      </c>
      <c r="H2962" s="10" t="inlineStr">
        <is>
          <t>28/03/2026</t>
        </is>
      </c>
      <c r="I2962" s="10" t="inlineStr">
        <is>
          <t>17/03/2026</t>
        </is>
      </c>
      <c r="J2962" s="10" t="inlineStr">
        <is>
          <t>Bán hàng / Kinh doanh, Xuất nhập khẩu, Thực phẩm &amp; Đồ uống</t>
        </is>
      </c>
      <c r="K2962" s="10" t="inlineStr">
        <is>
          <t>2 - 5 Năm</t>
        </is>
      </c>
      <c r="L2962" s="11">
        <f>HYPERLINK("https://careerviet.vn/vi/tim-viec-lam/nhan-vien-xuat-nhap-khau.35C6BE87.html","Xem chi tiết")</f>
        <v/>
      </c>
      <c r="M2962" s="10" t="n"/>
    </row>
    <row r="2963">
      <c r="B2963" s="7" t="n">
        <v>2961</v>
      </c>
      <c r="C2963" t="inlineStr">
        <is>
          <t>Kỹ sư QS công trình</t>
        </is>
      </c>
      <c r="D2963" t="inlineStr">
        <is>
          <t>CÔNG TY TNHH SẢN XUẤT THƯƠNG MẠI XÂY DỰNG PHÚ KHẢI</t>
        </is>
      </c>
      <c r="E2963" t="inlineStr">
        <is>
          <t>Lương:16 Tr - 20 Tr VND</t>
        </is>
      </c>
      <c r="F2963" t="inlineStr">
        <is>
          <t>Gia Lai</t>
        </is>
      </c>
      <c r="G2963" t="inlineStr">
        <is>
          <t>30-04-2026</t>
        </is>
      </c>
      <c r="H2963" t="inlineStr">
        <is>
          <t>30/04/2026</t>
        </is>
      </c>
      <c r="I2963" t="inlineStr">
        <is>
          <t>17/03/2026</t>
        </is>
      </c>
      <c r="J2963" t="inlineStr">
        <is>
          <t>Xây dựng, Điện / Điện tử / Điện lạnh / Điện công nghiệp</t>
        </is>
      </c>
      <c r="K2963" t="inlineStr">
        <is>
          <t>Trên 3 Năm</t>
        </is>
      </c>
      <c r="L2963" s="8">
        <f>HYPERLINK("https://careerviet.vn/vi/tim-viec-lam/ky-su-qs-cong-trinh.35C6BEC9.html","Xem chi tiết")</f>
        <v/>
      </c>
    </row>
    <row r="2964">
      <c r="B2964" s="9" t="n">
        <v>2962</v>
      </c>
      <c r="C2964" s="10" t="inlineStr">
        <is>
          <t>Trưởng Phòng Kỹ Thuật Bảo Trì</t>
        </is>
      </c>
      <c r="D2964" s="10" t="inlineStr">
        <is>
          <t>Công ty TNHH MTV Sen Vàng Việt Nam</t>
        </is>
      </c>
      <c r="E2964" s="10" t="inlineStr">
        <is>
          <t>Lương:35 Tr - 45 Tr VND</t>
        </is>
      </c>
      <c r="F2964" s="10" t="inlineStr">
        <is>
          <t>Hồ Chí Minh</t>
        </is>
      </c>
      <c r="G2964" s="10" t="inlineStr">
        <is>
          <t>31-03-2026</t>
        </is>
      </c>
      <c r="H2964" s="10" t="inlineStr">
        <is>
          <t>31/03/2026</t>
        </is>
      </c>
      <c r="I2964" s="10" t="inlineStr">
        <is>
          <t>17/03/2026</t>
        </is>
      </c>
      <c r="J2964" s="10" t="inlineStr">
        <is>
          <t>Bảo trì / Sửa chữa, Sản xuất / Vận hành sản xuất, Cơ khí / Ô tô / Tự động hóa</t>
        </is>
      </c>
      <c r="K2964" s="10" t="inlineStr">
        <is>
          <t>5 - 10 Năm</t>
        </is>
      </c>
      <c r="L2964" s="11">
        <f>HYPERLINK("https://careerviet.vn/vi/tim-viec-lam/truong-phong-ky-thuat-bao-tri.35C6BE90.html","Xem chi tiết")</f>
        <v/>
      </c>
      <c r="M2964" s="10" t="n"/>
    </row>
    <row r="2965">
      <c r="B2965" s="7" t="n">
        <v>2963</v>
      </c>
      <c r="C2965" t="inlineStr">
        <is>
          <t>Kỹ sư giám sát xây dựng</t>
        </is>
      </c>
      <c r="D2965" t="inlineStr">
        <is>
          <t>CÔNG TY CP TẬP ĐOÀN ĐẦU TƯ HOÀNG GIA VIỆT NAM</t>
        </is>
      </c>
      <c r="E2965" t="inlineStr">
        <is>
          <t>Lương:Cạnh tranh</t>
        </is>
      </c>
      <c r="F2965" t="inlineStr">
        <is>
          <t>Long AnLâm Đồng</t>
        </is>
      </c>
      <c r="G2965" t="inlineStr">
        <is>
          <t>10-04-2026</t>
        </is>
      </c>
      <c r="H2965" t="inlineStr">
        <is>
          <t>10/04/2026</t>
        </is>
      </c>
      <c r="I2965" t="inlineStr">
        <is>
          <t>17/03/2026</t>
        </is>
      </c>
      <c r="J2965" t="inlineStr">
        <is>
          <t>Xây dựng</t>
        </is>
      </c>
      <c r="K2965" t="inlineStr">
        <is>
          <t>5 - 1 Năm</t>
        </is>
      </c>
      <c r="L2965" s="8">
        <f>HYPERLINK("https://careerviet.vn/vi/tim-viec-lam/ky-su-giam-sat-xay-dung.35C6BEBD.html","Xem chi tiết")</f>
        <v/>
      </c>
    </row>
    <row r="2966">
      <c r="B2966" s="9" t="n">
        <v>2964</v>
      </c>
      <c r="C2966" s="10" t="inlineStr">
        <is>
          <t>Kỹ sư phát triển điện gió (wind power)</t>
        </is>
      </c>
      <c r="D2966" s="10" t="inlineStr">
        <is>
          <t>Tổng Công ty Cổ phần Công trình Viettel</t>
        </is>
      </c>
      <c r="E2966" s="10" t="inlineStr">
        <is>
          <t>Lương:20 Tr - 30 Tr VND</t>
        </is>
      </c>
      <c r="F2966" s="10" t="inlineStr">
        <is>
          <t>Hà NộiHồ Chí MinhĐà Nẵng</t>
        </is>
      </c>
      <c r="G2966" s="10" t="inlineStr">
        <is>
          <t>30-03-2026</t>
        </is>
      </c>
      <c r="H2966" s="10" t="inlineStr">
        <is>
          <t>30/03/2026</t>
        </is>
      </c>
      <c r="I2966" s="10" t="inlineStr">
        <is>
          <t>17/03/2026</t>
        </is>
      </c>
      <c r="J2966" s="10" t="inlineStr">
        <is>
          <t>Xây dựng, Môi trường, Bưu chính viễn thông</t>
        </is>
      </c>
      <c r="K2966" s="10" t="inlineStr">
        <is>
          <t>Trên 3 Năm</t>
        </is>
      </c>
      <c r="L2966" s="11">
        <f>HYPERLINK("https://careerviet.vn/vi/tim-viec-lam/ky-su-phat-trien-dien-gio-wind-power.35C6BEB4.html","Xem chi tiết")</f>
        <v/>
      </c>
      <c r="M2966" s="10" t="n"/>
    </row>
    <row r="2967">
      <c r="B2967" s="7" t="n">
        <v>2965</v>
      </c>
      <c r="C2967" t="inlineStr">
        <is>
          <t>Kỹ sư thiết kế cơ điện</t>
        </is>
      </c>
      <c r="D2967" t="inlineStr">
        <is>
          <t>Tổng Công ty Cổ phần Công trình Viettel</t>
        </is>
      </c>
      <c r="E2967" t="inlineStr">
        <is>
          <t>Lương:17 Tr - 22 Tr VND</t>
        </is>
      </c>
      <c r="F2967" t="inlineStr">
        <is>
          <t>Hà Nội</t>
        </is>
      </c>
      <c r="G2967" t="inlineStr">
        <is>
          <t>30-03-2026</t>
        </is>
      </c>
      <c r="H2967" t="inlineStr">
        <is>
          <t>30/03/2026</t>
        </is>
      </c>
      <c r="I2967" t="inlineStr">
        <is>
          <t>17/03/2026</t>
        </is>
      </c>
      <c r="J2967" t="inlineStr">
        <is>
          <t>Xây dựng, Mỹ thuật / Nghệ thuật / Thiết kế, Điện / Điện tử / Điện lạnh / Điện công nghiệp</t>
        </is>
      </c>
      <c r="K2967" t="inlineStr">
        <is>
          <t>Trên 1 Năm</t>
        </is>
      </c>
      <c r="L2967" s="8">
        <f>HYPERLINK("https://careerviet.vn/vi/tim-viec-lam/ky-su-thiet-ke-co-dien.35C6BEAC.html","Xem chi tiết")</f>
        <v/>
      </c>
    </row>
    <row r="2968">
      <c r="B2968" s="9" t="n">
        <v>2966</v>
      </c>
      <c r="C2968" s="10" t="inlineStr">
        <is>
          <t>Nhân viên bán hàng (Hưng Yên)</t>
        </is>
      </c>
      <c r="D2968" s="10" t="inlineStr">
        <is>
          <t>ORION FOOD VINA CO.,LTD</t>
        </is>
      </c>
      <c r="E2968" s="10" t="inlineStr">
        <is>
          <t>Lương:8 Tr - 15 Tr VND</t>
        </is>
      </c>
      <c r="F2968" s="10" t="inlineStr">
        <is>
          <t>Hưng Yên</t>
        </is>
      </c>
      <c r="G2968" s="10" t="inlineStr">
        <is>
          <t>30-04-2026</t>
        </is>
      </c>
      <c r="H2968" s="10" t="inlineStr">
        <is>
          <t>30/04/2026</t>
        </is>
      </c>
      <c r="I2968" s="10" t="inlineStr">
        <is>
          <t>17/03/2026</t>
        </is>
      </c>
      <c r="J2968" s="10" t="inlineStr">
        <is>
          <t>Tiếp thị / Marketing, Bán hàng / Kinh doanh, Bán lẻ / Bán sỉ</t>
        </is>
      </c>
      <c r="K2968" s="10" t="inlineStr">
        <is>
          <t>N/A</t>
        </is>
      </c>
      <c r="L2968" s="11">
        <f>HYPERLINK("https://careerviet.vn/vi/tim-viec-lam/nhan-vien-ban-hang-hung-yen.35C6BE7F.html","Xem chi tiết")</f>
        <v/>
      </c>
      <c r="M2968" s="10" t="n"/>
    </row>
    <row r="2969">
      <c r="B2969" s="7" t="n">
        <v>2967</v>
      </c>
      <c r="C2969" t="inlineStr">
        <is>
          <t>Trưởng phòng Định chế Tài chính - Hội sở Hà Nội</t>
        </is>
      </c>
      <c r="D2969" t="inlineStr">
        <is>
          <t>Ngân hàng TMCP Việt Á – VietABank</t>
        </is>
      </c>
      <c r="E2969" t="inlineStr">
        <is>
          <t>Lương:Cạnh tranh</t>
        </is>
      </c>
      <c r="F2969" t="inlineStr">
        <is>
          <t>Hà Nội</t>
        </is>
      </c>
      <c r="G2969" t="inlineStr">
        <is>
          <t>11-03-2026</t>
        </is>
      </c>
      <c r="H2969" t="inlineStr">
        <is>
          <t>14/03/2026</t>
        </is>
      </c>
      <c r="I2969" t="inlineStr">
        <is>
          <t>17/03/2026</t>
        </is>
      </c>
      <c r="J2969" t="inlineStr">
        <is>
          <t>Ngân hàng</t>
        </is>
      </c>
      <c r="K2969" t="inlineStr">
        <is>
          <t>5 - 8 Năm</t>
        </is>
      </c>
      <c r="L2969" s="8">
        <f>HYPERLINK("https://careerviet.vn/vi/tim-viec-lam/truong-phong-dinh-che-tai-chinh-hoi-so-ha-noi.35C6BE9F.html","Xem chi tiết")</f>
        <v/>
      </c>
    </row>
    <row r="2970">
      <c r="B2970" s="9" t="n">
        <v>2968</v>
      </c>
      <c r="C2970" s="10" t="inlineStr">
        <is>
          <t>Purchasing Supervisor</t>
        </is>
      </c>
      <c r="D2970" s="10" t="inlineStr">
        <is>
          <t>Công Ty TNHH Go-Pak Việt Nam</t>
        </is>
      </c>
      <c r="E2970" s="10" t="inlineStr">
        <is>
          <t>Lương:20 Tr - 25 Tr VND</t>
        </is>
      </c>
      <c r="F2970" s="10" t="inlineStr">
        <is>
          <t>Bình Dương</t>
        </is>
      </c>
      <c r="G2970" s="10" t="inlineStr">
        <is>
          <t>11-05-2026</t>
        </is>
      </c>
      <c r="H2970" s="10" t="inlineStr">
        <is>
          <t>11/05/2026</t>
        </is>
      </c>
      <c r="I2970" s="10" t="inlineStr">
        <is>
          <t>17/03/2026</t>
        </is>
      </c>
      <c r="J2970" s="10" t="inlineStr">
        <is>
          <t>Sản xuất / Vận hành sản xuất, Thu mua / Vật tư</t>
        </is>
      </c>
      <c r="K2970" s="10" t="inlineStr">
        <is>
          <t>3 - 5 Năm</t>
        </is>
      </c>
      <c r="L2970" s="11">
        <f>HYPERLINK("https://careerviet.vn/vi/tim-viec-lam/purchasing-supervisor.35C6BE9E.html","Xem chi tiết")</f>
        <v/>
      </c>
      <c r="M2970" s="10" t="n"/>
    </row>
    <row r="2971">
      <c r="B2971" s="7" t="n">
        <v>2969</v>
      </c>
      <c r="C2971" t="inlineStr">
        <is>
          <t>Nhân viên bán hàng (Hà Nội)</t>
        </is>
      </c>
      <c r="D2971" t="inlineStr">
        <is>
          <t>ORION FOOD VINA CO.,LTD</t>
        </is>
      </c>
      <c r="E2971" t="inlineStr">
        <is>
          <t>Lương:8 Tr - 15 Tr VND</t>
        </is>
      </c>
      <c r="F2971" t="inlineStr">
        <is>
          <t>Hà Nội</t>
        </is>
      </c>
      <c r="G2971" t="inlineStr">
        <is>
          <t>30-04-2026</t>
        </is>
      </c>
      <c r="H2971" t="inlineStr">
        <is>
          <t>30/04/2026</t>
        </is>
      </c>
      <c r="I2971" t="inlineStr">
        <is>
          <t>17/03/2026</t>
        </is>
      </c>
      <c r="J2971" t="inlineStr">
        <is>
          <t>Bán lẻ / Bán sỉ, Bán hàng / Kinh doanh, Tiếp thị / Marketing</t>
        </is>
      </c>
      <c r="K2971" t="inlineStr">
        <is>
          <t>N/A</t>
        </is>
      </c>
      <c r="L2971" s="8">
        <f>HYPERLINK("https://careerviet.vn/vi/tim-viec-lam/nhan-vien-ban-hang-ha-noi.35C6BE70.html","Xem chi tiết")</f>
        <v/>
      </c>
    </row>
    <row r="2972">
      <c r="B2972" s="9" t="n">
        <v>2970</v>
      </c>
      <c r="C2972" s="10" t="inlineStr">
        <is>
          <t>Nhân Viên/Chuyên viên QS (Dự toán - Đấu thầu)</t>
        </is>
      </c>
      <c r="D2972" s="10" t="inlineStr">
        <is>
          <t>Công Ty TNHH SX Và TM Quân Đạt</t>
        </is>
      </c>
      <c r="E2972" s="10" t="inlineStr">
        <is>
          <t>Lương:Cạnh tranh</t>
        </is>
      </c>
      <c r="F2972" s="10" t="inlineStr">
        <is>
          <t>Hồ Chí Minh</t>
        </is>
      </c>
      <c r="G2972" s="10" t="inlineStr">
        <is>
          <t>11-04-2026</t>
        </is>
      </c>
      <c r="H2972" s="10" t="inlineStr">
        <is>
          <t>11/04/2026</t>
        </is>
      </c>
      <c r="I2972" s="10" t="inlineStr">
        <is>
          <t>17/03/2026</t>
        </is>
      </c>
      <c r="J2972" s="10" t="inlineStr">
        <is>
          <t>Cơ khí / Ô tô / Tự động hóa, Kiến trúc, Xây dựng</t>
        </is>
      </c>
      <c r="K2972" s="10" t="inlineStr">
        <is>
          <t>3 - 5 Năm</t>
        </is>
      </c>
      <c r="L2972" s="11">
        <f>HYPERLINK("https://careerviet.vn/vi/tim-viec-lam/nhan-vien-chuyen-vien-qs-du-toan-dau-thau.35C6BE24.html","Xem chi tiết")</f>
        <v/>
      </c>
      <c r="M2972" s="10" t="n"/>
    </row>
    <row r="2973">
      <c r="B2973" s="7" t="n">
        <v>2971</v>
      </c>
      <c r="C2973" t="inlineStr">
        <is>
          <t>Giám sát kinh doanh</t>
        </is>
      </c>
      <c r="D2973" t="inlineStr">
        <is>
          <t>CÔNG TY TNHH TÚ PHƯỢNG TONY</t>
        </is>
      </c>
      <c r="E2973" t="inlineStr">
        <is>
          <t>Lương:18 Tr - 22 Tr VND</t>
        </is>
      </c>
      <c r="F2973" t="inlineStr">
        <is>
          <t>Hà NộiHồ Chí Minh</t>
        </is>
      </c>
      <c r="G2973" t="inlineStr">
        <is>
          <t>11-04-2026</t>
        </is>
      </c>
      <c r="H2973" t="inlineStr">
        <is>
          <t>11/04/2026</t>
        </is>
      </c>
      <c r="I2973" t="inlineStr">
        <is>
          <t>17/03/2026</t>
        </is>
      </c>
      <c r="J2973" t="inlineStr">
        <is>
          <t>Bán hàng / Kinh doanh, Thực phẩm &amp; Đồ uống, Bán lẻ / Bán sỉ</t>
        </is>
      </c>
      <c r="K2973" t="inlineStr">
        <is>
          <t>3 - 5 Năm</t>
        </is>
      </c>
      <c r="L2973" s="8">
        <f>HYPERLINK("https://careerviet.vn/vi/tim-viec-lam/giam-sat-kinh-doanh.35C6BE96.html","Xem chi tiết")</f>
        <v/>
      </c>
    </row>
    <row r="2974">
      <c r="B2974" s="9" t="n">
        <v>2972</v>
      </c>
      <c r="C2974" s="10" t="inlineStr">
        <is>
          <t>[GOLDEN OPPORTUNITY] CV/CVCC Quan hệ khách hàng Cá nhân_KV Tây Nam Bộ</t>
        </is>
      </c>
      <c r="D2974" s="10" t="inlineStr">
        <is>
          <t>Ngân hàng TMCP Phát triển TP.HCM (HDBank)</t>
        </is>
      </c>
      <c r="E2974" s="10" t="inlineStr">
        <is>
          <t>Lương:Trên 11 Tr VND</t>
        </is>
      </c>
      <c r="F2974" s="10" t="inlineStr">
        <is>
          <t>Trà VinhKiên GiangSóc Trăng</t>
        </is>
      </c>
      <c r="G2974" s="10" t="inlineStr">
        <is>
          <t>31-03-2026</t>
        </is>
      </c>
      <c r="H2974" s="10" t="inlineStr">
        <is>
          <t>31/03/2026</t>
        </is>
      </c>
      <c r="I2974" s="10" t="inlineStr">
        <is>
          <t>17/03/2026</t>
        </is>
      </c>
      <c r="J2974" s="10" t="inlineStr">
        <is>
          <t>Ngân hàng</t>
        </is>
      </c>
      <c r="K2974" s="10" t="inlineStr">
        <is>
          <t>N/A</t>
        </is>
      </c>
      <c r="L2974" s="11">
        <f>HYPERLINK("https://careerviet.vn/vi/tim-viec-lam/golden-opportunity-cv-cvcc-quan-he-khach-hang-ca-nhan_kv-tay-nam-bo.35C6BE81.html","Xem chi tiết")</f>
        <v/>
      </c>
      <c r="M2974" s="10" t="n"/>
    </row>
    <row r="2975">
      <c r="B2975" s="7" t="n">
        <v>2973</v>
      </c>
      <c r="C2975" t="inlineStr">
        <is>
          <t>Nhân Viên Phát Triển Sản Phẩm (Product Executive)</t>
        </is>
      </c>
      <c r="D2975" t="inlineStr">
        <is>
          <t>CÔNG TY CỔ PHẦN DƯỢC PHẨM FPT LONG CHÂU</t>
        </is>
      </c>
      <c r="E2975" t="inlineStr">
        <is>
          <t>Lương:Cạnh tranh</t>
        </is>
      </c>
      <c r="F2975" t="inlineStr">
        <is>
          <t>Hồ Chí Minh</t>
        </is>
      </c>
      <c r="G2975" t="inlineStr">
        <is>
          <t>30-04-2026</t>
        </is>
      </c>
      <c r="H2975" t="inlineStr">
        <is>
          <t>30/04/2026</t>
        </is>
      </c>
      <c r="I2975" t="inlineStr">
        <is>
          <t>17/03/2026</t>
        </is>
      </c>
      <c r="J2975" t="inlineStr">
        <is>
          <t>Thương mại điện tử, CNTT - Phần mềm, Y tế / Chăm sóc sức khỏe / Thẩm mỹ / Làm đẹp</t>
        </is>
      </c>
      <c r="K2975" t="inlineStr">
        <is>
          <t>2 - 3 Năm</t>
        </is>
      </c>
      <c r="L2975" s="8">
        <f>HYPERLINK("https://careerviet.vn/vi/tim-viec-lam/nhan-vien-phat-trien-san-pham-product-executive.35C6BE6A.html","Xem chi tiết")</f>
        <v/>
      </c>
    </row>
    <row r="2976">
      <c r="B2976" s="9" t="n">
        <v>2974</v>
      </c>
      <c r="C2976" s="10" t="inlineStr">
        <is>
          <t>NHÂN VIÊN VI TÍNH CO.OPMART QUẢNG BÌNH</t>
        </is>
      </c>
      <c r="D2976" s="10" t="inlineStr">
        <is>
          <t>Liên Hiệp HTX Thương Mại TPHCM - SAIGON CO.OP</t>
        </is>
      </c>
      <c r="E2976" s="10" t="inlineStr">
        <is>
          <t>Lương:Cạnh tranh</t>
        </is>
      </c>
      <c r="F2976" s="10" t="inlineStr">
        <is>
          <t>Quảng Bình</t>
        </is>
      </c>
      <c r="G2976" s="10" t="inlineStr">
        <is>
          <t>14-04-2026</t>
        </is>
      </c>
      <c r="H2976" s="10" t="inlineStr">
        <is>
          <t>14/04/2026</t>
        </is>
      </c>
      <c r="I2976" s="10" t="inlineStr">
        <is>
          <t>17/03/2026</t>
        </is>
      </c>
      <c r="J2976" s="10" t="inlineStr">
        <is>
          <t>Bán lẻ / Bán sỉ</t>
        </is>
      </c>
      <c r="K2976" s="10" t="inlineStr">
        <is>
          <t>N/A</t>
        </is>
      </c>
      <c r="L2976" s="11">
        <f>HYPERLINK("https://careerviet.vn/vi/tim-viec-lam/nhan-vien-vi-tinh-co-opmart-quang-binh.35C6BE2E.html","Xem chi tiết")</f>
        <v/>
      </c>
      <c r="M2976" s="10" t="n"/>
    </row>
    <row r="2977">
      <c r="B2977" s="7" t="n">
        <v>2975</v>
      </c>
      <c r="C2977" t="inlineStr">
        <is>
          <t>TỔ TRƯỞNG BẢO VỆ DỰ ÁN CO.OPMART THỦ THỪA (TÂY NINH)</t>
        </is>
      </c>
      <c r="D2977" t="inlineStr">
        <is>
          <t>Liên Hiệp HTX Thương Mại TPHCM - SAIGON CO.OP</t>
        </is>
      </c>
      <c r="E2977" t="inlineStr">
        <is>
          <t>Lương:Cạnh tranh</t>
        </is>
      </c>
      <c r="F2977" t="inlineStr">
        <is>
          <t>Tây Ninh</t>
        </is>
      </c>
      <c r="G2977" t="inlineStr">
        <is>
          <t>30-03-2026</t>
        </is>
      </c>
      <c r="H2977" t="inlineStr">
        <is>
          <t>30/03/2026</t>
        </is>
      </c>
      <c r="I2977" t="inlineStr">
        <is>
          <t>17/03/2026</t>
        </is>
      </c>
      <c r="J2977" t="inlineStr">
        <is>
          <t>Quản lý điều hành, An Ninh / Bảo Vệ</t>
        </is>
      </c>
      <c r="K2977" t="inlineStr">
        <is>
          <t>Trên 2 Năm</t>
        </is>
      </c>
      <c r="L2977" s="8">
        <f>HYPERLINK("https://careerviet.vn/vi/tim-viec-lam/to-truong-bao-ve-du-an-co-opmart-thu-thua-tay-ninh.35C6BE43.html","Xem chi tiết")</f>
        <v/>
      </c>
    </row>
    <row r="2978">
      <c r="B2978" s="9" t="n">
        <v>2976</v>
      </c>
      <c r="C2978" s="10" t="inlineStr">
        <is>
          <t>Render Artist - Thiết kế 3D Trang sức</t>
        </is>
      </c>
      <c r="D2978" s="10" t="inlineStr">
        <is>
          <t>Công ty TNHH MTV Sen Vàng Việt Nam</t>
        </is>
      </c>
      <c r="E2978" s="10" t="inlineStr">
        <is>
          <t>Lương:13 Tr - 25 Tr VND</t>
        </is>
      </c>
      <c r="F2978" s="10" t="inlineStr">
        <is>
          <t>Hồ Chí Minh</t>
        </is>
      </c>
      <c r="G2978" s="10" t="inlineStr">
        <is>
          <t>10-04-2026</t>
        </is>
      </c>
      <c r="H2978" s="10" t="inlineStr">
        <is>
          <t>10/04/2026</t>
        </is>
      </c>
      <c r="I2978" s="10" t="inlineStr">
        <is>
          <t>17/03/2026</t>
        </is>
      </c>
      <c r="J2978" s="10" t="inlineStr">
        <is>
          <t>Mỹ thuật / Nghệ thuật / Thiết kế, Nội ngoại thất, Tiếp thị / Marketing</t>
        </is>
      </c>
      <c r="K2978" s="10" t="inlineStr">
        <is>
          <t>1 - 2 Năm</t>
        </is>
      </c>
      <c r="L2978" s="11">
        <f>HYPERLINK("https://careerviet.vn/vi/tim-viec-lam/render-artist-thiet-ke-3d-trang-suc.35C6BE3B.html","Xem chi tiết")</f>
        <v/>
      </c>
      <c r="M2978" s="10" t="n"/>
    </row>
    <row r="2979">
      <c r="B2979" s="7" t="n">
        <v>2977</v>
      </c>
      <c r="C2979" t="inlineStr">
        <is>
          <t>TỔ TRƯỞNG NGÀNH HÀNG THỰC PHẨM DỰ ÁN CO.OPMART THỦ THỪA (TÂY NINH)</t>
        </is>
      </c>
      <c r="D2979" t="inlineStr">
        <is>
          <t>Liên Hiệp HTX Thương Mại TPHCM - SAIGON CO.OP</t>
        </is>
      </c>
      <c r="E2979" t="inlineStr">
        <is>
          <t>Lương:Cạnh tranh</t>
        </is>
      </c>
      <c r="F2979" t="inlineStr">
        <is>
          <t>Tây Ninh</t>
        </is>
      </c>
      <c r="G2979" t="inlineStr">
        <is>
          <t>30-03-2026</t>
        </is>
      </c>
      <c r="H2979" t="inlineStr">
        <is>
          <t>30/03/2026</t>
        </is>
      </c>
      <c r="I2979" t="inlineStr">
        <is>
          <t>17/03/2026</t>
        </is>
      </c>
      <c r="J2979" t="inlineStr">
        <is>
          <t>Quản lý điều hành, Bán lẻ / Bán sỉ, Bán hàng / Kinh doanh</t>
        </is>
      </c>
      <c r="K2979" t="inlineStr">
        <is>
          <t>Trên 2 Năm</t>
        </is>
      </c>
      <c r="L2979" s="8">
        <f>HYPERLINK("https://careerviet.vn/vi/tim-viec-lam/to-truong-nganh-hang-thuc-pham-du-an-co-opmart-thu-thua-tay-ninh.35C6BE49.html","Xem chi tiết")</f>
        <v/>
      </c>
    </row>
    <row r="2980">
      <c r="B2980" s="9" t="n">
        <v>2978</v>
      </c>
      <c r="C2980" s="10" t="inlineStr">
        <is>
          <t>Trưởng phòng Marketing</t>
        </is>
      </c>
      <c r="D2980" s="10" t="inlineStr">
        <is>
          <t>Công Ty Cổ Phần A25 Hotel</t>
        </is>
      </c>
      <c r="E2980" s="10" t="inlineStr">
        <is>
          <t>Lương:30 Tr - 50 Tr VND</t>
        </is>
      </c>
      <c r="F2980" s="10" t="inlineStr">
        <is>
          <t>Hà Nội</t>
        </is>
      </c>
      <c r="G2980" s="10" t="inlineStr">
        <is>
          <t>10-04-2026</t>
        </is>
      </c>
      <c r="H2980" s="10" t="inlineStr">
        <is>
          <t>10/04/2026</t>
        </is>
      </c>
      <c r="I2980" s="10" t="inlineStr">
        <is>
          <t>17/03/2026</t>
        </is>
      </c>
      <c r="J2980" s="10" t="inlineStr">
        <is>
          <t>Tiếp thị / Marketing, Nhà hàng / Khách sạn, Quảng cáo / Đối ngoại / Truyền Thông</t>
        </is>
      </c>
      <c r="K2980" s="10" t="inlineStr">
        <is>
          <t>3 - 5 Năm</t>
        </is>
      </c>
      <c r="L2980" s="11">
        <f>HYPERLINK("https://careerviet.vn/vi/tim-viec-lam/truong-phong-marketing.35C6BE4F.html","Xem chi tiết")</f>
        <v/>
      </c>
      <c r="M2980" s="10" t="n"/>
    </row>
    <row r="2981">
      <c r="B2981" s="7" t="n">
        <v>2979</v>
      </c>
      <c r="C2981" t="inlineStr">
        <is>
          <t>Chuyên Viên Kinh Doanh/ Sales Specialist</t>
        </is>
      </c>
      <c r="D2981" t="inlineStr">
        <is>
          <t>CÔNG TY TNHH SOJITZ KOKUBU LOGISTICS SOLUTION</t>
        </is>
      </c>
      <c r="E2981" t="inlineStr">
        <is>
          <t>Lương:Cạnh tranh</t>
        </is>
      </c>
      <c r="F2981" t="inlineStr">
        <is>
          <t>Long An</t>
        </is>
      </c>
      <c r="G2981" t="inlineStr">
        <is>
          <t>11-04-2026</t>
        </is>
      </c>
      <c r="H2981" t="inlineStr">
        <is>
          <t>11/04/2026</t>
        </is>
      </c>
      <c r="I2981" t="inlineStr">
        <is>
          <t>17/03/2026</t>
        </is>
      </c>
      <c r="J2981" t="inlineStr">
        <is>
          <t>Vận chuyển / Giao nhận / Kho vận, Xuất nhập khẩu, Bán hàng / Kinh doanh</t>
        </is>
      </c>
      <c r="K2981" t="inlineStr">
        <is>
          <t>Trên 5 Năm</t>
        </is>
      </c>
      <c r="L2981" s="8">
        <f>HYPERLINK("https://careerviet.vn/vi/tim-viec-lam/chuyen-vien-kinh-doanh-sales-specialist.35C6BD3D.html","Xem chi tiết")</f>
        <v/>
      </c>
    </row>
    <row r="2982">
      <c r="B2982" s="9" t="n">
        <v>2980</v>
      </c>
      <c r="C2982" s="10" t="inlineStr">
        <is>
          <t>TỔ TRƯỞNG NGÀNH HÀNG PHI THỰC PHẨM DỰ ÁN CO.OPMART THỦ THỪA (TÂY NINH)</t>
        </is>
      </c>
      <c r="D2982" s="10" t="inlineStr">
        <is>
          <t>Liên Hiệp HTX Thương Mại TPHCM - SAIGON CO.OP</t>
        </is>
      </c>
      <c r="E2982" s="10" t="inlineStr">
        <is>
          <t>Lương:Cạnh tranh</t>
        </is>
      </c>
      <c r="F2982" s="10" t="inlineStr">
        <is>
          <t>Tây Ninh</t>
        </is>
      </c>
      <c r="G2982" s="10" t="inlineStr">
        <is>
          <t>30-03-2026</t>
        </is>
      </c>
      <c r="H2982" s="10" t="inlineStr">
        <is>
          <t>30/03/2026</t>
        </is>
      </c>
      <c r="I2982" s="10" t="inlineStr">
        <is>
          <t>17/03/2026</t>
        </is>
      </c>
      <c r="J2982" s="10" t="inlineStr">
        <is>
          <t>Quản lý điều hành, Bán hàng / Kinh doanh</t>
        </is>
      </c>
      <c r="K2982" s="10" t="inlineStr">
        <is>
          <t>Trên 2 Năm</t>
        </is>
      </c>
      <c r="L2982" s="11">
        <f>HYPERLINK("https://careerviet.vn/vi/tim-viec-lam/to-truong-nganh-hang-phi-thuc-pham-du-an-co-opmart-thu-thua-tay-ninh.35C6BE44.html","Xem chi tiết")</f>
        <v/>
      </c>
      <c r="M2982" s="10" t="n"/>
    </row>
    <row r="2983">
      <c r="B2983" s="7" t="n">
        <v>2981</v>
      </c>
      <c r="C2983" t="inlineStr">
        <is>
          <t>ĐẦU BẾP CO.OPMART ( BẾP ĂN BỘ CÔNG THƯƠNG - 23 NGÔ QUYỀN &amp; 54 HAI BÀ TRƯNG)</t>
        </is>
      </c>
      <c r="D2983" t="inlineStr">
        <is>
          <t>Liên Hiệp HTX Thương Mại TPHCM - SAIGON CO.OP</t>
        </is>
      </c>
      <c r="E2983" t="inlineStr">
        <is>
          <t>Lương:Cạnh tranh</t>
        </is>
      </c>
      <c r="F2983" t="inlineStr">
        <is>
          <t>Hà Nội</t>
        </is>
      </c>
      <c r="G2983" t="inlineStr">
        <is>
          <t>14-04-2026</t>
        </is>
      </c>
      <c r="H2983" t="inlineStr">
        <is>
          <t>14/04/2026</t>
        </is>
      </c>
      <c r="I2983" t="inlineStr">
        <is>
          <t>17/03/2026</t>
        </is>
      </c>
      <c r="J2983" t="inlineStr">
        <is>
          <t>Lao động phổ thông, Công nghệ thực phẩm / Dinh dưỡng</t>
        </is>
      </c>
      <c r="K2983" t="inlineStr">
        <is>
          <t>1 - 2 Năm</t>
        </is>
      </c>
      <c r="L2983" s="8">
        <f>HYPERLINK("https://careerviet.vn/vi/tim-viec-lam/dau-bep-co-opmart-bep-an-bo-cong-thuong-23-ngo-quyen-54-hai-ba-trung.35C6BE29.html","Xem chi tiết")</f>
        <v/>
      </c>
    </row>
    <row r="2984">
      <c r="B2984" s="9" t="n">
        <v>2982</v>
      </c>
      <c r="C2984" s="10" t="inlineStr">
        <is>
          <t>Partnership Management Specialist</t>
        </is>
      </c>
      <c r="D2984" s="10" t="inlineStr">
        <is>
          <t>FE CREDIT</t>
        </is>
      </c>
      <c r="E2984" s="10" t="inlineStr">
        <is>
          <t>Lương:Cạnh tranh</t>
        </is>
      </c>
      <c r="F2984" s="10" t="inlineStr">
        <is>
          <t>Hồ Chí Minh</t>
        </is>
      </c>
      <c r="G2984" s="10" t="inlineStr">
        <is>
          <t>09-04-2026</t>
        </is>
      </c>
      <c r="H2984" s="10" t="inlineStr">
        <is>
          <t>09/04/2026</t>
        </is>
      </c>
      <c r="I2984" s="10" t="inlineStr">
        <is>
          <t>17/03/2026</t>
        </is>
      </c>
      <c r="J2984" s="10" t="inlineStr">
        <is>
          <t>Ngân hàng, Tài chính / Đầu tư</t>
        </is>
      </c>
      <c r="K2984" s="10" t="inlineStr">
        <is>
          <t>1 - 2 Năm</t>
        </is>
      </c>
      <c r="L2984" s="11">
        <f>HYPERLINK("https://careerviet.vn/vi/tim-viec-lam/partnership-management-specialist.35C64EA1.html","Xem chi tiết")</f>
        <v/>
      </c>
      <c r="M2984" s="10" t="n"/>
    </row>
    <row r="2985">
      <c r="B2985" s="7" t="n">
        <v>2983</v>
      </c>
      <c r="C2985" t="inlineStr">
        <is>
          <t>Nhân viên QC ngành gỗ</t>
        </is>
      </c>
      <c r="D2985" t="inlineStr">
        <is>
          <t>Công Ty TNHH Maker Sixty Four</t>
        </is>
      </c>
      <c r="E2985" t="inlineStr">
        <is>
          <t>Lương:Cạnh tranh</t>
        </is>
      </c>
      <c r="F2985" t="inlineStr">
        <is>
          <t>Long An</t>
        </is>
      </c>
      <c r="G2985" t="inlineStr">
        <is>
          <t>09-04-2026</t>
        </is>
      </c>
      <c r="H2985" t="inlineStr">
        <is>
          <t>09/04/2026</t>
        </is>
      </c>
      <c r="I2985" t="inlineStr">
        <is>
          <t>17/03/2026</t>
        </is>
      </c>
      <c r="J2985" t="inlineStr">
        <is>
          <t>Sản xuất / Vận hành sản xuất, Quản lý chất lượng (QA/QC), Nội ngoại thất</t>
        </is>
      </c>
      <c r="K2985" t="inlineStr">
        <is>
          <t>2 - 4 Năm</t>
        </is>
      </c>
      <c r="L2985" s="8">
        <f>HYPERLINK("https://careerviet.vn/vi/tim-viec-lam/nhan-vien-qc-nganh-go.35C650A4.html","Xem chi tiết")</f>
        <v/>
      </c>
    </row>
    <row r="2986">
      <c r="B2986" s="9" t="n">
        <v>2984</v>
      </c>
      <c r="C2986" s="10" t="inlineStr">
        <is>
          <t>Project Sales Executive / Technical Sales</t>
        </is>
      </c>
      <c r="D2986" s="10" t="inlineStr">
        <is>
          <t>Saint-Gobain Vietnam</t>
        </is>
      </c>
      <c r="E2986" s="10" t="inlineStr">
        <is>
          <t>Lương:Cạnh tranh</t>
        </is>
      </c>
      <c r="F2986" s="10" t="inlineStr">
        <is>
          <t>Hồ Chí Minh</t>
        </is>
      </c>
      <c r="G2986" s="10" t="inlineStr">
        <is>
          <t>09-04-2026</t>
        </is>
      </c>
      <c r="H2986" s="10" t="inlineStr">
        <is>
          <t>09/04/2026</t>
        </is>
      </c>
      <c r="I2986" s="10" t="inlineStr">
        <is>
          <t>17/03/2026</t>
        </is>
      </c>
      <c r="J2986" s="10" t="inlineStr">
        <is>
          <t>Bán hàng / Kinh doanh, Xây dựng</t>
        </is>
      </c>
      <c r="K2986" s="10" t="inlineStr">
        <is>
          <t>N/A</t>
        </is>
      </c>
      <c r="L2986" s="11">
        <f>HYPERLINK("https://careerviet.vn/vi/tim-viec-lam/project-sales-executive-technical-sales.35C65232.html","Xem chi tiết")</f>
        <v/>
      </c>
      <c r="M2986" s="10" t="n"/>
    </row>
    <row r="2987">
      <c r="B2987" s="7" t="n">
        <v>2985</v>
      </c>
      <c r="C2987" t="inlineStr">
        <is>
          <t>Sales Executive</t>
        </is>
      </c>
      <c r="D2987" t="inlineStr">
        <is>
          <t>CÔNG TY TNHH ĐẦU TƯ PHÁT TRIỂN HÂN NGUYỄN</t>
        </is>
      </c>
      <c r="E2987" t="inlineStr">
        <is>
          <t>Lương:Cạnh tranh</t>
        </is>
      </c>
      <c r="F2987" t="inlineStr">
        <is>
          <t>Hồ Chí Minh</t>
        </is>
      </c>
      <c r="G2987" t="inlineStr">
        <is>
          <t>09-04-2026</t>
        </is>
      </c>
      <c r="H2987" t="inlineStr">
        <is>
          <t>09/04/2026</t>
        </is>
      </c>
      <c r="I2987" t="inlineStr">
        <is>
          <t>17/03/2026</t>
        </is>
      </c>
      <c r="J2987" t="inlineStr">
        <is>
          <t>Bán hàng / Kinh doanh, Dịch vụ khách hàng, Bất động sản</t>
        </is>
      </c>
      <c r="K2987" t="inlineStr">
        <is>
          <t>2 - 4 Năm</t>
        </is>
      </c>
      <c r="L2987" s="8">
        <f>HYPERLINK("https://careerviet.vn/vi/tim-viec-lam/sales-executive.35C651B5.html","Xem chi tiết")</f>
        <v/>
      </c>
    </row>
    <row r="2988">
      <c r="B2988" s="9" t="n">
        <v>2986</v>
      </c>
      <c r="C2988" s="10" t="inlineStr">
        <is>
          <t>Kỹ Sư Thiết Kế Phòng Cháy Chữa Cháy - Thiết Kế Hệ Thống PCCC</t>
        </is>
      </c>
      <c r="D2988" s="10" t="inlineStr">
        <is>
          <t>CÔNG TY TNHH XÂY DỰNG KỸ THUẬT THƯƠNG MẠI CƯỜNG THỊNH</t>
        </is>
      </c>
      <c r="E2988" s="10" t="inlineStr">
        <is>
          <t>Lương:Cạnh tranh</t>
        </is>
      </c>
      <c r="F2988" s="10" t="inlineStr">
        <is>
          <t>Hồ Chí Minh</t>
        </is>
      </c>
      <c r="G2988" s="10" t="inlineStr">
        <is>
          <t>09-04-2026</t>
        </is>
      </c>
      <c r="H2988" s="10" t="inlineStr">
        <is>
          <t>09/04/2026</t>
        </is>
      </c>
      <c r="I2988" s="10" t="inlineStr">
        <is>
          <t>17/03/2026</t>
        </is>
      </c>
      <c r="J2988" s="10" t="inlineStr">
        <is>
          <t>Xây dựng</t>
        </is>
      </c>
      <c r="K2988" s="10" t="inlineStr">
        <is>
          <t>Trên 2 Năm</t>
        </is>
      </c>
      <c r="L2988" s="11">
        <f>HYPERLINK("https://careerviet.vn/vi/tim-viec-lam/ky-su-thiet-ke-phong-chay-chua-chay-thiet-ke-he-thong-pccc.35C65107.html","Xem chi tiết")</f>
        <v/>
      </c>
      <c r="M2988" s="10" t="n"/>
    </row>
    <row r="2989">
      <c r="B2989" s="7" t="n">
        <v>2987</v>
      </c>
      <c r="C2989" t="inlineStr">
        <is>
          <t>Nhân viên kinh doanh trả góp ô tô</t>
        </is>
      </c>
      <c r="D2989" t="inlineStr">
        <is>
          <t>LOTTE FINANCE VIETNAM</t>
        </is>
      </c>
      <c r="E2989" t="inlineStr">
        <is>
          <t>Lương:Cạnh tranh</t>
        </is>
      </c>
      <c r="F2989" t="inlineStr">
        <is>
          <t>Hồ Chí Minh</t>
        </is>
      </c>
      <c r="G2989" t="inlineStr">
        <is>
          <t>09-04-2026</t>
        </is>
      </c>
      <c r="H2989" t="inlineStr">
        <is>
          <t>09/04/2026</t>
        </is>
      </c>
      <c r="I2989" t="inlineStr">
        <is>
          <t>17/03/2026</t>
        </is>
      </c>
      <c r="J2989" t="inlineStr">
        <is>
          <t>Kế toán / Kiểm toán, Ngân hàng, Tài chính / Đầu tư</t>
        </is>
      </c>
      <c r="K2989" t="inlineStr">
        <is>
          <t>Trên 1 Năm</t>
        </is>
      </c>
      <c r="L2989" s="8">
        <f>HYPERLINK("https://careerviet.vn/vi/tim-viec-lam/nhan-vien-kinh-doanh-tra-gop-o-to.35C6520E.html","Xem chi tiết")</f>
        <v/>
      </c>
    </row>
    <row r="2990">
      <c r="B2990" s="9" t="n">
        <v>2988</v>
      </c>
      <c r="C2990" s="10" t="inlineStr">
        <is>
          <t>SENIOR ACCOUNTING OFFICER - TEMPORARY 6 MONTHS</t>
        </is>
      </c>
      <c r="D2990" s="10" t="inlineStr">
        <is>
          <t>Công Ty TNHH Lon nước giải khát TBC-Ball Việt Nam</t>
        </is>
      </c>
      <c r="E2990" s="10" t="inlineStr">
        <is>
          <t>Lương:Cạnh tranh</t>
        </is>
      </c>
      <c r="F2990" s="10" t="inlineStr">
        <is>
          <t>Bình Dương</t>
        </is>
      </c>
      <c r="G2990" s="10" t="inlineStr">
        <is>
          <t>09-04-2026</t>
        </is>
      </c>
      <c r="H2990" s="10" t="inlineStr">
        <is>
          <t>09/04/2026</t>
        </is>
      </c>
      <c r="I2990" s="10" t="inlineStr">
        <is>
          <t>17/03/2026</t>
        </is>
      </c>
      <c r="J2990" s="10" t="inlineStr">
        <is>
          <t>Kế toán / Kiểm toán</t>
        </is>
      </c>
      <c r="K2990" s="10" t="inlineStr">
        <is>
          <t>3 - 5 Năm</t>
        </is>
      </c>
      <c r="L2990" s="11">
        <f>HYPERLINK("https://careerviet.vn/vi/tim-viec-lam/senior-accounting-officer-temporary-6-months.35C650FC.html","Xem chi tiết")</f>
        <v/>
      </c>
      <c r="M2990" s="10" t="n"/>
    </row>
    <row r="2991">
      <c r="B2991" s="7" t="n">
        <v>2989</v>
      </c>
      <c r="C2991" t="inlineStr">
        <is>
          <t>Production Planning</t>
        </is>
      </c>
      <c r="D2991" t="inlineStr">
        <is>
          <t>Công Ty TNHH Maker Sixty Four</t>
        </is>
      </c>
      <c r="E2991" t="inlineStr">
        <is>
          <t>Lương:Cạnh tranh</t>
        </is>
      </c>
      <c r="F2991" t="inlineStr">
        <is>
          <t>Long An</t>
        </is>
      </c>
      <c r="G2991" t="inlineStr">
        <is>
          <t>08-04-2026</t>
        </is>
      </c>
      <c r="H2991" t="inlineStr">
        <is>
          <t>08/04/2026</t>
        </is>
      </c>
      <c r="I2991" t="inlineStr">
        <is>
          <t>17/03/2026</t>
        </is>
      </c>
      <c r="J2991" t="inlineStr">
        <is>
          <t>Nội ngoại thất, Sản xuất / Vận hành sản xuất, Xuất nhập khẩu</t>
        </is>
      </c>
      <c r="K2991" t="inlineStr">
        <is>
          <t>1 - 4 Năm</t>
        </is>
      </c>
      <c r="L2991" s="8">
        <f>HYPERLINK("https://careerviet.vn/vi/tim-viec-lam/production-planning.35C6509A.html","Xem chi tiết")</f>
        <v/>
      </c>
    </row>
    <row r="2992">
      <c r="B2992" s="9" t="n">
        <v>2990</v>
      </c>
      <c r="C2992" s="10" t="inlineStr">
        <is>
          <t>Kỹ Sư Y Học Hạt Nhân - Vinmec Central Park</t>
        </is>
      </c>
      <c r="D2992" s="10" t="inlineStr">
        <is>
          <t>Công ty CP Bệnh Viện Đa Khoa Quốc Tế Vinmec</t>
        </is>
      </c>
      <c r="E2992" s="10" t="inlineStr">
        <is>
          <t>Lương:Cạnh tranh</t>
        </is>
      </c>
      <c r="F2992" s="10" t="inlineStr">
        <is>
          <t>Hồ Chí Minh</t>
        </is>
      </c>
      <c r="G2992" s="10" t="inlineStr">
        <is>
          <t>09-04-2026</t>
        </is>
      </c>
      <c r="H2992" s="10" t="inlineStr">
        <is>
          <t>09/04/2026</t>
        </is>
      </c>
      <c r="I2992" s="10" t="inlineStr">
        <is>
          <t>17/03/2026</t>
        </is>
      </c>
      <c r="J2992" s="10" t="inlineStr">
        <is>
          <t>Dược phẩm/ Hóa Mỹ Phẩm, Y tế / Chăm sóc sức khỏe / Thẩm mỹ / Làm đẹp</t>
        </is>
      </c>
      <c r="K2992" s="10" t="inlineStr">
        <is>
          <t>Trên 1 Năm</t>
        </is>
      </c>
      <c r="L2992" s="11">
        <f>HYPERLINK("https://careerviet.vn/vi/tim-viec-lam/ky-su-y-hoc-hat-nhan-vinmec-central-park.35C65235.html","Xem chi tiết")</f>
        <v/>
      </c>
      <c r="M2992" s="10" t="n"/>
    </row>
    <row r="2993">
      <c r="B2993" s="7" t="n">
        <v>2991</v>
      </c>
      <c r="C2993" t="inlineStr">
        <is>
          <t>PROCESS ENGINEER (Furniture) / Kỹ Sư Quy Trình Ngành Nội Thất</t>
        </is>
      </c>
      <c r="D2993" t="inlineStr">
        <is>
          <t>Công Ty TNHH Maker Sixty Four</t>
        </is>
      </c>
      <c r="E2993" t="inlineStr">
        <is>
          <t>Lương:Cạnh tranh</t>
        </is>
      </c>
      <c r="F2993" t="inlineStr">
        <is>
          <t>Long An</t>
        </is>
      </c>
      <c r="G2993" t="inlineStr">
        <is>
          <t>09-04-2026</t>
        </is>
      </c>
      <c r="H2993" t="inlineStr">
        <is>
          <t>09/04/2026</t>
        </is>
      </c>
      <c r="I2993" t="inlineStr">
        <is>
          <t>17/03/2026</t>
        </is>
      </c>
      <c r="J2993" t="inlineStr">
        <is>
          <t>Cơ khí / Ô tô / Tự động hóa, Sản xuất / Vận hành sản xuất, Nội ngoại thất</t>
        </is>
      </c>
      <c r="K2993" t="inlineStr">
        <is>
          <t>3 - 5 Năm</t>
        </is>
      </c>
      <c r="L2993" s="8">
        <f>HYPERLINK("https://careerviet.vn/vi/tim-viec-lam/process-engineer-furniture-ky-su-quy-trinh-nganh-noi-that.35C650A2.html","Xem chi tiết")</f>
        <v/>
      </c>
    </row>
    <row r="2994">
      <c r="B2994" s="9" t="n">
        <v>2992</v>
      </c>
      <c r="C2994" s="10" t="inlineStr">
        <is>
          <t>Kiến trúc sư cảnh quan</t>
        </is>
      </c>
      <c r="D2994" s="10" t="inlineStr">
        <is>
          <t>BIM Group</t>
        </is>
      </c>
      <c r="E2994" s="10" t="inlineStr">
        <is>
          <t>Lương:Cạnh tranh</t>
        </is>
      </c>
      <c r="F2994" s="10" t="inlineStr">
        <is>
          <t>Hà Nội</t>
        </is>
      </c>
      <c r="G2994" s="10" t="inlineStr">
        <is>
          <t>09-04-2026</t>
        </is>
      </c>
      <c r="H2994" s="10" t="inlineStr">
        <is>
          <t>09/04/2026</t>
        </is>
      </c>
      <c r="I2994" s="10" t="inlineStr">
        <is>
          <t>17/03/2026</t>
        </is>
      </c>
      <c r="J2994" s="10" t="inlineStr">
        <is>
          <t>Nông nghiệp, Lâm Nghiệp, Kiến trúc</t>
        </is>
      </c>
      <c r="K2994" s="10" t="inlineStr">
        <is>
          <t>5 - 8 Năm</t>
        </is>
      </c>
      <c r="L2994" s="11">
        <f>HYPERLINK("https://careerviet.vn/vi/tim-viec-lam/kien-truc-su-canh-quan.35C65199.html","Xem chi tiết")</f>
        <v/>
      </c>
      <c r="M2994" s="10" t="n"/>
    </row>
    <row r="2995">
      <c r="B2995" s="7" t="n">
        <v>2993</v>
      </c>
      <c r="C2995" t="inlineStr">
        <is>
          <t>Nhân Viên Bán Hàng Khách hàng Trọng điểm - Đại lý, Tạp hóa</t>
        </is>
      </c>
      <c r="D2995" t="inlineStr">
        <is>
          <t>Abbott</t>
        </is>
      </c>
      <c r="E2995" t="inlineStr">
        <is>
          <t>Lương:15 Tr - 20 Tr VND</t>
        </is>
      </c>
      <c r="F2995" t="inlineStr">
        <is>
          <t>Hồ Chí MinhBến TreLong An</t>
        </is>
      </c>
      <c r="G2995" t="inlineStr">
        <is>
          <t>09-04-2026</t>
        </is>
      </c>
      <c r="H2995" t="inlineStr">
        <is>
          <t>09/04/2026</t>
        </is>
      </c>
      <c r="I2995" t="inlineStr">
        <is>
          <t>17/03/2026</t>
        </is>
      </c>
      <c r="J2995" t="inlineStr">
        <is>
          <t>Tiếp thị / Marketing, Bán lẻ / Bán sỉ, Bán hàng / Kinh doanh</t>
        </is>
      </c>
      <c r="K2995" t="inlineStr">
        <is>
          <t>1 - 5 Năm</t>
        </is>
      </c>
      <c r="L2995" s="8">
        <f>HYPERLINK("https://careerviet.vn/vi/tim-viec-lam/nhan-vien-ban-hang-khach-hang-trong-diem-dai-ly-tap-hoa.35C65147.html","Xem chi tiết")</f>
        <v/>
      </c>
    </row>
    <row r="2996">
      <c r="B2996" s="9" t="n">
        <v>2994</v>
      </c>
      <c r="C2996" s="10" t="inlineStr">
        <is>
          <t>Sales Engineer MEP</t>
        </is>
      </c>
      <c r="D2996" s="10" t="inlineStr">
        <is>
          <t>CÔNG TY CỔ PHẦN TOP FLOW</t>
        </is>
      </c>
      <c r="E2996" s="10" t="inlineStr">
        <is>
          <t>Lương:15 Tr - 25 Tr VND</t>
        </is>
      </c>
      <c r="F2996" s="10" t="inlineStr">
        <is>
          <t>Hà NộiHồ Chí Minh</t>
        </is>
      </c>
      <c r="G2996" s="10" t="inlineStr">
        <is>
          <t>09-04-2026</t>
        </is>
      </c>
      <c r="H2996" s="10" t="inlineStr">
        <is>
          <t>09/04/2026</t>
        </is>
      </c>
      <c r="I2996" s="10" t="inlineStr">
        <is>
          <t>17/03/2026</t>
        </is>
      </c>
      <c r="J2996" s="10" t="inlineStr">
        <is>
          <t>Bán hàng / Kinh doanh, Bán Hàng Kỹ Thuật, Điện / Điện tử / Điện lạnh / Điện công nghiệp</t>
        </is>
      </c>
      <c r="K2996" s="10" t="inlineStr">
        <is>
          <t>Trên 1 Năm</t>
        </is>
      </c>
      <c r="L2996" s="11">
        <f>HYPERLINK("https://careerviet.vn/vi/tim-viec-lam/sales-engineer-mep.35C6520A.html","Xem chi tiết")</f>
        <v/>
      </c>
      <c r="M2996" s="10" t="n"/>
    </row>
    <row r="2997">
      <c r="B2997" s="7" t="n">
        <v>2995</v>
      </c>
      <c r="C2997" t="inlineStr">
        <is>
          <t>Kế Toán Trưởng Biết Tiếng Trung</t>
        </is>
      </c>
      <c r="D2997" t="inlineStr">
        <is>
          <t>CÔNG TY TNHH YIMI J&amp;T CARGO TRANSPORTATION</t>
        </is>
      </c>
      <c r="E2997" t="inlineStr">
        <is>
          <t>Lương:30 Tr - 50 Tr VND</t>
        </is>
      </c>
      <c r="F2997" t="inlineStr">
        <is>
          <t>Hồ Chí Minh</t>
        </is>
      </c>
      <c r="G2997" t="inlineStr">
        <is>
          <t>09-04-2026</t>
        </is>
      </c>
      <c r="H2997" t="inlineStr">
        <is>
          <t>09/04/2026</t>
        </is>
      </c>
      <c r="I2997" t="inlineStr">
        <is>
          <t>17/03/2026</t>
        </is>
      </c>
      <c r="J2997" t="inlineStr">
        <is>
          <t>Bưu chính viễn thông, Vận chuyển / Giao nhận / Kho vận, Kế toán / Kiểm toán</t>
        </is>
      </c>
      <c r="K2997" t="inlineStr">
        <is>
          <t>5 - 10 Năm</t>
        </is>
      </c>
      <c r="L2997" s="8">
        <f>HYPERLINK("https://careerviet.vn/vi/tim-viec-lam/ke-toan-truong-biet-tieng-trung.35C650E7.html","Xem chi tiết")</f>
        <v/>
      </c>
    </row>
    <row r="2998">
      <c r="B2998" s="9" t="n">
        <v>2996</v>
      </c>
      <c r="C2998" s="10" t="inlineStr">
        <is>
          <t>[JHC0037382] SALES SUPPORT (Sales Career Path)</t>
        </is>
      </c>
      <c r="D2998" s="10" t="inlineStr">
        <is>
          <t>Iconic Co.,Ltd</t>
        </is>
      </c>
      <c r="E2998" s="10" t="inlineStr">
        <is>
          <t>Lương:23 Tr - 25 Tr VND</t>
        </is>
      </c>
      <c r="F2998" s="10" t="inlineStr">
        <is>
          <t>Hồ Chí Minh</t>
        </is>
      </c>
      <c r="G2998" s="10" t="inlineStr">
        <is>
          <t>09-04-2026</t>
        </is>
      </c>
      <c r="H2998" s="10" t="inlineStr">
        <is>
          <t>09/04/2026</t>
        </is>
      </c>
      <c r="I2998" s="10" t="inlineStr">
        <is>
          <t>17/03/2026</t>
        </is>
      </c>
      <c r="J2998" s="10" t="inlineStr">
        <is>
          <t>Bán hàng / Kinh doanh</t>
        </is>
      </c>
      <c r="K2998" s="10" t="inlineStr">
        <is>
          <t>3 - 5 Năm</t>
        </is>
      </c>
      <c r="L2998" s="11">
        <f>HYPERLINK("https://careerviet.vn/vi/tim-viec-lam/jhc0037382-sales-support-sales-career-path.35C65195.html","Xem chi tiết")</f>
        <v/>
      </c>
      <c r="M2998" s="10" t="n"/>
    </row>
    <row r="2999">
      <c r="B2999" s="7" t="n">
        <v>2997</v>
      </c>
      <c r="C2999" t="inlineStr">
        <is>
          <t>HSE Executive - Nhân viên An toàn lao động</t>
        </is>
      </c>
      <c r="D2999" t="inlineStr">
        <is>
          <t>Công Ty TNHH Maker Sixty Four</t>
        </is>
      </c>
      <c r="E2999" t="inlineStr">
        <is>
          <t>Lương:Cạnh tranh</t>
        </is>
      </c>
      <c r="F2999" t="inlineStr">
        <is>
          <t>Long An</t>
        </is>
      </c>
      <c r="G2999" t="inlineStr">
        <is>
          <t>09-04-2026</t>
        </is>
      </c>
      <c r="H2999" t="inlineStr">
        <is>
          <t>09/04/2026</t>
        </is>
      </c>
      <c r="I2999" t="inlineStr">
        <is>
          <t>17/03/2026</t>
        </is>
      </c>
      <c r="J2999" t="inlineStr">
        <is>
          <t>Sản xuất / Vận hành sản xuất, Nội ngoại thất</t>
        </is>
      </c>
      <c r="K2999" t="inlineStr">
        <is>
          <t>3 - 8 Năm</t>
        </is>
      </c>
      <c r="L2999" s="8">
        <f>HYPERLINK("https://careerviet.vn/vi/tim-viec-lam/hse-executive-nhan-vien-an-toan-lao-dong.35C65085.html","Xem chi tiết")</f>
        <v/>
      </c>
    </row>
    <row r="3000">
      <c r="B3000" s="9" t="n">
        <v>2998</v>
      </c>
      <c r="C3000" s="10" t="inlineStr">
        <is>
          <t>Nhân viên Kỹ thuật CNC- ƯU TIÊN CÓ KINH NGHIỆM</t>
        </is>
      </c>
      <c r="D3000" s="10" t="inlineStr">
        <is>
          <t>CÔNG TY TNHH MTV KỸ THUẬT TÚ LỘC</t>
        </is>
      </c>
      <c r="E3000" s="10" t="inlineStr">
        <is>
          <t>Lương:12 Tr - 15 Tr VND</t>
        </is>
      </c>
      <c r="F3000" s="10" t="inlineStr">
        <is>
          <t>Hà Nội</t>
        </is>
      </c>
      <c r="G3000" s="10" t="inlineStr">
        <is>
          <t>09-04-2026</t>
        </is>
      </c>
      <c r="H3000" s="10" t="inlineStr">
        <is>
          <t>09/04/2026</t>
        </is>
      </c>
      <c r="I3000" s="10" t="inlineStr">
        <is>
          <t>17/03/2026</t>
        </is>
      </c>
      <c r="J3000" s="10" t="inlineStr">
        <is>
          <t>Cơ khí / Ô tô / Tự động hóa, Bảo trì / Sửa chữa, Điện / Điện tử / Điện lạnh / Điện công nghiệp</t>
        </is>
      </c>
      <c r="K3000" s="10" t="inlineStr">
        <is>
          <t>N/A</t>
        </is>
      </c>
      <c r="L3000" s="11">
        <f>HYPERLINK("https://careerviet.vn/vi/tim-viec-lam/nhan-vien-ky-thuat-cnc-uu-tien-co-kinh-nghiem.35C65101.html","Xem chi tiết")</f>
        <v/>
      </c>
      <c r="M3000" s="10" t="n"/>
    </row>
    <row r="3001">
      <c r="B3001" s="7" t="n">
        <v>2999</v>
      </c>
      <c r="C3001" t="inlineStr">
        <is>
          <t>Chuyên Viên Kinh Doanh Khu Vực - Ưu tiên Nam</t>
        </is>
      </c>
      <c r="D3001" t="inlineStr">
        <is>
          <t>CÔNG TY TNHH CARE FOR VIỆT NAM</t>
        </is>
      </c>
      <c r="E3001" t="inlineStr">
        <is>
          <t>Lương:15 Tr - 20 Tr VND</t>
        </is>
      </c>
      <c r="F3001" t="inlineStr">
        <is>
          <t>Hồ Chí Minh</t>
        </is>
      </c>
      <c r="G3001" t="inlineStr">
        <is>
          <t>30-04-2026</t>
        </is>
      </c>
      <c r="H3001" t="inlineStr">
        <is>
          <t>30/04/2026</t>
        </is>
      </c>
      <c r="I3001" t="inlineStr">
        <is>
          <t>17/03/2026</t>
        </is>
      </c>
      <c r="J3001" t="inlineStr">
        <is>
          <t>Bán hàng / Kinh doanh, Dịch vụ khách hàng, Bảo hiểm</t>
        </is>
      </c>
      <c r="K3001" t="inlineStr">
        <is>
          <t>2 - 5 Năm</t>
        </is>
      </c>
      <c r="L3001" s="8">
        <f>HYPERLINK("https://careerviet.vn/vi/tim-viec-lam/chuyen-vien-kinh-doanh-khu-vuc-uu-tien-nam.35C6C469.html","Xem chi tiết")</f>
        <v/>
      </c>
    </row>
    <row r="3002">
      <c r="B3002" s="9" t="n">
        <v>3000</v>
      </c>
      <c r="C3002" s="10" t="inlineStr">
        <is>
          <t>GIÁM SÁT CƠ ĐIỆN CÔNG TRÌNH</t>
        </is>
      </c>
      <c r="D3002" s="10" t="inlineStr">
        <is>
          <t>Công Ty Cổ Phần Kiến Trúc Tư Vấn Quản Lý Đông Dương</t>
        </is>
      </c>
      <c r="E3002" s="10" t="inlineStr">
        <is>
          <t>Lương:Cạnh tranh</t>
        </is>
      </c>
      <c r="F3002" s="10" t="inlineStr">
        <is>
          <t>Hồ Chí Minh</t>
        </is>
      </c>
      <c r="G3002" s="10" t="inlineStr">
        <is>
          <t>09-04-2026</t>
        </is>
      </c>
      <c r="H3002" s="10" t="inlineStr">
        <is>
          <t>09/04/2026</t>
        </is>
      </c>
      <c r="I3002" s="10" t="inlineStr">
        <is>
          <t>17/03/2026</t>
        </is>
      </c>
      <c r="J3002" s="10" t="inlineStr">
        <is>
          <t>Kiến trúc, Xây dựng, Bất động sản</t>
        </is>
      </c>
      <c r="K3002" s="10" t="inlineStr">
        <is>
          <t>3 - 10 Năm</t>
        </is>
      </c>
      <c r="L3002" s="11">
        <f>HYPERLINK("https://careerviet.vn/vi/tim-viec-lam/giam-sat-co-dien-cong-trinh.35C64BF9.html","Xem chi tiết")</f>
        <v/>
      </c>
      <c r="M3002" s="10" t="n"/>
    </row>
    <row r="3003">
      <c r="B3003" s="7" t="n">
        <v>3001</v>
      </c>
      <c r="C3003" t="inlineStr">
        <is>
          <t>Kỹ sư Chất lượng Nhà cung cấp có Tiếng Trung 27392 - Thạch Thất, HN</t>
        </is>
      </c>
      <c r="D3003" t="inlineStr">
        <is>
          <t>Công Ty TNHH Reeracoen Việt Nam</t>
        </is>
      </c>
      <c r="E3003" t="inlineStr">
        <is>
          <t>Lương:18 Tr - 26 Tr VND</t>
        </is>
      </c>
      <c r="F3003" t="inlineStr">
        <is>
          <t>Hà Nội</t>
        </is>
      </c>
      <c r="G3003" t="inlineStr">
        <is>
          <t>09-04-2026</t>
        </is>
      </c>
      <c r="H3003" t="inlineStr">
        <is>
          <t>09/04/2026</t>
        </is>
      </c>
      <c r="I3003" t="inlineStr">
        <is>
          <t>17/03/2026</t>
        </is>
      </c>
      <c r="J3003" t="inlineStr">
        <is>
          <t>Điện / Điện tử / Điện lạnh / Điện công nghiệp, Quản lý chất lượng (QA/QC), Thu mua / Vật tư</t>
        </is>
      </c>
      <c r="K3003" t="inlineStr">
        <is>
          <t>Trên 1 Năm</t>
        </is>
      </c>
      <c r="L3003" s="8">
        <f>HYPERLINK("https://careerviet.vn/vi/tim-viec-lam/ky-su-chat-luong-nha-cung-cap-co-tieng-trung-27392-thach-that-hn.35C65131.html","Xem chi tiết")</f>
        <v/>
      </c>
    </row>
    <row r="3004">
      <c r="B3004" s="9" t="n">
        <v>3002</v>
      </c>
      <c r="C3004" s="10" t="inlineStr">
        <is>
          <t>Import-Export Staff and Sales Admin</t>
        </is>
      </c>
      <c r="D3004" s="10" t="inlineStr">
        <is>
          <t>Zagro Vietnam Company Limited</t>
        </is>
      </c>
      <c r="E3004" s="10" t="inlineStr">
        <is>
          <t>Lương:Trên 8 Tr VND</t>
        </is>
      </c>
      <c r="F3004" s="10" t="inlineStr">
        <is>
          <t>Đồng Nai</t>
        </is>
      </c>
      <c r="G3004" s="10" t="inlineStr">
        <is>
          <t>11-04-2026</t>
        </is>
      </c>
      <c r="H3004" s="10" t="inlineStr">
        <is>
          <t>11/04/2026</t>
        </is>
      </c>
      <c r="I3004" s="10" t="inlineStr">
        <is>
          <t>17/03/2026</t>
        </is>
      </c>
      <c r="J3004" s="10" t="inlineStr">
        <is>
          <t>Dịch vụ khách hàng, Hành chính / Thư ký, Xuất nhập khẩu</t>
        </is>
      </c>
      <c r="K3004" s="10" t="inlineStr">
        <is>
          <t>Lên đến 1 Năm</t>
        </is>
      </c>
      <c r="L3004" s="11">
        <f>HYPERLINK("https://careerviet.vn/vi/tim-viec-lam/import-export-staff-and-sales-admin.35C6C431.html","Xem chi tiết")</f>
        <v/>
      </c>
      <c r="M3004" s="10" t="n"/>
    </row>
    <row r="3005">
      <c r="B3005" s="7" t="n">
        <v>3003</v>
      </c>
      <c r="C3005" t="inlineStr">
        <is>
          <t>Nhân viên phát triển kinh doanh</t>
        </is>
      </c>
      <c r="D3005" t="inlineStr">
        <is>
          <t>CÔNG TY TNHH TAESAM GLOBAL</t>
        </is>
      </c>
      <c r="E3005" t="inlineStr">
        <is>
          <t>Lương:10 Tr - 20 Tr VND</t>
        </is>
      </c>
      <c r="F3005" t="inlineStr">
        <is>
          <t>Hồ Chí Minh</t>
        </is>
      </c>
      <c r="G3005" t="inlineStr">
        <is>
          <t>30-04-2026</t>
        </is>
      </c>
      <c r="H3005" t="inlineStr">
        <is>
          <t>30/04/2026</t>
        </is>
      </c>
      <c r="I3005" t="inlineStr">
        <is>
          <t>17/03/2026</t>
        </is>
      </c>
      <c r="J3005" t="inlineStr">
        <is>
          <t>Bán lẻ / Bán sỉ, Bán hàng / Kinh doanh, Thương mại điện tử</t>
        </is>
      </c>
      <c r="K3005" t="inlineStr">
        <is>
          <t>1 - 5 Năm</t>
        </is>
      </c>
      <c r="L3005" s="8">
        <f>HYPERLINK("https://careerviet.vn/vi/tim-viec-lam/nhan-vien-phat-trien-kinh-doanh.35C6C435.html","Xem chi tiết")</f>
        <v/>
      </c>
    </row>
    <row r="3006">
      <c r="B3006" s="9" t="n">
        <v>3004</v>
      </c>
      <c r="C3006" s="10" t="inlineStr">
        <is>
          <t>Quận 7-Nhân viên hành chính xuất nhập khẩu biết tiếng Anh/tiếng Trung</t>
        </is>
      </c>
      <c r="D3006" s="10" t="inlineStr">
        <is>
          <t>CÔNG TY TNHH POLYTEX FAR EASTERN (VIỆT NAM)</t>
        </is>
      </c>
      <c r="E3006" s="10" t="inlineStr">
        <is>
          <t>Lương:12 Tr - 17 Tr VND</t>
        </is>
      </c>
      <c r="F3006" s="10" t="inlineStr">
        <is>
          <t>Hồ Chí Minh</t>
        </is>
      </c>
      <c r="G3006" s="10" t="inlineStr">
        <is>
          <t>12-04-2026</t>
        </is>
      </c>
      <c r="H3006" s="10" t="inlineStr">
        <is>
          <t>12/04/2026</t>
        </is>
      </c>
      <c r="I3006" s="10" t="inlineStr">
        <is>
          <t>17/03/2026</t>
        </is>
      </c>
      <c r="J3006" s="10" t="inlineStr">
        <is>
          <t>Hành chính / Thư ký, Xuất nhập khẩu, Ngành khác</t>
        </is>
      </c>
      <c r="K3006" s="10" t="inlineStr">
        <is>
          <t>1 - 10 Năm</t>
        </is>
      </c>
      <c r="L3006" s="11">
        <f>HYPERLINK("https://careerviet.vn/vi/tim-viec-lam/quan-7-nhan-vien-hanh-chinh-xuat-nhap-khau-biet-tieng-anh-tieng-trung.35C6C449.html","Xem chi tiết")</f>
        <v/>
      </c>
      <c r="M3006" s="10" t="n"/>
    </row>
    <row r="3007">
      <c r="B3007" s="7" t="n">
        <v>3005</v>
      </c>
      <c r="C3007" t="inlineStr">
        <is>
          <t>Growth manager - BU Vaccine</t>
        </is>
      </c>
      <c r="D3007" t="inlineStr">
        <is>
          <t>CÔNG TY CỔ PHẦN DƯỢC PHẨM FPT LONG CHÂU</t>
        </is>
      </c>
      <c r="E3007" t="inlineStr">
        <is>
          <t>Lương:Cạnh tranh</t>
        </is>
      </c>
      <c r="F3007" t="inlineStr">
        <is>
          <t>Hồ Chí Minh</t>
        </is>
      </c>
      <c r="G3007" t="inlineStr">
        <is>
          <t>11-04-2026</t>
        </is>
      </c>
      <c r="H3007" t="inlineStr">
        <is>
          <t>11/04/2026</t>
        </is>
      </c>
      <c r="I3007" t="inlineStr">
        <is>
          <t>17/03/2026</t>
        </is>
      </c>
      <c r="J3007" t="inlineStr">
        <is>
          <t>Dược phẩm/ Hóa Mỹ Phẩm, Y tế / Chăm sóc sức khỏe / Thẩm mỹ / Làm đẹp, Tài chính / Đầu tư</t>
        </is>
      </c>
      <c r="K3007" t="inlineStr">
        <is>
          <t>2 - 5 Năm</t>
        </is>
      </c>
      <c r="L3007" s="8">
        <f>HYPERLINK("https://careerviet.vn/vi/tim-viec-lam/growth-manager-bu-vaccine.35C6C44F.html","Xem chi tiết")</f>
        <v/>
      </c>
    </row>
    <row r="3008">
      <c r="B3008" s="9" t="n">
        <v>3006</v>
      </c>
      <c r="C3008" s="10" t="inlineStr">
        <is>
          <t>Kế Toán Tổng Hợp</t>
        </is>
      </c>
      <c r="D3008" s="10" t="inlineStr">
        <is>
          <t>CÔNG TY TNHH VẬN TẢI BIỂN GOLDEN SEA</t>
        </is>
      </c>
      <c r="E3008" s="10" t="inlineStr">
        <is>
          <t>Lương:Cạnh tranh</t>
        </is>
      </c>
      <c r="F3008" s="10" t="inlineStr">
        <is>
          <t>Hồ Chí Minh</t>
        </is>
      </c>
      <c r="G3008" s="10" t="inlineStr">
        <is>
          <t>12-04-2026</t>
        </is>
      </c>
      <c r="H3008" s="10" t="inlineStr">
        <is>
          <t>12/04/2026</t>
        </is>
      </c>
      <c r="I3008" s="10" t="inlineStr">
        <is>
          <t>17/03/2026</t>
        </is>
      </c>
      <c r="J3008" s="10" t="inlineStr">
        <is>
          <t>Kế toán / Kiểm toán, Hàng hải, Xuất nhập khẩu</t>
        </is>
      </c>
      <c r="K3008" s="10" t="inlineStr">
        <is>
          <t>Trên 3 Năm</t>
        </is>
      </c>
      <c r="L3008" s="11">
        <f>HYPERLINK("https://careerviet.vn/vi/tim-viec-lam/ke-toan-tong-hop.35C6C374.html","Xem chi tiết")</f>
        <v/>
      </c>
      <c r="M3008" s="10" t="n"/>
    </row>
    <row r="3009">
      <c r="B3009" s="7" t="n">
        <v>3007</v>
      </c>
      <c r="C3009" t="inlineStr">
        <is>
          <t>Office Administrator Cum Recruitment Support</t>
        </is>
      </c>
      <c r="D3009" t="inlineStr">
        <is>
          <t>CÔNG TY TNHH AMERICA INDOCHINA MANAGEMENT VIETNAM</t>
        </is>
      </c>
      <c r="E3009" t="inlineStr">
        <is>
          <t>Lương:Cạnh tranh</t>
        </is>
      </c>
      <c r="F3009" t="inlineStr">
        <is>
          <t>Hồ Chí Minh</t>
        </is>
      </c>
      <c r="G3009" t="inlineStr">
        <is>
          <t>3</t>
        </is>
      </c>
      <c r="H3009" t="inlineStr">
        <is>
          <t>20/03/2026</t>
        </is>
      </c>
      <c r="I3009" t="inlineStr">
        <is>
          <t>17/03/2026</t>
        </is>
      </c>
      <c r="J3009" t="inlineStr">
        <is>
          <t>Hành chính / Thư ký, Mới tốt nghiệp / Thực tập, Nhân sự</t>
        </is>
      </c>
      <c r="K3009" t="inlineStr">
        <is>
          <t>N/A</t>
        </is>
      </c>
      <c r="L3009" s="8">
        <f>HYPERLINK("https://careerviet.vn/vi/tim-viec-lam/office-administrator-cum-recruitment-support.35C6C3FF.html","Xem chi tiết")</f>
        <v/>
      </c>
    </row>
    <row r="3010">
      <c r="B3010" s="9" t="n">
        <v>3008</v>
      </c>
      <c r="C3010" s="10" t="inlineStr">
        <is>
          <t>General Manager/Tổng Quản lý Nhà hàng</t>
        </is>
      </c>
      <c r="D3010" s="10" t="inlineStr">
        <is>
          <t>CÔNG TY CỔ PHẦN NISO</t>
        </is>
      </c>
      <c r="E3010" s="10" t="inlineStr">
        <is>
          <t>Lương:32 Tr - 35 Tr VND</t>
        </is>
      </c>
      <c r="F3010" s="10" t="inlineStr">
        <is>
          <t>Hồ Chí Minh</t>
        </is>
      </c>
      <c r="G3010" s="10" t="inlineStr">
        <is>
          <t>12-04-2026</t>
        </is>
      </c>
      <c r="H3010" s="10" t="inlineStr">
        <is>
          <t>12/04/2026</t>
        </is>
      </c>
      <c r="I3010" s="10" t="inlineStr">
        <is>
          <t>17/03/2026</t>
        </is>
      </c>
      <c r="J3010" s="10" t="inlineStr">
        <is>
          <t>Nhà hàng / Khách sạn, Dịch vụ khách hàng</t>
        </is>
      </c>
      <c r="K3010" s="10" t="inlineStr">
        <is>
          <t>3 - 5 Năm</t>
        </is>
      </c>
      <c r="L3010" s="11">
        <f>HYPERLINK("https://careerviet.vn/vi/tim-viec-lam/general-manager-tong-quan-ly-nha-hang.35C6C45E.html","Xem chi tiết")</f>
        <v/>
      </c>
      <c r="M3010" s="10" t="n"/>
    </row>
    <row r="3011">
      <c r="B3011" s="7" t="n">
        <v>3009</v>
      </c>
      <c r="C3011" t="inlineStr">
        <is>
          <t>Giám đốc chi nhánh Hưng Yên - RB - MSB - 1C216</t>
        </is>
      </c>
      <c r="D3011" t="inlineStr">
        <is>
          <t>Ngân hàng Thương mại Cổ phần Hàng Hải Việt Nam (MSB)</t>
        </is>
      </c>
      <c r="E3011" t="inlineStr">
        <is>
          <t>Lương:Cạnh tranh</t>
        </is>
      </c>
      <c r="F3011" t="inlineStr">
        <is>
          <t>Hưng Yên</t>
        </is>
      </c>
      <c r="G3011" t="inlineStr">
        <is>
          <t>30-04-2026</t>
        </is>
      </c>
      <c r="H3011" t="inlineStr">
        <is>
          <t>30/04/2026</t>
        </is>
      </c>
      <c r="I3011" t="inlineStr">
        <is>
          <t>17/03/2026</t>
        </is>
      </c>
      <c r="J3011" t="inlineStr">
        <is>
          <t>Ngân hàng</t>
        </is>
      </c>
      <c r="K3011" t="inlineStr">
        <is>
          <t>Trên 6 Năm</t>
        </is>
      </c>
      <c r="L3011" s="8">
        <f>HYPERLINK("https://careerviet.vn/vi/tim-viec-lam/giam-doc-chi-nhanh-hung-yen-rb-msb-1c216.35C6C455.html","Xem chi tiết")</f>
        <v/>
      </c>
    </row>
    <row r="3012">
      <c r="B3012" s="9" t="n">
        <v>3010</v>
      </c>
      <c r="C3012" s="10" t="inlineStr">
        <is>
          <t>Chuyên viên cao cấp Chính sách thẻ</t>
        </is>
      </c>
      <c r="D3012" s="10" t="inlineStr">
        <is>
          <t>Ngân hàng TMCP Phát triển TP.HCM (HDBank)</t>
        </is>
      </c>
      <c r="E3012" s="10" t="inlineStr">
        <is>
          <t>Lương:Cạnh tranh</t>
        </is>
      </c>
      <c r="F3012" s="10" t="inlineStr">
        <is>
          <t>Hồ Chí Minh</t>
        </is>
      </c>
      <c r="G3012" s="10" t="inlineStr">
        <is>
          <t>31-03-2026</t>
        </is>
      </c>
      <c r="H3012" s="10" t="inlineStr">
        <is>
          <t>31/03/2026</t>
        </is>
      </c>
      <c r="I3012" s="10" t="inlineStr">
        <is>
          <t>17/03/2026</t>
        </is>
      </c>
      <c r="J3012" s="10" t="inlineStr">
        <is>
          <t>Ngân hàng</t>
        </is>
      </c>
      <c r="K3012" s="10" t="inlineStr">
        <is>
          <t>Trên 1 Năm</t>
        </is>
      </c>
      <c r="L3012" s="11">
        <f>HYPERLINK("https://careerviet.vn/vi/tim-viec-lam/chuyen-vien-cao-cap-chinh-sach-the.35C6C231.html","Xem chi tiết")</f>
        <v/>
      </c>
      <c r="M3012" s="10" t="n"/>
    </row>
    <row r="3013">
      <c r="B3013" s="7" t="n">
        <v>3011</v>
      </c>
      <c r="C3013" t="inlineStr">
        <is>
          <t>Giám sát hạ tầng kỹ thuật</t>
        </is>
      </c>
      <c r="D3013" t="inlineStr">
        <is>
          <t>ERAS GROUP</t>
        </is>
      </c>
      <c r="E3013" t="inlineStr">
        <is>
          <t>Lương:Cạnh tranh</t>
        </is>
      </c>
      <c r="F3013" t="inlineStr">
        <is>
          <t>Bình Thuận</t>
        </is>
      </c>
      <c r="G3013" t="inlineStr">
        <is>
          <t>30-04-2026</t>
        </is>
      </c>
      <c r="H3013" t="inlineStr">
        <is>
          <t>30/04/2026</t>
        </is>
      </c>
      <c r="I3013" t="inlineStr">
        <is>
          <t>17/03/2026</t>
        </is>
      </c>
      <c r="J3013" t="inlineStr">
        <is>
          <t>Xây dựng, Bất động sản</t>
        </is>
      </c>
      <c r="K3013" t="inlineStr">
        <is>
          <t>3 - 5 Năm</t>
        </is>
      </c>
      <c r="L3013" s="8">
        <f>HYPERLINK("https://careerviet.vn/vi/tim-viec-lam/giam-sat-ha-tang-ky-thuat.35C6C44D.html","Xem chi tiết")</f>
        <v/>
      </c>
    </row>
    <row r="3014">
      <c r="B3014" s="9" t="n">
        <v>3012</v>
      </c>
      <c r="C3014" s="10" t="inlineStr">
        <is>
          <t>Nhân Viên Lắp Đặt - Bảo Trì</t>
        </is>
      </c>
      <c r="D3014" s="10" t="inlineStr">
        <is>
          <t>CÔNG TY TNHH MỘT THÀNH VIÊN KYOUWA VIỆT NAM</t>
        </is>
      </c>
      <c r="E3014" s="10" t="inlineStr">
        <is>
          <t>Lương:Cạnh tranh</t>
        </is>
      </c>
      <c r="F3014" s="10" t="inlineStr">
        <is>
          <t>Hồ Chí Minh</t>
        </is>
      </c>
      <c r="G3014" s="10" t="inlineStr">
        <is>
          <t>12-04-2026</t>
        </is>
      </c>
      <c r="H3014" s="10" t="inlineStr">
        <is>
          <t>12/04/2026</t>
        </is>
      </c>
      <c r="I3014" s="10" t="inlineStr">
        <is>
          <t>17/03/2026</t>
        </is>
      </c>
      <c r="J3014" s="10" t="inlineStr">
        <is>
          <t>N/A</t>
        </is>
      </c>
      <c r="K3014" s="10" t="inlineStr">
        <is>
          <t>N/A</t>
        </is>
      </c>
      <c r="L3014" s="11">
        <f>HYPERLINK("https://careerviet.vn/vi/tim-viec-lam/nhan-vien-lap-dat-bao-tri.35C6C415.html","Xem chi tiết")</f>
        <v/>
      </c>
      <c r="M3014" s="10" t="n"/>
    </row>
    <row r="3015">
      <c r="B3015" s="7" t="n">
        <v>3013</v>
      </c>
      <c r="C3015" t="inlineStr">
        <is>
          <t>Kỹ sư Tự động hóa (Automation Engineer)</t>
        </is>
      </c>
      <c r="D3015" t="inlineStr">
        <is>
          <t>CÔNG TY CỔ PHẦN VINATECH SOLUTION</t>
        </is>
      </c>
      <c r="E3015" t="inlineStr">
        <is>
          <t>Lương:15 Tr - 25 Tr VND</t>
        </is>
      </c>
      <c r="F3015" t="inlineStr">
        <is>
          <t>Hồ Chí Minh</t>
        </is>
      </c>
      <c r="G3015" t="inlineStr">
        <is>
          <t>12-04-2026</t>
        </is>
      </c>
      <c r="H3015" t="inlineStr">
        <is>
          <t>12/04/2026</t>
        </is>
      </c>
      <c r="I3015" t="inlineStr">
        <is>
          <t>17/03/2026</t>
        </is>
      </c>
      <c r="J3015" t="inlineStr">
        <is>
          <t>Cơ khí / Ô tô / Tự động hóa, Điện / Điện tử / Điện lạnh / Điện công nghiệp, Sản xuất / Vận hành sản xuất</t>
        </is>
      </c>
      <c r="K3015" t="inlineStr">
        <is>
          <t>2 - 5 Năm</t>
        </is>
      </c>
      <c r="L3015" s="8">
        <f>HYPERLINK("https://careerviet.vn/vi/tim-viec-lam/ky-su-tu-dong-hoa-automation-engineer.35C6C423.html","Xem chi tiết")</f>
        <v/>
      </c>
    </row>
    <row r="3016">
      <c r="B3016" s="9" t="n">
        <v>3014</v>
      </c>
      <c r="C3016" s="10" t="inlineStr">
        <is>
          <t>sale 12 july one</t>
        </is>
      </c>
      <c r="D3016" s="10" t="inlineStr">
        <is>
          <t>Fast and Furious</t>
        </is>
      </c>
      <c r="E3016" s="10" t="inlineStr">
        <is>
          <t>Lương:700 - 1.000 USD</t>
        </is>
      </c>
      <c r="F3016" s="10" t="inlineStr">
        <is>
          <t>Bà Rịa - Vũng TàuAn Giang</t>
        </is>
      </c>
      <c r="G3016" s="10" t="inlineStr">
        <is>
          <t>26-03-2026</t>
        </is>
      </c>
      <c r="H3016" s="10" t="inlineStr">
        <is>
          <t>26/03/2026</t>
        </is>
      </c>
      <c r="I3016" s="10" t="inlineStr">
        <is>
          <t>17/03/2026</t>
        </is>
      </c>
      <c r="J3016" s="10" t="inlineStr">
        <is>
          <t>Kiến trúc</t>
        </is>
      </c>
      <c r="K3016" s="10" t="inlineStr">
        <is>
          <t>1 - 3 Năm</t>
        </is>
      </c>
      <c r="L3016" s="11">
        <f>HYPERLINK("https://careerviet.vn/vi/tim-viec-lam/sale-12-july-one.35C6C3E7.html","Xem chi tiết")</f>
        <v/>
      </c>
      <c r="M3016" s="10" t="n"/>
    </row>
    <row r="3017">
      <c r="B3017" s="7" t="n">
        <v>3015</v>
      </c>
      <c r="C3017" t="inlineStr">
        <is>
          <t>Kế Toán Xuất Hóa Đơn</t>
        </is>
      </c>
      <c r="D3017" t="inlineStr">
        <is>
          <t>SHYNH GROUP</t>
        </is>
      </c>
      <c r="E3017" t="inlineStr">
        <is>
          <t>Lương:Cạnh tranh</t>
        </is>
      </c>
      <c r="F3017" t="inlineStr">
        <is>
          <t>Hồ Chí Minh</t>
        </is>
      </c>
      <c r="G3017" t="inlineStr">
        <is>
          <t>15-04-2026</t>
        </is>
      </c>
      <c r="H3017" t="inlineStr">
        <is>
          <t>15/04/2026</t>
        </is>
      </c>
      <c r="I3017" t="inlineStr">
        <is>
          <t>17/03/2026</t>
        </is>
      </c>
      <c r="J3017" t="inlineStr">
        <is>
          <t>Y tế / Chăm sóc sức khỏe / Thẩm mỹ / Làm đẹp, Kế toán / Kiểm toán, Tài chính / Đầu tư</t>
        </is>
      </c>
      <c r="K3017" t="inlineStr">
        <is>
          <t>2 - 3 Năm</t>
        </is>
      </c>
      <c r="L3017" s="8">
        <f>HYPERLINK("https://careerviet.vn/vi/tim-viec-lam/ke-toan-xuat-hoa-don.35C6C452.html","Xem chi tiết")</f>
        <v/>
      </c>
    </row>
    <row r="3018">
      <c r="B3018" s="9" t="n">
        <v>3016</v>
      </c>
      <c r="C3018" s="10" t="inlineStr">
        <is>
          <t>Chuyên viên C&amp;B (ngành BĐS, làm việc tại Quận 3)</t>
        </is>
      </c>
      <c r="D3018" s="10" t="inlineStr">
        <is>
          <t>Công ty Cổ phần Tập đoàn KITA Group</t>
        </is>
      </c>
      <c r="E3018" s="10" t="inlineStr">
        <is>
          <t>Lương:17 Tr - 21 Tr VND</t>
        </is>
      </c>
      <c r="F3018" s="10" t="inlineStr">
        <is>
          <t>Hồ Chí Minh</t>
        </is>
      </c>
      <c r="G3018" s="10" t="inlineStr">
        <is>
          <t>30-04-2026</t>
        </is>
      </c>
      <c r="H3018" s="10" t="inlineStr">
        <is>
          <t>30/04/2026</t>
        </is>
      </c>
      <c r="I3018" s="10" t="inlineStr">
        <is>
          <t>17/03/2026</t>
        </is>
      </c>
      <c r="J3018" s="10" t="inlineStr">
        <is>
          <t>Nhân sự, Kế toán / Kiểm toán, Hành chính / Thư ký</t>
        </is>
      </c>
      <c r="K3018" s="10" t="inlineStr">
        <is>
          <t>4 - 7 Năm</t>
        </is>
      </c>
      <c r="L3018" s="11">
        <f>HYPERLINK("https://careerviet.vn/vi/tim-viec-lam/chuyen-vien-c-b-nganh-bds-lam-viec-tai-quan-3.35C6C3D5.html","Xem chi tiết")</f>
        <v/>
      </c>
      <c r="M3018" s="10" t="n"/>
    </row>
    <row r="3019">
      <c r="B3019" s="7" t="n">
        <v>3017</v>
      </c>
      <c r="C3019" t="inlineStr">
        <is>
          <t>Kế toán trưởng</t>
        </is>
      </c>
      <c r="D3019" t="inlineStr">
        <is>
          <t>PHỞ NHẤT VỊ</t>
        </is>
      </c>
      <c r="E3019" t="inlineStr">
        <is>
          <t>Lương:18 Tr - 20 Tr VND</t>
        </is>
      </c>
      <c r="F3019" t="inlineStr">
        <is>
          <t>Hồ Chí Minh</t>
        </is>
      </c>
      <c r="G3019" t="inlineStr">
        <is>
          <t>31-03-2026</t>
        </is>
      </c>
      <c r="H3019" t="inlineStr">
        <is>
          <t>31/03/2026</t>
        </is>
      </c>
      <c r="I3019" t="inlineStr">
        <is>
          <t>17/03/2026</t>
        </is>
      </c>
      <c r="J3019" t="inlineStr">
        <is>
          <t>Kế toán / Kiểm toán</t>
        </is>
      </c>
      <c r="K3019" t="inlineStr">
        <is>
          <t>2 - 3 Năm</t>
        </is>
      </c>
      <c r="L3019" s="8">
        <f>HYPERLINK("https://careerviet.vn/vi/tim-viec-lam/ke-toan-truong.35C6C408.html","Xem chi tiết")</f>
        <v/>
      </c>
    </row>
    <row r="3020">
      <c r="B3020" s="9" t="n">
        <v>3018</v>
      </c>
      <c r="C3020" s="10" t="inlineStr">
        <is>
          <t>TECHNICAL DESIGNER</t>
        </is>
      </c>
      <c r="D3020" s="10" t="inlineStr">
        <is>
          <t>Thuan Phuong Group</t>
        </is>
      </c>
      <c r="E3020" s="10" t="inlineStr">
        <is>
          <t>Lương:15 Tr - 20 Tr VND</t>
        </is>
      </c>
      <c r="F3020" s="10" t="inlineStr">
        <is>
          <t>Hồ Chí Minh</t>
        </is>
      </c>
      <c r="G3020" s="10" t="inlineStr">
        <is>
          <t>11-04-2026</t>
        </is>
      </c>
      <c r="H3020" s="10" t="inlineStr">
        <is>
          <t>11/04/2026</t>
        </is>
      </c>
      <c r="I3020" s="10" t="inlineStr">
        <is>
          <t>17/03/2026</t>
        </is>
      </c>
      <c r="J3020" s="10" t="inlineStr">
        <is>
          <t>Mỹ thuật / Nghệ thuật / Thiết kế, Dệt may / Da giày / Thời trang, Sản xuất / Vận hành sản xuất</t>
        </is>
      </c>
      <c r="K3020" s="10" t="inlineStr">
        <is>
          <t>Chưa có kinh nghiệm</t>
        </is>
      </c>
      <c r="L3020" s="11">
        <f>HYPERLINK("https://careerviet.vn/vi/tim-viec-lam/technical-designer.35C6C3B1.html","Xem chi tiết")</f>
        <v/>
      </c>
      <c r="M3020" s="10" t="n"/>
    </row>
    <row r="3021">
      <c r="B3021" s="7" t="n">
        <v>3019</v>
      </c>
      <c r="C3021" t="inlineStr">
        <is>
          <t>Nhân viên kỹ thuật - Kết cấu thép</t>
        </is>
      </c>
      <c r="D3021" t="inlineStr">
        <is>
          <t>CÔNG TY TNHH S.I E&amp;C VIỆT NAM</t>
        </is>
      </c>
      <c r="E3021" t="inlineStr">
        <is>
          <t>Lương:15 Tr - 25 Tr VND</t>
        </is>
      </c>
      <c r="F3021" t="inlineStr">
        <is>
          <t>Đồng Nai</t>
        </is>
      </c>
      <c r="G3021" t="inlineStr">
        <is>
          <t>11-04-2026</t>
        </is>
      </c>
      <c r="H3021" t="inlineStr">
        <is>
          <t>11/04/2026</t>
        </is>
      </c>
      <c r="I3021" t="inlineStr">
        <is>
          <t>17/03/2026</t>
        </is>
      </c>
      <c r="J3021" t="inlineStr">
        <is>
          <t>Cơ khí / Ô tô / Tự động hóa</t>
        </is>
      </c>
      <c r="K3021" t="inlineStr">
        <is>
          <t>1 - 3 Năm</t>
        </is>
      </c>
      <c r="L3021" s="8">
        <f>HYPERLINK("https://careerviet.vn/vi/tim-viec-lam/nhan-vien-ky-thuat-ket-cau-thep.35C6C3B5.html","Xem chi tiết")</f>
        <v/>
      </c>
    </row>
    <row r="3022">
      <c r="B3022" s="9" t="n">
        <v>3020</v>
      </c>
      <c r="C3022" s="10" t="inlineStr">
        <is>
          <t>TƯ VẤN GIÁM SÁT DÂN DỤNG &amp; HTKT</t>
        </is>
      </c>
      <c r="D3022" s="10" t="inlineStr">
        <is>
          <t>Công Ty Cổ Phần Kỹ Thuật DDA</t>
        </is>
      </c>
      <c r="E3022" s="10" t="inlineStr">
        <is>
          <t>Lương:15 Tr - 17 Tr VND</t>
        </is>
      </c>
      <c r="F3022" s="10" t="inlineStr">
        <is>
          <t>Hà Nội</t>
        </is>
      </c>
      <c r="G3022" s="10" t="inlineStr">
        <is>
          <t>11-04-2026</t>
        </is>
      </c>
      <c r="H3022" s="10" t="inlineStr">
        <is>
          <t>11/04/2026</t>
        </is>
      </c>
      <c r="I3022" s="10" t="inlineStr">
        <is>
          <t>17/03/2026</t>
        </is>
      </c>
      <c r="J3022" s="10" t="inlineStr">
        <is>
          <t>Xây dựng, Kiến trúc, Bất động sản</t>
        </is>
      </c>
      <c r="K3022" s="10" t="inlineStr">
        <is>
          <t>3 - 5 Năm</t>
        </is>
      </c>
      <c r="L3022" s="11">
        <f>HYPERLINK("https://careerviet.vn/vi/tim-viec-lam/tu-van-giam-sat-dan-dung-htkt.35C6C3A0.html","Xem chi tiết")</f>
        <v/>
      </c>
      <c r="M3022" s="10" t="n"/>
    </row>
    <row r="3023">
      <c r="B3023" s="7" t="n">
        <v>3021</v>
      </c>
      <c r="C3023" t="inlineStr">
        <is>
          <t>INFLUENCER MARKETING COORDINATOR (KOL/KOC) – BEAUTY BRAND</t>
        </is>
      </c>
      <c r="D3023" t="inlineStr">
        <is>
          <t>Công Ty TNHH Han Fias Việt Nam</t>
        </is>
      </c>
      <c r="E3023" t="inlineStr">
        <is>
          <t>Lương:Trên 16 Tr VND</t>
        </is>
      </c>
      <c r="F3023" t="inlineStr">
        <is>
          <t>Hồ Chí Minh</t>
        </is>
      </c>
      <c r="G3023" t="inlineStr">
        <is>
          <t>11-04-2026</t>
        </is>
      </c>
      <c r="H3023" t="inlineStr">
        <is>
          <t>11/04/2026</t>
        </is>
      </c>
      <c r="I3023" t="inlineStr">
        <is>
          <t>17/03/2026</t>
        </is>
      </c>
      <c r="J3023" t="inlineStr">
        <is>
          <t>Tiếp thị / Marketing, Y tế / Chăm sóc sức khỏe / Thẩm mỹ / Làm đẹp, Tiếp thị trực tuyến</t>
        </is>
      </c>
      <c r="K3023" t="inlineStr">
        <is>
          <t>Trên 2 Năm</t>
        </is>
      </c>
      <c r="L3023" s="8">
        <f>HYPERLINK("https://careerviet.vn/vi/tim-viec-lam/influencer-marketing-coordinator-kol-koc-beauty-brand.35C6C189.html","Xem chi tiết")</f>
        <v/>
      </c>
    </row>
    <row r="3024">
      <c r="B3024" s="9" t="n">
        <v>3022</v>
      </c>
      <c r="C3024" s="10" t="inlineStr">
        <is>
          <t>Trưởng nhóm dự án (Project Manager)</t>
        </is>
      </c>
      <c r="D3024" s="10" t="inlineStr">
        <is>
          <t>CÔNG TY CỔ PHẦN GIẢI PHÁP CÔNG NGHỆ HQG</t>
        </is>
      </c>
      <c r="E3024" s="10" t="inlineStr">
        <is>
          <t>Lương:Cạnh tranh</t>
        </is>
      </c>
      <c r="F3024" s="10" t="inlineStr">
        <is>
          <t>Hà NộiHồ Chí Minh</t>
        </is>
      </c>
      <c r="G3024" s="10" t="inlineStr">
        <is>
          <t>30-04-2026</t>
        </is>
      </c>
      <c r="H3024" s="10" t="inlineStr">
        <is>
          <t>30/04/2026</t>
        </is>
      </c>
      <c r="I3024" s="10" t="inlineStr">
        <is>
          <t>17/03/2026</t>
        </is>
      </c>
      <c r="J3024" s="10" t="inlineStr">
        <is>
          <t>Bán hàng / Kinh doanh, Quản lý điều hành, CNTT - Phần mềm</t>
        </is>
      </c>
      <c r="K3024" s="10" t="inlineStr">
        <is>
          <t>2 - 5 Năm</t>
        </is>
      </c>
      <c r="L3024" s="11">
        <f>HYPERLINK("https://careerviet.vn/vi/tim-viec-lam/truong-nhom-du-an-project-manager.35C6C36A.html","Xem chi tiết")</f>
        <v/>
      </c>
      <c r="M3024" s="10" t="n"/>
    </row>
    <row r="3025">
      <c r="B3025" s="7" t="n">
        <v>3023</v>
      </c>
      <c r="C3025" t="inlineStr">
        <is>
          <t>Kế toán dự án</t>
        </is>
      </c>
      <c r="D3025" t="inlineStr">
        <is>
          <t>Công Ty Cổ Phần Thép Việt Xô Hà Nội</t>
        </is>
      </c>
      <c r="E3025" t="inlineStr">
        <is>
          <t>Lương:11 Tr - 13 Tr VND</t>
        </is>
      </c>
      <c r="F3025" t="inlineStr">
        <is>
          <t>Hà Nội</t>
        </is>
      </c>
      <c r="G3025" t="inlineStr">
        <is>
          <t>15-04-2026</t>
        </is>
      </c>
      <c r="H3025" t="inlineStr">
        <is>
          <t>15/04/2026</t>
        </is>
      </c>
      <c r="I3025" t="inlineStr">
        <is>
          <t>17/03/2026</t>
        </is>
      </c>
      <c r="J3025" t="inlineStr">
        <is>
          <t>Kế toán / Kiểm toán</t>
        </is>
      </c>
      <c r="K3025" t="inlineStr">
        <is>
          <t>1 - 2 Năm</t>
        </is>
      </c>
      <c r="L3025" s="8">
        <f>HYPERLINK("https://careerviet.vn/vi/tim-viec-lam/ke-toan-du-an.35C6C35A.html","Xem chi tiết")</f>
        <v/>
      </c>
    </row>
    <row r="3026">
      <c r="B3026" s="9" t="n">
        <v>3024</v>
      </c>
      <c r="C3026" s="10" t="inlineStr">
        <is>
          <t>Kế Toán Tổng Hợp</t>
        </is>
      </c>
      <c r="D3026" s="10" t="inlineStr">
        <is>
          <t>Fast and Furious</t>
        </is>
      </c>
      <c r="E3026" s="10" t="inlineStr">
        <is>
          <t>Lương:7 Tr - 8 Tr VND</t>
        </is>
      </c>
      <c r="F3026" s="10" t="inlineStr">
        <is>
          <t>Hồ Chí Minh</t>
        </is>
      </c>
      <c r="G3026" s="10" t="inlineStr">
        <is>
          <t>12-03-2026</t>
        </is>
      </c>
      <c r="H3026" s="10" t="inlineStr">
        <is>
          <t>11/03/2026</t>
        </is>
      </c>
      <c r="I3026" s="10" t="inlineStr">
        <is>
          <t>17/03/2026</t>
        </is>
      </c>
      <c r="J3026" s="10" t="inlineStr">
        <is>
          <t>Kế toán / Kiểm toán, Bán hàng / Kinh doanh, An toàn lao động</t>
        </is>
      </c>
      <c r="K3026" s="10" t="inlineStr">
        <is>
          <t>N/A</t>
        </is>
      </c>
      <c r="L3026" s="11">
        <f>HYPERLINK("https://careerviet.vn/vi/tim-viec-lam/ke-toan-tong-hop.35C6C3B9.html","Xem chi tiết")</f>
        <v/>
      </c>
      <c r="M3026" s="10" t="n"/>
    </row>
    <row r="3027">
      <c r="B3027" s="7" t="n">
        <v>3025</v>
      </c>
      <c r="C3027" t="inlineStr">
        <is>
          <t>Chuyên viên Kiểm toán nội bộ</t>
        </is>
      </c>
      <c r="D3027" t="inlineStr">
        <is>
          <t>Công ty Cổ Phần Thành Thành Nam</t>
        </is>
      </c>
      <c r="E3027" t="inlineStr">
        <is>
          <t>Lương:15 Tr - 20 Tr VND</t>
        </is>
      </c>
      <c r="F3027" t="inlineStr">
        <is>
          <t>Hồ Chí Minh</t>
        </is>
      </c>
      <c r="G3027" t="inlineStr">
        <is>
          <t>15-04-2026</t>
        </is>
      </c>
      <c r="H3027" t="inlineStr">
        <is>
          <t>15/04/2026</t>
        </is>
      </c>
      <c r="I3027" t="inlineStr">
        <is>
          <t>17/03/2026</t>
        </is>
      </c>
      <c r="J3027" t="inlineStr">
        <is>
          <t>Kế toán / Kiểm toán</t>
        </is>
      </c>
      <c r="K3027" t="inlineStr">
        <is>
          <t>3 - 5 Năm</t>
        </is>
      </c>
      <c r="L3027" s="8">
        <f>HYPERLINK("https://careerviet.vn/vi/tim-viec-lam/chuyen-vien-kiem-toan-noi-bo.35C6C2DC.html","Xem chi tiết")</f>
        <v/>
      </c>
    </row>
    <row r="3028">
      <c r="B3028" s="9" t="n">
        <v>3026</v>
      </c>
      <c r="C3028" s="10" t="inlineStr">
        <is>
          <t>QC Welding inspector</t>
        </is>
      </c>
      <c r="D3028" s="10" t="inlineStr">
        <is>
          <t>CÔNG TY TNHH S.I E&amp;C VIỆT NAM</t>
        </is>
      </c>
      <c r="E3028" s="10" t="inlineStr">
        <is>
          <t>Lương:10 Tr - 26 Tr VND</t>
        </is>
      </c>
      <c r="F3028" s="10" t="inlineStr">
        <is>
          <t>Đồng Nai</t>
        </is>
      </c>
      <c r="G3028" s="10" t="inlineStr">
        <is>
          <t>11-04-2026</t>
        </is>
      </c>
      <c r="H3028" s="10" t="inlineStr">
        <is>
          <t>11/04/2026</t>
        </is>
      </c>
      <c r="I3028" s="10" t="inlineStr">
        <is>
          <t>17/03/2026</t>
        </is>
      </c>
      <c r="J3028" s="10" t="inlineStr">
        <is>
          <t>Cơ khí / Ô tô / Tự động hóa</t>
        </is>
      </c>
      <c r="K3028" s="10" t="inlineStr">
        <is>
          <t>1 - 3 Năm</t>
        </is>
      </c>
      <c r="L3028" s="11">
        <f>HYPERLINK("https://careerviet.vn/vi/tim-viec-lam/qc-welding-inspector.35C6C39C.html","Xem chi tiết")</f>
        <v/>
      </c>
      <c r="M3028" s="10" t="n"/>
    </row>
    <row r="3029">
      <c r="B3029" s="7" t="n">
        <v>3027</v>
      </c>
      <c r="C3029" t="inlineStr">
        <is>
          <t>PHÓ PHÒNG NHÂN SỰ</t>
        </is>
      </c>
      <c r="D3029" t="inlineStr">
        <is>
          <t>ADC PLASTIC,. JSC</t>
        </is>
      </c>
      <c r="E3029" t="inlineStr">
        <is>
          <t>Lương:15 Tr - 30 Tr VND</t>
        </is>
      </c>
      <c r="F3029" t="inlineStr">
        <is>
          <t>Hưng Yên</t>
        </is>
      </c>
      <c r="G3029" t="inlineStr">
        <is>
          <t>30-04-2026</t>
        </is>
      </c>
      <c r="H3029" t="inlineStr">
        <is>
          <t>30/04/2026</t>
        </is>
      </c>
      <c r="I3029" t="inlineStr">
        <is>
          <t>17/03/2026</t>
        </is>
      </c>
      <c r="J3029" t="inlineStr">
        <is>
          <t>Nhân sự, Sản xuất / Vận hành sản xuất</t>
        </is>
      </c>
      <c r="K3029" t="inlineStr">
        <is>
          <t>5 - 15 Năm</t>
        </is>
      </c>
      <c r="L3029" s="8">
        <f>HYPERLINK("https://careerviet.vn/vi/tim-viec-lam/pho-phong-nhan-su.35C6C2A7.html","Xem chi tiết")</f>
        <v/>
      </c>
    </row>
    <row r="3030">
      <c r="B3030" s="9" t="n">
        <v>3028</v>
      </c>
      <c r="C3030" s="10" t="inlineStr">
        <is>
          <t>Quản lý Vận hành | Operation Manager - Pathway School</t>
        </is>
      </c>
      <c r="D3030" s="10" t="inlineStr">
        <is>
          <t>Hệ thống trường Pathway Tuệ Đức</t>
        </is>
      </c>
      <c r="E3030" s="10" t="inlineStr">
        <is>
          <t>Lương:Cạnh tranh</t>
        </is>
      </c>
      <c r="F3030" s="10" t="inlineStr">
        <is>
          <t>Hồ Chí Minh</t>
        </is>
      </c>
      <c r="G3030" s="10" t="inlineStr">
        <is>
          <t>27-03-2026</t>
        </is>
      </c>
      <c r="H3030" s="10" t="inlineStr">
        <is>
          <t>27/03/2026</t>
        </is>
      </c>
      <c r="I3030" s="10" t="inlineStr">
        <is>
          <t>17/03/2026</t>
        </is>
      </c>
      <c r="J3030" s="10" t="inlineStr">
        <is>
          <t>Bán hàng / Kinh doanh, Giáo dục / Đào tạo, Quản lý điều hành</t>
        </is>
      </c>
      <c r="K3030" s="10" t="inlineStr">
        <is>
          <t>5 - 7 Năm</t>
        </is>
      </c>
      <c r="L3030" s="11">
        <f>HYPERLINK("https://careerviet.vn/vi/tim-viec-lam/quan-ly-van-hanh-operation-manager-pathway-school.35C6C36D.html","Xem chi tiết")</f>
        <v/>
      </c>
      <c r="M3030" s="10" t="n"/>
    </row>
    <row r="3031">
      <c r="B3031" s="7" t="n">
        <v>3029</v>
      </c>
      <c r="C3031" t="inlineStr">
        <is>
          <t>Documentation Executive 单证员</t>
        </is>
      </c>
      <c r="D3031" t="inlineStr">
        <is>
          <t>S.F. EXPRESS LTD.</t>
        </is>
      </c>
      <c r="E3031" t="inlineStr">
        <is>
          <t>Lương:13 Tr - 20 Tr VND</t>
        </is>
      </c>
      <c r="F3031" t="inlineStr">
        <is>
          <t>Hồ Chí Minh</t>
        </is>
      </c>
      <c r="G3031" t="inlineStr">
        <is>
          <t>31-05-2026</t>
        </is>
      </c>
      <c r="H3031" t="inlineStr">
        <is>
          <t>31/05/2026</t>
        </is>
      </c>
      <c r="I3031" t="inlineStr">
        <is>
          <t>17/03/2026</t>
        </is>
      </c>
      <c r="J3031" t="inlineStr">
        <is>
          <t>Vận chuyển / Giao nhận / Kho vận, Xuất nhập khẩu, Quản lý điều hành</t>
        </is>
      </c>
      <c r="K3031" t="inlineStr">
        <is>
          <t>2 - 5 Năm</t>
        </is>
      </c>
      <c r="L3031" s="8">
        <f>HYPERLINK("https://careerviet.vn/vi/tim-viec-lam/documentation-executive.35C6C2DE.html","Xem chi tiết")</f>
        <v/>
      </c>
    </row>
    <row r="3032">
      <c r="B3032" s="9" t="n">
        <v>3030</v>
      </c>
      <c r="C3032" s="10" t="inlineStr">
        <is>
          <t>Technical Designer (US Market)</t>
        </is>
      </c>
      <c r="D3032" s="10" t="inlineStr">
        <is>
          <t>CÔNG TY TNHH CÔNG NGHỆ VÀ GIẢI PHÁP PHẦN MỀM CROSSIAN VIỆT NAM</t>
        </is>
      </c>
      <c r="E3032" s="10" t="inlineStr">
        <is>
          <t>Lương:Cạnh tranh</t>
        </is>
      </c>
      <c r="F3032" s="10" t="inlineStr">
        <is>
          <t>Hồ Chí MinhHà Nội</t>
        </is>
      </c>
      <c r="G3032" s="10" t="inlineStr">
        <is>
          <t>11-04-2026</t>
        </is>
      </c>
      <c r="H3032" s="10" t="inlineStr">
        <is>
          <t>11/04/2026</t>
        </is>
      </c>
      <c r="I3032" s="10" t="inlineStr">
        <is>
          <t>17/03/2026</t>
        </is>
      </c>
      <c r="J3032" s="10" t="inlineStr">
        <is>
          <t>Dệt may / Da giày / Thời trang, Sản xuất / Vận hành sản xuất, Mỹ thuật / Nghệ thuật / Thiết kế</t>
        </is>
      </c>
      <c r="K3032" s="10" t="inlineStr">
        <is>
          <t>3 Năm</t>
        </is>
      </c>
      <c r="L3032" s="11">
        <f>HYPERLINK("https://careerviet.vn/vi/tim-viec-lam/technical-designer-us-market.35C6C384.html","Xem chi tiết")</f>
        <v/>
      </c>
      <c r="M3032" s="10" t="n"/>
    </row>
    <row r="3033">
      <c r="B3033" s="7" t="n">
        <v>3031</v>
      </c>
      <c r="C3033" t="inlineStr">
        <is>
          <t>ACCOUNT SUPERVISOR</t>
        </is>
      </c>
      <c r="D3033" t="inlineStr">
        <is>
          <t>CÔNG TY CỔ PHẦN TRUYỀN THÔNG ÁNH SAO XANH</t>
        </is>
      </c>
      <c r="E3033" t="inlineStr">
        <is>
          <t>Lương:Cạnh tranh</t>
        </is>
      </c>
      <c r="F3033" t="inlineStr">
        <is>
          <t>Hồ Chí Minh</t>
        </is>
      </c>
      <c r="G3033" t="inlineStr">
        <is>
          <t>12-04-2026</t>
        </is>
      </c>
      <c r="H3033" t="inlineStr">
        <is>
          <t>12/04/2026</t>
        </is>
      </c>
      <c r="I3033" t="inlineStr">
        <is>
          <t>17/03/2026</t>
        </is>
      </c>
      <c r="J3033" t="inlineStr">
        <is>
          <t>Tổ chức sự kiện, Quảng cáo / Đối ngoại / Truyền Thông, Du lịch</t>
        </is>
      </c>
      <c r="K3033" t="inlineStr">
        <is>
          <t>3 - 5 Năm</t>
        </is>
      </c>
      <c r="L3033" s="8">
        <f>HYPERLINK("https://careerviet.vn/vi/tim-viec-lam/account-supervisor.35C6C342.html","Xem chi tiết")</f>
        <v/>
      </c>
    </row>
    <row r="3034">
      <c r="B3034" s="9" t="n">
        <v>3032</v>
      </c>
      <c r="C3034" s="10" t="inlineStr">
        <is>
          <t>Kế toán tổng hợp có Tiếng Nhật 27779 - KCX Tân Thuận, HCM</t>
        </is>
      </c>
      <c r="D3034" s="10" t="inlineStr">
        <is>
          <t>Công Ty TNHH Reeracoen Việt Nam</t>
        </is>
      </c>
      <c r="E3034" s="10" t="inlineStr">
        <is>
          <t>Lương:20 Tr - 23 Tr VND</t>
        </is>
      </c>
      <c r="F3034" s="10" t="inlineStr">
        <is>
          <t>Hồ Chí Minh</t>
        </is>
      </c>
      <c r="G3034" s="10" t="inlineStr">
        <is>
          <t>12-04-2026</t>
        </is>
      </c>
      <c r="H3034" s="10" t="inlineStr">
        <is>
          <t>12/04/2026</t>
        </is>
      </c>
      <c r="I3034" s="10" t="inlineStr">
        <is>
          <t>17/03/2026</t>
        </is>
      </c>
      <c r="J3034" s="10" t="inlineStr">
        <is>
          <t>Kế toán / Kiểm toán, Tài chính / Đầu tư, Ngân hàng</t>
        </is>
      </c>
      <c r="K3034" s="10" t="inlineStr">
        <is>
          <t>3 - 5 Năm</t>
        </is>
      </c>
      <c r="L3034" s="11">
        <f>HYPERLINK("https://careerviet.vn/vi/tim-viec-lam/ke-toan-tong-hop-co-tieng-nhat-27779-kcx-tan-thuan-hcm.35C6C348.html","Xem chi tiết")</f>
        <v/>
      </c>
      <c r="M3034" s="10" t="n"/>
    </row>
    <row r="3035">
      <c r="B3035" s="7" t="n">
        <v>3033</v>
      </c>
      <c r="C3035" t="inlineStr">
        <is>
          <t>Video editor</t>
        </is>
      </c>
      <c r="D3035" t="inlineStr">
        <is>
          <t>CÔNG TY CỔ PHẦN ULTD THỊNH PHÁT</t>
        </is>
      </c>
      <c r="E3035" t="inlineStr">
        <is>
          <t>Lương:12 Tr - 17 Tr VND</t>
        </is>
      </c>
      <c r="F3035" t="inlineStr">
        <is>
          <t>Hà Nội</t>
        </is>
      </c>
      <c r="G3035" t="inlineStr">
        <is>
          <t>12-04-2026</t>
        </is>
      </c>
      <c r="H3035" t="inlineStr">
        <is>
          <t>12/04/2026</t>
        </is>
      </c>
      <c r="I3035" t="inlineStr">
        <is>
          <t>17/03/2026</t>
        </is>
      </c>
      <c r="J3035" t="inlineStr">
        <is>
          <t>Mỹ thuật / Nghệ thuật / Thiết kế, Truyền hình / Báo chí / Biên tập, Quảng cáo / Đối ngoại / Truyền Thông</t>
        </is>
      </c>
      <c r="K3035" t="inlineStr">
        <is>
          <t>2 - 3 Năm</t>
        </is>
      </c>
      <c r="L3035" s="8">
        <f>HYPERLINK("https://careerviet.vn/vi/tim-viec-lam/video-editor.35C6C367.html","Xem chi tiết")</f>
        <v/>
      </c>
    </row>
    <row r="3036">
      <c r="B3036" s="9" t="n">
        <v>3034</v>
      </c>
      <c r="C3036" s="10" t="inlineStr">
        <is>
          <t>Giám đốc Thương hiệu</t>
        </is>
      </c>
      <c r="D3036" s="10" t="inlineStr">
        <is>
          <t>CÔNG TY CỔ PHẦN DƯỢC MỸ PHẨM CAFUNÉ</t>
        </is>
      </c>
      <c r="E3036" s="10" t="inlineStr">
        <is>
          <t>Lương:Cạnh tranh</t>
        </is>
      </c>
      <c r="F3036" s="10" t="inlineStr">
        <is>
          <t>Hồ Chí Minh</t>
        </is>
      </c>
      <c r="G3036" s="10" t="inlineStr">
        <is>
          <t>10-04-2026</t>
        </is>
      </c>
      <c r="H3036" s="10" t="inlineStr">
        <is>
          <t>10/04/2026</t>
        </is>
      </c>
      <c r="I3036" s="10" t="inlineStr">
        <is>
          <t>17/03/2026</t>
        </is>
      </c>
      <c r="J3036" s="10" t="inlineStr">
        <is>
          <t>Tiếp thị / Marketing, Quảng cáo / Đối ngoại / Truyền Thông, Quản lý điều hành</t>
        </is>
      </c>
      <c r="K3036" s="10" t="inlineStr">
        <is>
          <t>3 - 5 Năm</t>
        </is>
      </c>
      <c r="L3036" s="11">
        <f>HYPERLINK("https://careerviet.vn/vi/tim-viec-lam/giam-doc-thuong-hieu.35C6BC7A.html","Xem chi tiết")</f>
        <v/>
      </c>
      <c r="M3036" s="10" t="n"/>
    </row>
    <row r="3037">
      <c r="B3037" s="7" t="n">
        <v>3035</v>
      </c>
      <c r="C3037" t="inlineStr">
        <is>
          <t>Kỹ Sư Kinh Doanh (lương 15-25 tr)</t>
        </is>
      </c>
      <c r="D3037" t="inlineStr">
        <is>
          <t>CÔNG TY TNHH ĐẦU TƯ VÀ PHÁT TRIỂN THIẾT BỊ ĐẠI DƯƠNG</t>
        </is>
      </c>
      <c r="E3037" t="inlineStr">
        <is>
          <t>Lương:30 Tr - 50 Tr VND</t>
        </is>
      </c>
      <c r="F3037" t="inlineStr">
        <is>
          <t>Hồ Chí Minh</t>
        </is>
      </c>
      <c r="G3037" t="inlineStr">
        <is>
          <t>11-04-2026</t>
        </is>
      </c>
      <c r="H3037" t="inlineStr">
        <is>
          <t>11/04/2026</t>
        </is>
      </c>
      <c r="I3037" t="inlineStr">
        <is>
          <t>17/03/2026</t>
        </is>
      </c>
      <c r="J3037" t="inlineStr">
        <is>
          <t>Bán hàng / Kinh doanh, Tư vấn, Bán Hàng Kỹ Thuật</t>
        </is>
      </c>
      <c r="K3037" t="inlineStr">
        <is>
          <t>Trên 1 Năm</t>
        </is>
      </c>
      <c r="L3037" s="8">
        <f>HYPERLINK("https://careerviet.vn/vi/tim-viec-lam/ky-su-kinh-doanh-luong-15-25-tr.35C6C26A.html","Xem chi tiết")</f>
        <v/>
      </c>
    </row>
    <row r="3038">
      <c r="B3038" s="9" t="n">
        <v>3036</v>
      </c>
      <c r="C3038" s="10" t="inlineStr">
        <is>
          <t>[Factory 2] QC Officer</t>
        </is>
      </c>
      <c r="D3038" s="10" t="inlineStr">
        <is>
          <t>CÔNG TY TNHH ROHTO-MENTHOLATUM (VIỆT NAM)</t>
        </is>
      </c>
      <c r="E3038" s="10" t="inlineStr">
        <is>
          <t>Lương:Cạnh tranh</t>
        </is>
      </c>
      <c r="F3038" s="10" t="inlineStr">
        <is>
          <t>Bình Dương</t>
        </is>
      </c>
      <c r="G3038" s="10" t="inlineStr">
        <is>
          <t>11-04-2026</t>
        </is>
      </c>
      <c r="H3038" s="10" t="inlineStr">
        <is>
          <t>11/04/2026</t>
        </is>
      </c>
      <c r="I3038" s="10" t="inlineStr">
        <is>
          <t>17/03/2026</t>
        </is>
      </c>
      <c r="J3038" s="10" t="inlineStr">
        <is>
          <t>Dược phẩm/ Hóa Mỹ Phẩm, Hàng gia dụng / Chăm sóc cá nhân, Quản lý chất lượng (QA/QC)</t>
        </is>
      </c>
      <c r="K3038" s="10" t="inlineStr">
        <is>
          <t>Không yêu cầu kinh nghiệm</t>
        </is>
      </c>
      <c r="L3038" s="11">
        <f>HYPERLINK("https://careerviet.vn/vi/tim-viec-lam/factory-2-qc-officer.35C6C347.html","Xem chi tiết")</f>
        <v/>
      </c>
      <c r="M3038" s="10" t="n"/>
    </row>
    <row r="3039">
      <c r="B3039" s="7" t="n">
        <v>3037</v>
      </c>
      <c r="C3039" t="inlineStr">
        <is>
          <t>Senior Architect (Revit) - Kiến trúc sư Trưởng nhóm Revit</t>
        </is>
      </c>
      <c r="D3039" t="inlineStr">
        <is>
          <t>Moma Architects Vietnam</t>
        </is>
      </c>
      <c r="E3039" t="inlineStr">
        <is>
          <t>Lương:Cạnh tranh</t>
        </is>
      </c>
      <c r="F3039" t="inlineStr">
        <is>
          <t>Hồ Chí Minh</t>
        </is>
      </c>
      <c r="G3039" t="inlineStr">
        <is>
          <t>30-04-2026</t>
        </is>
      </c>
      <c r="H3039" t="inlineStr">
        <is>
          <t>30/04/2026</t>
        </is>
      </c>
      <c r="I3039" t="inlineStr">
        <is>
          <t>17/03/2026</t>
        </is>
      </c>
      <c r="J3039" t="inlineStr">
        <is>
          <t>Kiến trúc</t>
        </is>
      </c>
      <c r="K3039" t="inlineStr">
        <is>
          <t>10 - 15 Năm</t>
        </is>
      </c>
      <c r="L3039" s="8">
        <f>HYPERLINK("https://careerviet.vn/vi/tim-viec-lam/senior-architect-revit-kien-truc-su-truong-nhom-revit.35C6C2B2.html","Xem chi tiết")</f>
        <v/>
      </c>
    </row>
    <row r="3040">
      <c r="B3040" s="9" t="n">
        <v>3038</v>
      </c>
      <c r="C3040" s="10" t="inlineStr">
        <is>
          <t>(Thủ Đức) Chuyên Viên Tuyển Dụng và Đào Tạo</t>
        </is>
      </c>
      <c r="D3040" s="10" t="inlineStr">
        <is>
          <t>Công Ty TNHH Tập Đoàn Rita Võ</t>
        </is>
      </c>
      <c r="E3040" s="10" t="inlineStr">
        <is>
          <t>Lương:Cạnh tranh</t>
        </is>
      </c>
      <c r="F3040" s="10" t="inlineStr">
        <is>
          <t>Hồ Chí Minh</t>
        </is>
      </c>
      <c r="G3040" s="10" t="inlineStr">
        <is>
          <t>11-04-2026</t>
        </is>
      </c>
      <c r="H3040" s="10" t="inlineStr">
        <is>
          <t>11/04/2026</t>
        </is>
      </c>
      <c r="I3040" s="10" t="inlineStr">
        <is>
          <t>17/03/2026</t>
        </is>
      </c>
      <c r="J3040" s="10" t="inlineStr">
        <is>
          <t>Nhân sự</t>
        </is>
      </c>
      <c r="K3040" s="10" t="inlineStr">
        <is>
          <t>Trên 3 Năm</t>
        </is>
      </c>
      <c r="L3040" s="11">
        <f>HYPERLINK("https://careerviet.vn/vi/tim-viec-lam/thu-duc-chuyen-vien-tuyen-dung-va-dao-tao.35C6C346.html","Xem chi tiết")</f>
        <v/>
      </c>
      <c r="M3040" s="10" t="n"/>
    </row>
    <row r="3041">
      <c r="B3041" s="7" t="n">
        <v>3039</v>
      </c>
      <c r="C3041" t="inlineStr">
        <is>
          <t>Chuyên Gia Phát Triển Mạng Lưới</t>
        </is>
      </c>
      <c r="D3041" t="inlineStr">
        <is>
          <t>NGÂN HÀNG TMCP KỸ THƯƠNG VIỆT NAM (TECHCOMBANK)</t>
        </is>
      </c>
      <c r="E3041" t="inlineStr">
        <is>
          <t>Lương:Cạnh tranh</t>
        </is>
      </c>
      <c r="F3041" t="inlineStr">
        <is>
          <t>Hà Nội</t>
        </is>
      </c>
      <c r="G3041" t="inlineStr">
        <is>
          <t>12-04-2026</t>
        </is>
      </c>
      <c r="H3041" t="inlineStr">
        <is>
          <t>12/04/2026</t>
        </is>
      </c>
      <c r="I3041" t="inlineStr">
        <is>
          <t>17/03/2026</t>
        </is>
      </c>
      <c r="J3041" t="inlineStr">
        <is>
          <t>Ngân hàng, CNTT - Phần cứng / Mạng, Tài chính / Đầu tư</t>
        </is>
      </c>
      <c r="K3041" t="inlineStr">
        <is>
          <t>Trên 10 Năm</t>
        </is>
      </c>
      <c r="L3041" s="8">
        <f>HYPERLINK("https://careerviet.vn/vi/tim-viec-lam/chuyen-gia-phat-trien-mang-luoi.35C6C338.html","Xem chi tiết")</f>
        <v/>
      </c>
    </row>
    <row r="3042">
      <c r="B3042" s="9" t="n">
        <v>3040</v>
      </c>
      <c r="C3042" s="10" t="inlineStr">
        <is>
          <t>[Hội sở Hà Nội] CVCC/CVC/CC phân tích dữ liệu - Khối Ngân hàng Cá nhân</t>
        </is>
      </c>
      <c r="D3042" s="10" t="inlineStr">
        <is>
          <t>Ngân Hàng TMCP Tiên Phong (TPBank)</t>
        </is>
      </c>
      <c r="E3042" s="10" t="inlineStr">
        <is>
          <t>Lương:20 Tr - 36 Tr VND</t>
        </is>
      </c>
      <c r="F3042" s="10" t="inlineStr">
        <is>
          <t>Hà Nội</t>
        </is>
      </c>
      <c r="G3042" s="10" t="inlineStr">
        <is>
          <t>30-04-2026</t>
        </is>
      </c>
      <c r="H3042" s="10" t="inlineStr">
        <is>
          <t>30/04/2026</t>
        </is>
      </c>
      <c r="I3042" s="10" t="inlineStr">
        <is>
          <t>17/03/2026</t>
        </is>
      </c>
      <c r="J3042" s="10" t="inlineStr">
        <is>
          <t>Ngân hàng, Bưu chính viễn thông, CNTT - Phần mềm</t>
        </is>
      </c>
      <c r="K3042" s="10" t="inlineStr">
        <is>
          <t>2 - 10 Năm</t>
        </is>
      </c>
      <c r="L3042" s="11">
        <f>HYPERLINK("https://careerviet.vn/vi/tim-viec-lam/hoi-so-ha-noi-cvcc-cvc-cc-phan-tich-du-lieu-khoi-ngan-hang-ca-nhan.35C6C36F.html","Xem chi tiết")</f>
        <v/>
      </c>
      <c r="M3042" s="10" t="n"/>
    </row>
    <row r="3043">
      <c r="B3043" s="7" t="n">
        <v>3041</v>
      </c>
      <c r="C3043" t="inlineStr">
        <is>
          <t>Chuyên viên Hậu Mãi</t>
        </is>
      </c>
      <c r="D3043" t="inlineStr">
        <is>
          <t>Công Ty Cổ Phần Tập Đoàn Đầu Tư Địa Ốc No Va</t>
        </is>
      </c>
      <c r="E3043" t="inlineStr">
        <is>
          <t>Lương:Cạnh tranh</t>
        </is>
      </c>
      <c r="F3043" t="inlineStr">
        <is>
          <t>Hồ Chí Minh</t>
        </is>
      </c>
      <c r="G3043" t="inlineStr">
        <is>
          <t>30-04-2026</t>
        </is>
      </c>
      <c r="H3043" t="inlineStr">
        <is>
          <t>30/04/2026</t>
        </is>
      </c>
      <c r="I3043" t="inlineStr">
        <is>
          <t>17/03/2026</t>
        </is>
      </c>
      <c r="J3043" t="inlineStr">
        <is>
          <t>Bất động sản</t>
        </is>
      </c>
      <c r="K3043" t="inlineStr">
        <is>
          <t>2 - 5 Năm</t>
        </is>
      </c>
      <c r="L3043" s="8">
        <f>HYPERLINK("https://careerviet.vn/vi/tim-viec-lam/chuyen-vien-hau-mai.35C6C356.html","Xem chi tiết")</f>
        <v/>
      </c>
    </row>
    <row r="3044">
      <c r="B3044" s="9" t="n">
        <v>3042</v>
      </c>
      <c r="C3044" s="10" t="inlineStr">
        <is>
          <t>Ecommerce Operator - Crocs (HO - 000209_SHO-CRO-121-148-039-2)</t>
        </is>
      </c>
      <c r="D3044" s="10" t="inlineStr">
        <is>
          <t>Central Brand &amp; Specialty Việt Nam</t>
        </is>
      </c>
      <c r="E3044" s="10" t="inlineStr">
        <is>
          <t>Lương:Cạnh tranh</t>
        </is>
      </c>
      <c r="F3044" s="10" t="inlineStr">
        <is>
          <t>Hồ Chí Minh</t>
        </is>
      </c>
      <c r="G3044" s="10" t="inlineStr">
        <is>
          <t>31-03-2026</t>
        </is>
      </c>
      <c r="H3044" s="10" t="inlineStr">
        <is>
          <t>31/03/2026</t>
        </is>
      </c>
      <c r="I3044" s="10" t="inlineStr">
        <is>
          <t>17/03/2026</t>
        </is>
      </c>
      <c r="J3044" s="10" t="inlineStr">
        <is>
          <t>Thương mại điện tử, Bán lẻ / Bán sỉ, Dệt may / Da giày / Thời trang</t>
        </is>
      </c>
      <c r="K3044" s="10" t="inlineStr">
        <is>
          <t>2 - 4 Năm</t>
        </is>
      </c>
      <c r="L3044" s="11">
        <f>HYPERLINK("https://careerviet.vn/vi/tim-viec-lam/ecommerce-operator-crocs-ho-000209_sho-cro-121-148-039-2.35C6C350.html","Xem chi tiết")</f>
        <v/>
      </c>
      <c r="M3044" s="10" t="n"/>
    </row>
    <row r="3045">
      <c r="B3045" s="7" t="n">
        <v>3043</v>
      </c>
      <c r="C3045" t="inlineStr">
        <is>
          <t>Chủ trì Kiến trúc</t>
        </is>
      </c>
      <c r="D3045" t="inlineStr">
        <is>
          <t>VINHOMES - Tập đoàn Vingroup</t>
        </is>
      </c>
      <c r="E3045" t="inlineStr">
        <is>
          <t>Lương:Cạnh tranh</t>
        </is>
      </c>
      <c r="F3045" t="inlineStr">
        <is>
          <t>Hà Nội</t>
        </is>
      </c>
      <c r="G3045" t="inlineStr">
        <is>
          <t>30-04-2026</t>
        </is>
      </c>
      <c r="H3045" t="inlineStr">
        <is>
          <t>30/04/2026</t>
        </is>
      </c>
      <c r="I3045" t="inlineStr">
        <is>
          <t>17/03/2026</t>
        </is>
      </c>
      <c r="J3045" t="inlineStr">
        <is>
          <t>Kiến trúc</t>
        </is>
      </c>
      <c r="K3045" t="inlineStr">
        <is>
          <t>Chưa có kinh nghiệm</t>
        </is>
      </c>
      <c r="L3045" s="8">
        <f>HYPERLINK("https://careerviet.vn/vi/tim-viec-lam/chu-tri-kien-truc.35C6C354.html","Xem chi tiết")</f>
        <v/>
      </c>
    </row>
    <row r="3046">
      <c r="B3046" s="9" t="n">
        <v>3044</v>
      </c>
      <c r="C3046" s="10" t="inlineStr">
        <is>
          <t>2D EVENT DESIGNER/ Nhân viên thiết kế sự kiện 2D</t>
        </is>
      </c>
      <c r="D3046" s="10" t="inlineStr">
        <is>
          <t>CÔNG TY CỔ PHẦN TRUYỀN THÔNG ÁNH SAO XANH</t>
        </is>
      </c>
      <c r="E3046" s="10" t="inlineStr">
        <is>
          <t>Lương:Cạnh tranh</t>
        </is>
      </c>
      <c r="F3046" s="10" t="inlineStr">
        <is>
          <t>Hồ Chí Minh</t>
        </is>
      </c>
      <c r="G3046" s="10" t="inlineStr">
        <is>
          <t>12-04-2026</t>
        </is>
      </c>
      <c r="H3046" s="10" t="inlineStr">
        <is>
          <t>12/04/2026</t>
        </is>
      </c>
      <c r="I3046" s="10" t="inlineStr">
        <is>
          <t>17/03/2026</t>
        </is>
      </c>
      <c r="J3046" s="10" t="inlineStr">
        <is>
          <t>Tổ chức sự kiện, Quảng cáo / Đối ngoại / Truyền Thông, Du lịch</t>
        </is>
      </c>
      <c r="K3046" s="10" t="inlineStr">
        <is>
          <t>3 - 5 Năm</t>
        </is>
      </c>
      <c r="L3046" s="11">
        <f>HYPERLINK("https://careerviet.vn/vi/tim-viec-lam/2d-event-designer-nhan-vien-thiet-ke-su-kien-2d.35C6C32B.html","Xem chi tiết")</f>
        <v/>
      </c>
      <c r="M3046" s="10" t="n"/>
    </row>
    <row r="3047">
      <c r="B3047" s="7" t="n">
        <v>3045</v>
      </c>
      <c r="C3047" t="inlineStr">
        <is>
          <t>[HCMC] Junior Brand Manager (Brand Marketing)</t>
        </is>
      </c>
      <c r="D3047" t="inlineStr">
        <is>
          <t>CÔNG TY TNHH ROHTO-MENTHOLATUM (VIỆT NAM)</t>
        </is>
      </c>
      <c r="E3047" t="inlineStr">
        <is>
          <t>Lương:Cạnh tranh</t>
        </is>
      </c>
      <c r="F3047" t="inlineStr">
        <is>
          <t>Hồ Chí Minh</t>
        </is>
      </c>
      <c r="G3047" t="inlineStr">
        <is>
          <t>11-04-2026</t>
        </is>
      </c>
      <c r="H3047" t="inlineStr">
        <is>
          <t>11/04/2026</t>
        </is>
      </c>
      <c r="I3047" t="inlineStr">
        <is>
          <t>17/03/2026</t>
        </is>
      </c>
      <c r="J3047" t="inlineStr">
        <is>
          <t>Tiếp thị / Marketing, Dược phẩm/ Hóa Mỹ Phẩm</t>
        </is>
      </c>
      <c r="K3047" t="inlineStr">
        <is>
          <t>4 - 5 Năm</t>
        </is>
      </c>
      <c r="L3047" s="8">
        <f>HYPERLINK("https://careerviet.vn/vi/tim-viec-lam/hcmc-junior-brand-manager-brand-marketing.35C6C341.html","Xem chi tiết")</f>
        <v/>
      </c>
    </row>
    <row r="3048">
      <c r="B3048" s="9" t="n">
        <v>3046</v>
      </c>
      <c r="C3048" s="10" t="inlineStr">
        <is>
          <t>Team Leader Sales Engineer</t>
        </is>
      </c>
      <c r="D3048" s="10" t="inlineStr">
        <is>
          <t>CÔNG TY TNHH SX HIỆP PHƯỚC THÀNH</t>
        </is>
      </c>
      <c r="E3048" s="10" t="inlineStr">
        <is>
          <t>Lương:20 Tr - 32 Tr VND</t>
        </is>
      </c>
      <c r="F3048" s="10" t="inlineStr">
        <is>
          <t>Hồ Chí Minh</t>
        </is>
      </c>
      <c r="G3048" s="10" t="inlineStr">
        <is>
          <t>09-04-2026</t>
        </is>
      </c>
      <c r="H3048" s="10" t="inlineStr">
        <is>
          <t>09/04/2026</t>
        </is>
      </c>
      <c r="I3048" s="10" t="inlineStr">
        <is>
          <t>17/03/2026</t>
        </is>
      </c>
      <c r="J3048" s="10" t="inlineStr">
        <is>
          <t>Bán Hàng Kỹ Thuật, Cơ khí / Ô tô / Tự động hóa, Điện / Điện tử / Điện lạnh / Điện công nghiệp</t>
        </is>
      </c>
      <c r="K3048" s="10" t="inlineStr">
        <is>
          <t>3 - 5 Năm</t>
        </is>
      </c>
      <c r="L3048" s="11">
        <f>HYPERLINK("https://careerviet.vn/vi/tim-viec-lam/team-leader-sales-engineer.35C6517A.html","Xem chi tiết")</f>
        <v/>
      </c>
      <c r="M3048" s="10" t="n"/>
    </row>
    <row r="3049">
      <c r="B3049" s="7" t="n">
        <v>3047</v>
      </c>
      <c r="C3049" t="inlineStr">
        <is>
          <t>Phòng Phê duyệt thẻ - Chuyên gia Số hóa quy trình Phê duyệt thẻ</t>
        </is>
      </c>
      <c r="D3049" t="inlineStr">
        <is>
          <t>Ngân Hàng TMCP Phương Đông - OCB</t>
        </is>
      </c>
      <c r="E3049" t="inlineStr">
        <is>
          <t>Lương:Cạnh tranh</t>
        </is>
      </c>
      <c r="F3049" t="inlineStr">
        <is>
          <t>Hồ Chí Minh</t>
        </is>
      </c>
      <c r="G3049" t="inlineStr">
        <is>
          <t>09-04-2026</t>
        </is>
      </c>
      <c r="H3049" t="inlineStr">
        <is>
          <t>09/04/2026</t>
        </is>
      </c>
      <c r="I3049" t="inlineStr">
        <is>
          <t>17/03/2026</t>
        </is>
      </c>
      <c r="J3049" t="inlineStr">
        <is>
          <t>Ngân hàng</t>
        </is>
      </c>
      <c r="K3049" t="inlineStr">
        <is>
          <t>3 - 5 Năm</t>
        </is>
      </c>
      <c r="L3049" s="8">
        <f>HYPERLINK("https://careerviet.vn/vi/tim-viec-lam/phong-phe-duyet-the-chuyen-gia-so-hoa-quy-trinh-phe-duyet-the.35C65092.html","Xem chi tiết")</f>
        <v/>
      </c>
    </row>
    <row r="3050">
      <c r="B3050" s="9" t="n">
        <v>3048</v>
      </c>
      <c r="C3050" s="10" t="inlineStr">
        <is>
          <t>Thiết Kế Trang Sức 2D Designer</t>
        </is>
      </c>
      <c r="D3050" s="10" t="inlineStr">
        <is>
          <t>CÔNG TY TNHH TÂM LUXURY</t>
        </is>
      </c>
      <c r="E3050" s="10" t="inlineStr">
        <is>
          <t>Lương:12 Tr - 18 Tr VND</t>
        </is>
      </c>
      <c r="F3050" s="10" t="inlineStr">
        <is>
          <t>Hồ Chí Minh</t>
        </is>
      </c>
      <c r="G3050" s="10" t="inlineStr">
        <is>
          <t>12-04-2026</t>
        </is>
      </c>
      <c r="H3050" s="10" t="inlineStr">
        <is>
          <t>12/04/2026</t>
        </is>
      </c>
      <c r="I3050" s="10" t="inlineStr">
        <is>
          <t>17/03/2026</t>
        </is>
      </c>
      <c r="J3050" s="10" t="inlineStr">
        <is>
          <t>Mỹ thuật / Nghệ thuật / Thiết kế, Dệt may / Da giày / Thời trang, Ngành khác</t>
        </is>
      </c>
      <c r="K3050" s="10" t="inlineStr">
        <is>
          <t>Trên 1 Năm</t>
        </is>
      </c>
      <c r="L3050" s="11">
        <f>HYPERLINK("https://careerviet.vn/vi/tim-viec-lam/thiet-ke-trang-suc-2d-designer.35C6C340.html","Xem chi tiết")</f>
        <v/>
      </c>
      <c r="M3050" s="10" t="n"/>
    </row>
    <row r="3051">
      <c r="B3051" s="7" t="n">
        <v>3049</v>
      </c>
      <c r="C3051" t="inlineStr">
        <is>
          <t>Expert, Digital Marketing</t>
        </is>
      </c>
      <c r="D3051" t="inlineStr">
        <is>
          <t>NGÂN HÀNG TMCP KỸ THƯƠNG VIỆT NAM (TECHCOMBANK)</t>
        </is>
      </c>
      <c r="E3051" t="inlineStr">
        <is>
          <t>Lương:Cạnh tranh</t>
        </is>
      </c>
      <c r="F3051" t="inlineStr">
        <is>
          <t>Hà Nội</t>
        </is>
      </c>
      <c r="G3051" t="inlineStr">
        <is>
          <t>12-04-2026</t>
        </is>
      </c>
      <c r="H3051" t="inlineStr">
        <is>
          <t>12/04/2026</t>
        </is>
      </c>
      <c r="I3051" t="inlineStr">
        <is>
          <t>17/03/2026</t>
        </is>
      </c>
      <c r="J3051" t="inlineStr">
        <is>
          <t>Tiếp thị / Marketing, Quảng cáo / Đối ngoại / Truyền Thông, Tiếp thị trực tuyến</t>
        </is>
      </c>
      <c r="K3051" t="inlineStr">
        <is>
          <t>Trên 10 Năm</t>
        </is>
      </c>
      <c r="L3051" s="8">
        <f>HYPERLINK("https://careerviet.vn/vi/tim-viec-lam/expert-digital-marketing.35C6C344.html","Xem chi tiết")</f>
        <v/>
      </c>
    </row>
    <row r="3052">
      <c r="B3052" s="9" t="n">
        <v>3050</v>
      </c>
      <c r="C3052" s="10" t="inlineStr">
        <is>
          <t>Kỹ thuật phát triển mẫu Ngành may</t>
        </is>
      </c>
      <c r="D3052" s="10" t="inlineStr">
        <is>
          <t>Công ty TNHH Baller Headwear Việt Nam</t>
        </is>
      </c>
      <c r="E3052" s="10" t="inlineStr">
        <is>
          <t>Lương:15 Tr - 35 Tr VND</t>
        </is>
      </c>
      <c r="F3052" s="10" t="inlineStr">
        <is>
          <t>Đà Nẵng</t>
        </is>
      </c>
      <c r="G3052" s="10" t="inlineStr">
        <is>
          <t>01-05-2026</t>
        </is>
      </c>
      <c r="H3052" s="10" t="inlineStr">
        <is>
          <t>01/05/2026</t>
        </is>
      </c>
      <c r="I3052" s="10" t="inlineStr">
        <is>
          <t>17/03/2026</t>
        </is>
      </c>
      <c r="J3052" s="10" t="inlineStr">
        <is>
          <t>Dệt may / Da giày / Thời trang</t>
        </is>
      </c>
      <c r="K3052" s="10" t="inlineStr">
        <is>
          <t>Chưa có kinh nghiệm</t>
        </is>
      </c>
      <c r="L3052" s="11">
        <f>HYPERLINK("https://careerviet.vn/vi/tim-viec-lam/ky-thuat-phat-trien-mau-nganh-may.35C6C336.html","Xem chi tiết")</f>
        <v/>
      </c>
      <c r="M3052" s="10" t="n"/>
    </row>
    <row r="3053">
      <c r="B3053" s="7" t="n">
        <v>3051</v>
      </c>
      <c r="C3053" t="inlineStr">
        <is>
          <t>Production Supervisor - Giám sát sản xuất Nội thất</t>
        </is>
      </c>
      <c r="D3053" t="inlineStr">
        <is>
          <t>Công Ty TNHH Maker Sixty Four</t>
        </is>
      </c>
      <c r="E3053" t="inlineStr">
        <is>
          <t>Lương:Cạnh tranh</t>
        </is>
      </c>
      <c r="F3053" t="inlineStr">
        <is>
          <t>Long An</t>
        </is>
      </c>
      <c r="G3053" t="inlineStr">
        <is>
          <t>09-04-2026</t>
        </is>
      </c>
      <c r="H3053" t="inlineStr">
        <is>
          <t>09/04/2026</t>
        </is>
      </c>
      <c r="I3053" t="inlineStr">
        <is>
          <t>17/03/2026</t>
        </is>
      </c>
      <c r="J3053" t="inlineStr">
        <is>
          <t>Sản xuất / Vận hành sản xuất, Đồ gỗ, Nội ngoại thất</t>
        </is>
      </c>
      <c r="K3053" t="inlineStr">
        <is>
          <t>5 - 8 Năm</t>
        </is>
      </c>
      <c r="L3053" s="8">
        <f>HYPERLINK("https://careerviet.vn/vi/tim-viec-lam/production-supervisor-giam-sat-san-xuat-noi-that.35C650A6.html","Xem chi tiết")</f>
        <v/>
      </c>
    </row>
    <row r="3054">
      <c r="B3054" s="9" t="n">
        <v>3052</v>
      </c>
      <c r="C3054" s="10" t="inlineStr">
        <is>
          <t>Kỹ Thuật Viên Vận Hành Máy Sản Xuất Ốc Vít/ Screw/Bolt Operator ( KCN Bàu Bàng )</t>
        </is>
      </c>
      <c r="D3054" s="10" t="inlineStr">
        <is>
          <t>RAWLPLUG VIETNAM COMPANY LIMITED</t>
        </is>
      </c>
      <c r="E3054" s="10" t="inlineStr">
        <is>
          <t>Lương:9 Tr - 15 Tr VND</t>
        </is>
      </c>
      <c r="F3054" s="10" t="inlineStr">
        <is>
          <t>Bình Dương</t>
        </is>
      </c>
      <c r="G3054" s="10" t="inlineStr">
        <is>
          <t>09-04-2026</t>
        </is>
      </c>
      <c r="H3054" s="10" t="inlineStr">
        <is>
          <t>09/04/2026</t>
        </is>
      </c>
      <c r="I3054" s="10" t="inlineStr">
        <is>
          <t>17/03/2026</t>
        </is>
      </c>
      <c r="J3054" s="10" t="inlineStr">
        <is>
          <t>Cơ khí / Ô tô / Tự động hóa, Sản xuất / Vận hành sản xuất</t>
        </is>
      </c>
      <c r="K3054" s="10" t="inlineStr">
        <is>
          <t>3 - 4 Năm</t>
        </is>
      </c>
      <c r="L3054" s="11">
        <f>HYPERLINK("https://careerviet.vn/vi/tim-viec-lam/ky-thuat-vien-van-hanh-may-san-xuat-oc-vit-screw-bolt-operator-kcn-bau-bang.35C651EC.html","Xem chi tiết")</f>
        <v/>
      </c>
      <c r="M3054" s="10" t="n"/>
    </row>
    <row r="3055">
      <c r="B3055" s="7" t="n">
        <v>3053</v>
      </c>
      <c r="C3055" t="inlineStr">
        <is>
          <t>Kỹ sư giám sát dự án Điện mặt trời</t>
        </is>
      </c>
      <c r="D3055" t="inlineStr">
        <is>
          <t>CÔNG TY CỔ PHẦN TẬP ĐOÀN DAT</t>
        </is>
      </c>
      <c r="E3055" t="inlineStr">
        <is>
          <t>Lương:20 Tr - 30 Tr VND</t>
        </is>
      </c>
      <c r="F3055" t="inlineStr">
        <is>
          <t>Hồ Chí Minh</t>
        </is>
      </c>
      <c r="G3055" t="inlineStr">
        <is>
          <t>09-04-2026</t>
        </is>
      </c>
      <c r="H3055" t="inlineStr">
        <is>
          <t>09/04/2026</t>
        </is>
      </c>
      <c r="I3055" t="inlineStr">
        <is>
          <t>17/03/2026</t>
        </is>
      </c>
      <c r="J3055" t="inlineStr">
        <is>
          <t>Cơ khí / Ô tô / Tự động hóa, Điện / Điện tử / Điện lạnh / Điện công nghiệp</t>
        </is>
      </c>
      <c r="K3055" t="inlineStr">
        <is>
          <t>1 - 2 Năm</t>
        </is>
      </c>
      <c r="L3055" s="8">
        <f>HYPERLINK("https://careerviet.vn/vi/tim-viec-lam/ky-su-giam-sat-du-an-dien-mat-troi.35C650F4.html","Xem chi tiết")</f>
        <v/>
      </c>
    </row>
    <row r="3056">
      <c r="B3056" s="9" t="n">
        <v>3054</v>
      </c>
      <c r="C3056" s="10" t="inlineStr">
        <is>
          <t>Kỹ Sư QS Nội Thất</t>
        </is>
      </c>
      <c r="D3056" s="10" t="inlineStr">
        <is>
          <t>Công ty TNHH Nesta</t>
        </is>
      </c>
      <c r="E3056" s="10" t="inlineStr">
        <is>
          <t>Lương:15 Tr - 25 Tr VND</t>
        </is>
      </c>
      <c r="F3056" s="10" t="inlineStr">
        <is>
          <t>Hồ Chí MinhĐà NẵngHưng Yên</t>
        </is>
      </c>
      <c r="G3056" s="10" t="inlineStr">
        <is>
          <t>09-04-2026</t>
        </is>
      </c>
      <c r="H3056" s="10" t="inlineStr">
        <is>
          <t>09/04/2026</t>
        </is>
      </c>
      <c r="I3056" s="10" t="inlineStr">
        <is>
          <t>17/03/2026</t>
        </is>
      </c>
      <c r="J3056" s="10" t="inlineStr">
        <is>
          <t>Quản lý chất lượng (QA/QC), Xây dựng, Nội ngoại thất</t>
        </is>
      </c>
      <c r="K3056" s="10" t="inlineStr">
        <is>
          <t>3 - 5 Năm</t>
        </is>
      </c>
      <c r="L3056" s="11">
        <f>HYPERLINK("https://careerviet.vn/vi/tim-viec-lam/ky-su-qs-noi-that.35C5B460.html","Xem chi tiết")</f>
        <v/>
      </c>
      <c r="M3056" s="10" t="n"/>
    </row>
    <row r="3057">
      <c r="B3057" s="7" t="n">
        <v>3055</v>
      </c>
      <c r="C3057" t="inlineStr">
        <is>
          <t>Kỹ Thuật Viên Chẩn Đoán Hình Ảnh Y Học Hạt Nhân - Vinmec Central Park</t>
        </is>
      </c>
      <c r="D3057" t="inlineStr">
        <is>
          <t>Công ty CP Bệnh Viện Đa Khoa Quốc Tế Vinmec</t>
        </is>
      </c>
      <c r="E3057" t="inlineStr">
        <is>
          <t>Lương:Cạnh tranh</t>
        </is>
      </c>
      <c r="F3057" t="inlineStr">
        <is>
          <t>Hồ Chí Minh</t>
        </is>
      </c>
      <c r="G3057" t="inlineStr">
        <is>
          <t>09-04-2026</t>
        </is>
      </c>
      <c r="H3057" t="inlineStr">
        <is>
          <t>09/04/2026</t>
        </is>
      </c>
      <c r="I3057" t="inlineStr">
        <is>
          <t>17/03/2026</t>
        </is>
      </c>
      <c r="J3057" t="inlineStr">
        <is>
          <t>Dược phẩm/ Hóa Mỹ Phẩm, Y tế / Chăm sóc sức khỏe / Thẩm mỹ / Làm đẹp</t>
        </is>
      </c>
      <c r="K3057" t="inlineStr">
        <is>
          <t>Trên 1 Năm</t>
        </is>
      </c>
      <c r="L3057" s="8">
        <f>HYPERLINK("https://careerviet.vn/vi/tim-viec-lam/ky-thuat-vien-chan-doan-hinh-anh-y-hoc-hat-nhan-vinmec-central-park.35C65236.html","Xem chi tiết")</f>
        <v/>
      </c>
    </row>
    <row r="3058">
      <c r="B3058" s="9" t="n">
        <v>3056</v>
      </c>
      <c r="C3058" s="10" t="inlineStr">
        <is>
          <t>[Factory 2] Engineering Staff (Automations/ Electrical/ Electronics Engineering Fresher)</t>
        </is>
      </c>
      <c r="D3058" s="10" t="inlineStr">
        <is>
          <t>CÔNG TY TNHH ROHTO-MENTHOLATUM (VIỆT NAM)</t>
        </is>
      </c>
      <c r="E3058" s="10" t="inlineStr">
        <is>
          <t>Lương:Cạnh tranh</t>
        </is>
      </c>
      <c r="F3058" s="10" t="inlineStr">
        <is>
          <t>Bình Dương</t>
        </is>
      </c>
      <c r="G3058" s="10" t="inlineStr">
        <is>
          <t>11-04-2026</t>
        </is>
      </c>
      <c r="H3058" s="10" t="inlineStr">
        <is>
          <t>11/04/2026</t>
        </is>
      </c>
      <c r="I3058" s="10" t="inlineStr">
        <is>
          <t>17/03/2026</t>
        </is>
      </c>
      <c r="J3058" s="10" t="inlineStr">
        <is>
          <t>Bảo trì / Sửa chữa, Sản xuất / Vận hành sản xuất, Điện / Điện tử / Điện lạnh / Điện công nghiệp</t>
        </is>
      </c>
      <c r="K3058" s="10" t="inlineStr">
        <is>
          <t>Không yêu cầu kinh nghiệm</t>
        </is>
      </c>
      <c r="L3058" s="11">
        <f>HYPERLINK("https://careerviet.vn/vi/tim-viec-lam/factory-2-engineering-staff-automations-electrical-electronics-engineering-fresher.35C6C345.html","Xem chi tiết")</f>
        <v/>
      </c>
      <c r="M3058" s="10" t="n"/>
    </row>
    <row r="3059">
      <c r="B3059" s="7" t="n">
        <v>3057</v>
      </c>
      <c r="C3059" t="inlineStr">
        <is>
          <t>Chuyên Viên Kiểm Nghiệm</t>
        </is>
      </c>
      <c r="D3059" t="inlineStr">
        <is>
          <t>Công ty CP Bệnh Viện Đa Khoa Quốc Tế Vinmec</t>
        </is>
      </c>
      <c r="E3059" t="inlineStr">
        <is>
          <t>Lương:Cạnh tranh</t>
        </is>
      </c>
      <c r="F3059" t="inlineStr">
        <is>
          <t>Hà Nội</t>
        </is>
      </c>
      <c r="G3059" t="inlineStr">
        <is>
          <t>09-04-2026</t>
        </is>
      </c>
      <c r="H3059" t="inlineStr">
        <is>
          <t>09/04/2026</t>
        </is>
      </c>
      <c r="I3059" t="inlineStr">
        <is>
          <t>17/03/2026</t>
        </is>
      </c>
      <c r="J3059" t="inlineStr">
        <is>
          <t>Y tế / Chăm sóc sức khỏe / Thẩm mỹ / Làm đẹp</t>
        </is>
      </c>
      <c r="K3059" t="inlineStr">
        <is>
          <t>Trên 2 Năm</t>
        </is>
      </c>
      <c r="L3059" s="8">
        <f>HYPERLINK("https://careerviet.vn/vi/tim-viec-lam/chuyen-vien-kiem-nghiem.35C6522F.html","Xem chi tiết")</f>
        <v/>
      </c>
    </row>
    <row r="3060">
      <c r="B3060" s="9" t="n">
        <v>3058</v>
      </c>
      <c r="C3060" s="10" t="inlineStr">
        <is>
          <t>(Long An) Kế Toán Bán Hàng</t>
        </is>
      </c>
      <c r="D3060" s="10" t="inlineStr">
        <is>
          <t>Công Ty Cổ Phần Y&amp;B</t>
        </is>
      </c>
      <c r="E3060" s="10" t="inlineStr">
        <is>
          <t>Lương:13 Tr - 15 Tr VND</t>
        </is>
      </c>
      <c r="F3060" s="10" t="inlineStr">
        <is>
          <t>Long An</t>
        </is>
      </c>
      <c r="G3060" s="10" t="inlineStr">
        <is>
          <t>09-04-2026</t>
        </is>
      </c>
      <c r="H3060" s="10" t="inlineStr">
        <is>
          <t>09/04/2026</t>
        </is>
      </c>
      <c r="I3060" s="10" t="inlineStr">
        <is>
          <t>17/03/2026</t>
        </is>
      </c>
      <c r="J3060" s="10" t="inlineStr">
        <is>
          <t>Kế toán / Kiểm toán</t>
        </is>
      </c>
      <c r="K3060" s="10" t="inlineStr">
        <is>
          <t>1 - 2 Năm</t>
        </is>
      </c>
      <c r="L3060" s="11">
        <f>HYPERLINK("https://careerviet.vn/vi/tim-viec-lam/long-an-ke-toan-ban-hang.35C65118.html","Xem chi tiết")</f>
        <v/>
      </c>
      <c r="M3060" s="10" t="n"/>
    </row>
    <row r="3061">
      <c r="B3061" s="7" t="n">
        <v>3059</v>
      </c>
      <c r="C3061" t="inlineStr">
        <is>
          <t>Chuyên Viên Quản Lý Chất Lượng - Vinmec Central Park</t>
        </is>
      </c>
      <c r="D3061" t="inlineStr">
        <is>
          <t>Công ty CP Bệnh Viện Đa Khoa Quốc Tế Vinmec</t>
        </is>
      </c>
      <c r="E3061" t="inlineStr">
        <is>
          <t>Lương:Cạnh tranh</t>
        </is>
      </c>
      <c r="F3061" t="inlineStr">
        <is>
          <t>Hồ Chí Minh</t>
        </is>
      </c>
      <c r="G3061" t="inlineStr">
        <is>
          <t>09-04-2026</t>
        </is>
      </c>
      <c r="H3061" t="inlineStr">
        <is>
          <t>09/04/2026</t>
        </is>
      </c>
      <c r="I3061" t="inlineStr">
        <is>
          <t>17/03/2026</t>
        </is>
      </c>
      <c r="J3061" t="inlineStr">
        <is>
          <t>Y tế / Chăm sóc sức khỏe / Thẩm mỹ / Làm đẹp, Quản lý chất lượng (QA/QC)</t>
        </is>
      </c>
      <c r="K3061" t="inlineStr">
        <is>
          <t>1 - 2 Năm</t>
        </is>
      </c>
      <c r="L3061" s="8">
        <f>HYPERLINK("https://careerviet.vn/vi/tim-viec-lam/chuyen-vien-quan-ly-chat-luong-vinmec-central-park.35C68023.html","Xem chi tiết")</f>
        <v/>
      </c>
    </row>
    <row r="3062">
      <c r="B3062" s="9" t="n">
        <v>3060</v>
      </c>
      <c r="C3062" s="10" t="inlineStr">
        <is>
          <t>Điều Phối Viên Lâm Sàng</t>
        </is>
      </c>
      <c r="D3062" s="10" t="inlineStr">
        <is>
          <t>Công ty CP Bệnh Viện Đa Khoa Quốc Tế Vinmec</t>
        </is>
      </c>
      <c r="E3062" s="10" t="inlineStr">
        <is>
          <t>Lương:Cạnh tranh</t>
        </is>
      </c>
      <c r="F3062" s="10" t="inlineStr">
        <is>
          <t>Hà Nội</t>
        </is>
      </c>
      <c r="G3062" s="10" t="inlineStr">
        <is>
          <t>09-04-2026</t>
        </is>
      </c>
      <c r="H3062" s="10" t="inlineStr">
        <is>
          <t>09/04/2026</t>
        </is>
      </c>
      <c r="I3062" s="10" t="inlineStr">
        <is>
          <t>17/03/2026</t>
        </is>
      </c>
      <c r="J3062" s="10" t="inlineStr">
        <is>
          <t>Y tế / Chăm sóc sức khỏe / Thẩm mỹ / Làm đẹp</t>
        </is>
      </c>
      <c r="K3062" s="10" t="inlineStr">
        <is>
          <t>Trên 2 Năm</t>
        </is>
      </c>
      <c r="L3062" s="11">
        <f>HYPERLINK("https://careerviet.vn/vi/tim-viec-lam/dieu-phoi-vien-lam-sang.35C65231.html","Xem chi tiết")</f>
        <v/>
      </c>
      <c r="M3062" s="10" t="n"/>
    </row>
    <row r="3063">
      <c r="B3063" s="7" t="n">
        <v>3061</v>
      </c>
      <c r="C3063" t="inlineStr">
        <is>
          <t>Chuyên Viên Kế Hoạch Tổng Hợp - Vinmec Central Park</t>
        </is>
      </c>
      <c r="D3063" t="inlineStr">
        <is>
          <t>Công ty CP Bệnh Viện Đa Khoa Quốc Tế Vinmec</t>
        </is>
      </c>
      <c r="E3063" t="inlineStr">
        <is>
          <t>Lương:Cạnh tranh</t>
        </is>
      </c>
      <c r="F3063" t="inlineStr">
        <is>
          <t>Hồ Chí Minh</t>
        </is>
      </c>
      <c r="G3063" t="inlineStr">
        <is>
          <t>09-04-2026</t>
        </is>
      </c>
      <c r="H3063" t="inlineStr">
        <is>
          <t>09/04/2026</t>
        </is>
      </c>
      <c r="I3063" t="inlineStr">
        <is>
          <t>17/03/2026</t>
        </is>
      </c>
      <c r="J3063" t="inlineStr">
        <is>
          <t>Y tế / Chăm sóc sức khỏe / Thẩm mỹ / Làm đẹp</t>
        </is>
      </c>
      <c r="K3063" t="inlineStr">
        <is>
          <t>1 - 2 Năm</t>
        </is>
      </c>
      <c r="L3063" s="8">
        <f>HYPERLINK("https://careerviet.vn/vi/tim-viec-lam/chuyen-vien-ke-hoach-tong-hop-vinmec-central-park.35C68024.html","Xem chi tiết")</f>
        <v/>
      </c>
    </row>
    <row r="3064">
      <c r="B3064" s="9" t="n">
        <v>3062</v>
      </c>
      <c r="C3064" s="10" t="inlineStr">
        <is>
          <t>[An Giang] Nhân Viên Bán Hàng / Kinh Doanh</t>
        </is>
      </c>
      <c r="D3064" s="10" t="inlineStr">
        <is>
          <t>Coca-Cola Beverages Vietnam</t>
        </is>
      </c>
      <c r="E3064" s="10" t="inlineStr">
        <is>
          <t>Lương:Cạnh tranh</t>
        </is>
      </c>
      <c r="F3064" s="10" t="inlineStr">
        <is>
          <t>An Giang</t>
        </is>
      </c>
      <c r="G3064" s="10" t="inlineStr">
        <is>
          <t>09-04-2026</t>
        </is>
      </c>
      <c r="H3064" s="10" t="inlineStr">
        <is>
          <t>09/04/2026</t>
        </is>
      </c>
      <c r="I3064" s="10" t="inlineStr">
        <is>
          <t>17/03/2026</t>
        </is>
      </c>
      <c r="J3064" s="10" t="inlineStr">
        <is>
          <t>Bán lẻ / Bán sỉ, Bán hàng / Kinh doanh, Thực phẩm &amp; Đồ uống</t>
        </is>
      </c>
      <c r="K3064" s="10" t="inlineStr">
        <is>
          <t>1 - 10 Năm</t>
        </is>
      </c>
      <c r="L3064" s="11">
        <f>HYPERLINK("https://careerviet.vn/vi/tim-viec-lam/an-giang-nhan-vien-ban-hang-kinh-doanh.35C651B3.html","Xem chi tiết")</f>
        <v/>
      </c>
      <c r="M3064" s="10" t="n"/>
    </row>
    <row r="3065">
      <c r="B3065" s="7" t="n">
        <v>3063</v>
      </c>
      <c r="C3065" t="inlineStr">
        <is>
          <t>Kế Toán Mua Hàng</t>
        </is>
      </c>
      <c r="D3065" t="inlineStr">
        <is>
          <t>CÔNG TY CỔ PHẦN NỆM THUẦN VIỆT</t>
        </is>
      </c>
      <c r="E3065" t="inlineStr">
        <is>
          <t>Lương:10 Tr - 14 Tr VND</t>
        </is>
      </c>
      <c r="F3065" t="inlineStr">
        <is>
          <t>Hồ Chí Minh</t>
        </is>
      </c>
      <c r="G3065" t="inlineStr">
        <is>
          <t>09-04-2026</t>
        </is>
      </c>
      <c r="H3065" t="inlineStr">
        <is>
          <t>09/04/2026</t>
        </is>
      </c>
      <c r="I3065" t="inlineStr">
        <is>
          <t>17/03/2026</t>
        </is>
      </c>
      <c r="J3065" t="inlineStr">
        <is>
          <t>Kế toán / Kiểm toán</t>
        </is>
      </c>
      <c r="K3065" t="inlineStr">
        <is>
          <t>Trên 2 Năm</t>
        </is>
      </c>
      <c r="L3065" s="8">
        <f>HYPERLINK("https://careerviet.vn/vi/tim-viec-lam/ke-toan-mua-hang.35C650CE.html","Xem chi tiết")</f>
        <v/>
      </c>
    </row>
    <row r="3066">
      <c r="B3066" s="9" t="n">
        <v>3064</v>
      </c>
      <c r="C3066" s="10" t="inlineStr">
        <is>
          <t>Technical Color And Dyeing</t>
        </is>
      </c>
      <c r="D3066" s="10" t="inlineStr">
        <is>
          <t>CÔNG TY TNHH GUNZETAL (VIỆT NAM)</t>
        </is>
      </c>
      <c r="E3066" s="10" t="inlineStr">
        <is>
          <t>Lương:Cạnh tranh</t>
        </is>
      </c>
      <c r="F3066" s="10" t="inlineStr">
        <is>
          <t>Bình Dương</t>
        </is>
      </c>
      <c r="G3066" s="10" t="inlineStr">
        <is>
          <t>25-03-2026</t>
        </is>
      </c>
      <c r="H3066" s="10" t="inlineStr">
        <is>
          <t>25/03/2026</t>
        </is>
      </c>
      <c r="I3066" s="10" t="inlineStr">
        <is>
          <t>17/03/2026</t>
        </is>
      </c>
      <c r="J3066" s="10" t="inlineStr">
        <is>
          <t>Nhân sự, Hành chính / Thư ký</t>
        </is>
      </c>
      <c r="K3066" s="10" t="inlineStr">
        <is>
          <t>Lên đến 5 Năm</t>
        </is>
      </c>
      <c r="L3066" s="11">
        <f>HYPERLINK("https://careerviet.vn/vi/tim-viec-lam/technical-color-and-dyeing.35C696A3.html","Xem chi tiết")</f>
        <v/>
      </c>
      <c r="M3066" s="10" t="n"/>
    </row>
    <row r="3067">
      <c r="B3067" s="7" t="n">
        <v>3065</v>
      </c>
      <c r="C3067" t="inlineStr">
        <is>
          <t>Chuyên viên Tuyển dụng &amp; Đào tạo</t>
        </is>
      </c>
      <c r="D3067" t="inlineStr">
        <is>
          <t>CÔNG TY CỔ PHẦN CÔNG NGHỆ VÀ THƯƠNG MẠI SYSTECH</t>
        </is>
      </c>
      <c r="E3067" t="inlineStr">
        <is>
          <t>Lương:10 Tr - 15 Tr VND</t>
        </is>
      </c>
      <c r="F3067" t="inlineStr">
        <is>
          <t>Hà Nội</t>
        </is>
      </c>
      <c r="G3067" t="inlineStr">
        <is>
          <t>25-03-2026</t>
        </is>
      </c>
      <c r="H3067" t="inlineStr">
        <is>
          <t>25/03/2026</t>
        </is>
      </c>
      <c r="I3067" t="inlineStr">
        <is>
          <t>17/03/2026</t>
        </is>
      </c>
      <c r="J3067" t="inlineStr">
        <is>
          <t>Nhân sự, Hành chính / Thư ký</t>
        </is>
      </c>
      <c r="K3067" t="inlineStr">
        <is>
          <t>2 - 3 Năm</t>
        </is>
      </c>
      <c r="L3067" s="8">
        <f>HYPERLINK("https://careerviet.vn/vi/tim-viec-lam/chuyen-vien-tuyen-dung-dao-tao.35C69818.html","Xem chi tiết")</f>
        <v/>
      </c>
    </row>
    <row r="3068">
      <c r="B3068" s="9" t="n">
        <v>3066</v>
      </c>
      <c r="C3068" s="10" t="inlineStr">
        <is>
          <t>Chuyên viên kinh doanh Coworking (Thu Nhập từ 10-20 triệu)</t>
        </is>
      </c>
      <c r="D3068" s="10" t="inlineStr">
        <is>
          <t>CÔNG TY TNHH THƯƠNG MẠI DỊCH VỤ TINI OFFICE</t>
        </is>
      </c>
      <c r="E3068" s="10" t="inlineStr">
        <is>
          <t>Lương:10 Tr - 20 Tr VND</t>
        </is>
      </c>
      <c r="F3068" s="10" t="inlineStr">
        <is>
          <t>Hồ Chí Minh</t>
        </is>
      </c>
      <c r="G3068" s="10" t="inlineStr">
        <is>
          <t>31-03-2026</t>
        </is>
      </c>
      <c r="H3068" s="10" t="inlineStr">
        <is>
          <t>31/03/2026</t>
        </is>
      </c>
      <c r="I3068" s="10" t="inlineStr">
        <is>
          <t>17/03/2026</t>
        </is>
      </c>
      <c r="J3068" s="10" t="inlineStr">
        <is>
          <t>Bán hàng / Kinh doanh, Tiếp thị trực tuyến, Bất động sản</t>
        </is>
      </c>
      <c r="K3068" s="10" t="inlineStr">
        <is>
          <t>1 - 2 Năm</t>
        </is>
      </c>
      <c r="L3068" s="11">
        <f>HYPERLINK("https://careerviet.vn/vi/tim-viec-lam/chuyen-vien-kinh-doanh-coworking-thu-nhap-tu-10-20-trieu.35C6949E.html","Xem chi tiết")</f>
        <v/>
      </c>
      <c r="M3068" s="10" t="n"/>
    </row>
    <row r="3069">
      <c r="B3069" s="7" t="n">
        <v>3067</v>
      </c>
      <c r="C3069" t="inlineStr">
        <is>
          <t>Kỹ Thuật Viên Ngân Hàng Sinh Học</t>
        </is>
      </c>
      <c r="D3069" t="inlineStr">
        <is>
          <t>Công ty CP Bệnh Viện Đa Khoa Quốc Tế Vinmec</t>
        </is>
      </c>
      <c r="E3069" t="inlineStr">
        <is>
          <t>Lương:Cạnh tranh</t>
        </is>
      </c>
      <c r="F3069" t="inlineStr">
        <is>
          <t>Hà Nội</t>
        </is>
      </c>
      <c r="G3069" t="inlineStr">
        <is>
          <t>09-04-2026</t>
        </is>
      </c>
      <c r="H3069" t="inlineStr">
        <is>
          <t>09/04/2026</t>
        </is>
      </c>
      <c r="I3069" t="inlineStr">
        <is>
          <t>17/03/2026</t>
        </is>
      </c>
      <c r="J3069" t="inlineStr">
        <is>
          <t>Y tế / Chăm sóc sức khỏe / Thẩm mỹ / Làm đẹp</t>
        </is>
      </c>
      <c r="K3069" t="inlineStr">
        <is>
          <t>N/A</t>
        </is>
      </c>
      <c r="L3069" s="8">
        <f>HYPERLINK("https://careerviet.vn/vi/tim-viec-lam/ky-thuat-vien-ngan-hang-sinh-hoc.35C65230.html","Xem chi tiết")</f>
        <v/>
      </c>
    </row>
    <row r="3070">
      <c r="B3070" s="9" t="n">
        <v>3068</v>
      </c>
      <c r="C3070" s="10" t="inlineStr">
        <is>
          <t>Chuyên viên tuyển dụng</t>
        </is>
      </c>
      <c r="D3070" s="10" t="inlineStr">
        <is>
          <t>CÔNG TY CỔ PHẦN ĐẦU TƯ KINH DOANH BẤT ĐỘNG SẢN VIETNAM GROOVE</t>
        </is>
      </c>
      <c r="E3070" s="10" t="inlineStr">
        <is>
          <t>Lương:Cạnh tranh</t>
        </is>
      </c>
      <c r="F3070" s="10" t="inlineStr">
        <is>
          <t>Hồ Chí Minh</t>
        </is>
      </c>
      <c r="G3070" s="10" t="inlineStr">
        <is>
          <t>31-03-2026</t>
        </is>
      </c>
      <c r="H3070" s="10" t="inlineStr">
        <is>
          <t>31/03/2026</t>
        </is>
      </c>
      <c r="I3070" s="10" t="inlineStr">
        <is>
          <t>17/03/2026</t>
        </is>
      </c>
      <c r="J3070" s="10" t="inlineStr">
        <is>
          <t>Nhân sự, Bất động sản</t>
        </is>
      </c>
      <c r="K3070" s="10" t="inlineStr">
        <is>
          <t>3 - 5 Năm</t>
        </is>
      </c>
      <c r="L3070" s="11">
        <f>HYPERLINK("https://careerviet.vn/vi/tim-viec-lam/chuyen-vien-tuyen-dung.35C6955E.html","Xem chi tiết")</f>
        <v/>
      </c>
      <c r="M3070" s="10" t="n"/>
    </row>
    <row r="3071">
      <c r="B3071" s="7" t="n">
        <v>3069</v>
      </c>
      <c r="C3071" t="inlineStr">
        <is>
          <t>Nhân viên phục vụ nhà hàng (Full-time/Part-time)</t>
        </is>
      </c>
      <c r="D3071" t="inlineStr">
        <is>
          <t>Japanese Chain Restaurants Vietnam</t>
        </is>
      </c>
      <c r="E3071" t="inlineStr">
        <is>
          <t>Lương:7 Tr - 8 Tr VND</t>
        </is>
      </c>
      <c r="F3071" t="inlineStr">
        <is>
          <t>Hồ Chí Minh</t>
        </is>
      </c>
      <c r="G3071" t="inlineStr">
        <is>
          <t>31-03-2026</t>
        </is>
      </c>
      <c r="H3071" t="inlineStr">
        <is>
          <t>31/03/2026</t>
        </is>
      </c>
      <c r="I3071" t="inlineStr">
        <is>
          <t>17/03/2026</t>
        </is>
      </c>
      <c r="J3071" t="inlineStr">
        <is>
          <t>Nhà hàng / Khách sạn</t>
        </is>
      </c>
      <c r="K3071" t="inlineStr">
        <is>
          <t>N/A</t>
        </is>
      </c>
      <c r="L3071" s="8">
        <f>HYPERLINK("https://careerviet.vn/vi/tim-viec-lam/nhan-vien-phuc-vu-nha-hang-full-time-part-time.35C698AD.html","Xem chi tiết")</f>
        <v/>
      </c>
    </row>
    <row r="3072">
      <c r="B3072" s="9" t="n">
        <v>3070</v>
      </c>
      <c r="C3072" s="10" t="inlineStr">
        <is>
          <t>Giám sát phòng tài vụ 27394 - KCN Hòa Mạc, Hà Nam</t>
        </is>
      </c>
      <c r="D3072" s="10" t="inlineStr">
        <is>
          <t>Công Ty TNHH Reeracoen Việt Nam</t>
        </is>
      </c>
      <c r="E3072" s="10" t="inlineStr">
        <is>
          <t>Lương:30 Tr - 40 Tr VND</t>
        </is>
      </c>
      <c r="F3072" s="10" t="inlineStr">
        <is>
          <t>Hà Nam</t>
        </is>
      </c>
      <c r="G3072" s="10" t="inlineStr">
        <is>
          <t>09-04-2026</t>
        </is>
      </c>
      <c r="H3072" s="10" t="inlineStr">
        <is>
          <t>09/04/2026</t>
        </is>
      </c>
      <c r="I3072" s="10" t="inlineStr">
        <is>
          <t>17/03/2026</t>
        </is>
      </c>
      <c r="J3072" s="10" t="inlineStr">
        <is>
          <t>Kế toán / Kiểm toán, Ngân hàng, Tài chính / Đầu tư</t>
        </is>
      </c>
      <c r="K3072" s="10" t="inlineStr">
        <is>
          <t>Trên 3 Năm</t>
        </is>
      </c>
      <c r="L3072" s="11">
        <f>HYPERLINK("https://careerviet.vn/vi/tim-viec-lam/giam-sat-phong-tai-vu-27394-kcn-hoa-mac-ha-nam.35C65137.html","Xem chi tiết")</f>
        <v/>
      </c>
      <c r="M3072" s="10" t="n"/>
    </row>
    <row r="3073">
      <c r="B3073" s="7" t="n">
        <v>3071</v>
      </c>
      <c r="C3073" t="inlineStr">
        <is>
          <t>Trưởng phòng Cung ứng - Đấu thầu</t>
        </is>
      </c>
      <c r="D3073" t="inlineStr">
        <is>
          <t>CÔNG TY CỔ PHẦN VĨNH QUANG</t>
        </is>
      </c>
      <c r="E3073" t="inlineStr">
        <is>
          <t>Lương:Cạnh tranh</t>
        </is>
      </c>
      <c r="F3073" t="inlineStr">
        <is>
          <t>Hồ Chí Minh</t>
        </is>
      </c>
      <c r="G3073" t="inlineStr">
        <is>
          <t>27-03-2026</t>
        </is>
      </c>
      <c r="H3073" t="inlineStr">
        <is>
          <t>27/03/2026</t>
        </is>
      </c>
      <c r="I3073" t="inlineStr">
        <is>
          <t>17/03/2026</t>
        </is>
      </c>
      <c r="J3073" t="inlineStr">
        <is>
          <t>Kiến trúc, Xây dựng, Bất động sản</t>
        </is>
      </c>
      <c r="K3073" t="inlineStr">
        <is>
          <t>7 - 15 Năm</t>
        </is>
      </c>
      <c r="L3073" s="8">
        <f>HYPERLINK("https://careerviet.vn/vi/tim-viec-lam/truong-phong-cung-ung-dau-thau.35C69684.html","Xem chi tiết")</f>
        <v/>
      </c>
    </row>
    <row r="3074">
      <c r="B3074" s="9" t="n">
        <v>3072</v>
      </c>
      <c r="C3074" s="10" t="inlineStr">
        <is>
          <t>Nhân viên trắc địa</t>
        </is>
      </c>
      <c r="D3074" s="10" t="inlineStr">
        <is>
          <t>Tổng Công ty Vận Tải Thủy</t>
        </is>
      </c>
      <c r="E3074" s="10" t="inlineStr">
        <is>
          <t>Lương:10 Tr - 15 Tr VND</t>
        </is>
      </c>
      <c r="F3074" s="10" t="inlineStr">
        <is>
          <t>Hà Nội</t>
        </is>
      </c>
      <c r="G3074" s="10" t="inlineStr">
        <is>
          <t>31-03-2026</t>
        </is>
      </c>
      <c r="H3074" s="10" t="inlineStr">
        <is>
          <t>31/03/2026</t>
        </is>
      </c>
      <c r="I3074" s="10" t="inlineStr">
        <is>
          <t>17/03/2026</t>
        </is>
      </c>
      <c r="J3074" s="10" t="inlineStr">
        <is>
          <t>Trắc địa / Địa Chất</t>
        </is>
      </c>
      <c r="K3074" s="10" t="inlineStr">
        <is>
          <t>N/A</t>
        </is>
      </c>
      <c r="L3074" s="11">
        <f>HYPERLINK("https://careerviet.vn/vi/tim-viec-lam/nhan-vien-trac-dia.35C69495.html","Xem chi tiết")</f>
        <v/>
      </c>
      <c r="M3074" s="10" t="n"/>
    </row>
    <row r="3075">
      <c r="B3075" s="7" t="n">
        <v>3073</v>
      </c>
      <c r="C3075" t="inlineStr">
        <is>
          <t>IT Helpdesk</t>
        </is>
      </c>
      <c r="D3075" t="inlineStr">
        <is>
          <t>Công Ty TNHH TM &amp; XNK Nhất Lâm</t>
        </is>
      </c>
      <c r="E3075" t="inlineStr">
        <is>
          <t>Lương:12 Tr - 15 Tr VND</t>
        </is>
      </c>
      <c r="F3075" t="inlineStr">
        <is>
          <t>Hà Nội</t>
        </is>
      </c>
      <c r="G3075" t="inlineStr">
        <is>
          <t>3</t>
        </is>
      </c>
      <c r="H3075" t="inlineStr">
        <is>
          <t>20/03/2026</t>
        </is>
      </c>
      <c r="I3075" t="inlineStr">
        <is>
          <t>17/03/2026</t>
        </is>
      </c>
      <c r="J3075" t="inlineStr">
        <is>
          <t>CNTT - Phần cứng / Mạng</t>
        </is>
      </c>
      <c r="K3075" t="inlineStr">
        <is>
          <t>2 - 3 Năm</t>
        </is>
      </c>
      <c r="L3075" s="8">
        <f>HYPERLINK("https://careerviet.vn/vi/tim-viec-lam/it-helpdesk.35C69579.html","Xem chi tiết")</f>
        <v/>
      </c>
    </row>
    <row r="3076">
      <c r="B3076" s="9" t="n">
        <v>3074</v>
      </c>
      <c r="C3076" s="10" t="inlineStr">
        <is>
          <t>Chuyên viên tuyển dụng ( thời vụ 7 tháng)</t>
        </is>
      </c>
      <c r="D3076" s="10" t="inlineStr">
        <is>
          <t>Công Ty Cổ Phần Đầu Tư &amp; Xây Dựng Tây Hồ</t>
        </is>
      </c>
      <c r="E3076" s="10" t="inlineStr">
        <is>
          <t>Lương:Cạnh tranh</t>
        </is>
      </c>
      <c r="F3076" s="10" t="inlineStr">
        <is>
          <t>Hồ Chí Minh</t>
        </is>
      </c>
      <c r="G3076" s="10" t="inlineStr">
        <is>
          <t>31-03-2026</t>
        </is>
      </c>
      <c r="H3076" s="10" t="inlineStr">
        <is>
          <t>31/03/2026</t>
        </is>
      </c>
      <c r="I3076" s="10" t="inlineStr">
        <is>
          <t>17/03/2026</t>
        </is>
      </c>
      <c r="J3076" s="10" t="inlineStr">
        <is>
          <t>Bất động sản, Nhân sự</t>
        </is>
      </c>
      <c r="K3076" s="10" t="inlineStr">
        <is>
          <t>5 - 10 Năm</t>
        </is>
      </c>
      <c r="L3076" s="11">
        <f>HYPERLINK("https://careerviet.vn/vi/tim-viec-lam/chuyen-vien-tuyen-dung-thoi-vu-7-thang.35C69605.html","Xem chi tiết")</f>
        <v/>
      </c>
      <c r="M3076" s="10" t="n"/>
    </row>
    <row r="3077">
      <c r="B3077" s="7" t="n">
        <v>3075</v>
      </c>
      <c r="C3077" t="inlineStr">
        <is>
          <t>Chuyên viên Kế toán - Vinmec Smart City</t>
        </is>
      </c>
      <c r="D3077" t="inlineStr">
        <is>
          <t>Công ty CP Bệnh Viện Đa Khoa Quốc Tế Vinmec</t>
        </is>
      </c>
      <c r="E3077" t="inlineStr">
        <is>
          <t>Lương:Cạnh tranh</t>
        </is>
      </c>
      <c r="F3077" t="inlineStr">
        <is>
          <t>Hà Nội</t>
        </is>
      </c>
      <c r="G3077" t="inlineStr">
        <is>
          <t>09-04-2026</t>
        </is>
      </c>
      <c r="H3077" t="inlineStr">
        <is>
          <t>09/04/2026</t>
        </is>
      </c>
      <c r="I3077" t="inlineStr">
        <is>
          <t>17/03/2026</t>
        </is>
      </c>
      <c r="J3077" t="inlineStr">
        <is>
          <t>Kế toán / Kiểm toán</t>
        </is>
      </c>
      <c r="K3077" t="inlineStr">
        <is>
          <t>2 - 5 Năm</t>
        </is>
      </c>
      <c r="L3077" s="8">
        <f>HYPERLINK("https://careerviet.vn/vi/tim-viec-lam/chuyen-vien-ke-toan-vinmec-smart-city.35C68026.html","Xem chi tiết")</f>
        <v/>
      </c>
    </row>
    <row r="3078">
      <c r="B3078" s="9" t="n">
        <v>3076</v>
      </c>
      <c r="C3078" s="10" t="inlineStr">
        <is>
          <t>Chuyên Gia Cao Cấp Phát Triển Năng Lực</t>
        </is>
      </c>
      <c r="D3078" s="10" t="inlineStr">
        <is>
          <t>NGÂN HÀNG TMCP KỸ THƯƠNG VIỆT NAM (TECHCOMBANK)</t>
        </is>
      </c>
      <c r="E3078" s="10" t="inlineStr">
        <is>
          <t>Lương:Cạnh tranh</t>
        </is>
      </c>
      <c r="F3078" s="10" t="inlineStr">
        <is>
          <t>Hà Nội</t>
        </is>
      </c>
      <c r="G3078" s="10" t="inlineStr">
        <is>
          <t>25-03-2026</t>
        </is>
      </c>
      <c r="H3078" s="10" t="inlineStr">
        <is>
          <t>25/03/2026</t>
        </is>
      </c>
      <c r="I3078" s="10" t="inlineStr">
        <is>
          <t>17/03/2026</t>
        </is>
      </c>
      <c r="J3078" s="10" t="inlineStr">
        <is>
          <t>Ngân hàng, Nhân sự, Tiếp thị / Marketing</t>
        </is>
      </c>
      <c r="K3078" s="10" t="inlineStr">
        <is>
          <t>Trên 12 Năm</t>
        </is>
      </c>
      <c r="L3078" s="11">
        <f>HYPERLINK("https://careerviet.vn/vi/tim-viec-lam/chuyen-gia-cao-cap-phat-trien-nang-luc.35C698A9.html","Xem chi tiết")</f>
        <v/>
      </c>
      <c r="M3078" s="10" t="n"/>
    </row>
    <row r="3079">
      <c r="B3079" s="7" t="n">
        <v>3077</v>
      </c>
      <c r="C3079" t="inlineStr">
        <is>
          <t>Kỹ Sư QS Đấu Thầu</t>
        </is>
      </c>
      <c r="D3079" t="inlineStr">
        <is>
          <t>ATAD Steel Structure Corporation</t>
        </is>
      </c>
      <c r="E3079" t="inlineStr">
        <is>
          <t>Lương:Cạnh tranh</t>
        </is>
      </c>
      <c r="F3079" t="inlineStr">
        <is>
          <t>Hồ Chí MinhHà Nội</t>
        </is>
      </c>
      <c r="G3079" t="inlineStr">
        <is>
          <t>25-03-2026</t>
        </is>
      </c>
      <c r="H3079" t="inlineStr">
        <is>
          <t>25/03/2026</t>
        </is>
      </c>
      <c r="I3079" t="inlineStr">
        <is>
          <t>17/03/2026</t>
        </is>
      </c>
      <c r="J3079" t="inlineStr">
        <is>
          <t>Xây dựng, Kiến trúc</t>
        </is>
      </c>
      <c r="K3079" t="inlineStr">
        <is>
          <t>1 - 2 Năm</t>
        </is>
      </c>
      <c r="L3079" s="8">
        <f>HYPERLINK("https://careerviet.vn/vi/tim-viec-lam/ky-su-qs-dau-thau.35C69533.html","Xem chi tiết")</f>
        <v/>
      </c>
    </row>
    <row r="3080">
      <c r="B3080" s="9" t="n">
        <v>3078</v>
      </c>
      <c r="C3080" s="10" t="inlineStr">
        <is>
          <t>Nhân viên kinh doanh</t>
        </is>
      </c>
      <c r="D3080" s="10" t="inlineStr">
        <is>
          <t>CDC HOME DESIGN CENTER - CÔNG TY CỔ PHẦN CAO ĐÔNG</t>
        </is>
      </c>
      <c r="E3080" s="10" t="inlineStr">
        <is>
          <t>Lương:Trên 12 Tr VND</t>
        </is>
      </c>
      <c r="F3080" s="10" t="inlineStr">
        <is>
          <t>Hồ Chí MinhHà Nội</t>
        </is>
      </c>
      <c r="G3080" s="10" t="inlineStr">
        <is>
          <t>25-03-2026</t>
        </is>
      </c>
      <c r="H3080" s="10" t="inlineStr">
        <is>
          <t>25/03/2026</t>
        </is>
      </c>
      <c r="I3080" s="10" t="inlineStr">
        <is>
          <t>17/03/2026</t>
        </is>
      </c>
      <c r="J3080" s="10" t="inlineStr">
        <is>
          <t>Nội ngoại thất, Mỹ thuật / Nghệ thuật / Thiết kế, Bán hàng / Kinh doanh</t>
        </is>
      </c>
      <c r="K3080" s="10" t="inlineStr">
        <is>
          <t>1 - 2 Năm</t>
        </is>
      </c>
      <c r="L3080" s="11">
        <f>HYPERLINK("https://careerviet.vn/vi/tim-viec-lam/nhan-vien-kinh-doanh.35C69534.html","Xem chi tiết")</f>
        <v/>
      </c>
      <c r="M3080" s="10" t="n"/>
    </row>
    <row r="3081">
      <c r="B3081" s="7" t="n">
        <v>3079</v>
      </c>
      <c r="C3081" t="inlineStr">
        <is>
          <t>Automation Supervisor</t>
        </is>
      </c>
      <c r="D3081" t="inlineStr">
        <is>
          <t>Công ty TNHH framas Korea Vina</t>
        </is>
      </c>
      <c r="E3081" t="inlineStr">
        <is>
          <t>Lương:Cạnh tranh</t>
        </is>
      </c>
      <c r="F3081" t="inlineStr">
        <is>
          <t>Đồng Nai</t>
        </is>
      </c>
      <c r="G3081" t="inlineStr">
        <is>
          <t>6</t>
        </is>
      </c>
      <c r="H3081" t="inlineStr">
        <is>
          <t>23/03/2026</t>
        </is>
      </c>
      <c r="I3081" t="inlineStr">
        <is>
          <t>17/03/2026</t>
        </is>
      </c>
      <c r="J3081" t="inlineStr">
        <is>
          <t>Cơ khí / Ô tô / Tự động hóa, Điện / Điện tử / Điện lạnh / Điện công nghiệp, Bảo trì / Sửa chữa</t>
        </is>
      </c>
      <c r="K3081" t="inlineStr">
        <is>
          <t>3 - 5 Năm</t>
        </is>
      </c>
      <c r="L3081" s="8">
        <f>HYPERLINK("https://careerviet.vn/vi/tim-viec-lam/automation-supervisor.35C69637.html","Xem chi tiết")</f>
        <v/>
      </c>
    </row>
    <row r="3082">
      <c r="B3082" s="9" t="n">
        <v>3080</v>
      </c>
      <c r="C3082" s="10" t="inlineStr">
        <is>
          <t>TRƯỞNG CA BỘ PHẬN TIỆN ÍCH VÀ XỬ LÝ CHẤT THẢI</t>
        </is>
      </c>
      <c r="D3082" s="10" t="inlineStr">
        <is>
          <t>Công Ty TNHH Tokuyama Việt Nam</t>
        </is>
      </c>
      <c r="E3082" s="10" t="inlineStr">
        <is>
          <t>Lương:Cạnh tranh</t>
        </is>
      </c>
      <c r="F3082" s="10" t="inlineStr">
        <is>
          <t>Bà Rịa - Vũng Tàu</t>
        </is>
      </c>
      <c r="G3082" s="10" t="inlineStr">
        <is>
          <t>31-03-2026</t>
        </is>
      </c>
      <c r="H3082" s="10" t="inlineStr">
        <is>
          <t>31/03/2026</t>
        </is>
      </c>
      <c r="I3082" s="10" t="inlineStr">
        <is>
          <t>17/03/2026</t>
        </is>
      </c>
      <c r="J3082" s="10" t="inlineStr">
        <is>
          <t>Cơ khí / Ô tô / Tự động hóa, Điện / Điện tử / Điện lạnh / Điện công nghiệp, Hóa học</t>
        </is>
      </c>
      <c r="K3082" s="10" t="inlineStr">
        <is>
          <t>Trên 3 Năm</t>
        </is>
      </c>
      <c r="L3082" s="11">
        <f>HYPERLINK("https://careerviet.vn/vi/tim-viec-lam/truong-ca-bo-phan-tien-ich-va-xu-ly-chat-thai.35C69536.html","Xem chi tiết")</f>
        <v/>
      </c>
      <c r="M3082" s="10" t="n"/>
    </row>
    <row r="3083">
      <c r="B3083" s="7" t="n">
        <v>3081</v>
      </c>
      <c r="C3083" t="inlineStr">
        <is>
          <t>Thực Tập Sinh C&amp;B</t>
        </is>
      </c>
      <c r="D3083" t="inlineStr">
        <is>
          <t>CÔNG TY CỔ PHẦN VUA NỆM</t>
        </is>
      </c>
      <c r="E3083" t="inlineStr">
        <is>
          <t>Lương:1 Tr - 2 Tr VND</t>
        </is>
      </c>
      <c r="F3083" t="inlineStr">
        <is>
          <t>Hà Nội</t>
        </is>
      </c>
      <c r="G3083" t="inlineStr">
        <is>
          <t>28-03-2026</t>
        </is>
      </c>
      <c r="H3083" t="inlineStr">
        <is>
          <t>28/03/2026</t>
        </is>
      </c>
      <c r="I3083" t="inlineStr">
        <is>
          <t>17/03/2026</t>
        </is>
      </c>
      <c r="J3083" t="inlineStr">
        <is>
          <t>Bán lẻ / Bán sỉ, Nhân sự</t>
        </is>
      </c>
      <c r="K3083" t="inlineStr">
        <is>
          <t>N/A</t>
        </is>
      </c>
      <c r="L3083" s="8">
        <f>HYPERLINK("https://careerviet.vn/vi/tim-viec-lam/thuc-tap-sinh-c-b.35C6947A.html","Xem chi tiết")</f>
        <v/>
      </c>
    </row>
    <row r="3084">
      <c r="B3084" s="9" t="n">
        <v>3082</v>
      </c>
      <c r="C3084" s="10" t="inlineStr">
        <is>
          <t>Safety Engineer/Kỹ sư an toàn lao động</t>
        </is>
      </c>
      <c r="D3084" s="10" t="inlineStr">
        <is>
          <t>CÔNG TY TNHH THANG MÁY VGSI</t>
        </is>
      </c>
      <c r="E3084" s="10" t="inlineStr">
        <is>
          <t>Lương:Trên 15 Tr VND</t>
        </is>
      </c>
      <c r="F3084" s="10" t="inlineStr">
        <is>
          <t>Hồ Chí Minh</t>
        </is>
      </c>
      <c r="G3084" s="10" t="inlineStr">
        <is>
          <t>24-03-2026</t>
        </is>
      </c>
      <c r="H3084" s="10" t="inlineStr">
        <is>
          <t>24/03/2026</t>
        </is>
      </c>
      <c r="I3084" s="10" t="inlineStr">
        <is>
          <t>17/03/2026</t>
        </is>
      </c>
      <c r="J3084" s="10" t="inlineStr">
        <is>
          <t>Nhân sự, Môi trường, An toàn lao động</t>
        </is>
      </c>
      <c r="K3084" s="10" t="inlineStr">
        <is>
          <t>2 - 3 Năm</t>
        </is>
      </c>
      <c r="L3084" s="11">
        <f>HYPERLINK("https://careerviet.vn/vi/tim-viec-lam/safety-engineer-ky-su-an-toan-lao-dong.35C69786.html","Xem chi tiết")</f>
        <v/>
      </c>
      <c r="M3084" s="10" t="n"/>
    </row>
    <row r="3085">
      <c r="B3085" s="7" t="n">
        <v>3083</v>
      </c>
      <c r="C3085" t="inlineStr">
        <is>
          <t>QA/QC Engineer (Construction)</t>
        </is>
      </c>
      <c r="D3085" t="inlineStr">
        <is>
          <t>CÔNG TY CỔ PHẦN ĐẦU TƯ PHÁT TRIỂN MINH GLOBAL</t>
        </is>
      </c>
      <c r="E3085" t="inlineStr">
        <is>
          <t>Lương:15 Tr - 20 Tr VND</t>
        </is>
      </c>
      <c r="F3085" t="inlineStr">
        <is>
          <t>Hồ Chí MinhBình Dương</t>
        </is>
      </c>
      <c r="G3085" t="inlineStr">
        <is>
          <t>24-03-2026</t>
        </is>
      </c>
      <c r="H3085" t="inlineStr">
        <is>
          <t>24/03/2026</t>
        </is>
      </c>
      <c r="I3085" t="inlineStr">
        <is>
          <t>17/03/2026</t>
        </is>
      </c>
      <c r="J3085" t="inlineStr">
        <is>
          <t>Quản lý chất lượng (QA/QC), Xây dựng, Bất động sản</t>
        </is>
      </c>
      <c r="K3085" t="inlineStr">
        <is>
          <t>2 - 5 Năm</t>
        </is>
      </c>
      <c r="L3085" s="8">
        <f>HYPERLINK("https://careerviet.vn/vi/tim-viec-lam/qa-qc-engineer-construction.35C695D9.html","Xem chi tiết")</f>
        <v/>
      </c>
    </row>
    <row r="3086">
      <c r="B3086" s="9" t="n">
        <v>3084</v>
      </c>
      <c r="C3086" s="10" t="inlineStr">
        <is>
          <t>Chuyên viên  Kinh Doanh - Máy (Laser, In 3D), NVL (Ngành Công nghiệp, Nữ Trang, Nha Khoa, Giáo dục)</t>
        </is>
      </c>
      <c r="D3086" s="10" t="inlineStr">
        <is>
          <t>Công Ty TNHH Laser Ưu Việt (OLAS)</t>
        </is>
      </c>
      <c r="E3086" s="10" t="inlineStr">
        <is>
          <t>Lương:Cạnh tranh</t>
        </is>
      </c>
      <c r="F3086" s="10" t="inlineStr">
        <is>
          <t>Hồ Chí Minh</t>
        </is>
      </c>
      <c r="G3086" s="10" t="inlineStr">
        <is>
          <t>25-03-2026</t>
        </is>
      </c>
      <c r="H3086" s="10" t="inlineStr">
        <is>
          <t>25/03/2026</t>
        </is>
      </c>
      <c r="I3086" s="10" t="inlineStr">
        <is>
          <t>17/03/2026</t>
        </is>
      </c>
      <c r="J3086" s="10" t="inlineStr">
        <is>
          <t>Bán Hàng Kỹ Thuật, Bán hàng / Kinh doanh, Cơ khí / Ô tô / Tự động hóa</t>
        </is>
      </c>
      <c r="K3086" s="10" t="inlineStr">
        <is>
          <t>1 - 5 Năm</t>
        </is>
      </c>
      <c r="L3086" s="11">
        <f>HYPERLINK("https://careerviet.vn/vi/tim-viec-lam/chuyen-vien-kinh-doanh-may-laser-in-3d-nvl-nganh-cong-nghiep-nu-trang-nha-khoa-giao-duc.35C39013.html","Xem chi tiết")</f>
        <v/>
      </c>
      <c r="M3086" s="10" t="n"/>
    </row>
    <row r="3087">
      <c r="B3087" s="7" t="n">
        <v>3085</v>
      </c>
      <c r="C3087" t="inlineStr">
        <is>
          <t>Trợ lý Tổng Giám Đốc</t>
        </is>
      </c>
      <c r="D3087" t="inlineStr">
        <is>
          <t>CÔNG TY TNHH HÒA QUẦN</t>
        </is>
      </c>
      <c r="E3087" t="inlineStr">
        <is>
          <t>Lương:17 Tr - 23 Tr VND</t>
        </is>
      </c>
      <c r="F3087" t="inlineStr">
        <is>
          <t>Hà Nội</t>
        </is>
      </c>
      <c r="G3087" t="inlineStr">
        <is>
          <t>31-03-2026</t>
        </is>
      </c>
      <c r="H3087" t="inlineStr">
        <is>
          <t>31/03/2026</t>
        </is>
      </c>
      <c r="I3087" t="inlineStr">
        <is>
          <t>17/03/2026</t>
        </is>
      </c>
      <c r="J3087" t="inlineStr">
        <is>
          <t>Hành chính / Thư ký, Nhân sự, Biên phiên dịch</t>
        </is>
      </c>
      <c r="K3087" t="inlineStr">
        <is>
          <t>1 - 2 Năm</t>
        </is>
      </c>
      <c r="L3087" s="8">
        <f>HYPERLINK("https://careerviet.vn/vi/tim-viec-lam/tro-ly-tong-giam-doc.35C690BB.html","Xem chi tiết")</f>
        <v/>
      </c>
    </row>
    <row r="3088">
      <c r="B3088" s="9" t="n">
        <v>3086</v>
      </c>
      <c r="C3088" s="10" t="inlineStr">
        <is>
          <t>Kế Toán Viên</t>
        </is>
      </c>
      <c r="D3088" s="10" t="inlineStr">
        <is>
          <t>CÔNG TY TNHH HOA CACTUS</t>
        </is>
      </c>
      <c r="E3088" s="10" t="inlineStr">
        <is>
          <t>Lương:8 Tr - 12 Tr VND</t>
        </is>
      </c>
      <c r="F3088" s="10" t="inlineStr">
        <is>
          <t>Long An</t>
        </is>
      </c>
      <c r="G3088" s="10" t="inlineStr">
        <is>
          <t>24-03-2026</t>
        </is>
      </c>
      <c r="H3088" s="10" t="inlineStr">
        <is>
          <t>24/03/2026</t>
        </is>
      </c>
      <c r="I3088" s="10" t="inlineStr">
        <is>
          <t>17/03/2026</t>
        </is>
      </c>
      <c r="J3088" s="10" t="inlineStr">
        <is>
          <t>Kế toán / Kiểm toán, Tài chính / Đầu tư</t>
        </is>
      </c>
      <c r="K3088" s="10" t="inlineStr">
        <is>
          <t>Trên 1 Năm</t>
        </is>
      </c>
      <c r="L3088" s="11">
        <f>HYPERLINK("https://careerviet.vn/vi/tim-viec-lam/ke-toan-vien.35C6973D.html","Xem chi tiết")</f>
        <v/>
      </c>
      <c r="M3088" s="10" t="n"/>
    </row>
    <row r="3089">
      <c r="B3089" s="7" t="n">
        <v>3087</v>
      </c>
      <c r="C3089" t="inlineStr">
        <is>
          <t>Kỹ Sư Dự Án</t>
        </is>
      </c>
      <c r="D3089" t="inlineStr">
        <is>
          <t>CÔNG TY CỔ PHẦN  GIẢI PHÁP ITD</t>
        </is>
      </c>
      <c r="E3089" t="inlineStr">
        <is>
          <t>Lương:Cạnh tranh</t>
        </is>
      </c>
      <c r="F3089" t="inlineStr">
        <is>
          <t>Hồ Chí Minh</t>
        </is>
      </c>
      <c r="G3089" t="inlineStr">
        <is>
          <t>6</t>
        </is>
      </c>
      <c r="H3089" t="inlineStr">
        <is>
          <t>23/03/2026</t>
        </is>
      </c>
      <c r="I3089" t="inlineStr">
        <is>
          <t>17/03/2026</t>
        </is>
      </c>
      <c r="J3089" t="inlineStr">
        <is>
          <t>Điện / Điện tử / Điện lạnh / Điện công nghiệp, Cơ khí / Ô tô / Tự động hóa, CNTT - Phần cứng / Mạng</t>
        </is>
      </c>
      <c r="K3089" t="inlineStr">
        <is>
          <t>Trên 2 Năm</t>
        </is>
      </c>
      <c r="L3089" s="8">
        <f>HYPERLINK("https://careerviet.vn/vi/tim-viec-lam/ky-su-du-an.35C6939A.html","Xem chi tiết")</f>
        <v/>
      </c>
    </row>
    <row r="3090">
      <c r="B3090" s="9" t="n">
        <v>3088</v>
      </c>
      <c r="C3090" s="10" t="inlineStr">
        <is>
          <t>Thư ký Sản xuất - Nhà máy Bến Cát Bình Dương</t>
        </is>
      </c>
      <c r="D3090" s="10" t="inlineStr">
        <is>
          <t>Công Ty TNHH SX Và TM Quân Đạt</t>
        </is>
      </c>
      <c r="E3090" s="10" t="inlineStr">
        <is>
          <t>Lương:Cạnh tranh</t>
        </is>
      </c>
      <c r="F3090" s="10" t="inlineStr">
        <is>
          <t>Bình Dương</t>
        </is>
      </c>
      <c r="G3090" s="10" t="inlineStr">
        <is>
          <t>26-03-2026</t>
        </is>
      </c>
      <c r="H3090" s="10" t="inlineStr">
        <is>
          <t>26/03/2026</t>
        </is>
      </c>
      <c r="I3090" s="10" t="inlineStr">
        <is>
          <t>17/03/2026</t>
        </is>
      </c>
      <c r="J3090" s="10" t="inlineStr">
        <is>
          <t>Sản xuất / Vận hành sản xuất, Cơ khí / Ô tô / Tự động hóa, Kiến trúc</t>
        </is>
      </c>
      <c r="K3090" s="10" t="inlineStr">
        <is>
          <t>Lên đến 1 Năm</t>
        </is>
      </c>
      <c r="L3090" s="11">
        <f>HYPERLINK("https://careerviet.vn/vi/tim-viec-lam/thu-ky-san-xuat-nha-may-ben-cat-binh-duong.35C697D9.html","Xem chi tiết")</f>
        <v/>
      </c>
      <c r="M3090" s="10" t="n"/>
    </row>
    <row r="3091">
      <c r="B3091" s="7" t="n">
        <v>3089</v>
      </c>
      <c r="C3091" t="inlineStr">
        <is>
          <t>K.QLRR - Giám đốc/Chuyên viên Phê duyệt tín dụng (KHDN)</t>
        </is>
      </c>
      <c r="D3091" t="inlineStr">
        <is>
          <t>Ngân Hàng TMCP Phương Đông - OCB</t>
        </is>
      </c>
      <c r="E3091" t="inlineStr">
        <is>
          <t>Lương:Cạnh tranh</t>
        </is>
      </c>
      <c r="F3091" t="inlineStr">
        <is>
          <t>Hồ Chí Minh</t>
        </is>
      </c>
      <c r="G3091" t="inlineStr">
        <is>
          <t>25-03-2026</t>
        </is>
      </c>
      <c r="H3091" t="inlineStr">
        <is>
          <t>25/03/2026</t>
        </is>
      </c>
      <c r="I3091" t="inlineStr">
        <is>
          <t>17/03/2026</t>
        </is>
      </c>
      <c r="J3091" t="inlineStr">
        <is>
          <t>Ngân hàng</t>
        </is>
      </c>
      <c r="K3091" t="inlineStr">
        <is>
          <t>2 - 5 Năm</t>
        </is>
      </c>
      <c r="L3091" s="8">
        <f>HYPERLINK("https://careerviet.vn/vi/tim-viec-lam/k-qlrr-giam-doc-chuyen-vien-phe-duyet-tin-dung-khdn.35C698BB.html","Xem chi tiết")</f>
        <v/>
      </c>
    </row>
    <row r="3092">
      <c r="B3092" s="9" t="n">
        <v>3090</v>
      </c>
      <c r="C3092" s="10" t="inlineStr">
        <is>
          <t>Chuyên Viên Phát Triển Khách Hàng - B2B/B2G</t>
        </is>
      </c>
      <c r="D3092" s="10" t="inlineStr">
        <is>
          <t>PPP Laser Clinic Viet Nam</t>
        </is>
      </c>
      <c r="E3092" s="10" t="inlineStr">
        <is>
          <t>Lương:15 Tr - 40 Tr VND</t>
        </is>
      </c>
      <c r="F3092" s="10" t="inlineStr">
        <is>
          <t>Hồ Chí Minh</t>
        </is>
      </c>
      <c r="G3092" s="10" t="inlineStr">
        <is>
          <t>30-03-2026</t>
        </is>
      </c>
      <c r="H3092" s="10" t="inlineStr">
        <is>
          <t>30/03/2026</t>
        </is>
      </c>
      <c r="I3092" s="10" t="inlineStr">
        <is>
          <t>17/03/2026</t>
        </is>
      </c>
      <c r="J3092" s="10" t="inlineStr">
        <is>
          <t>Bán hàng / Kinh doanh, Y tế / Chăm sóc sức khỏe / Thẩm mỹ / Làm đẹp, Ngân hàng</t>
        </is>
      </c>
      <c r="K3092" s="10" t="inlineStr">
        <is>
          <t>3 - 5 Năm</t>
        </is>
      </c>
      <c r="L3092" s="11">
        <f>HYPERLINK("https://careerviet.vn/vi/tim-viec-lam/chuyen-vien-phat-trien-khach-hang-b2b-b2g.35C6971A.html","Xem chi tiết")</f>
        <v/>
      </c>
      <c r="M3092" s="10" t="n"/>
    </row>
    <row r="3093">
      <c r="B3093" s="7" t="n">
        <v>3091</v>
      </c>
      <c r="C3093" t="inlineStr">
        <is>
          <t>Quản Lý/ Chỉ Huy Khai Thác Mỏ</t>
        </is>
      </c>
      <c r="D3093" t="inlineStr">
        <is>
          <t>CÔNG TY CỔ PHẦN WEI XERN SIN VIỆT NAM</t>
        </is>
      </c>
      <c r="E3093" t="inlineStr">
        <is>
          <t>Lương:25 Tr - 30 Tr VND</t>
        </is>
      </c>
      <c r="F3093" t="inlineStr">
        <is>
          <t>Quảng NamĐà NẵngQuảng Ninh</t>
        </is>
      </c>
      <c r="G3093" t="inlineStr">
        <is>
          <t>24-03-2026</t>
        </is>
      </c>
      <c r="H3093" t="inlineStr">
        <is>
          <t>24/03/2026</t>
        </is>
      </c>
      <c r="I3093" t="inlineStr">
        <is>
          <t>17/03/2026</t>
        </is>
      </c>
      <c r="J3093" t="inlineStr">
        <is>
          <t>Trắc địa / Địa Chất, Khoáng sản, Môi trường</t>
        </is>
      </c>
      <c r="K3093" t="inlineStr">
        <is>
          <t>Trên 3 Năm</t>
        </is>
      </c>
      <c r="L3093" s="8">
        <f>HYPERLINK("https://careerviet.vn/vi/tim-viec-lam/quan-ly-chi-huy-khai-thac-mo.35C69700.html","Xem chi tiết")</f>
        <v/>
      </c>
    </row>
    <row r="3094">
      <c r="B3094" s="9" t="n">
        <v>3092</v>
      </c>
      <c r="C3094" s="10" t="inlineStr">
        <is>
          <t>Chuyên Viên Tư Vấn (AC) - Ngành Làm Đẹp/HCM</t>
        </is>
      </c>
      <c r="D3094" s="10" t="inlineStr">
        <is>
          <t>PPP Laser Clinic Viet Nam</t>
        </is>
      </c>
      <c r="E3094" s="10" t="inlineStr">
        <is>
          <t>Lương:15 Tr - 40 Tr VND</t>
        </is>
      </c>
      <c r="F3094" s="10" t="inlineStr">
        <is>
          <t>Hồ Chí Minh</t>
        </is>
      </c>
      <c r="G3094" s="10" t="inlineStr">
        <is>
          <t>30-03-2026</t>
        </is>
      </c>
      <c r="H3094" s="10" t="inlineStr">
        <is>
          <t>30/03/2026</t>
        </is>
      </c>
      <c r="I3094" s="10" t="inlineStr">
        <is>
          <t>17/03/2026</t>
        </is>
      </c>
      <c r="J3094" s="10" t="inlineStr">
        <is>
          <t>Bán hàng / Kinh doanh, Y tế / Chăm sóc sức khỏe / Thẩm mỹ / Làm đẹp, Ngân hàng</t>
        </is>
      </c>
      <c r="K3094" s="10" t="inlineStr">
        <is>
          <t>1 - 3 Năm</t>
        </is>
      </c>
      <c r="L3094" s="11">
        <f>HYPERLINK("https://careerviet.vn/vi/tim-viec-lam/chuyen-vien-tu-van-ac-nganh-lam-dep-hcm.35C69711.html","Xem chi tiết")</f>
        <v/>
      </c>
      <c r="M3094" s="10" t="n"/>
    </row>
    <row r="3095">
      <c r="B3095" s="7" t="n">
        <v>3093</v>
      </c>
      <c r="C3095" t="inlineStr">
        <is>
          <t>Nhân viên duyệt màu - Nhân viên phòng thí nghiệm duyệt màu vải in</t>
        </is>
      </c>
      <c r="D3095" t="inlineStr">
        <is>
          <t>Công Ty TNHH Transtech Việt Nam</t>
        </is>
      </c>
      <c r="E3095" t="inlineStr">
        <is>
          <t>Lương:9 Tr - 15 Tr VND</t>
        </is>
      </c>
      <c r="F3095" t="inlineStr">
        <is>
          <t>Đồng Nai</t>
        </is>
      </c>
      <c r="G3095" t="inlineStr">
        <is>
          <t>10-03-2026</t>
        </is>
      </c>
      <c r="H3095" t="inlineStr">
        <is>
          <t>28/02/2026</t>
        </is>
      </c>
      <c r="I3095" t="inlineStr">
        <is>
          <t>17/03/2026</t>
        </is>
      </c>
      <c r="J3095" t="inlineStr">
        <is>
          <t>Mỹ thuật / Nghệ thuật / Thiết kế, Dệt may / Da giày / Thời trang, In ấn / Xuất bản</t>
        </is>
      </c>
      <c r="K3095" t="inlineStr">
        <is>
          <t>1 - 3 Năm</t>
        </is>
      </c>
      <c r="L3095" s="8">
        <f>HYPERLINK("https://careerviet.vn/vi/tim-viec-lam/nhan-vien-duyet-mau-nhan-vien-phong-thi-nghiem-duyet-mau-vai-in.35C69754.html","Xem chi tiết")</f>
        <v/>
      </c>
    </row>
    <row r="3096">
      <c r="B3096" s="9" t="n">
        <v>3094</v>
      </c>
      <c r="C3096" s="10" t="inlineStr">
        <is>
          <t>Kỹ Sư Kinh Tế Xây Dựng</t>
        </is>
      </c>
      <c r="D3096" s="10" t="inlineStr">
        <is>
          <t>Công Ty Cổ Phần Thiết Kế Và Xây Dựng Giza Việt Nam</t>
        </is>
      </c>
      <c r="E3096" s="10" t="inlineStr">
        <is>
          <t>Lương:16 Tr - 22 Tr VND</t>
        </is>
      </c>
      <c r="F3096" s="10" t="inlineStr">
        <is>
          <t>Hà Nội</t>
        </is>
      </c>
      <c r="G3096" s="10" t="inlineStr">
        <is>
          <t>31-03-2026</t>
        </is>
      </c>
      <c r="H3096" s="10" t="inlineStr">
        <is>
          <t>31/03/2026</t>
        </is>
      </c>
      <c r="I3096" s="10" t="inlineStr">
        <is>
          <t>17/03/2026</t>
        </is>
      </c>
      <c r="J3096" s="10" t="inlineStr">
        <is>
          <t>Xây dựng</t>
        </is>
      </c>
      <c r="K3096" s="10" t="inlineStr">
        <is>
          <t>2 - 3 Năm</t>
        </is>
      </c>
      <c r="L3096" s="11">
        <f>HYPERLINK("https://careerviet.vn/vi/tim-viec-lam/ky-su-kinh-te-xay-dung.35C695C4.html","Xem chi tiết")</f>
        <v/>
      </c>
      <c r="M3096" s="10" t="n"/>
    </row>
    <row r="3097">
      <c r="B3097" s="7" t="n">
        <v>3095</v>
      </c>
      <c r="C3097" t="inlineStr">
        <is>
          <t>Nhân Viên Sales Admin Tiếng Nhật</t>
        </is>
      </c>
      <c r="D3097" t="inlineStr">
        <is>
          <t>Công ty cổ phần thiết bị ANTTEK Việt Nam</t>
        </is>
      </c>
      <c r="E3097" t="inlineStr">
        <is>
          <t>Lương:9 Tr - 15 Tr VND</t>
        </is>
      </c>
      <c r="F3097" t="inlineStr">
        <is>
          <t>Hà Nội</t>
        </is>
      </c>
      <c r="G3097" t="inlineStr">
        <is>
          <t>24-03-2026</t>
        </is>
      </c>
      <c r="H3097" t="inlineStr">
        <is>
          <t>24/03/2026</t>
        </is>
      </c>
      <c r="I3097" t="inlineStr">
        <is>
          <t>17/03/2026</t>
        </is>
      </c>
      <c r="J3097" t="inlineStr">
        <is>
          <t>Bán hàng / Kinh doanh, Hành chính / Thư ký, Tư vấn</t>
        </is>
      </c>
      <c r="K3097" t="inlineStr">
        <is>
          <t>N/A</t>
        </is>
      </c>
      <c r="L3097" s="8">
        <f>HYPERLINK("https://careerviet.vn/vi/tim-viec-lam/nhan-vien-sales-admin-tieng-nhat.35C697F7.html","Xem chi tiết")</f>
        <v/>
      </c>
    </row>
    <row r="3098">
      <c r="B3098" s="9" t="n">
        <v>3096</v>
      </c>
      <c r="C3098" s="10" t="inlineStr">
        <is>
          <t>Mechanical Engineer</t>
        </is>
      </c>
      <c r="D3098" s="10" t="inlineStr">
        <is>
          <t>CÔNG TY TNHH THANG MÁY VGSI</t>
        </is>
      </c>
      <c r="E3098" s="10" t="inlineStr">
        <is>
          <t>Lương:Trên 12 Tr VND</t>
        </is>
      </c>
      <c r="F3098" s="10" t="inlineStr">
        <is>
          <t>Đồng Nai</t>
        </is>
      </c>
      <c r="G3098" s="10" t="inlineStr">
        <is>
          <t>24-03-2026</t>
        </is>
      </c>
      <c r="H3098" s="10" t="inlineStr">
        <is>
          <t>24/03/2026</t>
        </is>
      </c>
      <c r="I3098" s="10" t="inlineStr">
        <is>
          <t>17/03/2026</t>
        </is>
      </c>
      <c r="J3098" s="10" t="inlineStr">
        <is>
          <t>Cơ khí / Ô tô / Tự động hóa, Điện / Điện tử / Điện lạnh / Điện công nghiệp</t>
        </is>
      </c>
      <c r="K3098" s="10" t="inlineStr">
        <is>
          <t>Trên 1 Năm</t>
        </is>
      </c>
      <c r="L3098" s="11">
        <f>HYPERLINK("https://careerviet.vn/vi/tim-viec-lam/mechanical-engineer.35C69787.html","Xem chi tiết")</f>
        <v/>
      </c>
      <c r="M3098" s="10" t="n"/>
    </row>
    <row r="3099">
      <c r="B3099" s="7" t="n">
        <v>3097</v>
      </c>
      <c r="C3099" t="inlineStr">
        <is>
          <t>Chuyên viên C&amp;B</t>
        </is>
      </c>
      <c r="D3099" t="inlineStr">
        <is>
          <t>CÔNG TY CỔ PHẦN CÔNG NGHỆ VÀ THƯƠNG MẠI SYSTECH</t>
        </is>
      </c>
      <c r="E3099" t="inlineStr">
        <is>
          <t>Lương:10 Tr - 15 Tr VND</t>
        </is>
      </c>
      <c r="F3099" t="inlineStr">
        <is>
          <t>Hà Nội</t>
        </is>
      </c>
      <c r="G3099" t="inlineStr">
        <is>
          <t>24-03-2026</t>
        </is>
      </c>
      <c r="H3099" t="inlineStr">
        <is>
          <t>24/03/2026</t>
        </is>
      </c>
      <c r="I3099" t="inlineStr">
        <is>
          <t>17/03/2026</t>
        </is>
      </c>
      <c r="J3099" t="inlineStr">
        <is>
          <t>Nhân sự, Luật / Pháp lý, Hành chính / Thư ký</t>
        </is>
      </c>
      <c r="K3099" t="inlineStr">
        <is>
          <t>3 - 5 Năm</t>
        </is>
      </c>
      <c r="L3099" s="8">
        <f>HYPERLINK("https://careerviet.vn/vi/tim-viec-lam/chuyen-vien-c-b.35C690FE.html","Xem chi tiết")</f>
        <v/>
      </c>
    </row>
    <row r="3100">
      <c r="B3100" s="9" t="n">
        <v>3098</v>
      </c>
      <c r="C3100" s="10" t="inlineStr">
        <is>
          <t>[HÀ NỘI] CHUYÊN VIÊN KINH DOANH - HƯƠNG LIỆU THỰC PHẨM</t>
        </is>
      </c>
      <c r="D3100" s="10" t="inlineStr">
        <is>
          <t>CÔNG TY CỔ PHẦN NGUYÊN LIỆU MQ</t>
        </is>
      </c>
      <c r="E3100" s="10" t="inlineStr">
        <is>
          <t>Lương:Cạnh tranh</t>
        </is>
      </c>
      <c r="F3100" s="10" t="inlineStr">
        <is>
          <t>Bắc NinhBình DươngĐồng Bằng Sông Cửu Long</t>
        </is>
      </c>
      <c r="G3100" s="10" t="inlineStr">
        <is>
          <t>31-03-2026</t>
        </is>
      </c>
      <c r="H3100" s="10" t="inlineStr">
        <is>
          <t>31/03/2026</t>
        </is>
      </c>
      <c r="I3100" s="10" t="inlineStr">
        <is>
          <t>17/03/2026</t>
        </is>
      </c>
      <c r="J3100" s="10" t="inlineStr">
        <is>
          <t>Bán hàng / Kinh doanh, Bán Hàng Kỹ Thuật, Công nghệ thực phẩm / Dinh dưỡng</t>
        </is>
      </c>
      <c r="K3100" s="10" t="inlineStr">
        <is>
          <t>1 - 2 Năm</t>
        </is>
      </c>
      <c r="L3100" s="11">
        <f>HYPERLINK("https://careerviet.vn/vi/tim-viec-lam/ha-noi-chuyen-vien-kinh-doanh-huong-lieu-thuc-pham.35C6989C.html","Xem chi tiết")</f>
        <v/>
      </c>
      <c r="M3100" s="10" t="n"/>
    </row>
    <row r="3101">
      <c r="B3101" s="7" t="n">
        <v>3099</v>
      </c>
      <c r="C3101" t="inlineStr">
        <is>
          <t>Kỹ thuật viên spa – GLO365 | Việt Nam &amp; UAE (Dubai, Abu Dhabi)</t>
        </is>
      </c>
      <c r="D3101" t="inlineStr">
        <is>
          <t>GLO365 CLINIC</t>
        </is>
      </c>
      <c r="E3101" t="inlineStr">
        <is>
          <t>Lương:Cạnh tranh</t>
        </is>
      </c>
      <c r="F3101" t="inlineStr">
        <is>
          <t>Hồ Chí Minh</t>
        </is>
      </c>
      <c r="G3101" t="inlineStr">
        <is>
          <t>25-04-2026</t>
        </is>
      </c>
      <c r="H3101" t="inlineStr">
        <is>
          <t>25/04/2026</t>
        </is>
      </c>
      <c r="I3101" t="inlineStr">
        <is>
          <t>17/03/2026</t>
        </is>
      </c>
      <c r="J3101" t="inlineStr">
        <is>
          <t>Y tế / Chăm sóc sức khỏe / Thẩm mỹ / Làm đẹp, Dược phẩm/ Hóa Mỹ Phẩm</t>
        </is>
      </c>
      <c r="K3101" t="inlineStr">
        <is>
          <t>N/A</t>
        </is>
      </c>
      <c r="L3101" s="8">
        <f>HYPERLINK("https://careerviet.vn/vi/tim-viec-lam/ky-thuat-vien-spa-glo365-viet-nam-uae-dubai-abu-dhabi.35C695F0.html","Xem chi tiết")</f>
        <v/>
      </c>
    </row>
    <row r="3102">
      <c r="B3102" s="9" t="n">
        <v>3100</v>
      </c>
      <c r="C3102" s="10" t="inlineStr">
        <is>
          <t>KỸ SƯ CHẤT LƯỢNG XE MÁY ĐIỆN (QE – CHUYÊN MÔN CƠ KHÍ)</t>
        </is>
      </c>
      <c r="D3102" s="10" t="inlineStr">
        <is>
          <t>VINFAST TRADING AND PRODUCTION JSC</t>
        </is>
      </c>
      <c r="E3102" s="10" t="inlineStr">
        <is>
          <t>Lương:Cạnh tranh</t>
        </is>
      </c>
      <c r="F3102" s="10" t="inlineStr">
        <is>
          <t>Hà Tĩnh</t>
        </is>
      </c>
      <c r="G3102" s="10" t="inlineStr">
        <is>
          <t>10-04-2026</t>
        </is>
      </c>
      <c r="H3102" s="10" t="inlineStr">
        <is>
          <t>10/04/2026</t>
        </is>
      </c>
      <c r="I3102" s="10" t="inlineStr">
        <is>
          <t>17/03/2026</t>
        </is>
      </c>
      <c r="J3102" s="10" t="inlineStr">
        <is>
          <t>Sản xuất / Vận hành sản xuất</t>
        </is>
      </c>
      <c r="K3102" s="10" t="inlineStr">
        <is>
          <t>Chưa có kinh nghiệm</t>
        </is>
      </c>
      <c r="L3102" s="11">
        <f>HYPERLINK("https://careerviet.vn/vi/tim-viec-lam/ky-su-chat-luong-xe-may-dien-qe-chuyen-mon-co-khi.35C697A0.html","Xem chi tiết")</f>
        <v/>
      </c>
      <c r="M3102" s="10" t="n"/>
    </row>
    <row r="3103">
      <c r="B3103" s="7" t="n">
        <v>3101</v>
      </c>
      <c r="C3103" t="inlineStr">
        <is>
          <t>Nhân viên kinh doanh - Thu nhập lương cứng từ 19 - 22 triệu/ tháng</t>
        </is>
      </c>
      <c r="D3103" t="inlineStr">
        <is>
          <t>GS Battery Vietnam Co., Ltd. (Công ty TNHH Ắc quy GS Việt Nam)</t>
        </is>
      </c>
      <c r="E3103" t="inlineStr">
        <is>
          <t>Lương:19 Tr - 22 Tr VND</t>
        </is>
      </c>
      <c r="F3103" t="inlineStr">
        <is>
          <t>Hà Nội</t>
        </is>
      </c>
      <c r="G3103" t="inlineStr">
        <is>
          <t>3</t>
        </is>
      </c>
      <c r="H3103" t="inlineStr">
        <is>
          <t>20/03/2026</t>
        </is>
      </c>
      <c r="I3103" t="inlineStr">
        <is>
          <t>17/03/2026</t>
        </is>
      </c>
      <c r="J3103" t="inlineStr">
        <is>
          <t>Bán hàng / Kinh doanh, Tiếp thị / Marketing, Bán lẻ / Bán sỉ</t>
        </is>
      </c>
      <c r="K3103" t="inlineStr">
        <is>
          <t>N/A</t>
        </is>
      </c>
      <c r="L3103" s="8">
        <f>HYPERLINK("https://careerviet.vn/vi/tim-viec-lam/nhan-vien-kinh-doanh-thu-nhap-luong-cung-tu-19-22-trieu-thang.35C69649.html","Xem chi tiết")</f>
        <v/>
      </c>
    </row>
    <row r="3104">
      <c r="B3104" s="9" t="n">
        <v>3102</v>
      </c>
      <c r="C3104" s="10" t="inlineStr">
        <is>
          <t>[NINH THUẬN] - KỸ SƯ GIÁM SÁT KẾT CẤU - HOÀN THIỆN</t>
        </is>
      </c>
      <c r="D3104" s="10" t="inlineStr">
        <is>
          <t>CÔNG TY CP TẬP ĐOÀN ĐẦU TƯ HOÀNG GIA VIỆT NAM</t>
        </is>
      </c>
      <c r="E3104" s="10" t="inlineStr">
        <is>
          <t>Lương:Cạnh tranh</t>
        </is>
      </c>
      <c r="F3104" s="10" t="inlineStr">
        <is>
          <t>Ninh Thuận</t>
        </is>
      </c>
      <c r="G3104" s="10" t="inlineStr">
        <is>
          <t>31-03-2026</t>
        </is>
      </c>
      <c r="H3104" s="10" t="inlineStr">
        <is>
          <t>31/03/2026</t>
        </is>
      </c>
      <c r="I3104" s="10" t="inlineStr">
        <is>
          <t>17/03/2026</t>
        </is>
      </c>
      <c r="J3104" s="10" t="inlineStr">
        <is>
          <t>Xây dựng, Nội ngoại thất</t>
        </is>
      </c>
      <c r="K3104" s="10" t="inlineStr">
        <is>
          <t>Trên 5 Năm</t>
        </is>
      </c>
      <c r="L3104" s="11">
        <f>HYPERLINK("https://careerviet.vn/vi/tim-viec-lam/ninh-thuan-ky-su-giam-sat-ket-cau-hoan-thien.35C69671.html","Xem chi tiết")</f>
        <v/>
      </c>
      <c r="M3104" s="10" t="n"/>
    </row>
    <row r="3105">
      <c r="B3105" s="7" t="n">
        <v>3103</v>
      </c>
      <c r="C3105" t="inlineStr">
        <is>
          <t>Trưởng phòng Nhân sự có Tiếng Nhật 27524 - KCN Vĩnh Lộc, HCM</t>
        </is>
      </c>
      <c r="D3105" t="inlineStr">
        <is>
          <t>Công Ty TNHH Reeracoen Việt Nam</t>
        </is>
      </c>
      <c r="E3105" t="inlineStr">
        <is>
          <t>Lương:28 Tr - 31 Tr VND</t>
        </is>
      </c>
      <c r="F3105" t="inlineStr">
        <is>
          <t>Hồ Chí Minh</t>
        </is>
      </c>
      <c r="G3105" t="inlineStr">
        <is>
          <t>25-03-2026</t>
        </is>
      </c>
      <c r="H3105" t="inlineStr">
        <is>
          <t>25/03/2026</t>
        </is>
      </c>
      <c r="I3105" t="inlineStr">
        <is>
          <t>17/03/2026</t>
        </is>
      </c>
      <c r="J3105" t="inlineStr">
        <is>
          <t>Nhân sự, Hành chính / Thư ký, Quản lý điều hành</t>
        </is>
      </c>
      <c r="K3105" t="inlineStr">
        <is>
          <t>3 - 5 Năm</t>
        </is>
      </c>
      <c r="L3105" s="8">
        <f>HYPERLINK("https://careerviet.vn/vi/tim-viec-lam/truong-phong-nhan-su-co-tieng-nhat-27524-kcn-vinh-loc-hcm.35C69825.html","Xem chi tiết")</f>
        <v/>
      </c>
    </row>
    <row r="3106">
      <c r="B3106" s="9" t="n">
        <v>3104</v>
      </c>
      <c r="C3106" s="10" t="inlineStr">
        <is>
          <t>Coach Specialist (Open for BPO/Sales Leader)</t>
        </is>
      </c>
      <c r="D3106" s="10" t="inlineStr">
        <is>
          <t>OZEOL - VCOS CO., LTD - CÔNG TY TNHH VIETNAM CLOSEOUT SOLUTIONS</t>
        </is>
      </c>
      <c r="E3106" s="10" t="inlineStr">
        <is>
          <t>Lương:15 Tr - 20 Tr VND</t>
        </is>
      </c>
      <c r="F3106" s="10" t="inlineStr">
        <is>
          <t>Hồ Chí Minh</t>
        </is>
      </c>
      <c r="G3106" s="10" t="inlineStr">
        <is>
          <t>31-03-2026</t>
        </is>
      </c>
      <c r="H3106" s="10" t="inlineStr">
        <is>
          <t>31/03/2026</t>
        </is>
      </c>
      <c r="I3106" s="10" t="inlineStr">
        <is>
          <t>17/03/2026</t>
        </is>
      </c>
      <c r="J3106" s="10" t="inlineStr">
        <is>
          <t>Bán hàng / Kinh doanh, Giáo dục / Đào tạo, Tư vấn</t>
        </is>
      </c>
      <c r="K3106" s="10" t="inlineStr">
        <is>
          <t>2 - 5 Năm</t>
        </is>
      </c>
      <c r="L3106" s="11">
        <f>HYPERLINK("https://careerviet.vn/vi/tim-viec-lam/coach-specialist-open-for-bpo-sales-leader.35C69504.html","Xem chi tiết")</f>
        <v/>
      </c>
      <c r="M3106" s="10" t="n"/>
    </row>
    <row r="3107">
      <c r="B3107" s="7" t="n">
        <v>3105</v>
      </c>
      <c r="C3107" t="inlineStr">
        <is>
          <t>Chuyên viên Kiểm soát Nội bộ</t>
        </is>
      </c>
      <c r="D3107" t="inlineStr">
        <is>
          <t>Công ty TNHH Thiên Thủy Mộc</t>
        </is>
      </c>
      <c r="E3107" t="inlineStr">
        <is>
          <t>Lương:15 Tr - 18 Tr VND</t>
        </is>
      </c>
      <c r="F3107" t="inlineStr">
        <is>
          <t>Hà Nội</t>
        </is>
      </c>
      <c r="G3107" t="inlineStr">
        <is>
          <t>10-03-2026</t>
        </is>
      </c>
      <c r="H3107" t="inlineStr">
        <is>
          <t>14/03/2026</t>
        </is>
      </c>
      <c r="I3107" t="inlineStr">
        <is>
          <t>17/03/2026</t>
        </is>
      </c>
      <c r="J3107" t="inlineStr">
        <is>
          <t>Quản lý chất lượng (QA/QC)</t>
        </is>
      </c>
      <c r="K3107" t="inlineStr">
        <is>
          <t>3 - 4 Năm</t>
        </is>
      </c>
      <c r="L3107" s="8">
        <f>HYPERLINK("https://careerviet.vn/vi/tim-viec-lam/chuyen-vien-kiem-soat-noi-bo.35C6948D.html","Xem chi tiết")</f>
        <v/>
      </c>
    </row>
    <row r="3108">
      <c r="B3108" s="9" t="n">
        <v>3106</v>
      </c>
      <c r="C3108" s="10" t="inlineStr">
        <is>
          <t>[VSIP BẮC NINH] THỦ KHO KIÊM GIAO NHẬN</t>
        </is>
      </c>
      <c r="D3108" s="10" t="inlineStr">
        <is>
          <t>Công ty Cổ phần Vật tư Khoa học BIOMEDIC</t>
        </is>
      </c>
      <c r="E3108" s="10" t="inlineStr">
        <is>
          <t>Lương:12 Tr - 14 Tr VND</t>
        </is>
      </c>
      <c r="F3108" s="10" t="inlineStr">
        <is>
          <t>Bắc Ninh</t>
        </is>
      </c>
      <c r="G3108" s="10" t="inlineStr">
        <is>
          <t>31-03-2026</t>
        </is>
      </c>
      <c r="H3108" s="10" t="inlineStr">
        <is>
          <t>31/03/2026</t>
        </is>
      </c>
      <c r="I3108" s="10" t="inlineStr">
        <is>
          <t>17/03/2026</t>
        </is>
      </c>
      <c r="J3108" s="10" t="inlineStr">
        <is>
          <t>Vận chuyển / Giao nhận / Kho vận, Lao động phổ thông, Y tế / Chăm sóc sức khỏe / Thẩm mỹ / Làm đẹp</t>
        </is>
      </c>
      <c r="K3108" s="10" t="inlineStr">
        <is>
          <t>1 - 5 Năm</t>
        </is>
      </c>
      <c r="L3108" s="11">
        <f>HYPERLINK("https://careerviet.vn/vi/tim-viec-lam/vsip-bac-ninh-thu-kho-kiem-giao-nhan.35C695AE.html","Xem chi tiết")</f>
        <v/>
      </c>
      <c r="M3108" s="10" t="n"/>
    </row>
    <row r="3109">
      <c r="B3109" s="7" t="n">
        <v>3107</v>
      </c>
      <c r="C3109" t="inlineStr">
        <is>
          <t>Escooter Quality Engineering Manager</t>
        </is>
      </c>
      <c r="D3109" t="inlineStr">
        <is>
          <t>VINFAST TRADING AND PRODUCTION JSC</t>
        </is>
      </c>
      <c r="E3109" t="inlineStr">
        <is>
          <t>Lương:Cạnh tranh</t>
        </is>
      </c>
      <c r="F3109" t="inlineStr">
        <is>
          <t>Hà Tĩnh</t>
        </is>
      </c>
      <c r="G3109" t="inlineStr">
        <is>
          <t>10-04-2026</t>
        </is>
      </c>
      <c r="H3109" t="inlineStr">
        <is>
          <t>10/04/2026</t>
        </is>
      </c>
      <c r="I3109" t="inlineStr">
        <is>
          <t>17/03/2026</t>
        </is>
      </c>
      <c r="J3109" t="inlineStr">
        <is>
          <t>Sản xuất / Vận hành sản xuất</t>
        </is>
      </c>
      <c r="K3109" t="inlineStr">
        <is>
          <t>3 - 5 Năm</t>
        </is>
      </c>
      <c r="L3109" s="8">
        <f>HYPERLINK("https://careerviet.vn/vi/tim-viec-lam/escooter-quality-engineering-manager.35C69796.html","Xem chi tiết")</f>
        <v/>
      </c>
    </row>
    <row r="3110">
      <c r="B3110" s="9" t="n">
        <v>3108</v>
      </c>
      <c r="C3110" s="10" t="inlineStr">
        <is>
          <t>TUYỂN THỢ KỸ THUẬT (ĐI LÀM NGAY)</t>
        </is>
      </c>
      <c r="D3110" s="10" t="inlineStr">
        <is>
          <t>CIG SCI-TECH COMPANY LIMITED</t>
        </is>
      </c>
      <c r="E3110" s="10" t="inlineStr">
        <is>
          <t>Lương:10 Tr - 16 Tr VND</t>
        </is>
      </c>
      <c r="F3110" s="10" t="inlineStr">
        <is>
          <t>Hà Nội</t>
        </is>
      </c>
      <c r="G3110" s="10" t="inlineStr">
        <is>
          <t>31-05-2026</t>
        </is>
      </c>
      <c r="H3110" s="10" t="inlineStr">
        <is>
          <t>31/05/2026</t>
        </is>
      </c>
      <c r="I3110" s="10" t="inlineStr">
        <is>
          <t>17/03/2026</t>
        </is>
      </c>
      <c r="J3110" s="10" t="inlineStr">
        <is>
          <t>Cơ khí / Ô tô / Tự động hóa, Điện / Điện tử / Điện lạnh / Điện công nghiệp</t>
        </is>
      </c>
      <c r="K3110" s="10" t="inlineStr">
        <is>
          <t>1 - 3 Năm</t>
        </is>
      </c>
      <c r="L3110" s="11">
        <f>HYPERLINK("https://careerviet.vn/vi/tim-viec-lam/tuyen-tho-ky-thuat-di-lam-ngay.35C695DC.html","Xem chi tiết")</f>
        <v/>
      </c>
      <c r="M3110" s="10" t="n"/>
    </row>
    <row r="3111">
      <c r="B3111" s="7" t="n">
        <v>3109</v>
      </c>
      <c r="C3111" t="inlineStr">
        <is>
          <t>Pattern Maker - Intimate (3D Fitting / US Market)</t>
        </is>
      </c>
      <c r="D3111" t="inlineStr">
        <is>
          <t>CÔNG TY TNHH CÔNG NGHỆ VÀ GIẢI PHÁP PHẦN MỀM CROSSIAN VIỆT NAM</t>
        </is>
      </c>
      <c r="E3111" t="inlineStr">
        <is>
          <t>Lương:Cạnh tranh</t>
        </is>
      </c>
      <c r="F3111" t="inlineStr">
        <is>
          <t>Hồ Chí MinhHà Nội</t>
        </is>
      </c>
      <c r="G3111" t="inlineStr">
        <is>
          <t>11-04-2026</t>
        </is>
      </c>
      <c r="H3111" t="inlineStr">
        <is>
          <t>11/04/2026</t>
        </is>
      </c>
      <c r="I3111" t="inlineStr">
        <is>
          <t>17/03/2026</t>
        </is>
      </c>
      <c r="J3111" t="inlineStr">
        <is>
          <t>Dệt may / Da giày / Thời trang, Sản xuất / Vận hành sản xuất, Mỹ thuật / Nghệ thuật / Thiết kế</t>
        </is>
      </c>
      <c r="K3111" t="inlineStr">
        <is>
          <t>3 - 5 Năm</t>
        </is>
      </c>
      <c r="L3111" s="8">
        <f>HYPERLINK("https://careerviet.vn/vi/tim-viec-lam/pattern-maker-intimate-3d-fitting-us-market.35C6C382.html","Xem chi tiết")</f>
        <v/>
      </c>
    </row>
    <row r="3112">
      <c r="B3112" s="9" t="n">
        <v>3110</v>
      </c>
      <c r="C3112" s="10" t="inlineStr">
        <is>
          <t>Nhân Viên Kỹ Thuật Cơ Khí</t>
        </is>
      </c>
      <c r="D3112" s="10" t="inlineStr">
        <is>
          <t>CÔNG TY TNHH QUỐC TẾ ĐỒ UỐNG AMAZON</t>
        </is>
      </c>
      <c r="E3112" s="10" t="inlineStr">
        <is>
          <t>Lương:8 Tr - 15 Tr VND</t>
        </is>
      </c>
      <c r="F3112" s="10" t="inlineStr">
        <is>
          <t>Hà Nội</t>
        </is>
      </c>
      <c r="G3112" s="10" t="inlineStr">
        <is>
          <t>30-04-2026</t>
        </is>
      </c>
      <c r="H3112" s="10" t="inlineStr">
        <is>
          <t>30/04/2026</t>
        </is>
      </c>
      <c r="I3112" s="10" t="inlineStr">
        <is>
          <t>17/03/2026</t>
        </is>
      </c>
      <c r="J3112" s="10" t="inlineStr">
        <is>
          <t>Thực phẩm &amp; Đồ uống, Sản xuất / Vận hành sản xuất, Điện / Điện tử / Điện lạnh / Điện công nghiệp</t>
        </is>
      </c>
      <c r="K3112" s="10" t="inlineStr">
        <is>
          <t>3 - 5 Năm</t>
        </is>
      </c>
      <c r="L3112" s="11">
        <f>HYPERLINK("https://careerviet.vn/vi/tim-viec-lam/nhan-vien-ky-thuat-co-khi.35C67E31.html","Xem chi tiết")</f>
        <v/>
      </c>
      <c r="M3112" s="10" t="n"/>
    </row>
    <row r="3113">
      <c r="B3113" s="7" t="n">
        <v>3111</v>
      </c>
      <c r="C3113" t="inlineStr">
        <is>
          <t>HSE &amp; SECURITY SUBCHIEF - TRƯỞNG NHÓM AN TOÀN</t>
        </is>
      </c>
      <c r="D3113" t="inlineStr">
        <is>
          <t>Nidec Tosok Vietnam</t>
        </is>
      </c>
      <c r="E3113" t="inlineStr">
        <is>
          <t>Lương:12 Tr - 15 Tr VND</t>
        </is>
      </c>
      <c r="F3113" t="inlineStr">
        <is>
          <t>Hồ Chí Minh</t>
        </is>
      </c>
      <c r="G3113" t="inlineStr">
        <is>
          <t>28-03-2026</t>
        </is>
      </c>
      <c r="H3113" t="inlineStr">
        <is>
          <t>28/03/2026</t>
        </is>
      </c>
      <c r="I3113" t="inlineStr">
        <is>
          <t>17/03/2026</t>
        </is>
      </c>
      <c r="J3113" t="inlineStr">
        <is>
          <t>An toàn lao động</t>
        </is>
      </c>
      <c r="K3113" t="inlineStr">
        <is>
          <t>Trên 2 Năm</t>
        </is>
      </c>
      <c r="L3113" s="8">
        <f>HYPERLINK("https://careerviet.vn/vi/tim-viec-lam/hse-security-subchief-truong-nhom-an-toan.35C6962E.html","Xem chi tiết")</f>
        <v/>
      </c>
    </row>
    <row r="3114">
      <c r="B3114" s="9" t="n">
        <v>3112</v>
      </c>
      <c r="C3114" s="10" t="inlineStr">
        <is>
          <t>Nhân Viên An Toàn Lao Động - Công Trình</t>
        </is>
      </c>
      <c r="D3114" s="10" t="inlineStr">
        <is>
          <t>ATAD Steel Structure Corporation</t>
        </is>
      </c>
      <c r="E3114" s="10" t="inlineStr">
        <is>
          <t>Lương:Cạnh tranh</t>
        </is>
      </c>
      <c r="F3114" s="10" t="inlineStr">
        <is>
          <t>Hồ Chí MinhQuảng Ninh</t>
        </is>
      </c>
      <c r="G3114" s="10" t="inlineStr">
        <is>
          <t>27-03-2026</t>
        </is>
      </c>
      <c r="H3114" s="10" t="inlineStr">
        <is>
          <t>27/03/2026</t>
        </is>
      </c>
      <c r="I3114" s="10" t="inlineStr">
        <is>
          <t>17/03/2026</t>
        </is>
      </c>
      <c r="J3114" s="10" t="inlineStr">
        <is>
          <t>Xây dựng, An toàn lao động, Môi trường</t>
        </is>
      </c>
      <c r="K3114" s="10" t="inlineStr">
        <is>
          <t>1 - 5 Năm</t>
        </is>
      </c>
      <c r="L3114" s="11">
        <f>HYPERLINK("https://careerviet.vn/vi/tim-viec-lam/nhan-vien-an-toan-lao-dong-cong-trinh.35C69695.html","Xem chi tiết")</f>
        <v/>
      </c>
      <c r="M3114" s="10" t="n"/>
    </row>
    <row r="3115">
      <c r="B3115" s="7" t="n">
        <v>3113</v>
      </c>
      <c r="C3115" t="inlineStr">
        <is>
          <t>XÉT NGHIỆM VIÊN HÓA</t>
        </is>
      </c>
      <c r="D3115" t="inlineStr">
        <is>
          <t>CÔNG TY CỔ PHẦN CÔNG NGHỆ SINH HỌC R.E.P</t>
        </is>
      </c>
      <c r="E3115" t="inlineStr">
        <is>
          <t>Lương:9,7 Tr - 10,5 Tr VND</t>
        </is>
      </c>
      <c r="F3115" t="inlineStr">
        <is>
          <t>Đồng Nai</t>
        </is>
      </c>
      <c r="G3115" t="inlineStr">
        <is>
          <t>04-04-2026</t>
        </is>
      </c>
      <c r="H3115" t="inlineStr">
        <is>
          <t>04/04/2026</t>
        </is>
      </c>
      <c r="I3115" t="inlineStr">
        <is>
          <t>17/03/2026</t>
        </is>
      </c>
      <c r="J3115" t="inlineStr">
        <is>
          <t>Hóa học</t>
        </is>
      </c>
      <c r="K3115" t="inlineStr">
        <is>
          <t>Chưa có kinh nghiệm</t>
        </is>
      </c>
      <c r="L3115" s="8">
        <f>HYPERLINK("https://careerviet.vn/vi/tim-viec-lam/xet-nghiem-vien-hoa.35C6AD9F.html","Xem chi tiết")</f>
        <v/>
      </c>
    </row>
    <row r="3116">
      <c r="B3116" s="9" t="n">
        <v>3114</v>
      </c>
      <c r="C3116" s="10" t="inlineStr">
        <is>
          <t>Trợ Lý Giám Đốc</t>
        </is>
      </c>
      <c r="D3116" s="10" t="inlineStr">
        <is>
          <t>Công ty Cổ phần Đầu tư và Xúc tiến Thương mại Doanh nghiệp Việt</t>
        </is>
      </c>
      <c r="E3116" s="10" t="inlineStr">
        <is>
          <t>Lương:13 Tr - 15 Tr VND</t>
        </is>
      </c>
      <c r="F3116" s="10" t="inlineStr">
        <is>
          <t>Hồ Chí Minh</t>
        </is>
      </c>
      <c r="G3116" s="10" t="inlineStr">
        <is>
          <t>04-04-2026</t>
        </is>
      </c>
      <c r="H3116" s="10" t="inlineStr">
        <is>
          <t>04/04/2026</t>
        </is>
      </c>
      <c r="I3116" s="10" t="inlineStr">
        <is>
          <t>17/03/2026</t>
        </is>
      </c>
      <c r="J3116" s="10" t="inlineStr">
        <is>
          <t>Hành chính / Thư ký, Quản lý điều hành, Nhân sự</t>
        </is>
      </c>
      <c r="K3116" s="10" t="inlineStr">
        <is>
          <t>Trên 5 Năm</t>
        </is>
      </c>
      <c r="L3116" s="11">
        <f>HYPERLINK("https://careerviet.vn/vi/tim-viec-lam/tro-ly-giam-doc.35C6AEC3.html","Xem chi tiết")</f>
        <v/>
      </c>
      <c r="M3116" s="10" t="n"/>
    </row>
    <row r="3117">
      <c r="B3117" s="7" t="n">
        <v>3115</v>
      </c>
      <c r="C3117" t="inlineStr">
        <is>
          <t>BSP Engineer</t>
        </is>
      </c>
      <c r="D3117" t="inlineStr">
        <is>
          <t>ShelbyGlobal Vietnam Company Limited</t>
        </is>
      </c>
      <c r="E3117" t="inlineStr">
        <is>
          <t>Lương:1.000 - 2.500 USD</t>
        </is>
      </c>
      <c r="F3117" t="inlineStr">
        <is>
          <t>Hà Nội</t>
        </is>
      </c>
      <c r="G3117" t="inlineStr">
        <is>
          <t>04-04-2026</t>
        </is>
      </c>
      <c r="H3117" t="inlineStr">
        <is>
          <t>04/04/2026</t>
        </is>
      </c>
      <c r="I3117" t="inlineStr">
        <is>
          <t>17/03/2026</t>
        </is>
      </c>
      <c r="J3117" t="inlineStr">
        <is>
          <t>Sản xuất / Vận hành sản xuất</t>
        </is>
      </c>
      <c r="K3117" t="inlineStr">
        <is>
          <t>2 - 10 Năm</t>
        </is>
      </c>
      <c r="L3117" s="8">
        <f>HYPERLINK("https://careerviet.vn/vi/tim-viec-lam/bsp-engineer.35C6AED8.html","Xem chi tiết")</f>
        <v/>
      </c>
    </row>
    <row r="3118">
      <c r="B3118" s="9" t="n">
        <v>3116</v>
      </c>
      <c r="C3118" s="10" t="inlineStr">
        <is>
          <t>AutoCAD Designer có Tiếng Nhật 25975 - Bình Thạnh, HCM</t>
        </is>
      </c>
      <c r="D3118" s="10" t="inlineStr">
        <is>
          <t>Công Ty TNHH Reeracoen Việt Nam</t>
        </is>
      </c>
      <c r="E3118" s="10" t="inlineStr">
        <is>
          <t>Lương:14 Tr - 16 Tr VND</t>
        </is>
      </c>
      <c r="F3118" s="10" t="inlineStr">
        <is>
          <t>Hồ Chí Minh</t>
        </is>
      </c>
      <c r="G3118" s="10" t="inlineStr">
        <is>
          <t>25-03-2026</t>
        </is>
      </c>
      <c r="H3118" s="10" t="inlineStr">
        <is>
          <t>25/03/2026</t>
        </is>
      </c>
      <c r="I3118" s="10" t="inlineStr">
        <is>
          <t>17/03/2026</t>
        </is>
      </c>
      <c r="J3118" s="10" t="inlineStr">
        <is>
          <t>Cơ khí / Ô tô / Tự động hóa, Điện / Điện tử / Điện lạnh / Điện công nghiệp, Bảo trì / Sửa chữa</t>
        </is>
      </c>
      <c r="K3118" s="10" t="inlineStr">
        <is>
          <t>Trên 1 Năm</t>
        </is>
      </c>
      <c r="L3118" s="11">
        <f>HYPERLINK("https://careerviet.vn/vi/tim-viec-lam/autocad-designer-co-tieng-nhat-25975-binh-thanh-hcm.35C6980D.html","Xem chi tiết")</f>
        <v/>
      </c>
      <c r="M3118" s="10" t="n"/>
    </row>
    <row r="3119">
      <c r="B3119" s="7" t="n">
        <v>3117</v>
      </c>
      <c r="C3119" t="inlineStr">
        <is>
          <t>Nhân Viên Bảo Trì  (Phòng Tổng Vụ)</t>
        </is>
      </c>
      <c r="D3119" t="inlineStr">
        <is>
          <t>Công Ty TNHH TECHNO EXCEL Việt Nam</t>
        </is>
      </c>
      <c r="E3119" t="inlineStr">
        <is>
          <t>Lương:Cạnh tranh</t>
        </is>
      </c>
      <c r="F3119" t="inlineStr">
        <is>
          <t>Bình Dương</t>
        </is>
      </c>
      <c r="G3119" t="inlineStr">
        <is>
          <t>04-04-2026</t>
        </is>
      </c>
      <c r="H3119" t="inlineStr">
        <is>
          <t>04/04/2026</t>
        </is>
      </c>
      <c r="I3119" t="inlineStr">
        <is>
          <t>17/03/2026</t>
        </is>
      </c>
      <c r="J3119" t="inlineStr">
        <is>
          <t>Điện / Điện tử / Điện lạnh / Điện công nghiệp, Bảo trì / Sửa chữa, An toàn lao động</t>
        </is>
      </c>
      <c r="K3119" t="inlineStr">
        <is>
          <t>Trên 2 Năm</t>
        </is>
      </c>
      <c r="L3119" s="8">
        <f>HYPERLINK("https://careerviet.vn/vi/tim-viec-lam/nhan-vien-bao-tri-phong-tong-vu.35C6AE36.html","Xem chi tiết")</f>
        <v/>
      </c>
    </row>
    <row r="3120">
      <c r="B3120" s="9" t="n">
        <v>3118</v>
      </c>
      <c r="C3120" s="10" t="inlineStr">
        <is>
          <t>Kỹ Sư Quản Lý Khối Lượng Và Thanh Quyết Toán (QS)</t>
        </is>
      </c>
      <c r="D3120" s="10" t="inlineStr">
        <is>
          <t>CÔNG TY CỔ PHẦN XD VÀ KCT LONG VIỆT KHANG</t>
        </is>
      </c>
      <c r="E3120" s="10" t="inlineStr">
        <is>
          <t>Lương:12 Tr - 20 Tr VND</t>
        </is>
      </c>
      <c r="F3120" s="10" t="inlineStr">
        <is>
          <t>Đà Nẵng</t>
        </is>
      </c>
      <c r="G3120" s="10" t="inlineStr">
        <is>
          <t>03-04-2026</t>
        </is>
      </c>
      <c r="H3120" s="10" t="inlineStr">
        <is>
          <t>03/04/2026</t>
        </is>
      </c>
      <c r="I3120" s="10" t="inlineStr">
        <is>
          <t>17/03/2026</t>
        </is>
      </c>
      <c r="J3120" s="10" t="inlineStr">
        <is>
          <t>Xây dựng, Kiến trúc, Cơ khí / Ô tô / Tự động hóa</t>
        </is>
      </c>
      <c r="K3120" s="10" t="inlineStr">
        <is>
          <t>N/A</t>
        </is>
      </c>
      <c r="L3120" s="11">
        <f>HYPERLINK("https://careerviet.vn/vi/tim-viec-lam/ky-su-quan-ly-khoi-luong-va-thanh-quyet-toan-qs.35C6ABBA.html","Xem chi tiết")</f>
        <v/>
      </c>
      <c r="M3120" s="10" t="n"/>
    </row>
    <row r="3121">
      <c r="B3121" s="7" t="n">
        <v>3119</v>
      </c>
      <c r="C3121" t="inlineStr">
        <is>
          <t>[Hotel HN] Reservation Manager</t>
        </is>
      </c>
      <c r="D3121" t="inlineStr">
        <is>
          <t>Công ty Cổ phần Tập đoàn Minh Anh</t>
        </is>
      </c>
      <c r="E3121" t="inlineStr">
        <is>
          <t>Lương:Cạnh tranh</t>
        </is>
      </c>
      <c r="F3121" t="inlineStr">
        <is>
          <t>Hà Nội</t>
        </is>
      </c>
      <c r="G3121" t="inlineStr">
        <is>
          <t>04-04-2026</t>
        </is>
      </c>
      <c r="H3121" t="inlineStr">
        <is>
          <t>04/04/2026</t>
        </is>
      </c>
      <c r="I3121" t="inlineStr">
        <is>
          <t>17/03/2026</t>
        </is>
      </c>
      <c r="J3121" t="inlineStr">
        <is>
          <t>Nhà hàng / Khách sạn, Dịch vụ khách hàng, Bán hàng / Kinh doanh</t>
        </is>
      </c>
      <c r="K3121" t="inlineStr">
        <is>
          <t>3 - 5 Năm</t>
        </is>
      </c>
      <c r="L3121" s="8">
        <f>HYPERLINK("https://careerviet.vn/vi/tim-viec-lam/hotel-hn-reservation-manager.35C6AC4B.html","Xem chi tiết")</f>
        <v/>
      </c>
    </row>
    <row r="3122">
      <c r="B3122" s="9" t="n">
        <v>3120</v>
      </c>
      <c r="C3122" s="10" t="inlineStr">
        <is>
          <t>Kế Toán Thanh Toán- Công Nợ Phải Thu</t>
        </is>
      </c>
      <c r="D3122" s="10" t="inlineStr">
        <is>
          <t>CÔNG TY TNHH MTV BCA - THĂNG LONG</t>
        </is>
      </c>
      <c r="E3122" s="10" t="inlineStr">
        <is>
          <t>Lương:11 Tr - 14 Tr VND</t>
        </is>
      </c>
      <c r="F3122" s="10" t="inlineStr">
        <is>
          <t>Hồ Chí Minh</t>
        </is>
      </c>
      <c r="G3122" s="10" t="inlineStr">
        <is>
          <t>24-03-2026</t>
        </is>
      </c>
      <c r="H3122" s="10" t="inlineStr">
        <is>
          <t>24/03/2026</t>
        </is>
      </c>
      <c r="I3122" s="10" t="inlineStr">
        <is>
          <t>17/03/2026</t>
        </is>
      </c>
      <c r="J3122" s="10" t="inlineStr">
        <is>
          <t>Kế toán / Kiểm toán, Luật / Pháp lý, Tài chính / Đầu tư</t>
        </is>
      </c>
      <c r="K3122" s="10" t="inlineStr">
        <is>
          <t>1 - 2 Năm</t>
        </is>
      </c>
      <c r="L3122" s="11">
        <f>HYPERLINK("https://careerviet.vn/vi/tim-viec-lam/ke-toan-thanh-toan-cong-no-phai-thu.35C695F8.html","Xem chi tiết")</f>
        <v/>
      </c>
      <c r="M3122" s="10" t="n"/>
    </row>
    <row r="3123">
      <c r="B3123" s="7" t="n">
        <v>3121</v>
      </c>
      <c r="C3123" t="inlineStr">
        <is>
          <t>TRỢ LÝ / PHIÊN DỊCH TIẾNG TRUNG 中文翻譯員/助理</t>
        </is>
      </c>
      <c r="D3123" t="inlineStr">
        <is>
          <t>CÔNG TY TNHH POLYTEX FAR EASTERN (VIỆT NAM)</t>
        </is>
      </c>
      <c r="E3123" t="inlineStr">
        <is>
          <t>Lương:10 Tr - 15 Tr VND</t>
        </is>
      </c>
      <c r="F3123" t="inlineStr">
        <is>
          <t>Bình Dương</t>
        </is>
      </c>
      <c r="G3123" t="inlineStr">
        <is>
          <t>25-03-2026</t>
        </is>
      </c>
      <c r="H3123" t="inlineStr">
        <is>
          <t>25/03/2026</t>
        </is>
      </c>
      <c r="I3123" t="inlineStr">
        <is>
          <t>17/03/2026</t>
        </is>
      </c>
      <c r="J3123" t="inlineStr">
        <is>
          <t>Hành chính / Thư ký, Biên phiên dịch</t>
        </is>
      </c>
      <c r="K3123" t="inlineStr">
        <is>
          <t>N/A</t>
        </is>
      </c>
      <c r="L3123" s="8">
        <f>HYPERLINK("https://careerviet.vn/vi/tim-viec-lam/tro-ly-phien-dich-tieng-trung.35C3DAC5.html","Xem chi tiết")</f>
        <v/>
      </c>
    </row>
    <row r="3124">
      <c r="B3124" s="9" t="n">
        <v>3122</v>
      </c>
      <c r="C3124" s="10" t="inlineStr">
        <is>
          <t>[PHENIKAA UNI] Tuyển dụng Chuyên viên - Trung tâm Ngoại ngữ, Tin học và Kĩ năng</t>
        </is>
      </c>
      <c r="D3124" s="10" t="inlineStr">
        <is>
          <t>ĐẠI HỌC PHENIKAA</t>
        </is>
      </c>
      <c r="E3124" s="10" t="inlineStr">
        <is>
          <t>Lương:Cạnh tranh</t>
        </is>
      </c>
      <c r="F3124" s="10" t="inlineStr">
        <is>
          <t>Hà Nội</t>
        </is>
      </c>
      <c r="G3124" s="10" t="inlineStr">
        <is>
          <t>30-04-2026</t>
        </is>
      </c>
      <c r="H3124" s="10" t="inlineStr">
        <is>
          <t>30/04/2026</t>
        </is>
      </c>
      <c r="I3124" s="10" t="inlineStr">
        <is>
          <t>17/03/2026</t>
        </is>
      </c>
      <c r="J3124" s="10" t="inlineStr">
        <is>
          <t>Giáo dục / Đào tạo</t>
        </is>
      </c>
      <c r="K3124" s="10" t="inlineStr">
        <is>
          <t>1 - 2 Năm</t>
        </is>
      </c>
      <c r="L3124" s="11">
        <f>HYPERLINK("https://careerviet.vn/vi/tim-viec-lam/phenikaa-uni-tuyen-dung-chuyen-vien-trung-tam-ngoai-ngu-tin-hoc-va-ki-nang.35C6AEC6.html","Xem chi tiết")</f>
        <v/>
      </c>
      <c r="M3124" s="10" t="n"/>
    </row>
    <row r="3125">
      <c r="B3125" s="7" t="n">
        <v>3123</v>
      </c>
      <c r="C3125" t="inlineStr">
        <is>
          <t>Inspector</t>
        </is>
      </c>
      <c r="D3125" t="inlineStr">
        <is>
          <t>Hong Kong Connections Ltd.</t>
        </is>
      </c>
      <c r="E3125" t="inlineStr">
        <is>
          <t>Lương:20 Tr - 23 Tr VND</t>
        </is>
      </c>
      <c r="F3125" t="inlineStr">
        <is>
          <t>Hồ Chí Minh</t>
        </is>
      </c>
      <c r="G3125" t="inlineStr">
        <is>
          <t>30-04-2026</t>
        </is>
      </c>
      <c r="H3125" t="inlineStr">
        <is>
          <t>30/04/2026</t>
        </is>
      </c>
      <c r="I3125" t="inlineStr">
        <is>
          <t>17/03/2026</t>
        </is>
      </c>
      <c r="J3125" t="inlineStr">
        <is>
          <t>Bán lẻ / Bán sỉ, Bán hàng / Kinh doanh, Nội ngoại thất</t>
        </is>
      </c>
      <c r="K3125" t="inlineStr">
        <is>
          <t>2 - 5 Năm</t>
        </is>
      </c>
      <c r="L3125" s="8">
        <f>HYPERLINK("https://careerviet.vn/vi/tim-viec-lam/inspector.35C6AB9B.html","Xem chi tiết")</f>
        <v/>
      </c>
    </row>
    <row r="3126">
      <c r="B3126" s="9" t="n">
        <v>3124</v>
      </c>
      <c r="C3126" s="10" t="inlineStr">
        <is>
          <t>Legal Team Leader</t>
        </is>
      </c>
      <c r="D3126" s="10" t="inlineStr">
        <is>
          <t>Công Ty TNHH YKK Việt Nam</t>
        </is>
      </c>
      <c r="E3126" s="10" t="inlineStr">
        <is>
          <t>Lương:15 Tr - 21 Tr VND</t>
        </is>
      </c>
      <c r="F3126" s="10" t="inlineStr">
        <is>
          <t>Đồng Nai</t>
        </is>
      </c>
      <c r="G3126" s="10" t="inlineStr">
        <is>
          <t>31-03-2026</t>
        </is>
      </c>
      <c r="H3126" s="10" t="inlineStr">
        <is>
          <t>31/03/2026</t>
        </is>
      </c>
      <c r="I3126" s="10" t="inlineStr">
        <is>
          <t>17/03/2026</t>
        </is>
      </c>
      <c r="J3126" s="10" t="inlineStr">
        <is>
          <t>Hành chính / Thư ký, Quản lý điều hành, Luật / Pháp lý</t>
        </is>
      </c>
      <c r="K3126" s="10" t="inlineStr">
        <is>
          <t>2 - 4 Năm</t>
        </is>
      </c>
      <c r="L3126" s="11">
        <f>HYPERLINK("https://careerviet.vn/vi/tim-viec-lam/legal-team-leader.35C694E4.html","Xem chi tiết")</f>
        <v/>
      </c>
      <c r="M3126" s="10" t="n"/>
    </row>
    <row r="3127">
      <c r="B3127" s="7" t="n">
        <v>3125</v>
      </c>
      <c r="C3127" t="inlineStr">
        <is>
          <t>Nhân Viên Telesales</t>
        </is>
      </c>
      <c r="D3127" t="inlineStr">
        <is>
          <t>CÔNG TY TNHH DỊCH VỤ PHÁT TRIỂN CÔNG NGHỆ HƯNG PHÁT</t>
        </is>
      </c>
      <c r="E3127" t="inlineStr">
        <is>
          <t>Lương:8 Tr - 25 Tr VND</t>
        </is>
      </c>
      <c r="F3127" t="inlineStr">
        <is>
          <t>Hồ Chí Minh</t>
        </is>
      </c>
      <c r="G3127" t="inlineStr">
        <is>
          <t>04-04-2026</t>
        </is>
      </c>
      <c r="H3127" t="inlineStr">
        <is>
          <t>04/04/2026</t>
        </is>
      </c>
      <c r="I3127" t="inlineStr">
        <is>
          <t>17/03/2026</t>
        </is>
      </c>
      <c r="J3127" t="inlineStr">
        <is>
          <t>Bán hàng / Kinh doanh, Bán lẻ / Bán sỉ, Tiếp thị trực tuyến</t>
        </is>
      </c>
      <c r="K3127" t="inlineStr">
        <is>
          <t>1 - 2 Năm</t>
        </is>
      </c>
      <c r="L3127" s="8">
        <f>HYPERLINK("https://careerviet.vn/vi/tim-viec-lam/nhan-vien-telesales.35C6AC9A.html","Xem chi tiết")</f>
        <v/>
      </c>
    </row>
    <row r="3128">
      <c r="B3128" s="9" t="n">
        <v>3126</v>
      </c>
      <c r="C3128" s="10" t="inlineStr">
        <is>
          <t>Nhân Viên Kinh Doanh Không Yêu Cầu Kinh Nghiệm</t>
        </is>
      </c>
      <c r="D3128" s="10" t="inlineStr">
        <is>
          <t>Công Ty TNHH Tập Đoàn Rita Võ</t>
        </is>
      </c>
      <c r="E3128" s="10" t="inlineStr">
        <is>
          <t>Lương:8,4 Tr - 15 Tr VND</t>
        </is>
      </c>
      <c r="F3128" s="10" t="inlineStr">
        <is>
          <t>Hồ Chí Minh</t>
        </is>
      </c>
      <c r="G3128" s="10" t="inlineStr">
        <is>
          <t>04-04-2026</t>
        </is>
      </c>
      <c r="H3128" s="10" t="inlineStr">
        <is>
          <t>04/04/2026</t>
        </is>
      </c>
      <c r="I3128" s="10" t="inlineStr">
        <is>
          <t>17/03/2026</t>
        </is>
      </c>
      <c r="J3128" s="10" t="inlineStr">
        <is>
          <t>Bán hàng / Kinh doanh, Kiến trúc, Xây dựng</t>
        </is>
      </c>
      <c r="K3128" s="10" t="inlineStr">
        <is>
          <t>N/A</t>
        </is>
      </c>
      <c r="L3128" s="11">
        <f>HYPERLINK("https://careerviet.vn/vi/tim-viec-lam/nhan-vien-kinh-doanh-khong-yeu-cau-kinh-nghiem.35C6AE54.html","Xem chi tiết")</f>
        <v/>
      </c>
      <c r="M3128" s="10" t="n"/>
    </row>
    <row r="3129">
      <c r="B3129" s="7" t="n">
        <v>3127</v>
      </c>
      <c r="C3129" t="inlineStr">
        <is>
          <t>Phiên Dịch Tài Liệu Kiêm Thủ Quỹ Và Nhân Sự (Tiếng Trung)</t>
        </is>
      </c>
      <c r="D3129" t="inlineStr">
        <is>
          <t>Cty TNHH Kim Loại Tacheng</t>
        </is>
      </c>
      <c r="E3129" t="inlineStr">
        <is>
          <t>Lương:Cạnh tranh</t>
        </is>
      </c>
      <c r="F3129" t="inlineStr">
        <is>
          <t>Hồ Chí MinhLong AnTây Ninh</t>
        </is>
      </c>
      <c r="G3129" t="inlineStr">
        <is>
          <t>04-04-2026</t>
        </is>
      </c>
      <c r="H3129" t="inlineStr">
        <is>
          <t>04/04/2026</t>
        </is>
      </c>
      <c r="I3129" t="inlineStr">
        <is>
          <t>17/03/2026</t>
        </is>
      </c>
      <c r="J3129" t="inlineStr">
        <is>
          <t>Biên phiên dịch, Nhân sự, Kế toán / Kiểm toán</t>
        </is>
      </c>
      <c r="K3129" t="inlineStr">
        <is>
          <t>Trên 2 Năm</t>
        </is>
      </c>
      <c r="L3129" s="8">
        <f>HYPERLINK("https://careerviet.vn/vi/tim-viec-lam/phien-dich-tai-lieu-kiem-thu-quy-va-nhan-su-tieng-trung.35C6AD32.html","Xem chi tiết")</f>
        <v/>
      </c>
    </row>
    <row r="3130">
      <c r="B3130" s="9" t="n">
        <v>3128</v>
      </c>
      <c r="C3130" s="10" t="inlineStr">
        <is>
          <t>HO - CVCC Chiến lược Quản lý rủi ro, Khối Quản lý rủi ro</t>
        </is>
      </c>
      <c r="D3130" s="10" t="inlineStr">
        <is>
          <t>Ngân Hàng TMCP Phương Đông - OCB</t>
        </is>
      </c>
      <c r="E3130" s="10" t="inlineStr">
        <is>
          <t>Lương:Cạnh tranh</t>
        </is>
      </c>
      <c r="F3130" s="10" t="inlineStr">
        <is>
          <t>Hồ Chí MinhHà Nội</t>
        </is>
      </c>
      <c r="G3130" s="10" t="inlineStr">
        <is>
          <t>30-04-2026</t>
        </is>
      </c>
      <c r="H3130" s="10" t="inlineStr">
        <is>
          <t>30/04/2026</t>
        </is>
      </c>
      <c r="I3130" s="10" t="inlineStr">
        <is>
          <t>17/03/2026</t>
        </is>
      </c>
      <c r="J3130" s="10" t="inlineStr">
        <is>
          <t>Quản lý điều hành, Ngân hàng, Thống kê</t>
        </is>
      </c>
      <c r="K3130" s="10" t="inlineStr">
        <is>
          <t>2 - 4 Năm</t>
        </is>
      </c>
      <c r="L3130" s="11">
        <f>HYPERLINK("https://careerviet.vn/vi/tim-viec-lam/ho-cvcc-chien-luoc-quan-ly-rui-ro-khoi-quan-ly-rui-ro.35C6AB6B.html","Xem chi tiết")</f>
        <v/>
      </c>
      <c r="M3130" s="10" t="n"/>
    </row>
    <row r="3131">
      <c r="B3131" s="7" t="n">
        <v>3129</v>
      </c>
      <c r="C3131" t="inlineStr">
        <is>
          <t>Senior/Lead – Meta Media Buyer (Remote)</t>
        </is>
      </c>
      <c r="D3131" t="inlineStr">
        <is>
          <t>KHCN - Nguyên Dung</t>
        </is>
      </c>
      <c r="E3131" t="inlineStr">
        <is>
          <t>Lương:30 Tr - 40 Tr VND</t>
        </is>
      </c>
      <c r="F3131" t="inlineStr">
        <is>
          <t>Hà NộiHồ Chí Minh</t>
        </is>
      </c>
      <c r="G3131" t="inlineStr">
        <is>
          <t>03-04-2026</t>
        </is>
      </c>
      <c r="H3131" t="inlineStr">
        <is>
          <t>03/04/2026</t>
        </is>
      </c>
      <c r="I3131" t="inlineStr">
        <is>
          <t>17/03/2026</t>
        </is>
      </c>
      <c r="J3131" t="inlineStr">
        <is>
          <t>Tiếp thị / Marketing, Quảng cáo / Đối ngoại / Truyền Thông, Tiếp thị trực tuyến</t>
        </is>
      </c>
      <c r="K3131" t="inlineStr">
        <is>
          <t>3 - 5 Năm</t>
        </is>
      </c>
      <c r="L3131" s="8">
        <f>HYPERLINK("https://careerviet.vn/vi/tim-viec-lam/senior-lead-meta-media-buyer-remote.35C6AD63.html","Xem chi tiết")</f>
        <v/>
      </c>
    </row>
    <row r="3132">
      <c r="B3132" s="9" t="n">
        <v>3130</v>
      </c>
      <c r="C3132" s="10" t="inlineStr">
        <is>
          <t>Nhân Viên Quan Hệ Khách Hàng Doanh Nghiệp</t>
        </is>
      </c>
      <c r="D3132" s="10" t="inlineStr">
        <is>
          <t>Công ty Cho thuê Tài chính TNHH MTV Quốc tế Chailease - CN Hà Nội</t>
        </is>
      </c>
      <c r="E3132" s="10" t="inlineStr">
        <is>
          <t>Lương:Cạnh tranh</t>
        </is>
      </c>
      <c r="F3132" s="10" t="inlineStr">
        <is>
          <t>Hà NộiHải PhòngĐà Nẵng</t>
        </is>
      </c>
      <c r="G3132" s="10" t="inlineStr">
        <is>
          <t>29-03-2026</t>
        </is>
      </c>
      <c r="H3132" s="10" t="inlineStr">
        <is>
          <t>29/03/2026</t>
        </is>
      </c>
      <c r="I3132" s="10" t="inlineStr">
        <is>
          <t>17/03/2026</t>
        </is>
      </c>
      <c r="J3132" s="10" t="inlineStr">
        <is>
          <t>Ngân hàng, Tài chính / Đầu tư, Mới tốt nghiệp / Thực tập</t>
        </is>
      </c>
      <c r="K3132" s="10" t="inlineStr">
        <is>
          <t>N/A</t>
        </is>
      </c>
      <c r="L3132" s="11">
        <f>HYPERLINK("https://careerviet.vn/vi/tim-viec-lam/nhan-vien-quan-he-khach-hang-doanh-nghiep.35C6AB22.html","Xem chi tiết")</f>
        <v/>
      </c>
      <c r="M3132" s="10" t="n"/>
    </row>
    <row r="3133">
      <c r="B3133" s="7" t="n">
        <v>3131</v>
      </c>
      <c r="C3133" t="inlineStr">
        <is>
          <t>Kế Toán Viên</t>
        </is>
      </c>
      <c r="D3133" t="inlineStr">
        <is>
          <t>Công ty Cổ phần Đầu tư và Xúc tiến Thương mại Doanh nghiệp Việt</t>
        </is>
      </c>
      <c r="E3133" t="inlineStr">
        <is>
          <t>Lương:10 Tr - 12 Tr VND</t>
        </is>
      </c>
      <c r="F3133" t="inlineStr">
        <is>
          <t>Hồ Chí Minh</t>
        </is>
      </c>
      <c r="G3133" t="inlineStr">
        <is>
          <t>04-04-2026</t>
        </is>
      </c>
      <c r="H3133" t="inlineStr">
        <is>
          <t>04/04/2026</t>
        </is>
      </c>
      <c r="I3133" t="inlineStr">
        <is>
          <t>17/03/2026</t>
        </is>
      </c>
      <c r="J3133" t="inlineStr">
        <is>
          <t>Kế toán / Kiểm toán, Xuất nhập khẩu, Tài chính / Đầu tư</t>
        </is>
      </c>
      <c r="K3133" t="inlineStr">
        <is>
          <t>Trên 5 Năm</t>
        </is>
      </c>
      <c r="L3133" s="8">
        <f>HYPERLINK("https://careerviet.vn/vi/tim-viec-lam/ke-toan-vien.35C6AEC5.html","Xem chi tiết")</f>
        <v/>
      </c>
    </row>
    <row r="3134">
      <c r="B3134" s="9" t="n">
        <v>3132</v>
      </c>
      <c r="C3134" s="10" t="inlineStr">
        <is>
          <t>NHÂN VIÊN PHÁT TRIỂN THỊ TRƯỜNG</t>
        </is>
      </c>
      <c r="D3134" s="10" t="inlineStr">
        <is>
          <t>CÔNG TY CỔ PHẦN ĐẦU TƯ VÀ PHÁT TRIỂN CÔNG NGHỆ KAVIDO VIỆT NAM</t>
        </is>
      </c>
      <c r="E3134" s="10" t="inlineStr">
        <is>
          <t>Lương:Cạnh tranh</t>
        </is>
      </c>
      <c r="F3134" s="10" t="inlineStr">
        <is>
          <t>Hồ Chí Minh</t>
        </is>
      </c>
      <c r="G3134" s="10" t="inlineStr">
        <is>
          <t>04-04-2026</t>
        </is>
      </c>
      <c r="H3134" s="10" t="inlineStr">
        <is>
          <t>04/04/2026</t>
        </is>
      </c>
      <c r="I3134" s="10" t="inlineStr">
        <is>
          <t>17/03/2026</t>
        </is>
      </c>
      <c r="J3134" s="10" t="inlineStr">
        <is>
          <t>Bán hàng / Kinh doanh, Y tế / Chăm sóc sức khỏe / Thẩm mỹ / Làm đẹp, Dược phẩm/ Hóa Mỹ Phẩm</t>
        </is>
      </c>
      <c r="K3134" s="10" t="inlineStr">
        <is>
          <t>Trên 2 Năm</t>
        </is>
      </c>
      <c r="L3134" s="11">
        <f>HYPERLINK("https://careerviet.vn/vi/tim-viec-lam/nhan-vien-phat-trien-thi-truong.35C6AE63.html","Xem chi tiết")</f>
        <v/>
      </c>
      <c r="M3134" s="10" t="n"/>
    </row>
    <row r="3135">
      <c r="B3135" s="7" t="n">
        <v>3133</v>
      </c>
      <c r="C3135" t="inlineStr">
        <is>
          <t>Giám Đốc Tài Chính (CFO)</t>
        </is>
      </c>
      <c r="D3135" t="inlineStr">
        <is>
          <t>CÔNG TY CỔ PHẦN D&amp;A VIỆT NAM</t>
        </is>
      </c>
      <c r="E3135" t="inlineStr">
        <is>
          <t>Lương:50 Tr - 80 Tr VND</t>
        </is>
      </c>
      <c r="F3135" t="inlineStr">
        <is>
          <t>Hà Nội</t>
        </is>
      </c>
      <c r="G3135" t="inlineStr">
        <is>
          <t>04-04-2026</t>
        </is>
      </c>
      <c r="H3135" t="inlineStr">
        <is>
          <t>04/04/2026</t>
        </is>
      </c>
      <c r="I3135" t="inlineStr">
        <is>
          <t>17/03/2026</t>
        </is>
      </c>
      <c r="J3135" t="inlineStr">
        <is>
          <t>Tài chính / Đầu tư, Quản lý điều hành, Kế toán / Kiểm toán</t>
        </is>
      </c>
      <c r="K3135" t="inlineStr">
        <is>
          <t>7 - 10 Năm</t>
        </is>
      </c>
      <c r="L3135" s="8">
        <f>HYPERLINK("https://careerviet.vn/vi/tim-viec-lam/giam-doc-tai-chinh-cfo.35C6ACF6.html","Xem chi tiết")</f>
        <v/>
      </c>
    </row>
    <row r="3136">
      <c r="B3136" s="9" t="n">
        <v>3134</v>
      </c>
      <c r="C3136" s="10" t="inlineStr">
        <is>
          <t>Material Flow Specialist/Group Leader</t>
        </is>
      </c>
      <c r="D3136" s="10" t="inlineStr">
        <is>
          <t>VINFAST TRADING AND PRODUCTION JSC</t>
        </is>
      </c>
      <c r="E3136" s="10" t="inlineStr">
        <is>
          <t>Lương:Cạnh tranh</t>
        </is>
      </c>
      <c r="F3136" s="10" t="inlineStr">
        <is>
          <t>Hải Phòng</t>
        </is>
      </c>
      <c r="G3136" s="10" t="inlineStr">
        <is>
          <t>04-04-2026</t>
        </is>
      </c>
      <c r="H3136" s="10" t="inlineStr">
        <is>
          <t>04/04/2026</t>
        </is>
      </c>
      <c r="I3136" s="10" t="inlineStr">
        <is>
          <t>17/03/2026</t>
        </is>
      </c>
      <c r="J3136" s="10" t="inlineStr">
        <is>
          <t>Sản xuất / Vận hành sản xuất</t>
        </is>
      </c>
      <c r="K3136" s="10" t="inlineStr">
        <is>
          <t>1 - 3 Năm</t>
        </is>
      </c>
      <c r="L3136" s="11">
        <f>HYPERLINK("https://careerviet.vn/vi/tim-viec-lam/material-flow-specialist-group-leader.35C6AC58.html","Xem chi tiết")</f>
        <v/>
      </c>
      <c r="M3136" s="10" t="n"/>
    </row>
    <row r="3137">
      <c r="B3137" s="7" t="n">
        <v>3135</v>
      </c>
      <c r="C3137" t="inlineStr">
        <is>
          <t>Assistant Project Manager</t>
        </is>
      </c>
      <c r="D3137" t="inlineStr">
        <is>
          <t>PeopleWise Vietnam</t>
        </is>
      </c>
      <c r="E3137" t="inlineStr">
        <is>
          <t>Lương:Cạnh tranh</t>
        </is>
      </c>
      <c r="F3137" t="inlineStr">
        <is>
          <t>Bà Rịa - Vũng Tàu</t>
        </is>
      </c>
      <c r="G3137" t="inlineStr">
        <is>
          <t>11-04-2026</t>
        </is>
      </c>
      <c r="H3137" t="inlineStr">
        <is>
          <t>11/04/2026</t>
        </is>
      </c>
      <c r="I3137" t="inlineStr">
        <is>
          <t>17/03/2026</t>
        </is>
      </c>
      <c r="J3137" t="inlineStr">
        <is>
          <t>Xây dựng, Sản xuất / Vận hành sản xuất, Khoáng sản</t>
        </is>
      </c>
      <c r="K3137" t="inlineStr">
        <is>
          <t>2 - 3 Năm</t>
        </is>
      </c>
      <c r="L3137" s="8">
        <f>HYPERLINK("https://careerviet.vn/vi/tim-viec-lam/assistant-project-manager.35C6AE72.html","Xem chi tiết")</f>
        <v/>
      </c>
    </row>
    <row r="3138">
      <c r="B3138" s="9" t="n">
        <v>3136</v>
      </c>
      <c r="C3138" s="10" t="inlineStr">
        <is>
          <t>Cán Bộ Phòng Kế Hoạch Đấu Thầu</t>
        </is>
      </c>
      <c r="D3138" s="10" t="inlineStr">
        <is>
          <t>TRUNG TÂM TƯ VẤN ĐẦU TƯ VÀ XÂY DỰNG UDIC - CHI NHÁNH TỔNG CÔNG TY ĐẦU TƯ PHÁT TRIỂN HẠ TẦNG ĐÔ THỊ UDIC - CÔNG TY TNHH MỘT THÀNH VIÊN</t>
        </is>
      </c>
      <c r="E3138" s="10" t="inlineStr">
        <is>
          <t>Lương:18 Tr - 25 Tr VND</t>
        </is>
      </c>
      <c r="F3138" s="10" t="inlineStr">
        <is>
          <t>Hà Nội</t>
        </is>
      </c>
      <c r="G3138" s="10" t="inlineStr">
        <is>
          <t>04-04-2026</t>
        </is>
      </c>
      <c r="H3138" s="10" t="inlineStr">
        <is>
          <t>04/04/2026</t>
        </is>
      </c>
      <c r="I3138" s="10" t="inlineStr">
        <is>
          <t>17/03/2026</t>
        </is>
      </c>
      <c r="J3138" s="10" t="inlineStr">
        <is>
          <t>Xây dựng, Bất động sản, Kiến trúc</t>
        </is>
      </c>
      <c r="K3138" s="10" t="inlineStr">
        <is>
          <t>Trên 3 Năm</t>
        </is>
      </c>
      <c r="L3138" s="11">
        <f>HYPERLINK("https://careerviet.vn/vi/tim-viec-lam/can-bo-phong-ke-hoach-dau-thau.35C6AD09.html","Xem chi tiết")</f>
        <v/>
      </c>
      <c r="M3138" s="10" t="n"/>
    </row>
    <row r="3139">
      <c r="B3139" s="7" t="n">
        <v>3137</v>
      </c>
      <c r="C3139" t="inlineStr">
        <is>
          <t>Chuyên viên tuyển dụng</t>
        </is>
      </c>
      <c r="D3139" t="inlineStr">
        <is>
          <t>CÔNG TY CỔ PHẦN PHÁT TRIỂN DỊCH VỤ VÀ THƯƠNG MẠI QUỐC AN</t>
        </is>
      </c>
      <c r="E3139" t="inlineStr">
        <is>
          <t>Lương:10 Tr - 15 Tr VND</t>
        </is>
      </c>
      <c r="F3139" t="inlineStr">
        <is>
          <t>Hà Nội</t>
        </is>
      </c>
      <c r="G3139" t="inlineStr">
        <is>
          <t>04-04-2026</t>
        </is>
      </c>
      <c r="H3139" t="inlineStr">
        <is>
          <t>04/04/2026</t>
        </is>
      </c>
      <c r="I3139" t="inlineStr">
        <is>
          <t>17/03/2026</t>
        </is>
      </c>
      <c r="J3139" t="inlineStr">
        <is>
          <t>Nhân sự, Y tế / Chăm sóc sức khỏe / Thẩm mỹ / Làm đẹp, Hành chính / Thư ký</t>
        </is>
      </c>
      <c r="K3139" t="inlineStr">
        <is>
          <t>Trên 1 Năm</t>
        </is>
      </c>
      <c r="L3139" s="8">
        <f>HYPERLINK("https://careerviet.vn/vi/tim-viec-lam/chuyen-vien-tuyen-dung.35C6AE3F.html","Xem chi tiết")</f>
        <v/>
      </c>
    </row>
    <row r="3140">
      <c r="B3140" s="9" t="n">
        <v>3138</v>
      </c>
      <c r="C3140" s="10" t="inlineStr">
        <is>
          <t>Trưởng bộ phận QA-QC (Có kinh nghiệm xuất khẩu)</t>
        </is>
      </c>
      <c r="D3140" s="10" t="inlineStr">
        <is>
          <t>Công ty Cổ phần TM-SX-DV Gia Thịnh Phát</t>
        </is>
      </c>
      <c r="E3140" s="10" t="inlineStr">
        <is>
          <t>Lương:16 Tr - 18 Tr VND</t>
        </is>
      </c>
      <c r="F3140" s="10" t="inlineStr">
        <is>
          <t>Long An</t>
        </is>
      </c>
      <c r="G3140" s="10" t="inlineStr">
        <is>
          <t>02-04-2026</t>
        </is>
      </c>
      <c r="H3140" s="10" t="inlineStr">
        <is>
          <t>02/04/2026</t>
        </is>
      </c>
      <c r="I3140" s="10" t="inlineStr">
        <is>
          <t>17/03/2026</t>
        </is>
      </c>
      <c r="J3140" s="10" t="inlineStr">
        <is>
          <t>Thực phẩm &amp; Đồ uống, Công nghệ thực phẩm / Dinh dưỡng, Quản lý chất lượng (QA/QC)</t>
        </is>
      </c>
      <c r="K3140" s="10" t="inlineStr">
        <is>
          <t>N/A</t>
        </is>
      </c>
      <c r="L3140" s="11">
        <f>HYPERLINK("https://careerviet.vn/vi/tim-viec-lam/truong-bo-phan-qa-qc-co-kinh-nghiem-xuat-khau.35C6AB3B.html","Xem chi tiết")</f>
        <v/>
      </c>
      <c r="M3140" s="10" t="n"/>
    </row>
    <row r="3141">
      <c r="B3141" s="7" t="n">
        <v>3139</v>
      </c>
      <c r="C3141" t="inlineStr">
        <is>
          <t>Nhân Viên Kỹ Thuật Cơ Khí - Thủy Lực (14-17 tháng lương/năm)</t>
        </is>
      </c>
      <c r="D3141" t="inlineStr">
        <is>
          <t>CÔNG TY CỔ PHẦN QUỐC TẾ THĂNG LONG P&amp;T</t>
        </is>
      </c>
      <c r="E3141" t="inlineStr">
        <is>
          <t>Lương:15 Tr - 18 Tr VND</t>
        </is>
      </c>
      <c r="F3141" t="inlineStr">
        <is>
          <t>Hà Nội</t>
        </is>
      </c>
      <c r="G3141" t="inlineStr">
        <is>
          <t>15-04-2026</t>
        </is>
      </c>
      <c r="H3141" t="inlineStr">
        <is>
          <t>15/04/2026</t>
        </is>
      </c>
      <c r="I3141" t="inlineStr">
        <is>
          <t>17/03/2026</t>
        </is>
      </c>
      <c r="J3141" t="inlineStr">
        <is>
          <t>Cơ khí / Ô tô / Tự động hóa, Điện / Điện tử / Điện lạnh / Điện công nghiệp, Bảo trì / Sửa chữa</t>
        </is>
      </c>
      <c r="K3141" t="inlineStr">
        <is>
          <t>1 - 2 Năm</t>
        </is>
      </c>
      <c r="L3141" s="8">
        <f>HYPERLINK("https://careerviet.vn/vi/tim-viec-lam/nhan-vien-ky-thuat-co-khi-thuy-luc-14-17-thang-luong-nam.35C6ACDF.html","Xem chi tiết")</f>
        <v/>
      </c>
    </row>
    <row r="3142">
      <c r="B3142" s="9" t="n">
        <v>3140</v>
      </c>
      <c r="C3142" s="10" t="inlineStr">
        <is>
          <t>Nhân Viên Kinh Doanh TBYT</t>
        </is>
      </c>
      <c r="D3142" s="10" t="inlineStr">
        <is>
          <t>Công Ty Cổ Phần Hợp Tác Quốc Tế Việt - Hàn</t>
        </is>
      </c>
      <c r="E3142" s="10" t="inlineStr">
        <is>
          <t>Lương:15 Tr - 20 Tr VND</t>
        </is>
      </c>
      <c r="F3142" s="10" t="inlineStr">
        <is>
          <t>Hà NộiHồ Chí Minh</t>
        </is>
      </c>
      <c r="G3142" s="10" t="inlineStr">
        <is>
          <t>24-03-2026</t>
        </is>
      </c>
      <c r="H3142" s="10" t="inlineStr">
        <is>
          <t>24/03/2026</t>
        </is>
      </c>
      <c r="I3142" s="10" t="inlineStr">
        <is>
          <t>17/03/2026</t>
        </is>
      </c>
      <c r="J3142" s="10" t="inlineStr">
        <is>
          <t>Bán hàng / Kinh doanh, Y tế / Chăm sóc sức khỏe / Thẩm mỹ / Làm đẹp, Tư vấn</t>
        </is>
      </c>
      <c r="K3142" s="10" t="inlineStr">
        <is>
          <t>N/A</t>
        </is>
      </c>
      <c r="L3142" s="11">
        <f>HYPERLINK("https://careerviet.vn/vi/tim-viec-lam/nhan-vien-kinh-doanh-tbyt.35C69584.html","Xem chi tiết")</f>
        <v/>
      </c>
      <c r="M3142" s="10" t="n"/>
    </row>
    <row r="3143">
      <c r="B3143" s="7" t="n">
        <v>3141</v>
      </c>
      <c r="C3143" t="inlineStr">
        <is>
          <t>Senior PR &amp; Communication</t>
        </is>
      </c>
      <c r="D3143" t="inlineStr">
        <is>
          <t>CÔNG TY CỔ PHẦN GLOBAL LINK</t>
        </is>
      </c>
      <c r="E3143" t="inlineStr">
        <is>
          <t>Lương:Cạnh tranh</t>
        </is>
      </c>
      <c r="F3143" t="inlineStr">
        <is>
          <t>Hồ Chí Minh</t>
        </is>
      </c>
      <c r="G3143" t="inlineStr">
        <is>
          <t>03-04-2026</t>
        </is>
      </c>
      <c r="H3143" t="inlineStr">
        <is>
          <t>03/04/2026</t>
        </is>
      </c>
      <c r="I3143" t="inlineStr">
        <is>
          <t>17/03/2026</t>
        </is>
      </c>
      <c r="J3143" t="inlineStr">
        <is>
          <t>Quảng cáo / Đối ngoại / Truyền Thông, Tiếp thị / Marketing, Truyền hình / Báo chí / Biên tập</t>
        </is>
      </c>
      <c r="K3143" t="inlineStr">
        <is>
          <t>3 - 5 Năm</t>
        </is>
      </c>
      <c r="L3143" s="8">
        <f>HYPERLINK("https://careerviet.vn/vi/tim-viec-lam/senior-pr-communication.35C6AE60.html","Xem chi tiết")</f>
        <v/>
      </c>
    </row>
    <row r="3144">
      <c r="B3144" s="9" t="n">
        <v>3142</v>
      </c>
      <c r="C3144" s="10" t="inlineStr">
        <is>
          <t>Trưởng phòng Khách hàng Doanh nghiệp - Chi nhánh Bình Phước</t>
        </is>
      </c>
      <c r="D3144" s="10" t="inlineStr">
        <is>
          <t>Ngân hàng TMCP Phát triển TP.HCM (HDBank)</t>
        </is>
      </c>
      <c r="E3144" s="10" t="inlineStr">
        <is>
          <t>Lương:Cạnh tranh</t>
        </is>
      </c>
      <c r="F3144" s="10" t="inlineStr">
        <is>
          <t>Bình Phước</t>
        </is>
      </c>
      <c r="G3144" s="10" t="inlineStr">
        <is>
          <t>04-04-2026</t>
        </is>
      </c>
      <c r="H3144" s="10" t="inlineStr">
        <is>
          <t>04/04/2026</t>
        </is>
      </c>
      <c r="I3144" s="10" t="inlineStr">
        <is>
          <t>17/03/2026</t>
        </is>
      </c>
      <c r="J3144" s="10" t="inlineStr">
        <is>
          <t>Ngân hàng, Tài chính / Đầu tư</t>
        </is>
      </c>
      <c r="K3144" s="10" t="inlineStr">
        <is>
          <t>3 - 10 Năm</t>
        </is>
      </c>
      <c r="L3144" s="11">
        <f>HYPERLINK("https://careerviet.vn/vi/tim-viec-lam/truong-phong-khach-hang-doanh-nghiep-chi-nhanh-binh-phuoc.35C6AB79.html","Xem chi tiết")</f>
        <v/>
      </c>
      <c r="M3144" s="10" t="n"/>
    </row>
    <row r="3145">
      <c r="B3145" s="7" t="n">
        <v>3143</v>
      </c>
      <c r="C3145" t="inlineStr">
        <is>
          <t>Nhân Viên Bảo Trì Điện, Cơ khí</t>
        </is>
      </c>
      <c r="D3145" t="inlineStr">
        <is>
          <t>CÔNG TY TNHH M.E.NIKKISO VIỆT NAM</t>
        </is>
      </c>
      <c r="E3145" t="inlineStr">
        <is>
          <t>Lương:Cạnh tranh</t>
        </is>
      </c>
      <c r="F3145" t="inlineStr">
        <is>
          <t>Hồ Chí Minh</t>
        </is>
      </c>
      <c r="G3145" t="inlineStr">
        <is>
          <t>03-04-2026</t>
        </is>
      </c>
      <c r="H3145" t="inlineStr">
        <is>
          <t>03/04/2026</t>
        </is>
      </c>
      <c r="I3145" t="inlineStr">
        <is>
          <t>17/03/2026</t>
        </is>
      </c>
      <c r="J3145" t="inlineStr">
        <is>
          <t>Điện / Điện tử / Điện lạnh / Điện công nghiệp, Bảo trì / Sửa chữa, Sản xuất / Vận hành sản xuất</t>
        </is>
      </c>
      <c r="K3145" t="inlineStr">
        <is>
          <t>Không yêu cầu kinh nghiệm</t>
        </is>
      </c>
      <c r="L3145" s="8">
        <f>HYPERLINK("https://careerviet.vn/vi/tim-viec-lam/nhan-vien-bao-tri-dien-co-khi.35C6ACD6.html","Xem chi tiết")</f>
        <v/>
      </c>
    </row>
    <row r="3146">
      <c r="B3146" s="9" t="n">
        <v>3144</v>
      </c>
      <c r="C3146" s="10" t="inlineStr">
        <is>
          <t>Nhân Viên Văn Phòng</t>
        </is>
      </c>
      <c r="D3146" s="10" t="inlineStr">
        <is>
          <t>CÔNG TY TNHH DU LỊCH HT GROUP</t>
        </is>
      </c>
      <c r="E3146" s="10" t="inlineStr">
        <is>
          <t>Lương:Cạnh tranh</t>
        </is>
      </c>
      <c r="F3146" s="10" t="inlineStr">
        <is>
          <t>Hồ Chí MinhKiên Giang</t>
        </is>
      </c>
      <c r="G3146" s="10" t="inlineStr">
        <is>
          <t>03-04-2026</t>
        </is>
      </c>
      <c r="H3146" s="10" t="inlineStr">
        <is>
          <t>03/04/2026</t>
        </is>
      </c>
      <c r="I3146" s="10" t="inlineStr">
        <is>
          <t>17/03/2026</t>
        </is>
      </c>
      <c r="J3146" s="10" t="inlineStr">
        <is>
          <t>Du lịch, Tư vấn, Hành chính / Thư ký</t>
        </is>
      </c>
      <c r="K3146" s="10" t="inlineStr">
        <is>
          <t>N/A</t>
        </is>
      </c>
      <c r="L3146" s="11">
        <f>HYPERLINK("https://careerviet.vn/vi/tim-viec-lam/nhan-vien-van-phong.35C6AEBE.html","Xem chi tiết")</f>
        <v/>
      </c>
      <c r="M3146" s="10" t="n"/>
    </row>
    <row r="3147">
      <c r="B3147" s="7" t="n">
        <v>3145</v>
      </c>
      <c r="C3147" t="inlineStr">
        <is>
          <t>Trưởng phòng Marketing mạnh Brand và Trade</t>
        </is>
      </c>
      <c r="D3147" t="inlineStr">
        <is>
          <t>CÔNG TY TNHH TOHOGENKAI VIỆT NAM</t>
        </is>
      </c>
      <c r="E3147" t="inlineStr">
        <is>
          <t>Lương:20 Tr - 30 Tr VND</t>
        </is>
      </c>
      <c r="F3147" t="inlineStr">
        <is>
          <t>Hà Nội</t>
        </is>
      </c>
      <c r="G3147" t="inlineStr">
        <is>
          <t>04-04-2026</t>
        </is>
      </c>
      <c r="H3147" t="inlineStr">
        <is>
          <t>04/04/2026</t>
        </is>
      </c>
      <c r="I3147" t="inlineStr">
        <is>
          <t>17/03/2026</t>
        </is>
      </c>
      <c r="J3147" t="inlineStr">
        <is>
          <t>Tiếp thị / Marketing, Thực phẩm &amp; Đồ uống, Bán hàng / Kinh doanh</t>
        </is>
      </c>
      <c r="K3147" t="inlineStr">
        <is>
          <t>5 - 7 Năm</t>
        </is>
      </c>
      <c r="L3147" s="8">
        <f>HYPERLINK("https://careerviet.vn/vi/tim-viec-lam/truong-phong-marketing-manh-brand-va-trade.35C6ACC1.html","Xem chi tiết")</f>
        <v/>
      </c>
    </row>
    <row r="3148">
      <c r="B3148" s="9" t="n">
        <v>3146</v>
      </c>
      <c r="C3148" s="10" t="inlineStr">
        <is>
          <t>Giám Đốc Ban Quản Lý Dự Án</t>
        </is>
      </c>
      <c r="D3148" s="10" t="inlineStr">
        <is>
          <t>Tổng Công ty Vận Tải Thủy</t>
        </is>
      </c>
      <c r="E3148" s="10" t="inlineStr">
        <is>
          <t>Lương:Cạnh tranh</t>
        </is>
      </c>
      <c r="F3148" s="10" t="inlineStr">
        <is>
          <t>Hà Nội</t>
        </is>
      </c>
      <c r="G3148" s="10" t="inlineStr">
        <is>
          <t>11-04-2026</t>
        </is>
      </c>
      <c r="H3148" s="10" t="inlineStr">
        <is>
          <t>11/04/2026</t>
        </is>
      </c>
      <c r="I3148" s="10" t="inlineStr">
        <is>
          <t>17/03/2026</t>
        </is>
      </c>
      <c r="J3148" s="10" t="inlineStr">
        <is>
          <t>Xây dựng</t>
        </is>
      </c>
      <c r="K3148" s="10" t="inlineStr">
        <is>
          <t>5 - 10 Năm</t>
        </is>
      </c>
      <c r="L3148" s="11">
        <f>HYPERLINK("https://careerviet.vn/vi/tim-viec-lam/giam-doc-ban-quan-ly-du-an.35C6AD8C.html","Xem chi tiết")</f>
        <v/>
      </c>
      <c r="M3148" s="10" t="n"/>
    </row>
    <row r="3149">
      <c r="B3149" s="7" t="n">
        <v>3147</v>
      </c>
      <c r="C3149" t="inlineStr">
        <is>
          <t>Senior Business Analyst / Associate Product Manager</t>
        </is>
      </c>
      <c r="D3149" t="inlineStr">
        <is>
          <t>CÔNG TY TNHH SKYLAB INNOGRAM VIỆT NAM</t>
        </is>
      </c>
      <c r="E3149" t="inlineStr">
        <is>
          <t>Lương:Cạnh tranh</t>
        </is>
      </c>
      <c r="F3149" t="inlineStr">
        <is>
          <t>Hồ Chí Minh</t>
        </is>
      </c>
      <c r="G3149" t="inlineStr">
        <is>
          <t>04-04-2026</t>
        </is>
      </c>
      <c r="H3149" t="inlineStr">
        <is>
          <t>04/04/2026</t>
        </is>
      </c>
      <c r="I3149" t="inlineStr">
        <is>
          <t>17/03/2026</t>
        </is>
      </c>
      <c r="J3149" t="inlineStr">
        <is>
          <t>CNTT - Phần mềm, CNTT - Phần cứng / Mạng, Ngành khác</t>
        </is>
      </c>
      <c r="K3149" t="inlineStr">
        <is>
          <t>Trên 5 Năm</t>
        </is>
      </c>
      <c r="L3149" s="8">
        <f>HYPERLINK("https://careerviet.vn/vi/tim-viec-lam/senior-business-analyst-associate-product-manager.35C6AD7E.html","Xem chi tiết")</f>
        <v/>
      </c>
    </row>
    <row r="3150">
      <c r="B3150" s="9" t="n">
        <v>3148</v>
      </c>
      <c r="C3150" s="10" t="inlineStr">
        <is>
          <t>128405 - Tiếng Nhật - Giám đốc Bộ phận Hành chính  - ngành Sản xuất</t>
        </is>
      </c>
      <c r="D3150" s="10" t="inlineStr">
        <is>
          <t>RGF HR Agent Vietnam Co., LTD</t>
        </is>
      </c>
      <c r="E3150" s="10" t="inlineStr">
        <is>
          <t>Lương:35 Tr - 60 Tr VND</t>
        </is>
      </c>
      <c r="F3150" s="10" t="inlineStr">
        <is>
          <t>Vĩnh Phúc</t>
        </is>
      </c>
      <c r="G3150" s="10" t="inlineStr">
        <is>
          <t>11-04-2026</t>
        </is>
      </c>
      <c r="H3150" s="10" t="inlineStr">
        <is>
          <t>11/04/2026</t>
        </is>
      </c>
      <c r="I3150" s="10" t="inlineStr">
        <is>
          <t>17/03/2026</t>
        </is>
      </c>
      <c r="J3150" s="10" t="inlineStr">
        <is>
          <t>Hành chính / Thư ký, Quản lý điều hành</t>
        </is>
      </c>
      <c r="K3150" s="10" t="inlineStr">
        <is>
          <t>Trên 5 Năm</t>
        </is>
      </c>
      <c r="L3150" s="11">
        <f>HYPERLINK("https://careerviet.vn/vi/tim-viec-lam/128405-tieng-nhat-giam-doc-bo-phan-hanh-chinh-nganh-san-xuat.35C6C07A.html","Xem chi tiết")</f>
        <v/>
      </c>
      <c r="M3150" s="10" t="n"/>
    </row>
    <row r="3151">
      <c r="B3151" s="7" t="n">
        <v>3149</v>
      </c>
      <c r="C3151" t="inlineStr">
        <is>
          <t>Quality Engineer</t>
        </is>
      </c>
      <c r="D3151" t="inlineStr">
        <is>
          <t>XP Power  Vietnam</t>
        </is>
      </c>
      <c r="E3151" t="inlineStr">
        <is>
          <t>Lương:Cạnh tranh</t>
        </is>
      </c>
      <c r="F3151" t="inlineStr">
        <is>
          <t>Bình Dương</t>
        </is>
      </c>
      <c r="G3151" t="inlineStr">
        <is>
          <t>Hôm nay</t>
        </is>
      </c>
      <c r="H3151" t="inlineStr">
        <is>
          <t>17/03/2026</t>
        </is>
      </c>
      <c r="I3151" t="inlineStr">
        <is>
          <t>17/03/2026</t>
        </is>
      </c>
      <c r="J3151" t="inlineStr">
        <is>
          <t>Điện / Điện tử / Điện lạnh / Điện công nghiệp, Sản xuất / Vận hành sản xuất, Quản lý chất lượng (QA/QC)</t>
        </is>
      </c>
      <c r="K3151" t="inlineStr">
        <is>
          <t>3 - 5 Năm</t>
        </is>
      </c>
      <c r="L3151" s="8">
        <f>HYPERLINK("https://careerviet.vn/vi/tim-viec-lam/quality-engineer.35C65C73.html","Xem chi tiết")</f>
        <v/>
      </c>
    </row>
    <row r="3152">
      <c r="B3152" s="9" t="n">
        <v>3150</v>
      </c>
      <c r="C3152" s="10" t="inlineStr">
        <is>
          <t>Senior Wholesale Executive (Fashion Retail)</t>
        </is>
      </c>
      <c r="D3152" s="10" t="inlineStr">
        <is>
          <t>Central Brand &amp; Specialty Việt Nam</t>
        </is>
      </c>
      <c r="E3152" s="10" t="inlineStr">
        <is>
          <t>Lương:Cạnh tranh</t>
        </is>
      </c>
      <c r="F3152" s="10" t="inlineStr">
        <is>
          <t>Hồ Chí Minh</t>
        </is>
      </c>
      <c r="G3152" s="10" t="inlineStr">
        <is>
          <t>01-04-2026</t>
        </is>
      </c>
      <c r="H3152" s="10" t="inlineStr">
        <is>
          <t>01/04/2026</t>
        </is>
      </c>
      <c r="I3152" s="10" t="inlineStr">
        <is>
          <t>17/03/2026</t>
        </is>
      </c>
      <c r="J3152" s="10" t="inlineStr">
        <is>
          <t>Bán lẻ / Bán sỉ, Bán hàng / Kinh doanh, Dệt may / Da giày / Thời trang</t>
        </is>
      </c>
      <c r="K3152" s="10" t="inlineStr">
        <is>
          <t>2 - 5 Năm</t>
        </is>
      </c>
      <c r="L3152" s="11">
        <f>HYPERLINK("https://careerviet.vn/vi/tim-viec-lam/senior-wholesale-executive-fashion-retail.35C6AE94.html","Xem chi tiết")</f>
        <v/>
      </c>
      <c r="M3152" s="10" t="n"/>
    </row>
    <row r="3153">
      <c r="B3153" s="7" t="n">
        <v>3151</v>
      </c>
      <c r="C3153" t="inlineStr">
        <is>
          <t>[Tân Đông Hiệp Dĩ An] Nhân Viên Kế Toán</t>
        </is>
      </c>
      <c r="D3153" t="inlineStr">
        <is>
          <t>Công Ty Cổ Phần Vacxin Việt Nam</t>
        </is>
      </c>
      <c r="E3153" t="inlineStr">
        <is>
          <t>Lương:Cạnh tranh</t>
        </is>
      </c>
      <c r="F3153" t="inlineStr">
        <is>
          <t>Bình Dương</t>
        </is>
      </c>
      <c r="G3153" t="inlineStr">
        <is>
          <t>30-04-2026</t>
        </is>
      </c>
      <c r="H3153" t="inlineStr">
        <is>
          <t>30/04/2026</t>
        </is>
      </c>
      <c r="I3153" t="inlineStr">
        <is>
          <t>17/03/2026</t>
        </is>
      </c>
      <c r="J3153" t="inlineStr">
        <is>
          <t>Kế toán / Kiểm toán</t>
        </is>
      </c>
      <c r="K3153" t="inlineStr">
        <is>
          <t>1 - 2 Năm</t>
        </is>
      </c>
      <c r="L3153" s="8">
        <f>HYPERLINK("https://careerviet.vn/vi/tim-viec-lam/tan-dong-hiep-di-an-nhan-vien-ke-toan.35C6AD7A.html","Xem chi tiết")</f>
        <v/>
      </c>
    </row>
    <row r="3154">
      <c r="B3154" s="9" t="n">
        <v>3152</v>
      </c>
      <c r="C3154" s="10" t="inlineStr">
        <is>
          <t>128418 - Kỹ sư Dịch vụ Khách hàng - mảng IT</t>
        </is>
      </c>
      <c r="D3154" s="10" t="inlineStr">
        <is>
          <t>RGF HR Agent Vietnam Co., LTD</t>
        </is>
      </c>
      <c r="E3154" s="10" t="inlineStr">
        <is>
          <t>Lương:20 Tr - 30 Tr VND</t>
        </is>
      </c>
      <c r="F3154" s="10" t="inlineStr">
        <is>
          <t>Hà Nội</t>
        </is>
      </c>
      <c r="G3154" s="10" t="inlineStr">
        <is>
          <t>11-04-2026</t>
        </is>
      </c>
      <c r="H3154" s="10" t="inlineStr">
        <is>
          <t>11/04/2026</t>
        </is>
      </c>
      <c r="I3154" s="10" t="inlineStr">
        <is>
          <t>17/03/2026</t>
        </is>
      </c>
      <c r="J3154" s="10" t="inlineStr">
        <is>
          <t>Dịch vụ khách hàng, Bán Hàng Kỹ Thuật, CNTT - Phần mềm</t>
        </is>
      </c>
      <c r="K3154" s="10" t="inlineStr">
        <is>
          <t>Trên 2 Năm</t>
        </is>
      </c>
      <c r="L3154" s="11">
        <f>HYPERLINK("https://careerviet.vn/vi/tim-viec-lam/128418-ky-su-dich-vu-khach-hang-mang-it.35C6C065.html","Xem chi tiết")</f>
        <v/>
      </c>
      <c r="M3154" s="10" t="n"/>
    </row>
    <row r="3155">
      <c r="B3155" s="7" t="n">
        <v>3153</v>
      </c>
      <c r="C3155" t="inlineStr">
        <is>
          <t>3D Artist</t>
        </is>
      </c>
      <c r="D3155" t="inlineStr">
        <is>
          <t>Simpson Strong Tie Viet Nam Company Limited</t>
        </is>
      </c>
      <c r="E3155" t="inlineStr">
        <is>
          <t>Lương:Cạnh tranh</t>
        </is>
      </c>
      <c r="F3155" t="inlineStr">
        <is>
          <t>Hồ Chí Minh</t>
        </is>
      </c>
      <c r="G3155" t="inlineStr">
        <is>
          <t>10-04-2026</t>
        </is>
      </c>
      <c r="H3155" t="inlineStr">
        <is>
          <t>10/04/2026</t>
        </is>
      </c>
      <c r="I3155" t="inlineStr">
        <is>
          <t>17/03/2026</t>
        </is>
      </c>
      <c r="J3155" t="inlineStr">
        <is>
          <t>Mỹ thuật / Nghệ thuật / Thiết kế</t>
        </is>
      </c>
      <c r="K3155" t="inlineStr">
        <is>
          <t>2 - 5 Năm</t>
        </is>
      </c>
      <c r="L3155" s="8">
        <f>HYPERLINK("https://careerviet.vn/vi/tim-viec-lam/3d-artist.35C6AD55.html","Xem chi tiết")</f>
        <v/>
      </c>
    </row>
    <row r="3156">
      <c r="B3156" s="9" t="n">
        <v>3154</v>
      </c>
      <c r="C3156" s="10" t="inlineStr">
        <is>
          <t>Admin mua hàng</t>
        </is>
      </c>
      <c r="D3156" s="10" t="inlineStr">
        <is>
          <t>Công Ty Cổ Phần Tập Đoàn Hùng Nhơn</t>
        </is>
      </c>
      <c r="E3156" s="10" t="inlineStr">
        <is>
          <t>Lương:Cạnh tranh</t>
        </is>
      </c>
      <c r="F3156" s="10" t="inlineStr">
        <is>
          <t>Hồ Chí Minh</t>
        </is>
      </c>
      <c r="G3156" s="10" t="inlineStr">
        <is>
          <t>11-04-2026</t>
        </is>
      </c>
      <c r="H3156" s="10" t="inlineStr">
        <is>
          <t>11/04/2026</t>
        </is>
      </c>
      <c r="I3156" s="10" t="inlineStr">
        <is>
          <t>17/03/2026</t>
        </is>
      </c>
      <c r="J3156" s="10" t="inlineStr">
        <is>
          <t>Thu mua / Vật tư, Nông nghiệp, Chăn nuôi / Thú y</t>
        </is>
      </c>
      <c r="K3156" s="10" t="inlineStr">
        <is>
          <t>1 - 2 Năm</t>
        </is>
      </c>
      <c r="L3156" s="11">
        <f>HYPERLINK("https://careerviet.vn/vi/tim-viec-lam/admin-mua-hang.35C6C074.html","Xem chi tiết")</f>
        <v/>
      </c>
      <c r="M3156" s="10" t="n"/>
    </row>
    <row r="3157">
      <c r="B3157" s="7" t="n">
        <v>3155</v>
      </c>
      <c r="C3157" t="inlineStr">
        <is>
          <t>Trưởng Phòng Thiết Kế Cơ Điện</t>
        </is>
      </c>
      <c r="D3157" t="inlineStr">
        <is>
          <t>Công Ty Cổ Phần Thiết Kế Và Xây Dựng Giza Việt Nam</t>
        </is>
      </c>
      <c r="E3157" t="inlineStr">
        <is>
          <t>Lương:Cạnh tranh</t>
        </is>
      </c>
      <c r="F3157" t="inlineStr">
        <is>
          <t>Hà Nội</t>
        </is>
      </c>
      <c r="G3157" t="inlineStr">
        <is>
          <t>10-04-2026</t>
        </is>
      </c>
      <c r="H3157" t="inlineStr">
        <is>
          <t>10/04/2026</t>
        </is>
      </c>
      <c r="I3157" t="inlineStr">
        <is>
          <t>17/03/2026</t>
        </is>
      </c>
      <c r="J3157" t="inlineStr">
        <is>
          <t>Điện / Điện tử / Điện lạnh / Điện công nghiệp, Xây dựng, Quản lý điều hành</t>
        </is>
      </c>
      <c r="K3157" t="inlineStr">
        <is>
          <t>3 - 5 Năm</t>
        </is>
      </c>
      <c r="L3157" s="8">
        <f>HYPERLINK("https://careerviet.vn/vi/tim-viec-lam/truong-phong-thiet-ke-co-dien.35C6C06E.html","Xem chi tiết")</f>
        <v/>
      </c>
    </row>
    <row r="3158">
      <c r="B3158" s="9" t="n">
        <v>3156</v>
      </c>
      <c r="C3158" s="10" t="inlineStr">
        <is>
          <t>TUYỂN 5 NV MERCHANDISER</t>
        </is>
      </c>
      <c r="D3158" s="10" t="inlineStr">
        <is>
          <t>Thuan Phuong Group</t>
        </is>
      </c>
      <c r="E3158" s="10" t="inlineStr">
        <is>
          <t>Lương:15 Tr - 30 Tr VND</t>
        </is>
      </c>
      <c r="F3158" s="10" t="inlineStr">
        <is>
          <t>Hồ Chí Minh</t>
        </is>
      </c>
      <c r="G3158" s="10" t="inlineStr">
        <is>
          <t>11-04-2026</t>
        </is>
      </c>
      <c r="H3158" s="10" t="inlineStr">
        <is>
          <t>11/04/2026</t>
        </is>
      </c>
      <c r="I3158" s="10" t="inlineStr">
        <is>
          <t>17/03/2026</t>
        </is>
      </c>
      <c r="J3158" s="10" t="inlineStr">
        <is>
          <t>Dệt may / Da giày / Thời trang</t>
        </is>
      </c>
      <c r="K3158" s="10" t="inlineStr">
        <is>
          <t>2 - 5 Năm</t>
        </is>
      </c>
      <c r="L3158" s="11">
        <f>HYPERLINK("https://careerviet.vn/vi/tim-viec-lam/tuyen-5-nv-merchandiser.35C6C053.html","Xem chi tiết")</f>
        <v/>
      </c>
      <c r="M3158" s="10" t="n"/>
    </row>
    <row r="3159">
      <c r="B3159" s="7" t="n">
        <v>3157</v>
      </c>
      <c r="C3159" t="inlineStr">
        <is>
          <t>Phó Giám đốc (Warehouse)</t>
        </is>
      </c>
      <c r="D3159" t="inlineStr">
        <is>
          <t>Công ty Cổ phần Transimex Logisitcs</t>
        </is>
      </c>
      <c r="E3159" t="inlineStr">
        <is>
          <t>Lương:Cạnh tranh</t>
        </is>
      </c>
      <c r="F3159" t="inlineStr">
        <is>
          <t>Hồ Chí Minh</t>
        </is>
      </c>
      <c r="G3159" t="inlineStr">
        <is>
          <t>11-04-2026</t>
        </is>
      </c>
      <c r="H3159" t="inlineStr">
        <is>
          <t>11/04/2026</t>
        </is>
      </c>
      <c r="I3159" t="inlineStr">
        <is>
          <t>17/03/2026</t>
        </is>
      </c>
      <c r="J3159" t="inlineStr">
        <is>
          <t>Vận chuyển / Giao nhận / Kho vận, Quản lý điều hành, Xuất nhập khẩu</t>
        </is>
      </c>
      <c r="K3159" t="inlineStr">
        <is>
          <t>Trên 5 Năm</t>
        </is>
      </c>
      <c r="L3159" s="8">
        <f>HYPERLINK("https://careerviet.vn/vi/tim-viec-lam/pho-giam-doc-warehouse.35C6C057.html","Xem chi tiết")</f>
        <v/>
      </c>
    </row>
    <row r="3160">
      <c r="B3160" s="9" t="n">
        <v>3158</v>
      </c>
      <c r="C3160" s="10" t="inlineStr">
        <is>
          <t>Assistant EHS Manager</t>
        </is>
      </c>
      <c r="D3160" s="10" t="inlineStr">
        <is>
          <t>XP Power  Vietnam</t>
        </is>
      </c>
      <c r="E3160" s="10" t="inlineStr">
        <is>
          <t>Lương:Cạnh tranh</t>
        </is>
      </c>
      <c r="F3160" s="10" t="inlineStr">
        <is>
          <t>Bình Dương</t>
        </is>
      </c>
      <c r="G3160" s="10" t="inlineStr">
        <is>
          <t>25-03-2026</t>
        </is>
      </c>
      <c r="H3160" s="10" t="inlineStr">
        <is>
          <t>25/03/2026</t>
        </is>
      </c>
      <c r="I3160" s="10" t="inlineStr">
        <is>
          <t>17/03/2026</t>
        </is>
      </c>
      <c r="J3160" s="10" t="inlineStr">
        <is>
          <t>Môi trường, An toàn lao động</t>
        </is>
      </c>
      <c r="K3160" s="10" t="inlineStr">
        <is>
          <t>5 - 7 Năm</t>
        </is>
      </c>
      <c r="L3160" s="11">
        <f>HYPERLINK("https://careerviet.vn/vi/tim-viec-lam/assistant-ehs-manager.35C69553.html","Xem chi tiết")</f>
        <v/>
      </c>
      <c r="M3160" s="10" t="n"/>
    </row>
    <row r="3161">
      <c r="B3161" s="7" t="n">
        <v>3159</v>
      </c>
      <c r="C3161" t="inlineStr">
        <is>
          <t>Nhân viên lái xe giao hàng (Kho vận Hồ Chí Minh)</t>
        </is>
      </c>
      <c r="D3161" t="inlineStr">
        <is>
          <t>Công Ty Cổ Phần Sữa Việt Nam (Vinamilk)</t>
        </is>
      </c>
      <c r="E3161" t="inlineStr">
        <is>
          <t>Lương:Cạnh tranh</t>
        </is>
      </c>
      <c r="F3161" t="inlineStr">
        <is>
          <t>Hồ Chí Minh</t>
        </is>
      </c>
      <c r="G3161" t="inlineStr">
        <is>
          <t>10-04-2026</t>
        </is>
      </c>
      <c r="H3161" t="inlineStr">
        <is>
          <t>10/04/2026</t>
        </is>
      </c>
      <c r="I3161" t="inlineStr">
        <is>
          <t>17/03/2026</t>
        </is>
      </c>
      <c r="J3161" t="inlineStr">
        <is>
          <t>Vận chuyển / Giao nhận / Kho vận</t>
        </is>
      </c>
      <c r="K3161" t="inlineStr">
        <is>
          <t>1 - 2 Năm</t>
        </is>
      </c>
      <c r="L3161" s="8">
        <f>HYPERLINK("https://careerviet.vn/vi/tim-viec-lam/nhan-vien-lai-xe-giao-hang-kho-van-ho-chi-minh.35C6C05C.html","Xem chi tiết")</f>
        <v/>
      </c>
    </row>
    <row r="3162">
      <c r="B3162" s="9" t="n">
        <v>3160</v>
      </c>
      <c r="C3162" s="10" t="inlineStr">
        <is>
          <t>Debug Engineer</t>
        </is>
      </c>
      <c r="D3162" s="10" t="inlineStr">
        <is>
          <t>XP Power  Vietnam</t>
        </is>
      </c>
      <c r="E3162" s="10" t="inlineStr">
        <is>
          <t>Lương:Cạnh tranh</t>
        </is>
      </c>
      <c r="F3162" s="10" t="inlineStr">
        <is>
          <t>Bình Dương</t>
        </is>
      </c>
      <c r="G3162" s="10" t="inlineStr">
        <is>
          <t>07-04-2026</t>
        </is>
      </c>
      <c r="H3162" s="10" t="inlineStr">
        <is>
          <t>07/04/2026</t>
        </is>
      </c>
      <c r="I3162" s="10" t="inlineStr">
        <is>
          <t>17/03/2026</t>
        </is>
      </c>
      <c r="J3162" s="10" t="inlineStr">
        <is>
          <t>Điện / Điện tử / Điện lạnh / Điện công nghiệp</t>
        </is>
      </c>
      <c r="K3162" s="10" t="inlineStr">
        <is>
          <t>3 - 5 Năm</t>
        </is>
      </c>
      <c r="L3162" s="11">
        <f>HYPERLINK("https://careerviet.vn/vi/tim-viec-lam/debug-engineer.35C64CBE.html","Xem chi tiết")</f>
        <v/>
      </c>
      <c r="M3162" s="10" t="n"/>
    </row>
    <row r="3163">
      <c r="B3163" s="7" t="n">
        <v>3161</v>
      </c>
      <c r="C3163" t="inlineStr">
        <is>
          <t>Nhân viên lái xe nâng (Kho vận Hà Nội)</t>
        </is>
      </c>
      <c r="D3163" t="inlineStr">
        <is>
          <t>Công Ty Cổ Phần Sữa Việt Nam (Vinamilk)</t>
        </is>
      </c>
      <c r="E3163" t="inlineStr">
        <is>
          <t>Lương:Cạnh tranh</t>
        </is>
      </c>
      <c r="F3163" t="inlineStr">
        <is>
          <t>Hà Nội</t>
        </is>
      </c>
      <c r="G3163" t="inlineStr">
        <is>
          <t>10-04-2026</t>
        </is>
      </c>
      <c r="H3163" t="inlineStr">
        <is>
          <t>10/04/2026</t>
        </is>
      </c>
      <c r="I3163" t="inlineStr">
        <is>
          <t>17/03/2026</t>
        </is>
      </c>
      <c r="J3163" t="inlineStr">
        <is>
          <t>Lao động phổ thông, Sản xuất / Vận hành sản xuất, Vận chuyển / Giao nhận / Kho vận</t>
        </is>
      </c>
      <c r="K3163" t="inlineStr">
        <is>
          <t>1 - 2 Năm</t>
        </is>
      </c>
      <c r="L3163" s="8">
        <f>HYPERLINK("https://careerviet.vn/vi/tim-viec-lam/nhan-vien-lai-xe-nang-kho-van-ha-noi.35C6C041.html","Xem chi tiết")</f>
        <v/>
      </c>
    </row>
    <row r="3164">
      <c r="B3164" s="9" t="n">
        <v>3162</v>
      </c>
      <c r="C3164" s="10" t="inlineStr">
        <is>
          <t>KỸ SƯ THIẾT KẾ  HẠ TẦNG  CẤP THOÁT NƯỚC</t>
        </is>
      </c>
      <c r="D3164" s="10" t="inlineStr">
        <is>
          <t>Công Ty TNHH Sản Xuất Kinh Doanh Hai Thành</t>
        </is>
      </c>
      <c r="E3164" s="10" t="inlineStr">
        <is>
          <t>Lương:18 Tr - 20 Tr VND</t>
        </is>
      </c>
      <c r="F3164" s="10" t="inlineStr">
        <is>
          <t>Hồ Chí Minh</t>
        </is>
      </c>
      <c r="G3164" s="10" t="inlineStr">
        <is>
          <t>11-03-2026</t>
        </is>
      </c>
      <c r="H3164" s="10" t="inlineStr">
        <is>
          <t>11/03/2026</t>
        </is>
      </c>
      <c r="I3164" s="10" t="inlineStr">
        <is>
          <t>17/03/2026</t>
        </is>
      </c>
      <c r="J3164" s="10" t="inlineStr">
        <is>
          <t>Kiến trúc, Xây dựng, Bất động sản</t>
        </is>
      </c>
      <c r="K3164" s="10" t="inlineStr">
        <is>
          <t>5 - 15 Năm</t>
        </is>
      </c>
      <c r="L3164" s="11">
        <f>HYPERLINK("https://careerviet.vn/vi/tim-viec-lam/ky-su-thiet-ke-ha-tang-cap-thoat-nuoc.35C6BF6D.html","Xem chi tiết")</f>
        <v/>
      </c>
      <c r="M3164" s="10" t="n"/>
    </row>
    <row r="3165">
      <c r="B3165" s="7" t="n">
        <v>3163</v>
      </c>
      <c r="C3165" t="inlineStr">
        <is>
          <t>GIÁM SÁT XÂY DỰNG HẠ TẦNG KỸ THUẬT  (KDC, KCN)</t>
        </is>
      </c>
      <c r="D3165" t="inlineStr">
        <is>
          <t>Công Ty TNHH Sản Xuất Kinh Doanh Hai Thành</t>
        </is>
      </c>
      <c r="E3165" t="inlineStr">
        <is>
          <t>Lương:18 Tr - 22 Tr VND</t>
        </is>
      </c>
      <c r="F3165" t="inlineStr">
        <is>
          <t>Long An</t>
        </is>
      </c>
      <c r="G3165" t="inlineStr">
        <is>
          <t>10-04-2026</t>
        </is>
      </c>
      <c r="H3165" t="inlineStr">
        <is>
          <t>10/04/2026</t>
        </is>
      </c>
      <c r="I3165" t="inlineStr">
        <is>
          <t>17/03/2026</t>
        </is>
      </c>
      <c r="J3165" t="inlineStr">
        <is>
          <t>Kiến trúc, Xây dựng, Bất động sản</t>
        </is>
      </c>
      <c r="K3165" t="inlineStr">
        <is>
          <t>Lên đến 5 Năm</t>
        </is>
      </c>
      <c r="L3165" s="8">
        <f>HYPERLINK("https://careerviet.vn/vi/tim-viec-lam/giam-sat-xay-dung-ha-tang-ky-thuat-kdc-kcn.35C6BF4A.html","Xem chi tiết")</f>
        <v/>
      </c>
    </row>
    <row r="3166">
      <c r="B3166" s="9" t="n">
        <v>3164</v>
      </c>
      <c r="C3166" s="10" t="inlineStr">
        <is>
          <t>128415 - Korean Speaking - Sales Executive (Electronic Sector) - Trading</t>
        </is>
      </c>
      <c r="D3166" s="10" t="inlineStr">
        <is>
          <t>RGF HR Agent Vietnam Co., LTD</t>
        </is>
      </c>
      <c r="E3166" s="10" t="inlineStr">
        <is>
          <t>Lương:18 Tr - 34 Tr VND</t>
        </is>
      </c>
      <c r="F3166" s="10" t="inlineStr">
        <is>
          <t>Hà Nội</t>
        </is>
      </c>
      <c r="G3166" s="10" t="inlineStr">
        <is>
          <t>11-04-2026</t>
        </is>
      </c>
      <c r="H3166" s="10" t="inlineStr">
        <is>
          <t>11/04/2026</t>
        </is>
      </c>
      <c r="I3166" s="10" t="inlineStr">
        <is>
          <t>17/03/2026</t>
        </is>
      </c>
      <c r="J3166" s="10" t="inlineStr">
        <is>
          <t>Bán hàng / Kinh doanh, Điện / Điện tử / Điện lạnh / Điện công nghiệp</t>
        </is>
      </c>
      <c r="K3166" s="10" t="inlineStr">
        <is>
          <t>3 - 5 Năm</t>
        </is>
      </c>
      <c r="L3166" s="11">
        <f>HYPERLINK("https://careerviet.vn/vi/tim-viec-lam/128415-korean-speaking-sales-executive-electronic-sector-trading.35C6C058.html","Xem chi tiết")</f>
        <v/>
      </c>
      <c r="M3166" s="10" t="n"/>
    </row>
    <row r="3167">
      <c r="B3167" s="7" t="n">
        <v>3165</v>
      </c>
      <c r="C3167" t="inlineStr">
        <is>
          <t>Leasing - Chuyên viên cho thuê Bất động sản - LC: 9.000.000 - 30.000.000 + hoa hồng 20 - 35 phần trăm + thưởng 2 - 5 phần trăm vượt KPIs</t>
        </is>
      </c>
      <c r="D3167" t="inlineStr">
        <is>
          <t>CÔNG TY TNHH PHÁT TRIỂN THƯƠNG HIỆU VÀ DỊCH VỤ KẾT NỐI BÁN LẺ CHÂU Á</t>
        </is>
      </c>
      <c r="E3167" t="inlineStr">
        <is>
          <t>Lương:15 Tr - 50 Tr VND</t>
        </is>
      </c>
      <c r="F3167" t="inlineStr">
        <is>
          <t>Hồ Chí Minh</t>
        </is>
      </c>
      <c r="G3167" t="inlineStr">
        <is>
          <t>24-03-2026</t>
        </is>
      </c>
      <c r="H3167" t="inlineStr">
        <is>
          <t>24/03/2026</t>
        </is>
      </c>
      <c r="I3167" t="inlineStr">
        <is>
          <t>17/03/2026</t>
        </is>
      </c>
      <c r="J3167" t="inlineStr">
        <is>
          <t>Bán hàng / Kinh doanh, Dịch vụ khách hàng, Bất động sản</t>
        </is>
      </c>
      <c r="K3167" t="inlineStr">
        <is>
          <t>Trên 2 Năm</t>
        </is>
      </c>
      <c r="L3167" s="8">
        <f>HYPERLINK("https://careerviet.vn/vi/tim-viec-lam/leasing-chuyen-vien-cho-thue-bat-dong-san-lc-9-000-000-30-000-000-hoa-hong-20-35-phan-tram-thuong-2-5-phan-tram-vuot-kpis.35C66672.html","Xem chi tiết")</f>
        <v/>
      </c>
    </row>
    <row r="3168">
      <c r="B3168" s="9" t="n">
        <v>3166</v>
      </c>
      <c r="C3168" s="10" t="inlineStr">
        <is>
          <t>CV THIẾT KẾ ĐIỆN</t>
        </is>
      </c>
      <c r="D3168" s="10" t="inlineStr">
        <is>
          <t>Công Ty TNHH Sản Xuất Kinh Doanh Hai Thành</t>
        </is>
      </c>
      <c r="E3168" s="10" t="inlineStr">
        <is>
          <t>Lương:18 Tr - 20 Tr VND</t>
        </is>
      </c>
      <c r="F3168" s="10" t="inlineStr">
        <is>
          <t>Hồ Chí Minh</t>
        </is>
      </c>
      <c r="G3168" s="10" t="inlineStr">
        <is>
          <t>30-04-2026</t>
        </is>
      </c>
      <c r="H3168" s="10" t="inlineStr">
        <is>
          <t>30/04/2026</t>
        </is>
      </c>
      <c r="I3168" s="10" t="inlineStr">
        <is>
          <t>17/03/2026</t>
        </is>
      </c>
      <c r="J3168" s="10" t="inlineStr">
        <is>
          <t>Điện / Điện tử / Điện lạnh / Điện công nghiệp, Xây dựng</t>
        </is>
      </c>
      <c r="K3168" s="10" t="inlineStr">
        <is>
          <t>4 - 15 Năm</t>
        </is>
      </c>
      <c r="L3168" s="11">
        <f>HYPERLINK("https://careerviet.vn/vi/tim-viec-lam/cv-thiet-ke-dien.35C6BF7F.html","Xem chi tiết")</f>
        <v/>
      </c>
      <c r="M3168" s="10" t="n"/>
    </row>
    <row r="3169">
      <c r="B3169" s="7" t="n">
        <v>3167</v>
      </c>
      <c r="C3169" t="inlineStr">
        <is>
          <t>Store Manager - Cửa hàng trưởng brand Fitflop</t>
        </is>
      </c>
      <c r="D3169" t="inlineStr">
        <is>
          <t>Central Brand &amp; Specialty Việt Nam</t>
        </is>
      </c>
      <c r="E3169" t="inlineStr">
        <is>
          <t>Lương:13 Tr - 15 Tr VND</t>
        </is>
      </c>
      <c r="F3169" t="inlineStr">
        <is>
          <t>Hà Nội</t>
        </is>
      </c>
      <c r="G3169" t="inlineStr">
        <is>
          <t>11-04-2026</t>
        </is>
      </c>
      <c r="H3169" t="inlineStr">
        <is>
          <t>11/04/2026</t>
        </is>
      </c>
      <c r="I3169" t="inlineStr">
        <is>
          <t>17/03/2026</t>
        </is>
      </c>
      <c r="J3169" t="inlineStr">
        <is>
          <t>Bán lẻ / Bán sỉ</t>
        </is>
      </c>
      <c r="K3169" t="inlineStr">
        <is>
          <t>1 - 5 Năm</t>
        </is>
      </c>
      <c r="L3169" s="8">
        <f>HYPERLINK("https://careerviet.vn/vi/tim-viec-lam/store-manager-cua-hang-truong-brand-fitflop.35C6C04B.html","Xem chi tiết")</f>
        <v/>
      </c>
    </row>
    <row r="3170">
      <c r="B3170" s="9" t="n">
        <v>3168</v>
      </c>
      <c r="C3170" s="10" t="inlineStr">
        <is>
          <t>Nhân viên IT</t>
        </is>
      </c>
      <c r="D3170" s="10" t="inlineStr">
        <is>
          <t>CÔNG TY TNHH KCC (VIỆT NAM NHƠN TRẠCH)</t>
        </is>
      </c>
      <c r="E3170" s="10" t="inlineStr">
        <is>
          <t>Lương:20 Tr - 25 Tr VND</t>
        </is>
      </c>
      <c r="F3170" s="10" t="inlineStr">
        <is>
          <t>Đồng Nai</t>
        </is>
      </c>
      <c r="G3170" s="10" t="inlineStr">
        <is>
          <t>01-05-2026</t>
        </is>
      </c>
      <c r="H3170" s="10" t="inlineStr">
        <is>
          <t>01/05/2026</t>
        </is>
      </c>
      <c r="I3170" s="10" t="inlineStr">
        <is>
          <t>17/03/2026</t>
        </is>
      </c>
      <c r="J3170" s="10" t="inlineStr">
        <is>
          <t>CNTT - Phần mềm, CNTT - Phần cứng / Mạng</t>
        </is>
      </c>
      <c r="K3170" s="10" t="inlineStr">
        <is>
          <t>5 - 10 Năm</t>
        </is>
      </c>
      <c r="L3170" s="11">
        <f>HYPERLINK("https://careerviet.vn/vi/tim-viec-lam/nhan-vien-it.35C6C035.html","Xem chi tiết")</f>
        <v/>
      </c>
      <c r="M3170" s="10" t="n"/>
    </row>
    <row r="3171">
      <c r="B3171" s="7" t="n">
        <v>3169</v>
      </c>
      <c r="C3171" t="inlineStr">
        <is>
          <t>Graphic Designer</t>
        </is>
      </c>
      <c r="D3171" t="inlineStr">
        <is>
          <t>CÔNG TY TNHH XNK CUỘC SỐNG TƯƠI ĐẸP</t>
        </is>
      </c>
      <c r="E3171" t="inlineStr">
        <is>
          <t>Lương:14 Tr - 16 Tr VND</t>
        </is>
      </c>
      <c r="F3171" t="inlineStr">
        <is>
          <t>Hồ Chí Minh</t>
        </is>
      </c>
      <c r="G3171" t="inlineStr">
        <is>
          <t>11-04-2026</t>
        </is>
      </c>
      <c r="H3171" t="inlineStr">
        <is>
          <t>11/04/2026</t>
        </is>
      </c>
      <c r="I3171" t="inlineStr">
        <is>
          <t>17/03/2026</t>
        </is>
      </c>
      <c r="J3171" t="inlineStr">
        <is>
          <t>Tiếp thị trực tuyến, Mỹ thuật / Nghệ thuật / Thiết kế, Quảng cáo / Đối ngoại / Truyền Thông</t>
        </is>
      </c>
      <c r="K3171" t="inlineStr">
        <is>
          <t>3 - 5 Năm</t>
        </is>
      </c>
      <c r="L3171" s="8">
        <f>HYPERLINK("https://careerviet.vn/vi/tim-viec-lam/graphic-designer.35C6C052.html","Xem chi tiết")</f>
        <v/>
      </c>
    </row>
    <row r="3172">
      <c r="B3172" s="9" t="n">
        <v>3170</v>
      </c>
      <c r="C3172" s="10" t="inlineStr">
        <is>
          <t>CHUYÊN VIÊN THU MUA</t>
        </is>
      </c>
      <c r="D3172" s="10" t="inlineStr">
        <is>
          <t>Công Ty TNHH Sản Xuất Kinh Doanh Hai Thành</t>
        </is>
      </c>
      <c r="E3172" s="10" t="inlineStr">
        <is>
          <t>Lương:16 Tr - 20 Tr VND</t>
        </is>
      </c>
      <c r="F3172" s="10" t="inlineStr">
        <is>
          <t>Hồ Chí Minh</t>
        </is>
      </c>
      <c r="G3172" s="10" t="inlineStr">
        <is>
          <t>30-04-2026</t>
        </is>
      </c>
      <c r="H3172" s="10" t="inlineStr">
        <is>
          <t>30/04/2026</t>
        </is>
      </c>
      <c r="I3172" s="10" t="inlineStr">
        <is>
          <t>17/03/2026</t>
        </is>
      </c>
      <c r="J3172" s="10" t="inlineStr">
        <is>
          <t>Thu mua / Vật tư, Xây dựng</t>
        </is>
      </c>
      <c r="K3172" s="10" t="inlineStr">
        <is>
          <t>2 - 5 Năm</t>
        </is>
      </c>
      <c r="L3172" s="11">
        <f>HYPERLINK("https://careerviet.vn/vi/tim-viec-lam/chuyen-vien-thu-mua.35C6C01B.html","Xem chi tiết")</f>
        <v/>
      </c>
      <c r="M3172" s="10" t="n"/>
    </row>
    <row r="3173">
      <c r="B3173" s="7" t="n">
        <v>3171</v>
      </c>
      <c r="C3173" t="inlineStr">
        <is>
          <t>CHUYÊN VIÊN PHÁT TRIỂN SẢN PHẨM</t>
        </is>
      </c>
      <c r="D3173" t="inlineStr">
        <is>
          <t>CÔNG TY CỔ PHẦN TRANG THIẾT BỊ Y TẾ HẠNH NGUYÊN</t>
        </is>
      </c>
      <c r="E3173" t="inlineStr">
        <is>
          <t>Lương:Cạnh tranh</t>
        </is>
      </c>
      <c r="F3173" t="inlineStr">
        <is>
          <t>Hồ Chí Minh</t>
        </is>
      </c>
      <c r="G3173" t="inlineStr">
        <is>
          <t>10-04-2026</t>
        </is>
      </c>
      <c r="H3173" t="inlineStr">
        <is>
          <t>10/04/2026</t>
        </is>
      </c>
      <c r="I3173" t="inlineStr">
        <is>
          <t>17/03/2026</t>
        </is>
      </c>
      <c r="J3173" t="inlineStr">
        <is>
          <t>Tiếp thị / Marketing, Bán hàng / Kinh doanh, Y tế / Chăm sóc sức khỏe / Thẩm mỹ / Làm đẹp</t>
        </is>
      </c>
      <c r="K3173" t="inlineStr">
        <is>
          <t>1 - 2 Năm</t>
        </is>
      </c>
      <c r="L3173" s="8">
        <f>HYPERLINK("https://careerviet.vn/vi/tim-viec-lam/chuyen-vien-phat-trien-san-pham.35C6C032.html","Xem chi tiết")</f>
        <v/>
      </c>
    </row>
    <row r="3174">
      <c r="B3174" s="9" t="n">
        <v>3172</v>
      </c>
      <c r="C3174" s="10" t="inlineStr">
        <is>
          <t>Nhân viên C&amp;B</t>
        </is>
      </c>
      <c r="D3174" s="10" t="inlineStr">
        <is>
          <t>Công ty TNHH Midea Consumer Electric Vietnam</t>
        </is>
      </c>
      <c r="E3174" s="10" t="inlineStr">
        <is>
          <t>Lương:Cạnh tranh</t>
        </is>
      </c>
      <c r="F3174" s="10" t="inlineStr">
        <is>
          <t>Bình Dương</t>
        </is>
      </c>
      <c r="G3174" s="10" t="inlineStr">
        <is>
          <t>11-03-2026</t>
        </is>
      </c>
      <c r="H3174" s="10" t="inlineStr">
        <is>
          <t>11/03/2026</t>
        </is>
      </c>
      <c r="I3174" s="10" t="inlineStr">
        <is>
          <t>17/03/2026</t>
        </is>
      </c>
      <c r="J3174" s="10" t="inlineStr">
        <is>
          <t>Nhân sự</t>
        </is>
      </c>
      <c r="K3174" s="10" t="inlineStr">
        <is>
          <t>3 - 5 Năm</t>
        </is>
      </c>
      <c r="L3174" s="11">
        <f>HYPERLINK("https://careerviet.vn/vi/tim-viec-lam/nhan-vien-c-b.35C6C028.html","Xem chi tiết")</f>
        <v/>
      </c>
      <c r="M3174" s="10" t="n"/>
    </row>
    <row r="3175">
      <c r="B3175" s="7" t="n">
        <v>3173</v>
      </c>
      <c r="C3175" t="inlineStr">
        <is>
          <t>Nhân viên kho</t>
        </is>
      </c>
      <c r="D3175" t="inlineStr">
        <is>
          <t>Công ty TNHH Dược phẩm Lavifa</t>
        </is>
      </c>
      <c r="E3175" t="inlineStr">
        <is>
          <t>Lương:7,5 Tr - 9,5 Tr VND</t>
        </is>
      </c>
      <c r="F3175" t="inlineStr">
        <is>
          <t>Hồ Chí Minh</t>
        </is>
      </c>
      <c r="G3175" t="inlineStr">
        <is>
          <t>30-04-2026</t>
        </is>
      </c>
      <c r="H3175" t="inlineStr">
        <is>
          <t>30/04/2026</t>
        </is>
      </c>
      <c r="I3175" t="inlineStr">
        <is>
          <t>17/03/2026</t>
        </is>
      </c>
      <c r="J3175" t="inlineStr">
        <is>
          <t>Vận chuyển / Giao nhận / Kho vận, Dược phẩm/ Hóa Mỹ Phẩm, Xuất nhập khẩu</t>
        </is>
      </c>
      <c r="K3175" t="inlineStr">
        <is>
          <t>1 - 2 Năm</t>
        </is>
      </c>
      <c r="L3175" s="8">
        <f>HYPERLINK("https://careerviet.vn/vi/tim-viec-lam/nhan-vien-kho.35C6BFD3.html","Xem chi tiết")</f>
        <v/>
      </c>
    </row>
    <row r="3176">
      <c r="B3176" s="9" t="n">
        <v>3174</v>
      </c>
      <c r="C3176" s="10" t="inlineStr">
        <is>
          <t>Nhân viên Thủ kho (Kho vận Hà Nội)</t>
        </is>
      </c>
      <c r="D3176" s="10" t="inlineStr">
        <is>
          <t>Công Ty Cổ Phần Sữa Việt Nam (Vinamilk)</t>
        </is>
      </c>
      <c r="E3176" s="10" t="inlineStr">
        <is>
          <t>Lương:Cạnh tranh</t>
        </is>
      </c>
      <c r="F3176" s="10" t="inlineStr">
        <is>
          <t>Hà Nội</t>
        </is>
      </c>
      <c r="G3176" s="10" t="inlineStr">
        <is>
          <t>06-04-2026</t>
        </is>
      </c>
      <c r="H3176" s="10" t="inlineStr">
        <is>
          <t>06/04/2026</t>
        </is>
      </c>
      <c r="I3176" s="10" t="inlineStr">
        <is>
          <t>17/03/2026</t>
        </is>
      </c>
      <c r="J3176" s="10" t="inlineStr">
        <is>
          <t>Vận chuyển / Giao nhận / Kho vận, Xuất nhập khẩu, Sản xuất / Vận hành sản xuất</t>
        </is>
      </c>
      <c r="K3176" s="10" t="inlineStr">
        <is>
          <t>1 - 2 Năm</t>
        </is>
      </c>
      <c r="L3176" s="11">
        <f>HYPERLINK("https://careerviet.vn/vi/tim-viec-lam/nhan-vien-thu-kho-kho-van-ha-noi.35C6C038.html","Xem chi tiết")</f>
        <v/>
      </c>
      <c r="M3176" s="10" t="n"/>
    </row>
    <row r="3177">
      <c r="B3177" s="7" t="n">
        <v>3175</v>
      </c>
      <c r="C3177" t="inlineStr">
        <is>
          <t>Nhân Viên Sales Admin Bất Động Sản</t>
        </is>
      </c>
      <c r="D3177" t="inlineStr">
        <is>
          <t>CÔNG TY CỔ PHẦN DỊCH VỤ BẤT ĐỘNG SẢN CENTER LAND</t>
        </is>
      </c>
      <c r="E3177" t="inlineStr">
        <is>
          <t>Lương:12 Tr - 15 Tr VND</t>
        </is>
      </c>
      <c r="F3177" t="inlineStr">
        <is>
          <t>Hồ Chí Minh</t>
        </is>
      </c>
      <c r="G3177" t="inlineStr">
        <is>
          <t>10-04-2026</t>
        </is>
      </c>
      <c r="H3177" t="inlineStr">
        <is>
          <t>10/04/2026</t>
        </is>
      </c>
      <c r="I3177" t="inlineStr">
        <is>
          <t>17/03/2026</t>
        </is>
      </c>
      <c r="J3177" t="inlineStr">
        <is>
          <t>Bán hàng / Kinh doanh, Bất động sản, Hành chính / Thư ký</t>
        </is>
      </c>
      <c r="K3177" t="inlineStr">
        <is>
          <t>Trên 1 Năm</t>
        </is>
      </c>
      <c r="L3177" s="8">
        <f>HYPERLINK("https://careerviet.vn/vi/tim-viec-lam/nhan-vien-sales-admin-bat-dong-san.35C6BFA4.html","Xem chi tiết")</f>
        <v/>
      </c>
    </row>
    <row r="3178">
      <c r="B3178" s="9" t="n">
        <v>3176</v>
      </c>
      <c r="C3178" s="10" t="inlineStr">
        <is>
          <t>TRƯỞNG BAN DỰ ÁN KINH DOANH (BỆNH VIỆN CHUYÊN KHOA MẮT - TP HCM)</t>
        </is>
      </c>
      <c r="D3178" s="10" t="inlineStr">
        <is>
          <t>CÔNG TY TNHH ĐẦU TƯ Y TẾ QUỐC TẾ DND – SÀI GÒN</t>
        </is>
      </c>
      <c r="E3178" s="10" t="inlineStr">
        <is>
          <t>Lương:Cạnh tranh</t>
        </is>
      </c>
      <c r="F3178" s="10" t="inlineStr">
        <is>
          <t>Hồ Chí Minh</t>
        </is>
      </c>
      <c r="G3178" s="10" t="inlineStr">
        <is>
          <t>30-04-2026</t>
        </is>
      </c>
      <c r="H3178" s="10" t="inlineStr">
        <is>
          <t>30/04/2026</t>
        </is>
      </c>
      <c r="I3178" s="10" t="inlineStr">
        <is>
          <t>17/03/2026</t>
        </is>
      </c>
      <c r="J3178" s="10" t="inlineStr">
        <is>
          <t>Tiếp thị / Marketing, Bán hàng / Kinh doanh, Y tế / Chăm sóc sức khỏe / Thẩm mỹ / Làm đẹp</t>
        </is>
      </c>
      <c r="K3178" s="10" t="inlineStr">
        <is>
          <t>Trên 2 Năm</t>
        </is>
      </c>
      <c r="L3178" s="11">
        <f>HYPERLINK("https://careerviet.vn/vi/tim-viec-lam/truong-ban-du-an-kinh-doanh-benh-vien-chuyen-khoa-mat-tp-hcm.35C6C01A.html","Xem chi tiết")</f>
        <v/>
      </c>
      <c r="M3178" s="10" t="n"/>
    </row>
    <row r="3179">
      <c r="B3179" s="7" t="n">
        <v>3177</v>
      </c>
      <c r="C3179" t="inlineStr">
        <is>
          <t>Kế toán kho</t>
        </is>
      </c>
      <c r="D3179" t="inlineStr">
        <is>
          <t>Công Ty CP Xây Dựng A&amp;C</t>
        </is>
      </c>
      <c r="E3179" t="inlineStr">
        <is>
          <t>Lương:10 Tr - 15 Tr VND</t>
        </is>
      </c>
      <c r="F3179" t="inlineStr">
        <is>
          <t>Hồ Chí Minh</t>
        </is>
      </c>
      <c r="G3179" t="inlineStr">
        <is>
          <t>31-03-2026</t>
        </is>
      </c>
      <c r="H3179" t="inlineStr">
        <is>
          <t>31/03/2026</t>
        </is>
      </c>
      <c r="I3179" t="inlineStr">
        <is>
          <t>17/03/2026</t>
        </is>
      </c>
      <c r="J3179" t="inlineStr">
        <is>
          <t>Kế toán / Kiểm toán, Thống kê</t>
        </is>
      </c>
      <c r="K3179" t="inlineStr">
        <is>
          <t>1 Năm</t>
        </is>
      </c>
      <c r="L3179" s="8">
        <f>HYPERLINK("https://careerviet.vn/vi/tim-viec-lam/ke-toan-kho.35C6C02E.html","Xem chi tiết")</f>
        <v/>
      </c>
    </row>
    <row r="3180">
      <c r="B3180" s="9" t="n">
        <v>3178</v>
      </c>
      <c r="C3180" s="10" t="inlineStr">
        <is>
          <t>Phó Giám đốc Chi nhánh - BVBank Lâm Đồng - KV Tây Nguyên</t>
        </is>
      </c>
      <c r="D3180" s="10" t="inlineStr">
        <is>
          <t>BVBank - Ngân hàng Bản Việt</t>
        </is>
      </c>
      <c r="E3180" s="10" t="inlineStr">
        <is>
          <t>Lương:Cạnh tranh</t>
        </is>
      </c>
      <c r="F3180" s="10" t="inlineStr">
        <is>
          <t>Lâm Đồng</t>
        </is>
      </c>
      <c r="G3180" s="10" t="inlineStr">
        <is>
          <t>10-04-2026</t>
        </is>
      </c>
      <c r="H3180" s="10" t="inlineStr">
        <is>
          <t>10/04/2026</t>
        </is>
      </c>
      <c r="I3180" s="10" t="inlineStr">
        <is>
          <t>17/03/2026</t>
        </is>
      </c>
      <c r="J3180" s="10" t="inlineStr">
        <is>
          <t>Ngân hàng, Tài chính / Đầu tư</t>
        </is>
      </c>
      <c r="K3180" s="10" t="inlineStr">
        <is>
          <t>5 - 6 Năm</t>
        </is>
      </c>
      <c r="L3180" s="11">
        <f>HYPERLINK("https://careerviet.vn/vi/tim-viec-lam/pho-giam-doc-chi-nhanh-bvbank-lam-dong-kv-tay-nguyen.35C6C026.html","Xem chi tiết")</f>
        <v/>
      </c>
      <c r="M3180" s="10" t="n"/>
    </row>
    <row r="3181">
      <c r="B3181" s="7" t="n">
        <v>3179</v>
      </c>
      <c r="C3181" t="inlineStr">
        <is>
          <t>Nhân Viên Kỹ Thuật Điện nhẹ (ME)</t>
        </is>
      </c>
      <c r="D3181" t="inlineStr">
        <is>
          <t>CÔNG TY CỔ PHẦN THIẾT BỊ VÀ ĐẦU TƯ BÁCH KHOA</t>
        </is>
      </c>
      <c r="E3181" t="inlineStr">
        <is>
          <t>Lương:9 Tr - 11 Tr VND</t>
        </is>
      </c>
      <c r="F3181" t="inlineStr">
        <is>
          <t>Hồ Chí Minh</t>
        </is>
      </c>
      <c r="G3181" t="inlineStr">
        <is>
          <t>31-03-2026</t>
        </is>
      </c>
      <c r="H3181" t="inlineStr">
        <is>
          <t>31/03/2026</t>
        </is>
      </c>
      <c r="I3181" t="inlineStr">
        <is>
          <t>17/03/2026</t>
        </is>
      </c>
      <c r="J3181" t="inlineStr">
        <is>
          <t>Điện / Điện tử / Điện lạnh / Điện công nghiệp, Bảo trì / Sửa chữa, CNTT - Phần cứng / Mạng</t>
        </is>
      </c>
      <c r="K3181" t="inlineStr">
        <is>
          <t>Trên 1 Năm</t>
        </is>
      </c>
      <c r="L3181" s="8">
        <f>HYPERLINK("https://careerviet.vn/vi/tim-viec-lam/nhan-vien-ky-thuat-dien-nhe-me.35C6C01C.html","Xem chi tiết")</f>
        <v/>
      </c>
    </row>
    <row r="3182">
      <c r="B3182" s="9" t="n">
        <v>3180</v>
      </c>
      <c r="C3182" s="10" t="inlineStr">
        <is>
          <t>QC Staff (Raw materials)</t>
        </is>
      </c>
      <c r="D3182" s="10" t="inlineStr">
        <is>
          <t>Công Ty Liên Doanh Orana Viet Nam</t>
        </is>
      </c>
      <c r="E3182" s="10" t="inlineStr">
        <is>
          <t>Lương:Cạnh tranh</t>
        </is>
      </c>
      <c r="F3182" s="10" t="inlineStr">
        <is>
          <t>Hồ Chí Minh</t>
        </is>
      </c>
      <c r="G3182" s="10" t="inlineStr">
        <is>
          <t>11-04-2026</t>
        </is>
      </c>
      <c r="H3182" s="10" t="inlineStr">
        <is>
          <t>11/04/2026</t>
        </is>
      </c>
      <c r="I3182" s="10" t="inlineStr">
        <is>
          <t>17/03/2026</t>
        </is>
      </c>
      <c r="J3182" s="10" t="inlineStr">
        <is>
          <t>Công nghệ sinh học, Thực phẩm &amp; Đồ uống</t>
        </is>
      </c>
      <c r="K3182" s="10" t="inlineStr">
        <is>
          <t>2 - 3 Năm</t>
        </is>
      </c>
      <c r="L3182" s="11">
        <f>HYPERLINK("https://careerviet.vn/vi/tim-viec-lam/qc-staff-raw-materials.35C6C019.html","Xem chi tiết")</f>
        <v/>
      </c>
      <c r="M3182" s="10" t="n"/>
    </row>
    <row r="3183">
      <c r="B3183" s="7" t="n">
        <v>3181</v>
      </c>
      <c r="C3183" t="inlineStr">
        <is>
          <t>Sales Engineering Specialist – Singapore Market</t>
        </is>
      </c>
      <c r="D3183" t="inlineStr">
        <is>
          <t>Công ty TNHH STVS</t>
        </is>
      </c>
      <c r="E3183" t="inlineStr">
        <is>
          <t>Lương:18 Tr - 35 Tr VND</t>
        </is>
      </c>
      <c r="F3183" t="inlineStr">
        <is>
          <t>Hồ Chí Minh</t>
        </is>
      </c>
      <c r="G3183" t="inlineStr">
        <is>
          <t>10-04-2026</t>
        </is>
      </c>
      <c r="H3183" t="inlineStr">
        <is>
          <t>10/04/2026</t>
        </is>
      </c>
      <c r="I3183" t="inlineStr">
        <is>
          <t>17/03/2026</t>
        </is>
      </c>
      <c r="J3183" t="inlineStr">
        <is>
          <t>Bán hàng / Kinh doanh, Bán Hàng Kỹ Thuật, Xây dựng</t>
        </is>
      </c>
      <c r="K3183" t="inlineStr">
        <is>
          <t>2 - 6 Năm</t>
        </is>
      </c>
      <c r="L3183" s="8">
        <f>HYPERLINK("https://careerviet.vn/vi/tim-viec-lam/sales-engineering-specialist-singapore-market.35C6C02C.html","Xem chi tiết")</f>
        <v/>
      </c>
    </row>
    <row r="3184">
      <c r="B3184" s="9" t="n">
        <v>3182</v>
      </c>
      <c r="C3184" s="10" t="inlineStr">
        <is>
          <t>Chuyên Viên Đào Tạo Truyền Thông Dinh Dưỡng</t>
        </is>
      </c>
      <c r="D3184" s="10" t="inlineStr">
        <is>
          <t>Công Ty Cổ Phần Sữa Việt Nam (Vinamilk)</t>
        </is>
      </c>
      <c r="E3184" s="10" t="inlineStr">
        <is>
          <t>Lương:Cạnh tranh</t>
        </is>
      </c>
      <c r="F3184" s="10" t="inlineStr">
        <is>
          <t>Hồ Chí Minh</t>
        </is>
      </c>
      <c r="G3184" s="10" t="inlineStr">
        <is>
          <t>15-04-2026</t>
        </is>
      </c>
      <c r="H3184" s="10" t="inlineStr">
        <is>
          <t>15/04/2026</t>
        </is>
      </c>
      <c r="I3184" s="10" t="inlineStr">
        <is>
          <t>17/03/2026</t>
        </is>
      </c>
      <c r="J3184" s="10" t="inlineStr">
        <is>
          <t>Y tế / Chăm sóc sức khỏe / Thẩm mỹ / Làm đẹp, Công nghệ thực phẩm / Dinh dưỡng</t>
        </is>
      </c>
      <c r="K3184" s="10" t="inlineStr">
        <is>
          <t>3 - 5 Năm</t>
        </is>
      </c>
      <c r="L3184" s="11">
        <f>HYPERLINK("https://careerviet.vn/vi/tim-viec-lam/chuyen-vien-dao-tao-truyen-thong-dinh-duong.35C6BFEB.html","Xem chi tiết")</f>
        <v/>
      </c>
      <c r="M3184" s="10" t="n"/>
    </row>
    <row r="3185">
      <c r="B3185" s="7" t="n">
        <v>3183</v>
      </c>
      <c r="C3185" t="inlineStr">
        <is>
          <t>Nhân Viên Chứng Từ Kinh Nghiệm</t>
        </is>
      </c>
      <c r="D3185" t="inlineStr">
        <is>
          <t>CÔNG TY TNHH VẬN TẢI BIỂN ĐÔNG LONG</t>
        </is>
      </c>
      <c r="E3185" t="inlineStr">
        <is>
          <t>Lương:7 Tr - 10 Tr VND</t>
        </is>
      </c>
      <c r="F3185" t="inlineStr">
        <is>
          <t>Hồ Chí Minh</t>
        </is>
      </c>
      <c r="G3185" t="inlineStr">
        <is>
          <t>10-04-2026</t>
        </is>
      </c>
      <c r="H3185" t="inlineStr">
        <is>
          <t>10/04/2026</t>
        </is>
      </c>
      <c r="I3185" t="inlineStr">
        <is>
          <t>17/03/2026</t>
        </is>
      </c>
      <c r="J3185" t="inlineStr">
        <is>
          <t>Xuất nhập khẩu, Sản xuất / Vận hành sản xuất, Bán hàng / Kinh doanh</t>
        </is>
      </c>
      <c r="K3185" t="inlineStr">
        <is>
          <t>N/A</t>
        </is>
      </c>
      <c r="L3185" s="8">
        <f>HYPERLINK("https://careerviet.vn/vi/tim-viec-lam/nhan-vien-chung-tu-kinh-nghiem.35C6C015.html","Xem chi tiết")</f>
        <v/>
      </c>
    </row>
    <row r="3186">
      <c r="B3186" s="9" t="n">
        <v>3184</v>
      </c>
      <c r="C3186" s="10" t="inlineStr">
        <is>
          <t>Chuyên Viên Nghiên Cứu Dinh Dưỡng &amp; Lâm Sàng</t>
        </is>
      </c>
      <c r="D3186" s="10" t="inlineStr">
        <is>
          <t>Công Ty Cổ Phần Sữa Việt Nam (Vinamilk)</t>
        </is>
      </c>
      <c r="E3186" s="10" t="inlineStr">
        <is>
          <t>Lương:Cạnh tranh</t>
        </is>
      </c>
      <c r="F3186" s="10" t="inlineStr">
        <is>
          <t>Hồ Chí Minh</t>
        </is>
      </c>
      <c r="G3186" s="10" t="inlineStr">
        <is>
          <t>15-04-2026</t>
        </is>
      </c>
      <c r="H3186" s="10" t="inlineStr">
        <is>
          <t>15/04/2026</t>
        </is>
      </c>
      <c r="I3186" s="10" t="inlineStr">
        <is>
          <t>17/03/2026</t>
        </is>
      </c>
      <c r="J3186" s="10" t="inlineStr">
        <is>
          <t>Y tế / Chăm sóc sức khỏe / Thẩm mỹ / Làm đẹp, Công nghệ thực phẩm / Dinh dưỡng</t>
        </is>
      </c>
      <c r="K3186" s="10" t="inlineStr">
        <is>
          <t>3 - 5 Năm</t>
        </is>
      </c>
      <c r="L3186" s="11">
        <f>HYPERLINK("https://careerviet.vn/vi/tim-viec-lam/chuyen-vien-nghien-cuu-dinh-duong-lam-sang.35C6BFDC.html","Xem chi tiết")</f>
        <v/>
      </c>
      <c r="M3186" s="10" t="n"/>
    </row>
    <row r="3187">
      <c r="B3187" s="7" t="n">
        <v>3185</v>
      </c>
      <c r="C3187" t="inlineStr">
        <is>
          <t>Supplier Quality Engineer</t>
        </is>
      </c>
      <c r="D3187" t="inlineStr">
        <is>
          <t>Công Ty TNHH Zeder Việt Nam</t>
        </is>
      </c>
      <c r="E3187" t="inlineStr">
        <is>
          <t>Lương:Cạnh tranh</t>
        </is>
      </c>
      <c r="F3187" t="inlineStr">
        <is>
          <t>Đồng Nai</t>
        </is>
      </c>
      <c r="G3187" t="inlineStr">
        <is>
          <t>31-03-2026</t>
        </is>
      </c>
      <c r="H3187" t="inlineStr">
        <is>
          <t>31/03/2026</t>
        </is>
      </c>
      <c r="I3187" t="inlineStr">
        <is>
          <t>17/03/2026</t>
        </is>
      </c>
      <c r="J3187" t="inlineStr">
        <is>
          <t>Cơ khí / Ô tô / Tự động hóa, Sản xuất / Vận hành sản xuất, Quản lý chất lượng (QA/QC)</t>
        </is>
      </c>
      <c r="K3187" t="inlineStr">
        <is>
          <t>N/A</t>
        </is>
      </c>
      <c r="L3187" s="8">
        <f>HYPERLINK("https://careerviet.vn/vi/tim-viec-lam/supplier-quality-engineer.35C68F92.html","Xem chi tiết")</f>
        <v/>
      </c>
    </row>
    <row r="3188">
      <c r="B3188" s="9" t="n">
        <v>3186</v>
      </c>
      <c r="C3188" s="10" t="inlineStr">
        <is>
          <t>Nhân hành chính (GA Staff)</t>
        </is>
      </c>
      <c r="D3188" s="10" t="inlineStr">
        <is>
          <t>Công Ty TNHH POSCO - Việt Nam</t>
        </is>
      </c>
      <c r="E3188" s="10" t="inlineStr">
        <is>
          <t>Lương:15 Tr - 20 Tr VND</t>
        </is>
      </c>
      <c r="F3188" s="10" t="inlineStr">
        <is>
          <t>Bà Rịa - Vũng Tàu</t>
        </is>
      </c>
      <c r="G3188" s="10" t="inlineStr">
        <is>
          <t>30-04-2026</t>
        </is>
      </c>
      <c r="H3188" s="10" t="inlineStr">
        <is>
          <t>30/04/2026</t>
        </is>
      </c>
      <c r="I3188" s="10" t="inlineStr">
        <is>
          <t>17/03/2026</t>
        </is>
      </c>
      <c r="J3188" s="10" t="inlineStr">
        <is>
          <t>Hành chính / Thư ký, Nhân sự</t>
        </is>
      </c>
      <c r="K3188" s="10" t="inlineStr">
        <is>
          <t>Chưa có kinh nghiệm</t>
        </is>
      </c>
      <c r="L3188" s="11">
        <f>HYPERLINK("https://careerviet.vn/vi/tim-viec-lam/nhan-hanh-chinh-ga-staff.35C6C011.html","Xem chi tiết")</f>
        <v/>
      </c>
      <c r="M3188" s="10" t="n"/>
    </row>
    <row r="3189">
      <c r="B3189" s="7" t="n">
        <v>3187</v>
      </c>
      <c r="C3189" t="inlineStr">
        <is>
          <t>KẾ TOÁN THUẾ</t>
        </is>
      </c>
      <c r="D3189" t="inlineStr">
        <is>
          <t>CÔNG TY TNHH ĐẦU TƯ CHUYỂN GIAO CÔNG NGHỆ TOÀN CẦU</t>
        </is>
      </c>
      <c r="E3189" t="inlineStr">
        <is>
          <t>Lương:10 Tr - 15 Tr VND</t>
        </is>
      </c>
      <c r="F3189" t="inlineStr">
        <is>
          <t>Hồ Chí Minh</t>
        </is>
      </c>
      <c r="G3189" t="inlineStr">
        <is>
          <t>11-04-2026</t>
        </is>
      </c>
      <c r="H3189" t="inlineStr">
        <is>
          <t>11/04/2026</t>
        </is>
      </c>
      <c r="I3189" t="inlineStr">
        <is>
          <t>17/03/2026</t>
        </is>
      </c>
      <c r="J3189" t="inlineStr">
        <is>
          <t>Kế toán / Kiểm toán, Luật / Pháp lý, Hành chính / Thư ký</t>
        </is>
      </c>
      <c r="K3189" t="inlineStr">
        <is>
          <t>2 - 4 Năm</t>
        </is>
      </c>
      <c r="L3189" s="8">
        <f>HYPERLINK("https://careerviet.vn/vi/tim-viec-lam/ke-toan-thue.35C6BFEF.html","Xem chi tiết")</f>
        <v/>
      </c>
    </row>
    <row r="3190">
      <c r="B3190" s="9" t="n">
        <v>3188</v>
      </c>
      <c r="C3190" s="10" t="inlineStr">
        <is>
          <t>Category Analyst</t>
        </is>
      </c>
      <c r="D3190" s="10" t="inlineStr">
        <is>
          <t>Citigroup Limited Industries, Inc.</t>
        </is>
      </c>
      <c r="E3190" s="10" t="inlineStr">
        <is>
          <t>Lương:Cạnh tranh</t>
        </is>
      </c>
      <c r="F3190" s="10" t="inlineStr">
        <is>
          <t>Hồ Chí Minh</t>
        </is>
      </c>
      <c r="G3190" s="10" t="inlineStr">
        <is>
          <t>30-04-2026</t>
        </is>
      </c>
      <c r="H3190" s="10" t="inlineStr">
        <is>
          <t>30/04/2026</t>
        </is>
      </c>
      <c r="I3190" s="10" t="inlineStr">
        <is>
          <t>17/03/2026</t>
        </is>
      </c>
      <c r="J3190" s="10" t="inlineStr">
        <is>
          <t>Xuất nhập khẩu, Nội ngoại thất</t>
        </is>
      </c>
      <c r="K3190" s="10" t="inlineStr">
        <is>
          <t>2 - 5 Năm</t>
        </is>
      </c>
      <c r="L3190" s="11">
        <f>HYPERLINK("https://careerviet.vn/vi/tim-viec-lam/category-analyst.35C6BFDE.html","Xem chi tiết")</f>
        <v/>
      </c>
      <c r="M3190" s="10" t="n"/>
    </row>
    <row r="3191">
      <c r="B3191" s="7" t="n">
        <v>3189</v>
      </c>
      <c r="C3191" t="inlineStr">
        <is>
          <t>Thực tập sinh thiết kế cơ sở hạ tầng - Civil 3D/ Roads &amp; Sewers Designer Intern - Civil 3D</t>
        </is>
      </c>
      <c r="D3191" t="inlineStr">
        <is>
          <t>Công Ty TNHH Boydens Vietnam part of Sweco</t>
        </is>
      </c>
      <c r="E3191" t="inlineStr">
        <is>
          <t>Lương:Cạnh tranh</t>
        </is>
      </c>
      <c r="F3191" t="inlineStr">
        <is>
          <t>Hà Nội</t>
        </is>
      </c>
      <c r="G3191" t="inlineStr">
        <is>
          <t>30-04-2026</t>
        </is>
      </c>
      <c r="H3191" t="inlineStr">
        <is>
          <t>30/04/2026</t>
        </is>
      </c>
      <c r="I3191" t="inlineStr">
        <is>
          <t>17/03/2026</t>
        </is>
      </c>
      <c r="J3191" t="inlineStr">
        <is>
          <t>Xây dựng, Môi trường, Mới tốt nghiệp / Thực tập</t>
        </is>
      </c>
      <c r="K3191" t="inlineStr">
        <is>
          <t>thực tế, chỉ cần thái độ và tiềm năng.</t>
        </is>
      </c>
      <c r="L3191" s="8">
        <f>HYPERLINK("https://careerviet.vn/vi/tim-viec-lam/thuc-tap-sinh-thiet-ke-co-so-ha-tang-civil-3d-roads-sewers-designer-intern-civil-3d.35C6BFFC.html","Xem chi tiết")</f>
        <v/>
      </c>
    </row>
    <row r="3192">
      <c r="B3192" s="9" t="n">
        <v>3190</v>
      </c>
      <c r="C3192" s="10" t="inlineStr">
        <is>
          <t>Nhân Viên Kinh Doanh</t>
        </is>
      </c>
      <c r="D3192" s="10" t="inlineStr">
        <is>
          <t>Tổng kho phụ kiện bán tải Hitechcar4x4</t>
        </is>
      </c>
      <c r="E3192" s="10" t="inlineStr">
        <is>
          <t>Lương:7 Tr - 15 Tr VND</t>
        </is>
      </c>
      <c r="F3192" s="10" t="inlineStr">
        <is>
          <t>Hồ Chí Minh</t>
        </is>
      </c>
      <c r="G3192" s="10" t="inlineStr">
        <is>
          <t>31-03-2026</t>
        </is>
      </c>
      <c r="H3192" s="10" t="inlineStr">
        <is>
          <t>31/03/2026</t>
        </is>
      </c>
      <c r="I3192" s="10" t="inlineStr">
        <is>
          <t>17/03/2026</t>
        </is>
      </c>
      <c r="J3192" s="10" t="inlineStr">
        <is>
          <t>Bán hàng / Kinh doanh, Cơ khí / Ô tô / Tự động hóa, Bán lẻ / Bán sỉ</t>
        </is>
      </c>
      <c r="K3192" s="10" t="inlineStr">
        <is>
          <t>N/A</t>
        </is>
      </c>
      <c r="L3192" s="11">
        <f>HYPERLINK("https://careerviet.vn/vi/tim-viec-lam/nhan-vien-kinh-doanh.35C6BFBA.html","Xem chi tiết")</f>
        <v/>
      </c>
      <c r="M3192" s="10" t="n"/>
    </row>
    <row r="3193">
      <c r="B3193" s="7" t="n">
        <v>3191</v>
      </c>
      <c r="C3193" t="inlineStr">
        <is>
          <t>128623 - Trưởng nhóm QA/QC - Ngành Thực phẩm</t>
        </is>
      </c>
      <c r="D3193" t="inlineStr">
        <is>
          <t>RGF HR Agent Vietnam Co., LTD</t>
        </is>
      </c>
      <c r="E3193" t="inlineStr">
        <is>
          <t>Lương:18 Tr - 25 Tr VND</t>
        </is>
      </c>
      <c r="F3193" t="inlineStr">
        <is>
          <t>Hồ Chí Minh</t>
        </is>
      </c>
      <c r="G3193" t="inlineStr">
        <is>
          <t>31-03-2026</t>
        </is>
      </c>
      <c r="H3193" t="inlineStr">
        <is>
          <t>31/03/2026</t>
        </is>
      </c>
      <c r="I3193" t="inlineStr">
        <is>
          <t>17/03/2026</t>
        </is>
      </c>
      <c r="J3193" t="inlineStr">
        <is>
          <t>Quản lý chất lượng (QA/QC), Thực phẩm &amp; Đồ uống</t>
        </is>
      </c>
      <c r="K3193" t="inlineStr">
        <is>
          <t>3 - 4 Năm</t>
        </is>
      </c>
      <c r="L3193" s="8">
        <f>HYPERLINK("https://careerviet.vn/vi/tim-viec-lam/128623-truong-nhom-qa-qc-nganh-thuc-pham.35C6BFD9.html","Xem chi tiết")</f>
        <v/>
      </c>
    </row>
    <row r="3194">
      <c r="B3194" s="9" t="n">
        <v>3192</v>
      </c>
      <c r="C3194" s="10" t="inlineStr">
        <is>
          <t>Logistics Admin Staff</t>
        </is>
      </c>
      <c r="D3194" s="10" t="inlineStr">
        <is>
          <t>Công Ty Cổ Phần Goody Group</t>
        </is>
      </c>
      <c r="E3194" s="10" t="inlineStr">
        <is>
          <t>Lương:8 Tr - 10 Tr VND</t>
        </is>
      </c>
      <c r="F3194" s="10" t="inlineStr">
        <is>
          <t>Hồ Chí Minh</t>
        </is>
      </c>
      <c r="G3194" s="10" t="inlineStr">
        <is>
          <t>31-03-2026</t>
        </is>
      </c>
      <c r="H3194" s="10" t="inlineStr">
        <is>
          <t>31/03/2026</t>
        </is>
      </c>
      <c r="I3194" s="10" t="inlineStr">
        <is>
          <t>17/03/2026</t>
        </is>
      </c>
      <c r="J3194" s="10" t="inlineStr">
        <is>
          <t>Vận chuyển / Giao nhận / Kho vận, Hành chính / Thư ký</t>
        </is>
      </c>
      <c r="K3194" s="10" t="inlineStr">
        <is>
          <t>1 - 3 Năm</t>
        </is>
      </c>
      <c r="L3194" s="11">
        <f>HYPERLINK("https://careerviet.vn/vi/tim-viec-lam/logistics-admin-staff.35C6BFCA.html","Xem chi tiết")</f>
        <v/>
      </c>
      <c r="M3194" s="10" t="n"/>
    </row>
    <row r="3195">
      <c r="B3195" s="7" t="n">
        <v>3193</v>
      </c>
      <c r="C3195" t="inlineStr">
        <is>
          <t>Nhân viên Digital Marketing F&amp;B</t>
        </is>
      </c>
      <c r="D3195" t="inlineStr">
        <is>
          <t>CÔNG TY TNHH PHÁT TRIỂN ĐỒ UỐNG AN VIỆT SÔNG HỒNG</t>
        </is>
      </c>
      <c r="E3195" t="inlineStr">
        <is>
          <t>Lương:12 Tr - 15 Tr VND</t>
        </is>
      </c>
      <c r="F3195" t="inlineStr">
        <is>
          <t>Hà Nội</t>
        </is>
      </c>
      <c r="G3195" t="inlineStr">
        <is>
          <t>31-03-2026</t>
        </is>
      </c>
      <c r="H3195" t="inlineStr">
        <is>
          <t>31/03/2026</t>
        </is>
      </c>
      <c r="I3195" t="inlineStr">
        <is>
          <t>17/03/2026</t>
        </is>
      </c>
      <c r="J3195" t="inlineStr">
        <is>
          <t>Tiếp thị / Marketing, Quảng cáo / Đối ngoại / Truyền Thông, Truyền hình / Báo chí / Biên tập</t>
        </is>
      </c>
      <c r="K3195" t="inlineStr">
        <is>
          <t>1 - 2 Năm</t>
        </is>
      </c>
      <c r="L3195" s="8">
        <f>HYPERLINK("https://careerviet.vn/vi/tim-viec-lam/nhan-vien-digital-marketing-f-b.35C6BFDF.html","Xem chi tiết")</f>
        <v/>
      </c>
    </row>
    <row r="3196">
      <c r="B3196" s="9" t="n">
        <v>3194</v>
      </c>
      <c r="C3196" s="10" t="inlineStr">
        <is>
          <t>Senior Internal Audit Executive</t>
        </is>
      </c>
      <c r="D3196" s="10" t="inlineStr">
        <is>
          <t>Coca-Cola Beverages Vietnam</t>
        </is>
      </c>
      <c r="E3196" s="10" t="inlineStr">
        <is>
          <t>Lương:Cạnh tranh</t>
        </is>
      </c>
      <c r="F3196" s="10" t="inlineStr">
        <is>
          <t>Hồ Chí Minh</t>
        </is>
      </c>
      <c r="G3196" s="10" t="inlineStr">
        <is>
          <t>30-04-2026</t>
        </is>
      </c>
      <c r="H3196" s="10" t="inlineStr">
        <is>
          <t>30/04/2026</t>
        </is>
      </c>
      <c r="I3196" s="10" t="inlineStr">
        <is>
          <t>17/03/2026</t>
        </is>
      </c>
      <c r="J3196" s="10" t="inlineStr">
        <is>
          <t>Kế toán / Kiểm toán</t>
        </is>
      </c>
      <c r="K3196" s="10" t="inlineStr">
        <is>
          <t>1 - 10 Năm</t>
        </is>
      </c>
      <c r="L3196" s="11">
        <f>HYPERLINK("https://careerviet.vn/vi/tim-viec-lam/senior-internal-audit-executive.35C6BFE6.html","Xem chi tiết")</f>
        <v/>
      </c>
      <c r="M3196" s="10" t="n"/>
    </row>
    <row r="3197">
      <c r="B3197" s="7" t="n">
        <v>3195</v>
      </c>
      <c r="C3197" t="inlineStr">
        <is>
          <t>Kỹ sư thiết kế hệ thống điện nhẹ - Revit/ ELV Engineer - Revit</t>
        </is>
      </c>
      <c r="D3197" t="inlineStr">
        <is>
          <t>Công Ty TNHH Boydens Vietnam part of Sweco</t>
        </is>
      </c>
      <c r="E3197" t="inlineStr">
        <is>
          <t>Lương:Cạnh tranh</t>
        </is>
      </c>
      <c r="F3197" t="inlineStr">
        <is>
          <t>Hồ Chí MinhHà Nội</t>
        </is>
      </c>
      <c r="G3197" t="inlineStr">
        <is>
          <t>31-05-2026</t>
        </is>
      </c>
      <c r="H3197" t="inlineStr">
        <is>
          <t>31/05/2026</t>
        </is>
      </c>
      <c r="I3197" t="inlineStr">
        <is>
          <t>17/03/2026</t>
        </is>
      </c>
      <c r="J3197" t="inlineStr">
        <is>
          <t>Điện / Điện tử / Điện lạnh / Điện công nghiệp, Xây dựng, Bất động sản</t>
        </is>
      </c>
      <c r="K3197" t="inlineStr">
        <is>
          <t>1 - 5 Năm</t>
        </is>
      </c>
      <c r="L3197" s="8">
        <f>HYPERLINK("https://careerviet.vn/vi/tim-viec-lam/ky-su-thiet-ke-he-thong-dien-nhe-revit-elv-engineer-revit.35C6BFC1.html","Xem chi tiết")</f>
        <v/>
      </c>
    </row>
    <row r="3198">
      <c r="B3198" s="9" t="n">
        <v>3196</v>
      </c>
      <c r="C3198" s="10" t="inlineStr">
        <is>
          <t>Nhân Viên Vận Hành Máy</t>
        </is>
      </c>
      <c r="D3198" s="10" t="inlineStr">
        <is>
          <t>Masan Consumer</t>
        </is>
      </c>
      <c r="E3198" s="10" t="inlineStr">
        <is>
          <t>Lương:Trên 10 Tr VND</t>
        </is>
      </c>
      <c r="F3198" s="10" t="inlineStr">
        <is>
          <t>Hải Dương</t>
        </is>
      </c>
      <c r="G3198" s="10" t="inlineStr">
        <is>
          <t>30-04-2026</t>
        </is>
      </c>
      <c r="H3198" s="10" t="inlineStr">
        <is>
          <t>30/04/2026</t>
        </is>
      </c>
      <c r="I3198" s="10" t="inlineStr">
        <is>
          <t>17/03/2026</t>
        </is>
      </c>
      <c r="J3198" s="10" t="inlineStr">
        <is>
          <t>Sản xuất / Vận hành sản xuất, Cơ khí / Ô tô / Tự động hóa, Điện / Điện tử / Điện lạnh / Điện công nghiệp</t>
        </is>
      </c>
      <c r="K3198" s="10" t="inlineStr">
        <is>
          <t>Chưa có kinh nghiệm</t>
        </is>
      </c>
      <c r="L3198" s="11">
        <f>HYPERLINK("https://careerviet.vn/vi/tim-viec-lam/nhan-vien-van-hanh-may.35C6BFC0.html","Xem chi tiết")</f>
        <v/>
      </c>
      <c r="M3198" s="10" t="n"/>
    </row>
    <row r="3199">
      <c r="B3199" s="7" t="n">
        <v>3197</v>
      </c>
      <c r="C3199" t="inlineStr">
        <is>
          <t>Giám Đốc Điều Hành</t>
        </is>
      </c>
      <c r="D3199" t="inlineStr">
        <is>
          <t>Công ty Cổ phần Masscom Việt Nam</t>
        </is>
      </c>
      <c r="E3199" t="inlineStr">
        <is>
          <t>Lương:Cạnh tranh</t>
        </is>
      </c>
      <c r="F3199" t="inlineStr">
        <is>
          <t>Hà Nội</t>
        </is>
      </c>
      <c r="G3199" t="inlineStr">
        <is>
          <t>28-03-2026</t>
        </is>
      </c>
      <c r="H3199" t="inlineStr">
        <is>
          <t>28/03/2026</t>
        </is>
      </c>
      <c r="I3199" t="inlineStr">
        <is>
          <t>17/03/2026</t>
        </is>
      </c>
      <c r="J3199" t="inlineStr">
        <is>
          <t>Bán hàng / Kinh doanh, Thương mại điện tử, Quản lý điều hành</t>
        </is>
      </c>
      <c r="K3199" t="inlineStr">
        <is>
          <t>5 - 10 Năm</t>
        </is>
      </c>
      <c r="L3199" s="8">
        <f>HYPERLINK("https://careerviet.vn/vi/tim-viec-lam/giam-doc-dieu-hanh.35C6BF8F.html","Xem chi tiết")</f>
        <v/>
      </c>
    </row>
    <row r="3200">
      <c r="B3200" s="9" t="n">
        <v>3198</v>
      </c>
      <c r="C3200" s="10" t="inlineStr">
        <is>
          <t>Kỹ Thuật Lắp Đặt</t>
        </is>
      </c>
      <c r="D3200" s="10" t="inlineStr">
        <is>
          <t>CÔNG TY TNHH DV HỒ GIA PHÁT</t>
        </is>
      </c>
      <c r="E3200" s="10" t="inlineStr">
        <is>
          <t>Lương:Cạnh tranh</t>
        </is>
      </c>
      <c r="F3200" s="10" t="inlineStr">
        <is>
          <t>Hồ Chí Minh</t>
        </is>
      </c>
      <c r="G3200" s="10" t="inlineStr">
        <is>
          <t>04-04-2026</t>
        </is>
      </c>
      <c r="H3200" s="10" t="inlineStr">
        <is>
          <t>04/04/2026</t>
        </is>
      </c>
      <c r="I3200" s="10" t="inlineStr">
        <is>
          <t>17/03/2026</t>
        </is>
      </c>
      <c r="J3200" s="10" t="inlineStr">
        <is>
          <t>Cơ khí / Ô tô / Tự động hóa, Điện / Điện tử / Điện lạnh / Điện công nghiệp, Bảo trì / Sửa chữa</t>
        </is>
      </c>
      <c r="K3200" s="10" t="inlineStr">
        <is>
          <t>N/A</t>
        </is>
      </c>
      <c r="L3200" s="11">
        <f>HYPERLINK("https://careerviet.vn/vi/tim-viec-lam/ky-thuat-lap-dat.35C6AE42.html","Xem chi tiết")</f>
        <v/>
      </c>
      <c r="M3200" s="10" t="n"/>
    </row>
    <row r="3201">
      <c r="B3201" s="7" t="n">
        <v>3199</v>
      </c>
      <c r="C3201" t="inlineStr">
        <is>
          <t>CHUYÊN VIÊN KIỂM TOÁN NỘI BỘ - HÓC MÔN</t>
        </is>
      </c>
      <c r="D3201" t="inlineStr">
        <is>
          <t>CÔNG TY CỔ PHẦN THỰC PHẨM FRESCO</t>
        </is>
      </c>
      <c r="E3201" t="inlineStr">
        <is>
          <t>Lương:18 Tr - 25 Tr VND</t>
        </is>
      </c>
      <c r="F3201" t="inlineStr">
        <is>
          <t>Hồ Chí Minh</t>
        </is>
      </c>
      <c r="G3201" t="inlineStr">
        <is>
          <t>27-03-2026</t>
        </is>
      </c>
      <c r="H3201" t="inlineStr">
        <is>
          <t>27/03/2026</t>
        </is>
      </c>
      <c r="I3201" t="inlineStr">
        <is>
          <t>17/03/2026</t>
        </is>
      </c>
      <c r="J3201" t="inlineStr">
        <is>
          <t>Luật / Pháp lý, Thực phẩm &amp; Đồ uống, Kế toán / Kiểm toán</t>
        </is>
      </c>
      <c r="K3201" t="inlineStr">
        <is>
          <t>2 - 4 Năm</t>
        </is>
      </c>
      <c r="L3201" s="8">
        <f>HYPERLINK("https://careerviet.vn/vi/tim-viec-lam/chuyen-vien-kiem-toan-noi-bo-hoc-mon.35C6AD52.html","Xem chi tiết")</f>
        <v/>
      </c>
    </row>
    <row r="3202">
      <c r="B3202" s="9" t="n">
        <v>3200</v>
      </c>
      <c r="C3202" s="10" t="inlineStr">
        <is>
          <t>Senior Marketing Manager - Sports</t>
        </is>
      </c>
      <c r="D3202" s="10" t="inlineStr">
        <is>
          <t>Central Brand &amp; Specialty Việt Nam</t>
        </is>
      </c>
      <c r="E3202" s="10" t="inlineStr">
        <is>
          <t>Lương:Cạnh tranh</t>
        </is>
      </c>
      <c r="F3202" s="10" t="inlineStr">
        <is>
          <t>Hồ Chí Minh</t>
        </is>
      </c>
      <c r="G3202" s="10" t="inlineStr">
        <is>
          <t>12-04-2026</t>
        </is>
      </c>
      <c r="H3202" s="10" t="inlineStr">
        <is>
          <t>12/04/2026</t>
        </is>
      </c>
      <c r="I3202" s="10" t="inlineStr">
        <is>
          <t>17/03/2026</t>
        </is>
      </c>
      <c r="J3202" s="10" t="inlineStr">
        <is>
          <t>Tiếp thị / Marketing, Bán lẻ / Bán sỉ, Dệt may / Da giày / Thời trang</t>
        </is>
      </c>
      <c r="K3202" s="10" t="inlineStr">
        <is>
          <t>8 - 12 Năm</t>
        </is>
      </c>
      <c r="L3202" s="11">
        <f>HYPERLINK("https://careerviet.vn/vi/tim-viec-lam/senior-marketing-manager-sports.35C6BFC9.html","Xem chi tiết")</f>
        <v/>
      </c>
      <c r="M3202" s="10" t="n"/>
    </row>
    <row r="3203">
      <c r="B3203" s="7" t="n">
        <v>3201</v>
      </c>
      <c r="C3203" t="inlineStr">
        <is>
          <t>Chuyên gia Chuyển đổi số nội bộ - Trung tâm vận hành tối ưu - Khối Vận hành</t>
        </is>
      </c>
      <c r="D3203" t="inlineStr">
        <is>
          <t>Ngân hàng TMCP Đại Chúng Việt Nam - PVcomBank</t>
        </is>
      </c>
      <c r="E3203" t="inlineStr">
        <is>
          <t>Lương:Cạnh tranh</t>
        </is>
      </c>
      <c r="F3203" t="inlineStr">
        <is>
          <t>Hà Nội</t>
        </is>
      </c>
      <c r="G3203" t="inlineStr">
        <is>
          <t>03-04-2026</t>
        </is>
      </c>
      <c r="H3203" t="inlineStr">
        <is>
          <t>03/04/2026</t>
        </is>
      </c>
      <c r="I3203" t="inlineStr">
        <is>
          <t>17/03/2026</t>
        </is>
      </c>
      <c r="J3203" t="inlineStr">
        <is>
          <t>Ngân hàng, Tài chính / Đầu tư</t>
        </is>
      </c>
      <c r="K3203" t="inlineStr">
        <is>
          <t>4 - 10 Năm</t>
        </is>
      </c>
      <c r="L3203" s="8">
        <f>HYPERLINK("https://careerviet.vn/vi/tim-viec-lam/chuyen-gia-chuyen-doi-so-noi-bo-trung-tam-van-hanh-toi-uu-khoi-van-hanh.35C6AEDA.html","Xem chi tiết")</f>
        <v/>
      </c>
    </row>
    <row r="3204">
      <c r="B3204" s="9" t="n">
        <v>3202</v>
      </c>
      <c r="C3204" s="10" t="inlineStr">
        <is>
          <t>128639 - Korean Required - Sales Manager (Industrial Sewing Machines) - Manufacturing</t>
        </is>
      </c>
      <c r="D3204" s="10" t="inlineStr">
        <is>
          <t>RGF HR Agent Vietnam Co., LTD</t>
        </is>
      </c>
      <c r="E3204" s="10" t="inlineStr">
        <is>
          <t>Lương:Trên 78 Tr VND</t>
        </is>
      </c>
      <c r="F3204" s="10" t="inlineStr">
        <is>
          <t>Hồ Chí Minh</t>
        </is>
      </c>
      <c r="G3204" s="10" t="inlineStr">
        <is>
          <t>17-04-2026</t>
        </is>
      </c>
      <c r="H3204" s="10" t="inlineStr">
        <is>
          <t>17/04/2026</t>
        </is>
      </c>
      <c r="I3204" s="10" t="inlineStr">
        <is>
          <t>17/03/2026</t>
        </is>
      </c>
      <c r="J3204" s="10" t="inlineStr">
        <is>
          <t>Sản xuất / Vận hành sản xuất, Bán hàng / Kinh doanh</t>
        </is>
      </c>
      <c r="K3204" s="10" t="inlineStr">
        <is>
          <t>3 - 4 Năm</t>
        </is>
      </c>
      <c r="L3204" s="11">
        <f>HYPERLINK("https://careerviet.vn/vi/tim-viec-lam/128639-korean-required-sales-manager-industrial-sewing-machines-manufacturing.35C6BFBF.html","Xem chi tiết")</f>
        <v/>
      </c>
      <c r="M3204" s="10" t="n"/>
    </row>
    <row r="3205">
      <c r="B3205" s="7" t="n">
        <v>3203</v>
      </c>
      <c r="C3205" t="inlineStr">
        <is>
          <t>Trưởng phòng Marketing</t>
        </is>
      </c>
      <c r="D3205" t="inlineStr">
        <is>
          <t>Công ty TNHH Anh Đức</t>
        </is>
      </c>
      <c r="E3205" t="inlineStr">
        <is>
          <t>Lương:17 Tr - 25 Tr VND</t>
        </is>
      </c>
      <c r="F3205" t="inlineStr">
        <is>
          <t>Đà Nẵng</t>
        </is>
      </c>
      <c r="G3205" t="inlineStr">
        <is>
          <t>31-03-2026</t>
        </is>
      </c>
      <c r="H3205" t="inlineStr">
        <is>
          <t>31/03/2026</t>
        </is>
      </c>
      <c r="I3205" t="inlineStr">
        <is>
          <t>17/03/2026</t>
        </is>
      </c>
      <c r="J3205" t="inlineStr">
        <is>
          <t>Tiếp thị / Marketing, Tiếp thị trực tuyến, Quảng cáo / Đối ngoại / Truyền Thông</t>
        </is>
      </c>
      <c r="K3205" t="inlineStr">
        <is>
          <t>Trên 2 Năm</t>
        </is>
      </c>
      <c r="L3205" s="8">
        <f>HYPERLINK("https://careerviet.vn/vi/tim-viec-lam/truong-phong-marketing.35C6AB17.html","Xem chi tiết")</f>
        <v/>
      </c>
    </row>
    <row r="3206">
      <c r="B3206" s="9" t="n">
        <v>3204</v>
      </c>
      <c r="C3206" s="10" t="inlineStr">
        <is>
          <t>TƯ VẤN VIÊN THẨM MỸ</t>
        </is>
      </c>
      <c r="D3206" s="10" t="inlineStr">
        <is>
          <t>Vanity Aesthetics &amp; Beauty Clinic</t>
        </is>
      </c>
      <c r="E3206" s="10" t="inlineStr">
        <is>
          <t>Lương:15 Tr - 50 Tr VND</t>
        </is>
      </c>
      <c r="F3206" s="10" t="inlineStr">
        <is>
          <t>Hồ Chí Minh</t>
        </is>
      </c>
      <c r="G3206" s="10" t="inlineStr">
        <is>
          <t>30-04-2026</t>
        </is>
      </c>
      <c r="H3206" s="10" t="inlineStr">
        <is>
          <t>30/04/2026</t>
        </is>
      </c>
      <c r="I3206" s="10" t="inlineStr">
        <is>
          <t>17/03/2026</t>
        </is>
      </c>
      <c r="J3206" s="10" t="inlineStr">
        <is>
          <t>Y tế / Chăm sóc sức khỏe / Thẩm mỹ / Làm đẹp, Bán hàng / Kinh doanh</t>
        </is>
      </c>
      <c r="K3206" s="10" t="inlineStr">
        <is>
          <t>Trên 3 Năm</t>
        </is>
      </c>
      <c r="L3206" s="11">
        <f>HYPERLINK("https://careerviet.vn/vi/tim-viec-lam/tu-van-vien-tham-my.35C6ACD5.html","Xem chi tiết")</f>
        <v/>
      </c>
      <c r="M3206" s="10" t="n"/>
    </row>
    <row r="3207">
      <c r="B3207" s="7" t="n">
        <v>3205</v>
      </c>
      <c r="C3207" t="inlineStr">
        <is>
          <t>[ĐÔNG ANH] Nhân Viên Kỹ Thuật Tòa Nhà</t>
        </is>
      </c>
      <c r="D3207" t="inlineStr">
        <is>
          <t>CÔNG TY CỔ PHẦN EUROWINDOW HOLDING</t>
        </is>
      </c>
      <c r="E3207" t="inlineStr">
        <is>
          <t>Lương:Cạnh tranh</t>
        </is>
      </c>
      <c r="F3207" t="inlineStr">
        <is>
          <t>Hà Nội</t>
        </is>
      </c>
      <c r="G3207" t="inlineStr">
        <is>
          <t>04-04-2026</t>
        </is>
      </c>
      <c r="H3207" t="inlineStr">
        <is>
          <t>04/04/2026</t>
        </is>
      </c>
      <c r="I3207" t="inlineStr">
        <is>
          <t>17/03/2026</t>
        </is>
      </c>
      <c r="J3207" t="inlineStr">
        <is>
          <t>Điện / Điện tử / Điện lạnh / Điện công nghiệp, Bảo trì / Sửa chữa</t>
        </is>
      </c>
      <c r="K3207" t="inlineStr">
        <is>
          <t>Lên đến 1 Năm</t>
        </is>
      </c>
      <c r="L3207" s="8">
        <f>HYPERLINK("https://careerviet.vn/vi/tim-viec-lam/dong-anh-nhan-vien-ky-thuat-toa-nha.35C6AD03.html","Xem chi tiết")</f>
        <v/>
      </c>
    </row>
    <row r="3208">
      <c r="B3208" s="9" t="n">
        <v>3206</v>
      </c>
      <c r="C3208" s="10" t="inlineStr">
        <is>
          <t>Kỹ Sư Xây Dựng</t>
        </is>
      </c>
      <c r="D3208" s="10" t="inlineStr">
        <is>
          <t>CÔNG TY TNHH HÒA QUẦN</t>
        </is>
      </c>
      <c r="E3208" s="10" t="inlineStr">
        <is>
          <t>Lương:20 Tr - 25 Tr VND</t>
        </is>
      </c>
      <c r="F3208" s="10" t="inlineStr">
        <is>
          <t>Hải Dương</t>
        </is>
      </c>
      <c r="G3208" s="10" t="inlineStr">
        <is>
          <t>04-04-2026</t>
        </is>
      </c>
      <c r="H3208" s="10" t="inlineStr">
        <is>
          <t>04/04/2026</t>
        </is>
      </c>
      <c r="I3208" s="10" t="inlineStr">
        <is>
          <t>17/03/2026</t>
        </is>
      </c>
      <c r="J3208" s="10" t="inlineStr">
        <is>
          <t>Bất động sản, Kiến trúc, Xây dựng</t>
        </is>
      </c>
      <c r="K3208" s="10" t="inlineStr">
        <is>
          <t>Trên 3 Năm</t>
        </is>
      </c>
      <c r="L3208" s="11">
        <f>HYPERLINK("https://careerviet.vn/vi/tim-viec-lam/ky-su-xay-dung.35C6ACAF.html","Xem chi tiết")</f>
        <v/>
      </c>
      <c r="M3208" s="10" t="n"/>
    </row>
    <row r="3209">
      <c r="B3209" s="7" t="n">
        <v>3207</v>
      </c>
      <c r="C3209" t="inlineStr">
        <is>
          <t>Quản Lý Kinh Doanh Quốc Tế (Khu vực Châu Mỹ, Châu Phi)</t>
        </is>
      </c>
      <c r="D3209" t="inlineStr">
        <is>
          <t>Công ty TNHH SX-TM-DV Qui Phúc</t>
        </is>
      </c>
      <c r="E3209" t="inlineStr">
        <is>
          <t>Lương:Cạnh tranh</t>
        </is>
      </c>
      <c r="F3209" t="inlineStr">
        <is>
          <t>Hồ Chí Minh</t>
        </is>
      </c>
      <c r="G3209" t="inlineStr">
        <is>
          <t>03-04-2026</t>
        </is>
      </c>
      <c r="H3209" t="inlineStr">
        <is>
          <t>03/04/2026</t>
        </is>
      </c>
      <c r="I3209" t="inlineStr">
        <is>
          <t>17/03/2026</t>
        </is>
      </c>
      <c r="J3209" t="inlineStr">
        <is>
          <t>Bán hàng / Kinh doanh, Quản lý điều hành, Xuất nhập khẩu</t>
        </is>
      </c>
      <c r="K3209" t="inlineStr">
        <is>
          <t>5 - 6 Năm</t>
        </is>
      </c>
      <c r="L3209" s="8">
        <f>HYPERLINK("https://careerviet.vn/vi/tim-viec-lam/quan-ly-kinh-doanh-quoc-te-khu-vuc-chau-my-chau-phi.35C6ABA2.html","Xem chi tiết")</f>
        <v/>
      </c>
    </row>
    <row r="3210">
      <c r="B3210" s="9" t="n">
        <v>3208</v>
      </c>
      <c r="C3210" s="10" t="inlineStr">
        <is>
          <t>Kế Toán Tổng Hợp Lương từ 18tr - 23tr</t>
        </is>
      </c>
      <c r="D3210" s="10" t="inlineStr">
        <is>
          <t>CÔNG TY TNHH HÒA QUẦN</t>
        </is>
      </c>
      <c r="E3210" s="10" t="inlineStr">
        <is>
          <t>Lương:18 Tr - 23 Tr VND</t>
        </is>
      </c>
      <c r="F3210" s="10" t="inlineStr">
        <is>
          <t>Hà Nội</t>
        </is>
      </c>
      <c r="G3210" s="10" t="inlineStr">
        <is>
          <t>04-04-2026</t>
        </is>
      </c>
      <c r="H3210" s="10" t="inlineStr">
        <is>
          <t>04/04/2026</t>
        </is>
      </c>
      <c r="I3210" s="10" t="inlineStr">
        <is>
          <t>17/03/2026</t>
        </is>
      </c>
      <c r="J3210" s="10" t="inlineStr">
        <is>
          <t>Kế toán / Kiểm toán, Xây dựng</t>
        </is>
      </c>
      <c r="K3210" s="10" t="inlineStr">
        <is>
          <t>N/A</t>
        </is>
      </c>
      <c r="L3210" s="11">
        <f>HYPERLINK("https://careerviet.vn/vi/tim-viec-lam/ke-toan-tong-hop-luong-tu-18tr-23tr.35C6ACB3.html","Xem chi tiết")</f>
        <v/>
      </c>
      <c r="M3210" s="10" t="n"/>
    </row>
    <row r="3211">
      <c r="B3211" s="7" t="n">
        <v>3209</v>
      </c>
      <c r="C3211" t="inlineStr">
        <is>
          <t>Chuyên viên cao cấp chuyển đổi số nội bộ - Trung tâm vận hành tối ưu - Khối Vận hành</t>
        </is>
      </c>
      <c r="D3211" t="inlineStr">
        <is>
          <t>Ngân hàng TMCP Đại Chúng Việt Nam - PVcomBank</t>
        </is>
      </c>
      <c r="E3211" t="inlineStr">
        <is>
          <t>Lương:Cạnh tranh</t>
        </is>
      </c>
      <c r="F3211" t="inlineStr">
        <is>
          <t>Hà Nội</t>
        </is>
      </c>
      <c r="G3211" t="inlineStr">
        <is>
          <t>03-04-2026</t>
        </is>
      </c>
      <c r="H3211" t="inlineStr">
        <is>
          <t>03/04/2026</t>
        </is>
      </c>
      <c r="I3211" t="inlineStr">
        <is>
          <t>17/03/2026</t>
        </is>
      </c>
      <c r="J3211" t="inlineStr">
        <is>
          <t>Ngân hàng, Tài chính / Đầu tư</t>
        </is>
      </c>
      <c r="K3211" t="inlineStr">
        <is>
          <t>3 - 5 Năm</t>
        </is>
      </c>
      <c r="L3211" s="8">
        <f>HYPERLINK("https://careerviet.vn/vi/tim-viec-lam/chuyen-vien-cao-cap-chuyen-doi-so-noi-bo-trung-tam-van-hanh-toi-uu-khoi-van-hanh.35C6AEDC.html","Xem chi tiết")</f>
        <v/>
      </c>
    </row>
    <row r="3212">
      <c r="B3212" s="9" t="n">
        <v>3210</v>
      </c>
      <c r="C3212" s="10" t="inlineStr">
        <is>
          <t>Project manager</t>
        </is>
      </c>
      <c r="D3212" s="10" t="inlineStr">
        <is>
          <t>Simpson Strong Tie Viet Nam Company Limited</t>
        </is>
      </c>
      <c r="E3212" s="10" t="inlineStr">
        <is>
          <t>Lương:Cạnh tranh</t>
        </is>
      </c>
      <c r="F3212" s="10" t="inlineStr">
        <is>
          <t>Hồ Chí Minh</t>
        </is>
      </c>
      <c r="G3212" s="10" t="inlineStr">
        <is>
          <t>10-04-2026</t>
        </is>
      </c>
      <c r="H3212" s="10" t="inlineStr">
        <is>
          <t>10/04/2026</t>
        </is>
      </c>
      <c r="I3212" s="10" t="inlineStr">
        <is>
          <t>17/03/2026</t>
        </is>
      </c>
      <c r="J3212" s="10" t="inlineStr">
        <is>
          <t>Quảng cáo / Đối ngoại / Truyền Thông, Tiếp thị / Marketing</t>
        </is>
      </c>
      <c r="K3212" s="10" t="inlineStr">
        <is>
          <t>4 - 5 Năm</t>
        </is>
      </c>
      <c r="L3212" s="11">
        <f>HYPERLINK("https://careerviet.vn/vi/tim-viec-lam/project-manager.35C6AE29.html","Xem chi tiết")</f>
        <v/>
      </c>
      <c r="M3212" s="10" t="n"/>
    </row>
    <row r="3213">
      <c r="B3213" s="7" t="n">
        <v>3211</v>
      </c>
      <c r="C3213" t="inlineStr">
        <is>
          <t>[Củ Chi] NHÂN VIÊN BẢO TRÌ CƠ ĐIỆN</t>
        </is>
      </c>
      <c r="D3213" t="inlineStr">
        <is>
          <t>Công Ty TNHH CJ Vina Agri</t>
        </is>
      </c>
      <c r="E3213" t="inlineStr">
        <is>
          <t>Lương:9 Tr - 11 Tr VND</t>
        </is>
      </c>
      <c r="F3213" t="inlineStr">
        <is>
          <t>Hồ Chí Minh</t>
        </is>
      </c>
      <c r="G3213" t="inlineStr">
        <is>
          <t>02-04-2026</t>
        </is>
      </c>
      <c r="H3213" t="inlineStr">
        <is>
          <t>02/04/2026</t>
        </is>
      </c>
      <c r="I3213" t="inlineStr">
        <is>
          <t>17/03/2026</t>
        </is>
      </c>
      <c r="J3213" t="inlineStr">
        <is>
          <t>Điện / Điện tử / Điện lạnh / Điện công nghiệp, Cơ khí / Ô tô / Tự động hóa</t>
        </is>
      </c>
      <c r="K3213" t="inlineStr">
        <is>
          <t>1 - 10 Năm</t>
        </is>
      </c>
      <c r="L3213" s="8">
        <f>HYPERLINK("https://careerviet.vn/vi/tim-viec-lam/cu-chi-nhan-vien-bao-tri-co-dien.35C6ADCC.html","Xem chi tiết")</f>
        <v/>
      </c>
    </row>
    <row r="3214">
      <c r="B3214" s="9" t="n">
        <v>3212</v>
      </c>
      <c r="C3214" s="10" t="inlineStr">
        <is>
          <t>Electrical Engineer</t>
        </is>
      </c>
      <c r="D3214" s="10" t="inlineStr">
        <is>
          <t>CÔNG TY TNHH SEAH M&amp;S VIỆT NAM</t>
        </is>
      </c>
      <c r="E3214" s="10" t="inlineStr">
        <is>
          <t>Lương:800 - 900 USD</t>
        </is>
      </c>
      <c r="F3214" s="10" t="inlineStr">
        <is>
          <t>Bà Rịa - Vũng TàuHồ Chí Minh</t>
        </is>
      </c>
      <c r="G3214" s="10" t="inlineStr">
        <is>
          <t>03-04-2026</t>
        </is>
      </c>
      <c r="H3214" s="10" t="inlineStr">
        <is>
          <t>03/04/2026</t>
        </is>
      </c>
      <c r="I3214" s="10" t="inlineStr">
        <is>
          <t>17/03/2026</t>
        </is>
      </c>
      <c r="J3214" s="10" t="inlineStr">
        <is>
          <t>Sản xuất / Vận hành sản xuất, Điện / Điện tử / Điện lạnh / Điện công nghiệp, Bảo trì / Sửa chữa</t>
        </is>
      </c>
      <c r="K3214" s="10" t="inlineStr">
        <is>
          <t>2 - 5 Năm</t>
        </is>
      </c>
      <c r="L3214" s="11">
        <f>HYPERLINK("https://careerviet.vn/vi/tim-viec-lam/electrical-engineer.35C6AB2A.html","Xem chi tiết")</f>
        <v/>
      </c>
      <c r="M3214" s="10" t="n"/>
    </row>
    <row r="3215">
      <c r="B3215" s="7" t="n">
        <v>3213</v>
      </c>
      <c r="C3215" t="inlineStr">
        <is>
          <t>[Hà Nội, Hồ Chí Minh] Chỉ huy trưởng công trường Solar farm, Năng lượng mặt trời</t>
        </is>
      </c>
      <c r="D3215" t="inlineStr">
        <is>
          <t>Tổng Công ty Cổ phần Công trình Viettel</t>
        </is>
      </c>
      <c r="E3215" t="inlineStr">
        <is>
          <t>Lương:Cạnh tranh</t>
        </is>
      </c>
      <c r="F3215" t="inlineStr">
        <is>
          <t>Hà NộiHồ Chí Minh</t>
        </is>
      </c>
      <c r="G3215" t="inlineStr">
        <is>
          <t>03-04-2026</t>
        </is>
      </c>
      <c r="H3215" t="inlineStr">
        <is>
          <t>03/04/2026</t>
        </is>
      </c>
      <c r="I3215" t="inlineStr">
        <is>
          <t>17/03/2026</t>
        </is>
      </c>
      <c r="J3215" t="inlineStr">
        <is>
          <t>Mỹ thuật / Nghệ thuật / Thiết kế, Cơ khí / Ô tô / Tự động hóa, Điện / Điện tử / Điện lạnh / Điện công nghiệp</t>
        </is>
      </c>
      <c r="K3215" t="inlineStr">
        <is>
          <t>2 - 5 Năm</t>
        </is>
      </c>
      <c r="L3215" s="8">
        <f>HYPERLINK("https://careerviet.vn/vi/tim-viec-lam/ha-noi-ho-chi-minh-chi-huy-truong-cong-truong-solar-farm-nang-luong-mat-troi.35C6AE95.html","Xem chi tiết")</f>
        <v/>
      </c>
    </row>
    <row r="3216">
      <c r="B3216" s="9" t="n">
        <v>3214</v>
      </c>
      <c r="C3216" s="10" t="inlineStr">
        <is>
          <t>Engineering Admin</t>
        </is>
      </c>
      <c r="D3216" s="10" t="inlineStr">
        <is>
          <t>Simpson Strong Tie Viet Nam Company Limited</t>
        </is>
      </c>
      <c r="E3216" s="10" t="inlineStr">
        <is>
          <t>Lương:Cạnh tranh</t>
        </is>
      </c>
      <c r="F3216" s="10" t="inlineStr">
        <is>
          <t>Hồ Chí Minh</t>
        </is>
      </c>
      <c r="G3216" s="10" t="inlineStr">
        <is>
          <t>06-04-2026</t>
        </is>
      </c>
      <c r="H3216" s="10" t="inlineStr">
        <is>
          <t>06/04/2026</t>
        </is>
      </c>
      <c r="I3216" s="10" t="inlineStr">
        <is>
          <t>17/03/2026</t>
        </is>
      </c>
      <c r="J3216" s="10" t="inlineStr">
        <is>
          <t>Hành chính / Thư ký</t>
        </is>
      </c>
      <c r="K3216" s="10" t="inlineStr">
        <is>
          <t>N/A</t>
        </is>
      </c>
      <c r="L3216" s="11">
        <f>HYPERLINK("https://careerviet.vn/vi/tim-viec-lam/engineering-admin.35C6AD4F.html","Xem chi tiết")</f>
        <v/>
      </c>
      <c r="M3216" s="10" t="n"/>
    </row>
    <row r="3217">
      <c r="B3217" s="7" t="n">
        <v>3215</v>
      </c>
      <c r="C3217" t="inlineStr">
        <is>
          <t>Purchasing Specialist</t>
        </is>
      </c>
      <c r="D3217" t="inlineStr">
        <is>
          <t>CÔNG TY TNHH DYNAMIC TEST SOLUTIONS VIỆT NAM</t>
        </is>
      </c>
      <c r="E3217" t="inlineStr">
        <is>
          <t>Lương:20 Tr - 40 Tr VND</t>
        </is>
      </c>
      <c r="F3217" t="inlineStr">
        <is>
          <t>Hồ Chí Minh</t>
        </is>
      </c>
      <c r="G3217" t="inlineStr">
        <is>
          <t>01-05-2026</t>
        </is>
      </c>
      <c r="H3217" t="inlineStr">
        <is>
          <t>01/05/2026</t>
        </is>
      </c>
      <c r="I3217" t="inlineStr">
        <is>
          <t>17/03/2026</t>
        </is>
      </c>
      <c r="J3217" t="inlineStr">
        <is>
          <t>Thương mại điện tử, Điện / Điện tử / Điện lạnh / Điện công nghiệp, Thu mua / Vật tư</t>
        </is>
      </c>
      <c r="K3217" t="inlineStr">
        <is>
          <t>3 - 5 Năm</t>
        </is>
      </c>
      <c r="L3217" s="8">
        <f>HYPERLINK("https://careerviet.vn/vi/tim-viec-lam/purchasing-specialist.35C6BFC5.html","Xem chi tiết")</f>
        <v/>
      </c>
    </row>
    <row r="3218">
      <c r="B3218" s="9" t="n">
        <v>3216</v>
      </c>
      <c r="C3218" s="10" t="inlineStr">
        <is>
          <t>CHUYÊN VIÊN DỰ TOÁN NỘI THẤT (QS)</t>
        </is>
      </c>
      <c r="D3218" s="10" t="inlineStr">
        <is>
          <t>CÔNG TY TRÁCH NHIỆM HỮU HẠN R.P</t>
        </is>
      </c>
      <c r="E3218" s="10" t="inlineStr">
        <is>
          <t>Lương:Cạnh tranh</t>
        </is>
      </c>
      <c r="F3218" s="10" t="inlineStr">
        <is>
          <t>Hồ Chí Minh</t>
        </is>
      </c>
      <c r="G3218" s="10" t="inlineStr">
        <is>
          <t>30-04-2026</t>
        </is>
      </c>
      <c r="H3218" s="10" t="inlineStr">
        <is>
          <t>30/04/2026</t>
        </is>
      </c>
      <c r="I3218" s="10" t="inlineStr">
        <is>
          <t>17/03/2026</t>
        </is>
      </c>
      <c r="J3218" s="10" t="inlineStr">
        <is>
          <t>Nội ngoại thất, Xây dựng, Kiến trúc</t>
        </is>
      </c>
      <c r="K3218" s="10" t="inlineStr">
        <is>
          <t>2 - 4 Năm</t>
        </is>
      </c>
      <c r="L3218" s="11">
        <f>HYPERLINK("https://careerviet.vn/vi/tim-viec-lam/chuyen-vien-du-toan-noi-that-qs.35C6BFBE.html","Xem chi tiết")</f>
        <v/>
      </c>
      <c r="M3218" s="10" t="n"/>
    </row>
    <row r="3219">
      <c r="B3219" s="7" t="n">
        <v>3217</v>
      </c>
      <c r="C3219" t="inlineStr">
        <is>
          <t>Kỹ Sư ME</t>
        </is>
      </c>
      <c r="D3219" t="inlineStr">
        <is>
          <t>CÔNG TY TNHH KỸ THUẬT CƠ ĐIỆN KIÊN GIA PHÁT</t>
        </is>
      </c>
      <c r="E3219" t="inlineStr">
        <is>
          <t>Lương:Cạnh tranh</t>
        </is>
      </c>
      <c r="F3219" t="inlineStr">
        <is>
          <t>Hồ Chí Minh</t>
        </is>
      </c>
      <c r="G3219" t="inlineStr">
        <is>
          <t>04-04-2026</t>
        </is>
      </c>
      <c r="H3219" t="inlineStr">
        <is>
          <t>04/04/2026</t>
        </is>
      </c>
      <c r="I3219" t="inlineStr">
        <is>
          <t>17/03/2026</t>
        </is>
      </c>
      <c r="J3219" t="inlineStr">
        <is>
          <t>Xây dựng, Điện / Điện tử / Điện lạnh / Điện công nghiệp, Cơ khí / Ô tô / Tự động hóa</t>
        </is>
      </c>
      <c r="K3219" t="inlineStr">
        <is>
          <t>Trên 2 Năm</t>
        </is>
      </c>
      <c r="L3219" s="8">
        <f>HYPERLINK("https://careerviet.vn/vi/tim-viec-lam/ky-su-me.35C6ABF8.html","Xem chi tiết")</f>
        <v/>
      </c>
    </row>
    <row r="3220">
      <c r="B3220" s="9" t="n">
        <v>3218</v>
      </c>
      <c r="C3220" s="10" t="inlineStr">
        <is>
          <t>[Hotel HN] Chief Engineer</t>
        </is>
      </c>
      <c r="D3220" s="10" t="inlineStr">
        <is>
          <t>Công ty Cổ phần Tập đoàn Minh Anh</t>
        </is>
      </c>
      <c r="E3220" s="10" t="inlineStr">
        <is>
          <t>Lương:Cạnh tranh</t>
        </is>
      </c>
      <c r="F3220" s="10" t="inlineStr">
        <is>
          <t>Hà Nội</t>
        </is>
      </c>
      <c r="G3220" s="10" t="inlineStr">
        <is>
          <t>04-04-2026</t>
        </is>
      </c>
      <c r="H3220" s="10" t="inlineStr">
        <is>
          <t>04/04/2026</t>
        </is>
      </c>
      <c r="I3220" s="10" t="inlineStr">
        <is>
          <t>17/03/2026</t>
        </is>
      </c>
      <c r="J3220" s="10" t="inlineStr">
        <is>
          <t>Bảo trì / Sửa chữa, Điện / Điện tử / Điện lạnh / Điện công nghiệp, Nhà hàng / Khách sạn</t>
        </is>
      </c>
      <c r="K3220" s="10" t="inlineStr">
        <is>
          <t>3 - 5 Năm</t>
        </is>
      </c>
      <c r="L3220" s="11">
        <f>HYPERLINK("https://careerviet.vn/vi/tim-viec-lam/hotel-hn-chief-engineer.35C6AC44.html","Xem chi tiết")</f>
        <v/>
      </c>
      <c r="M3220" s="10" t="n"/>
    </row>
    <row r="3221">
      <c r="B3221" s="7" t="n">
        <v>3219</v>
      </c>
      <c r="C3221" t="inlineStr">
        <is>
          <t>Chuyên Viên Thiết Kế Thời Trang / Fashion Designer</t>
        </is>
      </c>
      <c r="D3221" t="inlineStr">
        <is>
          <t>Công Ty TNHH Thủy Design House</t>
        </is>
      </c>
      <c r="E3221" t="inlineStr">
        <is>
          <t>Lương:10 Tr - 18 Tr VND</t>
        </is>
      </c>
      <c r="F3221" t="inlineStr">
        <is>
          <t>Hồ Chí Minh</t>
        </is>
      </c>
      <c r="G3221" t="inlineStr">
        <is>
          <t>03-04-2026</t>
        </is>
      </c>
      <c r="H3221" t="inlineStr">
        <is>
          <t>03/04/2026</t>
        </is>
      </c>
      <c r="I3221" t="inlineStr">
        <is>
          <t>17/03/2026</t>
        </is>
      </c>
      <c r="J3221" t="inlineStr">
        <is>
          <t>Mỹ thuật / Nghệ thuật / Thiết kế, Dệt may / Da giày / Thời trang, Kiến trúc</t>
        </is>
      </c>
      <c r="K3221" t="inlineStr">
        <is>
          <t>2 - 3 Năm</t>
        </is>
      </c>
      <c r="L3221" s="8">
        <f>HYPERLINK("https://careerviet.vn/vi/tim-viec-lam/chuyen-vien-thiet-ke-thoi-trang-fashion-designer.35C6AE9F.html","Xem chi tiết")</f>
        <v/>
      </c>
    </row>
    <row r="3222">
      <c r="B3222" s="9" t="n">
        <v>3220</v>
      </c>
      <c r="C3222" s="10" t="inlineStr">
        <is>
          <t>Kế toán kho (Thường Tín, Hà Nội)</t>
        </is>
      </c>
      <c r="D3222" s="10" t="inlineStr">
        <is>
          <t>Viet Thai International</t>
        </is>
      </c>
      <c r="E3222" s="10" t="inlineStr">
        <is>
          <t>Lương:Cạnh tranh</t>
        </is>
      </c>
      <c r="F3222" s="10" t="inlineStr">
        <is>
          <t>Hà Nội</t>
        </is>
      </c>
      <c r="G3222" s="10" t="inlineStr">
        <is>
          <t>30-03-2026</t>
        </is>
      </c>
      <c r="H3222" s="10" t="inlineStr">
        <is>
          <t>30/03/2026</t>
        </is>
      </c>
      <c r="I3222" s="10" t="inlineStr">
        <is>
          <t>17/03/2026</t>
        </is>
      </c>
      <c r="J3222" s="10" t="inlineStr">
        <is>
          <t>Vận chuyển / Giao nhận / Kho vận, Kế toán / Kiểm toán</t>
        </is>
      </c>
      <c r="K3222" s="10" t="inlineStr">
        <is>
          <t>2 - 3 Năm</t>
        </is>
      </c>
      <c r="L3222" s="11">
        <f>HYPERLINK("https://careerviet.vn/vi/tim-viec-lam/ke-toan-kho-thuong-tin-ha-noi.35C66F7F.html","Xem chi tiết")</f>
        <v/>
      </c>
      <c r="M3222" s="10" t="n"/>
    </row>
    <row r="3223">
      <c r="B3223" s="7" t="n">
        <v>3221</v>
      </c>
      <c r="C3223" t="inlineStr">
        <is>
          <t>Nhân Viên Chăm Sóc Khách Hàng Service Chat (SBS)</t>
        </is>
      </c>
      <c r="D3223" t="inlineStr">
        <is>
          <t>Công Ty TNHH Việt Mỹ-SSU</t>
        </is>
      </c>
      <c r="E3223" t="inlineStr">
        <is>
          <t>Lương:6 Tr - 8 Tr VND</t>
        </is>
      </c>
      <c r="F3223" t="inlineStr">
        <is>
          <t>Hồ Chí Minh</t>
        </is>
      </c>
      <c r="G3223" t="inlineStr">
        <is>
          <t>10-04-2026</t>
        </is>
      </c>
      <c r="H3223" t="inlineStr">
        <is>
          <t>10/04/2026</t>
        </is>
      </c>
      <c r="I3223" t="inlineStr">
        <is>
          <t>17/03/2026</t>
        </is>
      </c>
      <c r="J3223" t="inlineStr">
        <is>
          <t>Dịch vụ khách hàng, Tư vấn, Tiếp thị trực tuyến</t>
        </is>
      </c>
      <c r="K3223" t="inlineStr">
        <is>
          <t>Chưa có kinh nghiệm</t>
        </is>
      </c>
      <c r="L3223" s="8">
        <f>HYPERLINK("https://careerviet.vn/vi/tim-viec-lam/nhan-vien-cham-soc-khach-hang-service-chat-sbs.35C6BE88.html","Xem chi tiết")</f>
        <v/>
      </c>
    </row>
    <row r="3224">
      <c r="B3224" s="9" t="n">
        <v>3222</v>
      </c>
      <c r="C3224" s="10" t="inlineStr">
        <is>
          <t>Trưởng nhóm quản lý chất lượng</t>
        </is>
      </c>
      <c r="D3224" s="10" t="inlineStr">
        <is>
          <t>CÔNG TY TNHH TÚ PHƯỢNG TONY</t>
        </is>
      </c>
      <c r="E3224" s="10" t="inlineStr">
        <is>
          <t>Lương:18 Tr - 22 Tr VND</t>
        </is>
      </c>
      <c r="F3224" s="10" t="inlineStr">
        <is>
          <t>Hồ Chí Minh</t>
        </is>
      </c>
      <c r="G3224" s="10" t="inlineStr">
        <is>
          <t>30-04-2026</t>
        </is>
      </c>
      <c r="H3224" s="10" t="inlineStr">
        <is>
          <t>30/04/2026</t>
        </is>
      </c>
      <c r="I3224" s="10" t="inlineStr">
        <is>
          <t>17/03/2026</t>
        </is>
      </c>
      <c r="J3224" s="10" t="inlineStr">
        <is>
          <t>Xuất nhập khẩu, Thực phẩm &amp; Đồ uống, Quản lý chất lượng (QA/QC)</t>
        </is>
      </c>
      <c r="K3224" s="10" t="inlineStr">
        <is>
          <t>3 - 5 Năm</t>
        </is>
      </c>
      <c r="L3224" s="11">
        <f>HYPERLINK("https://careerviet.vn/vi/tim-viec-lam/truong-nhom-quan-ly-chat-luong.35C6BDC9.html","Xem chi tiết")</f>
        <v/>
      </c>
      <c r="M3224" s="10" t="n"/>
    </row>
    <row r="3225">
      <c r="B3225" s="7" t="n">
        <v>3223</v>
      </c>
      <c r="C3225" t="inlineStr">
        <is>
          <t>Kế toán thuế</t>
        </is>
      </c>
      <c r="D3225" t="inlineStr">
        <is>
          <t>Công Ty Cổ Phần A25 Hotel</t>
        </is>
      </c>
      <c r="E3225" t="inlineStr">
        <is>
          <t>Lương:18 Tr - 36 Tr VND</t>
        </is>
      </c>
      <c r="F3225" t="inlineStr">
        <is>
          <t>Hà NộiHồ Chí Minh</t>
        </is>
      </c>
      <c r="G3225" t="inlineStr">
        <is>
          <t>31-03-2026</t>
        </is>
      </c>
      <c r="H3225" t="inlineStr">
        <is>
          <t>31/03/2026</t>
        </is>
      </c>
      <c r="I3225" t="inlineStr">
        <is>
          <t>17/03/2026</t>
        </is>
      </c>
      <c r="J3225" t="inlineStr">
        <is>
          <t>Kế toán / Kiểm toán, Nhà hàng / Khách sạn</t>
        </is>
      </c>
      <c r="K3225" t="inlineStr">
        <is>
          <t>2 - 3 Năm</t>
        </is>
      </c>
      <c r="L3225" s="8">
        <f>HYPERLINK("https://careerviet.vn/vi/tim-viec-lam/ke-toan-thue.35C68F38.html","Xem chi tiết")</f>
        <v/>
      </c>
    </row>
    <row r="3226">
      <c r="B3226" s="9" t="n">
        <v>3224</v>
      </c>
      <c r="C3226" s="10" t="inlineStr">
        <is>
          <t>Kỹ Sư Chuyên Ngành Kỹ Thuật (Điện Tử, Cơ Khí hoặc Công Nghệ Thông Tin)</t>
        </is>
      </c>
      <c r="D3226" s="10" t="inlineStr">
        <is>
          <t>CÔNG TY TNHH THƯƠNG MẠI TRANG THIẾT BỊ Y TẾ ĐỨC TUẤN</t>
        </is>
      </c>
      <c r="E3226" s="10" t="inlineStr">
        <is>
          <t>Lương:Trên 15 Tr VND</t>
        </is>
      </c>
      <c r="F3226" s="10" t="inlineStr">
        <is>
          <t>Hồ Chí Minh</t>
        </is>
      </c>
      <c r="G3226" s="10" t="inlineStr">
        <is>
          <t>10-04-2026</t>
        </is>
      </c>
      <c r="H3226" s="10" t="inlineStr">
        <is>
          <t>10/04/2026</t>
        </is>
      </c>
      <c r="I3226" s="10" t="inlineStr">
        <is>
          <t>17/03/2026</t>
        </is>
      </c>
      <c r="J3226" s="10" t="inlineStr">
        <is>
          <t>CNTT - Phần cứng / Mạng, Cơ khí / Ô tô / Tự động hóa, Điện / Điện tử / Điện lạnh / Điện công nghiệp</t>
        </is>
      </c>
      <c r="K3226" s="10" t="inlineStr">
        <is>
          <t>N/A</t>
        </is>
      </c>
      <c r="L3226" s="11">
        <f>HYPERLINK("https://careerviet.vn/vi/tim-viec-lam/ky-su-chuyen-nganh-ky-thuat-dien-tu-co-khi-hoac-cong-nghe-thong-tin.35C6BCE2.html","Xem chi tiết")</f>
        <v/>
      </c>
      <c r="M3226" s="10" t="n"/>
    </row>
    <row r="3227">
      <c r="B3227" s="7" t="n">
        <v>3225</v>
      </c>
      <c r="C3227" t="inlineStr">
        <is>
          <t>Phó Tổng Giám đốc</t>
        </is>
      </c>
      <c r="D3227" t="inlineStr">
        <is>
          <t>Công ty CP Xây Dựng AN PHÚ GIA - APGCONS</t>
        </is>
      </c>
      <c r="E3227" t="inlineStr">
        <is>
          <t>Lương:Cạnh tranh</t>
        </is>
      </c>
      <c r="F3227" t="inlineStr">
        <is>
          <t>Hồ Chí Minh</t>
        </is>
      </c>
      <c r="G3227" t="inlineStr">
        <is>
          <t>11-04-2026</t>
        </is>
      </c>
      <c r="H3227" t="inlineStr">
        <is>
          <t>11/04/2026</t>
        </is>
      </c>
      <c r="I3227" t="inlineStr">
        <is>
          <t>17/03/2026</t>
        </is>
      </c>
      <c r="J3227" t="inlineStr">
        <is>
          <t>Xây dựng, Kiến trúc, Bất động sản</t>
        </is>
      </c>
      <c r="K3227" t="inlineStr">
        <is>
          <t>5 - 7 Năm</t>
        </is>
      </c>
      <c r="L3227" s="8">
        <f>HYPERLINK("https://careerviet.vn/vi/tim-viec-lam/pho-tong-giam-doc.35C6BD9C.html","Xem chi tiết")</f>
        <v/>
      </c>
    </row>
    <row r="3228">
      <c r="B3228" s="9" t="n">
        <v>3226</v>
      </c>
      <c r="C3228" s="10" t="inlineStr">
        <is>
          <t>Kỹ Sư Thiết Kế Kết Cấu - Ưu Tiên Kết Cấu Thép</t>
        </is>
      </c>
      <c r="D3228" s="10" t="inlineStr">
        <is>
          <t>CÔNG TY CỔ PHẦN TẬP ĐOÀN HOA SEN</t>
        </is>
      </c>
      <c r="E3228" s="10" t="inlineStr">
        <is>
          <t>Lương:Cạnh tranh</t>
        </is>
      </c>
      <c r="F3228" s="10" t="inlineStr">
        <is>
          <t>Hồ Chí Minh</t>
        </is>
      </c>
      <c r="G3228" s="10" t="inlineStr">
        <is>
          <t>31-03-2026</t>
        </is>
      </c>
      <c r="H3228" s="10" t="inlineStr">
        <is>
          <t>31/03/2026</t>
        </is>
      </c>
      <c r="I3228" s="10" t="inlineStr">
        <is>
          <t>17/03/2026</t>
        </is>
      </c>
      <c r="J3228" s="10" t="inlineStr">
        <is>
          <t>Xây dựng, Kiến trúc, Nội ngoại thất</t>
        </is>
      </c>
      <c r="K3228" s="10" t="inlineStr">
        <is>
          <t>1 - 5 Năm</t>
        </is>
      </c>
      <c r="L3228" s="11">
        <f>HYPERLINK("https://careerviet.vn/vi/tim-viec-lam/ky-su-thiet-ke-ket-cau-uu-tien-ket-cau-thep.35C6347D.html","Xem chi tiết")</f>
        <v/>
      </c>
      <c r="M3228" s="10" t="n"/>
    </row>
    <row r="3229">
      <c r="B3229" s="7" t="n">
        <v>3227</v>
      </c>
      <c r="C3229" t="inlineStr">
        <is>
          <t>Chuyên viên kinh doanh thị trường - Keo dán gạch, keo chà ron Weber</t>
        </is>
      </c>
      <c r="D3229" t="inlineStr">
        <is>
          <t>CareerViet's client</t>
        </is>
      </c>
      <c r="E3229" t="inlineStr">
        <is>
          <t>Lương:Cạnh tranh</t>
        </is>
      </c>
      <c r="F3229" t="inlineStr">
        <is>
          <t>Quảng NgãiLâm ĐồngVĩnh Long</t>
        </is>
      </c>
      <c r="G3229" t="inlineStr">
        <is>
          <t>24-03-2026</t>
        </is>
      </c>
      <c r="H3229" t="inlineStr">
        <is>
          <t>24/03/2026</t>
        </is>
      </c>
      <c r="I3229" t="inlineStr">
        <is>
          <t>17/03/2026</t>
        </is>
      </c>
      <c r="J3229" t="inlineStr">
        <is>
          <t>Bán lẻ / Bán sỉ, Bán hàng / Kinh doanh, Xây dựng</t>
        </is>
      </c>
      <c r="K3229" t="inlineStr">
        <is>
          <t>2 - 3 Năm</t>
        </is>
      </c>
      <c r="L3229" s="8">
        <f>HYPERLINK("https://careerviet.vn/vi/tim-viec-lam/chuyen-vien-kinh-doanh-thi-truong-keo-dan-gach-keo-cha-ron-weber.35C693B7.html","Xem chi tiết")</f>
        <v/>
      </c>
    </row>
    <row r="3230">
      <c r="B3230" s="9" t="n">
        <v>3228</v>
      </c>
      <c r="C3230" s="10" t="inlineStr">
        <is>
          <t>Trade Marketing Executive</t>
        </is>
      </c>
      <c r="D3230" s="10" t="inlineStr">
        <is>
          <t>Công Ty Cổ Phần Y&amp;B</t>
        </is>
      </c>
      <c r="E3230" s="10" t="inlineStr">
        <is>
          <t>Lương:13 Tr - 17 Tr VND</t>
        </is>
      </c>
      <c r="F3230" s="10" t="inlineStr">
        <is>
          <t>Hồ Chí Minh</t>
        </is>
      </c>
      <c r="G3230" s="10" t="inlineStr">
        <is>
          <t>10-04-2026</t>
        </is>
      </c>
      <c r="H3230" s="10" t="inlineStr">
        <is>
          <t>10/04/2026</t>
        </is>
      </c>
      <c r="I3230" s="10" t="inlineStr">
        <is>
          <t>17/03/2026</t>
        </is>
      </c>
      <c r="J3230" s="10" t="inlineStr">
        <is>
          <t>Tiếp thị / Marketing, Bán hàng / Kinh doanh</t>
        </is>
      </c>
      <c r="K3230" s="10" t="inlineStr">
        <is>
          <t>2 - 3 Năm</t>
        </is>
      </c>
      <c r="L3230" s="11">
        <f>HYPERLINK("https://careerviet.vn/vi/tim-viec-lam/trade-marketing-executive.35C6BC03.html","Xem chi tiết")</f>
        <v/>
      </c>
      <c r="M3230" s="10" t="n"/>
    </row>
    <row r="3231">
      <c r="B3231" s="7" t="n">
        <v>3229</v>
      </c>
      <c r="C3231" t="inlineStr">
        <is>
          <t>Brand Marketing Specialist (Zion)</t>
        </is>
      </c>
      <c r="D3231" t="inlineStr">
        <is>
          <t>Công Ty Hoàng An Nhiên</t>
        </is>
      </c>
      <c r="E3231" t="inlineStr">
        <is>
          <t>Lương:Cạnh tranh</t>
        </is>
      </c>
      <c r="F3231" t="inlineStr">
        <is>
          <t>Hồ Chí Minh</t>
        </is>
      </c>
      <c r="G3231" t="inlineStr">
        <is>
          <t>10-03-2026</t>
        </is>
      </c>
      <c r="H3231" t="inlineStr">
        <is>
          <t>15/03/2026</t>
        </is>
      </c>
      <c r="I3231" t="inlineStr">
        <is>
          <t>17/03/2026</t>
        </is>
      </c>
      <c r="J3231" t="inlineStr">
        <is>
          <t>Tiếp thị / Marketing</t>
        </is>
      </c>
      <c r="K3231" t="inlineStr">
        <is>
          <t>1 - 3 Năm</t>
        </is>
      </c>
      <c r="L3231" s="8">
        <f>HYPERLINK("https://careerviet.vn/vi/tim-viec-lam/brand-marketing-specialist-zion.35C6BCF2.html","Xem chi tiết")</f>
        <v/>
      </c>
    </row>
    <row r="3232">
      <c r="B3232" s="9" t="n">
        <v>3230</v>
      </c>
      <c r="C3232" s="10" t="inlineStr">
        <is>
          <t>SALES MANAGER – B2B – CROP PROTECTION</t>
        </is>
      </c>
      <c r="D3232" s="10" t="inlineStr">
        <is>
          <t>KING ELONG GROUP</t>
        </is>
      </c>
      <c r="E3232" s="10" t="inlineStr">
        <is>
          <t>Lương:30 Tr - 90 Tr VND</t>
        </is>
      </c>
      <c r="F3232" s="10" t="inlineStr">
        <is>
          <t>Hồ Chí Minh</t>
        </is>
      </c>
      <c r="G3232" s="10" t="inlineStr">
        <is>
          <t>11-04-2026</t>
        </is>
      </c>
      <c r="H3232" s="10" t="inlineStr">
        <is>
          <t>11/04/2026</t>
        </is>
      </c>
      <c r="I3232" s="10" t="inlineStr">
        <is>
          <t>17/03/2026</t>
        </is>
      </c>
      <c r="J3232" s="10" t="inlineStr">
        <is>
          <t>Nông nghiệp, Bán hàng / Kinh doanh, Xuất nhập khẩu</t>
        </is>
      </c>
      <c r="K3232" s="10" t="inlineStr">
        <is>
          <t>3 - 5 Năm</t>
        </is>
      </c>
      <c r="L3232" s="11">
        <f>HYPERLINK("https://careerviet.vn/vi/tim-viec-lam/sales-manager-b2b-crop-protection.35C6BD58.html","Xem chi tiết")</f>
        <v/>
      </c>
      <c r="M3232" s="10" t="n"/>
    </row>
    <row r="3233">
      <c r="B3233" s="7" t="n">
        <v>3231</v>
      </c>
      <c r="C3233" t="inlineStr">
        <is>
          <t>Trưởng Nhóm Điều Phối Vận Tải</t>
        </is>
      </c>
      <c r="D3233" t="inlineStr">
        <is>
          <t>Công ty Cổ phần THT Cargo Logistics</t>
        </is>
      </c>
      <c r="E3233" t="inlineStr">
        <is>
          <t>Lương:14 Tr - 25 Tr VND</t>
        </is>
      </c>
      <c r="F3233" t="inlineStr">
        <is>
          <t>Hồ Chí Minh</t>
        </is>
      </c>
      <c r="G3233" t="inlineStr">
        <is>
          <t>11-04-2026</t>
        </is>
      </c>
      <c r="H3233" t="inlineStr">
        <is>
          <t>11/04/2026</t>
        </is>
      </c>
      <c r="I3233" t="inlineStr">
        <is>
          <t>17/03/2026</t>
        </is>
      </c>
      <c r="J3233" t="inlineStr">
        <is>
          <t>Xuất nhập khẩu, Vận chuyển / Giao nhận / Kho vận, Dịch vụ khách hàng</t>
        </is>
      </c>
      <c r="K3233" t="inlineStr">
        <is>
          <t>2 - 3 Năm</t>
        </is>
      </c>
      <c r="L3233" s="8">
        <f>HYPERLINK("https://careerviet.vn/vi/tim-viec-lam/truong-nhom-dieu-phoi-van-tai.35C6BDC8.html","Xem chi tiết")</f>
        <v/>
      </c>
    </row>
    <row r="3234">
      <c r="B3234" s="9" t="n">
        <v>3232</v>
      </c>
      <c r="C3234" s="10" t="inlineStr">
        <is>
          <t>Trưởng Bộ phận Tuyển dụng</t>
        </is>
      </c>
      <c r="D3234" s="10" t="inlineStr">
        <is>
          <t>Công ty TNHH MTV Sen Vàng Việt Nam</t>
        </is>
      </c>
      <c r="E3234" s="10" t="inlineStr">
        <is>
          <t>Lương:25 Tr - 35 Tr VND</t>
        </is>
      </c>
      <c r="F3234" s="10" t="inlineStr">
        <is>
          <t>Hồ Chí Minh</t>
        </is>
      </c>
      <c r="G3234" s="10" t="inlineStr">
        <is>
          <t>31-03-2026</t>
        </is>
      </c>
      <c r="H3234" s="10" t="inlineStr">
        <is>
          <t>31/03/2026</t>
        </is>
      </c>
      <c r="I3234" s="10" t="inlineStr">
        <is>
          <t>17/03/2026</t>
        </is>
      </c>
      <c r="J3234" s="10" t="inlineStr">
        <is>
          <t>Nhân sự</t>
        </is>
      </c>
      <c r="K3234" s="10" t="inlineStr">
        <is>
          <t>5 - 7 Năm</t>
        </is>
      </c>
      <c r="L3234" s="11">
        <f>HYPERLINK("https://careerviet.vn/vi/tim-viec-lam/truong-bo-phan-tuyen-dung.35C6A7CA.html","Xem chi tiết")</f>
        <v/>
      </c>
      <c r="M3234" s="10" t="n"/>
    </row>
    <row r="3235">
      <c r="B3235" s="7" t="n">
        <v>3233</v>
      </c>
      <c r="C3235" t="inlineStr">
        <is>
          <t>Procurement Manager - Raw Materials (FMCG)</t>
        </is>
      </c>
      <c r="D3235" t="inlineStr">
        <is>
          <t>Masan Consumer</t>
        </is>
      </c>
      <c r="E3235" t="inlineStr">
        <is>
          <t>Lương:Cạnh tranh</t>
        </is>
      </c>
      <c r="F3235" t="inlineStr">
        <is>
          <t>Hồ Chí Minh</t>
        </is>
      </c>
      <c r="G3235" t="inlineStr">
        <is>
          <t>31-05-2026</t>
        </is>
      </c>
      <c r="H3235" t="inlineStr">
        <is>
          <t>31/05/2026</t>
        </is>
      </c>
      <c r="I3235" t="inlineStr">
        <is>
          <t>17/03/2026</t>
        </is>
      </c>
      <c r="J3235" t="inlineStr">
        <is>
          <t>Thu mua / Vật tư, Thực phẩm &amp; Đồ uống, Xuất nhập khẩu</t>
        </is>
      </c>
      <c r="K3235" t="inlineStr">
        <is>
          <t>5 - 10 Năm</t>
        </is>
      </c>
      <c r="L3235" s="8">
        <f>HYPERLINK("https://careerviet.vn/vi/tim-viec-lam/procurement-manager-raw-materials-fmcg.35C6BD04.html","Xem chi tiết")</f>
        <v/>
      </c>
    </row>
    <row r="3236">
      <c r="B3236" s="9" t="n">
        <v>3234</v>
      </c>
      <c r="C3236" s="10" t="inlineStr">
        <is>
          <t>Giám đốc Kho + Vận chuyển (Nội địa + Quốc tế)</t>
        </is>
      </c>
      <c r="D3236" s="10" t="inlineStr">
        <is>
          <t>Công Ty CP Công Nghiệp Kim Bình</t>
        </is>
      </c>
      <c r="E3236" s="10" t="inlineStr">
        <is>
          <t>Lương:30 Tr - 40 Tr VND</t>
        </is>
      </c>
      <c r="F3236" s="10" t="inlineStr">
        <is>
          <t>Hồ Chí Minh</t>
        </is>
      </c>
      <c r="G3236" s="10" t="inlineStr">
        <is>
          <t>09-05-2026</t>
        </is>
      </c>
      <c r="H3236" s="10" t="inlineStr">
        <is>
          <t>09/05/2026</t>
        </is>
      </c>
      <c r="I3236" s="10" t="inlineStr">
        <is>
          <t>17/03/2026</t>
        </is>
      </c>
      <c r="J3236" s="10" t="inlineStr">
        <is>
          <t>Vận chuyển / Giao nhận / Kho vận</t>
        </is>
      </c>
      <c r="K3236" s="10" t="inlineStr">
        <is>
          <t>9 - 20 Năm</t>
        </is>
      </c>
      <c r="L3236" s="11">
        <f>HYPERLINK("https://careerviet.vn/vi/tim-viec-lam/giam-doc-kho-van-chuyen-noi-dia-quoc-te.35C6BD0B.html","Xem chi tiết")</f>
        <v/>
      </c>
      <c r="M3236" s="10" t="n"/>
    </row>
    <row r="3237">
      <c r="B3237" s="7" t="n">
        <v>3235</v>
      </c>
      <c r="C3237" t="inlineStr">
        <is>
          <t>[JHC0037375] GA-HR Manager</t>
        </is>
      </c>
      <c r="D3237" t="inlineStr">
        <is>
          <t>Iconic Co.,Ltd</t>
        </is>
      </c>
      <c r="E3237" t="inlineStr">
        <is>
          <t>Lương:Cạnh tranh</t>
        </is>
      </c>
      <c r="F3237" t="inlineStr">
        <is>
          <t>Hồ Chí Minh</t>
        </is>
      </c>
      <c r="G3237" t="inlineStr">
        <is>
          <t>10-04-2026</t>
        </is>
      </c>
      <c r="H3237" t="inlineStr">
        <is>
          <t>10/04/2026</t>
        </is>
      </c>
      <c r="I3237" t="inlineStr">
        <is>
          <t>17/03/2026</t>
        </is>
      </c>
      <c r="J3237" t="inlineStr">
        <is>
          <t>Nhân sự</t>
        </is>
      </c>
      <c r="K3237" t="inlineStr">
        <is>
          <t>Trên 6 Năm</t>
        </is>
      </c>
      <c r="L3237" s="8">
        <f>HYPERLINK("https://careerviet.vn/vi/tim-viec-lam/jhc0037375-ga-hr-manager.35C6BCD4.html","Xem chi tiết")</f>
        <v/>
      </c>
    </row>
    <row r="3238">
      <c r="B3238" s="9" t="n">
        <v>3236</v>
      </c>
      <c r="C3238" s="10" t="inlineStr">
        <is>
          <t>Quản lý sản xuất Production Manager</t>
        </is>
      </c>
      <c r="D3238" s="10" t="inlineStr">
        <is>
          <t>Công Ty TNHH Hon Chuan Việt Nam</t>
        </is>
      </c>
      <c r="E3238" s="10" t="inlineStr">
        <is>
          <t>Lương:20 Tr - 30 Tr VND</t>
        </is>
      </c>
      <c r="F3238" s="10" t="inlineStr">
        <is>
          <t>Bình Dương</t>
        </is>
      </c>
      <c r="G3238" s="10" t="inlineStr">
        <is>
          <t>30-04-2026</t>
        </is>
      </c>
      <c r="H3238" s="10" t="inlineStr">
        <is>
          <t>30/04/2026</t>
        </is>
      </c>
      <c r="I3238" s="10" t="inlineStr">
        <is>
          <t>17/03/2026</t>
        </is>
      </c>
      <c r="J3238" s="10" t="inlineStr">
        <is>
          <t>Bán Hàng Kỹ Thuật, Thực phẩm &amp; Đồ uống, Sản xuất / Vận hành sản xuất</t>
        </is>
      </c>
      <c r="K3238" s="10" t="inlineStr">
        <is>
          <t>N/A</t>
        </is>
      </c>
      <c r="L3238" s="11">
        <f>HYPERLINK("https://careerviet.vn/vi/tim-viec-lam/quan-ly-san-xuat-production-manager.35C6B84D.html","Xem chi tiết")</f>
        <v/>
      </c>
      <c r="M3238" s="10" t="n"/>
    </row>
    <row r="3239">
      <c r="B3239" s="7" t="n">
        <v>3237</v>
      </c>
      <c r="C3239" t="inlineStr">
        <is>
          <t>Merchandiser — Footwear</t>
        </is>
      </c>
      <c r="D3239" t="inlineStr">
        <is>
          <t>VĂN PHÒNG ĐẠI DIỆN MERCURI V CORPORATION SL TẠI THÀNH PHỐ HỒ CHÍ MINH</t>
        </is>
      </c>
      <c r="E3239" t="inlineStr">
        <is>
          <t>Lương:Cạnh tranh</t>
        </is>
      </c>
      <c r="F3239" t="inlineStr">
        <is>
          <t>Hồ Chí Minh</t>
        </is>
      </c>
      <c r="G3239" t="inlineStr">
        <is>
          <t>30-05-2026</t>
        </is>
      </c>
      <c r="H3239" t="inlineStr">
        <is>
          <t>30/05/2026</t>
        </is>
      </c>
      <c r="I3239" t="inlineStr">
        <is>
          <t>17/03/2026</t>
        </is>
      </c>
      <c r="J3239" t="inlineStr">
        <is>
          <t>Dệt may / Da giày / Thời trang, Thu mua / Vật tư</t>
        </is>
      </c>
      <c r="K3239" t="inlineStr">
        <is>
          <t>Lên đến 2 Năm</t>
        </is>
      </c>
      <c r="L3239" s="8">
        <f>HYPERLINK("https://careerviet.vn/vi/tim-viec-lam/merchandiser-footwear.35C6BD0F.html","Xem chi tiết")</f>
        <v/>
      </c>
    </row>
    <row r="3240">
      <c r="B3240" s="9" t="n">
        <v>3238</v>
      </c>
      <c r="C3240" s="10" t="inlineStr">
        <is>
          <t>Quản đốc sản xuất (tuyển mới)</t>
        </is>
      </c>
      <c r="D3240" s="10" t="inlineStr">
        <is>
          <t>Công Ty CP Công Nghiệp Kim Bình</t>
        </is>
      </c>
      <c r="E3240" s="10" t="inlineStr">
        <is>
          <t>Lương:25 Tr - 30 Tr VND</t>
        </is>
      </c>
      <c r="F3240" s="10" t="inlineStr">
        <is>
          <t>Hồ Chí Minh</t>
        </is>
      </c>
      <c r="G3240" s="10" t="inlineStr">
        <is>
          <t>09-05-2026</t>
        </is>
      </c>
      <c r="H3240" s="10" t="inlineStr">
        <is>
          <t>09/05/2026</t>
        </is>
      </c>
      <c r="I3240" s="10" t="inlineStr">
        <is>
          <t>17/03/2026</t>
        </is>
      </c>
      <c r="J3240" s="10" t="inlineStr">
        <is>
          <t>Sản xuất / Vận hành sản xuất, Cơ khí / Ô tô / Tự động hóa, Điện / Điện tử / Điện lạnh / Điện công nghiệp</t>
        </is>
      </c>
      <c r="K3240" s="10" t="inlineStr">
        <is>
          <t>Chưa có kinh nghiệm</t>
        </is>
      </c>
      <c r="L3240" s="11">
        <f>HYPERLINK("https://careerviet.vn/vi/tim-viec-lam/quan-doc-san-xuat-tuyen-moi.35C6BCDE.html","Xem chi tiết")</f>
        <v/>
      </c>
      <c r="M3240" s="10" t="n"/>
    </row>
    <row r="3241">
      <c r="B3241" s="7" t="n">
        <v>3239</v>
      </c>
      <c r="C3241" t="inlineStr">
        <is>
          <t>Trợ lý Quản lý Tòa nhà</t>
        </is>
      </c>
      <c r="D3241" t="inlineStr">
        <is>
          <t>CÔNG TY CỔ PHẦN THỰC PHẨM AGREX SAIGON</t>
        </is>
      </c>
      <c r="E3241" t="inlineStr">
        <is>
          <t>Lương:13 Tr - 15 Tr VND</t>
        </is>
      </c>
      <c r="F3241" t="inlineStr">
        <is>
          <t>Hồ Chí Minh</t>
        </is>
      </c>
      <c r="G3241" t="inlineStr">
        <is>
          <t>10-04-2026</t>
        </is>
      </c>
      <c r="H3241" t="inlineStr">
        <is>
          <t>10/04/2026</t>
        </is>
      </c>
      <c r="I3241" t="inlineStr">
        <is>
          <t>17/03/2026</t>
        </is>
      </c>
      <c r="J3241" t="inlineStr">
        <is>
          <t>Hành chính / Thư ký, Dịch vụ khách hàng, Bất động sản</t>
        </is>
      </c>
      <c r="K3241" t="inlineStr">
        <is>
          <t>3 - 5 Năm</t>
        </is>
      </c>
      <c r="L3241" s="8">
        <f>HYPERLINK("https://careerviet.vn/vi/tim-viec-lam/tro-ly-quan-ly-toa-nha.35C6BC6E.html","Xem chi tiết")</f>
        <v/>
      </c>
    </row>
    <row r="3242">
      <c r="B3242" s="9" t="n">
        <v>3240</v>
      </c>
      <c r="C3242" s="10" t="inlineStr">
        <is>
          <t>Sales Admin - Porsche Centre Saigon (Temporary 6 months)</t>
        </is>
      </c>
      <c r="D3242" s="10" t="inlineStr">
        <is>
          <t>Prestige Sports Cars Co. Ltd</t>
        </is>
      </c>
      <c r="E3242" s="10" t="inlineStr">
        <is>
          <t>Lương:Cạnh tranh</t>
        </is>
      </c>
      <c r="F3242" s="10" t="inlineStr">
        <is>
          <t>Hồ Chí Minh</t>
        </is>
      </c>
      <c r="G3242" s="10" t="inlineStr">
        <is>
          <t>31-03-2026</t>
        </is>
      </c>
      <c r="H3242" s="10" t="inlineStr">
        <is>
          <t>31/03/2026</t>
        </is>
      </c>
      <c r="I3242" s="10" t="inlineStr">
        <is>
          <t>17/03/2026</t>
        </is>
      </c>
      <c r="J3242" s="10" t="inlineStr">
        <is>
          <t>Dịch vụ khách hàng, Hành chính / Thư ký, Quản lý điều hành</t>
        </is>
      </c>
      <c r="K3242" s="10" t="inlineStr">
        <is>
          <t>N/A</t>
        </is>
      </c>
      <c r="L3242" s="11">
        <f>HYPERLINK("https://careerviet.vn/vi/tim-viec-lam/sales-admin-porsche-centre-saigon-temporary-6-months.35C6BCD1.html","Xem chi tiết")</f>
        <v/>
      </c>
      <c r="M3242" s="10" t="n"/>
    </row>
    <row r="3243">
      <c r="B3243" s="7" t="n">
        <v>3241</v>
      </c>
      <c r="C3243" t="inlineStr">
        <is>
          <t>CHUYÊN VIÊN HÀNH CHÍNH</t>
        </is>
      </c>
      <c r="D3243" t="inlineStr">
        <is>
          <t>Công Ty Cổ Phần Tập Đoàn Đèo Cả</t>
        </is>
      </c>
      <c r="E3243" t="inlineStr">
        <is>
          <t>Lương:11 Tr - 15 Tr VND</t>
        </is>
      </c>
      <c r="F3243" t="inlineStr">
        <is>
          <t>Hồ Chí Minh</t>
        </is>
      </c>
      <c r="G3243" t="inlineStr">
        <is>
          <t>10-04-2026</t>
        </is>
      </c>
      <c r="H3243" t="inlineStr">
        <is>
          <t>10/04/2026</t>
        </is>
      </c>
      <c r="I3243" t="inlineStr">
        <is>
          <t>17/03/2026</t>
        </is>
      </c>
      <c r="J3243" t="inlineStr">
        <is>
          <t>Hành chính / Thư ký, Nhân sự</t>
        </is>
      </c>
      <c r="K3243" t="inlineStr">
        <is>
          <t>N/A</t>
        </is>
      </c>
      <c r="L3243" s="8">
        <f>HYPERLINK("https://careerviet.vn/vi/tim-viec-lam/chuyen-vien-hanh-chinh.35C6BE11.html","Xem chi tiết")</f>
        <v/>
      </c>
    </row>
    <row r="3244">
      <c r="B3244" s="9" t="n">
        <v>3242</v>
      </c>
      <c r="C3244" s="10" t="inlineStr">
        <is>
          <t>Nhân Viên Hành Chính Nhân Sự (HR-Admin Executive)</t>
        </is>
      </c>
      <c r="D3244" s="10" t="inlineStr">
        <is>
          <t>Công Ty TNHH Techno Coatings Industry</t>
        </is>
      </c>
      <c r="E3244" s="10" t="inlineStr">
        <is>
          <t>Lương:Cạnh tranh</t>
        </is>
      </c>
      <c r="F3244" s="10" t="inlineStr">
        <is>
          <t>Bình Dương</t>
        </is>
      </c>
      <c r="G3244" s="10" t="inlineStr">
        <is>
          <t>10-04-2026</t>
        </is>
      </c>
      <c r="H3244" s="10" t="inlineStr">
        <is>
          <t>10/04/2026</t>
        </is>
      </c>
      <c r="I3244" s="10" t="inlineStr">
        <is>
          <t>17/03/2026</t>
        </is>
      </c>
      <c r="J3244" s="10" t="inlineStr">
        <is>
          <t>Nhân sự, Hành chính / Thư ký, Luật / Pháp lý</t>
        </is>
      </c>
      <c r="K3244" s="10" t="inlineStr">
        <is>
          <t>1 - 3 Năm</t>
        </is>
      </c>
      <c r="L3244" s="11">
        <f>HYPERLINK("https://careerviet.vn/vi/tim-viec-lam/nhan-vien-hanh-chinh-nhan-su-hr-admin-executive.35C6BCE3.html","Xem chi tiết")</f>
        <v/>
      </c>
      <c r="M3244" s="10" t="n"/>
    </row>
    <row r="3245">
      <c r="B3245" s="7" t="n">
        <v>3243</v>
      </c>
      <c r="C3245" t="inlineStr">
        <is>
          <t>Trade Marketing Executive</t>
        </is>
      </c>
      <c r="D3245" t="inlineStr">
        <is>
          <t>WANT WANT VIET NAM TRADING CO., LTD</t>
        </is>
      </c>
      <c r="E3245" t="inlineStr">
        <is>
          <t>Lương:Cạnh tranh</t>
        </is>
      </c>
      <c r="F3245" t="inlineStr">
        <is>
          <t>Hồ Chí Minh</t>
        </is>
      </c>
      <c r="G3245" t="inlineStr">
        <is>
          <t>30-04-2026</t>
        </is>
      </c>
      <c r="H3245" t="inlineStr">
        <is>
          <t>30/04/2026</t>
        </is>
      </c>
      <c r="I3245" t="inlineStr">
        <is>
          <t>17/03/2026</t>
        </is>
      </c>
      <c r="J3245" t="inlineStr">
        <is>
          <t>Tiếp thị / Marketing, Bán lẻ / Bán sỉ, Bán hàng / Kinh doanh</t>
        </is>
      </c>
      <c r="K3245" t="inlineStr">
        <is>
          <t>Lên đến 2 Năm</t>
        </is>
      </c>
      <c r="L3245" s="8">
        <f>HYPERLINK("https://careerviet.vn/vi/tim-viec-lam/trade-marketing-executive.35C6BC43.html","Xem chi tiết")</f>
        <v/>
      </c>
    </row>
    <row r="3246">
      <c r="B3246" s="9" t="n">
        <v>3244</v>
      </c>
      <c r="C3246" s="10" t="inlineStr">
        <is>
          <t>Chuyên Viên Marketing - Ưu tiên  đi làm ngay</t>
        </is>
      </c>
      <c r="D3246" s="10" t="inlineStr">
        <is>
          <t>CÔNG TY TRÁCH NHIỆM HỮU HẠN R.P</t>
        </is>
      </c>
      <c r="E3246" s="10" t="inlineStr">
        <is>
          <t>Lương:14 Tr - 20 Tr VND</t>
        </is>
      </c>
      <c r="F3246" s="10" t="inlineStr">
        <is>
          <t>Hồ Chí Minh</t>
        </is>
      </c>
      <c r="G3246" s="10" t="inlineStr">
        <is>
          <t>09-04-2026</t>
        </is>
      </c>
      <c r="H3246" s="10" t="inlineStr">
        <is>
          <t>09/04/2026</t>
        </is>
      </c>
      <c r="I3246" s="10" t="inlineStr">
        <is>
          <t>17/03/2026</t>
        </is>
      </c>
      <c r="J3246" s="10" t="inlineStr">
        <is>
          <t>Tiếp thị / Marketing, Quảng cáo / Đối ngoại / Truyền Thông, Mỹ thuật / Nghệ thuật / Thiết kế</t>
        </is>
      </c>
      <c r="K3246" s="10" t="inlineStr">
        <is>
          <t>Trên 3 Năm</t>
        </is>
      </c>
      <c r="L3246" s="11">
        <f>HYPERLINK("https://careerviet.vn/vi/tim-viec-lam/chuyen-vien-marketing-uu-tien-di-lam-ngay.35C6BBDD.html","Xem chi tiết")</f>
        <v/>
      </c>
      <c r="M3246" s="10" t="n"/>
    </row>
    <row r="3247">
      <c r="B3247" s="7" t="n">
        <v>3245</v>
      </c>
      <c r="C3247" t="inlineStr">
        <is>
          <t>Trade Marketing Manager</t>
        </is>
      </c>
      <c r="D3247" t="inlineStr">
        <is>
          <t>WANT WANT VIET NAM TRADING CO., LTD</t>
        </is>
      </c>
      <c r="E3247" t="inlineStr">
        <is>
          <t>Lương:Cạnh tranh</t>
        </is>
      </c>
      <c r="F3247" t="inlineStr">
        <is>
          <t>Hồ Chí Minh</t>
        </is>
      </c>
      <c r="G3247" t="inlineStr">
        <is>
          <t>30-04-2026</t>
        </is>
      </c>
      <c r="H3247" t="inlineStr">
        <is>
          <t>30/04/2026</t>
        </is>
      </c>
      <c r="I3247" t="inlineStr">
        <is>
          <t>17/03/2026</t>
        </is>
      </c>
      <c r="J3247" t="inlineStr">
        <is>
          <t>Tiếp thị / Marketing, Bán lẻ / Bán sỉ, Bán hàng / Kinh doanh</t>
        </is>
      </c>
      <c r="K3247" t="inlineStr">
        <is>
          <t>5 - 15 Năm</t>
        </is>
      </c>
      <c r="L3247" s="8">
        <f>HYPERLINK("https://careerviet.vn/vi/tim-viec-lam/trade-marketing-manager.35C6BB89.html","Xem chi tiết")</f>
        <v/>
      </c>
    </row>
    <row r="3248">
      <c r="B3248" s="9" t="n">
        <v>3246</v>
      </c>
      <c r="C3248" s="10" t="inlineStr">
        <is>
          <t>Process Engineer</t>
        </is>
      </c>
      <c r="D3248" s="10" t="inlineStr">
        <is>
          <t>Friwo Vietnam Co., Ltd</t>
        </is>
      </c>
      <c r="E3248" s="10" t="inlineStr">
        <is>
          <t>Lương:Cạnh tranh</t>
        </is>
      </c>
      <c r="F3248" s="10" t="inlineStr">
        <is>
          <t>Đồng Nai</t>
        </is>
      </c>
      <c r="G3248" s="10" t="inlineStr">
        <is>
          <t>09-04-2026</t>
        </is>
      </c>
      <c r="H3248" s="10" t="inlineStr">
        <is>
          <t>09/04/2026</t>
        </is>
      </c>
      <c r="I3248" s="10" t="inlineStr">
        <is>
          <t>17/03/2026</t>
        </is>
      </c>
      <c r="J3248" s="10" t="inlineStr">
        <is>
          <t>Điện / Điện tử / Điện lạnh / Điện công nghiệp, Sản xuất / Vận hành sản xuất</t>
        </is>
      </c>
      <c r="K3248" s="10" t="inlineStr">
        <is>
          <t>N/A</t>
        </is>
      </c>
      <c r="L3248" s="11">
        <f>HYPERLINK("https://careerviet.vn/vi/tim-viec-lam/process-engineer.35C6BB7C.html","Xem chi tiết")</f>
        <v/>
      </c>
      <c r="M3248" s="10" t="n"/>
    </row>
    <row r="3249">
      <c r="B3249" s="7" t="n">
        <v>3247</v>
      </c>
      <c r="C3249" t="inlineStr">
        <is>
          <t>Assistant Warehouse Manager (Transportation And Data Warehouse)</t>
        </is>
      </c>
      <c r="D3249" t="inlineStr">
        <is>
          <t>Saint-Gobain Vietnam</t>
        </is>
      </c>
      <c r="E3249" t="inlineStr">
        <is>
          <t>Lương:1.000 - 1.500 USD</t>
        </is>
      </c>
      <c r="F3249" t="inlineStr">
        <is>
          <t>Hồ Chí Minh</t>
        </is>
      </c>
      <c r="G3249" t="inlineStr">
        <is>
          <t>31-03-2026</t>
        </is>
      </c>
      <c r="H3249" t="inlineStr">
        <is>
          <t>31/03/2026</t>
        </is>
      </c>
      <c r="I3249" t="inlineStr">
        <is>
          <t>17/03/2026</t>
        </is>
      </c>
      <c r="J3249" t="inlineStr">
        <is>
          <t>Vận chuyển / Giao nhận / Kho vận</t>
        </is>
      </c>
      <c r="K3249" t="inlineStr">
        <is>
          <t>2 - 3 Năm</t>
        </is>
      </c>
      <c r="L3249" s="8">
        <f>HYPERLINK("https://careerviet.vn/vi/tim-viec-lam/assistant-warehouse-manager-transportation-and-data-warehouse.35C6BC77.html","Xem chi tiết")</f>
        <v/>
      </c>
    </row>
    <row r="3250">
      <c r="B3250" s="9" t="n">
        <v>3248</v>
      </c>
      <c r="C3250" s="10" t="inlineStr">
        <is>
          <t>Quản Lý Vùng</t>
        </is>
      </c>
      <c r="D3250" s="10" t="inlineStr">
        <is>
          <t>CÔNG TY CỔ PHẦN THẾ GIỚI GIẤY</t>
        </is>
      </c>
      <c r="E3250" s="10" t="inlineStr">
        <is>
          <t>Lương:Cạnh tranh</t>
        </is>
      </c>
      <c r="F3250" s="10" t="inlineStr">
        <is>
          <t>Hồ Chí Minh</t>
        </is>
      </c>
      <c r="G3250" s="10" t="inlineStr">
        <is>
          <t>15-04-2026</t>
        </is>
      </c>
      <c r="H3250" s="10" t="inlineStr">
        <is>
          <t>15/04/2026</t>
        </is>
      </c>
      <c r="I3250" s="10" t="inlineStr">
        <is>
          <t>17/03/2026</t>
        </is>
      </c>
      <c r="J3250" s="10" t="inlineStr">
        <is>
          <t>Bán hàng / Kinh doanh, Bán lẻ / Bán sỉ, Tiếp thị / Marketing</t>
        </is>
      </c>
      <c r="K3250" s="10" t="inlineStr">
        <is>
          <t>3 - 5 Năm</t>
        </is>
      </c>
      <c r="L3250" s="11">
        <f>HYPERLINK("https://careerviet.vn/vi/tim-viec-lam/quan-ly-vung.35C6B813.html","Xem chi tiết")</f>
        <v/>
      </c>
      <c r="M3250" s="10" t="n"/>
    </row>
    <row r="3251">
      <c r="B3251" s="7" t="n">
        <v>3249</v>
      </c>
      <c r="C3251" t="inlineStr">
        <is>
          <t>Nhân viên Tuyển dụng</t>
        </is>
      </c>
      <c r="D3251" t="inlineStr">
        <is>
          <t>CÔNG TY CỔ PHẦN DỊCH VỤ QUẢN LÝ BÃI XE SÀI GÒN</t>
        </is>
      </c>
      <c r="E3251" t="inlineStr">
        <is>
          <t>Lương:8 Tr - 11 Tr VND</t>
        </is>
      </c>
      <c r="F3251" t="inlineStr">
        <is>
          <t>Hồ Chí Minh</t>
        </is>
      </c>
      <c r="G3251" t="inlineStr">
        <is>
          <t>08-04-2026</t>
        </is>
      </c>
      <c r="H3251" t="inlineStr">
        <is>
          <t>08/04/2026</t>
        </is>
      </c>
      <c r="I3251" t="inlineStr">
        <is>
          <t>17/03/2026</t>
        </is>
      </c>
      <c r="J3251" t="inlineStr">
        <is>
          <t>Nhân sự, Hành chính / Thư ký, Quản lý điều hành</t>
        </is>
      </c>
      <c r="K3251" t="inlineStr">
        <is>
          <t>1 - 2 Năm</t>
        </is>
      </c>
      <c r="L3251" s="8">
        <f>HYPERLINK("https://careerviet.vn/vi/tim-viec-lam/nhan-vien-tuyen-dung.35C6B961.html","Xem chi tiết")</f>
        <v/>
      </c>
    </row>
    <row r="3252">
      <c r="B3252" s="9" t="n">
        <v>3250</v>
      </c>
      <c r="C3252" s="10" t="inlineStr">
        <is>
          <t>Procurement/Purchasing Executive (F&amp;B | Sourcing | Importation)</t>
        </is>
      </c>
      <c r="D3252" s="10" t="inlineStr">
        <is>
          <t>CÔNG TY TNHH THỜI TRANG VÀ MỸ PHẨM ÂU CHÂU</t>
        </is>
      </c>
      <c r="E3252" s="10" t="inlineStr">
        <is>
          <t>Lương:Cạnh tranh</t>
        </is>
      </c>
      <c r="F3252" s="10" t="inlineStr">
        <is>
          <t>Hồ Chí Minh</t>
        </is>
      </c>
      <c r="G3252" s="10" t="inlineStr">
        <is>
          <t>10-04-2026</t>
        </is>
      </c>
      <c r="H3252" s="10" t="inlineStr">
        <is>
          <t>10/04/2026</t>
        </is>
      </c>
      <c r="I3252" s="10" t="inlineStr">
        <is>
          <t>17/03/2026</t>
        </is>
      </c>
      <c r="J3252" s="10" t="inlineStr">
        <is>
          <t>Nhà hàng / Khách sạn, Xuất nhập khẩu, Thu mua / Vật tư</t>
        </is>
      </c>
      <c r="K3252" s="10" t="inlineStr">
        <is>
          <t>2 - 5 Năm</t>
        </is>
      </c>
      <c r="L3252" s="11">
        <f>HYPERLINK("https://careerviet.vn/vi/tim-viec-lam/procurement-purchasing-executive-f-b-sourcing-importation.35C6BB55.html","Xem chi tiết")</f>
        <v/>
      </c>
      <c r="M3252" s="10" t="n"/>
    </row>
    <row r="3253">
      <c r="B3253" s="7" t="n">
        <v>3251</v>
      </c>
      <c r="C3253" t="inlineStr">
        <is>
          <t>Giám Sát Kinh Doanh MT</t>
        </is>
      </c>
      <c r="D3253" t="inlineStr">
        <is>
          <t>Công ty TNHH Mayora Việt Nam</t>
        </is>
      </c>
      <c r="E3253" t="inlineStr">
        <is>
          <t>Lương:Cạnh tranh</t>
        </is>
      </c>
      <c r="F3253" t="inlineStr">
        <is>
          <t>Hồ Chí Minh</t>
        </is>
      </c>
      <c r="G3253" t="inlineStr">
        <is>
          <t>01-04-2026</t>
        </is>
      </c>
      <c r="H3253" t="inlineStr">
        <is>
          <t>01/04/2026</t>
        </is>
      </c>
      <c r="I3253" t="inlineStr">
        <is>
          <t>17/03/2026</t>
        </is>
      </c>
      <c r="J3253" t="inlineStr">
        <is>
          <t>Bán hàng / Kinh doanh, Bán lẻ / Bán sỉ, Tiếp thị trực tuyến</t>
        </is>
      </c>
      <c r="K3253" t="inlineStr">
        <is>
          <t>2 - 3 Năm</t>
        </is>
      </c>
      <c r="L3253" s="8">
        <f>HYPERLINK("https://careerviet.vn/vi/tim-viec-lam/giam-sat-kinh-doanh-mt.35C6BB66.html","Xem chi tiết")</f>
        <v/>
      </c>
    </row>
    <row r="3254">
      <c r="B3254" s="9" t="n">
        <v>3252</v>
      </c>
      <c r="C3254" s="10" t="inlineStr">
        <is>
          <t>Giao dịch viên - Khu vực Hồ Chí Minh, Bình Dương</t>
        </is>
      </c>
      <c r="D3254" s="10" t="inlineStr">
        <is>
          <t>Ngân Hàng Thương Mại Cổ Phần Bảo Việt</t>
        </is>
      </c>
      <c r="E3254" s="10" t="inlineStr">
        <is>
          <t>Lương:8 Tr - 10 Tr VND</t>
        </is>
      </c>
      <c r="F3254" s="10" t="inlineStr">
        <is>
          <t>Hồ Chí MinhBình DươngĐà Nẵng</t>
        </is>
      </c>
      <c r="G3254" s="10" t="inlineStr">
        <is>
          <t>30-05-2026</t>
        </is>
      </c>
      <c r="H3254" s="10" t="inlineStr">
        <is>
          <t>30/05/2026</t>
        </is>
      </c>
      <c r="I3254" s="10" t="inlineStr">
        <is>
          <t>17/03/2026</t>
        </is>
      </c>
      <c r="J3254" s="10" t="inlineStr">
        <is>
          <t>Kế toán / Kiểm toán, Ngân hàng, Tài chính / Đầu tư</t>
        </is>
      </c>
      <c r="K3254" s="10" t="inlineStr">
        <is>
          <t>Chưa có kinh nghiệm</t>
        </is>
      </c>
      <c r="L3254" s="11">
        <f>HYPERLINK("https://careerviet.vn/vi/tim-viec-lam/giao-dich-vien-khu-vuc-ho-chi-minh-binh-duong.35C6BC58.html","Xem chi tiết")</f>
        <v/>
      </c>
      <c r="M3254" s="10" t="n"/>
    </row>
    <row r="3255">
      <c r="B3255" s="7" t="n">
        <v>3253</v>
      </c>
      <c r="C3255" t="inlineStr">
        <is>
          <t>Sales Admin</t>
        </is>
      </c>
      <c r="D3255" t="inlineStr">
        <is>
          <t>CÔNG TY TNHH THƯƠNG MẠI THIẾT BỊ ĐIỆN THÁI SƠN BẮC</t>
        </is>
      </c>
      <c r="E3255" t="inlineStr">
        <is>
          <t>Lương:12 Tr - 18 Tr VND</t>
        </is>
      </c>
      <c r="F3255" t="inlineStr">
        <is>
          <t>Hà Nội</t>
        </is>
      </c>
      <c r="G3255" t="inlineStr">
        <is>
          <t>10-04-2026</t>
        </is>
      </c>
      <c r="H3255" t="inlineStr">
        <is>
          <t>10/04/2026</t>
        </is>
      </c>
      <c r="I3255" t="inlineStr">
        <is>
          <t>17/03/2026</t>
        </is>
      </c>
      <c r="J3255" t="inlineStr">
        <is>
          <t>Hành chính / Thư ký, Bán hàng / Kinh doanh, Tư vấn</t>
        </is>
      </c>
      <c r="K3255" t="inlineStr">
        <is>
          <t>N/A</t>
        </is>
      </c>
      <c r="L3255" s="8">
        <f>HYPERLINK("https://careerviet.vn/vi/tim-viec-lam/sales-admin.35C6BB70.html","Xem chi tiết")</f>
        <v/>
      </c>
    </row>
    <row r="3256">
      <c r="B3256" s="9" t="n">
        <v>3254</v>
      </c>
      <c r="C3256" s="10" t="inlineStr">
        <is>
          <t>CHUYÊN VIÊN C&amp;B</t>
        </is>
      </c>
      <c r="D3256" s="10" t="inlineStr">
        <is>
          <t>Công Ty Cổ Phần Tập Đoàn Đèo Cả</t>
        </is>
      </c>
      <c r="E3256" s="10" t="inlineStr">
        <is>
          <t>Lương:13 Tr - 15 Tr VND</t>
        </is>
      </c>
      <c r="F3256" s="10" t="inlineStr">
        <is>
          <t>Hồ Chí Minh</t>
        </is>
      </c>
      <c r="G3256" s="10" t="inlineStr">
        <is>
          <t>10-04-2026</t>
        </is>
      </c>
      <c r="H3256" s="10" t="inlineStr">
        <is>
          <t>10/04/2026</t>
        </is>
      </c>
      <c r="I3256" s="10" t="inlineStr">
        <is>
          <t>17/03/2026</t>
        </is>
      </c>
      <c r="J3256" s="10" t="inlineStr">
        <is>
          <t>Nhân sự</t>
        </is>
      </c>
      <c r="K3256" s="10" t="inlineStr">
        <is>
          <t>N/A</t>
        </is>
      </c>
      <c r="L3256" s="11">
        <f>HYPERLINK("https://careerviet.vn/vi/tim-viec-lam/chuyen-vien-c-b.35C6BBD4.html","Xem chi tiết")</f>
        <v/>
      </c>
      <c r="M3256" s="10" t="n"/>
    </row>
    <row r="3257">
      <c r="B3257" s="7" t="n">
        <v>3255</v>
      </c>
      <c r="C3257" t="inlineStr">
        <is>
          <t>Creative Event Planner</t>
        </is>
      </c>
      <c r="D3257" t="inlineStr">
        <is>
          <t>ONE GROUP</t>
        </is>
      </c>
      <c r="E3257" t="inlineStr">
        <is>
          <t>Lương:18 Tr - 25 Tr VND</t>
        </is>
      </c>
      <c r="F3257" t="inlineStr">
        <is>
          <t>Hồ Chí Minh</t>
        </is>
      </c>
      <c r="G3257" t="inlineStr">
        <is>
          <t>11-04-2026</t>
        </is>
      </c>
      <c r="H3257" t="inlineStr">
        <is>
          <t>11/04/2026</t>
        </is>
      </c>
      <c r="I3257" t="inlineStr">
        <is>
          <t>17/03/2026</t>
        </is>
      </c>
      <c r="J3257" t="inlineStr">
        <is>
          <t>Tổ chức sự kiện</t>
        </is>
      </c>
      <c r="K3257" t="inlineStr">
        <is>
          <t>2 - 5 Năm</t>
        </is>
      </c>
      <c r="L3257" s="8">
        <f>HYPERLINK("https://careerviet.vn/vi/tim-viec-lam/creative-event-planner.35C6BB1E.html","Xem chi tiết")</f>
        <v/>
      </c>
    </row>
    <row r="3258">
      <c r="B3258" s="9" t="n">
        <v>3256</v>
      </c>
      <c r="C3258" s="10" t="inlineStr">
        <is>
          <t>Kế Toán Trưởng</t>
        </is>
      </c>
      <c r="D3258" s="10" t="inlineStr">
        <is>
          <t>KING ELONG GROUP</t>
        </is>
      </c>
      <c r="E3258" s="10" t="inlineStr">
        <is>
          <t>Lương:28 Tr - 35 Tr VND</t>
        </is>
      </c>
      <c r="F3258" s="10" t="inlineStr">
        <is>
          <t>Hồ Chí Minh</t>
        </is>
      </c>
      <c r="G3258" s="10" t="inlineStr">
        <is>
          <t>30-04-2026</t>
        </is>
      </c>
      <c r="H3258" s="10" t="inlineStr">
        <is>
          <t>30/04/2026</t>
        </is>
      </c>
      <c r="I3258" s="10" t="inlineStr">
        <is>
          <t>17/03/2026</t>
        </is>
      </c>
      <c r="J3258" s="10" t="inlineStr">
        <is>
          <t>Kế toán / Kiểm toán, Ngân hàng, Tài chính / Đầu tư</t>
        </is>
      </c>
      <c r="K3258" s="10" t="inlineStr">
        <is>
          <t>3 - 5 Năm</t>
        </is>
      </c>
      <c r="L3258" s="11">
        <f>HYPERLINK("https://careerviet.vn/vi/tim-viec-lam/ke-toan-truong.35C6BB3E.html","Xem chi tiết")</f>
        <v/>
      </c>
      <c r="M3258" s="10" t="n"/>
    </row>
    <row r="3259">
      <c r="B3259" s="7" t="n">
        <v>3257</v>
      </c>
      <c r="C3259" t="inlineStr">
        <is>
          <t>Nhân viên Quản lý dữ liệu</t>
        </is>
      </c>
      <c r="D3259" t="inlineStr">
        <is>
          <t>Công Ty Cổ Phần TEKCOM</t>
        </is>
      </c>
      <c r="E3259" t="inlineStr">
        <is>
          <t>Lương:Cạnh tranh</t>
        </is>
      </c>
      <c r="F3259" t="inlineStr">
        <is>
          <t>Bình Dương</t>
        </is>
      </c>
      <c r="G3259" t="inlineStr">
        <is>
          <t>10-04-2026</t>
        </is>
      </c>
      <c r="H3259" t="inlineStr">
        <is>
          <t>10/04/2026</t>
        </is>
      </c>
      <c r="I3259" t="inlineStr">
        <is>
          <t>17/03/2026</t>
        </is>
      </c>
      <c r="J3259" t="inlineStr">
        <is>
          <t>Vận chuyển / Giao nhận / Kho vận, Thống kê, Sản xuất / Vận hành sản xuất</t>
        </is>
      </c>
      <c r="K3259" t="inlineStr">
        <is>
          <t>N/A</t>
        </is>
      </c>
      <c r="L3259" s="8">
        <f>HYPERLINK("https://careerviet.vn/vi/tim-viec-lam/nhan-vien-quan-ly-du-lieu.35C6BAF1.html","Xem chi tiết")</f>
        <v/>
      </c>
    </row>
    <row r="3260">
      <c r="B3260" s="9" t="n">
        <v>3258</v>
      </c>
      <c r="C3260" s="10" t="inlineStr">
        <is>
          <t>[HCM] Nhân viên thu hồi nợ qua điện thoại (Nhóm B0)</t>
        </is>
      </c>
      <c r="D3260" s="10" t="inlineStr">
        <is>
          <t>CÔNG TY TÀI CHÍNH TÍN DỤNG TIÊU DÙNG TNHH MTV AEON</t>
        </is>
      </c>
      <c r="E3260" s="10" t="inlineStr">
        <is>
          <t>Lương:Cạnh tranh</t>
        </is>
      </c>
      <c r="F3260" s="10" t="inlineStr">
        <is>
          <t>Hồ Chí MinhHà Nội</t>
        </is>
      </c>
      <c r="G3260" s="10" t="inlineStr">
        <is>
          <t>08-04-2026</t>
        </is>
      </c>
      <c r="H3260" s="10" t="inlineStr">
        <is>
          <t>08/04/2026</t>
        </is>
      </c>
      <c r="I3260" s="10" t="inlineStr">
        <is>
          <t>17/03/2026</t>
        </is>
      </c>
      <c r="J3260" s="10" t="inlineStr">
        <is>
          <t>Bán hàng / Kinh doanh, Tài chính / Đầu tư</t>
        </is>
      </c>
      <c r="K3260" s="10" t="inlineStr">
        <is>
          <t>Chưa có kinh nghiệm</t>
        </is>
      </c>
      <c r="L3260" s="11">
        <f>HYPERLINK("https://careerviet.vn/vi/tim-viec-lam/hcm-nhan-vien-thu-hoi-no-qua-dien-thoai-nhom-b0.35C64F0F.html","Xem chi tiết")</f>
        <v/>
      </c>
      <c r="M3260" s="10" t="n"/>
    </row>
    <row r="3261">
      <c r="B3261" s="7" t="n">
        <v>3259</v>
      </c>
      <c r="C3261" t="inlineStr">
        <is>
          <t>Nhân viên R&amp;D (Thực phẩm/ Đồ uống)</t>
        </is>
      </c>
      <c r="D3261" t="inlineStr">
        <is>
          <t>CÔNG TY TNHH GREAT FARMER</t>
        </is>
      </c>
      <c r="E3261" t="inlineStr">
        <is>
          <t>Lương:15 Tr - 30 Tr VND</t>
        </is>
      </c>
      <c r="F3261" t="inlineStr">
        <is>
          <t>Bình Dương</t>
        </is>
      </c>
      <c r="G3261" t="inlineStr">
        <is>
          <t>31-03-2026</t>
        </is>
      </c>
      <c r="H3261" t="inlineStr">
        <is>
          <t>31/03/2026</t>
        </is>
      </c>
      <c r="I3261" t="inlineStr">
        <is>
          <t>17/03/2026</t>
        </is>
      </c>
      <c r="J3261" t="inlineStr">
        <is>
          <t>Thực phẩm &amp; Đồ uống, Công nghệ thực phẩm / Dinh dưỡng, Xuất nhập khẩu</t>
        </is>
      </c>
      <c r="K3261" t="inlineStr">
        <is>
          <t>Trên 4 Năm</t>
        </is>
      </c>
      <c r="L3261" s="8">
        <f>HYPERLINK("https://careerviet.vn/vi/tim-viec-lam/nhan-vien-r-d-thuc-pham-do-uong.35C69C17.html","Xem chi tiết")</f>
        <v/>
      </c>
    </row>
    <row r="3262">
      <c r="B3262" s="9" t="n">
        <v>3260</v>
      </c>
      <c r="C3262" s="10" t="inlineStr">
        <is>
          <t>Content Writer</t>
        </is>
      </c>
      <c r="D3262" s="10" t="inlineStr">
        <is>
          <t>Wall Street English</t>
        </is>
      </c>
      <c r="E3262" s="10" t="inlineStr">
        <is>
          <t>Lương:Cạnh tranh</t>
        </is>
      </c>
      <c r="F3262" s="10" t="inlineStr">
        <is>
          <t>Hồ Chí Minh</t>
        </is>
      </c>
      <c r="G3262" s="10" t="inlineStr">
        <is>
          <t>10-04-2026</t>
        </is>
      </c>
      <c r="H3262" s="10" t="inlineStr">
        <is>
          <t>10/04/2026</t>
        </is>
      </c>
      <c r="I3262" s="10" t="inlineStr">
        <is>
          <t>17/03/2026</t>
        </is>
      </c>
      <c r="J3262" s="10" t="inlineStr">
        <is>
          <t>Tiếp thị / Marketing, Giáo dục / Đào tạo</t>
        </is>
      </c>
      <c r="K3262" s="10" t="inlineStr">
        <is>
          <t>2 - 4 Năm</t>
        </is>
      </c>
      <c r="L3262" s="11">
        <f>HYPERLINK("https://careerviet.vn/vi/tim-viec-lam/content-writer.35C6BB35.html","Xem chi tiết")</f>
        <v/>
      </c>
      <c r="M3262" s="10" t="n"/>
    </row>
    <row r="3263">
      <c r="B3263" s="7" t="n">
        <v>3261</v>
      </c>
      <c r="C3263" t="inlineStr">
        <is>
          <t>Chuyên Viên Admin Chứng Từ</t>
        </is>
      </c>
      <c r="D3263" t="inlineStr">
        <is>
          <t>CÔNG TY CỔ PHẦN THỰC PHẨM HỮU NGHỊ</t>
        </is>
      </c>
      <c r="E3263" t="inlineStr">
        <is>
          <t>Lương:8 Tr - 9 Tr VND</t>
        </is>
      </c>
      <c r="F3263" t="inlineStr">
        <is>
          <t>Hồ Chí Minh</t>
        </is>
      </c>
      <c r="G3263" t="inlineStr">
        <is>
          <t>31-03-2026</t>
        </is>
      </c>
      <c r="H3263" t="inlineStr">
        <is>
          <t>31/03/2026</t>
        </is>
      </c>
      <c r="I3263" t="inlineStr">
        <is>
          <t>17/03/2026</t>
        </is>
      </c>
      <c r="J3263" t="inlineStr">
        <is>
          <t>Hành chính / Thư ký, Bán hàng / Kinh doanh</t>
        </is>
      </c>
      <c r="K3263" t="inlineStr">
        <is>
          <t>N/A</t>
        </is>
      </c>
      <c r="L3263" s="8">
        <f>HYPERLINK("https://careerviet.vn/vi/tim-viec-lam/chuyen-vien-admin-chung-tu.35C6BAD7.html","Xem chi tiết")</f>
        <v/>
      </c>
    </row>
    <row r="3264">
      <c r="B3264" s="9" t="n">
        <v>3262</v>
      </c>
      <c r="C3264" s="10" t="inlineStr">
        <is>
          <t>UI/ UX Designer</t>
        </is>
      </c>
      <c r="D3264" s="10" t="inlineStr">
        <is>
          <t>Simpson Strong Tie Viet Nam Company Limited</t>
        </is>
      </c>
      <c r="E3264" s="10" t="inlineStr">
        <is>
          <t>Lương:Cạnh tranh</t>
        </is>
      </c>
      <c r="F3264" s="10" t="inlineStr">
        <is>
          <t>Hồ Chí Minh</t>
        </is>
      </c>
      <c r="G3264" s="10" t="inlineStr">
        <is>
          <t>09-04-2026</t>
        </is>
      </c>
      <c r="H3264" s="10" t="inlineStr">
        <is>
          <t>09/04/2026</t>
        </is>
      </c>
      <c r="I3264" s="10" t="inlineStr">
        <is>
          <t>17/03/2026</t>
        </is>
      </c>
      <c r="J3264" s="10" t="inlineStr">
        <is>
          <t>CNTT - Phần mềm</t>
        </is>
      </c>
      <c r="K3264" s="10" t="inlineStr">
        <is>
          <t>Chưa có kinh nghiệm</t>
        </is>
      </c>
      <c r="L3264" s="11">
        <f>HYPERLINK("https://careerviet.vn/vi/tim-viec-lam/ui-ux-designer.35C6AE3B.html","Xem chi tiết")</f>
        <v/>
      </c>
      <c r="M3264" s="10" t="n"/>
    </row>
    <row r="3265">
      <c r="B3265" s="7" t="n">
        <v>3263</v>
      </c>
      <c r="C3265" t="inlineStr">
        <is>
          <t>Giám sát sản xuất</t>
        </is>
      </c>
      <c r="D3265" t="inlineStr">
        <is>
          <t>Công ty TNHH Olam Việt Nam</t>
        </is>
      </c>
      <c r="E3265" t="inlineStr">
        <is>
          <t>Lương:14 Tr - 17 Tr VND</t>
        </is>
      </c>
      <c r="F3265" t="inlineStr">
        <is>
          <t>Đồng Nai</t>
        </is>
      </c>
      <c r="G3265" t="inlineStr">
        <is>
          <t>31-03-2026</t>
        </is>
      </c>
      <c r="H3265" t="inlineStr">
        <is>
          <t>31/03/2026</t>
        </is>
      </c>
      <c r="I3265" t="inlineStr">
        <is>
          <t>17/03/2026</t>
        </is>
      </c>
      <c r="J3265" t="inlineStr">
        <is>
          <t>Thực phẩm &amp; Đồ uống, Sản xuất / Vận hành sản xuất</t>
        </is>
      </c>
      <c r="K3265" t="inlineStr">
        <is>
          <t>N/A</t>
        </is>
      </c>
      <c r="L3265" s="8">
        <f>HYPERLINK("https://careerviet.vn/vi/tim-viec-lam/giam-sat-san-xuat.35C6BB05.html","Xem chi tiết")</f>
        <v/>
      </c>
    </row>
    <row r="3266">
      <c r="B3266" s="9" t="n">
        <v>3264</v>
      </c>
      <c r="C3266" s="10" t="inlineStr">
        <is>
          <t>[Hồ Chí Minh] Trưởng phòng Xây dựng</t>
        </is>
      </c>
      <c r="D3266" s="10" t="inlineStr">
        <is>
          <t>Tổng Công ty Cổ phần Công trình Viettel</t>
        </is>
      </c>
      <c r="E3266" s="10" t="inlineStr">
        <is>
          <t>Lương:30 Tr - 35 Tr VND</t>
        </is>
      </c>
      <c r="F3266" s="10" t="inlineStr">
        <is>
          <t>Hồ Chí Minh</t>
        </is>
      </c>
      <c r="G3266" s="10" t="inlineStr">
        <is>
          <t>30-03-2026</t>
        </is>
      </c>
      <c r="H3266" s="10" t="inlineStr">
        <is>
          <t>30/03/2026</t>
        </is>
      </c>
      <c r="I3266" s="10" t="inlineStr">
        <is>
          <t>17/03/2026</t>
        </is>
      </c>
      <c r="J3266" s="10" t="inlineStr">
        <is>
          <t>Kiến trúc, Xây dựng, Quản lý điều hành</t>
        </is>
      </c>
      <c r="K3266" s="10" t="inlineStr">
        <is>
          <t>3 - 5 Năm</t>
        </is>
      </c>
      <c r="L3266" s="11">
        <f>HYPERLINK("https://careerviet.vn/vi/tim-viec-lam/ho-chi-minh-truong-phong-xay-dung.35C6BA94.html","Xem chi tiết")</f>
        <v/>
      </c>
      <c r="M3266" s="10" t="n"/>
    </row>
    <row r="3267">
      <c r="B3267" s="7" t="n">
        <v>3265</v>
      </c>
      <c r="C3267" t="inlineStr">
        <is>
          <t>Chuyên viên cao cấp quản lý tài sản nợ có (ALM), Phòng Quản lý tài sản nợ có, Khối Tài chính kế toán</t>
        </is>
      </c>
      <c r="D3267" t="inlineStr">
        <is>
          <t>Ngân hàng TMCP Đại Chúng Việt Nam - PVcomBank</t>
        </is>
      </c>
      <c r="E3267" t="inlineStr">
        <is>
          <t>Lương:Cạnh tranh</t>
        </is>
      </c>
      <c r="F3267" t="inlineStr">
        <is>
          <t>Hà Nội</t>
        </is>
      </c>
      <c r="G3267" t="inlineStr">
        <is>
          <t>08-04-2026</t>
        </is>
      </c>
      <c r="H3267" t="inlineStr">
        <is>
          <t>08/04/2026</t>
        </is>
      </c>
      <c r="I3267" t="inlineStr">
        <is>
          <t>17/03/2026</t>
        </is>
      </c>
      <c r="J3267" t="inlineStr">
        <is>
          <t>Ngân hàng</t>
        </is>
      </c>
      <c r="K3267" t="inlineStr">
        <is>
          <t>3 - 5 Năm</t>
        </is>
      </c>
      <c r="L3267" s="8">
        <f>HYPERLINK("https://careerviet.vn/vi/tim-viec-lam/chuyen-vien-cao-cap-quan-ly-tai-san-no-co-alm-phong-quan-ly-tai-san-no-co-khoi-tai-chinh-ke-toan.35C64F7A.html","Xem chi tiết")</f>
        <v/>
      </c>
    </row>
    <row r="3268">
      <c r="B3268" s="9" t="n">
        <v>3266</v>
      </c>
      <c r="C3268" s="10" t="inlineStr">
        <is>
          <t>Graphic Designer</t>
        </is>
      </c>
      <c r="D3268" s="10" t="inlineStr">
        <is>
          <t>CÔNG TY TNHH BRIGHT MARKETING</t>
        </is>
      </c>
      <c r="E3268" s="10" t="inlineStr">
        <is>
          <t>Lương:Cạnh tranh</t>
        </is>
      </c>
      <c r="F3268" s="10" t="inlineStr">
        <is>
          <t>Hồ Chí Minh</t>
        </is>
      </c>
      <c r="G3268" s="10" t="inlineStr">
        <is>
          <t>09-04-2026</t>
        </is>
      </c>
      <c r="H3268" s="10" t="inlineStr">
        <is>
          <t>09/04/2026</t>
        </is>
      </c>
      <c r="I3268" s="10" t="inlineStr">
        <is>
          <t>17/03/2026</t>
        </is>
      </c>
      <c r="J3268" s="10" t="inlineStr">
        <is>
          <t>Mỹ thuật / Nghệ thuật / Thiết kế, Quảng cáo / Đối ngoại / Truyền Thông, Giải trí</t>
        </is>
      </c>
      <c r="K3268" s="10" t="inlineStr">
        <is>
          <t>Trên 1 Năm</t>
        </is>
      </c>
      <c r="L3268" s="11">
        <f>HYPERLINK("https://careerviet.vn/vi/tim-viec-lam/graphic-designer.35C6BA1D.html","Xem chi tiết")</f>
        <v/>
      </c>
      <c r="M3268" s="10" t="n"/>
    </row>
    <row r="3269">
      <c r="B3269" s="7" t="n">
        <v>3267</v>
      </c>
      <c r="C3269" t="inlineStr">
        <is>
          <t>Chuyên viên nhắc nợ,  Phòng QL&amp; cảnh báo nợ, Khối KHCN</t>
        </is>
      </c>
      <c r="D3269" t="inlineStr">
        <is>
          <t>Ngân hàng TMCP Đại Chúng Việt Nam - PVcomBank</t>
        </is>
      </c>
      <c r="E3269" t="inlineStr">
        <is>
          <t>Lương:Cạnh tranh</t>
        </is>
      </c>
      <c r="F3269" t="inlineStr">
        <is>
          <t>Hà Nội</t>
        </is>
      </c>
      <c r="G3269" t="inlineStr">
        <is>
          <t>08-04-2026</t>
        </is>
      </c>
      <c r="H3269" t="inlineStr">
        <is>
          <t>08/04/2026</t>
        </is>
      </c>
      <c r="I3269" t="inlineStr">
        <is>
          <t>17/03/2026</t>
        </is>
      </c>
      <c r="J3269" t="inlineStr">
        <is>
          <t>Ngân hàng</t>
        </is>
      </c>
      <c r="K3269" t="inlineStr">
        <is>
          <t>1 - 2 Năm</t>
        </is>
      </c>
      <c r="L3269" s="8">
        <f>HYPERLINK("https://careerviet.vn/vi/tim-viec-lam/chuyen-vien-nhac-no-phong-ql-canh-bao-no-khoi-khcn.35C64F87.html","Xem chi tiết")</f>
        <v/>
      </c>
    </row>
    <row r="3270">
      <c r="B3270" s="9" t="n">
        <v>3268</v>
      </c>
      <c r="C3270" s="10" t="inlineStr">
        <is>
          <t>Nhân Viên QA</t>
        </is>
      </c>
      <c r="D3270" s="10" t="inlineStr">
        <is>
          <t>Công Ty TNHH Bao Bì Nhật Bản (VN)</t>
        </is>
      </c>
      <c r="E3270" s="10" t="inlineStr">
        <is>
          <t>Lương:Cạnh tranh</t>
        </is>
      </c>
      <c r="F3270" s="10" t="inlineStr">
        <is>
          <t>Hồ Chí Minh</t>
        </is>
      </c>
      <c r="G3270" s="10" t="inlineStr">
        <is>
          <t>28-03-2026</t>
        </is>
      </c>
      <c r="H3270" s="10" t="inlineStr">
        <is>
          <t>28/03/2026</t>
        </is>
      </c>
      <c r="I3270" s="10" t="inlineStr">
        <is>
          <t>17/03/2026</t>
        </is>
      </c>
      <c r="J3270" s="10" t="inlineStr">
        <is>
          <t>Sản xuất / Vận hành sản xuất, Quản lý chất lượng (QA/QC), An toàn lao động</t>
        </is>
      </c>
      <c r="K3270" s="10" t="inlineStr">
        <is>
          <t>1 - 3 Năm</t>
        </is>
      </c>
      <c r="L3270" s="11">
        <f>HYPERLINK("https://careerviet.vn/vi/tim-viec-lam/nhan-vien-qa.35C692F4.html","Xem chi tiết")</f>
        <v/>
      </c>
      <c r="M3270" s="10" t="n"/>
    </row>
    <row r="3271">
      <c r="B3271" s="7" t="n">
        <v>3269</v>
      </c>
      <c r="C3271" t="inlineStr">
        <is>
          <t>Project Officer/Green Growth and Green Finance Specialist for Mobilizing Green Investments</t>
        </is>
      </c>
      <c r="D3271" t="inlineStr">
        <is>
          <t>The Deutsche Gesellschaft für Internationale Zusammenarbeit (GIZ)</t>
        </is>
      </c>
      <c r="E3271" t="inlineStr">
        <is>
          <t>Lương:Cạnh tranh</t>
        </is>
      </c>
      <c r="F3271" t="inlineStr">
        <is>
          <t>Hà Nội</t>
        </is>
      </c>
      <c r="G3271" t="inlineStr">
        <is>
          <t>08-04-2026</t>
        </is>
      </c>
      <c r="H3271" t="inlineStr">
        <is>
          <t>08/04/2026</t>
        </is>
      </c>
      <c r="I3271" t="inlineStr">
        <is>
          <t>17/03/2026</t>
        </is>
      </c>
      <c r="J3271" t="inlineStr">
        <is>
          <t>N/A</t>
        </is>
      </c>
      <c r="K3271" t="inlineStr">
        <is>
          <t>N/A</t>
        </is>
      </c>
      <c r="L3271" s="8">
        <f>HYPERLINK("https://careerviet.vn/vi/tim-viec-lam/project-officer-green-growth-and-green-finance-specialist-for-mobilizing-green-investments.35C65014.html","Xem chi tiết")</f>
        <v/>
      </c>
    </row>
    <row r="3272">
      <c r="B3272" s="9" t="n">
        <v>3270</v>
      </c>
      <c r="C3272" s="10" t="inlineStr">
        <is>
          <t>Project Officer  PtX Pathways &amp; H2Uppp</t>
        </is>
      </c>
      <c r="D3272" s="10" t="inlineStr">
        <is>
          <t>The Deutsche Gesellschaft für Internationale Zusammenarbeit (GIZ)</t>
        </is>
      </c>
      <c r="E3272" s="10" t="inlineStr">
        <is>
          <t>Lương:Cạnh tranh</t>
        </is>
      </c>
      <c r="F3272" s="10" t="inlineStr">
        <is>
          <t>Hà Nội</t>
        </is>
      </c>
      <c r="G3272" s="10" t="inlineStr">
        <is>
          <t>08-04-2026</t>
        </is>
      </c>
      <c r="H3272" s="10" t="inlineStr">
        <is>
          <t>08/04/2026</t>
        </is>
      </c>
      <c r="I3272" s="10" t="inlineStr">
        <is>
          <t>17/03/2026</t>
        </is>
      </c>
      <c r="J3272" s="10" t="inlineStr">
        <is>
          <t>Quản lý điều hành, Dầu khí, Hóa học</t>
        </is>
      </c>
      <c r="K3272" s="10" t="inlineStr">
        <is>
          <t>3 - 5 Năm</t>
        </is>
      </c>
      <c r="L3272" s="11">
        <f>HYPERLINK("https://careerviet.vn/vi/tim-viec-lam/project-officer-ptx-pathways-h2uppp.35C65025.html","Xem chi tiết")</f>
        <v/>
      </c>
      <c r="M3272" s="10" t="n"/>
    </row>
    <row r="3273">
      <c r="B3273" s="7" t="n">
        <v>3271</v>
      </c>
      <c r="C3273" t="inlineStr">
        <is>
          <t>Quản lý thiết kế và Điều phối MEPF</t>
        </is>
      </c>
      <c r="D3273" t="inlineStr">
        <is>
          <t>Công Ty Cổ Phần Cơ Khí Xây Dựng Thương Mại Đại Dũng</t>
        </is>
      </c>
      <c r="E3273" t="inlineStr">
        <is>
          <t>Lương:Cạnh tranh</t>
        </is>
      </c>
      <c r="F3273" t="inlineStr">
        <is>
          <t>Hồ Chí Minh</t>
        </is>
      </c>
      <c r="G3273" t="inlineStr">
        <is>
          <t>08-04-2026</t>
        </is>
      </c>
      <c r="H3273" t="inlineStr">
        <is>
          <t>08/04/2026</t>
        </is>
      </c>
      <c r="I3273" t="inlineStr">
        <is>
          <t>17/03/2026</t>
        </is>
      </c>
      <c r="J3273" t="inlineStr">
        <is>
          <t>Xây dựng</t>
        </is>
      </c>
      <c r="K3273" t="inlineStr">
        <is>
          <t>5 - 7 Năm</t>
        </is>
      </c>
      <c r="L3273" s="8">
        <f>HYPERLINK("https://careerviet.vn/vi/tim-viec-lam/quan-ly-thiet-ke-va-dieu-phoi-mepf.35C65031.html","Xem chi tiết")</f>
        <v/>
      </c>
    </row>
    <row r="3274">
      <c r="B3274" s="9" t="n">
        <v>3272</v>
      </c>
      <c r="C3274" s="10" t="inlineStr">
        <is>
          <t>Chuyên viên/ CVC/ CVCC Khách hàng cá nhân - Hà Nội</t>
        </is>
      </c>
      <c r="D3274" s="10" t="inlineStr">
        <is>
          <t>Ngân hàng Thương mại cổ phần Đông Nam Á (SeABank)</t>
        </is>
      </c>
      <c r="E3274" s="10" t="inlineStr">
        <is>
          <t>Lương:Cạnh tranh</t>
        </is>
      </c>
      <c r="F3274" s="10" t="inlineStr">
        <is>
          <t>Hà Nội</t>
        </is>
      </c>
      <c r="G3274" s="10" t="inlineStr">
        <is>
          <t>08-04-2026</t>
        </is>
      </c>
      <c r="H3274" s="10" t="inlineStr">
        <is>
          <t>08/04/2026</t>
        </is>
      </c>
      <c r="I3274" s="10" t="inlineStr">
        <is>
          <t>17/03/2026</t>
        </is>
      </c>
      <c r="J3274" s="10" t="inlineStr">
        <is>
          <t>Ngân hàng, Tài chính / Đầu tư, Bảo hiểm</t>
        </is>
      </c>
      <c r="K3274" s="10" t="inlineStr">
        <is>
          <t>1 - 5 Năm</t>
        </is>
      </c>
      <c r="L3274" s="11">
        <f>HYPERLINK("https://careerviet.vn/vi/tim-viec-lam/chuyen-vien-cvc-cvcc-khach-hang-ca-nhan-ha-noi.35C65062.html","Xem chi tiết")</f>
        <v/>
      </c>
      <c r="M3274" s="10" t="n"/>
    </row>
    <row r="3275">
      <c r="B3275" s="7" t="n">
        <v>3273</v>
      </c>
      <c r="C3275" t="inlineStr">
        <is>
          <t>Service Engineer</t>
        </is>
      </c>
      <c r="D3275" t="inlineStr">
        <is>
          <t>CÔNG TY TNHH UNIQUE INDUSTRIAL SOLUTIONS VIET NAM</t>
        </is>
      </c>
      <c r="E3275" t="inlineStr">
        <is>
          <t>Lương:Cạnh tranh</t>
        </is>
      </c>
      <c r="F3275" t="inlineStr">
        <is>
          <t>Hồ Chí Minh</t>
        </is>
      </c>
      <c r="G3275" t="inlineStr">
        <is>
          <t>08-04-2026</t>
        </is>
      </c>
      <c r="H3275" t="inlineStr">
        <is>
          <t>08/04/2026</t>
        </is>
      </c>
      <c r="I3275" t="inlineStr">
        <is>
          <t>17/03/2026</t>
        </is>
      </c>
      <c r="J3275" t="inlineStr">
        <is>
          <t>Cơ khí / Ô tô / Tự động hóa, Điện / Điện tử / Điện lạnh / Điện công nghiệp, Bảo trì / Sửa chữa</t>
        </is>
      </c>
      <c r="K3275" t="inlineStr">
        <is>
          <t>2 - 3 Năm</t>
        </is>
      </c>
      <c r="L3275" s="8">
        <f>HYPERLINK("https://careerviet.vn/vi/tim-viec-lam/service-engineer.35C64F82.html","Xem chi tiết")</f>
        <v/>
      </c>
    </row>
    <row r="3276">
      <c r="B3276" s="9" t="n">
        <v>3274</v>
      </c>
      <c r="C3276" s="10" t="inlineStr">
        <is>
          <t>[Hanoi] Recruitment Consultant</t>
        </is>
      </c>
      <c r="D3276" s="10" t="inlineStr">
        <is>
          <t>Cổ Phần Kết Nối Nhân Tài - Talentnet Corporation</t>
        </is>
      </c>
      <c r="E3276" s="10" t="inlineStr">
        <is>
          <t>Lương:Cạnh tranh</t>
        </is>
      </c>
      <c r="F3276" s="10" t="inlineStr">
        <is>
          <t>Hà Nội</t>
        </is>
      </c>
      <c r="G3276" s="10" t="inlineStr">
        <is>
          <t>08-04-2026</t>
        </is>
      </c>
      <c r="H3276" s="10" t="inlineStr">
        <is>
          <t>08/04/2026</t>
        </is>
      </c>
      <c r="I3276" s="10" t="inlineStr">
        <is>
          <t>17/03/2026</t>
        </is>
      </c>
      <c r="J3276" s="10" t="inlineStr">
        <is>
          <t>Nhân sự</t>
        </is>
      </c>
      <c r="K3276" s="10" t="inlineStr">
        <is>
          <t>2 - 4 Năm</t>
        </is>
      </c>
      <c r="L3276" s="11">
        <f>HYPERLINK("https://careerviet.vn/vi/tim-viec-lam/hanoi-recruitment-consultant.35C64FF7.html","Xem chi tiết")</f>
        <v/>
      </c>
      <c r="M3276" s="10" t="n"/>
    </row>
    <row r="3277">
      <c r="B3277" s="7" t="n">
        <v>3275</v>
      </c>
      <c r="C3277" t="inlineStr">
        <is>
          <t>Trưởng nhóm kinh doanh</t>
        </is>
      </c>
      <c r="D3277" t="inlineStr">
        <is>
          <t>CÔNG TY CỔ PHẦN QUỐC TẾ BẮC SÀI GÒN</t>
        </is>
      </c>
      <c r="E3277" t="inlineStr">
        <is>
          <t>Lương:20 Tr - 50 Tr VND</t>
        </is>
      </c>
      <c r="F3277" t="inlineStr">
        <is>
          <t>Bình Dương</t>
        </is>
      </c>
      <c r="G3277" t="inlineStr">
        <is>
          <t>08-04-2026</t>
        </is>
      </c>
      <c r="H3277" t="inlineStr">
        <is>
          <t>08/04/2026</t>
        </is>
      </c>
      <c r="I3277" t="inlineStr">
        <is>
          <t>17/03/2026</t>
        </is>
      </c>
      <c r="J3277" t="inlineStr">
        <is>
          <t>Bán hàng / Kinh doanh, Quản lý điều hành, Bất động sản</t>
        </is>
      </c>
      <c r="K3277" t="inlineStr">
        <is>
          <t>1 - 5 Năm</t>
        </is>
      </c>
      <c r="L3277" s="8">
        <f>HYPERLINK("https://careerviet.vn/vi/tim-viec-lam/truong-nhom-kinh-doanh.35C61878.html","Xem chi tiết")</f>
        <v/>
      </c>
    </row>
    <row r="3278">
      <c r="B3278" s="9" t="n">
        <v>3276</v>
      </c>
      <c r="C3278" s="10" t="inlineStr">
        <is>
          <t>Kỹ Sư Kết Cấu</t>
        </is>
      </c>
      <c r="D3278" s="10" t="inlineStr">
        <is>
          <t>CÔNG TY CỔ PHẦN THIẾT KẾ XÂY DỰNG BIC</t>
        </is>
      </c>
      <c r="E3278" s="10" t="inlineStr">
        <is>
          <t>Lương:Cạnh tranh</t>
        </is>
      </c>
      <c r="F3278" s="10" t="inlineStr">
        <is>
          <t>Hồ Chí Minh</t>
        </is>
      </c>
      <c r="G3278" s="10" t="inlineStr">
        <is>
          <t>08-04-2026</t>
        </is>
      </c>
      <c r="H3278" s="10" t="inlineStr">
        <is>
          <t>08/04/2026</t>
        </is>
      </c>
      <c r="I3278" s="10" t="inlineStr">
        <is>
          <t>17/03/2026</t>
        </is>
      </c>
      <c r="J3278" s="10" t="inlineStr">
        <is>
          <t>Kiến trúc, Xây dựng, Nội ngoại thất</t>
        </is>
      </c>
      <c r="K3278" s="10" t="inlineStr">
        <is>
          <t>Trên 2 Năm</t>
        </is>
      </c>
      <c r="L3278" s="11">
        <f>HYPERLINK("https://careerviet.vn/vi/tim-viec-lam/ky-su-ket-cau.35C64EA9.html","Xem chi tiết")</f>
        <v/>
      </c>
      <c r="M3278" s="10" t="n"/>
    </row>
    <row r="3279">
      <c r="B3279" s="7" t="n">
        <v>3277</v>
      </c>
      <c r="C3279" t="inlineStr">
        <is>
          <t>Trưởng nhóm Giao nhận</t>
        </is>
      </c>
      <c r="D3279" t="inlineStr">
        <is>
          <t>Hoang Duc Pharmaceutical &amp; Medical Supplies co, Ltd.</t>
        </is>
      </c>
      <c r="E3279" t="inlineStr">
        <is>
          <t>Lương:Cạnh tranh</t>
        </is>
      </c>
      <c r="F3279" t="inlineStr">
        <is>
          <t>Hưng Yên</t>
        </is>
      </c>
      <c r="G3279" t="inlineStr">
        <is>
          <t>08-04-2026</t>
        </is>
      </c>
      <c r="H3279" t="inlineStr">
        <is>
          <t>08/04/2026</t>
        </is>
      </c>
      <c r="I3279" t="inlineStr">
        <is>
          <t>17/03/2026</t>
        </is>
      </c>
      <c r="J3279" t="inlineStr">
        <is>
          <t>Y tế / Chăm sóc sức khỏe / Thẩm mỹ / Làm đẹp, Vận chuyển / Giao nhận / Kho vận, Sản xuất / Vận hành sản xuất</t>
        </is>
      </c>
      <c r="K3279" t="inlineStr">
        <is>
          <t>2 - 3 Năm</t>
        </is>
      </c>
      <c r="L3279" s="8">
        <f>HYPERLINK("https://careerviet.vn/vi/tim-viec-lam/truong-nhom-giao-nhan.35C64FA9.html","Xem chi tiết")</f>
        <v/>
      </c>
    </row>
    <row r="3280">
      <c r="B3280" s="9" t="n">
        <v>3278</v>
      </c>
      <c r="C3280" s="10" t="inlineStr">
        <is>
          <t>Chuyên viên/ CVC/CVCC Khách hàng Ưu tiên - Nội thành Hà Nội</t>
        </is>
      </c>
      <c r="D3280" s="10" t="inlineStr">
        <is>
          <t>Ngân hàng Thương mại cổ phần Đông Nam Á (SeABank)</t>
        </is>
      </c>
      <c r="E3280" s="10" t="inlineStr">
        <is>
          <t>Lương:10 Tr - 40 Tr VND</t>
        </is>
      </c>
      <c r="F3280" s="10" t="inlineStr">
        <is>
          <t>Hà Nội</t>
        </is>
      </c>
      <c r="G3280" s="10" t="inlineStr">
        <is>
          <t>08-04-2026</t>
        </is>
      </c>
      <c r="H3280" s="10" t="inlineStr">
        <is>
          <t>08/04/2026</t>
        </is>
      </c>
      <c r="I3280" s="10" t="inlineStr">
        <is>
          <t>17/03/2026</t>
        </is>
      </c>
      <c r="J3280" s="10" t="inlineStr">
        <is>
          <t>Bán hàng / Kinh doanh, Ngân hàng, Tài chính / Đầu tư</t>
        </is>
      </c>
      <c r="K3280" s="10" t="inlineStr">
        <is>
          <t>N/A</t>
        </is>
      </c>
      <c r="L3280" s="11">
        <f>HYPERLINK("https://careerviet.vn/vi/tim-viec-lam/chuyen-vien-cvc-cvcc-khach-hang-uu-tien-noi-thanh-ha-noi.35C65064.html","Xem chi tiết")</f>
        <v/>
      </c>
      <c r="M3280" s="10" t="n"/>
    </row>
    <row r="3281">
      <c r="B3281" s="7" t="n">
        <v>3279</v>
      </c>
      <c r="C3281" t="inlineStr">
        <is>
          <t>Chuyên viên định giá Hội sở, Phòng Định giá Hội sở, Khối Tái thẩm và phê duyệt tín dụng  làm việc tại Hà Nội</t>
        </is>
      </c>
      <c r="D3281" t="inlineStr">
        <is>
          <t>Ngân hàng TMCP Đại Chúng Việt Nam - PVcomBank</t>
        </is>
      </c>
      <c r="E3281" t="inlineStr">
        <is>
          <t>Lương:Cạnh tranh</t>
        </is>
      </c>
      <c r="F3281" t="inlineStr">
        <is>
          <t>Hà Nội</t>
        </is>
      </c>
      <c r="G3281" t="inlineStr">
        <is>
          <t>08-04-2026</t>
        </is>
      </c>
      <c r="H3281" t="inlineStr">
        <is>
          <t>08/04/2026</t>
        </is>
      </c>
      <c r="I3281" t="inlineStr">
        <is>
          <t>17/03/2026</t>
        </is>
      </c>
      <c r="J3281" t="inlineStr">
        <is>
          <t>Ngân hàng</t>
        </is>
      </c>
      <c r="K3281" t="inlineStr">
        <is>
          <t>1 - 5 Năm</t>
        </is>
      </c>
      <c r="L3281" s="8">
        <f>HYPERLINK("https://careerviet.vn/vi/tim-viec-lam/chuyen-vien-dinh-gia-hoi-so-phong-dinh-gia-hoi-so-khoi-tai-tham-va-phe-duyet-tin-dung-lam-viec-tai-ha-noi.35C64F6A.html","Xem chi tiết")</f>
        <v/>
      </c>
    </row>
    <row r="3282">
      <c r="B3282" s="9" t="n">
        <v>3280</v>
      </c>
      <c r="C3282" s="10" t="inlineStr">
        <is>
          <t>Project Officer for The Project Development Programme</t>
        </is>
      </c>
      <c r="D3282" s="10" t="inlineStr">
        <is>
          <t>The Deutsche Gesellschaft für Internationale Zusammenarbeit (GIZ)</t>
        </is>
      </c>
      <c r="E3282" s="10" t="inlineStr">
        <is>
          <t>Lương:Cạnh tranh</t>
        </is>
      </c>
      <c r="F3282" s="10" t="inlineStr">
        <is>
          <t>Hồ Chí Minh</t>
        </is>
      </c>
      <c r="G3282" s="10" t="inlineStr">
        <is>
          <t>08-04-2026</t>
        </is>
      </c>
      <c r="H3282" s="10" t="inlineStr">
        <is>
          <t>08/04/2026</t>
        </is>
      </c>
      <c r="I3282" s="10" t="inlineStr">
        <is>
          <t>17/03/2026</t>
        </is>
      </c>
      <c r="J3282" s="10" t="inlineStr">
        <is>
          <t>Bán hàng / Kinh doanh, Tư vấn, Quản lý điều hành</t>
        </is>
      </c>
      <c r="K3282" s="10" t="inlineStr">
        <is>
          <t>5 Năm</t>
        </is>
      </c>
      <c r="L3282" s="11">
        <f>HYPERLINK("https://careerviet.vn/vi/tim-viec-lam/project-officer-for-the-project-development-programme.35C6501F.html","Xem chi tiết")</f>
        <v/>
      </c>
      <c r="M3282" s="10" t="n"/>
    </row>
    <row r="3283">
      <c r="B3283" s="7" t="n">
        <v>3281</v>
      </c>
      <c r="C3283" t="inlineStr">
        <is>
          <t>Sales Executive – Electric Vehicle Charging Solutions</t>
        </is>
      </c>
      <c r="D3283" t="inlineStr">
        <is>
          <t>Công ty TNHH ChargePlus VietNam</t>
        </is>
      </c>
      <c r="E3283" t="inlineStr">
        <is>
          <t>Lương:15 Tr - 20 Tr VND</t>
        </is>
      </c>
      <c r="F3283" t="inlineStr">
        <is>
          <t>Đà Nẵng</t>
        </is>
      </c>
      <c r="G3283" t="inlineStr">
        <is>
          <t>08-04-2026</t>
        </is>
      </c>
      <c r="H3283" t="inlineStr">
        <is>
          <t>08/04/2026</t>
        </is>
      </c>
      <c r="I3283" t="inlineStr">
        <is>
          <t>17/03/2026</t>
        </is>
      </c>
      <c r="J3283" t="inlineStr">
        <is>
          <t>Bán hàng / Kinh doanh, Bán Hàng Kỹ Thuật, Điện / Điện tử / Điện lạnh / Điện công nghiệp</t>
        </is>
      </c>
      <c r="K3283" t="inlineStr">
        <is>
          <t>2 - 7 Năm</t>
        </is>
      </c>
      <c r="L3283" s="8">
        <f>HYPERLINK("https://careerviet.vn/vi/tim-viec-lam/sales-executive-electric-vehicle-charging-solutions.35C64F46.html","Xem chi tiết")</f>
        <v/>
      </c>
    </row>
    <row r="3284">
      <c r="B3284" s="9" t="n">
        <v>3282</v>
      </c>
      <c r="C3284" s="10" t="inlineStr">
        <is>
          <t>Giám đốc nghiệp vụ Kiểm định Mô hình rủi ro tín dụng</t>
        </is>
      </c>
      <c r="D3284" s="10" t="inlineStr">
        <is>
          <t>Ngân Hàng TMCP Quốc Tế Việt Nam</t>
        </is>
      </c>
      <c r="E3284" s="10" t="inlineStr">
        <is>
          <t>Lương:Cạnh tranh</t>
        </is>
      </c>
      <c r="F3284" s="10" t="inlineStr">
        <is>
          <t>Hồ Chí MinhHà Nội</t>
        </is>
      </c>
      <c r="G3284" s="10" t="inlineStr">
        <is>
          <t>08-04-2026</t>
        </is>
      </c>
      <c r="H3284" s="10" t="inlineStr">
        <is>
          <t>08/04/2026</t>
        </is>
      </c>
      <c r="I3284" s="10" t="inlineStr">
        <is>
          <t>17/03/2026</t>
        </is>
      </c>
      <c r="J3284" s="10" t="inlineStr">
        <is>
          <t>Ngân hàng, Tài chính / Đầu tư, CNTT - Phần mềm</t>
        </is>
      </c>
      <c r="K3284" s="10" t="inlineStr">
        <is>
          <t>Trên 3 Năm</t>
        </is>
      </c>
      <c r="L3284" s="11">
        <f>HYPERLINK("https://careerviet.vn/vi/tim-viec-lam/giam-doc-nghiep-vu-kiem-dinh-mo-hinh-rui-ro-tin-dung.35C64FDA.html","Xem chi tiết")</f>
        <v/>
      </c>
      <c r="M3284" s="10" t="n"/>
    </row>
    <row r="3285">
      <c r="B3285" s="7" t="n">
        <v>3283</v>
      </c>
      <c r="C3285" t="inlineStr">
        <is>
          <t>KỸ SƯ QA/QC</t>
        </is>
      </c>
      <c r="D3285" t="inlineStr">
        <is>
          <t>CÔNG TY CP TẬP ĐOÀN ĐẦU TƯ HOÀNG GIA VIỆT NAM</t>
        </is>
      </c>
      <c r="E3285" t="inlineStr">
        <is>
          <t>Lương:Cạnh tranh</t>
        </is>
      </c>
      <c r="F3285" t="inlineStr">
        <is>
          <t>Lâm ĐồngĐà NẵngLong An</t>
        </is>
      </c>
      <c r="G3285" t="inlineStr">
        <is>
          <t>08-04-2026</t>
        </is>
      </c>
      <c r="H3285" t="inlineStr">
        <is>
          <t>08/04/2026</t>
        </is>
      </c>
      <c r="I3285" t="inlineStr">
        <is>
          <t>17/03/2026</t>
        </is>
      </c>
      <c r="J3285" t="inlineStr">
        <is>
          <t>Kiến trúc, Xây dựng</t>
        </is>
      </c>
      <c r="K3285" t="inlineStr">
        <is>
          <t>Trên 5 Năm</t>
        </is>
      </c>
      <c r="L3285" s="8">
        <f>HYPERLINK("https://careerviet.vn/vi/tim-viec-lam/ky-su-qa-qc.35C6502E.html","Xem chi tiết")</f>
        <v/>
      </c>
    </row>
    <row r="3286">
      <c r="B3286" s="9" t="n">
        <v>3284</v>
      </c>
      <c r="C3286" s="10" t="inlineStr">
        <is>
          <t>KỸ SƯ MEP</t>
        </is>
      </c>
      <c r="D3286" s="10" t="inlineStr">
        <is>
          <t>CÔNG TY CP TẬP ĐOÀN ĐẦU TƯ HOÀNG GIA VIỆT NAM</t>
        </is>
      </c>
      <c r="E3286" s="10" t="inlineStr">
        <is>
          <t>Lương:Cạnh tranh</t>
        </is>
      </c>
      <c r="F3286" s="10" t="inlineStr">
        <is>
          <t>Long AnLâm ĐồngNinh Thuận</t>
        </is>
      </c>
      <c r="G3286" s="10" t="inlineStr">
        <is>
          <t>08-04-2026</t>
        </is>
      </c>
      <c r="H3286" s="10" t="inlineStr">
        <is>
          <t>08/04/2026</t>
        </is>
      </c>
      <c r="I3286" s="10" t="inlineStr">
        <is>
          <t>17/03/2026</t>
        </is>
      </c>
      <c r="J3286" s="10" t="inlineStr">
        <is>
          <t>Điện / Điện tử / Điện lạnh / Điện công nghiệp, Xây dựng</t>
        </is>
      </c>
      <c r="K3286" s="10" t="inlineStr">
        <is>
          <t>5 - 10 Năm</t>
        </is>
      </c>
      <c r="L3286" s="11">
        <f>HYPERLINK("https://careerviet.vn/vi/tim-viec-lam/ky-su-mep.35C65022.html","Xem chi tiết")</f>
        <v/>
      </c>
      <c r="M3286" s="10" t="n"/>
    </row>
    <row r="3287">
      <c r="B3287" s="7" t="n">
        <v>3285</v>
      </c>
      <c r="C3287" t="inlineStr">
        <is>
          <t>Trưởng phòng kế hoạch tổng hợp ( 20-25 tr) tại Quảng Ngãi</t>
        </is>
      </c>
      <c r="D3287" t="inlineStr">
        <is>
          <t>CÔNG TY CỔ PHẦN TẬP ĐOÀN DEKKO</t>
        </is>
      </c>
      <c r="E3287" t="inlineStr">
        <is>
          <t>Lương:20 Tr - 25 Tr VND</t>
        </is>
      </c>
      <c r="F3287" t="inlineStr">
        <is>
          <t>Quảng Ngãi</t>
        </is>
      </c>
      <c r="G3287" t="inlineStr">
        <is>
          <t>08-04-2026</t>
        </is>
      </c>
      <c r="H3287" t="inlineStr">
        <is>
          <t>08/04/2026</t>
        </is>
      </c>
      <c r="I3287" t="inlineStr">
        <is>
          <t>17/03/2026</t>
        </is>
      </c>
      <c r="J3287" t="inlineStr">
        <is>
          <t>Vận chuyển / Giao nhận / Kho vận, Quản lý điều hành, Kế toán / Kiểm toán</t>
        </is>
      </c>
      <c r="K3287" t="inlineStr">
        <is>
          <t>3 - 5 Năm</t>
        </is>
      </c>
      <c r="L3287" s="8">
        <f>HYPERLINK("https://careerviet.vn/vi/tim-viec-lam/truong-phong-ke-hoach-tong-hop-20-25-tr-tai-quang-ngai.35C64FA5.html","Xem chi tiết")</f>
        <v/>
      </c>
    </row>
    <row r="3288">
      <c r="B3288" s="9" t="n">
        <v>3286</v>
      </c>
      <c r="C3288" s="10" t="inlineStr">
        <is>
          <t>Chuyên viên Học thuật (Academic Specialist)</t>
        </is>
      </c>
      <c r="D3288" s="10" t="inlineStr">
        <is>
          <t>Công ty CP IIG Việt Nam</t>
        </is>
      </c>
      <c r="E3288" s="10" t="inlineStr">
        <is>
          <t>Lương:15 Tr - 18 Tr VND</t>
        </is>
      </c>
      <c r="F3288" s="10" t="inlineStr">
        <is>
          <t>Hà Nội</t>
        </is>
      </c>
      <c r="G3288" s="10" t="inlineStr">
        <is>
          <t>08-04-2026</t>
        </is>
      </c>
      <c r="H3288" s="10" t="inlineStr">
        <is>
          <t>08/04/2026</t>
        </is>
      </c>
      <c r="I3288" s="10" t="inlineStr">
        <is>
          <t>17/03/2026</t>
        </is>
      </c>
      <c r="J3288" s="10" t="inlineStr">
        <is>
          <t>Giáo dục / Đào tạo</t>
        </is>
      </c>
      <c r="K3288" s="10" t="inlineStr">
        <is>
          <t>2 - 5 Năm</t>
        </is>
      </c>
      <c r="L3288" s="11">
        <f>HYPERLINK("https://careerviet.vn/vi/tim-viec-lam/chuyen-vien-hoc-thuat-academic-specialist.35C65035.html","Xem chi tiết")</f>
        <v/>
      </c>
      <c r="M3288" s="10" t="n"/>
    </row>
    <row r="3289">
      <c r="B3289" s="7" t="n">
        <v>3287</v>
      </c>
      <c r="C3289" t="inlineStr">
        <is>
          <t>Chuyên Viên Phát Triển Dự Án</t>
        </is>
      </c>
      <c r="D3289" t="inlineStr">
        <is>
          <t>CÔNG TY CỔ PHẦN ĐẦU TƯ VÀ PHÁT TRIỂN BẤT ĐỘNG SẢN HUDLAND</t>
        </is>
      </c>
      <c r="E3289" t="inlineStr">
        <is>
          <t>Lương:Cạnh tranh</t>
        </is>
      </c>
      <c r="F3289" t="inlineStr">
        <is>
          <t>Hà Nội</t>
        </is>
      </c>
      <c r="G3289" t="inlineStr">
        <is>
          <t>08-04-2026</t>
        </is>
      </c>
      <c r="H3289" t="inlineStr">
        <is>
          <t>08/04/2026</t>
        </is>
      </c>
      <c r="I3289" t="inlineStr">
        <is>
          <t>17/03/2026</t>
        </is>
      </c>
      <c r="J3289" t="inlineStr">
        <is>
          <t>Tài chính / Đầu tư, Xây dựng, Bất động sản</t>
        </is>
      </c>
      <c r="K3289" t="inlineStr">
        <is>
          <t>Trên 10 Năm</t>
        </is>
      </c>
      <c r="L3289" s="8">
        <f>HYPERLINK("https://careerviet.vn/vi/tim-viec-lam/chuyen-vien-phat-trien-du-an.35C6504A.html","Xem chi tiết")</f>
        <v/>
      </c>
    </row>
    <row r="3290">
      <c r="B3290" s="9" t="n">
        <v>3288</v>
      </c>
      <c r="C3290" s="10" t="inlineStr">
        <is>
          <t>Chuyên viên thúc đẩy kinh doanh, Phòng thúc đẩy kinh doanh, khối KHCN</t>
        </is>
      </c>
      <c r="D3290" s="10" t="inlineStr">
        <is>
          <t>Ngân hàng TMCP Đại Chúng Việt Nam - PVcomBank</t>
        </is>
      </c>
      <c r="E3290" s="10" t="inlineStr">
        <is>
          <t>Lương:Cạnh tranh</t>
        </is>
      </c>
      <c r="F3290" s="10" t="inlineStr">
        <is>
          <t>Hà Nội</t>
        </is>
      </c>
      <c r="G3290" s="10" t="inlineStr">
        <is>
          <t>08-04-2026</t>
        </is>
      </c>
      <c r="H3290" s="10" t="inlineStr">
        <is>
          <t>08/04/2026</t>
        </is>
      </c>
      <c r="I3290" s="10" t="inlineStr">
        <is>
          <t>17/03/2026</t>
        </is>
      </c>
      <c r="J3290" s="10" t="inlineStr">
        <is>
          <t>Bán hàng / Kinh doanh, Ngân hàng, Tài chính / Đầu tư</t>
        </is>
      </c>
      <c r="K3290" s="10" t="inlineStr">
        <is>
          <t>1 - 3 Năm</t>
        </is>
      </c>
      <c r="L3290" s="11">
        <f>HYPERLINK("https://careerviet.vn/vi/tim-viec-lam/chuyen-vien-thuc-day-kinh-doanh-phong-thuc-day-kinh-doanh-khoi-khcn.35C64F90.html","Xem chi tiết")</f>
        <v/>
      </c>
      <c r="M3290" s="10" t="n"/>
    </row>
    <row r="3291">
      <c r="B3291" s="7" t="n">
        <v>3289</v>
      </c>
      <c r="C3291" t="inlineStr">
        <is>
          <t>[Tân Bình, Hồ Chí Minh] Nhân viên Thu hồi nợ qua điện thoại - Thu nhập 15 - 20tr++</t>
        </is>
      </c>
      <c r="D3291" t="inlineStr">
        <is>
          <t>Công Ty Tài Chính TNHH MB SHINSEI (MCREDIT)</t>
        </is>
      </c>
      <c r="E3291" t="inlineStr">
        <is>
          <t>Lương:6,5 Tr - 20 Tr VND</t>
        </is>
      </c>
      <c r="F3291" t="inlineStr">
        <is>
          <t>Hồ Chí Minh</t>
        </is>
      </c>
      <c r="G3291" t="inlineStr">
        <is>
          <t>08-04-2026</t>
        </is>
      </c>
      <c r="H3291" t="inlineStr">
        <is>
          <t>08/04/2026</t>
        </is>
      </c>
      <c r="I3291" t="inlineStr">
        <is>
          <t>17/03/2026</t>
        </is>
      </c>
      <c r="J3291" t="inlineStr">
        <is>
          <t>Bán hàng / Kinh doanh, Chứng khoán, Dịch vụ khách hàng</t>
        </is>
      </c>
      <c r="K3291" t="inlineStr">
        <is>
          <t>N/A</t>
        </is>
      </c>
      <c r="L3291" s="8">
        <f>HYPERLINK("https://careerviet.vn/vi/tim-viec-lam/tan-binh-ho-chi-minh-nhan-vien-thu-hoi-no-qua-dien-thoai-thu-nhap-15-20tr.35C64FE6.html","Xem chi tiết")</f>
        <v/>
      </c>
    </row>
    <row r="3292">
      <c r="B3292" s="9" t="n">
        <v>3290</v>
      </c>
      <c r="C3292" s="10" t="inlineStr">
        <is>
          <t>Sales Engineer (Junior)</t>
        </is>
      </c>
      <c r="D3292" s="10" t="inlineStr">
        <is>
          <t>CÔNG TY TNHH UNIQUE INDUSTRIAL SOLUTIONS VIET NAM</t>
        </is>
      </c>
      <c r="E3292" s="10" t="inlineStr">
        <is>
          <t>Lương:Cạnh tranh</t>
        </is>
      </c>
      <c r="F3292" s="10" t="inlineStr">
        <is>
          <t>Hà Nội</t>
        </is>
      </c>
      <c r="G3292" s="10" t="inlineStr">
        <is>
          <t>08-04-2026</t>
        </is>
      </c>
      <c r="H3292" s="10" t="inlineStr">
        <is>
          <t>08/04/2026</t>
        </is>
      </c>
      <c r="I3292" s="10" t="inlineStr">
        <is>
          <t>17/03/2026</t>
        </is>
      </c>
      <c r="J3292" s="10" t="inlineStr">
        <is>
          <t>Điện / Điện tử / Điện lạnh / Điện công nghiệp, Bán hàng / Kinh doanh, Bán Hàng Kỹ Thuật</t>
        </is>
      </c>
      <c r="K3292" s="10" t="inlineStr">
        <is>
          <t>1 - 2 Năm</t>
        </is>
      </c>
      <c r="L3292" s="11">
        <f>HYPERLINK("https://careerviet.vn/vi/tim-viec-lam/sales-engineer-junior.35C64F88.html","Xem chi tiết")</f>
        <v/>
      </c>
      <c r="M3292" s="10" t="n"/>
    </row>
    <row r="3293">
      <c r="B3293" s="7" t="n">
        <v>3291</v>
      </c>
      <c r="C3293" t="inlineStr">
        <is>
          <t>Order Management Associate</t>
        </is>
      </c>
      <c r="D3293" t="inlineStr">
        <is>
          <t>CÔNG TY TNHH CONTOURA NEW INSOLE TECHNOLOGY DEVELOPMENT</t>
        </is>
      </c>
      <c r="E3293" t="inlineStr">
        <is>
          <t>Lương:Cạnh tranh</t>
        </is>
      </c>
      <c r="F3293" t="inlineStr">
        <is>
          <t>Vĩnh Phúc</t>
        </is>
      </c>
      <c r="G3293" t="inlineStr">
        <is>
          <t>08-04-2026</t>
        </is>
      </c>
      <c r="H3293" t="inlineStr">
        <is>
          <t>08/04/2026</t>
        </is>
      </c>
      <c r="I3293" t="inlineStr">
        <is>
          <t>17/03/2026</t>
        </is>
      </c>
      <c r="J3293" t="inlineStr">
        <is>
          <t>Xuất nhập khẩu, Dệt may / Da giày / Thời trang, Thu mua / Vật tư</t>
        </is>
      </c>
      <c r="K3293" t="inlineStr">
        <is>
          <t>Trên 3 Năm</t>
        </is>
      </c>
      <c r="L3293" s="8">
        <f>HYPERLINK("https://careerviet.vn/vi/tim-viec-lam/order-management-associate.35C5B232.html","Xem chi tiết")</f>
        <v/>
      </c>
    </row>
    <row r="3294">
      <c r="B3294" s="9" t="n">
        <v>3292</v>
      </c>
      <c r="C3294" s="10" t="inlineStr">
        <is>
          <t>Chuyên viên định giá Đông Nam Bộ - Trung tâm định giá  làm việc tại Đồng Tháp  Ưu tiên Nam</t>
        </is>
      </c>
      <c r="D3294" s="10" t="inlineStr">
        <is>
          <t>Ngân hàng TMCP Đại Chúng Việt Nam - PVcomBank</t>
        </is>
      </c>
      <c r="E3294" s="10" t="inlineStr">
        <is>
          <t>Lương:Cạnh tranh</t>
        </is>
      </c>
      <c r="F3294" s="10" t="inlineStr">
        <is>
          <t>Đồng ThápKV Đông Nam Bộ</t>
        </is>
      </c>
      <c r="G3294" s="10" t="inlineStr">
        <is>
          <t>08-04-2026</t>
        </is>
      </c>
      <c r="H3294" s="10" t="inlineStr">
        <is>
          <t>08/04/2026</t>
        </is>
      </c>
      <c r="I3294" s="10" t="inlineStr">
        <is>
          <t>17/03/2026</t>
        </is>
      </c>
      <c r="J3294" s="10" t="inlineStr">
        <is>
          <t>Ngân hàng</t>
        </is>
      </c>
      <c r="K3294" s="10" t="inlineStr">
        <is>
          <t>1 - 3 Năm</t>
        </is>
      </c>
      <c r="L3294" s="11">
        <f>HYPERLINK("https://careerviet.vn/vi/tim-viec-lam/chuyen-vien-dinh-gia-dong-nam-bo-trung-tam-dinh-gia-lam-viec-tai-dong-thap-uu-tien-nam.35C64F6F.html","Xem chi tiết")</f>
        <v/>
      </c>
      <c r="M3294" s="10" t="n"/>
    </row>
    <row r="3295">
      <c r="B3295" s="7" t="n">
        <v>3293</v>
      </c>
      <c r="C3295" t="inlineStr">
        <is>
          <t>[Hanoi] Mass Recruitment Senior Consultant</t>
        </is>
      </c>
      <c r="D3295" t="inlineStr">
        <is>
          <t>Cổ Phần Kết Nối Nhân Tài - Talentnet Corporation</t>
        </is>
      </c>
      <c r="E3295" t="inlineStr">
        <is>
          <t>Lương:Cạnh tranh</t>
        </is>
      </c>
      <c r="F3295" t="inlineStr">
        <is>
          <t>Hà Nội</t>
        </is>
      </c>
      <c r="G3295" t="inlineStr">
        <is>
          <t>08-04-2026</t>
        </is>
      </c>
      <c r="H3295" t="inlineStr">
        <is>
          <t>08/04/2026</t>
        </is>
      </c>
      <c r="I3295" t="inlineStr">
        <is>
          <t>17/03/2026</t>
        </is>
      </c>
      <c r="J3295" t="inlineStr">
        <is>
          <t>Nhân sự</t>
        </is>
      </c>
      <c r="K3295" t="inlineStr">
        <is>
          <t>3 - 4 Năm</t>
        </is>
      </c>
      <c r="L3295" s="8">
        <f>HYPERLINK("https://careerviet.vn/vi/tim-viec-lam/hanoi-mass-recruitment-senior-consultant.35C65039.html","Xem chi tiết")</f>
        <v/>
      </c>
    </row>
    <row r="3296">
      <c r="B3296" s="9" t="n">
        <v>3294</v>
      </c>
      <c r="C3296" s="10" t="inlineStr">
        <is>
          <t>Chuyên viên Kinh doanh quốc tế (Nữ, Export Sales)</t>
        </is>
      </c>
      <c r="D3296" s="10" t="inlineStr">
        <is>
          <t>Công ty Cổ phần Casla</t>
        </is>
      </c>
      <c r="E3296" s="10" t="inlineStr">
        <is>
          <t>Lương:25 Tr - 35 Tr VND</t>
        </is>
      </c>
      <c r="F3296" s="10" t="inlineStr">
        <is>
          <t>Hà Nội</t>
        </is>
      </c>
      <c r="G3296" s="10" t="inlineStr">
        <is>
          <t>31-03-2026</t>
        </is>
      </c>
      <c r="H3296" s="10" t="inlineStr">
        <is>
          <t>31/03/2026</t>
        </is>
      </c>
      <c r="I3296" s="10" t="inlineStr">
        <is>
          <t>17/03/2026</t>
        </is>
      </c>
      <c r="J3296" s="10" t="inlineStr">
        <is>
          <t>Bán hàng / Kinh doanh, Biên phiên dịch, Xuất nhập khẩu</t>
        </is>
      </c>
      <c r="K3296" s="10" t="inlineStr">
        <is>
          <t>3 - 10 Năm</t>
        </is>
      </c>
      <c r="L3296" s="11">
        <f>HYPERLINK("https://careerviet.vn/vi/tim-viec-lam/chuyen-vien-kinh-doanh-quoc-te-nu-export-sales.35C69791.html","Xem chi tiết")</f>
        <v/>
      </c>
      <c r="M3296" s="10" t="n"/>
    </row>
    <row r="3297">
      <c r="B3297" s="7" t="n">
        <v>3295</v>
      </c>
      <c r="C3297" t="inlineStr">
        <is>
          <t>Kỹ sư sản phẩm mới</t>
        </is>
      </c>
      <c r="D3297" t="inlineStr">
        <is>
          <t>VINFAST TRADING AND PRODUCTION JSC</t>
        </is>
      </c>
      <c r="E3297" t="inlineStr">
        <is>
          <t>Lương:Cạnh tranh</t>
        </is>
      </c>
      <c r="F3297" t="inlineStr">
        <is>
          <t>Hà Tĩnh</t>
        </is>
      </c>
      <c r="G3297" t="inlineStr">
        <is>
          <t>08-04-2026</t>
        </is>
      </c>
      <c r="H3297" t="inlineStr">
        <is>
          <t>08/04/2026</t>
        </is>
      </c>
      <c r="I3297" t="inlineStr">
        <is>
          <t>17/03/2026</t>
        </is>
      </c>
      <c r="J3297" t="inlineStr">
        <is>
          <t>Sản xuất / Vận hành sản xuất</t>
        </is>
      </c>
      <c r="K3297" t="inlineStr">
        <is>
          <t>1 - 5 Năm</t>
        </is>
      </c>
      <c r="L3297" s="8">
        <f>HYPERLINK("https://careerviet.vn/vi/tim-viec-lam/ky-su-san-pham-moi.35C642F2.html","Xem chi tiết")</f>
        <v/>
      </c>
    </row>
    <row r="3298">
      <c r="B3298" s="9" t="n">
        <v>3296</v>
      </c>
      <c r="C3298" s="10" t="inlineStr">
        <is>
          <t>Chuyên Viên Chính Sách Tín Dụng</t>
        </is>
      </c>
      <c r="D3298" s="10" t="inlineStr">
        <is>
          <t>NGÂN HÀNG TMCP NGOẠI THƯƠNG VIỆT NAM (VIETCOMBANK)</t>
        </is>
      </c>
      <c r="E3298" s="10" t="inlineStr">
        <is>
          <t>Lương:Cạnh tranh</t>
        </is>
      </c>
      <c r="F3298" s="10" t="inlineStr">
        <is>
          <t>Hà Nội</t>
        </is>
      </c>
      <c r="G3298" s="10" t="inlineStr">
        <is>
          <t>08-04-2026</t>
        </is>
      </c>
      <c r="H3298" s="10" t="inlineStr">
        <is>
          <t>08/04/2026</t>
        </is>
      </c>
      <c r="I3298" s="10" t="inlineStr">
        <is>
          <t>17/03/2026</t>
        </is>
      </c>
      <c r="J3298" s="10" t="inlineStr">
        <is>
          <t>Ngân hàng, Tài chính / Đầu tư, Kế toán / Kiểm toán</t>
        </is>
      </c>
      <c r="K3298" s="10" t="inlineStr">
        <is>
          <t>Trên 3 Năm</t>
        </is>
      </c>
      <c r="L3298" s="11">
        <f>HYPERLINK("https://careerviet.vn/vi/tim-viec-lam/chuyen-vien-chinh-sach-tin-dung.35C64F93.html","Xem chi tiết")</f>
        <v/>
      </c>
      <c r="M3298" s="10" t="n"/>
    </row>
    <row r="3299">
      <c r="B3299" s="7" t="n">
        <v>3297</v>
      </c>
      <c r="C3299" t="inlineStr">
        <is>
          <t>Technical Service</t>
        </is>
      </c>
      <c r="D3299" t="inlineStr">
        <is>
          <t>Siegwerk company</t>
        </is>
      </c>
      <c r="E3299" t="inlineStr">
        <is>
          <t>Lương:Cạnh tranh</t>
        </is>
      </c>
      <c r="F3299" t="inlineStr">
        <is>
          <t>Bình Dương</t>
        </is>
      </c>
      <c r="G3299" t="inlineStr">
        <is>
          <t>08-04-2026</t>
        </is>
      </c>
      <c r="H3299" t="inlineStr">
        <is>
          <t>08/04/2026</t>
        </is>
      </c>
      <c r="I3299" t="inlineStr">
        <is>
          <t>17/03/2026</t>
        </is>
      </c>
      <c r="J3299" t="inlineStr">
        <is>
          <t>Hóa học, Ngành khác, In ấn / Xuất bản</t>
        </is>
      </c>
      <c r="K3299" t="inlineStr">
        <is>
          <t>N/A</t>
        </is>
      </c>
      <c r="L3299" s="8">
        <f>HYPERLINK("https://careerviet.vn/vi/tim-viec-lam/technical-service.35BD7193.html","Xem chi tiết")</f>
        <v/>
      </c>
    </row>
    <row r="3300">
      <c r="B3300" s="9" t="n">
        <v>3298</v>
      </c>
      <c r="C3300" s="10" t="inlineStr">
        <is>
          <t>Trưởng nhóm phát triển kinh doanh B2B</t>
        </is>
      </c>
      <c r="D3300" s="10" t="inlineStr">
        <is>
          <t>CÔNG TY CỔ PHẦN ANH KHUÊ WATCH</t>
        </is>
      </c>
      <c r="E3300" s="10" t="inlineStr">
        <is>
          <t>Lương:Cạnh tranh</t>
        </is>
      </c>
      <c r="F3300" s="10" t="inlineStr">
        <is>
          <t>Hồ Chí Minh</t>
        </is>
      </c>
      <c r="G3300" s="10" t="inlineStr">
        <is>
          <t>07-04-2026</t>
        </is>
      </c>
      <c r="H3300" s="10" t="inlineStr">
        <is>
          <t>07/04/2026</t>
        </is>
      </c>
      <c r="I3300" s="10" t="inlineStr">
        <is>
          <t>17/03/2026</t>
        </is>
      </c>
      <c r="J3300" s="10" t="inlineStr">
        <is>
          <t>Bán lẻ / Bán sỉ</t>
        </is>
      </c>
      <c r="K3300" s="10" t="inlineStr">
        <is>
          <t>2 - 5 NămĐịa điểm</t>
        </is>
      </c>
      <c r="L3300" s="11">
        <f>HYPERLINK("https://careerviet.vn/vi/tim-viec-lam/truong-nhom-phat-trien-kinh-doanh-b2b.35C64FAE.html","Xem chi tiết")</f>
        <v/>
      </c>
      <c r="M3300" s="10" t="n"/>
    </row>
    <row r="3301">
      <c r="B3301" s="7" t="n">
        <v>3299</v>
      </c>
      <c r="C3301" t="inlineStr">
        <is>
          <t>Chuyên Viên Kế Toán Tổng Hợp</t>
        </is>
      </c>
      <c r="D3301" t="inlineStr">
        <is>
          <t>Công ty TNHH Thực Phẩm &amp; TMDV Lê Gia</t>
        </is>
      </c>
      <c r="E3301" t="inlineStr">
        <is>
          <t>Lương:12 Tr - 20 Tr VND</t>
        </is>
      </c>
      <c r="F3301" t="inlineStr">
        <is>
          <t>Thanh Hóa</t>
        </is>
      </c>
      <c r="G3301" t="inlineStr">
        <is>
          <t>10-03-2026</t>
        </is>
      </c>
      <c r="H3301" t="inlineStr">
        <is>
          <t>08/03/2026</t>
        </is>
      </c>
      <c r="I3301" t="inlineStr">
        <is>
          <t>17/03/2026</t>
        </is>
      </c>
      <c r="J3301" t="inlineStr">
        <is>
          <t>Kế toán / Kiểm toán, Thực phẩm &amp; Đồ uống</t>
        </is>
      </c>
      <c r="K3301" t="inlineStr">
        <is>
          <t>Trên 1 Năm</t>
        </is>
      </c>
      <c r="L3301" s="8">
        <f>HYPERLINK("https://careerviet.vn/vi/tim-viec-lam/chuyen-vien-ke-toan-tong-hop.35C69505.html","Xem chi tiết")</f>
        <v/>
      </c>
    </row>
    <row r="3302">
      <c r="B3302" s="9" t="n">
        <v>3300</v>
      </c>
      <c r="C3302" s="10" t="inlineStr">
        <is>
          <t>Kiến trúc sư</t>
        </is>
      </c>
      <c r="D3302" s="10" t="inlineStr">
        <is>
          <t>VINHOMES - Tập đoàn Vingroup</t>
        </is>
      </c>
      <c r="E3302" s="10" t="inlineStr">
        <is>
          <t>Lương:Cạnh tranh</t>
        </is>
      </c>
      <c r="F3302" s="10" t="inlineStr">
        <is>
          <t>Hà Nội</t>
        </is>
      </c>
      <c r="G3302" s="10" t="inlineStr">
        <is>
          <t>25-03-2026</t>
        </is>
      </c>
      <c r="H3302" s="10" t="inlineStr">
        <is>
          <t>25/03/2026</t>
        </is>
      </c>
      <c r="I3302" s="10" t="inlineStr">
        <is>
          <t>17/03/2026</t>
        </is>
      </c>
      <c r="J3302" s="10" t="inlineStr">
        <is>
          <t>Kiến trúc, Xây dựng</t>
        </is>
      </c>
      <c r="K3302" s="10" t="inlineStr">
        <is>
          <t>1 - 3 Năm</t>
        </is>
      </c>
      <c r="L3302" s="11">
        <f>HYPERLINK("https://careerviet.vn/vi/tim-viec-lam/kien-truc-su.35C6962B.html","Xem chi tiết")</f>
        <v/>
      </c>
      <c r="M3302" s="10" t="n"/>
    </row>
    <row r="3303">
      <c r="B3303" s="7" t="n">
        <v>3301</v>
      </c>
      <c r="C3303" t="inlineStr">
        <is>
          <t>MOLD ENGINEER</t>
        </is>
      </c>
      <c r="D3303" t="inlineStr">
        <is>
          <t>Công Ty TNHH Việt Nam Samho</t>
        </is>
      </c>
      <c r="E3303" t="inlineStr">
        <is>
          <t>Lương:Cạnh tranh</t>
        </is>
      </c>
      <c r="F3303" t="inlineStr">
        <is>
          <t>Hồ Chí Minh</t>
        </is>
      </c>
      <c r="G3303" t="inlineStr">
        <is>
          <t>08-04-2026</t>
        </is>
      </c>
      <c r="H3303" t="inlineStr">
        <is>
          <t>08/04/2026</t>
        </is>
      </c>
      <c r="I3303" t="inlineStr">
        <is>
          <t>17/03/2026</t>
        </is>
      </c>
      <c r="J3303" t="inlineStr">
        <is>
          <t>Dệt may / Da giày / Thời trang</t>
        </is>
      </c>
      <c r="K3303" t="inlineStr">
        <is>
          <t>1 - 5 Năm</t>
        </is>
      </c>
      <c r="L3303" s="8">
        <f>HYPERLINK("https://careerviet.vn/vi/tim-viec-lam/mold-engineer.35C64F26.html","Xem chi tiết")</f>
        <v/>
      </c>
    </row>
    <row r="3304">
      <c r="B3304" s="9" t="n">
        <v>3302</v>
      </c>
      <c r="C3304" s="10" t="inlineStr">
        <is>
          <t>Chuyên Viên Kỹ Thuật (Technical Executive)</t>
        </is>
      </c>
      <c r="D3304" s="10" t="inlineStr">
        <is>
          <t>Công Ty TNHH Asia Pacific Engravers (Việt Nam)</t>
        </is>
      </c>
      <c r="E3304" s="10" t="inlineStr">
        <is>
          <t>Lương:13 Tr - 15 Tr VND</t>
        </is>
      </c>
      <c r="F3304" s="10" t="inlineStr">
        <is>
          <t>Hồ Chí Minh</t>
        </is>
      </c>
      <c r="G3304" s="10" t="inlineStr">
        <is>
          <t>31-03-2026</t>
        </is>
      </c>
      <c r="H3304" s="10" t="inlineStr">
        <is>
          <t>31/03/2026</t>
        </is>
      </c>
      <c r="I3304" s="10" t="inlineStr">
        <is>
          <t>17/03/2026</t>
        </is>
      </c>
      <c r="J3304" s="10" t="inlineStr">
        <is>
          <t>Cơ khí / Ô tô / Tự động hóa, In ấn / Xuất bản, Sản xuất / Vận hành sản xuất</t>
        </is>
      </c>
      <c r="K3304" s="10" t="inlineStr">
        <is>
          <t>1 - 2 Năm</t>
        </is>
      </c>
      <c r="L3304" s="11">
        <f>HYPERLINK("https://careerviet.vn/vi/tim-viec-lam/chuyen-vien-ky-thuat-technical-executive.35C69663.html","Xem chi tiết")</f>
        <v/>
      </c>
      <c r="M3304" s="10" t="n"/>
    </row>
    <row r="3305">
      <c r="B3305" s="7" t="n">
        <v>3303</v>
      </c>
      <c r="C3305" t="inlineStr">
        <is>
          <t>Chuyên Viên Kinh Doanh</t>
        </is>
      </c>
      <c r="D3305" t="inlineStr">
        <is>
          <t>TED SAIGON</t>
        </is>
      </c>
      <c r="E3305" t="inlineStr">
        <is>
          <t>Lương:10 Tr - 15 Tr VND</t>
        </is>
      </c>
      <c r="F3305" t="inlineStr">
        <is>
          <t>Hồ Chí Minh</t>
        </is>
      </c>
      <c r="G3305" t="inlineStr">
        <is>
          <t>26-03-2026</t>
        </is>
      </c>
      <c r="H3305" t="inlineStr">
        <is>
          <t>26/03/2026</t>
        </is>
      </c>
      <c r="I3305" t="inlineStr">
        <is>
          <t>17/03/2026</t>
        </is>
      </c>
      <c r="J3305" t="inlineStr">
        <is>
          <t>Tư vấn, Bán hàng / Kinh doanh, Tiếp thị / Marketing</t>
        </is>
      </c>
      <c r="K3305" t="inlineStr">
        <is>
          <t>1 - 2 Năm</t>
        </is>
      </c>
      <c r="L3305" s="8">
        <f>HYPERLINK("https://careerviet.vn/vi/tim-viec-lam/chuyen-vien-kinh-doanh.35C69814.html","Xem chi tiết")</f>
        <v/>
      </c>
    </row>
    <row r="3306">
      <c r="B3306" s="9" t="n">
        <v>3304</v>
      </c>
      <c r="C3306" s="10" t="inlineStr">
        <is>
          <t>Kế Toán Tổng Hợp</t>
        </is>
      </c>
      <c r="D3306" s="10" t="inlineStr">
        <is>
          <t>Công ty TNHH Thiên Thủy Mộc</t>
        </is>
      </c>
      <c r="E3306" s="10" t="inlineStr">
        <is>
          <t>Lương:17 Tr - 21 Tr VND</t>
        </is>
      </c>
      <c r="F3306" s="10" t="inlineStr">
        <is>
          <t>Hà Nội</t>
        </is>
      </c>
      <c r="G3306" s="10" t="inlineStr">
        <is>
          <t>24-03-2026</t>
        </is>
      </c>
      <c r="H3306" s="10" t="inlineStr">
        <is>
          <t>24/03/2026</t>
        </is>
      </c>
      <c r="I3306" s="10" t="inlineStr">
        <is>
          <t>17/03/2026</t>
        </is>
      </c>
      <c r="J3306" s="10" t="inlineStr">
        <is>
          <t>Kế toán / Kiểm toán</t>
        </is>
      </c>
      <c r="K3306" s="10" t="inlineStr">
        <is>
          <t>4 - 5 Năm</t>
        </is>
      </c>
      <c r="L3306" s="11">
        <f>HYPERLINK("https://careerviet.vn/vi/tim-viec-lam/ke-toan-tong-hop.35C69497.html","Xem chi tiết")</f>
        <v/>
      </c>
      <c r="M3306" s="10" t="n"/>
    </row>
    <row r="3307">
      <c r="B3307" s="7" t="n">
        <v>3305</v>
      </c>
      <c r="C3307" t="inlineStr">
        <is>
          <t>Kế Toán Tổng Hợp</t>
        </is>
      </c>
      <c r="D3307" t="inlineStr">
        <is>
          <t>Công ty TNHH Dược phẩm Lavifa</t>
        </is>
      </c>
      <c r="E3307" t="inlineStr">
        <is>
          <t>Lương:16 Tr - 20 Tr VND</t>
        </is>
      </c>
      <c r="F3307" t="inlineStr">
        <is>
          <t>Hồ Chí Minh</t>
        </is>
      </c>
      <c r="G3307" t="inlineStr">
        <is>
          <t>25-03-2026</t>
        </is>
      </c>
      <c r="H3307" t="inlineStr">
        <is>
          <t>25/03/2026</t>
        </is>
      </c>
      <c r="I3307" t="inlineStr">
        <is>
          <t>17/03/2026</t>
        </is>
      </c>
      <c r="J3307" t="inlineStr">
        <is>
          <t>Bán lẻ / Bán sỉ, Kế toán / Kiểm toán, Tài chính / Đầu tư</t>
        </is>
      </c>
      <c r="K3307" t="inlineStr">
        <is>
          <t>2 - 4 Năm</t>
        </is>
      </c>
      <c r="L3307" s="8">
        <f>HYPERLINK("https://careerviet.vn/vi/tim-viec-lam/ke-toan-tong-hop.35C6983B.html","Xem chi tiết")</f>
        <v/>
      </c>
    </row>
    <row r="3308">
      <c r="B3308" s="9" t="n">
        <v>3306</v>
      </c>
      <c r="C3308" s="10" t="inlineStr">
        <is>
          <t>127876 - Trưởng nhóm Kỹ sư Cơ khí - Ngành Xử lý nước</t>
        </is>
      </c>
      <c r="D3308" s="10" t="inlineStr">
        <is>
          <t>RGF HR Agent Vietnam Co., LTD</t>
        </is>
      </c>
      <c r="E3308" s="10" t="inlineStr">
        <is>
          <t>Lương:40 Tr - 40 Tr VND</t>
        </is>
      </c>
      <c r="F3308" s="10" t="inlineStr">
        <is>
          <t>Hà Nội</t>
        </is>
      </c>
      <c r="G3308" s="10" t="inlineStr">
        <is>
          <t>25-03-2026</t>
        </is>
      </c>
      <c r="H3308" s="10" t="inlineStr">
        <is>
          <t>25/03/2026</t>
        </is>
      </c>
      <c r="I3308" s="10" t="inlineStr">
        <is>
          <t>17/03/2026</t>
        </is>
      </c>
      <c r="J3308" s="10" t="inlineStr">
        <is>
          <t>Cơ khí / Ô tô / Tự động hóa, Ngành khác</t>
        </is>
      </c>
      <c r="K3308" s="10" t="inlineStr">
        <is>
          <t>Trên 3 Năm</t>
        </is>
      </c>
      <c r="L3308" s="11">
        <f>HYPERLINK("https://careerviet.vn/vi/tim-viec-lam/127876-truong-nhom-ky-su-co-khi-nganh-xu-ly-nuoc.35C69844.html","Xem chi tiết")</f>
        <v/>
      </c>
      <c r="M3308" s="10" t="n"/>
    </row>
    <row r="3309">
      <c r="B3309" s="7" t="n">
        <v>3307</v>
      </c>
      <c r="C3309" t="inlineStr">
        <is>
          <t>IPQC Technician (Dầu Giây - Đồng Nai)</t>
        </is>
      </c>
      <c r="D3309" t="inlineStr">
        <is>
          <t>Techtronic Industries Vietnam Manufacturing Company Limited</t>
        </is>
      </c>
      <c r="E3309" t="inlineStr">
        <is>
          <t>Lương:Cạnh tranh</t>
        </is>
      </c>
      <c r="F3309" t="inlineStr">
        <is>
          <t>Đồng Nai</t>
        </is>
      </c>
      <c r="G3309" t="inlineStr">
        <is>
          <t>27-03-2026</t>
        </is>
      </c>
      <c r="H3309" t="inlineStr">
        <is>
          <t>27/03/2026</t>
        </is>
      </c>
      <c r="I3309" t="inlineStr">
        <is>
          <t>17/03/2026</t>
        </is>
      </c>
      <c r="J3309" t="inlineStr">
        <is>
          <t>Cơ khí / Ô tô / Tự động hóa, Quản lý chất lượng (QA/QC), Điện / Điện tử / Điện lạnh / Điện công nghiệp</t>
        </is>
      </c>
      <c r="K3309" t="inlineStr">
        <is>
          <t>2 Năm</t>
        </is>
      </c>
      <c r="L3309" s="8">
        <f>HYPERLINK("https://careerviet.vn/vi/tim-viec-lam/ipqc-technician-dau-giay-dong-nai.35C6976E.html","Xem chi tiết")</f>
        <v/>
      </c>
    </row>
    <row r="3310">
      <c r="B3310" s="9" t="n">
        <v>3308</v>
      </c>
      <c r="C3310" s="10" t="inlineStr">
        <is>
          <t>KTS Diễn Họa 3D</t>
        </is>
      </c>
      <c r="D3310" s="10" t="inlineStr">
        <is>
          <t>CÔNG TY TNHH THIẾT KẾ HPA &amp; PARTNERS (VIÊT NAM)</t>
        </is>
      </c>
      <c r="E3310" s="10" t="inlineStr">
        <is>
          <t>Lương:Trên 20 Tr VND</t>
        </is>
      </c>
      <c r="F3310" s="10" t="inlineStr">
        <is>
          <t>Hà Nội</t>
        </is>
      </c>
      <c r="G3310" s="10" t="inlineStr">
        <is>
          <t>24-03-2026</t>
        </is>
      </c>
      <c r="H3310" s="10" t="inlineStr">
        <is>
          <t>24/03/2026</t>
        </is>
      </c>
      <c r="I3310" s="10" t="inlineStr">
        <is>
          <t>17/03/2026</t>
        </is>
      </c>
      <c r="J3310" s="10" t="inlineStr">
        <is>
          <t>Mỹ thuật / Nghệ thuật / Thiết kế, Kiến trúc, Nội ngoại thất</t>
        </is>
      </c>
      <c r="K3310" s="10" t="inlineStr">
        <is>
          <t>Trên 3 Năm</t>
        </is>
      </c>
      <c r="L3310" s="11">
        <f>HYPERLINK("https://careerviet.vn/vi/tim-viec-lam/kts-dien-hoa-3d.35C69517.html","Xem chi tiết")</f>
        <v/>
      </c>
      <c r="M3310" s="10" t="n"/>
    </row>
    <row r="3311">
      <c r="B3311" s="7" t="n">
        <v>3309</v>
      </c>
      <c r="C3311" t="inlineStr">
        <is>
          <t>Quản Lý Dự Án</t>
        </is>
      </c>
      <c r="D3311" t="inlineStr">
        <is>
          <t>CÔNG TY TNHH KIẾN TRÚC - NỘI THẤT NAM ANH</t>
        </is>
      </c>
      <c r="E3311" t="inlineStr">
        <is>
          <t>Lương:15 Tr - 20 Tr VND</t>
        </is>
      </c>
      <c r="F3311" t="inlineStr">
        <is>
          <t>Hà Nội</t>
        </is>
      </c>
      <c r="G3311" t="inlineStr">
        <is>
          <t>25-03-2026</t>
        </is>
      </c>
      <c r="H3311" t="inlineStr">
        <is>
          <t>25/03/2026</t>
        </is>
      </c>
      <c r="I3311" t="inlineStr">
        <is>
          <t>17/03/2026</t>
        </is>
      </c>
      <c r="J3311" t="inlineStr">
        <is>
          <t>Bán hàng / Kinh doanh, Xây dựng, Nội ngoại thất</t>
        </is>
      </c>
      <c r="K3311" t="inlineStr">
        <is>
          <t>2 - 3 Năm</t>
        </is>
      </c>
      <c r="L3311" s="8">
        <f>HYPERLINK("https://careerviet.vn/vi/tim-viec-lam/quan-ly-du-an.35C695C2.html","Xem chi tiết")</f>
        <v/>
      </c>
    </row>
    <row r="3312">
      <c r="B3312" s="9" t="n">
        <v>3310</v>
      </c>
      <c r="C3312" s="10" t="inlineStr">
        <is>
          <t>QC Engineer</t>
        </is>
      </c>
      <c r="D3312" s="10" t="inlineStr">
        <is>
          <t>VINFAST TRADING AND PRODUCTION JSC</t>
        </is>
      </c>
      <c r="E3312" s="10" t="inlineStr">
        <is>
          <t>Lương:Cạnh tranh</t>
        </is>
      </c>
      <c r="F3312" s="10" t="inlineStr">
        <is>
          <t>Hà Tĩnh</t>
        </is>
      </c>
      <c r="G3312" s="10" t="inlineStr">
        <is>
          <t>11-04-2026</t>
        </is>
      </c>
      <c r="H3312" s="10" t="inlineStr">
        <is>
          <t>11/04/2026</t>
        </is>
      </c>
      <c r="I3312" s="10" t="inlineStr">
        <is>
          <t>17/03/2026</t>
        </is>
      </c>
      <c r="J3312" s="10" t="inlineStr">
        <is>
          <t>Sản xuất / Vận hành sản xuất</t>
        </is>
      </c>
      <c r="K3312" s="10" t="inlineStr">
        <is>
          <t>1 - 3 Năm</t>
        </is>
      </c>
      <c r="L3312" s="11">
        <f>HYPERLINK("https://careerviet.vn/vi/tim-viec-lam/qc-engineer.35C6978B.html","Xem chi tiết")</f>
        <v/>
      </c>
      <c r="M3312" s="10" t="n"/>
    </row>
    <row r="3313">
      <c r="B3313" s="7" t="n">
        <v>3311</v>
      </c>
      <c r="C3313" t="inlineStr">
        <is>
          <t>Nhân viên kinh doanh B2B</t>
        </is>
      </c>
      <c r="D3313" t="inlineStr">
        <is>
          <t>Công Ty Cổ Phần Cơ Khí Hồng Ký</t>
        </is>
      </c>
      <c r="E3313" t="inlineStr">
        <is>
          <t>Lương:Cạnh tranh</t>
        </is>
      </c>
      <c r="F3313" t="inlineStr">
        <is>
          <t>Hà NộiĐồng Bằng Sông Hồng</t>
        </is>
      </c>
      <c r="G3313" t="inlineStr">
        <is>
          <t>28-03-2026</t>
        </is>
      </c>
      <c r="H3313" t="inlineStr">
        <is>
          <t>28/03/2026</t>
        </is>
      </c>
      <c r="I3313" t="inlineStr">
        <is>
          <t>17/03/2026</t>
        </is>
      </c>
      <c r="J3313" t="inlineStr">
        <is>
          <t>Sản xuất / Vận hành sản xuất, Bán hàng / Kinh doanh, Điện / Điện tử / Điện lạnh / Điện công nghiệp</t>
        </is>
      </c>
      <c r="K3313" t="inlineStr">
        <is>
          <t>1 - 15 Năm</t>
        </is>
      </c>
      <c r="L3313" s="8">
        <f>HYPERLINK("https://careerviet.vn/vi/tim-viec-lam/nhan-vien-kinh-doanh-b2b.35C6968F.html","Xem chi tiết")</f>
        <v/>
      </c>
    </row>
    <row r="3314">
      <c r="B3314" s="9" t="n">
        <v>3312</v>
      </c>
      <c r="C3314" s="10" t="inlineStr">
        <is>
          <t>Chuyên Viên Kinh Doanh</t>
        </is>
      </c>
      <c r="D3314" s="10" t="inlineStr">
        <is>
          <t>Công ty TNHH Viễn thông IPN</t>
        </is>
      </c>
      <c r="E3314" s="10" t="inlineStr">
        <is>
          <t>Lương:10 Tr - 25 Tr VND</t>
        </is>
      </c>
      <c r="F3314" s="10" t="inlineStr">
        <is>
          <t>Hà Nội</t>
        </is>
      </c>
      <c r="G3314" s="10" t="inlineStr">
        <is>
          <t>24-03-2026</t>
        </is>
      </c>
      <c r="H3314" s="10" t="inlineStr">
        <is>
          <t>24/03/2026</t>
        </is>
      </c>
      <c r="I3314" s="10" t="inlineStr">
        <is>
          <t>17/03/2026</t>
        </is>
      </c>
      <c r="J3314" s="10" t="inlineStr">
        <is>
          <t>Bán hàng / Kinh doanh, Tư vấn, Dịch vụ khách hàng</t>
        </is>
      </c>
      <c r="K3314" s="10" t="inlineStr">
        <is>
          <t>N/A</t>
        </is>
      </c>
      <c r="L3314" s="11">
        <f>HYPERLINK("https://careerviet.vn/vi/tim-viec-lam/chuyen-vien-kinh-doanh.35C69620.html","Xem chi tiết")</f>
        <v/>
      </c>
      <c r="M3314" s="10" t="n"/>
    </row>
    <row r="3315">
      <c r="B3315" s="7" t="n">
        <v>3313</v>
      </c>
      <c r="C3315" t="inlineStr">
        <is>
          <t>Trưởng Nhóm Phát Triển Chương Trình Đào Tạo Lâm Sàng</t>
        </is>
      </c>
      <c r="D3315" t="inlineStr">
        <is>
          <t>Công ty CP Bệnh Viện Đa Khoa Quốc Tế Vinmec</t>
        </is>
      </c>
      <c r="E3315" t="inlineStr">
        <is>
          <t>Lương:Cạnh tranh</t>
        </is>
      </c>
      <c r="F3315" t="inlineStr">
        <is>
          <t>Hà Nội</t>
        </is>
      </c>
      <c r="G3315" t="inlineStr">
        <is>
          <t>08-04-2026</t>
        </is>
      </c>
      <c r="H3315" t="inlineStr">
        <is>
          <t>08/04/2026</t>
        </is>
      </c>
      <c r="I3315" t="inlineStr">
        <is>
          <t>17/03/2026</t>
        </is>
      </c>
      <c r="J3315" t="inlineStr">
        <is>
          <t>Y tế / Chăm sóc sức khỏe / Thẩm mỹ / Làm đẹp, Giáo dục / Đào tạo</t>
        </is>
      </c>
      <c r="K3315" t="inlineStr">
        <is>
          <t>5 - 6 Năm</t>
        </is>
      </c>
      <c r="L3315" s="8">
        <f>HYPERLINK("https://careerviet.vn/vi/tim-viec-lam/truong-nhom-phat-trien-chuong-trinh-dao-tao-lam-sang.35C64FFA.html","Xem chi tiết")</f>
        <v/>
      </c>
    </row>
    <row r="3316">
      <c r="B3316" s="9" t="n">
        <v>3314</v>
      </c>
      <c r="C3316" s="10" t="inlineStr">
        <is>
          <t>KẾ TOÁN TRƯỞNG</t>
        </is>
      </c>
      <c r="D3316" s="10" t="inlineStr">
        <is>
          <t>CÔNG TY CỔ PHẦN ĐẦU TƯ KINH DOANH BẤT ĐỘNG SẢN VIETNAM GROOVE</t>
        </is>
      </c>
      <c r="E3316" s="10" t="inlineStr">
        <is>
          <t>Lương:Cạnh tranh</t>
        </is>
      </c>
      <c r="F3316" s="10" t="inlineStr">
        <is>
          <t>Hồ Chí Minh</t>
        </is>
      </c>
      <c r="G3316" s="10" t="inlineStr">
        <is>
          <t>31-03-2026</t>
        </is>
      </c>
      <c r="H3316" s="10" t="inlineStr">
        <is>
          <t>31/03/2026</t>
        </is>
      </c>
      <c r="I3316" s="10" t="inlineStr">
        <is>
          <t>17/03/2026</t>
        </is>
      </c>
      <c r="J3316" s="10" t="inlineStr">
        <is>
          <t>Quản lý điều hành, Kế toán / Kiểm toán, Tài chính / Đầu tư</t>
        </is>
      </c>
      <c r="K3316" s="10" t="inlineStr">
        <is>
          <t>5 - 7 Năm</t>
        </is>
      </c>
      <c r="L3316" s="11">
        <f>HYPERLINK("https://careerviet.vn/vi/tim-viec-lam/ke-toan-truong.35C69549.html","Xem chi tiết")</f>
        <v/>
      </c>
      <c r="M3316" s="10" t="n"/>
    </row>
    <row r="3317">
      <c r="B3317" s="7" t="n">
        <v>3315</v>
      </c>
      <c r="C3317" t="inlineStr">
        <is>
          <t>Quản Lý Trung Tâm Tiếng Anh kiêm Trưởng nhóm Tuyển sinh</t>
        </is>
      </c>
      <c r="D3317" t="inlineStr">
        <is>
          <t>CÔNG TY TNHH CỐC CỐC</t>
        </is>
      </c>
      <c r="E3317" t="inlineStr">
        <is>
          <t>Lương:15 Tr - 20 Tr VND</t>
        </is>
      </c>
      <c r="F3317" t="inlineStr">
        <is>
          <t>Hà Nội</t>
        </is>
      </c>
      <c r="G3317" t="inlineStr">
        <is>
          <t>31-03-2026</t>
        </is>
      </c>
      <c r="H3317" t="inlineStr">
        <is>
          <t>31/03/2026</t>
        </is>
      </c>
      <c r="I3317" t="inlineStr">
        <is>
          <t>17/03/2026</t>
        </is>
      </c>
      <c r="J3317" t="inlineStr">
        <is>
          <t>Giáo dục / Đào tạo, Bán hàng / Kinh doanh, Quản lý điều hành</t>
        </is>
      </c>
      <c r="K3317" t="inlineStr">
        <is>
          <t>3 - 5 Năm</t>
        </is>
      </c>
      <c r="L3317" s="8">
        <f>HYPERLINK("https://careerviet.vn/vi/tim-viec-lam/quan-ly-trung-tam-tieng-anh-kiem-truong-nhom-tuyen-sinh.35C69392.html","Xem chi tiết")</f>
        <v/>
      </c>
    </row>
    <row r="3318">
      <c r="B3318" s="9" t="n">
        <v>3316</v>
      </c>
      <c r="C3318" s="10" t="inlineStr">
        <is>
          <t>[Hà Nội] Trình Dược Viên Cấp Cao kênh ETC (lĩnh vực điều trị tim mạch, đái tháo đường)</t>
        </is>
      </c>
      <c r="D3318" s="10" t="inlineStr">
        <is>
          <t>Công ty Cổ phần Dược Hậu Giang</t>
        </is>
      </c>
      <c r="E3318" s="10" t="inlineStr">
        <is>
          <t>Lương:15 Tr - 25 Tr VND</t>
        </is>
      </c>
      <c r="F3318" s="10" t="inlineStr">
        <is>
          <t>Hà Nội</t>
        </is>
      </c>
      <c r="G3318" s="10" t="inlineStr">
        <is>
          <t>24-03-2026</t>
        </is>
      </c>
      <c r="H3318" s="10" t="inlineStr">
        <is>
          <t>24/03/2026</t>
        </is>
      </c>
      <c r="I3318" s="10" t="inlineStr">
        <is>
          <t>17/03/2026</t>
        </is>
      </c>
      <c r="J3318" s="10" t="inlineStr">
        <is>
          <t>Tiếp thị / Marketing, Bán hàng / Kinh doanh, Dược phẩm/ Hóa Mỹ Phẩm</t>
        </is>
      </c>
      <c r="K3318" s="10" t="inlineStr">
        <is>
          <t>1 - 2 Năm</t>
        </is>
      </c>
      <c r="L3318" s="11">
        <f>HYPERLINK("https://careerviet.vn/vi/tim-viec-lam/ha-noi-trinh-duoc-vien-cap-cao-kenh-etc-linh-vuc-dieu-tri-tim-mach-dai-thao-duong.35C694FC.html","Xem chi tiết")</f>
        <v/>
      </c>
      <c r="M3318" s="10" t="n"/>
    </row>
    <row r="3319">
      <c r="B3319" s="7" t="n">
        <v>3317</v>
      </c>
      <c r="C3319" t="inlineStr">
        <is>
          <t>Kế toán viên</t>
        </is>
      </c>
      <c r="D3319" t="inlineStr">
        <is>
          <t>CÔNG TY CỔ PHẦN AN PHA KIM (UA FACADE)</t>
        </is>
      </c>
      <c r="E3319" t="inlineStr">
        <is>
          <t>Lương:Cạnh tranh</t>
        </is>
      </c>
      <c r="F3319" t="inlineStr">
        <is>
          <t>Hồ Chí Minh</t>
        </is>
      </c>
      <c r="G3319" t="inlineStr">
        <is>
          <t>31-03-2026</t>
        </is>
      </c>
      <c r="H3319" t="inlineStr">
        <is>
          <t>31/03/2026</t>
        </is>
      </c>
      <c r="I3319" t="inlineStr">
        <is>
          <t>17/03/2026</t>
        </is>
      </c>
      <c r="J3319" t="inlineStr">
        <is>
          <t>Kế toán / Kiểm toán, Tài chính / Đầu tư, Xây dựng</t>
        </is>
      </c>
      <c r="K3319" t="inlineStr">
        <is>
          <t>1 - 2 Năm</t>
        </is>
      </c>
      <c r="L3319" s="8">
        <f>HYPERLINK("https://careerviet.vn/vi/tim-viec-lam/ke-toan-vien.35C6954F.html","Xem chi tiết")</f>
        <v/>
      </c>
    </row>
    <row r="3320">
      <c r="B3320" s="9" t="n">
        <v>3318</v>
      </c>
      <c r="C3320" s="10" t="inlineStr">
        <is>
          <t>Trưởng Phòng Đấu Thầu</t>
        </is>
      </c>
      <c r="D3320" s="10" t="inlineStr">
        <is>
          <t>CÔNG TY CỔ PHẦN ĐẦU TƯ XÂY DỰNG NEGEN</t>
        </is>
      </c>
      <c r="E3320" s="10" t="inlineStr">
        <is>
          <t>Lương:30 Tr - 50 Tr VND</t>
        </is>
      </c>
      <c r="F3320" s="10" t="inlineStr">
        <is>
          <t>Hồ Chí MinhĐà Nẵng</t>
        </is>
      </c>
      <c r="G3320" s="10" t="inlineStr">
        <is>
          <t>25-03-2026</t>
        </is>
      </c>
      <c r="H3320" s="10" t="inlineStr">
        <is>
          <t>25/03/2026</t>
        </is>
      </c>
      <c r="I3320" s="10" t="inlineStr">
        <is>
          <t>17/03/2026</t>
        </is>
      </c>
      <c r="J3320" s="10" t="inlineStr">
        <is>
          <t>Xây dựng</t>
        </is>
      </c>
      <c r="K3320" s="10" t="inlineStr">
        <is>
          <t>5 - 10 Năm</t>
        </is>
      </c>
      <c r="L3320" s="11">
        <f>HYPERLINK("https://careerviet.vn/vi/tim-viec-lam/truong-phong-dau-thau.35C69582.html","Xem chi tiết")</f>
        <v/>
      </c>
      <c r="M3320" s="10" t="n"/>
    </row>
    <row r="3321">
      <c r="B3321" s="7" t="n">
        <v>3319</v>
      </c>
      <c r="C3321" t="inlineStr">
        <is>
          <t>QUẢN LÝ DỰ ÁN LOGISTICS</t>
        </is>
      </c>
      <c r="D3321" t="inlineStr">
        <is>
          <t>Công ty TNHH SKT Vina</t>
        </is>
      </c>
      <c r="E3321" t="inlineStr">
        <is>
          <t>Lương:13 Tr - 15 Tr VND</t>
        </is>
      </c>
      <c r="F3321" t="inlineStr">
        <is>
          <t>Hồ Chí Minh</t>
        </is>
      </c>
      <c r="G3321" t="inlineStr">
        <is>
          <t>31-03-2026</t>
        </is>
      </c>
      <c r="H3321" t="inlineStr">
        <is>
          <t>31/03/2026</t>
        </is>
      </c>
      <c r="I3321" t="inlineStr">
        <is>
          <t>17/03/2026</t>
        </is>
      </c>
      <c r="J3321" t="inlineStr">
        <is>
          <t>Vận chuyển / Giao nhận / Kho vận</t>
        </is>
      </c>
      <c r="K3321" t="inlineStr">
        <is>
          <t>Chưa có kinh nghiệm</t>
        </is>
      </c>
      <c r="L3321" s="8">
        <f>HYPERLINK("https://careerviet.vn/vi/tim-viec-lam/quan-ly-du-an-logistics.35C69556.html","Xem chi tiết")</f>
        <v/>
      </c>
    </row>
    <row r="3322">
      <c r="B3322" s="9" t="n">
        <v>3320</v>
      </c>
      <c r="C3322" s="10" t="inlineStr">
        <is>
          <t>Kỹ Sư Thiết Kế MEP (Điện / Nước / HVAC)</t>
        </is>
      </c>
      <c r="D3322" s="10" t="inlineStr">
        <is>
          <t>CÔNG TY CỔ PHẦN KỸ THUẬT CÔNG NGHỆ SÀI GÒN - TECHGEL</t>
        </is>
      </c>
      <c r="E3322" s="10" t="inlineStr">
        <is>
          <t>Lương:Cạnh tranh</t>
        </is>
      </c>
      <c r="F3322" s="10" t="inlineStr">
        <is>
          <t>Hồ Chí Minh</t>
        </is>
      </c>
      <c r="G3322" s="10" t="inlineStr">
        <is>
          <t>08-04-2026</t>
        </is>
      </c>
      <c r="H3322" s="10" t="inlineStr">
        <is>
          <t>08/04/2026</t>
        </is>
      </c>
      <c r="I3322" s="10" t="inlineStr">
        <is>
          <t>17/03/2026</t>
        </is>
      </c>
      <c r="J3322" s="10" t="inlineStr">
        <is>
          <t>Điện / Điện tử / Điện lạnh / Điện công nghiệp, Xây dựng</t>
        </is>
      </c>
      <c r="K3322" s="10" t="inlineStr">
        <is>
          <t>Trên 2 Năm</t>
        </is>
      </c>
      <c r="L3322" s="11">
        <f>HYPERLINK("https://careerviet.vn/vi/tim-viec-lam/ky-su-thiet-ke-mep-dien-nuoc-hvac.35C64F67.html","Xem chi tiết")</f>
        <v/>
      </c>
      <c r="M3322" s="10" t="n"/>
    </row>
    <row r="3323">
      <c r="B3323" s="7" t="n">
        <v>3321</v>
      </c>
      <c r="C3323" t="inlineStr">
        <is>
          <t>Giám Sát Thi Công Nội Thất</t>
        </is>
      </c>
      <c r="D3323" t="inlineStr">
        <is>
          <t>CÔNG TY TNHH KIẾN TRÚC - NỘI THẤT NAM ANH</t>
        </is>
      </c>
      <c r="E3323" t="inlineStr">
        <is>
          <t>Lương:18 Tr - 20 Tr VND</t>
        </is>
      </c>
      <c r="F3323" t="inlineStr">
        <is>
          <t>Hà Nội</t>
        </is>
      </c>
      <c r="G3323" t="inlineStr">
        <is>
          <t>25-03-2026</t>
        </is>
      </c>
      <c r="H3323" t="inlineStr">
        <is>
          <t>25/03/2026</t>
        </is>
      </c>
      <c r="I3323" t="inlineStr">
        <is>
          <t>17/03/2026</t>
        </is>
      </c>
      <c r="J3323" t="inlineStr">
        <is>
          <t>Xây dựng, Nội ngoại thất</t>
        </is>
      </c>
      <c r="K3323" t="inlineStr">
        <is>
          <t>3 - 5 Năm</t>
        </is>
      </c>
      <c r="L3323" s="8">
        <f>HYPERLINK("https://careerviet.vn/vi/tim-viec-lam/giam-sat-thi-cong-noi-that.35C695BC.html","Xem chi tiết")</f>
        <v/>
      </c>
    </row>
    <row r="3324">
      <c r="B3324" s="9" t="n">
        <v>3322</v>
      </c>
      <c r="C3324" s="10" t="inlineStr">
        <is>
          <t>[Hải Phòng] Chuyên viên Kinh doanh thị trường</t>
        </is>
      </c>
      <c r="D3324" s="10" t="inlineStr">
        <is>
          <t>Saint-Gobain Vietnam</t>
        </is>
      </c>
      <c r="E3324" s="10" t="inlineStr">
        <is>
          <t>Lương:Cạnh tranh</t>
        </is>
      </c>
      <c r="F3324" s="10" t="inlineStr">
        <is>
          <t>Hải Phòng</t>
        </is>
      </c>
      <c r="G3324" s="10" t="inlineStr">
        <is>
          <t>31-03-2026</t>
        </is>
      </c>
      <c r="H3324" s="10" t="inlineStr">
        <is>
          <t>31/03/2026</t>
        </is>
      </c>
      <c r="I3324" s="10" t="inlineStr">
        <is>
          <t>17/03/2026</t>
        </is>
      </c>
      <c r="J3324" s="10" t="inlineStr">
        <is>
          <t>Bán lẻ / Bán sỉ, Bán hàng / Kinh doanh, Xây dựng</t>
        </is>
      </c>
      <c r="K3324" s="10" t="inlineStr">
        <is>
          <t>2 - 5 Năm</t>
        </is>
      </c>
      <c r="L3324" s="11">
        <f>HYPERLINK("https://careerviet.vn/vi/tim-viec-lam/hai-phong-chuyen-vien-kinh-doanh-thi-truong.35C69294.html","Xem chi tiết")</f>
        <v/>
      </c>
      <c r="M3324" s="10" t="n"/>
    </row>
    <row r="3325">
      <c r="B3325" s="7" t="n">
        <v>3323</v>
      </c>
      <c r="C3325" t="inlineStr">
        <is>
          <t>Thiết kế thời trang (Fashion Designer)</t>
        </is>
      </c>
      <c r="D3325" t="inlineStr">
        <is>
          <t>Công ty TNHH Enzo &amp; Leo</t>
        </is>
      </c>
      <c r="E3325" t="inlineStr">
        <is>
          <t>Lương:Cạnh tranh</t>
        </is>
      </c>
      <c r="F3325" t="inlineStr">
        <is>
          <t>Hồ Chí Minh</t>
        </is>
      </c>
      <c r="G3325" t="inlineStr">
        <is>
          <t>31-03-2026</t>
        </is>
      </c>
      <c r="H3325" t="inlineStr">
        <is>
          <t>31/03/2026</t>
        </is>
      </c>
      <c r="I3325" t="inlineStr">
        <is>
          <t>17/03/2026</t>
        </is>
      </c>
      <c r="J3325" t="inlineStr">
        <is>
          <t>Dệt may / Da giày / Thời trang</t>
        </is>
      </c>
      <c r="K3325" t="inlineStr">
        <is>
          <t>3 - 5 Năm</t>
        </is>
      </c>
      <c r="L3325" s="8">
        <f>HYPERLINK("https://careerviet.vn/vi/tim-viec-lam/thiet-ke-thoi-trang-fashion-designer.35C696F1.html","Xem chi tiết")</f>
        <v/>
      </c>
    </row>
    <row r="3326">
      <c r="B3326" s="9" t="n">
        <v>3324</v>
      </c>
      <c r="C3326" s="10" t="inlineStr">
        <is>
          <t>Nhân Viên Nghiên Cứu &amp; Phát Triển PU Foam (R&amp;D PU Foam)</t>
        </is>
      </c>
      <c r="D3326" s="10" t="inlineStr">
        <is>
          <t>Công Ty TNHH Jones &amp; Vining (Việt Nam)</t>
        </is>
      </c>
      <c r="E3326" s="10" t="inlineStr">
        <is>
          <t>Lương:Cạnh tranh</t>
        </is>
      </c>
      <c r="F3326" s="10" t="inlineStr">
        <is>
          <t>Đồng Nai</t>
        </is>
      </c>
      <c r="G3326" s="10" t="inlineStr">
        <is>
          <t>24-03-2026</t>
        </is>
      </c>
      <c r="H3326" s="10" t="inlineStr">
        <is>
          <t>24/03/2026</t>
        </is>
      </c>
      <c r="I3326" s="10" t="inlineStr">
        <is>
          <t>17/03/2026</t>
        </is>
      </c>
      <c r="J3326" s="10" t="inlineStr">
        <is>
          <t>Dệt may / Da giày / Thời trang, Sản xuất / Vận hành sản xuất, Quản lý chất lượng (QA/QC)</t>
        </is>
      </c>
      <c r="K3326" s="10" t="inlineStr">
        <is>
          <t>N/A</t>
        </is>
      </c>
      <c r="L3326" s="11">
        <f>HYPERLINK("https://careerviet.vn/vi/tim-viec-lam/nhan-vien-nghien-cuu-phat-trien-pu-foam-r-d-pu-foam.35C69525.html","Xem chi tiết")</f>
        <v/>
      </c>
      <c r="M3326" s="10" t="n"/>
    </row>
    <row r="3327">
      <c r="B3327" s="7" t="n">
        <v>3325</v>
      </c>
      <c r="C3327" t="inlineStr">
        <is>
          <t>Kiến Trúc Sư Revit</t>
        </is>
      </c>
      <c r="D3327" t="inlineStr">
        <is>
          <t>CÔNG TY TNHH THIẾT KẾ HPA &amp; PARTNERS (VIÊT NAM)</t>
        </is>
      </c>
      <c r="E3327" t="inlineStr">
        <is>
          <t>Lương:Cạnh tranh</t>
        </is>
      </c>
      <c r="F3327" t="inlineStr">
        <is>
          <t>Hà NộiHồ Chí Minh</t>
        </is>
      </c>
      <c r="G3327" t="inlineStr">
        <is>
          <t>24-03-2026</t>
        </is>
      </c>
      <c r="H3327" t="inlineStr">
        <is>
          <t>24/03/2026</t>
        </is>
      </c>
      <c r="I3327" t="inlineStr">
        <is>
          <t>17/03/2026</t>
        </is>
      </c>
      <c r="J3327" t="inlineStr">
        <is>
          <t>Mỹ thuật / Nghệ thuật / Thiết kế, Kiến trúc, Xây dựng</t>
        </is>
      </c>
      <c r="K3327" t="inlineStr">
        <is>
          <t>Trên 3 Năm</t>
        </is>
      </c>
      <c r="L3327" s="8">
        <f>HYPERLINK("https://careerviet.vn/vi/tim-viec-lam/kien-truc-su-revit.35C69419.html","Xem chi tiết")</f>
        <v/>
      </c>
    </row>
    <row r="3328">
      <c r="B3328" s="9" t="n">
        <v>3326</v>
      </c>
      <c r="C3328" s="10" t="inlineStr">
        <is>
          <t>Giám Sát Thi Công Hệ Thống Cơ Điện</t>
        </is>
      </c>
      <c r="D3328" s="10" t="inlineStr">
        <is>
          <t>CÔNG TY TNHH KIẾN TRÚC - NỘI THẤT NAM ANH</t>
        </is>
      </c>
      <c r="E3328" s="10" t="inlineStr">
        <is>
          <t>Lương:19 Tr - 21 Tr VND</t>
        </is>
      </c>
      <c r="F3328" s="10" t="inlineStr">
        <is>
          <t>Hà Nội</t>
        </is>
      </c>
      <c r="G3328" s="10" t="inlineStr">
        <is>
          <t>27-03-2026</t>
        </is>
      </c>
      <c r="H3328" s="10" t="inlineStr">
        <is>
          <t>27/03/2026</t>
        </is>
      </c>
      <c r="I3328" s="10" t="inlineStr">
        <is>
          <t>17/03/2026</t>
        </is>
      </c>
      <c r="J3328" s="10" t="inlineStr">
        <is>
          <t>Điện / Điện tử / Điện lạnh / Điện công nghiệp, Kiến trúc, Xây dựng</t>
        </is>
      </c>
      <c r="K3328" s="10" t="inlineStr">
        <is>
          <t>3 - 5 Năm</t>
        </is>
      </c>
      <c r="L3328" s="11">
        <f>HYPERLINK("https://careerviet.vn/vi/tim-viec-lam/giam-sat-thi-cong-he-thong-co-dien.35C695C7.html","Xem chi tiết")</f>
        <v/>
      </c>
      <c r="M3328" s="10" t="n"/>
    </row>
    <row r="3329">
      <c r="B3329" s="7" t="n">
        <v>3327</v>
      </c>
      <c r="C3329" t="inlineStr">
        <is>
          <t>[Hà Nội] Chuyên gia/ Chuyên viên cao cấp Tuyển dụng (Yêu cầu Kinh nghiệm Ngân hàng)</t>
        </is>
      </c>
      <c r="D3329" t="inlineStr">
        <is>
          <t>Ngân hàng TMCP Lộc Phát Việt Nam (LPBank)</t>
        </is>
      </c>
      <c r="E3329" t="inlineStr">
        <is>
          <t>Lương:Cạnh tranh</t>
        </is>
      </c>
      <c r="F3329" t="inlineStr">
        <is>
          <t>Hà Nội</t>
        </is>
      </c>
      <c r="G3329" t="inlineStr">
        <is>
          <t>27-03-2026</t>
        </is>
      </c>
      <c r="H3329" t="inlineStr">
        <is>
          <t>27/03/2026</t>
        </is>
      </c>
      <c r="I3329" t="inlineStr">
        <is>
          <t>17/03/2026</t>
        </is>
      </c>
      <c r="J3329" t="inlineStr">
        <is>
          <t>Ngân hàng, Nhân sự, Tài chính / Đầu tư</t>
        </is>
      </c>
      <c r="K3329" t="inlineStr">
        <is>
          <t>N/A</t>
        </is>
      </c>
      <c r="L3329" s="8">
        <f>HYPERLINK("https://careerviet.vn/vi/tim-viec-lam/ha-noi-chuyen-gia-chuyen-vien-cao-cap-tuyen-dung-yeu-cau-kinh-nghiem-ngan-hang.35C6957A.html","Xem chi tiết")</f>
        <v/>
      </c>
    </row>
    <row r="3330">
      <c r="B3330" s="9" t="n">
        <v>3328</v>
      </c>
      <c r="C3330" s="10" t="inlineStr">
        <is>
          <t>Purchasing Staff (Nhân viên mua hàng)</t>
        </is>
      </c>
      <c r="D3330" s="10" t="inlineStr">
        <is>
          <t>CÔNG TY TNHH THƯƠNG MẠI - DỊCH VỤ - SẢN XUẤT THỜI TRANG THANH HÀ H.A</t>
        </is>
      </c>
      <c r="E3330" s="10" t="inlineStr">
        <is>
          <t>Lương:10 Tr - 15 Tr VND</t>
        </is>
      </c>
      <c r="F3330" s="10" t="inlineStr">
        <is>
          <t>Hải Dương</t>
        </is>
      </c>
      <c r="G3330" s="10" t="inlineStr">
        <is>
          <t>31-03-2026</t>
        </is>
      </c>
      <c r="H3330" s="10" t="inlineStr">
        <is>
          <t>31/03/2026</t>
        </is>
      </c>
      <c r="I3330" s="10" t="inlineStr">
        <is>
          <t>17/03/2026</t>
        </is>
      </c>
      <c r="J3330" s="10" t="inlineStr">
        <is>
          <t>Dệt may / Da giày / Thời trang, Thu mua / Vật tư, Xuất nhập khẩu</t>
        </is>
      </c>
      <c r="K3330" s="10" t="inlineStr">
        <is>
          <t>Lên đến 2 Năm</t>
        </is>
      </c>
      <c r="L3330" s="11">
        <f>HYPERLINK("https://careerviet.vn/vi/tim-viec-lam/purchasing-staff-nhan-vien-mua-hang.35C69830.html","Xem chi tiết")</f>
        <v/>
      </c>
      <c r="M3330" s="10" t="n"/>
    </row>
    <row r="3331">
      <c r="B3331" s="7" t="n">
        <v>3329</v>
      </c>
      <c r="C3331" t="inlineStr">
        <is>
          <t>Chuyên viên  Kiểm soát Kiến trúc</t>
        </is>
      </c>
      <c r="D3331" t="inlineStr">
        <is>
          <t>Công ty Cổ phần Đầu tư Thương mại Kỹ thuật A&amp;T Việt Nam</t>
        </is>
      </c>
      <c r="E3331" t="inlineStr">
        <is>
          <t>Lương:Cạnh tranh</t>
        </is>
      </c>
      <c r="F3331" t="inlineStr">
        <is>
          <t>Hà Nội</t>
        </is>
      </c>
      <c r="G3331" t="inlineStr">
        <is>
          <t>31-03-2026</t>
        </is>
      </c>
      <c r="H3331" t="inlineStr">
        <is>
          <t>31/03/2026</t>
        </is>
      </c>
      <c r="I3331" t="inlineStr">
        <is>
          <t>17/03/2026</t>
        </is>
      </c>
      <c r="J3331" t="inlineStr">
        <is>
          <t>Kiến trúc, Xây dựng, Bất động sản</t>
        </is>
      </c>
      <c r="K3331" t="inlineStr">
        <is>
          <t>5 - 10 Năm</t>
        </is>
      </c>
      <c r="L3331" s="8">
        <f>HYPERLINK("https://careerviet.vn/vi/tim-viec-lam/chuyen-vien-kiem-soat-kien-truc.35C69623.html","Xem chi tiết")</f>
        <v/>
      </c>
    </row>
    <row r="3332">
      <c r="B3332" s="9" t="n">
        <v>3330</v>
      </c>
      <c r="C3332" s="10" t="inlineStr">
        <is>
          <t>NHÂN VIÊN TỔ CHỨC HÀNH CHÁNH - THỦ QUỸ CO.OPMART PHƯỚC ĐÔNG (TÂY NINH)</t>
        </is>
      </c>
      <c r="D3332" s="10" t="inlineStr">
        <is>
          <t>Liên Hiệp HTX Thương Mại TPHCM - SAIGON CO.OP</t>
        </is>
      </c>
      <c r="E3332" s="10" t="inlineStr">
        <is>
          <t>Lương:Cạnh tranh</t>
        </is>
      </c>
      <c r="F3332" s="10" t="inlineStr">
        <is>
          <t>Tây Ninh</t>
        </is>
      </c>
      <c r="G3332" s="10" t="inlineStr">
        <is>
          <t>27-03-2026</t>
        </is>
      </c>
      <c r="H3332" s="10" t="inlineStr">
        <is>
          <t>27/03/2026</t>
        </is>
      </c>
      <c r="I3332" s="10" t="inlineStr">
        <is>
          <t>17/03/2026</t>
        </is>
      </c>
      <c r="J3332" s="10" t="inlineStr">
        <is>
          <t>Hành chính / Thư ký, Nhân sự, Luật / Pháp lý</t>
        </is>
      </c>
      <c r="K3332" s="10" t="inlineStr">
        <is>
          <t>1 - 2 Năm</t>
        </is>
      </c>
      <c r="L3332" s="11">
        <f>HYPERLINK("https://careerviet.vn/vi/tim-viec-lam/nhan-vien-to-chuc-hanh-chanh-thu-quy-co-opmart-phuoc-dong-tay-ninh.35C69490.html","Xem chi tiết")</f>
        <v/>
      </c>
      <c r="M3332" s="10" t="n"/>
    </row>
    <row r="3333">
      <c r="B3333" s="7" t="n">
        <v>3331</v>
      </c>
      <c r="C3333" t="inlineStr">
        <is>
          <t>Nhân Viên Kinh Doanh (Phỏng vấn trước Tết - Đi làm sau Tết)</t>
        </is>
      </c>
      <c r="D3333" t="inlineStr">
        <is>
          <t>0201649115</t>
        </is>
      </c>
      <c r="E3333" t="inlineStr">
        <is>
          <t>Lương:10 Tr - 50 Tr VND</t>
        </is>
      </c>
      <c r="F3333" t="inlineStr">
        <is>
          <t>Hải Phòng</t>
        </is>
      </c>
      <c r="G3333" t="inlineStr">
        <is>
          <t>5</t>
        </is>
      </c>
      <c r="H3333" t="inlineStr">
        <is>
          <t>22/03/2026</t>
        </is>
      </c>
      <c r="I3333" t="inlineStr">
        <is>
          <t>17/03/2026</t>
        </is>
      </c>
      <c r="J3333" t="inlineStr">
        <is>
          <t>Bán hàng / Kinh doanh, Tư vấn, Dầu khí</t>
        </is>
      </c>
      <c r="K3333" t="inlineStr">
        <is>
          <t>Lên đến 1 Năm</t>
        </is>
      </c>
      <c r="L3333" s="8">
        <f>HYPERLINK("https://careerviet.vn/vi/tim-viec-lam/nhan-vien-kinh-doanh-phong-van-truoc-tet-di-lam-sau-tet.35C694D0.html","Xem chi tiết")</f>
        <v/>
      </c>
    </row>
    <row r="3334">
      <c r="B3334" s="9" t="n">
        <v>3332</v>
      </c>
      <c r="C3334" s="10" t="inlineStr">
        <is>
          <t>NHÂN VIÊN QUẢN LÝ CHẤT LƯỢNG CO.OPMART ĐẮK NÔNG</t>
        </is>
      </c>
      <c r="D3334" s="10" t="inlineStr">
        <is>
          <t>Liên Hiệp HTX Thương Mại TPHCM - SAIGON CO.OP</t>
        </is>
      </c>
      <c r="E3334" s="10" t="inlineStr">
        <is>
          <t>Lương:Cạnh tranh</t>
        </is>
      </c>
      <c r="F3334" s="10" t="inlineStr">
        <is>
          <t>Lâm Đồng</t>
        </is>
      </c>
      <c r="G3334" s="10" t="inlineStr">
        <is>
          <t>27-03-2026</t>
        </is>
      </c>
      <c r="H3334" s="10" t="inlineStr">
        <is>
          <t>27/03/2026</t>
        </is>
      </c>
      <c r="I3334" s="10" t="inlineStr">
        <is>
          <t>17/03/2026</t>
        </is>
      </c>
      <c r="J3334" s="10" t="inlineStr">
        <is>
          <t>Quản lý chất lượng (QA/QC), Công nghệ sinh học, Công nghệ thực phẩm / Dinh dưỡng</t>
        </is>
      </c>
      <c r="K3334" s="10" t="inlineStr">
        <is>
          <t>Lên đến 1 Năm</t>
        </is>
      </c>
      <c r="L3334" s="11">
        <f>HYPERLINK("https://careerviet.vn/vi/tim-viec-lam/nhan-vien-quan-ly-chat-luong-co-opmart-dak-nong.35C6948B.html","Xem chi tiết")</f>
        <v/>
      </c>
      <c r="M3334" s="10" t="n"/>
    </row>
    <row r="3335">
      <c r="B3335" s="7" t="n">
        <v>3333</v>
      </c>
      <c r="C3335" t="inlineStr">
        <is>
          <t>Chủ Trì Kết Cấu</t>
        </is>
      </c>
      <c r="D3335" t="inlineStr">
        <is>
          <t>BIM Group</t>
        </is>
      </c>
      <c r="E3335" t="inlineStr">
        <is>
          <t>Lương:Cạnh tranh</t>
        </is>
      </c>
      <c r="F3335" t="inlineStr">
        <is>
          <t>Hà Nội</t>
        </is>
      </c>
      <c r="G3335" t="inlineStr">
        <is>
          <t>31-03-2026</t>
        </is>
      </c>
      <c r="H3335" t="inlineStr">
        <is>
          <t>31/03/2026</t>
        </is>
      </c>
      <c r="I3335" t="inlineStr">
        <is>
          <t>17/03/2026</t>
        </is>
      </c>
      <c r="J3335" t="inlineStr">
        <is>
          <t>Xây dựng</t>
        </is>
      </c>
      <c r="K3335" t="inlineStr">
        <is>
          <t>Trên 5 Năm</t>
        </is>
      </c>
      <c r="L3335" s="8">
        <f>HYPERLINK("https://careerviet.vn/vi/tim-viec-lam/chu-tri-ket-cau.35C69558.html","Xem chi tiết")</f>
        <v/>
      </c>
    </row>
    <row r="3336">
      <c r="B3336" s="9" t="n">
        <v>3334</v>
      </c>
      <c r="C3336" s="10" t="inlineStr">
        <is>
          <t>Trưởng Ca Sản Xuất - Ngành hàng Mì (KV Cần Thơ, Hậu Giang)</t>
        </is>
      </c>
      <c r="D3336" s="10" t="inlineStr">
        <is>
          <t>Masan Consumer</t>
        </is>
      </c>
      <c r="E3336" s="10" t="inlineStr">
        <is>
          <t>Lương:Cạnh tranh</t>
        </is>
      </c>
      <c r="F3336" s="10" t="inlineStr">
        <is>
          <t>Cần Thơ</t>
        </is>
      </c>
      <c r="G3336" s="10" t="inlineStr">
        <is>
          <t>30-04-2026</t>
        </is>
      </c>
      <c r="H3336" s="10" t="inlineStr">
        <is>
          <t>30/04/2026</t>
        </is>
      </c>
      <c r="I3336" s="10" t="inlineStr">
        <is>
          <t>17/03/2026</t>
        </is>
      </c>
      <c r="J3336" s="10" t="inlineStr">
        <is>
          <t>Công nghệ thực phẩm / Dinh dưỡng, Sản xuất / Vận hành sản xuất, Thực phẩm &amp; Đồ uống</t>
        </is>
      </c>
      <c r="K3336" s="10" t="inlineStr">
        <is>
          <t>3 - 5 Năm</t>
        </is>
      </c>
      <c r="L3336" s="11">
        <f>HYPERLINK("https://careerviet.vn/vi/tim-viec-lam/truong-ca-san-xuat-nganh-hang-mi-kv-can-tho-hau-giang.35C698B1.html","Xem chi tiết")</f>
        <v/>
      </c>
      <c r="M3336" s="10" t="n"/>
    </row>
    <row r="3337">
      <c r="B3337" s="7" t="n">
        <v>3335</v>
      </c>
      <c r="C3337" t="inlineStr">
        <is>
          <t>HSE Staff/ Nhân viên An toàn và Môi trường</t>
        </is>
      </c>
      <c r="D3337" t="inlineStr">
        <is>
          <t>Công Ty TNHH Tokuyama Việt Nam</t>
        </is>
      </c>
      <c r="E3337" t="inlineStr">
        <is>
          <t>Lương:Cạnh tranh</t>
        </is>
      </c>
      <c r="F3337" t="inlineStr">
        <is>
          <t>Bà Rịa - Vũng Tàu</t>
        </is>
      </c>
      <c r="G3337" t="inlineStr">
        <is>
          <t>31-03-2026</t>
        </is>
      </c>
      <c r="H3337" t="inlineStr">
        <is>
          <t>31/03/2026</t>
        </is>
      </c>
      <c r="I3337" t="inlineStr">
        <is>
          <t>17/03/2026</t>
        </is>
      </c>
      <c r="J3337" t="inlineStr">
        <is>
          <t>Môi trường, Hóa học</t>
        </is>
      </c>
      <c r="K3337" t="inlineStr">
        <is>
          <t>Trên 2 Năm</t>
        </is>
      </c>
      <c r="L3337" s="8">
        <f>HYPERLINK("https://careerviet.vn/vi/tim-viec-lam/hse-staff-nhan-vien-an-toan-va-moi-truong.35C6960B.html","Xem chi tiết")</f>
        <v/>
      </c>
    </row>
    <row r="3338">
      <c r="B3338" s="9" t="n">
        <v>3336</v>
      </c>
      <c r="C3338" s="10" t="inlineStr">
        <is>
          <t>Software Developer - Chuyên Frontend</t>
        </is>
      </c>
      <c r="D3338" s="10" t="inlineStr">
        <is>
          <t>BỆNH VIỆN ĐA KHOA PHƯƠNG ĐÔNG</t>
        </is>
      </c>
      <c r="E3338" s="10" t="inlineStr">
        <is>
          <t>Lương:15 Tr - 25 Tr VND</t>
        </is>
      </c>
      <c r="F3338" s="10" t="inlineStr">
        <is>
          <t>Hà Nội</t>
        </is>
      </c>
      <c r="G3338" s="10" t="inlineStr">
        <is>
          <t>24-03-2026</t>
        </is>
      </c>
      <c r="H3338" s="10" t="inlineStr">
        <is>
          <t>24/03/2026</t>
        </is>
      </c>
      <c r="I3338" s="10" t="inlineStr">
        <is>
          <t>17/03/2026</t>
        </is>
      </c>
      <c r="J3338" s="10" t="inlineStr">
        <is>
          <t>Y tế / Chăm sóc sức khỏe / Thẩm mỹ / Làm đẹp, CNTT - Phần mềm</t>
        </is>
      </c>
      <c r="K3338" s="10" t="inlineStr">
        <is>
          <t>3 - 4 Năm</t>
        </is>
      </c>
      <c r="L3338" s="11">
        <f>HYPERLINK("https://careerviet.vn/vi/tim-viec-lam/software-developer-chuyen-frontend.35C694F4.html","Xem chi tiết")</f>
        <v/>
      </c>
      <c r="M3338" s="10" t="n"/>
    </row>
    <row r="3339">
      <c r="B3339" s="7" t="n">
        <v>3337</v>
      </c>
      <c r="C3339" t="inlineStr">
        <is>
          <t>Giáo Viên Mầm Non</t>
        </is>
      </c>
      <c r="D3339" t="inlineStr">
        <is>
          <t>Công Ty TNHH Kindy City</t>
        </is>
      </c>
      <c r="E3339" t="inlineStr">
        <is>
          <t>Lương:9 Tr - 11 Tr VND</t>
        </is>
      </c>
      <c r="F3339" t="inlineStr">
        <is>
          <t>Hồ Chí Minh</t>
        </is>
      </c>
      <c r="G3339" t="inlineStr">
        <is>
          <t>24-03-2026</t>
        </is>
      </c>
      <c r="H3339" t="inlineStr">
        <is>
          <t>24/03/2026</t>
        </is>
      </c>
      <c r="I3339" t="inlineStr">
        <is>
          <t>17/03/2026</t>
        </is>
      </c>
      <c r="J3339" t="inlineStr">
        <is>
          <t>Giáo dục / Đào tạo, Mới tốt nghiệp / Thực tập</t>
        </is>
      </c>
      <c r="K3339" t="inlineStr">
        <is>
          <t>1 - 4 Năm</t>
        </is>
      </c>
      <c r="L3339" s="8">
        <f>HYPERLINK("https://careerviet.vn/vi/tim-viec-lam/giao-vien-mam-non.35C698AA.html","Xem chi tiết")</f>
        <v/>
      </c>
    </row>
    <row r="3340">
      <c r="B3340" s="9" t="n">
        <v>3338</v>
      </c>
      <c r="C3340" s="10" t="inlineStr">
        <is>
          <t>NHÂN VIÊN BẢO TRÌ</t>
        </is>
      </c>
      <c r="D3340" s="10" t="inlineStr">
        <is>
          <t>Công Ty TNHH YKK Việt Nam</t>
        </is>
      </c>
      <c r="E3340" s="10" t="inlineStr">
        <is>
          <t>Lương:8 Tr - 9,5 Tr VND</t>
        </is>
      </c>
      <c r="F3340" s="10" t="inlineStr">
        <is>
          <t>Đồng Nai</t>
        </is>
      </c>
      <c r="G3340" s="10" t="inlineStr">
        <is>
          <t>31-03-2026</t>
        </is>
      </c>
      <c r="H3340" s="10" t="inlineStr">
        <is>
          <t>31/03/2026</t>
        </is>
      </c>
      <c r="I3340" s="10" t="inlineStr">
        <is>
          <t>17/03/2026</t>
        </is>
      </c>
      <c r="J3340" s="10" t="inlineStr">
        <is>
          <t>Cơ khí / Ô tô / Tự động hóa, Bảo trì / Sửa chữa, Điện / Điện tử / Điện lạnh / Điện công nghiệp</t>
        </is>
      </c>
      <c r="K3340" s="10" t="inlineStr">
        <is>
          <t>N/A</t>
        </is>
      </c>
      <c r="L3340" s="11">
        <f>HYPERLINK("https://careerviet.vn/vi/tim-viec-lam/nhan-vien-bao-tri.35C694D1.html","Xem chi tiết")</f>
        <v/>
      </c>
      <c r="M3340" s="10" t="n"/>
    </row>
    <row r="3341">
      <c r="B3341" s="7" t="n">
        <v>3339</v>
      </c>
      <c r="C3341" t="inlineStr">
        <is>
          <t>HUMAN RESOURCES SPCIALIST</t>
        </is>
      </c>
      <c r="D3341" t="inlineStr">
        <is>
          <t>CÔNG TY TNHH MỘT THÀNH VIÊN LÝ GIA VIÊN</t>
        </is>
      </c>
      <c r="E3341" t="inlineStr">
        <is>
          <t>Lương:8 Tr - 12 Tr VND</t>
        </is>
      </c>
      <c r="F3341" t="inlineStr">
        <is>
          <t>Hồ Chí Minh</t>
        </is>
      </c>
      <c r="G3341" t="inlineStr">
        <is>
          <t>25-03-2026</t>
        </is>
      </c>
      <c r="H3341" t="inlineStr">
        <is>
          <t>25/03/2026</t>
        </is>
      </c>
      <c r="I3341" t="inlineStr">
        <is>
          <t>17/03/2026</t>
        </is>
      </c>
      <c r="J3341" t="inlineStr">
        <is>
          <t>Nhân sự, Hành chính / Thư ký, Quản lý điều hành</t>
        </is>
      </c>
      <c r="K3341" t="inlineStr">
        <is>
          <t>1 - 3 Năm</t>
        </is>
      </c>
      <c r="L3341" s="8">
        <f>HYPERLINK("https://careerviet.vn/vi/tim-viec-lam/human-resources-spcialist.35C69521.html","Xem chi tiết")</f>
        <v/>
      </c>
    </row>
    <row r="3342">
      <c r="B3342" s="9" t="n">
        <v>3340</v>
      </c>
      <c r="C3342" s="10" t="inlineStr">
        <is>
          <t>Nhân viên kho/ Warehouse Worker</t>
        </is>
      </c>
      <c r="D3342" s="10" t="inlineStr">
        <is>
          <t>CÔNG TY TNHH SEAH M&amp;S VIỆT NAM</t>
        </is>
      </c>
      <c r="E3342" s="10" t="inlineStr">
        <is>
          <t>Lương:Cạnh tranh</t>
        </is>
      </c>
      <c r="F3342" s="10" t="inlineStr">
        <is>
          <t>Bà Rịa - Vũng TàuHồ Chí Minh</t>
        </is>
      </c>
      <c r="G3342" s="10" t="inlineStr">
        <is>
          <t>25-03-2026</t>
        </is>
      </c>
      <c r="H3342" s="10" t="inlineStr">
        <is>
          <t>25/03/2026</t>
        </is>
      </c>
      <c r="I3342" s="10" t="inlineStr">
        <is>
          <t>17/03/2026</t>
        </is>
      </c>
      <c r="J3342" s="10" t="inlineStr">
        <is>
          <t>Sản xuất / Vận hành sản xuất, Vận chuyển / Giao nhận / Kho vận</t>
        </is>
      </c>
      <c r="K3342" s="10" t="inlineStr">
        <is>
          <t>1 - 3 Năm</t>
        </is>
      </c>
      <c r="L3342" s="11">
        <f>HYPERLINK("https://careerviet.vn/vi/tim-viec-lam/nhan-vien-kho-warehouse-worker.35C6950C.html","Xem chi tiết")</f>
        <v/>
      </c>
      <c r="M3342" s="10" t="n"/>
    </row>
    <row r="3343">
      <c r="B3343" s="7" t="n">
        <v>3341</v>
      </c>
      <c r="C3343" t="inlineStr">
        <is>
          <t>126184 - Accounting Staff - Trading</t>
        </is>
      </c>
      <c r="D3343" t="inlineStr">
        <is>
          <t>RGF HR Agent Vietnam Co., LTD</t>
        </is>
      </c>
      <c r="E3343" t="inlineStr">
        <is>
          <t>Lương:Cạnh tranh</t>
        </is>
      </c>
      <c r="F3343" t="inlineStr">
        <is>
          <t>Hồ Chí Minh</t>
        </is>
      </c>
      <c r="G3343" t="inlineStr">
        <is>
          <t>10-03-2026</t>
        </is>
      </c>
      <c r="H3343" t="inlineStr">
        <is>
          <t>12/03/2026</t>
        </is>
      </c>
      <c r="I3343" t="inlineStr">
        <is>
          <t>17/03/2026</t>
        </is>
      </c>
      <c r="J3343" t="inlineStr">
        <is>
          <t>Kế toán / Kiểm toán</t>
        </is>
      </c>
      <c r="K3343" t="inlineStr">
        <is>
          <t>5 - 7 Năm</t>
        </is>
      </c>
      <c r="L3343" s="8">
        <f>HYPERLINK("https://careerviet.vn/vi/tim-viec-lam/126184-accounting-staff-trading.35C69792.html","Xem chi tiết")</f>
        <v/>
      </c>
    </row>
    <row r="3344">
      <c r="B3344" s="9" t="n">
        <v>3342</v>
      </c>
      <c r="C3344" s="10" t="inlineStr">
        <is>
          <t>Chuyên viên Kế toán Tổng hợp  (Size cty &lt; 50 người, Làm Việc Tại Quận 7 )</t>
        </is>
      </c>
      <c r="D3344" s="10" t="inlineStr">
        <is>
          <t>Công Ty TNHH Laser Ưu Việt (OLAS)</t>
        </is>
      </c>
      <c r="E3344" s="10" t="inlineStr">
        <is>
          <t>Lương:Cạnh tranh</t>
        </is>
      </c>
      <c r="F3344" s="10" t="inlineStr">
        <is>
          <t>Hồ Chí Minh</t>
        </is>
      </c>
      <c r="G3344" s="10" t="inlineStr">
        <is>
          <t>24-03-2026</t>
        </is>
      </c>
      <c r="H3344" s="10" t="inlineStr">
        <is>
          <t>24/03/2026</t>
        </is>
      </c>
      <c r="I3344" s="10" t="inlineStr">
        <is>
          <t>17/03/2026</t>
        </is>
      </c>
      <c r="J3344" s="10" t="inlineStr">
        <is>
          <t>Kế toán / Kiểm toán, Tài chính / Đầu tư</t>
        </is>
      </c>
      <c r="K3344" s="10" t="inlineStr">
        <is>
          <t>5 - 10 Năm</t>
        </is>
      </c>
      <c r="L3344" s="11">
        <f>HYPERLINK("https://careerviet.vn/vi/tim-viec-lam/chuyen-vien-ke-toan-tong-hop-size-cty-50-nguoi-lam-viec-tai-quan-7.35C695B3.html","Xem chi tiết")</f>
        <v/>
      </c>
      <c r="M3344" s="10" t="n"/>
    </row>
    <row r="3345">
      <c r="B3345" s="7" t="n">
        <v>3343</v>
      </c>
      <c r="C3345" t="inlineStr">
        <is>
          <t>Clinic Consultant (Tư vấn viên) – GLO365 | Việt Nam &amp; UAE (Dubai, Abu Dhabi)</t>
        </is>
      </c>
      <c r="D3345" t="inlineStr">
        <is>
          <t>GLO365 CLINIC</t>
        </is>
      </c>
      <c r="E3345" t="inlineStr">
        <is>
          <t>Lương:Cạnh tranh</t>
        </is>
      </c>
      <c r="F3345" t="inlineStr">
        <is>
          <t>Hồ Chí Minh</t>
        </is>
      </c>
      <c r="G3345" t="inlineStr">
        <is>
          <t>25-04-2026</t>
        </is>
      </c>
      <c r="H3345" t="inlineStr">
        <is>
          <t>25/04/2026</t>
        </is>
      </c>
      <c r="I3345" t="inlineStr">
        <is>
          <t>17/03/2026</t>
        </is>
      </c>
      <c r="J3345" t="inlineStr">
        <is>
          <t>Y tế / Chăm sóc sức khỏe / Thẩm mỹ / Làm đẹp</t>
        </is>
      </c>
      <c r="K3345" t="inlineStr">
        <is>
          <t>N/A</t>
        </is>
      </c>
      <c r="L3345" s="8">
        <f>HYPERLINK("https://careerviet.vn/vi/tim-viec-lam/clinic-consultant-tu-van-vien-glo365-viet-nam-uae-dubai-abu-dhabi.35C695B9.html","Xem chi tiết")</f>
        <v/>
      </c>
    </row>
    <row r="3346">
      <c r="B3346" s="9" t="n">
        <v>3344</v>
      </c>
      <c r="C3346" s="10" t="inlineStr">
        <is>
          <t>Trưởng nhóm Hành chính Nhân sự 27672 - KCN Khai Quang, Vĩnh Phúc</t>
        </is>
      </c>
      <c r="D3346" s="10" t="inlineStr">
        <is>
          <t>Công Ty TNHH Reeracoen Việt Nam</t>
        </is>
      </c>
      <c r="E3346" s="10" t="inlineStr">
        <is>
          <t>Lương:11 Tr - 13 Tr VND</t>
        </is>
      </c>
      <c r="F3346" s="10" t="inlineStr">
        <is>
          <t>Vĩnh Phúc</t>
        </is>
      </c>
      <c r="G3346" s="10" t="inlineStr">
        <is>
          <t>25-03-2026</t>
        </is>
      </c>
      <c r="H3346" s="10" t="inlineStr">
        <is>
          <t>25/03/2026</t>
        </is>
      </c>
      <c r="I3346" s="10" t="inlineStr">
        <is>
          <t>17/03/2026</t>
        </is>
      </c>
      <c r="J3346" s="10" t="inlineStr">
        <is>
          <t>Hành chính / Thư ký, Nhân sự, Quản lý điều hành</t>
        </is>
      </c>
      <c r="K3346" s="10" t="inlineStr">
        <is>
          <t>Trên 3 Năm</t>
        </is>
      </c>
      <c r="L3346" s="11">
        <f>HYPERLINK("https://careerviet.vn/vi/tim-viec-lam/truong-nhom-hanh-chinh-nhan-su-27672-kcn-khai-quang-vinh-phuc.35C69706.html","Xem chi tiết")</f>
        <v/>
      </c>
      <c r="M3346" s="10" t="n"/>
    </row>
    <row r="3347">
      <c r="B3347" s="7" t="n">
        <v>3345</v>
      </c>
      <c r="C3347" t="inlineStr">
        <is>
          <t>Nhân Viên Kỹ Thuật</t>
        </is>
      </c>
      <c r="D3347" t="inlineStr">
        <is>
          <t>Công Ty TNHH Thiết Bị Công Nghệ Hải Long</t>
        </is>
      </c>
      <c r="E3347" t="inlineStr">
        <is>
          <t>Lương:Cạnh tranh</t>
        </is>
      </c>
      <c r="F3347" t="inlineStr">
        <is>
          <t>Hồ Chí Minh</t>
        </is>
      </c>
      <c r="G3347" t="inlineStr">
        <is>
          <t>24-03-2026</t>
        </is>
      </c>
      <c r="H3347" t="inlineStr">
        <is>
          <t>24/03/2026</t>
        </is>
      </c>
      <c r="I3347" t="inlineStr">
        <is>
          <t>17/03/2026</t>
        </is>
      </c>
      <c r="J3347" t="inlineStr">
        <is>
          <t>Cơ khí / Ô tô / Tự động hóa, Điện / Điện tử / Điện lạnh / Điện công nghiệp</t>
        </is>
      </c>
      <c r="K3347" t="inlineStr">
        <is>
          <t>1 - 3 Năm</t>
        </is>
      </c>
      <c r="L3347" s="8">
        <f>HYPERLINK("https://careerviet.vn/vi/tim-viec-lam/nhan-vien-ky-thuat.35C6988B.html","Xem chi tiết")</f>
        <v/>
      </c>
    </row>
    <row r="3348">
      <c r="B3348" s="9" t="n">
        <v>3346</v>
      </c>
      <c r="C3348" s="10" t="inlineStr">
        <is>
          <t>Chuyên viên Tuyển dụng</t>
        </is>
      </c>
      <c r="D3348" s="10" t="inlineStr">
        <is>
          <t>CÔNG TY CỔ PHẦN TẬP ĐOÀN VIANCO</t>
        </is>
      </c>
      <c r="E3348" s="10" t="inlineStr">
        <is>
          <t>Lương:11 Tr - 15 Tr VND</t>
        </is>
      </c>
      <c r="F3348" s="10" t="inlineStr">
        <is>
          <t>Hà Nội</t>
        </is>
      </c>
      <c r="G3348" s="10" t="inlineStr">
        <is>
          <t>30-04-2026</t>
        </is>
      </c>
      <c r="H3348" s="10" t="inlineStr">
        <is>
          <t>30/04/2026</t>
        </is>
      </c>
      <c r="I3348" s="10" t="inlineStr">
        <is>
          <t>17/03/2026</t>
        </is>
      </c>
      <c r="J3348" s="10" t="inlineStr">
        <is>
          <t>Nhân sự, Sản xuất / Vận hành sản xuất, Xuất nhập khẩu</t>
        </is>
      </c>
      <c r="K3348" s="10" t="inlineStr">
        <is>
          <t>2 - 3 Năm</t>
        </is>
      </c>
      <c r="L3348" s="11">
        <f>HYPERLINK("https://careerviet.vn/vi/tim-viec-lam/chuyen-vien-tuyen-dung.35C6967D.html","Xem chi tiết")</f>
        <v/>
      </c>
      <c r="M3348" s="10" t="n"/>
    </row>
    <row r="3349">
      <c r="B3349" s="7" t="n">
        <v>3347</v>
      </c>
      <c r="C3349" t="inlineStr">
        <is>
          <t>INSPECTOR (Garment/Textile) - Giám Định Viên Ngành Dệt May</t>
        </is>
      </c>
      <c r="D3349" t="inlineStr">
        <is>
          <t>Chi nhánh CÔNG TY TNHH INTERTEK VIỆT NAM</t>
        </is>
      </c>
      <c r="E3349" t="inlineStr">
        <is>
          <t>Lương:Cạnh tranh</t>
        </is>
      </c>
      <c r="F3349" t="inlineStr">
        <is>
          <t>Hồ Chí Minh</t>
        </is>
      </c>
      <c r="G3349" t="inlineStr">
        <is>
          <t>25-03-2026</t>
        </is>
      </c>
      <c r="H3349" t="inlineStr">
        <is>
          <t>25/03/2026</t>
        </is>
      </c>
      <c r="I3349" t="inlineStr">
        <is>
          <t>17/03/2026</t>
        </is>
      </c>
      <c r="J3349" t="inlineStr">
        <is>
          <t>Dệt may / Da giày / Thời trang, Quản lý chất lượng (QA/QC)</t>
        </is>
      </c>
      <c r="K3349" t="inlineStr">
        <is>
          <t>Trên 5 Năm</t>
        </is>
      </c>
      <c r="L3349" s="8">
        <f>HYPERLINK("https://careerviet.vn/vi/tim-viec-lam/inspector-garment-textile-giam-dinh-vien-nganh-det-may.35C6981D.html","Xem chi tiết")</f>
        <v/>
      </c>
    </row>
    <row r="3350">
      <c r="B3350" s="9" t="n">
        <v>3348</v>
      </c>
      <c r="C3350" s="10" t="inlineStr">
        <is>
          <t>Nhân Viên Kinh Doanh Nguyên Liệu, Phụ Gia Thức Ăn Chăn Nuôi (Feed)</t>
        </is>
      </c>
      <c r="D3350" s="10" t="inlineStr">
        <is>
          <t>An Huy Trading Co. Ltd</t>
        </is>
      </c>
      <c r="E3350" s="10" t="inlineStr">
        <is>
          <t>Lương:20 Tr - 30 Tr VND</t>
        </is>
      </c>
      <c r="F3350" s="10" t="inlineStr">
        <is>
          <t>Hồ Chí Minh</t>
        </is>
      </c>
      <c r="G3350" s="10" t="inlineStr">
        <is>
          <t>30-03-2026</t>
        </is>
      </c>
      <c r="H3350" s="10" t="inlineStr">
        <is>
          <t>30/03/2026</t>
        </is>
      </c>
      <c r="I3350" s="10" t="inlineStr">
        <is>
          <t>17/03/2026</t>
        </is>
      </c>
      <c r="J3350" s="10" t="inlineStr">
        <is>
          <t>Bán hàng / Kinh doanh, Quản lý điều hành, Chăn nuôi / Thú y</t>
        </is>
      </c>
      <c r="K3350" s="10" t="inlineStr">
        <is>
          <t>2 - 15 Năm</t>
        </is>
      </c>
      <c r="L3350" s="11">
        <f>HYPERLINK("https://careerviet.vn/vi/tim-viec-lam/nhan-vien-kinh-doanh-nguyen-lieu-phu-gia-thuc-an-chan-nuoi-feed.35C40D8C.html","Xem chi tiết")</f>
        <v/>
      </c>
      <c r="M3350" s="10" t="n"/>
    </row>
    <row r="3351">
      <c r="B3351" s="7" t="n">
        <v>3349</v>
      </c>
      <c r="C3351" t="inlineStr">
        <is>
          <t>Kỹ Thuật Viên Vận Hành Máy</t>
        </is>
      </c>
      <c r="D3351" t="inlineStr">
        <is>
          <t>Masan Consumer</t>
        </is>
      </c>
      <c r="E3351" t="inlineStr">
        <is>
          <t>Lương:Trên 12 Tr VND</t>
        </is>
      </c>
      <c r="F3351" t="inlineStr">
        <is>
          <t>Hải Dương</t>
        </is>
      </c>
      <c r="G3351" t="inlineStr">
        <is>
          <t>30-04-2026</t>
        </is>
      </c>
      <c r="H3351" t="inlineStr">
        <is>
          <t>30/04/2026</t>
        </is>
      </c>
      <c r="I3351" t="inlineStr">
        <is>
          <t>17/03/2026</t>
        </is>
      </c>
      <c r="J3351" t="inlineStr">
        <is>
          <t>Sản xuất / Vận hành sản xuất</t>
        </is>
      </c>
      <c r="K3351" t="inlineStr">
        <is>
          <t>1 - 2 Năm</t>
        </is>
      </c>
      <c r="L3351" s="8">
        <f>HYPERLINK("https://careerviet.vn/vi/tim-viec-lam/ky-thuat-vien-van-hanh-may.35C6BFBD.html","Xem chi tiết")</f>
        <v/>
      </c>
    </row>
    <row r="3352">
      <c r="B3352" s="9" t="n">
        <v>3350</v>
      </c>
      <c r="C3352" s="10" t="inlineStr">
        <is>
          <t>[Đại học Phenikaa] Tuyển dụng Chuyên viên Đổi mới sáng tạo - Ban Công tác sinh viên và Khởi nghiệp</t>
        </is>
      </c>
      <c r="D3352" s="10" t="inlineStr">
        <is>
          <t>ĐẠI HỌC PHENIKAA</t>
        </is>
      </c>
      <c r="E3352" s="10" t="inlineStr">
        <is>
          <t>Lương:Cạnh tranh</t>
        </is>
      </c>
      <c r="F3352" s="10" t="inlineStr">
        <is>
          <t>Hà Nội</t>
        </is>
      </c>
      <c r="G3352" s="10" t="inlineStr">
        <is>
          <t>30-03-2026</t>
        </is>
      </c>
      <c r="H3352" s="10" t="inlineStr">
        <is>
          <t>30/03/2026</t>
        </is>
      </c>
      <c r="I3352" s="10" t="inlineStr">
        <is>
          <t>17/03/2026</t>
        </is>
      </c>
      <c r="J3352" s="10" t="inlineStr">
        <is>
          <t>Giáo dục / Đào tạo</t>
        </is>
      </c>
      <c r="K3352" s="10" t="inlineStr">
        <is>
          <t>1 - 2 Năm</t>
        </is>
      </c>
      <c r="L3352" s="11">
        <f>HYPERLINK("https://careerviet.vn/vi/tim-viec-lam/dai-hoc-phenikaa-tuyen-dung-chuyen-vien-doi-moi-sang-tao-ban-cong-tac-sinh-vien-va-khoi-nghiep.35C6981B.html","Xem chi tiết")</f>
        <v/>
      </c>
      <c r="M3352" s="10" t="n"/>
    </row>
    <row r="3353">
      <c r="B3353" s="7" t="n">
        <v>3351</v>
      </c>
      <c r="C3353" t="inlineStr">
        <is>
          <t>TRƯỞNG PHÒNG TỔ CHỨC HÀNH CHÍNH</t>
        </is>
      </c>
      <c r="D3353" t="inlineStr">
        <is>
          <t>Công Ty Cổ Phần Bao Bì Đạm Phú Mỹ</t>
        </is>
      </c>
      <c r="E3353" t="inlineStr">
        <is>
          <t>Lương:30 Tr - 40 Tr VND</t>
        </is>
      </c>
      <c r="F3353" t="inlineStr">
        <is>
          <t>Bà Rịa - Vũng Tàu</t>
        </is>
      </c>
      <c r="G3353" t="inlineStr">
        <is>
          <t>10-04-2026</t>
        </is>
      </c>
      <c r="H3353" t="inlineStr">
        <is>
          <t>10/04/2026</t>
        </is>
      </c>
      <c r="I3353" t="inlineStr">
        <is>
          <t>17/03/2026</t>
        </is>
      </c>
      <c r="J3353" t="inlineStr">
        <is>
          <t>Nhân sự, Hành chính / Thư ký, Quản lý điều hành</t>
        </is>
      </c>
      <c r="K3353" t="inlineStr">
        <is>
          <t>Trên 5 Năm</t>
        </is>
      </c>
      <c r="L3353" s="8">
        <f>HYPERLINK("https://careerviet.vn/vi/tim-viec-lam/truong-phong-to-chuc-hanh-chinh.35C6BFAD.html","Xem chi tiết")</f>
        <v/>
      </c>
    </row>
    <row r="3354">
      <c r="B3354" s="9" t="n">
        <v>3352</v>
      </c>
      <c r="C3354" s="10" t="inlineStr">
        <is>
          <t>Kế Toán Nội Bộ</t>
        </is>
      </c>
      <c r="D3354" s="10" t="inlineStr">
        <is>
          <t>CÔNG TY CỔ PHẦN DỊCH VỤ QUẢN LÝ BẤT ĐỘNG SẢN NHÀ XANH SMG</t>
        </is>
      </c>
      <c r="E3354" s="10" t="inlineStr">
        <is>
          <t>Lương:10 Tr - 14 Tr VND</t>
        </is>
      </c>
      <c r="F3354" s="10" t="inlineStr">
        <is>
          <t>Hồ Chí Minh</t>
        </is>
      </c>
      <c r="G3354" s="10" t="inlineStr">
        <is>
          <t>25-03-2026</t>
        </is>
      </c>
      <c r="H3354" s="10" t="inlineStr">
        <is>
          <t>25/03/2026</t>
        </is>
      </c>
      <c r="I3354" s="10" t="inlineStr">
        <is>
          <t>17/03/2026</t>
        </is>
      </c>
      <c r="J3354" s="10" t="inlineStr">
        <is>
          <t>Kế toán / Kiểm toán, Tài chính / Đầu tư, Luật / Pháp lý</t>
        </is>
      </c>
      <c r="K3354" s="10" t="inlineStr">
        <is>
          <t>Trên 1 Năm</t>
        </is>
      </c>
      <c r="L3354" s="11">
        <f>HYPERLINK("https://careerviet.vn/vi/tim-viec-lam/ke-toa-n-no-i-bo.35C6988D.html","Xem chi tiết")</f>
        <v/>
      </c>
      <c r="M3354" s="10" t="n"/>
    </row>
    <row r="3355">
      <c r="B3355" s="7" t="n">
        <v>3353</v>
      </c>
      <c r="C3355" t="inlineStr">
        <is>
          <t>Kỹ Sư Cơ Khí</t>
        </is>
      </c>
      <c r="D3355" t="inlineStr">
        <is>
          <t>Masan Consumer</t>
        </is>
      </c>
      <c r="E3355" t="inlineStr">
        <is>
          <t>Lương:Trên 15 Tr VND</t>
        </is>
      </c>
      <c r="F3355" t="inlineStr">
        <is>
          <t>Hải Dương</t>
        </is>
      </c>
      <c r="G3355" t="inlineStr">
        <is>
          <t>30-04-2026</t>
        </is>
      </c>
      <c r="H3355" t="inlineStr">
        <is>
          <t>30/04/2026</t>
        </is>
      </c>
      <c r="I3355" t="inlineStr">
        <is>
          <t>17/03/2026</t>
        </is>
      </c>
      <c r="J3355" t="inlineStr">
        <is>
          <t>Cơ khí / Ô tô / Tự động hóa</t>
        </is>
      </c>
      <c r="K3355" t="inlineStr">
        <is>
          <t>2 - 3 Năm</t>
        </is>
      </c>
      <c r="L3355" s="8">
        <f>HYPERLINK("https://careerviet.vn/vi/tim-viec-lam/ky-su-co-khi.35C6BFBB.html","Xem chi tiết")</f>
        <v/>
      </c>
    </row>
    <row r="3356">
      <c r="B3356" s="9" t="n">
        <v>3354</v>
      </c>
      <c r="C3356" s="10" t="inlineStr">
        <is>
          <t>Tổ Trưởng Sản Xuất</t>
        </is>
      </c>
      <c r="D3356" s="10" t="inlineStr">
        <is>
          <t>Masan Consumer</t>
        </is>
      </c>
      <c r="E3356" s="10" t="inlineStr">
        <is>
          <t>Lương:Trên 15 Tr VND</t>
        </is>
      </c>
      <c r="F3356" s="10" t="inlineStr">
        <is>
          <t>Hải Dương</t>
        </is>
      </c>
      <c r="G3356" s="10" t="inlineStr">
        <is>
          <t>30-04-2026</t>
        </is>
      </c>
      <c r="H3356" s="10" t="inlineStr">
        <is>
          <t>30/04/2026</t>
        </is>
      </c>
      <c r="I3356" s="10" t="inlineStr">
        <is>
          <t>17/03/2026</t>
        </is>
      </c>
      <c r="J3356" s="10" t="inlineStr">
        <is>
          <t>Thực phẩm &amp; Đồ uống, Bảo trì / Sửa chữa, Sản xuất / Vận hành sản xuất</t>
        </is>
      </c>
      <c r="K3356" s="10" t="inlineStr">
        <is>
          <t>1 - 2 Năm</t>
        </is>
      </c>
      <c r="L3356" s="11">
        <f>HYPERLINK("https://careerviet.vn/vi/tim-viec-lam/to-truong-san-xuat.35C6BFB0.html","Xem chi tiết")</f>
        <v/>
      </c>
      <c r="M3356" s="10" t="n"/>
    </row>
    <row r="3357">
      <c r="B3357" s="7" t="n">
        <v>3355</v>
      </c>
      <c r="C3357" t="inlineStr">
        <is>
          <t>128615 - HSE Supervisor/ Giám sát HSE - Foods</t>
        </is>
      </c>
      <c r="D3357" t="inlineStr">
        <is>
          <t>RGF HR Agent Vietnam Co., LTD</t>
        </is>
      </c>
      <c r="E3357" t="inlineStr">
        <is>
          <t>Lương:Trên 21 Tr VND</t>
        </is>
      </c>
      <c r="F3357" t="inlineStr">
        <is>
          <t>Hồ Chí Minh</t>
        </is>
      </c>
      <c r="G3357" t="inlineStr">
        <is>
          <t>31-03-2026</t>
        </is>
      </c>
      <c r="H3357" t="inlineStr">
        <is>
          <t>31/03/2026</t>
        </is>
      </c>
      <c r="I3357" t="inlineStr">
        <is>
          <t>17/03/2026</t>
        </is>
      </c>
      <c r="J3357" t="inlineStr">
        <is>
          <t>Công nghệ thực phẩm / Dinh dưỡng, Thực phẩm &amp; Đồ uống, An toàn lao động</t>
        </is>
      </c>
      <c r="K3357" t="inlineStr">
        <is>
          <t>3 - 4 Năm</t>
        </is>
      </c>
      <c r="L3357" s="8">
        <f>HYPERLINK("https://careerviet.vn/vi/tim-viec-lam/128615-hse-supervisor-giam-sat-hse-foods.35C6BFB8.html","Xem chi tiết")</f>
        <v/>
      </c>
    </row>
    <row r="3358">
      <c r="B3358" s="9" t="n">
        <v>3356</v>
      </c>
      <c r="C3358" s="10" t="inlineStr">
        <is>
          <t>Nhân viên nghiên cứu phát triển sản phẩm</t>
        </is>
      </c>
      <c r="D3358" s="10" t="inlineStr">
        <is>
          <t>Công Ty Cổ Phần Dược Phẩm 2/9</t>
        </is>
      </c>
      <c r="E3358" s="10" t="inlineStr">
        <is>
          <t>Lương:Cạnh tranh</t>
        </is>
      </c>
      <c r="F3358" s="10" t="inlineStr">
        <is>
          <t>Hồ Chí Minh</t>
        </is>
      </c>
      <c r="G3358" s="10" t="inlineStr">
        <is>
          <t>10-04-2026</t>
        </is>
      </c>
      <c r="H3358" s="10" t="inlineStr">
        <is>
          <t>10/04/2026</t>
        </is>
      </c>
      <c r="I3358" s="10" t="inlineStr">
        <is>
          <t>17/03/2026</t>
        </is>
      </c>
      <c r="J3358" s="10" t="inlineStr">
        <is>
          <t>Dược phẩm/ Hóa Mỹ Phẩm, Y tế / Chăm sóc sức khỏe / Thẩm mỹ / Làm đẹp, Quản lý chất lượng (QA/QC)</t>
        </is>
      </c>
      <c r="K3358" s="10" t="inlineStr">
        <is>
          <t>1 - 5 Năm</t>
        </is>
      </c>
      <c r="L3358" s="11">
        <f>HYPERLINK("https://careerviet.vn/vi/tim-viec-lam/nhan-vien-nghien-cuu-phat-trien-san-pham.35C6BFAB.html","Xem chi tiết")</f>
        <v/>
      </c>
      <c r="M3358" s="10" t="n"/>
    </row>
    <row r="3359">
      <c r="B3359" s="7" t="n">
        <v>3357</v>
      </c>
      <c r="C3359" t="inlineStr">
        <is>
          <t>TRƯỞNG NHÓM CHUYỂN ĐỔI SỐ</t>
        </is>
      </c>
      <c r="D3359" t="inlineStr">
        <is>
          <t>Visingpack Packing Industries Ltd.</t>
        </is>
      </c>
      <c r="E3359" t="inlineStr">
        <is>
          <t>Lương:Cạnh tranh</t>
        </is>
      </c>
      <c r="F3359" t="inlineStr">
        <is>
          <t>Hồ Chí Minh</t>
        </is>
      </c>
      <c r="G3359" t="inlineStr">
        <is>
          <t>10-04-2026</t>
        </is>
      </c>
      <c r="H3359" t="inlineStr">
        <is>
          <t>10/04/2026</t>
        </is>
      </c>
      <c r="I3359" t="inlineStr">
        <is>
          <t>17/03/2026</t>
        </is>
      </c>
      <c r="J3359" t="inlineStr">
        <is>
          <t>CNTT - Phần mềm</t>
        </is>
      </c>
      <c r="K3359" t="inlineStr">
        <is>
          <t>3 - 5 Năm</t>
        </is>
      </c>
      <c r="L3359" s="8">
        <f>HYPERLINK("https://careerviet.vn/vi/tim-viec-lam/truong-nhom-chuyen-doi-so.35C6BFB3.html","Xem chi tiết")</f>
        <v/>
      </c>
    </row>
    <row r="3360">
      <c r="B3360" s="9" t="n">
        <v>3358</v>
      </c>
      <c r="C3360" s="10" t="inlineStr">
        <is>
          <t>Kế Toán Sản Xuất</t>
        </is>
      </c>
      <c r="D3360" s="10" t="inlineStr">
        <is>
          <t>CÔNG TY CỔ PHẦN VÀNG BẠC ĐÁ QUÝ LỘC PHÚC</t>
        </is>
      </c>
      <c r="E3360" s="10" t="inlineStr">
        <is>
          <t>Lương:8 Tr - 11 Tr VND</t>
        </is>
      </c>
      <c r="F3360" s="10" t="inlineStr">
        <is>
          <t>Hồ Chí Minh</t>
        </is>
      </c>
      <c r="G3360" s="10" t="inlineStr">
        <is>
          <t>3</t>
        </is>
      </c>
      <c r="H3360" s="10" t="inlineStr">
        <is>
          <t>20/03/2026</t>
        </is>
      </c>
      <c r="I3360" s="10" t="inlineStr">
        <is>
          <t>17/03/2026</t>
        </is>
      </c>
      <c r="J3360" s="10" t="inlineStr">
        <is>
          <t>Kế toán / Kiểm toán</t>
        </is>
      </c>
      <c r="K3360" s="10" t="inlineStr">
        <is>
          <t>1 - 3 Năm</t>
        </is>
      </c>
      <c r="L3360" s="11">
        <f>HYPERLINK("https://careerviet.vn/vi/tim-viec-lam/ke-toan-san-xuat.35C6BF88.html","Xem chi tiết")</f>
        <v/>
      </c>
      <c r="M3360" s="10" t="n"/>
    </row>
    <row r="3361">
      <c r="B3361" s="7" t="n">
        <v>3359</v>
      </c>
      <c r="C3361" t="inlineStr">
        <is>
          <t>[Đà Nẵng] Business Development - HORECA</t>
        </is>
      </c>
      <c r="D3361" t="inlineStr">
        <is>
          <t>Coca-Cola Beverages Vietnam</t>
        </is>
      </c>
      <c r="E3361" t="inlineStr">
        <is>
          <t>Lương:Cạnh tranh</t>
        </is>
      </c>
      <c r="F3361" t="inlineStr">
        <is>
          <t>Đà Nẵng</t>
        </is>
      </c>
      <c r="G3361" t="inlineStr">
        <is>
          <t>30-04-2026</t>
        </is>
      </c>
      <c r="H3361" t="inlineStr">
        <is>
          <t>30/04/2026</t>
        </is>
      </c>
      <c r="I3361" t="inlineStr">
        <is>
          <t>17/03/2026</t>
        </is>
      </c>
      <c r="J3361" t="inlineStr">
        <is>
          <t>Bán hàng / Kinh doanh</t>
        </is>
      </c>
      <c r="K3361" t="inlineStr">
        <is>
          <t>N/A</t>
        </is>
      </c>
      <c r="L3361" s="8">
        <f>HYPERLINK("https://careerviet.vn/vi/tim-viec-lam/da-nang-business-development-horeca.35C6BFB1.html","Xem chi tiết")</f>
        <v/>
      </c>
    </row>
    <row r="3362">
      <c r="B3362" s="9" t="n">
        <v>3360</v>
      </c>
      <c r="C3362" s="10" t="inlineStr">
        <is>
          <t>Kỹ sư dự toán</t>
        </is>
      </c>
      <c r="D3362" s="10" t="inlineStr">
        <is>
          <t>CÔNG TY TNHH ĐẦU TƯ CHUYỂN GIAO CÔNG NGHỆ TOÀN CẦU</t>
        </is>
      </c>
      <c r="E3362" s="10" t="inlineStr">
        <is>
          <t>Lương:12 Tr - 15 Tr VND</t>
        </is>
      </c>
      <c r="F3362" s="10" t="inlineStr">
        <is>
          <t>Hồ Chí Minh</t>
        </is>
      </c>
      <c r="G3362" s="10" t="inlineStr">
        <is>
          <t>11-04-2026</t>
        </is>
      </c>
      <c r="H3362" s="10" t="inlineStr">
        <is>
          <t>11/04/2026</t>
        </is>
      </c>
      <c r="I3362" s="10" t="inlineStr">
        <is>
          <t>17/03/2026</t>
        </is>
      </c>
      <c r="J3362" s="10" t="inlineStr">
        <is>
          <t>Điện / Điện tử / Điện lạnh / Điện công nghiệp, Cơ khí / Ô tô / Tự động hóa, Quản lý chất lượng (QA/QC)</t>
        </is>
      </c>
      <c r="K3362" s="10" t="inlineStr">
        <is>
          <t>1 - 3 Năm</t>
        </is>
      </c>
      <c r="L3362" s="11">
        <f>HYPERLINK("https://careerviet.vn/vi/tim-viec-lam/ky-su-du-toan.35C6BFB2.html","Xem chi tiết")</f>
        <v/>
      </c>
      <c r="M3362" s="10" t="n"/>
    </row>
    <row r="3363">
      <c r="B3363" s="7" t="n">
        <v>3361</v>
      </c>
      <c r="C3363" t="inlineStr">
        <is>
          <t>NHÂN VIÊN QC KIÊM PHIÊN DỊCH</t>
        </is>
      </c>
      <c r="D3363" t="inlineStr">
        <is>
          <t>DRB Việt Nam</t>
        </is>
      </c>
      <c r="E3363" t="inlineStr">
        <is>
          <t>Lương:Cạnh tranh</t>
        </is>
      </c>
      <c r="F3363" t="inlineStr">
        <is>
          <t>Bình Dương</t>
        </is>
      </c>
      <c r="G3363" t="inlineStr">
        <is>
          <t>10-04-2026</t>
        </is>
      </c>
      <c r="H3363" t="inlineStr">
        <is>
          <t>10/04/2026</t>
        </is>
      </c>
      <c r="I3363" t="inlineStr">
        <is>
          <t>17/03/2026</t>
        </is>
      </c>
      <c r="J3363" t="inlineStr">
        <is>
          <t>Biên phiên dịch, Quản lý chất lượng (QA/QC), Sản xuất / Vận hành sản xuất</t>
        </is>
      </c>
      <c r="K3363" t="inlineStr">
        <is>
          <t>N/A</t>
        </is>
      </c>
      <c r="L3363" s="8">
        <f>HYPERLINK("https://careerviet.vn/vi/tim-viec-lam/nhan-vien-qc-kiem-phien-dich.35C6BF65.html","Xem chi tiết")</f>
        <v/>
      </c>
    </row>
    <row r="3364">
      <c r="B3364" s="9" t="n">
        <v>3362</v>
      </c>
      <c r="C3364" s="10" t="inlineStr">
        <is>
          <t>Thợ bánh chính/ Chef de Partie (Laminated Dough, Croissant, Viennoiserie, Bread)</t>
        </is>
      </c>
      <c r="D3364" s="10" t="inlineStr">
        <is>
          <t>Viet Thai International</t>
        </is>
      </c>
      <c r="E3364" s="10" t="inlineStr">
        <is>
          <t>Lương:Cạnh tranh</t>
        </is>
      </c>
      <c r="F3364" s="10" t="inlineStr">
        <is>
          <t>Bình Dương</t>
        </is>
      </c>
      <c r="G3364" s="10" t="inlineStr">
        <is>
          <t>11-04-2026</t>
        </is>
      </c>
      <c r="H3364" s="10" t="inlineStr">
        <is>
          <t>11/04/2026</t>
        </is>
      </c>
      <c r="I3364" s="10" t="inlineStr">
        <is>
          <t>17/03/2026</t>
        </is>
      </c>
      <c r="J3364" s="10" t="inlineStr">
        <is>
          <t>Nhà hàng / Khách sạn, Thực phẩm &amp; Đồ uống</t>
        </is>
      </c>
      <c r="K3364" s="10" t="inlineStr">
        <is>
          <t>4 - 6 Năm</t>
        </is>
      </c>
      <c r="L3364" s="11">
        <f>HYPERLINK("https://careerviet.vn/vi/tim-viec-lam/tho-banh-chinh-chef-de-partie-laminated-dough-croissant-viennoiserie-bread.35C6BF92.html","Xem chi tiết")</f>
        <v/>
      </c>
      <c r="M3364" s="10" t="n"/>
    </row>
    <row r="3365">
      <c r="B3365" s="7" t="n">
        <v>3363</v>
      </c>
      <c r="C3365" t="inlineStr">
        <is>
          <t>Security Engineer (An Ninh Hệ Thống)</t>
        </is>
      </c>
      <c r="D3365" t="inlineStr">
        <is>
          <t>ATAD Steel Structure Corporation</t>
        </is>
      </c>
      <c r="E3365" t="inlineStr">
        <is>
          <t>Lương:25 Tr - 30 Tr VND</t>
        </is>
      </c>
      <c r="F3365" t="inlineStr">
        <is>
          <t>Hồ Chí Minh</t>
        </is>
      </c>
      <c r="G3365" t="inlineStr">
        <is>
          <t>30-04-2026</t>
        </is>
      </c>
      <c r="H3365" t="inlineStr">
        <is>
          <t>30/04/2026</t>
        </is>
      </c>
      <c r="I3365" t="inlineStr">
        <is>
          <t>17/03/2026</t>
        </is>
      </c>
      <c r="J3365" t="inlineStr">
        <is>
          <t>CNTT - Phần mềm, CNTT - Phần cứng / Mạng</t>
        </is>
      </c>
      <c r="K3365" t="inlineStr">
        <is>
          <t>Chưa có kinh nghiệm</t>
        </is>
      </c>
      <c r="L3365" s="8">
        <f>HYPERLINK("https://careerviet.vn/vi/tim-viec-lam/security-engineer-an-ninh-he-thong.35C6BFA2.html","Xem chi tiết")</f>
        <v/>
      </c>
    </row>
    <row r="3366">
      <c r="B3366" s="9" t="n">
        <v>3364</v>
      </c>
      <c r="C3366" s="10" t="inlineStr">
        <is>
          <t>HCM - Account Executive Planning - MT Off</t>
        </is>
      </c>
      <c r="D3366" s="10" t="inlineStr">
        <is>
          <t>Coca-Cola Beverages Vietnam</t>
        </is>
      </c>
      <c r="E3366" s="10" t="inlineStr">
        <is>
          <t>Lương:Cạnh tranh</t>
        </is>
      </c>
      <c r="F3366" s="10" t="inlineStr">
        <is>
          <t>Hồ Chí Minh</t>
        </is>
      </c>
      <c r="G3366" s="10" t="inlineStr">
        <is>
          <t>30-04-2026</t>
        </is>
      </c>
      <c r="H3366" s="10" t="inlineStr">
        <is>
          <t>30/04/2026</t>
        </is>
      </c>
      <c r="I3366" s="10" t="inlineStr">
        <is>
          <t>17/03/2026</t>
        </is>
      </c>
      <c r="J3366" s="10" t="inlineStr">
        <is>
          <t>Bán hàng / Kinh doanh</t>
        </is>
      </c>
      <c r="K3366" s="10" t="inlineStr">
        <is>
          <t>3 - 5 Năm</t>
        </is>
      </c>
      <c r="L3366" s="11">
        <f>HYPERLINK("https://careerviet.vn/vi/tim-viec-lam/hcm-account-executive-planning-mt-off.35C6BFAF.html","Xem chi tiết")</f>
        <v/>
      </c>
      <c r="M3366" s="10" t="n"/>
    </row>
    <row r="3367">
      <c r="B3367" s="7" t="n">
        <v>3365</v>
      </c>
      <c r="C3367" t="inlineStr">
        <is>
          <t>Trưởng Dự Án Kết Cấu Thép</t>
        </is>
      </c>
      <c r="D3367" t="inlineStr">
        <is>
          <t>ATAD Steel Structure Corporation</t>
        </is>
      </c>
      <c r="E3367" t="inlineStr">
        <is>
          <t>Lương:Cạnh tranh</t>
        </is>
      </c>
      <c r="F3367" t="inlineStr">
        <is>
          <t>Hà NộiHải PhòngQuảng Bình</t>
        </is>
      </c>
      <c r="G3367" t="inlineStr">
        <is>
          <t>11-04-2026</t>
        </is>
      </c>
      <c r="H3367" t="inlineStr">
        <is>
          <t>11/04/2026</t>
        </is>
      </c>
      <c r="I3367" t="inlineStr">
        <is>
          <t>17/03/2026</t>
        </is>
      </c>
      <c r="J3367" t="inlineStr">
        <is>
          <t>Cơ khí / Ô tô / Tự động hóa, Sản xuất / Vận hành sản xuất, Xây dựng</t>
        </is>
      </c>
      <c r="K3367" t="inlineStr">
        <is>
          <t>7 - 10 Năm</t>
        </is>
      </c>
      <c r="L3367" s="8">
        <f>HYPERLINK("https://careerviet.vn/vi/tim-viec-lam/truong-du-an-ket-cau-thep.35C6BF69.html","Xem chi tiết")</f>
        <v/>
      </c>
    </row>
    <row r="3368">
      <c r="B3368" s="9" t="n">
        <v>3366</v>
      </c>
      <c r="C3368" s="10" t="inlineStr">
        <is>
          <t>KIẾN TRÚC SƯ (Phú Quốc)</t>
        </is>
      </c>
      <c r="D3368" s="10" t="inlineStr">
        <is>
          <t>CÔNG TY CP ĐẦU TƯ, THIẾT KẾ VÀ XÂY DỰNG ĐÔNG NAM</t>
        </is>
      </c>
      <c r="E3368" s="10" t="inlineStr">
        <is>
          <t>Lương:20 Tr - 35 Tr VND</t>
        </is>
      </c>
      <c r="F3368" s="10" t="inlineStr">
        <is>
          <t>Kiên Giang</t>
        </is>
      </c>
      <c r="G3368" s="10" t="inlineStr">
        <is>
          <t>31-05-2026</t>
        </is>
      </c>
      <c r="H3368" s="10" t="inlineStr">
        <is>
          <t>31/05/2026</t>
        </is>
      </c>
      <c r="I3368" s="10" t="inlineStr">
        <is>
          <t>17/03/2026</t>
        </is>
      </c>
      <c r="J3368" s="10" t="inlineStr">
        <is>
          <t>Kiến trúc, Nội ngoại thất, Xây dựng</t>
        </is>
      </c>
      <c r="K3368" s="10" t="inlineStr">
        <is>
          <t>Lên đến 2 Năm</t>
        </is>
      </c>
      <c r="L3368" s="11">
        <f>HYPERLINK("https://careerviet.vn/vi/tim-viec-lam/kien-truc-su-phu-quoc.35C6BE6E.html","Xem chi tiết")</f>
        <v/>
      </c>
      <c r="M3368" s="10" t="n"/>
    </row>
    <row r="3369">
      <c r="B3369" s="7" t="n">
        <v>3367</v>
      </c>
      <c r="C3369" t="inlineStr">
        <is>
          <t>Chỉ Huy Trưởng Công Trình</t>
        </is>
      </c>
      <c r="D3369" t="inlineStr">
        <is>
          <t>ATAD Steel Structure Corporation</t>
        </is>
      </c>
      <c r="E3369" t="inlineStr">
        <is>
          <t>Lương:Cạnh tranh</t>
        </is>
      </c>
      <c r="F3369" t="inlineStr">
        <is>
          <t>Hà NộiBắc NinhHải Phòng</t>
        </is>
      </c>
      <c r="G3369" t="inlineStr">
        <is>
          <t>11-04-2026</t>
        </is>
      </c>
      <c r="H3369" t="inlineStr">
        <is>
          <t>11/04/2026</t>
        </is>
      </c>
      <c r="I3369" t="inlineStr">
        <is>
          <t>17/03/2026</t>
        </is>
      </c>
      <c r="J3369" t="inlineStr">
        <is>
          <t>Cơ khí / Ô tô / Tự động hóa, Kiến trúc, Xây dựng</t>
        </is>
      </c>
      <c r="K3369" t="inlineStr">
        <is>
          <t>5 - 15 Năm</t>
        </is>
      </c>
      <c r="L3369" s="8">
        <f>HYPERLINK("https://careerviet.vn/vi/tim-viec-lam/chi-huy-truong-cong-trinh.35C6BF7B.html","Xem chi tiết")</f>
        <v/>
      </c>
    </row>
    <row r="3370">
      <c r="B3370" s="9" t="n">
        <v>3368</v>
      </c>
      <c r="C3370" s="10" t="inlineStr">
        <is>
          <t>Kỹ Sư Giám Sát Công Trường</t>
        </is>
      </c>
      <c r="D3370" s="10" t="inlineStr">
        <is>
          <t>Công ty Cổ phần Giải pháp Tự động hóa ETEK</t>
        </is>
      </c>
      <c r="E3370" s="10" t="inlineStr">
        <is>
          <t>Lương:Cạnh tranh</t>
        </is>
      </c>
      <c r="F3370" s="10" t="inlineStr">
        <is>
          <t>Hà NộiHồ Chí Minh</t>
        </is>
      </c>
      <c r="G3370" s="10" t="inlineStr">
        <is>
          <t>11-04-2026</t>
        </is>
      </c>
      <c r="H3370" s="10" t="inlineStr">
        <is>
          <t>11/04/2026</t>
        </is>
      </c>
      <c r="I3370" s="10" t="inlineStr">
        <is>
          <t>17/03/2026</t>
        </is>
      </c>
      <c r="J3370" s="10" t="inlineStr">
        <is>
          <t>Xây dựng, Kiến trúc, Quản lý điều hành</t>
        </is>
      </c>
      <c r="K3370" s="10" t="inlineStr">
        <is>
          <t>Trên 2 Năm</t>
        </is>
      </c>
      <c r="L3370" s="11">
        <f>HYPERLINK("https://careerviet.vn/vi/tim-viec-lam/ky-su-giam-sat-cong-truong.35C6BF55.html","Xem chi tiết")</f>
        <v/>
      </c>
      <c r="M3370" s="10" t="n"/>
    </row>
    <row r="3371">
      <c r="B3371" s="7" t="n">
        <v>3369</v>
      </c>
      <c r="C3371" t="inlineStr">
        <is>
          <t>Nhân Viên Kinh doanh</t>
        </is>
      </c>
      <c r="D3371" t="inlineStr">
        <is>
          <t>CÔNG TY TNHH DƯỢC PHẨM THÚ Y THỊNH VƯỢNG</t>
        </is>
      </c>
      <c r="E3371" t="inlineStr">
        <is>
          <t>Lương:15 Tr - 30 Tr VND</t>
        </is>
      </c>
      <c r="F3371" t="inlineStr">
        <is>
          <t>Hồ Chí MinhHà NộiThanh Hóa</t>
        </is>
      </c>
      <c r="G3371" t="inlineStr">
        <is>
          <t>11-04-2026</t>
        </is>
      </c>
      <c r="H3371" t="inlineStr">
        <is>
          <t>11/04/2026</t>
        </is>
      </c>
      <c r="I3371" t="inlineStr">
        <is>
          <t>17/03/2026</t>
        </is>
      </c>
      <c r="J3371" t="inlineStr">
        <is>
          <t>Chăn nuôi / Thú y, Dược phẩm/ Hóa Mỹ Phẩm, Bán hàng / Kinh doanh</t>
        </is>
      </c>
      <c r="K3371" t="inlineStr">
        <is>
          <t>3 - 10 Năm</t>
        </is>
      </c>
      <c r="L3371" s="8">
        <f>HYPERLINK("https://careerviet.vn/vi/tim-viec-lam/nhan-vien-kinh-doanh.35C6BF80.html","Xem chi tiết")</f>
        <v/>
      </c>
    </row>
    <row r="3372">
      <c r="B3372" s="9" t="n">
        <v>3370</v>
      </c>
      <c r="C3372" s="10" t="inlineStr">
        <is>
          <t>Nhân viên Kế hoạch tổng hợp</t>
        </is>
      </c>
      <c r="D3372" s="10" t="inlineStr">
        <is>
          <t>Tổng Công ty Cổ phần Công trình Viettel</t>
        </is>
      </c>
      <c r="E3372" s="10" t="inlineStr">
        <is>
          <t>Lương:16 Tr - 20 Tr VND</t>
        </is>
      </c>
      <c r="F3372" s="10" t="inlineStr">
        <is>
          <t>Hà Nội</t>
        </is>
      </c>
      <c r="G3372" s="10" t="inlineStr">
        <is>
          <t>30-03-2026</t>
        </is>
      </c>
      <c r="H3372" s="10" t="inlineStr">
        <is>
          <t>30/03/2026</t>
        </is>
      </c>
      <c r="I3372" s="10" t="inlineStr">
        <is>
          <t>17/03/2026</t>
        </is>
      </c>
      <c r="J3372" s="10" t="inlineStr">
        <is>
          <t>Hành chính / Thư ký, Xây dựng</t>
        </is>
      </c>
      <c r="K3372" s="10" t="inlineStr">
        <is>
          <t>3 - 4 Năm</t>
        </is>
      </c>
      <c r="L3372" s="11">
        <f>HYPERLINK("https://careerviet.vn/vi/tim-viec-lam/nhan-vien-ke-hoach-tong-hop.35C6BF6A.html","Xem chi tiết")</f>
        <v/>
      </c>
      <c r="M3372" s="10" t="n"/>
    </row>
    <row r="3373">
      <c r="B3373" s="7" t="n">
        <v>3371</v>
      </c>
      <c r="C3373" t="inlineStr">
        <is>
          <t>Giám Sát Thi Công Kết Cấu Thép</t>
        </is>
      </c>
      <c r="D3373" t="inlineStr">
        <is>
          <t>ATAD Steel Structure Corporation</t>
        </is>
      </c>
      <c r="E3373" t="inlineStr">
        <is>
          <t>Lương:Cạnh tranh</t>
        </is>
      </c>
      <c r="F3373" t="inlineStr">
        <is>
          <t>Hà NộiHưng YênKhánh Hòa</t>
        </is>
      </c>
      <c r="G3373" t="inlineStr">
        <is>
          <t>23-04-2026</t>
        </is>
      </c>
      <c r="H3373" t="inlineStr">
        <is>
          <t>23/04/2026</t>
        </is>
      </c>
      <c r="I3373" t="inlineStr">
        <is>
          <t>17/03/2026</t>
        </is>
      </c>
      <c r="J3373" t="inlineStr">
        <is>
          <t>Xây dựng, Kiến trúc, Cơ khí / Ô tô / Tự động hóa</t>
        </is>
      </c>
      <c r="K3373" t="inlineStr">
        <is>
          <t>1 - 5 Năm</t>
        </is>
      </c>
      <c r="L3373" s="8">
        <f>HYPERLINK("https://careerviet.vn/vi/tim-viec-lam/giam-sat-thi-cong-ket-cau-thep.35C6BF62.html","Xem chi tiết")</f>
        <v/>
      </c>
    </row>
    <row r="3374">
      <c r="B3374" s="9" t="n">
        <v>3372</v>
      </c>
      <c r="C3374" s="10" t="inlineStr">
        <is>
          <t>Digital Marketing Manager</t>
        </is>
      </c>
      <c r="D3374" s="10" t="inlineStr">
        <is>
          <t>Công ty cổ phần Jadovie</t>
        </is>
      </c>
      <c r="E3374" s="10" t="inlineStr">
        <is>
          <t>Lương:25 Tr - 40 Tr VND</t>
        </is>
      </c>
      <c r="F3374" s="10" t="inlineStr">
        <is>
          <t>Hồ Chí Minh</t>
        </is>
      </c>
      <c r="G3374" s="10" t="inlineStr">
        <is>
          <t>11-04-2026</t>
        </is>
      </c>
      <c r="H3374" s="10" t="inlineStr">
        <is>
          <t>11/04/2026</t>
        </is>
      </c>
      <c r="I3374" s="10" t="inlineStr">
        <is>
          <t>17/03/2026</t>
        </is>
      </c>
      <c r="J3374" s="10" t="inlineStr">
        <is>
          <t>Tiếp thị / Marketing, Quản lý điều hành, Quảng cáo / Đối ngoại / Truyền Thông</t>
        </is>
      </c>
      <c r="K3374" s="10" t="inlineStr">
        <is>
          <t>3 - 5 Năm</t>
        </is>
      </c>
      <c r="L3374" s="11">
        <f>HYPERLINK("https://careerviet.vn/vi/tim-viec-lam/digital-marketing-manager.35C6BF51.html","Xem chi tiết")</f>
        <v/>
      </c>
      <c r="M3374" s="10" t="n"/>
    </row>
    <row r="3375">
      <c r="B3375" s="7" t="n">
        <v>3373</v>
      </c>
      <c r="C3375" t="inlineStr">
        <is>
          <t>Description – Sales Executive (Corporate Clients)</t>
        </is>
      </c>
      <c r="D3375" t="inlineStr">
        <is>
          <t>YOUNG-INH CORPORATION</t>
        </is>
      </c>
      <c r="E3375" t="inlineStr">
        <is>
          <t>Lương:Cạnh tranh</t>
        </is>
      </c>
      <c r="F3375" t="inlineStr">
        <is>
          <t>Hồ Chí Minh</t>
        </is>
      </c>
      <c r="G3375" t="inlineStr">
        <is>
          <t>11-04-2026</t>
        </is>
      </c>
      <c r="H3375" t="inlineStr">
        <is>
          <t>11/04/2026</t>
        </is>
      </c>
      <c r="I3375" t="inlineStr">
        <is>
          <t>17/03/2026</t>
        </is>
      </c>
      <c r="J3375" t="inlineStr">
        <is>
          <t>Bán hàng / Kinh doanh, Thương mại điện tử, Tiếp thị / Marketing</t>
        </is>
      </c>
      <c r="K3375" t="inlineStr">
        <is>
          <t>Trên 2 Năm</t>
        </is>
      </c>
      <c r="L3375" s="8">
        <f>HYPERLINK("https://careerviet.vn/vi/tim-viec-lam/description-sales-executive-corporate-clients.35C6BEB9.html","Xem chi tiết")</f>
        <v/>
      </c>
    </row>
    <row r="3376">
      <c r="B3376" s="9" t="n">
        <v>3374</v>
      </c>
      <c r="C3376" s="10" t="inlineStr">
        <is>
          <t>Nhân Viên Phòng Tổng Vụ</t>
        </is>
      </c>
      <c r="D3376" s="10" t="inlineStr">
        <is>
          <t>Công Ty TNHH Harada Industries Việt Nam</t>
        </is>
      </c>
      <c r="E3376" s="10" t="inlineStr">
        <is>
          <t>Lương:Cạnh tranh</t>
        </is>
      </c>
      <c r="F3376" s="10" t="inlineStr">
        <is>
          <t>Đồng Nai</t>
        </is>
      </c>
      <c r="G3376" s="10" t="inlineStr">
        <is>
          <t>11-04-2026</t>
        </is>
      </c>
      <c r="H3376" s="10" t="inlineStr">
        <is>
          <t>11/04/2026</t>
        </is>
      </c>
      <c r="I3376" s="10" t="inlineStr">
        <is>
          <t>17/03/2026</t>
        </is>
      </c>
      <c r="J3376" s="10" t="inlineStr">
        <is>
          <t>Hành chính / Thư ký, Nhân sự, Ngành khác</t>
        </is>
      </c>
      <c r="K3376" s="10" t="inlineStr">
        <is>
          <t>Trên 2 Năm</t>
        </is>
      </c>
      <c r="L3376" s="11">
        <f>HYPERLINK("https://careerviet.vn/vi/tim-viec-lam/nhan-vien-phong-tong-vu.35C6BF48.html","Xem chi tiết")</f>
        <v/>
      </c>
      <c r="M3376" s="10" t="n"/>
    </row>
    <row r="3377">
      <c r="B3377" s="7" t="n">
        <v>3375</v>
      </c>
      <c r="C3377" t="inlineStr">
        <is>
          <t>128608 - Site Engineer - Construction</t>
        </is>
      </c>
      <c r="D3377" t="inlineStr">
        <is>
          <t>RGF HR Agent Vietnam Co., LTD</t>
        </is>
      </c>
      <c r="E3377" t="inlineStr">
        <is>
          <t>Lương:20 Tr - 25 Tr VND</t>
        </is>
      </c>
      <c r="F3377" t="inlineStr">
        <is>
          <t>Hồ Chí Minh</t>
        </is>
      </c>
      <c r="G3377" t="inlineStr">
        <is>
          <t>31-03-2026</t>
        </is>
      </c>
      <c r="H3377" t="inlineStr">
        <is>
          <t>31/03/2026</t>
        </is>
      </c>
      <c r="I3377" t="inlineStr">
        <is>
          <t>17/03/2026</t>
        </is>
      </c>
      <c r="J3377" t="inlineStr">
        <is>
          <t>Xây dựng, Kiến trúc</t>
        </is>
      </c>
      <c r="K3377" t="inlineStr">
        <is>
          <t>3 - 4 Năm</t>
        </is>
      </c>
      <c r="L3377" s="8">
        <f>HYPERLINK("https://careerviet.vn/vi/tim-viec-lam/128608-site-engineer-construction.35C6BF7A.html","Xem chi tiết")</f>
        <v/>
      </c>
    </row>
    <row r="3378">
      <c r="B3378" s="9" t="n">
        <v>3376</v>
      </c>
      <c r="C3378" s="10" t="inlineStr">
        <is>
          <t>Sales Executives</t>
        </is>
      </c>
      <c r="D3378" s="10" t="inlineStr">
        <is>
          <t>YOUNG-INH CORPORATION</t>
        </is>
      </c>
      <c r="E3378" s="10" t="inlineStr">
        <is>
          <t>Lương:Cạnh tranh</t>
        </is>
      </c>
      <c r="F3378" s="10" t="inlineStr">
        <is>
          <t>Hồ Chí Minh</t>
        </is>
      </c>
      <c r="G3378" s="10" t="inlineStr">
        <is>
          <t>11-04-2026</t>
        </is>
      </c>
      <c r="H3378" s="10" t="inlineStr">
        <is>
          <t>11/04/2026</t>
        </is>
      </c>
      <c r="I3378" s="10" t="inlineStr">
        <is>
          <t>17/03/2026</t>
        </is>
      </c>
      <c r="J3378" s="10" t="inlineStr">
        <is>
          <t>Bán hàng / Kinh doanh, Xuất nhập khẩu, Hóa học</t>
        </is>
      </c>
      <c r="K3378" s="10" t="inlineStr">
        <is>
          <t>N/A</t>
        </is>
      </c>
      <c r="L3378" s="11">
        <f>HYPERLINK("https://careerviet.vn/vi/tim-viec-lam/sales-executives.35C6BEB6.html","Xem chi tiết")</f>
        <v/>
      </c>
      <c r="M3378" s="10" t="n"/>
    </row>
    <row r="3379">
      <c r="B3379" s="7" t="n">
        <v>3377</v>
      </c>
      <c r="C3379" t="inlineStr">
        <is>
          <t>Warehouse Assistant - HCM</t>
        </is>
      </c>
      <c r="D3379" t="inlineStr">
        <is>
          <t>S.F. EXPRESS LTD.</t>
        </is>
      </c>
      <c r="E3379" t="inlineStr">
        <is>
          <t>Lương:13 Tr - 16 Tr VND</t>
        </is>
      </c>
      <c r="F3379" t="inlineStr">
        <is>
          <t>Hồ Chí Minh</t>
        </is>
      </c>
      <c r="G3379" t="inlineStr">
        <is>
          <t>30-04-2026</t>
        </is>
      </c>
      <c r="H3379" t="inlineStr">
        <is>
          <t>30/04/2026</t>
        </is>
      </c>
      <c r="I3379" t="inlineStr">
        <is>
          <t>17/03/2026</t>
        </is>
      </c>
      <c r="J3379" t="inlineStr">
        <is>
          <t>Vận chuyển / Giao nhận / Kho vận, Xuất nhập khẩu, Dịch vụ khách hàng</t>
        </is>
      </c>
      <c r="K3379" t="inlineStr">
        <is>
          <t>2 - 5 Năm</t>
        </is>
      </c>
      <c r="L3379" s="8">
        <f>HYPERLINK("https://careerviet.vn/vi/tim-viec-lam/warehouse-assistant-hcm.35C6BF34.html","Xem chi tiết")</f>
        <v/>
      </c>
    </row>
    <row r="3380">
      <c r="B3380" s="9" t="n">
        <v>3378</v>
      </c>
      <c r="C3380" s="10" t="inlineStr">
        <is>
          <t>KỸ THUẬT VIÊN TÀU BAY/ MECHANIC</t>
        </is>
      </c>
      <c r="D3380" s="10" t="inlineStr">
        <is>
          <t>CÔNG TY TNHH DỊCH VỤ BẢO DƯỠNG MÁY BAY CHKMN</t>
        </is>
      </c>
      <c r="E3380" s="10" t="inlineStr">
        <is>
          <t>Lương:Cạnh tranh</t>
        </is>
      </c>
      <c r="F3380" s="10" t="inlineStr">
        <is>
          <t>Hà NộiĐồng Nai</t>
        </is>
      </c>
      <c r="G3380" s="10" t="inlineStr">
        <is>
          <t>15-04-2026</t>
        </is>
      </c>
      <c r="H3380" s="10" t="inlineStr">
        <is>
          <t>15/04/2026</t>
        </is>
      </c>
      <c r="I3380" s="10" t="inlineStr">
        <is>
          <t>17/03/2026</t>
        </is>
      </c>
      <c r="J3380" s="10" t="inlineStr">
        <is>
          <t>Hàng không, Cơ khí / Ô tô / Tự động hóa, Bảo trì / Sửa chữa</t>
        </is>
      </c>
      <c r="K3380" s="10" t="inlineStr">
        <is>
          <t>1 - 2 Năm</t>
        </is>
      </c>
      <c r="L3380" s="11">
        <f>HYPERLINK("https://careerviet.vn/vi/tim-viec-lam/ky-thuat-vien-tau-bay-mechanic.35C6BF4F.html","Xem chi tiết")</f>
        <v/>
      </c>
      <c r="M3380" s="10" t="n"/>
    </row>
    <row r="3381">
      <c r="B3381" s="7" t="n">
        <v>3379</v>
      </c>
      <c r="C3381" t="inlineStr">
        <is>
          <t>Chuyên viên QS (công trường)</t>
        </is>
      </c>
      <c r="D3381" t="inlineStr">
        <is>
          <t>CÔNG TY CỔ PHẦN ĐẦU TƯ ĐỊA ỐC VẠN PHÚC</t>
        </is>
      </c>
      <c r="E3381" t="inlineStr">
        <is>
          <t>Lương:Cạnh tranh</t>
        </is>
      </c>
      <c r="F3381" t="inlineStr">
        <is>
          <t>Hồ Chí Minh</t>
        </is>
      </c>
      <c r="G3381" t="inlineStr">
        <is>
          <t>29-04-2026</t>
        </is>
      </c>
      <c r="H3381" t="inlineStr">
        <is>
          <t>29/04/2026</t>
        </is>
      </c>
      <c r="I3381" t="inlineStr">
        <is>
          <t>17/03/2026</t>
        </is>
      </c>
      <c r="J3381" t="inlineStr">
        <is>
          <t>Xây dựng, Bất động sản</t>
        </is>
      </c>
      <c r="K3381" t="inlineStr">
        <is>
          <t>2 - 10 Năm</t>
        </is>
      </c>
      <c r="L3381" s="8">
        <f>HYPERLINK("https://careerviet.vn/vi/tim-viec-lam/chuyen-vien-qs-cong-truong.35C6BF46.html","Xem chi tiết")</f>
        <v/>
      </c>
    </row>
    <row r="3382">
      <c r="B3382" s="9" t="n">
        <v>3380</v>
      </c>
      <c r="C3382" s="10" t="inlineStr">
        <is>
          <t>Giám đốc Công ty Điện solar, trung thế (chủ đầu tư) đi làm ngay</t>
        </is>
      </c>
      <c r="D3382" s="10" t="inlineStr">
        <is>
          <t>Công Ty CP Đầu Tư IMG</t>
        </is>
      </c>
      <c r="E3382" s="10" t="inlineStr">
        <is>
          <t>Lương:45 Tr - 55 Tr VND</t>
        </is>
      </c>
      <c r="F3382" s="10" t="inlineStr">
        <is>
          <t>Long An</t>
        </is>
      </c>
      <c r="G3382" s="10" t="inlineStr">
        <is>
          <t>31-03-2026</t>
        </is>
      </c>
      <c r="H3382" s="10" t="inlineStr">
        <is>
          <t>31/03/2026</t>
        </is>
      </c>
      <c r="I3382" s="10" t="inlineStr">
        <is>
          <t>17/03/2026</t>
        </is>
      </c>
      <c r="J3382" s="10" t="inlineStr">
        <is>
          <t>Xây dựng, Bất động sản, Điện / Điện tử / Điện lạnh / Điện công nghiệp</t>
        </is>
      </c>
      <c r="K3382" s="10" t="inlineStr">
        <is>
          <t>10 - 20 Năm</t>
        </is>
      </c>
      <c r="L3382" s="11">
        <f>HYPERLINK("https://careerviet.vn/vi/tim-viec-lam/giam-doc-cong-ty-dien-solar-trung-the-chu-dau-tu-di-lam-ngay.35C6BED6.html","Xem chi tiết")</f>
        <v/>
      </c>
      <c r="M3382" s="10" t="n"/>
    </row>
    <row r="3383">
      <c r="B3383" s="7" t="n">
        <v>3381</v>
      </c>
      <c r="C3383" t="inlineStr">
        <is>
          <t>THỦ KHO - VẬT TƯ Y TẾ</t>
        </is>
      </c>
      <c r="D3383" t="inlineStr">
        <is>
          <t>Kitapida Mediphar Co., Ltd</t>
        </is>
      </c>
      <c r="E3383" t="inlineStr">
        <is>
          <t>Lương:10 Tr - 15 Tr VND</t>
        </is>
      </c>
      <c r="F3383" t="inlineStr">
        <is>
          <t>Hồ Chí Minh</t>
        </is>
      </c>
      <c r="G3383" t="inlineStr">
        <is>
          <t>10-04-2026</t>
        </is>
      </c>
      <c r="H3383" t="inlineStr">
        <is>
          <t>10/04/2026</t>
        </is>
      </c>
      <c r="I3383" t="inlineStr">
        <is>
          <t>17/03/2026</t>
        </is>
      </c>
      <c r="J3383" t="inlineStr">
        <is>
          <t>Y tế / Chăm sóc sức khỏe / Thẩm mỹ / Làm đẹp, Vận chuyển / Giao nhận / Kho vận, Thu mua / Vật tư</t>
        </is>
      </c>
      <c r="K3383" t="inlineStr">
        <is>
          <t>1 - 2 Năm</t>
        </is>
      </c>
      <c r="L3383" s="8">
        <f>HYPERLINK("https://careerviet.vn/vi/tim-viec-lam/thu-kho-vat-tu-y-te.35C6BF5A.html","Xem chi tiết")</f>
        <v/>
      </c>
    </row>
    <row r="3384">
      <c r="B3384" s="9" t="n">
        <v>3382</v>
      </c>
      <c r="C3384" s="10" t="inlineStr">
        <is>
          <t>Trưởng phòng phát triển hệ thống</t>
        </is>
      </c>
      <c r="D3384" s="10" t="inlineStr">
        <is>
          <t>CÔNG TY CỔ PHẦN THỰC PHẨM HỮU NGHỊ</t>
        </is>
      </c>
      <c r="E3384" s="10" t="inlineStr">
        <is>
          <t>Lương:1.200 - 2.000 USD</t>
        </is>
      </c>
      <c r="F3384" s="10" t="inlineStr">
        <is>
          <t>Hà Nội</t>
        </is>
      </c>
      <c r="G3384" s="10" t="inlineStr">
        <is>
          <t>11-04-2026</t>
        </is>
      </c>
      <c r="H3384" s="10" t="inlineStr">
        <is>
          <t>11/04/2026</t>
        </is>
      </c>
      <c r="I3384" s="10" t="inlineStr">
        <is>
          <t>17/03/2026</t>
        </is>
      </c>
      <c r="J3384" s="10" t="inlineStr">
        <is>
          <t>Thực phẩm &amp; Đồ uống, Bán hàng / Kinh doanh, Bán lẻ / Bán sỉ</t>
        </is>
      </c>
      <c r="K3384" s="10" t="inlineStr">
        <is>
          <t>Trên 2 Năm</t>
        </is>
      </c>
      <c r="L3384" s="11">
        <f>HYPERLINK("https://careerviet.vn/vi/tim-viec-lam/truong-phong-phat-trien-he-thong.35C6BE64.html","Xem chi tiết")</f>
        <v/>
      </c>
      <c r="M3384" s="10" t="n"/>
    </row>
    <row r="3385">
      <c r="B3385" s="7" t="n">
        <v>3383</v>
      </c>
      <c r="C3385" t="inlineStr">
        <is>
          <t>Chuyên Viên Cao Cấp Digital Marketing</t>
        </is>
      </c>
      <c r="D3385" t="inlineStr">
        <is>
          <t>CÔNG TY TNHH MỘT THÀNH VIÊN SÀN GIAO DỊCH BẤT ĐỘNG SẢN NAM LONG</t>
        </is>
      </c>
      <c r="E3385" t="inlineStr">
        <is>
          <t>Lương:Cạnh tranh</t>
        </is>
      </c>
      <c r="F3385" t="inlineStr">
        <is>
          <t>Hồ Chí Minh</t>
        </is>
      </c>
      <c r="G3385" t="inlineStr">
        <is>
          <t>11-04-2026</t>
        </is>
      </c>
      <c r="H3385" t="inlineStr">
        <is>
          <t>11/04/2026</t>
        </is>
      </c>
      <c r="I3385" t="inlineStr">
        <is>
          <t>17/03/2026</t>
        </is>
      </c>
      <c r="J3385" t="inlineStr">
        <is>
          <t>Tiếp thị / Marketing, Tiếp thị trực tuyến, Thương mại điện tử</t>
        </is>
      </c>
      <c r="K3385" t="inlineStr">
        <is>
          <t>N/A</t>
        </is>
      </c>
      <c r="L3385" s="8">
        <f>HYPERLINK("https://careerviet.vn/vi/tim-viec-lam/chuyen-vien-cao-cap-digital-marketing.35C6BF1A.html","Xem chi tiết")</f>
        <v/>
      </c>
    </row>
    <row r="3386">
      <c r="B3386" s="9" t="n">
        <v>3384</v>
      </c>
      <c r="C3386" s="10" t="inlineStr">
        <is>
          <t>Phó Trưởng phòng Đầu tư miền Nam</t>
        </is>
      </c>
      <c r="D3386" s="10" t="inlineStr">
        <is>
          <t>Tập đoàn Hà Đô</t>
        </is>
      </c>
      <c r="E3386" s="10" t="inlineStr">
        <is>
          <t>Lương:Cạnh tranh</t>
        </is>
      </c>
      <c r="F3386" s="10" t="inlineStr">
        <is>
          <t>Hồ Chí Minh</t>
        </is>
      </c>
      <c r="G3386" s="10" t="inlineStr">
        <is>
          <t>30-04-2026</t>
        </is>
      </c>
      <c r="H3386" s="10" t="inlineStr">
        <is>
          <t>30/04/2026</t>
        </is>
      </c>
      <c r="I3386" s="10" t="inlineStr">
        <is>
          <t>17/03/2026</t>
        </is>
      </c>
      <c r="J3386" s="10" t="inlineStr">
        <is>
          <t>Bất động sản</t>
        </is>
      </c>
      <c r="K3386" s="10" t="inlineStr">
        <is>
          <t>5 - 10 Năm</t>
        </is>
      </c>
      <c r="L3386" s="11">
        <f>HYPERLINK("https://careerviet.vn/vi/tim-viec-lam/pho-truong-phong-dau-tu-mien-nam.35C6BF29.html","Xem chi tiết")</f>
        <v/>
      </c>
      <c r="M3386" s="10" t="n"/>
    </row>
    <row r="3387">
      <c r="B3387" s="7" t="n">
        <v>3385</v>
      </c>
      <c r="C3387" t="inlineStr">
        <is>
          <t>CHUYÊN VIÊN THIẾT KẾ MARKETING - VĂN PHÒNG FINELIFE</t>
        </is>
      </c>
      <c r="D3387" t="inlineStr">
        <is>
          <t>Liên Hiệp HTX Thương Mại TPHCM - SAIGON CO.OP</t>
        </is>
      </c>
      <c r="E3387" t="inlineStr">
        <is>
          <t>Lương:Cạnh tranh</t>
        </is>
      </c>
      <c r="F3387" t="inlineStr">
        <is>
          <t>Hồ Chí Minh</t>
        </is>
      </c>
      <c r="G3387" t="inlineStr">
        <is>
          <t>14-04-2026</t>
        </is>
      </c>
      <c r="H3387" t="inlineStr">
        <is>
          <t>14/04/2026</t>
        </is>
      </c>
      <c r="I3387" t="inlineStr">
        <is>
          <t>17/03/2026</t>
        </is>
      </c>
      <c r="J3387" t="inlineStr">
        <is>
          <t>Mỹ thuật / Nghệ thuật / Thiết kế, In ấn / Xuất bản, Quảng cáo / Đối ngoại / Truyền Thông</t>
        </is>
      </c>
      <c r="K3387" t="inlineStr">
        <is>
          <t>1 - 2 Năm</t>
        </is>
      </c>
      <c r="L3387" s="8">
        <f>HYPERLINK("https://careerviet.vn/vi/tim-viec-lam/chuyen-vien-thiet-ke-marketing-van-phong-finelife.35C6BF36.html","Xem chi tiết")</f>
        <v/>
      </c>
    </row>
    <row r="3388">
      <c r="B3388" s="9" t="n">
        <v>3386</v>
      </c>
      <c r="C3388" s="10" t="inlineStr">
        <is>
          <t>128515 - Sales Manager - Trading (Water Membrane)</t>
        </is>
      </c>
      <c r="D3388" s="10" t="inlineStr">
        <is>
          <t>RGF HR Agent Vietnam Co., LTD</t>
        </is>
      </c>
      <c r="E3388" s="10" t="inlineStr">
        <is>
          <t>Lương:30 Tr - 40 Tr VND</t>
        </is>
      </c>
      <c r="F3388" s="10" t="inlineStr">
        <is>
          <t>Hồ Chí Minh</t>
        </is>
      </c>
      <c r="G3388" s="10" t="inlineStr">
        <is>
          <t>11-03-2026</t>
        </is>
      </c>
      <c r="H3388" s="10" t="inlineStr">
        <is>
          <t>12/03/2026</t>
        </is>
      </c>
      <c r="I3388" s="10" t="inlineStr">
        <is>
          <t>17/03/2026</t>
        </is>
      </c>
      <c r="J3388" s="10" t="inlineStr">
        <is>
          <t>Bán hàng / Kinh doanh, Thủy lợi</t>
        </is>
      </c>
      <c r="K3388" s="10" t="inlineStr">
        <is>
          <t>3 - 5 Năm</t>
        </is>
      </c>
      <c r="L3388" s="11">
        <f>HYPERLINK("https://careerviet.vn/vi/tim-viec-lam/128515-sales-manager-trading-water-membrane.35C6BF2E.html","Xem chi tiết")</f>
        <v/>
      </c>
      <c r="M3388" s="10" t="n"/>
    </row>
    <row r="3389">
      <c r="B3389" s="7" t="n">
        <v>3387</v>
      </c>
      <c r="C3389" t="inlineStr">
        <is>
          <t>Nhân Viên Bán Hàng Showroom thời trang Biên Hoà</t>
        </is>
      </c>
      <c r="D3389" t="inlineStr">
        <is>
          <t>CÔNG TY TNHH BEYONO VIETNAM</t>
        </is>
      </c>
      <c r="E3389" t="inlineStr">
        <is>
          <t>Lương:7 Tr - 12 Tr VND</t>
        </is>
      </c>
      <c r="F3389" t="inlineStr">
        <is>
          <t>Đồng Nai</t>
        </is>
      </c>
      <c r="G3389" t="inlineStr">
        <is>
          <t>10-04-2026</t>
        </is>
      </c>
      <c r="H3389" t="inlineStr">
        <is>
          <t>10/04/2026</t>
        </is>
      </c>
      <c r="I3389" t="inlineStr">
        <is>
          <t>17/03/2026</t>
        </is>
      </c>
      <c r="J3389" t="inlineStr">
        <is>
          <t>Bán hàng / Kinh doanh, Bán lẻ / Bán sỉ</t>
        </is>
      </c>
      <c r="K3389" t="inlineStr">
        <is>
          <t>N/A</t>
        </is>
      </c>
      <c r="L3389" s="8">
        <f>HYPERLINK("https://careerviet.vn/vi/tim-viec-lam/nhan-vien-ban-hang-showroom-thoi-trang-bien-hoa.35C6BDB7.html","Xem chi tiết")</f>
        <v/>
      </c>
    </row>
    <row r="3390">
      <c r="B3390" s="9" t="n">
        <v>3388</v>
      </c>
      <c r="C3390" s="10" t="inlineStr">
        <is>
          <t>Payable Accountant/ Kế Toán Thanh Toán</t>
        </is>
      </c>
      <c r="D3390" s="10" t="inlineStr">
        <is>
          <t>CÔNG TY CỔ PHẦN V-PROBES HOLDINGS</t>
        </is>
      </c>
      <c r="E3390" s="10" t="inlineStr">
        <is>
          <t>Lương:Cạnh tranh</t>
        </is>
      </c>
      <c r="F3390" s="10" t="inlineStr">
        <is>
          <t>Hồ Chí Minh</t>
        </is>
      </c>
      <c r="G3390" s="10" t="inlineStr">
        <is>
          <t>10-04-2026</t>
        </is>
      </c>
      <c r="H3390" s="10" t="inlineStr">
        <is>
          <t>10/04/2026</t>
        </is>
      </c>
      <c r="I3390" s="10" t="inlineStr">
        <is>
          <t>17/03/2026</t>
        </is>
      </c>
      <c r="J3390" s="10" t="inlineStr">
        <is>
          <t>Kế toán / Kiểm toán, Tài chính / Đầu tư, Ngân hàng</t>
        </is>
      </c>
      <c r="K3390" s="10" t="inlineStr">
        <is>
          <t>2 - 3 Năm</t>
        </is>
      </c>
      <c r="L3390" s="11">
        <f>HYPERLINK("https://careerviet.vn/vi/tim-viec-lam/payable-accountant-ke-toan-thanh-toan.35C6BF26.html","Xem chi tiết")</f>
        <v/>
      </c>
      <c r="M3390" s="10" t="n"/>
    </row>
    <row r="3391">
      <c r="B3391" s="7" t="n">
        <v>3389</v>
      </c>
      <c r="C3391" t="inlineStr">
        <is>
          <t>NHÂN VIÊN QUẢN LÝ CHẤT LƯỢNG CO.OPMART QUANG TRUNG (GÒ VẤP cũ)</t>
        </is>
      </c>
      <c r="D3391" t="inlineStr">
        <is>
          <t>Liên Hiệp HTX Thương Mại TPHCM - SAIGON CO.OP</t>
        </is>
      </c>
      <c r="E3391" t="inlineStr">
        <is>
          <t>Lương:Cạnh tranh</t>
        </is>
      </c>
      <c r="F3391" t="inlineStr">
        <is>
          <t>Hồ Chí Minh</t>
        </is>
      </c>
      <c r="G3391" t="inlineStr">
        <is>
          <t>29-04-2026</t>
        </is>
      </c>
      <c r="H3391" t="inlineStr">
        <is>
          <t>29/04/2026</t>
        </is>
      </c>
      <c r="I3391" t="inlineStr">
        <is>
          <t>17/03/2026</t>
        </is>
      </c>
      <c r="J3391" t="inlineStr">
        <is>
          <t>Quản lý chất lượng (QA/QC)</t>
        </is>
      </c>
      <c r="K3391" t="inlineStr">
        <is>
          <t>1 - 2 Năm</t>
        </is>
      </c>
      <c r="L3391" s="8">
        <f>HYPERLINK("https://careerviet.vn/vi/tim-viec-lam/nhan-vien-quan-ly-chat-luong-co-opmart-quang-trung-go-vap-cu.35C6BF32.html","Xem chi tiết")</f>
        <v/>
      </c>
    </row>
    <row r="3392">
      <c r="B3392" s="9" t="n">
        <v>3390</v>
      </c>
      <c r="C3392" s="10" t="inlineStr">
        <is>
          <t>128535 - Sales Manager/ Trưởng Nhóm Kinh Doanh - Steel</t>
        </is>
      </c>
      <c r="D3392" s="10" t="inlineStr">
        <is>
          <t>RGF HR Agent Vietnam Co., LTD</t>
        </is>
      </c>
      <c r="E3392" s="10" t="inlineStr">
        <is>
          <t>Lương:Cạnh tranh</t>
        </is>
      </c>
      <c r="F3392" s="10" t="inlineStr">
        <is>
          <t>Bà Rịa - Vũng Tàu</t>
        </is>
      </c>
      <c r="G3392" s="10" t="inlineStr">
        <is>
          <t>11-03-2026</t>
        </is>
      </c>
      <c r="H3392" s="10" t="inlineStr">
        <is>
          <t>12/03/2026</t>
        </is>
      </c>
      <c r="I3392" s="10" t="inlineStr">
        <is>
          <t>17/03/2026</t>
        </is>
      </c>
      <c r="J3392" s="10" t="inlineStr">
        <is>
          <t>Bán hàng / Kinh doanh, Sản xuất / Vận hành sản xuất</t>
        </is>
      </c>
      <c r="K3392" s="10" t="inlineStr">
        <is>
          <t>10 - 11 Năm</t>
        </is>
      </c>
      <c r="L3392" s="11">
        <f>HYPERLINK("https://careerviet.vn/vi/tim-viec-lam/128535-sales-manager-truong-nhom-kinh-doanh-steel.35C6BF3B.html","Xem chi tiết")</f>
        <v/>
      </c>
      <c r="M3392" s="10" t="n"/>
    </row>
    <row r="3393">
      <c r="B3393" s="7" t="n">
        <v>3391</v>
      </c>
      <c r="C3393" t="inlineStr">
        <is>
          <t>Sales Representative (Japanese Speaking)</t>
        </is>
      </c>
      <c r="D3393" t="inlineStr">
        <is>
          <t>Công Ty TNHH YKK Việt Nam</t>
        </is>
      </c>
      <c r="E3393" t="inlineStr">
        <is>
          <t>Lương:Cạnh tranh</t>
        </is>
      </c>
      <c r="F3393" t="inlineStr">
        <is>
          <t>Hồ Chí Minh</t>
        </is>
      </c>
      <c r="G3393" t="inlineStr">
        <is>
          <t>30-04-2026</t>
        </is>
      </c>
      <c r="H3393" t="inlineStr">
        <is>
          <t>30/04/2026</t>
        </is>
      </c>
      <c r="I3393" t="inlineStr">
        <is>
          <t>17/03/2026</t>
        </is>
      </c>
      <c r="J3393" t="inlineStr">
        <is>
          <t>Bán hàng / Kinh doanh, Dịch vụ khách hàng, Biên phiên dịch</t>
        </is>
      </c>
      <c r="K3393" t="inlineStr">
        <is>
          <t>1 - 2 Năm</t>
        </is>
      </c>
      <c r="L3393" s="8">
        <f>HYPERLINK("https://careerviet.vn/vi/tim-viec-lam/sales-representative-japanese-speaking.35C6BF13.html","Xem chi tiết")</f>
        <v/>
      </c>
    </row>
    <row r="3394">
      <c r="B3394" s="9" t="n">
        <v>3392</v>
      </c>
      <c r="C3394" s="10" t="inlineStr">
        <is>
          <t>Giám sát thi công nội thất</t>
        </is>
      </c>
      <c r="D3394" s="10" t="inlineStr">
        <is>
          <t>HEXAGON - CÔNG TY CỔ PHẦN THIẾT KẾ LỤC GIÁC</t>
        </is>
      </c>
      <c r="E3394" s="10" t="inlineStr">
        <is>
          <t>Lương:15 Tr - 25 Tr VND</t>
        </is>
      </c>
      <c r="F3394" s="10" t="inlineStr">
        <is>
          <t>Hà Nội</t>
        </is>
      </c>
      <c r="G3394" s="10" t="inlineStr">
        <is>
          <t>11-04-2026</t>
        </is>
      </c>
      <c r="H3394" s="10" t="inlineStr">
        <is>
          <t>11/04/2026</t>
        </is>
      </c>
      <c r="I3394" s="10" t="inlineStr">
        <is>
          <t>17/03/2026</t>
        </is>
      </c>
      <c r="J3394" s="10" t="inlineStr">
        <is>
          <t>Nội ngoại thất, Xây dựng, Kiến trúc</t>
        </is>
      </c>
      <c r="K3394" s="10" t="inlineStr">
        <is>
          <t>3 - 4 Năm</t>
        </is>
      </c>
      <c r="L3394" s="11">
        <f>HYPERLINK("https://careerviet.vn/vi/tim-viec-lam/giam-sat-thi-cong-noi-that.35C6BF23.html","Xem chi tiết")</f>
        <v/>
      </c>
      <c r="M3394" s="10" t="n"/>
    </row>
    <row r="3395">
      <c r="B3395" s="7" t="n">
        <v>3393</v>
      </c>
      <c r="C3395" t="inlineStr">
        <is>
          <t>Store Manager - Luxury Jewelry Brand - HCMC</t>
        </is>
      </c>
      <c r="D3395" t="inlineStr">
        <is>
          <t>Công Ty Cổ Phần Thời Trang &amp; Mỹ Phẩm Duy Anh (DAFC)</t>
        </is>
      </c>
      <c r="E3395" t="inlineStr">
        <is>
          <t>Lương:Cạnh tranh</t>
        </is>
      </c>
      <c r="F3395" t="inlineStr">
        <is>
          <t>Hồ Chí Minh</t>
        </is>
      </c>
      <c r="G3395" t="inlineStr">
        <is>
          <t>30-04-2026</t>
        </is>
      </c>
      <c r="H3395" t="inlineStr">
        <is>
          <t>30/04/2026</t>
        </is>
      </c>
      <c r="I3395" t="inlineStr">
        <is>
          <t>17/03/2026</t>
        </is>
      </c>
      <c r="J3395" t="inlineStr">
        <is>
          <t>Bán lẻ / Bán sỉ, Bán hàng / Kinh doanh, Dệt may / Da giày / Thời trang</t>
        </is>
      </c>
      <c r="K3395" t="inlineStr">
        <is>
          <t>Trên 5 Năm</t>
        </is>
      </c>
      <c r="L3395" s="8">
        <f>HYPERLINK("https://careerviet.vn/vi/tim-viec-lam/store-manager-luxury-jewelry-brand-hcmc.35C6BED0.html","Xem chi tiết")</f>
        <v/>
      </c>
    </row>
    <row r="3396">
      <c r="B3396" s="9" t="n">
        <v>3394</v>
      </c>
      <c r="C3396" s="10" t="inlineStr">
        <is>
          <t>Kế toán tổng hợp kiêm kế toán trưởng</t>
        </is>
      </c>
      <c r="D3396" s="10" t="inlineStr">
        <is>
          <t>Toan Thang Engineering Corporation</t>
        </is>
      </c>
      <c r="E3396" s="10" t="inlineStr">
        <is>
          <t>Lương:Lên đến 20 Tr VND</t>
        </is>
      </c>
      <c r="F3396" s="10" t="inlineStr">
        <is>
          <t>Bà Rịa - Vũng Tàu</t>
        </is>
      </c>
      <c r="G3396" s="10" t="inlineStr">
        <is>
          <t>30-04-2026</t>
        </is>
      </c>
      <c r="H3396" s="10" t="inlineStr">
        <is>
          <t>30/04/2026</t>
        </is>
      </c>
      <c r="I3396" s="10" t="inlineStr">
        <is>
          <t>17/03/2026</t>
        </is>
      </c>
      <c r="J3396" s="10" t="inlineStr">
        <is>
          <t>Cơ khí / Ô tô / Tự động hóa, Dầu khí, Kế toán / Kiểm toán</t>
        </is>
      </c>
      <c r="K3396" s="10" t="inlineStr">
        <is>
          <t>Trên 5 Năm</t>
        </is>
      </c>
      <c r="L3396" s="11">
        <f>HYPERLINK("https://careerviet.vn/vi/tim-viec-lam/ke-toan-tong-hop-kiem-ke-toan-truong.35C6BF0F.html","Xem chi tiết")</f>
        <v/>
      </c>
      <c r="M3396" s="10" t="n"/>
    </row>
    <row r="3397">
      <c r="B3397" s="7" t="n">
        <v>3395</v>
      </c>
      <c r="C3397" t="inlineStr">
        <is>
          <t>Kỹ sư thiết kế kết cấu - Chứng chỉ hạng II/ Experienced Structural Engineer - Design Certificate level II</t>
        </is>
      </c>
      <c r="D3397" t="inlineStr">
        <is>
          <t>Công Ty TNHH Boydens Vietnam part of Sweco</t>
        </is>
      </c>
      <c r="E3397" t="inlineStr">
        <is>
          <t>Lương:Cạnh tranh</t>
        </is>
      </c>
      <c r="F3397" t="inlineStr">
        <is>
          <t>Hồ Chí MinhHà Nội</t>
        </is>
      </c>
      <c r="G3397" t="inlineStr">
        <is>
          <t>31-05-2026</t>
        </is>
      </c>
      <c r="H3397" t="inlineStr">
        <is>
          <t>31/05/2026</t>
        </is>
      </c>
      <c r="I3397" t="inlineStr">
        <is>
          <t>17/03/2026</t>
        </is>
      </c>
      <c r="J3397" t="inlineStr">
        <is>
          <t>Kiến trúc, Xây dựng, Bất động sản</t>
        </is>
      </c>
      <c r="K3397" t="inlineStr">
        <is>
          <t>5 - 8 Năm</t>
        </is>
      </c>
      <c r="L3397" s="8">
        <f>HYPERLINK("https://careerviet.vn/vi/tim-viec-lam/ky-su-thiet-ke-ket-cau-chung-chi-hang-ii-experienced-structural-engineer-design-certificate-level-ii.35C6BF06.html","Xem chi tiết")</f>
        <v/>
      </c>
    </row>
    <row r="3398">
      <c r="B3398" s="9" t="n">
        <v>3396</v>
      </c>
      <c r="C3398" s="10" t="inlineStr">
        <is>
          <t>Trưởng Phòng Digital Marketing</t>
        </is>
      </c>
      <c r="D3398" s="10" t="inlineStr">
        <is>
          <t>CÔNG TY TNHH MỘT THÀNH VIÊN SÀN GIAO DỊCH BẤT ĐỘNG SẢN NAM LONG</t>
        </is>
      </c>
      <c r="E3398" s="10" t="inlineStr">
        <is>
          <t>Lương:Cạnh tranh</t>
        </is>
      </c>
      <c r="F3398" s="10" t="inlineStr">
        <is>
          <t>Hồ Chí Minh</t>
        </is>
      </c>
      <c r="G3398" s="10" t="inlineStr">
        <is>
          <t>11-04-2026</t>
        </is>
      </c>
      <c r="H3398" s="10" t="inlineStr">
        <is>
          <t>11/04/2026</t>
        </is>
      </c>
      <c r="I3398" s="10" t="inlineStr">
        <is>
          <t>17/03/2026</t>
        </is>
      </c>
      <c r="J3398" s="10" t="inlineStr">
        <is>
          <t>Tiếp thị trực tuyến, Tiếp thị / Marketing, Thương mại điện tử</t>
        </is>
      </c>
      <c r="K3398" s="10" t="inlineStr">
        <is>
          <t>N/A</t>
        </is>
      </c>
      <c r="L3398" s="11">
        <f>HYPERLINK("https://careerviet.vn/vi/tim-viec-lam/truong-phong-digital-marketing.35C6BEC4.html","Xem chi tiết")</f>
        <v/>
      </c>
      <c r="M3398" s="10" t="n"/>
    </row>
    <row r="3399">
      <c r="B3399" s="7" t="n">
        <v>3397</v>
      </c>
      <c r="C3399" t="inlineStr">
        <is>
          <t>Trưởng Nhóm MKT</t>
        </is>
      </c>
      <c r="D3399" t="inlineStr">
        <is>
          <t>CÔNG TY CỔ PHẦN HAWEE BẤT ĐỘNG SẢN</t>
        </is>
      </c>
      <c r="E3399" t="inlineStr">
        <is>
          <t>Lương:Cạnh tranh</t>
        </is>
      </c>
      <c r="F3399" t="inlineStr">
        <is>
          <t>Hà Nội</t>
        </is>
      </c>
      <c r="G3399" t="inlineStr">
        <is>
          <t>10-04-2026</t>
        </is>
      </c>
      <c r="H3399" t="inlineStr">
        <is>
          <t>10/04/2026</t>
        </is>
      </c>
      <c r="I3399" t="inlineStr">
        <is>
          <t>17/03/2026</t>
        </is>
      </c>
      <c r="J3399" t="inlineStr">
        <is>
          <t>Tiếp thị / Marketing, Bất động sản, Quản lý điều hành</t>
        </is>
      </c>
      <c r="K3399" t="inlineStr">
        <is>
          <t>3 - 5 Năm</t>
        </is>
      </c>
      <c r="L3399" s="8">
        <f>HYPERLINK("https://careerviet.vn/vi/tim-viec-lam/truong-nhom-mkt.35C6BEF0.html","Xem chi tiết")</f>
        <v/>
      </c>
    </row>
    <row r="3400">
      <c r="B3400" s="9" t="n">
        <v>3398</v>
      </c>
      <c r="C3400" s="10" t="inlineStr">
        <is>
          <t>Kỹ Sư Cơ Điện (MEP)</t>
        </is>
      </c>
      <c r="D3400" s="10" t="inlineStr">
        <is>
          <t>Anh Nguyen Co Ltd</t>
        </is>
      </c>
      <c r="E3400" s="10" t="inlineStr">
        <is>
          <t>Lương:25 Tr - 30 Tr VND</t>
        </is>
      </c>
      <c r="F3400" s="10" t="inlineStr">
        <is>
          <t>Khánh HòaHà Nội</t>
        </is>
      </c>
      <c r="G3400" s="10" t="inlineStr">
        <is>
          <t>04-04-2026</t>
        </is>
      </c>
      <c r="H3400" s="10" t="inlineStr">
        <is>
          <t>04/04/2026</t>
        </is>
      </c>
      <c r="I3400" s="10" t="inlineStr">
        <is>
          <t>17/03/2026</t>
        </is>
      </c>
      <c r="J3400" s="10" t="inlineStr">
        <is>
          <t>Xây dựng, Cơ khí / Ô tô / Tự động hóa, Điện / Điện tử / Điện lạnh / Điện công nghiệp</t>
        </is>
      </c>
      <c r="K3400" s="10" t="inlineStr">
        <is>
          <t>Trên 5 Năm</t>
        </is>
      </c>
      <c r="L3400" s="11">
        <f>HYPERLINK("https://careerviet.vn/vi/tim-viec-lam/ky-su-co-dien-mep.35C6B13F.html","Xem chi tiết")</f>
        <v/>
      </c>
      <c r="M3400" s="10" t="n"/>
    </row>
    <row r="3401">
      <c r="B3401" s="7" t="n">
        <v>3399</v>
      </c>
      <c r="C3401" t="inlineStr">
        <is>
          <t>Nhân Viên Content Marketing</t>
        </is>
      </c>
      <c r="D3401" t="inlineStr">
        <is>
          <t>Tổng kho phụ kiện bán tải Hitechcar4x4</t>
        </is>
      </c>
      <c r="E3401" t="inlineStr">
        <is>
          <t>Lương:Cạnh tranh</t>
        </is>
      </c>
      <c r="F3401" t="inlineStr">
        <is>
          <t>Hồ Chí Minh</t>
        </is>
      </c>
      <c r="G3401" t="inlineStr">
        <is>
          <t>31-03-2026</t>
        </is>
      </c>
      <c r="H3401" t="inlineStr">
        <is>
          <t>31/03/2026</t>
        </is>
      </c>
      <c r="I3401" t="inlineStr">
        <is>
          <t>17/03/2026</t>
        </is>
      </c>
      <c r="J3401" t="inlineStr">
        <is>
          <t>Tiếp thị / Marketing, Quảng cáo / Đối ngoại / Truyền Thông</t>
        </is>
      </c>
      <c r="K3401" t="inlineStr">
        <is>
          <t>Trên 2 Năm</t>
        </is>
      </c>
      <c r="L3401" s="8">
        <f>HYPERLINK("https://careerviet.vn/vi/tim-viec-lam/nhan-vien-content-marketing.35C6B01A.html","Xem chi tiết")</f>
        <v/>
      </c>
    </row>
    <row r="3402">
      <c r="B3402" s="9" t="n">
        <v>3400</v>
      </c>
      <c r="C3402" s="10" t="inlineStr">
        <is>
          <t>Kế Toán Công Nợ</t>
        </is>
      </c>
      <c r="D3402" s="10" t="inlineStr">
        <is>
          <t>DILIGO</t>
        </is>
      </c>
      <c r="E3402" s="10" t="inlineStr">
        <is>
          <t>Lương:Cạnh tranh</t>
        </is>
      </c>
      <c r="F3402" s="10" t="inlineStr">
        <is>
          <t>Hà Nội</t>
        </is>
      </c>
      <c r="G3402" s="10" t="inlineStr">
        <is>
          <t>30-04-2026</t>
        </is>
      </c>
      <c r="H3402" s="10" t="inlineStr">
        <is>
          <t>30/04/2026</t>
        </is>
      </c>
      <c r="I3402" s="10" t="inlineStr">
        <is>
          <t>17/03/2026</t>
        </is>
      </c>
      <c r="J3402" s="10" t="inlineStr">
        <is>
          <t>Bán hàng / Kinh doanh, Hàng gia dụng / Chăm sóc cá nhân, Kế toán / Kiểm toán</t>
        </is>
      </c>
      <c r="K3402" s="10" t="inlineStr">
        <is>
          <t>2 - 5 Năm</t>
        </is>
      </c>
      <c r="L3402" s="11">
        <f>HYPERLINK("https://careerviet.vn/vi/tim-viec-lam/ke-toan-cong-no.35C6BF0D.html","Xem chi tiết")</f>
        <v/>
      </c>
      <c r="M3402" s="10" t="n"/>
    </row>
    <row r="3403">
      <c r="B3403" s="7" t="n">
        <v>3401</v>
      </c>
      <c r="C3403" t="inlineStr">
        <is>
          <t>Kỹ Sư Dự Toán - QS Engineer</t>
        </is>
      </c>
      <c r="D3403" t="inlineStr">
        <is>
          <t>CÔNG TY TNHH ĐẦU TƯ KỸ THUẬT XÂY DỰNG VÀ THƯƠNG MẠI THÁI SƠN</t>
        </is>
      </c>
      <c r="E3403" t="inlineStr">
        <is>
          <t>Lương:Trên 20 Tr VND</t>
        </is>
      </c>
      <c r="F3403" t="inlineStr">
        <is>
          <t>Hà Nội</t>
        </is>
      </c>
      <c r="G3403" t="inlineStr">
        <is>
          <t>05-04-2026</t>
        </is>
      </c>
      <c r="H3403" t="inlineStr">
        <is>
          <t>05/04/2026</t>
        </is>
      </c>
      <c r="I3403" t="inlineStr">
        <is>
          <t>17/03/2026</t>
        </is>
      </c>
      <c r="J3403" t="inlineStr">
        <is>
          <t>Xây dựng, Kiến trúc, Quản lý chất lượng (QA/QC)</t>
        </is>
      </c>
      <c r="K3403" t="inlineStr">
        <is>
          <t>Trên 1 Năm</t>
        </is>
      </c>
      <c r="L3403" s="8">
        <f>HYPERLINK("https://careerviet.vn/vi/tim-viec-lam/ky-su-du-toan-qs-engineer.35C6B177.html","Xem chi tiết")</f>
        <v/>
      </c>
    </row>
    <row r="3404">
      <c r="B3404" s="9" t="n">
        <v>3402</v>
      </c>
      <c r="C3404" s="10" t="inlineStr">
        <is>
          <t>Kĩ sư kinh tế xây dựng  (Chi phí dự án)</t>
        </is>
      </c>
      <c r="D3404" s="10" t="inlineStr">
        <is>
          <t>Công ty CP Xây Dựng Bông Sen Vàng - Golden Lotus Construction</t>
        </is>
      </c>
      <c r="E3404" s="10" t="inlineStr">
        <is>
          <t>Lương:15 Tr - 25 Tr VND</t>
        </is>
      </c>
      <c r="F3404" s="10" t="inlineStr">
        <is>
          <t>Hồ Chí Minh</t>
        </is>
      </c>
      <c r="G3404" s="10" t="inlineStr">
        <is>
          <t>05-04-2026</t>
        </is>
      </c>
      <c r="H3404" s="10" t="inlineStr">
        <is>
          <t>05/04/2026</t>
        </is>
      </c>
      <c r="I3404" s="10" t="inlineStr">
        <is>
          <t>17/03/2026</t>
        </is>
      </c>
      <c r="J3404" s="10" t="inlineStr">
        <is>
          <t>Xây dựng, Kiến trúc, Bất động sản</t>
        </is>
      </c>
      <c r="K3404" s="10" t="inlineStr">
        <is>
          <t>2 - 5 Năm</t>
        </is>
      </c>
      <c r="L3404" s="11">
        <f>HYPERLINK("https://careerviet.vn/vi/tim-viec-lam/ki-su-kinh-te-xay-dung-chi-phi-du-an.35C6B226.html","Xem chi tiết")</f>
        <v/>
      </c>
      <c r="M3404" s="10" t="n"/>
    </row>
    <row r="3405">
      <c r="B3405" s="7" t="n">
        <v>3403</v>
      </c>
      <c r="C3405" t="inlineStr">
        <is>
          <t>Administrative &amp; HR Officer / Nhân Viên Hành Chính – Nhân Sự</t>
        </is>
      </c>
      <c r="D3405" t="inlineStr">
        <is>
          <t>CÔNG TY CỔ PHẦN V-PROBES HOLDINGS</t>
        </is>
      </c>
      <c r="E3405" t="inlineStr">
        <is>
          <t>Lương:Cạnh tranh</t>
        </is>
      </c>
      <c r="F3405" t="inlineStr">
        <is>
          <t>Hồ Chí Minh</t>
        </is>
      </c>
      <c r="G3405" t="inlineStr">
        <is>
          <t>10-04-2026</t>
        </is>
      </c>
      <c r="H3405" t="inlineStr">
        <is>
          <t>10/04/2026</t>
        </is>
      </c>
      <c r="I3405" t="inlineStr">
        <is>
          <t>17/03/2026</t>
        </is>
      </c>
      <c r="J3405" t="inlineStr">
        <is>
          <t>Hành chính / Thư ký, Nhân sự, Kế toán / Kiểm toán</t>
        </is>
      </c>
      <c r="K3405" t="inlineStr">
        <is>
          <t>3 - 4 Năm</t>
        </is>
      </c>
      <c r="L3405" s="8">
        <f>HYPERLINK("https://careerviet.vn/vi/tim-viec-lam/administrative-hr-officer-nhan-vien-hanh-chinh-nhan-su.35C6BF1D.html","Xem chi tiết")</f>
        <v/>
      </c>
    </row>
    <row r="3406">
      <c r="B3406" s="9" t="n">
        <v>3404</v>
      </c>
      <c r="C3406" s="10" t="inlineStr">
        <is>
          <t>TRÌNH DƯỢC VIÊN ETC/NHÂN VIÊN KINH DOANH DƯỢC PHẨM [TP.HCM]</t>
        </is>
      </c>
      <c r="D3406" s="10" t="inlineStr">
        <is>
          <t>CÔNG TY CỔ PHẦN NATURAL LINK</t>
        </is>
      </c>
      <c r="E3406" s="10" t="inlineStr">
        <is>
          <t>Lương:8 Tr - 15 Tr VND</t>
        </is>
      </c>
      <c r="F3406" s="10" t="inlineStr">
        <is>
          <t>Hồ Chí Minh</t>
        </is>
      </c>
      <c r="G3406" s="10" t="inlineStr">
        <is>
          <t>05-04-2026</t>
        </is>
      </c>
      <c r="H3406" s="10" t="inlineStr">
        <is>
          <t>05/04/2026</t>
        </is>
      </c>
      <c r="I3406" s="10" t="inlineStr">
        <is>
          <t>17/03/2026</t>
        </is>
      </c>
      <c r="J3406" s="10" t="inlineStr">
        <is>
          <t>Y tế / Chăm sóc sức khỏe / Thẩm mỹ / Làm đẹp, Bán hàng / Kinh doanh, Dược phẩm/ Hóa Mỹ Phẩm</t>
        </is>
      </c>
      <c r="K3406" s="10" t="inlineStr">
        <is>
          <t>Chưa có kinh nghiệm</t>
        </is>
      </c>
      <c r="L3406" s="11">
        <f>HYPERLINK("https://careerviet.vn/vi/tim-viec-lam/trinh-duoc-vien-etc-nhan-vien-kinh-doanh-duoc-pham-tp-hcm.35C6B21F.html","Xem chi tiết")</f>
        <v/>
      </c>
      <c r="M3406" s="10" t="n"/>
    </row>
    <row r="3407">
      <c r="B3407" s="7" t="n">
        <v>3405</v>
      </c>
      <c r="C3407" t="inlineStr">
        <is>
          <t>Kế toán Thanh Toán</t>
        </is>
      </c>
      <c r="D3407" t="inlineStr">
        <is>
          <t>Viet Han Concrete JSC.,</t>
        </is>
      </c>
      <c r="E3407" t="inlineStr">
        <is>
          <t>Lương:10 Tr - 15 Tr VND</t>
        </is>
      </c>
      <c r="F3407" t="inlineStr">
        <is>
          <t>Hồ Chí Minh</t>
        </is>
      </c>
      <c r="G3407" t="inlineStr">
        <is>
          <t>05-04-2026</t>
        </is>
      </c>
      <c r="H3407" t="inlineStr">
        <is>
          <t>05/04/2026</t>
        </is>
      </c>
      <c r="I3407" t="inlineStr">
        <is>
          <t>17/03/2026</t>
        </is>
      </c>
      <c r="J3407" t="inlineStr">
        <is>
          <t>Kế toán / Kiểm toán, Tài chính / Đầu tư, Ngân hàng</t>
        </is>
      </c>
      <c r="K3407" t="inlineStr">
        <is>
          <t>1 - 2 Năm</t>
        </is>
      </c>
      <c r="L3407" s="8">
        <f>HYPERLINK("https://careerviet.vn/vi/tim-viec-lam/ke-toan-thanh-toan.35C6B1F9.html","Xem chi tiết")</f>
        <v/>
      </c>
    </row>
    <row r="3408">
      <c r="B3408" s="9" t="n">
        <v>3406</v>
      </c>
      <c r="C3408" s="10" t="inlineStr">
        <is>
          <t>Kế toán thuế</t>
        </is>
      </c>
      <c r="D3408" s="10" t="inlineStr">
        <is>
          <t>CÔNG TY CỔ PHẦN PHÁT TRIỂN CÔNG NGHỆ TECHPRO</t>
        </is>
      </c>
      <c r="E3408" s="10" t="inlineStr">
        <is>
          <t>Lương:Cạnh tranh</t>
        </is>
      </c>
      <c r="F3408" s="10" t="inlineStr">
        <is>
          <t>Hà Nội</t>
        </is>
      </c>
      <c r="G3408" s="10" t="inlineStr">
        <is>
          <t>06-04-2026</t>
        </is>
      </c>
      <c r="H3408" s="10" t="inlineStr">
        <is>
          <t>06/04/2026</t>
        </is>
      </c>
      <c r="I3408" s="10" t="inlineStr">
        <is>
          <t>17/03/2026</t>
        </is>
      </c>
      <c r="J3408" s="10" t="inlineStr">
        <is>
          <t>Kế toán / Kiểm toán</t>
        </is>
      </c>
      <c r="K3408" s="10" t="inlineStr">
        <is>
          <t>Trên 1 Năm</t>
        </is>
      </c>
      <c r="L3408" s="11">
        <f>HYPERLINK("https://careerviet.vn/vi/tim-viec-lam/ke-toan-thue.35C64CEF.html","Xem chi tiết")</f>
        <v/>
      </c>
      <c r="M3408" s="10" t="n"/>
    </row>
    <row r="3409">
      <c r="B3409" s="7" t="n">
        <v>3407</v>
      </c>
      <c r="C3409" t="inlineStr">
        <is>
          <t>Warehouse Manager (Chinese) - Bac Ninh</t>
        </is>
      </c>
      <c r="D3409" t="inlineStr">
        <is>
          <t>S.F. EXPRESS LTD.</t>
        </is>
      </c>
      <c r="E3409" t="inlineStr">
        <is>
          <t>Lương:Cạnh tranh</t>
        </is>
      </c>
      <c r="F3409" t="inlineStr">
        <is>
          <t>Bắc Ninh</t>
        </is>
      </c>
      <c r="G3409" t="inlineStr">
        <is>
          <t>31-03-2026</t>
        </is>
      </c>
      <c r="H3409" t="inlineStr">
        <is>
          <t>31/03/2026</t>
        </is>
      </c>
      <c r="I3409" t="inlineStr">
        <is>
          <t>17/03/2026</t>
        </is>
      </c>
      <c r="J3409" t="inlineStr">
        <is>
          <t>Vận chuyển / Giao nhận / Kho vận, Xuất nhập khẩu, Dịch vụ khách hàng</t>
        </is>
      </c>
      <c r="K3409" t="inlineStr">
        <is>
          <t>1 - 2 Năm</t>
        </is>
      </c>
      <c r="L3409" s="8">
        <f>HYPERLINK("https://careerviet.vn/vi/tim-viec-lam/warehouse-manager-chinese-bac-ninh.35C6B530.html","Xem chi tiết")</f>
        <v/>
      </c>
    </row>
    <row r="3410">
      <c r="B3410" s="9" t="n">
        <v>3408</v>
      </c>
      <c r="C3410" s="10" t="inlineStr">
        <is>
          <t>Chuyên viên Cung ứng Đặc thù, Vận hành</t>
        </is>
      </c>
      <c r="D3410" s="10" t="inlineStr">
        <is>
          <t>CÔNG TY CỔ PHẦN TẬP ĐOÀN T&amp;T</t>
        </is>
      </c>
      <c r="E3410" s="10" t="inlineStr">
        <is>
          <t>Lương:Cạnh tranh</t>
        </is>
      </c>
      <c r="F3410" s="10" t="inlineStr">
        <is>
          <t>Hà Nội</t>
        </is>
      </c>
      <c r="G3410" s="10" t="inlineStr">
        <is>
          <t>05-05-2026</t>
        </is>
      </c>
      <c r="H3410" s="10" t="inlineStr">
        <is>
          <t>05/05/2026</t>
        </is>
      </c>
      <c r="I3410" s="10" t="inlineStr">
        <is>
          <t>17/03/2026</t>
        </is>
      </c>
      <c r="J3410" s="10" t="inlineStr">
        <is>
          <t>Thu mua / Vật tư, Bất động sản, Xây dựng</t>
        </is>
      </c>
      <c r="K3410" s="10" t="inlineStr">
        <is>
          <t>Trên 3 Năm</t>
        </is>
      </c>
      <c r="L3410" s="11">
        <f>HYPERLINK("https://careerviet.vn/vi/tim-viec-lam/chuyen-vien-cung-ung-dac-thu-van-hanh.35C6B02C.html","Xem chi tiết")</f>
        <v/>
      </c>
      <c r="M3410" s="10" t="n"/>
    </row>
    <row r="3411">
      <c r="B3411" s="7" t="n">
        <v>3409</v>
      </c>
      <c r="C3411" t="inlineStr">
        <is>
          <t>Trợ lý Tổng giám đốc</t>
        </is>
      </c>
      <c r="D3411" t="inlineStr">
        <is>
          <t>Công ty Vàng Bạc Đá Qúy Bảo Tín Minh Châu</t>
        </is>
      </c>
      <c r="E3411" t="inlineStr">
        <is>
          <t>Lương:25 Tr - 40 Tr VND</t>
        </is>
      </c>
      <c r="F3411" t="inlineStr">
        <is>
          <t>Hà Nội</t>
        </is>
      </c>
      <c r="G3411" t="inlineStr">
        <is>
          <t>31-03-2026</t>
        </is>
      </c>
      <c r="H3411" t="inlineStr">
        <is>
          <t>31/03/2026</t>
        </is>
      </c>
      <c r="I3411" t="inlineStr">
        <is>
          <t>17/03/2026</t>
        </is>
      </c>
      <c r="J3411" t="inlineStr">
        <is>
          <t>Hành chính / Thư ký</t>
        </is>
      </c>
      <c r="K3411" t="inlineStr">
        <is>
          <t>2 - 5 Năm</t>
        </is>
      </c>
      <c r="L3411" s="8">
        <f>HYPERLINK("https://careerviet.vn/vi/tim-viec-lam/tro-ly-tong-giam-doc.35C6AA0B.html","Xem chi tiết")</f>
        <v/>
      </c>
    </row>
    <row r="3412">
      <c r="B3412" s="9" t="n">
        <v>3410</v>
      </c>
      <c r="C3412" s="10" t="inlineStr">
        <is>
          <t>Chuyên Viên Kỹ Thuật Thi Công (Nội thất)</t>
        </is>
      </c>
      <c r="D3412" s="10" t="inlineStr">
        <is>
          <t>CÔNG TY CỔ PHẦN BOHO CORPORATION</t>
        </is>
      </c>
      <c r="E3412" s="10" t="inlineStr">
        <is>
          <t>Lương:19 Tr - 27 Tr VND</t>
        </is>
      </c>
      <c r="F3412" s="10" t="inlineStr">
        <is>
          <t>Hà Nội</t>
        </is>
      </c>
      <c r="G3412" s="10" t="inlineStr">
        <is>
          <t>31-03-2026</t>
        </is>
      </c>
      <c r="H3412" s="10" t="inlineStr">
        <is>
          <t>31/03/2026</t>
        </is>
      </c>
      <c r="I3412" s="10" t="inlineStr">
        <is>
          <t>17/03/2026</t>
        </is>
      </c>
      <c r="J3412" s="10" t="inlineStr">
        <is>
          <t>Xây dựng, Nội ngoại thất</t>
        </is>
      </c>
      <c r="K3412" s="10" t="inlineStr">
        <is>
          <t>3 - 5 Năm</t>
        </is>
      </c>
      <c r="L3412" s="11">
        <f>HYPERLINK("https://careerviet.vn/vi/tim-viec-lam/chuyen-vien-ky-thuat-thi-cong-noi-that.35C6B267.html","Xem chi tiết")</f>
        <v/>
      </c>
      <c r="M3412" s="10" t="n"/>
    </row>
    <row r="3413">
      <c r="B3413" s="7" t="n">
        <v>3411</v>
      </c>
      <c r="C3413" t="inlineStr">
        <is>
          <t>Golang Developer (Blockchain/Web3)</t>
        </is>
      </c>
      <c r="D3413" t="inlineStr">
        <is>
          <t>Nexsoft Technology</t>
        </is>
      </c>
      <c r="E3413" t="inlineStr">
        <is>
          <t>Lương:Cạnh tranh</t>
        </is>
      </c>
      <c r="F3413" t="inlineStr">
        <is>
          <t>Hồ Chí Minh</t>
        </is>
      </c>
      <c r="G3413" t="inlineStr">
        <is>
          <t>04-04-2026</t>
        </is>
      </c>
      <c r="H3413" t="inlineStr">
        <is>
          <t>04/04/2026</t>
        </is>
      </c>
      <c r="I3413" t="inlineStr">
        <is>
          <t>17/03/2026</t>
        </is>
      </c>
      <c r="J3413" t="inlineStr">
        <is>
          <t>CNTT - Phần mềm</t>
        </is>
      </c>
      <c r="K3413" t="inlineStr">
        <is>
          <t>Trên 5 Năm</t>
        </is>
      </c>
      <c r="L3413" s="8">
        <f>HYPERLINK("https://careerviet.vn/vi/tim-viec-lam/golang-developer-blockchain-web3.35C6B072.html","Xem chi tiết")</f>
        <v/>
      </c>
    </row>
    <row r="3414">
      <c r="B3414" s="9" t="n">
        <v>3412</v>
      </c>
      <c r="C3414" s="10" t="inlineStr">
        <is>
          <t>Trưởng Phòng Kinh Doanh B2B</t>
        </is>
      </c>
      <c r="D3414" s="10" t="inlineStr">
        <is>
          <t>CÔNG TY TNHH MTV THƯƠNG MẠI DỊCH VỤ BLUE OCEAN- THẾ GIỚI SKINFOOD</t>
        </is>
      </c>
      <c r="E3414" s="10" t="inlineStr">
        <is>
          <t>Lương:20 Tr - 30 Tr VND</t>
        </is>
      </c>
      <c r="F3414" s="10" t="inlineStr">
        <is>
          <t>Hồ Chí Minh</t>
        </is>
      </c>
      <c r="G3414" s="10" t="inlineStr">
        <is>
          <t>05-04-2026</t>
        </is>
      </c>
      <c r="H3414" s="10" t="inlineStr">
        <is>
          <t>05/04/2026</t>
        </is>
      </c>
      <c r="I3414" s="10" t="inlineStr">
        <is>
          <t>17/03/2026</t>
        </is>
      </c>
      <c r="J3414" s="10" t="inlineStr">
        <is>
          <t>Bán lẻ / Bán sỉ, Bán hàng / Kinh doanh, Tiếp thị trực tuyến</t>
        </is>
      </c>
      <c r="K3414" s="10" t="inlineStr">
        <is>
          <t>3 - 5 Năm</t>
        </is>
      </c>
      <c r="L3414" s="11">
        <f>HYPERLINK("https://careerviet.vn/vi/tim-viec-lam/truong-phong-kinh-doanh-b2b.35C6AFEE.html","Xem chi tiết")</f>
        <v/>
      </c>
      <c r="M3414" s="10" t="n"/>
    </row>
    <row r="3415">
      <c r="B3415" s="7" t="n">
        <v>3413</v>
      </c>
      <c r="C3415" t="inlineStr">
        <is>
          <t>Marketing Lead</t>
        </is>
      </c>
      <c r="D3415" t="inlineStr">
        <is>
          <t>CÔNG TY TNHH SIXDESKIN</t>
        </is>
      </c>
      <c r="E3415" t="inlineStr">
        <is>
          <t>Lương:Cạnh tranh</t>
        </is>
      </c>
      <c r="F3415" t="inlineStr">
        <is>
          <t>Hà Nội</t>
        </is>
      </c>
      <c r="G3415" t="inlineStr">
        <is>
          <t>04-04-2026</t>
        </is>
      </c>
      <c r="H3415" t="inlineStr">
        <is>
          <t>04/04/2026</t>
        </is>
      </c>
      <c r="I3415" t="inlineStr">
        <is>
          <t>17/03/2026</t>
        </is>
      </c>
      <c r="J3415" t="inlineStr">
        <is>
          <t>Dược phẩm/ Hóa Mỹ Phẩm, Tiếp thị / Marketing, Y tế / Chăm sóc sức khỏe / Thẩm mỹ / Làm đẹp</t>
        </is>
      </c>
      <c r="K3415" t="inlineStr">
        <is>
          <t>Trên 2 Năm</t>
        </is>
      </c>
      <c r="L3415" s="8">
        <f>HYPERLINK("https://careerviet.vn/vi/tim-viec-lam/marketing-lead.35C6AFA9.html","Xem chi tiết")</f>
        <v/>
      </c>
    </row>
    <row r="3416">
      <c r="B3416" s="9" t="n">
        <v>3414</v>
      </c>
      <c r="C3416" s="10" t="inlineStr">
        <is>
          <t>Nhân viên tuyển dụng và quản lý thanh toán</t>
        </is>
      </c>
      <c r="D3416" s="10" t="inlineStr">
        <is>
          <t>CÔNG TY CỔ PHẦN KỸ THUẬT NHIỆT MÈO ĐEN</t>
        </is>
      </c>
      <c r="E3416" s="10" t="inlineStr">
        <is>
          <t>Lương:Cạnh tranh</t>
        </is>
      </c>
      <c r="F3416" s="10" t="inlineStr">
        <is>
          <t>Bà Rịa - Vũng Tàu</t>
        </is>
      </c>
      <c r="G3416" s="10" t="inlineStr">
        <is>
          <t>3</t>
        </is>
      </c>
      <c r="H3416" s="10" t="inlineStr">
        <is>
          <t>20/03/2026</t>
        </is>
      </c>
      <c r="I3416" s="10" t="inlineStr">
        <is>
          <t>17/03/2026</t>
        </is>
      </c>
      <c r="J3416" s="10" t="inlineStr">
        <is>
          <t>Nhân sự, Hành chính / Thư ký</t>
        </is>
      </c>
      <c r="K3416" s="10" t="inlineStr">
        <is>
          <t>2 - 5 Năm</t>
        </is>
      </c>
      <c r="L3416" s="11">
        <f>HYPERLINK("https://careerviet.vn/vi/tim-viec-lam/nhan-vien-tuyen-dung-va-quan-ly-thanh-toan.35C6B1AF.html","Xem chi tiết")</f>
        <v/>
      </c>
      <c r="M3416" s="10" t="n"/>
    </row>
    <row r="3417">
      <c r="B3417" s="7" t="n">
        <v>3415</v>
      </c>
      <c r="C3417" t="inlineStr">
        <is>
          <t>HR Executive / HR Officer</t>
        </is>
      </c>
      <c r="D3417" t="inlineStr">
        <is>
          <t>Công Ty TNHH Sản Xuất Keo Dán Thuận Nguyên</t>
        </is>
      </c>
      <c r="E3417" t="inlineStr">
        <is>
          <t>Lương:Cạnh tranh</t>
        </is>
      </c>
      <c r="F3417" t="inlineStr">
        <is>
          <t>Hà NộiHưng Yên</t>
        </is>
      </c>
      <c r="G3417" t="inlineStr">
        <is>
          <t>05-04-2026</t>
        </is>
      </c>
      <c r="H3417" t="inlineStr">
        <is>
          <t>05/04/2026</t>
        </is>
      </c>
      <c r="I3417" t="inlineStr">
        <is>
          <t>17/03/2026</t>
        </is>
      </c>
      <c r="J3417" t="inlineStr">
        <is>
          <t>Nhân sự, Hành chính / Thư ký, Luật / Pháp lý</t>
        </is>
      </c>
      <c r="K3417" t="inlineStr">
        <is>
          <t>2 - 3 Năm</t>
        </is>
      </c>
      <c r="L3417" s="8">
        <f>HYPERLINK("https://careerviet.vn/vi/tim-viec-lam/hr-executive-hr-officer.35C6AFC4.html","Xem chi tiết")</f>
        <v/>
      </c>
    </row>
    <row r="3418">
      <c r="B3418" s="9" t="n">
        <v>3416</v>
      </c>
      <c r="C3418" s="10" t="inlineStr">
        <is>
          <t>Medical Trainer - Aesthetics</t>
        </is>
      </c>
      <c r="D3418" s="10" t="inlineStr">
        <is>
          <t>CÔNG TY TNHH MINTHACARE</t>
        </is>
      </c>
      <c r="E3418" s="10" t="inlineStr">
        <is>
          <t>Lương:Cạnh tranh</t>
        </is>
      </c>
      <c r="F3418" s="10" t="inlineStr">
        <is>
          <t>Hà Nội</t>
        </is>
      </c>
      <c r="G3418" s="10" t="inlineStr">
        <is>
          <t>04-04-2026</t>
        </is>
      </c>
      <c r="H3418" s="10" t="inlineStr">
        <is>
          <t>04/04/2026</t>
        </is>
      </c>
      <c r="I3418" s="10" t="inlineStr">
        <is>
          <t>17/03/2026</t>
        </is>
      </c>
      <c r="J3418" s="10" t="inlineStr">
        <is>
          <t>Giáo dục / Đào tạo, Bán lẻ / Bán sỉ, Y tế / Chăm sóc sức khỏe / Thẩm mỹ / Làm đẹp</t>
        </is>
      </c>
      <c r="K3418" s="10" t="inlineStr">
        <is>
          <t>1 - 5 Năm</t>
        </is>
      </c>
      <c r="L3418" s="11">
        <f>HYPERLINK("https://careerviet.vn/vi/tim-viec-lam/medical-trainer-aesthetics.35C6B1F0.html","Xem chi tiết")</f>
        <v/>
      </c>
      <c r="M3418" s="10" t="n"/>
    </row>
    <row r="3419">
      <c r="B3419" s="7" t="n">
        <v>3417</v>
      </c>
      <c r="C3419" t="inlineStr">
        <is>
          <t>[FMCG-HCM] Head of Trade Marketing</t>
        </is>
      </c>
      <c r="D3419" t="inlineStr">
        <is>
          <t>Công Ty NABATI Việt Nam</t>
        </is>
      </c>
      <c r="E3419" t="inlineStr">
        <is>
          <t>Lương:Cạnh tranh</t>
        </is>
      </c>
      <c r="F3419" t="inlineStr">
        <is>
          <t>Hồ Chí Minh</t>
        </is>
      </c>
      <c r="G3419" t="inlineStr">
        <is>
          <t>15-04-2026</t>
        </is>
      </c>
      <c r="H3419" t="inlineStr">
        <is>
          <t>15/04/2026</t>
        </is>
      </c>
      <c r="I3419" t="inlineStr">
        <is>
          <t>17/03/2026</t>
        </is>
      </c>
      <c r="J3419" t="inlineStr">
        <is>
          <t>Tiếp thị / Marketing, Bán hàng / Kinh doanh, Tiếp thị trực tuyến</t>
        </is>
      </c>
      <c r="K3419" t="inlineStr">
        <is>
          <t>2 - 6 Năm</t>
        </is>
      </c>
      <c r="L3419" s="8">
        <f>HYPERLINK("https://careerviet.vn/vi/tim-viec-lam/fmcg-hcm-head-of-trade-marketing.35C6AF3C.html","Xem chi tiết")</f>
        <v/>
      </c>
    </row>
    <row r="3420">
      <c r="B3420" s="9" t="n">
        <v>3418</v>
      </c>
      <c r="C3420" s="10" t="inlineStr">
        <is>
          <t>Chuyên Viên Nhân Sự Tổng Hợp</t>
        </is>
      </c>
      <c r="D3420" s="10" t="inlineStr">
        <is>
          <t>Công Ty Cổ Phần Hanotech Việt Nam</t>
        </is>
      </c>
      <c r="E3420" s="10" t="inlineStr">
        <is>
          <t>Lương:16 Tr - 22 Tr VND</t>
        </is>
      </c>
      <c r="F3420" s="10" t="inlineStr">
        <is>
          <t>Hà Nội</t>
        </is>
      </c>
      <c r="G3420" s="10" t="inlineStr">
        <is>
          <t>05-04-2026</t>
        </is>
      </c>
      <c r="H3420" s="10" t="inlineStr">
        <is>
          <t>05/04/2026</t>
        </is>
      </c>
      <c r="I3420" s="10" t="inlineStr">
        <is>
          <t>17/03/2026</t>
        </is>
      </c>
      <c r="J3420" s="10" t="inlineStr">
        <is>
          <t>Hành chính / Thư ký, Nhân sự, Luật / Pháp lý</t>
        </is>
      </c>
      <c r="K3420" s="10" t="inlineStr">
        <is>
          <t>2 - 3 Năm</t>
        </is>
      </c>
      <c r="L3420" s="11">
        <f>HYPERLINK("https://careerviet.vn/vi/tim-viec-lam/chuyen-vien-nhan-su-tong-hop.35C6B176.html","Xem chi tiết")</f>
        <v/>
      </c>
      <c r="M3420" s="10" t="n"/>
    </row>
    <row r="3421">
      <c r="B3421" s="7" t="n">
        <v>3419</v>
      </c>
      <c r="C3421" t="inlineStr">
        <is>
          <t>Warehouse Assistant - Trợ Lí Kho (KCN MỸ PHƯỚC 4)</t>
        </is>
      </c>
      <c r="D3421" t="inlineStr">
        <is>
          <t>Bảo mật</t>
        </is>
      </c>
      <c r="E3421" t="inlineStr">
        <is>
          <t>Lương:17 Tr - 22 Tr VND</t>
        </is>
      </c>
      <c r="F3421" t="inlineStr">
        <is>
          <t>Bình Dương</t>
        </is>
      </c>
      <c r="G3421" t="inlineStr">
        <is>
          <t>11-04-2026</t>
        </is>
      </c>
      <c r="H3421" t="inlineStr">
        <is>
          <t>11/04/2026</t>
        </is>
      </c>
      <c r="I3421" t="inlineStr">
        <is>
          <t>17/03/2026</t>
        </is>
      </c>
      <c r="J3421" t="inlineStr">
        <is>
          <t>Bưu chính viễn thông, Vận chuyển / Giao nhận / Kho vận, Xuất nhập khẩu</t>
        </is>
      </c>
      <c r="K3421" t="inlineStr">
        <is>
          <t>1 - 2 Năm</t>
        </is>
      </c>
      <c r="L3421" s="8">
        <f>HYPERLINK("https://careerviet.vn/vi/tim-viec-lam/warehouse-assistant-tro-li-kho-kcn-my-phuoc-4.35C6B638.html","Xem chi tiết")</f>
        <v/>
      </c>
    </row>
    <row r="3422">
      <c r="B3422" s="9" t="n">
        <v>3420</v>
      </c>
      <c r="C3422" s="10" t="inlineStr">
        <is>
          <t>Graphic Designer</t>
        </is>
      </c>
      <c r="D3422" s="10" t="inlineStr">
        <is>
          <t>CÔNG TY TNHH SIXDESKIN</t>
        </is>
      </c>
      <c r="E3422" s="10" t="inlineStr">
        <is>
          <t>Lương:Cạnh tranh</t>
        </is>
      </c>
      <c r="F3422" s="10" t="inlineStr">
        <is>
          <t>Hà Nội</t>
        </is>
      </c>
      <c r="G3422" s="10" t="inlineStr">
        <is>
          <t>04-04-2026</t>
        </is>
      </c>
      <c r="H3422" s="10" t="inlineStr">
        <is>
          <t>04/04/2026</t>
        </is>
      </c>
      <c r="I3422" s="10" t="inlineStr">
        <is>
          <t>17/03/2026</t>
        </is>
      </c>
      <c r="J3422" s="10" t="inlineStr">
        <is>
          <t>Dược phẩm/ Hóa Mỹ Phẩm, Tiếp thị / Marketing, Y tế / Chăm sóc sức khỏe / Thẩm mỹ / Làm đẹp</t>
        </is>
      </c>
      <c r="K3422" s="10" t="inlineStr">
        <is>
          <t>Trên 1 Năm</t>
        </is>
      </c>
      <c r="L3422" s="11">
        <f>HYPERLINK("https://careerviet.vn/vi/tim-viec-lam/graphic-designer.35C6AEB6.html","Xem chi tiết")</f>
        <v/>
      </c>
      <c r="M3422" s="10" t="n"/>
    </row>
    <row r="3423">
      <c r="B3423" s="7" t="n">
        <v>3421</v>
      </c>
      <c r="C3423" t="inlineStr">
        <is>
          <t>Kỹ sư An toàn thông tin</t>
        </is>
      </c>
      <c r="D3423" t="inlineStr">
        <is>
          <t>Tổng Công ty Sản xuất thiết bị Viettel - Tập đoàn Công nghiệp -  Viễn thông Quân đội (VIETTEL)</t>
        </is>
      </c>
      <c r="E3423" t="inlineStr">
        <is>
          <t>Lương:Cạnh tranh</t>
        </is>
      </c>
      <c r="F3423" t="inlineStr">
        <is>
          <t>Hà Nội</t>
        </is>
      </c>
      <c r="G3423" t="inlineStr">
        <is>
          <t>31-03-2026</t>
        </is>
      </c>
      <c r="H3423" t="inlineStr">
        <is>
          <t>31/03/2026</t>
        </is>
      </c>
      <c r="I3423" t="inlineStr">
        <is>
          <t>17/03/2026</t>
        </is>
      </c>
      <c r="J3423" t="inlineStr">
        <is>
          <t>CNTT - Phần mềm, Bưu chính viễn thông, CNTT - Phần cứng / Mạng</t>
        </is>
      </c>
      <c r="K3423" t="inlineStr">
        <is>
          <t>N/A</t>
        </is>
      </c>
      <c r="L3423" s="8">
        <f>HYPERLINK("https://careerviet.vn/vi/tim-viec-lam/ky-su-an-toan-thong-tin.35C6B273.html","Xem chi tiết")</f>
        <v/>
      </c>
    </row>
    <row r="3424">
      <c r="B3424" s="9" t="n">
        <v>3422</v>
      </c>
      <c r="C3424" s="10" t="inlineStr">
        <is>
          <t>KOL/KOC Business Development</t>
        </is>
      </c>
      <c r="D3424" s="10" t="inlineStr">
        <is>
          <t>CÔNG TY TNHH BLUEMEDIA VIỆT NAM</t>
        </is>
      </c>
      <c r="E3424" s="10" t="inlineStr">
        <is>
          <t>Lương:8 Tr - 20 Tr VND</t>
        </is>
      </c>
      <c r="F3424" s="10" t="inlineStr">
        <is>
          <t>Hồ Chí Minh</t>
        </is>
      </c>
      <c r="G3424" s="10" t="inlineStr">
        <is>
          <t>25-03-2026</t>
        </is>
      </c>
      <c r="H3424" s="10" t="inlineStr">
        <is>
          <t>25/03/2026</t>
        </is>
      </c>
      <c r="I3424" s="10" t="inlineStr">
        <is>
          <t>17/03/2026</t>
        </is>
      </c>
      <c r="J3424" s="10" t="inlineStr">
        <is>
          <t>Tiếp thị / Marketing, Tiếp thị trực tuyến, Quảng cáo / Đối ngoại / Truyền Thông</t>
        </is>
      </c>
      <c r="K3424" s="10" t="inlineStr">
        <is>
          <t>1 - 2 Năm</t>
        </is>
      </c>
      <c r="L3424" s="11">
        <f>HYPERLINK("https://careerviet.vn/vi/tim-viec-lam/kol-koc-business-development.35C6C13F.html","Xem chi tiết")</f>
        <v/>
      </c>
      <c r="M3424" s="10" t="n"/>
    </row>
    <row r="3425">
      <c r="B3425" s="7" t="n">
        <v>3423</v>
      </c>
      <c r="C3425" t="inlineStr">
        <is>
          <t>Nhân viên tư vấn &amp; CSKH</t>
        </is>
      </c>
      <c r="D3425" t="inlineStr">
        <is>
          <t>Bảo mật</t>
        </is>
      </c>
      <c r="E3425" t="inlineStr">
        <is>
          <t>Lương:Cạnh tranh</t>
        </is>
      </c>
      <c r="F3425" t="inlineStr">
        <is>
          <t>Bà Rịa - Vũng Tàu</t>
        </is>
      </c>
      <c r="G3425" t="inlineStr">
        <is>
          <t>10-04-2026</t>
        </is>
      </c>
      <c r="H3425" t="inlineStr">
        <is>
          <t>10/04/2026</t>
        </is>
      </c>
      <c r="I3425" t="inlineStr">
        <is>
          <t>17/03/2026</t>
        </is>
      </c>
      <c r="J3425" t="inlineStr">
        <is>
          <t>Thương mại điện tử, Thực phẩm &amp; Đồ uống, Dệt may / Da giày / Thời trang</t>
        </is>
      </c>
      <c r="K3425" t="inlineStr">
        <is>
          <t>Chưa có kinh nghiệm</t>
        </is>
      </c>
      <c r="L3425" s="8">
        <f>HYPERLINK("https://careerviet.vn/vi/tim-viec-lam/nhan-vien-tu-van-cskh.35C6C1EC.html","Xem chi tiết")</f>
        <v/>
      </c>
    </row>
    <row r="3426">
      <c r="B3426" s="9" t="n">
        <v>3424</v>
      </c>
      <c r="C3426" s="10" t="inlineStr">
        <is>
          <t>Nhân Viên QHSE (HSE)</t>
        </is>
      </c>
      <c r="D3426" s="10" t="inlineStr">
        <is>
          <t>CÔNG TY TNHH CHẾ TẠO BƠM TS</t>
        </is>
      </c>
      <c r="E3426" s="10" t="inlineStr">
        <is>
          <t>Lương:12 Tr - 23 Tr VND</t>
        </is>
      </c>
      <c r="F3426" s="10" t="inlineStr">
        <is>
          <t>Bình Dương</t>
        </is>
      </c>
      <c r="G3426" s="10" t="inlineStr">
        <is>
          <t>31-05-2026</t>
        </is>
      </c>
      <c r="H3426" s="10" t="inlineStr">
        <is>
          <t>31/05/2026</t>
        </is>
      </c>
      <c r="I3426" s="10" t="inlineStr">
        <is>
          <t>17/03/2026</t>
        </is>
      </c>
      <c r="J3426" s="10" t="inlineStr">
        <is>
          <t>Cơ khí / Ô tô / Tự động hóa, Quản lý chất lượng (QA/QC), An toàn lao động</t>
        </is>
      </c>
      <c r="K3426" s="10" t="inlineStr">
        <is>
          <t>1 - 5 Năm</t>
        </is>
      </c>
      <c r="L3426" s="11">
        <f>HYPERLINK("https://careerviet.vn/vi/tim-viec-lam/nhan-vien-qhse-hse.35C6C1EA.html","Xem chi tiết")</f>
        <v/>
      </c>
      <c r="M3426" s="10" t="n"/>
    </row>
    <row r="3427">
      <c r="B3427" s="7" t="n">
        <v>3425</v>
      </c>
      <c r="C3427" t="inlineStr">
        <is>
          <t>Accounting Supervisor</t>
        </is>
      </c>
      <c r="D3427" t="inlineStr">
        <is>
          <t>Công ty TNHH Thực phẩm Nissin Việt Nam</t>
        </is>
      </c>
      <c r="E3427" t="inlineStr">
        <is>
          <t>Lương:Cạnh tranh</t>
        </is>
      </c>
      <c r="F3427" t="inlineStr">
        <is>
          <t>Hồ Chí Minh</t>
        </is>
      </c>
      <c r="G3427" t="inlineStr">
        <is>
          <t>31-12-2026</t>
        </is>
      </c>
      <c r="H3427" t="inlineStr">
        <is>
          <t>31/12/2026</t>
        </is>
      </c>
      <c r="I3427" t="inlineStr">
        <is>
          <t>17/03/2026</t>
        </is>
      </c>
      <c r="J3427" t="inlineStr">
        <is>
          <t>Kế toán / Kiểm toán, Tài chính / Đầu tư</t>
        </is>
      </c>
      <c r="K3427" t="inlineStr">
        <is>
          <t>5 Năm</t>
        </is>
      </c>
      <c r="L3427" s="8">
        <f>HYPERLINK("https://careerviet.vn/vi/tim-viec-lam/accounting-supervisor.35C6BE2A.html","Xem chi tiết")</f>
        <v/>
      </c>
    </row>
    <row r="3428">
      <c r="B3428" s="9" t="n">
        <v>3426</v>
      </c>
      <c r="C3428" s="10" t="inlineStr">
        <is>
          <t>Nhân Viên Bán Hàng  (Sân bay Quốc tế Long Thành)</t>
        </is>
      </c>
      <c r="D3428" s="10" t="inlineStr">
        <is>
          <t>Công ty Cổ Phần Dịch Vụ Hàng Không Sân Bay Tân Sơn Nhất</t>
        </is>
      </c>
      <c r="E3428" s="10" t="inlineStr">
        <is>
          <t>Lương:14 Tr - 15 Tr VND</t>
        </is>
      </c>
      <c r="F3428" s="10" t="inlineStr">
        <is>
          <t>Đồng Nai</t>
        </is>
      </c>
      <c r="G3428" s="10" t="inlineStr">
        <is>
          <t>15-04-2026</t>
        </is>
      </c>
      <c r="H3428" s="10" t="inlineStr">
        <is>
          <t>15/04/2026</t>
        </is>
      </c>
      <c r="I3428" s="10" t="inlineStr">
        <is>
          <t>17/03/2026</t>
        </is>
      </c>
      <c r="J3428" s="10" t="inlineStr">
        <is>
          <t>Bán hàng / Kinh doanh, Dịch vụ khách hàng, Hàng không</t>
        </is>
      </c>
      <c r="K3428" s="10" t="inlineStr">
        <is>
          <t>Lên đến 1 Năm</t>
        </is>
      </c>
      <c r="L3428" s="11">
        <f>HYPERLINK("https://careerviet.vn/vi/tim-viec-lam/nhan-vien-ban-hang-san-bay-quoc-te-long-thanh.35C6C581.html","Xem chi tiết")</f>
        <v/>
      </c>
      <c r="M3428" s="10" t="n"/>
    </row>
    <row r="3429">
      <c r="B3429" s="7" t="n">
        <v>3427</v>
      </c>
      <c r="C3429" t="inlineStr">
        <is>
          <t>Nhân Viên Kho</t>
        </is>
      </c>
      <c r="D3429" t="inlineStr">
        <is>
          <t>Công Ty cổ phần Yến Việt</t>
        </is>
      </c>
      <c r="E3429" t="inlineStr">
        <is>
          <t>Lương:10 Tr - 12 Tr VND</t>
        </is>
      </c>
      <c r="F3429" t="inlineStr">
        <is>
          <t>Hà Nội</t>
        </is>
      </c>
      <c r="G3429" t="inlineStr">
        <is>
          <t>04-04-2026</t>
        </is>
      </c>
      <c r="H3429" t="inlineStr">
        <is>
          <t>04/04/2026</t>
        </is>
      </c>
      <c r="I3429" t="inlineStr">
        <is>
          <t>17/03/2026</t>
        </is>
      </c>
      <c r="J3429" t="inlineStr">
        <is>
          <t>Vận chuyển / Giao nhận / Kho vận, Thực phẩm &amp; Đồ uống, Kế toán / Kiểm toánBằng cấpTrung cấpĐộ tuổi25 - 40</t>
        </is>
      </c>
      <c r="K3429" t="inlineStr">
        <is>
          <t>N/A</t>
        </is>
      </c>
      <c r="L3429" s="8">
        <f>HYPERLINK("https://careerviet.vn/vi/tim-viec-lam/nhan-vien-kho.35C6B003.html","Xem chi tiết")</f>
        <v/>
      </c>
    </row>
    <row r="3430">
      <c r="B3430" s="9" t="n">
        <v>3428</v>
      </c>
      <c r="C3430" s="10" t="inlineStr">
        <is>
          <t>Giám Sát Thi Công Nội Thất</t>
        </is>
      </c>
      <c r="D3430" s="10" t="inlineStr">
        <is>
          <t>TẬP ĐOÀN HẠ TẦNG ĐÔ THỊ</t>
        </is>
      </c>
      <c r="E3430" s="10" t="inlineStr">
        <is>
          <t>Lương:Cạnh tranh</t>
        </is>
      </c>
      <c r="F3430" s="10" t="inlineStr">
        <is>
          <t>Hà Nội</t>
        </is>
      </c>
      <c r="G3430" s="10" t="inlineStr">
        <is>
          <t>30-04-2026</t>
        </is>
      </c>
      <c r="H3430" s="10" t="inlineStr">
        <is>
          <t>30/04/2026</t>
        </is>
      </c>
      <c r="I3430" s="10" t="inlineStr">
        <is>
          <t>17/03/2026</t>
        </is>
      </c>
      <c r="J3430" s="10" t="inlineStr">
        <is>
          <t>Xây dựng, Bất động sản, Nội ngoại thất</t>
        </is>
      </c>
      <c r="K3430" s="10" t="inlineStr">
        <is>
          <t>2 - 5 Năm</t>
        </is>
      </c>
      <c r="L3430" s="11">
        <f>HYPERLINK("https://careerviet.vn/vi/tim-viec-lam/giam-sat-thi-cong-noi-that.35C691E7.html","Xem chi tiết")</f>
        <v/>
      </c>
      <c r="M3430" s="10" t="n"/>
    </row>
    <row r="3431">
      <c r="B3431" s="7" t="n">
        <v>3429</v>
      </c>
      <c r="C3431" t="inlineStr">
        <is>
          <t>Nhân viên kế toán thuế</t>
        </is>
      </c>
      <c r="D3431" t="inlineStr">
        <is>
          <t>Công Ty Cổ Phần TEKCOM</t>
        </is>
      </c>
      <c r="E3431" t="inlineStr">
        <is>
          <t>Lương:Cạnh tranh</t>
        </is>
      </c>
      <c r="F3431" t="inlineStr">
        <is>
          <t>Bình Dương</t>
        </is>
      </c>
      <c r="G3431" t="inlineStr">
        <is>
          <t>11-04-2026</t>
        </is>
      </c>
      <c r="H3431" t="inlineStr">
        <is>
          <t>11/04/2026</t>
        </is>
      </c>
      <c r="I3431" t="inlineStr">
        <is>
          <t>17/03/2026</t>
        </is>
      </c>
      <c r="J3431" t="inlineStr">
        <is>
          <t>Kế toán / Kiểm toán, Tài chính / Đầu tư</t>
        </is>
      </c>
      <c r="K3431" t="inlineStr">
        <is>
          <t>2 - 3 Năm</t>
        </is>
      </c>
      <c r="L3431" s="8">
        <f>HYPERLINK("https://careerviet.vn/vi/tim-viec-lam/nhan-vien-ke-toan-thue.35C6C1E5.html","Xem chi tiết")</f>
        <v/>
      </c>
    </row>
    <row r="3432">
      <c r="B3432" s="9" t="n">
        <v>3430</v>
      </c>
      <c r="C3432" s="10" t="inlineStr">
        <is>
          <t>[LONG AN] - KỸ SƯ TRẮC ĐẠC</t>
        </is>
      </c>
      <c r="D3432" s="10" t="inlineStr">
        <is>
          <t>CÔNG TY CP TẬP ĐOÀN ĐẦU TƯ HOÀNG GIA VIỆT NAM</t>
        </is>
      </c>
      <c r="E3432" s="10" t="inlineStr">
        <is>
          <t>Lương:Cạnh tranh</t>
        </is>
      </c>
      <c r="F3432" s="10" t="inlineStr">
        <is>
          <t>Long An</t>
        </is>
      </c>
      <c r="G3432" s="10" t="inlineStr">
        <is>
          <t>31-03-2026</t>
        </is>
      </c>
      <c r="H3432" s="10" t="inlineStr">
        <is>
          <t>31/03/2026</t>
        </is>
      </c>
      <c r="I3432" s="10" t="inlineStr">
        <is>
          <t>17/03/2026</t>
        </is>
      </c>
      <c r="J3432" s="10" t="inlineStr">
        <is>
          <t>Trắc địa / Địa Chất, Xây dựng</t>
        </is>
      </c>
      <c r="K3432" s="10" t="inlineStr">
        <is>
          <t>Trên 5 Năm</t>
        </is>
      </c>
      <c r="L3432" s="11">
        <f>HYPERLINK("https://careerviet.vn/vi/tim-viec-lam/long-an-ky-su-trac-dac.35C693CB.html","Xem chi tiết")</f>
        <v/>
      </c>
      <c r="M3432" s="10" t="n"/>
    </row>
    <row r="3433">
      <c r="B3433" s="7" t="n">
        <v>3431</v>
      </c>
      <c r="C3433" t="inlineStr">
        <is>
          <t>KỸ SƯ QA/QC - QS - ME (LÀM TẠI TP.HCM)</t>
        </is>
      </c>
      <c r="D3433" t="inlineStr">
        <is>
          <t>CÔNG TY CỔ PHẦN ĐẦU TƯ XÂY DỰNG TRUNG NAM  - TRUNGNAM</t>
        </is>
      </c>
      <c r="E3433" t="inlineStr">
        <is>
          <t>Lương:Cạnh tranh</t>
        </is>
      </c>
      <c r="F3433" t="inlineStr">
        <is>
          <t>Hồ Chí Minh</t>
        </is>
      </c>
      <c r="G3433" t="inlineStr">
        <is>
          <t>10-04-2026</t>
        </is>
      </c>
      <c r="H3433" t="inlineStr">
        <is>
          <t>10/04/2026</t>
        </is>
      </c>
      <c r="I3433" t="inlineStr">
        <is>
          <t>17/03/2026</t>
        </is>
      </c>
      <c r="J3433" t="inlineStr">
        <is>
          <t>Xây dựng, Quản lý chất lượng (QA/QC), Điện / Điện tử / Điện lạnh / Điện công nghiệp</t>
        </is>
      </c>
      <c r="K3433" t="inlineStr">
        <is>
          <t>Trên 2 Năm</t>
        </is>
      </c>
      <c r="L3433" s="8">
        <f>HYPERLINK("https://careerviet.vn/vi/tim-viec-lam/ky-su-qa-qc-qs-me-lam-tai-tp-hcm.35C6BE20.html","Xem chi tiết")</f>
        <v/>
      </c>
    </row>
    <row r="3434">
      <c r="B3434" s="9" t="n">
        <v>3432</v>
      </c>
      <c r="C3434" s="10" t="inlineStr">
        <is>
          <t>Kỹ Sư Giám Sát Hạ Tầng</t>
        </is>
      </c>
      <c r="D3434" s="10" t="inlineStr">
        <is>
          <t>Công ty Cổ phần Tập đoàn C.E.O</t>
        </is>
      </c>
      <c r="E3434" s="10" t="inlineStr">
        <is>
          <t>Lương:Cạnh tranh</t>
        </is>
      </c>
      <c r="F3434" s="10" t="inlineStr">
        <is>
          <t>Hà NộiHải Phòng</t>
        </is>
      </c>
      <c r="G3434" s="10" t="inlineStr">
        <is>
          <t>11-04-2026</t>
        </is>
      </c>
      <c r="H3434" s="10" t="inlineStr">
        <is>
          <t>11/04/2026</t>
        </is>
      </c>
      <c r="I3434" s="10" t="inlineStr">
        <is>
          <t>17/03/2026</t>
        </is>
      </c>
      <c r="J3434" s="10" t="inlineStr">
        <is>
          <t>Kiến trúc, Xây dựng, Quản lý điều hành</t>
        </is>
      </c>
      <c r="K3434" s="10" t="inlineStr">
        <is>
          <t>Trên 5 Năm</t>
        </is>
      </c>
      <c r="L3434" s="11">
        <f>HYPERLINK("https://careerviet.vn/vi/tim-viec-lam/ky-su-giam-sat-ha-tang.35C6C1DA.html","Xem chi tiết")</f>
        <v/>
      </c>
      <c r="M3434" s="10" t="n"/>
    </row>
    <row r="3435">
      <c r="B3435" s="7" t="n">
        <v>3433</v>
      </c>
      <c r="C3435" t="inlineStr">
        <is>
          <t>Nhân viên C&amp;B</t>
        </is>
      </c>
      <c r="D3435" t="inlineStr">
        <is>
          <t>Công ty Cổ phần Sữa VitaDairy Việt Nam</t>
        </is>
      </c>
      <c r="E3435" t="inlineStr">
        <is>
          <t>Lương:Cạnh tranh</t>
        </is>
      </c>
      <c r="F3435" t="inlineStr">
        <is>
          <t>Hồ Chí Minh</t>
        </is>
      </c>
      <c r="G3435" t="inlineStr">
        <is>
          <t>30-04-2026</t>
        </is>
      </c>
      <c r="H3435" t="inlineStr">
        <is>
          <t>30/04/2026</t>
        </is>
      </c>
      <c r="I3435" t="inlineStr">
        <is>
          <t>17/03/2026</t>
        </is>
      </c>
      <c r="J3435" t="inlineStr">
        <is>
          <t>Thực phẩm &amp; Đồ uống, Nhân sự, Hàng gia dụng / Chăm sóc cá nhân</t>
        </is>
      </c>
      <c r="K3435" t="inlineStr">
        <is>
          <t>1 - 2 Năm</t>
        </is>
      </c>
      <c r="L3435" s="8">
        <f>HYPERLINK("https://careerviet.vn/vi/tim-viec-lam/nhan-vien-c-b.35C6C1E7.html","Xem chi tiết")</f>
        <v/>
      </c>
    </row>
    <row r="3436">
      <c r="B3436" s="9" t="n">
        <v>3434</v>
      </c>
      <c r="C3436" s="10" t="inlineStr">
        <is>
          <t>Senior C&amp;B Executive - Chuyên viên Tiền lương và Phúc lợi cấp cao</t>
        </is>
      </c>
      <c r="D3436" s="10" t="inlineStr">
        <is>
          <t>CÔNG TY TNHH QUẢN LÝ TẬP ĐOÀN HYLO</t>
        </is>
      </c>
      <c r="E3436" s="10" t="inlineStr">
        <is>
          <t>Lương:Cạnh tranh</t>
        </is>
      </c>
      <c r="F3436" s="10" t="inlineStr">
        <is>
          <t>Hồ Chí Minh</t>
        </is>
      </c>
      <c r="G3436" s="10" t="inlineStr">
        <is>
          <t>10-04-2026</t>
        </is>
      </c>
      <c r="H3436" s="10" t="inlineStr">
        <is>
          <t>10/04/2026</t>
        </is>
      </c>
      <c r="I3436" s="10" t="inlineStr">
        <is>
          <t>17/03/2026</t>
        </is>
      </c>
      <c r="J3436" s="10" t="inlineStr">
        <is>
          <t>Nhân sự, Nhà hàng / Khách sạn, Kế toán / Kiểm toán</t>
        </is>
      </c>
      <c r="K3436" s="10" t="inlineStr">
        <is>
          <t>3 - 4 Năm</t>
        </is>
      </c>
      <c r="L3436" s="11">
        <f>HYPERLINK("https://careerviet.vn/vi/tim-viec-lam/senior-c-b-executive-chuyen-vien-tien-luong-va-phuc-loi-cap-cao.35C6C1DB.html","Xem chi tiết")</f>
        <v/>
      </c>
      <c r="M3436" s="10" t="n"/>
    </row>
    <row r="3437">
      <c r="B3437" s="7" t="n">
        <v>3435</v>
      </c>
      <c r="C3437" t="inlineStr">
        <is>
          <t>Senior R&amp;D Specialist – Washing (Denim)</t>
        </is>
      </c>
      <c r="D3437" t="inlineStr">
        <is>
          <t>Thuan Phuong Group</t>
        </is>
      </c>
      <c r="E3437" t="inlineStr">
        <is>
          <t>Lương:Cạnh tranh</t>
        </is>
      </c>
      <c r="F3437" t="inlineStr">
        <is>
          <t>Tây Ninh</t>
        </is>
      </c>
      <c r="G3437" t="inlineStr">
        <is>
          <t>11-04-2026</t>
        </is>
      </c>
      <c r="H3437" t="inlineStr">
        <is>
          <t>11/04/2026</t>
        </is>
      </c>
      <c r="I3437" t="inlineStr">
        <is>
          <t>17/03/2026</t>
        </is>
      </c>
      <c r="J3437" t="inlineStr">
        <is>
          <t>Dệt may / Da giày / Thời trang, Hóa học, Quản lý điều hành</t>
        </is>
      </c>
      <c r="K3437" t="inlineStr">
        <is>
          <t>Chưa có kinh nghiệm</t>
        </is>
      </c>
      <c r="L3437" s="8">
        <f>HYPERLINK("https://careerviet.vn/vi/tim-viec-lam/senior-r-d-specialist-washing-denim.35C6C1CF.html","Xem chi tiết")</f>
        <v/>
      </c>
    </row>
    <row r="3438">
      <c r="B3438" s="9" t="n">
        <v>3436</v>
      </c>
      <c r="C3438" s="10" t="inlineStr">
        <is>
          <t>HRM CEO Hospitality</t>
        </is>
      </c>
      <c r="D3438" s="10" t="inlineStr">
        <is>
          <t>Công ty Cổ phần Tập đoàn C.E.O</t>
        </is>
      </c>
      <c r="E3438" s="10" t="inlineStr">
        <is>
          <t>Lương:Cạnh tranh</t>
        </is>
      </c>
      <c r="F3438" s="10" t="inlineStr">
        <is>
          <t>Hà Nội</t>
        </is>
      </c>
      <c r="G3438" s="10" t="inlineStr">
        <is>
          <t>11-04-2026</t>
        </is>
      </c>
      <c r="H3438" s="10" t="inlineStr">
        <is>
          <t>11/04/2026</t>
        </is>
      </c>
      <c r="I3438" s="10" t="inlineStr">
        <is>
          <t>17/03/2026</t>
        </is>
      </c>
      <c r="J3438" s="10" t="inlineStr">
        <is>
          <t>Hành chính / Thư ký, Nhân sự, Luật / Pháp lý</t>
        </is>
      </c>
      <c r="K3438" s="10" t="inlineStr">
        <is>
          <t>Trên 5 Năm</t>
        </is>
      </c>
      <c r="L3438" s="11">
        <f>HYPERLINK("https://careerviet.vn/vi/tim-viec-lam/hrm-ceo-hospitality.35C6C1D6.html","Xem chi tiết")</f>
        <v/>
      </c>
      <c r="M3438" s="10" t="n"/>
    </row>
    <row r="3439">
      <c r="B3439" s="7" t="n">
        <v>3437</v>
      </c>
      <c r="C3439" t="inlineStr">
        <is>
          <t>Trợ lý Trưởng Bộ Phận Marketing (PA to Head of Marketing)</t>
        </is>
      </c>
      <c r="D3439" t="inlineStr">
        <is>
          <t>Công Ty TNHH Xuất Nhập Khẩu Bonario Việt Nam</t>
        </is>
      </c>
      <c r="E3439" t="inlineStr">
        <is>
          <t>Lương:Cạnh tranh</t>
        </is>
      </c>
      <c r="F3439" t="inlineStr">
        <is>
          <t>Hồ Chí Minh</t>
        </is>
      </c>
      <c r="G3439" t="inlineStr">
        <is>
          <t>10-04-2026</t>
        </is>
      </c>
      <c r="H3439" t="inlineStr">
        <is>
          <t>10/04/2026</t>
        </is>
      </c>
      <c r="I3439" t="inlineStr">
        <is>
          <t>17/03/2026</t>
        </is>
      </c>
      <c r="J3439" t="inlineStr">
        <is>
          <t>Tiếp thị / Marketing, Bán hàng / Kinh doanh, Tiếp thị trực tuyến</t>
        </is>
      </c>
      <c r="K3439" t="inlineStr">
        <is>
          <t>1 - 2 Năm</t>
        </is>
      </c>
      <c r="L3439" s="8">
        <f>HYPERLINK("https://careerviet.vn/vi/tim-viec-lam/tro-ly-truong-bo-phan-marketing-pa-to-head-of-marketing.35C6C0FC.html","Xem chi tiết")</f>
        <v/>
      </c>
    </row>
    <row r="3440">
      <c r="B3440" s="9" t="n">
        <v>3438</v>
      </c>
      <c r="C3440" s="10" t="inlineStr">
        <is>
          <t>Sales Engineer</t>
        </is>
      </c>
      <c r="D3440" s="10" t="inlineStr">
        <is>
          <t>CÔNG TY TNHH THƯƠNG MẠI &amp; KỸ THUẬT V.M.S</t>
        </is>
      </c>
      <c r="E3440" s="10" t="inlineStr">
        <is>
          <t>Lương:Trên 20 Tr VND</t>
        </is>
      </c>
      <c r="F3440" s="10" t="inlineStr">
        <is>
          <t>Hồ Chí MinhHà Nội</t>
        </is>
      </c>
      <c r="G3440" s="10" t="inlineStr">
        <is>
          <t>10-04-2026</t>
        </is>
      </c>
      <c r="H3440" s="10" t="inlineStr">
        <is>
          <t>10/04/2026</t>
        </is>
      </c>
      <c r="I3440" s="10" t="inlineStr">
        <is>
          <t>17/03/2026</t>
        </is>
      </c>
      <c r="J3440" s="10" t="inlineStr">
        <is>
          <t>Bán hàng / Kinh doanh, Bán Hàng Kỹ Thuật, Cơ khí / Ô tô / Tự động hóa</t>
        </is>
      </c>
      <c r="K3440" s="10" t="inlineStr">
        <is>
          <t>Chưa có kinh nghiệm</t>
        </is>
      </c>
      <c r="L3440" s="11">
        <f>HYPERLINK("https://careerviet.vn/vi/tim-viec-lam/sales-engineer.35C6C1BC.html","Xem chi tiết")</f>
        <v/>
      </c>
      <c r="M3440" s="10" t="n"/>
    </row>
    <row r="3441">
      <c r="B3441" s="7" t="n">
        <v>3439</v>
      </c>
      <c r="C3441" t="inlineStr">
        <is>
          <t>Video Editor/ Motion Graphic</t>
        </is>
      </c>
      <c r="D3441" t="inlineStr">
        <is>
          <t>Công Ty TNHH Thương Mại Dịch Vụ Xuất Nhập Khẩu The Vigo</t>
        </is>
      </c>
      <c r="E3441" t="inlineStr">
        <is>
          <t>Lương:20 Tr - 28 Tr VND</t>
        </is>
      </c>
      <c r="F3441" t="inlineStr">
        <is>
          <t>Hồ Chí Minh</t>
        </is>
      </c>
      <c r="G3441" t="inlineStr">
        <is>
          <t>09-04-2026</t>
        </is>
      </c>
      <c r="H3441" t="inlineStr">
        <is>
          <t>09/04/2026</t>
        </is>
      </c>
      <c r="I3441" t="inlineStr">
        <is>
          <t>17/03/2026</t>
        </is>
      </c>
      <c r="J3441" t="inlineStr">
        <is>
          <t>Tiếp thị / Marketing, Tiếp thị trực tuyến</t>
        </is>
      </c>
      <c r="K3441" t="inlineStr">
        <is>
          <t>3 - 5 Năm</t>
        </is>
      </c>
      <c r="L3441" s="8">
        <f>HYPERLINK("https://careerviet.vn/vi/tim-viec-lam/video-editor-motion-graphic.35C6C1BE.html","Xem chi tiết")</f>
        <v/>
      </c>
    </row>
    <row r="3442">
      <c r="B3442" s="9" t="n">
        <v>3440</v>
      </c>
      <c r="C3442" s="10" t="inlineStr">
        <is>
          <t>HR System &amp; Reporting Expert (SAP SuccessFactors Project Lead)</t>
        </is>
      </c>
      <c r="D3442" s="10" t="inlineStr">
        <is>
          <t>FE CREDIT</t>
        </is>
      </c>
      <c r="E3442" s="10" t="inlineStr">
        <is>
          <t>Lương:Cạnh tranh</t>
        </is>
      </c>
      <c r="F3442" s="10" t="inlineStr">
        <is>
          <t>Hồ Chí Minh</t>
        </is>
      </c>
      <c r="G3442" s="10" t="inlineStr">
        <is>
          <t>30-04-2026</t>
        </is>
      </c>
      <c r="H3442" s="10" t="inlineStr">
        <is>
          <t>30/04/2026</t>
        </is>
      </c>
      <c r="I3442" s="10" t="inlineStr">
        <is>
          <t>17/03/2026</t>
        </is>
      </c>
      <c r="J3442" s="10" t="inlineStr">
        <is>
          <t>Ngân hàng, Nhân sự, Bảo hiểm</t>
        </is>
      </c>
      <c r="K3442" s="10" t="inlineStr">
        <is>
          <t>4 - 5 Năm</t>
        </is>
      </c>
      <c r="L3442" s="11">
        <f>HYPERLINK("https://careerviet.vn/vi/tim-viec-lam/hr-system-reporting-expert-sap-successfactors-project-lead.35C6C1D7.html","Xem chi tiết")</f>
        <v/>
      </c>
      <c r="M3442" s="10" t="n"/>
    </row>
    <row r="3443">
      <c r="B3443" s="7" t="n">
        <v>3441</v>
      </c>
      <c r="C3443" t="inlineStr">
        <is>
          <t>Nhân Viên Bán Hàng Thời Trang Cao Cấp - HCM</t>
        </is>
      </c>
      <c r="D3443" t="inlineStr">
        <is>
          <t>Công Ty Cổ Phần Thời Trang &amp; Mỹ Phẩm Duy Anh (DAFC)</t>
        </is>
      </c>
      <c r="E3443" t="inlineStr">
        <is>
          <t>Lương:Cạnh tranh</t>
        </is>
      </c>
      <c r="F3443" t="inlineStr">
        <is>
          <t>Hồ Chí Minh</t>
        </is>
      </c>
      <c r="G3443" t="inlineStr">
        <is>
          <t>30-04-2026</t>
        </is>
      </c>
      <c r="H3443" t="inlineStr">
        <is>
          <t>30/04/2026</t>
        </is>
      </c>
      <c r="I3443" t="inlineStr">
        <is>
          <t>17/03/2026</t>
        </is>
      </c>
      <c r="J3443" t="inlineStr">
        <is>
          <t>Bán lẻ / Bán sỉ, Lao động phổ thông, Dệt may / Da giày / Thời trang</t>
        </is>
      </c>
      <c r="K3443" t="inlineStr">
        <is>
          <t>1 - 2 Năm</t>
        </is>
      </c>
      <c r="L3443" s="8">
        <f>HYPERLINK("https://careerviet.vn/vi/tim-viec-lam/nhan-vien-ban-hang-thoi-trang-cao-cap-hcm.35C692D9.html","Xem chi tiết")</f>
        <v/>
      </c>
    </row>
    <row r="3444">
      <c r="B3444" s="9" t="n">
        <v>3442</v>
      </c>
      <c r="C3444" s="10" t="inlineStr">
        <is>
          <t>Giám sát an toàn lao động</t>
        </is>
      </c>
      <c r="D3444" s="10" t="inlineStr">
        <is>
          <t>ERAS GROUP</t>
        </is>
      </c>
      <c r="E3444" s="10" t="inlineStr">
        <is>
          <t>Lương:Cạnh tranh</t>
        </is>
      </c>
      <c r="F3444" s="10" t="inlineStr">
        <is>
          <t>Bình Thuận</t>
        </is>
      </c>
      <c r="G3444" s="10" t="inlineStr">
        <is>
          <t>31-03-2026</t>
        </is>
      </c>
      <c r="H3444" s="10" t="inlineStr">
        <is>
          <t>31/03/2026</t>
        </is>
      </c>
      <c r="I3444" s="10" t="inlineStr">
        <is>
          <t>17/03/2026</t>
        </is>
      </c>
      <c r="J3444" s="10" t="inlineStr">
        <is>
          <t>Xây dựng, An toàn lao động</t>
        </is>
      </c>
      <c r="K3444" s="10" t="inlineStr">
        <is>
          <t>2 - 4 Năm</t>
        </is>
      </c>
      <c r="L3444" s="11">
        <f>HYPERLINK("https://careerviet.vn/vi/tim-viec-lam/giam-sat-an-toan-lao-dong.35C6C1C8.html","Xem chi tiết")</f>
        <v/>
      </c>
      <c r="M3444" s="10" t="n"/>
    </row>
    <row r="3445">
      <c r="B3445" s="7" t="n">
        <v>3443</v>
      </c>
      <c r="C3445" t="inlineStr">
        <is>
          <t>Nhân Viên Kinh Doanh - Ngành Kỹ Thuật</t>
        </is>
      </c>
      <c r="D3445" t="inlineStr">
        <is>
          <t>Công Ty TNHH Thiết Bị Công Nghệ Hải Long</t>
        </is>
      </c>
      <c r="E3445" t="inlineStr">
        <is>
          <t>Lương:Cạnh tranh</t>
        </is>
      </c>
      <c r="F3445" t="inlineStr">
        <is>
          <t>Hồ Chí Minh</t>
        </is>
      </c>
      <c r="G3445" t="inlineStr">
        <is>
          <t>10-04-2026</t>
        </is>
      </c>
      <c r="H3445" t="inlineStr">
        <is>
          <t>10/04/2026</t>
        </is>
      </c>
      <c r="I3445" t="inlineStr">
        <is>
          <t>17/03/2026</t>
        </is>
      </c>
      <c r="J3445" t="inlineStr">
        <is>
          <t>Tiếp thị / Marketing, Bán hàng / Kinh doanh, Dịch vụ khách hàng</t>
        </is>
      </c>
      <c r="K3445" t="inlineStr">
        <is>
          <t>2 - 5 Năm</t>
        </is>
      </c>
      <c r="L3445" s="8">
        <f>HYPERLINK("https://careerviet.vn/vi/tim-viec-lam/nhan-vien-kinh-doanh-nganh-ky-thuat.35C6C1B7.html","Xem chi tiết")</f>
        <v/>
      </c>
    </row>
    <row r="3446">
      <c r="B3446" s="9" t="n">
        <v>3444</v>
      </c>
      <c r="C3446" s="10" t="inlineStr">
        <is>
          <t>CHUYÊN VIÊN ĐÀO TẠO</t>
        </is>
      </c>
      <c r="D3446" s="10" t="inlineStr">
        <is>
          <t>Công Ty Cổ Phần Tập Đoàn Đèo Cả</t>
        </is>
      </c>
      <c r="E3446" s="10" t="inlineStr">
        <is>
          <t>Lương:Cạnh tranh</t>
        </is>
      </c>
      <c r="F3446" s="10" t="inlineStr">
        <is>
          <t>Hồ Chí MinhHà Nội</t>
        </is>
      </c>
      <c r="G3446" s="10" t="inlineStr">
        <is>
          <t>11-04-2026</t>
        </is>
      </c>
      <c r="H3446" s="10" t="inlineStr">
        <is>
          <t>11/04/2026</t>
        </is>
      </c>
      <c r="I3446" s="10" t="inlineStr">
        <is>
          <t>17/03/2026</t>
        </is>
      </c>
      <c r="J3446" s="10" t="inlineStr">
        <is>
          <t>Giáo dục / Đào tạo, Nhân sự</t>
        </is>
      </c>
      <c r="K3446" s="10" t="inlineStr">
        <is>
          <t>3 - 5 Năm</t>
        </is>
      </c>
      <c r="L3446" s="11">
        <f>HYPERLINK("https://careerviet.vn/vi/tim-viec-lam/chuyen-vien-dao-tao.35C6C1D0.html","Xem chi tiết")</f>
        <v/>
      </c>
      <c r="M3446" s="10" t="n"/>
    </row>
    <row r="3447">
      <c r="B3447" s="7" t="n">
        <v>3445</v>
      </c>
      <c r="C3447" t="inlineStr">
        <is>
          <t>Giám đốc điều hành (CEO)</t>
        </is>
      </c>
      <c r="D3447" t="inlineStr">
        <is>
          <t>Công ty TNHH Bình Việt Đức (BIVID)</t>
        </is>
      </c>
      <c r="E3447" t="inlineStr">
        <is>
          <t>Lương:Cạnh tranh</t>
        </is>
      </c>
      <c r="F3447" t="inlineStr">
        <is>
          <t>Hồ Chí Minh</t>
        </is>
      </c>
      <c r="G3447" t="inlineStr">
        <is>
          <t>15-04-2026</t>
        </is>
      </c>
      <c r="H3447" t="inlineStr">
        <is>
          <t>15/04/2026</t>
        </is>
      </c>
      <c r="I3447" t="inlineStr">
        <is>
          <t>17/03/2026</t>
        </is>
      </c>
      <c r="J3447" t="inlineStr">
        <is>
          <t>Dược phẩm/ Hóa Mỹ Phẩm, Bán hàng / Kinh doanh, Xây dựng</t>
        </is>
      </c>
      <c r="K3447" t="inlineStr">
        <is>
          <t>5 - 10 Năm</t>
        </is>
      </c>
      <c r="L3447" s="8">
        <f>HYPERLINK("https://careerviet.vn/vi/tim-viec-lam/giam-doc-dieu-hanh-ceo.35C6C1B5.html","Xem chi tiết")</f>
        <v/>
      </c>
    </row>
    <row r="3448">
      <c r="B3448" s="9" t="n">
        <v>3446</v>
      </c>
      <c r="C3448" s="10" t="inlineStr">
        <is>
          <t>Project Development Manager</t>
        </is>
      </c>
      <c r="D3448" s="10" t="inlineStr">
        <is>
          <t>KOVA Commerce – KOVA Group</t>
        </is>
      </c>
      <c r="E3448" s="10" t="inlineStr">
        <is>
          <t>Lương:Cạnh tranh</t>
        </is>
      </c>
      <c r="F3448" s="10" t="inlineStr">
        <is>
          <t>Hồ Chí Minh</t>
        </is>
      </c>
      <c r="G3448" s="10" t="inlineStr">
        <is>
          <t>10-04-2026</t>
        </is>
      </c>
      <c r="H3448" s="10" t="inlineStr">
        <is>
          <t>10/04/2026</t>
        </is>
      </c>
      <c r="I3448" s="10" t="inlineStr">
        <is>
          <t>17/03/2026</t>
        </is>
      </c>
      <c r="J3448" s="10" t="inlineStr">
        <is>
          <t>Bán hàng / Kinh doanh</t>
        </is>
      </c>
      <c r="K3448" s="10" t="inlineStr">
        <is>
          <t>5 - 6 Năm</t>
        </is>
      </c>
      <c r="L3448" s="11">
        <f>HYPERLINK("https://careerviet.vn/vi/tim-viec-lam/project-development-manager.35C6C1B1.html","Xem chi tiết")</f>
        <v/>
      </c>
      <c r="M3448" s="10" t="n"/>
    </row>
    <row r="3449">
      <c r="B3449" s="7" t="n">
        <v>3447</v>
      </c>
      <c r="C3449" t="inlineStr">
        <is>
          <t>Production Data Entry Junior Staff</t>
        </is>
      </c>
      <c r="D3449" t="inlineStr">
        <is>
          <t>CÔNG TY TNHH SEAH M&amp;S VIỆT NAM</t>
        </is>
      </c>
      <c r="E3449" t="inlineStr">
        <is>
          <t>Lương:500 - 600 USD</t>
        </is>
      </c>
      <c r="F3449" t="inlineStr">
        <is>
          <t>Bà Rịa - Vũng TàuHồ Chí Minh</t>
        </is>
      </c>
      <c r="G3449" t="inlineStr">
        <is>
          <t>03-04-2026</t>
        </is>
      </c>
      <c r="H3449" t="inlineStr">
        <is>
          <t>03/04/2026</t>
        </is>
      </c>
      <c r="I3449" t="inlineStr">
        <is>
          <t>17/03/2026</t>
        </is>
      </c>
      <c r="J3449" t="inlineStr">
        <is>
          <t>Sản xuất / Vận hành sản xuất, Điện / Điện tử / Điện lạnh / Điện công nghiệp, Cơ khí / Ô tô / Tự động hóa</t>
        </is>
      </c>
      <c r="K3449" t="inlineStr">
        <is>
          <t>1 - 3 Năm</t>
        </is>
      </c>
      <c r="L3449" s="8">
        <f>HYPERLINK("https://careerviet.vn/vi/tim-viec-lam/production-data-entry-junior-staff.35C6AB26.html","Xem chi tiết")</f>
        <v/>
      </c>
    </row>
    <row r="3450">
      <c r="B3450" s="9" t="n">
        <v>3448</v>
      </c>
      <c r="C3450" s="10" t="inlineStr">
        <is>
          <t>Sales &amp; Marketing Manager có Tiếng Trung 27774 - TP Nam Định</t>
        </is>
      </c>
      <c r="D3450" s="10" t="inlineStr">
        <is>
          <t>Công Ty TNHH Reeracoen Việt Nam</t>
        </is>
      </c>
      <c r="E3450" s="10" t="inlineStr">
        <is>
          <t>Lương:23 Tr - 30 Tr VND</t>
        </is>
      </c>
      <c r="F3450" s="10" t="inlineStr">
        <is>
          <t>Nam Định</t>
        </is>
      </c>
      <c r="G3450" s="10" t="inlineStr">
        <is>
          <t>11-04-2026</t>
        </is>
      </c>
      <c r="H3450" s="10" t="inlineStr">
        <is>
          <t>11/04/2026</t>
        </is>
      </c>
      <c r="I3450" s="10" t="inlineStr">
        <is>
          <t>17/03/2026</t>
        </is>
      </c>
      <c r="J3450" s="10" t="inlineStr">
        <is>
          <t>Bán hàng / Kinh doanh, Bán Hàng Kỹ Thuật, Tiếp thị / Marketing</t>
        </is>
      </c>
      <c r="K3450" s="10" t="inlineStr">
        <is>
          <t>2 - 3 Năm</t>
        </is>
      </c>
      <c r="L3450" s="11">
        <f>HYPERLINK("https://careerviet.vn/vi/tim-viec-lam/sales-marketing-manager-co-tieng-trung-27774-tp-nam-dinh.35C6C1B2.html","Xem chi tiết")</f>
        <v/>
      </c>
      <c r="M3450" s="10" t="n"/>
    </row>
    <row r="3451">
      <c r="B3451" s="7" t="n">
        <v>3449</v>
      </c>
      <c r="C3451" t="inlineStr">
        <is>
          <t>Kế toán trưởng</t>
        </is>
      </c>
      <c r="D3451" t="inlineStr">
        <is>
          <t>Công Ty TNHH Xuất Nhập Khẩu Bonario Việt Nam</t>
        </is>
      </c>
      <c r="E3451" t="inlineStr">
        <is>
          <t>Lương:16 Tr - 25 Tr VND</t>
        </is>
      </c>
      <c r="F3451" t="inlineStr">
        <is>
          <t>Hồ Chí Minh</t>
        </is>
      </c>
      <c r="G3451" t="inlineStr">
        <is>
          <t>10-04-2026</t>
        </is>
      </c>
      <c r="H3451" t="inlineStr">
        <is>
          <t>10/04/2026</t>
        </is>
      </c>
      <c r="I3451" t="inlineStr">
        <is>
          <t>17/03/2026</t>
        </is>
      </c>
      <c r="J3451" t="inlineStr">
        <is>
          <t>Kế toán / Kiểm toán, Bán hàng / Kinh doanh, Tài chính / Đầu tư</t>
        </is>
      </c>
      <c r="K3451" t="inlineStr">
        <is>
          <t>5 - 10 Năm</t>
        </is>
      </c>
      <c r="L3451" s="8">
        <f>HYPERLINK("https://careerviet.vn/vi/tim-viec-lam/ke-toan-truong.35C6C11D.html","Xem chi tiết")</f>
        <v/>
      </c>
    </row>
    <row r="3452">
      <c r="B3452" s="9" t="n">
        <v>3450</v>
      </c>
      <c r="C3452" s="10" t="inlineStr">
        <is>
          <t>Kế Toán Tổng Hợp</t>
        </is>
      </c>
      <c r="D3452" s="10" t="inlineStr">
        <is>
          <t>Công ty Cổ phần Tập đoàn C.E.O</t>
        </is>
      </c>
      <c r="E3452" s="10" t="inlineStr">
        <is>
          <t>Lương:Cạnh tranh</t>
        </is>
      </c>
      <c r="F3452" s="10" t="inlineStr">
        <is>
          <t>Hà Nội</t>
        </is>
      </c>
      <c r="G3452" s="10" t="inlineStr">
        <is>
          <t>11-04-2026</t>
        </is>
      </c>
      <c r="H3452" s="10" t="inlineStr">
        <is>
          <t>11/04/2026</t>
        </is>
      </c>
      <c r="I3452" s="10" t="inlineStr">
        <is>
          <t>17/03/2026</t>
        </is>
      </c>
      <c r="J3452" s="10" t="inlineStr">
        <is>
          <t>Kế toán / Kiểm toán, Luật / Pháp lý, Tài chính / Đầu tư</t>
        </is>
      </c>
      <c r="K3452" s="10" t="inlineStr">
        <is>
          <t>Trên 3 Năm</t>
        </is>
      </c>
      <c r="L3452" s="11">
        <f>HYPERLINK("https://careerviet.vn/vi/tim-viec-lam/ke-toan-tong-hop.35C6C1D9.html","Xem chi tiết")</f>
        <v/>
      </c>
      <c r="M3452" s="10" t="n"/>
    </row>
    <row r="3453">
      <c r="B3453" s="7" t="n">
        <v>3451</v>
      </c>
      <c r="C3453" t="inlineStr">
        <is>
          <t>Trưởng phòng khách hàng cá nhân - Chi nhánh Ninh Thuận</t>
        </is>
      </c>
      <c r="D3453" t="inlineStr">
        <is>
          <t>Ngân hàng TMCP Phát triển TP.HCM (HDBank)</t>
        </is>
      </c>
      <c r="E3453" t="inlineStr">
        <is>
          <t>Lương:34 Tr - 43 Tr VND</t>
        </is>
      </c>
      <c r="F3453" t="inlineStr">
        <is>
          <t>Ninh Thuận</t>
        </is>
      </c>
      <c r="G3453" t="inlineStr">
        <is>
          <t>04-04-2026</t>
        </is>
      </c>
      <c r="H3453" t="inlineStr">
        <is>
          <t>04/04/2026</t>
        </is>
      </c>
      <c r="I3453" t="inlineStr">
        <is>
          <t>17/03/2026</t>
        </is>
      </c>
      <c r="J3453" t="inlineStr">
        <is>
          <t>Ngân hàng</t>
        </is>
      </c>
      <c r="K3453" t="inlineStr">
        <is>
          <t>2 - 5 Năm</t>
        </is>
      </c>
      <c r="L3453" s="8">
        <f>HYPERLINK("https://careerviet.vn/vi/tim-viec-lam/truong-phong-khach-hang-ca-nhan-chi-nhanh-ninh-thuan.35C6AB59.html","Xem chi tiết")</f>
        <v/>
      </c>
    </row>
    <row r="3454">
      <c r="B3454" s="9" t="n">
        <v>3452</v>
      </c>
      <c r="C3454" s="10" t="inlineStr">
        <is>
          <t>Kỹ Sư Dự Toán - Lương + Phụ Cấp + Thưởng Hấp Dẫn</t>
        </is>
      </c>
      <c r="D3454" s="10" t="inlineStr">
        <is>
          <t>Công Ty TNHH Sansei (Việt Nam)</t>
        </is>
      </c>
      <c r="E3454" s="10" t="inlineStr">
        <is>
          <t>Lương:9 Tr - 10 Tr VND</t>
        </is>
      </c>
      <c r="F3454" s="10" t="inlineStr">
        <is>
          <t>Hồ Chí Minh</t>
        </is>
      </c>
      <c r="G3454" s="10" t="inlineStr">
        <is>
          <t>30-04-2026</t>
        </is>
      </c>
      <c r="H3454" s="10" t="inlineStr">
        <is>
          <t>30/04/2026</t>
        </is>
      </c>
      <c r="I3454" s="10" t="inlineStr">
        <is>
          <t>17/03/2026</t>
        </is>
      </c>
      <c r="J3454" s="10" t="inlineStr">
        <is>
          <t>Xây dựng, Môi trường, Mới tốt nghiệp / Thực tập</t>
        </is>
      </c>
      <c r="K3454" s="10" t="inlineStr">
        <is>
          <t>N/A</t>
        </is>
      </c>
      <c r="L3454" s="11">
        <f>HYPERLINK("https://careerviet.vn/vi/tim-viec-lam/ky-su-du-toan-luong-phu-cap-thuong-hap-dan.35C6AB21.html","Xem chi tiết")</f>
        <v/>
      </c>
      <c r="M3454" s="10" t="n"/>
    </row>
    <row r="3455">
      <c r="B3455" s="7" t="n">
        <v>3453</v>
      </c>
      <c r="C3455" t="inlineStr">
        <is>
          <t>Trưởng phòng khách hàng cá nhân - Chi nhánh Bình Phước</t>
        </is>
      </c>
      <c r="D3455" t="inlineStr">
        <is>
          <t>Ngân hàng TMCP Phát triển TP.HCM (HDBank)</t>
        </is>
      </c>
      <c r="E3455" t="inlineStr">
        <is>
          <t>Lương:34 Tr - 43 Tr VND</t>
        </is>
      </c>
      <c r="F3455" t="inlineStr">
        <is>
          <t>Bình Phước</t>
        </is>
      </c>
      <c r="G3455" t="inlineStr">
        <is>
          <t>04-04-2026</t>
        </is>
      </c>
      <c r="H3455" t="inlineStr">
        <is>
          <t>04/04/2026</t>
        </is>
      </c>
      <c r="I3455" t="inlineStr">
        <is>
          <t>17/03/2026</t>
        </is>
      </c>
      <c r="J3455" t="inlineStr">
        <is>
          <t>Ngân hàng</t>
        </is>
      </c>
      <c r="K3455" t="inlineStr">
        <is>
          <t>2 - 5 Năm</t>
        </is>
      </c>
      <c r="L3455" s="8">
        <f>HYPERLINK("https://careerviet.vn/vi/tim-viec-lam/truong-phong-khach-hang-ca-nhan-chi-nhanh-binh-phuoc.35C6AB7E.html","Xem chi tiết")</f>
        <v/>
      </c>
    </row>
    <row r="3456">
      <c r="B3456" s="9" t="n">
        <v>3454</v>
      </c>
      <c r="C3456" s="10" t="inlineStr">
        <is>
          <t>Chuyên viên C&amp;B</t>
        </is>
      </c>
      <c r="D3456" s="10" t="inlineStr">
        <is>
          <t>Công ty TNHH X.E Việt Nam</t>
        </is>
      </c>
      <c r="E3456" s="10" t="inlineStr">
        <is>
          <t>Lương:13 Tr - 14 Tr VND</t>
        </is>
      </c>
      <c r="F3456" s="10" t="inlineStr">
        <is>
          <t>Hà Nội</t>
        </is>
      </c>
      <c r="G3456" s="10" t="inlineStr">
        <is>
          <t>03-04-2026</t>
        </is>
      </c>
      <c r="H3456" s="10" t="inlineStr">
        <is>
          <t>03/04/2026</t>
        </is>
      </c>
      <c r="I3456" s="10" t="inlineStr">
        <is>
          <t>17/03/2026</t>
        </is>
      </c>
      <c r="J3456" s="10" t="inlineStr">
        <is>
          <t>Nhân sự, Vận chuyển / Giao nhận / Kho vận</t>
        </is>
      </c>
      <c r="K3456" s="10" t="inlineStr">
        <is>
          <t>2 - 3 Năm</t>
        </is>
      </c>
      <c r="L3456" s="11">
        <f>HYPERLINK("https://careerviet.vn/vi/tim-viec-lam/chuyen-vien-c-b.35C6AB3D.html","Xem chi tiết")</f>
        <v/>
      </c>
      <c r="M3456" s="10" t="n"/>
    </row>
    <row r="3457">
      <c r="B3457" s="7" t="n">
        <v>3455</v>
      </c>
      <c r="C3457" t="inlineStr">
        <is>
          <t>Nhân Viên Công Bố Sản Phẩm</t>
        </is>
      </c>
      <c r="D3457" t="inlineStr">
        <is>
          <t>CÔNG TY CỔ PHẦN THƯƠNG MẠI DỊCH VỤ SẢN XUẤT HƯƠNG THỦY</t>
        </is>
      </c>
      <c r="E3457" t="inlineStr">
        <is>
          <t>Lương:12 Tr - 14 Tr VND</t>
        </is>
      </c>
      <c r="F3457" t="inlineStr">
        <is>
          <t>Hồ Chí Minh</t>
        </is>
      </c>
      <c r="G3457" t="inlineStr">
        <is>
          <t>03-04-2026</t>
        </is>
      </c>
      <c r="H3457" t="inlineStr">
        <is>
          <t>03/04/2026</t>
        </is>
      </c>
      <c r="I3457" t="inlineStr">
        <is>
          <t>17/03/2026</t>
        </is>
      </c>
      <c r="J3457" t="inlineStr">
        <is>
          <t>Bán lẻ / Bán sỉ, Thực phẩm &amp; Đồ uống, Xuất nhập khẩu</t>
        </is>
      </c>
      <c r="K3457" t="inlineStr">
        <is>
          <t>2 - 3 Năm</t>
        </is>
      </c>
      <c r="L3457" s="8">
        <f>HYPERLINK("https://careerviet.vn/vi/tim-viec-lam/nhan-vien-cong-bo-san-pham.35C6AB49.html","Xem chi tiết")</f>
        <v/>
      </c>
    </row>
    <row r="3458">
      <c r="B3458" s="9" t="n">
        <v>3456</v>
      </c>
      <c r="C3458" s="10" t="inlineStr">
        <is>
          <t>KỸ SƯ QAQC (XÂY DỰNG) - HÀ NỘI</t>
        </is>
      </c>
      <c r="D3458" s="10" t="inlineStr">
        <is>
          <t>CÔNG TY CỔ PHẦN ĐẦU TƯ XÂY DỰNG VITECCONS</t>
        </is>
      </c>
      <c r="E3458" s="10" t="inlineStr">
        <is>
          <t>Lương:15 Tr - 25 Tr VND</t>
        </is>
      </c>
      <c r="F3458" s="10" t="inlineStr">
        <is>
          <t>Hà Nội</t>
        </is>
      </c>
      <c r="G3458" s="10" t="inlineStr">
        <is>
          <t>15-04-2026</t>
        </is>
      </c>
      <c r="H3458" s="10" t="inlineStr">
        <is>
          <t>15/04/2026</t>
        </is>
      </c>
      <c r="I3458" s="10" t="inlineStr">
        <is>
          <t>17/03/2026</t>
        </is>
      </c>
      <c r="J3458" s="10" t="inlineStr">
        <is>
          <t>Xây dựng</t>
        </is>
      </c>
      <c r="K3458" s="10" t="inlineStr">
        <is>
          <t>1 - 3 Năm</t>
        </is>
      </c>
      <c r="L3458" s="11">
        <f>HYPERLINK("https://careerviet.vn/vi/tim-viec-lam/ky-su-qaqc-xay-dung-ha-noi.35C6AC93.html","Xem chi tiết")</f>
        <v/>
      </c>
      <c r="M3458" s="10" t="n"/>
    </row>
    <row r="3459">
      <c r="B3459" s="7" t="n">
        <v>3457</v>
      </c>
      <c r="C3459" t="inlineStr">
        <is>
          <t>Kỹ Sư Bảo Trì Cơ Điện</t>
        </is>
      </c>
      <c r="D3459" t="inlineStr">
        <is>
          <t>Công Ty Cổ Phần ZME</t>
        </is>
      </c>
      <c r="E3459" t="inlineStr">
        <is>
          <t>Lương:20 Tr - 25 Tr VND</t>
        </is>
      </c>
      <c r="F3459" t="inlineStr">
        <is>
          <t>Hà Nội</t>
        </is>
      </c>
      <c r="G3459" t="inlineStr">
        <is>
          <t>30-04-2026</t>
        </is>
      </c>
      <c r="H3459" t="inlineStr">
        <is>
          <t>30/04/2026</t>
        </is>
      </c>
      <c r="I3459" t="inlineStr">
        <is>
          <t>17/03/2026</t>
        </is>
      </c>
      <c r="J3459" t="inlineStr">
        <is>
          <t>Điện / Điện tử / Điện lạnh / Điện công nghiệp, Xây dựng, Bảo trì / Sửa chữa</t>
        </is>
      </c>
      <c r="K3459" t="inlineStr">
        <is>
          <t>3 - 5 Năm</t>
        </is>
      </c>
      <c r="L3459" s="8">
        <f>HYPERLINK("https://careerviet.vn/vi/tim-viec-lam/ky-su-bao-tri-co-dien.35C6AB60.html","Xem chi tiết")</f>
        <v/>
      </c>
    </row>
    <row r="3460">
      <c r="B3460" s="9" t="n">
        <v>3458</v>
      </c>
      <c r="C3460" s="10" t="inlineStr">
        <is>
          <t>Nhân viên Logistic 27776 - Phú Thọ/Thái Nguyên/Tuyên Quang/Yên Bái</t>
        </is>
      </c>
      <c r="D3460" s="10" t="inlineStr">
        <is>
          <t>Công Ty TNHH Reeracoen Việt Nam</t>
        </is>
      </c>
      <c r="E3460" s="10" t="inlineStr">
        <is>
          <t>Lương:15 Tr - 25 Tr VND</t>
        </is>
      </c>
      <c r="F3460" s="10" t="inlineStr">
        <is>
          <t>Phú Thọ</t>
        </is>
      </c>
      <c r="G3460" s="10" t="inlineStr">
        <is>
          <t>11-04-2026</t>
        </is>
      </c>
      <c r="H3460" s="10" t="inlineStr">
        <is>
          <t>11/04/2026</t>
        </is>
      </c>
      <c r="I3460" s="10" t="inlineStr">
        <is>
          <t>17/03/2026</t>
        </is>
      </c>
      <c r="J3460" s="10" t="inlineStr">
        <is>
          <t>Vận chuyển / Giao nhận / Kho vận, Thu mua / Vật tư, Quản lý chất lượng (QA/QC)</t>
        </is>
      </c>
      <c r="K3460" s="10" t="inlineStr">
        <is>
          <t>Trên 3 Năm</t>
        </is>
      </c>
      <c r="L3460" s="11">
        <f>HYPERLINK("https://careerviet.vn/vi/tim-viec-lam/nhan-vien-logistic-27776-phu-tho-thai-nguyen-tuyen-quang-yen-bai.35C6C1AE.html","Xem chi tiết")</f>
        <v/>
      </c>
      <c r="M3460" s="10" t="n"/>
    </row>
    <row r="3461">
      <c r="B3461" s="7" t="n">
        <v>3459</v>
      </c>
      <c r="C3461" t="inlineStr">
        <is>
          <t>Trưởng phòng Kỹ thuật Thổi Nhựa (EBM)</t>
        </is>
      </c>
      <c r="D3461" t="inlineStr">
        <is>
          <t>Công Ty Cổ Phần Sản Xuất Nhựa Duy Tân</t>
        </is>
      </c>
      <c r="E3461" t="inlineStr">
        <is>
          <t>Lương:Cạnh tranh</t>
        </is>
      </c>
      <c r="F3461" t="inlineStr">
        <is>
          <t>Hồ Chí Minh</t>
        </is>
      </c>
      <c r="G3461" t="inlineStr">
        <is>
          <t>03-04-2026</t>
        </is>
      </c>
      <c r="H3461" t="inlineStr">
        <is>
          <t>03/04/2026</t>
        </is>
      </c>
      <c r="I3461" t="inlineStr">
        <is>
          <t>17/03/2026</t>
        </is>
      </c>
      <c r="J3461" t="inlineStr">
        <is>
          <t>Cơ khí / Ô tô / Tự động hóa, Sản xuất / Vận hành sản xuất, Bảo trì / Sửa chữa</t>
        </is>
      </c>
      <c r="K3461" t="inlineStr">
        <is>
          <t>5 - 10 Năm</t>
        </is>
      </c>
      <c r="L3461" s="8">
        <f>HYPERLINK("https://careerviet.vn/vi/tim-viec-lam/truong-phong-ky-thuat-thoi-nhua-ebm.35C6AB70.html","Xem chi tiết")</f>
        <v/>
      </c>
    </row>
    <row r="3462">
      <c r="B3462" s="9" t="n">
        <v>3460</v>
      </c>
      <c r="C3462" s="10" t="inlineStr">
        <is>
          <t>[Hồ Chí Minh] Giảng Viên Đào Tạo - Dược Sĩ Đại Học</t>
        </is>
      </c>
      <c r="D3462" s="10" t="inlineStr">
        <is>
          <t>CÔNG TY CỔ PHẦN DƯỢC PHẨM FPT LONG CHÂU</t>
        </is>
      </c>
      <c r="E3462" s="10" t="inlineStr">
        <is>
          <t>Lương:Cạnh tranh</t>
        </is>
      </c>
      <c r="F3462" s="10" t="inlineStr">
        <is>
          <t>Hồ Chí Minh</t>
        </is>
      </c>
      <c r="G3462" s="10" t="inlineStr">
        <is>
          <t>10-03-2026</t>
        </is>
      </c>
      <c r="H3462" s="10" t="inlineStr">
        <is>
          <t>14/05/2025</t>
        </is>
      </c>
      <c r="I3462" s="10" t="inlineStr">
        <is>
          <t>17/03/2026</t>
        </is>
      </c>
      <c r="J3462" s="10" t="inlineStr">
        <is>
          <t>Dược phẩm/ Hóa Mỹ Phẩm, Y tế / Chăm sóc sức khỏe / Thẩm mỹ / Làm đẹp, Giáo dục / Đào tạo</t>
        </is>
      </c>
      <c r="K3462" s="10" t="inlineStr">
        <is>
          <t>1 - 2 Năm</t>
        </is>
      </c>
      <c r="L3462" s="11">
        <f>HYPERLINK("https://careerviet.vn/vi/tim-viec-lam/ho-chi-minh-giang-vien-dao-tao-duoc-si-dai-hoc.35C3EE95.html","Xem chi tiết")</f>
        <v/>
      </c>
      <c r="M3462" s="10" t="n"/>
    </row>
    <row r="3463">
      <c r="B3463" s="7" t="n">
        <v>3461</v>
      </c>
      <c r="C3463" t="inlineStr">
        <is>
          <t>Sales Manager (Logistics) - Thu Nhập Lên Đến 50 Triệu + Thưởng Sản Lượng</t>
        </is>
      </c>
      <c r="D3463" t="inlineStr">
        <is>
          <t>CÔNG TY CỔ PHẦN TRANSIMEX</t>
        </is>
      </c>
      <c r="E3463" t="inlineStr">
        <is>
          <t>Lương:Cạnh tranh</t>
        </is>
      </c>
      <c r="F3463" t="inlineStr">
        <is>
          <t>Hồ Chí Minh</t>
        </is>
      </c>
      <c r="G3463" t="inlineStr">
        <is>
          <t>03-04-2026</t>
        </is>
      </c>
      <c r="H3463" t="inlineStr">
        <is>
          <t>03/04/2026</t>
        </is>
      </c>
      <c r="I3463" t="inlineStr">
        <is>
          <t>17/03/2026</t>
        </is>
      </c>
      <c r="J3463" t="inlineStr">
        <is>
          <t>Bán hàng / Kinh doanh, Vận chuyển / Giao nhận / Kho vận</t>
        </is>
      </c>
      <c r="K3463" t="inlineStr">
        <is>
          <t>5 - 10 Năm</t>
        </is>
      </c>
      <c r="L3463" s="8">
        <f>HYPERLINK("https://careerviet.vn/vi/tim-viec-lam/sales-manager-logistics-thu-nhap-len-den-50-trieu-thuong-san-luong.35C6AB71.html","Xem chi tiết")</f>
        <v/>
      </c>
    </row>
    <row r="3464">
      <c r="B3464" s="9" t="n">
        <v>3462</v>
      </c>
      <c r="C3464" s="10" t="inlineStr">
        <is>
          <t>Production Senior Staff</t>
        </is>
      </c>
      <c r="D3464" s="10" t="inlineStr">
        <is>
          <t>CÔNG TY TNHH SEAH M&amp;S VIỆT NAM</t>
        </is>
      </c>
      <c r="E3464" s="10" t="inlineStr">
        <is>
          <t>Lương:800 - 900 USD</t>
        </is>
      </c>
      <c r="F3464" s="10" t="inlineStr">
        <is>
          <t>Bà Rịa - Vũng TàuHồ Chí Minh</t>
        </is>
      </c>
      <c r="G3464" s="10" t="inlineStr">
        <is>
          <t>03-04-2026</t>
        </is>
      </c>
      <c r="H3464" s="10" t="inlineStr">
        <is>
          <t>03/04/2026</t>
        </is>
      </c>
      <c r="I3464" s="10" t="inlineStr">
        <is>
          <t>17/03/2026</t>
        </is>
      </c>
      <c r="J3464" s="10" t="inlineStr">
        <is>
          <t>Sản xuất / Vận hành sản xuất, Cơ khí / Ô tô / Tự động hóa, Hóa học</t>
        </is>
      </c>
      <c r="K3464" s="10" t="inlineStr">
        <is>
          <t>3 - 5 Năm</t>
        </is>
      </c>
      <c r="L3464" s="11">
        <f>HYPERLINK("https://careerviet.vn/vi/tim-viec-lam/production-senior-staff.35C6AB28.html","Xem chi tiết")</f>
        <v/>
      </c>
      <c r="M3464" s="10" t="n"/>
    </row>
    <row r="3465">
      <c r="B3465" s="7" t="n">
        <v>3463</v>
      </c>
      <c r="C3465" t="inlineStr">
        <is>
          <t>Quản lý Sale E-commerce (KOC/TikTok) / Có tuyển đội ngũ nhân viên sale</t>
        </is>
      </c>
      <c r="D3465" t="inlineStr">
        <is>
          <t>Công Ty TNHH Thương Mại Dịch Vụ Trần Toàn Phát</t>
        </is>
      </c>
      <c r="E3465" t="inlineStr">
        <is>
          <t>Lương:20 Tr - 30 Tr VND</t>
        </is>
      </c>
      <c r="F3465" t="inlineStr">
        <is>
          <t>Hồ Chí Minh</t>
        </is>
      </c>
      <c r="G3465" t="inlineStr">
        <is>
          <t>02-04-2026</t>
        </is>
      </c>
      <c r="H3465" t="inlineStr">
        <is>
          <t>02/04/2026</t>
        </is>
      </c>
      <c r="I3465" t="inlineStr">
        <is>
          <t>17/03/2026</t>
        </is>
      </c>
      <c r="J3465" t="inlineStr">
        <is>
          <t>Bán hàng / Kinh doanh, Thương mại điện tử, Bán lẻ / Bán sỉ</t>
        </is>
      </c>
      <c r="K3465" t="inlineStr">
        <is>
          <t>2 - 3 Năm</t>
        </is>
      </c>
      <c r="L3465" s="8">
        <f>HYPERLINK("https://careerviet.vn/vi/tim-viec-lam/quan-ly-sale-e-commerce-koc-tiktok-co-tuyen-doi-ngu-nhan-vien-sale.35C6A8D0.html","Xem chi tiết")</f>
        <v/>
      </c>
    </row>
    <row r="3466">
      <c r="B3466" s="9" t="n">
        <v>3464</v>
      </c>
      <c r="C3466" s="10" t="inlineStr">
        <is>
          <t>Trưởng phòng khách hàng cá nhân - Chi nhánh Bình Dương</t>
        </is>
      </c>
      <c r="D3466" s="10" t="inlineStr">
        <is>
          <t>Ngân hàng TMCP Phát triển TP.HCM (HDBank)</t>
        </is>
      </c>
      <c r="E3466" s="10" t="inlineStr">
        <is>
          <t>Lương:34 Tr - 43 Tr VND</t>
        </is>
      </c>
      <c r="F3466" s="10" t="inlineStr">
        <is>
          <t>Bình Dương</t>
        </is>
      </c>
      <c r="G3466" s="10" t="inlineStr">
        <is>
          <t>04-04-2026</t>
        </is>
      </c>
      <c r="H3466" s="10" t="inlineStr">
        <is>
          <t>04/04/2026</t>
        </is>
      </c>
      <c r="I3466" s="10" t="inlineStr">
        <is>
          <t>17/03/2026</t>
        </is>
      </c>
      <c r="J3466" s="10" t="inlineStr">
        <is>
          <t>Ngân hàng</t>
        </is>
      </c>
      <c r="K3466" s="10" t="inlineStr">
        <is>
          <t>2 - 5 Năm</t>
        </is>
      </c>
      <c r="L3466" s="11">
        <f>HYPERLINK("https://careerviet.vn/vi/tim-viec-lam/truong-phong-khach-hang-ca-nhan-chi-nhanh-binh-duong.35C6AB63.html","Xem chi tiết")</f>
        <v/>
      </c>
      <c r="M3466" s="10" t="n"/>
    </row>
    <row r="3467">
      <c r="B3467" s="7" t="n">
        <v>3465</v>
      </c>
      <c r="C3467" t="inlineStr">
        <is>
          <t>Kiến Trúc Sư Quy Hoạch (Chủ Đầu Tư Bất Động Sản)</t>
        </is>
      </c>
      <c r="D3467" t="inlineStr">
        <is>
          <t>Công Ty Cổ Phần Đầu Tư Địa Ốc Hưng Phú</t>
        </is>
      </c>
      <c r="E3467" t="inlineStr">
        <is>
          <t>Lương:20 Tr - 30 Tr VND</t>
        </is>
      </c>
      <c r="F3467" t="inlineStr">
        <is>
          <t>Hồ Chí Minh</t>
        </is>
      </c>
      <c r="G3467" t="inlineStr">
        <is>
          <t>03-04-2026</t>
        </is>
      </c>
      <c r="H3467" t="inlineStr">
        <is>
          <t>03/04/2026</t>
        </is>
      </c>
      <c r="I3467" t="inlineStr">
        <is>
          <t>17/03/2026</t>
        </is>
      </c>
      <c r="J3467" t="inlineStr">
        <is>
          <t>Bất động sản, Xây dựng, Kiến trúc</t>
        </is>
      </c>
      <c r="K3467" t="inlineStr">
        <is>
          <t>5 - 10 Năm</t>
        </is>
      </c>
      <c r="L3467" s="8">
        <f>HYPERLINK("https://careerviet.vn/vi/tim-viec-lam/kien-truc-su-quy-hoach-chu-dau-tu-bat-dong-san.35C6AB1B.html","Xem chi tiết")</f>
        <v/>
      </c>
    </row>
    <row r="3468">
      <c r="B3468" s="9" t="n">
        <v>3466</v>
      </c>
      <c r="C3468" s="10" t="inlineStr">
        <is>
          <t>Phó Giám đốc Chi nhánh phụ trách mảng KHCN - Khu vực Đồng Nai</t>
        </is>
      </c>
      <c r="D3468" s="10" t="inlineStr">
        <is>
          <t>Ngân hàng TMCP Phát triển TP.HCM (HDBank)</t>
        </is>
      </c>
      <c r="E3468" s="10" t="inlineStr">
        <is>
          <t>Lương:40 Tr - 60 Tr VND</t>
        </is>
      </c>
      <c r="F3468" s="10" t="inlineStr">
        <is>
          <t>Đồng Nai</t>
        </is>
      </c>
      <c r="G3468" s="10" t="inlineStr">
        <is>
          <t>04-04-2026</t>
        </is>
      </c>
      <c r="H3468" s="10" t="inlineStr">
        <is>
          <t>04/04/2026</t>
        </is>
      </c>
      <c r="I3468" s="10" t="inlineStr">
        <is>
          <t>17/03/2026</t>
        </is>
      </c>
      <c r="J3468" s="10" t="inlineStr">
        <is>
          <t>Ngân hàng</t>
        </is>
      </c>
      <c r="K3468" s="10" t="inlineStr">
        <is>
          <t>3 - 5 Năm</t>
        </is>
      </c>
      <c r="L3468" s="11">
        <f>HYPERLINK("https://careerviet.vn/vi/tim-viec-lam/pho-giam-doc-chi-nhanh-phu-trach-mang-khcn-khu-vuc-dong-nai.35C6AB5F.html","Xem chi tiết")</f>
        <v/>
      </c>
      <c r="M3468" s="10" t="n"/>
    </row>
    <row r="3469">
      <c r="B3469" s="7" t="n">
        <v>3467</v>
      </c>
      <c r="C3469" t="inlineStr">
        <is>
          <t>Chuyên Viên Kế Toán Tổng Hợp</t>
        </is>
      </c>
      <c r="D3469" t="inlineStr">
        <is>
          <t>CÔNG TY CỔ PHẦN VINAFREIGHT</t>
        </is>
      </c>
      <c r="E3469" t="inlineStr">
        <is>
          <t>Lương:Cạnh tranh</t>
        </is>
      </c>
      <c r="F3469" t="inlineStr">
        <is>
          <t>Hồ Chí Minh</t>
        </is>
      </c>
      <c r="G3469" t="inlineStr">
        <is>
          <t>04-04-2026</t>
        </is>
      </c>
      <c r="H3469" t="inlineStr">
        <is>
          <t>04/04/2026</t>
        </is>
      </c>
      <c r="I3469" t="inlineStr">
        <is>
          <t>17/03/2026</t>
        </is>
      </c>
      <c r="J3469" t="inlineStr">
        <is>
          <t>Kế toán / Kiểm toán, Vận chuyển / Giao nhận / Kho vận, Tài chính / Đầu tư</t>
        </is>
      </c>
      <c r="K3469" t="inlineStr">
        <is>
          <t>Trên 2 Năm</t>
        </is>
      </c>
      <c r="L3469" s="8">
        <f>HYPERLINK("https://careerviet.vn/vi/tim-viec-lam/chuyen-vien-ke-toan-tong-hop.35C6AC78.html","Xem chi tiết")</f>
        <v/>
      </c>
    </row>
    <row r="3470">
      <c r="B3470" s="9" t="n">
        <v>3468</v>
      </c>
      <c r="C3470" s="10" t="inlineStr">
        <is>
          <t>CHUYÊN VIÊN KINH DOANH HÓA CHẤT</t>
        </is>
      </c>
      <c r="D3470" s="10" t="inlineStr">
        <is>
          <t>CÔNG TY TNHH LEVE</t>
        </is>
      </c>
      <c r="E3470" s="10" t="inlineStr">
        <is>
          <t>Lương:10 Tr - 30 Tr VND</t>
        </is>
      </c>
      <c r="F3470" s="10" t="inlineStr">
        <is>
          <t>Hồ Chí Minh</t>
        </is>
      </c>
      <c r="G3470" s="10" t="inlineStr">
        <is>
          <t>04-04-2026</t>
        </is>
      </c>
      <c r="H3470" s="10" t="inlineStr">
        <is>
          <t>04/04/2026</t>
        </is>
      </c>
      <c r="I3470" s="10" t="inlineStr">
        <is>
          <t>17/03/2026</t>
        </is>
      </c>
      <c r="J3470" s="10" t="inlineStr">
        <is>
          <t>Bán hàng / Kinh doanh, Hóa học, Bán lẻ / Bán sỉ</t>
        </is>
      </c>
      <c r="K3470" s="10" t="inlineStr">
        <is>
          <t>1 - 3 Năm</t>
        </is>
      </c>
      <c r="L3470" s="11">
        <f>HYPERLINK("https://careerviet.vn/vi/tim-viec-lam/chuyen-vien-kinh-doanh-hoa-chat.35C6ADAD.html","Xem chi tiết")</f>
        <v/>
      </c>
      <c r="M3470" s="10" t="n"/>
    </row>
    <row r="3471">
      <c r="B3471" s="7" t="n">
        <v>3469</v>
      </c>
      <c r="C3471" t="inlineStr">
        <is>
          <t>Trưởng phòng Hành chính Nhân sự</t>
        </is>
      </c>
      <c r="D3471" t="inlineStr">
        <is>
          <t>Công ty TNHH Anh Đức</t>
        </is>
      </c>
      <c r="E3471" t="inlineStr">
        <is>
          <t>Lương:18 Tr - 25 Tr VND</t>
        </is>
      </c>
      <c r="F3471" t="inlineStr">
        <is>
          <t>Đà Nẵng</t>
        </is>
      </c>
      <c r="G3471" t="inlineStr">
        <is>
          <t>31-03-2026</t>
        </is>
      </c>
      <c r="H3471" t="inlineStr">
        <is>
          <t>31/03/2026</t>
        </is>
      </c>
      <c r="I3471" t="inlineStr">
        <is>
          <t>17/03/2026</t>
        </is>
      </c>
      <c r="J3471" t="inlineStr">
        <is>
          <t>Nhân sự, Quản lý điều hành, Hành chính / Thư ký</t>
        </is>
      </c>
      <c r="K3471" t="inlineStr">
        <is>
          <t>Trên 2 Năm</t>
        </is>
      </c>
      <c r="L3471" s="8">
        <f>HYPERLINK("https://careerviet.vn/vi/tim-viec-lam/truong-phong-hanh-chinh-nhan-su.35C6ABC3.html","Xem chi tiết")</f>
        <v/>
      </c>
    </row>
    <row r="3472">
      <c r="B3472" s="9" t="n">
        <v>3470</v>
      </c>
      <c r="C3472" s="10" t="inlineStr">
        <is>
          <t>Nhân Viên Cơ Điện – Hệ Thống Điện Lạnh</t>
        </is>
      </c>
      <c r="D3472" s="10" t="inlineStr">
        <is>
          <t>LOTTE GLOBAL LOGISTICS</t>
        </is>
      </c>
      <c r="E3472" s="10" t="inlineStr">
        <is>
          <t>Lương:Cạnh tranh</t>
        </is>
      </c>
      <c r="F3472" s="10" t="inlineStr">
        <is>
          <t>Đồng NaiHồ Chí Minh</t>
        </is>
      </c>
      <c r="G3472" s="10" t="inlineStr">
        <is>
          <t>04-04-2026</t>
        </is>
      </c>
      <c r="H3472" s="10" t="inlineStr">
        <is>
          <t>04/04/2026</t>
        </is>
      </c>
      <c r="I3472" s="10" t="inlineStr">
        <is>
          <t>17/03/2026</t>
        </is>
      </c>
      <c r="J3472" s="10" t="inlineStr">
        <is>
          <t>Điện / Điện tử / Điện lạnh / Điện công nghiệp, Cơ khí / Ô tô / Tự động hóa, Bảo trì / Sửa chữa</t>
        </is>
      </c>
      <c r="K3472" s="10" t="inlineStr">
        <is>
          <t>Trên 1 Năm</t>
        </is>
      </c>
      <c r="L3472" s="11">
        <f>HYPERLINK("https://careerviet.vn/vi/tim-viec-lam/nhan-vien-co-dien-he-thong-dien-lanh.35C6AE80.html","Xem chi tiết")</f>
        <v/>
      </c>
      <c r="M3472" s="10" t="n"/>
    </row>
    <row r="3473">
      <c r="B3473" s="7" t="n">
        <v>3471</v>
      </c>
      <c r="C3473" t="inlineStr">
        <is>
          <t>Kế Toán Tổng Hợp</t>
        </is>
      </c>
      <c r="D3473" t="inlineStr">
        <is>
          <t>CÔNG TY TNHH THƯƠNG MẠI HKK</t>
        </is>
      </c>
      <c r="E3473" t="inlineStr">
        <is>
          <t>Lương:18 Tr - 25 Tr VND</t>
        </is>
      </c>
      <c r="F3473" t="inlineStr">
        <is>
          <t>Hà Nội</t>
        </is>
      </c>
      <c r="G3473" t="inlineStr">
        <is>
          <t>04-04-2026</t>
        </is>
      </c>
      <c r="H3473" t="inlineStr">
        <is>
          <t>04/04/2026</t>
        </is>
      </c>
      <c r="I3473" t="inlineStr">
        <is>
          <t>17/03/2026</t>
        </is>
      </c>
      <c r="J3473" t="inlineStr">
        <is>
          <t>Kế toán / Kiểm toán, Dược phẩm/ Hóa Mỹ Phẩm, Tài chính / Đầu tư</t>
        </is>
      </c>
      <c r="K3473" t="inlineStr">
        <is>
          <t>Trên 2 Năm</t>
        </is>
      </c>
      <c r="L3473" s="8">
        <f>HYPERLINK("https://careerviet.vn/vi/tim-viec-lam/ke-toan-tong-hop.35C6ACE7.html","Xem chi tiết")</f>
        <v/>
      </c>
    </row>
    <row r="3474">
      <c r="B3474" s="9" t="n">
        <v>3472</v>
      </c>
      <c r="C3474" s="10" t="inlineStr">
        <is>
          <t>Product Specialist (Medical Devices)</t>
        </is>
      </c>
      <c r="D3474" s="10" t="inlineStr">
        <is>
          <t>Công ty TNHH Vạn Niên</t>
        </is>
      </c>
      <c r="E3474" s="10" t="inlineStr">
        <is>
          <t>Lương:15 Tr - 22 Tr VND</t>
        </is>
      </c>
      <c r="F3474" s="10" t="inlineStr">
        <is>
          <t>Hà Nội</t>
        </is>
      </c>
      <c r="G3474" s="10" t="inlineStr">
        <is>
          <t>04-04-2026</t>
        </is>
      </c>
      <c r="H3474" s="10" t="inlineStr">
        <is>
          <t>04/04/2026</t>
        </is>
      </c>
      <c r="I3474" s="10" t="inlineStr">
        <is>
          <t>17/03/2026</t>
        </is>
      </c>
      <c r="J3474" s="10" t="inlineStr">
        <is>
          <t>Công nghệ sinh học, Y tế / Chăm sóc sức khỏe / Thẩm mỹ / Làm đẹp</t>
        </is>
      </c>
      <c r="K3474" s="10" t="inlineStr">
        <is>
          <t>2 - 5 Năm</t>
        </is>
      </c>
      <c r="L3474" s="11">
        <f>HYPERLINK("https://careerviet.vn/vi/tim-viec-lam/product-specialist-medical-devices.35C6AD75.html","Xem chi tiết")</f>
        <v/>
      </c>
      <c r="M3474" s="10" t="n"/>
    </row>
    <row r="3475">
      <c r="B3475" s="7" t="n">
        <v>3473</v>
      </c>
      <c r="C3475" t="inlineStr">
        <is>
          <t>IT Helpdesk 27711 - KCN Lương Sơn, Hòa Bình (có xe đưa đón từ HN)</t>
        </is>
      </c>
      <c r="D3475" t="inlineStr">
        <is>
          <t>Công Ty TNHH Reeracoen Việt Nam</t>
        </is>
      </c>
      <c r="E3475" t="inlineStr">
        <is>
          <t>Lương:9 Tr - 12 Tr VND</t>
        </is>
      </c>
      <c r="F3475" t="inlineStr">
        <is>
          <t>Hòa Bình</t>
        </is>
      </c>
      <c r="G3475" t="inlineStr">
        <is>
          <t>04-04-2026</t>
        </is>
      </c>
      <c r="H3475" t="inlineStr">
        <is>
          <t>04/04/2026</t>
        </is>
      </c>
      <c r="I3475" t="inlineStr">
        <is>
          <t>17/03/2026</t>
        </is>
      </c>
      <c r="J3475" t="inlineStr">
        <is>
          <t>CNTT - Phần mềm, CNTT - Phần cứng / Mạng</t>
        </is>
      </c>
      <c r="K3475" t="inlineStr">
        <is>
          <t>Trên 1 Năm</t>
        </is>
      </c>
      <c r="L3475" s="8">
        <f>HYPERLINK("https://careerviet.vn/vi/tim-viec-lam/it-helpdesk-27711-kcn-luong-son-hoa-binh-co-xe-dua-don-tu-hn.35C6AE92.html","Xem chi tiết")</f>
        <v/>
      </c>
    </row>
    <row r="3476">
      <c r="B3476" s="9" t="n">
        <v>3474</v>
      </c>
      <c r="C3476" s="10" t="inlineStr">
        <is>
          <t>Nhân viên HSE 25642 - KCN Tràng Duệ, Hải Phòng (Có xe đưa đón)</t>
        </is>
      </c>
      <c r="D3476" s="10" t="inlineStr">
        <is>
          <t>Công Ty TNHH Reeracoen Việt Nam</t>
        </is>
      </c>
      <c r="E3476" s="10" t="inlineStr">
        <is>
          <t>Lương:14 Tr - 17 Tr VND</t>
        </is>
      </c>
      <c r="F3476" s="10" t="inlineStr">
        <is>
          <t>Hải Phòng</t>
        </is>
      </c>
      <c r="G3476" s="10" t="inlineStr">
        <is>
          <t>04-04-2026</t>
        </is>
      </c>
      <c r="H3476" s="10" t="inlineStr">
        <is>
          <t>04/04/2026</t>
        </is>
      </c>
      <c r="I3476" s="10" t="inlineStr">
        <is>
          <t>17/03/2026</t>
        </is>
      </c>
      <c r="J3476" s="10" t="inlineStr">
        <is>
          <t>An toàn lao động, Sản xuất / Vận hành sản xuất, Môi trường</t>
        </is>
      </c>
      <c r="K3476" s="10" t="inlineStr">
        <is>
          <t>Trên 4 Năm</t>
        </is>
      </c>
      <c r="L3476" s="11">
        <f>HYPERLINK("https://careerviet.vn/vi/tim-viec-lam/nhan-vien-hse-25642-kcn-trang-due-hai-phong-co-xe-dua-don.35C6AE70.html","Xem chi tiết")</f>
        <v/>
      </c>
      <c r="M3476" s="10" t="n"/>
    </row>
    <row r="3477">
      <c r="B3477" s="7" t="n">
        <v>3475</v>
      </c>
      <c r="C3477" t="inlineStr">
        <is>
          <t>Cost and Inventory Control Assistant Manager</t>
        </is>
      </c>
      <c r="D3477" t="inlineStr">
        <is>
          <t>Rochdale Spears Co., Ltd.</t>
        </is>
      </c>
      <c r="E3477" t="inlineStr">
        <is>
          <t>Lương:Cạnh tranh</t>
        </is>
      </c>
      <c r="F3477" t="inlineStr">
        <is>
          <t>Bình Dương</t>
        </is>
      </c>
      <c r="G3477" t="inlineStr">
        <is>
          <t>03-04-2026</t>
        </is>
      </c>
      <c r="H3477" t="inlineStr">
        <is>
          <t>03/04/2026</t>
        </is>
      </c>
      <c r="I3477" t="inlineStr">
        <is>
          <t>17/03/2026</t>
        </is>
      </c>
      <c r="J3477" t="inlineStr">
        <is>
          <t>Kế toán / Kiểm toán</t>
        </is>
      </c>
      <c r="K3477" t="inlineStr">
        <is>
          <t>4 - 6 Năm</t>
        </is>
      </c>
      <c r="L3477" s="8">
        <f>HYPERLINK("https://careerviet.vn/vi/tim-viec-lam/cost-and-inventory-control-assistant-manager.35C6ABDE.html","Xem chi tiết")</f>
        <v/>
      </c>
    </row>
    <row r="3478">
      <c r="B3478" s="9" t="n">
        <v>3476</v>
      </c>
      <c r="C3478" s="10" t="inlineStr">
        <is>
          <t>(IT) Senior Application And Data Security Officer</t>
        </is>
      </c>
      <c r="D3478" s="10" t="inlineStr">
        <is>
          <t>Indovina Bank Ltd.</t>
        </is>
      </c>
      <c r="E3478" s="10" t="inlineStr">
        <is>
          <t>Lương:800 - 1.000 USD</t>
        </is>
      </c>
      <c r="F3478" s="10" t="inlineStr">
        <is>
          <t>Hồ Chí Minh</t>
        </is>
      </c>
      <c r="G3478" s="10" t="inlineStr">
        <is>
          <t>06-04-2026</t>
        </is>
      </c>
      <c r="H3478" s="10" t="inlineStr">
        <is>
          <t>06/04/2026</t>
        </is>
      </c>
      <c r="I3478" s="10" t="inlineStr">
        <is>
          <t>17/03/2026</t>
        </is>
      </c>
      <c r="J3478" s="10" t="inlineStr">
        <is>
          <t>CNTT - Phần mềm</t>
        </is>
      </c>
      <c r="K3478" s="10" t="inlineStr">
        <is>
          <t>N/A</t>
        </is>
      </c>
      <c r="L3478" s="11">
        <f>HYPERLINK("https://careerviet.vn/vi/tim-viec-lam/it-senior-application-and-data-security-officer.35C6ABC9.html","Xem chi tiết")</f>
        <v/>
      </c>
      <c r="M3478" s="10" t="n"/>
    </row>
    <row r="3479">
      <c r="B3479" s="7" t="n">
        <v>3477</v>
      </c>
      <c r="C3479" t="inlineStr">
        <is>
          <t>TRƯỞNG PHÒNG MARKETING</t>
        </is>
      </c>
      <c r="D3479" t="inlineStr">
        <is>
          <t>CÔNG TY CỔ PHẦN ĐẦU TƯ BẤT ĐỘNG SẢN LÊ VIN LAND</t>
        </is>
      </c>
      <c r="E3479" t="inlineStr">
        <is>
          <t>Lương:Cạnh tranh</t>
        </is>
      </c>
      <c r="F3479" t="inlineStr">
        <is>
          <t>Hồ Chí Minh</t>
        </is>
      </c>
      <c r="G3479" t="inlineStr">
        <is>
          <t>31-03-2026</t>
        </is>
      </c>
      <c r="H3479" t="inlineStr">
        <is>
          <t>31/03/2026</t>
        </is>
      </c>
      <c r="I3479" t="inlineStr">
        <is>
          <t>17/03/2026</t>
        </is>
      </c>
      <c r="J3479" t="inlineStr">
        <is>
          <t>Bất động sản, Tiếp thị / Marketing, Quảng cáo / Đối ngoại / Truyền Thông</t>
        </is>
      </c>
      <c r="K3479" t="inlineStr">
        <is>
          <t>1 - 3 Năm</t>
        </is>
      </c>
      <c r="L3479" s="8">
        <f>HYPERLINK("https://careerviet.vn/vi/tim-viec-lam/truong-phong-marketing.35C6ADF1.html","Xem chi tiết")</f>
        <v/>
      </c>
    </row>
    <row r="3480">
      <c r="B3480" s="9" t="n">
        <v>3478</v>
      </c>
      <c r="C3480" s="10" t="inlineStr">
        <is>
          <t>Chuyên Viên Thanh Tra Mảng Thi Công Xây Dựng</t>
        </is>
      </c>
      <c r="D3480" s="10" t="inlineStr">
        <is>
          <t>CÔNG TY CỔ PHẦN EUROWINDOW HOLDING</t>
        </is>
      </c>
      <c r="E3480" s="10" t="inlineStr">
        <is>
          <t>Lương:Cạnh tranh</t>
        </is>
      </c>
      <c r="F3480" s="10" t="inlineStr">
        <is>
          <t>Hà Nội</t>
        </is>
      </c>
      <c r="G3480" s="10" t="inlineStr">
        <is>
          <t>06-04-2026</t>
        </is>
      </c>
      <c r="H3480" s="10" t="inlineStr">
        <is>
          <t>06/04/2026</t>
        </is>
      </c>
      <c r="I3480" s="10" t="inlineStr">
        <is>
          <t>17/03/2026</t>
        </is>
      </c>
      <c r="J3480" s="10" t="inlineStr">
        <is>
          <t>Kiến trúc, Xây dựng, Bất động sản</t>
        </is>
      </c>
      <c r="K3480" s="10" t="inlineStr">
        <is>
          <t>5 - 10 Năm</t>
        </is>
      </c>
      <c r="L3480" s="11">
        <f>HYPERLINK("https://careerviet.vn/vi/tim-viec-lam/chuyen-vien-thanh-tra-mang-thi-cong-xay-dung.35C6AC2A.html","Xem chi tiết")</f>
        <v/>
      </c>
      <c r="M3480" s="10" t="n"/>
    </row>
    <row r="3481">
      <c r="B3481" s="7" t="n">
        <v>3479</v>
      </c>
      <c r="C3481" t="inlineStr">
        <is>
          <t>Trưởng phòng Khách hàng Doanh nghiệp - HDBank Rạch Dừa - Vũng Tàu</t>
        </is>
      </c>
      <c r="D3481" t="inlineStr">
        <is>
          <t>Ngân hàng TMCP Phát triển TP.HCM (HDBank)</t>
        </is>
      </c>
      <c r="E3481" t="inlineStr">
        <is>
          <t>Lương:Cạnh tranh</t>
        </is>
      </c>
      <c r="F3481" t="inlineStr">
        <is>
          <t>Bà Rịa - Vũng Tàu</t>
        </is>
      </c>
      <c r="G3481" t="inlineStr">
        <is>
          <t>04-04-2026</t>
        </is>
      </c>
      <c r="H3481" t="inlineStr">
        <is>
          <t>04/04/2026</t>
        </is>
      </c>
      <c r="I3481" t="inlineStr">
        <is>
          <t>17/03/2026</t>
        </is>
      </c>
      <c r="J3481" t="inlineStr">
        <is>
          <t>Ngân hàng, Tài chính / Đầu tư</t>
        </is>
      </c>
      <c r="K3481" t="inlineStr">
        <is>
          <t>3 - 10 Năm</t>
        </is>
      </c>
      <c r="L3481" s="8">
        <f>HYPERLINK("https://careerviet.vn/vi/tim-viec-lam/truong-phong-khach-hang-doanh-nghiep-hdbank-rach-dua-vung-tau.35C6AB75.html","Xem chi tiết")</f>
        <v/>
      </c>
    </row>
    <row r="3482">
      <c r="B3482" s="9" t="n">
        <v>3480</v>
      </c>
      <c r="C3482" s="10" t="inlineStr">
        <is>
          <t>Nhân viên kế toán</t>
        </is>
      </c>
      <c r="D3482" s="10" t="inlineStr">
        <is>
          <t>CÔNG TY TNHH BGROUP MARKETING AGENCY</t>
        </is>
      </c>
      <c r="E3482" s="10" t="inlineStr">
        <is>
          <t>Lương:8 Tr - 10 Tr VND</t>
        </is>
      </c>
      <c r="F3482" s="10" t="inlineStr">
        <is>
          <t>Hồ Chí Minh</t>
        </is>
      </c>
      <c r="G3482" s="10" t="inlineStr">
        <is>
          <t>31-03-2026</t>
        </is>
      </c>
      <c r="H3482" s="10" t="inlineStr">
        <is>
          <t>31/03/2026</t>
        </is>
      </c>
      <c r="I3482" s="10" t="inlineStr">
        <is>
          <t>17/03/2026</t>
        </is>
      </c>
      <c r="J3482" s="10" t="inlineStr">
        <is>
          <t>Kế toán / Kiểm toán</t>
        </is>
      </c>
      <c r="K3482" s="10" t="inlineStr">
        <is>
          <t>N/A</t>
        </is>
      </c>
      <c r="L3482" s="11">
        <f>HYPERLINK("https://careerviet.vn/vi/tim-viec-lam/nhan-vien-ke-toan.35C6AC9B.html","Xem chi tiết")</f>
        <v/>
      </c>
      <c r="M3482" s="10" t="n"/>
    </row>
    <row r="3483">
      <c r="B3483" s="7" t="n">
        <v>3481</v>
      </c>
      <c r="C3483" t="inlineStr">
        <is>
          <t>Kế Toán Tổng Hợp</t>
        </is>
      </c>
      <c r="D3483" t="inlineStr">
        <is>
          <t>CÔNG TY TNHH SẢN XUẤT HIỀN KIỀU VỸ</t>
        </is>
      </c>
      <c r="E3483" t="inlineStr">
        <is>
          <t>Lương:Trên 15 Tr VND</t>
        </is>
      </c>
      <c r="F3483" t="inlineStr">
        <is>
          <t>Hồ Chí Minh</t>
        </is>
      </c>
      <c r="G3483" t="inlineStr">
        <is>
          <t>31-03-2026</t>
        </is>
      </c>
      <c r="H3483" t="inlineStr">
        <is>
          <t>31/03/2026</t>
        </is>
      </c>
      <c r="I3483" t="inlineStr">
        <is>
          <t>17/03/2026</t>
        </is>
      </c>
      <c r="J3483" t="inlineStr">
        <is>
          <t>Kế toán / Kiểm toán, Dệt may / Da giày / Thời trang, Tài chính / Đầu tư</t>
        </is>
      </c>
      <c r="K3483" t="inlineStr">
        <is>
          <t>2 - 3 Năm</t>
        </is>
      </c>
      <c r="L3483" s="8">
        <f>HYPERLINK("https://careerviet.vn/vi/tim-viec-lam/ke-toan-tong-hop.35C6AA83.html","Xem chi tiết")</f>
        <v/>
      </c>
    </row>
    <row r="3484">
      <c r="B3484" s="9" t="n">
        <v>3482</v>
      </c>
      <c r="C3484" s="10" t="inlineStr">
        <is>
          <t>CHUYÊN VIÊN PHÁT TRIỂN THỊ TRƯỜNG</t>
        </is>
      </c>
      <c r="D3484" s="10" t="inlineStr">
        <is>
          <t>CÔNG TY TNHH NIPPON INTERIA</t>
        </is>
      </c>
      <c r="E3484" s="10" t="inlineStr">
        <is>
          <t>Lương:10 Tr - 40 Tr VND</t>
        </is>
      </c>
      <c r="F3484" s="10" t="inlineStr">
        <is>
          <t>Hồ Chí MinhHà Nội</t>
        </is>
      </c>
      <c r="G3484" s="10" t="inlineStr">
        <is>
          <t>10-03-2026</t>
        </is>
      </c>
      <c r="H3484" s="10" t="inlineStr">
        <is>
          <t>12/03/2026</t>
        </is>
      </c>
      <c r="I3484" s="10" t="inlineStr">
        <is>
          <t>17/03/2026</t>
        </is>
      </c>
      <c r="J3484" s="10" t="inlineStr">
        <is>
          <t>Bán hàng / Kinh doanh, Bán lẻ / Bán sỉ, Bất động sản</t>
        </is>
      </c>
      <c r="K3484" s="10" t="inlineStr">
        <is>
          <t>2 - 3 Năm</t>
        </is>
      </c>
      <c r="L3484" s="11">
        <f>HYPERLINK("https://careerviet.vn/vi/tim-viec-lam/chuyen-vien-phat-trien-thi-truong.35C6ABCD.html","Xem chi tiết")</f>
        <v/>
      </c>
      <c r="M3484" s="10" t="n"/>
    </row>
    <row r="3485">
      <c r="B3485" s="7" t="n">
        <v>3483</v>
      </c>
      <c r="C3485" t="inlineStr">
        <is>
          <t>Sale Online</t>
        </is>
      </c>
      <c r="D3485" t="inlineStr">
        <is>
          <t>CÔNG TY TNHH THƯƠNG MẠI HKK</t>
        </is>
      </c>
      <c r="E3485" t="inlineStr">
        <is>
          <t>Lương:8 Tr - 12 Tr VND</t>
        </is>
      </c>
      <c r="F3485" t="inlineStr">
        <is>
          <t>Hà Nội</t>
        </is>
      </c>
      <c r="G3485" t="inlineStr">
        <is>
          <t>04-04-2026</t>
        </is>
      </c>
      <c r="H3485" t="inlineStr">
        <is>
          <t>04/04/2026</t>
        </is>
      </c>
      <c r="I3485" t="inlineStr">
        <is>
          <t>17/03/2026</t>
        </is>
      </c>
      <c r="J3485" t="inlineStr">
        <is>
          <t>Dược phẩm/ Hóa Mỹ Phẩm, Tiếp thị trực tuyến, Bán hàng / Kinh doanh</t>
        </is>
      </c>
      <c r="K3485" t="inlineStr">
        <is>
          <t>Trên 1 Năm</t>
        </is>
      </c>
      <c r="L3485" s="8">
        <f>HYPERLINK("https://careerviet.vn/vi/tim-viec-lam/sale-online.35C6ACE8.html","Xem chi tiết")</f>
        <v/>
      </c>
    </row>
    <row r="3486">
      <c r="B3486" s="9" t="n">
        <v>3484</v>
      </c>
      <c r="C3486" s="10" t="inlineStr">
        <is>
          <t>Trưởng Bộ Phận Quản Lý Chất Lượng Dự Án Xây Dựng</t>
        </is>
      </c>
      <c r="D3486" s="10" t="inlineStr">
        <is>
          <t>CÔNG TY CỔ PHẦN ĐẦU TƯ PHÁT TRIỂN MINH GLOBAL</t>
        </is>
      </c>
      <c r="E3486" s="10" t="inlineStr">
        <is>
          <t>Lương:25 Tr - 30 Tr VND</t>
        </is>
      </c>
      <c r="F3486" s="10" t="inlineStr">
        <is>
          <t>Hồ Chí Minh</t>
        </is>
      </c>
      <c r="G3486" s="10" t="inlineStr">
        <is>
          <t>04-04-2026</t>
        </is>
      </c>
      <c r="H3486" s="10" t="inlineStr">
        <is>
          <t>04/04/2026</t>
        </is>
      </c>
      <c r="I3486" s="10" t="inlineStr">
        <is>
          <t>17/03/2026</t>
        </is>
      </c>
      <c r="J3486" s="10" t="inlineStr">
        <is>
          <t>Xây dựng, Quản lý điều hành, Quản lý chất lượng (QA/QC)</t>
        </is>
      </c>
      <c r="K3486" s="10" t="inlineStr">
        <is>
          <t>Trên 10 Năm</t>
        </is>
      </c>
      <c r="L3486" s="11">
        <f>HYPERLINK("https://careerviet.vn/vi/tim-viec-lam/truong-bo-phan-quan-ly-chat-luong-du-an-xay-dung.35C6AC81.html","Xem chi tiết")</f>
        <v/>
      </c>
      <c r="M3486" s="10" t="n"/>
    </row>
    <row r="3487">
      <c r="B3487" s="7" t="n">
        <v>3485</v>
      </c>
      <c r="C3487" t="inlineStr">
        <is>
          <t>Kỹ Sư Tiết Kiệm Năng Lượng - Lương + Phụ Cấp + Thưởng Hấp Dẫn</t>
        </is>
      </c>
      <c r="D3487" t="inlineStr">
        <is>
          <t>Công Ty TNHH Sansei (Việt Nam)</t>
        </is>
      </c>
      <c r="E3487" t="inlineStr">
        <is>
          <t>Lương:9 Tr - 10 Tr VND</t>
        </is>
      </c>
      <c r="F3487" t="inlineStr">
        <is>
          <t>Hồ Chí Minh</t>
        </is>
      </c>
      <c r="G3487" t="inlineStr">
        <is>
          <t>30-04-2026</t>
        </is>
      </c>
      <c r="H3487" t="inlineStr">
        <is>
          <t>30/04/2026</t>
        </is>
      </c>
      <c r="I3487" t="inlineStr">
        <is>
          <t>17/03/2026</t>
        </is>
      </c>
      <c r="J3487" t="inlineStr">
        <is>
          <t>Kiến trúc, Điện / Điện tử / Điện lạnh / Điện công nghiệp, Xây dựng</t>
        </is>
      </c>
      <c r="K3487" t="inlineStr">
        <is>
          <t>N/A</t>
        </is>
      </c>
      <c r="L3487" s="8">
        <f>HYPERLINK("https://careerviet.vn/vi/tim-viec-lam/ky-su-tiet-kiem-nang-luong-luong-phu-cap-thuong-hap-dan.35C6AB2C.html","Xem chi tiết")</f>
        <v/>
      </c>
    </row>
    <row r="3488">
      <c r="B3488" s="9" t="n">
        <v>3486</v>
      </c>
      <c r="C3488" s="10" t="inlineStr">
        <is>
          <t>KIẾN TRÚC SƯ TRIỂN KHAI KỸ THUẬT</t>
        </is>
      </c>
      <c r="D3488" s="10" t="inlineStr">
        <is>
          <t>Công ty CP Kiến Trúc Xây Dựng Đất Thủ</t>
        </is>
      </c>
      <c r="E3488" s="10" t="inlineStr">
        <is>
          <t>Lương:11 Tr - 17 Tr VND</t>
        </is>
      </c>
      <c r="F3488" s="10" t="inlineStr">
        <is>
          <t>Hồ Chí MinhBình Dương</t>
        </is>
      </c>
      <c r="G3488" s="10" t="inlineStr">
        <is>
          <t>02-05-2026</t>
        </is>
      </c>
      <c r="H3488" s="10" t="inlineStr">
        <is>
          <t>02/05/2026</t>
        </is>
      </c>
      <c r="I3488" s="10" t="inlineStr">
        <is>
          <t>17/03/2026</t>
        </is>
      </c>
      <c r="J3488" s="10" t="inlineStr">
        <is>
          <t>Kiến trúc, Nội ngoại thất, Xây dựng</t>
        </is>
      </c>
      <c r="K3488" s="10" t="inlineStr">
        <is>
          <t>1 - 3 Năm</t>
        </is>
      </c>
      <c r="L3488" s="11">
        <f>HYPERLINK("https://careerviet.vn/vi/tim-viec-lam/kien-truc-su-trien-khai-ky-thuat.35C6AC16.html","Xem chi tiết")</f>
        <v/>
      </c>
      <c r="M3488" s="10" t="n"/>
    </row>
    <row r="3489">
      <c r="B3489" s="7" t="n">
        <v>3487</v>
      </c>
      <c r="C3489" t="inlineStr">
        <is>
          <t>[Hotel HN] Kế Toán Trưởng (Hospitality)</t>
        </is>
      </c>
      <c r="D3489" t="inlineStr">
        <is>
          <t>Công ty Cổ phần Tập đoàn Minh Anh</t>
        </is>
      </c>
      <c r="E3489" t="inlineStr">
        <is>
          <t>Lương:Cạnh tranh</t>
        </is>
      </c>
      <c r="F3489" t="inlineStr">
        <is>
          <t>Hà Nội</t>
        </is>
      </c>
      <c r="G3489" t="inlineStr">
        <is>
          <t>04-04-2026</t>
        </is>
      </c>
      <c r="H3489" t="inlineStr">
        <is>
          <t>04/04/2026</t>
        </is>
      </c>
      <c r="I3489" t="inlineStr">
        <is>
          <t>17/03/2026</t>
        </is>
      </c>
      <c r="J3489" t="inlineStr">
        <is>
          <t>Kế toán / Kiểm toán, Nhà hàng / Khách sạn, Tài chính / Đầu tư</t>
        </is>
      </c>
      <c r="K3489" t="inlineStr">
        <is>
          <t>5 - 10 Năm</t>
        </is>
      </c>
      <c r="L3489" s="8">
        <f>HYPERLINK("https://careerviet.vn/vi/tim-viec-lam/hotel-hn-ke-toan-truong-hospitality.35C6ADF8.html","Xem chi tiết")</f>
        <v/>
      </c>
    </row>
    <row r="3490">
      <c r="B3490" s="9" t="n">
        <v>3488</v>
      </c>
      <c r="C3490" s="10" t="inlineStr">
        <is>
          <t>PROJECT MANAGER (Quản lý dự án marketing)</t>
        </is>
      </c>
      <c r="D3490" s="10" t="inlineStr">
        <is>
          <t>Công ty TNHH VK Soho Offices</t>
        </is>
      </c>
      <c r="E3490" s="10" t="inlineStr">
        <is>
          <t>Lương:15 Tr - 18 Tr VND</t>
        </is>
      </c>
      <c r="F3490" s="10" t="inlineStr">
        <is>
          <t>Hồ Chí MinhĐà Nẵng</t>
        </is>
      </c>
      <c r="G3490" s="10" t="inlineStr">
        <is>
          <t>04-04-2026</t>
        </is>
      </c>
      <c r="H3490" s="10" t="inlineStr">
        <is>
          <t>04/04/2026</t>
        </is>
      </c>
      <c r="I3490" s="10" t="inlineStr">
        <is>
          <t>17/03/2026</t>
        </is>
      </c>
      <c r="J3490" s="10" t="inlineStr">
        <is>
          <t>Tiếp thị / Marketing, Tiếp thị trực tuyến, Quảng cáo / Đối ngoại / Truyền Thông</t>
        </is>
      </c>
      <c r="K3490" s="10" t="inlineStr">
        <is>
          <t>3 - 5 Năm</t>
        </is>
      </c>
      <c r="L3490" s="11">
        <f>HYPERLINK("https://careerviet.vn/vi/tim-viec-lam/project-manager-quan-ly-du-an-marketing.35C6AE37.html","Xem chi tiết")</f>
        <v/>
      </c>
      <c r="M3490" s="10" t="n"/>
    </row>
    <row r="3491">
      <c r="B3491" s="7" t="n">
        <v>3489</v>
      </c>
      <c r="C3491" t="inlineStr">
        <is>
          <t>Giám đốc Phòng Khách hàng doanh nghiệp - Hà Nội (khu vực Long Biên)</t>
        </is>
      </c>
      <c r="D3491" t="inlineStr">
        <is>
          <t>Ngân hàng TMCP Việt Á – VietABank</t>
        </is>
      </c>
      <c r="E3491" t="inlineStr">
        <is>
          <t>Lương:Cạnh tranh</t>
        </is>
      </c>
      <c r="F3491" t="inlineStr">
        <is>
          <t>Hà Nội</t>
        </is>
      </c>
      <c r="G3491" t="inlineStr">
        <is>
          <t>04-04-2026</t>
        </is>
      </c>
      <c r="H3491" t="inlineStr">
        <is>
          <t>04/04/2026</t>
        </is>
      </c>
      <c r="I3491" t="inlineStr">
        <is>
          <t>17/03/2026</t>
        </is>
      </c>
      <c r="J3491" t="inlineStr">
        <is>
          <t>Ngân hàng, Tài chính / Đầu tư</t>
        </is>
      </c>
      <c r="K3491" t="inlineStr">
        <is>
          <t>1 - 3 Năm</t>
        </is>
      </c>
      <c r="L3491" s="8">
        <f>HYPERLINK("https://careerviet.vn/vi/tim-viec-lam/giam-doc-phong-khach-hang-doanh-nghiep-ha-noi-khu-vuc-long-bien.35C6ABA8.html","Xem chi tiết")</f>
        <v/>
      </c>
    </row>
    <row r="3492">
      <c r="B3492" s="9" t="n">
        <v>3490</v>
      </c>
      <c r="C3492" s="10" t="inlineStr">
        <is>
          <t>Nhân viên Điều phối</t>
        </is>
      </c>
      <c r="D3492" s="10" t="inlineStr">
        <is>
          <t>Công Ty Cổ Phần Sữa Việt Nam (Vinamilk)</t>
        </is>
      </c>
      <c r="E3492" s="10" t="inlineStr">
        <is>
          <t>Lương:Cạnh tranh</t>
        </is>
      </c>
      <c r="F3492" s="10" t="inlineStr">
        <is>
          <t>Nghệ An</t>
        </is>
      </c>
      <c r="G3492" s="10" t="inlineStr">
        <is>
          <t>10-04-2026</t>
        </is>
      </c>
      <c r="H3492" s="10" t="inlineStr">
        <is>
          <t>10/04/2026</t>
        </is>
      </c>
      <c r="I3492" s="10" t="inlineStr">
        <is>
          <t>17/03/2026</t>
        </is>
      </c>
      <c r="J3492" s="10" t="inlineStr">
        <is>
          <t>Vận chuyển / Giao nhận / Kho vận</t>
        </is>
      </c>
      <c r="K3492" s="10" t="inlineStr">
        <is>
          <t>1 - 2 Năm</t>
        </is>
      </c>
      <c r="L3492" s="11">
        <f>HYPERLINK("https://careerviet.vn/vi/tim-viec-lam/nhan-vien-dieu-phoi.35C6AB67.html","Xem chi tiết")</f>
        <v/>
      </c>
      <c r="M3492" s="10" t="n"/>
    </row>
    <row r="3493">
      <c r="B3493" s="7" t="n">
        <v>3491</v>
      </c>
      <c r="C3493" t="inlineStr">
        <is>
          <t>Senior Accountant staff - Chuyên viên kế toán</t>
        </is>
      </c>
      <c r="D3493" t="inlineStr">
        <is>
          <t>CÔNG TY TNHH YANG MING SHIPPING (VIỆT NAM)</t>
        </is>
      </c>
      <c r="E3493" t="inlineStr">
        <is>
          <t>Lương:10 Tr - 20 Tr VND</t>
        </is>
      </c>
      <c r="F3493" t="inlineStr">
        <is>
          <t>Hồ Chí Minh</t>
        </is>
      </c>
      <c r="G3493" t="inlineStr">
        <is>
          <t>04-04-2026</t>
        </is>
      </c>
      <c r="H3493" t="inlineStr">
        <is>
          <t>04/04/2026</t>
        </is>
      </c>
      <c r="I3493" t="inlineStr">
        <is>
          <t>17/03/2026</t>
        </is>
      </c>
      <c r="J3493" t="inlineStr">
        <is>
          <t>Kế toán / Kiểm toán, Tài chính / Đầu tư, Hàng hải</t>
        </is>
      </c>
      <c r="K3493" t="inlineStr">
        <is>
          <t>2 - 3 Năm</t>
        </is>
      </c>
      <c r="L3493" s="8">
        <f>HYPERLINK("https://careerviet.vn/vi/tim-viec-lam/senior-accountant-staff-chuyen-vien-ke-toan.35C6ABE3.html","Xem chi tiết")</f>
        <v/>
      </c>
    </row>
    <row r="3494">
      <c r="B3494" s="9" t="n">
        <v>3492</v>
      </c>
      <c r="C3494" s="10" t="inlineStr">
        <is>
          <t>Chuyên viên Quản lý Chất lượng và Tiến độ (Kỹ sư Xây dựng)</t>
        </is>
      </c>
      <c r="D3494" s="10" t="inlineStr">
        <is>
          <t>CÔNG TY CỔ PHẦN EUROWINDOW HOLDING</t>
        </is>
      </c>
      <c r="E3494" s="10" t="inlineStr">
        <is>
          <t>Lương:Cạnh tranh</t>
        </is>
      </c>
      <c r="F3494" s="10" t="inlineStr">
        <is>
          <t>Hà Nội</t>
        </is>
      </c>
      <c r="G3494" s="10" t="inlineStr">
        <is>
          <t>31-03-2026</t>
        </is>
      </c>
      <c r="H3494" s="10" t="inlineStr">
        <is>
          <t>31/03/2026</t>
        </is>
      </c>
      <c r="I3494" s="10" t="inlineStr">
        <is>
          <t>17/03/2026</t>
        </is>
      </c>
      <c r="J3494" s="10" t="inlineStr">
        <is>
          <t>Kiến trúc, Xây dựng, Bất động sản</t>
        </is>
      </c>
      <c r="K3494" s="10" t="inlineStr">
        <is>
          <t>3 - 5 Năm</t>
        </is>
      </c>
      <c r="L3494" s="11">
        <f>HYPERLINK("https://careerviet.vn/vi/tim-viec-lam/chuyen-vien-quan-ly-chat-luong-va-tien-do-ky-su-xay-dung.35C6AC3A.html","Xem chi tiết")</f>
        <v/>
      </c>
      <c r="M3494" s="10" t="n"/>
    </row>
    <row r="3495">
      <c r="B3495" s="7" t="n">
        <v>3493</v>
      </c>
      <c r="C3495" t="inlineStr">
        <is>
          <t>Trưởng phòng khách hàng doanh nghiệp - Bình Thuận, Ninh Thuận, Phú Yên, Ninh Hòa</t>
        </is>
      </c>
      <c r="D3495" t="inlineStr">
        <is>
          <t>Ngân hàng TMCP Phát triển TP.HCM (HDBank)</t>
        </is>
      </c>
      <c r="E3495" t="inlineStr">
        <is>
          <t>Lương:34 Tr - 47 Tr VND</t>
        </is>
      </c>
      <c r="F3495" t="inlineStr">
        <is>
          <t>Bình ThuậnNinh ThuậnPhú Yên</t>
        </is>
      </c>
      <c r="G3495" t="inlineStr">
        <is>
          <t>04-04-2026</t>
        </is>
      </c>
      <c r="H3495" t="inlineStr">
        <is>
          <t>04/04/2026</t>
        </is>
      </c>
      <c r="I3495" t="inlineStr">
        <is>
          <t>17/03/2026</t>
        </is>
      </c>
      <c r="J3495" t="inlineStr">
        <is>
          <t>Ngân hàng</t>
        </is>
      </c>
      <c r="K3495" t="inlineStr">
        <is>
          <t>2 - 3 Năm</t>
        </is>
      </c>
      <c r="L3495" s="8">
        <f>HYPERLINK("https://careerviet.vn/vi/tim-viec-lam/truong-phong-khach-hang-doanh-nghiep-binh-thuan-ninh-thuan-phu-yen-ninh-hoa.35C6AB56.html","Xem chi tiết")</f>
        <v/>
      </c>
    </row>
    <row r="3496">
      <c r="B3496" s="9" t="n">
        <v>3494</v>
      </c>
      <c r="C3496" s="10" t="inlineStr">
        <is>
          <t>Quản Lý Đơn Hàng</t>
        </is>
      </c>
      <c r="D3496" s="10" t="inlineStr">
        <is>
          <t>Công ty CP TCE VINA DENIM</t>
        </is>
      </c>
      <c r="E3496" s="10" t="inlineStr">
        <is>
          <t>Lương:Trên 12 Tr VND</t>
        </is>
      </c>
      <c r="F3496" s="10" t="inlineStr">
        <is>
          <t>Nam ĐịnhHà NamNinh Bình</t>
        </is>
      </c>
      <c r="G3496" s="10" t="inlineStr">
        <is>
          <t>02-04-2026</t>
        </is>
      </c>
      <c r="H3496" s="10" t="inlineStr">
        <is>
          <t>02/04/2026</t>
        </is>
      </c>
      <c r="I3496" s="10" t="inlineStr">
        <is>
          <t>17/03/2026</t>
        </is>
      </c>
      <c r="J3496" s="10" t="inlineStr">
        <is>
          <t>Quản lý điều hành, Sản xuất / Vận hành sản xuất, Quản lý chất lượng (QA/QC)</t>
        </is>
      </c>
      <c r="K3496" s="10" t="inlineStr">
        <is>
          <t>Trên 2 Năm</t>
        </is>
      </c>
      <c r="L3496" s="11">
        <f>HYPERLINK("https://careerviet.vn/vi/tim-viec-lam/quan-ly-don-hang.35C6AAEC.html","Xem chi tiết")</f>
        <v/>
      </c>
      <c r="M3496" s="10" t="n"/>
    </row>
    <row r="3497">
      <c r="B3497" s="7" t="n">
        <v>3495</v>
      </c>
      <c r="C3497" t="inlineStr">
        <is>
          <t>Giám Sát An Toàn (HSE Supervisor)</t>
        </is>
      </c>
      <c r="D3497" t="inlineStr">
        <is>
          <t>Công Ty Cổ Phần Xây Dựng Central</t>
        </is>
      </c>
      <c r="E3497" t="inlineStr">
        <is>
          <t>Lương:15 Tr - 30 Tr VND</t>
        </is>
      </c>
      <c r="F3497" t="inlineStr">
        <is>
          <t>Hồ Chí MinhHà Nội</t>
        </is>
      </c>
      <c r="G3497" t="inlineStr">
        <is>
          <t>30-04-2026</t>
        </is>
      </c>
      <c r="H3497" t="inlineStr">
        <is>
          <t>30/04/2026</t>
        </is>
      </c>
      <c r="I3497" t="inlineStr">
        <is>
          <t>17/03/2026</t>
        </is>
      </c>
      <c r="J3497" t="inlineStr">
        <is>
          <t>Điện / Điện tử / Điện lạnh / Điện công nghiệp, An toàn lao động, Xây dựng</t>
        </is>
      </c>
      <c r="K3497" t="inlineStr">
        <is>
          <t>1 - 10 Năm</t>
        </is>
      </c>
      <c r="L3497" s="8">
        <f>HYPERLINK("https://careerviet.vn/vi/tim-viec-lam/giam-sat-an-toan-hse-supervisor.35C6AD1D.html","Xem chi tiết")</f>
        <v/>
      </c>
    </row>
    <row r="3498">
      <c r="B3498" s="9" t="n">
        <v>3496</v>
      </c>
      <c r="C3498" s="10" t="inlineStr">
        <is>
          <t>Chuyên viên Chuyển đổi số nội bộ - Trung tâm vận hành tối ưu - Khối Vận hành</t>
        </is>
      </c>
      <c r="D3498" s="10" t="inlineStr">
        <is>
          <t>Ngân hàng TMCP Đại Chúng Việt Nam - PVcomBank</t>
        </is>
      </c>
      <c r="E3498" s="10" t="inlineStr">
        <is>
          <t>Lương:Cạnh tranh</t>
        </is>
      </c>
      <c r="F3498" s="10" t="inlineStr">
        <is>
          <t>Hà Nội</t>
        </is>
      </c>
      <c r="G3498" s="10" t="inlineStr">
        <is>
          <t>03-04-2026</t>
        </is>
      </c>
      <c r="H3498" s="10" t="inlineStr">
        <is>
          <t>03/04/2026</t>
        </is>
      </c>
      <c r="I3498" s="10" t="inlineStr">
        <is>
          <t>17/03/2026</t>
        </is>
      </c>
      <c r="J3498" s="10" t="inlineStr">
        <is>
          <t>Ngân hàng, Tài chính / Đầu tư</t>
        </is>
      </c>
      <c r="K3498" s="10" t="inlineStr">
        <is>
          <t>1 - 5 Năm</t>
        </is>
      </c>
      <c r="L3498" s="11">
        <f>HYPERLINK("https://careerviet.vn/vi/tim-viec-lam/chuyen-vien-chuyen-doi-so-noi-bo-trung-tam-van-hanh-toi-uu-khoi-van-hanh.35C6AEDE.html","Xem chi tiết")</f>
        <v/>
      </c>
      <c r="M3498" s="10" t="n"/>
    </row>
    <row r="3499">
      <c r="B3499" s="7" t="n">
        <v>3497</v>
      </c>
      <c r="C3499" t="inlineStr">
        <is>
          <t>Trưởng phòng kĩ thuật</t>
        </is>
      </c>
      <c r="D3499" t="inlineStr">
        <is>
          <t>Công ty cổ phần văn phòng phẩm Hồng Hà</t>
        </is>
      </c>
      <c r="E3499" t="inlineStr">
        <is>
          <t>Lương:Cạnh tranh</t>
        </is>
      </c>
      <c r="F3499" t="inlineStr">
        <is>
          <t>Hà Nội</t>
        </is>
      </c>
      <c r="G3499" t="inlineStr">
        <is>
          <t>04-04-2026</t>
        </is>
      </c>
      <c r="H3499" t="inlineStr">
        <is>
          <t>04/04/2026</t>
        </is>
      </c>
      <c r="I3499" t="inlineStr">
        <is>
          <t>17/03/2026</t>
        </is>
      </c>
      <c r="J3499" t="inlineStr">
        <is>
          <t>Cơ khí / Ô tô / Tự động hóa, Điện / Điện tử / Điện lạnh / Điện công nghiệp, Sản xuất / Vận hành sản xuất</t>
        </is>
      </c>
      <c r="K3499" t="inlineStr">
        <is>
          <t>3 - 5 Năm</t>
        </is>
      </c>
      <c r="L3499" s="8">
        <f>HYPERLINK("https://careerviet.vn/vi/tim-viec-lam/truong-phong-ki-thuat.35C6ACF0.html","Xem chi tiết")</f>
        <v/>
      </c>
    </row>
    <row r="3500">
      <c r="B3500" s="9" t="n">
        <v>3498</v>
      </c>
      <c r="C3500" s="10" t="inlineStr">
        <is>
          <t>KẾ TOÁN TRƯỞNG</t>
        </is>
      </c>
      <c r="D3500" s="10" t="inlineStr">
        <is>
          <t>TRAN DUC CORPORATION - CÔNG TY CỔ PHẦN TRẦN ĐỨC</t>
        </is>
      </c>
      <c r="E3500" s="10" t="inlineStr">
        <is>
          <t>Lương:Cạnh tranh</t>
        </is>
      </c>
      <c r="F3500" s="10" t="inlineStr">
        <is>
          <t>Bình Dương</t>
        </is>
      </c>
      <c r="G3500" s="10" t="inlineStr">
        <is>
          <t>30-04-2026</t>
        </is>
      </c>
      <c r="H3500" s="10" t="inlineStr">
        <is>
          <t>30/04/2026</t>
        </is>
      </c>
      <c r="I3500" s="10" t="inlineStr">
        <is>
          <t>17/03/2026</t>
        </is>
      </c>
      <c r="J3500" s="10" t="inlineStr">
        <is>
          <t>Nội ngoại thất, Xây dựng, Nhà hàng / Khách sạn</t>
        </is>
      </c>
      <c r="K3500" s="10" t="inlineStr">
        <is>
          <t>3 - 5 Năm</t>
        </is>
      </c>
      <c r="L3500" s="11">
        <f>HYPERLINK("https://careerviet.vn/vi/tim-viec-lam/ke-toan-truong.35C6AC3F.html","Xem chi tiết")</f>
        <v/>
      </c>
      <c r="M3500" s="10" t="n"/>
    </row>
    <row r="3501">
      <c r="B3501" s="7" t="n">
        <v>3499</v>
      </c>
      <c r="C3501" t="inlineStr">
        <is>
          <t>Kế toán tổng hợp</t>
        </is>
      </c>
      <c r="D3501" t="inlineStr">
        <is>
          <t>Công Ty TNHH MTV Sanrimjohap Vina</t>
        </is>
      </c>
      <c r="E3501" t="inlineStr">
        <is>
          <t>Lương:15 Tr - 20 Tr VND</t>
        </is>
      </c>
      <c r="F3501" t="inlineStr">
        <is>
          <t>Hồ Chí Minh</t>
        </is>
      </c>
      <c r="G3501" t="inlineStr">
        <is>
          <t>31-03-2026</t>
        </is>
      </c>
      <c r="H3501" t="inlineStr">
        <is>
          <t>31/03/2026</t>
        </is>
      </c>
      <c r="I3501" t="inlineStr">
        <is>
          <t>17/03/2026</t>
        </is>
      </c>
      <c r="J3501" t="inlineStr">
        <is>
          <t>Kế toán / Kiểm toán, Tài chính / Đầu tư</t>
        </is>
      </c>
      <c r="K3501" t="inlineStr">
        <is>
          <t>3 - 8 Năm</t>
        </is>
      </c>
      <c r="L3501" s="8">
        <f>HYPERLINK("https://careerviet.vn/vi/tim-viec-lam/ke-toan-tong-hop.35C6A9BE.html","Xem chi tiết")</f>
        <v/>
      </c>
    </row>
    <row r="3502">
      <c r="B3502" s="9" t="n">
        <v>3500</v>
      </c>
      <c r="C3502" s="10" t="inlineStr">
        <is>
          <t>General Accountant (3-month Contract | F&amp;B)</t>
        </is>
      </c>
      <c r="D3502" s="10" t="inlineStr">
        <is>
          <t>CÔNG TY TNHH THỜI TRANG VÀ MỸ PHẨM ÂU CHÂU</t>
        </is>
      </c>
      <c r="E3502" s="10" t="inlineStr">
        <is>
          <t>Lương:Cạnh tranh</t>
        </is>
      </c>
      <c r="F3502" s="10" t="inlineStr">
        <is>
          <t>Hồ Chí Minh</t>
        </is>
      </c>
      <c r="G3502" s="10" t="inlineStr">
        <is>
          <t>11-04-2026</t>
        </is>
      </c>
      <c r="H3502" s="10" t="inlineStr">
        <is>
          <t>11/04/2026</t>
        </is>
      </c>
      <c r="I3502" s="10" t="inlineStr">
        <is>
          <t>17/03/2026</t>
        </is>
      </c>
      <c r="J3502" s="10" t="inlineStr">
        <is>
          <t>Kế toán / Kiểm toán, Thực phẩm &amp; Đồ uống</t>
        </is>
      </c>
      <c r="K3502" s="10" t="inlineStr">
        <is>
          <t>4 - 6 Năm</t>
        </is>
      </c>
      <c r="L3502" s="11">
        <f>HYPERLINK("https://careerviet.vn/vi/tim-viec-lam/general-accountant-3-month-contract-f-b.35C6C141.html","Xem chi tiết")</f>
        <v/>
      </c>
      <c r="M3502" s="10" t="n"/>
    </row>
    <row r="3503">
      <c r="B3503" s="7" t="n">
        <v>3501</v>
      </c>
      <c r="C3503" t="inlineStr">
        <is>
          <t>Chuyên viên Khai thác &amp; Bán Quảng cáo</t>
        </is>
      </c>
      <c r="D3503" t="inlineStr">
        <is>
          <t>Công Ty Cổ Phần Du Lịch Vietravel</t>
        </is>
      </c>
      <c r="E3503" t="inlineStr">
        <is>
          <t>Lương:Cạnh tranh</t>
        </is>
      </c>
      <c r="F3503" t="inlineStr">
        <is>
          <t>Hồ Chí Minh</t>
        </is>
      </c>
      <c r="G3503" t="inlineStr">
        <is>
          <t>24-04-2026</t>
        </is>
      </c>
      <c r="H3503" t="inlineStr">
        <is>
          <t>24/04/2026</t>
        </is>
      </c>
      <c r="I3503" t="inlineStr">
        <is>
          <t>17/03/2026</t>
        </is>
      </c>
      <c r="J3503" t="inlineStr">
        <is>
          <t>Du lịch, Quảng cáo / Đối ngoại / Truyền Thông</t>
        </is>
      </c>
      <c r="K3503" t="inlineStr">
        <is>
          <t>1 - 2 Năm</t>
        </is>
      </c>
      <c r="L3503" s="8">
        <f>HYPERLINK("https://careerviet.vn/vi/tim-viec-lam/chuyen-vien-khai-thac-ban-quang-cao.35C6C13D.html","Xem chi tiết")</f>
        <v/>
      </c>
    </row>
    <row r="3504">
      <c r="B3504" s="9" t="n">
        <v>3502</v>
      </c>
      <c r="C3504" s="10" t="inlineStr">
        <is>
          <t>Phó phòng Tăng trưởng</t>
        </is>
      </c>
      <c r="D3504" s="10" t="inlineStr">
        <is>
          <t>Công Ty Cổ Phần Du Lịch Vietravel</t>
        </is>
      </c>
      <c r="E3504" s="10" t="inlineStr">
        <is>
          <t>Lương:Cạnh tranh</t>
        </is>
      </c>
      <c r="F3504" s="10" t="inlineStr">
        <is>
          <t>Hồ Chí Minh</t>
        </is>
      </c>
      <c r="G3504" s="10" t="inlineStr">
        <is>
          <t>24-04-2026</t>
        </is>
      </c>
      <c r="H3504" s="10" t="inlineStr">
        <is>
          <t>24/04/2026</t>
        </is>
      </c>
      <c r="I3504" s="10" t="inlineStr">
        <is>
          <t>17/03/2026</t>
        </is>
      </c>
      <c r="J3504" s="10" t="inlineStr">
        <is>
          <t>Du lịch, Quảng cáo / Đối ngoại / Truyền Thông</t>
        </is>
      </c>
      <c r="K3504" s="10" t="inlineStr">
        <is>
          <t>4 - 6 Năm</t>
        </is>
      </c>
      <c r="L3504" s="11">
        <f>HYPERLINK("https://careerviet.vn/vi/tim-viec-lam/pho-phong-tang-truong.35C6C14C.html","Xem chi tiết")</f>
        <v/>
      </c>
      <c r="M3504" s="10" t="n"/>
    </row>
    <row r="3505">
      <c r="B3505" s="7" t="n">
        <v>3503</v>
      </c>
      <c r="C3505" t="inlineStr">
        <is>
          <t>Chuyên viên tuyển dụng</t>
        </is>
      </c>
      <c r="D3505" t="inlineStr">
        <is>
          <t>CÔNG TY CỔ PHẦN THÁI VIỆT CORPORATION</t>
        </is>
      </c>
      <c r="E3505" t="inlineStr">
        <is>
          <t>Lương:15 Tr - 18 Tr VND</t>
        </is>
      </c>
      <c r="F3505" t="inlineStr">
        <is>
          <t>Bình Phước</t>
        </is>
      </c>
      <c r="G3505" t="inlineStr">
        <is>
          <t>10-04-2026</t>
        </is>
      </c>
      <c r="H3505" t="inlineStr">
        <is>
          <t>10/04/2026</t>
        </is>
      </c>
      <c r="I3505" t="inlineStr">
        <is>
          <t>17/03/2026</t>
        </is>
      </c>
      <c r="J3505" t="inlineStr">
        <is>
          <t>Nhân sự</t>
        </is>
      </c>
      <c r="K3505" t="inlineStr">
        <is>
          <t>3 - 5 Năm</t>
        </is>
      </c>
      <c r="L3505" s="8">
        <f>HYPERLINK("https://careerviet.vn/vi/tim-viec-lam/chuyen-vien-tuyen-dung.35C6C148.html","Xem chi tiết")</f>
        <v/>
      </c>
    </row>
    <row r="3506">
      <c r="B3506" s="9" t="n">
        <v>3504</v>
      </c>
      <c r="C3506" s="10" t="inlineStr">
        <is>
          <t>Phó Trưởng phòng Vật tư</t>
        </is>
      </c>
      <c r="D3506" s="10" t="inlineStr">
        <is>
          <t>CÔNG TY CỔ PHẦN ĐẦU TƯ THIÊN ÂN</t>
        </is>
      </c>
      <c r="E3506" s="10" t="inlineStr">
        <is>
          <t>Lương:25 Tr - 30 Tr VND</t>
        </is>
      </c>
      <c r="F3506" s="10" t="inlineStr">
        <is>
          <t>Hà Nội</t>
        </is>
      </c>
      <c r="G3506" s="10" t="inlineStr">
        <is>
          <t>11-04-2026</t>
        </is>
      </c>
      <c r="H3506" s="10" t="inlineStr">
        <is>
          <t>11/04/2026</t>
        </is>
      </c>
      <c r="I3506" s="10" t="inlineStr">
        <is>
          <t>17/03/2026</t>
        </is>
      </c>
      <c r="J3506" s="10" t="inlineStr">
        <is>
          <t>Thu mua / Vật tư, Xây dựng, Bất động sản</t>
        </is>
      </c>
      <c r="K3506" s="10" t="inlineStr">
        <is>
          <t>Trên 5 Năm</t>
        </is>
      </c>
      <c r="L3506" s="11">
        <f>HYPERLINK("https://careerviet.vn/vi/tim-viec-lam/pho-truong-phong-vat-tu.35C6C131.html","Xem chi tiết")</f>
        <v/>
      </c>
      <c r="M3506" s="10" t="n"/>
    </row>
    <row r="3507">
      <c r="B3507" s="7" t="n">
        <v>3505</v>
      </c>
      <c r="C3507" t="inlineStr">
        <is>
          <t>[MAG] Nhân Viên IE (GSD)</t>
        </is>
      </c>
      <c r="D3507" t="inlineStr">
        <is>
          <t>Công ty Cổ phần Tập đoàn Minh Anh</t>
        </is>
      </c>
      <c r="E3507" t="inlineStr">
        <is>
          <t>Lương:Cạnh tranh</t>
        </is>
      </c>
      <c r="F3507" t="inlineStr">
        <is>
          <t>Hà Nội</t>
        </is>
      </c>
      <c r="G3507" t="inlineStr">
        <is>
          <t>04-04-2026</t>
        </is>
      </c>
      <c r="H3507" t="inlineStr">
        <is>
          <t>04/04/2026</t>
        </is>
      </c>
      <c r="I3507" t="inlineStr">
        <is>
          <t>17/03/2026</t>
        </is>
      </c>
      <c r="J3507" t="inlineStr">
        <is>
          <t>Dệt may / Da giày / Thời trang, Quản lý chất lượng (QA/QC), Sản xuất / Vận hành sản xuất</t>
        </is>
      </c>
      <c r="K3507" t="inlineStr">
        <is>
          <t>5 - 10 Năm</t>
        </is>
      </c>
      <c r="L3507" s="8">
        <f>HYPERLINK("https://careerviet.vn/vi/tim-viec-lam/mag-nhan-vien-ie-gsd.35C6ADE9.html","Xem chi tiết")</f>
        <v/>
      </c>
    </row>
    <row r="3508">
      <c r="B3508" s="9" t="n">
        <v>3506</v>
      </c>
      <c r="C3508" s="10" t="inlineStr">
        <is>
          <t>NHÂN VIÊN KẾ TOÁN XUẤT HÓA ĐƠN</t>
        </is>
      </c>
      <c r="D3508" s="10" t="inlineStr">
        <is>
          <t>Công Ty Cổ Phần Dược Phẩm 3/2</t>
        </is>
      </c>
      <c r="E3508" s="10" t="inlineStr">
        <is>
          <t>Lương:8 Tr - 9 Tr VND</t>
        </is>
      </c>
      <c r="F3508" s="10" t="inlineStr">
        <is>
          <t>Hồ Chí Minh</t>
        </is>
      </c>
      <c r="G3508" s="10" t="inlineStr">
        <is>
          <t>12-04-2026</t>
        </is>
      </c>
      <c r="H3508" s="10" t="inlineStr">
        <is>
          <t>12/04/2026</t>
        </is>
      </c>
      <c r="I3508" s="10" t="inlineStr">
        <is>
          <t>17/03/2026</t>
        </is>
      </c>
      <c r="J3508" s="10" t="inlineStr">
        <is>
          <t>Kế toán / Kiểm toán</t>
        </is>
      </c>
      <c r="K3508" s="10" t="inlineStr">
        <is>
          <t>1 - 2 Năm</t>
        </is>
      </c>
      <c r="L3508" s="11">
        <f>HYPERLINK("https://careerviet.vn/vi/tim-viec-lam/nhan-vien-ke-toan-xuat-hoa-don.35C6C12D.html","Xem chi tiết")</f>
        <v/>
      </c>
      <c r="M3508" s="10" t="n"/>
    </row>
    <row r="3509">
      <c r="B3509" s="7" t="n">
        <v>3507</v>
      </c>
      <c r="C3509" t="inlineStr">
        <is>
          <t>TRỢ LÝ GIÁM ĐỐC</t>
        </is>
      </c>
      <c r="D3509" t="inlineStr">
        <is>
          <t>CÔNG TY TNHH CƯỜNG QUẬT</t>
        </is>
      </c>
      <c r="E3509" t="inlineStr">
        <is>
          <t>Lương:Cạnh tranh</t>
        </is>
      </c>
      <c r="F3509" t="inlineStr">
        <is>
          <t>Hồ Chí Minh</t>
        </is>
      </c>
      <c r="G3509" t="inlineStr">
        <is>
          <t>11-04-2026</t>
        </is>
      </c>
      <c r="H3509" t="inlineStr">
        <is>
          <t>11/04/2026</t>
        </is>
      </c>
      <c r="I3509" t="inlineStr">
        <is>
          <t>17/03/2026</t>
        </is>
      </c>
      <c r="J3509" t="inlineStr">
        <is>
          <t>Quản lý điều hành, Nhân sự, Tài chính / Đầu tư</t>
        </is>
      </c>
      <c r="K3509" t="inlineStr">
        <is>
          <t>Lên đến 2 Năm</t>
        </is>
      </c>
      <c r="L3509" s="8">
        <f>HYPERLINK("https://careerviet.vn/vi/tim-viec-lam/tro-ly-giam-doc.35C6BBDC.html","Xem chi tiết")</f>
        <v/>
      </c>
    </row>
    <row r="3510">
      <c r="B3510" s="9" t="n">
        <v>3508</v>
      </c>
      <c r="C3510" s="10" t="inlineStr">
        <is>
          <t>Nhân viên điều phối dự án</t>
        </is>
      </c>
      <c r="D3510" s="10" t="inlineStr">
        <is>
          <t>CÔNG TY TNHH KIẾN TRÚC VÀ TRANG TRÍ NỘI THẤT LÊ GIA</t>
        </is>
      </c>
      <c r="E3510" s="10" t="inlineStr">
        <is>
          <t>Lương:Cạnh tranh</t>
        </is>
      </c>
      <c r="F3510" s="10" t="inlineStr">
        <is>
          <t>Hồ Chí Minh</t>
        </is>
      </c>
      <c r="G3510" s="10" t="inlineStr">
        <is>
          <t>10-04-2026</t>
        </is>
      </c>
      <c r="H3510" s="10" t="inlineStr">
        <is>
          <t>10/04/2026</t>
        </is>
      </c>
      <c r="I3510" s="10" t="inlineStr">
        <is>
          <t>17/03/2026</t>
        </is>
      </c>
      <c r="J3510" s="10" t="inlineStr">
        <is>
          <t>Kiến trúc</t>
        </is>
      </c>
      <c r="K3510" s="10" t="inlineStr">
        <is>
          <t>Trên 3 Năm</t>
        </is>
      </c>
      <c r="L3510" s="11">
        <f>HYPERLINK("https://careerviet.vn/vi/tim-viec-lam/nhan-vien-dieu-phoi-du-an.35C6C12A.html","Xem chi tiết")</f>
        <v/>
      </c>
      <c r="M3510" s="10" t="n"/>
    </row>
    <row r="3511">
      <c r="B3511" s="7" t="n">
        <v>3509</v>
      </c>
      <c r="C3511" t="inlineStr">
        <is>
          <t>Phó phòng kỹ thuật</t>
        </is>
      </c>
      <c r="D3511" t="inlineStr">
        <is>
          <t>CÔNG TY CỔ PHẦN HIKARI ĐÀ LẠT</t>
        </is>
      </c>
      <c r="E3511" t="inlineStr">
        <is>
          <t>Lương:12 Tr - 16 Tr VND</t>
        </is>
      </c>
      <c r="F3511" t="inlineStr">
        <is>
          <t>Lâm Đồng</t>
        </is>
      </c>
      <c r="G3511" t="inlineStr">
        <is>
          <t>30-05-2026</t>
        </is>
      </c>
      <c r="H3511" t="inlineStr">
        <is>
          <t>30/05/2026</t>
        </is>
      </c>
      <c r="I3511" t="inlineStr">
        <is>
          <t>17/03/2026</t>
        </is>
      </c>
      <c r="J3511" t="inlineStr">
        <is>
          <t>Sản xuất / Vận hành sản xuất</t>
        </is>
      </c>
      <c r="K3511" t="inlineStr">
        <is>
          <t>3 - 5 Năm</t>
        </is>
      </c>
      <c r="L3511" s="8">
        <f>HYPERLINK("https://careerviet.vn/vi/tim-viec-lam/pho-phong-ky-thuat.35C6C121.html","Xem chi tiết")</f>
        <v/>
      </c>
    </row>
    <row r="3512">
      <c r="B3512" s="9" t="n">
        <v>3510</v>
      </c>
      <c r="C3512" s="10" t="inlineStr">
        <is>
          <t>Chuyên viên kế hoạch tiến độ</t>
        </is>
      </c>
      <c r="D3512" s="10" t="inlineStr">
        <is>
          <t>BIM Group</t>
        </is>
      </c>
      <c r="E3512" s="10" t="inlineStr">
        <is>
          <t>Lương:Cạnh tranh</t>
        </is>
      </c>
      <c r="F3512" s="10" t="inlineStr">
        <is>
          <t>Khánh Hòa</t>
        </is>
      </c>
      <c r="G3512" s="10" t="inlineStr">
        <is>
          <t>30-04-2026</t>
        </is>
      </c>
      <c r="H3512" s="10" t="inlineStr">
        <is>
          <t>30/04/2026</t>
        </is>
      </c>
      <c r="I3512" s="10" t="inlineStr">
        <is>
          <t>17/03/2026</t>
        </is>
      </c>
      <c r="J3512" s="10" t="inlineStr">
        <is>
          <t>Xây dựng, Điện / Điện tử / Điện lạnh / Điện công nghiệp, Kế toán / Kiểm toán</t>
        </is>
      </c>
      <c r="K3512" s="10" t="inlineStr">
        <is>
          <t>2 - 3 Năm</t>
        </is>
      </c>
      <c r="L3512" s="11">
        <f>HYPERLINK("https://careerviet.vn/vi/tim-viec-lam/chuyen-vien-ke-hoach-tien-do.35C6BF1B.html","Xem chi tiết")</f>
        <v/>
      </c>
      <c r="M3512" s="10" t="n"/>
    </row>
    <row r="3513">
      <c r="B3513" s="7" t="n">
        <v>3511</v>
      </c>
      <c r="C3513" t="inlineStr">
        <is>
          <t>Phó Phòng Kế Hoạch Kỹ Thuật Phụ Trách Về Kế Hoạch</t>
        </is>
      </c>
      <c r="D3513" t="inlineStr">
        <is>
          <t>CÔNG TY CỔ PHẦN ĐẦU TƯ THIÊN ÂN</t>
        </is>
      </c>
      <c r="E3513" t="inlineStr">
        <is>
          <t>Lương:20 Tr - 30 Tr VND</t>
        </is>
      </c>
      <c r="F3513" t="inlineStr">
        <is>
          <t>Hà Nội</t>
        </is>
      </c>
      <c r="G3513" t="inlineStr">
        <is>
          <t>11-04-2026</t>
        </is>
      </c>
      <c r="H3513" t="inlineStr">
        <is>
          <t>11/04/2026</t>
        </is>
      </c>
      <c r="I3513" t="inlineStr">
        <is>
          <t>17/03/2026</t>
        </is>
      </c>
      <c r="J3513" t="inlineStr">
        <is>
          <t>Kiến trúc, Xây dựng, Bất động sản</t>
        </is>
      </c>
      <c r="K3513" t="inlineStr">
        <is>
          <t>Trên 5 Năm</t>
        </is>
      </c>
      <c r="L3513" s="8">
        <f>HYPERLINK("https://careerviet.vn/vi/tim-viec-lam/pho-phong-ke-hoach-ky-thuat-phu-trach-ve-ke-hoach.35C6C133.html","Xem chi tiết")</f>
        <v/>
      </c>
    </row>
    <row r="3514">
      <c r="B3514" s="9" t="n">
        <v>3512</v>
      </c>
      <c r="C3514" s="10" t="inlineStr">
        <is>
          <t>Cán Bộ Quản Lý Dự Án Hồ Sơ Khối Lượng</t>
        </is>
      </c>
      <c r="D3514" s="10" t="inlineStr">
        <is>
          <t>CÔNG TY CỔ PHẦN ĐẦU TƯ THIÊN ÂN</t>
        </is>
      </c>
      <c r="E3514" s="10" t="inlineStr">
        <is>
          <t>Lương:12 Tr - 22 Tr VND</t>
        </is>
      </c>
      <c r="F3514" s="10" t="inlineStr">
        <is>
          <t>Hà NộiBắc GiangBắc Ninh</t>
        </is>
      </c>
      <c r="G3514" s="10" t="inlineStr">
        <is>
          <t>11-04-2026</t>
        </is>
      </c>
      <c r="H3514" s="10" t="inlineStr">
        <is>
          <t>11/04/2026</t>
        </is>
      </c>
      <c r="I3514" s="10" t="inlineStr">
        <is>
          <t>17/03/2026</t>
        </is>
      </c>
      <c r="J3514" s="10" t="inlineStr">
        <is>
          <t>Xây dựng, Kiến trúc, Bất động sản</t>
        </is>
      </c>
      <c r="K3514" s="10" t="inlineStr">
        <is>
          <t>Trên 3 Năm</t>
        </is>
      </c>
      <c r="L3514" s="11">
        <f>HYPERLINK("https://careerviet.vn/vi/tim-viec-lam/can-bo-quan-ly-du-an-ho-so-khoi-luong.35C6C118.html","Xem chi tiết")</f>
        <v/>
      </c>
      <c r="M3514" s="10" t="n"/>
    </row>
    <row r="3515">
      <c r="B3515" s="7" t="n">
        <v>3513</v>
      </c>
      <c r="C3515" t="inlineStr">
        <is>
          <t>Nhân Viên Kỹ Thuật</t>
        </is>
      </c>
      <c r="D3515" t="inlineStr">
        <is>
          <t>CÔNG TY TNHH ĐIỆN TỬ MAKIPOS</t>
        </is>
      </c>
      <c r="E3515" t="inlineStr">
        <is>
          <t>Lương:Cạnh tranh</t>
        </is>
      </c>
      <c r="F3515" t="inlineStr">
        <is>
          <t>Hà Nội</t>
        </is>
      </c>
      <c r="G3515" t="inlineStr">
        <is>
          <t>02-04-2026</t>
        </is>
      </c>
      <c r="H3515" t="inlineStr">
        <is>
          <t>02/04/2026</t>
        </is>
      </c>
      <c r="I3515" t="inlineStr">
        <is>
          <t>17/03/2026</t>
        </is>
      </c>
      <c r="J3515" t="inlineStr">
        <is>
          <t>Điện / Điện tử / Điện lạnh / Điện công nghiệp, Cơ khí / Ô tô / Tự động hóa, Bảo trì / Sửa chữa</t>
        </is>
      </c>
      <c r="K3515" t="inlineStr">
        <is>
          <t>Trên 1 Năm</t>
        </is>
      </c>
      <c r="L3515" s="8">
        <f>HYPERLINK("https://careerviet.vn/vi/tim-viec-lam/nhan-vien-ky-thuat.35C6C128.html","Xem chi tiết")</f>
        <v/>
      </c>
    </row>
    <row r="3516">
      <c r="B3516" s="9" t="n">
        <v>3514</v>
      </c>
      <c r="C3516" s="10" t="inlineStr">
        <is>
          <t>Chuyên Viên Đấu Thầu</t>
        </is>
      </c>
      <c r="D3516" s="10" t="inlineStr">
        <is>
          <t>CÔNG TY CỔ PHẦN ĐẦU TƯ THIÊN ÂN</t>
        </is>
      </c>
      <c r="E3516" s="10" t="inlineStr">
        <is>
          <t>Lương:15 Tr - 20 Tr VND</t>
        </is>
      </c>
      <c r="F3516" s="10" t="inlineStr">
        <is>
          <t>Hà Nội</t>
        </is>
      </c>
      <c r="G3516" s="10" t="inlineStr">
        <is>
          <t>11-04-2026</t>
        </is>
      </c>
      <c r="H3516" s="10" t="inlineStr">
        <is>
          <t>11/04/2026</t>
        </is>
      </c>
      <c r="I3516" s="10" t="inlineStr">
        <is>
          <t>17/03/2026</t>
        </is>
      </c>
      <c r="J3516" s="10" t="inlineStr">
        <is>
          <t>Kiến trúc, Xây dựng, Bất động sản</t>
        </is>
      </c>
      <c r="K3516" s="10" t="inlineStr">
        <is>
          <t>Trên 3 Năm</t>
        </is>
      </c>
      <c r="L3516" s="11">
        <f>HYPERLINK("https://careerviet.vn/vi/tim-viec-lam/chuyen-vien-dau-thau.35C6C11E.html","Xem chi tiết")</f>
        <v/>
      </c>
      <c r="M3516" s="10" t="n"/>
    </row>
    <row r="3517">
      <c r="B3517" s="7" t="n">
        <v>3515</v>
      </c>
      <c r="C3517" t="inlineStr">
        <is>
          <t>TRƯỞNG NHÓM KINH DOANH</t>
        </is>
      </c>
      <c r="D3517" t="inlineStr">
        <is>
          <t>CÔNG TY TNHH CƯỜNG QUẬT</t>
        </is>
      </c>
      <c r="E3517" t="inlineStr">
        <is>
          <t>Lương:Cạnh tranh</t>
        </is>
      </c>
      <c r="F3517" t="inlineStr">
        <is>
          <t>Hồ Chí Minh</t>
        </is>
      </c>
      <c r="G3517" t="inlineStr">
        <is>
          <t>11-03-2026</t>
        </is>
      </c>
      <c r="H3517" t="inlineStr">
        <is>
          <t>11/03/2026</t>
        </is>
      </c>
      <c r="I3517" t="inlineStr">
        <is>
          <t>17/03/2026</t>
        </is>
      </c>
      <c r="J3517" t="inlineStr">
        <is>
          <t>Bán hàng / Kinh doanh, Bán lẻ / Bán sỉ, Quản lý điều hành</t>
        </is>
      </c>
      <c r="K3517" t="inlineStr">
        <is>
          <t>Lên đến 3 Năm</t>
        </is>
      </c>
      <c r="L3517" s="8">
        <f>HYPERLINK("https://careerviet.vn/vi/tim-viec-lam/truong-nhom-kinh-doanh.35C6BBEE.html","Xem chi tiết")</f>
        <v/>
      </c>
    </row>
    <row r="3518">
      <c r="B3518" s="9" t="n">
        <v>3516</v>
      </c>
      <c r="C3518" s="10" t="inlineStr">
        <is>
          <t>NHÂN VIÊN CHẮM SÓC KHÁCH HÀNG</t>
        </is>
      </c>
      <c r="D3518" s="10" t="inlineStr">
        <is>
          <t>CÔNG TY TNHH CƯỜNG QUẬT</t>
        </is>
      </c>
      <c r="E3518" s="10" t="inlineStr">
        <is>
          <t>Lương:9 Tr - 11 Tr VND</t>
        </is>
      </c>
      <c r="F3518" s="10" t="inlineStr">
        <is>
          <t>Hồ Chí Minh</t>
        </is>
      </c>
      <c r="G3518" s="10" t="inlineStr">
        <is>
          <t>11-04-2026</t>
        </is>
      </c>
      <c r="H3518" s="10" t="inlineStr">
        <is>
          <t>11/04/2026</t>
        </is>
      </c>
      <c r="I3518" s="10" t="inlineStr">
        <is>
          <t>17/03/2026</t>
        </is>
      </c>
      <c r="J3518" s="10" t="inlineStr">
        <is>
          <t>Bán lẻ / Bán sỉ</t>
        </is>
      </c>
      <c r="K3518" s="10" t="inlineStr">
        <is>
          <t>Lên đến 1 Năm</t>
        </is>
      </c>
      <c r="L3518" s="11">
        <f>HYPERLINK("https://careerviet.vn/vi/tim-viec-lam/nhan-vien-cham-soc-khach-hang.35C6BBB1.html","Xem chi tiết")</f>
        <v/>
      </c>
      <c r="M3518" s="10" t="n"/>
    </row>
    <row r="3519">
      <c r="B3519" s="7" t="n">
        <v>3517</v>
      </c>
      <c r="C3519" t="inlineStr">
        <is>
          <t>Trưởng nhóm xây dựng</t>
        </is>
      </c>
      <c r="D3519" t="inlineStr">
        <is>
          <t>BIM Group</t>
        </is>
      </c>
      <c r="E3519" t="inlineStr">
        <is>
          <t>Lương:Cạnh tranh</t>
        </is>
      </c>
      <c r="F3519" t="inlineStr">
        <is>
          <t>Khánh Hòa</t>
        </is>
      </c>
      <c r="G3519" t="inlineStr">
        <is>
          <t>30-04-2026</t>
        </is>
      </c>
      <c r="H3519" t="inlineStr">
        <is>
          <t>30/04/2026</t>
        </is>
      </c>
      <c r="I3519" t="inlineStr">
        <is>
          <t>17/03/2026</t>
        </is>
      </c>
      <c r="J3519" t="inlineStr">
        <is>
          <t>Điện / Điện tử / Điện lạnh / Điện công nghiệp, Xây dựng</t>
        </is>
      </c>
      <c r="K3519" t="inlineStr">
        <is>
          <t>3 - 5 Năm</t>
        </is>
      </c>
      <c r="L3519" s="8">
        <f>HYPERLINK("https://careerviet.vn/vi/tim-viec-lam/truong-nhom-xay-dung.35C6BEFB.html","Xem chi tiết")</f>
        <v/>
      </c>
    </row>
    <row r="3520">
      <c r="B3520" s="9" t="n">
        <v>3518</v>
      </c>
      <c r="C3520" s="10" t="inlineStr">
        <is>
          <t>Kế Toán Tổng Hợp</t>
        </is>
      </c>
      <c r="D3520" s="10" t="inlineStr">
        <is>
          <t>CÔNG TY TNHH THƯƠNG MẠI MKP TECH</t>
        </is>
      </c>
      <c r="E3520" s="10" t="inlineStr">
        <is>
          <t>Lương:17 Tr - 19 Tr VND</t>
        </is>
      </c>
      <c r="F3520" s="10" t="inlineStr">
        <is>
          <t>Hồ Chí Minh</t>
        </is>
      </c>
      <c r="G3520" s="10" t="inlineStr">
        <is>
          <t>11-04-2026</t>
        </is>
      </c>
      <c r="H3520" s="10" t="inlineStr">
        <is>
          <t>11/04/2026</t>
        </is>
      </c>
      <c r="I3520" s="10" t="inlineStr">
        <is>
          <t>17/03/2026</t>
        </is>
      </c>
      <c r="J3520" s="10" t="inlineStr">
        <is>
          <t>Kế toán / Kiểm toán, Vận chuyển / Giao nhận / Kho vận, Tài chính / Đầu tư</t>
        </is>
      </c>
      <c r="K3520" s="10" t="inlineStr">
        <is>
          <t>2 - 3 Năm</t>
        </is>
      </c>
      <c r="L3520" s="11">
        <f>HYPERLINK("https://careerviet.vn/vi/tim-viec-lam/ke-toan-tong-hop.35C6C0D9.html","Xem chi tiết")</f>
        <v/>
      </c>
      <c r="M3520" s="10" t="n"/>
    </row>
    <row r="3521">
      <c r="B3521" s="7" t="n">
        <v>3519</v>
      </c>
      <c r="C3521" t="inlineStr">
        <is>
          <t>Trưởng phòng kinh doanh - B2B Mảng Phân bón</t>
        </is>
      </c>
      <c r="D3521" t="inlineStr">
        <is>
          <t>KING ELONG GROUP</t>
        </is>
      </c>
      <c r="E3521" t="inlineStr">
        <is>
          <t>Lương:20 Tr - 40 Tr VND</t>
        </is>
      </c>
      <c r="F3521" t="inlineStr">
        <is>
          <t>Hồ Chí Minh</t>
        </is>
      </c>
      <c r="G3521" t="inlineStr">
        <is>
          <t>10-04-2026</t>
        </is>
      </c>
      <c r="H3521" t="inlineStr">
        <is>
          <t>10/04/2026</t>
        </is>
      </c>
      <c r="I3521" t="inlineStr">
        <is>
          <t>17/03/2026</t>
        </is>
      </c>
      <c r="J3521" t="inlineStr">
        <is>
          <t>Bán hàng / Kinh doanh</t>
        </is>
      </c>
      <c r="K3521" t="inlineStr">
        <is>
          <t>3 - 5 Năm</t>
        </is>
      </c>
      <c r="L3521" s="8">
        <f>HYPERLINK("https://careerviet.vn/vi/tim-viec-lam/truong-phong-kinh-doanh-b2b-mang-phan-bon.35C6BFFB.html","Xem chi tiết")</f>
        <v/>
      </c>
    </row>
    <row r="3522">
      <c r="B3522" s="9" t="n">
        <v>3520</v>
      </c>
      <c r="C3522" s="10" t="inlineStr">
        <is>
          <t>Cán Bộ Quản Lý Dự Án Hạ Tầng Kỹ Thuật</t>
        </is>
      </c>
      <c r="D3522" s="10" t="inlineStr">
        <is>
          <t>CÔNG TY CỔ PHẦN ĐẦU TƯ THIÊN ÂN</t>
        </is>
      </c>
      <c r="E3522" s="10" t="inlineStr">
        <is>
          <t>Lương:15 Tr - 22 Tr VND</t>
        </is>
      </c>
      <c r="F3522" s="10" t="inlineStr">
        <is>
          <t>Hà Nội</t>
        </is>
      </c>
      <c r="G3522" s="10" t="inlineStr">
        <is>
          <t>11-04-2026</t>
        </is>
      </c>
      <c r="H3522" s="10" t="inlineStr">
        <is>
          <t>11/04/2026</t>
        </is>
      </c>
      <c r="I3522" s="10" t="inlineStr">
        <is>
          <t>17/03/2026</t>
        </is>
      </c>
      <c r="J3522" s="10" t="inlineStr">
        <is>
          <t>Xây dựng, Bất động sản, Kiến trúc</t>
        </is>
      </c>
      <c r="K3522" s="10" t="inlineStr">
        <is>
          <t>Trên 3 Năm</t>
        </is>
      </c>
      <c r="L3522" s="11">
        <f>HYPERLINK("https://careerviet.vn/vi/tim-viec-lam/can-bo-quan-ly-du-an-ha-tang-ky-thuat.35C6C10B.html","Xem chi tiết")</f>
        <v/>
      </c>
      <c r="M3522" s="10" t="n"/>
    </row>
    <row r="3523">
      <c r="B3523" s="7" t="n">
        <v>3521</v>
      </c>
      <c r="C3523" t="inlineStr">
        <is>
          <t>Trưởng Phòng Kinh Doanh Nội Địa Vật Tư Cầu Đường</t>
        </is>
      </c>
      <c r="D3523" t="inlineStr">
        <is>
          <t>Công Ty TNHH Xuất Nhập Khẩu Thái Châu</t>
        </is>
      </c>
      <c r="E3523" t="inlineStr">
        <is>
          <t>Lương:Cạnh tranh</t>
        </is>
      </c>
      <c r="F3523" t="inlineStr">
        <is>
          <t>Hồ Chí Minh</t>
        </is>
      </c>
      <c r="G3523" t="inlineStr">
        <is>
          <t>11-04-2026</t>
        </is>
      </c>
      <c r="H3523" t="inlineStr">
        <is>
          <t>11/04/2026</t>
        </is>
      </c>
      <c r="I3523" t="inlineStr">
        <is>
          <t>17/03/2026</t>
        </is>
      </c>
      <c r="J3523" t="inlineStr">
        <is>
          <t>Bảo trì / Sửa chữa, Xây dựng, Bán hàng / Kinh doanh</t>
        </is>
      </c>
      <c r="K3523" t="inlineStr">
        <is>
          <t>3 - 5 Năm</t>
        </is>
      </c>
      <c r="L3523" s="8">
        <f>HYPERLINK("https://careerviet.vn/vi/tim-viec-lam/truong-phong-kinh-doanh-noi-dia-vat-tu-cau-duong.35C6C09F.html","Xem chi tiết")</f>
        <v/>
      </c>
    </row>
    <row r="3524">
      <c r="B3524" s="9" t="n">
        <v>3522</v>
      </c>
      <c r="C3524" s="10" t="inlineStr">
        <is>
          <t>Nhân Viên Kinh Doanh</t>
        </is>
      </c>
      <c r="D3524" s="10" t="inlineStr">
        <is>
          <t>Công Ty CP Truyền Thông Quảng Cáo Song Hành</t>
        </is>
      </c>
      <c r="E3524" s="10" t="inlineStr">
        <is>
          <t>Lương:8 Tr - 10 Tr VND</t>
        </is>
      </c>
      <c r="F3524" s="10" t="inlineStr">
        <is>
          <t>Hồ Chí Minh</t>
        </is>
      </c>
      <c r="G3524" s="10" t="inlineStr">
        <is>
          <t>11-04-2026</t>
        </is>
      </c>
      <c r="H3524" s="10" t="inlineStr">
        <is>
          <t>11/04/2026</t>
        </is>
      </c>
      <c r="I3524" s="10" t="inlineStr">
        <is>
          <t>17/03/2026</t>
        </is>
      </c>
      <c r="J3524" s="10" t="inlineStr">
        <is>
          <t>Bán hàng / Kinh doanh, Tiếp thị / Marketing, Quảng cáo / Đối ngoại / Truyền Thông</t>
        </is>
      </c>
      <c r="K3524" s="10" t="inlineStr">
        <is>
          <t>N/A</t>
        </is>
      </c>
      <c r="L3524" s="11">
        <f>HYPERLINK("https://careerviet.vn/vi/tim-viec-lam/nhan-vien-kinh-doanh.35C6C07E.html","Xem chi tiết")</f>
        <v/>
      </c>
      <c r="M3524" s="10" t="n"/>
    </row>
    <row r="3525">
      <c r="B3525" s="7" t="n">
        <v>3523</v>
      </c>
      <c r="C3525" t="inlineStr">
        <is>
          <t>Chuyên viên Hợp đồng &amp; Điều phối dự án (Contract &amp; Project Coordinator)</t>
        </is>
      </c>
      <c r="D3525" t="inlineStr">
        <is>
          <t>CÔNG TY TNHH MIA DESIGN STUDIO</t>
        </is>
      </c>
      <c r="E3525" t="inlineStr">
        <is>
          <t>Lương:15 Tr - 25 Tr VND</t>
        </is>
      </c>
      <c r="F3525" t="inlineStr">
        <is>
          <t>Hồ Chí Minh</t>
        </is>
      </c>
      <c r="G3525" t="inlineStr">
        <is>
          <t>31-03-2026</t>
        </is>
      </c>
      <c r="H3525" t="inlineStr">
        <is>
          <t>31/03/2026</t>
        </is>
      </c>
      <c r="I3525" t="inlineStr">
        <is>
          <t>17/03/2026</t>
        </is>
      </c>
      <c r="J3525" t="inlineStr">
        <is>
          <t>Kiến trúc, Hành chính / Thư ký, Xây dựng</t>
        </is>
      </c>
      <c r="K3525" t="inlineStr">
        <is>
          <t>Trên 3 Năm</t>
        </is>
      </c>
      <c r="L3525" s="8">
        <f>HYPERLINK("https://careerviet.vn/vi/tim-viec-lam/chuyen-vien-hop-dong-dieu-phoi-du-an-contract-project-coordinator.35C6BF9E.html","Xem chi tiết")</f>
        <v/>
      </c>
    </row>
    <row r="3526">
      <c r="B3526" s="9" t="n">
        <v>3524</v>
      </c>
      <c r="C3526" s="10" t="inlineStr">
        <is>
          <t>Chuyên viên mua hàng</t>
        </is>
      </c>
      <c r="D3526" s="10" t="inlineStr">
        <is>
          <t>Công Ty TNHH TM &amp; XNK Nhất Lâm</t>
        </is>
      </c>
      <c r="E3526" s="10" t="inlineStr">
        <is>
          <t>Lương:12 Tr - 14 Tr VND</t>
        </is>
      </c>
      <c r="F3526" s="10" t="inlineStr">
        <is>
          <t>Hà Nội</t>
        </is>
      </c>
      <c r="G3526" s="10" t="inlineStr">
        <is>
          <t>08-04-2026</t>
        </is>
      </c>
      <c r="H3526" s="10" t="inlineStr">
        <is>
          <t>08/04/2026</t>
        </is>
      </c>
      <c r="I3526" s="10" t="inlineStr">
        <is>
          <t>17/03/2026</t>
        </is>
      </c>
      <c r="J3526" s="10" t="inlineStr">
        <is>
          <t>Thu mua / Vật tư, Bán lẻ / Bán sỉ, Bán hàng / Kinh doanh</t>
        </is>
      </c>
      <c r="K3526" s="10" t="inlineStr">
        <is>
          <t>3 - 5 Năm</t>
        </is>
      </c>
      <c r="L3526" s="11">
        <f>HYPERLINK("https://careerviet.vn/vi/tim-viec-lam/chuyen-vien-mua-hang.35C6C109.html","Xem chi tiết")</f>
        <v/>
      </c>
      <c r="M3526" s="10" t="n"/>
    </row>
    <row r="3527">
      <c r="B3527" s="7" t="n">
        <v>3525</v>
      </c>
      <c r="C3527" t="inlineStr">
        <is>
          <t>Deputy HR Manager</t>
        </is>
      </c>
      <c r="D3527" t="inlineStr">
        <is>
          <t>Công ty TNHH Olam Việt Nam</t>
        </is>
      </c>
      <c r="E3527" t="inlineStr">
        <is>
          <t>Lương:Cạnh tranh</t>
        </is>
      </c>
      <c r="F3527" t="inlineStr">
        <is>
          <t>Long An</t>
        </is>
      </c>
      <c r="G3527" t="inlineStr">
        <is>
          <t>30-04-2026</t>
        </is>
      </c>
      <c r="H3527" t="inlineStr">
        <is>
          <t>30/04/2026</t>
        </is>
      </c>
      <c r="I3527" t="inlineStr">
        <is>
          <t>17/03/2026</t>
        </is>
      </c>
      <c r="J3527" t="inlineStr">
        <is>
          <t>Nhân sự, Quản lý điều hành, Luật / Pháp lý</t>
        </is>
      </c>
      <c r="K3527" t="inlineStr">
        <is>
          <t>5 - 8 Năm</t>
        </is>
      </c>
      <c r="L3527" s="8">
        <f>HYPERLINK("https://careerviet.vn/vi/tim-viec-lam/deputy-hr-manager.35C6C10F.html","Xem chi tiết")</f>
        <v/>
      </c>
    </row>
    <row r="3528">
      <c r="B3528" s="9" t="n">
        <v>3526</v>
      </c>
      <c r="C3528" s="10" t="inlineStr">
        <is>
          <t>Nhân viên Chứng từ Xuất Nhập Khẩu</t>
        </is>
      </c>
      <c r="D3528" s="10" t="inlineStr">
        <is>
          <t>Công ty TNHH Xuất Nhập Khẩu Lâm Thành</t>
        </is>
      </c>
      <c r="E3528" s="10" t="inlineStr">
        <is>
          <t>Lương:8 Tr - 9 Tr VND</t>
        </is>
      </c>
      <c r="F3528" s="10" t="inlineStr">
        <is>
          <t>Hà Nội</t>
        </is>
      </c>
      <c r="G3528" s="10" t="inlineStr">
        <is>
          <t>10-04-2026</t>
        </is>
      </c>
      <c r="H3528" s="10" t="inlineStr">
        <is>
          <t>10/04/2026</t>
        </is>
      </c>
      <c r="I3528" s="10" t="inlineStr">
        <is>
          <t>17/03/2026</t>
        </is>
      </c>
      <c r="J3528" s="10" t="inlineStr">
        <is>
          <t>Xuất nhập khẩu</t>
        </is>
      </c>
      <c r="K3528" s="10" t="inlineStr">
        <is>
          <t>N/A</t>
        </is>
      </c>
      <c r="L3528" s="11">
        <f>HYPERLINK("https://careerviet.vn/vi/tim-viec-lam/nhan-vien-chung-tu-xuat-nhap-khau.35C6B7DB.html","Xem chi tiết")</f>
        <v/>
      </c>
      <c r="M3528" s="10" t="n"/>
    </row>
    <row r="3529">
      <c r="B3529" s="7" t="n">
        <v>3527</v>
      </c>
      <c r="C3529" t="inlineStr">
        <is>
          <t>Kỹ sư Thiết kế Điện</t>
        </is>
      </c>
      <c r="D3529" t="inlineStr">
        <is>
          <t>Công ty CP phát triển kỹ thuật Vạn Lợi</t>
        </is>
      </c>
      <c r="E3529" t="inlineStr">
        <is>
          <t>Lương:18 Tr - 28 Tr VND</t>
        </is>
      </c>
      <c r="F3529" t="inlineStr">
        <is>
          <t>Hà Nội</t>
        </is>
      </c>
      <c r="G3529" t="inlineStr">
        <is>
          <t>31-03-2026</t>
        </is>
      </c>
      <c r="H3529" t="inlineStr">
        <is>
          <t>31/03/2026</t>
        </is>
      </c>
      <c r="I3529" t="inlineStr">
        <is>
          <t>17/03/2026</t>
        </is>
      </c>
      <c r="J3529" t="inlineStr">
        <is>
          <t>Mỹ thuật / Nghệ thuật / Thiết kế, Xây dựng, Điện / Điện tử / Điện lạnh / Điện công nghiệp</t>
        </is>
      </c>
      <c r="K3529" t="inlineStr">
        <is>
          <t>2 - 5 Năm</t>
        </is>
      </c>
      <c r="L3529" s="8">
        <f>HYPERLINK("https://careerviet.vn/vi/tim-viec-lam/ky-su-thiet-ke-dien.35C6BF35.html","Xem chi tiết")</f>
        <v/>
      </c>
    </row>
    <row r="3530">
      <c r="B3530" s="9" t="n">
        <v>3528</v>
      </c>
      <c r="C3530" s="10" t="inlineStr">
        <is>
          <t>Chuyên Viên Kinh Tế Kế Hoạch</t>
        </is>
      </c>
      <c r="D3530" s="10" t="inlineStr">
        <is>
          <t>CÔNG TY CP THIẾT BỊ VÀ DỊCH VỤ TCE</t>
        </is>
      </c>
      <c r="E3530" s="10" t="inlineStr">
        <is>
          <t>Lương:15 Tr - 25 Tr VND</t>
        </is>
      </c>
      <c r="F3530" s="10" t="inlineStr">
        <is>
          <t>Hà Nội</t>
        </is>
      </c>
      <c r="G3530" s="10" t="inlineStr">
        <is>
          <t>26-03-2026</t>
        </is>
      </c>
      <c r="H3530" s="10" t="inlineStr">
        <is>
          <t>26/03/2026</t>
        </is>
      </c>
      <c r="I3530" s="10" t="inlineStr">
        <is>
          <t>17/03/2026</t>
        </is>
      </c>
      <c r="J3530" s="10" t="inlineStr">
        <is>
          <t>Xây dựng</t>
        </is>
      </c>
      <c r="K3530" s="10" t="inlineStr">
        <is>
          <t>3 - 5 Năm</t>
        </is>
      </c>
      <c r="L3530" s="11">
        <f>HYPERLINK("https://careerviet.vn/vi/tim-viec-lam/chuyen-vien-kinh-te-ke-hoach.35C6926E.html","Xem chi tiết")</f>
        <v/>
      </c>
      <c r="M3530" s="10" t="n"/>
    </row>
    <row r="3531">
      <c r="B3531" s="7" t="n">
        <v>3529</v>
      </c>
      <c r="C3531" t="inlineStr">
        <is>
          <t>SALES toàn quốc – Medical Representative (Regenflex)</t>
        </is>
      </c>
      <c r="D3531" t="inlineStr">
        <is>
          <t>Công ty Cổ phần Dược phẩm Đại Tín</t>
        </is>
      </c>
      <c r="E3531" t="inlineStr">
        <is>
          <t>Lương:14 Tr - 20 Tr VND</t>
        </is>
      </c>
      <c r="F3531" t="inlineStr">
        <is>
          <t>Hồ Chí MinhCần ThơDak Lak</t>
        </is>
      </c>
      <c r="G3531" t="inlineStr">
        <is>
          <t>10-04-2026</t>
        </is>
      </c>
      <c r="H3531" t="inlineStr">
        <is>
          <t>10/04/2026</t>
        </is>
      </c>
      <c r="I3531" t="inlineStr">
        <is>
          <t>17/03/2026</t>
        </is>
      </c>
      <c r="J3531" t="inlineStr">
        <is>
          <t>Bán hàng / Kinh doanh, Dược phẩm/ Hóa Mỹ Phẩm, Y tế / Chăm sóc sức khỏe / Thẩm mỹ / Làm đẹp</t>
        </is>
      </c>
      <c r="K3531" t="inlineStr">
        <is>
          <t>Trên 2 Năm</t>
        </is>
      </c>
      <c r="L3531" s="8">
        <f>HYPERLINK("https://careerviet.vn/vi/tim-viec-lam/sales-toan-quoc-medical-representative-regenflex.35C6C087.html","Xem chi tiết")</f>
        <v/>
      </c>
    </row>
    <row r="3532">
      <c r="B3532" s="9" t="n">
        <v>3530</v>
      </c>
      <c r="C3532" s="10" t="inlineStr">
        <is>
          <t>Chuyên viên Tax &amp; Transfer Pricing</t>
        </is>
      </c>
      <c r="D3532" s="10" t="inlineStr">
        <is>
          <t>Công ty CP Thành Thành Công - Biên Hòa</t>
        </is>
      </c>
      <c r="E3532" s="10" t="inlineStr">
        <is>
          <t>Lương:Cạnh tranh</t>
        </is>
      </c>
      <c r="F3532" s="10" t="inlineStr">
        <is>
          <t>Hồ Chí Minh</t>
        </is>
      </c>
      <c r="G3532" s="10" t="inlineStr">
        <is>
          <t>08-04-2026</t>
        </is>
      </c>
      <c r="H3532" s="10" t="inlineStr">
        <is>
          <t>08/04/2026</t>
        </is>
      </c>
      <c r="I3532" s="10" t="inlineStr">
        <is>
          <t>17/03/2026</t>
        </is>
      </c>
      <c r="J3532" s="10" t="inlineStr">
        <is>
          <t>Kế toán / Kiểm toán</t>
        </is>
      </c>
      <c r="K3532" s="10" t="inlineStr">
        <is>
          <t>3 - 4 Năm</t>
        </is>
      </c>
      <c r="L3532" s="11">
        <f>HYPERLINK("https://careerviet.vn/vi/tim-viec-lam/chuyen-vien-tax-transfer-pricing.35C6C0EB.html","Xem chi tiết")</f>
        <v/>
      </c>
      <c r="M3532" s="10" t="n"/>
    </row>
    <row r="3533">
      <c r="B3533" s="7" t="n">
        <v>3531</v>
      </c>
      <c r="C3533" t="inlineStr">
        <is>
          <t>Chuyên viên Phát triển Kinh doanh</t>
        </is>
      </c>
      <c r="D3533" t="inlineStr">
        <is>
          <t>Công Ty Cổ Phần Du Lịch Vietravel</t>
        </is>
      </c>
      <c r="E3533" t="inlineStr">
        <is>
          <t>Lương:Cạnh tranh</t>
        </is>
      </c>
      <c r="F3533" t="inlineStr">
        <is>
          <t>Hồ Chí Minh</t>
        </is>
      </c>
      <c r="G3533" t="inlineStr">
        <is>
          <t>08-05-2026</t>
        </is>
      </c>
      <c r="H3533" t="inlineStr">
        <is>
          <t>08/05/2026</t>
        </is>
      </c>
      <c r="I3533" t="inlineStr">
        <is>
          <t>17/03/2026</t>
        </is>
      </c>
      <c r="J3533" t="inlineStr">
        <is>
          <t>Du lịch, Mới tốt nghiệp / Thực tập, Tài chính / Đầu tư</t>
        </is>
      </c>
      <c r="K3533" t="inlineStr">
        <is>
          <t>1 - 3 Năm</t>
        </is>
      </c>
      <c r="L3533" s="8">
        <f>HYPERLINK("https://careerviet.vn/vi/tim-viec-lam/chuyen-vien-phat-trien-kinh-doanh.35C6C102.html","Xem chi tiết")</f>
        <v/>
      </c>
    </row>
    <row r="3534">
      <c r="B3534" s="9" t="n">
        <v>3532</v>
      </c>
      <c r="C3534" s="10" t="inlineStr">
        <is>
          <t>KẾ TOÁN TỔNG HỢP</t>
        </is>
      </c>
      <c r="D3534" s="10" t="inlineStr">
        <is>
          <t>CÔNG TY CỔ PHẦN KNC (KN CAPITAL)</t>
        </is>
      </c>
      <c r="E3534" s="10" t="inlineStr">
        <is>
          <t>Lương:15 Tr - 20 Tr VND</t>
        </is>
      </c>
      <c r="F3534" s="10" t="inlineStr">
        <is>
          <t>Hồ Chí Minh</t>
        </is>
      </c>
      <c r="G3534" s="10" t="inlineStr">
        <is>
          <t>20-04-2026</t>
        </is>
      </c>
      <c r="H3534" s="10" t="inlineStr">
        <is>
          <t>20/04/2026</t>
        </is>
      </c>
      <c r="I3534" s="10" t="inlineStr">
        <is>
          <t>17/03/2026</t>
        </is>
      </c>
      <c r="J3534" s="10" t="inlineStr">
        <is>
          <t>Kế toán / Kiểm toán</t>
        </is>
      </c>
      <c r="K3534" s="10" t="inlineStr">
        <is>
          <t>1 - 3 Năm</t>
        </is>
      </c>
      <c r="L3534" s="11">
        <f>HYPERLINK("https://careerviet.vn/vi/tim-viec-lam/ke-toan-tong-hop.35C6A3EA.html","Xem chi tiết")</f>
        <v/>
      </c>
      <c r="M3534" s="10" t="n"/>
    </row>
    <row r="3535">
      <c r="B3535" s="7" t="n">
        <v>3533</v>
      </c>
      <c r="C3535" t="inlineStr">
        <is>
          <t>Nhân Viên Mời Thầu Cho Lĩnh Vực Xây Dựng</t>
        </is>
      </c>
      <c r="D3535" t="inlineStr">
        <is>
          <t>CÔNG TY CỔ PHẦN ĐẦU TƯ THIÊN ÂN</t>
        </is>
      </c>
      <c r="E3535" t="inlineStr">
        <is>
          <t>Lương:15 Tr - 20 Tr VND</t>
        </is>
      </c>
      <c r="F3535" t="inlineStr">
        <is>
          <t>Hà Nội</t>
        </is>
      </c>
      <c r="G3535" t="inlineStr">
        <is>
          <t>11-04-2026</t>
        </is>
      </c>
      <c r="H3535" t="inlineStr">
        <is>
          <t>11/04/2026</t>
        </is>
      </c>
      <c r="I3535" t="inlineStr">
        <is>
          <t>17/03/2026</t>
        </is>
      </c>
      <c r="J3535" t="inlineStr">
        <is>
          <t>Kiến trúc, Xây dựng, Thu mua / Vật tư</t>
        </is>
      </c>
      <c r="K3535" t="inlineStr">
        <is>
          <t>Trên 3 Năm</t>
        </is>
      </c>
      <c r="L3535" s="8">
        <f>HYPERLINK("https://careerviet.vn/vi/tim-viec-lam/nhan-vien-moi-thau-cho-linh-vuc-xay-dung.35C6C0ED.html","Xem chi tiết")</f>
        <v/>
      </c>
    </row>
    <row r="3536">
      <c r="B3536" s="9" t="n">
        <v>3534</v>
      </c>
      <c r="C3536" s="10" t="inlineStr">
        <is>
          <t>Kế Toán Trưởng - Kinh Nghiệm 5 Năm - Thu Nhập Cao Theo Năng Lực  - Hồ Chí Minh</t>
        </is>
      </c>
      <c r="D3536" s="10" t="inlineStr">
        <is>
          <t>Bảo mật</t>
        </is>
      </c>
      <c r="E3536" s="10" t="inlineStr">
        <is>
          <t>Lương:25 Tr - 30 Tr VND</t>
        </is>
      </c>
      <c r="F3536" s="10" t="inlineStr">
        <is>
          <t>Hồ Chí Minh</t>
        </is>
      </c>
      <c r="G3536" s="10" t="inlineStr">
        <is>
          <t>30-04-2026</t>
        </is>
      </c>
      <c r="H3536" s="10" t="inlineStr">
        <is>
          <t>30/04/2026</t>
        </is>
      </c>
      <c r="I3536" s="10" t="inlineStr">
        <is>
          <t>17/03/2026</t>
        </is>
      </c>
      <c r="J3536" s="10" t="inlineStr">
        <is>
          <t>Kế toán / Kiểm toán</t>
        </is>
      </c>
      <c r="K3536" s="10" t="inlineStr">
        <is>
          <t>N/A</t>
        </is>
      </c>
      <c r="L3536" s="11">
        <f>HYPERLINK("https://careerviet.vn/vi/tim-viec-lam/ke-toan-truong-kinh-nghiem-5-nam-thu-nhap-cao-theo-nang-luc-ho-chi-minh.35C6C085.html","Xem chi tiết")</f>
        <v/>
      </c>
      <c r="M3536" s="10" t="n"/>
    </row>
    <row r="3537">
      <c r="B3537" s="7" t="n">
        <v>3535</v>
      </c>
      <c r="C3537" t="inlineStr">
        <is>
          <t>Trợ lý Ban Giám đốc – Mảng Xây dựng</t>
        </is>
      </c>
      <c r="D3537" t="inlineStr">
        <is>
          <t>Công Ty TNHH Gotec Việt Nam</t>
        </is>
      </c>
      <c r="E3537" t="inlineStr">
        <is>
          <t>Lương:Cạnh tranh</t>
        </is>
      </c>
      <c r="F3537" t="inlineStr">
        <is>
          <t>Hồ Chí Minh</t>
        </is>
      </c>
      <c r="G3537" t="inlineStr">
        <is>
          <t>10-04-2026</t>
        </is>
      </c>
      <c r="H3537" t="inlineStr">
        <is>
          <t>10/04/2026</t>
        </is>
      </c>
      <c r="I3537" t="inlineStr">
        <is>
          <t>17/03/2026</t>
        </is>
      </c>
      <c r="J3537" t="inlineStr">
        <is>
          <t>Xây dựng, Nhân sự, Hành chính / Thư ký</t>
        </is>
      </c>
      <c r="K3537" t="inlineStr">
        <is>
          <t>N/A</t>
        </is>
      </c>
      <c r="L3537" s="8">
        <f>HYPERLINK("https://careerviet.vn/vi/tim-viec-lam/tro-ly-ban-giam-doc-mang-xay-dung.35C6C0C0.html","Xem chi tiết")</f>
        <v/>
      </c>
    </row>
    <row r="3538">
      <c r="B3538" s="9" t="n">
        <v>3536</v>
      </c>
      <c r="C3538" s="10" t="inlineStr">
        <is>
          <t>Nhân viên Kỹ Thuật điện</t>
        </is>
      </c>
      <c r="D3538" s="10" t="inlineStr">
        <is>
          <t>Công Ty Cổ Phần Dược Phẩm Trung Ương Codupha</t>
        </is>
      </c>
      <c r="E3538" s="10" t="inlineStr">
        <is>
          <t>Lương:Cạnh tranh</t>
        </is>
      </c>
      <c r="F3538" s="10" t="inlineStr">
        <is>
          <t>Hồ Chí Minh</t>
        </is>
      </c>
      <c r="G3538" s="10" t="inlineStr">
        <is>
          <t>30-03-2026</t>
        </is>
      </c>
      <c r="H3538" s="10" t="inlineStr">
        <is>
          <t>30/03/2026</t>
        </is>
      </c>
      <c r="I3538" s="10" t="inlineStr">
        <is>
          <t>17/03/2026</t>
        </is>
      </c>
      <c r="J3538" s="10" t="inlineStr">
        <is>
          <t>Điện / Điện tử / Điện lạnh / Điện công nghiệp, Cơ khí / Ô tô / Tự động hóa, Bảo trì / Sửa chữa</t>
        </is>
      </c>
      <c r="K3538" s="10" t="inlineStr">
        <is>
          <t>N/A</t>
        </is>
      </c>
      <c r="L3538" s="11">
        <f>HYPERLINK("https://careerviet.vn/vi/tim-viec-lam/nhan-vien-ky-thuat-dien.35C6C0A9.html","Xem chi tiết")</f>
        <v/>
      </c>
      <c r="M3538" s="10" t="n"/>
    </row>
    <row r="3539">
      <c r="B3539" s="7" t="n">
        <v>3537</v>
      </c>
      <c r="C3539" t="inlineStr">
        <is>
          <t>Quản lý nhãn hàng</t>
        </is>
      </c>
      <c r="D3539" t="inlineStr">
        <is>
          <t>CÔNG TY CỔ PHẦN HCT FAMILY FOOD</t>
        </is>
      </c>
      <c r="E3539" t="inlineStr">
        <is>
          <t>Lương:Cạnh tranh</t>
        </is>
      </c>
      <c r="F3539" t="inlineStr">
        <is>
          <t>Hồ Chí Minh</t>
        </is>
      </c>
      <c r="G3539" t="inlineStr">
        <is>
          <t>11-04-2026</t>
        </is>
      </c>
      <c r="H3539" t="inlineStr">
        <is>
          <t>11/04/2026</t>
        </is>
      </c>
      <c r="I3539" t="inlineStr">
        <is>
          <t>17/03/2026</t>
        </is>
      </c>
      <c r="J3539" t="inlineStr">
        <is>
          <t>Tiếp thị / Marketing, Thực phẩm &amp; Đồ uống, Bán lẻ / Bán sỉ</t>
        </is>
      </c>
      <c r="K3539" t="inlineStr">
        <is>
          <t>3 - 5 Năm</t>
        </is>
      </c>
      <c r="L3539" s="8">
        <f>HYPERLINK("https://careerviet.vn/vi/tim-viec-lam/quan-ly-nhan-hang.35C6C0C3.html","Xem chi tiết")</f>
        <v/>
      </c>
    </row>
    <row r="3540">
      <c r="B3540" s="9" t="n">
        <v>3538</v>
      </c>
      <c r="C3540" s="10" t="inlineStr">
        <is>
          <t>128636 - Technical Engineer - Robotics</t>
        </is>
      </c>
      <c r="D3540" s="10" t="inlineStr">
        <is>
          <t>RGF HR Agent Vietnam Co., LTD</t>
        </is>
      </c>
      <c r="E3540" s="10" t="inlineStr">
        <is>
          <t>Lương:23 Tr - 30 Tr VND</t>
        </is>
      </c>
      <c r="F3540" s="10" t="inlineStr">
        <is>
          <t>Hà Nội</t>
        </is>
      </c>
      <c r="G3540" s="10" t="inlineStr">
        <is>
          <t>11-04-2026</t>
        </is>
      </c>
      <c r="H3540" s="10" t="inlineStr">
        <is>
          <t>11/04/2026</t>
        </is>
      </c>
      <c r="I3540" s="10" t="inlineStr">
        <is>
          <t>17/03/2026</t>
        </is>
      </c>
      <c r="J3540" s="10" t="inlineStr">
        <is>
          <t>Bán Hàng Kỹ Thuật, Cơ khí / Ô tô / Tự động hóa, Ngành khác</t>
        </is>
      </c>
      <c r="K3540" s="10" t="inlineStr">
        <is>
          <t>2 - 5 Năm</t>
        </is>
      </c>
      <c r="L3540" s="11">
        <f>HYPERLINK("https://careerviet.vn/vi/tim-viec-lam/128636-technical-engineer-robotics.35C6C099.html","Xem chi tiết")</f>
        <v/>
      </c>
      <c r="M3540" s="10" t="n"/>
    </row>
    <row r="3541">
      <c r="B3541" s="7" t="n">
        <v>3539</v>
      </c>
      <c r="C3541" t="inlineStr">
        <is>
          <t>Nhân viên kinh doanh</t>
        </is>
      </c>
      <c r="D3541" t="inlineStr">
        <is>
          <t>CÔNG TY TNHH ĐẦU TƯ XÂY DỰNG THƯƠNG MẠI DỊCH VỤ ĐẠI LONG</t>
        </is>
      </c>
      <c r="E3541" t="inlineStr">
        <is>
          <t>Lương:8 Tr - 10 Tr VND</t>
        </is>
      </c>
      <c r="F3541" t="inlineStr">
        <is>
          <t>Hồ Chí Minh</t>
        </is>
      </c>
      <c r="G3541" t="inlineStr">
        <is>
          <t>30-04-2026</t>
        </is>
      </c>
      <c r="H3541" t="inlineStr">
        <is>
          <t>30/04/2026</t>
        </is>
      </c>
      <c r="I3541" t="inlineStr">
        <is>
          <t>17/03/2026</t>
        </is>
      </c>
      <c r="J3541" t="inlineStr">
        <is>
          <t>Bán hàng / Kinh doanh, Bán lẻ / Bán sỉ, Xây dựng</t>
        </is>
      </c>
      <c r="K3541" t="inlineStr">
        <is>
          <t>N/A</t>
        </is>
      </c>
      <c r="L3541" s="8">
        <f>HYPERLINK("https://careerviet.vn/vi/tim-viec-lam/nhan-vien-kinh-doanh.35C6C048.html","Xem chi tiết")</f>
        <v/>
      </c>
    </row>
    <row r="3542">
      <c r="B3542" s="9" t="n">
        <v>3540</v>
      </c>
      <c r="C3542" s="10" t="inlineStr">
        <is>
          <t>TRỢ LÝ ĐẦU TƯ DỰ ÁN</t>
        </is>
      </c>
      <c r="D3542" s="10" t="inlineStr">
        <is>
          <t>Công Ty TNHH Sản Xuất Kinh Doanh Hai Thành</t>
        </is>
      </c>
      <c r="E3542" s="10" t="inlineStr">
        <is>
          <t>Lương:Cạnh tranh</t>
        </is>
      </c>
      <c r="F3542" s="10" t="inlineStr">
        <is>
          <t>Hồ Chí Minh</t>
        </is>
      </c>
      <c r="G3542" s="10" t="inlineStr">
        <is>
          <t>30-04-2026</t>
        </is>
      </c>
      <c r="H3542" s="10" t="inlineStr">
        <is>
          <t>30/04/2026</t>
        </is>
      </c>
      <c r="I3542" s="10" t="inlineStr">
        <is>
          <t>17/03/2026</t>
        </is>
      </c>
      <c r="J3542" s="10" t="inlineStr">
        <is>
          <t>Luật / Pháp lý, Tài chính / Đầu tư, Bất động sản</t>
        </is>
      </c>
      <c r="K3542" s="10" t="inlineStr">
        <is>
          <t>5 - 10 Năm</t>
        </is>
      </c>
      <c r="L3542" s="11">
        <f>HYPERLINK("https://careerviet.vn/vi/tim-viec-lam/tro-ly-dau-tu-du-an.35C6C0AE.html","Xem chi tiết")</f>
        <v/>
      </c>
      <c r="M3542" s="10" t="n"/>
    </row>
    <row r="3543">
      <c r="B3543" s="7" t="n">
        <v>3541</v>
      </c>
      <c r="C3543" t="inlineStr">
        <is>
          <t>Nhân viên thủ quỹ</t>
        </is>
      </c>
      <c r="D3543" t="inlineStr">
        <is>
          <t>Công ty TNHH Phân Phối Liên Kết Quốc Tế (ILD)</t>
        </is>
      </c>
      <c r="E3543" t="inlineStr">
        <is>
          <t>Lương:8 Tr - 9,5 Tr VND</t>
        </is>
      </c>
      <c r="F3543" t="inlineStr">
        <is>
          <t>Hồ Chí Minh</t>
        </is>
      </c>
      <c r="G3543" t="inlineStr">
        <is>
          <t>30-04-2026</t>
        </is>
      </c>
      <c r="H3543" t="inlineStr">
        <is>
          <t>30/04/2026</t>
        </is>
      </c>
      <c r="I3543" t="inlineStr">
        <is>
          <t>17/03/2026</t>
        </is>
      </c>
      <c r="J3543" t="inlineStr">
        <is>
          <t>Kế toán / Kiểm toán, Ngân hàng, Tài chính / Đầu tư</t>
        </is>
      </c>
      <c r="K3543" t="inlineStr">
        <is>
          <t>N/A</t>
        </is>
      </c>
      <c r="L3543" s="8">
        <f>HYPERLINK("https://careerviet.vn/vi/tim-viec-lam/nhan-vien-thu-quy.35C6C0CE.html","Xem chi tiết")</f>
        <v/>
      </c>
    </row>
    <row r="3544">
      <c r="B3544" s="9" t="n">
        <v>3542</v>
      </c>
      <c r="C3544" s="10" t="inlineStr">
        <is>
          <t>Chuyên viên HRBP/Đào tạo/Tuyển dụng</t>
        </is>
      </c>
      <c r="D3544" s="10" t="inlineStr">
        <is>
          <t>Công Ty Cổ Phần Dược Phẩm Trung Ương Codupha</t>
        </is>
      </c>
      <c r="E3544" s="10" t="inlineStr">
        <is>
          <t>Lương:Cạnh tranh</t>
        </is>
      </c>
      <c r="F3544" s="10" t="inlineStr">
        <is>
          <t>Hồ Chí Minh</t>
        </is>
      </c>
      <c r="G3544" s="10" t="inlineStr">
        <is>
          <t>30-03-2026</t>
        </is>
      </c>
      <c r="H3544" s="10" t="inlineStr">
        <is>
          <t>30/03/2026</t>
        </is>
      </c>
      <c r="I3544" s="10" t="inlineStr">
        <is>
          <t>17/03/2026</t>
        </is>
      </c>
      <c r="J3544" s="10" t="inlineStr">
        <is>
          <t>Hành chính / Thư ký, Nhân sự, Giáo dục / Đào tạo</t>
        </is>
      </c>
      <c r="K3544" s="10" t="inlineStr">
        <is>
          <t>1 - 5 Năm</t>
        </is>
      </c>
      <c r="L3544" s="11">
        <f>HYPERLINK("https://careerviet.vn/vi/tim-viec-lam/chuyen-vien-hrbp-dao-tao-tuyen-dung.35C6C0AC.html","Xem chi tiết")</f>
        <v/>
      </c>
      <c r="M3544" s="10" t="n"/>
    </row>
    <row r="3545">
      <c r="B3545" s="7" t="n">
        <v>3543</v>
      </c>
      <c r="C3545" t="inlineStr">
        <is>
          <t>Nhân Viên Vận Hành (KCN Phố Nối A. Hưng Yên)</t>
        </is>
      </c>
      <c r="D3545" t="inlineStr">
        <is>
          <t>Cargill Vietnam</t>
        </is>
      </c>
      <c r="E3545" t="inlineStr">
        <is>
          <t>Lương:Cạnh tranh</t>
        </is>
      </c>
      <c r="F3545" t="inlineStr">
        <is>
          <t>Hưng Yên</t>
        </is>
      </c>
      <c r="G3545" t="inlineStr">
        <is>
          <t>30-04-2026</t>
        </is>
      </c>
      <c r="H3545" t="inlineStr">
        <is>
          <t>30/04/2026</t>
        </is>
      </c>
      <c r="I3545" t="inlineStr">
        <is>
          <t>17/03/2026</t>
        </is>
      </c>
      <c r="J3545" t="inlineStr">
        <is>
          <t>Nông nghiệp, Quản lý chất lượng (QA/QC), Sản xuất / Vận hành sản xuất</t>
        </is>
      </c>
      <c r="K3545" t="inlineStr">
        <is>
          <t>N/A</t>
        </is>
      </c>
      <c r="L3545" s="8">
        <f>HYPERLINK("https://careerviet.vn/vi/tim-viec-lam/nhan-vien-van-hanh-kcn-pho-noi-a-hung-yen.35C6C08A.html","Xem chi tiết")</f>
        <v/>
      </c>
    </row>
    <row r="3546">
      <c r="B3546" s="9" t="n">
        <v>3544</v>
      </c>
      <c r="C3546" s="10" t="inlineStr">
        <is>
          <t>NHÂN VIÊN KINH DOANH - NGÀNH NỘI THẤT - THU NHẬP HẤP DẪN</t>
        </is>
      </c>
      <c r="D3546" s="10" t="inlineStr">
        <is>
          <t>Công ty Cổ phần Tập đoàn Gỗ Minh Long</t>
        </is>
      </c>
      <c r="E3546" s="10" t="inlineStr">
        <is>
          <t>Lương:10 Tr - 18 Tr VND</t>
        </is>
      </c>
      <c r="F3546" s="10" t="inlineStr">
        <is>
          <t>Hà NộiHồ Chí MinhNghệ An</t>
        </is>
      </c>
      <c r="G3546" s="10" t="inlineStr">
        <is>
          <t>11-04-2026</t>
        </is>
      </c>
      <c r="H3546" s="10" t="inlineStr">
        <is>
          <t>11/04/2026</t>
        </is>
      </c>
      <c r="I3546" s="10" t="inlineStr">
        <is>
          <t>17/03/2026</t>
        </is>
      </c>
      <c r="J3546" s="10" t="inlineStr">
        <is>
          <t>Bán lẻ / Bán sỉ, Bán hàng / Kinh doanh, Xây dựng</t>
        </is>
      </c>
      <c r="K3546" s="10" t="inlineStr">
        <is>
          <t>1 - 3 Năm</t>
        </is>
      </c>
      <c r="L3546" s="11">
        <f>HYPERLINK("https://careerviet.vn/vi/tim-viec-lam/nhan-vien-kinh-doanh-nganh-noi-that-thu-nhap-hap-dan.35C6C09A.html","Xem chi tiết")</f>
        <v/>
      </c>
      <c r="M3546" s="10" t="n"/>
    </row>
    <row r="3547">
      <c r="B3547" s="7" t="n">
        <v>3545</v>
      </c>
      <c r="C3547" t="inlineStr">
        <is>
          <t>CHUYÊN VIÊN MUA HÀNG</t>
        </is>
      </c>
      <c r="D3547" t="inlineStr">
        <is>
          <t>CÔNG TY CỔ PHẦN THỰC PHẨM THUDUC HOUSE</t>
        </is>
      </c>
      <c r="E3547" t="inlineStr">
        <is>
          <t>Lương:12 Tr - 18 Tr VND</t>
        </is>
      </c>
      <c r="F3547" t="inlineStr">
        <is>
          <t>Hồ Chí Minh</t>
        </is>
      </c>
      <c r="G3547" t="inlineStr">
        <is>
          <t>11-04-2026</t>
        </is>
      </c>
      <c r="H3547" t="inlineStr">
        <is>
          <t>11/04/2026</t>
        </is>
      </c>
      <c r="I3547" t="inlineStr">
        <is>
          <t>17/03/2026</t>
        </is>
      </c>
      <c r="J3547" t="inlineStr">
        <is>
          <t>Xuất nhập khẩu, Thu mua / Vật tư, Thực phẩm &amp; Đồ uống</t>
        </is>
      </c>
      <c r="K3547" t="inlineStr">
        <is>
          <t>1 - 2 Năm</t>
        </is>
      </c>
      <c r="L3547" s="8">
        <f>HYPERLINK("https://careerviet.vn/vi/tim-viec-lam/chuyen-vien-mua-hang.35C6BF5F.html","Xem chi tiết")</f>
        <v/>
      </c>
    </row>
    <row r="3548">
      <c r="B3548" s="9" t="n">
        <v>3546</v>
      </c>
      <c r="C3548" s="10" t="inlineStr">
        <is>
          <t>Nhân viên tổng hợp Hành chính - Nhân sự/ Thư ký</t>
        </is>
      </c>
      <c r="D3548" s="10" t="inlineStr">
        <is>
          <t>CÔNG TY TNHH ĐẦU TƯ VIỆT THIÊN HÀ</t>
        </is>
      </c>
      <c r="E3548" s="10" t="inlineStr">
        <is>
          <t>Lương:12 Tr - 15 Tr VND</t>
        </is>
      </c>
      <c r="F3548" s="10" t="inlineStr">
        <is>
          <t>Hồ Chí Minh</t>
        </is>
      </c>
      <c r="G3548" s="10" t="inlineStr">
        <is>
          <t>30-04-2026</t>
        </is>
      </c>
      <c r="H3548" s="10" t="inlineStr">
        <is>
          <t>30/04/2026</t>
        </is>
      </c>
      <c r="I3548" s="10" t="inlineStr">
        <is>
          <t>17/03/2026</t>
        </is>
      </c>
      <c r="J3548" s="10" t="inlineStr">
        <is>
          <t>Hành chính / Thư ký, Nhân sự</t>
        </is>
      </c>
      <c r="K3548" s="10" t="inlineStr">
        <is>
          <t>Trên 2 Năm</t>
        </is>
      </c>
      <c r="L3548" s="11">
        <f>HYPERLINK("https://careerviet.vn/vi/tim-viec-lam/nhan-vien-tong-hop-hanh-chinh-nhan-su-thu-ky.35C6C066.html","Xem chi tiết")</f>
        <v/>
      </c>
      <c r="M3548" s="10" t="n"/>
    </row>
    <row r="3549">
      <c r="B3549" s="7" t="n">
        <v>3547</v>
      </c>
      <c r="C3549" t="inlineStr">
        <is>
          <t>Nhân viên bảo trì điện/ điện lạnh</t>
        </is>
      </c>
      <c r="D3549" t="inlineStr">
        <is>
          <t>Saf Viet - JV Between French And Vietnam</t>
        </is>
      </c>
      <c r="E3549" t="inlineStr">
        <is>
          <t>Lương:Cạnh tranh</t>
        </is>
      </c>
      <c r="F3549" t="inlineStr">
        <is>
          <t>Long An</t>
        </is>
      </c>
      <c r="G3549" t="inlineStr">
        <is>
          <t>03-04-2026</t>
        </is>
      </c>
      <c r="H3549" t="inlineStr">
        <is>
          <t>03/04/2026</t>
        </is>
      </c>
      <c r="I3549" t="inlineStr">
        <is>
          <t>17/03/2026</t>
        </is>
      </c>
      <c r="J3549" t="inlineStr">
        <is>
          <t>Điện / Điện tử / Điện lạnh / Điện công nghiệp</t>
        </is>
      </c>
      <c r="K3549" t="inlineStr">
        <is>
          <t>1 - 2 Năm</t>
        </is>
      </c>
      <c r="L3549" s="8">
        <f>HYPERLINK("https://careerviet.vn/vi/tim-viec-lam/nhan-vien-bao-tri-dien-dien-lanh.35C673A4.html","Xem chi tiết")</f>
        <v/>
      </c>
    </row>
    <row r="3550">
      <c r="B3550" s="9" t="n">
        <v>3548</v>
      </c>
      <c r="C3550" s="10" t="inlineStr">
        <is>
          <t>Nhân Viên Kho</t>
        </is>
      </c>
      <c r="D3550" s="10" t="inlineStr">
        <is>
          <t>Công ty Cổ Phần Gourmet Partner Việt Nam</t>
        </is>
      </c>
      <c r="E3550" s="10" t="inlineStr">
        <is>
          <t>Lương:9 Tr - 10 Tr VND</t>
        </is>
      </c>
      <c r="F3550" s="10" t="inlineStr">
        <is>
          <t>Hà Nội</t>
        </is>
      </c>
      <c r="G3550" s="10" t="inlineStr">
        <is>
          <t>05-04-2026</t>
        </is>
      </c>
      <c r="H3550" s="10" t="inlineStr">
        <is>
          <t>05/04/2026</t>
        </is>
      </c>
      <c r="I3550" s="10" t="inlineStr">
        <is>
          <t>17/03/2026</t>
        </is>
      </c>
      <c r="J3550" s="10" t="inlineStr">
        <is>
          <t>Vận chuyển / Giao nhận / Kho vận</t>
        </is>
      </c>
      <c r="K3550" s="10" t="inlineStr">
        <is>
          <t>1 - 2 Năm</t>
        </is>
      </c>
      <c r="L3550" s="11">
        <f>HYPERLINK("https://careerviet.vn/vi/tim-viec-lam/nhan-vien-kho.35C6AD3F.html","Xem chi tiết")</f>
        <v/>
      </c>
      <c r="M3550" s="10" t="n"/>
    </row>
    <row r="3551">
      <c r="B3551" s="7" t="n">
        <v>3549</v>
      </c>
      <c r="C3551" t="inlineStr">
        <is>
          <t>Chuyên viên kinh doanh - Lĩnh vực y tế</t>
        </is>
      </c>
      <c r="D3551" t="inlineStr">
        <is>
          <t>Kitapida Mediphar Co., Ltd</t>
        </is>
      </c>
      <c r="E3551" t="inlineStr">
        <is>
          <t>Lương:20 Tr - 30 Tr VND</t>
        </is>
      </c>
      <c r="F3551" t="inlineStr">
        <is>
          <t>Hồ Chí Minh</t>
        </is>
      </c>
      <c r="G3551" t="inlineStr">
        <is>
          <t>03-04-2026</t>
        </is>
      </c>
      <c r="H3551" t="inlineStr">
        <is>
          <t>03/04/2026</t>
        </is>
      </c>
      <c r="I3551" t="inlineStr">
        <is>
          <t>17/03/2026</t>
        </is>
      </c>
      <c r="J3551" t="inlineStr">
        <is>
          <t>Bán hàng / Kinh doanh, Y tế / Chăm sóc sức khỏe / Thẩm mỹ / Làm đẹp, Dịch vụ khách hàng</t>
        </is>
      </c>
      <c r="K3551" t="inlineStr">
        <is>
          <t>2 - 3 Năm</t>
        </is>
      </c>
      <c r="L3551" s="8">
        <f>HYPERLINK("https://careerviet.vn/vi/tim-viec-lam/chuyen-vien-kinh-doanh-linh-vuc-y-te.35C6ACD7.html","Xem chi tiết")</f>
        <v/>
      </c>
    </row>
    <row r="3552">
      <c r="B3552" s="9" t="n">
        <v>3550</v>
      </c>
      <c r="C3552" s="10" t="inlineStr">
        <is>
          <t>128630 - Senior Accounts Manager - Robotics</t>
        </is>
      </c>
      <c r="D3552" s="10" t="inlineStr">
        <is>
          <t>RGF HR Agent Vietnam Co., LTD</t>
        </is>
      </c>
      <c r="E3552" s="10" t="inlineStr">
        <is>
          <t>Lương:23 Tr - 30 Tr VND</t>
        </is>
      </c>
      <c r="F3552" s="10" t="inlineStr">
        <is>
          <t>Hà Nội</t>
        </is>
      </c>
      <c r="G3552" s="10" t="inlineStr">
        <is>
          <t>11-04-2026</t>
        </is>
      </c>
      <c r="H3552" s="10" t="inlineStr">
        <is>
          <t>11/04/2026</t>
        </is>
      </c>
      <c r="I3552" s="10" t="inlineStr">
        <is>
          <t>17/03/2026</t>
        </is>
      </c>
      <c r="J3552" s="10" t="inlineStr">
        <is>
          <t>Bán hàng / Kinh doanh, Bán Hàng Kỹ Thuật, Ngành khác</t>
        </is>
      </c>
      <c r="K3552" s="10" t="inlineStr">
        <is>
          <t>Trên 5 Năm</t>
        </is>
      </c>
      <c r="L3552" s="11">
        <f>HYPERLINK("https://careerviet.vn/vi/tim-viec-lam/128630-senior-accounts-manager-robotics.35C6C0A0.html","Xem chi tiết")</f>
        <v/>
      </c>
      <c r="M3552" s="10" t="n"/>
    </row>
    <row r="3553">
      <c r="B3553" s="7" t="n">
        <v>3551</v>
      </c>
      <c r="C3553" t="inlineStr">
        <is>
          <t>[Ninh Thuận] Chuyên viên/ Trưởng phòng Thu mua</t>
        </is>
      </c>
      <c r="D3553" t="inlineStr">
        <is>
          <t>CÔNG TY CỔ PHẦN CÔNG NGHỆ SOTATEK VIỆT NAM</t>
        </is>
      </c>
      <c r="E3553" t="inlineStr">
        <is>
          <t>Lương:Cạnh tranh</t>
        </is>
      </c>
      <c r="F3553" t="inlineStr">
        <is>
          <t>Ninh Thuận</t>
        </is>
      </c>
      <c r="G3553" t="inlineStr">
        <is>
          <t>01-04-2026</t>
        </is>
      </c>
      <c r="H3553" t="inlineStr">
        <is>
          <t>01/04/2026</t>
        </is>
      </c>
      <c r="I3553" t="inlineStr">
        <is>
          <t>17/03/2026</t>
        </is>
      </c>
      <c r="J3553" t="inlineStr">
        <is>
          <t>Thu mua / Vật tư, Xuất nhập khẩu, Sản xuất / Vận hành sản xuất</t>
        </is>
      </c>
      <c r="K3553" t="inlineStr">
        <is>
          <t>Trên 1 Năm</t>
        </is>
      </c>
      <c r="L3553" s="8">
        <f>HYPERLINK("https://careerviet.vn/vi/tim-viec-lam/ninh-thuan-chuyen-vien-truong-phong-thu-mua.35C6AD4E.html","Xem chi tiết")</f>
        <v/>
      </c>
    </row>
    <row r="3554">
      <c r="B3554" s="9" t="n">
        <v>3552</v>
      </c>
      <c r="C3554" s="10" t="inlineStr">
        <is>
          <t>Chuyên Viên C&amp;B</t>
        </is>
      </c>
      <c r="D3554" s="10" t="inlineStr">
        <is>
          <t>HỆ THỐNG KÍNH MẮT ANNA</t>
        </is>
      </c>
      <c r="E3554" s="10" t="inlineStr">
        <is>
          <t>Lương:15 Tr - 18 Tr VND</t>
        </is>
      </c>
      <c r="F3554" s="10" t="inlineStr">
        <is>
          <t>Hà Nội</t>
        </is>
      </c>
      <c r="G3554" s="10" t="inlineStr">
        <is>
          <t>04-04-2026</t>
        </is>
      </c>
      <c r="H3554" s="10" t="inlineStr">
        <is>
          <t>04/04/2026</t>
        </is>
      </c>
      <c r="I3554" s="10" t="inlineStr">
        <is>
          <t>17/03/2026</t>
        </is>
      </c>
      <c r="J3554" s="10" t="inlineStr">
        <is>
          <t>Nhân sự</t>
        </is>
      </c>
      <c r="K3554" s="10" t="inlineStr">
        <is>
          <t>Trên 2 Năm</t>
        </is>
      </c>
      <c r="L3554" s="11">
        <f>HYPERLINK("https://careerviet.vn/vi/tim-viec-lam/chuyen-vien-c-b.35C6ACCA.html","Xem chi tiết")</f>
        <v/>
      </c>
      <c r="M3554" s="10" t="n"/>
    </row>
    <row r="3555">
      <c r="B3555" s="7" t="n">
        <v>3553</v>
      </c>
      <c r="C3555" t="inlineStr">
        <is>
          <t>Chuyên Viên Tư Vấn Thuế</t>
        </is>
      </c>
      <c r="D3555" t="inlineStr">
        <is>
          <t>CÔNG TY TNHH IC&amp;PARTNERS VIỆT NAM</t>
        </is>
      </c>
      <c r="E3555" t="inlineStr">
        <is>
          <t>Lương:Cạnh tranh</t>
        </is>
      </c>
      <c r="F3555" t="inlineStr">
        <is>
          <t>Hà Nội</t>
        </is>
      </c>
      <c r="G3555" t="inlineStr">
        <is>
          <t>04-04-2026</t>
        </is>
      </c>
      <c r="H3555" t="inlineStr">
        <is>
          <t>04/04/2026</t>
        </is>
      </c>
      <c r="I3555" t="inlineStr">
        <is>
          <t>17/03/2026</t>
        </is>
      </c>
      <c r="J3555" t="inlineStr">
        <is>
          <t>Kế toán / Kiểm toán, Tài chính / Đầu tư, Luật / Pháp lý</t>
        </is>
      </c>
      <c r="K3555" t="inlineStr">
        <is>
          <t>2 - 5 Năm</t>
        </is>
      </c>
      <c r="L3555" s="8">
        <f>HYPERLINK("https://careerviet.vn/vi/tim-viec-lam/chuyen-vien-tu-van-thue.35C6AC39.html","Xem chi tiết")</f>
        <v/>
      </c>
    </row>
    <row r="3556">
      <c r="B3556" s="9" t="n">
        <v>3554</v>
      </c>
      <c r="C3556" s="10" t="inlineStr">
        <is>
          <t>Kế toán tổng hợp thuế - Từ 1 năm kinh nghiệm</t>
        </is>
      </c>
      <c r="D3556" s="10" t="inlineStr">
        <is>
          <t>Công Ty TNHH TM &amp; XNK Nhất Lâm</t>
        </is>
      </c>
      <c r="E3556" s="10" t="inlineStr">
        <is>
          <t>Lương:15 Tr - 18 Tr VND</t>
        </is>
      </c>
      <c r="F3556" s="10" t="inlineStr">
        <is>
          <t>Hà Nội</t>
        </is>
      </c>
      <c r="G3556" s="10" t="inlineStr">
        <is>
          <t>30-03-2026</t>
        </is>
      </c>
      <c r="H3556" s="10" t="inlineStr">
        <is>
          <t>30/03/2026</t>
        </is>
      </c>
      <c r="I3556" s="10" t="inlineStr">
        <is>
          <t>17/03/2026</t>
        </is>
      </c>
      <c r="J3556" s="10" t="inlineStr">
        <is>
          <t>Kế toán / Kiểm toán</t>
        </is>
      </c>
      <c r="K3556" s="10" t="inlineStr">
        <is>
          <t>N/A</t>
        </is>
      </c>
      <c r="L3556" s="11">
        <f>HYPERLINK("https://careerviet.vn/vi/tim-viec-lam/ke-toan-tong-hop-thue-tu-1-nam-kinh-nghiem.35C6AB5D.html","Xem chi tiết")</f>
        <v/>
      </c>
      <c r="M3556" s="10" t="n"/>
    </row>
    <row r="3557">
      <c r="B3557" s="7" t="n">
        <v>3555</v>
      </c>
      <c r="C3557" t="inlineStr">
        <is>
          <t>Trưởng phòng hành chính nhân sự</t>
        </is>
      </c>
      <c r="D3557" t="inlineStr">
        <is>
          <t>CÔNG TY CỔ PHẦN ĐẦU TƯ ĐÔNG BẮC LAND</t>
        </is>
      </c>
      <c r="E3557" t="inlineStr">
        <is>
          <t>Lương:Cạnh tranh</t>
        </is>
      </c>
      <c r="F3557" t="inlineStr">
        <is>
          <t>Hà Nội</t>
        </is>
      </c>
      <c r="G3557" t="inlineStr">
        <is>
          <t>30-04-2026</t>
        </is>
      </c>
      <c r="H3557" t="inlineStr">
        <is>
          <t>30/04/2026</t>
        </is>
      </c>
      <c r="I3557" t="inlineStr">
        <is>
          <t>17/03/2026</t>
        </is>
      </c>
      <c r="J3557" t="inlineStr">
        <is>
          <t>Hành chính / Thư ký, Quản lý điều hành, Nhân sự</t>
        </is>
      </c>
      <c r="K3557" t="inlineStr">
        <is>
          <t>5 - 10 Năm</t>
        </is>
      </c>
      <c r="L3557" s="8">
        <f>HYPERLINK("https://careerviet.vn/vi/tim-viec-lam/truong-phong-hanh-chinh-nhan-su.35C6AD2F.html","Xem chi tiết")</f>
        <v/>
      </c>
    </row>
    <row r="3558">
      <c r="B3558" s="9" t="n">
        <v>3556</v>
      </c>
      <c r="C3558" s="10" t="inlineStr">
        <is>
          <t>KẾ TOÁN NỘI BỘ</t>
        </is>
      </c>
      <c r="D3558" s="10" t="inlineStr">
        <is>
          <t>CÔNG TY TNHH SẢN XUẤT VÀ THƯƠNG MẠI THỦY SẢN THIỆN NHÀ TÔM</t>
        </is>
      </c>
      <c r="E3558" s="10" t="inlineStr">
        <is>
          <t>Lương:9,5 Tr - 11,5 Tr VND</t>
        </is>
      </c>
      <c r="F3558" s="10" t="inlineStr">
        <is>
          <t>Hồ Chí Minh</t>
        </is>
      </c>
      <c r="G3558" s="10" t="inlineStr">
        <is>
          <t>15-04-2026</t>
        </is>
      </c>
      <c r="H3558" s="10" t="inlineStr">
        <is>
          <t>15/04/2026</t>
        </is>
      </c>
      <c r="I3558" s="10" t="inlineStr">
        <is>
          <t>17/03/2026</t>
        </is>
      </c>
      <c r="J3558" s="10" t="inlineStr">
        <is>
          <t>Kế toán / Kiểm toán, Tài chính / Đầu tư</t>
        </is>
      </c>
      <c r="K3558" s="10" t="inlineStr">
        <is>
          <t>1 - 3 Năm</t>
        </is>
      </c>
      <c r="L3558" s="11">
        <f>HYPERLINK("https://careerviet.vn/vi/tim-viec-lam/ke-toan-noi-bo.35C6ABB4.html","Xem chi tiết")</f>
        <v/>
      </c>
      <c r="M3558" s="10" t="n"/>
    </row>
    <row r="3559">
      <c r="B3559" s="7" t="n">
        <v>3557</v>
      </c>
      <c r="C3559" t="inlineStr">
        <is>
          <t>[ĐỐNG ĐA] Nhân Viên Kỹ Thuật</t>
        </is>
      </c>
      <c r="D3559" t="inlineStr">
        <is>
          <t>CÔNG TY CỔ PHẦN EUROWINDOW HOLDING</t>
        </is>
      </c>
      <c r="E3559" t="inlineStr">
        <is>
          <t>Lương:Cạnh tranh</t>
        </is>
      </c>
      <c r="F3559" t="inlineStr">
        <is>
          <t>Hà Nội</t>
        </is>
      </c>
      <c r="G3559" t="inlineStr">
        <is>
          <t>04-04-2026</t>
        </is>
      </c>
      <c r="H3559" t="inlineStr">
        <is>
          <t>04/04/2026</t>
        </is>
      </c>
      <c r="I3559" t="inlineStr">
        <is>
          <t>17/03/2026</t>
        </is>
      </c>
      <c r="J3559" t="inlineStr">
        <is>
          <t>Điện / Điện tử / Điện lạnh / Điện công nghiệp, Bảo trì / Sửa chữa</t>
        </is>
      </c>
      <c r="K3559" t="inlineStr">
        <is>
          <t>1 - 3 Năm</t>
        </is>
      </c>
      <c r="L3559" s="8">
        <f>HYPERLINK("https://careerviet.vn/vi/tim-viec-lam/dong-da-nhan-vien-ky-thuat.35C6AD01.html","Xem chi tiết")</f>
        <v/>
      </c>
    </row>
    <row r="3560">
      <c r="B3560" s="9" t="n">
        <v>3558</v>
      </c>
      <c r="C3560" s="10" t="inlineStr">
        <is>
          <t>Trưởng Phòng Kinh Doanh - Dự án Logistic</t>
        </is>
      </c>
      <c r="D3560" s="10" t="inlineStr">
        <is>
          <t>PRECIOUS PRESTIGE TRADING AND LOGISTICS</t>
        </is>
      </c>
      <c r="E3560" s="10" t="inlineStr">
        <is>
          <t>Lương:Cạnh tranh</t>
        </is>
      </c>
      <c r="F3560" s="10" t="inlineStr">
        <is>
          <t>Hồ Chí Minh</t>
        </is>
      </c>
      <c r="G3560" s="10" t="inlineStr">
        <is>
          <t>03-04-2026</t>
        </is>
      </c>
      <c r="H3560" s="10" t="inlineStr">
        <is>
          <t>03/04/2026</t>
        </is>
      </c>
      <c r="I3560" s="10" t="inlineStr">
        <is>
          <t>17/03/2026</t>
        </is>
      </c>
      <c r="J3560" s="10" t="inlineStr">
        <is>
          <t>Bán hàng / Kinh doanh, Dầu khí, Quản lý điều hành</t>
        </is>
      </c>
      <c r="K3560" s="10" t="inlineStr">
        <is>
          <t>N/A</t>
        </is>
      </c>
      <c r="L3560" s="11">
        <f>HYPERLINK("https://careerviet.vn/vi/tim-viec-lam/truong-phong-kinh-doanh-du-an-logistic.35C6ACE2.html","Xem chi tiết")</f>
        <v/>
      </c>
      <c r="M3560" s="10" t="n"/>
    </row>
    <row r="3561">
      <c r="B3561" s="7" t="n">
        <v>3559</v>
      </c>
      <c r="C3561" t="inlineStr">
        <is>
          <t>Nhân viên Kinh doanh tư vấn tiệc</t>
        </is>
      </c>
      <c r="D3561" t="inlineStr">
        <is>
          <t>CÔNG TY TNHH TRỐNG ĐỒNG VIỆT NAM</t>
        </is>
      </c>
      <c r="E3561" t="inlineStr">
        <is>
          <t>Lương:8 Tr - 10 Tr VND</t>
        </is>
      </c>
      <c r="F3561" t="inlineStr">
        <is>
          <t>Hà Nội</t>
        </is>
      </c>
      <c r="G3561" t="inlineStr">
        <is>
          <t>30-04-2026</t>
        </is>
      </c>
      <c r="H3561" t="inlineStr">
        <is>
          <t>30/04/2026</t>
        </is>
      </c>
      <c r="I3561" t="inlineStr">
        <is>
          <t>17/03/2026</t>
        </is>
      </c>
      <c r="J3561" t="inlineStr">
        <is>
          <t>Bán lẻ / Bán sỉ, Bán hàng / Kinh doanh, Nhà hàng / Khách sạn</t>
        </is>
      </c>
      <c r="K3561" t="inlineStr">
        <is>
          <t>N/A</t>
        </is>
      </c>
      <c r="L3561" s="8">
        <f>HYPERLINK("https://careerviet.vn/vi/tim-viec-lam/nhan-vien-kinh-doanh-tu-van-tiec.35C6AD47.html","Xem chi tiết")</f>
        <v/>
      </c>
    </row>
    <row r="3562">
      <c r="B3562" s="9" t="n">
        <v>3560</v>
      </c>
      <c r="C3562" s="10" t="inlineStr">
        <is>
          <t>Kỹ sư thiết kế cơ khí</t>
        </is>
      </c>
      <c r="D3562" s="10" t="inlineStr">
        <is>
          <t>CÔNG TY CỔ PHẦN CẦU TRỤC VÀ THIẾT BỊ AVCS</t>
        </is>
      </c>
      <c r="E3562" s="10" t="inlineStr">
        <is>
          <t>Lương:13 Tr - 16 Tr VND</t>
        </is>
      </c>
      <c r="F3562" s="10" t="inlineStr">
        <is>
          <t>Long An</t>
        </is>
      </c>
      <c r="G3562" s="10" t="inlineStr">
        <is>
          <t>11-04-2026</t>
        </is>
      </c>
      <c r="H3562" s="10" t="inlineStr">
        <is>
          <t>11/04/2026</t>
        </is>
      </c>
      <c r="I3562" s="10" t="inlineStr">
        <is>
          <t>17/03/2026</t>
        </is>
      </c>
      <c r="J3562" s="10" t="inlineStr">
        <is>
          <t>Cơ khí / Ô tô / Tự động hóa, Điện / Điện tử / Điện lạnh / Điện công nghiệp</t>
        </is>
      </c>
      <c r="K3562" s="10" t="inlineStr">
        <is>
          <t>1 - 2 Năm</t>
        </is>
      </c>
      <c r="L3562" s="11">
        <f>HYPERLINK("https://careerviet.vn/vi/tim-viec-lam/ky-su-thiet-ke-co-khi.35C6C063.html","Xem chi tiết")</f>
        <v/>
      </c>
      <c r="M3562" s="10" t="n"/>
    </row>
    <row r="3563">
      <c r="B3563" s="7" t="n">
        <v>3561</v>
      </c>
      <c r="C3563" t="inlineStr">
        <is>
          <t>Quản Lý Dự Án Xây Dựng Lương từ 30tr - 50tr</t>
        </is>
      </c>
      <c r="D3563" t="inlineStr">
        <is>
          <t>CÔNG TY TNHH HÒA QUẦN</t>
        </is>
      </c>
      <c r="E3563" t="inlineStr">
        <is>
          <t>Lương:30 Tr - 50 Tr VND</t>
        </is>
      </c>
      <c r="F3563" t="inlineStr">
        <is>
          <t>Hà Nội</t>
        </is>
      </c>
      <c r="G3563" t="inlineStr">
        <is>
          <t>04-04-2026</t>
        </is>
      </c>
      <c r="H3563" t="inlineStr">
        <is>
          <t>04/04/2026</t>
        </is>
      </c>
      <c r="I3563" t="inlineStr">
        <is>
          <t>17/03/2026</t>
        </is>
      </c>
      <c r="J3563" t="inlineStr">
        <is>
          <t>Kiến trúc, Xây dựng, Bất động sản</t>
        </is>
      </c>
      <c r="K3563" t="inlineStr">
        <is>
          <t>Trên 5 Năm</t>
        </is>
      </c>
      <c r="L3563" s="8">
        <f>HYPERLINK("https://careerviet.vn/vi/tim-viec-lam/quan-ly-du-an-xay-dung-luong-tu-30tr-50tr.35C6ACA4.html","Xem chi tiết")</f>
        <v/>
      </c>
    </row>
    <row r="3564">
      <c r="B3564" s="9" t="n">
        <v>3562</v>
      </c>
      <c r="C3564" s="10" t="inlineStr">
        <is>
          <t>Trưởng phòng Thương Mại Điện Tử</t>
        </is>
      </c>
      <c r="D3564" s="10" t="inlineStr">
        <is>
          <t>HỆ THỐNG KÍNH MẮT ANNA</t>
        </is>
      </c>
      <c r="E3564" s="10" t="inlineStr">
        <is>
          <t>Lương:40 Tr - 50 Tr VND</t>
        </is>
      </c>
      <c r="F3564" s="10" t="inlineStr">
        <is>
          <t>Hà Nội</t>
        </is>
      </c>
      <c r="G3564" s="10" t="inlineStr">
        <is>
          <t>03-04-2026</t>
        </is>
      </c>
      <c r="H3564" s="10" t="inlineStr">
        <is>
          <t>03/04/2026</t>
        </is>
      </c>
      <c r="I3564" s="10" t="inlineStr">
        <is>
          <t>17/03/2026</t>
        </is>
      </c>
      <c r="J3564" s="10" t="inlineStr">
        <is>
          <t>Thương mại điện tử</t>
        </is>
      </c>
      <c r="K3564" s="10" t="inlineStr">
        <is>
          <t>Trên 2 Năm</t>
        </is>
      </c>
      <c r="L3564" s="11">
        <f>HYPERLINK("https://careerviet.vn/vi/tim-viec-lam/truong-phong-thuong-mai-dien-tu.35C6ACD1.html","Xem chi tiết")</f>
        <v/>
      </c>
      <c r="M3564" s="10" t="n"/>
    </row>
    <row r="3565">
      <c r="B3565" s="7" t="n">
        <v>3563</v>
      </c>
      <c r="C3565" t="inlineStr">
        <is>
          <t>Nhân viên Chiến lược kinh doanh (Có kinh nghiệm phân tích dữ liệu và xây  kế hoạch kinh doanh)</t>
        </is>
      </c>
      <c r="D3565" t="inlineStr">
        <is>
          <t>Tổng Công ty Cổ phần Công trình Viettel</t>
        </is>
      </c>
      <c r="E3565" t="inlineStr">
        <is>
          <t>Lương:Cạnh tranh</t>
        </is>
      </c>
      <c r="F3565" t="inlineStr">
        <is>
          <t>Hà Nội</t>
        </is>
      </c>
      <c r="G3565" t="inlineStr">
        <is>
          <t>03-04-2026</t>
        </is>
      </c>
      <c r="H3565" t="inlineStr">
        <is>
          <t>03/04/2026</t>
        </is>
      </c>
      <c r="I3565" t="inlineStr">
        <is>
          <t>17/03/2026</t>
        </is>
      </c>
      <c r="J3565" t="inlineStr">
        <is>
          <t>Bán lẻ / Bán sỉ, Bán hàng / Kinh doanh, Bưu chính viễn thông</t>
        </is>
      </c>
      <c r="K3565" t="inlineStr">
        <is>
          <t>N/A</t>
        </is>
      </c>
      <c r="L3565" s="8">
        <f>HYPERLINK("https://careerviet.vn/vi/tim-viec-lam/nhan-vien-chien-luoc-kinh-doanh-co-kinh-nghiem-phan-tich-du-lieu-va-xay-ke-hoach-kinh-doanh.35C6ABFF.html","Xem chi tiết")</f>
        <v/>
      </c>
    </row>
    <row r="3566">
      <c r="B3566" s="9" t="n">
        <v>3564</v>
      </c>
      <c r="C3566" s="10" t="inlineStr">
        <is>
          <t>Chuyên Viên Kinh Doanh</t>
        </is>
      </c>
      <c r="D3566" s="10" t="inlineStr">
        <is>
          <t>CÔNG TY TNHH NANSHAN NEW MATERIAL</t>
        </is>
      </c>
      <c r="E3566" s="10" t="inlineStr">
        <is>
          <t>Lương:15 Tr - 50 Tr VND</t>
        </is>
      </c>
      <c r="F3566" s="10" t="inlineStr">
        <is>
          <t>Hồ Chí MinhBắc Ninh</t>
        </is>
      </c>
      <c r="G3566" s="10" t="inlineStr">
        <is>
          <t>25-04-2026</t>
        </is>
      </c>
      <c r="H3566" s="10" t="inlineStr">
        <is>
          <t>25/04/2026</t>
        </is>
      </c>
      <c r="I3566" s="10" t="inlineStr">
        <is>
          <t>17/03/2026</t>
        </is>
      </c>
      <c r="J3566" s="10" t="inlineStr">
        <is>
          <t>Bán hàng / Kinh doanh, Tiếp thị / Marketing, Dịch vụ khách hàng</t>
        </is>
      </c>
      <c r="K3566" s="10" t="inlineStr">
        <is>
          <t>1 - 5 Năm</t>
        </is>
      </c>
      <c r="L3566" s="11">
        <f>HYPERLINK("https://careerviet.vn/vi/tim-viec-lam/chuyen-vien-kinh-doanh.35C6977E.html","Xem chi tiết")</f>
        <v/>
      </c>
      <c r="M3566" s="10" t="n"/>
    </row>
    <row r="3567">
      <c r="B3567" s="7" t="n">
        <v>3565</v>
      </c>
      <c r="C3567" t="inlineStr">
        <is>
          <t>Kiến Trúc Sư Quản Lý Thiết Kế (Chủ Đầu Tư BĐS)</t>
        </is>
      </c>
      <c r="D3567" t="inlineStr">
        <is>
          <t>Công Ty Cổ Phần Đầu Tư Địa Ốc Hưng Phú</t>
        </is>
      </c>
      <c r="E3567" t="inlineStr">
        <is>
          <t>Lương:20 Tr - 30 Tr VND</t>
        </is>
      </c>
      <c r="F3567" t="inlineStr">
        <is>
          <t>Hồ Chí Minh</t>
        </is>
      </c>
      <c r="G3567" t="inlineStr">
        <is>
          <t>03-04-2026</t>
        </is>
      </c>
      <c r="H3567" t="inlineStr">
        <is>
          <t>03/04/2026</t>
        </is>
      </c>
      <c r="I3567" t="inlineStr">
        <is>
          <t>17/03/2026</t>
        </is>
      </c>
      <c r="J3567" t="inlineStr">
        <is>
          <t>Bất động sản, Kiến trúc, Xây dựng</t>
        </is>
      </c>
      <c r="K3567" t="inlineStr">
        <is>
          <t>5 - 10 Năm</t>
        </is>
      </c>
      <c r="L3567" s="8">
        <f>HYPERLINK("https://careerviet.vn/vi/tim-viec-lam/kien-truc-su-quan-ly-thiet-ke-chu-dau-tu-bds.35C6ABA5.html","Xem chi tiết")</f>
        <v/>
      </c>
    </row>
    <row r="3568">
      <c r="B3568" s="9" t="n">
        <v>3566</v>
      </c>
      <c r="C3568" s="10" t="inlineStr">
        <is>
          <t>Kế Toán Tổng Hợp</t>
        </is>
      </c>
      <c r="D3568" s="10" t="inlineStr">
        <is>
          <t>CÔNG TY TNHH TƯ VẤN NGUYỄN MẪN</t>
        </is>
      </c>
      <c r="E3568" s="10" t="inlineStr">
        <is>
          <t>Lương:Cạnh tranh</t>
        </is>
      </c>
      <c r="F3568" s="10" t="inlineStr">
        <is>
          <t>Hồ Chí Minh</t>
        </is>
      </c>
      <c r="G3568" s="10" t="inlineStr">
        <is>
          <t>03-04-2026</t>
        </is>
      </c>
      <c r="H3568" s="10" t="inlineStr">
        <is>
          <t>03/04/2026</t>
        </is>
      </c>
      <c r="I3568" s="10" t="inlineStr">
        <is>
          <t>17/03/2026</t>
        </is>
      </c>
      <c r="J3568" s="10" t="inlineStr">
        <is>
          <t>Kế toán / Kiểm toán, Tài chính / Đầu tư, Luật / Pháp lý</t>
        </is>
      </c>
      <c r="K3568" s="10" t="inlineStr">
        <is>
          <t>2 - 3 Năm</t>
        </is>
      </c>
      <c r="L3568" s="11">
        <f>HYPERLINK("https://careerviet.vn/vi/tim-viec-lam/ke-toan-tong-hop.35C6ACD9.html","Xem chi tiết")</f>
        <v/>
      </c>
      <c r="M3568" s="10" t="n"/>
    </row>
    <row r="3569">
      <c r="B3569" s="7" t="n">
        <v>3567</v>
      </c>
      <c r="C3569" t="inlineStr">
        <is>
          <t>Nhân Viên Kế Toán Ngành Sản Xuất – Xuất Khẩu Bao Bì Nhựa</t>
        </is>
      </c>
      <c r="D3569" t="inlineStr">
        <is>
          <t>CÔNG TY CỔ PHẦN SẢN XUẤT CÔNG NGHIỆP QUỐC TẾ ĐẠT THÀNH</t>
        </is>
      </c>
      <c r="E3569" t="inlineStr">
        <is>
          <t>Lương:8 Tr - 12 Tr VND</t>
        </is>
      </c>
      <c r="F3569" t="inlineStr">
        <is>
          <t>Long An</t>
        </is>
      </c>
      <c r="G3569" t="inlineStr">
        <is>
          <t>04-04-2026</t>
        </is>
      </c>
      <c r="H3569" t="inlineStr">
        <is>
          <t>04/04/2026</t>
        </is>
      </c>
      <c r="I3569" t="inlineStr">
        <is>
          <t>17/03/2026</t>
        </is>
      </c>
      <c r="J3569" t="inlineStr">
        <is>
          <t>Hành chính / Thư ký, Sản xuất / Vận hành sản xuất, Kế toán / Kiểm toán</t>
        </is>
      </c>
      <c r="K3569" t="inlineStr">
        <is>
          <t>Lên đến 1 Năm</t>
        </is>
      </c>
      <c r="L3569" s="8">
        <f>HYPERLINK("https://careerviet.vn/vi/tim-viec-lam/nhan-vien-ke-toan-nganh-san-xuat-xuat-khau-bao-bi-nhua.35C6AC34.html","Xem chi tiết")</f>
        <v/>
      </c>
    </row>
    <row r="3570">
      <c r="B3570" s="9" t="n">
        <v>3568</v>
      </c>
      <c r="C3570" s="10" t="inlineStr">
        <is>
          <t>[Tuyển gấp] Kế toán tổng hợp  (Upto 25 triệu)</t>
        </is>
      </c>
      <c r="D3570" s="10" t="inlineStr">
        <is>
          <t>Xuân Cầu Holdings</t>
        </is>
      </c>
      <c r="E3570" s="10" t="inlineStr">
        <is>
          <t>Lương:18 Tr - 25 Tr VND</t>
        </is>
      </c>
      <c r="F3570" s="10" t="inlineStr">
        <is>
          <t>Hà Nội</t>
        </is>
      </c>
      <c r="G3570" s="10" t="inlineStr">
        <is>
          <t>3</t>
        </is>
      </c>
      <c r="H3570" s="10" t="inlineStr">
        <is>
          <t>20/03/2026</t>
        </is>
      </c>
      <c r="I3570" s="10" t="inlineStr">
        <is>
          <t>17/03/2026</t>
        </is>
      </c>
      <c r="J3570" s="10" t="inlineStr">
        <is>
          <t>Kế toán / Kiểm toán</t>
        </is>
      </c>
      <c r="K3570" s="10" t="inlineStr">
        <is>
          <t>3 - 4 Năm</t>
        </is>
      </c>
      <c r="L3570" s="11">
        <f>HYPERLINK("https://careerviet.vn/vi/tim-viec-lam/tuyen-gap-ke-toan-tong-hop-upto-25-trieu.35C6AC1B.html","Xem chi tiết")</f>
        <v/>
      </c>
      <c r="M3570" s="10" t="n"/>
    </row>
    <row r="3571">
      <c r="B3571" s="7" t="n">
        <v>3569</v>
      </c>
      <c r="C3571" t="inlineStr">
        <is>
          <t>Sale Admin</t>
        </is>
      </c>
      <c r="D3571" t="inlineStr">
        <is>
          <t>CÔNG TY CỔ PHẦN SẢN XUẤT CÔNG NGHIỆP QUỐC TẾ ĐẠT THÀNH</t>
        </is>
      </c>
      <c r="E3571" t="inlineStr">
        <is>
          <t>Lương:8 Tr - 12 Tr VND</t>
        </is>
      </c>
      <c r="F3571" t="inlineStr">
        <is>
          <t>Long An</t>
        </is>
      </c>
      <c r="G3571" t="inlineStr">
        <is>
          <t>04-04-2026</t>
        </is>
      </c>
      <c r="H3571" t="inlineStr">
        <is>
          <t>04/04/2026</t>
        </is>
      </c>
      <c r="I3571" t="inlineStr">
        <is>
          <t>17/03/2026</t>
        </is>
      </c>
      <c r="J3571" t="inlineStr">
        <is>
          <t>Hành chính / Thư ký, Sản xuất / Vận hành sản xuất, Dịch vụ khách hàng</t>
        </is>
      </c>
      <c r="K3571" t="inlineStr">
        <is>
          <t>Trên 1 Năm</t>
        </is>
      </c>
      <c r="L3571" s="8">
        <f>HYPERLINK("https://careerviet.vn/vi/tim-viec-lam/sale-admin.35C6AC35.html","Xem chi tiết")</f>
        <v/>
      </c>
    </row>
    <row r="3572">
      <c r="B3572" s="9" t="n">
        <v>3570</v>
      </c>
      <c r="C3572" s="10" t="inlineStr">
        <is>
          <t>Process Engineer</t>
        </is>
      </c>
      <c r="D3572" s="10" t="inlineStr">
        <is>
          <t>PeopleWise Vietnam</t>
        </is>
      </c>
      <c r="E3572" s="10" t="inlineStr">
        <is>
          <t>Lương:Lên đến 27 Tr VND</t>
        </is>
      </c>
      <c r="F3572" s="10" t="inlineStr">
        <is>
          <t>Hồ Chí Minh</t>
        </is>
      </c>
      <c r="G3572" s="10" t="inlineStr">
        <is>
          <t>11-04-2026</t>
        </is>
      </c>
      <c r="H3572" s="10" t="inlineStr">
        <is>
          <t>11/04/2026</t>
        </is>
      </c>
      <c r="I3572" s="10" t="inlineStr">
        <is>
          <t>17/03/2026</t>
        </is>
      </c>
      <c r="J3572" s="10" t="inlineStr">
        <is>
          <t>Môi trường, Điện / Điện tử / Điện lạnh / Điện công nghiệp, Sản xuất / Vận hành sản xuất</t>
        </is>
      </c>
      <c r="K3572" s="10" t="inlineStr">
        <is>
          <t>Lên đến 2 Năm</t>
        </is>
      </c>
      <c r="L3572" s="11">
        <f>HYPERLINK("https://careerviet.vn/vi/tim-viec-lam/process-engineer.35C6ABEE.html","Xem chi tiết")</f>
        <v/>
      </c>
      <c r="M3572" s="10" t="n"/>
    </row>
    <row r="3573">
      <c r="B3573" s="7" t="n">
        <v>3571</v>
      </c>
      <c r="C3573" t="inlineStr">
        <is>
          <t>Chủ Trì Thiết Kế</t>
        </is>
      </c>
      <c r="D3573" t="inlineStr">
        <is>
          <t>CÔNG TY TNHH KIẾN TRÚC - NỘI THẤT NAM ANH</t>
        </is>
      </c>
      <c r="E3573" t="inlineStr">
        <is>
          <t>Lương:20 Tr - 25 Tr VND</t>
        </is>
      </c>
      <c r="F3573" t="inlineStr">
        <is>
          <t>Hà Nội</t>
        </is>
      </c>
      <c r="G3573" t="inlineStr">
        <is>
          <t>05-04-2026</t>
        </is>
      </c>
      <c r="H3573" t="inlineStr">
        <is>
          <t>05/04/2026</t>
        </is>
      </c>
      <c r="I3573" t="inlineStr">
        <is>
          <t>17/03/2026</t>
        </is>
      </c>
      <c r="J3573" t="inlineStr">
        <is>
          <t>Mỹ thuật / Nghệ thuật / Thiết kế, Kiến trúc, Nội ngoại thất</t>
        </is>
      </c>
      <c r="K3573" t="inlineStr">
        <is>
          <t>3 - 5 Năm</t>
        </is>
      </c>
      <c r="L3573" s="8">
        <f>HYPERLINK("https://careerviet.vn/vi/tim-viec-lam/chu-tri-thiet-ke.35C6AC8F.html","Xem chi tiết")</f>
        <v/>
      </c>
    </row>
    <row r="3574">
      <c r="B3574" s="9" t="n">
        <v>3572</v>
      </c>
      <c r="C3574" s="10" t="inlineStr">
        <is>
          <t>KV Đông Nam Bộ - Giám đốc Quan hệ khách hàng ưu tiên (Vũng Tàu, Bình Dương, Đồng Nai, Khánh Hòa)</t>
        </is>
      </c>
      <c r="D3574" s="10" t="inlineStr">
        <is>
          <t>Ngân Hàng TMCP Phương Đông - OCB</t>
        </is>
      </c>
      <c r="E3574" s="10" t="inlineStr">
        <is>
          <t>Lương:Cạnh tranh</t>
        </is>
      </c>
      <c r="F3574" s="10" t="inlineStr">
        <is>
          <t>Đồng NaiBà Rịa - Vũng TàuBình Dương</t>
        </is>
      </c>
      <c r="G3574" s="10" t="inlineStr">
        <is>
          <t>30-04-2026</t>
        </is>
      </c>
      <c r="H3574" s="10" t="inlineStr">
        <is>
          <t>30/04/2026</t>
        </is>
      </c>
      <c r="I3574" s="10" t="inlineStr">
        <is>
          <t>17/03/2026</t>
        </is>
      </c>
      <c r="J3574" s="10" t="inlineStr">
        <is>
          <t>Ngân hàng</t>
        </is>
      </c>
      <c r="K3574" s="10" t="inlineStr">
        <is>
          <t>3 - 5 Năm</t>
        </is>
      </c>
      <c r="L3574" s="11">
        <f>HYPERLINK("https://careerviet.vn/vi/tim-viec-lam/kv-dong-nam-bo-giam-doc-quan-he-khach-hang-uu-tien-vung-tau-binh-duong-dong-nai-khanh-hoa.35C6ACDB.html","Xem chi tiết")</f>
        <v/>
      </c>
      <c r="M3574" s="10" t="n"/>
    </row>
    <row r="3575">
      <c r="B3575" s="7" t="n">
        <v>3573</v>
      </c>
      <c r="C3575" t="inlineStr">
        <is>
          <t>Kỹ Sư Cơ Điện</t>
        </is>
      </c>
      <c r="D3575" t="inlineStr">
        <is>
          <t>Công Ty Cổ Phần Sữa Việt Nam (Vinamilk)</t>
        </is>
      </c>
      <c r="E3575" t="inlineStr">
        <is>
          <t>Lương:Cạnh tranh</t>
        </is>
      </c>
      <c r="F3575" t="inlineStr">
        <is>
          <t>Đà Nẵng</t>
        </is>
      </c>
      <c r="G3575" t="inlineStr">
        <is>
          <t>10-04-2026</t>
        </is>
      </c>
      <c r="H3575" t="inlineStr">
        <is>
          <t>10/04/2026</t>
        </is>
      </c>
      <c r="I3575" t="inlineStr">
        <is>
          <t>17/03/2026</t>
        </is>
      </c>
      <c r="J3575" t="inlineStr">
        <is>
          <t>Thực phẩm &amp; Đồ uống, Cơ khí / Ô tô / Tự động hóa, Điện / Điện tử / Điện lạnh / Điện công nghiệp</t>
        </is>
      </c>
      <c r="K3575" t="inlineStr">
        <is>
          <t>1 - 2 Năm</t>
        </is>
      </c>
      <c r="L3575" s="8">
        <f>HYPERLINK("https://careerviet.vn/vi/tim-viec-lam/ky-su-co-dien.35C6AB99.html","Xem chi tiết")</f>
        <v/>
      </c>
    </row>
    <row r="3576">
      <c r="B3576" s="9" t="n">
        <v>3574</v>
      </c>
      <c r="C3576" s="10" t="inlineStr">
        <is>
          <t>Chỉ Huy Trưởng Công Trình Xây Dựng</t>
        </is>
      </c>
      <c r="D3576" s="10" t="inlineStr">
        <is>
          <t>CÔNG TY TNHH HÒA QUẦN</t>
        </is>
      </c>
      <c r="E3576" s="10" t="inlineStr">
        <is>
          <t>Lương:Cạnh tranh</t>
        </is>
      </c>
      <c r="F3576" s="10" t="inlineStr">
        <is>
          <t>Hà Nội</t>
        </is>
      </c>
      <c r="G3576" s="10" t="inlineStr">
        <is>
          <t>04-04-2026</t>
        </is>
      </c>
      <c r="H3576" s="10" t="inlineStr">
        <is>
          <t>04/04/2026</t>
        </is>
      </c>
      <c r="I3576" s="10" t="inlineStr">
        <is>
          <t>17/03/2026</t>
        </is>
      </c>
      <c r="J3576" s="10" t="inlineStr">
        <is>
          <t>Xây dựng, Quản lý điều hành, Bất động sản</t>
        </is>
      </c>
      <c r="K3576" s="10" t="inlineStr">
        <is>
          <t>3 - 5 Năm</t>
        </is>
      </c>
      <c r="L3576" s="11">
        <f>HYPERLINK("https://careerviet.vn/vi/tim-viec-lam/chi-huy-truong-cong-trinh-xay-dung.35C6ACA9.html","Xem chi tiết")</f>
        <v/>
      </c>
      <c r="M3576" s="10" t="n"/>
    </row>
    <row r="3577">
      <c r="B3577" s="7" t="n">
        <v>3575</v>
      </c>
      <c r="C3577" t="inlineStr">
        <is>
          <t>Nhân viên vận hành máy</t>
        </is>
      </c>
      <c r="D3577" t="inlineStr">
        <is>
          <t>Công Ty Cổ Phần Sữa Việt Nam (Vinamilk)</t>
        </is>
      </c>
      <c r="E3577" t="inlineStr">
        <is>
          <t>Lương:Cạnh tranh</t>
        </is>
      </c>
      <c r="F3577" t="inlineStr">
        <is>
          <t>Đà Nẵng</t>
        </is>
      </c>
      <c r="G3577" t="inlineStr">
        <is>
          <t>10-04-2026</t>
        </is>
      </c>
      <c r="H3577" t="inlineStr">
        <is>
          <t>10/04/2026</t>
        </is>
      </c>
      <c r="I3577" t="inlineStr">
        <is>
          <t>17/03/2026</t>
        </is>
      </c>
      <c r="J3577" t="inlineStr">
        <is>
          <t>Cơ khí / Ô tô / Tự động hóa, Bảo trì / Sửa chữa, Sản xuất / Vận hành sản xuất</t>
        </is>
      </c>
      <c r="K3577" t="inlineStr">
        <is>
          <t>1 - 2 Năm</t>
        </is>
      </c>
      <c r="L3577" s="8">
        <f>HYPERLINK("https://careerviet.vn/vi/tim-viec-lam/nhan-vien-van-hanh-may.35C6AB95.html","Xem chi tiết")</f>
        <v/>
      </c>
    </row>
    <row r="3578">
      <c r="B3578" s="9" t="n">
        <v>3576</v>
      </c>
      <c r="C3578" s="10" t="inlineStr">
        <is>
          <t>Chuyên Viên Phân Tích Tài Chính FP&amp;A</t>
        </is>
      </c>
      <c r="D3578" s="10" t="inlineStr">
        <is>
          <t>CÔNG TY CP TẬP ĐOÀN ĐẦU TƯ HOÀNG GIA VIỆT NAM</t>
        </is>
      </c>
      <c r="E3578" s="10" t="inlineStr">
        <is>
          <t>Lương:Cạnh tranh</t>
        </is>
      </c>
      <c r="F3578" s="10" t="inlineStr">
        <is>
          <t>Hồ Chí Minh</t>
        </is>
      </c>
      <c r="G3578" s="10" t="inlineStr">
        <is>
          <t>30-04-2026</t>
        </is>
      </c>
      <c r="H3578" s="10" t="inlineStr">
        <is>
          <t>30/04/2026</t>
        </is>
      </c>
      <c r="I3578" s="10" t="inlineStr">
        <is>
          <t>17/03/2026</t>
        </is>
      </c>
      <c r="J3578" s="10" t="inlineStr">
        <is>
          <t>Kế toán / Kiểm toán, Tài chính / Đầu tư</t>
        </is>
      </c>
      <c r="K3578" s="10" t="inlineStr">
        <is>
          <t>3 - 5 Năm</t>
        </is>
      </c>
      <c r="L3578" s="11">
        <f>HYPERLINK("https://careerviet.vn/vi/tim-viec-lam/chuyen-vien-phan-tich-tai-chinh-fp-a.35C6AC80.html","Xem chi tiết")</f>
        <v/>
      </c>
      <c r="M3578" s="10" t="n"/>
    </row>
    <row r="3579">
      <c r="B3579" s="7" t="n">
        <v>3577</v>
      </c>
      <c r="C3579" t="inlineStr">
        <is>
          <t>Kế toán Nội bộ</t>
        </is>
      </c>
      <c r="D3579" t="inlineStr">
        <is>
          <t>Công ty TNHH SXTM XNK Minh Hiền</t>
        </is>
      </c>
      <c r="E3579" t="inlineStr">
        <is>
          <t>Lương:10 Tr - 12 Tr VND</t>
        </is>
      </c>
      <c r="F3579" t="inlineStr">
        <is>
          <t>Hồ Chí Minh</t>
        </is>
      </c>
      <c r="G3579" t="inlineStr">
        <is>
          <t>04-04-2026</t>
        </is>
      </c>
      <c r="H3579" t="inlineStr">
        <is>
          <t>04/04/2026</t>
        </is>
      </c>
      <c r="I3579" t="inlineStr">
        <is>
          <t>17/03/2026</t>
        </is>
      </c>
      <c r="J3579" t="inlineStr">
        <is>
          <t>Hành chính / Thư ký, Kế toán / Kiểm toán, Tài chính / Đầu tư</t>
        </is>
      </c>
      <c r="K3579" t="inlineStr">
        <is>
          <t>1 - 2 Năm</t>
        </is>
      </c>
      <c r="L3579" s="8">
        <f>HYPERLINK("https://careerviet.vn/vi/tim-viec-lam/ke-toan-noi-bo.35C6AC5A.html","Xem chi tiết")</f>
        <v/>
      </c>
    </row>
    <row r="3580">
      <c r="B3580" s="9" t="n">
        <v>3578</v>
      </c>
      <c r="C3580" s="10" t="inlineStr">
        <is>
          <t>Air Terminal Operation Staff</t>
        </is>
      </c>
      <c r="D3580" s="10" t="inlineStr">
        <is>
          <t>CÔNG TY TNHH TIẾP VẬN QUỐC TẾ APEX (VIỆT NAM)</t>
        </is>
      </c>
      <c r="E3580" s="10" t="inlineStr">
        <is>
          <t>Lương:Cạnh tranh</t>
        </is>
      </c>
      <c r="F3580" s="10" t="inlineStr">
        <is>
          <t>Hồ Chí Minh</t>
        </is>
      </c>
      <c r="G3580" s="10" t="inlineStr">
        <is>
          <t>31-03-2026</t>
        </is>
      </c>
      <c r="H3580" s="10" t="inlineStr">
        <is>
          <t>31/03/2026</t>
        </is>
      </c>
      <c r="I3580" s="10" t="inlineStr">
        <is>
          <t>17/03/2026</t>
        </is>
      </c>
      <c r="J3580" s="10" t="inlineStr">
        <is>
          <t>Vận chuyển / Giao nhận / Kho vận</t>
        </is>
      </c>
      <c r="K3580" s="10" t="inlineStr">
        <is>
          <t>2 - 5 Năm</t>
        </is>
      </c>
      <c r="L3580" s="11">
        <f>HYPERLINK("https://careerviet.vn/vi/tim-viec-lam/air-terminal-operation-staff.35C6ABF3.html","Xem chi tiết")</f>
        <v/>
      </c>
      <c r="M3580" s="10" t="n"/>
    </row>
    <row r="3581">
      <c r="B3581" s="7" t="n">
        <v>3579</v>
      </c>
      <c r="C3581" t="inlineStr">
        <is>
          <t>Kế toán tổng hợp (Mảng  xây dựng - cơ điện - cầu đường)</t>
        </is>
      </c>
      <c r="D3581" t="inlineStr">
        <is>
          <t>CÔNG TY CỔ PHẦN ĐIỆN VÀ XÂY DỰNG NAM VIỆT</t>
        </is>
      </c>
      <c r="E3581" t="inlineStr">
        <is>
          <t>Lương:12 Tr - 20 Tr VND</t>
        </is>
      </c>
      <c r="F3581" t="inlineStr">
        <is>
          <t>Hồ Chí Minh</t>
        </is>
      </c>
      <c r="G3581" t="inlineStr">
        <is>
          <t>02-04-2026</t>
        </is>
      </c>
      <c r="H3581" t="inlineStr">
        <is>
          <t>02/04/2026</t>
        </is>
      </c>
      <c r="I3581" t="inlineStr">
        <is>
          <t>17/03/2026</t>
        </is>
      </c>
      <c r="J3581" t="inlineStr">
        <is>
          <t>Kế toán / Kiểm toán, Xây dựng, Tài chính / Đầu tư</t>
        </is>
      </c>
      <c r="K3581" t="inlineStr">
        <is>
          <t>N/A</t>
        </is>
      </c>
      <c r="L3581" s="8">
        <f>HYPERLINK("https://careerviet.vn/vi/tim-viec-lam/ke-toan-tong-hop-mang-xay-dung-co-dien-cau-duong.35C6AC30.html","Xem chi tiết")</f>
        <v/>
      </c>
    </row>
    <row r="3582">
      <c r="B3582" s="9" t="n">
        <v>3580</v>
      </c>
      <c r="C3582" s="10" t="inlineStr">
        <is>
          <t>Phó Giám đốc Chi nhánh phụ trách mảng KHDN - Chi nhánh Đăk Nông, Gia Lai</t>
        </is>
      </c>
      <c r="D3582" s="10" t="inlineStr">
        <is>
          <t>Ngân hàng TMCP Phát triển TP.HCM (HDBank)</t>
        </is>
      </c>
      <c r="E3582" s="10" t="inlineStr">
        <is>
          <t>Lương:45 Tr - 65 Tr VND</t>
        </is>
      </c>
      <c r="F3582" s="10" t="inlineStr">
        <is>
          <t>Dak NôngGia Lai</t>
        </is>
      </c>
      <c r="G3582" s="10" t="inlineStr">
        <is>
          <t>04-04-2026</t>
        </is>
      </c>
      <c r="H3582" s="10" t="inlineStr">
        <is>
          <t>04/04/2026</t>
        </is>
      </c>
      <c r="I3582" s="10" t="inlineStr">
        <is>
          <t>17/03/2026</t>
        </is>
      </c>
      <c r="J3582" s="10" t="inlineStr">
        <is>
          <t>Ngân hàng</t>
        </is>
      </c>
      <c r="K3582" s="10" t="inlineStr">
        <is>
          <t>3 - 5 Năm</t>
        </is>
      </c>
      <c r="L3582" s="11">
        <f>HYPERLINK("https://careerviet.vn/vi/tim-viec-lam/pho-giam-doc-chi-nhanh-phu-trach-mang-khdn-chi-nhanh-dak-nong-gia-lai.35C6AB5C.html","Xem chi tiết")</f>
        <v/>
      </c>
      <c r="M3582" s="10" t="n"/>
    </row>
    <row r="3583">
      <c r="B3583" s="7" t="n">
        <v>3581</v>
      </c>
      <c r="C3583" t="inlineStr">
        <is>
          <t>KỸ SƯ HIỆN TRƯỜNG</t>
        </is>
      </c>
      <c r="D3583" t="inlineStr">
        <is>
          <t>Công ty Cổ Phần KAIKO</t>
        </is>
      </c>
      <c r="E3583" t="inlineStr">
        <is>
          <t>Lương:15 Tr - 25 Tr VND</t>
        </is>
      </c>
      <c r="F3583" t="inlineStr">
        <is>
          <t>Hà Nội</t>
        </is>
      </c>
      <c r="G3583" t="inlineStr">
        <is>
          <t>04-04-2026</t>
        </is>
      </c>
      <c r="H3583" t="inlineStr">
        <is>
          <t>04/04/2026</t>
        </is>
      </c>
      <c r="I3583" t="inlineStr">
        <is>
          <t>17/03/2026</t>
        </is>
      </c>
      <c r="J3583" t="inlineStr">
        <is>
          <t>Kiến trúc, Xây dựng, Bất động sản</t>
        </is>
      </c>
      <c r="K3583" t="inlineStr">
        <is>
          <t>Chưa có kinh nghiệm</t>
        </is>
      </c>
      <c r="L3583" s="8">
        <f>HYPERLINK("https://careerviet.vn/vi/tim-viec-lam/ky-su-hien-truong.35C6AD5E.html","Xem chi tiết")</f>
        <v/>
      </c>
    </row>
    <row r="3584">
      <c r="B3584" s="9" t="n">
        <v>3582</v>
      </c>
      <c r="C3584" s="10" t="inlineStr">
        <is>
          <t>Trưởng phòng khách hàng doanh nghiệp - Chi nhánh Cà Mau, Trà Vinh</t>
        </is>
      </c>
      <c r="D3584" s="10" t="inlineStr">
        <is>
          <t>Ngân hàng TMCP Phát triển TP.HCM (HDBank)</t>
        </is>
      </c>
      <c r="E3584" s="10" t="inlineStr">
        <is>
          <t>Lương:34 Tr - 47 Tr VND</t>
        </is>
      </c>
      <c r="F3584" s="10" t="inlineStr">
        <is>
          <t>Trà VinhCà Mau</t>
        </is>
      </c>
      <c r="G3584" s="10" t="inlineStr">
        <is>
          <t>04-04-2026</t>
        </is>
      </c>
      <c r="H3584" s="10" t="inlineStr">
        <is>
          <t>04/04/2026</t>
        </is>
      </c>
      <c r="I3584" s="10" t="inlineStr">
        <is>
          <t>17/03/2026</t>
        </is>
      </c>
      <c r="J3584" s="10" t="inlineStr">
        <is>
          <t>Ngân hàng</t>
        </is>
      </c>
      <c r="K3584" s="10" t="inlineStr">
        <is>
          <t>2 - 5 Năm</t>
        </is>
      </c>
      <c r="L3584" s="11">
        <f>HYPERLINK("https://careerviet.vn/vi/tim-viec-lam/truong-phong-khach-hang-doanh-nghiep-chi-nhanh-ca-mau-tra-vinh.35C6AB52.html","Xem chi tiết")</f>
        <v/>
      </c>
      <c r="M3584" s="10" t="n"/>
    </row>
    <row r="3585">
      <c r="B3585" s="7" t="n">
        <v>3583</v>
      </c>
      <c r="C3585" t="inlineStr">
        <is>
          <t>Kỹ sư Quản trị mạng - Network Engineer</t>
        </is>
      </c>
      <c r="D3585" t="inlineStr">
        <is>
          <t>Tổng Công ty Cổ phần Công trình Viettel</t>
        </is>
      </c>
      <c r="E3585" t="inlineStr">
        <is>
          <t>Lương:Cạnh tranh</t>
        </is>
      </c>
      <c r="F3585" t="inlineStr">
        <is>
          <t>Hà Nội</t>
        </is>
      </c>
      <c r="G3585" t="inlineStr">
        <is>
          <t>03-04-2026</t>
        </is>
      </c>
      <c r="H3585" t="inlineStr">
        <is>
          <t>03/04/2026</t>
        </is>
      </c>
      <c r="I3585" t="inlineStr">
        <is>
          <t>17/03/2026</t>
        </is>
      </c>
      <c r="J3585" t="inlineStr">
        <is>
          <t>CNTT - Phần mềm, CNTT - Phần cứng / Mạng</t>
        </is>
      </c>
      <c r="K3585" t="inlineStr">
        <is>
          <t>2 - 4 Năm</t>
        </is>
      </c>
      <c r="L3585" s="8">
        <f>HYPERLINK("https://careerviet.vn/vi/tim-viec-lam/ky-su-quan-tri-mang-network-engineer.35C6AB4A.html","Xem chi tiết")</f>
        <v/>
      </c>
    </row>
    <row r="3586">
      <c r="B3586" s="9" t="n">
        <v>3584</v>
      </c>
      <c r="C3586" s="10" t="inlineStr">
        <is>
          <t>Phó Giám đốc Chi nhánh phụ trách mảng KHDN - Khu vực Đồng Nai</t>
        </is>
      </c>
      <c r="D3586" s="10" t="inlineStr">
        <is>
          <t>Ngân hàng TMCP Phát triển TP.HCM (HDBank)</t>
        </is>
      </c>
      <c r="E3586" s="10" t="inlineStr">
        <is>
          <t>Lương:45 Tr - 65 Tr VND</t>
        </is>
      </c>
      <c r="F3586" s="10" t="inlineStr">
        <is>
          <t>Đồng Nai</t>
        </is>
      </c>
      <c r="G3586" s="10" t="inlineStr">
        <is>
          <t>04-04-2026</t>
        </is>
      </c>
      <c r="H3586" s="10" t="inlineStr">
        <is>
          <t>04/04/2026</t>
        </is>
      </c>
      <c r="I3586" s="10" t="inlineStr">
        <is>
          <t>17/03/2026</t>
        </is>
      </c>
      <c r="J3586" s="10" t="inlineStr">
        <is>
          <t>Ngân hàng</t>
        </is>
      </c>
      <c r="K3586" s="10" t="inlineStr">
        <is>
          <t>3 - 5 Năm</t>
        </is>
      </c>
      <c r="L3586" s="11">
        <f>HYPERLINK("https://careerviet.vn/vi/tim-viec-lam/pho-giam-doc-chi-nhanh-phu-trach-mang-khdn-khu-vuc-dong-nai.35C6AB61.html","Xem chi tiết")</f>
        <v/>
      </c>
      <c r="M3586" s="10" t="n"/>
    </row>
    <row r="3587">
      <c r="B3587" s="7" t="n">
        <v>3585</v>
      </c>
      <c r="C3587" t="inlineStr">
        <is>
          <t>Chuyên viên kiểm soát nội bộ - Mảng Dự án</t>
        </is>
      </c>
      <c r="D3587" t="inlineStr">
        <is>
          <t>CÔNG TY CỔ PHẦN TẬP ĐOÀN CƠ KHÍ CÔNG NGHỆ CAO SIBA</t>
        </is>
      </c>
      <c r="E3587" t="inlineStr">
        <is>
          <t>Lương:Cạnh tranh</t>
        </is>
      </c>
      <c r="F3587" t="inlineStr">
        <is>
          <t>Hồ Chí Minh</t>
        </is>
      </c>
      <c r="G3587" t="inlineStr">
        <is>
          <t>04-04-2026</t>
        </is>
      </c>
      <c r="H3587" t="inlineStr">
        <is>
          <t>04/04/2026</t>
        </is>
      </c>
      <c r="I3587" t="inlineStr">
        <is>
          <t>17/03/2026</t>
        </is>
      </c>
      <c r="J3587" t="inlineStr">
        <is>
          <t>Xây dựng, Kế toán / Kiểm toán</t>
        </is>
      </c>
      <c r="K3587" t="inlineStr">
        <is>
          <t>Chưa có kinh nghiệm</t>
        </is>
      </c>
      <c r="L3587" s="8">
        <f>HYPERLINK("https://careerviet.vn/vi/tim-viec-lam/chuyen-vien-kiem-soat-noi-bo-mang-du-an.35C6AC18.html","Xem chi tiết")</f>
        <v/>
      </c>
    </row>
    <row r="3588">
      <c r="B3588" s="9" t="n">
        <v>3586</v>
      </c>
      <c r="C3588" s="10" t="inlineStr">
        <is>
          <t>Kế toán thuế</t>
        </is>
      </c>
      <c r="D3588" s="10" t="inlineStr">
        <is>
          <t>Công ty TNHH Vạn Niên</t>
        </is>
      </c>
      <c r="E3588" s="10" t="inlineStr">
        <is>
          <t>Lương:15 Tr - 18 Tr VND</t>
        </is>
      </c>
      <c r="F3588" s="10" t="inlineStr">
        <is>
          <t>Hà Nội</t>
        </is>
      </c>
      <c r="G3588" s="10" t="inlineStr">
        <is>
          <t>04-04-2026</t>
        </is>
      </c>
      <c r="H3588" s="10" t="inlineStr">
        <is>
          <t>04/04/2026</t>
        </is>
      </c>
      <c r="I3588" s="10" t="inlineStr">
        <is>
          <t>17/03/2026</t>
        </is>
      </c>
      <c r="J3588" s="10" t="inlineStr">
        <is>
          <t>Kế toán / Kiểm toán</t>
        </is>
      </c>
      <c r="K3588" s="10" t="inlineStr">
        <is>
          <t>Lên đến 2 Năm</t>
        </is>
      </c>
      <c r="L3588" s="11">
        <f>HYPERLINK("https://careerviet.vn/vi/tim-viec-lam/ke-toan-thue.35C6AB4F.html","Xem chi tiết")</f>
        <v/>
      </c>
      <c r="M3588" s="10" t="n"/>
    </row>
    <row r="3589">
      <c r="B3589" s="7" t="n">
        <v>3587</v>
      </c>
      <c r="C3589" t="inlineStr">
        <is>
          <t>CV Phát triển Kinh doanh Quốc tế xuất nhập khẩu (Tiếng Anh tốt)</t>
        </is>
      </c>
      <c r="D3589" t="inlineStr">
        <is>
          <t>Tổng Công ty Cổ phần Công trình Viettel</t>
        </is>
      </c>
      <c r="E3589" t="inlineStr">
        <is>
          <t>Lương:Cạnh tranh</t>
        </is>
      </c>
      <c r="F3589" t="inlineStr">
        <is>
          <t>Hà Nội</t>
        </is>
      </c>
      <c r="G3589" t="inlineStr">
        <is>
          <t>03-04-2026</t>
        </is>
      </c>
      <c r="H3589" t="inlineStr">
        <is>
          <t>03/04/2026</t>
        </is>
      </c>
      <c r="I3589" t="inlineStr">
        <is>
          <t>17/03/2026</t>
        </is>
      </c>
      <c r="J3589" t="inlineStr">
        <is>
          <t>Xuất nhập khẩu, Bán hàng / Kinh doanh, Điện / Điện tử / Điện lạnh / Điện công nghiệp</t>
        </is>
      </c>
      <c r="K3589" t="inlineStr">
        <is>
          <t>2 - 4 Năm</t>
        </is>
      </c>
      <c r="L3589" s="8">
        <f>HYPERLINK("https://careerviet.vn/vi/tim-viec-lam/cv-phat-trien-kinh-doanh-quoc-te-xuat-nhap-khau-tieng-anh-tot.35C6AB90.html","Xem chi tiết")</f>
        <v/>
      </c>
    </row>
    <row r="3590">
      <c r="B3590" s="9" t="n">
        <v>3588</v>
      </c>
      <c r="C3590" s="10" t="inlineStr">
        <is>
          <t>Giám Sát Pháp Chế (Tiếng Trung/Anh) - Legal Supervisor</t>
        </is>
      </c>
      <c r="D3590" s="10" t="inlineStr">
        <is>
          <t>CÔNG TY TNHH YIMI J&amp;T CARGO TRANSPORTATION</t>
        </is>
      </c>
      <c r="E3590" s="10" t="inlineStr">
        <is>
          <t>Lương:20 Tr - 30 Tr VND</t>
        </is>
      </c>
      <c r="F3590" s="10" t="inlineStr">
        <is>
          <t>Hà Nội</t>
        </is>
      </c>
      <c r="G3590" s="10" t="inlineStr">
        <is>
          <t>01-04-2026</t>
        </is>
      </c>
      <c r="H3590" s="10" t="inlineStr">
        <is>
          <t>01/04/2026</t>
        </is>
      </c>
      <c r="I3590" s="10" t="inlineStr">
        <is>
          <t>17/03/2026</t>
        </is>
      </c>
      <c r="J3590" s="10" t="inlineStr">
        <is>
          <t>Luật / Pháp lý, Vận chuyển / Giao nhận / Kho vận</t>
        </is>
      </c>
      <c r="K3590" s="10" t="inlineStr">
        <is>
          <t>3 - 7 Năm</t>
        </is>
      </c>
      <c r="L3590" s="11">
        <f>HYPERLINK("https://careerviet.vn/vi/tim-viec-lam/giam-sat-phap-che-tieng-trung-anh-legal-supervisor.35C6ABAB.html","Xem chi tiết")</f>
        <v/>
      </c>
      <c r="M3590" s="10" t="n"/>
    </row>
    <row r="3591">
      <c r="B3591" s="7" t="n">
        <v>3589</v>
      </c>
      <c r="C3591" t="inlineStr">
        <is>
          <t>Nhân viên kinh doanh (Được cung cấp DATA)</t>
        </is>
      </c>
      <c r="D3591" t="inlineStr">
        <is>
          <t>CÔNG TY TNHH ĐẦU TƯ Y TẾ QUỐC TẾ DND – SÀI GÒN</t>
        </is>
      </c>
      <c r="E3591" t="inlineStr">
        <is>
          <t>Lương:10 Tr - 30 Tr VND</t>
        </is>
      </c>
      <c r="F3591" t="inlineStr">
        <is>
          <t>Hà Nội</t>
        </is>
      </c>
      <c r="G3591" t="inlineStr">
        <is>
          <t>31-03-2026</t>
        </is>
      </c>
      <c r="H3591" t="inlineStr">
        <is>
          <t>31/03/2026</t>
        </is>
      </c>
      <c r="I3591" t="inlineStr">
        <is>
          <t>17/03/2026</t>
        </is>
      </c>
      <c r="J3591" t="inlineStr">
        <is>
          <t>Bán lẻ / Bán sỉ, Bán hàng / Kinh doanh, Y tế / Chăm sóc sức khỏe / Thẩm mỹ / Làm đẹp</t>
        </is>
      </c>
      <c r="K3591" t="inlineStr">
        <is>
          <t>Chưa có kinh nghiệm</t>
        </is>
      </c>
      <c r="L3591" s="8">
        <f>HYPERLINK("https://careerviet.vn/vi/tim-viec-lam/nhan-vien-kinh-doanh-duoc-cung-cap-data.35C6AB42.html","Xem chi tiết")</f>
        <v/>
      </c>
    </row>
    <row r="3592">
      <c r="B3592" s="9" t="n">
        <v>3590</v>
      </c>
      <c r="C3592" s="10" t="inlineStr">
        <is>
          <t>Kế toán viên</t>
        </is>
      </c>
      <c r="D3592" s="10" t="inlineStr">
        <is>
          <t>Công ty TNHH TMDV BIGMART</t>
        </is>
      </c>
      <c r="E3592" s="10" t="inlineStr">
        <is>
          <t>Lương:9 Tr - 11 Tr VND</t>
        </is>
      </c>
      <c r="F3592" s="10" t="inlineStr">
        <is>
          <t>Hồ Chí Minh</t>
        </is>
      </c>
      <c r="G3592" s="10" t="inlineStr">
        <is>
          <t>31-03-2026</t>
        </is>
      </c>
      <c r="H3592" s="10" t="inlineStr">
        <is>
          <t>31/03/2026</t>
        </is>
      </c>
      <c r="I3592" s="10" t="inlineStr">
        <is>
          <t>17/03/2026</t>
        </is>
      </c>
      <c r="J3592" s="10" t="inlineStr">
        <is>
          <t>Bán lẻ / Bán sỉ</t>
        </is>
      </c>
      <c r="K3592" s="10" t="inlineStr">
        <is>
          <t>N/A</t>
        </is>
      </c>
      <c r="L3592" s="11">
        <f>HYPERLINK("https://careerviet.vn/vi/tim-viec-lam/ke-toan-vien.35C6ABB5.html","Xem chi tiết")</f>
        <v/>
      </c>
      <c r="M3592" s="10" t="n"/>
    </row>
    <row r="3593">
      <c r="B3593" s="7" t="n">
        <v>3591</v>
      </c>
      <c r="C3593" t="inlineStr">
        <is>
          <t>Product Manager (Medical Device - Hospital Automation)</t>
        </is>
      </c>
      <c r="D3593" t="inlineStr">
        <is>
          <t>Công Ty Cổ Phần Kỹ Thuật Và Thiết Bị Y Tế Sài Gòn (SAGOMED)</t>
        </is>
      </c>
      <c r="E3593" t="inlineStr">
        <is>
          <t>Lương:Cạnh tranh</t>
        </is>
      </c>
      <c r="F3593" t="inlineStr">
        <is>
          <t>Hồ Chí Minh</t>
        </is>
      </c>
      <c r="G3593" t="inlineStr">
        <is>
          <t>30-04-2026</t>
        </is>
      </c>
      <c r="H3593" t="inlineStr">
        <is>
          <t>30/04/2026</t>
        </is>
      </c>
      <c r="I3593" t="inlineStr">
        <is>
          <t>17/03/2026</t>
        </is>
      </c>
      <c r="J3593" t="inlineStr">
        <is>
          <t>Y tế / Chăm sóc sức khỏe / Thẩm mỹ / Làm đẹp, Điện / Điện tử / Điện lạnh / Điện công nghiệp, Công nghệ sinh học</t>
        </is>
      </c>
      <c r="K3593" t="inlineStr">
        <is>
          <t>3 - 5 Năm</t>
        </is>
      </c>
      <c r="L3593" s="8">
        <f>HYPERLINK("https://careerviet.vn/vi/tim-viec-lam/product-manager-medical-device-hospital-automation.35C6ABB2.html","Xem chi tiết")</f>
        <v/>
      </c>
    </row>
    <row r="3594">
      <c r="B3594" s="9" t="n">
        <v>3592</v>
      </c>
      <c r="C3594" s="10" t="inlineStr">
        <is>
          <t>NHÂN VIÊN KINH DOANH</t>
        </is>
      </c>
      <c r="D3594" s="10" t="inlineStr">
        <is>
          <t>CÔNG TY TNHH CDS</t>
        </is>
      </c>
      <c r="E3594" s="10" t="inlineStr">
        <is>
          <t>Lương:10 Tr - 25 Tr VND</t>
        </is>
      </c>
      <c r="F3594" s="10" t="inlineStr">
        <is>
          <t>Hồ Chí Minh</t>
        </is>
      </c>
      <c r="G3594" s="10" t="inlineStr">
        <is>
          <t>31-03-2026</t>
        </is>
      </c>
      <c r="H3594" s="10" t="inlineStr">
        <is>
          <t>31/03/2026</t>
        </is>
      </c>
      <c r="I3594" s="10" t="inlineStr">
        <is>
          <t>17/03/2026</t>
        </is>
      </c>
      <c r="J3594" s="10" t="inlineStr">
        <is>
          <t>Bán hàng / Kinh doanh</t>
        </is>
      </c>
      <c r="K3594" s="10" t="inlineStr">
        <is>
          <t>1 - 2 Năm</t>
        </is>
      </c>
      <c r="L3594" s="11">
        <f>HYPERLINK("https://careerviet.vn/vi/tim-viec-lam/nhan-vien-kinh-doanh.35C6AB18.html","Xem chi tiết")</f>
        <v/>
      </c>
      <c r="M3594" s="10" t="n"/>
    </row>
    <row r="3595">
      <c r="B3595" s="7" t="n">
        <v>3593</v>
      </c>
      <c r="C3595" t="inlineStr">
        <is>
          <t>Trưởng Đoàn Tư Vấn Giám Sát</t>
        </is>
      </c>
      <c r="D3595" t="inlineStr">
        <is>
          <t>CÔNG TY CỔ PHẦN ĐẦU TƯ THIÊN ÂN</t>
        </is>
      </c>
      <c r="E3595" t="inlineStr">
        <is>
          <t>Lương:17 Tr - 23 Tr VND</t>
        </is>
      </c>
      <c r="F3595" t="inlineStr">
        <is>
          <t>Bắc Giang</t>
        </is>
      </c>
      <c r="G3595" t="inlineStr">
        <is>
          <t>11-04-2026</t>
        </is>
      </c>
      <c r="H3595" t="inlineStr">
        <is>
          <t>11/04/2026</t>
        </is>
      </c>
      <c r="I3595" t="inlineStr">
        <is>
          <t>17/03/2026</t>
        </is>
      </c>
      <c r="J3595" t="inlineStr">
        <is>
          <t>Kiến trúc, Xây dựng, Bất động sản</t>
        </is>
      </c>
      <c r="K3595" t="inlineStr">
        <is>
          <t>Trên 2 Năm</t>
        </is>
      </c>
      <c r="L3595" s="8">
        <f>HYPERLINK("https://careerviet.vn/vi/tim-viec-lam/truong-doan-tu-van-giam-sat.35C6C07F.html","Xem chi tiết")</f>
        <v/>
      </c>
    </row>
    <row r="3596">
      <c r="B3596" s="9" t="n">
        <v>3594</v>
      </c>
      <c r="C3596" s="10" t="inlineStr">
        <is>
          <t>Trưởng phòng khách hàng cá nhân - Khu vực Đồng Nai</t>
        </is>
      </c>
      <c r="D3596" s="10" t="inlineStr">
        <is>
          <t>Ngân hàng TMCP Phát triển TP.HCM (HDBank)</t>
        </is>
      </c>
      <c r="E3596" s="10" t="inlineStr">
        <is>
          <t>Lương:34 Tr - 43 Tr VND</t>
        </is>
      </c>
      <c r="F3596" s="10" t="inlineStr">
        <is>
          <t>Đồng Nai</t>
        </is>
      </c>
      <c r="G3596" s="10" t="inlineStr">
        <is>
          <t>04-04-2026</t>
        </is>
      </c>
      <c r="H3596" s="10" t="inlineStr">
        <is>
          <t>04/04/2026</t>
        </is>
      </c>
      <c r="I3596" s="10" t="inlineStr">
        <is>
          <t>17/03/2026</t>
        </is>
      </c>
      <c r="J3596" s="10" t="inlineStr">
        <is>
          <t>Ngân hàng</t>
        </is>
      </c>
      <c r="K3596" s="10" t="inlineStr">
        <is>
          <t>2 - 5 Năm</t>
        </is>
      </c>
      <c r="L3596" s="11">
        <f>HYPERLINK("https://careerviet.vn/vi/tim-viec-lam/truong-phong-khach-hang-ca-nhan-khu-vuc-dong-nai.35C6AB6E.html","Xem chi tiết")</f>
        <v/>
      </c>
      <c r="M3596" s="10" t="n"/>
    </row>
    <row r="3597">
      <c r="B3597" s="7" t="n">
        <v>3595</v>
      </c>
      <c r="C3597" t="inlineStr">
        <is>
          <t>General Accountant</t>
        </is>
      </c>
      <c r="D3597" t="inlineStr">
        <is>
          <t>CÔNG TY TRÁCH NHIỆM HỮU HẠN FULLERTON HEALTH VIỆT NAM</t>
        </is>
      </c>
      <c r="E3597" t="inlineStr">
        <is>
          <t>Lương:Cạnh tranh</t>
        </is>
      </c>
      <c r="F3597" t="inlineStr">
        <is>
          <t>Hồ Chí Minh</t>
        </is>
      </c>
      <c r="G3597" t="inlineStr">
        <is>
          <t>03-04-2026</t>
        </is>
      </c>
      <c r="H3597" t="inlineStr">
        <is>
          <t>03/04/2026</t>
        </is>
      </c>
      <c r="I3597" t="inlineStr">
        <is>
          <t>17/03/2026</t>
        </is>
      </c>
      <c r="J3597" t="inlineStr">
        <is>
          <t>Kế toán / Kiểm toán, Bảo hiểm, Y tế / Chăm sóc sức khỏe / Thẩm mỹ / Làm đẹp</t>
        </is>
      </c>
      <c r="K3597" t="inlineStr">
        <is>
          <t>2 - 5 Năm</t>
        </is>
      </c>
      <c r="L3597" s="8">
        <f>HYPERLINK("https://careerviet.vn/vi/tim-viec-lam/general-accountant.35C6AB8C.html","Xem chi tiết")</f>
        <v/>
      </c>
    </row>
    <row r="3598">
      <c r="B3598" s="9" t="n">
        <v>3596</v>
      </c>
      <c r="C3598" s="10" t="inlineStr">
        <is>
          <t>Trưởng phòng Thiết kế Kiến trúc - Nội thất</t>
        </is>
      </c>
      <c r="D3598" s="10" t="inlineStr">
        <is>
          <t>Công ty Cổ phần Xhome Cần Thơ</t>
        </is>
      </c>
      <c r="E3598" s="10" t="inlineStr">
        <is>
          <t>Lương:15 Tr - 25 Tr VND</t>
        </is>
      </c>
      <c r="F3598" s="10" t="inlineStr">
        <is>
          <t>Cần ThơKiên Giang</t>
        </is>
      </c>
      <c r="G3598" s="10" t="inlineStr">
        <is>
          <t>08-04-2026</t>
        </is>
      </c>
      <c r="H3598" s="10" t="inlineStr">
        <is>
          <t>08/04/2026</t>
        </is>
      </c>
      <c r="I3598" s="10" t="inlineStr">
        <is>
          <t>17/03/2026</t>
        </is>
      </c>
      <c r="J3598" s="10" t="inlineStr">
        <is>
          <t>Kiến trúc, Xây dựng, Nội ngoại thất</t>
        </is>
      </c>
      <c r="K3598" s="10" t="inlineStr">
        <is>
          <t>3 - 5 Năm</t>
        </is>
      </c>
      <c r="L3598" s="11">
        <f>HYPERLINK("https://careerviet.vn/vi/tim-viec-lam/truong-phong-thiet-ke-kien-truc-noi-that.35C64EB4.html","Xem chi tiết")</f>
        <v/>
      </c>
      <c r="M3598" s="10" t="n"/>
    </row>
    <row r="3599">
      <c r="B3599" s="7" t="n">
        <v>3597</v>
      </c>
      <c r="C3599" t="inlineStr">
        <is>
          <t>Giám Đốc Quản Lý Khách Hàng Ưu Tiên - PRM Khu vực HCM</t>
        </is>
      </c>
      <c r="D3599" t="inlineStr">
        <is>
          <t>Ngân Hàng TMCP Quốc Tế Việt Nam</t>
        </is>
      </c>
      <c r="E3599" t="inlineStr">
        <is>
          <t>Lương:20 Tr - 35 Tr VND</t>
        </is>
      </c>
      <c r="F3599" t="inlineStr">
        <is>
          <t>Hồ Chí Minh</t>
        </is>
      </c>
      <c r="G3599" t="inlineStr">
        <is>
          <t>08-04-2026</t>
        </is>
      </c>
      <c r="H3599" t="inlineStr">
        <is>
          <t>08/04/2026</t>
        </is>
      </c>
      <c r="I3599" t="inlineStr">
        <is>
          <t>17/03/2026</t>
        </is>
      </c>
      <c r="J3599" t="inlineStr">
        <is>
          <t>Bán hàng / Kinh doanh, Ngân hàng, Bất động sản</t>
        </is>
      </c>
      <c r="K3599" t="inlineStr">
        <is>
          <t>Lên đến 2 Năm</t>
        </is>
      </c>
      <c r="L3599" s="8">
        <f>HYPERLINK("https://careerviet.vn/vi/tim-viec-lam/giam-doc-quan-ly-khach-hang-uu-tien-prm-khu-vuc-hcm.35C6500F.html","Xem chi tiết")</f>
        <v/>
      </c>
    </row>
    <row r="3600">
      <c r="B3600" s="9" t="n">
        <v>3598</v>
      </c>
      <c r="C3600" s="10" t="inlineStr">
        <is>
          <t>Senior Business Developer - Northern</t>
        </is>
      </c>
      <c r="D3600" s="10" t="inlineStr">
        <is>
          <t>Blum Vietnam Co., Ltd</t>
        </is>
      </c>
      <c r="E3600" s="10" t="inlineStr">
        <is>
          <t>Lương:Cạnh tranh</t>
        </is>
      </c>
      <c r="F3600" s="10" t="inlineStr">
        <is>
          <t>Hà Nội</t>
        </is>
      </c>
      <c r="G3600" s="10" t="inlineStr">
        <is>
          <t>08-04-2026</t>
        </is>
      </c>
      <c r="H3600" s="10" t="inlineStr">
        <is>
          <t>08/04/2026</t>
        </is>
      </c>
      <c r="I3600" s="10" t="inlineStr">
        <is>
          <t>17/03/2026</t>
        </is>
      </c>
      <c r="J3600" s="10" t="inlineStr">
        <is>
          <t>Bán lẻ / Bán sỉ, Bán Hàng Kỹ Thuật, Đồ gỗ</t>
        </is>
      </c>
      <c r="K3600" s="10" t="inlineStr">
        <is>
          <t>Trên 3 Năm</t>
        </is>
      </c>
      <c r="L3600" s="11">
        <f>HYPERLINK("https://careerviet.vn/vi/tim-viec-lam/senior-business-developer-northern.35C64FDC.html","Xem chi tiết")</f>
        <v/>
      </c>
      <c r="M3600" s="10" t="n"/>
    </row>
    <row r="3601">
      <c r="B3601" s="7" t="n">
        <v>3599</v>
      </c>
      <c r="C3601" t="inlineStr">
        <is>
          <t>Kỹ Thuật Viên Bảo Trì Cơ Điện</t>
        </is>
      </c>
      <c r="D3601" t="inlineStr">
        <is>
          <t>Công Ty Cổ Phần ZME</t>
        </is>
      </c>
      <c r="E3601" t="inlineStr">
        <is>
          <t>Lương:10 Tr - 16 Tr VND</t>
        </is>
      </c>
      <c r="F3601" t="inlineStr">
        <is>
          <t>Hà Nội</t>
        </is>
      </c>
      <c r="G3601" t="inlineStr">
        <is>
          <t>06-05-2026</t>
        </is>
      </c>
      <c r="H3601" t="inlineStr">
        <is>
          <t>06/05/2026</t>
        </is>
      </c>
      <c r="I3601" t="inlineStr">
        <is>
          <t>17/03/2026</t>
        </is>
      </c>
      <c r="J3601" t="inlineStr">
        <is>
          <t>Điện / Điện tử / Điện lạnh / Điện công nghiệp, Bảo trì / Sửa chữa</t>
        </is>
      </c>
      <c r="K3601" t="inlineStr">
        <is>
          <t>1 - 2 Năm</t>
        </is>
      </c>
      <c r="L3601" s="8">
        <f>HYPERLINK("https://careerviet.vn/vi/tim-viec-lam/ky-thuat-vien-bao-tri-co-dien.35C6AB9C.html","Xem chi tiết")</f>
        <v/>
      </c>
    </row>
    <row r="3602">
      <c r="B3602" s="9" t="n">
        <v>3600</v>
      </c>
      <c r="C3602" s="10" t="inlineStr">
        <is>
          <t>Nhân viên thiết kế truyền thông</t>
        </is>
      </c>
      <c r="D3602" s="10" t="inlineStr">
        <is>
          <t>Công Ty TNHH Sunjin Vina</t>
        </is>
      </c>
      <c r="E3602" s="10" t="inlineStr">
        <is>
          <t>Lương:12 Tr - 18 Tr VND</t>
        </is>
      </c>
      <c r="F3602" s="10" t="inlineStr">
        <is>
          <t>Hồ Chí Minh</t>
        </is>
      </c>
      <c r="G3602" s="10" t="inlineStr">
        <is>
          <t>31-03-2026</t>
        </is>
      </c>
      <c r="H3602" s="10" t="inlineStr">
        <is>
          <t>31/03/2026</t>
        </is>
      </c>
      <c r="I3602" s="10" t="inlineStr">
        <is>
          <t>17/03/2026</t>
        </is>
      </c>
      <c r="J3602" s="10" t="inlineStr">
        <is>
          <t>Mỹ thuật / Nghệ thuật / Thiết kế, Quảng cáo / Đối ngoại / Truyền Thông, Truyền hình / Báo chí / Biên tập</t>
        </is>
      </c>
      <c r="K3602" s="10" t="inlineStr">
        <is>
          <t>1 - 2 Năm</t>
        </is>
      </c>
      <c r="L3602" s="11">
        <f>HYPERLINK("https://careerviet.vn/vi/tim-viec-lam/nhan-vien-thiet-ke-truyen-thong.35C6ABC6.html","Xem chi tiết")</f>
        <v/>
      </c>
      <c r="M3602" s="10" t="n"/>
    </row>
    <row r="3603">
      <c r="B3603" s="7" t="n">
        <v>3601</v>
      </c>
      <c r="C3603" t="inlineStr">
        <is>
          <t>Kỹ sư Phân tích nghiệp vụ - Business Analyst</t>
        </is>
      </c>
      <c r="D3603" t="inlineStr">
        <is>
          <t>Tổng Công ty Cổ phần Công trình Viettel</t>
        </is>
      </c>
      <c r="E3603" t="inlineStr">
        <is>
          <t>Lương:Cạnh tranh</t>
        </is>
      </c>
      <c r="F3603" t="inlineStr">
        <is>
          <t>Hà Nội</t>
        </is>
      </c>
      <c r="G3603" t="inlineStr">
        <is>
          <t>03-04-2026</t>
        </is>
      </c>
      <c r="H3603" t="inlineStr">
        <is>
          <t>03/04/2026</t>
        </is>
      </c>
      <c r="I3603" t="inlineStr">
        <is>
          <t>17/03/2026</t>
        </is>
      </c>
      <c r="J3603" t="inlineStr">
        <is>
          <t>CNTT - Phần mềm, Bưu chính viễn thông, CNTT - Phần cứng / Mạng</t>
        </is>
      </c>
      <c r="K3603" t="inlineStr">
        <is>
          <t>3 - 4 Năm</t>
        </is>
      </c>
      <c r="L3603" s="8">
        <f>HYPERLINK("https://careerviet.vn/vi/tim-viec-lam/ky-su-phan-tich-nghiep-vu-business-analyst.35C6AC0A.html","Xem chi tiết")</f>
        <v/>
      </c>
    </row>
    <row r="3604">
      <c r="B3604" s="9" t="n">
        <v>3602</v>
      </c>
      <c r="C3604" s="10" t="inlineStr">
        <is>
          <t>Chuyên gia quản trị rủi ro tích hợp, Phòng Quản trị rủi ro tích hợp, Khối Quản trị rủi ro</t>
        </is>
      </c>
      <c r="D3604" s="10" t="inlineStr">
        <is>
          <t>Ngân hàng TMCP Đại Chúng Việt Nam - PVcomBank</t>
        </is>
      </c>
      <c r="E3604" s="10" t="inlineStr">
        <is>
          <t>Lương:Cạnh tranh</t>
        </is>
      </c>
      <c r="F3604" s="10" t="inlineStr">
        <is>
          <t>Hà Nội</t>
        </is>
      </c>
      <c r="G3604" s="10" t="inlineStr">
        <is>
          <t>08-04-2026</t>
        </is>
      </c>
      <c r="H3604" s="10" t="inlineStr">
        <is>
          <t>08/04/2026</t>
        </is>
      </c>
      <c r="I3604" s="10" t="inlineStr">
        <is>
          <t>17/03/2026</t>
        </is>
      </c>
      <c r="J3604" s="10" t="inlineStr">
        <is>
          <t>Ngân hàng</t>
        </is>
      </c>
      <c r="K3604" s="10" t="inlineStr">
        <is>
          <t>5 - 7 Năm</t>
        </is>
      </c>
      <c r="L3604" s="11">
        <f>HYPERLINK("https://careerviet.vn/vi/tim-viec-lam/chuyen-gia-quan-tri-rui-ro-tich-hop-phong-quan-tri-rui-ro-tich-hop-khoi-quan-tri-rui-ro.35C64F95.html","Xem chi tiết")</f>
        <v/>
      </c>
      <c r="M3604" s="10" t="n"/>
    </row>
    <row r="3605">
      <c r="B3605" s="7" t="n">
        <v>3603</v>
      </c>
      <c r="C3605" t="inlineStr">
        <is>
          <t>[Hanoi] Payroll Supervisor</t>
        </is>
      </c>
      <c r="D3605" t="inlineStr">
        <is>
          <t>Cổ Phần Kết Nối Nhân Tài - Talentnet Corporation</t>
        </is>
      </c>
      <c r="E3605" t="inlineStr">
        <is>
          <t>Lương:Cạnh tranh</t>
        </is>
      </c>
      <c r="F3605" t="inlineStr">
        <is>
          <t>Hà Nội</t>
        </is>
      </c>
      <c r="G3605" t="inlineStr">
        <is>
          <t>08-04-2026</t>
        </is>
      </c>
      <c r="H3605" t="inlineStr">
        <is>
          <t>08/04/2026</t>
        </is>
      </c>
      <c r="I3605" t="inlineStr">
        <is>
          <t>17/03/2026</t>
        </is>
      </c>
      <c r="J3605" t="inlineStr">
        <is>
          <t>Nhân sự</t>
        </is>
      </c>
      <c r="K3605" t="inlineStr">
        <is>
          <t>5 - 6 Năm</t>
        </is>
      </c>
      <c r="L3605" s="8">
        <f>HYPERLINK("https://careerviet.vn/vi/tim-viec-lam/hanoi-payroll-supervisor.35C6504E.html","Xem chi tiết")</f>
        <v/>
      </c>
    </row>
    <row r="3606">
      <c r="B3606" s="9" t="n">
        <v>3604</v>
      </c>
      <c r="C3606" s="10" t="inlineStr">
        <is>
          <t>Service Engineer / Kỹ Sư Dịch Vụ</t>
        </is>
      </c>
      <c r="D3606" s="10" t="inlineStr">
        <is>
          <t>AVERNA VIETNAM COMPANY LIMITED</t>
        </is>
      </c>
      <c r="E3606" s="10" t="inlineStr">
        <is>
          <t>Lương:Cạnh tranh</t>
        </is>
      </c>
      <c r="F3606" s="10" t="inlineStr">
        <is>
          <t>Hồ Chí Minh</t>
        </is>
      </c>
      <c r="G3606" s="10" t="inlineStr">
        <is>
          <t>30-04-2026</t>
        </is>
      </c>
      <c r="H3606" s="10" t="inlineStr">
        <is>
          <t>30/04/2026</t>
        </is>
      </c>
      <c r="I3606" s="10" t="inlineStr">
        <is>
          <t>17/03/2026</t>
        </is>
      </c>
      <c r="J3606" s="10" t="inlineStr">
        <is>
          <t>Cơ khí / Ô tô / Tự động hóa, Điện / Điện tử / Điện lạnh / Điện công nghiệp, Sản xuất / Vận hành sản xuất</t>
        </is>
      </c>
      <c r="K3606" s="10" t="inlineStr">
        <is>
          <t>N/A</t>
        </is>
      </c>
      <c r="L3606" s="11">
        <f>HYPERLINK("https://careerviet.vn/vi/tim-viec-lam/service-engineer-ky-su-dich-vu.35C6ABE9.html","Xem chi tiết")</f>
        <v/>
      </c>
      <c r="M3606" s="10" t="n"/>
    </row>
    <row r="3607">
      <c r="B3607" s="7" t="n">
        <v>3605</v>
      </c>
      <c r="C3607" t="inlineStr">
        <is>
          <t>Chuyên viên - Chuyên viên cao cấp Xử lý nợ tại Hà Nội</t>
        </is>
      </c>
      <c r="D3607" t="inlineStr">
        <is>
          <t>Ngân Hàng Thương Mại Cổ Phần Bảo Việt</t>
        </is>
      </c>
      <c r="E3607" t="inlineStr">
        <is>
          <t>Lương:500 - 1.000 USD</t>
        </is>
      </c>
      <c r="F3607" t="inlineStr">
        <is>
          <t>Hà Nội</t>
        </is>
      </c>
      <c r="G3607" t="inlineStr">
        <is>
          <t>30-04-2026</t>
        </is>
      </c>
      <c r="H3607" t="inlineStr">
        <is>
          <t>30/04/2026</t>
        </is>
      </c>
      <c r="I3607" t="inlineStr">
        <is>
          <t>17/03/2026</t>
        </is>
      </c>
      <c r="J3607" t="inlineStr">
        <is>
          <t>Ngân hàng, Tài chính / Đầu tư</t>
        </is>
      </c>
      <c r="K3607" t="inlineStr">
        <is>
          <t>1 - 3 Năm</t>
        </is>
      </c>
      <c r="L3607" s="8">
        <f>HYPERLINK("https://careerviet.vn/vi/tim-viec-lam/chuyen-vien-chuyen-vien-cao-cap-xu-ly-no-tai-ha-noi.35C6ABBC.html","Xem chi tiết")</f>
        <v/>
      </c>
    </row>
    <row r="3608">
      <c r="B3608" s="9" t="n">
        <v>3606</v>
      </c>
      <c r="C3608" s="10" t="inlineStr">
        <is>
          <t>Chuyên gia pháp lý quản trị và phi tín dụng - Khối Pháp chế và Tuân thủ -</t>
        </is>
      </c>
      <c r="D3608" s="10" t="inlineStr">
        <is>
          <t>Ngân hàng TMCP Đại Chúng Việt Nam - PVcomBank</t>
        </is>
      </c>
      <c r="E3608" s="10" t="inlineStr">
        <is>
          <t>Lương:Cạnh tranh</t>
        </is>
      </c>
      <c r="F3608" s="10" t="inlineStr">
        <is>
          <t>Hà Nội</t>
        </is>
      </c>
      <c r="G3608" s="10" t="inlineStr">
        <is>
          <t>08-04-2026</t>
        </is>
      </c>
      <c r="H3608" s="10" t="inlineStr">
        <is>
          <t>08/04/2026</t>
        </is>
      </c>
      <c r="I3608" s="10" t="inlineStr">
        <is>
          <t>17/03/2026</t>
        </is>
      </c>
      <c r="J3608" s="10" t="inlineStr">
        <is>
          <t>Ngân hàng, Tài chính / Đầu tư</t>
        </is>
      </c>
      <c r="K3608" s="10" t="inlineStr">
        <is>
          <t>3 - 10 Năm</t>
        </is>
      </c>
      <c r="L3608" s="11">
        <f>HYPERLINK("https://careerviet.vn/vi/tim-viec-lam/chuyen-gia-phap-ly-quan-tri-va-phi-tin-dung-khoi-phap-che-va-tuan-thu.35C64EC1.html","Xem chi tiết")</f>
        <v/>
      </c>
      <c r="M3608" s="10" t="n"/>
    </row>
    <row r="3609">
      <c r="B3609" s="7" t="n">
        <v>3607</v>
      </c>
      <c r="C3609" t="inlineStr">
        <is>
          <t>Chuyên viên Quản trị rủi ro an toàn thông tin, Phòng Quản trị rủi ro hoạt động, Khối Quản trị rủi ro</t>
        </is>
      </c>
      <c r="D3609" t="inlineStr">
        <is>
          <t>Ngân hàng TMCP Đại Chúng Việt Nam - PVcomBank</t>
        </is>
      </c>
      <c r="E3609" t="inlineStr">
        <is>
          <t>Lương:Cạnh tranh</t>
        </is>
      </c>
      <c r="F3609" t="inlineStr">
        <is>
          <t>Hà Nội</t>
        </is>
      </c>
      <c r="G3609" t="inlineStr">
        <is>
          <t>08-04-2026</t>
        </is>
      </c>
      <c r="H3609" t="inlineStr">
        <is>
          <t>08/04/2026</t>
        </is>
      </c>
      <c r="I3609" t="inlineStr">
        <is>
          <t>17/03/2026</t>
        </is>
      </c>
      <c r="J3609" t="inlineStr">
        <is>
          <t>CNTT - Phần cứng / Mạng, CNTT - Phần mềm</t>
        </is>
      </c>
      <c r="K3609" t="inlineStr">
        <is>
          <t>1 - 3 Năm</t>
        </is>
      </c>
      <c r="L3609" s="8">
        <f>HYPERLINK("https://careerviet.vn/vi/tim-viec-lam/chuyen-vien-quan-tri-rui-ro-an-toan-thong-tin-phong-quan-tri-rui-ro-hoat-dong-khoi-quan-tri-rui-ro.35C64F64.html","Xem chi tiết")</f>
        <v/>
      </c>
    </row>
    <row r="3610">
      <c r="B3610" s="9" t="n">
        <v>3608</v>
      </c>
      <c r="C3610" s="10" t="inlineStr">
        <is>
          <t>Chuyên Viên Chính Sách Tín Dụng Phụ Trách Văn Bản Về Tài Sản Bảo Đảm</t>
        </is>
      </c>
      <c r="D3610" s="10" t="inlineStr">
        <is>
          <t>NGÂN HÀNG TMCP NGOẠI THƯƠNG VIỆT NAM (VIETCOMBANK)</t>
        </is>
      </c>
      <c r="E3610" s="10" t="inlineStr">
        <is>
          <t>Lương:Cạnh tranh</t>
        </is>
      </c>
      <c r="F3610" s="10" t="inlineStr">
        <is>
          <t>Hà Nội</t>
        </is>
      </c>
      <c r="G3610" s="10" t="inlineStr">
        <is>
          <t>08-04-2026</t>
        </is>
      </c>
      <c r="H3610" s="10" t="inlineStr">
        <is>
          <t>08/04/2026</t>
        </is>
      </c>
      <c r="I3610" s="10" t="inlineStr">
        <is>
          <t>17/03/2026</t>
        </is>
      </c>
      <c r="J3610" s="10" t="inlineStr">
        <is>
          <t>Ngân hàng, Tài chính / Đầu tư, Luật / Pháp lý</t>
        </is>
      </c>
      <c r="K3610" s="10" t="inlineStr">
        <is>
          <t>Trên 3 Năm</t>
        </is>
      </c>
      <c r="L3610" s="11">
        <f>HYPERLINK("https://careerviet.vn/vi/tim-viec-lam/chuyen-vien-chinh-sach-tin-dung-phu-trach-van-ban-ve-tai-san-bao-dam.35C64F98.html","Xem chi tiết")</f>
        <v/>
      </c>
      <c r="M3610" s="10" t="n"/>
    </row>
    <row r="3611">
      <c r="B3611" s="7" t="n">
        <v>3609</v>
      </c>
      <c r="C3611" t="inlineStr">
        <is>
          <t>Nhân Viên Cơ Điện (M&amp;E Solar)</t>
        </is>
      </c>
      <c r="D3611" t="inlineStr">
        <is>
          <t>ATAD Steel Structure Corporation</t>
        </is>
      </c>
      <c r="E3611" t="inlineStr">
        <is>
          <t>Lương:Cạnh tranh</t>
        </is>
      </c>
      <c r="F3611" t="inlineStr">
        <is>
          <t>Hồ Chí Minh</t>
        </is>
      </c>
      <c r="G3611" t="inlineStr">
        <is>
          <t>08-04-2026</t>
        </is>
      </c>
      <c r="H3611" t="inlineStr">
        <is>
          <t>08/04/2026</t>
        </is>
      </c>
      <c r="I3611" t="inlineStr">
        <is>
          <t>17/03/2026</t>
        </is>
      </c>
      <c r="J3611" t="inlineStr">
        <is>
          <t>Cơ khí / Ô tô / Tự động hóa, Điện / Điện tử / Điện lạnh / Điện công nghiệp, Xây dựng</t>
        </is>
      </c>
      <c r="K3611" t="inlineStr">
        <is>
          <t>2 - 5 Năm</t>
        </is>
      </c>
      <c r="L3611" s="8">
        <f>HYPERLINK("https://careerviet.vn/vi/tim-viec-lam/nhan-vien-co-dien-m-e-solar.35C67FB2.html","Xem chi tiết")</f>
        <v/>
      </c>
    </row>
    <row r="3612">
      <c r="B3612" s="9" t="n">
        <v>3610</v>
      </c>
      <c r="C3612" s="10" t="inlineStr">
        <is>
          <t>Kỹ Sư Thiết Bị Y Tế - Vinmec Central Park</t>
        </is>
      </c>
      <c r="D3612" s="10" t="inlineStr">
        <is>
          <t>Công ty CP Bệnh Viện Đa Khoa Quốc Tế Vinmec</t>
        </is>
      </c>
      <c r="E3612" s="10" t="inlineStr">
        <is>
          <t>Lương:Cạnh tranh</t>
        </is>
      </c>
      <c r="F3612" s="10" t="inlineStr">
        <is>
          <t>Hồ Chí Minh</t>
        </is>
      </c>
      <c r="G3612" s="10" t="inlineStr">
        <is>
          <t>08-04-2026</t>
        </is>
      </c>
      <c r="H3612" s="10" t="inlineStr">
        <is>
          <t>08/04/2026</t>
        </is>
      </c>
      <c r="I3612" s="10" t="inlineStr">
        <is>
          <t>17/03/2026</t>
        </is>
      </c>
      <c r="J3612" s="10" t="inlineStr">
        <is>
          <t>Y tế / Chăm sóc sức khỏe / Thẩm mỹ / Làm đẹp</t>
        </is>
      </c>
      <c r="K3612" s="10" t="inlineStr">
        <is>
          <t>Trên 1 Năm</t>
        </is>
      </c>
      <c r="L3612" s="11">
        <f>HYPERLINK("https://careerviet.vn/vi/tim-viec-lam/ky-su-thiet-bi-y-te-vinmec-central-park.35C67FC4.html","Xem chi tiết")</f>
        <v/>
      </c>
      <c r="M3612" s="10" t="n"/>
    </row>
    <row r="3613">
      <c r="B3613" s="7" t="n">
        <v>3611</v>
      </c>
      <c r="C3613" t="inlineStr">
        <is>
          <t>Chuyên Viên Kinh Doanh - Ngành Quà tặng khuyến mãi</t>
        </is>
      </c>
      <c r="D3613" t="inlineStr">
        <is>
          <t>Công ty Cổ Phần Thảo Mộc Xanh</t>
        </is>
      </c>
      <c r="E3613" t="inlineStr">
        <is>
          <t>Lương:Cạnh tranh</t>
        </is>
      </c>
      <c r="F3613" t="inlineStr">
        <is>
          <t>Hồ Chí Minh</t>
        </is>
      </c>
      <c r="G3613" t="inlineStr">
        <is>
          <t>08-04-2026</t>
        </is>
      </c>
      <c r="H3613" t="inlineStr">
        <is>
          <t>08/04/2026</t>
        </is>
      </c>
      <c r="I3613" t="inlineStr">
        <is>
          <t>17/03/2026</t>
        </is>
      </c>
      <c r="J3613" t="inlineStr">
        <is>
          <t>Tiếp thị / Marketing, Bán hàng / Kinh doanh, Quảng cáo / Đối ngoại / Truyền Thông</t>
        </is>
      </c>
      <c r="K3613" t="inlineStr">
        <is>
          <t>Trên 2 Năm</t>
        </is>
      </c>
      <c r="L3613" s="8">
        <f>HYPERLINK("https://careerviet.vn/vi/tim-viec-lam/chuyen-vien-kinh-doanh-nganh-qua-tang-khuyen-mai.35C67FED.html","Xem chi tiết")</f>
        <v/>
      </c>
    </row>
    <row r="3614">
      <c r="B3614" s="9" t="n">
        <v>3612</v>
      </c>
      <c r="C3614" s="10" t="inlineStr">
        <is>
          <t>Thư ký hội đồng tín dụng, Phòng Thư ký phê duyệt, Khối Tái thẩm và phê duyệt tín dụng</t>
        </is>
      </c>
      <c r="D3614" s="10" t="inlineStr">
        <is>
          <t>Ngân hàng TMCP Đại Chúng Việt Nam - PVcomBank</t>
        </is>
      </c>
      <c r="E3614" s="10" t="inlineStr">
        <is>
          <t>Lương:Cạnh tranh</t>
        </is>
      </c>
      <c r="F3614" s="10" t="inlineStr">
        <is>
          <t>Hà Nội</t>
        </is>
      </c>
      <c r="G3614" s="10" t="inlineStr">
        <is>
          <t>08-04-2026</t>
        </is>
      </c>
      <c r="H3614" s="10" t="inlineStr">
        <is>
          <t>08/04/2026</t>
        </is>
      </c>
      <c r="I3614" s="10" t="inlineStr">
        <is>
          <t>17/03/2026</t>
        </is>
      </c>
      <c r="J3614" s="10" t="inlineStr">
        <is>
          <t>Ngân hàng, Tài chính / Đầu tư</t>
        </is>
      </c>
      <c r="K3614" s="10" t="inlineStr">
        <is>
          <t>3 - 5 Năm</t>
        </is>
      </c>
      <c r="L3614" s="11">
        <f>HYPERLINK("https://careerviet.vn/vi/tim-viec-lam/thu-ky-hoi-dong-tin-dung-phong-thu-ky-phe-duyet-khoi-tai-tham-va-phe-duyet-tin-dung.35C64F63.html","Xem chi tiết")</f>
        <v/>
      </c>
      <c r="M3614" s="10" t="n"/>
    </row>
    <row r="3615">
      <c r="B3615" s="7" t="n">
        <v>3613</v>
      </c>
      <c r="C3615" t="inlineStr">
        <is>
          <t>MODO STAFF</t>
        </is>
      </c>
      <c r="D3615" t="inlineStr">
        <is>
          <t>Công Ty TNHH Việt Nam Samho</t>
        </is>
      </c>
      <c r="E3615" t="inlineStr">
        <is>
          <t>Lương:Cạnh tranh</t>
        </is>
      </c>
      <c r="F3615" t="inlineStr">
        <is>
          <t>Hồ Chí Minh</t>
        </is>
      </c>
      <c r="G3615" t="inlineStr">
        <is>
          <t>08-04-2026</t>
        </is>
      </c>
      <c r="H3615" t="inlineStr">
        <is>
          <t>08/04/2026</t>
        </is>
      </c>
      <c r="I3615" t="inlineStr">
        <is>
          <t>17/03/2026</t>
        </is>
      </c>
      <c r="J3615" t="inlineStr">
        <is>
          <t>Dệt may / Da giày / Thời trang</t>
        </is>
      </c>
      <c r="K3615" t="inlineStr">
        <is>
          <t>1 - 2 Năm</t>
        </is>
      </c>
      <c r="L3615" s="8">
        <f>HYPERLINK("https://careerviet.vn/vi/tim-viec-lam/modo-staff.35C64F91.html","Xem chi tiết")</f>
        <v/>
      </c>
    </row>
    <row r="3616">
      <c r="B3616" s="9" t="n">
        <v>3614</v>
      </c>
      <c r="C3616" s="10" t="inlineStr">
        <is>
          <t>Nhân Viên Kinh Doanh Nội Thất</t>
        </is>
      </c>
      <c r="D3616" s="10" t="inlineStr">
        <is>
          <t>Công Ty TNHH Tập Đoàn Rita Võ</t>
        </is>
      </c>
      <c r="E3616" s="10" t="inlineStr">
        <is>
          <t>Lương:12 Tr - 18 Tr VND</t>
        </is>
      </c>
      <c r="F3616" s="10" t="inlineStr">
        <is>
          <t>Hà Nội</t>
        </is>
      </c>
      <c r="G3616" s="10" t="inlineStr">
        <is>
          <t>08-04-2026</t>
        </is>
      </c>
      <c r="H3616" s="10" t="inlineStr">
        <is>
          <t>08/04/2026</t>
        </is>
      </c>
      <c r="I3616" s="10" t="inlineStr">
        <is>
          <t>17/03/2026</t>
        </is>
      </c>
      <c r="J3616" s="10" t="inlineStr">
        <is>
          <t>Bán lẻ / Bán sỉ, Bán hàng / Kinh doanh, Nội ngoại thất</t>
        </is>
      </c>
      <c r="K3616" s="10" t="inlineStr">
        <is>
          <t>N/A</t>
        </is>
      </c>
      <c r="L3616" s="11">
        <f>HYPERLINK("https://careerviet.vn/vi/tim-viec-lam/nhan-vien-kinh-doanh-noi-that.35C64EAD.html","Xem chi tiết")</f>
        <v/>
      </c>
      <c r="M3616" s="10" t="n"/>
    </row>
    <row r="3617">
      <c r="B3617" s="7" t="n">
        <v>3615</v>
      </c>
      <c r="C3617" t="inlineStr">
        <is>
          <t>Quản Lý Cửa Hàng tại Hải Phòng</t>
        </is>
      </c>
      <c r="D3617" t="inlineStr">
        <is>
          <t>CÔNG TY CỔ PHẦN VUA NỆM</t>
        </is>
      </c>
      <c r="E3617" t="inlineStr">
        <is>
          <t>Lương:12 Tr - 15 Tr VND</t>
        </is>
      </c>
      <c r="F3617" t="inlineStr">
        <is>
          <t>Hải Phòng</t>
        </is>
      </c>
      <c r="G3617" t="inlineStr">
        <is>
          <t>6</t>
        </is>
      </c>
      <c r="H3617" t="inlineStr">
        <is>
          <t>23/03/2026</t>
        </is>
      </c>
      <c r="I3617" t="inlineStr">
        <is>
          <t>17/03/2026</t>
        </is>
      </c>
      <c r="J3617" t="inlineStr">
        <is>
          <t>Bán hàng / Kinh doanh, Tư vấn, Bán lẻ / Bán sỉ</t>
        </is>
      </c>
      <c r="K3617" t="inlineStr">
        <is>
          <t>1 - 2 Năm</t>
        </is>
      </c>
      <c r="L3617" s="8">
        <f>HYPERLINK("https://careerviet.vn/vi/tim-viec-lam/quan-ly-cua-hang-tai-hai-phong.35C69355.html","Xem chi tiết")</f>
        <v/>
      </c>
    </row>
    <row r="3618">
      <c r="B3618" s="9" t="n">
        <v>3616</v>
      </c>
      <c r="C3618" s="10" t="inlineStr">
        <is>
          <t>Nhân viên QS và hồ sơ thầu</t>
        </is>
      </c>
      <c r="D3618" s="10" t="inlineStr">
        <is>
          <t>HEXAGON - CÔNG TY CỔ PHẦN THIẾT KẾ LỤC GIÁC</t>
        </is>
      </c>
      <c r="E3618" s="10" t="inlineStr">
        <is>
          <t>Lương:10 Tr - 15 Tr VND</t>
        </is>
      </c>
      <c r="F3618" s="10" t="inlineStr">
        <is>
          <t>Hà Nội</t>
        </is>
      </c>
      <c r="G3618" s="10" t="inlineStr">
        <is>
          <t>28-03-2026</t>
        </is>
      </c>
      <c r="H3618" s="10" t="inlineStr">
        <is>
          <t>28/03/2026</t>
        </is>
      </c>
      <c r="I3618" s="10" t="inlineStr">
        <is>
          <t>17/03/2026</t>
        </is>
      </c>
      <c r="J3618" s="10" t="inlineStr">
        <is>
          <t>Xây dựng, Nội ngoại thất</t>
        </is>
      </c>
      <c r="K3618" s="10" t="inlineStr">
        <is>
          <t>1 - 2 Năm</t>
        </is>
      </c>
      <c r="L3618" s="11">
        <f>HYPERLINK("https://careerviet.vn/vi/tim-viec-lam/nhan-vien-qs-va-ho-so-thau.35C68E87.html","Xem chi tiết")</f>
        <v/>
      </c>
      <c r="M3618" s="10" t="n"/>
    </row>
    <row r="3619">
      <c r="B3619" s="7" t="n">
        <v>3617</v>
      </c>
      <c r="C3619" t="inlineStr">
        <is>
          <t>Giám sát Bán hàng - Bến Tre</t>
        </is>
      </c>
      <c r="D3619" t="inlineStr">
        <is>
          <t>Suntory PepsiCo</t>
        </is>
      </c>
      <c r="E3619" t="inlineStr">
        <is>
          <t>Lương:25 Tr - 35 Tr VND</t>
        </is>
      </c>
      <c r="F3619" t="inlineStr">
        <is>
          <t>Bến Tre</t>
        </is>
      </c>
      <c r="G3619" t="inlineStr">
        <is>
          <t>31-03-2026</t>
        </is>
      </c>
      <c r="H3619" t="inlineStr">
        <is>
          <t>31/03/2026</t>
        </is>
      </c>
      <c r="I3619" t="inlineStr">
        <is>
          <t>17/03/2026</t>
        </is>
      </c>
      <c r="J3619" t="inlineStr">
        <is>
          <t>Bán lẻ / Bán sỉ, Bán hàng / Kinh doanh, Thực phẩm &amp; Đồ uống</t>
        </is>
      </c>
      <c r="K3619" t="inlineStr">
        <is>
          <t>2 - 5 Năm</t>
        </is>
      </c>
      <c r="L3619" s="8">
        <f>HYPERLINK("https://careerviet.vn/vi/tim-viec-lam/giam-sat-ban-hang-ben-tre.35C6936F.html","Xem chi tiết")</f>
        <v/>
      </c>
    </row>
    <row r="3620">
      <c r="B3620" s="9" t="n">
        <v>3618</v>
      </c>
      <c r="C3620" s="10" t="inlineStr">
        <is>
          <t>Kỹ sư cơ khí 27648 - Bình Thạnh, HCM</t>
        </is>
      </c>
      <c r="D3620" s="10" t="inlineStr">
        <is>
          <t>Công Ty TNHH Reeracoen Việt Nam</t>
        </is>
      </c>
      <c r="E3620" s="10" t="inlineStr">
        <is>
          <t>Lương:15 Tr - 18 Tr VND</t>
        </is>
      </c>
      <c r="F3620" s="10" t="inlineStr">
        <is>
          <t>Hồ Chí Minh</t>
        </is>
      </c>
      <c r="G3620" s="10" t="inlineStr">
        <is>
          <t>24-03-2026</t>
        </is>
      </c>
      <c r="H3620" s="10" t="inlineStr">
        <is>
          <t>24/03/2026</t>
        </is>
      </c>
      <c r="I3620" s="10" t="inlineStr">
        <is>
          <t>17/03/2026</t>
        </is>
      </c>
      <c r="J3620" s="10" t="inlineStr">
        <is>
          <t>Cơ khí / Ô tô / Tự động hóa, Điện / Điện tử / Điện lạnh / Điện công nghiệp, Bảo trì / Sửa chữa</t>
        </is>
      </c>
      <c r="K3620" s="10" t="inlineStr">
        <is>
          <t>Trên 2 Năm</t>
        </is>
      </c>
      <c r="L3620" s="11">
        <f>HYPERLINK("https://careerviet.vn/vi/tim-viec-lam/ky-su-co-khi-27648-binh-thanh-hcm.35C69358.html","Xem chi tiết")</f>
        <v/>
      </c>
      <c r="M3620" s="10" t="n"/>
    </row>
    <row r="3621">
      <c r="B3621" s="7" t="n">
        <v>3619</v>
      </c>
      <c r="C3621" t="inlineStr">
        <is>
          <t>Phó Trưởng phòng Phát triển sản phẩm KHDN</t>
        </is>
      </c>
      <c r="D3621" t="inlineStr">
        <is>
          <t>Ngân hàng Liên doanh Việt - Nga (VRB)</t>
        </is>
      </c>
      <c r="E3621" t="inlineStr">
        <is>
          <t>Lương:Cạnh tranh</t>
        </is>
      </c>
      <c r="F3621" t="inlineStr">
        <is>
          <t>Hà Nội</t>
        </is>
      </c>
      <c r="G3621" t="inlineStr">
        <is>
          <t>08-04-2026</t>
        </is>
      </c>
      <c r="H3621" t="inlineStr">
        <is>
          <t>08/04/2026</t>
        </is>
      </c>
      <c r="I3621" t="inlineStr">
        <is>
          <t>17/03/2026</t>
        </is>
      </c>
      <c r="J3621" t="inlineStr">
        <is>
          <t>Bán hàng / Kinh doanh, Ngân hàng, Tài chính / Đầu tư</t>
        </is>
      </c>
      <c r="K3621" t="inlineStr">
        <is>
          <t>1 - 3 Năm</t>
        </is>
      </c>
      <c r="L3621" s="8">
        <f>HYPERLINK("https://careerviet.vn/vi/tim-viec-lam/pho-truong-phong-phat-trien-san-pham-khdn.35C644D5.html","Xem chi tiết")</f>
        <v/>
      </c>
    </row>
    <row r="3622">
      <c r="B3622" s="9" t="n">
        <v>3620</v>
      </c>
      <c r="C3622" s="10" t="inlineStr">
        <is>
          <t>Vận hành livestream</t>
        </is>
      </c>
      <c r="D3622" s="10" t="inlineStr">
        <is>
          <t>CÔNG TY TNHH ECOAE LỘC PHÁT</t>
        </is>
      </c>
      <c r="E3622" s="10" t="inlineStr">
        <is>
          <t>Lương:15 Tr - 25 Tr VND</t>
        </is>
      </c>
      <c r="F3622" s="10" t="inlineStr">
        <is>
          <t>Hồ Chí Minh</t>
        </is>
      </c>
      <c r="G3622" s="10" t="inlineStr">
        <is>
          <t>08-04-2026</t>
        </is>
      </c>
      <c r="H3622" s="10" t="inlineStr">
        <is>
          <t>08/04/2026</t>
        </is>
      </c>
      <c r="I3622" s="10" t="inlineStr">
        <is>
          <t>17/03/2026</t>
        </is>
      </c>
      <c r="J3622" s="10" t="inlineStr">
        <is>
          <t>Thương mại điện tử</t>
        </is>
      </c>
      <c r="K3622" s="10" t="inlineStr">
        <is>
          <t>1 - 2 Năm</t>
        </is>
      </c>
      <c r="L3622" s="11">
        <f>HYPERLINK("https://careerviet.vn/vi/tim-viec-lam/van-hanh-livestream.35C67FF3.html","Xem chi tiết")</f>
        <v/>
      </c>
      <c r="M3622" s="10" t="n"/>
    </row>
    <row r="3623">
      <c r="B3623" s="7" t="n">
        <v>3621</v>
      </c>
      <c r="C3623" t="inlineStr">
        <is>
          <t>Nhân viên thống kê sản xuất</t>
        </is>
      </c>
      <c r="D3623" t="inlineStr">
        <is>
          <t>Công Ty TNHH TM &amp; XNK Nhất Lâm</t>
        </is>
      </c>
      <c r="E3623" t="inlineStr">
        <is>
          <t>Lương:9 Tr - 13 Tr VND</t>
        </is>
      </c>
      <c r="F3623" t="inlineStr">
        <is>
          <t>Hồ Chí Minh</t>
        </is>
      </c>
      <c r="G3623" t="inlineStr">
        <is>
          <t>08-04-2026</t>
        </is>
      </c>
      <c r="H3623" t="inlineStr">
        <is>
          <t>08/04/2026</t>
        </is>
      </c>
      <c r="I3623" t="inlineStr">
        <is>
          <t>17/03/2026</t>
        </is>
      </c>
      <c r="J3623" t="inlineStr">
        <is>
          <t>Sản xuất / Vận hành sản xuất</t>
        </is>
      </c>
      <c r="K3623" t="inlineStr">
        <is>
          <t>Lên đến 2 Năm</t>
        </is>
      </c>
      <c r="L3623" s="8">
        <f>HYPERLINK("https://careerviet.vn/vi/tim-viec-lam/nhan-vien-thong-ke-san-xuat.35C6800A.html","Xem chi tiết")</f>
        <v/>
      </c>
    </row>
    <row r="3624">
      <c r="B3624" s="9" t="n">
        <v>3622</v>
      </c>
      <c r="C3624" s="10" t="inlineStr">
        <is>
          <t>Nhân Viên Bốc Xếp Kho Lạnh</t>
        </is>
      </c>
      <c r="D3624" s="10" t="inlineStr">
        <is>
          <t>Công Ty TNHH TM &amp; XNK Nhất Lâm</t>
        </is>
      </c>
      <c r="E3624" s="10" t="inlineStr">
        <is>
          <t>Lương:8 Tr - 9 Tr VND</t>
        </is>
      </c>
      <c r="F3624" s="10" t="inlineStr">
        <is>
          <t>Hồ Chí Minh</t>
        </is>
      </c>
      <c r="G3624" s="10" t="inlineStr">
        <is>
          <t>31-03-2026</t>
        </is>
      </c>
      <c r="H3624" s="10" t="inlineStr">
        <is>
          <t>31/03/2026</t>
        </is>
      </c>
      <c r="I3624" s="10" t="inlineStr">
        <is>
          <t>17/03/2026</t>
        </is>
      </c>
      <c r="J3624" s="10" t="inlineStr">
        <is>
          <t>Vận chuyển / Giao nhận / Kho vận, Lao động phổ thông</t>
        </is>
      </c>
      <c r="K3624" s="10" t="inlineStr">
        <is>
          <t>N/A</t>
        </is>
      </c>
      <c r="L3624" s="11">
        <f>HYPERLINK("https://careerviet.vn/vi/tim-viec-lam/nhan-vien-boc-xep-kho-lanh.35C69438.html","Xem chi tiết")</f>
        <v/>
      </c>
      <c r="M3624" s="10" t="n"/>
    </row>
    <row r="3625">
      <c r="B3625" s="7" t="n">
        <v>3623</v>
      </c>
      <c r="C3625" t="inlineStr">
        <is>
          <t>Nhân Viên Kinh Doanh</t>
        </is>
      </c>
      <c r="D3625" t="inlineStr">
        <is>
          <t>HUTECHGROUP - CÔNG TY TNHH CÔNG NGHỆ THIẾT BỊ THỰC PHẨM HUTECH</t>
        </is>
      </c>
      <c r="E3625" t="inlineStr">
        <is>
          <t>Lương:9 Tr - 15 Tr VND</t>
        </is>
      </c>
      <c r="F3625" t="inlineStr">
        <is>
          <t>Hồ Chí Minh</t>
        </is>
      </c>
      <c r="G3625" t="inlineStr">
        <is>
          <t>31-03-2026</t>
        </is>
      </c>
      <c r="H3625" t="inlineStr">
        <is>
          <t>31/03/2026</t>
        </is>
      </c>
      <c r="I3625" t="inlineStr">
        <is>
          <t>17/03/2026</t>
        </is>
      </c>
      <c r="J3625" t="inlineStr">
        <is>
          <t>Tiếp thị / Marketing, Bán lẻ / Bán sỉ, Bán hàng / Kinh doanh</t>
        </is>
      </c>
      <c r="K3625" t="inlineStr">
        <is>
          <t>1 - 2 Năm</t>
        </is>
      </c>
      <c r="L3625" s="8">
        <f>HYPERLINK("https://careerviet.vn/vi/tim-viec-lam/nhan-vien-kinh-doanh.35C69313.html","Xem chi tiết")</f>
        <v/>
      </c>
    </row>
    <row r="3626">
      <c r="B3626" s="9" t="n">
        <v>3624</v>
      </c>
      <c r="C3626" s="10" t="inlineStr">
        <is>
          <t>NHÂN VIÊN KỸ THUẬT</t>
        </is>
      </c>
      <c r="D3626" s="10" t="inlineStr">
        <is>
          <t>DRB Việt Nam</t>
        </is>
      </c>
      <c r="E3626" s="10" t="inlineStr">
        <is>
          <t>Lương:Cạnh tranh</t>
        </is>
      </c>
      <c r="F3626" s="10" t="inlineStr">
        <is>
          <t>Bình Dương</t>
        </is>
      </c>
      <c r="G3626" s="10" t="inlineStr">
        <is>
          <t>25-03-2026</t>
        </is>
      </c>
      <c r="H3626" s="10" t="inlineStr">
        <is>
          <t>25/03/2026</t>
        </is>
      </c>
      <c r="I3626" s="10" t="inlineStr">
        <is>
          <t>17/03/2026</t>
        </is>
      </c>
      <c r="J3626" s="10" t="inlineStr">
        <is>
          <t>Điện / Điện tử / Điện lạnh / Điện công nghiệp, Cơ khí / Ô tô / Tự động hóa, Dầu khí</t>
        </is>
      </c>
      <c r="K3626" s="10" t="inlineStr">
        <is>
          <t>Trên 1 Năm</t>
        </is>
      </c>
      <c r="L3626" s="11">
        <f>HYPERLINK("https://careerviet.vn/vi/tim-viec-lam/nhan-vien-ky-thuat.35C69412.html","Xem chi tiết")</f>
        <v/>
      </c>
      <c r="M3626" s="10" t="n"/>
    </row>
    <row r="3627">
      <c r="B3627" s="7" t="n">
        <v>3625</v>
      </c>
      <c r="C3627" t="inlineStr">
        <is>
          <t>Deputy Operation Manager - Operations &amp; Maintenance (O&amp;M)</t>
        </is>
      </c>
      <c r="D3627" t="inlineStr">
        <is>
          <t>PTSC Offshore Services (POS)</t>
        </is>
      </c>
      <c r="E3627" t="inlineStr">
        <is>
          <t>Lương:Cạnh tranh</t>
        </is>
      </c>
      <c r="F3627" t="inlineStr">
        <is>
          <t>Bà Rịa - Vũng Tàu</t>
        </is>
      </c>
      <c r="G3627" t="inlineStr">
        <is>
          <t>08-04-2026</t>
        </is>
      </c>
      <c r="H3627" t="inlineStr">
        <is>
          <t>08/04/2026</t>
        </is>
      </c>
      <c r="I3627" t="inlineStr">
        <is>
          <t>17/03/2026</t>
        </is>
      </c>
      <c r="J3627" t="inlineStr">
        <is>
          <t>Dầu khí, Bảo trì / Sửa chữa, Sản xuất / Vận hành sản xuất</t>
        </is>
      </c>
      <c r="K3627" t="inlineStr">
        <is>
          <t>10 Năm</t>
        </is>
      </c>
      <c r="L3627" s="8">
        <f>HYPERLINK("https://careerviet.vn/vi/tim-viec-lam/deputy-operation-manager-operations-maintenance-o-m.35C67FC9.html","Xem chi tiết")</f>
        <v/>
      </c>
    </row>
    <row r="3628">
      <c r="B3628" s="9" t="n">
        <v>3626</v>
      </c>
      <c r="C3628" s="10" t="inlineStr">
        <is>
          <t>Chỉ Huy Trưởng Công Trình</t>
        </is>
      </c>
      <c r="D3628" s="10" t="inlineStr">
        <is>
          <t>Công ty Xây Dựng Hàng Rào Biệt Thự (Villafences)</t>
        </is>
      </c>
      <c r="E3628" s="10" t="inlineStr">
        <is>
          <t>Lương:20 Tr - 25 Tr VND</t>
        </is>
      </c>
      <c r="F3628" s="10" t="inlineStr">
        <is>
          <t>Bà Rịa - Vũng TàuĐồng Nai</t>
        </is>
      </c>
      <c r="G3628" s="10" t="inlineStr">
        <is>
          <t>08-04-2026</t>
        </is>
      </c>
      <c r="H3628" s="10" t="inlineStr">
        <is>
          <t>08/04/2026</t>
        </is>
      </c>
      <c r="I3628" s="10" t="inlineStr">
        <is>
          <t>17/03/2026</t>
        </is>
      </c>
      <c r="J3628" s="10" t="inlineStr">
        <is>
          <t>Cơ khí / Ô tô / Tự động hóa, Xây dựng</t>
        </is>
      </c>
      <c r="K3628" s="10" t="inlineStr">
        <is>
          <t>3 - 5 Năm</t>
        </is>
      </c>
      <c r="L3628" s="11">
        <f>HYPERLINK("https://careerviet.vn/vi/tim-viec-lam/chi-huy-truong-cong-trinh.35C6773B.html","Xem chi tiết")</f>
        <v/>
      </c>
      <c r="M3628" s="10" t="n"/>
    </row>
    <row r="3629">
      <c r="B3629" s="7" t="n">
        <v>3627</v>
      </c>
      <c r="C3629" t="inlineStr">
        <is>
          <t>Senior Project Sales (Electrical)/Sales Dự Án Tủ Bảng Điện</t>
        </is>
      </c>
      <c r="D3629" t="inlineStr">
        <is>
          <t>Sunlight Electrical (Vietnam) Co., Ltd.</t>
        </is>
      </c>
      <c r="E3629" t="inlineStr">
        <is>
          <t>Lương:28 Tr - 45 Tr VND</t>
        </is>
      </c>
      <c r="F3629" t="inlineStr">
        <is>
          <t>Hồ Chí Minh</t>
        </is>
      </c>
      <c r="G3629" t="inlineStr">
        <is>
          <t>08-04-2026</t>
        </is>
      </c>
      <c r="H3629" t="inlineStr">
        <is>
          <t>08/04/2026</t>
        </is>
      </c>
      <c r="I3629" t="inlineStr">
        <is>
          <t>17/03/2026</t>
        </is>
      </c>
      <c r="J3629" t="inlineStr">
        <is>
          <t>Bán hàng / Kinh doanh, Bán Hàng Kỹ Thuật, Điện / Điện tử / Điện lạnh / Điện công nghiệp</t>
        </is>
      </c>
      <c r="K3629" t="inlineStr">
        <is>
          <t>4 - 10 Năm</t>
        </is>
      </c>
      <c r="L3629" s="8">
        <f>HYPERLINK("https://careerviet.vn/vi/tim-viec-lam/senior-project-sales-electrical-sales-du-an-tu-bang-dien.35C64F1C.html","Xem chi tiết")</f>
        <v/>
      </c>
    </row>
    <row r="3630">
      <c r="B3630" s="9" t="n">
        <v>3628</v>
      </c>
      <c r="C3630" s="10" t="inlineStr">
        <is>
          <t>Kế toán Tổng hợp</t>
        </is>
      </c>
      <c r="D3630" s="10" t="inlineStr">
        <is>
          <t>CÔNG TY CỔ PHẦN THẾ GIỚI SỐ</t>
        </is>
      </c>
      <c r="E3630" s="10" t="inlineStr">
        <is>
          <t>Lương:15 Tr - 25 Tr VND</t>
        </is>
      </c>
      <c r="F3630" s="10" t="inlineStr">
        <is>
          <t>Hà Nội</t>
        </is>
      </c>
      <c r="G3630" s="10" t="inlineStr">
        <is>
          <t>31-03-2026</t>
        </is>
      </c>
      <c r="H3630" s="10" t="inlineStr">
        <is>
          <t>31/03/2026</t>
        </is>
      </c>
      <c r="I3630" s="10" t="inlineStr">
        <is>
          <t>17/03/2026</t>
        </is>
      </c>
      <c r="J3630" s="10" t="inlineStr">
        <is>
          <t>N/A</t>
        </is>
      </c>
      <c r="K3630" s="10" t="inlineStr">
        <is>
          <t>3 - 5 Năm</t>
        </is>
      </c>
      <c r="L3630" s="11">
        <f>HYPERLINK("https://careerviet.vn/vi/tim-viec-lam/ke-toan-tong-hop.35C690BA.html","Xem chi tiết")</f>
        <v/>
      </c>
      <c r="M3630" s="10" t="n"/>
    </row>
    <row r="3631">
      <c r="B3631" s="7" t="n">
        <v>3629</v>
      </c>
      <c r="C3631" t="inlineStr">
        <is>
          <t>Data Analyst</t>
        </is>
      </c>
      <c r="D3631" t="inlineStr">
        <is>
          <t>Công ty TNHH Viettel - CHT</t>
        </is>
      </c>
      <c r="E3631" t="inlineStr">
        <is>
          <t>Lương:Cạnh tranh</t>
        </is>
      </c>
      <c r="F3631" t="inlineStr">
        <is>
          <t>Hà Nội</t>
        </is>
      </c>
      <c r="G3631" t="inlineStr">
        <is>
          <t>26-03-2026</t>
        </is>
      </c>
      <c r="H3631" t="inlineStr">
        <is>
          <t>26/03/2026</t>
        </is>
      </c>
      <c r="I3631" t="inlineStr">
        <is>
          <t>17/03/2026</t>
        </is>
      </c>
      <c r="J3631" t="inlineStr">
        <is>
          <t>CNTT - Phần mềm, CNTT - Phần cứng / Mạng</t>
        </is>
      </c>
      <c r="K3631" t="inlineStr">
        <is>
          <t>Trên 3 Năm</t>
        </is>
      </c>
      <c r="L3631" s="8">
        <f>HYPERLINK("https://careerviet.vn/vi/tim-viec-lam/data-analyst.35C6928D.html","Xem chi tiết")</f>
        <v/>
      </c>
    </row>
    <row r="3632">
      <c r="B3632" s="9" t="n">
        <v>3630</v>
      </c>
      <c r="C3632" s="10" t="inlineStr">
        <is>
          <t>Nhân Viên Tư Vấn Tuyển Sinh (Educational Planner) - ILA Huỳnh Tấn Phát</t>
        </is>
      </c>
      <c r="D3632" s="10" t="inlineStr">
        <is>
          <t>ILA Việt Nam</t>
        </is>
      </c>
      <c r="E3632" s="10" t="inlineStr">
        <is>
          <t>Lương:Cạnh tranh</t>
        </is>
      </c>
      <c r="F3632" s="10" t="inlineStr">
        <is>
          <t>Hồ Chí Minh</t>
        </is>
      </c>
      <c r="G3632" s="10" t="inlineStr">
        <is>
          <t>31-03-2026</t>
        </is>
      </c>
      <c r="H3632" s="10" t="inlineStr">
        <is>
          <t>31/03/2026</t>
        </is>
      </c>
      <c r="I3632" s="10" t="inlineStr">
        <is>
          <t>17/03/2026</t>
        </is>
      </c>
      <c r="J3632" s="10" t="inlineStr">
        <is>
          <t>Bán hàng / Kinh doanh, Tư vấn, Giáo dục / Đào tạo</t>
        </is>
      </c>
      <c r="K3632" s="10" t="inlineStr">
        <is>
          <t>1 - 2 Năm</t>
        </is>
      </c>
      <c r="L3632" s="11">
        <f>HYPERLINK("https://careerviet.vn/vi/tim-viec-lam/nhan-vien-tu-van-tuyen-sinh-educational-planner-ila-huynh-tan-phat.35C69074.html","Xem chi tiết")</f>
        <v/>
      </c>
      <c r="M3632" s="10" t="n"/>
    </row>
    <row r="3633">
      <c r="B3633" s="7" t="n">
        <v>3631</v>
      </c>
      <c r="C3633" t="inlineStr">
        <is>
          <t>KIẾN TRÚC SƯ THIẾT KẾ</t>
        </is>
      </c>
      <c r="D3633" t="inlineStr">
        <is>
          <t>Công ty TNHH Tư Vấn Thiết Kế xây Dựng Phú Gia Hòa</t>
        </is>
      </c>
      <c r="E3633" t="inlineStr">
        <is>
          <t>Lương:Cạnh tranh</t>
        </is>
      </c>
      <c r="F3633" t="inlineStr">
        <is>
          <t>Hồ Chí Minh</t>
        </is>
      </c>
      <c r="G3633" t="inlineStr">
        <is>
          <t>24-03-2026</t>
        </is>
      </c>
      <c r="H3633" t="inlineStr">
        <is>
          <t>24/03/2026</t>
        </is>
      </c>
      <c r="I3633" t="inlineStr">
        <is>
          <t>17/03/2026</t>
        </is>
      </c>
      <c r="J3633" t="inlineStr">
        <is>
          <t>Kiến trúc, Xây dựng, Mỹ thuật / Nghệ thuật / Thiết kế</t>
        </is>
      </c>
      <c r="K3633" t="inlineStr">
        <is>
          <t>2 - 5 Năm</t>
        </is>
      </c>
      <c r="L3633" s="8">
        <f>HYPERLINK("https://careerviet.vn/vi/tim-viec-lam/kien-truc-su-thiet-ke.35C6927D.html","Xem chi tiết")</f>
        <v/>
      </c>
    </row>
    <row r="3634">
      <c r="B3634" s="9" t="n">
        <v>3632</v>
      </c>
      <c r="C3634" s="10" t="inlineStr">
        <is>
          <t>Kỹ sư Điện tử Công Suất</t>
        </is>
      </c>
      <c r="D3634" s="10" t="inlineStr">
        <is>
          <t>Công Ty Cổ Phần Indefol Solar</t>
        </is>
      </c>
      <c r="E3634" s="10" t="inlineStr">
        <is>
          <t>Lương:Cạnh tranh</t>
        </is>
      </c>
      <c r="F3634" s="10" t="inlineStr">
        <is>
          <t>Tây Ninh</t>
        </is>
      </c>
      <c r="G3634" s="10" t="inlineStr">
        <is>
          <t>31-03-2026</t>
        </is>
      </c>
      <c r="H3634" s="10" t="inlineStr">
        <is>
          <t>31/03/2026</t>
        </is>
      </c>
      <c r="I3634" s="10" t="inlineStr">
        <is>
          <t>17/03/2026</t>
        </is>
      </c>
      <c r="J3634" s="10" t="inlineStr">
        <is>
          <t>Điện / Điện tử / Điện lạnh / Điện công nghiệp, Cơ khí / Ô tô / Tự động hóa, Dầu khí</t>
        </is>
      </c>
      <c r="K3634" s="10" t="inlineStr">
        <is>
          <t>1 - 5 Năm</t>
        </is>
      </c>
      <c r="L3634" s="11">
        <f>HYPERLINK("https://careerviet.vn/vi/tim-viec-lam/ky-su-dien-tu-cong-suat.35C690E4.html","Xem chi tiết")</f>
        <v/>
      </c>
      <c r="M3634" s="10" t="n"/>
    </row>
    <row r="3635">
      <c r="B3635" s="7" t="n">
        <v>3633</v>
      </c>
      <c r="C3635" t="inlineStr">
        <is>
          <t>Chuyên viên quản trị cơ sở dữ liệu, Phòng MIS, Khối Tài chính kế toán</t>
        </is>
      </c>
      <c r="D3635" t="inlineStr">
        <is>
          <t>Ngân hàng TMCP Đại Chúng Việt Nam - PVcomBank</t>
        </is>
      </c>
      <c r="E3635" t="inlineStr">
        <is>
          <t>Lương:Cạnh tranh</t>
        </is>
      </c>
      <c r="F3635" t="inlineStr">
        <is>
          <t>Hà Nội</t>
        </is>
      </c>
      <c r="G3635" t="inlineStr">
        <is>
          <t>08-04-2026</t>
        </is>
      </c>
      <c r="H3635" t="inlineStr">
        <is>
          <t>08/04/2026</t>
        </is>
      </c>
      <c r="I3635" t="inlineStr">
        <is>
          <t>17/03/2026</t>
        </is>
      </c>
      <c r="J3635" t="inlineStr">
        <is>
          <t>Ngân hàng</t>
        </is>
      </c>
      <c r="K3635" t="inlineStr">
        <is>
          <t>1 - 2 Năm</t>
        </is>
      </c>
      <c r="L3635" s="8">
        <f>HYPERLINK("https://careerviet.vn/vi/tim-viec-lam/chuyen-vien-quan-tri-co-so-du-lieu-phong-mis-khoi-tai-chinh-ke-toan.35C64F75.html","Xem chi tiết")</f>
        <v/>
      </c>
    </row>
    <row r="3636">
      <c r="B3636" s="9" t="n">
        <v>3634</v>
      </c>
      <c r="C3636" s="10" t="inlineStr">
        <is>
          <t>Sales Export Staff - Nhân viên Sales Xuất Khẩu (Nghành Thép)</t>
        </is>
      </c>
      <c r="D3636" s="10" t="inlineStr">
        <is>
          <t>MARUICHI SUN STEEL JSC.</t>
        </is>
      </c>
      <c r="E3636" s="10" t="inlineStr">
        <is>
          <t>Lương:Cạnh tranh</t>
        </is>
      </c>
      <c r="F3636" s="10" t="inlineStr">
        <is>
          <t>Hồ Chí Minh</t>
        </is>
      </c>
      <c r="G3636" s="10" t="inlineStr">
        <is>
          <t>09-03-2026</t>
        </is>
      </c>
      <c r="H3636" s="10" t="inlineStr">
        <is>
          <t>24/02/2026</t>
        </is>
      </c>
      <c r="I3636" s="10" t="inlineStr">
        <is>
          <t>17/03/2026</t>
        </is>
      </c>
      <c r="J3636" s="10" t="inlineStr">
        <is>
          <t>Bán hàng / Kinh doanh, Tư vấn, Dịch vụ khách hàng</t>
        </is>
      </c>
      <c r="K3636" s="10" t="inlineStr">
        <is>
          <t>N/A</t>
        </is>
      </c>
      <c r="L3636" s="11">
        <f>HYPERLINK("https://careerviet.vn/vi/tim-viec-lam/sales-export-staff-nhan-vien-sales-xuat-khau-nghanh-thep.35C69195.html","Xem chi tiết")</f>
        <v/>
      </c>
      <c r="M3636" s="10" t="n"/>
    </row>
    <row r="3637">
      <c r="B3637" s="7" t="n">
        <v>3635</v>
      </c>
      <c r="C3637" t="inlineStr">
        <is>
          <t>Quản lý Khách hàng sản phẩm thẻ - Hà Nội, Hải Phòng, Quảng Ninh</t>
        </is>
      </c>
      <c r="D3637" t="inlineStr">
        <is>
          <t>Ngân Hàng TMCP Quốc Tế Việt Nam</t>
        </is>
      </c>
      <c r="E3637" t="inlineStr">
        <is>
          <t>Lương:12 Tr - 20 Tr VND</t>
        </is>
      </c>
      <c r="F3637" t="inlineStr">
        <is>
          <t>Hà NộiHải PhòngQuảng Ninh</t>
        </is>
      </c>
      <c r="G3637" t="inlineStr">
        <is>
          <t>08-04-2026</t>
        </is>
      </c>
      <c r="H3637" t="inlineStr">
        <is>
          <t>08/04/2026</t>
        </is>
      </c>
      <c r="I3637" t="inlineStr">
        <is>
          <t>17/03/2026</t>
        </is>
      </c>
      <c r="J3637" t="inlineStr">
        <is>
          <t>Bán lẻ / Bán sỉ, Bán hàng / Kinh doanh, Tài chính / Đầu tư</t>
        </is>
      </c>
      <c r="K3637" t="inlineStr">
        <is>
          <t>Trên 1 Năm</t>
        </is>
      </c>
      <c r="L3637" s="8">
        <f>HYPERLINK("https://careerviet.vn/vi/tim-viec-lam/quan-ly-khach-hang-san-pham-the-ha-noi-hai-phong-quang-ninh.35C67FD5.html","Xem chi tiết")</f>
        <v/>
      </c>
    </row>
    <row r="3638">
      <c r="B3638" s="9" t="n">
        <v>3636</v>
      </c>
      <c r="C3638" s="10" t="inlineStr">
        <is>
          <t>Product Development Leader (Merchandising)</t>
        </is>
      </c>
      <c r="D3638" s="10" t="inlineStr">
        <is>
          <t>Công ty TNHH, Liên Doanh Vĩnh Hưng (TMI Việt Nam)</t>
        </is>
      </c>
      <c r="E3638" s="10" t="inlineStr">
        <is>
          <t>Lương:20 Tr - 30 Tr VND</t>
        </is>
      </c>
      <c r="F3638" s="10" t="inlineStr">
        <is>
          <t>Hồ Chí Minh</t>
        </is>
      </c>
      <c r="G3638" s="10" t="inlineStr">
        <is>
          <t>31-03-2026</t>
        </is>
      </c>
      <c r="H3638" s="10" t="inlineStr">
        <is>
          <t>31/03/2026</t>
        </is>
      </c>
      <c r="I3638" s="10" t="inlineStr">
        <is>
          <t>17/03/2026</t>
        </is>
      </c>
      <c r="J3638" s="10" t="inlineStr">
        <is>
          <t>Sản xuất / Vận hành sản xuất, Dệt may / Da giày / Thời trang, Thu mua / Vật tư</t>
        </is>
      </c>
      <c r="K3638" s="10" t="inlineStr">
        <is>
          <t>Lên đến 15 Năm</t>
        </is>
      </c>
      <c r="L3638" s="11">
        <f>HYPERLINK("https://careerviet.vn/vi/tim-viec-lam/product-development-leader-merchandising.35C69128.html","Xem chi tiết")</f>
        <v/>
      </c>
      <c r="M3638" s="10" t="n"/>
    </row>
    <row r="3639">
      <c r="B3639" s="7" t="n">
        <v>3637</v>
      </c>
      <c r="C3639" t="inlineStr">
        <is>
          <t>Key Account Executive (Ngành Dược phẩm)</t>
        </is>
      </c>
      <c r="D3639" t="inlineStr">
        <is>
          <t>CÔNG TY TNHH Y-MED HEALTHCARE</t>
        </is>
      </c>
      <c r="E3639" t="inlineStr">
        <is>
          <t>Lương:Trên 12 Tr VND</t>
        </is>
      </c>
      <c r="F3639" t="inlineStr">
        <is>
          <t>Hồ Chí Minh</t>
        </is>
      </c>
      <c r="G3639" t="inlineStr">
        <is>
          <t>31-03-2026</t>
        </is>
      </c>
      <c r="H3639" t="inlineStr">
        <is>
          <t>31/03/2026</t>
        </is>
      </c>
      <c r="I3639" t="inlineStr">
        <is>
          <t>17/03/2026</t>
        </is>
      </c>
      <c r="J3639" t="inlineStr">
        <is>
          <t>Bán hàng / Kinh doanh, Dược phẩm/ Hóa Mỹ Phẩm, Bán lẻ / Bán sỉ</t>
        </is>
      </c>
      <c r="K3639" t="inlineStr">
        <is>
          <t>Trên 1 Năm</t>
        </is>
      </c>
      <c r="L3639" s="8">
        <f>HYPERLINK("https://careerviet.vn/vi/tim-viec-lam/key-account-executive-nganh-duoc-pham.35C691A1.html","Xem chi tiết")</f>
        <v/>
      </c>
    </row>
    <row r="3640">
      <c r="B3640" s="9" t="n">
        <v>3638</v>
      </c>
      <c r="C3640" s="10" t="inlineStr">
        <is>
          <t>PROJECT LEAD - MANUFACTURING</t>
        </is>
      </c>
      <c r="D3640" s="10" t="inlineStr">
        <is>
          <t>Masan Consumer</t>
        </is>
      </c>
      <c r="E3640" s="10" t="inlineStr">
        <is>
          <t>Lương:Cạnh tranh</t>
        </is>
      </c>
      <c r="F3640" s="10" t="inlineStr">
        <is>
          <t>Bình Dương</t>
        </is>
      </c>
      <c r="G3640" s="10" t="inlineStr">
        <is>
          <t>30-04-2026</t>
        </is>
      </c>
      <c r="H3640" s="10" t="inlineStr">
        <is>
          <t>30/04/2026</t>
        </is>
      </c>
      <c r="I3640" s="10" t="inlineStr">
        <is>
          <t>17/03/2026</t>
        </is>
      </c>
      <c r="J3640" s="10" t="inlineStr">
        <is>
          <t>Thực phẩm &amp; Đồ uống</t>
        </is>
      </c>
      <c r="K3640" s="10" t="inlineStr">
        <is>
          <t>3 - 5 Năm</t>
        </is>
      </c>
      <c r="L3640" s="11">
        <f>HYPERLINK("https://careerviet.vn/vi/tim-viec-lam/project-lead-manufacturing.35C693A1.html","Xem chi tiết")</f>
        <v/>
      </c>
      <c r="M3640" s="10" t="n"/>
    </row>
    <row r="3641">
      <c r="B3641" s="7" t="n">
        <v>3639</v>
      </c>
      <c r="C3641" t="inlineStr">
        <is>
          <t>Chuyên Viên Vận Hành Kênh Tiktok</t>
        </is>
      </c>
      <c r="D3641" t="inlineStr">
        <is>
          <t>CÔNG TY CỔ PHẦN VUA NỆM</t>
        </is>
      </c>
      <c r="E3641" t="inlineStr">
        <is>
          <t>Lương:10 Tr - 13 Tr VND</t>
        </is>
      </c>
      <c r="F3641" t="inlineStr">
        <is>
          <t>Hà Nội</t>
        </is>
      </c>
      <c r="G3641" t="inlineStr">
        <is>
          <t>3</t>
        </is>
      </c>
      <c r="H3641" t="inlineStr">
        <is>
          <t>20/03/2026</t>
        </is>
      </c>
      <c r="I3641" t="inlineStr">
        <is>
          <t>17/03/2026</t>
        </is>
      </c>
      <c r="J3641" t="inlineStr">
        <is>
          <t>Tiếp thị / Marketing, Bán lẻ / Bán sỉ, Bán hàng / Kinh doanh</t>
        </is>
      </c>
      <c r="K3641" t="inlineStr">
        <is>
          <t>1 - 2 Năm</t>
        </is>
      </c>
      <c r="L3641" s="8">
        <f>HYPERLINK("https://careerviet.vn/vi/tim-viec-lam/chuyen-vien-van-hanh-kenh-tiktok.35C68FB4.html","Xem chi tiết")</f>
        <v/>
      </c>
    </row>
    <row r="3642">
      <c r="B3642" s="9" t="n">
        <v>3640</v>
      </c>
      <c r="C3642" s="10" t="inlineStr">
        <is>
          <t>Chuyên Viên Kiểm Soát Nội Bộ</t>
        </is>
      </c>
      <c r="D3642" s="10" t="inlineStr">
        <is>
          <t>CÔNG TY CỔ PHẦN TRANSIMEX</t>
        </is>
      </c>
      <c r="E3642" s="10" t="inlineStr">
        <is>
          <t>Lương:Cạnh tranh</t>
        </is>
      </c>
      <c r="F3642" s="10" t="inlineStr">
        <is>
          <t>Hồ Chí Minh</t>
        </is>
      </c>
      <c r="G3642" s="10" t="inlineStr">
        <is>
          <t>6</t>
        </is>
      </c>
      <c r="H3642" s="10" t="inlineStr">
        <is>
          <t>23/03/2026</t>
        </is>
      </c>
      <c r="I3642" s="10" t="inlineStr">
        <is>
          <t>17/03/2026</t>
        </is>
      </c>
      <c r="J3642" s="10" t="inlineStr">
        <is>
          <t>Kế toán / Kiểm toán, Vận chuyển / Giao nhận / Kho vận, Xuất nhập khẩu</t>
        </is>
      </c>
      <c r="K3642" s="10" t="inlineStr">
        <is>
          <t>4 - 8 Năm</t>
        </is>
      </c>
      <c r="L3642" s="11">
        <f>HYPERLINK("https://careerviet.vn/vi/tim-viec-lam/chuyen-vien-kiem-soat-noi-bo.35C68FF6.html","Xem chi tiết")</f>
        <v/>
      </c>
      <c r="M3642" s="10" t="n"/>
    </row>
    <row r="3643">
      <c r="B3643" s="7" t="n">
        <v>3641</v>
      </c>
      <c r="C3643" t="inlineStr">
        <is>
          <t>Pharma Technical Services Supervisor (Pharmacist, work location: VSIP 2 - Binh Duong)</t>
        </is>
      </c>
      <c r="D3643" t="inlineStr">
        <is>
          <t>Công ty TNHH United International Pharma</t>
        </is>
      </c>
      <c r="E3643" t="inlineStr">
        <is>
          <t>Lương:Cạnh tranh</t>
        </is>
      </c>
      <c r="F3643" t="inlineStr">
        <is>
          <t>Bình Dương</t>
        </is>
      </c>
      <c r="G3643" t="inlineStr">
        <is>
          <t>6</t>
        </is>
      </c>
      <c r="H3643" t="inlineStr">
        <is>
          <t>23/03/2026</t>
        </is>
      </c>
      <c r="I3643" t="inlineStr">
        <is>
          <t>17/03/2026</t>
        </is>
      </c>
      <c r="J3643" t="inlineStr">
        <is>
          <t>Hóa học, Dược phẩm/ Hóa Mỹ Phẩm, Quản lý chất lượng (QA/QC)</t>
        </is>
      </c>
      <c r="K3643" t="inlineStr">
        <is>
          <t>5 - 7 Năm</t>
        </is>
      </c>
      <c r="L3643" s="8">
        <f>HYPERLINK("https://careerviet.vn/vi/tim-viec-lam/pharma-technical-services-supervisor-pharmacist-work-location-vsip-2-binh-duong.35C6919B.html","Xem chi tiết")</f>
        <v/>
      </c>
    </row>
    <row r="3644">
      <c r="B3644" s="9" t="n">
        <v>3642</v>
      </c>
      <c r="C3644" s="10" t="inlineStr">
        <is>
          <t>Senior Internal Control Executive</t>
        </is>
      </c>
      <c r="D3644" s="10" t="inlineStr">
        <is>
          <t>Công Ty Avanti - Group</t>
        </is>
      </c>
      <c r="E3644" s="10" t="inlineStr">
        <is>
          <t>Lương:Cạnh tranh</t>
        </is>
      </c>
      <c r="F3644" s="10" t="inlineStr">
        <is>
          <t>Hồ Chí Minh</t>
        </is>
      </c>
      <c r="G3644" s="10" t="inlineStr">
        <is>
          <t>04-04-2026</t>
        </is>
      </c>
      <c r="H3644" s="10" t="inlineStr">
        <is>
          <t>04/04/2026</t>
        </is>
      </c>
      <c r="I3644" s="10" t="inlineStr">
        <is>
          <t>17/03/2026</t>
        </is>
      </c>
      <c r="J3644" s="10" t="inlineStr">
        <is>
          <t>Bán lẻ / Bán sỉ, CNTT - Phần cứng / Mạng, Thực phẩm &amp; Đồ uống</t>
        </is>
      </c>
      <c r="K3644" s="10" t="inlineStr">
        <is>
          <t>5 - 13 Năm</t>
        </is>
      </c>
      <c r="L3644" s="11">
        <f>HYPERLINK("https://careerviet.vn/vi/tim-viec-lam/senior-internal-control-executive.35C6907A.html","Xem chi tiết")</f>
        <v/>
      </c>
      <c r="M3644" s="10" t="n"/>
    </row>
    <row r="3645">
      <c r="B3645" s="7" t="n">
        <v>3643</v>
      </c>
      <c r="C3645" t="inlineStr">
        <is>
          <t>Kỹ thuật viên bảo trì</t>
        </is>
      </c>
      <c r="D3645" t="inlineStr">
        <is>
          <t>MARUICHI SUN STEEL JSC.</t>
        </is>
      </c>
      <c r="E3645" t="inlineStr">
        <is>
          <t>Lương:12 Tr - 15 Tr VND</t>
        </is>
      </c>
      <c r="F3645" t="inlineStr">
        <is>
          <t>Bình Dương</t>
        </is>
      </c>
      <c r="G3645" t="inlineStr">
        <is>
          <t>24-03-2026</t>
        </is>
      </c>
      <c r="H3645" t="inlineStr">
        <is>
          <t>24/03/2026</t>
        </is>
      </c>
      <c r="I3645" t="inlineStr">
        <is>
          <t>17/03/2026</t>
        </is>
      </c>
      <c r="J3645" t="inlineStr">
        <is>
          <t>Cơ khí / Ô tô / Tự động hóa, Bảo trì / Sửa chữa, Sản xuất / Vận hành sản xuất</t>
        </is>
      </c>
      <c r="K3645" t="inlineStr">
        <is>
          <t>N/A</t>
        </is>
      </c>
      <c r="L3645" s="8">
        <f>HYPERLINK("https://careerviet.vn/vi/tim-viec-lam/ky-thuat-vien-bao-tri.35C6919E.html","Xem chi tiết")</f>
        <v/>
      </c>
    </row>
    <row r="3646">
      <c r="B3646" s="9" t="n">
        <v>3644</v>
      </c>
      <c r="C3646" s="10" t="inlineStr">
        <is>
          <t>Consultant Engineer/Sales Engineer</t>
        </is>
      </c>
      <c r="D3646" s="10" t="inlineStr">
        <is>
          <t>CÔNG TY CỔ PHẦN VIET DYNAMIC</t>
        </is>
      </c>
      <c r="E3646" s="10" t="inlineStr">
        <is>
          <t>Lương:Cạnh tranh</t>
        </is>
      </c>
      <c r="F3646" s="10" t="inlineStr">
        <is>
          <t>Hồ Chí MinhHải PhòngHà Nội</t>
        </is>
      </c>
      <c r="G3646" s="10" t="inlineStr">
        <is>
          <t>5</t>
        </is>
      </c>
      <c r="H3646" s="10" t="inlineStr">
        <is>
          <t>22/03/2026</t>
        </is>
      </c>
      <c r="I3646" s="10" t="inlineStr">
        <is>
          <t>17/03/2026</t>
        </is>
      </c>
      <c r="J3646" s="10" t="inlineStr">
        <is>
          <t>Bán hàng / Kinh doanh, Cơ khí / Ô tô / Tự động hóa</t>
        </is>
      </c>
      <c r="K3646" s="10" t="inlineStr">
        <is>
          <t>1 - 5 Năm</t>
        </is>
      </c>
      <c r="L3646" s="11">
        <f>HYPERLINK("https://careerviet.vn/vi/tim-viec-lam/consultant-engineer-sales-engineer.35C68F99.html","Xem chi tiết")</f>
        <v/>
      </c>
      <c r="M3646" s="10" t="n"/>
    </row>
    <row r="3647">
      <c r="B3647" s="7" t="n">
        <v>3645</v>
      </c>
      <c r="C3647" t="inlineStr">
        <is>
          <t>Chuyên Viên Nhân Sự</t>
        </is>
      </c>
      <c r="D3647" t="inlineStr">
        <is>
          <t>CÔNG TY TRÁCH NHIỆM HỮU HẠN NCE GLOBAL</t>
        </is>
      </c>
      <c r="E3647" t="inlineStr">
        <is>
          <t>Lương:12 Tr - 20 Tr VND</t>
        </is>
      </c>
      <c r="F3647" t="inlineStr">
        <is>
          <t>Hà Nội</t>
        </is>
      </c>
      <c r="G3647" t="inlineStr">
        <is>
          <t>27-03-2026</t>
        </is>
      </c>
      <c r="H3647" t="inlineStr">
        <is>
          <t>27/03/2026</t>
        </is>
      </c>
      <c r="I3647" t="inlineStr">
        <is>
          <t>17/03/2026</t>
        </is>
      </c>
      <c r="J3647" t="inlineStr">
        <is>
          <t>Hành chính / Thư ký, Nhân sự</t>
        </is>
      </c>
      <c r="K3647" t="inlineStr">
        <is>
          <t>Trên 2 Năm</t>
        </is>
      </c>
      <c r="L3647" s="8">
        <f>HYPERLINK("https://careerviet.vn/vi/tim-viec-lam/chuyen-vien-nhan-su.35C69413.html","Xem chi tiết")</f>
        <v/>
      </c>
    </row>
    <row r="3648">
      <c r="B3648" s="9" t="n">
        <v>3646</v>
      </c>
      <c r="C3648" s="10" t="inlineStr">
        <is>
          <t>Nhân Viên An Toàn Lao Động</t>
        </is>
      </c>
      <c r="D3648" s="10" t="inlineStr">
        <is>
          <t>ATAD Steel Structure Corporation</t>
        </is>
      </c>
      <c r="E3648" s="10" t="inlineStr">
        <is>
          <t>Lương:Cạnh tranh</t>
        </is>
      </c>
      <c r="F3648" s="10" t="inlineStr">
        <is>
          <t>Bà Rịa - Vũng Tàu</t>
        </is>
      </c>
      <c r="G3648" s="10" t="inlineStr">
        <is>
          <t>25-03-2026</t>
        </is>
      </c>
      <c r="H3648" s="10" t="inlineStr">
        <is>
          <t>25/03/2026</t>
        </is>
      </c>
      <c r="I3648" s="10" t="inlineStr">
        <is>
          <t>17/03/2026</t>
        </is>
      </c>
      <c r="J3648" s="10" t="inlineStr">
        <is>
          <t>Cơ khí / Ô tô / Tự động hóa, Xây dựng, An toàn lao động</t>
        </is>
      </c>
      <c r="K3648" s="10" t="inlineStr">
        <is>
          <t>1 - 2 Năm</t>
        </is>
      </c>
      <c r="L3648" s="11">
        <f>HYPERLINK("https://careerviet.vn/vi/tim-viec-lam/nhan-vien-an-toan-lao-dong.35C6932F.html","Xem chi tiết")</f>
        <v/>
      </c>
      <c r="M3648" s="10" t="n"/>
    </row>
    <row r="3649">
      <c r="B3649" s="7" t="n">
        <v>3647</v>
      </c>
      <c r="C3649" t="inlineStr">
        <is>
          <t>Giám Sát Thi Công Kết Cấu Thép</t>
        </is>
      </c>
      <c r="D3649" t="inlineStr">
        <is>
          <t>ATAD Steel Structure Corporation</t>
        </is>
      </c>
      <c r="E3649" t="inlineStr">
        <is>
          <t>Lương:10 Tr - 15 Tr VND</t>
        </is>
      </c>
      <c r="F3649" t="inlineStr">
        <is>
          <t>Đồng NaiHồ Chí Minh</t>
        </is>
      </c>
      <c r="G3649" t="inlineStr">
        <is>
          <t>5</t>
        </is>
      </c>
      <c r="H3649" t="inlineStr">
        <is>
          <t>22/03/2026</t>
        </is>
      </c>
      <c r="I3649" t="inlineStr">
        <is>
          <t>17/03/2026</t>
        </is>
      </c>
      <c r="J3649" t="inlineStr">
        <is>
          <t>Xây dựng, Kiến trúc, Cơ khí / Ô tô / Tự động hóa</t>
        </is>
      </c>
      <c r="K3649" t="inlineStr">
        <is>
          <t>1 - 5 Năm</t>
        </is>
      </c>
      <c r="L3649" s="8">
        <f>HYPERLINK("https://careerviet.vn/vi/tim-viec-lam/giam-sat-thi-cong-ket-cau-thep.35C69380.html","Xem chi tiết")</f>
        <v/>
      </c>
    </row>
    <row r="3650">
      <c r="B3650" s="9" t="n">
        <v>3648</v>
      </c>
      <c r="C3650" s="10" t="inlineStr">
        <is>
          <t>Chuyên viên Chăm sóc Dịch vụ/ Service Care Executive</t>
        </is>
      </c>
      <c r="D3650" s="10" t="inlineStr">
        <is>
          <t>CÔNG TY TNHH ĐẦU TƯ DỊCH VỤ HUMVENTURES</t>
        </is>
      </c>
      <c r="E3650" s="10" t="inlineStr">
        <is>
          <t>Lương:10 Tr - 20 Tr VND</t>
        </is>
      </c>
      <c r="F3650" s="10" t="inlineStr">
        <is>
          <t>Hồ Chí Minh</t>
        </is>
      </c>
      <c r="G3650" s="10" t="inlineStr">
        <is>
          <t>31-03-2026</t>
        </is>
      </c>
      <c r="H3650" s="10" t="inlineStr">
        <is>
          <t>31/03/2026</t>
        </is>
      </c>
      <c r="I3650" s="10" t="inlineStr">
        <is>
          <t>17/03/2026</t>
        </is>
      </c>
      <c r="J3650" s="10" t="inlineStr">
        <is>
          <t>Dịch vụ khách hàng, Thực phẩm &amp; Đồ uống, Nhà hàng / Khách sạn</t>
        </is>
      </c>
      <c r="K3650" s="10" t="inlineStr">
        <is>
          <t>2 - 3 Năm</t>
        </is>
      </c>
      <c r="L3650" s="11">
        <f>HYPERLINK("https://careerviet.vn/vi/tim-viec-lam/chuyen-vien-cham-soc-dich-vu-service-care-executive.35C6AA27.html","Xem chi tiết")</f>
        <v/>
      </c>
      <c r="M3650" s="10" t="n"/>
    </row>
    <row r="3651">
      <c r="B3651" s="7" t="n">
        <v>3649</v>
      </c>
      <c r="C3651" t="inlineStr">
        <is>
          <t>Team Leader PG Kênh Tạp Hóa (Kênh GT) - VINAMILK - Nhận CV tiếng Việt</t>
        </is>
      </c>
      <c r="D3651" t="inlineStr">
        <is>
          <t>Công ty TNHH Sức Bật</t>
        </is>
      </c>
      <c r="E3651" t="inlineStr">
        <is>
          <t>Lương:Lên đến 15 Tr VND</t>
        </is>
      </c>
      <c r="F3651" t="inlineStr">
        <is>
          <t>Vĩnh PhúcKhánh HòaHải Phòng</t>
        </is>
      </c>
      <c r="G3651" t="inlineStr">
        <is>
          <t>31-03-2026</t>
        </is>
      </c>
      <c r="H3651" t="inlineStr">
        <is>
          <t>31/03/2026</t>
        </is>
      </c>
      <c r="I3651" t="inlineStr">
        <is>
          <t>17/03/2026</t>
        </is>
      </c>
      <c r="J3651" t="inlineStr">
        <is>
          <t>Bán lẻ / Bán sỉ, Bán hàng / Kinh doanh, Thực phẩm &amp; Đồ uống</t>
        </is>
      </c>
      <c r="K3651" t="inlineStr">
        <is>
          <t>1 - 2 Năm</t>
        </is>
      </c>
      <c r="L3651" s="8">
        <f>HYPERLINK("https://careerviet.vn/vi/tim-viec-lam/team-leader-pg-kenh-tap-hoa-kenh-gt-vinamilk-nhan-cv-tieng-viet.35C6A83D.html","Xem chi tiết")</f>
        <v/>
      </c>
    </row>
    <row r="3652">
      <c r="B3652" s="9" t="n">
        <v>3650</v>
      </c>
      <c r="C3652" s="10" t="inlineStr">
        <is>
          <t>Chuyên viên mua hàng quốc tế</t>
        </is>
      </c>
      <c r="D3652" s="10" t="inlineStr">
        <is>
          <t>Công ty Cổ phần Tập đoàn Gỗ Minh Long</t>
        </is>
      </c>
      <c r="E3652" s="10" t="inlineStr">
        <is>
          <t>Lương:12 Tr - 18 Tr VND</t>
        </is>
      </c>
      <c r="F3652" s="10" t="inlineStr">
        <is>
          <t>Hà Nội</t>
        </is>
      </c>
      <c r="G3652" s="10" t="inlineStr">
        <is>
          <t>6</t>
        </is>
      </c>
      <c r="H3652" s="10" t="inlineStr">
        <is>
          <t>23/03/2026</t>
        </is>
      </c>
      <c r="I3652" s="10" t="inlineStr">
        <is>
          <t>17/03/2026</t>
        </is>
      </c>
      <c r="J3652" s="10" t="inlineStr">
        <is>
          <t>Xuất nhập khẩu, Thu mua / Vật tư</t>
        </is>
      </c>
      <c r="K3652" s="10" t="inlineStr">
        <is>
          <t>3 - 5 Năm</t>
        </is>
      </c>
      <c r="L3652" s="11">
        <f>HYPERLINK("https://careerviet.vn/vi/tim-viec-lam/chuyen-vien-mua-hang-quoc-te.35C6905D.html","Xem chi tiết")</f>
        <v/>
      </c>
      <c r="M3652" s="10" t="n"/>
    </row>
    <row r="3653">
      <c r="B3653" s="7" t="n">
        <v>3651</v>
      </c>
      <c r="C3653" t="inlineStr">
        <is>
          <t>Chuyên viên Cao cấp Phát triển Sản phẩm Tín dụng</t>
        </is>
      </c>
      <c r="D3653" t="inlineStr">
        <is>
          <t>Ngân hàng TMCP Phát triển TP.HCM (HDBank)</t>
        </is>
      </c>
      <c r="E3653" t="inlineStr">
        <is>
          <t>Lương:Cạnh tranh</t>
        </is>
      </c>
      <c r="F3653" t="inlineStr">
        <is>
          <t>Hồ Chí Minh</t>
        </is>
      </c>
      <c r="G3653" t="inlineStr">
        <is>
          <t>31-03-2026</t>
        </is>
      </c>
      <c r="H3653" t="inlineStr">
        <is>
          <t>31/03/2026</t>
        </is>
      </c>
      <c r="I3653" t="inlineStr">
        <is>
          <t>17/03/2026</t>
        </is>
      </c>
      <c r="J3653" t="inlineStr">
        <is>
          <t>Bán hàng / Kinh doanh, Ngân hàng, Tài chính / Đầu tư</t>
        </is>
      </c>
      <c r="K3653" t="inlineStr">
        <is>
          <t>Trên 3 Năm</t>
        </is>
      </c>
      <c r="L3653" s="8">
        <f>HYPERLINK("https://careerviet.vn/vi/tim-viec-lam/chuyen-vien-cao-cap-phat-trien-san-pham-tin-dung.35C6A926.html","Xem chi tiết")</f>
        <v/>
      </c>
    </row>
    <row r="3654">
      <c r="B3654" s="9" t="n">
        <v>3652</v>
      </c>
      <c r="C3654" s="10" t="inlineStr">
        <is>
          <t>Trưởng phòng Tư vấn Xuất nhập khẩu</t>
        </is>
      </c>
      <c r="D3654" s="10" t="inlineStr">
        <is>
          <t>Công ty TNHH Hòa Kiến Nhân</t>
        </is>
      </c>
      <c r="E3654" s="10" t="inlineStr">
        <is>
          <t>Lương:20 Tr - 40 Tr VND</t>
        </is>
      </c>
      <c r="F3654" s="10" t="inlineStr">
        <is>
          <t>Hồ Chí Minh</t>
        </is>
      </c>
      <c r="G3654" s="10" t="inlineStr">
        <is>
          <t>03-04-2026</t>
        </is>
      </c>
      <c r="H3654" s="10" t="inlineStr">
        <is>
          <t>03/04/2026</t>
        </is>
      </c>
      <c r="I3654" s="10" t="inlineStr">
        <is>
          <t>17/03/2026</t>
        </is>
      </c>
      <c r="J3654" s="10" t="inlineStr">
        <is>
          <t>Dịch vụ khách hàng, Vận chuyển / Giao nhận / Kho vận, Xuất nhập khẩu</t>
        </is>
      </c>
      <c r="K3654" s="10" t="inlineStr">
        <is>
          <t>5 - 20 Năm</t>
        </is>
      </c>
      <c r="L3654" s="11">
        <f>HYPERLINK("https://careerviet.vn/vi/tim-viec-lam/truong-phong-tu-van-xuat-nhap-khau.35C6A73E.html","Xem chi tiết")</f>
        <v/>
      </c>
      <c r="M3654" s="10" t="n"/>
    </row>
    <row r="3655">
      <c r="B3655" s="7" t="n">
        <v>3653</v>
      </c>
      <c r="C3655" t="inlineStr">
        <is>
          <t>Nhân viên kinh doanh</t>
        </is>
      </c>
      <c r="D3655" t="inlineStr">
        <is>
          <t>CÔNG TY CỔ PHẦN TẬP ĐOÀN BA THANH</t>
        </is>
      </c>
      <c r="E3655" t="inlineStr">
        <is>
          <t>Lương:20 Tr - 50 Tr VND</t>
        </is>
      </c>
      <c r="F3655" t="inlineStr">
        <is>
          <t>Hồ Chí MinhQuảng Nam</t>
        </is>
      </c>
      <c r="G3655" t="inlineStr">
        <is>
          <t>6</t>
        </is>
      </c>
      <c r="H3655" t="inlineStr">
        <is>
          <t>23/03/2026</t>
        </is>
      </c>
      <c r="I3655" t="inlineStr">
        <is>
          <t>17/03/2026</t>
        </is>
      </c>
      <c r="J3655" t="inlineStr">
        <is>
          <t>Bán hàng / Kinh doanh, Nội ngoại thất, Quảng cáo / Đối ngoại / Truyền Thông</t>
        </is>
      </c>
      <c r="K3655" t="inlineStr">
        <is>
          <t>N/A</t>
        </is>
      </c>
      <c r="L3655" s="8">
        <f>HYPERLINK("https://careerviet.vn/vi/tim-viec-lam/nhan-vien-kinh-doanh.35C6AA24.html","Xem chi tiết")</f>
        <v/>
      </c>
    </row>
    <row r="3656">
      <c r="B3656" s="9" t="n">
        <v>3654</v>
      </c>
      <c r="C3656" s="10" t="inlineStr">
        <is>
          <t>Nhân Viên Kinh Doanh Quốc Tế</t>
        </is>
      </c>
      <c r="D3656" s="10" t="inlineStr">
        <is>
          <t>Công Ty TNHH Bánh kẹo Art Tango</t>
        </is>
      </c>
      <c r="E3656" s="10" t="inlineStr">
        <is>
          <t>Lương:Cạnh tranh</t>
        </is>
      </c>
      <c r="F3656" s="10" t="inlineStr">
        <is>
          <t>Hồ Chí Minh</t>
        </is>
      </c>
      <c r="G3656" s="10" t="inlineStr">
        <is>
          <t>24-03-2026</t>
        </is>
      </c>
      <c r="H3656" s="10" t="inlineStr">
        <is>
          <t>24/03/2026</t>
        </is>
      </c>
      <c r="I3656" s="10" t="inlineStr">
        <is>
          <t>17/03/2026</t>
        </is>
      </c>
      <c r="J3656" s="10" t="inlineStr">
        <is>
          <t>Bán hàng / Kinh doanh, Biên phiên dịch, Xuất nhập khẩu</t>
        </is>
      </c>
      <c r="K3656" s="10" t="inlineStr">
        <is>
          <t>Trên 2 Năm</t>
        </is>
      </c>
      <c r="L3656" s="11">
        <f>HYPERLINK("https://careerviet.vn/vi/tim-viec-lam/nhan-vien-kinh-doanh-quoc-te.35C69242.html","Xem chi tiết")</f>
        <v/>
      </c>
      <c r="M3656" s="10" t="n"/>
    </row>
    <row r="3657">
      <c r="B3657" s="7" t="n">
        <v>3655</v>
      </c>
      <c r="C3657" t="inlineStr">
        <is>
          <t>KỸ SƯ MÁY TỰ ĐỘNG HÓA  (SMT - Surface mount technology)</t>
        </is>
      </c>
      <c r="D3657" t="inlineStr">
        <is>
          <t>Công ty TNHH Itswell Vina</t>
        </is>
      </c>
      <c r="E3657" t="inlineStr">
        <is>
          <t>Lương:Cạnh tranh</t>
        </is>
      </c>
      <c r="F3657" t="inlineStr">
        <is>
          <t>Long AnHồ Chí MinhBình Dương</t>
        </is>
      </c>
      <c r="G3657" t="inlineStr">
        <is>
          <t>03-04-2026</t>
        </is>
      </c>
      <c r="H3657" t="inlineStr">
        <is>
          <t>03/04/2026</t>
        </is>
      </c>
      <c r="I3657" t="inlineStr">
        <is>
          <t>17/03/2026</t>
        </is>
      </c>
      <c r="J3657" t="inlineStr">
        <is>
          <t>Cơ khí / Ô tô / Tự động hóa, Điện / Điện tử / Điện lạnh / Điện công nghiệp, Sản xuất / Vận hành sản xuất</t>
        </is>
      </c>
      <c r="K3657" t="inlineStr">
        <is>
          <t>N/A</t>
        </is>
      </c>
      <c r="L3657" s="8">
        <f>HYPERLINK("https://careerviet.vn/vi/tim-viec-lam/ky-su-may-tu-dong-hoa-smt-surface-mount-technology.35C6A8BA.html","Xem chi tiết")</f>
        <v/>
      </c>
    </row>
    <row r="3658">
      <c r="B3658" s="9" t="n">
        <v>3656</v>
      </c>
      <c r="C3658" s="10" t="inlineStr">
        <is>
          <t>Assistant Director</t>
        </is>
      </c>
      <c r="D3658" s="10" t="inlineStr">
        <is>
          <t>Công ty Cổ Phần PMAC</t>
        </is>
      </c>
      <c r="E3658" s="10" t="inlineStr">
        <is>
          <t>Lương:Cạnh tranh</t>
        </is>
      </c>
      <c r="F3658" s="10" t="inlineStr">
        <is>
          <t>Hồ Chí Minh</t>
        </is>
      </c>
      <c r="G3658" s="10" t="inlineStr">
        <is>
          <t>08-04-2026</t>
        </is>
      </c>
      <c r="H3658" s="10" t="inlineStr">
        <is>
          <t>08/04/2026</t>
        </is>
      </c>
      <c r="I3658" s="10" t="inlineStr">
        <is>
          <t>17/03/2026</t>
        </is>
      </c>
      <c r="J3658" s="10" t="inlineStr">
        <is>
          <t>Bán hàng / Kinh doanh, Bán lẻ / Bán sỉ, Hành chính / Thư ký</t>
        </is>
      </c>
      <c r="K3658" s="10" t="inlineStr">
        <is>
          <t>1 - 5 Năm</t>
        </is>
      </c>
      <c r="L3658" s="11">
        <f>HYPERLINK("https://careerviet.vn/vi/tim-viec-lam/assistant-director.35C6B7B1.html","Xem chi tiết")</f>
        <v/>
      </c>
      <c r="M3658" s="10" t="n"/>
    </row>
    <row r="3659">
      <c r="B3659" s="7" t="n">
        <v>3657</v>
      </c>
      <c r="C3659" t="inlineStr">
        <is>
          <t>Chuyên viên Đào tạo</t>
        </is>
      </c>
      <c r="D3659" t="inlineStr">
        <is>
          <t>Tổng Công ty Cổ phần Công trình Viettel</t>
        </is>
      </c>
      <c r="E3659" t="inlineStr">
        <is>
          <t>Lương:Cạnh tranh</t>
        </is>
      </c>
      <c r="F3659" t="inlineStr">
        <is>
          <t>Hà Nội</t>
        </is>
      </c>
      <c r="G3659" t="inlineStr">
        <is>
          <t>02-04-2026</t>
        </is>
      </c>
      <c r="H3659" t="inlineStr">
        <is>
          <t>02/04/2026</t>
        </is>
      </c>
      <c r="I3659" t="inlineStr">
        <is>
          <t>17/03/2026</t>
        </is>
      </c>
      <c r="J3659" t="inlineStr">
        <is>
          <t>Dịch vụ khách hàng, Giáo dục / Đào tạo, Nhân sự</t>
        </is>
      </c>
      <c r="K3659" t="inlineStr">
        <is>
          <t>3 - 4 Năm</t>
        </is>
      </c>
      <c r="L3659" s="8">
        <f>HYPERLINK("https://careerviet.vn/vi/tim-viec-lam/chuyen-vien-dao-tao.35C6A923.html","Xem chi tiết")</f>
        <v/>
      </c>
    </row>
    <row r="3660">
      <c r="B3660" s="9" t="n">
        <v>3658</v>
      </c>
      <c r="C3660" s="10" t="inlineStr">
        <is>
          <t>E-commerce Content Executive</t>
        </is>
      </c>
      <c r="D3660" s="10" t="inlineStr">
        <is>
          <t>CÔNG TY TNHH BLUEZON GLOBAL</t>
        </is>
      </c>
      <c r="E3660" s="10" t="inlineStr">
        <is>
          <t>Lương:10 Tr - 14 Tr VND</t>
        </is>
      </c>
      <c r="F3660" s="10" t="inlineStr">
        <is>
          <t>Hồ Chí Minh</t>
        </is>
      </c>
      <c r="G3660" s="10" t="inlineStr">
        <is>
          <t>31-03-2026</t>
        </is>
      </c>
      <c r="H3660" s="10" t="inlineStr">
        <is>
          <t>31/03/2026</t>
        </is>
      </c>
      <c r="I3660" s="10" t="inlineStr">
        <is>
          <t>17/03/2026</t>
        </is>
      </c>
      <c r="J3660" s="10" t="inlineStr">
        <is>
          <t>Tiếp thị / Marketing, Tiếp thị trực tuyến, Thương mại điện tử</t>
        </is>
      </c>
      <c r="K3660" s="10" t="inlineStr">
        <is>
          <t>N/A</t>
        </is>
      </c>
      <c r="L3660" s="11">
        <f>HYPERLINK("https://careerviet.vn/vi/tim-viec-lam/e-commerce-content-executive.35C6A1AA.html","Xem chi tiết")</f>
        <v/>
      </c>
      <c r="M3660" s="10" t="n"/>
    </row>
    <row r="3661">
      <c r="B3661" s="7" t="n">
        <v>3659</v>
      </c>
      <c r="C3661" t="inlineStr">
        <is>
          <t>[Phú Nhuận] Nhân viên Giám sát vận hành</t>
        </is>
      </c>
      <c r="D3661" t="inlineStr">
        <is>
          <t>Công Ty Cổ Phần Vacxin Việt Nam</t>
        </is>
      </c>
      <c r="E3661" t="inlineStr">
        <is>
          <t>Lương:Cạnh tranh</t>
        </is>
      </c>
      <c r="F3661" t="inlineStr">
        <is>
          <t>Hồ Chí Minh</t>
        </is>
      </c>
      <c r="G3661" t="inlineStr">
        <is>
          <t>09-03-2026</t>
        </is>
      </c>
      <c r="H3661" t="inlineStr">
        <is>
          <t>15/03/2026</t>
        </is>
      </c>
      <c r="I3661" t="inlineStr">
        <is>
          <t>17/03/2026</t>
        </is>
      </c>
      <c r="J3661" t="inlineStr">
        <is>
          <t>Dịch vụ khách hàng, Hành chính / Thư ký, Kế toán / Kiểm toán</t>
        </is>
      </c>
      <c r="K3661" t="inlineStr">
        <is>
          <t>1 - 2 Năm</t>
        </is>
      </c>
      <c r="L3661" s="8">
        <f>HYPERLINK("https://careerviet.vn/vi/tim-viec-lam/phu-nhuan-nhan-vien-giam-sat-van-hanh.35C6A892.html","Xem chi tiết")</f>
        <v/>
      </c>
    </row>
    <row r="3662">
      <c r="B3662" s="9" t="n">
        <v>3660</v>
      </c>
      <c r="C3662" s="10" t="inlineStr">
        <is>
          <t>Chuyên Viên Pháp Lý</t>
        </is>
      </c>
      <c r="D3662" s="10" t="inlineStr">
        <is>
          <t>CÔNG TY TRÁCH NHIỆM HỮU HẠN R.P</t>
        </is>
      </c>
      <c r="E3662" s="10" t="inlineStr">
        <is>
          <t>Lương:Cạnh tranh</t>
        </is>
      </c>
      <c r="F3662" s="10" t="inlineStr">
        <is>
          <t>Hồ Chí Minh</t>
        </is>
      </c>
      <c r="G3662" s="10" t="inlineStr">
        <is>
          <t>09-04-2026</t>
        </is>
      </c>
      <c r="H3662" s="10" t="inlineStr">
        <is>
          <t>09/04/2026</t>
        </is>
      </c>
      <c r="I3662" s="10" t="inlineStr">
        <is>
          <t>17/03/2026</t>
        </is>
      </c>
      <c r="J3662" s="10" t="inlineStr">
        <is>
          <t>Luật / Pháp lý, Hành chính / Thư ký, Xây dựng</t>
        </is>
      </c>
      <c r="K3662" s="10" t="inlineStr">
        <is>
          <t>2 - 5 Năm</t>
        </is>
      </c>
      <c r="L3662" s="11">
        <f>HYPERLINK("https://careerviet.vn/vi/tim-viec-lam/chuyen-vien-phap-ly.35C6B9D1.html","Xem chi tiết")</f>
        <v/>
      </c>
      <c r="M3662" s="10" t="n"/>
    </row>
    <row r="3663">
      <c r="B3663" s="7" t="n">
        <v>3661</v>
      </c>
      <c r="C3663" t="inlineStr">
        <is>
          <t>Nhân viên văn phòng kho (KCN Bàu Bàng)</t>
        </is>
      </c>
      <c r="D3663" t="inlineStr">
        <is>
          <t>RAWLPLUG VIETNAM COMPANY LIMITED</t>
        </is>
      </c>
      <c r="E3663" t="inlineStr">
        <is>
          <t>Lương:Cạnh tranh</t>
        </is>
      </c>
      <c r="F3663" t="inlineStr">
        <is>
          <t>Bình Dương</t>
        </is>
      </c>
      <c r="G3663" t="inlineStr">
        <is>
          <t>03-04-2026</t>
        </is>
      </c>
      <c r="H3663" t="inlineStr">
        <is>
          <t>03/04/2026</t>
        </is>
      </c>
      <c r="I3663" t="inlineStr">
        <is>
          <t>17/03/2026</t>
        </is>
      </c>
      <c r="J3663" t="inlineStr">
        <is>
          <t>Vận chuyển / Giao nhận / Kho vận, Hàng hải, Xuất nhập khẩu</t>
        </is>
      </c>
      <c r="K3663" t="inlineStr">
        <is>
          <t>Lên đến 1 Năm</t>
        </is>
      </c>
      <c r="L3663" s="8">
        <f>HYPERLINK("https://careerviet.vn/vi/tim-viec-lam/nhan-vien-van-phong-kho-kcn-bau-bang.35C6AA5B.html","Xem chi tiết")</f>
        <v/>
      </c>
    </row>
    <row r="3664">
      <c r="B3664" s="9" t="n">
        <v>3662</v>
      </c>
      <c r="C3664" s="10" t="inlineStr">
        <is>
          <t>Quản lý Tuyển Dụng và Đào tạo ( Làm Việc Tại Quận 7)</t>
        </is>
      </c>
      <c r="D3664" s="10" t="inlineStr">
        <is>
          <t>Công Ty TNHH Laser Ưu Việt (OLAS)</t>
        </is>
      </c>
      <c r="E3664" s="10" t="inlineStr">
        <is>
          <t>Lương:Cạnh tranh</t>
        </is>
      </c>
      <c r="F3664" s="10" t="inlineStr">
        <is>
          <t>Hồ Chí Minh</t>
        </is>
      </c>
      <c r="G3664" s="10" t="inlineStr">
        <is>
          <t>24-03-2026</t>
        </is>
      </c>
      <c r="H3664" s="10" t="inlineStr">
        <is>
          <t>24/03/2026</t>
        </is>
      </c>
      <c r="I3664" s="10" t="inlineStr">
        <is>
          <t>17/03/2026</t>
        </is>
      </c>
      <c r="J3664" s="10" t="inlineStr">
        <is>
          <t>Nhân sự, Hành chính / Thư ký</t>
        </is>
      </c>
      <c r="K3664" s="10" t="inlineStr">
        <is>
          <t>5 - 10 Năm</t>
        </is>
      </c>
      <c r="L3664" s="11">
        <f>HYPERLINK("https://careerviet.vn/vi/tim-viec-lam/quan-ly-tuyen-dung-va-dao-tao-lam-viec-tai-quan-7.35C6921A.html","Xem chi tiết")</f>
        <v/>
      </c>
      <c r="M3664" s="10" t="n"/>
    </row>
    <row r="3665">
      <c r="B3665" s="7" t="n">
        <v>3663</v>
      </c>
      <c r="C3665" t="inlineStr">
        <is>
          <t>Quản Lý Chuỗi Cửa Hàng</t>
        </is>
      </c>
      <c r="D3665" t="inlineStr">
        <is>
          <t>Công ty TNHH Jumpo Food</t>
        </is>
      </c>
      <c r="E3665" t="inlineStr">
        <is>
          <t>Lương:15 Tr - 18 Tr VND</t>
        </is>
      </c>
      <c r="F3665" t="inlineStr">
        <is>
          <t>Hồ Chí Minh</t>
        </is>
      </c>
      <c r="G3665" t="inlineStr">
        <is>
          <t>02-04-2026</t>
        </is>
      </c>
      <c r="H3665" t="inlineStr">
        <is>
          <t>02/04/2026</t>
        </is>
      </c>
      <c r="I3665" t="inlineStr">
        <is>
          <t>17/03/2026</t>
        </is>
      </c>
      <c r="J3665" t="inlineStr">
        <is>
          <t>Thực phẩm &amp; Đồ uống, Nhà hàng / Khách sạn</t>
        </is>
      </c>
      <c r="K3665" t="inlineStr">
        <is>
          <t>3 - 5 Năm</t>
        </is>
      </c>
      <c r="L3665" s="8">
        <f>HYPERLINK("https://careerviet.vn/vi/tim-viec-lam/quan-ly-chuoi-cua-hang.35C6A83A.html","Xem chi tiết")</f>
        <v/>
      </c>
    </row>
    <row r="3666">
      <c r="B3666" s="9" t="n">
        <v>3664</v>
      </c>
      <c r="C3666" s="10" t="inlineStr">
        <is>
          <t>Import - Export &amp; Logistics Specialist</t>
        </is>
      </c>
      <c r="D3666" s="10" t="inlineStr">
        <is>
          <t>Công ty Cổ Phần PMAC</t>
        </is>
      </c>
      <c r="E3666" s="10" t="inlineStr">
        <is>
          <t>Lương:15 Tr - 23 Tr VND</t>
        </is>
      </c>
      <c r="F3666" s="10" t="inlineStr">
        <is>
          <t>Hồ Chí Minh</t>
        </is>
      </c>
      <c r="G3666" s="10" t="inlineStr">
        <is>
          <t>02-04-2026</t>
        </is>
      </c>
      <c r="H3666" s="10" t="inlineStr">
        <is>
          <t>02/04/2026</t>
        </is>
      </c>
      <c r="I3666" s="10" t="inlineStr">
        <is>
          <t>17/03/2026</t>
        </is>
      </c>
      <c r="J3666" s="10" t="inlineStr">
        <is>
          <t>Bán hàng / Kinh doanh, Vận chuyển / Giao nhận / Kho vận</t>
        </is>
      </c>
      <c r="K3666" s="10" t="inlineStr">
        <is>
          <t>3 - 15 Năm</t>
        </is>
      </c>
      <c r="L3666" s="11">
        <f>HYPERLINK("https://careerviet.vn/vi/tim-viec-lam/import-export-logistics-specialist.35C6AA6B.html","Xem chi tiết")</f>
        <v/>
      </c>
      <c r="M3666" s="10" t="n"/>
    </row>
    <row r="3667">
      <c r="B3667" s="7" t="n">
        <v>3665</v>
      </c>
      <c r="C3667" t="inlineStr">
        <is>
          <t>Nhân viên Logistics ( XNK, làm thủ tục HQ), Gấp ! (Làm việc tại Q.7)</t>
        </is>
      </c>
      <c r="D3667" t="inlineStr">
        <is>
          <t>Công Ty TNHH Laser Ưu Việt (OLAS)</t>
        </is>
      </c>
      <c r="E3667" t="inlineStr">
        <is>
          <t>Lương:Cạnh tranh</t>
        </is>
      </c>
      <c r="F3667" t="inlineStr">
        <is>
          <t>Hồ Chí Minh</t>
        </is>
      </c>
      <c r="G3667" t="inlineStr">
        <is>
          <t>24-03-2026</t>
        </is>
      </c>
      <c r="H3667" t="inlineStr">
        <is>
          <t>24/03/2026</t>
        </is>
      </c>
      <c r="I3667" t="inlineStr">
        <is>
          <t>17/03/2026</t>
        </is>
      </c>
      <c r="J3667" t="inlineStr">
        <is>
          <t>Vận chuyển / Giao nhận / Kho vận, Xuất nhập khẩu, Thu mua / Vật tư</t>
        </is>
      </c>
      <c r="K3667" t="inlineStr">
        <is>
          <t>1 - 5 Năm</t>
        </is>
      </c>
      <c r="L3667" s="8">
        <f>HYPERLINK("https://careerviet.vn/vi/tim-viec-lam/nhan-vien-logistics-xnk-lam-thu-tuc-hq-gap-lam-viec-tai-q-7.35C6920C.html","Xem chi tiết")</f>
        <v/>
      </c>
    </row>
    <row r="3668">
      <c r="B3668" s="9" t="n">
        <v>3666</v>
      </c>
      <c r="C3668" s="10" t="inlineStr">
        <is>
          <t>Nhân Viên Kế Toán</t>
        </is>
      </c>
      <c r="D3668" s="10" t="inlineStr">
        <is>
          <t>UP Furniture</t>
        </is>
      </c>
      <c r="E3668" s="10" t="inlineStr">
        <is>
          <t>Lương:Cạnh tranh</t>
        </is>
      </c>
      <c r="F3668" s="10" t="inlineStr">
        <is>
          <t>Bình Dương</t>
        </is>
      </c>
      <c r="G3668" s="10" t="inlineStr">
        <is>
          <t>09-04-2026</t>
        </is>
      </c>
      <c r="H3668" s="10" t="inlineStr">
        <is>
          <t>09/04/2026</t>
        </is>
      </c>
      <c r="I3668" s="10" t="inlineStr">
        <is>
          <t>17/03/2026</t>
        </is>
      </c>
      <c r="J3668" s="10" t="inlineStr">
        <is>
          <t>Kế toán / Kiểm toán, Tài chính / Đầu tư, Ngân hàng</t>
        </is>
      </c>
      <c r="K3668" s="10" t="inlineStr">
        <is>
          <t>N/A</t>
        </is>
      </c>
      <c r="L3668" s="11">
        <f>HYPERLINK("https://careerviet.vn/vi/tim-viec-lam/nhan-vien-ke-toan.35C6B9E4.html","Xem chi tiết")</f>
        <v/>
      </c>
      <c r="M3668" s="10" t="n"/>
    </row>
    <row r="3669">
      <c r="B3669" s="7" t="n">
        <v>3667</v>
      </c>
      <c r="C3669" t="inlineStr">
        <is>
          <t>Chuyên viên Quan hệ Lao động</t>
        </is>
      </c>
      <c r="D3669" t="inlineStr">
        <is>
          <t>CÔNG TY CỔ PHẦN DƯỢC PHẨM FPT LONG CHÂU</t>
        </is>
      </c>
      <c r="E3669" t="inlineStr">
        <is>
          <t>Lương:Cạnh tranh</t>
        </is>
      </c>
      <c r="F3669" t="inlineStr">
        <is>
          <t>Hồ Chí Minh</t>
        </is>
      </c>
      <c r="G3669" t="inlineStr">
        <is>
          <t>15-04-2026</t>
        </is>
      </c>
      <c r="H3669" t="inlineStr">
        <is>
          <t>15/04/2026</t>
        </is>
      </c>
      <c r="I3669" t="inlineStr">
        <is>
          <t>17/03/2026</t>
        </is>
      </c>
      <c r="J3669" t="inlineStr">
        <is>
          <t>Bán lẻ / Bán sỉ, Nhân sự</t>
        </is>
      </c>
      <c r="K3669" t="inlineStr">
        <is>
          <t>2 - 3 Năm</t>
        </is>
      </c>
      <c r="L3669" s="8">
        <f>HYPERLINK("https://careerviet.vn/vi/tim-viec-lam/chuyen-vien-quan-he-lao-dong.35C6B9CB.html","Xem chi tiết")</f>
        <v/>
      </c>
    </row>
    <row r="3670">
      <c r="B3670" s="9" t="n">
        <v>3668</v>
      </c>
      <c r="C3670" s="10" t="inlineStr">
        <is>
          <t>Nhân Viên Chăm Sóc Khách Hàng</t>
        </is>
      </c>
      <c r="D3670" s="10" t="inlineStr">
        <is>
          <t>Công ty TNHH Quốc Tế Đại Cát Á</t>
        </is>
      </c>
      <c r="E3670" s="10" t="inlineStr">
        <is>
          <t>Lương:13 Tr - 15 Tr VND</t>
        </is>
      </c>
      <c r="F3670" s="10" t="inlineStr">
        <is>
          <t>Hồ Chí Minh</t>
        </is>
      </c>
      <c r="G3670" s="10" t="inlineStr">
        <is>
          <t>08-04-2026</t>
        </is>
      </c>
      <c r="H3670" s="10" t="inlineStr">
        <is>
          <t>08/04/2026</t>
        </is>
      </c>
      <c r="I3670" s="10" t="inlineStr">
        <is>
          <t>17/03/2026</t>
        </is>
      </c>
      <c r="J3670" s="10" t="inlineStr">
        <is>
          <t>Dược phẩm/ Hóa Mỹ Phẩm, Tư vấn, Dịch vụ khách hàng</t>
        </is>
      </c>
      <c r="K3670" s="10" t="inlineStr">
        <is>
          <t>1 - 2 Năm</t>
        </is>
      </c>
      <c r="L3670" s="11">
        <f>HYPERLINK("https://careerviet.vn/vi/tim-viec-lam/nhan-vien-cham-soc-khach-hang.35C6B9A6.html","Xem chi tiết")</f>
        <v/>
      </c>
      <c r="M3670" s="10" t="n"/>
    </row>
    <row r="3671">
      <c r="B3671" s="7" t="n">
        <v>3669</v>
      </c>
      <c r="C3671" t="inlineStr">
        <is>
          <t>Quản Lý Xưởng Sản Xuất (QLSX)</t>
        </is>
      </c>
      <c r="D3671" t="inlineStr">
        <is>
          <t>Công Ty TNHH Xuất Nhập Khẩu Thái Châu</t>
        </is>
      </c>
      <c r="E3671" t="inlineStr">
        <is>
          <t>Lương:Cạnh tranh</t>
        </is>
      </c>
      <c r="F3671" t="inlineStr">
        <is>
          <t>Long An</t>
        </is>
      </c>
      <c r="G3671" t="inlineStr">
        <is>
          <t>09-04-2026</t>
        </is>
      </c>
      <c r="H3671" t="inlineStr">
        <is>
          <t>09/04/2026</t>
        </is>
      </c>
      <c r="I3671" t="inlineStr">
        <is>
          <t>17/03/2026</t>
        </is>
      </c>
      <c r="J3671" t="inlineStr">
        <is>
          <t>Quản lý chất lượng (QA/QC), Sản xuất / Vận hành sản xuất, Xây dựng</t>
        </is>
      </c>
      <c r="K3671" t="inlineStr">
        <is>
          <t>5 - 7 Năm</t>
        </is>
      </c>
      <c r="L3671" s="8">
        <f>HYPERLINK("https://careerviet.vn/vi/tim-viec-lam/quan-ly-xuong-san-xuat-qlsx.35C6B97C.html","Xem chi tiết")</f>
        <v/>
      </c>
    </row>
    <row r="3672">
      <c r="B3672" s="9" t="n">
        <v>3670</v>
      </c>
      <c r="C3672" s="10" t="inlineStr">
        <is>
          <t>Giám Đốc Khối Sản Xuất</t>
        </is>
      </c>
      <c r="D3672" s="10" t="inlineStr">
        <is>
          <t>Công Ty CP Sản Xuất Bao Bì Công Nghiệp Toàn Cầu</t>
        </is>
      </c>
      <c r="E3672" s="10" t="inlineStr">
        <is>
          <t>Lương:Cạnh tranh</t>
        </is>
      </c>
      <c r="F3672" s="10" t="inlineStr">
        <is>
          <t>Đồng Nai</t>
        </is>
      </c>
      <c r="G3672" s="10" t="inlineStr">
        <is>
          <t>09-04-2026</t>
        </is>
      </c>
      <c r="H3672" s="10" t="inlineStr">
        <is>
          <t>09/04/2026</t>
        </is>
      </c>
      <c r="I3672" s="10" t="inlineStr">
        <is>
          <t>17/03/2026</t>
        </is>
      </c>
      <c r="J3672" s="10" t="inlineStr">
        <is>
          <t>In ấn / Xuất bản, Sản xuất / Vận hành sản xuất, Quản lý chất lượng (QA/QC)</t>
        </is>
      </c>
      <c r="K3672" s="10" t="inlineStr">
        <is>
          <t>Trên 5 Năm</t>
        </is>
      </c>
      <c r="L3672" s="11">
        <f>HYPERLINK("https://careerviet.vn/vi/tim-viec-lam/giam-doc-khoi-san-xuat.35C6B91F.html","Xem chi tiết")</f>
        <v/>
      </c>
      <c r="M3672" s="10" t="n"/>
    </row>
    <row r="3673">
      <c r="B3673" s="7" t="n">
        <v>3671</v>
      </c>
      <c r="C3673" t="inlineStr">
        <is>
          <t>Chuyên Viên Thương Hiệu (Brand Marketing)</t>
        </is>
      </c>
      <c r="D3673" t="inlineStr">
        <is>
          <t>Công ty TNHH MTV Sen Vàng Việt Nam</t>
        </is>
      </c>
      <c r="E3673" t="inlineStr">
        <is>
          <t>Lương:12 Tr - 20 Tr VND</t>
        </is>
      </c>
      <c r="F3673" t="inlineStr">
        <is>
          <t>Hồ Chí Minh</t>
        </is>
      </c>
      <c r="G3673" t="inlineStr">
        <is>
          <t>08-04-2026</t>
        </is>
      </c>
      <c r="H3673" t="inlineStr">
        <is>
          <t>08/04/2026</t>
        </is>
      </c>
      <c r="I3673" t="inlineStr">
        <is>
          <t>17/03/2026</t>
        </is>
      </c>
      <c r="J3673" t="inlineStr">
        <is>
          <t>Tiếp thị / Marketing, Bán lẻ / Bán sỉ, Sản xuất / Vận hành sản xuất</t>
        </is>
      </c>
      <c r="K3673" t="inlineStr">
        <is>
          <t>2 - 3 Năm</t>
        </is>
      </c>
      <c r="L3673" s="8">
        <f>HYPERLINK("https://careerviet.vn/vi/tim-viec-lam/chuyen-vien-thuong-hieu-brand-marketing.35C6B8DE.html","Xem chi tiết")</f>
        <v/>
      </c>
    </row>
    <row r="3674">
      <c r="B3674" s="9" t="n">
        <v>3672</v>
      </c>
      <c r="C3674" s="10" t="inlineStr">
        <is>
          <t>Business Analysis Intern (BA Intern) / Thực tập sinh Phân tích Doanh nghiệp</t>
        </is>
      </c>
      <c r="D3674" s="10" t="inlineStr">
        <is>
          <t>Công ty TNHH Giải pháp Data V Tech</t>
        </is>
      </c>
      <c r="E3674" s="10" t="inlineStr">
        <is>
          <t>Lương:Cạnh tranh</t>
        </is>
      </c>
      <c r="F3674" s="10" t="inlineStr">
        <is>
          <t>Hồ Chí Minh</t>
        </is>
      </c>
      <c r="G3674" s="10" t="inlineStr">
        <is>
          <t>09-04-2026</t>
        </is>
      </c>
      <c r="H3674" s="10" t="inlineStr">
        <is>
          <t>09/04/2026</t>
        </is>
      </c>
      <c r="I3674" s="10" t="inlineStr">
        <is>
          <t>17/03/2026</t>
        </is>
      </c>
      <c r="J3674" s="10" t="inlineStr">
        <is>
          <t>Kế toán / Kiểm toán, CNTT - Phần mềm</t>
        </is>
      </c>
      <c r="K3674" s="10" t="inlineStr">
        <is>
          <t>N/A</t>
        </is>
      </c>
      <c r="L3674" s="11">
        <f>HYPERLINK("https://careerviet.vn/vi/tim-viec-lam/business-analysis-intern-ba-intern-thuc-tap-sinh-phan-tich-doanh-nghiep.35C6B8CF.html","Xem chi tiết")</f>
        <v/>
      </c>
      <c r="M3674" s="10" t="n"/>
    </row>
    <row r="3675">
      <c r="B3675" s="7" t="n">
        <v>3673</v>
      </c>
      <c r="C3675" t="inlineStr">
        <is>
          <t>Chuyên Viên Tư Vấn Tuyển Sinh / Bán Hàng / Kinh Doanh / Sales/ Consultant - Thu Nhập từ 12 triệu đến không giới hạn - ILA Thủ Dầu Một &amp; ILA Lái Thiêu</t>
        </is>
      </c>
      <c r="D3675" t="inlineStr">
        <is>
          <t>ILA Việt Nam</t>
        </is>
      </c>
      <c r="E3675" t="inlineStr">
        <is>
          <t>Lương:Cạnh tranh</t>
        </is>
      </c>
      <c r="F3675" t="inlineStr">
        <is>
          <t>Bình Dương</t>
        </is>
      </c>
      <c r="G3675" t="inlineStr">
        <is>
          <t>Hôm nay</t>
        </is>
      </c>
      <c r="H3675" t="inlineStr">
        <is>
          <t>17/03/2026</t>
        </is>
      </c>
      <c r="I3675" t="inlineStr">
        <is>
          <t>17/03/2026</t>
        </is>
      </c>
      <c r="J3675" t="inlineStr">
        <is>
          <t>Tư vấn, Dịch vụ khách hàng, Giáo dục / Đào tạo</t>
        </is>
      </c>
      <c r="K3675" t="inlineStr">
        <is>
          <t>1 - 2 Năm</t>
        </is>
      </c>
      <c r="L3675" s="8">
        <f>HYPERLINK("https://careerviet.vn/vi/tim-viec-lam/chuyen-vien-tu-van-tuyen-sinh-ban-hang-kinh-doanh-sales-consultant-thu-nhap-tu-12-trieu-den-khong-gioi-han-ila-thu-dau-mot-ila-lai-thieu.35C692E6.html","Xem chi tiết")</f>
        <v/>
      </c>
    </row>
    <row r="3676">
      <c r="B3676" s="9" t="n">
        <v>3674</v>
      </c>
      <c r="C3676" s="10" t="inlineStr">
        <is>
          <t>Senior Business Analyst</t>
        </is>
      </c>
      <c r="D3676" s="10" t="inlineStr">
        <is>
          <t>Coca-Cola Beverages Vietnam</t>
        </is>
      </c>
      <c r="E3676" s="10" t="inlineStr">
        <is>
          <t>Lương:Cạnh tranh</t>
        </is>
      </c>
      <c r="F3676" s="10" t="inlineStr">
        <is>
          <t>Hồ Chí Minh</t>
        </is>
      </c>
      <c r="G3676" s="10" t="inlineStr">
        <is>
          <t>08-04-2026</t>
        </is>
      </c>
      <c r="H3676" s="10" t="inlineStr">
        <is>
          <t>08/04/2026</t>
        </is>
      </c>
      <c r="I3676" s="10" t="inlineStr">
        <is>
          <t>17/03/2026</t>
        </is>
      </c>
      <c r="J3676" s="10" t="inlineStr">
        <is>
          <t>Bán hàng / Kinh doanh, CNTT - Phần mềm, Quản lý điều hành</t>
        </is>
      </c>
      <c r="K3676" s="10" t="inlineStr">
        <is>
          <t>4 - 7 Năm</t>
        </is>
      </c>
      <c r="L3676" s="11">
        <f>HYPERLINK("https://careerviet.vn/vi/tim-viec-lam/senior-business-analyst.35C6B8B7.html","Xem chi tiết")</f>
        <v/>
      </c>
      <c r="M3676" s="10" t="n"/>
    </row>
    <row r="3677">
      <c r="B3677" s="7" t="n">
        <v>3675</v>
      </c>
      <c r="C3677" t="inlineStr">
        <is>
          <t>Data Analysis Intern / Thực tập sinh Phân tích Dữ liệu</t>
        </is>
      </c>
      <c r="D3677" t="inlineStr">
        <is>
          <t>Công ty TNHH Giải pháp Data V Tech</t>
        </is>
      </c>
      <c r="E3677" t="inlineStr">
        <is>
          <t>Lương:3 Tr - 6 Tr VND</t>
        </is>
      </c>
      <c r="F3677" t="inlineStr">
        <is>
          <t>Hồ Chí Minh</t>
        </is>
      </c>
      <c r="G3677" t="inlineStr">
        <is>
          <t>09-04-2026</t>
        </is>
      </c>
      <c r="H3677" t="inlineStr">
        <is>
          <t>09/04/2026</t>
        </is>
      </c>
      <c r="I3677" t="inlineStr">
        <is>
          <t>17/03/2026</t>
        </is>
      </c>
      <c r="J3677" t="inlineStr">
        <is>
          <t>Kế toán / Kiểm toán, CNTT - Phần mềm, Mới tốt nghiệp / Thực tập</t>
        </is>
      </c>
      <c r="K3677" t="inlineStr">
        <is>
          <t>N/A</t>
        </is>
      </c>
      <c r="L3677" s="8">
        <f>HYPERLINK("https://careerviet.vn/vi/tim-viec-lam/data-analysis-intern-thuc-tap-sinh-phan-tich-du-lieu.35C6B8E1.html","Xem chi tiết")</f>
        <v/>
      </c>
    </row>
    <row r="3678">
      <c r="B3678" s="9" t="n">
        <v>3676</v>
      </c>
      <c r="C3678" s="10" t="inlineStr">
        <is>
          <t>Inventory Control Specialist</t>
        </is>
      </c>
      <c r="D3678" s="10" t="inlineStr">
        <is>
          <t>Công Ty Cổ Phần Thời Trang &amp; Mỹ Phẩm Duy Anh (DAFC)</t>
        </is>
      </c>
      <c r="E3678" s="10" t="inlineStr">
        <is>
          <t>Lương:Cạnh tranh</t>
        </is>
      </c>
      <c r="F3678" s="10" t="inlineStr">
        <is>
          <t>Hồ Chí Minh</t>
        </is>
      </c>
      <c r="G3678" s="10" t="inlineStr">
        <is>
          <t>30-04-2026</t>
        </is>
      </c>
      <c r="H3678" s="10" t="inlineStr">
        <is>
          <t>30/04/2026</t>
        </is>
      </c>
      <c r="I3678" s="10" t="inlineStr">
        <is>
          <t>17/03/2026</t>
        </is>
      </c>
      <c r="J3678" s="10" t="inlineStr">
        <is>
          <t>Kế toán / Kiểm toán, Dệt may / Da giày / Thời trang, Vận chuyển / Giao nhận / Kho vận</t>
        </is>
      </c>
      <c r="K3678" s="10" t="inlineStr">
        <is>
          <t>Trên 2 Năm</t>
        </is>
      </c>
      <c r="L3678" s="11">
        <f>HYPERLINK("https://careerviet.vn/vi/tim-viec-lam/inventory-control-specialist.35C6B9B1.html","Xem chi tiết")</f>
        <v/>
      </c>
      <c r="M3678" s="10" t="n"/>
    </row>
    <row r="3679">
      <c r="B3679" s="7" t="n">
        <v>3677</v>
      </c>
      <c r="C3679" t="inlineStr">
        <is>
          <t>Chuyên viên tuyển dụng</t>
        </is>
      </c>
      <c r="D3679" t="inlineStr">
        <is>
          <t>Trường Đại Học Văn Hiến</t>
        </is>
      </c>
      <c r="E3679" t="inlineStr">
        <is>
          <t>Lương:10 Tr - 20 Tr VND</t>
        </is>
      </c>
      <c r="F3679" t="inlineStr">
        <is>
          <t>Hồ Chí Minh</t>
        </is>
      </c>
      <c r="G3679" t="inlineStr">
        <is>
          <t>09-04-2026</t>
        </is>
      </c>
      <c r="H3679" t="inlineStr">
        <is>
          <t>09/04/2026</t>
        </is>
      </c>
      <c r="I3679" t="inlineStr">
        <is>
          <t>17/03/2026</t>
        </is>
      </c>
      <c r="J3679" t="inlineStr">
        <is>
          <t>Hành chính / Thư ký, Nhân sự, Giáo dục / Đào tạo</t>
        </is>
      </c>
      <c r="K3679" t="inlineStr">
        <is>
          <t>2 - 3 Năm</t>
        </is>
      </c>
      <c r="L3679" s="8">
        <f>HYPERLINK("https://careerviet.vn/vi/tim-viec-lam/chuyen-vien-tuyen-dung.35C6B848.html","Xem chi tiết")</f>
        <v/>
      </c>
    </row>
    <row r="3680">
      <c r="B3680" s="9" t="n">
        <v>3678</v>
      </c>
      <c r="C3680" s="10" t="inlineStr">
        <is>
          <t>Network Engineer - Kỹ Sư Mạng (Không Yêu Cầu Kinh Nghiệm)</t>
        </is>
      </c>
      <c r="D3680" s="10" t="inlineStr">
        <is>
          <t>KDDI Vietnam - HCM GNOC (Ho Chi Minh Global Network Operations Center)</t>
        </is>
      </c>
      <c r="E3680" s="10" t="inlineStr">
        <is>
          <t>Lương:11 Tr - 13 Tr VND</t>
        </is>
      </c>
      <c r="F3680" s="10" t="inlineStr">
        <is>
          <t>Hồ Chí Minh</t>
        </is>
      </c>
      <c r="G3680" s="10" t="inlineStr">
        <is>
          <t>30-04-2026</t>
        </is>
      </c>
      <c r="H3680" s="10" t="inlineStr">
        <is>
          <t>30/04/2026</t>
        </is>
      </c>
      <c r="I3680" s="10" t="inlineStr">
        <is>
          <t>17/03/2026</t>
        </is>
      </c>
      <c r="J3680" s="10" t="inlineStr">
        <is>
          <t>Bưu chính viễn thông, CNTT - Phần cứng / Mạng, Mới tốt nghiệp / Thực tập</t>
        </is>
      </c>
      <c r="K3680" s="10" t="inlineStr">
        <is>
          <t>N/A</t>
        </is>
      </c>
      <c r="L3680" s="11">
        <f>HYPERLINK("https://careerviet.vn/vi/tim-viec-lam/network-engineer-ky-su-mang-khong-yeu-cau-kinh-nghiem.35C6B986.html","Xem chi tiết")</f>
        <v/>
      </c>
      <c r="M3680" s="10" t="n"/>
    </row>
    <row r="3681">
      <c r="B3681" s="7" t="n">
        <v>3679</v>
      </c>
      <c r="C3681" t="inlineStr">
        <is>
          <t>Nhân viên chứng từ khai báo hải quan (Hợp đồng lao động 7 tháng)</t>
        </is>
      </c>
      <c r="D3681" t="inlineStr">
        <is>
          <t>JUPITER PACIFIC FORWARDING JOINT STOCK COMPANY</t>
        </is>
      </c>
      <c r="E3681" t="inlineStr">
        <is>
          <t>Lương:Cạnh tranh</t>
        </is>
      </c>
      <c r="F3681" t="inlineStr">
        <is>
          <t>Hồ Chí Minh</t>
        </is>
      </c>
      <c r="G3681" t="inlineStr">
        <is>
          <t>08-04-2026</t>
        </is>
      </c>
      <c r="H3681" t="inlineStr">
        <is>
          <t>08/04/2026</t>
        </is>
      </c>
      <c r="I3681" t="inlineStr">
        <is>
          <t>17/03/2026</t>
        </is>
      </c>
      <c r="J3681" t="inlineStr">
        <is>
          <t>Vận chuyển / Giao nhận / Kho vận, Xuất nhập khẩu, Hành chính / Thư ký</t>
        </is>
      </c>
      <c r="K3681" t="inlineStr">
        <is>
          <t>Trên 1 Năm</t>
        </is>
      </c>
      <c r="L3681" s="8">
        <f>HYPERLINK("https://careerviet.vn/vi/tim-viec-lam/nhan-vien-chung-tu-khai-bao-hai-quan-hop-dong-lao-dong-7-thang.35C6B85B.html","Xem chi tiết")</f>
        <v/>
      </c>
    </row>
    <row r="3682">
      <c r="B3682" s="9" t="n">
        <v>3680</v>
      </c>
      <c r="C3682" s="10" t="inlineStr">
        <is>
          <t>Hyosung &amp; HS Hyosung Gongchae 2026 – Tuyển Dụng 50 Vị Trí Dành Cho Ứng Viên Mới Ra Trường &amp; Dưới 2 Năm Kinh Nghiệm</t>
        </is>
      </c>
      <c r="D3682" s="10" t="inlineStr">
        <is>
          <t>HYOSUNG &amp; HS HYOSUNG</t>
        </is>
      </c>
      <c r="E3682" s="10" t="inlineStr">
        <is>
          <t>Lương:450 - 550 USD</t>
        </is>
      </c>
      <c r="F3682" s="10" t="inlineStr">
        <is>
          <t>Hồ Chí MinhĐồng Nai</t>
        </is>
      </c>
      <c r="G3682" s="10" t="inlineStr">
        <is>
          <t>04-04-2026</t>
        </is>
      </c>
      <c r="H3682" s="10" t="inlineStr">
        <is>
          <t>04/04/2026</t>
        </is>
      </c>
      <c r="I3682" s="10" t="inlineStr">
        <is>
          <t>17/03/2026</t>
        </is>
      </c>
      <c r="J3682" s="10" t="inlineStr">
        <is>
          <t>Cơ khí / Ô tô / Tự động hóa, Hóa học, Sản xuất / Vận hành sản xuất</t>
        </is>
      </c>
      <c r="K3682" s="10" t="inlineStr">
        <is>
          <t>N/A</t>
        </is>
      </c>
      <c r="L3682" s="11">
        <f>HYPERLINK("https://careerviet.vn/vi/tim-viec-lam/hyosung-hs-hyosung-gongchae-2026-tuyen-dung-50-vi-tri-danh-cho-ung-vien-moi-ra-truong-duoi-2-nam-kinh-nghiem.35C6B825.html","Xem chi tiết")</f>
        <v/>
      </c>
      <c r="M3682" s="10" t="n"/>
    </row>
    <row r="3683">
      <c r="B3683" s="7" t="n">
        <v>3681</v>
      </c>
      <c r="C3683" t="inlineStr">
        <is>
          <t>HÀNH CHÍNH – THƯ KÝ</t>
        </is>
      </c>
      <c r="D3683" t="inlineStr">
        <is>
          <t>Công Ty CP Xây Dựng A&amp;C</t>
        </is>
      </c>
      <c r="E3683" t="inlineStr">
        <is>
          <t>Lương:Cạnh tranh</t>
        </is>
      </c>
      <c r="F3683" t="inlineStr">
        <is>
          <t>Hồ Chí Minh</t>
        </is>
      </c>
      <c r="G3683" t="inlineStr">
        <is>
          <t>31-03-2026</t>
        </is>
      </c>
      <c r="H3683" t="inlineStr">
        <is>
          <t>31/03/2026</t>
        </is>
      </c>
      <c r="I3683" t="inlineStr">
        <is>
          <t>17/03/2026</t>
        </is>
      </c>
      <c r="J3683" t="inlineStr">
        <is>
          <t>Hành chính / Thư ký</t>
        </is>
      </c>
      <c r="K3683" t="inlineStr">
        <is>
          <t>1 - 3 Năm</t>
        </is>
      </c>
      <c r="L3683" s="8">
        <f>HYPERLINK("https://careerviet.vn/vi/tim-viec-lam/hanh-chinh-thu-ky.35C6B7F1.html","Xem chi tiết")</f>
        <v/>
      </c>
    </row>
    <row r="3684">
      <c r="B3684" s="9" t="n">
        <v>3682</v>
      </c>
      <c r="C3684" s="10" t="inlineStr">
        <is>
          <t>Marketing Executive</t>
        </is>
      </c>
      <c r="D3684" s="10" t="inlineStr">
        <is>
          <t>Công Ty TNHH Daily Effect</t>
        </is>
      </c>
      <c r="E3684" s="10" t="inlineStr">
        <is>
          <t>Lương:10 Tr - 14 Tr VND</t>
        </is>
      </c>
      <c r="F3684" s="10" t="inlineStr">
        <is>
          <t>Hồ Chí Minh</t>
        </is>
      </c>
      <c r="G3684" s="10" t="inlineStr">
        <is>
          <t>01-04-2026</t>
        </is>
      </c>
      <c r="H3684" s="10" t="inlineStr">
        <is>
          <t>01/04/2026</t>
        </is>
      </c>
      <c r="I3684" s="10" t="inlineStr">
        <is>
          <t>17/03/2026</t>
        </is>
      </c>
      <c r="J3684" s="10" t="inlineStr">
        <is>
          <t>Y tế / Chăm sóc sức khỏe / Thẩm mỹ / Làm đẹp, Tiếp thị / Marketing, Quảng cáo / Đối ngoại / Truyền Thông</t>
        </is>
      </c>
      <c r="K3684" s="10" t="inlineStr">
        <is>
          <t>1 - 2 Năm</t>
        </is>
      </c>
      <c r="L3684" s="11">
        <f>HYPERLINK("https://careerviet.vn/vi/tim-viec-lam/marketing-executive.35C6B65B.html","Xem chi tiết")</f>
        <v/>
      </c>
      <c r="M3684" s="10" t="n"/>
    </row>
    <row r="3685">
      <c r="B3685" s="7" t="n">
        <v>3683</v>
      </c>
      <c r="C3685" t="inlineStr">
        <is>
          <t>Chuyên viên C&amp;B</t>
        </is>
      </c>
      <c r="D3685" t="inlineStr">
        <is>
          <t>Long Hải Securitas</t>
        </is>
      </c>
      <c r="E3685" t="inlineStr">
        <is>
          <t>Lương:Cạnh tranh</t>
        </is>
      </c>
      <c r="F3685" t="inlineStr">
        <is>
          <t>Hồ Chí Minh</t>
        </is>
      </c>
      <c r="G3685" t="inlineStr">
        <is>
          <t>09-04-2026</t>
        </is>
      </c>
      <c r="H3685" t="inlineStr">
        <is>
          <t>09/04/2026</t>
        </is>
      </c>
      <c r="I3685" t="inlineStr">
        <is>
          <t>17/03/2026</t>
        </is>
      </c>
      <c r="J3685" t="inlineStr">
        <is>
          <t>Nhân sự</t>
        </is>
      </c>
      <c r="K3685" t="inlineStr">
        <is>
          <t>3 - 5 Năm</t>
        </is>
      </c>
      <c r="L3685" s="8">
        <f>HYPERLINK("https://careerviet.vn/vi/tim-viec-lam/chuyen-vien-c-b.35C6B832.html","Xem chi tiết")</f>
        <v/>
      </c>
    </row>
    <row r="3686">
      <c r="B3686" s="9" t="n">
        <v>3684</v>
      </c>
      <c r="C3686" s="10" t="inlineStr">
        <is>
          <t>Nhân viên thu mua</t>
        </is>
      </c>
      <c r="D3686" s="10" t="inlineStr">
        <is>
          <t>CÔNG TY TNHH KIỀU FOODS VIỆT NAM</t>
        </is>
      </c>
      <c r="E3686" s="10" t="inlineStr">
        <is>
          <t>Lương:8 Tr - 12 Tr VND</t>
        </is>
      </c>
      <c r="F3686" s="10" t="inlineStr">
        <is>
          <t>Quảng Ngãi</t>
        </is>
      </c>
      <c r="G3686" s="10" t="inlineStr">
        <is>
          <t>31-03-2026</t>
        </is>
      </c>
      <c r="H3686" s="10" t="inlineStr">
        <is>
          <t>31/03/2026</t>
        </is>
      </c>
      <c r="I3686" s="10" t="inlineStr">
        <is>
          <t>17/03/2026</t>
        </is>
      </c>
      <c r="J3686" s="10" t="inlineStr">
        <is>
          <t>Thực phẩm &amp; Đồ uống, Kế toán / Kiểm toán</t>
        </is>
      </c>
      <c r="K3686" s="10" t="inlineStr">
        <is>
          <t>1 - 2 Năm</t>
        </is>
      </c>
      <c r="L3686" s="11">
        <f>HYPERLINK("https://careerviet.vn/vi/tim-viec-lam/nhan-vien-thu-mua.35C6B924.html","Xem chi tiết")</f>
        <v/>
      </c>
      <c r="M3686" s="10" t="n"/>
    </row>
    <row r="3687">
      <c r="B3687" s="7" t="n">
        <v>3685</v>
      </c>
      <c r="C3687" t="inlineStr">
        <is>
          <t>Data Analyst - Customer (English speaking required)</t>
        </is>
      </c>
      <c r="D3687" t="inlineStr">
        <is>
          <t>CÔNG TY CỔ PHẦN KREDIVO VIỆT NAM</t>
        </is>
      </c>
      <c r="E3687" t="inlineStr">
        <is>
          <t>Lương:Cạnh tranh</t>
        </is>
      </c>
      <c r="F3687" t="inlineStr">
        <is>
          <t>Hồ Chí Minh</t>
        </is>
      </c>
      <c r="G3687" t="inlineStr">
        <is>
          <t>10-04-2026</t>
        </is>
      </c>
      <c r="H3687" t="inlineStr">
        <is>
          <t>10/04/2026</t>
        </is>
      </c>
      <c r="I3687" t="inlineStr">
        <is>
          <t>17/03/2026</t>
        </is>
      </c>
      <c r="J3687" t="inlineStr">
        <is>
          <t>Ngân hàng, Tài chính / Đầu tư</t>
        </is>
      </c>
      <c r="K3687" t="inlineStr">
        <is>
          <t>1 - 10 Năm</t>
        </is>
      </c>
      <c r="L3687" s="8">
        <f>HYPERLINK("https://careerviet.vn/vi/tim-viec-lam/data-analyst-customer-english-speaking-required.35C6B847.html","Xem chi tiết")</f>
        <v/>
      </c>
    </row>
    <row r="3688">
      <c r="B3688" s="9" t="n">
        <v>3686</v>
      </c>
      <c r="C3688" s="10" t="inlineStr">
        <is>
          <t>QA Manager</t>
        </is>
      </c>
      <c r="D3688" s="10" t="inlineStr">
        <is>
          <t>Bảo mật</t>
        </is>
      </c>
      <c r="E3688" s="10" t="inlineStr">
        <is>
          <t>Lương:Cạnh tranh</t>
        </is>
      </c>
      <c r="F3688" s="10" t="inlineStr">
        <is>
          <t>Bình Dương</t>
        </is>
      </c>
      <c r="G3688" s="10" t="inlineStr">
        <is>
          <t>14-05-2026</t>
        </is>
      </c>
      <c r="H3688" s="10" t="inlineStr">
        <is>
          <t>14/05/2026</t>
        </is>
      </c>
      <c r="I3688" s="10" t="inlineStr">
        <is>
          <t>17/03/2026</t>
        </is>
      </c>
      <c r="J3688" s="10" t="inlineStr">
        <is>
          <t>Công nghệ thực phẩm / Dinh dưỡng, Hóa học, Quản lý chất lượng (QA/QC)</t>
        </is>
      </c>
      <c r="K3688" s="10" t="inlineStr">
        <is>
          <t>3 - 5 Năm</t>
        </is>
      </c>
      <c r="L3688" s="11">
        <f>HYPERLINK("https://careerviet.vn/vi/tim-viec-lam/qa-manager.35C6B70D.html","Xem chi tiết")</f>
        <v/>
      </c>
      <c r="M3688" s="10" t="n"/>
    </row>
    <row r="3689">
      <c r="B3689" s="7" t="n">
        <v>3687</v>
      </c>
      <c r="C3689" t="inlineStr">
        <is>
          <t>Giám sát bán hàng GT</t>
        </is>
      </c>
      <c r="D3689" t="inlineStr">
        <is>
          <t>CHI NHÁNH CT CP TẬP ĐOÀN SUNHOUSE TẠI TPHCM</t>
        </is>
      </c>
      <c r="E3689" t="inlineStr">
        <is>
          <t>Lương:18 Tr - 35 Tr VND</t>
        </is>
      </c>
      <c r="F3689" t="inlineStr">
        <is>
          <t>Hồ Chí Minh</t>
        </is>
      </c>
      <c r="G3689" t="inlineStr">
        <is>
          <t>30-04-2026</t>
        </is>
      </c>
      <c r="H3689" t="inlineStr">
        <is>
          <t>30/04/2026</t>
        </is>
      </c>
      <c r="I3689" t="inlineStr">
        <is>
          <t>17/03/2026</t>
        </is>
      </c>
      <c r="J3689" t="inlineStr">
        <is>
          <t>Tiếp thị / Marketing, Bán lẻ / Bán sỉ, Bán hàng / Kinh doanh</t>
        </is>
      </c>
      <c r="K3689" t="inlineStr">
        <is>
          <t>2 - 4 Năm</t>
        </is>
      </c>
      <c r="L3689" s="8">
        <f>HYPERLINK("https://careerviet.vn/vi/tim-viec-lam/giam-sat-ban-hang-gt.35C6B789.html","Xem chi tiết")</f>
        <v/>
      </c>
    </row>
    <row r="3690">
      <c r="B3690" s="9" t="n">
        <v>3688</v>
      </c>
      <c r="C3690" s="10" t="inlineStr">
        <is>
          <t>Quản lý dự án</t>
        </is>
      </c>
      <c r="D3690" s="10" t="inlineStr">
        <is>
          <t>CÔNG TY CỔ PHẦN TẬP ĐOÀN HAMIER VIỆT NAM - LG CLINIC</t>
        </is>
      </c>
      <c r="E3690" s="10" t="inlineStr">
        <is>
          <t>Lương:30 Tr - 40 Tr VND</t>
        </is>
      </c>
      <c r="F3690" s="10" t="inlineStr">
        <is>
          <t>Hồ Chí Minh</t>
        </is>
      </c>
      <c r="G3690" s="10" t="inlineStr">
        <is>
          <t>10-04-2026</t>
        </is>
      </c>
      <c r="H3690" s="10" t="inlineStr">
        <is>
          <t>10/04/2026</t>
        </is>
      </c>
      <c r="I3690" s="10" t="inlineStr">
        <is>
          <t>17/03/2026</t>
        </is>
      </c>
      <c r="J3690" s="10" t="inlineStr">
        <is>
          <t>Kiến trúc, Xây dựng, Nội ngoại thất</t>
        </is>
      </c>
      <c r="K3690" s="10" t="inlineStr">
        <is>
          <t>5 - 8 Năm</t>
        </is>
      </c>
      <c r="L3690" s="11">
        <f>HYPERLINK("https://careerviet.vn/vi/tim-viec-lam/quan-ly-du-an.35C6B8A6.html","Xem chi tiết")</f>
        <v/>
      </c>
      <c r="M3690" s="10" t="n"/>
    </row>
    <row r="3691">
      <c r="B3691" s="7" t="n">
        <v>3689</v>
      </c>
      <c r="C3691" t="inlineStr">
        <is>
          <t>TRƯỞNG PHÒNG KẾ TOÁN</t>
        </is>
      </c>
      <c r="D3691" t="inlineStr">
        <is>
          <t>Công ty TNHH Xây Dựng Lê Thy</t>
        </is>
      </c>
      <c r="E3691" t="inlineStr">
        <is>
          <t>Lương:30 Tr - 40 Tr VND</t>
        </is>
      </c>
      <c r="F3691" t="inlineStr">
        <is>
          <t>Hồ Chí Minh</t>
        </is>
      </c>
      <c r="G3691" t="inlineStr">
        <is>
          <t>31-03-2026</t>
        </is>
      </c>
      <c r="H3691" t="inlineStr">
        <is>
          <t>31/03/2026</t>
        </is>
      </c>
      <c r="I3691" t="inlineStr">
        <is>
          <t>17/03/2026</t>
        </is>
      </c>
      <c r="J3691" t="inlineStr">
        <is>
          <t>Kế toán / Kiểm toán</t>
        </is>
      </c>
      <c r="K3691" t="inlineStr">
        <is>
          <t>3 - 5 Năm</t>
        </is>
      </c>
      <c r="L3691" s="8">
        <f>HYPERLINK("https://careerviet.vn/vi/tim-viec-lam/truong-phong-ke-toan.35C6B79C.html","Xem chi tiết")</f>
        <v/>
      </c>
    </row>
    <row r="3692">
      <c r="B3692" s="9" t="n">
        <v>3690</v>
      </c>
      <c r="C3692" s="10" t="inlineStr">
        <is>
          <t>Marketing Executive</t>
        </is>
      </c>
      <c r="D3692" s="10" t="inlineStr">
        <is>
          <t>CÔNG TY TNHH THƯƠNG MẠI LÝ PHONG</t>
        </is>
      </c>
      <c r="E3692" s="10" t="inlineStr">
        <is>
          <t>Lương:Cạnh tranh</t>
        </is>
      </c>
      <c r="F3692" s="10" t="inlineStr">
        <is>
          <t>Hồ Chí Minh</t>
        </is>
      </c>
      <c r="G3692" s="10" t="inlineStr">
        <is>
          <t>08-04-2026</t>
        </is>
      </c>
      <c r="H3692" s="10" t="inlineStr">
        <is>
          <t>08/04/2026</t>
        </is>
      </c>
      <c r="I3692" s="10" t="inlineStr">
        <is>
          <t>17/03/2026</t>
        </is>
      </c>
      <c r="J3692" s="10" t="inlineStr">
        <is>
          <t>Tiếp thị / Marketing, Tiếp thị trực tuyến, Quảng cáo / Đối ngoại / Truyền Thông</t>
        </is>
      </c>
      <c r="K3692" s="10" t="inlineStr">
        <is>
          <t>Trên 1 Năm</t>
        </is>
      </c>
      <c r="L3692" s="11">
        <f>HYPERLINK("https://careerviet.vn/vi/tim-viec-lam/marketing-executive.35C6B753.html","Xem chi tiết")</f>
        <v/>
      </c>
      <c r="M3692" s="10" t="n"/>
    </row>
    <row r="3693">
      <c r="B3693" s="7" t="n">
        <v>3691</v>
      </c>
      <c r="C3693" t="inlineStr">
        <is>
          <t>Trưởng Bộ phận Nhân sự</t>
        </is>
      </c>
      <c r="D3693" t="inlineStr">
        <is>
          <t>Công ty TNHH Xây Dựng Lê Thy</t>
        </is>
      </c>
      <c r="E3693" t="inlineStr">
        <is>
          <t>Lương:20 Tr - 30 Tr VND</t>
        </is>
      </c>
      <c r="F3693" t="inlineStr">
        <is>
          <t>Hồ Chí MinhĐồng Nai</t>
        </is>
      </c>
      <c r="G3693" t="inlineStr">
        <is>
          <t>31-03-2026</t>
        </is>
      </c>
      <c r="H3693" t="inlineStr">
        <is>
          <t>31/03/2026</t>
        </is>
      </c>
      <c r="I3693" t="inlineStr">
        <is>
          <t>17/03/2026</t>
        </is>
      </c>
      <c r="J3693" t="inlineStr">
        <is>
          <t>Nhân sự</t>
        </is>
      </c>
      <c r="K3693" t="inlineStr">
        <is>
          <t>3 - 5 Năm</t>
        </is>
      </c>
      <c r="L3693" s="8">
        <f>HYPERLINK("https://careerviet.vn/vi/tim-viec-lam/truong-bo-phan-nhan-su.35C6B731.html","Xem chi tiết")</f>
        <v/>
      </c>
    </row>
    <row r="3694">
      <c r="B3694" s="9" t="n">
        <v>3692</v>
      </c>
      <c r="C3694" s="10" t="inlineStr">
        <is>
          <t>E-Commerce Leader (Ngành F&amp;B)</t>
        </is>
      </c>
      <c r="D3694" s="10" t="inlineStr">
        <is>
          <t>CÔNG TY CỔ PHẦN SENSE OF LIFE</t>
        </is>
      </c>
      <c r="E3694" s="10" t="inlineStr">
        <is>
          <t>Lương:Cạnh tranh</t>
        </is>
      </c>
      <c r="F3694" s="10" t="inlineStr">
        <is>
          <t>Hồ Chí Minh</t>
        </is>
      </c>
      <c r="G3694" s="10" t="inlineStr">
        <is>
          <t>08-04-2026</t>
        </is>
      </c>
      <c r="H3694" s="10" t="inlineStr">
        <is>
          <t>08/04/2026</t>
        </is>
      </c>
      <c r="I3694" s="10" t="inlineStr">
        <is>
          <t>17/03/2026</t>
        </is>
      </c>
      <c r="J3694" s="10" t="inlineStr">
        <is>
          <t>Tiếp thị / Marketing, Thương mại điện tử, Tiếp thị trực tuyến</t>
        </is>
      </c>
      <c r="K3694" s="10" t="inlineStr">
        <is>
          <t>3 - 5 Năm</t>
        </is>
      </c>
      <c r="L3694" s="11">
        <f>HYPERLINK("https://careerviet.vn/vi/tim-viec-lam/e-commerce-leader-nganh-f-b.35C6B781.html","Xem chi tiết")</f>
        <v/>
      </c>
      <c r="M3694" s="10" t="n"/>
    </row>
    <row r="3695">
      <c r="B3695" s="7" t="n">
        <v>3693</v>
      </c>
      <c r="C3695" t="inlineStr">
        <is>
          <t>Nhân viên thu mua</t>
        </is>
      </c>
      <c r="D3695" t="inlineStr">
        <is>
          <t>CÔNG TY TNHH PING SHENG FENG (PING GROUP)</t>
        </is>
      </c>
      <c r="E3695" t="inlineStr">
        <is>
          <t>Lương:7 Tr - 9 Tr VND</t>
        </is>
      </c>
      <c r="F3695" t="inlineStr">
        <is>
          <t>Hồ Chí Minh</t>
        </is>
      </c>
      <c r="G3695" t="inlineStr">
        <is>
          <t>30-04-2026</t>
        </is>
      </c>
      <c r="H3695" t="inlineStr">
        <is>
          <t>30/04/2026</t>
        </is>
      </c>
      <c r="I3695" t="inlineStr">
        <is>
          <t>17/03/2026</t>
        </is>
      </c>
      <c r="J3695" t="inlineStr">
        <is>
          <t>Thực phẩm &amp; Đồ uống, Nhà hàng / Khách sạn, Hành chính / Thư ký</t>
        </is>
      </c>
      <c r="K3695" t="inlineStr">
        <is>
          <t>Lên đến 1 Năm</t>
        </is>
      </c>
      <c r="L3695" s="8">
        <f>HYPERLINK("https://careerviet.vn/vi/tim-viec-lam/nhan-vien-thu-mua.35C6AE17.html","Xem chi tiết")</f>
        <v/>
      </c>
    </row>
    <row r="3696">
      <c r="B3696" s="9" t="n">
        <v>3694</v>
      </c>
      <c r="C3696" s="10" t="inlineStr">
        <is>
          <t>Nhân viên theo dõi đơn hàng Merchandiser ( Biết T.Anh hoặc T.Trung)</t>
        </is>
      </c>
      <c r="D3696" s="10" t="inlineStr">
        <is>
          <t>CÔNG TY TNHH POLYTEX  FAR EASTERN (VIỆT NAM)</t>
        </is>
      </c>
      <c r="E3696" s="10" t="inlineStr">
        <is>
          <t>Lương:11 Tr - 18 Tr VND</t>
        </is>
      </c>
      <c r="F3696" s="10" t="inlineStr">
        <is>
          <t>Bình Dương</t>
        </is>
      </c>
      <c r="G3696" s="10" t="inlineStr">
        <is>
          <t>30-04-2026</t>
        </is>
      </c>
      <c r="H3696" s="10" t="inlineStr">
        <is>
          <t>30/04/2026</t>
        </is>
      </c>
      <c r="I3696" s="10" t="inlineStr">
        <is>
          <t>17/03/2026</t>
        </is>
      </c>
      <c r="J3696" s="10" t="inlineStr">
        <is>
          <t>Dệt may / Da giày / Thời trang, Bán hàng / Kinh doanh, Sản xuất / Vận hành sản xuất</t>
        </is>
      </c>
      <c r="K3696" s="10" t="inlineStr">
        <is>
          <t>Lên đến 4 Năm</t>
        </is>
      </c>
      <c r="L3696" s="11">
        <f>HYPERLINK("https://careerviet.vn/vi/tim-viec-lam/nhan-vien-theo-doi-don-hang-merchandiser-biet-t-anh-hoac-t-trung.35C68EC8.html","Xem chi tiết")</f>
        <v/>
      </c>
      <c r="M3696" s="10" t="n"/>
    </row>
    <row r="3697">
      <c r="B3697" s="7" t="n">
        <v>3695</v>
      </c>
      <c r="C3697" t="inlineStr">
        <is>
          <t>Quản lý vận hành - OM</t>
        </is>
      </c>
      <c r="D3697" t="inlineStr">
        <is>
          <t>Công Ty Cổ Phần Đầu Tư Viên Ngọc Mới</t>
        </is>
      </c>
      <c r="E3697" t="inlineStr">
        <is>
          <t>Lương:Cạnh tranh</t>
        </is>
      </c>
      <c r="F3697" t="inlineStr">
        <is>
          <t>Hồ Chí Minh</t>
        </is>
      </c>
      <c r="G3697" t="inlineStr">
        <is>
          <t>09-04-2026</t>
        </is>
      </c>
      <c r="H3697" t="inlineStr">
        <is>
          <t>09/04/2026</t>
        </is>
      </c>
      <c r="I3697" t="inlineStr">
        <is>
          <t>17/03/2026</t>
        </is>
      </c>
      <c r="J3697" t="inlineStr">
        <is>
          <t>Nhà hàng / Khách sạn, Thực phẩm &amp; Đồ uống, Bán hàng / Kinh doanh</t>
        </is>
      </c>
      <c r="K3697" t="inlineStr">
        <is>
          <t>Trên 5 Năm</t>
        </is>
      </c>
      <c r="L3697" s="8">
        <f>HYPERLINK("https://careerviet.vn/vi/tim-viec-lam/quan-ly-van-hanh-om.35C6B72F.html","Xem chi tiết")</f>
        <v/>
      </c>
    </row>
    <row r="3698">
      <c r="B3698" s="9" t="n">
        <v>3696</v>
      </c>
      <c r="C3698" s="10" t="inlineStr">
        <is>
          <t>Nhân viên Marketing</t>
        </is>
      </c>
      <c r="D3698" s="10" t="inlineStr">
        <is>
          <t>Công Ty TNHH CHEMILENS</t>
        </is>
      </c>
      <c r="E3698" s="10" t="inlineStr">
        <is>
          <t>Lương:13 Tr - 20 Tr VND</t>
        </is>
      </c>
      <c r="F3698" s="10" t="inlineStr">
        <is>
          <t>Hồ Chí Minh</t>
        </is>
      </c>
      <c r="G3698" s="10" t="inlineStr">
        <is>
          <t>06-04-2026</t>
        </is>
      </c>
      <c r="H3698" s="10" t="inlineStr">
        <is>
          <t>06/04/2026</t>
        </is>
      </c>
      <c r="I3698" s="10" t="inlineStr">
        <is>
          <t>17/03/2026</t>
        </is>
      </c>
      <c r="J3698" s="10" t="inlineStr">
        <is>
          <t>Tiếp thị / Marketing, Quảng cáo / Đối ngoại / Truyền Thông, Tiếp thị trực tuyến</t>
        </is>
      </c>
      <c r="K3698" s="10" t="inlineStr">
        <is>
          <t>2 - 3 Năm</t>
        </is>
      </c>
      <c r="L3698" s="11">
        <f>HYPERLINK("https://careerviet.vn/vi/tim-viec-lam/nhan-vien-marketing.35C6B4A7.html","Xem chi tiết")</f>
        <v/>
      </c>
      <c r="M3698" s="10" t="n"/>
    </row>
    <row r="3699">
      <c r="B3699" s="7" t="n">
        <v>3697</v>
      </c>
      <c r="C3699" t="inlineStr">
        <is>
          <t>Kế Toán Trưởng (Bình Dương)</t>
        </is>
      </c>
      <c r="D3699" t="inlineStr">
        <is>
          <t>CÔNG TY CỔ PHẦN TRANSIMEX</t>
        </is>
      </c>
      <c r="E3699" t="inlineStr">
        <is>
          <t>Lương:Cạnh tranh</t>
        </is>
      </c>
      <c r="F3699" t="inlineStr">
        <is>
          <t>Bình Dương</t>
        </is>
      </c>
      <c r="G3699" t="inlineStr">
        <is>
          <t>3</t>
        </is>
      </c>
      <c r="H3699" t="inlineStr">
        <is>
          <t>20/03/2026</t>
        </is>
      </c>
      <c r="I3699" t="inlineStr">
        <is>
          <t>17/03/2026</t>
        </is>
      </c>
      <c r="J3699" t="inlineStr">
        <is>
          <t>Kế toán / Kiểm toán, Quản lý điều hành, Tài chính / Đầu tư</t>
        </is>
      </c>
      <c r="K3699" t="inlineStr">
        <is>
          <t>5 - 10 Năm</t>
        </is>
      </c>
      <c r="L3699" s="8">
        <f>HYPERLINK("https://careerviet.vn/vi/tim-viec-lam/ke-toan-truong-binh-duong.35C65F77.html","Xem chi tiết")</f>
        <v/>
      </c>
    </row>
    <row r="3700">
      <c r="B3700" s="9" t="n">
        <v>3698</v>
      </c>
      <c r="C3700" s="10" t="inlineStr">
        <is>
          <t>Điều Hành Tour Inbound/ Outbound</t>
        </is>
      </c>
      <c r="D3700" s="10" t="inlineStr">
        <is>
          <t>Công ty Cổ Phần Công Nghệ Du Lịch Gotadi</t>
        </is>
      </c>
      <c r="E3700" s="10" t="inlineStr">
        <is>
          <t>Lương:Cạnh tranh</t>
        </is>
      </c>
      <c r="F3700" s="10" t="inlineStr">
        <is>
          <t>Hồ Chí Minh</t>
        </is>
      </c>
      <c r="G3700" s="10" t="inlineStr">
        <is>
          <t>09-04-2026</t>
        </is>
      </c>
      <c r="H3700" s="10" t="inlineStr">
        <is>
          <t>09/04/2026</t>
        </is>
      </c>
      <c r="I3700" s="10" t="inlineStr">
        <is>
          <t>17/03/2026</t>
        </is>
      </c>
      <c r="J3700" s="10" t="inlineStr">
        <is>
          <t>Du lịch, Bán hàng / Kinh doanh, Nhà hàng / Khách sạn</t>
        </is>
      </c>
      <c r="K3700" s="10" t="inlineStr">
        <is>
          <t>1 - 2 Năm</t>
        </is>
      </c>
      <c r="L3700" s="11">
        <f>HYPERLINK("https://careerviet.vn/vi/tim-viec-lam/dieu-hanh-tour-inbound-outbound.35C6B733.html","Xem chi tiết")</f>
        <v/>
      </c>
      <c r="M3700" s="10" t="n"/>
    </row>
    <row r="3701">
      <c r="B3701" s="7" t="n">
        <v>3699</v>
      </c>
      <c r="C3701" t="inlineStr">
        <is>
          <t>[PHENIKAA UNI] Tuyển dụng Chuyên viên Văn phòng Trường (mảng phụ trách Đào tạo Khảo thí) - Trường Công nghệ Thông tin Phenikaa</t>
        </is>
      </c>
      <c r="D3701" t="inlineStr">
        <is>
          <t>ĐẠI HỌC PHENIKAA</t>
        </is>
      </c>
      <c r="E3701" t="inlineStr">
        <is>
          <t>Lương:Cạnh tranh</t>
        </is>
      </c>
      <c r="F3701" t="inlineStr">
        <is>
          <t>Hà Nội</t>
        </is>
      </c>
      <c r="G3701" t="inlineStr">
        <is>
          <t>3</t>
        </is>
      </c>
      <c r="H3701" t="inlineStr">
        <is>
          <t>20/03/2026</t>
        </is>
      </c>
      <c r="I3701" t="inlineStr">
        <is>
          <t>17/03/2026</t>
        </is>
      </c>
      <c r="J3701" t="inlineStr">
        <is>
          <t>Giáo dục / Đào tạo</t>
        </is>
      </c>
      <c r="K3701" t="inlineStr">
        <is>
          <t>1 - 2 Năm</t>
        </is>
      </c>
      <c r="L3701" s="8">
        <f>HYPERLINK("https://careerviet.vn/vi/tim-viec-lam/phenikaa-uni-tuyen-dung-chuyen-vien-van-phong-truong-mang-phu-trach-dao-tao-khao-thi-truong-cong-nghe-thong-tin-phenikaa.35C693EC.html","Xem chi tiết")</f>
        <v/>
      </c>
    </row>
    <row r="3702">
      <c r="B3702" s="9" t="n">
        <v>3700</v>
      </c>
      <c r="C3702" s="10" t="inlineStr">
        <is>
          <t>Tài xế lái xe 16 chỗ</t>
        </is>
      </c>
      <c r="D3702" s="10" t="inlineStr">
        <is>
          <t>Công Ty Cổ Phần A25 Hotel</t>
        </is>
      </c>
      <c r="E3702" s="10" t="inlineStr">
        <is>
          <t>Lương:15 Tr - 21 Tr VND</t>
        </is>
      </c>
      <c r="F3702" s="10" t="inlineStr">
        <is>
          <t>Lào Cai</t>
        </is>
      </c>
      <c r="G3702" s="10" t="inlineStr">
        <is>
          <t>31-03-2026</t>
        </is>
      </c>
      <c r="H3702" s="10" t="inlineStr">
        <is>
          <t>31/03/2026</t>
        </is>
      </c>
      <c r="I3702" s="10" t="inlineStr">
        <is>
          <t>17/03/2026</t>
        </is>
      </c>
      <c r="J3702" s="10" t="inlineStr">
        <is>
          <t>Dịch vụ khách hàng, An Ninh / Bảo Vệ, Vận chuyển / Giao nhận / Kho vận</t>
        </is>
      </c>
      <c r="K3702" s="10" t="inlineStr">
        <is>
          <t>Chưa có kinh nghiệm</t>
        </is>
      </c>
      <c r="L3702" s="11">
        <f>HYPERLINK("https://careerviet.vn/vi/tim-viec-lam/tai-xe-lai-xe-16-cho.35C6938D.html","Xem chi tiết")</f>
        <v/>
      </c>
      <c r="M3702" s="10" t="n"/>
    </row>
    <row r="3703">
      <c r="B3703" s="7" t="n">
        <v>3701</v>
      </c>
      <c r="C3703" t="inlineStr">
        <is>
          <t>CHUYÊN VIÊN PHÁP CHẾ - MẢNG M&amp;A</t>
        </is>
      </c>
      <c r="D3703" t="inlineStr">
        <is>
          <t>Công ty Cổ Phần Thực Phẩm Dinh Dưỡng NutiFood</t>
        </is>
      </c>
      <c r="E3703" t="inlineStr">
        <is>
          <t>Lương:25 Tr - 30 Tr VND</t>
        </is>
      </c>
      <c r="F3703" t="inlineStr">
        <is>
          <t>Hồ Chí Minh</t>
        </is>
      </c>
      <c r="G3703" t="inlineStr">
        <is>
          <t>09-04-2026</t>
        </is>
      </c>
      <c r="H3703" t="inlineStr">
        <is>
          <t>09/04/2026</t>
        </is>
      </c>
      <c r="I3703" t="inlineStr">
        <is>
          <t>17/03/2026</t>
        </is>
      </c>
      <c r="J3703" t="inlineStr">
        <is>
          <t>Luật / Pháp lý, Bán hàng / Kinh doanh, Thực phẩm &amp; Đồ uống</t>
        </is>
      </c>
      <c r="K3703" t="inlineStr">
        <is>
          <t>2 - 3 Năm</t>
        </is>
      </c>
      <c r="L3703" s="8">
        <f>HYPERLINK("https://careerviet.vn/vi/tim-viec-lam/chuyen-vien-phap-che-mang-m-a.35C6B73C.html","Xem chi tiết")</f>
        <v/>
      </c>
    </row>
    <row r="3704">
      <c r="B3704" s="9" t="n">
        <v>3702</v>
      </c>
      <c r="C3704" s="10" t="inlineStr">
        <is>
          <t>Trưởng phòng hành chính nhân sự</t>
        </is>
      </c>
      <c r="D3704" s="10" t="inlineStr">
        <is>
          <t>Công Ty Cổ Phần Đầu Tư Viên Ngọc Mới</t>
        </is>
      </c>
      <c r="E3704" s="10" t="inlineStr">
        <is>
          <t>Lương:Cạnh tranh</t>
        </is>
      </c>
      <c r="F3704" s="10" t="inlineStr">
        <is>
          <t>Hồ Chí Minh</t>
        </is>
      </c>
      <c r="G3704" s="10" t="inlineStr">
        <is>
          <t>09-04-2026</t>
        </is>
      </c>
      <c r="H3704" s="10" t="inlineStr">
        <is>
          <t>09/04/2026</t>
        </is>
      </c>
      <c r="I3704" s="10" t="inlineStr">
        <is>
          <t>17/03/2026</t>
        </is>
      </c>
      <c r="J3704" s="10" t="inlineStr">
        <is>
          <t>Nhân sự, Nhà hàng / Khách sạn, Bán lẻ / Bán sỉ</t>
        </is>
      </c>
      <c r="K3704" s="10" t="inlineStr">
        <is>
          <t>Trên 7 Năm</t>
        </is>
      </c>
      <c r="L3704" s="11">
        <f>HYPERLINK("https://careerviet.vn/vi/tim-viec-lam/truong-phong-hanh-chinh-nhan-su.35C6B705.html","Xem chi tiết")</f>
        <v/>
      </c>
      <c r="M3704" s="10" t="n"/>
    </row>
    <row r="3705">
      <c r="B3705" s="7" t="n">
        <v>3703</v>
      </c>
      <c r="C3705" t="inlineStr">
        <is>
          <t>Cán Bộ Hồ Sơ Dự Án</t>
        </is>
      </c>
      <c r="D3705" t="inlineStr">
        <is>
          <t>CÔNG TY CỔ PHẦN XÂY DỰNG CÔNG TRÌNH THÀNH MINH</t>
        </is>
      </c>
      <c r="E3705" t="inlineStr">
        <is>
          <t>Lương:15 Tr - 20 Tr VND</t>
        </is>
      </c>
      <c r="F3705" t="inlineStr">
        <is>
          <t>Hà Nội</t>
        </is>
      </c>
      <c r="G3705" t="inlineStr">
        <is>
          <t>6</t>
        </is>
      </c>
      <c r="H3705" t="inlineStr">
        <is>
          <t>23/03/2026</t>
        </is>
      </c>
      <c r="I3705" t="inlineStr">
        <is>
          <t>17/03/2026</t>
        </is>
      </c>
      <c r="J3705" t="inlineStr">
        <is>
          <t>Xây dựng, Bất động sản, Luật / Pháp lý</t>
        </is>
      </c>
      <c r="K3705" t="inlineStr">
        <is>
          <t>Trên 3 Năm</t>
        </is>
      </c>
      <c r="L3705" s="8">
        <f>HYPERLINK("https://careerviet.vn/vi/tim-viec-lam/can-bo-ho-so-du-an.35C69334.html","Xem chi tiết")</f>
        <v/>
      </c>
    </row>
    <row r="3706">
      <c r="B3706" s="9" t="n">
        <v>3704</v>
      </c>
      <c r="C3706" s="10" t="inlineStr">
        <is>
          <t>Phiên dịch tiếng Nhật 27644 - Hóc Môn, HCM</t>
        </is>
      </c>
      <c r="D3706" s="10" t="inlineStr">
        <is>
          <t>Công Ty TNHH Reeracoen Việt Nam</t>
        </is>
      </c>
      <c r="E3706" s="10" t="inlineStr">
        <is>
          <t>Lương:15 Tr - 15 Tr VND</t>
        </is>
      </c>
      <c r="F3706" s="10" t="inlineStr">
        <is>
          <t>Hồ Chí Minh</t>
        </is>
      </c>
      <c r="G3706" s="10" t="inlineStr">
        <is>
          <t>24-03-2026</t>
        </is>
      </c>
      <c r="H3706" s="10" t="inlineStr">
        <is>
          <t>24/03/2026</t>
        </is>
      </c>
      <c r="I3706" s="10" t="inlineStr">
        <is>
          <t>17/03/2026</t>
        </is>
      </c>
      <c r="J3706" s="10" t="inlineStr">
        <is>
          <t>Biên phiên dịch, Hành chính / Thư ký, Nhân sự</t>
        </is>
      </c>
      <c r="K3706" s="10" t="inlineStr">
        <is>
          <t>N/A</t>
        </is>
      </c>
      <c r="L3706" s="11">
        <f>HYPERLINK("https://careerviet.vn/vi/tim-viec-lam/phien-dich-tieng-nhat-27644-hoc-mon-hcm.35C69366.html","Xem chi tiết")</f>
        <v/>
      </c>
      <c r="M3706" s="10" t="n"/>
    </row>
    <row r="3707">
      <c r="B3707" s="7" t="n">
        <v>3705</v>
      </c>
      <c r="C3707" t="inlineStr">
        <is>
          <t>Nhân Viên Sale B2B</t>
        </is>
      </c>
      <c r="D3707" t="inlineStr">
        <is>
          <t>CÔNG TY TNHH NGUYÊN LIỆU Y PHỤC</t>
        </is>
      </c>
      <c r="E3707" t="inlineStr">
        <is>
          <t>Lương:10 Tr - 20 Tr VND</t>
        </is>
      </c>
      <c r="F3707" t="inlineStr">
        <is>
          <t>Hồ Chí Minh</t>
        </is>
      </c>
      <c r="G3707" t="inlineStr">
        <is>
          <t>24-03-2026</t>
        </is>
      </c>
      <c r="H3707" t="inlineStr">
        <is>
          <t>24/03/2026</t>
        </is>
      </c>
      <c r="I3707" t="inlineStr">
        <is>
          <t>17/03/2026</t>
        </is>
      </c>
      <c r="J3707" t="inlineStr">
        <is>
          <t>Bán hàng / Kinh doanh, Tư vấn, Dịch vụ khách hàng</t>
        </is>
      </c>
      <c r="K3707" t="inlineStr">
        <is>
          <t>N/A</t>
        </is>
      </c>
      <c r="L3707" s="8">
        <f>HYPERLINK("https://careerviet.vn/vi/tim-viec-lam/nhan-vien-sale-b2b.35C69317.html","Xem chi tiết")</f>
        <v/>
      </c>
    </row>
    <row r="3708">
      <c r="B3708" s="9" t="n">
        <v>3706</v>
      </c>
      <c r="C3708" s="10" t="inlineStr">
        <is>
          <t>Giám đốc khách sạn tại Sapa</t>
        </is>
      </c>
      <c r="D3708" s="10" t="inlineStr">
        <is>
          <t>Công Ty Cổ Phần A25 Hotel</t>
        </is>
      </c>
      <c r="E3708" s="10" t="inlineStr">
        <is>
          <t>Lương:25 Tr - 50 Tr VND</t>
        </is>
      </c>
      <c r="F3708" s="10" t="inlineStr">
        <is>
          <t>Lào Cai</t>
        </is>
      </c>
      <c r="G3708" s="10" t="inlineStr">
        <is>
          <t>31-03-2026</t>
        </is>
      </c>
      <c r="H3708" s="10" t="inlineStr">
        <is>
          <t>31/03/2026</t>
        </is>
      </c>
      <c r="I3708" s="10" t="inlineStr">
        <is>
          <t>17/03/2026</t>
        </is>
      </c>
      <c r="J3708" s="10" t="inlineStr">
        <is>
          <t>Quản lý điều hành, Nhà hàng / Khách sạn, Du lịch</t>
        </is>
      </c>
      <c r="K3708" s="10" t="inlineStr">
        <is>
          <t>2 - 3 Năm</t>
        </is>
      </c>
      <c r="L3708" s="11">
        <f>HYPERLINK("https://careerviet.vn/vi/tim-viec-lam/giam-doc-khach-san-tai-sapa.35C69357.html","Xem chi tiết")</f>
        <v/>
      </c>
      <c r="M3708" s="10" t="n"/>
    </row>
    <row r="3709">
      <c r="B3709" s="7" t="n">
        <v>3707</v>
      </c>
      <c r="C3709" t="inlineStr">
        <is>
          <t>Nhân Viên Thiết Kế Nội Thất</t>
        </is>
      </c>
      <c r="D3709" t="inlineStr">
        <is>
          <t>CÔNG TY CỔ PHẦN XÂY DỰNG CÔNG TRÌNH THÀNH MINH</t>
        </is>
      </c>
      <c r="E3709" t="inlineStr">
        <is>
          <t>Lương:15 Tr - 18 Tr VND</t>
        </is>
      </c>
      <c r="F3709" t="inlineStr">
        <is>
          <t>Hà Nội</t>
        </is>
      </c>
      <c r="G3709" t="inlineStr">
        <is>
          <t>6</t>
        </is>
      </c>
      <c r="H3709" t="inlineStr">
        <is>
          <t>23/03/2026</t>
        </is>
      </c>
      <c r="I3709" t="inlineStr">
        <is>
          <t>17/03/2026</t>
        </is>
      </c>
      <c r="J3709" t="inlineStr">
        <is>
          <t>Xây dựng, Nội ngoại thất, Kiến trúc</t>
        </is>
      </c>
      <c r="K3709" t="inlineStr">
        <is>
          <t>N/A</t>
        </is>
      </c>
      <c r="L3709" s="8">
        <f>HYPERLINK("https://careerviet.vn/vi/tim-viec-lam/nhan-vien-thiet-ke-noi-that.35C6933C.html","Xem chi tiết")</f>
        <v/>
      </c>
    </row>
    <row r="3710">
      <c r="B3710" s="9" t="n">
        <v>3708</v>
      </c>
      <c r="C3710" s="10" t="inlineStr">
        <is>
          <t>Sales Engineer 27660 - Ba Đình, HN</t>
        </is>
      </c>
      <c r="D3710" s="10" t="inlineStr">
        <is>
          <t>Công Ty TNHH Reeracoen Việt Nam</t>
        </is>
      </c>
      <c r="E3710" s="10" t="inlineStr">
        <is>
          <t>Lương:25 Tr - 30 Tr VND</t>
        </is>
      </c>
      <c r="F3710" s="10" t="inlineStr">
        <is>
          <t>Hà Nội</t>
        </is>
      </c>
      <c r="G3710" s="10" t="inlineStr">
        <is>
          <t>24-03-2026</t>
        </is>
      </c>
      <c r="H3710" s="10" t="inlineStr">
        <is>
          <t>24/03/2026</t>
        </is>
      </c>
      <c r="I3710" s="10" t="inlineStr">
        <is>
          <t>17/03/2026</t>
        </is>
      </c>
      <c r="J3710" s="10" t="inlineStr">
        <is>
          <t>Bán Hàng Kỹ Thuật, Bán hàng / Kinh doanh, Cơ khí / Ô tô / Tự động hóa</t>
        </is>
      </c>
      <c r="K3710" s="10" t="inlineStr">
        <is>
          <t>Trên 3 Năm</t>
        </is>
      </c>
      <c r="L3710" s="11">
        <f>HYPERLINK("https://careerviet.vn/vi/tim-viec-lam/sales-engineer-27660-ba-dinh-hn.35C69200.html","Xem chi tiết")</f>
        <v/>
      </c>
      <c r="M3710" s="10" t="n"/>
    </row>
    <row r="3711">
      <c r="B3711" s="7" t="n">
        <v>3709</v>
      </c>
      <c r="C3711" t="inlineStr">
        <is>
          <t>Nhân Viên QA Cơ khí ( Tiếng Anh) - Không cần kinh nghiệm</t>
        </is>
      </c>
      <c r="D3711" t="inlineStr">
        <is>
          <t>CX Technology VN</t>
        </is>
      </c>
      <c r="E3711" t="inlineStr">
        <is>
          <t>Lương:9 Tr - 11 Tr VND</t>
        </is>
      </c>
      <c r="F3711" t="inlineStr">
        <is>
          <t>Hồ Chí Minh</t>
        </is>
      </c>
      <c r="G3711" t="inlineStr">
        <is>
          <t>24-03-2026</t>
        </is>
      </c>
      <c r="H3711" t="inlineStr">
        <is>
          <t>24/03/2026</t>
        </is>
      </c>
      <c r="I3711" t="inlineStr">
        <is>
          <t>17/03/2026</t>
        </is>
      </c>
      <c r="J3711" t="inlineStr">
        <is>
          <t>Cơ khí / Ô tô / Tự động hóa, Quản lý chất lượng (QA/QC), Biên phiên dịch</t>
        </is>
      </c>
      <c r="K3711" t="inlineStr">
        <is>
          <t>N/A</t>
        </is>
      </c>
      <c r="L3711" s="8">
        <f>HYPERLINK("https://careerviet.vn/vi/tim-viec-lam/nhan-vien-qa-co-khi-tieng-anh-khong-can-kinh-nghiem.35C68FDF.html","Xem chi tiết")</f>
        <v/>
      </c>
    </row>
    <row r="3712">
      <c r="B3712" s="9" t="n">
        <v>3710</v>
      </c>
      <c r="C3712" s="10" t="inlineStr">
        <is>
          <t>Chuyên Viên/ CVCC Nhân Sự (mạnh Tuyển dụng và Đào tạo)</t>
        </is>
      </c>
      <c r="D3712" s="10" t="inlineStr">
        <is>
          <t>CÔNG TY CỔ PHẦN CHỨNG KHOÁN ASEAN</t>
        </is>
      </c>
      <c r="E3712" s="10" t="inlineStr">
        <is>
          <t>Lương:Cạnh tranh</t>
        </is>
      </c>
      <c r="F3712" s="10" t="inlineStr">
        <is>
          <t>Hà Nội</t>
        </is>
      </c>
      <c r="G3712" s="10" t="inlineStr">
        <is>
          <t>3</t>
        </is>
      </c>
      <c r="H3712" s="10" t="inlineStr">
        <is>
          <t>20/03/2026</t>
        </is>
      </c>
      <c r="I3712" s="10" t="inlineStr">
        <is>
          <t>17/03/2026</t>
        </is>
      </c>
      <c r="J3712" s="10" t="inlineStr">
        <is>
          <t>Nhân sự, Tài chính / Đầu tư, Chứng khoán</t>
        </is>
      </c>
      <c r="K3712" s="10" t="inlineStr">
        <is>
          <t>2 - 5 Năm</t>
        </is>
      </c>
      <c r="L3712" s="11">
        <f>HYPERLINK("https://careerviet.vn/vi/tim-viec-lam/chuyen-vien-cvcc-nhan-su-manh-tuyen-dung-va-dao-tao.35C6941E.html","Xem chi tiết")</f>
        <v/>
      </c>
      <c r="M3712" s="10" t="n"/>
    </row>
    <row r="3713">
      <c r="B3713" s="7" t="n">
        <v>3711</v>
      </c>
      <c r="C3713" t="inlineStr">
        <is>
          <t>Nhân viên QC Xây dựng có Tiếng Nhật 27615 -  Bình Thạnh, HCM</t>
        </is>
      </c>
      <c r="D3713" t="inlineStr">
        <is>
          <t>Công Ty TNHH Reeracoen Việt Nam</t>
        </is>
      </c>
      <c r="E3713" t="inlineStr">
        <is>
          <t>Lương:10 Tr - 20 Tr VND</t>
        </is>
      </c>
      <c r="F3713" t="inlineStr">
        <is>
          <t>Hồ Chí Minh</t>
        </is>
      </c>
      <c r="G3713" t="inlineStr">
        <is>
          <t>24-03-2026</t>
        </is>
      </c>
      <c r="H3713" t="inlineStr">
        <is>
          <t>24/03/2026</t>
        </is>
      </c>
      <c r="I3713" t="inlineStr">
        <is>
          <t>17/03/2026</t>
        </is>
      </c>
      <c r="J3713" t="inlineStr">
        <is>
          <t>Quản lý chất lượng (QA/QC), Xây dựng, Kiến trúc</t>
        </is>
      </c>
      <c r="K3713" t="inlineStr">
        <is>
          <t>N/A</t>
        </is>
      </c>
      <c r="L3713" s="8">
        <f>HYPERLINK("https://careerviet.vn/vi/tim-viec-lam/nhan-vien-qc-xay-dung-co-tieng-nhat-27615-binh-thanh-hcm.35C69379.html","Xem chi tiết")</f>
        <v/>
      </c>
    </row>
    <row r="3714">
      <c r="B3714" s="9" t="n">
        <v>3712</v>
      </c>
      <c r="C3714" s="10" t="inlineStr">
        <is>
          <t>GIÁM ĐỐC CHUỖI CUNG ỨNG (SUPPLY CHAIN DIRECTOR)</t>
        </is>
      </c>
      <c r="D3714" s="10" t="inlineStr">
        <is>
          <t>TRAN DUC CORPORATION - CÔNG TY CỔ PHẦN TRẦN ĐỨC</t>
        </is>
      </c>
      <c r="E3714" s="10" t="inlineStr">
        <is>
          <t>Lương:Cạnh tranh</t>
        </is>
      </c>
      <c r="F3714" s="10" t="inlineStr">
        <is>
          <t>Bình Dương</t>
        </is>
      </c>
      <c r="G3714" s="10" t="inlineStr">
        <is>
          <t>31-03-2026</t>
        </is>
      </c>
      <c r="H3714" s="10" t="inlineStr">
        <is>
          <t>31/03/2026</t>
        </is>
      </c>
      <c r="I3714" s="10" t="inlineStr">
        <is>
          <t>17/03/2026</t>
        </is>
      </c>
      <c r="J3714" s="10" t="inlineStr">
        <is>
          <t>Nội ngoại thất, Đồ gỗ, Quản lý điều hành</t>
        </is>
      </c>
      <c r="K3714" s="10" t="inlineStr">
        <is>
          <t>7 - 10 Năm</t>
        </is>
      </c>
      <c r="L3714" s="11">
        <f>HYPERLINK("https://careerviet.vn/vi/tim-viec-lam/giam-doc-chuoi-cung-ung-supply-chain-director.35C68822.html","Xem chi tiết")</f>
        <v/>
      </c>
      <c r="M3714" s="10" t="n"/>
    </row>
    <row r="3715">
      <c r="B3715" s="7" t="n">
        <v>3713</v>
      </c>
      <c r="C3715" t="inlineStr">
        <is>
          <t>Graphic Designer</t>
        </is>
      </c>
      <c r="D3715" t="inlineStr">
        <is>
          <t>CÔNG TY TNHH THIẾT KẾ HPA &amp; PARTNERS (VIÊT NAM)</t>
        </is>
      </c>
      <c r="E3715" t="inlineStr">
        <is>
          <t>Lương:Cạnh tranh</t>
        </is>
      </c>
      <c r="F3715" t="inlineStr">
        <is>
          <t>Hà Nội</t>
        </is>
      </c>
      <c r="G3715" t="inlineStr">
        <is>
          <t>24-03-2026</t>
        </is>
      </c>
      <c r="H3715" t="inlineStr">
        <is>
          <t>24/03/2026</t>
        </is>
      </c>
      <c r="I3715" t="inlineStr">
        <is>
          <t>17/03/2026</t>
        </is>
      </c>
      <c r="J3715" t="inlineStr">
        <is>
          <t>Mỹ thuật / Nghệ thuật / Thiết kế, Tiếp thị / Marketing, Quảng cáo / Đối ngoại / Truyền Thông</t>
        </is>
      </c>
      <c r="K3715" t="inlineStr">
        <is>
          <t>Trên 5 Năm</t>
        </is>
      </c>
      <c r="L3715" s="8">
        <f>HYPERLINK("https://careerviet.vn/vi/tim-viec-lam/graphic-designer.35C69417.html","Xem chi tiết")</f>
        <v/>
      </c>
    </row>
    <row r="3716">
      <c r="B3716" s="9" t="n">
        <v>3714</v>
      </c>
      <c r="C3716" s="10" t="inlineStr">
        <is>
          <t>Giám sát Bán hàng - Bảo Lộc, Lâm Đồng</t>
        </is>
      </c>
      <c r="D3716" s="10" t="inlineStr">
        <is>
          <t>Suntory PepsiCo</t>
        </is>
      </c>
      <c r="E3716" s="10" t="inlineStr">
        <is>
          <t>Lương:25 Tr - 34 Tr VND</t>
        </is>
      </c>
      <c r="F3716" s="10" t="inlineStr">
        <is>
          <t>Lâm Đồng</t>
        </is>
      </c>
      <c r="G3716" s="10" t="inlineStr">
        <is>
          <t>31-03-2026</t>
        </is>
      </c>
      <c r="H3716" s="10" t="inlineStr">
        <is>
          <t>31/03/2026</t>
        </is>
      </c>
      <c r="I3716" s="10" t="inlineStr">
        <is>
          <t>17/03/2026</t>
        </is>
      </c>
      <c r="J3716" s="10" t="inlineStr">
        <is>
          <t>Bán lẻ / Bán sỉ, Bán hàng / Kinh doanh, Thực phẩm &amp; Đồ uống</t>
        </is>
      </c>
      <c r="K3716" s="10" t="inlineStr">
        <is>
          <t>3 - 5 Năm</t>
        </is>
      </c>
      <c r="L3716" s="11">
        <f>HYPERLINK("https://careerviet.vn/vi/tim-viec-lam/giam-sat-ban-hang-bao-loc-lam-dong.35C692F7.html","Xem chi tiết")</f>
        <v/>
      </c>
      <c r="M3716" s="10" t="n"/>
    </row>
    <row r="3717">
      <c r="B3717" s="7" t="n">
        <v>3715</v>
      </c>
      <c r="C3717" t="inlineStr">
        <is>
          <t>Giám đốc khách sạn 2-3 sao</t>
        </is>
      </c>
      <c r="D3717" t="inlineStr">
        <is>
          <t>Công Ty Cổ Phần A25 Hotel</t>
        </is>
      </c>
      <c r="E3717" t="inlineStr">
        <is>
          <t>Lương:25 Tr - 50 Tr VND</t>
        </is>
      </c>
      <c r="F3717" t="inlineStr">
        <is>
          <t>Hà Nội</t>
        </is>
      </c>
      <c r="G3717" t="inlineStr">
        <is>
          <t>31-03-2026</t>
        </is>
      </c>
      <c r="H3717" t="inlineStr">
        <is>
          <t>31/03/2026</t>
        </is>
      </c>
      <c r="I3717" t="inlineStr">
        <is>
          <t>17/03/2026</t>
        </is>
      </c>
      <c r="J3717" t="inlineStr">
        <is>
          <t>Quản lý điều hành, Nhà hàng / Khách sạn, Dịch vụ khách hàng</t>
        </is>
      </c>
      <c r="K3717" t="inlineStr">
        <is>
          <t>2 - 3 Năm</t>
        </is>
      </c>
      <c r="L3717" s="8">
        <f>HYPERLINK("https://careerviet.vn/vi/tim-viec-lam/giam-doc-khach-san-2-3-sao.35C69352.html","Xem chi tiết")</f>
        <v/>
      </c>
    </row>
    <row r="3718">
      <c r="B3718" s="9" t="n">
        <v>3716</v>
      </c>
      <c r="C3718" s="10" t="inlineStr">
        <is>
          <t>Chuyên viên tuyển dụng</t>
        </is>
      </c>
      <c r="D3718" s="10" t="inlineStr">
        <is>
          <t>CÔNG TY CỔ PHẦN SẢN XUẤT TÓC APOGROUP</t>
        </is>
      </c>
      <c r="E3718" s="10" t="inlineStr">
        <is>
          <t>Lương:Cạnh tranh</t>
        </is>
      </c>
      <c r="F3718" s="10" t="inlineStr">
        <is>
          <t>Hà Nội</t>
        </is>
      </c>
      <c r="G3718" s="10" t="inlineStr">
        <is>
          <t>31-03-2026</t>
        </is>
      </c>
      <c r="H3718" s="10" t="inlineStr">
        <is>
          <t>31/03/2026</t>
        </is>
      </c>
      <c r="I3718" s="10" t="inlineStr">
        <is>
          <t>17/03/2026</t>
        </is>
      </c>
      <c r="J3718" s="10" t="inlineStr">
        <is>
          <t>Xuất nhập khẩu, Hành chính / Thư ký, Nhân sự</t>
        </is>
      </c>
      <c r="K3718" s="10" t="inlineStr">
        <is>
          <t>3 - 4 Năm</t>
        </is>
      </c>
      <c r="L3718" s="11">
        <f>HYPERLINK("https://careerviet.vn/vi/tim-viec-lam/chuyen-vien-tuyen-dung.35C6934A.html","Xem chi tiết")</f>
        <v/>
      </c>
      <c r="M3718" s="10" t="n"/>
    </row>
    <row r="3719">
      <c r="B3719" s="7" t="n">
        <v>3717</v>
      </c>
      <c r="C3719" t="inlineStr">
        <is>
          <t>Thợ mộc</t>
        </is>
      </c>
      <c r="D3719" t="inlineStr">
        <is>
          <t>Công Ty Cổ Phần A25 Hotel</t>
        </is>
      </c>
      <c r="E3719" t="inlineStr">
        <is>
          <t>Lương:15 Tr - 25 Tr VND</t>
        </is>
      </c>
      <c r="F3719" t="inlineStr">
        <is>
          <t>Hồ Chí Minh</t>
        </is>
      </c>
      <c r="G3719" t="inlineStr">
        <is>
          <t>31-03-2026</t>
        </is>
      </c>
      <c r="H3719" t="inlineStr">
        <is>
          <t>31/03/2026</t>
        </is>
      </c>
      <c r="I3719" t="inlineStr">
        <is>
          <t>17/03/2026</t>
        </is>
      </c>
      <c r="J3719" t="inlineStr">
        <is>
          <t>Bảo trì / Sửa chữa, Đồ gỗ</t>
        </is>
      </c>
      <c r="K3719" t="inlineStr">
        <is>
          <t>2 - 3 Năm</t>
        </is>
      </c>
      <c r="L3719" s="8">
        <f>HYPERLINK("https://careerviet.vn/vi/tim-viec-lam/tho-moc.35C69364.html","Xem chi tiết")</f>
        <v/>
      </c>
    </row>
    <row r="3720">
      <c r="B3720" s="9" t="n">
        <v>3718</v>
      </c>
      <c r="C3720" s="10" t="inlineStr">
        <is>
          <t>Sourcing Specialist (Open to 3+ YoE in Sales/BD/Procurement)</t>
        </is>
      </c>
      <c r="D3720" s="10" t="inlineStr">
        <is>
          <t>OZEOL - VCOS CO., LTD - CÔNG TY TNHH VIETNAM CLOSEOUT SOLUTIONS</t>
        </is>
      </c>
      <c r="E3720" s="10" t="inlineStr">
        <is>
          <t>Lương:Cạnh tranh</t>
        </is>
      </c>
      <c r="F3720" s="10" t="inlineStr">
        <is>
          <t>Hồ Chí Minh</t>
        </is>
      </c>
      <c r="G3720" s="10" t="inlineStr">
        <is>
          <t>31-03-2026</t>
        </is>
      </c>
      <c r="H3720" s="10" t="inlineStr">
        <is>
          <t>31/03/2026</t>
        </is>
      </c>
      <c r="I3720" s="10" t="inlineStr">
        <is>
          <t>17/03/2026</t>
        </is>
      </c>
      <c r="J3720" s="10" t="inlineStr">
        <is>
          <t>Bán lẻ / Bán sỉ, Bán hàng / Kinh doanh, Xuất nhập khẩu</t>
        </is>
      </c>
      <c r="K3720" s="10" t="inlineStr">
        <is>
          <t>3 - 5 Năm</t>
        </is>
      </c>
      <c r="L3720" s="11">
        <f>HYPERLINK("https://careerviet.vn/vi/tim-viec-lam/sourcing-specialist-open-to-3-yoe-in-sales-bd-procurement.35C690F0.html","Xem chi tiết")</f>
        <v/>
      </c>
      <c r="M3720" s="10" t="n"/>
    </row>
    <row r="3721">
      <c r="B3721" s="7" t="n">
        <v>3719</v>
      </c>
      <c r="C3721" t="inlineStr">
        <is>
          <t>Kỹ Sư Cấp Thoát Nước</t>
        </is>
      </c>
      <c r="D3721" t="inlineStr">
        <is>
          <t>CÔNG TY CỔ PHẦN XÂY DỰNG CÔNG TRÌNH THÀNH MINH</t>
        </is>
      </c>
      <c r="E3721" t="inlineStr">
        <is>
          <t>Lương:15 Tr - 25 Tr VND</t>
        </is>
      </c>
      <c r="F3721" t="inlineStr">
        <is>
          <t>Hà Nội</t>
        </is>
      </c>
      <c r="G3721" t="inlineStr">
        <is>
          <t>6</t>
        </is>
      </c>
      <c r="H3721" t="inlineStr">
        <is>
          <t>23/03/2026</t>
        </is>
      </c>
      <c r="I3721" t="inlineStr">
        <is>
          <t>17/03/2026</t>
        </is>
      </c>
      <c r="J3721" t="inlineStr">
        <is>
          <t>Xây dựng, Bất động sản, Điện / Điện tử / Điện lạnh / Điện công nghiệp</t>
        </is>
      </c>
      <c r="K3721" t="inlineStr">
        <is>
          <t>Trên 3 Năm</t>
        </is>
      </c>
      <c r="L3721" s="8">
        <f>HYPERLINK("https://careerviet.vn/vi/tim-viec-lam/ky-su-cap-thoat-nuoc.35C69339.html","Xem chi tiết")</f>
        <v/>
      </c>
    </row>
    <row r="3722">
      <c r="B3722" s="9" t="n">
        <v>3720</v>
      </c>
      <c r="C3722" s="10" t="inlineStr">
        <is>
          <t>Trợ Lý Livestream Partime</t>
        </is>
      </c>
      <c r="D3722" s="10" t="inlineStr">
        <is>
          <t>CÔNG TY CỔ PHẦN VUA NỆM</t>
        </is>
      </c>
      <c r="E3722" s="10" t="inlineStr">
        <is>
          <t>Lương:3 Tr - 5 Tr VND</t>
        </is>
      </c>
      <c r="F3722" s="10" t="inlineStr">
        <is>
          <t>Hà Nội</t>
        </is>
      </c>
      <c r="G3722" s="10" t="inlineStr">
        <is>
          <t>Hôm nay</t>
        </is>
      </c>
      <c r="H3722" s="10" t="inlineStr">
        <is>
          <t>17/03/2026</t>
        </is>
      </c>
      <c r="I3722" s="10" t="inlineStr">
        <is>
          <t>17/03/2026</t>
        </is>
      </c>
      <c r="J3722" s="10" t="inlineStr">
        <is>
          <t>Bán lẻ / Bán sỉ, Tiếp thị / Marketing, Bán hàng / Kinh doanh</t>
        </is>
      </c>
      <c r="K3722" s="10" t="inlineStr">
        <is>
          <t>N/A</t>
        </is>
      </c>
      <c r="L3722" s="11">
        <f>HYPERLINK("https://careerviet.vn/vi/tim-viec-lam/tro-ly-livestream-partime.35C69414.html","Xem chi tiết")</f>
        <v/>
      </c>
      <c r="M3722" s="10" t="n"/>
    </row>
    <row r="3723">
      <c r="B3723" s="7" t="n">
        <v>3721</v>
      </c>
      <c r="C3723" t="inlineStr">
        <is>
          <t>Lái xe cho Giám đốc</t>
        </is>
      </c>
      <c r="D3723" t="inlineStr">
        <is>
          <t>CÔNG TY TNHH THIẾT BỊ CÔNG NGHIỆP MC VIỆT NAM</t>
        </is>
      </c>
      <c r="E3723" t="inlineStr">
        <is>
          <t>Lương:11 Tr - 14 Tr VND</t>
        </is>
      </c>
      <c r="F3723" t="inlineStr">
        <is>
          <t>Hà Nội</t>
        </is>
      </c>
      <c r="G3723" t="inlineStr">
        <is>
          <t>6</t>
        </is>
      </c>
      <c r="H3723" t="inlineStr">
        <is>
          <t>23/03/2026</t>
        </is>
      </c>
      <c r="I3723" t="inlineStr">
        <is>
          <t>17/03/2026</t>
        </is>
      </c>
      <c r="J3723" t="inlineStr">
        <is>
          <t>Lao động phổ thông, Ngành khác, Vận chuyển / Giao nhận / Kho vận</t>
        </is>
      </c>
      <c r="K3723" t="inlineStr">
        <is>
          <t>N/A</t>
        </is>
      </c>
      <c r="L3723" s="8">
        <f>HYPERLINK("https://careerviet.vn/vi/tim-viec-lam/lai-xe-cho-giam-doc.35C6925C.html","Xem chi tiết")</f>
        <v/>
      </c>
    </row>
    <row r="3724">
      <c r="B3724" s="9" t="n">
        <v>3722</v>
      </c>
      <c r="C3724" s="10" t="inlineStr">
        <is>
          <t>KẾ TOÁN TRƯỞNG</t>
        </is>
      </c>
      <c r="D3724" s="10" t="inlineStr">
        <is>
          <t>CÔNG TY TNHH Y-MED HEALTHCARE</t>
        </is>
      </c>
      <c r="E3724" s="10" t="inlineStr">
        <is>
          <t>Lương:Cạnh tranh</t>
        </is>
      </c>
      <c r="F3724" s="10" t="inlineStr">
        <is>
          <t>Hồ Chí Minh</t>
        </is>
      </c>
      <c r="G3724" s="10" t="inlineStr">
        <is>
          <t>31-03-2026</t>
        </is>
      </c>
      <c r="H3724" s="10" t="inlineStr">
        <is>
          <t>31/03/2026</t>
        </is>
      </c>
      <c r="I3724" s="10" t="inlineStr">
        <is>
          <t>17/03/2026</t>
        </is>
      </c>
      <c r="J3724" s="10" t="inlineStr">
        <is>
          <t>Dược phẩm/ Hóa Mỹ Phẩm, Kế toán / Kiểm toán</t>
        </is>
      </c>
      <c r="K3724" s="10" t="inlineStr">
        <is>
          <t>Trên 5 Năm</t>
        </is>
      </c>
      <c r="L3724" s="11">
        <f>HYPERLINK("https://careerviet.vn/vi/tim-viec-lam/ke-toan-truong.35C69212.html","Xem chi tiết")</f>
        <v/>
      </c>
      <c r="M3724" s="10" t="n"/>
    </row>
    <row r="3725">
      <c r="B3725" s="7" t="n">
        <v>3723</v>
      </c>
      <c r="C3725" t="inlineStr">
        <is>
          <t>Sales linh kiện điện tử 27565 -  Quận 1, HCM</t>
        </is>
      </c>
      <c r="D3725" t="inlineStr">
        <is>
          <t>Công Ty TNHH Reeracoen Việt Nam</t>
        </is>
      </c>
      <c r="E3725" t="inlineStr">
        <is>
          <t>Lương:25 Tr - 30 Tr VND</t>
        </is>
      </c>
      <c r="F3725" t="inlineStr">
        <is>
          <t>Hồ Chí Minh</t>
        </is>
      </c>
      <c r="G3725" t="inlineStr">
        <is>
          <t>24-03-2026</t>
        </is>
      </c>
      <c r="H3725" t="inlineStr">
        <is>
          <t>24/03/2026</t>
        </is>
      </c>
      <c r="I3725" t="inlineStr">
        <is>
          <t>17/03/2026</t>
        </is>
      </c>
      <c r="J3725" t="inlineStr">
        <is>
          <t>Bán lẻ / Bán sỉ, Bán Hàng Kỹ Thuật, Bán hàng / Kinh doanh</t>
        </is>
      </c>
      <c r="K3725" t="inlineStr">
        <is>
          <t>1 - 2 Năm</t>
        </is>
      </c>
      <c r="L3725" s="8">
        <f>HYPERLINK("https://careerviet.vn/vi/tim-viec-lam/sales-linh-kien-dien-tu-27565-quan-1-hcm.35C691F4.html","Xem chi tiết")</f>
        <v/>
      </c>
    </row>
    <row r="3726">
      <c r="B3726" s="9" t="n">
        <v>3724</v>
      </c>
      <c r="C3726" s="10" t="inlineStr">
        <is>
          <t>[Đà Nẵng] - Kiểm soát viên</t>
        </is>
      </c>
      <c r="D3726" s="10" t="inlineStr">
        <is>
          <t>Ngân hàng TMCP Lộc Phát Việt Nam (LPBank)</t>
        </is>
      </c>
      <c r="E3726" s="10" t="inlineStr">
        <is>
          <t>Lương:Cạnh tranh</t>
        </is>
      </c>
      <c r="F3726" s="10" t="inlineStr">
        <is>
          <t>Đà Nẵng</t>
        </is>
      </c>
      <c r="G3726" s="10" t="inlineStr">
        <is>
          <t>26-03-2026</t>
        </is>
      </c>
      <c r="H3726" s="10" t="inlineStr">
        <is>
          <t>26/03/2026</t>
        </is>
      </c>
      <c r="I3726" s="10" t="inlineStr">
        <is>
          <t>17/03/2026</t>
        </is>
      </c>
      <c r="J3726" s="10" t="inlineStr">
        <is>
          <t>Kế toán / Kiểm toán, Ngân hàng, Bán hàng / Kinh doanh</t>
        </is>
      </c>
      <c r="K3726" s="10" t="inlineStr">
        <is>
          <t>Trên 3 Năm</t>
        </is>
      </c>
      <c r="L3726" s="11">
        <f>HYPERLINK("https://careerviet.vn/vi/tim-viec-lam/da-nang-kiem-soat-vien.35C691BB.html","Xem chi tiết")</f>
        <v/>
      </c>
      <c r="M3726" s="10" t="n"/>
    </row>
    <row r="3727">
      <c r="B3727" s="7" t="n">
        <v>3725</v>
      </c>
      <c r="C3727" t="inlineStr">
        <is>
          <t>Kế Toán Nội Bộ</t>
        </is>
      </c>
      <c r="D3727" t="inlineStr">
        <is>
          <t>Công ty TNHH Khải Minh Group</t>
        </is>
      </c>
      <c r="E3727" t="inlineStr">
        <is>
          <t>Lương:9 Tr - 12 Tr VND</t>
        </is>
      </c>
      <c r="F3727" t="inlineStr">
        <is>
          <t>Hà Nội</t>
        </is>
      </c>
      <c r="G3727" t="inlineStr">
        <is>
          <t>09-03-2026</t>
        </is>
      </c>
      <c r="H3727" t="inlineStr">
        <is>
          <t>28/02/2026</t>
        </is>
      </c>
      <c r="I3727" t="inlineStr">
        <is>
          <t>17/03/2026</t>
        </is>
      </c>
      <c r="J3727" t="inlineStr">
        <is>
          <t>Kế toán / Kiểm toán, Hành chính / Thư ký, Tài chính / Đầu tư</t>
        </is>
      </c>
      <c r="K3727" t="inlineStr">
        <is>
          <t>3 - 4 Năm</t>
        </is>
      </c>
      <c r="L3727" s="8">
        <f>HYPERLINK("https://careerviet.vn/vi/tim-viec-lam/ke-toan-noi-bo.35C691F8.html","Xem chi tiết")</f>
        <v/>
      </c>
    </row>
    <row r="3728">
      <c r="B3728" s="9" t="n">
        <v>3726</v>
      </c>
      <c r="C3728" s="10" t="inlineStr">
        <is>
          <t>Nhân viên Kinh doanh</t>
        </is>
      </c>
      <c r="D3728" s="10" t="inlineStr">
        <is>
          <t>CÔNG TY TNHH SẢN XUẤT NAVIS VIỆT NAM</t>
        </is>
      </c>
      <c r="E3728" s="10" t="inlineStr">
        <is>
          <t>Lương:10 Tr - 30 Tr VND</t>
        </is>
      </c>
      <c r="F3728" s="10" t="inlineStr">
        <is>
          <t>Hồ Chí Minh</t>
        </is>
      </c>
      <c r="G3728" s="10" t="inlineStr">
        <is>
          <t>09-03-2026</t>
        </is>
      </c>
      <c r="H3728" s="10" t="inlineStr">
        <is>
          <t>14/03/2026</t>
        </is>
      </c>
      <c r="I3728" s="10" t="inlineStr">
        <is>
          <t>17/03/2026</t>
        </is>
      </c>
      <c r="J3728" s="10" t="inlineStr">
        <is>
          <t>Dược phẩm/ Hóa Mỹ Phẩm, Công nghệ sinh học, Hóa học</t>
        </is>
      </c>
      <c r="K3728" s="10" t="inlineStr">
        <is>
          <t>N/A</t>
        </is>
      </c>
      <c r="L3728" s="11">
        <f>HYPERLINK("https://careerviet.vn/vi/tim-viec-lam/nhan-vien-kinh-doanh.35C691E8.html","Xem chi tiết")</f>
        <v/>
      </c>
      <c r="M3728" s="10" t="n"/>
    </row>
    <row r="3729">
      <c r="B3729" s="7" t="n">
        <v>3727</v>
      </c>
      <c r="C3729" t="inlineStr">
        <is>
          <t>Nhân viên Giao Nhận</t>
        </is>
      </c>
      <c r="D3729" t="inlineStr">
        <is>
          <t>CÔNG TY TNHH SẢN XUẤT NAVIS VIỆT NAM</t>
        </is>
      </c>
      <c r="E3729" t="inlineStr">
        <is>
          <t>Lương:8 Tr - 12 Tr VND</t>
        </is>
      </c>
      <c r="F3729" t="inlineStr">
        <is>
          <t>Hồ Chí Minh</t>
        </is>
      </c>
      <c r="G3729" t="inlineStr">
        <is>
          <t>09-03-2026</t>
        </is>
      </c>
      <c r="H3729" t="inlineStr">
        <is>
          <t>14/03/2026</t>
        </is>
      </c>
      <c r="I3729" t="inlineStr">
        <is>
          <t>17/03/2026</t>
        </is>
      </c>
      <c r="J3729" t="inlineStr">
        <is>
          <t>Vận chuyển / Giao nhận / Kho vận, Hóa học, Dịch vụ khách hàng</t>
        </is>
      </c>
      <c r="K3729" t="inlineStr">
        <is>
          <t>1 - 2 Năm</t>
        </is>
      </c>
      <c r="L3729" s="8">
        <f>HYPERLINK("https://careerviet.vn/vi/tim-viec-lam/nhan-vien-giao-nhan.35C691F2.html","Xem chi tiết")</f>
        <v/>
      </c>
    </row>
    <row r="3730">
      <c r="B3730" s="9" t="n">
        <v>3728</v>
      </c>
      <c r="C3730" s="10" t="inlineStr">
        <is>
          <t>Kế toán viên 27665 - KCN Phúc Điền, Hải Dương</t>
        </is>
      </c>
      <c r="D3730" s="10" t="inlineStr">
        <is>
          <t>Công Ty TNHH Reeracoen Việt Nam</t>
        </is>
      </c>
      <c r="E3730" s="10" t="inlineStr">
        <is>
          <t>Lương:Cạnh tranh</t>
        </is>
      </c>
      <c r="F3730" s="10" t="inlineStr">
        <is>
          <t>Hải Phòng</t>
        </is>
      </c>
      <c r="G3730" s="10" t="inlineStr">
        <is>
          <t>24-03-2026</t>
        </is>
      </c>
      <c r="H3730" s="10" t="inlineStr">
        <is>
          <t>24/03/2026</t>
        </is>
      </c>
      <c r="I3730" s="10" t="inlineStr">
        <is>
          <t>17/03/2026</t>
        </is>
      </c>
      <c r="J3730" s="10" t="inlineStr">
        <is>
          <t>Kế toán / Kiểm toán, Tài chính / Đầu tư</t>
        </is>
      </c>
      <c r="K3730" s="10" t="inlineStr">
        <is>
          <t>Trên 2 Năm</t>
        </is>
      </c>
      <c r="L3730" s="11">
        <f>HYPERLINK("https://careerviet.vn/vi/tim-viec-lam/ke-toan-vien-27665-kcn-phuc-dien-hai-duong.35C69229.html","Xem chi tiết")</f>
        <v/>
      </c>
      <c r="M3730" s="10" t="n"/>
    </row>
    <row r="3731">
      <c r="B3731" s="7" t="n">
        <v>3729</v>
      </c>
      <c r="C3731" t="inlineStr">
        <is>
          <t>Kỹ sư định lượng có Tiếng Nhật 27605 - Bình Thạnh, HCM</t>
        </is>
      </c>
      <c r="D3731" t="inlineStr">
        <is>
          <t>Công Ty TNHH Reeracoen Việt Nam</t>
        </is>
      </c>
      <c r="E3731" t="inlineStr">
        <is>
          <t>Lương:10 Tr - 20 Tr VND</t>
        </is>
      </c>
      <c r="F3731" t="inlineStr">
        <is>
          <t>Hồ Chí Minh</t>
        </is>
      </c>
      <c r="G3731" t="inlineStr">
        <is>
          <t>24-03-2026</t>
        </is>
      </c>
      <c r="H3731" t="inlineStr">
        <is>
          <t>24/03/2026</t>
        </is>
      </c>
      <c r="I3731" t="inlineStr">
        <is>
          <t>17/03/2026</t>
        </is>
      </c>
      <c r="J3731" t="inlineStr">
        <is>
          <t>Xây dựng, Nội ngoại thất, Bán Hàng Kỹ Thuật</t>
        </is>
      </c>
      <c r="K3731" t="inlineStr">
        <is>
          <t>N/A</t>
        </is>
      </c>
      <c r="L3731" s="8">
        <f>HYPERLINK("https://careerviet.vn/vi/tim-viec-lam/ky-su-dinh-luong-co-tieng-nhat-27605-binh-thanh-hcm.35C6920F.html","Xem chi tiết")</f>
        <v/>
      </c>
    </row>
    <row r="3732">
      <c r="B3732" s="9" t="n">
        <v>3730</v>
      </c>
      <c r="C3732" s="10" t="inlineStr">
        <is>
          <t>Lab Equipment Engineer - Cu Chi (having shuttle bus)</t>
        </is>
      </c>
      <c r="D3732" s="10" t="inlineStr">
        <is>
          <t>Techtronic Industries Vietnam Manufacturing Company Limited</t>
        </is>
      </c>
      <c r="E3732" s="10" t="inlineStr">
        <is>
          <t>Lương:Cạnh tranh</t>
        </is>
      </c>
      <c r="F3732" s="10" t="inlineStr">
        <is>
          <t>Hồ Chí Minh</t>
        </is>
      </c>
      <c r="G3732" s="10" t="inlineStr">
        <is>
          <t>26-03-2026</t>
        </is>
      </c>
      <c r="H3732" s="10" t="inlineStr">
        <is>
          <t>26/03/2026</t>
        </is>
      </c>
      <c r="I3732" s="10" t="inlineStr">
        <is>
          <t>17/03/2026</t>
        </is>
      </c>
      <c r="J3732" s="10" t="inlineStr">
        <is>
          <t>Cơ khí / Ô tô / Tự động hóa, Sản xuất / Vận hành sản xuất, Điện / Điện tử / Điện lạnh / Điện công nghiệp</t>
        </is>
      </c>
      <c r="K3732" s="10" t="inlineStr">
        <is>
          <t>2 - 4 Năm</t>
        </is>
      </c>
      <c r="L3732" s="11">
        <f>HYPERLINK("https://careerviet.vn/vi/tim-viec-lam/lab-equipment-engineer-cu-chi-having-shuttle-bus.35C690AE.html","Xem chi tiết")</f>
        <v/>
      </c>
      <c r="M3732" s="10" t="n"/>
    </row>
    <row r="3733">
      <c r="B3733" s="7" t="n">
        <v>3731</v>
      </c>
      <c r="C3733" t="inlineStr">
        <is>
          <t>KIẾN TRÚC SƯ</t>
        </is>
      </c>
      <c r="D3733" t="inlineStr">
        <is>
          <t>Công ty cổ phần xây dựng công nghiệp Megacon</t>
        </is>
      </c>
      <c r="E3733" t="inlineStr">
        <is>
          <t>Lương:15 Tr - 25 Tr VND</t>
        </is>
      </c>
      <c r="F3733" t="inlineStr">
        <is>
          <t>Hà Nội</t>
        </is>
      </c>
      <c r="G3733" t="inlineStr">
        <is>
          <t>30-04-2026</t>
        </is>
      </c>
      <c r="H3733" t="inlineStr">
        <is>
          <t>30/04/2026</t>
        </is>
      </c>
      <c r="I3733" t="inlineStr">
        <is>
          <t>17/03/2026</t>
        </is>
      </c>
      <c r="J3733" t="inlineStr">
        <is>
          <t>Kiến trúc, Xây dựng</t>
        </is>
      </c>
      <c r="K3733" t="inlineStr">
        <is>
          <t>Trên 2 Năm</t>
        </is>
      </c>
      <c r="L3733" s="8">
        <f>HYPERLINK("https://careerviet.vn/vi/tim-viec-lam/kien-truc-su.35C6900C.html","Xem chi tiết")</f>
        <v/>
      </c>
    </row>
    <row r="3734">
      <c r="B3734" s="9" t="n">
        <v>3732</v>
      </c>
      <c r="C3734" s="10" t="inlineStr">
        <is>
          <t>Nhân Viên Kinh Doanh</t>
        </is>
      </c>
      <c r="D3734" s="10" t="inlineStr">
        <is>
          <t>Công ty TNHH Kanzen Việt Nam</t>
        </is>
      </c>
      <c r="E3734" s="10" t="inlineStr">
        <is>
          <t>Lương:10 Tr - 25 Tr VND</t>
        </is>
      </c>
      <c r="F3734" s="10" t="inlineStr">
        <is>
          <t>Hưng Yên</t>
        </is>
      </c>
      <c r="G3734" s="10" t="inlineStr">
        <is>
          <t>31-03-2026</t>
        </is>
      </c>
      <c r="H3734" s="10" t="inlineStr">
        <is>
          <t>31/03/2026</t>
        </is>
      </c>
      <c r="I3734" s="10" t="inlineStr">
        <is>
          <t>17/03/2026</t>
        </is>
      </c>
      <c r="J3734" s="10" t="inlineStr">
        <is>
          <t>Bán hàng / Kinh doanh, Bán Hàng Kỹ Thuật, Điện / Điện tử / Điện lạnh / Điện công nghiệp</t>
        </is>
      </c>
      <c r="K3734" s="10" t="inlineStr">
        <is>
          <t>N/A</t>
        </is>
      </c>
      <c r="L3734" s="11">
        <f>HYPERLINK("https://careerviet.vn/vi/tim-viec-lam/nhan-vien-kinh-doanh.35C68F8D.html","Xem chi tiết")</f>
        <v/>
      </c>
      <c r="M3734" s="10" t="n"/>
    </row>
    <row r="3735">
      <c r="B3735" s="7" t="n">
        <v>3733</v>
      </c>
      <c r="C3735" t="inlineStr">
        <is>
          <t>SOFTWARE ENGINEER – INTERNAL SYSTEMS (ERP FOCUS)  (Middle Level – Java/AWS)</t>
        </is>
      </c>
      <c r="D3735" t="inlineStr">
        <is>
          <t>Công Ty Cổ Phần Indefol Solar</t>
        </is>
      </c>
      <c r="E3735" t="inlineStr">
        <is>
          <t>Lương:Cạnh tranh</t>
        </is>
      </c>
      <c r="F3735" t="inlineStr">
        <is>
          <t>Hồ Chí Minh</t>
        </is>
      </c>
      <c r="G3735" t="inlineStr">
        <is>
          <t>31-03-2026</t>
        </is>
      </c>
      <c r="H3735" t="inlineStr">
        <is>
          <t>31/03/2026</t>
        </is>
      </c>
      <c r="I3735" t="inlineStr">
        <is>
          <t>17/03/2026</t>
        </is>
      </c>
      <c r="J3735" t="inlineStr">
        <is>
          <t>CNTT - Phần mềm</t>
        </is>
      </c>
      <c r="K3735" t="inlineStr">
        <is>
          <t>1 - 3 Năm</t>
        </is>
      </c>
      <c r="L3735" s="8">
        <f>HYPERLINK("https://careerviet.vn/vi/tim-viec-lam/software-engineer-internal-systems-erp-focus-middle-level-java-aws.35C69105.html","Xem chi tiết")</f>
        <v/>
      </c>
    </row>
    <row r="3736">
      <c r="B3736" s="9" t="n">
        <v>3734</v>
      </c>
      <c r="C3736" s="10" t="inlineStr">
        <is>
          <t>Kỹ Sư Cơ khí</t>
        </is>
      </c>
      <c r="D3736" s="10" t="inlineStr">
        <is>
          <t>Saint-Gobain Vietnam</t>
        </is>
      </c>
      <c r="E3736" s="10" t="inlineStr">
        <is>
          <t>Lương:Cạnh tranh</t>
        </is>
      </c>
      <c r="F3736" s="10" t="inlineStr">
        <is>
          <t>Quảng Trị</t>
        </is>
      </c>
      <c r="G3736" s="10" t="inlineStr">
        <is>
          <t>5</t>
        </is>
      </c>
      <c r="H3736" s="10" t="inlineStr">
        <is>
          <t>22/03/2026</t>
        </is>
      </c>
      <c r="I3736" s="10" t="inlineStr">
        <is>
          <t>17/03/2026</t>
        </is>
      </c>
      <c r="J3736" s="10" t="inlineStr">
        <is>
          <t>Cơ khí / Ô tô / Tự động hóa, Bảo trì / Sửa chữa</t>
        </is>
      </c>
      <c r="K3736" s="10" t="inlineStr">
        <is>
          <t>2 - 5 Năm</t>
        </is>
      </c>
      <c r="L3736" s="11">
        <f>HYPERLINK("https://careerviet.vn/vi/tim-viec-lam/ky-su-co-khi.35C69176.html","Xem chi tiết")</f>
        <v/>
      </c>
      <c r="M3736" s="10" t="n"/>
    </row>
    <row r="3737">
      <c r="B3737" s="7" t="n">
        <v>3735</v>
      </c>
      <c r="C3737" t="inlineStr">
        <is>
          <t>Lab Engineer (FAI team) - Cu Chi (Having shuttle bus)</t>
        </is>
      </c>
      <c r="D3737" t="inlineStr">
        <is>
          <t>Techtronic Industries Vietnam Manufacturing Company Limited</t>
        </is>
      </c>
      <c r="E3737" t="inlineStr">
        <is>
          <t>Lương:Cạnh tranh</t>
        </is>
      </c>
      <c r="F3737" t="inlineStr">
        <is>
          <t>Hồ Chí Minh</t>
        </is>
      </c>
      <c r="G3737" t="inlineStr">
        <is>
          <t>26-03-2026</t>
        </is>
      </c>
      <c r="H3737" t="inlineStr">
        <is>
          <t>26/03/2026</t>
        </is>
      </c>
      <c r="I3737" t="inlineStr">
        <is>
          <t>17/03/2026</t>
        </is>
      </c>
      <c r="J3737" t="inlineStr">
        <is>
          <t>Sản xuất / Vận hành sản xuất, Quản lý chất lượng (QA/QC), Điện / Điện tử / Điện lạnh / Điện công nghiệp</t>
        </is>
      </c>
      <c r="K3737" t="inlineStr">
        <is>
          <t>N/A</t>
        </is>
      </c>
      <c r="L3737" s="8">
        <f>HYPERLINK("https://careerviet.vn/vi/tim-viec-lam/lab-engineer-fai-team-cu-chi-having-shuttle-bus.35C6908F.html","Xem chi tiết")</f>
        <v/>
      </c>
    </row>
    <row r="3738">
      <c r="B3738" s="9" t="n">
        <v>3736</v>
      </c>
      <c r="C3738" s="10" t="inlineStr">
        <is>
          <t>Quản lý chất lượng</t>
        </is>
      </c>
      <c r="D3738" s="10" t="inlineStr">
        <is>
          <t>CÔNG TY TNHH MUSEM VINA</t>
        </is>
      </c>
      <c r="E3738" s="10" t="inlineStr">
        <is>
          <t>Lương:15 Tr - 20 Tr VND</t>
        </is>
      </c>
      <c r="F3738" s="10" t="inlineStr">
        <is>
          <t>Long An</t>
        </is>
      </c>
      <c r="G3738" s="10" t="inlineStr">
        <is>
          <t>24-03-2026</t>
        </is>
      </c>
      <c r="H3738" s="10" t="inlineStr">
        <is>
          <t>24/03/2026</t>
        </is>
      </c>
      <c r="I3738" s="10" t="inlineStr">
        <is>
          <t>17/03/2026</t>
        </is>
      </c>
      <c r="J3738" s="10" t="inlineStr">
        <is>
          <t>Sản xuất / Vận hành sản xuất</t>
        </is>
      </c>
      <c r="K3738" s="10" t="inlineStr">
        <is>
          <t>5 - 10 Năm</t>
        </is>
      </c>
      <c r="L3738" s="11">
        <f>HYPERLINK("https://careerviet.vn/vi/tim-viec-lam/quan-ly-chat-luong.35C6902E.html","Xem chi tiết")</f>
        <v/>
      </c>
      <c r="M3738" s="10" t="n"/>
    </row>
    <row r="3739">
      <c r="B3739" s="7" t="n">
        <v>3737</v>
      </c>
      <c r="C3739" t="inlineStr">
        <is>
          <t>TRƯỞNG NHÓM QA/QC DỰ ÁN EPC</t>
        </is>
      </c>
      <c r="D3739" t="inlineStr">
        <is>
          <t>Công ty cổ phần Xây dựng Công trình IPC</t>
        </is>
      </c>
      <c r="E3739" t="inlineStr">
        <is>
          <t>Lương:Cạnh tranh</t>
        </is>
      </c>
      <c r="F3739" t="inlineStr">
        <is>
          <t>Thanh Hóa</t>
        </is>
      </c>
      <c r="G3739" t="inlineStr">
        <is>
          <t>5</t>
        </is>
      </c>
      <c r="H3739" t="inlineStr">
        <is>
          <t>22/03/2026</t>
        </is>
      </c>
      <c r="I3739" t="inlineStr">
        <is>
          <t>17/03/2026</t>
        </is>
      </c>
      <c r="J3739" t="inlineStr">
        <is>
          <t>Cơ khí / Ô tô / Tự động hóa, Điện / Điện tử / Điện lạnh / Điện công nghiệp, Xây dựng</t>
        </is>
      </c>
      <c r="K3739" t="inlineStr">
        <is>
          <t>Trên 3 Năm</t>
        </is>
      </c>
      <c r="L3739" s="8">
        <f>HYPERLINK("https://careerviet.vn/vi/tim-viec-lam/truong-nhom-qa-qc-du-an-epc.35C68FE4.html","Xem chi tiết")</f>
        <v/>
      </c>
    </row>
    <row r="3740">
      <c r="B3740" s="9" t="n">
        <v>3738</v>
      </c>
      <c r="C3740" s="10" t="inlineStr">
        <is>
          <t>Senior PM Clerk (Quận 9 | HCMC)</t>
        </is>
      </c>
      <c r="D3740" s="10" t="inlineStr">
        <is>
          <t>Techtronic Industries Vietnam Manufacturing Company Limited</t>
        </is>
      </c>
      <c r="E3740" s="10" t="inlineStr">
        <is>
          <t>Lương:Cạnh tranh</t>
        </is>
      </c>
      <c r="F3740" s="10" t="inlineStr">
        <is>
          <t>Hồ Chí Minh</t>
        </is>
      </c>
      <c r="G3740" s="10" t="inlineStr">
        <is>
          <t>26-03-2026</t>
        </is>
      </c>
      <c r="H3740" s="10" t="inlineStr">
        <is>
          <t>26/03/2026</t>
        </is>
      </c>
      <c r="I3740" s="10" t="inlineStr">
        <is>
          <t>17/03/2026</t>
        </is>
      </c>
      <c r="J3740" s="10" t="inlineStr">
        <is>
          <t>Hành chính / Thư ký, Bảo trì / Sửa chữa</t>
        </is>
      </c>
      <c r="K3740" s="10" t="inlineStr">
        <is>
          <t>1 - 2 NămĐịa điểm</t>
        </is>
      </c>
      <c r="L3740" s="11">
        <f>HYPERLINK("https://careerviet.vn/vi/tim-viec-lam/senior-pm-clerk-quan-9-hcmc.35C68F89.html","Xem chi tiết")</f>
        <v/>
      </c>
      <c r="M3740" s="10" t="n"/>
    </row>
    <row r="3741">
      <c r="B3741" s="7" t="n">
        <v>3739</v>
      </c>
      <c r="C3741" t="inlineStr">
        <is>
          <t>Kỹ sư Tuabin Gió</t>
        </is>
      </c>
      <c r="D3741" t="inlineStr">
        <is>
          <t>BIM Group</t>
        </is>
      </c>
      <c r="E3741" t="inlineStr">
        <is>
          <t>Lương:Cạnh tranh</t>
        </is>
      </c>
      <c r="F3741" t="inlineStr">
        <is>
          <t>Khánh Hòa</t>
        </is>
      </c>
      <c r="G3741" t="inlineStr">
        <is>
          <t>31-03-2026</t>
        </is>
      </c>
      <c r="H3741" t="inlineStr">
        <is>
          <t>31/03/2026</t>
        </is>
      </c>
      <c r="I3741" t="inlineStr">
        <is>
          <t>17/03/2026</t>
        </is>
      </c>
      <c r="J3741" t="inlineStr">
        <is>
          <t>Điện / Điện tử / Điện lạnh / Điện công nghiệp</t>
        </is>
      </c>
      <c r="K3741" t="inlineStr">
        <is>
          <t>5 - 10 Năm</t>
        </is>
      </c>
      <c r="L3741" s="8">
        <f>HYPERLINK("https://careerviet.vn/vi/tim-viec-lam/ky-su-tuabin-gio.35C63E92.html","Xem chi tiết")</f>
        <v/>
      </c>
    </row>
    <row r="3742">
      <c r="B3742" s="9" t="n">
        <v>3740</v>
      </c>
      <c r="C3742" s="10" t="inlineStr">
        <is>
          <t>Nhân viên buồng phòng</t>
        </is>
      </c>
      <c r="D3742" s="10" t="inlineStr">
        <is>
          <t>Công Ty Cổ Phần A25 Hotel</t>
        </is>
      </c>
      <c r="E3742" s="10" t="inlineStr">
        <is>
          <t>Lương:11 Tr - 21 Tr VND</t>
        </is>
      </c>
      <c r="F3742" s="10" t="inlineStr">
        <is>
          <t>Hà NộiHồ Chí MinhQuảng Ninh</t>
        </is>
      </c>
      <c r="G3742" s="10" t="inlineStr">
        <is>
          <t>31-03-2026</t>
        </is>
      </c>
      <c r="H3742" s="10" t="inlineStr">
        <is>
          <t>31/03/2026</t>
        </is>
      </c>
      <c r="I3742" s="10" t="inlineStr">
        <is>
          <t>17/03/2026</t>
        </is>
      </c>
      <c r="J3742" s="10" t="inlineStr">
        <is>
          <t>Nhà hàng / Khách sạn, Dịch vụ khách hàng, Lao động phổ thông</t>
        </is>
      </c>
      <c r="K3742" s="10" t="inlineStr">
        <is>
          <t>N/A</t>
        </is>
      </c>
      <c r="L3742" s="11">
        <f>HYPERLINK("https://careerviet.vn/vi/tim-viec-lam/nhan-vien-buong-phong.35C6933A.html","Xem chi tiết")</f>
        <v/>
      </c>
      <c r="M3742" s="10" t="n"/>
    </row>
    <row r="3743">
      <c r="B3743" s="7" t="n">
        <v>3741</v>
      </c>
      <c r="C3743" t="inlineStr">
        <is>
          <t>Nhân viên Thanh quyết toán Xây dựng</t>
        </is>
      </c>
      <c r="D3743" t="inlineStr">
        <is>
          <t>CÔNG TY CỔ PHẦN EUROWINDOW HOLDING</t>
        </is>
      </c>
      <c r="E3743" t="inlineStr">
        <is>
          <t>Lương:Cạnh tranh</t>
        </is>
      </c>
      <c r="F3743" t="inlineStr">
        <is>
          <t>Hà Nội</t>
        </is>
      </c>
      <c r="G3743" t="inlineStr">
        <is>
          <t>6</t>
        </is>
      </c>
      <c r="H3743" t="inlineStr">
        <is>
          <t>23/03/2026</t>
        </is>
      </c>
      <c r="I3743" t="inlineStr">
        <is>
          <t>17/03/2026</t>
        </is>
      </c>
      <c r="J3743" t="inlineStr">
        <is>
          <t>Kiến trúc, Xây dựng, Bất động sản</t>
        </is>
      </c>
      <c r="K3743" t="inlineStr">
        <is>
          <t>3 - 5 Năm</t>
        </is>
      </c>
      <c r="L3743" s="8">
        <f>HYPERLINK("https://careerviet.vn/vi/tim-viec-lam/nhan-vien-thanh-quyet-toan-xay-dung.35C6975E.html","Xem chi tiết")</f>
        <v/>
      </c>
    </row>
    <row r="3744">
      <c r="B3744" s="9" t="n">
        <v>3742</v>
      </c>
      <c r="C3744" s="10" t="inlineStr">
        <is>
          <t>Senior Account Executive</t>
        </is>
      </c>
      <c r="D3744" s="10" t="inlineStr">
        <is>
          <t>CÔNG TY CP TẬP ĐOÀN ĐẦU TƯ HOÀNG GIA VIỆT NAM</t>
        </is>
      </c>
      <c r="E3744" s="10" t="inlineStr">
        <is>
          <t>Lương:12 Tr - 15 Tr VND</t>
        </is>
      </c>
      <c r="F3744" s="10" t="inlineStr">
        <is>
          <t>Hồ Chí Minh</t>
        </is>
      </c>
      <c r="G3744" s="10" t="inlineStr">
        <is>
          <t>09-03-2026</t>
        </is>
      </c>
      <c r="H3744" s="10" t="inlineStr">
        <is>
          <t>24/02/2026</t>
        </is>
      </c>
      <c r="I3744" s="10" t="inlineStr">
        <is>
          <t>17/03/2026</t>
        </is>
      </c>
      <c r="J3744" s="10" t="inlineStr">
        <is>
          <t>Bán hàng / Kinh doanh, Quảng cáo / Đối ngoại / Truyền Thông, Tổ chức sự kiện</t>
        </is>
      </c>
      <c r="K3744" s="10" t="inlineStr">
        <is>
          <t>2 - 3 Năm</t>
        </is>
      </c>
      <c r="L3744" s="11">
        <f>HYPERLINK("https://careerviet.vn/vi/tim-viec-lam/senior-account-executive.35C69043.html","Xem chi tiết")</f>
        <v/>
      </c>
      <c r="M3744" s="10" t="n"/>
    </row>
    <row r="3745">
      <c r="B3745" s="7" t="n">
        <v>3743</v>
      </c>
      <c r="C3745" t="inlineStr">
        <is>
          <t>Technical Leader/ Trưởng Phòng Lập Trình</t>
        </is>
      </c>
      <c r="D3745" t="inlineStr">
        <is>
          <t>CÔNG TY CỔ PHẦN CHỨNG KHOÁN ASEAN</t>
        </is>
      </c>
      <c r="E3745" t="inlineStr">
        <is>
          <t>Lương:Cạnh tranh</t>
        </is>
      </c>
      <c r="F3745" t="inlineStr">
        <is>
          <t>Hà Nội</t>
        </is>
      </c>
      <c r="G3745" t="inlineStr">
        <is>
          <t>09-03-2026</t>
        </is>
      </c>
      <c r="H3745" t="inlineStr">
        <is>
          <t>15/03/2026</t>
        </is>
      </c>
      <c r="I3745" t="inlineStr">
        <is>
          <t>17/03/2026</t>
        </is>
      </c>
      <c r="J3745" t="inlineStr">
        <is>
          <t>Chứng khoán, Tài chính / Đầu tư, CNTT - Phần mềm</t>
        </is>
      </c>
      <c r="K3745" t="inlineStr">
        <is>
          <t>5 - 7 Năm</t>
        </is>
      </c>
      <c r="L3745" s="8">
        <f>HYPERLINK("https://careerviet.vn/vi/tim-viec-lam/technical-leader-truong-phong-lap-trinh.35C69427.html","Xem chi tiết")</f>
        <v/>
      </c>
    </row>
    <row r="3746">
      <c r="B3746" s="9" t="n">
        <v>3744</v>
      </c>
      <c r="C3746" s="10" t="inlineStr">
        <is>
          <t>CV TUYỂN DỤNG &amp; ĐÀO TẠO</t>
        </is>
      </c>
      <c r="D3746" s="10" t="inlineStr">
        <is>
          <t>TBS Land- Công ty Cổ Phần Đầu Tư Thái Bình</t>
        </is>
      </c>
      <c r="E3746" s="10" t="inlineStr">
        <is>
          <t>Lương:Cạnh tranh</t>
        </is>
      </c>
      <c r="F3746" s="10" t="inlineStr">
        <is>
          <t>Bình Dương</t>
        </is>
      </c>
      <c r="G3746" s="10" t="inlineStr">
        <is>
          <t>24-03-2026</t>
        </is>
      </c>
      <c r="H3746" s="10" t="inlineStr">
        <is>
          <t>24/03/2026</t>
        </is>
      </c>
      <c r="I3746" s="10" t="inlineStr">
        <is>
          <t>17/03/2026</t>
        </is>
      </c>
      <c r="J3746" s="10" t="inlineStr">
        <is>
          <t>Xây dựng, Bất động sản</t>
        </is>
      </c>
      <c r="K3746" s="10" t="inlineStr">
        <is>
          <t>5 - 7 Năm</t>
        </is>
      </c>
      <c r="L3746" s="11">
        <f>HYPERLINK("https://careerviet.vn/vi/tim-viec-lam/cv-tuyen-dung-dao-tao.35C69012.html","Xem chi tiết")</f>
        <v/>
      </c>
      <c r="M3746" s="10" t="n"/>
    </row>
    <row r="3747">
      <c r="B3747" s="7" t="n">
        <v>3745</v>
      </c>
      <c r="C3747" t="inlineStr">
        <is>
          <t>Nhân viên thu hồi nợ qua điện thoại</t>
        </is>
      </c>
      <c r="D3747" t="inlineStr">
        <is>
          <t>CÔNG TY CỔ PHẦN KREDIVO VIỆT NAM</t>
        </is>
      </c>
      <c r="E3747" t="inlineStr">
        <is>
          <t>Lương:10 Tr - 15 Tr VND</t>
        </is>
      </c>
      <c r="F3747" t="inlineStr">
        <is>
          <t>Hồ Chí Minh</t>
        </is>
      </c>
      <c r="G3747" t="inlineStr">
        <is>
          <t>25-03-2026</t>
        </is>
      </c>
      <c r="H3747" t="inlineStr">
        <is>
          <t>25/03/2026</t>
        </is>
      </c>
      <c r="I3747" t="inlineStr">
        <is>
          <t>17/03/2026</t>
        </is>
      </c>
      <c r="J3747" t="inlineStr">
        <is>
          <t>Tài chính / Đầu tư, Ngân hàng, Dịch vụ khách hàng</t>
        </is>
      </c>
      <c r="K3747" t="inlineStr">
        <is>
          <t>1 - 3 Năm</t>
        </is>
      </c>
      <c r="L3747" s="8">
        <f>HYPERLINK("https://careerviet.vn/vi/tim-viec-lam/nhan-vien-thu-hoi-no-qua-dien-thoai.35C690F8.html","Xem chi tiết")</f>
        <v/>
      </c>
    </row>
    <row r="3748">
      <c r="B3748" s="9" t="n">
        <v>3746</v>
      </c>
      <c r="C3748" s="10" t="inlineStr">
        <is>
          <t>ILO Preschool Tân Phú, Tân Định, Gò Vấp- Giáo viên mầm non</t>
        </is>
      </c>
      <c r="D3748" s="10" t="inlineStr">
        <is>
          <t>ILA Việt Nam</t>
        </is>
      </c>
      <c r="E3748" s="10" t="inlineStr">
        <is>
          <t>Lương:Cạnh tranh</t>
        </is>
      </c>
      <c r="F3748" s="10" t="inlineStr">
        <is>
          <t>Hồ Chí Minh</t>
        </is>
      </c>
      <c r="G3748" s="10" t="inlineStr">
        <is>
          <t>31-03-2026</t>
        </is>
      </c>
      <c r="H3748" s="10" t="inlineStr">
        <is>
          <t>31/03/2026</t>
        </is>
      </c>
      <c r="I3748" s="10" t="inlineStr">
        <is>
          <t>17/03/2026</t>
        </is>
      </c>
      <c r="J3748" s="10" t="inlineStr">
        <is>
          <t>Giáo dục / Đào tạo</t>
        </is>
      </c>
      <c r="K3748" s="10" t="inlineStr">
        <is>
          <t>1 - 2 Năm</t>
        </is>
      </c>
      <c r="L3748" s="11">
        <f>HYPERLINK("https://careerviet.vn/vi/tim-viec-lam/ilo-preschool-tan-phu-tan-dinh-go-vap-giao-vien-mam-non.35C692F8.html","Xem chi tiết")</f>
        <v/>
      </c>
      <c r="M3748" s="10" t="n"/>
    </row>
    <row r="3749">
      <c r="B3749" s="7" t="n">
        <v>3747</v>
      </c>
      <c r="C3749" t="inlineStr">
        <is>
          <t>Chuyên Viên Tư Vấn Tuyển Sinh - ILA Đà Nẵng</t>
        </is>
      </c>
      <c r="D3749" t="inlineStr">
        <is>
          <t>ILA Việt Nam</t>
        </is>
      </c>
      <c r="E3749" t="inlineStr">
        <is>
          <t>Lương:Cạnh tranh</t>
        </is>
      </c>
      <c r="F3749" t="inlineStr">
        <is>
          <t>Đà Nẵng</t>
        </is>
      </c>
      <c r="G3749" t="inlineStr">
        <is>
          <t>4</t>
        </is>
      </c>
      <c r="H3749" t="inlineStr">
        <is>
          <t>21/03/2026</t>
        </is>
      </c>
      <c r="I3749" t="inlineStr">
        <is>
          <t>17/03/2026</t>
        </is>
      </c>
      <c r="J3749" t="inlineStr">
        <is>
          <t>Bán hàng / Kinh doanh, Tư vấn, Dịch vụ khách hàng</t>
        </is>
      </c>
      <c r="K3749" t="inlineStr">
        <is>
          <t>1 - 2 Năm</t>
        </is>
      </c>
      <c r="L3749" s="8">
        <f>HYPERLINK("https://careerviet.vn/vi/tim-viec-lam/chuyen-vien-tu-van-tuyen-sinh-ila-da-nang.35C69062.html","Xem chi tiết")</f>
        <v/>
      </c>
    </row>
    <row r="3750">
      <c r="B3750" s="9" t="n">
        <v>3748</v>
      </c>
      <c r="C3750" s="10" t="inlineStr">
        <is>
          <t>ASSISTANT CUSTOMS MANAGER (PHÓ PHÒNG HẢI QUAN)</t>
        </is>
      </c>
      <c r="D3750" s="10" t="inlineStr">
        <is>
          <t>CÔNG TY TNHH ASHTON FURNITURE CONSOLIDATION</t>
        </is>
      </c>
      <c r="E3750" s="10" t="inlineStr">
        <is>
          <t>Lương:25 Tr - 35 Tr VND</t>
        </is>
      </c>
      <c r="F3750" s="10" t="inlineStr">
        <is>
          <t>Bà Rịa - Vũng Tàu</t>
        </is>
      </c>
      <c r="G3750" s="10" t="inlineStr">
        <is>
          <t>24-03-2026</t>
        </is>
      </c>
      <c r="H3750" s="10" t="inlineStr">
        <is>
          <t>24/03/2026</t>
        </is>
      </c>
      <c r="I3750" s="10" t="inlineStr">
        <is>
          <t>17/03/2026</t>
        </is>
      </c>
      <c r="J3750" s="10" t="inlineStr">
        <is>
          <t>Vận chuyển / Giao nhận / Kho vận</t>
        </is>
      </c>
      <c r="K3750" s="10" t="inlineStr">
        <is>
          <t>4 - 5 Năm</t>
        </is>
      </c>
      <c r="L3750" s="11">
        <f>HYPERLINK("https://careerviet.vn/vi/tim-viec-lam/assistant-customs-manager-pho-phong-hai-quan.35C68F9F.html","Xem chi tiết")</f>
        <v/>
      </c>
      <c r="M3750" s="10" t="n"/>
    </row>
    <row r="3751">
      <c r="B3751" s="7" t="n">
        <v>3749</v>
      </c>
      <c r="C3751" t="inlineStr">
        <is>
          <t>Kế toán kho</t>
        </is>
      </c>
      <c r="D3751" t="inlineStr">
        <is>
          <t>CÔNG TY TNHH SẢN XUẤT TẬP ĐOÀN ĐẠI VIỆT</t>
        </is>
      </c>
      <c r="E3751" t="inlineStr">
        <is>
          <t>Lương:9 Tr - 12 Tr VND</t>
        </is>
      </c>
      <c r="F3751" t="inlineStr">
        <is>
          <t>Long An</t>
        </is>
      </c>
      <c r="G3751" t="inlineStr">
        <is>
          <t>10-03-2026</t>
        </is>
      </c>
      <c r="H3751" t="inlineStr">
        <is>
          <t>10/03/2026</t>
        </is>
      </c>
      <c r="I3751" t="inlineStr">
        <is>
          <t>17/03/2026</t>
        </is>
      </c>
      <c r="J3751" t="inlineStr">
        <is>
          <t>Sản xuất / Vận hành sản xuất</t>
        </is>
      </c>
      <c r="K3751" t="inlineStr">
        <is>
          <t>1 - 2 Năm</t>
        </is>
      </c>
      <c r="L3751" s="8">
        <f>HYPERLINK("https://careerviet.vn/vi/tim-viec-lam/ke-toan-kho.35C696AC.html","Xem chi tiết")</f>
        <v/>
      </c>
    </row>
    <row r="3752">
      <c r="B3752" s="9" t="n">
        <v>3750</v>
      </c>
      <c r="C3752" s="10" t="inlineStr">
        <is>
          <t>HUẾ/ ĐÀ NẴNG - KỸ SƯ QS CÔNG TRÌNH</t>
        </is>
      </c>
      <c r="D3752" s="10" t="inlineStr">
        <is>
          <t>CÔNG TY CP TẬP ĐOÀN ĐẦU TƯ HOÀNG GIA VIỆT NAM</t>
        </is>
      </c>
      <c r="E3752" s="10" t="inlineStr">
        <is>
          <t>Lương:Cạnh tranh</t>
        </is>
      </c>
      <c r="F3752" s="10" t="inlineStr">
        <is>
          <t>Thừa Thiên- HuếĐà Nẵng</t>
        </is>
      </c>
      <c r="G3752" s="10" t="inlineStr">
        <is>
          <t>31-03-2026</t>
        </is>
      </c>
      <c r="H3752" s="10" t="inlineStr">
        <is>
          <t>31/03/2026</t>
        </is>
      </c>
      <c r="I3752" s="10" t="inlineStr">
        <is>
          <t>17/03/2026</t>
        </is>
      </c>
      <c r="J3752" s="10" t="inlineStr">
        <is>
          <t>Kiến trúc, Xây dựng, Bất động sản</t>
        </is>
      </c>
      <c r="K3752" s="10" t="inlineStr">
        <is>
          <t>Trên 5 Năm</t>
        </is>
      </c>
      <c r="L3752" s="11">
        <f>HYPERLINK("https://careerviet.vn/vi/tim-viec-lam/hue-da-nang-ky-su-qs-cong-trinh.35C6950A.html","Xem chi tiết")</f>
        <v/>
      </c>
      <c r="M3752" s="10" t="n"/>
    </row>
    <row r="3753">
      <c r="B3753" s="7" t="n">
        <v>3751</v>
      </c>
      <c r="C3753" t="inlineStr">
        <is>
          <t>[Lâm Đồng] Trình Dược Viên ETC</t>
        </is>
      </c>
      <c r="D3753" t="inlineStr">
        <is>
          <t>Công ty Cổ phần Dược Hậu Giang</t>
        </is>
      </c>
      <c r="E3753" t="inlineStr">
        <is>
          <t>Lương:8 Tr - 20 Tr VND</t>
        </is>
      </c>
      <c r="F3753" t="inlineStr">
        <is>
          <t>Lâm Đồng</t>
        </is>
      </c>
      <c r="G3753" t="inlineStr">
        <is>
          <t>24-03-2026</t>
        </is>
      </c>
      <c r="H3753" t="inlineStr">
        <is>
          <t>24/03/2026</t>
        </is>
      </c>
      <c r="I3753" t="inlineStr">
        <is>
          <t>17/03/2026</t>
        </is>
      </c>
      <c r="J3753" t="inlineStr">
        <is>
          <t>Tiếp thị / Marketing, Bán hàng / Kinh doanh, Dược phẩm/ Hóa Mỹ Phẩm</t>
        </is>
      </c>
      <c r="K3753" t="inlineStr">
        <is>
          <t>1 - 2 Năm</t>
        </is>
      </c>
      <c r="L3753" s="8">
        <f>HYPERLINK("https://careerviet.vn/vi/tim-viec-lam/lam-dong-trinh-duoc-vien-etc.35C68FD1.html","Xem chi tiết")</f>
        <v/>
      </c>
    </row>
    <row r="3754">
      <c r="B3754" s="9" t="n">
        <v>3752</v>
      </c>
      <c r="C3754" s="10" t="inlineStr">
        <is>
          <t>Nhân viên Dịch vụ Khách hàng</t>
        </is>
      </c>
      <c r="D3754" s="10" t="inlineStr">
        <is>
          <t>CTY TNHH WHISKYCOGNAC</t>
        </is>
      </c>
      <c r="E3754" s="10" t="inlineStr">
        <is>
          <t>Lương:12 Tr - 15 Tr VND</t>
        </is>
      </c>
      <c r="F3754" s="10" t="inlineStr">
        <is>
          <t>Đồng Nai</t>
        </is>
      </c>
      <c r="G3754" s="10" t="inlineStr">
        <is>
          <t>31-03-2026</t>
        </is>
      </c>
      <c r="H3754" s="10" t="inlineStr">
        <is>
          <t>31/03/2026</t>
        </is>
      </c>
      <c r="I3754" s="10" t="inlineStr">
        <is>
          <t>17/03/2026</t>
        </is>
      </c>
      <c r="J3754" s="10" t="inlineStr">
        <is>
          <t>Dịch vụ khách hàng, Hành chính / Thư ký, Bất động sản</t>
        </is>
      </c>
      <c r="K3754" s="10" t="inlineStr">
        <is>
          <t>Trên 1 Năm</t>
        </is>
      </c>
      <c r="L3754" s="11">
        <f>HYPERLINK("https://careerviet.vn/vi/tim-viec-lam/nhan-vien-dich-vu-khach-hang.35C6951F.html","Xem chi tiết")</f>
        <v/>
      </c>
      <c r="M3754" s="10" t="n"/>
    </row>
    <row r="3755">
      <c r="B3755" s="7" t="n">
        <v>3753</v>
      </c>
      <c r="C3755" t="inlineStr">
        <is>
          <t>[Hà Nam] Nhân Viên Phát Triển Thầu Thợ Xây Dựng</t>
        </is>
      </c>
      <c r="D3755" t="inlineStr">
        <is>
          <t>Saint-Gobain Vietnam</t>
        </is>
      </c>
      <c r="E3755" t="inlineStr">
        <is>
          <t>Lương:Cạnh tranh</t>
        </is>
      </c>
      <c r="F3755" t="inlineStr">
        <is>
          <t>Hà Nam</t>
        </is>
      </c>
      <c r="G3755" t="inlineStr">
        <is>
          <t>31-03-2026</t>
        </is>
      </c>
      <c r="H3755" t="inlineStr">
        <is>
          <t>31/03/2026</t>
        </is>
      </c>
      <c r="I3755" t="inlineStr">
        <is>
          <t>17/03/2026</t>
        </is>
      </c>
      <c r="J3755" t="inlineStr">
        <is>
          <t>Bán lẻ / Bán sỉ, Bán hàng / Kinh doanh, Tư vấn</t>
        </is>
      </c>
      <c r="K3755" t="inlineStr">
        <is>
          <t>2 - 5 Năm</t>
        </is>
      </c>
      <c r="L3755" s="8">
        <f>HYPERLINK("https://careerviet.vn/vi/tim-viec-lam/ha-nam-nhan-vien-phat-trien-thau-tho-xay-dung.35C692CA.html","Xem chi tiết")</f>
        <v/>
      </c>
    </row>
    <row r="3756">
      <c r="B3756" s="9" t="n">
        <v>3754</v>
      </c>
      <c r="C3756" s="10" t="inlineStr">
        <is>
          <t>Nhân viên kinh doanh - Mảng Y tế</t>
        </is>
      </c>
      <c r="D3756" s="10" t="inlineStr">
        <is>
          <t>BỆNH VIỆN ĐA KHOA PHƯƠNG ĐÔNG</t>
        </is>
      </c>
      <c r="E3756" s="10" t="inlineStr">
        <is>
          <t>Lương:7 Tr - 30 Tr VND</t>
        </is>
      </c>
      <c r="F3756" s="10" t="inlineStr">
        <is>
          <t>Hà Nội</t>
        </is>
      </c>
      <c r="G3756" s="10" t="inlineStr">
        <is>
          <t>31-05-2026</t>
        </is>
      </c>
      <c r="H3756" s="10" t="inlineStr">
        <is>
          <t>31/05/2026</t>
        </is>
      </c>
      <c r="I3756" s="10" t="inlineStr">
        <is>
          <t>17/03/2026</t>
        </is>
      </c>
      <c r="J3756" s="10" t="inlineStr">
        <is>
          <t>Tiếp thị / Marketing, Bán hàng / Kinh doanh, Y tế / Chăm sóc sức khỏe / Thẩm mỹ / Làm đẹp</t>
        </is>
      </c>
      <c r="K3756" s="10" t="inlineStr">
        <is>
          <t>N/A</t>
        </is>
      </c>
      <c r="L3756" s="11">
        <f>HYPERLINK("https://careerviet.vn/vi/tim-viec-lam/nhan-vien-kinh-doanh-mang-y-te.35C690E2.html","Xem chi tiết")</f>
        <v/>
      </c>
      <c r="M3756" s="10" t="n"/>
    </row>
    <row r="3757">
      <c r="B3757" s="7" t="n">
        <v>3755</v>
      </c>
      <c r="C3757" t="inlineStr">
        <is>
          <t>Quality Control (Nhân Viên Quản Lý Chất Lượng)</t>
        </is>
      </c>
      <c r="D3757" t="inlineStr">
        <is>
          <t>CÔNG TY TNHH THƯƠNG MẠI - DỊCH VỤ - SẢN XUẤT THỜI TRANG THANH HÀ H.A</t>
        </is>
      </c>
      <c r="E3757" t="inlineStr">
        <is>
          <t>Lương:12 Tr - 20 Tr VND</t>
        </is>
      </c>
      <c r="F3757" t="inlineStr">
        <is>
          <t>Hải DươngHà NộiHải Phòng</t>
        </is>
      </c>
      <c r="G3757" t="inlineStr">
        <is>
          <t>31-03-2026</t>
        </is>
      </c>
      <c r="H3757" t="inlineStr">
        <is>
          <t>31/03/2026</t>
        </is>
      </c>
      <c r="I3757" t="inlineStr">
        <is>
          <t>17/03/2026</t>
        </is>
      </c>
      <c r="J3757" t="inlineStr">
        <is>
          <t>Dệt may / Da giày / Thời trang, Quản lý chất lượng (QA/QC)</t>
        </is>
      </c>
      <c r="K3757" t="inlineStr">
        <is>
          <t>1 - 3 Năm</t>
        </is>
      </c>
      <c r="L3757" s="8">
        <f>HYPERLINK("https://careerviet.vn/vi/tim-viec-lam/quality-control-nhan-vien-quan-ly-chat-luong.35C69839.html","Xem chi tiết")</f>
        <v/>
      </c>
    </row>
    <row r="3758">
      <c r="B3758" s="9" t="n">
        <v>3756</v>
      </c>
      <c r="C3758" s="10" t="inlineStr">
        <is>
          <t>Nhân Viên Bán Hàng - Quận 2</t>
        </is>
      </c>
      <c r="D3758" s="10" t="inlineStr">
        <is>
          <t>CÔNG TY CỔ PHẦN VUA NỆM</t>
        </is>
      </c>
      <c r="E3758" s="10" t="inlineStr">
        <is>
          <t>Lương:8 Tr - 12 Tr VND</t>
        </is>
      </c>
      <c r="F3758" s="10" t="inlineStr">
        <is>
          <t>Hồ Chí Minh</t>
        </is>
      </c>
      <c r="G3758" s="10" t="inlineStr">
        <is>
          <t>25-03-2026</t>
        </is>
      </c>
      <c r="H3758" s="10" t="inlineStr">
        <is>
          <t>25/03/2026</t>
        </is>
      </c>
      <c r="I3758" s="10" t="inlineStr">
        <is>
          <t>17/03/2026</t>
        </is>
      </c>
      <c r="J3758" s="10" t="inlineStr">
        <is>
          <t>Bán lẻ / Bán sỉ, Bán hàng / Kinh doanh, Tư vấn</t>
        </is>
      </c>
      <c r="K3758" s="10" t="inlineStr">
        <is>
          <t>1 - 10 Năm</t>
        </is>
      </c>
      <c r="L3758" s="11">
        <f>HYPERLINK("https://careerviet.vn/vi/tim-viec-lam/nhan-vien-ban-hang-quan-2.35C6988A.html","Xem chi tiết")</f>
        <v/>
      </c>
      <c r="M3758" s="10" t="n"/>
    </row>
    <row r="3759">
      <c r="B3759" s="7" t="n">
        <v>3757</v>
      </c>
      <c r="C3759" t="inlineStr">
        <is>
          <t>Giám sát kho - Các Khu vực Long Hậu &amp; Hưng Yên</t>
        </is>
      </c>
      <c r="D3759" t="inlineStr">
        <is>
          <t>Hoang Duc Pharmaceutical &amp; Medical Supplies co, Ltd.</t>
        </is>
      </c>
      <c r="E3759" t="inlineStr">
        <is>
          <t>Lương:Cạnh tranh</t>
        </is>
      </c>
      <c r="F3759" t="inlineStr">
        <is>
          <t>Hưng YênLong An</t>
        </is>
      </c>
      <c r="G3759" t="inlineStr">
        <is>
          <t>31-03-2026</t>
        </is>
      </c>
      <c r="H3759" t="inlineStr">
        <is>
          <t>31/03/2026</t>
        </is>
      </c>
      <c r="I3759" t="inlineStr">
        <is>
          <t>17/03/2026</t>
        </is>
      </c>
      <c r="J3759" t="inlineStr">
        <is>
          <t>Dược phẩm/ Hóa Mỹ Phẩm, Vận chuyển / Giao nhận / Kho vận, Quản lý chất lượng (QA/QC)</t>
        </is>
      </c>
      <c r="K3759" t="inlineStr">
        <is>
          <t>2 - 3 Năm</t>
        </is>
      </c>
      <c r="L3759" s="8">
        <f>HYPERLINK("https://careerviet.vn/vi/tim-viec-lam/giam-sat-kho-cac-khu-vuc-long-hau-hung-yen.35C69566.html","Xem chi tiết")</f>
        <v/>
      </c>
    </row>
    <row r="3760">
      <c r="B3760" s="9" t="n">
        <v>3758</v>
      </c>
      <c r="C3760" s="10" t="inlineStr">
        <is>
          <t>NHÂN VIÊN KHO (LÁI XE NÂNG)</t>
        </is>
      </c>
      <c r="D3760" s="10" t="inlineStr">
        <is>
          <t>CÔNG TY TNHH ZIEHL-ABEGG VIỆT NAM</t>
        </is>
      </c>
      <c r="E3760" s="10" t="inlineStr">
        <is>
          <t>Lương:Cạnh tranh</t>
        </is>
      </c>
      <c r="F3760" s="10" t="inlineStr">
        <is>
          <t>Đồng Nai</t>
        </is>
      </c>
      <c r="G3760" s="10" t="inlineStr">
        <is>
          <t>25-03-2026</t>
        </is>
      </c>
      <c r="H3760" s="10" t="inlineStr">
        <is>
          <t>25/03/2026</t>
        </is>
      </c>
      <c r="I3760" s="10" t="inlineStr">
        <is>
          <t>17/03/2026</t>
        </is>
      </c>
      <c r="J3760" s="10" t="inlineStr">
        <is>
          <t>Vận chuyển / Giao nhận / Kho vận</t>
        </is>
      </c>
      <c r="K3760" s="10" t="inlineStr">
        <is>
          <t>1 - 2 Năm</t>
        </is>
      </c>
      <c r="L3760" s="11">
        <f>HYPERLINK("https://careerviet.vn/vi/tim-viec-lam/nhan-vien-kho-lai-xe-nang.35C69498.html","Xem chi tiết")</f>
        <v/>
      </c>
      <c r="M3760" s="10" t="n"/>
    </row>
    <row r="3761">
      <c r="B3761" s="7" t="n">
        <v>3759</v>
      </c>
      <c r="C3761" t="inlineStr">
        <is>
          <t>Trưởng Phòng Quản Lý Chất Lượng- ngành Thực Phẩm</t>
        </is>
      </c>
      <c r="D3761" t="inlineStr">
        <is>
          <t>CÔNG TY TNHH KHAI THÁC HẢI SẢN, CHẾ BIẾN NƯỚC MẮM THANH HÀ</t>
        </is>
      </c>
      <c r="E3761" t="inlineStr">
        <is>
          <t>Lương:17 Tr - 22 Tr VND</t>
        </is>
      </c>
      <c r="F3761" t="inlineStr">
        <is>
          <t>Hồ Chí Minh</t>
        </is>
      </c>
      <c r="G3761" t="inlineStr">
        <is>
          <t>07-04-2026</t>
        </is>
      </c>
      <c r="H3761" t="inlineStr">
        <is>
          <t>07/04/2026</t>
        </is>
      </c>
      <c r="I3761" t="inlineStr">
        <is>
          <t>17/03/2026</t>
        </is>
      </c>
      <c r="J3761" t="inlineStr">
        <is>
          <t>Thủy sản / Hải sản, Công nghệ thực phẩm / Dinh dưỡng, Quản lý chất lượng (QA/QC)</t>
        </is>
      </c>
      <c r="K3761" t="inlineStr">
        <is>
          <t>3 - 5 Năm</t>
        </is>
      </c>
      <c r="L3761" s="8">
        <f>HYPERLINK("https://careerviet.vn/vi/tim-viec-lam/truong-phong-quan-ly-chat-luong-nganh-thuc-pham.35C60F71.html","Xem chi tiết")</f>
        <v/>
      </c>
    </row>
    <row r="3762">
      <c r="B3762" s="9" t="n">
        <v>3760</v>
      </c>
      <c r="C3762" s="10" t="inlineStr">
        <is>
          <t>Nhân Viên Lái Xe Giao Hàng</t>
        </is>
      </c>
      <c r="D3762" s="10" t="inlineStr">
        <is>
          <t>CÔNG TY CỔ PHẦN VUA NỆM</t>
        </is>
      </c>
      <c r="E3762" s="10" t="inlineStr">
        <is>
          <t>Lương:12 Tr - 20 Tr VND</t>
        </is>
      </c>
      <c r="F3762" s="10" t="inlineStr">
        <is>
          <t>Hồ Chí MinhHà Nội</t>
        </is>
      </c>
      <c r="G3762" s="10" t="inlineStr">
        <is>
          <t>6</t>
        </is>
      </c>
      <c r="H3762" s="10" t="inlineStr">
        <is>
          <t>23/03/2026</t>
        </is>
      </c>
      <c r="I3762" s="10" t="inlineStr">
        <is>
          <t>17/03/2026</t>
        </is>
      </c>
      <c r="J3762" s="10" t="inlineStr">
        <is>
          <t>Bán lẻ / Bán sỉ, Vận chuyển / Giao nhận / Kho vận, Lao động phổ thông</t>
        </is>
      </c>
      <c r="K3762" s="10" t="inlineStr">
        <is>
          <t>2 - 10 Năm</t>
        </is>
      </c>
      <c r="L3762" s="11">
        <f>HYPERLINK("https://careerviet.vn/vi/tim-viec-lam/nhan-vien-lai-xe-giao-hang.35C690A0.html","Xem chi tiết")</f>
        <v/>
      </c>
      <c r="M3762" s="10" t="n"/>
    </row>
    <row r="3763">
      <c r="B3763" s="7" t="n">
        <v>3761</v>
      </c>
      <c r="C3763" t="inlineStr">
        <is>
          <t>Sales Specialist - (Feed Ingredients)</t>
        </is>
      </c>
      <c r="D3763" t="inlineStr">
        <is>
          <t>Công Ty Cổ Phần Dịch Vụ và Cung Cấp Thực Phẩm Quốc Tế-IFSS</t>
        </is>
      </c>
      <c r="E3763" t="inlineStr">
        <is>
          <t>Lương:20 Tr - 30 Tr VND</t>
        </is>
      </c>
      <c r="F3763" t="inlineStr">
        <is>
          <t>Hồ Chí Minh</t>
        </is>
      </c>
      <c r="G3763" t="inlineStr">
        <is>
          <t>25-03-2026</t>
        </is>
      </c>
      <c r="H3763" t="inlineStr">
        <is>
          <t>25/03/2026</t>
        </is>
      </c>
      <c r="I3763" t="inlineStr">
        <is>
          <t>17/03/2026</t>
        </is>
      </c>
      <c r="J3763" t="inlineStr">
        <is>
          <t>Bán lẻ / Bán sỉ, Chăn nuôi / Thú y</t>
        </is>
      </c>
      <c r="K3763" t="inlineStr">
        <is>
          <t>Trên 5 Năm</t>
        </is>
      </c>
      <c r="L3763" s="8">
        <f>HYPERLINK("https://careerviet.vn/vi/tim-viec-lam/sales-specialist-feed-ingredients.35C694C7.html","Xem chi tiết")</f>
        <v/>
      </c>
    </row>
    <row r="3764">
      <c r="B3764" s="9" t="n">
        <v>3762</v>
      </c>
      <c r="C3764" s="10" t="inlineStr">
        <is>
          <t>Kế toán tổng hợp kiêm kế toán thuế</t>
        </is>
      </c>
      <c r="D3764" s="10" t="inlineStr">
        <is>
          <t>GLO365 CLINIC</t>
        </is>
      </c>
      <c r="E3764" s="10" t="inlineStr">
        <is>
          <t>Lương:Cạnh tranh</t>
        </is>
      </c>
      <c r="F3764" s="10" t="inlineStr">
        <is>
          <t>Hồ Chí Minh</t>
        </is>
      </c>
      <c r="G3764" s="10" t="inlineStr">
        <is>
          <t>25-04-2026</t>
        </is>
      </c>
      <c r="H3764" s="10" t="inlineStr">
        <is>
          <t>25/04/2026</t>
        </is>
      </c>
      <c r="I3764" s="10" t="inlineStr">
        <is>
          <t>17/03/2026</t>
        </is>
      </c>
      <c r="J3764" s="10" t="inlineStr">
        <is>
          <t>Kế toán / Kiểm toán</t>
        </is>
      </c>
      <c r="K3764" s="10" t="inlineStr">
        <is>
          <t>1 - 3 Năm</t>
        </is>
      </c>
      <c r="L3764" s="11">
        <f>HYPERLINK("https://careerviet.vn/vi/tim-viec-lam/ke-toan-tong-hop-kiem-ke-toan-thue.35C6958F.html","Xem chi tiết")</f>
        <v/>
      </c>
      <c r="M3764" s="10" t="n"/>
    </row>
    <row r="3765">
      <c r="B3765" s="7" t="n">
        <v>3763</v>
      </c>
      <c r="C3765" t="inlineStr">
        <is>
          <t>Retail Manager</t>
        </is>
      </c>
      <c r="D3765" t="inlineStr">
        <is>
          <t>Takashimaya Vietnam</t>
        </is>
      </c>
      <c r="E3765" t="inlineStr">
        <is>
          <t>Lương:30 Tr - 42 Tr VND</t>
        </is>
      </c>
      <c r="F3765" t="inlineStr">
        <is>
          <t>Hà Nội</t>
        </is>
      </c>
      <c r="G3765" t="inlineStr">
        <is>
          <t>10-03-2026</t>
        </is>
      </c>
      <c r="H3765" t="inlineStr">
        <is>
          <t>15/03/2026</t>
        </is>
      </c>
      <c r="I3765" t="inlineStr">
        <is>
          <t>17/03/2026</t>
        </is>
      </c>
      <c r="J3765" t="inlineStr">
        <is>
          <t>Thực phẩm &amp; Đồ uống, Hàng gia dụng / Chăm sóc cá nhân, Bán hàng / Kinh doanh</t>
        </is>
      </c>
      <c r="K3765" t="inlineStr">
        <is>
          <t>5 - 10 Năm</t>
        </is>
      </c>
      <c r="L3765" s="8">
        <f>HYPERLINK("https://careerviet.vn/vi/tim-viec-lam/retail-manager.35C69625.html","Xem chi tiết")</f>
        <v/>
      </c>
    </row>
    <row r="3766">
      <c r="B3766" s="9" t="n">
        <v>3764</v>
      </c>
      <c r="C3766" s="10" t="inlineStr">
        <is>
          <t>Quản Lý Chi Nhánh - Branch Manager - Hà Nội</t>
        </is>
      </c>
      <c r="D3766" s="10" t="inlineStr">
        <is>
          <t>PPP Laser Clinic Viet Nam</t>
        </is>
      </c>
      <c r="E3766" s="10" t="inlineStr">
        <is>
          <t>Lương:20 Tr - 60 Tr VND</t>
        </is>
      </c>
      <c r="F3766" s="10" t="inlineStr">
        <is>
          <t>Hà Nội</t>
        </is>
      </c>
      <c r="G3766" s="10" t="inlineStr">
        <is>
          <t>30-03-2026</t>
        </is>
      </c>
      <c r="H3766" s="10" t="inlineStr">
        <is>
          <t>30/03/2026</t>
        </is>
      </c>
      <c r="I3766" s="10" t="inlineStr">
        <is>
          <t>17/03/2026</t>
        </is>
      </c>
      <c r="J3766" s="10" t="inlineStr">
        <is>
          <t>Y tế / Chăm sóc sức khỏe / Thẩm mỹ / Làm đẹp, Ngân hàng, Bảo hiểm</t>
        </is>
      </c>
      <c r="K3766" s="10" t="inlineStr">
        <is>
          <t>5 - 10 Năm</t>
        </is>
      </c>
      <c r="L3766" s="11">
        <f>HYPERLINK("https://careerviet.vn/vi/tim-viec-lam/quan-ly-chi-nhanh-branch-manager-ha-noi.35C696CC.html","Xem chi tiết")</f>
        <v/>
      </c>
      <c r="M3766" s="10" t="n"/>
    </row>
    <row r="3767">
      <c r="B3767" s="7" t="n">
        <v>3765</v>
      </c>
      <c r="C3767" t="inlineStr">
        <is>
          <t>Chuyên Viên Định Giá Tài Sản Tại Lâm Đồng (Làm Việc Tại VCB Đắk Nông)</t>
        </is>
      </c>
      <c r="D3767" t="inlineStr">
        <is>
          <t>NGÂN HÀNG TMCP NGOẠI THƯƠNG VIỆT NAM (VIETCOMBANK)</t>
        </is>
      </c>
      <c r="E3767" t="inlineStr">
        <is>
          <t>Lương:Cạnh tranh</t>
        </is>
      </c>
      <c r="F3767" t="inlineStr">
        <is>
          <t>Lâm ĐồngDak Nông</t>
        </is>
      </c>
      <c r="G3767" t="inlineStr">
        <is>
          <t>10-03-2026</t>
        </is>
      </c>
      <c r="H3767" t="inlineStr">
        <is>
          <t>10/03/2026</t>
        </is>
      </c>
      <c r="I3767" t="inlineStr">
        <is>
          <t>17/03/2026</t>
        </is>
      </c>
      <c r="J3767" t="inlineStr">
        <is>
          <t>Ngân hàng, Luật / Pháp lý, Tài chính / Đầu tư</t>
        </is>
      </c>
      <c r="K3767" t="inlineStr">
        <is>
          <t>2 - 3 Năm</t>
        </is>
      </c>
      <c r="L3767" s="8">
        <f>HYPERLINK("https://careerviet.vn/vi/tim-viec-lam/chuyen-vien-dinh-gia-tai-san-tai-lam-dong-lam-viec-tai-vcb-dak-nong.35C6959A.html","Xem chi tiết")</f>
        <v/>
      </c>
    </row>
    <row r="3768">
      <c r="B3768" s="9" t="n">
        <v>3766</v>
      </c>
      <c r="C3768" s="10" t="inlineStr">
        <is>
          <t>Senior Specialist, Employer Branding &amp; Early Careers</t>
        </is>
      </c>
      <c r="D3768" s="10" t="inlineStr">
        <is>
          <t>Techtronic Industries Vietnam Manufacturing Company Limited</t>
        </is>
      </c>
      <c r="E3768" s="10" t="inlineStr">
        <is>
          <t>Lương:Cạnh tranh</t>
        </is>
      </c>
      <c r="F3768" s="10" t="inlineStr">
        <is>
          <t>Hồ Chí Minh</t>
        </is>
      </c>
      <c r="G3768" s="10" t="inlineStr">
        <is>
          <t>25-03-2026</t>
        </is>
      </c>
      <c r="H3768" s="10" t="inlineStr">
        <is>
          <t>25/03/2026</t>
        </is>
      </c>
      <c r="I3768" s="10" t="inlineStr">
        <is>
          <t>17/03/2026</t>
        </is>
      </c>
      <c r="J3768" s="10" t="inlineStr">
        <is>
          <t>Biên phiên dịch, Hành chính / Thư ký, Nhân sự</t>
        </is>
      </c>
      <c r="K3768" s="10" t="inlineStr">
        <is>
          <t>4 - 6 Năm</t>
        </is>
      </c>
      <c r="L3768" s="11">
        <f>HYPERLINK("https://careerviet.vn/vi/tim-viec-lam/senior-specialist-employer-branding-early-careers.35C69460.html","Xem chi tiết")</f>
        <v/>
      </c>
      <c r="M3768" s="10" t="n"/>
    </row>
    <row r="3769">
      <c r="B3769" s="7" t="n">
        <v>3767</v>
      </c>
      <c r="C3769" t="inlineStr">
        <is>
          <t>Tổ Trưởng Sản Xuất - KV Cần Thơ, Hậu Giang</t>
        </is>
      </c>
      <c r="D3769" t="inlineStr">
        <is>
          <t>Masan Consumer</t>
        </is>
      </c>
      <c r="E3769" t="inlineStr">
        <is>
          <t>Lương:Cạnh tranh</t>
        </is>
      </c>
      <c r="F3769" t="inlineStr">
        <is>
          <t>Cần Thơ</t>
        </is>
      </c>
      <c r="G3769" t="inlineStr">
        <is>
          <t>30-04-2026</t>
        </is>
      </c>
      <c r="H3769" t="inlineStr">
        <is>
          <t>30/04/2026</t>
        </is>
      </c>
      <c r="I3769" t="inlineStr">
        <is>
          <t>17/03/2026</t>
        </is>
      </c>
      <c r="J3769" t="inlineStr">
        <is>
          <t>Cơ khí / Ô tô / Tự động hóa, Bảo trì / Sửa chữa, Sản xuất / Vận hành sản xuất</t>
        </is>
      </c>
      <c r="K3769" t="inlineStr">
        <is>
          <t>3 - 5 Năm</t>
        </is>
      </c>
      <c r="L3769" s="8">
        <f>HYPERLINK("https://careerviet.vn/vi/tim-viec-lam/to-truong-san-xuat-kv-can-tho-hau-giang.35C698BA.html","Xem chi tiết")</f>
        <v/>
      </c>
    </row>
    <row r="3770">
      <c r="B3770" s="9" t="n">
        <v>3768</v>
      </c>
      <c r="C3770" s="10" t="inlineStr">
        <is>
          <t>NHÂN VIÊN KẾ TOÁN THUẾ</t>
        </is>
      </c>
      <c r="D3770" s="10" t="inlineStr">
        <is>
          <t>CÔNG TY CỔ PHẦN CHẾ BIẾN THỰC PHẨM HOÀNG SƠN</t>
        </is>
      </c>
      <c r="E3770" s="10" t="inlineStr">
        <is>
          <t>Lương:Cạnh tranh</t>
        </is>
      </c>
      <c r="F3770" s="10" t="inlineStr">
        <is>
          <t>Bình Dương</t>
        </is>
      </c>
      <c r="G3770" s="10" t="inlineStr">
        <is>
          <t>10-03-2026</t>
        </is>
      </c>
      <c r="H3770" s="10" t="inlineStr">
        <is>
          <t>28/02/2026</t>
        </is>
      </c>
      <c r="I3770" s="10" t="inlineStr">
        <is>
          <t>17/03/2026</t>
        </is>
      </c>
      <c r="J3770" s="10" t="inlineStr">
        <is>
          <t>Tài chính / Đầu tư, Kế toán / Kiểm toán, Sản xuất / Vận hành sản xuất</t>
        </is>
      </c>
      <c r="K3770" s="10" t="inlineStr">
        <is>
          <t>2 - 3 Năm</t>
        </is>
      </c>
      <c r="L3770" s="11">
        <f>HYPERLINK("https://careerviet.vn/vi/tim-viec-lam/nhan-vien-ke-toan-thue.35C69707.html","Xem chi tiết")</f>
        <v/>
      </c>
      <c r="M3770" s="10" t="n"/>
    </row>
    <row r="3771">
      <c r="B3771" s="7" t="n">
        <v>3769</v>
      </c>
      <c r="C3771" t="inlineStr">
        <is>
          <t>Giám Đốc Nhân Sự Thu nhập lên tới 3500$</t>
        </is>
      </c>
      <c r="D3771" t="inlineStr">
        <is>
          <t>NHÀ SÁCH TIẾN THỌ</t>
        </is>
      </c>
      <c r="E3771" t="inlineStr">
        <is>
          <t>Lương:2.500 - 3.500 USD</t>
        </is>
      </c>
      <c r="F3771" t="inlineStr">
        <is>
          <t>Hà Nội</t>
        </is>
      </c>
      <c r="G3771" t="inlineStr">
        <is>
          <t>31-03-2026</t>
        </is>
      </c>
      <c r="H3771" t="inlineStr">
        <is>
          <t>31/03/2026</t>
        </is>
      </c>
      <c r="I3771" t="inlineStr">
        <is>
          <t>17/03/2026</t>
        </is>
      </c>
      <c r="J3771" t="inlineStr">
        <is>
          <t>Nhân sự</t>
        </is>
      </c>
      <c r="K3771" t="inlineStr">
        <is>
          <t>Trên 2 Năm</t>
        </is>
      </c>
      <c r="L3771" s="8">
        <f>HYPERLINK("https://careerviet.vn/vi/tim-viec-lam/giam-doc-nhan-su-thu-nhap-len-toi-3500.35C69611.html","Xem chi tiết")</f>
        <v/>
      </c>
    </row>
    <row r="3772">
      <c r="B3772" s="9" t="n">
        <v>3770</v>
      </c>
      <c r="C3772" s="10" t="inlineStr">
        <is>
          <t>Kế toán trưởng</t>
        </is>
      </c>
      <c r="D3772" s="10" t="inlineStr">
        <is>
          <t>CÔNG TY CỔ PHẦN Ô TÔ NHẬT THÀNH</t>
        </is>
      </c>
      <c r="E3772" s="10" t="inlineStr">
        <is>
          <t>Lương:15 Tr - 25 Tr VND</t>
        </is>
      </c>
      <c r="F3772" s="10" t="inlineStr">
        <is>
          <t>Hà Nội</t>
        </is>
      </c>
      <c r="G3772" s="10" t="inlineStr">
        <is>
          <t>31-03-2026</t>
        </is>
      </c>
      <c r="H3772" s="10" t="inlineStr">
        <is>
          <t>31/03/2026</t>
        </is>
      </c>
      <c r="I3772" s="10" t="inlineStr">
        <is>
          <t>17/03/2026</t>
        </is>
      </c>
      <c r="J3772" s="10" t="inlineStr">
        <is>
          <t>Hành chính / Thư ký, Kế toán / Kiểm toán, Tài chính / Đầu tư</t>
        </is>
      </c>
      <c r="K3772" s="10" t="inlineStr">
        <is>
          <t>Trên 2 Năm</t>
        </is>
      </c>
      <c r="L3772" s="11">
        <f>HYPERLINK("https://careerviet.vn/vi/tim-viec-lam/ke-toan-truong.35C69772.html","Xem chi tiết")</f>
        <v/>
      </c>
      <c r="M3772" s="10" t="n"/>
    </row>
    <row r="3773">
      <c r="B3773" s="7" t="n">
        <v>3771</v>
      </c>
      <c r="C3773" t="inlineStr">
        <is>
          <t>Nhân Viên Kinh Doanh</t>
        </is>
      </c>
      <c r="D3773" t="inlineStr">
        <is>
          <t>CÔNG TY TNHH HỒNG QUYÊN</t>
        </is>
      </c>
      <c r="E3773" t="inlineStr">
        <is>
          <t>Lương:15 Tr - 30 Tr VND</t>
        </is>
      </c>
      <c r="F3773" t="inlineStr">
        <is>
          <t>Hà NộiBình DươngNam Định</t>
        </is>
      </c>
      <c r="G3773" t="inlineStr">
        <is>
          <t>24-03-2026</t>
        </is>
      </c>
      <c r="H3773" t="inlineStr">
        <is>
          <t>24/03/2026</t>
        </is>
      </c>
      <c r="I3773" t="inlineStr">
        <is>
          <t>17/03/2026</t>
        </is>
      </c>
      <c r="J3773" t="inlineStr">
        <is>
          <t>Bán hàng / Kinh doanh, Vận chuyển / Giao nhận / Kho vận, Kế toán / Kiểm toán</t>
        </is>
      </c>
      <c r="K3773" t="inlineStr">
        <is>
          <t>N/A</t>
        </is>
      </c>
      <c r="L3773" s="8">
        <f>HYPERLINK("https://careerviet.vn/vi/tim-viec-lam/nhan-vien-kinh-doanh.35C69761.html","Xem chi tiết")</f>
        <v/>
      </c>
    </row>
    <row r="3774">
      <c r="B3774" s="9" t="n">
        <v>3772</v>
      </c>
      <c r="C3774" s="10" t="inlineStr">
        <is>
          <t>Nhân viên hành chính nhân sự - Làm việc tại Bình Phước</t>
        </is>
      </c>
      <c r="D3774" s="10" t="inlineStr">
        <is>
          <t>Công Ty Cổ Phần Tập Đoàn Hùng Nhơn</t>
        </is>
      </c>
      <c r="E3774" s="10" t="inlineStr">
        <is>
          <t>Lương:Cạnh tranh</t>
        </is>
      </c>
      <c r="F3774" s="10" t="inlineStr">
        <is>
          <t>Bình PhướcHồ Chí Minh</t>
        </is>
      </c>
      <c r="G3774" s="10" t="inlineStr">
        <is>
          <t>25-03-2026</t>
        </is>
      </c>
      <c r="H3774" s="10" t="inlineStr">
        <is>
          <t>25/03/2026</t>
        </is>
      </c>
      <c r="I3774" s="10" t="inlineStr">
        <is>
          <t>17/03/2026</t>
        </is>
      </c>
      <c r="J3774" s="10" t="inlineStr">
        <is>
          <t>Hành chính / Thư ký, Nhân sự</t>
        </is>
      </c>
      <c r="K3774" s="10" t="inlineStr">
        <is>
          <t>2 - 5 Năm</t>
        </is>
      </c>
      <c r="L3774" s="11">
        <f>HYPERLINK("https://careerviet.vn/vi/tim-viec-lam/nhan-vien-hanh-chinh-nhan-su-lam-viec-tai-binh-phuoc.35C69682.html","Xem chi tiết")</f>
        <v/>
      </c>
      <c r="M3774" s="10" t="n"/>
    </row>
    <row r="3775">
      <c r="B3775" s="7" t="n">
        <v>3773</v>
      </c>
      <c r="C3775" t="inlineStr">
        <is>
          <t>Quản lý Khách hàng (RM) - Vùng Tây Hô Chí Minh</t>
        </is>
      </c>
      <c r="D3775" t="inlineStr">
        <is>
          <t>Ngân Hàng TMCP Quốc Tế Việt Nam</t>
        </is>
      </c>
      <c r="E3775" t="inlineStr">
        <is>
          <t>Lương:15 Tr - 25 Tr VND</t>
        </is>
      </c>
      <c r="F3775" t="inlineStr">
        <is>
          <t>Hồ Chí Minh</t>
        </is>
      </c>
      <c r="G3775" t="inlineStr">
        <is>
          <t>31-03-2026</t>
        </is>
      </c>
      <c r="H3775" t="inlineStr">
        <is>
          <t>31/03/2026</t>
        </is>
      </c>
      <c r="I3775" t="inlineStr">
        <is>
          <t>17/03/2026</t>
        </is>
      </c>
      <c r="J3775" t="inlineStr">
        <is>
          <t>Bán hàng / Kinh doanh, Ngân hàng, Tài chính / Đầu tư</t>
        </is>
      </c>
      <c r="K3775" t="inlineStr">
        <is>
          <t>1 - 5 Năm</t>
        </is>
      </c>
      <c r="L3775" s="8">
        <f>HYPERLINK("https://careerviet.vn/vi/tim-viec-lam/quan-ly-khach-hang-rm-vung-tay-ho-chi-minh.35C69745.html","Xem chi tiết")</f>
        <v/>
      </c>
    </row>
    <row r="3776">
      <c r="B3776" s="9" t="n">
        <v>3774</v>
      </c>
      <c r="C3776" s="10" t="inlineStr">
        <is>
          <t>TRƯỞNG PHÒNG MARKETING</t>
        </is>
      </c>
      <c r="D3776" s="10" t="inlineStr">
        <is>
          <t>Công ty TNHH tư vấn và ứng dụng công nghệ BIM Việt Nam (ViBIM)</t>
        </is>
      </c>
      <c r="E3776" s="10" t="inlineStr">
        <is>
          <t>Lương:15 Tr - 25 Tr VND</t>
        </is>
      </c>
      <c r="F3776" s="10" t="inlineStr">
        <is>
          <t>Hà Nội</t>
        </is>
      </c>
      <c r="G3776" s="10" t="inlineStr">
        <is>
          <t>24-03-2026</t>
        </is>
      </c>
      <c r="H3776" s="10" t="inlineStr">
        <is>
          <t>24/03/2026</t>
        </is>
      </c>
      <c r="I3776" s="10" t="inlineStr">
        <is>
          <t>17/03/2026</t>
        </is>
      </c>
      <c r="J3776" s="10" t="inlineStr">
        <is>
          <t>Tiếp thị / Marketing, Quản lý điều hành, Tiếp thị trực tuyến</t>
        </is>
      </c>
      <c r="K3776" s="10" t="inlineStr">
        <is>
          <t>Trên 5 Năm</t>
        </is>
      </c>
      <c r="L3776" s="11">
        <f>HYPERLINK("https://careerviet.vn/vi/tim-viec-lam/truong-phong-marketing.35C6969A.html","Xem chi tiết")</f>
        <v/>
      </c>
      <c r="M3776" s="10" t="n"/>
    </row>
    <row r="3777">
      <c r="B3777" s="7" t="n">
        <v>3775</v>
      </c>
      <c r="C3777" t="inlineStr">
        <is>
          <t>NHÂN VIÊN KẾ TOÁN GIÁ THÀNH</t>
        </is>
      </c>
      <c r="D3777" t="inlineStr">
        <is>
          <t>CÔNG TY CỔ PHẦN CHẾ BIẾN THỰC PHẨM HOÀNG SƠN</t>
        </is>
      </c>
      <c r="E3777" t="inlineStr">
        <is>
          <t>Lương:Cạnh tranh</t>
        </is>
      </c>
      <c r="F3777" t="inlineStr">
        <is>
          <t>Bình Dương</t>
        </is>
      </c>
      <c r="G3777" t="inlineStr">
        <is>
          <t>10-03-2026</t>
        </is>
      </c>
      <c r="H3777" t="inlineStr">
        <is>
          <t>28/02/2026</t>
        </is>
      </c>
      <c r="I3777" t="inlineStr">
        <is>
          <t>17/03/2026</t>
        </is>
      </c>
      <c r="J3777" t="inlineStr">
        <is>
          <t>Tài chính / Đầu tư, Kế toán / Kiểm toán, Sản xuất / Vận hành sản xuất</t>
        </is>
      </c>
      <c r="K3777" t="inlineStr">
        <is>
          <t>2 - 3 Năm</t>
        </is>
      </c>
      <c r="L3777" s="8">
        <f>HYPERLINK("https://careerviet.vn/vi/tim-viec-lam/nhan-vien-ke-toan-gia-thanh.35C6971F.html","Xem chi tiết")</f>
        <v/>
      </c>
    </row>
    <row r="3778">
      <c r="B3778" s="9" t="n">
        <v>3776</v>
      </c>
      <c r="C3778" s="10" t="inlineStr">
        <is>
          <t>NHÂN VIÊN AN TOÀN – MÔI TRƯỜNG</t>
        </is>
      </c>
      <c r="D3778" s="10" t="inlineStr">
        <is>
          <t>Công Ty TNHH Lốp Kumho Việt Nam</t>
        </is>
      </c>
      <c r="E3778" s="10" t="inlineStr">
        <is>
          <t>Lương:Cạnh tranh</t>
        </is>
      </c>
      <c r="F3778" s="10" t="inlineStr">
        <is>
          <t>Bình Dương</t>
        </is>
      </c>
      <c r="G3778" s="10" t="inlineStr">
        <is>
          <t>31-03-2026</t>
        </is>
      </c>
      <c r="H3778" s="10" t="inlineStr">
        <is>
          <t>31/03/2026</t>
        </is>
      </c>
      <c r="I3778" s="10" t="inlineStr">
        <is>
          <t>17/03/2026</t>
        </is>
      </c>
      <c r="J3778" s="10" t="inlineStr">
        <is>
          <t>Sản xuất / Vận hành sản xuất, An toàn lao động, Môi trường</t>
        </is>
      </c>
      <c r="K3778" s="10" t="inlineStr">
        <is>
          <t>1 - 2 Năm</t>
        </is>
      </c>
      <c r="L3778" s="11">
        <f>HYPERLINK("https://careerviet.vn/vi/tim-viec-lam/nhan-vien-an-toan-moi-truong.35C6960D.html","Xem chi tiết")</f>
        <v/>
      </c>
      <c r="M3778" s="10" t="n"/>
    </row>
    <row r="3779">
      <c r="B3779" s="7" t="n">
        <v>3777</v>
      </c>
      <c r="C3779" t="inlineStr">
        <is>
          <t>Chỉ Huy Trưởng</t>
        </is>
      </c>
      <c r="D3779" t="inlineStr">
        <is>
          <t>CÔNG TY CỔ PHẦN KỸ THUẬT XÂY DỰNG AN TÍN</t>
        </is>
      </c>
      <c r="E3779" t="inlineStr">
        <is>
          <t>Lương:Cạnh tranh</t>
        </is>
      </c>
      <c r="F3779" t="inlineStr">
        <is>
          <t>Toàn quốc</t>
        </is>
      </c>
      <c r="G3779" t="inlineStr">
        <is>
          <t>24-03-2026</t>
        </is>
      </c>
      <c r="H3779" t="inlineStr">
        <is>
          <t>24/03/2026</t>
        </is>
      </c>
      <c r="I3779" t="inlineStr">
        <is>
          <t>17/03/2026</t>
        </is>
      </c>
      <c r="J3779" t="inlineStr">
        <is>
          <t>Xây dựng, Quản lý điều hành, Bất động sản</t>
        </is>
      </c>
      <c r="K3779" t="inlineStr">
        <is>
          <t>Trên 5 Năm</t>
        </is>
      </c>
      <c r="L3779" s="8">
        <f>HYPERLINK("https://careerviet.vn/vi/tim-viec-lam/chi-huy-truong.35C697E3.html","Xem chi tiết")</f>
        <v/>
      </c>
    </row>
    <row r="3780">
      <c r="B3780" s="9" t="n">
        <v>3778</v>
      </c>
      <c r="C3780" s="10" t="inlineStr">
        <is>
          <t>Nhân Viên Kinh Doanh</t>
        </is>
      </c>
      <c r="D3780" s="10" t="inlineStr">
        <is>
          <t>CÔNG TY TNHH TAB VIET NAM</t>
        </is>
      </c>
      <c r="E3780" s="10" t="inlineStr">
        <is>
          <t>Lương:Cạnh tranh</t>
        </is>
      </c>
      <c r="F3780" s="10" t="inlineStr">
        <is>
          <t>Hồ Chí Minh</t>
        </is>
      </c>
      <c r="G3780" s="10" t="inlineStr">
        <is>
          <t>24-03-2026</t>
        </is>
      </c>
      <c r="H3780" s="10" t="inlineStr">
        <is>
          <t>24/03/2026</t>
        </is>
      </c>
      <c r="I3780" s="10" t="inlineStr">
        <is>
          <t>17/03/2026</t>
        </is>
      </c>
      <c r="J3780" s="10" t="inlineStr">
        <is>
          <t>Bán hàng / Kinh doanh, Tư vấn, Bán Hàng Kỹ Thuật</t>
        </is>
      </c>
      <c r="K3780" s="10" t="inlineStr">
        <is>
          <t>Trên 3 Năm</t>
        </is>
      </c>
      <c r="L3780" s="11">
        <f>HYPERLINK("https://careerviet.vn/vi/tim-viec-lam/nhan-vien-kinh-doanh.35C696CE.html","Xem chi tiết")</f>
        <v/>
      </c>
      <c r="M3780" s="10" t="n"/>
    </row>
    <row r="3781">
      <c r="B3781" s="7" t="n">
        <v>3779</v>
      </c>
      <c r="C3781" t="inlineStr">
        <is>
          <t>Chuyên viên mua sắm - Khối Vận hành Hà Nội Khối Vận hành Toàn thời gian</t>
        </is>
      </c>
      <c r="D3781" t="inlineStr">
        <is>
          <t>Ngân Hàng TMCP Quốc Dân (NCB)</t>
        </is>
      </c>
      <c r="E3781" t="inlineStr">
        <is>
          <t>Lương:Cạnh tranh</t>
        </is>
      </c>
      <c r="F3781" t="inlineStr">
        <is>
          <t>Hà Nội</t>
        </is>
      </c>
      <c r="G3781" t="inlineStr">
        <is>
          <t>25-03-2026</t>
        </is>
      </c>
      <c r="H3781" t="inlineStr">
        <is>
          <t>25/03/2026</t>
        </is>
      </c>
      <c r="I3781" t="inlineStr">
        <is>
          <t>17/03/2026</t>
        </is>
      </c>
      <c r="J3781" t="inlineStr">
        <is>
          <t>Ngân hàng, Tài chính / Đầu tư</t>
        </is>
      </c>
      <c r="K3781" t="inlineStr">
        <is>
          <t>Trên 1 Năm</t>
        </is>
      </c>
      <c r="L3781" s="8">
        <f>HYPERLINK("https://careerviet.vn/vi/tim-viec-lam/chuyen-vien-mua-sam-khoi-van-hanh-ha-noi-khoi-van-hanh-toan-thoi-gian.35C69756.html","Xem chi tiết")</f>
        <v/>
      </c>
    </row>
    <row r="3782">
      <c r="B3782" s="9" t="n">
        <v>3780</v>
      </c>
      <c r="C3782" s="10" t="inlineStr">
        <is>
          <t>Software Developer - Chuyên Backend</t>
        </is>
      </c>
      <c r="D3782" s="10" t="inlineStr">
        <is>
          <t>BỆNH VIỆN ĐA KHOA PHƯƠNG ĐÔNG</t>
        </is>
      </c>
      <c r="E3782" s="10" t="inlineStr">
        <is>
          <t>Lương:15 Tr - 25 Tr VND</t>
        </is>
      </c>
      <c r="F3782" s="10" t="inlineStr">
        <is>
          <t>Hà Nội</t>
        </is>
      </c>
      <c r="G3782" s="10" t="inlineStr">
        <is>
          <t>24-03-2026</t>
        </is>
      </c>
      <c r="H3782" s="10" t="inlineStr">
        <is>
          <t>24/03/2026</t>
        </is>
      </c>
      <c r="I3782" s="10" t="inlineStr">
        <is>
          <t>17/03/2026</t>
        </is>
      </c>
      <c r="J3782" s="10" t="inlineStr">
        <is>
          <t>Y tế / Chăm sóc sức khỏe / Thẩm mỹ / Làm đẹp, CNTT - Phần mềm</t>
        </is>
      </c>
      <c r="K3782" s="10" t="inlineStr">
        <is>
          <t>3 - 5 Năm</t>
        </is>
      </c>
      <c r="L3782" s="11">
        <f>HYPERLINK("https://careerviet.vn/vi/tim-viec-lam/software-developer-chuyen-backend.35C694F7.html","Xem chi tiết")</f>
        <v/>
      </c>
      <c r="M3782" s="10" t="n"/>
    </row>
    <row r="3783">
      <c r="B3783" s="7" t="n">
        <v>3781</v>
      </c>
      <c r="C3783" t="inlineStr">
        <is>
          <t>Hiệu trưởng/ Giám đốc cơ sở Trường mầm non - Cơ sở Củ Chi</t>
        </is>
      </c>
      <c r="D3783" t="inlineStr">
        <is>
          <t>CÔNG TY CỔ PHẦN ĐẦU TƯ GIÁO DỤC VIỆT MỸ</t>
        </is>
      </c>
      <c r="E3783" t="inlineStr">
        <is>
          <t>Lương:Cạnh tranh</t>
        </is>
      </c>
      <c r="F3783" t="inlineStr">
        <is>
          <t>Hồ Chí Minh</t>
        </is>
      </c>
      <c r="G3783" t="inlineStr">
        <is>
          <t>31-03-2026</t>
        </is>
      </c>
      <c r="H3783" t="inlineStr">
        <is>
          <t>31/03/2026</t>
        </is>
      </c>
      <c r="I3783" t="inlineStr">
        <is>
          <t>17/03/2026</t>
        </is>
      </c>
      <c r="J3783" t="inlineStr">
        <is>
          <t>Giáo dục / Đào tạo, Quản lý điều hành, Dịch vụ khách hàng</t>
        </is>
      </c>
      <c r="K3783" t="inlineStr">
        <is>
          <t>1 - 2 Năm</t>
        </is>
      </c>
      <c r="L3783" s="8">
        <f>HYPERLINK("https://careerviet.vn/vi/tim-viec-lam/hieu-truong-giam-doc-co-so-truong-mam-non-co-so-cu-chi.35C69680.html","Xem chi tiết")</f>
        <v/>
      </c>
    </row>
    <row r="3784">
      <c r="B3784" s="9" t="n">
        <v>3782</v>
      </c>
      <c r="C3784" s="10" t="inlineStr">
        <is>
          <t>Thực Tập Sinh Tuyển Dụng</t>
        </is>
      </c>
      <c r="D3784" s="10" t="inlineStr">
        <is>
          <t>CÔNG TY CỔ PHẦN VUA NỆM</t>
        </is>
      </c>
      <c r="E3784" s="10" t="inlineStr">
        <is>
          <t>Lương:Lên đến 1 Tr VND</t>
        </is>
      </c>
      <c r="F3784" s="10" t="inlineStr">
        <is>
          <t>Hồ Chí Minh</t>
        </is>
      </c>
      <c r="G3784" s="10" t="inlineStr">
        <is>
          <t>25-03-2026</t>
        </is>
      </c>
      <c r="H3784" s="10" t="inlineStr">
        <is>
          <t>25/03/2026</t>
        </is>
      </c>
      <c r="I3784" s="10" t="inlineStr">
        <is>
          <t>17/03/2026</t>
        </is>
      </c>
      <c r="J3784" s="10" t="inlineStr">
        <is>
          <t>Bán lẻ / Bán sỉ, Nhân sự</t>
        </is>
      </c>
      <c r="K3784" s="10" t="inlineStr">
        <is>
          <t>N/A</t>
        </is>
      </c>
      <c r="L3784" s="11">
        <f>HYPERLINK("https://careerviet.vn/vi/tim-viec-lam/thuc-tap-sinh-tuyen-dung.35C69519.html","Xem chi tiết")</f>
        <v/>
      </c>
      <c r="M3784" s="10" t="n"/>
    </row>
    <row r="3785">
      <c r="B3785" s="7" t="n">
        <v>3783</v>
      </c>
      <c r="C3785" t="inlineStr">
        <is>
          <t>Import Export Executive</t>
        </is>
      </c>
      <c r="D3785" t="inlineStr">
        <is>
          <t>Công ty TNHH Olam Việt Nam</t>
        </is>
      </c>
      <c r="E3785" t="inlineStr">
        <is>
          <t>Lương:Cạnh tranh</t>
        </is>
      </c>
      <c r="F3785" t="inlineStr">
        <is>
          <t>Đồng Nai</t>
        </is>
      </c>
      <c r="G3785" t="inlineStr">
        <is>
          <t>31-03-2026</t>
        </is>
      </c>
      <c r="H3785" t="inlineStr">
        <is>
          <t>31/03/2026</t>
        </is>
      </c>
      <c r="I3785" t="inlineStr">
        <is>
          <t>17/03/2026</t>
        </is>
      </c>
      <c r="J3785" t="inlineStr">
        <is>
          <t>Vận chuyển / Giao nhận / Kho vận, Xuất nhập khẩu, Thu mua / Vật tư</t>
        </is>
      </c>
      <c r="K3785" t="inlineStr">
        <is>
          <t>3 Năm</t>
        </is>
      </c>
      <c r="L3785" s="8">
        <f>HYPERLINK("https://careerviet.vn/vi/tim-viec-lam/import-export-executive.35C69617.html","Xem chi tiết")</f>
        <v/>
      </c>
    </row>
    <row r="3786">
      <c r="B3786" s="9" t="n">
        <v>3784</v>
      </c>
      <c r="C3786" s="10" t="inlineStr">
        <is>
          <t>Trưởng Nhóm Mua Hàng Thu Nhập Lên Tới 30Trđ/Tháng</t>
        </is>
      </c>
      <c r="D3786" s="10" t="inlineStr">
        <is>
          <t>NHÀ SÁCH TIẾN THỌ</t>
        </is>
      </c>
      <c r="E3786" s="10" t="inlineStr">
        <is>
          <t>Lương:23 Tr - 30 Tr VND</t>
        </is>
      </c>
      <c r="F3786" s="10" t="inlineStr">
        <is>
          <t>Hà Nội</t>
        </is>
      </c>
      <c r="G3786" s="10" t="inlineStr">
        <is>
          <t>31-03-2026</t>
        </is>
      </c>
      <c r="H3786" s="10" t="inlineStr">
        <is>
          <t>31/03/2026</t>
        </is>
      </c>
      <c r="I3786" s="10" t="inlineStr">
        <is>
          <t>17/03/2026</t>
        </is>
      </c>
      <c r="J3786" s="10" t="inlineStr">
        <is>
          <t>Bán lẻ / Bán sỉ</t>
        </is>
      </c>
      <c r="K3786" s="10" t="inlineStr">
        <is>
          <t>Trên 1 Năm</t>
        </is>
      </c>
      <c r="L3786" s="11">
        <f>HYPERLINK("https://careerviet.vn/vi/tim-viec-lam/truong-nhom-mua-hang-thu-nhap-len-toi-30trd-thang.35C695D8.html","Xem chi tiết")</f>
        <v/>
      </c>
      <c r="M3786" s="10" t="n"/>
    </row>
    <row r="3787">
      <c r="B3787" s="7" t="n">
        <v>3785</v>
      </c>
      <c r="C3787" t="inlineStr">
        <is>
          <t>Giám Sát Xây Dựng</t>
        </is>
      </c>
      <c r="D3787" t="inlineStr">
        <is>
          <t>CÔNG TY CỔ PHẦN ĐẦU TƯ PHÁT TRIỂN MINH GLOBAL</t>
        </is>
      </c>
      <c r="E3787" t="inlineStr">
        <is>
          <t>Lương:15 Tr - 20 Tr VND</t>
        </is>
      </c>
      <c r="F3787" t="inlineStr">
        <is>
          <t>Hồ Chí MinhBình DươngLong An</t>
        </is>
      </c>
      <c r="G3787" t="inlineStr">
        <is>
          <t>24-03-2026</t>
        </is>
      </c>
      <c r="H3787" t="inlineStr">
        <is>
          <t>24/03/2026</t>
        </is>
      </c>
      <c r="I3787" t="inlineStr">
        <is>
          <t>17/03/2026</t>
        </is>
      </c>
      <c r="J3787" t="inlineStr">
        <is>
          <t>Xây dựng, Quản lý điều hành, Bất động sản</t>
        </is>
      </c>
      <c r="K3787" t="inlineStr">
        <is>
          <t>Lên đến 5 Năm</t>
        </is>
      </c>
      <c r="L3787" s="8">
        <f>HYPERLINK("https://careerviet.vn/vi/tim-viec-lam/giam-sat-xay-dung.35C695D2.html","Xem chi tiết")</f>
        <v/>
      </c>
    </row>
    <row r="3788">
      <c r="B3788" s="9" t="n">
        <v>3786</v>
      </c>
      <c r="C3788" s="10" t="inlineStr">
        <is>
          <t>Nhân viên điều phối hàng hóa (Thường Tín, Hà Nội)</t>
        </is>
      </c>
      <c r="D3788" s="10" t="inlineStr">
        <is>
          <t>Viet Thai International</t>
        </is>
      </c>
      <c r="E3788" s="10" t="inlineStr">
        <is>
          <t>Lương:Cạnh tranh</t>
        </is>
      </c>
      <c r="F3788" s="10" t="inlineStr">
        <is>
          <t>Hà Nội</t>
        </is>
      </c>
      <c r="G3788" s="10" t="inlineStr">
        <is>
          <t>31-03-2026</t>
        </is>
      </c>
      <c r="H3788" s="10" t="inlineStr">
        <is>
          <t>31/03/2026</t>
        </is>
      </c>
      <c r="I3788" s="10" t="inlineStr">
        <is>
          <t>17/03/2026</t>
        </is>
      </c>
      <c r="J3788" s="10" t="inlineStr">
        <is>
          <t>Bưu chính viễn thông, Vận chuyển / Giao nhận / Kho vận, Xuất nhập khẩu</t>
        </is>
      </c>
      <c r="K3788" s="10" t="inlineStr">
        <is>
          <t>1 - 3 Năm</t>
        </is>
      </c>
      <c r="L3788" s="11">
        <f>HYPERLINK("https://careerviet.vn/vi/tim-viec-lam/nhan-vien-dieu-phoi-hang-hoa-thuong-tin-ha-noi.35C697C2.html","Xem chi tiết")</f>
        <v/>
      </c>
      <c r="M3788" s="10" t="n"/>
    </row>
    <row r="3789">
      <c r="B3789" s="7" t="n">
        <v>3787</v>
      </c>
      <c r="C3789" t="inlineStr">
        <is>
          <t>Kỹ Sư QS Dự Án</t>
        </is>
      </c>
      <c r="D3789" t="inlineStr">
        <is>
          <t>CÔNG TY CỔ PHẦN ĐẦU TƯ PHÁT TRIỂN MINH GLOBAL</t>
        </is>
      </c>
      <c r="E3789" t="inlineStr">
        <is>
          <t>Lương:15 Tr - 20 Tr VND</t>
        </is>
      </c>
      <c r="F3789" t="inlineStr">
        <is>
          <t>Bình ĐịnhHồ Chí Minh</t>
        </is>
      </c>
      <c r="G3789" t="inlineStr">
        <is>
          <t>24-03-2026</t>
        </is>
      </c>
      <c r="H3789" t="inlineStr">
        <is>
          <t>24/03/2026</t>
        </is>
      </c>
      <c r="I3789" t="inlineStr">
        <is>
          <t>17/03/2026</t>
        </is>
      </c>
      <c r="J3789" t="inlineStr">
        <is>
          <t>Xây dựng, Bất động sản, Kiến trúc</t>
        </is>
      </c>
      <c r="K3789" t="inlineStr">
        <is>
          <t>1 - 2 Năm</t>
        </is>
      </c>
      <c r="L3789" s="8">
        <f>HYPERLINK("https://careerviet.vn/vi/tim-viec-lam/ky-su-qs-du-an.35C695E6.html","Xem chi tiết")</f>
        <v/>
      </c>
    </row>
    <row r="3790">
      <c r="B3790" s="9" t="n">
        <v>3788</v>
      </c>
      <c r="C3790" s="10" t="inlineStr">
        <is>
          <t>Kế toán trưởng (Sản xuất)</t>
        </is>
      </c>
      <c r="D3790" s="10" t="inlineStr">
        <is>
          <t>Công ty Cổ phần Casla</t>
        </is>
      </c>
      <c r="E3790" s="10" t="inlineStr">
        <is>
          <t>Lương:35 Tr - 60 Tr VND</t>
        </is>
      </c>
      <c r="F3790" s="10" t="inlineStr">
        <is>
          <t>Hà Nội</t>
        </is>
      </c>
      <c r="G3790" s="10" t="inlineStr">
        <is>
          <t>31-03-2026</t>
        </is>
      </c>
      <c r="H3790" s="10" t="inlineStr">
        <is>
          <t>31/03/2026</t>
        </is>
      </c>
      <c r="I3790" s="10" t="inlineStr">
        <is>
          <t>17/03/2026</t>
        </is>
      </c>
      <c r="J3790" s="10" t="inlineStr">
        <is>
          <t>Kế toán / Kiểm toán, Tài chính / Đầu tư, Sản xuất / Vận hành sản xuất</t>
        </is>
      </c>
      <c r="K3790" s="10" t="inlineStr">
        <is>
          <t>10 - 15 Năm</t>
        </is>
      </c>
      <c r="L3790" s="11">
        <f>HYPERLINK("https://careerviet.vn/vi/tim-viec-lam/ke-toan-truong-san-xuat.35C69798.html","Xem chi tiết")</f>
        <v/>
      </c>
      <c r="M3790" s="10" t="n"/>
    </row>
    <row r="3791">
      <c r="B3791" s="7" t="n">
        <v>3789</v>
      </c>
      <c r="C3791" t="inlineStr">
        <is>
          <t>Trưởng nhóm vận tải đường biển (Ocean Freight Lead)</t>
        </is>
      </c>
      <c r="D3791" t="inlineStr">
        <is>
          <t>3A Logistics</t>
        </is>
      </c>
      <c r="E3791" t="inlineStr">
        <is>
          <t>Lương:20 Tr - 30 Tr VND</t>
        </is>
      </c>
      <c r="F3791" t="inlineStr">
        <is>
          <t>Hà NộiHải Phòng</t>
        </is>
      </c>
      <c r="G3791" t="inlineStr">
        <is>
          <t>31-03-2026</t>
        </is>
      </c>
      <c r="H3791" t="inlineStr">
        <is>
          <t>31/03/2026</t>
        </is>
      </c>
      <c r="I3791" t="inlineStr">
        <is>
          <t>17/03/2026</t>
        </is>
      </c>
      <c r="J3791" t="inlineStr">
        <is>
          <t>Vận chuyển / Giao nhận / Kho vận, Xuất nhập khẩu</t>
        </is>
      </c>
      <c r="K3791" t="inlineStr">
        <is>
          <t>3 - 5 Năm</t>
        </is>
      </c>
      <c r="L3791" s="8">
        <f>HYPERLINK("https://careerviet.vn/vi/tim-viec-lam/truong-nhom-van-tai-duong-bien-ocean-freight-lead.35C62036.html","Xem chi tiết")</f>
        <v/>
      </c>
    </row>
    <row r="3792">
      <c r="B3792" s="9" t="n">
        <v>3790</v>
      </c>
      <c r="C3792" s="10" t="inlineStr">
        <is>
          <t>Chuyên viên quản lý hợp đồng xây dựng</t>
        </is>
      </c>
      <c r="D3792" s="10" t="inlineStr">
        <is>
          <t>Công Ty Cổ Phần Xây Dựng CDC</t>
        </is>
      </c>
      <c r="E3792" s="10" t="inlineStr">
        <is>
          <t>Lương:15 Tr - 25 Tr VND</t>
        </is>
      </c>
      <c r="F3792" s="10" t="inlineStr">
        <is>
          <t>Hà Nội</t>
        </is>
      </c>
      <c r="G3792" s="10" t="inlineStr">
        <is>
          <t>25-03-2026</t>
        </is>
      </c>
      <c r="H3792" s="10" t="inlineStr">
        <is>
          <t>25/03/2026</t>
        </is>
      </c>
      <c r="I3792" s="10" t="inlineStr">
        <is>
          <t>17/03/2026</t>
        </is>
      </c>
      <c r="J3792" s="10" t="inlineStr">
        <is>
          <t>Xây dựng</t>
        </is>
      </c>
      <c r="K3792" s="10" t="inlineStr">
        <is>
          <t>3 - 5 Năm</t>
        </is>
      </c>
      <c r="L3792" s="11">
        <f>HYPERLINK("https://careerviet.vn/vi/tim-viec-lam/chuyen-vien-quan-ly-hop-dong-xay-dung.35C6966F.html","Xem chi tiết")</f>
        <v/>
      </c>
      <c r="M3792" s="10" t="n"/>
    </row>
    <row r="3793">
      <c r="B3793" s="7" t="n">
        <v>3791</v>
      </c>
      <c r="C3793" t="inlineStr">
        <is>
          <t>Giám Sát Bảo Trì Cơ Khí - KV Cần Thơ, Hậu Giang</t>
        </is>
      </c>
      <c r="D3793" t="inlineStr">
        <is>
          <t>Masan Consumer</t>
        </is>
      </c>
      <c r="E3793" t="inlineStr">
        <is>
          <t>Lương:Cạnh tranh</t>
        </is>
      </c>
      <c r="F3793" t="inlineStr">
        <is>
          <t>Cần Thơ</t>
        </is>
      </c>
      <c r="G3793" t="inlineStr">
        <is>
          <t>30-04-2026</t>
        </is>
      </c>
      <c r="H3793" t="inlineStr">
        <is>
          <t>30/04/2026</t>
        </is>
      </c>
      <c r="I3793" t="inlineStr">
        <is>
          <t>17/03/2026</t>
        </is>
      </c>
      <c r="J3793" t="inlineStr">
        <is>
          <t>Cơ khí / Ô tô / Tự động hóa, Bảo trì / Sửa chữa, Thực phẩm &amp; Đồ uống</t>
        </is>
      </c>
      <c r="K3793" t="inlineStr">
        <is>
          <t>2 - 3 Năm</t>
        </is>
      </c>
      <c r="L3793" s="8">
        <f>HYPERLINK("https://careerviet.vn/vi/tim-viec-lam/giam-sat-bao-tri-co-khi-kv-can-tho-hau-giang.35C698B8.html","Xem chi tiết")</f>
        <v/>
      </c>
    </row>
    <row r="3794">
      <c r="B3794" s="9" t="n">
        <v>3792</v>
      </c>
      <c r="C3794" s="10" t="inlineStr">
        <is>
          <t>127897 - Chinese Speaking - Sales MD Staff - Apparel</t>
        </is>
      </c>
      <c r="D3794" s="10" t="inlineStr">
        <is>
          <t>RGF HR Agent Vietnam Co., LTD</t>
        </is>
      </c>
      <c r="E3794" s="10" t="inlineStr">
        <is>
          <t>Lương:25 Tr - 50 Tr VND</t>
        </is>
      </c>
      <c r="F3794" s="10" t="inlineStr">
        <is>
          <t>Hà Nội</t>
        </is>
      </c>
      <c r="G3794" s="10" t="inlineStr">
        <is>
          <t>25-03-2026</t>
        </is>
      </c>
      <c r="H3794" s="10" t="inlineStr">
        <is>
          <t>25/03/2026</t>
        </is>
      </c>
      <c r="I3794" s="10" t="inlineStr">
        <is>
          <t>17/03/2026</t>
        </is>
      </c>
      <c r="J3794" s="10" t="inlineStr">
        <is>
          <t>Bán hàng / Kinh doanh, Dệt may / Da giày / Thời trang</t>
        </is>
      </c>
      <c r="K3794" s="10" t="inlineStr">
        <is>
          <t>Trên 3 Năm</t>
        </is>
      </c>
      <c r="L3794" s="11">
        <f>HYPERLINK("https://careerviet.vn/vi/tim-viec-lam/127897-chinese-speaking-sales-md-staff-apparel.35C69851.html","Xem chi tiết")</f>
        <v/>
      </c>
      <c r="M3794" s="10" t="n"/>
    </row>
    <row r="3795">
      <c r="B3795" s="7" t="n">
        <v>3793</v>
      </c>
      <c r="C3795" t="inlineStr">
        <is>
          <t>KỸ SƯ QS (Kết Cấu Thép)</t>
        </is>
      </c>
      <c r="D3795" t="inlineStr">
        <is>
          <t>CÔNG TY CỔ PHẦN KẾT CẤU THÉP QH PLUS (QHPS)</t>
        </is>
      </c>
      <c r="E3795" t="inlineStr">
        <is>
          <t>Lương:18 Tr - 30 Tr VND</t>
        </is>
      </c>
      <c r="F3795" t="inlineStr">
        <is>
          <t>Hồ Chí Minh</t>
        </is>
      </c>
      <c r="G3795" t="inlineStr">
        <is>
          <t>10-03-2026</t>
        </is>
      </c>
      <c r="H3795" t="inlineStr">
        <is>
          <t>28/02/2026</t>
        </is>
      </c>
      <c r="I3795" t="inlineStr">
        <is>
          <t>17/03/2026</t>
        </is>
      </c>
      <c r="J3795" t="inlineStr">
        <is>
          <t>Kiến trúc, Xây dựng, Nội ngoại thất</t>
        </is>
      </c>
      <c r="K3795" t="inlineStr">
        <is>
          <t>2 - 5 Năm</t>
        </is>
      </c>
      <c r="L3795" s="8">
        <f>HYPERLINK("https://careerviet.vn/vi/tim-viec-lam/ky-su-qs-ket-cau-thep.35C69759.html","Xem chi tiết")</f>
        <v/>
      </c>
    </row>
    <row r="3796">
      <c r="B3796" s="9" t="n">
        <v>3794</v>
      </c>
      <c r="C3796" s="10" t="inlineStr">
        <is>
          <t>Chuyên Viên Kinh Doanh</t>
        </is>
      </c>
      <c r="D3796" s="10" t="inlineStr">
        <is>
          <t>TED SAIGON</t>
        </is>
      </c>
      <c r="E3796" s="10" t="inlineStr">
        <is>
          <t>Lương:10 Tr - 15 Tr VND</t>
        </is>
      </c>
      <c r="F3796" s="10" t="inlineStr">
        <is>
          <t>Hồ Chí Minh</t>
        </is>
      </c>
      <c r="G3796" s="10" t="inlineStr">
        <is>
          <t>26-03-2026</t>
        </is>
      </c>
      <c r="H3796" s="10" t="inlineStr">
        <is>
          <t>26/03/2026</t>
        </is>
      </c>
      <c r="I3796" s="10" t="inlineStr">
        <is>
          <t>17/03/2026</t>
        </is>
      </c>
      <c r="J3796" s="10" t="inlineStr">
        <is>
          <t>Tư vấn, Bán hàng / Kinh doanh, Tiếp thị / Marketing</t>
        </is>
      </c>
      <c r="K3796" s="10" t="inlineStr">
        <is>
          <t>1 - 2 Năm</t>
        </is>
      </c>
      <c r="L3796" s="11">
        <f>HYPERLINK("https://careerviet.vn/vi/tim-viec-lam/chuyen-vien-kinh-doanh.35C6984C.html","Xem chi tiết")</f>
        <v/>
      </c>
      <c r="M3796" s="10" t="n"/>
    </row>
    <row r="3797">
      <c r="B3797" s="7" t="n">
        <v>3795</v>
      </c>
      <c r="C3797" t="inlineStr">
        <is>
          <t>[Phú Quốc] Store Manager - Cửa hàng trưởng</t>
        </is>
      </c>
      <c r="D3797" t="inlineStr">
        <is>
          <t>Starbucks Vietnam</t>
        </is>
      </c>
      <c r="E3797" t="inlineStr">
        <is>
          <t>Lương:Cạnh tranh</t>
        </is>
      </c>
      <c r="F3797" t="inlineStr">
        <is>
          <t>Kiên Giang</t>
        </is>
      </c>
      <c r="G3797" t="inlineStr">
        <is>
          <t>10-03-2026</t>
        </is>
      </c>
      <c r="H3797" t="inlineStr">
        <is>
          <t>10/03/2026</t>
        </is>
      </c>
      <c r="I3797" t="inlineStr">
        <is>
          <t>17/03/2026</t>
        </is>
      </c>
      <c r="J3797" t="inlineStr">
        <is>
          <t>Bán lẻ / Bán sỉ, Thực phẩm &amp; Đồ uống, Nhà hàng / Khách sạn</t>
        </is>
      </c>
      <c r="K3797" t="inlineStr">
        <is>
          <t>2 - 5 Năm</t>
        </is>
      </c>
      <c r="L3797" s="8">
        <f>HYPERLINK("https://careerviet.vn/vi/tim-viec-lam/phu-quoc-store-manager-cua-hang-truong.35C696DC.html","Xem chi tiết")</f>
        <v/>
      </c>
    </row>
    <row r="3798">
      <c r="B3798" s="9" t="n">
        <v>3796</v>
      </c>
      <c r="C3798" s="10" t="inlineStr">
        <is>
          <t>TRƯỞNG PHÒNG KẾ TOÁN HÀNH CHÍNH AN GIANG</t>
        </is>
      </c>
      <c r="D3798" s="10" t="inlineStr">
        <is>
          <t>Tổng Công Ty Cổ Phần Bảo Hiểm Ngân Hàng TMCP Công Thương Việt Nam</t>
        </is>
      </c>
      <c r="E3798" s="10" t="inlineStr">
        <is>
          <t>Lương:Cạnh tranh</t>
        </is>
      </c>
      <c r="F3798" s="10" t="inlineStr">
        <is>
          <t>An Giang</t>
        </is>
      </c>
      <c r="G3798" s="10" t="inlineStr">
        <is>
          <t>27-03-2026</t>
        </is>
      </c>
      <c r="H3798" s="10" t="inlineStr">
        <is>
          <t>27/03/2026</t>
        </is>
      </c>
      <c r="I3798" s="10" t="inlineStr">
        <is>
          <t>17/03/2026</t>
        </is>
      </c>
      <c r="J3798" s="10" t="inlineStr">
        <is>
          <t>Kế toán / Kiểm toán, Ngân hàng, Bảo hiểm</t>
        </is>
      </c>
      <c r="K3798" s="10" t="inlineStr">
        <is>
          <t>2 - 5 Năm</t>
        </is>
      </c>
      <c r="L3798" s="11">
        <f>HYPERLINK("https://careerviet.vn/vi/tim-viec-lam/truong-phong-ke-toan-hanh-chinh-an-giang.35C694D2.html","Xem chi tiết")</f>
        <v/>
      </c>
      <c r="M3798" s="10" t="n"/>
    </row>
    <row r="3799">
      <c r="B3799" s="7" t="n">
        <v>3797</v>
      </c>
      <c r="C3799" t="inlineStr">
        <is>
          <t>SEO Specialist (Technical &amp; Global SEO)</t>
        </is>
      </c>
      <c r="D3799" t="inlineStr">
        <is>
          <t>CÔNG TY TNHH RSQUARE VIỆT NAM</t>
        </is>
      </c>
      <c r="E3799" t="inlineStr">
        <is>
          <t>Lương:15 Tr - 20 Tr VND</t>
        </is>
      </c>
      <c r="F3799" t="inlineStr">
        <is>
          <t>Hồ Chí Minh</t>
        </is>
      </c>
      <c r="G3799" t="inlineStr">
        <is>
          <t>31-03-2026</t>
        </is>
      </c>
      <c r="H3799" t="inlineStr">
        <is>
          <t>31/03/2026</t>
        </is>
      </c>
      <c r="I3799" t="inlineStr">
        <is>
          <t>17/03/2026</t>
        </is>
      </c>
      <c r="J3799" t="inlineStr">
        <is>
          <t>Tiếp thị / Marketing, Bán hàng / Kinh doanh</t>
        </is>
      </c>
      <c r="K3799" t="inlineStr">
        <is>
          <t>2 - 5 Năm</t>
        </is>
      </c>
      <c r="L3799" s="8">
        <f>HYPERLINK("https://careerviet.vn/vi/tim-viec-lam/seo-specialist-technical-global-seo.35C6961C.html","Xem chi tiết")</f>
        <v/>
      </c>
    </row>
    <row r="3800">
      <c r="B3800" s="9" t="n">
        <v>3798</v>
      </c>
      <c r="C3800" s="10" t="inlineStr">
        <is>
          <t>Nhân viên Hỗ trợ quản lý ban chấm trưng bày</t>
        </is>
      </c>
      <c r="D3800" s="10" t="inlineStr">
        <is>
          <t>Công ty TNHH Sức Bật</t>
        </is>
      </c>
      <c r="E3800" s="10" t="inlineStr">
        <is>
          <t>Lương:11 Tr - 14 Tr VND</t>
        </is>
      </c>
      <c r="F3800" s="10" t="inlineStr">
        <is>
          <t>Hồ Chí Minh</t>
        </is>
      </c>
      <c r="G3800" s="10" t="inlineStr">
        <is>
          <t>31-05-2026</t>
        </is>
      </c>
      <c r="H3800" s="10" t="inlineStr">
        <is>
          <t>31/05/2026</t>
        </is>
      </c>
      <c r="I3800" s="10" t="inlineStr">
        <is>
          <t>17/03/2026</t>
        </is>
      </c>
      <c r="J3800" s="10" t="inlineStr">
        <is>
          <t>Quản lý điều hành</t>
        </is>
      </c>
      <c r="K3800" s="10" t="inlineStr">
        <is>
          <t>Lên đến 1 Năm</t>
        </is>
      </c>
      <c r="L3800" s="11">
        <f>HYPERLINK("https://careerviet.vn/vi/tim-viec-lam/nhan-vien-ho-tro-quan-ly-ban-cham-trung-bay.35C6ACCF.html","Xem chi tiết")</f>
        <v/>
      </c>
      <c r="M3800" s="10" t="n"/>
    </row>
    <row r="3801">
      <c r="B3801" s="7" t="n">
        <v>3799</v>
      </c>
      <c r="C3801" t="inlineStr">
        <is>
          <t>Digital Marketing Manager</t>
        </is>
      </c>
      <c r="D3801" t="inlineStr">
        <is>
          <t>Công Ty Cổ Phần TEECOM</t>
        </is>
      </c>
      <c r="E3801" t="inlineStr">
        <is>
          <t>Lương:Cạnh tranh</t>
        </is>
      </c>
      <c r="F3801" t="inlineStr">
        <is>
          <t>Hồ Chí Minh</t>
        </is>
      </c>
      <c r="G3801" t="inlineStr">
        <is>
          <t>31-03-2026</t>
        </is>
      </c>
      <c r="H3801" t="inlineStr">
        <is>
          <t>31/03/2026</t>
        </is>
      </c>
      <c r="I3801" t="inlineStr">
        <is>
          <t>17/03/2026</t>
        </is>
      </c>
      <c r="J3801" t="inlineStr">
        <is>
          <t>Tiếp thị trực tuyến, Thương mại điện tử, Tiếp thị / Marketing</t>
        </is>
      </c>
      <c r="K3801" t="inlineStr">
        <is>
          <t>4 - 5 Năm</t>
        </is>
      </c>
      <c r="L3801" s="8">
        <f>HYPERLINK("https://careerviet.vn/vi/tim-viec-lam/digital-marketing-manager.35C6AEDB.html","Xem chi tiết")</f>
        <v/>
      </c>
    </row>
    <row r="3802">
      <c r="B3802" s="9" t="n">
        <v>3800</v>
      </c>
      <c r="C3802" s="10" t="inlineStr">
        <is>
          <t>Chuyên gia cải tiến quy trình - Trung tâm vận hành tối ưu - Khối Vận hành</t>
        </is>
      </c>
      <c r="D3802" s="10" t="inlineStr">
        <is>
          <t>Ngân hàng TMCP Đại Chúng Việt Nam - PVcomBank</t>
        </is>
      </c>
      <c r="E3802" s="10" t="inlineStr">
        <is>
          <t>Lương:Cạnh tranh</t>
        </is>
      </c>
      <c r="F3802" s="10" t="inlineStr">
        <is>
          <t>Hà Nội</t>
        </is>
      </c>
      <c r="G3802" s="10" t="inlineStr">
        <is>
          <t>03-04-2026</t>
        </is>
      </c>
      <c r="H3802" s="10" t="inlineStr">
        <is>
          <t>03/04/2026</t>
        </is>
      </c>
      <c r="I3802" s="10" t="inlineStr">
        <is>
          <t>17/03/2026</t>
        </is>
      </c>
      <c r="J3802" s="10" t="inlineStr">
        <is>
          <t>Ngân hàng, Tài chính / Đầu tư</t>
        </is>
      </c>
      <c r="K3802" s="10" t="inlineStr">
        <is>
          <t>3 - 10 Năm</t>
        </is>
      </c>
      <c r="L3802" s="11">
        <f>HYPERLINK("https://careerviet.vn/vi/tim-viec-lam/chuyen-gia-cai-tien-quy-trinh-trung-tam-van-hanh-toi-uu-khoi-van-hanh.35C6AED9.html","Xem chi tiết")</f>
        <v/>
      </c>
      <c r="M3802" s="10" t="n"/>
    </row>
    <row r="3803">
      <c r="B3803" s="7" t="n">
        <v>3801</v>
      </c>
      <c r="C3803" t="inlineStr">
        <is>
          <t>Chuyên Viên Mua Hàng</t>
        </is>
      </c>
      <c r="D3803" t="inlineStr">
        <is>
          <t>Công ty TNHH Viễn thông IPN</t>
        </is>
      </c>
      <c r="E3803" t="inlineStr">
        <is>
          <t>Lương:15 Tr - 25 Tr VND</t>
        </is>
      </c>
      <c r="F3803" t="inlineStr">
        <is>
          <t>Hà Nội</t>
        </is>
      </c>
      <c r="G3803" t="inlineStr">
        <is>
          <t>24-03-2026</t>
        </is>
      </c>
      <c r="H3803" t="inlineStr">
        <is>
          <t>24/03/2026</t>
        </is>
      </c>
      <c r="I3803" t="inlineStr">
        <is>
          <t>17/03/2026</t>
        </is>
      </c>
      <c r="J3803" t="inlineStr">
        <is>
          <t>Thu mua / Vật tư</t>
        </is>
      </c>
      <c r="K3803" t="inlineStr">
        <is>
          <t>N/A</t>
        </is>
      </c>
      <c r="L3803" s="8">
        <f>HYPERLINK("https://careerviet.vn/vi/tim-viec-lam/chuyen-vien-mua-hang.35C6961E.html","Xem chi tiết")</f>
        <v/>
      </c>
    </row>
    <row r="3804">
      <c r="B3804" s="9" t="n">
        <v>3802</v>
      </c>
      <c r="C3804" s="10" t="inlineStr">
        <is>
          <t>Nhân Viên Thiết Kế Nội Thất</t>
        </is>
      </c>
      <c r="D3804" s="10" t="inlineStr">
        <is>
          <t>AKI DESIGN</t>
        </is>
      </c>
      <c r="E3804" s="10" t="inlineStr">
        <is>
          <t>Lương:17 Tr - 26 Tr VND</t>
        </is>
      </c>
      <c r="F3804" s="10" t="inlineStr">
        <is>
          <t>Hồ Chí MinhHà Nội</t>
        </is>
      </c>
      <c r="G3804" s="10" t="inlineStr">
        <is>
          <t>04-04-2026</t>
        </is>
      </c>
      <c r="H3804" s="10" t="inlineStr">
        <is>
          <t>04/04/2026</t>
        </is>
      </c>
      <c r="I3804" s="10" t="inlineStr">
        <is>
          <t>17/03/2026</t>
        </is>
      </c>
      <c r="J3804" s="10" t="inlineStr">
        <is>
          <t>Mỹ thuật / Nghệ thuật / Thiết kế, Nội ngoại thất</t>
        </is>
      </c>
      <c r="K3804" s="10" t="inlineStr">
        <is>
          <t>4 - 6 Năm</t>
        </is>
      </c>
      <c r="L3804" s="11">
        <f>HYPERLINK("https://careerviet.vn/vi/tim-viec-lam/nhan-vien-thiet-ke-noi-that.35C6ADC3.html","Xem chi tiết")</f>
        <v/>
      </c>
      <c r="M3804" s="10" t="n"/>
    </row>
    <row r="3805">
      <c r="B3805" s="7" t="n">
        <v>3803</v>
      </c>
      <c r="C3805" t="inlineStr">
        <is>
          <t>Nhân viên kho - lái xe nâng / Forklift Driver - Warehouse</t>
        </is>
      </c>
      <c r="D3805" t="inlineStr">
        <is>
          <t>CÔNG TY TNHH SEAH M&amp;S VIỆT NAM</t>
        </is>
      </c>
      <c r="E3805" t="inlineStr">
        <is>
          <t>Lương:Cạnh tranh</t>
        </is>
      </c>
      <c r="F3805" t="inlineStr">
        <is>
          <t>Bà Rịa - Vũng TàuHồ Chí Minh</t>
        </is>
      </c>
      <c r="G3805" t="inlineStr">
        <is>
          <t>25-03-2026</t>
        </is>
      </c>
      <c r="H3805" t="inlineStr">
        <is>
          <t>25/03/2026</t>
        </is>
      </c>
      <c r="I3805" t="inlineStr">
        <is>
          <t>17/03/2026</t>
        </is>
      </c>
      <c r="J3805" t="inlineStr">
        <is>
          <t>Sản xuất / Vận hành sản xuất, Vận chuyển / Giao nhận / Kho vận</t>
        </is>
      </c>
      <c r="K3805" t="inlineStr">
        <is>
          <t>2 - 3 Năm</t>
        </is>
      </c>
      <c r="L3805" s="8">
        <f>HYPERLINK("https://careerviet.vn/vi/tim-viec-lam/nhan-vien-kho-lai-xe-nang-forklift-driver-warehouse.35C6967E.html","Xem chi tiết")</f>
        <v/>
      </c>
    </row>
    <row r="3806">
      <c r="B3806" s="9" t="n">
        <v>3804</v>
      </c>
      <c r="C3806" s="10" t="inlineStr">
        <is>
          <t>ACCOUNTING MANAGER - HCM</t>
        </is>
      </c>
      <c r="D3806" s="10" t="inlineStr">
        <is>
          <t>Công Ty TNHH Mol Logistics</t>
        </is>
      </c>
      <c r="E3806" s="10" t="inlineStr">
        <is>
          <t>Lương:Cạnh tranh</t>
        </is>
      </c>
      <c r="F3806" s="10" t="inlineStr">
        <is>
          <t>Hồ Chí Minh</t>
        </is>
      </c>
      <c r="G3806" s="10" t="inlineStr">
        <is>
          <t>05-04-2026</t>
        </is>
      </c>
      <c r="H3806" s="10" t="inlineStr">
        <is>
          <t>05/04/2026</t>
        </is>
      </c>
      <c r="I3806" s="10" t="inlineStr">
        <is>
          <t>17/03/2026</t>
        </is>
      </c>
      <c r="J3806" s="10" t="inlineStr">
        <is>
          <t>Kế toán / Kiểm toán, Tài chính / Đầu tư</t>
        </is>
      </c>
      <c r="K3806" s="10" t="inlineStr">
        <is>
          <t>5 - 7 Năm</t>
        </is>
      </c>
      <c r="L3806" s="11">
        <f>HYPERLINK("https://careerviet.vn/vi/tim-viec-lam/accounting-manager-hcm.35C6A9D9.html","Xem chi tiết")</f>
        <v/>
      </c>
      <c r="M3806" s="10" t="n"/>
    </row>
    <row r="3807">
      <c r="B3807" s="7" t="n">
        <v>3805</v>
      </c>
      <c r="C3807" t="inlineStr">
        <is>
          <t>Secured Loan Product Development Deputy Manager (specialize in Auto Loan Product)</t>
        </is>
      </c>
      <c r="D3807" t="inlineStr">
        <is>
          <t>Công Ty Tài Chính Mirae Asset (Việt Nam)</t>
        </is>
      </c>
      <c r="E3807" t="inlineStr">
        <is>
          <t>Lương:Cạnh tranh</t>
        </is>
      </c>
      <c r="F3807" t="inlineStr">
        <is>
          <t>Hồ Chí Minh</t>
        </is>
      </c>
      <c r="G3807" t="inlineStr">
        <is>
          <t>27-03-2026</t>
        </is>
      </c>
      <c r="H3807" t="inlineStr">
        <is>
          <t>27/03/2026</t>
        </is>
      </c>
      <c r="I3807" t="inlineStr">
        <is>
          <t>17/03/2026</t>
        </is>
      </c>
      <c r="J3807" t="inlineStr">
        <is>
          <t>Kế toán / Kiểm toán, Ngân hàng, Bảo hiểm</t>
        </is>
      </c>
      <c r="K3807" t="inlineStr">
        <is>
          <t>Trên 5 Năm</t>
        </is>
      </c>
      <c r="L3807" s="8">
        <f>HYPERLINK("https://careerviet.vn/vi/tim-viec-lam/secured-loan-product-development-deputy-manager-specialize-in-auto-loan-product.35C695CE.html","Xem chi tiết")</f>
        <v/>
      </c>
    </row>
    <row r="3808">
      <c r="B3808" s="9" t="n">
        <v>3806</v>
      </c>
      <c r="C3808" s="10" t="inlineStr">
        <is>
          <t>Chuyên viên/Chuyên viên cao cấp quan hệ khách hàng Doanh nghiệp - Lâm Đồng, ĐakLak, DakNong</t>
        </is>
      </c>
      <c r="D3808" s="10" t="inlineStr">
        <is>
          <t>Ngân hàng TMCP Phát triển TP.HCM (HDBank)</t>
        </is>
      </c>
      <c r="E3808" s="10" t="inlineStr">
        <is>
          <t>Lương:13 Tr - 30 Tr VND</t>
        </is>
      </c>
      <c r="F3808" s="10" t="inlineStr">
        <is>
          <t>Lâm ĐồngDak NôngDak Lak</t>
        </is>
      </c>
      <c r="G3808" s="10" t="inlineStr">
        <is>
          <t>30-04-2026</t>
        </is>
      </c>
      <c r="H3808" s="10" t="inlineStr">
        <is>
          <t>30/04/2026</t>
        </is>
      </c>
      <c r="I3808" s="10" t="inlineStr">
        <is>
          <t>17/03/2026</t>
        </is>
      </c>
      <c r="J3808" s="10" t="inlineStr">
        <is>
          <t>Bán hàng / Kinh doanh, Ngân hàng, Tài chính / Đầu tư</t>
        </is>
      </c>
      <c r="K3808" s="10" t="inlineStr">
        <is>
          <t>1 - 5 Năm</t>
        </is>
      </c>
      <c r="L3808" s="11">
        <f>HYPERLINK("https://careerviet.vn/vi/tim-viec-lam/chuyen-vien-chuyen-vien-cao-cap-quan-he-khach-hang-doanh-nghiep-lam-dong-daklak-daknong.35C6AED7.html","Xem chi tiết")</f>
        <v/>
      </c>
      <c r="M3808" s="10" t="n"/>
    </row>
    <row r="3809">
      <c r="B3809" s="7" t="n">
        <v>3807</v>
      </c>
      <c r="C3809" t="inlineStr">
        <is>
          <t>Chuyên Viên Tư Vấn Khóa Học Tiếng Anh - Bình Dương</t>
        </is>
      </c>
      <c r="D3809" t="inlineStr">
        <is>
          <t>Wall Street English</t>
        </is>
      </c>
      <c r="E3809" t="inlineStr">
        <is>
          <t>Lương:15 Tr - 35 Tr VND</t>
        </is>
      </c>
      <c r="F3809" t="inlineStr">
        <is>
          <t>Bình Dương</t>
        </is>
      </c>
      <c r="G3809" t="inlineStr">
        <is>
          <t>31-03-2026</t>
        </is>
      </c>
      <c r="H3809" t="inlineStr">
        <is>
          <t>31/03/2026</t>
        </is>
      </c>
      <c r="I3809" t="inlineStr">
        <is>
          <t>17/03/2026</t>
        </is>
      </c>
      <c r="J3809" t="inlineStr">
        <is>
          <t>Tư vấn, Dịch vụ khách hàng, Giáo dục / Đào tạo</t>
        </is>
      </c>
      <c r="K3809" t="inlineStr">
        <is>
          <t>2 - 3 Năm</t>
        </is>
      </c>
      <c r="L3809" s="8">
        <f>HYPERLINK("https://careerviet.vn/vi/tim-viec-lam/chuyen-vien-tu-van-khoa-hoc-tieng-anh-binh-duong.35C6AC8A.html","Xem chi tiết")</f>
        <v/>
      </c>
    </row>
    <row r="3810">
      <c r="B3810" s="9" t="n">
        <v>3808</v>
      </c>
      <c r="C3810" s="10" t="inlineStr">
        <is>
          <t>Chuyên viên/Chuyên viên cao cấp quan hệ khách hàng CÁ NHÂN - Lâm Đồng, ĐakLak, DakNong</t>
        </is>
      </c>
      <c r="D3810" s="10" t="inlineStr">
        <is>
          <t>Ngân hàng TMCP Phát triển TP.HCM (HDBank)</t>
        </is>
      </c>
      <c r="E3810" s="10" t="inlineStr">
        <is>
          <t>Lương:Cạnh tranh</t>
        </is>
      </c>
      <c r="F3810" s="10" t="inlineStr">
        <is>
          <t>Lâm ĐồngDak NôngDak Lak</t>
        </is>
      </c>
      <c r="G3810" s="10" t="inlineStr">
        <is>
          <t>30-04-2026</t>
        </is>
      </c>
      <c r="H3810" s="10" t="inlineStr">
        <is>
          <t>30/04/2026</t>
        </is>
      </c>
      <c r="I3810" s="10" t="inlineStr">
        <is>
          <t>17/03/2026</t>
        </is>
      </c>
      <c r="J3810" s="10" t="inlineStr">
        <is>
          <t>Bán hàng / Kinh doanh, Ngân hàng, Tài chính / Đầu tư</t>
        </is>
      </c>
      <c r="K3810" s="10" t="inlineStr">
        <is>
          <t>Chưa có kinh nghiệm</t>
        </is>
      </c>
      <c r="L3810" s="11">
        <f>HYPERLINK("https://careerviet.vn/vi/tim-viec-lam/chuyen-vien-chuyen-vien-cao-cap-quan-he-khach-hang-ca-nhan-lam-dong-daklak-daknong.35C6AED6.html","Xem chi tiết")</f>
        <v/>
      </c>
      <c r="M3810" s="10" t="n"/>
    </row>
    <row r="3811">
      <c r="B3811" s="7" t="n">
        <v>3809</v>
      </c>
      <c r="C3811" t="inlineStr">
        <is>
          <t>Chuyên gia quản lý quy trình - Trung tâm vận hành tối ưu - Khối Vận hành</t>
        </is>
      </c>
      <c r="D3811" t="inlineStr">
        <is>
          <t>Ngân hàng TMCP Đại Chúng Việt Nam - PVcomBank</t>
        </is>
      </c>
      <c r="E3811" t="inlineStr">
        <is>
          <t>Lương:Cạnh tranh</t>
        </is>
      </c>
      <c r="F3811" t="inlineStr">
        <is>
          <t>Hà Nội</t>
        </is>
      </c>
      <c r="G3811" t="inlineStr">
        <is>
          <t>03-04-2026</t>
        </is>
      </c>
      <c r="H3811" t="inlineStr">
        <is>
          <t>03/04/2026</t>
        </is>
      </c>
      <c r="I3811" t="inlineStr">
        <is>
          <t>17/03/2026</t>
        </is>
      </c>
      <c r="J3811" t="inlineStr">
        <is>
          <t>Ngân hàng, Tài chính / Đầu tư</t>
        </is>
      </c>
      <c r="K3811" t="inlineStr">
        <is>
          <t>3 - 10 Năm</t>
        </is>
      </c>
      <c r="L3811" s="8">
        <f>HYPERLINK("https://careerviet.vn/vi/tim-viec-lam/chuyen-gia-quan-ly-quy-trinh-trung-tam-van-hanh-toi-uu-khoi-van-hanh.35C6AED3.html","Xem chi tiết")</f>
        <v/>
      </c>
    </row>
    <row r="3812">
      <c r="B3812" s="9" t="n">
        <v>3810</v>
      </c>
      <c r="C3812" s="10" t="inlineStr">
        <is>
          <t>Nhân Viên Thủ Quỹ (Biết Tiếng Trung)</t>
        </is>
      </c>
      <c r="D3812" s="10" t="inlineStr">
        <is>
          <t>CÔNG TY TNHH DU LỊCH HT GROUP</t>
        </is>
      </c>
      <c r="E3812" s="10" t="inlineStr">
        <is>
          <t>Lương:Cạnh tranh</t>
        </is>
      </c>
      <c r="F3812" s="10" t="inlineStr">
        <is>
          <t>Hồ Chí Minh</t>
        </is>
      </c>
      <c r="G3812" s="10" t="inlineStr">
        <is>
          <t>03-04-2026</t>
        </is>
      </c>
      <c r="H3812" s="10" t="inlineStr">
        <is>
          <t>03/04/2026</t>
        </is>
      </c>
      <c r="I3812" s="10" t="inlineStr">
        <is>
          <t>17/03/2026</t>
        </is>
      </c>
      <c r="J3812" s="10" t="inlineStr">
        <is>
          <t>Hành chính / Thư ký, Kế toán / Kiểm toán, Du lịch</t>
        </is>
      </c>
      <c r="K3812" s="10" t="inlineStr">
        <is>
          <t>N/A</t>
        </is>
      </c>
      <c r="L3812" s="11">
        <f>HYPERLINK("https://careerviet.vn/vi/tim-viec-lam/nhan-vien-thu-quy-biet-tieng-trung.35C6AEBA.html","Xem chi tiết")</f>
        <v/>
      </c>
      <c r="M3812" s="10" t="n"/>
    </row>
    <row r="3813">
      <c r="B3813" s="7" t="n">
        <v>3811</v>
      </c>
      <c r="C3813" t="inlineStr">
        <is>
          <t>Nhân Viên Kế Toán</t>
        </is>
      </c>
      <c r="D3813" t="inlineStr">
        <is>
          <t>CÔNG TY TNHH SẢN XUẤT THƯƠNG MẠI DỊCH VỤ FARM CENTRE</t>
        </is>
      </c>
      <c r="E3813" t="inlineStr">
        <is>
          <t>Lương:10 Tr - 15 Tr VND</t>
        </is>
      </c>
      <c r="F3813" t="inlineStr">
        <is>
          <t>Hồ Chí Minh</t>
        </is>
      </c>
      <c r="G3813" t="inlineStr">
        <is>
          <t>04-04-2026</t>
        </is>
      </c>
      <c r="H3813" t="inlineStr">
        <is>
          <t>04/04/2026</t>
        </is>
      </c>
      <c r="I3813" t="inlineStr">
        <is>
          <t>17/03/2026</t>
        </is>
      </c>
      <c r="J3813" t="inlineStr">
        <is>
          <t>Kế toán / Kiểm toán, Bán lẻ / Bán sỉ, Nông nghiệp</t>
        </is>
      </c>
      <c r="K3813" t="inlineStr">
        <is>
          <t>Trên 2 Năm</t>
        </is>
      </c>
      <c r="L3813" s="8">
        <f>HYPERLINK("https://careerviet.vn/vi/tim-viec-lam/nhan-vien-ke-toan.35C6AEC4.html","Xem chi tiết")</f>
        <v/>
      </c>
    </row>
    <row r="3814">
      <c r="B3814" s="9" t="n">
        <v>3812</v>
      </c>
      <c r="C3814" s="10" t="inlineStr">
        <is>
          <t>Legal &amp; Regulatory Process Executive (Investment Banking)</t>
        </is>
      </c>
      <c r="D3814" s="10" t="inlineStr">
        <is>
          <t>HSC - Chứng Khoán Thành Phố Hồ Chí Minh</t>
        </is>
      </c>
      <c r="E3814" s="10" t="inlineStr">
        <is>
          <t>Lương:Cạnh tranh</t>
        </is>
      </c>
      <c r="F3814" s="10" t="inlineStr">
        <is>
          <t>Hồ Chí Minh</t>
        </is>
      </c>
      <c r="G3814" s="10" t="inlineStr">
        <is>
          <t>03-04-2026</t>
        </is>
      </c>
      <c r="H3814" s="10" t="inlineStr">
        <is>
          <t>03/04/2026</t>
        </is>
      </c>
      <c r="I3814" s="10" t="inlineStr">
        <is>
          <t>17/03/2026</t>
        </is>
      </c>
      <c r="J3814" s="10" t="inlineStr">
        <is>
          <t>Chứng khoán, Tài chính / Đầu tư</t>
        </is>
      </c>
      <c r="K3814" s="10" t="inlineStr">
        <is>
          <t>3 - 7 Năm</t>
        </is>
      </c>
      <c r="L3814" s="11">
        <f>HYPERLINK("https://careerviet.vn/vi/tim-viec-lam/legal-regulatory-process-executive-investment-banking.35C6AEB4.html","Xem chi tiết")</f>
        <v/>
      </c>
      <c r="M3814" s="10" t="n"/>
    </row>
    <row r="3815">
      <c r="B3815" s="7" t="n">
        <v>3813</v>
      </c>
      <c r="C3815" t="inlineStr">
        <is>
          <t>SALES STAFF - NHÂN VIÊN KINH DOANH (HCM OFFICE)</t>
        </is>
      </c>
      <c r="D3815" t="inlineStr">
        <is>
          <t>CÔNG TY TNHH YANG MING SHIPPING (VIỆT NAM)</t>
        </is>
      </c>
      <c r="E3815" t="inlineStr">
        <is>
          <t>Lương:Cạnh tranh</t>
        </is>
      </c>
      <c r="F3815" t="inlineStr">
        <is>
          <t>Hồ Chí Minh</t>
        </is>
      </c>
      <c r="G3815" t="inlineStr">
        <is>
          <t>03-04-2026</t>
        </is>
      </c>
      <c r="H3815" t="inlineStr">
        <is>
          <t>03/04/2026</t>
        </is>
      </c>
      <c r="I3815" t="inlineStr">
        <is>
          <t>17/03/2026</t>
        </is>
      </c>
      <c r="J3815" t="inlineStr">
        <is>
          <t>Tiếp thị / Marketing, Bán hàng / Kinh doanh, Xuất nhập khẩu</t>
        </is>
      </c>
      <c r="K3815" t="inlineStr">
        <is>
          <t>1 - 2 Năm</t>
        </is>
      </c>
      <c r="L3815" s="8">
        <f>HYPERLINK("https://careerviet.vn/vi/tim-viec-lam/sales-staff-nhan-vien-kinh-doanh-hcm-office.35C6AD96.html","Xem chi tiết")</f>
        <v/>
      </c>
    </row>
    <row r="3816">
      <c r="B3816" s="9" t="n">
        <v>3814</v>
      </c>
      <c r="C3816" s="10" t="inlineStr">
        <is>
          <t>Phó nhóm CSKH có Tiếng Nhật 27713 - Cầu Giấy, HN</t>
        </is>
      </c>
      <c r="D3816" s="10" t="inlineStr">
        <is>
          <t>Công Ty TNHH Reeracoen Việt Nam</t>
        </is>
      </c>
      <c r="E3816" s="10" t="inlineStr">
        <is>
          <t>Lương:14 Tr - 20 Tr VND</t>
        </is>
      </c>
      <c r="F3816" s="10" t="inlineStr">
        <is>
          <t>Hà Nội</t>
        </is>
      </c>
      <c r="G3816" s="10" t="inlineStr">
        <is>
          <t>03-04-2026</t>
        </is>
      </c>
      <c r="H3816" s="10" t="inlineStr">
        <is>
          <t>03/04/2026</t>
        </is>
      </c>
      <c r="I3816" s="10" t="inlineStr">
        <is>
          <t>17/03/2026</t>
        </is>
      </c>
      <c r="J3816" s="10" t="inlineStr">
        <is>
          <t>Tư vấn, Dịch vụ khách hàng, Biên phiên dịch</t>
        </is>
      </c>
      <c r="K3816" s="10" t="inlineStr">
        <is>
          <t>Trên 2 Năm</t>
        </is>
      </c>
      <c r="L3816" s="11">
        <f>HYPERLINK("https://careerviet.vn/vi/tim-viec-lam/pho-nhom-cskh-co-tieng-nhat-27713-cau-giay-hn.35C6AE7D.html","Xem chi tiết")</f>
        <v/>
      </c>
      <c r="M3816" s="10" t="n"/>
    </row>
    <row r="3817">
      <c r="B3817" s="7" t="n">
        <v>3815</v>
      </c>
      <c r="C3817" t="inlineStr">
        <is>
          <t>128317 - Giám Sát Chứng Từ Xuất Nhập Khẩu - Ngành Logistics</t>
        </is>
      </c>
      <c r="D3817" t="inlineStr">
        <is>
          <t>RGF HR Agent Vietnam Co., LTD</t>
        </is>
      </c>
      <c r="E3817" t="inlineStr">
        <is>
          <t>Lương:Cạnh tranh</t>
        </is>
      </c>
      <c r="F3817" t="inlineStr">
        <is>
          <t>Đồng Nai</t>
        </is>
      </c>
      <c r="G3817" t="inlineStr">
        <is>
          <t>31-03-2026</t>
        </is>
      </c>
      <c r="H3817" t="inlineStr">
        <is>
          <t>31/03/2026</t>
        </is>
      </c>
      <c r="I3817" t="inlineStr">
        <is>
          <t>17/03/2026</t>
        </is>
      </c>
      <c r="J3817" t="inlineStr">
        <is>
          <t>Xuất nhập khẩu</t>
        </is>
      </c>
      <c r="K3817" t="inlineStr">
        <is>
          <t>3 - 10 Năm</t>
        </is>
      </c>
      <c r="L3817" s="8">
        <f>HYPERLINK("https://careerviet.vn/vi/tim-viec-lam/128317-giam-sat-chung-tu-xuat-nhap-khau-nganh-logistics.35C6AD83.html","Xem chi tiết")</f>
        <v/>
      </c>
    </row>
    <row r="3818">
      <c r="B3818" s="9" t="n">
        <v>3816</v>
      </c>
      <c r="C3818" s="10" t="inlineStr">
        <is>
          <t>QA/QC – Garment Industry</t>
        </is>
      </c>
      <c r="D3818" s="10" t="inlineStr">
        <is>
          <t>CÔNG TY TNHH THỜI TRANG ĐỈNH CAO</t>
        </is>
      </c>
      <c r="E3818" s="10" t="inlineStr">
        <is>
          <t>Lương:Cạnh tranh</t>
        </is>
      </c>
      <c r="F3818" s="10" t="inlineStr">
        <is>
          <t>Hồ Chí Minh</t>
        </is>
      </c>
      <c r="G3818" s="10" t="inlineStr">
        <is>
          <t>04-04-2026</t>
        </is>
      </c>
      <c r="H3818" s="10" t="inlineStr">
        <is>
          <t>04/04/2026</t>
        </is>
      </c>
      <c r="I3818" s="10" t="inlineStr">
        <is>
          <t>17/03/2026</t>
        </is>
      </c>
      <c r="J3818" s="10" t="inlineStr">
        <is>
          <t>Quản lý chất lượng (QA/QC), Sản xuất / Vận hành sản xuất, Dệt may / Da giày / Thời trang</t>
        </is>
      </c>
      <c r="K3818" s="10" t="inlineStr">
        <is>
          <t>2 - 4 Năm</t>
        </is>
      </c>
      <c r="L3818" s="11">
        <f>HYPERLINK("https://careerviet.vn/vi/tim-viec-lam/qa-qc-garment-industry.35C6AD29.html","Xem chi tiết")</f>
        <v/>
      </c>
      <c r="M3818" s="10" t="n"/>
    </row>
    <row r="3819">
      <c r="B3819" s="7" t="n">
        <v>3817</v>
      </c>
      <c r="C3819" t="inlineStr">
        <is>
          <t>Nhân Viên Đánh Giá</t>
        </is>
      </c>
      <c r="D3819" t="inlineStr">
        <is>
          <t>Công ty TNHH Long Hành Thiên Hạ</t>
        </is>
      </c>
      <c r="E3819" t="inlineStr">
        <is>
          <t>Lương:12 Tr - 25 Tr VND</t>
        </is>
      </c>
      <c r="F3819" t="inlineStr">
        <is>
          <t>Thanh Hóa</t>
        </is>
      </c>
      <c r="G3819" t="inlineStr">
        <is>
          <t>04-04-2026</t>
        </is>
      </c>
      <c r="H3819" t="inlineStr">
        <is>
          <t>04/04/2026</t>
        </is>
      </c>
      <c r="I3819" t="inlineStr">
        <is>
          <t>17/03/2026</t>
        </is>
      </c>
      <c r="J3819" t="inlineStr">
        <is>
          <t>N/A</t>
        </is>
      </c>
      <c r="K3819" t="inlineStr">
        <is>
          <t>N/A</t>
        </is>
      </c>
      <c r="L3819" s="8">
        <f>HYPERLINK("https://careerviet.vn/vi/tim-viec-lam/nhan-vien-danh-gia.35C6AED1.html","Xem chi tiết")</f>
        <v/>
      </c>
    </row>
    <row r="3820">
      <c r="B3820" s="9" t="n">
        <v>3818</v>
      </c>
      <c r="C3820" s="10" t="inlineStr">
        <is>
          <t>Nhân Viên QC</t>
        </is>
      </c>
      <c r="D3820" s="10" t="inlineStr">
        <is>
          <t>Công Ty TNHH Hon Chuan Việt Nam</t>
        </is>
      </c>
      <c r="E3820" s="10" t="inlineStr">
        <is>
          <t>Lương:Cạnh tranh</t>
        </is>
      </c>
      <c r="F3820" s="10" t="inlineStr">
        <is>
          <t>Bình Dương</t>
        </is>
      </c>
      <c r="G3820" s="10" t="inlineStr">
        <is>
          <t>04-04-2026</t>
        </is>
      </c>
      <c r="H3820" s="10" t="inlineStr">
        <is>
          <t>04/04/2026</t>
        </is>
      </c>
      <c r="I3820" s="10" t="inlineStr">
        <is>
          <t>17/03/2026</t>
        </is>
      </c>
      <c r="J3820" s="10" t="inlineStr">
        <is>
          <t>Quản lý chất lượng (QA/QC), Sản xuất / Vận hành sản xuất, Hóa học</t>
        </is>
      </c>
      <c r="K3820" s="10" t="inlineStr">
        <is>
          <t>N/A</t>
        </is>
      </c>
      <c r="L3820" s="11">
        <f>HYPERLINK("https://careerviet.vn/vi/tim-viec-lam/nhan-vien-qc.35C6AD12.html","Xem chi tiết")</f>
        <v/>
      </c>
      <c r="M3820" s="10" t="n"/>
    </row>
    <row r="3821">
      <c r="B3821" s="7" t="n">
        <v>3819</v>
      </c>
      <c r="C3821" t="inlineStr">
        <is>
          <t>Giám Sát MEP (Điện – Nước)</t>
        </is>
      </c>
      <c r="D3821" t="inlineStr">
        <is>
          <t>CÔNG TY TNHH CÔNG TRÌNH HÙNG KIẾN</t>
        </is>
      </c>
      <c r="E3821" t="inlineStr">
        <is>
          <t>Lương:12 Tr - 18 Tr VND</t>
        </is>
      </c>
      <c r="F3821" t="inlineStr">
        <is>
          <t>Hồ Chí Minh</t>
        </is>
      </c>
      <c r="G3821" t="inlineStr">
        <is>
          <t>31-03-2026</t>
        </is>
      </c>
      <c r="H3821" t="inlineStr">
        <is>
          <t>31/03/2026</t>
        </is>
      </c>
      <c r="I3821" t="inlineStr">
        <is>
          <t>17/03/2026</t>
        </is>
      </c>
      <c r="J3821" t="inlineStr">
        <is>
          <t>Cơ khí / Ô tô / Tự động hóa, Điện / Điện tử / Điện lạnh / Điện công nghiệp, Xây dựngBằng cấpCao đẳngĐộ tuổi23 - 35</t>
        </is>
      </c>
      <c r="K3821" t="inlineStr">
        <is>
          <t>N/A</t>
        </is>
      </c>
      <c r="L3821" s="8">
        <f>HYPERLINK("https://careerviet.vn/vi/tim-viec-lam/giam-sat-mep-dien-nuoc.35C6A233.html","Xem chi tiết")</f>
        <v/>
      </c>
    </row>
    <row r="3822">
      <c r="B3822" s="9" t="n">
        <v>3820</v>
      </c>
      <c r="C3822" s="10" t="inlineStr">
        <is>
          <t>Nhân Viên Kiểm Soát Hàng Hóa</t>
        </is>
      </c>
      <c r="D3822" s="10" t="inlineStr">
        <is>
          <t>CÔNG TY CỔ PHẦN ĐẦU TƯ THIÊN ÂN</t>
        </is>
      </c>
      <c r="E3822" s="10" t="inlineStr">
        <is>
          <t>Lương:12 Tr - 15 Tr VND</t>
        </is>
      </c>
      <c r="F3822" s="10" t="inlineStr">
        <is>
          <t>Hà Nội</t>
        </is>
      </c>
      <c r="G3822" s="10" t="inlineStr">
        <is>
          <t>11-04-2026</t>
        </is>
      </c>
      <c r="H3822" s="10" t="inlineStr">
        <is>
          <t>11/04/2026</t>
        </is>
      </c>
      <c r="I3822" s="10" t="inlineStr">
        <is>
          <t>17/03/2026</t>
        </is>
      </c>
      <c r="J3822" s="10" t="inlineStr">
        <is>
          <t>Kế toán / Kiểm toán, Vận chuyển / Giao nhận / Kho vận, Xây dựng</t>
        </is>
      </c>
      <c r="K3822" s="10" t="inlineStr">
        <is>
          <t>Trên 2 Năm</t>
        </is>
      </c>
      <c r="L3822" s="11">
        <f>HYPERLINK("https://careerviet.vn/vi/tim-viec-lam/nhan-vien-kiem-soat-hang-hoa.35C6AE6A.html","Xem chi tiết")</f>
        <v/>
      </c>
      <c r="M3822" s="10" t="n"/>
    </row>
    <row r="3823">
      <c r="B3823" s="7" t="n">
        <v>3821</v>
      </c>
      <c r="C3823" t="inlineStr">
        <is>
          <t>Senior Merchandiser (Garment Industry)</t>
        </is>
      </c>
      <c r="D3823" t="inlineStr">
        <is>
          <t>CÔNG TY TNHH THỜI TRANG ĐỈNH CAO</t>
        </is>
      </c>
      <c r="E3823" t="inlineStr">
        <is>
          <t>Lương:Cạnh tranh</t>
        </is>
      </c>
      <c r="F3823" t="inlineStr">
        <is>
          <t>Hồ Chí Minh</t>
        </is>
      </c>
      <c r="G3823" t="inlineStr">
        <is>
          <t>04-04-2026</t>
        </is>
      </c>
      <c r="H3823" t="inlineStr">
        <is>
          <t>04/04/2026</t>
        </is>
      </c>
      <c r="I3823" t="inlineStr">
        <is>
          <t>17/03/2026</t>
        </is>
      </c>
      <c r="J3823" t="inlineStr">
        <is>
          <t>Dệt may / Da giày / Thời trang, Bán hàng / Kinh doanh, Xuất nhập khẩu</t>
        </is>
      </c>
      <c r="K3823" t="inlineStr">
        <is>
          <t>3 - 5 Năm</t>
        </is>
      </c>
      <c r="L3823" s="8">
        <f>HYPERLINK("https://careerviet.vn/vi/tim-viec-lam/senior-merchandiser-garment-industry.35C6AD22.html","Xem chi tiết")</f>
        <v/>
      </c>
    </row>
    <row r="3824">
      <c r="B3824" s="9" t="n">
        <v>3822</v>
      </c>
      <c r="C3824" s="10" t="inlineStr">
        <is>
          <t>Chuyên viên cao cấp ALM chiến lược – Phòng ALM – Khối Thị trường &amp; Quản trị tài chính</t>
        </is>
      </c>
      <c r="D3824" s="10" t="inlineStr">
        <is>
          <t>Ngân hàng TMCP Lộc Phát Việt Nam (LPBank)</t>
        </is>
      </c>
      <c r="E3824" s="10" t="inlineStr">
        <is>
          <t>Lương:Cạnh tranh</t>
        </is>
      </c>
      <c r="F3824" s="10" t="inlineStr">
        <is>
          <t>Hà Nội</t>
        </is>
      </c>
      <c r="G3824" s="10" t="inlineStr">
        <is>
          <t>03-04-2026</t>
        </is>
      </c>
      <c r="H3824" s="10" t="inlineStr">
        <is>
          <t>03/04/2026</t>
        </is>
      </c>
      <c r="I3824" s="10" t="inlineStr">
        <is>
          <t>17/03/2026</t>
        </is>
      </c>
      <c r="J3824" s="10" t="inlineStr">
        <is>
          <t>Kế toán / Kiểm toán, Ngân hàng, Bán hàng / Kinh doanh</t>
        </is>
      </c>
      <c r="K3824" s="10" t="inlineStr">
        <is>
          <t>Trên 3 Năm</t>
        </is>
      </c>
      <c r="L3824" s="11">
        <f>HYPERLINK("https://careerviet.vn/vi/tim-viec-lam/chuyen-vien-cao-cap-alm-chien-luoc-phong-alm-khoi-thi-truong-quan-tri-tai-chinh.35C6AE10.html","Xem chi tiết")</f>
        <v/>
      </c>
      <c r="M3824" s="10" t="n"/>
    </row>
    <row r="3825">
      <c r="B3825" s="7" t="n">
        <v>3823</v>
      </c>
      <c r="C3825" t="inlineStr">
        <is>
          <t>KẾ TOÁN TRƯỞNG (LĨNH VỰC NHÀ HÀNG, KHÁCH SẠN)</t>
        </is>
      </c>
      <c r="D3825" t="inlineStr">
        <is>
          <t>TRAN DUC CORPORATION - CÔNG TY CỔ PHẦN TRẦN ĐỨC</t>
        </is>
      </c>
      <c r="E3825" t="inlineStr">
        <is>
          <t>Lương:Cạnh tranh</t>
        </is>
      </c>
      <c r="F3825" t="inlineStr">
        <is>
          <t>Bình Dương</t>
        </is>
      </c>
      <c r="G3825" t="inlineStr">
        <is>
          <t>30-04-2026</t>
        </is>
      </c>
      <c r="H3825" t="inlineStr">
        <is>
          <t>30/04/2026</t>
        </is>
      </c>
      <c r="I3825" t="inlineStr">
        <is>
          <t>17/03/2026</t>
        </is>
      </c>
      <c r="J3825" t="inlineStr">
        <is>
          <t>Nhà hàng / Khách sạn</t>
        </is>
      </c>
      <c r="K3825" t="inlineStr">
        <is>
          <t>2 - 5 Năm</t>
        </is>
      </c>
      <c r="L3825" s="8">
        <f>HYPERLINK("https://careerviet.vn/vi/tim-viec-lam/ke-toan-truong-linh-vuc-nha-hang-khach-san.35C6AE55.html","Xem chi tiết")</f>
        <v/>
      </c>
    </row>
    <row r="3826">
      <c r="B3826" s="9" t="n">
        <v>3824</v>
      </c>
      <c r="C3826" s="10" t="inlineStr">
        <is>
          <t>Nhân viên Kinh doanh thị trường Tiếng Anh</t>
        </is>
      </c>
      <c r="D3826" s="10" t="inlineStr">
        <is>
          <t>Công Ty Cổ Phần Du Lịch Vietravel</t>
        </is>
      </c>
      <c r="E3826" s="10" t="inlineStr">
        <is>
          <t>Lương:Cạnh tranh</t>
        </is>
      </c>
      <c r="F3826" s="10" t="inlineStr">
        <is>
          <t>Hồ Chí Minh</t>
        </is>
      </c>
      <c r="G3826" s="10" t="inlineStr">
        <is>
          <t>03-04-2026</t>
        </is>
      </c>
      <c r="H3826" s="10" t="inlineStr">
        <is>
          <t>03/04/2026</t>
        </is>
      </c>
      <c r="I3826" s="10" t="inlineStr">
        <is>
          <t>17/03/2026</t>
        </is>
      </c>
      <c r="J3826" s="10" t="inlineStr">
        <is>
          <t>Du lịch, Biên phiên dịch, Mới tốt nghiệp / Thực tập</t>
        </is>
      </c>
      <c r="K3826" s="10" t="inlineStr">
        <is>
          <t>1 - 2 Năm</t>
        </is>
      </c>
      <c r="L3826" s="11">
        <f>HYPERLINK("https://careerviet.vn/vi/tim-viec-lam/nhan-vien-kinh-doanh-thi-truong-tieng-anh.35C6AD2D.html","Xem chi tiết")</f>
        <v/>
      </c>
      <c r="M3826" s="10" t="n"/>
    </row>
    <row r="3827">
      <c r="B3827" s="7" t="n">
        <v>3825</v>
      </c>
      <c r="C3827" t="inlineStr">
        <is>
          <t>Product Owner Expert</t>
        </is>
      </c>
      <c r="D3827" t="inlineStr">
        <is>
          <t>CÔNG TY CỔ PHẦN KINH DOANH F88</t>
        </is>
      </c>
      <c r="E3827" t="inlineStr">
        <is>
          <t>Lương:Cạnh tranh</t>
        </is>
      </c>
      <c r="F3827" t="inlineStr">
        <is>
          <t>Hồ Chí Minh</t>
        </is>
      </c>
      <c r="G3827" t="inlineStr">
        <is>
          <t>30-04-2026</t>
        </is>
      </c>
      <c r="H3827" t="inlineStr">
        <is>
          <t>30/04/2026</t>
        </is>
      </c>
      <c r="I3827" t="inlineStr">
        <is>
          <t>17/03/2026</t>
        </is>
      </c>
      <c r="J3827" t="inlineStr">
        <is>
          <t>CNTT - Phần mềm, Ngân hàng, Tài chính / Đầu tư</t>
        </is>
      </c>
      <c r="K3827" t="inlineStr">
        <is>
          <t>3 - 5 Năm</t>
        </is>
      </c>
      <c r="L3827" s="8">
        <f>HYPERLINK("https://careerviet.vn/vi/tim-viec-lam/product-owner-expert.35C6AE5F.html","Xem chi tiết")</f>
        <v/>
      </c>
    </row>
    <row r="3828">
      <c r="B3828" s="9" t="n">
        <v>3826</v>
      </c>
      <c r="C3828" s="10" t="inlineStr">
        <is>
          <t>Sales Logistics</t>
        </is>
      </c>
      <c r="D3828" s="10" t="inlineStr">
        <is>
          <t>CÔNG TY TNHH VẬN TẢI BIỂN ĐÔNG LONG</t>
        </is>
      </c>
      <c r="E3828" s="10" t="inlineStr">
        <is>
          <t>Lương:Trên 20 Tr VND</t>
        </is>
      </c>
      <c r="F3828" s="10" t="inlineStr">
        <is>
          <t>Hồ Chí MinhHải Phòng</t>
        </is>
      </c>
      <c r="G3828" s="10" t="inlineStr">
        <is>
          <t>04-04-2026</t>
        </is>
      </c>
      <c r="H3828" s="10" t="inlineStr">
        <is>
          <t>04/04/2026</t>
        </is>
      </c>
      <c r="I3828" s="10" t="inlineStr">
        <is>
          <t>17/03/2026</t>
        </is>
      </c>
      <c r="J3828" s="10" t="inlineStr">
        <is>
          <t>Bán hàng / Kinh doanh, Xuất nhập khẩu, Vận chuyển / Giao nhận / Kho vận</t>
        </is>
      </c>
      <c r="K3828" s="10" t="inlineStr">
        <is>
          <t>Trên 2 Năm</t>
        </is>
      </c>
      <c r="L3828" s="11">
        <f>HYPERLINK("https://careerviet.vn/vi/tim-viec-lam/sales-logistics.35C6ADB9.html","Xem chi tiết")</f>
        <v/>
      </c>
      <c r="M3828" s="10" t="n"/>
    </row>
    <row r="3829">
      <c r="B3829" s="7" t="n">
        <v>3827</v>
      </c>
      <c r="C3829" t="inlineStr">
        <is>
          <t>Giám đốc Giải pháp Thẻ Tín dụng và Tín dụng Tín chấp - RB - MSB - 1O286</t>
        </is>
      </c>
      <c r="D3829" t="inlineStr">
        <is>
          <t>Ngân hàng Thương mại Cổ phần Hàng Hải Việt Nam (MSB)</t>
        </is>
      </c>
      <c r="E3829" t="inlineStr">
        <is>
          <t>Lương:Cạnh tranh</t>
        </is>
      </c>
      <c r="F3829" t="inlineStr">
        <is>
          <t>Hà Nội</t>
        </is>
      </c>
      <c r="G3829" t="inlineStr">
        <is>
          <t>30-04-2026</t>
        </is>
      </c>
      <c r="H3829" t="inlineStr">
        <is>
          <t>30/04/2026</t>
        </is>
      </c>
      <c r="I3829" t="inlineStr">
        <is>
          <t>17/03/2026</t>
        </is>
      </c>
      <c r="J3829" t="inlineStr">
        <is>
          <t>Ngân hàng</t>
        </is>
      </c>
      <c r="K3829" t="inlineStr">
        <is>
          <t>Trên 4 Năm</t>
        </is>
      </c>
      <c r="L3829" s="8">
        <f>HYPERLINK("https://careerviet.vn/vi/tim-viec-lam/giam-doc-giai-phap-the-tin-dung-va-tin-dung-tin-chap-rb-msb-1o286.35C6AE5A.html","Xem chi tiết")</f>
        <v/>
      </c>
    </row>
    <row r="3830">
      <c r="B3830" s="9" t="n">
        <v>3828</v>
      </c>
      <c r="C3830" s="10" t="inlineStr">
        <is>
          <t>Production Executive (Good at English)</t>
        </is>
      </c>
      <c r="D3830" s="10" t="inlineStr">
        <is>
          <t>Hercules VN Co., Ltd.</t>
        </is>
      </c>
      <c r="E3830" s="10" t="inlineStr">
        <is>
          <t>Lương:Cạnh tranh</t>
        </is>
      </c>
      <c r="F3830" s="10" t="inlineStr">
        <is>
          <t>Bình Dương</t>
        </is>
      </c>
      <c r="G3830" s="10" t="inlineStr">
        <is>
          <t>04-04-2026</t>
        </is>
      </c>
      <c r="H3830" s="10" t="inlineStr">
        <is>
          <t>04/04/2026</t>
        </is>
      </c>
      <c r="I3830" s="10" t="inlineStr">
        <is>
          <t>17/03/2026</t>
        </is>
      </c>
      <c r="J3830" s="10" t="inlineStr">
        <is>
          <t>Sản xuất / Vận hành sản xuất</t>
        </is>
      </c>
      <c r="K3830" s="10" t="inlineStr">
        <is>
          <t>2 - 5 Năm</t>
        </is>
      </c>
      <c r="L3830" s="11">
        <f>HYPERLINK("https://careerviet.vn/vi/tim-viec-lam/production-executive-good-at-english.35C6ADBB.html","Xem chi tiết")</f>
        <v/>
      </c>
      <c r="M3830" s="10" t="n"/>
    </row>
    <row r="3831">
      <c r="B3831" s="7" t="n">
        <v>3829</v>
      </c>
      <c r="C3831" t="inlineStr">
        <is>
          <t>Phiên Dịch Hiện Trường (Tiếng Trung)</t>
        </is>
      </c>
      <c r="D3831" t="inlineStr">
        <is>
          <t>Cty TNHH Kim Loại Tacheng</t>
        </is>
      </c>
      <c r="E3831" t="inlineStr">
        <is>
          <t>Lương:Cạnh tranh</t>
        </is>
      </c>
      <c r="F3831" t="inlineStr">
        <is>
          <t>Hồ Chí MinhLong AnTây Ninh</t>
        </is>
      </c>
      <c r="G3831" t="inlineStr">
        <is>
          <t>04-04-2026</t>
        </is>
      </c>
      <c r="H3831" t="inlineStr">
        <is>
          <t>04/04/2026</t>
        </is>
      </c>
      <c r="I3831" t="inlineStr">
        <is>
          <t>17/03/2026</t>
        </is>
      </c>
      <c r="J3831" t="inlineStr">
        <is>
          <t>Biên phiên dịch, Hành chính / Thư ký, Nhân sự</t>
        </is>
      </c>
      <c r="K3831" t="inlineStr">
        <is>
          <t>Trên 2 Năm</t>
        </is>
      </c>
      <c r="L3831" s="8">
        <f>HYPERLINK("https://careerviet.vn/vi/tim-viec-lam/phien-dich-hien-truong-tieng-trung.35C6AD30.html","Xem chi tiết")</f>
        <v/>
      </c>
    </row>
    <row r="3832">
      <c r="B3832" s="9" t="n">
        <v>3830</v>
      </c>
      <c r="C3832" s="10" t="inlineStr">
        <is>
          <t>Trưởng phòng nghiên cứu thực phẩm</t>
        </is>
      </c>
      <c r="D3832" s="10" t="inlineStr">
        <is>
          <t>Công ty CP Nosafood</t>
        </is>
      </c>
      <c r="E3832" s="10" t="inlineStr">
        <is>
          <t>Lương:Cạnh tranh</t>
        </is>
      </c>
      <c r="F3832" s="10" t="inlineStr">
        <is>
          <t>Long An</t>
        </is>
      </c>
      <c r="G3832" s="10" t="inlineStr">
        <is>
          <t>03-04-2026</t>
        </is>
      </c>
      <c r="H3832" s="10" t="inlineStr">
        <is>
          <t>03/04/2026</t>
        </is>
      </c>
      <c r="I3832" s="10" t="inlineStr">
        <is>
          <t>17/03/2026</t>
        </is>
      </c>
      <c r="J3832" s="10" t="inlineStr">
        <is>
          <t>Thực phẩm &amp; Đồ uống, Công nghệ thực phẩm / Dinh dưỡng, Sản xuất / Vận hành sản xuất</t>
        </is>
      </c>
      <c r="K3832" s="10" t="inlineStr">
        <is>
          <t>3 - 5 Năm</t>
        </is>
      </c>
      <c r="L3832" s="11">
        <f>HYPERLINK("https://careerviet.vn/vi/tim-viec-lam/truong-phong-nghien-cuu-thuc-pham.35C6AE05.html","Xem chi tiết")</f>
        <v/>
      </c>
      <c r="M3832" s="10" t="n"/>
    </row>
    <row r="3833">
      <c r="B3833" s="7" t="n">
        <v>3831</v>
      </c>
      <c r="C3833" t="inlineStr">
        <is>
          <t>Nhân viên hành chính nhân sự</t>
        </is>
      </c>
      <c r="D3833" t="inlineStr">
        <is>
          <t>CÔNG TY TNHH XÂY DỰNG QUỐC TẾ CHUANG XING</t>
        </is>
      </c>
      <c r="E3833" t="inlineStr">
        <is>
          <t>Lương:12 Tr - 15 Tr VND</t>
        </is>
      </c>
      <c r="F3833" t="inlineStr">
        <is>
          <t>Hà Nam</t>
        </is>
      </c>
      <c r="G3833" t="inlineStr">
        <is>
          <t>03-04-2026</t>
        </is>
      </c>
      <c r="H3833" t="inlineStr">
        <is>
          <t>03/04/2026</t>
        </is>
      </c>
      <c r="I3833" t="inlineStr">
        <is>
          <t>17/03/2026</t>
        </is>
      </c>
      <c r="J3833" t="inlineStr">
        <is>
          <t>Hành chính / Thư ký, Nhân sự, Biên phiên dịch</t>
        </is>
      </c>
      <c r="K3833" t="inlineStr">
        <is>
          <t>N/A</t>
        </is>
      </c>
      <c r="L3833" s="8">
        <f>HYPERLINK("https://careerviet.vn/vi/tim-viec-lam/nhan-vien-hanh-chinh-nhan-su.35C6AC40.html","Xem chi tiết")</f>
        <v/>
      </c>
    </row>
    <row r="3834">
      <c r="B3834" s="9" t="n">
        <v>3832</v>
      </c>
      <c r="C3834" s="10" t="inlineStr">
        <is>
          <t>Quản Lý Kinh Doanh Quốc Tế (Khu vực ASEAN)</t>
        </is>
      </c>
      <c r="D3834" s="10" t="inlineStr">
        <is>
          <t>Công ty TNHH SX-TM-DV Qui Phúc</t>
        </is>
      </c>
      <c r="E3834" s="10" t="inlineStr">
        <is>
          <t>Lương:Cạnh tranh</t>
        </is>
      </c>
      <c r="F3834" s="10" t="inlineStr">
        <is>
          <t>Hồ Chí Minh</t>
        </is>
      </c>
      <c r="G3834" s="10" t="inlineStr">
        <is>
          <t>03-04-2026</t>
        </is>
      </c>
      <c r="H3834" s="10" t="inlineStr">
        <is>
          <t>03/04/2026</t>
        </is>
      </c>
      <c r="I3834" s="10" t="inlineStr">
        <is>
          <t>17/03/2026</t>
        </is>
      </c>
      <c r="J3834" s="10" t="inlineStr">
        <is>
          <t>Bán hàng / Kinh doanh, Xuất nhập khẩu, Quản lý điều hành</t>
        </is>
      </c>
      <c r="K3834" s="10" t="inlineStr">
        <is>
          <t>5 - 6 Năm</t>
        </is>
      </c>
      <c r="L3834" s="11">
        <f>HYPERLINK("https://careerviet.vn/vi/tim-viec-lam/quan-ly-kinh-doanh-quoc-te-khu-vuc-asean.35C6AB9A.html","Xem chi tiết")</f>
        <v/>
      </c>
      <c r="M3834" s="10" t="n"/>
    </row>
    <row r="3835">
      <c r="B3835" s="7" t="n">
        <v>3833</v>
      </c>
      <c r="C3835" t="inlineStr">
        <is>
          <t>Chuyên Viên Kinh Doanh Quốc Tế Thị Trường Trung Quốc</t>
        </is>
      </c>
      <c r="D3835" t="inlineStr">
        <is>
          <t>Công Ty Cổ Phần Mỹ Phẩm Sài Gòn</t>
        </is>
      </c>
      <c r="E3835" t="inlineStr">
        <is>
          <t>Lương:Cạnh tranh</t>
        </is>
      </c>
      <c r="F3835" t="inlineStr">
        <is>
          <t>Hồ Chí Minh</t>
        </is>
      </c>
      <c r="G3835" t="inlineStr">
        <is>
          <t>03-04-2026</t>
        </is>
      </c>
      <c r="H3835" t="inlineStr">
        <is>
          <t>03/04/2026</t>
        </is>
      </c>
      <c r="I3835" t="inlineStr">
        <is>
          <t>17/03/2026</t>
        </is>
      </c>
      <c r="J3835" t="inlineStr">
        <is>
          <t>Ngân hàng, Bán lẻ / Bán sỉ, Bán hàng / Kinh doanh</t>
        </is>
      </c>
      <c r="K3835" t="inlineStr">
        <is>
          <t>2 - 3 Năm</t>
        </is>
      </c>
      <c r="L3835" s="8">
        <f>HYPERLINK("https://careerviet.vn/vi/tim-viec-lam/chuyen-vien-kinh-doanh-quoc-te-thi-truong-trung-quoc.35C6AB6F.html","Xem chi tiết")</f>
        <v/>
      </c>
    </row>
    <row r="3836">
      <c r="B3836" s="9" t="n">
        <v>3834</v>
      </c>
      <c r="C3836" s="10" t="inlineStr">
        <is>
          <t>Quản lý Nhà hàng - RM [Shake Shack - Burger Restaurant]</t>
        </is>
      </c>
      <c r="D3836" s="10" t="inlineStr">
        <is>
          <t>Bảo mật</t>
        </is>
      </c>
      <c r="E3836" s="10" t="inlineStr">
        <is>
          <t>Lương:Cạnh tranh</t>
        </is>
      </c>
      <c r="F3836" s="10" t="inlineStr">
        <is>
          <t>Hồ Chí Minh</t>
        </is>
      </c>
      <c r="G3836" s="10" t="inlineStr">
        <is>
          <t>31-05-2026</t>
        </is>
      </c>
      <c r="H3836" s="10" t="inlineStr">
        <is>
          <t>31/05/2026</t>
        </is>
      </c>
      <c r="I3836" s="10" t="inlineStr">
        <is>
          <t>17/03/2026</t>
        </is>
      </c>
      <c r="J3836" s="10" t="inlineStr">
        <is>
          <t>Bán lẻ / Bán sỉ, Thực phẩm &amp; Đồ uống, Nhà hàng / Khách sạn</t>
        </is>
      </c>
      <c r="K3836" s="10" t="inlineStr">
        <is>
          <t>2 - 5 Năm</t>
        </is>
      </c>
      <c r="L3836" s="11">
        <f>HYPERLINK("https://careerviet.vn/vi/tim-viec-lam/quan-ly-nha-hang-rm-shake-shack-burger-restaurant.35C6AE14.html","Xem chi tiết")</f>
        <v/>
      </c>
      <c r="M3836" s="10" t="n"/>
    </row>
    <row r="3837">
      <c r="B3837" s="7" t="n">
        <v>3835</v>
      </c>
      <c r="C3837" t="inlineStr">
        <is>
          <t>Kỹ Sư Kinh Doanh (Sales Engineer) - Lương Cứng 15-25 Triệu + Hoa Hồng</t>
        </is>
      </c>
      <c r="D3837" t="inlineStr">
        <is>
          <t>CÔNG TY CỔ PHẦN QUỐC TẾ THĂNG LONG P&amp;T</t>
        </is>
      </c>
      <c r="E3837" t="inlineStr">
        <is>
          <t>Lương:15 Tr - 25 Tr VND</t>
        </is>
      </c>
      <c r="F3837" t="inlineStr">
        <is>
          <t>Hà NộiHồ Chí MinhĐà Nẵng</t>
        </is>
      </c>
      <c r="G3837" t="inlineStr">
        <is>
          <t>30-04-2026</t>
        </is>
      </c>
      <c r="H3837" t="inlineStr">
        <is>
          <t>30/04/2026</t>
        </is>
      </c>
      <c r="I3837" t="inlineStr">
        <is>
          <t>17/03/2026</t>
        </is>
      </c>
      <c r="J3837" t="inlineStr">
        <is>
          <t>Bán hàng / Kinh doanh, Bán Hàng Kỹ Thuật, Cơ khí / Ô tô / Tự động hóa</t>
        </is>
      </c>
      <c r="K3837" t="inlineStr">
        <is>
          <t>1 - 3 Năm</t>
        </is>
      </c>
      <c r="L3837" s="8">
        <f>HYPERLINK("https://careerviet.vn/vi/tim-viec-lam/ky-su-kinh-doanh-sales-engineer-luong-cung-15-25-trieu-hoa-hong.35C6ACEA.html","Xem chi tiết")</f>
        <v/>
      </c>
    </row>
    <row r="3838">
      <c r="B3838" s="9" t="n">
        <v>3836</v>
      </c>
      <c r="C3838" s="10" t="inlineStr">
        <is>
          <t>Kế toán thanh toán</t>
        </is>
      </c>
      <c r="D3838" s="10" t="inlineStr">
        <is>
          <t>Công ty TNHH Vạn Niên</t>
        </is>
      </c>
      <c r="E3838" s="10" t="inlineStr">
        <is>
          <t>Lương:10 Tr - 15 Tr VND</t>
        </is>
      </c>
      <c r="F3838" s="10" t="inlineStr">
        <is>
          <t>Hà Nội</t>
        </is>
      </c>
      <c r="G3838" s="10" t="inlineStr">
        <is>
          <t>04-04-2026</t>
        </is>
      </c>
      <c r="H3838" s="10" t="inlineStr">
        <is>
          <t>04/04/2026</t>
        </is>
      </c>
      <c r="I3838" s="10" t="inlineStr">
        <is>
          <t>17/03/2026</t>
        </is>
      </c>
      <c r="J3838" s="10" t="inlineStr">
        <is>
          <t>Kế toán / Kiểm toán</t>
        </is>
      </c>
      <c r="K3838" s="10" t="inlineStr">
        <is>
          <t>2 - 3 Năm</t>
        </is>
      </c>
      <c r="L3838" s="11">
        <f>HYPERLINK("https://careerviet.vn/vi/tim-viec-lam/ke-toan-thanh-toan.35C6AC2E.html","Xem chi tiết")</f>
        <v/>
      </c>
      <c r="M3838" s="10" t="n"/>
    </row>
    <row r="3839">
      <c r="B3839" s="7" t="n">
        <v>3837</v>
      </c>
      <c r="C3839" t="inlineStr">
        <is>
          <t>Senior IE Expert</t>
        </is>
      </c>
      <c r="D3839" t="inlineStr">
        <is>
          <t>VINFAST TRADING AND PRODUCTION JSC</t>
        </is>
      </c>
      <c r="E3839" t="inlineStr">
        <is>
          <t>Lương:Cạnh tranh</t>
        </is>
      </c>
      <c r="F3839" t="inlineStr">
        <is>
          <t>Hải Phòng</t>
        </is>
      </c>
      <c r="G3839" t="inlineStr">
        <is>
          <t>10-04-2026</t>
        </is>
      </c>
      <c r="H3839" t="inlineStr">
        <is>
          <t>10/04/2026</t>
        </is>
      </c>
      <c r="I3839" t="inlineStr">
        <is>
          <t>17/03/2026</t>
        </is>
      </c>
      <c r="J3839" t="inlineStr">
        <is>
          <t>Sản xuất / Vận hành sản xuất</t>
        </is>
      </c>
      <c r="K3839" t="inlineStr">
        <is>
          <t>1 - 3 Năm</t>
        </is>
      </c>
      <c r="L3839" s="8">
        <f>HYPERLINK("https://careerviet.vn/vi/tim-viec-lam/senior-ie-expert.35C6AC5D.html","Xem chi tiết")</f>
        <v/>
      </c>
    </row>
    <row r="3840">
      <c r="B3840" s="9" t="n">
        <v>3838</v>
      </c>
      <c r="C3840" s="10" t="inlineStr">
        <is>
          <t>System Engineer</t>
        </is>
      </c>
      <c r="D3840" s="10" t="inlineStr">
        <is>
          <t>CÔNG TY TNHH SKYLAB INNOGRAM VIỆT NAM</t>
        </is>
      </c>
      <c r="E3840" s="10" t="inlineStr">
        <is>
          <t>Lương:Cạnh tranh</t>
        </is>
      </c>
      <c r="F3840" s="10" t="inlineStr">
        <is>
          <t>Hồ Chí Minh</t>
        </is>
      </c>
      <c r="G3840" s="10" t="inlineStr">
        <is>
          <t>04-04-2026</t>
        </is>
      </c>
      <c r="H3840" s="10" t="inlineStr">
        <is>
          <t>04/04/2026</t>
        </is>
      </c>
      <c r="I3840" s="10" t="inlineStr">
        <is>
          <t>17/03/2026</t>
        </is>
      </c>
      <c r="J3840" s="10" t="inlineStr">
        <is>
          <t>CNTT - Phần mềm, CNTT - Phần cứng / Mạng, Ngành khác</t>
        </is>
      </c>
      <c r="K3840" s="10" t="inlineStr">
        <is>
          <t>Trên 2 Năm</t>
        </is>
      </c>
      <c r="L3840" s="11">
        <f>HYPERLINK("https://careerviet.vn/vi/tim-viec-lam/system-engineer.35C6AD6B.html","Xem chi tiết")</f>
        <v/>
      </c>
      <c r="M3840" s="10" t="n"/>
    </row>
    <row r="3841">
      <c r="B3841" s="7" t="n">
        <v>3839</v>
      </c>
      <c r="C3841" t="inlineStr">
        <is>
          <t>Trưởng phòng khách hàng doanh nghiệp - Khu vực Đồng Nai</t>
        </is>
      </c>
      <c r="D3841" t="inlineStr">
        <is>
          <t>Ngân hàng TMCP Phát triển TP.HCM (HDBank)</t>
        </is>
      </c>
      <c r="E3841" t="inlineStr">
        <is>
          <t>Lương:34 Tr - 47 Tr VND</t>
        </is>
      </c>
      <c r="F3841" t="inlineStr">
        <is>
          <t>Đồng Nai</t>
        </is>
      </c>
      <c r="G3841" t="inlineStr">
        <is>
          <t>04-04-2026</t>
        </is>
      </c>
      <c r="H3841" t="inlineStr">
        <is>
          <t>04/04/2026</t>
        </is>
      </c>
      <c r="I3841" t="inlineStr">
        <is>
          <t>17/03/2026</t>
        </is>
      </c>
      <c r="J3841" t="inlineStr">
        <is>
          <t>Ngân hàng</t>
        </is>
      </c>
      <c r="K3841" t="inlineStr">
        <is>
          <t>2 - 5 Năm</t>
        </is>
      </c>
      <c r="L3841" s="8">
        <f>HYPERLINK("https://careerviet.vn/vi/tim-viec-lam/truong-phong-khach-hang-doanh-nghiep-khu-vuc-dong-nai.35C6AB73.html","Xem chi tiết")</f>
        <v/>
      </c>
    </row>
    <row r="3842">
      <c r="B3842" s="9" t="n">
        <v>3840</v>
      </c>
      <c r="C3842" s="10" t="inlineStr">
        <is>
          <t>[Hotel HN] HR Manager (Hotel experience is required)</t>
        </is>
      </c>
      <c r="D3842" s="10" t="inlineStr">
        <is>
          <t>Công ty Cổ phần Tập đoàn Minh Anh</t>
        </is>
      </c>
      <c r="E3842" s="10" t="inlineStr">
        <is>
          <t>Lương:Cạnh tranh</t>
        </is>
      </c>
      <c r="F3842" s="10" t="inlineStr">
        <is>
          <t>Hà Nội</t>
        </is>
      </c>
      <c r="G3842" s="10" t="inlineStr">
        <is>
          <t>04-04-2026</t>
        </is>
      </c>
      <c r="H3842" s="10" t="inlineStr">
        <is>
          <t>04/04/2026</t>
        </is>
      </c>
      <c r="I3842" s="10" t="inlineStr">
        <is>
          <t>17/03/2026</t>
        </is>
      </c>
      <c r="J3842" s="10" t="inlineStr">
        <is>
          <t>Nhà hàng / Khách sạn, Nhân sự, Luật / Pháp lý</t>
        </is>
      </c>
      <c r="K3842" s="10" t="inlineStr">
        <is>
          <t>3 - 5 Năm</t>
        </is>
      </c>
      <c r="L3842" s="11">
        <f>HYPERLINK("https://careerviet.vn/vi/tim-viec-lam/hotel-hn-hr-manager-hotel-experience-is-required.35C6ADF4.html","Xem chi tiết")</f>
        <v/>
      </c>
      <c r="M3842" s="10" t="n"/>
    </row>
    <row r="3843">
      <c r="B3843" s="7" t="n">
        <v>3841</v>
      </c>
      <c r="C3843" t="inlineStr">
        <is>
          <t>Giảng viên Bác sĩ Y khoa</t>
        </is>
      </c>
      <c r="D3843" t="inlineStr">
        <is>
          <t>CÔNG TY CỔ PHẦN DƯỢC PHẨM FPT LONG CHÂU</t>
        </is>
      </c>
      <c r="E3843" t="inlineStr">
        <is>
          <t>Lương:Cạnh tranh</t>
        </is>
      </c>
      <c r="F3843" t="inlineStr">
        <is>
          <t>Hồ Chí Minh</t>
        </is>
      </c>
      <c r="G3843" t="inlineStr">
        <is>
          <t>04-04-2026</t>
        </is>
      </c>
      <c r="H3843" t="inlineStr">
        <is>
          <t>04/04/2026</t>
        </is>
      </c>
      <c r="I3843" t="inlineStr">
        <is>
          <t>17/03/2026</t>
        </is>
      </c>
      <c r="J3843" t="inlineStr">
        <is>
          <t>Y tế / Chăm sóc sức khỏe / Thẩm mỹ / Làm đẹp</t>
        </is>
      </c>
      <c r="K3843" t="inlineStr">
        <is>
          <t>2 - 5 Năm</t>
        </is>
      </c>
      <c r="L3843" s="8">
        <f>HYPERLINK("https://careerviet.vn/vi/tim-viec-lam/giang-vien-bac-si-y-khoa.35C6AD65.html","Xem chi tiết")</f>
        <v/>
      </c>
    </row>
    <row r="3844">
      <c r="B3844" s="9" t="n">
        <v>3842</v>
      </c>
      <c r="C3844" s="10" t="inlineStr">
        <is>
          <t>Log-In &amp; Invoice Staff (Cs Department)</t>
        </is>
      </c>
      <c r="D3844" s="10" t="inlineStr">
        <is>
          <t>CÔNG TY TNHH K O T I T I VIỆT NAM</t>
        </is>
      </c>
      <c r="E3844" s="10" t="inlineStr">
        <is>
          <t>Lương:Cạnh tranh</t>
        </is>
      </c>
      <c r="F3844" s="10" t="inlineStr">
        <is>
          <t>Hồ Chí Minh</t>
        </is>
      </c>
      <c r="G3844" s="10" t="inlineStr">
        <is>
          <t>04-04-2026</t>
        </is>
      </c>
      <c r="H3844" s="10" t="inlineStr">
        <is>
          <t>04/04/2026</t>
        </is>
      </c>
      <c r="I3844" s="10" t="inlineStr">
        <is>
          <t>17/03/2026</t>
        </is>
      </c>
      <c r="J3844" s="10" t="inlineStr">
        <is>
          <t>Dệt may / Da giày / Thời trang, Dịch vụ khách hàng</t>
        </is>
      </c>
      <c r="K3844" s="10" t="inlineStr">
        <is>
          <t>Chưa có kinh nghiệm</t>
        </is>
      </c>
      <c r="L3844" s="11">
        <f>HYPERLINK("https://careerviet.vn/vi/tim-viec-lam/log-in-invoice-staff-cs-department.35C6AC7C.html","Xem chi tiết")</f>
        <v/>
      </c>
      <c r="M3844" s="10" t="n"/>
    </row>
    <row r="3845">
      <c r="B3845" s="7" t="n">
        <v>3843</v>
      </c>
      <c r="C3845" t="inlineStr">
        <is>
          <t>Operations Agent - Lufthansa Cargo</t>
        </is>
      </c>
      <c r="D3845" t="inlineStr">
        <is>
          <t>Lufthansa Cargo</t>
        </is>
      </c>
      <c r="E3845" t="inlineStr">
        <is>
          <t>Lương:Cạnh tranh</t>
        </is>
      </c>
      <c r="F3845" t="inlineStr">
        <is>
          <t>Hà Nội</t>
        </is>
      </c>
      <c r="G3845" t="inlineStr">
        <is>
          <t>04-04-2026</t>
        </is>
      </c>
      <c r="H3845" t="inlineStr">
        <is>
          <t>04/04/2026</t>
        </is>
      </c>
      <c r="I3845" t="inlineStr">
        <is>
          <t>17/03/2026</t>
        </is>
      </c>
      <c r="J3845" t="inlineStr">
        <is>
          <t>Vận chuyển / Giao nhận / Kho vận, Hàng không, Ngành khác</t>
        </is>
      </c>
      <c r="K3845" t="inlineStr">
        <is>
          <t>3 - 6 Năm</t>
        </is>
      </c>
      <c r="L3845" s="8">
        <f>HYPERLINK("https://careerviet.vn/vi/tim-viec-lam/operations-agent-lufthansa-cargo.35C6AAC8.html","Xem chi tiết")</f>
        <v/>
      </c>
    </row>
    <row r="3846">
      <c r="B3846" s="9" t="n">
        <v>3844</v>
      </c>
      <c r="C3846" s="10" t="inlineStr">
        <is>
          <t>KỸ SƯ HÓA HỌC (Leader)</t>
        </is>
      </c>
      <c r="D3846" s="10" t="inlineStr">
        <is>
          <t>CÔNG TY TRÁCH NHIỆM HỮU HẠN SÀI GÒN PRECISION</t>
        </is>
      </c>
      <c r="E3846" s="10" t="inlineStr">
        <is>
          <t>Lương:Cạnh tranh</t>
        </is>
      </c>
      <c r="F3846" s="10" t="inlineStr">
        <is>
          <t>Hồ Chí Minh</t>
        </is>
      </c>
      <c r="G3846" s="10" t="inlineStr">
        <is>
          <t>03-04-2026</t>
        </is>
      </c>
      <c r="H3846" s="10" t="inlineStr">
        <is>
          <t>03/04/2026</t>
        </is>
      </c>
      <c r="I3846" s="10" t="inlineStr">
        <is>
          <t>17/03/2026</t>
        </is>
      </c>
      <c r="J3846" s="10" t="inlineStr">
        <is>
          <t>Sản xuất / Vận hành sản xuất, Hóa học</t>
        </is>
      </c>
      <c r="K3846" s="10" t="inlineStr">
        <is>
          <t>2 - 3 Năm</t>
        </is>
      </c>
      <c r="L3846" s="11">
        <f>HYPERLINK("https://careerviet.vn/vi/tim-viec-lam/ky-su-hoa-hoc-leader.35C6ADA5.html","Xem chi tiết")</f>
        <v/>
      </c>
      <c r="M3846" s="10" t="n"/>
    </row>
    <row r="3847">
      <c r="B3847" s="7" t="n">
        <v>3845</v>
      </c>
      <c r="C3847" t="inlineStr">
        <is>
          <t>General Accountant</t>
        </is>
      </c>
      <c r="D3847" t="inlineStr">
        <is>
          <t>CÔNG TY TNHH THỜI TRANG ĐỈNH CAO</t>
        </is>
      </c>
      <c r="E3847" t="inlineStr">
        <is>
          <t>Lương:Cạnh tranh</t>
        </is>
      </c>
      <c r="F3847" t="inlineStr">
        <is>
          <t>Hồ Chí Minh</t>
        </is>
      </c>
      <c r="G3847" t="inlineStr">
        <is>
          <t>04-04-2026</t>
        </is>
      </c>
      <c r="H3847" t="inlineStr">
        <is>
          <t>04/04/2026</t>
        </is>
      </c>
      <c r="I3847" t="inlineStr">
        <is>
          <t>17/03/2026</t>
        </is>
      </c>
      <c r="J3847" t="inlineStr">
        <is>
          <t>Kế toán / Kiểm toán, Dệt may / Da giày / Thời trang, Tài chính / Đầu tư</t>
        </is>
      </c>
      <c r="K3847" t="inlineStr">
        <is>
          <t>Trên 3 Năm</t>
        </is>
      </c>
      <c r="L3847" s="8">
        <f>HYPERLINK("https://careerviet.vn/vi/tim-viec-lam/general-accountant.35C6AD20.html","Xem chi tiết")</f>
        <v/>
      </c>
    </row>
    <row r="3848">
      <c r="B3848" s="9" t="n">
        <v>3846</v>
      </c>
      <c r="C3848" s="10" t="inlineStr">
        <is>
          <t>KỸ SƯ THIẾT KẾ KẾT CẤU</t>
        </is>
      </c>
      <c r="D3848" s="10" t="inlineStr">
        <is>
          <t>Công ty Cổ Phần KAIKO</t>
        </is>
      </c>
      <c r="E3848" s="10" t="inlineStr">
        <is>
          <t>Lương:14 Tr - 20 Tr VND</t>
        </is>
      </c>
      <c r="F3848" s="10" t="inlineStr">
        <is>
          <t>Hà Nội</t>
        </is>
      </c>
      <c r="G3848" s="10" t="inlineStr">
        <is>
          <t>04-04-2026</t>
        </is>
      </c>
      <c r="H3848" s="10" t="inlineStr">
        <is>
          <t>04/04/2026</t>
        </is>
      </c>
      <c r="I3848" s="10" t="inlineStr">
        <is>
          <t>17/03/2026</t>
        </is>
      </c>
      <c r="J3848" s="10" t="inlineStr">
        <is>
          <t>Kiến trúc, Xây dựng, Nội ngoại thất</t>
        </is>
      </c>
      <c r="K3848" s="10" t="inlineStr">
        <is>
          <t>N/A</t>
        </is>
      </c>
      <c r="L3848" s="11">
        <f>HYPERLINK("https://careerviet.vn/vi/tim-viec-lam/ky-su-thiet-ke-ket-cau.35C6AD6E.html","Xem chi tiết")</f>
        <v/>
      </c>
      <c r="M3848" s="10" t="n"/>
    </row>
    <row r="3849">
      <c r="B3849" s="7" t="n">
        <v>3847</v>
      </c>
      <c r="C3849" t="inlineStr">
        <is>
          <t>Giáo Viên Mầm Non</t>
        </is>
      </c>
      <c r="D3849" t="inlineStr">
        <is>
          <t>Công Ty TNHH Kindy City</t>
        </is>
      </c>
      <c r="E3849" t="inlineStr">
        <is>
          <t>Lương:9 Tr - 11 Tr VND</t>
        </is>
      </c>
      <c r="F3849" t="inlineStr">
        <is>
          <t>Hồ Chí Minh</t>
        </is>
      </c>
      <c r="G3849" t="inlineStr">
        <is>
          <t>04-04-2026</t>
        </is>
      </c>
      <c r="H3849" t="inlineStr">
        <is>
          <t>04/04/2026</t>
        </is>
      </c>
      <c r="I3849" t="inlineStr">
        <is>
          <t>17/03/2026</t>
        </is>
      </c>
      <c r="J3849" t="inlineStr">
        <is>
          <t>Giáo dục / Đào tạo, Mới tốt nghiệp / Thực tập</t>
        </is>
      </c>
      <c r="K3849" t="inlineStr">
        <is>
          <t>1 - 4 Năm</t>
        </is>
      </c>
      <c r="L3849" s="8">
        <f>HYPERLINK("https://careerviet.vn/vi/tim-viec-lam/giao-vien-mam-non.35C6ADA0.html","Xem chi tiết")</f>
        <v/>
      </c>
    </row>
    <row r="3850">
      <c r="B3850" s="9" t="n">
        <v>3848</v>
      </c>
      <c r="C3850" s="10" t="inlineStr">
        <is>
          <t>[Hà Nội] Chuyên viên chính Chuyển tiền quốc tế và tài trợ thương mại</t>
        </is>
      </c>
      <c r="D3850" s="10" t="inlineStr">
        <is>
          <t>Ngân hàng TMCP Lộc Phát Việt Nam (LPBank)</t>
        </is>
      </c>
      <c r="E3850" s="10" t="inlineStr">
        <is>
          <t>Lương:Cạnh tranh</t>
        </is>
      </c>
      <c r="F3850" s="10" t="inlineStr">
        <is>
          <t>Hà Nội</t>
        </is>
      </c>
      <c r="G3850" s="10" t="inlineStr">
        <is>
          <t>03-04-2026</t>
        </is>
      </c>
      <c r="H3850" s="10" t="inlineStr">
        <is>
          <t>03/04/2026</t>
        </is>
      </c>
      <c r="I3850" s="10" t="inlineStr">
        <is>
          <t>17/03/2026</t>
        </is>
      </c>
      <c r="J3850" s="10" t="inlineStr">
        <is>
          <t>Ngân hàng</t>
        </is>
      </c>
      <c r="K3850" s="10" t="inlineStr">
        <is>
          <t>1 - 3 Năm</t>
        </is>
      </c>
      <c r="L3850" s="11">
        <f>HYPERLINK("https://careerviet.vn/vi/tim-viec-lam/ha-noi-chuyen-vien-chinh-chuyen-tien-quoc-te-va-tai-tro-thuong-mai.35C6AD56.html","Xem chi tiết")</f>
        <v/>
      </c>
      <c r="M3850" s="10" t="n"/>
    </row>
    <row r="3851">
      <c r="B3851" s="7" t="n">
        <v>3849</v>
      </c>
      <c r="C3851" t="inlineStr">
        <is>
          <t>Kế Toán Trưởng (Lĩnh Vực F&amp;B)</t>
        </is>
      </c>
      <c r="D3851" t="inlineStr">
        <is>
          <t>Công ty TNHH Thương mại và Dịch vụ Đồ uống Vietblend</t>
        </is>
      </c>
      <c r="E3851" t="inlineStr">
        <is>
          <t>Lương:22 Tr - 28 Tr VND</t>
        </is>
      </c>
      <c r="F3851" t="inlineStr">
        <is>
          <t>Hà Nội</t>
        </is>
      </c>
      <c r="G3851" t="inlineStr">
        <is>
          <t>03-04-2026</t>
        </is>
      </c>
      <c r="H3851" t="inlineStr">
        <is>
          <t>03/04/2026</t>
        </is>
      </c>
      <c r="I3851" t="inlineStr">
        <is>
          <t>17/03/2026</t>
        </is>
      </c>
      <c r="J3851" t="inlineStr">
        <is>
          <t>Kế toán / Kiểm toán</t>
        </is>
      </c>
      <c r="K3851" t="inlineStr">
        <is>
          <t>2 - 3 Năm</t>
        </is>
      </c>
      <c r="L3851" s="8">
        <f>HYPERLINK("https://careerviet.vn/vi/tim-viec-lam/ke-toan-truong-linh-vuc-f-b.35C6AD5A.html","Xem chi tiết")</f>
        <v/>
      </c>
    </row>
    <row r="3852">
      <c r="B3852" s="9" t="n">
        <v>3850</v>
      </c>
      <c r="C3852" s="10" t="inlineStr">
        <is>
          <t>Tổ Trưởng Sản Xuất (Trang Sức Công Nghệ Cao - CNC)</t>
        </is>
      </c>
      <c r="D3852" s="10" t="inlineStr">
        <is>
          <t>Công ty TNHH MTV Sen Vàng Việt Nam</t>
        </is>
      </c>
      <c r="E3852" s="10" t="inlineStr">
        <is>
          <t>Lương:15 Tr - 20 Tr VND</t>
        </is>
      </c>
      <c r="F3852" s="10" t="inlineStr">
        <is>
          <t>Hồ Chí Minh</t>
        </is>
      </c>
      <c r="G3852" s="10" t="inlineStr">
        <is>
          <t>31-03-2026</t>
        </is>
      </c>
      <c r="H3852" s="10" t="inlineStr">
        <is>
          <t>31/03/2026</t>
        </is>
      </c>
      <c r="I3852" s="10" t="inlineStr">
        <is>
          <t>17/03/2026</t>
        </is>
      </c>
      <c r="J3852" s="10" t="inlineStr">
        <is>
          <t>Sản xuất / Vận hành sản xuất, Quản lý điều hành, Điện / Điện tử / Điện lạnh / Điện công nghiệp</t>
        </is>
      </c>
      <c r="K3852" s="10" t="inlineStr">
        <is>
          <t>3 - 5 Năm</t>
        </is>
      </c>
      <c r="L3852" s="11">
        <f>HYPERLINK("https://careerviet.vn/vi/tim-viec-lam/to-truong-san-xuat-trang-suc-cong-nghe-cao-cnc.35C6AB1F.html","Xem chi tiết")</f>
        <v/>
      </c>
      <c r="M3852" s="10" t="n"/>
    </row>
    <row r="3853">
      <c r="B3853" s="7" t="n">
        <v>3851</v>
      </c>
      <c r="C3853" t="inlineStr">
        <is>
          <t>Trưởng nhóm Kinh doanh</t>
        </is>
      </c>
      <c r="D3853" t="inlineStr">
        <is>
          <t>CÔNG TY CP TẬP ĐOÀN ĐẦU TƯ HOÀNG GIA VIỆT NAM</t>
        </is>
      </c>
      <c r="E3853" t="inlineStr">
        <is>
          <t>Lương:18 Tr - 25 Tr VND</t>
        </is>
      </c>
      <c r="F3853" t="inlineStr">
        <is>
          <t>Hồ Chí Minh</t>
        </is>
      </c>
      <c r="G3853" t="inlineStr">
        <is>
          <t>09-03-2026</t>
        </is>
      </c>
      <c r="H3853" t="inlineStr">
        <is>
          <t>24/02/2026</t>
        </is>
      </c>
      <c r="I3853" t="inlineStr">
        <is>
          <t>17/03/2026</t>
        </is>
      </c>
      <c r="J3853" t="inlineStr">
        <is>
          <t>Tổ chức sự kiện, Quảng cáo / Đối ngoại / Truyền Thông, Giải trí</t>
        </is>
      </c>
      <c r="K3853" t="inlineStr">
        <is>
          <t>3 - 5 Năm</t>
        </is>
      </c>
      <c r="L3853" s="8">
        <f>HYPERLINK("https://careerviet.vn/vi/tim-viec-lam/truong-nhom-kinh-doanh.35C6902C.html","Xem chi tiết")</f>
        <v/>
      </c>
    </row>
    <row r="3854">
      <c r="B3854" s="9" t="n">
        <v>3852</v>
      </c>
      <c r="C3854" s="10" t="inlineStr">
        <is>
          <t>Detailer | Detailing Engineer (Tekla)</t>
        </is>
      </c>
      <c r="D3854" s="10" t="inlineStr">
        <is>
          <t>PEB STEEL BUILDINGS CO., LTD.</t>
        </is>
      </c>
      <c r="E3854" s="10" t="inlineStr">
        <is>
          <t>Lương:Cạnh tranh</t>
        </is>
      </c>
      <c r="F3854" s="10" t="inlineStr">
        <is>
          <t>Hồ Chí Minh</t>
        </is>
      </c>
      <c r="G3854" s="10" t="inlineStr">
        <is>
          <t>31-03-2026</t>
        </is>
      </c>
      <c r="H3854" s="10" t="inlineStr">
        <is>
          <t>31/03/2026</t>
        </is>
      </c>
      <c r="I3854" s="10" t="inlineStr">
        <is>
          <t>17/03/2026</t>
        </is>
      </c>
      <c r="J3854" s="10" t="inlineStr">
        <is>
          <t>Xây dựng</t>
        </is>
      </c>
      <c r="K3854" s="10" t="inlineStr">
        <is>
          <t>3 - 6 Năm</t>
        </is>
      </c>
      <c r="L3854" s="11">
        <f>HYPERLINK("https://careerviet.vn/vi/tim-viec-lam/detailer-detailing-engineer-tekla.35C690B4.html","Xem chi tiết")</f>
        <v/>
      </c>
      <c r="M3854" s="10" t="n"/>
    </row>
    <row r="3855">
      <c r="B3855" s="7" t="n">
        <v>3853</v>
      </c>
      <c r="C3855" t="inlineStr">
        <is>
          <t>Cộng Tác Viên Livestream Tiktok và Shopee</t>
        </is>
      </c>
      <c r="D3855" t="inlineStr">
        <is>
          <t>CÔNG TY CỔ PHẦN VUA NỆM</t>
        </is>
      </c>
      <c r="E3855" t="inlineStr">
        <is>
          <t>Lương:10 Tr - 15 Tr VND</t>
        </is>
      </c>
      <c r="F3855" t="inlineStr">
        <is>
          <t>Hà Nội</t>
        </is>
      </c>
      <c r="G3855" t="inlineStr">
        <is>
          <t>09-03-2026</t>
        </is>
      </c>
      <c r="H3855" t="inlineStr">
        <is>
          <t>10/03/2026</t>
        </is>
      </c>
      <c r="I3855" t="inlineStr">
        <is>
          <t>17/03/2026</t>
        </is>
      </c>
      <c r="J3855" t="inlineStr">
        <is>
          <t>Tiếp thị / Marketing, Bán lẻ / Bán sỉ, Bán hàng / Kinh doanh</t>
        </is>
      </c>
      <c r="K3855" t="inlineStr">
        <is>
          <t>1 - 2 Năm</t>
        </is>
      </c>
      <c r="L3855" s="8">
        <f>HYPERLINK("https://careerviet.vn/vi/tim-viec-lam/cong-tac-vien-livestream-tiktok-va-shopee.35C6940B.html","Xem chi tiết")</f>
        <v/>
      </c>
    </row>
    <row r="3856">
      <c r="B3856" s="9" t="n">
        <v>3854</v>
      </c>
      <c r="C3856" s="10" t="inlineStr">
        <is>
          <t>Phiên dịch viên tiếng Hàn</t>
        </is>
      </c>
      <c r="D3856" s="10" t="inlineStr">
        <is>
          <t>CÔNG TY TNHH YURA CORPORATION TÂY NINH</t>
        </is>
      </c>
      <c r="E3856" s="10" t="inlineStr">
        <is>
          <t>Lương:17 Tr - 25 Tr VND</t>
        </is>
      </c>
      <c r="F3856" s="10" t="inlineStr">
        <is>
          <t>Long An</t>
        </is>
      </c>
      <c r="G3856" s="10" t="inlineStr">
        <is>
          <t>31-03-2026</t>
        </is>
      </c>
      <c r="H3856" s="10" t="inlineStr">
        <is>
          <t>31/03/2026</t>
        </is>
      </c>
      <c r="I3856" s="10" t="inlineStr">
        <is>
          <t>17/03/2026</t>
        </is>
      </c>
      <c r="J3856" s="10" t="inlineStr">
        <is>
          <t>Sản xuất / Vận hành sản xuất</t>
        </is>
      </c>
      <c r="K3856" s="10" t="inlineStr">
        <is>
          <t>3 - 5 Năm</t>
        </is>
      </c>
      <c r="L3856" s="11">
        <f>HYPERLINK("https://careerviet.vn/vi/tim-viec-lam/phien-dich-vien-tieng-han.35C68F73.html","Xem chi tiết")</f>
        <v/>
      </c>
      <c r="M3856" s="10" t="n"/>
    </row>
    <row r="3857">
      <c r="B3857" s="7" t="n">
        <v>3855</v>
      </c>
      <c r="C3857" t="inlineStr">
        <is>
          <t>Kế Toán Công Nợ</t>
        </is>
      </c>
      <c r="D3857" t="inlineStr">
        <is>
          <t>CÔNG TY CỔ PHẦN MÁY CÔNG TRÌNH PHÚC LONG</t>
        </is>
      </c>
      <c r="E3857" t="inlineStr">
        <is>
          <t>Lương:12 Tr - 15 Tr VND</t>
        </is>
      </c>
      <c r="F3857" t="inlineStr">
        <is>
          <t>Hồ Chí Minh</t>
        </is>
      </c>
      <c r="G3857" t="inlineStr">
        <is>
          <t>31-03-2026</t>
        </is>
      </c>
      <c r="H3857" t="inlineStr">
        <is>
          <t>31/03/2026</t>
        </is>
      </c>
      <c r="I3857" t="inlineStr">
        <is>
          <t>17/03/2026</t>
        </is>
      </c>
      <c r="J3857" t="inlineStr">
        <is>
          <t>Kế toán / Kiểm toán</t>
        </is>
      </c>
      <c r="K3857" t="inlineStr">
        <is>
          <t>2 - 3 Năm</t>
        </is>
      </c>
      <c r="L3857" s="8">
        <f>HYPERLINK("https://careerviet.vn/vi/tim-viec-lam/ke-toan-cong-no.35C69188.html","Xem chi tiết")</f>
        <v/>
      </c>
    </row>
    <row r="3858">
      <c r="B3858" s="9" t="n">
        <v>3856</v>
      </c>
      <c r="C3858" s="10" t="inlineStr">
        <is>
          <t>Kế toán viên 27664 - KCN Thăng Long 2, Hưng Yên</t>
        </is>
      </c>
      <c r="D3858" s="10" t="inlineStr">
        <is>
          <t>Công Ty TNHH Reeracoen Việt Nam</t>
        </is>
      </c>
      <c r="E3858" s="10" t="inlineStr">
        <is>
          <t>Lương:12 Tr - 15 Tr VND</t>
        </is>
      </c>
      <c r="F3858" s="10" t="inlineStr">
        <is>
          <t>Hưng Yên</t>
        </is>
      </c>
      <c r="G3858" s="10" t="inlineStr">
        <is>
          <t>24-03-2026</t>
        </is>
      </c>
      <c r="H3858" s="10" t="inlineStr">
        <is>
          <t>24/03/2026</t>
        </is>
      </c>
      <c r="I3858" s="10" t="inlineStr">
        <is>
          <t>17/03/2026</t>
        </is>
      </c>
      <c r="J3858" s="10" t="inlineStr">
        <is>
          <t>Kế toán / Kiểm toán, Tài chính / Đầu tư, Hành chính / Thư ký</t>
        </is>
      </c>
      <c r="K3858" s="10" t="inlineStr">
        <is>
          <t>Trên 1 Năm</t>
        </is>
      </c>
      <c r="L3858" s="11">
        <f>HYPERLINK("https://careerviet.vn/vi/tim-viec-lam/ke-toan-vien-27664-kcn-thang-long-2-hung-yen.35C69332.html","Xem chi tiết")</f>
        <v/>
      </c>
      <c r="M3858" s="10" t="n"/>
    </row>
    <row r="3859">
      <c r="B3859" s="7" t="n">
        <v>3857</v>
      </c>
      <c r="C3859" t="inlineStr">
        <is>
          <t>Kỹ thuật viên Kiểm soát Chất lượng Kim Loại</t>
        </is>
      </c>
      <c r="D3859" t="inlineStr">
        <is>
          <t>Công Ty TNHH Zeder Việt Nam</t>
        </is>
      </c>
      <c r="E3859" t="inlineStr">
        <is>
          <t>Lương:Cạnh tranh</t>
        </is>
      </c>
      <c r="F3859" t="inlineStr">
        <is>
          <t>Đồng Nai</t>
        </is>
      </c>
      <c r="G3859" t="inlineStr">
        <is>
          <t>31-03-2026</t>
        </is>
      </c>
      <c r="H3859" t="inlineStr">
        <is>
          <t>31/03/2026</t>
        </is>
      </c>
      <c r="I3859" t="inlineStr">
        <is>
          <t>17/03/2026</t>
        </is>
      </c>
      <c r="J3859" t="inlineStr">
        <is>
          <t>Quản lý chất lượng (QA/QC), Cơ khí / Ô tô / Tự động hóa, Sản xuất / Vận hành sản xuất</t>
        </is>
      </c>
      <c r="K3859" t="inlineStr">
        <is>
          <t>1 Năm</t>
        </is>
      </c>
      <c r="L3859" s="8">
        <f>HYPERLINK("https://careerviet.vn/vi/tim-viec-lam/ky-thuat-vien-kiem-soat-chat-luong-kim-loai.35C68F9C.html","Xem chi tiết")</f>
        <v/>
      </c>
    </row>
    <row r="3860">
      <c r="B3860" s="9" t="n">
        <v>3858</v>
      </c>
      <c r="C3860" s="10" t="inlineStr">
        <is>
          <t>[Hà Nội] Nhân Viên Phát Triển Thầu Thợ Xây Dựng</t>
        </is>
      </c>
      <c r="D3860" s="10" t="inlineStr">
        <is>
          <t>Saint-Gobain Vietnam</t>
        </is>
      </c>
      <c r="E3860" s="10" t="inlineStr">
        <is>
          <t>Lương:Cạnh tranh</t>
        </is>
      </c>
      <c r="F3860" s="10" t="inlineStr">
        <is>
          <t>Hà Nội</t>
        </is>
      </c>
      <c r="G3860" s="10" t="inlineStr">
        <is>
          <t>31-03-2026</t>
        </is>
      </c>
      <c r="H3860" s="10" t="inlineStr">
        <is>
          <t>31/03/2026</t>
        </is>
      </c>
      <c r="I3860" s="10" t="inlineStr">
        <is>
          <t>17/03/2026</t>
        </is>
      </c>
      <c r="J3860" s="10" t="inlineStr">
        <is>
          <t>Bán lẻ / Bán sỉ, Bán hàng / Kinh doanh, Tư vấn</t>
        </is>
      </c>
      <c r="K3860" s="10" t="inlineStr">
        <is>
          <t>2 - 5 Năm</t>
        </is>
      </c>
      <c r="L3860" s="11">
        <f>HYPERLINK("https://careerviet.vn/vi/tim-viec-lam/ha-noi-nhan-vien-phat-trien-thau-tho-xay-dung.35C692AA.html","Xem chi tiết")</f>
        <v/>
      </c>
      <c r="M3860" s="10" t="n"/>
    </row>
    <row r="3861">
      <c r="B3861" s="7" t="n">
        <v>3859</v>
      </c>
      <c r="C3861" t="inlineStr">
        <is>
          <t>Nhân Viên Kiểm tra Chất lượng / Nhân viên QA</t>
        </is>
      </c>
      <c r="D3861" t="inlineStr">
        <is>
          <t>Hercules VN Co., Ltd.</t>
        </is>
      </c>
      <c r="E3861" t="inlineStr">
        <is>
          <t>Lương:6 Tr - 12 Tr VND</t>
        </is>
      </c>
      <c r="F3861" t="inlineStr">
        <is>
          <t>Bình Dương</t>
        </is>
      </c>
      <c r="G3861" t="inlineStr">
        <is>
          <t>30-04-2026</t>
        </is>
      </c>
      <c r="H3861" t="inlineStr">
        <is>
          <t>30/04/2026</t>
        </is>
      </c>
      <c r="I3861" t="inlineStr">
        <is>
          <t>17/03/2026</t>
        </is>
      </c>
      <c r="J3861" t="inlineStr">
        <is>
          <t>Sản xuất / Vận hành sản xuất, Quản lý chất lượng (QA/QC), Mới tốt nghiệp / Thực tập</t>
        </is>
      </c>
      <c r="K3861" t="inlineStr">
        <is>
          <t>N/A</t>
        </is>
      </c>
      <c r="L3861" s="8">
        <f>HYPERLINK("https://careerviet.vn/vi/tim-viec-lam/nhan-vien-kiem-tra-chat-luong-nhan-vien-qa.35C69203.html","Xem chi tiết")</f>
        <v/>
      </c>
    </row>
    <row r="3862">
      <c r="B3862" s="9" t="n">
        <v>3860</v>
      </c>
      <c r="C3862" s="10" t="inlineStr">
        <is>
          <t>Nhân Viên Kinh Doanh/ 销售人员</t>
        </is>
      </c>
      <c r="D3862" s="10" t="inlineStr">
        <is>
          <t>CÔNG TY TNHH CÔNG NGHỆ VẬT LIỆU MỚI ĐỨC THỊNH</t>
        </is>
      </c>
      <c r="E3862" s="10" t="inlineStr">
        <is>
          <t>Lương:Cạnh tranh</t>
        </is>
      </c>
      <c r="F3862" s="10" t="inlineStr">
        <is>
          <t>Nghệ AnHà Nội</t>
        </is>
      </c>
      <c r="G3862" s="10" t="inlineStr">
        <is>
          <t>6</t>
        </is>
      </c>
      <c r="H3862" s="10" t="inlineStr">
        <is>
          <t>23/03/2026</t>
        </is>
      </c>
      <c r="I3862" s="10" t="inlineStr">
        <is>
          <t>17/03/2026</t>
        </is>
      </c>
      <c r="J3862" s="10" t="inlineStr">
        <is>
          <t>Bán hàng / Kinh doanh, Dịch vụ khách hàng, Tư vấn</t>
        </is>
      </c>
      <c r="K3862" s="10" t="inlineStr">
        <is>
          <t>N/A</t>
        </is>
      </c>
      <c r="L3862" s="11">
        <f>HYPERLINK("https://careerviet.vn/vi/tim-viec-lam/nhan-vien-kinh-doanh.35C6930F.html","Xem chi tiết")</f>
        <v/>
      </c>
      <c r="M3862" s="10" t="n"/>
    </row>
    <row r="3863">
      <c r="B3863" s="7" t="n">
        <v>3861</v>
      </c>
      <c r="C3863" t="inlineStr">
        <is>
          <t>QMS Engineer (Supplier audit) - Cu Chi (Having shuttle bus)</t>
        </is>
      </c>
      <c r="D3863" t="inlineStr">
        <is>
          <t>Techtronic Industries Vietnam Manufacturing Company Limited</t>
        </is>
      </c>
      <c r="E3863" t="inlineStr">
        <is>
          <t>Lương:Cạnh tranh</t>
        </is>
      </c>
      <c r="F3863" t="inlineStr">
        <is>
          <t>Hồ Chí Minh</t>
        </is>
      </c>
      <c r="G3863" t="inlineStr">
        <is>
          <t>26-03-2026</t>
        </is>
      </c>
      <c r="H3863" t="inlineStr">
        <is>
          <t>26/03/2026</t>
        </is>
      </c>
      <c r="I3863" t="inlineStr">
        <is>
          <t>17/03/2026</t>
        </is>
      </c>
      <c r="J3863" t="inlineStr">
        <is>
          <t>Sản xuất / Vận hành sản xuất, Quản lý chất lượng (QA/QC), Điện / Điện tử / Điện lạnh / Điện công nghiệp</t>
        </is>
      </c>
      <c r="K3863" t="inlineStr">
        <is>
          <t>N/A</t>
        </is>
      </c>
      <c r="L3863" s="8">
        <f>HYPERLINK("https://careerviet.vn/vi/tim-viec-lam/qms-engineer-supplier-audit-cu-chi-having-shuttle-bus.35C69426.html","Xem chi tiết")</f>
        <v/>
      </c>
    </row>
    <row r="3864">
      <c r="B3864" s="9" t="n">
        <v>3862</v>
      </c>
      <c r="C3864" s="10" t="inlineStr">
        <is>
          <t>Trợ Lý Tiếng Trung</t>
        </is>
      </c>
      <c r="D3864" s="10" t="inlineStr">
        <is>
          <t>Công Ty TNHH Orro Home</t>
        </is>
      </c>
      <c r="E3864" s="10" t="inlineStr">
        <is>
          <t>Lương:Cạnh tranh</t>
        </is>
      </c>
      <c r="F3864" s="10" t="inlineStr">
        <is>
          <t>Hồ Chí Minh</t>
        </is>
      </c>
      <c r="G3864" s="10" t="inlineStr">
        <is>
          <t>24-03-2026</t>
        </is>
      </c>
      <c r="H3864" s="10" t="inlineStr">
        <is>
          <t>24/03/2026</t>
        </is>
      </c>
      <c r="I3864" s="10" t="inlineStr">
        <is>
          <t>17/03/2026</t>
        </is>
      </c>
      <c r="J3864" s="10" t="inlineStr">
        <is>
          <t>Biên phiên dịch</t>
        </is>
      </c>
      <c r="K3864" s="10" t="inlineStr">
        <is>
          <t>Trên 1 Năm</t>
        </is>
      </c>
      <c r="L3864" s="11">
        <f>HYPERLINK("https://careerviet.vn/vi/tim-viec-lam/tro-ly-tieng-trung.35C68FAD.html","Xem chi tiết")</f>
        <v/>
      </c>
      <c r="M3864" s="10" t="n"/>
    </row>
    <row r="3865">
      <c r="B3865" s="7" t="n">
        <v>3863</v>
      </c>
      <c r="C3865" t="inlineStr">
        <is>
          <t>Chuyên viên mua hàng (Lâm Đồng/ Thanh Hóa)</t>
        </is>
      </c>
      <c r="D3865" t="inlineStr">
        <is>
          <t>Công Ty Cổ Phần Tập Đoàn TH</t>
        </is>
      </c>
      <c r="E3865" t="inlineStr">
        <is>
          <t>Lương:Cạnh tranh</t>
        </is>
      </c>
      <c r="F3865" t="inlineStr">
        <is>
          <t>Lâm Đồng</t>
        </is>
      </c>
      <c r="G3865" t="inlineStr">
        <is>
          <t>31-03-2026</t>
        </is>
      </c>
      <c r="H3865" t="inlineStr">
        <is>
          <t>31/03/2026</t>
        </is>
      </c>
      <c r="I3865" t="inlineStr">
        <is>
          <t>17/03/2026</t>
        </is>
      </c>
      <c r="J3865" t="inlineStr">
        <is>
          <t>Thu mua / Vật tư</t>
        </is>
      </c>
      <c r="K3865" t="inlineStr">
        <is>
          <t>1 - 3 Năm</t>
        </is>
      </c>
      <c r="L3865" s="8">
        <f>HYPERLINK("https://careerviet.vn/vi/tim-viec-lam/chuyen-vien-mua-hang-lam-dong-thanh-hoa.35C69120.html","Xem chi tiết")</f>
        <v/>
      </c>
    </row>
    <row r="3866">
      <c r="B3866" s="9" t="n">
        <v>3864</v>
      </c>
      <c r="C3866" s="10" t="inlineStr">
        <is>
          <t>Trưởng phòng kỹ thuật bảo trì</t>
        </is>
      </c>
      <c r="D3866" s="10" t="inlineStr">
        <is>
          <t>Công Ty TNHH TM &amp; XNK Nhất Lâm</t>
        </is>
      </c>
      <c r="E3866" s="10" t="inlineStr">
        <is>
          <t>Lương:20 Tr - 25 Tr VND</t>
        </is>
      </c>
      <c r="F3866" s="10" t="inlineStr">
        <is>
          <t>Hồ Chí Minh</t>
        </is>
      </c>
      <c r="G3866" s="10" t="inlineStr">
        <is>
          <t>31-03-2026</t>
        </is>
      </c>
      <c r="H3866" s="10" t="inlineStr">
        <is>
          <t>31/03/2026</t>
        </is>
      </c>
      <c r="I3866" s="10" t="inlineStr">
        <is>
          <t>17/03/2026</t>
        </is>
      </c>
      <c r="J3866" s="10" t="inlineStr">
        <is>
          <t>Bảo trì / Sửa chữa</t>
        </is>
      </c>
      <c r="K3866" s="10" t="inlineStr">
        <is>
          <t>1 - 3 Năm</t>
        </is>
      </c>
      <c r="L3866" s="11">
        <f>HYPERLINK("https://careerviet.vn/vi/tim-viec-lam/truong-phong-ky-thuat-bao-tri.35C69247.html","Xem chi tiết")</f>
        <v/>
      </c>
      <c r="M3866" s="10" t="n"/>
    </row>
    <row r="3867">
      <c r="B3867" s="7" t="n">
        <v>3865</v>
      </c>
      <c r="C3867" t="inlineStr">
        <is>
          <t>Nhân viên Kho</t>
        </is>
      </c>
      <c r="D3867" t="inlineStr">
        <is>
          <t>CÔNG TY TNHH SẢN XUẤT NAVIS VIỆT NAM</t>
        </is>
      </c>
      <c r="E3867" t="inlineStr">
        <is>
          <t>Lương:8 Tr - 12 Tr VND</t>
        </is>
      </c>
      <c r="F3867" t="inlineStr">
        <is>
          <t>Long An</t>
        </is>
      </c>
      <c r="G3867" t="inlineStr">
        <is>
          <t>31-03-2026</t>
        </is>
      </c>
      <c r="H3867" t="inlineStr">
        <is>
          <t>31/03/2026</t>
        </is>
      </c>
      <c r="I3867" t="inlineStr">
        <is>
          <t>17/03/2026</t>
        </is>
      </c>
      <c r="J3867" t="inlineStr">
        <is>
          <t>Vận chuyển / Giao nhận / Kho vận, Công nghệ sinh học, Hóa học</t>
        </is>
      </c>
      <c r="K3867" t="inlineStr">
        <is>
          <t>Trên 1 Năm</t>
        </is>
      </c>
      <c r="L3867" s="8">
        <f>HYPERLINK("https://careerviet.vn/vi/tim-viec-lam/nhan-vien-kho.35C691F7.html","Xem chi tiết")</f>
        <v/>
      </c>
    </row>
    <row r="3868">
      <c r="B3868" s="9" t="n">
        <v>3866</v>
      </c>
      <c r="C3868" s="10" t="inlineStr">
        <is>
          <t>Thực Tập Sinh Kế Toán</t>
        </is>
      </c>
      <c r="D3868" s="10" t="inlineStr">
        <is>
          <t>CÔNG TY CỔ PHẦN VUA NỆM</t>
        </is>
      </c>
      <c r="E3868" s="10" t="inlineStr">
        <is>
          <t>Lương:1 Tr - 2 Tr VND</t>
        </is>
      </c>
      <c r="F3868" s="10" t="inlineStr">
        <is>
          <t>Hà Nội</t>
        </is>
      </c>
      <c r="G3868" s="10" t="inlineStr">
        <is>
          <t>3</t>
        </is>
      </c>
      <c r="H3868" s="10" t="inlineStr">
        <is>
          <t>20/03/2026</t>
        </is>
      </c>
      <c r="I3868" s="10" t="inlineStr">
        <is>
          <t>17/03/2026</t>
        </is>
      </c>
      <c r="J3868" s="10" t="inlineStr">
        <is>
          <t>Kế toán / Kiểm toán</t>
        </is>
      </c>
      <c r="K3868" s="10" t="inlineStr">
        <is>
          <t>N/A</t>
        </is>
      </c>
      <c r="L3868" s="11">
        <f>HYPERLINK("https://careerviet.vn/vi/tim-viec-lam/thuc-tap-sinh-ke-toan.35C68FB8.html","Xem chi tiết")</f>
        <v/>
      </c>
      <c r="M3868" s="10" t="n"/>
    </row>
    <row r="3869">
      <c r="B3869" s="7" t="n">
        <v>3867</v>
      </c>
      <c r="C3869" t="inlineStr">
        <is>
          <t>Principal Tooling Engineer (Die casting) - Củ Chi (having shuttle bus)</t>
        </is>
      </c>
      <c r="D3869" t="inlineStr">
        <is>
          <t>Techtronic Industries Vietnam Manufacturing Company Limited</t>
        </is>
      </c>
      <c r="E3869" t="inlineStr">
        <is>
          <t>Lương:Cạnh tranh</t>
        </is>
      </c>
      <c r="F3869" t="inlineStr">
        <is>
          <t>Hồ Chí Minh</t>
        </is>
      </c>
      <c r="G3869" t="inlineStr">
        <is>
          <t>26-03-2026</t>
        </is>
      </c>
      <c r="H3869" t="inlineStr">
        <is>
          <t>26/03/2026</t>
        </is>
      </c>
      <c r="I3869" t="inlineStr">
        <is>
          <t>17/03/2026</t>
        </is>
      </c>
      <c r="J3869" t="inlineStr">
        <is>
          <t>Cơ khí / Ô tô / Tự động hóa, Sản xuất / Vận hành sản xuất, Điện / Điện tử / Điện lạnh / Điện công nghiệp</t>
        </is>
      </c>
      <c r="K3869" t="inlineStr">
        <is>
          <t>4 - 6 Năm</t>
        </is>
      </c>
      <c r="L3869" s="8">
        <f>HYPERLINK("https://careerviet.vn/vi/tim-viec-lam/principal-tooling-engineer-die-casting-cu-chi-having-shuttle-bus.35C69432.html","Xem chi tiết")</f>
        <v/>
      </c>
    </row>
    <row r="3870">
      <c r="B3870" s="9" t="n">
        <v>3868</v>
      </c>
      <c r="C3870" s="10" t="inlineStr">
        <is>
          <t>Chuyên Viên Cho Thuê (Leasing)</t>
        </is>
      </c>
      <c r="D3870" s="10" t="inlineStr">
        <is>
          <t>CÔNG TY CỔ PHẦN ĐẦU TƯ ĐỊA ỐC VẠN PHÚC</t>
        </is>
      </c>
      <c r="E3870" s="10" t="inlineStr">
        <is>
          <t>Lương:Cạnh tranh</t>
        </is>
      </c>
      <c r="F3870" s="10" t="inlineStr">
        <is>
          <t>Hồ Chí Minh</t>
        </is>
      </c>
      <c r="G3870" s="10" t="inlineStr">
        <is>
          <t>25-03-2026</t>
        </is>
      </c>
      <c r="H3870" s="10" t="inlineStr">
        <is>
          <t>25/03/2026</t>
        </is>
      </c>
      <c r="I3870" s="10" t="inlineStr">
        <is>
          <t>17/03/2026</t>
        </is>
      </c>
      <c r="J3870" s="10" t="inlineStr">
        <is>
          <t>Bất động sản, Bán hàng / Kinh doanh, Tiếp thị / Marketing</t>
        </is>
      </c>
      <c r="K3870" s="10" t="inlineStr">
        <is>
          <t>1 - 4 Năm</t>
        </is>
      </c>
      <c r="L3870" s="11">
        <f>HYPERLINK("https://careerviet.vn/vi/tim-viec-lam/chuyen-vien-cho-thue-leasing.35C6901E.html","Xem chi tiết")</f>
        <v/>
      </c>
      <c r="M3870" s="10" t="n"/>
    </row>
    <row r="3871">
      <c r="B3871" s="7" t="n">
        <v>3869</v>
      </c>
      <c r="C3871" t="inlineStr">
        <is>
          <t>KỸ SƯ VẬN HÀNH MÁY</t>
        </is>
      </c>
      <c r="D3871" t="inlineStr">
        <is>
          <t>CÔNG TY CP CHẾ BIẾN DỪA Á CHÂU</t>
        </is>
      </c>
      <c r="E3871" t="inlineStr">
        <is>
          <t>Lương:Cạnh tranh</t>
        </is>
      </c>
      <c r="F3871" t="inlineStr">
        <is>
          <t>Bến Tre</t>
        </is>
      </c>
      <c r="G3871" t="inlineStr">
        <is>
          <t>09-03-2026</t>
        </is>
      </c>
      <c r="H3871" t="inlineStr">
        <is>
          <t>14/03/2026</t>
        </is>
      </c>
      <c r="I3871" t="inlineStr">
        <is>
          <t>17/03/2026</t>
        </is>
      </c>
      <c r="J3871" t="inlineStr">
        <is>
          <t>Công nghệ thực phẩm / Dinh dưỡng, Cơ khí / Ô tô / Tự động hóa, Điện / Điện tử / Điện lạnh / Điện công nghiệp</t>
        </is>
      </c>
      <c r="K3871" t="inlineStr">
        <is>
          <t>1 - 2 Năm</t>
        </is>
      </c>
      <c r="L3871" s="8">
        <f>HYPERLINK("https://careerviet.vn/vi/tim-viec-lam/ky-su-va-n-ha-nh-ma-y.35C69131.html","Xem chi tiết")</f>
        <v/>
      </c>
    </row>
    <row r="3872">
      <c r="B3872" s="9" t="n">
        <v>3870</v>
      </c>
      <c r="C3872" s="10" t="inlineStr">
        <is>
          <t>Nhân Viên Sales Online</t>
        </is>
      </c>
      <c r="D3872" s="10" t="inlineStr">
        <is>
          <t>BỆNH VIỆN ĐA KHOA PHƯƠNG ĐÔNG</t>
        </is>
      </c>
      <c r="E3872" s="10" t="inlineStr">
        <is>
          <t>Lương:7 Tr - 25 Tr VND</t>
        </is>
      </c>
      <c r="F3872" s="10" t="inlineStr">
        <is>
          <t>Hà Nội</t>
        </is>
      </c>
      <c r="G3872" s="10" t="inlineStr">
        <is>
          <t>31-12-2026</t>
        </is>
      </c>
      <c r="H3872" s="10" t="inlineStr">
        <is>
          <t>31/12/2026</t>
        </is>
      </c>
      <c r="I3872" s="10" t="inlineStr">
        <is>
          <t>17/03/2026</t>
        </is>
      </c>
      <c r="J3872" s="10" t="inlineStr">
        <is>
          <t>Bán hàng / Kinh doanh, Tiếp thị trực tuyến</t>
        </is>
      </c>
      <c r="K3872" s="10" t="inlineStr">
        <is>
          <t>N/A</t>
        </is>
      </c>
      <c r="L3872" s="11">
        <f>HYPERLINK("https://careerviet.vn/vi/tim-viec-lam/nhan-vien-sales-online.35C690BD.html","Xem chi tiết")</f>
        <v/>
      </c>
      <c r="M3872" s="10" t="n"/>
    </row>
    <row r="3873">
      <c r="B3873" s="7" t="n">
        <v>3871</v>
      </c>
      <c r="C3873" t="inlineStr">
        <is>
          <t>Nhân Viên Chăm Sóc Khách Hàng - ILA Quận 7</t>
        </is>
      </c>
      <c r="D3873" t="inlineStr">
        <is>
          <t>ILA Việt Nam</t>
        </is>
      </c>
      <c r="E3873" t="inlineStr">
        <is>
          <t>Lương:7,5 Tr - 10 Tr VND</t>
        </is>
      </c>
      <c r="F3873" t="inlineStr">
        <is>
          <t>Hồ Chí Minh</t>
        </is>
      </c>
      <c r="G3873" t="inlineStr">
        <is>
          <t>4</t>
        </is>
      </c>
      <c r="H3873" t="inlineStr">
        <is>
          <t>21/03/2026</t>
        </is>
      </c>
      <c r="I3873" t="inlineStr">
        <is>
          <t>17/03/2026</t>
        </is>
      </c>
      <c r="J3873" t="inlineStr">
        <is>
          <t>Tư vấn, Dịch vụ khách hàng, Giáo dục / Đào tạo</t>
        </is>
      </c>
      <c r="K3873" t="inlineStr">
        <is>
          <t>1 - 2 Năm</t>
        </is>
      </c>
      <c r="L3873" s="8">
        <f>HYPERLINK("https://careerviet.vn/vi/tim-viec-lam/nhan-vien-cham-soc-khach-hang-ila-quan-7.35C6905B.html","Xem chi tiết")</f>
        <v/>
      </c>
    </row>
    <row r="3874">
      <c r="B3874" s="9" t="n">
        <v>3872</v>
      </c>
      <c r="C3874" s="10" t="inlineStr">
        <is>
          <t>[Hà Nội] Business Intelligence Executive (Data Analyst Executive)</t>
        </is>
      </c>
      <c r="D3874" s="10" t="inlineStr">
        <is>
          <t>Công Ty Cổ Phần Diana Unicharm</t>
        </is>
      </c>
      <c r="E3874" s="10" t="inlineStr">
        <is>
          <t>Lương:28 Tr - 40 Tr VND</t>
        </is>
      </c>
      <c r="F3874" s="10" t="inlineStr">
        <is>
          <t>Hà Nội</t>
        </is>
      </c>
      <c r="G3874" s="10" t="inlineStr">
        <is>
          <t>30-03-2026</t>
        </is>
      </c>
      <c r="H3874" s="10" t="inlineStr">
        <is>
          <t>30/03/2026</t>
        </is>
      </c>
      <c r="I3874" s="10" t="inlineStr">
        <is>
          <t>17/03/2026</t>
        </is>
      </c>
      <c r="J3874" s="10" t="inlineStr">
        <is>
          <t>CNTT - Phần mềm, Thương mại điện tử, Ngành khác</t>
        </is>
      </c>
      <c r="K3874" s="10" t="inlineStr">
        <is>
          <t>3 - 5 Năm</t>
        </is>
      </c>
      <c r="L3874" s="11">
        <f>HYPERLINK("https://careerviet.vn/vi/tim-viec-lam/ha-noi-business-intelligence-executive-data-analyst-executive.35C6913E.html","Xem chi tiết")</f>
        <v/>
      </c>
      <c r="M3874" s="10" t="n"/>
    </row>
    <row r="3875">
      <c r="B3875" s="7" t="n">
        <v>3873</v>
      </c>
      <c r="C3875" t="inlineStr">
        <is>
          <t>Nhân Viên Kinh Doanh</t>
        </is>
      </c>
      <c r="D3875" t="inlineStr">
        <is>
          <t>CÔNG TY CỔ PHẦN CÔNG NGHIỆP PSI VIỆT NAM</t>
        </is>
      </c>
      <c r="E3875" t="inlineStr">
        <is>
          <t>Lương:Cạnh tranh</t>
        </is>
      </c>
      <c r="F3875" t="inlineStr">
        <is>
          <t>Hà NộiHồ Chí Minh</t>
        </is>
      </c>
      <c r="G3875" t="inlineStr">
        <is>
          <t>24-03-2026</t>
        </is>
      </c>
      <c r="H3875" t="inlineStr">
        <is>
          <t>24/03/2026</t>
        </is>
      </c>
      <c r="I3875" t="inlineStr">
        <is>
          <t>17/03/2026</t>
        </is>
      </c>
      <c r="J3875" t="inlineStr">
        <is>
          <t>Bán hàng / Kinh doanh, Cơ khí / Ô tô / Tự động hóa, Điện / Điện tử / Điện lạnh / Điện công nghiệp</t>
        </is>
      </c>
      <c r="K3875" t="inlineStr">
        <is>
          <t>1 - 2 Năm</t>
        </is>
      </c>
      <c r="L3875" s="8">
        <f>HYPERLINK("https://careerviet.vn/vi/tim-viec-lam/nhan-vien-kinh-doanh.35C68EC4.html","Xem chi tiết")</f>
        <v/>
      </c>
    </row>
    <row r="3876">
      <c r="B3876" s="9" t="n">
        <v>3874</v>
      </c>
      <c r="C3876" s="10" t="inlineStr">
        <is>
          <t>Planning Manager (Quản Lý Chiến Lược)</t>
        </is>
      </c>
      <c r="D3876" s="10" t="inlineStr">
        <is>
          <t>Blue Sky Corporation</t>
        </is>
      </c>
      <c r="E3876" s="10" t="inlineStr">
        <is>
          <t>Lương:Cạnh tranh</t>
        </is>
      </c>
      <c r="F3876" s="10" t="inlineStr">
        <is>
          <t>Hồ Chí Minh</t>
        </is>
      </c>
      <c r="G3876" s="10" t="inlineStr">
        <is>
          <t>6</t>
        </is>
      </c>
      <c r="H3876" s="10" t="inlineStr">
        <is>
          <t>23/03/2026</t>
        </is>
      </c>
      <c r="I3876" s="10" t="inlineStr">
        <is>
          <t>17/03/2026</t>
        </is>
      </c>
      <c r="J3876" s="10" t="inlineStr">
        <is>
          <t>Tổ chức sự kiện, Tiếp thị / Marketing, Quảng cáo / Đối ngoại / Truyền Thông</t>
        </is>
      </c>
      <c r="K3876" s="10" t="inlineStr">
        <is>
          <t>N/A</t>
        </is>
      </c>
      <c r="L3876" s="11">
        <f>HYPERLINK("https://careerviet.vn/vi/tim-viec-lam/planning-manager-quan-ly-chien-luoc.35C690E7.html","Xem chi tiết")</f>
        <v/>
      </c>
      <c r="M3876" s="10" t="n"/>
    </row>
    <row r="3877">
      <c r="B3877" s="7" t="n">
        <v>3875</v>
      </c>
      <c r="C3877" t="inlineStr">
        <is>
          <t>NHÂN VIÊN BẢO TRÌ CƠ KHÍ</t>
        </is>
      </c>
      <c r="D3877" t="inlineStr">
        <is>
          <t>Thi Vai International Port Co., Ltd.</t>
        </is>
      </c>
      <c r="E3877" t="inlineStr">
        <is>
          <t>Lương:Cạnh tranh</t>
        </is>
      </c>
      <c r="F3877" t="inlineStr">
        <is>
          <t>Bà Rịa - Vũng Tàu</t>
        </is>
      </c>
      <c r="G3877" t="inlineStr">
        <is>
          <t>24-03-2026</t>
        </is>
      </c>
      <c r="H3877" t="inlineStr">
        <is>
          <t>24/03/2026</t>
        </is>
      </c>
      <c r="I3877" t="inlineStr">
        <is>
          <t>17/03/2026</t>
        </is>
      </c>
      <c r="J3877" t="inlineStr">
        <is>
          <t>Bảo trì / Sửa chữa, Điện / Điện tử / Điện lạnh / Điện công nghiệp, Cơ khí / Ô tô / Tự động hóa</t>
        </is>
      </c>
      <c r="K3877" t="inlineStr">
        <is>
          <t>Lên đến 1 Năm</t>
        </is>
      </c>
      <c r="L3877" s="8">
        <f>HYPERLINK("https://careerviet.vn/vi/tim-viec-lam/nhan-vien-bao-tri-co-khi.35C69056.html","Xem chi tiết")</f>
        <v/>
      </c>
    </row>
    <row r="3878">
      <c r="B3878" s="9" t="n">
        <v>3876</v>
      </c>
      <c r="C3878" s="10" t="inlineStr">
        <is>
          <t>Kế Toán Trưởng (Nhà Máy)</t>
        </is>
      </c>
      <c r="D3878" s="10" t="inlineStr">
        <is>
          <t>Công Ty TNHH TM &amp; XNK Nhất Lâm</t>
        </is>
      </c>
      <c r="E3878" s="10" t="inlineStr">
        <is>
          <t>Lương:22 Tr - 30 Tr VND</t>
        </is>
      </c>
      <c r="F3878" s="10" t="inlineStr">
        <is>
          <t>Hồ Chí Minh</t>
        </is>
      </c>
      <c r="G3878" s="10" t="inlineStr">
        <is>
          <t>31-03-2026</t>
        </is>
      </c>
      <c r="H3878" s="10" t="inlineStr">
        <is>
          <t>31/03/2026</t>
        </is>
      </c>
      <c r="I3878" s="10" t="inlineStr">
        <is>
          <t>17/03/2026</t>
        </is>
      </c>
      <c r="J3878" s="10" t="inlineStr">
        <is>
          <t>Quản lý điều hành, Kế toán / Kiểm toán, Tài chính / Đầu tư</t>
        </is>
      </c>
      <c r="K3878" s="10" t="inlineStr">
        <is>
          <t>1 - 3 Năm</t>
        </is>
      </c>
      <c r="L3878" s="11">
        <f>HYPERLINK("https://careerviet.vn/vi/tim-viec-lam/ke-toan-truong-nha-may.35C69436.html","Xem chi tiết")</f>
        <v/>
      </c>
      <c r="M3878" s="10" t="n"/>
    </row>
    <row r="3879">
      <c r="B3879" s="7" t="n">
        <v>3877</v>
      </c>
      <c r="C3879" t="inlineStr">
        <is>
          <t>Deputy GT Manager (Baby Care Product)</t>
        </is>
      </c>
      <c r="D3879" t="inlineStr">
        <is>
          <t>CareerViet's client</t>
        </is>
      </c>
      <c r="E3879" t="inlineStr">
        <is>
          <t>Lương:45 Tr - 68 Tr VND</t>
        </is>
      </c>
      <c r="F3879" t="inlineStr">
        <is>
          <t>Hồ Chí Minh</t>
        </is>
      </c>
      <c r="G3879" t="inlineStr">
        <is>
          <t>31-03-2026</t>
        </is>
      </c>
      <c r="H3879" t="inlineStr">
        <is>
          <t>31/03/2026</t>
        </is>
      </c>
      <c r="I3879" t="inlineStr">
        <is>
          <t>17/03/2026</t>
        </is>
      </c>
      <c r="J3879" t="inlineStr">
        <is>
          <t>Bán lẻ / Bán sỉ, Bán hàng / Kinh doanh, Y tế / Chăm sóc sức khỏe / Thẩm mỹ / Làm đẹp</t>
        </is>
      </c>
      <c r="K3879" t="inlineStr">
        <is>
          <t>5 - 10 Năm</t>
        </is>
      </c>
      <c r="L3879" s="8">
        <f>HYPERLINK("https://careerviet.vn/vi/tim-viec-lam/deputy-gt-manager-baby-care-product.35C692B8.html","Xem chi tiết")</f>
        <v/>
      </c>
    </row>
    <row r="3880">
      <c r="B3880" s="9" t="n">
        <v>3878</v>
      </c>
      <c r="C3880" s="10" t="inlineStr">
        <is>
          <t>Talent Acquisition Executive (Mass Hiring)</t>
        </is>
      </c>
      <c r="D3880" s="10" t="inlineStr">
        <is>
          <t>Công ty TNHH, Liên Doanh Vĩnh Hưng (TMI Việt Nam)</t>
        </is>
      </c>
      <c r="E3880" s="10" t="inlineStr">
        <is>
          <t>Lương:10 Tr - 12 Tr VND</t>
        </is>
      </c>
      <c r="F3880" s="10" t="inlineStr">
        <is>
          <t>Hồ Chí Minh</t>
        </is>
      </c>
      <c r="G3880" s="10" t="inlineStr">
        <is>
          <t>31-03-2026</t>
        </is>
      </c>
      <c r="H3880" s="10" t="inlineStr">
        <is>
          <t>31/03/2026</t>
        </is>
      </c>
      <c r="I3880" s="10" t="inlineStr">
        <is>
          <t>17/03/2026</t>
        </is>
      </c>
      <c r="J3880" s="10" t="inlineStr">
        <is>
          <t>Hành chính / Thư ký, Nhân sự</t>
        </is>
      </c>
      <c r="K3880" s="10" t="inlineStr">
        <is>
          <t>1 - 5 Năm</t>
        </is>
      </c>
      <c r="L3880" s="11">
        <f>HYPERLINK("https://careerviet.vn/vi/tim-viec-lam/talent-acquisition-executive-mass-hiring.35C692B6.html","Xem chi tiết")</f>
        <v/>
      </c>
      <c r="M3880" s="10" t="n"/>
    </row>
    <row r="3881">
      <c r="B3881" s="7" t="n">
        <v>3879</v>
      </c>
      <c r="C3881" t="inlineStr">
        <is>
          <t>Chuyên Viên ISO (CV Đảm Bảo Tuân Thủ Hệ Thống))</t>
        </is>
      </c>
      <c r="D3881" t="inlineStr">
        <is>
          <t>Công Ty Cổ Phần Sản Xuất Nhựa Duy Tân</t>
        </is>
      </c>
      <c r="E3881" t="inlineStr">
        <is>
          <t>Lương:Cạnh tranh</t>
        </is>
      </c>
      <c r="F3881" t="inlineStr">
        <is>
          <t>Long An</t>
        </is>
      </c>
      <c r="G3881" t="inlineStr">
        <is>
          <t>26-03-2026</t>
        </is>
      </c>
      <c r="H3881" t="inlineStr">
        <is>
          <t>26/03/2026</t>
        </is>
      </c>
      <c r="I3881" t="inlineStr">
        <is>
          <t>17/03/2026</t>
        </is>
      </c>
      <c r="J3881" t="inlineStr">
        <is>
          <t>Sản xuất / Vận hành sản xuất, Quản lý chất lượng (QA/QC)</t>
        </is>
      </c>
      <c r="K3881" t="inlineStr">
        <is>
          <t>3 - 5 Năm</t>
        </is>
      </c>
      <c r="L3881" s="8">
        <f>HYPERLINK("https://careerviet.vn/vi/tim-viec-lam/chuyen-vien-iso-cv-dam-bao-tuan-thu-he-thong.35C6917F.html","Xem chi tiết")</f>
        <v/>
      </c>
    </row>
    <row r="3882">
      <c r="B3882" s="9" t="n">
        <v>3880</v>
      </c>
      <c r="C3882" s="10" t="inlineStr">
        <is>
          <t>Trưởng phòng hành chính nhân sự</t>
        </is>
      </c>
      <c r="D3882" s="10" t="inlineStr">
        <is>
          <t>Tập đoàn Nhựa Bình Thuận</t>
        </is>
      </c>
      <c r="E3882" s="10" t="inlineStr">
        <is>
          <t>Lương:25 Tr - 35 Tr VND</t>
        </is>
      </c>
      <c r="F3882" s="10" t="inlineStr">
        <is>
          <t>Hà Nội</t>
        </is>
      </c>
      <c r="G3882" s="10" t="inlineStr">
        <is>
          <t>24-03-2026</t>
        </is>
      </c>
      <c r="H3882" s="10" t="inlineStr">
        <is>
          <t>24/03/2026</t>
        </is>
      </c>
      <c r="I3882" s="10" t="inlineStr">
        <is>
          <t>17/03/2026</t>
        </is>
      </c>
      <c r="J3882" s="10" t="inlineStr">
        <is>
          <t>Nhân sự</t>
        </is>
      </c>
      <c r="K3882" s="10" t="inlineStr">
        <is>
          <t>Chưa có kinh nghiệm</t>
        </is>
      </c>
      <c r="L3882" s="11">
        <f>HYPERLINK("https://careerviet.vn/vi/tim-viec-lam/truong-phong-hanh-chinh-nhan-su.35C691DF.html","Xem chi tiết")</f>
        <v/>
      </c>
      <c r="M3882" s="10" t="n"/>
    </row>
    <row r="3883">
      <c r="B3883" s="7" t="n">
        <v>3881</v>
      </c>
      <c r="C3883" t="inlineStr">
        <is>
          <t>Giám đốc kinh doanh - Thu nhập, chế độ hấp dẫn (Hệ thống khách sạn 5 sao)</t>
        </is>
      </c>
      <c r="D3883" t="inlineStr">
        <is>
          <t>Công ty Cổ Phần Sản Xuất Dịch Vụ và Thương Mại Phát Linh</t>
        </is>
      </c>
      <c r="E3883" t="inlineStr">
        <is>
          <t>Lương:Cạnh tranh</t>
        </is>
      </c>
      <c r="F3883" t="inlineStr">
        <is>
          <t>Hà Nội</t>
        </is>
      </c>
      <c r="G3883" t="inlineStr">
        <is>
          <t>31-03-2026</t>
        </is>
      </c>
      <c r="H3883" t="inlineStr">
        <is>
          <t>31/03/2026</t>
        </is>
      </c>
      <c r="I3883" t="inlineStr">
        <is>
          <t>17/03/2026</t>
        </is>
      </c>
      <c r="J3883" t="inlineStr">
        <is>
          <t>Tiếp thị / Marketing, Bán hàng / Kinh doanh, Nhà hàng / Khách sạn</t>
        </is>
      </c>
      <c r="K3883" t="inlineStr">
        <is>
          <t>3 - 5 Năm</t>
        </is>
      </c>
      <c r="L3883" s="8">
        <f>HYPERLINK("https://careerviet.vn/vi/tim-viec-lam/giam-doc-kinh-doanh-thu-nhap-che-do-hap-dan-he-thong-khach-san-5-sao.35C6907F.html","Xem chi tiết")</f>
        <v/>
      </c>
    </row>
    <row r="3884">
      <c r="B3884" s="9" t="n">
        <v>3882</v>
      </c>
      <c r="C3884" s="10" t="inlineStr">
        <is>
          <t>Nhân viên Sale (tiếng Anh)</t>
        </is>
      </c>
      <c r="D3884" s="10" t="inlineStr">
        <is>
          <t>CÔNG TY CỔ PHẦN SẢN XUẤT TÓC APOGROUP</t>
        </is>
      </c>
      <c r="E3884" s="10" t="inlineStr">
        <is>
          <t>Lương:Cạnh tranh</t>
        </is>
      </c>
      <c r="F3884" s="10" t="inlineStr">
        <is>
          <t>Hà Nội</t>
        </is>
      </c>
      <c r="G3884" s="10" t="inlineStr">
        <is>
          <t>31-03-2026</t>
        </is>
      </c>
      <c r="H3884" s="10" t="inlineStr">
        <is>
          <t>31/03/2026</t>
        </is>
      </c>
      <c r="I3884" s="10" t="inlineStr">
        <is>
          <t>17/03/2026</t>
        </is>
      </c>
      <c r="J3884" s="10" t="inlineStr">
        <is>
          <t>Bán hàng / Kinh doanh, Xuất nhập khẩu, Tư vấn</t>
        </is>
      </c>
      <c r="K3884" s="10" t="inlineStr">
        <is>
          <t>Chưa có kinh nghiệm</t>
        </is>
      </c>
      <c r="L3884" s="11">
        <f>HYPERLINK("https://careerviet.vn/vi/tim-viec-lam/nhan-vien-sale-tieng-anh.35C6934E.html","Xem chi tiết")</f>
        <v/>
      </c>
      <c r="M3884" s="10" t="n"/>
    </row>
    <row r="3885">
      <c r="B3885" s="7" t="n">
        <v>3883</v>
      </c>
      <c r="C3885" t="inlineStr">
        <is>
          <t>Nhân Viên Môi Trường (ESH)</t>
        </is>
      </c>
      <c r="D3885" t="inlineStr">
        <is>
          <t>DRB Việt Nam</t>
        </is>
      </c>
      <c r="E3885" t="inlineStr">
        <is>
          <t>Lương:Cạnh tranh</t>
        </is>
      </c>
      <c r="F3885" t="inlineStr">
        <is>
          <t>Bình Dương</t>
        </is>
      </c>
      <c r="G3885" t="inlineStr">
        <is>
          <t>24-03-2026</t>
        </is>
      </c>
      <c r="H3885" t="inlineStr">
        <is>
          <t>24/03/2026</t>
        </is>
      </c>
      <c r="I3885" t="inlineStr">
        <is>
          <t>17/03/2026</t>
        </is>
      </c>
      <c r="J3885" t="inlineStr">
        <is>
          <t>Điện / Điện tử / Điện lạnh / Điện công nghiệp, Môi trường, Hành chính / Thư ký</t>
        </is>
      </c>
      <c r="K3885" t="inlineStr">
        <is>
          <t>Trên 1 Năm</t>
        </is>
      </c>
      <c r="L3885" s="8">
        <f>HYPERLINK("https://careerviet.vn/vi/tim-viec-lam/nhan-vien-moi-truong-esh.35C69408.html","Xem chi tiết")</f>
        <v/>
      </c>
    </row>
    <row r="3886">
      <c r="B3886" s="9" t="n">
        <v>3884</v>
      </c>
      <c r="C3886" s="10" t="inlineStr">
        <is>
          <t>Marketing Online Leader (Livestream, Video &amp; Affiliate)</t>
        </is>
      </c>
      <c r="D3886" s="10" t="inlineStr">
        <is>
          <t>Công Ty Cổ Phần Diana Unicharm</t>
        </is>
      </c>
      <c r="E3886" s="10" t="inlineStr">
        <is>
          <t>Lương:35 Tr - 50 Tr VND</t>
        </is>
      </c>
      <c r="F3886" s="10" t="inlineStr">
        <is>
          <t>Hà Nội</t>
        </is>
      </c>
      <c r="G3886" s="10" t="inlineStr">
        <is>
          <t>30-03-2026</t>
        </is>
      </c>
      <c r="H3886" s="10" t="inlineStr">
        <is>
          <t>30/03/2026</t>
        </is>
      </c>
      <c r="I3886" s="10" t="inlineStr">
        <is>
          <t>17/03/2026</t>
        </is>
      </c>
      <c r="J3886" s="10" t="inlineStr">
        <is>
          <t>Tiếp thị / Marketing</t>
        </is>
      </c>
      <c r="K3886" s="10" t="inlineStr">
        <is>
          <t>3 - 4 Năm</t>
        </is>
      </c>
      <c r="L3886" s="11">
        <f>HYPERLINK("https://careerviet.vn/vi/tim-viec-lam/marketing-online-leader-livestream-video-affiliate.35C6906B.html","Xem chi tiết")</f>
        <v/>
      </c>
      <c r="M3886" s="10" t="n"/>
    </row>
    <row r="3887">
      <c r="B3887" s="7" t="n">
        <v>3885</v>
      </c>
      <c r="C3887" t="inlineStr">
        <is>
          <t>PROCESS ENGINEER</t>
        </is>
      </c>
      <c r="D3887" t="inlineStr">
        <is>
          <t>Quickpack Vietnam Limited</t>
        </is>
      </c>
      <c r="E3887" t="inlineStr">
        <is>
          <t>Lương:Trên 14 Tr VND</t>
        </is>
      </c>
      <c r="F3887" t="inlineStr">
        <is>
          <t>Long An</t>
        </is>
      </c>
      <c r="G3887" t="inlineStr">
        <is>
          <t>6</t>
        </is>
      </c>
      <c r="H3887" t="inlineStr">
        <is>
          <t>23/03/2026</t>
        </is>
      </c>
      <c r="I3887" t="inlineStr">
        <is>
          <t>17/03/2026</t>
        </is>
      </c>
      <c r="J3887" t="inlineStr">
        <is>
          <t>Sản xuất / Vận hành sản xuất</t>
        </is>
      </c>
      <c r="K3887" t="inlineStr">
        <is>
          <t>2 - 3 Năm</t>
        </is>
      </c>
      <c r="L3887" s="8">
        <f>HYPERLINK("https://careerviet.vn/vi/tim-viec-lam/process-engineer.35C692B9.html","Xem chi tiết")</f>
        <v/>
      </c>
    </row>
    <row r="3888">
      <c r="B3888" s="9" t="n">
        <v>3886</v>
      </c>
      <c r="C3888" s="10" t="inlineStr">
        <is>
          <t>ME Project Engineer (Automation) - Cu Chi</t>
        </is>
      </c>
      <c r="D3888" s="10" t="inlineStr">
        <is>
          <t>Techtronic Industries Vietnam Manufacturing Company Limited</t>
        </is>
      </c>
      <c r="E3888" s="10" t="inlineStr">
        <is>
          <t>Lương:Cạnh tranh</t>
        </is>
      </c>
      <c r="F3888" s="10" t="inlineStr">
        <is>
          <t>Hồ Chí Minh</t>
        </is>
      </c>
      <c r="G3888" s="10" t="inlineStr">
        <is>
          <t>26-03-2026</t>
        </is>
      </c>
      <c r="H3888" s="10" t="inlineStr">
        <is>
          <t>26/03/2026</t>
        </is>
      </c>
      <c r="I3888" s="10" t="inlineStr">
        <is>
          <t>17/03/2026</t>
        </is>
      </c>
      <c r="J3888" s="10" t="inlineStr">
        <is>
          <t>Cơ khí / Ô tô / Tự động hóa, Sản xuất / Vận hành sản xuất, Điện / Điện tử / Điện lạnh / Điện công nghiệp</t>
        </is>
      </c>
      <c r="K3888" s="10" t="inlineStr">
        <is>
          <t>N/A</t>
        </is>
      </c>
      <c r="L3888" s="11">
        <f>HYPERLINK("https://careerviet.vn/vi/tim-viec-lam/me-project-engineer-automation-cu-chi.35C69431.html","Xem chi tiết")</f>
        <v/>
      </c>
      <c r="M3888" s="10" t="n"/>
    </row>
    <row r="3889">
      <c r="B3889" s="7" t="n">
        <v>3887</v>
      </c>
      <c r="C3889" t="inlineStr">
        <is>
          <t>Chuyên Viên Kế hoạch Tiến Độ</t>
        </is>
      </c>
      <c r="D3889" t="inlineStr">
        <is>
          <t>BIM Group</t>
        </is>
      </c>
      <c r="E3889" t="inlineStr">
        <is>
          <t>Lương:Cạnh tranh</t>
        </is>
      </c>
      <c r="F3889" t="inlineStr">
        <is>
          <t>Vĩnh Phúc</t>
        </is>
      </c>
      <c r="G3889" t="inlineStr">
        <is>
          <t>31-03-2026</t>
        </is>
      </c>
      <c r="H3889" t="inlineStr">
        <is>
          <t>31/03/2026</t>
        </is>
      </c>
      <c r="I3889" t="inlineStr">
        <is>
          <t>17/03/2026</t>
        </is>
      </c>
      <c r="J3889" t="inlineStr">
        <is>
          <t>Xây dựng</t>
        </is>
      </c>
      <c r="K3889" t="inlineStr">
        <is>
          <t>Trên 5 Năm</t>
        </is>
      </c>
      <c r="L3889" s="8">
        <f>HYPERLINK("https://careerviet.vn/vi/tim-viec-lam/chuyen-vien-ke-hoach-tien-do.35C6933E.html","Xem chi tiết")</f>
        <v/>
      </c>
    </row>
    <row r="3890">
      <c r="B3890" s="9" t="n">
        <v>3888</v>
      </c>
      <c r="C3890" s="10" t="inlineStr">
        <is>
          <t>Kế Toán Thuế Từ 2 Năm Kinh Nghiệm Làm Việc Tại Ngoại Giao Đoàn</t>
        </is>
      </c>
      <c r="D3890" s="10" t="inlineStr">
        <is>
          <t>Công Ty TNHH XNK Cầu Nối Việt</t>
        </is>
      </c>
      <c r="E3890" s="10" t="inlineStr">
        <is>
          <t>Lương:14 Tr - 16 Tr VND</t>
        </is>
      </c>
      <c r="F3890" s="10" t="inlineStr">
        <is>
          <t>Hà Nội</t>
        </is>
      </c>
      <c r="G3890" s="10" t="inlineStr">
        <is>
          <t>30-05-2026</t>
        </is>
      </c>
      <c r="H3890" s="10" t="inlineStr">
        <is>
          <t>30/05/2026</t>
        </is>
      </c>
      <c r="I3890" s="10" t="inlineStr">
        <is>
          <t>17/03/2026</t>
        </is>
      </c>
      <c r="J3890" s="10" t="inlineStr">
        <is>
          <t>Kế toán / Kiểm toán</t>
        </is>
      </c>
      <c r="K3890" s="10" t="inlineStr">
        <is>
          <t>N/A</t>
        </is>
      </c>
      <c r="L3890" s="11">
        <f>HYPERLINK("https://careerviet.vn/vi/tim-viec-lam/ke-toan-thue-tu-2-nam-kinh-nghiem-lam-viec-tai-ngoai-giao-doan.35C6943A.html","Xem chi tiết")</f>
        <v/>
      </c>
      <c r="M3890" s="10" t="n"/>
    </row>
    <row r="3891">
      <c r="B3891" s="7" t="n">
        <v>3889</v>
      </c>
      <c r="C3891" t="inlineStr">
        <is>
          <t>Chuyên viên Tuyển dụng</t>
        </is>
      </c>
      <c r="D3891" t="inlineStr">
        <is>
          <t>Công ty cổ phần Nu Việt Nam</t>
        </is>
      </c>
      <c r="E3891" t="inlineStr">
        <is>
          <t>Lương:Cạnh tranh</t>
        </is>
      </c>
      <c r="F3891" t="inlineStr">
        <is>
          <t>Hà Nội</t>
        </is>
      </c>
      <c r="G3891" t="inlineStr">
        <is>
          <t>31-03-2026</t>
        </is>
      </c>
      <c r="H3891" t="inlineStr">
        <is>
          <t>31/03/2026</t>
        </is>
      </c>
      <c r="I3891" t="inlineStr">
        <is>
          <t>17/03/2026</t>
        </is>
      </c>
      <c r="J3891" t="inlineStr">
        <is>
          <t>Hành chính / Thư ký, Nhân sự, Dệt may / Da giày / Thời trang</t>
        </is>
      </c>
      <c r="K3891" t="inlineStr">
        <is>
          <t>Trên 3 Năm</t>
        </is>
      </c>
      <c r="L3891" s="8">
        <f>HYPERLINK("https://careerviet.vn/vi/tim-viec-lam/chuyen-vien-tuyen-dung.35C68FCB.html","Xem chi tiết")</f>
        <v/>
      </c>
    </row>
    <row r="3892">
      <c r="B3892" s="9" t="n">
        <v>3890</v>
      </c>
      <c r="C3892" s="10" t="inlineStr">
        <is>
          <t>Nhân Viên Kế Toán Vật Tư</t>
        </is>
      </c>
      <c r="D3892" s="10" t="inlineStr">
        <is>
          <t>Công Ty Cổ Phần Thiết Bị Viễn Thông Sao Phương Nam</t>
        </is>
      </c>
      <c r="E3892" s="10" t="inlineStr">
        <is>
          <t>Lương:Cạnh tranh</t>
        </is>
      </c>
      <c r="F3892" s="10" t="inlineStr">
        <is>
          <t>Hồ Chí Minh</t>
        </is>
      </c>
      <c r="G3892" s="10" t="inlineStr">
        <is>
          <t>24-03-2026</t>
        </is>
      </c>
      <c r="H3892" s="10" t="inlineStr">
        <is>
          <t>24/03/2026</t>
        </is>
      </c>
      <c r="I3892" s="10" t="inlineStr">
        <is>
          <t>17/03/2026</t>
        </is>
      </c>
      <c r="J3892" s="10" t="inlineStr">
        <is>
          <t>Bưu chính viễn thông, Kế toán / Kiểm toán, Xây dựng</t>
        </is>
      </c>
      <c r="K3892" s="10" t="inlineStr">
        <is>
          <t>Trên 1 Năm</t>
        </is>
      </c>
      <c r="L3892" s="11">
        <f>HYPERLINK("https://careerviet.vn/vi/tim-viec-lam/nhan-vien-ke-toan-vat-tu.35C6918E.html","Xem chi tiết")</f>
        <v/>
      </c>
      <c r="M3892" s="10" t="n"/>
    </row>
    <row r="3893">
      <c r="B3893" s="7" t="n">
        <v>3891</v>
      </c>
      <c r="C3893" t="inlineStr">
        <is>
          <t>Chuyên Viên Tư Vấn Tuyển Sinh / Bán Hàng / Kinh Doanh / Sales/ Consultant - Thu Nhập từ 12 triệu đến không giới hạn - ILA Nguyễn Trãi (Quận 1)</t>
        </is>
      </c>
      <c r="D3893" t="inlineStr">
        <is>
          <t>ILA Việt Nam</t>
        </is>
      </c>
      <c r="E3893" t="inlineStr">
        <is>
          <t>Lương:15 Tr - 30 Tr VND</t>
        </is>
      </c>
      <c r="F3893" t="inlineStr">
        <is>
          <t>Hồ Chí Minh</t>
        </is>
      </c>
      <c r="G3893" t="inlineStr">
        <is>
          <t>09-03-2026</t>
        </is>
      </c>
      <c r="H3893" t="inlineStr">
        <is>
          <t>14/03/2026</t>
        </is>
      </c>
      <c r="I3893" t="inlineStr">
        <is>
          <t>17/03/2026</t>
        </is>
      </c>
      <c r="J3893" t="inlineStr">
        <is>
          <t>Bán hàng / Kinh doanh, Tư vấn, Dịch vụ khách hàng</t>
        </is>
      </c>
      <c r="K3893" t="inlineStr">
        <is>
          <t>1 - 2 Năm</t>
        </is>
      </c>
      <c r="L3893" s="8">
        <f>HYPERLINK("https://careerviet.vn/vi/tim-viec-lam/chuyen-vien-tu-van-tuyen-sinh-ban-hang-kinh-doanh-sales-consultant-thu-nhap-tu-12-trieu-den-khong-gioi-han-ila-nguyen-trai-quan-1.35C69078.html","Xem chi tiết")</f>
        <v/>
      </c>
    </row>
    <row r="3894">
      <c r="B3894" s="9" t="n">
        <v>3892</v>
      </c>
      <c r="C3894" s="10" t="inlineStr">
        <is>
          <t>Nhân Viên QC - SX Làm Việc Tại Nhà Máy Hóa Chất Long An</t>
        </is>
      </c>
      <c r="D3894" s="10" t="inlineStr">
        <is>
          <t>Công Ty TNHH HS</t>
        </is>
      </c>
      <c r="E3894" s="10" t="inlineStr">
        <is>
          <t>Lương:10 Tr - 15 Tr VND</t>
        </is>
      </c>
      <c r="F3894" s="10" t="inlineStr">
        <is>
          <t>Long An</t>
        </is>
      </c>
      <c r="G3894" s="10" t="inlineStr">
        <is>
          <t>24-03-2026</t>
        </is>
      </c>
      <c r="H3894" s="10" t="inlineStr">
        <is>
          <t>24/03/2026</t>
        </is>
      </c>
      <c r="I3894" s="10" t="inlineStr">
        <is>
          <t>17/03/2026</t>
        </is>
      </c>
      <c r="J3894" s="10" t="inlineStr">
        <is>
          <t>Sản xuất / Vận hành sản xuất, Quản lý chất lượng (QA/QC), Hóa học</t>
        </is>
      </c>
      <c r="K3894" s="10" t="inlineStr">
        <is>
          <t>Chưa có kinh nghiệm</t>
        </is>
      </c>
      <c r="L3894" s="11">
        <f>HYPERLINK("https://careerviet.vn/vi/tim-viec-lam/nhan-vien-qc-sx-lam-viec-tai-nha-may-hoa-chat-long-an.35C69233.html","Xem chi tiết")</f>
        <v/>
      </c>
      <c r="M3894" s="10" t="n"/>
    </row>
    <row r="3895">
      <c r="B3895" s="7" t="n">
        <v>3893</v>
      </c>
      <c r="C3895" t="inlineStr">
        <is>
          <t>Nhân viên nhà hàng</t>
        </is>
      </c>
      <c r="D3895" t="inlineStr">
        <is>
          <t>Công Ty Cổ Phần A25 Hotel</t>
        </is>
      </c>
      <c r="E3895" t="inlineStr">
        <is>
          <t>Lương:9,3 Tr - 18 Tr VND</t>
        </is>
      </c>
      <c r="F3895" t="inlineStr">
        <is>
          <t>Hà NộiHồ Chí MinhQuảng Ninh</t>
        </is>
      </c>
      <c r="G3895" t="inlineStr">
        <is>
          <t>31-03-2026</t>
        </is>
      </c>
      <c r="H3895" t="inlineStr">
        <is>
          <t>31/03/2026</t>
        </is>
      </c>
      <c r="I3895" t="inlineStr">
        <is>
          <t>17/03/2026</t>
        </is>
      </c>
      <c r="J3895" t="inlineStr">
        <is>
          <t>Nhà hàng / Khách sạn, Mới tốt nghiệp / Thực tập, Lao động phổ thông</t>
        </is>
      </c>
      <c r="K3895" t="inlineStr">
        <is>
          <t>N/A</t>
        </is>
      </c>
      <c r="L3895" s="8">
        <f>HYPERLINK("https://careerviet.vn/vi/tim-viec-lam/nhan-vien-nha-hang.35C69343.html","Xem chi tiết")</f>
        <v/>
      </c>
    </row>
    <row r="3896">
      <c r="B3896" s="9" t="n">
        <v>3894</v>
      </c>
      <c r="C3896" s="10" t="inlineStr">
        <is>
          <t>GIÁM ĐỐC NHÀ MÁY _ SẢN XUẤT THÉP</t>
        </is>
      </c>
      <c r="D3896" s="10" t="inlineStr">
        <is>
          <t>AD BUILDING - CÔNG TY CỔ PHẦN KẾT CẤU THÉP WIN STEEL</t>
        </is>
      </c>
      <c r="E3896" s="10" t="inlineStr">
        <is>
          <t>Lương:25 Tr - 30 Tr VND</t>
        </is>
      </c>
      <c r="F3896" s="10" t="inlineStr">
        <is>
          <t>Tây Ninh</t>
        </is>
      </c>
      <c r="G3896" s="10" t="inlineStr">
        <is>
          <t>31-03-2026</t>
        </is>
      </c>
      <c r="H3896" s="10" t="inlineStr">
        <is>
          <t>31/03/2026</t>
        </is>
      </c>
      <c r="I3896" s="10" t="inlineStr">
        <is>
          <t>17/03/2026</t>
        </is>
      </c>
      <c r="J3896" s="10" t="inlineStr">
        <is>
          <t>Quản lý điều hành, Sản xuất / Vận hành sản xuất, Xây dựng</t>
        </is>
      </c>
      <c r="K3896" s="10" t="inlineStr">
        <is>
          <t>5 - 8 Năm</t>
        </is>
      </c>
      <c r="L3896" s="11">
        <f>HYPERLINK("https://careerviet.vn/vi/tim-viec-lam/giam-doc-nha-may-_-san-xuat-thep.35C6927B.html","Xem chi tiết")</f>
        <v/>
      </c>
      <c r="M3896" s="10" t="n"/>
    </row>
    <row r="3897">
      <c r="B3897" s="7" t="n">
        <v>3895</v>
      </c>
      <c r="C3897" t="inlineStr">
        <is>
          <t>Kế Toán Tổng Hợp</t>
        </is>
      </c>
      <c r="D3897" t="inlineStr">
        <is>
          <t>CÔNG TY TNHH THƯƠNG MẠI DỊCH VỤ VÀ XÂY LẮP SƠN NGỌC</t>
        </is>
      </c>
      <c r="E3897" t="inlineStr">
        <is>
          <t>Lương:Trên 11 Tr VND</t>
        </is>
      </c>
      <c r="F3897" t="inlineStr">
        <is>
          <t>Nghệ An</t>
        </is>
      </c>
      <c r="G3897" t="inlineStr">
        <is>
          <t>31-03-2026</t>
        </is>
      </c>
      <c r="H3897" t="inlineStr">
        <is>
          <t>31/03/2026</t>
        </is>
      </c>
      <c r="I3897" t="inlineStr">
        <is>
          <t>17/03/2026</t>
        </is>
      </c>
      <c r="J3897" t="inlineStr">
        <is>
          <t>Luật / Pháp lý, Kế toán / Kiểm toán, Tài chính / Đầu tư</t>
        </is>
      </c>
      <c r="K3897" t="inlineStr">
        <is>
          <t>N/A</t>
        </is>
      </c>
      <c r="L3897" s="8">
        <f>HYPERLINK("https://careerviet.vn/vi/tim-viec-lam/ke-toan-tong-hop.35C690F6.html","Xem chi tiết")</f>
        <v/>
      </c>
    </row>
    <row r="3898">
      <c r="B3898" s="9" t="n">
        <v>3896</v>
      </c>
      <c r="C3898" s="10" t="inlineStr">
        <is>
          <t>GIÁM SÁT THI CÔNG HOÀN THIỆN NỘI THẤT TẠI QUẢNG NINH-ĐÀ NẴNG - HÀ NỘI (GẤP)</t>
        </is>
      </c>
      <c r="D3898" s="10" t="inlineStr">
        <is>
          <t>Công Ty TNHH Xây Dựng và Nội Thất Cao Cấp Alliance</t>
        </is>
      </c>
      <c r="E3898" s="10" t="inlineStr">
        <is>
          <t>Lương:Cạnh tranh</t>
        </is>
      </c>
      <c r="F3898" s="10" t="inlineStr">
        <is>
          <t>Hà NộiĐà NẵngQuảng Ninh</t>
        </is>
      </c>
      <c r="G3898" s="10" t="inlineStr">
        <is>
          <t>24-03-2026</t>
        </is>
      </c>
      <c r="H3898" s="10" t="inlineStr">
        <is>
          <t>24/03/2026</t>
        </is>
      </c>
      <c r="I3898" s="10" t="inlineStr">
        <is>
          <t>17/03/2026</t>
        </is>
      </c>
      <c r="J3898" s="10" t="inlineStr">
        <is>
          <t>Kiến trúc, Xây dựng, Nội ngoại thất</t>
        </is>
      </c>
      <c r="K3898" s="10" t="inlineStr">
        <is>
          <t>Lên đến 1 Năm</t>
        </is>
      </c>
      <c r="L3898" s="11">
        <f>HYPERLINK("https://careerviet.vn/vi/tim-viec-lam/giam-sat-thi-cong-hoan-thien-noi-that-tai-quang-ninh-da-nang-ha-noi-gap.35C6934B.html","Xem chi tiết")</f>
        <v/>
      </c>
      <c r="M3898" s="10" t="n"/>
    </row>
    <row r="3899">
      <c r="B3899" s="7" t="n">
        <v>3897</v>
      </c>
      <c r="C3899" t="inlineStr">
        <is>
          <t>Chuyên Viên Marketing</t>
        </is>
      </c>
      <c r="D3899" t="inlineStr">
        <is>
          <t>Anh Nguyen Co Ltd</t>
        </is>
      </c>
      <c r="E3899" t="inlineStr">
        <is>
          <t>Lương:12 Tr - 20 Tr VND</t>
        </is>
      </c>
      <c r="F3899" t="inlineStr">
        <is>
          <t>Hà NộiKhánh Hòa</t>
        </is>
      </c>
      <c r="G3899" t="inlineStr">
        <is>
          <t>24-03-2026</t>
        </is>
      </c>
      <c r="H3899" t="inlineStr">
        <is>
          <t>24/03/2026</t>
        </is>
      </c>
      <c r="I3899" t="inlineStr">
        <is>
          <t>17/03/2026</t>
        </is>
      </c>
      <c r="J3899" t="inlineStr">
        <is>
          <t>Tiếp thị / Marketing, Tiếp thị trực tuyến, Quảng cáo / Đối ngoại / Truyền Thông</t>
        </is>
      </c>
      <c r="K3899" t="inlineStr">
        <is>
          <t>3 - 5 Năm</t>
        </is>
      </c>
      <c r="L3899" s="8">
        <f>HYPERLINK("https://careerviet.vn/vi/tim-viec-lam/chuyen-vien-marketing.35C69301.html","Xem chi tiết")</f>
        <v/>
      </c>
    </row>
    <row r="3900">
      <c r="B3900" s="9" t="n">
        <v>3898</v>
      </c>
      <c r="C3900" s="10" t="inlineStr">
        <is>
          <t>Senior Digital Marketing (strong Performance)</t>
        </is>
      </c>
      <c r="D3900" s="10" t="inlineStr">
        <is>
          <t>PATI GROUP</t>
        </is>
      </c>
      <c r="E3900" s="10" t="inlineStr">
        <is>
          <t>Lương:Cạnh tranh</t>
        </is>
      </c>
      <c r="F3900" s="10" t="inlineStr">
        <is>
          <t>Hồ Chí Minh</t>
        </is>
      </c>
      <c r="G3900" s="10" t="inlineStr">
        <is>
          <t>24-03-2026</t>
        </is>
      </c>
      <c r="H3900" s="10" t="inlineStr">
        <is>
          <t>24/03/2026</t>
        </is>
      </c>
      <c r="I3900" s="10" t="inlineStr">
        <is>
          <t>17/03/2026</t>
        </is>
      </c>
      <c r="J3900" s="10" t="inlineStr">
        <is>
          <t>Tiếp thị / Marketing, Bán hàng / Kinh doanh, Tiếp thị trực tuyến</t>
        </is>
      </c>
      <c r="K3900" s="10" t="inlineStr">
        <is>
          <t>Trên 5 Năm</t>
        </is>
      </c>
      <c r="L3900" s="11">
        <f>HYPERLINK("https://careerviet.vn/vi/tim-viec-lam/senior-digital-marketing-strong-performance.35C68F86.html","Xem chi tiết")</f>
        <v/>
      </c>
      <c r="M3900" s="10" t="n"/>
    </row>
    <row r="3901">
      <c r="B3901" s="7" t="n">
        <v>3899</v>
      </c>
      <c r="C3901" t="inlineStr">
        <is>
          <t>Nhân Viên Kinh Doanh Sản Phẩm Thời Trang Trẻ Em Base Tại Hà Nội</t>
        </is>
      </c>
      <c r="D3901" t="inlineStr">
        <is>
          <t>Công Ty TNHH XNK Cầu Nối Việt</t>
        </is>
      </c>
      <c r="E3901" t="inlineStr">
        <is>
          <t>Lương:9 Tr - 16 Tr VND</t>
        </is>
      </c>
      <c r="F3901" t="inlineStr">
        <is>
          <t>Hà Nội</t>
        </is>
      </c>
      <c r="G3901" t="inlineStr">
        <is>
          <t>31-05-2026</t>
        </is>
      </c>
      <c r="H3901" t="inlineStr">
        <is>
          <t>31/05/2026</t>
        </is>
      </c>
      <c r="I3901" t="inlineStr">
        <is>
          <t>17/03/2026</t>
        </is>
      </c>
      <c r="J3901" t="inlineStr">
        <is>
          <t>Bán hàng / Kinh doanh, Bán lẻ / Bán sỉ, Hàng gia dụng / Chăm sóc cá nhân</t>
        </is>
      </c>
      <c r="K3901" t="inlineStr">
        <is>
          <t>1 - 9 Năm</t>
        </is>
      </c>
      <c r="L3901" s="8">
        <f>HYPERLINK("https://careerviet.vn/vi/tim-viec-lam/nhan-vien-kinh-doanh-san-pham-thoi-trang-tre-em-base-tai-ha-noi.35C6943B.html","Xem chi tiết")</f>
        <v/>
      </c>
    </row>
    <row r="3902">
      <c r="B3902" s="9" t="n">
        <v>3900</v>
      </c>
      <c r="C3902" s="10" t="inlineStr">
        <is>
          <t>Nhân viên ISO (ISO Staff)</t>
        </is>
      </c>
      <c r="D3902" s="10" t="inlineStr">
        <is>
          <t>CÔNG TY TNHH SẢN XUẤT THƯƠNG MẠI VÀ DỊCH VỤ HUỲNH ĐỨC</t>
        </is>
      </c>
      <c r="E3902" s="10" t="inlineStr">
        <is>
          <t>Lương:Cạnh tranh</t>
        </is>
      </c>
      <c r="F3902" s="10" t="inlineStr">
        <is>
          <t>Đồng Nai</t>
        </is>
      </c>
      <c r="G3902" s="10" t="inlineStr">
        <is>
          <t>6</t>
        </is>
      </c>
      <c r="H3902" s="10" t="inlineStr">
        <is>
          <t>23/03/2026</t>
        </is>
      </c>
      <c r="I3902" s="10" t="inlineStr">
        <is>
          <t>17/03/2026</t>
        </is>
      </c>
      <c r="J3902" s="10" t="inlineStr">
        <is>
          <t>Sản xuất / Vận hành sản xuất, Quản lý chất lượng (QA/QC), Cơ khí / Ô tô / Tự động hóa</t>
        </is>
      </c>
      <c r="K3902" s="10" t="inlineStr">
        <is>
          <t>1 - 2 Năm</t>
        </is>
      </c>
      <c r="L3902" s="11">
        <f>HYPERLINK("https://careerviet.vn/vi/tim-viec-lam/nhan-vien-iso-iso-staff.35C6929E.html","Xem chi tiết")</f>
        <v/>
      </c>
      <c r="M3902" s="10" t="n"/>
    </row>
    <row r="3903">
      <c r="B3903" s="7" t="n">
        <v>3901</v>
      </c>
      <c r="C3903" t="inlineStr">
        <is>
          <t>Kế Toán Thanh Toán</t>
        </is>
      </c>
      <c r="D3903" t="inlineStr">
        <is>
          <t>Công ty cổ phần  vận tải đường sắt Việt Nam</t>
        </is>
      </c>
      <c r="E3903" t="inlineStr">
        <is>
          <t>Lương:10 Tr - 12 Tr VND</t>
        </is>
      </c>
      <c r="F3903" t="inlineStr">
        <is>
          <t>Hà Nội</t>
        </is>
      </c>
      <c r="G3903" t="inlineStr">
        <is>
          <t>6</t>
        </is>
      </c>
      <c r="H3903" t="inlineStr">
        <is>
          <t>23/03/2026</t>
        </is>
      </c>
      <c r="I3903" t="inlineStr">
        <is>
          <t>17/03/2026</t>
        </is>
      </c>
      <c r="J3903" t="inlineStr">
        <is>
          <t>Kế toán / Kiểm toán, Tài chính / Đầu tư, Luật / Pháp lý</t>
        </is>
      </c>
      <c r="K3903" t="inlineStr">
        <is>
          <t>Trên 3 Năm</t>
        </is>
      </c>
      <c r="L3903" s="8">
        <f>HYPERLINK("https://careerviet.vn/vi/tim-viec-lam/ke-toan-thanh-toan.35C693F0.html","Xem chi tiết")</f>
        <v/>
      </c>
    </row>
    <row r="3904">
      <c r="B3904" s="9" t="n">
        <v>3902</v>
      </c>
      <c r="C3904" s="10" t="inlineStr">
        <is>
          <t>Trưởng bộ phận Thiết kế Kết cấu</t>
        </is>
      </c>
      <c r="D3904" s="10" t="inlineStr">
        <is>
          <t>CÔNG TY CỔ PHẦN ĐẦU TƯ ĐỊA ỐC VẠN PHÚC</t>
        </is>
      </c>
      <c r="E3904" s="10" t="inlineStr">
        <is>
          <t>Lương:Cạnh tranh</t>
        </is>
      </c>
      <c r="F3904" s="10" t="inlineStr">
        <is>
          <t>Hồ Chí Minh</t>
        </is>
      </c>
      <c r="G3904" s="10" t="inlineStr">
        <is>
          <t>25-03-2026</t>
        </is>
      </c>
      <c r="H3904" s="10" t="inlineStr">
        <is>
          <t>25/03/2026</t>
        </is>
      </c>
      <c r="I3904" s="10" t="inlineStr">
        <is>
          <t>17/03/2026</t>
        </is>
      </c>
      <c r="J3904" s="10" t="inlineStr">
        <is>
          <t>Bất động sản, Mỹ thuật / Nghệ thuật / Thiết kế, Xây dựng</t>
        </is>
      </c>
      <c r="K3904" s="10" t="inlineStr">
        <is>
          <t>3 - 10 Năm</t>
        </is>
      </c>
      <c r="L3904" s="11">
        <f>HYPERLINK("https://careerviet.vn/vi/tim-viec-lam/truong-bo-phan-thiet-ke-ket-cau.35C69034.html","Xem chi tiết")</f>
        <v/>
      </c>
      <c r="M3904" s="10" t="n"/>
    </row>
    <row r="3905">
      <c r="B3905" s="7" t="n">
        <v>3903</v>
      </c>
      <c r="C3905" t="inlineStr">
        <is>
          <t>Kỹ sư kinh tế xây dựng</t>
        </is>
      </c>
      <c r="D3905" t="inlineStr">
        <is>
          <t>CÔNG TY CỔ PHẦN XÂY DỰNG CÔNG TRÌNH THÀNH MINH</t>
        </is>
      </c>
      <c r="E3905" t="inlineStr">
        <is>
          <t>Lương:15 Tr - 20 Tr VND</t>
        </is>
      </c>
      <c r="F3905" t="inlineStr">
        <is>
          <t>Hà Nội</t>
        </is>
      </c>
      <c r="G3905" t="inlineStr">
        <is>
          <t>31-03-2026</t>
        </is>
      </c>
      <c r="H3905" t="inlineStr">
        <is>
          <t>31/03/2026</t>
        </is>
      </c>
      <c r="I3905" t="inlineStr">
        <is>
          <t>17/03/2026</t>
        </is>
      </c>
      <c r="J3905" t="inlineStr">
        <is>
          <t>Xây dựng, Kiến trúc, Nội ngoại thất</t>
        </is>
      </c>
      <c r="K3905" t="inlineStr">
        <is>
          <t>3 - 10 Năm</t>
        </is>
      </c>
      <c r="L3905" s="8">
        <f>HYPERLINK("https://careerviet.vn/vi/tim-viec-lam/ky-su-kinh-te-xay-dung.35C6906C.html","Xem chi tiết")</f>
        <v/>
      </c>
    </row>
    <row r="3906">
      <c r="B3906" s="9" t="n">
        <v>3904</v>
      </c>
      <c r="C3906" s="10" t="inlineStr">
        <is>
          <t>[Hà Đông] Giám Đốc Trung Tâm Thương Mại</t>
        </is>
      </c>
      <c r="D3906" s="10" t="inlineStr">
        <is>
          <t>CÔNG TY CỔ PHẦN EUROWINDOW HOLDING</t>
        </is>
      </c>
      <c r="E3906" s="10" t="inlineStr">
        <is>
          <t>Lương:Cạnh tranh</t>
        </is>
      </c>
      <c r="F3906" s="10" t="inlineStr">
        <is>
          <t>Hà Nội</t>
        </is>
      </c>
      <c r="G3906" s="10" t="inlineStr">
        <is>
          <t>24-03-2026</t>
        </is>
      </c>
      <c r="H3906" s="10" t="inlineStr">
        <is>
          <t>24/03/2026</t>
        </is>
      </c>
      <c r="I3906" s="10" t="inlineStr">
        <is>
          <t>17/03/2026</t>
        </is>
      </c>
      <c r="J3906" s="10" t="inlineStr">
        <is>
          <t>Bán hàng / Kinh doanh, Dịch vụ khách hàng, Bất động sản</t>
        </is>
      </c>
      <c r="K3906" s="10" t="inlineStr">
        <is>
          <t>3 - 5 Năm</t>
        </is>
      </c>
      <c r="L3906" s="11">
        <f>HYPERLINK("https://careerviet.vn/vi/tim-viec-lam/ha-dong-giam-doc-trung-tam-thuong-mai.35C693FE.html","Xem chi tiết")</f>
        <v/>
      </c>
      <c r="M3906" s="10" t="n"/>
    </row>
    <row r="3907">
      <c r="B3907" s="7" t="n">
        <v>3905</v>
      </c>
      <c r="C3907" t="inlineStr">
        <is>
          <t>Giám Sát</t>
        </is>
      </c>
      <c r="D3907" t="inlineStr">
        <is>
          <t>CÔNG TY CỔ PHẦN AN PHA KIM (UA FACADE)</t>
        </is>
      </c>
      <c r="E3907" t="inlineStr">
        <is>
          <t>Lương:Cạnh tranh</t>
        </is>
      </c>
      <c r="F3907" t="inlineStr">
        <is>
          <t>Hồ Chí Minh</t>
        </is>
      </c>
      <c r="G3907" t="inlineStr">
        <is>
          <t>31-03-2026</t>
        </is>
      </c>
      <c r="H3907" t="inlineStr">
        <is>
          <t>31/03/2026</t>
        </is>
      </c>
      <c r="I3907" t="inlineStr">
        <is>
          <t>17/03/2026</t>
        </is>
      </c>
      <c r="J3907" t="inlineStr">
        <is>
          <t>Xây dựng, Nội ngoại thất, Kiến trúc</t>
        </is>
      </c>
      <c r="K3907" t="inlineStr">
        <is>
          <t>3 - 5 Năm</t>
        </is>
      </c>
      <c r="L3907" s="8">
        <f>HYPERLINK("https://careerviet.vn/vi/tim-viec-lam/giam-sat.35C6935B.html","Xem chi tiết")</f>
        <v/>
      </c>
    </row>
    <row r="3908">
      <c r="B3908" s="9" t="n">
        <v>3906</v>
      </c>
      <c r="C3908" s="10" t="inlineStr">
        <is>
          <t>Ads Executive</t>
        </is>
      </c>
      <c r="D3908" s="10" t="inlineStr">
        <is>
          <t>CÔNG TY CỔ PHẦN SẢN XUẤT TÓC APOGROUP</t>
        </is>
      </c>
      <c r="E3908" s="10" t="inlineStr">
        <is>
          <t>Lương:Cạnh tranh</t>
        </is>
      </c>
      <c r="F3908" s="10" t="inlineStr">
        <is>
          <t>Hà Nội</t>
        </is>
      </c>
      <c r="G3908" s="10" t="inlineStr">
        <is>
          <t>31-03-2026</t>
        </is>
      </c>
      <c r="H3908" s="10" t="inlineStr">
        <is>
          <t>31/03/2026</t>
        </is>
      </c>
      <c r="I3908" s="10" t="inlineStr">
        <is>
          <t>17/03/2026</t>
        </is>
      </c>
      <c r="J3908" s="10" t="inlineStr">
        <is>
          <t>Tiếp thị / Marketing, Bán hàng / Kinh doanh, Quảng cáo / Đối ngoại / Truyền Thông</t>
        </is>
      </c>
      <c r="K3908" s="10" t="inlineStr">
        <is>
          <t>Trên 1 Năm</t>
        </is>
      </c>
      <c r="L3908" s="11">
        <f>HYPERLINK("https://careerviet.vn/vi/tim-viec-lam/ads-executive.35C6934C.html","Xem chi tiết")</f>
        <v/>
      </c>
      <c r="M3908" s="10" t="n"/>
    </row>
    <row r="3909">
      <c r="B3909" s="7" t="n">
        <v>3907</v>
      </c>
      <c r="C3909" t="inlineStr">
        <is>
          <t>Nhân Viên Kế Toán</t>
        </is>
      </c>
      <c r="D3909" t="inlineStr">
        <is>
          <t>Công Ty TNHH Orro Home</t>
        </is>
      </c>
      <c r="E3909" t="inlineStr">
        <is>
          <t>Lương:10 Tr - 15 Tr VND</t>
        </is>
      </c>
      <c r="F3909" t="inlineStr">
        <is>
          <t>Hồ Chí Minh</t>
        </is>
      </c>
      <c r="G3909" t="inlineStr">
        <is>
          <t>24-03-2026</t>
        </is>
      </c>
      <c r="H3909" t="inlineStr">
        <is>
          <t>24/03/2026</t>
        </is>
      </c>
      <c r="I3909" t="inlineStr">
        <is>
          <t>17/03/2026</t>
        </is>
      </c>
      <c r="J3909" t="inlineStr">
        <is>
          <t>Kế toán / Kiểm toán</t>
        </is>
      </c>
      <c r="K3909" t="inlineStr">
        <is>
          <t>Trên 2 Năm</t>
        </is>
      </c>
      <c r="L3909" s="8">
        <f>HYPERLINK("https://careerviet.vn/vi/tim-viec-lam/nhan-vien-ke-toan.35C69346.html","Xem chi tiết")</f>
        <v/>
      </c>
    </row>
    <row r="3910">
      <c r="B3910" s="9" t="n">
        <v>3908</v>
      </c>
      <c r="C3910" s="10" t="inlineStr">
        <is>
          <t>Project Officer in Portfolio Management</t>
        </is>
      </c>
      <c r="D3910" s="10" t="inlineStr">
        <is>
          <t>The Deutsche Gesellschaft für Internationale Zusammenarbeit (GIZ)</t>
        </is>
      </c>
      <c r="E3910" s="10" t="inlineStr">
        <is>
          <t>Lương:Cạnh tranh</t>
        </is>
      </c>
      <c r="F3910" s="10" t="inlineStr">
        <is>
          <t>Hà Nội</t>
        </is>
      </c>
      <c r="G3910" s="10" t="inlineStr">
        <is>
          <t>09-03-2026</t>
        </is>
      </c>
      <c r="H3910" s="10" t="inlineStr">
        <is>
          <t>10/03/2026</t>
        </is>
      </c>
      <c r="I3910" s="10" t="inlineStr">
        <is>
          <t>17/03/2026</t>
        </is>
      </c>
      <c r="J3910" s="10" t="inlineStr">
        <is>
          <t>N/A</t>
        </is>
      </c>
      <c r="K3910" s="10" t="inlineStr">
        <is>
          <t>N/A</t>
        </is>
      </c>
      <c r="L3910" s="11">
        <f>HYPERLINK("https://careerviet.vn/vi/tim-viec-lam/project-officer-in-portfolio-management.35C692ED.html","Xem chi tiết")</f>
        <v/>
      </c>
      <c r="M3910" s="10" t="n"/>
    </row>
    <row r="3911">
      <c r="B3911" s="7" t="n">
        <v>3909</v>
      </c>
      <c r="C3911" t="inlineStr">
        <is>
          <t>Nhân viên Tài chính</t>
        </is>
      </c>
      <c r="D3911" t="inlineStr">
        <is>
          <t>Công ty cổ phần Xi Măng Thăng Long</t>
        </is>
      </c>
      <c r="E3911" t="inlineStr">
        <is>
          <t>Lương:Cạnh tranh</t>
        </is>
      </c>
      <c r="F3911" t="inlineStr">
        <is>
          <t>Hà Nội</t>
        </is>
      </c>
      <c r="G3911" t="inlineStr">
        <is>
          <t>25-03-2026</t>
        </is>
      </c>
      <c r="H3911" t="inlineStr">
        <is>
          <t>25/03/2026</t>
        </is>
      </c>
      <c r="I3911" t="inlineStr">
        <is>
          <t>17/03/2026</t>
        </is>
      </c>
      <c r="J3911" t="inlineStr">
        <is>
          <t>Kế toán / Kiểm toán, Thống kê, Tài chính / Đầu tư</t>
        </is>
      </c>
      <c r="K3911" t="inlineStr">
        <is>
          <t>Trên 2 Năm</t>
        </is>
      </c>
      <c r="L3911" s="8">
        <f>HYPERLINK("https://careerviet.vn/vi/tim-viec-lam/nhan-vien-tai-chinh.35C693E0.html","Xem chi tiết")</f>
        <v/>
      </c>
    </row>
    <row r="3912">
      <c r="B3912" s="9" t="n">
        <v>3910</v>
      </c>
      <c r="C3912" s="10" t="inlineStr">
        <is>
          <t>Trưởng Nhóm Kế Toán Thuế Làm Việc Tại Ngoại Giao Đoàn Lương Từ 18 - 20 Triệu/Tháng</t>
        </is>
      </c>
      <c r="D3912" s="10" t="inlineStr">
        <is>
          <t>Công Ty TNHH XNK Cầu Nối Việt</t>
        </is>
      </c>
      <c r="E3912" s="10" t="inlineStr">
        <is>
          <t>Lương:18 Tr - 20 Tr VND</t>
        </is>
      </c>
      <c r="F3912" s="10" t="inlineStr">
        <is>
          <t>Hà Nội</t>
        </is>
      </c>
      <c r="G3912" s="10" t="inlineStr">
        <is>
          <t>31-05-2026</t>
        </is>
      </c>
      <c r="H3912" s="10" t="inlineStr">
        <is>
          <t>31/05/2026</t>
        </is>
      </c>
      <c r="I3912" s="10" t="inlineStr">
        <is>
          <t>17/03/2026</t>
        </is>
      </c>
      <c r="J3912" s="10" t="inlineStr">
        <is>
          <t>Kế toán / Kiểm toán</t>
        </is>
      </c>
      <c r="K3912" s="10" t="inlineStr">
        <is>
          <t>3 - 15 Năm</t>
        </is>
      </c>
      <c r="L3912" s="11">
        <f>HYPERLINK("https://careerviet.vn/vi/tim-viec-lam/truong-nhom-ke-toan-thue-lam-viec-tai-ngoai-giao-doan-luong-tu-18-20-trieu-thang.35C69440.html","Xem chi tiết")</f>
        <v/>
      </c>
      <c r="M3912" s="10" t="n"/>
    </row>
    <row r="3913">
      <c r="B3913" s="7" t="n">
        <v>3911</v>
      </c>
      <c r="C3913" t="inlineStr">
        <is>
          <t>Chuyên viên Khách hàng Cá nhân/Doanh nghiệp - Chi nhánh Cần Thơ</t>
        </is>
      </c>
      <c r="D3913" t="inlineStr">
        <is>
          <t>Indovina Bank Ltd.</t>
        </is>
      </c>
      <c r="E3913" t="inlineStr">
        <is>
          <t>Lương:Cạnh tranh</t>
        </is>
      </c>
      <c r="F3913" t="inlineStr">
        <is>
          <t>Cần Thơ</t>
        </is>
      </c>
      <c r="G3913" t="inlineStr">
        <is>
          <t>31-03-2026</t>
        </is>
      </c>
      <c r="H3913" t="inlineStr">
        <is>
          <t>31/03/2026</t>
        </is>
      </c>
      <c r="I3913" t="inlineStr">
        <is>
          <t>17/03/2026</t>
        </is>
      </c>
      <c r="J3913" t="inlineStr">
        <is>
          <t>Bán hàng / Kinh doanh, Ngân hàng, Tài chính / Đầu tư</t>
        </is>
      </c>
      <c r="K3913" t="inlineStr">
        <is>
          <t>1 - 2 Năm</t>
        </is>
      </c>
      <c r="L3913" s="8">
        <f>HYPERLINK("https://careerviet.vn/vi/tim-viec-lam/chuyen-vien-khach-hang-ca-nhan-doanh-nghiep-chi-nhanh-can-tho.35C69039.html","Xem chi tiết")</f>
        <v/>
      </c>
    </row>
    <row r="3914">
      <c r="B3914" s="9" t="n">
        <v>3912</v>
      </c>
      <c r="C3914" s="10" t="inlineStr">
        <is>
          <t>EHS Specialist</t>
        </is>
      </c>
      <c r="D3914" s="10" t="inlineStr">
        <is>
          <t>CÔNG TY TNHH ASHTON FURNITURE CONSOLIDATION</t>
        </is>
      </c>
      <c r="E3914" s="10" t="inlineStr">
        <is>
          <t>Lương:15 Tr - 18 Tr VND</t>
        </is>
      </c>
      <c r="F3914" s="10" t="inlineStr">
        <is>
          <t>Bà Rịa - Vũng Tàu</t>
        </is>
      </c>
      <c r="G3914" s="10" t="inlineStr">
        <is>
          <t>6</t>
        </is>
      </c>
      <c r="H3914" s="10" t="inlineStr">
        <is>
          <t>23/03/2026</t>
        </is>
      </c>
      <c r="I3914" s="10" t="inlineStr">
        <is>
          <t>17/03/2026</t>
        </is>
      </c>
      <c r="J3914" s="10" t="inlineStr">
        <is>
          <t>Môi trường</t>
        </is>
      </c>
      <c r="K3914" s="10" t="inlineStr">
        <is>
          <t>1 - 5 Năm</t>
        </is>
      </c>
      <c r="L3914" s="11">
        <f>HYPERLINK("https://careerviet.vn/vi/tim-viec-lam/ehs-specialist.35C690C7.html","Xem chi tiết")</f>
        <v/>
      </c>
      <c r="M3914" s="10" t="n"/>
    </row>
    <row r="3915">
      <c r="B3915" s="7" t="n">
        <v>3913</v>
      </c>
      <c r="C3915" t="inlineStr">
        <is>
          <t>Chuyên Viên Tư Vấn Tuyển Sinh - ILA Thủ Đức</t>
        </is>
      </c>
      <c r="D3915" t="inlineStr">
        <is>
          <t>ILA Việt Nam</t>
        </is>
      </c>
      <c r="E3915" t="inlineStr">
        <is>
          <t>Lương:8 Tr - 30 Tr VND</t>
        </is>
      </c>
      <c r="F3915" t="inlineStr">
        <is>
          <t>Hồ Chí Minh</t>
        </is>
      </c>
      <c r="G3915" t="inlineStr">
        <is>
          <t>31-03-2026</t>
        </is>
      </c>
      <c r="H3915" t="inlineStr">
        <is>
          <t>31/03/2026</t>
        </is>
      </c>
      <c r="I3915" t="inlineStr">
        <is>
          <t>17/03/2026</t>
        </is>
      </c>
      <c r="J3915" t="inlineStr">
        <is>
          <t>Bán hàng / Kinh doanh, Tư vấn, Dịch vụ khách hàng</t>
        </is>
      </c>
      <c r="K3915" t="inlineStr">
        <is>
          <t>1 - 2 Năm</t>
        </is>
      </c>
      <c r="L3915" s="8">
        <f>HYPERLINK("https://careerviet.vn/vi/tim-viec-lam/chuyen-vien-tu-van-tuyen-sinh-ila-thu-duc.35C6906A.html","Xem chi tiết")</f>
        <v/>
      </c>
    </row>
    <row r="3916">
      <c r="B3916" s="9" t="n">
        <v>3914</v>
      </c>
      <c r="C3916" s="10" t="inlineStr">
        <is>
          <t>Giáo viên tiếng Anh mầm non (VNT)  - ILO Preschool Bình Dương</t>
        </is>
      </c>
      <c r="D3916" s="10" t="inlineStr">
        <is>
          <t>ILA Việt Nam</t>
        </is>
      </c>
      <c r="E3916" s="10" t="inlineStr">
        <is>
          <t>Lương:9 Tr - 11 Tr VND</t>
        </is>
      </c>
      <c r="F3916" s="10" t="inlineStr">
        <is>
          <t>Bình Dương</t>
        </is>
      </c>
      <c r="G3916" s="10" t="inlineStr">
        <is>
          <t>3</t>
        </is>
      </c>
      <c r="H3916" s="10" t="inlineStr">
        <is>
          <t>20/03/2026</t>
        </is>
      </c>
      <c r="I3916" s="10" t="inlineStr">
        <is>
          <t>17/03/2026</t>
        </is>
      </c>
      <c r="J3916" s="10" t="inlineStr">
        <is>
          <t>Giáo dục / Đào tạo</t>
        </is>
      </c>
      <c r="K3916" s="10" t="inlineStr">
        <is>
          <t>1 - 2 Năm</t>
        </is>
      </c>
      <c r="L3916" s="11">
        <f>HYPERLINK("https://careerviet.vn/vi/tim-viec-lam/giao-vien-tieng-anh-mam-non-vnt-ilo-preschool-binh-duong.35C69326.html","Xem chi tiết")</f>
        <v/>
      </c>
      <c r="M3916" s="10" t="n"/>
    </row>
    <row r="3917">
      <c r="B3917" s="7" t="n">
        <v>3915</v>
      </c>
      <c r="C3917" t="inlineStr">
        <is>
          <t>Kỹ sư chất lượng 27652 - Đống Đa, HN</t>
        </is>
      </c>
      <c r="D3917" t="inlineStr">
        <is>
          <t>Công Ty TNHH Reeracoen Việt Nam</t>
        </is>
      </c>
      <c r="E3917" t="inlineStr">
        <is>
          <t>Lương:9 Tr - 12 Tr VND</t>
        </is>
      </c>
      <c r="F3917" t="inlineStr">
        <is>
          <t>Hà Nội</t>
        </is>
      </c>
      <c r="G3917" t="inlineStr">
        <is>
          <t>24-03-2026</t>
        </is>
      </c>
      <c r="H3917" t="inlineStr">
        <is>
          <t>24/03/2026</t>
        </is>
      </c>
      <c r="I3917" t="inlineStr">
        <is>
          <t>17/03/2026</t>
        </is>
      </c>
      <c r="J3917" t="inlineStr">
        <is>
          <t>Điện / Điện tử / Điện lạnh / Điện công nghiệp, Cơ khí / Ô tô / Tự động hóa, Bảo trì / Sửa chữa</t>
        </is>
      </c>
      <c r="K3917" t="inlineStr">
        <is>
          <t>N/A</t>
        </is>
      </c>
      <c r="L3917" s="8">
        <f>HYPERLINK("https://careerviet.vn/vi/tim-viec-lam/ky-su-chat-luong-27652-dong-da-hn.35C693E2.html","Xem chi tiết")</f>
        <v/>
      </c>
    </row>
    <row r="3918">
      <c r="B3918" s="9" t="n">
        <v>3916</v>
      </c>
      <c r="C3918" s="10" t="inlineStr">
        <is>
          <t>KỸ SƯ XÂY DỰNG CÔNG TRÌNH GIAO THÔNG (có kinh nghiệm)</t>
        </is>
      </c>
      <c r="D3918" s="10" t="inlineStr">
        <is>
          <t>Công ty cổ phần Xây dựng Công trình IPC</t>
        </is>
      </c>
      <c r="E3918" s="10" t="inlineStr">
        <is>
          <t>Lương:30 Tr - 40 Tr VND</t>
        </is>
      </c>
      <c r="F3918" s="10" t="inlineStr">
        <is>
          <t>Hà Nội</t>
        </is>
      </c>
      <c r="G3918" s="10" t="inlineStr">
        <is>
          <t>09-03-2026</t>
        </is>
      </c>
      <c r="H3918" s="10" t="inlineStr">
        <is>
          <t>15/03/2026</t>
        </is>
      </c>
      <c r="I3918" s="10" t="inlineStr">
        <is>
          <t>17/03/2026</t>
        </is>
      </c>
      <c r="J3918" s="10" t="inlineStr">
        <is>
          <t>Xây dựng, Trắc địa / Địa Chất, Kiến trúc</t>
        </is>
      </c>
      <c r="K3918" s="10" t="inlineStr">
        <is>
          <t>N/A</t>
        </is>
      </c>
      <c r="L3918" s="11">
        <f>HYPERLINK("https://careerviet.vn/vi/tim-viec-lam/ky-su-xay-dung-cong-trinh-giao-thong-co-kinh-nghiem.35C6903C.html","Xem chi tiết")</f>
        <v/>
      </c>
      <c r="M3918" s="10" t="n"/>
    </row>
    <row r="3919">
      <c r="B3919" s="7" t="n">
        <v>3917</v>
      </c>
      <c r="C3919" t="inlineStr">
        <is>
          <t>Chuyên viên Giám Sát Xây Dựng</t>
        </is>
      </c>
      <c r="D3919" t="inlineStr">
        <is>
          <t>BIM Group</t>
        </is>
      </c>
      <c r="E3919" t="inlineStr">
        <is>
          <t>Lương:Cạnh tranh</t>
        </is>
      </c>
      <c r="F3919" t="inlineStr">
        <is>
          <t>Vĩnh Phúc</t>
        </is>
      </c>
      <c r="G3919" t="inlineStr">
        <is>
          <t>31-03-2026</t>
        </is>
      </c>
      <c r="H3919" t="inlineStr">
        <is>
          <t>31/03/2026</t>
        </is>
      </c>
      <c r="I3919" t="inlineStr">
        <is>
          <t>17/03/2026</t>
        </is>
      </c>
      <c r="J3919" t="inlineStr">
        <is>
          <t>Xây dựng</t>
        </is>
      </c>
      <c r="K3919" t="inlineStr">
        <is>
          <t>Trên 3 Năm</t>
        </is>
      </c>
      <c r="L3919" s="8">
        <f>HYPERLINK("https://careerviet.vn/vi/tim-viec-lam/chuyen-vien-giam-sat-xay-dung.35C6930E.html","Xem chi tiết")</f>
        <v/>
      </c>
    </row>
    <row r="3920">
      <c r="B3920" s="9" t="n">
        <v>3918</v>
      </c>
      <c r="C3920" s="10" t="inlineStr">
        <is>
          <t>Chuyên viên kinh doanh thị trường - Khung trần Vĩnh Tường + Tấm xi măng Duraflex</t>
        </is>
      </c>
      <c r="D3920" s="10" t="inlineStr">
        <is>
          <t>Bảo mật</t>
        </is>
      </c>
      <c r="E3920" s="10" t="inlineStr">
        <is>
          <t>Lương:Cạnh tranh</t>
        </is>
      </c>
      <c r="F3920" s="10" t="inlineStr">
        <is>
          <t>Kiên Giang</t>
        </is>
      </c>
      <c r="G3920" s="10" t="inlineStr">
        <is>
          <t>24-03-2026</t>
        </is>
      </c>
      <c r="H3920" s="10" t="inlineStr">
        <is>
          <t>24/03/2026</t>
        </is>
      </c>
      <c r="I3920" s="10" t="inlineStr">
        <is>
          <t>17/03/2026</t>
        </is>
      </c>
      <c r="J3920" s="10" t="inlineStr">
        <is>
          <t>Bán lẻ / Bán sỉ, Bán hàng / Kinh doanh, Xây dựng</t>
        </is>
      </c>
      <c r="K3920" s="10" t="inlineStr">
        <is>
          <t>2 - 3 Năm</t>
        </is>
      </c>
      <c r="L3920" s="11">
        <f>HYPERLINK("https://careerviet.vn/vi/tim-viec-lam/chuyen-vien-kinh-doanh-thi-truong-khung-tran-vinh-tuong-tam-xi-mang-duraflex.35C693BA.html","Xem chi tiết")</f>
        <v/>
      </c>
      <c r="M3920" s="10" t="n"/>
    </row>
    <row r="3921">
      <c r="B3921" s="7" t="n">
        <v>3919</v>
      </c>
      <c r="C3921" t="inlineStr">
        <is>
          <t>JP Business Development Manager ( Japanese Speaking)</t>
        </is>
      </c>
      <c r="D3921" t="inlineStr">
        <is>
          <t>CÔNG TY TNHH CEVA LOGISTICS (VIỆT NAM)</t>
        </is>
      </c>
      <c r="E3921" t="inlineStr">
        <is>
          <t>Lương:Cạnh tranh</t>
        </is>
      </c>
      <c r="F3921" t="inlineStr">
        <is>
          <t>Hà NộiHồ Chí Minh</t>
        </is>
      </c>
      <c r="G3921" t="inlineStr">
        <is>
          <t>31-03-2026</t>
        </is>
      </c>
      <c r="H3921" t="inlineStr">
        <is>
          <t>31/03/2026</t>
        </is>
      </c>
      <c r="I3921" t="inlineStr">
        <is>
          <t>17/03/2026</t>
        </is>
      </c>
      <c r="J3921" t="inlineStr">
        <is>
          <t>Xuất nhập khẩu, Vận chuyển / Giao nhận / Kho vận</t>
        </is>
      </c>
      <c r="K3921" t="inlineStr">
        <is>
          <t>5 - 20 Năm</t>
        </is>
      </c>
      <c r="L3921" s="8">
        <f>HYPERLINK("https://careerviet.vn/vi/tim-viec-lam/jp-business-development-manager-japanese-speaking.35C6900D.html","Xem chi tiết")</f>
        <v/>
      </c>
    </row>
    <row r="3922">
      <c r="B3922" s="9" t="n">
        <v>3920</v>
      </c>
      <c r="C3922" s="10" t="inlineStr">
        <is>
          <t>AP Accountant (Location: Thu Duc, HCMC)</t>
        </is>
      </c>
      <c r="D3922" s="10" t="inlineStr">
        <is>
          <t>EUROFINS VIETNAM</t>
        </is>
      </c>
      <c r="E3922" s="10" t="inlineStr">
        <is>
          <t>Lương:Cạnh tranh</t>
        </is>
      </c>
      <c r="F3922" s="10" t="inlineStr">
        <is>
          <t>Hồ Chí Minh</t>
        </is>
      </c>
      <c r="G3922" s="10" t="inlineStr">
        <is>
          <t>31-03-2026</t>
        </is>
      </c>
      <c r="H3922" s="10" t="inlineStr">
        <is>
          <t>31/03/2026</t>
        </is>
      </c>
      <c r="I3922" s="10" t="inlineStr">
        <is>
          <t>17/03/2026</t>
        </is>
      </c>
      <c r="J3922" s="10" t="inlineStr">
        <is>
          <t>Kế toán / Kiểm toán, Tài chính / Đầu tư</t>
        </is>
      </c>
      <c r="K3922" s="10" t="inlineStr">
        <is>
          <t>2 - 3 Năm</t>
        </is>
      </c>
      <c r="L3922" s="11">
        <f>HYPERLINK("https://careerviet.vn/vi/tim-viec-lam/ap-accountant-location-thu-duc-hcmc.35C6916A.html","Xem chi tiết")</f>
        <v/>
      </c>
      <c r="M3922" s="10" t="n"/>
    </row>
    <row r="3923">
      <c r="B3923" s="7" t="n">
        <v>3921</v>
      </c>
      <c r="C3923" t="inlineStr">
        <is>
          <t>Trưởng nhóm tư vấn tuyển sinh - School Sales Supervisor</t>
        </is>
      </c>
      <c r="D3923" t="inlineStr">
        <is>
          <t>Wall Street English</t>
        </is>
      </c>
      <c r="E3923" t="inlineStr">
        <is>
          <t>Lương:Cạnh tranh</t>
        </is>
      </c>
      <c r="F3923" t="inlineStr">
        <is>
          <t>Hồ Chí Minh</t>
        </is>
      </c>
      <c r="G3923" t="inlineStr">
        <is>
          <t>3</t>
        </is>
      </c>
      <c r="H3923" t="inlineStr">
        <is>
          <t>20/03/2026</t>
        </is>
      </c>
      <c r="I3923" t="inlineStr">
        <is>
          <t>17/03/2026</t>
        </is>
      </c>
      <c r="J3923" t="inlineStr">
        <is>
          <t>Tư vấn, Giáo dục / Đào tạo, Dịch vụ khách hàng</t>
        </is>
      </c>
      <c r="K3923" t="inlineStr">
        <is>
          <t>3 - 5 Năm</t>
        </is>
      </c>
      <c r="L3923" s="8">
        <f>HYPERLINK("https://careerviet.vn/vi/tim-viec-lam/truong-nhom-tu-van-tuyen-sinh-school-sales-supervisor.35C692CB.html","Xem chi tiết")</f>
        <v/>
      </c>
    </row>
    <row r="3924">
      <c r="B3924" s="9" t="n">
        <v>3922</v>
      </c>
      <c r="C3924" s="10" t="inlineStr">
        <is>
          <t>Giám sát Bán hàng - Bạc Liêu</t>
        </is>
      </c>
      <c r="D3924" s="10" t="inlineStr">
        <is>
          <t>Suntory PepsiCo</t>
        </is>
      </c>
      <c r="E3924" s="10" t="inlineStr">
        <is>
          <t>Lương:25 Tr - 35 Tr VND</t>
        </is>
      </c>
      <c r="F3924" s="10" t="inlineStr">
        <is>
          <t>Bạc Liêu</t>
        </is>
      </c>
      <c r="G3924" s="10" t="inlineStr">
        <is>
          <t>31-03-2026</t>
        </is>
      </c>
      <c r="H3924" s="10" t="inlineStr">
        <is>
          <t>31/03/2026</t>
        </is>
      </c>
      <c r="I3924" s="10" t="inlineStr">
        <is>
          <t>17/03/2026</t>
        </is>
      </c>
      <c r="J3924" s="10" t="inlineStr">
        <is>
          <t>Bán lẻ / Bán sỉ, Bán hàng / Kinh doanh, Thực phẩm &amp; Đồ uống</t>
        </is>
      </c>
      <c r="K3924" s="10" t="inlineStr">
        <is>
          <t>2 - 5 Năm</t>
        </is>
      </c>
      <c r="L3924" s="11">
        <f>HYPERLINK("https://careerviet.vn/vi/tim-viec-lam/giam-sat-ban-hang-bac-lieu.35C69345.html","Xem chi tiết")</f>
        <v/>
      </c>
      <c r="M3924" s="10" t="n"/>
    </row>
    <row r="3925">
      <c r="B3925" s="7" t="n">
        <v>3923</v>
      </c>
      <c r="C3925" t="inlineStr">
        <is>
          <t>Kỹ sư thiết kế giao thông, hạ tầng</t>
        </is>
      </c>
      <c r="D3925" t="inlineStr">
        <is>
          <t>Công ty cổ phần đầu tư Xây dựng và thương mại Nhật Việt</t>
        </is>
      </c>
      <c r="E3925" t="inlineStr">
        <is>
          <t>Lương:Cạnh tranh</t>
        </is>
      </c>
      <c r="F3925" t="inlineStr">
        <is>
          <t>Hà Nội</t>
        </is>
      </c>
      <c r="G3925" t="inlineStr">
        <is>
          <t>24-03-2026</t>
        </is>
      </c>
      <c r="H3925" t="inlineStr">
        <is>
          <t>24/03/2026</t>
        </is>
      </c>
      <c r="I3925" t="inlineStr">
        <is>
          <t>17/03/2026</t>
        </is>
      </c>
      <c r="J3925" t="inlineStr">
        <is>
          <t>Xây dựng, Mỹ thuật / Nghệ thuật / Thiết kế</t>
        </is>
      </c>
      <c r="K3925" t="inlineStr">
        <is>
          <t>3 - 5 Năm</t>
        </is>
      </c>
      <c r="L3925" s="8">
        <f>HYPERLINK("https://careerviet.vn/vi/tim-viec-lam/ky-su-thiet-ke-giao-thong-ha-tang.35C68FDC.html","Xem chi tiết")</f>
        <v/>
      </c>
    </row>
    <row r="3926">
      <c r="B3926" s="9" t="n">
        <v>3924</v>
      </c>
      <c r="C3926" s="10" t="inlineStr">
        <is>
          <t>NV Thủ tục Hải quan</t>
        </is>
      </c>
      <c r="D3926" s="10" t="inlineStr">
        <is>
          <t>CÔNG TY CỔ PHẦN TIẾP VẬN INTERCARGO</t>
        </is>
      </c>
      <c r="E3926" s="10" t="inlineStr">
        <is>
          <t>Lương:12 Tr - 15 Tr VND</t>
        </is>
      </c>
      <c r="F3926" s="10" t="inlineStr">
        <is>
          <t>Hà Nội</t>
        </is>
      </c>
      <c r="G3926" s="10" t="inlineStr">
        <is>
          <t>31-03-2026</t>
        </is>
      </c>
      <c r="H3926" s="10" t="inlineStr">
        <is>
          <t>31/03/2026</t>
        </is>
      </c>
      <c r="I3926" s="10" t="inlineStr">
        <is>
          <t>17/03/2026</t>
        </is>
      </c>
      <c r="J3926" s="10" t="inlineStr">
        <is>
          <t>Vận chuyển / Giao nhận / Kho vận, Xuất nhập khẩu, Sản xuất / Vận hành sản xuất</t>
        </is>
      </c>
      <c r="K3926" s="10" t="inlineStr">
        <is>
          <t>Chưa có kinh nghiệm</t>
        </is>
      </c>
      <c r="L3926" s="11">
        <f>HYPERLINK("https://careerviet.vn/vi/tim-viec-lam/nv-thu-tuc-hai-quan.35C692DF.html","Xem chi tiết")</f>
        <v/>
      </c>
      <c r="M3926" s="10" t="n"/>
    </row>
    <row r="3927">
      <c r="B3927" s="7" t="n">
        <v>3925</v>
      </c>
      <c r="C3927" t="inlineStr">
        <is>
          <t>General Affairs Manager (Lương gross 20-30 triệu)</t>
        </is>
      </c>
      <c r="D3927" t="inlineStr">
        <is>
          <t>CÔNG TY TNHH SẢN PHẨM XÂY DỰNG DINGO</t>
        </is>
      </c>
      <c r="E3927" t="inlineStr">
        <is>
          <t>Lương:20 Tr - 30 Tr VND</t>
        </is>
      </c>
      <c r="F3927" t="inlineStr">
        <is>
          <t>Đồng Nai</t>
        </is>
      </c>
      <c r="G3927" t="inlineStr">
        <is>
          <t>26-03-2026</t>
        </is>
      </c>
      <c r="H3927" t="inlineStr">
        <is>
          <t>26/03/2026</t>
        </is>
      </c>
      <c r="I3927" t="inlineStr">
        <is>
          <t>17/03/2026</t>
        </is>
      </c>
      <c r="J3927" t="inlineStr">
        <is>
          <t>Kế toán / Kiểm toán, Điện / Điện tử / Điện lạnh / Điện công nghiệp, Hóa học</t>
        </is>
      </c>
      <c r="K3927" t="inlineStr">
        <is>
          <t>Trên 5 Năm</t>
        </is>
      </c>
      <c r="L3927" s="8">
        <f>HYPERLINK("https://careerviet.vn/vi/tim-viec-lam/general-affairs-manager-luong-gross-20-30-trieu.35C68FCF.html","Xem chi tiết")</f>
        <v/>
      </c>
    </row>
    <row r="3928">
      <c r="B3928" s="9" t="n">
        <v>3926</v>
      </c>
      <c r="C3928" s="10" t="inlineStr">
        <is>
          <t>[Thanh Hóa] Chuyên viên Kinh doanh thị trường</t>
        </is>
      </c>
      <c r="D3928" s="10" t="inlineStr">
        <is>
          <t>Saint-Gobain Vietnam</t>
        </is>
      </c>
      <c r="E3928" s="10" t="inlineStr">
        <is>
          <t>Lương:Cạnh tranh</t>
        </is>
      </c>
      <c r="F3928" s="10" t="inlineStr">
        <is>
          <t>Thanh Hóa</t>
        </is>
      </c>
      <c r="G3928" s="10" t="inlineStr">
        <is>
          <t>31-03-2026</t>
        </is>
      </c>
      <c r="H3928" s="10" t="inlineStr">
        <is>
          <t>31/03/2026</t>
        </is>
      </c>
      <c r="I3928" s="10" t="inlineStr">
        <is>
          <t>17/03/2026</t>
        </is>
      </c>
      <c r="J3928" s="10" t="inlineStr">
        <is>
          <t>Bán lẻ / Bán sỉ, Bán hàng / Kinh doanh, Xây dựng</t>
        </is>
      </c>
      <c r="K3928" s="10" t="inlineStr">
        <is>
          <t>2 - 5 Năm</t>
        </is>
      </c>
      <c r="L3928" s="11">
        <f>HYPERLINK("https://careerviet.vn/vi/tim-viec-lam/thanh-hoa-chuyen-vien-kinh-doanh-thi-truong.35C692A3.html","Xem chi tiết")</f>
        <v/>
      </c>
      <c r="M3928" s="10" t="n"/>
    </row>
    <row r="3929">
      <c r="B3929" s="7" t="n">
        <v>3927</v>
      </c>
      <c r="C3929" t="inlineStr">
        <is>
          <t>Hà Nội - Chuyên Viên Tư Vấn Khách Hàng Cá Nhân - Fasttrack 2026</t>
        </is>
      </c>
      <c r="D3929" t="inlineStr">
        <is>
          <t>ABBANK - Ngân Hàng TMCP An Bình</t>
        </is>
      </c>
      <c r="E3929" t="inlineStr">
        <is>
          <t>Lương:9 Tr - 20 Tr VND</t>
        </is>
      </c>
      <c r="F3929" t="inlineStr">
        <is>
          <t>Hà Nội</t>
        </is>
      </c>
      <c r="G3929" t="inlineStr">
        <is>
          <t>31-03-2026</t>
        </is>
      </c>
      <c r="H3929" t="inlineStr">
        <is>
          <t>31/03/2026</t>
        </is>
      </c>
      <c r="I3929" t="inlineStr">
        <is>
          <t>17/03/2026</t>
        </is>
      </c>
      <c r="J3929" t="inlineStr">
        <is>
          <t>Bán hàng / Kinh doanh, Ngân hàng, Tài chính / Đầu tư</t>
        </is>
      </c>
      <c r="K3929" t="inlineStr">
        <is>
          <t>N/A</t>
        </is>
      </c>
      <c r="L3929" s="8">
        <f>HYPERLINK("https://careerviet.vn/vi/tim-viec-lam/ha-noi-chuyen-vien-tu-van-khach-hang-ca-nhan-fasttrack-2026.35C691DC.html","Xem chi tiết")</f>
        <v/>
      </c>
    </row>
    <row r="3930">
      <c r="B3930" s="9" t="n">
        <v>3928</v>
      </c>
      <c r="C3930" s="10" t="inlineStr">
        <is>
          <t>Senior Compliance Executive</t>
        </is>
      </c>
      <c r="D3930" s="10" t="inlineStr">
        <is>
          <t>Highlands Coffee</t>
        </is>
      </c>
      <c r="E3930" s="10" t="inlineStr">
        <is>
          <t>Lương:Cạnh tranh</t>
        </is>
      </c>
      <c r="F3930" s="10" t="inlineStr">
        <is>
          <t>Hồ Chí Minh</t>
        </is>
      </c>
      <c r="G3930" s="10" t="inlineStr">
        <is>
          <t>24-03-2026</t>
        </is>
      </c>
      <c r="H3930" s="10" t="inlineStr">
        <is>
          <t>24/03/2026</t>
        </is>
      </c>
      <c r="I3930" s="10" t="inlineStr">
        <is>
          <t>17/03/2026</t>
        </is>
      </c>
      <c r="J3930" s="10" t="inlineStr">
        <is>
          <t>Luật / Pháp lý</t>
        </is>
      </c>
      <c r="K3930" s="10" t="inlineStr">
        <is>
          <t>4 - 7 Năm</t>
        </is>
      </c>
      <c r="L3930" s="11">
        <f>HYPERLINK("https://careerviet.vn/vi/tim-viec-lam/senior-compliance-executive.35C6A89D.html","Xem chi tiết")</f>
        <v/>
      </c>
      <c r="M3930" s="10" t="n"/>
    </row>
    <row r="3931">
      <c r="B3931" s="7" t="n">
        <v>3929</v>
      </c>
      <c r="C3931" t="inlineStr">
        <is>
          <t>Chuyên viên Thẩm định Đầu tư</t>
        </is>
      </c>
      <c r="D3931" t="inlineStr">
        <is>
          <t>Công Ty Cổ Phần Bất Động Sản Tiến Phước</t>
        </is>
      </c>
      <c r="E3931" t="inlineStr">
        <is>
          <t>Lương:Cạnh tranh</t>
        </is>
      </c>
      <c r="F3931" t="inlineStr">
        <is>
          <t>Hồ Chí Minh</t>
        </is>
      </c>
      <c r="G3931" t="inlineStr">
        <is>
          <t>31-03-2026</t>
        </is>
      </c>
      <c r="H3931" t="inlineStr">
        <is>
          <t>31/03/2026</t>
        </is>
      </c>
      <c r="I3931" t="inlineStr">
        <is>
          <t>17/03/2026</t>
        </is>
      </c>
      <c r="J3931" t="inlineStr">
        <is>
          <t>Tài chính / Đầu tư, Bất động sản</t>
        </is>
      </c>
      <c r="K3931" t="inlineStr">
        <is>
          <t>2 - 5 Năm</t>
        </is>
      </c>
      <c r="L3931" s="8">
        <f>HYPERLINK("https://careerviet.vn/vi/tim-viec-lam/chuyen-vien-tham-dinh-dau-tu.35C6A9AD.html","Xem chi tiết")</f>
        <v/>
      </c>
    </row>
    <row r="3932">
      <c r="B3932" s="9" t="n">
        <v>3930</v>
      </c>
      <c r="C3932" s="10" t="inlineStr">
        <is>
          <t>Nhân Viên Truyền Thông (Phụ Trách Chương Trình Thành Viên)</t>
        </is>
      </c>
      <c r="D3932" s="10" t="inlineStr">
        <is>
          <t>Công ty TNHH Việt Dũng Sài Gòn</t>
        </is>
      </c>
      <c r="E3932" s="10" t="inlineStr">
        <is>
          <t>Lương:10 Tr - 13 Tr VND</t>
        </is>
      </c>
      <c r="F3932" s="10" t="inlineStr">
        <is>
          <t>Hồ Chí Minh</t>
        </is>
      </c>
      <c r="G3932" s="10" t="inlineStr">
        <is>
          <t>03-04-2026</t>
        </is>
      </c>
      <c r="H3932" s="10" t="inlineStr">
        <is>
          <t>03/04/2026</t>
        </is>
      </c>
      <c r="I3932" s="10" t="inlineStr">
        <is>
          <t>17/03/2026</t>
        </is>
      </c>
      <c r="J3932" s="10" t="inlineStr">
        <is>
          <t>Tiếp thị / Marketing, Quảng cáo / Đối ngoại / Truyền Thông, Tiếp thị trực tuyến</t>
        </is>
      </c>
      <c r="K3932" s="10" t="inlineStr">
        <is>
          <t>Chưa có kinh nghiệm</t>
        </is>
      </c>
      <c r="L3932" s="11">
        <f>HYPERLINK("https://careerviet.vn/vi/tim-viec-lam/nhan-vien-truyen-thong-phu-trach-chuong-trinh-thanh-vien.35C6AAAB.html","Xem chi tiết")</f>
        <v/>
      </c>
      <c r="M3932" s="10" t="n"/>
    </row>
    <row r="3933">
      <c r="B3933" s="7" t="n">
        <v>3931</v>
      </c>
      <c r="C3933" t="inlineStr">
        <is>
          <t>Digital Marketing Leader</t>
        </is>
      </c>
      <c r="D3933" t="inlineStr">
        <is>
          <t>DR.BAUMANN VIETNAM - Công Ty TNHH DƯỢC MỸ PHẨM D&amp;D</t>
        </is>
      </c>
      <c r="E3933" t="inlineStr">
        <is>
          <t>Lương:Cạnh tranh</t>
        </is>
      </c>
      <c r="F3933" t="inlineStr">
        <is>
          <t>Hồ Chí Minh</t>
        </is>
      </c>
      <c r="G3933" t="inlineStr">
        <is>
          <t>30-04-2026</t>
        </is>
      </c>
      <c r="H3933" t="inlineStr">
        <is>
          <t>30/04/2026</t>
        </is>
      </c>
      <c r="I3933" t="inlineStr">
        <is>
          <t>17/03/2026</t>
        </is>
      </c>
      <c r="J3933" t="inlineStr">
        <is>
          <t>Tiếp thị / Marketing, Tiếp thị trực tuyến, Y tế / Chăm sóc sức khỏe / Thẩm mỹ / Làm đẹp</t>
        </is>
      </c>
      <c r="K3933" t="inlineStr">
        <is>
          <t>5 - 8 Năm</t>
        </is>
      </c>
      <c r="L3933" s="8">
        <f>HYPERLINK("https://careerviet.vn/vi/tim-viec-lam/digital-marketing-leader.35C69A96.html","Xem chi tiết")</f>
        <v/>
      </c>
    </row>
    <row r="3934">
      <c r="B3934" s="9" t="n">
        <v>3932</v>
      </c>
      <c r="C3934" s="10" t="inlineStr">
        <is>
          <t>Quản lý Marketing (Làm việc tại Q.7)</t>
        </is>
      </c>
      <c r="D3934" s="10" t="inlineStr">
        <is>
          <t>Công Ty TNHH Laser Ưu Việt (OLAS)</t>
        </is>
      </c>
      <c r="E3934" s="10" t="inlineStr">
        <is>
          <t>Lương:Cạnh tranh</t>
        </is>
      </c>
      <c r="F3934" s="10" t="inlineStr">
        <is>
          <t>Hồ Chí Minh</t>
        </is>
      </c>
      <c r="G3934" s="10" t="inlineStr">
        <is>
          <t>03-04-2026</t>
        </is>
      </c>
      <c r="H3934" s="10" t="inlineStr">
        <is>
          <t>03/04/2026</t>
        </is>
      </c>
      <c r="I3934" s="10" t="inlineStr">
        <is>
          <t>17/03/2026</t>
        </is>
      </c>
      <c r="J3934" s="10" t="inlineStr">
        <is>
          <t>Tiếp thị / Marketing, Tiếp thị trực tuyến, Quảng cáo / Đối ngoại / Truyền Thông</t>
        </is>
      </c>
      <c r="K3934" s="10" t="inlineStr">
        <is>
          <t>5 - 10 Năm</t>
        </is>
      </c>
      <c r="L3934" s="11">
        <f>HYPERLINK("https://careerviet.vn/vi/tim-viec-lam/quan-ly-marketing-lam-viec-tai-q-7.35C695C0.html","Xem chi tiết")</f>
        <v/>
      </c>
      <c r="M3934" s="10" t="n"/>
    </row>
    <row r="3935">
      <c r="B3935" s="7" t="n">
        <v>3933</v>
      </c>
      <c r="C3935" t="inlineStr">
        <is>
          <t>[NINH THUẬN] - KỸ SƯ GIÁM SÁT HẠ TẦNG</t>
        </is>
      </c>
      <c r="D3935" t="inlineStr">
        <is>
          <t>CÔNG TY CP TẬP ĐOÀN ĐẦU TƯ HOÀNG GIA VIỆT NAM</t>
        </is>
      </c>
      <c r="E3935" t="inlineStr">
        <is>
          <t>Lương:Cạnh tranh</t>
        </is>
      </c>
      <c r="F3935" t="inlineStr">
        <is>
          <t>Ninh Thuận</t>
        </is>
      </c>
      <c r="G3935" t="inlineStr">
        <is>
          <t>31-03-2026</t>
        </is>
      </c>
      <c r="H3935" t="inlineStr">
        <is>
          <t>31/03/2026</t>
        </is>
      </c>
      <c r="I3935" t="inlineStr">
        <is>
          <t>17/03/2026</t>
        </is>
      </c>
      <c r="J3935" t="inlineStr">
        <is>
          <t>Kiến trúc, Xây dựng, Bất động sản</t>
        </is>
      </c>
      <c r="K3935" t="inlineStr">
        <is>
          <t>Trên 5 Năm</t>
        </is>
      </c>
      <c r="L3935" s="8">
        <f>HYPERLINK("https://careerviet.vn/vi/tim-viec-lam/ninh-thuan-ky-su-giam-sat-ha-tang.35C692C2.html","Xem chi tiết")</f>
        <v/>
      </c>
    </row>
    <row r="3936">
      <c r="B3936" s="9" t="n">
        <v>3934</v>
      </c>
      <c r="C3936" s="10" t="inlineStr">
        <is>
          <t>Phó Giám Đốc Kinh Doanh Phụ Trách Ngành Hàng Sơn</t>
        </is>
      </c>
      <c r="D3936" s="10" t="inlineStr">
        <is>
          <t>CÔNG TY CỔ PHẦN TẬP ĐOÀN HOA SEN</t>
        </is>
      </c>
      <c r="E3936" s="10" t="inlineStr">
        <is>
          <t>Lương:Cạnh tranh</t>
        </is>
      </c>
      <c r="F3936" s="10" t="inlineStr">
        <is>
          <t>Hồ Chí Minh</t>
        </is>
      </c>
      <c r="G3936" s="10" t="inlineStr">
        <is>
          <t>06-04-2026</t>
        </is>
      </c>
      <c r="H3936" s="10" t="inlineStr">
        <is>
          <t>06/04/2026</t>
        </is>
      </c>
      <c r="I3936" s="10" t="inlineStr">
        <is>
          <t>17/03/2026</t>
        </is>
      </c>
      <c r="J3936" s="10" t="inlineStr">
        <is>
          <t>Bán hàng / Kinh doanh, Nội ngoại thất, Xây dựng</t>
        </is>
      </c>
      <c r="K3936" s="10" t="inlineStr">
        <is>
          <t>3 - 5 Năm</t>
        </is>
      </c>
      <c r="L3936" s="11">
        <f>HYPERLINK("https://careerviet.vn/vi/tim-viec-lam/pho-giam-doc-kinh-doanh-phu-trach-nganh-hang-son.35C6A88B.html","Xem chi tiết")</f>
        <v/>
      </c>
      <c r="M3936" s="10" t="n"/>
    </row>
    <row r="3937">
      <c r="B3937" s="7" t="n">
        <v>3935</v>
      </c>
      <c r="C3937" t="inlineStr">
        <is>
          <t>Nhân viên mua hàng nhà máy</t>
        </is>
      </c>
      <c r="D3937" t="inlineStr">
        <is>
          <t>Công Ty TNHH TM &amp; XNK Nhất Lâm</t>
        </is>
      </c>
      <c r="E3937" t="inlineStr">
        <is>
          <t>Lương:11 Tr - 14 Tr VND</t>
        </is>
      </c>
      <c r="F3937" t="inlineStr">
        <is>
          <t>Hồ Chí Minh</t>
        </is>
      </c>
      <c r="G3937" t="inlineStr">
        <is>
          <t>31-03-2026</t>
        </is>
      </c>
      <c r="H3937" t="inlineStr">
        <is>
          <t>31/03/2026</t>
        </is>
      </c>
      <c r="I3937" t="inlineStr">
        <is>
          <t>17/03/2026</t>
        </is>
      </c>
      <c r="J3937" t="inlineStr">
        <is>
          <t>Thu mua / Vật tư, Thực phẩm &amp; Đồ uống, Ngành khác</t>
        </is>
      </c>
      <c r="K3937" t="inlineStr">
        <is>
          <t>2 - 3 Năm</t>
        </is>
      </c>
      <c r="L3937" s="8">
        <f>HYPERLINK("https://careerviet.vn/vi/tim-viec-lam/nhan-vien-mua-hang-nha-may.35C6A859.html","Xem chi tiết")</f>
        <v/>
      </c>
    </row>
    <row r="3938">
      <c r="B3938" s="9" t="n">
        <v>3936</v>
      </c>
      <c r="C3938" s="10" t="inlineStr">
        <is>
          <t>PRODUCTION SUPERVISOR - GIÁM SÁT SẢN XUẤT (KCN BÀU BÀNG)</t>
        </is>
      </c>
      <c r="D3938" s="10" t="inlineStr">
        <is>
          <t>RAWLPLUG VIETNAM COMPANY LIMITED</t>
        </is>
      </c>
      <c r="E3938" s="10" t="inlineStr">
        <is>
          <t>Lương:15 Tr - 20 Tr VND</t>
        </is>
      </c>
      <c r="F3938" s="10" t="inlineStr">
        <is>
          <t>Bình Dương</t>
        </is>
      </c>
      <c r="G3938" s="10" t="inlineStr">
        <is>
          <t>04-04-2026</t>
        </is>
      </c>
      <c r="H3938" s="10" t="inlineStr">
        <is>
          <t>04/04/2026</t>
        </is>
      </c>
      <c r="I3938" s="10" t="inlineStr">
        <is>
          <t>17/03/2026</t>
        </is>
      </c>
      <c r="J3938" s="10" t="inlineStr">
        <is>
          <t>Sản xuất / Vận hành sản xuất, Quản lý điều hành, Quản lý chất lượng (QA/QC)</t>
        </is>
      </c>
      <c r="K3938" s="10" t="inlineStr">
        <is>
          <t>Lên đến 2 Năm</t>
        </is>
      </c>
      <c r="L3938" s="11">
        <f>HYPERLINK("https://careerviet.vn/vi/tim-viec-lam/production-supervisor-giam-sat-san-xuat-kcn-bau-bang.35C6A960.html","Xem chi tiết")</f>
        <v/>
      </c>
      <c r="M3938" s="10" t="n"/>
    </row>
    <row r="3939">
      <c r="B3939" s="7" t="n">
        <v>3937</v>
      </c>
      <c r="C3939" t="inlineStr">
        <is>
          <t>Sales Logistics</t>
        </is>
      </c>
      <c r="D3939" t="inlineStr">
        <is>
          <t>Scanwell Logistics Vietnam</t>
        </is>
      </c>
      <c r="E3939" t="inlineStr">
        <is>
          <t>Lương:8 Tr - 15 Tr VND</t>
        </is>
      </c>
      <c r="F3939" t="inlineStr">
        <is>
          <t>Hồ Chí Minh</t>
        </is>
      </c>
      <c r="G3939" t="inlineStr">
        <is>
          <t>31-05-2026</t>
        </is>
      </c>
      <c r="H3939" t="inlineStr">
        <is>
          <t>31/05/2026</t>
        </is>
      </c>
      <c r="I3939" t="inlineStr">
        <is>
          <t>17/03/2026</t>
        </is>
      </c>
      <c r="J3939" t="inlineStr">
        <is>
          <t>Bán hàng / Kinh doanh, Vận chuyển / Giao nhận / Kho vận, Xuất nhập khẩu</t>
        </is>
      </c>
      <c r="K3939" t="inlineStr">
        <is>
          <t>1 - 2 Năm</t>
        </is>
      </c>
      <c r="L3939" s="8">
        <f>HYPERLINK("https://careerviet.vn/vi/tim-viec-lam/sales-logistics.35C6A94C.html","Xem chi tiết")</f>
        <v/>
      </c>
    </row>
    <row r="3940">
      <c r="B3940" s="9" t="n">
        <v>3938</v>
      </c>
      <c r="C3940" s="10" t="inlineStr">
        <is>
          <t>Giám Sát Thi Công</t>
        </is>
      </c>
      <c r="D3940" s="10" t="inlineStr">
        <is>
          <t>CÔNG TY CỔ PHẦN BOHO CORPORATION</t>
        </is>
      </c>
      <c r="E3940" s="10" t="inlineStr">
        <is>
          <t>Lương:20 Tr - 26 Tr VND</t>
        </is>
      </c>
      <c r="F3940" s="10" t="inlineStr">
        <is>
          <t>Hà NộiHồ Chí MinhĐà Nẵng</t>
        </is>
      </c>
      <c r="G3940" s="10" t="inlineStr">
        <is>
          <t>31-03-2026</t>
        </is>
      </c>
      <c r="H3940" s="10" t="inlineStr">
        <is>
          <t>31/03/2026</t>
        </is>
      </c>
      <c r="I3940" s="10" t="inlineStr">
        <is>
          <t>17/03/2026</t>
        </is>
      </c>
      <c r="J3940" s="10" t="inlineStr">
        <is>
          <t>Xây dựng, Nội ngoại thất</t>
        </is>
      </c>
      <c r="K3940" s="10" t="inlineStr">
        <is>
          <t>3 - 7 Năm</t>
        </is>
      </c>
      <c r="L3940" s="11">
        <f>HYPERLINK("https://careerviet.vn/vi/tim-viec-lam/giam-sat-thi-cong.35C6AA60.html","Xem chi tiết")</f>
        <v/>
      </c>
      <c r="M3940" s="10" t="n"/>
    </row>
    <row r="3941">
      <c r="B3941" s="7" t="n">
        <v>3939</v>
      </c>
      <c r="C3941" t="inlineStr">
        <is>
          <t>NHÂN VIÊN BÁN HÀNG</t>
        </is>
      </c>
      <c r="D3941" t="inlineStr">
        <is>
          <t>Công Ty TNHH Banyan Việt Nam</t>
        </is>
      </c>
      <c r="E3941" t="inlineStr">
        <is>
          <t>Lương:7,5 Tr - 10 Tr VND</t>
        </is>
      </c>
      <c r="F3941" t="inlineStr">
        <is>
          <t>Hồ Chí MinhĐà NẵngĐồng Nai</t>
        </is>
      </c>
      <c r="G3941" t="inlineStr">
        <is>
          <t>03-04-2026</t>
        </is>
      </c>
      <c r="H3941" t="inlineStr">
        <is>
          <t>03/04/2026</t>
        </is>
      </c>
      <c r="I3941" t="inlineStr">
        <is>
          <t>17/03/2026</t>
        </is>
      </c>
      <c r="J3941" t="inlineStr">
        <is>
          <t>Bán hàng / Kinh doanh, Tư vấn, Dịch vụ khách hàng</t>
        </is>
      </c>
      <c r="K3941" t="inlineStr">
        <is>
          <t>1 - 2 Năm</t>
        </is>
      </c>
      <c r="L3941" s="8">
        <f>HYPERLINK("https://careerviet.vn/vi/tim-viec-lam/nhan-vien-ban-hang.35C6A7D6.html","Xem chi tiết")</f>
        <v/>
      </c>
    </row>
    <row r="3942">
      <c r="B3942" s="9" t="n">
        <v>3940</v>
      </c>
      <c r="C3942" s="10" t="inlineStr">
        <is>
          <t>CHUYÊN VIÊN MUA HÀNG - XNK</t>
        </is>
      </c>
      <c r="D3942" s="10" t="inlineStr">
        <is>
          <t>Nhà máy Sản xuất Dược phẩm GMP EU Long Hậu</t>
        </is>
      </c>
      <c r="E3942" s="10" t="inlineStr">
        <is>
          <t>Lương:13 Tr - 16 Tr VND</t>
        </is>
      </c>
      <c r="F3942" s="10" t="inlineStr">
        <is>
          <t>Hồ Chí Minh</t>
        </is>
      </c>
      <c r="G3942" s="10" t="inlineStr">
        <is>
          <t>30-04-2026</t>
        </is>
      </c>
      <c r="H3942" s="10" t="inlineStr">
        <is>
          <t>30/04/2026</t>
        </is>
      </c>
      <c r="I3942" s="10" t="inlineStr">
        <is>
          <t>17/03/2026</t>
        </is>
      </c>
      <c r="J3942" s="10" t="inlineStr">
        <is>
          <t>Thu mua / Vật tư, Dược phẩm/ Hóa Mỹ Phẩm</t>
        </is>
      </c>
      <c r="K3942" s="10" t="inlineStr">
        <is>
          <t>3 - 8 Năm</t>
        </is>
      </c>
      <c r="L3942" s="11">
        <f>HYPERLINK("https://careerviet.vn/vi/tim-viec-lam/chuyen-vien-mua-hang-xnk.35C6A921.html","Xem chi tiết")</f>
        <v/>
      </c>
      <c r="M3942" s="10" t="n"/>
    </row>
    <row r="3943">
      <c r="B3943" s="7" t="n">
        <v>3941</v>
      </c>
      <c r="C3943" t="inlineStr">
        <is>
          <t>Chuyên viên Nhân Sự</t>
        </is>
      </c>
      <c r="D3943" t="inlineStr">
        <is>
          <t>Công ty TNHH tư vấn và ứng dụng công nghệ BIM Việt Nam (ViBIM)</t>
        </is>
      </c>
      <c r="E3943" t="inlineStr">
        <is>
          <t>Lương:11,5 Tr - 15 Tr VND</t>
        </is>
      </c>
      <c r="F3943" t="inlineStr">
        <is>
          <t>Hà Nội</t>
        </is>
      </c>
      <c r="G3943" t="inlineStr">
        <is>
          <t>6</t>
        </is>
      </c>
      <c r="H3943" t="inlineStr">
        <is>
          <t>23/03/2026</t>
        </is>
      </c>
      <c r="I3943" t="inlineStr">
        <is>
          <t>17/03/2026</t>
        </is>
      </c>
      <c r="J3943" t="inlineStr">
        <is>
          <t>Nhân sự, Giáo dục / Đào tạo, Hành chính / Thư ký</t>
        </is>
      </c>
      <c r="K3943" t="inlineStr">
        <is>
          <t>N/A</t>
        </is>
      </c>
      <c r="L3943" s="8">
        <f>HYPERLINK("https://careerviet.vn/vi/tim-viec-lam/chuyen-vien-nhan-su.35C69353.html","Xem chi tiết")</f>
        <v/>
      </c>
    </row>
    <row r="3944">
      <c r="B3944" s="9" t="n">
        <v>3942</v>
      </c>
      <c r="C3944" s="10" t="inlineStr">
        <is>
          <t>Chuyên Viên Marketing</t>
        </is>
      </c>
      <c r="D3944" s="10" t="inlineStr">
        <is>
          <t>CÔNG TY TNHH XUẤT NHẬP KHẨU KINGFISH</t>
        </is>
      </c>
      <c r="E3944" s="10" t="inlineStr">
        <is>
          <t>Lương:12 Tr - 15 Tr VND</t>
        </is>
      </c>
      <c r="F3944" s="10" t="inlineStr">
        <is>
          <t>Hồ Chí Minh</t>
        </is>
      </c>
      <c r="G3944" s="10" t="inlineStr">
        <is>
          <t>30-04-2026</t>
        </is>
      </c>
      <c r="H3944" s="10" t="inlineStr">
        <is>
          <t>30/04/2026</t>
        </is>
      </c>
      <c r="I3944" s="10" t="inlineStr">
        <is>
          <t>17/03/2026</t>
        </is>
      </c>
      <c r="J3944" s="10" t="inlineStr">
        <is>
          <t>Tiếp thị / Marketing, Thương mại điện tử, Thực phẩm &amp; Đồ uống</t>
        </is>
      </c>
      <c r="K3944" s="10" t="inlineStr">
        <is>
          <t>4 - 5 Năm</t>
        </is>
      </c>
      <c r="L3944" s="11">
        <f>HYPERLINK("https://careerviet.vn/vi/tim-viec-lam/chuyen-vien-marketing.35C6A8B0.html","Xem chi tiết")</f>
        <v/>
      </c>
      <c r="M3944" s="10" t="n"/>
    </row>
    <row r="3945">
      <c r="B3945" s="7" t="n">
        <v>3943</v>
      </c>
      <c r="C3945" t="inlineStr">
        <is>
          <t>Nhân viên tuyển dụng</t>
        </is>
      </c>
      <c r="D3945" t="inlineStr">
        <is>
          <t>CÔNG TY CỔ PHẦN VÀNG BẠC ĐÁ QUÝ LỘC PHÚC</t>
        </is>
      </c>
      <c r="E3945" t="inlineStr">
        <is>
          <t>Lương:9 Tr - 11 Tr VND</t>
        </is>
      </c>
      <c r="F3945" t="inlineStr">
        <is>
          <t>Hồ Chí Minh</t>
        </is>
      </c>
      <c r="G3945" t="inlineStr">
        <is>
          <t>03-04-2026</t>
        </is>
      </c>
      <c r="H3945" t="inlineStr">
        <is>
          <t>03/04/2026</t>
        </is>
      </c>
      <c r="I3945" t="inlineStr">
        <is>
          <t>17/03/2026</t>
        </is>
      </c>
      <c r="J3945" t="inlineStr">
        <is>
          <t>Nhân sự</t>
        </is>
      </c>
      <c r="K3945" t="inlineStr">
        <is>
          <t>1 - 2 Năm</t>
        </is>
      </c>
      <c r="L3945" s="8">
        <f>HYPERLINK("https://careerviet.vn/vi/tim-viec-lam/nhan-vien-tuyen-dung.35C6A7CE.html","Xem chi tiết")</f>
        <v/>
      </c>
    </row>
    <row r="3946">
      <c r="B3946" s="9" t="n">
        <v>3944</v>
      </c>
      <c r="C3946" s="10" t="inlineStr">
        <is>
          <t>Thực Tập Sinh/Cộng Tác Viên Tư Vấn Đầu Tư Chứng Khoán Tại Hồ Chí Minh - Lộ Trình Thăng Tiến Rõ Ràng, Lên Chính Thức Lương 30M++</t>
        </is>
      </c>
      <c r="D3946" s="10" t="inlineStr">
        <is>
          <t>CÔNG TY CỔ PHẦN CHỨNG KHOÁN VPS - CHI NHÁNH THÀNH PHỐ HỒ CHÍ MINH</t>
        </is>
      </c>
      <c r="E3946" s="10" t="inlineStr">
        <is>
          <t>Lương:5 Tr - 30 Tr VND</t>
        </is>
      </c>
      <c r="F3946" s="10" t="inlineStr">
        <is>
          <t>Hồ Chí Minh</t>
        </is>
      </c>
      <c r="G3946" s="10" t="inlineStr">
        <is>
          <t>03-04-2026</t>
        </is>
      </c>
      <c r="H3946" s="10" t="inlineStr">
        <is>
          <t>03/04/2026</t>
        </is>
      </c>
      <c r="I3946" s="10" t="inlineStr">
        <is>
          <t>17/03/2026</t>
        </is>
      </c>
      <c r="J3946" s="10" t="inlineStr">
        <is>
          <t>Chứng khoán, Bán hàng / Kinh doanh, Mới tốt nghiệp / Thực tập</t>
        </is>
      </c>
      <c r="K3946" s="10" t="inlineStr">
        <is>
          <t>Không yêu cầu kinh nghiệm</t>
        </is>
      </c>
      <c r="L3946" s="11">
        <f>HYPERLINK("https://careerviet.vn/vi/tim-viec-lam/thuc-tap-sinh-cong-tac-vien-tu-van-dau-tu-chung-khoan-tai-ho-chi-minh-lo-trinh-thang-tien-ro-rang-len-chinh-thuc-luong-30m.35C6A483.html","Xem chi tiết")</f>
        <v/>
      </c>
      <c r="M3946" s="10" t="n"/>
    </row>
    <row r="3947">
      <c r="B3947" s="7" t="n">
        <v>3945</v>
      </c>
      <c r="C3947" t="inlineStr">
        <is>
          <t>Chuyên viên pháp lý</t>
        </is>
      </c>
      <c r="D3947" t="inlineStr">
        <is>
          <t>CONA LAND REAL ESTATE - CÔNG TY CỔ PHẦN BẤT ĐỘNG SẢN CONA LAND</t>
        </is>
      </c>
      <c r="E3947" t="inlineStr">
        <is>
          <t>Lương:12 Tr - 17 Tr VND</t>
        </is>
      </c>
      <c r="F3947" t="inlineStr">
        <is>
          <t>Hồ Chí Minh</t>
        </is>
      </c>
      <c r="G3947" t="inlineStr">
        <is>
          <t>02-04-2026</t>
        </is>
      </c>
      <c r="H3947" t="inlineStr">
        <is>
          <t>02/04/2026</t>
        </is>
      </c>
      <c r="I3947" t="inlineStr">
        <is>
          <t>17/03/2026</t>
        </is>
      </c>
      <c r="J3947" t="inlineStr">
        <is>
          <t>Bán hàng / Kinh doanh, Luật / Pháp lý, Bất động sản</t>
        </is>
      </c>
      <c r="K3947" t="inlineStr">
        <is>
          <t>2 - 3 Năm</t>
        </is>
      </c>
      <c r="L3947" s="8">
        <f>HYPERLINK("https://careerviet.vn/vi/tim-viec-lam/chuyen-vien-phap-ly.35C6A5EC.html","Xem chi tiết")</f>
        <v/>
      </c>
    </row>
    <row r="3948">
      <c r="B3948" s="9" t="n">
        <v>3946</v>
      </c>
      <c r="C3948" s="10" t="inlineStr">
        <is>
          <t>Producer (Quản Lý Dự Án &amp; Sản Xuất)</t>
        </is>
      </c>
      <c r="D3948" s="10" t="inlineStr">
        <is>
          <t>CÔNG TY CỔ PHẦN VIETSUCCESS ASIA</t>
        </is>
      </c>
      <c r="E3948" s="10" t="inlineStr">
        <is>
          <t>Lương:Cạnh tranh</t>
        </is>
      </c>
      <c r="F3948" s="10" t="inlineStr">
        <is>
          <t>Hồ Chí Minh</t>
        </is>
      </c>
      <c r="G3948" s="10" t="inlineStr">
        <is>
          <t>01-04-2026</t>
        </is>
      </c>
      <c r="H3948" s="10" t="inlineStr">
        <is>
          <t>01/04/2026</t>
        </is>
      </c>
      <c r="I3948" s="10" t="inlineStr">
        <is>
          <t>17/03/2026</t>
        </is>
      </c>
      <c r="J3948" s="10" t="inlineStr">
        <is>
          <t>Quản lý điều hành, Quảng cáo / Đối ngoại / Truyền Thông, Truyền hình / Báo chí / Biên tập</t>
        </is>
      </c>
      <c r="K3948" s="10" t="inlineStr">
        <is>
          <t>2 - 3 NămĐịa điểm</t>
        </is>
      </c>
      <c r="L3948" s="11">
        <f>HYPERLINK("https://careerviet.vn/vi/tim-viec-lam/producer-quan-ly-du-an-san-xuat.35C6A72A.html","Xem chi tiết")</f>
        <v/>
      </c>
      <c r="M3948" s="10" t="n"/>
    </row>
    <row r="3949">
      <c r="B3949" s="7" t="n">
        <v>3947</v>
      </c>
      <c r="C3949" t="inlineStr">
        <is>
          <t>Sales Supervisor</t>
        </is>
      </c>
      <c r="D3949" t="inlineStr">
        <is>
          <t>Công Ty Cổ Phần Sinh Hóa Quốc Tế</t>
        </is>
      </c>
      <c r="E3949" t="inlineStr">
        <is>
          <t>Lương:20 Tr - 30 Tr VND</t>
        </is>
      </c>
      <c r="F3949" t="inlineStr">
        <is>
          <t>Hà Nội</t>
        </is>
      </c>
      <c r="G3949" t="inlineStr">
        <is>
          <t>05-04-2026</t>
        </is>
      </c>
      <c r="H3949" t="inlineStr">
        <is>
          <t>05/04/2026</t>
        </is>
      </c>
      <c r="I3949" t="inlineStr">
        <is>
          <t>17/03/2026</t>
        </is>
      </c>
      <c r="J3949" t="inlineStr">
        <is>
          <t>Bán hàng / Kinh doanh</t>
        </is>
      </c>
      <c r="K3949" t="inlineStr">
        <is>
          <t>3 - 5 Năm</t>
        </is>
      </c>
      <c r="L3949" s="8">
        <f>HYPERLINK("https://careerviet.vn/vi/tim-viec-lam/sales-supervisor.35C64844.html","Xem chi tiết")</f>
        <v/>
      </c>
    </row>
    <row r="3950">
      <c r="B3950" s="9" t="n">
        <v>3948</v>
      </c>
      <c r="C3950" s="10" t="inlineStr">
        <is>
          <t>Production Supervisor (Beverage - VSIPI)</t>
        </is>
      </c>
      <c r="D3950" s="10" t="inlineStr">
        <is>
          <t>URC Vietnam Co., Ltd.</t>
        </is>
      </c>
      <c r="E3950" s="10" t="inlineStr">
        <is>
          <t>Lương:Cạnh tranh</t>
        </is>
      </c>
      <c r="F3950" s="10" t="inlineStr">
        <is>
          <t>Bình Dương</t>
        </is>
      </c>
      <c r="G3950" s="10" t="inlineStr">
        <is>
          <t>03-04-2026</t>
        </is>
      </c>
      <c r="H3950" s="10" t="inlineStr">
        <is>
          <t>03/04/2026</t>
        </is>
      </c>
      <c r="I3950" s="10" t="inlineStr">
        <is>
          <t>17/03/2026</t>
        </is>
      </c>
      <c r="J3950" s="10" t="inlineStr">
        <is>
          <t>Công nghệ thực phẩm / Dinh dưỡng, Thực phẩm &amp; Đồ uống</t>
        </is>
      </c>
      <c r="K3950" s="10" t="inlineStr">
        <is>
          <t>2 - 3 Năm</t>
        </is>
      </c>
      <c r="L3950" s="11">
        <f>HYPERLINK("https://careerviet.vn/vi/tim-viec-lam/production-supervisor-beverage-vsipi.35C6A794.html","Xem chi tiết")</f>
        <v/>
      </c>
      <c r="M3950" s="10" t="n"/>
    </row>
    <row r="3951">
      <c r="B3951" s="7" t="n">
        <v>3949</v>
      </c>
      <c r="C3951" t="inlineStr">
        <is>
          <t>Nhân Viên Phân Tích Nghiệp Vụ phần mềm (IT - BA)</t>
        </is>
      </c>
      <c r="D3951" t="inlineStr">
        <is>
          <t>CÔNG TY TNHH BỆNH VIỆN ĐKTN AN SINH - PHÚC TRƯỜNG MINH</t>
        </is>
      </c>
      <c r="E3951" t="inlineStr">
        <is>
          <t>Lương:15 Tr - 20 Tr VND</t>
        </is>
      </c>
      <c r="F3951" t="inlineStr">
        <is>
          <t>Hà Nội</t>
        </is>
      </c>
      <c r="G3951" t="inlineStr">
        <is>
          <t>31-03-2026</t>
        </is>
      </c>
      <c r="H3951" t="inlineStr">
        <is>
          <t>31/03/2026</t>
        </is>
      </c>
      <c r="I3951" t="inlineStr">
        <is>
          <t>17/03/2026</t>
        </is>
      </c>
      <c r="J3951" t="inlineStr">
        <is>
          <t>CNTT - Phần mềm</t>
        </is>
      </c>
      <c r="K3951" t="inlineStr">
        <is>
          <t>1 - 3 Năm</t>
        </is>
      </c>
      <c r="L3951" s="8">
        <f>HYPERLINK("https://careerviet.vn/vi/tim-viec-lam/nhan-vien-phan-tich-nghiep-vu-phan-mem-it-ba.35C6A516.html","Xem chi tiết")</f>
        <v/>
      </c>
    </row>
    <row r="3952">
      <c r="B3952" s="9" t="n">
        <v>3950</v>
      </c>
      <c r="C3952" s="10" t="inlineStr">
        <is>
          <t>Nhân viên kinh doanh nội địa (ngành thép) / Domestic sales staff (steel industry)</t>
        </is>
      </c>
      <c r="D3952" s="10" t="inlineStr">
        <is>
          <t>MARUICHI SUN STEEL JSC.</t>
        </is>
      </c>
      <c r="E3952" s="10" t="inlineStr">
        <is>
          <t>Lương:Cạnh tranh</t>
        </is>
      </c>
      <c r="F3952" s="10" t="inlineStr">
        <is>
          <t>Bình Dương</t>
        </is>
      </c>
      <c r="G3952" s="10" t="inlineStr">
        <is>
          <t>05-04-2026</t>
        </is>
      </c>
      <c r="H3952" s="10" t="inlineStr">
        <is>
          <t>05/04/2026</t>
        </is>
      </c>
      <c r="I3952" s="10" t="inlineStr">
        <is>
          <t>17/03/2026</t>
        </is>
      </c>
      <c r="J3952" s="10" t="inlineStr">
        <is>
          <t>Tiếp thị / Marketing, Bán hàng / Kinh doanh, Dịch vụ khách hàng</t>
        </is>
      </c>
      <c r="K3952" s="10" t="inlineStr">
        <is>
          <t>N/A</t>
        </is>
      </c>
      <c r="L3952" s="11">
        <f>HYPERLINK("https://careerviet.vn/vi/tim-viec-lam/nhan-vien-kinh-doanh-noi-dia-nganh-thep-domestic-sales-staff-steel-industry.35C648D7.html","Xem chi tiết")</f>
        <v/>
      </c>
      <c r="M3952" s="10" t="n"/>
    </row>
    <row r="3953">
      <c r="B3953" s="7" t="n">
        <v>3951</v>
      </c>
      <c r="C3953" t="inlineStr">
        <is>
          <t>Chỉ Huy Trưởng (Ngành nhôm kính)</t>
        </is>
      </c>
      <c r="D3953" t="inlineStr">
        <is>
          <t>CÔNG TY CỔ PHẦN AN PHA KIM (UA FACADE)</t>
        </is>
      </c>
      <c r="E3953" t="inlineStr">
        <is>
          <t>Lương:Cạnh tranh</t>
        </is>
      </c>
      <c r="F3953" t="inlineStr">
        <is>
          <t>Hồ Chí Minh</t>
        </is>
      </c>
      <c r="G3953" t="inlineStr">
        <is>
          <t>05-04-2026</t>
        </is>
      </c>
      <c r="H3953" t="inlineStr">
        <is>
          <t>05/04/2026</t>
        </is>
      </c>
      <c r="I3953" t="inlineStr">
        <is>
          <t>17/03/2026</t>
        </is>
      </c>
      <c r="J3953" t="inlineStr">
        <is>
          <t>Cơ khí / Ô tô / Tự động hóa, Xây dựng, Bất động sản</t>
        </is>
      </c>
      <c r="K3953" t="inlineStr">
        <is>
          <t>3 - 5 Năm</t>
        </is>
      </c>
      <c r="L3953" s="8">
        <f>HYPERLINK("https://careerviet.vn/vi/tim-viec-lam/chi-huy-truong-nganh-nhom-kinh.35C64988.html","Xem chi tiết")</f>
        <v/>
      </c>
    </row>
    <row r="3954">
      <c r="B3954" s="9" t="n">
        <v>3952</v>
      </c>
      <c r="C3954" s="10" t="inlineStr">
        <is>
          <t>Quản lý sản xuất</t>
        </is>
      </c>
      <c r="D3954" s="10" t="inlineStr">
        <is>
          <t>CHI NHÁNH CÔNG TY TRÁCH NHIỆM HỮU HẠN MỘT THÀNH VIÊN KIM VIỆT PHONG</t>
        </is>
      </c>
      <c r="E3954" s="10" t="inlineStr">
        <is>
          <t>Lương:12 Tr - 18 Tr VND</t>
        </is>
      </c>
      <c r="F3954" s="10" t="inlineStr">
        <is>
          <t>Tây Ninh</t>
        </is>
      </c>
      <c r="G3954" s="10" t="inlineStr">
        <is>
          <t>05-04-2026</t>
        </is>
      </c>
      <c r="H3954" s="10" t="inlineStr">
        <is>
          <t>05/04/2026</t>
        </is>
      </c>
      <c r="I3954" s="10" t="inlineStr">
        <is>
          <t>17/03/2026</t>
        </is>
      </c>
      <c r="J3954" s="10" t="inlineStr">
        <is>
          <t>Sản xuất / Vận hành sản xuất, Dệt may / Da giày / Thời trang</t>
        </is>
      </c>
      <c r="K3954" s="10" t="inlineStr">
        <is>
          <t>1 - 2 Năm</t>
        </is>
      </c>
      <c r="L3954" s="11">
        <f>HYPERLINK("https://careerviet.vn/vi/tim-viec-lam/quan-ly-san-xuat.35C67744.html","Xem chi tiết")</f>
        <v/>
      </c>
      <c r="M3954" s="10" t="n"/>
    </row>
    <row r="3955">
      <c r="B3955" s="7" t="n">
        <v>3953</v>
      </c>
      <c r="C3955" t="inlineStr">
        <is>
          <t>Trưởng nhóm Hành chính Hậu mãi</t>
        </is>
      </c>
      <c r="D3955" t="inlineStr">
        <is>
          <t>Công Ty Cổ Phần Đầu Tư Nam Long</t>
        </is>
      </c>
      <c r="E3955" t="inlineStr">
        <is>
          <t>Lương:Cạnh tranh</t>
        </is>
      </c>
      <c r="F3955" t="inlineStr">
        <is>
          <t>Hồ Chí Minh</t>
        </is>
      </c>
      <c r="G3955" t="inlineStr">
        <is>
          <t>03-04-2026</t>
        </is>
      </c>
      <c r="H3955" t="inlineStr">
        <is>
          <t>03/04/2026</t>
        </is>
      </c>
      <c r="I3955" t="inlineStr">
        <is>
          <t>17/03/2026</t>
        </is>
      </c>
      <c r="J3955" t="inlineStr">
        <is>
          <t>Bất động sản</t>
        </is>
      </c>
      <c r="K3955" t="inlineStr">
        <is>
          <t>3 - 5 Năm</t>
        </is>
      </c>
      <c r="L3955" s="8">
        <f>HYPERLINK("https://careerviet.vn/vi/tim-viec-lam/truong-nhom-hanh-chinh-hau-mai.35C6A769.html","Xem chi tiết")</f>
        <v/>
      </c>
    </row>
    <row r="3956">
      <c r="B3956" s="9" t="n">
        <v>3954</v>
      </c>
      <c r="C3956" s="10" t="inlineStr">
        <is>
          <t>CHUYÊN VIÊN QUẢN LÝ HOẠT ĐỘNG TÀU</t>
        </is>
      </c>
      <c r="D3956" s="10" t="inlineStr">
        <is>
          <t>CÔNG TY CỔ PHẦN DỊCH VỤ BIỂN TÂN CẢNG</t>
        </is>
      </c>
      <c r="E3956" s="10" t="inlineStr">
        <is>
          <t>Lương:Trên 20 Tr VND</t>
        </is>
      </c>
      <c r="F3956" s="10" t="inlineStr">
        <is>
          <t>Hồ Chí Minh</t>
        </is>
      </c>
      <c r="G3956" s="10" t="inlineStr">
        <is>
          <t>30-04-2026</t>
        </is>
      </c>
      <c r="H3956" s="10" t="inlineStr">
        <is>
          <t>30/04/2026</t>
        </is>
      </c>
      <c r="I3956" s="10" t="inlineStr">
        <is>
          <t>17/03/2026</t>
        </is>
      </c>
      <c r="J3956" s="10" t="inlineStr">
        <is>
          <t>Hàng hải, Dầu khí, Dịch vụ khách hàng</t>
        </is>
      </c>
      <c r="K3956" s="10" t="inlineStr">
        <is>
          <t>N/A</t>
        </is>
      </c>
      <c r="L3956" s="11">
        <f>HYPERLINK("https://careerviet.vn/vi/tim-viec-lam/chuyen-vien-quan-ly-hoat-dong-tau.35C6A768.html","Xem chi tiết")</f>
        <v/>
      </c>
      <c r="M3956" s="10" t="n"/>
    </row>
    <row r="3957">
      <c r="B3957" s="7" t="n">
        <v>3955</v>
      </c>
      <c r="C3957" t="inlineStr">
        <is>
          <t>Nhân Viên Kinh Doanh</t>
        </is>
      </c>
      <c r="D3957" t="inlineStr">
        <is>
          <t>Công ty TNHH SEOHEUNG VIETNAM</t>
        </is>
      </c>
      <c r="E3957" t="inlineStr">
        <is>
          <t>Lương:10 Tr - 15 Tr VND</t>
        </is>
      </c>
      <c r="F3957" t="inlineStr">
        <is>
          <t>Bình Dương</t>
        </is>
      </c>
      <c r="G3957" t="inlineStr">
        <is>
          <t>05-04-2026</t>
        </is>
      </c>
      <c r="H3957" t="inlineStr">
        <is>
          <t>05/04/2026</t>
        </is>
      </c>
      <c r="I3957" t="inlineStr">
        <is>
          <t>17/03/2026</t>
        </is>
      </c>
      <c r="J3957" t="inlineStr">
        <is>
          <t>Tiếp thị / Marketing, Bán lẻ / Bán sỉ, Bán hàng / Kinh doanh</t>
        </is>
      </c>
      <c r="K3957" t="inlineStr">
        <is>
          <t>2 - 5 Năm</t>
        </is>
      </c>
      <c r="L3957" s="8">
        <f>HYPERLINK("https://careerviet.vn/vi/tim-viec-lam/nhan-vien-kinh-doanh.35C676EF.html","Xem chi tiết")</f>
        <v/>
      </c>
    </row>
    <row r="3958">
      <c r="B3958" s="9" t="n">
        <v>3956</v>
      </c>
      <c r="C3958" s="10" t="inlineStr">
        <is>
          <t>Kế Toán Tổng Hợp</t>
        </is>
      </c>
      <c r="D3958" s="10" t="inlineStr">
        <is>
          <t>CÔNG TY TNHH ĐẦU TƯ THƯƠNG MẠI OM SOHA</t>
        </is>
      </c>
      <c r="E3958" s="10" t="inlineStr">
        <is>
          <t>Lương:Cạnh tranh</t>
        </is>
      </c>
      <c r="F3958" s="10" t="inlineStr">
        <is>
          <t>Hồ Chí Minh</t>
        </is>
      </c>
      <c r="G3958" s="10" t="inlineStr">
        <is>
          <t>05-04-2026</t>
        </is>
      </c>
      <c r="H3958" s="10" t="inlineStr">
        <is>
          <t>05/04/2026</t>
        </is>
      </c>
      <c r="I3958" s="10" t="inlineStr">
        <is>
          <t>17/03/2026</t>
        </is>
      </c>
      <c r="J3958" s="10" t="inlineStr">
        <is>
          <t>Kế toán / Kiểm toán, Điện / Điện tử / Điện lạnh / Điện công nghiệp, Xây dựng</t>
        </is>
      </c>
      <c r="K3958" s="10" t="inlineStr">
        <is>
          <t>Lên đến 5 Năm</t>
        </is>
      </c>
      <c r="L3958" s="11">
        <f>HYPERLINK("https://careerviet.vn/vi/tim-viec-lam/ke-toan-tong-hop.35C649AB.html","Xem chi tiết")</f>
        <v/>
      </c>
      <c r="M3958" s="10" t="n"/>
    </row>
    <row r="3959">
      <c r="B3959" s="7" t="n">
        <v>3957</v>
      </c>
      <c r="C3959" t="inlineStr">
        <is>
          <t>Sales  (B2B) NGÀNH HẠT NHỰA</t>
        </is>
      </c>
      <c r="D3959" t="inlineStr">
        <is>
          <t>CÔNG TY TNHH SX TM CN NHỰA Á CHÂU</t>
        </is>
      </c>
      <c r="E3959" t="inlineStr">
        <is>
          <t>Lương:12 Tr - 30 Tr VND</t>
        </is>
      </c>
      <c r="F3959" t="inlineStr">
        <is>
          <t>Hồ Chí Minh</t>
        </is>
      </c>
      <c r="G3959" t="inlineStr">
        <is>
          <t>05-04-2026</t>
        </is>
      </c>
      <c r="H3959" t="inlineStr">
        <is>
          <t>05/04/2026</t>
        </is>
      </c>
      <c r="I3959" t="inlineStr">
        <is>
          <t>17/03/2026</t>
        </is>
      </c>
      <c r="J3959" t="inlineStr">
        <is>
          <t>Tiếp thị / Marketing, Bán lẻ / Bán sỉ, Bán hàng / Kinh doanh</t>
        </is>
      </c>
      <c r="K3959" t="inlineStr">
        <is>
          <t>3 - 5 Năm</t>
        </is>
      </c>
      <c r="L3959" s="8">
        <f>HYPERLINK("https://careerviet.vn/vi/tim-viec-lam/sales-b2b-nganh-hat-nhua.35C67892.html","Xem chi tiết")</f>
        <v/>
      </c>
    </row>
    <row r="3960">
      <c r="B3960" s="9" t="n">
        <v>3958</v>
      </c>
      <c r="C3960" s="10" t="inlineStr">
        <is>
          <t>Y tế trường mầm non cụm Thủ Đức - Quận 9</t>
        </is>
      </c>
      <c r="D3960" s="10" t="inlineStr">
        <is>
          <t>TRƯỜNG QUỐC TẾ BLUE RIDGE / BLUE RIDGE INTERNATIONAL SCHOOL (BRIS)</t>
        </is>
      </c>
      <c r="E3960" s="10" t="inlineStr">
        <is>
          <t>Lương:8 Tr - 9 Tr VND</t>
        </is>
      </c>
      <c r="F3960" s="10" t="inlineStr">
        <is>
          <t>Hồ Chí Minh</t>
        </is>
      </c>
      <c r="G3960" s="10" t="inlineStr">
        <is>
          <t>05-04-2026</t>
        </is>
      </c>
      <c r="H3960" s="10" t="inlineStr">
        <is>
          <t>05/04/2026</t>
        </is>
      </c>
      <c r="I3960" s="10" t="inlineStr">
        <is>
          <t>17/03/2026</t>
        </is>
      </c>
      <c r="J3960" s="10" t="inlineStr">
        <is>
          <t>Y tế / Chăm sóc sức khỏe / Thẩm mỹ / Làm đẹp</t>
        </is>
      </c>
      <c r="K3960" s="10" t="inlineStr">
        <is>
          <t>1 - 2 Năm</t>
        </is>
      </c>
      <c r="L3960" s="11">
        <f>HYPERLINK("https://careerviet.vn/vi/tim-viec-lam/y-te-truong-mam-non-cum-thu-duc-quan-9.35C67721.html","Xem chi tiết")</f>
        <v/>
      </c>
      <c r="M3960" s="10" t="n"/>
    </row>
    <row r="3961">
      <c r="B3961" s="7" t="n">
        <v>3959</v>
      </c>
      <c r="C3961" t="inlineStr">
        <is>
          <t>Kỹ sư thiết kế kết cấu</t>
        </is>
      </c>
      <c r="D3961" t="inlineStr">
        <is>
          <t>Công Ty Cổ Phần Đầu Tư Xây Dựng Bcons</t>
        </is>
      </c>
      <c r="E3961" t="inlineStr">
        <is>
          <t>Lương:14 Tr - 20 Tr VND</t>
        </is>
      </c>
      <c r="F3961" t="inlineStr">
        <is>
          <t>Hồ Chí Minh</t>
        </is>
      </c>
      <c r="G3961" t="inlineStr">
        <is>
          <t>05-04-2026</t>
        </is>
      </c>
      <c r="H3961" t="inlineStr">
        <is>
          <t>05/04/2026</t>
        </is>
      </c>
      <c r="I3961" t="inlineStr">
        <is>
          <t>17/03/2026</t>
        </is>
      </c>
      <c r="J3961" t="inlineStr">
        <is>
          <t>Xây dựng, Bất động sản</t>
        </is>
      </c>
      <c r="K3961" t="inlineStr">
        <is>
          <t>1 - 2 Năm</t>
        </is>
      </c>
      <c r="L3961" s="8">
        <f>HYPERLINK("https://careerviet.vn/vi/tim-viec-lam/ky-su-thiet-ke-ket-cau.35C64849.html","Xem chi tiết")</f>
        <v/>
      </c>
    </row>
    <row r="3962">
      <c r="B3962" s="9" t="n">
        <v>3960</v>
      </c>
      <c r="C3962" s="10" t="inlineStr">
        <is>
          <t>NHÂN VIÊN KINH DOANH GẠCH MEN TPHCM- VĨNH LONG - ĐỒNG THÁP - CẦN THƠ - ĐỒNG NAI</t>
        </is>
      </c>
      <c r="D3962" s="10" t="inlineStr">
        <is>
          <t>CÔNG TY CỔ PHẦN NOVATILE</t>
        </is>
      </c>
      <c r="E3962" s="10" t="inlineStr">
        <is>
          <t>Lương:10 Tr - 12 Tr VND</t>
        </is>
      </c>
      <c r="F3962" s="10" t="inlineStr">
        <is>
          <t>Hồ Chí Minh</t>
        </is>
      </c>
      <c r="G3962" s="10" t="inlineStr">
        <is>
          <t>05-04-2026</t>
        </is>
      </c>
      <c r="H3962" s="10" t="inlineStr">
        <is>
          <t>05/04/2026</t>
        </is>
      </c>
      <c r="I3962" s="10" t="inlineStr">
        <is>
          <t>17/03/2026</t>
        </is>
      </c>
      <c r="J3962" s="10" t="inlineStr">
        <is>
          <t>Tiếp thị / Marketing, Bán lẻ / Bán sỉ, Bán hàng / Kinh doanh</t>
        </is>
      </c>
      <c r="K3962" s="10" t="inlineStr">
        <is>
          <t>N/A</t>
        </is>
      </c>
      <c r="L3962" s="11">
        <f>HYPERLINK("https://careerviet.vn/vi/tim-viec-lam/nhan-vien-kinh-doanh-gach-men-tphcm-vinh-long-dong-thap-can-tho-dong-nai.35C648CD.html","Xem chi tiết")</f>
        <v/>
      </c>
      <c r="M3962" s="10" t="n"/>
    </row>
    <row r="3963">
      <c r="B3963" s="7" t="n">
        <v>3961</v>
      </c>
      <c r="C3963" t="inlineStr">
        <is>
          <t>Receptionist</t>
        </is>
      </c>
      <c r="D3963" t="inlineStr">
        <is>
          <t>Công Ty TNHH Dự Án Hồ Tràm</t>
        </is>
      </c>
      <c r="E3963" t="inlineStr">
        <is>
          <t>Lương:Cạnh tranh</t>
        </is>
      </c>
      <c r="F3963" t="inlineStr">
        <is>
          <t>Hồ Chí Minh</t>
        </is>
      </c>
      <c r="G3963" t="inlineStr">
        <is>
          <t>05-04-2026</t>
        </is>
      </c>
      <c r="H3963" t="inlineStr">
        <is>
          <t>05/04/2026</t>
        </is>
      </c>
      <c r="I3963" t="inlineStr">
        <is>
          <t>17/03/2026</t>
        </is>
      </c>
      <c r="J3963" t="inlineStr">
        <is>
          <t>Dịch vụ khách hàng</t>
        </is>
      </c>
      <c r="K3963" t="inlineStr">
        <is>
          <t>Trên 1 Năm</t>
        </is>
      </c>
      <c r="L3963" s="8">
        <f>HYPERLINK("https://careerviet.vn/vi/tim-viec-lam/receptionist.35C64816.html","Xem chi tiết")</f>
        <v/>
      </c>
    </row>
    <row r="3964">
      <c r="B3964" s="9" t="n">
        <v>3962</v>
      </c>
      <c r="C3964" s="10" t="inlineStr">
        <is>
          <t>市场管理专员：Marketing Promotion</t>
        </is>
      </c>
      <c r="D3964" s="10" t="inlineStr">
        <is>
          <t>S.F. EXPRESS LTD.</t>
        </is>
      </c>
      <c r="E3964" s="10" t="inlineStr">
        <is>
          <t>Lương:20 Tr - 25 Tr VND</t>
        </is>
      </c>
      <c r="F3964" s="10" t="inlineStr">
        <is>
          <t>Hồ Chí Minh</t>
        </is>
      </c>
      <c r="G3964" s="10" t="inlineStr">
        <is>
          <t>05-04-2026</t>
        </is>
      </c>
      <c r="H3964" s="10" t="inlineStr">
        <is>
          <t>05/04/2026</t>
        </is>
      </c>
      <c r="I3964" s="10" t="inlineStr">
        <is>
          <t>17/03/2026</t>
        </is>
      </c>
      <c r="J3964" s="10" t="inlineStr">
        <is>
          <t>Vận chuyển / Giao nhận / Kho vận, Xuất nhập khẩu, Tiếp thị / Marketing</t>
        </is>
      </c>
      <c r="K3964" s="10" t="inlineStr">
        <is>
          <t>3 - 5 Năm</t>
        </is>
      </c>
      <c r="L3964" s="11">
        <f>HYPERLINK("https://careerviet.vn/vi/tim-viec-lam/marketing-promotion.35C67743.html","Xem chi tiết")</f>
        <v/>
      </c>
      <c r="M3964" s="10" t="n"/>
    </row>
    <row r="3965">
      <c r="B3965" s="7" t="n">
        <v>3963</v>
      </c>
      <c r="C3965" t="inlineStr">
        <is>
          <t>Công nhân lao động phổ thông</t>
        </is>
      </c>
      <c r="D3965" t="inlineStr">
        <is>
          <t>Cty CP Kỹ Nghệ Thực Phẩm Việt Nam - VIFON</t>
        </is>
      </c>
      <c r="E3965" t="inlineStr">
        <is>
          <t>Lương:8 Tr - 12 Tr VND</t>
        </is>
      </c>
      <c r="F3965" t="inlineStr">
        <is>
          <t>Hồ Chí Minh</t>
        </is>
      </c>
      <c r="G3965" t="inlineStr">
        <is>
          <t>05-04-2026</t>
        </is>
      </c>
      <c r="H3965" t="inlineStr">
        <is>
          <t>05/04/2026</t>
        </is>
      </c>
      <c r="I3965" t="inlineStr">
        <is>
          <t>17/03/2026</t>
        </is>
      </c>
      <c r="J3965" t="inlineStr">
        <is>
          <t>Sản xuất / Vận hành sản xuất</t>
        </is>
      </c>
      <c r="K3965" t="inlineStr">
        <is>
          <t>N/A</t>
        </is>
      </c>
      <c r="L3965" s="8">
        <f>HYPERLINK("https://careerviet.vn/vi/tim-viec-lam/cong-nhan-lao-dong-pho-thong.35C67891.html","Xem chi tiết")</f>
        <v/>
      </c>
    </row>
    <row r="3966">
      <c r="B3966" s="9" t="n">
        <v>3964</v>
      </c>
      <c r="C3966" s="10" t="inlineStr">
        <is>
          <t>Expert, Product and Solution</t>
        </is>
      </c>
      <c r="D3966" s="10" t="inlineStr">
        <is>
          <t>NGÂN HÀNG TMCP KỸ THƯƠNG VIỆT NAM (TECHCOMBANK)</t>
        </is>
      </c>
      <c r="E3966" s="10" t="inlineStr">
        <is>
          <t>Lương:Cạnh tranh</t>
        </is>
      </c>
      <c r="F3966" s="10" t="inlineStr">
        <is>
          <t>Hà Nội</t>
        </is>
      </c>
      <c r="G3966" s="10" t="inlineStr">
        <is>
          <t>05-04-2026</t>
        </is>
      </c>
      <c r="H3966" s="10" t="inlineStr">
        <is>
          <t>05/04/2026</t>
        </is>
      </c>
      <c r="I3966" s="10" t="inlineStr">
        <is>
          <t>17/03/2026</t>
        </is>
      </c>
      <c r="J3966" s="10" t="inlineStr">
        <is>
          <t>Ngân hàng, Tiếp thị / Marketing, Tài chính / Đầu tư</t>
        </is>
      </c>
      <c r="K3966" s="10" t="inlineStr">
        <is>
          <t>Trên 8 Năm</t>
        </is>
      </c>
      <c r="L3966" s="11">
        <f>HYPERLINK("https://careerviet.vn/vi/tim-viec-lam/expert-product-and-solution.35C6792C.html","Xem chi tiết")</f>
        <v/>
      </c>
      <c r="M3966" s="10" t="n"/>
    </row>
    <row r="3967">
      <c r="B3967" s="7" t="n">
        <v>3965</v>
      </c>
      <c r="C3967" t="inlineStr">
        <is>
          <t>Nhân viên Kỹ thuật sản phẩm</t>
        </is>
      </c>
      <c r="D3967" t="inlineStr">
        <is>
          <t>CÔNG TY CỔ PHẦN PHÁT TRIỂN CÔNG NGHỆ TECHPRO</t>
        </is>
      </c>
      <c r="E3967" t="inlineStr">
        <is>
          <t>Lương:12 Tr - 18 Tr VND</t>
        </is>
      </c>
      <c r="F3967" t="inlineStr">
        <is>
          <t>Hà Nội</t>
        </is>
      </c>
      <c r="G3967" t="inlineStr">
        <is>
          <t>05-04-2026</t>
        </is>
      </c>
      <c r="H3967" t="inlineStr">
        <is>
          <t>05/04/2026</t>
        </is>
      </c>
      <c r="I3967" t="inlineStr">
        <is>
          <t>17/03/2026</t>
        </is>
      </c>
      <c r="J3967" t="inlineStr">
        <is>
          <t>Cơ khí / Ô tô / Tự động hóa, Điện / Điện tử / Điện lạnh / Điện công nghiệp</t>
        </is>
      </c>
      <c r="K3967" t="inlineStr">
        <is>
          <t>1 - 2 Năm</t>
        </is>
      </c>
      <c r="L3967" s="8">
        <f>HYPERLINK("https://careerviet.vn/vi/tim-viec-lam/nhan-vien-ky-thuat-san-pham.35C6790D.html","Xem chi tiết")</f>
        <v/>
      </c>
    </row>
    <row r="3968">
      <c r="B3968" s="9" t="n">
        <v>3966</v>
      </c>
      <c r="C3968" s="10" t="inlineStr">
        <is>
          <t>Chuyên viên Cao cấp Phòng chống rửa tiền - Phòng Kiểm soát tuân thủ - Hội sở HDBank HCM</t>
        </is>
      </c>
      <c r="D3968" s="10" t="inlineStr">
        <is>
          <t>Ngân hàng TMCP Phát triển TP.HCM (HDBank)</t>
        </is>
      </c>
      <c r="E3968" s="10" t="inlineStr">
        <is>
          <t>Lương:Cạnh tranh</t>
        </is>
      </c>
      <c r="F3968" s="10" t="inlineStr">
        <is>
          <t>Hồ Chí Minh</t>
        </is>
      </c>
      <c r="G3968" s="10" t="inlineStr">
        <is>
          <t>05-04-2026</t>
        </is>
      </c>
      <c r="H3968" s="10" t="inlineStr">
        <is>
          <t>05/04/2026</t>
        </is>
      </c>
      <c r="I3968" s="10" t="inlineStr">
        <is>
          <t>17/03/2026</t>
        </is>
      </c>
      <c r="J3968" s="10" t="inlineStr">
        <is>
          <t>Luật / Pháp lý, Ngân hàng, Tài chính / Đầu tư</t>
        </is>
      </c>
      <c r="K3968" s="10" t="inlineStr">
        <is>
          <t>3 - 8 Năm</t>
        </is>
      </c>
      <c r="L3968" s="11">
        <f>HYPERLINK("https://careerviet.vn/vi/tim-viec-lam/chuyen-vien-cao-cap-phong-chong-rua-tien-phong-kiem-soat-tuan-thu-hoi-so-hdbank-hcm.35C676C8.html","Xem chi tiết")</f>
        <v/>
      </c>
      <c r="M3968" s="10" t="n"/>
    </row>
    <row r="3969">
      <c r="B3969" s="7" t="n">
        <v>3967</v>
      </c>
      <c r="C3969" t="inlineStr">
        <is>
          <t>Chuyên viên Cao cấp Chính sách Đãi ngộ &amp; Phát triển Lãnh đạo - HO - 4H088</t>
        </is>
      </c>
      <c r="D3969" t="inlineStr">
        <is>
          <t>Tập đoàn ROX (ROX Group)</t>
        </is>
      </c>
      <c r="E3969" t="inlineStr">
        <is>
          <t>Lương:Cạnh tranh</t>
        </is>
      </c>
      <c r="F3969" t="inlineStr">
        <is>
          <t>Hà Nội</t>
        </is>
      </c>
      <c r="G3969" t="inlineStr">
        <is>
          <t>05-04-2026</t>
        </is>
      </c>
      <c r="H3969" t="inlineStr">
        <is>
          <t>05/04/2026</t>
        </is>
      </c>
      <c r="I3969" t="inlineStr">
        <is>
          <t>17/03/2026</t>
        </is>
      </c>
      <c r="J3969" t="inlineStr">
        <is>
          <t>Nhân sự</t>
        </is>
      </c>
      <c r="K3969" t="inlineStr">
        <is>
          <t>Trên 4 Năm</t>
        </is>
      </c>
      <c r="L3969" s="8">
        <f>HYPERLINK("https://careerviet.vn/vi/tim-viec-lam/chuyen-vien-cao-cap-chinh-sach-dai-ngo-phat-trien-lanh-dao-ho-4h088.35C6488A.html","Xem chi tiết")</f>
        <v/>
      </c>
    </row>
    <row r="3970">
      <c r="B3970" s="9" t="n">
        <v>3968</v>
      </c>
      <c r="C3970" s="10" t="inlineStr">
        <is>
          <t>Nhân Viên Tư Vấn Bán Hàng Tại Bưu Điện/ Dinh Độc Lập</t>
        </is>
      </c>
      <c r="D3970" s="10" t="inlineStr">
        <is>
          <t>Công Ty Cổ Phần Mỹ Phẩm Sài Gòn</t>
        </is>
      </c>
      <c r="E3970" s="10" t="inlineStr">
        <is>
          <t>Lương:Cạnh tranh</t>
        </is>
      </c>
      <c r="F3970" s="10" t="inlineStr">
        <is>
          <t>Hồ Chí Minh</t>
        </is>
      </c>
      <c r="G3970" s="10" t="inlineStr">
        <is>
          <t>05-04-2026</t>
        </is>
      </c>
      <c r="H3970" s="10" t="inlineStr">
        <is>
          <t>05/04/2026</t>
        </is>
      </c>
      <c r="I3970" s="10" t="inlineStr">
        <is>
          <t>17/03/2026</t>
        </is>
      </c>
      <c r="J3970" s="10" t="inlineStr">
        <is>
          <t>Biên phiên dịch, Bán lẻ / Bán sỉ, Bán hàng / Kinh doanh</t>
        </is>
      </c>
      <c r="K3970" s="10" t="inlineStr">
        <is>
          <t>1 - 2 Năm</t>
        </is>
      </c>
      <c r="L3970" s="11">
        <f>HYPERLINK("https://careerviet.vn/vi/tim-viec-lam/nhan-vien-tu-van-ban-hang-tai-buu-dien-dinh-doc-lap.35C6773C.html","Xem chi tiết")</f>
        <v/>
      </c>
      <c r="M3970" s="10" t="n"/>
    </row>
    <row r="3971">
      <c r="B3971" s="7" t="n">
        <v>3969</v>
      </c>
      <c r="C3971" t="inlineStr">
        <is>
          <t>Admin Specialist (Space Experience Management) - Chinese Speaking - Salary Up to 30Mil</t>
        </is>
      </c>
      <c r="D3971" t="inlineStr">
        <is>
          <t>CÔNG TY TNHH CÔNG NGHỆ HUAWEI VIỆT NAM</t>
        </is>
      </c>
      <c r="E3971" t="inlineStr">
        <is>
          <t>Lương:15 Tr - 30 Tr VND</t>
        </is>
      </c>
      <c r="F3971" t="inlineStr">
        <is>
          <t>Hà Nội</t>
        </is>
      </c>
      <c r="G3971" t="inlineStr">
        <is>
          <t>05-04-2026</t>
        </is>
      </c>
      <c r="H3971" t="inlineStr">
        <is>
          <t>05/04/2026</t>
        </is>
      </c>
      <c r="I3971" t="inlineStr">
        <is>
          <t>17/03/2026</t>
        </is>
      </c>
      <c r="J3971" t="inlineStr">
        <is>
          <t>Hành chính / Thư ký, Biên phiên dịch, Môi trường</t>
        </is>
      </c>
      <c r="K3971" t="inlineStr">
        <is>
          <t>2 - 8 Năm</t>
        </is>
      </c>
      <c r="L3971" s="8">
        <f>HYPERLINK("https://careerviet.vn/vi/tim-viec-lam/admin-specialist-space-experience-management-chinese-speaking-salary-up-to-30mil.35C64A19.html","Xem chi tiết")</f>
        <v/>
      </c>
    </row>
    <row r="3972">
      <c r="B3972" s="9" t="n">
        <v>3970</v>
      </c>
      <c r="C3972" s="10" t="inlineStr">
        <is>
          <t>Senior PIE Engineer (Data System experienced)</t>
        </is>
      </c>
      <c r="D3972" s="10" t="inlineStr">
        <is>
          <t>Techtronic Industries Vietnam Manufacturing Company Limited</t>
        </is>
      </c>
      <c r="E3972" s="10" t="inlineStr">
        <is>
          <t>Lương:Cạnh tranh</t>
        </is>
      </c>
      <c r="F3972" s="10" t="inlineStr">
        <is>
          <t>Đồng Nai</t>
        </is>
      </c>
      <c r="G3972" s="10" t="inlineStr">
        <is>
          <t>05-04-2026</t>
        </is>
      </c>
      <c r="H3972" s="10" t="inlineStr">
        <is>
          <t>05/04/2026</t>
        </is>
      </c>
      <c r="I3972" s="10" t="inlineStr">
        <is>
          <t>17/03/2026</t>
        </is>
      </c>
      <c r="J3972" s="10" t="inlineStr">
        <is>
          <t>CNTT - Phần mềm, CNTT - Phần cứng / Mạng, Sản xuất / Vận hành sản xuất</t>
        </is>
      </c>
      <c r="K3972" s="10" t="inlineStr">
        <is>
          <t>3 - 5 Năm</t>
        </is>
      </c>
      <c r="L3972" s="11">
        <f>HYPERLINK("https://careerviet.vn/vi/tim-viec-lam/senior-pie-engineer-data-system-experienced.35C6774D.html","Xem chi tiết")</f>
        <v/>
      </c>
      <c r="M3972" s="10" t="n"/>
    </row>
    <row r="3973">
      <c r="B3973" s="7" t="n">
        <v>3971</v>
      </c>
      <c r="C3973" t="inlineStr">
        <is>
          <t>[Hà Nội] CV/CVC/CVCC Kiểm thử</t>
        </is>
      </c>
      <c r="D3973" t="inlineStr">
        <is>
          <t>Ngân hàng TMCP Lộc Phát Việt Nam (LPBank)</t>
        </is>
      </c>
      <c r="E3973" t="inlineStr">
        <is>
          <t>Lương:Cạnh tranh</t>
        </is>
      </c>
      <c r="F3973" t="inlineStr">
        <is>
          <t>Hà Nội</t>
        </is>
      </c>
      <c r="G3973" t="inlineStr">
        <is>
          <t>05-04-2026</t>
        </is>
      </c>
      <c r="H3973" t="inlineStr">
        <is>
          <t>05/04/2026</t>
        </is>
      </c>
      <c r="I3973" t="inlineStr">
        <is>
          <t>17/03/2026</t>
        </is>
      </c>
      <c r="J3973" t="inlineStr">
        <is>
          <t>Ngân hàng</t>
        </is>
      </c>
      <c r="K3973" t="inlineStr">
        <is>
          <t>Trên 3 Năm</t>
        </is>
      </c>
      <c r="L3973" s="8">
        <f>HYPERLINK("https://careerviet.vn/vi/tim-viec-lam/ha-noi-cv-cvc-cvcc-kiem-thu.35C677E6.html","Xem chi tiết")</f>
        <v/>
      </c>
    </row>
    <row r="3974">
      <c r="B3974" s="9" t="n">
        <v>3972</v>
      </c>
      <c r="C3974" s="10" t="inlineStr">
        <is>
          <t>Senior Risk system management Executive</t>
        </is>
      </c>
      <c r="D3974" s="10" t="inlineStr">
        <is>
          <t>CÔNG TY TÀI CHÍNH TNHH NGÂN HÀNG TMCP SÀI GÒN - HÀ NỘI  (SHBFinance)</t>
        </is>
      </c>
      <c r="E3974" s="10" t="inlineStr">
        <is>
          <t>Lương:Cạnh tranh</t>
        </is>
      </c>
      <c r="F3974" s="10" t="inlineStr">
        <is>
          <t>Hồ Chí Minh</t>
        </is>
      </c>
      <c r="G3974" s="10" t="inlineStr">
        <is>
          <t>05-04-2026</t>
        </is>
      </c>
      <c r="H3974" s="10" t="inlineStr">
        <is>
          <t>05/04/2026</t>
        </is>
      </c>
      <c r="I3974" s="10" t="inlineStr">
        <is>
          <t>17/03/2026</t>
        </is>
      </c>
      <c r="J3974" s="10" t="inlineStr">
        <is>
          <t>Ngân hàng, Quản lý chất lượng (QA/QC), Tài chính / Đầu tư</t>
        </is>
      </c>
      <c r="K3974" s="10" t="inlineStr">
        <is>
          <t>2 - 4 Năm</t>
        </is>
      </c>
      <c r="L3974" s="11">
        <f>HYPERLINK("https://careerviet.vn/vi/tim-viec-lam/senior-risk-system-management-executive.35C649E1.html","Xem chi tiết")</f>
        <v/>
      </c>
      <c r="M3974" s="10" t="n"/>
    </row>
    <row r="3975">
      <c r="B3975" s="7" t="n">
        <v>3973</v>
      </c>
      <c r="C3975" t="inlineStr">
        <is>
          <t>Nhân viên Event Marketing</t>
        </is>
      </c>
      <c r="D3975" t="inlineStr">
        <is>
          <t>Tập Đoàn Kim Tín</t>
        </is>
      </c>
      <c r="E3975" t="inlineStr">
        <is>
          <t>Lương:Cạnh tranh</t>
        </is>
      </c>
      <c r="F3975" t="inlineStr">
        <is>
          <t>Hưng Yên</t>
        </is>
      </c>
      <c r="G3975" t="inlineStr">
        <is>
          <t>05-04-2026</t>
        </is>
      </c>
      <c r="H3975" t="inlineStr">
        <is>
          <t>05/04/2026</t>
        </is>
      </c>
      <c r="I3975" t="inlineStr">
        <is>
          <t>17/03/2026</t>
        </is>
      </c>
      <c r="J3975" t="inlineStr">
        <is>
          <t>Tiếp thị / Marketing, Bán hàng / Kinh doanh</t>
        </is>
      </c>
      <c r="K3975" t="inlineStr">
        <is>
          <t>1 - 3 Năm</t>
        </is>
      </c>
      <c r="L3975" s="8">
        <f>HYPERLINK("https://careerviet.vn/vi/tim-viec-lam/nhan-vien-event-marketing.35C677E4.html","Xem chi tiết")</f>
        <v/>
      </c>
    </row>
    <row r="3976">
      <c r="B3976" s="9" t="n">
        <v>3974</v>
      </c>
      <c r="C3976" s="10" t="inlineStr">
        <is>
          <t>Chuyên viên Chăm sóc khách hàng (Telesales) - TA183 - ID681</t>
        </is>
      </c>
      <c r="D3976" s="10" t="inlineStr">
        <is>
          <t>Ngân Hàng TMCP Việt Nam Thịnh Vượng - VPBANK</t>
        </is>
      </c>
      <c r="E3976" s="10" t="inlineStr">
        <is>
          <t>Lương:Cạnh tranh</t>
        </is>
      </c>
      <c r="F3976" s="10" t="inlineStr">
        <is>
          <t>Hà Nội</t>
        </is>
      </c>
      <c r="G3976" s="10" t="inlineStr">
        <is>
          <t>05-04-2026</t>
        </is>
      </c>
      <c r="H3976" s="10" t="inlineStr">
        <is>
          <t>05/04/2026</t>
        </is>
      </c>
      <c r="I3976" s="10" t="inlineStr">
        <is>
          <t>17/03/2026</t>
        </is>
      </c>
      <c r="J3976" s="10" t="inlineStr">
        <is>
          <t>Bán hàng / Kinh doanh, Tiếp thị trực tuyến, Ngân hàng</t>
        </is>
      </c>
      <c r="K3976" s="10" t="inlineStr">
        <is>
          <t>Trên 1 Năm</t>
        </is>
      </c>
      <c r="L3976" s="11">
        <f>HYPERLINK("https://careerviet.vn/vi/tim-viec-lam/chuyen-vien-cham-soc-khach-hang-telesales-ta183-id681.35C67830.html","Xem chi tiết")</f>
        <v/>
      </c>
      <c r="M3976" s="10" t="n"/>
    </row>
    <row r="3977">
      <c r="B3977" s="7" t="n">
        <v>3975</v>
      </c>
      <c r="C3977" t="inlineStr">
        <is>
          <t>Management accountant (Costing &amp; Inventory / Tax/ Fixed Assets Accountant)</t>
        </is>
      </c>
      <c r="D3977" t="inlineStr">
        <is>
          <t>Công ty TNHH Bao Bì Nước Giải Khát Crown Vũng Tàu</t>
        </is>
      </c>
      <c r="E3977" t="inlineStr">
        <is>
          <t>Lương:Cạnh tranh</t>
        </is>
      </c>
      <c r="F3977" t="inlineStr">
        <is>
          <t>Bà Rịa - Vũng Tàu</t>
        </is>
      </c>
      <c r="G3977" t="inlineStr">
        <is>
          <t>05-04-2026</t>
        </is>
      </c>
      <c r="H3977" t="inlineStr">
        <is>
          <t>05/04/2026</t>
        </is>
      </c>
      <c r="I3977" t="inlineStr">
        <is>
          <t>17/03/2026</t>
        </is>
      </c>
      <c r="J3977" t="inlineStr">
        <is>
          <t>Kế toán / Kiểm toán</t>
        </is>
      </c>
      <c r="K3977" t="inlineStr">
        <is>
          <t>3 - 5 Năm</t>
        </is>
      </c>
      <c r="L3977" s="8">
        <f>HYPERLINK("https://careerviet.vn/vi/tim-viec-lam/management-accountant-costing-inventory-tax-fixed-assets-accountant.35C64874.html","Xem chi tiết")</f>
        <v/>
      </c>
    </row>
    <row r="3978">
      <c r="B3978" s="9" t="n">
        <v>3976</v>
      </c>
      <c r="C3978" s="10" t="inlineStr">
        <is>
          <t>[NovaDreams] Chuyên viên cao cấp Quản lý Kế hoạch Marketing và Sự kiện</t>
        </is>
      </c>
      <c r="D3978" s="10" t="inlineStr">
        <is>
          <t>Bảo mật</t>
        </is>
      </c>
      <c r="E3978" s="10" t="inlineStr">
        <is>
          <t>Lương:Cạnh tranh</t>
        </is>
      </c>
      <c r="F3978" s="10" t="inlineStr">
        <is>
          <t>Hồ Chí Minh</t>
        </is>
      </c>
      <c r="G3978" s="10" t="inlineStr">
        <is>
          <t>05-04-2026</t>
        </is>
      </c>
      <c r="H3978" s="10" t="inlineStr">
        <is>
          <t>05/04/2026</t>
        </is>
      </c>
      <c r="I3978" s="10" t="inlineStr">
        <is>
          <t>17/03/2026</t>
        </is>
      </c>
      <c r="J3978" s="10" t="inlineStr">
        <is>
          <t>Tiếp thị / Marketing, Tổ chức sự kiện</t>
        </is>
      </c>
      <c r="K3978" s="10" t="inlineStr">
        <is>
          <t>3 - 8 Năm</t>
        </is>
      </c>
      <c r="L3978" s="11">
        <f>HYPERLINK("https://careerviet.vn/vi/tim-viec-lam/novadreams-chuyen-vien-cao-cap-quan-ly-ke-hoach-marketing-va-su-kien.35C676A1.html","Xem chi tiết")</f>
        <v/>
      </c>
      <c r="M3978" s="10" t="n"/>
    </row>
    <row r="3979">
      <c r="B3979" s="7" t="n">
        <v>3977</v>
      </c>
      <c r="C3979" t="inlineStr">
        <is>
          <t>Chuyên viên phụ trách HSE nhà máy</t>
        </is>
      </c>
      <c r="D3979" t="inlineStr">
        <is>
          <t>De Heus LLC</t>
        </is>
      </c>
      <c r="E3979" t="inlineStr">
        <is>
          <t>Lương:18 Tr - 25 Tr VND</t>
        </is>
      </c>
      <c r="F3979" t="inlineStr">
        <is>
          <t>Hà Nội</t>
        </is>
      </c>
      <c r="G3979" t="inlineStr">
        <is>
          <t>05-04-2026</t>
        </is>
      </c>
      <c r="H3979" t="inlineStr">
        <is>
          <t>05/04/2026</t>
        </is>
      </c>
      <c r="I3979" t="inlineStr">
        <is>
          <t>17/03/2026</t>
        </is>
      </c>
      <c r="J3979" t="inlineStr">
        <is>
          <t>Thực phẩm &amp; Đồ uống, Chăn nuôi / Thú y, Công nghệ thực phẩm / Dinh dưỡng</t>
        </is>
      </c>
      <c r="K3979" t="inlineStr">
        <is>
          <t>3 - 5 Năm</t>
        </is>
      </c>
      <c r="L3979" s="8">
        <f>HYPERLINK("https://careerviet.vn/vi/tim-viec-lam/chuyen-vien-phu-trach-hse-nha-may.35C649C6.html","Xem chi tiết")</f>
        <v/>
      </c>
    </row>
    <row r="3980">
      <c r="B3980" s="9" t="n">
        <v>3978</v>
      </c>
      <c r="C3980" s="10" t="inlineStr">
        <is>
          <t>Nhân Viên Xúc Tiến Đầu Tư Tiếng Hàn (Sales IA)</t>
        </is>
      </c>
      <c r="D3980" s="10" t="inlineStr">
        <is>
          <t>CÔNG TY TNHH RSQUARE VIỆT NAM</t>
        </is>
      </c>
      <c r="E3980" s="10" t="inlineStr">
        <is>
          <t>Lương:12 Tr - 15 Tr VND</t>
        </is>
      </c>
      <c r="F3980" s="10" t="inlineStr">
        <is>
          <t>Hà NộiHồ Chí Minh</t>
        </is>
      </c>
      <c r="G3980" s="10" t="inlineStr">
        <is>
          <t>05-04-2026</t>
        </is>
      </c>
      <c r="H3980" s="10" t="inlineStr">
        <is>
          <t>05/04/2026</t>
        </is>
      </c>
      <c r="I3980" s="10" t="inlineStr">
        <is>
          <t>17/03/2026</t>
        </is>
      </c>
      <c r="J3980" s="10" t="inlineStr">
        <is>
          <t>Bất động sản, Bán hàng / Kinh doanh, Tiếp thị / Marketing</t>
        </is>
      </c>
      <c r="K3980" s="10" t="inlineStr">
        <is>
          <t>N/A</t>
        </is>
      </c>
      <c r="L3980" s="11">
        <f>HYPERLINK("https://careerviet.vn/vi/tim-viec-lam/nhan-vien-xuc-tien-dau-tu-tieng-han-sales-ia.35C649CB.html","Xem chi tiết")</f>
        <v/>
      </c>
      <c r="M3980" s="10" t="n"/>
    </row>
    <row r="3981">
      <c r="B3981" s="7" t="n">
        <v>3979</v>
      </c>
      <c r="C3981" t="inlineStr">
        <is>
          <t>Nhân Viên Key Account Executive - Phụ Trách Chuỗi - Tại Hà Nội - Thu Nhập 10.000.000 - 15.000.000</t>
        </is>
      </c>
      <c r="D3981" t="inlineStr">
        <is>
          <t>Công ty TNHH Dược Hunmed</t>
        </is>
      </c>
      <c r="E3981" t="inlineStr">
        <is>
          <t>Lương:10 Tr - 15 Tr VND</t>
        </is>
      </c>
      <c r="F3981" t="inlineStr">
        <is>
          <t>Hà Nội</t>
        </is>
      </c>
      <c r="G3981" t="inlineStr">
        <is>
          <t>05-04-2026</t>
        </is>
      </c>
      <c r="H3981" t="inlineStr">
        <is>
          <t>05/04/2026</t>
        </is>
      </c>
      <c r="I3981" t="inlineStr">
        <is>
          <t>17/03/2026</t>
        </is>
      </c>
      <c r="J3981" t="inlineStr">
        <is>
          <t>Tiếp thị / Marketing, Dược phẩm/ Hóa Mỹ Phẩm, Y tế / Chăm sóc sức khỏe / Thẩm mỹ / Làm đẹp</t>
        </is>
      </c>
      <c r="K3981" t="inlineStr">
        <is>
          <t>1 - 2 Năm</t>
        </is>
      </c>
      <c r="L3981" s="8">
        <f>HYPERLINK("https://careerviet.vn/vi/tim-viec-lam/nhan-vien-key-account-executive-phu-trach-chuoi-tai-ha-noi-thu-nhap-10-000-000-15-000-000.35C6786C.html","Xem chi tiết")</f>
        <v/>
      </c>
    </row>
    <row r="3982">
      <c r="B3982" s="9" t="n">
        <v>3980</v>
      </c>
      <c r="C3982" s="10" t="inlineStr">
        <is>
          <t>Grand Service Agent</t>
        </is>
      </c>
      <c r="D3982" s="10" t="inlineStr">
        <is>
          <t>Công Ty TNHH Dự Án Hồ Tràm</t>
        </is>
      </c>
      <c r="E3982" s="10" t="inlineStr">
        <is>
          <t>Lương:Cạnh tranh</t>
        </is>
      </c>
      <c r="F3982" s="10" t="inlineStr">
        <is>
          <t>Hồ Chí Minh</t>
        </is>
      </c>
      <c r="G3982" s="10" t="inlineStr">
        <is>
          <t>05-04-2026</t>
        </is>
      </c>
      <c r="H3982" s="10" t="inlineStr">
        <is>
          <t>05/04/2026</t>
        </is>
      </c>
      <c r="I3982" s="10" t="inlineStr">
        <is>
          <t>17/03/2026</t>
        </is>
      </c>
      <c r="J3982" s="10" t="inlineStr">
        <is>
          <t>Dịch vụ khách hàng, Nhà hàng / Khách sạn</t>
        </is>
      </c>
      <c r="K3982" s="10" t="inlineStr">
        <is>
          <t>1 - 2 Năm</t>
        </is>
      </c>
      <c r="L3982" s="11">
        <f>HYPERLINK("https://careerviet.vn/vi/tim-viec-lam/grand-service-agent.35C64845.html","Xem chi tiết")</f>
        <v/>
      </c>
      <c r="M3982" s="10" t="n"/>
    </row>
    <row r="3983">
      <c r="B3983" s="7" t="n">
        <v>3981</v>
      </c>
      <c r="C3983" t="inlineStr">
        <is>
          <t>Phiên dịch viên tiếng Trung (6 THÁNG)</t>
        </is>
      </c>
      <c r="D3983" t="inlineStr">
        <is>
          <t>Công Ty Cổ Phần Hiệp Phú -  Vico</t>
        </is>
      </c>
      <c r="E3983" t="inlineStr">
        <is>
          <t>Lương:Cạnh tranh</t>
        </is>
      </c>
      <c r="F3983" t="inlineStr">
        <is>
          <t>Quảng Trị</t>
        </is>
      </c>
      <c r="G3983" t="inlineStr">
        <is>
          <t>05-04-2026</t>
        </is>
      </c>
      <c r="H3983" t="inlineStr">
        <is>
          <t>05/04/2026</t>
        </is>
      </c>
      <c r="I3983" t="inlineStr">
        <is>
          <t>17/03/2026</t>
        </is>
      </c>
      <c r="J3983" t="inlineStr">
        <is>
          <t>Biên phiên dịch, Cơ khí / Ô tô / Tự động hóa</t>
        </is>
      </c>
      <c r="K3983" t="inlineStr">
        <is>
          <t>Chưa có kinh nghiệm</t>
        </is>
      </c>
      <c r="L3983" s="8">
        <f>HYPERLINK("https://careerviet.vn/vi/tim-viec-lam/phien-dich-vien-tieng-trung-6-thang.35C678D7.html","Xem chi tiết")</f>
        <v/>
      </c>
    </row>
    <row r="3984">
      <c r="B3984" s="9" t="n">
        <v>3982</v>
      </c>
      <c r="C3984" s="10" t="inlineStr">
        <is>
          <t>Nhân Viên Chăm Sóc Khách Hàng - Tiếng Hoa</t>
        </is>
      </c>
      <c r="D3984" s="10" t="inlineStr">
        <is>
          <t>CÔNG TY TNHH GIAO NHẬN THƯƠNG MẠI RỒNG Á CHÂU</t>
        </is>
      </c>
      <c r="E3984" s="10" t="inlineStr">
        <is>
          <t>Lương:Cạnh tranh</t>
        </is>
      </c>
      <c r="F3984" s="10" t="inlineStr">
        <is>
          <t>Hồ Chí Minh</t>
        </is>
      </c>
      <c r="G3984" s="10" t="inlineStr">
        <is>
          <t>05-04-2026</t>
        </is>
      </c>
      <c r="H3984" s="10" t="inlineStr">
        <is>
          <t>05/04/2026</t>
        </is>
      </c>
      <c r="I3984" s="10" t="inlineStr">
        <is>
          <t>17/03/2026</t>
        </is>
      </c>
      <c r="J3984" s="10" t="inlineStr">
        <is>
          <t>Tư vấn, Dịch vụ khách hàng, Vận chuyển / Giao nhận / Kho vận</t>
        </is>
      </c>
      <c r="K3984" s="10" t="inlineStr">
        <is>
          <t>1 - 2 Năm</t>
        </is>
      </c>
      <c r="L3984" s="11">
        <f>HYPERLINK("https://careerviet.vn/vi/tim-viec-lam/nhan-vien-cham-soc-khach-hang-tieng-hoa.35C677DF.html","Xem chi tiết")</f>
        <v/>
      </c>
      <c r="M3984" s="10" t="n"/>
    </row>
    <row r="3985">
      <c r="B3985" s="7" t="n">
        <v>3983</v>
      </c>
      <c r="C3985" t="inlineStr">
        <is>
          <t>KỸ SƯ THIẾT KẾ KHUÔN (18-25 TRIỆU)</t>
        </is>
      </c>
      <c r="D3985" t="inlineStr">
        <is>
          <t>CÔNG TY CỔ PHẦN TẬP ĐOÀN DEKKO</t>
        </is>
      </c>
      <c r="E3985" t="inlineStr">
        <is>
          <t>Lương:18 Tr - 25 Tr VND</t>
        </is>
      </c>
      <c r="F3985" t="inlineStr">
        <is>
          <t>Hưng Yên</t>
        </is>
      </c>
      <c r="G3985" t="inlineStr">
        <is>
          <t>05-04-2026</t>
        </is>
      </c>
      <c r="H3985" t="inlineStr">
        <is>
          <t>05/04/2026</t>
        </is>
      </c>
      <c r="I3985" t="inlineStr">
        <is>
          <t>17/03/2026</t>
        </is>
      </c>
      <c r="J3985" t="inlineStr">
        <is>
          <t>Cơ khí / Ô tô / Tự động hóa</t>
        </is>
      </c>
      <c r="K3985" t="inlineStr">
        <is>
          <t>3 - 5 Năm</t>
        </is>
      </c>
      <c r="L3985" s="8">
        <f>HYPERLINK("https://careerviet.vn/vi/tim-viec-lam/ky-su-thiet-ke-khuon-18-25-trieu.35C67828.html","Xem chi tiết")</f>
        <v/>
      </c>
    </row>
    <row r="3986">
      <c r="B3986" s="9" t="n">
        <v>3984</v>
      </c>
      <c r="C3986" s="10" t="inlineStr">
        <is>
          <t>Lái Xe Giao Hàng (Xe Điện)</t>
        </is>
      </c>
      <c r="D3986" s="10" t="inlineStr">
        <is>
          <t>Công Ty TNHH TM &amp; XNK Nhất Lâm</t>
        </is>
      </c>
      <c r="E3986" s="10" t="inlineStr">
        <is>
          <t>Lương:11 Tr - 15 Tr VND</t>
        </is>
      </c>
      <c r="F3986" s="10" t="inlineStr">
        <is>
          <t>Hà Nội</t>
        </is>
      </c>
      <c r="G3986" s="10" t="inlineStr">
        <is>
          <t>05-04-2026</t>
        </is>
      </c>
      <c r="H3986" s="10" t="inlineStr">
        <is>
          <t>05/04/2026</t>
        </is>
      </c>
      <c r="I3986" s="10" t="inlineStr">
        <is>
          <t>17/03/2026</t>
        </is>
      </c>
      <c r="J3986" s="10" t="inlineStr">
        <is>
          <t>Vận chuyển / Giao nhận / Kho vận, Lao động phổ thông</t>
        </is>
      </c>
      <c r="K3986" s="10" t="inlineStr">
        <is>
          <t>1 - 3 Năm</t>
        </is>
      </c>
      <c r="L3986" s="11">
        <f>HYPERLINK("https://careerviet.vn/vi/tim-viec-lam/lai-xe-giao-hang-xe-dien.35C67844.html","Xem chi tiết")</f>
        <v/>
      </c>
      <c r="M3986" s="10" t="n"/>
    </row>
    <row r="3987">
      <c r="B3987" s="7" t="n">
        <v>3985</v>
      </c>
      <c r="C3987" t="inlineStr">
        <is>
          <t>Giám sát phòng Lab</t>
        </is>
      </c>
      <c r="D3987" t="inlineStr">
        <is>
          <t>CÔNG TY TNHH AUSSCO VIỆT NAM</t>
        </is>
      </c>
      <c r="E3987" t="inlineStr">
        <is>
          <t>Lương:15 Tr - 40 Tr VND</t>
        </is>
      </c>
      <c r="F3987" t="inlineStr">
        <is>
          <t>Bình Dương</t>
        </is>
      </c>
      <c r="G3987" t="inlineStr">
        <is>
          <t>05-04-2026</t>
        </is>
      </c>
      <c r="H3987" t="inlineStr">
        <is>
          <t>05/04/2026</t>
        </is>
      </c>
      <c r="I3987" t="inlineStr">
        <is>
          <t>17/03/2026</t>
        </is>
      </c>
      <c r="J3987" t="inlineStr">
        <is>
          <t>Quản lý chất lượng (QA/QC)</t>
        </is>
      </c>
      <c r="K3987" t="inlineStr">
        <is>
          <t>2 - 5 Năm</t>
        </is>
      </c>
      <c r="L3987" s="8">
        <f>HYPERLINK("https://careerviet.vn/vi/tim-viec-lam/giam-sat-phong-lab.35C678CA.html","Xem chi tiết")</f>
        <v/>
      </c>
    </row>
    <row r="3988">
      <c r="B3988" s="9" t="n">
        <v>3986</v>
      </c>
      <c r="C3988" s="10" t="inlineStr">
        <is>
          <t>[Hà Nội, HCM, Hà Tĩnh] - Chuyên Viên Cao Cấp Khách Hàng Doanh Nghiệp</t>
        </is>
      </c>
      <c r="D3988" s="10" t="inlineStr">
        <is>
          <t>NGÂN HÀNG TRÁCH NHIỆM HỮU HẠN MỘT THÀNH VIÊN VIỆT NAM HIỆN ĐẠI</t>
        </is>
      </c>
      <c r="E3988" s="10" t="inlineStr">
        <is>
          <t>Lương:Cạnh tranh</t>
        </is>
      </c>
      <c r="F3988" s="10" t="inlineStr">
        <is>
          <t>Hà NộiHà TĩnhHồ Chí Minh</t>
        </is>
      </c>
      <c r="G3988" s="10" t="inlineStr">
        <is>
          <t>05-04-2026</t>
        </is>
      </c>
      <c r="H3988" s="10" t="inlineStr">
        <is>
          <t>05/04/2026</t>
        </is>
      </c>
      <c r="I3988" s="10" t="inlineStr">
        <is>
          <t>17/03/2026</t>
        </is>
      </c>
      <c r="J3988" s="10" t="inlineStr">
        <is>
          <t>Ngân hàng, Bán hàng / Kinh doanh, Tài chính / Đầu tư</t>
        </is>
      </c>
      <c r="K3988" s="10" t="inlineStr">
        <is>
          <t>Trên 1 Năm</t>
        </is>
      </c>
      <c r="L3988" s="11">
        <f>HYPERLINK("https://careerviet.vn/vi/tim-viec-lam/ha-noi-hcm-ha-tinh-chuyen-vien-cao-cap-khach-hang-doanh-nghiep.35C67925.html","Xem chi tiết")</f>
        <v/>
      </c>
      <c r="M3988" s="10" t="n"/>
    </row>
    <row r="3989">
      <c r="B3989" s="7" t="n">
        <v>3987</v>
      </c>
      <c r="C3989" t="inlineStr">
        <is>
          <t>Kỹ Sư Điện (Công Trình/ Dự Án)</t>
        </is>
      </c>
      <c r="D3989" t="inlineStr">
        <is>
          <t>CÔNG TY CỔ PHẦN ĐẦU TƯ VÀ XÂY DỰNG THIÊN SỨ</t>
        </is>
      </c>
      <c r="E3989" t="inlineStr">
        <is>
          <t>Lương:Cạnh tranh</t>
        </is>
      </c>
      <c r="F3989" t="inlineStr">
        <is>
          <t>Hồ Chí Minh</t>
        </is>
      </c>
      <c r="G3989" t="inlineStr">
        <is>
          <t>05-04-2026</t>
        </is>
      </c>
      <c r="H3989" t="inlineStr">
        <is>
          <t>05/04/2026</t>
        </is>
      </c>
      <c r="I3989" t="inlineStr">
        <is>
          <t>17/03/2026</t>
        </is>
      </c>
      <c r="J3989" t="inlineStr">
        <is>
          <t>Bưu chính viễn thông, Điện / Điện tử / Điện lạnh / Điện công nghiệp, Xây dựng</t>
        </is>
      </c>
      <c r="K3989" t="inlineStr">
        <is>
          <t>Trên 1 Năm</t>
        </is>
      </c>
      <c r="L3989" s="8">
        <f>HYPERLINK("https://careerviet.vn/vi/tim-viec-lam/ky-su-dien-cong-trinh-du-an.35C678FC.html","Xem chi tiết")</f>
        <v/>
      </c>
    </row>
    <row r="3990">
      <c r="B3990" s="9" t="n">
        <v>3988</v>
      </c>
      <c r="C3990" s="10" t="inlineStr">
        <is>
          <t>CVCC Quản lý hiệu suất - Quản lý Tài chính - QLTC - MSB - 3K036</t>
        </is>
      </c>
      <c r="D3990" s="10" t="inlineStr">
        <is>
          <t>Ngân hàng Thương mại Cổ phần Hàng Hải Việt Nam (MSB)</t>
        </is>
      </c>
      <c r="E3990" s="10" t="inlineStr">
        <is>
          <t>Lương:Cạnh tranh</t>
        </is>
      </c>
      <c r="F3990" s="10" t="inlineStr">
        <is>
          <t>Hà Nội</t>
        </is>
      </c>
      <c r="G3990" s="10" t="inlineStr">
        <is>
          <t>05-04-2026</t>
        </is>
      </c>
      <c r="H3990" s="10" t="inlineStr">
        <is>
          <t>05/04/2026</t>
        </is>
      </c>
      <c r="I3990" s="10" t="inlineStr">
        <is>
          <t>17/03/2026</t>
        </is>
      </c>
      <c r="J3990" s="10" t="inlineStr">
        <is>
          <t>Tài chính / Đầu tư</t>
        </is>
      </c>
      <c r="K3990" s="10" t="inlineStr">
        <is>
          <t>1 - 2 Năm</t>
        </is>
      </c>
      <c r="L3990" s="11">
        <f>HYPERLINK("https://careerviet.vn/vi/tim-viec-lam/cvcc-quan-ly-hieu-suat-quan-ly-tai-chinh-qltc-msb-3k036.35C676D4.html","Xem chi tiết")</f>
        <v/>
      </c>
      <c r="M3990" s="10" t="n"/>
    </row>
    <row r="3991">
      <c r="B3991" s="7" t="n">
        <v>3989</v>
      </c>
      <c r="C3991" t="inlineStr">
        <is>
          <t>Kế toán Tổng hợp dự án Bất động sản</t>
        </is>
      </c>
      <c r="D3991" t="inlineStr">
        <is>
          <t>Công ty Cổ phần Tập Đoàn Picenza Viet Nam</t>
        </is>
      </c>
      <c r="E3991" t="inlineStr">
        <is>
          <t>Lương:18 Tr - 20 Tr VND</t>
        </is>
      </c>
      <c r="F3991" t="inlineStr">
        <is>
          <t>Hà Nội</t>
        </is>
      </c>
      <c r="G3991" t="inlineStr">
        <is>
          <t>05-04-2026</t>
        </is>
      </c>
      <c r="H3991" t="inlineStr">
        <is>
          <t>05/04/2026</t>
        </is>
      </c>
      <c r="I3991" t="inlineStr">
        <is>
          <t>17/03/2026</t>
        </is>
      </c>
      <c r="J3991" t="inlineStr">
        <is>
          <t>Bất động sản, Kế toán / Kiểm toán, Tài chính / Đầu tư</t>
        </is>
      </c>
      <c r="K3991" t="inlineStr">
        <is>
          <t>3 - 5 Năm</t>
        </is>
      </c>
      <c r="L3991" s="8">
        <f>HYPERLINK("https://careerviet.vn/vi/tim-viec-lam/ke-toan-tong-hop-du-an-bat-dong-san.35C67755.html","Xem chi tiết")</f>
        <v/>
      </c>
    </row>
    <row r="3992">
      <c r="B3992" s="9" t="n">
        <v>3990</v>
      </c>
      <c r="C3992" s="10" t="inlineStr">
        <is>
          <t>Giám Đốc Thương Hiệu - F&amp;B (Ra tết nhận việc)</t>
        </is>
      </c>
      <c r="D3992" s="10" t="inlineStr">
        <is>
          <t>CÔNG TY TNHH PHÁT TRIỂN ĐỒ UỐNG AN VIỆT SÔNG HỒNG</t>
        </is>
      </c>
      <c r="E3992" s="10" t="inlineStr">
        <is>
          <t>Lương:50 Tr - 80 Tr VND</t>
        </is>
      </c>
      <c r="F3992" s="10" t="inlineStr">
        <is>
          <t>Hà Nội</t>
        </is>
      </c>
      <c r="G3992" s="10" t="inlineStr">
        <is>
          <t>05-04-2026</t>
        </is>
      </c>
      <c r="H3992" s="10" t="inlineStr">
        <is>
          <t>05/04/2026</t>
        </is>
      </c>
      <c r="I3992" s="10" t="inlineStr">
        <is>
          <t>17/03/2026</t>
        </is>
      </c>
      <c r="J3992" s="10" t="inlineStr">
        <is>
          <t>Bán hàng / Kinh doanh, Thực phẩm &amp; Đồ uống, Nhà hàng / Khách sạn</t>
        </is>
      </c>
      <c r="K3992" s="10" t="inlineStr">
        <is>
          <t>5 - 7 Năm</t>
        </is>
      </c>
      <c r="L3992" s="11">
        <f>HYPERLINK("https://careerviet.vn/vi/tim-viec-lam/giam-doc-thuong-hieu-f-b-ra-tet-nhan-viec.35C678C0.html","Xem chi tiết")</f>
        <v/>
      </c>
      <c r="M3992" s="10" t="n"/>
    </row>
    <row r="3993">
      <c r="B3993" s="7" t="n">
        <v>3991</v>
      </c>
      <c r="C3993" t="inlineStr">
        <is>
          <t>Senior Product Owner – Investment Solutions</t>
        </is>
      </c>
      <c r="D3993" t="inlineStr">
        <is>
          <t>NGÂN HÀNG TMCP KỸ THƯƠNG VIỆT NAM (TECHCOMBANK)</t>
        </is>
      </c>
      <c r="E3993" t="inlineStr">
        <is>
          <t>Lương:Cạnh tranh</t>
        </is>
      </c>
      <c r="F3993" t="inlineStr">
        <is>
          <t>Hà Nội</t>
        </is>
      </c>
      <c r="G3993" t="inlineStr">
        <is>
          <t>05-04-2026</t>
        </is>
      </c>
      <c r="H3993" t="inlineStr">
        <is>
          <t>05/04/2026</t>
        </is>
      </c>
      <c r="I3993" t="inlineStr">
        <is>
          <t>17/03/2026</t>
        </is>
      </c>
      <c r="J3993" t="inlineStr">
        <is>
          <t>Ngân hàng, Tài chính / Đầu tư, CNTT - Phần mềm</t>
        </is>
      </c>
      <c r="K3993" t="inlineStr">
        <is>
          <t>Trên 5 Năm</t>
        </is>
      </c>
      <c r="L3993" s="8">
        <f>HYPERLINK("https://careerviet.vn/vi/tim-viec-lam/senior-product-owner-investment-solutions.35C6792D.html","Xem chi tiết")</f>
        <v/>
      </c>
    </row>
    <row r="3994">
      <c r="B3994" s="9" t="n">
        <v>3992</v>
      </c>
      <c r="C3994" s="10" t="inlineStr">
        <is>
          <t>Chuyên viên kế toán tổng hợp</t>
        </is>
      </c>
      <c r="D3994" s="10" t="inlineStr">
        <is>
          <t>Tổng Công Ty Chuyển Phát Nhanh Bưu Điện</t>
        </is>
      </c>
      <c r="E3994" s="10" t="inlineStr">
        <is>
          <t>Lương:Cạnh tranh</t>
        </is>
      </c>
      <c r="F3994" s="10" t="inlineStr">
        <is>
          <t>Hà Nội</t>
        </is>
      </c>
      <c r="G3994" s="10" t="inlineStr">
        <is>
          <t>05-04-2026</t>
        </is>
      </c>
      <c r="H3994" s="10" t="inlineStr">
        <is>
          <t>05/04/2026</t>
        </is>
      </c>
      <c r="I3994" s="10" t="inlineStr">
        <is>
          <t>17/03/2026</t>
        </is>
      </c>
      <c r="J3994" s="10" t="inlineStr">
        <is>
          <t>Kế toán / Kiểm toán, Ngân hàng, Tài chính / Đầu tư</t>
        </is>
      </c>
      <c r="K3994" s="10" t="inlineStr">
        <is>
          <t>3 - 5 Năm</t>
        </is>
      </c>
      <c r="L3994" s="11">
        <f>HYPERLINK("https://careerviet.vn/vi/tim-viec-lam/chuyen-vien-ke-toan-tong-hop.35C677F2.html","Xem chi tiết")</f>
        <v/>
      </c>
      <c r="M3994" s="10" t="n"/>
    </row>
    <row r="3995">
      <c r="B3995" s="7" t="n">
        <v>3993</v>
      </c>
      <c r="C3995" t="inlineStr">
        <is>
          <t>Công nhân pha lóc giết mổ</t>
        </is>
      </c>
      <c r="D3995" t="inlineStr">
        <is>
          <t>Công Ty Cổ Phần GreenFeed Việt Nam</t>
        </is>
      </c>
      <c r="E3995" t="inlineStr">
        <is>
          <t>Lương:7 Tr - 8 Tr VND</t>
        </is>
      </c>
      <c r="F3995" t="inlineStr">
        <is>
          <t>Đồng Nai</t>
        </is>
      </c>
      <c r="G3995" t="inlineStr">
        <is>
          <t>05-04-2026</t>
        </is>
      </c>
      <c r="H3995" t="inlineStr">
        <is>
          <t>05/04/2026</t>
        </is>
      </c>
      <c r="I3995" t="inlineStr">
        <is>
          <t>17/03/2026</t>
        </is>
      </c>
      <c r="J3995" t="inlineStr">
        <is>
          <t>Công nghệ thực phẩm / Dinh dưỡng, Lao động phổ thông, Sản xuất / Vận hành sản xuất</t>
        </is>
      </c>
      <c r="K3995" t="inlineStr">
        <is>
          <t>N/A</t>
        </is>
      </c>
      <c r="L3995" s="8">
        <f>HYPERLINK("https://careerviet.vn/vi/tim-viec-lam/cong-nhan-pha-loc-giet-mo.35C67907.html","Xem chi tiết")</f>
        <v/>
      </c>
    </row>
    <row r="3996">
      <c r="B3996" s="9" t="n">
        <v>3994</v>
      </c>
      <c r="C3996" s="10" t="inlineStr">
        <is>
          <t>Account Manager/ Account Lead</t>
        </is>
      </c>
      <c r="D3996" s="10" t="inlineStr">
        <is>
          <t>RED2 DIGITAL</t>
        </is>
      </c>
      <c r="E3996" s="10" t="inlineStr">
        <is>
          <t>Lương:Cạnh tranh</t>
        </is>
      </c>
      <c r="F3996" s="10" t="inlineStr">
        <is>
          <t>Hồ Chí Minh</t>
        </is>
      </c>
      <c r="G3996" s="10" t="inlineStr">
        <is>
          <t>05-04-2026</t>
        </is>
      </c>
      <c r="H3996" s="10" t="inlineStr">
        <is>
          <t>05/04/2026</t>
        </is>
      </c>
      <c r="I3996" s="10" t="inlineStr">
        <is>
          <t>17/03/2026</t>
        </is>
      </c>
      <c r="J3996" s="10" t="inlineStr">
        <is>
          <t>Quảng cáo / Đối ngoại / Truyền Thông</t>
        </is>
      </c>
      <c r="K3996" s="10" t="inlineStr">
        <is>
          <t>5 - 10 Năm</t>
        </is>
      </c>
      <c r="L3996" s="11">
        <f>HYPERLINK("https://careerviet.vn/vi/tim-viec-lam/account-manager-account-lead.35C67906.html","Xem chi tiết")</f>
        <v/>
      </c>
      <c r="M3996" s="10" t="n"/>
    </row>
    <row r="3997">
      <c r="B3997" s="7" t="n">
        <v>3995</v>
      </c>
      <c r="C3997" t="inlineStr">
        <is>
          <t>CHUYÊN VIÊN KINH DOANH TIẾNG TRUNG (GẤP)</t>
        </is>
      </c>
      <c r="D3997" t="inlineStr">
        <is>
          <t>CÔNG TY CỔ PHẦN TMĐT XUẤT - NHẬP KHẨU TRÁI CÂY CHÁNH THU</t>
        </is>
      </c>
      <c r="E3997" t="inlineStr">
        <is>
          <t>Lương:Cạnh tranh</t>
        </is>
      </c>
      <c r="F3997" t="inlineStr">
        <is>
          <t>Hồ Chí Minh</t>
        </is>
      </c>
      <c r="G3997" t="inlineStr">
        <is>
          <t>05-04-2026</t>
        </is>
      </c>
      <c r="H3997" t="inlineStr">
        <is>
          <t>05/04/2026</t>
        </is>
      </c>
      <c r="I3997" t="inlineStr">
        <is>
          <t>17/03/2026</t>
        </is>
      </c>
      <c r="J3997" t="inlineStr">
        <is>
          <t>Bán hàng / Kinh doanh, Xuất nhập khẩu, Biên phiên dịch</t>
        </is>
      </c>
      <c r="K3997" t="inlineStr">
        <is>
          <t>N/A</t>
        </is>
      </c>
      <c r="L3997" s="8">
        <f>HYPERLINK("https://careerviet.vn/vi/tim-viec-lam/chuyen-vien-kinh-doanh-tieng-trung-gap.35C67853.html","Xem chi tiết")</f>
        <v/>
      </c>
    </row>
    <row r="3998">
      <c r="B3998" s="9" t="n">
        <v>3996</v>
      </c>
      <c r="C3998" s="10" t="inlineStr">
        <is>
          <t>Kế toán tổng hợp - F&amp;B (Ra tết nhận việc)</t>
        </is>
      </c>
      <c r="D3998" s="10" t="inlineStr">
        <is>
          <t>CÔNG TY TNHH PHÁT TRIỂN ĐỒ UỐNG AN VIỆT SÔNG HỒNG</t>
        </is>
      </c>
      <c r="E3998" s="10" t="inlineStr">
        <is>
          <t>Lương:15 Tr - 17 Tr VND</t>
        </is>
      </c>
      <c r="F3998" s="10" t="inlineStr">
        <is>
          <t>Hà Nội</t>
        </is>
      </c>
      <c r="G3998" s="10" t="inlineStr">
        <is>
          <t>05-04-2026</t>
        </is>
      </c>
      <c r="H3998" s="10" t="inlineStr">
        <is>
          <t>05/04/2026</t>
        </is>
      </c>
      <c r="I3998" s="10" t="inlineStr">
        <is>
          <t>17/03/2026</t>
        </is>
      </c>
      <c r="J3998" s="10" t="inlineStr">
        <is>
          <t>Kế toán / Kiểm toán, Ngân hàng, Tài chính / Đầu tư</t>
        </is>
      </c>
      <c r="K3998" s="10" t="inlineStr">
        <is>
          <t>2 - 3 Năm</t>
        </is>
      </c>
      <c r="L3998" s="11">
        <f>HYPERLINK("https://careerviet.vn/vi/tim-viec-lam/ke-toan-tong-hop-f-b-ra-tet-nhan-viec.35C678CC.html","Xem chi tiết")</f>
        <v/>
      </c>
      <c r="M3998" s="10" t="n"/>
    </row>
    <row r="3999">
      <c r="B3999" s="7" t="n">
        <v>3997</v>
      </c>
      <c r="C3999" t="inlineStr">
        <is>
          <t>Chuyên Viên Tư Vấn Sản Phẩm Tín Chấp - Thừa Thiên Huế - TA183 - ID544</t>
        </is>
      </c>
      <c r="D3999" t="inlineStr">
        <is>
          <t>Ngân Hàng TMCP Việt Nam Thịnh Vượng - VPBANK</t>
        </is>
      </c>
      <c r="E3999" t="inlineStr">
        <is>
          <t>Lương:Cạnh tranh</t>
        </is>
      </c>
      <c r="F3999" t="inlineStr">
        <is>
          <t>Thừa Thiên- Huế</t>
        </is>
      </c>
      <c r="G3999" t="inlineStr">
        <is>
          <t>05-04-2026</t>
        </is>
      </c>
      <c r="H3999" t="inlineStr">
        <is>
          <t>05/04/2026</t>
        </is>
      </c>
      <c r="I3999" t="inlineStr">
        <is>
          <t>17/03/2026</t>
        </is>
      </c>
      <c r="J3999" t="inlineStr">
        <is>
          <t>Bán hàng / Kinh doanh, Ngân hàng</t>
        </is>
      </c>
      <c r="K3999" t="inlineStr">
        <is>
          <t>Trên 1 Năm</t>
        </is>
      </c>
      <c r="L3999" s="8">
        <f>HYPERLINK("https://careerviet.vn/vi/tim-viec-lam/chuyen-vien-tu-van-san-pham-tin-chap-thua-thien-hue-ta183-id544.35C6783B.html","Xem chi tiết")</f>
        <v/>
      </c>
    </row>
    <row r="4000">
      <c r="B4000" s="9" t="n">
        <v>3998</v>
      </c>
      <c r="C4000" s="10" t="inlineStr">
        <is>
          <t>Trưởng nhóm nhập hàng</t>
        </is>
      </c>
      <c r="D4000" s="10" t="inlineStr">
        <is>
          <t>Hoang Duc Pharmaceutical &amp; Medical Supplies co, Ltd.</t>
        </is>
      </c>
      <c r="E4000" s="10" t="inlineStr">
        <is>
          <t>Lương:Cạnh tranh</t>
        </is>
      </c>
      <c r="F4000" s="10" t="inlineStr">
        <is>
          <t>Long An</t>
        </is>
      </c>
      <c r="G4000" s="10" t="inlineStr">
        <is>
          <t>07-04-2026</t>
        </is>
      </c>
      <c r="H4000" s="10" t="inlineStr">
        <is>
          <t>07/04/2026</t>
        </is>
      </c>
      <c r="I4000" s="10" t="inlineStr">
        <is>
          <t>17/03/2026</t>
        </is>
      </c>
      <c r="J4000" s="10" t="inlineStr">
        <is>
          <t>Dược phẩm/ Hóa Mỹ Phẩm, Vận chuyển / Giao nhận / Kho vận</t>
        </is>
      </c>
      <c r="K4000" s="10" t="inlineStr">
        <is>
          <t>Trên 2 Năm</t>
        </is>
      </c>
      <c r="L4000" s="11">
        <f>HYPERLINK("https://careerviet.vn/vi/tim-viec-lam/truong-nhom-nhap-hang.35C67E11.html","Xem chi tiết")</f>
        <v/>
      </c>
      <c r="M4000" s="10" t="n"/>
    </row>
    <row r="4001">
      <c r="B4001" s="7" t="n">
        <v>3999</v>
      </c>
      <c r="C4001" t="inlineStr">
        <is>
          <t>Programme Officer  on Digitalisation and Disaster Risk Management “D-Risk”</t>
        </is>
      </c>
      <c r="D4001" t="inlineStr">
        <is>
          <t>The Deutsche Gesellschaft für Internationale Zusammenarbeit (GIZ)</t>
        </is>
      </c>
      <c r="E4001" t="inlineStr">
        <is>
          <t>Lương:Cạnh tranh</t>
        </is>
      </c>
      <c r="F4001" t="inlineStr">
        <is>
          <t>Cần Thơ</t>
        </is>
      </c>
      <c r="G4001" t="inlineStr">
        <is>
          <t>07-04-2026</t>
        </is>
      </c>
      <c r="H4001" t="inlineStr">
        <is>
          <t>07/04/2026</t>
        </is>
      </c>
      <c r="I4001" t="inlineStr">
        <is>
          <t>17/03/2026</t>
        </is>
      </c>
      <c r="J4001" t="inlineStr">
        <is>
          <t>Môi trường, CNTT - Phần mềm, CNTT - Phần cứng / Mạng</t>
        </is>
      </c>
      <c r="K4001" t="inlineStr">
        <is>
          <t>5 Năm</t>
        </is>
      </c>
      <c r="L4001" s="8">
        <f>HYPERLINK("https://careerviet.vn/vi/tim-viec-lam/programme-officer-on-digitalisation-and-disaster-risk-management-d-risk.35C64DEB.html","Xem chi tiết")</f>
        <v/>
      </c>
    </row>
    <row r="4002">
      <c r="B4002" s="9" t="n">
        <v>4000</v>
      </c>
      <c r="C4002" s="10" t="inlineStr">
        <is>
          <t>Trưởng Phòng Hàng Hoá Nội Thất (Nhận việc sau tết)</t>
        </is>
      </c>
      <c r="D4002" s="10" t="inlineStr">
        <is>
          <t>CÔNG TY TNHH PHÁT TRIỂN ĐỒ UỐNG AN VIỆT SÔNG HỒNG</t>
        </is>
      </c>
      <c r="E4002" s="10" t="inlineStr">
        <is>
          <t>Lương:20 Tr - 30 Tr VND</t>
        </is>
      </c>
      <c r="F4002" s="10" t="inlineStr">
        <is>
          <t>Hà Nội</t>
        </is>
      </c>
      <c r="G4002" s="10" t="inlineStr">
        <is>
          <t>05-04-2026</t>
        </is>
      </c>
      <c r="H4002" s="10" t="inlineStr">
        <is>
          <t>05/04/2026</t>
        </is>
      </c>
      <c r="I4002" s="10" t="inlineStr">
        <is>
          <t>17/03/2026</t>
        </is>
      </c>
      <c r="J4002" s="10" t="inlineStr">
        <is>
          <t>Vận chuyển / Giao nhận / Kho vận</t>
        </is>
      </c>
      <c r="K4002" s="10" t="inlineStr">
        <is>
          <t>5 - 6 Năm</t>
        </is>
      </c>
      <c r="L4002" s="11">
        <f>HYPERLINK("https://careerviet.vn/vi/tim-viec-lam/truong-phong-hang-hoa-noi-that-nhan-viec-sau-tet.35C678D5.html","Xem chi tiết")</f>
        <v/>
      </c>
      <c r="M4002" s="10" t="n"/>
    </row>
    <row r="4003">
      <c r="B4003" s="7" t="n">
        <v>4001</v>
      </c>
      <c r="C4003" t="inlineStr">
        <is>
          <t>Kỹ Sư Triển Khai Shop Drawing</t>
        </is>
      </c>
      <c r="D4003" t="inlineStr">
        <is>
          <t>CÔNG TY CỔ PHẨN ỨNG DỤNG VÀ CHUYỂN GIAO CÔNG NGHỆ XÂY DỰNG (CJSC)</t>
        </is>
      </c>
      <c r="E4003" t="inlineStr">
        <is>
          <t>Lương:15 Tr - 20 Tr VND</t>
        </is>
      </c>
      <c r="F4003" t="inlineStr">
        <is>
          <t>Hà Nội</t>
        </is>
      </c>
      <c r="G4003" t="inlineStr">
        <is>
          <t>07-04-2026</t>
        </is>
      </c>
      <c r="H4003" t="inlineStr">
        <is>
          <t>07/04/2026</t>
        </is>
      </c>
      <c r="I4003" t="inlineStr">
        <is>
          <t>17/03/2026</t>
        </is>
      </c>
      <c r="J4003" t="inlineStr">
        <is>
          <t>Kiến trúc, Xây dựng</t>
        </is>
      </c>
      <c r="K4003" t="inlineStr">
        <is>
          <t>2 - 3 Năm</t>
        </is>
      </c>
      <c r="L4003" s="8">
        <f>HYPERLINK("https://careerviet.vn/vi/tim-viec-lam/ky-su-trien-khai-shop-drawing.35C67E0C.html","Xem chi tiết")</f>
        <v/>
      </c>
    </row>
    <row r="4004">
      <c r="B4004" s="9" t="n">
        <v>4002</v>
      </c>
      <c r="C4004" s="10" t="inlineStr">
        <is>
          <t>[HCM] TRƯỞNG TRUNG TÂM</t>
        </is>
      </c>
      <c r="D4004" s="10" t="inlineStr">
        <is>
          <t>Công Ty Cổ Phần Vacxin Việt Nam</t>
        </is>
      </c>
      <c r="E4004" s="10" t="inlineStr">
        <is>
          <t>Lương:Cạnh tranh</t>
        </is>
      </c>
      <c r="F4004" s="10" t="inlineStr">
        <is>
          <t>Hồ Chí Minh</t>
        </is>
      </c>
      <c r="G4004" s="10" t="inlineStr">
        <is>
          <t>05-04-2026</t>
        </is>
      </c>
      <c r="H4004" s="10" t="inlineStr">
        <is>
          <t>05/04/2026</t>
        </is>
      </c>
      <c r="I4004" s="10" t="inlineStr">
        <is>
          <t>17/03/2026</t>
        </is>
      </c>
      <c r="J4004" s="10" t="inlineStr">
        <is>
          <t>Tiếp thị / Marketing, Bán lẻ / Bán sỉ, Bán hàng / Kinh doanh</t>
        </is>
      </c>
      <c r="K4004" s="10" t="inlineStr">
        <is>
          <t>3 - 5 Năm</t>
        </is>
      </c>
      <c r="L4004" s="11">
        <f>HYPERLINK("https://careerviet.vn/vi/tim-viec-lam/hcm-truong-trung-tam.35C676BB.html","Xem chi tiết")</f>
        <v/>
      </c>
      <c r="M4004" s="10" t="n"/>
    </row>
    <row r="4005">
      <c r="B4005" s="7" t="n">
        <v>4003</v>
      </c>
      <c r="C4005" t="inlineStr">
        <is>
          <t>Phú Thọ - Chuyên viên Giám sát Cơ điện</t>
        </is>
      </c>
      <c r="D4005" t="inlineStr">
        <is>
          <t>BIM Group</t>
        </is>
      </c>
      <c r="E4005" t="inlineStr">
        <is>
          <t>Lương:Cạnh tranh</t>
        </is>
      </c>
      <c r="F4005" t="inlineStr">
        <is>
          <t>Vĩnh Phúc</t>
        </is>
      </c>
      <c r="G4005" t="inlineStr">
        <is>
          <t>07-04-2026</t>
        </is>
      </c>
      <c r="H4005" t="inlineStr">
        <is>
          <t>07/04/2026</t>
        </is>
      </c>
      <c r="I4005" t="inlineStr">
        <is>
          <t>17/03/2026</t>
        </is>
      </c>
      <c r="J4005" t="inlineStr">
        <is>
          <t>Điện / Điện tử / Điện lạnh / Điện công nghiệp, Quản lý chất lượng (QA/QC)</t>
        </is>
      </c>
      <c r="K4005" t="inlineStr">
        <is>
          <t>Trên 5 Năm</t>
        </is>
      </c>
      <c r="L4005" s="8">
        <f>HYPERLINK("https://careerviet.vn/vi/tim-viec-lam/phu-tho-chuyen-vien-giam-sat-co-dien.35C64D79.html","Xem chi tiết")</f>
        <v/>
      </c>
    </row>
    <row r="4006">
      <c r="B4006" s="9" t="n">
        <v>4004</v>
      </c>
      <c r="C4006" s="10" t="inlineStr">
        <is>
          <t>Trưởng Bộ Phận Phân Xưởng Sơ Chế/ Pre-processing Factory Manager</t>
        </is>
      </c>
      <c r="D4006" s="10" t="inlineStr">
        <is>
          <t>BETRIMEX - Công Ty Cổ Phần Xuất Nhập Khẩu Bến Tre</t>
        </is>
      </c>
      <c r="E4006" s="10" t="inlineStr">
        <is>
          <t>Lương:Cạnh tranh</t>
        </is>
      </c>
      <c r="F4006" s="10" t="inlineStr">
        <is>
          <t>Bến Tre</t>
        </is>
      </c>
      <c r="G4006" s="10" t="inlineStr">
        <is>
          <t>05-04-2026</t>
        </is>
      </c>
      <c r="H4006" s="10" t="inlineStr">
        <is>
          <t>05/04/2026</t>
        </is>
      </c>
      <c r="I4006" s="10" t="inlineStr">
        <is>
          <t>17/03/2026</t>
        </is>
      </c>
      <c r="J4006" s="10" t="inlineStr">
        <is>
          <t>Quản lý điều hành, Sản xuất / Vận hành sản xuất</t>
        </is>
      </c>
      <c r="K4006" s="10" t="inlineStr">
        <is>
          <t>Trên 5 Năm</t>
        </is>
      </c>
      <c r="L4006" s="11">
        <f>HYPERLINK("https://careerviet.vn/vi/tim-viec-lam/truong-bo-phan-phan-xuong-so-che-pre-processing-factory-manager.35C6771B.html","Xem chi tiết")</f>
        <v/>
      </c>
      <c r="M4006" s="10" t="n"/>
    </row>
    <row r="4007">
      <c r="B4007" s="7" t="n">
        <v>4005</v>
      </c>
      <c r="C4007" t="inlineStr">
        <is>
          <t>Kế Toán Tổng Hợp</t>
        </is>
      </c>
      <c r="D4007" t="inlineStr">
        <is>
          <t>CÔNG TY TNHH THIẾT BỊ GIÁO DỤC TẦM NHÌN MỚI</t>
        </is>
      </c>
      <c r="E4007" t="inlineStr">
        <is>
          <t>Lương:15 Tr - 18 Tr VND</t>
        </is>
      </c>
      <c r="F4007" t="inlineStr">
        <is>
          <t>Hồ Chí Minh</t>
        </is>
      </c>
      <c r="G4007" t="inlineStr">
        <is>
          <t>07-04-2026</t>
        </is>
      </c>
      <c r="H4007" t="inlineStr">
        <is>
          <t>07/04/2026</t>
        </is>
      </c>
      <c r="I4007" t="inlineStr">
        <is>
          <t>17/03/2026</t>
        </is>
      </c>
      <c r="J4007" t="inlineStr">
        <is>
          <t>Kế toán / Kiểm toán, Ngân hàng, Tài chính / Đầu tư</t>
        </is>
      </c>
      <c r="K4007" t="inlineStr">
        <is>
          <t>N/A</t>
        </is>
      </c>
      <c r="L4007" s="8">
        <f>HYPERLINK("https://careerviet.vn/vi/tim-viec-lam/ke-toan-tong-hop.35C67E79.html","Xem chi tiết")</f>
        <v/>
      </c>
    </row>
    <row r="4008">
      <c r="B4008" s="9" t="n">
        <v>4006</v>
      </c>
      <c r="C4008" s="10" t="inlineStr">
        <is>
          <t>Chuyên Viên Tuyển Dụng</t>
        </is>
      </c>
      <c r="D4008" s="10" t="inlineStr">
        <is>
          <t>Công ty Cổ phần Tập đoàn Gỗ Minh Long</t>
        </is>
      </c>
      <c r="E4008" s="10" t="inlineStr">
        <is>
          <t>Lương:10 Tr - 15 Tr VND</t>
        </is>
      </c>
      <c r="F4008" s="10" t="inlineStr">
        <is>
          <t>Hà NộiHưng Yên</t>
        </is>
      </c>
      <c r="G4008" s="10" t="inlineStr">
        <is>
          <t>07-04-2026</t>
        </is>
      </c>
      <c r="H4008" s="10" t="inlineStr">
        <is>
          <t>07/04/2026</t>
        </is>
      </c>
      <c r="I4008" s="10" t="inlineStr">
        <is>
          <t>17/03/2026</t>
        </is>
      </c>
      <c r="J4008" s="10" t="inlineStr">
        <is>
          <t>Nhân sự, Hành chính / Thư ký</t>
        </is>
      </c>
      <c r="K4008" s="10" t="inlineStr">
        <is>
          <t>Trên 2 Năm</t>
        </is>
      </c>
      <c r="L4008" s="11">
        <f>HYPERLINK("https://careerviet.vn/vi/tim-viec-lam/chuyen-vien-tuyen-dung.35C64C87.html","Xem chi tiết")</f>
        <v/>
      </c>
      <c r="M4008" s="10" t="n"/>
    </row>
    <row r="4009">
      <c r="B4009" s="7" t="n">
        <v>4007</v>
      </c>
      <c r="C4009" t="inlineStr">
        <is>
          <t>Trưởng Phòng Tiếp thị và Quan hệ Khách hàng - Trung tâm Kinh doanh</t>
        </is>
      </c>
      <c r="D4009" t="inlineStr">
        <is>
          <t>Indovina Bank Ltd.</t>
        </is>
      </c>
      <c r="E4009" t="inlineStr">
        <is>
          <t>Lương:Cạnh tranh</t>
        </is>
      </c>
      <c r="F4009" t="inlineStr">
        <is>
          <t>Hồ Chí Minh</t>
        </is>
      </c>
      <c r="G4009" t="inlineStr">
        <is>
          <t>07-04-2026</t>
        </is>
      </c>
      <c r="H4009" t="inlineStr">
        <is>
          <t>07/04/2026</t>
        </is>
      </c>
      <c r="I4009" t="inlineStr">
        <is>
          <t>17/03/2026</t>
        </is>
      </c>
      <c r="J4009" t="inlineStr">
        <is>
          <t>Bán hàng / Kinh doanh</t>
        </is>
      </c>
      <c r="K4009" t="inlineStr">
        <is>
          <t>3 Năm</t>
        </is>
      </c>
      <c r="L4009" s="8">
        <f>HYPERLINK("https://careerviet.vn/vi/tim-viec-lam/truong-phong-tiep-thi-va-quan-he-khach-hang-trung-tam-kinh-doanh.35C64C93.html","Xem chi tiết")</f>
        <v/>
      </c>
    </row>
    <row r="4010">
      <c r="B4010" s="9" t="n">
        <v>4008</v>
      </c>
      <c r="C4010" s="10" t="inlineStr">
        <is>
          <t>Kỹ Thuật Viên (Sản phẩm dây cáp thép)</t>
        </is>
      </c>
      <c r="D4010" s="10" t="inlineStr">
        <is>
          <t>CÔNG TY TNHH THƯƠNG MẠI MKP TECH</t>
        </is>
      </c>
      <c r="E4010" s="10" t="inlineStr">
        <is>
          <t>Lương:8 Tr - 10 Tr VND</t>
        </is>
      </c>
      <c r="F4010" s="10" t="inlineStr">
        <is>
          <t>Hồ Chí Minh</t>
        </is>
      </c>
      <c r="G4010" s="10" t="inlineStr">
        <is>
          <t>07-04-2026</t>
        </is>
      </c>
      <c r="H4010" s="10" t="inlineStr">
        <is>
          <t>07/04/2026</t>
        </is>
      </c>
      <c r="I4010" s="10" t="inlineStr">
        <is>
          <t>17/03/2026</t>
        </is>
      </c>
      <c r="J4010" s="10" t="inlineStr">
        <is>
          <t>Cơ khí / Ô tô / Tự động hóa, Bảo trì / Sửa chữa, Quản lý chất lượng (QA/QC)</t>
        </is>
      </c>
      <c r="K4010" s="10" t="inlineStr">
        <is>
          <t>Trên 2 Năm</t>
        </is>
      </c>
      <c r="L4010" s="11">
        <f>HYPERLINK("https://careerviet.vn/vi/tim-viec-lam/ky-thuat-vien-san-pham-day-cap-thep.35C64D01.html","Xem chi tiết")</f>
        <v/>
      </c>
      <c r="M4010" s="10" t="n"/>
    </row>
    <row r="4011">
      <c r="B4011" s="7" t="n">
        <v>4009</v>
      </c>
      <c r="C4011" t="inlineStr">
        <is>
          <t>Trưởng Phòng Kinh Doanh (Outsourcing Services)</t>
        </is>
      </c>
      <c r="D4011" t="inlineStr">
        <is>
          <t>CÔNG TY TNHH ĐẦU TƯ VÀ PHÁT TRIỂN NGUỒN NHÂN LỰC 365 SHR</t>
        </is>
      </c>
      <c r="E4011" t="inlineStr">
        <is>
          <t>Lương:20 Tr - 50 Tr VND</t>
        </is>
      </c>
      <c r="F4011" t="inlineStr">
        <is>
          <t>Bình Dương</t>
        </is>
      </c>
      <c r="G4011" t="inlineStr">
        <is>
          <t>07-04-2026</t>
        </is>
      </c>
      <c r="H4011" t="inlineStr">
        <is>
          <t>07/04/2026</t>
        </is>
      </c>
      <c r="I4011" t="inlineStr">
        <is>
          <t>17/03/2026</t>
        </is>
      </c>
      <c r="J4011" t="inlineStr">
        <is>
          <t>Bán hàng / Kinh doanh, Quản lý điều hành, Nhân sự</t>
        </is>
      </c>
      <c r="K4011" t="inlineStr">
        <is>
          <t>3 - 20 Năm</t>
        </is>
      </c>
      <c r="L4011" s="8">
        <f>HYPERLINK("https://careerviet.vn/vi/tim-viec-lam/truong-phong-kinh-doanh-outsourcing-services.35C67E30.html","Xem chi tiết")</f>
        <v/>
      </c>
    </row>
    <row r="4012">
      <c r="B4012" s="9" t="n">
        <v>4010</v>
      </c>
      <c r="C4012" s="10" t="inlineStr">
        <is>
          <t>Application Engineer (Heavy Industrial Solution - HIS)</t>
        </is>
      </c>
      <c r="D4012" s="10" t="inlineStr">
        <is>
          <t>CÔNG TY TNHH SEW-EURODRIVE</t>
        </is>
      </c>
      <c r="E4012" s="10" t="inlineStr">
        <is>
          <t>Lương:Cạnh tranh</t>
        </is>
      </c>
      <c r="F4012" s="10" t="inlineStr">
        <is>
          <t>Hà Nội</t>
        </is>
      </c>
      <c r="G4012" s="10" t="inlineStr">
        <is>
          <t>07-04-2026</t>
        </is>
      </c>
      <c r="H4012" s="10" t="inlineStr">
        <is>
          <t>07/04/2026</t>
        </is>
      </c>
      <c r="I4012" s="10" t="inlineStr">
        <is>
          <t>17/03/2026</t>
        </is>
      </c>
      <c r="J4012" s="10" t="inlineStr">
        <is>
          <t>Cơ khí / Ô tô / Tự động hóa, Điện / Điện tử / Điện lạnh / Điện công nghiệp, Bảo trì / Sửa chữa</t>
        </is>
      </c>
      <c r="K4012" s="10" t="inlineStr">
        <is>
          <t>1 - 2 Năm</t>
        </is>
      </c>
      <c r="L4012" s="11">
        <f>HYPERLINK("https://careerviet.vn/vi/tim-viec-lam/application-engineer-heavy-industrial-solution-his.35C67B06.html","Xem chi tiết")</f>
        <v/>
      </c>
      <c r="M4012" s="10" t="n"/>
    </row>
    <row r="4013">
      <c r="B4013" s="7" t="n">
        <v>4011</v>
      </c>
      <c r="C4013" t="inlineStr">
        <is>
          <t>Giám đốc Quản lý Khách hàng Ưu tiên PRM - Vùng Tây Hà Nội</t>
        </is>
      </c>
      <c r="D4013" t="inlineStr">
        <is>
          <t>Ngân Hàng TMCP Quốc Tế Việt Nam</t>
        </is>
      </c>
      <c r="E4013" t="inlineStr">
        <is>
          <t>Lương:15 Tr - 35 Tr VND</t>
        </is>
      </c>
      <c r="F4013" t="inlineStr">
        <is>
          <t>Hà NộiVĩnh PhúcPhú Thọ</t>
        </is>
      </c>
      <c r="G4013" t="inlineStr">
        <is>
          <t>07-04-2026</t>
        </is>
      </c>
      <c r="H4013" t="inlineStr">
        <is>
          <t>07/04/2026</t>
        </is>
      </c>
      <c r="I4013" t="inlineStr">
        <is>
          <t>17/03/2026</t>
        </is>
      </c>
      <c r="J4013" t="inlineStr">
        <is>
          <t>Bán hàng / Kinh doanh, Ngân hàng, Tài chính / Đầu tư</t>
        </is>
      </c>
      <c r="K4013" t="inlineStr">
        <is>
          <t>1 - 3 Năm</t>
        </is>
      </c>
      <c r="L4013" s="8">
        <f>HYPERLINK("https://careerviet.vn/vi/tim-viec-lam/giam-doc-quan-ly-khach-hang-uu-tien-prm-vung-tay-ha-noi.35C64D40.html","Xem chi tiết")</f>
        <v/>
      </c>
    </row>
    <row r="4014">
      <c r="B4014" s="9" t="n">
        <v>4012</v>
      </c>
      <c r="C4014" s="10" t="inlineStr">
        <is>
          <t>Commercial Staff</t>
        </is>
      </c>
      <c r="D4014" s="10" t="inlineStr">
        <is>
          <t>CÔNG TY CỔ PHẦN THƯƠNG MẠI DỊCH VỤ SẢN XUẤT HƯƠNG THỦY</t>
        </is>
      </c>
      <c r="E4014" s="10" t="inlineStr">
        <is>
          <t>Lương:13 Tr - 15 Tr VND</t>
        </is>
      </c>
      <c r="F4014" s="10" t="inlineStr">
        <is>
          <t>Hồ Chí Minh</t>
        </is>
      </c>
      <c r="G4014" s="10" t="inlineStr">
        <is>
          <t>07-04-2026</t>
        </is>
      </c>
      <c r="H4014" s="10" t="inlineStr">
        <is>
          <t>07/04/2026</t>
        </is>
      </c>
      <c r="I4014" s="10" t="inlineStr">
        <is>
          <t>17/03/2026</t>
        </is>
      </c>
      <c r="J4014" s="10" t="inlineStr">
        <is>
          <t>Bán lẻ / Bán sỉ, Thương mại điện tử, Thực phẩm &amp; Đồ uống</t>
        </is>
      </c>
      <c r="K4014" s="10" t="inlineStr">
        <is>
          <t>1 - 2 Năm</t>
        </is>
      </c>
      <c r="L4014" s="11">
        <f>HYPERLINK("https://careerviet.vn/vi/tim-viec-lam/commercial-staff.35C67E90.html","Xem chi tiết")</f>
        <v/>
      </c>
      <c r="M4014" s="10" t="n"/>
    </row>
    <row r="4015">
      <c r="B4015" s="7" t="n">
        <v>4013</v>
      </c>
      <c r="C4015" t="inlineStr">
        <is>
          <t>Chuyên viên kinh doanh vốn - Khối Nguồn vốn và thị trường tài chính</t>
        </is>
      </c>
      <c r="D4015" t="inlineStr">
        <is>
          <t>Ngân hàng TMCP Đại Chúng Việt Nam - PVcomBank</t>
        </is>
      </c>
      <c r="E4015" t="inlineStr">
        <is>
          <t>Lương:Cạnh tranh</t>
        </is>
      </c>
      <c r="F4015" t="inlineStr">
        <is>
          <t>Hà Nội</t>
        </is>
      </c>
      <c r="G4015" t="inlineStr">
        <is>
          <t>07-04-2026</t>
        </is>
      </c>
      <c r="H4015" t="inlineStr">
        <is>
          <t>07/04/2026</t>
        </is>
      </c>
      <c r="I4015" t="inlineStr">
        <is>
          <t>17/03/2026</t>
        </is>
      </c>
      <c r="J4015" t="inlineStr">
        <is>
          <t>Bán hàng / Kinh doanh, Ngân hàng, Tài chính / Đầu tư</t>
        </is>
      </c>
      <c r="K4015" t="inlineStr">
        <is>
          <t>2 - 10 Năm</t>
        </is>
      </c>
      <c r="L4015" s="8">
        <f>HYPERLINK("https://careerviet.vn/vi/tim-viec-lam/chuyen-vien-kinh-doanh-von-khoi-nguon-von-va-thi-truong-tai-chinh.35C67F33.html","Xem chi tiết")</f>
        <v/>
      </c>
    </row>
    <row r="4016">
      <c r="B4016" s="9" t="n">
        <v>4014</v>
      </c>
      <c r="C4016" s="10" t="inlineStr">
        <is>
          <t>Trưởng Phòng Kinh Doanh (B2B)</t>
        </is>
      </c>
      <c r="D4016" s="10" t="inlineStr">
        <is>
          <t>CÔNG TY TNHH SẢN XUẤT VÀ THƯƠNG MẠI TRƯƠNG VUI</t>
        </is>
      </c>
      <c r="E4016" s="10" t="inlineStr">
        <is>
          <t>Lương:18 Tr - 20 Tr VND</t>
        </is>
      </c>
      <c r="F4016" s="10" t="inlineStr">
        <is>
          <t>Hồ Chí Minh</t>
        </is>
      </c>
      <c r="G4016" s="10" t="inlineStr">
        <is>
          <t>07-04-2026</t>
        </is>
      </c>
      <c r="H4016" s="10" t="inlineStr">
        <is>
          <t>07/04/2026</t>
        </is>
      </c>
      <c r="I4016" s="10" t="inlineStr">
        <is>
          <t>17/03/2026</t>
        </is>
      </c>
      <c r="J4016" s="10" t="inlineStr">
        <is>
          <t>Tiếp thị / Marketing, Bán hàng / Kinh doanh, Tư vấn</t>
        </is>
      </c>
      <c r="K4016" s="10" t="inlineStr">
        <is>
          <t>2 - 3 Năm</t>
        </is>
      </c>
      <c r="L4016" s="11">
        <f>HYPERLINK("https://careerviet.vn/vi/tim-viec-lam/truong-phong-kinh-doanh-b2b.35C67F40.html","Xem chi tiết")</f>
        <v/>
      </c>
      <c r="M4016" s="10" t="n"/>
    </row>
    <row r="4017">
      <c r="B4017" s="7" t="n">
        <v>4015</v>
      </c>
      <c r="C4017" t="inlineStr">
        <is>
          <t>Nhân Viên Kỹ Thuật</t>
        </is>
      </c>
      <c r="D4017" t="inlineStr">
        <is>
          <t>Công Ty Cổ Phần Đầu Tư Bất Động Sản Hưng Lộc Phát</t>
        </is>
      </c>
      <c r="E4017" t="inlineStr">
        <is>
          <t>Lương:Lên đến 11 Tr VND</t>
        </is>
      </c>
      <c r="F4017" t="inlineStr">
        <is>
          <t>Bình Thuận</t>
        </is>
      </c>
      <c r="G4017" t="inlineStr">
        <is>
          <t>07-04-2026</t>
        </is>
      </c>
      <c r="H4017" t="inlineStr">
        <is>
          <t>07/04/2026</t>
        </is>
      </c>
      <c r="I4017" t="inlineStr">
        <is>
          <t>17/03/2026</t>
        </is>
      </c>
      <c r="J4017" t="inlineStr">
        <is>
          <t>Điện / Điện tử / Điện lạnh / Điện công nghiệp, Bảo trì / Sửa chữa</t>
        </is>
      </c>
      <c r="K4017" t="inlineStr">
        <is>
          <t>N/A</t>
        </is>
      </c>
      <c r="L4017" s="8">
        <f>HYPERLINK("https://careerviet.vn/vi/tim-viec-lam/nhan-vien-ky-thuat.35C64C8F.html","Xem chi tiết")</f>
        <v/>
      </c>
    </row>
    <row r="4018">
      <c r="B4018" s="9" t="n">
        <v>4016</v>
      </c>
      <c r="C4018" s="10" t="inlineStr">
        <is>
          <t>KIẾN TRÚC SƯ - QUẢN LÝ THIẾT KẾ DỰ ÁN (CĐT)</t>
        </is>
      </c>
      <c r="D4018" s="10" t="inlineStr">
        <is>
          <t>CÔNG TY CP TẬP ĐOÀN ĐẦU TƯ HOÀNG GIA VIỆT NAM</t>
        </is>
      </c>
      <c r="E4018" s="10" t="inlineStr">
        <is>
          <t>Lương:Cạnh tranh</t>
        </is>
      </c>
      <c r="F4018" s="10" t="inlineStr">
        <is>
          <t>Hồ Chí Minh</t>
        </is>
      </c>
      <c r="G4018" s="10" t="inlineStr">
        <is>
          <t>07-04-2026</t>
        </is>
      </c>
      <c r="H4018" s="10" t="inlineStr">
        <is>
          <t>07/04/2026</t>
        </is>
      </c>
      <c r="I4018" s="10" t="inlineStr">
        <is>
          <t>17/03/2026</t>
        </is>
      </c>
      <c r="J4018" s="10" t="inlineStr">
        <is>
          <t>Kiến trúc, Xây dựng</t>
        </is>
      </c>
      <c r="K4018" s="10" t="inlineStr">
        <is>
          <t>Trên 8 Năm</t>
        </is>
      </c>
      <c r="L4018" s="11">
        <f>HYPERLINK("https://careerviet.vn/vi/tim-viec-lam/kien-truc-su-quan-ly-thiet-ke-du-an-cdt.35C67F09.html","Xem chi tiết")</f>
        <v/>
      </c>
      <c r="M4018" s="10" t="n"/>
    </row>
    <row r="4019">
      <c r="B4019" s="7" t="n">
        <v>4017</v>
      </c>
      <c r="C4019" t="inlineStr">
        <is>
          <t>Quận 12 - Nhân Viên Chốt Đơn Hàng - Sữa Dinh Dưỡng (10-15 Triệu/tháng)</t>
        </is>
      </c>
      <c r="D4019" t="inlineStr">
        <is>
          <t>Vietnam Concentrix Services Company Limited</t>
        </is>
      </c>
      <c r="E4019" t="inlineStr">
        <is>
          <t>Lương:7 Tr - 20 Tr VND</t>
        </is>
      </c>
      <c r="F4019" t="inlineStr">
        <is>
          <t>Hồ Chí Minh</t>
        </is>
      </c>
      <c r="G4019" t="inlineStr">
        <is>
          <t>07-04-2026</t>
        </is>
      </c>
      <c r="H4019" t="inlineStr">
        <is>
          <t>07/04/2026</t>
        </is>
      </c>
      <c r="I4019" t="inlineStr">
        <is>
          <t>17/03/2026</t>
        </is>
      </c>
      <c r="J4019" t="inlineStr">
        <is>
          <t>Bán hàng / Kinh doanh, Tiếp thị trực tuyến, Dịch vụ khách hàng</t>
        </is>
      </c>
      <c r="K4019" t="inlineStr">
        <is>
          <t>Chưa có kinh nghiệm</t>
        </is>
      </c>
      <c r="L4019" s="8">
        <f>HYPERLINK("https://careerviet.vn/vi/tim-viec-lam/quan-12-nhan-vien-chot-don-hang-sua-dinh-duong-10-15-trieu-thang.35C64D4A.html","Xem chi tiết")</f>
        <v/>
      </c>
    </row>
    <row r="4020">
      <c r="B4020" s="9" t="n">
        <v>4018</v>
      </c>
      <c r="C4020" s="10" t="inlineStr">
        <is>
          <t>Chuyên Viên Mua Hàng Dịch Vụ/ Purchasing Services Specialist</t>
        </is>
      </c>
      <c r="D4020" s="10" t="inlineStr">
        <is>
          <t>Tan Hiep Phat Group</t>
        </is>
      </c>
      <c r="E4020" s="10" t="inlineStr">
        <is>
          <t>Lương:Cạnh tranh</t>
        </is>
      </c>
      <c r="F4020" s="10" t="inlineStr">
        <is>
          <t>Bình Dương</t>
        </is>
      </c>
      <c r="G4020" s="10" t="inlineStr">
        <is>
          <t>07-04-2026</t>
        </is>
      </c>
      <c r="H4020" s="10" t="inlineStr">
        <is>
          <t>07/04/2026</t>
        </is>
      </c>
      <c r="I4020" s="10" t="inlineStr">
        <is>
          <t>17/03/2026</t>
        </is>
      </c>
      <c r="J4020" s="10" t="inlineStr">
        <is>
          <t>Thu mua / Vật tư</t>
        </is>
      </c>
      <c r="K4020" s="10" t="inlineStr">
        <is>
          <t>3 - 5 Năm</t>
        </is>
      </c>
      <c r="L4020" s="11">
        <f>HYPERLINK("https://careerviet.vn/vi/tim-viec-lam/chuyen-vien-mua-hang-dich-vu-purchasing-services-specialist.35C64CDB.html","Xem chi tiết")</f>
        <v/>
      </c>
      <c r="M4020" s="10" t="n"/>
    </row>
    <row r="4021">
      <c r="B4021" s="7" t="n">
        <v>4019</v>
      </c>
      <c r="C4021" t="inlineStr">
        <is>
          <t>Kỹ sư QS Văn phòng</t>
        </is>
      </c>
      <c r="D4021" t="inlineStr">
        <is>
          <t>CÔNG TY CỔ PHẨN ỨNG DỤNG VÀ CHUYỂN GIAO CÔNG NGHỆ XÂY DỰNG (CJSC)</t>
        </is>
      </c>
      <c r="E4021" t="inlineStr">
        <is>
          <t>Lương:14 Tr - 20 Tr VND</t>
        </is>
      </c>
      <c r="F4021" t="inlineStr">
        <is>
          <t>Hà Nội</t>
        </is>
      </c>
      <c r="G4021" t="inlineStr">
        <is>
          <t>07-04-2026</t>
        </is>
      </c>
      <c r="H4021" t="inlineStr">
        <is>
          <t>07/04/2026</t>
        </is>
      </c>
      <c r="I4021" t="inlineStr">
        <is>
          <t>17/03/2026</t>
        </is>
      </c>
      <c r="J4021" t="inlineStr">
        <is>
          <t>Xây dựng</t>
        </is>
      </c>
      <c r="K4021" t="inlineStr">
        <is>
          <t>Trên 3 Năm</t>
        </is>
      </c>
      <c r="L4021" s="8">
        <f>HYPERLINK("https://careerviet.vn/vi/tim-viec-lam/ky-su-qs-van-phong.35C67E08.html","Xem chi tiết")</f>
        <v/>
      </c>
    </row>
    <row r="4022">
      <c r="B4022" s="9" t="n">
        <v>4020</v>
      </c>
      <c r="C4022" s="10" t="inlineStr">
        <is>
          <t>QS Engineer</t>
        </is>
      </c>
      <c r="D4022" s="10" t="inlineStr">
        <is>
          <t>Công ty TNHH Trường Thắng</t>
        </is>
      </c>
      <c r="E4022" s="10" t="inlineStr">
        <is>
          <t>Lương:15 Tr - 17 Tr VND</t>
        </is>
      </c>
      <c r="F4022" s="10" t="inlineStr">
        <is>
          <t>Hồ Chí Minh</t>
        </is>
      </c>
      <c r="G4022" s="10" t="inlineStr">
        <is>
          <t>07-04-2026</t>
        </is>
      </c>
      <c r="H4022" s="10" t="inlineStr">
        <is>
          <t>07/04/2026</t>
        </is>
      </c>
      <c r="I4022" s="10" t="inlineStr">
        <is>
          <t>17/03/2026</t>
        </is>
      </c>
      <c r="J4022" s="10" t="inlineStr">
        <is>
          <t>Kiến trúc, Xây dựng, Nội ngoại thất</t>
        </is>
      </c>
      <c r="K4022" s="10" t="inlineStr">
        <is>
          <t>2 - 3 Năm</t>
        </is>
      </c>
      <c r="L4022" s="11">
        <f>HYPERLINK("https://careerviet.vn/vi/tim-viec-lam/qs-engineer.35C67ED1.html","Xem chi tiết")</f>
        <v/>
      </c>
      <c r="M4022" s="10" t="n"/>
    </row>
    <row r="4023">
      <c r="B4023" s="7" t="n">
        <v>4021</v>
      </c>
      <c r="C4023" t="inlineStr">
        <is>
          <t>Nhân viên Xuất Nhập Khẩu 27397 - KCN Thăng Long 2, Hưng Yên</t>
        </is>
      </c>
      <c r="D4023" t="inlineStr">
        <is>
          <t>Công Ty TNHH Reeracoen Việt Nam</t>
        </is>
      </c>
      <c r="E4023" t="inlineStr">
        <is>
          <t>Lương:10 Tr - 13 Tr VND</t>
        </is>
      </c>
      <c r="F4023" t="inlineStr">
        <is>
          <t>Hưng Yên</t>
        </is>
      </c>
      <c r="G4023" t="inlineStr">
        <is>
          <t>07-04-2026</t>
        </is>
      </c>
      <c r="H4023" t="inlineStr">
        <is>
          <t>07/04/2026</t>
        </is>
      </c>
      <c r="I4023" t="inlineStr">
        <is>
          <t>17/03/2026</t>
        </is>
      </c>
      <c r="J4023" t="inlineStr">
        <is>
          <t>Vận chuyển / Giao nhận / Kho vận, Xuất nhập khẩu, Thu mua / Vật tư</t>
        </is>
      </c>
      <c r="K4023" t="inlineStr">
        <is>
          <t>Trên 2 Năm</t>
        </is>
      </c>
      <c r="L4023" s="8">
        <f>HYPERLINK("https://careerviet.vn/vi/tim-viec-lam/nhan-vien-xuat-nhap-khau-27397-kcn-thang-long-2-hung-yen.35C64E71.html","Xem chi tiết")</f>
        <v/>
      </c>
    </row>
    <row r="4024">
      <c r="B4024" s="9" t="n">
        <v>4022</v>
      </c>
      <c r="C4024" s="10" t="inlineStr">
        <is>
          <t>Kỹ thuật viên vận hành đóng gói</t>
        </is>
      </c>
      <c r="D4024" s="10" t="inlineStr">
        <is>
          <t>Anheuser-Busch InBev (AB InBev)</t>
        </is>
      </c>
      <c r="E4024" s="10" t="inlineStr">
        <is>
          <t>Lương:Cạnh tranh</t>
        </is>
      </c>
      <c r="F4024" s="10" t="inlineStr">
        <is>
          <t>Bình Dương</t>
        </is>
      </c>
      <c r="G4024" s="10" t="inlineStr">
        <is>
          <t>07-04-2026</t>
        </is>
      </c>
      <c r="H4024" s="10" t="inlineStr">
        <is>
          <t>07/04/2026</t>
        </is>
      </c>
      <c r="I4024" s="10" t="inlineStr">
        <is>
          <t>17/03/2026</t>
        </is>
      </c>
      <c r="J4024" s="10" t="inlineStr">
        <is>
          <t>Sản xuất / Vận hành sản xuất</t>
        </is>
      </c>
      <c r="K4024" s="10" t="inlineStr">
        <is>
          <t>Trên 1 Năm</t>
        </is>
      </c>
      <c r="L4024" s="11">
        <f>HYPERLINK("https://careerviet.vn/vi/tim-viec-lam/ky-thuat-vien-van-hanh-dong-goi.35C67E0A.html","Xem chi tiết")</f>
        <v/>
      </c>
      <c r="M4024" s="10" t="n"/>
    </row>
    <row r="4025">
      <c r="B4025" s="7" t="n">
        <v>4023</v>
      </c>
      <c r="C4025" t="inlineStr">
        <is>
          <t>Nhân viên lái xe giao hàng</t>
        </is>
      </c>
      <c r="D4025" t="inlineStr">
        <is>
          <t>Công Ty Cổ Phần Sữa Việt Nam (Vinamilk)</t>
        </is>
      </c>
      <c r="E4025" t="inlineStr">
        <is>
          <t>Lương:Cạnh tranh</t>
        </is>
      </c>
      <c r="F4025" t="inlineStr">
        <is>
          <t>Đà Nẵng</t>
        </is>
      </c>
      <c r="G4025" t="inlineStr">
        <is>
          <t>07-04-2026</t>
        </is>
      </c>
      <c r="H4025" t="inlineStr">
        <is>
          <t>07/04/2026</t>
        </is>
      </c>
      <c r="I4025" t="inlineStr">
        <is>
          <t>17/03/2026</t>
        </is>
      </c>
      <c r="J4025" t="inlineStr">
        <is>
          <t>Vận chuyển / Giao nhận / Kho vận</t>
        </is>
      </c>
      <c r="K4025" t="inlineStr">
        <is>
          <t>1 - 4 Năm</t>
        </is>
      </c>
      <c r="L4025" s="8">
        <f>HYPERLINK("https://careerviet.vn/vi/tim-viec-lam/nhan-vien-lai-xe-giao-hang.35C67F76.html","Xem chi tiết")</f>
        <v/>
      </c>
    </row>
    <row r="4026">
      <c r="B4026" s="9" t="n">
        <v>4024</v>
      </c>
      <c r="C4026" s="10" t="inlineStr">
        <is>
          <t>Tour Operation Executive (English Speaking)</t>
        </is>
      </c>
      <c r="D4026" s="10" t="inlineStr">
        <is>
          <t>Công ty Easia Travel</t>
        </is>
      </c>
      <c r="E4026" s="10" t="inlineStr">
        <is>
          <t>Lương:Cạnh tranh</t>
        </is>
      </c>
      <c r="F4026" s="10" t="inlineStr">
        <is>
          <t>Hà Nội</t>
        </is>
      </c>
      <c r="G4026" s="10" t="inlineStr">
        <is>
          <t>07-04-2026</t>
        </is>
      </c>
      <c r="H4026" s="10" t="inlineStr">
        <is>
          <t>07/04/2026</t>
        </is>
      </c>
      <c r="I4026" s="10" t="inlineStr">
        <is>
          <t>17/03/2026</t>
        </is>
      </c>
      <c r="J4026" s="10" t="inlineStr">
        <is>
          <t>Nhà hàng / Khách sạn, Du lịch</t>
        </is>
      </c>
      <c r="K4026" s="10" t="inlineStr">
        <is>
          <t>2 - 3 Năm</t>
        </is>
      </c>
      <c r="L4026" s="11">
        <f>HYPERLINK("https://careerviet.vn/vi/tim-viec-lam/tour-operation-executive-english-speaking.35C67F3B.html","Xem chi tiết")</f>
        <v/>
      </c>
      <c r="M4026" s="10" t="n"/>
    </row>
    <row r="4027">
      <c r="B4027" s="7" t="n">
        <v>4025</v>
      </c>
      <c r="C4027" t="inlineStr">
        <is>
          <t>Nhân viên kiểm soát chất lượng QC ( linh kiện điện tử)</t>
        </is>
      </c>
      <c r="D4027" t="inlineStr">
        <is>
          <t>Công ty TNHH ELENTEC HCM VINA</t>
        </is>
      </c>
      <c r="E4027" t="inlineStr">
        <is>
          <t>Lương:Trên 12 Tr VND</t>
        </is>
      </c>
      <c r="F4027" t="inlineStr">
        <is>
          <t>Đồng Nai</t>
        </is>
      </c>
      <c r="G4027" t="inlineStr">
        <is>
          <t>07-04-2026</t>
        </is>
      </c>
      <c r="H4027" t="inlineStr">
        <is>
          <t>07/04/2026</t>
        </is>
      </c>
      <c r="I4027" t="inlineStr">
        <is>
          <t>17/03/2026</t>
        </is>
      </c>
      <c r="J4027" t="inlineStr">
        <is>
          <t>Điện / Điện tử / Điện lạnh / Điện công nghiệp, Ngành khác, Quản lý chất lượng (QA/QC)</t>
        </is>
      </c>
      <c r="K4027" t="inlineStr">
        <is>
          <t>1 - 5 Năm</t>
        </is>
      </c>
      <c r="L4027" s="8">
        <f>HYPERLINK("https://careerviet.vn/vi/tim-viec-lam/nhan-vien-kiem-soat-chat-luong-qc-linh-kien-dien-tu.35C67EFB.html","Xem chi tiết")</f>
        <v/>
      </c>
    </row>
    <row r="4028">
      <c r="B4028" s="9" t="n">
        <v>4026</v>
      </c>
      <c r="C4028" s="10" t="inlineStr">
        <is>
          <t>Trợ Lý Kỹ Thuật Viên Máy Ép Nhựa</t>
        </is>
      </c>
      <c r="D4028" s="10" t="inlineStr">
        <is>
          <t>CÔNG TY TNHH AECO-PACK PLASTIC</t>
        </is>
      </c>
      <c r="E4028" s="10" t="inlineStr">
        <is>
          <t>Lương:9 Tr - 10 Tr VND</t>
        </is>
      </c>
      <c r="F4028" s="10" t="inlineStr">
        <is>
          <t>Bình Dương</t>
        </is>
      </c>
      <c r="G4028" s="10" t="inlineStr">
        <is>
          <t>07-04-2026</t>
        </is>
      </c>
      <c r="H4028" s="10" t="inlineStr">
        <is>
          <t>07/04/2026</t>
        </is>
      </c>
      <c r="I4028" s="10" t="inlineStr">
        <is>
          <t>17/03/2026</t>
        </is>
      </c>
      <c r="J4028" s="10" t="inlineStr">
        <is>
          <t>Cơ khí / Ô tô / Tự động hóa, Điện / Điện tử / Điện lạnh / Điện công nghiệp, Bảo trì / Sửa chữa</t>
        </is>
      </c>
      <c r="K4028" s="10" t="inlineStr">
        <is>
          <t>N/A</t>
        </is>
      </c>
      <c r="L4028" s="11">
        <f>HYPERLINK("https://careerviet.vn/vi/tim-viec-lam/tro-ly-ky-thuat-vien-may-ep-nhua.35C67ECF.html","Xem chi tiết")</f>
        <v/>
      </c>
      <c r="M4028" s="10" t="n"/>
    </row>
    <row r="4029">
      <c r="B4029" s="7" t="n">
        <v>4027</v>
      </c>
      <c r="C4029" t="inlineStr">
        <is>
          <t>Packaging Technician (Vung Tau Brewery)</t>
        </is>
      </c>
      <c r="D4029" t="inlineStr">
        <is>
          <t>HEINEKEN Vietnam</t>
        </is>
      </c>
      <c r="E4029" t="inlineStr">
        <is>
          <t>Lương:Cạnh tranh</t>
        </is>
      </c>
      <c r="F4029" t="inlineStr">
        <is>
          <t>Bà Rịa - Vũng Tàu</t>
        </is>
      </c>
      <c r="G4029" t="inlineStr">
        <is>
          <t>07-04-2026</t>
        </is>
      </c>
      <c r="H4029" t="inlineStr">
        <is>
          <t>07/04/2026</t>
        </is>
      </c>
      <c r="I4029" t="inlineStr">
        <is>
          <t>17/03/2026</t>
        </is>
      </c>
      <c r="J4029" t="inlineStr">
        <is>
          <t>Cơ khí / Ô tô / Tự động hóa, Sản xuất / Vận hành sản xuất, Điện / Điện tử / Điện lạnh / Điện công nghiệp</t>
        </is>
      </c>
      <c r="K4029" t="inlineStr">
        <is>
          <t>1 - 2 Năm</t>
        </is>
      </c>
      <c r="L4029" s="8">
        <f>HYPERLINK("https://careerviet.vn/vi/tim-viec-lam/packaging-technician-vung-tau-brewery.35C67E15.html","Xem chi tiết")</f>
        <v/>
      </c>
    </row>
    <row r="4030">
      <c r="B4030" s="9" t="n">
        <v>4028</v>
      </c>
      <c r="C4030" s="10" t="inlineStr">
        <is>
          <t>Quản Lý Khách Hàng Cao Cấp - Vùng Đồng bằng Sông Cửu Long</t>
        </is>
      </c>
      <c r="D4030" s="10" t="inlineStr">
        <is>
          <t>Ngân Hàng TMCP Quốc Tế Việt Nam</t>
        </is>
      </c>
      <c r="E4030" s="10" t="inlineStr">
        <is>
          <t>Lương:Cạnh tranh</t>
        </is>
      </c>
      <c r="F4030" s="10" t="inlineStr">
        <is>
          <t>Đồng ThápKiên GiangCần Thơ</t>
        </is>
      </c>
      <c r="G4030" s="10" t="inlineStr">
        <is>
          <t>07-04-2026</t>
        </is>
      </c>
      <c r="H4030" s="10" t="inlineStr">
        <is>
          <t>07/04/2026</t>
        </is>
      </c>
      <c r="I4030" s="10" t="inlineStr">
        <is>
          <t>17/03/2026</t>
        </is>
      </c>
      <c r="J4030" s="10" t="inlineStr">
        <is>
          <t>Ngân hàng, Tài chính / Đầu tư, Bất động sản</t>
        </is>
      </c>
      <c r="K4030" s="10" t="inlineStr">
        <is>
          <t>1 - 5 Năm</t>
        </is>
      </c>
      <c r="L4030" s="11">
        <f>HYPERLINK("https://careerviet.vn/vi/tim-viec-lam/quan-ly-khach-hang-cao-cap-vung-dong-bang-song-cuu-long.35C64D9B.html","Xem chi tiết")</f>
        <v/>
      </c>
      <c r="M4030" s="10" t="n"/>
    </row>
    <row r="4031">
      <c r="B4031" s="7" t="n">
        <v>4029</v>
      </c>
      <c r="C4031" t="inlineStr">
        <is>
          <t>Application Engineer (Mechatronics)</t>
        </is>
      </c>
      <c r="D4031" t="inlineStr">
        <is>
          <t>CÔNG TY TNHH SEW-EURODRIVE</t>
        </is>
      </c>
      <c r="E4031" t="inlineStr">
        <is>
          <t>Lương:Cạnh tranh</t>
        </is>
      </c>
      <c r="F4031" t="inlineStr">
        <is>
          <t>Đồng NaiHồ Chí Minh</t>
        </is>
      </c>
      <c r="G4031" t="inlineStr">
        <is>
          <t>07-04-2026</t>
        </is>
      </c>
      <c r="H4031" t="inlineStr">
        <is>
          <t>07/04/2026</t>
        </is>
      </c>
      <c r="I4031" t="inlineStr">
        <is>
          <t>17/03/2026</t>
        </is>
      </c>
      <c r="J4031" t="inlineStr">
        <is>
          <t>Cơ khí / Ô tô / Tự động hóa, Điện / Điện tử / Điện lạnh / Điện công nghiệp, Vận chuyển / Giao nhận / Kho vận</t>
        </is>
      </c>
      <c r="K4031" t="inlineStr">
        <is>
          <t>1 - 2 Năm</t>
        </is>
      </c>
      <c r="L4031" s="8">
        <f>HYPERLINK("https://careerviet.vn/vi/tim-viec-lam/application-engineer-mechatronics.35C67B7E.html","Xem chi tiết")</f>
        <v/>
      </c>
    </row>
    <row r="4032">
      <c r="B4032" s="9" t="n">
        <v>4030</v>
      </c>
      <c r="C4032" s="10" t="inlineStr">
        <is>
          <t>Nhân viên bảo trì điện công nghiệp</t>
        </is>
      </c>
      <c r="D4032" s="10" t="inlineStr">
        <is>
          <t>CÔNG TY TNHH WETOOL</t>
        </is>
      </c>
      <c r="E4032" s="10" t="inlineStr">
        <is>
          <t>Lương:Cạnh tranh</t>
        </is>
      </c>
      <c r="F4032" s="10" t="inlineStr">
        <is>
          <t>Long An</t>
        </is>
      </c>
      <c r="G4032" s="10" t="inlineStr">
        <is>
          <t>07-04-2026</t>
        </is>
      </c>
      <c r="H4032" s="10" t="inlineStr">
        <is>
          <t>07/04/2026</t>
        </is>
      </c>
      <c r="I4032" s="10" t="inlineStr">
        <is>
          <t>17/03/2026</t>
        </is>
      </c>
      <c r="J4032" s="10" t="inlineStr">
        <is>
          <t>Sản xuất / Vận hành sản xuất</t>
        </is>
      </c>
      <c r="K4032" s="10" t="inlineStr">
        <is>
          <t>1 - 3 Năm</t>
        </is>
      </c>
      <c r="L4032" s="11">
        <f>HYPERLINK("https://careerviet.vn/vi/tim-viec-lam/nhan-vien-bao-tri-dien-cong-nghiep.35C64CCA.html","Xem chi tiết")</f>
        <v/>
      </c>
      <c r="M4032" s="10" t="n"/>
    </row>
    <row r="4033">
      <c r="B4033" s="7" t="n">
        <v>4031</v>
      </c>
      <c r="C4033" t="inlineStr">
        <is>
          <t>Quản lý Tài chính &amp; Hỗ trợ vận hành</t>
        </is>
      </c>
      <c r="D4033" t="inlineStr">
        <is>
          <t>BIM Group</t>
        </is>
      </c>
      <c r="E4033" t="inlineStr">
        <is>
          <t>Lương:Cạnh tranh</t>
        </is>
      </c>
      <c r="F4033" t="inlineStr">
        <is>
          <t>Hà Nội</t>
        </is>
      </c>
      <c r="G4033" t="inlineStr">
        <is>
          <t>07-04-2026</t>
        </is>
      </c>
      <c r="H4033" t="inlineStr">
        <is>
          <t>07/04/2026</t>
        </is>
      </c>
      <c r="I4033" t="inlineStr">
        <is>
          <t>17/03/2026</t>
        </is>
      </c>
      <c r="J4033" t="inlineStr">
        <is>
          <t>Tài chính / Đầu tư</t>
        </is>
      </c>
      <c r="K4033" t="inlineStr">
        <is>
          <t>4 - 8 Năm</t>
        </is>
      </c>
      <c r="L4033" s="8">
        <f>HYPERLINK("https://careerviet.vn/vi/tim-viec-lam/quan-ly-tai-chinh-ho-tro-van-hanh.35C67E6E.html","Xem chi tiết")</f>
        <v/>
      </c>
    </row>
    <row r="4034">
      <c r="B4034" s="9" t="n">
        <v>4032</v>
      </c>
      <c r="C4034" s="10" t="inlineStr">
        <is>
          <t>SAP ABAP Developer ( Confirmed )</t>
        </is>
      </c>
      <c r="D4034" s="10" t="inlineStr">
        <is>
          <t>Teamwork Vietnam Ltd</t>
        </is>
      </c>
      <c r="E4034" s="10" t="inlineStr">
        <is>
          <t>Lương:Cạnh tranh</t>
        </is>
      </c>
      <c r="F4034" s="10" t="inlineStr">
        <is>
          <t>Hồ Chí Minh</t>
        </is>
      </c>
      <c r="G4034" s="10" t="inlineStr">
        <is>
          <t>07-04-2026</t>
        </is>
      </c>
      <c r="H4034" s="10" t="inlineStr">
        <is>
          <t>07/04/2026</t>
        </is>
      </c>
      <c r="I4034" s="10" t="inlineStr">
        <is>
          <t>17/03/2026</t>
        </is>
      </c>
      <c r="J4034" s="10" t="inlineStr">
        <is>
          <t>CNTT - Phần mềm</t>
        </is>
      </c>
      <c r="K4034" s="10" t="inlineStr">
        <is>
          <t>3 - 10 Năm</t>
        </is>
      </c>
      <c r="L4034" s="11">
        <f>HYPERLINK("https://careerviet.vn/vi/tim-viec-lam/sap-abap-developer-confirmed.35C64E08.html","Xem chi tiết")</f>
        <v/>
      </c>
      <c r="M4034" s="10" t="n"/>
    </row>
    <row r="4035">
      <c r="B4035" s="7" t="n">
        <v>4033</v>
      </c>
      <c r="C4035" t="inlineStr">
        <is>
          <t>[Hà Nội] Chuyên viên cao cấp/Chuyên viên chính Quản trị kế hoạch và Hiệu suất</t>
        </is>
      </c>
      <c r="D4035" t="inlineStr">
        <is>
          <t>Ngân hàng TMCP Lộc Phát Việt Nam (LPBank)</t>
        </is>
      </c>
      <c r="E4035" t="inlineStr">
        <is>
          <t>Lương:Cạnh tranh</t>
        </is>
      </c>
      <c r="F4035" t="inlineStr">
        <is>
          <t>Hà Nội</t>
        </is>
      </c>
      <c r="G4035" t="inlineStr">
        <is>
          <t>07-04-2026</t>
        </is>
      </c>
      <c r="H4035" t="inlineStr">
        <is>
          <t>07/04/2026</t>
        </is>
      </c>
      <c r="I4035" t="inlineStr">
        <is>
          <t>17/03/2026</t>
        </is>
      </c>
      <c r="J4035" t="inlineStr">
        <is>
          <t>Ngân hàng, Tài chính / Đầu tư</t>
        </is>
      </c>
      <c r="K4035" t="inlineStr">
        <is>
          <t>3 - 5 Năm</t>
        </is>
      </c>
      <c r="L4035" s="8">
        <f>HYPERLINK("https://careerviet.vn/vi/tim-viec-lam/ha-noi-chuyen-vien-cao-cap-chuyen-vien-chinh-quan-tri-ke-hoach-va-hieu-suat.35C64C4E.html","Xem chi tiết")</f>
        <v/>
      </c>
    </row>
    <row r="4036">
      <c r="B4036" s="9" t="n">
        <v>4034</v>
      </c>
      <c r="C4036" s="10" t="inlineStr">
        <is>
          <t>Nhân Viên Chứng Từ ( Operation Officer)</t>
        </is>
      </c>
      <c r="D4036" s="10" t="inlineStr">
        <is>
          <t>CÔNG TY TNHH SJ CLEMENGER INTERNATIONAL FREIGHT (VIỆT NAM)</t>
        </is>
      </c>
      <c r="E4036" s="10" t="inlineStr">
        <is>
          <t>Lương:Cạnh tranh</t>
        </is>
      </c>
      <c r="F4036" s="10" t="inlineStr">
        <is>
          <t>Hải Phòng</t>
        </is>
      </c>
      <c r="G4036" s="10" t="inlineStr">
        <is>
          <t>07-04-2026</t>
        </is>
      </c>
      <c r="H4036" s="10" t="inlineStr">
        <is>
          <t>07/04/2026</t>
        </is>
      </c>
      <c r="I4036" s="10" t="inlineStr">
        <is>
          <t>17/03/2026</t>
        </is>
      </c>
      <c r="J4036" s="10" t="inlineStr">
        <is>
          <t>Vận chuyển / Giao nhận / Kho vận, Hành chính / Thư ký, Xuất nhập khẩu</t>
        </is>
      </c>
      <c r="K4036" s="10" t="inlineStr">
        <is>
          <t>1 - 3 Năm</t>
        </is>
      </c>
      <c r="L4036" s="11">
        <f>HYPERLINK("https://careerviet.vn/vi/tim-viec-lam/nhan-vien-chung-tu-operation-officer.35C67E6A.html","Xem chi tiết")</f>
        <v/>
      </c>
      <c r="M4036" s="10" t="n"/>
    </row>
    <row r="4037">
      <c r="B4037" s="7" t="n">
        <v>4035</v>
      </c>
      <c r="C4037" t="inlineStr">
        <is>
          <t>Phú Thọ - Giám sát hoàn thiện</t>
        </is>
      </c>
      <c r="D4037" t="inlineStr">
        <is>
          <t>BIM Group</t>
        </is>
      </c>
      <c r="E4037" t="inlineStr">
        <is>
          <t>Lương:Cạnh tranh</t>
        </is>
      </c>
      <c r="F4037" t="inlineStr">
        <is>
          <t>Vĩnh Phúc</t>
        </is>
      </c>
      <c r="G4037" t="inlineStr">
        <is>
          <t>07-04-2026</t>
        </is>
      </c>
      <c r="H4037" t="inlineStr">
        <is>
          <t>07/04/2026</t>
        </is>
      </c>
      <c r="I4037" t="inlineStr">
        <is>
          <t>17/03/2026</t>
        </is>
      </c>
      <c r="J4037" t="inlineStr">
        <is>
          <t>Quản lý chất lượng (QA/QC), Xây dựng, Bất động sản</t>
        </is>
      </c>
      <c r="K4037" t="inlineStr">
        <is>
          <t>Trên 3 Năm</t>
        </is>
      </c>
      <c r="L4037" s="8">
        <f>HYPERLINK("https://careerviet.vn/vi/tim-viec-lam/phu-tho-giam-sat-hoan-thien.35C64D70.html","Xem chi tiết")</f>
        <v/>
      </c>
    </row>
    <row r="4038">
      <c r="B4038" s="9" t="n">
        <v>4036</v>
      </c>
      <c r="C4038" s="10" t="inlineStr">
        <is>
          <t>Trưởng phòng Phát triển dự án Năng lượng tại Lào</t>
        </is>
      </c>
      <c r="D4038" s="10" t="inlineStr">
        <is>
          <t>BIM Group</t>
        </is>
      </c>
      <c r="E4038" s="10" t="inlineStr">
        <is>
          <t>Lương:Cạnh tranh</t>
        </is>
      </c>
      <c r="F4038" s="10" t="inlineStr">
        <is>
          <t>Hà Nội</t>
        </is>
      </c>
      <c r="G4038" s="10" t="inlineStr">
        <is>
          <t>07-04-2026</t>
        </is>
      </c>
      <c r="H4038" s="10" t="inlineStr">
        <is>
          <t>07/04/2026</t>
        </is>
      </c>
      <c r="I4038" s="10" t="inlineStr">
        <is>
          <t>17/03/2026</t>
        </is>
      </c>
      <c r="J4038" s="10" t="inlineStr">
        <is>
          <t>Điện / Điện tử / Điện lạnh / Điện công nghiệp, Xây dựng, Bất động sản</t>
        </is>
      </c>
      <c r="K4038" s="10" t="inlineStr">
        <is>
          <t>Trên 5 Năm</t>
        </is>
      </c>
      <c r="L4038" s="11">
        <f>HYPERLINK("https://careerviet.vn/vi/tim-viec-lam/truong-phong-phat-trien-du-an-nang-luong-tai-lao.35C64C92.html","Xem chi tiết")</f>
        <v/>
      </c>
      <c r="M4038" s="10" t="n"/>
    </row>
    <row r="4039">
      <c r="B4039" s="7" t="n">
        <v>4037</v>
      </c>
      <c r="C4039" t="inlineStr">
        <is>
          <t>Trưởng phòng kỹ thuật</t>
        </is>
      </c>
      <c r="D4039" t="inlineStr">
        <is>
          <t>CÔNG TY TNHH ĐẦU TƯ ITS</t>
        </is>
      </c>
      <c r="E4039" t="inlineStr">
        <is>
          <t>Lương:20 Tr - 25 Tr VND</t>
        </is>
      </c>
      <c r="F4039" t="inlineStr">
        <is>
          <t>Hồ Chí Minh</t>
        </is>
      </c>
      <c r="G4039" t="inlineStr">
        <is>
          <t>07-04-2026</t>
        </is>
      </c>
      <c r="H4039" t="inlineStr">
        <is>
          <t>07/04/2026</t>
        </is>
      </c>
      <c r="I4039" t="inlineStr">
        <is>
          <t>17/03/2026</t>
        </is>
      </c>
      <c r="J4039" t="inlineStr">
        <is>
          <t>Cơ khí / Ô tô / Tự động hóa</t>
        </is>
      </c>
      <c r="K4039" t="inlineStr">
        <is>
          <t>3 - 8 Năm</t>
        </is>
      </c>
      <c r="L4039" s="8">
        <f>HYPERLINK("https://careerviet.vn/vi/tim-viec-lam/truong-phong-ky-thuat.35C64D5D.html","Xem chi tiết")</f>
        <v/>
      </c>
    </row>
    <row r="4040">
      <c r="B4040" s="9" t="n">
        <v>4038</v>
      </c>
      <c r="C4040" s="10" t="inlineStr">
        <is>
          <t>Nhân Viên Kinh Doanh (Có thể nhận việc sau Tết)</t>
        </is>
      </c>
      <c r="D4040" s="10" t="inlineStr">
        <is>
          <t>Công Ty Cổ Phần Công Nghiệp Và Thương Mại Cường Thịnh</t>
        </is>
      </c>
      <c r="E4040" s="10" t="inlineStr">
        <is>
          <t>Lương:15 Tr - 30 Tr VND</t>
        </is>
      </c>
      <c r="F4040" s="10" t="inlineStr">
        <is>
          <t>Hồ Chí Minh</t>
        </is>
      </c>
      <c r="G4040" s="10" t="inlineStr">
        <is>
          <t>07-04-2026</t>
        </is>
      </c>
      <c r="H4040" s="10" t="inlineStr">
        <is>
          <t>07/04/2026</t>
        </is>
      </c>
      <c r="I4040" s="10" t="inlineStr">
        <is>
          <t>17/03/2026</t>
        </is>
      </c>
      <c r="J4040" s="10" t="inlineStr">
        <is>
          <t>Bán hàng / Kinh doanh, Tư vấn, Xây dựng</t>
        </is>
      </c>
      <c r="K4040" s="10" t="inlineStr">
        <is>
          <t>N/A</t>
        </is>
      </c>
      <c r="L4040" s="11">
        <f>HYPERLINK("https://careerviet.vn/vi/tim-viec-lam/nhan-vien-kinh-doanh-co-the-nhan-viec-sau-tet.35C6658D.html","Xem chi tiết")</f>
        <v/>
      </c>
      <c r="M4040" s="10" t="n"/>
    </row>
    <row r="4041">
      <c r="B4041" s="7" t="n">
        <v>4039</v>
      </c>
      <c r="C4041" t="inlineStr">
        <is>
          <t>Phú Thọ - Tổ trưởng Cơ giới</t>
        </is>
      </c>
      <c r="D4041" t="inlineStr">
        <is>
          <t>BIM Group</t>
        </is>
      </c>
      <c r="E4041" t="inlineStr">
        <is>
          <t>Lương:Cạnh tranh</t>
        </is>
      </c>
      <c r="F4041" t="inlineStr">
        <is>
          <t>Vĩnh Phúc</t>
        </is>
      </c>
      <c r="G4041" t="inlineStr">
        <is>
          <t>07-04-2026</t>
        </is>
      </c>
      <c r="H4041" t="inlineStr">
        <is>
          <t>07/04/2026</t>
        </is>
      </c>
      <c r="I4041" t="inlineStr">
        <is>
          <t>17/03/2026</t>
        </is>
      </c>
      <c r="J4041" t="inlineStr">
        <is>
          <t>Quản lý chất lượng (QA/QC), Xây dựng, Bất động sản</t>
        </is>
      </c>
      <c r="K4041" t="inlineStr">
        <is>
          <t>Trên 2 Năm</t>
        </is>
      </c>
      <c r="L4041" s="8">
        <f>HYPERLINK("https://careerviet.vn/vi/tim-viec-lam/phu-tho-to-truong-co-gioi.35C64D60.html","Xem chi tiết")</f>
        <v/>
      </c>
    </row>
    <row r="4042">
      <c r="B4042" s="9" t="n">
        <v>4040</v>
      </c>
      <c r="C4042" s="10" t="inlineStr">
        <is>
          <t>Tổng quản lý khách sạn (Sa Pa - Lào Cai)</t>
        </is>
      </c>
      <c r="D4042" s="10" t="inlineStr">
        <is>
          <t>Công ty Cổ Phần Sản Xuất Dịch Vụ và Thương Mại Phát Linh</t>
        </is>
      </c>
      <c r="E4042" s="10" t="inlineStr">
        <is>
          <t>Lương:35 Tr - 40 Tr VND</t>
        </is>
      </c>
      <c r="F4042" s="10" t="inlineStr">
        <is>
          <t>Lào Cai</t>
        </is>
      </c>
      <c r="G4042" s="10" t="inlineStr">
        <is>
          <t>07-04-2026</t>
        </is>
      </c>
      <c r="H4042" s="10" t="inlineStr">
        <is>
          <t>07/04/2026</t>
        </is>
      </c>
      <c r="I4042" s="10" t="inlineStr">
        <is>
          <t>17/03/2026</t>
        </is>
      </c>
      <c r="J4042" s="10" t="inlineStr">
        <is>
          <t>Quản lý điều hành, Nhà hàng / Khách sạn, Du lịch</t>
        </is>
      </c>
      <c r="K4042" s="10" t="inlineStr">
        <is>
          <t>3 - 5 Năm</t>
        </is>
      </c>
      <c r="L4042" s="11">
        <f>HYPERLINK("https://careerviet.vn/vi/tim-viec-lam/tong-quan-ly-khach-san-sa-pa-lao-cai.35C67F52.html","Xem chi tiết")</f>
        <v/>
      </c>
      <c r="M4042" s="10" t="n"/>
    </row>
    <row r="4043">
      <c r="B4043" s="7" t="n">
        <v>4041</v>
      </c>
      <c r="C4043" t="inlineStr">
        <is>
          <t>Senior R&amp;D Engineer</t>
        </is>
      </c>
      <c r="D4043" t="inlineStr">
        <is>
          <t>GUVI COMPANY LIMITED</t>
        </is>
      </c>
      <c r="E4043" t="inlineStr">
        <is>
          <t>Lương:Cạnh tranh</t>
        </is>
      </c>
      <c r="F4043" t="inlineStr">
        <is>
          <t>Bình DươngHồ Chí Minh</t>
        </is>
      </c>
      <c r="G4043" t="inlineStr">
        <is>
          <t>07-04-2026</t>
        </is>
      </c>
      <c r="H4043" t="inlineStr">
        <is>
          <t>07/04/2026</t>
        </is>
      </c>
      <c r="I4043" t="inlineStr">
        <is>
          <t>17/03/2026</t>
        </is>
      </c>
      <c r="J4043" t="inlineStr">
        <is>
          <t>Cơ khí / Ô tô / Tự động hóa</t>
        </is>
      </c>
      <c r="K4043" t="inlineStr">
        <is>
          <t>5 - 10 Năm</t>
        </is>
      </c>
      <c r="L4043" s="8">
        <f>HYPERLINK("https://careerviet.vn/vi/tim-viec-lam/senior-r-d-engineer.35C67E01.html","Xem chi tiết")</f>
        <v/>
      </c>
    </row>
    <row r="4044">
      <c r="B4044" s="9" t="n">
        <v>4042</v>
      </c>
      <c r="C4044" s="10" t="inlineStr">
        <is>
          <t>Nhân Viên Kinh Doanh</t>
        </is>
      </c>
      <c r="D4044" s="10" t="inlineStr">
        <is>
          <t>CÔNG TY TNHH VẬN TẢI PHAN KHÁNH</t>
        </is>
      </c>
      <c r="E4044" s="10" t="inlineStr">
        <is>
          <t>Lương:Cạnh tranh</t>
        </is>
      </c>
      <c r="F4044" s="10" t="inlineStr">
        <is>
          <t>Long An</t>
        </is>
      </c>
      <c r="G4044" s="10" t="inlineStr">
        <is>
          <t>07-04-2026</t>
        </is>
      </c>
      <c r="H4044" s="10" t="inlineStr">
        <is>
          <t>07/04/2026</t>
        </is>
      </c>
      <c r="I4044" s="10" t="inlineStr">
        <is>
          <t>17/03/2026</t>
        </is>
      </c>
      <c r="J4044" s="10" t="inlineStr">
        <is>
          <t>Tiếp thị / Marketing, Bán hàng / Kinh doanh, Thương mại điện tử</t>
        </is>
      </c>
      <c r="K4044" s="10" t="inlineStr">
        <is>
          <t>1 - 1 Năm</t>
        </is>
      </c>
      <c r="L4044" s="11">
        <f>HYPERLINK("https://careerviet.vn/vi/tim-viec-lam/nhan-vien-kinh-doanh.35C64D0B.html","Xem chi tiết")</f>
        <v/>
      </c>
      <c r="M4044" s="10" t="n"/>
    </row>
    <row r="4045">
      <c r="B4045" s="7" t="n">
        <v>4043</v>
      </c>
      <c r="C4045" t="inlineStr">
        <is>
          <t>Trợ lý phiên dịch tiếng Trung</t>
        </is>
      </c>
      <c r="D4045" t="inlineStr">
        <is>
          <t>CÔNG TY TNHH ZAM MART (VIỆT NAM)</t>
        </is>
      </c>
      <c r="E4045" t="inlineStr">
        <is>
          <t>Lương:10 Tr - 15 Tr VND</t>
        </is>
      </c>
      <c r="F4045" t="inlineStr">
        <is>
          <t>Hồ Chí Minh</t>
        </is>
      </c>
      <c r="G4045" t="inlineStr">
        <is>
          <t>6</t>
        </is>
      </c>
      <c r="H4045" t="inlineStr">
        <is>
          <t>23/03/2026</t>
        </is>
      </c>
      <c r="I4045" t="inlineStr">
        <is>
          <t>17/03/2026</t>
        </is>
      </c>
      <c r="J4045" t="inlineStr">
        <is>
          <t>Biên phiên dịch, Hành chính / Thư ký, Thương mại điện tử</t>
        </is>
      </c>
      <c r="K4045" t="inlineStr">
        <is>
          <t>Lên đến 1 Năm</t>
        </is>
      </c>
      <c r="L4045" s="8">
        <f>HYPERLINK("https://careerviet.vn/vi/tim-viec-lam/tro-ly-phien-dich-tieng-trung.35C68EA1.html","Xem chi tiết")</f>
        <v/>
      </c>
    </row>
    <row r="4046">
      <c r="B4046" s="9" t="n">
        <v>4044</v>
      </c>
      <c r="C4046" s="10" t="inlineStr">
        <is>
          <t>SAP SALES MANAGER</t>
        </is>
      </c>
      <c r="D4046" s="10" t="inlineStr">
        <is>
          <t>CÔNG TY CỔ PHẦN CÔNG NGHỆ CITEK</t>
        </is>
      </c>
      <c r="E4046" s="10" t="inlineStr">
        <is>
          <t>Lương:Cạnh tranh</t>
        </is>
      </c>
      <c r="F4046" s="10" t="inlineStr">
        <is>
          <t>Hồ Chí Minh</t>
        </is>
      </c>
      <c r="G4046" s="10" t="inlineStr">
        <is>
          <t>07-04-2026</t>
        </is>
      </c>
      <c r="H4046" s="10" t="inlineStr">
        <is>
          <t>07/04/2026</t>
        </is>
      </c>
      <c r="I4046" s="10" t="inlineStr">
        <is>
          <t>17/03/2026</t>
        </is>
      </c>
      <c r="J4046" s="10" t="inlineStr">
        <is>
          <t>Bán hàng / Kinh doanh, Tư vấn, CNTT - Phần mềm</t>
        </is>
      </c>
      <c r="K4046" s="10" t="inlineStr">
        <is>
          <t>8 - 10 Năm</t>
        </is>
      </c>
      <c r="L4046" s="11">
        <f>HYPERLINK("https://careerviet.vn/vi/tim-viec-lam/sap-sales-manager.35C67F6E.html","Xem chi tiết")</f>
        <v/>
      </c>
      <c r="M4046" s="10" t="n"/>
    </row>
    <row r="4047">
      <c r="B4047" s="7" t="n">
        <v>4045</v>
      </c>
      <c r="C4047" t="inlineStr">
        <is>
          <t>IT Vendor Management (Senior/Expert)</t>
        </is>
      </c>
      <c r="D4047" t="inlineStr">
        <is>
          <t>LOTTE FINANCE VIETNAM</t>
        </is>
      </c>
      <c r="E4047" t="inlineStr">
        <is>
          <t>Lương:7 Tr - 15 Tr VND</t>
        </is>
      </c>
      <c r="F4047" t="inlineStr">
        <is>
          <t>Hà Nội</t>
        </is>
      </c>
      <c r="G4047" t="inlineStr">
        <is>
          <t>07-04-2026</t>
        </is>
      </c>
      <c r="H4047" t="inlineStr">
        <is>
          <t>07/04/2026</t>
        </is>
      </c>
      <c r="I4047" t="inlineStr">
        <is>
          <t>17/03/2026</t>
        </is>
      </c>
      <c r="J4047" t="inlineStr">
        <is>
          <t>CNTT - Phần cứng / Mạng, Ngân hàng, Tài chính / Đầu tư</t>
        </is>
      </c>
      <c r="K4047" t="inlineStr">
        <is>
          <t>Trên 5 Năm</t>
        </is>
      </c>
      <c r="L4047" s="8">
        <f>HYPERLINK("https://careerviet.vn/vi/tim-viec-lam/it-vendor-management-senior-expert.35C67E5A.html","Xem chi tiết")</f>
        <v/>
      </c>
    </row>
    <row r="4048">
      <c r="B4048" s="9" t="n">
        <v>4046</v>
      </c>
      <c r="C4048" s="10" t="inlineStr">
        <is>
          <t>Telesales Team Lead</t>
        </is>
      </c>
      <c r="D4048" s="10" t="inlineStr">
        <is>
          <t>DIAG</t>
        </is>
      </c>
      <c r="E4048" s="10" t="inlineStr">
        <is>
          <t>Lương:16 Tr - 20 Tr VND</t>
        </is>
      </c>
      <c r="F4048" s="10" t="inlineStr">
        <is>
          <t>Hồ Chí Minh</t>
        </is>
      </c>
      <c r="G4048" s="10" t="inlineStr">
        <is>
          <t>31-03-2026</t>
        </is>
      </c>
      <c r="H4048" s="10" t="inlineStr">
        <is>
          <t>31/03/2026</t>
        </is>
      </c>
      <c r="I4048" s="10" t="inlineStr">
        <is>
          <t>17/03/2026</t>
        </is>
      </c>
      <c r="J4048" s="10" t="inlineStr">
        <is>
          <t>Y tế / Chăm sóc sức khỏe / Thẩm mỹ / Làm đẹp</t>
        </is>
      </c>
      <c r="K4048" s="10" t="inlineStr">
        <is>
          <t>3 - 5 Năm</t>
        </is>
      </c>
      <c r="L4048" s="11">
        <f>HYPERLINK("https://careerviet.vn/vi/tim-viec-lam/telesales-team-lead.35C68C9A.html","Xem chi tiết")</f>
        <v/>
      </c>
      <c r="M4048" s="10" t="n"/>
    </row>
    <row r="4049">
      <c r="B4049" s="7" t="n">
        <v>4047</v>
      </c>
      <c r="C4049" t="inlineStr">
        <is>
          <t>QA Manager</t>
        </is>
      </c>
      <c r="D4049" t="inlineStr">
        <is>
          <t>Fischer ASIA Co., Ltd</t>
        </is>
      </c>
      <c r="E4049" t="inlineStr">
        <is>
          <t>Lương:Cạnh tranh</t>
        </is>
      </c>
      <c r="F4049" t="inlineStr">
        <is>
          <t>Bình Dương</t>
        </is>
      </c>
      <c r="G4049" t="inlineStr">
        <is>
          <t>07-04-2026</t>
        </is>
      </c>
      <c r="H4049" t="inlineStr">
        <is>
          <t>07/04/2026</t>
        </is>
      </c>
      <c r="I4049" t="inlineStr">
        <is>
          <t>17/03/2026</t>
        </is>
      </c>
      <c r="J4049" t="inlineStr">
        <is>
          <t>Quản lý chất lượng (QA/QC), Cơ khí / Ô tô / Tự động hóa, Sản xuất / Vận hành sản xuất</t>
        </is>
      </c>
      <c r="K4049" t="inlineStr">
        <is>
          <t>5 - 7 Năm</t>
        </is>
      </c>
      <c r="L4049" s="8">
        <f>HYPERLINK("https://careerviet.vn/vi/tim-viec-lam/qa-manager.35C67F6C.html","Xem chi tiết")</f>
        <v/>
      </c>
    </row>
    <row r="4050">
      <c r="B4050" s="9" t="n">
        <v>4048</v>
      </c>
      <c r="C4050" s="10" t="inlineStr">
        <is>
          <t>Kế toán trưởng</t>
        </is>
      </c>
      <c r="D4050" s="10" t="inlineStr">
        <is>
          <t>HEXAGON - CÔNG TY CỔ PHẦN THIẾT KẾ LỤC GIÁC</t>
        </is>
      </c>
      <c r="E4050" s="10" t="inlineStr">
        <is>
          <t>Lương:25 Tr - 35 Tr VND</t>
        </is>
      </c>
      <c r="F4050" s="10" t="inlineStr">
        <is>
          <t>Hà Nội</t>
        </is>
      </c>
      <c r="G4050" s="10" t="inlineStr">
        <is>
          <t>28-03-2026</t>
        </is>
      </c>
      <c r="H4050" s="10" t="inlineStr">
        <is>
          <t>28/03/2026</t>
        </is>
      </c>
      <c r="I4050" s="10" t="inlineStr">
        <is>
          <t>17/03/2026</t>
        </is>
      </c>
      <c r="J4050" s="10" t="inlineStr">
        <is>
          <t>Kế toán / Kiểm toán, Nội ngoại thất</t>
        </is>
      </c>
      <c r="K4050" s="10" t="inlineStr">
        <is>
          <t>5 - 10 Năm</t>
        </is>
      </c>
      <c r="L4050" s="11">
        <f>HYPERLINK("https://careerviet.vn/vi/tim-viec-lam/ke-toan-truong.35C68CF3.html","Xem chi tiết")</f>
        <v/>
      </c>
      <c r="M4050" s="10" t="n"/>
    </row>
    <row r="4051">
      <c r="B4051" s="7" t="n">
        <v>4049</v>
      </c>
      <c r="C4051" t="inlineStr">
        <is>
          <t>Giám đốc Quản lý Khách hàng ưu tiên - Hải Phòng, Quảng Ninh, Hải Dương</t>
        </is>
      </c>
      <c r="D4051" t="inlineStr">
        <is>
          <t>Ngân Hàng TMCP Quốc Tế Việt Nam</t>
        </is>
      </c>
      <c r="E4051" t="inlineStr">
        <is>
          <t>Lương:18 Tr - 30 Tr VND</t>
        </is>
      </c>
      <c r="F4051" t="inlineStr">
        <is>
          <t>Quảng NinhHải PhòngHải Dương</t>
        </is>
      </c>
      <c r="G4051" t="inlineStr">
        <is>
          <t>5</t>
        </is>
      </c>
      <c r="H4051" t="inlineStr">
        <is>
          <t>22/03/2026</t>
        </is>
      </c>
      <c r="I4051" t="inlineStr">
        <is>
          <t>17/03/2026</t>
        </is>
      </c>
      <c r="J4051" t="inlineStr">
        <is>
          <t>Bán hàng / Kinh doanh, Ngân hàng, Tài chính / Đầu tư</t>
        </is>
      </c>
      <c r="K4051" t="inlineStr">
        <is>
          <t>Trên 1 Năm</t>
        </is>
      </c>
      <c r="L4051" s="8">
        <f>HYPERLINK("https://careerviet.vn/vi/tim-viec-lam/giam-doc-quan-ly-khach-hang-uu-tien-hai-phong-quang-ninh-hai-duong.35C68E5A.html","Xem chi tiết")</f>
        <v/>
      </c>
    </row>
    <row r="4052">
      <c r="B4052" s="9" t="n">
        <v>4050</v>
      </c>
      <c r="C4052" s="10" t="inlineStr">
        <is>
          <t>Hải Phòng - Kỹ Sư Bảo trì Cơ Điện</t>
        </is>
      </c>
      <c r="D4052" s="10" t="inlineStr">
        <is>
          <t>Cty TNHH Top Solvent (Việt Nam)</t>
        </is>
      </c>
      <c r="E4052" s="10" t="inlineStr">
        <is>
          <t>Lương:Lên đến 1.500 USD</t>
        </is>
      </c>
      <c r="F4052" s="10" t="inlineStr">
        <is>
          <t>Hải Phòng</t>
        </is>
      </c>
      <c r="G4052" s="10" t="inlineStr">
        <is>
          <t>07-04-2026</t>
        </is>
      </c>
      <c r="H4052" s="10" t="inlineStr">
        <is>
          <t>07/04/2026</t>
        </is>
      </c>
      <c r="I4052" s="10" t="inlineStr">
        <is>
          <t>17/03/2026</t>
        </is>
      </c>
      <c r="J4052" s="10" t="inlineStr">
        <is>
          <t>Cơ khí / Ô tô / Tự động hóa, Điện / Điện tử / Điện lạnh / Điện công nghiệp, Bảo trì / Sửa chữa</t>
        </is>
      </c>
      <c r="K4052" s="10" t="inlineStr">
        <is>
          <t>Trên 5 Năm</t>
        </is>
      </c>
      <c r="L4052" s="11">
        <f>HYPERLINK("https://careerviet.vn/vi/tim-viec-lam/hai-phong-ky-su-bao-tri-co-dien.35C64DDE.html","Xem chi tiết")</f>
        <v/>
      </c>
      <c r="M4052" s="10" t="n"/>
    </row>
    <row r="4053">
      <c r="B4053" s="7" t="n">
        <v>4051</v>
      </c>
      <c r="C4053" t="inlineStr">
        <is>
          <t>Nhân Viên Phòng Pháp Lý / Legal Staff (Experienced)</t>
        </is>
      </c>
      <c r="D4053" t="inlineStr">
        <is>
          <t>HYOSUNG &amp; HS HYOSUNG</t>
        </is>
      </c>
      <c r="E4053" t="inlineStr">
        <is>
          <t>Lương:Cạnh tranh</t>
        </is>
      </c>
      <c r="F4053" t="inlineStr">
        <is>
          <t>Đồng Nai</t>
        </is>
      </c>
      <c r="G4053" t="inlineStr">
        <is>
          <t>07-04-2026</t>
        </is>
      </c>
      <c r="H4053" t="inlineStr">
        <is>
          <t>07/04/2026</t>
        </is>
      </c>
      <c r="I4053" t="inlineStr">
        <is>
          <t>17/03/2026</t>
        </is>
      </c>
      <c r="J4053" t="inlineStr">
        <is>
          <t>Luật / Pháp lý, Nhân sự</t>
        </is>
      </c>
      <c r="K4053" t="inlineStr">
        <is>
          <t>2 - 6 Năm</t>
        </is>
      </c>
      <c r="L4053" s="8">
        <f>HYPERLINK("https://careerviet.vn/vi/tim-viec-lam/nhan-vien-phong-phap-ly-legal-staff-experienced.35C67DD3.html","Xem chi tiết")</f>
        <v/>
      </c>
    </row>
    <row r="4054">
      <c r="B4054" s="9" t="n">
        <v>4052</v>
      </c>
      <c r="C4054" s="10" t="inlineStr">
        <is>
          <t>Chuyên viên cao cấp Phát triển Giải pháp Ngân hàng số</t>
        </is>
      </c>
      <c r="D4054" s="10" t="inlineStr">
        <is>
          <t>Ngân Hàng TMCP Quốc Tế Việt Nam</t>
        </is>
      </c>
      <c r="E4054" s="10" t="inlineStr">
        <is>
          <t>Lương:Cạnh tranh</t>
        </is>
      </c>
      <c r="F4054" s="10" t="inlineStr">
        <is>
          <t>Hà Nội</t>
        </is>
      </c>
      <c r="G4054" s="10" t="inlineStr">
        <is>
          <t>5</t>
        </is>
      </c>
      <c r="H4054" s="10" t="inlineStr">
        <is>
          <t>22/03/2026</t>
        </is>
      </c>
      <c r="I4054" s="10" t="inlineStr">
        <is>
          <t>17/03/2026</t>
        </is>
      </c>
      <c r="J4054" s="10" t="inlineStr">
        <is>
          <t>CNTT - Phần mềm, Ngân hàng</t>
        </is>
      </c>
      <c r="K4054" s="10" t="inlineStr">
        <is>
          <t>Trên 3 Năm</t>
        </is>
      </c>
      <c r="L4054" s="11">
        <f>HYPERLINK("https://careerviet.vn/vi/tim-viec-lam/chuyen-vien-cao-cap-phat-trien-giai-phap-ngan-hang-so.35C68ED1.html","Xem chi tiết")</f>
        <v/>
      </c>
      <c r="M4054" s="10" t="n"/>
    </row>
    <row r="4055">
      <c r="B4055" s="7" t="n">
        <v>4053</v>
      </c>
      <c r="C4055" t="inlineStr">
        <is>
          <t>Accounting &amp; Reception staff (Contractor) Temp. 6 months</t>
        </is>
      </c>
      <c r="D4055" t="inlineStr">
        <is>
          <t>CÔNG TY TNHH YARA VIỆT NAM</t>
        </is>
      </c>
      <c r="E4055" t="inlineStr">
        <is>
          <t>Lương:Cạnh tranh</t>
        </is>
      </c>
      <c r="F4055" t="inlineStr">
        <is>
          <t>Hồ Chí Minh</t>
        </is>
      </c>
      <c r="G4055" t="inlineStr">
        <is>
          <t>5</t>
        </is>
      </c>
      <c r="H4055" t="inlineStr">
        <is>
          <t>22/03/2026</t>
        </is>
      </c>
      <c r="I4055" t="inlineStr">
        <is>
          <t>17/03/2026</t>
        </is>
      </c>
      <c r="J4055" t="inlineStr">
        <is>
          <t>Kế toán / Kiểm toán, Tài chính / Đầu tư, Hành chính / Thư ký</t>
        </is>
      </c>
      <c r="K4055" t="inlineStr">
        <is>
          <t>Trên 2 Năm</t>
        </is>
      </c>
      <c r="L4055" s="8">
        <f>HYPERLINK("https://careerviet.vn/vi/tim-viec-lam/accounting-reception-staff-contractor-temp-6-months.35C68D83.html","Xem chi tiết")</f>
        <v/>
      </c>
    </row>
    <row r="4056">
      <c r="B4056" s="9" t="n">
        <v>4054</v>
      </c>
      <c r="C4056" s="10" t="inlineStr">
        <is>
          <t>Cán Bộ An Toàn, Vệ Sinh Lao Động</t>
        </is>
      </c>
      <c r="D4056" s="10" t="inlineStr">
        <is>
          <t>EuP Group</t>
        </is>
      </c>
      <c r="E4056" s="10" t="inlineStr">
        <is>
          <t>Lương:10 Tr - 20 Tr VND</t>
        </is>
      </c>
      <c r="F4056" s="10" t="inlineStr">
        <is>
          <t>Long An</t>
        </is>
      </c>
      <c r="G4056" s="10" t="inlineStr">
        <is>
          <t>6</t>
        </is>
      </c>
      <c r="H4056" s="10" t="inlineStr">
        <is>
          <t>23/03/2026</t>
        </is>
      </c>
      <c r="I4056" s="10" t="inlineStr">
        <is>
          <t>17/03/2026</t>
        </is>
      </c>
      <c r="J4056" s="10" t="inlineStr">
        <is>
          <t>Điện / Điện tử / Điện lạnh / Điện công nghiệp, An toàn lao động, Cơ khí / Ô tô / Tự động hóa</t>
        </is>
      </c>
      <c r="K4056" s="10" t="inlineStr">
        <is>
          <t>Trên 1 Năm</t>
        </is>
      </c>
      <c r="L4056" s="11">
        <f>HYPERLINK("https://careerviet.vn/vi/tim-viec-lam/can-bo-an-toan-ve-sinh-lao-dong.35C68E06.html","Xem chi tiết")</f>
        <v/>
      </c>
      <c r="M4056" s="10" t="n"/>
    </row>
    <row r="4057">
      <c r="B4057" s="7" t="n">
        <v>4055</v>
      </c>
      <c r="C4057" t="inlineStr">
        <is>
          <t>TRỢ LÝ - PHIÊN DỊCH TIẾNG TRUNG</t>
        </is>
      </c>
      <c r="D4057" t="inlineStr">
        <is>
          <t>CÔNG TY TNHH FOXSCORE</t>
        </is>
      </c>
      <c r="E4057" t="inlineStr">
        <is>
          <t>Lương:18 Tr - 20 Tr VND</t>
        </is>
      </c>
      <c r="F4057" t="inlineStr">
        <is>
          <t>Hồ Chí Minh</t>
        </is>
      </c>
      <c r="G4057" t="inlineStr">
        <is>
          <t>31-03-2026</t>
        </is>
      </c>
      <c r="H4057" t="inlineStr">
        <is>
          <t>31/03/2026</t>
        </is>
      </c>
      <c r="I4057" t="inlineStr">
        <is>
          <t>17/03/2026</t>
        </is>
      </c>
      <c r="J4057" t="inlineStr">
        <is>
          <t>Hành chính / Thư ký, Biên phiên dịch</t>
        </is>
      </c>
      <c r="K4057" t="inlineStr">
        <is>
          <t>Lên đến 1 Năm</t>
        </is>
      </c>
      <c r="L4057" s="8">
        <f>HYPERLINK("https://careerviet.vn/vi/tim-viec-lam/tro-ly-phien-dich-tieng-trung.35C68D44.html","Xem chi tiết")</f>
        <v/>
      </c>
    </row>
    <row r="4058">
      <c r="B4058" s="9" t="n">
        <v>4056</v>
      </c>
      <c r="C4058" s="10" t="inlineStr">
        <is>
          <t>Nhân Viên Audit Nội Bộ - Internal Audit Staff (Experienced)</t>
        </is>
      </c>
      <c r="D4058" s="10" t="inlineStr">
        <is>
          <t>HYOSUNG &amp; HS HYOSUNG</t>
        </is>
      </c>
      <c r="E4058" s="10" t="inlineStr">
        <is>
          <t>Lương:Cạnh tranh</t>
        </is>
      </c>
      <c r="F4058" s="10" t="inlineStr">
        <is>
          <t>Đồng Nai</t>
        </is>
      </c>
      <c r="G4058" s="10" t="inlineStr">
        <is>
          <t>02-04-2026</t>
        </is>
      </c>
      <c r="H4058" s="10" t="inlineStr">
        <is>
          <t>02/04/2026</t>
        </is>
      </c>
      <c r="I4058" s="10" t="inlineStr">
        <is>
          <t>17/03/2026</t>
        </is>
      </c>
      <c r="J4058" s="10" t="inlineStr">
        <is>
          <t>Kế toán / Kiểm toán, Tài chính / Đầu tư</t>
        </is>
      </c>
      <c r="K4058" s="10" t="inlineStr">
        <is>
          <t>2 - 7 Năm</t>
        </is>
      </c>
      <c r="L4058" s="11">
        <f>HYPERLINK("https://careerviet.vn/vi/tim-viec-lam/nhan-vien-audit-noi-bo-internal-audit-staff-experienced.35C68D6E.html","Xem chi tiết")</f>
        <v/>
      </c>
      <c r="M4058" s="10" t="n"/>
    </row>
    <row r="4059">
      <c r="B4059" s="7" t="n">
        <v>4057</v>
      </c>
      <c r="C4059" t="inlineStr">
        <is>
          <t>Chuyên viên pháp lý</t>
        </is>
      </c>
      <c r="D4059" t="inlineStr">
        <is>
          <t>Tập đoàn Lyn Group</t>
        </is>
      </c>
      <c r="E4059" t="inlineStr">
        <is>
          <t>Lương:15 Tr - 23 Tr VND</t>
        </is>
      </c>
      <c r="F4059" t="inlineStr">
        <is>
          <t>Hồ Chí Minh</t>
        </is>
      </c>
      <c r="G4059" t="inlineStr">
        <is>
          <t>04-04-2026</t>
        </is>
      </c>
      <c r="H4059" t="inlineStr">
        <is>
          <t>04/04/2026</t>
        </is>
      </c>
      <c r="I4059" t="inlineStr">
        <is>
          <t>17/03/2026</t>
        </is>
      </c>
      <c r="J4059" t="inlineStr">
        <is>
          <t>Bất động sản</t>
        </is>
      </c>
      <c r="K4059" t="inlineStr">
        <is>
          <t>3 - 5 Năm</t>
        </is>
      </c>
      <c r="L4059" s="8">
        <f>HYPERLINK("https://careerviet.vn/vi/tim-viec-lam/chuyen-vien-phap-ly.35C6A667.html","Xem chi tiết")</f>
        <v/>
      </c>
    </row>
    <row r="4060">
      <c r="B4060" s="9" t="n">
        <v>4058</v>
      </c>
      <c r="C4060" s="10" t="inlineStr">
        <is>
          <t>Thủ Kho</t>
        </is>
      </c>
      <c r="D4060" s="10" t="inlineStr">
        <is>
          <t>CÔNG TY TNHH VNB SPORTS</t>
        </is>
      </c>
      <c r="E4060" s="10" t="inlineStr">
        <is>
          <t>Lương:Cạnh tranh</t>
        </is>
      </c>
      <c r="F4060" s="10" t="inlineStr">
        <is>
          <t>Hồ Chí Minh</t>
        </is>
      </c>
      <c r="G4060" s="10" t="inlineStr">
        <is>
          <t>02-04-2026</t>
        </is>
      </c>
      <c r="H4060" s="10" t="inlineStr">
        <is>
          <t>02/04/2026</t>
        </is>
      </c>
      <c r="I4060" s="10" t="inlineStr">
        <is>
          <t>17/03/2026</t>
        </is>
      </c>
      <c r="J4060" s="10" t="inlineStr">
        <is>
          <t>Vận chuyển / Giao nhận / Kho vận, Sản xuất / Vận hành sản xuất, Kế toán / Kiểm toán</t>
        </is>
      </c>
      <c r="K4060" s="10" t="inlineStr">
        <is>
          <t>2 - 3 Năm</t>
        </is>
      </c>
      <c r="L4060" s="11">
        <f>HYPERLINK("https://careerviet.vn/vi/tim-viec-lam/thu-kho.35C6A405.html","Xem chi tiết")</f>
        <v/>
      </c>
      <c r="M4060" s="10" t="n"/>
    </row>
    <row r="4061">
      <c r="B4061" s="7" t="n">
        <v>4059</v>
      </c>
      <c r="C4061" t="inlineStr">
        <is>
          <t>[HCM] Đại diện thương mại/ Nhân viên kinh doanh B2B</t>
        </is>
      </c>
      <c r="D4061" t="inlineStr">
        <is>
          <t>CÔNG TY CỔ PHẦN ZENBOOKS</t>
        </is>
      </c>
      <c r="E4061" t="inlineStr">
        <is>
          <t>Lương:11 Tr - 15 Tr VND</t>
        </is>
      </c>
      <c r="F4061" t="inlineStr">
        <is>
          <t>Hồ Chí MinhHà Nội</t>
        </is>
      </c>
      <c r="G4061" t="inlineStr">
        <is>
          <t>31-03-2026</t>
        </is>
      </c>
      <c r="H4061" t="inlineStr">
        <is>
          <t>31/03/2026</t>
        </is>
      </c>
      <c r="I4061" t="inlineStr">
        <is>
          <t>17/03/2026</t>
        </is>
      </c>
      <c r="J4061" t="inlineStr">
        <is>
          <t>Bán hàng / Kinh doanh, Tiếp thị / Marketing, Bán lẻ / Bán sỉ</t>
        </is>
      </c>
      <c r="K4061" t="inlineStr">
        <is>
          <t>22 - 32 Năm</t>
        </is>
      </c>
      <c r="L4061" s="8">
        <f>HYPERLINK("https://careerviet.vn/vi/tim-viec-lam/hcm-dai-dien-thuong-mai-nhan-vien-kinh-doanh-b2b.35C68D4B.html","Xem chi tiết")</f>
        <v/>
      </c>
    </row>
    <row r="4062">
      <c r="B4062" s="9" t="n">
        <v>4060</v>
      </c>
      <c r="C4062" s="10" t="inlineStr">
        <is>
          <t>[MIỀN TRUNG] NHÂN VIÊN HÀNH CHÍNH TRANG TRẠI</t>
        </is>
      </c>
      <c r="D4062" s="10" t="inlineStr">
        <is>
          <t>Công Ty TNHH CJ Vina Agri</t>
        </is>
      </c>
      <c r="E4062" s="10" t="inlineStr">
        <is>
          <t>Lương:9 Tr - 12 Tr VND</t>
        </is>
      </c>
      <c r="F4062" s="10" t="inlineStr">
        <is>
          <t>Gia LaiKhánh Hòa</t>
        </is>
      </c>
      <c r="G4062" s="10" t="inlineStr">
        <is>
          <t>02-04-2026</t>
        </is>
      </c>
      <c r="H4062" s="10" t="inlineStr">
        <is>
          <t>02/04/2026</t>
        </is>
      </c>
      <c r="I4062" s="10" t="inlineStr">
        <is>
          <t>17/03/2026</t>
        </is>
      </c>
      <c r="J4062" s="10" t="inlineStr">
        <is>
          <t>Hành chính / Thư ký, Chăn nuôi / Thú y</t>
        </is>
      </c>
      <c r="K4062" s="10" t="inlineStr">
        <is>
          <t>Chưa có kinh nghiệm</t>
        </is>
      </c>
      <c r="L4062" s="11">
        <f>HYPERLINK("https://careerviet.vn/vi/tim-viec-lam/mien-trung-nhan-vien-hanh-chinh-trang-trai.35C6A3EC.html","Xem chi tiết")</f>
        <v/>
      </c>
      <c r="M4062" s="10" t="n"/>
    </row>
    <row r="4063">
      <c r="B4063" s="7" t="n">
        <v>4061</v>
      </c>
      <c r="C4063" t="inlineStr">
        <is>
          <t>NHÂN VIÊN KIỂM SOÁT CHẤT LƯỢNG</t>
        </is>
      </c>
      <c r="D4063" t="inlineStr">
        <is>
          <t>CÔNG TY CỔ PHẦN TRUNG TÂM GIA CÔNG POSCO VIỆT NAM - CHI NHÁNH ĐỒNG NAI - VHPC</t>
        </is>
      </c>
      <c r="E4063" t="inlineStr">
        <is>
          <t>Lương:9 Tr - 12 Tr VND</t>
        </is>
      </c>
      <c r="F4063" t="inlineStr">
        <is>
          <t>Đồng Nai</t>
        </is>
      </c>
      <c r="G4063" t="inlineStr">
        <is>
          <t>30-04-2026</t>
        </is>
      </c>
      <c r="H4063" t="inlineStr">
        <is>
          <t>30/04/2026</t>
        </is>
      </c>
      <c r="I4063" t="inlineStr">
        <is>
          <t>17/03/2026</t>
        </is>
      </c>
      <c r="J4063" t="inlineStr">
        <is>
          <t>Dịch vụ khách hàng, Quản lý chất lượng (QA/QC)</t>
        </is>
      </c>
      <c r="K4063" t="inlineStr">
        <is>
          <t>1 - 3 Năm</t>
        </is>
      </c>
      <c r="L4063" s="8">
        <f>HYPERLINK("https://careerviet.vn/vi/tim-viec-lam/nhan-vien-kiem-soat-chat-luong.35C68D2C.html","Xem chi tiết")</f>
        <v/>
      </c>
    </row>
    <row r="4064">
      <c r="B4064" s="9" t="n">
        <v>4062</v>
      </c>
      <c r="C4064" s="10" t="inlineStr">
        <is>
          <t>Kế Toán</t>
        </is>
      </c>
      <c r="D4064" s="10" t="inlineStr">
        <is>
          <t>CÔNG TY TNHH ROYAL CARGO VIỆT NAM</t>
        </is>
      </c>
      <c r="E4064" s="10" t="inlineStr">
        <is>
          <t>Lương:Cạnh tranh</t>
        </is>
      </c>
      <c r="F4064" s="10" t="inlineStr">
        <is>
          <t>Hồ Chí Minh</t>
        </is>
      </c>
      <c r="G4064" s="10" t="inlineStr">
        <is>
          <t>02-04-2026</t>
        </is>
      </c>
      <c r="H4064" s="10" t="inlineStr">
        <is>
          <t>02/04/2026</t>
        </is>
      </c>
      <c r="I4064" s="10" t="inlineStr">
        <is>
          <t>17/03/2026</t>
        </is>
      </c>
      <c r="J4064" s="10" t="inlineStr">
        <is>
          <t>Kế toán / Kiểm toán, Tài chính / Đầu tư, Xuất nhập khẩu</t>
        </is>
      </c>
      <c r="K4064" s="10" t="inlineStr">
        <is>
          <t>Trên 1 Năm</t>
        </is>
      </c>
      <c r="L4064" s="11">
        <f>HYPERLINK("https://careerviet.vn/vi/tim-viec-lam/ke-toan.35C6A57E.html","Xem chi tiết")</f>
        <v/>
      </c>
      <c r="M4064" s="10" t="n"/>
    </row>
    <row r="4065">
      <c r="B4065" s="7" t="n">
        <v>4063</v>
      </c>
      <c r="C4065" t="inlineStr">
        <is>
          <t>Chuyên viên Ngành hàng Phụ kiện - Ốp, dán</t>
        </is>
      </c>
      <c r="D4065" t="inlineStr">
        <is>
          <t>CellphoneS - Hệ thống bán lẻ điện thoại di động, laptop và các sản phẩm công nghệ toàn quốc</t>
        </is>
      </c>
      <c r="E4065" t="inlineStr">
        <is>
          <t>Lương:17 Tr - 25 Tr VND</t>
        </is>
      </c>
      <c r="F4065" t="inlineStr">
        <is>
          <t>Hồ Chí Minh</t>
        </is>
      </c>
      <c r="G4065" t="inlineStr">
        <is>
          <t>31-03-2026</t>
        </is>
      </c>
      <c r="H4065" t="inlineStr">
        <is>
          <t>31/03/2026</t>
        </is>
      </c>
      <c r="I4065" t="inlineStr">
        <is>
          <t>17/03/2026</t>
        </is>
      </c>
      <c r="J4065" t="inlineStr">
        <is>
          <t>Bán hàng / Kinh doanh, Bán lẻ / Bán sỉ, Thương mại điện tử</t>
        </is>
      </c>
      <c r="K4065" t="inlineStr">
        <is>
          <t>2 - 3 Năm</t>
        </is>
      </c>
      <c r="L4065" s="8">
        <f>HYPERLINK("https://careerviet.vn/vi/tim-viec-lam/chuyen-vien-nga-nh-ha-ng-phu-kien-op-dan.35C6A6F4.html","Xem chi tiết")</f>
        <v/>
      </c>
    </row>
    <row r="4066">
      <c r="B4066" s="9" t="n">
        <v>4064</v>
      </c>
      <c r="C4066" s="10" t="inlineStr">
        <is>
          <t>Kế Toán Thanh Toán</t>
        </is>
      </c>
      <c r="D4066" s="10" t="inlineStr">
        <is>
          <t>Công Ty TNHH Jones &amp; Vining (Việt Nam)</t>
        </is>
      </c>
      <c r="E4066" s="10" t="inlineStr">
        <is>
          <t>Lương:Cạnh tranh</t>
        </is>
      </c>
      <c r="F4066" s="10" t="inlineStr">
        <is>
          <t>Đồng Nai</t>
        </is>
      </c>
      <c r="G4066" s="10" t="inlineStr">
        <is>
          <t>01-04-2026</t>
        </is>
      </c>
      <c r="H4066" s="10" t="inlineStr">
        <is>
          <t>01/04/2026</t>
        </is>
      </c>
      <c r="I4066" s="10" t="inlineStr">
        <is>
          <t>17/03/2026</t>
        </is>
      </c>
      <c r="J4066" s="10" t="inlineStr">
        <is>
          <t>Kế toán / Kiểm toán, Tài chính / Đầu tư, Luật / Pháp lý</t>
        </is>
      </c>
      <c r="K4066" s="10" t="inlineStr">
        <is>
          <t>N/A</t>
        </is>
      </c>
      <c r="L4066" s="11">
        <f>HYPERLINK("https://careerviet.vn/vi/tim-viec-lam/ke-toan-thanh-toan.35C6A3AC.html","Xem chi tiết")</f>
        <v/>
      </c>
      <c r="M4066" s="10" t="n"/>
    </row>
    <row r="4067">
      <c r="B4067" s="7" t="n">
        <v>4065</v>
      </c>
      <c r="C4067" t="inlineStr">
        <is>
          <t>[Thủ Đức] Nhân viên vận hành – bảo trì</t>
        </is>
      </c>
      <c r="D4067" t="inlineStr">
        <is>
          <t>EUROFINS VIETNAM</t>
        </is>
      </c>
      <c r="E4067" t="inlineStr">
        <is>
          <t>Lương:Cạnh tranh</t>
        </is>
      </c>
      <c r="F4067" t="inlineStr">
        <is>
          <t>Hồ Chí Minh</t>
        </is>
      </c>
      <c r="G4067" t="inlineStr">
        <is>
          <t>25-03-2026</t>
        </is>
      </c>
      <c r="H4067" t="inlineStr">
        <is>
          <t>25/03/2026</t>
        </is>
      </c>
      <c r="I4067" t="inlineStr">
        <is>
          <t>17/03/2026</t>
        </is>
      </c>
      <c r="J4067" t="inlineStr">
        <is>
          <t>Điện / Điện tử / Điện lạnh / Điện công nghiệp, Cơ khí / Ô tô / Tự động hóa, Bảo trì / Sửa chữa</t>
        </is>
      </c>
      <c r="K4067" t="inlineStr">
        <is>
          <t>2 - 3 Năm</t>
        </is>
      </c>
      <c r="L4067" s="8">
        <f>HYPERLINK("https://careerviet.vn/vi/tim-viec-lam/thu-duc-nhan-vien-van-hanh-bao-tri.35C6A668.html","Xem chi tiết")</f>
        <v/>
      </c>
    </row>
    <row r="4068">
      <c r="B4068" s="9" t="n">
        <v>4066</v>
      </c>
      <c r="C4068" s="10" t="inlineStr">
        <is>
          <t>Chuyên Viên Tài Chính - Văn Phòng Hà Nội</t>
        </is>
      </c>
      <c r="D4068" s="10" t="inlineStr">
        <is>
          <t>Công Ty Cổ Phần Lương Thực A AN</t>
        </is>
      </c>
      <c r="E4068" s="10" t="inlineStr">
        <is>
          <t>Lương:17 Tr - 21 Tr VND</t>
        </is>
      </c>
      <c r="F4068" s="10" t="inlineStr">
        <is>
          <t>Hà Nội</t>
        </is>
      </c>
      <c r="G4068" s="10" t="inlineStr">
        <is>
          <t>06-04-2026</t>
        </is>
      </c>
      <c r="H4068" s="10" t="inlineStr">
        <is>
          <t>06/04/2026</t>
        </is>
      </c>
      <c r="I4068" s="10" t="inlineStr">
        <is>
          <t>17/03/2026</t>
        </is>
      </c>
      <c r="J4068" s="10" t="inlineStr">
        <is>
          <t>Kế toán / Kiểm toán, Tài chính / Đầu tư</t>
        </is>
      </c>
      <c r="K4068" s="10" t="inlineStr">
        <is>
          <t>1 - 3 Năm</t>
        </is>
      </c>
      <c r="L4068" s="11">
        <f>HYPERLINK("https://careerviet.vn/vi/tim-viec-lam/chuyen-vien-tai-chinh-van-phong-ha-noi.35C6A6D1.html","Xem chi tiết")</f>
        <v/>
      </c>
      <c r="M4068" s="10" t="n"/>
    </row>
    <row r="4069">
      <c r="B4069" s="7" t="n">
        <v>4067</v>
      </c>
      <c r="C4069" t="inlineStr">
        <is>
          <t>Trưởng Phòng Hành Chính Nhân Sự</t>
        </is>
      </c>
      <c r="D4069" t="inlineStr">
        <is>
          <t>CÔNG TY TNHH TẬP ĐOÀN GTG</t>
        </is>
      </c>
      <c r="E4069" t="inlineStr">
        <is>
          <t>Lương:Trên 25 Tr VND</t>
        </is>
      </c>
      <c r="F4069" t="inlineStr">
        <is>
          <t>Hà Nội</t>
        </is>
      </c>
      <c r="G4069" t="inlineStr">
        <is>
          <t>01-04-2026</t>
        </is>
      </c>
      <c r="H4069" t="inlineStr">
        <is>
          <t>01/04/2026</t>
        </is>
      </c>
      <c r="I4069" t="inlineStr">
        <is>
          <t>17/03/2026</t>
        </is>
      </c>
      <c r="J4069" t="inlineStr">
        <is>
          <t>Luật / Pháp lý, Hành chính / Thư ký, Nhân sự</t>
        </is>
      </c>
      <c r="K4069" t="inlineStr">
        <is>
          <t>Trên 3 Năm</t>
        </is>
      </c>
      <c r="L4069" s="8">
        <f>HYPERLINK("https://careerviet.vn/vi/tim-viec-lam/truong-phong-hanh-chinh-nhan-su.35C6A5A7.html","Xem chi tiết")</f>
        <v/>
      </c>
    </row>
    <row r="4070">
      <c r="B4070" s="9" t="n">
        <v>4068</v>
      </c>
      <c r="C4070" s="10" t="inlineStr">
        <is>
          <t>[Hà Nội] Chuyên Viên Marketing</t>
        </is>
      </c>
      <c r="D4070" s="10" t="inlineStr">
        <is>
          <t>Công Ty TNHH Tập Đoàn Rita Võ</t>
        </is>
      </c>
      <c r="E4070" s="10" t="inlineStr">
        <is>
          <t>Lương:12 Tr - 16 Tr VND</t>
        </is>
      </c>
      <c r="F4070" s="10" t="inlineStr">
        <is>
          <t>Hà Nội</t>
        </is>
      </c>
      <c r="G4070" s="10" t="inlineStr">
        <is>
          <t>25-03-2026</t>
        </is>
      </c>
      <c r="H4070" s="10" t="inlineStr">
        <is>
          <t>25/03/2026</t>
        </is>
      </c>
      <c r="I4070" s="10" t="inlineStr">
        <is>
          <t>17/03/2026</t>
        </is>
      </c>
      <c r="J4070" s="10" t="inlineStr">
        <is>
          <t>Tiếp thị / Marketing, Quảng cáo / Đối ngoại / Truyền Thông</t>
        </is>
      </c>
      <c r="K4070" s="10" t="inlineStr">
        <is>
          <t>2 - 3 Năm</t>
        </is>
      </c>
      <c r="L4070" s="11">
        <f>HYPERLINK("https://careerviet.vn/vi/tim-viec-lam/ha-noi-chuyen-vien-marketing.35C6A587.html","Xem chi tiết")</f>
        <v/>
      </c>
      <c r="M4070" s="10" t="n"/>
    </row>
    <row r="4071">
      <c r="B4071" s="7" t="n">
        <v>4069</v>
      </c>
      <c r="C4071" t="inlineStr">
        <is>
          <t>[HCM] Giám Sát Bán Hàng Kênh MT - CVS</t>
        </is>
      </c>
      <c r="D4071" t="inlineStr">
        <is>
          <t>CÔNG TY CỔ PHẦN THỰC PHẨM HỮU NGHỊ</t>
        </is>
      </c>
      <c r="E4071" t="inlineStr">
        <is>
          <t>Lương:10 Tr - 12 Tr VND</t>
        </is>
      </c>
      <c r="F4071" t="inlineStr">
        <is>
          <t>Hồ Chí Minh</t>
        </is>
      </c>
      <c r="G4071" t="inlineStr">
        <is>
          <t>31-03-2026</t>
        </is>
      </c>
      <c r="H4071" t="inlineStr">
        <is>
          <t>31/03/2026</t>
        </is>
      </c>
      <c r="I4071" t="inlineStr">
        <is>
          <t>17/03/2026</t>
        </is>
      </c>
      <c r="J4071" t="inlineStr">
        <is>
          <t>Bán lẻ / Bán sỉ, Bán hàng / Kinh doanh, Thực phẩm &amp; Đồ uống</t>
        </is>
      </c>
      <c r="K4071" t="inlineStr">
        <is>
          <t>2 - 4 Năm</t>
        </is>
      </c>
      <c r="L4071" s="8">
        <f>HYPERLINK("https://careerviet.vn/vi/tim-viec-lam/hcm-giam-sat-ban-hang-kenh-mt-cvs.35C6A323.html","Xem chi tiết")</f>
        <v/>
      </c>
    </row>
    <row r="4072">
      <c r="B4072" s="9" t="n">
        <v>4070</v>
      </c>
      <c r="C4072" s="10" t="inlineStr">
        <is>
          <t>Chuyên viên Phân tích nghiệp vụ Core</t>
        </is>
      </c>
      <c r="D4072" s="10" t="inlineStr">
        <is>
          <t>BVBank - Ngân hàng Bản Việt</t>
        </is>
      </c>
      <c r="E4072" s="10" t="inlineStr">
        <is>
          <t>Lương:Cạnh tranh</t>
        </is>
      </c>
      <c r="F4072" s="10" t="inlineStr">
        <is>
          <t>Hồ Chí Minh</t>
        </is>
      </c>
      <c r="G4072" s="10" t="inlineStr">
        <is>
          <t>01-04-2026</t>
        </is>
      </c>
      <c r="H4072" s="10" t="inlineStr">
        <is>
          <t>01/04/2026</t>
        </is>
      </c>
      <c r="I4072" s="10" t="inlineStr">
        <is>
          <t>17/03/2026</t>
        </is>
      </c>
      <c r="J4072" s="10" t="inlineStr">
        <is>
          <t>Ngân hàng, Kế toán / Kiểm toán, CNTT - Phần mềm</t>
        </is>
      </c>
      <c r="K4072" s="10" t="inlineStr">
        <is>
          <t>2 - 3 Năm</t>
        </is>
      </c>
      <c r="L4072" s="11">
        <f>HYPERLINK("https://careerviet.vn/vi/tim-viec-lam/chuyen-vien-phan-tich-nghiep-vu-core.35C6A58A.html","Xem chi tiết")</f>
        <v/>
      </c>
      <c r="M4072" s="10" t="n"/>
    </row>
    <row r="4073">
      <c r="B4073" s="7" t="n">
        <v>4071</v>
      </c>
      <c r="C4073" t="inlineStr">
        <is>
          <t>Chuyên Viên Thu Mua Quốc Tế</t>
        </is>
      </c>
      <c r="D4073" t="inlineStr">
        <is>
          <t>Công Ty TNHH Thương Mại &amp; Công Nghệ Vinatoken</t>
        </is>
      </c>
      <c r="E4073" t="inlineStr">
        <is>
          <t>Lương:Cạnh tranh</t>
        </is>
      </c>
      <c r="F4073" t="inlineStr">
        <is>
          <t>Hồ Chí Minh</t>
        </is>
      </c>
      <c r="G4073" t="inlineStr">
        <is>
          <t>27-03-2026</t>
        </is>
      </c>
      <c r="H4073" t="inlineStr">
        <is>
          <t>27/03/2026</t>
        </is>
      </c>
      <c r="I4073" t="inlineStr">
        <is>
          <t>17/03/2026</t>
        </is>
      </c>
      <c r="J4073" t="inlineStr">
        <is>
          <t>Thu mua / Vật tư, Xuất nhập khẩu, Dệt may / Da giày / Thời trang</t>
        </is>
      </c>
      <c r="K4073" t="inlineStr">
        <is>
          <t>Trên 3 Năm</t>
        </is>
      </c>
      <c r="L4073" s="8">
        <f>HYPERLINK("https://careerviet.vn/vi/tim-viec-lam/chuyen-vien-thu-mua-quoc-te.35C6A030.html","Xem chi tiết")</f>
        <v/>
      </c>
    </row>
    <row r="4074">
      <c r="B4074" s="9" t="n">
        <v>4072</v>
      </c>
      <c r="C4074" s="10" t="inlineStr">
        <is>
          <t>Finance Business Partner</t>
        </is>
      </c>
      <c r="D4074" s="10" t="inlineStr">
        <is>
          <t>Wall Street English</t>
        </is>
      </c>
      <c r="E4074" s="10" t="inlineStr">
        <is>
          <t>Lương:30 Tr - 45 Tr VND</t>
        </is>
      </c>
      <c r="F4074" s="10" t="inlineStr">
        <is>
          <t>Hồ Chí Minh</t>
        </is>
      </c>
      <c r="G4074" s="10" t="inlineStr">
        <is>
          <t>26-03-2026</t>
        </is>
      </c>
      <c r="H4074" s="10" t="inlineStr">
        <is>
          <t>26/03/2026</t>
        </is>
      </c>
      <c r="I4074" s="10" t="inlineStr">
        <is>
          <t>17/03/2026</t>
        </is>
      </c>
      <c r="J4074" s="10" t="inlineStr">
        <is>
          <t>Giáo dục / Đào tạo, Kế toán / Kiểm toán, Tài chính / Đầu tư</t>
        </is>
      </c>
      <c r="K4074" s="10" t="inlineStr">
        <is>
          <t>4 - 6 Năm</t>
        </is>
      </c>
      <c r="L4074" s="11">
        <f>HYPERLINK("https://careerviet.vn/vi/tim-viec-lam/finance-business-partner.35C6A66E.html","Xem chi tiết")</f>
        <v/>
      </c>
      <c r="M4074" s="10" t="n"/>
    </row>
    <row r="4075">
      <c r="B4075" s="7" t="n">
        <v>4073</v>
      </c>
      <c r="C4075" t="inlineStr">
        <is>
          <t>[Hà Nội] Nhân viên Product Manager - Marketing</t>
        </is>
      </c>
      <c r="D4075" t="inlineStr">
        <is>
          <t>CÔNG TY TNHH DAESANG VIỆT NAM</t>
        </is>
      </c>
      <c r="E4075" t="inlineStr">
        <is>
          <t>Lương:12 Tr - 20 Tr VND</t>
        </is>
      </c>
      <c r="F4075" t="inlineStr">
        <is>
          <t>Hà Nội</t>
        </is>
      </c>
      <c r="G4075" t="inlineStr">
        <is>
          <t>6</t>
        </is>
      </c>
      <c r="H4075" t="inlineStr">
        <is>
          <t>23/03/2026</t>
        </is>
      </c>
      <c r="I4075" t="inlineStr">
        <is>
          <t>17/03/2026</t>
        </is>
      </c>
      <c r="J4075" t="inlineStr">
        <is>
          <t>Tiếp thị / Marketing, Bán hàng / Kinh doanh</t>
        </is>
      </c>
      <c r="K4075" t="inlineStr">
        <is>
          <t>2 - 3 Năm</t>
        </is>
      </c>
      <c r="L4075" s="8">
        <f>HYPERLINK("https://careerviet.vn/vi/tim-viec-lam/ha-noi-nhan-vien-product-manager-marketing.35C6A393.html","Xem chi tiết")</f>
        <v/>
      </c>
    </row>
    <row r="4076">
      <c r="B4076" s="9" t="n">
        <v>4074</v>
      </c>
      <c r="C4076" s="10" t="inlineStr">
        <is>
          <t>Kế toán tổng hợp</t>
        </is>
      </c>
      <c r="D4076" s="10" t="inlineStr">
        <is>
          <t>CÔNG TY TNHH COTG FOOD TECH VIỆT NAM</t>
        </is>
      </c>
      <c r="E4076" s="10" t="inlineStr">
        <is>
          <t>Lương:20 Tr - 30 Tr VND</t>
        </is>
      </c>
      <c r="F4076" s="10" t="inlineStr">
        <is>
          <t>Hồ Chí Minh</t>
        </is>
      </c>
      <c r="G4076" s="10" t="inlineStr">
        <is>
          <t>01-04-2026</t>
        </is>
      </c>
      <c r="H4076" s="10" t="inlineStr">
        <is>
          <t>01/04/2026</t>
        </is>
      </c>
      <c r="I4076" s="10" t="inlineStr">
        <is>
          <t>17/03/2026</t>
        </is>
      </c>
      <c r="J4076" s="10" t="inlineStr">
        <is>
          <t>Bán lẻ / Bán sỉ, Kế toán / Kiểm toán, Bán hàng / Kinh doanh</t>
        </is>
      </c>
      <c r="K4076" s="10" t="inlineStr">
        <is>
          <t>5 - 8 Năm</t>
        </is>
      </c>
      <c r="L4076" s="11">
        <f>HYPERLINK("https://careerviet.vn/vi/tim-viec-lam/ke-toan-tong-hop.35C6A48F.html","Xem chi tiết")</f>
        <v/>
      </c>
      <c r="M4076" s="10" t="n"/>
    </row>
    <row r="4077">
      <c r="B4077" s="7" t="n">
        <v>4075</v>
      </c>
      <c r="C4077" t="inlineStr">
        <is>
          <t>E-commerce Executive (Amazon &amp; Wayfair)</t>
        </is>
      </c>
      <c r="D4077" t="inlineStr">
        <is>
          <t>CÔNG TY TNHH BLUEZON GLOBAL</t>
        </is>
      </c>
      <c r="E4077" t="inlineStr">
        <is>
          <t>Lương:10 Tr - 15 Tr VND</t>
        </is>
      </c>
      <c r="F4077" t="inlineStr">
        <is>
          <t>Hồ Chí Minh</t>
        </is>
      </c>
      <c r="G4077" t="inlineStr">
        <is>
          <t>31-03-2026</t>
        </is>
      </c>
      <c r="H4077" t="inlineStr">
        <is>
          <t>31/03/2026</t>
        </is>
      </c>
      <c r="I4077" t="inlineStr">
        <is>
          <t>17/03/2026</t>
        </is>
      </c>
      <c r="J4077" t="inlineStr">
        <is>
          <t>Bán lẻ / Bán sỉ, Tiếp thị trực tuyến, Thương mại điện tử</t>
        </is>
      </c>
      <c r="K4077" t="inlineStr">
        <is>
          <t>N/A</t>
        </is>
      </c>
      <c r="L4077" s="8">
        <f>HYPERLINK("https://careerviet.vn/vi/tim-viec-lam/e-commerce-executive-amazon-wayfair.35C6A184.html","Xem chi tiết")</f>
        <v/>
      </c>
    </row>
    <row r="4078">
      <c r="B4078" s="9" t="n">
        <v>4076</v>
      </c>
      <c r="C4078" s="10" t="inlineStr">
        <is>
          <t>CRM Manager</t>
        </is>
      </c>
      <c r="D4078" s="10" t="inlineStr">
        <is>
          <t>Công Ty Avanti - Group</t>
        </is>
      </c>
      <c r="E4078" s="10" t="inlineStr">
        <is>
          <t>Lương:40 Tr - 50 Tr VND</t>
        </is>
      </c>
      <c r="F4078" s="10" t="inlineStr">
        <is>
          <t>Hồ Chí Minh</t>
        </is>
      </c>
      <c r="G4078" s="10" t="inlineStr">
        <is>
          <t>31-03-2026</t>
        </is>
      </c>
      <c r="H4078" s="10" t="inlineStr">
        <is>
          <t>31/03/2026</t>
        </is>
      </c>
      <c r="I4078" s="10" t="inlineStr">
        <is>
          <t>17/03/2026</t>
        </is>
      </c>
      <c r="J4078" s="10" t="inlineStr">
        <is>
          <t>Tiếp thị / Marketing, Bán lẻ / Bán sỉ, Dịch vụ khách hàng</t>
        </is>
      </c>
      <c r="K4078" s="10" t="inlineStr">
        <is>
          <t>Chưa có kinh nghiệm</t>
        </is>
      </c>
      <c r="L4078" s="11">
        <f>HYPERLINK("https://careerviet.vn/vi/tim-viec-lam/crm-manager.35C6A6DA.html","Xem chi tiết")</f>
        <v/>
      </c>
      <c r="M4078" s="10" t="n"/>
    </row>
    <row r="4079">
      <c r="B4079" s="7" t="n">
        <v>4077</v>
      </c>
      <c r="C4079" t="inlineStr">
        <is>
          <t>Procurement Executive</t>
        </is>
      </c>
      <c r="D4079" t="inlineStr">
        <is>
          <t>Công Ty TNHH Chế Biến Thực Phẩm &amp; Bánh Kẹo Phạm Nguyên</t>
        </is>
      </c>
      <c r="E4079" t="inlineStr">
        <is>
          <t>Lương:Cạnh tranh</t>
        </is>
      </c>
      <c r="F4079" t="inlineStr">
        <is>
          <t>Hồ Chí Minh</t>
        </is>
      </c>
      <c r="G4079" t="inlineStr">
        <is>
          <t>02-04-2026</t>
        </is>
      </c>
      <c r="H4079" t="inlineStr">
        <is>
          <t>02/04/2026</t>
        </is>
      </c>
      <c r="I4079" t="inlineStr">
        <is>
          <t>17/03/2026</t>
        </is>
      </c>
      <c r="J4079" t="inlineStr">
        <is>
          <t>Thu mua / Vật tư, Thực phẩm &amp; Đồ uống, Sản xuất / Vận hành sản xuất</t>
        </is>
      </c>
      <c r="K4079" t="inlineStr">
        <is>
          <t>2 - 3 Năm</t>
        </is>
      </c>
      <c r="L4079" s="8">
        <f>HYPERLINK("https://careerviet.vn/vi/tim-viec-lam/procurement-executive.35C6A613.html","Xem chi tiết")</f>
        <v/>
      </c>
    </row>
    <row r="4080">
      <c r="B4080" s="9" t="n">
        <v>4078</v>
      </c>
      <c r="C4080" s="10" t="inlineStr">
        <is>
          <t>Nhân viên dự toán kiêm thu mua</t>
        </is>
      </c>
      <c r="D4080" s="10" t="inlineStr">
        <is>
          <t>Công ty TNHH Anabuki Interior Design</t>
        </is>
      </c>
      <c r="E4080" s="10" t="inlineStr">
        <is>
          <t>Lương:18 Tr - 20 Tr VND</t>
        </is>
      </c>
      <c r="F4080" s="10" t="inlineStr">
        <is>
          <t>Hồ Chí Minh</t>
        </is>
      </c>
      <c r="G4080" s="10" t="inlineStr">
        <is>
          <t>3</t>
        </is>
      </c>
      <c r="H4080" s="10" t="inlineStr">
        <is>
          <t>20/03/2026</t>
        </is>
      </c>
      <c r="I4080" s="10" t="inlineStr">
        <is>
          <t>17/03/2026</t>
        </is>
      </c>
      <c r="J4080" s="10" t="inlineStr">
        <is>
          <t>Nội ngoại thất, Xây dựng, Thu mua / Vật tư</t>
        </is>
      </c>
      <c r="K4080" s="10" t="inlineStr">
        <is>
          <t>2 - 3 NămĐịa điểm</t>
        </is>
      </c>
      <c r="L4080" s="11">
        <f>HYPERLINK("https://careerviet.vn/vi/tim-viec-lam/nhan-vien-du-toan-kiem-thu-mua.35C6A42D.html","Xem chi tiết")</f>
        <v/>
      </c>
      <c r="M4080" s="10" t="n"/>
    </row>
    <row r="4081">
      <c r="B4081" s="7" t="n">
        <v>4079</v>
      </c>
      <c r="C4081" t="inlineStr">
        <is>
          <t>Nhân viên Nhân sự Hà Nội</t>
        </is>
      </c>
      <c r="D4081" t="inlineStr">
        <is>
          <t>Công ty Cổ phần IntelLife</t>
        </is>
      </c>
      <c r="E4081" t="inlineStr">
        <is>
          <t>Lương:12 Tr - 18 Tr VND</t>
        </is>
      </c>
      <c r="F4081" t="inlineStr">
        <is>
          <t>Hà Nội</t>
        </is>
      </c>
      <c r="G4081" t="inlineStr">
        <is>
          <t>02-04-2026</t>
        </is>
      </c>
      <c r="H4081" t="inlineStr">
        <is>
          <t>02/04/2026</t>
        </is>
      </c>
      <c r="I4081" t="inlineStr">
        <is>
          <t>17/03/2026</t>
        </is>
      </c>
      <c r="J4081" t="inlineStr">
        <is>
          <t>Nhân sự</t>
        </is>
      </c>
      <c r="K4081" t="inlineStr">
        <is>
          <t>2 - 3 Năm</t>
        </is>
      </c>
      <c r="L4081" s="8">
        <f>HYPERLINK("https://careerviet.vn/vi/tim-viec-lam/nhan-vien-nhan-su-ha-noi.35C6A653.html","Xem chi tiết")</f>
        <v/>
      </c>
    </row>
    <row r="4082">
      <c r="B4082" s="9" t="n">
        <v>4080</v>
      </c>
      <c r="C4082" s="10" t="inlineStr">
        <is>
          <t>SUP VISUAL MERCHANDISING</t>
        </is>
      </c>
      <c r="D4082" s="10" t="inlineStr">
        <is>
          <t>Công Ty TNHH Thời Trang Gior (Nhãn Hàng Thời Trang Giordano)</t>
        </is>
      </c>
      <c r="E4082" s="10" t="inlineStr">
        <is>
          <t>Lương:22 Tr - 25 Tr VND</t>
        </is>
      </c>
      <c r="F4082" s="10" t="inlineStr">
        <is>
          <t>Hồ Chí Minh</t>
        </is>
      </c>
      <c r="G4082" s="10" t="inlineStr">
        <is>
          <t>31-03-2026</t>
        </is>
      </c>
      <c r="H4082" s="10" t="inlineStr">
        <is>
          <t>31/03/2026</t>
        </is>
      </c>
      <c r="I4082" s="10" t="inlineStr">
        <is>
          <t>17/03/2026</t>
        </is>
      </c>
      <c r="J4082" s="10" t="inlineStr">
        <is>
          <t>Tiếp thị / Marketing, Bán lẻ / Bán sỉ, Dệt may / Da giày / Thời trang</t>
        </is>
      </c>
      <c r="K4082" s="10" t="inlineStr">
        <is>
          <t>2 - 5 Năm</t>
        </is>
      </c>
      <c r="L4082" s="11">
        <f>HYPERLINK("https://careerviet.vn/vi/tim-viec-lam/sup-visual-merchandising.35C6A373.html","Xem chi tiết")</f>
        <v/>
      </c>
      <c r="M4082" s="10" t="n"/>
    </row>
    <row r="4083">
      <c r="B4083" s="7" t="n">
        <v>4081</v>
      </c>
      <c r="C4083" t="inlineStr">
        <is>
          <t>Phó Phòng Xuất Nhập Khẩu</t>
        </is>
      </c>
      <c r="D4083" t="inlineStr">
        <is>
          <t>Công Ty TNHH Tập Đoàn Rita Võ</t>
        </is>
      </c>
      <c r="E4083" t="inlineStr">
        <is>
          <t>Lương:Cạnh tranh</t>
        </is>
      </c>
      <c r="F4083" t="inlineStr">
        <is>
          <t>Hồ Chí Minh</t>
        </is>
      </c>
      <c r="G4083" t="inlineStr">
        <is>
          <t>30-04-2026</t>
        </is>
      </c>
      <c r="H4083" t="inlineStr">
        <is>
          <t>30/04/2026</t>
        </is>
      </c>
      <c r="I4083" t="inlineStr">
        <is>
          <t>17/03/2026</t>
        </is>
      </c>
      <c r="J4083" t="inlineStr">
        <is>
          <t>Xuất nhập khẩu, Thu mua / Vật tư</t>
        </is>
      </c>
      <c r="K4083" t="inlineStr">
        <is>
          <t>5 - 7 Năm</t>
        </is>
      </c>
      <c r="L4083" s="8">
        <f>HYPERLINK("https://careerviet.vn/vi/tim-viec-lam/pho-phong-xuat-nhap-khau.35C6A602.html","Xem chi tiết")</f>
        <v/>
      </c>
    </row>
    <row r="4084">
      <c r="B4084" s="9" t="n">
        <v>4082</v>
      </c>
      <c r="C4084" s="10" t="inlineStr">
        <is>
          <t>Thư ký Dự Án (Công trình)</t>
        </is>
      </c>
      <c r="D4084" s="10" t="inlineStr">
        <is>
          <t>CÔNG TY TNHH ĐẦU TƯ VÀ PHÁT TRIỂN LÊ PHONG</t>
        </is>
      </c>
      <c r="E4084" s="10" t="inlineStr">
        <is>
          <t>Lương:Cạnh tranh</t>
        </is>
      </c>
      <c r="F4084" s="10" t="inlineStr">
        <is>
          <t>Hồ Chí MinhBình Dương</t>
        </is>
      </c>
      <c r="G4084" s="10" t="inlineStr">
        <is>
          <t>31-03-2026</t>
        </is>
      </c>
      <c r="H4084" s="10" t="inlineStr">
        <is>
          <t>31/03/2026</t>
        </is>
      </c>
      <c r="I4084" s="10" t="inlineStr">
        <is>
          <t>17/03/2026</t>
        </is>
      </c>
      <c r="J4084" s="10" t="inlineStr">
        <is>
          <t>Bất động sản, Xây dựng</t>
        </is>
      </c>
      <c r="K4084" s="10" t="inlineStr">
        <is>
          <t>N/A</t>
        </is>
      </c>
      <c r="L4084" s="11">
        <f>HYPERLINK("https://careerviet.vn/vi/tim-viec-lam/thu-ky-du-an-cong-trinh.35C6A412.html","Xem chi tiết")</f>
        <v/>
      </c>
      <c r="M4084" s="10" t="n"/>
    </row>
    <row r="4085">
      <c r="B4085" s="7" t="n">
        <v>4083</v>
      </c>
      <c r="C4085" t="inlineStr">
        <is>
          <t>HO - Chuyên viên Cụm dịch vụ tín dụng (KV Bình Dương)</t>
        </is>
      </c>
      <c r="D4085" t="inlineStr">
        <is>
          <t>Ngân Hàng TMCP Phương Đông - OCB</t>
        </is>
      </c>
      <c r="E4085" t="inlineStr">
        <is>
          <t>Lương:10 Tr - 12 Tr VND</t>
        </is>
      </c>
      <c r="F4085" t="inlineStr">
        <is>
          <t>Bình Dương</t>
        </is>
      </c>
      <c r="G4085" t="inlineStr">
        <is>
          <t>30-04-2026</t>
        </is>
      </c>
      <c r="H4085" t="inlineStr">
        <is>
          <t>30/04/2026</t>
        </is>
      </c>
      <c r="I4085" t="inlineStr">
        <is>
          <t>17/03/2026</t>
        </is>
      </c>
      <c r="J4085" t="inlineStr">
        <is>
          <t>Ngân hàng</t>
        </is>
      </c>
      <c r="K4085" t="inlineStr">
        <is>
          <t>3 - 5 Năm</t>
        </is>
      </c>
      <c r="L4085" s="8">
        <f>HYPERLINK("https://careerviet.vn/vi/tim-viec-lam/ho-chuyen-vien-cum-dich-vu-tin-dung-kv-binh-duong.35C6A3BB.html","Xem chi tiết")</f>
        <v/>
      </c>
    </row>
    <row r="4086">
      <c r="B4086" s="9" t="n">
        <v>4084</v>
      </c>
      <c r="C4086" s="10" t="inlineStr">
        <is>
          <t>Senior Sales Specialist/ Sales Manager</t>
        </is>
      </c>
      <c r="D4086" s="10" t="inlineStr">
        <is>
          <t>Long Hải Securitas</t>
        </is>
      </c>
      <c r="E4086" s="10" t="inlineStr">
        <is>
          <t>Lương:1.000 - 2.000 USD</t>
        </is>
      </c>
      <c r="F4086" s="10" t="inlineStr">
        <is>
          <t>Hà NộiHồ Chí MinhBình Dương</t>
        </is>
      </c>
      <c r="G4086" s="10" t="inlineStr">
        <is>
          <t>31-03-2026</t>
        </is>
      </c>
      <c r="H4086" s="10" t="inlineStr">
        <is>
          <t>31/03/2026</t>
        </is>
      </c>
      <c r="I4086" s="10" t="inlineStr">
        <is>
          <t>17/03/2026</t>
        </is>
      </c>
      <c r="J4086" s="10" t="inlineStr">
        <is>
          <t>Bán hàng / Kinh doanh, Bán lẻ / Bán sỉ, Bán Hàng Kỹ Thuật</t>
        </is>
      </c>
      <c r="K4086" s="10" t="inlineStr">
        <is>
          <t>5 - 15 Năm</t>
        </is>
      </c>
      <c r="L4086" s="11">
        <f>HYPERLINK("https://careerviet.vn/vi/tim-viec-lam/senior-sales-specialist-sales-manager.35C691CD.html","Xem chi tiết")</f>
        <v/>
      </c>
      <c r="M4086" s="10" t="n"/>
    </row>
    <row r="4087">
      <c r="B4087" s="7" t="n">
        <v>4085</v>
      </c>
      <c r="C4087" t="inlineStr">
        <is>
          <t>TRƯỞNG BỘ PHẬN THIẾT KẾ</t>
        </is>
      </c>
      <c r="D4087" t="inlineStr">
        <is>
          <t>CÔNG TY CỔ PHẦN BẤT ĐỘNG SẢN EXIMRS</t>
        </is>
      </c>
      <c r="E4087" t="inlineStr">
        <is>
          <t>Lương:Cạnh tranh</t>
        </is>
      </c>
      <c r="F4087" t="inlineStr">
        <is>
          <t>Hồ Chí Minh</t>
        </is>
      </c>
      <c r="G4087" t="inlineStr">
        <is>
          <t>30-04-2026</t>
        </is>
      </c>
      <c r="H4087" t="inlineStr">
        <is>
          <t>30/04/2026</t>
        </is>
      </c>
      <c r="I4087" t="inlineStr">
        <is>
          <t>17/03/2026</t>
        </is>
      </c>
      <c r="J4087" t="inlineStr">
        <is>
          <t>Tiếp thị / Marketing, Bất động sản</t>
        </is>
      </c>
      <c r="K4087" t="inlineStr">
        <is>
          <t>2 - 4 Năm</t>
        </is>
      </c>
      <c r="L4087" s="8">
        <f>HYPERLINK("https://careerviet.vn/vi/tim-viec-lam/truong-bo-phan-thiet-ke.35C6A601.html","Xem chi tiết")</f>
        <v/>
      </c>
    </row>
    <row r="4088">
      <c r="B4088" s="9" t="n">
        <v>4086</v>
      </c>
      <c r="C4088" s="10" t="inlineStr">
        <is>
          <t>Trưởng phòng Kế hoạch Sản xuất</t>
        </is>
      </c>
      <c r="D4088" s="10" t="inlineStr">
        <is>
          <t>Công ty Cổ Phần Công nghiệp In &amp; Bao Bì Khang</t>
        </is>
      </c>
      <c r="E4088" s="10" t="inlineStr">
        <is>
          <t>Lương:22 Tr - 25 Tr VND</t>
        </is>
      </c>
      <c r="F4088" s="10" t="inlineStr">
        <is>
          <t>Hồ Chí Minh</t>
        </is>
      </c>
      <c r="G4088" s="10" t="inlineStr">
        <is>
          <t>31-03-2026</t>
        </is>
      </c>
      <c r="H4088" s="10" t="inlineStr">
        <is>
          <t>31/03/2026</t>
        </is>
      </c>
      <c r="I4088" s="10" t="inlineStr">
        <is>
          <t>17/03/2026</t>
        </is>
      </c>
      <c r="J4088" s="10" t="inlineStr">
        <is>
          <t>Sản xuất / Vận hành sản xuất, In ấn / Xuất bản, Ngành khác</t>
        </is>
      </c>
      <c r="K4088" s="10" t="inlineStr">
        <is>
          <t>2 - 5 Năm</t>
        </is>
      </c>
      <c r="L4088" s="11">
        <f>HYPERLINK("https://careerviet.vn/vi/tim-viec-lam/truong-phong-ke-hoach-san-xuat.35C6A30F.html","Xem chi tiết")</f>
        <v/>
      </c>
      <c r="M4088" s="10" t="n"/>
    </row>
    <row r="4089">
      <c r="B4089" s="7" t="n">
        <v>4087</v>
      </c>
      <c r="C4089" t="inlineStr">
        <is>
          <t>Kế Toán Dự Án</t>
        </is>
      </c>
      <c r="D4089" t="inlineStr">
        <is>
          <t>CÔNG TY CỔ PHẦN RIVIERA</t>
        </is>
      </c>
      <c r="E4089" t="inlineStr">
        <is>
          <t>Lương:10 Tr - 15 Tr VND</t>
        </is>
      </c>
      <c r="F4089" t="inlineStr">
        <is>
          <t>Hồ Chí Minh</t>
        </is>
      </c>
      <c r="G4089" t="inlineStr">
        <is>
          <t>07-04-2026</t>
        </is>
      </c>
      <c r="H4089" t="inlineStr">
        <is>
          <t>07/04/2026</t>
        </is>
      </c>
      <c r="I4089" t="inlineStr">
        <is>
          <t>17/03/2026</t>
        </is>
      </c>
      <c r="J4089" t="inlineStr">
        <is>
          <t>Dịch vụ khách hàng, Luật / Pháp lý, Nhân sự</t>
        </is>
      </c>
      <c r="K4089" t="inlineStr">
        <is>
          <t>2 - 5 Năm</t>
        </is>
      </c>
      <c r="L4089" s="8">
        <f>HYPERLINK("https://careerviet.vn/vi/tim-viec-lam/ke-toan-du-an.35C6B66E.html","Xem chi tiết")</f>
        <v/>
      </c>
    </row>
    <row r="4090">
      <c r="B4090" s="9" t="n">
        <v>4088</v>
      </c>
      <c r="C4090" s="10" t="inlineStr">
        <is>
          <t>Chuyên viên Tư vấn Tài chính Cá nhân - Vùng Nam Hà Nội (Hà Đông, Thanh Trì, Đống Đa, Thanh Xuân)</t>
        </is>
      </c>
      <c r="D4090" s="10" t="inlineStr">
        <is>
          <t>Ngân Hàng TMCP Quốc Tế Việt Nam</t>
        </is>
      </c>
      <c r="E4090" s="10" t="inlineStr">
        <is>
          <t>Lương:10 Tr - 20 Tr VND</t>
        </is>
      </c>
      <c r="F4090" s="10" t="inlineStr">
        <is>
          <t>Hà Nội</t>
        </is>
      </c>
      <c r="G4090" s="10" t="inlineStr">
        <is>
          <t>06-04-2026</t>
        </is>
      </c>
      <c r="H4090" s="10" t="inlineStr">
        <is>
          <t>06/04/2026</t>
        </is>
      </c>
      <c r="I4090" s="10" t="inlineStr">
        <is>
          <t>17/03/2026</t>
        </is>
      </c>
      <c r="J4090" s="10" t="inlineStr">
        <is>
          <t>Bán hàng / Kinh doanh, Ngân hàng, Tài chính / Đầu tư</t>
        </is>
      </c>
      <c r="K4090" s="10" t="inlineStr">
        <is>
          <t>Chưa có kinh nghiệm</t>
        </is>
      </c>
      <c r="L4090" s="11">
        <f>HYPERLINK("https://careerviet.vn/vi/tim-viec-lam/chuyen-vien-tu-van-tai-chinh-ca-nhan-vung-nam-ha-noi-ha-dong-thanh-tri-dong-da-thanh-xuan.35C64C01.html","Xem chi tiết")</f>
        <v/>
      </c>
      <c r="M4090" s="10" t="n"/>
    </row>
    <row r="4091">
      <c r="B4091" s="7" t="n">
        <v>4089</v>
      </c>
      <c r="C4091" t="inlineStr">
        <is>
          <t>Nhân viên kế toán</t>
        </is>
      </c>
      <c r="D4091" t="inlineStr">
        <is>
          <t>CÔNG TY TNHH CHẾ TẠO BƠM TS</t>
        </is>
      </c>
      <c r="E4091" t="inlineStr">
        <is>
          <t>Lương:12 Tr - 18 Tr VND</t>
        </is>
      </c>
      <c r="F4091" t="inlineStr">
        <is>
          <t>Hồ Chí MinhBình Dương</t>
        </is>
      </c>
      <c r="G4091" t="inlineStr">
        <is>
          <t>30-04-2026</t>
        </is>
      </c>
      <c r="H4091" t="inlineStr">
        <is>
          <t>30/04/2026</t>
        </is>
      </c>
      <c r="I4091" t="inlineStr">
        <is>
          <t>17/03/2026</t>
        </is>
      </c>
      <c r="J4091" t="inlineStr">
        <is>
          <t>Kế toán / Kiểm toán</t>
        </is>
      </c>
      <c r="K4091" t="inlineStr">
        <is>
          <t>1 - 5 Năm</t>
        </is>
      </c>
      <c r="L4091" s="8">
        <f>HYPERLINK("https://careerviet.vn/vi/tim-viec-lam/nhan-vien-ke-toan.35C6B68A.html","Xem chi tiết")</f>
        <v/>
      </c>
    </row>
    <row r="4092">
      <c r="B4092" s="9" t="n">
        <v>4090</v>
      </c>
      <c r="C4092" s="10" t="inlineStr">
        <is>
          <t>Manufacturing Excellences Manager</t>
        </is>
      </c>
      <c r="D4092" s="10" t="inlineStr">
        <is>
          <t>Coherent Corp.</t>
        </is>
      </c>
      <c r="E4092" s="10" t="inlineStr">
        <is>
          <t>Lương:2.500 - 3.000 USD</t>
        </is>
      </c>
      <c r="F4092" s="10" t="inlineStr">
        <is>
          <t>Bình Dương</t>
        </is>
      </c>
      <c r="G4092" s="10" t="inlineStr">
        <is>
          <t>02-04-2026</t>
        </is>
      </c>
      <c r="H4092" s="10" t="inlineStr">
        <is>
          <t>02/04/2026</t>
        </is>
      </c>
      <c r="I4092" s="10" t="inlineStr">
        <is>
          <t>17/03/2026</t>
        </is>
      </c>
      <c r="J4092" s="10" t="inlineStr">
        <is>
          <t>Sản xuất / Vận hành sản xuất, Cơ khí / Ô tô / Tự động hóa</t>
        </is>
      </c>
      <c r="K4092" s="10" t="inlineStr">
        <is>
          <t>Trên 8 Năm</t>
        </is>
      </c>
      <c r="L4092" s="11">
        <f>HYPERLINK("https://careerviet.vn/vi/tim-viec-lam/manufacturing-excellences-manager.35C6A3F8.html","Xem chi tiết")</f>
        <v/>
      </c>
      <c r="M4092" s="10" t="n"/>
    </row>
    <row r="4093">
      <c r="B4093" s="7" t="n">
        <v>4091</v>
      </c>
      <c r="C4093" t="inlineStr">
        <is>
          <t>Automation Engineer - Kỹ Sư Tự động hoá</t>
        </is>
      </c>
      <c r="D4093" t="inlineStr">
        <is>
          <t>Công Ty TNHH Fujikura Electronics Việt Nam</t>
        </is>
      </c>
      <c r="E4093" t="inlineStr">
        <is>
          <t>Lương:13 Tr - 16 Tr VND</t>
        </is>
      </c>
      <c r="F4093" t="inlineStr">
        <is>
          <t>Đồng Nai</t>
        </is>
      </c>
      <c r="G4093" t="inlineStr">
        <is>
          <t>31-03-2026</t>
        </is>
      </c>
      <c r="H4093" t="inlineStr">
        <is>
          <t>31/03/2026</t>
        </is>
      </c>
      <c r="I4093" t="inlineStr">
        <is>
          <t>17/03/2026</t>
        </is>
      </c>
      <c r="J4093" t="inlineStr">
        <is>
          <t>Cơ khí / Ô tô / Tự động hóa</t>
        </is>
      </c>
      <c r="K4093" t="inlineStr">
        <is>
          <t>2 - 3 NămĐịa điểm</t>
        </is>
      </c>
      <c r="L4093" s="8">
        <f>HYPERLINK("https://careerviet.vn/vi/tim-viec-lam/automation-engineer-ky-su-tu-dong-hoa.35C6A4CF.html","Xem chi tiết")</f>
        <v/>
      </c>
    </row>
    <row r="4094">
      <c r="B4094" s="9" t="n">
        <v>4092</v>
      </c>
      <c r="C4094" s="10" t="inlineStr">
        <is>
          <t>Nhân viên Mua hàng thực phẩm</t>
        </is>
      </c>
      <c r="D4094" s="10" t="inlineStr">
        <is>
          <t>CÔNG TY CỔ PHẦN THƯƠNG MẠI DỊCH VỤ AN ĐẠI DƯƠNG</t>
        </is>
      </c>
      <c r="E4094" s="10" t="inlineStr">
        <is>
          <t>Lương:10 Tr - 12 Tr VND</t>
        </is>
      </c>
      <c r="F4094" s="10" t="inlineStr">
        <is>
          <t>Hà Nội</t>
        </is>
      </c>
      <c r="G4094" s="10" t="inlineStr">
        <is>
          <t>06-04-2026</t>
        </is>
      </c>
      <c r="H4094" s="10" t="inlineStr">
        <is>
          <t>06/04/2026</t>
        </is>
      </c>
      <c r="I4094" s="10" t="inlineStr">
        <is>
          <t>17/03/2026</t>
        </is>
      </c>
      <c r="J4094" s="10" t="inlineStr">
        <is>
          <t>Hành chính / Thư ký, Thu mua / Vật tư</t>
        </is>
      </c>
      <c r="K4094" s="10" t="inlineStr">
        <is>
          <t>1 - 5 Năm</t>
        </is>
      </c>
      <c r="L4094" s="11">
        <f>HYPERLINK("https://careerviet.vn/vi/tim-viec-lam/nhan-vien-mua-hang-thuc-pham.35C64A39.html","Xem chi tiết")</f>
        <v/>
      </c>
      <c r="M4094" s="10" t="n"/>
    </row>
    <row r="4095">
      <c r="B4095" s="7" t="n">
        <v>4093</v>
      </c>
      <c r="C4095" t="inlineStr">
        <is>
          <t>Customer Service Executive (Chinese or English Speaking)</t>
        </is>
      </c>
      <c r="D4095" t="inlineStr">
        <is>
          <t>Công Ty TNHH SML Việt Nam</t>
        </is>
      </c>
      <c r="E4095" t="inlineStr">
        <is>
          <t>Lương:Cạnh tranh</t>
        </is>
      </c>
      <c r="F4095" t="inlineStr">
        <is>
          <t>Bình Dương</t>
        </is>
      </c>
      <c r="G4095" t="inlineStr">
        <is>
          <t>08-04-2026</t>
        </is>
      </c>
      <c r="H4095" t="inlineStr">
        <is>
          <t>08/04/2026</t>
        </is>
      </c>
      <c r="I4095" t="inlineStr">
        <is>
          <t>17/03/2026</t>
        </is>
      </c>
      <c r="J4095" t="inlineStr">
        <is>
          <t>Dệt may / Da giày / Thời trang, In ấn / Xuất bản, Dịch vụ khách hàng</t>
        </is>
      </c>
      <c r="K4095" t="inlineStr">
        <is>
          <t>1 - 5 Năm</t>
        </is>
      </c>
      <c r="L4095" s="8">
        <f>HYPERLINK("https://careerviet.vn/vi/tim-viec-lam/customer-service-executive-chinese-or-english-speaking.35C6B69D.html","Xem chi tiết")</f>
        <v/>
      </c>
    </row>
    <row r="4096">
      <c r="B4096" s="9" t="n">
        <v>4094</v>
      </c>
      <c r="C4096" s="10" t="inlineStr">
        <is>
          <t>Nhân Viên Lái Xe</t>
        </is>
      </c>
      <c r="D4096" s="10" t="inlineStr">
        <is>
          <t>Công ty Cổ Phần Dược Phẩm Việt Hà</t>
        </is>
      </c>
      <c r="E4096" s="10" t="inlineStr">
        <is>
          <t>Lương:Lên đến 12 Tr VND</t>
        </is>
      </c>
      <c r="F4096" s="10" t="inlineStr">
        <is>
          <t>Hồ Chí Minh</t>
        </is>
      </c>
      <c r="G4096" s="10" t="inlineStr">
        <is>
          <t>06-04-2026</t>
        </is>
      </c>
      <c r="H4096" s="10" t="inlineStr">
        <is>
          <t>06/04/2026</t>
        </is>
      </c>
      <c r="I4096" s="10" t="inlineStr">
        <is>
          <t>17/03/2026</t>
        </is>
      </c>
      <c r="J4096" s="10" t="inlineStr">
        <is>
          <t>Dịch vụ khách hàng, Vận chuyển / Giao nhận / Kho vận, Lao động phổ thông</t>
        </is>
      </c>
      <c r="K4096" s="10" t="inlineStr">
        <is>
          <t>Trên 5 Năm</t>
        </is>
      </c>
      <c r="L4096" s="11">
        <f>HYPERLINK("https://careerviet.vn/vi/tim-viec-lam/nhan-vien-lai-xe.35C64A56.html","Xem chi tiết")</f>
        <v/>
      </c>
      <c r="M4096" s="10" t="n"/>
    </row>
    <row r="4097">
      <c r="B4097" s="7" t="n">
        <v>4095</v>
      </c>
      <c r="C4097" t="inlineStr">
        <is>
          <t>Trưởng phòng Kế hoạch Tổng hợp</t>
        </is>
      </c>
      <c r="D4097" t="inlineStr">
        <is>
          <t>Công ty CP Bệnh Viện Đa Khoa Quốc Tế Vinmec</t>
        </is>
      </c>
      <c r="E4097" t="inlineStr">
        <is>
          <t>Lương:50 Tr - 70 Tr VND</t>
        </is>
      </c>
      <c r="F4097" t="inlineStr">
        <is>
          <t>Hà Nội</t>
        </is>
      </c>
      <c r="G4097" t="inlineStr">
        <is>
          <t>06-04-2026</t>
        </is>
      </c>
      <c r="H4097" t="inlineStr">
        <is>
          <t>06/04/2026</t>
        </is>
      </c>
      <c r="I4097" t="inlineStr">
        <is>
          <t>17/03/2026</t>
        </is>
      </c>
      <c r="J4097" t="inlineStr">
        <is>
          <t>Y tế / Chăm sóc sức khỏe / Thẩm mỹ / Làm đẹp</t>
        </is>
      </c>
      <c r="K4097" t="inlineStr">
        <is>
          <t>7 - 10 Năm</t>
        </is>
      </c>
      <c r="L4097" s="8">
        <f>HYPERLINK("https://careerviet.vn/vi/tim-viec-lam/truong-phong-ke-hoach-tong-hop.35C64B21.html","Xem chi tiết")</f>
        <v/>
      </c>
    </row>
    <row r="4098">
      <c r="B4098" s="9" t="n">
        <v>4096</v>
      </c>
      <c r="C4098" s="10" t="inlineStr">
        <is>
          <t>Trưởng phòng Dịch vụ xuất bản</t>
        </is>
      </c>
      <c r="D4098" s="10" t="inlineStr">
        <is>
          <t>CÔNG TY CỔ PHẦN ZENBOOKS</t>
        </is>
      </c>
      <c r="E4098" s="10" t="inlineStr">
        <is>
          <t>Lương:17 Tr - 20 Tr VND</t>
        </is>
      </c>
      <c r="F4098" s="10" t="inlineStr">
        <is>
          <t>Hồ Chí Minh</t>
        </is>
      </c>
      <c r="G4098" s="10" t="inlineStr">
        <is>
          <t>06-04-2026</t>
        </is>
      </c>
      <c r="H4098" s="10" t="inlineStr">
        <is>
          <t>06/04/2026</t>
        </is>
      </c>
      <c r="I4098" s="10" t="inlineStr">
        <is>
          <t>17/03/2026</t>
        </is>
      </c>
      <c r="J4098" s="10" t="inlineStr">
        <is>
          <t>Bán lẻ / Bán sỉ, In ấn / Xuất bản</t>
        </is>
      </c>
      <c r="K4098" s="10" t="inlineStr">
        <is>
          <t>1 - 2 Năm</t>
        </is>
      </c>
      <c r="L4098" s="11">
        <f>HYPERLINK("https://careerviet.vn/vi/tim-viec-lam/truong-phong-dich-vu-xuat-ban.35C64A5A.html","Xem chi tiết")</f>
        <v/>
      </c>
      <c r="M4098" s="10" t="n"/>
    </row>
    <row r="4099">
      <c r="B4099" s="7" t="n">
        <v>4097</v>
      </c>
      <c r="C4099" t="inlineStr">
        <is>
          <t>Trưởng bộ phận nghiên cứu và phát triển sản phẩm tín dụng - Khối Khách hàng doanh nghiệp</t>
        </is>
      </c>
      <c r="D4099" t="inlineStr">
        <is>
          <t>Ngân hàng TMCP Đại Chúng Việt Nam - PVcomBank</t>
        </is>
      </c>
      <c r="E4099" t="inlineStr">
        <is>
          <t>Lương:Cạnh tranh</t>
        </is>
      </c>
      <c r="F4099" t="inlineStr">
        <is>
          <t>Hà Nội</t>
        </is>
      </c>
      <c r="G4099" t="inlineStr">
        <is>
          <t>06-04-2026</t>
        </is>
      </c>
      <c r="H4099" t="inlineStr">
        <is>
          <t>06/04/2026</t>
        </is>
      </c>
      <c r="I4099" t="inlineStr">
        <is>
          <t>17/03/2026</t>
        </is>
      </c>
      <c r="J4099" t="inlineStr">
        <is>
          <t>Ngân hàng</t>
        </is>
      </c>
      <c r="K4099" t="inlineStr">
        <is>
          <t>3 - 10 Năm</t>
        </is>
      </c>
      <c r="L4099" s="8">
        <f>HYPERLINK("https://careerviet.vn/vi/tim-viec-lam/truong-bo-phan-nghien-cuu-va-phat-trien-san-pham-tin-dung-khoi-khach-hang-doanh-nghiep.35C64BCD.html","Xem chi tiết")</f>
        <v/>
      </c>
    </row>
    <row r="4100">
      <c r="B4100" s="9" t="n">
        <v>4098</v>
      </c>
      <c r="C4100" s="10" t="inlineStr">
        <is>
          <t>ĐIỀU HÀNH KINH DOANH KÊNH KA - (KA Supervisor)</t>
        </is>
      </c>
      <c r="D4100" s="10" t="inlineStr">
        <is>
          <t>Công Ty Cổ phần Tập Đoàn KIDO</t>
        </is>
      </c>
      <c r="E4100" s="10" t="inlineStr">
        <is>
          <t>Lương:Cạnh tranh</t>
        </is>
      </c>
      <c r="F4100" s="10" t="inlineStr">
        <is>
          <t>Bình DươngĐồng Nai</t>
        </is>
      </c>
      <c r="G4100" s="10" t="inlineStr">
        <is>
          <t>25-03-2026</t>
        </is>
      </c>
      <c r="H4100" s="10" t="inlineStr">
        <is>
          <t>25/03/2026</t>
        </is>
      </c>
      <c r="I4100" s="10" t="inlineStr">
        <is>
          <t>17/03/2026</t>
        </is>
      </c>
      <c r="J4100" s="10" t="inlineStr">
        <is>
          <t>Bán hàng / Kinh doanh</t>
        </is>
      </c>
      <c r="K4100" s="10" t="inlineStr">
        <is>
          <t>null - null Năm</t>
        </is>
      </c>
      <c r="L4100" s="11">
        <f>HYPERLINK("https://careerviet.vn/vi/tim-viec-lam/dieu-hanh-kinh-doanh-kenh-ka-ka-supervisor.35C68ED3.html","Xem chi tiết")</f>
        <v/>
      </c>
      <c r="M4100" s="10" t="n"/>
    </row>
    <row r="4101">
      <c r="B4101" s="7" t="n">
        <v>4099</v>
      </c>
      <c r="C4101" t="inlineStr">
        <is>
          <t>Nhân viên vận hành máy (Tiến Nga/ An Phước)</t>
        </is>
      </c>
      <c r="D4101" t="inlineStr">
        <is>
          <t>Công ty TNHH Olam Việt Nam</t>
        </is>
      </c>
      <c r="E4101" t="inlineStr">
        <is>
          <t>Lương:8 Tr - 9 Tr VND</t>
        </is>
      </c>
      <c r="F4101" t="inlineStr">
        <is>
          <t>Đồng Nai</t>
        </is>
      </c>
      <c r="G4101" t="inlineStr">
        <is>
          <t>06-04-2026</t>
        </is>
      </c>
      <c r="H4101" t="inlineStr">
        <is>
          <t>06/04/2026</t>
        </is>
      </c>
      <c r="I4101" t="inlineStr">
        <is>
          <t>17/03/2026</t>
        </is>
      </c>
      <c r="J4101" t="inlineStr">
        <is>
          <t>Sản xuất / Vận hành sản xuấtBằng cấpTrung cấpĐộ tuổiKhông giới hạn tuổi</t>
        </is>
      </c>
      <c r="K4101" t="inlineStr">
        <is>
          <t>N/A</t>
        </is>
      </c>
      <c r="L4101" s="8">
        <f>HYPERLINK("https://careerviet.vn/vi/tim-viec-lam/nhan-vien-van-hanh-may-tien-nga-an-phuoc.35C64B76.html","Xem chi tiết")</f>
        <v/>
      </c>
    </row>
    <row r="4102">
      <c r="B4102" s="9" t="n">
        <v>4100</v>
      </c>
      <c r="C4102" s="10" t="inlineStr">
        <is>
          <t>Nhân Viên Kinh Doanh (B2B)</t>
        </is>
      </c>
      <c r="D4102" s="10" t="inlineStr">
        <is>
          <t>Công ty CP TS24</t>
        </is>
      </c>
      <c r="E4102" s="10" t="inlineStr">
        <is>
          <t>Lương:12 Tr - 20 Tr VND</t>
        </is>
      </c>
      <c r="F4102" s="10" t="inlineStr">
        <is>
          <t>Hồ Chí Minh</t>
        </is>
      </c>
      <c r="G4102" s="10" t="inlineStr">
        <is>
          <t>24-03-2026</t>
        </is>
      </c>
      <c r="H4102" s="10" t="inlineStr">
        <is>
          <t>24/03/2026</t>
        </is>
      </c>
      <c r="I4102" s="10" t="inlineStr">
        <is>
          <t>17/03/2026</t>
        </is>
      </c>
      <c r="J4102" s="10" t="inlineStr">
        <is>
          <t>Bán hàng / Kinh doanh, Tư vấn, CNTT - Phần mềm</t>
        </is>
      </c>
      <c r="K4102" s="10" t="inlineStr">
        <is>
          <t>1 - 5 Năm</t>
        </is>
      </c>
      <c r="L4102" s="11">
        <f>HYPERLINK("https://careerviet.vn/vi/tim-viec-lam/nhan-vien-kinh-doanh-b2b.35C68D91.html","Xem chi tiết")</f>
        <v/>
      </c>
      <c r="M4102" s="10" t="n"/>
    </row>
    <row r="4103">
      <c r="B4103" s="7" t="n">
        <v>4101</v>
      </c>
      <c r="C4103" t="inlineStr">
        <is>
          <t>Hygiene Specialist</t>
        </is>
      </c>
      <c r="D4103" t="inlineStr">
        <is>
          <t>CÔNG TY TNHH AMERICA INDOCHINA MANAGEMENT VIETNAM</t>
        </is>
      </c>
      <c r="E4103" t="inlineStr">
        <is>
          <t>Lương:Cạnh tranh</t>
        </is>
      </c>
      <c r="F4103" t="inlineStr">
        <is>
          <t>Hồ Chí Minh</t>
        </is>
      </c>
      <c r="G4103" t="inlineStr">
        <is>
          <t>08-03-2026</t>
        </is>
      </c>
      <c r="H4103" t="inlineStr">
        <is>
          <t>11/03/2026</t>
        </is>
      </c>
      <c r="I4103" t="inlineStr">
        <is>
          <t>17/03/2026</t>
        </is>
      </c>
      <c r="J4103" t="inlineStr">
        <is>
          <t>Nhà hàng / Khách sạn, Thực phẩm &amp; Đồ uống, Dịch vụ khách hàng</t>
        </is>
      </c>
      <c r="K4103" t="inlineStr">
        <is>
          <t>2 - 5 Năm</t>
        </is>
      </c>
      <c r="L4103" s="8">
        <f>HYPERLINK("https://careerviet.vn/vi/tim-viec-lam/hygiene-specialist.35C68F6D.html","Xem chi tiết")</f>
        <v/>
      </c>
    </row>
    <row r="4104">
      <c r="B4104" s="9" t="n">
        <v>4102</v>
      </c>
      <c r="C4104" s="10" t="inlineStr">
        <is>
          <t>Giám đốc bán hàng (Phụ trách mảng FX Sale) - Phòng Khách hàng - Khối Nguồn vốn và thị trường tài chính</t>
        </is>
      </c>
      <c r="D4104" s="10" t="inlineStr">
        <is>
          <t>Ngân hàng TMCP Đại Chúng Việt Nam - PVcomBank</t>
        </is>
      </c>
      <c r="E4104" s="10" t="inlineStr">
        <is>
          <t>Lương:Cạnh tranh</t>
        </is>
      </c>
      <c r="F4104" s="10" t="inlineStr">
        <is>
          <t>Hà Nội</t>
        </is>
      </c>
      <c r="G4104" s="10" t="inlineStr">
        <is>
          <t>06-04-2026</t>
        </is>
      </c>
      <c r="H4104" s="10" t="inlineStr">
        <is>
          <t>06/04/2026</t>
        </is>
      </c>
      <c r="I4104" s="10" t="inlineStr">
        <is>
          <t>17/03/2026</t>
        </is>
      </c>
      <c r="J4104" s="10" t="inlineStr">
        <is>
          <t>Ngân hàng</t>
        </is>
      </c>
      <c r="K4104" s="10" t="inlineStr">
        <is>
          <t>3 - 10 Năm</t>
        </is>
      </c>
      <c r="L4104" s="11">
        <f>HYPERLINK("https://careerviet.vn/vi/tim-viec-lam/giam-doc-ban-hang-phu-trach-mang-fx-sale-phong-khach-hang-khoi-nguon-von-va-thi-truong-tai-chinh.35C64B03.html","Xem chi tiết")</f>
        <v/>
      </c>
      <c r="M4104" s="10" t="n"/>
    </row>
    <row r="4105">
      <c r="B4105" s="7" t="n">
        <v>4103</v>
      </c>
      <c r="C4105" t="inlineStr">
        <is>
          <t>Điều Dưỡng Viên- Vinmec Ocean Park 2</t>
        </is>
      </c>
      <c r="D4105" t="inlineStr">
        <is>
          <t>Công ty CP Bệnh Viện Đa Khoa Quốc Tế Vinmec</t>
        </is>
      </c>
      <c r="E4105" t="inlineStr">
        <is>
          <t>Lương:12 Tr - 25 Tr VND</t>
        </is>
      </c>
      <c r="F4105" t="inlineStr">
        <is>
          <t>Hà NộiHưng Yên</t>
        </is>
      </c>
      <c r="G4105" t="inlineStr">
        <is>
          <t>06-04-2026</t>
        </is>
      </c>
      <c r="H4105" t="inlineStr">
        <is>
          <t>06/04/2026</t>
        </is>
      </c>
      <c r="I4105" t="inlineStr">
        <is>
          <t>17/03/2026</t>
        </is>
      </c>
      <c r="J4105" t="inlineStr">
        <is>
          <t>Y tế / Chăm sóc sức khỏe / Thẩm mỹ / Làm đẹp</t>
        </is>
      </c>
      <c r="K4105" t="inlineStr">
        <is>
          <t>1 - 5 Năm</t>
        </is>
      </c>
      <c r="L4105" s="8">
        <f>HYPERLINK("https://careerviet.vn/vi/tim-viec-lam/dieu-duong-vien-vinmec-ocean-park-2.35C64B27.html","Xem chi tiết")</f>
        <v/>
      </c>
    </row>
    <row r="4106">
      <c r="B4106" s="9" t="n">
        <v>4104</v>
      </c>
      <c r="C4106" s="10" t="inlineStr">
        <is>
          <t>Quản Lý Cửa Hàng Thanh Hóa</t>
        </is>
      </c>
      <c r="D4106" s="10" t="inlineStr">
        <is>
          <t>CÔNG TY CỔ PHẦN VUA NỆM</t>
        </is>
      </c>
      <c r="E4106" s="10" t="inlineStr">
        <is>
          <t>Lương:12 Tr - 15 Tr VND</t>
        </is>
      </c>
      <c r="F4106" s="10" t="inlineStr">
        <is>
          <t>Thanh Hóa</t>
        </is>
      </c>
      <c r="G4106" s="10" t="inlineStr">
        <is>
          <t>6</t>
        </is>
      </c>
      <c r="H4106" s="10" t="inlineStr">
        <is>
          <t>23/03/2026</t>
        </is>
      </c>
      <c r="I4106" s="10" t="inlineStr">
        <is>
          <t>17/03/2026</t>
        </is>
      </c>
      <c r="J4106" s="10" t="inlineStr">
        <is>
          <t>Bán lẻ / Bán sỉ, Bán hàng / Kinh doanh, Tư vấn</t>
        </is>
      </c>
      <c r="K4106" s="10" t="inlineStr">
        <is>
          <t>2 - 10 Năm</t>
        </is>
      </c>
      <c r="L4106" s="11">
        <f>HYPERLINK("https://careerviet.vn/vi/tim-viec-lam/quan-ly-cua-hang-thanh-hoa.35C68E6C.html","Xem chi tiết")</f>
        <v/>
      </c>
      <c r="M4106" s="10" t="n"/>
    </row>
    <row r="4107">
      <c r="B4107" s="7" t="n">
        <v>4105</v>
      </c>
      <c r="C4107" t="inlineStr">
        <is>
          <t>Thiết kế kỹ thuật ngành gỗ</t>
        </is>
      </c>
      <c r="D4107" t="inlineStr">
        <is>
          <t>Savimex Corporation</t>
        </is>
      </c>
      <c r="E4107" t="inlineStr">
        <is>
          <t>Lương:Cạnh tranh</t>
        </is>
      </c>
      <c r="F4107" t="inlineStr">
        <is>
          <t>Hồ Chí Minh</t>
        </is>
      </c>
      <c r="G4107" t="inlineStr">
        <is>
          <t>25-03-2026</t>
        </is>
      </c>
      <c r="H4107" t="inlineStr">
        <is>
          <t>25/03/2026</t>
        </is>
      </c>
      <c r="I4107" t="inlineStr">
        <is>
          <t>17/03/2026</t>
        </is>
      </c>
      <c r="J4107" t="inlineStr">
        <is>
          <t>Đồ gỗ, Nội ngoại thất, Mỹ thuật / Nghệ thuật / Thiết kế</t>
        </is>
      </c>
      <c r="K4107" t="inlineStr">
        <is>
          <t>Trên 3 Năm</t>
        </is>
      </c>
      <c r="L4107" s="8">
        <f>HYPERLINK("https://careerviet.vn/vi/tim-viec-lam/thiet-ke-ky-thuat-nganh-go.35C68CA6.html","Xem chi tiết")</f>
        <v/>
      </c>
    </row>
    <row r="4108">
      <c r="B4108" s="9" t="n">
        <v>4106</v>
      </c>
      <c r="C4108" s="10" t="inlineStr">
        <is>
          <t>Kỹ Sư Cơ Điện/ Điện/ Điện Nhẹ/ HVAC</t>
        </is>
      </c>
      <c r="D4108" s="10" t="inlineStr">
        <is>
          <t>Công Ty Cổ Phần ZME</t>
        </is>
      </c>
      <c r="E4108" s="10" t="inlineStr">
        <is>
          <t>Lương:20 Tr - 30 Tr VND</t>
        </is>
      </c>
      <c r="F4108" s="10" t="inlineStr">
        <is>
          <t>Hà Nội</t>
        </is>
      </c>
      <c r="G4108" s="10" t="inlineStr">
        <is>
          <t>08-03-2026</t>
        </is>
      </c>
      <c r="H4108" s="10" t="inlineStr">
        <is>
          <t>15/03/2026</t>
        </is>
      </c>
      <c r="I4108" s="10" t="inlineStr">
        <is>
          <t>17/03/2026</t>
        </is>
      </c>
      <c r="J4108" s="10" t="inlineStr">
        <is>
          <t>Điện / Điện tử / Điện lạnh / Điện công nghiệp, Cơ khí / Ô tô / Tự động hóa, Bảo trì / Sửa chữa</t>
        </is>
      </c>
      <c r="K4108" s="10" t="inlineStr">
        <is>
          <t>Lên đến 3 Năm</t>
        </is>
      </c>
      <c r="L4108" s="11">
        <f>HYPERLINK("https://careerviet.vn/vi/tim-viec-lam/ky-su-co-dien-dien-dien-nhe-hvac.35C68CF5.html","Xem chi tiết")</f>
        <v/>
      </c>
      <c r="M4108" s="10" t="n"/>
    </row>
    <row r="4109">
      <c r="B4109" s="7" t="n">
        <v>4107</v>
      </c>
      <c r="C4109" t="inlineStr">
        <is>
          <t>Nhân viên Kỹ thuật di truyền, giống</t>
        </is>
      </c>
      <c r="D4109" t="inlineStr">
        <is>
          <t>Hệ thống Vĩnh Tân</t>
        </is>
      </c>
      <c r="E4109" t="inlineStr">
        <is>
          <t>Lương:Cạnh tranh</t>
        </is>
      </c>
      <c r="F4109" t="inlineStr">
        <is>
          <t>Hồ Chí Minh</t>
        </is>
      </c>
      <c r="G4109" t="inlineStr">
        <is>
          <t>31-03-2026</t>
        </is>
      </c>
      <c r="H4109" t="inlineStr">
        <is>
          <t>31/03/2026</t>
        </is>
      </c>
      <c r="I4109" t="inlineStr">
        <is>
          <t>17/03/2026</t>
        </is>
      </c>
      <c r="J4109" t="inlineStr">
        <is>
          <t>Chăn nuôi / Thú y</t>
        </is>
      </c>
      <c r="K4109" t="inlineStr">
        <is>
          <t>2 - 3 Năm</t>
        </is>
      </c>
      <c r="L4109" s="8">
        <f>HYPERLINK("https://careerviet.vn/vi/tim-viec-lam/nhan-vien-ky-thuat-di-truyen-giong.35C68E73.html","Xem chi tiết")</f>
        <v/>
      </c>
    </row>
    <row r="4110">
      <c r="B4110" s="9" t="n">
        <v>4108</v>
      </c>
      <c r="C4110" s="10" t="inlineStr">
        <is>
          <t>Kế Toán Thuế</t>
        </is>
      </c>
      <c r="D4110" s="10" t="inlineStr">
        <is>
          <t>Shinpoong Daewoo Pharma</t>
        </is>
      </c>
      <c r="E4110" s="10" t="inlineStr">
        <is>
          <t>Lương:Cạnh tranh</t>
        </is>
      </c>
      <c r="F4110" s="10" t="inlineStr">
        <is>
          <t>Hồ Chí Minh</t>
        </is>
      </c>
      <c r="G4110" s="10" t="inlineStr">
        <is>
          <t>08-03-2026</t>
        </is>
      </c>
      <c r="H4110" s="10" t="inlineStr">
        <is>
          <t>23/02/2026</t>
        </is>
      </c>
      <c r="I4110" s="10" t="inlineStr">
        <is>
          <t>17/03/2026</t>
        </is>
      </c>
      <c r="J4110" s="10" t="inlineStr">
        <is>
          <t>Kế toán / Kiểm toán, Ngành khác</t>
        </is>
      </c>
      <c r="K4110" s="10" t="inlineStr">
        <is>
          <t>1 - 2 Năm</t>
        </is>
      </c>
      <c r="L4110" s="11">
        <f>HYPERLINK("https://careerviet.vn/vi/tim-viec-lam/ke-toan-thue.35C68CBB.html","Xem chi tiết")</f>
        <v/>
      </c>
      <c r="M4110" s="10" t="n"/>
    </row>
    <row r="4111">
      <c r="B4111" s="7" t="n">
        <v>4109</v>
      </c>
      <c r="C4111" t="inlineStr">
        <is>
          <t>Club General Manager/ Giám Đốc Câu Lạc Bộ</t>
        </is>
      </c>
      <c r="D4111" t="inlineStr">
        <is>
          <t>California Wellness Group</t>
        </is>
      </c>
      <c r="E4111" t="inlineStr">
        <is>
          <t>Lương:Cạnh tranh</t>
        </is>
      </c>
      <c r="F4111" t="inlineStr">
        <is>
          <t>Hồ Chí MinhHà Nội</t>
        </is>
      </c>
      <c r="G4111" t="inlineStr">
        <is>
          <t>11-04-2026</t>
        </is>
      </c>
      <c r="H4111" t="inlineStr">
        <is>
          <t>11/04/2026</t>
        </is>
      </c>
      <c r="I4111" t="inlineStr">
        <is>
          <t>17/03/2026</t>
        </is>
      </c>
      <c r="J4111" t="inlineStr">
        <is>
          <t>Y tế / Chăm sóc sức khỏe / Thẩm mỹ / Làm đẹp</t>
        </is>
      </c>
      <c r="K4111" t="inlineStr">
        <is>
          <t>5 - 10 Năm</t>
        </is>
      </c>
      <c r="L4111" s="8">
        <f>HYPERLINK("https://careerviet.vn/vi/tim-viec-lam/club-general-manager-giam-doc-cau-lac-bo.35C68E5F.html","Xem chi tiết")</f>
        <v/>
      </c>
    </row>
    <row r="4112">
      <c r="B4112" s="9" t="n">
        <v>4110</v>
      </c>
      <c r="C4112" s="10" t="inlineStr">
        <is>
          <t>Kiến trúc sư Quản lý thiết kế</t>
        </is>
      </c>
      <c r="D4112" s="10" t="inlineStr">
        <is>
          <t>Công ty CP OSI Holdings</t>
        </is>
      </c>
      <c r="E4112" s="10" t="inlineStr">
        <is>
          <t>Lương:25 Tr - 35 Tr VND</t>
        </is>
      </c>
      <c r="F4112" s="10" t="inlineStr">
        <is>
          <t>Hà Nội</t>
        </is>
      </c>
      <c r="G4112" s="10" t="inlineStr">
        <is>
          <t>31-03-2026</t>
        </is>
      </c>
      <c r="H4112" s="10" t="inlineStr">
        <is>
          <t>31/03/2026</t>
        </is>
      </c>
      <c r="I4112" s="10" t="inlineStr">
        <is>
          <t>17/03/2026</t>
        </is>
      </c>
      <c r="J4112" s="10" t="inlineStr">
        <is>
          <t>Xây dựng, Bất động sản, Nội ngoại thất</t>
        </is>
      </c>
      <c r="K4112" s="10" t="inlineStr">
        <is>
          <t>Trên 5 Năm</t>
        </is>
      </c>
      <c r="L4112" s="11">
        <f>HYPERLINK("https://careerviet.vn/vi/tim-viec-lam/kien-truc-su-quan-ly-thiet-ke.35C68EF0.html","Xem chi tiết")</f>
        <v/>
      </c>
      <c r="M4112" s="10" t="n"/>
    </row>
    <row r="4113">
      <c r="B4113" s="7" t="n">
        <v>4111</v>
      </c>
      <c r="C4113" t="inlineStr">
        <is>
          <t>Giám đốc kinh doanh khu vực Miền Đông  (ASM)</t>
        </is>
      </c>
      <c r="D4113" t="inlineStr">
        <is>
          <t>Công ty Cổ Phần Hóa Mỹ Phẩm Mỹ Hảo</t>
        </is>
      </c>
      <c r="E4113" t="inlineStr">
        <is>
          <t>Lương:Cạnh tranh</t>
        </is>
      </c>
      <c r="F4113" t="inlineStr">
        <is>
          <t>KV Đông Nam Bộ</t>
        </is>
      </c>
      <c r="G4113" t="inlineStr">
        <is>
          <t>08-03-2026</t>
        </is>
      </c>
      <c r="H4113" t="inlineStr">
        <is>
          <t>14/03/2026</t>
        </is>
      </c>
      <c r="I4113" t="inlineStr">
        <is>
          <t>17/03/2026</t>
        </is>
      </c>
      <c r="J4113" t="inlineStr">
        <is>
          <t>Hàng gia dụng / Chăm sóc cá nhân, Dược phẩm/ Hóa Mỹ Phẩm, Thực phẩm &amp; Đồ uống</t>
        </is>
      </c>
      <c r="K4113" t="inlineStr">
        <is>
          <t>Trên 5 Năm</t>
        </is>
      </c>
      <c r="L4113" s="8">
        <f>HYPERLINK("https://careerviet.vn/vi/tim-viec-lam/giam-doc-kinh-doanh-khu-vuc-mien-dong-asm.35C68DBD.html","Xem chi tiết")</f>
        <v/>
      </c>
    </row>
    <row r="4114">
      <c r="B4114" s="9" t="n">
        <v>4112</v>
      </c>
      <c r="C4114" s="10" t="inlineStr">
        <is>
          <t>Nhân Viên Bán Hàng Quận Nam Từ Liêm</t>
        </is>
      </c>
      <c r="D4114" s="10" t="inlineStr">
        <is>
          <t>CÔNG TY CỔ PHẦN VUA NỆM</t>
        </is>
      </c>
      <c r="E4114" s="10" t="inlineStr">
        <is>
          <t>Lương:8 Tr - 12 Tr VND</t>
        </is>
      </c>
      <c r="F4114" s="10" t="inlineStr">
        <is>
          <t>Hà Nội</t>
        </is>
      </c>
      <c r="G4114" s="10" t="inlineStr">
        <is>
          <t>03-04-2026</t>
        </is>
      </c>
      <c r="H4114" s="10" t="inlineStr">
        <is>
          <t>03/04/2026</t>
        </is>
      </c>
      <c r="I4114" s="10" t="inlineStr">
        <is>
          <t>17/03/2026</t>
        </is>
      </c>
      <c r="J4114" s="10" t="inlineStr">
        <is>
          <t>Bán lẻ / Bán sỉ, Bán hàng / Kinh doanh, Tư vấn</t>
        </is>
      </c>
      <c r="K4114" s="10" t="inlineStr">
        <is>
          <t>1 - 10 Năm</t>
        </is>
      </c>
      <c r="L4114" s="11">
        <f>HYPERLINK("https://careerviet.vn/vi/tim-viec-lam/nhan-vien-ban-hang-quan-nam-tu-liem.35C68E68.html","Xem chi tiết")</f>
        <v/>
      </c>
      <c r="M4114" s="10" t="n"/>
    </row>
    <row r="4115">
      <c r="B4115" s="7" t="n">
        <v>4113</v>
      </c>
      <c r="C4115" t="inlineStr">
        <is>
          <t>Nhân Viên Bán Hàng Thị Trường/ GT Sales Rep</t>
        </is>
      </c>
      <c r="D4115" t="inlineStr">
        <is>
          <t>CÔNG TY TNHH ROHTO-MENTHOLATUM (VIỆT NAM)</t>
        </is>
      </c>
      <c r="E4115" t="inlineStr">
        <is>
          <t>Lương:10 Tr - 17 Tr VND</t>
        </is>
      </c>
      <c r="F4115" t="inlineStr">
        <is>
          <t>Bình DươngQuảng NgãiHưng Yên</t>
        </is>
      </c>
      <c r="G4115" t="inlineStr">
        <is>
          <t>31-03-2026</t>
        </is>
      </c>
      <c r="H4115" t="inlineStr">
        <is>
          <t>31/03/2026</t>
        </is>
      </c>
      <c r="I4115" t="inlineStr">
        <is>
          <t>17/03/2026</t>
        </is>
      </c>
      <c r="J4115" t="inlineStr">
        <is>
          <t>Tiếp thị / Marketing, Bán hàng / Kinh doanh, Hàng gia dụng / Chăm sóc cá nhânBằng cấpTrung họcĐộ tuổi18 - 38</t>
        </is>
      </c>
      <c r="K4115" t="inlineStr">
        <is>
          <t>N/A</t>
        </is>
      </c>
      <c r="L4115" s="8">
        <f>HYPERLINK("https://careerviet.vn/vi/tim-viec-lam/nhan-vien-ban-hang-thi-truong-gt-sales-rep.35C68DDC.html","Xem chi tiết")</f>
        <v/>
      </c>
    </row>
    <row r="4116">
      <c r="B4116" s="9" t="n">
        <v>4114</v>
      </c>
      <c r="C4116" s="10" t="inlineStr">
        <is>
          <t>Chuyên Viên Đối Tác Chiến Lược Nhân Sự  (HRBP) - Đà Nẵng</t>
        </is>
      </c>
      <c r="D4116" s="10" t="inlineStr">
        <is>
          <t>CÔNG TY CỔ PHẦN DƯỢC PHẨM FPT LONG CHÂU</t>
        </is>
      </c>
      <c r="E4116" s="10" t="inlineStr">
        <is>
          <t>Lương:Cạnh tranh</t>
        </is>
      </c>
      <c r="F4116" s="10" t="inlineStr">
        <is>
          <t>Đà Nẵng</t>
        </is>
      </c>
      <c r="G4116" s="10" t="inlineStr">
        <is>
          <t>6</t>
        </is>
      </c>
      <c r="H4116" s="10" t="inlineStr">
        <is>
          <t>23/03/2026</t>
        </is>
      </c>
      <c r="I4116" s="10" t="inlineStr">
        <is>
          <t>17/03/2026</t>
        </is>
      </c>
      <c r="J4116" s="10" t="inlineStr">
        <is>
          <t>Nhân sự</t>
        </is>
      </c>
      <c r="K4116" s="10" t="inlineStr">
        <is>
          <t>2 - 5 Năm</t>
        </is>
      </c>
      <c r="L4116" s="11">
        <f>HYPERLINK("https://careerviet.vn/vi/tim-viec-lam/chuyen-vien-doi-tac-chien-luoc-nhan-su-hrbp-da-nang.35C68CE1.html","Xem chi tiết")</f>
        <v/>
      </c>
      <c r="M4116" s="10" t="n"/>
    </row>
    <row r="4117">
      <c r="B4117" s="7" t="n">
        <v>4115</v>
      </c>
      <c r="C4117" t="inlineStr">
        <is>
          <t>RECRUITMENT EXECUTIVE | CHUYÊN VIÊN TUYỂN DỤNG</t>
        </is>
      </c>
      <c r="D4117" t="inlineStr">
        <is>
          <t>Công Ty TNHH Linea Aqua Việt Nam</t>
        </is>
      </c>
      <c r="E4117" t="inlineStr">
        <is>
          <t>Lương:Cạnh tranh</t>
        </is>
      </c>
      <c r="F4117" t="inlineStr">
        <is>
          <t>Hưng Yên</t>
        </is>
      </c>
      <c r="G4117" t="inlineStr">
        <is>
          <t>08-03-2026</t>
        </is>
      </c>
      <c r="H4117" t="inlineStr">
        <is>
          <t>27/02/2026</t>
        </is>
      </c>
      <c r="I4117" t="inlineStr">
        <is>
          <t>17/03/2026</t>
        </is>
      </c>
      <c r="J4117" t="inlineStr">
        <is>
          <t>Hành chính / Thư ký, Nhân sự</t>
        </is>
      </c>
      <c r="K4117" t="inlineStr">
        <is>
          <t>2 - 3 Năm</t>
        </is>
      </c>
      <c r="L4117" s="8">
        <f>HYPERLINK("https://careerviet.vn/vi/tim-viec-lam/recruitment-executive-chuyen-vien-tuyen-dung.35C684CF.html","Xem chi tiết")</f>
        <v/>
      </c>
    </row>
    <row r="4118">
      <c r="B4118" s="9" t="n">
        <v>4116</v>
      </c>
      <c r="C4118" s="10" t="inlineStr">
        <is>
          <t>NHÂN VIÊN IE</t>
        </is>
      </c>
      <c r="D4118" s="10" t="inlineStr">
        <is>
          <t>Công ty TNHH ELENTEC HCM VINA</t>
        </is>
      </c>
      <c r="E4118" s="10" t="inlineStr">
        <is>
          <t>Lương:Cạnh tranh</t>
        </is>
      </c>
      <c r="F4118" s="10" t="inlineStr">
        <is>
          <t>Đồng Nai</t>
        </is>
      </c>
      <c r="G4118" s="10" t="inlineStr">
        <is>
          <t>5</t>
        </is>
      </c>
      <c r="H4118" s="10" t="inlineStr">
        <is>
          <t>22/03/2026</t>
        </is>
      </c>
      <c r="I4118" s="10" t="inlineStr">
        <is>
          <t>17/03/2026</t>
        </is>
      </c>
      <c r="J4118" s="10" t="inlineStr">
        <is>
          <t>Quản lý điều hành, Sản xuất / Vận hành sản xuất, Điện / Điện tử / Điện lạnh / Điện công nghiệp</t>
        </is>
      </c>
      <c r="K4118" s="10" t="inlineStr">
        <is>
          <t>Trên 5 Năm</t>
        </is>
      </c>
      <c r="L4118" s="11">
        <f>HYPERLINK("https://careerviet.vn/vi/tim-viec-lam/nhan-vien-ie.35C68DB8.html","Xem chi tiết")</f>
        <v/>
      </c>
      <c r="M4118" s="10" t="n"/>
    </row>
    <row r="4119">
      <c r="B4119" s="7" t="n">
        <v>4117</v>
      </c>
      <c r="C4119" t="inlineStr">
        <is>
          <t>Nhân Viên Bán Hàng Huyện Mê Linh</t>
        </is>
      </c>
      <c r="D4119" t="inlineStr">
        <is>
          <t>CÔNG TY CỔ PHẦN VUA NỆM</t>
        </is>
      </c>
      <c r="E4119" t="inlineStr">
        <is>
          <t>Lương:8 Tr - 12 Tr VND</t>
        </is>
      </c>
      <c r="F4119" t="inlineStr">
        <is>
          <t>Hà Nội</t>
        </is>
      </c>
      <c r="G4119" t="inlineStr">
        <is>
          <t>08-03-2026</t>
        </is>
      </c>
      <c r="H4119" t="inlineStr">
        <is>
          <t>14/03/2026</t>
        </is>
      </c>
      <c r="I4119" t="inlineStr">
        <is>
          <t>17/03/2026</t>
        </is>
      </c>
      <c r="J4119" t="inlineStr">
        <is>
          <t>Bán hàng / Kinh doanh, Tư vấn, Bán lẻ / Bán sỉ</t>
        </is>
      </c>
      <c r="K4119" t="inlineStr">
        <is>
          <t>1 - 2 Năm</t>
        </is>
      </c>
      <c r="L4119" s="8">
        <f>HYPERLINK("https://careerviet.vn/vi/tim-viec-lam/nhan-vien-ban-hang-huyen-me-linh.35C68D57.html","Xem chi tiết")</f>
        <v/>
      </c>
    </row>
    <row r="4120">
      <c r="B4120" s="9" t="n">
        <v>4118</v>
      </c>
      <c r="C4120" s="10" t="inlineStr">
        <is>
          <t>Business Development Executive</t>
        </is>
      </c>
      <c r="D4120" s="10" t="inlineStr">
        <is>
          <t>CÔNG TY TNHH AMERICA INDOCHINA MANAGEMENT VIETNAM</t>
        </is>
      </c>
      <c r="E4120" s="10" t="inlineStr">
        <is>
          <t>Lương:Cạnh tranh</t>
        </is>
      </c>
      <c r="F4120" s="10" t="inlineStr">
        <is>
          <t>Hồ Chí Minh</t>
        </is>
      </c>
      <c r="G4120" s="10" t="inlineStr">
        <is>
          <t>08-03-2026</t>
        </is>
      </c>
      <c r="H4120" s="10" t="inlineStr">
        <is>
          <t>14/03/2026</t>
        </is>
      </c>
      <c r="I4120" s="10" t="inlineStr">
        <is>
          <t>17/03/2026</t>
        </is>
      </c>
      <c r="J4120" s="10" t="inlineStr">
        <is>
          <t>Bán hàng / Kinh doanh, Nhà hàng / Khách sạn, Hóa học</t>
        </is>
      </c>
      <c r="K4120" s="10" t="inlineStr">
        <is>
          <t>1 - 3 Năm</t>
        </is>
      </c>
      <c r="L4120" s="11">
        <f>HYPERLINK("https://careerviet.vn/vi/tim-viec-lam/business-development-executive.35C68F6F.html","Xem chi tiết")</f>
        <v/>
      </c>
      <c r="M4120" s="10" t="n"/>
    </row>
    <row r="4121">
      <c r="B4121" s="7" t="n">
        <v>4119</v>
      </c>
      <c r="C4121" t="inlineStr">
        <is>
          <t>Nhân Viên Bảo Trì (Nhà Máy Long Khánh - Đồng Nai)</t>
        </is>
      </c>
      <c r="D4121" t="inlineStr">
        <is>
          <t>ATAD Steel Structure Corporation</t>
        </is>
      </c>
      <c r="E4121" t="inlineStr">
        <is>
          <t>Lương:Cạnh tranh</t>
        </is>
      </c>
      <c r="F4121" t="inlineStr">
        <is>
          <t>Đồng Nai</t>
        </is>
      </c>
      <c r="G4121" t="inlineStr">
        <is>
          <t>6</t>
        </is>
      </c>
      <c r="H4121" t="inlineStr">
        <is>
          <t>23/03/2026</t>
        </is>
      </c>
      <c r="I4121" t="inlineStr">
        <is>
          <t>17/03/2026</t>
        </is>
      </c>
      <c r="J4121" t="inlineStr">
        <is>
          <t>Cơ khí / Ô tô / Tự động hóa, Bảo trì / Sửa chữa, Sản xuất / Vận hành sản xuất</t>
        </is>
      </c>
      <c r="K4121" t="inlineStr">
        <is>
          <t>1 - 3 Năm</t>
        </is>
      </c>
      <c r="L4121" s="8">
        <f>HYPERLINK("https://careerviet.vn/vi/tim-viec-lam/nhan-vien-bao-tri-nha-may-long-khanh-dong-nai.35C68DC3.html","Xem chi tiết")</f>
        <v/>
      </c>
    </row>
    <row r="4122">
      <c r="B4122" s="9" t="n">
        <v>4120</v>
      </c>
      <c r="C4122" s="10" t="inlineStr">
        <is>
          <t>Nhân viên ISO (Biết tiếng Trung)</t>
        </is>
      </c>
      <c r="D4122" s="10" t="inlineStr">
        <is>
          <t>CÔNG TY TNHH POLYTEX  FAR EASTERN (VIỆT NAM)</t>
        </is>
      </c>
      <c r="E4122" s="10" t="inlineStr">
        <is>
          <t>Lương:9 Tr - 15 Tr VND</t>
        </is>
      </c>
      <c r="F4122" s="10" t="inlineStr">
        <is>
          <t>Bình Dương</t>
        </is>
      </c>
      <c r="G4122" s="10" t="inlineStr">
        <is>
          <t>30-04-2026</t>
        </is>
      </c>
      <c r="H4122" s="10" t="inlineStr">
        <is>
          <t>30/04/2026</t>
        </is>
      </c>
      <c r="I4122" s="10" t="inlineStr">
        <is>
          <t>17/03/2026</t>
        </is>
      </c>
      <c r="J4122" s="10" t="inlineStr">
        <is>
          <t>Sản xuất / Vận hành sản xuất, Dệt may / Da giày / Thời trang, Quản lý chất lượng (QA/QC)</t>
        </is>
      </c>
      <c r="K4122" s="10" t="inlineStr">
        <is>
          <t>N/A</t>
        </is>
      </c>
      <c r="L4122" s="11">
        <f>HYPERLINK("https://careerviet.vn/vi/tim-viec-lam/nhan-vien-iso-biet-tieng-trung.35C68ECF.html","Xem chi tiết")</f>
        <v/>
      </c>
      <c r="M4122" s="10" t="n"/>
    </row>
    <row r="4123">
      <c r="B4123" s="7" t="n">
        <v>4121</v>
      </c>
      <c r="C4123" t="inlineStr">
        <is>
          <t>Hygiene Specialist</t>
        </is>
      </c>
      <c r="D4123" t="inlineStr">
        <is>
          <t>CÔNG TY TNHH AMERICA INDOCHINA MANAGEMENT VIETNAM</t>
        </is>
      </c>
      <c r="E4123" t="inlineStr">
        <is>
          <t>Lương:Cạnh tranh</t>
        </is>
      </c>
      <c r="F4123" t="inlineStr">
        <is>
          <t>Đà Nẵng</t>
        </is>
      </c>
      <c r="G4123" t="inlineStr">
        <is>
          <t>08-03-2026</t>
        </is>
      </c>
      <c r="H4123" t="inlineStr">
        <is>
          <t>11/03/2026</t>
        </is>
      </c>
      <c r="I4123" t="inlineStr">
        <is>
          <t>17/03/2026</t>
        </is>
      </c>
      <c r="J4123" t="inlineStr">
        <is>
          <t>Nhà hàng / Khách sạn, Thực phẩm &amp; Đồ uống, Dịch vụ khách hàng</t>
        </is>
      </c>
      <c r="K4123" t="inlineStr">
        <is>
          <t>3 - 5 Năm</t>
        </is>
      </c>
      <c r="L4123" s="8">
        <f>HYPERLINK("https://careerviet.vn/vi/tim-viec-lam/hygiene-specialist.35C68F6B.html","Xem chi tiết")</f>
        <v/>
      </c>
    </row>
    <row r="4124">
      <c r="B4124" s="9" t="n">
        <v>4122</v>
      </c>
      <c r="C4124" s="10" t="inlineStr">
        <is>
          <t>Trưởng Nhóm Bán Hàng Kênh GT / GT Team Leader (Bắc Ninh, Bắc Giang, Thái Nguyên, Cao Bằng, Bắc Kạn)</t>
        </is>
      </c>
      <c r="D4124" s="10" t="inlineStr">
        <is>
          <t>CÔNG TY TNHH ROHTO-MENTHOLATUM (VIỆT NAM)</t>
        </is>
      </c>
      <c r="E4124" s="10" t="inlineStr">
        <is>
          <t>Lương:Cạnh tranh</t>
        </is>
      </c>
      <c r="F4124" s="10" t="inlineStr">
        <is>
          <t>Cao BằngBắc NinhBắc Giang</t>
        </is>
      </c>
      <c r="G4124" s="10" t="inlineStr">
        <is>
          <t>31-03-2026</t>
        </is>
      </c>
      <c r="H4124" s="10" t="inlineStr">
        <is>
          <t>31/03/2026</t>
        </is>
      </c>
      <c r="I4124" s="10" t="inlineStr">
        <is>
          <t>17/03/2026</t>
        </is>
      </c>
      <c r="J4124" s="10" t="inlineStr">
        <is>
          <t>Bán hàng / Kinh doanh, Dược phẩm/ Hóa Mỹ Phẩm, Hàng gia dụng / Chăm sóc cá nhânBằng cấpCao đẳngĐộ tuổiKhông giới hạn tuổi</t>
        </is>
      </c>
      <c r="K4124" s="10" t="inlineStr">
        <is>
          <t>N/A</t>
        </is>
      </c>
      <c r="L4124" s="11">
        <f>HYPERLINK("https://careerviet.vn/vi/tim-viec-lam/truong-nhom-ban-hang-kenh-gt-gt-team-leader-bac-ninh-bac-giang-thai-nguyen-cao-bang-bac-kan.35C68DED.html","Xem chi tiết")</f>
        <v/>
      </c>
      <c r="M4124" s="10" t="n"/>
    </row>
    <row r="4125">
      <c r="B4125" s="7" t="n">
        <v>4123</v>
      </c>
      <c r="C4125" t="inlineStr">
        <is>
          <t>ĐIỀU HÀNH KINH DOANH KÊNH MT - ( MT Supervisor)</t>
        </is>
      </c>
      <c r="D4125" t="inlineStr">
        <is>
          <t>Công Ty Cổ phần Tập Đoàn KIDO</t>
        </is>
      </c>
      <c r="E4125" t="inlineStr">
        <is>
          <t>Lương:Cạnh tranh</t>
        </is>
      </c>
      <c r="F4125" t="inlineStr">
        <is>
          <t>Hà Nội</t>
        </is>
      </c>
      <c r="G4125" t="inlineStr">
        <is>
          <t>25-03-2026</t>
        </is>
      </c>
      <c r="H4125" t="inlineStr">
        <is>
          <t>25/03/2026</t>
        </is>
      </c>
      <c r="I4125" t="inlineStr">
        <is>
          <t>17/03/2026</t>
        </is>
      </c>
      <c r="J4125" t="inlineStr">
        <is>
          <t>Bán hàng / Kinh doanh</t>
        </is>
      </c>
      <c r="K4125" t="inlineStr">
        <is>
          <t>null - null Năm</t>
        </is>
      </c>
      <c r="L4125" s="8">
        <f>HYPERLINK("https://careerviet.vn/vi/tim-viec-lam/dieu-hanh-kinh-doanh-kenh-mt-mt-supervisor.35C68EEE.html","Xem chi tiết")</f>
        <v/>
      </c>
    </row>
    <row r="4126">
      <c r="B4126" s="9" t="n">
        <v>4124</v>
      </c>
      <c r="C4126" s="10" t="inlineStr">
        <is>
          <t>Business Development Executive (Hospitality)</t>
        </is>
      </c>
      <c r="D4126" s="10" t="inlineStr">
        <is>
          <t>CÔNG TY TNHH AMERICA INDOCHINA MANAGEMENT VIETNAM</t>
        </is>
      </c>
      <c r="E4126" s="10" t="inlineStr">
        <is>
          <t>Lương:Cạnh tranh</t>
        </is>
      </c>
      <c r="F4126" s="10" t="inlineStr">
        <is>
          <t>Hồ Chí Minh</t>
        </is>
      </c>
      <c r="G4126" s="10" t="inlineStr">
        <is>
          <t>08-03-2026</t>
        </is>
      </c>
      <c r="H4126" s="10" t="inlineStr">
        <is>
          <t>14/03/2026</t>
        </is>
      </c>
      <c r="I4126" s="10" t="inlineStr">
        <is>
          <t>17/03/2026</t>
        </is>
      </c>
      <c r="J4126" s="10" t="inlineStr">
        <is>
          <t>Bán hàng / Kinh doanh, Nhà hàng / Khách sạn, Hóa học</t>
        </is>
      </c>
      <c r="K4126" s="10" t="inlineStr">
        <is>
          <t>2 - 4 Năm</t>
        </is>
      </c>
      <c r="L4126" s="11">
        <f>HYPERLINK("https://careerviet.vn/vi/tim-viec-lam/business-development-executive-hospitality.35C68F71.html","Xem chi tiết")</f>
        <v/>
      </c>
      <c r="M4126" s="10" t="n"/>
    </row>
    <row r="4127">
      <c r="B4127" s="7" t="n">
        <v>4125</v>
      </c>
      <c r="C4127" t="inlineStr">
        <is>
          <t>Nhân Viên Sales Tour Inbound (Tiếng Anh)</t>
        </is>
      </c>
      <c r="D4127" t="inlineStr">
        <is>
          <t>Gadt Travel</t>
        </is>
      </c>
      <c r="E4127" t="inlineStr">
        <is>
          <t>Lương:20 Tr - 40 Tr VND</t>
        </is>
      </c>
      <c r="F4127" t="inlineStr">
        <is>
          <t>Hà Nội</t>
        </is>
      </c>
      <c r="G4127" t="inlineStr">
        <is>
          <t>25-03-2026</t>
        </is>
      </c>
      <c r="H4127" t="inlineStr">
        <is>
          <t>25/03/2026</t>
        </is>
      </c>
      <c r="I4127" t="inlineStr">
        <is>
          <t>17/03/2026</t>
        </is>
      </c>
      <c r="J4127" t="inlineStr">
        <is>
          <t>Bán hàng / Kinh doanh, Du lịch, Tư vấn</t>
        </is>
      </c>
      <c r="K4127" t="inlineStr">
        <is>
          <t>Trên 1 Năm</t>
        </is>
      </c>
      <c r="L4127" s="8">
        <f>HYPERLINK("https://careerviet.vn/vi/tim-viec-lam/nhan-vien-sales-tour-inbound-tieng-anh.35C68EDD.html","Xem chi tiết")</f>
        <v/>
      </c>
    </row>
    <row r="4128">
      <c r="B4128" s="9" t="n">
        <v>4126</v>
      </c>
      <c r="C4128" s="10" t="inlineStr">
        <is>
          <t>PG siêu thị/ Cửa hàng mỹ phẩm</t>
        </is>
      </c>
      <c r="D4128" s="10" t="inlineStr">
        <is>
          <t>CÔNG TY TNHH ROHTO-MENTHOLATUM (VIỆT NAM)</t>
        </is>
      </c>
      <c r="E4128" s="10" t="inlineStr">
        <is>
          <t>Lương:8 Tr - 12 Tr VND</t>
        </is>
      </c>
      <c r="F4128" s="10" t="inlineStr">
        <is>
          <t>Đồng NaiHồ Chí MinhBình Thuận</t>
        </is>
      </c>
      <c r="G4128" s="10" t="inlineStr">
        <is>
          <t>31-03-2026</t>
        </is>
      </c>
      <c r="H4128" s="10" t="inlineStr">
        <is>
          <t>31/03/2026</t>
        </is>
      </c>
      <c r="I4128" s="10" t="inlineStr">
        <is>
          <t>17/03/2026</t>
        </is>
      </c>
      <c r="J4128" s="10" t="inlineStr">
        <is>
          <t>Tiếp thị / Marketing, Bán hàng / Kinh doanh, Hàng gia dụng / Chăm sóc cá nhânBằng cấpTrung họcĐộ tuổiKhông giới hạn tuổi</t>
        </is>
      </c>
      <c r="K4128" s="10" t="inlineStr">
        <is>
          <t>N/A</t>
        </is>
      </c>
      <c r="L4128" s="11">
        <f>HYPERLINK("https://careerviet.vn/vi/tim-viec-lam/pg-sieu-thi-cua-hang-my-pham.35C68DFF.html","Xem chi tiết")</f>
        <v/>
      </c>
      <c r="M4128" s="10" t="n"/>
    </row>
    <row r="4129">
      <c r="B4129" s="7" t="n">
        <v>4127</v>
      </c>
      <c r="C4129" t="inlineStr">
        <is>
          <t>Nhân Viên Bán Hàng Vĩnh Yên - Vĩnh Phúc</t>
        </is>
      </c>
      <c r="D4129" t="inlineStr">
        <is>
          <t>CÔNG TY CỔ PHẦN VUA NỆM</t>
        </is>
      </c>
      <c r="E4129" t="inlineStr">
        <is>
          <t>Lương:8 Tr - 12 Tr VND</t>
        </is>
      </c>
      <c r="F4129" t="inlineStr">
        <is>
          <t>Vĩnh Phúc</t>
        </is>
      </c>
      <c r="G4129" t="inlineStr">
        <is>
          <t>28-03-2026</t>
        </is>
      </c>
      <c r="H4129" t="inlineStr">
        <is>
          <t>28/03/2026</t>
        </is>
      </c>
      <c r="I4129" t="inlineStr">
        <is>
          <t>17/03/2026</t>
        </is>
      </c>
      <c r="J4129" t="inlineStr">
        <is>
          <t>Bán lẻ / Bán sỉ, Bán hàng / Kinh doanh, Lao động phổ thông</t>
        </is>
      </c>
      <c r="K4129" t="inlineStr">
        <is>
          <t>1 - 2 Năm</t>
        </is>
      </c>
      <c r="L4129" s="8">
        <f>HYPERLINK("https://careerviet.vn/vi/tim-viec-lam/nhan-vien-ban-hang-vinh-yen-vinh-phuc.35C68DA1.html","Xem chi tiết")</f>
        <v/>
      </c>
    </row>
    <row r="4130">
      <c r="B4130" s="9" t="n">
        <v>4128</v>
      </c>
      <c r="C4130" s="10" t="inlineStr">
        <is>
          <t>Kế toán tổng hợp</t>
        </is>
      </c>
      <c r="D4130" s="10" t="inlineStr">
        <is>
          <t>CÔNG TY TNHH THIẾT BỊ PHỤ TÙNG NÔNG NGHIỆP TRẦN MINH</t>
        </is>
      </c>
      <c r="E4130" s="10" t="inlineStr">
        <is>
          <t>Lương:15 Tr - 20 Tr VND</t>
        </is>
      </c>
      <c r="F4130" s="10" t="inlineStr">
        <is>
          <t>Hồ Chí Minh</t>
        </is>
      </c>
      <c r="G4130" s="10" t="inlineStr">
        <is>
          <t>31-05-2026</t>
        </is>
      </c>
      <c r="H4130" s="10" t="inlineStr">
        <is>
          <t>31/05/2026</t>
        </is>
      </c>
      <c r="I4130" s="10" t="inlineStr">
        <is>
          <t>17/03/2026</t>
        </is>
      </c>
      <c r="J4130" s="10" t="inlineStr">
        <is>
          <t>Kế toán / Kiểm toán, Ngân hàng, Tài chính / Đầu tư</t>
        </is>
      </c>
      <c r="K4130" s="10" t="inlineStr">
        <is>
          <t>Trên 1 Năm</t>
        </is>
      </c>
      <c r="L4130" s="11">
        <f>HYPERLINK("https://careerviet.vn/vi/tim-viec-lam/ke-toan-tong-hop.35C68D00.html","Xem chi tiết")</f>
        <v/>
      </c>
      <c r="M4130" s="10" t="n"/>
    </row>
    <row r="4131">
      <c r="B4131" s="7" t="n">
        <v>4129</v>
      </c>
      <c r="C4131" t="inlineStr">
        <is>
          <t>TRƯỞNG PHÒNG HÀNH CHÍNH NHÂN SỰ</t>
        </is>
      </c>
      <c r="D4131" t="inlineStr">
        <is>
          <t>Công ty Cổ phần Đầu tư Dừa Bến Tre</t>
        </is>
      </c>
      <c r="E4131" t="inlineStr">
        <is>
          <t>Lương:Cạnh tranh</t>
        </is>
      </c>
      <c r="F4131" t="inlineStr">
        <is>
          <t>Bến Tre</t>
        </is>
      </c>
      <c r="G4131" t="inlineStr">
        <is>
          <t>5</t>
        </is>
      </c>
      <c r="H4131" t="inlineStr">
        <is>
          <t>22/03/2026</t>
        </is>
      </c>
      <c r="I4131" t="inlineStr">
        <is>
          <t>17/03/2026</t>
        </is>
      </c>
      <c r="J4131" t="inlineStr">
        <is>
          <t>Luật / Pháp lý, Quản lý điều hành, Nhân sự</t>
        </is>
      </c>
      <c r="K4131" t="inlineStr">
        <is>
          <t>5 - 6 Năm</t>
        </is>
      </c>
      <c r="L4131" s="8">
        <f>HYPERLINK("https://careerviet.vn/vi/tim-viec-lam/truong-phong-hanh-chinh-nhan-su.35C68D8C.html","Xem chi tiết")</f>
        <v/>
      </c>
    </row>
    <row r="4132">
      <c r="B4132" s="9" t="n">
        <v>4130</v>
      </c>
      <c r="C4132" s="10" t="inlineStr">
        <is>
          <t>SEO Specialist</t>
        </is>
      </c>
      <c r="D4132" s="10" t="inlineStr">
        <is>
          <t>Công Ty TNHH Zeder Việt Nam</t>
        </is>
      </c>
      <c r="E4132" s="10" t="inlineStr">
        <is>
          <t>Lương:Cạnh tranh</t>
        </is>
      </c>
      <c r="F4132" s="10" t="inlineStr">
        <is>
          <t>Hà Nội</t>
        </is>
      </c>
      <c r="G4132" s="10" t="inlineStr">
        <is>
          <t>31-03-2026</t>
        </is>
      </c>
      <c r="H4132" s="10" t="inlineStr">
        <is>
          <t>31/03/2026</t>
        </is>
      </c>
      <c r="I4132" s="10" t="inlineStr">
        <is>
          <t>17/03/2026</t>
        </is>
      </c>
      <c r="J4132" s="10" t="inlineStr">
        <is>
          <t>Tiếp thị / Marketing, Quảng cáo / Đối ngoại / Truyền Thông, Truyền hình / Báo chí / Biên tập</t>
        </is>
      </c>
      <c r="K4132" s="10" t="inlineStr">
        <is>
          <t>2 - 5 Năm</t>
        </is>
      </c>
      <c r="L4132" s="11">
        <f>HYPERLINK("https://careerviet.vn/vi/tim-viec-lam/seo-specialist.35C68D15.html","Xem chi tiết")</f>
        <v/>
      </c>
      <c r="M4132" s="10" t="n"/>
    </row>
    <row r="4133">
      <c r="B4133" s="7" t="n">
        <v>4131</v>
      </c>
      <c r="C4133" t="inlineStr">
        <is>
          <t>Senior Sales Executive (Fitness)</t>
        </is>
      </c>
      <c r="D4133" t="inlineStr">
        <is>
          <t>CÔNG TY TNHH AMERICA INDOCHINA MANAGEMENT VIETNAM</t>
        </is>
      </c>
      <c r="E4133" t="inlineStr">
        <is>
          <t>Lương:Cạnh tranh</t>
        </is>
      </c>
      <c r="F4133" t="inlineStr">
        <is>
          <t>Hồ Chí Minh</t>
        </is>
      </c>
      <c r="G4133" t="inlineStr">
        <is>
          <t>08-03-2026</t>
        </is>
      </c>
      <c r="H4133" t="inlineStr">
        <is>
          <t>14/03/2026</t>
        </is>
      </c>
      <c r="I4133" t="inlineStr">
        <is>
          <t>17/03/2026</t>
        </is>
      </c>
      <c r="J4133" t="inlineStr">
        <is>
          <t>Bán hàng / Kinh doanh, Nhà hàng / Khách sạn, Y tế / Chăm sóc sức khỏe / Thẩm mỹ / Làm đẹp</t>
        </is>
      </c>
      <c r="K4133" t="inlineStr">
        <is>
          <t>3 - 4 Năm</t>
        </is>
      </c>
      <c r="L4133" s="8">
        <f>HYPERLINK("https://careerviet.vn/vi/tim-viec-lam/senior-sales-executive-fitness.35C68F70.html","Xem chi tiết")</f>
        <v/>
      </c>
    </row>
    <row r="4134">
      <c r="B4134" s="9" t="n">
        <v>4132</v>
      </c>
      <c r="C4134" s="10" t="inlineStr">
        <is>
          <t>Chuyên viên cao cấp định vị khách hàng ưu tiên và phát triển giải pháp</t>
        </is>
      </c>
      <c r="D4134" s="10" t="inlineStr">
        <is>
          <t>Ngân hàng TMCP Phát triển TP.HCM (HDBank)</t>
        </is>
      </c>
      <c r="E4134" s="10" t="inlineStr">
        <is>
          <t>Lương:Cạnh tranh</t>
        </is>
      </c>
      <c r="F4134" s="10" t="inlineStr">
        <is>
          <t>Hồ Chí Minh</t>
        </is>
      </c>
      <c r="G4134" s="10" t="inlineStr">
        <is>
          <t>5</t>
        </is>
      </c>
      <c r="H4134" s="10" t="inlineStr">
        <is>
          <t>22/03/2026</t>
        </is>
      </c>
      <c r="I4134" s="10" t="inlineStr">
        <is>
          <t>17/03/2026</t>
        </is>
      </c>
      <c r="J4134" s="10" t="inlineStr">
        <is>
          <t>Ngân hàng, Bảo hiểm</t>
        </is>
      </c>
      <c r="K4134" s="10" t="inlineStr">
        <is>
          <t>Trên 4 Năm</t>
        </is>
      </c>
      <c r="L4134" s="11">
        <f>HYPERLINK("https://careerviet.vn/vi/tim-viec-lam/chuyen-vien-cao-cap-dinh-vi-khach-hang-uu-tien-va-phat-trien-giai-phap.35C68CBE.html","Xem chi tiết")</f>
        <v/>
      </c>
      <c r="M4134" s="10" t="n"/>
    </row>
    <row r="4135">
      <c r="B4135" s="7" t="n">
        <v>4133</v>
      </c>
      <c r="C4135" t="inlineStr">
        <is>
          <t>SEO Manager</t>
        </is>
      </c>
      <c r="D4135" t="inlineStr">
        <is>
          <t>RED2 DIGITAL</t>
        </is>
      </c>
      <c r="E4135" t="inlineStr">
        <is>
          <t>Lương:Cạnh tranh</t>
        </is>
      </c>
      <c r="F4135" t="inlineStr">
        <is>
          <t>Hồ Chí Minh</t>
        </is>
      </c>
      <c r="G4135" t="inlineStr">
        <is>
          <t>11-04-2026</t>
        </is>
      </c>
      <c r="H4135" t="inlineStr">
        <is>
          <t>11/04/2026</t>
        </is>
      </c>
      <c r="I4135" t="inlineStr">
        <is>
          <t>17/03/2026</t>
        </is>
      </c>
      <c r="J4135" t="inlineStr">
        <is>
          <t>Tiếp thị trực tuyến, Thương mại điện tử, Quảng cáo / Đối ngoại / Truyền Thông</t>
        </is>
      </c>
      <c r="K4135" t="inlineStr">
        <is>
          <t>5 - 10 Năm</t>
        </is>
      </c>
      <c r="L4135" s="8">
        <f>HYPERLINK("https://careerviet.vn/vi/tim-viec-lam/seo-manager.35C68DCB.html","Xem chi tiết")</f>
        <v/>
      </c>
    </row>
    <row r="4136">
      <c r="B4136" s="9" t="n">
        <v>4134</v>
      </c>
      <c r="C4136" s="10" t="inlineStr">
        <is>
          <t>Nhân Viên Bán Hàng Huyện Sóc Sơn</t>
        </is>
      </c>
      <c r="D4136" s="10" t="inlineStr">
        <is>
          <t>CÔNG TY CỔ PHẦN VUA NỆM</t>
        </is>
      </c>
      <c r="E4136" s="10" t="inlineStr">
        <is>
          <t>Lương:8 Tr - 12 Tr VND</t>
        </is>
      </c>
      <c r="F4136" s="10" t="inlineStr">
        <is>
          <t>Hà Nội</t>
        </is>
      </c>
      <c r="G4136" s="10" t="inlineStr">
        <is>
          <t>08-03-2026</t>
        </is>
      </c>
      <c r="H4136" s="10" t="inlineStr">
        <is>
          <t>14/03/2026</t>
        </is>
      </c>
      <c r="I4136" s="10" t="inlineStr">
        <is>
          <t>17/03/2026</t>
        </is>
      </c>
      <c r="J4136" s="10" t="inlineStr">
        <is>
          <t>Bán hàng / Kinh doanh, Tư vấn, Bán lẻ / Bán sỉ</t>
        </is>
      </c>
      <c r="K4136" s="10" t="inlineStr">
        <is>
          <t>1 - 2 Năm</t>
        </is>
      </c>
      <c r="L4136" s="11">
        <f>HYPERLINK("https://careerviet.vn/vi/tim-viec-lam/nhan-vien-ban-hang-huyen-soc-son.35C68D60.html","Xem chi tiết")</f>
        <v/>
      </c>
      <c r="M4136" s="10" t="n"/>
    </row>
    <row r="4137">
      <c r="B4137" s="7" t="n">
        <v>4135</v>
      </c>
      <c r="C4137" t="inlineStr">
        <is>
          <t>Chuyên Viên Thiết Kế Nội thất- Xây dựng (Kiêm QS/Admin)</t>
        </is>
      </c>
      <c r="D4137" t="inlineStr">
        <is>
          <t>CÔNG TY CỔ PHẦN VUA NỆM</t>
        </is>
      </c>
      <c r="E4137" t="inlineStr">
        <is>
          <t>Lương:14 Tr - 18 Tr VND</t>
        </is>
      </c>
      <c r="F4137" t="inlineStr">
        <is>
          <t>Hà Nội</t>
        </is>
      </c>
      <c r="G4137" t="inlineStr">
        <is>
          <t>28-03-2026</t>
        </is>
      </c>
      <c r="H4137" t="inlineStr">
        <is>
          <t>28/03/2026</t>
        </is>
      </c>
      <c r="I4137" t="inlineStr">
        <is>
          <t>17/03/2026</t>
        </is>
      </c>
      <c r="J4137" t="inlineStr">
        <is>
          <t>Xây dựng, Kiến trúc, Nội ngoại thất</t>
        </is>
      </c>
      <c r="K4137" t="inlineStr">
        <is>
          <t>1 - 2 Năm</t>
        </is>
      </c>
      <c r="L4137" s="8">
        <f>HYPERLINK("https://careerviet.vn/vi/tim-viec-lam/chuyen-vien-thiet-ke-noi-that-xay-dung-kiem-qs-admin.35C68EE1.html","Xem chi tiết")</f>
        <v/>
      </c>
    </row>
    <row r="4138">
      <c r="B4138" s="9" t="n">
        <v>4136</v>
      </c>
      <c r="C4138" s="10" t="inlineStr">
        <is>
          <t>Kỹ Sư QS</t>
        </is>
      </c>
      <c r="D4138" s="10" t="inlineStr">
        <is>
          <t>Công Ty Cổ Phần ZME</t>
        </is>
      </c>
      <c r="E4138" s="10" t="inlineStr">
        <is>
          <t>Lương:15 Tr - 25 Tr VND</t>
        </is>
      </c>
      <c r="F4138" s="10" t="inlineStr">
        <is>
          <t>Hà Nội</t>
        </is>
      </c>
      <c r="G4138" s="10" t="inlineStr">
        <is>
          <t>5</t>
        </is>
      </c>
      <c r="H4138" s="10" t="inlineStr">
        <is>
          <t>22/03/2026</t>
        </is>
      </c>
      <c r="I4138" s="10" t="inlineStr">
        <is>
          <t>17/03/2026</t>
        </is>
      </c>
      <c r="J4138" s="10" t="inlineStr">
        <is>
          <t>Điện / Điện tử / Điện lạnh / Điện công nghiệp, Cơ khí / Ô tô / Tự động hóa, Xây dựng</t>
        </is>
      </c>
      <c r="K4138" s="10" t="inlineStr">
        <is>
          <t>N/A</t>
        </is>
      </c>
      <c r="L4138" s="11">
        <f>HYPERLINK("https://careerviet.vn/vi/tim-viec-lam/ky-su-qs.35C68D01.html","Xem chi tiết")</f>
        <v/>
      </c>
      <c r="M4138" s="10" t="n"/>
    </row>
    <row r="4139">
      <c r="B4139" s="7" t="n">
        <v>4137</v>
      </c>
      <c r="C4139" t="inlineStr">
        <is>
          <t>Nhân Viên Bán Hàng Cần Thơ</t>
        </is>
      </c>
      <c r="D4139" t="inlineStr">
        <is>
          <t>CÔNG TY CỔ PHẦN VUA NỆM</t>
        </is>
      </c>
      <c r="E4139" t="inlineStr">
        <is>
          <t>Lương:8 Tr - 12 Tr VND</t>
        </is>
      </c>
      <c r="F4139" t="inlineStr">
        <is>
          <t>Cần Thơ</t>
        </is>
      </c>
      <c r="G4139" t="inlineStr">
        <is>
          <t>08-03-2026</t>
        </is>
      </c>
      <c r="H4139" t="inlineStr">
        <is>
          <t>14/03/2026</t>
        </is>
      </c>
      <c r="I4139" t="inlineStr">
        <is>
          <t>17/03/2026</t>
        </is>
      </c>
      <c r="J4139" t="inlineStr">
        <is>
          <t>Bán hàng / Kinh doanh, Bán lẻ / Bán sỉ, Tư vấn</t>
        </is>
      </c>
      <c r="K4139" t="inlineStr">
        <is>
          <t>1 - 2 Năm</t>
        </is>
      </c>
      <c r="L4139" s="8">
        <f>HYPERLINK("https://careerviet.vn/vi/tim-viec-lam/nhan-vien-ban-hang-can-tho.35C68D20.html","Xem chi tiết")</f>
        <v/>
      </c>
    </row>
    <row r="4140">
      <c r="B4140" s="9" t="n">
        <v>4138</v>
      </c>
      <c r="C4140" s="10" t="inlineStr">
        <is>
          <t>KẾ TOÁN CHI PHÍ &amp; GIÁ THÀNH</t>
        </is>
      </c>
      <c r="D4140" s="10" t="inlineStr">
        <is>
          <t>CÔNG TY CỔ PHẦN XÂY DỰNG WORLD STEEL</t>
        </is>
      </c>
      <c r="E4140" s="10" t="inlineStr">
        <is>
          <t>Lương:15 Tr - 20 Tr VND</t>
        </is>
      </c>
      <c r="F4140" s="10" t="inlineStr">
        <is>
          <t>Hồ Chí MinhLong An</t>
        </is>
      </c>
      <c r="G4140" s="10" t="inlineStr">
        <is>
          <t>6</t>
        </is>
      </c>
      <c r="H4140" s="10" t="inlineStr">
        <is>
          <t>23/03/2026</t>
        </is>
      </c>
      <c r="I4140" s="10" t="inlineStr">
        <is>
          <t>17/03/2026</t>
        </is>
      </c>
      <c r="J4140" s="10" t="inlineStr">
        <is>
          <t>Kế toán / Kiểm toán, Ngân hàng, Tài chính / Đầu tư</t>
        </is>
      </c>
      <c r="K4140" s="10" t="inlineStr">
        <is>
          <t>2 - 5 Năm</t>
        </is>
      </c>
      <c r="L4140" s="11">
        <f>HYPERLINK("https://careerviet.vn/vi/tim-viec-lam/ke-toan-chi-phi-gia-thanh.35C68D37.html","Xem chi tiết")</f>
        <v/>
      </c>
      <c r="M4140" s="10" t="n"/>
    </row>
    <row r="4141">
      <c r="B4141" s="7" t="n">
        <v>4139</v>
      </c>
      <c r="C4141" t="inlineStr">
        <is>
          <t>Application Specialist</t>
        </is>
      </c>
      <c r="D4141" t="inlineStr">
        <is>
          <t>CÔNG TY TNHH AMERICA INDOCHINA MANAGEMENT VIETNAM</t>
        </is>
      </c>
      <c r="E4141" t="inlineStr">
        <is>
          <t>Lương:Cạnh tranh</t>
        </is>
      </c>
      <c r="F4141" t="inlineStr">
        <is>
          <t>Hồ Chí MinhĐà Nẵng</t>
        </is>
      </c>
      <c r="G4141" t="inlineStr">
        <is>
          <t>08-03-2026</t>
        </is>
      </c>
      <c r="H4141" t="inlineStr">
        <is>
          <t>14/03/2026</t>
        </is>
      </c>
      <c r="I4141" t="inlineStr">
        <is>
          <t>17/03/2026</t>
        </is>
      </c>
      <c r="J4141" t="inlineStr">
        <is>
          <t>Nhà hàng / Khách sạn, Du lịch, Thực phẩm &amp; Đồ uống</t>
        </is>
      </c>
      <c r="K4141" t="inlineStr">
        <is>
          <t>3 - 5 Năm</t>
        </is>
      </c>
      <c r="L4141" s="8">
        <f>HYPERLINK("https://careerviet.vn/vi/tim-viec-lam/application-specialist.35C02B21.html","Xem chi tiết")</f>
        <v/>
      </c>
    </row>
    <row r="4142">
      <c r="B4142" s="9" t="n">
        <v>4140</v>
      </c>
      <c r="C4142" s="10" t="inlineStr">
        <is>
          <t>Outreach &amp; Link Building Specialist</t>
        </is>
      </c>
      <c r="D4142" s="10" t="inlineStr">
        <is>
          <t>Công Ty TNHH Zeder Việt Nam</t>
        </is>
      </c>
      <c r="E4142" s="10" t="inlineStr">
        <is>
          <t>Lương:Cạnh tranh</t>
        </is>
      </c>
      <c r="F4142" s="10" t="inlineStr">
        <is>
          <t>Hà Nội</t>
        </is>
      </c>
      <c r="G4142" s="10" t="inlineStr">
        <is>
          <t>30-04-2026</t>
        </is>
      </c>
      <c r="H4142" s="10" t="inlineStr">
        <is>
          <t>30/04/2026</t>
        </is>
      </c>
      <c r="I4142" s="10" t="inlineStr">
        <is>
          <t>17/03/2026</t>
        </is>
      </c>
      <c r="J4142" s="10" t="inlineStr">
        <is>
          <t>Tiếp thị / Marketing, Quảng cáo / Đối ngoại / Truyền Thông, Truyền hình / Báo chí / Biên tập</t>
        </is>
      </c>
      <c r="K4142" s="10" t="inlineStr">
        <is>
          <t>2 - 5 Năm</t>
        </is>
      </c>
      <c r="L4142" s="11">
        <f>HYPERLINK("https://careerviet.vn/vi/tim-viec-lam/outreach-link-building-specialist.35C68DD4.html","Xem chi tiết")</f>
        <v/>
      </c>
      <c r="M4142" s="10" t="n"/>
    </row>
    <row r="4143">
      <c r="B4143" s="7" t="n">
        <v>4141</v>
      </c>
      <c r="C4143" t="inlineStr">
        <is>
          <t>[HN] Sales Executive</t>
        </is>
      </c>
      <c r="D4143" t="inlineStr">
        <is>
          <t>CÔNG TY TNHH AMERICA INDOCHINA MANAGEMENT VIETNAM</t>
        </is>
      </c>
      <c r="E4143" t="inlineStr">
        <is>
          <t>Lương:Cạnh tranh</t>
        </is>
      </c>
      <c r="F4143" t="inlineStr">
        <is>
          <t>Hà Nội</t>
        </is>
      </c>
      <c r="G4143" t="inlineStr">
        <is>
          <t>08-03-2026</t>
        </is>
      </c>
      <c r="H4143" t="inlineStr">
        <is>
          <t>14/03/2026</t>
        </is>
      </c>
      <c r="I4143" t="inlineStr">
        <is>
          <t>17/03/2026</t>
        </is>
      </c>
      <c r="J4143" t="inlineStr">
        <is>
          <t>Bán hàng / Kinh doanh, Xây dựng, Nội ngoại thất</t>
        </is>
      </c>
      <c r="K4143" t="inlineStr">
        <is>
          <t>1 - 2 Năm</t>
        </is>
      </c>
      <c r="L4143" s="8">
        <f>HYPERLINK("https://careerviet.vn/vi/tim-viec-lam/hn-sales-executive.35C68F80.html","Xem chi tiết")</f>
        <v/>
      </c>
    </row>
    <row r="4144">
      <c r="B4144" s="9" t="n">
        <v>4142</v>
      </c>
      <c r="C4144" s="10" t="inlineStr">
        <is>
          <t>Nhân Viên Kinh Doanh Thị Trường Hồ Chí Minh - Thiết Bị Y Tế</t>
        </is>
      </c>
      <c r="D4144" s="10" t="inlineStr">
        <is>
          <t>CÔNG TY TNHH THIẾT BỊ Y TẾ NAM HƯNG</t>
        </is>
      </c>
      <c r="E4144" s="10" t="inlineStr">
        <is>
          <t>Lương:Cạnh tranh</t>
        </is>
      </c>
      <c r="F4144" s="10" t="inlineStr">
        <is>
          <t>Hồ Chí MinhHà Nội</t>
        </is>
      </c>
      <c r="G4144" s="10" t="inlineStr">
        <is>
          <t>31-03-2026</t>
        </is>
      </c>
      <c r="H4144" s="10" t="inlineStr">
        <is>
          <t>31/03/2026</t>
        </is>
      </c>
      <c r="I4144" s="10" t="inlineStr">
        <is>
          <t>17/03/2026</t>
        </is>
      </c>
      <c r="J4144" s="10" t="inlineStr">
        <is>
          <t>Tiếp thị / Marketing, Bán hàng / Kinh doanh, Tư vấn</t>
        </is>
      </c>
      <c r="K4144" s="10" t="inlineStr">
        <is>
          <t>N/A</t>
        </is>
      </c>
      <c r="L4144" s="11">
        <f>HYPERLINK("https://careerviet.vn/vi/tim-viec-lam/nhan-vien-kinh-doanh-thi-truong-ho-chi-minh-thiet-bi-y-te.35C68EE7.html","Xem chi tiết")</f>
        <v/>
      </c>
      <c r="M4144" s="10" t="n"/>
    </row>
    <row r="4145">
      <c r="B4145" s="7" t="n">
        <v>4143</v>
      </c>
      <c r="C4145" t="inlineStr">
        <is>
          <t>Kỹ Sư Thiết Kế Máy</t>
        </is>
      </c>
      <c r="D4145" t="inlineStr">
        <is>
          <t>CÔNG TY TNHH SẢN XUẤT THƯƠNG MẠI DỊCH VỤ VẠN ĐỒNG PHÁT</t>
        </is>
      </c>
      <c r="E4145" t="inlineStr">
        <is>
          <t>Lương:15 Tr - 20 Tr VND</t>
        </is>
      </c>
      <c r="F4145" t="inlineStr">
        <is>
          <t>Đồng Nai</t>
        </is>
      </c>
      <c r="G4145" t="inlineStr">
        <is>
          <t>26-03-2026</t>
        </is>
      </c>
      <c r="H4145" t="inlineStr">
        <is>
          <t>26/03/2026</t>
        </is>
      </c>
      <c r="I4145" t="inlineStr">
        <is>
          <t>17/03/2026</t>
        </is>
      </c>
      <c r="J4145" t="inlineStr">
        <is>
          <t>Cơ khí / Ô tô / Tự động hóa, Sản xuất / Vận hành sản xuất</t>
        </is>
      </c>
      <c r="K4145" t="inlineStr">
        <is>
          <t>2 - 3 Năm</t>
        </is>
      </c>
      <c r="L4145" s="8">
        <f>HYPERLINK("https://careerviet.vn/vi/tim-viec-lam/ky-su-thiet-ke-may.35C68F3A.html","Xem chi tiết")</f>
        <v/>
      </c>
    </row>
    <row r="4146">
      <c r="B4146" s="9" t="n">
        <v>4144</v>
      </c>
      <c r="C4146" s="10" t="inlineStr">
        <is>
          <t>Nhân Viên Kinh Doanh Quốc Tế - Sales Xuất Khẩu (Tiếng Anh &amp; Tiếng Nga &amp; Tiếng Pháp)</t>
        </is>
      </c>
      <c r="D4146" s="10" t="inlineStr">
        <is>
          <t>CYhair Vietnamese Hair Factory</t>
        </is>
      </c>
      <c r="E4146" s="10" t="inlineStr">
        <is>
          <t>Lương:9 Tr - 12 Tr VND</t>
        </is>
      </c>
      <c r="F4146" s="10" t="inlineStr">
        <is>
          <t>Hồ Chí Minh</t>
        </is>
      </c>
      <c r="G4146" s="10" t="inlineStr">
        <is>
          <t>6</t>
        </is>
      </c>
      <c r="H4146" s="10" t="inlineStr">
        <is>
          <t>23/03/2026</t>
        </is>
      </c>
      <c r="I4146" s="10" t="inlineStr">
        <is>
          <t>17/03/2026</t>
        </is>
      </c>
      <c r="J4146" s="10" t="inlineStr">
        <is>
          <t>Bán lẻ / Bán sỉ, Bán hàng / Kinh doanh, Xuất nhập khẩu</t>
        </is>
      </c>
      <c r="K4146" s="10" t="inlineStr">
        <is>
          <t>N/A</t>
        </is>
      </c>
      <c r="L4146" s="11">
        <f>HYPERLINK("https://careerviet.vn/vi/tim-viec-lam/nhan-vien-kinh-doanh-quoc-te-sales-xuat-khau-tieng-anh-tieng-nga-tieng-phap.35C68E17.html","Xem chi tiết")</f>
        <v/>
      </c>
      <c r="M4146" s="10" t="n"/>
    </row>
    <row r="4147">
      <c r="B4147" s="7" t="n">
        <v>4145</v>
      </c>
      <c r="C4147" t="inlineStr">
        <is>
          <t>Production Senior Supervisor (Packing)</t>
        </is>
      </c>
      <c r="D4147" t="inlineStr">
        <is>
          <t>Công ty TNHH Olam Việt Nam</t>
        </is>
      </c>
      <c r="E4147" t="inlineStr">
        <is>
          <t>Lương:Cạnh tranh</t>
        </is>
      </c>
      <c r="F4147" t="inlineStr">
        <is>
          <t>Đồng Nai</t>
        </is>
      </c>
      <c r="G4147" t="inlineStr">
        <is>
          <t>08-03-2026</t>
        </is>
      </c>
      <c r="H4147" t="inlineStr">
        <is>
          <t>28/02/2026</t>
        </is>
      </c>
      <c r="I4147" t="inlineStr">
        <is>
          <t>17/03/2026</t>
        </is>
      </c>
      <c r="J4147" t="inlineStr">
        <is>
          <t>Dược phẩm/ Hóa Mỹ Phẩm, Thực phẩm &amp; Đồ uống, Sản xuất / Vận hành sản xuất</t>
        </is>
      </c>
      <c r="K4147" t="inlineStr">
        <is>
          <t>3 - 5 Năm</t>
        </is>
      </c>
      <c r="L4147" s="8">
        <f>HYPERLINK("https://careerviet.vn/vi/tim-viec-lam/production-senior-supervisor-packing.35C68D46.html","Xem chi tiết")</f>
        <v/>
      </c>
    </row>
    <row r="4148">
      <c r="B4148" s="9" t="n">
        <v>4146</v>
      </c>
      <c r="C4148" s="10" t="inlineStr">
        <is>
          <t>Chuyên viên cao cấp Tư vấn tài chính cá nhân - Hải Phòng, Quảng Ninh, Hải Dương</t>
        </is>
      </c>
      <c r="D4148" s="10" t="inlineStr">
        <is>
          <t>Ngân Hàng TMCP Quốc Tế Việt Nam</t>
        </is>
      </c>
      <c r="E4148" s="10" t="inlineStr">
        <is>
          <t>Lương:10 Tr - 18 Tr VND</t>
        </is>
      </c>
      <c r="F4148" s="10" t="inlineStr">
        <is>
          <t>Hải PhòngQuảng NinhHải Dương</t>
        </is>
      </c>
      <c r="G4148" s="10" t="inlineStr">
        <is>
          <t>5</t>
        </is>
      </c>
      <c r="H4148" s="10" t="inlineStr">
        <is>
          <t>22/03/2026</t>
        </is>
      </c>
      <c r="I4148" s="10" t="inlineStr">
        <is>
          <t>17/03/2026</t>
        </is>
      </c>
      <c r="J4148" s="10" t="inlineStr">
        <is>
          <t>Bán hàng / Kinh doanh, Ngân hàng, Tài chính / Đầu tư</t>
        </is>
      </c>
      <c r="K4148" s="10" t="inlineStr">
        <is>
          <t>Trên 1 Năm</t>
        </is>
      </c>
      <c r="L4148" s="11">
        <f>HYPERLINK("https://careerviet.vn/vi/tim-viec-lam/chuyen-vien-cao-cap-tu-van-tai-chinh-ca-nhan-hai-phong-quang-ninh-hai-duong.35C68E76.html","Xem chi tiết")</f>
        <v/>
      </c>
      <c r="M4148" s="10" t="n"/>
    </row>
    <row r="4149">
      <c r="B4149" s="7" t="n">
        <v>4147</v>
      </c>
      <c r="C4149" t="inlineStr">
        <is>
          <t>Sales Executive – Logistics &amp; Freight Forwarding</t>
        </is>
      </c>
      <c r="D4149" t="inlineStr">
        <is>
          <t>CÔNG TY TNHH DBTL (VIỆT NAM)</t>
        </is>
      </c>
      <c r="E4149" t="inlineStr">
        <is>
          <t>Lương:Cạnh tranh</t>
        </is>
      </c>
      <c r="F4149" t="inlineStr">
        <is>
          <t>Hồ Chí Minh</t>
        </is>
      </c>
      <c r="G4149" t="inlineStr">
        <is>
          <t>08-03-2026</t>
        </is>
      </c>
      <c r="H4149" t="inlineStr">
        <is>
          <t>23/02/2026</t>
        </is>
      </c>
      <c r="I4149" t="inlineStr">
        <is>
          <t>17/03/2026</t>
        </is>
      </c>
      <c r="J4149" t="inlineStr">
        <is>
          <t>Bán hàng / Kinh doanh, Xuất nhập khẩu, Vận chuyển / Giao nhận / Kho vận</t>
        </is>
      </c>
      <c r="K4149" t="inlineStr">
        <is>
          <t>1 - 3 Năm</t>
        </is>
      </c>
      <c r="L4149" s="8">
        <f>HYPERLINK("https://careerviet.vn/vi/tim-viec-lam/sales-executive-logistics-freight-forwarding.35C68D12.html","Xem chi tiết")</f>
        <v/>
      </c>
    </row>
    <row r="4150">
      <c r="B4150" s="9" t="n">
        <v>4148</v>
      </c>
      <c r="C4150" s="10" t="inlineStr">
        <is>
          <t>Kỹ Sư Bảo Trì - Tự Động Hóa</t>
        </is>
      </c>
      <c r="D4150" s="10" t="inlineStr">
        <is>
          <t>Công ty Cổ Phần Thực Phẩm Dinh Dưỡng NutiFood</t>
        </is>
      </c>
      <c r="E4150" s="10" t="inlineStr">
        <is>
          <t>Lương:Cạnh tranh</t>
        </is>
      </c>
      <c r="F4150" s="10" t="inlineStr">
        <is>
          <t>Hưng Yên</t>
        </is>
      </c>
      <c r="G4150" s="10" t="inlineStr">
        <is>
          <t>03-04-2026</t>
        </is>
      </c>
      <c r="H4150" s="10" t="inlineStr">
        <is>
          <t>03/04/2026</t>
        </is>
      </c>
      <c r="I4150" s="10" t="inlineStr">
        <is>
          <t>17/03/2026</t>
        </is>
      </c>
      <c r="J4150" s="10" t="inlineStr">
        <is>
          <t>Cơ khí / Ô tô / Tự động hóa</t>
        </is>
      </c>
      <c r="K4150" s="10" t="inlineStr">
        <is>
          <t>Trên 2 Năm</t>
        </is>
      </c>
      <c r="L4150" s="11">
        <f>HYPERLINK("https://careerviet.vn/vi/tim-viec-lam/ky-su-bao-tri-tu-dong-hoa.35C655B9.html","Xem chi tiết")</f>
        <v/>
      </c>
      <c r="M4150" s="10" t="n"/>
    </row>
    <row r="4151">
      <c r="B4151" s="7" t="n">
        <v>4149</v>
      </c>
      <c r="C4151" t="inlineStr">
        <is>
          <t>Trưởng nhóm kỹ thuật bảo hành</t>
        </is>
      </c>
      <c r="D4151" t="inlineStr">
        <is>
          <t>CHI NHÁNH CT CP TẬP ĐOÀN SUNHOUSE TẠI TPHCM</t>
        </is>
      </c>
      <c r="E4151" t="inlineStr">
        <is>
          <t>Lương:15 Tr - 20 Tr VND</t>
        </is>
      </c>
      <c r="F4151" t="inlineStr">
        <is>
          <t>Hồ Chí Minh</t>
        </is>
      </c>
      <c r="G4151" t="inlineStr">
        <is>
          <t>03-04-2026</t>
        </is>
      </c>
      <c r="H4151" t="inlineStr">
        <is>
          <t>03/04/2026</t>
        </is>
      </c>
      <c r="I4151" t="inlineStr">
        <is>
          <t>17/03/2026</t>
        </is>
      </c>
      <c r="J4151" t="inlineStr">
        <is>
          <t>Dịch vụ khách hàng, Điện / Điện tử / Điện lạnh / Điện công nghiệp, Bảo trì / Sửa chữa</t>
        </is>
      </c>
      <c r="K4151" t="inlineStr">
        <is>
          <t>1 - 3 Năm</t>
        </is>
      </c>
      <c r="L4151" s="8">
        <f>HYPERLINK("https://careerviet.vn/vi/tim-viec-lam/truong-nhom-ky-thuat-bao-hanh.35C67268.html","Xem chi tiết")</f>
        <v/>
      </c>
    </row>
    <row r="4152">
      <c r="B4152" s="9" t="n">
        <v>4150</v>
      </c>
      <c r="C4152" s="10" t="inlineStr">
        <is>
          <t>Senior Sales (Building Material)</t>
        </is>
      </c>
      <c r="D4152" s="10" t="inlineStr">
        <is>
          <t>CÔNG TY TNHH AMERICA INDOCHINA MANAGEMENT VIETNAM</t>
        </is>
      </c>
      <c r="E4152" s="10" t="inlineStr">
        <is>
          <t>Lương:Cạnh tranh</t>
        </is>
      </c>
      <c r="F4152" s="10" t="inlineStr">
        <is>
          <t>Hà NộiHồ Chí Minh</t>
        </is>
      </c>
      <c r="G4152" s="10" t="inlineStr">
        <is>
          <t>08-03-2026</t>
        </is>
      </c>
      <c r="H4152" s="10" t="inlineStr">
        <is>
          <t>11/03/2026</t>
        </is>
      </c>
      <c r="I4152" s="10" t="inlineStr">
        <is>
          <t>17/03/2026</t>
        </is>
      </c>
      <c r="J4152" s="10" t="inlineStr">
        <is>
          <t>Bán hàng / Kinh doanh, Xây dựng, Nội ngoại thất</t>
        </is>
      </c>
      <c r="K4152" s="10" t="inlineStr">
        <is>
          <t>3 - 5 Năm</t>
        </is>
      </c>
      <c r="L4152" s="11">
        <f>HYPERLINK("https://careerviet.vn/vi/tim-viec-lam/senior-sales-building-material.35C68F6C.html","Xem chi tiết")</f>
        <v/>
      </c>
      <c r="M4152" s="10" t="n"/>
    </row>
    <row r="4153">
      <c r="B4153" s="7" t="n">
        <v>4151</v>
      </c>
      <c r="C4153" t="inlineStr">
        <is>
          <t>Test Technician (Kĩ thuật viên điện tử)</t>
        </is>
      </c>
      <c r="D4153" t="inlineStr">
        <is>
          <t>XP Power  Vietnam</t>
        </is>
      </c>
      <c r="E4153" t="inlineStr">
        <is>
          <t>Lương:Cạnh tranh</t>
        </is>
      </c>
      <c r="F4153" t="inlineStr">
        <is>
          <t>Hồ Chí Minh</t>
        </is>
      </c>
      <c r="G4153" t="inlineStr">
        <is>
          <t>03-04-2026</t>
        </is>
      </c>
      <c r="H4153" t="inlineStr">
        <is>
          <t>03/04/2026</t>
        </is>
      </c>
      <c r="I4153" t="inlineStr">
        <is>
          <t>17/03/2026</t>
        </is>
      </c>
      <c r="J4153" t="inlineStr">
        <is>
          <t>Điện / Điện tử / Điện lạnh / Điện công nghiệp</t>
        </is>
      </c>
      <c r="K4153" t="inlineStr">
        <is>
          <t>1 - 2 Năm</t>
        </is>
      </c>
      <c r="L4153" s="8">
        <f>HYPERLINK("https://careerviet.vn/vi/tim-viec-lam/test-technician-ki-thuat-vien-dien-tu.35C672C7.html","Xem chi tiết")</f>
        <v/>
      </c>
    </row>
    <row r="4154">
      <c r="B4154" s="9" t="n">
        <v>4152</v>
      </c>
      <c r="C4154" s="10" t="inlineStr">
        <is>
          <t>Kỹ sư tư vấn thiết kế hệ thống điện công nghiệp (Thu nhập 25-40 triệu/tháng)</t>
        </is>
      </c>
      <c r="D4154" s="10" t="inlineStr">
        <is>
          <t>Công ty TNHH Cơ Điện Lạnh EEP Việt Nam</t>
        </is>
      </c>
      <c r="E4154" s="10" t="inlineStr">
        <is>
          <t>Lương:25 Tr - 40 Tr VND</t>
        </is>
      </c>
      <c r="F4154" s="10" t="inlineStr">
        <is>
          <t>Hà Nội</t>
        </is>
      </c>
      <c r="G4154" s="10" t="inlineStr">
        <is>
          <t>03-04-2026</t>
        </is>
      </c>
      <c r="H4154" s="10" t="inlineStr">
        <is>
          <t>03/04/2026</t>
        </is>
      </c>
      <c r="I4154" s="10" t="inlineStr">
        <is>
          <t>17/03/2026</t>
        </is>
      </c>
      <c r="J4154" s="10" t="inlineStr">
        <is>
          <t>Điện / Điện tử / Điện lạnh / Điện công nghiệp, Xây dựng, Môi trường</t>
        </is>
      </c>
      <c r="K4154" s="10" t="inlineStr">
        <is>
          <t>5 - 10 Năm</t>
        </is>
      </c>
      <c r="L4154" s="11">
        <f>HYPERLINK("https://careerviet.vn/vi/tim-viec-lam/ky-su-tu-van-thiet-ke-he-thong-dien-cong-nghiep-thu-nhap-25-40-trieu-thang.35C647AD.html","Xem chi tiết")</f>
        <v/>
      </c>
      <c r="M4154" s="10" t="n"/>
    </row>
    <row r="4155">
      <c r="B4155" s="7" t="n">
        <v>4153</v>
      </c>
      <c r="C4155" t="inlineStr">
        <is>
          <t>Giám sát Shopdrawing/ Kỹ sư Shop drawing</t>
        </is>
      </c>
      <c r="D4155" t="inlineStr">
        <is>
          <t>Handong Engineering &amp; Construction JSC</t>
        </is>
      </c>
      <c r="E4155" t="inlineStr">
        <is>
          <t>Lương:20 Tr - 25 Tr VND</t>
        </is>
      </c>
      <c r="F4155" t="inlineStr">
        <is>
          <t>Đồng Nai</t>
        </is>
      </c>
      <c r="G4155" t="inlineStr">
        <is>
          <t>03-04-2026</t>
        </is>
      </c>
      <c r="H4155" t="inlineStr">
        <is>
          <t>03/04/2026</t>
        </is>
      </c>
      <c r="I4155" t="inlineStr">
        <is>
          <t>17/03/2026</t>
        </is>
      </c>
      <c r="J4155" t="inlineStr">
        <is>
          <t>Xây dựng, Kiến trúc</t>
        </is>
      </c>
      <c r="K4155" t="inlineStr">
        <is>
          <t>3 - 5 Năm</t>
        </is>
      </c>
      <c r="L4155" s="8">
        <f>HYPERLINK("https://careerviet.vn/vi/tim-viec-lam/giam-sat-shopdrawing-ky-su-shop-drawing.35C672C0.html","Xem chi tiết")</f>
        <v/>
      </c>
    </row>
    <row r="4156">
      <c r="B4156" s="9" t="n">
        <v>4154</v>
      </c>
      <c r="C4156" s="10" t="inlineStr">
        <is>
          <t>Giám đốc kinh doanh</t>
        </is>
      </c>
      <c r="D4156" s="10" t="inlineStr">
        <is>
          <t>CDC HOME DESIGN CENTER - CÔNG TY CỔ PHẦN CAO ĐÔNG</t>
        </is>
      </c>
      <c r="E4156" s="10" t="inlineStr">
        <is>
          <t>Lương:Trên 25 Tr VND</t>
        </is>
      </c>
      <c r="F4156" s="10" t="inlineStr">
        <is>
          <t>Hồ Chí MinhHà Nội</t>
        </is>
      </c>
      <c r="G4156" s="10" t="inlineStr">
        <is>
          <t>6</t>
        </is>
      </c>
      <c r="H4156" s="10" t="inlineStr">
        <is>
          <t>23/03/2026</t>
        </is>
      </c>
      <c r="I4156" s="10" t="inlineStr">
        <is>
          <t>17/03/2026</t>
        </is>
      </c>
      <c r="J4156" s="10" t="inlineStr">
        <is>
          <t>Bán hàng / Kinh doanh, Nội ngoại thất, Mỹ thuật / Nghệ thuật / Thiết kế</t>
        </is>
      </c>
      <c r="K4156" s="10" t="inlineStr">
        <is>
          <t>3 - 5 Năm</t>
        </is>
      </c>
      <c r="L4156" s="11">
        <f>HYPERLINK("https://careerviet.vn/vi/tim-viec-lam/giam-doc-kinh-doanh.35C68D51.html","Xem chi tiết")</f>
        <v/>
      </c>
      <c r="M4156" s="10" t="n"/>
    </row>
    <row r="4157">
      <c r="B4157" s="7" t="n">
        <v>4155</v>
      </c>
      <c r="C4157" t="inlineStr">
        <is>
          <t>Giám đốc Phòng Kinh doanh (SM) - Vùng Tây Hà Nội</t>
        </is>
      </c>
      <c r="D4157" t="inlineStr">
        <is>
          <t>Ngân Hàng TMCP Quốc Tế Việt Nam</t>
        </is>
      </c>
      <c r="E4157" t="inlineStr">
        <is>
          <t>Lương:20 Tr - 35 Tr VND</t>
        </is>
      </c>
      <c r="F4157" t="inlineStr">
        <is>
          <t>Hà NộiVĩnh PhúcPhú Thọ</t>
        </is>
      </c>
      <c r="G4157" t="inlineStr">
        <is>
          <t>03-04-2026</t>
        </is>
      </c>
      <c r="H4157" t="inlineStr">
        <is>
          <t>03/04/2026</t>
        </is>
      </c>
      <c r="I4157" t="inlineStr">
        <is>
          <t>17/03/2026</t>
        </is>
      </c>
      <c r="J4157" t="inlineStr">
        <is>
          <t>Bán hàng / Kinh doanh, Ngân hàng</t>
        </is>
      </c>
      <c r="K4157" t="inlineStr">
        <is>
          <t>4 - 10 Năm</t>
        </is>
      </c>
      <c r="L4157" s="8">
        <f>HYPERLINK("https://careerviet.vn/vi/tim-viec-lam/giam-doc-phong-kinh-doanh-sm-vung-tay-ha-noi.35C67295.html","Xem chi tiết")</f>
        <v/>
      </c>
    </row>
    <row r="4158">
      <c r="B4158" s="9" t="n">
        <v>4156</v>
      </c>
      <c r="C4158" s="10" t="inlineStr">
        <is>
          <t>Kế toán viên</t>
        </is>
      </c>
      <c r="D4158" s="10" t="inlineStr">
        <is>
          <t>Công Ty Cổ Phần A25 Hotel</t>
        </is>
      </c>
      <c r="E4158" s="10" t="inlineStr">
        <is>
          <t>Lương:18 Tr - 36 Tr VND</t>
        </is>
      </c>
      <c r="F4158" s="10" t="inlineStr">
        <is>
          <t>Hà Nội</t>
        </is>
      </c>
      <c r="G4158" s="10" t="inlineStr">
        <is>
          <t>31-03-2026</t>
        </is>
      </c>
      <c r="H4158" s="10" t="inlineStr">
        <is>
          <t>31/03/2026</t>
        </is>
      </c>
      <c r="I4158" s="10" t="inlineStr">
        <is>
          <t>17/03/2026</t>
        </is>
      </c>
      <c r="J4158" s="10" t="inlineStr">
        <is>
          <t>Kế toán / Kiểm toán, Nhà hàng / Khách sạn</t>
        </is>
      </c>
      <c r="K4158" s="10" t="inlineStr">
        <is>
          <t>1 - 2 Năm</t>
        </is>
      </c>
      <c r="L4158" s="11">
        <f>HYPERLINK("https://careerviet.vn/vi/tim-viec-lam/ke-toan-vien.35C68F34.html","Xem chi tiết")</f>
        <v/>
      </c>
      <c r="M4158" s="10" t="n"/>
    </row>
    <row r="4159">
      <c r="B4159" s="7" t="n">
        <v>4157</v>
      </c>
      <c r="C4159" t="inlineStr">
        <is>
          <t>Trưởng phòng Học thuật / Academic Manager</t>
        </is>
      </c>
      <c r="D4159" t="inlineStr">
        <is>
          <t>Công ty CP IIG Việt Nam</t>
        </is>
      </c>
      <c r="E4159" t="inlineStr">
        <is>
          <t>Lương:40 Tr - 50 Tr VND</t>
        </is>
      </c>
      <c r="F4159" t="inlineStr">
        <is>
          <t>Hà Nội</t>
        </is>
      </c>
      <c r="G4159" t="inlineStr">
        <is>
          <t>03-04-2026</t>
        </is>
      </c>
      <c r="H4159" t="inlineStr">
        <is>
          <t>03/04/2026</t>
        </is>
      </c>
      <c r="I4159" t="inlineStr">
        <is>
          <t>17/03/2026</t>
        </is>
      </c>
      <c r="J4159" t="inlineStr">
        <is>
          <t>Giáo dục / Đào tạo</t>
        </is>
      </c>
      <c r="K4159" t="inlineStr">
        <is>
          <t>5 - 7 Năm</t>
        </is>
      </c>
      <c r="L4159" s="8">
        <f>HYPERLINK("https://careerviet.vn/vi/tim-viec-lam/truong-phong-hoc-thuat-academic-manager.35C67408.html","Xem chi tiết")</f>
        <v/>
      </c>
    </row>
    <row r="4160">
      <c r="B4160" s="9" t="n">
        <v>4158</v>
      </c>
      <c r="C4160" s="10" t="inlineStr">
        <is>
          <t>Product Development Operation Assistant-Footwear</t>
        </is>
      </c>
      <c r="D4160" s="10" t="inlineStr">
        <is>
          <t>VĂN PHÒNG ĐẠI DIỆN ROFU SINGAPORE PTE. LTD. TẠI THÀNH PHỐ HỒ CHÍ MINH</t>
        </is>
      </c>
      <c r="E4160" s="10" t="inlineStr">
        <is>
          <t>Lương:Cạnh tranh</t>
        </is>
      </c>
      <c r="F4160" s="10" t="inlineStr">
        <is>
          <t>Bình Dương</t>
        </is>
      </c>
      <c r="G4160" s="10" t="inlineStr">
        <is>
          <t>04-04-2026</t>
        </is>
      </c>
      <c r="H4160" s="10" t="inlineStr">
        <is>
          <t>04/04/2026</t>
        </is>
      </c>
      <c r="I4160" s="10" t="inlineStr">
        <is>
          <t>17/03/2026</t>
        </is>
      </c>
      <c r="J4160" s="10" t="inlineStr">
        <is>
          <t>Dệt may / Da giày / Thời trang, Thu mua / Vật tư, Ngành khác</t>
        </is>
      </c>
      <c r="K4160" s="10" t="inlineStr">
        <is>
          <t>3 - 5 Năm</t>
        </is>
      </c>
      <c r="L4160" s="11">
        <f>HYPERLINK("https://careerviet.vn/vi/tim-viec-lam/product-development-operation-assistant-footwear.35C673A3.html","Xem chi tiết")</f>
        <v/>
      </c>
      <c r="M4160" s="10" t="n"/>
    </row>
    <row r="4161">
      <c r="B4161" s="7" t="n">
        <v>4159</v>
      </c>
      <c r="C4161" t="inlineStr">
        <is>
          <t>Trưởng phòng R&amp;D (Có xe đưa đón)</t>
        </is>
      </c>
      <c r="D4161" t="inlineStr">
        <is>
          <t>CÔNG TY CỔ PHẦN TẬP ĐOÀN VIHAMARK</t>
        </is>
      </c>
      <c r="E4161" t="inlineStr">
        <is>
          <t>Lương:20 Tr - 30 Tr VND</t>
        </is>
      </c>
      <c r="F4161" t="inlineStr">
        <is>
          <t>Hà NộiHà Nam</t>
        </is>
      </c>
      <c r="G4161" t="inlineStr">
        <is>
          <t>02-04-2026</t>
        </is>
      </c>
      <c r="H4161" t="inlineStr">
        <is>
          <t>02/04/2026</t>
        </is>
      </c>
      <c r="I4161" t="inlineStr">
        <is>
          <t>17/03/2026</t>
        </is>
      </c>
      <c r="J4161" t="inlineStr">
        <is>
          <t>Thực phẩm &amp; Đồ uống, Sản xuất / Vận hành sản xuất, Công nghệ thực phẩm / Dinh dưỡng</t>
        </is>
      </c>
      <c r="K4161" t="inlineStr">
        <is>
          <t>5 - 10 Năm</t>
        </is>
      </c>
      <c r="L4161" s="8">
        <f>HYPERLINK("https://careerviet.vn/vi/tim-viec-lam/truong-phong-r-d-co-xe-dua-don.35C647DE.html","Xem chi tiết")</f>
        <v/>
      </c>
    </row>
    <row r="4162">
      <c r="B4162" s="9" t="n">
        <v>4160</v>
      </c>
      <c r="C4162" s="10" t="inlineStr">
        <is>
          <t>Trưởng Ca Khai Thác Cảng</t>
        </is>
      </c>
      <c r="D4162" s="10" t="inlineStr">
        <is>
          <t>Công Ty Cổ Phần Vina Logistics</t>
        </is>
      </c>
      <c r="E4162" s="10" t="inlineStr">
        <is>
          <t>Lương:Cạnh tranh</t>
        </is>
      </c>
      <c r="F4162" s="10" t="inlineStr">
        <is>
          <t>Bà Rịa - Vũng Tàu</t>
        </is>
      </c>
      <c r="G4162" s="10" t="inlineStr">
        <is>
          <t>03-04-2026</t>
        </is>
      </c>
      <c r="H4162" s="10" t="inlineStr">
        <is>
          <t>03/04/2026</t>
        </is>
      </c>
      <c r="I4162" s="10" t="inlineStr">
        <is>
          <t>17/03/2026</t>
        </is>
      </c>
      <c r="J4162" s="10" t="inlineStr">
        <is>
          <t>Hàng hải</t>
        </is>
      </c>
      <c r="K4162" s="10" t="inlineStr">
        <is>
          <t>Trên 1 Năm</t>
        </is>
      </c>
      <c r="L4162" s="11">
        <f>HYPERLINK("https://careerviet.vn/vi/tim-viec-lam/truong-ca-khai-thac-cang.35C672DD.html","Xem chi tiết")</f>
        <v/>
      </c>
      <c r="M4162" s="10" t="n"/>
    </row>
    <row r="4163">
      <c r="B4163" s="7" t="n">
        <v>4161</v>
      </c>
      <c r="C4163" t="inlineStr">
        <is>
          <t>IT Helpdesk</t>
        </is>
      </c>
      <c r="D4163" t="inlineStr">
        <is>
          <t>UrBox - Công ty Cổ phần Tiếp Thị Số Tô Quà</t>
        </is>
      </c>
      <c r="E4163" t="inlineStr">
        <is>
          <t>Lương:Cạnh tranh</t>
        </is>
      </c>
      <c r="F4163" t="inlineStr">
        <is>
          <t>Hà Nội</t>
        </is>
      </c>
      <c r="G4163" t="inlineStr">
        <is>
          <t>03-04-2026</t>
        </is>
      </c>
      <c r="H4163" t="inlineStr">
        <is>
          <t>03/04/2026</t>
        </is>
      </c>
      <c r="I4163" t="inlineStr">
        <is>
          <t>17/03/2026</t>
        </is>
      </c>
      <c r="J4163" t="inlineStr">
        <is>
          <t>CNTT - Phần cứng / Mạng</t>
        </is>
      </c>
      <c r="K4163" t="inlineStr">
        <is>
          <t>2 - 3 Năm</t>
        </is>
      </c>
      <c r="L4163" s="8">
        <f>HYPERLINK("https://careerviet.vn/vi/tim-viec-lam/it-helpdesk.35C673FA.html","Xem chi tiết")</f>
        <v/>
      </c>
    </row>
    <row r="4164">
      <c r="B4164" s="9" t="n">
        <v>4162</v>
      </c>
      <c r="C4164" s="10" t="inlineStr">
        <is>
          <t>HƯNG YÊN - NHÂN VIÊN CƠ ĐIỆN ( 10-15 TR)</t>
        </is>
      </c>
      <c r="D4164" s="10" t="inlineStr">
        <is>
          <t>CÔNG TY CỔ PHẦN TẬP ĐOÀN DEKKO</t>
        </is>
      </c>
      <c r="E4164" s="10" t="inlineStr">
        <is>
          <t>Lương:10 Tr - 15 Tr VND</t>
        </is>
      </c>
      <c r="F4164" s="10" t="inlineStr">
        <is>
          <t>Hưng Yên</t>
        </is>
      </c>
      <c r="G4164" s="10" t="inlineStr">
        <is>
          <t>03-04-2026</t>
        </is>
      </c>
      <c r="H4164" s="10" t="inlineStr">
        <is>
          <t>03/04/2026</t>
        </is>
      </c>
      <c r="I4164" s="10" t="inlineStr">
        <is>
          <t>17/03/2026</t>
        </is>
      </c>
      <c r="J4164" s="10" t="inlineStr">
        <is>
          <t>Điện / Điện tử / Điện lạnh / Điện công nghiệp</t>
        </is>
      </c>
      <c r="K4164" s="10" t="inlineStr">
        <is>
          <t>Chưa có kinh nghiệm</t>
        </is>
      </c>
      <c r="L4164" s="11">
        <f>HYPERLINK("https://careerviet.vn/vi/tim-viec-lam/hung-yen-nhan-vien-co-dien-10-15-tr.35C673E2.html","Xem chi tiết")</f>
        <v/>
      </c>
      <c r="M4164" s="10" t="n"/>
    </row>
    <row r="4165">
      <c r="B4165" s="7" t="n">
        <v>4163</v>
      </c>
      <c r="C4165" t="inlineStr">
        <is>
          <t>Air Cargo Sales &amp; Reservation Team Leader</t>
        </is>
      </c>
      <c r="D4165" t="inlineStr">
        <is>
          <t>CÔNG TY CỔ PHẦN ITL AVIATION LOGISTICS</t>
        </is>
      </c>
      <c r="E4165" t="inlineStr">
        <is>
          <t>Lương:Cạnh tranh</t>
        </is>
      </c>
      <c r="F4165" t="inlineStr">
        <is>
          <t>Đà Nẵng</t>
        </is>
      </c>
      <c r="G4165" t="inlineStr">
        <is>
          <t>03-04-2026</t>
        </is>
      </c>
      <c r="H4165" t="inlineStr">
        <is>
          <t>03/04/2026</t>
        </is>
      </c>
      <c r="I4165" t="inlineStr">
        <is>
          <t>17/03/2026</t>
        </is>
      </c>
      <c r="J4165" t="inlineStr">
        <is>
          <t>Bán hàng / Kinh doanh, Vận chuyển / Giao nhận / Kho vận, Hàng không</t>
        </is>
      </c>
      <c r="K4165" t="inlineStr">
        <is>
          <t>3 - 4 Năm</t>
        </is>
      </c>
      <c r="L4165" s="8">
        <f>HYPERLINK("https://careerviet.vn/vi/tim-viec-lam/air-cargo-sales-reservation-team-leader.35C647E9.html","Xem chi tiết")</f>
        <v/>
      </c>
    </row>
    <row r="4166">
      <c r="B4166" s="9" t="n">
        <v>4164</v>
      </c>
      <c r="C4166" s="10" t="inlineStr">
        <is>
          <t>Product Development Engineering</t>
        </is>
      </c>
      <c r="D4166" s="10" t="inlineStr">
        <is>
          <t>CÔNG TY TNHH DỊCH VỤ THƯƠNG MẠI THIÊN HỒNG</t>
        </is>
      </c>
      <c r="E4166" s="10" t="inlineStr">
        <is>
          <t>Lương:20 Tr - 25 Tr VND</t>
        </is>
      </c>
      <c r="F4166" s="10" t="inlineStr">
        <is>
          <t>Bình Dương</t>
        </is>
      </c>
      <c r="G4166" s="10" t="inlineStr">
        <is>
          <t>03-04-2026</t>
        </is>
      </c>
      <c r="H4166" s="10" t="inlineStr">
        <is>
          <t>03/04/2026</t>
        </is>
      </c>
      <c r="I4166" s="10" t="inlineStr">
        <is>
          <t>17/03/2026</t>
        </is>
      </c>
      <c r="J4166" s="10" t="inlineStr">
        <is>
          <t>Đồ gỗ, Nội ngoại thất</t>
        </is>
      </c>
      <c r="K4166" s="10" t="inlineStr">
        <is>
          <t>3 - 5 Năm</t>
        </is>
      </c>
      <c r="L4166" s="11">
        <f>HYPERLINK("https://careerviet.vn/vi/tim-viec-lam/product-development-engineering.35C67345.html","Xem chi tiết")</f>
        <v/>
      </c>
      <c r="M4166" s="10" t="n"/>
    </row>
    <row r="4167">
      <c r="B4167" s="7" t="n">
        <v>4165</v>
      </c>
      <c r="C4167" t="inlineStr">
        <is>
          <t>Giám Sát Kinh Doanh (Sales Supervisor)</t>
        </is>
      </c>
      <c r="D4167" t="inlineStr">
        <is>
          <t>Công ty cổ phần Thiết bị Metech</t>
        </is>
      </c>
      <c r="E4167" t="inlineStr">
        <is>
          <t>Lương:15 Tr - 20 Tr VND</t>
        </is>
      </c>
      <c r="F4167" t="inlineStr">
        <is>
          <t>Hà Nội</t>
        </is>
      </c>
      <c r="G4167" t="inlineStr">
        <is>
          <t>03-04-2026</t>
        </is>
      </c>
      <c r="H4167" t="inlineStr">
        <is>
          <t>03/04/2026</t>
        </is>
      </c>
      <c r="I4167" t="inlineStr">
        <is>
          <t>17/03/2026</t>
        </is>
      </c>
      <c r="J4167" t="inlineStr">
        <is>
          <t>Y tế / Chăm sóc sức khỏe / Thẩm mỹ / Làm đẹp, Bán hàng / Kinh doanh, Quản lý điều hành</t>
        </is>
      </c>
      <c r="K4167" t="inlineStr">
        <is>
          <t>Trên 3 Năm</t>
        </is>
      </c>
      <c r="L4167" s="8">
        <f>HYPERLINK("https://careerviet.vn/vi/tim-viec-lam/giam-sat-kinh-doanh-sales-supervisor.35C672B9.html","Xem chi tiết")</f>
        <v/>
      </c>
    </row>
    <row r="4168">
      <c r="B4168" s="9" t="n">
        <v>4166</v>
      </c>
      <c r="C4168" s="10" t="inlineStr">
        <is>
          <t>CỘNG TÁC VIÊN KINH DOANH HỆ THỐNG CHUỖI (PERFORMANCE LEAD)</t>
        </is>
      </c>
      <c r="D4168" s="10" t="inlineStr">
        <is>
          <t>CÔNG TY TNHH DƯỢC PHẨM ĐẠI PHÚ AN</t>
        </is>
      </c>
      <c r="E4168" s="10" t="inlineStr">
        <is>
          <t>Lương:2 Tr - 5 Tr VND</t>
        </is>
      </c>
      <c r="F4168" s="10" t="inlineStr">
        <is>
          <t>Hồ Chí Minh</t>
        </is>
      </c>
      <c r="G4168" s="10" t="inlineStr">
        <is>
          <t>03-04-2026</t>
        </is>
      </c>
      <c r="H4168" s="10" t="inlineStr">
        <is>
          <t>03/04/2026</t>
        </is>
      </c>
      <c r="I4168" s="10" t="inlineStr">
        <is>
          <t>17/03/2026</t>
        </is>
      </c>
      <c r="J4168" s="10" t="inlineStr">
        <is>
          <t>Bán hàng / Kinh doanh</t>
        </is>
      </c>
      <c r="K4168" s="10" t="inlineStr">
        <is>
          <t>1 - 2 Năm</t>
        </is>
      </c>
      <c r="L4168" s="11">
        <f>HYPERLINK("https://careerviet.vn/vi/tim-viec-lam/cong-tac-vien-kinh-doanh-he-thong-chuoi-performance-lead.35C67254.html","Xem chi tiết")</f>
        <v/>
      </c>
      <c r="M4168" s="10" t="n"/>
    </row>
    <row r="4169">
      <c r="B4169" s="7" t="n">
        <v>4167</v>
      </c>
      <c r="C4169" t="inlineStr">
        <is>
          <t>Nhân Viên Thiết Kế RnD</t>
        </is>
      </c>
      <c r="D4169" t="inlineStr">
        <is>
          <t>Công ty TNHH Thương Mại và Sản xuất ĐỨC MINH</t>
        </is>
      </c>
      <c r="E4169" t="inlineStr">
        <is>
          <t>Lương:9 Tr - 15 Tr VND</t>
        </is>
      </c>
      <c r="F4169" t="inlineStr">
        <is>
          <t>Hà Nội</t>
        </is>
      </c>
      <c r="G4169" t="inlineStr">
        <is>
          <t>03-04-2026</t>
        </is>
      </c>
      <c r="H4169" t="inlineStr">
        <is>
          <t>03/04/2026</t>
        </is>
      </c>
      <c r="I4169" t="inlineStr">
        <is>
          <t>17/03/2026</t>
        </is>
      </c>
      <c r="J4169" t="inlineStr">
        <is>
          <t>Cơ khí / Ô tô / Tự động hóa, Điện / Điện tử / Điện lạnh / Điện công nghiệp, Mới tốt nghiệp / Thực tập</t>
        </is>
      </c>
      <c r="K4169" t="inlineStr">
        <is>
          <t>Lên đến 2 Năm</t>
        </is>
      </c>
      <c r="L4169" s="8">
        <f>HYPERLINK("https://careerviet.vn/vi/tim-viec-lam/nhan-vien-thiet-ke-rnd.35C646A5.html","Xem chi tiết")</f>
        <v/>
      </c>
    </row>
    <row r="4170">
      <c r="B4170" s="9" t="n">
        <v>4168</v>
      </c>
      <c r="C4170" s="10" t="inlineStr">
        <is>
          <t>KIẾN TRÚC SƯ TRIỂN KHAI</t>
        </is>
      </c>
      <c r="D4170" s="10" t="inlineStr">
        <is>
          <t>APS Concept</t>
        </is>
      </c>
      <c r="E4170" s="10" t="inlineStr">
        <is>
          <t>Lương:15 Tr - 20 Tr VND</t>
        </is>
      </c>
      <c r="F4170" s="10" t="inlineStr">
        <is>
          <t>Hồ Chí Minh</t>
        </is>
      </c>
      <c r="G4170" s="10" t="inlineStr">
        <is>
          <t>08-04-2026</t>
        </is>
      </c>
      <c r="H4170" s="10" t="inlineStr">
        <is>
          <t>08/04/2026</t>
        </is>
      </c>
      <c r="I4170" s="10" t="inlineStr">
        <is>
          <t>17/03/2026</t>
        </is>
      </c>
      <c r="J4170" s="10" t="inlineStr">
        <is>
          <t>Nội ngoại thất, Xây dựng, Kiến trúc</t>
        </is>
      </c>
      <c r="K4170" s="10" t="inlineStr">
        <is>
          <t>5 - 8 Năm</t>
        </is>
      </c>
      <c r="L4170" s="11">
        <f>HYPERLINK("https://careerviet.vn/vi/tim-viec-lam/kien-truc-su-trien-khai.35C65C7E.html","Xem chi tiết")</f>
        <v/>
      </c>
      <c r="M4170" s="10" t="n"/>
    </row>
    <row r="4171">
      <c r="B4171" s="7" t="n">
        <v>4169</v>
      </c>
      <c r="C4171" t="inlineStr">
        <is>
          <t>E-COMMERCE MANAGER (Ngành hàng FMCG)</t>
        </is>
      </c>
      <c r="D4171" t="inlineStr">
        <is>
          <t>Công Ty TNHH Thương Mại Xuất Nhập Khẩu Fani</t>
        </is>
      </c>
      <c r="E4171" t="inlineStr">
        <is>
          <t>Lương:30 Tr - 50 Tr VND</t>
        </is>
      </c>
      <c r="F4171" t="inlineStr">
        <is>
          <t>Hà Nội</t>
        </is>
      </c>
      <c r="G4171" t="inlineStr">
        <is>
          <t>03-04-2026</t>
        </is>
      </c>
      <c r="H4171" t="inlineStr">
        <is>
          <t>03/04/2026</t>
        </is>
      </c>
      <c r="I4171" t="inlineStr">
        <is>
          <t>17/03/2026</t>
        </is>
      </c>
      <c r="J4171" t="inlineStr">
        <is>
          <t>Thương mại điện tử, Tiếp thị / Marketing, Bán hàng / Kinh doanh</t>
        </is>
      </c>
      <c r="K4171" t="inlineStr">
        <is>
          <t>2 - 3 Năm</t>
        </is>
      </c>
      <c r="L4171" s="8">
        <f>HYPERLINK("https://careerviet.vn/vi/tim-viec-lam/e-commerce-manager-nganh-hang-fmcg.35C6476E.html","Xem chi tiết")</f>
        <v/>
      </c>
    </row>
    <row r="4172">
      <c r="B4172" s="9" t="n">
        <v>4170</v>
      </c>
      <c r="C4172" s="10" t="inlineStr">
        <is>
          <t>Nghệ An - Nhân Viên Giao Hàng Xe Tải</t>
        </is>
      </c>
      <c r="D4172" s="10" t="inlineStr">
        <is>
          <t>Abbott</t>
        </is>
      </c>
      <c r="E4172" s="10" t="inlineStr">
        <is>
          <t>Lương:Cạnh tranh</t>
        </is>
      </c>
      <c r="F4172" s="10" t="inlineStr">
        <is>
          <t>Nghệ An</t>
        </is>
      </c>
      <c r="G4172" s="10" t="inlineStr">
        <is>
          <t>03-04-2026</t>
        </is>
      </c>
      <c r="H4172" s="10" t="inlineStr">
        <is>
          <t>03/04/2026</t>
        </is>
      </c>
      <c r="I4172" s="10" t="inlineStr">
        <is>
          <t>17/03/2026</t>
        </is>
      </c>
      <c r="J4172" s="10" t="inlineStr">
        <is>
          <t>Bán lẻ / Bán sỉ, Vận chuyển / Giao nhận / Kho vận</t>
        </is>
      </c>
      <c r="K4172" s="10" t="inlineStr">
        <is>
          <t>N/A</t>
        </is>
      </c>
      <c r="L4172" s="11">
        <f>HYPERLINK("https://careerviet.vn/vi/tim-viec-lam/nghe-an-nhan-vien-giao-hang-xe-tai.35C672BF.html","Xem chi tiết")</f>
        <v/>
      </c>
      <c r="M4172" s="10" t="n"/>
    </row>
    <row r="4173">
      <c r="B4173" s="7" t="n">
        <v>4171</v>
      </c>
      <c r="C4173" t="inlineStr">
        <is>
          <t>[Bình Dương] Nhân Viên Kiểm Soát Nội Bộ</t>
        </is>
      </c>
      <c r="D4173" t="inlineStr">
        <is>
          <t>Công Ty TNHH CJ Vina Agri</t>
        </is>
      </c>
      <c r="E4173" t="inlineStr">
        <is>
          <t>Lương:10 Tr - 15 Tr VND</t>
        </is>
      </c>
      <c r="F4173" t="inlineStr">
        <is>
          <t>Bình Dương</t>
        </is>
      </c>
      <c r="G4173" t="inlineStr">
        <is>
          <t>03-04-2026</t>
        </is>
      </c>
      <c r="H4173" t="inlineStr">
        <is>
          <t>03/04/2026</t>
        </is>
      </c>
      <c r="I4173" t="inlineStr">
        <is>
          <t>17/03/2026</t>
        </is>
      </c>
      <c r="J4173" t="inlineStr">
        <is>
          <t>Bán hàng / Kinh doanh, Kế toán / Kiểm toán, Chăn nuôi / Thú y</t>
        </is>
      </c>
      <c r="K4173" t="inlineStr">
        <is>
          <t>2 - 5 Năm</t>
        </is>
      </c>
      <c r="L4173" s="8">
        <f>HYPERLINK("https://careerviet.vn/vi/tim-viec-lam/binh-duong-nhan-vien-kiem-soat-noi-bo.35C67362.html","Xem chi tiết")</f>
        <v/>
      </c>
    </row>
    <row r="4174">
      <c r="B4174" s="9" t="n">
        <v>4172</v>
      </c>
      <c r="C4174" s="10" t="inlineStr">
        <is>
          <t>Giám đốc Phòng Xử lý nợ Ngoại bảng</t>
        </is>
      </c>
      <c r="D4174" s="10" t="inlineStr">
        <is>
          <t>Ngân Hàng TMCP Quốc Tế Việt Nam</t>
        </is>
      </c>
      <c r="E4174" s="10" t="inlineStr">
        <is>
          <t>Lương:Cạnh tranh</t>
        </is>
      </c>
      <c r="F4174" s="10" t="inlineStr">
        <is>
          <t>Hồ Chí MinhCần Thơ</t>
        </is>
      </c>
      <c r="G4174" s="10" t="inlineStr">
        <is>
          <t>03-04-2026</t>
        </is>
      </c>
      <c r="H4174" s="10" t="inlineStr">
        <is>
          <t>03/04/2026</t>
        </is>
      </c>
      <c r="I4174" s="10" t="inlineStr">
        <is>
          <t>17/03/2026</t>
        </is>
      </c>
      <c r="J4174" s="10" t="inlineStr">
        <is>
          <t>Luật / Pháp lý, Ngân hàng, Tài chính / Đầu tư</t>
        </is>
      </c>
      <c r="K4174" s="10" t="inlineStr">
        <is>
          <t>3 - 8 Năm</t>
        </is>
      </c>
      <c r="L4174" s="11">
        <f>HYPERLINK("https://careerviet.vn/vi/tim-viec-lam/giam-doc-phong-xu-ly-no-ngoai-bang.35C6732A.html","Xem chi tiết")</f>
        <v/>
      </c>
      <c r="M4174" s="10" t="n"/>
    </row>
    <row r="4175">
      <c r="B4175" s="7" t="n">
        <v>4173</v>
      </c>
      <c r="C4175" t="inlineStr">
        <is>
          <t>Nhân viên kinh doanh</t>
        </is>
      </c>
      <c r="D4175" t="inlineStr">
        <is>
          <t>CÔNG TY TNHH MỘT THÀNH VIÊN KỸ THUẬT LÊ THƯƠNG</t>
        </is>
      </c>
      <c r="E4175" t="inlineStr">
        <is>
          <t>Lương:Cạnh tranh</t>
        </is>
      </c>
      <c r="F4175" t="inlineStr">
        <is>
          <t>Hồ Chí Minh</t>
        </is>
      </c>
      <c r="G4175" t="inlineStr">
        <is>
          <t>02-04-2026</t>
        </is>
      </c>
      <c r="H4175" t="inlineStr">
        <is>
          <t>02/04/2026</t>
        </is>
      </c>
      <c r="I4175" t="inlineStr">
        <is>
          <t>17/03/2026</t>
        </is>
      </c>
      <c r="J4175" t="inlineStr">
        <is>
          <t>Bán Hàng Kỹ Thuật, An toàn lao động, Bán hàng / Kinh doanh</t>
        </is>
      </c>
      <c r="K4175" t="inlineStr">
        <is>
          <t>N/A</t>
        </is>
      </c>
      <c r="L4175" s="8">
        <f>HYPERLINK("https://careerviet.vn/vi/tim-viec-lam/nhan-vien-kinh-doanh.35C67391.html","Xem chi tiết")</f>
        <v/>
      </c>
    </row>
    <row r="4176">
      <c r="B4176" s="9" t="n">
        <v>4174</v>
      </c>
      <c r="C4176" s="10" t="inlineStr">
        <is>
          <t>NHÂN VIÊN KẾ TOÁN - TRUNG TÂM PHÂN PHỐI MIỀN BẮC (BẮC NINH)</t>
        </is>
      </c>
      <c r="D4176" s="10" t="inlineStr">
        <is>
          <t>Liên Hiệp HTX Thương Mại TPHCM - SAIGON CO.OP</t>
        </is>
      </c>
      <c r="E4176" s="10" t="inlineStr">
        <is>
          <t>Lương:Cạnh tranh</t>
        </is>
      </c>
      <c r="F4176" s="10" t="inlineStr">
        <is>
          <t>Bắc Ninh</t>
        </is>
      </c>
      <c r="G4176" s="10" t="inlineStr">
        <is>
          <t>03-04-2026</t>
        </is>
      </c>
      <c r="H4176" s="10" t="inlineStr">
        <is>
          <t>03/04/2026</t>
        </is>
      </c>
      <c r="I4176" s="10" t="inlineStr">
        <is>
          <t>17/03/2026</t>
        </is>
      </c>
      <c r="J4176" s="10" t="inlineStr">
        <is>
          <t>Kế toán / Kiểm toán</t>
        </is>
      </c>
      <c r="K4176" s="10" t="inlineStr">
        <is>
          <t>Trên 1 Năm</t>
        </is>
      </c>
      <c r="L4176" s="11">
        <f>HYPERLINK("https://careerviet.vn/vi/tim-viec-lam/nhan-vien-ke-toan-trung-tam-phan-phoi-mien-bac-bac-ninh.35C6723C.html","Xem chi tiết")</f>
        <v/>
      </c>
      <c r="M4176" s="10" t="n"/>
    </row>
    <row r="4177">
      <c r="B4177" s="7" t="n">
        <v>4175</v>
      </c>
      <c r="C4177" t="inlineStr">
        <is>
          <t>Senior Graphic Designer</t>
        </is>
      </c>
      <c r="D4177" t="inlineStr">
        <is>
          <t>Công ty TNHH Truyền Thông Wise</t>
        </is>
      </c>
      <c r="E4177" t="inlineStr">
        <is>
          <t>Lương:15 Tr - 18 Tr VND</t>
        </is>
      </c>
      <c r="F4177" t="inlineStr">
        <is>
          <t>Hà Nội</t>
        </is>
      </c>
      <c r="G4177" t="inlineStr">
        <is>
          <t>03-04-2026</t>
        </is>
      </c>
      <c r="H4177" t="inlineStr">
        <is>
          <t>03/04/2026</t>
        </is>
      </c>
      <c r="I4177" t="inlineStr">
        <is>
          <t>17/03/2026</t>
        </is>
      </c>
      <c r="J4177" t="inlineStr">
        <is>
          <t>Mỹ thuật / Nghệ thuật / Thiết kế, Quảng cáo / Đối ngoại / Truyền Thông</t>
        </is>
      </c>
      <c r="K4177" t="inlineStr">
        <is>
          <t>4 - 6 Năm</t>
        </is>
      </c>
      <c r="L4177" s="8">
        <f>HYPERLINK("https://careerviet.vn/vi/tim-viec-lam/senior-graphic-designer.35C672C2.html","Xem chi tiết")</f>
        <v/>
      </c>
    </row>
    <row r="4178">
      <c r="B4178" s="9" t="n">
        <v>4176</v>
      </c>
      <c r="C4178" s="10" t="inlineStr">
        <is>
          <t>[Hà Nội] Chuyên viên chính Hỗ trợ giao dịch nguồn vốn</t>
        </is>
      </c>
      <c r="D4178" s="10" t="inlineStr">
        <is>
          <t>Ngân hàng TMCP Lộc Phát Việt Nam (LPBank)</t>
        </is>
      </c>
      <c r="E4178" s="10" t="inlineStr">
        <is>
          <t>Lương:Cạnh tranh</t>
        </is>
      </c>
      <c r="F4178" s="10" t="inlineStr">
        <is>
          <t>Hà Nội</t>
        </is>
      </c>
      <c r="G4178" s="10" t="inlineStr">
        <is>
          <t>03-04-2026</t>
        </is>
      </c>
      <c r="H4178" s="10" t="inlineStr">
        <is>
          <t>03/04/2026</t>
        </is>
      </c>
      <c r="I4178" s="10" t="inlineStr">
        <is>
          <t>17/03/2026</t>
        </is>
      </c>
      <c r="J4178" s="10" t="inlineStr">
        <is>
          <t>Ngân hàng</t>
        </is>
      </c>
      <c r="K4178" s="10" t="inlineStr">
        <is>
          <t>1 - 3 Năm</t>
        </is>
      </c>
      <c r="L4178" s="11">
        <f>HYPERLINK("https://careerviet.vn/vi/tim-viec-lam/ha-noi-chuyen-vien-chinh-ho-tro-giao-dich-nguon-von.35C67298.html","Xem chi tiết")</f>
        <v/>
      </c>
      <c r="M4178" s="10" t="n"/>
    </row>
    <row r="4179">
      <c r="B4179" s="7" t="n">
        <v>4177</v>
      </c>
      <c r="C4179" t="inlineStr">
        <is>
          <t>Nhân Viên Kế Hoạch Sản Xuất</t>
        </is>
      </c>
      <c r="D4179" t="inlineStr">
        <is>
          <t>ATAD Steel Structure Corporation</t>
        </is>
      </c>
      <c r="E4179" t="inlineStr">
        <is>
          <t>Lương:Cạnh tranh</t>
        </is>
      </c>
      <c r="F4179" t="inlineStr">
        <is>
          <t>Đồng NaiLong AnBà Rịa - Vũng Tàu</t>
        </is>
      </c>
      <c r="G4179" t="inlineStr">
        <is>
          <t>03-04-2026</t>
        </is>
      </c>
      <c r="H4179" t="inlineStr">
        <is>
          <t>03/04/2026</t>
        </is>
      </c>
      <c r="I4179" t="inlineStr">
        <is>
          <t>17/03/2026</t>
        </is>
      </c>
      <c r="J4179" t="inlineStr">
        <is>
          <t>Cơ khí / Ô tô / Tự động hóa</t>
        </is>
      </c>
      <c r="K4179" t="inlineStr">
        <is>
          <t>1 - 2 Năm</t>
        </is>
      </c>
      <c r="L4179" s="8">
        <f>HYPERLINK("https://careerviet.vn/vi/tim-viec-lam/nhan-vien-ke-hoach-san-xuat.35C672D9.html","Xem chi tiết")</f>
        <v/>
      </c>
    </row>
    <row r="4180">
      <c r="B4180" s="9" t="n">
        <v>4178</v>
      </c>
      <c r="C4180" s="10" t="inlineStr">
        <is>
          <t>Kế toán trưởng</t>
        </is>
      </c>
      <c r="D4180" s="10" t="inlineStr">
        <is>
          <t>Công ty Cổ phần Biên Hòa - Thành Long</t>
        </is>
      </c>
      <c r="E4180" s="10" t="inlineStr">
        <is>
          <t>Lương:Cạnh tranh</t>
        </is>
      </c>
      <c r="F4180" s="10" t="inlineStr">
        <is>
          <t>Tây Ninh</t>
        </is>
      </c>
      <c r="G4180" s="10" t="inlineStr">
        <is>
          <t>03-04-2026</t>
        </is>
      </c>
      <c r="H4180" s="10" t="inlineStr">
        <is>
          <t>03/04/2026</t>
        </is>
      </c>
      <c r="I4180" s="10" t="inlineStr">
        <is>
          <t>17/03/2026</t>
        </is>
      </c>
      <c r="J4180" s="10" t="inlineStr">
        <is>
          <t>Kế toán / Kiểm toán, Tài chính / Đầu tư</t>
        </is>
      </c>
      <c r="K4180" s="10" t="inlineStr">
        <is>
          <t>3 - 5 Năm</t>
        </is>
      </c>
      <c r="L4180" s="11">
        <f>HYPERLINK("https://careerviet.vn/vi/tim-viec-lam/ke-toan-truong.35C6736C.html","Xem chi tiết")</f>
        <v/>
      </c>
      <c r="M4180" s="10" t="n"/>
    </row>
    <row r="4181">
      <c r="B4181" s="7" t="n">
        <v>4179</v>
      </c>
      <c r="C4181" t="inlineStr">
        <is>
          <t>Chuyên Gia Phân Tích Tài Chính Kinh Doanh</t>
        </is>
      </c>
      <c r="D4181" t="inlineStr">
        <is>
          <t>ABBANK - Ngân Hàng TMCP An Bình</t>
        </is>
      </c>
      <c r="E4181" t="inlineStr">
        <is>
          <t>Lương:Cạnh tranh</t>
        </is>
      </c>
      <c r="F4181" t="inlineStr">
        <is>
          <t>Hà Nội</t>
        </is>
      </c>
      <c r="G4181" t="inlineStr">
        <is>
          <t>03-04-2026</t>
        </is>
      </c>
      <c r="H4181" t="inlineStr">
        <is>
          <t>03/04/2026</t>
        </is>
      </c>
      <c r="I4181" t="inlineStr">
        <is>
          <t>17/03/2026</t>
        </is>
      </c>
      <c r="J4181" t="inlineStr">
        <is>
          <t>Ngân hàng, Tài chính / Đầu tư</t>
        </is>
      </c>
      <c r="K4181" t="inlineStr">
        <is>
          <t>3 - 7 Năm</t>
        </is>
      </c>
      <c r="L4181" s="8">
        <f>HYPERLINK("https://careerviet.vn/vi/tim-viec-lam/chuyen-gia-phan-tich-tai-chinh-kinh-doanh.35C67357.html","Xem chi tiết")</f>
        <v/>
      </c>
    </row>
    <row r="4182">
      <c r="B4182" s="9" t="n">
        <v>4180</v>
      </c>
      <c r="C4182" s="10" t="inlineStr">
        <is>
          <t>Nhân Viên An Toàn Nhà Máy</t>
        </is>
      </c>
      <c r="D4182" s="10" t="inlineStr">
        <is>
          <t>ATAD Steel Structure Corporation</t>
        </is>
      </c>
      <c r="E4182" s="10" t="inlineStr">
        <is>
          <t>Lương:Cạnh tranh</t>
        </is>
      </c>
      <c r="F4182" s="10" t="inlineStr">
        <is>
          <t>Đồng Nai</t>
        </is>
      </c>
      <c r="G4182" s="10" t="inlineStr">
        <is>
          <t>03-04-2026</t>
        </is>
      </c>
      <c r="H4182" s="10" t="inlineStr">
        <is>
          <t>03/04/2026</t>
        </is>
      </c>
      <c r="I4182" s="10" t="inlineStr">
        <is>
          <t>17/03/2026</t>
        </is>
      </c>
      <c r="J4182" s="10" t="inlineStr">
        <is>
          <t>Cơ khí / Ô tô / Tự động hóa, Xây dựng, An toàn lao động</t>
        </is>
      </c>
      <c r="K4182" s="10" t="inlineStr">
        <is>
          <t>2 - 4 Năm</t>
        </is>
      </c>
      <c r="L4182" s="11">
        <f>HYPERLINK("https://careerviet.vn/vi/tim-viec-lam/nhan-vien-an-toan-nha-may.35C6474B.html","Xem chi tiết")</f>
        <v/>
      </c>
      <c r="M4182" s="10" t="n"/>
    </row>
    <row r="4183">
      <c r="B4183" s="7" t="n">
        <v>4181</v>
      </c>
      <c r="C4183" t="inlineStr">
        <is>
          <t>NHÂN VIÊN QUẢN LÝ CHẤT LƯỢNG CO.OPMART SCA KV HÀ NỘI</t>
        </is>
      </c>
      <c r="D4183" t="inlineStr">
        <is>
          <t>Liên Hiệp HTX Thương Mại TPHCM - SAIGON CO.OP</t>
        </is>
      </c>
      <c r="E4183" t="inlineStr">
        <is>
          <t>Lương:9 Tr - 10 Tr VND</t>
        </is>
      </c>
      <c r="F4183" t="inlineStr">
        <is>
          <t>Hà Nội</t>
        </is>
      </c>
      <c r="G4183" t="inlineStr">
        <is>
          <t>03-04-2026</t>
        </is>
      </c>
      <c r="H4183" t="inlineStr">
        <is>
          <t>03/04/2026</t>
        </is>
      </c>
      <c r="I4183" t="inlineStr">
        <is>
          <t>17/03/2026</t>
        </is>
      </c>
      <c r="J4183" t="inlineStr">
        <is>
          <t>Công nghệ thực phẩm / Dinh dưỡng, Công nghệ sinh học, Quản lý chất lượng (QA/QC)</t>
        </is>
      </c>
      <c r="K4183" t="inlineStr">
        <is>
          <t>N/A</t>
        </is>
      </c>
      <c r="L4183" s="8">
        <f>HYPERLINK("https://careerviet.vn/vi/tim-viec-lam/nhan-vien-quan-ly-chat-luong-co-opmart-sca-kv-ha-noi.35C6723A.html","Xem chi tiết")</f>
        <v/>
      </c>
    </row>
    <row r="4184">
      <c r="B4184" s="9" t="n">
        <v>4182</v>
      </c>
      <c r="C4184" s="10" t="inlineStr">
        <is>
          <t>Chuyên viên Kinh doanh Du lịch và Hành khách Hàng không</t>
        </is>
      </c>
      <c r="D4184" s="10" t="inlineStr">
        <is>
          <t>CÔNG TY TNHH HÀNG KHÔNG SƠN HẢI</t>
        </is>
      </c>
      <c r="E4184" s="10" t="inlineStr">
        <is>
          <t>Lương:12 Tr - 25 Tr VND</t>
        </is>
      </c>
      <c r="F4184" s="10" t="inlineStr">
        <is>
          <t>Hồ Chí Minh</t>
        </is>
      </c>
      <c r="G4184" s="10" t="inlineStr">
        <is>
          <t>03-04-2026</t>
        </is>
      </c>
      <c r="H4184" s="10" t="inlineStr">
        <is>
          <t>03/04/2026</t>
        </is>
      </c>
      <c r="I4184" s="10" t="inlineStr">
        <is>
          <t>17/03/2026</t>
        </is>
      </c>
      <c r="J4184" s="10" t="inlineStr">
        <is>
          <t>Bán hàng / Kinh doanh, Du lịch, Hàng không</t>
        </is>
      </c>
      <c r="K4184" s="10" t="inlineStr">
        <is>
          <t>3 - 5 Năm</t>
        </is>
      </c>
      <c r="L4184" s="11">
        <f>HYPERLINK("https://careerviet.vn/vi/tim-viec-lam/chuyen-vien-kinh-doanh-du-lich-va-hanh-khach-hang-khong.35C67332.html","Xem chi tiết")</f>
        <v/>
      </c>
      <c r="M4184" s="10" t="n"/>
    </row>
    <row r="4185">
      <c r="B4185" s="7" t="n">
        <v>4183</v>
      </c>
      <c r="C4185" t="inlineStr">
        <is>
          <t>Phó Giám đốc Kinh doanh</t>
        </is>
      </c>
      <c r="D4185" t="inlineStr">
        <is>
          <t>Công ty CP Tập Đoàn Khải Hoàn Land</t>
        </is>
      </c>
      <c r="E4185" t="inlineStr">
        <is>
          <t>Lương:Cạnh tranh</t>
        </is>
      </c>
      <c r="F4185" t="inlineStr">
        <is>
          <t>Hồ Chí Minh</t>
        </is>
      </c>
      <c r="G4185" t="inlineStr">
        <is>
          <t>03-04-2026</t>
        </is>
      </c>
      <c r="H4185" t="inlineStr">
        <is>
          <t>03/04/2026</t>
        </is>
      </c>
      <c r="I4185" t="inlineStr">
        <is>
          <t>17/03/2026</t>
        </is>
      </c>
      <c r="J4185" t="inlineStr">
        <is>
          <t>Bất động sản</t>
        </is>
      </c>
      <c r="K4185" t="inlineStr">
        <is>
          <t>Trên 5 Năm</t>
        </is>
      </c>
      <c r="L4185" s="8">
        <f>HYPERLINK("https://careerviet.vn/vi/tim-viec-lam/pho-giam-doc-kinh-doanh.35C6735D.html","Xem chi tiết")</f>
        <v/>
      </c>
    </row>
    <row r="4186">
      <c r="B4186" s="9" t="n">
        <v>4184</v>
      </c>
      <c r="C4186" s="10" t="inlineStr">
        <is>
          <t>NHÂN VIÊN QUẢN LÝ CHẤT LƯỢNG CO.OPMART CẦN GIỜ</t>
        </is>
      </c>
      <c r="D4186" s="10" t="inlineStr">
        <is>
          <t>Liên Hiệp HTX Thương Mại TPHCM - SAIGON CO.OP</t>
        </is>
      </c>
      <c r="E4186" s="10" t="inlineStr">
        <is>
          <t>Lương:Cạnh tranh</t>
        </is>
      </c>
      <c r="F4186" s="10" t="inlineStr">
        <is>
          <t>Hồ Chí Minh</t>
        </is>
      </c>
      <c r="G4186" s="10" t="inlineStr">
        <is>
          <t>03-04-2026</t>
        </is>
      </c>
      <c r="H4186" s="10" t="inlineStr">
        <is>
          <t>03/04/2026</t>
        </is>
      </c>
      <c r="I4186" s="10" t="inlineStr">
        <is>
          <t>17/03/2026</t>
        </is>
      </c>
      <c r="J4186" s="10" t="inlineStr">
        <is>
          <t>Công nghệ thực phẩm / Dinh dưỡng, Công nghệ sinh học, Quản lý chất lượng (QA/QC)</t>
        </is>
      </c>
      <c r="K4186" s="10" t="inlineStr">
        <is>
          <t>N/A</t>
        </is>
      </c>
      <c r="L4186" s="11">
        <f>HYPERLINK("https://careerviet.vn/vi/tim-viec-lam/nhan-vien-quan-ly-chat-luong-co-opmart-can-gio.35C67371.html","Xem chi tiết")</f>
        <v/>
      </c>
      <c r="M4186" s="10" t="n"/>
    </row>
    <row r="4187">
      <c r="B4187" s="7" t="n">
        <v>4185</v>
      </c>
      <c r="C4187" t="inlineStr">
        <is>
          <t>Giám Sát Xây Dựng</t>
        </is>
      </c>
      <c r="D4187" t="inlineStr">
        <is>
          <t>CÔNG TY CỔ PHẦN TẬP ĐOÀN MIK GROUP VIỆT NAM</t>
        </is>
      </c>
      <c r="E4187" t="inlineStr">
        <is>
          <t>Lương:Cạnh tranh</t>
        </is>
      </c>
      <c r="F4187" t="inlineStr">
        <is>
          <t>Hà Nội</t>
        </is>
      </c>
      <c r="G4187" t="inlineStr">
        <is>
          <t>03-04-2026</t>
        </is>
      </c>
      <c r="H4187" t="inlineStr">
        <is>
          <t>03/04/2026</t>
        </is>
      </c>
      <c r="I4187" t="inlineStr">
        <is>
          <t>17/03/2026</t>
        </is>
      </c>
      <c r="J4187" t="inlineStr">
        <is>
          <t>Xây dựng, Điện / Điện tử / Điện lạnh / Điện công nghiệp</t>
        </is>
      </c>
      <c r="K4187" t="inlineStr">
        <is>
          <t>4 - 7 Năm</t>
        </is>
      </c>
      <c r="L4187" s="8">
        <f>HYPERLINK("https://careerviet.vn/vi/tim-viec-lam/giam-sat-xay-dung.35C6731B.html","Xem chi tiết")</f>
        <v/>
      </c>
    </row>
    <row r="4188">
      <c r="B4188" s="9" t="n">
        <v>4186</v>
      </c>
      <c r="C4188" s="10" t="inlineStr">
        <is>
          <t>Chuyên Viên Tư Vấn Dự Án</t>
        </is>
      </c>
      <c r="D4188" s="10" t="inlineStr">
        <is>
          <t>Công Ty TNHH Thương Mại Giải Pháp Ưu Việt</t>
        </is>
      </c>
      <c r="E4188" s="10" t="inlineStr">
        <is>
          <t>Lương:14 Tr - 20 Tr VND</t>
        </is>
      </c>
      <c r="F4188" s="10" t="inlineStr">
        <is>
          <t>Hà NộiHồ Chí Minh</t>
        </is>
      </c>
      <c r="G4188" s="10" t="inlineStr">
        <is>
          <t>03-04-2026</t>
        </is>
      </c>
      <c r="H4188" s="10" t="inlineStr">
        <is>
          <t>03/04/2026</t>
        </is>
      </c>
      <c r="I4188" s="10" t="inlineStr">
        <is>
          <t>17/03/2026</t>
        </is>
      </c>
      <c r="J4188" s="10" t="inlineStr">
        <is>
          <t>Kiến trúc, Xây dựng, Nội ngoại thất</t>
        </is>
      </c>
      <c r="K4188" s="10" t="inlineStr">
        <is>
          <t>2 - 5 Năm</t>
        </is>
      </c>
      <c r="L4188" s="11">
        <f>HYPERLINK("https://careerviet.vn/vi/tim-viec-lam/chuyen-vien-tu-van-du-an.35C672E6.html","Xem chi tiết")</f>
        <v/>
      </c>
      <c r="M4188" s="10" t="n"/>
    </row>
    <row r="4189">
      <c r="B4189" s="7" t="n">
        <v>4187</v>
      </c>
      <c r="C4189" t="inlineStr">
        <is>
          <t>Phó Giám đốc Kinh doanh Ngành hàng Ngói &amp; Trần, Vách, Sàn</t>
        </is>
      </c>
      <c r="D4189" t="inlineStr">
        <is>
          <t>CÔNG TY CỔ PHẦN TẬP ĐOÀN HOA SEN</t>
        </is>
      </c>
      <c r="E4189" t="inlineStr">
        <is>
          <t>Lương:Cạnh tranh</t>
        </is>
      </c>
      <c r="F4189" t="inlineStr">
        <is>
          <t>Hồ Chí Minh</t>
        </is>
      </c>
      <c r="G4189" t="inlineStr">
        <is>
          <t>4</t>
        </is>
      </c>
      <c r="H4189" t="inlineStr">
        <is>
          <t>21/03/2026</t>
        </is>
      </c>
      <c r="I4189" t="inlineStr">
        <is>
          <t>17/03/2026</t>
        </is>
      </c>
      <c r="J4189" t="inlineStr">
        <is>
          <t>Bán lẻ / Bán sỉ, Bán hàng / Kinh doanh, Nội ngoại thất</t>
        </is>
      </c>
      <c r="K4189" t="inlineStr">
        <is>
          <t>3 - 5 Năm</t>
        </is>
      </c>
      <c r="L4189" s="8">
        <f>HYPERLINK("https://careerviet.vn/vi/tim-viec-lam/pho-giam-doc-kinh-doanh-nganh-hang-ngoi-tran-vach-san.35C661AD.html","Xem chi tiết")</f>
        <v/>
      </c>
    </row>
    <row r="4190">
      <c r="B4190" s="9" t="n">
        <v>4188</v>
      </c>
      <c r="C4190" s="10" t="inlineStr">
        <is>
          <t>Nhân viên marketing online</t>
        </is>
      </c>
      <c r="D4190" s="10" t="inlineStr">
        <is>
          <t>Shinpoong Daewoo Pharma</t>
        </is>
      </c>
      <c r="E4190" s="10" t="inlineStr">
        <is>
          <t>Lương:Cạnh tranh</t>
        </is>
      </c>
      <c r="F4190" s="10" t="inlineStr">
        <is>
          <t>Hồ Chí Minh</t>
        </is>
      </c>
      <c r="G4190" s="10" t="inlineStr">
        <is>
          <t>02-04-2026</t>
        </is>
      </c>
      <c r="H4190" s="10" t="inlineStr">
        <is>
          <t>02/04/2026</t>
        </is>
      </c>
      <c r="I4190" s="10" t="inlineStr">
        <is>
          <t>17/03/2026</t>
        </is>
      </c>
      <c r="J4190" s="10" t="inlineStr">
        <is>
          <t>Tiếp thị / Marketing, Dược phẩm/ Hóa Mỹ Phẩm, Y tế / Chăm sóc sức khỏe / Thẩm mỹ / Làm đẹp</t>
        </is>
      </c>
      <c r="K4190" s="10" t="inlineStr">
        <is>
          <t>1 - 2 Năm</t>
        </is>
      </c>
      <c r="L4190" s="11">
        <f>HYPERLINK("https://careerviet.vn/vi/tim-viec-lam/nhan-vien-marketing-online.35C6A542.html","Xem chi tiết")</f>
        <v/>
      </c>
      <c r="M4190" s="10" t="n"/>
    </row>
    <row r="4191">
      <c r="B4191" s="7" t="n">
        <v>4189</v>
      </c>
      <c r="C4191" t="inlineStr">
        <is>
          <t>Senior Internal Auditor</t>
        </is>
      </c>
      <c r="D4191" t="inlineStr">
        <is>
          <t>Indo Trans Logistics</t>
        </is>
      </c>
      <c r="E4191" t="inlineStr">
        <is>
          <t>Lương:Cạnh tranh</t>
        </is>
      </c>
      <c r="F4191" t="inlineStr">
        <is>
          <t>Hồ Chí Minh</t>
        </is>
      </c>
      <c r="G4191" t="inlineStr">
        <is>
          <t>03-04-2026</t>
        </is>
      </c>
      <c r="H4191" t="inlineStr">
        <is>
          <t>03/04/2026</t>
        </is>
      </c>
      <c r="I4191" t="inlineStr">
        <is>
          <t>17/03/2026</t>
        </is>
      </c>
      <c r="J4191" t="inlineStr">
        <is>
          <t>Kế toán / Kiểm toán</t>
        </is>
      </c>
      <c r="K4191" t="inlineStr">
        <is>
          <t>5 - 8 Năm</t>
        </is>
      </c>
      <c r="L4191" s="8">
        <f>HYPERLINK("https://careerviet.vn/vi/tim-viec-lam/senior-internal-auditor.35C672CA.html","Xem chi tiết")</f>
        <v/>
      </c>
    </row>
    <row r="4192">
      <c r="B4192" s="9" t="n">
        <v>4190</v>
      </c>
      <c r="C4192" s="10" t="inlineStr">
        <is>
          <t>CHUYÊN VIÊN C&amp;B</t>
        </is>
      </c>
      <c r="D4192" s="10" t="inlineStr">
        <is>
          <t>CÔNG TY CỔ PHẦN TẬP ĐOÀN VIANCO</t>
        </is>
      </c>
      <c r="E4192" s="10" t="inlineStr">
        <is>
          <t>Lương:12 Tr - 15 Tr VND</t>
        </is>
      </c>
      <c r="F4192" s="10" t="inlineStr">
        <is>
          <t>Hà Nội</t>
        </is>
      </c>
      <c r="G4192" s="10" t="inlineStr">
        <is>
          <t>03-04-2026</t>
        </is>
      </c>
      <c r="H4192" s="10" t="inlineStr">
        <is>
          <t>03/04/2026</t>
        </is>
      </c>
      <c r="I4192" s="10" t="inlineStr">
        <is>
          <t>17/03/2026</t>
        </is>
      </c>
      <c r="J4192" s="10" t="inlineStr">
        <is>
          <t>Thương mại điện tử, Xuất nhập khẩu, Sản xuất / Vận hành sản xuất</t>
        </is>
      </c>
      <c r="K4192" s="10" t="inlineStr">
        <is>
          <t>3 - 5 Năm</t>
        </is>
      </c>
      <c r="L4192" s="11">
        <f>HYPERLINK("https://careerviet.vn/vi/tim-viec-lam/chuyen-vien-c-b.35C67336.html","Xem chi tiết")</f>
        <v/>
      </c>
      <c r="M4192" s="10" t="n"/>
    </row>
    <row r="4193">
      <c r="B4193" s="7" t="n">
        <v>4191</v>
      </c>
      <c r="C4193" t="inlineStr">
        <is>
          <t>Assistant HR Manager</t>
        </is>
      </c>
      <c r="D4193" t="inlineStr">
        <is>
          <t>EUROFINS VIETNAM</t>
        </is>
      </c>
      <c r="E4193" t="inlineStr">
        <is>
          <t>Lương:Cạnh tranh</t>
        </is>
      </c>
      <c r="F4193" t="inlineStr">
        <is>
          <t>Hồ Chí Minh</t>
        </is>
      </c>
      <c r="G4193" t="inlineStr">
        <is>
          <t>31-03-2026</t>
        </is>
      </c>
      <c r="H4193" t="inlineStr">
        <is>
          <t>31/03/2026</t>
        </is>
      </c>
      <c r="I4193" t="inlineStr">
        <is>
          <t>17/03/2026</t>
        </is>
      </c>
      <c r="J4193" t="inlineStr">
        <is>
          <t>Nhân sự</t>
        </is>
      </c>
      <c r="K4193" t="inlineStr">
        <is>
          <t>5 - 10 Năm</t>
        </is>
      </c>
      <c r="L4193" s="8">
        <f>HYPERLINK("https://careerviet.vn/vi/tim-viec-lam/assistant-hr-manager.35C6AECA.html","Xem chi tiết")</f>
        <v/>
      </c>
    </row>
    <row r="4194">
      <c r="B4194" s="9" t="n">
        <v>4192</v>
      </c>
      <c r="C4194" s="10" t="inlineStr">
        <is>
          <t>Trade Marketing Executive</t>
        </is>
      </c>
      <c r="D4194" s="10" t="inlineStr">
        <is>
          <t>CÔNG TY CỔ PHẦN PHÁT TRIỂN NHÀ THỦ ĐỨC</t>
        </is>
      </c>
      <c r="E4194" s="10" t="inlineStr">
        <is>
          <t>Lương:10 Tr - 18 Tr VND</t>
        </is>
      </c>
      <c r="F4194" s="10" t="inlineStr">
        <is>
          <t>Hồ Chí Minh</t>
        </is>
      </c>
      <c r="G4194" s="10" t="inlineStr">
        <is>
          <t>04-04-2026</t>
        </is>
      </c>
      <c r="H4194" s="10" t="inlineStr">
        <is>
          <t>04/04/2026</t>
        </is>
      </c>
      <c r="I4194" s="10" t="inlineStr">
        <is>
          <t>17/03/2026</t>
        </is>
      </c>
      <c r="J4194" s="10" t="inlineStr">
        <is>
          <t>Tiếp thị / Marketing, Thương mại điện tử, Điện / Điện tử / Điện lạnh / Điện công nghiệp</t>
        </is>
      </c>
      <c r="K4194" s="10" t="inlineStr">
        <is>
          <t>Lên đến 1 Năm</t>
        </is>
      </c>
      <c r="L4194" s="11">
        <f>HYPERLINK("https://careerviet.vn/vi/tim-viec-lam/trade-marketing-executive.35C6AEEC.html","Xem chi tiết")</f>
        <v/>
      </c>
      <c r="M4194" s="10" t="n"/>
    </row>
    <row r="4195">
      <c r="B4195" s="7" t="n">
        <v>4193</v>
      </c>
      <c r="C4195" t="inlineStr">
        <is>
          <t>QA Manager</t>
        </is>
      </c>
      <c r="D4195" t="inlineStr">
        <is>
          <t>Công ty TNHH Spartronics Việt Nam</t>
        </is>
      </c>
      <c r="E4195" t="inlineStr">
        <is>
          <t>Lương:Cạnh tranh</t>
        </is>
      </c>
      <c r="F4195" t="inlineStr">
        <is>
          <t>Bình Dương</t>
        </is>
      </c>
      <c r="G4195" t="inlineStr">
        <is>
          <t>03-04-2026</t>
        </is>
      </c>
      <c r="H4195" t="inlineStr">
        <is>
          <t>03/04/2026</t>
        </is>
      </c>
      <c r="I4195" t="inlineStr">
        <is>
          <t>17/03/2026</t>
        </is>
      </c>
      <c r="J4195" t="inlineStr">
        <is>
          <t>Điện / Điện tử / Điện lạnh / Điện công nghiệp, Quản lý chất lượng (QA/QC), Y tế / Chăm sóc sức khỏe / Thẩm mỹ / Làm đẹp</t>
        </is>
      </c>
      <c r="K4195" t="inlineStr">
        <is>
          <t>6 - 15 Năm</t>
        </is>
      </c>
      <c r="L4195" s="8">
        <f>HYPERLINK("https://careerviet.vn/vi/tim-viec-lam/qa-manager.35C67302.html","Xem chi tiết")</f>
        <v/>
      </c>
    </row>
    <row r="4196">
      <c r="B4196" s="9" t="n">
        <v>4194</v>
      </c>
      <c r="C4196" s="10" t="inlineStr">
        <is>
          <t>PHIÊN DỊCH TIẾNG HÀN</t>
        </is>
      </c>
      <c r="D4196" s="10" t="inlineStr">
        <is>
          <t>Công ty TNHH JM</t>
        </is>
      </c>
      <c r="E4196" s="10" t="inlineStr">
        <is>
          <t>Lương:15 Tr - 30 Tr VND</t>
        </is>
      </c>
      <c r="F4196" s="10" t="inlineStr">
        <is>
          <t>Hồ Chí Minh</t>
        </is>
      </c>
      <c r="G4196" s="10" t="inlineStr">
        <is>
          <t>3</t>
        </is>
      </c>
      <c r="H4196" s="10" t="inlineStr">
        <is>
          <t>20/03/2026</t>
        </is>
      </c>
      <c r="I4196" s="10" t="inlineStr">
        <is>
          <t>17/03/2026</t>
        </is>
      </c>
      <c r="J4196" s="10" t="inlineStr">
        <is>
          <t>Hành chính / Thư ký, Biên phiên dịch</t>
        </is>
      </c>
      <c r="K4196" s="10" t="inlineStr">
        <is>
          <t>1 - 2 Năm</t>
        </is>
      </c>
      <c r="L4196" s="11">
        <f>HYPERLINK("https://careerviet.vn/vi/tim-viec-lam/phien-dich-tieng-han.35C63618.html","Xem chi tiết")</f>
        <v/>
      </c>
      <c r="M4196" s="10" t="n"/>
    </row>
    <row r="4197">
      <c r="B4197" s="7" t="n">
        <v>4195</v>
      </c>
      <c r="C4197" t="inlineStr">
        <is>
          <t>Nhân viên Bưu tá</t>
        </is>
      </c>
      <c r="D4197" t="inlineStr">
        <is>
          <t>Tổng Công Ty Chuyển Phát Nhanh Bưu Điện</t>
        </is>
      </c>
      <c r="E4197" t="inlineStr">
        <is>
          <t>Lương:8 Tr - 10 Tr VND</t>
        </is>
      </c>
      <c r="F4197" t="inlineStr">
        <is>
          <t>Hà Nội</t>
        </is>
      </c>
      <c r="G4197" t="inlineStr">
        <is>
          <t>5</t>
        </is>
      </c>
      <c r="H4197" t="inlineStr">
        <is>
          <t>22/03/2026</t>
        </is>
      </c>
      <c r="I4197" t="inlineStr">
        <is>
          <t>17/03/2026</t>
        </is>
      </c>
      <c r="J4197" t="inlineStr">
        <is>
          <t>Bán hàng / Kinh doanh, Vận chuyển / Giao nhận / Kho vận, Lao động phổ thông</t>
        </is>
      </c>
      <c r="K4197" t="inlineStr">
        <is>
          <t>N/A</t>
        </is>
      </c>
      <c r="L4197" s="8">
        <f>HYPERLINK("https://careerviet.vn/vi/tim-viec-lam/nhan-vien-buu-ta.35C636F6.html","Xem chi tiết")</f>
        <v/>
      </c>
    </row>
    <row r="4198">
      <c r="B4198" s="9" t="n">
        <v>4196</v>
      </c>
      <c r="C4198" s="10" t="inlineStr">
        <is>
          <t>Maintenance Planning &amp; Technical System Lead</t>
        </is>
      </c>
      <c r="D4198" s="10" t="inlineStr">
        <is>
          <t>CÔNG TY TNHH ILD COFFEE VIỆT NAM</t>
        </is>
      </c>
      <c r="E4198" s="10" t="inlineStr">
        <is>
          <t>Lương:Cạnh tranh</t>
        </is>
      </c>
      <c r="F4198" s="10" t="inlineStr">
        <is>
          <t>Bình Dương</t>
        </is>
      </c>
      <c r="G4198" s="10" t="inlineStr">
        <is>
          <t>06-04-2026</t>
        </is>
      </c>
      <c r="H4198" s="10" t="inlineStr">
        <is>
          <t>06/04/2026</t>
        </is>
      </c>
      <c r="I4198" s="10" t="inlineStr">
        <is>
          <t>17/03/2026</t>
        </is>
      </c>
      <c r="J4198" s="10" t="inlineStr">
        <is>
          <t>Cơ khí / Ô tô / Tự động hóa, Điện / Điện tử / Điện lạnh / Điện công nghiệp, Bảo trì / Sửa chữa</t>
        </is>
      </c>
      <c r="K4198" s="10" t="inlineStr">
        <is>
          <t>5 - 7 Năm</t>
        </is>
      </c>
      <c r="L4198" s="11">
        <f>HYPERLINK("https://careerviet.vn/vi/tim-viec-lam/maintenance-planning-technical-system-lead.35C676E8.html","Xem chi tiết")</f>
        <v/>
      </c>
      <c r="M4198" s="10" t="n"/>
    </row>
    <row r="4199">
      <c r="B4199" s="7" t="n">
        <v>4197</v>
      </c>
      <c r="C4199" t="inlineStr">
        <is>
          <t>Kế Toán Trưởng</t>
        </is>
      </c>
      <c r="D4199" t="inlineStr">
        <is>
          <t>Công Ty TNHH Thương Mại Giải Pháp Ưu Việt</t>
        </is>
      </c>
      <c r="E4199" t="inlineStr">
        <is>
          <t>Lương:30 Tr - 38 Tr VND</t>
        </is>
      </c>
      <c r="F4199" t="inlineStr">
        <is>
          <t>Hồ Chí Minh</t>
        </is>
      </c>
      <c r="G4199" t="inlineStr">
        <is>
          <t>04-04-2026</t>
        </is>
      </c>
      <c r="H4199" t="inlineStr">
        <is>
          <t>04/04/2026</t>
        </is>
      </c>
      <c r="I4199" t="inlineStr">
        <is>
          <t>17/03/2026</t>
        </is>
      </c>
      <c r="J4199" t="inlineStr">
        <is>
          <t>Xây dựng, Kiến trúc, Nội ngoại thất</t>
        </is>
      </c>
      <c r="K4199" t="inlineStr">
        <is>
          <t>4 - 8 Năm</t>
        </is>
      </c>
      <c r="L4199" s="8">
        <f>HYPERLINK("https://careerviet.vn/vi/tim-viec-lam/ke-toan-truong.35C6AE33.html","Xem chi tiết")</f>
        <v/>
      </c>
    </row>
    <row r="4200">
      <c r="B4200" s="9" t="n">
        <v>4198</v>
      </c>
      <c r="C4200" s="10" t="inlineStr">
        <is>
          <t>Production Supervisor- Giám sát sản xuất</t>
        </is>
      </c>
      <c r="D4200" s="10" t="inlineStr">
        <is>
          <t>Hercules VN Co., Ltd.</t>
        </is>
      </c>
      <c r="E4200" s="10" t="inlineStr">
        <is>
          <t>Lương:Cạnh tranh</t>
        </is>
      </c>
      <c r="F4200" s="10" t="inlineStr">
        <is>
          <t>Bình Dương</t>
        </is>
      </c>
      <c r="G4200" s="10" t="inlineStr">
        <is>
          <t>04-04-2026</t>
        </is>
      </c>
      <c r="H4200" s="10" t="inlineStr">
        <is>
          <t>04/04/2026</t>
        </is>
      </c>
      <c r="I4200" s="10" t="inlineStr">
        <is>
          <t>17/03/2026</t>
        </is>
      </c>
      <c r="J4200" s="10" t="inlineStr">
        <is>
          <t>Sản xuất / Vận hành sản xuất</t>
        </is>
      </c>
      <c r="K4200" s="10" t="inlineStr">
        <is>
          <t>2 - 3 Năm</t>
        </is>
      </c>
      <c r="L4200" s="11">
        <f>HYPERLINK("https://careerviet.vn/vi/tim-viec-lam/production-supervisor-giam-sat-san-xuat.35C6ADB8.html","Xem chi tiết")</f>
        <v/>
      </c>
      <c r="M4200" s="10" t="n"/>
    </row>
    <row r="4201">
      <c r="B4201" s="7" t="n">
        <v>4199</v>
      </c>
      <c r="C4201" t="inlineStr">
        <is>
          <t>Sales Admin</t>
        </is>
      </c>
      <c r="D4201" t="inlineStr">
        <is>
          <t>CÔNG TY CỔ PHẦN Y&amp;Y GROUP</t>
        </is>
      </c>
      <c r="E4201" t="inlineStr">
        <is>
          <t>Lương:Cạnh tranh</t>
        </is>
      </c>
      <c r="F4201" t="inlineStr">
        <is>
          <t>Hồ Chí Minh</t>
        </is>
      </c>
      <c r="G4201" t="inlineStr">
        <is>
          <t>04-04-2026</t>
        </is>
      </c>
      <c r="H4201" t="inlineStr">
        <is>
          <t>04/04/2026</t>
        </is>
      </c>
      <c r="I4201" t="inlineStr">
        <is>
          <t>17/03/2026</t>
        </is>
      </c>
      <c r="J4201" t="inlineStr">
        <is>
          <t>Bán hàng / Kinh doanh, Hành chính / Thư ký, Bán Hàng Kỹ Thuật</t>
        </is>
      </c>
      <c r="K4201" t="inlineStr">
        <is>
          <t>Trên 2 Năm</t>
        </is>
      </c>
      <c r="L4201" s="8">
        <f>HYPERLINK("https://careerviet.vn/vi/tim-viec-lam/sales-admin.35C6AE50.html","Xem chi tiết")</f>
        <v/>
      </c>
    </row>
    <row r="4202">
      <c r="B4202" s="9" t="n">
        <v>4200</v>
      </c>
      <c r="C4202" s="10" t="inlineStr">
        <is>
          <t>Giao dịch viên - Chuyên viên Tư vấn Tài chính và Dịch vụ khách hàng - UB (Khu vực Hà Nội, Bắc Ninh, Thái Nguyên)</t>
        </is>
      </c>
      <c r="D4202" s="10" t="inlineStr">
        <is>
          <t>NGÂN HÀNG TMCP KỸ THƯƠNG VIỆT NAM (TECHCOMBANK)</t>
        </is>
      </c>
      <c r="E4202" s="10" t="inlineStr">
        <is>
          <t>Lương:Cạnh tranh</t>
        </is>
      </c>
      <c r="F4202" s="10" t="inlineStr">
        <is>
          <t>Hà NộiThái NguyênBắc Ninh</t>
        </is>
      </c>
      <c r="G4202" s="10" t="inlineStr">
        <is>
          <t>06-04-2026</t>
        </is>
      </c>
      <c r="H4202" s="10" t="inlineStr">
        <is>
          <t>06/04/2026</t>
        </is>
      </c>
      <c r="I4202" s="10" t="inlineStr">
        <is>
          <t>17/03/2026</t>
        </is>
      </c>
      <c r="J4202" s="10" t="inlineStr">
        <is>
          <t>Ngân hàng, Dịch vụ khách hàng, Tài chính / Đầu tư</t>
        </is>
      </c>
      <c r="K4202" s="10" t="inlineStr">
        <is>
          <t>Trên 1 Năm</t>
        </is>
      </c>
      <c r="L4202" s="11">
        <f>HYPERLINK("https://careerviet.vn/vi/tim-viec-lam/giao-dich-vien-chuyen-vien-tu-van-tai-chinh-va-dich-vu-khach-hang-ub-khu-vuc-ha-noi-bac-ninh-thai-nguyen.35C64C14.html","Xem chi tiết")</f>
        <v/>
      </c>
      <c r="M4202" s="10" t="n"/>
    </row>
    <row r="4203">
      <c r="B4203" s="7" t="n">
        <v>4201</v>
      </c>
      <c r="C4203" t="inlineStr">
        <is>
          <t>Senior Staff, Tax Accounting</t>
        </is>
      </c>
      <c r="D4203" t="inlineStr">
        <is>
          <t>KAO Việt Nam</t>
        </is>
      </c>
      <c r="E4203" t="inlineStr">
        <is>
          <t>Lương:Cạnh tranh</t>
        </is>
      </c>
      <c r="F4203" t="inlineStr">
        <is>
          <t>Hồ Chí Minh</t>
        </is>
      </c>
      <c r="G4203" t="inlineStr">
        <is>
          <t>06-04-2026</t>
        </is>
      </c>
      <c r="H4203" t="inlineStr">
        <is>
          <t>06/04/2026</t>
        </is>
      </c>
      <c r="I4203" t="inlineStr">
        <is>
          <t>17/03/2026</t>
        </is>
      </c>
      <c r="J4203" t="inlineStr">
        <is>
          <t>Luật / Pháp lý, Kế toán / Kiểm toán, Tài chính / Đầu tư</t>
        </is>
      </c>
      <c r="K4203" t="inlineStr">
        <is>
          <t>Trên 3 Năm</t>
        </is>
      </c>
      <c r="L4203" s="8">
        <f>HYPERLINK("https://careerviet.vn/vi/tim-viec-lam/senior-staff-tax-accounting.35C67BA0.html","Xem chi tiết")</f>
        <v/>
      </c>
    </row>
    <row r="4204">
      <c r="B4204" s="9" t="n">
        <v>4202</v>
      </c>
      <c r="C4204" s="10" t="inlineStr">
        <is>
          <t>Nhân Viên Chứng Từ Nhập Khẩu Xuất</t>
        </is>
      </c>
      <c r="D4204" s="10" t="inlineStr">
        <is>
          <t>Công Ty TNHH Sankyu (Việt Nam)</t>
        </is>
      </c>
      <c r="E4204" s="10" t="inlineStr">
        <is>
          <t>Lương:Cạnh tranh</t>
        </is>
      </c>
      <c r="F4204" s="10" t="inlineStr">
        <is>
          <t>Hồ Chí Minh</t>
        </is>
      </c>
      <c r="G4204" s="10" t="inlineStr">
        <is>
          <t>03-04-2026</t>
        </is>
      </c>
      <c r="H4204" s="10" t="inlineStr">
        <is>
          <t>03/04/2026</t>
        </is>
      </c>
      <c r="I4204" s="10" t="inlineStr">
        <is>
          <t>17/03/2026</t>
        </is>
      </c>
      <c r="J4204" s="10" t="inlineStr">
        <is>
          <t>Xuất nhập khẩu, Hành chính / Thư ký, Vận chuyển / Giao nhận / Kho vận</t>
        </is>
      </c>
      <c r="K4204" s="10" t="inlineStr">
        <is>
          <t>N/A</t>
        </is>
      </c>
      <c r="L4204" s="11">
        <f>HYPERLINK("https://careerviet.vn/vi/tim-viec-lam/nhan-vien-chung-tu-nhap-khau-xuat.35C6AE68.html","Xem chi tiết")</f>
        <v/>
      </c>
      <c r="M4204" s="10" t="n"/>
    </row>
    <row r="4205">
      <c r="B4205" s="7" t="n">
        <v>4203</v>
      </c>
      <c r="C4205" t="inlineStr">
        <is>
          <t>TRƯỞNG PHÒNG NHÂN SỰ</t>
        </is>
      </c>
      <c r="D4205" t="inlineStr">
        <is>
          <t>CÔNG TY CỔ PHẦN ĐẦU TƯ BẤT ĐỘNG SẢN LÊ VIN LAND</t>
        </is>
      </c>
      <c r="E4205" t="inlineStr">
        <is>
          <t>Lương:Cạnh tranh</t>
        </is>
      </c>
      <c r="F4205" t="inlineStr">
        <is>
          <t>Hồ Chí Minh</t>
        </is>
      </c>
      <c r="G4205" t="inlineStr">
        <is>
          <t>31-03-2026</t>
        </is>
      </c>
      <c r="H4205" t="inlineStr">
        <is>
          <t>31/03/2026</t>
        </is>
      </c>
      <c r="I4205" t="inlineStr">
        <is>
          <t>17/03/2026</t>
        </is>
      </c>
      <c r="J4205" t="inlineStr">
        <is>
          <t>Nhân sự, Quản lý điều hành, Bất động sảnBằng cấpĐại họcĐộ tuổiKhông giới hạn tuổi</t>
        </is>
      </c>
      <c r="K4205" t="inlineStr">
        <is>
          <t>N/A</t>
        </is>
      </c>
      <c r="L4205" s="8">
        <f>HYPERLINK("https://careerviet.vn/vi/tim-viec-lam/truong-phong-nhan-su.35C6ADE5.html","Xem chi tiết")</f>
        <v/>
      </c>
    </row>
    <row r="4206">
      <c r="B4206" s="9" t="n">
        <v>4204</v>
      </c>
      <c r="C4206" s="10" t="inlineStr">
        <is>
          <t>Chuyên viên đầu tư</t>
        </is>
      </c>
      <c r="D4206" s="10" t="inlineStr">
        <is>
          <t>CÔNG TY CP TẬP ĐOÀN ĐẦU TƯ HOÀNG GIA VIỆT NAM</t>
        </is>
      </c>
      <c r="E4206" s="10" t="inlineStr">
        <is>
          <t>Lương:Cạnh tranh</t>
        </is>
      </c>
      <c r="F4206" s="10" t="inlineStr">
        <is>
          <t>Hồ Chí Minh</t>
        </is>
      </c>
      <c r="G4206" s="10" t="inlineStr">
        <is>
          <t>06-04-2026</t>
        </is>
      </c>
      <c r="H4206" s="10" t="inlineStr">
        <is>
          <t>06/04/2026</t>
        </is>
      </c>
      <c r="I4206" s="10" t="inlineStr">
        <is>
          <t>17/03/2026</t>
        </is>
      </c>
      <c r="J4206" s="10" t="inlineStr">
        <is>
          <t>Tài chính / Đầu tư, Xây dựng</t>
        </is>
      </c>
      <c r="K4206" s="10" t="inlineStr">
        <is>
          <t>Trên 2 Năm</t>
        </is>
      </c>
      <c r="L4206" s="11">
        <f>HYPERLINK("https://careerviet.vn/vi/tim-viec-lam/chuyen-vien-dau-tu.35C67BE6.html","Xem chi tiết")</f>
        <v/>
      </c>
      <c r="M4206" s="10" t="n"/>
    </row>
    <row r="4207">
      <c r="B4207" s="7" t="n">
        <v>4205</v>
      </c>
      <c r="C4207" t="inlineStr">
        <is>
          <t>[LONG AN] - Kỹ sư Cảnh quan</t>
        </is>
      </c>
      <c r="D4207" t="inlineStr">
        <is>
          <t>CÔNG TY CP TẬP ĐOÀN ĐẦU TƯ HOÀNG GIA VIỆT NAM</t>
        </is>
      </c>
      <c r="E4207" t="inlineStr">
        <is>
          <t>Lương:Cạnh tranh</t>
        </is>
      </c>
      <c r="F4207" t="inlineStr">
        <is>
          <t>Long An</t>
        </is>
      </c>
      <c r="G4207" t="inlineStr">
        <is>
          <t>06-04-2026</t>
        </is>
      </c>
      <c r="H4207" t="inlineStr">
        <is>
          <t>06/04/2026</t>
        </is>
      </c>
      <c r="I4207" t="inlineStr">
        <is>
          <t>17/03/2026</t>
        </is>
      </c>
      <c r="J4207" t="inlineStr">
        <is>
          <t>Nông nghiệp, Lâm Nghiệp</t>
        </is>
      </c>
      <c r="K4207" t="inlineStr">
        <is>
          <t>Trên 5 Năm</t>
        </is>
      </c>
      <c r="L4207" s="8">
        <f>HYPERLINK("https://careerviet.vn/vi/tim-viec-lam/long-an-ky-su-canh-quan.35C67B65.html","Xem chi tiết")</f>
        <v/>
      </c>
    </row>
    <row r="4208">
      <c r="B4208" s="9" t="n">
        <v>4206</v>
      </c>
      <c r="C4208" s="10" t="inlineStr">
        <is>
          <t>Chuyên viên cao cấp quan hệ khách hàng doanh nghiệp - RM SME (Khu vực Hà Nội, Bắc Ninh, Thái Nguyên)</t>
        </is>
      </c>
      <c r="D4208" s="10" t="inlineStr">
        <is>
          <t>NGÂN HÀNG TMCP KỸ THƯƠNG VIỆT NAM (TECHCOMBANK)</t>
        </is>
      </c>
      <c r="E4208" s="10" t="inlineStr">
        <is>
          <t>Lương:Cạnh tranh</t>
        </is>
      </c>
      <c r="F4208" s="10" t="inlineStr">
        <is>
          <t>Hà NộiThái NguyênBắc Ninh</t>
        </is>
      </c>
      <c r="G4208" s="10" t="inlineStr">
        <is>
          <t>06-04-2026</t>
        </is>
      </c>
      <c r="H4208" s="10" t="inlineStr">
        <is>
          <t>06/04/2026</t>
        </is>
      </c>
      <c r="I4208" s="10" t="inlineStr">
        <is>
          <t>17/03/2026</t>
        </is>
      </c>
      <c r="J4208" s="10" t="inlineStr">
        <is>
          <t>Ngân hàng, Bán hàng / Kinh doanh, Dịch vụ khách hàng</t>
        </is>
      </c>
      <c r="K4208" s="10" t="inlineStr">
        <is>
          <t>Trên 2 Năm</t>
        </is>
      </c>
      <c r="L4208" s="11">
        <f>HYPERLINK("https://careerviet.vn/vi/tim-viec-lam/chuyen-vien-cao-cap-quan-he-khach-hang-doanh-nghiep-rm-sme-khu-vuc-ha-noi-bac-ninh-thai-nguyen.35C64C13.html","Xem chi tiết")</f>
        <v/>
      </c>
      <c r="M4208" s="10" t="n"/>
    </row>
    <row r="4209">
      <c r="B4209" s="7" t="n">
        <v>4207</v>
      </c>
      <c r="C4209" t="inlineStr">
        <is>
          <t>Nhân Viên Kế Toán</t>
        </is>
      </c>
      <c r="D4209" t="inlineStr">
        <is>
          <t>Handong Engineering &amp; Construction JSC</t>
        </is>
      </c>
      <c r="E4209" t="inlineStr">
        <is>
          <t>Lương:Cạnh tranh</t>
        </is>
      </c>
      <c r="F4209" t="inlineStr">
        <is>
          <t>Hồ Chí Minh</t>
        </is>
      </c>
      <c r="G4209" t="inlineStr">
        <is>
          <t>06-04-2026</t>
        </is>
      </c>
      <c r="H4209" t="inlineStr">
        <is>
          <t>06/04/2026</t>
        </is>
      </c>
      <c r="I4209" t="inlineStr">
        <is>
          <t>17/03/2026</t>
        </is>
      </c>
      <c r="J4209" t="inlineStr">
        <is>
          <t>Xây dựng, Kế toán / Kiểm toán, Tài chính / Đầu tư</t>
        </is>
      </c>
      <c r="K4209" t="inlineStr">
        <is>
          <t>4 - 6 Năm</t>
        </is>
      </c>
      <c r="L4209" s="8">
        <f>HYPERLINK("https://careerviet.vn/vi/tim-viec-lam/nhan-vien-ke-toan.35C6797D.html","Xem chi tiết")</f>
        <v/>
      </c>
    </row>
    <row r="4210">
      <c r="B4210" s="9" t="n">
        <v>4208</v>
      </c>
      <c r="C4210" s="10" t="inlineStr">
        <is>
          <t>Chuyên Viên Tư Vấn Tài Chính Cá Nhân - Vùng Đông Hà Nội</t>
        </is>
      </c>
      <c r="D4210" s="10" t="inlineStr">
        <is>
          <t>Ngân Hàng TMCP Quốc Tế Việt Nam</t>
        </is>
      </c>
      <c r="E4210" s="10" t="inlineStr">
        <is>
          <t>Lương:Trên 15 Tr VND</t>
        </is>
      </c>
      <c r="F4210" s="10" t="inlineStr">
        <is>
          <t>Hà Nội</t>
        </is>
      </c>
      <c r="G4210" s="10" t="inlineStr">
        <is>
          <t>06-04-2026</t>
        </is>
      </c>
      <c r="H4210" s="10" t="inlineStr">
        <is>
          <t>06/04/2026</t>
        </is>
      </c>
      <c r="I4210" s="10" t="inlineStr">
        <is>
          <t>17/03/2026</t>
        </is>
      </c>
      <c r="J4210" s="10" t="inlineStr">
        <is>
          <t>Bán hàng / Kinh doanh, Ngân hàng, Bất động sản</t>
        </is>
      </c>
      <c r="K4210" s="10" t="inlineStr">
        <is>
          <t>Chưa có kinh nghiệm</t>
        </is>
      </c>
      <c r="L4210" s="11">
        <f>HYPERLINK("https://careerviet.vn/vi/tim-viec-lam/chuyen-vien-tu-van-tai-chinh-ca-nhan-vung-dong-ha-noi.35C64B90.html","Xem chi tiết")</f>
        <v/>
      </c>
      <c r="M4210" s="10" t="n"/>
    </row>
    <row r="4211">
      <c r="B4211" s="7" t="n">
        <v>4209</v>
      </c>
      <c r="C4211" t="inlineStr">
        <is>
          <t>Trưởng Phòng Hành Chính Nhân Sự</t>
        </is>
      </c>
      <c r="D4211" t="inlineStr">
        <is>
          <t>Tập Đoàn Kim Tín</t>
        </is>
      </c>
      <c r="E4211" t="inlineStr">
        <is>
          <t>Lương:Cạnh tranh</t>
        </is>
      </c>
      <c r="F4211" t="inlineStr">
        <is>
          <t>Bình Phước</t>
        </is>
      </c>
      <c r="G4211" t="inlineStr">
        <is>
          <t>06-04-2026</t>
        </is>
      </c>
      <c r="H4211" t="inlineStr">
        <is>
          <t>06/04/2026</t>
        </is>
      </c>
      <c r="I4211" t="inlineStr">
        <is>
          <t>17/03/2026</t>
        </is>
      </c>
      <c r="J4211" t="inlineStr">
        <is>
          <t>Hành chính / Thư ký, Nhân sự, Sản xuất / Vận hành sản xuất</t>
        </is>
      </c>
      <c r="K4211" t="inlineStr">
        <is>
          <t>3 - 5 Năm</t>
        </is>
      </c>
      <c r="L4211" s="8">
        <f>HYPERLINK("https://careerviet.vn/vi/tim-viec-lam/truong-phong-hanh-chinh-nhan-su.35C67A25.html","Xem chi tiết")</f>
        <v/>
      </c>
    </row>
    <row r="4212">
      <c r="B4212" s="9" t="n">
        <v>4210</v>
      </c>
      <c r="C4212" s="10" t="inlineStr">
        <is>
          <t>Giám đốc Tư vấn Tài chính cá nhân (PB) - Vùng Đồng bằng Sông Cửu Long</t>
        </is>
      </c>
      <c r="D4212" s="10" t="inlineStr">
        <is>
          <t>Ngân Hàng TMCP Quốc Tế Việt Nam</t>
        </is>
      </c>
      <c r="E4212" s="10" t="inlineStr">
        <is>
          <t>Lương:Cạnh tranh</t>
        </is>
      </c>
      <c r="F4212" s="10" t="inlineStr">
        <is>
          <t>Cần ThơKiên GiangAn Giang</t>
        </is>
      </c>
      <c r="G4212" s="10" t="inlineStr">
        <is>
          <t>06-04-2026</t>
        </is>
      </c>
      <c r="H4212" s="10" t="inlineStr">
        <is>
          <t>06/04/2026</t>
        </is>
      </c>
      <c r="I4212" s="10" t="inlineStr">
        <is>
          <t>17/03/2026</t>
        </is>
      </c>
      <c r="J4212" s="10" t="inlineStr">
        <is>
          <t>Ngân hàng, Bảo hiểm, Tài chính / Đầu tư</t>
        </is>
      </c>
      <c r="K4212" s="10" t="inlineStr">
        <is>
          <t>3 - 5 Năm</t>
        </is>
      </c>
      <c r="L4212" s="11">
        <f>HYPERLINK("https://careerviet.vn/vi/tim-viec-lam/giam-doc-tu-van-tai-chinh-ca-nhan-pb-vung-dong-bang-song-cuu-long.35C64BFD.html","Xem chi tiết")</f>
        <v/>
      </c>
      <c r="M4212" s="10" t="n"/>
    </row>
    <row r="4213">
      <c r="B4213" s="7" t="n">
        <v>4211</v>
      </c>
      <c r="C4213" t="inlineStr">
        <is>
          <t>CV QUẢN LÝ THIẾT KẾ MEP</t>
        </is>
      </c>
      <c r="D4213" t="inlineStr">
        <is>
          <t>TBS Land- Công ty Cổ Phần Đầu Tư Thái Bình</t>
        </is>
      </c>
      <c r="E4213" t="inlineStr">
        <is>
          <t>Lương:Cạnh tranh</t>
        </is>
      </c>
      <c r="F4213" t="inlineStr">
        <is>
          <t>Bình Dương</t>
        </is>
      </c>
      <c r="G4213" t="inlineStr">
        <is>
          <t>06-04-2026</t>
        </is>
      </c>
      <c r="H4213" t="inlineStr">
        <is>
          <t>06/04/2026</t>
        </is>
      </c>
      <c r="I4213" t="inlineStr">
        <is>
          <t>17/03/2026</t>
        </is>
      </c>
      <c r="J4213" t="inlineStr">
        <is>
          <t>Kiến trúc, Xây dựng</t>
        </is>
      </c>
      <c r="K4213" t="inlineStr">
        <is>
          <t>3 - 5 Năm</t>
        </is>
      </c>
      <c r="L4213" s="8">
        <f>HYPERLINK("https://careerviet.vn/vi/tim-viec-lam/cv-quan-ly-thiet-ke-mep.35C64A99.html","Xem chi tiết")</f>
        <v/>
      </c>
    </row>
    <row r="4214">
      <c r="B4214" s="9" t="n">
        <v>4212</v>
      </c>
      <c r="C4214" s="10" t="inlineStr">
        <is>
          <t>Giám Đốc/ Cán Bộ Ban Quản Lý Dự Án Xây Dựng</t>
        </is>
      </c>
      <c r="D4214" s="10" t="inlineStr">
        <is>
          <t>CÔNG TY CỔ PHẦN ĐẦU TƯ THIÊN ÂN</t>
        </is>
      </c>
      <c r="E4214" s="10" t="inlineStr">
        <is>
          <t>Lương:25 Tr - 35 Tr VND</t>
        </is>
      </c>
      <c r="F4214" s="10" t="inlineStr">
        <is>
          <t>Hà NộiBắc NinhThái Nguyên</t>
        </is>
      </c>
      <c r="G4214" s="10" t="inlineStr">
        <is>
          <t>06-04-2026</t>
        </is>
      </c>
      <c r="H4214" s="10" t="inlineStr">
        <is>
          <t>06/04/2026</t>
        </is>
      </c>
      <c r="I4214" s="10" t="inlineStr">
        <is>
          <t>17/03/2026</t>
        </is>
      </c>
      <c r="J4214" s="10" t="inlineStr">
        <is>
          <t>Xây dựng, Bất động sản</t>
        </is>
      </c>
      <c r="K4214" s="10" t="inlineStr">
        <is>
          <t>Trên 3 Năm</t>
        </is>
      </c>
      <c r="L4214" s="11">
        <f>HYPERLINK("https://careerviet.vn/vi/tim-viec-lam/giam-doc-can-bo-ban-quan-ly-du-an-xay-dung.35C67B5C.html","Xem chi tiết")</f>
        <v/>
      </c>
      <c r="M4214" s="10" t="n"/>
    </row>
    <row r="4215">
      <c r="B4215" s="7" t="n">
        <v>4213</v>
      </c>
      <c r="C4215" t="inlineStr">
        <is>
          <t>Retail Development Specialist</t>
        </is>
      </c>
      <c r="D4215" t="inlineStr">
        <is>
          <t>Công Ty CP Dược Phẩm Pharmacity</t>
        </is>
      </c>
      <c r="E4215" t="inlineStr">
        <is>
          <t>Lương:Cạnh tranh</t>
        </is>
      </c>
      <c r="F4215" t="inlineStr">
        <is>
          <t>Hồ Chí Minh</t>
        </is>
      </c>
      <c r="G4215" t="inlineStr">
        <is>
          <t>06-04-2026</t>
        </is>
      </c>
      <c r="H4215" t="inlineStr">
        <is>
          <t>06/04/2026</t>
        </is>
      </c>
      <c r="I4215" t="inlineStr">
        <is>
          <t>17/03/2026</t>
        </is>
      </c>
      <c r="J4215" t="inlineStr">
        <is>
          <t>Bán lẻ / Bán sỉ, Thương mại điện tử, Dược phẩm/ Hóa Mỹ Phẩm</t>
        </is>
      </c>
      <c r="K4215" t="inlineStr">
        <is>
          <t>1 - 2 Năm</t>
        </is>
      </c>
      <c r="L4215" s="8">
        <f>HYPERLINK("https://careerviet.vn/vi/tim-viec-lam/retail-development-specialist.35C67A85.html","Xem chi tiết")</f>
        <v/>
      </c>
    </row>
    <row r="4216">
      <c r="B4216" s="9" t="n">
        <v>4214</v>
      </c>
      <c r="C4216" s="10" t="inlineStr">
        <is>
          <t>HSE Officer (Safety &amp; Fire Protection)</t>
        </is>
      </c>
      <c r="D4216" s="10" t="inlineStr">
        <is>
          <t>CÔNG TY TNHH NTPM (VIỆT NAM)</t>
        </is>
      </c>
      <c r="E4216" s="10" t="inlineStr">
        <is>
          <t>Lương:Cạnh tranh</t>
        </is>
      </c>
      <c r="F4216" s="10" t="inlineStr">
        <is>
          <t>Hồ Chí Minh</t>
        </is>
      </c>
      <c r="G4216" s="10" t="inlineStr">
        <is>
          <t>06-04-2026</t>
        </is>
      </c>
      <c r="H4216" s="10" t="inlineStr">
        <is>
          <t>06/04/2026</t>
        </is>
      </c>
      <c r="I4216" s="10" t="inlineStr">
        <is>
          <t>17/03/2026</t>
        </is>
      </c>
      <c r="J4216" s="10" t="inlineStr">
        <is>
          <t>An Ninh / Bảo Vệ, Cơ khí / Ô tô / Tự động hóa, An toàn lao động</t>
        </is>
      </c>
      <c r="K4216" s="10" t="inlineStr">
        <is>
          <t>N/A</t>
        </is>
      </c>
      <c r="L4216" s="11">
        <f>HYPERLINK("https://careerviet.vn/vi/tim-viec-lam/hse-officer-safety-fire-protection.35C6791A.html","Xem chi tiết")</f>
        <v/>
      </c>
      <c r="M4216" s="10" t="n"/>
    </row>
    <row r="4217">
      <c r="B4217" s="7" t="n">
        <v>4215</v>
      </c>
      <c r="C4217" t="inlineStr">
        <is>
          <t>Giám sát QAQC/ Kỹ sư QAQC</t>
        </is>
      </c>
      <c r="D4217" t="inlineStr">
        <is>
          <t>Handong Engineering &amp; Construction JSC</t>
        </is>
      </c>
      <c r="E4217" t="inlineStr">
        <is>
          <t>Lương:Cạnh tranh</t>
        </is>
      </c>
      <c r="F4217" t="inlineStr">
        <is>
          <t>Hồ Chí MinhBình DươngĐồng Nai</t>
        </is>
      </c>
      <c r="G4217" t="inlineStr">
        <is>
          <t>06-04-2026</t>
        </is>
      </c>
      <c r="H4217" t="inlineStr">
        <is>
          <t>06/04/2026</t>
        </is>
      </c>
      <c r="I4217" t="inlineStr">
        <is>
          <t>17/03/2026</t>
        </is>
      </c>
      <c r="J4217" t="inlineStr">
        <is>
          <t>Xây dựng, Kiến trúc</t>
        </is>
      </c>
      <c r="K4217" t="inlineStr">
        <is>
          <t>3 - 5 Năm</t>
        </is>
      </c>
      <c r="L4217" s="8">
        <f>HYPERLINK("https://careerviet.vn/vi/tim-viec-lam/giam-sat-qaqc-ky-su-qaqc.35C6790F.html","Xem chi tiết")</f>
        <v/>
      </c>
    </row>
    <row r="4218">
      <c r="B4218" s="9" t="n">
        <v>4216</v>
      </c>
      <c r="C4218" s="10" t="inlineStr">
        <is>
          <t>Phiên Dịch Tiếng Hàn Kiêm Nhân Viên Kinh Doanh</t>
        </is>
      </c>
      <c r="D4218" s="10" t="inlineStr">
        <is>
          <t>Công Ty TNHH Kangnam Jevisco Việt Nam</t>
        </is>
      </c>
      <c r="E4218" s="10" t="inlineStr">
        <is>
          <t>Lương:Cạnh tranh</t>
        </is>
      </c>
      <c r="F4218" s="10" t="inlineStr">
        <is>
          <t>Hồ Chí Minh</t>
        </is>
      </c>
      <c r="G4218" s="10" t="inlineStr">
        <is>
          <t>06-04-2026</t>
        </is>
      </c>
      <c r="H4218" s="10" t="inlineStr">
        <is>
          <t>06/04/2026</t>
        </is>
      </c>
      <c r="I4218" s="10" t="inlineStr">
        <is>
          <t>17/03/2026</t>
        </is>
      </c>
      <c r="J4218" s="10" t="inlineStr">
        <is>
          <t>Bán lẻ / Bán sỉ, Bán hàng / Kinh doanh, Biên phiên dịch</t>
        </is>
      </c>
      <c r="K4218" s="10" t="inlineStr">
        <is>
          <t>2 - 5 Năm</t>
        </is>
      </c>
      <c r="L4218" s="11">
        <f>HYPERLINK("https://careerviet.vn/vi/tim-viec-lam/phien-dich-tieng-han-kiem-nhan-vien-kinh-doanh.35C6786F.html","Xem chi tiết")</f>
        <v/>
      </c>
      <c r="M4218" s="10" t="n"/>
    </row>
    <row r="4219">
      <c r="B4219" s="7" t="n">
        <v>4217</v>
      </c>
      <c r="C4219" t="inlineStr">
        <is>
          <t>127583 - [Junior] - Career Advisor in HCMC</t>
        </is>
      </c>
      <c r="D4219" t="inlineStr">
        <is>
          <t>RGF HR Agent Vietnam Co., LTD</t>
        </is>
      </c>
      <c r="E4219" t="inlineStr">
        <is>
          <t>Lương:Cạnh tranh</t>
        </is>
      </c>
      <c r="F4219" t="inlineStr">
        <is>
          <t>Hồ Chí Minh</t>
        </is>
      </c>
      <c r="G4219" t="inlineStr">
        <is>
          <t>06-04-2026</t>
        </is>
      </c>
      <c r="H4219" t="inlineStr">
        <is>
          <t>06/04/2026</t>
        </is>
      </c>
      <c r="I4219" t="inlineStr">
        <is>
          <t>17/03/2026</t>
        </is>
      </c>
      <c r="J4219" t="inlineStr">
        <is>
          <t>Tư vấn, Nhân sự</t>
        </is>
      </c>
      <c r="K4219" t="inlineStr">
        <is>
          <t>Trên 1 Năm</t>
        </is>
      </c>
      <c r="L4219" s="8">
        <f>HYPERLINK("https://careerviet.vn/vi/tim-viec-lam/127583-junior-career-advisor-in-hcmc.35C67B6A.html","Xem chi tiết")</f>
        <v/>
      </c>
    </row>
    <row r="4220">
      <c r="B4220" s="9" t="n">
        <v>4218</v>
      </c>
      <c r="C4220" s="10" t="inlineStr">
        <is>
          <t>Chuyên viên ISO</t>
        </is>
      </c>
      <c r="D4220" s="10" t="inlineStr">
        <is>
          <t>Công ty TNHH DV và Kỹ Thuật Biển Xanh (GOTCO)</t>
        </is>
      </c>
      <c r="E4220" s="10" t="inlineStr">
        <is>
          <t>Lương:18 Tr - 25 Tr VND</t>
        </is>
      </c>
      <c r="F4220" s="10" t="inlineStr">
        <is>
          <t>Hồ Chí Minh</t>
        </is>
      </c>
      <c r="G4220" s="10" t="inlineStr">
        <is>
          <t>06-04-2026</t>
        </is>
      </c>
      <c r="H4220" s="10" t="inlineStr">
        <is>
          <t>06/04/2026</t>
        </is>
      </c>
      <c r="I4220" s="10" t="inlineStr">
        <is>
          <t>17/03/2026</t>
        </is>
      </c>
      <c r="J4220" s="10" t="inlineStr">
        <is>
          <t>Luật / Pháp lý, Quản lý chất lượng (QA/QC)</t>
        </is>
      </c>
      <c r="K4220" s="10" t="inlineStr">
        <is>
          <t>3 - 5 Năm</t>
        </is>
      </c>
      <c r="L4220" s="11">
        <f>HYPERLINK("https://careerviet.vn/vi/tim-viec-lam/chuyen-vien-iso.35C67956.html","Xem chi tiết")</f>
        <v/>
      </c>
      <c r="M4220" s="10" t="n"/>
    </row>
    <row r="4221">
      <c r="B4221" s="7" t="n">
        <v>4219</v>
      </c>
      <c r="C4221" t="inlineStr">
        <is>
          <t>Project Officer in Transport</t>
        </is>
      </c>
      <c r="D4221" t="inlineStr">
        <is>
          <t>The Deutsche Gesellschaft für Internationale Zusammenarbeit (GIZ)</t>
        </is>
      </c>
      <c r="E4221" t="inlineStr">
        <is>
          <t>Lương:Cạnh tranh</t>
        </is>
      </c>
      <c r="F4221" t="inlineStr">
        <is>
          <t>Hà Nội</t>
        </is>
      </c>
      <c r="G4221" t="inlineStr">
        <is>
          <t>06-04-2026</t>
        </is>
      </c>
      <c r="H4221" t="inlineStr">
        <is>
          <t>06/04/2026</t>
        </is>
      </c>
      <c r="I4221" t="inlineStr">
        <is>
          <t>17/03/2026</t>
        </is>
      </c>
      <c r="J4221" t="inlineStr">
        <is>
          <t>Môi trường, Bán hàng / Kinh doanh, Vận chuyển / Giao nhận / Kho vận</t>
        </is>
      </c>
      <c r="K4221" t="inlineStr">
        <is>
          <t>10 Năm</t>
        </is>
      </c>
      <c r="L4221" s="8">
        <f>HYPERLINK("https://careerviet.vn/vi/tim-viec-lam/project-officer-in-transport.35C679EC.html","Xem chi tiết")</f>
        <v/>
      </c>
    </row>
    <row r="4222">
      <c r="B4222" s="9" t="n">
        <v>4220</v>
      </c>
      <c r="C4222" s="10" t="inlineStr">
        <is>
          <t>Teamleader/ Tổ Trưởng Sản Xuất</t>
        </is>
      </c>
      <c r="D4222" s="10" t="inlineStr">
        <is>
          <t>Công ty TNHH Olam Việt Nam</t>
        </is>
      </c>
      <c r="E4222" s="10" t="inlineStr">
        <is>
          <t>Lương:Cạnh tranh</t>
        </is>
      </c>
      <c r="F4222" s="10" t="inlineStr">
        <is>
          <t>Đồng Nai</t>
        </is>
      </c>
      <c r="G4222" s="10" t="inlineStr">
        <is>
          <t>06-04-2026</t>
        </is>
      </c>
      <c r="H4222" s="10" t="inlineStr">
        <is>
          <t>06/04/2026</t>
        </is>
      </c>
      <c r="I4222" s="10" t="inlineStr">
        <is>
          <t>17/03/2026</t>
        </is>
      </c>
      <c r="J4222" s="10" t="inlineStr">
        <is>
          <t>Sản xuất / Vận hành sản xuất, Thực phẩm &amp; Đồ uống</t>
        </is>
      </c>
      <c r="K4222" s="10" t="inlineStr">
        <is>
          <t>1 - 2 Năm</t>
        </is>
      </c>
      <c r="L4222" s="11">
        <f>HYPERLINK("https://careerviet.vn/vi/tim-viec-lam/teamleader-to-truong-san-xuat.35C64BAA.html","Xem chi tiết")</f>
        <v/>
      </c>
      <c r="M4222" s="10" t="n"/>
    </row>
    <row r="4223">
      <c r="B4223" s="7" t="n">
        <v>4221</v>
      </c>
      <c r="C4223" t="inlineStr">
        <is>
          <t>Chuyên viên kinh doanh vốn - Khối Nguồn vốn và thị trường tài chính</t>
        </is>
      </c>
      <c r="D4223" t="inlineStr">
        <is>
          <t>Ngân hàng TMCP Đại Chúng Việt Nam - PVcomBank</t>
        </is>
      </c>
      <c r="E4223" t="inlineStr">
        <is>
          <t>Lương:Cạnh tranh</t>
        </is>
      </c>
      <c r="F4223" t="inlineStr">
        <is>
          <t>Hà Nội</t>
        </is>
      </c>
      <c r="G4223" t="inlineStr">
        <is>
          <t>06-04-2026</t>
        </is>
      </c>
      <c r="H4223" t="inlineStr">
        <is>
          <t>06/04/2026</t>
        </is>
      </c>
      <c r="I4223" t="inlineStr">
        <is>
          <t>17/03/2026</t>
        </is>
      </c>
      <c r="J4223" t="inlineStr">
        <is>
          <t>Bán hàng / Kinh doanh, Ngân hàng, Tài chính / Đầu tư</t>
        </is>
      </c>
      <c r="K4223" t="inlineStr">
        <is>
          <t>2 - 10 Năm</t>
        </is>
      </c>
      <c r="L4223" s="8">
        <f>HYPERLINK("https://careerviet.vn/vi/tim-viec-lam/chuyen-vien-kinh-doanh-von-khoi-nguon-von-va-thi-truong-tai-chinh.35C64AFF.html","Xem chi tiết")</f>
        <v/>
      </c>
    </row>
    <row r="4224">
      <c r="B4224" s="9" t="n">
        <v>4222</v>
      </c>
      <c r="C4224" s="10" t="inlineStr">
        <is>
          <t>Lập trình viên NodeJS (Có thể đi làm sau Tết)</t>
        </is>
      </c>
      <c r="D4224" s="10" t="inlineStr">
        <is>
          <t>Công ty CP IIG Việt Nam</t>
        </is>
      </c>
      <c r="E4224" s="10" t="inlineStr">
        <is>
          <t>Lương:20 Tr - 25 Tr VND</t>
        </is>
      </c>
      <c r="F4224" s="10" t="inlineStr">
        <is>
          <t>Hà Nội</t>
        </is>
      </c>
      <c r="G4224" s="10" t="inlineStr">
        <is>
          <t>06-04-2026</t>
        </is>
      </c>
      <c r="H4224" s="10" t="inlineStr">
        <is>
          <t>06/04/2026</t>
        </is>
      </c>
      <c r="I4224" s="10" t="inlineStr">
        <is>
          <t>17/03/2026</t>
        </is>
      </c>
      <c r="J4224" s="10" t="inlineStr">
        <is>
          <t>CNTT - Phần mềm</t>
        </is>
      </c>
      <c r="K4224" s="10" t="inlineStr">
        <is>
          <t>3 - 5 Năm</t>
        </is>
      </c>
      <c r="L4224" s="11">
        <f>HYPERLINK("https://careerviet.vn/vi/tim-viec-lam/lap-trinh-vien-nodejs-co-the-di-lam-sau-tet.35C64B32.html","Xem chi tiết")</f>
        <v/>
      </c>
      <c r="M4224" s="10" t="n"/>
    </row>
    <row r="4225">
      <c r="B4225" s="7" t="n">
        <v>4223</v>
      </c>
      <c r="C4225" t="inlineStr">
        <is>
          <t>Nhân viên Vận Hành Lò Hơi</t>
        </is>
      </c>
      <c r="D4225" t="inlineStr">
        <is>
          <t>Bảo mật</t>
        </is>
      </c>
      <c r="E4225" t="inlineStr">
        <is>
          <t>Lương:10 Tr - 12 Tr VND</t>
        </is>
      </c>
      <c r="F4225" t="inlineStr">
        <is>
          <t>Bình Dương</t>
        </is>
      </c>
      <c r="G4225" t="inlineStr">
        <is>
          <t>06-04-2026</t>
        </is>
      </c>
      <c r="H4225" t="inlineStr">
        <is>
          <t>06/04/2026</t>
        </is>
      </c>
      <c r="I4225" t="inlineStr">
        <is>
          <t>17/03/2026</t>
        </is>
      </c>
      <c r="J4225" t="inlineStr">
        <is>
          <t>Bảo trì / Sửa chữa</t>
        </is>
      </c>
      <c r="K4225" t="inlineStr">
        <is>
          <t>1 - 3 Năm</t>
        </is>
      </c>
      <c r="L4225" s="8">
        <f>HYPERLINK("https://careerviet.vn/vi/tim-viec-lam/nhan-vien-van-hanh-lo-hoi.35C67BEA.html","Xem chi tiết")</f>
        <v/>
      </c>
    </row>
    <row r="4226">
      <c r="B4226" s="9" t="n">
        <v>4224</v>
      </c>
      <c r="C4226" s="10" t="inlineStr">
        <is>
          <t>Chuyên viên cao cấp Khách hàng cá nhân - SRBO (Khu vực Hà Nội, Bắc Ninh, Thái Nguyên)</t>
        </is>
      </c>
      <c r="D4226" s="10" t="inlineStr">
        <is>
          <t>NGÂN HÀNG TMCP KỸ THƯƠNG VIỆT NAM (TECHCOMBANK)</t>
        </is>
      </c>
      <c r="E4226" s="10" t="inlineStr">
        <is>
          <t>Lương:Cạnh tranh</t>
        </is>
      </c>
      <c r="F4226" s="10" t="inlineStr">
        <is>
          <t>Hà NộiThái NguyênBắc Ninh</t>
        </is>
      </c>
      <c r="G4226" s="10" t="inlineStr">
        <is>
          <t>06-04-2026</t>
        </is>
      </c>
      <c r="H4226" s="10" t="inlineStr">
        <is>
          <t>06/04/2026</t>
        </is>
      </c>
      <c r="I4226" s="10" t="inlineStr">
        <is>
          <t>17/03/2026</t>
        </is>
      </c>
      <c r="J4226" s="10" t="inlineStr">
        <is>
          <t>Ngân hàng, Bán hàng / Kinh doanh, Dịch vụ khách hàng</t>
        </is>
      </c>
      <c r="K4226" s="10" t="inlineStr">
        <is>
          <t>Trên 2 Năm</t>
        </is>
      </c>
      <c r="L4226" s="11">
        <f>HYPERLINK("https://careerviet.vn/vi/tim-viec-lam/chuyen-vien-cao-cap-khach-hang-ca-nhan-srbo-khu-vuc-ha-noi-bac-ninh-thai-nguyen.35C64C11.html","Xem chi tiết")</f>
        <v/>
      </c>
      <c r="M4226" s="10" t="n"/>
    </row>
    <row r="4227">
      <c r="B4227" s="7" t="n">
        <v>4225</v>
      </c>
      <c r="C4227" t="inlineStr">
        <is>
          <t>Chuyên Viên Kế Hoạch</t>
        </is>
      </c>
      <c r="D4227" t="inlineStr">
        <is>
          <t>NGÂN HÀNG TMCP NGOẠI THƯƠNG VIỆT NAM (VIETCOMBANK)</t>
        </is>
      </c>
      <c r="E4227" t="inlineStr">
        <is>
          <t>Lương:Cạnh tranh</t>
        </is>
      </c>
      <c r="F4227" t="inlineStr">
        <is>
          <t>Hà Nội</t>
        </is>
      </c>
      <c r="G4227" t="inlineStr">
        <is>
          <t>06-04-2026</t>
        </is>
      </c>
      <c r="H4227" t="inlineStr">
        <is>
          <t>06/04/2026</t>
        </is>
      </c>
      <c r="I4227" t="inlineStr">
        <is>
          <t>17/03/2026</t>
        </is>
      </c>
      <c r="J4227" t="inlineStr">
        <is>
          <t>Ngân hàng, Tài chính / Đầu tư, Kế toán / Kiểm toán</t>
        </is>
      </c>
      <c r="K4227" t="inlineStr">
        <is>
          <t>Trên 3 Năm</t>
        </is>
      </c>
      <c r="L4227" s="8">
        <f>HYPERLINK("https://careerviet.vn/vi/tim-viec-lam/chuyen-vien-ke-hoach.35C67BF4.html","Xem chi tiết")</f>
        <v/>
      </c>
    </row>
    <row r="4228">
      <c r="B4228" s="9" t="n">
        <v>4226</v>
      </c>
      <c r="C4228" s="10" t="inlineStr">
        <is>
          <t>Kỹ sư QS - Phòng quản lý chi phí</t>
        </is>
      </c>
      <c r="D4228" s="10" t="inlineStr">
        <is>
          <t>Công Ty TNHH Xây Dựng Solutions</t>
        </is>
      </c>
      <c r="E4228" s="10" t="inlineStr">
        <is>
          <t>Lương:Cạnh tranh</t>
        </is>
      </c>
      <c r="F4228" s="10" t="inlineStr">
        <is>
          <t>Hồ Chí Minh</t>
        </is>
      </c>
      <c r="G4228" s="10" t="inlineStr">
        <is>
          <t>06-04-2026</t>
        </is>
      </c>
      <c r="H4228" s="10" t="inlineStr">
        <is>
          <t>06/04/2026</t>
        </is>
      </c>
      <c r="I4228" s="10" t="inlineStr">
        <is>
          <t>17/03/2026</t>
        </is>
      </c>
      <c r="J4228" s="10" t="inlineStr">
        <is>
          <t>Tài chính / Đầu tư, Xây dựng, Bất động sản</t>
        </is>
      </c>
      <c r="K4228" s="10" t="inlineStr">
        <is>
          <t>2 - 5 Năm</t>
        </is>
      </c>
      <c r="L4228" s="11">
        <f>HYPERLINK("https://careerviet.vn/vi/tim-viec-lam/ky-su-qs-phong-quan-ly-chi-phi.35C67AFA.html","Xem chi tiết")</f>
        <v/>
      </c>
      <c r="M4228" s="10" t="n"/>
    </row>
    <row r="4229">
      <c r="B4229" s="7" t="n">
        <v>4227</v>
      </c>
      <c r="C4229" t="inlineStr">
        <is>
          <t>Chuyên Viên Phát Triển Kinh Doanh (B2B – Quà Tặng Doanh Nghiệp)</t>
        </is>
      </c>
      <c r="D4229" t="inlineStr">
        <is>
          <t>CÔNG TY TNHH SẢN XUẤT VÀ THƯƠNG MẠI INOVINA</t>
        </is>
      </c>
      <c r="E4229" t="inlineStr">
        <is>
          <t>Lương:10 Tr - 30 Tr VND</t>
        </is>
      </c>
      <c r="F4229" t="inlineStr">
        <is>
          <t>Hồ Chí Minh</t>
        </is>
      </c>
      <c r="G4229" t="inlineStr">
        <is>
          <t>08-04-2026</t>
        </is>
      </c>
      <c r="H4229" t="inlineStr">
        <is>
          <t>08/04/2026</t>
        </is>
      </c>
      <c r="I4229" t="inlineStr">
        <is>
          <t>17/03/2026</t>
        </is>
      </c>
      <c r="J4229" t="inlineStr">
        <is>
          <t>Tiếp thị / Marketing, Bán lẻ / Bán sỉ, Bán hàng / Kinh doanh</t>
        </is>
      </c>
      <c r="K4229" t="inlineStr">
        <is>
          <t>Lên đến 2 Năm</t>
        </is>
      </c>
      <c r="L4229" s="8">
        <f>HYPERLINK("https://careerviet.vn/vi/tim-viec-lam/chuyen-vien-phat-trien-kinh-doanh-b2b-qua-tang-doanh-nghiep.35C68C4B.html","Xem chi tiết")</f>
        <v/>
      </c>
    </row>
    <row r="4230">
      <c r="B4230" s="9" t="n">
        <v>4228</v>
      </c>
      <c r="C4230" s="10" t="inlineStr">
        <is>
          <t>Tổ trưởng Ngôn ngữ Anh</t>
        </is>
      </c>
      <c r="D4230" s="10" t="inlineStr">
        <is>
          <t>TRƯỜNG PHỔ THÔNG LIÊN CẤP H.A.S</t>
        </is>
      </c>
      <c r="E4230" s="10" t="inlineStr">
        <is>
          <t>Lương:15 Tr - 17 Tr VND</t>
        </is>
      </c>
      <c r="F4230" s="10" t="inlineStr">
        <is>
          <t>Hà Nội</t>
        </is>
      </c>
      <c r="G4230" s="10" t="inlineStr">
        <is>
          <t>31-03-2026</t>
        </is>
      </c>
      <c r="H4230" s="10" t="inlineStr">
        <is>
          <t>31/03/2026</t>
        </is>
      </c>
      <c r="I4230" s="10" t="inlineStr">
        <is>
          <t>17/03/2026</t>
        </is>
      </c>
      <c r="J4230" s="10" t="inlineStr">
        <is>
          <t>Giáo dục / Đào tạo</t>
        </is>
      </c>
      <c r="K4230" s="10" t="inlineStr">
        <is>
          <t>3 - 4 Năm</t>
        </is>
      </c>
      <c r="L4230" s="11">
        <f>HYPERLINK("https://careerviet.vn/vi/tim-viec-lam/to-truong-ngon-ngu-anh.35C68C5D.html","Xem chi tiết")</f>
        <v/>
      </c>
      <c r="M4230" s="10" t="n"/>
    </row>
    <row r="4231">
      <c r="B4231" s="7" t="n">
        <v>4229</v>
      </c>
      <c r="C4231" t="inlineStr">
        <is>
          <t>Kế Toán Tổng Hợp (Sản Xuất)</t>
        </is>
      </c>
      <c r="D4231" t="inlineStr">
        <is>
          <t>Công Ty Cổ Phần Tập Đoàn Ô Tô Hiệp Hòa</t>
        </is>
      </c>
      <c r="E4231" t="inlineStr">
        <is>
          <t>Lương:15 Tr - 25 Tr VND</t>
        </is>
      </c>
      <c r="F4231" t="inlineStr">
        <is>
          <t>Hà Nội</t>
        </is>
      </c>
      <c r="G4231" t="inlineStr">
        <is>
          <t>31-03-2026</t>
        </is>
      </c>
      <c r="H4231" t="inlineStr">
        <is>
          <t>31/03/2026</t>
        </is>
      </c>
      <c r="I4231" t="inlineStr">
        <is>
          <t>17/03/2026</t>
        </is>
      </c>
      <c r="J4231" t="inlineStr">
        <is>
          <t>Kế toán / Kiểm toán</t>
        </is>
      </c>
      <c r="K4231" t="inlineStr">
        <is>
          <t>Trên 5 Năm</t>
        </is>
      </c>
      <c r="L4231" s="8">
        <f>HYPERLINK("https://careerviet.vn/vi/tim-viec-lam/ke-toan-tong-hop-san-xuat.35C68C4F.html","Xem chi tiết")</f>
        <v/>
      </c>
    </row>
    <row r="4232">
      <c r="B4232" s="9" t="n">
        <v>4230</v>
      </c>
      <c r="C4232" s="10" t="inlineStr">
        <is>
          <t>Giáo Viên Ngữ Văn</t>
        </is>
      </c>
      <c r="D4232" s="10" t="inlineStr">
        <is>
          <t>TRƯỜNG PHỔ THÔNG LIÊN CẤP H.A.S</t>
        </is>
      </c>
      <c r="E4232" s="10" t="inlineStr">
        <is>
          <t>Lương:11 Tr - 12 Tr VND</t>
        </is>
      </c>
      <c r="F4232" s="10" t="inlineStr">
        <is>
          <t>Hà Nội</t>
        </is>
      </c>
      <c r="G4232" s="10" t="inlineStr">
        <is>
          <t>31-03-2026</t>
        </is>
      </c>
      <c r="H4232" s="10" t="inlineStr">
        <is>
          <t>31/03/2026</t>
        </is>
      </c>
      <c r="I4232" s="10" t="inlineStr">
        <is>
          <t>17/03/2026</t>
        </is>
      </c>
      <c r="J4232" s="10" t="inlineStr">
        <is>
          <t>Giáo dục / Đào tạo</t>
        </is>
      </c>
      <c r="K4232" s="10" t="inlineStr">
        <is>
          <t>1 - 3 Năm</t>
        </is>
      </c>
      <c r="L4232" s="11">
        <f>HYPERLINK("https://careerviet.vn/vi/tim-viec-lam/giao-vien-ngu-van.35C68C59.html","Xem chi tiết")</f>
        <v/>
      </c>
      <c r="M4232" s="10" t="n"/>
    </row>
    <row r="4233">
      <c r="B4233" s="7" t="n">
        <v>4231</v>
      </c>
      <c r="C4233" t="inlineStr">
        <is>
          <t>Chuyên viên cao cấp Kinh doanh Hedging và Phái sinh</t>
        </is>
      </c>
      <c r="D4233" t="inlineStr">
        <is>
          <t>Ngân Hàng TMCP Sài Gòn - Hà Nội ( SHB )</t>
        </is>
      </c>
      <c r="E4233" t="inlineStr">
        <is>
          <t>Lương:Cạnh tranh</t>
        </is>
      </c>
      <c r="F4233" t="inlineStr">
        <is>
          <t>Hà Nội</t>
        </is>
      </c>
      <c r="G4233" t="inlineStr">
        <is>
          <t>24-03-2026</t>
        </is>
      </c>
      <c r="H4233" t="inlineStr">
        <is>
          <t>24/03/2026</t>
        </is>
      </c>
      <c r="I4233" t="inlineStr">
        <is>
          <t>17/03/2026</t>
        </is>
      </c>
      <c r="J4233" t="inlineStr">
        <is>
          <t>Ngân hàng, Tài chính / Đầu tư</t>
        </is>
      </c>
      <c r="K4233" t="inlineStr">
        <is>
          <t>null - null Năm</t>
        </is>
      </c>
      <c r="L4233" s="8">
        <f>HYPERLINK("https://careerviet.vn/vi/tim-viec-lam/chuyen-vien-cao-cap-kinh-doanh-hedging-va-phai-sinh.35C68C64.html","Xem chi tiết")</f>
        <v/>
      </c>
    </row>
    <row r="4234">
      <c r="B4234" s="9" t="n">
        <v>4232</v>
      </c>
      <c r="C4234" s="10" t="inlineStr">
        <is>
          <t>Wind Farm Maintenance Engineer</t>
        </is>
      </c>
      <c r="D4234" s="10" t="inlineStr">
        <is>
          <t>GOLDWIND</t>
        </is>
      </c>
      <c r="E4234" s="10" t="inlineStr">
        <is>
          <t>Lương:Cạnh tranh</t>
        </is>
      </c>
      <c r="F4234" s="10" t="inlineStr">
        <is>
          <t>Quốc tế</t>
        </is>
      </c>
      <c r="G4234" s="10" t="inlineStr">
        <is>
          <t>06-04-2026</t>
        </is>
      </c>
      <c r="H4234" s="10" t="inlineStr">
        <is>
          <t>06/04/2026</t>
        </is>
      </c>
      <c r="I4234" s="10" t="inlineStr">
        <is>
          <t>17/03/2026</t>
        </is>
      </c>
      <c r="J4234" s="10" t="inlineStr">
        <is>
          <t>Điện / Điện tử / Điện lạnh / Điện công nghiệp, Bảo trì / Sửa chữa</t>
        </is>
      </c>
      <c r="K4234" s="10" t="inlineStr">
        <is>
          <t>1 - 3 Năm</t>
        </is>
      </c>
      <c r="L4234" s="11">
        <f>HYPERLINK("https://careerviet.vn/vi/tim-viec-lam/wind-farm-maintenance-engineer.35C67A3D.html","Xem chi tiết")</f>
        <v/>
      </c>
      <c r="M4234" s="10" t="n"/>
    </row>
    <row r="4235">
      <c r="B4235" s="7" t="n">
        <v>4233</v>
      </c>
      <c r="C4235" t="inlineStr">
        <is>
          <t>Giáo viên Giáo dục Pháp luật và Kinh tế</t>
        </is>
      </c>
      <c r="D4235" t="inlineStr">
        <is>
          <t>TRƯỜNG PHỔ THÔNG LIÊN CẤP H.A.S</t>
        </is>
      </c>
      <c r="E4235" t="inlineStr">
        <is>
          <t>Lương:10 Tr - 12 Tr VND</t>
        </is>
      </c>
      <c r="F4235" t="inlineStr">
        <is>
          <t>Hà Nội</t>
        </is>
      </c>
      <c r="G4235" t="inlineStr">
        <is>
          <t>31-03-2026</t>
        </is>
      </c>
      <c r="H4235" t="inlineStr">
        <is>
          <t>31/03/2026</t>
        </is>
      </c>
      <c r="I4235" t="inlineStr">
        <is>
          <t>17/03/2026</t>
        </is>
      </c>
      <c r="J4235" t="inlineStr">
        <is>
          <t>Giáo dục / Đào tạo</t>
        </is>
      </c>
      <c r="K4235" t="inlineStr">
        <is>
          <t>1 - 3 Năm</t>
        </is>
      </c>
      <c r="L4235" s="8">
        <f>HYPERLINK("https://careerviet.vn/vi/tim-viec-lam/giao-vien-giao-duc-phap-luat-va-kinh-te.35C68C5C.html","Xem chi tiết")</f>
        <v/>
      </c>
    </row>
    <row r="4236">
      <c r="B4236" s="9" t="n">
        <v>4234</v>
      </c>
      <c r="C4236" s="10" t="inlineStr">
        <is>
          <t>Sika-Go-Future Program (for fresh Civil Engineering)</t>
        </is>
      </c>
      <c r="D4236" s="10" t="inlineStr">
        <is>
          <t>Sika Limited (Vietnam)</t>
        </is>
      </c>
      <c r="E4236" s="10" t="inlineStr">
        <is>
          <t>Lương:Cạnh tranh</t>
        </is>
      </c>
      <c r="F4236" s="10" t="inlineStr">
        <is>
          <t>Hà NộiHồ Chí Minh</t>
        </is>
      </c>
      <c r="G4236" s="10" t="inlineStr">
        <is>
          <t>06-04-2026</t>
        </is>
      </c>
      <c r="H4236" s="10" t="inlineStr">
        <is>
          <t>06/04/2026</t>
        </is>
      </c>
      <c r="I4236" s="10" t="inlineStr">
        <is>
          <t>17/03/2026</t>
        </is>
      </c>
      <c r="J4236" s="10" t="inlineStr">
        <is>
          <t>Xây dựng</t>
        </is>
      </c>
      <c r="K4236" s="10" t="inlineStr">
        <is>
          <t>N/A</t>
        </is>
      </c>
      <c r="L4236" s="11">
        <f>HYPERLINK("https://careerviet.vn/vi/tim-viec-lam/sika-go-future-program-for-fresh-civil-engineering.35C67B8F.html","Xem chi tiết")</f>
        <v/>
      </c>
      <c r="M4236" s="10" t="n"/>
    </row>
    <row r="4237">
      <c r="B4237" s="7" t="n">
        <v>4235</v>
      </c>
      <c r="C4237" t="inlineStr">
        <is>
          <t>Tuyển Nhân viên Affiliate (Thu nhập hấp dẫn 15-20tr)</t>
        </is>
      </c>
      <c r="D4237" t="inlineStr">
        <is>
          <t>Công ty Cổ phần TP Solar</t>
        </is>
      </c>
      <c r="E4237" t="inlineStr">
        <is>
          <t>Lương:15 Tr - 20 Tr VND</t>
        </is>
      </c>
      <c r="F4237" t="inlineStr">
        <is>
          <t>Hà Nội</t>
        </is>
      </c>
      <c r="G4237" t="inlineStr">
        <is>
          <t>31-03-2026</t>
        </is>
      </c>
      <c r="H4237" t="inlineStr">
        <is>
          <t>31/03/2026</t>
        </is>
      </c>
      <c r="I4237" t="inlineStr">
        <is>
          <t>17/03/2026</t>
        </is>
      </c>
      <c r="J4237" t="inlineStr">
        <is>
          <t>Bán hàng / Kinh doanh, Thương mại điện tử, Dịch vụ khách hàng</t>
        </is>
      </c>
      <c r="K4237" t="inlineStr">
        <is>
          <t>1 - 2 Năm</t>
        </is>
      </c>
      <c r="L4237" s="8">
        <f>HYPERLINK("https://careerviet.vn/vi/tim-viec-lam/tuyen-nhan-vien-affiliate-thu-nhap-hap-dan-15-20tr.35C6B654.html","Xem chi tiết")</f>
        <v/>
      </c>
    </row>
    <row r="4238">
      <c r="B4238" s="9" t="n">
        <v>4236</v>
      </c>
      <c r="C4238" s="10" t="inlineStr">
        <is>
          <t>Trợ lý quản lý nhãn hàng ( ABM)</t>
        </is>
      </c>
      <c r="D4238" s="10" t="inlineStr">
        <is>
          <t>Công Ty Cổ phần Tập Đoàn KIDO</t>
        </is>
      </c>
      <c r="E4238" s="10" t="inlineStr">
        <is>
          <t>Lương:Cạnh tranh</t>
        </is>
      </c>
      <c r="F4238" s="10" t="inlineStr">
        <is>
          <t>Hồ Chí Minh</t>
        </is>
      </c>
      <c r="G4238" s="10" t="inlineStr">
        <is>
          <t>26-03-2026</t>
        </is>
      </c>
      <c r="H4238" s="10" t="inlineStr">
        <is>
          <t>26/03/2026</t>
        </is>
      </c>
      <c r="I4238" s="10" t="inlineStr">
        <is>
          <t>17/03/2026</t>
        </is>
      </c>
      <c r="J4238" s="10" t="inlineStr">
        <is>
          <t>Thực phẩm &amp; Đồ uống, Quảng cáo / Đối ngoại / Truyền Thông</t>
        </is>
      </c>
      <c r="K4238" s="10" t="inlineStr">
        <is>
          <t>3 - 5 Năm</t>
        </is>
      </c>
      <c r="L4238" s="11">
        <f>HYPERLINK("https://careerviet.vn/vi/tim-viec-lam/tro-ly-quan-ly-nhan-hang-abm.35C6B5F7.html","Xem chi tiết")</f>
        <v/>
      </c>
      <c r="M4238" s="10" t="n"/>
    </row>
    <row r="4239">
      <c r="B4239" s="7" t="n">
        <v>4237</v>
      </c>
      <c r="C4239" t="inlineStr">
        <is>
          <t>Giáo viên Lịch sử</t>
        </is>
      </c>
      <c r="D4239" t="inlineStr">
        <is>
          <t>TRƯỜNG PHỔ THÔNG LIÊN CẤP H.A.S</t>
        </is>
      </c>
      <c r="E4239" t="inlineStr">
        <is>
          <t>Lương:10 Tr - 12 Tr VND</t>
        </is>
      </c>
      <c r="F4239" t="inlineStr">
        <is>
          <t>Hà Nội</t>
        </is>
      </c>
      <c r="G4239" t="inlineStr">
        <is>
          <t>31-03-2026</t>
        </is>
      </c>
      <c r="H4239" t="inlineStr">
        <is>
          <t>31/03/2026</t>
        </is>
      </c>
      <c r="I4239" t="inlineStr">
        <is>
          <t>17/03/2026</t>
        </is>
      </c>
      <c r="J4239" t="inlineStr">
        <is>
          <t>Giáo dục / Đào tạo</t>
        </is>
      </c>
      <c r="K4239" t="inlineStr">
        <is>
          <t>1 - 2 Năm</t>
        </is>
      </c>
      <c r="L4239" s="8">
        <f>HYPERLINK("https://careerviet.vn/vi/tim-viec-lam/giao-vien-lich-su.35C68C5B.html","Xem chi tiết")</f>
        <v/>
      </c>
    </row>
    <row r="4240">
      <c r="B4240" s="9" t="n">
        <v>4238</v>
      </c>
      <c r="C4240" s="10" t="inlineStr">
        <is>
          <t>TRƯỞNG PHÒNG QUẢN LÝ SẢN XUẤT</t>
        </is>
      </c>
      <c r="D4240" s="10" t="inlineStr">
        <is>
          <t>Tập Đoàn Kim Tín</t>
        </is>
      </c>
      <c r="E4240" s="10" t="inlineStr">
        <is>
          <t>Lương:Cạnh tranh</t>
        </is>
      </c>
      <c r="F4240" s="10" t="inlineStr">
        <is>
          <t>Bình Phước</t>
        </is>
      </c>
      <c r="G4240" s="10" t="inlineStr">
        <is>
          <t>06-04-2026</t>
        </is>
      </c>
      <c r="H4240" s="10" t="inlineStr">
        <is>
          <t>06/04/2026</t>
        </is>
      </c>
      <c r="I4240" s="10" t="inlineStr">
        <is>
          <t>17/03/2026</t>
        </is>
      </c>
      <c r="J4240" s="10" t="inlineStr">
        <is>
          <t>Sản xuất / Vận hành sản xuất</t>
        </is>
      </c>
      <c r="K4240" s="10" t="inlineStr">
        <is>
          <t>3 - 5 Năm</t>
        </is>
      </c>
      <c r="L4240" s="11">
        <f>HYPERLINK("https://careerviet.vn/vi/tim-viec-lam/truong-phong-quan-ly-san-xuat.35C67A33.html","Xem chi tiết")</f>
        <v/>
      </c>
      <c r="M4240" s="10" t="n"/>
    </row>
    <row r="4241">
      <c r="B4241" s="7" t="n">
        <v>4239</v>
      </c>
      <c r="C4241" t="inlineStr">
        <is>
          <t>Kỹ thuật viên Vận hành máy CNC</t>
        </is>
      </c>
      <c r="D4241" t="inlineStr">
        <is>
          <t>Công Ty TNHH Zeder Việt Nam</t>
        </is>
      </c>
      <c r="E4241" t="inlineStr">
        <is>
          <t>Lương:14 Tr - 17 Tr VND</t>
        </is>
      </c>
      <c r="F4241" t="inlineStr">
        <is>
          <t>Đồng Nai</t>
        </is>
      </c>
      <c r="G4241" t="inlineStr">
        <is>
          <t>05-04-2026</t>
        </is>
      </c>
      <c r="H4241" t="inlineStr">
        <is>
          <t>05/04/2026</t>
        </is>
      </c>
      <c r="I4241" t="inlineStr">
        <is>
          <t>17/03/2026</t>
        </is>
      </c>
      <c r="J4241" t="inlineStr">
        <is>
          <t>Cơ khí / Ô tô / Tự động hóa, Điện / Điện tử / Điện lạnh / Điện công nghiệp, Sản xuất / Vận hành sản xuất</t>
        </is>
      </c>
      <c r="K4241" t="inlineStr">
        <is>
          <t>1 - 3 Năm</t>
        </is>
      </c>
      <c r="L4241" s="8">
        <f>HYPERLINK("https://careerviet.vn/vi/tim-viec-lam/ky-thuat-vien-van-hanh-may-cnc.35C64802.html","Xem chi tiết")</f>
        <v/>
      </c>
    </row>
    <row r="4242">
      <c r="B4242" s="9" t="n">
        <v>4240</v>
      </c>
      <c r="C4242" s="10" t="inlineStr">
        <is>
          <t>Chuyên Viên Mua Hàng (15-18M)</t>
        </is>
      </c>
      <c r="D4242" s="10" t="inlineStr">
        <is>
          <t>CÔNG TY CỔ PHẦN VUA NỆM</t>
        </is>
      </c>
      <c r="E4242" s="10" t="inlineStr">
        <is>
          <t>Lương:15 Tr - 18 Tr VND</t>
        </is>
      </c>
      <c r="F4242" s="10" t="inlineStr">
        <is>
          <t>Hà Nội</t>
        </is>
      </c>
      <c r="G4242" s="10" t="inlineStr">
        <is>
          <t>28-03-2026</t>
        </is>
      </c>
      <c r="H4242" s="10" t="inlineStr">
        <is>
          <t>28/03/2026</t>
        </is>
      </c>
      <c r="I4242" s="10" t="inlineStr">
        <is>
          <t>17/03/2026</t>
        </is>
      </c>
      <c r="J4242" s="10" t="inlineStr">
        <is>
          <t>Bán lẻ / Bán sỉ, Thu mua / Vật tư, Xuất nhập khẩu</t>
        </is>
      </c>
      <c r="K4242" s="10" t="inlineStr">
        <is>
          <t>3 - 4 Năm</t>
        </is>
      </c>
      <c r="L4242" s="11">
        <f>HYPERLINK("https://careerviet.vn/vi/tim-viec-lam/chuyen-vien-mua-hang-15-18m.35C68C56.html","Xem chi tiết")</f>
        <v/>
      </c>
      <c r="M4242" s="10" t="n"/>
    </row>
    <row r="4243">
      <c r="B4243" s="7" t="n">
        <v>4241</v>
      </c>
      <c r="C4243" t="inlineStr">
        <is>
          <t>Chuyên viên Định giá (toàn quốc)</t>
        </is>
      </c>
      <c r="D4243" t="inlineStr">
        <is>
          <t>Ngân Hàng TMCP Phương Đông - OCB</t>
        </is>
      </c>
      <c r="E4243" t="inlineStr">
        <is>
          <t>Lương:Cạnh tranh</t>
        </is>
      </c>
      <c r="F4243" t="inlineStr">
        <is>
          <t>Toàn quốc</t>
        </is>
      </c>
      <c r="G4243" t="inlineStr">
        <is>
          <t>31-03-2026</t>
        </is>
      </c>
      <c r="H4243" t="inlineStr">
        <is>
          <t>31/03/2026</t>
        </is>
      </c>
      <c r="I4243" t="inlineStr">
        <is>
          <t>17/03/2026</t>
        </is>
      </c>
      <c r="J4243" t="inlineStr">
        <is>
          <t>Bất động sản, Tài chính / Đầu tư, Ngân hàng</t>
        </is>
      </c>
      <c r="K4243" t="inlineStr">
        <is>
          <t>2 - 3 Năm</t>
        </is>
      </c>
      <c r="L4243" s="8">
        <f>HYPERLINK("https://careerviet.vn/vi/tim-viec-lam/chuyen-vien-dinh-gia-toan-quoc.35C6A270.html","Xem chi tiết")</f>
        <v/>
      </c>
    </row>
    <row r="4244">
      <c r="B4244" s="9" t="n">
        <v>4242</v>
      </c>
      <c r="C4244" s="10" t="inlineStr">
        <is>
          <t>Nhân viên khai thác cảng/ Operation Staff</t>
        </is>
      </c>
      <c r="D4244" s="10" t="inlineStr">
        <is>
          <t>CÔNG TY TNHH YANG MING SHIPPING (VIỆT NAM)</t>
        </is>
      </c>
      <c r="E4244" s="10" t="inlineStr">
        <is>
          <t>Lương:8 Tr - 15 Tr VND</t>
        </is>
      </c>
      <c r="F4244" s="10" t="inlineStr">
        <is>
          <t>Hồ Chí Minh</t>
        </is>
      </c>
      <c r="G4244" s="10" t="inlineStr">
        <is>
          <t>07-04-2026</t>
        </is>
      </c>
      <c r="H4244" s="10" t="inlineStr">
        <is>
          <t>07/04/2026</t>
        </is>
      </c>
      <c r="I4244" s="10" t="inlineStr">
        <is>
          <t>17/03/2026</t>
        </is>
      </c>
      <c r="J4244" s="10" t="inlineStr">
        <is>
          <t>Vận chuyển / Giao nhận / Kho vận, Hàng hải, Xuất nhập khẩu</t>
        </is>
      </c>
      <c r="K4244" s="10" t="inlineStr">
        <is>
          <t>Chưa có kinh nghiệm</t>
        </is>
      </c>
      <c r="L4244" s="11">
        <f>HYPERLINK("https://careerviet.vn/vi/tim-viec-lam/nhan-vien-khai-thac-cang-operation-staff.35B59E0F.html","Xem chi tiết")</f>
        <v/>
      </c>
      <c r="M4244" s="10" t="n"/>
    </row>
    <row r="4245">
      <c r="B4245" s="7" t="n">
        <v>4243</v>
      </c>
      <c r="C4245" t="inlineStr">
        <is>
          <t>Nhân Viên Phát Triển Thị Trường</t>
        </is>
      </c>
      <c r="D4245" t="inlineStr">
        <is>
          <t>CÔNG TY TNHH RSQUARE VIỆT NAM</t>
        </is>
      </c>
      <c r="E4245" t="inlineStr">
        <is>
          <t>Lương:10 Tr - 12 Tr VND</t>
        </is>
      </c>
      <c r="F4245" t="inlineStr">
        <is>
          <t>Hồ Chí MinhHà Nội</t>
        </is>
      </c>
      <c r="G4245" t="inlineStr">
        <is>
          <t>05-04-2026</t>
        </is>
      </c>
      <c r="H4245" t="inlineStr">
        <is>
          <t>05/04/2026</t>
        </is>
      </c>
      <c r="I4245" t="inlineStr">
        <is>
          <t>17/03/2026</t>
        </is>
      </c>
      <c r="J4245" t="inlineStr">
        <is>
          <t>Bất động sản, Bán lẻ / Bán sỉ, Bán hàng / Kinh doanh</t>
        </is>
      </c>
      <c r="K4245" t="inlineStr">
        <is>
          <t>N/A</t>
        </is>
      </c>
      <c r="L4245" s="8">
        <f>HYPERLINK("https://careerviet.vn/vi/tim-viec-lam/nhan-vien-phat-trien-thi-truong.35C649BF.html","Xem chi tiết")</f>
        <v/>
      </c>
    </row>
    <row r="4246">
      <c r="B4246" s="9" t="n">
        <v>4244</v>
      </c>
      <c r="C4246" s="10" t="inlineStr">
        <is>
          <t>Chuyên Viên Phát Triển Kinh Doanh (B2B)</t>
        </is>
      </c>
      <c r="D4246" s="10" t="inlineStr">
        <is>
          <t>Công ty Cổ phần Express Thành Đạt</t>
        </is>
      </c>
      <c r="E4246" s="10" t="inlineStr">
        <is>
          <t>Lương:10 Tr - 15 Tr VND</t>
        </is>
      </c>
      <c r="F4246" s="10" t="inlineStr">
        <is>
          <t>Bình DươngHà Nội</t>
        </is>
      </c>
      <c r="G4246" s="10" t="inlineStr">
        <is>
          <t>05-04-2026</t>
        </is>
      </c>
      <c r="H4246" s="10" t="inlineStr">
        <is>
          <t>05/04/2026</t>
        </is>
      </c>
      <c r="I4246" s="10" t="inlineStr">
        <is>
          <t>17/03/2026</t>
        </is>
      </c>
      <c r="J4246" s="10" t="inlineStr">
        <is>
          <t>Bán hàng / Kinh doanh, Dịch vụ khách hàng, Vận chuyển / Giao nhận / Kho vận</t>
        </is>
      </c>
      <c r="K4246" s="10" t="inlineStr">
        <is>
          <t>5 Năm</t>
        </is>
      </c>
      <c r="L4246" s="11">
        <f>HYPERLINK("https://careerviet.vn/vi/tim-viec-lam/chuyen-vien-phat-trien-kinh-doanh-b2b.35C648AA.html","Xem chi tiết")</f>
        <v/>
      </c>
      <c r="M4246" s="10" t="n"/>
    </row>
    <row r="4247">
      <c r="B4247" s="7" t="n">
        <v>4245</v>
      </c>
      <c r="C4247" t="inlineStr">
        <is>
          <t>HR-Admin and Personal Assistant (Temp 7-9 month)</t>
        </is>
      </c>
      <c r="D4247" t="inlineStr">
        <is>
          <t>Scanwell Logistics Vietnam</t>
        </is>
      </c>
      <c r="E4247" t="inlineStr">
        <is>
          <t>Lương:Cạnh tranh</t>
        </is>
      </c>
      <c r="F4247" t="inlineStr">
        <is>
          <t>Hồ Chí Minh</t>
        </is>
      </c>
      <c r="G4247" t="inlineStr">
        <is>
          <t>30-04-2026</t>
        </is>
      </c>
      <c r="H4247" t="inlineStr">
        <is>
          <t>30/04/2026</t>
        </is>
      </c>
      <c r="I4247" t="inlineStr">
        <is>
          <t>17/03/2026</t>
        </is>
      </c>
      <c r="J4247" t="inlineStr">
        <is>
          <t>Hành chính / Thư ký, Nhân sự, Xuất nhập khẩu</t>
        </is>
      </c>
      <c r="K4247" t="inlineStr">
        <is>
          <t>Trên 1 Năm</t>
        </is>
      </c>
      <c r="L4247" s="8">
        <f>HYPERLINK("https://careerviet.vn/vi/tim-viec-lam/hr-admin-and-personal-assistant-temp-7-9-month.35C6B5E7.html","Xem chi tiết")</f>
        <v/>
      </c>
    </row>
    <row r="4248">
      <c r="B4248" s="9" t="n">
        <v>4246</v>
      </c>
      <c r="C4248" s="10" t="inlineStr">
        <is>
          <t>Trưởng ban Chất lượng</t>
        </is>
      </c>
      <c r="D4248" s="10" t="inlineStr">
        <is>
          <t>TRƯỜNG PHỔ THÔNG LIÊN CẤP H.A.S</t>
        </is>
      </c>
      <c r="E4248" s="10" t="inlineStr">
        <is>
          <t>Lương:Cạnh tranh</t>
        </is>
      </c>
      <c r="F4248" s="10" t="inlineStr">
        <is>
          <t>Hà Nội</t>
        </is>
      </c>
      <c r="G4248" s="10" t="inlineStr">
        <is>
          <t>05-04-2026</t>
        </is>
      </c>
      <c r="H4248" s="10" t="inlineStr">
        <is>
          <t>05/04/2026</t>
        </is>
      </c>
      <c r="I4248" s="10" t="inlineStr">
        <is>
          <t>17/03/2026</t>
        </is>
      </c>
      <c r="J4248" s="10" t="inlineStr">
        <is>
          <t>Giáo dục / Đào tạo, Quản lý chất lượng (QA/QC)</t>
        </is>
      </c>
      <c r="K4248" s="10" t="inlineStr">
        <is>
          <t>5 - 7 Năm</t>
        </is>
      </c>
      <c r="L4248" s="11">
        <f>HYPERLINK("https://careerviet.vn/vi/tim-viec-lam/truong-ban-chat-luong.35C649B1.html","Xem chi tiết")</f>
        <v/>
      </c>
      <c r="M4248" s="10" t="n"/>
    </row>
    <row r="4249">
      <c r="B4249" s="7" t="n">
        <v>4247</v>
      </c>
      <c r="C4249" t="inlineStr">
        <is>
          <t>Kỹ Sư Dự Toán</t>
        </is>
      </c>
      <c r="D4249" t="inlineStr">
        <is>
          <t>Huy Thuoc Construction Ltd.,</t>
        </is>
      </c>
      <c r="E4249" t="inlineStr">
        <is>
          <t>Lương:10 Tr - 20 Tr VND</t>
        </is>
      </c>
      <c r="F4249" t="inlineStr">
        <is>
          <t>Hồ Chí Minh</t>
        </is>
      </c>
      <c r="G4249" t="inlineStr">
        <is>
          <t>05-04-2026</t>
        </is>
      </c>
      <c r="H4249" t="inlineStr">
        <is>
          <t>05/04/2026</t>
        </is>
      </c>
      <c r="I4249" t="inlineStr">
        <is>
          <t>17/03/2026</t>
        </is>
      </c>
      <c r="J4249" t="inlineStr">
        <is>
          <t>Thu mua / Vật tư, Xây dựng, Kiến trúc</t>
        </is>
      </c>
      <c r="K4249" t="inlineStr">
        <is>
          <t>Trên 1 Năm</t>
        </is>
      </c>
      <c r="L4249" s="8">
        <f>HYPERLINK("https://careerviet.vn/vi/tim-viec-lam/ky-su-du-toan.35C649E0.html","Xem chi tiết")</f>
        <v/>
      </c>
    </row>
    <row r="4250">
      <c r="B4250" s="9" t="n">
        <v>4248</v>
      </c>
      <c r="C4250" s="10" t="inlineStr">
        <is>
          <t>Labor Safety Executive</t>
        </is>
      </c>
      <c r="D4250" s="10" t="inlineStr">
        <is>
          <t>Công Ty TNHH Dự Án Hồ Tràm</t>
        </is>
      </c>
      <c r="E4250" s="10" t="inlineStr">
        <is>
          <t>Lương:Cạnh tranh</t>
        </is>
      </c>
      <c r="F4250" s="10" t="inlineStr">
        <is>
          <t>Hồ Chí Minh</t>
        </is>
      </c>
      <c r="G4250" s="10" t="inlineStr">
        <is>
          <t>05-04-2026</t>
        </is>
      </c>
      <c r="H4250" s="10" t="inlineStr">
        <is>
          <t>05/04/2026</t>
        </is>
      </c>
      <c r="I4250" s="10" t="inlineStr">
        <is>
          <t>17/03/2026</t>
        </is>
      </c>
      <c r="J4250" s="10" t="inlineStr">
        <is>
          <t>Nhân sự</t>
        </is>
      </c>
      <c r="K4250" s="10" t="inlineStr">
        <is>
          <t>1 - 3 Năm</t>
        </is>
      </c>
      <c r="L4250" s="11">
        <f>HYPERLINK("https://careerviet.vn/vi/tim-viec-lam/labor-safety-executive.35C64812.html","Xem chi tiết")</f>
        <v/>
      </c>
      <c r="M4250" s="10" t="n"/>
    </row>
    <row r="4251">
      <c r="B4251" s="7" t="n">
        <v>4249</v>
      </c>
      <c r="C4251" t="inlineStr">
        <is>
          <t>Sales Engineer</t>
        </is>
      </c>
      <c r="D4251" t="inlineStr">
        <is>
          <t>CÔNG TY CỔ PHẦN XÂY DỰNG THƯƠNG MẠI VÀ KỸ THUẬT HỢP NHẤT</t>
        </is>
      </c>
      <c r="E4251" t="inlineStr">
        <is>
          <t>Lương:Cạnh tranh</t>
        </is>
      </c>
      <c r="F4251" t="inlineStr">
        <is>
          <t>Hà Nội</t>
        </is>
      </c>
      <c r="G4251" t="inlineStr">
        <is>
          <t>05-04-2026</t>
        </is>
      </c>
      <c r="H4251" t="inlineStr">
        <is>
          <t>05/04/2026</t>
        </is>
      </c>
      <c r="I4251" t="inlineStr">
        <is>
          <t>17/03/2026</t>
        </is>
      </c>
      <c r="J4251" t="inlineStr">
        <is>
          <t>Bán hàng / Kinh doanh, Bán Hàng Kỹ Thuật, Cơ khí / Ô tô / Tự động hóa</t>
        </is>
      </c>
      <c r="K4251" t="inlineStr">
        <is>
          <t>N/A</t>
        </is>
      </c>
      <c r="L4251" s="8">
        <f>HYPERLINK("https://careerviet.vn/vi/tim-viec-lam/sales-engineer.35C648C8.html","Xem chi tiết")</f>
        <v/>
      </c>
    </row>
    <row r="4252">
      <c r="B4252" s="9" t="n">
        <v>4250</v>
      </c>
      <c r="C4252" s="10" t="inlineStr">
        <is>
          <t>Chuyên viên truyền thông Marketing (lĩnh vực Du lịch/ Resort/ Khách sạn)</t>
        </is>
      </c>
      <c r="D4252" s="10" t="inlineStr">
        <is>
          <t>Công Ty Cổ Phần Đầu Tư Địa Ốc Hưng Phú</t>
        </is>
      </c>
      <c r="E4252" s="10" t="inlineStr">
        <is>
          <t>Lương:10 Tr - 12 Tr VND</t>
        </is>
      </c>
      <c r="F4252" s="10" t="inlineStr">
        <is>
          <t>Hồ Chí Minh</t>
        </is>
      </c>
      <c r="G4252" s="10" t="inlineStr">
        <is>
          <t>06-04-2026</t>
        </is>
      </c>
      <c r="H4252" s="10" t="inlineStr">
        <is>
          <t>06/04/2026</t>
        </is>
      </c>
      <c r="I4252" s="10" t="inlineStr">
        <is>
          <t>17/03/2026</t>
        </is>
      </c>
      <c r="J4252" s="10" t="inlineStr">
        <is>
          <t>Nhà hàng / Khách sạn, Tiếp thị / Marketing, Quảng cáo / Đối ngoại / Truyền Thông</t>
        </is>
      </c>
      <c r="K4252" s="10" t="inlineStr">
        <is>
          <t>2 - 5 Năm</t>
        </is>
      </c>
      <c r="L4252" s="11">
        <f>HYPERLINK("https://careerviet.vn/vi/tim-viec-lam/chuyen-vien-truyen-thong-marketing-linh-vuc-du-lich-resort-khach-san.35C6B481.html","Xem chi tiết")</f>
        <v/>
      </c>
      <c r="M4252" s="10" t="n"/>
    </row>
    <row r="4253">
      <c r="B4253" s="7" t="n">
        <v>4251</v>
      </c>
      <c r="C4253" t="inlineStr">
        <is>
          <t>Supply Chain &amp; Fulfilment Assistant Manager</t>
        </is>
      </c>
      <c r="D4253" t="inlineStr">
        <is>
          <t>LOTTE VIETNAM SHOPPING JOINT STOCK COMPANY</t>
        </is>
      </c>
      <c r="E4253" t="inlineStr">
        <is>
          <t>Lương:Cạnh tranh</t>
        </is>
      </c>
      <c r="F4253" t="inlineStr">
        <is>
          <t>Hồ Chí Minh</t>
        </is>
      </c>
      <c r="G4253" t="inlineStr">
        <is>
          <t>30-04-2026</t>
        </is>
      </c>
      <c r="H4253" t="inlineStr">
        <is>
          <t>30/04/2026</t>
        </is>
      </c>
      <c r="I4253" t="inlineStr">
        <is>
          <t>17/03/2026</t>
        </is>
      </c>
      <c r="J4253" t="inlineStr">
        <is>
          <t>Thương mại điện tử, Bán lẻ / Bán sỉ</t>
        </is>
      </c>
      <c r="K4253" t="inlineStr">
        <is>
          <t>3 - 5 Năm</t>
        </is>
      </c>
      <c r="L4253" s="8">
        <f>HYPERLINK("https://careerviet.vn/vi/tim-viec-lam/supply-chain-fulfilment-assistant-manager.35C6B44E.html","Xem chi tiết")</f>
        <v/>
      </c>
    </row>
    <row r="4254">
      <c r="B4254" s="9" t="n">
        <v>4252</v>
      </c>
      <c r="C4254" s="10" t="inlineStr">
        <is>
          <t>Nhân Viên Hành Chính Nhân Sự</t>
        </is>
      </c>
      <c r="D4254" s="10" t="inlineStr">
        <is>
          <t>Tập Đoàn Kim Tín</t>
        </is>
      </c>
      <c r="E4254" s="10" t="inlineStr">
        <is>
          <t>Lương:Cạnh tranh</t>
        </is>
      </c>
      <c r="F4254" s="10" t="inlineStr">
        <is>
          <t>Hưng Yên</t>
        </is>
      </c>
      <c r="G4254" s="10" t="inlineStr">
        <is>
          <t>05-04-2026</t>
        </is>
      </c>
      <c r="H4254" s="10" t="inlineStr">
        <is>
          <t>05/04/2026</t>
        </is>
      </c>
      <c r="I4254" s="10" t="inlineStr">
        <is>
          <t>17/03/2026</t>
        </is>
      </c>
      <c r="J4254" s="10" t="inlineStr">
        <is>
          <t>Nhân sự, Sản xuất / Vận hành sản xuất</t>
        </is>
      </c>
      <c r="K4254" s="10" t="inlineStr">
        <is>
          <t>N/A</t>
        </is>
      </c>
      <c r="L4254" s="11">
        <f>HYPERLINK("https://careerviet.vn/vi/tim-viec-lam/nhan-vien-hanh-chinh-nhan-su.35C649E4.html","Xem chi tiết")</f>
        <v/>
      </c>
      <c r="M4254" s="10" t="n"/>
    </row>
    <row r="4255">
      <c r="B4255" s="7" t="n">
        <v>4253</v>
      </c>
      <c r="C4255" t="inlineStr">
        <is>
          <t>Kế toán trưởng</t>
        </is>
      </c>
      <c r="D4255" t="inlineStr">
        <is>
          <t>Công Ty Cổ Phần Tập Đoàn Quang Phúc</t>
        </is>
      </c>
      <c r="E4255" t="inlineStr">
        <is>
          <t>Lương:35 Tr - 40 Tr VND</t>
        </is>
      </c>
      <c r="F4255" t="inlineStr">
        <is>
          <t>Hồ Chí Minh</t>
        </is>
      </c>
      <c r="G4255" t="inlineStr">
        <is>
          <t>31-03-2026</t>
        </is>
      </c>
      <c r="H4255" t="inlineStr">
        <is>
          <t>31/03/2026</t>
        </is>
      </c>
      <c r="I4255" t="inlineStr">
        <is>
          <t>17/03/2026</t>
        </is>
      </c>
      <c r="J4255" t="inlineStr">
        <is>
          <t>Xây dựng</t>
        </is>
      </c>
      <c r="K4255" t="inlineStr">
        <is>
          <t>7 - 10 Năm</t>
        </is>
      </c>
      <c r="L4255" s="8">
        <f>HYPERLINK("https://careerviet.vn/vi/tim-viec-lam/ke-toan-truong.35C6B384.html","Xem chi tiết")</f>
        <v/>
      </c>
    </row>
    <row r="4256">
      <c r="B4256" s="9" t="n">
        <v>4254</v>
      </c>
      <c r="C4256" s="10" t="inlineStr">
        <is>
          <t>NHÂN VIÊN THU MUA THIẾT BỊ CÔNG NGHỆ MÔI TRƯỜNG/ VẬT LIỆU XÂY DỰNG</t>
        </is>
      </c>
      <c r="D4256" s="10" t="inlineStr">
        <is>
          <t>Công Ty TNHH Đầu Tư Xây Dựng &amp; Công Nghệ Môi Trường Dương Nhật</t>
        </is>
      </c>
      <c r="E4256" s="10" t="inlineStr">
        <is>
          <t>Lương:15 Tr - 22 Tr VND</t>
        </is>
      </c>
      <c r="F4256" s="10" t="inlineStr">
        <is>
          <t>Hồ Chí Minh</t>
        </is>
      </c>
      <c r="G4256" s="10" t="inlineStr">
        <is>
          <t>05-04-2026</t>
        </is>
      </c>
      <c r="H4256" s="10" t="inlineStr">
        <is>
          <t>05/04/2026</t>
        </is>
      </c>
      <c r="I4256" s="10" t="inlineStr">
        <is>
          <t>17/03/2026</t>
        </is>
      </c>
      <c r="J4256" s="10" t="inlineStr">
        <is>
          <t>Thu mua / Vật tư, Xây dựng, Bất động sản</t>
        </is>
      </c>
      <c r="K4256" s="10" t="inlineStr">
        <is>
          <t>4 - 10 Năm</t>
        </is>
      </c>
      <c r="L4256" s="11">
        <f>HYPERLINK("https://careerviet.vn/vi/tim-viec-lam/nhan-vien-thu-mua-thiet-bi-cong-nghe-moi-truong-vat-lieu-xay-dung.35C6B420.html","Xem chi tiết")</f>
        <v/>
      </c>
      <c r="M4256" s="10" t="n"/>
    </row>
    <row r="4257">
      <c r="B4257" s="7" t="n">
        <v>4255</v>
      </c>
      <c r="C4257" t="inlineStr">
        <is>
          <t>Talent Acquisition Supervisor/ HRBP</t>
        </is>
      </c>
      <c r="D4257" t="inlineStr">
        <is>
          <t>CÔNG TY TNHH SX BAO BÌ NAM VIỆT</t>
        </is>
      </c>
      <c r="E4257" t="inlineStr">
        <is>
          <t>Lương:17 Tr - 25 Tr VND</t>
        </is>
      </c>
      <c r="F4257" t="inlineStr">
        <is>
          <t>Hồ Chí Minh</t>
        </is>
      </c>
      <c r="G4257" t="inlineStr">
        <is>
          <t>15-04-2026</t>
        </is>
      </c>
      <c r="H4257" t="inlineStr">
        <is>
          <t>15/04/2026</t>
        </is>
      </c>
      <c r="I4257" t="inlineStr">
        <is>
          <t>17/03/2026</t>
        </is>
      </c>
      <c r="J4257" t="inlineStr">
        <is>
          <t>Nhân sự</t>
        </is>
      </c>
      <c r="K4257" t="inlineStr">
        <is>
          <t>2 - 5 Năm</t>
        </is>
      </c>
      <c r="L4257" s="8">
        <f>HYPERLINK("https://careerviet.vn/vi/tim-viec-lam/talent-acquisition-supervisor-hrbp.35C6B3D4.html","Xem chi tiết")</f>
        <v/>
      </c>
    </row>
    <row r="4258">
      <c r="B4258" s="9" t="n">
        <v>4256</v>
      </c>
      <c r="C4258" s="10" t="inlineStr">
        <is>
          <t>HR Manager</t>
        </is>
      </c>
      <c r="D4258" s="10" t="inlineStr">
        <is>
          <t>CÔNG TY CỔ PHẦN TRUYỀN THÔNG ÁNH SAO XANH</t>
        </is>
      </c>
      <c r="E4258" s="10" t="inlineStr">
        <is>
          <t>Lương:Cạnh tranh</t>
        </is>
      </c>
      <c r="F4258" s="10" t="inlineStr">
        <is>
          <t>Hồ Chí Minh</t>
        </is>
      </c>
      <c r="G4258" s="10" t="inlineStr">
        <is>
          <t>06-04-2026</t>
        </is>
      </c>
      <c r="H4258" s="10" t="inlineStr">
        <is>
          <t>06/04/2026</t>
        </is>
      </c>
      <c r="I4258" s="10" t="inlineStr">
        <is>
          <t>17/03/2026</t>
        </is>
      </c>
      <c r="J4258" s="10" t="inlineStr">
        <is>
          <t>Tổ chức sự kiện, Tiếp thị / Marketing, Du lịch</t>
        </is>
      </c>
      <c r="K4258" s="10" t="inlineStr">
        <is>
          <t>3 - 5 Năm</t>
        </is>
      </c>
      <c r="L4258" s="11">
        <f>HYPERLINK("https://careerviet.vn/vi/tim-viec-lam/hr-manager.35C6B4D7.html","Xem chi tiết")</f>
        <v/>
      </c>
      <c r="M4258" s="10" t="n"/>
    </row>
    <row r="4259">
      <c r="B4259" s="7" t="n">
        <v>4257</v>
      </c>
      <c r="C4259" t="inlineStr">
        <is>
          <t>Trade Marketing</t>
        </is>
      </c>
      <c r="D4259" t="inlineStr">
        <is>
          <t>FamilyMart VietNam Joint Stock Company</t>
        </is>
      </c>
      <c r="E4259" t="inlineStr">
        <is>
          <t>Lương:Cạnh tranh</t>
        </is>
      </c>
      <c r="F4259" t="inlineStr">
        <is>
          <t>Hồ Chí Minh</t>
        </is>
      </c>
      <c r="G4259" t="inlineStr">
        <is>
          <t>25-03-2026</t>
        </is>
      </c>
      <c r="H4259" t="inlineStr">
        <is>
          <t>25/03/2026</t>
        </is>
      </c>
      <c r="I4259" t="inlineStr">
        <is>
          <t>17/03/2026</t>
        </is>
      </c>
      <c r="J4259" t="inlineStr">
        <is>
          <t>Tiếp thị / Marketing, Bán lẻ / Bán sỉ</t>
        </is>
      </c>
      <c r="K4259" t="inlineStr">
        <is>
          <t>Trên 1 Năm</t>
        </is>
      </c>
      <c r="L4259" s="8">
        <f>HYPERLINK("https://careerviet.vn/vi/tim-viec-lam/trade-marketing.35C68D7D.html","Xem chi tiết")</f>
        <v/>
      </c>
    </row>
    <row r="4260">
      <c r="B4260" s="9" t="n">
        <v>4258</v>
      </c>
      <c r="C4260" s="10" t="inlineStr">
        <is>
          <t>Nhân Sự Tổng Hợp</t>
        </is>
      </c>
      <c r="D4260" s="10" t="inlineStr">
        <is>
          <t>CÔNG TY TNHH KIẾN TRÚC XÂY DỰNG VÀ THƯƠNG MẠI AN</t>
        </is>
      </c>
      <c r="E4260" s="10" t="inlineStr">
        <is>
          <t>Lương:10 Tr - 15 Tr VND</t>
        </is>
      </c>
      <c r="F4260" s="10" t="inlineStr">
        <is>
          <t>Hồ Chí Minh</t>
        </is>
      </c>
      <c r="G4260" s="10" t="inlineStr">
        <is>
          <t>05-04-2026</t>
        </is>
      </c>
      <c r="H4260" s="10" t="inlineStr">
        <is>
          <t>05/04/2026</t>
        </is>
      </c>
      <c r="I4260" s="10" t="inlineStr">
        <is>
          <t>17/03/2026</t>
        </is>
      </c>
      <c r="J4260" s="10" t="inlineStr">
        <is>
          <t>Nhân sự, Hành chính / Thư ký, Kế toán / Kiểm toán</t>
        </is>
      </c>
      <c r="K4260" s="10" t="inlineStr">
        <is>
          <t>Trên 2 Năm</t>
        </is>
      </c>
      <c r="L4260" s="11">
        <f>HYPERLINK("https://careerviet.vn/vi/tim-viec-lam/nhan-su-tong-hop.35C6B33C.html","Xem chi tiết")</f>
        <v/>
      </c>
      <c r="M4260" s="10" t="n"/>
    </row>
    <row r="4261">
      <c r="B4261" s="7" t="n">
        <v>4259</v>
      </c>
      <c r="C4261" t="inlineStr">
        <is>
          <t>IT Support</t>
        </is>
      </c>
      <c r="D4261" t="inlineStr">
        <is>
          <t>Công Ty TNHH YKK Việt Nam</t>
        </is>
      </c>
      <c r="E4261" t="inlineStr">
        <is>
          <t>Lương:12 Tr - 15 Tr VND</t>
        </is>
      </c>
      <c r="F4261" t="inlineStr">
        <is>
          <t>Hồ Chí Minh</t>
        </is>
      </c>
      <c r="G4261" t="inlineStr">
        <is>
          <t>31-03-2026</t>
        </is>
      </c>
      <c r="H4261" t="inlineStr">
        <is>
          <t>31/03/2026</t>
        </is>
      </c>
      <c r="I4261" t="inlineStr">
        <is>
          <t>17/03/2026</t>
        </is>
      </c>
      <c r="J4261" t="inlineStr">
        <is>
          <t>Ngành khác, CNTT - Phần cứng / Mạng</t>
        </is>
      </c>
      <c r="K4261" t="inlineStr">
        <is>
          <t>1 - 2 Năm</t>
        </is>
      </c>
      <c r="L4261" s="8">
        <f>HYPERLINK("https://careerviet.vn/vi/tim-viec-lam/it-support.35C6B29A.html","Xem chi tiết")</f>
        <v/>
      </c>
    </row>
    <row r="4262">
      <c r="B4262" s="9" t="n">
        <v>4260</v>
      </c>
      <c r="C4262" s="10" t="inlineStr">
        <is>
          <t>Nhân viên Kiểm soát chất lượng dây chuyền</t>
        </is>
      </c>
      <c r="D4262" s="10" t="inlineStr">
        <is>
          <t>Công ty Cổ phần Sữa VitaDairy Việt Nam</t>
        </is>
      </c>
      <c r="E4262" s="10" t="inlineStr">
        <is>
          <t>Lương:9 Tr - 12 Tr VND</t>
        </is>
      </c>
      <c r="F4262" s="10" t="inlineStr">
        <is>
          <t>Bình Dương</t>
        </is>
      </c>
      <c r="G4262" s="10" t="inlineStr">
        <is>
          <t>31-03-2026</t>
        </is>
      </c>
      <c r="H4262" s="10" t="inlineStr">
        <is>
          <t>31/03/2026</t>
        </is>
      </c>
      <c r="I4262" s="10" t="inlineStr">
        <is>
          <t>17/03/2026</t>
        </is>
      </c>
      <c r="J4262" s="10" t="inlineStr">
        <is>
          <t>Công nghệ thực phẩm / Dinh dưỡng, Thực phẩm &amp; Đồ uống</t>
        </is>
      </c>
      <c r="K4262" s="10" t="inlineStr">
        <is>
          <t>Chưa có kinh nghiệm</t>
        </is>
      </c>
      <c r="L4262" s="11">
        <f>HYPERLINK("https://careerviet.vn/vi/tim-viec-lam/nhan-vien-kiem-soat-chat-luong-day-chuyen.35C6B3BD.html","Xem chi tiết")</f>
        <v/>
      </c>
      <c r="M4262" s="10" t="n"/>
    </row>
    <row r="4263">
      <c r="B4263" s="7" t="n">
        <v>4261</v>
      </c>
      <c r="C4263" t="inlineStr">
        <is>
          <t>Trưởng nhóm IT hạ tầng</t>
        </is>
      </c>
      <c r="D4263" t="inlineStr">
        <is>
          <t>Công Ty Cổ Phần Vacxin Việt Nam</t>
        </is>
      </c>
      <c r="E4263" t="inlineStr">
        <is>
          <t>Lương:Cạnh tranh</t>
        </is>
      </c>
      <c r="F4263" t="inlineStr">
        <is>
          <t>Hồ Chí Minh</t>
        </is>
      </c>
      <c r="G4263" t="inlineStr">
        <is>
          <t>30-04-2026</t>
        </is>
      </c>
      <c r="H4263" t="inlineStr">
        <is>
          <t>30/04/2026</t>
        </is>
      </c>
      <c r="I4263" t="inlineStr">
        <is>
          <t>17/03/2026</t>
        </is>
      </c>
      <c r="J4263" t="inlineStr">
        <is>
          <t>CNTT - Phần mềm, CNTT - Phần cứng / Mạng</t>
        </is>
      </c>
      <c r="K4263" t="inlineStr">
        <is>
          <t>3 - 5 Năm</t>
        </is>
      </c>
      <c r="L4263" s="8">
        <f>HYPERLINK("https://careerviet.vn/vi/tim-viec-lam/truong-nhom-it-ha-tang.35C6B2C9.html","Xem chi tiết")</f>
        <v/>
      </c>
    </row>
    <row r="4264">
      <c r="B4264" s="9" t="n">
        <v>4262</v>
      </c>
      <c r="C4264" s="10" t="inlineStr">
        <is>
          <t>Chuyên Viên Marketing – Ngành Bất Động Sản</t>
        </is>
      </c>
      <c r="D4264" s="10" t="inlineStr">
        <is>
          <t>CÔNG TY TNHH ĐẦU TƯ VIỆT THIÊN HÀ</t>
        </is>
      </c>
      <c r="E4264" s="10" t="inlineStr">
        <is>
          <t>Lương:20 Tr - 25 Tr VND</t>
        </is>
      </c>
      <c r="F4264" s="10" t="inlineStr">
        <is>
          <t>Hồ Chí Minh</t>
        </is>
      </c>
      <c r="G4264" s="10" t="inlineStr">
        <is>
          <t>30-04-2026</t>
        </is>
      </c>
      <c r="H4264" s="10" t="inlineStr">
        <is>
          <t>30/04/2026</t>
        </is>
      </c>
      <c r="I4264" s="10" t="inlineStr">
        <is>
          <t>17/03/2026</t>
        </is>
      </c>
      <c r="J4264" s="10" t="inlineStr">
        <is>
          <t>Tiếp thị / Marketing, Bất động sản, Quảng cáo / Đối ngoại / Truyền Thông</t>
        </is>
      </c>
      <c r="K4264" s="10" t="inlineStr">
        <is>
          <t>Trên 2 Năm</t>
        </is>
      </c>
      <c r="L4264" s="11">
        <f>HYPERLINK("https://careerviet.vn/vi/tim-viec-lam/chuyen-vien-marketing-nganh-bat-dong-san.35C6B381.html","Xem chi tiết")</f>
        <v/>
      </c>
      <c r="M4264" s="10" t="n"/>
    </row>
    <row r="4265">
      <c r="B4265" s="7" t="n">
        <v>4263</v>
      </c>
      <c r="C4265" t="inlineStr">
        <is>
          <t>Application Manager – ERP &amp; Data Systems</t>
        </is>
      </c>
      <c r="D4265" t="inlineStr">
        <is>
          <t>Công Ty TNHH Thương Mại Dịch Vụ Xuất Nhập Khẩu The Vigo</t>
        </is>
      </c>
      <c r="E4265" t="inlineStr">
        <is>
          <t>Lương:Cạnh tranh</t>
        </is>
      </c>
      <c r="F4265" t="inlineStr">
        <is>
          <t>Hồ Chí Minh</t>
        </is>
      </c>
      <c r="G4265" t="inlineStr">
        <is>
          <t>06-04-2026</t>
        </is>
      </c>
      <c r="H4265" t="inlineStr">
        <is>
          <t>06/04/2026</t>
        </is>
      </c>
      <c r="I4265" t="inlineStr">
        <is>
          <t>17/03/2026</t>
        </is>
      </c>
      <c r="J4265" t="inlineStr">
        <is>
          <t>CNTT - Phần mềm</t>
        </is>
      </c>
      <c r="K4265" t="inlineStr">
        <is>
          <t>3 - 5 Năm</t>
        </is>
      </c>
      <c r="L4265" s="8">
        <f>HYPERLINK("https://careerviet.vn/vi/tim-viec-lam/application-manager-erp-data-systems.35C6B2B4.html","Xem chi tiết")</f>
        <v/>
      </c>
    </row>
    <row r="4266">
      <c r="B4266" s="9" t="n">
        <v>4264</v>
      </c>
      <c r="C4266" s="10" t="inlineStr">
        <is>
          <t>Nhân viên nghiên cứu và phát triển sản phẩm</t>
        </is>
      </c>
      <c r="D4266" s="10" t="inlineStr">
        <is>
          <t>Công ty Cổ phần Sữa VitaDairy Việt Nam</t>
        </is>
      </c>
      <c r="E4266" s="10" t="inlineStr">
        <is>
          <t>Lương:9 Tr - 12 Tr VND</t>
        </is>
      </c>
      <c r="F4266" s="10" t="inlineStr">
        <is>
          <t>Bình Dương</t>
        </is>
      </c>
      <c r="G4266" s="10" t="inlineStr">
        <is>
          <t>31-03-2026</t>
        </is>
      </c>
      <c r="H4266" s="10" t="inlineStr">
        <is>
          <t>31/03/2026</t>
        </is>
      </c>
      <c r="I4266" s="10" t="inlineStr">
        <is>
          <t>17/03/2026</t>
        </is>
      </c>
      <c r="J4266" s="10" t="inlineStr">
        <is>
          <t>Thực phẩm &amp; Đồ uống, Mới tốt nghiệp / Thực tập, Công nghệ thực phẩm / Dinh dưỡng</t>
        </is>
      </c>
      <c r="K4266" s="10" t="inlineStr">
        <is>
          <t>Chưa có kinh nghiệm</t>
        </is>
      </c>
      <c r="L4266" s="11">
        <f>HYPERLINK("https://careerviet.vn/vi/tim-viec-lam/nhan-vien-nghien-cuu-va-phat-trien-san-pham.35C6B3B8.html","Xem chi tiết")</f>
        <v/>
      </c>
      <c r="M4266" s="10" t="n"/>
    </row>
    <row r="4267">
      <c r="B4267" s="7" t="n">
        <v>4265</v>
      </c>
      <c r="C4267" t="inlineStr">
        <is>
          <t>Trưởng Nhóm Thu Mua</t>
        </is>
      </c>
      <c r="D4267" t="inlineStr">
        <is>
          <t>Công Ty TNHH Xuất Nhập Khẩu Thái Châu</t>
        </is>
      </c>
      <c r="E4267" t="inlineStr">
        <is>
          <t>Lương:Cạnh tranh</t>
        </is>
      </c>
      <c r="F4267" t="inlineStr">
        <is>
          <t>Hồ Chí Minh</t>
        </is>
      </c>
      <c r="G4267" t="inlineStr">
        <is>
          <t>06-04-2026</t>
        </is>
      </c>
      <c r="H4267" t="inlineStr">
        <is>
          <t>06/04/2026</t>
        </is>
      </c>
      <c r="I4267" t="inlineStr">
        <is>
          <t>17/03/2026</t>
        </is>
      </c>
      <c r="J4267" t="inlineStr">
        <is>
          <t>Thu mua / Vật tư, Xây dựng, Xuất nhập khẩu</t>
        </is>
      </c>
      <c r="K4267" t="inlineStr">
        <is>
          <t>2 - 3 Năm</t>
        </is>
      </c>
      <c r="L4267" s="8">
        <f>HYPERLINK("https://careerviet.vn/vi/tim-viec-lam/truong-nhom-thu-mua.35C6B391.html","Xem chi tiết")</f>
        <v/>
      </c>
    </row>
    <row r="4268">
      <c r="B4268" s="9" t="n">
        <v>4266</v>
      </c>
      <c r="C4268" s="10" t="inlineStr">
        <is>
          <t>Nhân viên Phân tích tài chính</t>
        </is>
      </c>
      <c r="D4268" s="10" t="inlineStr">
        <is>
          <t>Công ty cổ phần Chứng Khoán Thành Công</t>
        </is>
      </c>
      <c r="E4268" s="10" t="inlineStr">
        <is>
          <t>Lương:Cạnh tranh</t>
        </is>
      </c>
      <c r="F4268" s="10" t="inlineStr">
        <is>
          <t>Hồ Chí Minh</t>
        </is>
      </c>
      <c r="G4268" s="10" t="inlineStr">
        <is>
          <t>31-03-2026</t>
        </is>
      </c>
      <c r="H4268" s="10" t="inlineStr">
        <is>
          <t>31/03/2026</t>
        </is>
      </c>
      <c r="I4268" s="10" t="inlineStr">
        <is>
          <t>17/03/2026</t>
        </is>
      </c>
      <c r="J4268" s="10" t="inlineStr">
        <is>
          <t>Tài chính / Đầu tư, Kế toán / Kiểm toán, Chứng khoán</t>
        </is>
      </c>
      <c r="K4268" s="10" t="inlineStr">
        <is>
          <t>Lên đến 2 Năm</t>
        </is>
      </c>
      <c r="L4268" s="11">
        <f>HYPERLINK("https://careerviet.vn/vi/tim-viec-lam/nhan-vien-phan-tich-tai-chinh.35C6B388.html","Xem chi tiết")</f>
        <v/>
      </c>
      <c r="M4268" s="10" t="n"/>
    </row>
    <row r="4269">
      <c r="B4269" s="7" t="n">
        <v>4267</v>
      </c>
      <c r="C4269" t="inlineStr">
        <is>
          <t>Nhân Viên Thu Mua (Buyer / Procurement Officer)</t>
        </is>
      </c>
      <c r="D4269" t="inlineStr">
        <is>
          <t>CÔNG TY TNHH CÔNG NGHIỆP - CN Industrial Co., Ltd (CNI)</t>
        </is>
      </c>
      <c r="E4269" t="inlineStr">
        <is>
          <t>Lương:12 Tr - 18 Tr VND</t>
        </is>
      </c>
      <c r="F4269" t="inlineStr">
        <is>
          <t>Hồ Chí Minh</t>
        </is>
      </c>
      <c r="G4269" t="inlineStr">
        <is>
          <t>05-04-2026</t>
        </is>
      </c>
      <c r="H4269" t="inlineStr">
        <is>
          <t>05/04/2026</t>
        </is>
      </c>
      <c r="I4269" t="inlineStr">
        <is>
          <t>17/03/2026</t>
        </is>
      </c>
      <c r="J4269" t="inlineStr">
        <is>
          <t>Thu mua / Vật tư, Cơ khí / Ô tô / Tự động hóa, Sản xuất / Vận hành sản xuất</t>
        </is>
      </c>
      <c r="K4269" t="inlineStr">
        <is>
          <t>1 - 3 Năm</t>
        </is>
      </c>
      <c r="L4269" s="8">
        <f>HYPERLINK("https://careerviet.vn/vi/tim-viec-lam/nhan-vien-thu-mua-buyer-procurement-officer.35C6B2B0.html","Xem chi tiết")</f>
        <v/>
      </c>
    </row>
    <row r="4270">
      <c r="B4270" s="9" t="n">
        <v>4268</v>
      </c>
      <c r="C4270" s="10" t="inlineStr">
        <is>
          <t>Giám Sát Xây Dựng</t>
        </is>
      </c>
      <c r="D4270" s="10" t="inlineStr">
        <is>
          <t>Công Ty TNHH TM &amp; XNK Nhất Lâm</t>
        </is>
      </c>
      <c r="E4270" s="10" t="inlineStr">
        <is>
          <t>Lương:18 Tr - 22 Tr VND</t>
        </is>
      </c>
      <c r="F4270" s="10" t="inlineStr">
        <is>
          <t>Hà Nội</t>
        </is>
      </c>
      <c r="G4270" s="10" t="inlineStr">
        <is>
          <t>04-04-2026</t>
        </is>
      </c>
      <c r="H4270" s="10" t="inlineStr">
        <is>
          <t>04/04/2026</t>
        </is>
      </c>
      <c r="I4270" s="10" t="inlineStr">
        <is>
          <t>17/03/2026</t>
        </is>
      </c>
      <c r="J4270" s="10" t="inlineStr">
        <is>
          <t>Nhà hàng / Khách sạn, Xây dựng</t>
        </is>
      </c>
      <c r="K4270" s="10" t="inlineStr">
        <is>
          <t>1 - 3 Năm</t>
        </is>
      </c>
      <c r="L4270" s="11">
        <f>HYPERLINK("https://careerviet.vn/vi/tim-viec-lam/giam-sat-xay-dung.35C6757A.html","Xem chi tiết")</f>
        <v/>
      </c>
      <c r="M4270" s="10" t="n"/>
    </row>
    <row r="4271">
      <c r="B4271" s="7" t="n">
        <v>4269</v>
      </c>
      <c r="C4271" t="inlineStr">
        <is>
          <t>Loan Processing Officer</t>
        </is>
      </c>
      <c r="D4271" t="inlineStr">
        <is>
          <t>Lock It Processing</t>
        </is>
      </c>
      <c r="E4271" t="inlineStr">
        <is>
          <t>Lương:1.000 - 2.000 USD</t>
        </is>
      </c>
      <c r="F4271" t="inlineStr">
        <is>
          <t>Hồ Chí Minh</t>
        </is>
      </c>
      <c r="G4271" t="inlineStr">
        <is>
          <t>04-04-2026</t>
        </is>
      </c>
      <c r="H4271" t="inlineStr">
        <is>
          <t>04/04/2026</t>
        </is>
      </c>
      <c r="I4271" t="inlineStr">
        <is>
          <t>17/03/2026</t>
        </is>
      </c>
      <c r="J4271" t="inlineStr">
        <is>
          <t>Dịch vụ khách hàng, Ngân hàng, Tài chính / Đầu tư</t>
        </is>
      </c>
      <c r="K4271" t="inlineStr">
        <is>
          <t>Chưa có kinh nghiệm</t>
        </is>
      </c>
      <c r="L4271" s="8">
        <f>HYPERLINK("https://careerviet.vn/vi/tim-viec-lam/loan-processing-officer.35C674E9.html","Xem chi tiết")</f>
        <v/>
      </c>
    </row>
    <row r="4272">
      <c r="B4272" s="9" t="n">
        <v>4270</v>
      </c>
      <c r="C4272" s="10" t="inlineStr">
        <is>
          <t>Marketing Specialist</t>
        </is>
      </c>
      <c r="D4272" s="10" t="inlineStr">
        <is>
          <t>Công Ty TNHH Trang Thiết Bị Nha Khoa</t>
        </is>
      </c>
      <c r="E4272" s="10" t="inlineStr">
        <is>
          <t>Lương:12 Tr - 18 Tr VND</t>
        </is>
      </c>
      <c r="F4272" s="10" t="inlineStr">
        <is>
          <t>Hồ Chí Minh</t>
        </is>
      </c>
      <c r="G4272" s="10" t="inlineStr">
        <is>
          <t>31-03-2026</t>
        </is>
      </c>
      <c r="H4272" s="10" t="inlineStr">
        <is>
          <t>31/03/2026</t>
        </is>
      </c>
      <c r="I4272" s="10" t="inlineStr">
        <is>
          <t>17/03/2026</t>
        </is>
      </c>
      <c r="J4272" s="10" t="inlineStr">
        <is>
          <t>Tiếp thị / Marketing, Tiếp thị trực tuyến, Quảng cáo / Đối ngoại / Truyền Thông</t>
        </is>
      </c>
      <c r="K4272" s="10" t="inlineStr">
        <is>
          <t>2 - 5 Năm</t>
        </is>
      </c>
      <c r="L4272" s="11">
        <f>HYPERLINK("https://careerviet.vn/vi/tim-viec-lam/marketing-specialist.35C6B3A6.html","Xem chi tiết")</f>
        <v/>
      </c>
      <c r="M4272" s="10" t="n"/>
    </row>
    <row r="4273">
      <c r="B4273" s="7" t="n">
        <v>4271</v>
      </c>
      <c r="C4273" t="inlineStr">
        <is>
          <t>Sales Engineer</t>
        </is>
      </c>
      <c r="D4273" t="inlineStr">
        <is>
          <t>Công ty TNHH Cơ Điện Lạnh Lê Quốc</t>
        </is>
      </c>
      <c r="E4273" t="inlineStr">
        <is>
          <t>Lương:8 Tr - 15 Tr VND</t>
        </is>
      </c>
      <c r="F4273" t="inlineStr">
        <is>
          <t>Hồ Chí Minh</t>
        </is>
      </c>
      <c r="G4273" t="inlineStr">
        <is>
          <t>04-04-2026</t>
        </is>
      </c>
      <c r="H4273" t="inlineStr">
        <is>
          <t>04/04/2026</t>
        </is>
      </c>
      <c r="I4273" t="inlineStr">
        <is>
          <t>17/03/2026</t>
        </is>
      </c>
      <c r="J4273" t="inlineStr">
        <is>
          <t>Bán hàng / Kinh doanh, Bán Hàng Kỹ Thuật, Điện / Điện tử / Điện lạnh / Điện công nghiệp</t>
        </is>
      </c>
      <c r="K4273" t="inlineStr">
        <is>
          <t>N/A</t>
        </is>
      </c>
      <c r="L4273" s="8">
        <f>HYPERLINK("https://careerviet.vn/vi/tim-viec-lam/sales-engineer.35C674A4.html","Xem chi tiết")</f>
        <v/>
      </c>
    </row>
    <row r="4274">
      <c r="B4274" s="9" t="n">
        <v>4272</v>
      </c>
      <c r="C4274" s="10" t="inlineStr">
        <is>
          <t>[PHENIKAA UNI] Tuyển dụng Nhân viên quản trị thiết bị - Phòng Cơ sở vật chất</t>
        </is>
      </c>
      <c r="D4274" s="10" t="inlineStr">
        <is>
          <t>ĐẠI HỌC PHENIKAA</t>
        </is>
      </c>
      <c r="E4274" s="10" t="inlineStr">
        <is>
          <t>Lương:Cạnh tranh</t>
        </is>
      </c>
      <c r="F4274" s="10" t="inlineStr">
        <is>
          <t>Hà Nội</t>
        </is>
      </c>
      <c r="G4274" s="10" t="inlineStr">
        <is>
          <t>04-04-2026</t>
        </is>
      </c>
      <c r="H4274" s="10" t="inlineStr">
        <is>
          <t>04/04/2026</t>
        </is>
      </c>
      <c r="I4274" s="10" t="inlineStr">
        <is>
          <t>17/03/2026</t>
        </is>
      </c>
      <c r="J4274" s="10" t="inlineStr">
        <is>
          <t>Giáo dục / Đào tạo</t>
        </is>
      </c>
      <c r="K4274" s="10" t="inlineStr">
        <is>
          <t>1 - 2 Năm</t>
        </is>
      </c>
      <c r="L4274" s="11">
        <f>HYPERLINK("https://careerviet.vn/vi/tim-viec-lam/phenikaa-uni-tuyen-dung-nhan-vien-quan-tri-thiet-bi-phong-co-so-vat-chat.35C67522.html","Xem chi tiết")</f>
        <v/>
      </c>
      <c r="M4274" s="10" t="n"/>
    </row>
    <row r="4275">
      <c r="B4275" s="7" t="n">
        <v>4273</v>
      </c>
      <c r="C4275" t="inlineStr">
        <is>
          <t>127439 - Tiếng Nhật - Nhân viên Kế toán - Ngành Bao bì</t>
        </is>
      </c>
      <c r="D4275" t="inlineStr">
        <is>
          <t>RGF HR Agent Vietnam Co., LTD</t>
        </is>
      </c>
      <c r="E4275" t="inlineStr">
        <is>
          <t>Lương:20 Tr - 27 Tr VND</t>
        </is>
      </c>
      <c r="F4275" t="inlineStr">
        <is>
          <t>Hồ Chí Minh</t>
        </is>
      </c>
      <c r="G4275" t="inlineStr">
        <is>
          <t>04-04-2026</t>
        </is>
      </c>
      <c r="H4275" t="inlineStr">
        <is>
          <t>04/04/2026</t>
        </is>
      </c>
      <c r="I4275" t="inlineStr">
        <is>
          <t>17/03/2026</t>
        </is>
      </c>
      <c r="J4275" t="inlineStr">
        <is>
          <t>Kế toán / Kiểm toán</t>
        </is>
      </c>
      <c r="K4275" t="inlineStr">
        <is>
          <t>3 - 5 Năm</t>
        </is>
      </c>
      <c r="L4275" s="8">
        <f>HYPERLINK("https://careerviet.vn/vi/tim-viec-lam/127439-tieng-nhat-nhan-vien-ke-toan-nganh-bao-bi.35C674A7.html","Xem chi tiết")</f>
        <v/>
      </c>
    </row>
    <row r="4276">
      <c r="B4276" s="9" t="n">
        <v>4274</v>
      </c>
      <c r="C4276" s="10" t="inlineStr">
        <is>
          <t>Kế Toán Tổng Hợp</t>
        </is>
      </c>
      <c r="D4276" s="10" t="inlineStr">
        <is>
          <t>Công Ty TNHH Kỹ Thuật Và Xây Dựng TAMADA</t>
        </is>
      </c>
      <c r="E4276" s="10" t="inlineStr">
        <is>
          <t>Lương:Cạnh tranh</t>
        </is>
      </c>
      <c r="F4276" s="10" t="inlineStr">
        <is>
          <t>Hồ Chí Minh</t>
        </is>
      </c>
      <c r="G4276" s="10" t="inlineStr">
        <is>
          <t>04-04-2026</t>
        </is>
      </c>
      <c r="H4276" s="10" t="inlineStr">
        <is>
          <t>04/04/2026</t>
        </is>
      </c>
      <c r="I4276" s="10" t="inlineStr">
        <is>
          <t>17/03/2026</t>
        </is>
      </c>
      <c r="J4276" s="10" t="inlineStr">
        <is>
          <t>Kế toán / Kiểm toán, Luật / Pháp lý, Tài chính / Đầu tư</t>
        </is>
      </c>
      <c r="K4276" s="10" t="inlineStr">
        <is>
          <t>Trên 3 Năm</t>
        </is>
      </c>
      <c r="L4276" s="11">
        <f>HYPERLINK("https://careerviet.vn/vi/tim-viec-lam/ke-toan-tong-hop.35C674B6.html","Xem chi tiết")</f>
        <v/>
      </c>
      <c r="M4276" s="10" t="n"/>
    </row>
    <row r="4277">
      <c r="B4277" s="7" t="n">
        <v>4275</v>
      </c>
      <c r="C4277" t="inlineStr">
        <is>
          <t>TÀI XẾ GIAO NHẬN (XE ĐIỆN)</t>
        </is>
      </c>
      <c r="D4277" t="inlineStr">
        <is>
          <t>Công Ty TNHH TM &amp; XNK Nhất Lâm</t>
        </is>
      </c>
      <c r="E4277" t="inlineStr">
        <is>
          <t>Lương:11 Tr - 15 Tr VND</t>
        </is>
      </c>
      <c r="F4277" t="inlineStr">
        <is>
          <t>Hà Nội</t>
        </is>
      </c>
      <c r="G4277" t="inlineStr">
        <is>
          <t>04-04-2026</t>
        </is>
      </c>
      <c r="H4277" t="inlineStr">
        <is>
          <t>04/04/2026</t>
        </is>
      </c>
      <c r="I4277" t="inlineStr">
        <is>
          <t>17/03/2026</t>
        </is>
      </c>
      <c r="J4277" t="inlineStr">
        <is>
          <t>Vận chuyển / Giao nhận / Kho vận, Lao động phổ thông</t>
        </is>
      </c>
      <c r="K4277" t="inlineStr">
        <is>
          <t>1 - 3 Năm</t>
        </is>
      </c>
      <c r="L4277" s="8">
        <f>HYPERLINK("https://careerviet.vn/vi/tim-viec-lam/tai-xe-giao-nhan-xe-dien.35C67564.html","Xem chi tiết")</f>
        <v/>
      </c>
    </row>
    <row r="4278">
      <c r="B4278" s="9" t="n">
        <v>4276</v>
      </c>
      <c r="C4278" s="10" t="inlineStr">
        <is>
          <t>Nhân Viên Kỹ Thuật Cơ Khí CNC</t>
        </is>
      </c>
      <c r="D4278" s="10" t="inlineStr">
        <is>
          <t>Mida Precision Mold - Công Ty Cổ phần Khuôn Chính Xác Minh Đạt</t>
        </is>
      </c>
      <c r="E4278" s="10" t="inlineStr">
        <is>
          <t>Lương:7,5 Tr - 20 Tr VND</t>
        </is>
      </c>
      <c r="F4278" s="10" t="inlineStr">
        <is>
          <t>Long An</t>
        </is>
      </c>
      <c r="G4278" s="10" t="inlineStr">
        <is>
          <t>30-04-2026</t>
        </is>
      </c>
      <c r="H4278" s="10" t="inlineStr">
        <is>
          <t>30/04/2026</t>
        </is>
      </c>
      <c r="I4278" s="10" t="inlineStr">
        <is>
          <t>17/03/2026</t>
        </is>
      </c>
      <c r="J4278" s="10" t="inlineStr">
        <is>
          <t>Cơ khí / Ô tô / Tự động hóa</t>
        </is>
      </c>
      <c r="K4278" s="10" t="inlineStr">
        <is>
          <t>N/A</t>
        </is>
      </c>
      <c r="L4278" s="11">
        <f>HYPERLINK("https://careerviet.vn/vi/tim-viec-lam/nhan-vien-ky-thuat-co-khi-cnc.35C6749C.html","Xem chi tiết")</f>
        <v/>
      </c>
      <c r="M4278" s="10" t="n"/>
    </row>
    <row r="4279">
      <c r="B4279" s="7" t="n">
        <v>4277</v>
      </c>
      <c r="C4279" t="inlineStr">
        <is>
          <t>[Hanoi] Admin Executive</t>
        </is>
      </c>
      <c r="D4279" t="inlineStr">
        <is>
          <t>Viet Thai International</t>
        </is>
      </c>
      <c r="E4279" t="inlineStr">
        <is>
          <t>Lương:Cạnh tranh</t>
        </is>
      </c>
      <c r="F4279" t="inlineStr">
        <is>
          <t>Hà Nội</t>
        </is>
      </c>
      <c r="G4279" t="inlineStr">
        <is>
          <t>04-04-2026</t>
        </is>
      </c>
      <c r="H4279" t="inlineStr">
        <is>
          <t>04/04/2026</t>
        </is>
      </c>
      <c r="I4279" t="inlineStr">
        <is>
          <t>17/03/2026</t>
        </is>
      </c>
      <c r="J4279" t="inlineStr">
        <is>
          <t>Bán lẻ / Bán sỉ, Thực phẩm &amp; Đồ uống</t>
        </is>
      </c>
      <c r="K4279" t="inlineStr">
        <is>
          <t>3 - 4 Năm</t>
        </is>
      </c>
      <c r="L4279" s="8">
        <f>HYPERLINK("https://careerviet.vn/vi/tim-viec-lam/hanoi-admin-executive.35C67488.html","Xem chi tiết")</f>
        <v/>
      </c>
    </row>
    <row r="4280">
      <c r="B4280" s="9" t="n">
        <v>4278</v>
      </c>
      <c r="C4280" s="10" t="inlineStr">
        <is>
          <t>Nhân viên Điều hành Outbound</t>
        </is>
      </c>
      <c r="D4280" s="10" t="inlineStr">
        <is>
          <t>Công Ty Cổ Phần Du Lịch Vietravel</t>
        </is>
      </c>
      <c r="E4280" s="10" t="inlineStr">
        <is>
          <t>Lương:Cạnh tranh</t>
        </is>
      </c>
      <c r="F4280" s="10" t="inlineStr">
        <is>
          <t>Hồ Chí Minh</t>
        </is>
      </c>
      <c r="G4280" s="10" t="inlineStr">
        <is>
          <t>04-04-2026</t>
        </is>
      </c>
      <c r="H4280" s="10" t="inlineStr">
        <is>
          <t>04/04/2026</t>
        </is>
      </c>
      <c r="I4280" s="10" t="inlineStr">
        <is>
          <t>17/03/2026</t>
        </is>
      </c>
      <c r="J4280" s="10" t="inlineStr">
        <is>
          <t>Du lịch, Hàng không, Nhà hàng / Khách sạn</t>
        </is>
      </c>
      <c r="K4280" s="10" t="inlineStr">
        <is>
          <t>2 - 3 Năm</t>
        </is>
      </c>
      <c r="L4280" s="11">
        <f>HYPERLINK("https://careerviet.vn/vi/tim-viec-lam/nhan-vien-dieu-hanh-outbound.35C6751E.html","Xem chi tiết")</f>
        <v/>
      </c>
      <c r="M4280" s="10" t="n"/>
    </row>
    <row r="4281">
      <c r="B4281" s="7" t="n">
        <v>4279</v>
      </c>
      <c r="C4281" t="inlineStr">
        <is>
          <t>Trưởng Nhóm Xây Dựng &amp; Bảo Trì (Retail)</t>
        </is>
      </c>
      <c r="D4281" t="inlineStr">
        <is>
          <t>CÔNG TY CỔ PHẦN KING FOOD MARKET</t>
        </is>
      </c>
      <c r="E4281" t="inlineStr">
        <is>
          <t>Lương:Cạnh tranh</t>
        </is>
      </c>
      <c r="F4281" t="inlineStr">
        <is>
          <t>Hồ Chí Minh</t>
        </is>
      </c>
      <c r="G4281" t="inlineStr">
        <is>
          <t>04-04-2026</t>
        </is>
      </c>
      <c r="H4281" t="inlineStr">
        <is>
          <t>04/04/2026</t>
        </is>
      </c>
      <c r="I4281" t="inlineStr">
        <is>
          <t>17/03/2026</t>
        </is>
      </c>
      <c r="J4281" t="inlineStr">
        <is>
          <t>Bán lẻ / Bán sỉ, Bảo trì / Sửa chữa, Điện / Điện tử / Điện lạnh / Điện công nghiệp</t>
        </is>
      </c>
      <c r="K4281" t="inlineStr">
        <is>
          <t>2 - 5 Năm</t>
        </is>
      </c>
      <c r="L4281" s="8">
        <f>HYPERLINK("https://careerviet.vn/vi/tim-viec-lam/truong-nhom-xay-dung-bao-tri-retail.35C67489.html","Xem chi tiết")</f>
        <v/>
      </c>
    </row>
    <row r="4282">
      <c r="B4282" s="9" t="n">
        <v>4280</v>
      </c>
      <c r="C4282" s="10" t="inlineStr">
        <is>
          <t>Electrical &amp; Automation Technician (Vung Tau Brewery)</t>
        </is>
      </c>
      <c r="D4282" s="10" t="inlineStr">
        <is>
          <t>HEINEKEN Vietnam</t>
        </is>
      </c>
      <c r="E4282" s="10" t="inlineStr">
        <is>
          <t>Lương:Cạnh tranh</t>
        </is>
      </c>
      <c r="F4282" s="10" t="inlineStr">
        <is>
          <t>Bà Rịa - Vũng Tàu</t>
        </is>
      </c>
      <c r="G4282" s="10" t="inlineStr">
        <is>
          <t>04-04-2026</t>
        </is>
      </c>
      <c r="H4282" s="10" t="inlineStr">
        <is>
          <t>04/04/2026</t>
        </is>
      </c>
      <c r="I4282" s="10" t="inlineStr">
        <is>
          <t>17/03/2026</t>
        </is>
      </c>
      <c r="J4282" s="10" t="inlineStr">
        <is>
          <t>Điện / Điện tử / Điện lạnh / Điện công nghiệp, Cơ khí / Ô tô / Tự động hóa, Sản xuất / Vận hành sản xuất</t>
        </is>
      </c>
      <c r="K4282" s="10" t="inlineStr">
        <is>
          <t>1 - 3 Năm</t>
        </is>
      </c>
      <c r="L4282" s="11">
        <f>HYPERLINK("https://careerviet.vn/vi/tim-viec-lam/electrical-automation-technician-vung-tau-brewery.35C674F0.html","Xem chi tiết")</f>
        <v/>
      </c>
      <c r="M4282" s="10" t="n"/>
    </row>
    <row r="4283">
      <c r="B4283" s="7" t="n">
        <v>4281</v>
      </c>
      <c r="C4283" t="inlineStr">
        <is>
          <t>Trưởng Phòng Hành Chính – Nhân Sự</t>
        </is>
      </c>
      <c r="D4283" t="inlineStr">
        <is>
          <t>CÔNG TY TNHH SẢN XUẤT- THƯƠNG MẠI- DỊCH VỤ ĐÀI PHONG</t>
        </is>
      </c>
      <c r="E4283" t="inlineStr">
        <is>
          <t>Lương:Cạnh tranh</t>
        </is>
      </c>
      <c r="F4283" t="inlineStr">
        <is>
          <t>Hồ Chí Minh</t>
        </is>
      </c>
      <c r="G4283" t="inlineStr">
        <is>
          <t>05-04-2026</t>
        </is>
      </c>
      <c r="H4283" t="inlineStr">
        <is>
          <t>05/04/2026</t>
        </is>
      </c>
      <c r="I4283" t="inlineStr">
        <is>
          <t>17/03/2026</t>
        </is>
      </c>
      <c r="J4283" t="inlineStr">
        <is>
          <t>Hành chính / Thư ký, Nhân sự, Sản xuất / Vận hành sản xuất</t>
        </is>
      </c>
      <c r="K4283" t="inlineStr">
        <is>
          <t>Trên 3 Năm</t>
        </is>
      </c>
      <c r="L4283" s="8">
        <f>HYPERLINK("https://careerviet.vn/vi/tim-viec-lam/truong-phong-hanh-chinh-nhan-su.35C6AFD5.html","Xem chi tiết")</f>
        <v/>
      </c>
    </row>
    <row r="4284">
      <c r="B4284" s="9" t="n">
        <v>4282</v>
      </c>
      <c r="C4284" s="10" t="inlineStr">
        <is>
          <t>KỸ SƯ XÂY DỰNG</t>
        </is>
      </c>
      <c r="D4284" s="10" t="inlineStr">
        <is>
          <t>Koastal Eco Industries</t>
        </is>
      </c>
      <c r="E4284" s="10" t="inlineStr">
        <is>
          <t>Lương:15 Tr - 20 Tr VND</t>
        </is>
      </c>
      <c r="F4284" s="10" t="inlineStr">
        <is>
          <t>Hà NộiHồ Chí Minh</t>
        </is>
      </c>
      <c r="G4284" s="10" t="inlineStr">
        <is>
          <t>04-04-2026</t>
        </is>
      </c>
      <c r="H4284" s="10" t="inlineStr">
        <is>
          <t>04/04/2026</t>
        </is>
      </c>
      <c r="I4284" s="10" t="inlineStr">
        <is>
          <t>17/03/2026</t>
        </is>
      </c>
      <c r="J4284" s="10" t="inlineStr">
        <is>
          <t>Môi trường, Xây dựng</t>
        </is>
      </c>
      <c r="K4284" s="10" t="inlineStr">
        <is>
          <t>2 - 5 Năm</t>
        </is>
      </c>
      <c r="L4284" s="11">
        <f>HYPERLINK("https://careerviet.vn/vi/tim-viec-lam/ky-su-xay-dung.35C6749A.html","Xem chi tiết")</f>
        <v/>
      </c>
      <c r="M4284" s="10" t="n"/>
    </row>
    <row r="4285">
      <c r="B4285" s="7" t="n">
        <v>4283</v>
      </c>
      <c r="C4285" t="inlineStr">
        <is>
          <t>Chuyên Viên Biện Pháp Thi Công (Kết cấu thép)</t>
        </is>
      </c>
      <c r="D4285" t="inlineStr">
        <is>
          <t>ATAD Steel Structure Corporation</t>
        </is>
      </c>
      <c r="E4285" t="inlineStr">
        <is>
          <t>Lương:Cạnh tranh</t>
        </is>
      </c>
      <c r="F4285" t="inlineStr">
        <is>
          <t>Hồ Chí Minh</t>
        </is>
      </c>
      <c r="G4285" t="inlineStr">
        <is>
          <t>04-04-2026</t>
        </is>
      </c>
      <c r="H4285" t="inlineStr">
        <is>
          <t>04/04/2026</t>
        </is>
      </c>
      <c r="I4285" t="inlineStr">
        <is>
          <t>17/03/2026</t>
        </is>
      </c>
      <c r="J4285" t="inlineStr">
        <is>
          <t>Xây dựng</t>
        </is>
      </c>
      <c r="K4285" t="inlineStr">
        <is>
          <t>2 - 5 Năm</t>
        </is>
      </c>
      <c r="L4285" s="8">
        <f>HYPERLINK("https://careerviet.vn/vi/tim-viec-lam/chuyen-vien-bien-phap-thi-cong-ket-cau-thep.35C6753F.html","Xem chi tiết")</f>
        <v/>
      </c>
    </row>
    <row r="4286">
      <c r="B4286" s="9" t="n">
        <v>4284</v>
      </c>
      <c r="C4286" s="10" t="inlineStr">
        <is>
          <t>Hà Nội - Chuyên viên Kinh doanh Số (Digital Business Agent)</t>
        </is>
      </c>
      <c r="D4286" s="10" t="inlineStr">
        <is>
          <t>LOTTE FINANCE VIETNAM</t>
        </is>
      </c>
      <c r="E4286" s="10" t="inlineStr">
        <is>
          <t>Lương:7 Tr - 15 Tr VND</t>
        </is>
      </c>
      <c r="F4286" s="10" t="inlineStr">
        <is>
          <t>Hà Nội</t>
        </is>
      </c>
      <c r="G4286" s="10" t="inlineStr">
        <is>
          <t>04-04-2026</t>
        </is>
      </c>
      <c r="H4286" s="10" t="inlineStr">
        <is>
          <t>04/04/2026</t>
        </is>
      </c>
      <c r="I4286" s="10" t="inlineStr">
        <is>
          <t>17/03/2026</t>
        </is>
      </c>
      <c r="J4286" s="10" t="inlineStr">
        <is>
          <t>Bán hàng / Kinh doanh, Ngân hàng, Tài chính / Đầu tư</t>
        </is>
      </c>
      <c r="K4286" s="10" t="inlineStr">
        <is>
          <t>N/A</t>
        </is>
      </c>
      <c r="L4286" s="11">
        <f>HYPERLINK("https://careerviet.vn/vi/tim-viec-lam/ha-noi-chuyen-vien-kinh-doanh-so-digital-business-agent.35C67458.html","Xem chi tiết")</f>
        <v/>
      </c>
      <c r="M4286" s="10" t="n"/>
    </row>
    <row r="4287">
      <c r="B4287" s="7" t="n">
        <v>4285</v>
      </c>
      <c r="C4287" t="inlineStr">
        <is>
          <t>Assistant Sales Manager (B2B)</t>
        </is>
      </c>
      <c r="D4287" t="inlineStr">
        <is>
          <t>CCL LABEL VIETNAM</t>
        </is>
      </c>
      <c r="E4287" t="inlineStr">
        <is>
          <t>Lương:Cạnh tranh</t>
        </is>
      </c>
      <c r="F4287" t="inlineStr">
        <is>
          <t>Bình Dương</t>
        </is>
      </c>
      <c r="G4287" t="inlineStr">
        <is>
          <t>04-04-2026</t>
        </is>
      </c>
      <c r="H4287" t="inlineStr">
        <is>
          <t>04/04/2026</t>
        </is>
      </c>
      <c r="I4287" t="inlineStr">
        <is>
          <t>17/03/2026</t>
        </is>
      </c>
      <c r="J4287" t="inlineStr">
        <is>
          <t>Tiếp thị / Marketing, Bán lẻ / Bán sỉ, Bán hàng / Kinh doanh</t>
        </is>
      </c>
      <c r="K4287" t="inlineStr">
        <is>
          <t>3 - 5 Năm</t>
        </is>
      </c>
      <c r="L4287" s="8">
        <f>HYPERLINK("https://careerviet.vn/vi/tim-viec-lam/assistant-sales-manager-b2b.35C6743B.html","Xem chi tiết")</f>
        <v/>
      </c>
    </row>
    <row r="4288">
      <c r="B4288" s="9" t="n">
        <v>4286</v>
      </c>
      <c r="C4288" s="10" t="inlineStr">
        <is>
          <t>NHÂN VIÊN HÀNH CHÍNH</t>
        </is>
      </c>
      <c r="D4288" s="10" t="inlineStr">
        <is>
          <t>CÔNG TY TNHH VIETTA INDUSTRIES (VN)</t>
        </is>
      </c>
      <c r="E4288" s="10" t="inlineStr">
        <is>
          <t>Lương:12 Tr - 15 Tr VND</t>
        </is>
      </c>
      <c r="F4288" s="10" t="inlineStr">
        <is>
          <t>Tây Ninh</t>
        </is>
      </c>
      <c r="G4288" s="10" t="inlineStr">
        <is>
          <t>04-04-2026</t>
        </is>
      </c>
      <c r="H4288" s="10" t="inlineStr">
        <is>
          <t>04/04/2026</t>
        </is>
      </c>
      <c r="I4288" s="10" t="inlineStr">
        <is>
          <t>17/03/2026</t>
        </is>
      </c>
      <c r="J4288" s="10" t="inlineStr">
        <is>
          <t>Hành chính / Thư ký, Nhân sự, Biên phiên dịch</t>
        </is>
      </c>
      <c r="K4288" s="10" t="inlineStr">
        <is>
          <t>1 - 3 Năm</t>
        </is>
      </c>
      <c r="L4288" s="11">
        <f>HYPERLINK("https://careerviet.vn/vi/tim-viec-lam/nhan-vien-hanh-chinh.35C674B0.html","Xem chi tiết")</f>
        <v/>
      </c>
      <c r="M4288" s="10" t="n"/>
    </row>
    <row r="4289">
      <c r="B4289" s="7" t="n">
        <v>4287</v>
      </c>
      <c r="C4289" t="inlineStr">
        <is>
          <t>Giáo viên Tiếng anh Gò Công, Chợ Gạo, Cai Lậy</t>
        </is>
      </c>
      <c r="D4289" t="inlineStr">
        <is>
          <t>Hệ thống Trung tâm Ngoại ngữ Cambridge</t>
        </is>
      </c>
      <c r="E4289" t="inlineStr">
        <is>
          <t>Lương:8 Tr - 25 Tr VND</t>
        </is>
      </c>
      <c r="F4289" t="inlineStr">
        <is>
          <t>Tiền Giang</t>
        </is>
      </c>
      <c r="G4289" t="inlineStr">
        <is>
          <t>04-04-2026</t>
        </is>
      </c>
      <c r="H4289" t="inlineStr">
        <is>
          <t>04/04/2026</t>
        </is>
      </c>
      <c r="I4289" t="inlineStr">
        <is>
          <t>17/03/2026</t>
        </is>
      </c>
      <c r="J4289" t="inlineStr">
        <is>
          <t>Giáo dục / Đào tạo, Biên phiên dịch</t>
        </is>
      </c>
      <c r="K4289" t="inlineStr">
        <is>
          <t>1 - 2 Năm</t>
        </is>
      </c>
      <c r="L4289" s="8">
        <f>HYPERLINK("https://careerviet.vn/vi/tim-viec-lam/giao-vien-tieng-anh-go-cong-cho-gao-cai-lay.35C67578.html","Xem chi tiết")</f>
        <v/>
      </c>
    </row>
    <row r="4290">
      <c r="B4290" s="9" t="n">
        <v>4288</v>
      </c>
      <c r="C4290" s="10" t="inlineStr">
        <is>
          <t>CHUYÊN VIÊN KHAI PHÁT</t>
        </is>
      </c>
      <c r="D4290" s="10" t="inlineStr">
        <is>
          <t>CÔNG TY TNHH SẢN XUẤT GREAT LOTUS VIỆT NAM</t>
        </is>
      </c>
      <c r="E4290" s="10" t="inlineStr">
        <is>
          <t>Lương:22 Tr - 25 Tr VND</t>
        </is>
      </c>
      <c r="F4290" s="10" t="inlineStr">
        <is>
          <t>Bình Dương</t>
        </is>
      </c>
      <c r="G4290" s="10" t="inlineStr">
        <is>
          <t>04-04-2026</t>
        </is>
      </c>
      <c r="H4290" s="10" t="inlineStr">
        <is>
          <t>04/04/2026</t>
        </is>
      </c>
      <c r="I4290" s="10" t="inlineStr">
        <is>
          <t>17/03/2026</t>
        </is>
      </c>
      <c r="J4290" s="10" t="inlineStr">
        <is>
          <t>Tiếp thị / Marketing, Quản lý điều hành, Dệt may / Da giày / Thời trang</t>
        </is>
      </c>
      <c r="K4290" s="10" t="inlineStr">
        <is>
          <t>2 - 5 Năm</t>
        </is>
      </c>
      <c r="L4290" s="11">
        <f>HYPERLINK("https://careerviet.vn/vi/tim-viec-lam/chuyen-vien-khai-phat.35C67460.html","Xem chi tiết")</f>
        <v/>
      </c>
      <c r="M4290" s="10" t="n"/>
    </row>
    <row r="4291">
      <c r="B4291" s="7" t="n">
        <v>4289</v>
      </c>
      <c r="C4291" t="inlineStr">
        <is>
          <t>Chuyên Viên Kế Toán Tổng Hợp</t>
        </is>
      </c>
      <c r="D4291" t="inlineStr">
        <is>
          <t>Tập đoàn Stavian (Stavian Group)</t>
        </is>
      </c>
      <c r="E4291" t="inlineStr">
        <is>
          <t>Lương:Cạnh tranh</t>
        </is>
      </c>
      <c r="F4291" t="inlineStr">
        <is>
          <t>Hà Nội</t>
        </is>
      </c>
      <c r="G4291" t="inlineStr">
        <is>
          <t>04-04-2026</t>
        </is>
      </c>
      <c r="H4291" t="inlineStr">
        <is>
          <t>04/04/2026</t>
        </is>
      </c>
      <c r="I4291" t="inlineStr">
        <is>
          <t>17/03/2026</t>
        </is>
      </c>
      <c r="J4291" t="inlineStr">
        <is>
          <t>Luật / Pháp lý, Kế toán / Kiểm toán, Tài chính / Đầu tư</t>
        </is>
      </c>
      <c r="K4291" t="inlineStr">
        <is>
          <t>3 - 5 Năm</t>
        </is>
      </c>
      <c r="L4291" s="8">
        <f>HYPERLINK("https://careerviet.vn/vi/tim-viec-lam/chuyen-vien-ke-toan-tong-hop.35C6748B.html","Xem chi tiết")</f>
        <v/>
      </c>
    </row>
    <row r="4292">
      <c r="B4292" s="9" t="n">
        <v>4290</v>
      </c>
      <c r="C4292" s="10" t="inlineStr">
        <is>
          <t>Giám Sát Hiện Trường - Site Supervisors</t>
        </is>
      </c>
      <c r="D4292" s="10" t="inlineStr">
        <is>
          <t>Công ty TNHH MTV VietNam GS Industry - Chi nhánh cốp pha nhôm</t>
        </is>
      </c>
      <c r="E4292" s="10" t="inlineStr">
        <is>
          <t>Lương:Cạnh tranh</t>
        </is>
      </c>
      <c r="F4292" s="10" t="inlineStr">
        <is>
          <t>Hồ Chí MinhHà Nội</t>
        </is>
      </c>
      <c r="G4292" s="10" t="inlineStr">
        <is>
          <t>03-04-2026</t>
        </is>
      </c>
      <c r="H4292" s="10" t="inlineStr">
        <is>
          <t>03/04/2026</t>
        </is>
      </c>
      <c r="I4292" s="10" t="inlineStr">
        <is>
          <t>17/03/2026</t>
        </is>
      </c>
      <c r="J4292" s="10" t="inlineStr">
        <is>
          <t>Quản lý chất lượng (QA/QC), Xây dựng, Kiến trúc</t>
        </is>
      </c>
      <c r="K4292" s="10" t="inlineStr">
        <is>
          <t>sẽ được đào tạo CHẾ ĐỘ &amp;</t>
        </is>
      </c>
      <c r="L4292" s="11">
        <f>HYPERLINK("https://careerviet.vn/vi/tim-viec-lam/giam-sat-hien-truong-site-supervisors.35C675B6.html","Xem chi tiết")</f>
        <v/>
      </c>
      <c r="M4292" s="10" t="n"/>
    </row>
    <row r="4293">
      <c r="B4293" s="7" t="n">
        <v>4291</v>
      </c>
      <c r="C4293" t="inlineStr">
        <is>
          <t>Chuyên Viên Phát Triển Thị Trường - Nghệ An, Ninh Bình - TA183 - ID1285</t>
        </is>
      </c>
      <c r="D4293" t="inlineStr">
        <is>
          <t>Ngân Hàng TMCP Việt Nam Thịnh Vượng - VPBANK</t>
        </is>
      </c>
      <c r="E4293" t="inlineStr">
        <is>
          <t>Lương:Cạnh tranh</t>
        </is>
      </c>
      <c r="F4293" t="inlineStr">
        <is>
          <t>Nghệ An</t>
        </is>
      </c>
      <c r="G4293" t="inlineStr">
        <is>
          <t>04-04-2026</t>
        </is>
      </c>
      <c r="H4293" t="inlineStr">
        <is>
          <t>04/04/2026</t>
        </is>
      </c>
      <c r="I4293" t="inlineStr">
        <is>
          <t>17/03/2026</t>
        </is>
      </c>
      <c r="J4293" t="inlineStr">
        <is>
          <t>Bán hàng / Kinh doanh, Ngân hàng</t>
        </is>
      </c>
      <c r="K4293" t="inlineStr">
        <is>
          <t>Trên 1 Năm</t>
        </is>
      </c>
      <c r="L4293" s="8">
        <f>HYPERLINK("https://careerviet.vn/vi/tim-viec-lam/chuyen-vien-phat-trien-thi-truong-nghe-an-ninh-binh-ta183-id1285.35C675ED.html","Xem chi tiết")</f>
        <v/>
      </c>
    </row>
    <row r="4294">
      <c r="B4294" s="9" t="n">
        <v>4292</v>
      </c>
      <c r="C4294" s="10" t="inlineStr">
        <is>
          <t>Talent Acquisition Specialist (Luxury Fashion)</t>
        </is>
      </c>
      <c r="D4294" s="10" t="inlineStr">
        <is>
          <t>CÔNG TY CỔ PHẦN GLOBAL LINK</t>
        </is>
      </c>
      <c r="E4294" s="10" t="inlineStr">
        <is>
          <t>Lương:Cạnh tranh</t>
        </is>
      </c>
      <c r="F4294" s="10" t="inlineStr">
        <is>
          <t>Hồ Chí Minh</t>
        </is>
      </c>
      <c r="G4294" s="10" t="inlineStr">
        <is>
          <t>04-04-2026</t>
        </is>
      </c>
      <c r="H4294" s="10" t="inlineStr">
        <is>
          <t>04/04/2026</t>
        </is>
      </c>
      <c r="I4294" s="10" t="inlineStr">
        <is>
          <t>17/03/2026</t>
        </is>
      </c>
      <c r="J4294" s="10" t="inlineStr">
        <is>
          <t>Bán lẻ / Bán sỉ, Dệt may / Da giày / Thời trang</t>
        </is>
      </c>
      <c r="K4294" s="10" t="inlineStr">
        <is>
          <t>3 - 5 Năm</t>
        </is>
      </c>
      <c r="L4294" s="11">
        <f>HYPERLINK("https://careerviet.vn/vi/tim-viec-lam/talent-acquisition-specialist-luxury-fashion.35C67485.html","Xem chi tiết")</f>
        <v/>
      </c>
      <c r="M4294" s="10" t="n"/>
    </row>
    <row r="4295">
      <c r="B4295" s="7" t="n">
        <v>4293</v>
      </c>
      <c r="C4295" t="inlineStr">
        <is>
          <t>QA Deputy Manager - Tiếng Nhật</t>
        </is>
      </c>
      <c r="D4295" t="inlineStr">
        <is>
          <t>Công ty Omron Healthcare Manufacturing Việt Nam</t>
        </is>
      </c>
      <c r="E4295" t="inlineStr">
        <is>
          <t>Lương:Cạnh tranh</t>
        </is>
      </c>
      <c r="F4295" t="inlineStr">
        <is>
          <t>Bình Dương</t>
        </is>
      </c>
      <c r="G4295" t="inlineStr">
        <is>
          <t>04-04-2026</t>
        </is>
      </c>
      <c r="H4295" t="inlineStr">
        <is>
          <t>04/04/2026</t>
        </is>
      </c>
      <c r="I4295" t="inlineStr">
        <is>
          <t>17/03/2026</t>
        </is>
      </c>
      <c r="J4295" t="inlineStr">
        <is>
          <t>Quản lý chất lượng (QA/QC), Sản xuất / Vận hành sản xuất, Biên phiên dịch</t>
        </is>
      </c>
      <c r="K4295" t="inlineStr">
        <is>
          <t>5 - 7 Năm</t>
        </is>
      </c>
      <c r="L4295" s="8">
        <f>HYPERLINK("https://careerviet.vn/vi/tim-viec-lam/qa-deputy-manager-tieng-nhat.35C67424.html","Xem chi tiết")</f>
        <v/>
      </c>
    </row>
    <row r="4296">
      <c r="B4296" s="9" t="n">
        <v>4294</v>
      </c>
      <c r="C4296" s="10" t="inlineStr">
        <is>
          <t>Nhân viên vận hành máy</t>
        </is>
      </c>
      <c r="D4296" s="10" t="inlineStr">
        <is>
          <t>Highlands Coffee</t>
        </is>
      </c>
      <c r="E4296" s="10" t="inlineStr">
        <is>
          <t>Lương:Cạnh tranh</t>
        </is>
      </c>
      <c r="F4296" s="10" t="inlineStr">
        <is>
          <t>Bà Rịa - Vũng Tàu</t>
        </is>
      </c>
      <c r="G4296" s="10" t="inlineStr">
        <is>
          <t>04-04-2026</t>
        </is>
      </c>
      <c r="H4296" s="10" t="inlineStr">
        <is>
          <t>04/04/2026</t>
        </is>
      </c>
      <c r="I4296" s="10" t="inlineStr">
        <is>
          <t>17/03/2026</t>
        </is>
      </c>
      <c r="J4296" s="10" t="inlineStr">
        <is>
          <t>Cơ khí / Ô tô / Tự động hóa, Điện / Điện tử / Điện lạnh / Điện công nghiệp, Sản xuất / Vận hành sản xuất</t>
        </is>
      </c>
      <c r="K4296" s="10" t="inlineStr">
        <is>
          <t>Trên 1 Năm</t>
        </is>
      </c>
      <c r="L4296" s="11">
        <f>HYPERLINK("https://careerviet.vn/vi/tim-viec-lam/nhan-vien-van-hanh-may.35C6747E.html","Xem chi tiết")</f>
        <v/>
      </c>
      <c r="M4296" s="10" t="n"/>
    </row>
    <row r="4297">
      <c r="B4297" s="7" t="n">
        <v>4295</v>
      </c>
      <c r="C4297" t="inlineStr">
        <is>
          <t>HCM - Nhân viên Phát triển Kinh doanh Kênh Số (Digital Business Agent)</t>
        </is>
      </c>
      <c r="D4297" t="inlineStr">
        <is>
          <t>LOTTE FINANCE VIETNAM</t>
        </is>
      </c>
      <c r="E4297" t="inlineStr">
        <is>
          <t>Lương:7 Tr - 15 Tr VND</t>
        </is>
      </c>
      <c r="F4297" t="inlineStr">
        <is>
          <t>Hồ Chí Minh</t>
        </is>
      </c>
      <c r="G4297" t="inlineStr">
        <is>
          <t>04-04-2026</t>
        </is>
      </c>
      <c r="H4297" t="inlineStr">
        <is>
          <t>04/04/2026</t>
        </is>
      </c>
      <c r="I4297" t="inlineStr">
        <is>
          <t>17/03/2026</t>
        </is>
      </c>
      <c r="J4297" t="inlineStr">
        <is>
          <t>Bán hàng / Kinh doanh, Ngân hàng, Tài chính / Đầu tư</t>
        </is>
      </c>
      <c r="K4297" t="inlineStr">
        <is>
          <t>N/A</t>
        </is>
      </c>
      <c r="L4297" s="8">
        <f>HYPERLINK("https://careerviet.vn/vi/tim-viec-lam/hcm-nhan-vien-phat-trien-kinh-doanh-kenh-so-digital-business-agent.35C67455.html","Xem chi tiết")</f>
        <v/>
      </c>
    </row>
    <row r="4298">
      <c r="B4298" s="9" t="n">
        <v>4296</v>
      </c>
      <c r="C4298" s="10" t="inlineStr">
        <is>
          <t>127421 - Direct Sales Manager (B2B) - General Appliances</t>
        </is>
      </c>
      <c r="D4298" s="10" t="inlineStr">
        <is>
          <t>RGF HR Agent Vietnam Co., LTD</t>
        </is>
      </c>
      <c r="E4298" s="10" t="inlineStr">
        <is>
          <t>Lương:Cạnh tranh</t>
        </is>
      </c>
      <c r="F4298" s="10" t="inlineStr">
        <is>
          <t>Hồ Chí Minh</t>
        </is>
      </c>
      <c r="G4298" s="10" t="inlineStr">
        <is>
          <t>04-04-2026</t>
        </is>
      </c>
      <c r="H4298" s="10" t="inlineStr">
        <is>
          <t>04/04/2026</t>
        </is>
      </c>
      <c r="I4298" s="10" t="inlineStr">
        <is>
          <t>17/03/2026</t>
        </is>
      </c>
      <c r="J4298" s="10" t="inlineStr">
        <is>
          <t>Bán hàng / Kinh doanh, Điện / Điện tử / Điện lạnh / Điện công nghiệp</t>
        </is>
      </c>
      <c r="K4298" s="10" t="inlineStr">
        <is>
          <t>3 - 5 Năm</t>
        </is>
      </c>
      <c r="L4298" s="11">
        <f>HYPERLINK("https://careerviet.vn/vi/tim-viec-lam/127421-direct-sales-manager-b2b-general-appliances.35C6749E.html","Xem chi tiết")</f>
        <v/>
      </c>
      <c r="M4298" s="10" t="n"/>
    </row>
    <row r="4299">
      <c r="B4299" s="7" t="n">
        <v>4297</v>
      </c>
      <c r="C4299" t="inlineStr">
        <is>
          <t>Nhân viên Marketing Chương trình IELTS</t>
        </is>
      </c>
      <c r="D4299" t="inlineStr">
        <is>
          <t>Hệ thống Trung tâm Ngoại ngữ Cambridge</t>
        </is>
      </c>
      <c r="E4299" t="inlineStr">
        <is>
          <t>Lương:8 Tr - 13 Tr VND</t>
        </is>
      </c>
      <c r="F4299" t="inlineStr">
        <is>
          <t>Bến Tre</t>
        </is>
      </c>
      <c r="G4299" t="inlineStr">
        <is>
          <t>04-04-2026</t>
        </is>
      </c>
      <c r="H4299" t="inlineStr">
        <is>
          <t>04/04/2026</t>
        </is>
      </c>
      <c r="I4299" t="inlineStr">
        <is>
          <t>17/03/2026</t>
        </is>
      </c>
      <c r="J4299" t="inlineStr">
        <is>
          <t>Tiếp thị / Marketing, Biên phiên dịch, Quảng cáo / Đối ngoại / Truyền Thông</t>
        </is>
      </c>
      <c r="K4299" t="inlineStr">
        <is>
          <t>1 - 2 Năm</t>
        </is>
      </c>
      <c r="L4299" s="8">
        <f>HYPERLINK("https://careerviet.vn/vi/tim-viec-lam/nhan-vien-marketing-chuong-trinh-ielts.35C67573.html","Xem chi tiết")</f>
        <v/>
      </c>
    </row>
    <row r="4300">
      <c r="B4300" s="9" t="n">
        <v>4298</v>
      </c>
      <c r="C4300" s="10" t="inlineStr">
        <is>
          <t>Bác sĩ tư vấn di truyền</t>
        </is>
      </c>
      <c r="D4300" s="10" t="inlineStr">
        <is>
          <t>CÔNG TY CỔ PHẦN GIẢI PHÁP GENE - GENE SOLUTIONS</t>
        </is>
      </c>
      <c r="E4300" s="10" t="inlineStr">
        <is>
          <t>Lương:Cạnh tranh</t>
        </is>
      </c>
      <c r="F4300" s="10" t="inlineStr">
        <is>
          <t>Hồ Chí Minh</t>
        </is>
      </c>
      <c r="G4300" s="10" t="inlineStr">
        <is>
          <t>06-04-2026</t>
        </is>
      </c>
      <c r="H4300" s="10" t="inlineStr">
        <is>
          <t>06/04/2026</t>
        </is>
      </c>
      <c r="I4300" s="10" t="inlineStr">
        <is>
          <t>17/03/2026</t>
        </is>
      </c>
      <c r="J4300" s="10" t="inlineStr">
        <is>
          <t>Y tế / Chăm sóc sức khỏe / Thẩm mỹ / Làm đẹp</t>
        </is>
      </c>
      <c r="K4300" s="10" t="inlineStr">
        <is>
          <t>N/A</t>
        </is>
      </c>
      <c r="L4300" s="11">
        <f>HYPERLINK("https://careerviet.vn/vi/tim-viec-lam/bac-si-tu-van-di-truyen.35C64C19.html","Xem chi tiết")</f>
        <v/>
      </c>
      <c r="M4300" s="10" t="n"/>
    </row>
    <row r="4301">
      <c r="B4301" s="7" t="n">
        <v>4299</v>
      </c>
      <c r="C4301" t="inlineStr">
        <is>
          <t>Chuyên viên thẩm định tín dụng khách hàng cá nhân, Phòng thẩm định tín dụng KHCN không tài sản đảm bảo, Khối tái thẩm và phê duyệt</t>
        </is>
      </c>
      <c r="D4301" t="inlineStr">
        <is>
          <t>Ngân hàng TMCP Đại Chúng Việt Nam - PVcomBank</t>
        </is>
      </c>
      <c r="E4301" t="inlineStr">
        <is>
          <t>Lương:Cạnh tranh</t>
        </is>
      </c>
      <c r="F4301" t="inlineStr">
        <is>
          <t>Hà Nội</t>
        </is>
      </c>
      <c r="G4301" t="inlineStr">
        <is>
          <t>04-04-2026</t>
        </is>
      </c>
      <c r="H4301" t="inlineStr">
        <is>
          <t>04/04/2026</t>
        </is>
      </c>
      <c r="I4301" t="inlineStr">
        <is>
          <t>17/03/2026</t>
        </is>
      </c>
      <c r="J4301" t="inlineStr">
        <is>
          <t>Ngân hàng</t>
        </is>
      </c>
      <c r="K4301" t="inlineStr">
        <is>
          <t>1 - 3 Năm</t>
        </is>
      </c>
      <c r="L4301" s="8">
        <f>HYPERLINK("https://careerviet.vn/vi/tim-viec-lam/chuyen-vien-tham-dinh-tin-dung-khach-hang-ca-nhan-phong-tham-dinh-tin-dung-khcn-khong-tai-san-dam-bao-khoi-tai-tham-va-phe-duyet.35C67596.html","Xem chi tiết")</f>
        <v/>
      </c>
    </row>
    <row r="4302">
      <c r="B4302" s="9" t="n">
        <v>4300</v>
      </c>
      <c r="C4302" s="10" t="inlineStr">
        <is>
          <t>Chuyên Viên C&amp;B</t>
        </is>
      </c>
      <c r="D4302" s="10" t="inlineStr">
        <is>
          <t>Tập đoàn Stavian (Stavian Group)</t>
        </is>
      </c>
      <c r="E4302" s="10" t="inlineStr">
        <is>
          <t>Lương:Cạnh tranh</t>
        </is>
      </c>
      <c r="F4302" s="10" t="inlineStr">
        <is>
          <t>Hà Nội</t>
        </is>
      </c>
      <c r="G4302" s="10" t="inlineStr">
        <is>
          <t>04-04-2026</t>
        </is>
      </c>
      <c r="H4302" s="10" t="inlineStr">
        <is>
          <t>04/04/2026</t>
        </is>
      </c>
      <c r="I4302" s="10" t="inlineStr">
        <is>
          <t>17/03/2026</t>
        </is>
      </c>
      <c r="J4302" s="10" t="inlineStr">
        <is>
          <t>Hành chính / Thư ký, Nhân sự, Quảng cáo / Đối ngoại / Truyền Thông</t>
        </is>
      </c>
      <c r="K4302" s="10" t="inlineStr">
        <is>
          <t>3 - 5 Năm</t>
        </is>
      </c>
      <c r="L4302" s="11">
        <f>HYPERLINK("https://careerviet.vn/vi/tim-viec-lam/chuyen-vien-c-b.35C6749D.html","Xem chi tiết")</f>
        <v/>
      </c>
      <c r="M4302" s="10" t="n"/>
    </row>
    <row r="4303">
      <c r="B4303" s="7" t="n">
        <v>4301</v>
      </c>
      <c r="C4303" t="inlineStr">
        <is>
          <t>Giám Đốc Quản Lý Khách Hàng Ưu Tiên - PRM Vùng Đông Hà Nội</t>
        </is>
      </c>
      <c r="D4303" t="inlineStr">
        <is>
          <t>Ngân Hàng TMCP Quốc Tế Việt Nam</t>
        </is>
      </c>
      <c r="E4303" t="inlineStr">
        <is>
          <t>Lương:20 Tr - 35 Tr VND</t>
        </is>
      </c>
      <c r="F4303" t="inlineStr">
        <is>
          <t>Hà Nội</t>
        </is>
      </c>
      <c r="G4303" t="inlineStr">
        <is>
          <t>06-04-2026</t>
        </is>
      </c>
      <c r="H4303" t="inlineStr">
        <is>
          <t>06/04/2026</t>
        </is>
      </c>
      <c r="I4303" t="inlineStr">
        <is>
          <t>17/03/2026</t>
        </is>
      </c>
      <c r="J4303" t="inlineStr">
        <is>
          <t>Bán hàng / Kinh doanh, Ngân hàng, Bất động sản</t>
        </is>
      </c>
      <c r="K4303" t="inlineStr">
        <is>
          <t>Lên đến 2 Năm</t>
        </is>
      </c>
      <c r="L4303" s="8">
        <f>HYPERLINK("https://careerviet.vn/vi/tim-viec-lam/giam-doc-quan-ly-khach-hang-uu-tien-prm-vung-dong-ha-noi.35C64B97.html","Xem chi tiết")</f>
        <v/>
      </c>
    </row>
    <row r="4304">
      <c r="B4304" s="9" t="n">
        <v>4302</v>
      </c>
      <c r="C4304" s="10" t="inlineStr">
        <is>
          <t>Chuyên viên cao cấp Quan hệ khách hàng ưu tiên - PRM Gold (Khu vực Hà Nội, Bắc Ninh, Thái Nguyên)</t>
        </is>
      </c>
      <c r="D4304" s="10" t="inlineStr">
        <is>
          <t>NGÂN HÀNG TMCP KỸ THƯƠNG VIỆT NAM (TECHCOMBANK)</t>
        </is>
      </c>
      <c r="E4304" s="10" t="inlineStr">
        <is>
          <t>Lương:Cạnh tranh</t>
        </is>
      </c>
      <c r="F4304" s="10" t="inlineStr">
        <is>
          <t>Hà NộiThái NguyênBắc Ninh</t>
        </is>
      </c>
      <c r="G4304" s="10" t="inlineStr">
        <is>
          <t>06-04-2026</t>
        </is>
      </c>
      <c r="H4304" s="10" t="inlineStr">
        <is>
          <t>06/04/2026</t>
        </is>
      </c>
      <c r="I4304" s="10" t="inlineStr">
        <is>
          <t>17/03/2026</t>
        </is>
      </c>
      <c r="J4304" s="10" t="inlineStr">
        <is>
          <t>Ngân hàng, Dịch vụ khách hàng, Bán hàng / Kinh doanh</t>
        </is>
      </c>
      <c r="K4304" s="10" t="inlineStr">
        <is>
          <t>Trên 2 Năm</t>
        </is>
      </c>
      <c r="L4304" s="11">
        <f>HYPERLINK("https://careerviet.vn/vi/tim-viec-lam/chuyen-vien-cao-cap-quan-he-khach-hang-uu-tien-prm-gold-khu-vuc-ha-noi-bac-ninh-thai-nguyen.35C64C10.html","Xem chi tiết")</f>
        <v/>
      </c>
      <c r="M4304" s="10" t="n"/>
    </row>
    <row r="4305">
      <c r="B4305" s="7" t="n">
        <v>4303</v>
      </c>
      <c r="C4305" t="inlineStr">
        <is>
          <t>Giám đốc Hub Bán lẻ</t>
        </is>
      </c>
      <c r="D4305" t="inlineStr">
        <is>
          <t>Ngân Hàng TMCP Tiên Phong (TPBank)</t>
        </is>
      </c>
      <c r="E4305" t="inlineStr">
        <is>
          <t>Lương:35 Tr - 40 Tr VND</t>
        </is>
      </c>
      <c r="F4305" t="inlineStr">
        <is>
          <t>Hồ Chí MinhTiền Giang</t>
        </is>
      </c>
      <c r="G4305" t="inlineStr">
        <is>
          <t>04-04-2026</t>
        </is>
      </c>
      <c r="H4305" t="inlineStr">
        <is>
          <t>04/04/2026</t>
        </is>
      </c>
      <c r="I4305" t="inlineStr">
        <is>
          <t>17/03/2026</t>
        </is>
      </c>
      <c r="J4305" t="inlineStr">
        <is>
          <t>Bán hàng / Kinh doanh, Ngân hàng, Tài chính / Đầu tư</t>
        </is>
      </c>
      <c r="K4305" t="inlineStr">
        <is>
          <t>3 - 5 Năm</t>
        </is>
      </c>
      <c r="L4305" s="8">
        <f>HYPERLINK("https://careerviet.vn/vi/tim-viec-lam/giam-doc-hub-ban-le.35C67557.html","Xem chi tiết")</f>
        <v/>
      </c>
    </row>
    <row r="4306">
      <c r="B4306" s="9" t="n">
        <v>4304</v>
      </c>
      <c r="C4306" s="10" t="inlineStr">
        <is>
          <t>Kế Toán Tổng Hợp</t>
        </is>
      </c>
      <c r="D4306" s="10" t="inlineStr">
        <is>
          <t>CÔNG TY CỔ PHẦN STELLAR</t>
        </is>
      </c>
      <c r="E4306" s="10" t="inlineStr">
        <is>
          <t>Lương:Cạnh tranh</t>
        </is>
      </c>
      <c r="F4306" s="10" t="inlineStr">
        <is>
          <t>Hà Nội</t>
        </is>
      </c>
      <c r="G4306" s="10" t="inlineStr">
        <is>
          <t>06-04-2026</t>
        </is>
      </c>
      <c r="H4306" s="10" t="inlineStr">
        <is>
          <t>06/04/2026</t>
        </is>
      </c>
      <c r="I4306" s="10" t="inlineStr">
        <is>
          <t>17/03/2026</t>
        </is>
      </c>
      <c r="J4306" s="10" t="inlineStr">
        <is>
          <t>Kế toán / Kiểm toán, Tài chính / Đầu tư, Bất động sản</t>
        </is>
      </c>
      <c r="K4306" s="10" t="inlineStr">
        <is>
          <t>2 - 5 Năm</t>
        </is>
      </c>
      <c r="L4306" s="11">
        <f>HYPERLINK("https://careerviet.vn/vi/tim-viec-lam/ke-toan-tong-hop.35C679C1.html","Xem chi tiết")</f>
        <v/>
      </c>
      <c r="M4306" s="10" t="n"/>
    </row>
    <row r="4307">
      <c r="B4307" s="7" t="n">
        <v>4305</v>
      </c>
      <c r="C4307" t="inlineStr">
        <is>
          <t>AP Posting Invoice Staff</t>
        </is>
      </c>
      <c r="D4307" t="inlineStr">
        <is>
          <t>XP Power  Vietnam</t>
        </is>
      </c>
      <c r="E4307" t="inlineStr">
        <is>
          <t>Lương:Cạnh tranh</t>
        </is>
      </c>
      <c r="F4307" t="inlineStr">
        <is>
          <t>Bình Dương</t>
        </is>
      </c>
      <c r="G4307" t="inlineStr">
        <is>
          <t>06-04-2026</t>
        </is>
      </c>
      <c r="H4307" t="inlineStr">
        <is>
          <t>06/04/2026</t>
        </is>
      </c>
      <c r="I4307" t="inlineStr">
        <is>
          <t>17/03/2026</t>
        </is>
      </c>
      <c r="J4307" t="inlineStr">
        <is>
          <t>Kế toán / Kiểm toán</t>
        </is>
      </c>
      <c r="K4307" t="inlineStr">
        <is>
          <t>1 - 2 Năm</t>
        </is>
      </c>
      <c r="L4307" s="8">
        <f>HYPERLINK("https://careerviet.vn/vi/tim-viec-lam/ap-posting-invoice-staff.35C67B88.html","Xem chi tiết")</f>
        <v/>
      </c>
    </row>
    <row r="4308">
      <c r="B4308" s="9" t="n">
        <v>4306</v>
      </c>
      <c r="C4308" s="10" t="inlineStr">
        <is>
          <t>Nhân viên lái xe tải (Xe Điện)</t>
        </is>
      </c>
      <c r="D4308" s="10" t="inlineStr">
        <is>
          <t>Công Ty TNHH TM &amp; XNK Nhất Lâm</t>
        </is>
      </c>
      <c r="E4308" s="10" t="inlineStr">
        <is>
          <t>Lương:11 Tr - 15 Tr VND</t>
        </is>
      </c>
      <c r="F4308" s="10" t="inlineStr">
        <is>
          <t>Đà Nẵng</t>
        </is>
      </c>
      <c r="G4308" s="10" t="inlineStr">
        <is>
          <t>06-04-2026</t>
        </is>
      </c>
      <c r="H4308" s="10" t="inlineStr">
        <is>
          <t>06/04/2026</t>
        </is>
      </c>
      <c r="I4308" s="10" t="inlineStr">
        <is>
          <t>17/03/2026</t>
        </is>
      </c>
      <c r="J4308" s="10" t="inlineStr">
        <is>
          <t>Vận chuyển / Giao nhận / Kho vận</t>
        </is>
      </c>
      <c r="K4308" s="10" t="inlineStr">
        <is>
          <t>1 - 5 Năm</t>
        </is>
      </c>
      <c r="L4308" s="11">
        <f>HYPERLINK("https://careerviet.vn/vi/tim-viec-lam/nhan-vien-lai-xe-tai-xe-dien.35C64A9F.html","Xem chi tiết")</f>
        <v/>
      </c>
      <c r="M4308" s="10" t="n"/>
    </row>
    <row r="4309">
      <c r="B4309" s="7" t="n">
        <v>4307</v>
      </c>
      <c r="C4309" t="inlineStr">
        <is>
          <t>Manager, Talent Management &amp; Development</t>
        </is>
      </c>
      <c r="D4309" t="inlineStr">
        <is>
          <t>NGÂN HÀNG TMCP KỸ THƯƠNG VIỆT NAM (TECHCOMBANK)</t>
        </is>
      </c>
      <c r="E4309" t="inlineStr">
        <is>
          <t>Lương:Cạnh tranh</t>
        </is>
      </c>
      <c r="F4309" t="inlineStr">
        <is>
          <t>Hà Nội</t>
        </is>
      </c>
      <c r="G4309" t="inlineStr">
        <is>
          <t>06-04-2026</t>
        </is>
      </c>
      <c r="H4309" t="inlineStr">
        <is>
          <t>06/04/2026</t>
        </is>
      </c>
      <c r="I4309" t="inlineStr">
        <is>
          <t>17/03/2026</t>
        </is>
      </c>
      <c r="J4309" t="inlineStr">
        <is>
          <t>Ngân hàng, Giáo dục / Đào tạo, Nhân sự</t>
        </is>
      </c>
      <c r="K4309" t="inlineStr">
        <is>
          <t>2 - 6 Năm</t>
        </is>
      </c>
      <c r="L4309" s="8">
        <f>HYPERLINK("https://careerviet.vn/vi/tim-viec-lam/manager-talent-management-development.35C64B20.html","Xem chi tiết")</f>
        <v/>
      </c>
    </row>
    <row r="4310">
      <c r="B4310" s="9" t="n">
        <v>4308</v>
      </c>
      <c r="C4310" s="10" t="inlineStr">
        <is>
          <t>New Business Development Manager</t>
        </is>
      </c>
      <c r="D4310" s="10" t="inlineStr">
        <is>
          <t>Huhtamaki (Vietnam) Ltd.</t>
        </is>
      </c>
      <c r="E4310" s="10" t="inlineStr">
        <is>
          <t>Lương:Cạnh tranh</t>
        </is>
      </c>
      <c r="F4310" s="10" t="inlineStr">
        <is>
          <t>Bình Dương</t>
        </is>
      </c>
      <c r="G4310" s="10" t="inlineStr">
        <is>
          <t>06-04-2026</t>
        </is>
      </c>
      <c r="H4310" s="10" t="inlineStr">
        <is>
          <t>06/04/2026</t>
        </is>
      </c>
      <c r="I4310" s="10" t="inlineStr">
        <is>
          <t>17/03/2026</t>
        </is>
      </c>
      <c r="J4310" s="10" t="inlineStr">
        <is>
          <t>Bán hàng / Kinh doanh, Bán Hàng Kỹ Thuật, In ấn / Xuất bản</t>
        </is>
      </c>
      <c r="K4310" s="10" t="inlineStr">
        <is>
          <t>5 - 10 Năm</t>
        </is>
      </c>
      <c r="L4310" s="11">
        <f>HYPERLINK("https://careerviet.vn/vi/tim-viec-lam/new-business-development-manager.35C67BE2.html","Xem chi tiết")</f>
        <v/>
      </c>
      <c r="M4310" s="10" t="n"/>
    </row>
    <row r="4311">
      <c r="B4311" s="7" t="n">
        <v>4309</v>
      </c>
      <c r="C4311" t="inlineStr">
        <is>
          <t>NHÂN VIÊN THAO TÁC MÁY TỰ ĐỘNG KỸ THUẬT CAO</t>
        </is>
      </c>
      <c r="D4311" t="inlineStr">
        <is>
          <t>CÔNG TY TNHH POUYUEN VIỆT NAM</t>
        </is>
      </c>
      <c r="E4311" t="inlineStr">
        <is>
          <t>Lương:Cạnh tranh</t>
        </is>
      </c>
      <c r="F4311" t="inlineStr">
        <is>
          <t>Hồ Chí Minh</t>
        </is>
      </c>
      <c r="G4311" t="inlineStr">
        <is>
          <t>06-04-2026</t>
        </is>
      </c>
      <c r="H4311" t="inlineStr">
        <is>
          <t>06/04/2026</t>
        </is>
      </c>
      <c r="I4311" t="inlineStr">
        <is>
          <t>17/03/2026</t>
        </is>
      </c>
      <c r="J4311" t="inlineStr">
        <is>
          <t>Bảo trì / Sửa chữa, Cơ khí / Ô tô / Tự động hóa, Lao động phổ thông</t>
        </is>
      </c>
      <c r="K4311" t="inlineStr">
        <is>
          <t>N/A</t>
        </is>
      </c>
      <c r="L4311" s="8">
        <f>HYPERLINK("https://careerviet.vn/vi/tim-viec-lam/nhan-vien-thao-tac-may-tu-dong-ky-thuat-cao.35C64B0F.html","Xem chi tiết")</f>
        <v/>
      </c>
    </row>
    <row r="4312">
      <c r="B4312" s="9" t="n">
        <v>4310</v>
      </c>
      <c r="C4312" s="10" t="inlineStr">
        <is>
          <t>Chuyên viên kinh doanh ngoại hối - Khối Nguồn vốn và thị trường tài chính</t>
        </is>
      </c>
      <c r="D4312" s="10" t="inlineStr">
        <is>
          <t>Ngân hàng TMCP Đại Chúng Việt Nam - PVcomBank</t>
        </is>
      </c>
      <c r="E4312" s="10" t="inlineStr">
        <is>
          <t>Lương:Cạnh tranh</t>
        </is>
      </c>
      <c r="F4312" s="10" t="inlineStr">
        <is>
          <t>Hà Nội</t>
        </is>
      </c>
      <c r="G4312" s="10" t="inlineStr">
        <is>
          <t>06-04-2026</t>
        </is>
      </c>
      <c r="H4312" s="10" t="inlineStr">
        <is>
          <t>06/04/2026</t>
        </is>
      </c>
      <c r="I4312" s="10" t="inlineStr">
        <is>
          <t>17/03/2026</t>
        </is>
      </c>
      <c r="J4312" s="10" t="inlineStr">
        <is>
          <t>Ngân hàng</t>
        </is>
      </c>
      <c r="K4312" s="10" t="inlineStr">
        <is>
          <t>2 - 10 Năm</t>
        </is>
      </c>
      <c r="L4312" s="11">
        <f>HYPERLINK("https://careerviet.vn/vi/tim-viec-lam/chuyen-vien-kinh-doanh-ngoai-hoi-khoi-nguon-von-va-thi-truong-tai-chinh.35C64A95.html","Xem chi tiết")</f>
        <v/>
      </c>
      <c r="M4312" s="10" t="n"/>
    </row>
    <row r="4313">
      <c r="B4313" s="7" t="n">
        <v>4311</v>
      </c>
      <c r="C4313" t="inlineStr">
        <is>
          <t>Trưởng Phòng Khách Hàng Doanh Nghiệp</t>
        </is>
      </c>
      <c r="D4313" t="inlineStr">
        <is>
          <t>Ngân Hàng Thương Mại Cổ Phần Bảo Việt</t>
        </is>
      </c>
      <c r="E4313" t="inlineStr">
        <is>
          <t>Lương:Cạnh tranh</t>
        </is>
      </c>
      <c r="F4313" t="inlineStr">
        <is>
          <t>Bình ĐịnhHồ Chí Minh</t>
        </is>
      </c>
      <c r="G4313" t="inlineStr">
        <is>
          <t>06-04-2026</t>
        </is>
      </c>
      <c r="H4313" t="inlineStr">
        <is>
          <t>06/04/2026</t>
        </is>
      </c>
      <c r="I4313" t="inlineStr">
        <is>
          <t>17/03/2026</t>
        </is>
      </c>
      <c r="J4313" t="inlineStr">
        <is>
          <t>Ngân hàng</t>
        </is>
      </c>
      <c r="K4313" t="inlineStr">
        <is>
          <t>3 - 5 Năm</t>
        </is>
      </c>
      <c r="L4313" s="8">
        <f>HYPERLINK("https://careerviet.vn/vi/tim-viec-lam/truong-phong-khach-hang-doanh-nghiep.35C67BEF.html","Xem chi tiết")</f>
        <v/>
      </c>
    </row>
    <row r="4314">
      <c r="B4314" s="9" t="n">
        <v>4312</v>
      </c>
      <c r="C4314" s="10" t="inlineStr">
        <is>
          <t>[Liobank] Chuyên viên cao cấp Quản lý phân khúc khách hàng</t>
        </is>
      </c>
      <c r="D4314" s="10" t="inlineStr">
        <is>
          <t>Ngân Hàng TMCP Phương Đông - OCB</t>
        </is>
      </c>
      <c r="E4314" s="10" t="inlineStr">
        <is>
          <t>Lương:Cạnh tranh</t>
        </is>
      </c>
      <c r="F4314" s="10" t="inlineStr">
        <is>
          <t>Hồ Chí Minh</t>
        </is>
      </c>
      <c r="G4314" s="10" t="inlineStr">
        <is>
          <t>06-04-2026</t>
        </is>
      </c>
      <c r="H4314" s="10" t="inlineStr">
        <is>
          <t>06/04/2026</t>
        </is>
      </c>
      <c r="I4314" s="10" t="inlineStr">
        <is>
          <t>17/03/2026</t>
        </is>
      </c>
      <c r="J4314" s="10" t="inlineStr">
        <is>
          <t>Ngân hàng, Tài chính / Đầu tư</t>
        </is>
      </c>
      <c r="K4314" s="10" t="inlineStr">
        <is>
          <t>2 - 3 Năm</t>
        </is>
      </c>
      <c r="L4314" s="11">
        <f>HYPERLINK("https://careerviet.vn/vi/tim-viec-lam/liobank-chuyen-vien-cao-cap-quan-ly-phan-khuc-khach-hang.35C67B1C.html","Xem chi tiết")</f>
        <v/>
      </c>
      <c r="M4314" s="10" t="n"/>
    </row>
    <row r="4315">
      <c r="B4315" s="7" t="n">
        <v>4313</v>
      </c>
      <c r="C4315" t="inlineStr">
        <is>
          <t>Digital Lending Solution Manager</t>
        </is>
      </c>
      <c r="D4315" t="inlineStr">
        <is>
          <t>Ngân Hàng TMCP Quốc Tế Việt Nam</t>
        </is>
      </c>
      <c r="E4315" t="inlineStr">
        <is>
          <t>Lương:Cạnh tranh</t>
        </is>
      </c>
      <c r="F4315" t="inlineStr">
        <is>
          <t>Hồ Chí Minh</t>
        </is>
      </c>
      <c r="G4315" t="inlineStr">
        <is>
          <t>06-04-2026</t>
        </is>
      </c>
      <c r="H4315" t="inlineStr">
        <is>
          <t>06/04/2026</t>
        </is>
      </c>
      <c r="I4315" t="inlineStr">
        <is>
          <t>17/03/2026</t>
        </is>
      </c>
      <c r="J4315" t="inlineStr">
        <is>
          <t>Ngân hàng</t>
        </is>
      </c>
      <c r="K4315" t="inlineStr">
        <is>
          <t>3 - 5 Năm</t>
        </is>
      </c>
      <c r="L4315" s="8">
        <f>HYPERLINK("https://careerviet.vn/vi/tim-viec-lam/digital-lending-solution-manager.35C64B8A.html","Xem chi tiết")</f>
        <v/>
      </c>
    </row>
    <row r="4316">
      <c r="B4316" s="9" t="n">
        <v>4314</v>
      </c>
      <c r="C4316" s="10" t="inlineStr">
        <is>
          <t>Nhân Viên Vận Hành Máy</t>
        </is>
      </c>
      <c r="D4316" s="10" t="inlineStr">
        <is>
          <t>SCHAEFFLER VIETNAM CO., LTD</t>
        </is>
      </c>
      <c r="E4316" s="10" t="inlineStr">
        <is>
          <t>Lương:Cạnh tranh</t>
        </is>
      </c>
      <c r="F4316" s="10" t="inlineStr">
        <is>
          <t>Đồng Nai</t>
        </is>
      </c>
      <c r="G4316" s="10" t="inlineStr">
        <is>
          <t>06-04-2026</t>
        </is>
      </c>
      <c r="H4316" s="10" t="inlineStr">
        <is>
          <t>06/04/2026</t>
        </is>
      </c>
      <c r="I4316" s="10" t="inlineStr">
        <is>
          <t>17/03/2026</t>
        </is>
      </c>
      <c r="J4316" s="10" t="inlineStr">
        <is>
          <t>Cơ khí / Ô tô / Tự động hóa, Bảo trì / Sửa chữa, Sản xuất / Vận hành sản xuất</t>
        </is>
      </c>
      <c r="K4316" s="10" t="inlineStr">
        <is>
          <t>1 - 5 Năm</t>
        </is>
      </c>
      <c r="L4316" s="11">
        <f>HYPERLINK("https://careerviet.vn/vi/tim-viec-lam/nhan-vien-van-hanh-may.35C4B6F9.html","Xem chi tiết")</f>
        <v/>
      </c>
      <c r="M4316" s="10" t="n"/>
    </row>
    <row r="4317">
      <c r="B4317" s="7" t="n">
        <v>4315</v>
      </c>
      <c r="C4317" t="inlineStr">
        <is>
          <t>Data Translator</t>
        </is>
      </c>
      <c r="D4317" t="inlineStr">
        <is>
          <t>Ngân Hàng TMCP Quốc Tế Việt Nam</t>
        </is>
      </c>
      <c r="E4317" t="inlineStr">
        <is>
          <t>Lương:Cạnh tranh</t>
        </is>
      </c>
      <c r="F4317" t="inlineStr">
        <is>
          <t>Hồ Chí Minh</t>
        </is>
      </c>
      <c r="G4317" t="inlineStr">
        <is>
          <t>06-04-2026</t>
        </is>
      </c>
      <c r="H4317" t="inlineStr">
        <is>
          <t>06/04/2026</t>
        </is>
      </c>
      <c r="I4317" t="inlineStr">
        <is>
          <t>17/03/2026</t>
        </is>
      </c>
      <c r="J4317" t="inlineStr">
        <is>
          <t>CNTT - Phần mềm</t>
        </is>
      </c>
      <c r="K4317" t="inlineStr">
        <is>
          <t>2 - 7 Năm</t>
        </is>
      </c>
      <c r="L4317" s="8">
        <f>HYPERLINK("https://careerviet.vn/vi/tim-viec-lam/data-translator.35C67BE1.html","Xem chi tiết")</f>
        <v/>
      </c>
    </row>
    <row r="4318">
      <c r="B4318" s="9" t="n">
        <v>4316</v>
      </c>
      <c r="C4318" s="10" t="inlineStr">
        <is>
          <t>Điều hành kiểm tra chất lượng</t>
        </is>
      </c>
      <c r="D4318" s="10" t="inlineStr">
        <is>
          <t>CÔNG TY TNHH DENIS G.M.</t>
        </is>
      </c>
      <c r="E4318" s="10" t="inlineStr">
        <is>
          <t>Lương:Cạnh tranh</t>
        </is>
      </c>
      <c r="F4318" s="10" t="inlineStr">
        <is>
          <t>Bình Dương</t>
        </is>
      </c>
      <c r="G4318" s="10" t="inlineStr">
        <is>
          <t>06-04-2026</t>
        </is>
      </c>
      <c r="H4318" s="10" t="inlineStr">
        <is>
          <t>06/04/2026</t>
        </is>
      </c>
      <c r="I4318" s="10" t="inlineStr">
        <is>
          <t>17/03/2026</t>
        </is>
      </c>
      <c r="J4318" s="10" t="inlineStr">
        <is>
          <t>Thực phẩm &amp; Đồ uống, Quản lý điều hành, Công nghệ thực phẩm / Dinh dưỡng</t>
        </is>
      </c>
      <c r="K4318" s="10" t="inlineStr">
        <is>
          <t>3 - 5 Năm</t>
        </is>
      </c>
      <c r="L4318" s="11">
        <f>HYPERLINK("https://careerviet.vn/vi/tim-viec-lam/dieu-hanh-kiem-tra-chat-luong.35C67B1A.html","Xem chi tiết")</f>
        <v/>
      </c>
      <c r="M4318" s="10" t="n"/>
    </row>
    <row r="4319">
      <c r="B4319" s="7" t="n">
        <v>4317</v>
      </c>
      <c r="C4319" t="inlineStr">
        <is>
          <t>Chuyên viên cung ứng vật tư</t>
        </is>
      </c>
      <c r="D4319" t="inlineStr">
        <is>
          <t>Công Ty Cổ Phần Xây Dựng CDC</t>
        </is>
      </c>
      <c r="E4319" t="inlineStr">
        <is>
          <t>Lương:12 Tr - 18 Tr VND</t>
        </is>
      </c>
      <c r="F4319" t="inlineStr">
        <is>
          <t>Hà Nội</t>
        </is>
      </c>
      <c r="G4319" t="inlineStr">
        <is>
          <t>06-04-2026</t>
        </is>
      </c>
      <c r="H4319" t="inlineStr">
        <is>
          <t>06/04/2026</t>
        </is>
      </c>
      <c r="I4319" t="inlineStr">
        <is>
          <t>17/03/2026</t>
        </is>
      </c>
      <c r="J4319" t="inlineStr">
        <is>
          <t>Xây dựng</t>
        </is>
      </c>
      <c r="K4319" t="inlineStr">
        <is>
          <t>2 - 5 Năm</t>
        </is>
      </c>
      <c r="L4319" s="8">
        <f>HYPERLINK("https://careerviet.vn/vi/tim-viec-lam/chuyen-vien-cung-ung-vat-tu.35C67BA3.html","Xem chi tiết")</f>
        <v/>
      </c>
    </row>
    <row r="4320">
      <c r="B4320" s="9" t="n">
        <v>4318</v>
      </c>
      <c r="C4320" s="10" t="inlineStr">
        <is>
          <t>THƯ KÝ/ TRỢ LÝ KH - KT - TH</t>
        </is>
      </c>
      <c r="D4320" s="10" t="inlineStr">
        <is>
          <t>TBS Land- Công ty Cổ Phần Đầu Tư Thái Bình</t>
        </is>
      </c>
      <c r="E4320" s="10" t="inlineStr">
        <is>
          <t>Lương:Cạnh tranh</t>
        </is>
      </c>
      <c r="F4320" s="10" t="inlineStr">
        <is>
          <t>Bình Dương</t>
        </is>
      </c>
      <c r="G4320" s="10" t="inlineStr">
        <is>
          <t>06-04-2026</t>
        </is>
      </c>
      <c r="H4320" s="10" t="inlineStr">
        <is>
          <t>06/04/2026</t>
        </is>
      </c>
      <c r="I4320" s="10" t="inlineStr">
        <is>
          <t>17/03/2026</t>
        </is>
      </c>
      <c r="J4320" s="10" t="inlineStr">
        <is>
          <t>Xây dựng, Bất động sản</t>
        </is>
      </c>
      <c r="K4320" s="10" t="inlineStr">
        <is>
          <t>5 - 7 Năm</t>
        </is>
      </c>
      <c r="L4320" s="11">
        <f>HYPERLINK("https://careerviet.vn/vi/tim-viec-lam/thu-ky-tro-ly-kh-kt-th.35C64AF1.html","Xem chi tiết")</f>
        <v/>
      </c>
      <c r="M4320" s="10" t="n"/>
    </row>
    <row r="4321">
      <c r="B4321" s="7" t="n">
        <v>4319</v>
      </c>
      <c r="C4321" t="inlineStr">
        <is>
          <t>Chuyên viên Cao cấp Quản lý quan hệ khách hàng tiểu thương - RM Household (Khu vực Hà Nội, Bắc Ninh, Thái Nguyên)</t>
        </is>
      </c>
      <c r="D4321" t="inlineStr">
        <is>
          <t>NGÂN HÀNG TMCP KỸ THƯƠNG VIỆT NAM (TECHCOMBANK)</t>
        </is>
      </c>
      <c r="E4321" t="inlineStr">
        <is>
          <t>Lương:Cạnh tranh</t>
        </is>
      </c>
      <c r="F4321" t="inlineStr">
        <is>
          <t>Hà NộiThái NguyênBắc Ninh</t>
        </is>
      </c>
      <c r="G4321" t="inlineStr">
        <is>
          <t>06-04-2026</t>
        </is>
      </c>
      <c r="H4321" t="inlineStr">
        <is>
          <t>06/04/2026</t>
        </is>
      </c>
      <c r="I4321" t="inlineStr">
        <is>
          <t>17/03/2026</t>
        </is>
      </c>
      <c r="J4321" t="inlineStr">
        <is>
          <t>Ngân hàng, Bán hàng / Kinh doanh, Dịch vụ khách hàng</t>
        </is>
      </c>
      <c r="K4321" t="inlineStr">
        <is>
          <t>Trên 2 Năm</t>
        </is>
      </c>
      <c r="L4321" s="8">
        <f>HYPERLINK("https://careerviet.vn/vi/tim-viec-lam/chuyen-vien-cao-cap-quan-ly-quan-he-khach-hang-tieu-thuong-rm-household-khu-vuc-ha-noi-bac-ninh-thai-nguyen.35C64C12.html","Xem chi tiết")</f>
        <v/>
      </c>
    </row>
    <row r="4322">
      <c r="B4322" s="9" t="n">
        <v>4320</v>
      </c>
      <c r="C4322" s="10" t="inlineStr">
        <is>
          <t>IT Support</t>
        </is>
      </c>
      <c r="D4322" s="10" t="inlineStr">
        <is>
          <t>CÔNG TY TNHH SOLUM VINA HCMC</t>
        </is>
      </c>
      <c r="E4322" s="10" t="inlineStr">
        <is>
          <t>Lương:Cạnh tranh</t>
        </is>
      </c>
      <c r="F4322" s="10" t="inlineStr">
        <is>
          <t>Hà Nội</t>
        </is>
      </c>
      <c r="G4322" s="10" t="inlineStr">
        <is>
          <t>06-04-2026</t>
        </is>
      </c>
      <c r="H4322" s="10" t="inlineStr">
        <is>
          <t>06/04/2026</t>
        </is>
      </c>
      <c r="I4322" s="10" t="inlineStr">
        <is>
          <t>17/03/2026</t>
        </is>
      </c>
      <c r="J4322" s="10" t="inlineStr">
        <is>
          <t>Bảo trì / Sửa chữa, CNTT - Phần mềm, CNTT - Phần cứng / Mạng</t>
        </is>
      </c>
      <c r="K4322" s="10" t="inlineStr">
        <is>
          <t>1 - 2 Năm</t>
        </is>
      </c>
      <c r="L4322" s="11">
        <f>HYPERLINK("https://careerviet.vn/vi/tim-viec-lam/it-support.35C64ABB.html","Xem chi tiết")</f>
        <v/>
      </c>
      <c r="M4322" s="10" t="n"/>
    </row>
    <row r="4323">
      <c r="B4323" s="7" t="n">
        <v>4321</v>
      </c>
      <c r="C4323" t="inlineStr">
        <is>
          <t>Quản Lý Khách Hàng Cao Cấp - Khách Hàng Doanh Nghiệp</t>
        </is>
      </c>
      <c r="D4323" t="inlineStr">
        <is>
          <t>Ngân Hàng TMCP Quốc Tế Việt Nam</t>
        </is>
      </c>
      <c r="E4323" t="inlineStr">
        <is>
          <t>Lương:20 Tr - 40 Tr VND</t>
        </is>
      </c>
      <c r="F4323" t="inlineStr">
        <is>
          <t>Hà Nội</t>
        </is>
      </c>
      <c r="G4323" t="inlineStr">
        <is>
          <t>06-04-2026</t>
        </is>
      </c>
      <c r="H4323" t="inlineStr">
        <is>
          <t>06/04/2026</t>
        </is>
      </c>
      <c r="I4323" t="inlineStr">
        <is>
          <t>17/03/2026</t>
        </is>
      </c>
      <c r="J4323" t="inlineStr">
        <is>
          <t>Ngân hàng, Tài chính / Đầu tư</t>
        </is>
      </c>
      <c r="K4323" t="inlineStr">
        <is>
          <t>Lên đến 1 Năm</t>
        </is>
      </c>
      <c r="L4323" s="8">
        <f>HYPERLINK("https://careerviet.vn/vi/tim-viec-lam/quan-ly-khach-hang-cao-cap-khach-hang-doanh-nghiep.35C64B7D.html","Xem chi tiết")</f>
        <v/>
      </c>
    </row>
    <row r="4324">
      <c r="B4324" s="9" t="n">
        <v>4322</v>
      </c>
      <c r="C4324" s="10" t="inlineStr">
        <is>
          <t>HSE Executive - Nhân viên An toàn lao động</t>
        </is>
      </c>
      <c r="D4324" s="10" t="inlineStr">
        <is>
          <t>Công Ty TNHH Hon Chuan Việt Nam</t>
        </is>
      </c>
      <c r="E4324" s="10" t="inlineStr">
        <is>
          <t>Lương:Cạnh tranh</t>
        </is>
      </c>
      <c r="F4324" s="10" t="inlineStr">
        <is>
          <t>Bình Dương</t>
        </is>
      </c>
      <c r="G4324" s="10" t="inlineStr">
        <is>
          <t>06-04-2026</t>
        </is>
      </c>
      <c r="H4324" s="10" t="inlineStr">
        <is>
          <t>06/04/2026</t>
        </is>
      </c>
      <c r="I4324" s="10" t="inlineStr">
        <is>
          <t>17/03/2026</t>
        </is>
      </c>
      <c r="J4324" s="10" t="inlineStr">
        <is>
          <t>An toàn lao động, Quản lý chất lượng (QA/QC), Sản xuất / Vận hành sản xuất</t>
        </is>
      </c>
      <c r="K4324" s="10" t="inlineStr">
        <is>
          <t>Trên 1 Năm</t>
        </is>
      </c>
      <c r="L4324" s="11">
        <f>HYPERLINK("https://careerviet.vn/vi/tim-viec-lam/hse-executive-nhan-vien-an-toan-lao-dong.35C67C0C.html","Xem chi tiết")</f>
        <v/>
      </c>
      <c r="M4324" s="10" t="n"/>
    </row>
    <row r="4325">
      <c r="B4325" s="7" t="n">
        <v>4323</v>
      </c>
      <c r="C4325" t="inlineStr">
        <is>
          <t>Giám đốc Quản lý Khách hàng ưu tiên - Vùng Nam Trung Bộ</t>
        </is>
      </c>
      <c r="D4325" t="inlineStr">
        <is>
          <t>Ngân Hàng TMCP Quốc Tế Việt Nam</t>
        </is>
      </c>
      <c r="E4325" t="inlineStr">
        <is>
          <t>Lương:15 Tr - 30 Tr VND</t>
        </is>
      </c>
      <c r="F4325" t="inlineStr">
        <is>
          <t>Khánh HòaBà Rịa - Vũng TàuĐồng Nai</t>
        </is>
      </c>
      <c r="G4325" t="inlineStr">
        <is>
          <t>06-04-2026</t>
        </is>
      </c>
      <c r="H4325" t="inlineStr">
        <is>
          <t>06/04/2026</t>
        </is>
      </c>
      <c r="I4325" t="inlineStr">
        <is>
          <t>17/03/2026</t>
        </is>
      </c>
      <c r="J4325" t="inlineStr">
        <is>
          <t>Ngân hàng, Bảo hiểm, Bất động sản</t>
        </is>
      </c>
      <c r="K4325" t="inlineStr">
        <is>
          <t>1 - 7 Năm</t>
        </is>
      </c>
      <c r="L4325" s="8">
        <f>HYPERLINK("https://careerviet.vn/vi/tim-viec-lam/giam-doc-quan-ly-khach-hang-uu-tien-vung-nam-trung-bo.35C64AE9.html","Xem chi tiết")</f>
        <v/>
      </c>
    </row>
    <row r="4326">
      <c r="B4326" s="9" t="n">
        <v>4324</v>
      </c>
      <c r="C4326" s="10" t="inlineStr">
        <is>
          <t>Chuyên gia nghiên cứu và phát triển sản phẩm tín dụng - Khối Khách hàng doanh nghiệp</t>
        </is>
      </c>
      <c r="D4326" s="10" t="inlineStr">
        <is>
          <t>Ngân hàng TMCP Đại Chúng Việt Nam - PVcomBank</t>
        </is>
      </c>
      <c r="E4326" s="10" t="inlineStr">
        <is>
          <t>Lương:Cạnh tranh</t>
        </is>
      </c>
      <c r="F4326" s="10" t="inlineStr">
        <is>
          <t>Hà Nội</t>
        </is>
      </c>
      <c r="G4326" s="10" t="inlineStr">
        <is>
          <t>06-04-2026</t>
        </is>
      </c>
      <c r="H4326" s="10" t="inlineStr">
        <is>
          <t>06/04/2026</t>
        </is>
      </c>
      <c r="I4326" s="10" t="inlineStr">
        <is>
          <t>17/03/2026</t>
        </is>
      </c>
      <c r="J4326" s="10" t="inlineStr">
        <is>
          <t>Ngân hàng, Tài chính / Đầu tư</t>
        </is>
      </c>
      <c r="K4326" s="10" t="inlineStr">
        <is>
          <t>3 - 10 Năm</t>
        </is>
      </c>
      <c r="L4326" s="11">
        <f>HYPERLINK("https://careerviet.vn/vi/tim-viec-lam/chuyen-gia-nghien-cuu-va-phat-trien-san-pham-tin-dung-khoi-khach-hang-doanh-nghiep.35C64BC2.html","Xem chi tiết")</f>
        <v/>
      </c>
      <c r="M4326" s="10" t="n"/>
    </row>
    <row r="4327">
      <c r="B4327" s="7" t="n">
        <v>4325</v>
      </c>
      <c r="C4327" t="inlineStr">
        <is>
          <t>Unilever - Sale Supervisor</t>
        </is>
      </c>
      <c r="D4327" t="inlineStr">
        <is>
          <t>Unilever Vietnam International</t>
        </is>
      </c>
      <c r="E4327" t="inlineStr">
        <is>
          <t>Lương:23 Tr - 35 Tr VND</t>
        </is>
      </c>
      <c r="F4327" t="inlineStr">
        <is>
          <t>Philippines</t>
        </is>
      </c>
      <c r="G4327" t="inlineStr">
        <is>
          <t>06-04-2026</t>
        </is>
      </c>
      <c r="H4327" t="inlineStr">
        <is>
          <t>06/04/2026</t>
        </is>
      </c>
      <c r="I4327" t="inlineStr">
        <is>
          <t>17/03/2026</t>
        </is>
      </c>
      <c r="J4327" t="inlineStr">
        <is>
          <t>Bán lẻ / Bán sỉBằng cấpCao đẳngĐộ tuổiKhông giới hạn tuổi</t>
        </is>
      </c>
      <c r="K4327" t="inlineStr">
        <is>
          <t>N/A</t>
        </is>
      </c>
      <c r="L4327" s="8">
        <f>HYPERLINK("https://careerviet.vn/vi/tim-viec-lam/unilever-sale-supervisor.35C67794.html","Xem chi tiết")</f>
        <v/>
      </c>
    </row>
    <row r="4328">
      <c r="B4328" s="9" t="n">
        <v>4326</v>
      </c>
      <c r="C4328" s="10" t="inlineStr">
        <is>
          <t>Nhân Viên Bảo Trì Điện &amp; Cơ Khí</t>
        </is>
      </c>
      <c r="D4328" s="10" t="inlineStr">
        <is>
          <t>Công Ty TNHH Hóa Chất PSC Việt Nam</t>
        </is>
      </c>
      <c r="E4328" s="10" t="inlineStr">
        <is>
          <t>Lương:10 Tr - 14 Tr VND</t>
        </is>
      </c>
      <c r="F4328" s="10" t="inlineStr">
        <is>
          <t>Bình Dương</t>
        </is>
      </c>
      <c r="G4328" s="10" t="inlineStr">
        <is>
          <t>06-04-2026</t>
        </is>
      </c>
      <c r="H4328" s="10" t="inlineStr">
        <is>
          <t>06/04/2026</t>
        </is>
      </c>
      <c r="I4328" s="10" t="inlineStr">
        <is>
          <t>17/03/2026</t>
        </is>
      </c>
      <c r="J4328" s="10" t="inlineStr">
        <is>
          <t>Điện / Điện tử / Điện lạnh / Điện công nghiệp, Bảo trì / Sửa chữa, Hóa học</t>
        </is>
      </c>
      <c r="K4328" s="10" t="inlineStr">
        <is>
          <t>1 - 3 Năm</t>
        </is>
      </c>
      <c r="L4328" s="11">
        <f>HYPERLINK("https://careerviet.vn/vi/tim-viec-lam/nhan-vien-bao-tri-dien-co-khi.35C67AE2.html","Xem chi tiết")</f>
        <v/>
      </c>
      <c r="M4328" s="10" t="n"/>
    </row>
    <row r="4329">
      <c r="B4329" s="7" t="n">
        <v>4327</v>
      </c>
      <c r="C4329" t="inlineStr">
        <is>
          <t>Wind Farm Maintenance Engineer (Mekong Delta)</t>
        </is>
      </c>
      <c r="D4329" t="inlineStr">
        <is>
          <t>GOLDWIND INTERNATIONAL VIETNAM</t>
        </is>
      </c>
      <c r="E4329" t="inlineStr">
        <is>
          <t>Lương:Cạnh tranh</t>
        </is>
      </c>
      <c r="F4329" t="inlineStr">
        <is>
          <t>Bạc Liêu</t>
        </is>
      </c>
      <c r="G4329" t="inlineStr">
        <is>
          <t>06-04-2026</t>
        </is>
      </c>
      <c r="H4329" t="inlineStr">
        <is>
          <t>06/04/2026</t>
        </is>
      </c>
      <c r="I4329" t="inlineStr">
        <is>
          <t>17/03/2026</t>
        </is>
      </c>
      <c r="J4329" t="inlineStr">
        <is>
          <t>Điện / Điện tử / Điện lạnh / Điện công nghiệp, Bảo trì / Sửa chữa</t>
        </is>
      </c>
      <c r="K4329" t="inlineStr">
        <is>
          <t>1 - 3 Năm</t>
        </is>
      </c>
      <c r="L4329" s="8">
        <f>HYPERLINK("https://careerviet.vn/vi/tim-viec-lam/wind-farm-maintenance-engineer-mekong-delta.35C67AC3.html","Xem chi tiết")</f>
        <v/>
      </c>
    </row>
    <row r="4330">
      <c r="B4330" s="9" t="n">
        <v>4328</v>
      </c>
      <c r="C4330" s="10" t="inlineStr">
        <is>
          <t>Inventor technical</t>
        </is>
      </c>
      <c r="D4330" s="10" t="inlineStr">
        <is>
          <t>Phuc Thang Fine Furniture</t>
        </is>
      </c>
      <c r="E4330" s="10" t="inlineStr">
        <is>
          <t>Lương:Cạnh tranh</t>
        </is>
      </c>
      <c r="F4330" s="10" t="inlineStr">
        <is>
          <t>Bình Dương</t>
        </is>
      </c>
      <c r="G4330" s="10" t="inlineStr">
        <is>
          <t>06-04-2026</t>
        </is>
      </c>
      <c r="H4330" s="10" t="inlineStr">
        <is>
          <t>06/04/2026</t>
        </is>
      </c>
      <c r="I4330" s="10" t="inlineStr">
        <is>
          <t>17/03/2026</t>
        </is>
      </c>
      <c r="J4330" s="10" t="inlineStr">
        <is>
          <t>Mỹ thuật / Nghệ thuật / Thiết kế, Đồ gỗ, Nội ngoại thất</t>
        </is>
      </c>
      <c r="K4330" s="10" t="inlineStr">
        <is>
          <t>2 - 10 Năm</t>
        </is>
      </c>
      <c r="L4330" s="11">
        <f>HYPERLINK("https://careerviet.vn/vi/tim-viec-lam/inventor-technical.35C67B4D.html","Xem chi tiết")</f>
        <v/>
      </c>
      <c r="M4330" s="10" t="n"/>
    </row>
    <row r="4331">
      <c r="B4331" s="7" t="n">
        <v>4329</v>
      </c>
      <c r="C4331" t="inlineStr">
        <is>
          <t>Chuyên viên vận hành dự án CNTT</t>
        </is>
      </c>
      <c r="D4331" t="inlineStr">
        <is>
          <t>Công ty CP IIG Việt Nam</t>
        </is>
      </c>
      <c r="E4331" t="inlineStr">
        <is>
          <t>Lương:15 Tr - 17 Tr VND</t>
        </is>
      </c>
      <c r="F4331" t="inlineStr">
        <is>
          <t>Hà Nội</t>
        </is>
      </c>
      <c r="G4331" t="inlineStr">
        <is>
          <t>06-04-2026</t>
        </is>
      </c>
      <c r="H4331" t="inlineStr">
        <is>
          <t>06/04/2026</t>
        </is>
      </c>
      <c r="I4331" t="inlineStr">
        <is>
          <t>17/03/2026</t>
        </is>
      </c>
      <c r="J4331" t="inlineStr">
        <is>
          <t>Giáo dục / Đào tạo, CNTT - Phần mềm, CNTT - Phần cứng / Mạng</t>
        </is>
      </c>
      <c r="K4331" t="inlineStr">
        <is>
          <t>1 - 2 Năm</t>
        </is>
      </c>
      <c r="L4331" s="8">
        <f>HYPERLINK("https://careerviet.vn/vi/tim-viec-lam/chuyen-vien-van-hanh-du-an-cntt.35C64A82.html","Xem chi tiết")</f>
        <v/>
      </c>
    </row>
    <row r="4332">
      <c r="B4332" s="9" t="n">
        <v>4330</v>
      </c>
      <c r="C4332" s="10" t="inlineStr">
        <is>
          <t>Kế toán tổng hợp</t>
        </is>
      </c>
      <c r="D4332" s="10" t="inlineStr">
        <is>
          <t>Công Ty TNHH TM &amp; XNK Nhất Lâm</t>
        </is>
      </c>
      <c r="E4332" s="10" t="inlineStr">
        <is>
          <t>Lương:15 Tr - 19 Tr VND</t>
        </is>
      </c>
      <c r="F4332" s="10" t="inlineStr">
        <is>
          <t>Hà Nội</t>
        </is>
      </c>
      <c r="G4332" s="10" t="inlineStr">
        <is>
          <t>06-04-2026</t>
        </is>
      </c>
      <c r="H4332" s="10" t="inlineStr">
        <is>
          <t>06/04/2026</t>
        </is>
      </c>
      <c r="I4332" s="10" t="inlineStr">
        <is>
          <t>17/03/2026</t>
        </is>
      </c>
      <c r="J4332" s="10" t="inlineStr">
        <is>
          <t>Kế toán / Kiểm toán</t>
        </is>
      </c>
      <c r="K4332" s="10" t="inlineStr">
        <is>
          <t>1 - 3 Năm</t>
        </is>
      </c>
      <c r="L4332" s="11">
        <f>HYPERLINK("https://careerviet.vn/vi/tim-viec-lam/ke-toan-tong-hop.35C64A9C.html","Xem chi tiết")</f>
        <v/>
      </c>
      <c r="M4332" s="10" t="n"/>
    </row>
    <row r="4333">
      <c r="B4333" s="7" t="n">
        <v>4331</v>
      </c>
      <c r="C4333" t="inlineStr">
        <is>
          <t>Trưởng Phòng Kinh Doanh</t>
        </is>
      </c>
      <c r="D4333" t="inlineStr">
        <is>
          <t>OSEVEN Corp</t>
        </is>
      </c>
      <c r="E4333" t="inlineStr">
        <is>
          <t>Lương:Cạnh tranh</t>
        </is>
      </c>
      <c r="F4333" t="inlineStr">
        <is>
          <t>Hồ Chí Minh</t>
        </is>
      </c>
      <c r="G4333" t="inlineStr">
        <is>
          <t>06-04-2026</t>
        </is>
      </c>
      <c r="H4333" t="inlineStr">
        <is>
          <t>06/04/2026</t>
        </is>
      </c>
      <c r="I4333" t="inlineStr">
        <is>
          <t>17/03/2026</t>
        </is>
      </c>
      <c r="J4333" t="inlineStr">
        <is>
          <t>Bán lẻ / Bán sỉ, Bán hàng / Kinh doanh, Tiếp thị trực tuyến</t>
        </is>
      </c>
      <c r="K4333" t="inlineStr">
        <is>
          <t>N/A</t>
        </is>
      </c>
      <c r="L4333" s="8">
        <f>HYPERLINK("https://careerviet.vn/vi/tim-viec-lam/truong-phong-kinh-doanh.35C67BAD.html","Xem chi tiết")</f>
        <v/>
      </c>
    </row>
    <row r="4334">
      <c r="B4334" s="9" t="n">
        <v>4332</v>
      </c>
      <c r="C4334" s="10" t="inlineStr">
        <is>
          <t>Facility Engineer - Electrical background</t>
        </is>
      </c>
      <c r="D4334" s="10" t="inlineStr">
        <is>
          <t>Techtronic Industries Vietnam Manufacturing Company Limited</t>
        </is>
      </c>
      <c r="E4334" s="10" t="inlineStr">
        <is>
          <t>Lương:Cạnh tranh</t>
        </is>
      </c>
      <c r="F4334" s="10" t="inlineStr">
        <is>
          <t>Hồ Chí Minh</t>
        </is>
      </c>
      <c r="G4334" s="10" t="inlineStr">
        <is>
          <t>06-04-2026</t>
        </is>
      </c>
      <c r="H4334" s="10" t="inlineStr">
        <is>
          <t>06/04/2026</t>
        </is>
      </c>
      <c r="I4334" s="10" t="inlineStr">
        <is>
          <t>17/03/2026</t>
        </is>
      </c>
      <c r="J4334" s="10" t="inlineStr">
        <is>
          <t>Sản xuất / Vận hành sản xuất, Xây dựng, Điện / Điện tử / Điện lạnh / Điện công nghiệp</t>
        </is>
      </c>
      <c r="K4334" s="10" t="inlineStr">
        <is>
          <t>3 - 7 Năm</t>
        </is>
      </c>
      <c r="L4334" s="11">
        <f>HYPERLINK("https://careerviet.vn/vi/tim-viec-lam/facility-engineer-electrical-background.35C67BF6.html","Xem chi tiết")</f>
        <v/>
      </c>
      <c r="M4334" s="10" t="n"/>
    </row>
    <row r="4335">
      <c r="B4335" s="7" t="n">
        <v>4333</v>
      </c>
      <c r="C4335" t="inlineStr">
        <is>
          <t>Sale Staff</t>
        </is>
      </c>
      <c r="D4335" t="inlineStr">
        <is>
          <t>Công Ty TNHH Hon Chuan Việt Nam</t>
        </is>
      </c>
      <c r="E4335" t="inlineStr">
        <is>
          <t>Lương:10 Tr - 20 Tr VND</t>
        </is>
      </c>
      <c r="F4335" t="inlineStr">
        <is>
          <t>Bình Dương</t>
        </is>
      </c>
      <c r="G4335" t="inlineStr">
        <is>
          <t>06-04-2026</t>
        </is>
      </c>
      <c r="H4335" t="inlineStr">
        <is>
          <t>06/04/2026</t>
        </is>
      </c>
      <c r="I4335" t="inlineStr">
        <is>
          <t>17/03/2026</t>
        </is>
      </c>
      <c r="J4335" t="inlineStr">
        <is>
          <t>Tiếp thị / Marketing, Bán lẻ / Bán sỉ, Bán hàng / Kinh doanh</t>
        </is>
      </c>
      <c r="K4335" t="inlineStr">
        <is>
          <t>N/A</t>
        </is>
      </c>
      <c r="L4335" s="8">
        <f>HYPERLINK("https://careerviet.vn/vi/tim-viec-lam/sale-staff.35C67BEE.html","Xem chi tiết")</f>
        <v/>
      </c>
    </row>
    <row r="4336">
      <c r="B4336" s="9" t="n">
        <v>4334</v>
      </c>
      <c r="C4336" s="10" t="inlineStr">
        <is>
          <t>[NINH THUẬN] - CHỈ HUY PHÓ NỘI THẤT</t>
        </is>
      </c>
      <c r="D4336" s="10" t="inlineStr">
        <is>
          <t>CÔNG TY CP TẬP ĐOÀN ĐẦU TƯ HOÀNG GIA VIỆT NAM</t>
        </is>
      </c>
      <c r="E4336" s="10" t="inlineStr">
        <is>
          <t>Lương:Cạnh tranh</t>
        </is>
      </c>
      <c r="F4336" s="10" t="inlineStr">
        <is>
          <t>Ninh Thuận</t>
        </is>
      </c>
      <c r="G4336" s="10" t="inlineStr">
        <is>
          <t>06-04-2026</t>
        </is>
      </c>
      <c r="H4336" s="10" t="inlineStr">
        <is>
          <t>06/04/2026</t>
        </is>
      </c>
      <c r="I4336" s="10" t="inlineStr">
        <is>
          <t>17/03/2026</t>
        </is>
      </c>
      <c r="J4336" s="10" t="inlineStr">
        <is>
          <t>Xây dựng</t>
        </is>
      </c>
      <c r="K4336" s="10" t="inlineStr">
        <is>
          <t>7 - 10 Năm</t>
        </is>
      </c>
      <c r="L4336" s="11">
        <f>HYPERLINK("https://careerviet.vn/vi/tim-viec-lam/ninh-thuan-chi-huy-pho-noi-that.35C67BD3.html","Xem chi tiết")</f>
        <v/>
      </c>
      <c r="M4336" s="10" t="n"/>
    </row>
    <row r="4337">
      <c r="B4337" s="7" t="n">
        <v>4335</v>
      </c>
      <c r="C4337" t="inlineStr">
        <is>
          <t>Accounting Specialist (English speaking)</t>
        </is>
      </c>
      <c r="D4337" t="inlineStr">
        <is>
          <t>CÔNG TY TNHH KOI CAFÉ VIỆT NAM</t>
        </is>
      </c>
      <c r="E4337" t="inlineStr">
        <is>
          <t>Lương:14 Tr - 18 Tr VND</t>
        </is>
      </c>
      <c r="F4337" t="inlineStr">
        <is>
          <t>Hồ Chí Minh</t>
        </is>
      </c>
      <c r="G4337" t="inlineStr">
        <is>
          <t>06-04-2026</t>
        </is>
      </c>
      <c r="H4337" t="inlineStr">
        <is>
          <t>06/04/2026</t>
        </is>
      </c>
      <c r="I4337" t="inlineStr">
        <is>
          <t>17/03/2026</t>
        </is>
      </c>
      <c r="J4337" t="inlineStr">
        <is>
          <t>Kế toán / Kiểm toán, Tài chính / Đầu tư</t>
        </is>
      </c>
      <c r="K4337" t="inlineStr">
        <is>
          <t>3 - 5 Năm</t>
        </is>
      </c>
      <c r="L4337" s="8">
        <f>HYPERLINK("https://careerviet.vn/vi/tim-viec-lam/accounting-specialist-english-speaking.35C67C0D.html","Xem chi tiết")</f>
        <v/>
      </c>
    </row>
    <row r="4338">
      <c r="B4338" s="9" t="n">
        <v>4336</v>
      </c>
      <c r="C4338" s="10" t="inlineStr">
        <is>
          <t>Hà Nội - Trưởng Nhóm Bán Hàng Qua Điện Thoại</t>
        </is>
      </c>
      <c r="D4338" s="10" t="inlineStr">
        <is>
          <t>LOTTE FINANCE VIETNAM</t>
        </is>
      </c>
      <c r="E4338" s="10" t="inlineStr">
        <is>
          <t>Lương:Cạnh tranh</t>
        </is>
      </c>
      <c r="F4338" s="10" t="inlineStr">
        <is>
          <t>Hà Nội</t>
        </is>
      </c>
      <c r="G4338" s="10" t="inlineStr">
        <is>
          <t>06-04-2026</t>
        </is>
      </c>
      <c r="H4338" s="10" t="inlineStr">
        <is>
          <t>06/04/2026</t>
        </is>
      </c>
      <c r="I4338" s="10" t="inlineStr">
        <is>
          <t>17/03/2026</t>
        </is>
      </c>
      <c r="J4338" s="10" t="inlineStr">
        <is>
          <t>Bán hàng / Kinh doanh, Ngân hàng, Tài chính / Đầu tư</t>
        </is>
      </c>
      <c r="K4338" s="10" t="inlineStr">
        <is>
          <t>N/A</t>
        </is>
      </c>
      <c r="L4338" s="11">
        <f>HYPERLINK("https://careerviet.vn/vi/tim-viec-lam/ha-noi-truong-nhom-ban-hang-qua-dien-thoai.35C67B69.html","Xem chi tiết")</f>
        <v/>
      </c>
      <c r="M4338" s="10" t="n"/>
    </row>
    <row r="4339">
      <c r="B4339" s="7" t="n">
        <v>4337</v>
      </c>
      <c r="C4339" t="inlineStr">
        <is>
          <t>Nhân Viên Phát Triển Kinh Doanh</t>
        </is>
      </c>
      <c r="D4339" t="inlineStr">
        <is>
          <t>CÔNG TY CỔ PHẦN ĐẦU TƯ VÀ PHÁT TRIỂN CÔNG NGHỆ KAVIDO VIỆT NAM</t>
        </is>
      </c>
      <c r="E4339" t="inlineStr">
        <is>
          <t>Lương:Cạnh tranh</t>
        </is>
      </c>
      <c r="F4339" t="inlineStr">
        <is>
          <t>Hồ Chí Minh</t>
        </is>
      </c>
      <c r="G4339" t="inlineStr">
        <is>
          <t>06-04-2026</t>
        </is>
      </c>
      <c r="H4339" t="inlineStr">
        <is>
          <t>06/04/2026</t>
        </is>
      </c>
      <c r="I4339" t="inlineStr">
        <is>
          <t>17/03/2026</t>
        </is>
      </c>
      <c r="J4339" t="inlineStr">
        <is>
          <t>Bán hàng / Kinh doanh, Dược phẩm/ Hóa Mỹ Phẩm, Y tế / Chăm sóc sức khỏe / Thẩm mỹ / Làm đẹp</t>
        </is>
      </c>
      <c r="K4339" t="inlineStr">
        <is>
          <t>Trên 2 Năm</t>
        </is>
      </c>
      <c r="L4339" s="8">
        <f>HYPERLINK("https://careerviet.vn/vi/tim-viec-lam/nhan-vien-phat-trien-kinh-doanh.35C64B3A.html","Xem chi tiết")</f>
        <v/>
      </c>
    </row>
    <row r="4340">
      <c r="B4340" s="9" t="n">
        <v>4338</v>
      </c>
      <c r="C4340" s="10" t="inlineStr">
        <is>
          <t>Chuyên viên kinh doanh xuất khẩu</t>
        </is>
      </c>
      <c r="D4340" s="10" t="inlineStr">
        <is>
          <t>CÔNG TY CỔ PHẦN CÔNG NGHỆ VÀ THƯƠNG MẠI SYSTECH</t>
        </is>
      </c>
      <c r="E4340" s="10" t="inlineStr">
        <is>
          <t>Lương:15 Tr - 20 Tr VND</t>
        </is>
      </c>
      <c r="F4340" s="10" t="inlineStr">
        <is>
          <t>Hà Nội</t>
        </is>
      </c>
      <c r="G4340" s="10" t="inlineStr">
        <is>
          <t>06-04-2026</t>
        </is>
      </c>
      <c r="H4340" s="10" t="inlineStr">
        <is>
          <t>06/04/2026</t>
        </is>
      </c>
      <c r="I4340" s="10" t="inlineStr">
        <is>
          <t>17/03/2026</t>
        </is>
      </c>
      <c r="J4340" s="10" t="inlineStr">
        <is>
          <t>Bán hàng / Kinh doanh, Tiếp thị trực tuyến, Thương mại điện tử</t>
        </is>
      </c>
      <c r="K4340" s="10" t="inlineStr">
        <is>
          <t>1 - 2 Năm</t>
        </is>
      </c>
      <c r="L4340" s="11">
        <f>HYPERLINK("https://careerviet.vn/vi/tim-viec-lam/chuyen-vien-kinh-doanh-xuat-khau.35C64AE5.html","Xem chi tiết")</f>
        <v/>
      </c>
      <c r="M4340" s="10" t="n"/>
    </row>
    <row r="4341">
      <c r="B4341" s="7" t="n">
        <v>4339</v>
      </c>
      <c r="C4341" t="inlineStr">
        <is>
          <t>GIÁM ĐỐC HÀNH CHÍNH NHÂN SỰ - HỒ CHÍ MINH TIẾNG TRUNG</t>
        </is>
      </c>
      <c r="D4341" t="inlineStr">
        <is>
          <t>CÔNG TY TNHH YIMI J&amp;T CARGO TRANSPORTATION</t>
        </is>
      </c>
      <c r="E4341" t="inlineStr">
        <is>
          <t>Lương:35 Tr - 50 Tr VND</t>
        </is>
      </c>
      <c r="F4341" t="inlineStr">
        <is>
          <t>Hồ Chí Minh</t>
        </is>
      </c>
      <c r="G4341" t="inlineStr">
        <is>
          <t>06-04-2026</t>
        </is>
      </c>
      <c r="H4341" t="inlineStr">
        <is>
          <t>06/04/2026</t>
        </is>
      </c>
      <c r="I4341" t="inlineStr">
        <is>
          <t>17/03/2026</t>
        </is>
      </c>
      <c r="J4341" t="inlineStr">
        <is>
          <t>Vận chuyển / Giao nhận / Kho vận, Nhân sự, Quản lý điều hành</t>
        </is>
      </c>
      <c r="K4341" t="inlineStr">
        <is>
          <t>Trên 3 Năm</t>
        </is>
      </c>
      <c r="L4341" s="8">
        <f>HYPERLINK("https://careerviet.vn/vi/tim-viec-lam/giam-doc-hanh-chinh-nhan-su-ho-chi-minh-tieng-trung.35C67C2A.html","Xem chi tiết")</f>
        <v/>
      </c>
    </row>
    <row r="4342">
      <c r="B4342" s="9" t="n">
        <v>4340</v>
      </c>
      <c r="C4342" s="10" t="inlineStr">
        <is>
          <t>Hiệu trưởng/ Giám đốc cơ sở Trường mầm non</t>
        </is>
      </c>
      <c r="D4342" s="10" t="inlineStr">
        <is>
          <t>CÔNG TY CỔ PHẦN ĐẦU TƯ GIÁO DỤC VIỆT MỸ</t>
        </is>
      </c>
      <c r="E4342" s="10" t="inlineStr">
        <is>
          <t>Lương:30 Tr - 40 Tr VND</t>
        </is>
      </c>
      <c r="F4342" s="10" t="inlineStr">
        <is>
          <t>Hồ Chí Minh</t>
        </is>
      </c>
      <c r="G4342" s="10" t="inlineStr">
        <is>
          <t>06-04-2026</t>
        </is>
      </c>
      <c r="H4342" s="10" t="inlineStr">
        <is>
          <t>06/04/2026</t>
        </is>
      </c>
      <c r="I4342" s="10" t="inlineStr">
        <is>
          <t>17/03/2026</t>
        </is>
      </c>
      <c r="J4342" s="10" t="inlineStr">
        <is>
          <t>Giáo dục / Đào tạo, Quản lý điều hành, Dịch vụ khách hàng</t>
        </is>
      </c>
      <c r="K4342" s="10" t="inlineStr">
        <is>
          <t>3 - 5 Năm</t>
        </is>
      </c>
      <c r="L4342" s="11">
        <f>HYPERLINK("https://careerviet.vn/vi/tim-viec-lam/hieu-truong-giam-doc-co-so-truong-mam-non.35C67B25.html","Xem chi tiết")</f>
        <v/>
      </c>
      <c r="M4342" s="10" t="n"/>
    </row>
    <row r="4343">
      <c r="B4343" s="7" t="n">
        <v>4341</v>
      </c>
      <c r="C4343" t="inlineStr">
        <is>
          <t>Sale Executive</t>
        </is>
      </c>
      <c r="D4343" t="inlineStr">
        <is>
          <t>CÔNG TY CỔ PHẦN CÔNG NGHIỆP THỰC PHẨM THABICO TIỀN GIANG</t>
        </is>
      </c>
      <c r="E4343" t="inlineStr">
        <is>
          <t>Lương:Cạnh tranh</t>
        </is>
      </c>
      <c r="F4343" t="inlineStr">
        <is>
          <t>Tiền Giang</t>
        </is>
      </c>
      <c r="G4343" t="inlineStr">
        <is>
          <t>06-04-2026</t>
        </is>
      </c>
      <c r="H4343" t="inlineStr">
        <is>
          <t>06/04/2026</t>
        </is>
      </c>
      <c r="I4343" t="inlineStr">
        <is>
          <t>17/03/2026</t>
        </is>
      </c>
      <c r="J4343" t="inlineStr">
        <is>
          <t>Bán hàng / Kinh doanh, Bán lẻ / Bán sỉ, Thực phẩm &amp; Đồ uống</t>
        </is>
      </c>
      <c r="K4343" t="inlineStr">
        <is>
          <t>1 - 2 Năm</t>
        </is>
      </c>
      <c r="L4343" s="8">
        <f>HYPERLINK("https://careerviet.vn/vi/tim-viec-lam/sale-executive.35C64A7E.html","Xem chi tiết")</f>
        <v/>
      </c>
    </row>
    <row r="4344">
      <c r="B4344" s="9" t="n">
        <v>4342</v>
      </c>
      <c r="C4344" s="10" t="inlineStr">
        <is>
          <t>Trưởng phòng Khách hàng Cá nhân</t>
        </is>
      </c>
      <c r="D4344" s="10" t="inlineStr">
        <is>
          <t>Ngân Hàng Thương Mại Cổ Phần Bảo Việt</t>
        </is>
      </c>
      <c r="E4344" s="10" t="inlineStr">
        <is>
          <t>Lương:Cạnh tranh</t>
        </is>
      </c>
      <c r="F4344" s="10" t="inlineStr">
        <is>
          <t>Khánh HòaĐà NẵngHà Nội</t>
        </is>
      </c>
      <c r="G4344" s="10" t="inlineStr">
        <is>
          <t>06-04-2026</t>
        </is>
      </c>
      <c r="H4344" s="10" t="inlineStr">
        <is>
          <t>06/04/2026</t>
        </is>
      </c>
      <c r="I4344" s="10" t="inlineStr">
        <is>
          <t>17/03/2026</t>
        </is>
      </c>
      <c r="J4344" s="10" t="inlineStr">
        <is>
          <t>Ngân hàng</t>
        </is>
      </c>
      <c r="K4344" s="10" t="inlineStr">
        <is>
          <t>3 - 6 Năm</t>
        </is>
      </c>
      <c r="L4344" s="11">
        <f>HYPERLINK("https://careerviet.vn/vi/tim-viec-lam/truong-phong-khach-hang-ca-nhan.35C67BD6.html","Xem chi tiết")</f>
        <v/>
      </c>
      <c r="M4344" s="10" t="n"/>
    </row>
    <row r="4345">
      <c r="B4345" s="7" t="n">
        <v>4343</v>
      </c>
      <c r="C4345" t="inlineStr">
        <is>
          <t>Trưởng Phòng Quản Lý Chuỗi Cung Ứng</t>
        </is>
      </c>
      <c r="D4345" t="inlineStr">
        <is>
          <t>Tập Đoàn Kim Tín</t>
        </is>
      </c>
      <c r="E4345" t="inlineStr">
        <is>
          <t>Lương:Cạnh tranh</t>
        </is>
      </c>
      <c r="F4345" t="inlineStr">
        <is>
          <t>Bình Phước</t>
        </is>
      </c>
      <c r="G4345" t="inlineStr">
        <is>
          <t>06-04-2026</t>
        </is>
      </c>
      <c r="H4345" t="inlineStr">
        <is>
          <t>06/04/2026</t>
        </is>
      </c>
      <c r="I4345" t="inlineStr">
        <is>
          <t>17/03/2026</t>
        </is>
      </c>
      <c r="J4345" t="inlineStr">
        <is>
          <t>Sản xuất / Vận hành sản xuất, Vận chuyển / Giao nhận / Kho vận, Xuất nhập khẩu</t>
        </is>
      </c>
      <c r="K4345" t="inlineStr">
        <is>
          <t>3 - 5 Năm</t>
        </is>
      </c>
      <c r="L4345" s="8">
        <f>HYPERLINK("https://careerviet.vn/vi/tim-viec-lam/truong-phong-quan-ly-chuoi-cung-ung.35C67A24.html","Xem chi tiết")</f>
        <v/>
      </c>
    </row>
    <row r="4346">
      <c r="B4346" s="9" t="n">
        <v>4344</v>
      </c>
      <c r="C4346" s="10" t="inlineStr">
        <is>
          <t>Livestream Performance Executive</t>
        </is>
      </c>
      <c r="D4346" s="10" t="inlineStr">
        <is>
          <t>CÔNG TY TNHH GOLDNET</t>
        </is>
      </c>
      <c r="E4346" s="10" t="inlineStr">
        <is>
          <t>Lương:Cạnh tranh</t>
        </is>
      </c>
      <c r="F4346" s="10" t="inlineStr">
        <is>
          <t>Hồ Chí Minh</t>
        </is>
      </c>
      <c r="G4346" s="10" t="inlineStr">
        <is>
          <t>06-04-2026</t>
        </is>
      </c>
      <c r="H4346" s="10" t="inlineStr">
        <is>
          <t>06/04/2026</t>
        </is>
      </c>
      <c r="I4346" s="10" t="inlineStr">
        <is>
          <t>17/03/2026</t>
        </is>
      </c>
      <c r="J4346" s="10" t="inlineStr">
        <is>
          <t>Tiếp thị / Marketing, Thương mại điện tử</t>
        </is>
      </c>
      <c r="K4346" s="10" t="inlineStr">
        <is>
          <t>1 - 2 Năm</t>
        </is>
      </c>
      <c r="L4346" s="11">
        <f>HYPERLINK("https://careerviet.vn/vi/tim-viec-lam/livestream-performance-executive.35C67AE6.html","Xem chi tiết")</f>
        <v/>
      </c>
      <c r="M4346" s="10" t="n"/>
    </row>
    <row r="4347">
      <c r="B4347" s="7" t="n">
        <v>4345</v>
      </c>
      <c r="C4347" t="inlineStr">
        <is>
          <t>Quản Đốc/Giám đốc Nhà Máy</t>
        </is>
      </c>
      <c r="D4347" t="inlineStr">
        <is>
          <t>Công Ty TNHH May Thêu Giày An Phước</t>
        </is>
      </c>
      <c r="E4347" t="inlineStr">
        <is>
          <t>Lương:Cạnh tranh</t>
        </is>
      </c>
      <c r="F4347" t="inlineStr">
        <is>
          <t>Hồ Chí Minh</t>
        </is>
      </c>
      <c r="G4347" t="inlineStr">
        <is>
          <t>06-04-2026</t>
        </is>
      </c>
      <c r="H4347" t="inlineStr">
        <is>
          <t>06/04/2026</t>
        </is>
      </c>
      <c r="I4347" t="inlineStr">
        <is>
          <t>17/03/2026</t>
        </is>
      </c>
      <c r="J4347" t="inlineStr">
        <is>
          <t>Quản lý điều hành, Sản xuất / Vận hành sản xuất, Dệt may / Da giày / Thời trang</t>
        </is>
      </c>
      <c r="K4347" t="inlineStr">
        <is>
          <t>8 - 20 Năm</t>
        </is>
      </c>
      <c r="L4347" s="8">
        <f>HYPERLINK("https://careerviet.vn/vi/tim-viec-lam/quan-doc-giam-doc-nha-may.35C6794C.html","Xem chi tiết")</f>
        <v/>
      </c>
    </row>
    <row r="4348">
      <c r="B4348" s="9" t="n">
        <v>4346</v>
      </c>
      <c r="C4348" s="10" t="inlineStr">
        <is>
          <t>Kỹ sư QS - MEP (Văn phòng + Dự án) / Chuyên viên Dự toán Khối lượng MEP 15tr - 23tr</t>
        </is>
      </c>
      <c r="D4348" s="10" t="inlineStr">
        <is>
          <t>CÔNG TY CỔ PHẦN ĐIỆN VÀ XÂY DỰNG NAM VIỆT</t>
        </is>
      </c>
      <c r="E4348" s="10" t="inlineStr">
        <is>
          <t>Lương:15 Tr - 23 Tr VND</t>
        </is>
      </c>
      <c r="F4348" s="10" t="inlineStr">
        <is>
          <t>Hồ Chí Minh</t>
        </is>
      </c>
      <c r="G4348" s="10" t="inlineStr">
        <is>
          <t>06-04-2026</t>
        </is>
      </c>
      <c r="H4348" s="10" t="inlineStr">
        <is>
          <t>06/04/2026</t>
        </is>
      </c>
      <c r="I4348" s="10" t="inlineStr">
        <is>
          <t>17/03/2026</t>
        </is>
      </c>
      <c r="J4348" s="10" t="inlineStr">
        <is>
          <t>Kiến trúc, Xây dựng, Điện / Điện tử / Điện lạnh / Điện công nghiệp</t>
        </is>
      </c>
      <c r="K4348" s="10" t="inlineStr">
        <is>
          <t>Trên 1 Năm</t>
        </is>
      </c>
      <c r="L4348" s="11">
        <f>HYPERLINK("https://careerviet.vn/vi/tim-viec-lam/ky-su-qs-mep-van-phong-du-an-chuyen-vien-du-toan-khoi-luong-mep-15tr-23tr.35C67939.html","Xem chi tiết")</f>
        <v/>
      </c>
      <c r="M4348" s="10" t="n"/>
    </row>
    <row r="4349">
      <c r="B4349" s="7" t="n">
        <v>4347</v>
      </c>
      <c r="C4349" t="inlineStr">
        <is>
          <t>Chuyên viên Cao cấp Xử lý nợ</t>
        </is>
      </c>
      <c r="D4349" t="inlineStr">
        <is>
          <t>Ngân Hàng TMCP Quốc Tế Việt Nam</t>
        </is>
      </c>
      <c r="E4349" t="inlineStr">
        <is>
          <t>Lương:Cạnh tranh</t>
        </is>
      </c>
      <c r="F4349" t="inlineStr">
        <is>
          <t>Bà Rịa - Vũng TàuKhánh HòaBình Phước</t>
        </is>
      </c>
      <c r="G4349" t="inlineStr">
        <is>
          <t>06-04-2026</t>
        </is>
      </c>
      <c r="H4349" t="inlineStr">
        <is>
          <t>06/04/2026</t>
        </is>
      </c>
      <c r="I4349" t="inlineStr">
        <is>
          <t>17/03/2026</t>
        </is>
      </c>
      <c r="J4349" t="inlineStr">
        <is>
          <t>Luật / Pháp lý, Ngân hàng</t>
        </is>
      </c>
      <c r="K4349" t="inlineStr">
        <is>
          <t>1 - 5 Năm</t>
        </is>
      </c>
      <c r="L4349" s="8">
        <f>HYPERLINK("https://careerviet.vn/vi/tim-viec-lam/chuyen-vien-cao-cap-xu-ly-no.35C64AFD.html","Xem chi tiết")</f>
        <v/>
      </c>
    </row>
    <row r="4350">
      <c r="B4350" s="9" t="n">
        <v>4348</v>
      </c>
      <c r="C4350" s="10" t="inlineStr">
        <is>
          <t>NHÂN VIÊN MUA HÀNG (PU)</t>
        </is>
      </c>
      <c r="D4350" s="10" t="inlineStr">
        <is>
          <t>Takako Vietnam Co., Ltd.</t>
        </is>
      </c>
      <c r="E4350" s="10" t="inlineStr">
        <is>
          <t>Lương:10 Tr - 16 Tr VND</t>
        </is>
      </c>
      <c r="F4350" s="10" t="inlineStr">
        <is>
          <t>Bình Dương</t>
        </is>
      </c>
      <c r="G4350" s="10" t="inlineStr">
        <is>
          <t>04-04-2026</t>
        </is>
      </c>
      <c r="H4350" s="10" t="inlineStr">
        <is>
          <t>04/04/2026</t>
        </is>
      </c>
      <c r="I4350" s="10" t="inlineStr">
        <is>
          <t>17/03/2026</t>
        </is>
      </c>
      <c r="J4350" s="10" t="inlineStr">
        <is>
          <t>Thu mua / Vật tư</t>
        </is>
      </c>
      <c r="K4350" s="10" t="inlineStr">
        <is>
          <t>2 - 3 Năm</t>
        </is>
      </c>
      <c r="L4350" s="11">
        <f>HYPERLINK("https://careerviet.vn/vi/tim-viec-lam/nhan-vien-mua-hang-pu.35C6B6A4.html","Xem chi tiết")</f>
        <v/>
      </c>
      <c r="M4350" s="10" t="n"/>
    </row>
    <row r="4351">
      <c r="B4351" s="7" t="n">
        <v>4349</v>
      </c>
      <c r="C4351" t="inlineStr">
        <is>
          <t>Chuyên Viên Kinh Doanh</t>
        </is>
      </c>
      <c r="D4351" t="inlineStr">
        <is>
          <t>CÔNG TY TNHH SẢN XUẤT XÂY DỰNG ÁNH DƯƠNG XANH</t>
        </is>
      </c>
      <c r="E4351" t="inlineStr">
        <is>
          <t>Lương:12 Tr - 30 Tr VND</t>
        </is>
      </c>
      <c r="F4351" t="inlineStr">
        <is>
          <t>Hồ Chí Minh</t>
        </is>
      </c>
      <c r="G4351" t="inlineStr">
        <is>
          <t>06-04-2026</t>
        </is>
      </c>
      <c r="H4351" t="inlineStr">
        <is>
          <t>06/04/2026</t>
        </is>
      </c>
      <c r="I4351" t="inlineStr">
        <is>
          <t>17/03/2026</t>
        </is>
      </c>
      <c r="J4351" t="inlineStr">
        <is>
          <t>Giáo dục / Đào tạo, Tiếp thị / Marketing, Bán hàng / Kinh doanh</t>
        </is>
      </c>
      <c r="K4351" t="inlineStr">
        <is>
          <t>2 - 5 Năm</t>
        </is>
      </c>
      <c r="L4351" s="8">
        <f>HYPERLINK("https://careerviet.vn/vi/tim-viec-lam/chuyen-vien-kinh-doanh.35C64B26.html","Xem chi tiết")</f>
        <v/>
      </c>
    </row>
    <row r="4352">
      <c r="B4352" s="9" t="n">
        <v>4350</v>
      </c>
      <c r="C4352" s="10" t="inlineStr">
        <is>
          <t>Chuyên viên Dịch vụ và chăm sóc khách hàng 24/7 - Khối Vận hành</t>
        </is>
      </c>
      <c r="D4352" s="10" t="inlineStr">
        <is>
          <t>Ngân hàng TMCP Đại Chúng Việt Nam - PVcomBank</t>
        </is>
      </c>
      <c r="E4352" s="10" t="inlineStr">
        <is>
          <t>Lương:Cạnh tranh</t>
        </is>
      </c>
      <c r="F4352" s="10" t="inlineStr">
        <is>
          <t>Hà Nội</t>
        </is>
      </c>
      <c r="G4352" s="10" t="inlineStr">
        <is>
          <t>06-04-2026</t>
        </is>
      </c>
      <c r="H4352" s="10" t="inlineStr">
        <is>
          <t>06/04/2026</t>
        </is>
      </c>
      <c r="I4352" s="10" t="inlineStr">
        <is>
          <t>17/03/2026</t>
        </is>
      </c>
      <c r="J4352" s="10" t="inlineStr">
        <is>
          <t>Bán hàng / Kinh doanh, Ngân hàng, Tài chính / Đầu tư</t>
        </is>
      </c>
      <c r="K4352" s="10" t="inlineStr">
        <is>
          <t>1 - 5 Năm</t>
        </is>
      </c>
      <c r="L4352" s="11">
        <f>HYPERLINK("https://careerviet.vn/vi/tim-viec-lam/chuyen-vien-dich-vu-va-cham-soc-khach-hang-24-7-khoi-van-hanh.35C67BBE.html","Xem chi tiết")</f>
        <v/>
      </c>
      <c r="M4352" s="10" t="n"/>
    </row>
    <row r="4353">
      <c r="B4353" s="7" t="n">
        <v>4351</v>
      </c>
      <c r="C4353" t="inlineStr">
        <is>
          <t>Nhân viên kế toán bán hàng</t>
        </is>
      </c>
      <c r="D4353" t="inlineStr">
        <is>
          <t>CÔNG TY TNHH XUẤT NHẬP KHẨU 365 GROUP</t>
        </is>
      </c>
      <c r="E4353" t="inlineStr">
        <is>
          <t>Lương:8 Tr - 10 Tr VND</t>
        </is>
      </c>
      <c r="F4353" t="inlineStr">
        <is>
          <t>Hồ Chí Minh</t>
        </is>
      </c>
      <c r="G4353" t="inlineStr">
        <is>
          <t>07-04-2026</t>
        </is>
      </c>
      <c r="H4353" t="inlineStr">
        <is>
          <t>07/04/2026</t>
        </is>
      </c>
      <c r="I4353" t="inlineStr">
        <is>
          <t>17/03/2026</t>
        </is>
      </c>
      <c r="J4353" t="inlineStr">
        <is>
          <t>Kế toán / Kiểm toán</t>
        </is>
      </c>
      <c r="K4353" t="inlineStr">
        <is>
          <t>1 - 2 Năm</t>
        </is>
      </c>
      <c r="L4353" s="8">
        <f>HYPERLINK("https://careerviet.vn/vi/tim-viec-lam/nhan-vien-ke-toan-ban-hang.35C64CBC.html","Xem chi tiết")</f>
        <v/>
      </c>
    </row>
    <row r="4354">
      <c r="B4354" s="9" t="n">
        <v>4352</v>
      </c>
      <c r="C4354" s="10" t="inlineStr">
        <is>
          <t>Nhân Viên Ticketing (Vé Máy Bay)</t>
        </is>
      </c>
      <c r="D4354" s="10" t="inlineStr">
        <is>
          <t>CÔNG TY TNHH CÔNG NGHỆ QUANG ĐIỆN TỬ</t>
        </is>
      </c>
      <c r="E4354" s="10" t="inlineStr">
        <is>
          <t>Lương:Trên 20 Tr VND</t>
        </is>
      </c>
      <c r="F4354" s="10" t="inlineStr">
        <is>
          <t>Hà Nội</t>
        </is>
      </c>
      <c r="G4354" s="10" t="inlineStr">
        <is>
          <t>07-04-2026</t>
        </is>
      </c>
      <c r="H4354" s="10" t="inlineStr">
        <is>
          <t>07/04/2026</t>
        </is>
      </c>
      <c r="I4354" s="10" t="inlineStr">
        <is>
          <t>17/03/2026</t>
        </is>
      </c>
      <c r="J4354" s="10" t="inlineStr">
        <is>
          <t>Hàng không, Bán hàng / Kinh doanh, Du lịch</t>
        </is>
      </c>
      <c r="K4354" s="10" t="inlineStr">
        <is>
          <t>1 Năm</t>
        </is>
      </c>
      <c r="L4354" s="11">
        <f>HYPERLINK("https://careerviet.vn/vi/tim-viec-lam/nhan-vien-ticketing-ve-may-bay.35C64E2E.html","Xem chi tiết")</f>
        <v/>
      </c>
      <c r="M4354" s="10" t="n"/>
    </row>
    <row r="4355">
      <c r="B4355" s="7" t="n">
        <v>4353</v>
      </c>
      <c r="C4355" t="inlineStr">
        <is>
          <t>[NovaDreams] Trưởng phòng Kinh doanh OTA</t>
        </is>
      </c>
      <c r="D4355" t="inlineStr">
        <is>
          <t>Bảo mật</t>
        </is>
      </c>
      <c r="E4355" t="inlineStr">
        <is>
          <t>Lương:Cạnh tranh</t>
        </is>
      </c>
      <c r="F4355" t="inlineStr">
        <is>
          <t>Hồ Chí Minh</t>
        </is>
      </c>
      <c r="G4355" t="inlineStr">
        <is>
          <t>07-04-2026</t>
        </is>
      </c>
      <c r="H4355" t="inlineStr">
        <is>
          <t>07/04/2026</t>
        </is>
      </c>
      <c r="I4355" t="inlineStr">
        <is>
          <t>17/03/2026</t>
        </is>
      </c>
      <c r="J4355" t="inlineStr">
        <is>
          <t>Bán hàng / Kinh doanh</t>
        </is>
      </c>
      <c r="K4355" t="inlineStr">
        <is>
          <t>5 - 15 Năm</t>
        </is>
      </c>
      <c r="L4355" s="8">
        <f>HYPERLINK("https://careerviet.vn/vi/tim-viec-lam/novadreams-truong-phong-kinh-doanh-ota.35C64DB6.html","Xem chi tiết")</f>
        <v/>
      </c>
    </row>
    <row r="4356">
      <c r="B4356" s="9" t="n">
        <v>4354</v>
      </c>
      <c r="C4356" s="10" t="inlineStr">
        <is>
          <t>Phó Phòng Kỹ Thuật</t>
        </is>
      </c>
      <c r="D4356" s="10" t="inlineStr">
        <is>
          <t>Công ty Cổ phần công nghệ T-Tech Việt Nam</t>
        </is>
      </c>
      <c r="E4356" s="10" t="inlineStr">
        <is>
          <t>Lương:18 Tr - 25 Tr VND</t>
        </is>
      </c>
      <c r="F4356" s="10" t="inlineStr">
        <is>
          <t>Hà Nội</t>
        </is>
      </c>
      <c r="G4356" s="10" t="inlineStr">
        <is>
          <t>07-04-2026</t>
        </is>
      </c>
      <c r="H4356" s="10" t="inlineStr">
        <is>
          <t>07/04/2026</t>
        </is>
      </c>
      <c r="I4356" s="10" t="inlineStr">
        <is>
          <t>17/03/2026</t>
        </is>
      </c>
      <c r="J4356" s="10" t="inlineStr">
        <is>
          <t>Cơ khí / Ô tô / Tự động hóa, Môi trường, Điện / Điện tử / Điện lạnh / Điện công nghiệp</t>
        </is>
      </c>
      <c r="K4356" s="10" t="inlineStr">
        <is>
          <t>Trên 3 Năm</t>
        </is>
      </c>
      <c r="L4356" s="11">
        <f>HYPERLINK("https://careerviet.vn/vi/tim-viec-lam/pho-phong-ky-thuat.35C64CB0.html","Xem chi tiết")</f>
        <v/>
      </c>
      <c r="M4356" s="10" t="n"/>
    </row>
    <row r="4357">
      <c r="B4357" s="7" t="n">
        <v>4355</v>
      </c>
      <c r="C4357" t="inlineStr">
        <is>
          <t>Chuyên viên Tư vấn Tài chính Cá nhân PB - Vùng Tây Hà Nội</t>
        </is>
      </c>
      <c r="D4357" t="inlineStr">
        <is>
          <t>Ngân Hàng TMCP Quốc Tế Việt Nam</t>
        </is>
      </c>
      <c r="E4357" t="inlineStr">
        <is>
          <t>Lương:10 Tr - 25 Tr VND</t>
        </is>
      </c>
      <c r="F4357" t="inlineStr">
        <is>
          <t>Hà NộiVĩnh PhúcPhú Thọ</t>
        </is>
      </c>
      <c r="G4357" t="inlineStr">
        <is>
          <t>07-04-2026</t>
        </is>
      </c>
      <c r="H4357" t="inlineStr">
        <is>
          <t>07/04/2026</t>
        </is>
      </c>
      <c r="I4357" t="inlineStr">
        <is>
          <t>17/03/2026</t>
        </is>
      </c>
      <c r="J4357" t="inlineStr">
        <is>
          <t>Bán hàng / Kinh doanh, Ngân hàng, Tài chính / Đầu tư</t>
        </is>
      </c>
      <c r="K4357" t="inlineStr">
        <is>
          <t>Chưa có kinh nghiệm</t>
        </is>
      </c>
      <c r="L4357" s="8">
        <f>HYPERLINK("https://careerviet.vn/vi/tim-viec-lam/chuyen-vien-tu-van-tai-chinh-ca-nhan-pb-vung-tay-ha-noi.35C64D45.html","Xem chi tiết")</f>
        <v/>
      </c>
    </row>
    <row r="4358">
      <c r="B4358" s="9" t="n">
        <v>4356</v>
      </c>
      <c r="C4358" s="10" t="inlineStr">
        <is>
          <t>Chief Accountant</t>
        </is>
      </c>
      <c r="D4358" s="10" t="inlineStr">
        <is>
          <t>CÔNG TY TNHH ĐẦU TƯ VÀ PHÁT TRIỂN NGUỒN NHÂN LỰC 365 SHR</t>
        </is>
      </c>
      <c r="E4358" s="10" t="inlineStr">
        <is>
          <t>Lương:25 Tr - 35 Tr VND</t>
        </is>
      </c>
      <c r="F4358" s="10" t="inlineStr">
        <is>
          <t>Bình Dương</t>
        </is>
      </c>
      <c r="G4358" s="10" t="inlineStr">
        <is>
          <t>07-04-2026</t>
        </is>
      </c>
      <c r="H4358" s="10" t="inlineStr">
        <is>
          <t>07/04/2026</t>
        </is>
      </c>
      <c r="I4358" s="10" t="inlineStr">
        <is>
          <t>17/03/2026</t>
        </is>
      </c>
      <c r="J4358" s="10" t="inlineStr">
        <is>
          <t>Kế toán / Kiểm toán, Ngân hàng, Tài chính / Đầu tư</t>
        </is>
      </c>
      <c r="K4358" s="10" t="inlineStr">
        <is>
          <t>3 - 5 Năm</t>
        </is>
      </c>
      <c r="L4358" s="11">
        <f>HYPERLINK("https://careerviet.vn/vi/tim-viec-lam/chief-accountant.35C64D78.html","Xem chi tiết")</f>
        <v/>
      </c>
      <c r="M4358" s="10" t="n"/>
    </row>
    <row r="4359">
      <c r="B4359" s="7" t="n">
        <v>4357</v>
      </c>
      <c r="C4359" t="inlineStr">
        <is>
          <t>Chuyên Viên Kinh Doanh Giải Pháp AI/Chatbot</t>
        </is>
      </c>
      <c r="D4359" t="inlineStr">
        <is>
          <t>CÔNG TY CỔ PHẦN CÔNG NGHỆ FOXAI</t>
        </is>
      </c>
      <c r="E4359" t="inlineStr">
        <is>
          <t>Lương:20 Tr - 40 Tr VND</t>
        </is>
      </c>
      <c r="F4359" t="inlineStr">
        <is>
          <t>Hà Nội</t>
        </is>
      </c>
      <c r="G4359" t="inlineStr">
        <is>
          <t>07-04-2026</t>
        </is>
      </c>
      <c r="H4359" t="inlineStr">
        <is>
          <t>07/04/2026</t>
        </is>
      </c>
      <c r="I4359" t="inlineStr">
        <is>
          <t>17/03/2026</t>
        </is>
      </c>
      <c r="J4359" t="inlineStr">
        <is>
          <t>Tiếp thị / Marketing, Bán hàng / Kinh doanh, Bán Hàng Kỹ Thuật</t>
        </is>
      </c>
      <c r="K4359" t="inlineStr">
        <is>
          <t>Trên 2 Năm</t>
        </is>
      </c>
      <c r="L4359" s="8">
        <f>HYPERLINK("https://careerviet.vn/vi/tim-viec-lam/chuyen-vien-kinh-doanh-giai-phap-ai-chatbot.35C64DB0.html","Xem chi tiết")</f>
        <v/>
      </c>
    </row>
    <row r="4360">
      <c r="B4360" s="9" t="n">
        <v>4358</v>
      </c>
      <c r="C4360" s="10" t="inlineStr">
        <is>
          <t>AI Product Engineering Manager</t>
        </is>
      </c>
      <c r="D4360" s="10" t="inlineStr">
        <is>
          <t>Cổ Phần Kết Nối Nhân Tài - Talentnet Corporation</t>
        </is>
      </c>
      <c r="E4360" s="10" t="inlineStr">
        <is>
          <t>Lương:Cạnh tranh</t>
        </is>
      </c>
      <c r="F4360" s="10" t="inlineStr">
        <is>
          <t>Hồ Chí Minh</t>
        </is>
      </c>
      <c r="G4360" s="10" t="inlineStr">
        <is>
          <t>07-04-2026</t>
        </is>
      </c>
      <c r="H4360" s="10" t="inlineStr">
        <is>
          <t>07/04/2026</t>
        </is>
      </c>
      <c r="I4360" s="10" t="inlineStr">
        <is>
          <t>17/03/2026</t>
        </is>
      </c>
      <c r="J4360" s="10" t="inlineStr">
        <is>
          <t>Nhân sự, CNTT - Phần mềm</t>
        </is>
      </c>
      <c r="K4360" s="10" t="inlineStr">
        <is>
          <t>7 - 8 Năm</t>
        </is>
      </c>
      <c r="L4360" s="11">
        <f>HYPERLINK("https://careerviet.vn/vi/tim-viec-lam/ai-product-engineering-manager.35C64DF7.html","Xem chi tiết")</f>
        <v/>
      </c>
      <c r="M4360" s="10" t="n"/>
    </row>
    <row r="4361">
      <c r="B4361" s="7" t="n">
        <v>4359</v>
      </c>
      <c r="C4361" t="inlineStr">
        <is>
          <t>Nhân viên Bảo trì cơ điện (Nhà máy SX thực phẩm)</t>
        </is>
      </c>
      <c r="D4361" t="inlineStr">
        <is>
          <t>De Heus LLC</t>
        </is>
      </c>
      <c r="E4361" t="inlineStr">
        <is>
          <t>Lương:9 Tr - 15 Tr VND</t>
        </is>
      </c>
      <c r="F4361" t="inlineStr">
        <is>
          <t>Hà Nội</t>
        </is>
      </c>
      <c r="G4361" t="inlineStr">
        <is>
          <t>07-04-2026</t>
        </is>
      </c>
      <c r="H4361" t="inlineStr">
        <is>
          <t>07/04/2026</t>
        </is>
      </c>
      <c r="I4361" t="inlineStr">
        <is>
          <t>17/03/2026</t>
        </is>
      </c>
      <c r="J4361" t="inlineStr">
        <is>
          <t>Thực phẩm &amp; Đồ uống, Chăn nuôi / Thú y, Công nghệ thực phẩm / Dinh dưỡng</t>
        </is>
      </c>
      <c r="K4361" t="inlineStr">
        <is>
          <t>1 - 3 Năm</t>
        </is>
      </c>
      <c r="L4361" s="8">
        <f>HYPERLINK("https://careerviet.vn/vi/tim-viec-lam/nhan-vien-bao-tri-co-dien-nha-may-sx-thuc-pham.35C64D31.html","Xem chi tiết")</f>
        <v/>
      </c>
    </row>
    <row r="4362">
      <c r="B4362" s="9" t="n">
        <v>4360</v>
      </c>
      <c r="C4362" s="10" t="inlineStr">
        <is>
          <t>Chuyên viên cao cấp Nhân sư - Tổng hợp</t>
        </is>
      </c>
      <c r="D4362" s="10" t="inlineStr">
        <is>
          <t>BIM Group</t>
        </is>
      </c>
      <c r="E4362" s="10" t="inlineStr">
        <is>
          <t>Lương:Cạnh tranh</t>
        </is>
      </c>
      <c r="F4362" s="10" t="inlineStr">
        <is>
          <t>Hà Nội</t>
        </is>
      </c>
      <c r="G4362" s="10" t="inlineStr">
        <is>
          <t>07-04-2026</t>
        </is>
      </c>
      <c r="H4362" s="10" t="inlineStr">
        <is>
          <t>07/04/2026</t>
        </is>
      </c>
      <c r="I4362" s="10" t="inlineStr">
        <is>
          <t>17/03/2026</t>
        </is>
      </c>
      <c r="J4362" s="10" t="inlineStr">
        <is>
          <t>Nhân sự, Bảo hiểm, Bất động sản</t>
        </is>
      </c>
      <c r="K4362" s="10" t="inlineStr">
        <is>
          <t>Chưa có kinh nghiệm</t>
        </is>
      </c>
      <c r="L4362" s="11">
        <f>HYPERLINK("https://careerviet.vn/vi/tim-viec-lam/chuyen-vien-cao-cap-nhan-su-tong-hop.35C64C96.html","Xem chi tiết")</f>
        <v/>
      </c>
      <c r="M4362" s="10" t="n"/>
    </row>
    <row r="4363">
      <c r="B4363" s="7" t="n">
        <v>4361</v>
      </c>
      <c r="C4363" t="inlineStr">
        <is>
          <t>Chuyên viên tuyển dụng đào tạo</t>
        </is>
      </c>
      <c r="D4363" t="inlineStr">
        <is>
          <t>Công ty Cổ phần công nghệ T-Tech Việt Nam</t>
        </is>
      </c>
      <c r="E4363" t="inlineStr">
        <is>
          <t>Lương:12 Tr - 15 Tr VND</t>
        </is>
      </c>
      <c r="F4363" t="inlineStr">
        <is>
          <t>Hà Nội</t>
        </is>
      </c>
      <c r="G4363" t="inlineStr">
        <is>
          <t>07-04-2026</t>
        </is>
      </c>
      <c r="H4363" t="inlineStr">
        <is>
          <t>07/04/2026</t>
        </is>
      </c>
      <c r="I4363" t="inlineStr">
        <is>
          <t>17/03/2026</t>
        </is>
      </c>
      <c r="J4363" t="inlineStr">
        <is>
          <t>Hành chính / Thư ký, Nhân sự, Tổ chức sự kiện</t>
        </is>
      </c>
      <c r="K4363" t="inlineStr">
        <is>
          <t>Trên 3 Năm</t>
        </is>
      </c>
      <c r="L4363" s="8">
        <f>HYPERLINK("https://careerviet.vn/vi/tim-viec-lam/chuyen-vien-tuyen-dung-dao-tao.35C64CA0.html","Xem chi tiết")</f>
        <v/>
      </c>
    </row>
    <row r="4364">
      <c r="B4364" s="9" t="n">
        <v>4362</v>
      </c>
      <c r="C4364" s="10" t="inlineStr">
        <is>
          <t>Tooling Engineer</t>
        </is>
      </c>
      <c r="D4364" s="10" t="inlineStr">
        <is>
          <t>Công Ty TNHH Việt Nam Samho</t>
        </is>
      </c>
      <c r="E4364" s="10" t="inlineStr">
        <is>
          <t>Lương:Cạnh tranh</t>
        </is>
      </c>
      <c r="F4364" s="10" t="inlineStr">
        <is>
          <t>Hồ Chí Minh</t>
        </is>
      </c>
      <c r="G4364" s="10" t="inlineStr">
        <is>
          <t>07-04-2026</t>
        </is>
      </c>
      <c r="H4364" s="10" t="inlineStr">
        <is>
          <t>07/04/2026</t>
        </is>
      </c>
      <c r="I4364" s="10" t="inlineStr">
        <is>
          <t>17/03/2026</t>
        </is>
      </c>
      <c r="J4364" s="10" t="inlineStr">
        <is>
          <t>Dệt may / Da giày / Thời trang</t>
        </is>
      </c>
      <c r="K4364" s="10" t="inlineStr">
        <is>
          <t>3 - 5 Năm</t>
        </is>
      </c>
      <c r="L4364" s="11">
        <f>HYPERLINK("https://careerviet.vn/vi/tim-viec-lam/tooling-engineer.35C64D47.html","Xem chi tiết")</f>
        <v/>
      </c>
      <c r="M4364" s="10" t="n"/>
    </row>
    <row r="4365">
      <c r="B4365" s="7" t="n">
        <v>4363</v>
      </c>
      <c r="C4365" t="inlineStr">
        <is>
          <t>Kỹ sư xây dựng</t>
        </is>
      </c>
      <c r="D4365" t="inlineStr">
        <is>
          <t>Chi Nhánh Miền Nam - Tổng Công Ty Cổ Phần Xây Dựng Công Nghiệp Việt Nam</t>
        </is>
      </c>
      <c r="E4365" t="inlineStr">
        <is>
          <t>Lương:14 Tr - 16 Tr VND</t>
        </is>
      </c>
      <c r="F4365" t="inlineStr">
        <is>
          <t>Khánh Hòa</t>
        </is>
      </c>
      <c r="G4365" t="inlineStr">
        <is>
          <t>07-04-2026</t>
        </is>
      </c>
      <c r="H4365" t="inlineStr">
        <is>
          <t>07/04/2026</t>
        </is>
      </c>
      <c r="I4365" t="inlineStr">
        <is>
          <t>17/03/2026</t>
        </is>
      </c>
      <c r="J4365" t="inlineStr">
        <is>
          <t>Xây dựng</t>
        </is>
      </c>
      <c r="K4365" t="inlineStr">
        <is>
          <t>Chưa có kinh nghiệm</t>
        </is>
      </c>
      <c r="L4365" s="8">
        <f>HYPERLINK("https://careerviet.vn/vi/tim-viec-lam/ky-su-xay-dung.35C64C3F.html","Xem chi tiết")</f>
        <v/>
      </c>
    </row>
    <row r="4366">
      <c r="B4366" s="9" t="n">
        <v>4364</v>
      </c>
      <c r="C4366" s="10" t="inlineStr">
        <is>
          <t>[Sơn La] Giám Sát Bán Hàng</t>
        </is>
      </c>
      <c r="D4366" s="10" t="inlineStr">
        <is>
          <t>Coca-Cola Beverages Vietnam</t>
        </is>
      </c>
      <c r="E4366" s="10" t="inlineStr">
        <is>
          <t>Lương:Cạnh tranh</t>
        </is>
      </c>
      <c r="F4366" s="10" t="inlineStr">
        <is>
          <t>Sơn La</t>
        </is>
      </c>
      <c r="G4366" s="10" t="inlineStr">
        <is>
          <t>07-04-2026</t>
        </is>
      </c>
      <c r="H4366" s="10" t="inlineStr">
        <is>
          <t>07/04/2026</t>
        </is>
      </c>
      <c r="I4366" s="10" t="inlineStr">
        <is>
          <t>17/03/2026</t>
        </is>
      </c>
      <c r="J4366" s="10" t="inlineStr">
        <is>
          <t>Bán hàng / Kinh doanh</t>
        </is>
      </c>
      <c r="K4366" s="10" t="inlineStr">
        <is>
          <t>1 - 10 Năm</t>
        </is>
      </c>
      <c r="L4366" s="11">
        <f>HYPERLINK("https://careerviet.vn/vi/tim-viec-lam/son-la-giam-sat-ban-hang.35C64CF1.html","Xem chi tiết")</f>
        <v/>
      </c>
      <c r="M4366" s="10" t="n"/>
    </row>
    <row r="4367">
      <c r="B4367" s="7" t="n">
        <v>4365</v>
      </c>
      <c r="C4367" t="inlineStr">
        <is>
          <t>127387 - Equipment / MEP Construction Management - Construction</t>
        </is>
      </c>
      <c r="D4367" t="inlineStr">
        <is>
          <t>RGF HR Agent Vietnam Co., LTD</t>
        </is>
      </c>
      <c r="E4367" t="inlineStr">
        <is>
          <t>Lương:25 Tr - 38 Tr VND</t>
        </is>
      </c>
      <c r="F4367" t="inlineStr">
        <is>
          <t>Hà Nội</t>
        </is>
      </c>
      <c r="G4367" t="inlineStr">
        <is>
          <t>06-04-2026</t>
        </is>
      </c>
      <c r="H4367" t="inlineStr">
        <is>
          <t>06/04/2026</t>
        </is>
      </c>
      <c r="I4367" t="inlineStr">
        <is>
          <t>17/03/2026</t>
        </is>
      </c>
      <c r="J4367" t="inlineStr">
        <is>
          <t>Xây dựng</t>
        </is>
      </c>
      <c r="K4367" t="inlineStr">
        <is>
          <t>Trên 6 Năm</t>
        </is>
      </c>
      <c r="L4367" s="8">
        <f>HYPERLINK("https://careerviet.vn/vi/tim-viec-lam/127387-equipment-mep-construction-management-construction.35C67B3D.html","Xem chi tiết")</f>
        <v/>
      </c>
    </row>
    <row r="4368">
      <c r="B4368" s="9" t="n">
        <v>4366</v>
      </c>
      <c r="C4368" s="10" t="inlineStr">
        <is>
          <t>NHÂN VIÊN LÁI XE VÀ HÀNH CHÁNH – CHU LAI</t>
        </is>
      </c>
      <c r="D4368" s="10" t="inlineStr">
        <is>
          <t>Tan Hiep Phat Group</t>
        </is>
      </c>
      <c r="E4368" s="10" t="inlineStr">
        <is>
          <t>Lương:Cạnh tranh</t>
        </is>
      </c>
      <c r="F4368" s="10" t="inlineStr">
        <is>
          <t>Quảng Nam</t>
        </is>
      </c>
      <c r="G4368" s="10" t="inlineStr">
        <is>
          <t>07-04-2026</t>
        </is>
      </c>
      <c r="H4368" s="10" t="inlineStr">
        <is>
          <t>07/04/2026</t>
        </is>
      </c>
      <c r="I4368" s="10" t="inlineStr">
        <is>
          <t>17/03/2026</t>
        </is>
      </c>
      <c r="J4368" s="10" t="inlineStr">
        <is>
          <t>Vận chuyển / Giao nhận / Kho vận, Hành chính / Thư ký</t>
        </is>
      </c>
      <c r="K4368" s="10" t="inlineStr">
        <is>
          <t>1 - 5 Năm</t>
        </is>
      </c>
      <c r="L4368" s="11">
        <f>HYPERLINK("https://careerviet.vn/vi/tim-viec-lam/nhan-vien-lai-xe-va-hanh-chanh-chu-lai.35C64D2A.html","Xem chi tiết")</f>
        <v/>
      </c>
      <c r="M4368" s="10" t="n"/>
    </row>
    <row r="4369">
      <c r="B4369" s="7" t="n">
        <v>4367</v>
      </c>
      <c r="C4369" t="inlineStr">
        <is>
          <t>GĐ/GĐCC Quan Hệ Khách Hàng - Khối KHDN Lớn Và Đầu Tư - HN &amp; HCM - ID366</t>
        </is>
      </c>
      <c r="D4369" t="inlineStr">
        <is>
          <t>Ngân Hàng TMCP Việt Nam Thịnh Vượng - VPBANK</t>
        </is>
      </c>
      <c r="E4369" t="inlineStr">
        <is>
          <t>Lương:Cạnh tranh</t>
        </is>
      </c>
      <c r="F4369" t="inlineStr">
        <is>
          <t>Hà NộiHồ Chí Minh</t>
        </is>
      </c>
      <c r="G4369" t="inlineStr">
        <is>
          <t>07-04-2026</t>
        </is>
      </c>
      <c r="H4369" t="inlineStr">
        <is>
          <t>07/04/2026</t>
        </is>
      </c>
      <c r="I4369" t="inlineStr">
        <is>
          <t>17/03/2026</t>
        </is>
      </c>
      <c r="J4369" t="inlineStr">
        <is>
          <t>Bán hàng / Kinh doanh, Ngân hàng</t>
        </is>
      </c>
      <c r="K4369" t="inlineStr">
        <is>
          <t>4 - 5 Năm</t>
        </is>
      </c>
      <c r="L4369" s="8">
        <f>HYPERLINK("https://careerviet.vn/vi/tim-viec-lam/gd-gdcc-quan-he-khach-hang-khoi-khdn-lon-va-dau-tu-hn-hcm-id366.35C64C58.html","Xem chi tiết")</f>
        <v/>
      </c>
    </row>
    <row r="4370">
      <c r="B4370" s="9" t="n">
        <v>4368</v>
      </c>
      <c r="C4370" s="10" t="inlineStr">
        <is>
          <t>Chuyên viên Xử lý nợ - Vùng Đồng bằng Sông Cửu Long</t>
        </is>
      </c>
      <c r="D4370" s="10" t="inlineStr">
        <is>
          <t>Ngân Hàng TMCP Quốc Tế Việt Nam</t>
        </is>
      </c>
      <c r="E4370" s="10" t="inlineStr">
        <is>
          <t>Lương:Cạnh tranh</t>
        </is>
      </c>
      <c r="F4370" s="10" t="inlineStr">
        <is>
          <t>Cần ThơAn GiangKiên Giang</t>
        </is>
      </c>
      <c r="G4370" s="10" t="inlineStr">
        <is>
          <t>07-04-2026</t>
        </is>
      </c>
      <c r="H4370" s="10" t="inlineStr">
        <is>
          <t>07/04/2026</t>
        </is>
      </c>
      <c r="I4370" s="10" t="inlineStr">
        <is>
          <t>17/03/2026</t>
        </is>
      </c>
      <c r="J4370" s="10" t="inlineStr">
        <is>
          <t>Luật / Pháp lý, Ngân hàng, Tài chính / Đầu tư</t>
        </is>
      </c>
      <c r="K4370" s="10" t="inlineStr">
        <is>
          <t>1 - 5 Năm</t>
        </is>
      </c>
      <c r="L4370" s="11">
        <f>HYPERLINK("https://careerviet.vn/vi/tim-viec-lam/chuyen-vien-xu-ly-no-vung-dong-bang-song-cuu-long.35C64DE3.html","Xem chi tiết")</f>
        <v/>
      </c>
      <c r="M4370" s="10" t="n"/>
    </row>
    <row r="4371">
      <c r="B4371" s="7" t="n">
        <v>4369</v>
      </c>
      <c r="C4371" t="inlineStr">
        <is>
          <t>KỸ SƯ GIÁM SÁT HIỆN TRƯỜNG - QUẢNG BÌNH</t>
        </is>
      </c>
      <c r="D4371" t="inlineStr">
        <is>
          <t>Công ty Cổ phần D&amp;D Engineering Construction</t>
        </is>
      </c>
      <c r="E4371" t="inlineStr">
        <is>
          <t>Lương:Cạnh tranh</t>
        </is>
      </c>
      <c r="F4371" t="inlineStr">
        <is>
          <t>Quảng Bình</t>
        </is>
      </c>
      <c r="G4371" t="inlineStr">
        <is>
          <t>07-04-2026</t>
        </is>
      </c>
      <c r="H4371" t="inlineStr">
        <is>
          <t>07/04/2026</t>
        </is>
      </c>
      <c r="I4371" t="inlineStr">
        <is>
          <t>17/03/2026</t>
        </is>
      </c>
      <c r="J4371" t="inlineStr">
        <is>
          <t>An toàn lao động, Kiến trúc, Xây dựng</t>
        </is>
      </c>
      <c r="K4371" t="inlineStr">
        <is>
          <t>Trên 2 Năm</t>
        </is>
      </c>
      <c r="L4371" s="8">
        <f>HYPERLINK("https://careerviet.vn/vi/tim-viec-lam/ky-su-giam-sat-hien-truong-quang-binh.35C64D2B.html","Xem chi tiết")</f>
        <v/>
      </c>
    </row>
    <row r="4372">
      <c r="B4372" s="9" t="n">
        <v>4370</v>
      </c>
      <c r="C4372" s="10" t="inlineStr">
        <is>
          <t>Hà Nội - CV/CVC/CVCC Kiểm thử</t>
        </is>
      </c>
      <c r="D4372" s="10" t="inlineStr">
        <is>
          <t>Ngân hàng TMCP Lộc Phát Việt Nam (LPBank)</t>
        </is>
      </c>
      <c r="E4372" s="10" t="inlineStr">
        <is>
          <t>Lương:Cạnh tranh</t>
        </is>
      </c>
      <c r="F4372" s="10" t="inlineStr">
        <is>
          <t>Hà Nội</t>
        </is>
      </c>
      <c r="G4372" s="10" t="inlineStr">
        <is>
          <t>07-04-2026</t>
        </is>
      </c>
      <c r="H4372" s="10" t="inlineStr">
        <is>
          <t>07/04/2026</t>
        </is>
      </c>
      <c r="I4372" s="10" t="inlineStr">
        <is>
          <t>17/03/2026</t>
        </is>
      </c>
      <c r="J4372" s="10" t="inlineStr">
        <is>
          <t>Ngân hàng</t>
        </is>
      </c>
      <c r="K4372" s="10" t="inlineStr">
        <is>
          <t>Trên 3 Năm</t>
        </is>
      </c>
      <c r="L4372" s="11">
        <f>HYPERLINK("https://careerviet.vn/vi/tim-viec-lam/ha-noi-cv-cvc-cvcc-kiem-thu.35C64C7B.html","Xem chi tiết")</f>
        <v/>
      </c>
      <c r="M4372" s="10" t="n"/>
    </row>
    <row r="4373">
      <c r="B4373" s="7" t="n">
        <v>4371</v>
      </c>
      <c r="C4373" t="inlineStr">
        <is>
          <t>Chuyên viên cao cấp pháp lý quản trị và phi tín dụng - Khối Pháp chế và tuân thủ</t>
        </is>
      </c>
      <c r="D4373" t="inlineStr">
        <is>
          <t>Ngân hàng TMCP Đại Chúng Việt Nam - PVcomBank</t>
        </is>
      </c>
      <c r="E4373" t="inlineStr">
        <is>
          <t>Lương:Cạnh tranh</t>
        </is>
      </c>
      <c r="F4373" t="inlineStr">
        <is>
          <t>Hà Nội</t>
        </is>
      </c>
      <c r="G4373" t="inlineStr">
        <is>
          <t>07-04-2026</t>
        </is>
      </c>
      <c r="H4373" t="inlineStr">
        <is>
          <t>07/04/2026</t>
        </is>
      </c>
      <c r="I4373" t="inlineStr">
        <is>
          <t>17/03/2026</t>
        </is>
      </c>
      <c r="J4373" t="inlineStr">
        <is>
          <t>Ngân hàng, Tài chính / Đầu tư</t>
        </is>
      </c>
      <c r="K4373" t="inlineStr">
        <is>
          <t>4 - 10 Năm</t>
        </is>
      </c>
      <c r="L4373" s="8">
        <f>HYPERLINK("https://careerviet.vn/vi/tim-viec-lam/chuyen-vien-cao-cap-phap-ly-quan-tri-va-phi-tin-dung-khoi-phap-che-va-tuan-thu.35C64E0B.html","Xem chi tiết")</f>
        <v/>
      </c>
    </row>
    <row r="4374">
      <c r="B4374" s="9" t="n">
        <v>4372</v>
      </c>
      <c r="C4374" s="10" t="inlineStr">
        <is>
          <t>Giám đốc nhà máy làm việc tại Cà Mau</t>
        </is>
      </c>
      <c r="D4374" s="10" t="inlineStr">
        <is>
          <t>Công ty Cổ phần công nghệ T-Tech Việt Nam</t>
        </is>
      </c>
      <c r="E4374" s="10" t="inlineStr">
        <is>
          <t>Lương:20 Tr - 25 Tr VND</t>
        </is>
      </c>
      <c r="F4374" s="10" t="inlineStr">
        <is>
          <t>Cà Mau</t>
        </is>
      </c>
      <c r="G4374" s="10" t="inlineStr">
        <is>
          <t>07-04-2026</t>
        </is>
      </c>
      <c r="H4374" s="10" t="inlineStr">
        <is>
          <t>07/04/2026</t>
        </is>
      </c>
      <c r="I4374" s="10" t="inlineStr">
        <is>
          <t>17/03/2026</t>
        </is>
      </c>
      <c r="J4374" s="10" t="inlineStr">
        <is>
          <t>Cơ khí / Ô tô / Tự động hóa, Môi trường, Xây dựng</t>
        </is>
      </c>
      <c r="K4374" s="10" t="inlineStr">
        <is>
          <t>Trên 5 Năm</t>
        </is>
      </c>
      <c r="L4374" s="11">
        <f>HYPERLINK("https://careerviet.vn/vi/tim-viec-lam/giam-doc-nha-may-lam-viec-tai-ca-mau.35C64CAB.html","Xem chi tiết")</f>
        <v/>
      </c>
      <c r="M4374" s="10" t="n"/>
    </row>
    <row r="4375">
      <c r="B4375" s="7" t="n">
        <v>4373</v>
      </c>
      <c r="C4375" t="inlineStr">
        <is>
          <t>Senior Compliance Monitoring Specialist</t>
        </is>
      </c>
      <c r="D4375" t="inlineStr">
        <is>
          <t>FE CREDIT</t>
        </is>
      </c>
      <c r="E4375" t="inlineStr">
        <is>
          <t>Lương:Cạnh tranh</t>
        </is>
      </c>
      <c r="F4375" t="inlineStr">
        <is>
          <t>Hồ Chí Minh</t>
        </is>
      </c>
      <c r="G4375" t="inlineStr">
        <is>
          <t>07-04-2026</t>
        </is>
      </c>
      <c r="H4375" t="inlineStr">
        <is>
          <t>07/04/2026</t>
        </is>
      </c>
      <c r="I4375" t="inlineStr">
        <is>
          <t>17/03/2026</t>
        </is>
      </c>
      <c r="J4375" t="inlineStr">
        <is>
          <t>Luật / Pháp lý, Ngân hàng, Bảo hiểm</t>
        </is>
      </c>
      <c r="K4375" t="inlineStr">
        <is>
          <t>2 - 3 Năm</t>
        </is>
      </c>
      <c r="L4375" s="8">
        <f>HYPERLINK("https://careerviet.vn/vi/tim-viec-lam/senior-compliance-monitoring-specialist.35C64E7B.html","Xem chi tiết")</f>
        <v/>
      </c>
    </row>
    <row r="4376">
      <c r="B4376" s="9" t="n">
        <v>4374</v>
      </c>
      <c r="C4376" s="10" t="inlineStr">
        <is>
          <t>KẾ TOÁN TRƯỞNG</t>
        </is>
      </c>
      <c r="D4376" s="10" t="inlineStr">
        <is>
          <t>CÔNG TY TNHH SẢN XUẤT VÀ THƯƠNG MẠI TRƯƠNG VUI</t>
        </is>
      </c>
      <c r="E4376" s="10" t="inlineStr">
        <is>
          <t>Lương:20 Tr - 25 Tr VND</t>
        </is>
      </c>
      <c r="F4376" s="10" t="inlineStr">
        <is>
          <t>Hồ Chí Minh</t>
        </is>
      </c>
      <c r="G4376" s="10" t="inlineStr">
        <is>
          <t>07-04-2026</t>
        </is>
      </c>
      <c r="H4376" s="10" t="inlineStr">
        <is>
          <t>07/04/2026</t>
        </is>
      </c>
      <c r="I4376" s="10" t="inlineStr">
        <is>
          <t>17/03/2026</t>
        </is>
      </c>
      <c r="J4376" s="10" t="inlineStr">
        <is>
          <t>Kế toán / Kiểm toán, Ngân hàng, Tài chính / Đầu tư</t>
        </is>
      </c>
      <c r="K4376" s="10" t="inlineStr">
        <is>
          <t>5 - 6 Năm</t>
        </is>
      </c>
      <c r="L4376" s="11">
        <f>HYPERLINK("https://careerviet.vn/vi/tim-viec-lam/ke-toan-truong.35C67F4F.html","Xem chi tiết")</f>
        <v/>
      </c>
      <c r="M4376" s="10" t="n"/>
    </row>
    <row r="4377">
      <c r="B4377" s="7" t="n">
        <v>4375</v>
      </c>
      <c r="C4377" t="inlineStr">
        <is>
          <t>Café manager</t>
        </is>
      </c>
      <c r="D4377" t="inlineStr">
        <is>
          <t>CÔNG TY TNHH ILOILOS</t>
        </is>
      </c>
      <c r="E4377" t="inlineStr">
        <is>
          <t>Lương:15 Tr - 25 Tr VND</t>
        </is>
      </c>
      <c r="F4377" t="inlineStr">
        <is>
          <t>Hồ Chí Minh</t>
        </is>
      </c>
      <c r="G4377" t="inlineStr">
        <is>
          <t>07-04-2026</t>
        </is>
      </c>
      <c r="H4377" t="inlineStr">
        <is>
          <t>07/04/2026</t>
        </is>
      </c>
      <c r="I4377" t="inlineStr">
        <is>
          <t>17/03/2026</t>
        </is>
      </c>
      <c r="J4377" t="inlineStr">
        <is>
          <t>Thực phẩm &amp; Đồ uống</t>
        </is>
      </c>
      <c r="K4377" t="inlineStr">
        <is>
          <t>1 - 5 Năm</t>
        </is>
      </c>
      <c r="L4377" s="8">
        <f>HYPERLINK("https://careerviet.vn/vi/tim-viec-lam/cafe-manager.35C67210.html","Xem chi tiết")</f>
        <v/>
      </c>
    </row>
    <row r="4378">
      <c r="B4378" s="9" t="n">
        <v>4376</v>
      </c>
      <c r="C4378" s="10" t="inlineStr">
        <is>
          <t>Nhân Viên Kinh Doanh</t>
        </is>
      </c>
      <c r="D4378" s="10" t="inlineStr">
        <is>
          <t>CÔNG TY TNHH MÁY CHẾ BIẾN THỰC PHẨM SPOW VIỆT NAM</t>
        </is>
      </c>
      <c r="E4378" s="10" t="inlineStr">
        <is>
          <t>Lương:10 Tr - 25 Tr VND</t>
        </is>
      </c>
      <c r="F4378" s="10" t="inlineStr">
        <is>
          <t>Hồ Chí Minh</t>
        </is>
      </c>
      <c r="G4378" s="10" t="inlineStr">
        <is>
          <t>07-04-2026</t>
        </is>
      </c>
      <c r="H4378" s="10" t="inlineStr">
        <is>
          <t>07/04/2026</t>
        </is>
      </c>
      <c r="I4378" s="10" t="inlineStr">
        <is>
          <t>17/03/2026</t>
        </is>
      </c>
      <c r="J4378" s="10" t="inlineStr">
        <is>
          <t>Bán hàng / Kinh doanh, Tư vấn, Bán Hàng Kỹ Thuật</t>
        </is>
      </c>
      <c r="K4378" s="10" t="inlineStr">
        <is>
          <t>Trên 1 Năm</t>
        </is>
      </c>
      <c r="L4378" s="11">
        <f>HYPERLINK("https://careerviet.vn/vi/tim-viec-lam/nhan-vien-kinh-doanh.35C64D6E.html","Xem chi tiết")</f>
        <v/>
      </c>
      <c r="M4378" s="10" t="n"/>
    </row>
    <row r="4379">
      <c r="B4379" s="7" t="n">
        <v>4377</v>
      </c>
      <c r="C4379" t="inlineStr">
        <is>
          <t>Chuyên Viên Data Analyst (DA)</t>
        </is>
      </c>
      <c r="D4379" t="inlineStr">
        <is>
          <t>Công ty TNHH Thiên Thủy Mộc</t>
        </is>
      </c>
      <c r="E4379" t="inlineStr">
        <is>
          <t>Lương:12 Tr - 18 Tr VND</t>
        </is>
      </c>
      <c r="F4379" t="inlineStr">
        <is>
          <t>Hà Nội</t>
        </is>
      </c>
      <c r="G4379" t="inlineStr">
        <is>
          <t>07-04-2026</t>
        </is>
      </c>
      <c r="H4379" t="inlineStr">
        <is>
          <t>07/04/2026</t>
        </is>
      </c>
      <c r="I4379" t="inlineStr">
        <is>
          <t>17/03/2026</t>
        </is>
      </c>
      <c r="J4379" t="inlineStr">
        <is>
          <t>Dịch vụ khách hàng, CNTT - Phần mềm</t>
        </is>
      </c>
      <c r="K4379" t="inlineStr">
        <is>
          <t>2 - 4 Năm</t>
        </is>
      </c>
      <c r="L4379" s="8">
        <f>HYPERLINK("https://careerviet.vn/vi/tim-viec-lam/chuyen-vien-data-analyst-da.35C67F45.html","Xem chi tiết")</f>
        <v/>
      </c>
    </row>
    <row r="4380">
      <c r="B4380" s="9" t="n">
        <v>4378</v>
      </c>
      <c r="C4380" s="10" t="inlineStr">
        <is>
          <t>Chuyên Viên Khai Báo Hải Quan</t>
        </is>
      </c>
      <c r="D4380" s="10" t="inlineStr">
        <is>
          <t>Công ty TNHH Sao Vàng</t>
        </is>
      </c>
      <c r="E4380" s="10" t="inlineStr">
        <is>
          <t>Lương:10 Tr - 15 Tr VND</t>
        </is>
      </c>
      <c r="F4380" s="10" t="inlineStr">
        <is>
          <t>Hải Phòng</t>
        </is>
      </c>
      <c r="G4380" s="10" t="inlineStr">
        <is>
          <t>07-04-2026</t>
        </is>
      </c>
      <c r="H4380" s="10" t="inlineStr">
        <is>
          <t>07/04/2026</t>
        </is>
      </c>
      <c r="I4380" s="10" t="inlineStr">
        <is>
          <t>17/03/2026</t>
        </is>
      </c>
      <c r="J4380" s="10" t="inlineStr">
        <is>
          <t>Xuất nhập khẩu</t>
        </is>
      </c>
      <c r="K4380" s="10" t="inlineStr">
        <is>
          <t>N/A</t>
        </is>
      </c>
      <c r="L4380" s="11">
        <f>HYPERLINK("https://careerviet.vn/vi/tim-viec-lam/chuyen-vien-khai-bao-hai-quan.35C67DDA.html","Xem chi tiết")</f>
        <v/>
      </c>
      <c r="M4380" s="10" t="n"/>
    </row>
    <row r="4381">
      <c r="B4381" s="7" t="n">
        <v>4379</v>
      </c>
      <c r="C4381" t="inlineStr">
        <is>
          <t>Nhân viên kế toán nội bộ</t>
        </is>
      </c>
      <c r="D4381" t="inlineStr">
        <is>
          <t>CÔNG TY CỔ PHẦN SEREPOK</t>
        </is>
      </c>
      <c r="E4381" t="inlineStr">
        <is>
          <t>Lương:Cạnh tranh</t>
        </is>
      </c>
      <c r="F4381" t="inlineStr">
        <is>
          <t>Hồ Chí Minh</t>
        </is>
      </c>
      <c r="G4381" t="inlineStr">
        <is>
          <t>07-04-2026</t>
        </is>
      </c>
      <c r="H4381" t="inlineStr">
        <is>
          <t>07/04/2026</t>
        </is>
      </c>
      <c r="I4381" t="inlineStr">
        <is>
          <t>17/03/2026</t>
        </is>
      </c>
      <c r="J4381" t="inlineStr">
        <is>
          <t>Kế toán / Kiểm toán, Tài chính / Đầu tư, Bất động sản</t>
        </is>
      </c>
      <c r="K4381" t="inlineStr">
        <is>
          <t>1 - 3 Năm</t>
        </is>
      </c>
      <c r="L4381" s="8">
        <f>HYPERLINK("https://careerviet.vn/vi/tim-viec-lam/nhan-vien-ke-toan-noi-bo.35C67F64.html","Xem chi tiết")</f>
        <v/>
      </c>
    </row>
    <row r="4382">
      <c r="B4382" s="9" t="n">
        <v>4380</v>
      </c>
      <c r="C4382" s="10" t="inlineStr">
        <is>
          <t>Trưởng Phòng Vé Máy Bay</t>
        </is>
      </c>
      <c r="D4382" s="10" t="inlineStr">
        <is>
          <t>CÔNG TY TNHH CÔNG NGHỆ QUANG ĐIỆN TỬ</t>
        </is>
      </c>
      <c r="E4382" s="10" t="inlineStr">
        <is>
          <t>Lương:Trên 40 Tr VND</t>
        </is>
      </c>
      <c r="F4382" s="10" t="inlineStr">
        <is>
          <t>Hà Nội</t>
        </is>
      </c>
      <c r="G4382" s="10" t="inlineStr">
        <is>
          <t>07-04-2026</t>
        </is>
      </c>
      <c r="H4382" s="10" t="inlineStr">
        <is>
          <t>07/04/2026</t>
        </is>
      </c>
      <c r="I4382" s="10" t="inlineStr">
        <is>
          <t>17/03/2026</t>
        </is>
      </c>
      <c r="J4382" s="10" t="inlineStr">
        <is>
          <t>Hàng không, Bán hàng / Kinh doanh, Du lịch</t>
        </is>
      </c>
      <c r="K4382" s="10" t="inlineStr">
        <is>
          <t>5 Năm</t>
        </is>
      </c>
      <c r="L4382" s="11">
        <f>HYPERLINK("https://careerviet.vn/vi/tim-viec-lam/truong-phong-ve-may-bay.35C64E2B.html","Xem chi tiết")</f>
        <v/>
      </c>
      <c r="M4382" s="10" t="n"/>
    </row>
    <row r="4383">
      <c r="B4383" s="7" t="n">
        <v>4381</v>
      </c>
      <c r="C4383" t="inlineStr">
        <is>
          <t>QC Staff / Nhân Viên Chất Lượng</t>
        </is>
      </c>
      <c r="D4383" t="inlineStr">
        <is>
          <t>CÔNG TY TNHH APEIRON BIOENERGY (VIET NAM)</t>
        </is>
      </c>
      <c r="E4383" t="inlineStr">
        <is>
          <t>Lương:10 Tr - 12 Tr VND</t>
        </is>
      </c>
      <c r="F4383" t="inlineStr">
        <is>
          <t>Hà Nội</t>
        </is>
      </c>
      <c r="G4383" t="inlineStr">
        <is>
          <t>07-04-2026</t>
        </is>
      </c>
      <c r="H4383" t="inlineStr">
        <is>
          <t>07/04/2026</t>
        </is>
      </c>
      <c r="I4383" t="inlineStr">
        <is>
          <t>17/03/2026</t>
        </is>
      </c>
      <c r="J4383" t="inlineStr">
        <is>
          <t>Quản lý chất lượng (QA/QC), Nông nghiệp, Hóa học</t>
        </is>
      </c>
      <c r="K4383" t="inlineStr">
        <is>
          <t>Trên 1 Năm</t>
        </is>
      </c>
      <c r="L4383" s="8">
        <f>HYPERLINK("https://careerviet.vn/vi/tim-viec-lam/qc-staff-nhan-vien-chat-luong.35C64E5E.html","Xem chi tiết")</f>
        <v/>
      </c>
    </row>
    <row r="4384">
      <c r="B4384" s="9" t="n">
        <v>4382</v>
      </c>
      <c r="C4384" s="10" t="inlineStr">
        <is>
          <t>Project Engineer</t>
        </is>
      </c>
      <c r="D4384" s="10" t="inlineStr">
        <is>
          <t>GOLDWIND INTERNATIONAL VIETNAM</t>
        </is>
      </c>
      <c r="E4384" s="10" t="inlineStr">
        <is>
          <t>Lương:Cạnh tranh</t>
        </is>
      </c>
      <c r="F4384" s="10" t="inlineStr">
        <is>
          <t>Đồng Bằng Sông Cửu Long</t>
        </is>
      </c>
      <c r="G4384" s="10" t="inlineStr">
        <is>
          <t>07-04-2026</t>
        </is>
      </c>
      <c r="H4384" s="10" t="inlineStr">
        <is>
          <t>07/04/2026</t>
        </is>
      </c>
      <c r="I4384" s="10" t="inlineStr">
        <is>
          <t>17/03/2026</t>
        </is>
      </c>
      <c r="J4384" s="10" t="inlineStr">
        <is>
          <t>Điện / Điện tử / Điện lạnh / Điện công nghiệp</t>
        </is>
      </c>
      <c r="K4384" s="10" t="inlineStr">
        <is>
          <t>1 - 3 Năm</t>
        </is>
      </c>
      <c r="L4384" s="11">
        <f>HYPERLINK("https://careerviet.vn/vi/tim-viec-lam/project-engineer.35C67F71.html","Xem chi tiết")</f>
        <v/>
      </c>
      <c r="M4384" s="10" t="n"/>
    </row>
    <row r="4385">
      <c r="B4385" s="7" t="n">
        <v>4383</v>
      </c>
      <c r="C4385" t="inlineStr">
        <is>
          <t>Trợ Lý GĐ QHKH - Khối KHDN - HN &amp; HCM - ID541</t>
        </is>
      </c>
      <c r="D4385" t="inlineStr">
        <is>
          <t>Ngân Hàng TMCP Việt Nam Thịnh Vượng - VPBANK</t>
        </is>
      </c>
      <c r="E4385" t="inlineStr">
        <is>
          <t>Lương:Cạnh tranh</t>
        </is>
      </c>
      <c r="F4385" t="inlineStr">
        <is>
          <t>Hà NộiHồ Chí Minh</t>
        </is>
      </c>
      <c r="G4385" t="inlineStr">
        <is>
          <t>07-04-2026</t>
        </is>
      </c>
      <c r="H4385" t="inlineStr">
        <is>
          <t>07/04/2026</t>
        </is>
      </c>
      <c r="I4385" t="inlineStr">
        <is>
          <t>17/03/2026</t>
        </is>
      </c>
      <c r="J4385" t="inlineStr">
        <is>
          <t>Bán hàng / Kinh doanh, Hành chính / Thư ký</t>
        </is>
      </c>
      <c r="K4385" t="inlineStr">
        <is>
          <t>2 - 3 Năm</t>
        </is>
      </c>
      <c r="L4385" s="8">
        <f>HYPERLINK("https://careerviet.vn/vi/tim-viec-lam/tro-ly-gd-qhkh-khoi-khdn-hn-hcm-id541.35C64C69.html","Xem chi tiết")</f>
        <v/>
      </c>
    </row>
    <row r="4386">
      <c r="B4386" s="9" t="n">
        <v>4384</v>
      </c>
      <c r="C4386" s="10" t="inlineStr">
        <is>
          <t>Senior Business Development Specialist</t>
        </is>
      </c>
      <c r="D4386" s="10" t="inlineStr">
        <is>
          <t>Công ty TNHH Olam Việt Nam</t>
        </is>
      </c>
      <c r="E4386" s="10" t="inlineStr">
        <is>
          <t>Lương:Cạnh tranh</t>
        </is>
      </c>
      <c r="F4386" s="10" t="inlineStr">
        <is>
          <t>Đồng Nai</t>
        </is>
      </c>
      <c r="G4386" s="10" t="inlineStr">
        <is>
          <t>07-04-2026</t>
        </is>
      </c>
      <c r="H4386" s="10" t="inlineStr">
        <is>
          <t>07/04/2026</t>
        </is>
      </c>
      <c r="I4386" s="10" t="inlineStr">
        <is>
          <t>17/03/2026</t>
        </is>
      </c>
      <c r="J4386" s="10" t="inlineStr">
        <is>
          <t>Bán hàng / Kinh doanh, Nông nghiệp</t>
        </is>
      </c>
      <c r="K4386" s="10" t="inlineStr">
        <is>
          <t>3 - 5 Năm</t>
        </is>
      </c>
      <c r="L4386" s="11">
        <f>HYPERLINK("https://careerviet.vn/vi/tim-viec-lam/senior-business-development-specialist.35C64D67.html","Xem chi tiết")</f>
        <v/>
      </c>
      <c r="M4386" s="10" t="n"/>
    </row>
    <row r="4387">
      <c r="B4387" s="7" t="n">
        <v>4385</v>
      </c>
      <c r="C4387" t="inlineStr">
        <is>
          <t>Nhân Viên Bảo Trì Garage (ô tô, máy nông nghiệp - Lâm Đồng)</t>
        </is>
      </c>
      <c r="D4387" t="inlineStr">
        <is>
          <t>Công Ty Cổ Phần Tập Đoàn TH</t>
        </is>
      </c>
      <c r="E4387" t="inlineStr">
        <is>
          <t>Lương:10 Tr - 15 Tr VND</t>
        </is>
      </c>
      <c r="F4387" t="inlineStr">
        <is>
          <t>Lâm Đồng</t>
        </is>
      </c>
      <c r="G4387" t="inlineStr">
        <is>
          <t>07-04-2026</t>
        </is>
      </c>
      <c r="H4387" t="inlineStr">
        <is>
          <t>07/04/2026</t>
        </is>
      </c>
      <c r="I4387" t="inlineStr">
        <is>
          <t>17/03/2026</t>
        </is>
      </c>
      <c r="J4387" t="inlineStr">
        <is>
          <t>Cơ khí / Ô tô / Tự động hóa, Điện / Điện tử / Điện lạnh / Điện công nghiệp, Mới tốt nghiệp / Thực tập</t>
        </is>
      </c>
      <c r="K4387" t="inlineStr">
        <is>
          <t>N/A</t>
        </is>
      </c>
      <c r="L4387" s="8">
        <f>HYPERLINK("https://careerviet.vn/vi/tim-viec-lam/nhan-vien-bao-tri-garage-o-to-may-nong-nghiep-lam-dong.35C64CB4.html","Xem chi tiết")</f>
        <v/>
      </c>
    </row>
    <row r="4388">
      <c r="B4388" s="9" t="n">
        <v>4386</v>
      </c>
      <c r="C4388" s="10" t="inlineStr">
        <is>
          <t>Chuyên Viên Kinh Doanh - Ngành Quà tặng khuyến mãi</t>
        </is>
      </c>
      <c r="D4388" s="10" t="inlineStr">
        <is>
          <t>Công ty Cổ Phần Thảo Mộc Xanh</t>
        </is>
      </c>
      <c r="E4388" s="10" t="inlineStr">
        <is>
          <t>Lương:Cạnh tranh</t>
        </is>
      </c>
      <c r="F4388" s="10" t="inlineStr">
        <is>
          <t>Hồ Chí Minh</t>
        </is>
      </c>
      <c r="G4388" s="10" t="inlineStr">
        <is>
          <t>07-04-2026</t>
        </is>
      </c>
      <c r="H4388" s="10" t="inlineStr">
        <is>
          <t>07/04/2026</t>
        </is>
      </c>
      <c r="I4388" s="10" t="inlineStr">
        <is>
          <t>17/03/2026</t>
        </is>
      </c>
      <c r="J4388" s="10" t="inlineStr">
        <is>
          <t>Tiếp thị / Marketing, Bán hàng / Kinh doanh, Quảng cáo / Đối ngoại / Truyền Thông</t>
        </is>
      </c>
      <c r="K4388" s="10" t="inlineStr">
        <is>
          <t>Trên 2 Năm</t>
        </is>
      </c>
      <c r="L4388" s="11">
        <f>HYPERLINK("https://careerviet.vn/vi/tim-viec-lam/chuyen-vien-kinh-doanh-nganh-qua-tang-khuyen-mai.35BF9EB9.html","Xem chi tiết")</f>
        <v/>
      </c>
      <c r="M4388" s="10" t="n"/>
    </row>
    <row r="4389">
      <c r="B4389" s="7" t="n">
        <v>4387</v>
      </c>
      <c r="C4389" t="inlineStr">
        <is>
          <t>Quản Lý Đơn Hàng</t>
        </is>
      </c>
      <c r="D4389" t="inlineStr">
        <is>
          <t>Công ty CP TCE VINA DENIM</t>
        </is>
      </c>
      <c r="E4389" t="inlineStr">
        <is>
          <t>Lương:Trên 20 Tr VND</t>
        </is>
      </c>
      <c r="F4389" t="inlineStr">
        <is>
          <t>Nam ĐịnhHà Nội</t>
        </is>
      </c>
      <c r="G4389" t="inlineStr">
        <is>
          <t>06-04-2026</t>
        </is>
      </c>
      <c r="H4389" t="inlineStr">
        <is>
          <t>06/04/2026</t>
        </is>
      </c>
      <c r="I4389" t="inlineStr">
        <is>
          <t>17/03/2026</t>
        </is>
      </c>
      <c r="J4389" t="inlineStr">
        <is>
          <t>Thu mua / Vật tư, Dệt may / Da giày / Thời trang, Sản xuất / Vận hành sản xuất</t>
        </is>
      </c>
      <c r="K4389" t="inlineStr">
        <is>
          <t>Trên 2 Năm</t>
        </is>
      </c>
      <c r="L4389" s="8">
        <f>HYPERLINK("https://careerviet.vn/vi/tim-viec-lam/quan-ly-don-hang.35C64DF2.html","Xem chi tiết")</f>
        <v/>
      </c>
    </row>
    <row r="4390">
      <c r="B4390" s="9" t="n">
        <v>4388</v>
      </c>
      <c r="C4390" s="10" t="inlineStr">
        <is>
          <t>Nhân Viên Nghiệp Vụ Tiếng Trung</t>
        </is>
      </c>
      <c r="D4390" s="10" t="inlineStr">
        <is>
          <t>Công ty TNHH Sao Vàng</t>
        </is>
      </c>
      <c r="E4390" s="10" t="inlineStr">
        <is>
          <t>Lương:10 Tr - 15 Tr VND</t>
        </is>
      </c>
      <c r="F4390" s="10" t="inlineStr">
        <is>
          <t>Hải Phòng</t>
        </is>
      </c>
      <c r="G4390" s="10" t="inlineStr">
        <is>
          <t>07-04-2026</t>
        </is>
      </c>
      <c r="H4390" s="10" t="inlineStr">
        <is>
          <t>07/04/2026</t>
        </is>
      </c>
      <c r="I4390" s="10" t="inlineStr">
        <is>
          <t>17/03/2026</t>
        </is>
      </c>
      <c r="J4390" s="10" t="inlineStr">
        <is>
          <t>Dệt may / Da giày / Thời trang, Biên phiên dịch, Hành chính / Thư ký</t>
        </is>
      </c>
      <c r="K4390" s="10" t="inlineStr">
        <is>
          <t>N/A</t>
        </is>
      </c>
      <c r="L4390" s="11">
        <f>HYPERLINK("https://careerviet.vn/vi/tim-viec-lam/nhan-vien-nghiep-vu-tieng-trung.35C67DE5.html","Xem chi tiết")</f>
        <v/>
      </c>
      <c r="M4390" s="10" t="n"/>
    </row>
    <row r="4391">
      <c r="B4391" s="7" t="n">
        <v>4389</v>
      </c>
      <c r="C4391" t="inlineStr">
        <is>
          <t>SAP CONSULTANT (FICO/PP/SD/MM/EWM)</t>
        </is>
      </c>
      <c r="D4391" t="inlineStr">
        <is>
          <t>CÔNG TY CỔ PHẦN CÔNG NGHỆ CITEK</t>
        </is>
      </c>
      <c r="E4391" t="inlineStr">
        <is>
          <t>Lương:600 - 3.000 USD</t>
        </is>
      </c>
      <c r="F4391" t="inlineStr">
        <is>
          <t>Hồ Chí MinhHà Nội</t>
        </is>
      </c>
      <c r="G4391" t="inlineStr">
        <is>
          <t>07-04-2026</t>
        </is>
      </c>
      <c r="H4391" t="inlineStr">
        <is>
          <t>07/04/2026</t>
        </is>
      </c>
      <c r="I4391" t="inlineStr">
        <is>
          <t>17/03/2026</t>
        </is>
      </c>
      <c r="J4391" t="inlineStr">
        <is>
          <t>Kế toán / Kiểm toán, CNTT - Phần mềm, Sản xuất / Vận hành sản xuất</t>
        </is>
      </c>
      <c r="K4391" t="inlineStr">
        <is>
          <t>2 - 10 Năm</t>
        </is>
      </c>
      <c r="L4391" s="8">
        <f>HYPERLINK("https://careerviet.vn/vi/tim-viec-lam/sap-consultant-fico-pp-sd-mm-ewm.35C67F70.html","Xem chi tiết")</f>
        <v/>
      </c>
    </row>
    <row r="4392">
      <c r="B4392" s="9" t="n">
        <v>4390</v>
      </c>
      <c r="C4392" s="10" t="inlineStr">
        <is>
          <t>[Hà Nội] Nhân Viên Bán Hàng/Kinh Doanh</t>
        </is>
      </c>
      <c r="D4392" s="10" t="inlineStr">
        <is>
          <t>Coca-Cola Beverages Vietnam</t>
        </is>
      </c>
      <c r="E4392" s="10" t="inlineStr">
        <is>
          <t>Lương:10 Tr - 15 Tr VND</t>
        </is>
      </c>
      <c r="F4392" s="10" t="inlineStr">
        <is>
          <t>Hà Nội</t>
        </is>
      </c>
      <c r="G4392" s="10" t="inlineStr">
        <is>
          <t>07-04-2026</t>
        </is>
      </c>
      <c r="H4392" s="10" t="inlineStr">
        <is>
          <t>07/04/2026</t>
        </is>
      </c>
      <c r="I4392" s="10" t="inlineStr">
        <is>
          <t>17/03/2026</t>
        </is>
      </c>
      <c r="J4392" s="10" t="inlineStr">
        <is>
          <t>Bán hàng / Kinh doanh, Thực phẩm &amp; Đồ uống</t>
        </is>
      </c>
      <c r="K4392" s="10" t="inlineStr">
        <is>
          <t>1 - 3 Năm</t>
        </is>
      </c>
      <c r="L4392" s="11">
        <f>HYPERLINK("https://careerviet.vn/vi/tim-viec-lam/ha-noi-nhan-vien-ban-hang-kinh-doanh.35C64CE0.html","Xem chi tiết")</f>
        <v/>
      </c>
      <c r="M4392" s="10" t="n"/>
    </row>
    <row r="4393">
      <c r="B4393" s="7" t="n">
        <v>4391</v>
      </c>
      <c r="C4393" t="inlineStr">
        <is>
          <t>Nhân viên Digital Marketing</t>
        </is>
      </c>
      <c r="D4393" t="inlineStr">
        <is>
          <t>BỆNH VIỆN ĐA KHOA PHƯƠNG ĐÔNG</t>
        </is>
      </c>
      <c r="E4393" t="inlineStr">
        <is>
          <t>Lương:Cạnh tranh</t>
        </is>
      </c>
      <c r="F4393" t="inlineStr">
        <is>
          <t>Hà Nội</t>
        </is>
      </c>
      <c r="G4393" t="inlineStr">
        <is>
          <t>07-04-2026</t>
        </is>
      </c>
      <c r="H4393" t="inlineStr">
        <is>
          <t>07/04/2026</t>
        </is>
      </c>
      <c r="I4393" t="inlineStr">
        <is>
          <t>17/03/2026</t>
        </is>
      </c>
      <c r="J4393" t="inlineStr">
        <is>
          <t>Tiếp thị / Marketing, Giáo dục / Đào tạo</t>
        </is>
      </c>
      <c r="K4393" t="inlineStr">
        <is>
          <t>1 - 2 Năm</t>
        </is>
      </c>
      <c r="L4393" s="8">
        <f>HYPERLINK("https://careerviet.vn/vi/tim-viec-lam/nhan-vien-digital-marketing.35C67F5B.html","Xem chi tiết")</f>
        <v/>
      </c>
    </row>
    <row r="4394">
      <c r="B4394" s="9" t="n">
        <v>4392</v>
      </c>
      <c r="C4394" s="10" t="inlineStr">
        <is>
          <t>Kỹ sư giám sát cơ điện</t>
        </is>
      </c>
      <c r="D4394" s="10" t="inlineStr">
        <is>
          <t>CÔNG TY CỔ PHẨN ỨNG DỤNG VÀ CHUYỂN GIAO CÔNG NGHỆ XÂY DỰNG (CJSC)</t>
        </is>
      </c>
      <c r="E4394" s="10" t="inlineStr">
        <is>
          <t>Lương:20 Tr - 25 Tr VND</t>
        </is>
      </c>
      <c r="F4394" s="10" t="inlineStr">
        <is>
          <t>Vĩnh PhúcBắc NinhThái Bình</t>
        </is>
      </c>
      <c r="G4394" s="10" t="inlineStr">
        <is>
          <t>07-04-2026</t>
        </is>
      </c>
      <c r="H4394" s="10" t="inlineStr">
        <is>
          <t>07/04/2026</t>
        </is>
      </c>
      <c r="I4394" s="10" t="inlineStr">
        <is>
          <t>17/03/2026</t>
        </is>
      </c>
      <c r="J4394" s="10" t="inlineStr">
        <is>
          <t>Điện / Điện tử / Điện lạnh / Điện công nghiệp, Xây dựng</t>
        </is>
      </c>
      <c r="K4394" s="10" t="inlineStr">
        <is>
          <t>Trên 3 Năm</t>
        </is>
      </c>
      <c r="L4394" s="11">
        <f>HYPERLINK("https://careerviet.vn/vi/tim-viec-lam/ky-su-giam-sat-co-dien.35C67E06.html","Xem chi tiết")</f>
        <v/>
      </c>
      <c r="M4394" s="10" t="n"/>
    </row>
    <row r="4395">
      <c r="B4395" s="7" t="n">
        <v>4393</v>
      </c>
      <c r="C4395" t="inlineStr">
        <is>
          <t>[Hà Nội] Phiên dịch viên tiếng Hàn</t>
        </is>
      </c>
      <c r="D4395" t="inlineStr">
        <is>
          <t>LOTTE FINANCE VIETNAM</t>
        </is>
      </c>
      <c r="E4395" t="inlineStr">
        <is>
          <t>Lương:Cạnh tranh</t>
        </is>
      </c>
      <c r="F4395" t="inlineStr">
        <is>
          <t>Hà Nội</t>
        </is>
      </c>
      <c r="G4395" t="inlineStr">
        <is>
          <t>07-04-2026</t>
        </is>
      </c>
      <c r="H4395" t="inlineStr">
        <is>
          <t>07/04/2026</t>
        </is>
      </c>
      <c r="I4395" t="inlineStr">
        <is>
          <t>17/03/2026</t>
        </is>
      </c>
      <c r="J4395" t="inlineStr">
        <is>
          <t>Biên phiên dịch, Ngân hàng, Tài chính / Đầu tư</t>
        </is>
      </c>
      <c r="K4395" t="inlineStr">
        <is>
          <t>Trên 1 Năm</t>
        </is>
      </c>
      <c r="L4395" s="8">
        <f>HYPERLINK("https://careerviet.vn/vi/tim-viec-lam/ha-noi-phien-dich-vien-tieng-han.35C67F72.html","Xem chi tiết")</f>
        <v/>
      </c>
    </row>
    <row r="4396">
      <c r="B4396" s="9" t="n">
        <v>4394</v>
      </c>
      <c r="C4396" s="10" t="inlineStr">
        <is>
          <t>Kế Toán Trưởng - Ngành Gỗ</t>
        </is>
      </c>
      <c r="D4396" s="10" t="inlineStr">
        <is>
          <t>CÔNG TY TNHH THANH THÙY</t>
        </is>
      </c>
      <c r="E4396" s="10" t="inlineStr">
        <is>
          <t>Lương:25 Tr - 35 Tr VND</t>
        </is>
      </c>
      <c r="F4396" s="10" t="inlineStr">
        <is>
          <t>Hồ Chí Minh</t>
        </is>
      </c>
      <c r="G4396" s="10" t="inlineStr">
        <is>
          <t>26-03-2026</t>
        </is>
      </c>
      <c r="H4396" s="10" t="inlineStr">
        <is>
          <t>26/03/2026</t>
        </is>
      </c>
      <c r="I4396" s="10" t="inlineStr">
        <is>
          <t>17/03/2026</t>
        </is>
      </c>
      <c r="J4396" s="10" t="inlineStr">
        <is>
          <t>Sản xuất / Vận hành sản xuất, Kế toán / Kiểm toán, Đồ gỗ</t>
        </is>
      </c>
      <c r="K4396" s="10" t="inlineStr">
        <is>
          <t>5 - 7 Năm</t>
        </is>
      </c>
      <c r="L4396" s="11">
        <f>HYPERLINK("https://careerviet.vn/vi/tim-viec-lam/ke-toan-truong-nganh-go.35C69D65.html","Xem chi tiết")</f>
        <v/>
      </c>
      <c r="M4396" s="10" t="n"/>
    </row>
    <row r="4397">
      <c r="B4397" s="7" t="n">
        <v>4395</v>
      </c>
      <c r="C4397" t="inlineStr">
        <is>
          <t>[Quận 12, HCM] Nhân viên Sales Văn Phòng Sản Phẩm Dinh Dưỡng - Thu Nhập từ 10 - 15 Triệu Tháng - Data Khách Hàng Có Sẵn</t>
        </is>
      </c>
      <c r="D4397" t="inlineStr">
        <is>
          <t>Vietnam Concentrix Services Company Limited</t>
        </is>
      </c>
      <c r="E4397" t="inlineStr">
        <is>
          <t>Lương:10 Tr - 20 Tr VND</t>
        </is>
      </c>
      <c r="F4397" t="inlineStr">
        <is>
          <t>Hồ Chí Minh</t>
        </is>
      </c>
      <c r="G4397" t="inlineStr">
        <is>
          <t>07-04-2026</t>
        </is>
      </c>
      <c r="H4397" t="inlineStr">
        <is>
          <t>07/04/2026</t>
        </is>
      </c>
      <c r="I4397" t="inlineStr">
        <is>
          <t>17/03/2026</t>
        </is>
      </c>
      <c r="J4397" t="inlineStr">
        <is>
          <t>Bán hàng / Kinh doanh</t>
        </is>
      </c>
      <c r="K4397" t="inlineStr">
        <is>
          <t>Chưa có kinh nghiệm</t>
        </is>
      </c>
      <c r="L4397" s="8">
        <f>HYPERLINK("https://careerviet.vn/vi/tim-viec-lam/quan-12-hcm-nhan-vien-sales-van-phong-san-pham-dinh-duong-thu-nhap-tu-10-15-trieu-thang-data-khach-hang-co-san.35C64D4C.html","Xem chi tiết")</f>
        <v/>
      </c>
    </row>
    <row r="4398">
      <c r="B4398" s="9" t="n">
        <v>4396</v>
      </c>
      <c r="C4398" s="10" t="inlineStr">
        <is>
          <t>CHUYÊN VIÊN R&amp;D CẤP CAO - NGÀNH SỮA NƯỚC</t>
        </is>
      </c>
      <c r="D4398" s="10" t="inlineStr">
        <is>
          <t>Công ty Cổ Phần Thực Phẩm Dinh Dưỡng NutiFood</t>
        </is>
      </c>
      <c r="E4398" s="10" t="inlineStr">
        <is>
          <t>Lương:22 Tr - 30 Tr VND</t>
        </is>
      </c>
      <c r="F4398" s="10" t="inlineStr">
        <is>
          <t>Hồ Chí Minh</t>
        </is>
      </c>
      <c r="G4398" s="10" t="inlineStr">
        <is>
          <t>27-03-2026</t>
        </is>
      </c>
      <c r="H4398" s="10" t="inlineStr">
        <is>
          <t>27/03/2026</t>
        </is>
      </c>
      <c r="I4398" s="10" t="inlineStr">
        <is>
          <t>17/03/2026</t>
        </is>
      </c>
      <c r="J4398" s="10" t="inlineStr">
        <is>
          <t>Thực phẩm &amp; Đồ uống, Công nghệ thực phẩm / Dinh dưỡng</t>
        </is>
      </c>
      <c r="K4398" s="10" t="inlineStr">
        <is>
          <t>3 - 4 Năm</t>
        </is>
      </c>
      <c r="L4398" s="11">
        <f>HYPERLINK("https://careerviet.vn/vi/tim-viec-lam/chuyen-vien-r-d-cap-cao-nganh-sua-nuoc.35C69E2E.html","Xem chi tiết")</f>
        <v/>
      </c>
      <c r="M4398" s="10" t="n"/>
    </row>
    <row r="4399">
      <c r="B4399" s="7" t="n">
        <v>4397</v>
      </c>
      <c r="C4399" t="inlineStr">
        <is>
          <t>Chuyên Viên Quản Lý MEP</t>
        </is>
      </c>
      <c r="D4399" t="inlineStr">
        <is>
          <t>Công Ty TNHH Gotec Việt Nam</t>
        </is>
      </c>
      <c r="E4399" t="inlineStr">
        <is>
          <t>Lương:Cạnh tranh</t>
        </is>
      </c>
      <c r="F4399" t="inlineStr">
        <is>
          <t>Hồ Chí Minh</t>
        </is>
      </c>
      <c r="G4399" t="inlineStr">
        <is>
          <t>27-03-2026</t>
        </is>
      </c>
      <c r="H4399" t="inlineStr">
        <is>
          <t>27/03/2026</t>
        </is>
      </c>
      <c r="I4399" t="inlineStr">
        <is>
          <t>17/03/2026</t>
        </is>
      </c>
      <c r="J4399" t="inlineStr">
        <is>
          <t>Xây dựng, Bất động sản, Điện / Điện tử / Điện lạnh / Điện công nghiệp</t>
        </is>
      </c>
      <c r="K4399" t="inlineStr">
        <is>
          <t>Trên 3 Năm</t>
        </is>
      </c>
      <c r="L4399" s="8">
        <f>HYPERLINK("https://careerviet.vn/vi/tim-viec-lam/chuyen-vien-quan-ly-mep.35C69E88.html","Xem chi tiết")</f>
        <v/>
      </c>
    </row>
    <row r="4400">
      <c r="B4400" s="9" t="n">
        <v>4398</v>
      </c>
      <c r="C4400" s="10" t="inlineStr">
        <is>
          <t>Chuyên viên kinh doanh ngoại hối - Khối Nguồn vốn và thị trường tài chính</t>
        </is>
      </c>
      <c r="D4400" s="10" t="inlineStr">
        <is>
          <t>Ngân hàng TMCP Đại Chúng Việt Nam - PVcomBank</t>
        </is>
      </c>
      <c r="E4400" s="10" t="inlineStr">
        <is>
          <t>Lương:Cạnh tranh</t>
        </is>
      </c>
      <c r="F4400" s="10" t="inlineStr">
        <is>
          <t>Hà Nội</t>
        </is>
      </c>
      <c r="G4400" s="10" t="inlineStr">
        <is>
          <t>07-04-2026</t>
        </is>
      </c>
      <c r="H4400" s="10" t="inlineStr">
        <is>
          <t>07/04/2026</t>
        </is>
      </c>
      <c r="I4400" s="10" t="inlineStr">
        <is>
          <t>17/03/2026</t>
        </is>
      </c>
      <c r="J4400" s="10" t="inlineStr">
        <is>
          <t>Ngân hàng</t>
        </is>
      </c>
      <c r="K4400" s="10" t="inlineStr">
        <is>
          <t>2 - 10 Năm</t>
        </is>
      </c>
      <c r="L4400" s="11">
        <f>HYPERLINK("https://careerviet.vn/vi/tim-viec-lam/chuyen-vien-kinh-doanh-ngoai-hoi-khoi-nguon-von-va-thi-truong-tai-chinh.35C67F46.html","Xem chi tiết")</f>
        <v/>
      </c>
      <c r="M4400" s="10" t="n"/>
    </row>
    <row r="4401">
      <c r="B4401" s="7" t="n">
        <v>4399</v>
      </c>
      <c r="C4401" t="inlineStr">
        <is>
          <t>Kế toán trưởng - Kế toán tổng hợp - ĐI LÀM NGAY</t>
        </is>
      </c>
      <c r="D4401" t="inlineStr">
        <is>
          <t>CÔNG TY TNHH DỊCH VỤ Y TẾ PHÒNG KHÁM ĐA KHOA PHÚ ĐỨC</t>
        </is>
      </c>
      <c r="E4401" t="inlineStr">
        <is>
          <t>Lương:16 Tr - 20 Tr VND</t>
        </is>
      </c>
      <c r="F4401" t="inlineStr">
        <is>
          <t>Hồ Chí Minh</t>
        </is>
      </c>
      <c r="G4401" t="inlineStr">
        <is>
          <t>07-04-2026</t>
        </is>
      </c>
      <c r="H4401" t="inlineStr">
        <is>
          <t>07/04/2026</t>
        </is>
      </c>
      <c r="I4401" t="inlineStr">
        <is>
          <t>17/03/2026</t>
        </is>
      </c>
      <c r="J4401" t="inlineStr">
        <is>
          <t>Y tế / Chăm sóc sức khỏe / Thẩm mỹ / Làm đẹp, Kế toán / Kiểm toán, Tài chính / Đầu tư</t>
        </is>
      </c>
      <c r="K4401" t="inlineStr">
        <is>
          <t>3 - 5 Năm</t>
        </is>
      </c>
      <c r="L4401" s="8">
        <f>HYPERLINK("https://careerviet.vn/vi/tim-viec-lam/ke-toan-truong-ke-toan-tong-hop-di-lam-ngay.35C64D92.html","Xem chi tiết")</f>
        <v/>
      </c>
    </row>
    <row r="4402">
      <c r="B4402" s="9" t="n">
        <v>4400</v>
      </c>
      <c r="C4402" s="10" t="inlineStr">
        <is>
          <t>Chuyên viên pháp chế</t>
        </is>
      </c>
      <c r="D4402" s="10" t="inlineStr">
        <is>
          <t>Xuân Cầu Holdings</t>
        </is>
      </c>
      <c r="E4402" s="10" t="inlineStr">
        <is>
          <t>Lương:15 Tr - 25 Tr VND</t>
        </is>
      </c>
      <c r="F4402" s="10" t="inlineStr">
        <is>
          <t>Hà Nội</t>
        </is>
      </c>
      <c r="G4402" s="10" t="inlineStr">
        <is>
          <t>28-03-2026</t>
        </is>
      </c>
      <c r="H4402" s="10" t="inlineStr">
        <is>
          <t>28/03/2026</t>
        </is>
      </c>
      <c r="I4402" s="10" t="inlineStr">
        <is>
          <t>17/03/2026</t>
        </is>
      </c>
      <c r="J4402" s="10" t="inlineStr">
        <is>
          <t>Luật / Pháp lý, Tài chính / Đầu tư</t>
        </is>
      </c>
      <c r="K4402" s="10" t="inlineStr">
        <is>
          <t>3 - 10 Năm</t>
        </is>
      </c>
      <c r="L4402" s="11">
        <f>HYPERLINK("https://careerviet.vn/vi/tim-viec-lam/chuyen-vien-phap-che.35C69EDE.html","Xem chi tiết")</f>
        <v/>
      </c>
      <c r="M4402" s="10" t="n"/>
    </row>
    <row r="4403">
      <c r="B4403" s="7" t="n">
        <v>4401</v>
      </c>
      <c r="C4403" t="inlineStr">
        <is>
          <t>KẾ TOÁN THANH TOÁN (TUYỂN GẤP)</t>
        </is>
      </c>
      <c r="D4403" t="inlineStr">
        <is>
          <t>CÔNG TY CỔ PHẦN HỒ TIÊU VIỆT</t>
        </is>
      </c>
      <c r="E4403" t="inlineStr">
        <is>
          <t>Lương:10 Tr - 14 Tr VND</t>
        </is>
      </c>
      <c r="F4403" t="inlineStr">
        <is>
          <t>Hồ Chí Minh</t>
        </is>
      </c>
      <c r="G4403" t="inlineStr">
        <is>
          <t>07-04-2026</t>
        </is>
      </c>
      <c r="H4403" t="inlineStr">
        <is>
          <t>07/04/2026</t>
        </is>
      </c>
      <c r="I4403" t="inlineStr">
        <is>
          <t>17/03/2026</t>
        </is>
      </c>
      <c r="J4403" t="inlineStr">
        <is>
          <t>Tài chính / Đầu tư, Hành chính / Thư ký, Kế toán / Kiểm toán</t>
        </is>
      </c>
      <c r="K4403" t="inlineStr">
        <is>
          <t>Trên 2 Năm</t>
        </is>
      </c>
      <c r="L4403" s="8">
        <f>HYPERLINK("https://careerviet.vn/vi/tim-viec-lam/ke-toan-thanh-toan-tuyen-gap.35C64C46.html","Xem chi tiết")</f>
        <v/>
      </c>
    </row>
    <row r="4404">
      <c r="B4404" s="9" t="n">
        <v>4402</v>
      </c>
      <c r="C4404" s="10" t="inlineStr">
        <is>
          <t>[Đồng Nai] Nhân viên nghiên cứu và phát triển sản phẩm</t>
        </is>
      </c>
      <c r="D4404" s="10" t="inlineStr">
        <is>
          <t>Shinpoong Daewoo Pharma</t>
        </is>
      </c>
      <c r="E4404" s="10" t="inlineStr">
        <is>
          <t>Lương:Cạnh tranh</t>
        </is>
      </c>
      <c r="F4404" s="10" t="inlineStr">
        <is>
          <t>Đồng Nai</t>
        </is>
      </c>
      <c r="G4404" s="10" t="inlineStr">
        <is>
          <t>30-03-2026</t>
        </is>
      </c>
      <c r="H4404" s="10" t="inlineStr">
        <is>
          <t>30/03/2026</t>
        </is>
      </c>
      <c r="I4404" s="10" t="inlineStr">
        <is>
          <t>17/03/2026</t>
        </is>
      </c>
      <c r="J4404" s="10" t="inlineStr">
        <is>
          <t>Dược phẩm/ Hóa Mỹ Phẩm, Quản lý chất lượng (QA/QC)</t>
        </is>
      </c>
      <c r="K4404" s="10" t="inlineStr">
        <is>
          <t>5 - 6 Năm</t>
        </is>
      </c>
      <c r="L4404" s="11">
        <f>HYPERLINK("https://careerviet.vn/vi/tim-viec-lam/dong-nai-nhan-vien-nghien-cuu-va-phat-trien-san-pham.35C69D23.html","Xem chi tiết")</f>
        <v/>
      </c>
      <c r="M4404" s="10" t="n"/>
    </row>
    <row r="4405">
      <c r="B4405" s="7" t="n">
        <v>4403</v>
      </c>
      <c r="C4405" t="inlineStr">
        <is>
          <t>Kỹ Thuật Viên Thiết Bị Vật Lý – Công Nghệ</t>
        </is>
      </c>
      <c r="D4405" t="inlineStr">
        <is>
          <t>CÔNG TY TNHH THIẾT BỊ GIÁO DỤC TẦM NHÌN MỚI</t>
        </is>
      </c>
      <c r="E4405" t="inlineStr">
        <is>
          <t>Lương:10 Tr - 20 Tr VND</t>
        </is>
      </c>
      <c r="F4405" t="inlineStr">
        <is>
          <t>Hồ Chí Minh</t>
        </is>
      </c>
      <c r="G4405" t="inlineStr">
        <is>
          <t>27-03-2026</t>
        </is>
      </c>
      <c r="H4405" t="inlineStr">
        <is>
          <t>27/03/2026</t>
        </is>
      </c>
      <c r="I4405" t="inlineStr">
        <is>
          <t>17/03/2026</t>
        </is>
      </c>
      <c r="J4405" t="inlineStr">
        <is>
          <t>Bảo trì / Sửa chữa, Cơ khí / Ô tô / Tự động hóa, Điện / Điện tử / Điện lạnh / Điện công nghiệp</t>
        </is>
      </c>
      <c r="K4405" t="inlineStr">
        <is>
          <t>Trên 1 Năm</t>
        </is>
      </c>
      <c r="L4405" s="8">
        <f>HYPERLINK("https://careerviet.vn/vi/tim-viec-lam/ky-thuat-vien-thiet-bi-vat-ly-cong-nghe.35C69FE9.html","Xem chi tiết")</f>
        <v/>
      </c>
    </row>
    <row r="4406">
      <c r="B4406" s="9" t="n">
        <v>4404</v>
      </c>
      <c r="C4406" s="10" t="inlineStr">
        <is>
          <t>Chuyên viên Dự toán Khối lượng (Lập tổng mức đầu tư)</t>
        </is>
      </c>
      <c r="D4406" s="10" t="inlineStr">
        <is>
          <t>BIM Group</t>
        </is>
      </c>
      <c r="E4406" s="10" t="inlineStr">
        <is>
          <t>Lương:Cạnh tranh</t>
        </is>
      </c>
      <c r="F4406" s="10" t="inlineStr">
        <is>
          <t>Hà Nội</t>
        </is>
      </c>
      <c r="G4406" s="10" t="inlineStr">
        <is>
          <t>07-04-2026</t>
        </is>
      </c>
      <c r="H4406" s="10" t="inlineStr">
        <is>
          <t>07/04/2026</t>
        </is>
      </c>
      <c r="I4406" s="10" t="inlineStr">
        <is>
          <t>17/03/2026</t>
        </is>
      </c>
      <c r="J4406" s="10" t="inlineStr">
        <is>
          <t>Xây dựng, Bất động sản</t>
        </is>
      </c>
      <c r="K4406" s="10" t="inlineStr">
        <is>
          <t>Trên 5 Năm</t>
        </is>
      </c>
      <c r="L4406" s="11">
        <f>HYPERLINK("https://careerviet.vn/vi/tim-viec-lam/chuyen-vien-du-toan-khoi-luong-lap-tong-muc-dau-tu.35C64D80.html","Xem chi tiết")</f>
        <v/>
      </c>
      <c r="M4406" s="10" t="n"/>
    </row>
    <row r="4407">
      <c r="B4407" s="7" t="n">
        <v>4405</v>
      </c>
      <c r="C4407" t="inlineStr">
        <is>
          <t>Chuyên Viên Kinh Doanh - Ngành Bao Bì Giấy: Ly Giấy, Ống Hút Giấy</t>
        </is>
      </c>
      <c r="D4407" t="inlineStr">
        <is>
          <t>Công ty Cổ Phần Thảo Mộc Xanh</t>
        </is>
      </c>
      <c r="E4407" t="inlineStr">
        <is>
          <t>Lương:Cạnh tranh</t>
        </is>
      </c>
      <c r="F4407" t="inlineStr">
        <is>
          <t>Hồ Chí Minh</t>
        </is>
      </c>
      <c r="G4407" t="inlineStr">
        <is>
          <t>07-04-2026</t>
        </is>
      </c>
      <c r="H4407" t="inlineStr">
        <is>
          <t>07/04/2026</t>
        </is>
      </c>
      <c r="I4407" t="inlineStr">
        <is>
          <t>17/03/2026</t>
        </is>
      </c>
      <c r="J4407" t="inlineStr">
        <is>
          <t>Tiếp thị / Marketing, Bán hàng / Kinh doanh, Quảng cáo / Đối ngoại / Truyền Thông</t>
        </is>
      </c>
      <c r="K4407" t="inlineStr">
        <is>
          <t>Trên 2 Năm</t>
        </is>
      </c>
      <c r="L4407" s="8">
        <f>HYPERLINK("https://careerviet.vn/vi/tim-viec-lam/chuyen-vien-kinh-doanh-nganh-bao-bi-giay-ly-giay-ong-hut-giay.35BF9EB2.html","Xem chi tiết")</f>
        <v/>
      </c>
    </row>
    <row r="4408">
      <c r="B4408" s="9" t="n">
        <v>4406</v>
      </c>
      <c r="C4408" s="10" t="inlineStr">
        <is>
          <t>Chuyên Viên Cao Cấp Hạ Tầng</t>
        </is>
      </c>
      <c r="D4408" s="10" t="inlineStr">
        <is>
          <t>CÔNG TY CỔ PHẦN CHỨNG KHOÁN ĐẠI VIỆT</t>
        </is>
      </c>
      <c r="E4408" s="10" t="inlineStr">
        <is>
          <t>Lương:Cạnh tranh</t>
        </is>
      </c>
      <c r="F4408" s="10" t="inlineStr">
        <is>
          <t>Hồ Chí Minh</t>
        </is>
      </c>
      <c r="G4408" s="10" t="inlineStr">
        <is>
          <t>07-04-2026</t>
        </is>
      </c>
      <c r="H4408" s="10" t="inlineStr">
        <is>
          <t>07/04/2026</t>
        </is>
      </c>
      <c r="I4408" s="10" t="inlineStr">
        <is>
          <t>17/03/2026</t>
        </is>
      </c>
      <c r="J4408" s="10" t="inlineStr">
        <is>
          <t>Bưu chính viễn thông, Chứng khoán, CNTT - Phần mềm</t>
        </is>
      </c>
      <c r="K4408" s="10" t="inlineStr">
        <is>
          <t>3 - 5 Năm</t>
        </is>
      </c>
      <c r="L4408" s="11">
        <f>HYPERLINK("https://careerviet.vn/vi/tim-viec-lam/chuyen-vien-cao-cap-ha-tang.35C67F13.html","Xem chi tiết")</f>
        <v/>
      </c>
      <c r="M4408" s="10" t="n"/>
    </row>
    <row r="4409">
      <c r="B4409" s="7" t="n">
        <v>4407</v>
      </c>
      <c r="C4409" t="inlineStr">
        <is>
          <t>Production Merchandiser - Nhân viên theo dõi đơn hàng sản xuất</t>
        </is>
      </c>
      <c r="D4409" t="inlineStr">
        <is>
          <t>Công Ty TNHH Transtech Việt Nam</t>
        </is>
      </c>
      <c r="E4409" t="inlineStr">
        <is>
          <t>Lương:10 Tr - 16 Tr VND</t>
        </is>
      </c>
      <c r="F4409" t="inlineStr">
        <is>
          <t>Đồng Nai</t>
        </is>
      </c>
      <c r="G4409" t="inlineStr">
        <is>
          <t>26-03-2026</t>
        </is>
      </c>
      <c r="H4409" t="inlineStr">
        <is>
          <t>26/03/2026</t>
        </is>
      </c>
      <c r="I4409" t="inlineStr">
        <is>
          <t>17/03/2026</t>
        </is>
      </c>
      <c r="J4409" t="inlineStr">
        <is>
          <t>Bán hàng / Kinh doanh, In ấn / Xuất bản, Dệt may / Da giày / Thời trang</t>
        </is>
      </c>
      <c r="K4409" t="inlineStr">
        <is>
          <t>1 - 3 Năm</t>
        </is>
      </c>
      <c r="L4409" s="8">
        <f>HYPERLINK("https://careerviet.vn/vi/tim-viec-lam/production-merchandiser-nhan-vien-theo-doi-don-hang-san-xuat.35C69C52.html","Xem chi tiết")</f>
        <v/>
      </c>
    </row>
    <row r="4410">
      <c r="B4410" s="9" t="n">
        <v>4408</v>
      </c>
      <c r="C4410" s="10" t="inlineStr">
        <is>
          <t>KỸ SƯ LÊN MEN - FERMENTATION ENGINEER</t>
        </is>
      </c>
      <c r="D4410" s="10" t="inlineStr">
        <is>
          <t>HYOSUNG &amp; HS HYOSUNG</t>
        </is>
      </c>
      <c r="E4410" s="10" t="inlineStr">
        <is>
          <t>Lương:Cạnh tranh</t>
        </is>
      </c>
      <c r="F4410" s="10" t="inlineStr">
        <is>
          <t>Bà Rịa - Vũng Tàu</t>
        </is>
      </c>
      <c r="G4410" s="10" t="inlineStr">
        <is>
          <t>27-03-2026</t>
        </is>
      </c>
      <c r="H4410" s="10" t="inlineStr">
        <is>
          <t>27/03/2026</t>
        </is>
      </c>
      <c r="I4410" s="10" t="inlineStr">
        <is>
          <t>17/03/2026</t>
        </is>
      </c>
      <c r="J4410" s="10" t="inlineStr">
        <is>
          <t>Công nghệ sinh học</t>
        </is>
      </c>
      <c r="K4410" s="10" t="inlineStr">
        <is>
          <t>Không yêu cầu kinh nghiệm</t>
        </is>
      </c>
      <c r="L4410" s="11">
        <f>HYPERLINK("https://careerviet.vn/vi/tim-viec-lam/ky-su-len-men-fermentation-engineer.35C69EBA.html","Xem chi tiết")</f>
        <v/>
      </c>
      <c r="M4410" s="10" t="n"/>
    </row>
    <row r="4411">
      <c r="B4411" s="7" t="n">
        <v>4409</v>
      </c>
      <c r="C4411" t="inlineStr">
        <is>
          <t>Technical Sales Executive (Food Ingredients-B2B)</t>
        </is>
      </c>
      <c r="D4411" t="inlineStr">
        <is>
          <t>Công Ty Cổ Phần Dịch Vụ và Cung Cấp Thực Phẩm Quốc Tế-IFSS</t>
        </is>
      </c>
      <c r="E4411" t="inlineStr">
        <is>
          <t>Lương:17 Tr - 25 Tr VND</t>
        </is>
      </c>
      <c r="F4411" t="inlineStr">
        <is>
          <t>Hồ Chí Minh</t>
        </is>
      </c>
      <c r="G4411" t="inlineStr">
        <is>
          <t>25-03-2026</t>
        </is>
      </c>
      <c r="H4411" t="inlineStr">
        <is>
          <t>25/03/2026</t>
        </is>
      </c>
      <c r="I4411" t="inlineStr">
        <is>
          <t>17/03/2026</t>
        </is>
      </c>
      <c r="J4411" t="inlineStr">
        <is>
          <t>Bán lẻ / Bán sỉ, Bán hàng / Kinh doanh, Thực phẩm &amp; Đồ uống</t>
        </is>
      </c>
      <c r="K4411" t="inlineStr">
        <is>
          <t>Trên 2 Năm</t>
        </is>
      </c>
      <c r="L4411" s="8">
        <f>HYPERLINK("https://careerviet.vn/vi/tim-viec-lam/technical-sales-executive-food-ingredients-b2b.35C691C6.html","Xem chi tiết")</f>
        <v/>
      </c>
    </row>
    <row r="4412">
      <c r="B4412" s="9" t="n">
        <v>4410</v>
      </c>
      <c r="C4412" s="10" t="inlineStr">
        <is>
          <t>Trưởng nhóm Pháp lý</t>
        </is>
      </c>
      <c r="D4412" s="10" t="inlineStr">
        <is>
          <t>FamilyMart VietNam Joint Stock Company</t>
        </is>
      </c>
      <c r="E4412" s="10" t="inlineStr">
        <is>
          <t>Lương:Cạnh tranh</t>
        </is>
      </c>
      <c r="F4412" s="10" t="inlineStr">
        <is>
          <t>Hồ Chí Minh</t>
        </is>
      </c>
      <c r="G4412" s="10" t="inlineStr">
        <is>
          <t>27-03-2026</t>
        </is>
      </c>
      <c r="H4412" s="10" t="inlineStr">
        <is>
          <t>27/03/2026</t>
        </is>
      </c>
      <c r="I4412" s="10" t="inlineStr">
        <is>
          <t>17/03/2026</t>
        </is>
      </c>
      <c r="J4412" s="10" t="inlineStr">
        <is>
          <t>Luật / Pháp lý, Bán lẻ / Bán sỉ</t>
        </is>
      </c>
      <c r="K4412" s="10" t="inlineStr">
        <is>
          <t>Trên 3 Năm</t>
        </is>
      </c>
      <c r="L4412" s="11">
        <f>HYPERLINK("https://careerviet.vn/vi/tim-viec-lam/truong-nhom-phap-ly.35C697CD.html","Xem chi tiết")</f>
        <v/>
      </c>
      <c r="M4412" s="10" t="n"/>
    </row>
    <row r="4413">
      <c r="B4413" s="7" t="n">
        <v>4411</v>
      </c>
      <c r="C4413" t="inlineStr">
        <is>
          <t>Nhân viên Kinh doanh</t>
        </is>
      </c>
      <c r="D4413" t="inlineStr">
        <is>
          <t>EuP Group</t>
        </is>
      </c>
      <c r="E4413" t="inlineStr">
        <is>
          <t>Lương:15 Tr - 30 Tr VND</t>
        </is>
      </c>
      <c r="F4413" t="inlineStr">
        <is>
          <t>Hồ Chí Minh</t>
        </is>
      </c>
      <c r="G4413" t="inlineStr">
        <is>
          <t>04-04-2026</t>
        </is>
      </c>
      <c r="H4413" t="inlineStr">
        <is>
          <t>04/04/2026</t>
        </is>
      </c>
      <c r="I4413" t="inlineStr">
        <is>
          <t>17/03/2026</t>
        </is>
      </c>
      <c r="J4413" t="inlineStr">
        <is>
          <t>Bán hàng / Kinh doanh, Hóa học, Quảng cáo / Đối ngoại / Truyền Thông</t>
        </is>
      </c>
      <c r="K4413" t="inlineStr">
        <is>
          <t>Chưa có kinh nghiệm</t>
        </is>
      </c>
      <c r="L4413" s="8">
        <f>HYPERLINK("https://careerviet.vn/vi/tim-viec-lam/nhan-vien-kinh-doanh.35C6B1B0.html","Xem chi tiết")</f>
        <v/>
      </c>
    </row>
    <row r="4414">
      <c r="B4414" s="9" t="n">
        <v>4412</v>
      </c>
      <c r="C4414" s="10" t="inlineStr">
        <is>
          <t>Nhân viên Marketing Tổng Hợp ( Content &amp; Thiết Kế )</t>
        </is>
      </c>
      <c r="D4414" s="10" t="inlineStr">
        <is>
          <t>Sai Gon Hikari Eye Center</t>
        </is>
      </c>
      <c r="E4414" s="10" t="inlineStr">
        <is>
          <t>Lương:10 Tr - 12 Tr VND</t>
        </is>
      </c>
      <c r="F4414" s="10" t="inlineStr">
        <is>
          <t>Hồ Chí Minh</t>
        </is>
      </c>
      <c r="G4414" s="10" t="inlineStr">
        <is>
          <t>30-04-2026</t>
        </is>
      </c>
      <c r="H4414" s="10" t="inlineStr">
        <is>
          <t>30/04/2026</t>
        </is>
      </c>
      <c r="I4414" s="10" t="inlineStr">
        <is>
          <t>17/03/2026</t>
        </is>
      </c>
      <c r="J4414" s="10" t="inlineStr">
        <is>
          <t>Tiếp thị / Marketing, Tiếp thị trực tuyến, Quảng cáo / Đối ngoại / Truyền Thông</t>
        </is>
      </c>
      <c r="K4414" s="10" t="inlineStr">
        <is>
          <t>1 - 2 Năm</t>
        </is>
      </c>
      <c r="L4414" s="11">
        <f>HYPERLINK("https://careerviet.vn/vi/tim-viec-lam/nhan-vien-marketing-tong-hop-content-thiet-ke.35C6B219.html","Xem chi tiết")</f>
        <v/>
      </c>
      <c r="M4414" s="10" t="n"/>
    </row>
    <row r="4415">
      <c r="B4415" s="7" t="n">
        <v>4413</v>
      </c>
      <c r="C4415" t="inlineStr">
        <is>
          <t>Chuyên viên Truyền thông nội bộ và Văn hóa Doanh nghiệp</t>
        </is>
      </c>
      <c r="D4415" t="inlineStr">
        <is>
          <t>Ngân Hàng TMCP Sài Gòn - Hà Nội ( SHB )</t>
        </is>
      </c>
      <c r="E4415" t="inlineStr">
        <is>
          <t>Lương:Cạnh tranh</t>
        </is>
      </c>
      <c r="F4415" t="inlineStr">
        <is>
          <t>Hà Nội</t>
        </is>
      </c>
      <c r="G4415" t="inlineStr">
        <is>
          <t>02-04-2026</t>
        </is>
      </c>
      <c r="H4415" t="inlineStr">
        <is>
          <t>02/04/2026</t>
        </is>
      </c>
      <c r="I4415" t="inlineStr">
        <is>
          <t>17/03/2026</t>
        </is>
      </c>
      <c r="J4415" t="inlineStr">
        <is>
          <t>Ngân hàng, Nhân sự, Quảng cáo / Đối ngoại / Truyền Thông</t>
        </is>
      </c>
      <c r="K4415" t="inlineStr">
        <is>
          <t>Trên 3 Năm</t>
        </is>
      </c>
      <c r="L4415" s="8">
        <f>HYPERLINK("https://careerviet.vn/vi/tim-viec-lam/chuyen-vien-truyen-thong-noi-bo-va-van-hoa-doanh-nghiep.35C6B1B4.html","Xem chi tiết")</f>
        <v/>
      </c>
    </row>
    <row r="4416">
      <c r="B4416" s="9" t="n">
        <v>4414</v>
      </c>
      <c r="C4416" s="10" t="inlineStr">
        <is>
          <t>Nhân viên tuyển dụng (Mass)</t>
        </is>
      </c>
      <c r="D4416" s="10" t="inlineStr">
        <is>
          <t>Công Ty Cổ Phần Đầu Tư K&amp;G Việt Nam</t>
        </is>
      </c>
      <c r="E4416" s="10" t="inlineStr">
        <is>
          <t>Lương:9 Tr - 11 Tr VND</t>
        </is>
      </c>
      <c r="F4416" s="10" t="inlineStr">
        <is>
          <t>Hồ Chí Minh</t>
        </is>
      </c>
      <c r="G4416" s="10" t="inlineStr">
        <is>
          <t>31-03-2026</t>
        </is>
      </c>
      <c r="H4416" s="10" t="inlineStr">
        <is>
          <t>31/03/2026</t>
        </is>
      </c>
      <c r="I4416" s="10" t="inlineStr">
        <is>
          <t>17/03/2026</t>
        </is>
      </c>
      <c r="J4416" s="10" t="inlineStr">
        <is>
          <t>Nhân sự</t>
        </is>
      </c>
      <c r="K4416" s="10" t="inlineStr">
        <is>
          <t>1 - 2 Năm</t>
        </is>
      </c>
      <c r="L4416" s="11">
        <f>HYPERLINK("https://careerviet.vn/vi/tim-viec-lam/nhan-vien-tuyen-dung-mass.35C6965A.html","Xem chi tiết")</f>
        <v/>
      </c>
      <c r="M4416" s="10" t="n"/>
    </row>
    <row r="4417">
      <c r="B4417" s="7" t="n">
        <v>4415</v>
      </c>
      <c r="C4417" t="inlineStr">
        <is>
          <t>Kĩ sư QS (Quản lý chi phí, ngân sách dự án tại văn phòng HCM)</t>
        </is>
      </c>
      <c r="D4417" t="inlineStr">
        <is>
          <t>Công ty CP Xây Dựng Bông Sen Vàng - Golden Lotus Construction</t>
        </is>
      </c>
      <c r="E4417" t="inlineStr">
        <is>
          <t>Lương:15 Tr - 25 Tr VND</t>
        </is>
      </c>
      <c r="F4417" t="inlineStr">
        <is>
          <t>Hồ Chí Minh</t>
        </is>
      </c>
      <c r="G4417" t="inlineStr">
        <is>
          <t>05-04-2026</t>
        </is>
      </c>
      <c r="H4417" t="inlineStr">
        <is>
          <t>05/04/2026</t>
        </is>
      </c>
      <c r="I4417" t="inlineStr">
        <is>
          <t>17/03/2026</t>
        </is>
      </c>
      <c r="J4417" t="inlineStr">
        <is>
          <t>Xây dựng, Bất động sản, Kiến trúc</t>
        </is>
      </c>
      <c r="K4417" t="inlineStr">
        <is>
          <t>2 - 5 Năm</t>
        </is>
      </c>
      <c r="L4417" s="8">
        <f>HYPERLINK("https://careerviet.vn/vi/tim-viec-lam/ki-su-qs-quan-ly-chi-phi-ngan-sach-du-an-tai-van-phong-hcm.35C6B26E.html","Xem chi tiết")</f>
        <v/>
      </c>
    </row>
    <row r="4418">
      <c r="B4418" s="9" t="n">
        <v>4416</v>
      </c>
      <c r="C4418" s="10" t="inlineStr">
        <is>
          <t>Operation Executive</t>
        </is>
      </c>
      <c r="D4418" s="10" t="inlineStr">
        <is>
          <t>Công Ty Cổ Phần Goody Group</t>
        </is>
      </c>
      <c r="E4418" s="10" t="inlineStr">
        <is>
          <t>Lương:18 Tr - 20 Tr VND</t>
        </is>
      </c>
      <c r="F4418" s="10" t="inlineStr">
        <is>
          <t>Hồ Chí Minh</t>
        </is>
      </c>
      <c r="G4418" s="10" t="inlineStr">
        <is>
          <t>05-04-2026</t>
        </is>
      </c>
      <c r="H4418" s="10" t="inlineStr">
        <is>
          <t>05/04/2026</t>
        </is>
      </c>
      <c r="I4418" s="10" t="inlineStr">
        <is>
          <t>17/03/2026</t>
        </is>
      </c>
      <c r="J4418" s="10" t="inlineStr">
        <is>
          <t>Bán hàng / Kinh doanh, Bán lẻ / Bán sỉ, Thực phẩm &amp; Đồ uống</t>
        </is>
      </c>
      <c r="K4418" s="10" t="inlineStr">
        <is>
          <t>3 - 4 Năm</t>
        </is>
      </c>
      <c r="L4418" s="11">
        <f>HYPERLINK("https://careerviet.vn/vi/tim-viec-lam/operation-executive.35C6B210.html","Xem chi tiết")</f>
        <v/>
      </c>
      <c r="M4418" s="10" t="n"/>
    </row>
    <row r="4419">
      <c r="B4419" s="7" t="n">
        <v>4417</v>
      </c>
      <c r="C4419" t="inlineStr">
        <is>
          <t>128416 - HR Generalist / Assistant Manager - Trading</t>
        </is>
      </c>
      <c r="D4419" t="inlineStr">
        <is>
          <t>RGF HR Agent Vietnam Co., LTD</t>
        </is>
      </c>
      <c r="E4419" t="inlineStr">
        <is>
          <t>Lương:25 Tr - 30 Tr VND</t>
        </is>
      </c>
      <c r="F4419" t="inlineStr">
        <is>
          <t>Hồ Chí Minh</t>
        </is>
      </c>
      <c r="G4419" t="inlineStr">
        <is>
          <t>05-03-2026</t>
        </is>
      </c>
      <c r="H4419" t="inlineStr">
        <is>
          <t>12/03/2026</t>
        </is>
      </c>
      <c r="I4419" t="inlineStr">
        <is>
          <t>17/03/2026</t>
        </is>
      </c>
      <c r="J4419" t="inlineStr">
        <is>
          <t>Nhân sự, Quản lý điều hành</t>
        </is>
      </c>
      <c r="K4419" t="inlineStr">
        <is>
          <t>5 - 8 Năm</t>
        </is>
      </c>
      <c r="L4419" s="8">
        <f>HYPERLINK("https://careerviet.vn/vi/tim-viec-lam/128416-hr-generalist-assistant-manager-trading.35C6B182.html","Xem chi tiết")</f>
        <v/>
      </c>
    </row>
    <row r="4420">
      <c r="B4420" s="9" t="n">
        <v>4418</v>
      </c>
      <c r="C4420" s="10" t="inlineStr">
        <is>
          <t>Trưởng phòng xuất nhập khẩu</t>
        </is>
      </c>
      <c r="D4420" s="10" t="inlineStr">
        <is>
          <t>CÔNG TY TNHH SBGEAR VINA</t>
        </is>
      </c>
      <c r="E4420" s="10" t="inlineStr">
        <is>
          <t>Lương:20 Tr - 30 Tr VND</t>
        </is>
      </c>
      <c r="F4420" s="10" t="inlineStr">
        <is>
          <t>Hồ Chí Minh</t>
        </is>
      </c>
      <c r="G4420" s="10" t="inlineStr">
        <is>
          <t>31-03-2026</t>
        </is>
      </c>
      <c r="H4420" s="10" t="inlineStr">
        <is>
          <t>31/03/2026</t>
        </is>
      </c>
      <c r="I4420" s="10" t="inlineStr">
        <is>
          <t>17/03/2026</t>
        </is>
      </c>
      <c r="J4420" s="10" t="inlineStr">
        <is>
          <t>Xuất nhập khẩu, Vận chuyển / Giao nhận / Kho vận, Dệt may / Da giày / Thời trang</t>
        </is>
      </c>
      <c r="K4420" s="10" t="inlineStr">
        <is>
          <t>3 - 5 Năm</t>
        </is>
      </c>
      <c r="L4420" s="11">
        <f>HYPERLINK("https://careerviet.vn/vi/tim-viec-lam/truong-phong-xuat-nhap-khau.35C6B032.html","Xem chi tiết")</f>
        <v/>
      </c>
      <c r="M4420" s="10" t="n"/>
    </row>
    <row r="4421">
      <c r="B4421" s="7" t="n">
        <v>4419</v>
      </c>
      <c r="C4421" t="inlineStr">
        <is>
          <t>Nhân viên phòng thí nghiệm</t>
        </is>
      </c>
      <c r="D4421" t="inlineStr">
        <is>
          <t>Bảo mật</t>
        </is>
      </c>
      <c r="E4421" t="inlineStr">
        <is>
          <t>Lương:Cạnh tranh</t>
        </is>
      </c>
      <c r="F4421" t="inlineStr">
        <is>
          <t>Đồng Nai</t>
        </is>
      </c>
      <c r="G4421" t="inlineStr">
        <is>
          <t>04-04-2026</t>
        </is>
      </c>
      <c r="H4421" t="inlineStr">
        <is>
          <t>04/04/2026</t>
        </is>
      </c>
      <c r="I4421" t="inlineStr">
        <is>
          <t>17/03/2026</t>
        </is>
      </c>
      <c r="J4421" t="inlineStr">
        <is>
          <t>Công nghệ thực phẩm / Dinh dưỡng, Dược phẩm/ Hóa Mỹ Phẩm, Công nghệ sinh họcBằng cấpĐại họcĐộ tuổiTrên 25</t>
        </is>
      </c>
      <c r="K4421" t="inlineStr">
        <is>
          <t>N/A</t>
        </is>
      </c>
      <c r="L4421" s="8">
        <f>HYPERLINK("https://careerviet.vn/vi/tim-viec-lam/nhan-vien-phong-thi-nghiem.35C6B258.html","Xem chi tiết")</f>
        <v/>
      </c>
    </row>
    <row r="4422">
      <c r="B4422" s="9" t="n">
        <v>4420</v>
      </c>
      <c r="C4422" s="10" t="inlineStr">
        <is>
          <t>Chuyên viên phân tích tài chính</t>
        </is>
      </c>
      <c r="D4422" s="10" t="inlineStr">
        <is>
          <t>Cty CP Kỹ Nghệ Thực Phẩm Việt Nam - VIFON</t>
        </is>
      </c>
      <c r="E4422" s="10" t="inlineStr">
        <is>
          <t>Lương:15 Tr - 30 Tr VND</t>
        </is>
      </c>
      <c r="F4422" s="10" t="inlineStr">
        <is>
          <t>Hồ Chí Minh</t>
        </is>
      </c>
      <c r="G4422" s="10" t="inlineStr">
        <is>
          <t>05-04-2026</t>
        </is>
      </c>
      <c r="H4422" s="10" t="inlineStr">
        <is>
          <t>05/04/2026</t>
        </is>
      </c>
      <c r="I4422" s="10" t="inlineStr">
        <is>
          <t>17/03/2026</t>
        </is>
      </c>
      <c r="J4422" s="10" t="inlineStr">
        <is>
          <t>Tài chính / Đầu tư</t>
        </is>
      </c>
      <c r="K4422" s="10" t="inlineStr">
        <is>
          <t>2 - 5 Năm</t>
        </is>
      </c>
      <c r="L4422" s="11">
        <f>HYPERLINK("https://careerviet.vn/vi/tim-viec-lam/chuyen-vien-phan-tich-tai-chinh.35C6B159.html","Xem chi tiết")</f>
        <v/>
      </c>
      <c r="M4422" s="10" t="n"/>
    </row>
    <row r="4423">
      <c r="B4423" s="7" t="n">
        <v>4421</v>
      </c>
      <c r="C4423" t="inlineStr">
        <is>
          <t>QA Staff</t>
        </is>
      </c>
      <c r="D4423" t="inlineStr">
        <is>
          <t>GS Battery Vietnam Co., Ltd. (Công ty TNHH Ắc quy GS Việt Nam)</t>
        </is>
      </c>
      <c r="E4423" t="inlineStr">
        <is>
          <t>Lương:16 Tr - 18 Tr VND</t>
        </is>
      </c>
      <c r="F4423" t="inlineStr">
        <is>
          <t>Bình Dương</t>
        </is>
      </c>
      <c r="G4423" t="inlineStr">
        <is>
          <t>03-04-2026</t>
        </is>
      </c>
      <c r="H4423" t="inlineStr">
        <is>
          <t>03/04/2026</t>
        </is>
      </c>
      <c r="I4423" t="inlineStr">
        <is>
          <t>17/03/2026</t>
        </is>
      </c>
      <c r="J4423" t="inlineStr">
        <is>
          <t>Quản lý chất lượng (QA/QC), Hóa học, Sản xuất / Vận hành sản xuất</t>
        </is>
      </c>
      <c r="K4423" t="inlineStr">
        <is>
          <t>1 - 3 Năm</t>
        </is>
      </c>
      <c r="L4423" s="8">
        <f>HYPERLINK("https://careerviet.vn/vi/tim-viec-lam/qa-staff.35C6B146.html","Xem chi tiết")</f>
        <v/>
      </c>
    </row>
    <row r="4424">
      <c r="B4424" s="9" t="n">
        <v>4422</v>
      </c>
      <c r="C4424" s="10" t="inlineStr">
        <is>
          <t>HR Generalist (Ca gãy)</t>
        </is>
      </c>
      <c r="D4424" s="10" t="inlineStr">
        <is>
          <t>Công ty TNHH Levinci</t>
        </is>
      </c>
      <c r="E4424" s="10" t="inlineStr">
        <is>
          <t>Lương:15 Tr - 17 Tr VND</t>
        </is>
      </c>
      <c r="F4424" s="10" t="inlineStr">
        <is>
          <t>Hồ Chí Minh</t>
        </is>
      </c>
      <c r="G4424" s="10" t="inlineStr">
        <is>
          <t>05-04-2026</t>
        </is>
      </c>
      <c r="H4424" s="10" t="inlineStr">
        <is>
          <t>05/04/2026</t>
        </is>
      </c>
      <c r="I4424" s="10" t="inlineStr">
        <is>
          <t>17/03/2026</t>
        </is>
      </c>
      <c r="J4424" s="10" t="inlineStr">
        <is>
          <t>Nhân sự</t>
        </is>
      </c>
      <c r="K4424" s="10" t="inlineStr">
        <is>
          <t>2 - 3 Năm</t>
        </is>
      </c>
      <c r="L4424" s="11">
        <f>HYPERLINK("https://careerviet.vn/vi/tim-viec-lam/hr-generalist-ca-gay.35C6B0E4.html","Xem chi tiết")</f>
        <v/>
      </c>
      <c r="M4424" s="10" t="n"/>
    </row>
    <row r="4425">
      <c r="B4425" s="7" t="n">
        <v>4423</v>
      </c>
      <c r="C4425" t="inlineStr">
        <is>
          <t>Chuyên viên Mua hàng</t>
        </is>
      </c>
      <c r="D4425" t="inlineStr">
        <is>
          <t>CÔNG TY CỔ PHẦN CÔNG NGHỆ VÀ THƯƠNG MẠI SYSTECH</t>
        </is>
      </c>
      <c r="E4425" t="inlineStr">
        <is>
          <t>Lương:15 Tr - 20 Tr VND</t>
        </is>
      </c>
      <c r="F4425" t="inlineStr">
        <is>
          <t>Hà NộiHưng Yên</t>
        </is>
      </c>
      <c r="G4425" t="inlineStr">
        <is>
          <t>31-03-2026</t>
        </is>
      </c>
      <c r="H4425" t="inlineStr">
        <is>
          <t>31/03/2026</t>
        </is>
      </c>
      <c r="I4425" t="inlineStr">
        <is>
          <t>17/03/2026</t>
        </is>
      </c>
      <c r="J4425" t="inlineStr">
        <is>
          <t>Thu mua / Vật tư, Xuất nhập khẩu, Sản xuất / Vận hành sản xuất</t>
        </is>
      </c>
      <c r="K4425" t="inlineStr">
        <is>
          <t>2 - 5 Năm</t>
        </is>
      </c>
      <c r="L4425" s="8">
        <f>HYPERLINK("https://careerviet.vn/vi/tim-viec-lam/chuyen-vien-mua-hang.35C6AB13.html","Xem chi tiết")</f>
        <v/>
      </c>
    </row>
    <row r="4426">
      <c r="B4426" s="9" t="n">
        <v>4424</v>
      </c>
      <c r="C4426" s="10" t="inlineStr">
        <is>
          <t>Quản Lý Thu Mua</t>
        </is>
      </c>
      <c r="D4426" s="10" t="inlineStr">
        <is>
          <t>CÔNG TY TNHH ĐẦU TƯ DỊCH VỤ HUMVENTURES</t>
        </is>
      </c>
      <c r="E4426" s="10" t="inlineStr">
        <is>
          <t>Lương:Cạnh tranh</t>
        </is>
      </c>
      <c r="F4426" s="10" t="inlineStr">
        <is>
          <t>Hồ Chí Minh</t>
        </is>
      </c>
      <c r="G4426" s="10" t="inlineStr">
        <is>
          <t>31-03-2026</t>
        </is>
      </c>
      <c r="H4426" s="10" t="inlineStr">
        <is>
          <t>31/03/2026</t>
        </is>
      </c>
      <c r="I4426" s="10" t="inlineStr">
        <is>
          <t>17/03/2026</t>
        </is>
      </c>
      <c r="J4426" s="10" t="inlineStr">
        <is>
          <t>Thu mua / Vật tư, Nhà hàng / Khách sạn</t>
        </is>
      </c>
      <c r="K4426" s="10" t="inlineStr">
        <is>
          <t>3 - 5 Năm</t>
        </is>
      </c>
      <c r="L4426" s="11">
        <f>HYPERLINK("https://careerviet.vn/vi/tim-viec-lam/quan-ly-thu-mua.35C6B122.html","Xem chi tiết")</f>
        <v/>
      </c>
      <c r="M4426" s="10" t="n"/>
    </row>
    <row r="4427">
      <c r="B4427" s="7" t="n">
        <v>4425</v>
      </c>
      <c r="C4427" t="inlineStr">
        <is>
          <t>Tài xế Tổng Giám đốc (làm việc Tại Q3 HCM)</t>
        </is>
      </c>
      <c r="D4427" t="inlineStr">
        <is>
          <t>Công ty Cổ phần Tập đoàn KITA Group</t>
        </is>
      </c>
      <c r="E4427" t="inlineStr">
        <is>
          <t>Lương:15 Tr - 18 Tr VND</t>
        </is>
      </c>
      <c r="F4427" t="inlineStr">
        <is>
          <t>Hồ Chí Minh</t>
        </is>
      </c>
      <c r="G4427" t="inlineStr">
        <is>
          <t>05-04-2026</t>
        </is>
      </c>
      <c r="H4427" t="inlineStr">
        <is>
          <t>05/04/2026</t>
        </is>
      </c>
      <c r="I4427" t="inlineStr">
        <is>
          <t>17/03/2026</t>
        </is>
      </c>
      <c r="J4427" t="inlineStr">
        <is>
          <t>Vận chuyển / Giao nhận / Kho vận, Lao động phổ thông, Bất động sản</t>
        </is>
      </c>
      <c r="K4427" t="inlineStr">
        <is>
          <t>2 - 5 Năm</t>
        </is>
      </c>
      <c r="L4427" s="8">
        <f>HYPERLINK("https://careerviet.vn/vi/tim-viec-lam/tai-xe-tong-giam-doc-lam-viec-tai-q3-hcm.35C6B0A3.html","Xem chi tiết")</f>
        <v/>
      </c>
    </row>
    <row r="4428">
      <c r="B4428" s="9" t="n">
        <v>4426</v>
      </c>
      <c r="C4428" s="10" t="inlineStr">
        <is>
          <t>Chuyên viên Marketing</t>
        </is>
      </c>
      <c r="D4428" s="10" t="inlineStr">
        <is>
          <t>CÔNG TY CỔ PHẦN ZENBOOKS</t>
        </is>
      </c>
      <c r="E4428" s="10" t="inlineStr">
        <is>
          <t>Lương:12 Tr - 15 Tr VND</t>
        </is>
      </c>
      <c r="F4428" s="10" t="inlineStr">
        <is>
          <t>Hồ Chí Minh</t>
        </is>
      </c>
      <c r="G4428" s="10" t="inlineStr">
        <is>
          <t>06-04-2026</t>
        </is>
      </c>
      <c r="H4428" s="10" t="inlineStr">
        <is>
          <t>06/04/2026</t>
        </is>
      </c>
      <c r="I4428" s="10" t="inlineStr">
        <is>
          <t>17/03/2026</t>
        </is>
      </c>
      <c r="J4428" s="10" t="inlineStr">
        <is>
          <t>Tiếp thị / Marketing</t>
        </is>
      </c>
      <c r="K4428" s="10" t="inlineStr">
        <is>
          <t>2 - 3 Năm</t>
        </is>
      </c>
      <c r="L4428" s="11">
        <f>HYPERLINK("https://careerviet.vn/vi/tim-viec-lam/chuyen-vien-marketing.35C6B187.html","Xem chi tiết")</f>
        <v/>
      </c>
      <c r="M4428" s="10" t="n"/>
    </row>
    <row r="4429">
      <c r="B4429" s="7" t="n">
        <v>4427</v>
      </c>
      <c r="C4429" t="inlineStr">
        <is>
          <t>PHÓ PHÒNG CHẤT LƯỢNG DỊCH VỤ</t>
        </is>
      </c>
      <c r="D4429" t="inlineStr">
        <is>
          <t>TẬP ĐOÀN HOÀN CẦU</t>
        </is>
      </c>
      <c r="E4429" t="inlineStr">
        <is>
          <t>Lương:Cạnh tranh</t>
        </is>
      </c>
      <c r="F4429" t="inlineStr">
        <is>
          <t>Hồ Chí Minh</t>
        </is>
      </c>
      <c r="G4429" t="inlineStr">
        <is>
          <t>6</t>
        </is>
      </c>
      <c r="H4429" t="inlineStr">
        <is>
          <t>23/03/2026</t>
        </is>
      </c>
      <c r="I4429" t="inlineStr">
        <is>
          <t>17/03/2026</t>
        </is>
      </c>
      <c r="J4429" t="inlineStr">
        <is>
          <t>Ngân hàng, Bất động sản, Quản lý chất lượng (QA/QC)</t>
        </is>
      </c>
      <c r="K4429" t="inlineStr">
        <is>
          <t>5 - 7 Năm</t>
        </is>
      </c>
      <c r="L4429" s="8">
        <f>HYPERLINK("https://careerviet.vn/vi/tim-viec-lam/pho-phong-chat-luong-dich-vu.35C6646F.html","Xem chi tiết")</f>
        <v/>
      </c>
    </row>
    <row r="4430">
      <c r="B4430" s="9" t="n">
        <v>4428</v>
      </c>
      <c r="C4430" s="10" t="inlineStr">
        <is>
          <t>CHUYÊN VIÊN QUẢN LÝ DỰ ÁN</t>
        </is>
      </c>
      <c r="D4430" s="10" t="inlineStr">
        <is>
          <t>CÔNG TY CỔ PHẦN ĐẦU TƯ XÂY DỰNG TRUNG NAM  - TRUNGNAM</t>
        </is>
      </c>
      <c r="E4430" s="10" t="inlineStr">
        <is>
          <t>Lương:Cạnh tranh</t>
        </is>
      </c>
      <c r="F4430" s="10" t="inlineStr">
        <is>
          <t>Hồ Chí Minh</t>
        </is>
      </c>
      <c r="G4430" s="10" t="inlineStr">
        <is>
          <t>04-04-2026</t>
        </is>
      </c>
      <c r="H4430" s="10" t="inlineStr">
        <is>
          <t>04/04/2026</t>
        </is>
      </c>
      <c r="I4430" s="10" t="inlineStr">
        <is>
          <t>17/03/2026</t>
        </is>
      </c>
      <c r="J4430" s="10" t="inlineStr">
        <is>
          <t>Xây dựng, Bất động sản, Kiến trúc</t>
        </is>
      </c>
      <c r="K4430" s="10" t="inlineStr">
        <is>
          <t>5 - 10 Năm</t>
        </is>
      </c>
      <c r="L4430" s="11">
        <f>HYPERLINK("https://careerviet.vn/vi/tim-viec-lam/chuyen-vien-quan-ly-du-an.35C6B0E7.html","Xem chi tiết")</f>
        <v/>
      </c>
      <c r="M4430" s="10" t="n"/>
    </row>
    <row r="4431">
      <c r="B4431" s="7" t="n">
        <v>4429</v>
      </c>
      <c r="C4431" t="inlineStr">
        <is>
          <t>[HCMC] Key Channel Assistant</t>
        </is>
      </c>
      <c r="D4431" t="inlineStr">
        <is>
          <t>CÔNG TY TNHH ROHTO-MENTHOLATUM (VIỆT NAM)</t>
        </is>
      </c>
      <c r="E4431" t="inlineStr">
        <is>
          <t>Lương:Cạnh tranh</t>
        </is>
      </c>
      <c r="F4431" t="inlineStr">
        <is>
          <t>Hồ Chí Minh</t>
        </is>
      </c>
      <c r="G4431" t="inlineStr">
        <is>
          <t>05-04-2026</t>
        </is>
      </c>
      <c r="H4431" t="inlineStr">
        <is>
          <t>05/04/2026</t>
        </is>
      </c>
      <c r="I4431" t="inlineStr">
        <is>
          <t>17/03/2026</t>
        </is>
      </c>
      <c r="J4431" t="inlineStr">
        <is>
          <t>Thương mại điện tử</t>
        </is>
      </c>
      <c r="K4431" t="inlineStr">
        <is>
          <t>Chưa có kinh nghiệm</t>
        </is>
      </c>
      <c r="L4431" s="8">
        <f>HYPERLINK("https://careerviet.vn/vi/tim-viec-lam/hcmc-key-channel-assistant.35C6B093.html","Xem chi tiết")</f>
        <v/>
      </c>
    </row>
    <row r="4432">
      <c r="B4432" s="9" t="n">
        <v>4430</v>
      </c>
      <c r="C4432" s="10" t="inlineStr">
        <is>
          <t>Marketing Specialist</t>
        </is>
      </c>
      <c r="D4432" s="10" t="inlineStr">
        <is>
          <t>Công Ty TNHH Tập Đoàn Rita Võ</t>
        </is>
      </c>
      <c r="E4432" s="10" t="inlineStr">
        <is>
          <t>Lương:13 Tr - 16 Tr VND</t>
        </is>
      </c>
      <c r="F4432" s="10" t="inlineStr">
        <is>
          <t>Hồ Chí Minh</t>
        </is>
      </c>
      <c r="G4432" s="10" t="inlineStr">
        <is>
          <t>05-04-2026</t>
        </is>
      </c>
      <c r="H4432" s="10" t="inlineStr">
        <is>
          <t>05/04/2026</t>
        </is>
      </c>
      <c r="I4432" s="10" t="inlineStr">
        <is>
          <t>17/03/2026</t>
        </is>
      </c>
      <c r="J4432" s="10" t="inlineStr">
        <is>
          <t>Tiếp thị / Marketing, Tổ chức sự kiện, Truyền hình / Báo chí / Biên tập</t>
        </is>
      </c>
      <c r="K4432" s="10" t="inlineStr">
        <is>
          <t>3 - 5 Năm</t>
        </is>
      </c>
      <c r="L4432" s="11">
        <f>HYPERLINK("https://careerviet.vn/vi/tim-viec-lam/marketing-specialist.35C6AFF9.html","Xem chi tiết")</f>
        <v/>
      </c>
      <c r="M4432" s="10" t="n"/>
    </row>
    <row r="4433">
      <c r="B4433" s="7" t="n">
        <v>4431</v>
      </c>
      <c r="C4433" t="inlineStr">
        <is>
          <t>Nhân Viên Quản Lý Sàn Thương Mại Điện Tử</t>
        </is>
      </c>
      <c r="D4433" t="inlineStr">
        <is>
          <t>Tổng kho phụ kiện bán tải Hitechcar4x4</t>
        </is>
      </c>
      <c r="E4433" t="inlineStr">
        <is>
          <t>Lương:12 Tr - 25 Tr VND</t>
        </is>
      </c>
      <c r="F4433" t="inlineStr">
        <is>
          <t>Hồ Chí Minh</t>
        </is>
      </c>
      <c r="G4433" t="inlineStr">
        <is>
          <t>31-03-2026</t>
        </is>
      </c>
      <c r="H4433" t="inlineStr">
        <is>
          <t>31/03/2026</t>
        </is>
      </c>
      <c r="I4433" t="inlineStr">
        <is>
          <t>17/03/2026</t>
        </is>
      </c>
      <c r="J4433" t="inlineStr">
        <is>
          <t>Tiếp thị / Marketing, Thương mại điện tử, Bán hàng / Kinh doanh</t>
        </is>
      </c>
      <c r="K4433" t="inlineStr">
        <is>
          <t>Trên 1 Năm</t>
        </is>
      </c>
      <c r="L4433" s="8">
        <f>HYPERLINK("https://careerviet.vn/vi/tim-viec-lam/nhan-vien-quan-ly-san-thuong-mai-dien-tu.35C6B026.html","Xem chi tiết")</f>
        <v/>
      </c>
    </row>
    <row r="4434">
      <c r="B4434" s="9" t="n">
        <v>4432</v>
      </c>
      <c r="C4434" s="10" t="inlineStr">
        <is>
          <t>CEO Assistant (English)</t>
        </is>
      </c>
      <c r="D4434" s="10" t="inlineStr">
        <is>
          <t>CÔNG TY TNHH KINGDEN TRADING</t>
        </is>
      </c>
      <c r="E4434" s="10" t="inlineStr">
        <is>
          <t>Lương:Cạnh tranh</t>
        </is>
      </c>
      <c r="F4434" s="10" t="inlineStr">
        <is>
          <t>Hồ Chí Minh</t>
        </is>
      </c>
      <c r="G4434" s="10" t="inlineStr">
        <is>
          <t>05-04-2026</t>
        </is>
      </c>
      <c r="H4434" s="10" t="inlineStr">
        <is>
          <t>05/04/2026</t>
        </is>
      </c>
      <c r="I4434" s="10" t="inlineStr">
        <is>
          <t>17/03/2026</t>
        </is>
      </c>
      <c r="J4434" s="10" t="inlineStr">
        <is>
          <t>Thương mại điện tử, Hành chính / Thư ký, Tiếp thị / Marketing</t>
        </is>
      </c>
      <c r="K4434" s="10" t="inlineStr">
        <is>
          <t>2 - 5 Năm</t>
        </is>
      </c>
      <c r="L4434" s="11">
        <f>HYPERLINK("https://careerviet.vn/vi/tim-viec-lam/ceo-assistant-english.35C6B023.html","Xem chi tiết")</f>
        <v/>
      </c>
      <c r="M4434" s="10" t="n"/>
    </row>
    <row r="4435">
      <c r="B4435" s="7" t="n">
        <v>4433</v>
      </c>
      <c r="C4435" t="inlineStr">
        <is>
          <t>Trợ Lý Nhà Máy (Mua Hàng, Kiểm Soát Sản Xuất &amp; Quản Lý Kho)</t>
        </is>
      </c>
      <c r="D4435" t="inlineStr">
        <is>
          <t>Công Ty TNHH Hon Chuan Việt Nam</t>
        </is>
      </c>
      <c r="E4435" t="inlineStr">
        <is>
          <t>Lương:Cạnh tranh</t>
        </is>
      </c>
      <c r="F4435" t="inlineStr">
        <is>
          <t>Bình Dương</t>
        </is>
      </c>
      <c r="G4435" t="inlineStr">
        <is>
          <t>05-04-2026</t>
        </is>
      </c>
      <c r="H4435" t="inlineStr">
        <is>
          <t>05/04/2026</t>
        </is>
      </c>
      <c r="I4435" t="inlineStr">
        <is>
          <t>17/03/2026</t>
        </is>
      </c>
      <c r="J4435" t="inlineStr">
        <is>
          <t>Thu mua / Vật tư, Sản xuất / Vận hành sản xuất, Hóa học</t>
        </is>
      </c>
      <c r="K4435" t="inlineStr">
        <is>
          <t>Trên 1 Năm</t>
        </is>
      </c>
      <c r="L4435" s="8">
        <f>HYPERLINK("https://careerviet.vn/vi/tim-viec-lam/tro-ly-nha-may-mua-hang-kiem-soat-san-xuat-quan-ly-kho.35C6AFB2.html","Xem chi tiết")</f>
        <v/>
      </c>
    </row>
    <row r="4436">
      <c r="B4436" s="9" t="n">
        <v>4434</v>
      </c>
      <c r="C4436" s="10" t="inlineStr">
        <is>
          <t>Chuyên viên Ban Quản lý Dự án Xây dựng / Cơ điện  (Construction / MEP Project Management Specialist)</t>
        </is>
      </c>
      <c r="D4436" s="10" t="inlineStr">
        <is>
          <t>Tập Đoàn Đất Xanh</t>
        </is>
      </c>
      <c r="E4436" s="10" t="inlineStr">
        <is>
          <t>Lương:Cạnh tranh</t>
        </is>
      </c>
      <c r="F4436" s="10" t="inlineStr">
        <is>
          <t>Hồ Chí Minh</t>
        </is>
      </c>
      <c r="G4436" s="10" t="inlineStr">
        <is>
          <t>31-03-2026</t>
        </is>
      </c>
      <c r="H4436" s="10" t="inlineStr">
        <is>
          <t>31/03/2026</t>
        </is>
      </c>
      <c r="I4436" s="10" t="inlineStr">
        <is>
          <t>17/03/2026</t>
        </is>
      </c>
      <c r="J4436" s="10" t="inlineStr">
        <is>
          <t>Xây dựng, Bất động sản</t>
        </is>
      </c>
      <c r="K4436" s="10" t="inlineStr">
        <is>
          <t>7 - 10 Năm</t>
        </is>
      </c>
      <c r="L4436" s="11">
        <f>HYPERLINK("https://careerviet.vn/vi/tim-viec-lam/chuyen-vien-ban-quan-ly-du-an-xay-dung-co-dien-construction-mep-project-management-specialist.35C6AF30.html","Xem chi tiết")</f>
        <v/>
      </c>
      <c r="M4436" s="10" t="n"/>
    </row>
    <row r="4437">
      <c r="B4437" s="7" t="n">
        <v>4435</v>
      </c>
      <c r="C4437" t="inlineStr">
        <is>
          <t>Nhân Viên Hỗ Trợ Sản Xuất</t>
        </is>
      </c>
      <c r="D4437" t="inlineStr">
        <is>
          <t>ATAD Steel Structure Corporation</t>
        </is>
      </c>
      <c r="E4437" t="inlineStr">
        <is>
          <t>Lương:Cạnh tranh</t>
        </is>
      </c>
      <c r="F4437" t="inlineStr">
        <is>
          <t>Đồng NaiKiên Giang</t>
        </is>
      </c>
      <c r="G4437" t="inlineStr">
        <is>
          <t>03-04-2026</t>
        </is>
      </c>
      <c r="H4437" t="inlineStr">
        <is>
          <t>03/04/2026</t>
        </is>
      </c>
      <c r="I4437" t="inlineStr">
        <is>
          <t>17/03/2026</t>
        </is>
      </c>
      <c r="J4437" t="inlineStr">
        <is>
          <t>Sản xuất / Vận hành sản xuất, Cơ khí / Ô tô / Tự động hóa, Xây dựng</t>
        </is>
      </c>
      <c r="K4437" t="inlineStr">
        <is>
          <t>1 - 3 Năm</t>
        </is>
      </c>
      <c r="L4437" s="8">
        <f>HYPERLINK("https://careerviet.vn/vi/tim-viec-lam/nhan-vien-ho-tro-san-xuat.35C672ED.html","Xem chi tiết")</f>
        <v/>
      </c>
    </row>
    <row r="4438">
      <c r="B4438" s="9" t="n">
        <v>4436</v>
      </c>
      <c r="C4438" s="10" t="inlineStr">
        <is>
          <t>Talent Acquisition Intern</t>
        </is>
      </c>
      <c r="D4438" s="10" t="inlineStr">
        <is>
          <t>Simpson Strong Tie Viet Nam Company Limited</t>
        </is>
      </c>
      <c r="E4438" s="10" t="inlineStr">
        <is>
          <t>Lương:Cạnh tranh</t>
        </is>
      </c>
      <c r="F4438" s="10" t="inlineStr">
        <is>
          <t>Hồ Chí Minh</t>
        </is>
      </c>
      <c r="G4438" s="10" t="inlineStr">
        <is>
          <t>31-03-2026</t>
        </is>
      </c>
      <c r="H4438" s="10" t="inlineStr">
        <is>
          <t>31/03/2026</t>
        </is>
      </c>
      <c r="I4438" s="10" t="inlineStr">
        <is>
          <t>17/03/2026</t>
        </is>
      </c>
      <c r="J4438" s="10" t="inlineStr">
        <is>
          <t>Nhân sự</t>
        </is>
      </c>
      <c r="K4438" s="10" t="inlineStr">
        <is>
          <t>N/A</t>
        </is>
      </c>
      <c r="L4438" s="11">
        <f>HYPERLINK("https://careerviet.vn/vi/tim-viec-lam/talent-acquisition-intern.35C6AFA4.html","Xem chi tiết")</f>
        <v/>
      </c>
      <c r="M4438" s="10" t="n"/>
    </row>
    <row r="4439">
      <c r="B4439" s="7" t="n">
        <v>4437</v>
      </c>
      <c r="C4439" t="inlineStr">
        <is>
          <t>Nhân Viên Marketing Ca Đêm</t>
        </is>
      </c>
      <c r="D4439" t="inlineStr">
        <is>
          <t>CÔNG TY TNHH RICH PAY TEK</t>
        </is>
      </c>
      <c r="E4439" t="inlineStr">
        <is>
          <t>Lương:Cạnh tranh</t>
        </is>
      </c>
      <c r="F4439" t="inlineStr">
        <is>
          <t>Hồ Chí Minh</t>
        </is>
      </c>
      <c r="G4439" t="inlineStr">
        <is>
          <t>06-04-2026</t>
        </is>
      </c>
      <c r="H4439" t="inlineStr">
        <is>
          <t>06/04/2026</t>
        </is>
      </c>
      <c r="I4439" t="inlineStr">
        <is>
          <t>17/03/2026</t>
        </is>
      </c>
      <c r="J4439" t="inlineStr">
        <is>
          <t>Tiếp thị / Marketing</t>
        </is>
      </c>
      <c r="K4439" t="inlineStr">
        <is>
          <t>2 - 3 Năm</t>
        </is>
      </c>
      <c r="L4439" s="8">
        <f>HYPERLINK("https://careerviet.vn/vi/tim-viec-lam/nhan-vien-marketing-ca-dem.35C6AF8B.html","Xem chi tiết")</f>
        <v/>
      </c>
    </row>
    <row r="4440">
      <c r="B4440" s="9" t="n">
        <v>4438</v>
      </c>
      <c r="C4440" s="10" t="inlineStr">
        <is>
          <t>Business Analyst</t>
        </is>
      </c>
      <c r="D4440" s="10" t="inlineStr">
        <is>
          <t>CellphoneS - Hệ thống bán lẻ điện thoại di động, laptop và các sản phẩm công nghệ toàn quốc</t>
        </is>
      </c>
      <c r="E4440" s="10" t="inlineStr">
        <is>
          <t>Lương:20 Tr - 30 Tr VND</t>
        </is>
      </c>
      <c r="F4440" s="10" t="inlineStr">
        <is>
          <t>Hồ Chí Minh</t>
        </is>
      </c>
      <c r="G4440" s="10" t="inlineStr">
        <is>
          <t>04-04-2026</t>
        </is>
      </c>
      <c r="H4440" s="10" t="inlineStr">
        <is>
          <t>04/04/2026</t>
        </is>
      </c>
      <c r="I4440" s="10" t="inlineStr">
        <is>
          <t>17/03/2026</t>
        </is>
      </c>
      <c r="J4440" s="10" t="inlineStr">
        <is>
          <t>CNTT - Phần mềm</t>
        </is>
      </c>
      <c r="K4440" s="10" t="inlineStr">
        <is>
          <t>2 - 5 Năm</t>
        </is>
      </c>
      <c r="L4440" s="11">
        <f>HYPERLINK("https://careerviet.vn/vi/tim-viec-lam/business-analyst.35C6AFD0.html","Xem chi tiết")</f>
        <v/>
      </c>
      <c r="M4440" s="10" t="n"/>
    </row>
    <row r="4441">
      <c r="B4441" s="7" t="n">
        <v>4439</v>
      </c>
      <c r="C4441" t="inlineStr">
        <is>
          <t>Content Web Specialist | Chuyên viên nội dung Website</t>
        </is>
      </c>
      <c r="D4441" t="inlineStr">
        <is>
          <t>Công ty Cổ phần Thời Trang YODY</t>
        </is>
      </c>
      <c r="E4441" t="inlineStr">
        <is>
          <t>Lương:17 Tr - 24 Tr VND</t>
        </is>
      </c>
      <c r="F4441" t="inlineStr">
        <is>
          <t>Hà NộiHồ Chí Minh</t>
        </is>
      </c>
      <c r="G4441" t="inlineStr">
        <is>
          <t>02-04-2026</t>
        </is>
      </c>
      <c r="H4441" t="inlineStr">
        <is>
          <t>02/04/2026</t>
        </is>
      </c>
      <c r="I4441" t="inlineStr">
        <is>
          <t>17/03/2026</t>
        </is>
      </c>
      <c r="J4441" t="inlineStr">
        <is>
          <t>Thương mại điện tử, Tiếp thị trực tuyến, Tiếp thị / Marketing</t>
        </is>
      </c>
      <c r="K4441" t="inlineStr">
        <is>
          <t>2 - 3 Năm</t>
        </is>
      </c>
      <c r="L4441" s="8">
        <f>HYPERLINK("https://careerviet.vn/vi/tim-viec-lam/content-web-specialist-chuyen-vien-noi-dung-website.35C6AFC2.html","Xem chi tiết")</f>
        <v/>
      </c>
    </row>
    <row r="4442">
      <c r="B4442" s="9" t="n">
        <v>4440</v>
      </c>
      <c r="C4442" s="10" t="inlineStr">
        <is>
          <t>Chuyên Viên Đào Tạo</t>
        </is>
      </c>
      <c r="D4442" s="10" t="inlineStr">
        <is>
          <t>Handong Engineering &amp; Construction JSC</t>
        </is>
      </c>
      <c r="E4442" s="10" t="inlineStr">
        <is>
          <t>Lương:Cạnh tranh</t>
        </is>
      </c>
      <c r="F4442" s="10" t="inlineStr">
        <is>
          <t>Hồ Chí Minh</t>
        </is>
      </c>
      <c r="G4442" s="10" t="inlineStr">
        <is>
          <t>05-04-2026</t>
        </is>
      </c>
      <c r="H4442" s="10" t="inlineStr">
        <is>
          <t>05/04/2026</t>
        </is>
      </c>
      <c r="I4442" s="10" t="inlineStr">
        <is>
          <t>17/03/2026</t>
        </is>
      </c>
      <c r="J4442" s="10" t="inlineStr">
        <is>
          <t>Nhân sự, Giáo dục / Đào tạo, Xây dựng</t>
        </is>
      </c>
      <c r="K4442" s="10" t="inlineStr">
        <is>
          <t>2 - 4 Năm</t>
        </is>
      </c>
      <c r="L4442" s="11">
        <f>HYPERLINK("https://careerviet.vn/vi/tim-viec-lam/chuyen-vien-dao-tao.35C6B004.html","Xem chi tiết")</f>
        <v/>
      </c>
      <c r="M4442" s="10" t="n"/>
    </row>
    <row r="4443">
      <c r="B4443" s="7" t="n">
        <v>4441</v>
      </c>
      <c r="C4443" t="inlineStr">
        <is>
          <t>Quản Lý Xưởng Sản Xuất</t>
        </is>
      </c>
      <c r="D4443" t="inlineStr">
        <is>
          <t>CÔNG TY TNHH ĐẦU TƯ THƯƠNG MẠI VÀ SẢN XUẤT CHÍNH PHÁT</t>
        </is>
      </c>
      <c r="E4443" t="inlineStr">
        <is>
          <t>Lương:25 Tr - 30 Tr VND</t>
        </is>
      </c>
      <c r="F4443" t="inlineStr">
        <is>
          <t>Hồ Chí Minh</t>
        </is>
      </c>
      <c r="G4443" t="inlineStr">
        <is>
          <t>06-04-2026</t>
        </is>
      </c>
      <c r="H4443" t="inlineStr">
        <is>
          <t>06/04/2026</t>
        </is>
      </c>
      <c r="I4443" t="inlineStr">
        <is>
          <t>17/03/2026</t>
        </is>
      </c>
      <c r="J4443" t="inlineStr">
        <is>
          <t>Sản xuất / Vận hành sản xuất</t>
        </is>
      </c>
      <c r="K4443" t="inlineStr">
        <is>
          <t>3 - 5 Năm</t>
        </is>
      </c>
      <c r="L4443" s="8">
        <f>HYPERLINK("https://careerviet.vn/vi/tim-viec-lam/quan-ly-xuong-san-xuat.35C6AF93.html","Xem chi tiết")</f>
        <v/>
      </c>
    </row>
    <row r="4444">
      <c r="B4444" s="9" t="n">
        <v>4442</v>
      </c>
      <c r="C4444" s="10" t="inlineStr">
        <is>
          <t>Trưởng phòng kinh doanh xuất khẩu ( Lương upto 60tr)</t>
        </is>
      </c>
      <c r="D4444" s="10" t="inlineStr">
        <is>
          <t>CÔNG TY CỔ PHẦN ĐIỆN TỬ  SOJI</t>
        </is>
      </c>
      <c r="E4444" s="10" t="inlineStr">
        <is>
          <t>Lương:30 Tr - 60 Tr VND</t>
        </is>
      </c>
      <c r="F4444" s="10" t="inlineStr">
        <is>
          <t>Hà Nội</t>
        </is>
      </c>
      <c r="G4444" s="10" t="inlineStr">
        <is>
          <t>03-04-2026</t>
        </is>
      </c>
      <c r="H4444" s="10" t="inlineStr">
        <is>
          <t>03/04/2026</t>
        </is>
      </c>
      <c r="I4444" s="10" t="inlineStr">
        <is>
          <t>17/03/2026</t>
        </is>
      </c>
      <c r="J4444" s="10" t="inlineStr">
        <is>
          <t>Xuất nhập khẩu</t>
        </is>
      </c>
      <c r="K4444" s="10" t="inlineStr">
        <is>
          <t>Trên 3 Năm</t>
        </is>
      </c>
      <c r="L4444" s="11">
        <f>HYPERLINK("https://careerviet.vn/vi/tim-viec-lam/truong-phong-kinh-doanh-xuat-khau-luong-upto-60tr.35C6735A.html","Xem chi tiết")</f>
        <v/>
      </c>
      <c r="M4444" s="10" t="n"/>
    </row>
    <row r="4445">
      <c r="B4445" s="7" t="n">
        <v>4443</v>
      </c>
      <c r="C4445" t="inlineStr">
        <is>
          <t>Kỹ sư QA/QC</t>
        </is>
      </c>
      <c r="D4445" t="inlineStr">
        <is>
          <t>Công Ty Cổ Phần Đức Mạnh</t>
        </is>
      </c>
      <c r="E4445" t="inlineStr">
        <is>
          <t>Lương:15 Tr - 16 Tr VND</t>
        </is>
      </c>
      <c r="F4445" t="inlineStr">
        <is>
          <t>Đà Nẵng</t>
        </is>
      </c>
      <c r="G4445" t="inlineStr">
        <is>
          <t>03-04-2026</t>
        </is>
      </c>
      <c r="H4445" t="inlineStr">
        <is>
          <t>03/04/2026</t>
        </is>
      </c>
      <c r="I4445" t="inlineStr">
        <is>
          <t>17/03/2026</t>
        </is>
      </c>
      <c r="J4445" t="inlineStr">
        <is>
          <t>Xây dựng, Điện / Điện tử / Điện lạnh / Điện công nghiệp</t>
        </is>
      </c>
      <c r="K4445" t="inlineStr">
        <is>
          <t>3 - 5 Năm</t>
        </is>
      </c>
      <c r="L4445" s="8">
        <f>HYPERLINK("https://careerviet.vn/vi/tim-viec-lam/ky-su-qa-qc.35C673C5.html","Xem chi tiết")</f>
        <v/>
      </c>
    </row>
    <row r="4446">
      <c r="B4446" s="9" t="n">
        <v>4444</v>
      </c>
      <c r="C4446" s="10" t="inlineStr">
        <is>
          <t>Nhân viên Hành Chính Nhân Sự _ HCM</t>
        </is>
      </c>
      <c r="D4446" s="10" t="inlineStr">
        <is>
          <t>Công Ty TNHH TM &amp; XNK Nhất Lâm</t>
        </is>
      </c>
      <c r="E4446" s="10" t="inlineStr">
        <is>
          <t>Lương:11 Tr - 13 Tr VND</t>
        </is>
      </c>
      <c r="F4446" s="10" t="inlineStr">
        <is>
          <t>Hồ Chí Minh</t>
        </is>
      </c>
      <c r="G4446" s="10" t="inlineStr">
        <is>
          <t>31-03-2026</t>
        </is>
      </c>
      <c r="H4446" s="10" t="inlineStr">
        <is>
          <t>31/03/2026</t>
        </is>
      </c>
      <c r="I4446" s="10" t="inlineStr">
        <is>
          <t>17/03/2026</t>
        </is>
      </c>
      <c r="J4446" s="10" t="inlineStr">
        <is>
          <t>Hành chính / Thư ký, Nhân sự</t>
        </is>
      </c>
      <c r="K4446" s="10" t="inlineStr">
        <is>
          <t>2 - 5 Năm</t>
        </is>
      </c>
      <c r="L4446" s="11">
        <f>HYPERLINK("https://careerviet.vn/vi/tim-viec-lam/nhan-vien-hanh-chinh-nhan-su-_-hcm.35C6AF23.html","Xem chi tiết")</f>
        <v/>
      </c>
      <c r="M4446" s="10" t="n"/>
    </row>
    <row r="4447">
      <c r="B4447" s="7" t="n">
        <v>4445</v>
      </c>
      <c r="C4447" t="inlineStr">
        <is>
          <t>Chuyên Viên R&amp;D</t>
        </is>
      </c>
      <c r="D4447" t="inlineStr">
        <is>
          <t>Công Ty Cổ phần Tập Đoàn KIDO</t>
        </is>
      </c>
      <c r="E4447" t="inlineStr">
        <is>
          <t>Lương:Cạnh tranh</t>
        </is>
      </c>
      <c r="F4447" t="inlineStr">
        <is>
          <t>Hồ Chí Minh</t>
        </is>
      </c>
      <c r="G4447" t="inlineStr">
        <is>
          <t>03-04-2026</t>
        </is>
      </c>
      <c r="H4447" t="inlineStr">
        <is>
          <t>03/04/2026</t>
        </is>
      </c>
      <c r="I4447" t="inlineStr">
        <is>
          <t>17/03/2026</t>
        </is>
      </c>
      <c r="J4447" t="inlineStr">
        <is>
          <t>Thực phẩm &amp; Đồ uống</t>
        </is>
      </c>
      <c r="K4447" t="inlineStr">
        <is>
          <t>3 - 5 Năm</t>
        </is>
      </c>
      <c r="L4447" s="8">
        <f>HYPERLINK("https://careerviet.vn/vi/tim-viec-lam/chuyen-vien-r-d.35C6AD97.html","Xem chi tiết")</f>
        <v/>
      </c>
    </row>
    <row r="4448">
      <c r="B4448" s="9" t="n">
        <v>4446</v>
      </c>
      <c r="C4448" s="10" t="inlineStr">
        <is>
          <t>Supply Chain Performance Supervisor</t>
        </is>
      </c>
      <c r="D4448" s="10" t="inlineStr">
        <is>
          <t>CÔNG TY CỔ PHẦN THẾ GIỚI SỐ</t>
        </is>
      </c>
      <c r="E4448" s="10" t="inlineStr">
        <is>
          <t>Lương:25 Tr - 30 Tr VND</t>
        </is>
      </c>
      <c r="F4448" s="10" t="inlineStr">
        <is>
          <t>Hồ Chí Minh</t>
        </is>
      </c>
      <c r="G4448" s="10" t="inlineStr">
        <is>
          <t>30-04-2026</t>
        </is>
      </c>
      <c r="H4448" s="10" t="inlineStr">
        <is>
          <t>30/04/2026</t>
        </is>
      </c>
      <c r="I4448" s="10" t="inlineStr">
        <is>
          <t>17/03/2026</t>
        </is>
      </c>
      <c r="J4448" s="10" t="inlineStr">
        <is>
          <t>Vận chuyển / Giao nhận / Kho vận, Quản lý điều hành, Thương mại điện tử</t>
        </is>
      </c>
      <c r="K4448" s="10" t="inlineStr">
        <is>
          <t>3 - 5 Năm</t>
        </is>
      </c>
      <c r="L4448" s="11">
        <f>HYPERLINK("https://careerviet.vn/vi/tim-viec-lam/supply-chain-performance-supervisor.35C6ADCA.html","Xem chi tiết")</f>
        <v/>
      </c>
      <c r="M4448" s="10" t="n"/>
    </row>
    <row r="4449">
      <c r="B4449" s="7" t="n">
        <v>4447</v>
      </c>
      <c r="C4449" t="inlineStr">
        <is>
          <t>Chuyên viên đào tạo</t>
        </is>
      </c>
      <c r="D4449" t="inlineStr">
        <is>
          <t>BỆNH VIỆN ĐA KHOA PHƯƠNG ĐÔNG</t>
        </is>
      </c>
      <c r="E4449" t="inlineStr">
        <is>
          <t>Lương:10 Tr - 14 Tr VND</t>
        </is>
      </c>
      <c r="F4449" t="inlineStr">
        <is>
          <t>Hà Nội</t>
        </is>
      </c>
      <c r="G4449" t="inlineStr">
        <is>
          <t>03-04-2026</t>
        </is>
      </c>
      <c r="H4449" t="inlineStr">
        <is>
          <t>03/04/2026</t>
        </is>
      </c>
      <c r="I4449" t="inlineStr">
        <is>
          <t>17/03/2026</t>
        </is>
      </c>
      <c r="J4449" t="inlineStr">
        <is>
          <t>Giáo dục / Đào tạo, Nhân sự</t>
        </is>
      </c>
      <c r="K4449" t="inlineStr">
        <is>
          <t>1 - 3 Năm</t>
        </is>
      </c>
      <c r="L4449" s="8">
        <f>HYPERLINK("https://careerviet.vn/vi/tim-viec-lam/chuyen-vien-dao-tao.35C64781.html","Xem chi tiết")</f>
        <v/>
      </c>
    </row>
    <row r="4450">
      <c r="B4450" s="9" t="n">
        <v>4448</v>
      </c>
      <c r="C4450" s="10" t="inlineStr">
        <is>
          <t>CHUYÊN VIÊN KẾ TOÁN – DOANH NGHIỆP SẢN XUẤT (04 NHÂN VIÊN)</t>
        </is>
      </c>
      <c r="D4450" s="10" t="inlineStr">
        <is>
          <t>CÔNG TY CỔ PHẦN HUM</t>
        </is>
      </c>
      <c r="E4450" s="10" t="inlineStr">
        <is>
          <t>Lương:20 Tr - 25 Tr VND</t>
        </is>
      </c>
      <c r="F4450" s="10" t="inlineStr">
        <is>
          <t>Hồ Chí Minh</t>
        </is>
      </c>
      <c r="G4450" s="10" t="inlineStr">
        <is>
          <t>03-04-2026</t>
        </is>
      </c>
      <c r="H4450" s="10" t="inlineStr">
        <is>
          <t>03/04/2026</t>
        </is>
      </c>
      <c r="I4450" s="10" t="inlineStr">
        <is>
          <t>17/03/2026</t>
        </is>
      </c>
      <c r="J4450" s="10" t="inlineStr">
        <is>
          <t>Kế toán / Kiểm toán, Ngân hàng, Tài chính / Đầu tư</t>
        </is>
      </c>
      <c r="K4450" s="10" t="inlineStr">
        <is>
          <t>3 - 5 Năm</t>
        </is>
      </c>
      <c r="L4450" s="11">
        <f>HYPERLINK("https://careerviet.vn/vi/tim-viec-lam/chuyen-vien-ke-toan-doanh-nghiep-san-xuat-04-nhan-vien.35C6740A.html","Xem chi tiết")</f>
        <v/>
      </c>
      <c r="M4450" s="10" t="n"/>
    </row>
    <row r="4451">
      <c r="B4451" s="7" t="n">
        <v>4449</v>
      </c>
      <c r="C4451" t="inlineStr">
        <is>
          <t>Kỹ sư tư vấn thiết kế/chào thầu PCCC- xây dựng (35-60 triệu/tháng)</t>
        </is>
      </c>
      <c r="D4451" t="inlineStr">
        <is>
          <t>Công ty TNHH Cơ Điện Lạnh EEP Việt Nam</t>
        </is>
      </c>
      <c r="E4451" t="inlineStr">
        <is>
          <t>Lương:35 Tr - 60 Tr VND</t>
        </is>
      </c>
      <c r="F4451" t="inlineStr">
        <is>
          <t>Hà Nội</t>
        </is>
      </c>
      <c r="G4451" t="inlineStr">
        <is>
          <t>03-04-2026</t>
        </is>
      </c>
      <c r="H4451" t="inlineStr">
        <is>
          <t>03/04/2026</t>
        </is>
      </c>
      <c r="I4451" t="inlineStr">
        <is>
          <t>17/03/2026</t>
        </is>
      </c>
      <c r="J4451" t="inlineStr">
        <is>
          <t>Điện / Điện tử / Điện lạnh / Điện công nghiệp, Xây dựng, Cơ khí / Ô tô / Tự động hóa</t>
        </is>
      </c>
      <c r="K4451" t="inlineStr">
        <is>
          <t>5 - 10 Năm</t>
        </is>
      </c>
      <c r="L4451" s="8">
        <f>HYPERLINK("https://careerviet.vn/vi/tim-viec-lam/ky-su-tu-van-thiet-ke-chao-thau-pccc-xay-dung-35-60-trieu-thang.35C6479C.html","Xem chi tiết")</f>
        <v/>
      </c>
    </row>
    <row r="4452">
      <c r="B4452" s="9" t="n">
        <v>4450</v>
      </c>
      <c r="C4452" s="10" t="inlineStr">
        <is>
          <t>Marketing Executive</t>
        </is>
      </c>
      <c r="D4452" s="10" t="inlineStr">
        <is>
          <t>WANT WANT VIET NAM TRADING CO., LTD</t>
        </is>
      </c>
      <c r="E4452" s="10" t="inlineStr">
        <is>
          <t>Lương:Cạnh tranh</t>
        </is>
      </c>
      <c r="F4452" s="10" t="inlineStr">
        <is>
          <t>Hồ Chí Minh</t>
        </is>
      </c>
      <c r="G4452" s="10" t="inlineStr">
        <is>
          <t>15-04-2026</t>
        </is>
      </c>
      <c r="H4452" s="10" t="inlineStr">
        <is>
          <t>15/04/2026</t>
        </is>
      </c>
      <c r="I4452" s="10" t="inlineStr">
        <is>
          <t>17/03/2026</t>
        </is>
      </c>
      <c r="J4452" s="10" t="inlineStr">
        <is>
          <t>Tiếp thị / Marketing, Bán lẻ / Bán sỉ, Bán hàng / Kinh doanh</t>
        </is>
      </c>
      <c r="K4452" s="10" t="inlineStr">
        <is>
          <t>2 - 3 Năm</t>
        </is>
      </c>
      <c r="L4452" s="11">
        <f>HYPERLINK("https://careerviet.vn/vi/tim-viec-lam/marketing-executive.35C6AD8F.html","Xem chi tiết")</f>
        <v/>
      </c>
      <c r="M4452" s="10" t="n"/>
    </row>
    <row r="4453">
      <c r="B4453" s="7" t="n">
        <v>4451</v>
      </c>
      <c r="C4453" t="inlineStr">
        <is>
          <t>Marketing - Video Content Creator</t>
        </is>
      </c>
      <c r="D4453" t="inlineStr">
        <is>
          <t>Sai Gon Hikari Eye Center</t>
        </is>
      </c>
      <c r="E4453" t="inlineStr">
        <is>
          <t>Lương:10 Tr - 12 Tr VND</t>
        </is>
      </c>
      <c r="F4453" t="inlineStr">
        <is>
          <t>Hồ Chí Minh</t>
        </is>
      </c>
      <c r="G4453" t="inlineStr">
        <is>
          <t>30-04-2026</t>
        </is>
      </c>
      <c r="H4453" t="inlineStr">
        <is>
          <t>30/04/2026</t>
        </is>
      </c>
      <c r="I4453" t="inlineStr">
        <is>
          <t>17/03/2026</t>
        </is>
      </c>
      <c r="J4453" t="inlineStr">
        <is>
          <t>Tiếp thị / Marketing, Tiếp thị trực tuyến, Quảng cáo / Đối ngoại / Truyền Thông</t>
        </is>
      </c>
      <c r="K4453" t="inlineStr">
        <is>
          <t>1 - 2 Năm</t>
        </is>
      </c>
      <c r="L4453" s="8">
        <f>HYPERLINK("https://careerviet.vn/vi/tim-viec-lam/marketing-video-content-creator.35C5A107.html","Xem chi tiết")</f>
        <v/>
      </c>
    </row>
    <row r="4454">
      <c r="B4454" s="9" t="n">
        <v>4452</v>
      </c>
      <c r="C4454" s="10" t="inlineStr">
        <is>
          <t>[Hồ Chí Minh] CHUYÊN VIÊN TRUYỀN THÔNG BÁO CHÍ</t>
        </is>
      </c>
      <c r="D4454" s="10" t="inlineStr">
        <is>
          <t>CÔNG TY CỔ PHẦN DƯỢC PHẨM FPT LONG CHÂU</t>
        </is>
      </c>
      <c r="E4454" s="10" t="inlineStr">
        <is>
          <t>Lương:Cạnh tranh</t>
        </is>
      </c>
      <c r="F4454" s="10" t="inlineStr">
        <is>
          <t>Hồ Chí Minh</t>
        </is>
      </c>
      <c r="G4454" s="10" t="inlineStr">
        <is>
          <t>04-03-2026</t>
        </is>
      </c>
      <c r="H4454" s="10" t="inlineStr">
        <is>
          <t>14/11/2025</t>
        </is>
      </c>
      <c r="I4454" s="10" t="inlineStr">
        <is>
          <t>17/03/2026</t>
        </is>
      </c>
      <c r="J4454" s="10" t="inlineStr">
        <is>
          <t>Tiếp thị / Marketing, Truyền hình / Báo chí / Biên tập</t>
        </is>
      </c>
      <c r="K4454" s="10" t="inlineStr">
        <is>
          <t>2 - 5 Năm</t>
        </is>
      </c>
      <c r="L4454" s="11">
        <f>HYPERLINK("https://careerviet.vn/vi/tim-viec-lam/ho-chi-minh-chuyen-vien-truyen-thong-bao-chi.35C5BA1E.html","Xem chi tiết")</f>
        <v/>
      </c>
      <c r="M4454" s="10" t="n"/>
    </row>
    <row r="4455">
      <c r="B4455" s="7" t="n">
        <v>4453</v>
      </c>
      <c r="C4455" t="inlineStr">
        <is>
          <t>TIKTOK CONTENT CREATOR</t>
        </is>
      </c>
      <c r="D4455" t="inlineStr">
        <is>
          <t>Hỷ Lâm Môn &amp; L'amour Bakery</t>
        </is>
      </c>
      <c r="E4455" t="inlineStr">
        <is>
          <t>Lương:14 Tr - 18 Tr VND</t>
        </is>
      </c>
      <c r="F4455" t="inlineStr">
        <is>
          <t>Hồ Chí Minh</t>
        </is>
      </c>
      <c r="G4455" t="inlineStr">
        <is>
          <t>30-04-2026</t>
        </is>
      </c>
      <c r="H4455" t="inlineStr">
        <is>
          <t>30/04/2026</t>
        </is>
      </c>
      <c r="I4455" t="inlineStr">
        <is>
          <t>17/03/2026</t>
        </is>
      </c>
      <c r="J4455" t="inlineStr">
        <is>
          <t>Tiếp thị / Marketing</t>
        </is>
      </c>
      <c r="K4455" t="inlineStr">
        <is>
          <t>1 - 5 Năm</t>
        </is>
      </c>
      <c r="L4455" s="8">
        <f>HYPERLINK("https://careerviet.vn/vi/tim-viec-lam/tiktok-content-creator.35C6AF5B.html","Xem chi tiết")</f>
        <v/>
      </c>
    </row>
    <row r="4456">
      <c r="B4456" s="9" t="n">
        <v>4454</v>
      </c>
      <c r="C4456" s="10" t="inlineStr">
        <is>
          <t>Chuyên Viên Kinh Doanh Dự Án</t>
        </is>
      </c>
      <c r="D4456" s="10" t="inlineStr">
        <is>
          <t>Công Ty TNHH Thương Mại Giải Pháp Ưu Việt</t>
        </is>
      </c>
      <c r="E4456" s="10" t="inlineStr">
        <is>
          <t>Lương:14 Tr - 20 Tr VND</t>
        </is>
      </c>
      <c r="F4456" s="10" t="inlineStr">
        <is>
          <t>Hà NộiHồ Chí Minh</t>
        </is>
      </c>
      <c r="G4456" s="10" t="inlineStr">
        <is>
          <t>03-04-2026</t>
        </is>
      </c>
      <c r="H4456" s="10" t="inlineStr">
        <is>
          <t>03/04/2026</t>
        </is>
      </c>
      <c r="I4456" s="10" t="inlineStr">
        <is>
          <t>17/03/2026</t>
        </is>
      </c>
      <c r="J4456" s="10" t="inlineStr">
        <is>
          <t>Kiến trúc, Xây dựng, Nội ngoại thất</t>
        </is>
      </c>
      <c r="K4456" s="10" t="inlineStr">
        <is>
          <t>2 - 5 Năm</t>
        </is>
      </c>
      <c r="L4456" s="11">
        <f>HYPERLINK("https://careerviet.vn/vi/tim-viec-lam/chuyen-vien-kinh-doanh-du-an.35C672E0.html","Xem chi tiết")</f>
        <v/>
      </c>
      <c r="M4456" s="10" t="n"/>
    </row>
    <row r="4457">
      <c r="B4457" s="7" t="n">
        <v>4455</v>
      </c>
      <c r="C4457" t="inlineStr">
        <is>
          <t>[VINAMILK] Nhân Viên Đối Soát - Kênh Bán Lẻ</t>
        </is>
      </c>
      <c r="D4457" t="inlineStr">
        <is>
          <t>Công ty TNHH Sức Bật</t>
        </is>
      </c>
      <c r="E4457" t="inlineStr">
        <is>
          <t>Lương:12,5 Tr - 15,5 Tr VND</t>
        </is>
      </c>
      <c r="F4457" t="inlineStr">
        <is>
          <t>Hồ Chí Minh</t>
        </is>
      </c>
      <c r="G4457" t="inlineStr">
        <is>
          <t>31-03-2026</t>
        </is>
      </c>
      <c r="H4457" t="inlineStr">
        <is>
          <t>31/03/2026</t>
        </is>
      </c>
      <c r="I4457" t="inlineStr">
        <is>
          <t>17/03/2026</t>
        </is>
      </c>
      <c r="J4457" t="inlineStr">
        <is>
          <t>Kế toán / Kiểm toán, Hành chính / Thư ký, Bán lẻ / Bán sỉ</t>
        </is>
      </c>
      <c r="K4457" t="inlineStr">
        <is>
          <t>1 - 2 Năm</t>
        </is>
      </c>
      <c r="L4457" s="8">
        <f>HYPERLINK("https://careerviet.vn/vi/tim-viec-lam/vinamilk-nhan-vien-doi-soat-kenh-ban-le.35C6AD42.html","Xem chi tiết")</f>
        <v/>
      </c>
    </row>
    <row r="4458">
      <c r="B4458" s="9" t="n">
        <v>4456</v>
      </c>
      <c r="C4458" s="10" t="inlineStr">
        <is>
          <t>Nhân Viên Tuyển Dụng</t>
        </is>
      </c>
      <c r="D4458" s="10" t="inlineStr">
        <is>
          <t>Công ty TNHH Minh Long I</t>
        </is>
      </c>
      <c r="E4458" s="10" t="inlineStr">
        <is>
          <t>Lương:18 Tr - 22 Tr VND</t>
        </is>
      </c>
      <c r="F4458" s="10" t="inlineStr">
        <is>
          <t>Bình Dương</t>
        </is>
      </c>
      <c r="G4458" s="10" t="inlineStr">
        <is>
          <t>04-04-2026</t>
        </is>
      </c>
      <c r="H4458" s="10" t="inlineStr">
        <is>
          <t>04/04/2026</t>
        </is>
      </c>
      <c r="I4458" s="10" t="inlineStr">
        <is>
          <t>17/03/2026</t>
        </is>
      </c>
      <c r="J4458" s="10" t="inlineStr">
        <is>
          <t>Hành chính / Thư ký, Nhân sự</t>
        </is>
      </c>
      <c r="K4458" s="10" t="inlineStr">
        <is>
          <t>2 - 3 Năm</t>
        </is>
      </c>
      <c r="L4458" s="11">
        <f>HYPERLINK("https://careerviet.vn/vi/tim-viec-lam/nhan-vien-tuyen-dung.35C6B005.html","Xem chi tiết")</f>
        <v/>
      </c>
      <c r="M4458" s="10" t="n"/>
    </row>
    <row r="4459">
      <c r="B4459" s="7" t="n">
        <v>4457</v>
      </c>
      <c r="C4459" t="inlineStr">
        <is>
          <t>Backend Developer</t>
        </is>
      </c>
      <c r="D4459" t="inlineStr">
        <is>
          <t>CÔNG TY TNHH SKYLAB INNOGRAM VIỆT NAM</t>
        </is>
      </c>
      <c r="E4459" t="inlineStr">
        <is>
          <t>Lương:Cạnh tranh</t>
        </is>
      </c>
      <c r="F4459" t="inlineStr">
        <is>
          <t>Hồ Chí Minh</t>
        </is>
      </c>
      <c r="G4459" t="inlineStr">
        <is>
          <t>04-04-2026</t>
        </is>
      </c>
      <c r="H4459" t="inlineStr">
        <is>
          <t>04/04/2026</t>
        </is>
      </c>
      <c r="I4459" t="inlineStr">
        <is>
          <t>17/03/2026</t>
        </is>
      </c>
      <c r="J4459" t="inlineStr">
        <is>
          <t>CNTT - Phần mềm, CNTT - Phần cứng / Mạng, Ngành khác</t>
        </is>
      </c>
      <c r="K4459" t="inlineStr">
        <is>
          <t>Trên 1 Năm</t>
        </is>
      </c>
      <c r="L4459" s="8">
        <f>HYPERLINK("https://careerviet.vn/vi/tim-viec-lam/backend-developer.35C6AD71.html","Xem chi tiết")</f>
        <v/>
      </c>
    </row>
    <row r="4460">
      <c r="B4460" s="9" t="n">
        <v>4458</v>
      </c>
      <c r="C4460" s="10" t="inlineStr">
        <is>
          <t>Human Resources Manager</t>
        </is>
      </c>
      <c r="D4460" s="10" t="inlineStr">
        <is>
          <t>ROUTINE VN - FASHION DESIGN &amp; RETAILER</t>
        </is>
      </c>
      <c r="E4460" s="10" t="inlineStr">
        <is>
          <t>Lương:Cạnh tranh</t>
        </is>
      </c>
      <c r="F4460" s="10" t="inlineStr">
        <is>
          <t>Hồ Chí Minh</t>
        </is>
      </c>
      <c r="G4460" s="10" t="inlineStr">
        <is>
          <t>04-04-2026</t>
        </is>
      </c>
      <c r="H4460" s="10" t="inlineStr">
        <is>
          <t>04/04/2026</t>
        </is>
      </c>
      <c r="I4460" s="10" t="inlineStr">
        <is>
          <t>17/03/2026</t>
        </is>
      </c>
      <c r="J4460" s="10" t="inlineStr">
        <is>
          <t>Dệt may / Da giày / Thời trang, Bán hàng / Kinh doanh, Nhân sự</t>
        </is>
      </c>
      <c r="K4460" s="10" t="inlineStr">
        <is>
          <t>8 - 10 Năm</t>
        </is>
      </c>
      <c r="L4460" s="11">
        <f>HYPERLINK("https://careerviet.vn/vi/tim-viec-lam/human-resources-manager.35C6ACBA.html","Xem chi tiết")</f>
        <v/>
      </c>
      <c r="M4460" s="10" t="n"/>
    </row>
    <row r="4461">
      <c r="B4461" s="7" t="n">
        <v>4459</v>
      </c>
      <c r="C4461" t="inlineStr">
        <is>
          <t>Chuyên Viên Phân Tích Dữ Liệu</t>
        </is>
      </c>
      <c r="D4461" t="inlineStr">
        <is>
          <t>Công Ty Cổ Phần Cơ Khí Xây Dựng Thương Mại Đại Dũng</t>
        </is>
      </c>
      <c r="E4461" t="inlineStr">
        <is>
          <t>Lương:Cạnh tranh</t>
        </is>
      </c>
      <c r="F4461" t="inlineStr">
        <is>
          <t>Hồ Chí Minh</t>
        </is>
      </c>
      <c r="G4461" t="inlineStr">
        <is>
          <t>04-04-2026</t>
        </is>
      </c>
      <c r="H4461" t="inlineStr">
        <is>
          <t>04/04/2026</t>
        </is>
      </c>
      <c r="I4461" t="inlineStr">
        <is>
          <t>17/03/2026</t>
        </is>
      </c>
      <c r="J4461" t="inlineStr">
        <is>
          <t>Sản xuất / Vận hành sản xuất, Xây dựng</t>
        </is>
      </c>
      <c r="K4461" t="inlineStr">
        <is>
          <t>3 - 5 Năm</t>
        </is>
      </c>
      <c r="L4461" s="8">
        <f>HYPERLINK("https://careerviet.vn/vi/tim-viec-lam/chuyen-vien-phan-tich-du-lieu.35C6AD34.html","Xem chi tiết")</f>
        <v/>
      </c>
    </row>
    <row r="4462">
      <c r="B4462" s="9" t="n">
        <v>4460</v>
      </c>
      <c r="C4462" s="10" t="inlineStr">
        <is>
          <t>Nhân viên Digital Marketing</t>
        </is>
      </c>
      <c r="D4462" s="10" t="inlineStr">
        <is>
          <t>Sai Gon Hikari Eye Center</t>
        </is>
      </c>
      <c r="E4462" s="10" t="inlineStr">
        <is>
          <t>Lương:11 Tr - 13 Tr VND</t>
        </is>
      </c>
      <c r="F4462" s="10" t="inlineStr">
        <is>
          <t>Hồ Chí Minh</t>
        </is>
      </c>
      <c r="G4462" s="10" t="inlineStr">
        <is>
          <t>30-04-2026</t>
        </is>
      </c>
      <c r="H4462" s="10" t="inlineStr">
        <is>
          <t>30/04/2026</t>
        </is>
      </c>
      <c r="I4462" s="10" t="inlineStr">
        <is>
          <t>17/03/2026</t>
        </is>
      </c>
      <c r="J4462" s="10" t="inlineStr">
        <is>
          <t>Tiếp thị / Marketing, Y tế / Chăm sóc sức khỏe / Thẩm mỹ / Làm đẹp, Tiếp thị trực tuyến</t>
        </is>
      </c>
      <c r="K4462" s="10" t="inlineStr">
        <is>
          <t>2 - 3 Năm</t>
        </is>
      </c>
      <c r="L4462" s="11">
        <f>HYPERLINK("https://careerviet.vn/vi/tim-viec-lam/nhan-vien-digital-marketing.35C6AD73.html","Xem chi tiết")</f>
        <v/>
      </c>
      <c r="M4462" s="10" t="n"/>
    </row>
    <row r="4463">
      <c r="B4463" s="7" t="n">
        <v>4461</v>
      </c>
      <c r="C4463" t="inlineStr">
        <is>
          <t>Trưởng nhóm Nhân sự Tổng hợp (General HR Lead)</t>
        </is>
      </c>
      <c r="D4463" t="inlineStr">
        <is>
          <t>CÔNG TY TNHH ĐẦU TƯ DỊCH VỤ HUMVENTURES</t>
        </is>
      </c>
      <c r="E4463" t="inlineStr">
        <is>
          <t>Lương:Cạnh tranh</t>
        </is>
      </c>
      <c r="F4463" t="inlineStr">
        <is>
          <t>Hồ Chí Minh</t>
        </is>
      </c>
      <c r="G4463" t="inlineStr">
        <is>
          <t>31-03-2026</t>
        </is>
      </c>
      <c r="H4463" t="inlineStr">
        <is>
          <t>31/03/2026</t>
        </is>
      </c>
      <c r="I4463" t="inlineStr">
        <is>
          <t>17/03/2026</t>
        </is>
      </c>
      <c r="J4463" t="inlineStr">
        <is>
          <t>Luật / Pháp lý, Nhân sự, Kế toán / Kiểm toán</t>
        </is>
      </c>
      <c r="K4463" t="inlineStr">
        <is>
          <t>7 - 10 Năm</t>
        </is>
      </c>
      <c r="L4463" s="8">
        <f>HYPERLINK("https://careerviet.vn/vi/tim-viec-lam/truong-nhom-nhan-su-tong-hop-general-hr-lead.35C6AD6A.html","Xem chi tiết")</f>
        <v/>
      </c>
    </row>
    <row r="4464">
      <c r="B4464" s="9" t="n">
        <v>4462</v>
      </c>
      <c r="C4464" s="10" t="inlineStr">
        <is>
          <t>Senior Brand Manager (FMCG)</t>
        </is>
      </c>
      <c r="D4464" s="10" t="inlineStr">
        <is>
          <t>Công ty Cổ Phần Thực Phẩm Dinh Dưỡng NutiFood</t>
        </is>
      </c>
      <c r="E4464" s="10" t="inlineStr">
        <is>
          <t>Lương:Cạnh tranh</t>
        </is>
      </c>
      <c r="F4464" s="10" t="inlineStr">
        <is>
          <t>Hồ Chí Minh</t>
        </is>
      </c>
      <c r="G4464" s="10" t="inlineStr">
        <is>
          <t>03-04-2026</t>
        </is>
      </c>
      <c r="H4464" s="10" t="inlineStr">
        <is>
          <t>03/04/2026</t>
        </is>
      </c>
      <c r="I4464" s="10" t="inlineStr">
        <is>
          <t>17/03/2026</t>
        </is>
      </c>
      <c r="J4464" s="10" t="inlineStr">
        <is>
          <t>Tiếp thị / Marketing, Thực phẩm &amp; Đồ uống, Quảng cáo / Đối ngoại / Truyền Thông</t>
        </is>
      </c>
      <c r="K4464" s="10" t="inlineStr">
        <is>
          <t>5 - 15 Năm</t>
        </is>
      </c>
      <c r="L4464" s="11">
        <f>HYPERLINK("https://careerviet.vn/vi/tim-viec-lam/senior-brand-manager-fmcg.35C6ACF1.html","Xem chi tiết")</f>
        <v/>
      </c>
      <c r="M4464" s="10" t="n"/>
    </row>
    <row r="4465">
      <c r="B4465" s="7" t="n">
        <v>4463</v>
      </c>
      <c r="C4465" t="inlineStr">
        <is>
          <t>[LONG AN] QC LINE</t>
        </is>
      </c>
      <c r="D4465" t="inlineStr">
        <is>
          <t>Công Ty Cổ Phần Y&amp;B</t>
        </is>
      </c>
      <c r="E4465" t="inlineStr">
        <is>
          <t>Lương:Cạnh tranh</t>
        </is>
      </c>
      <c r="F4465" t="inlineStr">
        <is>
          <t>Long AnHồ Chí Minh</t>
        </is>
      </c>
      <c r="G4465" t="inlineStr">
        <is>
          <t>5</t>
        </is>
      </c>
      <c r="H4465" t="inlineStr">
        <is>
          <t>22/03/2026</t>
        </is>
      </c>
      <c r="I4465" t="inlineStr">
        <is>
          <t>17/03/2026</t>
        </is>
      </c>
      <c r="J4465" t="inlineStr">
        <is>
          <t>Hóa học, Quản lý chất lượng (QA/QC), Sản xuất / Vận hành sản xuất</t>
        </is>
      </c>
      <c r="K4465" t="inlineStr">
        <is>
          <t>1 - 3 Năm</t>
        </is>
      </c>
      <c r="L4465" s="8">
        <f>HYPERLINK("https://careerviet.vn/vi/tim-viec-lam/long-an-qc-line.35C6AC3B.html","Xem chi tiết")</f>
        <v/>
      </c>
    </row>
    <row r="4466">
      <c r="B4466" s="9" t="n">
        <v>4464</v>
      </c>
      <c r="C4466" s="10" t="inlineStr">
        <is>
          <t>Phó Phòng Hành Chính &amp; Nhân Sự</t>
        </is>
      </c>
      <c r="D4466" s="10" t="inlineStr">
        <is>
          <t>CÔNG TY CỔ PHẦN VINAFREIGHT</t>
        </is>
      </c>
      <c r="E4466" s="10" t="inlineStr">
        <is>
          <t>Lương:Cạnh tranh</t>
        </is>
      </c>
      <c r="F4466" s="10" t="inlineStr">
        <is>
          <t>Hồ Chí Minh</t>
        </is>
      </c>
      <c r="G4466" s="10" t="inlineStr">
        <is>
          <t>04-04-2026</t>
        </is>
      </c>
      <c r="H4466" s="10" t="inlineStr">
        <is>
          <t>04/04/2026</t>
        </is>
      </c>
      <c r="I4466" s="10" t="inlineStr">
        <is>
          <t>17/03/2026</t>
        </is>
      </c>
      <c r="J4466" s="10" t="inlineStr">
        <is>
          <t>Vận chuyển / Giao nhận / Kho vận, Hành chính / Thư ký, Nhân sự</t>
        </is>
      </c>
      <c r="K4466" s="10" t="inlineStr">
        <is>
          <t>Trên 3 Năm</t>
        </is>
      </c>
      <c r="L4466" s="11">
        <f>HYPERLINK("https://careerviet.vn/vi/tim-viec-lam/pho-phong-hanh-chinh-nhan-su.35C6AC7B.html","Xem chi tiết")</f>
        <v/>
      </c>
      <c r="M4466" s="10" t="n"/>
    </row>
    <row r="4467">
      <c r="B4467" s="7" t="n">
        <v>4465</v>
      </c>
      <c r="C4467" t="inlineStr">
        <is>
          <t>[VINAMILK] Nhân Viên Kiểm Kê Audit - Kênh Bán Lẻ</t>
        </is>
      </c>
      <c r="D4467" t="inlineStr">
        <is>
          <t>Công ty TNHH Sức Bật</t>
        </is>
      </c>
      <c r="E4467" t="inlineStr">
        <is>
          <t>Lương:12,5 Tr - 15,5 Tr VND</t>
        </is>
      </c>
      <c r="F4467" t="inlineStr">
        <is>
          <t>Hồ Chí Minh</t>
        </is>
      </c>
      <c r="G4467" t="inlineStr">
        <is>
          <t>31-03-2026</t>
        </is>
      </c>
      <c r="H4467" t="inlineStr">
        <is>
          <t>31/03/2026</t>
        </is>
      </c>
      <c r="I4467" t="inlineStr">
        <is>
          <t>17/03/2026</t>
        </is>
      </c>
      <c r="J4467" t="inlineStr">
        <is>
          <t>Bán lẻ / Bán sỉ, Kế toán / Kiểm toán</t>
        </is>
      </c>
      <c r="K4467" t="inlineStr">
        <is>
          <t>Trên 2 Năm</t>
        </is>
      </c>
      <c r="L4467" s="8">
        <f>HYPERLINK("https://careerviet.vn/vi/tim-viec-lam/vinamilk-nhan-vien-kiem-ke-audit-kenh-ban-le.35C6AD24.html","Xem chi tiết")</f>
        <v/>
      </c>
    </row>
    <row r="4468">
      <c r="B4468" s="9" t="n">
        <v>4466</v>
      </c>
      <c r="C4468" s="10" t="inlineStr">
        <is>
          <t>National Sales Manager – B2C Lubricants</t>
        </is>
      </c>
      <c r="D4468" s="10" t="inlineStr">
        <is>
          <t>CÔNG TY CỔ PHẦN THẾ GIỚI SỐ</t>
        </is>
      </c>
      <c r="E4468" s="10" t="inlineStr">
        <is>
          <t>Lương:Cạnh tranh</t>
        </is>
      </c>
      <c r="F4468" s="10" t="inlineStr">
        <is>
          <t>Hồ Chí Minh</t>
        </is>
      </c>
      <c r="G4468" s="10" t="inlineStr">
        <is>
          <t>30-04-2026</t>
        </is>
      </c>
      <c r="H4468" s="10" t="inlineStr">
        <is>
          <t>30/04/2026</t>
        </is>
      </c>
      <c r="I4468" s="10" t="inlineStr">
        <is>
          <t>17/03/2026</t>
        </is>
      </c>
      <c r="J4468" s="10" t="inlineStr">
        <is>
          <t>Dầu khí, Bán hàng / Kinh doanh, Bán lẻ / Bán sỉ</t>
        </is>
      </c>
      <c r="K4468" s="10" t="inlineStr">
        <is>
          <t>5 - 10 Năm</t>
        </is>
      </c>
      <c r="L4468" s="11">
        <f>HYPERLINK("https://careerviet.vn/vi/tim-viec-lam/national-sales-manager-b2c-lubricants.35C6AD89.html","Xem chi tiết")</f>
        <v/>
      </c>
      <c r="M4468" s="10" t="n"/>
    </row>
    <row r="4469">
      <c r="B4469" s="7" t="n">
        <v>4467</v>
      </c>
      <c r="C4469" t="inlineStr">
        <is>
          <t>Content Marketing</t>
        </is>
      </c>
      <c r="D4469" t="inlineStr">
        <is>
          <t>HỆ THỐNG KÍNH MẮT ANNA</t>
        </is>
      </c>
      <c r="E4469" t="inlineStr">
        <is>
          <t>Lương:9 Tr - 14 Tr VND</t>
        </is>
      </c>
      <c r="F4469" t="inlineStr">
        <is>
          <t>Hồ Chí Minh</t>
        </is>
      </c>
      <c r="G4469" t="inlineStr">
        <is>
          <t>04-04-2026</t>
        </is>
      </c>
      <c r="H4469" t="inlineStr">
        <is>
          <t>04/04/2026</t>
        </is>
      </c>
      <c r="I4469" t="inlineStr">
        <is>
          <t>17/03/2026</t>
        </is>
      </c>
      <c r="J4469" t="inlineStr">
        <is>
          <t>Tiếp thị / Marketing</t>
        </is>
      </c>
      <c r="K4469" t="inlineStr">
        <is>
          <t>Trên 2 Năm</t>
        </is>
      </c>
      <c r="L4469" s="8">
        <f>HYPERLINK("https://careerviet.vn/vi/tim-viec-lam/content-marketing.35C6ACCD.html","Xem chi tiết")</f>
        <v/>
      </c>
    </row>
    <row r="4470">
      <c r="B4470" s="9" t="n">
        <v>4468</v>
      </c>
      <c r="C4470" s="10" t="inlineStr">
        <is>
          <t>Internal Communications Executive</t>
        </is>
      </c>
      <c r="D4470" s="10" t="inlineStr">
        <is>
          <t>CÔNG TY CỔ PHẦN BOHO CORPORATION</t>
        </is>
      </c>
      <c r="E4470" s="10" t="inlineStr">
        <is>
          <t>Lương:14 Tr - 18 Tr VND</t>
        </is>
      </c>
      <c r="F4470" s="10" t="inlineStr">
        <is>
          <t>Hồ Chí Minh</t>
        </is>
      </c>
      <c r="G4470" s="10" t="inlineStr">
        <is>
          <t>31-03-2026</t>
        </is>
      </c>
      <c r="H4470" s="10" t="inlineStr">
        <is>
          <t>31/03/2026</t>
        </is>
      </c>
      <c r="I4470" s="10" t="inlineStr">
        <is>
          <t>17/03/2026</t>
        </is>
      </c>
      <c r="J4470" s="10" t="inlineStr">
        <is>
          <t>Nhân sự, Quảng cáo / Đối ngoại / Truyền Thông</t>
        </is>
      </c>
      <c r="K4470" s="10" t="inlineStr">
        <is>
          <t>1 - 3 Năm</t>
        </is>
      </c>
      <c r="L4470" s="11">
        <f>HYPERLINK("https://careerviet.vn/vi/tim-viec-lam/internal-communications-executive.35C6ACBB.html","Xem chi tiết")</f>
        <v/>
      </c>
      <c r="M4470" s="10" t="n"/>
    </row>
    <row r="4471">
      <c r="B4471" s="7" t="n">
        <v>4469</v>
      </c>
      <c r="C4471" t="inlineStr">
        <is>
          <t>Chuyên viên Hành chính</t>
        </is>
      </c>
      <c r="D4471" t="inlineStr">
        <is>
          <t>TẬP ĐOÀN NAMGROUP</t>
        </is>
      </c>
      <c r="E4471" t="inlineStr">
        <is>
          <t>Lương:10 Tr - 16 Tr VND</t>
        </is>
      </c>
      <c r="F4471" t="inlineStr">
        <is>
          <t>Hồ Chí Minh</t>
        </is>
      </c>
      <c r="G4471" t="inlineStr">
        <is>
          <t>30-04-2026</t>
        </is>
      </c>
      <c r="H4471" t="inlineStr">
        <is>
          <t>30/04/2026</t>
        </is>
      </c>
      <c r="I4471" t="inlineStr">
        <is>
          <t>17/03/2026</t>
        </is>
      </c>
      <c r="J4471" t="inlineStr">
        <is>
          <t>Hành chính / Thư ký, Bất động sản</t>
        </is>
      </c>
      <c r="K4471" t="inlineStr">
        <is>
          <t>2 - 7 Năm</t>
        </is>
      </c>
      <c r="L4471" s="8">
        <f>HYPERLINK("https://careerviet.vn/vi/tim-viec-lam/chuyen-vien-hanh-chinh.35C6AC74.html","Xem chi tiết")</f>
        <v/>
      </c>
    </row>
    <row r="4472">
      <c r="B4472" s="9" t="n">
        <v>4470</v>
      </c>
      <c r="C4472" s="10" t="inlineStr">
        <is>
          <t>Talent Acquisition Executive</t>
        </is>
      </c>
      <c r="D4472" s="10" t="inlineStr">
        <is>
          <t>CÔNG TY CỔ PHẦN BOHO CORPORATION</t>
        </is>
      </c>
      <c r="E4472" s="10" t="inlineStr">
        <is>
          <t>Lương:14 Tr - 18 Tr VND</t>
        </is>
      </c>
      <c r="F4472" s="10" t="inlineStr">
        <is>
          <t>Hồ Chí Minh</t>
        </is>
      </c>
      <c r="G4472" s="10" t="inlineStr">
        <is>
          <t>31-03-2026</t>
        </is>
      </c>
      <c r="H4472" s="10" t="inlineStr">
        <is>
          <t>31/03/2026</t>
        </is>
      </c>
      <c r="I4472" s="10" t="inlineStr">
        <is>
          <t>17/03/2026</t>
        </is>
      </c>
      <c r="J4472" s="10" t="inlineStr">
        <is>
          <t>Nhân sự</t>
        </is>
      </c>
      <c r="K4472" s="10" t="inlineStr">
        <is>
          <t>1 - 3 Năm</t>
        </is>
      </c>
      <c r="L4472" s="11">
        <f>HYPERLINK("https://careerviet.vn/vi/tim-viec-lam/talent-acquisition-executive.35C6AC9C.html","Xem chi tiết")</f>
        <v/>
      </c>
      <c r="M4472" s="10" t="n"/>
    </row>
    <row r="4473">
      <c r="B4473" s="7" t="n">
        <v>4471</v>
      </c>
      <c r="C4473" t="inlineStr">
        <is>
          <t>NHÂN VIÊN VẬN HÀNH MÁY</t>
        </is>
      </c>
      <c r="D4473" t="inlineStr">
        <is>
          <t>SABECO - Saigon Beer-Alcohol-Beverage Corporation</t>
        </is>
      </c>
      <c r="E4473" t="inlineStr">
        <is>
          <t>Lương:Cạnh tranh</t>
        </is>
      </c>
      <c r="F4473" t="inlineStr">
        <is>
          <t>Bình DươngHồ Chí Minh</t>
        </is>
      </c>
      <c r="G4473" t="inlineStr">
        <is>
          <t>31-03-2026</t>
        </is>
      </c>
      <c r="H4473" t="inlineStr">
        <is>
          <t>31/03/2026</t>
        </is>
      </c>
      <c r="I4473" t="inlineStr">
        <is>
          <t>17/03/2026</t>
        </is>
      </c>
      <c r="J4473" t="inlineStr">
        <is>
          <t>Thực phẩm &amp; Đồ uống, Sản xuất / Vận hành sản xuất, Công nghệ thực phẩm / Dinh dưỡng</t>
        </is>
      </c>
      <c r="K4473" t="inlineStr">
        <is>
          <t>1 - 3 Năm</t>
        </is>
      </c>
      <c r="L4473" s="8">
        <f>HYPERLINK("https://careerviet.vn/vi/tim-viec-lam/nhan-vien-van-hanh-may.35C6ACB2.html","Xem chi tiết")</f>
        <v/>
      </c>
    </row>
    <row r="4474">
      <c r="B4474" s="9" t="n">
        <v>4472</v>
      </c>
      <c r="C4474" s="10" t="inlineStr">
        <is>
          <t>Nhân Viên Kinh Doanh Hương Liệu Thực Phẩm</t>
        </is>
      </c>
      <c r="D4474" s="10" t="inlineStr">
        <is>
          <t>CÔNG TY TNHH XUMEI VIỆT NAM</t>
        </is>
      </c>
      <c r="E4474" s="10" t="inlineStr">
        <is>
          <t>Lương:18 Tr - 50 Tr VND</t>
        </is>
      </c>
      <c r="F4474" s="10" t="inlineStr">
        <is>
          <t>Hà NộiĐà NẵngHồ Chí Minh</t>
        </is>
      </c>
      <c r="G4474" s="10" t="inlineStr">
        <is>
          <t>03-04-2026</t>
        </is>
      </c>
      <c r="H4474" s="10" t="inlineStr">
        <is>
          <t>03/04/2026</t>
        </is>
      </c>
      <c r="I4474" s="10" t="inlineStr">
        <is>
          <t>17/03/2026</t>
        </is>
      </c>
      <c r="J4474" s="10" t="inlineStr">
        <is>
          <t>Bán hàng / Kinh doanh, Thực phẩm &amp; Đồ uống, Bán lẻ / Bán sỉBằng cấpCao đẳngĐộ tuổi25 - 40</t>
        </is>
      </c>
      <c r="K4474" s="10" t="inlineStr">
        <is>
          <t>N/A</t>
        </is>
      </c>
      <c r="L4474" s="11">
        <f>HYPERLINK("https://careerviet.vn/vi/tim-viec-lam/nhan-vien-kinh-doanh-huong-lieu-thuc-pham.35C6AC36.html","Xem chi tiết")</f>
        <v/>
      </c>
      <c r="M4474" s="10" t="n"/>
    </row>
    <row r="4475">
      <c r="B4475" s="7" t="n">
        <v>4473</v>
      </c>
      <c r="C4475" t="inlineStr">
        <is>
          <t>QA Lab Supervisor</t>
        </is>
      </c>
      <c r="D4475" t="inlineStr">
        <is>
          <t>Vietnam Furniture Resources (VFR)</t>
        </is>
      </c>
      <c r="E4475" t="inlineStr">
        <is>
          <t>Lương:Cạnh tranh</t>
        </is>
      </c>
      <c r="F4475" t="inlineStr">
        <is>
          <t>Bình Dương</t>
        </is>
      </c>
      <c r="G4475" t="inlineStr">
        <is>
          <t>15-04-2026</t>
        </is>
      </c>
      <c r="H4475" t="inlineStr">
        <is>
          <t>15/04/2026</t>
        </is>
      </c>
      <c r="I4475" t="inlineStr">
        <is>
          <t>17/03/2026</t>
        </is>
      </c>
      <c r="J4475" t="inlineStr">
        <is>
          <t>Quản lý chất lượng (QA/QC), Hóa học</t>
        </is>
      </c>
      <c r="K4475" t="inlineStr">
        <is>
          <t>2 - 5 Năm</t>
        </is>
      </c>
      <c r="L4475" s="8">
        <f>HYPERLINK("https://careerviet.vn/vi/tim-viec-lam/qa-lab-supervisor.35C6AC42.html","Xem chi tiết")</f>
        <v/>
      </c>
    </row>
    <row r="4476">
      <c r="B4476" s="9" t="n">
        <v>4474</v>
      </c>
      <c r="C4476" s="10" t="inlineStr">
        <is>
          <t>Purchasing Staff/ Nhân Viên Mua Hàng Xuất Nhập Khẩu</t>
        </is>
      </c>
      <c r="D4476" s="10" t="inlineStr">
        <is>
          <t>CÔNG TY CỔ PHẦN ĐẦU TƯ VÀ PHÁT TRIỂN CÔNG NGHỆ QUỐC GIA ADG</t>
        </is>
      </c>
      <c r="E4476" s="10" t="inlineStr">
        <is>
          <t>Lương:Cạnh tranh</t>
        </is>
      </c>
      <c r="F4476" s="10" t="inlineStr">
        <is>
          <t>Hà Nội</t>
        </is>
      </c>
      <c r="G4476" s="10" t="inlineStr">
        <is>
          <t>03-04-2026</t>
        </is>
      </c>
      <c r="H4476" s="10" t="inlineStr">
        <is>
          <t>03/04/2026</t>
        </is>
      </c>
      <c r="I4476" s="10" t="inlineStr">
        <is>
          <t>17/03/2026</t>
        </is>
      </c>
      <c r="J4476" s="10" t="inlineStr">
        <is>
          <t>Thu mua / Vật tư, Xuất nhập khẩu, CNTT - Phần mềm</t>
        </is>
      </c>
      <c r="K4476" s="10" t="inlineStr">
        <is>
          <t>1 - 3 Năm</t>
        </is>
      </c>
      <c r="L4476" s="11">
        <f>HYPERLINK("https://careerviet.vn/vi/tim-viec-lam/purchasing-staff-nhan-vien-mua-hang-xuat-nhap-khau.35C6AC23.html","Xem chi tiết")</f>
        <v/>
      </c>
      <c r="M4476" s="10" t="n"/>
    </row>
    <row r="4477">
      <c r="B4477" s="7" t="n">
        <v>4475</v>
      </c>
      <c r="C4477" t="inlineStr">
        <is>
          <t>Kế Toán Công Nợ</t>
        </is>
      </c>
      <c r="D4477" t="inlineStr">
        <is>
          <t>CÔNG TY TNHH DƯỢC PHẨM MINH TRÍ</t>
        </is>
      </c>
      <c r="E4477" t="inlineStr">
        <is>
          <t>Lương:Trên 8,5 Tr VND</t>
        </is>
      </c>
      <c r="F4477" t="inlineStr">
        <is>
          <t>Hồ Chí Minh</t>
        </is>
      </c>
      <c r="G4477" t="inlineStr">
        <is>
          <t>31-03-2026</t>
        </is>
      </c>
      <c r="H4477" t="inlineStr">
        <is>
          <t>31/03/2026</t>
        </is>
      </c>
      <c r="I4477" t="inlineStr">
        <is>
          <t>17/03/2026</t>
        </is>
      </c>
      <c r="J4477" t="inlineStr">
        <is>
          <t>Kế toán / Kiểm toán, Mới tốt nghiệp / Thực tập</t>
        </is>
      </c>
      <c r="K4477" t="inlineStr">
        <is>
          <t>N/A</t>
        </is>
      </c>
      <c r="L4477" s="8">
        <f>HYPERLINK("https://careerviet.vn/vi/tim-viec-lam/ke-toan-cong-no.35C6AC33.html","Xem chi tiết")</f>
        <v/>
      </c>
    </row>
    <row r="4478">
      <c r="B4478" s="9" t="n">
        <v>4476</v>
      </c>
      <c r="C4478" s="10" t="inlineStr">
        <is>
          <t>Kế Toán Thuế</t>
        </is>
      </c>
      <c r="D4478" s="10" t="inlineStr">
        <is>
          <t>Công Ty TNHH T.M.G</t>
        </is>
      </c>
      <c r="E4478" s="10" t="inlineStr">
        <is>
          <t>Lương:Cạnh tranh</t>
        </is>
      </c>
      <c r="F4478" s="10" t="inlineStr">
        <is>
          <t>Hồ Chí Minh</t>
        </is>
      </c>
      <c r="G4478" s="10" t="inlineStr">
        <is>
          <t>02-04-2026</t>
        </is>
      </c>
      <c r="H4478" s="10" t="inlineStr">
        <is>
          <t>02/04/2026</t>
        </is>
      </c>
      <c r="I4478" s="10" t="inlineStr">
        <is>
          <t>17/03/2026</t>
        </is>
      </c>
      <c r="J4478" s="10" t="inlineStr">
        <is>
          <t>Bán lẻ / Bán sỉ, Bán hàng / Kinh doanh, Kế toán / Kiểm toán</t>
        </is>
      </c>
      <c r="K4478" s="10" t="inlineStr">
        <is>
          <t>2 - 3 Năm</t>
        </is>
      </c>
      <c r="L4478" s="11">
        <f>HYPERLINK("https://careerviet.vn/vi/tim-viec-lam/ke-toan-thue.35C6464C.html","Xem chi tiết")</f>
        <v/>
      </c>
      <c r="M4478" s="10" t="n"/>
    </row>
    <row r="4479">
      <c r="B4479" s="7" t="n">
        <v>4477</v>
      </c>
      <c r="C4479" t="inlineStr">
        <is>
          <t>Nhân viên Xuất - Nhập khẩu/ Import – Export Executive</t>
        </is>
      </c>
      <c r="D4479" t="inlineStr">
        <is>
          <t>CÔNG TY TNHH Y-MED HEALTHCARE</t>
        </is>
      </c>
      <c r="E4479" t="inlineStr">
        <is>
          <t>Lương:9 Tr - 12 Tr VND</t>
        </is>
      </c>
      <c r="F4479" t="inlineStr">
        <is>
          <t>Hồ Chí Minh</t>
        </is>
      </c>
      <c r="G4479" t="inlineStr">
        <is>
          <t>05-04-2026</t>
        </is>
      </c>
      <c r="H4479" t="inlineStr">
        <is>
          <t>05/04/2026</t>
        </is>
      </c>
      <c r="I4479" t="inlineStr">
        <is>
          <t>17/03/2026</t>
        </is>
      </c>
      <c r="J4479" t="inlineStr">
        <is>
          <t>Xuất nhập khẩu, Dịch vụ khách hàng</t>
        </is>
      </c>
      <c r="K4479" t="inlineStr">
        <is>
          <t>1 - 3 Năm</t>
        </is>
      </c>
      <c r="L4479" s="8">
        <f>HYPERLINK("https://careerviet.vn/vi/tim-viec-lam/nhan-vien-xuat-nhap-khau-import-export-executive.35C6AC2D.html","Xem chi tiết")</f>
        <v/>
      </c>
    </row>
    <row r="4480">
      <c r="B4480" s="9" t="n">
        <v>4478</v>
      </c>
      <c r="C4480" s="10" t="inlineStr">
        <is>
          <t>KẾ TOÁN TỔNG HỢP CÓ KINH NGHIỆM (ĐỊNH HƯỚNG PHÁT TRIỂN KẾ TOÁN TRƯỞNG)</t>
        </is>
      </c>
      <c r="D4480" s="10" t="inlineStr">
        <is>
          <t>CÔNG TY TNHH NAM GIAO</t>
        </is>
      </c>
      <c r="E4480" s="10" t="inlineStr">
        <is>
          <t>Lương:Cạnh tranh</t>
        </is>
      </c>
      <c r="F4480" s="10" t="inlineStr">
        <is>
          <t>Hồ Chí Minh</t>
        </is>
      </c>
      <c r="G4480" s="10" t="inlineStr">
        <is>
          <t>15-04-2026</t>
        </is>
      </c>
      <c r="H4480" s="10" t="inlineStr">
        <is>
          <t>15/04/2026</t>
        </is>
      </c>
      <c r="I4480" s="10" t="inlineStr">
        <is>
          <t>17/03/2026</t>
        </is>
      </c>
      <c r="J4480" s="10" t="inlineStr">
        <is>
          <t>Kế toán / Kiểm toán</t>
        </is>
      </c>
      <c r="K4480" s="10" t="inlineStr">
        <is>
          <t>N/A</t>
        </is>
      </c>
      <c r="L4480" s="11">
        <f>HYPERLINK("https://careerviet.vn/vi/tim-viec-lam/ke-toan-tong-hop-co-kinh-nghiem-dinh-huong-phat-trien-ke-toan-truong.35C6AA25.html","Xem chi tiết")</f>
        <v/>
      </c>
      <c r="M4480" s="10" t="n"/>
    </row>
    <row r="4481">
      <c r="B4481" s="7" t="n">
        <v>4479</v>
      </c>
      <c r="C4481" t="inlineStr">
        <is>
          <t>Calibration Technician - Kỹ Thuật Viên Hiệu Chuẩn</t>
        </is>
      </c>
      <c r="D4481" t="inlineStr">
        <is>
          <t>CÔNG TY TNHH LEGO MANUFACTURING VIỆT NAM</t>
        </is>
      </c>
      <c r="E4481" t="inlineStr">
        <is>
          <t>Lương:500 - 800 USD</t>
        </is>
      </c>
      <c r="F4481" t="inlineStr">
        <is>
          <t>Bình Dương</t>
        </is>
      </c>
      <c r="G4481" t="inlineStr">
        <is>
          <t>03-04-2026</t>
        </is>
      </c>
      <c r="H4481" t="inlineStr">
        <is>
          <t>03/04/2026</t>
        </is>
      </c>
      <c r="I4481" t="inlineStr">
        <is>
          <t>17/03/2026</t>
        </is>
      </c>
      <c r="J4481" t="inlineStr">
        <is>
          <t>Sản xuất / Vận hành sản xuất, Quản lý chất lượng (QA/QC)</t>
        </is>
      </c>
      <c r="K4481" t="inlineStr">
        <is>
          <t>1 - 3 Năm</t>
        </is>
      </c>
      <c r="L4481" s="8">
        <f>HYPERLINK("https://careerviet.vn/vi/tim-viec-lam/calibration-technician-ky-thuat-vien-hieu-chuan.35C6ABFA.html","Xem chi tiết")</f>
        <v/>
      </c>
    </row>
    <row r="4482">
      <c r="B4482" s="9" t="n">
        <v>4480</v>
      </c>
      <c r="C4482" s="10" t="inlineStr">
        <is>
          <t>Chuyên viên Xử lý khiếu nại - Trung tâm thẻ</t>
        </is>
      </c>
      <c r="D4482" s="10" t="inlineStr">
        <is>
          <t>Ngân hàng TMCP Phát triển TP.HCM (HDBank)</t>
        </is>
      </c>
      <c r="E4482" s="10" t="inlineStr">
        <is>
          <t>Lương:Cạnh tranh</t>
        </is>
      </c>
      <c r="F4482" s="10" t="inlineStr">
        <is>
          <t>Hồ Chí Minh</t>
        </is>
      </c>
      <c r="G4482" s="10" t="inlineStr">
        <is>
          <t>31-03-2026</t>
        </is>
      </c>
      <c r="H4482" s="10" t="inlineStr">
        <is>
          <t>31/03/2026</t>
        </is>
      </c>
      <c r="I4482" s="10" t="inlineStr">
        <is>
          <t>17/03/2026</t>
        </is>
      </c>
      <c r="J4482" s="10" t="inlineStr">
        <is>
          <t>Ngân hàng</t>
        </is>
      </c>
      <c r="K4482" s="10" t="inlineStr">
        <is>
          <t>Trên 3 Năm</t>
        </is>
      </c>
      <c r="L4482" s="11">
        <f>HYPERLINK("https://careerviet.vn/vi/tim-viec-lam/chuyen-vien-xu-ly-khieu-nai-trung-tam-the.35C6AB1D.html","Xem chi tiết")</f>
        <v/>
      </c>
      <c r="M4482" s="10" t="n"/>
    </row>
    <row r="4483">
      <c r="B4483" s="7" t="n">
        <v>4481</v>
      </c>
      <c r="C4483" t="inlineStr">
        <is>
          <t>Chuyên viên Digital &amp; CRM - Công ty SCID</t>
        </is>
      </c>
      <c r="D4483" t="inlineStr">
        <is>
          <t>Liên Hiệp HTX Thương Mại TPHCM - SAIGON CO.OP</t>
        </is>
      </c>
      <c r="E4483" t="inlineStr">
        <is>
          <t>Lương:Cạnh tranh</t>
        </is>
      </c>
      <c r="F4483" t="inlineStr">
        <is>
          <t>Hồ Chí Minh</t>
        </is>
      </c>
      <c r="G4483" t="inlineStr">
        <is>
          <t>03-04-2026</t>
        </is>
      </c>
      <c r="H4483" t="inlineStr">
        <is>
          <t>03/04/2026</t>
        </is>
      </c>
      <c r="I4483" t="inlineStr">
        <is>
          <t>17/03/2026</t>
        </is>
      </c>
      <c r="J4483" t="inlineStr">
        <is>
          <t>Quảng cáo / Đối ngoại / Truyền Thông</t>
        </is>
      </c>
      <c r="K4483" t="inlineStr">
        <is>
          <t>1 - 2 Năm</t>
        </is>
      </c>
      <c r="L4483" s="8">
        <f>HYPERLINK("https://careerviet.vn/vi/tim-viec-lam/chuyen-vien-digital-crm-cong-ty-scid.35C6AC2C.html","Xem chi tiết")</f>
        <v/>
      </c>
    </row>
    <row r="4484">
      <c r="B4484" s="9" t="n">
        <v>4482</v>
      </c>
      <c r="C4484" s="10" t="inlineStr">
        <is>
          <t>Nhân viên hành chính nhân sự</t>
        </is>
      </c>
      <c r="D4484" s="10" t="inlineStr">
        <is>
          <t>CÔNG TY TNHH GRANFORD</t>
        </is>
      </c>
      <c r="E4484" s="10" t="inlineStr">
        <is>
          <t>Lương:10 Tr - 12 Tr VND</t>
        </is>
      </c>
      <c r="F4484" s="10" t="inlineStr">
        <is>
          <t>Hồ Chí Minh</t>
        </is>
      </c>
      <c r="G4484" s="10" t="inlineStr">
        <is>
          <t>30-04-2026</t>
        </is>
      </c>
      <c r="H4484" s="10" t="inlineStr">
        <is>
          <t>30/04/2026</t>
        </is>
      </c>
      <c r="I4484" s="10" t="inlineStr">
        <is>
          <t>17/03/2026</t>
        </is>
      </c>
      <c r="J4484" s="10" t="inlineStr">
        <is>
          <t>Hành chính / Thư ký, Kế toán / Kiểm toán, Nhân sự</t>
        </is>
      </c>
      <c r="K4484" s="10" t="inlineStr">
        <is>
          <t>N/A</t>
        </is>
      </c>
      <c r="L4484" s="11">
        <f>HYPERLINK("https://careerviet.vn/vi/tim-viec-lam/nhan-vien-hanh-chinh-nhan-su.35C6AC48.html","Xem chi tiết")</f>
        <v/>
      </c>
      <c r="M4484" s="10" t="n"/>
    </row>
    <row r="4485">
      <c r="B4485" s="7" t="n">
        <v>4483</v>
      </c>
      <c r="C4485" t="inlineStr">
        <is>
          <t>Trình dược viên ETC</t>
        </is>
      </c>
      <c r="D4485" t="inlineStr">
        <is>
          <t>CÔNG TY CỔ PHẦN GIẢI PHÁP GENE - GENE SOLUTIONS</t>
        </is>
      </c>
      <c r="E4485" t="inlineStr">
        <is>
          <t>Lương:Cạnh tranh</t>
        </is>
      </c>
      <c r="F4485" t="inlineStr">
        <is>
          <t>Hồ Chí MinhCần Thơ</t>
        </is>
      </c>
      <c r="G4485" t="inlineStr">
        <is>
          <t>02-04-2026</t>
        </is>
      </c>
      <c r="H4485" t="inlineStr">
        <is>
          <t>02/04/2026</t>
        </is>
      </c>
      <c r="I4485" t="inlineStr">
        <is>
          <t>17/03/2026</t>
        </is>
      </c>
      <c r="J4485" t="inlineStr">
        <is>
          <t>Dược phẩm/ Hóa Mỹ Phẩm, Y tế / Chăm sóc sức khỏe / Thẩm mỹ / Làm đẹp</t>
        </is>
      </c>
      <c r="K4485" t="inlineStr">
        <is>
          <t>2 - 4 Năm</t>
        </is>
      </c>
      <c r="L4485" s="8">
        <f>HYPERLINK("https://careerviet.vn/vi/tim-viec-lam/trinh-duoc-vien-etc.35C6472A.html","Xem chi tiết")</f>
        <v/>
      </c>
    </row>
    <row r="4486">
      <c r="B4486" s="9" t="n">
        <v>4484</v>
      </c>
      <c r="C4486" s="10" t="inlineStr">
        <is>
          <t>Kỹ Thuật Viên Bảo Trì Điện - Nhà máy Quảng Trị</t>
        </is>
      </c>
      <c r="D4486" s="10" t="inlineStr">
        <is>
          <t>Saint-Gobain Vietnam</t>
        </is>
      </c>
      <c r="E4486" s="10" t="inlineStr">
        <is>
          <t>Lương:Cạnh tranh</t>
        </is>
      </c>
      <c r="F4486" s="10" t="inlineStr">
        <is>
          <t>Quảng Trị</t>
        </is>
      </c>
      <c r="G4486" s="10" t="inlineStr">
        <is>
          <t>02-04-2026</t>
        </is>
      </c>
      <c r="H4486" s="10" t="inlineStr">
        <is>
          <t>02/04/2026</t>
        </is>
      </c>
      <c r="I4486" s="10" t="inlineStr">
        <is>
          <t>17/03/2026</t>
        </is>
      </c>
      <c r="J4486" s="10" t="inlineStr">
        <is>
          <t>Điện / Điện tử / Điện lạnh / Điện công nghiệp, Bảo trì / Sửa chữa</t>
        </is>
      </c>
      <c r="K4486" s="10" t="inlineStr">
        <is>
          <t>1 - 10 Năm</t>
        </is>
      </c>
      <c r="L4486" s="11">
        <f>HYPERLINK("https://careerviet.vn/vi/tim-viec-lam/ky-thuat-vien-bao-tri-dien-nha-may-quang-tri.35C646C3.html","Xem chi tiết")</f>
        <v/>
      </c>
      <c r="M4486" s="10" t="n"/>
    </row>
    <row r="4487">
      <c r="B4487" s="7" t="n">
        <v>4485</v>
      </c>
      <c r="C4487" t="inlineStr">
        <is>
          <t>Trưởng phòng Quản Trị &amp; Đầu Tư Xây Dựng</t>
        </is>
      </c>
      <c r="D4487" t="inlineStr">
        <is>
          <t>CÔNG TY CỔ PHẦN TRANSIMEX</t>
        </is>
      </c>
      <c r="E4487" t="inlineStr">
        <is>
          <t>Lương:Cạnh tranh</t>
        </is>
      </c>
      <c r="F4487" t="inlineStr">
        <is>
          <t>Hồ Chí Minh</t>
        </is>
      </c>
      <c r="G4487" t="inlineStr">
        <is>
          <t>6</t>
        </is>
      </c>
      <c r="H4487" t="inlineStr">
        <is>
          <t>23/03/2026</t>
        </is>
      </c>
      <c r="I4487" t="inlineStr">
        <is>
          <t>17/03/2026</t>
        </is>
      </c>
      <c r="J4487" t="inlineStr">
        <is>
          <t>Xây dựng, Bất động sản, Vận chuyển / Giao nhận / Kho vận</t>
        </is>
      </c>
      <c r="K4487" t="inlineStr">
        <is>
          <t>5 - 10 Năm</t>
        </is>
      </c>
      <c r="L4487" s="8">
        <f>HYPERLINK("https://careerviet.vn/vi/tim-viec-lam/truong-phong-quan-tri-dau-tu-xay-dung.35C692EB.html","Xem chi tiết")</f>
        <v/>
      </c>
    </row>
    <row r="4488">
      <c r="B4488" s="9" t="n">
        <v>4486</v>
      </c>
      <c r="C4488" s="10" t="inlineStr">
        <is>
          <t>Sales Engineer/Kỹ Sư Bán Hàng (Bình Dương)</t>
        </is>
      </c>
      <c r="D4488" s="10" t="inlineStr">
        <is>
          <t>Daikin Air Conditioning (Vietnam) Joint Stock Company</t>
        </is>
      </c>
      <c r="E4488" s="10" t="inlineStr">
        <is>
          <t>Lương:Cạnh tranh</t>
        </is>
      </c>
      <c r="F4488" s="10" t="inlineStr">
        <is>
          <t>Bình Dương</t>
        </is>
      </c>
      <c r="G4488" s="10" t="inlineStr">
        <is>
          <t>02-04-2026</t>
        </is>
      </c>
      <c r="H4488" s="10" t="inlineStr">
        <is>
          <t>02/04/2026</t>
        </is>
      </c>
      <c r="I4488" s="10" t="inlineStr">
        <is>
          <t>17/03/2026</t>
        </is>
      </c>
      <c r="J4488" s="10" t="inlineStr">
        <is>
          <t>Bán hàng / Kinh doanh, Bán Hàng Kỹ Thuật, Điện / Điện tử / Điện lạnh / Điện công nghiệp</t>
        </is>
      </c>
      <c r="K4488" s="10" t="inlineStr">
        <is>
          <t>1 - 3 Năm</t>
        </is>
      </c>
      <c r="L4488" s="11">
        <f>HYPERLINK("https://careerviet.vn/vi/tim-viec-lam/sales-engineer-ky-su-ban-hang-binh-duong.35C646E6.html","Xem chi tiết")</f>
        <v/>
      </c>
      <c r="M4488" s="10" t="n"/>
    </row>
    <row r="4489">
      <c r="B4489" s="7" t="n">
        <v>4487</v>
      </c>
      <c r="C4489" t="inlineStr">
        <is>
          <t>[Cái Bè, Sa Đéc] Giám sát Kinh doanh kênh GT</t>
        </is>
      </c>
      <c r="D4489" t="inlineStr">
        <is>
          <t>Công ty TNHH Mayora Việt Nam</t>
        </is>
      </c>
      <c r="E4489" t="inlineStr">
        <is>
          <t>Lương:Cạnh tranh</t>
        </is>
      </c>
      <c r="F4489" t="inlineStr">
        <is>
          <t>Đồng Tháp</t>
        </is>
      </c>
      <c r="G4489" t="inlineStr">
        <is>
          <t>02-04-2026</t>
        </is>
      </c>
      <c r="H4489" t="inlineStr">
        <is>
          <t>02/04/2026</t>
        </is>
      </c>
      <c r="I4489" t="inlineStr">
        <is>
          <t>17/03/2026</t>
        </is>
      </c>
      <c r="J4489" t="inlineStr">
        <is>
          <t>Bán lẻ / Bán sỉ, Bán hàng / Kinh doanh, Tiếp thị trực tuyến</t>
        </is>
      </c>
      <c r="K4489" t="inlineStr">
        <is>
          <t>1 - 2 Năm</t>
        </is>
      </c>
      <c r="L4489" s="8">
        <f>HYPERLINK("https://careerviet.vn/vi/tim-viec-lam/cai-be-sa-dec-giam-sat-kinh-doanh-kenh-gt.35C6465F.html","Xem chi tiết")</f>
        <v/>
      </c>
    </row>
    <row r="4490">
      <c r="B4490" s="9" t="n">
        <v>4488</v>
      </c>
      <c r="C4490" s="10" t="inlineStr">
        <is>
          <t>Account  Team Leader</t>
        </is>
      </c>
      <c r="D4490" s="10" t="inlineStr">
        <is>
          <t>CÔNG TY TNHH MỘT THÀNH VIÊN TIKPLUS VIỆT NAM</t>
        </is>
      </c>
      <c r="E4490" s="10" t="inlineStr">
        <is>
          <t>Lương:12 Tr - 15 Tr VND</t>
        </is>
      </c>
      <c r="F4490" s="10" t="inlineStr">
        <is>
          <t>Hồ Chí Minh</t>
        </is>
      </c>
      <c r="G4490" s="10" t="inlineStr">
        <is>
          <t>02-04-2026</t>
        </is>
      </c>
      <c r="H4490" s="10" t="inlineStr">
        <is>
          <t>02/04/2026</t>
        </is>
      </c>
      <c r="I4490" s="10" t="inlineStr">
        <is>
          <t>17/03/2026</t>
        </is>
      </c>
      <c r="J4490" s="10" t="inlineStr">
        <is>
          <t>Tiếp thị / Marketing, Bán hàng / Kinh doanh, Quảng cáo / Đối ngoại / Truyền Thông</t>
        </is>
      </c>
      <c r="K4490" s="10" t="inlineStr">
        <is>
          <t>2 - 3 Năm</t>
        </is>
      </c>
      <c r="L4490" s="11">
        <f>HYPERLINK("https://careerviet.vn/vi/tim-viec-lam/account-team-leader.35C6471D.html","Xem chi tiết")</f>
        <v/>
      </c>
      <c r="M4490" s="10" t="n"/>
    </row>
    <row r="4491">
      <c r="B4491" s="7" t="n">
        <v>4489</v>
      </c>
      <c r="C4491" t="inlineStr">
        <is>
          <t>Chuyên viên kinh doanh thị trường phân bón hữu cơ Greenma</t>
        </is>
      </c>
      <c r="D4491" t="inlineStr">
        <is>
          <t>Bảo mật</t>
        </is>
      </c>
      <c r="E4491" t="inlineStr">
        <is>
          <t>Lương:13 Tr - 20 Tr VND</t>
        </is>
      </c>
      <c r="F4491" t="inlineStr">
        <is>
          <t>Dak LakLâm Đồng</t>
        </is>
      </c>
      <c r="G4491" t="inlineStr">
        <is>
          <t>02-04-2026</t>
        </is>
      </c>
      <c r="H4491" t="inlineStr">
        <is>
          <t>02/04/2026</t>
        </is>
      </c>
      <c r="I4491" t="inlineStr">
        <is>
          <t>17/03/2026</t>
        </is>
      </c>
      <c r="J4491" t="inlineStr">
        <is>
          <t>Bán lẻ / Bán sỉ, Bán hàng / Kinh doanh, Nông nghiệp</t>
        </is>
      </c>
      <c r="K4491" t="inlineStr">
        <is>
          <t>2 - 10 Năm</t>
        </is>
      </c>
      <c r="L4491" s="8">
        <f>HYPERLINK("https://careerviet.vn/vi/tim-viec-lam/chuyen-vien-kinh-doanh-thi-truong-phan-bon-huu-co-greenma.35C646DE.html","Xem chi tiết")</f>
        <v/>
      </c>
    </row>
    <row r="4492">
      <c r="B4492" s="9" t="n">
        <v>4490</v>
      </c>
      <c r="C4492" s="10" t="inlineStr">
        <is>
          <t>Nhân Viên Đảm Bảo Chất Lượng (QA)</t>
        </is>
      </c>
      <c r="D4492" s="10" t="inlineStr">
        <is>
          <t>Công Ty Cổ Phần Mỹ Phẩm Sài Gòn</t>
        </is>
      </c>
      <c r="E4492" s="10" t="inlineStr">
        <is>
          <t>Lương:Cạnh tranh</t>
        </is>
      </c>
      <c r="F4492" s="10" t="inlineStr">
        <is>
          <t>Hồ Chí Minh</t>
        </is>
      </c>
      <c r="G4492" s="10" t="inlineStr">
        <is>
          <t>30-04-2026</t>
        </is>
      </c>
      <c r="H4492" s="10" t="inlineStr">
        <is>
          <t>30/04/2026</t>
        </is>
      </c>
      <c r="I4492" s="10" t="inlineStr">
        <is>
          <t>17/03/2026</t>
        </is>
      </c>
      <c r="J4492" s="10" t="inlineStr">
        <is>
          <t>Dược phẩm/ Hóa Mỹ Phẩm, Hóa học, Mới tốt nghiệp / Thực tậpBằng cấpĐại họcĐộ tuổiKhông giới hạn tuổi</t>
        </is>
      </c>
      <c r="K4492" s="10" t="inlineStr">
        <is>
          <t>N/A</t>
        </is>
      </c>
      <c r="L4492" s="11">
        <f>HYPERLINK("https://careerviet.vn/vi/tim-viec-lam/nhan-vien-dam-bao-chat-luong-qa.35C6ABDB.html","Xem chi tiết")</f>
        <v/>
      </c>
      <c r="M4492" s="10" t="n"/>
    </row>
    <row r="4493">
      <c r="B4493" s="7" t="n">
        <v>4491</v>
      </c>
      <c r="C4493" t="inlineStr">
        <is>
          <t>REGIONAL SALES MANAGER (RSM)</t>
        </is>
      </c>
      <c r="D4493" t="inlineStr">
        <is>
          <t>Công Ty Cổ Phần Mỹ Phẩm Sài Gòn</t>
        </is>
      </c>
      <c r="E4493" t="inlineStr">
        <is>
          <t>Lương:Cạnh tranh</t>
        </is>
      </c>
      <c r="F4493" t="inlineStr">
        <is>
          <t>Hồ Chí Minh</t>
        </is>
      </c>
      <c r="G4493" t="inlineStr">
        <is>
          <t>01-04-2026</t>
        </is>
      </c>
      <c r="H4493" t="inlineStr">
        <is>
          <t>01/04/2026</t>
        </is>
      </c>
      <c r="I4493" t="inlineStr">
        <is>
          <t>17/03/2026</t>
        </is>
      </c>
      <c r="J4493" t="inlineStr">
        <is>
          <t>Tiếp thị / Marketing, Bán hàng / Kinh doanh</t>
        </is>
      </c>
      <c r="K4493" t="inlineStr">
        <is>
          <t>3 - 5 Năm</t>
        </is>
      </c>
      <c r="L4493" s="8">
        <f>HYPERLINK("https://careerviet.vn/vi/tim-viec-lam/regional-sales-manager-rsm.35C6A4B9.html","Xem chi tiết")</f>
        <v/>
      </c>
    </row>
    <row r="4494">
      <c r="B4494" s="9" t="n">
        <v>4492</v>
      </c>
      <c r="C4494" s="10" t="inlineStr">
        <is>
          <t>TỔ TRƯỞNG QA</t>
        </is>
      </c>
      <c r="D4494" s="10" t="inlineStr">
        <is>
          <t>CÔNG TY TRÁCH NHIỆM HỮU HẠN SÀI GÒN PRECISION</t>
        </is>
      </c>
      <c r="E4494" s="10" t="inlineStr">
        <is>
          <t>Lương:Cạnh tranh</t>
        </is>
      </c>
      <c r="F4494" s="10" t="inlineStr">
        <is>
          <t>Hồ Chí Minh</t>
        </is>
      </c>
      <c r="G4494" s="10" t="inlineStr">
        <is>
          <t>02-04-2026</t>
        </is>
      </c>
      <c r="H4494" s="10" t="inlineStr">
        <is>
          <t>02/04/2026</t>
        </is>
      </c>
      <c r="I4494" s="10" t="inlineStr">
        <is>
          <t>17/03/2026</t>
        </is>
      </c>
      <c r="J4494" s="10" t="inlineStr">
        <is>
          <t>Nhân sự</t>
        </is>
      </c>
      <c r="K4494" s="10" t="inlineStr">
        <is>
          <t>1 - 5 Năm</t>
        </is>
      </c>
      <c r="L4494" s="11">
        <f>HYPERLINK("https://careerviet.vn/vi/tim-viec-lam/to-truong-qa.35C64715.html","Xem chi tiết")</f>
        <v/>
      </c>
      <c r="M4494" s="10" t="n"/>
    </row>
    <row r="4495">
      <c r="B4495" s="7" t="n">
        <v>4493</v>
      </c>
      <c r="C4495" t="inlineStr">
        <is>
          <t>TRƯỞNG PHÒNG KINH DOANH</t>
        </is>
      </c>
      <c r="D4495" t="inlineStr">
        <is>
          <t>Công Ty TNHH TM Huỳnh Thành</t>
        </is>
      </c>
      <c r="E4495" t="inlineStr">
        <is>
          <t>Lương:Trên 20 Tr VND</t>
        </is>
      </c>
      <c r="F4495" t="inlineStr">
        <is>
          <t>Bến Tre</t>
        </is>
      </c>
      <c r="G4495" t="inlineStr">
        <is>
          <t>02-04-2026</t>
        </is>
      </c>
      <c r="H4495" t="inlineStr">
        <is>
          <t>02/04/2026</t>
        </is>
      </c>
      <c r="I4495" t="inlineStr">
        <is>
          <t>17/03/2026</t>
        </is>
      </c>
      <c r="J4495" t="inlineStr">
        <is>
          <t>Tiếp thị / Marketing, Bán lẻ / Bán sỉ, Bán hàng / Kinh doanh</t>
        </is>
      </c>
      <c r="K4495" t="inlineStr">
        <is>
          <t>2 - 3 Năm</t>
        </is>
      </c>
      <c r="L4495" s="8">
        <f>HYPERLINK("https://careerviet.vn/vi/tim-viec-lam/truong-phong-kinh-doanh.35C64664.html","Xem chi tiết")</f>
        <v/>
      </c>
    </row>
    <row r="4496">
      <c r="B4496" s="9" t="n">
        <v>4494</v>
      </c>
      <c r="C4496" s="10" t="inlineStr">
        <is>
          <t>Product Management Executive</t>
        </is>
      </c>
      <c r="D4496" s="10" t="inlineStr">
        <is>
          <t>Công ty TNHH MTV Công nghệ Tin học Viễn Sơn</t>
        </is>
      </c>
      <c r="E4496" s="10" t="inlineStr">
        <is>
          <t>Lương:13 Tr - 15 Tr VND</t>
        </is>
      </c>
      <c r="F4496" s="10" t="inlineStr">
        <is>
          <t>Hồ Chí Minh</t>
        </is>
      </c>
      <c r="G4496" s="10" t="inlineStr">
        <is>
          <t>02-04-2026</t>
        </is>
      </c>
      <c r="H4496" s="10" t="inlineStr">
        <is>
          <t>02/04/2026</t>
        </is>
      </c>
      <c r="I4496" s="10" t="inlineStr">
        <is>
          <t>17/03/2026</t>
        </is>
      </c>
      <c r="J4496" s="10" t="inlineStr">
        <is>
          <t>Bán lẻ / Bán sỉ, Bán hàng / Kinh doanh, CNTT - Phần cứng / Mạng</t>
        </is>
      </c>
      <c r="K4496" s="10" t="inlineStr">
        <is>
          <t>1 - 3 Năm</t>
        </is>
      </c>
      <c r="L4496" s="11">
        <f>HYPERLINK("https://careerviet.vn/vi/tim-viec-lam/product-management-executive.35C64694.html","Xem chi tiết")</f>
        <v/>
      </c>
      <c r="M4496" s="10" t="n"/>
    </row>
    <row r="4497">
      <c r="B4497" s="7" t="n">
        <v>4495</v>
      </c>
      <c r="C4497" t="inlineStr">
        <is>
          <t>Legal Officer</t>
        </is>
      </c>
      <c r="D4497" t="inlineStr">
        <is>
          <t>CÔNG TY TNHH THANTAWAN INDUSTRY (VIỆT NAM)</t>
        </is>
      </c>
      <c r="E4497" t="inlineStr">
        <is>
          <t>Lương:Cạnh tranh</t>
        </is>
      </c>
      <c r="F4497" t="inlineStr">
        <is>
          <t>Tây NinhBình DươngĐồng Nai</t>
        </is>
      </c>
      <c r="G4497" t="inlineStr">
        <is>
          <t>02-04-2026</t>
        </is>
      </c>
      <c r="H4497" t="inlineStr">
        <is>
          <t>02/04/2026</t>
        </is>
      </c>
      <c r="I4497" t="inlineStr">
        <is>
          <t>17/03/2026</t>
        </is>
      </c>
      <c r="J4497" t="inlineStr">
        <is>
          <t>Kế toán / Kiểm toán, Luật / Pháp lý, Tài chính / Đầu tư</t>
        </is>
      </c>
      <c r="K4497" t="inlineStr">
        <is>
          <t>1 - 3 Năm</t>
        </is>
      </c>
      <c r="L4497" s="8">
        <f>HYPERLINK("https://careerviet.vn/vi/tim-viec-lam/legal-officer.35C6467E.html","Xem chi tiết")</f>
        <v/>
      </c>
    </row>
    <row r="4498">
      <c r="B4498" s="9" t="n">
        <v>4496</v>
      </c>
      <c r="C4498" s="10" t="inlineStr">
        <is>
          <t>[Q7] PHIÊN DỊCH TIẾNG HÀN</t>
        </is>
      </c>
      <c r="D4498" s="10" t="inlineStr">
        <is>
          <t>Công Ty TNHH CJ Vina Agri</t>
        </is>
      </c>
      <c r="E4498" s="10" t="inlineStr">
        <is>
          <t>Lương:20 Tr - 25 Tr VND</t>
        </is>
      </c>
      <c r="F4498" s="10" t="inlineStr">
        <is>
          <t>Hồ Chí Minh</t>
        </is>
      </c>
      <c r="G4498" s="10" t="inlineStr">
        <is>
          <t>02-04-2026</t>
        </is>
      </c>
      <c r="H4498" s="10" t="inlineStr">
        <is>
          <t>02/04/2026</t>
        </is>
      </c>
      <c r="I4498" s="10" t="inlineStr">
        <is>
          <t>17/03/2026</t>
        </is>
      </c>
      <c r="J4498" s="10" t="inlineStr">
        <is>
          <t>Biên phiên dịch</t>
        </is>
      </c>
      <c r="K4498" s="10" t="inlineStr">
        <is>
          <t>3 - 5 Năm</t>
        </is>
      </c>
      <c r="L4498" s="11">
        <f>HYPERLINK("https://careerviet.vn/vi/tim-viec-lam/q7-phien-dich-tieng-han.35C6463F.html","Xem chi tiết")</f>
        <v/>
      </c>
      <c r="M4498" s="10" t="n"/>
    </row>
    <row r="4499">
      <c r="B4499" s="7" t="n">
        <v>4497</v>
      </c>
      <c r="C4499" t="inlineStr">
        <is>
          <t>Sales Logistics</t>
        </is>
      </c>
      <c r="D4499" t="inlineStr">
        <is>
          <t>Voltrans Logistics Co., Ltd</t>
        </is>
      </c>
      <c r="E4499" t="inlineStr">
        <is>
          <t>Lương:8 Tr - 20 Tr VND</t>
        </is>
      </c>
      <c r="F4499" t="inlineStr">
        <is>
          <t>Hồ Chí MinhHà NộiĐà Nẵng</t>
        </is>
      </c>
      <c r="G4499" t="inlineStr">
        <is>
          <t>30-04-2026</t>
        </is>
      </c>
      <c r="H4499" t="inlineStr">
        <is>
          <t>30/04/2026</t>
        </is>
      </c>
      <c r="I4499" t="inlineStr">
        <is>
          <t>17/03/2026</t>
        </is>
      </c>
      <c r="J4499" t="inlineStr">
        <is>
          <t>Bán hàng / Kinh doanh, Vận chuyển / Giao nhận / Kho vận, Xuất nhập khẩu</t>
        </is>
      </c>
      <c r="K4499" t="inlineStr">
        <is>
          <t>1 - 2 Năm</t>
        </is>
      </c>
      <c r="L4499" s="8">
        <f>HYPERLINK("https://careerviet.vn/vi/tim-viec-lam/sales-logistics.35C6AB1E.html","Xem chi tiết")</f>
        <v/>
      </c>
    </row>
    <row r="4500">
      <c r="B4500" s="9" t="n">
        <v>4498</v>
      </c>
      <c r="C4500" s="10" t="inlineStr">
        <is>
          <t>Assistant to the Deputy General Director</t>
        </is>
      </c>
      <c r="D4500" s="10" t="inlineStr">
        <is>
          <t>CÔNG TY TNHH THANTAWAN INDUSTRY (VIỆT NAM)</t>
        </is>
      </c>
      <c r="E4500" s="10" t="inlineStr">
        <is>
          <t>Lương:20 Tr - 30 Tr VND</t>
        </is>
      </c>
      <c r="F4500" s="10" t="inlineStr">
        <is>
          <t>Tây NinhBình DươngĐồng Nai</t>
        </is>
      </c>
      <c r="G4500" s="10" t="inlineStr">
        <is>
          <t>02-04-2026</t>
        </is>
      </c>
      <c r="H4500" s="10" t="inlineStr">
        <is>
          <t>02/04/2026</t>
        </is>
      </c>
      <c r="I4500" s="10" t="inlineStr">
        <is>
          <t>17/03/2026</t>
        </is>
      </c>
      <c r="J4500" s="10" t="inlineStr">
        <is>
          <t>Hành chính / Thư ký, Quản lý điều hành, Nhân sự</t>
        </is>
      </c>
      <c r="K4500" s="10" t="inlineStr">
        <is>
          <t>2 - 3 Năm</t>
        </is>
      </c>
      <c r="L4500" s="11">
        <f>HYPERLINK("https://careerviet.vn/vi/tim-viec-lam/assistant-to-the-deputy-general-director.35C64688.html","Xem chi tiết")</f>
        <v/>
      </c>
      <c r="M4500" s="10" t="n"/>
    </row>
    <row r="4501">
      <c r="B4501" s="7" t="n">
        <v>4499</v>
      </c>
      <c r="C4501" t="inlineStr">
        <is>
          <t>Nhân Viên Kỹ Thuật Môi Trường (Dịch Vụ Lưu Trú)</t>
        </is>
      </c>
      <c r="D4501" t="inlineStr">
        <is>
          <t>CÔNG TY TNHH THƯƠNG MẠI KỸ THUẬT BIOFIX FRESH</t>
        </is>
      </c>
      <c r="E4501" t="inlineStr">
        <is>
          <t>Lương:Cạnh tranh</t>
        </is>
      </c>
      <c r="F4501" t="inlineStr">
        <is>
          <t>Bình Dương</t>
        </is>
      </c>
      <c r="G4501" t="inlineStr">
        <is>
          <t>05-04-2026</t>
        </is>
      </c>
      <c r="H4501" t="inlineStr">
        <is>
          <t>05/04/2026</t>
        </is>
      </c>
      <c r="I4501" t="inlineStr">
        <is>
          <t>17/03/2026</t>
        </is>
      </c>
      <c r="J4501" t="inlineStr">
        <is>
          <t>Môi trường, Mới tốt nghiệp / Thực tập</t>
        </is>
      </c>
      <c r="K4501" t="inlineStr">
        <is>
          <t>N/A</t>
        </is>
      </c>
      <c r="L4501" s="8">
        <f>HYPERLINK("https://careerviet.vn/vi/tim-viec-lam/nhan-vien-ky-thuat-moi-truong-dich-vu-luu-tru.35C675D8.html","Xem chi tiết")</f>
        <v/>
      </c>
    </row>
    <row r="4502">
      <c r="B4502" s="9" t="n">
        <v>4500</v>
      </c>
      <c r="C4502" s="10" t="inlineStr">
        <is>
          <t>QUẢN LÝ - VẬN HÀNH CNC – TEAM LEADER – ĐỒ GỖ</t>
        </is>
      </c>
      <c r="D4502" s="10" t="inlineStr">
        <is>
          <t>Công ty TNHH Fannwood</t>
        </is>
      </c>
      <c r="E4502" s="10" t="inlineStr">
        <is>
          <t>Lương:Cạnh tranh</t>
        </is>
      </c>
      <c r="F4502" s="10" t="inlineStr">
        <is>
          <t>Bình Dương</t>
        </is>
      </c>
      <c r="G4502" s="10" t="inlineStr">
        <is>
          <t>02-04-2026</t>
        </is>
      </c>
      <c r="H4502" s="10" t="inlineStr">
        <is>
          <t>02/04/2026</t>
        </is>
      </c>
      <c r="I4502" s="10" t="inlineStr">
        <is>
          <t>17/03/2026</t>
        </is>
      </c>
      <c r="J4502" s="10" t="inlineStr">
        <is>
          <t>Sản xuất / Vận hành sản xuất, Đồ gỗ</t>
        </is>
      </c>
      <c r="K4502" s="10" t="inlineStr">
        <is>
          <t>3 - 5 Năm</t>
        </is>
      </c>
      <c r="L4502" s="11">
        <f>HYPERLINK("https://careerviet.vn/vi/tim-viec-lam/quan-ly-van-hanh-cnc-team-leader-do-go.35C64740.html","Xem chi tiết")</f>
        <v/>
      </c>
      <c r="M4502" s="10" t="n"/>
    </row>
    <row r="4503">
      <c r="B4503" s="7" t="n">
        <v>4501</v>
      </c>
      <c r="C4503" t="inlineStr">
        <is>
          <t>Senior Business Intelligence (BI) - Mảng Đầu Tư</t>
        </is>
      </c>
      <c r="D4503" t="inlineStr">
        <is>
          <t>NGÂN HÀNG TMCP KỸ THƯƠNG VIỆT NAM (TECHCOMBANK)</t>
        </is>
      </c>
      <c r="E4503" t="inlineStr">
        <is>
          <t>Lương:Cạnh tranh</t>
        </is>
      </c>
      <c r="F4503" t="inlineStr">
        <is>
          <t>Hà Nội</t>
        </is>
      </c>
      <c r="G4503" t="inlineStr">
        <is>
          <t>05-04-2026</t>
        </is>
      </c>
      <c r="H4503" t="inlineStr">
        <is>
          <t>05/04/2026</t>
        </is>
      </c>
      <c r="I4503" t="inlineStr">
        <is>
          <t>17/03/2026</t>
        </is>
      </c>
      <c r="J4503" t="inlineStr">
        <is>
          <t>Ngân hàng, Tài chính / Đầu tư, CNTT - Phần mềm</t>
        </is>
      </c>
      <c r="K4503" t="inlineStr">
        <is>
          <t>Trên 5 Năm</t>
        </is>
      </c>
      <c r="L4503" s="8">
        <f>HYPERLINK("https://careerviet.vn/vi/tim-viec-lam/senior-business-intelligence-bi-mang-dau-tu.35C6792E.html","Xem chi tiết")</f>
        <v/>
      </c>
    </row>
    <row r="4504">
      <c r="B4504" s="9" t="n">
        <v>4502</v>
      </c>
      <c r="C4504" s="10" t="inlineStr">
        <is>
          <t>Nhân viên kỹ thuật điện-điện tử (12-14 triệu)</t>
        </is>
      </c>
      <c r="D4504" s="10" t="inlineStr">
        <is>
          <t>CÔNG TY CỔ PHẦN TẬP ĐOÀN DEKKO</t>
        </is>
      </c>
      <c r="E4504" s="10" t="inlineStr">
        <is>
          <t>Lương:12 Tr - 15 Tr VND</t>
        </is>
      </c>
      <c r="F4504" s="10" t="inlineStr">
        <is>
          <t>Hưng Yên</t>
        </is>
      </c>
      <c r="G4504" s="10" t="inlineStr">
        <is>
          <t>05-04-2026</t>
        </is>
      </c>
      <c r="H4504" s="10" t="inlineStr">
        <is>
          <t>05/04/2026</t>
        </is>
      </c>
      <c r="I4504" s="10" t="inlineStr">
        <is>
          <t>17/03/2026</t>
        </is>
      </c>
      <c r="J4504" s="10" t="inlineStr">
        <is>
          <t>Điện / Điện tử / Điện lạnh / Điện công nghiệp</t>
        </is>
      </c>
      <c r="K4504" s="10" t="inlineStr">
        <is>
          <t>Trên 1 Năm</t>
        </is>
      </c>
      <c r="L4504" s="11">
        <f>HYPERLINK("https://careerviet.vn/vi/tim-viec-lam/nhan-vien-ky-thuat-dien-dien-tu-12-14-trieu.35C6789F.html","Xem chi tiết")</f>
        <v/>
      </c>
      <c r="M4504" s="10" t="n"/>
    </row>
    <row r="4505">
      <c r="B4505" s="7" t="n">
        <v>4503</v>
      </c>
      <c r="C4505" t="inlineStr">
        <is>
          <t>Compliance Manager</t>
        </is>
      </c>
      <c r="D4505" t="inlineStr">
        <is>
          <t>Công Ty TNHH Map Pacific Singapore</t>
        </is>
      </c>
      <c r="E4505" t="inlineStr">
        <is>
          <t>Lương:Cạnh tranh</t>
        </is>
      </c>
      <c r="F4505" t="inlineStr">
        <is>
          <t>Đồng Nai</t>
        </is>
      </c>
      <c r="G4505" t="inlineStr">
        <is>
          <t>05-04-2026</t>
        </is>
      </c>
      <c r="H4505" t="inlineStr">
        <is>
          <t>05/04/2026</t>
        </is>
      </c>
      <c r="I4505" t="inlineStr">
        <is>
          <t>17/03/2026</t>
        </is>
      </c>
      <c r="J4505" t="inlineStr">
        <is>
          <t>Luật / Pháp lý, Kế toán / Kiểm toán, Nông nghiệp</t>
        </is>
      </c>
      <c r="K4505" t="inlineStr">
        <is>
          <t>3 - 5 Năm</t>
        </is>
      </c>
      <c r="L4505" s="8">
        <f>HYPERLINK("https://careerviet.vn/vi/tim-viec-lam/compliance-manager.35C67619.html","Xem chi tiết")</f>
        <v/>
      </c>
    </row>
    <row r="4506">
      <c r="B4506" s="9" t="n">
        <v>4504</v>
      </c>
      <c r="C4506" s="10" t="inlineStr">
        <is>
          <t>Kỹ Thuật Viên Bảo Trì Cơ Khí -  Nhà máy Quảng Trị</t>
        </is>
      </c>
      <c r="D4506" s="10" t="inlineStr">
        <is>
          <t>Saint-Gobain Vietnam</t>
        </is>
      </c>
      <c r="E4506" s="10" t="inlineStr">
        <is>
          <t>Lương:Cạnh tranh</t>
        </is>
      </c>
      <c r="F4506" s="10" t="inlineStr">
        <is>
          <t>Quảng Trị</t>
        </is>
      </c>
      <c r="G4506" s="10" t="inlineStr">
        <is>
          <t>02-04-2026</t>
        </is>
      </c>
      <c r="H4506" s="10" t="inlineStr">
        <is>
          <t>02/04/2026</t>
        </is>
      </c>
      <c r="I4506" s="10" t="inlineStr">
        <is>
          <t>17/03/2026</t>
        </is>
      </c>
      <c r="J4506" s="10" t="inlineStr">
        <is>
          <t>Cơ khí / Ô tô / Tự động hóa, Bảo trì / Sửa chữa</t>
        </is>
      </c>
      <c r="K4506" s="10" t="inlineStr">
        <is>
          <t>1 - 10 Năm</t>
        </is>
      </c>
      <c r="L4506" s="11">
        <f>HYPERLINK("https://careerviet.vn/vi/tim-viec-lam/ky-thuat-vien-bao-tri-co-khi-nha-may-quang-tri.35C646C6.html","Xem chi tiết")</f>
        <v/>
      </c>
      <c r="M4506" s="10" t="n"/>
    </row>
    <row r="4507">
      <c r="B4507" s="7" t="n">
        <v>4505</v>
      </c>
      <c r="C4507" t="inlineStr">
        <is>
          <t>Nhân Viên Quản Lý Khối Lượng Nội Thất (công tác theo dự án – sẽ đào tạo công việc)</t>
        </is>
      </c>
      <c r="D4507" t="inlineStr">
        <is>
          <t>TTT Corporation</t>
        </is>
      </c>
      <c r="E4507" t="inlineStr">
        <is>
          <t>Lương:Cạnh tranh</t>
        </is>
      </c>
      <c r="F4507" t="inlineStr">
        <is>
          <t>Hà NộiBà Rịa - Vũng TàuHồ Chí Minh</t>
        </is>
      </c>
      <c r="G4507" t="inlineStr">
        <is>
          <t>05-04-2026</t>
        </is>
      </c>
      <c r="H4507" t="inlineStr">
        <is>
          <t>05/04/2026</t>
        </is>
      </c>
      <c r="I4507" t="inlineStr">
        <is>
          <t>17/03/2026</t>
        </is>
      </c>
      <c r="J4507" t="inlineStr">
        <is>
          <t>Xây dựng, Nội ngoại thất</t>
        </is>
      </c>
      <c r="K4507" t="inlineStr">
        <is>
          <t>1 - 2 Năm</t>
        </is>
      </c>
      <c r="L4507" s="8">
        <f>HYPERLINK("https://careerviet.vn/vi/tim-viec-lam/nhan-vien-quan-ly-khoi-luong-noi-that-cong-tac-theo-du-an-se-dao-tao-cong-viec.35C6487C.html","Xem chi tiết")</f>
        <v/>
      </c>
    </row>
    <row r="4508">
      <c r="B4508" s="9" t="n">
        <v>4506</v>
      </c>
      <c r="C4508" s="10" t="inlineStr">
        <is>
          <t>Đại Diện Kinh Doanh</t>
        </is>
      </c>
      <c r="D4508" s="10" t="inlineStr">
        <is>
          <t>CÔNG TY TNHH LEDVANCE VIỆT NAM</t>
        </is>
      </c>
      <c r="E4508" s="10" t="inlineStr">
        <is>
          <t>Lương:Cạnh tranh</t>
        </is>
      </c>
      <c r="F4508" s="10" t="inlineStr">
        <is>
          <t>Bà Rịa - Vũng TàuBình DươngKhánh Hòa</t>
        </is>
      </c>
      <c r="G4508" s="10" t="inlineStr">
        <is>
          <t>05-04-2026</t>
        </is>
      </c>
      <c r="H4508" s="10" t="inlineStr">
        <is>
          <t>05/04/2026</t>
        </is>
      </c>
      <c r="I4508" s="10" t="inlineStr">
        <is>
          <t>17/03/2026</t>
        </is>
      </c>
      <c r="J4508" s="10" t="inlineStr">
        <is>
          <t>Bán lẻ / Bán sỉ, Bán hàng / Kinh doanh, Xây dựng</t>
        </is>
      </c>
      <c r="K4508" s="10" t="inlineStr">
        <is>
          <t>N/A</t>
        </is>
      </c>
      <c r="L4508" s="11">
        <f>HYPERLINK("https://careerviet.vn/vi/tim-viec-lam/dai-dien-kinh-doanh.35C67852.html","Xem chi tiết")</f>
        <v/>
      </c>
      <c r="M4508" s="10" t="n"/>
    </row>
    <row r="4509">
      <c r="B4509" s="7" t="n">
        <v>4507</v>
      </c>
      <c r="C4509" t="inlineStr">
        <is>
          <t>CVCC/CVC/ Chuyên viên Khách Hàng Doanh Nghiệp - Đà Nẵng, Huế, Bình Định, Quảng Ngãi, Đăc  Lăc, Nha Trang</t>
        </is>
      </c>
      <c r="D4509" t="inlineStr">
        <is>
          <t>Ngân hàng Thương mại cổ phần Đông Nam Á (SeABank)</t>
        </is>
      </c>
      <c r="E4509" t="inlineStr">
        <is>
          <t>Lương:10 Tr - 35 Tr VND</t>
        </is>
      </c>
      <c r="F4509" t="inlineStr">
        <is>
          <t>Đà NẵngKhánh Hòa</t>
        </is>
      </c>
      <c r="G4509" t="inlineStr">
        <is>
          <t>05-04-2026</t>
        </is>
      </c>
      <c r="H4509" t="inlineStr">
        <is>
          <t>05/04/2026</t>
        </is>
      </c>
      <c r="I4509" t="inlineStr">
        <is>
          <t>17/03/2026</t>
        </is>
      </c>
      <c r="J4509" t="inlineStr">
        <is>
          <t>Ngân hàng, Bảo hiểm, Tài chính / Đầu tư</t>
        </is>
      </c>
      <c r="K4509" t="inlineStr">
        <is>
          <t>Trên 1 Năm</t>
        </is>
      </c>
      <c r="L4509" s="8">
        <f>HYPERLINK("https://careerviet.vn/vi/tim-viec-lam/cvcc-cvc-chuyen-vien-khach-hang-doanh-nghiep-da-nang-hue-binh-dinh-quang-ngai-dac-lac-nha-trang.35C64891.html","Xem chi tiết")</f>
        <v/>
      </c>
    </row>
    <row r="4510">
      <c r="B4510" s="9" t="n">
        <v>4508</v>
      </c>
      <c r="C4510" s="10" t="inlineStr">
        <is>
          <t>[Hà Nội] Sales Planning Officer/ Cán Bộ Kế Hoạch Bán Hàng (Ecommerce)</t>
        </is>
      </c>
      <c r="D4510" s="10" t="inlineStr">
        <is>
          <t>Công Ty Cổ Phần Diana Unicharm</t>
        </is>
      </c>
      <c r="E4510" s="10" t="inlineStr">
        <is>
          <t>Lương:16 Tr - 24 Tr VND</t>
        </is>
      </c>
      <c r="F4510" s="10" t="inlineStr">
        <is>
          <t>Hà Nội</t>
        </is>
      </c>
      <c r="G4510" s="10" t="inlineStr">
        <is>
          <t>05-04-2026</t>
        </is>
      </c>
      <c r="H4510" s="10" t="inlineStr">
        <is>
          <t>05/04/2026</t>
        </is>
      </c>
      <c r="I4510" s="10" t="inlineStr">
        <is>
          <t>17/03/2026</t>
        </is>
      </c>
      <c r="J4510" s="10" t="inlineStr">
        <is>
          <t>Bán hàng / Kinh doanh, Hàng gia dụng / Chăm sóc cá nhân, Thương mại điện tử</t>
        </is>
      </c>
      <c r="K4510" s="10" t="inlineStr">
        <is>
          <t>2 - 3 Năm</t>
        </is>
      </c>
      <c r="L4510" s="11">
        <f>HYPERLINK("https://careerviet.vn/vi/tim-viec-lam/ha-noi-sales-planning-officer-can-bo-ke-hoach-ban-hang-ecommerce.35C678F7.html","Xem chi tiết")</f>
        <v/>
      </c>
      <c r="M4510" s="10" t="n"/>
    </row>
    <row r="4511">
      <c r="B4511" s="7" t="n">
        <v>4509</v>
      </c>
      <c r="C4511" t="inlineStr">
        <is>
          <t>Chuyên viên Kinh tế kế hoạch</t>
        </is>
      </c>
      <c r="D4511" t="inlineStr">
        <is>
          <t>Công ty Cổ phần Tập Đoàn Picenza Viet Nam</t>
        </is>
      </c>
      <c r="E4511" t="inlineStr">
        <is>
          <t>Lương:22 Tr - 25 Tr VND</t>
        </is>
      </c>
      <c r="F4511" t="inlineStr">
        <is>
          <t>Hà Nội</t>
        </is>
      </c>
      <c r="G4511" t="inlineStr">
        <is>
          <t>05-04-2026</t>
        </is>
      </c>
      <c r="H4511" t="inlineStr">
        <is>
          <t>05/04/2026</t>
        </is>
      </c>
      <c r="I4511" t="inlineStr">
        <is>
          <t>17/03/2026</t>
        </is>
      </c>
      <c r="J4511" t="inlineStr">
        <is>
          <t>Xây dựng, Bất động sản, Tài chính / Đầu tư</t>
        </is>
      </c>
      <c r="K4511" t="inlineStr">
        <is>
          <t>Trên 5 Năm</t>
        </is>
      </c>
      <c r="L4511" s="8">
        <f>HYPERLINK("https://careerviet.vn/vi/tim-viec-lam/chuyen-vien-kinh-te-ke-hoach.35C67750.html","Xem chi tiết")</f>
        <v/>
      </c>
    </row>
    <row r="4512">
      <c r="B4512" s="9" t="n">
        <v>4510</v>
      </c>
      <c r="C4512" s="10" t="inlineStr">
        <is>
          <t>Đại diện kinh doanh mảng Lồng Bè (13-20 triệu)</t>
        </is>
      </c>
      <c r="D4512" s="10" t="inlineStr">
        <is>
          <t>CÔNG TY CỔ PHẦN TẬP ĐOÀN DEKKO</t>
        </is>
      </c>
      <c r="E4512" s="10" t="inlineStr">
        <is>
          <t>Lương:13 Tr - 30 Tr VND</t>
        </is>
      </c>
      <c r="F4512" s="10" t="inlineStr">
        <is>
          <t>Cần ThơPhú YênHồ Chí Minh</t>
        </is>
      </c>
      <c r="G4512" s="10" t="inlineStr">
        <is>
          <t>05-04-2026</t>
        </is>
      </c>
      <c r="H4512" s="10" t="inlineStr">
        <is>
          <t>05/04/2026</t>
        </is>
      </c>
      <c r="I4512" s="10" t="inlineStr">
        <is>
          <t>17/03/2026</t>
        </is>
      </c>
      <c r="J4512" s="10" t="inlineStr">
        <is>
          <t>Bán hàng / Kinh doanh</t>
        </is>
      </c>
      <c r="K4512" s="10" t="inlineStr">
        <is>
          <t>Trên 1 Năm</t>
        </is>
      </c>
      <c r="L4512" s="11">
        <f>HYPERLINK("https://careerviet.vn/vi/tim-viec-lam/dai-dien-kinh-doanh-mang-long-be-13-20-trieu.35C6790B.html","Xem chi tiết")</f>
        <v/>
      </c>
      <c r="M4512" s="10" t="n"/>
    </row>
    <row r="4513">
      <c r="B4513" s="7" t="n">
        <v>4511</v>
      </c>
      <c r="C4513" t="inlineStr">
        <is>
          <t>[JHN0036146] Sales Executive (Staff – Manager Level, Industry Experienced)</t>
        </is>
      </c>
      <c r="D4513" t="inlineStr">
        <is>
          <t>Iconic Co.,Ltd</t>
        </is>
      </c>
      <c r="E4513" t="inlineStr">
        <is>
          <t>Lương:15 Tr - 40 Tr VND</t>
        </is>
      </c>
      <c r="F4513" t="inlineStr">
        <is>
          <t>Hà Nội</t>
        </is>
      </c>
      <c r="G4513" t="inlineStr">
        <is>
          <t>05-04-2026</t>
        </is>
      </c>
      <c r="H4513" t="inlineStr">
        <is>
          <t>05/04/2026</t>
        </is>
      </c>
      <c r="I4513" t="inlineStr">
        <is>
          <t>17/03/2026</t>
        </is>
      </c>
      <c r="J4513" t="inlineStr">
        <is>
          <t>Bán hàng / Kinh doanh</t>
        </is>
      </c>
      <c r="K4513" t="inlineStr">
        <is>
          <t>1 - 2 Năm</t>
        </is>
      </c>
      <c r="L4513" s="8">
        <f>HYPERLINK("https://careerviet.vn/vi/tim-viec-lam/jhn0036146-sales-executive-staff-manager-level-industry-experienced.35C67896.html","Xem chi tiết")</f>
        <v/>
      </c>
    </row>
    <row r="4514">
      <c r="B4514" s="9" t="n">
        <v>4512</v>
      </c>
      <c r="C4514" s="10" t="inlineStr">
        <is>
          <t>[NovaDreams] Chuyên viên cao cấp Sản xuất Hình ảnh</t>
        </is>
      </c>
      <c r="D4514" s="10" t="inlineStr">
        <is>
          <t>Bảo mật</t>
        </is>
      </c>
      <c r="E4514" s="10" t="inlineStr">
        <is>
          <t>Lương:Cạnh tranh</t>
        </is>
      </c>
      <c r="F4514" s="10" t="inlineStr">
        <is>
          <t>Hồ Chí Minh</t>
        </is>
      </c>
      <c r="G4514" s="10" t="inlineStr">
        <is>
          <t>05-04-2026</t>
        </is>
      </c>
      <c r="H4514" s="10" t="inlineStr">
        <is>
          <t>05/04/2026</t>
        </is>
      </c>
      <c r="I4514" s="10" t="inlineStr">
        <is>
          <t>17/03/2026</t>
        </is>
      </c>
      <c r="J4514" s="10" t="inlineStr">
        <is>
          <t>Tiếp thị / Marketing, Mỹ thuật / Nghệ thuật / Thiết kế</t>
        </is>
      </c>
      <c r="K4514" s="10" t="inlineStr">
        <is>
          <t>3 - 8 Năm</t>
        </is>
      </c>
      <c r="L4514" s="11">
        <f>HYPERLINK("https://careerviet.vn/vi/tim-viec-lam/novadreams-chuyen-vien-cao-cap-san-xuat-hinh-anh.35C6764B.html","Xem chi tiết")</f>
        <v/>
      </c>
      <c r="M4514" s="10" t="n"/>
    </row>
    <row r="4515">
      <c r="B4515" s="7" t="n">
        <v>4513</v>
      </c>
      <c r="C4515" t="inlineStr">
        <is>
          <t>Key Account Supervisor (Field Force)</t>
        </is>
      </c>
      <c r="D4515" t="inlineStr">
        <is>
          <t>CREASIA</t>
        </is>
      </c>
      <c r="E4515" t="inlineStr">
        <is>
          <t>Lương:Cạnh tranh</t>
        </is>
      </c>
      <c r="F4515" t="inlineStr">
        <is>
          <t>Hồ Chí Minh</t>
        </is>
      </c>
      <c r="G4515" t="inlineStr">
        <is>
          <t>05-04-2026</t>
        </is>
      </c>
      <c r="H4515" t="inlineStr">
        <is>
          <t>05/04/2026</t>
        </is>
      </c>
      <c r="I4515" t="inlineStr">
        <is>
          <t>17/03/2026</t>
        </is>
      </c>
      <c r="J4515" t="inlineStr">
        <is>
          <t>Tiếp thị / Marketing, Dịch vụ khách hàng, Quảng cáo / Đối ngoại / Truyền Thông</t>
        </is>
      </c>
      <c r="K4515" t="inlineStr">
        <is>
          <t>5 - 10 Năm</t>
        </is>
      </c>
      <c r="L4515" s="8">
        <f>HYPERLINK("https://careerviet.vn/vi/tim-viec-lam/key-account-supervisor-field-force.35C67929.html","Xem chi tiết")</f>
        <v/>
      </c>
    </row>
    <row r="4516">
      <c r="B4516" s="9" t="n">
        <v>4514</v>
      </c>
      <c r="C4516" s="10" t="inlineStr">
        <is>
          <t>Sales Engineer</t>
        </is>
      </c>
      <c r="D4516" s="10" t="inlineStr">
        <is>
          <t>Công Ty TNHH Tự Động Hóa Chân Không Việt Nam</t>
        </is>
      </c>
      <c r="E4516" s="10" t="inlineStr">
        <is>
          <t>Lương:Cạnh tranh</t>
        </is>
      </c>
      <c r="F4516" s="10" t="inlineStr">
        <is>
          <t>Hồ Chí Minh</t>
        </is>
      </c>
      <c r="G4516" s="10" t="inlineStr">
        <is>
          <t>05-04-2026</t>
        </is>
      </c>
      <c r="H4516" s="10" t="inlineStr">
        <is>
          <t>05/04/2026</t>
        </is>
      </c>
      <c r="I4516" s="10" t="inlineStr">
        <is>
          <t>17/03/2026</t>
        </is>
      </c>
      <c r="J4516" s="10" t="inlineStr">
        <is>
          <t>Bán hàng / Kinh doanh, Bán Hàng Kỹ Thuật, Cơ khí / Ô tô / Tự động hóa</t>
        </is>
      </c>
      <c r="K4516" s="10" t="inlineStr">
        <is>
          <t>2 - 3 Năm</t>
        </is>
      </c>
      <c r="L4516" s="11">
        <f>HYPERLINK("https://careerviet.vn/vi/tim-viec-lam/sales-engineer.35C6494E.html","Xem chi tiết")</f>
        <v/>
      </c>
      <c r="M4516" s="10" t="n"/>
    </row>
    <row r="4517">
      <c r="B4517" s="7" t="n">
        <v>4515</v>
      </c>
      <c r="C4517" t="inlineStr">
        <is>
          <t>Trình Dược Viên (Kênh Bệnh Viện ETC) - Ngành Hàng Dược Phẩm - Huế/ Đồng Nai</t>
        </is>
      </c>
      <c r="D4517" t="inlineStr">
        <is>
          <t>Abbott</t>
        </is>
      </c>
      <c r="E4517" t="inlineStr">
        <is>
          <t>Lương:Cạnh tranh</t>
        </is>
      </c>
      <c r="F4517" t="inlineStr">
        <is>
          <t>Đồng NaiThừa Thiên- Huế</t>
        </is>
      </c>
      <c r="G4517" t="inlineStr">
        <is>
          <t>05-04-2026</t>
        </is>
      </c>
      <c r="H4517" t="inlineStr">
        <is>
          <t>05/04/2026</t>
        </is>
      </c>
      <c r="I4517" t="inlineStr">
        <is>
          <t>17/03/2026</t>
        </is>
      </c>
      <c r="J4517" t="inlineStr">
        <is>
          <t>Dược phẩm/ Hóa Mỹ Phẩm</t>
        </is>
      </c>
      <c r="K4517" t="inlineStr">
        <is>
          <t>3 - 7 Năm</t>
        </is>
      </c>
      <c r="L4517" s="8">
        <f>HYPERLINK("https://careerviet.vn/vi/tim-viec-lam/trinh-duoc-vien-kenh-benh-vien-etc-nganh-hang-duoc-pham-hue-dong-nai.35C6793C.html","Xem chi tiết")</f>
        <v/>
      </c>
    </row>
    <row r="4518">
      <c r="B4518" s="9" t="n">
        <v>4516</v>
      </c>
      <c r="C4518" s="10" t="inlineStr">
        <is>
          <t>Giám sát kinh doanh kênh Horeca</t>
        </is>
      </c>
      <c r="D4518" s="10" t="inlineStr">
        <is>
          <t>Công Ty Cổ Phần GreenFeed Việt Nam</t>
        </is>
      </c>
      <c r="E4518" s="10" t="inlineStr">
        <is>
          <t>Lương:15 Tr - 30 Tr VND</t>
        </is>
      </c>
      <c r="F4518" s="10" t="inlineStr">
        <is>
          <t>Hồ Chí Minh</t>
        </is>
      </c>
      <c r="G4518" s="10" t="inlineStr">
        <is>
          <t>05-04-2026</t>
        </is>
      </c>
      <c r="H4518" s="10" t="inlineStr">
        <is>
          <t>05/04/2026</t>
        </is>
      </c>
      <c r="I4518" s="10" t="inlineStr">
        <is>
          <t>17/03/2026</t>
        </is>
      </c>
      <c r="J4518" s="10" t="inlineStr">
        <is>
          <t>Bán hàng / Kinh doanh, Nhà hàng / Khách sạn, Thực phẩm &amp; Đồ uống</t>
        </is>
      </c>
      <c r="K4518" s="10" t="inlineStr">
        <is>
          <t>2 - 3 Năm</t>
        </is>
      </c>
      <c r="L4518" s="11">
        <f>HYPERLINK("https://careerviet.vn/vi/tim-viec-lam/giam-sat-kinh-doanh-kenh-horeca.35C678D9.html","Xem chi tiết")</f>
        <v/>
      </c>
      <c r="M4518" s="10" t="n"/>
    </row>
    <row r="4519">
      <c r="B4519" s="7" t="n">
        <v>4517</v>
      </c>
      <c r="C4519" t="inlineStr">
        <is>
          <t>Kế Toán Trưởng</t>
        </is>
      </c>
      <c r="D4519" t="inlineStr">
        <is>
          <t>Công ty Cổ Phần Xây Dựng Thương Mại Dịch Vụ Nhất Tín</t>
        </is>
      </c>
      <c r="E4519" t="inlineStr">
        <is>
          <t>Lương:Cạnh tranh</t>
        </is>
      </c>
      <c r="F4519" t="inlineStr">
        <is>
          <t>Bình ĐịnhHồ Chí Minh</t>
        </is>
      </c>
      <c r="G4519" t="inlineStr">
        <is>
          <t>05-04-2026</t>
        </is>
      </c>
      <c r="H4519" t="inlineStr">
        <is>
          <t>05/04/2026</t>
        </is>
      </c>
      <c r="I4519" t="inlineStr">
        <is>
          <t>17/03/2026</t>
        </is>
      </c>
      <c r="J4519" t="inlineStr">
        <is>
          <t>Luật / Pháp lý, Kế toán / Kiểm toán, Tài chính / Đầu tư</t>
        </is>
      </c>
      <c r="K4519" t="inlineStr">
        <is>
          <t>Trên 5 Năm</t>
        </is>
      </c>
      <c r="L4519" s="8">
        <f>HYPERLINK("https://careerviet.vn/vi/tim-viec-lam/ke-toan-truong.35C649F0.html","Xem chi tiết")</f>
        <v/>
      </c>
    </row>
    <row r="4520">
      <c r="B4520" s="9" t="n">
        <v>4518</v>
      </c>
      <c r="C4520" s="10" t="inlineStr">
        <is>
          <t>[Đông Anh, Mê Linh] Nhân Viên Bán Hàng/Kinh Doanh Kênh Sỉ (WS)</t>
        </is>
      </c>
      <c r="D4520" s="10" t="inlineStr">
        <is>
          <t>Coca-Cola Beverages Vietnam</t>
        </is>
      </c>
      <c r="E4520" s="10" t="inlineStr">
        <is>
          <t>Lương:10 Tr - 15 Tr VND</t>
        </is>
      </c>
      <c r="F4520" s="10" t="inlineStr">
        <is>
          <t>Hà Nội</t>
        </is>
      </c>
      <c r="G4520" s="10" t="inlineStr">
        <is>
          <t>05-04-2026</t>
        </is>
      </c>
      <c r="H4520" s="10" t="inlineStr">
        <is>
          <t>05/04/2026</t>
        </is>
      </c>
      <c r="I4520" s="10" t="inlineStr">
        <is>
          <t>17/03/2026</t>
        </is>
      </c>
      <c r="J4520" s="10" t="inlineStr">
        <is>
          <t>Bán hàng / Kinh doanh, Thực phẩm &amp; Đồ uống</t>
        </is>
      </c>
      <c r="K4520" s="10" t="inlineStr">
        <is>
          <t>1 - 3 Năm</t>
        </is>
      </c>
      <c r="L4520" s="11">
        <f>HYPERLINK("https://careerviet.vn/vi/tim-viec-lam/dong-anh-me-linh-nhan-vien-ban-hang-kinh-doanh-kenh-si-ws.35C6481C.html","Xem chi tiết")</f>
        <v/>
      </c>
      <c r="M4520" s="10" t="n"/>
    </row>
    <row r="4521">
      <c r="B4521" s="7" t="n">
        <v>4519</v>
      </c>
      <c r="C4521" t="inlineStr">
        <is>
          <t>Chuyên viên/CVC/CVCC Khách Hàng Doanh Nghiệp - Cần Thơ, An Giang, Kiên Giang, Tiền Giang, Cà Mau, Long An</t>
        </is>
      </c>
      <c r="D4521" t="inlineStr">
        <is>
          <t>Ngân hàng Thương mại cổ phần Đông Nam Á (SeABank)</t>
        </is>
      </c>
      <c r="E4521" t="inlineStr">
        <is>
          <t>Lương:10 Tr - 35 Tr VND</t>
        </is>
      </c>
      <c r="F4521" t="inlineStr">
        <is>
          <t>Cần ThơKiên GiangCà Mau</t>
        </is>
      </c>
      <c r="G4521" t="inlineStr">
        <is>
          <t>05-04-2026</t>
        </is>
      </c>
      <c r="H4521" t="inlineStr">
        <is>
          <t>05/04/2026</t>
        </is>
      </c>
      <c r="I4521" t="inlineStr">
        <is>
          <t>17/03/2026</t>
        </is>
      </c>
      <c r="J4521" t="inlineStr">
        <is>
          <t>Bán hàng / Kinh doanh, Ngân hàng, Tài chính / Đầu tư</t>
        </is>
      </c>
      <c r="K4521" t="inlineStr">
        <is>
          <t>1 - 2 Năm</t>
        </is>
      </c>
      <c r="L4521" s="8">
        <f>HYPERLINK("https://careerviet.vn/vi/tim-viec-lam/chuyen-vien-cvc-cvcc-khach-hang-doanh-nghiep-can-tho-an-giang-kien-giang-tien-giang-ca-mau-long-an.35C648A6.html","Xem chi tiết")</f>
        <v/>
      </c>
    </row>
    <row r="4522">
      <c r="B4522" s="9" t="n">
        <v>4520</v>
      </c>
      <c r="C4522" s="10" t="inlineStr">
        <is>
          <t>Retail Layout Designer (level Executive up Team Leader)</t>
        </is>
      </c>
      <c r="D4522" s="10" t="inlineStr">
        <is>
          <t>CÔNG TY CỔ PHẦN KING FOOD MARKET</t>
        </is>
      </c>
      <c r="E4522" s="10" t="inlineStr">
        <is>
          <t>Lương:Cạnh tranh</t>
        </is>
      </c>
      <c r="F4522" s="10" t="inlineStr">
        <is>
          <t>Hồ Chí Minh</t>
        </is>
      </c>
      <c r="G4522" s="10" t="inlineStr">
        <is>
          <t>05-04-2026</t>
        </is>
      </c>
      <c r="H4522" s="10" t="inlineStr">
        <is>
          <t>05/04/2026</t>
        </is>
      </c>
      <c r="I4522" s="10" t="inlineStr">
        <is>
          <t>17/03/2026</t>
        </is>
      </c>
      <c r="J4522" s="10" t="inlineStr">
        <is>
          <t>Bán lẻ / Bán sỉ, Kiến trúc, Nội ngoại thất</t>
        </is>
      </c>
      <c r="K4522" s="10" t="inlineStr">
        <is>
          <t>1 - 3 Năm</t>
        </is>
      </c>
      <c r="L4522" s="11">
        <f>HYPERLINK("https://careerviet.vn/vi/tim-viec-lam/retail-layout-designer-level-executive-up-team-leader.35C676DB.html","Xem chi tiết")</f>
        <v/>
      </c>
      <c r="M4522" s="10" t="n"/>
    </row>
    <row r="4523">
      <c r="B4523" s="7" t="n">
        <v>4521</v>
      </c>
      <c r="C4523" t="inlineStr">
        <is>
          <t>Cửa hàng phó G-Kitchen Tân Mỹ</t>
        </is>
      </c>
      <c r="D4523" t="inlineStr">
        <is>
          <t>Công Ty Cổ Phần GreenFeed Việt Nam</t>
        </is>
      </c>
      <c r="E4523" t="inlineStr">
        <is>
          <t>Lương:8 Tr - 10 Tr VND</t>
        </is>
      </c>
      <c r="F4523" t="inlineStr">
        <is>
          <t>Hồ Chí Minh</t>
        </is>
      </c>
      <c r="G4523" t="inlineStr">
        <is>
          <t>05-04-2026</t>
        </is>
      </c>
      <c r="H4523" t="inlineStr">
        <is>
          <t>05/04/2026</t>
        </is>
      </c>
      <c r="I4523" t="inlineStr">
        <is>
          <t>17/03/2026</t>
        </is>
      </c>
      <c r="J4523" t="inlineStr">
        <is>
          <t>Bán hàng / Kinh doanh, Bán lẻ / Bán sỉ, Thực phẩm &amp; Đồ uống</t>
        </is>
      </c>
      <c r="K4523" t="inlineStr">
        <is>
          <t>2 - 3 Năm</t>
        </is>
      </c>
      <c r="L4523" s="8">
        <f>HYPERLINK("https://careerviet.vn/vi/tim-viec-lam/cua-hang-pho-g-kitchen-tan-my.35C678F2.html","Xem chi tiết")</f>
        <v/>
      </c>
    </row>
    <row r="4524">
      <c r="B4524" s="9" t="n">
        <v>4522</v>
      </c>
      <c r="C4524" s="10" t="inlineStr">
        <is>
          <t>Chuyên Viên Tư Vấn Du Học</t>
        </is>
      </c>
      <c r="D4524" s="10" t="inlineStr">
        <is>
          <t>StudyLink Company</t>
        </is>
      </c>
      <c r="E4524" s="10" t="inlineStr">
        <is>
          <t>Lương:Cạnh tranh</t>
        </is>
      </c>
      <c r="F4524" s="10" t="inlineStr">
        <is>
          <t>Hồ Chí Minh</t>
        </is>
      </c>
      <c r="G4524" s="10" t="inlineStr">
        <is>
          <t>05-04-2026</t>
        </is>
      </c>
      <c r="H4524" s="10" t="inlineStr">
        <is>
          <t>05/04/2026</t>
        </is>
      </c>
      <c r="I4524" s="10" t="inlineStr">
        <is>
          <t>17/03/2026</t>
        </is>
      </c>
      <c r="J4524" s="10" t="inlineStr">
        <is>
          <t>Tư vấn, Giáo dục / Đào tạo, Bán hàng / Kinh doanh</t>
        </is>
      </c>
      <c r="K4524" s="10" t="inlineStr">
        <is>
          <t>N/A</t>
        </is>
      </c>
      <c r="L4524" s="11">
        <f>HYPERLINK("https://careerviet.vn/vi/tim-viec-lam/chuyen-vien-tu-van-du-hoc.35C67823.html","Xem chi tiết")</f>
        <v/>
      </c>
      <c r="M4524" s="10" t="n"/>
    </row>
    <row r="4525">
      <c r="B4525" s="7" t="n">
        <v>4523</v>
      </c>
      <c r="C4525" t="inlineStr">
        <is>
          <t>Nhân Viên Kinh Doanh Môi Trường (Ưu Tiên Kỹ Thuật Môi Trường)</t>
        </is>
      </c>
      <c r="D4525" t="inlineStr">
        <is>
          <t>CÔNG TY TNHH THƯƠNG MẠI KỸ THUẬT BIOFIX FRESH</t>
        </is>
      </c>
      <c r="E4525" t="inlineStr">
        <is>
          <t>Lương:Cạnh tranh</t>
        </is>
      </c>
      <c r="F4525" t="inlineStr">
        <is>
          <t>Bình Dương</t>
        </is>
      </c>
      <c r="G4525" t="inlineStr">
        <is>
          <t>05-04-2026</t>
        </is>
      </c>
      <c r="H4525" t="inlineStr">
        <is>
          <t>05/04/2026</t>
        </is>
      </c>
      <c r="I4525" t="inlineStr">
        <is>
          <t>17/03/2026</t>
        </is>
      </c>
      <c r="J4525" t="inlineStr">
        <is>
          <t>Bán hàng / Kinh doanh, Tư vấn, Môi trường</t>
        </is>
      </c>
      <c r="K4525" t="inlineStr">
        <is>
          <t>N/A</t>
        </is>
      </c>
      <c r="L4525" s="8">
        <f>HYPERLINK("https://careerviet.vn/vi/tim-viec-lam/nhan-vien-kinh-doanh-moi-truong-uu-tien-ky-thuat-moi-truong.35C675D7.html","Xem chi tiết")</f>
        <v/>
      </c>
    </row>
    <row r="4526">
      <c r="B4526" s="9" t="n">
        <v>4524</v>
      </c>
      <c r="C4526" s="10" t="inlineStr">
        <is>
          <t>Nhân Viên Vận Hành Máy CNC (Đồng Nai)</t>
        </is>
      </c>
      <c r="D4526" s="10" t="inlineStr">
        <is>
          <t>Coherent Corp.</t>
        </is>
      </c>
      <c r="E4526" s="10" t="inlineStr">
        <is>
          <t>Lương:Cạnh tranh</t>
        </is>
      </c>
      <c r="F4526" s="10" t="inlineStr">
        <is>
          <t>Đồng Nai</t>
        </is>
      </c>
      <c r="G4526" s="10" t="inlineStr">
        <is>
          <t>05-04-2026</t>
        </is>
      </c>
      <c r="H4526" s="10" t="inlineStr">
        <is>
          <t>05/04/2026</t>
        </is>
      </c>
      <c r="I4526" s="10" t="inlineStr">
        <is>
          <t>17/03/2026</t>
        </is>
      </c>
      <c r="J4526" s="10" t="inlineStr">
        <is>
          <t>Sản xuất / Vận hành sản xuất, Điện / Điện tử / Điện lạnh / Điện công nghiệp, Cơ khí / Ô tô / Tự động hóa</t>
        </is>
      </c>
      <c r="K4526" s="10" t="inlineStr">
        <is>
          <t>2 - 10 Năm</t>
        </is>
      </c>
      <c r="L4526" s="11">
        <f>HYPERLINK("https://careerviet.vn/vi/tim-viec-lam/nhan-vien-van-hanh-may-cnc-dong-nai.35C6793D.html","Xem chi tiết")</f>
        <v/>
      </c>
      <c r="M4526" s="10" t="n"/>
    </row>
    <row r="4527">
      <c r="B4527" s="7" t="n">
        <v>4525</v>
      </c>
      <c r="C4527" t="inlineStr">
        <is>
          <t>[Hà Nội] Trưởng nhóm Tuyển dụng &amp; Điều phối Giáo viên</t>
        </is>
      </c>
      <c r="D4527" t="inlineStr">
        <is>
          <t>Công ty CP IIG Việt Nam</t>
        </is>
      </c>
      <c r="E4527" t="inlineStr">
        <is>
          <t>Lương:20 Tr - 23 Tr VND</t>
        </is>
      </c>
      <c r="F4527" t="inlineStr">
        <is>
          <t>Hà Nội</t>
        </is>
      </c>
      <c r="G4527" t="inlineStr">
        <is>
          <t>05-04-2026</t>
        </is>
      </c>
      <c r="H4527" t="inlineStr">
        <is>
          <t>05/04/2026</t>
        </is>
      </c>
      <c r="I4527" t="inlineStr">
        <is>
          <t>17/03/2026</t>
        </is>
      </c>
      <c r="J4527" t="inlineStr">
        <is>
          <t>Giáo dục / Đào tạo, Quản lý điều hành, Nhân sự</t>
        </is>
      </c>
      <c r="K4527" t="inlineStr">
        <is>
          <t>3 - 5 Năm</t>
        </is>
      </c>
      <c r="L4527" s="8">
        <f>HYPERLINK("https://careerviet.vn/vi/tim-viec-lam/ha-noi-truong-nhom-tuyen-dung-dieu-phoi-giao-vien.35C6487F.html","Xem chi tiết")</f>
        <v/>
      </c>
    </row>
    <row r="4528">
      <c r="B4528" s="9" t="n">
        <v>4526</v>
      </c>
      <c r="C4528" s="10" t="inlineStr">
        <is>
          <t>Kỹ Sư Hóa Học</t>
        </is>
      </c>
      <c r="D4528" s="10" t="inlineStr">
        <is>
          <t>Tập Đoàn Kim Tín</t>
        </is>
      </c>
      <c r="E4528" s="10" t="inlineStr">
        <is>
          <t>Lương:Cạnh tranh</t>
        </is>
      </c>
      <c r="F4528" s="10" t="inlineStr">
        <is>
          <t>Bình Phước</t>
        </is>
      </c>
      <c r="G4528" s="10" t="inlineStr">
        <is>
          <t>05-04-2026</t>
        </is>
      </c>
      <c r="H4528" s="10" t="inlineStr">
        <is>
          <t>05/04/2026</t>
        </is>
      </c>
      <c r="I4528" s="10" t="inlineStr">
        <is>
          <t>17/03/2026</t>
        </is>
      </c>
      <c r="J4528" s="10" t="inlineStr">
        <is>
          <t>Hóa học, Nội ngoại thất, Sản xuất / Vận hành sản xuất</t>
        </is>
      </c>
      <c r="K4528" s="10" t="inlineStr">
        <is>
          <t>Lên đến 1 NămĐịa điểm</t>
        </is>
      </c>
      <c r="L4528" s="11">
        <f>HYPERLINK("https://careerviet.vn/vi/tim-viec-lam/ky-su-hoa-hoc.35C67837.html","Xem chi tiết")</f>
        <v/>
      </c>
      <c r="M4528" s="10" t="n"/>
    </row>
    <row r="4529">
      <c r="B4529" s="7" t="n">
        <v>4527</v>
      </c>
      <c r="C4529" t="inlineStr">
        <is>
          <t>Giám đốc sản xuất</t>
        </is>
      </c>
      <c r="D4529" t="inlineStr">
        <is>
          <t>CHI NHÁNH CÔNG TY TRÁCH NHIỆM HỮU HẠN MỘT THÀNH VIÊN KIM VIỆT PHONG</t>
        </is>
      </c>
      <c r="E4529" t="inlineStr">
        <is>
          <t>Lương:25 Tr - 30 Tr VND</t>
        </is>
      </c>
      <c r="F4529" t="inlineStr">
        <is>
          <t>Tây Ninh</t>
        </is>
      </c>
      <c r="G4529" t="inlineStr">
        <is>
          <t>05-04-2026</t>
        </is>
      </c>
      <c r="H4529" t="inlineStr">
        <is>
          <t>05/04/2026</t>
        </is>
      </c>
      <c r="I4529" t="inlineStr">
        <is>
          <t>17/03/2026</t>
        </is>
      </c>
      <c r="J4529" t="inlineStr">
        <is>
          <t>Sản xuất / Vận hành sản xuất, Dệt may / Da giày / Thời trang</t>
        </is>
      </c>
      <c r="K4529" t="inlineStr">
        <is>
          <t>3 - 5 Năm</t>
        </is>
      </c>
      <c r="L4529" s="8">
        <f>HYPERLINK("https://careerviet.vn/vi/tim-viec-lam/giam-doc-san-xuat.35C67733.html","Xem chi tiết")</f>
        <v/>
      </c>
    </row>
    <row r="4530">
      <c r="B4530" s="9" t="n">
        <v>4528</v>
      </c>
      <c r="C4530" s="10" t="inlineStr">
        <is>
          <t>Cửa Hàng Trưởng Erke Royal City (Nữ)</t>
        </is>
      </c>
      <c r="D4530" s="10" t="inlineStr">
        <is>
          <t>CÔNG TY TNHH PHÁT TRIỂN ĐỒ UỐNG AN VIỆT SÔNG HỒNG</t>
        </is>
      </c>
      <c r="E4530" s="10" t="inlineStr">
        <is>
          <t>Lương:18 Tr - 25 Tr VND</t>
        </is>
      </c>
      <c r="F4530" s="10" t="inlineStr">
        <is>
          <t>Hà Nội</t>
        </is>
      </c>
      <c r="G4530" s="10" t="inlineStr">
        <is>
          <t>05-04-2026</t>
        </is>
      </c>
      <c r="H4530" s="10" t="inlineStr">
        <is>
          <t>05/04/2026</t>
        </is>
      </c>
      <c r="I4530" s="10" t="inlineStr">
        <is>
          <t>17/03/2026</t>
        </is>
      </c>
      <c r="J4530" s="10" t="inlineStr">
        <is>
          <t>Bán lẻ / Bán sỉ, Bán hàng / Kinh doanh, Tiếp thị trực tuyến</t>
        </is>
      </c>
      <c r="K4530" s="10" t="inlineStr">
        <is>
          <t>1 - 3 Năm</t>
        </is>
      </c>
      <c r="L4530" s="11">
        <f>HYPERLINK("https://careerviet.vn/vi/tim-viec-lam/cua-hang-truong-erke-royal-city-nu.35C678CF.html","Xem chi tiết")</f>
        <v/>
      </c>
      <c r="M4530" s="10" t="n"/>
    </row>
    <row r="4531">
      <c r="B4531" s="7" t="n">
        <v>4529</v>
      </c>
      <c r="C4531" t="inlineStr">
        <is>
          <t>Customer services</t>
        </is>
      </c>
      <c r="D4531" t="inlineStr">
        <is>
          <t>CÔNG TY TNHH ROCK WOOL KHẢI HOÀN</t>
        </is>
      </c>
      <c r="E4531" t="inlineStr">
        <is>
          <t>Lương:Cạnh tranh</t>
        </is>
      </c>
      <c r="F4531" t="inlineStr">
        <is>
          <t>Hồ Chí Minh</t>
        </is>
      </c>
      <c r="G4531" t="inlineStr">
        <is>
          <t>15-04-2026</t>
        </is>
      </c>
      <c r="H4531" t="inlineStr">
        <is>
          <t>15/04/2026</t>
        </is>
      </c>
      <c r="I4531" t="inlineStr">
        <is>
          <t>17/03/2026</t>
        </is>
      </c>
      <c r="J4531" t="inlineStr">
        <is>
          <t>Dịch vụ khách hàng, Bán hàng / Kinh doanh, Xây dựng</t>
        </is>
      </c>
      <c r="K4531" t="inlineStr">
        <is>
          <t>Trên 3 Năm</t>
        </is>
      </c>
      <c r="L4531" s="8">
        <f>HYPERLINK("https://careerviet.vn/vi/tim-viec-lam/customer-services.35C6A157.html","Xem chi tiết")</f>
        <v/>
      </c>
    </row>
    <row r="4532">
      <c r="B4532" s="9" t="n">
        <v>4530</v>
      </c>
      <c r="C4532" s="10" t="inlineStr">
        <is>
          <t>[VinWonders] Tổng Quản Lý (Nguồn)</t>
        </is>
      </c>
      <c r="D4532" s="10" t="inlineStr">
        <is>
          <t>VinWonders</t>
        </is>
      </c>
      <c r="E4532" s="10" t="inlineStr">
        <is>
          <t>Lương:Trên 70 Tr VND</t>
        </is>
      </c>
      <c r="F4532" s="10" t="inlineStr">
        <is>
          <t>Khánh HòaKiên GiangHồ Chí Minh</t>
        </is>
      </c>
      <c r="G4532" s="10" t="inlineStr">
        <is>
          <t>31-03-2026</t>
        </is>
      </c>
      <c r="H4532" s="10" t="inlineStr">
        <is>
          <t>31/03/2026</t>
        </is>
      </c>
      <c r="I4532" s="10" t="inlineStr">
        <is>
          <t>17/03/2026</t>
        </is>
      </c>
      <c r="J4532" s="10" t="inlineStr">
        <is>
          <t>Quản lý điều hành, Du lịchBằng cấpĐại họcĐộ tuổiKhông giới hạn tuổi</t>
        </is>
      </c>
      <c r="K4532" s="10" t="inlineStr">
        <is>
          <t>N/A</t>
        </is>
      </c>
      <c r="L4532" s="11">
        <f>HYPERLINK("https://careerviet.vn/vi/tim-viec-lam/vinwonders-tong-quan-ly-nguon.35C6A1FB.html","Xem chi tiết")</f>
        <v/>
      </c>
      <c r="M4532" s="10" t="n"/>
    </row>
    <row r="4533">
      <c r="B4533" s="7" t="n">
        <v>4531</v>
      </c>
      <c r="C4533" t="inlineStr">
        <is>
          <t>QA/QC Garment/Nhân viên Kiểm tra chất lượng</t>
        </is>
      </c>
      <c r="D4533" t="inlineStr">
        <is>
          <t>CÔNG TY TNHH NOBLAND VIỆT NAM</t>
        </is>
      </c>
      <c r="E4533" t="inlineStr">
        <is>
          <t>Lương:10 Tr - 30 Tr VND</t>
        </is>
      </c>
      <c r="F4533" t="inlineStr">
        <is>
          <t>Hồ Chí Minh</t>
        </is>
      </c>
      <c r="G4533" t="inlineStr">
        <is>
          <t>31-03-2026</t>
        </is>
      </c>
      <c r="H4533" t="inlineStr">
        <is>
          <t>31/03/2026</t>
        </is>
      </c>
      <c r="I4533" t="inlineStr">
        <is>
          <t>17/03/2026</t>
        </is>
      </c>
      <c r="J4533" t="inlineStr">
        <is>
          <t>Sản xuất / Vận hành sản xuất, Dệt may / Da giày / Thời trang</t>
        </is>
      </c>
      <c r="K4533" t="inlineStr">
        <is>
          <t>1 - 5 Năm</t>
        </is>
      </c>
      <c r="L4533" s="8">
        <f>HYPERLINK("https://careerviet.vn/vi/tim-viec-lam/qa-qc-garment-nhan-vien-kiem-tra-chat-luong.35C6A21E.html","Xem chi tiết")</f>
        <v/>
      </c>
    </row>
    <row r="4534">
      <c r="B4534" s="9" t="n">
        <v>4532</v>
      </c>
      <c r="C4534" s="10" t="inlineStr">
        <is>
          <t>Sales Executive for Paint Industry</t>
        </is>
      </c>
      <c r="D4534" s="10" t="inlineStr">
        <is>
          <t>CÔNG TY TNHH THƯƠNG MẠI MKP TECH</t>
        </is>
      </c>
      <c r="E4534" s="10" t="inlineStr">
        <is>
          <t>Lương:10 Tr - 15 Tr VND</t>
        </is>
      </c>
      <c r="F4534" s="10" t="inlineStr">
        <is>
          <t>Hồ Chí Minh</t>
        </is>
      </c>
      <c r="G4534" s="10" t="inlineStr">
        <is>
          <t>05-04-2026</t>
        </is>
      </c>
      <c r="H4534" s="10" t="inlineStr">
        <is>
          <t>05/04/2026</t>
        </is>
      </c>
      <c r="I4534" s="10" t="inlineStr">
        <is>
          <t>17/03/2026</t>
        </is>
      </c>
      <c r="J4534" s="10" t="inlineStr">
        <is>
          <t>Bán hàng / Kinh doanh, Xây dựng, Nội ngoại thất</t>
        </is>
      </c>
      <c r="K4534" s="10" t="inlineStr">
        <is>
          <t>Trên 2 Năm</t>
        </is>
      </c>
      <c r="L4534" s="11">
        <f>HYPERLINK("https://careerviet.vn/vi/tim-viec-lam/sales-executive-for-paint-industry.35C67875.html","Xem chi tiết")</f>
        <v/>
      </c>
      <c r="M4534" s="10" t="n"/>
    </row>
    <row r="4535">
      <c r="B4535" s="7" t="n">
        <v>4533</v>
      </c>
      <c r="C4535" t="inlineStr">
        <is>
          <t>Thủ kho Thành phẩm (Làm việc tại Châu Thành - Bến Tre)</t>
        </is>
      </c>
      <c r="D4535" t="inlineStr">
        <is>
          <t>CÔNG TY CP CHẾ BIẾN DỪA Á CHÂU</t>
        </is>
      </c>
      <c r="E4535" t="inlineStr">
        <is>
          <t>Lương:Cạnh tranh</t>
        </is>
      </c>
      <c r="F4535" t="inlineStr">
        <is>
          <t>Bến Tre</t>
        </is>
      </c>
      <c r="G4535" t="inlineStr">
        <is>
          <t>31-03-2026</t>
        </is>
      </c>
      <c r="H4535" t="inlineStr">
        <is>
          <t>31/03/2026</t>
        </is>
      </c>
      <c r="I4535" t="inlineStr">
        <is>
          <t>17/03/2026</t>
        </is>
      </c>
      <c r="J4535" t="inlineStr">
        <is>
          <t>Vận chuyển / Giao nhận / Kho vận</t>
        </is>
      </c>
      <c r="K4535" t="inlineStr">
        <is>
          <t>2 - 5 Năm</t>
        </is>
      </c>
      <c r="L4535" s="8">
        <f>HYPERLINK("https://careerviet.vn/vi/tim-viec-lam/thu-kho-thanh-pham-lam-viec-tai-chau-thanh-ben-tre.35C68C40.html","Xem chi tiết")</f>
        <v/>
      </c>
    </row>
    <row r="4536">
      <c r="B4536" s="9" t="n">
        <v>4534</v>
      </c>
      <c r="C4536" s="10" t="inlineStr">
        <is>
          <t>Merchandiser</t>
        </is>
      </c>
      <c r="D4536" s="10" t="inlineStr">
        <is>
          <t>CÔNG TY CỔ PHẦN AMW VIỆT NAM</t>
        </is>
      </c>
      <c r="E4536" s="10" t="inlineStr">
        <is>
          <t>Lương:Cạnh tranh</t>
        </is>
      </c>
      <c r="F4536" s="10" t="inlineStr">
        <is>
          <t>Hồ Chí Minh</t>
        </is>
      </c>
      <c r="G4536" s="10" t="inlineStr">
        <is>
          <t>27-03-2026</t>
        </is>
      </c>
      <c r="H4536" s="10" t="inlineStr">
        <is>
          <t>27/03/2026</t>
        </is>
      </c>
      <c r="I4536" s="10" t="inlineStr">
        <is>
          <t>17/03/2026</t>
        </is>
      </c>
      <c r="J4536" s="10" t="inlineStr">
        <is>
          <t>Mỹ thuật / Nghệ thuật / Thiết kế, Dệt may / Da giày / Thời trang, Thu mua / Vật tư</t>
        </is>
      </c>
      <c r="K4536" s="10" t="inlineStr">
        <is>
          <t>Trên 2 Năm</t>
        </is>
      </c>
      <c r="L4536" s="11">
        <f>HYPERLINK("https://careerviet.vn/vi/tim-viec-lam/merchandiser.35C69E5E.html","Xem chi tiết")</f>
        <v/>
      </c>
      <c r="M4536" s="10" t="n"/>
    </row>
    <row r="4537">
      <c r="B4537" s="7" t="n">
        <v>4535</v>
      </c>
      <c r="C4537" t="inlineStr">
        <is>
          <t>Kế toán trưởng</t>
        </is>
      </c>
      <c r="D4537" t="inlineStr">
        <is>
          <t>CÔNG TY CỔ PHẦN TÔN THÉP HÒA BÌNH</t>
        </is>
      </c>
      <c r="E4537" t="inlineStr">
        <is>
          <t>Lương:Trên 25 Tr VND</t>
        </is>
      </c>
      <c r="F4537" t="inlineStr">
        <is>
          <t>Hồ Chí Minh</t>
        </is>
      </c>
      <c r="G4537" t="inlineStr">
        <is>
          <t>28-03-2026</t>
        </is>
      </c>
      <c r="H4537" t="inlineStr">
        <is>
          <t>28/03/2026</t>
        </is>
      </c>
      <c r="I4537" t="inlineStr">
        <is>
          <t>17/03/2026</t>
        </is>
      </c>
      <c r="J4537" t="inlineStr">
        <is>
          <t>Kế toán / Kiểm toán</t>
        </is>
      </c>
      <c r="K4537" t="inlineStr">
        <is>
          <t>3 - 5 Năm</t>
        </is>
      </c>
      <c r="L4537" s="8">
        <f>HYPERLINK("https://careerviet.vn/vi/tim-viec-lam/ke-toan-truong.35C6A16D.html","Xem chi tiết")</f>
        <v/>
      </c>
    </row>
    <row r="4538">
      <c r="B4538" s="9" t="n">
        <v>4536</v>
      </c>
      <c r="C4538" s="10" t="inlineStr">
        <is>
          <t>Trưởng phòng Kinh doanh- Lĩnh vực Thực phẩm</t>
        </is>
      </c>
      <c r="D4538" s="10" t="inlineStr">
        <is>
          <t>CÔNG TY CỔ PHẦN THƯƠNG MẠI DỊCH VỤ AN ĐẠI DƯƠNG</t>
        </is>
      </c>
      <c r="E4538" s="10" t="inlineStr">
        <is>
          <t>Lương:18 Tr - 30 Tr VND</t>
        </is>
      </c>
      <c r="F4538" s="10" t="inlineStr">
        <is>
          <t>Hà Nội</t>
        </is>
      </c>
      <c r="G4538" s="10" t="inlineStr">
        <is>
          <t>05-04-2026</t>
        </is>
      </c>
      <c r="H4538" s="10" t="inlineStr">
        <is>
          <t>05/04/2026</t>
        </is>
      </c>
      <c r="I4538" s="10" t="inlineStr">
        <is>
          <t>17/03/2026</t>
        </is>
      </c>
      <c r="J4538" s="10" t="inlineStr">
        <is>
          <t>Bán hàng / Kinh doanh, Thực phẩm &amp; Đồ uống, Công nghệ thực phẩm / Dinh dưỡng</t>
        </is>
      </c>
      <c r="K4538" s="10" t="inlineStr">
        <is>
          <t>2 - 20 Năm</t>
        </is>
      </c>
      <c r="L4538" s="11">
        <f>HYPERLINK("https://careerviet.vn/vi/tim-viec-lam/truong-phong-kinh-doanh-linh-vuc-thuc-pham.35C676F6.html","Xem chi tiết")</f>
        <v/>
      </c>
      <c r="M4538" s="10" t="n"/>
    </row>
    <row r="4539">
      <c r="B4539" s="7" t="n">
        <v>4537</v>
      </c>
      <c r="C4539" t="inlineStr">
        <is>
          <t>Cửa Hàng Trưởng (Tuyển Nữ )</t>
        </is>
      </c>
      <c r="D4539" t="inlineStr">
        <is>
          <t>Hỷ Lâm Môn &amp; L'amour Bakery</t>
        </is>
      </c>
      <c r="E4539" t="inlineStr">
        <is>
          <t>Lương:10 Tr - 15 Tr VND</t>
        </is>
      </c>
      <c r="F4539" t="inlineStr">
        <is>
          <t>Hồ Chí Minh</t>
        </is>
      </c>
      <c r="G4539" t="inlineStr">
        <is>
          <t>4</t>
        </is>
      </c>
      <c r="H4539" t="inlineStr">
        <is>
          <t>21/03/2026</t>
        </is>
      </c>
      <c r="I4539" t="inlineStr">
        <is>
          <t>17/03/2026</t>
        </is>
      </c>
      <c r="J4539" t="inlineStr">
        <is>
          <t>Bán lẻ / Bán sỉ, Bán hàng / Kinh doanh, Thực phẩm &amp; Đồ uống</t>
        </is>
      </c>
      <c r="K4539" t="inlineStr">
        <is>
          <t>1 - 3 Năm</t>
        </is>
      </c>
      <c r="L4539" s="8">
        <f>HYPERLINK("https://careerviet.vn/vi/tim-viec-lam/cua-hang-truong-tuyen-nu.35C68C2E.html","Xem chi tiết")</f>
        <v/>
      </c>
    </row>
    <row r="4540">
      <c r="B4540" s="9" t="n">
        <v>4538</v>
      </c>
      <c r="C4540" s="10" t="inlineStr">
        <is>
          <t>NHÂN VIÊN BÓC TÁCH BẢN VẼ NỘI THẤT</t>
        </is>
      </c>
      <c r="D4540" s="10" t="inlineStr">
        <is>
          <t>TRAN DUC CORPORATION - CÔNG TY CỔ PHẦN TRẦN ĐỨC</t>
        </is>
      </c>
      <c r="E4540" s="10" t="inlineStr">
        <is>
          <t>Lương:Cạnh tranh</t>
        </is>
      </c>
      <c r="F4540" s="10" t="inlineStr">
        <is>
          <t>Bình Dương</t>
        </is>
      </c>
      <c r="G4540" s="10" t="inlineStr">
        <is>
          <t>31-03-2026</t>
        </is>
      </c>
      <c r="H4540" s="10" t="inlineStr">
        <is>
          <t>31/03/2026</t>
        </is>
      </c>
      <c r="I4540" s="10" t="inlineStr">
        <is>
          <t>17/03/2026</t>
        </is>
      </c>
      <c r="J4540" s="10" t="inlineStr">
        <is>
          <t>Đồ gỗ, Nội ngoại thất</t>
        </is>
      </c>
      <c r="K4540" s="10" t="inlineStr">
        <is>
          <t>1 - 3 Năm</t>
        </is>
      </c>
      <c r="L4540" s="11">
        <f>HYPERLINK("https://careerviet.vn/vi/tim-viec-lam/nhan-vien-boc-tach-ban-ve-noi-that.35C6A1A2.html","Xem chi tiết")</f>
        <v/>
      </c>
      <c r="M4540" s="10" t="n"/>
    </row>
    <row r="4541">
      <c r="B4541" s="7" t="n">
        <v>4539</v>
      </c>
      <c r="C4541" t="inlineStr">
        <is>
          <t>Nhân viên kinh doanh- Marketing</t>
        </is>
      </c>
      <c r="D4541" t="inlineStr">
        <is>
          <t>Bảo mật</t>
        </is>
      </c>
      <c r="E4541" t="inlineStr">
        <is>
          <t>Lương:9 Tr - 15 Tr VND</t>
        </is>
      </c>
      <c r="F4541" t="inlineStr">
        <is>
          <t>Hồ Chí Minh</t>
        </is>
      </c>
      <c r="G4541" t="inlineStr">
        <is>
          <t>31-03-2026</t>
        </is>
      </c>
      <c r="H4541" t="inlineStr">
        <is>
          <t>31/03/2026</t>
        </is>
      </c>
      <c r="I4541" t="inlineStr">
        <is>
          <t>17/03/2026</t>
        </is>
      </c>
      <c r="J4541" t="inlineStr">
        <is>
          <t>Tiếp thị / Marketing, Bán hàng / Kinh doanh</t>
        </is>
      </c>
      <c r="K4541" t="inlineStr">
        <is>
          <t>N/A</t>
        </is>
      </c>
      <c r="L4541" s="8">
        <f>HYPERLINK("https://careerviet.vn/vi/tim-viec-lam/nhan-vien-kinh-doanh-marketing.35C6A236.html","Xem chi tiết")</f>
        <v/>
      </c>
    </row>
    <row r="4542">
      <c r="B4542" s="9" t="n">
        <v>4540</v>
      </c>
      <c r="C4542" s="10" t="inlineStr">
        <is>
          <t>Global Compliance &amp; Regulatory Affairs Manager - Quản Lý Tuân Thủ Pháp Lý</t>
        </is>
      </c>
      <c r="D4542" s="10" t="inlineStr">
        <is>
          <t>Công Ty TNHH MTV Jordan Manufacturing Việt Nam</t>
        </is>
      </c>
      <c r="E4542" s="10" t="inlineStr">
        <is>
          <t>Lương:Cạnh tranh</t>
        </is>
      </c>
      <c r="F4542" s="10" t="inlineStr">
        <is>
          <t>Long An</t>
        </is>
      </c>
      <c r="G4542" s="10" t="inlineStr">
        <is>
          <t>29-03-2026</t>
        </is>
      </c>
      <c r="H4542" s="10" t="inlineStr">
        <is>
          <t>29/03/2026</t>
        </is>
      </c>
      <c r="I4542" s="10" t="inlineStr">
        <is>
          <t>17/03/2026</t>
        </is>
      </c>
      <c r="J4542" s="10" t="inlineStr">
        <is>
          <t>Dệt may / Da giày / Thời trang, Sản xuất / Vận hành sản xuất, Luật / Pháp lý</t>
        </is>
      </c>
      <c r="K4542" s="10" t="inlineStr">
        <is>
          <t>3 Năm</t>
        </is>
      </c>
      <c r="L4542" s="11">
        <f>HYPERLINK("https://careerviet.vn/vi/tim-viec-lam/global-compliance-regulatory-affairs-manager-quan-ly-tuan-thu-phap-ly.35C66F38.html","Xem chi tiết")</f>
        <v/>
      </c>
      <c r="M4542" s="10" t="n"/>
    </row>
    <row r="4543">
      <c r="B4543" s="7" t="n">
        <v>4541</v>
      </c>
      <c r="C4543" t="inlineStr">
        <is>
          <t>Quản lý Đào tạo/ Training Manager</t>
        </is>
      </c>
      <c r="D4543" t="inlineStr">
        <is>
          <t>CÔNG TY TNHH ĐẦU TƯ DỊCH VỤ HUMVENTURES</t>
        </is>
      </c>
      <c r="E4543" t="inlineStr">
        <is>
          <t>Lương:Cạnh tranh</t>
        </is>
      </c>
      <c r="F4543" t="inlineStr">
        <is>
          <t>Hồ Chí Minh</t>
        </is>
      </c>
      <c r="G4543" t="inlineStr">
        <is>
          <t>31-03-2026</t>
        </is>
      </c>
      <c r="H4543" t="inlineStr">
        <is>
          <t>31/03/2026</t>
        </is>
      </c>
      <c r="I4543" t="inlineStr">
        <is>
          <t>17/03/2026</t>
        </is>
      </c>
      <c r="J4543" t="inlineStr">
        <is>
          <t>Giáo dục / Đào tạo</t>
        </is>
      </c>
      <c r="K4543" t="inlineStr">
        <is>
          <t>3 - 5 Năm</t>
        </is>
      </c>
      <c r="L4543" s="8">
        <f>HYPERLINK("https://careerviet.vn/vi/tim-viec-lam/quan-ly-dao-tao-training-manager.35C6A1FF.html","Xem chi tiết")</f>
        <v/>
      </c>
    </row>
    <row r="4544">
      <c r="B4544" s="9" t="n">
        <v>4542</v>
      </c>
      <c r="C4544" s="10" t="inlineStr">
        <is>
          <t>Nhân viên QC nhà máy</t>
        </is>
      </c>
      <c r="D4544" s="10" t="inlineStr">
        <is>
          <t>Công Ty TNHH TM &amp; XNK Nhất Lâm</t>
        </is>
      </c>
      <c r="E4544" s="10" t="inlineStr">
        <is>
          <t>Lương:9,5 Tr - 11 Tr VND</t>
        </is>
      </c>
      <c r="F4544" s="10" t="inlineStr">
        <is>
          <t>Hồ Chí Minh</t>
        </is>
      </c>
      <c r="G4544" s="10" t="inlineStr">
        <is>
          <t>31-03-2026</t>
        </is>
      </c>
      <c r="H4544" s="10" t="inlineStr">
        <is>
          <t>31/03/2026</t>
        </is>
      </c>
      <c r="I4544" s="10" t="inlineStr">
        <is>
          <t>17/03/2026</t>
        </is>
      </c>
      <c r="J4544" s="10" t="inlineStr">
        <is>
          <t>Sản xuất / Vận hành sản xuất, Quản lý chất lượng (QA/QC)</t>
        </is>
      </c>
      <c r="K4544" s="10" t="inlineStr">
        <is>
          <t>Lên đến 1 Năm</t>
        </is>
      </c>
      <c r="L4544" s="11">
        <f>HYPERLINK("https://careerviet.vn/vi/tim-viec-lam/nhan-vien-qc-nha-may.35C6A25F.html","Xem chi tiết")</f>
        <v/>
      </c>
      <c r="M4544" s="10" t="n"/>
    </row>
    <row r="4545">
      <c r="B4545" s="7" t="n">
        <v>4543</v>
      </c>
      <c r="C4545" t="inlineStr">
        <is>
          <t>Chuyên viên Mua hàng - VP Quận 2</t>
        </is>
      </c>
      <c r="D4545" t="inlineStr">
        <is>
          <t>AA Corporation</t>
        </is>
      </c>
      <c r="E4545" t="inlineStr">
        <is>
          <t>Lương:Cạnh tranh</t>
        </is>
      </c>
      <c r="F4545" t="inlineStr">
        <is>
          <t>Hồ Chí Minh</t>
        </is>
      </c>
      <c r="G4545" t="inlineStr">
        <is>
          <t>06-04-2026</t>
        </is>
      </c>
      <c r="H4545" t="inlineStr">
        <is>
          <t>06/04/2026</t>
        </is>
      </c>
      <c r="I4545" t="inlineStr">
        <is>
          <t>17/03/2026</t>
        </is>
      </c>
      <c r="J4545" t="inlineStr">
        <is>
          <t>Thu mua / Vật tư, Kiến trúc, Xây dựng</t>
        </is>
      </c>
      <c r="K4545" t="inlineStr">
        <is>
          <t>3 - 5 Năm</t>
        </is>
      </c>
      <c r="L4545" s="8">
        <f>HYPERLINK("https://careerviet.vn/vi/tim-viec-lam/chuyen-vien-mua-hang-vp-quan-2.35C6B513.html","Xem chi tiết")</f>
        <v/>
      </c>
    </row>
    <row r="4546">
      <c r="B4546" s="9" t="n">
        <v>4544</v>
      </c>
      <c r="C4546" s="10" t="inlineStr">
        <is>
          <t>Trade Marketing Specialist/ Chuyên viên tiếp thị thương mại</t>
        </is>
      </c>
      <c r="D4546" s="10" t="inlineStr">
        <is>
          <t>Công Ty CP Việt Tinh Anh</t>
        </is>
      </c>
      <c r="E4546" s="10" t="inlineStr">
        <is>
          <t>Lương:Cạnh tranh</t>
        </is>
      </c>
      <c r="F4546" s="10" t="inlineStr">
        <is>
          <t>Hồ Chí Minh</t>
        </is>
      </c>
      <c r="G4546" s="10" t="inlineStr">
        <is>
          <t>05-04-2026</t>
        </is>
      </c>
      <c r="H4546" s="10" t="inlineStr">
        <is>
          <t>05/04/2026</t>
        </is>
      </c>
      <c r="I4546" s="10" t="inlineStr">
        <is>
          <t>17/03/2026</t>
        </is>
      </c>
      <c r="J4546" s="10" t="inlineStr">
        <is>
          <t>Tiếp thị / Marketing, Thương mại điện tử, Quảng cáo / Đối ngoại / Truyền Thông</t>
        </is>
      </c>
      <c r="K4546" s="10" t="inlineStr">
        <is>
          <t>2 - 3 Năm</t>
        </is>
      </c>
      <c r="L4546" s="11">
        <f>HYPERLINK("https://careerviet.vn/vi/tim-viec-lam/trade-marketing-specialist-chuyen-vien-tiep-thi-thuong-mai.35C6B52E.html","Xem chi tiết")</f>
        <v/>
      </c>
      <c r="M4546" s="10" t="n"/>
    </row>
    <row r="4547">
      <c r="B4547" s="7" t="n">
        <v>4545</v>
      </c>
      <c r="C4547" t="inlineStr">
        <is>
          <t>[Factory 1] QA Officer (Pharmacy Fresher)</t>
        </is>
      </c>
      <c r="D4547" t="inlineStr">
        <is>
          <t>CÔNG TY TNHH ROHTO-MENTHOLATUM (VIỆT NAM)</t>
        </is>
      </c>
      <c r="E4547" t="inlineStr">
        <is>
          <t>Lương:Cạnh tranh</t>
        </is>
      </c>
      <c r="F4547" t="inlineStr">
        <is>
          <t>Bình Dương</t>
        </is>
      </c>
      <c r="G4547" t="inlineStr">
        <is>
          <t>05-04-2026</t>
        </is>
      </c>
      <c r="H4547" t="inlineStr">
        <is>
          <t>05/04/2026</t>
        </is>
      </c>
      <c r="I4547" t="inlineStr">
        <is>
          <t>17/03/2026</t>
        </is>
      </c>
      <c r="J4547" t="inlineStr">
        <is>
          <t>Dược phẩm/ Hóa Mỹ Phẩm, Quản lý chất lượng (QA/QC), Hàng gia dụng / Chăm sóc cá nhân</t>
        </is>
      </c>
      <c r="K4547" t="inlineStr">
        <is>
          <t>Không yêu cầu kinh nghiệm</t>
        </is>
      </c>
      <c r="L4547" s="8">
        <f>HYPERLINK("https://careerviet.vn/vi/tim-viec-lam/factory-1-qa-officer-pharmacy-fresher.35C6B555.html","Xem chi tiết")</f>
        <v/>
      </c>
    </row>
    <row r="4548">
      <c r="B4548" s="9" t="n">
        <v>4546</v>
      </c>
      <c r="C4548" s="10" t="inlineStr">
        <is>
          <t>QC Officer (Chemical/ Biotech/ Pharmacy)</t>
        </is>
      </c>
      <c r="D4548" s="10" t="inlineStr">
        <is>
          <t>CÔNG TY TNHH ROHTO-MENTHOLATUM (VIỆT NAM)</t>
        </is>
      </c>
      <c r="E4548" s="10" t="inlineStr">
        <is>
          <t>Lương:Cạnh tranh</t>
        </is>
      </c>
      <c r="F4548" s="10" t="inlineStr">
        <is>
          <t>Bình Dương</t>
        </is>
      </c>
      <c r="G4548" s="10" t="inlineStr">
        <is>
          <t>05-04-2026</t>
        </is>
      </c>
      <c r="H4548" s="10" t="inlineStr">
        <is>
          <t>05/04/2026</t>
        </is>
      </c>
      <c r="I4548" s="10" t="inlineStr">
        <is>
          <t>17/03/2026</t>
        </is>
      </c>
      <c r="J4548" s="10" t="inlineStr">
        <is>
          <t>Dược phẩm/ Hóa Mỹ Phẩm, Hàng gia dụng / Chăm sóc cá nhân, Quản lý chất lượng (QA/QC)</t>
        </is>
      </c>
      <c r="K4548" s="10" t="inlineStr">
        <is>
          <t>Không yêu cầu kinh nghiệm</t>
        </is>
      </c>
      <c r="L4548" s="11">
        <f>HYPERLINK("https://careerviet.vn/vi/tim-viec-lam/qc-officer-chemical-biotech-pharmacy.35C6B557.html","Xem chi tiết")</f>
        <v/>
      </c>
      <c r="M4548" s="10" t="n"/>
    </row>
    <row r="4549">
      <c r="B4549" s="7" t="n">
        <v>4547</v>
      </c>
      <c r="C4549" t="inlineStr">
        <is>
          <t>[Factory 1] Warehouse Officer (Logistics/ Supply Chains/ Pharmacy Fresher)</t>
        </is>
      </c>
      <c r="D4549" t="inlineStr">
        <is>
          <t>CÔNG TY TNHH ROHTO-MENTHOLATUM (VIỆT NAM)</t>
        </is>
      </c>
      <c r="E4549" t="inlineStr">
        <is>
          <t>Lương:Cạnh tranh</t>
        </is>
      </c>
      <c r="F4549" t="inlineStr">
        <is>
          <t>Hồ Chí Minh</t>
        </is>
      </c>
      <c r="G4549" t="inlineStr">
        <is>
          <t>05-04-2026</t>
        </is>
      </c>
      <c r="H4549" t="inlineStr">
        <is>
          <t>05/04/2026</t>
        </is>
      </c>
      <c r="I4549" t="inlineStr">
        <is>
          <t>17/03/2026</t>
        </is>
      </c>
      <c r="J4549" t="inlineStr">
        <is>
          <t>Vận chuyển / Giao nhận / Kho vận</t>
        </is>
      </c>
      <c r="K4549" t="inlineStr">
        <is>
          <t>Chưa có kinh nghiệm</t>
        </is>
      </c>
      <c r="L4549" s="8">
        <f>HYPERLINK("https://careerviet.vn/vi/tim-viec-lam/factory-1-warehouse-officer-logistics-supply-chains-pharmacy-fresher.35C6B518.html","Xem chi tiết")</f>
        <v/>
      </c>
    </row>
    <row r="4550">
      <c r="B4550" s="9" t="n">
        <v>4548</v>
      </c>
      <c r="C4550" s="10" t="inlineStr">
        <is>
          <t>Event &amp; Activation Executive</t>
        </is>
      </c>
      <c r="D4550" s="10" t="inlineStr">
        <is>
          <t>CÔNG TY TNHH ĐẦU TƯ THƯƠNG MẠI DỊCH VỤ THIÊN BÌNH</t>
        </is>
      </c>
      <c r="E4550" s="10" t="inlineStr">
        <is>
          <t>Lương:Cạnh tranh</t>
        </is>
      </c>
      <c r="F4550" s="10" t="inlineStr">
        <is>
          <t>Hồ Chí Minh</t>
        </is>
      </c>
      <c r="G4550" s="10" t="inlineStr">
        <is>
          <t>05-04-2026</t>
        </is>
      </c>
      <c r="H4550" s="10" t="inlineStr">
        <is>
          <t>05/04/2026</t>
        </is>
      </c>
      <c r="I4550" s="10" t="inlineStr">
        <is>
          <t>17/03/2026</t>
        </is>
      </c>
      <c r="J4550" s="10" t="inlineStr">
        <is>
          <t>Quảng cáo / Đối ngoại / Truyền Thông, Tổ chức sự kiện, Truyền hình / Báo chí / Biên tập</t>
        </is>
      </c>
      <c r="K4550" s="10" t="inlineStr">
        <is>
          <t>1 - 3 Năm</t>
        </is>
      </c>
      <c r="L4550" s="11">
        <f>HYPERLINK("https://careerviet.vn/vi/tim-viec-lam/event-activation-executive.35C6B529.html","Xem chi tiết")</f>
        <v/>
      </c>
      <c r="M4550" s="10" t="n"/>
    </row>
    <row r="4551">
      <c r="B4551" s="7" t="n">
        <v>4549</v>
      </c>
      <c r="C4551" t="inlineStr">
        <is>
          <t>NHÂN VIÊN MUA HÀNG</t>
        </is>
      </c>
      <c r="D4551" t="inlineStr">
        <is>
          <t>CÔNG TY TNHH SẢN XUẤT NAVIS VIỆT NAM</t>
        </is>
      </c>
      <c r="E4551" t="inlineStr">
        <is>
          <t>Lương:12 Tr - 16 Tr VND</t>
        </is>
      </c>
      <c r="F4551" t="inlineStr">
        <is>
          <t>Hồ Chí Minh</t>
        </is>
      </c>
      <c r="G4551" t="inlineStr">
        <is>
          <t>30-04-2026</t>
        </is>
      </c>
      <c r="H4551" t="inlineStr">
        <is>
          <t>30/04/2026</t>
        </is>
      </c>
      <c r="I4551" t="inlineStr">
        <is>
          <t>17/03/2026</t>
        </is>
      </c>
      <c r="J4551" t="inlineStr">
        <is>
          <t>Thu mua / Vật tư</t>
        </is>
      </c>
      <c r="K4551" t="inlineStr">
        <is>
          <t>1 - 2 Năm</t>
        </is>
      </c>
      <c r="L4551" s="8">
        <f>HYPERLINK("https://careerviet.vn/vi/tim-viec-lam/nhan-vien-mua-hang.35C6B50A.html","Xem chi tiết")</f>
        <v/>
      </c>
    </row>
    <row r="4552">
      <c r="B4552" s="9" t="n">
        <v>4550</v>
      </c>
      <c r="C4552" s="10" t="inlineStr">
        <is>
          <t>Kỹ thuật triển khai sản xuất/Production Technical Engineer (Garment)</t>
        </is>
      </c>
      <c r="D4552" s="10" t="inlineStr">
        <is>
          <t>Công Ty TNHH May Thêu Giày An Phước</t>
        </is>
      </c>
      <c r="E4552" s="10" t="inlineStr">
        <is>
          <t>Lương:Cạnh tranh</t>
        </is>
      </c>
      <c r="F4552" s="10" t="inlineStr">
        <is>
          <t>Hồ Chí Minh</t>
        </is>
      </c>
      <c r="G4552" s="10" t="inlineStr">
        <is>
          <t>02-04-2026</t>
        </is>
      </c>
      <c r="H4552" s="10" t="inlineStr">
        <is>
          <t>02/04/2026</t>
        </is>
      </c>
      <c r="I4552" s="10" t="inlineStr">
        <is>
          <t>17/03/2026</t>
        </is>
      </c>
      <c r="J4552" s="10" t="inlineStr">
        <is>
          <t>Sản xuất / Vận hành sản xuất, Dệt may / Da giày / Thời trang, Quản lý chất lượng (QA/QC)</t>
        </is>
      </c>
      <c r="K4552" s="10" t="inlineStr">
        <is>
          <t>5 - 20 Năm</t>
        </is>
      </c>
      <c r="L4552" s="11">
        <f>HYPERLINK("https://careerviet.vn/vi/tim-viec-lam/ky-thuat-trien-khai-san-xuat-production-technical-engineer-garment.35C671FB.html","Xem chi tiết")</f>
        <v/>
      </c>
      <c r="M4552" s="10" t="n"/>
    </row>
    <row r="4553">
      <c r="B4553" s="7" t="n">
        <v>4551</v>
      </c>
      <c r="C4553" t="inlineStr">
        <is>
          <t>SENIOR BRAND EXECUTIVE</t>
        </is>
      </c>
      <c r="D4553" t="inlineStr">
        <is>
          <t>Công Ty Cổ Phần Phim Thiên Ngân (GALAXY STUDIO)</t>
        </is>
      </c>
      <c r="E4553" t="inlineStr">
        <is>
          <t>Lương:Cạnh tranh</t>
        </is>
      </c>
      <c r="F4553" t="inlineStr">
        <is>
          <t>Hồ Chí Minh</t>
        </is>
      </c>
      <c r="G4553" t="inlineStr">
        <is>
          <t>30-04-2026</t>
        </is>
      </c>
      <c r="H4553" t="inlineStr">
        <is>
          <t>30/04/2026</t>
        </is>
      </c>
      <c r="I4553" t="inlineStr">
        <is>
          <t>17/03/2026</t>
        </is>
      </c>
      <c r="J4553" t="inlineStr">
        <is>
          <t>Tiếp thị / Marketing</t>
        </is>
      </c>
      <c r="K4553" t="inlineStr">
        <is>
          <t>Trên 2 Năm</t>
        </is>
      </c>
      <c r="L4553" s="8">
        <f>HYPERLINK("https://careerviet.vn/vi/tim-viec-lam/senior-brand-executive.35C6B4E0.html","Xem chi tiết")</f>
        <v/>
      </c>
    </row>
    <row r="4554">
      <c r="B4554" s="9" t="n">
        <v>4552</v>
      </c>
      <c r="C4554" s="10" t="inlineStr">
        <is>
          <t>CHUYÊN VIÊN KHÁCH HÀNG CÁ NHÂN - CN TIỀN GIANG - KV TÂY NAM BỘ</t>
        </is>
      </c>
      <c r="D4554" s="10" t="inlineStr">
        <is>
          <t>NGÂN HÀNG TMCP SÀI GÒN THƯƠNG TÍN (SACOMBANK)</t>
        </is>
      </c>
      <c r="E4554" s="10" t="inlineStr">
        <is>
          <t>Lương:Cạnh tranh</t>
        </is>
      </c>
      <c r="F4554" s="10" t="inlineStr">
        <is>
          <t>Long AnBến TreTiền Giang</t>
        </is>
      </c>
      <c r="G4554" s="10" t="inlineStr">
        <is>
          <t>02-04-2026</t>
        </is>
      </c>
      <c r="H4554" s="10" t="inlineStr">
        <is>
          <t>02/04/2026</t>
        </is>
      </c>
      <c r="I4554" s="10" t="inlineStr">
        <is>
          <t>17/03/2026</t>
        </is>
      </c>
      <c r="J4554" s="10" t="inlineStr">
        <is>
          <t>Ngân hàng, Bảo hiểm, Tài chính / Đầu tư</t>
        </is>
      </c>
      <c r="K4554" s="10" t="inlineStr">
        <is>
          <t>N/A</t>
        </is>
      </c>
      <c r="L4554" s="11">
        <f>HYPERLINK("https://careerviet.vn/vi/tim-viec-lam/chuyen-vien-khach-hang-ca-nhan-cn-tien-giang-kv-tay-nam-bo.35C67213.html","Xem chi tiết")</f>
        <v/>
      </c>
      <c r="M4554" s="10" t="n"/>
    </row>
    <row r="4555">
      <c r="B4555" s="7" t="n">
        <v>4553</v>
      </c>
      <c r="C4555" t="inlineStr">
        <is>
          <t>Kế toán Tổng hợp</t>
        </is>
      </c>
      <c r="D4555" t="inlineStr">
        <is>
          <t>Công ty Cổ phần Sữa VitaDairy Việt Nam</t>
        </is>
      </c>
      <c r="E4555" t="inlineStr">
        <is>
          <t>Lương:Cạnh tranh</t>
        </is>
      </c>
      <c r="F4555" t="inlineStr">
        <is>
          <t>Hồ Chí Minh</t>
        </is>
      </c>
      <c r="G4555" t="inlineStr">
        <is>
          <t>02-04-2026</t>
        </is>
      </c>
      <c r="H4555" t="inlineStr">
        <is>
          <t>02/04/2026</t>
        </is>
      </c>
      <c r="I4555" t="inlineStr">
        <is>
          <t>17/03/2026</t>
        </is>
      </c>
      <c r="J4555" t="inlineStr">
        <is>
          <t>Hàng gia dụng / Chăm sóc cá nhân, Thực phẩm &amp; Đồ uống, Kế toán / Kiểm toán</t>
        </is>
      </c>
      <c r="K4555" t="inlineStr">
        <is>
          <t>3 - 5 Năm</t>
        </is>
      </c>
      <c r="L4555" s="8">
        <f>HYPERLINK("https://careerviet.vn/vi/tim-viec-lam/ke-toan-tong-hop.35C67218.html","Xem chi tiết")</f>
        <v/>
      </c>
    </row>
    <row r="4556">
      <c r="B4556" s="9" t="n">
        <v>4554</v>
      </c>
      <c r="C4556" s="10" t="inlineStr">
        <is>
          <t>Kỹ Sư Tiêu Chuẩn, Chất Lượng</t>
        </is>
      </c>
      <c r="D4556" s="10" t="inlineStr">
        <is>
          <t>Tổng Công ty Sản xuất thiết bị Viettel - Tập đoàn Công nghiệp -  Viễn thông Quân đội (VIETTEL)</t>
        </is>
      </c>
      <c r="E4556" s="10" t="inlineStr">
        <is>
          <t>Lương:13 Tr - 30 Tr VND</t>
        </is>
      </c>
      <c r="F4556" s="10" t="inlineStr">
        <is>
          <t>Hà Nội</t>
        </is>
      </c>
      <c r="G4556" s="10" t="inlineStr">
        <is>
          <t>02-04-2026</t>
        </is>
      </c>
      <c r="H4556" s="10" t="inlineStr">
        <is>
          <t>02/04/2026</t>
        </is>
      </c>
      <c r="I4556" s="10" t="inlineStr">
        <is>
          <t>17/03/2026</t>
        </is>
      </c>
      <c r="J4556" s="10" t="inlineStr">
        <is>
          <t>Cơ khí / Ô tô / Tự động hóa, Điện / Điện tử / Điện lạnh / Điện công nghiệp</t>
        </is>
      </c>
      <c r="K4556" s="10" t="inlineStr">
        <is>
          <t>Trên 1 Năm</t>
        </is>
      </c>
      <c r="L4556" s="11">
        <f>HYPERLINK("https://careerviet.vn/vi/tim-viec-lam/ky-su-tieu-chuan-chat-luong.35C67219.html","Xem chi tiết")</f>
        <v/>
      </c>
      <c r="M4556" s="10" t="n"/>
    </row>
    <row r="4557">
      <c r="B4557" s="7" t="n">
        <v>4555</v>
      </c>
      <c r="C4557" t="inlineStr">
        <is>
          <t>Trưởng Phòng Dự Toán</t>
        </is>
      </c>
      <c r="D4557" t="inlineStr">
        <is>
          <t>CÔNG TY CỔ PHẦN THIẾT KẾ VÀ XÂY DỰNG ONECONS</t>
        </is>
      </c>
      <c r="E4557" t="inlineStr">
        <is>
          <t>Lương:Cạnh tranh</t>
        </is>
      </c>
      <c r="F4557" t="inlineStr">
        <is>
          <t>Hồ Chí Minh</t>
        </is>
      </c>
      <c r="G4557" t="inlineStr">
        <is>
          <t>02-04-2026</t>
        </is>
      </c>
      <c r="H4557" t="inlineStr">
        <is>
          <t>02/04/2026</t>
        </is>
      </c>
      <c r="I4557" t="inlineStr">
        <is>
          <t>17/03/2026</t>
        </is>
      </c>
      <c r="J4557" t="inlineStr">
        <is>
          <t>Xây dựng, Thống kê, Quản lý điều hành</t>
        </is>
      </c>
      <c r="K4557" t="inlineStr">
        <is>
          <t>Trên 7 Năm</t>
        </is>
      </c>
      <c r="L4557" s="8">
        <f>HYPERLINK("https://careerviet.vn/vi/tim-viec-lam/truong-phong-du-toan.35C6720C.html","Xem chi tiết")</f>
        <v/>
      </c>
    </row>
    <row r="4558">
      <c r="B4558" s="9" t="n">
        <v>4556</v>
      </c>
      <c r="C4558" s="10" t="inlineStr">
        <is>
          <t>Kỹ Sư Hỗ Trợ Đối Tác Sản Xuất (Kỹ Thuật Cơ Khí)</t>
        </is>
      </c>
      <c r="D4558" s="10" t="inlineStr">
        <is>
          <t>Tổng Công ty Sản xuất thiết bị Viettel - Tập đoàn Công nghiệp -  Viễn thông Quân đội (VIETTEL)</t>
        </is>
      </c>
      <c r="E4558" s="10" t="inlineStr">
        <is>
          <t>Lương:15 Tr - 30 Tr VND</t>
        </is>
      </c>
      <c r="F4558" s="10" t="inlineStr">
        <is>
          <t>Hà Nội</t>
        </is>
      </c>
      <c r="G4558" s="10" t="inlineStr">
        <is>
          <t>02-04-2026</t>
        </is>
      </c>
      <c r="H4558" s="10" t="inlineStr">
        <is>
          <t>02/04/2026</t>
        </is>
      </c>
      <c r="I4558" s="10" t="inlineStr">
        <is>
          <t>17/03/2026</t>
        </is>
      </c>
      <c r="J4558" s="10" t="inlineStr">
        <is>
          <t>Cơ khí / Ô tô / Tự động hóa</t>
        </is>
      </c>
      <c r="K4558" s="10" t="inlineStr">
        <is>
          <t>Trên 2 Năm</t>
        </is>
      </c>
      <c r="L4558" s="11">
        <f>HYPERLINK("https://careerviet.vn/vi/tim-viec-lam/ky-su-ho-tro-doi-tac-san-xuat-ky-thuat-co-khi.35C63EB8.html","Xem chi tiết")</f>
        <v/>
      </c>
      <c r="M4558" s="10" t="n"/>
    </row>
    <row r="4559">
      <c r="B4559" s="7" t="n">
        <v>4557</v>
      </c>
      <c r="C4559" t="inlineStr">
        <is>
          <t>Training &amp; Development Manager</t>
        </is>
      </c>
      <c r="D4559" t="inlineStr">
        <is>
          <t>VINFAST TRADING AND PRODUCTION JSC</t>
        </is>
      </c>
      <c r="E4559" t="inlineStr">
        <is>
          <t>Lương:Cạnh tranh</t>
        </is>
      </c>
      <c r="F4559" t="inlineStr">
        <is>
          <t>Hà Tĩnh</t>
        </is>
      </c>
      <c r="G4559" t="inlineStr">
        <is>
          <t>02-04-2026</t>
        </is>
      </c>
      <c r="H4559" t="inlineStr">
        <is>
          <t>02/04/2026</t>
        </is>
      </c>
      <c r="I4559" t="inlineStr">
        <is>
          <t>17/03/2026</t>
        </is>
      </c>
      <c r="J4559" t="inlineStr">
        <is>
          <t>Giáo dục / Đào tạo, Nhân sự</t>
        </is>
      </c>
      <c r="K4559" t="inlineStr">
        <is>
          <t>3 - 5 Năm</t>
        </is>
      </c>
      <c r="L4559" s="8">
        <f>HYPERLINK("https://careerviet.vn/vi/tim-viec-lam/training-development-manager.35C671E7.html","Xem chi tiết")</f>
        <v/>
      </c>
    </row>
    <row r="4560">
      <c r="B4560" s="9" t="n">
        <v>4558</v>
      </c>
      <c r="C4560" s="10" t="inlineStr">
        <is>
          <t>SEO EXECUTIVE</t>
        </is>
      </c>
      <c r="D4560" s="10" t="inlineStr">
        <is>
          <t>CÔNG TY TNHH VẬN CHUYỂN VÙNG VỊNH</t>
        </is>
      </c>
      <c r="E4560" s="10" t="inlineStr">
        <is>
          <t>Lương:10 Tr - 15 Tr VND</t>
        </is>
      </c>
      <c r="F4560" s="10" t="inlineStr">
        <is>
          <t>Hồ Chí Minh</t>
        </is>
      </c>
      <c r="G4560" s="10" t="inlineStr">
        <is>
          <t>30-03-2026</t>
        </is>
      </c>
      <c r="H4560" s="10" t="inlineStr">
        <is>
          <t>30/03/2026</t>
        </is>
      </c>
      <c r="I4560" s="10" t="inlineStr">
        <is>
          <t>17/03/2026</t>
        </is>
      </c>
      <c r="J4560" s="10" t="inlineStr">
        <is>
          <t>Tiếp thị / Marketing, Xuất nhập khẩu, Sản xuất / Vận hành sản xuất</t>
        </is>
      </c>
      <c r="K4560" s="10" t="inlineStr">
        <is>
          <t>1 - 2 Năm</t>
        </is>
      </c>
      <c r="L4560" s="11">
        <f>HYPERLINK("https://careerviet.vn/vi/tim-viec-lam/seo-executive.35C66F76.html","Xem chi tiết")</f>
        <v/>
      </c>
      <c r="M4560" s="10" t="n"/>
    </row>
    <row r="4561">
      <c r="B4561" s="7" t="n">
        <v>4559</v>
      </c>
      <c r="C4561" t="inlineStr">
        <is>
          <t>Quality Engineer</t>
        </is>
      </c>
      <c r="D4561" t="inlineStr">
        <is>
          <t>VINFAST TRADING AND PRODUCTION JSC</t>
        </is>
      </c>
      <c r="E4561" t="inlineStr">
        <is>
          <t>Lương:Cạnh tranh</t>
        </is>
      </c>
      <c r="F4561" t="inlineStr">
        <is>
          <t>Hà Tĩnh</t>
        </is>
      </c>
      <c r="G4561" t="inlineStr">
        <is>
          <t>02-04-2026</t>
        </is>
      </c>
      <c r="H4561" t="inlineStr">
        <is>
          <t>02/04/2026</t>
        </is>
      </c>
      <c r="I4561" t="inlineStr">
        <is>
          <t>17/03/2026</t>
        </is>
      </c>
      <c r="J4561" t="inlineStr">
        <is>
          <t>Sản xuất / Vận hành sản xuất</t>
        </is>
      </c>
      <c r="K4561" t="inlineStr">
        <is>
          <t>1 - 3 Năm</t>
        </is>
      </c>
      <c r="L4561" s="8">
        <f>HYPERLINK("https://careerviet.vn/vi/tim-viec-lam/quality-engineer.35C671FA.html","Xem chi tiết")</f>
        <v/>
      </c>
    </row>
    <row r="4562">
      <c r="B4562" s="9" t="n">
        <v>4560</v>
      </c>
      <c r="C4562" s="10" t="inlineStr">
        <is>
          <t>Chuyên viên truyền thông</t>
        </is>
      </c>
      <c r="D4562" s="10" t="inlineStr">
        <is>
          <t>ERAS GROUP</t>
        </is>
      </c>
      <c r="E4562" s="10" t="inlineStr">
        <is>
          <t>Lương:Cạnh tranh</t>
        </is>
      </c>
      <c r="F4562" s="10" t="inlineStr">
        <is>
          <t>Hồ Chí Minh</t>
        </is>
      </c>
      <c r="G4562" s="10" t="inlineStr">
        <is>
          <t>31-03-2026</t>
        </is>
      </c>
      <c r="H4562" s="10" t="inlineStr">
        <is>
          <t>31/03/2026</t>
        </is>
      </c>
      <c r="I4562" s="10" t="inlineStr">
        <is>
          <t>17/03/2026</t>
        </is>
      </c>
      <c r="J4562" s="10" t="inlineStr">
        <is>
          <t>Tiếp thị / Marketing, Quảng cáo / Đối ngoại / Truyền Thông, Tổ chức sự kiện</t>
        </is>
      </c>
      <c r="K4562" s="10" t="inlineStr">
        <is>
          <t>3 - 5 Năm</t>
        </is>
      </c>
      <c r="L4562" s="11">
        <f>HYPERLINK("https://careerviet.vn/vi/tim-viec-lam/chuyen-vien-truyen-thong.35C6AAF0.html","Xem chi tiết")</f>
        <v/>
      </c>
      <c r="M4562" s="10" t="n"/>
    </row>
    <row r="4563">
      <c r="B4563" s="7" t="n">
        <v>4561</v>
      </c>
      <c r="C4563" t="inlineStr">
        <is>
          <t>Administration Executive</t>
        </is>
      </c>
      <c r="D4563" t="inlineStr">
        <is>
          <t>CÔNG TY TNHH MSC VIỆT NAM</t>
        </is>
      </c>
      <c r="E4563" t="inlineStr">
        <is>
          <t>Lương:Cạnh tranh</t>
        </is>
      </c>
      <c r="F4563" t="inlineStr">
        <is>
          <t>Hồ Chí Minh</t>
        </is>
      </c>
      <c r="G4563" t="inlineStr">
        <is>
          <t>02-04-2026</t>
        </is>
      </c>
      <c r="H4563" t="inlineStr">
        <is>
          <t>02/04/2026</t>
        </is>
      </c>
      <c r="I4563" t="inlineStr">
        <is>
          <t>17/03/2026</t>
        </is>
      </c>
      <c r="J4563" t="inlineStr">
        <is>
          <t>Nhân sự, Hành chính / Thư ký</t>
        </is>
      </c>
      <c r="K4563" t="inlineStr">
        <is>
          <t>2 - 3 Năm</t>
        </is>
      </c>
      <c r="L4563" s="8">
        <f>HYPERLINK("https://careerviet.vn/vi/tim-viec-lam/administration-executive.35C6AA65.html","Xem chi tiết")</f>
        <v/>
      </c>
    </row>
    <row r="4564">
      <c r="B4564" s="9" t="n">
        <v>4562</v>
      </c>
      <c r="C4564" s="10" t="inlineStr">
        <is>
          <t>Chuyên Viên Tuyển Dụng (Recruitment Executive) - Hệ thống Đồng Hồ Hải Triều - Thu Nhập 12-17 Triệu</t>
        </is>
      </c>
      <c r="D4564" s="10" t="inlineStr">
        <is>
          <t>Đồng Hồ Hải Triều</t>
        </is>
      </c>
      <c r="E4564" s="10" t="inlineStr">
        <is>
          <t>Lương:12 Tr - 17 Tr VND</t>
        </is>
      </c>
      <c r="F4564" s="10" t="inlineStr">
        <is>
          <t>Hồ Chí Minh</t>
        </is>
      </c>
      <c r="G4564" s="10" t="inlineStr">
        <is>
          <t>03-04-2026</t>
        </is>
      </c>
      <c r="H4564" s="10" t="inlineStr">
        <is>
          <t>03/04/2026</t>
        </is>
      </c>
      <c r="I4564" s="10" t="inlineStr">
        <is>
          <t>17/03/2026</t>
        </is>
      </c>
      <c r="J4564" s="10" t="inlineStr">
        <is>
          <t>Nhân sự</t>
        </is>
      </c>
      <c r="K4564" s="10" t="inlineStr">
        <is>
          <t>4 - 5 Năm</t>
        </is>
      </c>
      <c r="L4564" s="11">
        <f>HYPERLINK("https://careerviet.vn/vi/tim-viec-lam/chuyen-vien-tuyen-dung-recruitment-executive-he-thong-dong-ho-hai-trieu-thu-nhap-12-17-trieu.35C6AAFE.html","Xem chi tiết")</f>
        <v/>
      </c>
      <c r="M4564" s="10" t="n"/>
    </row>
    <row r="4565">
      <c r="B4565" s="7" t="n">
        <v>4563</v>
      </c>
      <c r="C4565" t="inlineStr">
        <is>
          <t>Trưởng phòng Hành Chính Nhân Sự (Gấp)</t>
        </is>
      </c>
      <c r="D4565" t="inlineStr">
        <is>
          <t>CÔNG TY TNHH HMB MIỀN NAM</t>
        </is>
      </c>
      <c r="E4565" t="inlineStr">
        <is>
          <t>Lương:25 Tr - 30 Tr VND</t>
        </is>
      </c>
      <c r="F4565" t="inlineStr">
        <is>
          <t>Hồ Chí Minh</t>
        </is>
      </c>
      <c r="G4565" t="inlineStr">
        <is>
          <t>31-03-2026</t>
        </is>
      </c>
      <c r="H4565" t="inlineStr">
        <is>
          <t>31/03/2026</t>
        </is>
      </c>
      <c r="I4565" t="inlineStr">
        <is>
          <t>17/03/2026</t>
        </is>
      </c>
      <c r="J4565" t="inlineStr">
        <is>
          <t>Nhân sự</t>
        </is>
      </c>
      <c r="K4565" t="inlineStr">
        <is>
          <t>3 - 5 Năm</t>
        </is>
      </c>
      <c r="L4565" s="8">
        <f>HYPERLINK("https://careerviet.vn/vi/tim-viec-lam/truong-phong-hanh-chinh-nhan-su-gap.35C6AA40.html","Xem chi tiết")</f>
        <v/>
      </c>
    </row>
    <row r="4566">
      <c r="B4566" s="9" t="n">
        <v>4564</v>
      </c>
      <c r="C4566" s="10" t="inlineStr">
        <is>
          <t>CHUYÊN VIÊN KHÁCH HÀNG CÁ NHÂN - CN ĐỒNG THÁP - KV TÂY NAM BỘ</t>
        </is>
      </c>
      <c r="D4566" s="10" t="inlineStr">
        <is>
          <t>NGÂN HÀNG TMCP SÀI GÒN THƯƠNG TÍN (SACOMBANK)</t>
        </is>
      </c>
      <c r="E4566" s="10" t="inlineStr">
        <is>
          <t>Lương:Cạnh tranh</t>
        </is>
      </c>
      <c r="F4566" s="10" t="inlineStr">
        <is>
          <t>Đồng Tháp</t>
        </is>
      </c>
      <c r="G4566" s="10" t="inlineStr">
        <is>
          <t>02-04-2026</t>
        </is>
      </c>
      <c r="H4566" s="10" t="inlineStr">
        <is>
          <t>02/04/2026</t>
        </is>
      </c>
      <c r="I4566" s="10" t="inlineStr">
        <is>
          <t>17/03/2026</t>
        </is>
      </c>
      <c r="J4566" s="10" t="inlineStr">
        <is>
          <t>Ngân hàng, Bảo hiểm, Tài chính / Đầu tư</t>
        </is>
      </c>
      <c r="K4566" s="10" t="inlineStr">
        <is>
          <t>N/A</t>
        </is>
      </c>
      <c r="L4566" s="11">
        <f>HYPERLINK("https://careerviet.vn/vi/tim-viec-lam/chuyen-vien-khach-hang-ca-nhan-cn-dong-thap-kv-tay-nam-bo.35C67214.html","Xem chi tiết")</f>
        <v/>
      </c>
      <c r="M4566" s="10" t="n"/>
    </row>
    <row r="4567">
      <c r="B4567" s="7" t="n">
        <v>4565</v>
      </c>
      <c r="C4567" t="inlineStr">
        <is>
          <t>Trợ lý Dự án</t>
        </is>
      </c>
      <c r="D4567" t="inlineStr">
        <is>
          <t>CÔNG TY CỔ PHẦN XÂY DỰNG &amp; THƯƠNG MẠI SÀI GÒN 9</t>
        </is>
      </c>
      <c r="E4567" t="inlineStr">
        <is>
          <t>Lương:15 Tr - 20 Tr VND</t>
        </is>
      </c>
      <c r="F4567" t="inlineStr">
        <is>
          <t>Hồ Chí Minh</t>
        </is>
      </c>
      <c r="G4567" t="inlineStr">
        <is>
          <t>03-04-2026</t>
        </is>
      </c>
      <c r="H4567" t="inlineStr">
        <is>
          <t>03/04/2026</t>
        </is>
      </c>
      <c r="I4567" t="inlineStr">
        <is>
          <t>17/03/2026</t>
        </is>
      </c>
      <c r="J4567" t="inlineStr">
        <is>
          <t>Kiến trúc, Xây dựng, Bất động sản</t>
        </is>
      </c>
      <c r="K4567" t="inlineStr">
        <is>
          <t>3 - 5 Năm</t>
        </is>
      </c>
      <c r="L4567" s="8">
        <f>HYPERLINK("https://careerviet.vn/vi/tim-viec-lam/tro-ly-du-an.35C6AB00.html","Xem chi tiết")</f>
        <v/>
      </c>
    </row>
    <row r="4568">
      <c r="B4568" s="9" t="n">
        <v>4566</v>
      </c>
      <c r="C4568" s="10" t="inlineStr">
        <is>
          <t>Chuyên viên thương hiệu Marketing</t>
        </is>
      </c>
      <c r="D4568" s="10" t="inlineStr">
        <is>
          <t>ERAS GROUP</t>
        </is>
      </c>
      <c r="E4568" s="10" t="inlineStr">
        <is>
          <t>Lương:Cạnh tranh</t>
        </is>
      </c>
      <c r="F4568" s="10" t="inlineStr">
        <is>
          <t>Hồ Chí Minh</t>
        </is>
      </c>
      <c r="G4568" s="10" t="inlineStr">
        <is>
          <t>31-03-2026</t>
        </is>
      </c>
      <c r="H4568" s="10" t="inlineStr">
        <is>
          <t>31/03/2026</t>
        </is>
      </c>
      <c r="I4568" s="10" t="inlineStr">
        <is>
          <t>17/03/2026</t>
        </is>
      </c>
      <c r="J4568" s="10" t="inlineStr">
        <is>
          <t>Tiếp thị / Marketing, Quảng cáo / Đối ngoại / Truyền Thông, Tổ chức sự kiện</t>
        </is>
      </c>
      <c r="K4568" s="10" t="inlineStr">
        <is>
          <t>4 - 5 Năm</t>
        </is>
      </c>
      <c r="L4568" s="11">
        <f>HYPERLINK("https://careerviet.vn/vi/tim-viec-lam/chuyen-vien-thuong-hieu-marketing.35C6AACF.html","Xem chi tiết")</f>
        <v/>
      </c>
      <c r="M4568" s="10" t="n"/>
    </row>
    <row r="4569">
      <c r="B4569" s="7" t="n">
        <v>4567</v>
      </c>
      <c r="C4569" t="inlineStr">
        <is>
          <t>Procurement Officer - VSIP 2 Bình Dương</t>
        </is>
      </c>
      <c r="D4569" t="inlineStr">
        <is>
          <t>HOYA LENS VIETNAM LTD</t>
        </is>
      </c>
      <c r="E4569" t="inlineStr">
        <is>
          <t>Lương:Cạnh tranh</t>
        </is>
      </c>
      <c r="F4569" t="inlineStr">
        <is>
          <t>Bình Dương</t>
        </is>
      </c>
      <c r="G4569" t="inlineStr">
        <is>
          <t>02-04-2026</t>
        </is>
      </c>
      <c r="H4569" t="inlineStr">
        <is>
          <t>02/04/2026</t>
        </is>
      </c>
      <c r="I4569" t="inlineStr">
        <is>
          <t>17/03/2026</t>
        </is>
      </c>
      <c r="J4569" t="inlineStr">
        <is>
          <t>Xuất nhập khẩu, Vận chuyển / Giao nhận / Kho vận, Thu mua / Vật tư</t>
        </is>
      </c>
      <c r="K4569" t="inlineStr">
        <is>
          <t>1 - 2 Năm</t>
        </is>
      </c>
      <c r="L4569" s="8">
        <f>HYPERLINK("https://careerviet.vn/vi/tim-viec-lam/procurement-officer-vsip-2-binh-duong.35C6AAAD.html","Xem chi tiết")</f>
        <v/>
      </c>
    </row>
    <row r="4570">
      <c r="B4570" s="9" t="n">
        <v>4568</v>
      </c>
      <c r="C4570" s="10" t="inlineStr">
        <is>
          <t>Ecommerce Executive (Commercial) - Crocs (SHO-CRO-121-148-036-1/HO - 000208)</t>
        </is>
      </c>
      <c r="D4570" s="10" t="inlineStr">
        <is>
          <t>Central Brand &amp; Specialty Việt Nam</t>
        </is>
      </c>
      <c r="E4570" s="10" t="inlineStr">
        <is>
          <t>Lương:Cạnh tranh</t>
        </is>
      </c>
      <c r="F4570" s="10" t="inlineStr">
        <is>
          <t>Hồ Chí Minh</t>
        </is>
      </c>
      <c r="G4570" s="10" t="inlineStr">
        <is>
          <t>01-04-2026</t>
        </is>
      </c>
      <c r="H4570" s="10" t="inlineStr">
        <is>
          <t>01/04/2026</t>
        </is>
      </c>
      <c r="I4570" s="10" t="inlineStr">
        <is>
          <t>17/03/2026</t>
        </is>
      </c>
      <c r="J4570" s="10" t="inlineStr">
        <is>
          <t>Thương mại điện tử, Bán lẻ / Bán sỉ, Bán hàng / Kinh doanh</t>
        </is>
      </c>
      <c r="K4570" s="10" t="inlineStr">
        <is>
          <t>2 - 4 Năm</t>
        </is>
      </c>
      <c r="L4570" s="11">
        <f>HYPERLINK("https://careerviet.vn/vi/tim-viec-lam/ecommerce-executive-commercial-crocs-sho-cro-121-148-036-1-ho-000208.35C6AAEA.html","Xem chi tiết")</f>
        <v/>
      </c>
      <c r="M4570" s="10" t="n"/>
    </row>
    <row r="4571">
      <c r="B4571" s="7" t="n">
        <v>4569</v>
      </c>
      <c r="C4571" t="inlineStr">
        <is>
          <t>Trade Marketing Leader (Ngành Dược)</t>
        </is>
      </c>
      <c r="D4571" t="inlineStr">
        <is>
          <t>CÔNG TY TNHH HMB MIỀN NAM</t>
        </is>
      </c>
      <c r="E4571" t="inlineStr">
        <is>
          <t>Lương:15 Tr - 25 Tr VND</t>
        </is>
      </c>
      <c r="F4571" t="inlineStr">
        <is>
          <t>Hồ Chí Minh</t>
        </is>
      </c>
      <c r="G4571" t="inlineStr">
        <is>
          <t>31-03-2026</t>
        </is>
      </c>
      <c r="H4571" t="inlineStr">
        <is>
          <t>31/03/2026</t>
        </is>
      </c>
      <c r="I4571" t="inlineStr">
        <is>
          <t>17/03/2026</t>
        </is>
      </c>
      <c r="J4571" t="inlineStr">
        <is>
          <t>Dược phẩm/ Hóa Mỹ Phẩm, Y tế / Chăm sóc sức khỏe / Thẩm mỹ / Làm đẹp</t>
        </is>
      </c>
      <c r="K4571" t="inlineStr">
        <is>
          <t>1 - 2 Năm</t>
        </is>
      </c>
      <c r="L4571" s="8">
        <f>HYPERLINK("https://careerviet.vn/vi/tim-viec-lam/trade-marketing-leader-nganh-duoc.35C6A9F8.html","Xem chi tiết")</f>
        <v/>
      </c>
    </row>
    <row r="4572">
      <c r="B4572" s="9" t="n">
        <v>4570</v>
      </c>
      <c r="C4572" s="10" t="inlineStr">
        <is>
          <t>Nhân Viên Dịch Vụ Khách Hàng Vận Tải</t>
        </is>
      </c>
      <c r="D4572" s="10" t="inlineStr">
        <is>
          <t>HEADWAY JSC</t>
        </is>
      </c>
      <c r="E4572" s="10" t="inlineStr">
        <is>
          <t>Lương:Cạnh tranh</t>
        </is>
      </c>
      <c r="F4572" s="10" t="inlineStr">
        <is>
          <t>Hồ Chí Minh</t>
        </is>
      </c>
      <c r="G4572" s="10" t="inlineStr">
        <is>
          <t>02-04-2026</t>
        </is>
      </c>
      <c r="H4572" s="10" t="inlineStr">
        <is>
          <t>02/04/2026</t>
        </is>
      </c>
      <c r="I4572" s="10" t="inlineStr">
        <is>
          <t>17/03/2026</t>
        </is>
      </c>
      <c r="J4572" s="10" t="inlineStr">
        <is>
          <t>Vận chuyển / Giao nhận / Kho vận, Xuất nhập khẩu</t>
        </is>
      </c>
      <c r="K4572" s="10" t="inlineStr">
        <is>
          <t>N/A</t>
        </is>
      </c>
      <c r="L4572" s="11">
        <f>HYPERLINK("https://careerviet.vn/vi/tim-viec-lam/nhan-vien-dich-vu-khach-hang-van-tai.35C6AA9B.html","Xem chi tiết")</f>
        <v/>
      </c>
      <c r="M4572" s="10" t="n"/>
    </row>
    <row r="4573">
      <c r="B4573" s="7" t="n">
        <v>4571</v>
      </c>
      <c r="C4573" t="inlineStr">
        <is>
          <t>Nhân viên nhân sự</t>
        </is>
      </c>
      <c r="D4573" t="inlineStr">
        <is>
          <t>CTY TNHH VISION VINA</t>
        </is>
      </c>
      <c r="E4573" t="inlineStr">
        <is>
          <t>Lương:9 Tr - 11 Tr VND</t>
        </is>
      </c>
      <c r="F4573" t="inlineStr">
        <is>
          <t>Bình Dương</t>
        </is>
      </c>
      <c r="G4573" t="inlineStr">
        <is>
          <t>15-04-2026</t>
        </is>
      </c>
      <c r="H4573" t="inlineStr">
        <is>
          <t>15/04/2026</t>
        </is>
      </c>
      <c r="I4573" t="inlineStr">
        <is>
          <t>17/03/2026</t>
        </is>
      </c>
      <c r="J4573" t="inlineStr">
        <is>
          <t>Nhân sự, Hành chính / Thư ký</t>
        </is>
      </c>
      <c r="K4573" t="inlineStr">
        <is>
          <t>1 - 2 Năm</t>
        </is>
      </c>
      <c r="L4573" s="8">
        <f>HYPERLINK("https://careerviet.vn/vi/tim-viec-lam/nhan-vien-nhan-su.35C6A9F6.html","Xem chi tiết")</f>
        <v/>
      </c>
    </row>
    <row r="4574">
      <c r="B4574" s="9" t="n">
        <v>4572</v>
      </c>
      <c r="C4574" s="10" t="inlineStr">
        <is>
          <t>Phó Phòng Kiểm Soát Nội Bộ (Kho Vận)</t>
        </is>
      </c>
      <c r="D4574" s="10" t="inlineStr">
        <is>
          <t>Công Ty TNHH Tập Đoàn Rita Võ</t>
        </is>
      </c>
      <c r="E4574" s="10" t="inlineStr">
        <is>
          <t>Lương:25 Tr - 40 Tr VND</t>
        </is>
      </c>
      <c r="F4574" s="10" t="inlineStr">
        <is>
          <t>Hồ Chí Minh</t>
        </is>
      </c>
      <c r="G4574" s="10" t="inlineStr">
        <is>
          <t>03-04-2026</t>
        </is>
      </c>
      <c r="H4574" s="10" t="inlineStr">
        <is>
          <t>03/04/2026</t>
        </is>
      </c>
      <c r="I4574" s="10" t="inlineStr">
        <is>
          <t>17/03/2026</t>
        </is>
      </c>
      <c r="J4574" s="10" t="inlineStr">
        <is>
          <t>Vận chuyển / Giao nhận / Kho vận, Kế toán / Kiểm toán, Bán hàng / Kinh doanh</t>
        </is>
      </c>
      <c r="K4574" s="10" t="inlineStr">
        <is>
          <t>Trên 5 Năm</t>
        </is>
      </c>
      <c r="L4574" s="11">
        <f>HYPERLINK("https://careerviet.vn/vi/tim-viec-lam/pho-phong-kiem-soat-noi-bo-kho-van.35C6A9FE.html","Xem chi tiết")</f>
        <v/>
      </c>
      <c r="M4574" s="10" t="n"/>
    </row>
    <row r="4575">
      <c r="B4575" s="7" t="n">
        <v>4573</v>
      </c>
      <c r="C4575" t="inlineStr">
        <is>
          <t>Nhân Viên Lễ Tân Hành Chính</t>
        </is>
      </c>
      <c r="D4575" t="inlineStr">
        <is>
          <t>TẬP ĐOÀN NAMGROUP</t>
        </is>
      </c>
      <c r="E4575" t="inlineStr">
        <is>
          <t>Lương:13 Tr - 20 Tr VND</t>
        </is>
      </c>
      <c r="F4575" t="inlineStr">
        <is>
          <t>Hồ Chí Minh</t>
        </is>
      </c>
      <c r="G4575" t="inlineStr">
        <is>
          <t>15-04-2026</t>
        </is>
      </c>
      <c r="H4575" t="inlineStr">
        <is>
          <t>15/04/2026</t>
        </is>
      </c>
      <c r="I4575" t="inlineStr">
        <is>
          <t>17/03/2026</t>
        </is>
      </c>
      <c r="J4575" t="inlineStr">
        <is>
          <t>Hành chính / Thư ký, Bất động sản</t>
        </is>
      </c>
      <c r="K4575" t="inlineStr">
        <is>
          <t>Chưa có kinh nghiệm</t>
        </is>
      </c>
      <c r="L4575" s="8">
        <f>HYPERLINK("https://careerviet.vn/vi/tim-viec-lam/nhan-vien-le-tan-hanh-chinh.35C6A966.html","Xem chi tiết")</f>
        <v/>
      </c>
    </row>
    <row r="4576">
      <c r="B4576" s="9" t="n">
        <v>4574</v>
      </c>
      <c r="C4576" s="10" t="inlineStr">
        <is>
          <t>Trưởng Phòng Mua Hàng</t>
        </is>
      </c>
      <c r="D4576" s="10" t="inlineStr">
        <is>
          <t>Công Ty TNHH Tập Đoàn Rita Võ</t>
        </is>
      </c>
      <c r="E4576" s="10" t="inlineStr">
        <is>
          <t>Lương:Cạnh tranh</t>
        </is>
      </c>
      <c r="F4576" s="10" t="inlineStr">
        <is>
          <t>Hồ Chí Minh</t>
        </is>
      </c>
      <c r="G4576" s="10" t="inlineStr">
        <is>
          <t>03-04-2026</t>
        </is>
      </c>
      <c r="H4576" s="10" t="inlineStr">
        <is>
          <t>03/04/2026</t>
        </is>
      </c>
      <c r="I4576" s="10" t="inlineStr">
        <is>
          <t>17/03/2026</t>
        </is>
      </c>
      <c r="J4576" s="10" t="inlineStr">
        <is>
          <t>Thu mua / Vật tư, Xuất nhập khẩu, Nội ngoại thất</t>
        </is>
      </c>
      <c r="K4576" s="10" t="inlineStr">
        <is>
          <t>Trên 5 Năm</t>
        </is>
      </c>
      <c r="L4576" s="11">
        <f>HYPERLINK("https://careerviet.vn/vi/tim-viec-lam/truong-phong-mua-hang.35C6A998.html","Xem chi tiết")</f>
        <v/>
      </c>
      <c r="M4576" s="10" t="n"/>
    </row>
    <row r="4577">
      <c r="B4577" s="7" t="n">
        <v>4575</v>
      </c>
      <c r="C4577" t="inlineStr">
        <is>
          <t>Sales Admin</t>
        </is>
      </c>
      <c r="D4577" t="inlineStr">
        <is>
          <t>CÔNG TY TNHH THƯƠNG MẠI MKP TECH</t>
        </is>
      </c>
      <c r="E4577" t="inlineStr">
        <is>
          <t>Lương:10 Tr - 13 Tr VND</t>
        </is>
      </c>
      <c r="F4577" t="inlineStr">
        <is>
          <t>Hồ Chí Minh</t>
        </is>
      </c>
      <c r="G4577" t="inlineStr">
        <is>
          <t>02-04-2026</t>
        </is>
      </c>
      <c r="H4577" t="inlineStr">
        <is>
          <t>02/04/2026</t>
        </is>
      </c>
      <c r="I4577" t="inlineStr">
        <is>
          <t>17/03/2026</t>
        </is>
      </c>
      <c r="J4577" t="inlineStr">
        <is>
          <t>Bán hàng / Kinh doanh, Hành chính / Thư ký</t>
        </is>
      </c>
      <c r="K4577" t="inlineStr">
        <is>
          <t>N/A</t>
        </is>
      </c>
      <c r="L4577" s="8">
        <f>HYPERLINK("https://careerviet.vn/vi/tim-viec-lam/sales-admin.35C6A9B1.html","Xem chi tiết")</f>
        <v/>
      </c>
    </row>
    <row r="4578">
      <c r="B4578" s="9" t="n">
        <v>4576</v>
      </c>
      <c r="C4578" s="10" t="inlineStr">
        <is>
          <t>CHUYÊN VIÊN EVENT &amp; ACTIVATION - Công ty SCID</t>
        </is>
      </c>
      <c r="D4578" s="10" t="inlineStr">
        <is>
          <t>Liên Hiệp HTX Thương Mại TPHCM - SAIGON CO.OP</t>
        </is>
      </c>
      <c r="E4578" s="10" t="inlineStr">
        <is>
          <t>Lương:Cạnh tranh</t>
        </is>
      </c>
      <c r="F4578" s="10" t="inlineStr">
        <is>
          <t>Hồ Chí Minh</t>
        </is>
      </c>
      <c r="G4578" s="10" t="inlineStr">
        <is>
          <t>02-04-2026</t>
        </is>
      </c>
      <c r="H4578" s="10" t="inlineStr">
        <is>
          <t>02/04/2026</t>
        </is>
      </c>
      <c r="I4578" s="10" t="inlineStr">
        <is>
          <t>17/03/2026</t>
        </is>
      </c>
      <c r="J4578" s="10" t="inlineStr">
        <is>
          <t>Quảng cáo / Đối ngoại / Truyền Thông</t>
        </is>
      </c>
      <c r="K4578" s="10" t="inlineStr">
        <is>
          <t>1 - 2 Năm</t>
        </is>
      </c>
      <c r="L4578" s="11">
        <f>HYPERLINK("https://careerviet.vn/vi/tim-viec-lam/chuyen-vien-event-activation-cong-ty-scid.35C6AA0C.html","Xem chi tiết")</f>
        <v/>
      </c>
      <c r="M4578" s="10" t="n"/>
    </row>
    <row r="4579">
      <c r="B4579" s="7" t="n">
        <v>4577</v>
      </c>
      <c r="C4579" t="inlineStr">
        <is>
          <t>HR Generalist</t>
        </is>
      </c>
      <c r="D4579" t="inlineStr">
        <is>
          <t>Toll Group I Logistic and Forwarding</t>
        </is>
      </c>
      <c r="E4579" t="inlineStr">
        <is>
          <t>Lương:Cạnh tranh</t>
        </is>
      </c>
      <c r="F4579" t="inlineStr">
        <is>
          <t>Hồ Chí Minh</t>
        </is>
      </c>
      <c r="G4579" t="inlineStr">
        <is>
          <t>02-04-2026</t>
        </is>
      </c>
      <c r="H4579" t="inlineStr">
        <is>
          <t>02/04/2026</t>
        </is>
      </c>
      <c r="I4579" t="inlineStr">
        <is>
          <t>17/03/2026</t>
        </is>
      </c>
      <c r="J4579" t="inlineStr">
        <is>
          <t>Vận chuyển / Giao nhận / Kho vận, Hành chính / Thư ký, Nhân sự</t>
        </is>
      </c>
      <c r="K4579" t="inlineStr">
        <is>
          <t>3 - 4 Năm</t>
        </is>
      </c>
      <c r="L4579" s="8">
        <f>HYPERLINK("https://careerviet.vn/vi/tim-viec-lam/hr-generalist.35C6A936.html","Xem chi tiết")</f>
        <v/>
      </c>
    </row>
    <row r="4580">
      <c r="B4580" s="9" t="n">
        <v>4578</v>
      </c>
      <c r="C4580" s="10" t="inlineStr">
        <is>
          <t>Nhân Viên Thiết Kế Đồ Họa</t>
        </is>
      </c>
      <c r="D4580" s="10" t="inlineStr">
        <is>
          <t>Oishi - Công Ty TNHH Công Nghiệp Thực Phẩm Liwayway Sài Gòn</t>
        </is>
      </c>
      <c r="E4580" s="10" t="inlineStr">
        <is>
          <t>Lương:11,4 Tr - 13 Tr VND</t>
        </is>
      </c>
      <c r="F4580" s="10" t="inlineStr">
        <is>
          <t>Hồ Chí Minh</t>
        </is>
      </c>
      <c r="G4580" s="10" t="inlineStr">
        <is>
          <t>30-04-2026</t>
        </is>
      </c>
      <c r="H4580" s="10" t="inlineStr">
        <is>
          <t>30/04/2026</t>
        </is>
      </c>
      <c r="I4580" s="10" t="inlineStr">
        <is>
          <t>17/03/2026</t>
        </is>
      </c>
      <c r="J4580" s="10" t="inlineStr">
        <is>
          <t>Tiếp thị / Marketing, Mỹ thuật / Nghệ thuật / Thiết kế, Quảng cáo / Đối ngoại / Truyền Thông</t>
        </is>
      </c>
      <c r="K4580" s="10" t="inlineStr">
        <is>
          <t>Chưa có kinh nghiệm</t>
        </is>
      </c>
      <c r="L4580" s="11">
        <f>HYPERLINK("https://careerviet.vn/vi/tim-viec-lam/nhan-vien-thiet-ke-do-hoa.35C6A98E.html","Xem chi tiết")</f>
        <v/>
      </c>
      <c r="M4580" s="10" t="n"/>
    </row>
    <row r="4581">
      <c r="B4581" s="7" t="n">
        <v>4579</v>
      </c>
      <c r="C4581" t="inlineStr">
        <is>
          <t>Trade Marketing Executive</t>
        </is>
      </c>
      <c r="D4581" t="inlineStr">
        <is>
          <t>Saint-Gobain Vietnam</t>
        </is>
      </c>
      <c r="E4581" t="inlineStr">
        <is>
          <t>Lương:Cạnh tranh</t>
        </is>
      </c>
      <c r="F4581" t="inlineStr">
        <is>
          <t>Hồ Chí Minh</t>
        </is>
      </c>
      <c r="G4581" t="inlineStr">
        <is>
          <t>03-03-2026</t>
        </is>
      </c>
      <c r="H4581" t="inlineStr">
        <is>
          <t>03/03/2026</t>
        </is>
      </c>
      <c r="I4581" t="inlineStr">
        <is>
          <t>17/03/2026</t>
        </is>
      </c>
      <c r="J4581" t="inlineStr">
        <is>
          <t>Tiếp thị / Marketing, Tiếp thị trực tuyến</t>
        </is>
      </c>
      <c r="K4581" t="inlineStr">
        <is>
          <t>1 - 2 Năm</t>
        </is>
      </c>
      <c r="L4581" s="8">
        <f>HYPERLINK("https://careerviet.vn/vi/tim-viec-lam/trade-marketing-executive.35C6A969.html","Xem chi tiết")</f>
        <v/>
      </c>
    </row>
    <row r="4582">
      <c r="B4582" s="9" t="n">
        <v>4580</v>
      </c>
      <c r="C4582" s="10" t="inlineStr">
        <is>
          <t>[Nhà Máy] Nhân viên mua hàng</t>
        </is>
      </c>
      <c r="D4582" s="10" t="inlineStr">
        <is>
          <t>Công Ty Cổ Phần Vacxin Việt Nam</t>
        </is>
      </c>
      <c r="E4582" s="10" t="inlineStr">
        <is>
          <t>Lương:Cạnh tranh</t>
        </is>
      </c>
      <c r="F4582" s="10" t="inlineStr">
        <is>
          <t>Long AnHồ Chí Minh</t>
        </is>
      </c>
      <c r="G4582" s="10" t="inlineStr">
        <is>
          <t>31-03-2026</t>
        </is>
      </c>
      <c r="H4582" s="10" t="inlineStr">
        <is>
          <t>31/03/2026</t>
        </is>
      </c>
      <c r="I4582" s="10" t="inlineStr">
        <is>
          <t>17/03/2026</t>
        </is>
      </c>
      <c r="J4582" s="10" t="inlineStr">
        <is>
          <t>Dược phẩm/ Hóa Mỹ Phẩm, Xuất nhập khẩu, Thu mua / Vật tư</t>
        </is>
      </c>
      <c r="K4582" s="10" t="inlineStr">
        <is>
          <t>3 - 5 Năm</t>
        </is>
      </c>
      <c r="L4582" s="11">
        <f>HYPERLINK("https://careerviet.vn/vi/tim-viec-lam/nha-may-nhan-vien-mua-hang.35C6A8CF.html","Xem chi tiết")</f>
        <v/>
      </c>
      <c r="M4582" s="10" t="n"/>
    </row>
    <row r="4583">
      <c r="B4583" s="7" t="n">
        <v>4581</v>
      </c>
      <c r="C4583" t="inlineStr">
        <is>
          <t>QC Leader</t>
        </is>
      </c>
      <c r="D4583" t="inlineStr">
        <is>
          <t>CÔNG TY CỔ PHẦN SẢN XUẤT THƯƠNG MẠI AP BEVERAGE</t>
        </is>
      </c>
      <c r="E4583" t="inlineStr">
        <is>
          <t>Lương:20 Tr - 23 Tr VND</t>
        </is>
      </c>
      <c r="F4583" t="inlineStr">
        <is>
          <t>Đồng Nai</t>
        </is>
      </c>
      <c r="G4583" t="inlineStr">
        <is>
          <t>02-04-2026</t>
        </is>
      </c>
      <c r="H4583" t="inlineStr">
        <is>
          <t>02/04/2026</t>
        </is>
      </c>
      <c r="I4583" t="inlineStr">
        <is>
          <t>17/03/2026</t>
        </is>
      </c>
      <c r="J4583" t="inlineStr">
        <is>
          <t>Thực phẩm &amp; Đồ uống, Công nghệ thực phẩm / Dinh dưỡng, Công nghệ sinh học</t>
        </is>
      </c>
      <c r="K4583" t="inlineStr">
        <is>
          <t>3 - 5 Năm</t>
        </is>
      </c>
      <c r="L4583" s="8">
        <f>HYPERLINK("https://careerviet.vn/vi/tim-viec-lam/qc-leader.35C6A8B9.html","Xem chi tiết")</f>
        <v/>
      </c>
    </row>
    <row r="4584">
      <c r="B4584" s="9" t="n">
        <v>4582</v>
      </c>
      <c r="C4584" s="10" t="inlineStr">
        <is>
          <t>CHUYÊN VIÊN KIỂM SOÁT NỘI BỘ</t>
        </is>
      </c>
      <c r="D4584" s="10" t="inlineStr">
        <is>
          <t>TẬP ĐOÀN HOÀN CẦU</t>
        </is>
      </c>
      <c r="E4584" s="10" t="inlineStr">
        <is>
          <t>Lương:Cạnh tranh</t>
        </is>
      </c>
      <c r="F4584" s="10" t="inlineStr">
        <is>
          <t>Hồ Chí Minh</t>
        </is>
      </c>
      <c r="G4584" s="10" t="inlineStr">
        <is>
          <t>3</t>
        </is>
      </c>
      <c r="H4584" s="10" t="inlineStr">
        <is>
          <t>20/03/2026</t>
        </is>
      </c>
      <c r="I4584" s="10" t="inlineStr">
        <is>
          <t>17/03/2026</t>
        </is>
      </c>
      <c r="J4584" s="10" t="inlineStr">
        <is>
          <t>Kế toán / Kiểm toán, Xây dựng, Tài chính / Đầu tư</t>
        </is>
      </c>
      <c r="K4584" s="10" t="inlineStr">
        <is>
          <t>2 - 3 Năm</t>
        </is>
      </c>
      <c r="L4584" s="11">
        <f>HYPERLINK("https://careerviet.vn/vi/tim-viec-lam/chuyen-vien-kiem-soat-noi-bo.35C6A8BF.html","Xem chi tiết")</f>
        <v/>
      </c>
      <c r="M4584" s="10" t="n"/>
    </row>
    <row r="4585">
      <c r="B4585" s="7" t="n">
        <v>4583</v>
      </c>
      <c r="C4585" t="inlineStr">
        <is>
          <t>Nhân Viên Khai Báo Hải Quan</t>
        </is>
      </c>
      <c r="D4585" t="inlineStr">
        <is>
          <t>HEADWAY JSC</t>
        </is>
      </c>
      <c r="E4585" t="inlineStr">
        <is>
          <t>Lương:Cạnh tranh</t>
        </is>
      </c>
      <c r="F4585" t="inlineStr">
        <is>
          <t>Hồ Chí Minh</t>
        </is>
      </c>
      <c r="G4585" t="inlineStr">
        <is>
          <t>02-04-2026</t>
        </is>
      </c>
      <c r="H4585" t="inlineStr">
        <is>
          <t>02/04/2026</t>
        </is>
      </c>
      <c r="I4585" t="inlineStr">
        <is>
          <t>17/03/2026</t>
        </is>
      </c>
      <c r="J4585" t="inlineStr">
        <is>
          <t>Dịch vụ khách hàng, Vận chuyển / Giao nhận / Kho vận, Xuất nhập khẩu</t>
        </is>
      </c>
      <c r="K4585" t="inlineStr">
        <is>
          <t>N/A</t>
        </is>
      </c>
      <c r="L4585" s="8">
        <f>HYPERLINK("https://careerviet.vn/vi/tim-viec-lam/nhan-vien-khai-bao-hai-quan.35C6A8A8.html","Xem chi tiết")</f>
        <v/>
      </c>
    </row>
    <row r="4586">
      <c r="B4586" s="9" t="n">
        <v>4584</v>
      </c>
      <c r="C4586" s="10" t="inlineStr">
        <is>
          <t>Marketing Assistant</t>
        </is>
      </c>
      <c r="D4586" s="10" t="inlineStr">
        <is>
          <t>CÔNG TY TNHH MINH HÀ VN</t>
        </is>
      </c>
      <c r="E4586" s="10" t="inlineStr">
        <is>
          <t>Lương:8 Tr - 10 Tr VND</t>
        </is>
      </c>
      <c r="F4586" s="10" t="inlineStr">
        <is>
          <t>Hồ Chí Minh</t>
        </is>
      </c>
      <c r="G4586" s="10" t="inlineStr">
        <is>
          <t>31-03-2026</t>
        </is>
      </c>
      <c r="H4586" s="10" t="inlineStr">
        <is>
          <t>31/03/2026</t>
        </is>
      </c>
      <c r="I4586" s="10" t="inlineStr">
        <is>
          <t>17/03/2026</t>
        </is>
      </c>
      <c r="J4586" s="10" t="inlineStr">
        <is>
          <t>Tiếp thị / Marketing, Tổ chức sự kiện, Hành chính / Thư ký</t>
        </is>
      </c>
      <c r="K4586" s="10" t="inlineStr">
        <is>
          <t>1 - 2 Năm</t>
        </is>
      </c>
      <c r="L4586" s="11">
        <f>HYPERLINK("https://careerviet.vn/vi/tim-viec-lam/marketing-assistant.35C6A8AC.html","Xem chi tiết")</f>
        <v/>
      </c>
      <c r="M4586" s="10" t="n"/>
    </row>
    <row r="4587">
      <c r="B4587" s="7" t="n">
        <v>4585</v>
      </c>
      <c r="C4587" t="inlineStr">
        <is>
          <t>[Phú Nhuận] Nhân viên hỗ trợ vận hành</t>
        </is>
      </c>
      <c r="D4587" t="inlineStr">
        <is>
          <t>Công Ty Cổ Phần Vacxin Việt Nam</t>
        </is>
      </c>
      <c r="E4587" t="inlineStr">
        <is>
          <t>Lương:Cạnh tranh</t>
        </is>
      </c>
      <c r="F4587" t="inlineStr">
        <is>
          <t>Hồ Chí Minh</t>
        </is>
      </c>
      <c r="G4587" t="inlineStr">
        <is>
          <t>03-03-2026</t>
        </is>
      </c>
      <c r="H4587" t="inlineStr">
        <is>
          <t>15/03/2026</t>
        </is>
      </c>
      <c r="I4587" t="inlineStr">
        <is>
          <t>17/03/2026</t>
        </is>
      </c>
      <c r="J4587" t="inlineStr">
        <is>
          <t>Dịch vụ khách hàng, Hành chính / Thư ký, Kế toán / Kiểm toán</t>
        </is>
      </c>
      <c r="K4587" t="inlineStr">
        <is>
          <t>1 - 2 Năm</t>
        </is>
      </c>
      <c r="L4587" s="8">
        <f>HYPERLINK("https://careerviet.vn/vi/tim-viec-lam/phu-nhuan-nhan-vien-ho-tro-van-hanh.35C6A89F.html","Xem chi tiết")</f>
        <v/>
      </c>
    </row>
    <row r="4588">
      <c r="B4588" s="9" t="n">
        <v>4586</v>
      </c>
      <c r="C4588" s="10" t="inlineStr">
        <is>
          <t>NHÂN VIÊN LỄ TÂN</t>
        </is>
      </c>
      <c r="D4588" s="10" t="inlineStr">
        <is>
          <t>TẬP ĐOÀN HOÀN CẦU</t>
        </is>
      </c>
      <c r="E4588" s="10" t="inlineStr">
        <is>
          <t>Lương:Cạnh tranh</t>
        </is>
      </c>
      <c r="F4588" s="10" t="inlineStr">
        <is>
          <t>Hồ Chí Minh</t>
        </is>
      </c>
      <c r="G4588" s="10" t="inlineStr">
        <is>
          <t>31-03-2026</t>
        </is>
      </c>
      <c r="H4588" s="10" t="inlineStr">
        <is>
          <t>31/03/2026</t>
        </is>
      </c>
      <c r="I4588" s="10" t="inlineStr">
        <is>
          <t>17/03/2026</t>
        </is>
      </c>
      <c r="J4588" s="10" t="inlineStr">
        <is>
          <t>Hành chính / Thư ký, Bất động sản</t>
        </is>
      </c>
      <c r="K4588" s="10" t="inlineStr">
        <is>
          <t>Lên đến 2 Năm</t>
        </is>
      </c>
      <c r="L4588" s="11">
        <f>HYPERLINK("https://careerviet.vn/vi/tim-viec-lam/nhan-vien-le-tan.35C6A901.html","Xem chi tiết")</f>
        <v/>
      </c>
      <c r="M4588" s="10" t="n"/>
    </row>
    <row r="4589">
      <c r="B4589" s="7" t="n">
        <v>4587</v>
      </c>
      <c r="C4589" t="inlineStr">
        <is>
          <t>[Phú Nhuận] Nhân viên Admin phát triển hệ thống</t>
        </is>
      </c>
      <c r="D4589" t="inlineStr">
        <is>
          <t>Công Ty Cổ Phần Vacxin Việt Nam</t>
        </is>
      </c>
      <c r="E4589" t="inlineStr">
        <is>
          <t>Lương:Cạnh tranh</t>
        </is>
      </c>
      <c r="F4589" t="inlineStr">
        <is>
          <t>Hồ Chí Minh</t>
        </is>
      </c>
      <c r="G4589" t="inlineStr">
        <is>
          <t>03-03-2026</t>
        </is>
      </c>
      <c r="H4589" t="inlineStr">
        <is>
          <t>15/03/2026</t>
        </is>
      </c>
      <c r="I4589" t="inlineStr">
        <is>
          <t>17/03/2026</t>
        </is>
      </c>
      <c r="J4589" t="inlineStr">
        <is>
          <t>Dịch vụ khách hàng, Hành chính / Thư ký, Kế toán / Kiểm toán</t>
        </is>
      </c>
      <c r="K4589" t="inlineStr">
        <is>
          <t>1 - 2 Năm</t>
        </is>
      </c>
      <c r="L4589" s="8">
        <f>HYPERLINK("https://careerviet.vn/vi/tim-viec-lam/phu-nhuan-nhan-vien-admin-phat-trien-he-thong.35C6A89B.html","Xem chi tiết")</f>
        <v/>
      </c>
    </row>
    <row r="4590">
      <c r="B4590" s="9" t="n">
        <v>4588</v>
      </c>
      <c r="C4590" s="10" t="inlineStr">
        <is>
          <t>Commercial &amp; Marketing Manager</t>
        </is>
      </c>
      <c r="D4590" s="10" t="inlineStr">
        <is>
          <t>CÔNG TY TNHH MINH HÀ VN</t>
        </is>
      </c>
      <c r="E4590" s="10" t="inlineStr">
        <is>
          <t>Lương:40 Tr - 50 Tr VND</t>
        </is>
      </c>
      <c r="F4590" s="10" t="inlineStr">
        <is>
          <t>Hồ Chí Minh</t>
        </is>
      </c>
      <c r="G4590" s="10" t="inlineStr">
        <is>
          <t>31-03-2026</t>
        </is>
      </c>
      <c r="H4590" s="10" t="inlineStr">
        <is>
          <t>31/03/2026</t>
        </is>
      </c>
      <c r="I4590" s="10" t="inlineStr">
        <is>
          <t>17/03/2026</t>
        </is>
      </c>
      <c r="J4590" s="10" t="inlineStr">
        <is>
          <t>Tiếp thị / Marketing, Bán hàng / Kinh doanh, Quản lý điều hành</t>
        </is>
      </c>
      <c r="K4590" s="10" t="inlineStr">
        <is>
          <t>2 - 5 Năm</t>
        </is>
      </c>
      <c r="L4590" s="11">
        <f>HYPERLINK("https://careerviet.vn/vi/tim-viec-lam/commercial-marketing-manager.35C6A897.html","Xem chi tiết")</f>
        <v/>
      </c>
      <c r="M4590" s="10" t="n"/>
    </row>
    <row r="4591">
      <c r="B4591" s="7" t="n">
        <v>4589</v>
      </c>
      <c r="C4591" t="inlineStr">
        <is>
          <t>Supply Chain &amp; Logistics Specialist</t>
        </is>
      </c>
      <c r="D4591" t="inlineStr">
        <is>
          <t>Công ty TNHH Sinian Biotech</t>
        </is>
      </c>
      <c r="E4591" t="inlineStr">
        <is>
          <t>Lương:Cạnh tranh</t>
        </is>
      </c>
      <c r="F4591" t="inlineStr">
        <is>
          <t>Hồ Chí Minh</t>
        </is>
      </c>
      <c r="G4591" t="inlineStr">
        <is>
          <t>2</t>
        </is>
      </c>
      <c r="H4591" t="inlineStr">
        <is>
          <t>19/03/2026</t>
        </is>
      </c>
      <c r="I4591" t="inlineStr">
        <is>
          <t>17/03/2026</t>
        </is>
      </c>
      <c r="J4591" t="inlineStr">
        <is>
          <t>Vận chuyển / Giao nhận / Kho vận, Xuất nhập khẩu, Hàng hải</t>
        </is>
      </c>
      <c r="K4591" t="inlineStr">
        <is>
          <t>3 - 5 Năm</t>
        </is>
      </c>
      <c r="L4591" s="8">
        <f>HYPERLINK("https://careerviet.vn/vi/tim-viec-lam/supply-chain-logistics-specialist.35C6A848.html","Xem chi tiết")</f>
        <v/>
      </c>
    </row>
    <row r="4592">
      <c r="B4592" s="9" t="n">
        <v>4590</v>
      </c>
      <c r="C4592" s="10" t="inlineStr">
        <is>
          <t>Chuyên Viên Thương Mại Điện Tử/ E-commerce Specialist</t>
        </is>
      </c>
      <c r="D4592" s="10" t="inlineStr">
        <is>
          <t>Công ty Cổ Phần Thực Phẩm Dinh Dưỡng NutiFood</t>
        </is>
      </c>
      <c r="E4592" s="10" t="inlineStr">
        <is>
          <t>Lương:Cạnh tranh</t>
        </is>
      </c>
      <c r="F4592" s="10" t="inlineStr">
        <is>
          <t>Hồ Chí Minh</t>
        </is>
      </c>
      <c r="G4592" s="10" t="inlineStr">
        <is>
          <t>02-04-2026</t>
        </is>
      </c>
      <c r="H4592" s="10" t="inlineStr">
        <is>
          <t>02/04/2026</t>
        </is>
      </c>
      <c r="I4592" s="10" t="inlineStr">
        <is>
          <t>17/03/2026</t>
        </is>
      </c>
      <c r="J4592" s="10" t="inlineStr">
        <is>
          <t>Thương mại điện tử</t>
        </is>
      </c>
      <c r="K4592" s="10" t="inlineStr">
        <is>
          <t>3 - 10 Năm</t>
        </is>
      </c>
      <c r="L4592" s="11">
        <f>HYPERLINK("https://careerviet.vn/vi/tim-viec-lam/chuyen-vien-thuong-mai-dien-tu-e-commerce-specialist.35C6A832.html","Xem chi tiết")</f>
        <v/>
      </c>
      <c r="M4592" s="10" t="n"/>
    </row>
    <row r="4593">
      <c r="B4593" s="7" t="n">
        <v>4591</v>
      </c>
      <c r="C4593" t="inlineStr">
        <is>
          <t>Kế Toán Trưởng</t>
        </is>
      </c>
      <c r="D4593" t="inlineStr">
        <is>
          <t>CÔNG TY CP IN VÀ VẬT TƯ SÀI GÒN (SAPRIMCO)</t>
        </is>
      </c>
      <c r="E4593" t="inlineStr">
        <is>
          <t>Lương:Cạnh tranh</t>
        </is>
      </c>
      <c r="F4593" t="inlineStr">
        <is>
          <t>Hồ Chí Minh</t>
        </is>
      </c>
      <c r="G4593" t="inlineStr">
        <is>
          <t>03-04-2026</t>
        </is>
      </c>
      <c r="H4593" t="inlineStr">
        <is>
          <t>03/04/2026</t>
        </is>
      </c>
      <c r="I4593" t="inlineStr">
        <is>
          <t>17/03/2026</t>
        </is>
      </c>
      <c r="J4593" t="inlineStr">
        <is>
          <t>Kế toán / Kiểm toán, Tài chính / Đầu tư, Thu mua / Vật tư</t>
        </is>
      </c>
      <c r="K4593" t="inlineStr">
        <is>
          <t>Trên 2 Năm</t>
        </is>
      </c>
      <c r="L4593" s="8">
        <f>HYPERLINK("https://careerviet.vn/vi/tim-viec-lam/ke-toan-truong.35C6A872.html","Xem chi tiết")</f>
        <v/>
      </c>
    </row>
    <row r="4594">
      <c r="B4594" s="9" t="n">
        <v>4592</v>
      </c>
      <c r="C4594" s="10" t="inlineStr">
        <is>
          <t>Chuyên viên Đấu thầu (Chủ đầu tư BĐS)</t>
        </is>
      </c>
      <c r="D4594" s="10" t="inlineStr">
        <is>
          <t>Công ty Cổ phần Tập đoàn KITA Group</t>
        </is>
      </c>
      <c r="E4594" s="10" t="inlineStr">
        <is>
          <t>Lương:20 Tr - 28 Tr VND</t>
        </is>
      </c>
      <c r="F4594" s="10" t="inlineStr">
        <is>
          <t>Hồ Chí Minh</t>
        </is>
      </c>
      <c r="G4594" s="10" t="inlineStr">
        <is>
          <t>25-03-2026</t>
        </is>
      </c>
      <c r="H4594" s="10" t="inlineStr">
        <is>
          <t>25/03/2026</t>
        </is>
      </c>
      <c r="I4594" s="10" t="inlineStr">
        <is>
          <t>17/03/2026</t>
        </is>
      </c>
      <c r="J4594" s="10" t="inlineStr">
        <is>
          <t>Xây dựng, Bất động sản, Thu mua / Vật tư</t>
        </is>
      </c>
      <c r="K4594" s="10" t="inlineStr">
        <is>
          <t>5 - 7 Năm</t>
        </is>
      </c>
      <c r="L4594" s="11">
        <f>HYPERLINK("https://careerviet.vn/vi/tim-viec-lam/chuyen-vien-dau-thau-chu-dau-tu-bds.35C69831.html","Xem chi tiết")</f>
        <v/>
      </c>
      <c r="M4594" s="10" t="n"/>
    </row>
    <row r="4595">
      <c r="B4595" s="7" t="n">
        <v>4593</v>
      </c>
      <c r="C4595" t="inlineStr">
        <is>
          <t>Chuyên Viên QA – Quản Lý Hệ Thống Chất Lượng, ATTP</t>
        </is>
      </c>
      <c r="D4595" t="inlineStr">
        <is>
          <t>Công ty Cổ Phần Thực Phẩm Dinh Dưỡng NutiFood</t>
        </is>
      </c>
      <c r="E4595" t="inlineStr">
        <is>
          <t>Lương:Cạnh tranh</t>
        </is>
      </c>
      <c r="F4595" t="inlineStr">
        <is>
          <t>Bình Dương</t>
        </is>
      </c>
      <c r="G4595" t="inlineStr">
        <is>
          <t>02-04-2026</t>
        </is>
      </c>
      <c r="H4595" t="inlineStr">
        <is>
          <t>02/04/2026</t>
        </is>
      </c>
      <c r="I4595" t="inlineStr">
        <is>
          <t>17/03/2026</t>
        </is>
      </c>
      <c r="J4595" t="inlineStr">
        <is>
          <t>Thực phẩm &amp; Đồ uống, Công nghệ thực phẩm / Dinh dưỡng</t>
        </is>
      </c>
      <c r="K4595" t="inlineStr">
        <is>
          <t>2 - 3 Năm</t>
        </is>
      </c>
      <c r="L4595" s="8">
        <f>HYPERLINK("https://careerviet.vn/vi/tim-viec-lam/chuyen-vien-qa-quan-ly-he-thong-chat-luong-attp.35C6A82F.html","Xem chi tiết")</f>
        <v/>
      </c>
    </row>
    <row r="4596">
      <c r="B4596" s="9" t="n">
        <v>4594</v>
      </c>
      <c r="C4596" s="10" t="inlineStr">
        <is>
          <t>Kế toán trưởng - Accounting Manager</t>
        </is>
      </c>
      <c r="D4596" s="10" t="inlineStr">
        <is>
          <t>Bảo mật</t>
        </is>
      </c>
      <c r="E4596" s="10" t="inlineStr">
        <is>
          <t>Lương:Cạnh tranh</t>
        </is>
      </c>
      <c r="F4596" s="10" t="inlineStr">
        <is>
          <t>Hồ Chí Minh</t>
        </is>
      </c>
      <c r="G4596" s="10" t="inlineStr">
        <is>
          <t>03-04-2026</t>
        </is>
      </c>
      <c r="H4596" s="10" t="inlineStr">
        <is>
          <t>03/04/2026</t>
        </is>
      </c>
      <c r="I4596" s="10" t="inlineStr">
        <is>
          <t>17/03/2026</t>
        </is>
      </c>
      <c r="J4596" s="10" t="inlineStr">
        <is>
          <t>Kế toán / Kiểm toán</t>
        </is>
      </c>
      <c r="K4596" s="10" t="inlineStr">
        <is>
          <t>5 - 10 Năm</t>
        </is>
      </c>
      <c r="L4596" s="11">
        <f>HYPERLINK("https://careerviet.vn/vi/tim-viec-lam/ke-toan-truong-accounting-manager.35C6A895.html","Xem chi tiết")</f>
        <v/>
      </c>
      <c r="M4596" s="10" t="n"/>
    </row>
    <row r="4597">
      <c r="B4597" s="7" t="n">
        <v>4595</v>
      </c>
      <c r="C4597" t="inlineStr">
        <is>
          <t>Phó phòng tài chính kế toán (Định hướng Kế Toán Trưởng)</t>
        </is>
      </c>
      <c r="D4597" t="inlineStr">
        <is>
          <t>CÔNG TY TNHH ĐẦU TƯ Y TẾ QUỐC TẾ DND – SÀI GÒN</t>
        </is>
      </c>
      <c r="E4597" t="inlineStr">
        <is>
          <t>Lương:25 Tr - 35 Tr VND</t>
        </is>
      </c>
      <c r="F4597" t="inlineStr">
        <is>
          <t>Hồ Chí Minh</t>
        </is>
      </c>
      <c r="G4597" t="inlineStr">
        <is>
          <t>25-03-2026</t>
        </is>
      </c>
      <c r="H4597" t="inlineStr">
        <is>
          <t>25/03/2026</t>
        </is>
      </c>
      <c r="I4597" t="inlineStr">
        <is>
          <t>17/03/2026</t>
        </is>
      </c>
      <c r="J4597" t="inlineStr">
        <is>
          <t>Kế toán / Kiểm toán, Quản lý điều hành, Tài chính / Đầu tư</t>
        </is>
      </c>
      <c r="K4597" t="inlineStr">
        <is>
          <t>3 - 5 Năm</t>
        </is>
      </c>
      <c r="L4597" s="8">
        <f>HYPERLINK("https://careerviet.vn/vi/tim-viec-lam/pho-phong-tai-chinh-ke-toan-dinh-huong-ke-toan-truong.35C6A814.html","Xem chi tiết")</f>
        <v/>
      </c>
    </row>
    <row r="4598">
      <c r="B4598" s="9" t="n">
        <v>4596</v>
      </c>
      <c r="C4598" s="10" t="inlineStr">
        <is>
          <t>Nhân viên Tổ chức Sự kiện (lương 8-12tr)</t>
        </is>
      </c>
      <c r="D4598" s="10" t="inlineStr">
        <is>
          <t>Hệ thống Trung tâm Ngoại ngữ Cambridge</t>
        </is>
      </c>
      <c r="E4598" s="10" t="inlineStr">
        <is>
          <t>Lương:Cạnh tranh</t>
        </is>
      </c>
      <c r="F4598" s="10" t="inlineStr">
        <is>
          <t>Bến Tre</t>
        </is>
      </c>
      <c r="G4598" s="10" t="inlineStr">
        <is>
          <t>04-04-2026</t>
        </is>
      </c>
      <c r="H4598" s="10" t="inlineStr">
        <is>
          <t>04/04/2026</t>
        </is>
      </c>
      <c r="I4598" s="10" t="inlineStr">
        <is>
          <t>17/03/2026</t>
        </is>
      </c>
      <c r="J4598" s="10" t="inlineStr">
        <is>
          <t>Truyền hình / Báo chí / Biên tập, Quảng cáo / Đối ngoại / Truyền Thông, Tổ chức sự kiện</t>
        </is>
      </c>
      <c r="K4598" s="10" t="inlineStr">
        <is>
          <t>1 - 2 Năm</t>
        </is>
      </c>
      <c r="L4598" s="11">
        <f>HYPERLINK("https://careerviet.vn/vi/tim-viec-lam/nhan-vien-to-chuc-su-kien-luong-8-12tr.35C67572.html","Xem chi tiết")</f>
        <v/>
      </c>
      <c r="M4598" s="10" t="n"/>
    </row>
    <row r="4599">
      <c r="B4599" s="7" t="n">
        <v>4597</v>
      </c>
      <c r="C4599" t="inlineStr">
        <is>
          <t>Outbound Shift Leader</t>
        </is>
      </c>
      <c r="D4599" t="inlineStr">
        <is>
          <t>Công Ty CP Dược Phẩm Pharmacity</t>
        </is>
      </c>
      <c r="E4599" t="inlineStr">
        <is>
          <t>Lương:Cạnh tranh</t>
        </is>
      </c>
      <c r="F4599" t="inlineStr">
        <is>
          <t>Hồ Chí Minh</t>
        </is>
      </c>
      <c r="G4599" t="inlineStr">
        <is>
          <t>04-04-2026</t>
        </is>
      </c>
      <c r="H4599" t="inlineStr">
        <is>
          <t>04/04/2026</t>
        </is>
      </c>
      <c r="I4599" t="inlineStr">
        <is>
          <t>17/03/2026</t>
        </is>
      </c>
      <c r="J4599" t="inlineStr">
        <is>
          <t>Bán lẻ / Bán sỉ, Dược phẩm/ Hóa Mỹ Phẩm, Y tế / Chăm sóc sức khỏe / Thẩm mỹ / Làm đẹp</t>
        </is>
      </c>
      <c r="K4599" t="inlineStr">
        <is>
          <t>2 - 4 Năm</t>
        </is>
      </c>
      <c r="L4599" s="8">
        <f>HYPERLINK("https://careerviet.vn/vi/tim-viec-lam/outbound-shift-leader.35C674FC.html","Xem chi tiết")</f>
        <v/>
      </c>
    </row>
    <row r="4600">
      <c r="B4600" s="9" t="n">
        <v>4598</v>
      </c>
      <c r="C4600" s="10" t="inlineStr">
        <is>
          <t>TRƯỞNG PHÒNG HÀNH CHÍNH NHÂN SỰ</t>
        </is>
      </c>
      <c r="D4600" s="10" t="inlineStr">
        <is>
          <t>Medigo Software</t>
        </is>
      </c>
      <c r="E4600" s="10" t="inlineStr">
        <is>
          <t>Lương:19 Tr - 26 Tr VND</t>
        </is>
      </c>
      <c r="F4600" s="10" t="inlineStr">
        <is>
          <t>Hồ Chí Minh</t>
        </is>
      </c>
      <c r="G4600" s="10" t="inlineStr">
        <is>
          <t>01-04-2026</t>
        </is>
      </c>
      <c r="H4600" s="10" t="inlineStr">
        <is>
          <t>01/04/2026</t>
        </is>
      </c>
      <c r="I4600" s="10" t="inlineStr">
        <is>
          <t>17/03/2026</t>
        </is>
      </c>
      <c r="J4600" s="10" t="inlineStr">
        <is>
          <t>Hành chính / Thư ký, Quản lý điều hành, Nhân sự</t>
        </is>
      </c>
      <c r="K4600" s="10" t="inlineStr">
        <is>
          <t>3 - 5 Năm</t>
        </is>
      </c>
      <c r="L4600" s="11">
        <f>HYPERLINK("https://careerviet.vn/vi/tim-viec-lam/truong-phong-hanh-chinh-nhan-su.35C6A29D.html","Xem chi tiết")</f>
        <v/>
      </c>
      <c r="M4600" s="10" t="n"/>
    </row>
    <row r="4601">
      <c r="B4601" s="7" t="n">
        <v>4599</v>
      </c>
      <c r="C4601" t="inlineStr">
        <is>
          <t>Nhân viên Tư vấn Sales Online và Chăm Sóc Khách Hàng</t>
        </is>
      </c>
      <c r="D4601" t="inlineStr">
        <is>
          <t>Công ty TNHH Ru9</t>
        </is>
      </c>
      <c r="E4601" t="inlineStr">
        <is>
          <t>Lương:10 Tr - 20 Tr VND</t>
        </is>
      </c>
      <c r="F4601" t="inlineStr">
        <is>
          <t>Hồ Chí Minh</t>
        </is>
      </c>
      <c r="G4601" t="inlineStr">
        <is>
          <t>04-04-2026</t>
        </is>
      </c>
      <c r="H4601" t="inlineStr">
        <is>
          <t>04/04/2026</t>
        </is>
      </c>
      <c r="I4601" t="inlineStr">
        <is>
          <t>17/03/2026</t>
        </is>
      </c>
      <c r="J4601" t="inlineStr">
        <is>
          <t>Bán hàng / Kinh doanh, Thương mại điện tử, Dịch vụ khách hàng</t>
        </is>
      </c>
      <c r="K4601" t="inlineStr">
        <is>
          <t>1 - 2 Năm</t>
        </is>
      </c>
      <c r="L4601" s="8">
        <f>HYPERLINK("https://careerviet.vn/vi/tim-viec-lam/nhan-vien-tu-van-sales-online-va-cham-soc-khach-hang.35C6A7E2.html","Xem chi tiết")</f>
        <v/>
      </c>
    </row>
    <row r="4602">
      <c r="B4602" s="9" t="n">
        <v>4600</v>
      </c>
      <c r="C4602" s="10" t="inlineStr">
        <is>
          <t>Thư ký kiêm Hành chính - Vietravel Invest</t>
        </is>
      </c>
      <c r="D4602" s="10" t="inlineStr">
        <is>
          <t>Công Ty Cổ Phần Du Lịch Vietravel</t>
        </is>
      </c>
      <c r="E4602" s="10" t="inlineStr">
        <is>
          <t>Lương:Cạnh tranh</t>
        </is>
      </c>
      <c r="F4602" s="10" t="inlineStr">
        <is>
          <t>Hồ Chí Minh</t>
        </is>
      </c>
      <c r="G4602" s="10" t="inlineStr">
        <is>
          <t>31-03-2026</t>
        </is>
      </c>
      <c r="H4602" s="10" t="inlineStr">
        <is>
          <t>31/03/2026</t>
        </is>
      </c>
      <c r="I4602" s="10" t="inlineStr">
        <is>
          <t>17/03/2026</t>
        </is>
      </c>
      <c r="J4602" s="10" t="inlineStr">
        <is>
          <t>Hành chính / Thư ký, Nhân sự, Bán hàng / Kinh doanh</t>
        </is>
      </c>
      <c r="K4602" s="10" t="inlineStr">
        <is>
          <t>2 - 3 Năm</t>
        </is>
      </c>
      <c r="L4602" s="11">
        <f>HYPERLINK("https://careerviet.vn/vi/tim-viec-lam/thu-ky-kiem-hanh-chinh-vietravel-invest.35C6A805.html","Xem chi tiết")</f>
        <v/>
      </c>
      <c r="M4602" s="10" t="n"/>
    </row>
    <row r="4603">
      <c r="B4603" s="7" t="n">
        <v>4601</v>
      </c>
      <c r="C4603" t="inlineStr">
        <is>
          <t>Quản Lý xây dựng</t>
        </is>
      </c>
      <c r="D4603" t="inlineStr">
        <is>
          <t>Công ty TNHH Xây Dựng Và Quản Lý Đô Thị Bắc Ninh</t>
        </is>
      </c>
      <c r="E4603" t="inlineStr">
        <is>
          <t>Lương:10 Tr - 20 Tr VND</t>
        </is>
      </c>
      <c r="F4603" t="inlineStr">
        <is>
          <t>Bắc NinhHà NộiBắc Giang</t>
        </is>
      </c>
      <c r="G4603" t="inlineStr">
        <is>
          <t>04-04-2026</t>
        </is>
      </c>
      <c r="H4603" t="inlineStr">
        <is>
          <t>04/04/2026</t>
        </is>
      </c>
      <c r="I4603" t="inlineStr">
        <is>
          <t>17/03/2026</t>
        </is>
      </c>
      <c r="J4603" t="inlineStr">
        <is>
          <t>Điện / Điện tử / Điện lạnh / Điện công nghiệp, Kiến trúc, Xây dựng</t>
        </is>
      </c>
      <c r="K4603" t="inlineStr">
        <is>
          <t>Trên 1 Năm</t>
        </is>
      </c>
      <c r="L4603" s="8">
        <f>HYPERLINK("https://careerviet.vn/vi/tim-viec-lam/quan-ly-xay-dung.35C6750A.html","Xem chi tiết")</f>
        <v/>
      </c>
    </row>
    <row r="4604">
      <c r="B4604" s="9" t="n">
        <v>4602</v>
      </c>
      <c r="C4604" s="10" t="inlineStr">
        <is>
          <t>Quality Assurance Staff (Base In Ho Chi Minh, Da Nang, Hue And Neighboring Provinces)</t>
        </is>
      </c>
      <c r="D4604" s="10" t="inlineStr">
        <is>
          <t>Văn Phòng Đại Diện The Haddad Organization (Far East) Ltd Tại Thành Phố Hồ Chí Minh</t>
        </is>
      </c>
      <c r="E4604" s="10" t="inlineStr">
        <is>
          <t>Lương:Cạnh tranh</t>
        </is>
      </c>
      <c r="F4604" s="10" t="inlineStr">
        <is>
          <t>Đà NẵngHồ Chí MinhThừa Thiên- Huế</t>
        </is>
      </c>
      <c r="G4604" s="10" t="inlineStr">
        <is>
          <t>02-04-2026</t>
        </is>
      </c>
      <c r="H4604" s="10" t="inlineStr">
        <is>
          <t>02/04/2026</t>
        </is>
      </c>
      <c r="I4604" s="10" t="inlineStr">
        <is>
          <t>17/03/2026</t>
        </is>
      </c>
      <c r="J4604" s="10" t="inlineStr">
        <is>
          <t>Dệt may / Da giày / Thời trang, Quản lý chất lượng (QA/QC), Sản xuất / Vận hành sản xuất</t>
        </is>
      </c>
      <c r="K4604" s="10" t="inlineStr">
        <is>
          <t>Trên 3 Năm</t>
        </is>
      </c>
      <c r="L4604" s="11">
        <f>HYPERLINK("https://careerviet.vn/vi/tim-viec-lam/quality-assurance-staff-base-in-ho-chi-minh-da-nang-hue-and-neighboring-provinces.35C6A828.html","Xem chi tiết")</f>
        <v/>
      </c>
      <c r="M4604" s="10" t="n"/>
    </row>
    <row r="4605">
      <c r="B4605" s="7" t="n">
        <v>4603</v>
      </c>
      <c r="C4605" t="inlineStr">
        <is>
          <t>KẾ TOÁN TỔNG HỢP</t>
        </is>
      </c>
      <c r="D4605" t="inlineStr">
        <is>
          <t>CÔNG TY TNHH DELTA INDUSTRIES (VIETNAM)</t>
        </is>
      </c>
      <c r="E4605" t="inlineStr">
        <is>
          <t>Lương:15 Tr - 22 Tr VND</t>
        </is>
      </c>
      <c r="F4605" t="inlineStr">
        <is>
          <t>Bình Dương</t>
        </is>
      </c>
      <c r="G4605" t="inlineStr">
        <is>
          <t>04-04-2026</t>
        </is>
      </c>
      <c r="H4605" t="inlineStr">
        <is>
          <t>04/04/2026</t>
        </is>
      </c>
      <c r="I4605" t="inlineStr">
        <is>
          <t>17/03/2026</t>
        </is>
      </c>
      <c r="J4605" t="inlineStr">
        <is>
          <t>Kế toán / Kiểm toán, Thực phẩm &amp; Đồ uống, Bán hàng / Kinh doanh</t>
        </is>
      </c>
      <c r="K4605" t="inlineStr">
        <is>
          <t>2 - 10 Năm</t>
        </is>
      </c>
      <c r="L4605" s="8">
        <f>HYPERLINK("https://careerviet.vn/vi/tim-viec-lam/ke-toan-tong-hop.35C675AD.html","Xem chi tiết")</f>
        <v/>
      </c>
    </row>
    <row r="4606">
      <c r="B4606" s="9" t="n">
        <v>4604</v>
      </c>
      <c r="C4606" s="10" t="inlineStr">
        <is>
          <t>Assistant Merchandiser/ Merchandiser</t>
        </is>
      </c>
      <c r="D4606" s="10" t="inlineStr">
        <is>
          <t>Văn Phòng Đại Diện The Haddad Organization (Far East) Ltd Tại Thành Phố Hồ Chí Minh</t>
        </is>
      </c>
      <c r="E4606" s="10" t="inlineStr">
        <is>
          <t>Lương:Cạnh tranh</t>
        </is>
      </c>
      <c r="F4606" s="10" t="inlineStr">
        <is>
          <t>Hồ Chí Minh</t>
        </is>
      </c>
      <c r="G4606" s="10" t="inlineStr">
        <is>
          <t>02-04-2026</t>
        </is>
      </c>
      <c r="H4606" s="10" t="inlineStr">
        <is>
          <t>02/04/2026</t>
        </is>
      </c>
      <c r="I4606" s="10" t="inlineStr">
        <is>
          <t>17/03/2026</t>
        </is>
      </c>
      <c r="J4606" s="10" t="inlineStr">
        <is>
          <t>Sản xuất / Vận hành sản xuất, Dệt may / Da giày / Thời trang, Quản lý chất lượng (QA/QC)</t>
        </is>
      </c>
      <c r="K4606" s="10" t="inlineStr">
        <is>
          <t>Trên 3 Năm</t>
        </is>
      </c>
      <c r="L4606" s="11">
        <f>HYPERLINK("https://careerviet.vn/vi/tim-viec-lam/assistant-merchandiser-merchandiser.35C6A82B.html","Xem chi tiết")</f>
        <v/>
      </c>
      <c r="M4606" s="10" t="n"/>
    </row>
    <row r="4607">
      <c r="B4607" s="7" t="n">
        <v>4605</v>
      </c>
      <c r="C4607" t="inlineStr">
        <is>
          <t>Chuyên viên Khách hàng Doanh nghiệp</t>
        </is>
      </c>
      <c r="D4607" t="inlineStr">
        <is>
          <t>Ngân Hàng TMCP Tiên Phong (TPBank)</t>
        </is>
      </c>
      <c r="E4607" t="inlineStr">
        <is>
          <t>Lương:12 Tr - 25 Tr VND</t>
        </is>
      </c>
      <c r="F4607" t="inlineStr">
        <is>
          <t>Hồ Chí MinhBình PhướcLong An</t>
        </is>
      </c>
      <c r="G4607" t="inlineStr">
        <is>
          <t>04-04-2026</t>
        </is>
      </c>
      <c r="H4607" t="inlineStr">
        <is>
          <t>04/04/2026</t>
        </is>
      </c>
      <c r="I4607" t="inlineStr">
        <is>
          <t>17/03/2026</t>
        </is>
      </c>
      <c r="J4607" t="inlineStr">
        <is>
          <t>Bán hàng / Kinh doanh, Ngân hàng, Tài chính / Đầu tư</t>
        </is>
      </c>
      <c r="K4607" t="inlineStr">
        <is>
          <t>1 - 3 Năm</t>
        </is>
      </c>
      <c r="L4607" s="8">
        <f>HYPERLINK("https://careerviet.vn/vi/tim-viec-lam/chuyen-vien-khach-hang-doanh-nghiep.35C67549.html","Xem chi tiết")</f>
        <v/>
      </c>
    </row>
    <row r="4608">
      <c r="B4608" s="9" t="n">
        <v>4606</v>
      </c>
      <c r="C4608" s="10" t="inlineStr">
        <is>
          <t>Nhân Viên Hỗ Trợ Thanh Toán Khoản Vay Qua Điện Thoại</t>
        </is>
      </c>
      <c r="D4608" s="10" t="inlineStr">
        <is>
          <t>LOTTE FINANCE VIETNAM</t>
        </is>
      </c>
      <c r="E4608" s="10" t="inlineStr">
        <is>
          <t>Lương:Cạnh tranh</t>
        </is>
      </c>
      <c r="F4608" s="10" t="inlineStr">
        <is>
          <t>Hồ Chí Minh</t>
        </is>
      </c>
      <c r="G4608" s="10" t="inlineStr">
        <is>
          <t>04-04-2026</t>
        </is>
      </c>
      <c r="H4608" s="10" t="inlineStr">
        <is>
          <t>04/04/2026</t>
        </is>
      </c>
      <c r="I4608" s="10" t="inlineStr">
        <is>
          <t>17/03/2026</t>
        </is>
      </c>
      <c r="J4608" s="10" t="inlineStr">
        <is>
          <t>Kế toán / Kiểm toán, Ngân hàng, Tài chính / Đầu tư</t>
        </is>
      </c>
      <c r="K4608" s="10" t="inlineStr">
        <is>
          <t>Chưa có kinh nghiệm</t>
        </is>
      </c>
      <c r="L4608" s="11">
        <f>HYPERLINK("https://careerviet.vn/vi/tim-viec-lam/nhan-vien-ho-tro-thanh-toan-khoan-vay-qua-dien-thoai.35C67444.html","Xem chi tiết")</f>
        <v/>
      </c>
      <c r="M4608" s="10" t="n"/>
    </row>
    <row r="4609">
      <c r="B4609" s="7" t="n">
        <v>4607</v>
      </c>
      <c r="C4609" t="inlineStr">
        <is>
          <t>127492 - Tiếng Nhật - Trưởng nhóm / Phó quản lý Kế hoạch Sản xuất – Ngành Điện tử</t>
        </is>
      </c>
      <c r="D4609" t="inlineStr">
        <is>
          <t>RGF HR Agent Vietnam Co., LTD</t>
        </is>
      </c>
      <c r="E4609" t="inlineStr">
        <is>
          <t>Lương:Trên 30 Tr VND</t>
        </is>
      </c>
      <c r="F4609" t="inlineStr">
        <is>
          <t>Hồ Chí Minh</t>
        </is>
      </c>
      <c r="G4609" t="inlineStr">
        <is>
          <t>04-04-2026</t>
        </is>
      </c>
      <c r="H4609" t="inlineStr">
        <is>
          <t>04/04/2026</t>
        </is>
      </c>
      <c r="I4609" t="inlineStr">
        <is>
          <t>17/03/2026</t>
        </is>
      </c>
      <c r="J4609" t="inlineStr">
        <is>
          <t>Sản xuất / Vận hành sản xuất, Điện / Điện tử / Điện lạnh / Điện công nghiệp</t>
        </is>
      </c>
      <c r="K4609" t="inlineStr">
        <is>
          <t>3 - 5 Năm</t>
        </is>
      </c>
      <c r="L4609" s="8">
        <f>HYPERLINK("https://careerviet.vn/vi/tim-viec-lam/127492-tieng-nhat-truong-nhom-pho-quan-ly-ke-hoach-san-xuat-nganh-dien-tu.35C674F7.html","Xem chi tiết")</f>
        <v/>
      </c>
    </row>
    <row r="4610">
      <c r="B4610" s="9" t="n">
        <v>4608</v>
      </c>
      <c r="C4610" s="10" t="inlineStr">
        <is>
          <t>Chuyên Viên Tư Vấn Triển Khai Phần Mềm/ Senior Software Consultant</t>
        </is>
      </c>
      <c r="D4610" s="10" t="inlineStr">
        <is>
          <t>OMN1 Solution</t>
        </is>
      </c>
      <c r="E4610" s="10" t="inlineStr">
        <is>
          <t>Lương:Cạnh tranh</t>
        </is>
      </c>
      <c r="F4610" s="10" t="inlineStr">
        <is>
          <t>Hồ Chí Minh</t>
        </is>
      </c>
      <c r="G4610" s="10" t="inlineStr">
        <is>
          <t>04-04-2026</t>
        </is>
      </c>
      <c r="H4610" s="10" t="inlineStr">
        <is>
          <t>04/04/2026</t>
        </is>
      </c>
      <c r="I4610" s="10" t="inlineStr">
        <is>
          <t>17/03/2026</t>
        </is>
      </c>
      <c r="J4610" s="10" t="inlineStr">
        <is>
          <t>Bán hàng / Kinh doanh, CNTT - Phần mềm, CNTT - Phần cứng / Mạng</t>
        </is>
      </c>
      <c r="K4610" s="10" t="inlineStr">
        <is>
          <t>3 - 5 Năm</t>
        </is>
      </c>
      <c r="L4610" s="11">
        <f>HYPERLINK("https://careerviet.vn/vi/tim-viec-lam/chuyen-vien-tu-van-trien-khai-phan-mem-senior-software-consultant.35C675E5.html","Xem chi tiết")</f>
        <v/>
      </c>
      <c r="M4610" s="10" t="n"/>
    </row>
    <row r="4611">
      <c r="B4611" s="7" t="n">
        <v>4609</v>
      </c>
      <c r="C4611" t="inlineStr">
        <is>
          <t>Xiaomi brand  Spokesperson</t>
        </is>
      </c>
      <c r="D4611" t="inlineStr">
        <is>
          <t>CÔNG TY TNHH XIAOMI VIỆT NAM</t>
        </is>
      </c>
      <c r="E4611" t="inlineStr">
        <is>
          <t>Lương:40 Tr - 52 Tr VND</t>
        </is>
      </c>
      <c r="F4611" t="inlineStr">
        <is>
          <t>Hồ Chí Minh</t>
        </is>
      </c>
      <c r="G4611" t="inlineStr">
        <is>
          <t>04-04-2026</t>
        </is>
      </c>
      <c r="H4611" t="inlineStr">
        <is>
          <t>04/04/2026</t>
        </is>
      </c>
      <c r="I4611" t="inlineStr">
        <is>
          <t>17/03/2026</t>
        </is>
      </c>
      <c r="J4611" t="inlineStr">
        <is>
          <t>Tiếp thị / Marketing</t>
        </is>
      </c>
      <c r="K4611" t="inlineStr">
        <is>
          <t>3 - 10 Năm</t>
        </is>
      </c>
      <c r="L4611" s="8">
        <f>HYPERLINK("https://careerviet.vn/vi/tim-viec-lam/xiaomi-brand-spokesperson.35C674F9.html","Xem chi tiết")</f>
        <v/>
      </c>
    </row>
    <row r="4612">
      <c r="B4612" s="9" t="n">
        <v>4610</v>
      </c>
      <c r="C4612" s="10" t="inlineStr">
        <is>
          <t>Nhân viên Kinh doanh (Tiếng Hoa)</t>
        </is>
      </c>
      <c r="D4612" s="10" t="inlineStr">
        <is>
          <t>CÔNG TY TNHH GIAO NHẬN THƯƠNG MẠI RỒNG Á CHÂU</t>
        </is>
      </c>
      <c r="E4612" s="10" t="inlineStr">
        <is>
          <t>Lương:Cạnh tranh</t>
        </is>
      </c>
      <c r="F4612" s="10" t="inlineStr">
        <is>
          <t>Hồ Chí Minh</t>
        </is>
      </c>
      <c r="G4612" s="10" t="inlineStr">
        <is>
          <t>04-04-2026</t>
        </is>
      </c>
      <c r="H4612" s="10" t="inlineStr">
        <is>
          <t>04/04/2026</t>
        </is>
      </c>
      <c r="I4612" s="10" t="inlineStr">
        <is>
          <t>17/03/2026</t>
        </is>
      </c>
      <c r="J4612" s="10" t="inlineStr">
        <is>
          <t>Bán hàng / Kinh doanh, Vận chuyển / Giao nhận / Kho vận, Xuất nhập khẩu</t>
        </is>
      </c>
      <c r="K4612" s="10" t="inlineStr">
        <is>
          <t>1 - 3 Năm</t>
        </is>
      </c>
      <c r="L4612" s="11">
        <f>HYPERLINK("https://careerviet.vn/vi/tim-viec-lam/nhan-vien-kinh-doanh-tieng-hoa.35C675B3.html","Xem chi tiết")</f>
        <v/>
      </c>
      <c r="M4612" s="10" t="n"/>
    </row>
    <row r="4613">
      <c r="B4613" s="7" t="n">
        <v>4611</v>
      </c>
      <c r="C4613" t="inlineStr">
        <is>
          <t>Nhân Viên Hỗ Trợ Thanh Toán Khoản Vay Hiện Trường</t>
        </is>
      </c>
      <c r="D4613" t="inlineStr">
        <is>
          <t>LOTTE FINANCE VIETNAM</t>
        </is>
      </c>
      <c r="E4613" t="inlineStr">
        <is>
          <t>Lương:Cạnh tranh</t>
        </is>
      </c>
      <c r="F4613" t="inlineStr">
        <is>
          <t>Hồ Chí Minh</t>
        </is>
      </c>
      <c r="G4613" t="inlineStr">
        <is>
          <t>04-04-2026</t>
        </is>
      </c>
      <c r="H4613" t="inlineStr">
        <is>
          <t>04/04/2026</t>
        </is>
      </c>
      <c r="I4613" t="inlineStr">
        <is>
          <t>17/03/2026</t>
        </is>
      </c>
      <c r="J4613" t="inlineStr">
        <is>
          <t>Kế toán / Kiểm toán, Ngân hàng, Tài chính / Đầu tư</t>
        </is>
      </c>
      <c r="K4613" t="inlineStr">
        <is>
          <t>Chưa có kinh nghiệm</t>
        </is>
      </c>
      <c r="L4613" s="8">
        <f>HYPERLINK("https://careerviet.vn/vi/tim-viec-lam/nhan-vien-ho-tro-thanh-toan-khoan-vay-hien-truong.35C6743E.html","Xem chi tiết")</f>
        <v/>
      </c>
    </row>
    <row r="4614">
      <c r="B4614" s="9" t="n">
        <v>4612</v>
      </c>
      <c r="C4614" s="10" t="inlineStr">
        <is>
          <t>CHUYÊN VIÊN PHÂN TÍCH NGHIỆP VỤ (BA)</t>
        </is>
      </c>
      <c r="D4614" s="10" t="inlineStr">
        <is>
          <t>Công ty Cổ phần đầu tư phát triển máy Việt Nam</t>
        </is>
      </c>
      <c r="E4614" s="10" t="inlineStr">
        <is>
          <t>Lương:13 Tr - 25 Tr VND</t>
        </is>
      </c>
      <c r="F4614" s="10" t="inlineStr">
        <is>
          <t>Hà Nội</t>
        </is>
      </c>
      <c r="G4614" s="10" t="inlineStr">
        <is>
          <t>04-04-2026</t>
        </is>
      </c>
      <c r="H4614" s="10" t="inlineStr">
        <is>
          <t>04/04/2026</t>
        </is>
      </c>
      <c r="I4614" s="10" t="inlineStr">
        <is>
          <t>17/03/2026</t>
        </is>
      </c>
      <c r="J4614" s="10" t="inlineStr">
        <is>
          <t>CNTT - Phần mềm, Kế toán / Kiểm toán, Tài chính / Đầu tư</t>
        </is>
      </c>
      <c r="K4614" s="10" t="inlineStr">
        <is>
          <t>N/A</t>
        </is>
      </c>
      <c r="L4614" s="11">
        <f>HYPERLINK("https://careerviet.vn/vi/tim-viec-lam/chuyen-vien-phan-tich-nghiep-vu-ba.35C6759B.html","Xem chi tiết")</f>
        <v/>
      </c>
      <c r="M4614" s="10" t="n"/>
    </row>
    <row r="4615">
      <c r="B4615" s="7" t="n">
        <v>4613</v>
      </c>
      <c r="C4615" t="inlineStr">
        <is>
          <t>Trợ lý Tổng Giám Đốc (Mảng Kinh Doanh)</t>
        </is>
      </c>
      <c r="D4615" t="inlineStr">
        <is>
          <t>Công ty TNHH Thiên Thủy Mộc</t>
        </is>
      </c>
      <c r="E4615" t="inlineStr">
        <is>
          <t>Lương:20 Tr - 30 Tr VND</t>
        </is>
      </c>
      <c r="F4615" t="inlineStr">
        <is>
          <t>Hà Nội</t>
        </is>
      </c>
      <c r="G4615" t="inlineStr">
        <is>
          <t>04-04-2026</t>
        </is>
      </c>
      <c r="H4615" t="inlineStr">
        <is>
          <t>04/04/2026</t>
        </is>
      </c>
      <c r="I4615" t="inlineStr">
        <is>
          <t>17/03/2026</t>
        </is>
      </c>
      <c r="J4615" t="inlineStr">
        <is>
          <t>Bán hàng / Kinh doanh, Hành chính / Thư ký</t>
        </is>
      </c>
      <c r="K4615" t="inlineStr">
        <is>
          <t>3 - 5 Năm</t>
        </is>
      </c>
      <c r="L4615" s="8">
        <f>HYPERLINK("https://careerviet.vn/vi/tim-viec-lam/tro-ly-tong-giam-doc-mang-kinh-doanh.35C675B1.html","Xem chi tiết")</f>
        <v/>
      </c>
    </row>
    <row r="4616">
      <c r="B4616" s="9" t="n">
        <v>4614</v>
      </c>
      <c r="C4616" s="10" t="inlineStr">
        <is>
          <t>Chuyên viên kỹ thuật tòa nhà</t>
        </is>
      </c>
      <c r="D4616" s="10" t="inlineStr">
        <is>
          <t>BỆNH VIỆN ĐA KHOA PHƯƠNG ĐÔNG</t>
        </is>
      </c>
      <c r="E4616" s="10" t="inlineStr">
        <is>
          <t>Lương:9 Tr - 15 Tr VND</t>
        </is>
      </c>
      <c r="F4616" s="10" t="inlineStr">
        <is>
          <t>Hà Nội</t>
        </is>
      </c>
      <c r="G4616" s="10" t="inlineStr">
        <is>
          <t>04-04-2026</t>
        </is>
      </c>
      <c r="H4616" s="10" t="inlineStr">
        <is>
          <t>04/04/2026</t>
        </is>
      </c>
      <c r="I4616" s="10" t="inlineStr">
        <is>
          <t>17/03/2026</t>
        </is>
      </c>
      <c r="J4616" s="10" t="inlineStr">
        <is>
          <t>Điện / Điện tử / Điện lạnh / Điện công nghiệp, Bảo trì / Sửa chữa</t>
        </is>
      </c>
      <c r="K4616" s="10" t="inlineStr">
        <is>
          <t>1 - 3 Năm</t>
        </is>
      </c>
      <c r="L4616" s="11">
        <f>HYPERLINK("https://careerviet.vn/vi/tim-viec-lam/chuyen-vien-ky-thuat-toa-nha.35C675A5.html","Xem chi tiết")</f>
        <v/>
      </c>
      <c r="M4616" s="10" t="n"/>
    </row>
    <row r="4617">
      <c r="B4617" s="7" t="n">
        <v>4615</v>
      </c>
      <c r="C4617" t="inlineStr">
        <is>
          <t>Senior Laboratory Staff</t>
        </is>
      </c>
      <c r="D4617" t="inlineStr">
        <is>
          <t>Công ty TNHH framas Korea Vina</t>
        </is>
      </c>
      <c r="E4617" t="inlineStr">
        <is>
          <t>Lương:Cạnh tranh</t>
        </is>
      </c>
      <c r="F4617" t="inlineStr">
        <is>
          <t>Đồng Nai</t>
        </is>
      </c>
      <c r="G4617" t="inlineStr">
        <is>
          <t>04-04-2026</t>
        </is>
      </c>
      <c r="H4617" t="inlineStr">
        <is>
          <t>04/04/2026</t>
        </is>
      </c>
      <c r="I4617" t="inlineStr">
        <is>
          <t>17/03/2026</t>
        </is>
      </c>
      <c r="J4617" t="inlineStr">
        <is>
          <t>Hóa học, Công nghệ sinh học, Quản lý chất lượng (QA/QC)</t>
        </is>
      </c>
      <c r="K4617" t="inlineStr">
        <is>
          <t>1 - 5 Năm</t>
        </is>
      </c>
      <c r="L4617" s="8">
        <f>HYPERLINK("https://careerviet.vn/vi/tim-viec-lam/senior-laboratory-staff.35C6742D.html","Xem chi tiết")</f>
        <v/>
      </c>
    </row>
    <row r="4618">
      <c r="B4618" s="9" t="n">
        <v>4616</v>
      </c>
      <c r="C4618" s="10" t="inlineStr">
        <is>
          <t>Giám đốc Phòng Khách hàng cá nhân</t>
        </is>
      </c>
      <c r="D4618" s="10" t="inlineStr">
        <is>
          <t>Ngân Hàng TMCP Tiên Phong (TPBank)</t>
        </is>
      </c>
      <c r="E4618" s="10" t="inlineStr">
        <is>
          <t>Lương:35 Tr - 40 Tr VND</t>
        </is>
      </c>
      <c r="F4618" s="10" t="inlineStr">
        <is>
          <t>Long AnHồ Chí Minh</t>
        </is>
      </c>
      <c r="G4618" s="10" t="inlineStr">
        <is>
          <t>04-04-2026</t>
        </is>
      </c>
      <c r="H4618" s="10" t="inlineStr">
        <is>
          <t>04/04/2026</t>
        </is>
      </c>
      <c r="I4618" s="10" t="inlineStr">
        <is>
          <t>17/03/2026</t>
        </is>
      </c>
      <c r="J4618" s="10" t="inlineStr">
        <is>
          <t>Bán hàng / Kinh doanh, Ngân hàng, Tài chính / Đầu tư</t>
        </is>
      </c>
      <c r="K4618" s="10" t="inlineStr">
        <is>
          <t>3 - 5 Năm</t>
        </is>
      </c>
      <c r="L4618" s="11">
        <f>HYPERLINK("https://careerviet.vn/vi/tim-viec-lam/giam-doc-phong-khach-hang-ca-nhan.35C6753A.html","Xem chi tiết")</f>
        <v/>
      </c>
      <c r="M4618" s="10" t="n"/>
    </row>
    <row r="4619">
      <c r="B4619" s="7" t="n">
        <v>4617</v>
      </c>
      <c r="C4619" t="inlineStr">
        <is>
          <t>Kỹ Sư Quản Lý Chi Phí &amp; QS Cho Dự Án (Chuyên về MEP)</t>
        </is>
      </c>
      <c r="D4619" t="inlineStr">
        <is>
          <t>Công Ty TNHH Kỹ Thuật Và Xây Dựng TAMADA</t>
        </is>
      </c>
      <c r="E4619" t="inlineStr">
        <is>
          <t>Lương:15 Tr - 18 Tr VND</t>
        </is>
      </c>
      <c r="F4619" t="inlineStr">
        <is>
          <t>Hồ Chí Minh</t>
        </is>
      </c>
      <c r="G4619" t="inlineStr">
        <is>
          <t>03-04-2026</t>
        </is>
      </c>
      <c r="H4619" t="inlineStr">
        <is>
          <t>03/04/2026</t>
        </is>
      </c>
      <c r="I4619" t="inlineStr">
        <is>
          <t>17/03/2026</t>
        </is>
      </c>
      <c r="J4619" t="inlineStr">
        <is>
          <t>Điện / Điện tử / Điện lạnh / Điện công nghiệp, Xây dựng</t>
        </is>
      </c>
      <c r="K4619" t="inlineStr">
        <is>
          <t>1 - 3 Năm</t>
        </is>
      </c>
      <c r="L4619" s="8">
        <f>HYPERLINK("https://careerviet.vn/vi/tim-viec-lam/ky-su-quan-ly-chi-phi-qs-cho-du-an-chuyen-ve-mep.35C674B2.html","Xem chi tiết")</f>
        <v/>
      </c>
    </row>
    <row r="4620">
      <c r="B4620" s="9" t="n">
        <v>4618</v>
      </c>
      <c r="C4620" s="10" t="inlineStr">
        <is>
          <t>Nhân viên kỹ thuật thủy sản – Đông Nam Bộ, Hậu Giang - Cà Mau</t>
        </is>
      </c>
      <c r="D4620" s="10" t="inlineStr">
        <is>
          <t>Công Ty TNHH CJ Vina Agri</t>
        </is>
      </c>
      <c r="E4620" s="10" t="inlineStr">
        <is>
          <t>Lương:Cạnh tranh</t>
        </is>
      </c>
      <c r="F4620" s="10" t="inlineStr">
        <is>
          <t>KV Đông Nam Bộ</t>
        </is>
      </c>
      <c r="G4620" s="10" t="inlineStr">
        <is>
          <t>04-04-2026</t>
        </is>
      </c>
      <c r="H4620" s="10" t="inlineStr">
        <is>
          <t>04/04/2026</t>
        </is>
      </c>
      <c r="I4620" s="10" t="inlineStr">
        <is>
          <t>17/03/2026</t>
        </is>
      </c>
      <c r="J4620" s="10" t="inlineStr">
        <is>
          <t>Thủy sản / Hải sản</t>
        </is>
      </c>
      <c r="K4620" s="10" t="inlineStr">
        <is>
          <t>2 - 3 Năm</t>
        </is>
      </c>
      <c r="L4620" s="11">
        <f>HYPERLINK("https://careerviet.vn/vi/tim-viec-lam/nhan-vien-ky-thuat-thuy-san-dong-nam-bo-hau-giang-ca-mau.35C674C9.html","Xem chi tiết")</f>
        <v/>
      </c>
      <c r="M4620" s="10" t="n"/>
    </row>
    <row r="4621">
      <c r="B4621" s="7" t="n">
        <v>4619</v>
      </c>
      <c r="C4621" t="inlineStr">
        <is>
          <t>KỸ SƯ DỰ TOÁN &amp; CHÀO GIÁ (Chuyên về MEP)</t>
        </is>
      </c>
      <c r="D4621" t="inlineStr">
        <is>
          <t>Công Ty TNHH Kỹ Thuật Và Xây Dựng TAMADA</t>
        </is>
      </c>
      <c r="E4621" t="inlineStr">
        <is>
          <t>Lương:15 Tr - 18 Tr VND</t>
        </is>
      </c>
      <c r="F4621" t="inlineStr">
        <is>
          <t>Hồ Chí Minh</t>
        </is>
      </c>
      <c r="G4621" t="inlineStr">
        <is>
          <t>03-04-2026</t>
        </is>
      </c>
      <c r="H4621" t="inlineStr">
        <is>
          <t>03/04/2026</t>
        </is>
      </c>
      <c r="I4621" t="inlineStr">
        <is>
          <t>17/03/2026</t>
        </is>
      </c>
      <c r="J4621" t="inlineStr">
        <is>
          <t>Điện / Điện tử / Điện lạnh / Điện công nghiệp, Xây dựng</t>
        </is>
      </c>
      <c r="K4621" t="inlineStr">
        <is>
          <t>1 - 3 Năm</t>
        </is>
      </c>
      <c r="L4621" s="8">
        <f>HYPERLINK("https://careerviet.vn/vi/tim-viec-lam/ky-su-du-toan-chao-gia-chuyen-ve-mep.35C674A8.html","Xem chi tiết")</f>
        <v/>
      </c>
    </row>
    <row r="4622">
      <c r="B4622" s="9" t="n">
        <v>4620</v>
      </c>
      <c r="C4622" s="10" t="inlineStr">
        <is>
          <t>Kỹ Sư Cơ/ Điện (Phòng Thi Công)</t>
        </is>
      </c>
      <c r="D4622" s="10" t="inlineStr">
        <is>
          <t>Công Ty TNHH Kỹ Thuật Và Xây Dựng TAMADA</t>
        </is>
      </c>
      <c r="E4622" s="10" t="inlineStr">
        <is>
          <t>Lương:Cạnh tranh</t>
        </is>
      </c>
      <c r="F4622" s="10" t="inlineStr">
        <is>
          <t>Hồ Chí Minh</t>
        </is>
      </c>
      <c r="G4622" s="10" t="inlineStr">
        <is>
          <t>04-04-2026</t>
        </is>
      </c>
      <c r="H4622" s="10" t="inlineStr">
        <is>
          <t>04/04/2026</t>
        </is>
      </c>
      <c r="I4622" s="10" t="inlineStr">
        <is>
          <t>17/03/2026</t>
        </is>
      </c>
      <c r="J4622" s="10" t="inlineStr">
        <is>
          <t>Điện / Điện tử / Điện lạnh / Điện công nghiệp</t>
        </is>
      </c>
      <c r="K4622" s="10" t="inlineStr">
        <is>
          <t>1 - 3 Năm</t>
        </is>
      </c>
      <c r="L4622" s="11">
        <f>HYPERLINK("https://careerviet.vn/vi/tim-viec-lam/ky-su-co-dien-phong-thi-cong.35C674A6.html","Xem chi tiết")</f>
        <v/>
      </c>
      <c r="M4622" s="10" t="n"/>
    </row>
    <row r="4623">
      <c r="B4623" s="7" t="n">
        <v>4621</v>
      </c>
      <c r="C4623" t="inlineStr">
        <is>
          <t>Chuyên Viên Mua Hàng</t>
        </is>
      </c>
      <c r="D4623" t="inlineStr">
        <is>
          <t>CÔNG TY TNHH THƯƠNG MẠI VÀ DỊCH VỤ OZOVN</t>
        </is>
      </c>
      <c r="E4623" t="inlineStr">
        <is>
          <t>Lương:10 Tr - 14 Tr VND</t>
        </is>
      </c>
      <c r="F4623" t="inlineStr">
        <is>
          <t>Hà Nội</t>
        </is>
      </c>
      <c r="G4623" t="inlineStr">
        <is>
          <t>04-04-2026</t>
        </is>
      </c>
      <c r="H4623" t="inlineStr">
        <is>
          <t>04/04/2026</t>
        </is>
      </c>
      <c r="I4623" t="inlineStr">
        <is>
          <t>17/03/2026</t>
        </is>
      </c>
      <c r="J4623" t="inlineStr">
        <is>
          <t>Bán lẻ / Bán sỉ, Thương mại điện tử, Thu mua / Vật tư</t>
        </is>
      </c>
      <c r="K4623" t="inlineStr">
        <is>
          <t>3 - 5 Năm</t>
        </is>
      </c>
      <c r="L4623" s="8">
        <f>HYPERLINK("https://careerviet.vn/vi/tim-viec-lam/chuyen-vien-mua-hang.35C67514.html","Xem chi tiết")</f>
        <v/>
      </c>
    </row>
    <row r="4624">
      <c r="B4624" s="9" t="n">
        <v>4622</v>
      </c>
      <c r="C4624" s="10" t="inlineStr">
        <is>
          <t>122010 - Technical Cordination Engineer - Plastics</t>
        </is>
      </c>
      <c r="D4624" s="10" t="inlineStr">
        <is>
          <t>RGF HR Agent Vietnam Co., LTD</t>
        </is>
      </c>
      <c r="E4624" s="10" t="inlineStr">
        <is>
          <t>Lương:25 Tr - 30 Tr VND</t>
        </is>
      </c>
      <c r="F4624" s="10" t="inlineStr">
        <is>
          <t>Bình Dương</t>
        </is>
      </c>
      <c r="G4624" s="10" t="inlineStr">
        <is>
          <t>04-04-2026</t>
        </is>
      </c>
      <c r="H4624" s="10" t="inlineStr">
        <is>
          <t>04/04/2026</t>
        </is>
      </c>
      <c r="I4624" s="10" t="inlineStr">
        <is>
          <t>17/03/2026</t>
        </is>
      </c>
      <c r="J4624" s="10" t="inlineStr">
        <is>
          <t>Điện / Điện tử / Điện lạnh / Điện công nghiệp, Cơ khí / Ô tô / Tự động hóa, Bán Hàng Kỹ Thuật</t>
        </is>
      </c>
      <c r="K4624" s="10" t="inlineStr">
        <is>
          <t>3 - 5 Năm</t>
        </is>
      </c>
      <c r="L4624" s="11">
        <f>HYPERLINK("https://careerviet.vn/vi/tim-viec-lam/122010-technical-cordination-engineer-plastics.35C674D4.html","Xem chi tiết")</f>
        <v/>
      </c>
      <c r="M4624" s="10" t="n"/>
    </row>
    <row r="4625">
      <c r="B4625" s="7" t="n">
        <v>4623</v>
      </c>
      <c r="C4625" t="inlineStr">
        <is>
          <t>Quản lý Nhân sự - Vinmec Phú Quốc</t>
        </is>
      </c>
      <c r="D4625" t="inlineStr">
        <is>
          <t>Công ty CP Bệnh Viện Đa Khoa Quốc Tế Vinmec</t>
        </is>
      </c>
      <c r="E4625" t="inlineStr">
        <is>
          <t>Lương:Cạnh tranh</t>
        </is>
      </c>
      <c r="F4625" t="inlineStr">
        <is>
          <t>Kiên Giang</t>
        </is>
      </c>
      <c r="G4625" t="inlineStr">
        <is>
          <t>04-04-2026</t>
        </is>
      </c>
      <c r="H4625" t="inlineStr">
        <is>
          <t>04/04/2026</t>
        </is>
      </c>
      <c r="I4625" t="inlineStr">
        <is>
          <t>17/03/2026</t>
        </is>
      </c>
      <c r="J4625" t="inlineStr">
        <is>
          <t>Y tế / Chăm sóc sức khỏe / Thẩm mỹ / Làm đẹp, Nhân sự</t>
        </is>
      </c>
      <c r="K4625" t="inlineStr">
        <is>
          <t>Trên 8 Năm</t>
        </is>
      </c>
      <c r="L4625" s="8">
        <f>HYPERLINK("https://careerviet.vn/vi/tim-viec-lam/quan-ly-nhan-su-vinmec-phu-quoc.35C67463.html","Xem chi tiết")</f>
        <v/>
      </c>
    </row>
    <row r="4626">
      <c r="B4626" s="9" t="n">
        <v>4624</v>
      </c>
      <c r="C4626" s="10" t="inlineStr">
        <is>
          <t>Material Delivery Management (6 month contract)</t>
        </is>
      </c>
      <c r="D4626" s="10" t="inlineStr">
        <is>
          <t>Bảo mật</t>
        </is>
      </c>
      <c r="E4626" s="10" t="inlineStr">
        <is>
          <t>Lương:Cạnh tranh</t>
        </is>
      </c>
      <c r="F4626" s="10" t="inlineStr">
        <is>
          <t>Đồng Nai</t>
        </is>
      </c>
      <c r="G4626" s="10" t="inlineStr">
        <is>
          <t>04-04-2026</t>
        </is>
      </c>
      <c r="H4626" s="10" t="inlineStr">
        <is>
          <t>04/04/2026</t>
        </is>
      </c>
      <c r="I4626" s="10" t="inlineStr">
        <is>
          <t>17/03/2026</t>
        </is>
      </c>
      <c r="J4626" s="10" t="inlineStr">
        <is>
          <t>Thu mua / Vật tư</t>
        </is>
      </c>
      <c r="K4626" s="10" t="inlineStr">
        <is>
          <t>1 - 2 Năm</t>
        </is>
      </c>
      <c r="L4626" s="11">
        <f>HYPERLINK("https://careerviet.vn/vi/tim-viec-lam/material-delivery-management-6-month-contract.35C6755B.html","Xem chi tiết")</f>
        <v/>
      </c>
      <c r="M4626" s="10" t="n"/>
    </row>
    <row r="4627">
      <c r="B4627" s="7" t="n">
        <v>4625</v>
      </c>
      <c r="C4627" t="inlineStr">
        <is>
          <t>Trưởng nhóm Khách hàng cá nhân</t>
        </is>
      </c>
      <c r="D4627" t="inlineStr">
        <is>
          <t>Ngân Hàng TMCP Tiên Phong (TPBank)</t>
        </is>
      </c>
      <c r="E4627" t="inlineStr">
        <is>
          <t>Lương:20 Tr - 28 Tr VND</t>
        </is>
      </c>
      <c r="F4627" t="inlineStr">
        <is>
          <t>Hồ Chí MinhLong An</t>
        </is>
      </c>
      <c r="G4627" t="inlineStr">
        <is>
          <t>04-04-2026</t>
        </is>
      </c>
      <c r="H4627" t="inlineStr">
        <is>
          <t>04/04/2026</t>
        </is>
      </c>
      <c r="I4627" t="inlineStr">
        <is>
          <t>17/03/2026</t>
        </is>
      </c>
      <c r="J4627" t="inlineStr">
        <is>
          <t>Bán hàng / Kinh doanh, Ngân hàng, Tài chính / Đầu tư</t>
        </is>
      </c>
      <c r="K4627" t="inlineStr">
        <is>
          <t>3 - 5 Năm</t>
        </is>
      </c>
      <c r="L4627" s="8">
        <f>HYPERLINK("https://careerviet.vn/vi/tim-viec-lam/truong-nhom-khach-hang-ca-nhan.35C67563.html","Xem chi tiết")</f>
        <v/>
      </c>
    </row>
    <row r="4628">
      <c r="B4628" s="9" t="n">
        <v>4626</v>
      </c>
      <c r="C4628" s="10" t="inlineStr">
        <is>
          <t>Chuyên Viên Tuyển Dụng (Công tác viên, làm việc toàn thời gian tại Văn phòng)</t>
        </is>
      </c>
      <c r="D4628" s="10" t="inlineStr">
        <is>
          <t>Tập đoàn Stavian (Stavian Group)</t>
        </is>
      </c>
      <c r="E4628" s="10" t="inlineStr">
        <is>
          <t>Lương:Cạnh tranh</t>
        </is>
      </c>
      <c r="F4628" s="10" t="inlineStr">
        <is>
          <t>Hà Nội</t>
        </is>
      </c>
      <c r="G4628" s="10" t="inlineStr">
        <is>
          <t>04-04-2026</t>
        </is>
      </c>
      <c r="H4628" s="10" t="inlineStr">
        <is>
          <t>04/04/2026</t>
        </is>
      </c>
      <c r="I4628" s="10" t="inlineStr">
        <is>
          <t>17/03/2026</t>
        </is>
      </c>
      <c r="J4628" s="10" t="inlineStr">
        <is>
          <t>Hành chính / Thư ký, Quảng cáo / Đối ngoại / Truyền Thông, Nhân sự</t>
        </is>
      </c>
      <c r="K4628" s="10" t="inlineStr">
        <is>
          <t>2 - 5 Năm</t>
        </is>
      </c>
      <c r="L4628" s="11">
        <f>HYPERLINK("https://careerviet.vn/vi/tim-viec-lam/chuyen-vien-tuyen-dung-cong-tac-vien-lam-viec-toan-thoi-gian-tai-van-phong.35C6749F.html","Xem chi tiết")</f>
        <v/>
      </c>
      <c r="M4628" s="10" t="n"/>
    </row>
    <row r="4629">
      <c r="B4629" s="7" t="n">
        <v>4627</v>
      </c>
      <c r="C4629" t="inlineStr">
        <is>
          <t>Trưởng Nhóm Kinh Doanh/ SALES LEADER</t>
        </is>
      </c>
      <c r="D4629" t="inlineStr">
        <is>
          <t>Công ty TNHH SEOHEUNG VIETNAM</t>
        </is>
      </c>
      <c r="E4629" t="inlineStr">
        <is>
          <t>Lương:16 Tr - 25 Tr VND</t>
        </is>
      </c>
      <c r="F4629" t="inlineStr">
        <is>
          <t>Bình Dương</t>
        </is>
      </c>
      <c r="G4629" t="inlineStr">
        <is>
          <t>04-04-2026</t>
        </is>
      </c>
      <c r="H4629" t="inlineStr">
        <is>
          <t>04/04/2026</t>
        </is>
      </c>
      <c r="I4629" t="inlineStr">
        <is>
          <t>17/03/2026</t>
        </is>
      </c>
      <c r="J4629" t="inlineStr">
        <is>
          <t>Tiếp thị / Marketing, Bán hàng / Kinh doanh, Quản lý điều hành</t>
        </is>
      </c>
      <c r="K4629" t="inlineStr">
        <is>
          <t>5 - 10 Năm</t>
        </is>
      </c>
      <c r="L4629" s="8">
        <f>HYPERLINK("https://careerviet.vn/vi/tim-viec-lam/truong-nhom-kinh-doanh-sales-leader.35C67472.html","Xem chi tiết")</f>
        <v/>
      </c>
    </row>
    <row r="4630">
      <c r="B4630" s="9" t="n">
        <v>4628</v>
      </c>
      <c r="C4630" s="10" t="inlineStr">
        <is>
          <t>Chuyên viên cao cấp Quản lý Bảo hiểm - HO - 4H091</t>
        </is>
      </c>
      <c r="D4630" s="10" t="inlineStr">
        <is>
          <t>Tập đoàn ROX (ROX Group)</t>
        </is>
      </c>
      <c r="E4630" s="10" t="inlineStr">
        <is>
          <t>Lương:Cạnh tranh</t>
        </is>
      </c>
      <c r="F4630" s="10" t="inlineStr">
        <is>
          <t>Hà Nội</t>
        </is>
      </c>
      <c r="G4630" s="10" t="inlineStr">
        <is>
          <t>04-04-2026</t>
        </is>
      </c>
      <c r="H4630" s="10" t="inlineStr">
        <is>
          <t>04/04/2026</t>
        </is>
      </c>
      <c r="I4630" s="10" t="inlineStr">
        <is>
          <t>17/03/2026</t>
        </is>
      </c>
      <c r="J4630" s="10" t="inlineStr">
        <is>
          <t>Bảo hiểm</t>
        </is>
      </c>
      <c r="K4630" s="10" t="inlineStr">
        <is>
          <t>Trên 4 Năm</t>
        </is>
      </c>
      <c r="L4630" s="11">
        <f>HYPERLINK("https://careerviet.vn/vi/tim-viec-lam/chuyen-vien-cao-cap-quan-ly-bao-hiem-ho-4h091.35C6745F.html","Xem chi tiết")</f>
        <v/>
      </c>
      <c r="M4630" s="10" t="n"/>
    </row>
    <row r="4631">
      <c r="B4631" s="7" t="n">
        <v>4629</v>
      </c>
      <c r="C4631" t="inlineStr">
        <is>
          <t>NHÂN VIÊN KINH DOANH</t>
        </is>
      </c>
      <c r="D4631" t="inlineStr">
        <is>
          <t>Công ty TNHH Xây Dựng Và Quản Lý Đô Thị Bắc Ninh</t>
        </is>
      </c>
      <c r="E4631" t="inlineStr">
        <is>
          <t>Lương:8 Tr - 20 Tr VND</t>
        </is>
      </c>
      <c r="F4631" t="inlineStr">
        <is>
          <t>Bắc NinhHà NộiBắc Giang</t>
        </is>
      </c>
      <c r="G4631" t="inlineStr">
        <is>
          <t>04-04-2026</t>
        </is>
      </c>
      <c r="H4631" t="inlineStr">
        <is>
          <t>04/04/2026</t>
        </is>
      </c>
      <c r="I4631" t="inlineStr">
        <is>
          <t>17/03/2026</t>
        </is>
      </c>
      <c r="J4631" t="inlineStr">
        <is>
          <t>Hành chính / Thư ký, Nhân sự, Xây dựng</t>
        </is>
      </c>
      <c r="K4631" t="inlineStr">
        <is>
          <t>Lên đến 1 Năm</t>
        </is>
      </c>
      <c r="L4631" s="8">
        <f>HYPERLINK("https://careerviet.vn/vi/tim-viec-lam/nhan-vien-kinh-doanh.35C67509.html","Xem chi tiết")</f>
        <v/>
      </c>
    </row>
    <row r="4632">
      <c r="B4632" s="9" t="n">
        <v>4630</v>
      </c>
      <c r="C4632" s="10" t="inlineStr">
        <is>
          <t>Kỹ thuật viên chất lượng và an toàn thực phẩm ( Thời vụ 7 tháng)</t>
        </is>
      </c>
      <c r="D4632" s="10" t="inlineStr">
        <is>
          <t>Công ty TNHH Olam Việt Nam</t>
        </is>
      </c>
      <c r="E4632" s="10" t="inlineStr">
        <is>
          <t>Lương:Cạnh tranh</t>
        </is>
      </c>
      <c r="F4632" s="10" t="inlineStr">
        <is>
          <t>Long An</t>
        </is>
      </c>
      <c r="G4632" s="10" t="inlineStr">
        <is>
          <t>04-04-2026</t>
        </is>
      </c>
      <c r="H4632" s="10" t="inlineStr">
        <is>
          <t>04/04/2026</t>
        </is>
      </c>
      <c r="I4632" s="10" t="inlineStr">
        <is>
          <t>17/03/2026</t>
        </is>
      </c>
      <c r="J4632" s="10" t="inlineStr">
        <is>
          <t>Thực phẩm &amp; Đồ uống, Quản lý chất lượng (QA/QC), Công nghệ sinh học</t>
        </is>
      </c>
      <c r="K4632" s="10" t="inlineStr">
        <is>
          <t>N/A</t>
        </is>
      </c>
      <c r="L4632" s="11">
        <f>HYPERLINK("https://careerviet.vn/vi/tim-viec-lam/ky-thuat-vien-chat-luong-va-an-toan-thuc-pham-thoi-vu-7-thang.35C67479.html","Xem chi tiết")</f>
        <v/>
      </c>
      <c r="M4632" s="10" t="n"/>
    </row>
    <row r="4633">
      <c r="B4633" s="7" t="n">
        <v>4631</v>
      </c>
      <c r="C4633" t="inlineStr">
        <is>
          <t>Devops Engineer</t>
        </is>
      </c>
      <c r="D4633" t="inlineStr">
        <is>
          <t>Công ty TNHH Viettel - CHT</t>
        </is>
      </c>
      <c r="E4633" t="inlineStr">
        <is>
          <t>Lương:Cạnh tranh</t>
        </is>
      </c>
      <c r="F4633" t="inlineStr">
        <is>
          <t>Hà Nội</t>
        </is>
      </c>
      <c r="G4633" t="inlineStr">
        <is>
          <t>04-04-2026</t>
        </is>
      </c>
      <c r="H4633" t="inlineStr">
        <is>
          <t>04/04/2026</t>
        </is>
      </c>
      <c r="I4633" t="inlineStr">
        <is>
          <t>17/03/2026</t>
        </is>
      </c>
      <c r="J4633" t="inlineStr">
        <is>
          <t>CNTT - Phần mềm, CNTT - Phần cứng / Mạng</t>
        </is>
      </c>
      <c r="K4633" t="inlineStr">
        <is>
          <t>Trên 2 Năm</t>
        </is>
      </c>
      <c r="L4633" s="8">
        <f>HYPERLINK("https://careerviet.vn/vi/tim-viec-lam/devops-engineer.35C675A4.html","Xem chi tiết")</f>
        <v/>
      </c>
    </row>
    <row r="4634">
      <c r="B4634" s="9" t="n">
        <v>4632</v>
      </c>
      <c r="C4634" s="10" t="inlineStr">
        <is>
          <t>Chuyên viên Quản trị dữ liệu</t>
        </is>
      </c>
      <c r="D4634" s="10" t="inlineStr">
        <is>
          <t>NGÂN HÀNG TRÁCH NHIỆM HỮU HẠN MỘT THÀNH VIÊN VIỆT NAM HIỆN ĐẠI</t>
        </is>
      </c>
      <c r="E4634" s="10" t="inlineStr">
        <is>
          <t>Lương:Cạnh tranh</t>
        </is>
      </c>
      <c r="F4634" s="10" t="inlineStr">
        <is>
          <t>Hà Nội</t>
        </is>
      </c>
      <c r="G4634" s="10" t="inlineStr">
        <is>
          <t>04-04-2026</t>
        </is>
      </c>
      <c r="H4634" s="10" t="inlineStr">
        <is>
          <t>04/04/2026</t>
        </is>
      </c>
      <c r="I4634" s="10" t="inlineStr">
        <is>
          <t>17/03/2026</t>
        </is>
      </c>
      <c r="J4634" s="10" t="inlineStr">
        <is>
          <t>CNTT - Phần mềm</t>
        </is>
      </c>
      <c r="K4634" s="10" t="inlineStr">
        <is>
          <t>1 - 3 Năm</t>
        </is>
      </c>
      <c r="L4634" s="11">
        <f>HYPERLINK("https://careerviet.vn/vi/tim-viec-lam/chuyen-vien-quan-tri-du-lieu.35C67513.html","Xem chi tiết")</f>
        <v/>
      </c>
      <c r="M4634" s="10" t="n"/>
    </row>
    <row r="4635">
      <c r="B4635" s="7" t="n">
        <v>4633</v>
      </c>
      <c r="C4635" t="inlineStr">
        <is>
          <t>TT. Nhân sự &amp; Đào tạo, Hội sở - CVCC Phát triển nguồn nhân lực</t>
        </is>
      </c>
      <c r="D4635" t="inlineStr">
        <is>
          <t>Ngân Hàng TMCP Phương Đông - OCB</t>
        </is>
      </c>
      <c r="E4635" t="inlineStr">
        <is>
          <t>Lương:Cạnh tranh</t>
        </is>
      </c>
      <c r="F4635" t="inlineStr">
        <is>
          <t>Hồ Chí Minh</t>
        </is>
      </c>
      <c r="G4635" t="inlineStr">
        <is>
          <t>31-03-2026</t>
        </is>
      </c>
      <c r="H4635" t="inlineStr">
        <is>
          <t>31/03/2026</t>
        </is>
      </c>
      <c r="I4635" t="inlineStr">
        <is>
          <t>17/03/2026</t>
        </is>
      </c>
      <c r="J4635" t="inlineStr">
        <is>
          <t>Nhân sự, Ngân hàng</t>
        </is>
      </c>
      <c r="K4635" t="inlineStr">
        <is>
          <t>5 - 7 Năm</t>
        </is>
      </c>
      <c r="L4635" s="8">
        <f>HYPERLINK("https://careerviet.vn/vi/tim-viec-lam/tt-nhan-su-dao-tao-hoi-so-cvcc-phat-trien-nguon-nhan-luc.35C69DE5.html","Xem chi tiết")</f>
        <v/>
      </c>
    </row>
    <row r="4636">
      <c r="B4636" s="9" t="n">
        <v>4634</v>
      </c>
      <c r="C4636" s="10" t="inlineStr">
        <is>
          <t>Trợ Lý Giám Đốc Campaign &amp; Operations</t>
        </is>
      </c>
      <c r="D4636" s="10" t="inlineStr">
        <is>
          <t>Công ty TNHH SOKOGROUP</t>
        </is>
      </c>
      <c r="E4636" s="10" t="inlineStr">
        <is>
          <t>Lương:11 Tr - 13 Tr VND</t>
        </is>
      </c>
      <c r="F4636" s="10" t="inlineStr">
        <is>
          <t>Hồ Chí Minh</t>
        </is>
      </c>
      <c r="G4636" s="10" t="inlineStr">
        <is>
          <t>26-03-2026</t>
        </is>
      </c>
      <c r="H4636" s="10" t="inlineStr">
        <is>
          <t>26/03/2026</t>
        </is>
      </c>
      <c r="I4636" s="10" t="inlineStr">
        <is>
          <t>17/03/2026</t>
        </is>
      </c>
      <c r="J4636" s="10" t="inlineStr">
        <is>
          <t>Hành chính / Thư ký</t>
        </is>
      </c>
      <c r="K4636" s="10" t="inlineStr">
        <is>
          <t>2 - 3 Năm</t>
        </is>
      </c>
      <c r="L4636" s="11">
        <f>HYPERLINK("https://careerviet.vn/vi/tim-viec-lam/tro-ly-giam-doc-campaign-operations.35C69E1F.html","Xem chi tiết")</f>
        <v/>
      </c>
      <c r="M4636" s="10" t="n"/>
    </row>
    <row r="4637">
      <c r="B4637" s="7" t="n">
        <v>4635</v>
      </c>
      <c r="C4637" t="inlineStr">
        <is>
          <t>Nhân viên mua hàng</t>
        </is>
      </c>
      <c r="D4637" t="inlineStr">
        <is>
          <t>Công ty TNHH GIVI VIỆT NAM</t>
        </is>
      </c>
      <c r="E4637" t="inlineStr">
        <is>
          <t>Lương:15 Tr - 20 Tr VND</t>
        </is>
      </c>
      <c r="F4637" t="inlineStr">
        <is>
          <t>Long An</t>
        </is>
      </c>
      <c r="G4637" t="inlineStr">
        <is>
          <t>31-03-2026</t>
        </is>
      </c>
      <c r="H4637" t="inlineStr">
        <is>
          <t>31/03/2026</t>
        </is>
      </c>
      <c r="I4637" t="inlineStr">
        <is>
          <t>17/03/2026</t>
        </is>
      </c>
      <c r="J4637" t="inlineStr">
        <is>
          <t>Thu mua / Vật tư, Sản xuất / Vận hành sản xuất, Dệt may / Da giày / Thời trang</t>
        </is>
      </c>
      <c r="K4637" t="inlineStr">
        <is>
          <t>Chưa có kinh nghiệm</t>
        </is>
      </c>
      <c r="L4637" s="8">
        <f>HYPERLINK("https://careerviet.vn/vi/tim-viec-lam/nhan-vien-mua-hang.35C69DA3.html","Xem chi tiết")</f>
        <v/>
      </c>
    </row>
    <row r="4638">
      <c r="B4638" s="9" t="n">
        <v>4636</v>
      </c>
      <c r="C4638" s="10" t="inlineStr">
        <is>
          <t>Chuyên viên Tối ưu Logistics</t>
        </is>
      </c>
      <c r="D4638" s="10" t="inlineStr">
        <is>
          <t>VINFAST TRADING AND PRODUCTION JSC</t>
        </is>
      </c>
      <c r="E4638" s="10" t="inlineStr">
        <is>
          <t>Lương:Cạnh tranh</t>
        </is>
      </c>
      <c r="F4638" s="10" t="inlineStr">
        <is>
          <t>Hà Tĩnh</t>
        </is>
      </c>
      <c r="G4638" s="10" t="inlineStr">
        <is>
          <t>04-04-2026</t>
        </is>
      </c>
      <c r="H4638" s="10" t="inlineStr">
        <is>
          <t>04/04/2026</t>
        </is>
      </c>
      <c r="I4638" s="10" t="inlineStr">
        <is>
          <t>17/03/2026</t>
        </is>
      </c>
      <c r="J4638" s="10" t="inlineStr">
        <is>
          <t>Vận chuyển / Giao nhận / Kho vận, Sản xuất / Vận hành sản xuất</t>
        </is>
      </c>
      <c r="K4638" s="10" t="inlineStr">
        <is>
          <t>1 - 2 Năm</t>
        </is>
      </c>
      <c r="L4638" s="11">
        <f>HYPERLINK("https://careerviet.vn/vi/tim-viec-lam/chuyen-vien-toi-uu-logistics.35C6752E.html","Xem chi tiết")</f>
        <v/>
      </c>
      <c r="M4638" s="10" t="n"/>
    </row>
    <row r="4639">
      <c r="B4639" s="7" t="n">
        <v>4637</v>
      </c>
      <c r="C4639" t="inlineStr">
        <is>
          <t>Quality Engineer</t>
        </is>
      </c>
      <c r="D4639" t="inlineStr">
        <is>
          <t>CÔNG TY TNHH C-HAWK TECHNOLOGY VIỆT NAM</t>
        </is>
      </c>
      <c r="E4639" t="inlineStr">
        <is>
          <t>Lương:Cạnh tranh</t>
        </is>
      </c>
      <c r="F4639" t="inlineStr">
        <is>
          <t>Bình Dương</t>
        </is>
      </c>
      <c r="G4639" t="inlineStr">
        <is>
          <t>05-03-2026</t>
        </is>
      </c>
      <c r="H4639" t="inlineStr">
        <is>
          <t>03/03/2026</t>
        </is>
      </c>
      <c r="I4639" t="inlineStr">
        <is>
          <t>17/03/2026</t>
        </is>
      </c>
      <c r="J4639" t="inlineStr">
        <is>
          <t>Điện / Điện tử / Điện lạnh / Điện công nghiệp</t>
        </is>
      </c>
      <c r="K4639" t="inlineStr">
        <is>
          <t>2 - 5 Năm</t>
        </is>
      </c>
      <c r="L4639" s="8">
        <f>HYPERLINK("https://careerviet.vn/vi/tim-viec-lam/quality-engineer.35C69E4E.html","Xem chi tiết")</f>
        <v/>
      </c>
    </row>
    <row r="4640">
      <c r="B4640" s="9" t="n">
        <v>4638</v>
      </c>
      <c r="C4640" s="10" t="inlineStr">
        <is>
          <t>OPERATION SUPERVISOR (Event - Teambuilding)</t>
        </is>
      </c>
      <c r="D4640" s="10" t="inlineStr">
        <is>
          <t>CÔNG TY CỔ PHẦN TRUYỀN THÔNG ÁNH SAO XANH</t>
        </is>
      </c>
      <c r="E4640" s="10" t="inlineStr">
        <is>
          <t>Lương:Cạnh tranh</t>
        </is>
      </c>
      <c r="F4640" s="10" t="inlineStr">
        <is>
          <t>Hồ Chí Minh</t>
        </is>
      </c>
      <c r="G4640" s="10" t="inlineStr">
        <is>
          <t>31-03-2026</t>
        </is>
      </c>
      <c r="H4640" s="10" t="inlineStr">
        <is>
          <t>31/03/2026</t>
        </is>
      </c>
      <c r="I4640" s="10" t="inlineStr">
        <is>
          <t>17/03/2026</t>
        </is>
      </c>
      <c r="J4640" s="10" t="inlineStr">
        <is>
          <t>Tổ chức sự kiện</t>
        </is>
      </c>
      <c r="K4640" s="10" t="inlineStr">
        <is>
          <t>1 - 2 Năm</t>
        </is>
      </c>
      <c r="L4640" s="11">
        <f>HYPERLINK("https://careerviet.vn/vi/tim-viec-lam/operation-supervisor-event-teambuilding.35C69FA2.html","Xem chi tiết")</f>
        <v/>
      </c>
      <c r="M4640" s="10" t="n"/>
    </row>
    <row r="4641">
      <c r="B4641" s="7" t="n">
        <v>4639</v>
      </c>
      <c r="C4641" t="inlineStr">
        <is>
          <t>Trưởng nhóm kinh doanh thực phẩm kênh KA</t>
        </is>
      </c>
      <c r="D4641" t="inlineStr">
        <is>
          <t>CÔNG TY CỔ PHẦN THỰC PHẨM THIÊN VƯƠNG</t>
        </is>
      </c>
      <c r="E4641" t="inlineStr">
        <is>
          <t>Lương:30 Tr - 50 Tr VND</t>
        </is>
      </c>
      <c r="F4641" t="inlineStr">
        <is>
          <t>Hồ Chí Minh</t>
        </is>
      </c>
      <c r="G4641" t="inlineStr">
        <is>
          <t>30-03-2026</t>
        </is>
      </c>
      <c r="H4641" t="inlineStr">
        <is>
          <t>30/03/2026</t>
        </is>
      </c>
      <c r="I4641" t="inlineStr">
        <is>
          <t>17/03/2026</t>
        </is>
      </c>
      <c r="J4641" t="inlineStr">
        <is>
          <t>Bán hàng / Kinh doanh, Thực phẩm &amp; Đồ uống</t>
        </is>
      </c>
      <c r="K4641" t="inlineStr">
        <is>
          <t>3 - 5 Năm</t>
        </is>
      </c>
      <c r="L4641" s="8">
        <f>HYPERLINK("https://careerviet.vn/vi/tim-viec-lam/truong-nhom-kinh-doanh-thuc-pham-kenh-ka.35C6A06E.html","Xem chi tiết")</f>
        <v/>
      </c>
    </row>
    <row r="4642">
      <c r="B4642" s="9" t="n">
        <v>4640</v>
      </c>
      <c r="C4642" s="10" t="inlineStr">
        <is>
          <t>QUẢN LÝ NHÀ MÁY</t>
        </is>
      </c>
      <c r="D4642" s="10" t="inlineStr">
        <is>
          <t>Công ty TNHH Cơ Điện Lạnh Lê Quốc</t>
        </is>
      </c>
      <c r="E4642" s="10" t="inlineStr">
        <is>
          <t>Lương:Cạnh tranh</t>
        </is>
      </c>
      <c r="F4642" s="10" t="inlineStr">
        <is>
          <t>Hồ Chí Minh</t>
        </is>
      </c>
      <c r="G4642" s="10" t="inlineStr">
        <is>
          <t>04-04-2026</t>
        </is>
      </c>
      <c r="H4642" s="10" t="inlineStr">
        <is>
          <t>04/04/2026</t>
        </is>
      </c>
      <c r="I4642" s="10" t="inlineStr">
        <is>
          <t>17/03/2026</t>
        </is>
      </c>
      <c r="J4642" s="10" t="inlineStr">
        <is>
          <t>Điện / Điện tử / Điện lạnh / Điện công nghiệp</t>
        </is>
      </c>
      <c r="K4642" s="10" t="inlineStr">
        <is>
          <t>Trên 5 Năm</t>
        </is>
      </c>
      <c r="L4642" s="11">
        <f>HYPERLINK("https://careerviet.vn/vi/tim-viec-lam/quan-ly-nha-may.35C674BE.html","Xem chi tiết")</f>
        <v/>
      </c>
      <c r="M4642" s="10" t="n"/>
    </row>
    <row r="4643">
      <c r="B4643" s="7" t="n">
        <v>4641</v>
      </c>
      <c r="C4643" t="inlineStr">
        <is>
          <t>Planning Staff</t>
        </is>
      </c>
      <c r="D4643" t="inlineStr">
        <is>
          <t>TNHH Sài Gòn Fabrication (Fab-9) Vietnam</t>
        </is>
      </c>
      <c r="E4643" t="inlineStr">
        <is>
          <t>Lương:8 Tr - 12 Tr VND</t>
        </is>
      </c>
      <c r="F4643" t="inlineStr">
        <is>
          <t>Bình Dương</t>
        </is>
      </c>
      <c r="G4643" t="inlineStr">
        <is>
          <t>31-03-2026</t>
        </is>
      </c>
      <c r="H4643" t="inlineStr">
        <is>
          <t>31/03/2026</t>
        </is>
      </c>
      <c r="I4643" t="inlineStr">
        <is>
          <t>17/03/2026</t>
        </is>
      </c>
      <c r="J4643" t="inlineStr">
        <is>
          <t>Ngành khác</t>
        </is>
      </c>
      <c r="K4643" t="inlineStr">
        <is>
          <t>Chưa có kinh nghiệm</t>
        </is>
      </c>
      <c r="L4643" s="8">
        <f>HYPERLINK("https://careerviet.vn/vi/tim-viec-lam/planning-staff.35C69D28.html","Xem chi tiết")</f>
        <v/>
      </c>
    </row>
    <row r="4644">
      <c r="B4644" s="9" t="n">
        <v>4642</v>
      </c>
      <c r="C4644" s="10" t="inlineStr">
        <is>
          <t>Kỹ Sư Dịch Vụ Kỹ Thuật (Service Engineer)</t>
        </is>
      </c>
      <c r="D4644" s="10" t="inlineStr">
        <is>
          <t>Công ty TNHH Sao Đỏ Việt Nam - Chi nhánh CMS</t>
        </is>
      </c>
      <c r="E4644" s="10" t="inlineStr">
        <is>
          <t>Lương:10 Tr - 20 Tr VND</t>
        </is>
      </c>
      <c r="F4644" s="10" t="inlineStr">
        <is>
          <t>Hồ Chí Minh</t>
        </is>
      </c>
      <c r="G4644" s="10" t="inlineStr">
        <is>
          <t>31-03-2026</t>
        </is>
      </c>
      <c r="H4644" s="10" t="inlineStr">
        <is>
          <t>31/03/2026</t>
        </is>
      </c>
      <c r="I4644" s="10" t="inlineStr">
        <is>
          <t>17/03/2026</t>
        </is>
      </c>
      <c r="J4644" s="10" t="inlineStr">
        <is>
          <t>Hóa học, Bảo trì / Sửa chữaBằng cấpĐại họcĐộ tuổiKhông giới hạn tuổi</t>
        </is>
      </c>
      <c r="K4644" s="10" t="inlineStr">
        <is>
          <t>N/A</t>
        </is>
      </c>
      <c r="L4644" s="11">
        <f>HYPERLINK("https://careerviet.vn/vi/tim-viec-lam/ky-su-dich-vu-ky-thuat-service-engineer.35C6A07F.html","Xem chi tiết")</f>
        <v/>
      </c>
      <c r="M4644" s="10" t="n"/>
    </row>
    <row r="4645">
      <c r="B4645" s="7" t="n">
        <v>4643</v>
      </c>
      <c r="C4645" t="inlineStr">
        <is>
          <t>KỸ THUẬT VIÊN GIÁM SÁT HỆ THỐNG</t>
        </is>
      </c>
      <c r="D4645" t="inlineStr">
        <is>
          <t>CÔNG TY CỔ PHẦN THIẾT BỊ CÔNG NGHIỆP HỮU HỒNG</t>
        </is>
      </c>
      <c r="E4645" t="inlineStr">
        <is>
          <t>Lương:9 Tr - 12 Tr VND</t>
        </is>
      </c>
      <c r="F4645" t="inlineStr">
        <is>
          <t>Hồ Chí Minh</t>
        </is>
      </c>
      <c r="G4645" t="inlineStr">
        <is>
          <t>05-03-2026</t>
        </is>
      </c>
      <c r="H4645" t="inlineStr">
        <is>
          <t>15/03/2026</t>
        </is>
      </c>
      <c r="I4645" t="inlineStr">
        <is>
          <t>17/03/2026</t>
        </is>
      </c>
      <c r="J4645" t="inlineStr">
        <is>
          <t>Điện / Điện tử / Điện lạnh / Điện công nghiệp, CNTT - Phần mềm</t>
        </is>
      </c>
      <c r="K4645" t="inlineStr">
        <is>
          <t>Chưa có kinh nghiệm</t>
        </is>
      </c>
      <c r="L4645" s="8">
        <f>HYPERLINK("https://careerviet.vn/vi/tim-viec-lam/ky-thuat-vien-giam-sat-he-thong.35C69D3F.html","Xem chi tiết")</f>
        <v/>
      </c>
    </row>
    <row r="4646">
      <c r="B4646" s="9" t="n">
        <v>4644</v>
      </c>
      <c r="C4646" s="10" t="inlineStr">
        <is>
          <t>Kế Toán Tổng Hợp</t>
        </is>
      </c>
      <c r="D4646" s="10" t="inlineStr">
        <is>
          <t>Công Ty TNHH KMR Việt Nam</t>
        </is>
      </c>
      <c r="E4646" s="10" t="inlineStr">
        <is>
          <t>Lương:16 Tr - 18 Tr VND</t>
        </is>
      </c>
      <c r="F4646" s="10" t="inlineStr">
        <is>
          <t>Hồ Chí Minh</t>
        </is>
      </c>
      <c r="G4646" s="10" t="inlineStr">
        <is>
          <t>26-03-2026</t>
        </is>
      </c>
      <c r="H4646" s="10" t="inlineStr">
        <is>
          <t>26/03/2026</t>
        </is>
      </c>
      <c r="I4646" s="10" t="inlineStr">
        <is>
          <t>17/03/2026</t>
        </is>
      </c>
      <c r="J4646" s="10" t="inlineStr">
        <is>
          <t>Kế toán / Kiểm toán, Tài chính / Đầu tư, Nhân sự</t>
        </is>
      </c>
      <c r="K4646" s="10" t="inlineStr">
        <is>
          <t>Trên 3 Năm</t>
        </is>
      </c>
      <c r="L4646" s="11">
        <f>HYPERLINK("https://careerviet.vn/vi/tim-viec-lam/ke-toan-tong-hop.35C69EA2.html","Xem chi tiết")</f>
        <v/>
      </c>
      <c r="M4646" s="10" t="n"/>
    </row>
    <row r="4647">
      <c r="B4647" s="7" t="n">
        <v>4645</v>
      </c>
      <c r="C4647" t="inlineStr">
        <is>
          <t>Export Sale</t>
        </is>
      </c>
      <c r="D4647" t="inlineStr">
        <is>
          <t>NANOCO GROUP</t>
        </is>
      </c>
      <c r="E4647" t="inlineStr">
        <is>
          <t>Lương:Cạnh tranh</t>
        </is>
      </c>
      <c r="F4647" t="inlineStr">
        <is>
          <t>Hồ Chí Minh</t>
        </is>
      </c>
      <c r="G4647" t="inlineStr">
        <is>
          <t>29-03-2026</t>
        </is>
      </c>
      <c r="H4647" t="inlineStr">
        <is>
          <t>29/03/2026</t>
        </is>
      </c>
      <c r="I4647" t="inlineStr">
        <is>
          <t>17/03/2026</t>
        </is>
      </c>
      <c r="J4647" t="inlineStr">
        <is>
          <t>Tiếp thị / Marketing, Bán lẻ / Bán sỉ, Bán hàng / Kinh doanh</t>
        </is>
      </c>
      <c r="K4647" t="inlineStr">
        <is>
          <t>N/A</t>
        </is>
      </c>
      <c r="L4647" s="8">
        <f>HYPERLINK("https://careerviet.vn/vi/tim-viec-lam/export-sale.35C69ED1.html","Xem chi tiết")</f>
        <v/>
      </c>
    </row>
    <row r="4648">
      <c r="B4648" s="9" t="n">
        <v>4646</v>
      </c>
      <c r="C4648" s="10" t="inlineStr">
        <is>
          <t>[HO - HCM] Chuyên gia/Chuyên viên cao cấp tái thẩm định Khách hàng Doanh nghiệp</t>
        </is>
      </c>
      <c r="D4648" s="10" t="inlineStr">
        <is>
          <t>Ngân hàng TMCP Phát triển TP.HCM (HDBank)</t>
        </is>
      </c>
      <c r="E4648" s="10" t="inlineStr">
        <is>
          <t>Lương:18 Tr - 35 Tr VND</t>
        </is>
      </c>
      <c r="F4648" s="10" t="inlineStr">
        <is>
          <t>Hồ Chí Minh</t>
        </is>
      </c>
      <c r="G4648" s="10" t="inlineStr">
        <is>
          <t>31-03-2026</t>
        </is>
      </c>
      <c r="H4648" s="10" t="inlineStr">
        <is>
          <t>31/03/2026</t>
        </is>
      </c>
      <c r="I4648" s="10" t="inlineStr">
        <is>
          <t>17/03/2026</t>
        </is>
      </c>
      <c r="J4648" s="10" t="inlineStr">
        <is>
          <t>Ngân hàng, Kế toán / Kiểm toán, Tài chính / Đầu tư</t>
        </is>
      </c>
      <c r="K4648" s="10" t="inlineStr">
        <is>
          <t>1 - 10 Năm</t>
        </is>
      </c>
      <c r="L4648" s="11">
        <f>HYPERLINK("https://careerviet.vn/vi/tim-viec-lam/ho-hcm-chuyen-gia-chuyen-vien-cao-cap-tai-tham-dinh-khach-hang-doanh-nghiep.35C69DE1.html","Xem chi tiết")</f>
        <v/>
      </c>
      <c r="M4648" s="10" t="n"/>
    </row>
    <row r="4649">
      <c r="B4649" s="7" t="n">
        <v>4647</v>
      </c>
      <c r="C4649" t="inlineStr">
        <is>
          <t>Content Creator Team Leader / Trưởng Nhóm Sáng Tạo Nội Dung</t>
        </is>
      </c>
      <c r="D4649" t="inlineStr">
        <is>
          <t>JoyMall - Nhà Phân Phối Locknlock</t>
        </is>
      </c>
      <c r="E4649" t="inlineStr">
        <is>
          <t>Lương:12 Tr - 20 Tr VND</t>
        </is>
      </c>
      <c r="F4649" t="inlineStr">
        <is>
          <t>Hồ Chí Minh</t>
        </is>
      </c>
      <c r="G4649" t="inlineStr">
        <is>
          <t>31-03-2026</t>
        </is>
      </c>
      <c r="H4649" t="inlineStr">
        <is>
          <t>31/03/2026</t>
        </is>
      </c>
      <c r="I4649" t="inlineStr">
        <is>
          <t>17/03/2026</t>
        </is>
      </c>
      <c r="J4649" t="inlineStr">
        <is>
          <t>Truyền hình / Báo chí / Biên tập, Tiếp thị / Marketing, Quảng cáo / Đối ngoại / Truyền Thông</t>
        </is>
      </c>
      <c r="K4649" t="inlineStr">
        <is>
          <t>Lên đến 1 Năm</t>
        </is>
      </c>
      <c r="L4649" s="8">
        <f>HYPERLINK("https://careerviet.vn/vi/tim-viec-lam/content-creator-team-leader-truong-nhom-sang-tao-noi-dung.35C69F99.html","Xem chi tiết")</f>
        <v/>
      </c>
    </row>
    <row r="4650">
      <c r="B4650" s="9" t="n">
        <v>4648</v>
      </c>
      <c r="C4650" s="10" t="inlineStr">
        <is>
          <t>Chuyên viên IT (Quản trị hệ thống)</t>
        </is>
      </c>
      <c r="D4650" s="10" t="inlineStr">
        <is>
          <t>CÔNG TY TNHH Y TẾ H PLUS</t>
        </is>
      </c>
      <c r="E4650" s="10" t="inlineStr">
        <is>
          <t>Lương:20 Tr - 30 Tr VND</t>
        </is>
      </c>
      <c r="F4650" s="10" t="inlineStr">
        <is>
          <t>Hà Nội</t>
        </is>
      </c>
      <c r="G4650" s="10" t="inlineStr">
        <is>
          <t>27-03-2026</t>
        </is>
      </c>
      <c r="H4650" s="10" t="inlineStr">
        <is>
          <t>27/03/2026</t>
        </is>
      </c>
      <c r="I4650" s="10" t="inlineStr">
        <is>
          <t>17/03/2026</t>
        </is>
      </c>
      <c r="J4650" s="10" t="inlineStr">
        <is>
          <t>CNTT - Phần mềm, CNTT - Phần cứng / Mạng, Y tế / Chăm sóc sức khỏe / Thẩm mỹ / Làm đẹp</t>
        </is>
      </c>
      <c r="K4650" s="10" t="inlineStr">
        <is>
          <t>Trên 2 Năm</t>
        </is>
      </c>
      <c r="L4650" s="11">
        <f>HYPERLINK("https://careerviet.vn/vi/tim-viec-lam/chuyen-vien-it-quan-tri-he-thong.35C69DAC.html","Xem chi tiết")</f>
        <v/>
      </c>
      <c r="M4650" s="10" t="n"/>
    </row>
    <row r="4651">
      <c r="B4651" s="7" t="n">
        <v>4649</v>
      </c>
      <c r="C4651" t="inlineStr">
        <is>
          <t>PHÓ PHÒNG KẾ TOÁN</t>
        </is>
      </c>
      <c r="D4651" t="inlineStr">
        <is>
          <t>Công ty CP Thương mại Dịch vụ An Biên</t>
        </is>
      </c>
      <c r="E4651" t="inlineStr">
        <is>
          <t>Lương:25 Tr - 30 Tr VND</t>
        </is>
      </c>
      <c r="F4651" t="inlineStr">
        <is>
          <t>Hồ Chí Minh</t>
        </is>
      </c>
      <c r="G4651" t="inlineStr">
        <is>
          <t>29-03-2026</t>
        </is>
      </c>
      <c r="H4651" t="inlineStr">
        <is>
          <t>29/03/2026</t>
        </is>
      </c>
      <c r="I4651" t="inlineStr">
        <is>
          <t>17/03/2026</t>
        </is>
      </c>
      <c r="J4651" t="inlineStr">
        <is>
          <t>Kế toán / Kiểm toán, Tài chính / Đầu tư, Ngân hàng</t>
        </is>
      </c>
      <c r="K4651" t="inlineStr">
        <is>
          <t>3 - 5 Năm</t>
        </is>
      </c>
      <c r="L4651" s="8">
        <f>HYPERLINK("https://careerviet.vn/vi/tim-viec-lam/pho-phong-ke-toan.35C69D84.html","Xem chi tiết")</f>
        <v/>
      </c>
    </row>
    <row r="4652">
      <c r="B4652" s="9" t="n">
        <v>4650</v>
      </c>
      <c r="C4652" s="10" t="inlineStr">
        <is>
          <t>Giám đốc kinh doanh</t>
        </is>
      </c>
      <c r="D4652" s="10" t="inlineStr">
        <is>
          <t>Công ty BĐS Esy House</t>
        </is>
      </c>
      <c r="E4652" s="10" t="inlineStr">
        <is>
          <t>Lương:22 Tr - 30 Tr VND</t>
        </is>
      </c>
      <c r="F4652" s="10" t="inlineStr">
        <is>
          <t>Hồ Chí Minh</t>
        </is>
      </c>
      <c r="G4652" s="10" t="inlineStr">
        <is>
          <t>31-03-2026</t>
        </is>
      </c>
      <c r="H4652" s="10" t="inlineStr">
        <is>
          <t>31/03/2026</t>
        </is>
      </c>
      <c r="I4652" s="10" t="inlineStr">
        <is>
          <t>17/03/2026</t>
        </is>
      </c>
      <c r="J4652" s="10" t="inlineStr">
        <is>
          <t>Bán hàng / Kinh doanh</t>
        </is>
      </c>
      <c r="K4652" s="10" t="inlineStr">
        <is>
          <t>3 - 5 Năm</t>
        </is>
      </c>
      <c r="L4652" s="11">
        <f>HYPERLINK("https://careerviet.vn/vi/tim-viec-lam/giam-doc-kinh-doanh.35C645C9.html","Xem chi tiết")</f>
        <v/>
      </c>
      <c r="M4652" s="10" t="n"/>
    </row>
    <row r="4653">
      <c r="B4653" s="7" t="n">
        <v>4651</v>
      </c>
      <c r="C4653" t="inlineStr">
        <is>
          <t>Nhân viên an toàn lao động</t>
        </is>
      </c>
      <c r="D4653" t="inlineStr">
        <is>
          <t>Shinpoong Daewoo Pharma</t>
        </is>
      </c>
      <c r="E4653" t="inlineStr">
        <is>
          <t>Lương:Cạnh tranh</t>
        </is>
      </c>
      <c r="F4653" t="inlineStr">
        <is>
          <t>Đồng Nai</t>
        </is>
      </c>
      <c r="G4653" t="inlineStr">
        <is>
          <t>30-03-2026</t>
        </is>
      </c>
      <c r="H4653" t="inlineStr">
        <is>
          <t>30/03/2026</t>
        </is>
      </c>
      <c r="I4653" t="inlineStr">
        <is>
          <t>17/03/2026</t>
        </is>
      </c>
      <c r="J4653" t="inlineStr">
        <is>
          <t>Dược phẩm/ Hóa Mỹ Phẩm, An toàn lao động</t>
        </is>
      </c>
      <c r="K4653" t="inlineStr">
        <is>
          <t>2 - 3 Năm</t>
        </is>
      </c>
      <c r="L4653" s="8">
        <f>HYPERLINK("https://careerviet.vn/vi/tim-viec-lam/nhan-vien-an-toan-lao-dong.35C69D1B.html","Xem chi tiết")</f>
        <v/>
      </c>
    </row>
    <row r="4654">
      <c r="B4654" s="9" t="n">
        <v>4652</v>
      </c>
      <c r="C4654" s="10" t="inlineStr">
        <is>
          <t>Chuyên Viên Kế Toán Dự Án</t>
        </is>
      </c>
      <c r="D4654" s="10" t="inlineStr">
        <is>
          <t>CÔNG TY CỔ PHẦN PHÁT TRIỂN BẤT ĐỘNG SẢN VĂN PHÚ</t>
        </is>
      </c>
      <c r="E4654" s="10" t="inlineStr">
        <is>
          <t>Lương:20 Tr - 25 Tr VND</t>
        </is>
      </c>
      <c r="F4654" s="10" t="inlineStr">
        <is>
          <t>Hà Nội</t>
        </is>
      </c>
      <c r="G4654" s="10" t="inlineStr">
        <is>
          <t>31-03-2026</t>
        </is>
      </c>
      <c r="H4654" s="10" t="inlineStr">
        <is>
          <t>31/03/2026</t>
        </is>
      </c>
      <c r="I4654" s="10" t="inlineStr">
        <is>
          <t>17/03/2026</t>
        </is>
      </c>
      <c r="J4654" s="10" t="inlineStr">
        <is>
          <t>Kế toán / Kiểm toán</t>
        </is>
      </c>
      <c r="K4654" s="10" t="inlineStr">
        <is>
          <t>3 - 6 Năm</t>
        </is>
      </c>
      <c r="L4654" s="11">
        <f>HYPERLINK("https://careerviet.vn/vi/tim-viec-lam/chuyen-vien-ke-toan-du-an.35C64515.html","Xem chi tiết")</f>
        <v/>
      </c>
      <c r="M4654" s="10" t="n"/>
    </row>
    <row r="4655">
      <c r="B4655" s="7" t="n">
        <v>4653</v>
      </c>
      <c r="C4655" t="inlineStr">
        <is>
          <t>QMS – ISO Quality Specialist</t>
        </is>
      </c>
      <c r="D4655" t="inlineStr">
        <is>
          <t>VINFAST TRADING AND PRODUCTION JSC</t>
        </is>
      </c>
      <c r="E4655" t="inlineStr">
        <is>
          <t>Lương:Cạnh tranh</t>
        </is>
      </c>
      <c r="F4655" t="inlineStr">
        <is>
          <t>Hà Tĩnh</t>
        </is>
      </c>
      <c r="G4655" t="inlineStr">
        <is>
          <t>31-03-2026</t>
        </is>
      </c>
      <c r="H4655" t="inlineStr">
        <is>
          <t>31/03/2026</t>
        </is>
      </c>
      <c r="I4655" t="inlineStr">
        <is>
          <t>17/03/2026</t>
        </is>
      </c>
      <c r="J4655" t="inlineStr">
        <is>
          <t>Sản xuất / Vận hành sản xuất</t>
        </is>
      </c>
      <c r="K4655" t="inlineStr">
        <is>
          <t>3 - 5 Năm</t>
        </is>
      </c>
      <c r="L4655" s="8">
        <f>HYPERLINK("https://careerviet.vn/vi/tim-viec-lam/qms-iso-quality-specialist.35C6433B.html","Xem chi tiết")</f>
        <v/>
      </c>
    </row>
    <row r="4656">
      <c r="B4656" s="9" t="n">
        <v>4654</v>
      </c>
      <c r="C4656" s="10" t="inlineStr">
        <is>
          <t>Nhân viên kiến trúc sư</t>
        </is>
      </c>
      <c r="D4656" s="10" t="inlineStr">
        <is>
          <t>CÔNG TY CỔ PHẦN ANGEL CORPORATION</t>
        </is>
      </c>
      <c r="E4656" s="10" t="inlineStr">
        <is>
          <t>Lương:15 Tr - 18 Tr VND</t>
        </is>
      </c>
      <c r="F4656" s="10" t="inlineStr">
        <is>
          <t>Hồ Chí Minh</t>
        </is>
      </c>
      <c r="G4656" s="10" t="inlineStr">
        <is>
          <t>31-03-2026</t>
        </is>
      </c>
      <c r="H4656" s="10" t="inlineStr">
        <is>
          <t>31/03/2026</t>
        </is>
      </c>
      <c r="I4656" s="10" t="inlineStr">
        <is>
          <t>17/03/2026</t>
        </is>
      </c>
      <c r="J4656" s="10" t="inlineStr">
        <is>
          <t>Mỹ thuật / Nghệ thuật / Thiết kế, Kiến trúc, Nội ngoại thất</t>
        </is>
      </c>
      <c r="K4656" s="10" t="inlineStr">
        <is>
          <t>1 - 2 Năm</t>
        </is>
      </c>
      <c r="L4656" s="11">
        <f>HYPERLINK("https://careerviet.vn/vi/tim-viec-lam/nhan-vien-kien-truc-su.35C644AA.html","Xem chi tiết")</f>
        <v/>
      </c>
      <c r="M4656" s="10" t="n"/>
    </row>
    <row r="4657">
      <c r="B4657" s="7" t="n">
        <v>4655</v>
      </c>
      <c r="C4657" t="inlineStr">
        <is>
          <t>[Huế]Chuyên Viên Khách Hàng Cá Nhân Ưu Tiên</t>
        </is>
      </c>
      <c r="D4657" t="inlineStr">
        <is>
          <t>ABBANK - Ngân Hàng TMCP An Bình</t>
        </is>
      </c>
      <c r="E4657" t="inlineStr">
        <is>
          <t>Lương:Cạnh tranh</t>
        </is>
      </c>
      <c r="F4657" t="inlineStr">
        <is>
          <t>Thừa Thiên- Huế</t>
        </is>
      </c>
      <c r="G4657" t="inlineStr">
        <is>
          <t>31-03-2026</t>
        </is>
      </c>
      <c r="H4657" t="inlineStr">
        <is>
          <t>31/03/2026</t>
        </is>
      </c>
      <c r="I4657" t="inlineStr">
        <is>
          <t>17/03/2026</t>
        </is>
      </c>
      <c r="J4657" t="inlineStr">
        <is>
          <t>Dịch vụ khách hàng, Ngân hàng, Tài chính / Đầu tư</t>
        </is>
      </c>
      <c r="K4657" t="inlineStr">
        <is>
          <t>Trên 2 Năm</t>
        </is>
      </c>
      <c r="L4657" s="8">
        <f>HYPERLINK("https://careerviet.vn/vi/tim-viec-lam/hue-chuyen-vien-khach-hang-ca-nhan-uu-tien.35C645E9.html","Xem chi tiết")</f>
        <v/>
      </c>
    </row>
    <row r="4658">
      <c r="B4658" s="9" t="n">
        <v>4656</v>
      </c>
      <c r="C4658" s="10" t="inlineStr">
        <is>
          <t>Kế Toán Trưởng</t>
        </is>
      </c>
      <c r="D4658" s="10" t="inlineStr">
        <is>
          <t>CÔNG TY TNHH MỸ PHẨM L&amp;J</t>
        </is>
      </c>
      <c r="E4658" s="10" t="inlineStr">
        <is>
          <t>Lương:25 Tr - 35 Tr VND</t>
        </is>
      </c>
      <c r="F4658" s="10" t="inlineStr">
        <is>
          <t>Hà Nội</t>
        </is>
      </c>
      <c r="G4658" s="10" t="inlineStr">
        <is>
          <t>31-03-2026</t>
        </is>
      </c>
      <c r="H4658" s="10" t="inlineStr">
        <is>
          <t>31/03/2026</t>
        </is>
      </c>
      <c r="I4658" s="10" t="inlineStr">
        <is>
          <t>17/03/2026</t>
        </is>
      </c>
      <c r="J4658" s="10" t="inlineStr">
        <is>
          <t>Kế toán / Kiểm toán, Quản lý điều hành, Tài chính / Đầu tư</t>
        </is>
      </c>
      <c r="K4658" s="10" t="inlineStr">
        <is>
          <t>Trên 5 Năm</t>
        </is>
      </c>
      <c r="L4658" s="11">
        <f>HYPERLINK("https://careerviet.vn/vi/tim-viec-lam/ke-toan-truong.35C64536.html","Xem chi tiết")</f>
        <v/>
      </c>
      <c r="M4658" s="10" t="n"/>
    </row>
    <row r="4659">
      <c r="B4659" s="7" t="n">
        <v>4657</v>
      </c>
      <c r="C4659" t="inlineStr">
        <is>
          <t>Client Management Executive</t>
        </is>
      </c>
      <c r="D4659" t="inlineStr">
        <is>
          <t>Công Ty Cổ Phần IPP Group</t>
        </is>
      </c>
      <c r="E4659" t="inlineStr">
        <is>
          <t>Lương:Cạnh tranh</t>
        </is>
      </c>
      <c r="F4659" t="inlineStr">
        <is>
          <t>Hồ Chí Minh</t>
        </is>
      </c>
      <c r="G4659" t="inlineStr">
        <is>
          <t>31-03-2026</t>
        </is>
      </c>
      <c r="H4659" t="inlineStr">
        <is>
          <t>31/03/2026</t>
        </is>
      </c>
      <c r="I4659" t="inlineStr">
        <is>
          <t>17/03/2026</t>
        </is>
      </c>
      <c r="J4659" t="inlineStr">
        <is>
          <t>Tiếp thị / Marketing, Bán hàng / Kinh doanh, Dịch vụ khách hàng</t>
        </is>
      </c>
      <c r="K4659" t="inlineStr">
        <is>
          <t>1 - 2 Năm</t>
        </is>
      </c>
      <c r="L4659" s="8">
        <f>HYPERLINK("https://careerviet.vn/vi/tim-viec-lam/client-management-executive.35C644A9.html","Xem chi tiết")</f>
        <v/>
      </c>
    </row>
    <row r="4660">
      <c r="B4660" s="9" t="n">
        <v>4658</v>
      </c>
      <c r="C4660" s="10" t="inlineStr">
        <is>
          <t>Kỹ sư cao cấp hậu mãi</t>
        </is>
      </c>
      <c r="D4660" s="10" t="inlineStr">
        <is>
          <t>VINFAST TRADING AND PRODUCTION JSC</t>
        </is>
      </c>
      <c r="E4660" s="10" t="inlineStr">
        <is>
          <t>Lương:Cạnh tranh</t>
        </is>
      </c>
      <c r="F4660" s="10" t="inlineStr">
        <is>
          <t>Hà Tĩnh</t>
        </is>
      </c>
      <c r="G4660" s="10" t="inlineStr">
        <is>
          <t>31-03-2026</t>
        </is>
      </c>
      <c r="H4660" s="10" t="inlineStr">
        <is>
          <t>31/03/2026</t>
        </is>
      </c>
      <c r="I4660" s="10" t="inlineStr">
        <is>
          <t>17/03/2026</t>
        </is>
      </c>
      <c r="J4660" s="10" t="inlineStr">
        <is>
          <t>Sản xuất / Vận hành sản xuất</t>
        </is>
      </c>
      <c r="K4660" s="10" t="inlineStr">
        <is>
          <t>1 - 5 Năm</t>
        </is>
      </c>
      <c r="L4660" s="11">
        <f>HYPERLINK("https://careerviet.vn/vi/tim-viec-lam/ky-su-cao-cap-hau-mai.35C642F8.html","Xem chi tiết")</f>
        <v/>
      </c>
      <c r="M4660" s="10" t="n"/>
    </row>
    <row r="4661">
      <c r="B4661" s="7" t="n">
        <v>4659</v>
      </c>
      <c r="C4661" t="inlineStr">
        <is>
          <t>Outside Sale - Nhân viên bán hàng ngoài thị trường</t>
        </is>
      </c>
      <c r="D4661" t="inlineStr">
        <is>
          <t>Công ty TNHH Thương Mại Dịch Vụ Kỹ Thuật Hải Quỳnh</t>
        </is>
      </c>
      <c r="E4661" t="inlineStr">
        <is>
          <t>Lương:10 Tr - 15 Tr VND</t>
        </is>
      </c>
      <c r="F4661" t="inlineStr">
        <is>
          <t>Hà NộiHồ Chí Minh</t>
        </is>
      </c>
      <c r="G4661" t="inlineStr">
        <is>
          <t>31-03-2026</t>
        </is>
      </c>
      <c r="H4661" t="inlineStr">
        <is>
          <t>31/03/2026</t>
        </is>
      </c>
      <c r="I4661" t="inlineStr">
        <is>
          <t>17/03/2026</t>
        </is>
      </c>
      <c r="J4661" t="inlineStr">
        <is>
          <t>Bán hàng / Kinh doanh, Dịch vụ khách hàng</t>
        </is>
      </c>
      <c r="K4661" t="inlineStr">
        <is>
          <t>1 - 3 Năm</t>
        </is>
      </c>
      <c r="L4661" s="8">
        <f>HYPERLINK("https://careerviet.vn/vi/tim-viec-lam/outside-sale-nhan-vien-ban-hang-ngoai-thi-truong.35C64604.html","Xem chi tiết")</f>
        <v/>
      </c>
    </row>
    <row r="4662">
      <c r="B4662" s="9" t="n">
        <v>4660</v>
      </c>
      <c r="C4662" s="10" t="inlineStr">
        <is>
          <t>Sales Manager (Consumer Electronics)</t>
        </is>
      </c>
      <c r="D4662" s="10" t="inlineStr">
        <is>
          <t>CÔNG TY TNHH HORA TECH VIỆT NAM</t>
        </is>
      </c>
      <c r="E4662" s="10" t="inlineStr">
        <is>
          <t>Lương:35 Tr - 70 Tr VND</t>
        </is>
      </c>
      <c r="F4662" s="10" t="inlineStr">
        <is>
          <t>Hồ Chí Minh</t>
        </is>
      </c>
      <c r="G4662" s="10" t="inlineStr">
        <is>
          <t>30-04-2026</t>
        </is>
      </c>
      <c r="H4662" s="10" t="inlineStr">
        <is>
          <t>30/04/2026</t>
        </is>
      </c>
      <c r="I4662" s="10" t="inlineStr">
        <is>
          <t>17/03/2026</t>
        </is>
      </c>
      <c r="J4662" s="10" t="inlineStr">
        <is>
          <t>Bán hàng / Kinh doanh, Bán lẻ / Bán sỉ, Tiếp thị / Marketing</t>
        </is>
      </c>
      <c r="K4662" s="10" t="inlineStr">
        <is>
          <t>5 - 7 Năm</t>
        </is>
      </c>
      <c r="L4662" s="11">
        <f>HYPERLINK("https://careerviet.vn/vi/tim-viec-lam/sales-manager-consumer-electronics.35C6A09F.html","Xem chi tiết")</f>
        <v/>
      </c>
      <c r="M4662" s="10" t="n"/>
    </row>
    <row r="4663">
      <c r="B4663" s="7" t="n">
        <v>4661</v>
      </c>
      <c r="C4663" t="inlineStr">
        <is>
          <t>Technical Designer/QA Technician (Garment / Textile)</t>
        </is>
      </c>
      <c r="D4663" t="inlineStr">
        <is>
          <t>CÔNG TY TNHH GJ SOUTHEAST</t>
        </is>
      </c>
      <c r="E4663" t="inlineStr">
        <is>
          <t>Lương:Cạnh tranh</t>
        </is>
      </c>
      <c r="F4663" t="inlineStr">
        <is>
          <t>Hồ Chí MinhHà Nội</t>
        </is>
      </c>
      <c r="G4663" t="inlineStr">
        <is>
          <t>31-03-2026</t>
        </is>
      </c>
      <c r="H4663" t="inlineStr">
        <is>
          <t>31/03/2026</t>
        </is>
      </c>
      <c r="I4663" t="inlineStr">
        <is>
          <t>17/03/2026</t>
        </is>
      </c>
      <c r="J4663" t="inlineStr">
        <is>
          <t>Quản lý chất lượng (QA/QC), Sản xuất / Vận hành sản xuất, Dệt may / Da giày / Thời trang</t>
        </is>
      </c>
      <c r="K4663" t="inlineStr">
        <is>
          <t>3 - 5 Năm</t>
        </is>
      </c>
      <c r="L4663" s="8">
        <f>HYPERLINK("https://careerviet.vn/vi/tim-viec-lam/technical-designer-qa-technician-garment-textile.35C64601.html","Xem chi tiết")</f>
        <v/>
      </c>
    </row>
    <row r="4664">
      <c r="B4664" s="9" t="n">
        <v>4662</v>
      </c>
      <c r="C4664" s="10" t="inlineStr">
        <is>
          <t>Chuyên viên Phát triển Túi xách</t>
        </is>
      </c>
      <c r="D4664" s="10" t="inlineStr">
        <is>
          <t>Vascara Group</t>
        </is>
      </c>
      <c r="E4664" s="10" t="inlineStr">
        <is>
          <t>Lương:Cạnh tranh</t>
        </is>
      </c>
      <c r="F4664" s="10" t="inlineStr">
        <is>
          <t>Hồ Chí Minh</t>
        </is>
      </c>
      <c r="G4664" s="10" t="inlineStr">
        <is>
          <t>31-03-2026</t>
        </is>
      </c>
      <c r="H4664" s="10" t="inlineStr">
        <is>
          <t>31/03/2026</t>
        </is>
      </c>
      <c r="I4664" s="10" t="inlineStr">
        <is>
          <t>17/03/2026</t>
        </is>
      </c>
      <c r="J4664" s="10" t="inlineStr">
        <is>
          <t>Mỹ thuật / Nghệ thuật / Thiết kế, Dệt may / Da giày / Thời trang, Quản lý chất lượng (QA/QC)</t>
        </is>
      </c>
      <c r="K4664" s="10" t="inlineStr">
        <is>
          <t>2 - 3 Năm</t>
        </is>
      </c>
      <c r="L4664" s="11">
        <f>HYPERLINK("https://careerviet.vn/vi/tim-viec-lam/chuyen-vien-phat-trien-tui-xach.35C644EA.html","Xem chi tiết")</f>
        <v/>
      </c>
      <c r="M4664" s="10" t="n"/>
    </row>
    <row r="4665">
      <c r="B4665" s="7" t="n">
        <v>4663</v>
      </c>
      <c r="C4665" t="inlineStr">
        <is>
          <t>[Đà Nẵng]Chuyên Viên Khách Hàng Doanh Nghiệp SMEs</t>
        </is>
      </c>
      <c r="D4665" t="inlineStr">
        <is>
          <t>ABBANK - Ngân Hàng TMCP An Bình</t>
        </is>
      </c>
      <c r="E4665" t="inlineStr">
        <is>
          <t>Lương:Cạnh tranh</t>
        </is>
      </c>
      <c r="F4665" t="inlineStr">
        <is>
          <t>Đà Nẵng</t>
        </is>
      </c>
      <c r="G4665" t="inlineStr">
        <is>
          <t>31-03-2026</t>
        </is>
      </c>
      <c r="H4665" t="inlineStr">
        <is>
          <t>31/03/2026</t>
        </is>
      </c>
      <c r="I4665" t="inlineStr">
        <is>
          <t>17/03/2026</t>
        </is>
      </c>
      <c r="J4665" t="inlineStr">
        <is>
          <t>Dịch vụ khách hàng, Ngân hàng, Tài chính / Đầu tư</t>
        </is>
      </c>
      <c r="K4665" t="inlineStr">
        <is>
          <t>Trên 1 Năm</t>
        </is>
      </c>
      <c r="L4665" s="8">
        <f>HYPERLINK("https://careerviet.vn/vi/tim-viec-lam/da-nang-chuyen-vien-khach-hang-doanh-nghiep-smes.35C645EF.html","Xem chi tiết")</f>
        <v/>
      </c>
    </row>
    <row r="4666">
      <c r="B4666" s="9" t="n">
        <v>4664</v>
      </c>
      <c r="C4666" s="10" t="inlineStr">
        <is>
          <t>Nhân Viên Kế Toán</t>
        </is>
      </c>
      <c r="D4666" s="10" t="inlineStr">
        <is>
          <t>Công ty Cổ phần XNK Phụ tùng Ô Tô TDC</t>
        </is>
      </c>
      <c r="E4666" s="10" t="inlineStr">
        <is>
          <t>Lương:9 Tr - 10 Tr VND</t>
        </is>
      </c>
      <c r="F4666" s="10" t="inlineStr">
        <is>
          <t>Hà Nội</t>
        </is>
      </c>
      <c r="G4666" s="10" t="inlineStr">
        <is>
          <t>31-03-2026</t>
        </is>
      </c>
      <c r="H4666" s="10" t="inlineStr">
        <is>
          <t>31/03/2026</t>
        </is>
      </c>
      <c r="I4666" s="10" t="inlineStr">
        <is>
          <t>17/03/2026</t>
        </is>
      </c>
      <c r="J4666" s="10" t="inlineStr">
        <is>
          <t>Kế toán / Kiểm toán, Cơ khí / Ô tô / Tự động hóa, Xuất nhập khẩu</t>
        </is>
      </c>
      <c r="K4666" s="10" t="inlineStr">
        <is>
          <t>Trên 1 Năm</t>
        </is>
      </c>
      <c r="L4666" s="11">
        <f>HYPERLINK("https://careerviet.vn/vi/tim-viec-lam/nhan-vien-ke-toan.35C644CE.html","Xem chi tiết")</f>
        <v/>
      </c>
      <c r="M4666" s="10" t="n"/>
    </row>
    <row r="4667">
      <c r="B4667" s="7" t="n">
        <v>4665</v>
      </c>
      <c r="C4667" t="inlineStr">
        <is>
          <t>Chuyên viên Tập sự Khách hàng cá nhân/Khách hàng doanh nghiệp</t>
        </is>
      </c>
      <c r="D4667" t="inlineStr">
        <is>
          <t>NGÂN HÀNG TRÁCH NHIỆM HỮU HẠN MỘT THÀNH VIÊN VIỆT NAM HIỆN ĐẠI</t>
        </is>
      </c>
      <c r="E4667" t="inlineStr">
        <is>
          <t>Lương:Lên đến 13 Tr VND</t>
        </is>
      </c>
      <c r="F4667" t="inlineStr">
        <is>
          <t>Hà NộiHồ Chí MinhĐà Nẵng</t>
        </is>
      </c>
      <c r="G4667" t="inlineStr">
        <is>
          <t>31-03-2026</t>
        </is>
      </c>
      <c r="H4667" t="inlineStr">
        <is>
          <t>31/03/2026</t>
        </is>
      </c>
      <c r="I4667" t="inlineStr">
        <is>
          <t>17/03/2026</t>
        </is>
      </c>
      <c r="J4667" t="inlineStr">
        <is>
          <t>Bán hàng / Kinh doanh, Ngân hàng</t>
        </is>
      </c>
      <c r="K4667" t="inlineStr">
        <is>
          <t>N/A</t>
        </is>
      </c>
      <c r="L4667" s="8">
        <f>HYPERLINK("https://careerviet.vn/vi/tim-viec-lam/chuyen-vien-tap-su-khach-hang-ca-nhan-khach-hang-doanh-nghiep.35C645EB.html","Xem chi tiết")</f>
        <v/>
      </c>
    </row>
    <row r="4668">
      <c r="B4668" s="9" t="n">
        <v>4666</v>
      </c>
      <c r="C4668" s="10" t="inlineStr">
        <is>
          <t>Nhân viên Kinh doanh Tiếng trung</t>
        </is>
      </c>
      <c r="D4668" s="10" t="inlineStr">
        <is>
          <t>CÔNG TY CỔ PHẦN CÔNG NGHỆ VÀ THƯƠNG MẠI SYSTECH</t>
        </is>
      </c>
      <c r="E4668" s="10" t="inlineStr">
        <is>
          <t>Lương:10 Tr - 25 Tr VND</t>
        </is>
      </c>
      <c r="F4668" s="10" t="inlineStr">
        <is>
          <t>Hà NộiBắc Giang</t>
        </is>
      </c>
      <c r="G4668" s="10" t="inlineStr">
        <is>
          <t>31-03-2026</t>
        </is>
      </c>
      <c r="H4668" s="10" t="inlineStr">
        <is>
          <t>31/03/2026</t>
        </is>
      </c>
      <c r="I4668" s="10" t="inlineStr">
        <is>
          <t>17/03/2026</t>
        </is>
      </c>
      <c r="J4668" s="10" t="inlineStr">
        <is>
          <t>Bán hàng / Kinh doanh, Bán Hàng Kỹ Thuật, Tư vấn</t>
        </is>
      </c>
      <c r="K4668" s="10" t="inlineStr">
        <is>
          <t>N/A</t>
        </is>
      </c>
      <c r="L4668" s="11">
        <f>HYPERLINK("https://careerviet.vn/vi/tim-viec-lam/nhan-vien-kinh-doanh-tieng-trung.35C64600.html","Xem chi tiết")</f>
        <v/>
      </c>
      <c r="M4668" s="10" t="n"/>
    </row>
    <row r="4669">
      <c r="B4669" s="7" t="n">
        <v>4667</v>
      </c>
      <c r="C4669" t="inlineStr">
        <is>
          <t>Nhân Viên Kinh Doanh</t>
        </is>
      </c>
      <c r="D4669" t="inlineStr">
        <is>
          <t>Công Ty TNHH Nidp Biotech Dental Vietnam</t>
        </is>
      </c>
      <c r="E4669" t="inlineStr">
        <is>
          <t>Lương:8 Tr - 10 Tr VND</t>
        </is>
      </c>
      <c r="F4669" t="inlineStr">
        <is>
          <t>Gia LaiĐà NẵngCần Thơ</t>
        </is>
      </c>
      <c r="G4669" t="inlineStr">
        <is>
          <t>31-03-2026</t>
        </is>
      </c>
      <c r="H4669" t="inlineStr">
        <is>
          <t>31/03/2026</t>
        </is>
      </c>
      <c r="I4669" t="inlineStr">
        <is>
          <t>17/03/2026</t>
        </is>
      </c>
      <c r="J4669" t="inlineStr">
        <is>
          <t>Bán hàng / Kinh doanh, Y tế / Chăm sóc sức khỏe / Thẩm mỹ / Làm đẹp, Tư vấn</t>
        </is>
      </c>
      <c r="K4669" t="inlineStr">
        <is>
          <t>Trên 1 Năm</t>
        </is>
      </c>
      <c r="L4669" s="8">
        <f>HYPERLINK("https://careerviet.vn/vi/tim-viec-lam/nhan-vien-kinh-doanh.35C66EDB.html","Xem chi tiết")</f>
        <v/>
      </c>
    </row>
    <row r="4670">
      <c r="B4670" s="9" t="n">
        <v>4668</v>
      </c>
      <c r="C4670" s="10" t="inlineStr">
        <is>
          <t>[Bắc Giang] Chuyên viên/CVC/CVCC Quan hệ Khách hàng Doanh nghiệp</t>
        </is>
      </c>
      <c r="D4670" s="10" t="inlineStr">
        <is>
          <t>Ngân hàng TMCP Lộc Phát Việt Nam (LPBank)</t>
        </is>
      </c>
      <c r="E4670" s="10" t="inlineStr">
        <is>
          <t>Lương:Cạnh tranh</t>
        </is>
      </c>
      <c r="F4670" s="10" t="inlineStr">
        <is>
          <t>Bắc Giang</t>
        </is>
      </c>
      <c r="G4670" s="10" t="inlineStr">
        <is>
          <t>31-03-2026</t>
        </is>
      </c>
      <c r="H4670" s="10" t="inlineStr">
        <is>
          <t>31/03/2026</t>
        </is>
      </c>
      <c r="I4670" s="10" t="inlineStr">
        <is>
          <t>17/03/2026</t>
        </is>
      </c>
      <c r="J4670" s="10" t="inlineStr">
        <is>
          <t>Bán hàng / Kinh doanh, Bất động sản, Bảo hiểm</t>
        </is>
      </c>
      <c r="K4670" s="10" t="inlineStr">
        <is>
          <t>Trên 1 Năm</t>
        </is>
      </c>
      <c r="L4670" s="11">
        <f>HYPERLINK("https://careerviet.vn/vi/tim-viec-lam/bac-giang-chuyen-vien-cvc-cvcc-quan-he-khach-hang-doanh-nghiep.35C64485.html","Xem chi tiết")</f>
        <v/>
      </c>
      <c r="M4670" s="10" t="n"/>
    </row>
    <row r="4671">
      <c r="B4671" s="7" t="n">
        <v>4669</v>
      </c>
      <c r="C4671" t="inlineStr">
        <is>
          <t>Trợ Lý Giám Đốc (Quản Lý Sales &amp; Nhân Viên)</t>
        </is>
      </c>
      <c r="D4671" t="inlineStr">
        <is>
          <t>CÔNG TY TNHH QLI FITNESS EQUIPMENT</t>
        </is>
      </c>
      <c r="E4671" t="inlineStr">
        <is>
          <t>Lương:Cạnh tranh</t>
        </is>
      </c>
      <c r="F4671" t="inlineStr">
        <is>
          <t>Bình Dương</t>
        </is>
      </c>
      <c r="G4671" t="inlineStr">
        <is>
          <t>30-03-2026</t>
        </is>
      </c>
      <c r="H4671" t="inlineStr">
        <is>
          <t>30/03/2026</t>
        </is>
      </c>
      <c r="I4671" t="inlineStr">
        <is>
          <t>17/03/2026</t>
        </is>
      </c>
      <c r="J4671" t="inlineStr">
        <is>
          <t>Bán hàng / Kinh doanh, Hành chính / Thư ký, Quản lý điều hành</t>
        </is>
      </c>
      <c r="K4671" t="inlineStr">
        <is>
          <t>N/A</t>
        </is>
      </c>
      <c r="L4671" s="8">
        <f>HYPERLINK("https://careerviet.vn/vi/tim-viec-lam/tro-ly-giam-doc-quan-ly-sales-nhan-vien.35C670F8.html","Xem chi tiết")</f>
        <v/>
      </c>
    </row>
    <row r="4672">
      <c r="B4672" s="9" t="n">
        <v>4670</v>
      </c>
      <c r="C4672" s="10" t="inlineStr">
        <is>
          <t>Kỹ Sư Giám Sát Trắc Đạc Công Trường</t>
        </is>
      </c>
      <c r="D4672" s="10" t="inlineStr">
        <is>
          <t>CÔNG TY CỔ PHẦN TẬP ĐOÀN XÂY DỰNG HÒA BÌNH</t>
        </is>
      </c>
      <c r="E4672" s="10" t="inlineStr">
        <is>
          <t>Lương:20 Tr - 30 Tr VND</t>
        </is>
      </c>
      <c r="F4672" s="10" t="inlineStr">
        <is>
          <t>Hồ Chí MinhKiên GiangLong An</t>
        </is>
      </c>
      <c r="G4672" s="10" t="inlineStr">
        <is>
          <t>31-03-2026</t>
        </is>
      </c>
      <c r="H4672" s="10" t="inlineStr">
        <is>
          <t>31/03/2026</t>
        </is>
      </c>
      <c r="I4672" s="10" t="inlineStr">
        <is>
          <t>17/03/2026</t>
        </is>
      </c>
      <c r="J4672" s="10" t="inlineStr">
        <is>
          <t>Trắc địa / Địa Chất, Xây dựng</t>
        </is>
      </c>
      <c r="K4672" s="10" t="inlineStr">
        <is>
          <t>2 - 10 Năm</t>
        </is>
      </c>
      <c r="L4672" s="11">
        <f>HYPERLINK("https://careerviet.vn/vi/tim-viec-lam/ky-su-giam-sat-trac-dac-cong-truong.35C64518.html","Xem chi tiết")</f>
        <v/>
      </c>
      <c r="M4672" s="10" t="n"/>
    </row>
    <row r="4673">
      <c r="B4673" s="7" t="n">
        <v>4671</v>
      </c>
      <c r="C4673" t="inlineStr">
        <is>
          <t>Chuyên Viên Nghiên Cứu Và Phát Triển Dự Án</t>
        </is>
      </c>
      <c r="D4673" t="inlineStr">
        <is>
          <t>Tập đoàn An Lạc – Anlac Group</t>
        </is>
      </c>
      <c r="E4673" t="inlineStr">
        <is>
          <t>Lương:23 Tr - 30 Tr VND</t>
        </is>
      </c>
      <c r="F4673" t="inlineStr">
        <is>
          <t>Hà Nội</t>
        </is>
      </c>
      <c r="G4673" t="inlineStr">
        <is>
          <t>31-03-2026</t>
        </is>
      </c>
      <c r="H4673" t="inlineStr">
        <is>
          <t>31/03/2026</t>
        </is>
      </c>
      <c r="I4673" t="inlineStr">
        <is>
          <t>17/03/2026</t>
        </is>
      </c>
      <c r="J4673" t="inlineStr">
        <is>
          <t>Xây dựng, Bất động sản, Luật / Pháp lý</t>
        </is>
      </c>
      <c r="K4673" t="inlineStr">
        <is>
          <t>Trên 5 Năm</t>
        </is>
      </c>
      <c r="L4673" s="8">
        <f>HYPERLINK("https://careerviet.vn/vi/tim-viec-lam/chuyen-vien-nghien-cuu-va-phat-trien-du-an.35C644AF.html","Xem chi tiết")</f>
        <v/>
      </c>
    </row>
    <row r="4674">
      <c r="B4674" s="9" t="n">
        <v>4672</v>
      </c>
      <c r="C4674" s="10" t="inlineStr">
        <is>
          <t>Nhân Viên Bán Hàng Hàng Nhãn Guess Hồ Chí Minh</t>
        </is>
      </c>
      <c r="D4674" s="10" t="inlineStr">
        <is>
          <t>CÔNG TY TNHH THỜI TRANG VÀ MỸ PHẨM ÂU CHÂU</t>
        </is>
      </c>
      <c r="E4674" s="10" t="inlineStr">
        <is>
          <t>Lương:6 Tr - 10 Tr VND</t>
        </is>
      </c>
      <c r="F4674" s="10" t="inlineStr">
        <is>
          <t>Hồ Chí Minh</t>
        </is>
      </c>
      <c r="G4674" s="10" t="inlineStr">
        <is>
          <t>31-03-2026</t>
        </is>
      </c>
      <c r="H4674" s="10" t="inlineStr">
        <is>
          <t>31/03/2026</t>
        </is>
      </c>
      <c r="I4674" s="10" t="inlineStr">
        <is>
          <t>17/03/2026</t>
        </is>
      </c>
      <c r="J4674" s="10" t="inlineStr">
        <is>
          <t>Bán lẻ / Bán sỉ, Bán hàng / Kinh doanh, Dệt may / Da giày / Thời trang</t>
        </is>
      </c>
      <c r="K4674" s="10" t="inlineStr">
        <is>
          <t>1 - 2 Năm</t>
        </is>
      </c>
      <c r="L4674" s="11">
        <f>HYPERLINK("https://careerviet.vn/vi/tim-viec-lam/nhan-vien-ban-hang-hang-nhan-guess-ho-chi-minh.35C645A2.html","Xem chi tiết")</f>
        <v/>
      </c>
      <c r="M4674" s="10" t="n"/>
    </row>
    <row r="4675">
      <c r="B4675" s="7" t="n">
        <v>4673</v>
      </c>
      <c r="C4675" t="inlineStr">
        <is>
          <t>[Nam Phước-Quảng Nam]Chuyên Viên Khách Hàng Cá Nhân</t>
        </is>
      </c>
      <c r="D4675" t="inlineStr">
        <is>
          <t>ABBANK - Ngân Hàng TMCP An Bình</t>
        </is>
      </c>
      <c r="E4675" t="inlineStr">
        <is>
          <t>Lương:Cạnh tranh</t>
        </is>
      </c>
      <c r="F4675" t="inlineStr">
        <is>
          <t>Quảng Nam</t>
        </is>
      </c>
      <c r="G4675" t="inlineStr">
        <is>
          <t>31-03-2026</t>
        </is>
      </c>
      <c r="H4675" t="inlineStr">
        <is>
          <t>31/03/2026</t>
        </is>
      </c>
      <c r="I4675" t="inlineStr">
        <is>
          <t>17/03/2026</t>
        </is>
      </c>
      <c r="J4675" t="inlineStr">
        <is>
          <t>Dịch vụ khách hàng, Ngân hàng, Tài chính / Đầu tư</t>
        </is>
      </c>
      <c r="K4675" t="inlineStr">
        <is>
          <t>Trên 1 Năm</t>
        </is>
      </c>
      <c r="L4675" s="8">
        <f>HYPERLINK("https://careerviet.vn/vi/tim-viec-lam/nam-phuoc-quang-nam-chuyen-vien-khach-hang-ca-nhan.35C645ED.html","Xem chi tiết")</f>
        <v/>
      </c>
    </row>
    <row r="4676">
      <c r="B4676" s="9" t="n">
        <v>4674</v>
      </c>
      <c r="C4676" s="10" t="inlineStr">
        <is>
          <t>Tài Xế Chở Sếp</t>
        </is>
      </c>
      <c r="D4676" s="10" t="inlineStr">
        <is>
          <t>CÔNG TY CỔ PHẦN NHÀ PHƯƠNG NAM VIỆT NAM</t>
        </is>
      </c>
      <c r="E4676" s="10" t="inlineStr">
        <is>
          <t>Lương:12 Tr - 14 Tr VND</t>
        </is>
      </c>
      <c r="F4676" s="10" t="inlineStr">
        <is>
          <t>Hồ Chí Minh</t>
        </is>
      </c>
      <c r="G4676" s="10" t="inlineStr">
        <is>
          <t>31-03-2026</t>
        </is>
      </c>
      <c r="H4676" s="10" t="inlineStr">
        <is>
          <t>31/03/2026</t>
        </is>
      </c>
      <c r="I4676" s="10" t="inlineStr">
        <is>
          <t>17/03/2026</t>
        </is>
      </c>
      <c r="J4676" s="10" t="inlineStr">
        <is>
          <t>Lao động phổ thông, Vận chuyển / Giao nhận / Kho vận</t>
        </is>
      </c>
      <c r="K4676" s="10" t="inlineStr">
        <is>
          <t>2 - 3 Năm</t>
        </is>
      </c>
      <c r="L4676" s="11">
        <f>HYPERLINK("https://careerviet.vn/vi/tim-viec-lam/tai-xe-cho-sep.35C67131.html","Xem chi tiết")</f>
        <v/>
      </c>
      <c r="M4676" s="10" t="n"/>
    </row>
    <row r="4677">
      <c r="B4677" s="7" t="n">
        <v>4675</v>
      </c>
      <c r="C4677" t="inlineStr">
        <is>
          <t>Supplier Quality Engineer</t>
        </is>
      </c>
      <c r="D4677" t="inlineStr">
        <is>
          <t>VINFAST TRADING AND PRODUCTION JSC</t>
        </is>
      </c>
      <c r="E4677" t="inlineStr">
        <is>
          <t>Lương:Cạnh tranh</t>
        </is>
      </c>
      <c r="F4677" t="inlineStr">
        <is>
          <t>Hà Tĩnh</t>
        </is>
      </c>
      <c r="G4677" t="inlineStr">
        <is>
          <t>31-03-2026</t>
        </is>
      </c>
      <c r="H4677" t="inlineStr">
        <is>
          <t>31/03/2026</t>
        </is>
      </c>
      <c r="I4677" t="inlineStr">
        <is>
          <t>17/03/2026</t>
        </is>
      </c>
      <c r="J4677" t="inlineStr">
        <is>
          <t>Sản xuất / Vận hành sản xuất</t>
        </is>
      </c>
      <c r="K4677" t="inlineStr">
        <is>
          <t>3 - 5 Năm</t>
        </is>
      </c>
      <c r="L4677" s="8">
        <f>HYPERLINK("https://careerviet.vn/vi/tim-viec-lam/supplier-quality-engineer.35C64333.html","Xem chi tiết")</f>
        <v/>
      </c>
    </row>
    <row r="4678">
      <c r="B4678" s="9" t="n">
        <v>4676</v>
      </c>
      <c r="C4678" s="10" t="inlineStr">
        <is>
          <t>[Bình Dương, Gia Lai, Cần Thơ, Hải Phòng, Huế, Quảng Bình] Cộng Tác Viên kinh doanh trực tiếp</t>
        </is>
      </c>
      <c r="D4678" s="10" t="inlineStr">
        <is>
          <t>CÔNG TY TÀI CHÍNH TÍN DỤNG TIÊU DÙNG TNHH MTV AEON</t>
        </is>
      </c>
      <c r="E4678" s="10" t="inlineStr">
        <is>
          <t>Lương:Cạnh tranh</t>
        </is>
      </c>
      <c r="F4678" s="10" t="inlineStr">
        <is>
          <t>Thừa Thiên- HuếQuảng BìnhGia Lai</t>
        </is>
      </c>
      <c r="G4678" s="10" t="inlineStr">
        <is>
          <t>31-03-2026</t>
        </is>
      </c>
      <c r="H4678" s="10" t="inlineStr">
        <is>
          <t>31/03/2026</t>
        </is>
      </c>
      <c r="I4678" s="10" t="inlineStr">
        <is>
          <t>17/03/2026</t>
        </is>
      </c>
      <c r="J4678" s="10" t="inlineStr">
        <is>
          <t>Bán hàng / Kinh doanh</t>
        </is>
      </c>
      <c r="K4678" s="10" t="inlineStr">
        <is>
          <t>N/A</t>
        </is>
      </c>
      <c r="L4678" s="11">
        <f>HYPERLINK("https://careerviet.vn/vi/tim-viec-lam/binh-duong-gia-lai-can-tho-hai-phong-hue-quang-binh-cong-tac-vien-kinh-doanh-truc-tiep.35C64547.html","Xem chi tiết")</f>
        <v/>
      </c>
      <c r="M4678" s="10" t="n"/>
    </row>
    <row r="4679">
      <c r="B4679" s="7" t="n">
        <v>4677</v>
      </c>
      <c r="C4679" t="inlineStr">
        <is>
          <t>Biên phiên dịch kiêm Trợ lý Tổng Giám Đốc (N1)</t>
        </is>
      </c>
      <c r="D4679" t="inlineStr">
        <is>
          <t>CÔNG TY CỔ PHẦN MATSUMOTO KIYOSHI VIỆT NAM</t>
        </is>
      </c>
      <c r="E4679" t="inlineStr">
        <is>
          <t>Lương:Cạnh tranh</t>
        </is>
      </c>
      <c r="F4679" t="inlineStr">
        <is>
          <t>Hồ Chí Minh</t>
        </is>
      </c>
      <c r="G4679" t="inlineStr">
        <is>
          <t>31-03-2026</t>
        </is>
      </c>
      <c r="H4679" t="inlineStr">
        <is>
          <t>31/03/2026</t>
        </is>
      </c>
      <c r="I4679" t="inlineStr">
        <is>
          <t>17/03/2026</t>
        </is>
      </c>
      <c r="J4679" t="inlineStr">
        <is>
          <t>Hành chính / Thư ký, Biên phiên dịch, Bán lẻ / Bán sỉ</t>
        </is>
      </c>
      <c r="K4679" t="inlineStr">
        <is>
          <t>2 - 5 Năm</t>
        </is>
      </c>
      <c r="L4679" s="8">
        <f>HYPERLINK("https://careerviet.vn/vi/tim-viec-lam/bien-phien-dich-kiem-tro-ly-tong-giam-doc-n1.35C670B2.html","Xem chi tiết")</f>
        <v/>
      </c>
    </row>
    <row r="4680">
      <c r="B4680" s="9" t="n">
        <v>4678</v>
      </c>
      <c r="C4680" s="10" t="inlineStr">
        <is>
          <t>Kế Toán Xây Dựng - Mua Hàng</t>
        </is>
      </c>
      <c r="D4680" s="10" t="inlineStr">
        <is>
          <t>CÔNG TY CỔ PHẦN XÂY DỰNG &amp; THƯƠNG MẠI SÀI GÒN 9</t>
        </is>
      </c>
      <c r="E4680" s="10" t="inlineStr">
        <is>
          <t>Lương:15 Tr - 18 Tr VND</t>
        </is>
      </c>
      <c r="F4680" s="10" t="inlineStr">
        <is>
          <t>Hồ Chí Minh</t>
        </is>
      </c>
      <c r="G4680" s="10" t="inlineStr">
        <is>
          <t>31-03-2026</t>
        </is>
      </c>
      <c r="H4680" s="10" t="inlineStr">
        <is>
          <t>31/03/2026</t>
        </is>
      </c>
      <c r="I4680" s="10" t="inlineStr">
        <is>
          <t>17/03/2026</t>
        </is>
      </c>
      <c r="J4680" s="10" t="inlineStr">
        <is>
          <t>Kế toán / Kiểm toán, Tài chính / Đầu tư, Xây dựng</t>
        </is>
      </c>
      <c r="K4680" s="10" t="inlineStr">
        <is>
          <t>2 - 3 Năm</t>
        </is>
      </c>
      <c r="L4680" s="11">
        <f>HYPERLINK("https://careerviet.vn/vi/tim-viec-lam/ke-toan-xay-dung-mua-hang.35C645BC.html","Xem chi tiết")</f>
        <v/>
      </c>
      <c r="M4680" s="10" t="n"/>
    </row>
    <row r="4681">
      <c r="B4681" s="7" t="n">
        <v>4679</v>
      </c>
      <c r="C4681" t="inlineStr">
        <is>
          <t>[Vĩnh Long] Giám sát Kinh doanh kênh GT</t>
        </is>
      </c>
      <c r="D4681" t="inlineStr">
        <is>
          <t>Công ty TNHH Mayora Việt Nam</t>
        </is>
      </c>
      <c r="E4681" t="inlineStr">
        <is>
          <t>Lương:Cạnh tranh</t>
        </is>
      </c>
      <c r="F4681" t="inlineStr">
        <is>
          <t>Vĩnh Long</t>
        </is>
      </c>
      <c r="G4681" t="inlineStr">
        <is>
          <t>31-03-2026</t>
        </is>
      </c>
      <c r="H4681" t="inlineStr">
        <is>
          <t>31/03/2026</t>
        </is>
      </c>
      <c r="I4681" t="inlineStr">
        <is>
          <t>17/03/2026</t>
        </is>
      </c>
      <c r="J4681" t="inlineStr">
        <is>
          <t>Bán lẻ / Bán sỉ, Bán hàng / Kinh doanh, Tiếp thị trực tuyến</t>
        </is>
      </c>
      <c r="K4681" t="inlineStr">
        <is>
          <t>1 - 2 Năm</t>
        </is>
      </c>
      <c r="L4681" s="8">
        <f>HYPERLINK("https://careerviet.vn/vi/tim-viec-lam/vinh-long-giam-sat-kinh-doanh-kenh-gt.35C18959.html","Xem chi tiết")</f>
        <v/>
      </c>
    </row>
    <row r="4682">
      <c r="B4682" s="9" t="n">
        <v>4680</v>
      </c>
      <c r="C4682" s="10" t="inlineStr">
        <is>
          <t>Nhân viên phòng quản lý chất lượng</t>
        </is>
      </c>
      <c r="D4682" s="10" t="inlineStr">
        <is>
          <t>Công Ty TNHH Harada Industries Việt Nam</t>
        </is>
      </c>
      <c r="E4682" s="10" t="inlineStr">
        <is>
          <t>Lương:Cạnh tranh</t>
        </is>
      </c>
      <c r="F4682" s="10" t="inlineStr">
        <is>
          <t>Đồng Nai</t>
        </is>
      </c>
      <c r="G4682" s="10" t="inlineStr">
        <is>
          <t>31-03-2026</t>
        </is>
      </c>
      <c r="H4682" s="10" t="inlineStr">
        <is>
          <t>31/03/2026</t>
        </is>
      </c>
      <c r="I4682" s="10" t="inlineStr">
        <is>
          <t>17/03/2026</t>
        </is>
      </c>
      <c r="J4682" s="10" t="inlineStr">
        <is>
          <t>Cơ khí / Ô tô / Tự động hóa, Sản xuất / Vận hành sản xuất, Quản lý chất lượng (QA/QC)</t>
        </is>
      </c>
      <c r="K4682" s="10" t="inlineStr">
        <is>
          <t>Trên 1 Năm</t>
        </is>
      </c>
      <c r="L4682" s="11">
        <f>HYPERLINK("https://careerviet.vn/vi/tim-viec-lam/nhan-vien-phong-quan-ly-chat-luong.35C670DD.html","Xem chi tiết")</f>
        <v/>
      </c>
      <c r="M4682" s="10" t="n"/>
    </row>
    <row r="4683">
      <c r="B4683" s="7" t="n">
        <v>4681</v>
      </c>
      <c r="C4683" t="inlineStr">
        <is>
          <t>Junior BIM Engineer</t>
        </is>
      </c>
      <c r="D4683" t="inlineStr">
        <is>
          <t>Công Ty TNHH gbc engineers Vietnam</t>
        </is>
      </c>
      <c r="E4683" t="inlineStr">
        <is>
          <t>Lương:Cạnh tranh</t>
        </is>
      </c>
      <c r="F4683" t="inlineStr">
        <is>
          <t>Hồ Chí Minh</t>
        </is>
      </c>
      <c r="G4683" t="inlineStr">
        <is>
          <t>31-03-2026</t>
        </is>
      </c>
      <c r="H4683" t="inlineStr">
        <is>
          <t>31/03/2026</t>
        </is>
      </c>
      <c r="I4683" t="inlineStr">
        <is>
          <t>17/03/2026</t>
        </is>
      </c>
      <c r="J4683" t="inlineStr">
        <is>
          <t>Xây dựng</t>
        </is>
      </c>
      <c r="K4683" t="inlineStr">
        <is>
          <t>N/A</t>
        </is>
      </c>
      <c r="L4683" s="8">
        <f>HYPERLINK("https://careerviet.vn/vi/tim-viec-lam/junior-bim-engineer.35C6700C.html","Xem chi tiết")</f>
        <v/>
      </c>
    </row>
    <row r="4684">
      <c r="B4684" s="9" t="n">
        <v>4682</v>
      </c>
      <c r="C4684" s="10" t="inlineStr">
        <is>
          <t>GIÁM SÁT SẢN XUẤT</t>
        </is>
      </c>
      <c r="D4684" s="10" t="inlineStr">
        <is>
          <t>Công ty TNHH Olam Việt Nam - CN Gia Lai</t>
        </is>
      </c>
      <c r="E4684" s="10" t="inlineStr">
        <is>
          <t>Lương:10 Tr - 20 Tr VND</t>
        </is>
      </c>
      <c r="F4684" s="10" t="inlineStr">
        <is>
          <t>Gia Lai</t>
        </is>
      </c>
      <c r="G4684" s="10" t="inlineStr">
        <is>
          <t>31-03-2026</t>
        </is>
      </c>
      <c r="H4684" s="10" t="inlineStr">
        <is>
          <t>31/03/2026</t>
        </is>
      </c>
      <c r="I4684" s="10" t="inlineStr">
        <is>
          <t>17/03/2026</t>
        </is>
      </c>
      <c r="J4684" s="10" t="inlineStr">
        <is>
          <t>Sản xuất / Vận hành sản xuất</t>
        </is>
      </c>
      <c r="K4684" s="10" t="inlineStr">
        <is>
          <t>N/A</t>
        </is>
      </c>
      <c r="L4684" s="11">
        <f>HYPERLINK("https://careerviet.vn/vi/tim-viec-lam/giam-sat-san-xuat.35C67088.html","Xem chi tiết")</f>
        <v/>
      </c>
      <c r="M4684" s="10" t="n"/>
    </row>
    <row r="4685">
      <c r="B4685" s="7" t="n">
        <v>4683</v>
      </c>
      <c r="C4685" t="inlineStr">
        <is>
          <t>Nhân viên lái xe tải</t>
        </is>
      </c>
      <c r="D4685" t="inlineStr">
        <is>
          <t>Công Ty TNHH TM &amp; XNK Nhất Lâm</t>
        </is>
      </c>
      <c r="E4685" t="inlineStr">
        <is>
          <t>Lương:12 Tr - 18 Tr VND</t>
        </is>
      </c>
      <c r="F4685" t="inlineStr">
        <is>
          <t>Hà Nội</t>
        </is>
      </c>
      <c r="G4685" t="inlineStr">
        <is>
          <t>31-03-2026</t>
        </is>
      </c>
      <c r="H4685" t="inlineStr">
        <is>
          <t>31/03/2026</t>
        </is>
      </c>
      <c r="I4685" t="inlineStr">
        <is>
          <t>17/03/2026</t>
        </is>
      </c>
      <c r="J4685" t="inlineStr">
        <is>
          <t>Vận chuyển / Giao nhận / Kho vận, Lao động phổ thông</t>
        </is>
      </c>
      <c r="K4685" t="inlineStr">
        <is>
          <t>1 - 3 Năm</t>
        </is>
      </c>
      <c r="L4685" s="8">
        <f>HYPERLINK("https://careerviet.vn/vi/tim-viec-lam/nhan-vien-lai-xe-tai.35C66FEA.html","Xem chi tiết")</f>
        <v/>
      </c>
    </row>
    <row r="4686">
      <c r="B4686" s="9" t="n">
        <v>4684</v>
      </c>
      <c r="C4686" s="10" t="inlineStr">
        <is>
          <t>Manager, Product Lifecycle Management (Global Forecasting)</t>
        </is>
      </c>
      <c r="D4686" s="10" t="inlineStr">
        <is>
          <t>Citigroup Limited Industries, Inc.</t>
        </is>
      </c>
      <c r="E4686" s="10" t="inlineStr">
        <is>
          <t>Lương:Cạnh tranh</t>
        </is>
      </c>
      <c r="F4686" s="10" t="inlineStr">
        <is>
          <t>Hồ Chí MinhBình Dương</t>
        </is>
      </c>
      <c r="G4686" s="10" t="inlineStr">
        <is>
          <t>31-03-2026</t>
        </is>
      </c>
      <c r="H4686" s="10" t="inlineStr">
        <is>
          <t>31/03/2026</t>
        </is>
      </c>
      <c r="I4686" s="10" t="inlineStr">
        <is>
          <t>17/03/2026</t>
        </is>
      </c>
      <c r="J4686" s="10" t="inlineStr">
        <is>
          <t>Đồ gỗ, Nội ngoại thất</t>
        </is>
      </c>
      <c r="K4686" s="10" t="inlineStr">
        <is>
          <t>5 - 10 Năm</t>
        </is>
      </c>
      <c r="L4686" s="11">
        <f>HYPERLINK("https://careerviet.vn/vi/tim-viec-lam/manager-product-lifecycle-management-global-forecasting.35C64546.html","Xem chi tiết")</f>
        <v/>
      </c>
      <c r="M4686" s="10" t="n"/>
    </row>
    <row r="4687">
      <c r="B4687" s="7" t="n">
        <v>4685</v>
      </c>
      <c r="C4687" t="inlineStr">
        <is>
          <t>Chuyên Viên Tư Vấn Bảo Hiểm Kênh Liên Kết Ngân Hàng Vietinbank Quảng Nam, Quảng Ngãi, Bình Định</t>
        </is>
      </c>
      <c r="D4687" t="inlineStr">
        <is>
          <t>Manulife (Vietnam) Limited</t>
        </is>
      </c>
      <c r="E4687" t="inlineStr">
        <is>
          <t>Lương:6 Tr - 12 Tr VND</t>
        </is>
      </c>
      <c r="F4687" t="inlineStr">
        <is>
          <t>Quảng NgãiQuảng NamBình Định</t>
        </is>
      </c>
      <c r="G4687" t="inlineStr">
        <is>
          <t>31-03-2026</t>
        </is>
      </c>
      <c r="H4687" t="inlineStr">
        <is>
          <t>31/03/2026</t>
        </is>
      </c>
      <c r="I4687" t="inlineStr">
        <is>
          <t>17/03/2026</t>
        </is>
      </c>
      <c r="J4687" t="inlineStr">
        <is>
          <t>Ngân hàng, Bảo hiểm, Tài chính / Đầu tư</t>
        </is>
      </c>
      <c r="K4687" t="inlineStr">
        <is>
          <t>1 - 2 Năm</t>
        </is>
      </c>
      <c r="L4687" s="8">
        <f>HYPERLINK("https://careerviet.vn/vi/tim-viec-lam/chuyen-vien-tu-van-bao-hiem-kenh-lien-ket-ngan-hang-vietinbank-quang-nam-quang-ngai-binh-dinh.35C64529.html","Xem chi tiết")</f>
        <v/>
      </c>
    </row>
    <row r="4688">
      <c r="B4688" s="9" t="n">
        <v>4686</v>
      </c>
      <c r="C4688" s="10" t="inlineStr">
        <is>
          <t>General Accountant – Tax &amp; Compliance Focus</t>
        </is>
      </c>
      <c r="D4688" s="10" t="inlineStr">
        <is>
          <t>Công ty Cổ Phần PMAC</t>
        </is>
      </c>
      <c r="E4688" s="10" t="inlineStr">
        <is>
          <t>Lương:12 Tr - 20 Tr VND</t>
        </is>
      </c>
      <c r="F4688" s="10" t="inlineStr">
        <is>
          <t>Hồ Chí Minh</t>
        </is>
      </c>
      <c r="G4688" s="10" t="inlineStr">
        <is>
          <t>31-03-2026</t>
        </is>
      </c>
      <c r="H4688" s="10" t="inlineStr">
        <is>
          <t>31/03/2026</t>
        </is>
      </c>
      <c r="I4688" s="10" t="inlineStr">
        <is>
          <t>17/03/2026</t>
        </is>
      </c>
      <c r="J4688" s="10" t="inlineStr">
        <is>
          <t>Bán hàng / Kinh doanh, Kế toán / Kiểm toán, Tài chính / Đầu tư</t>
        </is>
      </c>
      <c r="K4688" s="10" t="inlineStr">
        <is>
          <t>2 - 5 Năm</t>
        </is>
      </c>
      <c r="L4688" s="11">
        <f>HYPERLINK("https://careerviet.vn/vi/tim-viec-lam/general-accountant-tax-compliance-focus.35C670F3.html","Xem chi tiết")</f>
        <v/>
      </c>
      <c r="M4688" s="10" t="n"/>
    </row>
    <row r="4689">
      <c r="B4689" s="7" t="n">
        <v>4687</v>
      </c>
      <c r="C4689" t="inlineStr">
        <is>
          <t>Chuyên viên Kinh doanh (Có hỗ trợ data)</t>
        </is>
      </c>
      <c r="D4689" t="inlineStr">
        <is>
          <t>CÔNG TY CỔ PHẦN VINHOMES</t>
        </is>
      </c>
      <c r="E4689" t="inlineStr">
        <is>
          <t>Lương:Cạnh tranh</t>
        </is>
      </c>
      <c r="F4689" t="inlineStr">
        <is>
          <t>Hà Nội</t>
        </is>
      </c>
      <c r="G4689" t="inlineStr">
        <is>
          <t>31-03-2026</t>
        </is>
      </c>
      <c r="H4689" t="inlineStr">
        <is>
          <t>31/03/2026</t>
        </is>
      </c>
      <c r="I4689" t="inlineStr">
        <is>
          <t>17/03/2026</t>
        </is>
      </c>
      <c r="J4689" t="inlineStr">
        <is>
          <t>Bất động sản</t>
        </is>
      </c>
      <c r="K4689" t="inlineStr">
        <is>
          <t>1 - 2 Năm</t>
        </is>
      </c>
      <c r="L4689" s="8">
        <f>HYPERLINK("https://careerviet.vn/vi/tim-viec-lam/chuyen-vien-kinh-doanh-co-ho-tro-data.35C670F2.html","Xem chi tiết")</f>
        <v/>
      </c>
    </row>
    <row r="4690">
      <c r="B4690" s="9" t="n">
        <v>4688</v>
      </c>
      <c r="C4690" s="10" t="inlineStr">
        <is>
          <t>CHUYÊN VIÊN KIỂM TOÁN NỘI BỘ</t>
        </is>
      </c>
      <c r="D4690" s="10" t="inlineStr">
        <is>
          <t>Bitex (Nhà phân phối độc quyền máy tính Casio tại Việt Nam)</t>
        </is>
      </c>
      <c r="E4690" s="10" t="inlineStr">
        <is>
          <t>Lương:Cạnh tranh</t>
        </is>
      </c>
      <c r="F4690" s="10" t="inlineStr">
        <is>
          <t>Hồ Chí Minh</t>
        </is>
      </c>
      <c r="G4690" s="10" t="inlineStr">
        <is>
          <t>31-03-2026</t>
        </is>
      </c>
      <c r="H4690" s="10" t="inlineStr">
        <is>
          <t>31/03/2026</t>
        </is>
      </c>
      <c r="I4690" s="10" t="inlineStr">
        <is>
          <t>17/03/2026</t>
        </is>
      </c>
      <c r="J4690" s="10" t="inlineStr">
        <is>
          <t>Kế toán / Kiểm toán</t>
        </is>
      </c>
      <c r="K4690" s="10" t="inlineStr">
        <is>
          <t>3 - 5 Năm</t>
        </is>
      </c>
      <c r="L4690" s="11">
        <f>HYPERLINK("https://careerviet.vn/vi/tim-viec-lam/chuyen-vien-kiem-toan-noi-bo.35C66FC3.html","Xem chi tiết")</f>
        <v/>
      </c>
      <c r="M4690" s="10" t="n"/>
    </row>
    <row r="4691">
      <c r="B4691" s="7" t="n">
        <v>4689</v>
      </c>
      <c r="C4691" t="inlineStr">
        <is>
          <t>Chuyên viên Kinh doanh Vật tư Nha khoa</t>
        </is>
      </c>
      <c r="D4691" t="inlineStr">
        <is>
          <t>CÔNG TY TNHH THIẾT BỊ Y TẾ KHẢI VINH</t>
        </is>
      </c>
      <c r="E4691" t="inlineStr">
        <is>
          <t>Lương:12 Tr - 20 Tr VND</t>
        </is>
      </c>
      <c r="F4691" t="inlineStr">
        <is>
          <t>Hồ Chí Minh</t>
        </is>
      </c>
      <c r="G4691" t="inlineStr">
        <is>
          <t>31-03-2026</t>
        </is>
      </c>
      <c r="H4691" t="inlineStr">
        <is>
          <t>31/03/2026</t>
        </is>
      </c>
      <c r="I4691" t="inlineStr">
        <is>
          <t>17/03/2026</t>
        </is>
      </c>
      <c r="J4691" t="inlineStr">
        <is>
          <t>Bán lẻ / Bán sỉ, Bán hàng / Kinh doanh, Y tế / Chăm sóc sức khỏe / Thẩm mỹ / Làm đẹp</t>
        </is>
      </c>
      <c r="K4691" t="inlineStr">
        <is>
          <t>1 - 3 Năm</t>
        </is>
      </c>
      <c r="L4691" s="8">
        <f>HYPERLINK("https://careerviet.vn/vi/tim-viec-lam/chuyen-vien-kinh-doanh-vat-tu-nha-khoa.35C66FCB.html","Xem chi tiết")</f>
        <v/>
      </c>
    </row>
    <row r="4692">
      <c r="B4692" s="9" t="n">
        <v>4690</v>
      </c>
      <c r="C4692" s="10" t="inlineStr">
        <is>
          <t>Trợ lý Giám đốc Kinh doanh - Tiếng Trung</t>
        </is>
      </c>
      <c r="D4692" s="10" t="inlineStr">
        <is>
          <t>Green Asia Food Việt Nam</t>
        </is>
      </c>
      <c r="E4692" s="10" t="inlineStr">
        <is>
          <t>Lương:18 Tr - 25 Tr VND</t>
        </is>
      </c>
      <c r="F4692" s="10" t="inlineStr">
        <is>
          <t>Hồ Chí Minh</t>
        </is>
      </c>
      <c r="G4692" s="10" t="inlineStr">
        <is>
          <t>31-03-2026</t>
        </is>
      </c>
      <c r="H4692" s="10" t="inlineStr">
        <is>
          <t>31/03/2026</t>
        </is>
      </c>
      <c r="I4692" s="10" t="inlineStr">
        <is>
          <t>17/03/2026</t>
        </is>
      </c>
      <c r="J4692" s="10" t="inlineStr">
        <is>
          <t>Bán hàng / Kinh doanh, Hành chính / Thư ký, Biên phiên dịch</t>
        </is>
      </c>
      <c r="K4692" s="10" t="inlineStr">
        <is>
          <t>Chưa có kinh nghiệm</t>
        </is>
      </c>
      <c r="L4692" s="11">
        <f>HYPERLINK("https://careerviet.vn/vi/tim-viec-lam/tro-ly-giam-doc-kinh-doanh-tieng-trung.35C6705D.html","Xem chi tiết")</f>
        <v/>
      </c>
      <c r="M4692" s="10" t="n"/>
    </row>
    <row r="4693">
      <c r="B4693" s="7" t="n">
        <v>4691</v>
      </c>
      <c r="C4693" t="inlineStr">
        <is>
          <t>Chuyên Viên Tư Vấn Bảo Hiểm Kênh Liên Kết Ngân Hàng Vietinbank Hà Nội, Hải Phòng, Hải Dương</t>
        </is>
      </c>
      <c r="D4693" t="inlineStr">
        <is>
          <t>Manulife (Vietnam) Limited</t>
        </is>
      </c>
      <c r="E4693" t="inlineStr">
        <is>
          <t>Lương:6 Tr - 12 Tr VND</t>
        </is>
      </c>
      <c r="F4693" t="inlineStr">
        <is>
          <t>Hà NộiHải DươngHải Phòng</t>
        </is>
      </c>
      <c r="G4693" t="inlineStr">
        <is>
          <t>31-03-2026</t>
        </is>
      </c>
      <c r="H4693" t="inlineStr">
        <is>
          <t>31/03/2026</t>
        </is>
      </c>
      <c r="I4693" t="inlineStr">
        <is>
          <t>17/03/2026</t>
        </is>
      </c>
      <c r="J4693" t="inlineStr">
        <is>
          <t>Ngân hàng, Bảo hiểm, Tài chính / Đầu tư</t>
        </is>
      </c>
      <c r="K4693" t="inlineStr">
        <is>
          <t>1 - 2 Năm</t>
        </is>
      </c>
      <c r="L4693" s="8">
        <f>HYPERLINK("https://careerviet.vn/vi/tim-viec-lam/chuyen-vien-tu-van-bao-hiem-kenh-lien-ket-ngan-hang-vietinbank-ha-noi-hai-phong-hai-duong.35C64527.html","Xem chi tiết")</f>
        <v/>
      </c>
    </row>
    <row r="4694">
      <c r="B4694" s="9" t="n">
        <v>4692</v>
      </c>
      <c r="C4694" s="10" t="inlineStr">
        <is>
          <t>Nhân Viên Bản Vẽ Shop (Bản Vẽ Sản Xuất)</t>
        </is>
      </c>
      <c r="D4694" s="10" t="inlineStr">
        <is>
          <t>Công Ty Cổ Phần Thép Công Nghiệp GB</t>
        </is>
      </c>
      <c r="E4694" s="10" t="inlineStr">
        <is>
          <t>Lương:Cạnh tranh</t>
        </is>
      </c>
      <c r="F4694" s="10" t="inlineStr">
        <is>
          <t>Hồ Chí Minh</t>
        </is>
      </c>
      <c r="G4694" s="10" t="inlineStr">
        <is>
          <t>31-03-2026</t>
        </is>
      </c>
      <c r="H4694" s="10" t="inlineStr">
        <is>
          <t>31/03/2026</t>
        </is>
      </c>
      <c r="I4694" s="10" t="inlineStr">
        <is>
          <t>17/03/2026</t>
        </is>
      </c>
      <c r="J4694" s="10" t="inlineStr">
        <is>
          <t>Xây dựng, Kiến trúc, Mỹ thuật / Nghệ thuật / Thiết kế</t>
        </is>
      </c>
      <c r="K4694" s="10" t="inlineStr">
        <is>
          <t>Trên 1 Năm</t>
        </is>
      </c>
      <c r="L4694" s="11">
        <f>HYPERLINK("https://careerviet.vn/vi/tim-viec-lam/nhan-vien-ban-ve-shop-ban-ve-san-xuat.35C670B5.html","Xem chi tiết")</f>
        <v/>
      </c>
      <c r="M4694" s="10" t="n"/>
    </row>
    <row r="4695">
      <c r="B4695" s="7" t="n">
        <v>4693</v>
      </c>
      <c r="C4695" t="inlineStr">
        <is>
          <t>CHIEF ACCOUNTANT (DONG NAI)</t>
        </is>
      </c>
      <c r="D4695" t="inlineStr">
        <is>
          <t>CareerViet's client</t>
        </is>
      </c>
      <c r="E4695" t="inlineStr">
        <is>
          <t>Lương:Cạnh tranh</t>
        </is>
      </c>
      <c r="F4695" t="inlineStr">
        <is>
          <t>Đồng Nai</t>
        </is>
      </c>
      <c r="G4695" t="inlineStr">
        <is>
          <t>31-03-2026</t>
        </is>
      </c>
      <c r="H4695" t="inlineStr">
        <is>
          <t>31/03/2026</t>
        </is>
      </c>
      <c r="I4695" t="inlineStr">
        <is>
          <t>17/03/2026</t>
        </is>
      </c>
      <c r="J4695" t="inlineStr">
        <is>
          <t>Kế toán / Kiểm toán, Tài chính / Đầu tư, Thực phẩm &amp; Đồ uống</t>
        </is>
      </c>
      <c r="K4695" t="inlineStr">
        <is>
          <t>5 - 10 Năm</t>
        </is>
      </c>
      <c r="L4695" s="8">
        <f>HYPERLINK("https://careerviet.vn/vi/tim-viec-lam/chief-accountant-dong-nai.35C66FD9.html","Xem chi tiết")</f>
        <v/>
      </c>
    </row>
    <row r="4696">
      <c r="B4696" s="9" t="n">
        <v>4694</v>
      </c>
      <c r="C4696" s="10" t="inlineStr">
        <is>
          <t>127390 - Equipment / MEP Design - Construction</t>
        </is>
      </c>
      <c r="D4696" s="10" t="inlineStr">
        <is>
          <t>RGF HR Agent Vietnam Co., LTD</t>
        </is>
      </c>
      <c r="E4696" s="10" t="inlineStr">
        <is>
          <t>Lương:23 Tr - 30 Tr VND</t>
        </is>
      </c>
      <c r="F4696" s="10" t="inlineStr">
        <is>
          <t>Hà Nội</t>
        </is>
      </c>
      <c r="G4696" s="10" t="inlineStr">
        <is>
          <t>31-03-2026</t>
        </is>
      </c>
      <c r="H4696" s="10" t="inlineStr">
        <is>
          <t>31/03/2026</t>
        </is>
      </c>
      <c r="I4696" s="10" t="inlineStr">
        <is>
          <t>17/03/2026</t>
        </is>
      </c>
      <c r="J4696" s="10" t="inlineStr">
        <is>
          <t>Xây dựng</t>
        </is>
      </c>
      <c r="K4696" s="10" t="inlineStr">
        <is>
          <t>Trên 6 Năm</t>
        </is>
      </c>
      <c r="L4696" s="11">
        <f>HYPERLINK("https://careerviet.vn/vi/tim-viec-lam/127390-equipment-mep-design-construction.35C67146.html","Xem chi tiết")</f>
        <v/>
      </c>
      <c r="M4696" s="10" t="n"/>
    </row>
    <row r="4697">
      <c r="B4697" s="7" t="n">
        <v>4695</v>
      </c>
      <c r="C4697" t="inlineStr">
        <is>
          <t>Chuyên Viên Tư Vấn Bảo Hiểm Kênh Liên Kết Ngân Hàng Vietinbank Bắc Cạn, Điện Biên, Phú Thọ</t>
        </is>
      </c>
      <c r="D4697" t="inlineStr">
        <is>
          <t>Manulife (Vietnam) Limited</t>
        </is>
      </c>
      <c r="E4697" t="inlineStr">
        <is>
          <t>Lương:6 Tr - 12 Tr VND</t>
        </is>
      </c>
      <c r="F4697" t="inlineStr">
        <is>
          <t>Phú ThọĐiện BiênBắc Cạn</t>
        </is>
      </c>
      <c r="G4697" t="inlineStr">
        <is>
          <t>31-03-2026</t>
        </is>
      </c>
      <c r="H4697" t="inlineStr">
        <is>
          <t>31/03/2026</t>
        </is>
      </c>
      <c r="I4697" t="inlineStr">
        <is>
          <t>17/03/2026</t>
        </is>
      </c>
      <c r="J4697" t="inlineStr">
        <is>
          <t>Ngân hàng, Bảo hiểm, Tài chính / Đầu tư</t>
        </is>
      </c>
      <c r="K4697" t="inlineStr">
        <is>
          <t>1 - 2 Năm</t>
        </is>
      </c>
      <c r="L4697" s="8">
        <f>HYPERLINK("https://careerviet.vn/vi/tim-viec-lam/chuyen-vien-tu-van-bao-hiem-kenh-lien-ket-ngan-hang-vietinbank-bac-can-dien-bien-phu-tho.35C64522.html","Xem chi tiết")</f>
        <v/>
      </c>
    </row>
    <row r="4698">
      <c r="B4698" s="9" t="n">
        <v>4696</v>
      </c>
      <c r="C4698" s="10" t="inlineStr">
        <is>
          <t>Kỹ Sư Thiết Kế Hệ Thống Lạnh Công Nghiệp</t>
        </is>
      </c>
      <c r="D4698" s="10" t="inlineStr">
        <is>
          <t>Công ty TNHH Thiết bị lạnh và Cách nhiệt TST</t>
        </is>
      </c>
      <c r="E4698" s="10" t="inlineStr">
        <is>
          <t>Lương:Cạnh tranh</t>
        </is>
      </c>
      <c r="F4698" s="10" t="inlineStr">
        <is>
          <t>Hồ Chí Minh</t>
        </is>
      </c>
      <c r="G4698" s="10" t="inlineStr">
        <is>
          <t>31-03-2026</t>
        </is>
      </c>
      <c r="H4698" s="10" t="inlineStr">
        <is>
          <t>31/03/2026</t>
        </is>
      </c>
      <c r="I4698" s="10" t="inlineStr">
        <is>
          <t>17/03/2026</t>
        </is>
      </c>
      <c r="J4698" s="10" t="inlineStr">
        <is>
          <t>Điện / Điện tử / Điện lạnh / Điện công nghiệp, Mỹ thuật / Nghệ thuật / Thiết kế</t>
        </is>
      </c>
      <c r="K4698" s="10" t="inlineStr">
        <is>
          <t>N/A</t>
        </is>
      </c>
      <c r="L4698" s="11">
        <f>HYPERLINK("https://careerviet.vn/vi/tim-viec-lam/ky-su-thiet-ke-he-thong-lanh-cong-nghiep.35C6706A.html","Xem chi tiết")</f>
        <v/>
      </c>
      <c r="M4698" s="10" t="n"/>
    </row>
    <row r="4699">
      <c r="B4699" s="7" t="n">
        <v>4697</v>
      </c>
      <c r="C4699" t="inlineStr">
        <is>
          <t>Chuyên Viên Tư Vấn Bảo Hiểm Kênh Liên Kết Ngân Hàng Vietinbank Thái Bình, Tuyên Quang, Hưng Yên</t>
        </is>
      </c>
      <c r="D4699" t="inlineStr">
        <is>
          <t>Manulife (Vietnam) Limited</t>
        </is>
      </c>
      <c r="E4699" t="inlineStr">
        <is>
          <t>Lương:6 Tr - 12 Tr VND</t>
        </is>
      </c>
      <c r="F4699" t="inlineStr">
        <is>
          <t>Tuyên QuangHưng YênThái Bình</t>
        </is>
      </c>
      <c r="G4699" t="inlineStr">
        <is>
          <t>31-03-2026</t>
        </is>
      </c>
      <c r="H4699" t="inlineStr">
        <is>
          <t>31/03/2026</t>
        </is>
      </c>
      <c r="I4699" t="inlineStr">
        <is>
          <t>17/03/2026</t>
        </is>
      </c>
      <c r="J4699" t="inlineStr">
        <is>
          <t>Ngân hàng, Bảo hiểm, Tài chính / Đầu tư</t>
        </is>
      </c>
      <c r="K4699" t="inlineStr">
        <is>
          <t>1 - 2 Năm</t>
        </is>
      </c>
      <c r="L4699" s="8">
        <f>HYPERLINK("https://careerviet.vn/vi/tim-viec-lam/chuyen-vien-tu-van-bao-hiem-kenh-lien-ket-ngan-hang-vietinbank-thai-binh-tuyen-quang-hung-yen.35C64525.html","Xem chi tiết")</f>
        <v/>
      </c>
    </row>
    <row r="4700">
      <c r="B4700" s="9" t="n">
        <v>4698</v>
      </c>
      <c r="C4700" s="10" t="inlineStr">
        <is>
          <t>Business Development Staff</t>
        </is>
      </c>
      <c r="D4700" s="10" t="inlineStr">
        <is>
          <t>Công ty TNHH Olam Việt Nam</t>
        </is>
      </c>
      <c r="E4700" s="10" t="inlineStr">
        <is>
          <t>Lương:Cạnh tranh</t>
        </is>
      </c>
      <c r="F4700" s="10" t="inlineStr">
        <is>
          <t>Đồng Nai</t>
        </is>
      </c>
      <c r="G4700" s="10" t="inlineStr">
        <is>
          <t>31-03-2026</t>
        </is>
      </c>
      <c r="H4700" s="10" t="inlineStr">
        <is>
          <t>31/03/2026</t>
        </is>
      </c>
      <c r="I4700" s="10" t="inlineStr">
        <is>
          <t>17/03/2026</t>
        </is>
      </c>
      <c r="J4700" s="10" t="inlineStr">
        <is>
          <t>Bán hàng / Kinh doanh, Dịch vụ khách hàng, Sản xuất / Vận hành sản xuất</t>
        </is>
      </c>
      <c r="K4700" s="10" t="inlineStr">
        <is>
          <t>Không yêu cầu kinh nghiệm</t>
        </is>
      </c>
      <c r="L4700" s="11">
        <f>HYPERLINK("https://careerviet.vn/vi/tim-viec-lam/business-development-staff.35C6704F.html","Xem chi tiết")</f>
        <v/>
      </c>
      <c r="M4700" s="10" t="n"/>
    </row>
    <row r="4701">
      <c r="B4701" s="7" t="n">
        <v>4699</v>
      </c>
      <c r="C4701" t="inlineStr">
        <is>
          <t>Tuyển Gấp Admin Tiếng Nhật N3</t>
        </is>
      </c>
      <c r="D4701" t="inlineStr">
        <is>
          <t>Công ty TNHH DYM Vietnam</t>
        </is>
      </c>
      <c r="E4701" t="inlineStr">
        <is>
          <t>Lương:Trên 9 Tr VND</t>
        </is>
      </c>
      <c r="F4701" t="inlineStr">
        <is>
          <t>Hồ Chí Minh</t>
        </is>
      </c>
      <c r="G4701" t="inlineStr">
        <is>
          <t>31-03-2026</t>
        </is>
      </c>
      <c r="H4701" t="inlineStr">
        <is>
          <t>31/03/2026</t>
        </is>
      </c>
      <c r="I4701" t="inlineStr">
        <is>
          <t>17/03/2026</t>
        </is>
      </c>
      <c r="J4701" t="inlineStr">
        <is>
          <t>Nhân sự</t>
        </is>
      </c>
      <c r="K4701" t="inlineStr">
        <is>
          <t>1 - 2 Năm</t>
        </is>
      </c>
      <c r="L4701" s="8">
        <f>HYPERLINK("https://careerviet.vn/vi/tim-viec-lam/tuyen-gap-admin-tieng-nhat-n3.35C670A5.html","Xem chi tiết")</f>
        <v/>
      </c>
    </row>
    <row r="4702">
      <c r="B4702" s="9" t="n">
        <v>4700</v>
      </c>
      <c r="C4702" s="10" t="inlineStr">
        <is>
          <t>Planning Staff</t>
        </is>
      </c>
      <c r="D4702" s="10" t="inlineStr">
        <is>
          <t>Công Ty TNHH YKK Việt Nam</t>
        </is>
      </c>
      <c r="E4702" s="10" t="inlineStr">
        <is>
          <t>Lương:11 Tr - 12 Tr VND</t>
        </is>
      </c>
      <c r="F4702" s="10" t="inlineStr">
        <is>
          <t>Đồng Nai</t>
        </is>
      </c>
      <c r="G4702" s="10" t="inlineStr">
        <is>
          <t>28-03-2026</t>
        </is>
      </c>
      <c r="H4702" s="10" t="inlineStr">
        <is>
          <t>28/03/2026</t>
        </is>
      </c>
      <c r="I4702" s="10" t="inlineStr">
        <is>
          <t>17/03/2026</t>
        </is>
      </c>
      <c r="J4702" s="10" t="inlineStr">
        <is>
          <t>Bán hàng / Kinh doanh, Sản xuất / Vận hành sản xuất, Hành chính / Thư ký</t>
        </is>
      </c>
      <c r="K4702" s="10" t="inlineStr">
        <is>
          <t>1 - 2 Năm</t>
        </is>
      </c>
      <c r="L4702" s="11">
        <f>HYPERLINK("https://careerviet.vn/vi/tim-viec-lam/planning-staff.35C6A61D.html","Xem chi tiết")</f>
        <v/>
      </c>
      <c r="M4702" s="10" t="n"/>
    </row>
    <row r="4703">
      <c r="B4703" s="7" t="n">
        <v>4701</v>
      </c>
      <c r="C4703" t="inlineStr">
        <is>
          <t>Kỹ Thuật Viên Bảo Trì Cơ Khí Và Cải Tiến</t>
        </is>
      </c>
      <c r="D4703" t="inlineStr">
        <is>
          <t>CÔNG TY TNHH ILD COFFEE VIỆT NAM</t>
        </is>
      </c>
      <c r="E4703" t="inlineStr">
        <is>
          <t>Lương:Cạnh tranh</t>
        </is>
      </c>
      <c r="F4703" t="inlineStr">
        <is>
          <t>Bình Dương</t>
        </is>
      </c>
      <c r="G4703" t="inlineStr">
        <is>
          <t>31-03-2026</t>
        </is>
      </c>
      <c r="H4703" t="inlineStr">
        <is>
          <t>31/03/2026</t>
        </is>
      </c>
      <c r="I4703" t="inlineStr">
        <is>
          <t>17/03/2026</t>
        </is>
      </c>
      <c r="J4703" t="inlineStr">
        <is>
          <t>Cơ khí / Ô tô / Tự động hóa, Điện / Điện tử / Điện lạnh / Điện công nghiệp, Bảo trì / Sửa chữa</t>
        </is>
      </c>
      <c r="K4703" t="inlineStr">
        <is>
          <t>N/A</t>
        </is>
      </c>
      <c r="L4703" s="8">
        <f>HYPERLINK("https://careerviet.vn/vi/tim-viec-lam/ky-thuat-vien-bao-tri-co-khi-va-cai-tien.35C64581.html","Xem chi tiết")</f>
        <v/>
      </c>
    </row>
    <row r="4704">
      <c r="B4704" s="9" t="n">
        <v>4702</v>
      </c>
      <c r="C4704" s="10" t="inlineStr">
        <is>
          <t>Chuyên viên lao động tiền lương (C&amp;B)</t>
        </is>
      </c>
      <c r="D4704" s="10" t="inlineStr">
        <is>
          <t>TẬP ĐOÀN NAMGROUP</t>
        </is>
      </c>
      <c r="E4704" s="10" t="inlineStr">
        <is>
          <t>Lương:Cạnh tranh</t>
        </is>
      </c>
      <c r="F4704" s="10" t="inlineStr">
        <is>
          <t>Hồ Chí Minh</t>
        </is>
      </c>
      <c r="G4704" s="10" t="inlineStr">
        <is>
          <t>03-03-2026</t>
        </is>
      </c>
      <c r="H4704" s="10" t="inlineStr">
        <is>
          <t>15/03/2026</t>
        </is>
      </c>
      <c r="I4704" s="10" t="inlineStr">
        <is>
          <t>17/03/2026</t>
        </is>
      </c>
      <c r="J4704" s="10" t="inlineStr">
        <is>
          <t>Bất động sản</t>
        </is>
      </c>
      <c r="K4704" s="10" t="inlineStr">
        <is>
          <t>2 - 3 Năm</t>
        </is>
      </c>
      <c r="L4704" s="11">
        <f>HYPERLINK("https://careerviet.vn/vi/tim-viec-lam/chuyen-vien-lao-dong-tien-luong-c-b.35C6A776.html","Xem chi tiết")</f>
        <v/>
      </c>
      <c r="M4704" s="10" t="n"/>
    </row>
    <row r="4705">
      <c r="B4705" s="7" t="n">
        <v>4703</v>
      </c>
      <c r="C4705" t="inlineStr">
        <is>
          <t>Chuyên viên Chăm sóc học viên</t>
        </is>
      </c>
      <c r="D4705" t="inlineStr">
        <is>
          <t>Công ty CP Công nghệ giáo dục Trường học trực tuyến (ONSCHOOL)</t>
        </is>
      </c>
      <c r="E4705" t="inlineStr">
        <is>
          <t>Lương:13 Tr - 20 Tr VND</t>
        </is>
      </c>
      <c r="F4705" t="inlineStr">
        <is>
          <t>Hồ Chí Minh</t>
        </is>
      </c>
      <c r="G4705" t="inlineStr">
        <is>
          <t>3</t>
        </is>
      </c>
      <c r="H4705" t="inlineStr">
        <is>
          <t>20/03/2026</t>
        </is>
      </c>
      <c r="I4705" t="inlineStr">
        <is>
          <t>17/03/2026</t>
        </is>
      </c>
      <c r="J4705" t="inlineStr">
        <is>
          <t>Dịch vụ khách hàng, Giáo dục / Đào tạo</t>
        </is>
      </c>
      <c r="K4705" t="inlineStr">
        <is>
          <t>2 - 3 Năm</t>
        </is>
      </c>
      <c r="L4705" s="8">
        <f>HYPERLINK("https://careerviet.vn/vi/tim-viec-lam/chuyen-vien-cham-soc-hoc-vien.35C6A741.html","Xem chi tiết")</f>
        <v/>
      </c>
    </row>
    <row r="4706">
      <c r="B4706" s="9" t="n">
        <v>4704</v>
      </c>
      <c r="C4706" s="10" t="inlineStr">
        <is>
          <t>KẾ TOÁN TỔNG HỢP</t>
        </is>
      </c>
      <c r="D4706" s="10" t="inlineStr">
        <is>
          <t>CÔNG TY TNHH Y-MED HEALTHCARE</t>
        </is>
      </c>
      <c r="E4706" s="10" t="inlineStr">
        <is>
          <t>Lương:10 Tr - 15 Tr VND</t>
        </is>
      </c>
      <c r="F4706" s="10" t="inlineStr">
        <is>
          <t>Hồ Chí Minh</t>
        </is>
      </c>
      <c r="G4706" s="10" t="inlineStr">
        <is>
          <t>01-04-2026</t>
        </is>
      </c>
      <c r="H4706" s="10" t="inlineStr">
        <is>
          <t>01/04/2026</t>
        </is>
      </c>
      <c r="I4706" s="10" t="inlineStr">
        <is>
          <t>17/03/2026</t>
        </is>
      </c>
      <c r="J4706" s="10" t="inlineStr">
        <is>
          <t>Kế toán / Kiểm toán</t>
        </is>
      </c>
      <c r="K4706" s="10" t="inlineStr">
        <is>
          <t>2 - 3 Năm</t>
        </is>
      </c>
      <c r="L4706" s="11">
        <f>HYPERLINK("https://careerviet.vn/vi/tim-viec-lam/ke-toan-tong-hop.35C671A3.html","Xem chi tiết")</f>
        <v/>
      </c>
      <c r="M4706" s="10" t="n"/>
    </row>
    <row r="4707">
      <c r="B4707" s="7" t="n">
        <v>4705</v>
      </c>
      <c r="C4707" t="inlineStr">
        <is>
          <t>Junior Operation Staff (ONLY FEMALE)</t>
        </is>
      </c>
      <c r="D4707" t="inlineStr">
        <is>
          <t>CÔNG TY TNHH NCS GLOBAL VIETNAM</t>
        </is>
      </c>
      <c r="E4707" t="inlineStr">
        <is>
          <t>Lương:450 - 500 USD</t>
        </is>
      </c>
      <c r="F4707" t="inlineStr">
        <is>
          <t>Hồ Chí Minh</t>
        </is>
      </c>
      <c r="G4707" t="inlineStr">
        <is>
          <t>03-03-2026</t>
        </is>
      </c>
      <c r="H4707" t="inlineStr">
        <is>
          <t>15/03/2026</t>
        </is>
      </c>
      <c r="I4707" t="inlineStr">
        <is>
          <t>17/03/2026</t>
        </is>
      </c>
      <c r="J4707" t="inlineStr">
        <is>
          <t>Vận chuyển / Giao nhận / Kho vận, Hành chính / Thư ký, Xuất nhập khẩu</t>
        </is>
      </c>
      <c r="K4707" t="inlineStr">
        <is>
          <t>N/A</t>
        </is>
      </c>
      <c r="L4707" s="8">
        <f>HYPERLINK("https://careerviet.vn/vi/tim-viec-lam/junior-operation-staff-only-female.35C6A7A6.html","Xem chi tiết")</f>
        <v/>
      </c>
    </row>
    <row r="4708">
      <c r="B4708" s="9" t="n">
        <v>4706</v>
      </c>
      <c r="C4708" s="10" t="inlineStr">
        <is>
          <t>Nhân viên Kế hoạch sản xuất</t>
        </is>
      </c>
      <c r="D4708" s="10" t="inlineStr">
        <is>
          <t>Công ty TNHH MTV Sen Vàng Việt Nam</t>
        </is>
      </c>
      <c r="E4708" s="10" t="inlineStr">
        <is>
          <t>Lương:8 Tr - 15 Tr VND</t>
        </is>
      </c>
      <c r="F4708" s="10" t="inlineStr">
        <is>
          <t>Hồ Chí Minh</t>
        </is>
      </c>
      <c r="G4708" s="10" t="inlineStr">
        <is>
          <t>26-03-2026</t>
        </is>
      </c>
      <c r="H4708" s="10" t="inlineStr">
        <is>
          <t>26/03/2026</t>
        </is>
      </c>
      <c r="I4708" s="10" t="inlineStr">
        <is>
          <t>17/03/2026</t>
        </is>
      </c>
      <c r="J4708" s="10" t="inlineStr">
        <is>
          <t>Bán lẻ / Bán sỉ, Quản lý điều hành, Sản xuất / Vận hành sản xuất</t>
        </is>
      </c>
      <c r="K4708" s="10" t="inlineStr">
        <is>
          <t>1 - 2 Năm</t>
        </is>
      </c>
      <c r="L4708" s="11">
        <f>HYPERLINK("https://careerviet.vn/vi/tim-viec-lam/nhan-vien-ke-hoach-san-xuat.35C69ACA.html","Xem chi tiết")</f>
        <v/>
      </c>
      <c r="M4708" s="10" t="n"/>
    </row>
    <row r="4709">
      <c r="B4709" s="7" t="n">
        <v>4707</v>
      </c>
      <c r="C4709" t="inlineStr">
        <is>
          <t>Sales Support / Sales Admin</t>
        </is>
      </c>
      <c r="D4709" t="inlineStr">
        <is>
          <t>Công ty TNHH MTV Sen Vàng Việt Nam</t>
        </is>
      </c>
      <c r="E4709" t="inlineStr">
        <is>
          <t>Lương:Cạnh tranh</t>
        </is>
      </c>
      <c r="F4709" t="inlineStr">
        <is>
          <t>Hồ Chí Minh</t>
        </is>
      </c>
      <c r="G4709" t="inlineStr">
        <is>
          <t>03-04-2026</t>
        </is>
      </c>
      <c r="H4709" t="inlineStr">
        <is>
          <t>03/04/2026</t>
        </is>
      </c>
      <c r="I4709" t="inlineStr">
        <is>
          <t>17/03/2026</t>
        </is>
      </c>
      <c r="J4709" t="inlineStr">
        <is>
          <t>Tiếp thị / Marketing, Bán hàng / Kinh doanh, Hành chính / Thư ký</t>
        </is>
      </c>
      <c r="K4709" t="inlineStr">
        <is>
          <t>3 - 5 Năm</t>
        </is>
      </c>
      <c r="L4709" s="8">
        <f>HYPERLINK("https://careerviet.vn/vi/tim-viec-lam/sales-support-sales-admin.35C6A761.html","Xem chi tiết")</f>
        <v/>
      </c>
    </row>
    <row r="4710">
      <c r="B4710" s="9" t="n">
        <v>4708</v>
      </c>
      <c r="C4710" s="10" t="inlineStr">
        <is>
          <t>Assistant Brand &amp; Product Marketing Manager</t>
        </is>
      </c>
      <c r="D4710" s="10" t="inlineStr">
        <is>
          <t>Saint-Gobain Vietnam</t>
        </is>
      </c>
      <c r="E4710" s="10" t="inlineStr">
        <is>
          <t>Lương:Cạnh tranh</t>
        </is>
      </c>
      <c r="F4710" s="10" t="inlineStr">
        <is>
          <t>Hồ Chí Minh</t>
        </is>
      </c>
      <c r="G4710" s="10" t="inlineStr">
        <is>
          <t>03-04-2026</t>
        </is>
      </c>
      <c r="H4710" s="10" t="inlineStr">
        <is>
          <t>03/04/2026</t>
        </is>
      </c>
      <c r="I4710" s="10" t="inlineStr">
        <is>
          <t>17/03/2026</t>
        </is>
      </c>
      <c r="J4710" s="10" t="inlineStr">
        <is>
          <t>Tiếp thị / Marketing, Tiếp thị trực tuyến, Xây dựng</t>
        </is>
      </c>
      <c r="K4710" s="10" t="inlineStr">
        <is>
          <t>2 - 3 Năm</t>
        </is>
      </c>
      <c r="L4710" s="11">
        <f>HYPERLINK("https://careerviet.vn/vi/tim-viec-lam/assistant-brand-product-marketing-manager.35C6A7A3.html","Xem chi tiết")</f>
        <v/>
      </c>
      <c r="M4710" s="10" t="n"/>
    </row>
    <row r="4711">
      <c r="B4711" s="7" t="n">
        <v>4709</v>
      </c>
      <c r="C4711" t="inlineStr">
        <is>
          <t>Assistant Brand Manager (ABM)</t>
        </is>
      </c>
      <c r="D4711" t="inlineStr">
        <is>
          <t>Công Ty Cổ Phần Mỹ Phẩm Sài Gòn</t>
        </is>
      </c>
      <c r="E4711" t="inlineStr">
        <is>
          <t>Lương:Cạnh tranh</t>
        </is>
      </c>
      <c r="F4711" t="inlineStr">
        <is>
          <t>Hồ Chí Minh</t>
        </is>
      </c>
      <c r="G4711" t="inlineStr">
        <is>
          <t>02-04-2026</t>
        </is>
      </c>
      <c r="H4711" t="inlineStr">
        <is>
          <t>02/04/2026</t>
        </is>
      </c>
      <c r="I4711" t="inlineStr">
        <is>
          <t>17/03/2026</t>
        </is>
      </c>
      <c r="J4711" t="inlineStr">
        <is>
          <t>Tiếp thị / Marketing, Quảng cáo / Đối ngoại / Truyền Thông</t>
        </is>
      </c>
      <c r="K4711" t="inlineStr">
        <is>
          <t>3 - 5 Năm</t>
        </is>
      </c>
      <c r="L4711" s="8">
        <f>HYPERLINK("https://careerviet.vn/vi/tim-viec-lam/assistant-brand-manager-abm.35C6A750.html","Xem chi tiết")</f>
        <v/>
      </c>
    </row>
    <row r="4712">
      <c r="B4712" s="9" t="n">
        <v>4710</v>
      </c>
      <c r="C4712" s="10" t="inlineStr">
        <is>
          <t>Kĩ sư cơ khí thiết kế máy tự động</t>
        </is>
      </c>
      <c r="D4712" s="10" t="inlineStr">
        <is>
          <t>CÔNG TY TNHH LTK VIỆT NAM</t>
        </is>
      </c>
      <c r="E4712" s="10" t="inlineStr">
        <is>
          <t>Lương:12 Tr - 15 Tr VND</t>
        </is>
      </c>
      <c r="F4712" s="10" t="inlineStr">
        <is>
          <t>Hà NộiHưng YênBắc Ninh</t>
        </is>
      </c>
      <c r="G4712" s="10" t="inlineStr">
        <is>
          <t>01-04-2026</t>
        </is>
      </c>
      <c r="H4712" s="10" t="inlineStr">
        <is>
          <t>01/04/2026</t>
        </is>
      </c>
      <c r="I4712" s="10" t="inlineStr">
        <is>
          <t>17/03/2026</t>
        </is>
      </c>
      <c r="J4712" s="10" t="inlineStr">
        <is>
          <t>Cơ khí / Ô tô / Tự động hóa, Điện / Điện tử / Điện lạnh / Điện công nghiệp, Bảo trì / Sửa chữa</t>
        </is>
      </c>
      <c r="K4712" s="10" t="inlineStr">
        <is>
          <t>2 - 3 Năm</t>
        </is>
      </c>
      <c r="L4712" s="11">
        <f>HYPERLINK("https://careerviet.vn/vi/tim-viec-lam/ki-su-co-khi-thiet-ke-may-tu-dong.35C671BE.html","Xem chi tiết")</f>
        <v/>
      </c>
      <c r="M4712" s="10" t="n"/>
    </row>
    <row r="4713">
      <c r="B4713" s="7" t="n">
        <v>4711</v>
      </c>
      <c r="C4713" t="inlineStr">
        <is>
          <t>Thực tập sinh</t>
        </is>
      </c>
      <c r="D4713" t="inlineStr">
        <is>
          <t>Công ty TNHH Hunter Douglas Indochina</t>
        </is>
      </c>
      <c r="E4713" t="inlineStr">
        <is>
          <t>Lương:Cạnh tranh</t>
        </is>
      </c>
      <c r="F4713" t="inlineStr">
        <is>
          <t>Hồ Chí Minh</t>
        </is>
      </c>
      <c r="G4713" t="inlineStr">
        <is>
          <t>31-03-2026</t>
        </is>
      </c>
      <c r="H4713" t="inlineStr">
        <is>
          <t>31/03/2026</t>
        </is>
      </c>
      <c r="I4713" t="inlineStr">
        <is>
          <t>17/03/2026</t>
        </is>
      </c>
      <c r="J4713" t="inlineStr">
        <is>
          <t>Tiếp thị / Marketing, Hành chính / Thư ký, Bán hàng / Kinh doanh</t>
        </is>
      </c>
      <c r="K4713" t="inlineStr">
        <is>
          <t>Chưa có kinh nghiệm</t>
        </is>
      </c>
      <c r="L4713" s="8">
        <f>HYPERLINK("https://careerviet.vn/vi/tim-viec-lam/thuc-tap-sinh.35C6A74A.html","Xem chi tiết")</f>
        <v/>
      </c>
    </row>
    <row r="4714">
      <c r="B4714" s="9" t="n">
        <v>4712</v>
      </c>
      <c r="C4714" s="10" t="inlineStr">
        <is>
          <t>Marketing Intern</t>
        </is>
      </c>
      <c r="D4714" s="10" t="inlineStr">
        <is>
          <t>CÔNG TY TNHH BÁNH TAI THONG</t>
        </is>
      </c>
      <c r="E4714" s="10" t="inlineStr">
        <is>
          <t>Lương:Lên đến 5 Tr VND</t>
        </is>
      </c>
      <c r="F4714" s="10" t="inlineStr">
        <is>
          <t>Hồ Chí Minh</t>
        </is>
      </c>
      <c r="G4714" s="10" t="inlineStr">
        <is>
          <t>02-04-2026</t>
        </is>
      </c>
      <c r="H4714" s="10" t="inlineStr">
        <is>
          <t>02/04/2026</t>
        </is>
      </c>
      <c r="I4714" s="10" t="inlineStr">
        <is>
          <t>17/03/2026</t>
        </is>
      </c>
      <c r="J4714" s="10" t="inlineStr">
        <is>
          <t>Tiếp thị / Marketing, Mới tốt nghiệp / Thực tập, Thực phẩm &amp; Đồ uống</t>
        </is>
      </c>
      <c r="K4714" s="10" t="inlineStr">
        <is>
          <t>N/A</t>
        </is>
      </c>
      <c r="L4714" s="11">
        <f>HYPERLINK("https://careerviet.vn/vi/tim-viec-lam/marketing-intern.35C6A6B9.html","Xem chi tiết")</f>
        <v/>
      </c>
      <c r="M4714" s="10" t="n"/>
    </row>
    <row r="4715">
      <c r="B4715" s="7" t="n">
        <v>4713</v>
      </c>
      <c r="C4715" t="inlineStr">
        <is>
          <t>Content &amp; Communications Manager</t>
        </is>
      </c>
      <c r="D4715" t="inlineStr">
        <is>
          <t>CÔNG TY CỔ PHẦN BÓNG RỔ VIỆT NAM</t>
        </is>
      </c>
      <c r="E4715" t="inlineStr">
        <is>
          <t>Lương:25 Tr - 35 Tr VND</t>
        </is>
      </c>
      <c r="F4715" t="inlineStr">
        <is>
          <t>Hồ Chí Minh</t>
        </is>
      </c>
      <c r="G4715" t="inlineStr">
        <is>
          <t>3</t>
        </is>
      </c>
      <c r="H4715" t="inlineStr">
        <is>
          <t>20/03/2026</t>
        </is>
      </c>
      <c r="I4715" t="inlineStr">
        <is>
          <t>17/03/2026</t>
        </is>
      </c>
      <c r="J4715" t="inlineStr">
        <is>
          <t>Tiếp thị / Marketing</t>
        </is>
      </c>
      <c r="K4715" t="inlineStr">
        <is>
          <t>3 - 5 Năm</t>
        </is>
      </c>
      <c r="L4715" s="8">
        <f>HYPERLINK("https://careerviet.vn/vi/tim-viec-lam/content-communications-manager.35C6A27E.html","Xem chi tiết")</f>
        <v/>
      </c>
    </row>
    <row r="4716">
      <c r="B4716" s="9" t="n">
        <v>4714</v>
      </c>
      <c r="C4716" s="10" t="inlineStr">
        <is>
          <t>Nhân viên Công nghệ Nhuộm, Hoàn tất</t>
        </is>
      </c>
      <c r="D4716" s="10" t="inlineStr">
        <is>
          <t>Công Ty Cổ Phần Dệt Trần Hiệp Thành</t>
        </is>
      </c>
      <c r="E4716" s="10" t="inlineStr">
        <is>
          <t>Lương:Cạnh tranh</t>
        </is>
      </c>
      <c r="F4716" s="10" t="inlineStr">
        <is>
          <t>Tây Ninh</t>
        </is>
      </c>
      <c r="G4716" s="10" t="inlineStr">
        <is>
          <t>01-04-2026</t>
        </is>
      </c>
      <c r="H4716" s="10" t="inlineStr">
        <is>
          <t>01/04/2026</t>
        </is>
      </c>
      <c r="I4716" s="10" t="inlineStr">
        <is>
          <t>17/03/2026</t>
        </is>
      </c>
      <c r="J4716" s="10" t="inlineStr">
        <is>
          <t>Sản xuất / Vận hành sản xuất, Dệt may / Da giày / Thời trang, Quản lý chất lượng (QA/QC)</t>
        </is>
      </c>
      <c r="K4716" s="10" t="inlineStr">
        <is>
          <t>Trên 1 Năm</t>
        </is>
      </c>
      <c r="L4716" s="11">
        <f>HYPERLINK("https://careerviet.vn/vi/tim-viec-lam/nhan-vien-cong-nghe-nhuom-hoan-tat.35C64029.html","Xem chi tiết")</f>
        <v/>
      </c>
      <c r="M4716" s="10" t="n"/>
    </row>
    <row r="4717">
      <c r="B4717" s="7" t="n">
        <v>4715</v>
      </c>
      <c r="C4717" t="inlineStr">
        <is>
          <t>IT Infrastructure and Operations Manager</t>
        </is>
      </c>
      <c r="D4717" t="inlineStr">
        <is>
          <t>CÔNG TY TNHH THỜI TRANG VÀ MỸ PHẨM ÂU CHÂU</t>
        </is>
      </c>
      <c r="E4717" t="inlineStr">
        <is>
          <t>Lương:Cạnh tranh</t>
        </is>
      </c>
      <c r="F4717" t="inlineStr">
        <is>
          <t>Hồ Chí Minh</t>
        </is>
      </c>
      <c r="G4717" t="inlineStr">
        <is>
          <t>03-04-2026</t>
        </is>
      </c>
      <c r="H4717" t="inlineStr">
        <is>
          <t>03/04/2026</t>
        </is>
      </c>
      <c r="I4717" t="inlineStr">
        <is>
          <t>17/03/2026</t>
        </is>
      </c>
      <c r="J4717" t="inlineStr">
        <is>
          <t>Bán lẻ / Bán sỉ, CNTT - Phần mềm, CNTT - Phần cứng / Mạng</t>
        </is>
      </c>
      <c r="K4717" t="inlineStr">
        <is>
          <t>2 - 8 Năm</t>
        </is>
      </c>
      <c r="L4717" s="8">
        <f>HYPERLINK("https://careerviet.vn/vi/tim-viec-lam/it-infrastructure-and-operations-manager.35C6A6BE.html","Xem chi tiết")</f>
        <v/>
      </c>
    </row>
    <row r="4718">
      <c r="B4718" s="9" t="n">
        <v>4716</v>
      </c>
      <c r="C4718" s="10" t="inlineStr">
        <is>
          <t>GIÁM SÁT THI CÔNG</t>
        </is>
      </c>
      <c r="D4718" s="10" t="inlineStr">
        <is>
          <t>APS Concept</t>
        </is>
      </c>
      <c r="E4718" s="10" t="inlineStr">
        <is>
          <t>Lương:15 Tr - 18 Tr VND</t>
        </is>
      </c>
      <c r="F4718" s="10" t="inlineStr">
        <is>
          <t>Hồ Chí Minh</t>
        </is>
      </c>
      <c r="G4718" s="10" t="inlineStr">
        <is>
          <t>01-04-2026</t>
        </is>
      </c>
      <c r="H4718" s="10" t="inlineStr">
        <is>
          <t>01/04/2026</t>
        </is>
      </c>
      <c r="I4718" s="10" t="inlineStr">
        <is>
          <t>17/03/2026</t>
        </is>
      </c>
      <c r="J4718" s="10" t="inlineStr">
        <is>
          <t>Nội ngoại thất, Kiến trúc, Xây dựng</t>
        </is>
      </c>
      <c r="K4718" s="10" t="inlineStr">
        <is>
          <t>1 - 2 Năm</t>
        </is>
      </c>
      <c r="L4718" s="11">
        <f>HYPERLINK("https://careerviet.vn/vi/tim-viec-lam/giam-sat-thi-cong.35C65CA1.html","Xem chi tiết")</f>
        <v/>
      </c>
      <c r="M4718" s="10" t="n"/>
    </row>
    <row r="4719">
      <c r="B4719" s="7" t="n">
        <v>4717</v>
      </c>
      <c r="C4719" t="inlineStr">
        <is>
          <t>Nhân viên truyền thông</t>
        </is>
      </c>
      <c r="D4719" t="inlineStr">
        <is>
          <t>Công Ty TNHH Sunjin Vina</t>
        </is>
      </c>
      <c r="E4719" t="inlineStr">
        <is>
          <t>Lương:12 Tr - 18 Tr VND</t>
        </is>
      </c>
      <c r="F4719" t="inlineStr">
        <is>
          <t>Hồ Chí Minh</t>
        </is>
      </c>
      <c r="G4719" t="inlineStr">
        <is>
          <t>31-03-2026</t>
        </is>
      </c>
      <c r="H4719" t="inlineStr">
        <is>
          <t>31/03/2026</t>
        </is>
      </c>
      <c r="I4719" t="inlineStr">
        <is>
          <t>17/03/2026</t>
        </is>
      </c>
      <c r="J4719" t="inlineStr">
        <is>
          <t>Mỹ thuật / Nghệ thuật / Thiết kế, Quảng cáo / Đối ngoại / Truyền Thông, Truyền hình / Báo chí / Biên tập</t>
        </is>
      </c>
      <c r="K4719" t="inlineStr">
        <is>
          <t>1 - 2 Năm</t>
        </is>
      </c>
      <c r="L4719" s="8">
        <f>HYPERLINK("https://careerviet.vn/vi/tim-viec-lam/nhan-vien-truyen-thong.35C6A74E.html","Xem chi tiết")</f>
        <v/>
      </c>
    </row>
    <row r="4720">
      <c r="B4720" s="9" t="n">
        <v>4718</v>
      </c>
      <c r="C4720" s="10" t="inlineStr">
        <is>
          <t>Kế toán Tổng hợp</t>
        </is>
      </c>
      <c r="D4720" s="10" t="inlineStr">
        <is>
          <t>TẬP ĐOÀN NAMGROUP</t>
        </is>
      </c>
      <c r="E4720" s="10" t="inlineStr">
        <is>
          <t>Lương:Cạnh tranh</t>
        </is>
      </c>
      <c r="F4720" s="10" t="inlineStr">
        <is>
          <t>Hồ Chí Minh</t>
        </is>
      </c>
      <c r="G4720" s="10" t="inlineStr">
        <is>
          <t>01-04-2026</t>
        </is>
      </c>
      <c r="H4720" s="10" t="inlineStr">
        <is>
          <t>01/04/2026</t>
        </is>
      </c>
      <c r="I4720" s="10" t="inlineStr">
        <is>
          <t>17/03/2026</t>
        </is>
      </c>
      <c r="J4720" s="10" t="inlineStr">
        <is>
          <t>Kế toán / Kiểm toán</t>
        </is>
      </c>
      <c r="K4720" s="10" t="inlineStr">
        <is>
          <t>1 - 5 Năm</t>
        </is>
      </c>
      <c r="L4720" s="11">
        <f>HYPERLINK("https://careerviet.vn/vi/tim-viec-lam/ke-toan-tong-hop.35C67194.html","Xem chi tiết")</f>
        <v/>
      </c>
      <c r="M4720" s="10" t="n"/>
    </row>
    <row r="4721">
      <c r="B4721" s="7" t="n">
        <v>4719</v>
      </c>
      <c r="C4721" t="inlineStr">
        <is>
          <t>Kỹ sư Điện tự động hóa</t>
        </is>
      </c>
      <c r="D4721" t="inlineStr">
        <is>
          <t>CÔNG TY TNHH LTK VIỆT NAM</t>
        </is>
      </c>
      <c r="E4721" t="inlineStr">
        <is>
          <t>Lương:12 Tr - 15 Tr VND</t>
        </is>
      </c>
      <c r="F4721" t="inlineStr">
        <is>
          <t>Hưng YênHà NộiBắc Ninh</t>
        </is>
      </c>
      <c r="G4721" t="inlineStr">
        <is>
          <t>01-04-2026</t>
        </is>
      </c>
      <c r="H4721" t="inlineStr">
        <is>
          <t>01/04/2026</t>
        </is>
      </c>
      <c r="I4721" t="inlineStr">
        <is>
          <t>17/03/2026</t>
        </is>
      </c>
      <c r="J4721" t="inlineStr">
        <is>
          <t>Cơ khí / Ô tô / Tự động hóa, Điện / Điện tử / Điện lạnh / Điện công nghiệp, Bảo trì / Sửa chữa</t>
        </is>
      </c>
      <c r="K4721" t="inlineStr">
        <is>
          <t>2 - 3 Năm</t>
        </is>
      </c>
      <c r="L4721" s="8">
        <f>HYPERLINK("https://careerviet.vn/vi/tim-viec-lam/ky-su-dien-tu-dong-hoa.35C671BD.html","Xem chi tiết")</f>
        <v/>
      </c>
    </row>
    <row r="4722">
      <c r="B4722" s="9" t="n">
        <v>4720</v>
      </c>
      <c r="C4722" s="10" t="inlineStr">
        <is>
          <t>Content Marketing (TikTok &amp; Video Editor)</t>
        </is>
      </c>
      <c r="D4722" s="10" t="inlineStr">
        <is>
          <t>CÔNG TY CỔ PHẦN PCM</t>
        </is>
      </c>
      <c r="E4722" s="10" t="inlineStr">
        <is>
          <t>Lương:Cạnh tranh</t>
        </is>
      </c>
      <c r="F4722" s="10" t="inlineStr">
        <is>
          <t>Hồ Chí Minh</t>
        </is>
      </c>
      <c r="G4722" s="10" t="inlineStr">
        <is>
          <t>02-04-2026</t>
        </is>
      </c>
      <c r="H4722" s="10" t="inlineStr">
        <is>
          <t>02/04/2026</t>
        </is>
      </c>
      <c r="I4722" s="10" t="inlineStr">
        <is>
          <t>17/03/2026</t>
        </is>
      </c>
      <c r="J4722" s="10" t="inlineStr">
        <is>
          <t>Quảng cáo / Đối ngoại / Truyền Thông, Tiếp thị / Marketing, Giải trí</t>
        </is>
      </c>
      <c r="K4722" s="10" t="inlineStr">
        <is>
          <t>Lên đến 1 Năm</t>
        </is>
      </c>
      <c r="L4722" s="11">
        <f>HYPERLINK("https://careerviet.vn/vi/tim-viec-lam/content-marketing-tiktok-video-editor.35C6A689.html","Xem chi tiết")</f>
        <v/>
      </c>
      <c r="M4722" s="10" t="n"/>
    </row>
    <row r="4723">
      <c r="B4723" s="7" t="n">
        <v>4721</v>
      </c>
      <c r="C4723" t="inlineStr">
        <is>
          <t>Cửa hàng trưởng (Toàn quốc)</t>
        </is>
      </c>
      <c r="D4723" t="inlineStr">
        <is>
          <t>Công Ty Cổ Phần Sữa Việt Nam (Vinamilk)</t>
        </is>
      </c>
      <c r="E4723" t="inlineStr">
        <is>
          <t>Lương:500 - 2.000 USD</t>
        </is>
      </c>
      <c r="F4723" t="inlineStr">
        <is>
          <t>Hồ Chí MinhHà NộiĐà Nẵng</t>
        </is>
      </c>
      <c r="G4723" t="inlineStr">
        <is>
          <t>31-03-2026</t>
        </is>
      </c>
      <c r="H4723" t="inlineStr">
        <is>
          <t>31/03/2026</t>
        </is>
      </c>
      <c r="I4723" t="inlineStr">
        <is>
          <t>17/03/2026</t>
        </is>
      </c>
      <c r="J4723" t="inlineStr">
        <is>
          <t>Bán lẻ / Bán sỉ, Dịch vụ khách hàng, Thực phẩm &amp; Đồ uống</t>
        </is>
      </c>
      <c r="K4723" t="inlineStr">
        <is>
          <t>2 - 5 Năm</t>
        </is>
      </c>
      <c r="L4723" s="8">
        <f>HYPERLINK("https://careerviet.vn/vi/tim-viec-lam/cua-hang-truong-toan-quoc.35C6A5EF.html","Xem chi tiết")</f>
        <v/>
      </c>
    </row>
    <row r="4724">
      <c r="B4724" s="9" t="n">
        <v>4722</v>
      </c>
      <c r="C4724" s="10" t="inlineStr">
        <is>
          <t>Chuyên viên Tác nghiệp tín dụng (Hồ Chí Minh, Cần Thơ)</t>
        </is>
      </c>
      <c r="D4724" s="10" t="inlineStr">
        <is>
          <t>Ngân Hàng Thương Mại Cổ Phần Bảo Việt</t>
        </is>
      </c>
      <c r="E4724" s="10" t="inlineStr">
        <is>
          <t>Lương:8 Tr - 13 Tr VND</t>
        </is>
      </c>
      <c r="F4724" s="10" t="inlineStr">
        <is>
          <t>Hồ Chí MinhCần Thơ</t>
        </is>
      </c>
      <c r="G4724" s="10" t="inlineStr">
        <is>
          <t>31-03-2026</t>
        </is>
      </c>
      <c r="H4724" s="10" t="inlineStr">
        <is>
          <t>31/03/2026</t>
        </is>
      </c>
      <c r="I4724" s="10" t="inlineStr">
        <is>
          <t>17/03/2026</t>
        </is>
      </c>
      <c r="J4724" s="10" t="inlineStr">
        <is>
          <t>Ngân hàng, Luật / Pháp lý, Tài chính / Đầu tư</t>
        </is>
      </c>
      <c r="K4724" s="10" t="inlineStr">
        <is>
          <t>1 - 2 Năm</t>
        </is>
      </c>
      <c r="L4724" s="11">
        <f>HYPERLINK("https://careerviet.vn/vi/tim-viec-lam/chuyen-vien-tac-nghiep-tin-dung-ho-chi-minh-can-tho.35C6A6A7.html","Xem chi tiết")</f>
        <v/>
      </c>
      <c r="M4724" s="10" t="n"/>
    </row>
    <row r="4725">
      <c r="B4725" s="7" t="n">
        <v>4723</v>
      </c>
      <c r="C4725" t="inlineStr">
        <is>
          <t>Nhân Viên Bán Hàng Vinamilk Kênh GT (Toàn Quốc)</t>
        </is>
      </c>
      <c r="D4725" t="inlineStr">
        <is>
          <t>Công Ty Cổ Phần Sữa Việt Nam (Vinamilk)</t>
        </is>
      </c>
      <c r="E4725" t="inlineStr">
        <is>
          <t>Lương:Cạnh tranh</t>
        </is>
      </c>
      <c r="F4725" t="inlineStr">
        <is>
          <t>Hồ Chí MinhHà NộiĐà Nẵng</t>
        </is>
      </c>
      <c r="G4725" t="inlineStr">
        <is>
          <t>31-03-2026</t>
        </is>
      </c>
      <c r="H4725" t="inlineStr">
        <is>
          <t>31/03/2026</t>
        </is>
      </c>
      <c r="I4725" t="inlineStr">
        <is>
          <t>17/03/2026</t>
        </is>
      </c>
      <c r="J4725" t="inlineStr">
        <is>
          <t>Tiếp thị / Marketing, Bán hàng / Kinh doanh, Thực phẩm &amp; Đồ uống</t>
        </is>
      </c>
      <c r="K4725" t="inlineStr">
        <is>
          <t>1 - 2 Năm</t>
        </is>
      </c>
      <c r="L4725" s="8">
        <f>HYPERLINK("https://careerviet.vn/vi/tim-viec-lam/nhan-vien-ban-hang-vinamilk-kenh-gt-toan-quoc.35C6A60C.html","Xem chi tiết")</f>
        <v/>
      </c>
    </row>
    <row r="4726">
      <c r="B4726" s="9" t="n">
        <v>4724</v>
      </c>
      <c r="C4726" s="10" t="inlineStr">
        <is>
          <t>Senior Creative Designer</t>
        </is>
      </c>
      <c r="D4726" s="10" t="inlineStr">
        <is>
          <t>Công Ty Cổ Phần Phim Thiên Ngân (GALAXY STUDIO)</t>
        </is>
      </c>
      <c r="E4726" s="10" t="inlineStr">
        <is>
          <t>Lương:Cạnh tranh</t>
        </is>
      </c>
      <c r="F4726" s="10" t="inlineStr">
        <is>
          <t>Hồ Chí Minh</t>
        </is>
      </c>
      <c r="G4726" s="10" t="inlineStr">
        <is>
          <t>02-04-2026</t>
        </is>
      </c>
      <c r="H4726" s="10" t="inlineStr">
        <is>
          <t>02/04/2026</t>
        </is>
      </c>
      <c r="I4726" s="10" t="inlineStr">
        <is>
          <t>17/03/2026</t>
        </is>
      </c>
      <c r="J4726" s="10" t="inlineStr">
        <is>
          <t>Giải trí, Tiếp thị / Marketing, Mỹ thuật / Nghệ thuật / Thiết kế</t>
        </is>
      </c>
      <c r="K4726" s="10" t="inlineStr">
        <is>
          <t>Trên 3 Năm</t>
        </is>
      </c>
      <c r="L4726" s="11">
        <f>HYPERLINK("https://careerviet.vn/vi/tim-viec-lam/senior-creative-designer.35C6A5FC.html","Xem chi tiết")</f>
        <v/>
      </c>
      <c r="M4726" s="10" t="n"/>
    </row>
    <row r="4727">
      <c r="B4727" s="7" t="n">
        <v>4725</v>
      </c>
      <c r="C4727" t="inlineStr">
        <is>
          <t>Kế toán trưởng</t>
        </is>
      </c>
      <c r="D4727" t="inlineStr">
        <is>
          <t>CÔNG TY CỔ PHẦN HEEBEE VIỆT NAM</t>
        </is>
      </c>
      <c r="E4727" t="inlineStr">
        <is>
          <t>Lương:25 Tr - 40 Tr VND</t>
        </is>
      </c>
      <c r="F4727" t="inlineStr">
        <is>
          <t>Hồ Chí Minh</t>
        </is>
      </c>
      <c r="G4727" t="inlineStr">
        <is>
          <t>31-08-2026</t>
        </is>
      </c>
      <c r="H4727" t="inlineStr">
        <is>
          <t>31/08/2026</t>
        </is>
      </c>
      <c r="I4727" t="inlineStr">
        <is>
          <t>17/03/2026</t>
        </is>
      </c>
      <c r="J4727" t="inlineStr">
        <is>
          <t>Dược phẩm/ Hóa Mỹ Phẩm, Kế toán / Kiểm toán, Sản xuất / Vận hành sản xuất</t>
        </is>
      </c>
      <c r="K4727" t="inlineStr">
        <is>
          <t>7 - 12 Năm</t>
        </is>
      </c>
      <c r="L4727" s="8">
        <f>HYPERLINK("https://careerviet.vn/vi/tim-viec-lam/ke-toan-truong.35C6A6BF.html","Xem chi tiết")</f>
        <v/>
      </c>
    </row>
    <row r="4728">
      <c r="B4728" s="9" t="n">
        <v>4726</v>
      </c>
      <c r="C4728" s="10" t="inlineStr">
        <is>
          <t>Chuyên viên Thanh toán Đối soát dịch vụ</t>
        </is>
      </c>
      <c r="D4728" s="10" t="inlineStr">
        <is>
          <t>BVBank - Ngân hàng Bản Việt</t>
        </is>
      </c>
      <c r="E4728" s="10" t="inlineStr">
        <is>
          <t>Lương:Cạnh tranh</t>
        </is>
      </c>
      <c r="F4728" s="10" t="inlineStr">
        <is>
          <t>Hồ Chí Minh</t>
        </is>
      </c>
      <c r="G4728" s="10" t="inlineStr">
        <is>
          <t>01-04-2026</t>
        </is>
      </c>
      <c r="H4728" s="10" t="inlineStr">
        <is>
          <t>01/04/2026</t>
        </is>
      </c>
      <c r="I4728" s="10" t="inlineStr">
        <is>
          <t>17/03/2026</t>
        </is>
      </c>
      <c r="J4728" s="10" t="inlineStr">
        <is>
          <t>Ngân hàng, Tài chính / Đầu tư</t>
        </is>
      </c>
      <c r="K4728" s="10" t="inlineStr">
        <is>
          <t>1 - 2 Năm</t>
        </is>
      </c>
      <c r="L4728" s="11">
        <f>HYPERLINK("https://careerviet.vn/vi/tim-viec-lam/chuyen-vien-thanh-toan-doi-soat-dich-vu.35C6A63C.html","Xem chi tiết")</f>
        <v/>
      </c>
      <c r="M4728" s="10" t="n"/>
    </row>
    <row r="4729">
      <c r="B4729" s="7" t="n">
        <v>4727</v>
      </c>
      <c r="C4729" t="inlineStr">
        <is>
          <t>Junior Performance Marketing Executive</t>
        </is>
      </c>
      <c r="D4729" t="inlineStr">
        <is>
          <t>Công Ty TNHH Daily Effect</t>
        </is>
      </c>
      <c r="E4729" t="inlineStr">
        <is>
          <t>Lương:12 Tr - 15 Tr VND</t>
        </is>
      </c>
      <c r="F4729" t="inlineStr">
        <is>
          <t>Hồ Chí Minh</t>
        </is>
      </c>
      <c r="G4729" t="inlineStr">
        <is>
          <t>30-04-2026</t>
        </is>
      </c>
      <c r="H4729" t="inlineStr">
        <is>
          <t>30/04/2026</t>
        </is>
      </c>
      <c r="I4729" t="inlineStr">
        <is>
          <t>17/03/2026</t>
        </is>
      </c>
      <c r="J4729" t="inlineStr">
        <is>
          <t>Tiếp thị / Marketing, Bán lẻ / Bán sỉ, Quảng cáo / Đối ngoại / Truyền Thông</t>
        </is>
      </c>
      <c r="K4729" t="inlineStr">
        <is>
          <t>1 - 2 Năm</t>
        </is>
      </c>
      <c r="L4729" s="8">
        <f>HYPERLINK("https://careerviet.vn/vi/tim-viec-lam/junior-performance-marketing-executive.35C6A5C0.html","Xem chi tiết")</f>
        <v/>
      </c>
    </row>
    <row r="4730">
      <c r="B4730" s="9" t="n">
        <v>4728</v>
      </c>
      <c r="C4730" s="10" t="inlineStr">
        <is>
          <t>Nhân Viên Bán Tour Thị Trường Khách Nói Tiếng Anh</t>
        </is>
      </c>
      <c r="D4730" s="10" t="inlineStr">
        <is>
          <t>Threeland Travel</t>
        </is>
      </c>
      <c r="E4730" s="10" t="inlineStr">
        <is>
          <t>Lương:Lên đến 30 Tr VND</t>
        </is>
      </c>
      <c r="F4730" s="10" t="inlineStr">
        <is>
          <t>Hà Nội</t>
        </is>
      </c>
      <c r="G4730" s="10" t="inlineStr">
        <is>
          <t>24-03-2026</t>
        </is>
      </c>
      <c r="H4730" s="10" t="inlineStr">
        <is>
          <t>24/03/2026</t>
        </is>
      </c>
      <c r="I4730" s="10" t="inlineStr">
        <is>
          <t>17/03/2026</t>
        </is>
      </c>
      <c r="J4730" s="10" t="inlineStr">
        <is>
          <t>Bán hàng / Kinh doanh, Biên phiên dịch, Du lịch</t>
        </is>
      </c>
      <c r="K4730" s="10" t="inlineStr">
        <is>
          <t>Trên 2 Năm</t>
        </is>
      </c>
      <c r="L4730" s="11">
        <f>HYPERLINK("https://careerviet.vn/vi/tim-viec-lam/nhan-vien-ban-tour-thi-truong-khach-noi-tieng-anh.35C63B61.html","Xem chi tiết")</f>
        <v/>
      </c>
      <c r="M4730" s="10" t="n"/>
    </row>
    <row r="4731">
      <c r="B4731" s="7" t="n">
        <v>4729</v>
      </c>
      <c r="C4731" t="inlineStr">
        <is>
          <t>Nhân viên Marketing (Mảng Thủy sản)</t>
        </is>
      </c>
      <c r="D4731" t="inlineStr">
        <is>
          <t>Công Ty TNHH Sunjin Vina</t>
        </is>
      </c>
      <c r="E4731" t="inlineStr">
        <is>
          <t>Lương:Cạnh tranh</t>
        </is>
      </c>
      <c r="F4731" t="inlineStr">
        <is>
          <t>Đồng NaiHồ Chí Minh</t>
        </is>
      </c>
      <c r="G4731" t="inlineStr">
        <is>
          <t>02-03-2026</t>
        </is>
      </c>
      <c r="H4731" t="inlineStr">
        <is>
          <t>16/03/2026</t>
        </is>
      </c>
      <c r="I4731" t="inlineStr">
        <is>
          <t>17/03/2026</t>
        </is>
      </c>
      <c r="J4731" t="inlineStr">
        <is>
          <t>Tiếp thị / Marketing, Thủy sản / Hải sản</t>
        </is>
      </c>
      <c r="K4731" t="inlineStr">
        <is>
          <t>1 - 3 Năm</t>
        </is>
      </c>
      <c r="L4731" s="8">
        <f>HYPERLINK("https://careerviet.vn/vi/tim-viec-lam/nhan-vien-marketing-mang-thuy-san.35C6A566.html","Xem chi tiết")</f>
        <v/>
      </c>
    </row>
    <row r="4732">
      <c r="B4732" s="9" t="n">
        <v>4730</v>
      </c>
      <c r="C4732" s="10" t="inlineStr">
        <is>
          <t>Nhân Viên Kế toán công nợ</t>
        </is>
      </c>
      <c r="D4732" s="10" t="inlineStr">
        <is>
          <t>Công ty Cổ phần Transimex Logisitcs</t>
        </is>
      </c>
      <c r="E4732" s="10" t="inlineStr">
        <is>
          <t>Lương:12 Tr - 15 Tr VND</t>
        </is>
      </c>
      <c r="F4732" s="10" t="inlineStr">
        <is>
          <t>Hồ Chí Minh</t>
        </is>
      </c>
      <c r="G4732" s="10" t="inlineStr">
        <is>
          <t>02-04-2026</t>
        </is>
      </c>
      <c r="H4732" s="10" t="inlineStr">
        <is>
          <t>02/04/2026</t>
        </is>
      </c>
      <c r="I4732" s="10" t="inlineStr">
        <is>
          <t>17/03/2026</t>
        </is>
      </c>
      <c r="J4732" s="10" t="inlineStr">
        <is>
          <t>Vận chuyển / Giao nhận / Kho vận, Kế toán / Kiểm toán, Tài chính / Đầu tư</t>
        </is>
      </c>
      <c r="K4732" s="10" t="inlineStr">
        <is>
          <t>1 - 3 Năm</t>
        </is>
      </c>
      <c r="L4732" s="11">
        <f>HYPERLINK("https://careerviet.vn/vi/tim-viec-lam/nhan-vien-ke-toan-cong-no.35C6A5F1.html","Xem chi tiết")</f>
        <v/>
      </c>
      <c r="M4732" s="10" t="n"/>
    </row>
    <row r="4733">
      <c r="B4733" s="7" t="n">
        <v>4731</v>
      </c>
      <c r="C4733" t="inlineStr">
        <is>
          <t>Thư Ký Y Khoa Thời Vụ</t>
        </is>
      </c>
      <c r="D4733" t="inlineStr">
        <is>
          <t>CÔNG TY CỔ PHẦN GIẢI PHÁP GENE - GENE SOLUTIONS</t>
        </is>
      </c>
      <c r="E4733" t="inlineStr">
        <is>
          <t>Lương:Cạnh tranh</t>
        </is>
      </c>
      <c r="F4733" t="inlineStr">
        <is>
          <t>Hồ Chí Minh</t>
        </is>
      </c>
      <c r="G4733" t="inlineStr">
        <is>
          <t>02-03-2026</t>
        </is>
      </c>
      <c r="H4733" t="inlineStr">
        <is>
          <t>10/03/2026</t>
        </is>
      </c>
      <c r="I4733" t="inlineStr">
        <is>
          <t>17/03/2026</t>
        </is>
      </c>
      <c r="J4733" t="inlineStr">
        <is>
          <t>Y tế / Chăm sóc sức khỏe / Thẩm mỹ / Làm đẹp, Công nghệ sinh học</t>
        </is>
      </c>
      <c r="K4733" t="inlineStr">
        <is>
          <t>N/A</t>
        </is>
      </c>
      <c r="L4733" s="8">
        <f>HYPERLINK("https://careerviet.vn/vi/tim-viec-lam/thu-ky-y-khoa-thoi-vu.35C6A659.html","Xem chi tiết")</f>
        <v/>
      </c>
    </row>
    <row r="4734">
      <c r="B4734" s="9" t="n">
        <v>4732</v>
      </c>
      <c r="C4734" s="10" t="inlineStr">
        <is>
          <t>Giám đốc Nhà sách (Giám đốc Siêu thị) khu vực Thuận An</t>
        </is>
      </c>
      <c r="D4734" s="10" t="inlineStr">
        <is>
          <t>NHÀ SÁCH TIẾN THỌ</t>
        </is>
      </c>
      <c r="E4734" s="10" t="inlineStr">
        <is>
          <t>Lương:25 Tr - 33 Tr VND</t>
        </is>
      </c>
      <c r="F4734" s="10" t="inlineStr">
        <is>
          <t>Bình Dương</t>
        </is>
      </c>
      <c r="G4734" s="10" t="inlineStr">
        <is>
          <t>31-03-2026</t>
        </is>
      </c>
      <c r="H4734" s="10" t="inlineStr">
        <is>
          <t>31/03/2026</t>
        </is>
      </c>
      <c r="I4734" s="10" t="inlineStr">
        <is>
          <t>17/03/2026</t>
        </is>
      </c>
      <c r="J4734" s="10" t="inlineStr">
        <is>
          <t>Bán lẻ / Bán sỉ, Bán hàng / Kinh doanh</t>
        </is>
      </c>
      <c r="K4734" s="10" t="inlineStr">
        <is>
          <t>2 - 3 Năm</t>
        </is>
      </c>
      <c r="L4734" s="11">
        <f>HYPERLINK("https://careerviet.vn/vi/tim-viec-lam/giam-doc-nha-sach-giam-doc-sieu-thi-khu-vuc-thuan-an.35C6A49C.html","Xem chi tiết")</f>
        <v/>
      </c>
      <c r="M4734" s="10" t="n"/>
    </row>
    <row r="4735">
      <c r="B4735" s="7" t="n">
        <v>4733</v>
      </c>
      <c r="C4735" t="inlineStr">
        <is>
          <t>Nhân viên kế hoạch vật tư</t>
        </is>
      </c>
      <c r="D4735" t="inlineStr">
        <is>
          <t>CÔNG TY TNHH BAO BÌ NHỰA THÁI DƯƠNG</t>
        </is>
      </c>
      <c r="E4735" t="inlineStr">
        <is>
          <t>Lương:13 Tr - 15 Tr VND</t>
        </is>
      </c>
      <c r="F4735" t="inlineStr">
        <is>
          <t>Bình Dương</t>
        </is>
      </c>
      <c r="G4735" t="inlineStr">
        <is>
          <t>02-04-2026</t>
        </is>
      </c>
      <c r="H4735" t="inlineStr">
        <is>
          <t>02/04/2026</t>
        </is>
      </c>
      <c r="I4735" t="inlineStr">
        <is>
          <t>17/03/2026</t>
        </is>
      </c>
      <c r="J4735" t="inlineStr">
        <is>
          <t>Thu mua / Vật tư, Thống kê, Kế toán / Kiểm toán</t>
        </is>
      </c>
      <c r="K4735" t="inlineStr">
        <is>
          <t>Chưa có kinh nghiệm</t>
        </is>
      </c>
      <c r="L4735" s="8">
        <f>HYPERLINK("https://careerviet.vn/vi/tim-viec-lam/nhan-vien-ke-hoach-vat-tu.35C6A54D.html","Xem chi tiết")</f>
        <v/>
      </c>
    </row>
    <row r="4736">
      <c r="B4736" s="9" t="n">
        <v>4734</v>
      </c>
      <c r="C4736" s="10" t="inlineStr">
        <is>
          <t>Chuyên viên Đào tạo &amp; Phát triển văn hóa</t>
        </is>
      </c>
      <c r="D4736" s="10" t="inlineStr">
        <is>
          <t>CHI NHÁNH CÔNG TY CP BỆNH VIÊN ĐA KHOA QUỐC TẾ VINMEC – BỆNH VIỆN ĐA KHOA QUỐC TẾ VINMEC CENTRAL PARK</t>
        </is>
      </c>
      <c r="E4736" s="10" t="inlineStr">
        <is>
          <t>Lương:14 Tr - 22 Tr VND</t>
        </is>
      </c>
      <c r="F4736" s="10" t="inlineStr">
        <is>
          <t>Hồ Chí Minh</t>
        </is>
      </c>
      <c r="G4736" s="10" t="inlineStr">
        <is>
          <t>31-03-2026</t>
        </is>
      </c>
      <c r="H4736" s="10" t="inlineStr">
        <is>
          <t>31/03/2026</t>
        </is>
      </c>
      <c r="I4736" s="10" t="inlineStr">
        <is>
          <t>17/03/2026</t>
        </is>
      </c>
      <c r="J4736" s="10" t="inlineStr">
        <is>
          <t>Nhân sự, Giáo dục / Đào tạo</t>
        </is>
      </c>
      <c r="K4736" s="10" t="inlineStr">
        <is>
          <t>1 - 2 Năm</t>
        </is>
      </c>
      <c r="L4736" s="11">
        <f>HYPERLINK("https://careerviet.vn/vi/tim-viec-lam/chuyen-vien-dao-tao-phat-trien-van-hoa.35C6A526.html","Xem chi tiết")</f>
        <v/>
      </c>
      <c r="M4736" s="10" t="n"/>
    </row>
    <row r="4737">
      <c r="B4737" s="7" t="n">
        <v>4735</v>
      </c>
      <c r="C4737" t="inlineStr">
        <is>
          <t>CUSTOMER SERVICE STAFF (Forwarder)</t>
        </is>
      </c>
      <c r="D4737" t="inlineStr">
        <is>
          <t>REAL LOGISTICS</t>
        </is>
      </c>
      <c r="E4737" t="inlineStr">
        <is>
          <t>Lương:Cạnh tranh</t>
        </is>
      </c>
      <c r="F4737" t="inlineStr">
        <is>
          <t>Hồ Chí Minh</t>
        </is>
      </c>
      <c r="G4737" t="inlineStr">
        <is>
          <t>02-04-2026</t>
        </is>
      </c>
      <c r="H4737" t="inlineStr">
        <is>
          <t>02/04/2026</t>
        </is>
      </c>
      <c r="I4737" t="inlineStr">
        <is>
          <t>17/03/2026</t>
        </is>
      </c>
      <c r="J4737" t="inlineStr">
        <is>
          <t>Dịch vụ khách hàng, Vận chuyển / Giao nhận / Kho vận, Xuất nhập khẩu</t>
        </is>
      </c>
      <c r="K4737" t="inlineStr">
        <is>
          <t>1 - 3 Năm</t>
        </is>
      </c>
      <c r="L4737" s="8">
        <f>HYPERLINK("https://careerviet.vn/vi/tim-viec-lam/customer-service-staff-forwarder.35C6A403.html","Xem chi tiết")</f>
        <v/>
      </c>
    </row>
    <row r="4738">
      <c r="B4738" s="9" t="n">
        <v>4736</v>
      </c>
      <c r="C4738" s="10" t="inlineStr">
        <is>
          <t>Nhân viên Thủ kho (Kho Vận HCM)</t>
        </is>
      </c>
      <c r="D4738" s="10" t="inlineStr">
        <is>
          <t>Công Ty Cổ Phần Sữa Việt Nam (Vinamilk)</t>
        </is>
      </c>
      <c r="E4738" s="10" t="inlineStr">
        <is>
          <t>Lương:Cạnh tranh</t>
        </is>
      </c>
      <c r="F4738" s="10" t="inlineStr">
        <is>
          <t>Hồ Chí Minh</t>
        </is>
      </c>
      <c r="G4738" s="10" t="inlineStr">
        <is>
          <t>10-04-2026</t>
        </is>
      </c>
      <c r="H4738" s="10" t="inlineStr">
        <is>
          <t>10/04/2026</t>
        </is>
      </c>
      <c r="I4738" s="10" t="inlineStr">
        <is>
          <t>17/03/2026</t>
        </is>
      </c>
      <c r="J4738" s="10" t="inlineStr">
        <is>
          <t>Vận chuyển / Giao nhận / Kho vận, Xuất nhập khẩu, Sản xuất / Vận hành sản xuất</t>
        </is>
      </c>
      <c r="K4738" s="10" t="inlineStr">
        <is>
          <t>1 - 2 Năm</t>
        </is>
      </c>
      <c r="L4738" s="11">
        <f>HYPERLINK("https://careerviet.vn/vi/tim-viec-lam/nhan-vien-thu-kho-kho-van-hcm.35C6A4DC.html","Xem chi tiết")</f>
        <v/>
      </c>
      <c r="M4738" s="10" t="n"/>
    </row>
    <row r="4739">
      <c r="B4739" s="7" t="n">
        <v>4737</v>
      </c>
      <c r="C4739" t="inlineStr">
        <is>
          <t>GIÁM ĐỐC NHÂN SỰ (CPO) – HOLDING</t>
        </is>
      </c>
      <c r="D4739" t="inlineStr">
        <is>
          <t>Chi Nhánh Công Ty CPĐT Long Biên - Sân Golf Tân Sơn Nhất</t>
        </is>
      </c>
      <c r="E4739" t="inlineStr">
        <is>
          <t>Lương:Cạnh tranh</t>
        </is>
      </c>
      <c r="F4739" t="inlineStr">
        <is>
          <t>Hồ Chí Minh</t>
        </is>
      </c>
      <c r="G4739" t="inlineStr">
        <is>
          <t>31-03-2026</t>
        </is>
      </c>
      <c r="H4739" t="inlineStr">
        <is>
          <t>31/03/2026</t>
        </is>
      </c>
      <c r="I4739" t="inlineStr">
        <is>
          <t>17/03/2026</t>
        </is>
      </c>
      <c r="J4739" t="inlineStr">
        <is>
          <t>Nhân sự</t>
        </is>
      </c>
      <c r="K4739" t="inlineStr">
        <is>
          <t>10 - 15 Năm</t>
        </is>
      </c>
      <c r="L4739" s="8">
        <f>HYPERLINK("https://careerviet.vn/vi/tim-viec-lam/giam-doc-nhan-su-cpo-holding.35C6A5AA.html","Xem chi tiết")</f>
        <v/>
      </c>
    </row>
    <row r="4740">
      <c r="B4740" s="9" t="n">
        <v>4738</v>
      </c>
      <c r="C4740" s="10" t="inlineStr">
        <is>
          <t>Kỹ sư giám sát xây dựng</t>
        </is>
      </c>
      <c r="D4740" s="10" t="inlineStr">
        <is>
          <t>CÔNG TY TNHH ĐẦU TƯ VÀ PHÁT TRIỂN LÊ PHONG</t>
        </is>
      </c>
      <c r="E4740" s="10" t="inlineStr">
        <is>
          <t>Lương:Cạnh tranh</t>
        </is>
      </c>
      <c r="F4740" s="10" t="inlineStr">
        <is>
          <t>Hồ Chí MinhBình Dương</t>
        </is>
      </c>
      <c r="G4740" s="10" t="inlineStr">
        <is>
          <t>31-03-2026</t>
        </is>
      </c>
      <c r="H4740" s="10" t="inlineStr">
        <is>
          <t>31/03/2026</t>
        </is>
      </c>
      <c r="I4740" s="10" t="inlineStr">
        <is>
          <t>17/03/2026</t>
        </is>
      </c>
      <c r="J4740" s="10" t="inlineStr">
        <is>
          <t>Bất động sản, Xây dựng</t>
        </is>
      </c>
      <c r="K4740" s="10" t="inlineStr">
        <is>
          <t>3 - 5 Năm</t>
        </is>
      </c>
      <c r="L4740" s="11">
        <f>HYPERLINK("https://careerviet.vn/vi/tim-viec-lam/ky-su-giam-sat-xay-dung.35C6A5DF.html","Xem chi tiết")</f>
        <v/>
      </c>
      <c r="M4740" s="10" t="n"/>
    </row>
    <row r="4741">
      <c r="B4741" s="7" t="n">
        <v>4739</v>
      </c>
      <c r="C4741" t="inlineStr">
        <is>
          <t>[HCM] Python Developer - Lập Trình Viên Python</t>
        </is>
      </c>
      <c r="D4741" t="inlineStr">
        <is>
          <t>CÔNG TY CỔ PHẦN ĐẦU TƯ KỸ THUẬT BERJAYA GIA THỊNH</t>
        </is>
      </c>
      <c r="E4741" t="inlineStr">
        <is>
          <t>Lương:25 Tr - 30 Tr VND</t>
        </is>
      </c>
      <c r="F4741" t="inlineStr">
        <is>
          <t>Hồ Chí Minh</t>
        </is>
      </c>
      <c r="G4741" t="inlineStr">
        <is>
          <t>02-04-2026</t>
        </is>
      </c>
      <c r="H4741" t="inlineStr">
        <is>
          <t>02/04/2026</t>
        </is>
      </c>
      <c r="I4741" t="inlineStr">
        <is>
          <t>17/03/2026</t>
        </is>
      </c>
      <c r="J4741" t="inlineStr">
        <is>
          <t>CNTT - Phần mềm, CNTT - Phần cứng / Mạng, Ngành khác</t>
        </is>
      </c>
      <c r="K4741" t="inlineStr">
        <is>
          <t>Trên 2 Năm</t>
        </is>
      </c>
      <c r="L4741" s="8">
        <f>HYPERLINK("https://careerviet.vn/vi/tim-viec-lam/hcm-python-developer-lap-trinh-vien-python.35C6A4CA.html","Xem chi tiết")</f>
        <v/>
      </c>
    </row>
    <row r="4742">
      <c r="B4742" s="9" t="n">
        <v>4740</v>
      </c>
      <c r="C4742" s="10" t="inlineStr">
        <is>
          <t>Marketing Manager</t>
        </is>
      </c>
      <c r="D4742" s="10" t="inlineStr">
        <is>
          <t>Công Ty Cổ Phần Kỹ Thuật Và Thiết Bị Y Tế Sài Gòn (SAGOMED)</t>
        </is>
      </c>
      <c r="E4742" s="10" t="inlineStr">
        <is>
          <t>Lương:25 Tr - 35 Tr VND</t>
        </is>
      </c>
      <c r="F4742" s="10" t="inlineStr">
        <is>
          <t>Hồ Chí Minh</t>
        </is>
      </c>
      <c r="G4742" s="10" t="inlineStr">
        <is>
          <t>31-03-2026</t>
        </is>
      </c>
      <c r="H4742" s="10" t="inlineStr">
        <is>
          <t>31/03/2026</t>
        </is>
      </c>
      <c r="I4742" s="10" t="inlineStr">
        <is>
          <t>17/03/2026</t>
        </is>
      </c>
      <c r="J4742" s="10" t="inlineStr">
        <is>
          <t>Tiếp thị / Marketing, Y tế / Chăm sóc sức khỏe / Thẩm mỹ / Làm đẹp</t>
        </is>
      </c>
      <c r="K4742" s="10" t="inlineStr">
        <is>
          <t>5 - 10 Năm</t>
        </is>
      </c>
      <c r="L4742" s="11">
        <f>HYPERLINK("https://careerviet.vn/vi/tim-viec-lam/marketing-manager.35C6A42B.html","Xem chi tiết")</f>
        <v/>
      </c>
      <c r="M4742" s="10" t="n"/>
    </row>
    <row r="4743">
      <c r="B4743" s="7" t="n">
        <v>4741</v>
      </c>
      <c r="C4743" t="inlineStr">
        <is>
          <t>Trưởng phòng vận hành</t>
        </is>
      </c>
      <c r="D4743" t="inlineStr">
        <is>
          <t>CÔNG TY CỔ PHẦN ẨM THỰC SAO PHƯƠNG NAM GROUP</t>
        </is>
      </c>
      <c r="E4743" t="inlineStr">
        <is>
          <t>Lương:Cạnh tranh</t>
        </is>
      </c>
      <c r="F4743" t="inlineStr">
        <is>
          <t>Hồ Chí Minh</t>
        </is>
      </c>
      <c r="G4743" t="inlineStr">
        <is>
          <t>30-04-2026</t>
        </is>
      </c>
      <c r="H4743" t="inlineStr">
        <is>
          <t>30/04/2026</t>
        </is>
      </c>
      <c r="I4743" t="inlineStr">
        <is>
          <t>17/03/2026</t>
        </is>
      </c>
      <c r="J4743" t="inlineStr">
        <is>
          <t>Nhà hàng / Khách sạn, Bán hàng / Kinh doanh</t>
        </is>
      </c>
      <c r="K4743" t="inlineStr">
        <is>
          <t>3 - 5 Năm</t>
        </is>
      </c>
      <c r="L4743" s="8">
        <f>HYPERLINK("https://careerviet.vn/vi/tim-viec-lam/truong-phong-van-hanh.35C6A3E0.html","Xem chi tiết")</f>
        <v/>
      </c>
    </row>
    <row r="4744">
      <c r="B4744" s="9" t="n">
        <v>4742</v>
      </c>
      <c r="C4744" s="10" t="inlineStr">
        <is>
          <t>Nhân viên Chăm sóc Khách hàng B2B</t>
        </is>
      </c>
      <c r="D4744" s="10" t="inlineStr">
        <is>
          <t>Công Ty CP Dược Phẩm Pharmacity</t>
        </is>
      </c>
      <c r="E4744" s="10" t="inlineStr">
        <is>
          <t>Lương:Cạnh tranh</t>
        </is>
      </c>
      <c r="F4744" s="10" t="inlineStr">
        <is>
          <t>Hồ Chí Minh</t>
        </is>
      </c>
      <c r="G4744" s="10" t="inlineStr">
        <is>
          <t>31-03-2026</t>
        </is>
      </c>
      <c r="H4744" s="10" t="inlineStr">
        <is>
          <t>31/03/2026</t>
        </is>
      </c>
      <c r="I4744" s="10" t="inlineStr">
        <is>
          <t>17/03/2026</t>
        </is>
      </c>
      <c r="J4744" s="10" t="inlineStr">
        <is>
          <t>Dịch vụ khách hàng, Bán lẻ / Bán sỉ, Dược phẩm/ Hóa Mỹ Phẩm</t>
        </is>
      </c>
      <c r="K4744" s="10" t="inlineStr">
        <is>
          <t>1 - 2 Năm</t>
        </is>
      </c>
      <c r="L4744" s="11">
        <f>HYPERLINK("https://careerviet.vn/vi/tim-viec-lam/nhan-vien-cham-soc-khach-hang-b2b.35C6A3E3.html","Xem chi tiết")</f>
        <v/>
      </c>
      <c r="M4744" s="10" t="n"/>
    </row>
    <row r="4745">
      <c r="B4745" s="7" t="n">
        <v>4743</v>
      </c>
      <c r="C4745" t="inlineStr">
        <is>
          <t>Procurement Admin</t>
        </is>
      </c>
      <c r="D4745" t="inlineStr">
        <is>
          <t>UNIEXPORT CO., LTD</t>
        </is>
      </c>
      <c r="E4745" t="inlineStr">
        <is>
          <t>Lương:Cạnh tranh</t>
        </is>
      </c>
      <c r="F4745" t="inlineStr">
        <is>
          <t>Hồ Chí Minh</t>
        </is>
      </c>
      <c r="G4745" t="inlineStr">
        <is>
          <t>31-03-2026</t>
        </is>
      </c>
      <c r="H4745" t="inlineStr">
        <is>
          <t>31/03/2026</t>
        </is>
      </c>
      <c r="I4745" t="inlineStr">
        <is>
          <t>17/03/2026</t>
        </is>
      </c>
      <c r="J4745" t="inlineStr">
        <is>
          <t>Thu mua / Vật tư, Sản xuất / Vận hành sản xuất, Hành chính / Thư ký</t>
        </is>
      </c>
      <c r="K4745" t="inlineStr">
        <is>
          <t>1 - 2 Năm</t>
        </is>
      </c>
      <c r="L4745" s="8">
        <f>HYPERLINK("https://careerviet.vn/vi/tim-viec-lam/procurement-admin.35C6A31B.html","Xem chi tiết")</f>
        <v/>
      </c>
    </row>
    <row r="4746">
      <c r="B4746" s="9" t="n">
        <v>4744</v>
      </c>
      <c r="C4746" s="10" t="inlineStr">
        <is>
          <t>Chuyên Viên Đào Tạo</t>
        </is>
      </c>
      <c r="D4746" s="10" t="inlineStr">
        <is>
          <t>Công Ty Cổ Phần Tập Đoàn TH</t>
        </is>
      </c>
      <c r="E4746" s="10" t="inlineStr">
        <is>
          <t>Lương:15 Tr - 20 Tr VND</t>
        </is>
      </c>
      <c r="F4746" s="10" t="inlineStr">
        <is>
          <t>Hồ Chí Minh</t>
        </is>
      </c>
      <c r="G4746" s="10" t="inlineStr">
        <is>
          <t>01-04-2026</t>
        </is>
      </c>
      <c r="H4746" s="10" t="inlineStr">
        <is>
          <t>01/04/2026</t>
        </is>
      </c>
      <c r="I4746" s="10" t="inlineStr">
        <is>
          <t>17/03/2026</t>
        </is>
      </c>
      <c r="J4746" s="10" t="inlineStr">
        <is>
          <t>Bán lẻ / Bán sỉ, Thực phẩm &amp; Đồ uống, Nhân sự</t>
        </is>
      </c>
      <c r="K4746" s="10" t="inlineStr">
        <is>
          <t>2 - 5 Năm</t>
        </is>
      </c>
      <c r="L4746" s="11">
        <f>HYPERLINK("https://careerviet.vn/vi/tim-viec-lam/chuyen-vien-dao-tao.35C6A3AE.html","Xem chi tiết")</f>
        <v/>
      </c>
      <c r="M4746" s="10" t="n"/>
    </row>
    <row r="4747">
      <c r="B4747" s="7" t="n">
        <v>4745</v>
      </c>
      <c r="C4747" t="inlineStr">
        <is>
          <t>Financial Planning &amp; Analysis Manager</t>
        </is>
      </c>
      <c r="D4747" t="inlineStr">
        <is>
          <t>Công Ty TNHH Thương Mại Dịch Vụ Xuất Nhập Khẩu The Vigo</t>
        </is>
      </c>
      <c r="E4747" t="inlineStr">
        <is>
          <t>Lương:Cạnh tranh</t>
        </is>
      </c>
      <c r="F4747" t="inlineStr">
        <is>
          <t>Hồ Chí Minh</t>
        </is>
      </c>
      <c r="G4747" t="inlineStr">
        <is>
          <t>03-04-2026</t>
        </is>
      </c>
      <c r="H4747" t="inlineStr">
        <is>
          <t>03/04/2026</t>
        </is>
      </c>
      <c r="I4747" t="inlineStr">
        <is>
          <t>17/03/2026</t>
        </is>
      </c>
      <c r="J4747" t="inlineStr">
        <is>
          <t>Tài chính / Đầu tư, Kế toán / Kiểm toán</t>
        </is>
      </c>
      <c r="K4747" t="inlineStr">
        <is>
          <t>5 - 7 Năm</t>
        </is>
      </c>
      <c r="L4747" s="8">
        <f>HYPERLINK("https://careerviet.vn/vi/tim-viec-lam/financial-planning-analysis-manager.35C6A326.html","Xem chi tiết")</f>
        <v/>
      </c>
    </row>
    <row r="4748">
      <c r="B4748" s="9" t="n">
        <v>4746</v>
      </c>
      <c r="C4748" s="10" t="inlineStr">
        <is>
          <t>Procurement Executive</t>
        </is>
      </c>
      <c r="D4748" s="10" t="inlineStr">
        <is>
          <t>UNIEXPORT CO., LTD</t>
        </is>
      </c>
      <c r="E4748" s="10" t="inlineStr">
        <is>
          <t>Lương:Cạnh tranh</t>
        </is>
      </c>
      <c r="F4748" s="10" t="inlineStr">
        <is>
          <t>Hồ Chí Minh</t>
        </is>
      </c>
      <c r="G4748" s="10" t="inlineStr">
        <is>
          <t>31-03-2026</t>
        </is>
      </c>
      <c r="H4748" s="10" t="inlineStr">
        <is>
          <t>31/03/2026</t>
        </is>
      </c>
      <c r="I4748" s="10" t="inlineStr">
        <is>
          <t>17/03/2026</t>
        </is>
      </c>
      <c r="J4748" s="10" t="inlineStr">
        <is>
          <t>Xuất nhập khẩu, Sản xuất / Vận hành sản xuất, Thu mua / Vật tư</t>
        </is>
      </c>
      <c r="K4748" s="10" t="inlineStr">
        <is>
          <t>2 - 3 Năm</t>
        </is>
      </c>
      <c r="L4748" s="11">
        <f>HYPERLINK("https://careerviet.vn/vi/tim-viec-lam/procurement-executive.35C694AA.html","Xem chi tiết")</f>
        <v/>
      </c>
      <c r="M4748" s="10" t="n"/>
    </row>
    <row r="4749">
      <c r="B4749" s="7" t="n">
        <v>4747</v>
      </c>
      <c r="C4749" t="inlineStr">
        <is>
          <t>TRƯỞNG PHÒNG HÀNH CHÍNH NHÂN SỰ - NHẬN VIỆC NGAY</t>
        </is>
      </c>
      <c r="D4749" t="inlineStr">
        <is>
          <t>Công Ty Cổ Phần Đầu Tư Bất Động Sản Phúc Thịnh</t>
        </is>
      </c>
      <c r="E4749" t="inlineStr">
        <is>
          <t>Lương:25 Tr - 35 Tr VND</t>
        </is>
      </c>
      <c r="F4749" t="inlineStr">
        <is>
          <t>Hồ Chí Minh</t>
        </is>
      </c>
      <c r="G4749" t="inlineStr">
        <is>
          <t>31-03-2026</t>
        </is>
      </c>
      <c r="H4749" t="inlineStr">
        <is>
          <t>31/03/2026</t>
        </is>
      </c>
      <c r="I4749" t="inlineStr">
        <is>
          <t>17/03/2026</t>
        </is>
      </c>
      <c r="J4749" t="inlineStr">
        <is>
          <t>Hành chính / Thư ký, Nhân sự</t>
        </is>
      </c>
      <c r="K4749" t="inlineStr">
        <is>
          <t>3 - 5 Năm</t>
        </is>
      </c>
      <c r="L4749" s="8">
        <f>HYPERLINK("https://careerviet.vn/vi/tim-viec-lam/truong-phong-hanh-chinh-nhan-su-nhan-viec-ngay.35C6A2D7.html","Xem chi tiết")</f>
        <v/>
      </c>
    </row>
    <row r="4750">
      <c r="B4750" s="9" t="n">
        <v>4748</v>
      </c>
      <c r="C4750" s="10" t="inlineStr">
        <is>
          <t>Trưởng phòng Kỹ thuật (Điện năng lượng Mặt trời)</t>
        </is>
      </c>
      <c r="D4750" s="10" t="inlineStr">
        <is>
          <t>Công ty TNHH Hòa Kiến Nhân</t>
        </is>
      </c>
      <c r="E4750" s="10" t="inlineStr">
        <is>
          <t>Lương:20 Tr - 40 Tr VND</t>
        </is>
      </c>
      <c r="F4750" s="10" t="inlineStr">
        <is>
          <t>Hồ Chí Minh</t>
        </is>
      </c>
      <c r="G4750" s="10" t="inlineStr">
        <is>
          <t>31-03-2026</t>
        </is>
      </c>
      <c r="H4750" s="10" t="inlineStr">
        <is>
          <t>31/03/2026</t>
        </is>
      </c>
      <c r="I4750" s="10" t="inlineStr">
        <is>
          <t>17/03/2026</t>
        </is>
      </c>
      <c r="J4750" s="10" t="inlineStr">
        <is>
          <t>Quản lý điều hành, Điện / Điện tử / Điện lạnh / Điện công nghiệp, Bảo trì / Sửa chữa</t>
        </is>
      </c>
      <c r="K4750" s="10" t="inlineStr">
        <is>
          <t>3 - 10 Năm</t>
        </is>
      </c>
      <c r="L4750" s="11">
        <f>HYPERLINK("https://careerviet.vn/vi/tim-viec-lam/truong-phong-ky-thuat-dien-nang-luong-mat-troi.35C67089.html","Xem chi tiết")</f>
        <v/>
      </c>
      <c r="M4750" s="10" t="n"/>
    </row>
    <row r="4751">
      <c r="B4751" s="7" t="n">
        <v>4749</v>
      </c>
      <c r="C4751" t="inlineStr">
        <is>
          <t>[Hạ Long, Cẩm Phả] Giám sát Kinh doanh kênh GT</t>
        </is>
      </c>
      <c r="D4751" t="inlineStr">
        <is>
          <t>Công ty TNHH Mayora Việt Nam</t>
        </is>
      </c>
      <c r="E4751" t="inlineStr">
        <is>
          <t>Lương:Cạnh tranh</t>
        </is>
      </c>
      <c r="F4751" t="inlineStr">
        <is>
          <t>Vĩnh Long</t>
        </is>
      </c>
      <c r="G4751" t="inlineStr">
        <is>
          <t>31-03-2026</t>
        </is>
      </c>
      <c r="H4751" t="inlineStr">
        <is>
          <t>31/03/2026</t>
        </is>
      </c>
      <c r="I4751" t="inlineStr">
        <is>
          <t>17/03/2026</t>
        </is>
      </c>
      <c r="J4751" t="inlineStr">
        <is>
          <t>Bán lẻ / Bán sỉ, Bán hàng / Kinh doanh, Tiếp thị trực tuyến</t>
        </is>
      </c>
      <c r="K4751" t="inlineStr">
        <is>
          <t>1 - 2 Năm</t>
        </is>
      </c>
      <c r="L4751" s="8">
        <f>HYPERLINK("https://careerviet.vn/vi/tim-viec-lam/ha-long-cam-pha-giam-sat-kinh-doanh-kenh-gt.35C67008.html","Xem chi tiết")</f>
        <v/>
      </c>
    </row>
    <row r="4752">
      <c r="B4752" s="9" t="n">
        <v>4750</v>
      </c>
      <c r="C4752" s="10" t="inlineStr">
        <is>
          <t>Nhân viên Admin Kho</t>
        </is>
      </c>
      <c r="D4752" s="10" t="inlineStr">
        <is>
          <t>CÔNG TY CỔ PHẦN GONSA</t>
        </is>
      </c>
      <c r="E4752" s="10" t="inlineStr">
        <is>
          <t>Lương:Cạnh tranh</t>
        </is>
      </c>
      <c r="F4752" s="10" t="inlineStr">
        <is>
          <t>Hà Nội</t>
        </is>
      </c>
      <c r="G4752" s="10" t="inlineStr">
        <is>
          <t>31-03-2026</t>
        </is>
      </c>
      <c r="H4752" s="10" t="inlineStr">
        <is>
          <t>31/03/2026</t>
        </is>
      </c>
      <c r="I4752" s="10" t="inlineStr">
        <is>
          <t>17/03/2026</t>
        </is>
      </c>
      <c r="J4752" s="10" t="inlineStr">
        <is>
          <t>Hành chính / Thư ký, Kế toán / Kiểm toán, Vận chuyển / Giao nhận / Kho vận</t>
        </is>
      </c>
      <c r="K4752" s="10" t="inlineStr">
        <is>
          <t>1 - 3 Năm</t>
        </is>
      </c>
      <c r="L4752" s="11">
        <f>HYPERLINK("https://careerviet.vn/vi/tim-viec-lam/nhan-vien-admin-kho.35C670BD.html","Xem chi tiết")</f>
        <v/>
      </c>
      <c r="M4752" s="10" t="n"/>
    </row>
    <row r="4753">
      <c r="B4753" s="7" t="n">
        <v>4751</v>
      </c>
      <c r="C4753" t="inlineStr">
        <is>
          <t>Nhân Viên Thiết Kế Khuôn Đúc Nhựa</t>
        </is>
      </c>
      <c r="D4753" t="inlineStr">
        <is>
          <t>CÔNG TY TNHH KURODA KAGAKU VIỆT NAM</t>
        </is>
      </c>
      <c r="E4753" t="inlineStr">
        <is>
          <t>Lương:12 Tr - 16 Tr VND</t>
        </is>
      </c>
      <c r="F4753" t="inlineStr">
        <is>
          <t>Hải Dương</t>
        </is>
      </c>
      <c r="G4753" t="inlineStr">
        <is>
          <t>31-03-2026</t>
        </is>
      </c>
      <c r="H4753" t="inlineStr">
        <is>
          <t>31/03/2026</t>
        </is>
      </c>
      <c r="I4753" t="inlineStr">
        <is>
          <t>17/03/2026</t>
        </is>
      </c>
      <c r="J4753" t="inlineStr">
        <is>
          <t>Cơ khí / Ô tô / Tự động hóa, Mỹ thuật / Nghệ thuật / Thiết kế, Sản xuất / Vận hành sản xuất</t>
        </is>
      </c>
      <c r="K4753" t="inlineStr">
        <is>
          <t>N/A</t>
        </is>
      </c>
      <c r="L4753" s="8">
        <f>HYPERLINK("https://careerviet.vn/vi/tim-viec-lam/nhan-vien-thiet-ke-khuon-duc-nhua.35C67134.html","Xem chi tiết")</f>
        <v/>
      </c>
    </row>
    <row r="4754">
      <c r="B4754" s="9" t="n">
        <v>4752</v>
      </c>
      <c r="C4754" s="10" t="inlineStr">
        <is>
          <t>Nhân viên Kỹ thuật (Kỹ thuật viên/ Kỹ sư phòng Hiệu chuẩn) Khu vực Đà Nẵng</t>
        </is>
      </c>
      <c r="D4754" s="10" t="inlineStr">
        <is>
          <t>Trung Tâm Kiểm Định Hiệu Chuẩn Đo Lường Miền Nam</t>
        </is>
      </c>
      <c r="E4754" s="10" t="inlineStr">
        <is>
          <t>Lương:8 Tr - 20 Tr VND</t>
        </is>
      </c>
      <c r="F4754" s="10" t="inlineStr">
        <is>
          <t>Hồ Chí MinhĐà Nẵng</t>
        </is>
      </c>
      <c r="G4754" s="10" t="inlineStr">
        <is>
          <t>01-04-2026</t>
        </is>
      </c>
      <c r="H4754" s="10" t="inlineStr">
        <is>
          <t>01/04/2026</t>
        </is>
      </c>
      <c r="I4754" s="10" t="inlineStr">
        <is>
          <t>17/03/2026</t>
        </is>
      </c>
      <c r="J4754" s="10" t="inlineStr">
        <is>
          <t>Cơ khí / Ô tô / Tự động hóa, Hóa học, Điện / Điện tử / Điện lạnh / Điện công nghiệp</t>
        </is>
      </c>
      <c r="K4754" s="10" t="inlineStr">
        <is>
          <t>N/A</t>
        </is>
      </c>
      <c r="L4754" s="11">
        <f>HYPERLINK("https://careerviet.vn/vi/tim-viec-lam/nhan-vien-ky-thuat-ky-thuat-vien-ky-su-phong-hieu-chuan-khu-vuc-da-nang.35C6A425.html","Xem chi tiết")</f>
        <v/>
      </c>
      <c r="M4754" s="10" t="n"/>
    </row>
    <row r="4755">
      <c r="B4755" s="7" t="n">
        <v>4753</v>
      </c>
      <c r="C4755" t="inlineStr">
        <is>
          <t>Customer Support Executive (Logistic)</t>
        </is>
      </c>
      <c r="D4755" t="inlineStr">
        <is>
          <t>UNIEXPORT CO., LTD</t>
        </is>
      </c>
      <c r="E4755" t="inlineStr">
        <is>
          <t>Lương:Cạnh tranh</t>
        </is>
      </c>
      <c r="F4755" t="inlineStr">
        <is>
          <t>Hồ Chí Minh</t>
        </is>
      </c>
      <c r="G4755" t="inlineStr">
        <is>
          <t>31-03-2026</t>
        </is>
      </c>
      <c r="H4755" t="inlineStr">
        <is>
          <t>31/03/2026</t>
        </is>
      </c>
      <c r="I4755" t="inlineStr">
        <is>
          <t>17/03/2026</t>
        </is>
      </c>
      <c r="J4755" t="inlineStr">
        <is>
          <t>Dịch vụ khách hàng, Xuất nhập khẩu, Sản xuất / Vận hành sản xuất</t>
        </is>
      </c>
      <c r="K4755" t="inlineStr">
        <is>
          <t>1 - 3 Năm</t>
        </is>
      </c>
      <c r="L4755" s="8">
        <f>HYPERLINK("https://careerviet.vn/vi/tim-viec-lam/customer-support-executive-logistic.35C6A30C.html","Xem chi tiết")</f>
        <v/>
      </c>
    </row>
    <row r="4756">
      <c r="B4756" s="9" t="n">
        <v>4754</v>
      </c>
      <c r="C4756" s="10" t="inlineStr">
        <is>
          <t>Nhân Viên Phòng Quản Lý Chất Lượng (Vị Trí Đo Hàng, Kiểm Hàng)</t>
        </is>
      </c>
      <c r="D4756" s="10" t="inlineStr">
        <is>
          <t>CÔNG TY TNHH KURODA KAGAKU VIỆT NAM</t>
        </is>
      </c>
      <c r="E4756" s="10" t="inlineStr">
        <is>
          <t>Lương:8 Tr - 12 Tr VND</t>
        </is>
      </c>
      <c r="F4756" s="10" t="inlineStr">
        <is>
          <t>Hải Dương</t>
        </is>
      </c>
      <c r="G4756" s="10" t="inlineStr">
        <is>
          <t>31-03-2026</t>
        </is>
      </c>
      <c r="H4756" s="10" t="inlineStr">
        <is>
          <t>31/03/2026</t>
        </is>
      </c>
      <c r="I4756" s="10" t="inlineStr">
        <is>
          <t>17/03/2026</t>
        </is>
      </c>
      <c r="J4756" s="10" t="inlineStr">
        <is>
          <t>Quản lý chất lượng (QA/QC), Sản xuất / Vận hành sản xuất, Cơ khí / Ô tô / Tự động hóa</t>
        </is>
      </c>
      <c r="K4756" s="10" t="inlineStr">
        <is>
          <t>N/A</t>
        </is>
      </c>
      <c r="L4756" s="11">
        <f>HYPERLINK("https://careerviet.vn/vi/tim-viec-lam/nhan-vien-phong-quan-ly-chat-luong-vi-tri-do-hang-kiem-hang.35C6714F.html","Xem chi tiết")</f>
        <v/>
      </c>
      <c r="M4756" s="10" t="n"/>
    </row>
    <row r="4757">
      <c r="B4757" s="7" t="n">
        <v>4755</v>
      </c>
      <c r="C4757" t="inlineStr">
        <is>
          <t>Chuyên Viên Pháp Chế</t>
        </is>
      </c>
      <c r="D4757" t="inlineStr">
        <is>
          <t>Công Ty TNHH Gotec Việt Nam</t>
        </is>
      </c>
      <c r="E4757" t="inlineStr">
        <is>
          <t>Lương:Cạnh tranh</t>
        </is>
      </c>
      <c r="F4757" t="inlineStr">
        <is>
          <t>Hồ Chí Minh</t>
        </is>
      </c>
      <c r="G4757" t="inlineStr">
        <is>
          <t>01-04-2026</t>
        </is>
      </c>
      <c r="H4757" t="inlineStr">
        <is>
          <t>01/04/2026</t>
        </is>
      </c>
      <c r="I4757" t="inlineStr">
        <is>
          <t>17/03/2026</t>
        </is>
      </c>
      <c r="J4757" t="inlineStr">
        <is>
          <t>Luật / Pháp lý, Xây dựng, Bất động sản</t>
        </is>
      </c>
      <c r="K4757" t="inlineStr">
        <is>
          <t>3 - 5 Năm</t>
        </is>
      </c>
      <c r="L4757" s="8">
        <f>HYPERLINK("https://careerviet.vn/vi/tim-viec-lam/chuyen-vien-phap-che.35C6A443.html","Xem chi tiết")</f>
        <v/>
      </c>
    </row>
    <row r="4758">
      <c r="B4758" s="9" t="n">
        <v>4756</v>
      </c>
      <c r="C4758" s="10" t="inlineStr">
        <is>
          <t>Kỹ Thuật Viên Vận Hành Hệ Thống Lạnh</t>
        </is>
      </c>
      <c r="D4758" s="10" t="inlineStr">
        <is>
          <t>CÔNG TY TNHH ILD COFFEE VIỆT NAM</t>
        </is>
      </c>
      <c r="E4758" s="10" t="inlineStr">
        <is>
          <t>Lương:Cạnh tranh</t>
        </is>
      </c>
      <c r="F4758" s="10" t="inlineStr">
        <is>
          <t>Bình Dương</t>
        </is>
      </c>
      <c r="G4758" s="10" t="inlineStr">
        <is>
          <t>31-03-2026</t>
        </is>
      </c>
      <c r="H4758" s="10" t="inlineStr">
        <is>
          <t>31/03/2026</t>
        </is>
      </c>
      <c r="I4758" s="10" t="inlineStr">
        <is>
          <t>17/03/2026</t>
        </is>
      </c>
      <c r="J4758" s="10" t="inlineStr">
        <is>
          <t>Cơ khí / Ô tô / Tự động hóa, Điện / Điện tử / Điện lạnh / Điện công nghiệp, Sản xuất / Vận hành sản xuất</t>
        </is>
      </c>
      <c r="K4758" s="10" t="inlineStr">
        <is>
          <t>N/A</t>
        </is>
      </c>
      <c r="L4758" s="11">
        <f>HYPERLINK("https://careerviet.vn/vi/tim-viec-lam/ky-thuat-vien-van-hanh-he-thong-lanh.35C64578.html","Xem chi tiết")</f>
        <v/>
      </c>
      <c r="M4758" s="10" t="n"/>
    </row>
    <row r="4759">
      <c r="B4759" s="7" t="n">
        <v>4757</v>
      </c>
      <c r="C4759" t="inlineStr">
        <is>
          <t>[Hưng Yên] Chuyên viên/CVC/CVCC Quan hệ Khách hàng Doanh nghiệp</t>
        </is>
      </c>
      <c r="D4759" t="inlineStr">
        <is>
          <t>Ngân hàng TMCP Lộc Phát Việt Nam (LPBank)</t>
        </is>
      </c>
      <c r="E4759" t="inlineStr">
        <is>
          <t>Lương:Cạnh tranh</t>
        </is>
      </c>
      <c r="F4759" t="inlineStr">
        <is>
          <t>Hưng Yên</t>
        </is>
      </c>
      <c r="G4759" t="inlineStr">
        <is>
          <t>31-03-2026</t>
        </is>
      </c>
      <c r="H4759" t="inlineStr">
        <is>
          <t>31/03/2026</t>
        </is>
      </c>
      <c r="I4759" t="inlineStr">
        <is>
          <t>17/03/2026</t>
        </is>
      </c>
      <c r="J4759" t="inlineStr">
        <is>
          <t>Bán hàng / Kinh doanh, Bất động sản, Bảo hiểm</t>
        </is>
      </c>
      <c r="K4759" t="inlineStr">
        <is>
          <t>Trên 1 Năm</t>
        </is>
      </c>
      <c r="L4759" s="8">
        <f>HYPERLINK("https://careerviet.vn/vi/tim-viec-lam/hung-yen-chuyen-vien-cvc-cvcc-quan-he-khach-hang-doanh-nghiep.35C64486.html","Xem chi tiết")</f>
        <v/>
      </c>
    </row>
    <row r="4760">
      <c r="B4760" s="9" t="n">
        <v>4758</v>
      </c>
      <c r="C4760" s="10" t="inlineStr">
        <is>
          <t>Phó Phòng HCNS</t>
        </is>
      </c>
      <c r="D4760" s="10" t="inlineStr">
        <is>
          <t>Công Ty Cổ Phần Tập Đoàn Đèo Cả</t>
        </is>
      </c>
      <c r="E4760" s="10" t="inlineStr">
        <is>
          <t>Lương:Cạnh tranh</t>
        </is>
      </c>
      <c r="F4760" s="10" t="inlineStr">
        <is>
          <t>Hà Nội</t>
        </is>
      </c>
      <c r="G4760" s="10" t="inlineStr">
        <is>
          <t>30-04-2026</t>
        </is>
      </c>
      <c r="H4760" s="10" t="inlineStr">
        <is>
          <t>30/04/2026</t>
        </is>
      </c>
      <c r="I4760" s="10" t="inlineStr">
        <is>
          <t>17/03/2026</t>
        </is>
      </c>
      <c r="J4760" s="10" t="inlineStr">
        <is>
          <t>Xây dựng</t>
        </is>
      </c>
      <c r="K4760" s="10" t="inlineStr">
        <is>
          <t>3 - 5 Năm</t>
        </is>
      </c>
      <c r="L4760" s="11">
        <f>HYPERLINK("https://careerviet.vn/vi/tim-viec-lam/pho-phong-hcns.35C66FF6.html","Xem chi tiết")</f>
        <v/>
      </c>
      <c r="M4760" s="10" t="n"/>
    </row>
    <row r="4761">
      <c r="B4761" s="7" t="n">
        <v>4759</v>
      </c>
      <c r="C4761" t="inlineStr">
        <is>
          <t>Early Collections Support Officer (New Zealand Lending) – Vietnam</t>
        </is>
      </c>
      <c r="D4761" t="inlineStr">
        <is>
          <t>CÔNG TY TNHH DEVINCI TEC</t>
        </is>
      </c>
      <c r="E4761" t="inlineStr">
        <is>
          <t>Lương:Cạnh tranh</t>
        </is>
      </c>
      <c r="F4761" t="inlineStr">
        <is>
          <t>Hồ Chí Minh</t>
        </is>
      </c>
      <c r="G4761" t="inlineStr">
        <is>
          <t>31-03-2026</t>
        </is>
      </c>
      <c r="H4761" t="inlineStr">
        <is>
          <t>31/03/2026</t>
        </is>
      </c>
      <c r="I4761" t="inlineStr">
        <is>
          <t>17/03/2026</t>
        </is>
      </c>
      <c r="J4761" t="inlineStr">
        <is>
          <t>Tài chính / Đầu tư, Dịch vụ khách hàng</t>
        </is>
      </c>
      <c r="K4761" t="inlineStr">
        <is>
          <t>N/A</t>
        </is>
      </c>
      <c r="L4761" s="8">
        <f>HYPERLINK("https://careerviet.vn/vi/tim-viec-lam/early-collections-support-officer-new-zealand-lending-vietnam.35C66F6B.html","Xem chi tiết")</f>
        <v/>
      </c>
    </row>
    <row r="4762">
      <c r="B4762" s="9" t="n">
        <v>4760</v>
      </c>
      <c r="C4762" s="10" t="inlineStr">
        <is>
          <t>Nhân viên kinh doanh Vật liệu xây dựng/ Bán hàng kỹ thuật (lương cứng upto 20 triệu)</t>
        </is>
      </c>
      <c r="D4762" s="10" t="inlineStr">
        <is>
          <t>Công Ty Cổ Phần MC-Bifi Bauchemie</t>
        </is>
      </c>
      <c r="E4762" s="10" t="inlineStr">
        <is>
          <t>Lương:Cạnh tranh</t>
        </is>
      </c>
      <c r="F4762" s="10" t="inlineStr">
        <is>
          <t>Hà NộiHồ Chí Minh</t>
        </is>
      </c>
      <c r="G4762" s="10" t="inlineStr">
        <is>
          <t>31-03-2026</t>
        </is>
      </c>
      <c r="H4762" s="10" t="inlineStr">
        <is>
          <t>31/03/2026</t>
        </is>
      </c>
      <c r="I4762" s="10" t="inlineStr">
        <is>
          <t>17/03/2026</t>
        </is>
      </c>
      <c r="J4762" s="10" t="inlineStr">
        <is>
          <t>Bán hàng / Kinh doanh, Bán Hàng Kỹ Thuật, Xây dựng</t>
        </is>
      </c>
      <c r="K4762" s="10" t="inlineStr">
        <is>
          <t>2 - 3 Năm</t>
        </is>
      </c>
      <c r="L4762" s="11">
        <f>HYPERLINK("https://careerviet.vn/vi/tim-viec-lam/nhan-vien-kinh-doanh-vat-lieu-xay-dung-ban-hang-ky-thuat-luong-cung-upto-20-trieu.35C67021.html","Xem chi tiết")</f>
        <v/>
      </c>
      <c r="M4762" s="10" t="n"/>
    </row>
    <row r="4763">
      <c r="B4763" s="7" t="n">
        <v>4761</v>
      </c>
      <c r="C4763" t="inlineStr">
        <is>
          <t>Trưởng Phòng Kinh Doanh</t>
        </is>
      </c>
      <c r="D4763" t="inlineStr">
        <is>
          <t>CÔNG TY CỔ PHẦN THẾ THẢO PHARMA</t>
        </is>
      </c>
      <c r="E4763" t="inlineStr">
        <is>
          <t>Lương:25 Tr - 60 Tr VND</t>
        </is>
      </c>
      <c r="F4763" t="inlineStr">
        <is>
          <t>Hà Nội</t>
        </is>
      </c>
      <c r="G4763" t="inlineStr">
        <is>
          <t>31-03-2026</t>
        </is>
      </c>
      <c r="H4763" t="inlineStr">
        <is>
          <t>31/03/2026</t>
        </is>
      </c>
      <c r="I4763" t="inlineStr">
        <is>
          <t>17/03/2026</t>
        </is>
      </c>
      <c r="J4763" t="inlineStr">
        <is>
          <t>Dược phẩm/ Hóa Mỹ Phẩm, Quản lý điều hành, Bán hàng / Kinh doanh</t>
        </is>
      </c>
      <c r="K4763" t="inlineStr">
        <is>
          <t>1 - 3 Năm</t>
        </is>
      </c>
      <c r="L4763" s="8">
        <f>HYPERLINK("https://careerviet.vn/vi/tim-viec-lam/truong-phong-kinh-doanh.35C6703B.html","Xem chi tiết")</f>
        <v/>
      </c>
    </row>
    <row r="4764">
      <c r="B4764" s="9" t="n">
        <v>4762</v>
      </c>
      <c r="C4764" s="10" t="inlineStr">
        <is>
          <t>Junior Structural Engineer</t>
        </is>
      </c>
      <c r="D4764" s="10" t="inlineStr">
        <is>
          <t>Công Ty TNHH gbc engineers Vietnam</t>
        </is>
      </c>
      <c r="E4764" s="10" t="inlineStr">
        <is>
          <t>Lương:Cạnh tranh</t>
        </is>
      </c>
      <c r="F4764" s="10" t="inlineStr">
        <is>
          <t>Hồ Chí Minh</t>
        </is>
      </c>
      <c r="G4764" s="10" t="inlineStr">
        <is>
          <t>31-03-2026</t>
        </is>
      </c>
      <c r="H4764" s="10" t="inlineStr">
        <is>
          <t>31/03/2026</t>
        </is>
      </c>
      <c r="I4764" s="10" t="inlineStr">
        <is>
          <t>17/03/2026</t>
        </is>
      </c>
      <c r="J4764" s="10" t="inlineStr">
        <is>
          <t>Xây dựng</t>
        </is>
      </c>
      <c r="K4764" s="10" t="inlineStr">
        <is>
          <t>N/A</t>
        </is>
      </c>
      <c r="L4764" s="11">
        <f>HYPERLINK("https://careerviet.vn/vi/tim-viec-lam/junior-structural-engineer.35C66FFB.html","Xem chi tiết")</f>
        <v/>
      </c>
      <c r="M4764" s="10" t="n"/>
    </row>
    <row r="4765">
      <c r="B4765" s="7" t="n">
        <v>4763</v>
      </c>
      <c r="C4765" t="inlineStr">
        <is>
          <t>Nhân viên kinh doanh thang máy</t>
        </is>
      </c>
      <c r="D4765" t="inlineStr">
        <is>
          <t>Công ty TNHH Ances Việt Nam</t>
        </is>
      </c>
      <c r="E4765" t="inlineStr">
        <is>
          <t>Lương:8 Tr - 40 Tr VND</t>
        </is>
      </c>
      <c r="F4765" t="inlineStr">
        <is>
          <t>Hồ Chí Minh</t>
        </is>
      </c>
      <c r="G4765" t="inlineStr">
        <is>
          <t>31-03-2026</t>
        </is>
      </c>
      <c r="H4765" t="inlineStr">
        <is>
          <t>31/03/2026</t>
        </is>
      </c>
      <c r="I4765" t="inlineStr">
        <is>
          <t>17/03/2026</t>
        </is>
      </c>
      <c r="J4765" t="inlineStr">
        <is>
          <t>Bất động sản, Cơ khí / Ô tô / Tự động hóa, Bán Hàng Kỹ Thuật</t>
        </is>
      </c>
      <c r="K4765" t="inlineStr">
        <is>
          <t>1 - 2 Năm</t>
        </is>
      </c>
      <c r="L4765" s="8">
        <f>HYPERLINK("https://careerviet.vn/vi/tim-viec-lam/nhan-vien-kinh-doanh-thang-may.35C645E2.html","Xem chi tiết")</f>
        <v/>
      </c>
    </row>
    <row r="4766">
      <c r="B4766" s="9" t="n">
        <v>4764</v>
      </c>
      <c r="C4766" s="10" t="inlineStr">
        <is>
          <t>Chuyên viên kinh doanh kênh Đại Lý</t>
        </is>
      </c>
      <c r="D4766" s="10" t="inlineStr">
        <is>
          <t>Công Ty Cổ Phần Tập Đoàn Đầu Tư Địa Ốc No Va</t>
        </is>
      </c>
      <c r="E4766" s="10" t="inlineStr">
        <is>
          <t>Lương:12 Tr - 20 Tr VND</t>
        </is>
      </c>
      <c r="F4766" s="10" t="inlineStr">
        <is>
          <t>Hồ Chí Minh</t>
        </is>
      </c>
      <c r="G4766" s="10" t="inlineStr">
        <is>
          <t>31-03-2026</t>
        </is>
      </c>
      <c r="H4766" s="10" t="inlineStr">
        <is>
          <t>31/03/2026</t>
        </is>
      </c>
      <c r="I4766" s="10" t="inlineStr">
        <is>
          <t>17/03/2026</t>
        </is>
      </c>
      <c r="J4766" s="10" t="inlineStr">
        <is>
          <t>Bất động sản</t>
        </is>
      </c>
      <c r="K4766" s="10" t="inlineStr">
        <is>
          <t>Trên 2 Năm</t>
        </is>
      </c>
      <c r="L4766" s="11">
        <f>HYPERLINK("https://careerviet.vn/vi/tim-viec-lam/chuyen-vien-kinh-doanh-kenh-dai-ly.35C64524.html","Xem chi tiết")</f>
        <v/>
      </c>
      <c r="M4766" s="10" t="n"/>
    </row>
    <row r="4767">
      <c r="B4767" s="7" t="n">
        <v>4765</v>
      </c>
      <c r="C4767" t="inlineStr">
        <is>
          <t>127389 - Architectural Design (Design / Aesthetic Design) - Construction</t>
        </is>
      </c>
      <c r="D4767" t="inlineStr">
        <is>
          <t>RGF HR Agent Vietnam Co., LTD</t>
        </is>
      </c>
      <c r="E4767" t="inlineStr">
        <is>
          <t>Lương:23 Tr - 30 Tr VND</t>
        </is>
      </c>
      <c r="F4767" t="inlineStr">
        <is>
          <t>Hà Nội</t>
        </is>
      </c>
      <c r="G4767" t="inlineStr">
        <is>
          <t>31-03-2026</t>
        </is>
      </c>
      <c r="H4767" t="inlineStr">
        <is>
          <t>31/03/2026</t>
        </is>
      </c>
      <c r="I4767" t="inlineStr">
        <is>
          <t>17/03/2026</t>
        </is>
      </c>
      <c r="J4767" t="inlineStr">
        <is>
          <t>Xây dựng</t>
        </is>
      </c>
      <c r="K4767" t="inlineStr">
        <is>
          <t>Trên 5 Năm</t>
        </is>
      </c>
      <c r="L4767" s="8">
        <f>HYPERLINK("https://careerviet.vn/vi/tim-viec-lam/127389-architectural-design-design-aesthetic-design-construction.35C67148.html","Xem chi tiết")</f>
        <v/>
      </c>
    </row>
    <row r="4768">
      <c r="B4768" s="9" t="n">
        <v>4766</v>
      </c>
      <c r="C4768" s="10" t="inlineStr">
        <is>
          <t>Chuyên viên chính sách và giám sát tài sản đảm bảo, Phòng chính sách và giám sát tài sản đảm bảo, Khối Tái thẩm và phê duyệt</t>
        </is>
      </c>
      <c r="D4768" s="10" t="inlineStr">
        <is>
          <t>Ngân hàng TMCP Đại Chúng Việt Nam - PVcomBank</t>
        </is>
      </c>
      <c r="E4768" s="10" t="inlineStr">
        <is>
          <t>Lương:Cạnh tranh</t>
        </is>
      </c>
      <c r="F4768" s="10" t="inlineStr">
        <is>
          <t>Hà NộiKV Bắc Trung Bộ</t>
        </is>
      </c>
      <c r="G4768" s="10" t="inlineStr">
        <is>
          <t>31-03-2026</t>
        </is>
      </c>
      <c r="H4768" s="10" t="inlineStr">
        <is>
          <t>31/03/2026</t>
        </is>
      </c>
      <c r="I4768" s="10" t="inlineStr">
        <is>
          <t>17/03/2026</t>
        </is>
      </c>
      <c r="J4768" s="10" t="inlineStr">
        <is>
          <t>Ngân hàng</t>
        </is>
      </c>
      <c r="K4768" s="10" t="inlineStr">
        <is>
          <t>2 - 3 Năm</t>
        </is>
      </c>
      <c r="L4768" s="11">
        <f>HYPERLINK("https://careerviet.vn/vi/tim-viec-lam/chuyen-vien-chinh-sach-va-giam-sat-tai-san-dam-bao-phong-chinh-sach-va-giam-sat-tai-san-dam-bao-khoi-tai-tham-va-phe-duyet.35C67033.html","Xem chi tiết")</f>
        <v/>
      </c>
      <c r="M4768" s="10" t="n"/>
    </row>
    <row r="4769">
      <c r="B4769" s="7" t="n">
        <v>4767</v>
      </c>
      <c r="C4769" t="inlineStr">
        <is>
          <t>Chuyên viên/CVC/CVCC/ Chuyên gia Khách hàng cá nhân - Đà Nẵng, Nha Trang, Huế, Dak Lak</t>
        </is>
      </c>
      <c r="D4769" t="inlineStr">
        <is>
          <t>Ngân hàng Thương mại cổ phần Đông Nam Á (SeABank)</t>
        </is>
      </c>
      <c r="E4769" t="inlineStr">
        <is>
          <t>Lương:8 Tr - 20 Tr VND</t>
        </is>
      </c>
      <c r="F4769" t="inlineStr">
        <is>
          <t>Đà NẵngKhánh HòaThừa Thiên- Huế</t>
        </is>
      </c>
      <c r="G4769" t="inlineStr">
        <is>
          <t>31-03-2026</t>
        </is>
      </c>
      <c r="H4769" t="inlineStr">
        <is>
          <t>31/03/2026</t>
        </is>
      </c>
      <c r="I4769" t="inlineStr">
        <is>
          <t>17/03/2026</t>
        </is>
      </c>
      <c r="J4769" t="inlineStr">
        <is>
          <t>Bán hàng / Kinh doanh, Ngân hàng, Tài chính / Đầu tư</t>
        </is>
      </c>
      <c r="K4769" t="inlineStr">
        <is>
          <t>1 - 10 Năm</t>
        </is>
      </c>
      <c r="L4769" s="8">
        <f>HYPERLINK("https://careerviet.vn/vi/tim-viec-lam/chuyen-vien-cvc-cvcc-chuyen-gia-khach-hang-ca-nhan-da-nang-nha-trang-hue-dak-lak.35C6709B.html","Xem chi tiết")</f>
        <v/>
      </c>
    </row>
    <row r="4770">
      <c r="B4770" s="9" t="n">
        <v>4768</v>
      </c>
      <c r="C4770" s="10" t="inlineStr">
        <is>
          <t>Kỹ Sư Thiết Kế Cơ Khí</t>
        </is>
      </c>
      <c r="D4770" s="10" t="inlineStr">
        <is>
          <t>DAI HOANG KIM GROUP</t>
        </is>
      </c>
      <c r="E4770" s="10" t="inlineStr">
        <is>
          <t>Lương:Cạnh tranh</t>
        </is>
      </c>
      <c r="F4770" s="10" t="inlineStr">
        <is>
          <t>Bình Phước</t>
        </is>
      </c>
      <c r="G4770" s="10" t="inlineStr">
        <is>
          <t>31-03-2026</t>
        </is>
      </c>
      <c r="H4770" s="10" t="inlineStr">
        <is>
          <t>31/03/2026</t>
        </is>
      </c>
      <c r="I4770" s="10" t="inlineStr">
        <is>
          <t>17/03/2026</t>
        </is>
      </c>
      <c r="J4770" s="10" t="inlineStr">
        <is>
          <t>Cơ khí / Ô tô / Tự động hóa, Sản xuất / Vận hành sản xuất</t>
        </is>
      </c>
      <c r="K4770" s="10" t="inlineStr">
        <is>
          <t>Trên 1 Năm</t>
        </is>
      </c>
      <c r="L4770" s="11">
        <f>HYPERLINK("https://careerviet.vn/vi/tim-viec-lam/ky-su-thiet-ke-co-khi.35C644A8.html","Xem chi tiết")</f>
        <v/>
      </c>
      <c r="M4770" s="10" t="n"/>
    </row>
    <row r="4771">
      <c r="B4771" s="7" t="n">
        <v>4769</v>
      </c>
      <c r="C4771" t="inlineStr">
        <is>
          <t>Lending Officer Support (New Zealand Lending) – Vietnam</t>
        </is>
      </c>
      <c r="D4771" t="inlineStr">
        <is>
          <t>CÔNG TY TNHH DEVINCI TEC</t>
        </is>
      </c>
      <c r="E4771" t="inlineStr">
        <is>
          <t>Lương:Cạnh tranh</t>
        </is>
      </c>
      <c r="F4771" t="inlineStr">
        <is>
          <t>Hồ Chí Minh</t>
        </is>
      </c>
      <c r="G4771" t="inlineStr">
        <is>
          <t>31-03-2026</t>
        </is>
      </c>
      <c r="H4771" t="inlineStr">
        <is>
          <t>31/03/2026</t>
        </is>
      </c>
      <c r="I4771" t="inlineStr">
        <is>
          <t>17/03/2026</t>
        </is>
      </c>
      <c r="J4771" t="inlineStr">
        <is>
          <t>Dịch vụ khách hàng, Tài chính / Đầu tư</t>
        </is>
      </c>
      <c r="K4771" t="inlineStr">
        <is>
          <t>N/A</t>
        </is>
      </c>
      <c r="L4771" s="8">
        <f>HYPERLINK("https://careerviet.vn/vi/tim-viec-lam/lending-officer-support-new-zealand-lending-vietnam.35C66F60.html","Xem chi tiết")</f>
        <v/>
      </c>
    </row>
    <row r="4772">
      <c r="B4772" s="9" t="n">
        <v>4770</v>
      </c>
      <c r="C4772" s="10" t="inlineStr">
        <is>
          <t>Quản lý dự án (Project Manager) - Văn phòng quản lý dự án</t>
        </is>
      </c>
      <c r="D4772" s="10" t="inlineStr">
        <is>
          <t>Ngân hàng TMCP Đại Chúng Việt Nam - PVcomBank</t>
        </is>
      </c>
      <c r="E4772" s="10" t="inlineStr">
        <is>
          <t>Lương:Cạnh tranh</t>
        </is>
      </c>
      <c r="F4772" s="10" t="inlineStr">
        <is>
          <t>Hà Nội</t>
        </is>
      </c>
      <c r="G4772" s="10" t="inlineStr">
        <is>
          <t>31-03-2026</t>
        </is>
      </c>
      <c r="H4772" s="10" t="inlineStr">
        <is>
          <t>31/03/2026</t>
        </is>
      </c>
      <c r="I4772" s="10" t="inlineStr">
        <is>
          <t>17/03/2026</t>
        </is>
      </c>
      <c r="J4772" s="10" t="inlineStr">
        <is>
          <t>Ngân hàng</t>
        </is>
      </c>
      <c r="K4772" s="10" t="inlineStr">
        <is>
          <t>2 - 10 Năm</t>
        </is>
      </c>
      <c r="L4772" s="11">
        <f>HYPERLINK("https://careerviet.vn/vi/tim-viec-lam/quan-ly-du-an-project-manager-van-phong-quan-ly-du-an.35C670F7.html","Xem chi tiết")</f>
        <v/>
      </c>
      <c r="M4772" s="10" t="n"/>
    </row>
    <row r="4773">
      <c r="B4773" s="7" t="n">
        <v>4771</v>
      </c>
      <c r="C4773" t="inlineStr">
        <is>
          <t>Chuyên Viên Cao Cấp Quản Trị Dữ Liệu (Data Governance Senior Officer) - Khối Tài Chính Kế Toán</t>
        </is>
      </c>
      <c r="D4773" t="inlineStr">
        <is>
          <t>ABBANK - Ngân Hàng TMCP An Bình</t>
        </is>
      </c>
      <c r="E4773" t="inlineStr">
        <is>
          <t>Lương:Cạnh tranh</t>
        </is>
      </c>
      <c r="F4773" t="inlineStr">
        <is>
          <t>Hà Nội</t>
        </is>
      </c>
      <c r="G4773" t="inlineStr">
        <is>
          <t>31-03-2026</t>
        </is>
      </c>
      <c r="H4773" t="inlineStr">
        <is>
          <t>31/03/2026</t>
        </is>
      </c>
      <c r="I4773" t="inlineStr">
        <is>
          <t>17/03/2026</t>
        </is>
      </c>
      <c r="J4773" t="inlineStr">
        <is>
          <t>Ngân hàng, Tài chính / Đầu tư</t>
        </is>
      </c>
      <c r="K4773" t="inlineStr">
        <is>
          <t>3 - 5 Năm</t>
        </is>
      </c>
      <c r="L4773" s="8">
        <f>HYPERLINK("https://careerviet.vn/vi/tim-viec-lam/chuyen-vien-cao-cap-quan-tri-du-lieu-data-governance-senior-officer-khoi-tai-chinh-ke-toan.35C670F1.html","Xem chi tiết")</f>
        <v/>
      </c>
    </row>
    <row r="4774">
      <c r="B4774" s="9" t="n">
        <v>4772</v>
      </c>
      <c r="C4774" s="10" t="inlineStr">
        <is>
          <t>TA Supervisor - Giám Sát Tuyển Dụng</t>
        </is>
      </c>
      <c r="D4774" s="10" t="inlineStr">
        <is>
          <t>Công Ty TNHH CJ Vina Agri</t>
        </is>
      </c>
      <c r="E4774" s="10" t="inlineStr">
        <is>
          <t>Lương:Cạnh tranh</t>
        </is>
      </c>
      <c r="F4774" s="10" t="inlineStr">
        <is>
          <t>Tây NinhLong AnĐồng Nai</t>
        </is>
      </c>
      <c r="G4774" s="10" t="inlineStr">
        <is>
          <t>31-03-2026</t>
        </is>
      </c>
      <c r="H4774" s="10" t="inlineStr">
        <is>
          <t>31/03/2026</t>
        </is>
      </c>
      <c r="I4774" s="10" t="inlineStr">
        <is>
          <t>17/03/2026</t>
        </is>
      </c>
      <c r="J4774" s="10" t="inlineStr">
        <is>
          <t>Luật / Pháp lý, Nhân sự, Chăn nuôi / Thú y</t>
        </is>
      </c>
      <c r="K4774" s="10" t="inlineStr">
        <is>
          <t>Trên 5 Năm</t>
        </is>
      </c>
      <c r="L4774" s="11">
        <f>HYPERLINK("https://careerviet.vn/vi/tim-viec-lam/ta-supervisor-giam-sat-tuyen-dung.35C67078.html","Xem chi tiết")</f>
        <v/>
      </c>
      <c r="M4774" s="10" t="n"/>
    </row>
    <row r="4775">
      <c r="B4775" s="7" t="n">
        <v>4773</v>
      </c>
      <c r="C4775" t="inlineStr">
        <is>
          <t>Senior Quality Executive</t>
        </is>
      </c>
      <c r="D4775" t="inlineStr">
        <is>
          <t>TÜV SÜD Vietnam</t>
        </is>
      </c>
      <c r="E4775" t="inlineStr">
        <is>
          <t>Lương:Cạnh tranh</t>
        </is>
      </c>
      <c r="F4775" t="inlineStr">
        <is>
          <t>Hồ Chí Minh</t>
        </is>
      </c>
      <c r="G4775" t="inlineStr">
        <is>
          <t>31-03-2026</t>
        </is>
      </c>
      <c r="H4775" t="inlineStr">
        <is>
          <t>31/03/2026</t>
        </is>
      </c>
      <c r="I4775" t="inlineStr">
        <is>
          <t>17/03/2026</t>
        </is>
      </c>
      <c r="J4775" t="inlineStr">
        <is>
          <t>Quản lý chất lượng (QA/QC), Hóa học, Công nghệ sinh học</t>
        </is>
      </c>
      <c r="K4775" t="inlineStr">
        <is>
          <t>3 - 5 Năm</t>
        </is>
      </c>
      <c r="L4775" s="8">
        <f>HYPERLINK("https://careerviet.vn/vi/tim-viec-lam/senior-quality-executive.35C66FA2.html","Xem chi tiết")</f>
        <v/>
      </c>
    </row>
    <row r="4776">
      <c r="B4776" s="9" t="n">
        <v>4774</v>
      </c>
      <c r="C4776" s="10" t="inlineStr">
        <is>
          <t>Điều Dưỡng</t>
        </is>
      </c>
      <c r="D4776" s="10" t="inlineStr">
        <is>
          <t>THẨM MỸ VIỆN DR DOHYUN</t>
        </is>
      </c>
      <c r="E4776" s="10" t="inlineStr">
        <is>
          <t>Lương:10 Tr - 20 Tr VND</t>
        </is>
      </c>
      <c r="F4776" s="10" t="inlineStr">
        <is>
          <t>Đà Nẵng</t>
        </is>
      </c>
      <c r="G4776" s="10" t="inlineStr">
        <is>
          <t>31-03-2026</t>
        </is>
      </c>
      <c r="H4776" s="10" t="inlineStr">
        <is>
          <t>31/03/2026</t>
        </is>
      </c>
      <c r="I4776" s="10" t="inlineStr">
        <is>
          <t>17/03/2026</t>
        </is>
      </c>
      <c r="J4776" s="10" t="inlineStr">
        <is>
          <t>Y tế / Chăm sóc sức khỏe / Thẩm mỹ / Làm đẹp, Dược phẩm/ Hóa Mỹ Phẩm, Công nghệ thực phẩm / Dinh dưỡng</t>
        </is>
      </c>
      <c r="K4776" s="10" t="inlineStr">
        <is>
          <t>2 - 3 Năm</t>
        </is>
      </c>
      <c r="L4776" s="11">
        <f>HYPERLINK("https://careerviet.vn/vi/tim-viec-lam/dieu-duong.35C6706D.html","Xem chi tiết")</f>
        <v/>
      </c>
      <c r="M4776" s="10" t="n"/>
    </row>
    <row r="4777">
      <c r="B4777" s="7" t="n">
        <v>4775</v>
      </c>
      <c r="C4777" t="inlineStr">
        <is>
          <t>Kế toán tổng hợp</t>
        </is>
      </c>
      <c r="D4777" t="inlineStr">
        <is>
          <t>Công ty Cổ phần Công nghệ và Đầu tư INTECH</t>
        </is>
      </c>
      <c r="E4777" t="inlineStr">
        <is>
          <t>Lương:15 Tr - 25 Tr VND</t>
        </is>
      </c>
      <c r="F4777" t="inlineStr">
        <is>
          <t>Hà Nội</t>
        </is>
      </c>
      <c r="G4777" t="inlineStr">
        <is>
          <t>31-03-2026</t>
        </is>
      </c>
      <c r="H4777" t="inlineStr">
        <is>
          <t>31/03/2026</t>
        </is>
      </c>
      <c r="I4777" t="inlineStr">
        <is>
          <t>17/03/2026</t>
        </is>
      </c>
      <c r="J4777" t="inlineStr">
        <is>
          <t>Kế toán / Kiểm toán</t>
        </is>
      </c>
      <c r="K4777" t="inlineStr">
        <is>
          <t>1 - 3 Năm</t>
        </is>
      </c>
      <c r="L4777" s="8">
        <f>HYPERLINK("https://careerviet.vn/vi/tim-viec-lam/ke-toan-tong-hop.35C64552.html","Xem chi tiết")</f>
        <v/>
      </c>
    </row>
    <row r="4778">
      <c r="B4778" s="9" t="n">
        <v>4776</v>
      </c>
      <c r="C4778" s="10" t="inlineStr">
        <is>
          <t>Trưởng nhóm Vận hành (rạp chiếu phim) có Tiếng Nhật 27341 - Quận 3, HCM</t>
        </is>
      </c>
      <c r="D4778" s="10" t="inlineStr">
        <is>
          <t>Công Ty TNHH Reeracoen Việt Nam</t>
        </is>
      </c>
      <c r="E4778" s="10" t="inlineStr">
        <is>
          <t>Lương:20 Tr - 28 Tr VND</t>
        </is>
      </c>
      <c r="F4778" s="10" t="inlineStr">
        <is>
          <t>Hồ Chí Minh</t>
        </is>
      </c>
      <c r="G4778" s="10" t="inlineStr">
        <is>
          <t>31-03-2026</t>
        </is>
      </c>
      <c r="H4778" s="10" t="inlineStr">
        <is>
          <t>31/03/2026</t>
        </is>
      </c>
      <c r="I4778" s="10" t="inlineStr">
        <is>
          <t>17/03/2026</t>
        </is>
      </c>
      <c r="J4778" s="10" t="inlineStr">
        <is>
          <t>Quản lý điều hành, Mỹ thuật / Nghệ thuật / Thiết kế</t>
        </is>
      </c>
      <c r="K4778" s="10" t="inlineStr">
        <is>
          <t>2 - 5 Năm</t>
        </is>
      </c>
      <c r="L4778" s="11">
        <f>HYPERLINK("https://careerviet.vn/vi/tim-viec-lam/truong-nhom-van-hanh-rap-chieu-phim-co-tieng-nhat-27341-quan-3-hcm.35C645C2.html","Xem chi tiết")</f>
        <v/>
      </c>
      <c r="M4778" s="10" t="n"/>
    </row>
    <row r="4779">
      <c r="B4779" s="7" t="n">
        <v>4777</v>
      </c>
      <c r="C4779" t="inlineStr">
        <is>
          <t>Kế Toán Nội Bộ</t>
        </is>
      </c>
      <c r="D4779" t="inlineStr">
        <is>
          <t>CÔNG TY CỔ PHẦN ĐẦU TƯ PHÁT TRIỂN MÔI TRƯỜNG ĐẠI VIỆT</t>
        </is>
      </c>
      <c r="E4779" t="inlineStr">
        <is>
          <t>Lương:10 Tr - 14 Tr VND</t>
        </is>
      </c>
      <c r="F4779" t="inlineStr">
        <is>
          <t>Hồ Chí Minh</t>
        </is>
      </c>
      <c r="G4779" t="inlineStr">
        <is>
          <t>02-04-2026</t>
        </is>
      </c>
      <c r="H4779" t="inlineStr">
        <is>
          <t>02/04/2026</t>
        </is>
      </c>
      <c r="I4779" t="inlineStr">
        <is>
          <t>17/03/2026</t>
        </is>
      </c>
      <c r="J4779" t="inlineStr">
        <is>
          <t>Tư vấn, Môi trường, Kế toán / Kiểm toán</t>
        </is>
      </c>
      <c r="K4779" t="inlineStr">
        <is>
          <t>Trên 2 Năm</t>
        </is>
      </c>
      <c r="L4779" s="8">
        <f>HYPERLINK("https://careerviet.vn/vi/tim-viec-lam/ke-toan-noi-bo.35C67081.html","Xem chi tiết")</f>
        <v/>
      </c>
    </row>
    <row r="4780">
      <c r="B4780" s="9" t="n">
        <v>4778</v>
      </c>
      <c r="C4780" s="10" t="inlineStr">
        <is>
          <t>[Hà Nội] Pull Sales Manager</t>
        </is>
      </c>
      <c r="D4780" s="10" t="inlineStr">
        <is>
          <t>Saint-Gobain Vietnam</t>
        </is>
      </c>
      <c r="E4780" s="10" t="inlineStr">
        <is>
          <t>Lương:Cạnh tranh</t>
        </is>
      </c>
      <c r="F4780" s="10" t="inlineStr">
        <is>
          <t>Hà Nội</t>
        </is>
      </c>
      <c r="G4780" s="10" t="inlineStr">
        <is>
          <t>31-03-2026</t>
        </is>
      </c>
      <c r="H4780" s="10" t="inlineStr">
        <is>
          <t>31/03/2026</t>
        </is>
      </c>
      <c r="I4780" s="10" t="inlineStr">
        <is>
          <t>17/03/2026</t>
        </is>
      </c>
      <c r="J4780" s="10" t="inlineStr">
        <is>
          <t>Bán lẻ / Bán sỉ, Bán hàng / Kinh doanh</t>
        </is>
      </c>
      <c r="K4780" s="10" t="inlineStr">
        <is>
          <t>5 - 8 Năm</t>
        </is>
      </c>
      <c r="L4780" s="11">
        <f>HYPERLINK("https://careerviet.vn/vi/tim-viec-lam/ha-noi-pull-sales-manager.35C67043.html","Xem chi tiết")</f>
        <v/>
      </c>
      <c r="M4780" s="10" t="n"/>
    </row>
    <row r="4781">
      <c r="B4781" s="7" t="n">
        <v>4779</v>
      </c>
      <c r="C4781" t="inlineStr">
        <is>
          <t>Trưởng nhóm bảo trì</t>
        </is>
      </c>
      <c r="D4781" t="inlineStr">
        <is>
          <t>VINFAST TRADING AND PRODUCTION JSC</t>
        </is>
      </c>
      <c r="E4781" t="inlineStr">
        <is>
          <t>Lương:Cạnh tranh</t>
        </is>
      </c>
      <c r="F4781" t="inlineStr">
        <is>
          <t>Hà Tĩnh</t>
        </is>
      </c>
      <c r="G4781" t="inlineStr">
        <is>
          <t>31-03-2026</t>
        </is>
      </c>
      <c r="H4781" t="inlineStr">
        <is>
          <t>31/03/2026</t>
        </is>
      </c>
      <c r="I4781" t="inlineStr">
        <is>
          <t>17/03/2026</t>
        </is>
      </c>
      <c r="J4781" t="inlineStr">
        <is>
          <t>Sản xuất / Vận hành sản xuất, Cơ khí / Ô tô / Tự động hóa, Bảo trì / Sửa chữa</t>
        </is>
      </c>
      <c r="K4781" t="inlineStr">
        <is>
          <t>3 - 5 Năm</t>
        </is>
      </c>
      <c r="L4781" s="8">
        <f>HYPERLINK("https://careerviet.vn/vi/tim-viec-lam/truong-nhom-bao-tri.35C642E1.html","Xem chi tiết")</f>
        <v/>
      </c>
    </row>
    <row r="4782">
      <c r="B4782" s="9" t="n">
        <v>4780</v>
      </c>
      <c r="C4782" s="10" t="inlineStr">
        <is>
          <t>NHÂN VIÊN HSE</t>
        </is>
      </c>
      <c r="D4782" s="10" t="inlineStr">
        <is>
          <t>CÔNG TY TNHH INZI VINA</t>
        </is>
      </c>
      <c r="E4782" s="10" t="inlineStr">
        <is>
          <t>Lương:Cạnh tranh</t>
        </is>
      </c>
      <c r="F4782" s="10" t="inlineStr">
        <is>
          <t>Đồng Nai</t>
        </is>
      </c>
      <c r="G4782" s="10" t="inlineStr">
        <is>
          <t>31-03-2026</t>
        </is>
      </c>
      <c r="H4782" s="10" t="inlineStr">
        <is>
          <t>31/03/2026</t>
        </is>
      </c>
      <c r="I4782" s="10" t="inlineStr">
        <is>
          <t>17/03/2026</t>
        </is>
      </c>
      <c r="J4782" s="10" t="inlineStr">
        <is>
          <t>Môi trường, Sản xuất / Vận hành sản xuất, An toàn lao động</t>
        </is>
      </c>
      <c r="K4782" s="10" t="inlineStr">
        <is>
          <t>1 - 5 Năm</t>
        </is>
      </c>
      <c r="L4782" s="11">
        <f>HYPERLINK("https://careerviet.vn/vi/tim-viec-lam/nhan-vien-hse.35C66FDD.html","Xem chi tiết")</f>
        <v/>
      </c>
      <c r="M4782" s="10" t="n"/>
    </row>
    <row r="4783">
      <c r="B4783" s="7" t="n">
        <v>4781</v>
      </c>
      <c r="C4783" t="inlineStr">
        <is>
          <t>Chuyên viên Thanh Quyết Toán</t>
        </is>
      </c>
      <c r="D4783" t="inlineStr">
        <is>
          <t>CÔNG TY CỔ PHẦN VINHOMES</t>
        </is>
      </c>
      <c r="E4783" t="inlineStr">
        <is>
          <t>Lương:Cạnh tranh</t>
        </is>
      </c>
      <c r="F4783" t="inlineStr">
        <is>
          <t>Hà Nội</t>
        </is>
      </c>
      <c r="G4783" t="inlineStr">
        <is>
          <t>31-03-2026</t>
        </is>
      </c>
      <c r="H4783" t="inlineStr">
        <is>
          <t>31/03/2026</t>
        </is>
      </c>
      <c r="I4783" t="inlineStr">
        <is>
          <t>17/03/2026</t>
        </is>
      </c>
      <c r="J4783" t="inlineStr">
        <is>
          <t>Xây dựng, Bất động sản</t>
        </is>
      </c>
      <c r="K4783" t="inlineStr">
        <is>
          <t>2 - 4 Năm</t>
        </is>
      </c>
      <c r="L4783" s="8">
        <f>HYPERLINK("https://careerviet.vn/vi/tim-viec-lam/chuyen-vien-thanh-quyet-toan.35C670FC.html","Xem chi tiết")</f>
        <v/>
      </c>
    </row>
    <row r="4784">
      <c r="B4784" s="9" t="n">
        <v>4782</v>
      </c>
      <c r="C4784" s="10" t="inlineStr">
        <is>
          <t>Phó Phòng Phát Triển Sản Phẩm Vay Thế Chấp - Secured Loan Deputy Manager</t>
        </is>
      </c>
      <c r="D4784" s="10" t="inlineStr">
        <is>
          <t>Công Ty Tài Chính Mirae Asset (Việt Nam)</t>
        </is>
      </c>
      <c r="E4784" s="10" t="inlineStr">
        <is>
          <t>Lương:Cạnh tranh</t>
        </is>
      </c>
      <c r="F4784" s="10" t="inlineStr">
        <is>
          <t>Hồ Chí Minh</t>
        </is>
      </c>
      <c r="G4784" s="10" t="inlineStr">
        <is>
          <t>31-03-2026</t>
        </is>
      </c>
      <c r="H4784" s="10" t="inlineStr">
        <is>
          <t>31/03/2026</t>
        </is>
      </c>
      <c r="I4784" s="10" t="inlineStr">
        <is>
          <t>17/03/2026</t>
        </is>
      </c>
      <c r="J4784" s="10" t="inlineStr">
        <is>
          <t>Bảo hiểm, Ngân hàng, Kế toán / Kiểm toán</t>
        </is>
      </c>
      <c r="K4784" s="10" t="inlineStr">
        <is>
          <t>Trên 5 Năm</t>
        </is>
      </c>
      <c r="L4784" s="11">
        <f>HYPERLINK("https://careerviet.vn/vi/tim-viec-lam/pho-phong-phat-trien-san-pham-vay-the-chap-secured-loan-deputy-manager.35C67071.html","Xem chi tiết")</f>
        <v/>
      </c>
      <c r="M4784" s="10" t="n"/>
    </row>
    <row r="4785">
      <c r="B4785" s="7" t="n">
        <v>4783</v>
      </c>
      <c r="C4785" t="inlineStr">
        <is>
          <t>Kỹ sư bảo trì motor điện</t>
        </is>
      </c>
      <c r="D4785" t="inlineStr">
        <is>
          <t>MARUICHI SUN STEEL JSC.</t>
        </is>
      </c>
      <c r="E4785" t="inlineStr">
        <is>
          <t>Lương:12 Tr - 15 Tr VND</t>
        </is>
      </c>
      <c r="F4785" t="inlineStr">
        <is>
          <t>Bình Dương</t>
        </is>
      </c>
      <c r="G4785" t="inlineStr">
        <is>
          <t>31-03-2026</t>
        </is>
      </c>
      <c r="H4785" t="inlineStr">
        <is>
          <t>31/03/2026</t>
        </is>
      </c>
      <c r="I4785" t="inlineStr">
        <is>
          <t>17/03/2026</t>
        </is>
      </c>
      <c r="J4785" t="inlineStr">
        <is>
          <t>Cơ khí / Ô tô / Tự động hóa, Điện / Điện tử / Điện lạnh / Điện công nghiệp, Bảo trì / Sửa chữa</t>
        </is>
      </c>
      <c r="K4785" t="inlineStr">
        <is>
          <t>N/A</t>
        </is>
      </c>
      <c r="L4785" s="8">
        <f>HYPERLINK("https://careerviet.vn/vi/tim-viec-lam/ky-su-bao-tri-motor-dien.35C66FFC.html","Xem chi tiết")</f>
        <v/>
      </c>
    </row>
    <row r="4786">
      <c r="B4786" s="9" t="n">
        <v>4784</v>
      </c>
      <c r="C4786" s="10" t="inlineStr">
        <is>
          <t>Sales Manager (BESS)</t>
        </is>
      </c>
      <c r="D4786" s="10" t="inlineStr">
        <is>
          <t>CÔNG TY TNHH AMPOTECH</t>
        </is>
      </c>
      <c r="E4786" s="10" t="inlineStr">
        <is>
          <t>Lương:1.200 - 1.500 USD</t>
        </is>
      </c>
      <c r="F4786" s="10" t="inlineStr">
        <is>
          <t>Hà Nội</t>
        </is>
      </c>
      <c r="G4786" s="10" t="inlineStr">
        <is>
          <t>31-03-2026</t>
        </is>
      </c>
      <c r="H4786" s="10" t="inlineStr">
        <is>
          <t>31/03/2026</t>
        </is>
      </c>
      <c r="I4786" s="10" t="inlineStr">
        <is>
          <t>17/03/2026</t>
        </is>
      </c>
      <c r="J4786" s="10" t="inlineStr">
        <is>
          <t>Bán hàng / Kinh doanh, Quản lý điều hành, Dịch vụ khách hàng</t>
        </is>
      </c>
      <c r="K4786" s="10" t="inlineStr">
        <is>
          <t>Trên 3 Năm</t>
        </is>
      </c>
      <c r="L4786" s="11">
        <f>HYPERLINK("https://careerviet.vn/vi/tim-viec-lam/sales-manager-bess.35C670CF.html","Xem chi tiết")</f>
        <v/>
      </c>
      <c r="M4786" s="10" t="n"/>
    </row>
    <row r="4787">
      <c r="B4787" s="7" t="n">
        <v>4785</v>
      </c>
      <c r="C4787" t="inlineStr">
        <is>
          <t>Nhân Viên Quản Lý Sản Xuất</t>
        </is>
      </c>
      <c r="D4787" t="inlineStr">
        <is>
          <t>DAI HOANG KIM GROUP</t>
        </is>
      </c>
      <c r="E4787" t="inlineStr">
        <is>
          <t>Lương:Cạnh tranh</t>
        </is>
      </c>
      <c r="F4787" t="inlineStr">
        <is>
          <t>Bình Phước</t>
        </is>
      </c>
      <c r="G4787" t="inlineStr">
        <is>
          <t>31-03-2026</t>
        </is>
      </c>
      <c r="H4787" t="inlineStr">
        <is>
          <t>31/03/2026</t>
        </is>
      </c>
      <c r="I4787" t="inlineStr">
        <is>
          <t>17/03/2026</t>
        </is>
      </c>
      <c r="J4787" t="inlineStr">
        <is>
          <t>Cơ khí / Ô tô / Tự động hóa, Sản xuất / Vận hành sản xuất, Quản lý chất lượng (QA/QC)</t>
        </is>
      </c>
      <c r="K4787" t="inlineStr">
        <is>
          <t>tại xưởng cơ khí</t>
        </is>
      </c>
      <c r="L4787" s="8">
        <f>HYPERLINK("https://careerviet.vn/vi/tim-viec-lam/nhan-vien-quan-ly-san-xuat.35C64539.html","Xem chi tiết")</f>
        <v/>
      </c>
    </row>
    <row r="4788">
      <c r="B4788" s="9" t="n">
        <v>4786</v>
      </c>
      <c r="C4788" s="10" t="inlineStr">
        <is>
          <t>Trưởng Phòng Thu Mua</t>
        </is>
      </c>
      <c r="D4788" s="10" t="inlineStr">
        <is>
          <t>CÔNG TY CỔ PHẦN THẾ THẢO PHARMA</t>
        </is>
      </c>
      <c r="E4788" s="10" t="inlineStr">
        <is>
          <t>Lương:16 Tr - 22 Tr VND</t>
        </is>
      </c>
      <c r="F4788" s="10" t="inlineStr">
        <is>
          <t>Hà Nội</t>
        </is>
      </c>
      <c r="G4788" s="10" t="inlineStr">
        <is>
          <t>31-03-2026</t>
        </is>
      </c>
      <c r="H4788" s="10" t="inlineStr">
        <is>
          <t>31/03/2026</t>
        </is>
      </c>
      <c r="I4788" s="10" t="inlineStr">
        <is>
          <t>17/03/2026</t>
        </is>
      </c>
      <c r="J4788" s="10" t="inlineStr">
        <is>
          <t>Dược phẩm/ Hóa Mỹ Phẩm, Quản lý điều hành, Thu mua / Vật tư</t>
        </is>
      </c>
      <c r="K4788" s="10" t="inlineStr">
        <is>
          <t>Trên 2 Năm</t>
        </is>
      </c>
      <c r="L4788" s="11">
        <f>HYPERLINK("https://careerviet.vn/vi/tim-viec-lam/truong-phong-thu-mua.35C67037.html","Xem chi tiết")</f>
        <v/>
      </c>
      <c r="M4788" s="10" t="n"/>
    </row>
    <row r="4789">
      <c r="B4789" s="7" t="n">
        <v>4787</v>
      </c>
      <c r="C4789" t="inlineStr">
        <is>
          <t>Nhân Viên IT, lập trình</t>
        </is>
      </c>
      <c r="D4789" t="inlineStr">
        <is>
          <t>CÔNG TY TNHH KURODA KAGAKU VIỆT NAM</t>
        </is>
      </c>
      <c r="E4789" t="inlineStr">
        <is>
          <t>Lương:Cạnh tranh</t>
        </is>
      </c>
      <c r="F4789" t="inlineStr">
        <is>
          <t>Hải Dương</t>
        </is>
      </c>
      <c r="G4789" t="inlineStr">
        <is>
          <t>31-03-2026</t>
        </is>
      </c>
      <c r="H4789" t="inlineStr">
        <is>
          <t>31/03/2026</t>
        </is>
      </c>
      <c r="I4789" t="inlineStr">
        <is>
          <t>17/03/2026</t>
        </is>
      </c>
      <c r="J4789" t="inlineStr">
        <is>
          <t>CNTT - Phần cứng / Mạng, CNTT - Phần mềm</t>
        </is>
      </c>
      <c r="K4789" t="inlineStr">
        <is>
          <t>Trên 1 Năm</t>
        </is>
      </c>
      <c r="L4789" s="8">
        <f>HYPERLINK("https://careerviet.vn/vi/tim-viec-lam/nhan-vien-it-lap-trinh.35C6714E.html","Xem chi tiết")</f>
        <v/>
      </c>
    </row>
    <row r="4790">
      <c r="B4790" s="9" t="n">
        <v>4788</v>
      </c>
      <c r="C4790" s="10" t="inlineStr">
        <is>
          <t>Kỹ Sư Dự Toán - QS Engineer</t>
        </is>
      </c>
      <c r="D4790" s="10" t="inlineStr">
        <is>
          <t>CÔNG TY CỔ PHẦN TẬP ĐOÀN HOA SEN</t>
        </is>
      </c>
      <c r="E4790" s="10" t="inlineStr">
        <is>
          <t>Lương:Cạnh tranh</t>
        </is>
      </c>
      <c r="F4790" s="10" t="inlineStr">
        <is>
          <t>Hồ Chí Minh</t>
        </is>
      </c>
      <c r="G4790" s="10" t="inlineStr">
        <is>
          <t>31-03-2026</t>
        </is>
      </c>
      <c r="H4790" s="10" t="inlineStr">
        <is>
          <t>31/03/2026</t>
        </is>
      </c>
      <c r="I4790" s="10" t="inlineStr">
        <is>
          <t>17/03/2026</t>
        </is>
      </c>
      <c r="J4790" s="10" t="inlineStr">
        <is>
          <t>Xây dựng</t>
        </is>
      </c>
      <c r="K4790" s="10" t="inlineStr">
        <is>
          <t>1 - 5 Năm</t>
        </is>
      </c>
      <c r="L4790" s="11">
        <f>HYPERLINK("https://careerviet.vn/vi/tim-viec-lam/ky-su-du-toan-qs-engineer.35C644D4.html","Xem chi tiết")</f>
        <v/>
      </c>
      <c r="M4790" s="10" t="n"/>
    </row>
    <row r="4791">
      <c r="B4791" s="7" t="n">
        <v>4789</v>
      </c>
      <c r="C4791" t="inlineStr">
        <is>
          <t>Quản lý điều dưỡng</t>
        </is>
      </c>
      <c r="D4791" t="inlineStr">
        <is>
          <t>CÔNG TY CỔ PHẦN BỆNH VIỆN QUỐC TẾ BERNARD 1</t>
        </is>
      </c>
      <c r="E4791" t="inlineStr">
        <is>
          <t>Lương:Cạnh tranh</t>
        </is>
      </c>
      <c r="F4791" t="inlineStr">
        <is>
          <t>Hồ Chí Minh</t>
        </is>
      </c>
      <c r="G4791" t="inlineStr">
        <is>
          <t>29-03-2026</t>
        </is>
      </c>
      <c r="H4791" t="inlineStr">
        <is>
          <t>29/03/2026</t>
        </is>
      </c>
      <c r="I4791" t="inlineStr">
        <is>
          <t>17/03/2026</t>
        </is>
      </c>
      <c r="J4791" t="inlineStr">
        <is>
          <t>Dược phẩm/ Hóa Mỹ Phẩm, Y tế / Chăm sóc sức khỏe / Thẩm mỹ / Làm đẹp</t>
        </is>
      </c>
      <c r="K4791" t="inlineStr">
        <is>
          <t>10 - 15 Năm</t>
        </is>
      </c>
      <c r="L4791" s="8">
        <f>HYPERLINK("https://careerviet.vn/vi/tim-viec-lam/quan-ly-dieu-duong.35C64076.html","Xem chi tiết")</f>
        <v/>
      </c>
    </row>
    <row r="4792">
      <c r="B4792" s="9" t="n">
        <v>4790</v>
      </c>
      <c r="C4792" s="10" t="inlineStr">
        <is>
          <t>127383 - Construction Project Management - Construction</t>
        </is>
      </c>
      <c r="D4792" s="10" t="inlineStr">
        <is>
          <t>RGF HR Agent Vietnam Co., LTD</t>
        </is>
      </c>
      <c r="E4792" s="10" t="inlineStr">
        <is>
          <t>Lương:25 Tr - 38 Tr VND</t>
        </is>
      </c>
      <c r="F4792" s="10" t="inlineStr">
        <is>
          <t>Hà Nội</t>
        </is>
      </c>
      <c r="G4792" s="10" t="inlineStr">
        <is>
          <t>31-03-2026</t>
        </is>
      </c>
      <c r="H4792" s="10" t="inlineStr">
        <is>
          <t>31/03/2026</t>
        </is>
      </c>
      <c r="I4792" s="10" t="inlineStr">
        <is>
          <t>17/03/2026</t>
        </is>
      </c>
      <c r="J4792" s="10" t="inlineStr">
        <is>
          <t>Xây dựng</t>
        </is>
      </c>
      <c r="K4792" s="10" t="inlineStr">
        <is>
          <t>Trên 6 Năm</t>
        </is>
      </c>
      <c r="L4792" s="11">
        <f>HYPERLINK("https://careerviet.vn/vi/tim-viec-lam/127383-construction-project-management-construction.35C67144.html","Xem chi tiết")</f>
        <v/>
      </c>
      <c r="M4792" s="10" t="n"/>
    </row>
    <row r="4793">
      <c r="B4793" s="7" t="n">
        <v>4791</v>
      </c>
      <c r="C4793" t="inlineStr">
        <is>
          <t>Kỹ Sư QS</t>
        </is>
      </c>
      <c r="D4793" t="inlineStr">
        <is>
          <t>CÔNG TY TNHH ĐẦU TƯ XÂY DỰNG PHÁT TRIỂN THÁI DƯƠNG</t>
        </is>
      </c>
      <c r="E4793" t="inlineStr">
        <is>
          <t>Lương:10 Tr - 20 Tr VND</t>
        </is>
      </c>
      <c r="F4793" t="inlineStr">
        <is>
          <t>Hồ Chí MinhBình Dương</t>
        </is>
      </c>
      <c r="G4793" t="inlineStr">
        <is>
          <t>29-03-2026</t>
        </is>
      </c>
      <c r="H4793" t="inlineStr">
        <is>
          <t>29/03/2026</t>
        </is>
      </c>
      <c r="I4793" t="inlineStr">
        <is>
          <t>17/03/2026</t>
        </is>
      </c>
      <c r="J4793" t="inlineStr">
        <is>
          <t>Kiến trúc, Xây dựng, Nội ngoại thất</t>
        </is>
      </c>
      <c r="K4793" t="inlineStr">
        <is>
          <t>Trên 1 Năm</t>
        </is>
      </c>
      <c r="L4793" s="8">
        <f>HYPERLINK("https://careerviet.vn/vi/tim-viec-lam/ky-su-qs.35C64186.html","Xem chi tiết")</f>
        <v/>
      </c>
    </row>
    <row r="4794">
      <c r="B4794" s="9" t="n">
        <v>4792</v>
      </c>
      <c r="C4794" s="10" t="inlineStr">
        <is>
          <t>Chuyên Viên Tư Vấn Bảo Hiểm Kênh Liên Kết Ngân Hàng Vietinbank Hà Nội, Hồ Chí Minh, Quảng Nam</t>
        </is>
      </c>
      <c r="D4794" s="10" t="inlineStr">
        <is>
          <t>Manulife (Vietnam) Limited</t>
        </is>
      </c>
      <c r="E4794" s="10" t="inlineStr">
        <is>
          <t>Lương:6 Tr - 12 Tr VND</t>
        </is>
      </c>
      <c r="F4794" s="10" t="inlineStr">
        <is>
          <t>Quảng NamHà NộiHồ Chí Minh</t>
        </is>
      </c>
      <c r="G4794" s="10" t="inlineStr">
        <is>
          <t>31-03-2026</t>
        </is>
      </c>
      <c r="H4794" s="10" t="inlineStr">
        <is>
          <t>31/03/2026</t>
        </is>
      </c>
      <c r="I4794" s="10" t="inlineStr">
        <is>
          <t>17/03/2026</t>
        </is>
      </c>
      <c r="J4794" s="10" t="inlineStr">
        <is>
          <t>Ngân hàng, Bảo hiểm, Tài chính / Đầu tư</t>
        </is>
      </c>
      <c r="K4794" s="10" t="inlineStr">
        <is>
          <t>1 - 2 Năm</t>
        </is>
      </c>
      <c r="L4794" s="11">
        <f>HYPERLINK("https://careerviet.vn/vi/tim-viec-lam/chuyen-vien-tu-van-bao-hiem-kenh-lien-ket-ngan-hang-vietinbank-ha-noi-ho-chi-minh-quang-nam.35C6452A.html","Xem chi tiết")</f>
        <v/>
      </c>
      <c r="M4794" s="10" t="n"/>
    </row>
    <row r="4795">
      <c r="B4795" s="7" t="n">
        <v>4793</v>
      </c>
      <c r="C4795" t="inlineStr">
        <is>
          <t>QA/QC</t>
        </is>
      </c>
      <c r="D4795" t="inlineStr">
        <is>
          <t>Công ty TNHH MV-Gear</t>
        </is>
      </c>
      <c r="E4795" t="inlineStr">
        <is>
          <t>Lương:Cạnh tranh</t>
        </is>
      </c>
      <c r="F4795" t="inlineStr">
        <is>
          <t>Hồ Chí Minh</t>
        </is>
      </c>
      <c r="G4795" t="inlineStr">
        <is>
          <t>31-03-2026</t>
        </is>
      </c>
      <c r="H4795" t="inlineStr">
        <is>
          <t>31/03/2026</t>
        </is>
      </c>
      <c r="I4795" t="inlineStr">
        <is>
          <t>17/03/2026</t>
        </is>
      </c>
      <c r="J4795" t="inlineStr">
        <is>
          <t>Sản xuất / Vận hành sản xuất, Dệt may / Da giày / Thời trang, Quản lý chất lượng (QA/QC)</t>
        </is>
      </c>
      <c r="K4795" t="inlineStr">
        <is>
          <t>2 - 3 Năm</t>
        </is>
      </c>
      <c r="L4795" s="8">
        <f>HYPERLINK("https://careerviet.vn/vi/tim-viec-lam/qa-qc.35C67051.html","Xem chi tiết")</f>
        <v/>
      </c>
    </row>
    <row r="4796">
      <c r="B4796" s="9" t="n">
        <v>4794</v>
      </c>
      <c r="C4796" s="10" t="inlineStr">
        <is>
          <t>Nhân Viên Kinh Doanh</t>
        </is>
      </c>
      <c r="D4796" s="10" t="inlineStr">
        <is>
          <t>Công Ty TNHH Nidp Biotech Dental Vietnam</t>
        </is>
      </c>
      <c r="E4796" s="10" t="inlineStr">
        <is>
          <t>Lương:8 Tr - 10 Tr VND</t>
        </is>
      </c>
      <c r="F4796" s="10" t="inlineStr">
        <is>
          <t>Hồ Chí MinhHải PhòngHà Nội</t>
        </is>
      </c>
      <c r="G4796" s="10" t="inlineStr">
        <is>
          <t>31-03-2026</t>
        </is>
      </c>
      <c r="H4796" s="10" t="inlineStr">
        <is>
          <t>31/03/2026</t>
        </is>
      </c>
      <c r="I4796" s="10" t="inlineStr">
        <is>
          <t>17/03/2026</t>
        </is>
      </c>
      <c r="J4796" s="10" t="inlineStr">
        <is>
          <t>Bán hàng / Kinh doanh, Tư vấn, Y tế / Chăm sóc sức khỏe / Thẩm mỹ / Làm đẹp</t>
        </is>
      </c>
      <c r="K4796" s="10" t="inlineStr">
        <is>
          <t>Trên 1 Năm</t>
        </is>
      </c>
      <c r="L4796" s="11">
        <f>HYPERLINK("https://careerviet.vn/vi/tim-viec-lam/nhan-vien-kinh-doanh.35C66EDA.html","Xem chi tiết")</f>
        <v/>
      </c>
      <c r="M4796" s="10" t="n"/>
    </row>
    <row r="4797">
      <c r="B4797" s="7" t="n">
        <v>4795</v>
      </c>
      <c r="C4797" t="inlineStr">
        <is>
          <t>Trợ lý kinh doanh có Tiếng Nhật 27550 - P. Sài Gòn, HCM</t>
        </is>
      </c>
      <c r="D4797" t="inlineStr">
        <is>
          <t>Công Ty TNHH Reeracoen Việt Nam</t>
        </is>
      </c>
      <c r="E4797" t="inlineStr">
        <is>
          <t>Lương:11 Tr - 18 Tr VND</t>
        </is>
      </c>
      <c r="F4797" t="inlineStr">
        <is>
          <t>Hồ Chí Minh</t>
        </is>
      </c>
      <c r="G4797" t="inlineStr">
        <is>
          <t>29-03-2026</t>
        </is>
      </c>
      <c r="H4797" t="inlineStr">
        <is>
          <t>29/03/2026</t>
        </is>
      </c>
      <c r="I4797" t="inlineStr">
        <is>
          <t>17/03/2026</t>
        </is>
      </c>
      <c r="J4797" t="inlineStr">
        <is>
          <t>Bán hàng / Kinh doanh, Hành chính / Thư ký, Biên phiên dịch</t>
        </is>
      </c>
      <c r="K4797" t="inlineStr">
        <is>
          <t>Trên 1 Năm</t>
        </is>
      </c>
      <c r="L4797" s="8">
        <f>HYPERLINK("https://careerviet.vn/vi/tim-viec-lam/tro-ly-kinh-doanh-co-tieng-nhat-27550-p-sai-gon-hcm.35C66DFD.html","Xem chi tiết")</f>
        <v/>
      </c>
    </row>
    <row r="4798">
      <c r="B4798" s="9" t="n">
        <v>4796</v>
      </c>
      <c r="C4798" s="10" t="inlineStr">
        <is>
          <t>Junior BIM Engineer</t>
        </is>
      </c>
      <c r="D4798" s="10" t="inlineStr">
        <is>
          <t>Công Ty TNHH gbc engineers Vietnam</t>
        </is>
      </c>
      <c r="E4798" s="10" t="inlineStr">
        <is>
          <t>Lương:Cạnh tranh</t>
        </is>
      </c>
      <c r="F4798" s="10" t="inlineStr">
        <is>
          <t>Đà Nẵng</t>
        </is>
      </c>
      <c r="G4798" s="10" t="inlineStr">
        <is>
          <t>31-03-2026</t>
        </is>
      </c>
      <c r="H4798" s="10" t="inlineStr">
        <is>
          <t>31/03/2026</t>
        </is>
      </c>
      <c r="I4798" s="10" t="inlineStr">
        <is>
          <t>17/03/2026</t>
        </is>
      </c>
      <c r="J4798" s="10" t="inlineStr">
        <is>
          <t>Xây dựng</t>
        </is>
      </c>
      <c r="K4798" s="10" t="inlineStr">
        <is>
          <t>N/A</t>
        </is>
      </c>
      <c r="L4798" s="11">
        <f>HYPERLINK("https://careerviet.vn/vi/tim-viec-lam/junior-bim-engineer.35C6702D.html","Xem chi tiết")</f>
        <v/>
      </c>
      <c r="M4798" s="10" t="n"/>
    </row>
    <row r="4799">
      <c r="B4799" s="7" t="n">
        <v>4797</v>
      </c>
      <c r="C4799" t="inlineStr">
        <is>
          <t>Chuyên Viên Phát Triển Thị Trường</t>
        </is>
      </c>
      <c r="D4799" t="inlineStr">
        <is>
          <t>Công ty Cổ phần Giải pháp Tự động hóa ETEK</t>
        </is>
      </c>
      <c r="E4799" t="inlineStr">
        <is>
          <t>Lương:Cạnh tranh</t>
        </is>
      </c>
      <c r="F4799" t="inlineStr">
        <is>
          <t>Indonesia</t>
        </is>
      </c>
      <c r="G4799" t="inlineStr">
        <is>
          <t>30-03-2026</t>
        </is>
      </c>
      <c r="H4799" t="inlineStr">
        <is>
          <t>30/03/2026</t>
        </is>
      </c>
      <c r="I4799" t="inlineStr">
        <is>
          <t>17/03/2026</t>
        </is>
      </c>
      <c r="J4799" t="inlineStr">
        <is>
          <t>Tư vấn, Bán hàng / Kinh doanh, Bán Hàng Kỹ Thuật</t>
        </is>
      </c>
      <c r="K4799" t="inlineStr">
        <is>
          <t>Trên 3 Năm</t>
        </is>
      </c>
      <c r="L4799" s="8">
        <f>HYPERLINK("https://careerviet.vn/vi/tim-viec-lam/chuyen-vien-phat-trien-thi-truong.35C64437.html","Xem chi tiết")</f>
        <v/>
      </c>
    </row>
    <row r="4800">
      <c r="B4800" s="9" t="n">
        <v>4798</v>
      </c>
      <c r="C4800" s="10" t="inlineStr">
        <is>
          <t>KẾ TOÁN HÀNH CHÍNH NHÂN SỰ</t>
        </is>
      </c>
      <c r="D4800" s="10" t="inlineStr">
        <is>
          <t>Công ty TNHH UPLIFT</t>
        </is>
      </c>
      <c r="E4800" s="10" t="inlineStr">
        <is>
          <t>Lương:Cạnh tranh</t>
        </is>
      </c>
      <c r="F4800" s="10" t="inlineStr">
        <is>
          <t>Hồ Chí Minh</t>
        </is>
      </c>
      <c r="G4800" s="10" t="inlineStr">
        <is>
          <t>30-03-2026</t>
        </is>
      </c>
      <c r="H4800" s="10" t="inlineStr">
        <is>
          <t>30/03/2026</t>
        </is>
      </c>
      <c r="I4800" s="10" t="inlineStr">
        <is>
          <t>17/03/2026</t>
        </is>
      </c>
      <c r="J4800" s="10" t="inlineStr">
        <is>
          <t>Nhân sự, Kế toán / Kiểm toán, Tài chính / Đầu tư</t>
        </is>
      </c>
      <c r="K4800" s="10" t="inlineStr">
        <is>
          <t>3 - 10 Năm</t>
        </is>
      </c>
      <c r="L4800" s="11">
        <f>HYPERLINK("https://careerviet.vn/vi/tim-viec-lam/ke-toan-hanh-chinh-nhan-su.35C643F3.html","Xem chi tiết")</f>
        <v/>
      </c>
      <c r="M4800" s="10" t="n"/>
    </row>
    <row r="4801">
      <c r="B4801" s="7" t="n">
        <v>4799</v>
      </c>
      <c r="C4801" t="inlineStr">
        <is>
          <t>Kiến trúc sư</t>
        </is>
      </c>
      <c r="D4801" t="inlineStr">
        <is>
          <t>CÔNG TY CỔ PHẦN THIẾT KẾ XÂY DỰNG TWIN</t>
        </is>
      </c>
      <c r="E4801" t="inlineStr">
        <is>
          <t>Lương:Cạnh tranh</t>
        </is>
      </c>
      <c r="F4801" t="inlineStr">
        <is>
          <t>Hồ Chí Minh</t>
        </is>
      </c>
      <c r="G4801" t="inlineStr">
        <is>
          <t>30-03-2026</t>
        </is>
      </c>
      <c r="H4801" t="inlineStr">
        <is>
          <t>30/03/2026</t>
        </is>
      </c>
      <c r="I4801" t="inlineStr">
        <is>
          <t>17/03/2026</t>
        </is>
      </c>
      <c r="J4801" t="inlineStr">
        <is>
          <t>Mỹ thuật / Nghệ thuật / Thiết kế, Kiến trúc, Xây dựng</t>
        </is>
      </c>
      <c r="K4801" t="inlineStr">
        <is>
          <t>2 - 3 Năm</t>
        </is>
      </c>
      <c r="L4801" s="8">
        <f>HYPERLINK("https://careerviet.vn/vi/tim-viec-lam/kien-truc-su.35C642D7.html","Xem chi tiết")</f>
        <v/>
      </c>
    </row>
    <row r="4802">
      <c r="B4802" s="9" t="n">
        <v>4800</v>
      </c>
      <c r="C4802" s="10" t="inlineStr">
        <is>
          <t>127335 - [Ha Noi] General Sales &amp; Engineer - Trading</t>
        </is>
      </c>
      <c r="D4802" s="10" t="inlineStr">
        <is>
          <t>RGF HR Agent Vietnam Co., LTD</t>
        </is>
      </c>
      <c r="E4802" s="10" t="inlineStr">
        <is>
          <t>Lương:18 Tr - 23 Tr VND</t>
        </is>
      </c>
      <c r="F4802" s="10" t="inlineStr">
        <is>
          <t>Hà Nội</t>
        </is>
      </c>
      <c r="G4802" s="10" t="inlineStr">
        <is>
          <t>29-03-2026</t>
        </is>
      </c>
      <c r="H4802" s="10" t="inlineStr">
        <is>
          <t>29/03/2026</t>
        </is>
      </c>
      <c r="I4802" s="10" t="inlineStr">
        <is>
          <t>17/03/2026</t>
        </is>
      </c>
      <c r="J4802" s="10" t="inlineStr">
        <is>
          <t>Bán hàng / Kinh doanh, Bán Hàng Kỹ Thuật, Cơ khí / Ô tô / Tự động hóa</t>
        </is>
      </c>
      <c r="K4802" s="10" t="inlineStr">
        <is>
          <t>Trên 3 Năm</t>
        </is>
      </c>
      <c r="L4802" s="11">
        <f>HYPERLINK("https://careerviet.vn/vi/tim-viec-lam/127335-ha-noi-general-sales-engineer-trading.35C66DF0.html","Xem chi tiết")</f>
        <v/>
      </c>
      <c r="M4802" s="10" t="n"/>
    </row>
    <row r="4803">
      <c r="B4803" s="7" t="n">
        <v>4801</v>
      </c>
      <c r="C4803" t="inlineStr">
        <is>
          <t>Nhân Viên Bán Hàng Hàng Nhãn Calvin Klein Hồ Chí Minh</t>
        </is>
      </c>
      <c r="D4803" t="inlineStr">
        <is>
          <t>CÔNG TY TNHH THỜI TRANG VÀ MỸ PHẨM ÂU CHÂU</t>
        </is>
      </c>
      <c r="E4803" t="inlineStr">
        <is>
          <t>Lương:7 Tr - 10 Tr VND</t>
        </is>
      </c>
      <c r="F4803" t="inlineStr">
        <is>
          <t>Hồ Chí Minh</t>
        </is>
      </c>
      <c r="G4803" t="inlineStr">
        <is>
          <t>30-03-2026</t>
        </is>
      </c>
      <c r="H4803" t="inlineStr">
        <is>
          <t>30/03/2026</t>
        </is>
      </c>
      <c r="I4803" t="inlineStr">
        <is>
          <t>17/03/2026</t>
        </is>
      </c>
      <c r="J4803" t="inlineStr">
        <is>
          <t>Bán lẻ / Bán sỉ, Bán hàng / Kinh doanh, Dệt may / Da giày / Thời trang</t>
        </is>
      </c>
      <c r="K4803" t="inlineStr">
        <is>
          <t>1 - 2 Năm</t>
        </is>
      </c>
      <c r="L4803" s="8">
        <f>HYPERLINK("https://careerviet.vn/vi/tim-viec-lam/nhan-vien-ban-hang-hang-nhan-calvin-klein-ho-chi-minh.35C64340.html","Xem chi tiết")</f>
        <v/>
      </c>
    </row>
    <row r="4804">
      <c r="B4804" s="9" t="n">
        <v>4802</v>
      </c>
      <c r="C4804" s="10" t="inlineStr">
        <is>
          <t>Senior UI/UX Designer</t>
        </is>
      </c>
      <c r="D4804" s="10" t="inlineStr">
        <is>
          <t>CÔNG TY CỔ PHẦN DƯỢC PHẨM FPT LONG CHÂU</t>
        </is>
      </c>
      <c r="E4804" s="10" t="inlineStr">
        <is>
          <t>Lương:20 Tr - 30 Tr VND</t>
        </is>
      </c>
      <c r="F4804" s="10" t="inlineStr">
        <is>
          <t>Hồ Chí Minh</t>
        </is>
      </c>
      <c r="G4804" s="10" t="inlineStr">
        <is>
          <t>30-03-2026</t>
        </is>
      </c>
      <c r="H4804" s="10" t="inlineStr">
        <is>
          <t>30/03/2026</t>
        </is>
      </c>
      <c r="I4804" s="10" t="inlineStr">
        <is>
          <t>17/03/2026</t>
        </is>
      </c>
      <c r="J4804" s="10" t="inlineStr">
        <is>
          <t>Thương mại điện tử, Y tế / Chăm sóc sức khỏe / Thẩm mỹ / Làm đẹp, CNTT - Phần mềm</t>
        </is>
      </c>
      <c r="K4804" s="10" t="inlineStr">
        <is>
          <t>3 - 5 Năm</t>
        </is>
      </c>
      <c r="L4804" s="11">
        <f>HYPERLINK("https://careerviet.vn/vi/tim-viec-lam/senior-ui-ux-designer.35C6438A.html","Xem chi tiết")</f>
        <v/>
      </c>
      <c r="M4804" s="10" t="n"/>
    </row>
    <row r="4805">
      <c r="B4805" s="7" t="n">
        <v>4803</v>
      </c>
      <c r="C4805" t="inlineStr">
        <is>
          <t>Operations Team Leader</t>
        </is>
      </c>
      <c r="D4805" t="inlineStr">
        <is>
          <t>CÔNG TY TNHH MSC VIỆT NAM</t>
        </is>
      </c>
      <c r="E4805" t="inlineStr">
        <is>
          <t>Lương:Cạnh tranh</t>
        </is>
      </c>
      <c r="F4805" t="inlineStr">
        <is>
          <t>Hồ Chí Minh</t>
        </is>
      </c>
      <c r="G4805" t="inlineStr">
        <is>
          <t>29-03-2026</t>
        </is>
      </c>
      <c r="H4805" t="inlineStr">
        <is>
          <t>29/03/2026</t>
        </is>
      </c>
      <c r="I4805" t="inlineStr">
        <is>
          <t>17/03/2026</t>
        </is>
      </c>
      <c r="J4805" t="inlineStr">
        <is>
          <t>Vận chuyển / Giao nhận / Kho vận, Xuất nhập khẩu, Ngành khác</t>
        </is>
      </c>
      <c r="K4805" t="inlineStr">
        <is>
          <t>2 - 3 Năm</t>
        </is>
      </c>
      <c r="L4805" s="8">
        <f>HYPERLINK("https://careerviet.vn/vi/tim-viec-lam/operations-team-leader.35C66CEA.html","Xem chi tiết")</f>
        <v/>
      </c>
    </row>
    <row r="4806">
      <c r="B4806" s="9" t="n">
        <v>4804</v>
      </c>
      <c r="C4806" s="10" t="inlineStr">
        <is>
          <t>Kế Toán Tổng Hợp</t>
        </is>
      </c>
      <c r="D4806" s="10" t="inlineStr">
        <is>
          <t>Boncafé Vietnam</t>
        </is>
      </c>
      <c r="E4806" s="10" t="inlineStr">
        <is>
          <t>Lương:Cạnh tranh</t>
        </is>
      </c>
      <c r="F4806" s="10" t="inlineStr">
        <is>
          <t>Hồ Chí Minh</t>
        </is>
      </c>
      <c r="G4806" s="10" t="inlineStr">
        <is>
          <t>29-03-2026</t>
        </is>
      </c>
      <c r="H4806" s="10" t="inlineStr">
        <is>
          <t>29/03/2026</t>
        </is>
      </c>
      <c r="I4806" s="10" t="inlineStr">
        <is>
          <t>17/03/2026</t>
        </is>
      </c>
      <c r="J4806" s="10" t="inlineStr">
        <is>
          <t>Luật / Pháp lý, Kế toán / Kiểm toán, Tài chính / Đầu tư</t>
        </is>
      </c>
      <c r="K4806" s="10" t="inlineStr">
        <is>
          <t>Trên 2 Năm</t>
        </is>
      </c>
      <c r="L4806" s="11">
        <f>HYPERLINK("https://careerviet.vn/vi/tim-viec-lam/ke-toan-tong-hop.35C66CD8.html","Xem chi tiết")</f>
        <v/>
      </c>
      <c r="M4806" s="10" t="n"/>
    </row>
    <row r="4807">
      <c r="B4807" s="7" t="n">
        <v>4805</v>
      </c>
      <c r="C4807" t="inlineStr">
        <is>
          <t>127326 - Chuyên viên Tư vấn Tài Chính và Xác định giá chuyển nhượng - ngành Tư vấn</t>
        </is>
      </c>
      <c r="D4807" t="inlineStr">
        <is>
          <t>RGF HR Agent Vietnam Co., LTD</t>
        </is>
      </c>
      <c r="E4807" t="inlineStr">
        <is>
          <t>Lương:10 Tr - 25 Tr VND</t>
        </is>
      </c>
      <c r="F4807" t="inlineStr">
        <is>
          <t>Hà Nội</t>
        </is>
      </c>
      <c r="G4807" t="inlineStr">
        <is>
          <t>29-03-2026</t>
        </is>
      </c>
      <c r="H4807" t="inlineStr">
        <is>
          <t>29/03/2026</t>
        </is>
      </c>
      <c r="I4807" t="inlineStr">
        <is>
          <t>17/03/2026</t>
        </is>
      </c>
      <c r="J4807" t="inlineStr">
        <is>
          <t>Tư vấn, Tài chính / Đầu tư</t>
        </is>
      </c>
      <c r="K4807" t="inlineStr">
        <is>
          <t>Trên 3 Năm</t>
        </is>
      </c>
      <c r="L4807" s="8">
        <f>HYPERLINK("https://careerviet.vn/vi/tim-viec-lam/127326-chuyen-vien-tu-van-tai-chinh-va-xac-dinh-gia-chuyen-nhuong-nganh-tu-van.35C66DE5.html","Xem chi tiết")</f>
        <v/>
      </c>
    </row>
    <row r="4808">
      <c r="B4808" s="9" t="n">
        <v>4806</v>
      </c>
      <c r="C4808" s="10" t="inlineStr">
        <is>
          <t>[TP.HCM] PHÓ GIÁM ĐỐC CHI NHÁNH PHỤ TRÁCH KHÁCH HÀNG DOANH NGHIỆP</t>
        </is>
      </c>
      <c r="D4808" s="10" t="inlineStr">
        <is>
          <t>Ngân hàng TMCP Phát triển TP.HCM (HDBank)</t>
        </is>
      </c>
      <c r="E4808" s="10" t="inlineStr">
        <is>
          <t>Lương:40 Tr - 60 Tr VND</t>
        </is>
      </c>
      <c r="F4808" s="10" t="inlineStr">
        <is>
          <t>Hồ Chí Minh</t>
        </is>
      </c>
      <c r="G4808" s="10" t="inlineStr">
        <is>
          <t>30-03-2026</t>
        </is>
      </c>
      <c r="H4808" s="10" t="inlineStr">
        <is>
          <t>30/03/2026</t>
        </is>
      </c>
      <c r="I4808" s="10" t="inlineStr">
        <is>
          <t>17/03/2026</t>
        </is>
      </c>
      <c r="J4808" s="10" t="inlineStr">
        <is>
          <t>Ngân hàng, Bảo hiểm, Tài chính / Đầu tư</t>
        </is>
      </c>
      <c r="K4808" s="10" t="inlineStr">
        <is>
          <t>5 - 10 Năm</t>
        </is>
      </c>
      <c r="L4808" s="11">
        <f>HYPERLINK("https://careerviet.vn/vi/tim-viec-lam/tp-hcm-pho-giam-doc-chi-nhanh-phu-trach-khach-hang-doanh-nghiep.35C66F51.html","Xem chi tiết")</f>
        <v/>
      </c>
      <c r="M4808" s="10" t="n"/>
    </row>
    <row r="4809">
      <c r="B4809" s="7" t="n">
        <v>4807</v>
      </c>
      <c r="C4809" t="inlineStr">
        <is>
          <t>Cộng Tác Viên Thủ Tục Ra Xe</t>
        </is>
      </c>
      <c r="D4809" t="inlineStr">
        <is>
          <t>CÔNG TY CỔ PHẦN DI CHUYỂN VÀ THÔNG MINH GSM</t>
        </is>
      </c>
      <c r="E4809" t="inlineStr">
        <is>
          <t>Lương:8 Tr - 10 Tr VND</t>
        </is>
      </c>
      <c r="F4809" t="inlineStr">
        <is>
          <t>Hà Nội</t>
        </is>
      </c>
      <c r="G4809" t="inlineStr">
        <is>
          <t>30-03-2026</t>
        </is>
      </c>
      <c r="H4809" t="inlineStr">
        <is>
          <t>30/03/2026</t>
        </is>
      </c>
      <c r="I4809" t="inlineStr">
        <is>
          <t>17/03/2026</t>
        </is>
      </c>
      <c r="J4809" t="inlineStr">
        <is>
          <t>Dịch vụ khách hàng, Hành chính / Thư ký, Nhân sự</t>
        </is>
      </c>
      <c r="K4809" t="inlineStr">
        <is>
          <t>N/A</t>
        </is>
      </c>
      <c r="L4809" s="8">
        <f>HYPERLINK("https://careerviet.vn/vi/tim-viec-lam/cong-tac-vien-thu-tuc-ra-xe.35C64435.html","Xem chi tiết")</f>
        <v/>
      </c>
    </row>
    <row r="4810">
      <c r="B4810" s="9" t="n">
        <v>4808</v>
      </c>
      <c r="C4810" s="10" t="inlineStr">
        <is>
          <t>[Cần Thơ, Tiền Giang] Chuyên viên Quan hệ Khách hàng Doanh nghiệp</t>
        </is>
      </c>
      <c r="D4810" s="10" t="inlineStr">
        <is>
          <t>Ngân hàng TMCP Lộc Phát Việt Nam (LPBank)</t>
        </is>
      </c>
      <c r="E4810" s="10" t="inlineStr">
        <is>
          <t>Lương:Cạnh tranh</t>
        </is>
      </c>
      <c r="F4810" s="10" t="inlineStr">
        <is>
          <t>Cần ThơTiền Giang</t>
        </is>
      </c>
      <c r="G4810" s="10" t="inlineStr">
        <is>
          <t>29-03-2026</t>
        </is>
      </c>
      <c r="H4810" s="10" t="inlineStr">
        <is>
          <t>29/03/2026</t>
        </is>
      </c>
      <c r="I4810" s="10" t="inlineStr">
        <is>
          <t>17/03/2026</t>
        </is>
      </c>
      <c r="J4810" s="10" t="inlineStr">
        <is>
          <t>Bán hàng / Kinh doanh, Bất động sản, Bảo hiểm</t>
        </is>
      </c>
      <c r="K4810" s="10" t="inlineStr">
        <is>
          <t>Trên 1 Năm</t>
        </is>
      </c>
      <c r="L4810" s="11">
        <f>HYPERLINK("https://careerviet.vn/vi/tim-viec-lam/can-tho-tien-giang-chuyen-vien-quan-he-khach-hang-doanh-nghiep.35C66D2B.html","Xem chi tiết")</f>
        <v/>
      </c>
      <c r="M4810" s="10" t="n"/>
    </row>
    <row r="4811">
      <c r="B4811" s="7" t="n">
        <v>4809</v>
      </c>
      <c r="C4811" t="inlineStr">
        <is>
          <t>Chuyên Viên Chăm Sóc Khách Hàng Logistics</t>
        </is>
      </c>
      <c r="D4811" t="inlineStr">
        <is>
          <t>CÔNG TY TNHH JDL VN</t>
        </is>
      </c>
      <c r="E4811" t="inlineStr">
        <is>
          <t>Lương:Cạnh tranh</t>
        </is>
      </c>
      <c r="F4811" t="inlineStr">
        <is>
          <t>Hà Nội</t>
        </is>
      </c>
      <c r="G4811" t="inlineStr">
        <is>
          <t>29-03-2026</t>
        </is>
      </c>
      <c r="H4811" t="inlineStr">
        <is>
          <t>29/03/2026</t>
        </is>
      </c>
      <c r="I4811" t="inlineStr">
        <is>
          <t>17/03/2026</t>
        </is>
      </c>
      <c r="J4811" t="inlineStr">
        <is>
          <t>Vận chuyển / Giao nhận / Kho vận, Hành chính / Thư ký, Xuất nhập khẩu</t>
        </is>
      </c>
      <c r="K4811" t="inlineStr">
        <is>
          <t>1 - 3 Năm</t>
        </is>
      </c>
      <c r="L4811" s="8">
        <f>HYPERLINK("https://careerviet.vn/vi/tim-viec-lam/chuyen-vien-cham-soc-khach-hang-logistics.35C66DC1.html","Xem chi tiết")</f>
        <v/>
      </c>
    </row>
    <row r="4812">
      <c r="B4812" s="9" t="n">
        <v>4810</v>
      </c>
      <c r="C4812" s="10" t="inlineStr">
        <is>
          <t>Kỹ Sư Shopdrawing M&amp;E</t>
        </is>
      </c>
      <c r="D4812" s="10" t="inlineStr">
        <is>
          <t>Công ty Cổ phần Thương mại và Đầu tư Hà Thành</t>
        </is>
      </c>
      <c r="E4812" s="10" t="inlineStr">
        <is>
          <t>Lương:15 Tr - 30 Tr VND</t>
        </is>
      </c>
      <c r="F4812" s="10" t="inlineStr">
        <is>
          <t>Hà Nội</t>
        </is>
      </c>
      <c r="G4812" s="10" t="inlineStr">
        <is>
          <t>29-03-2026</t>
        </is>
      </c>
      <c r="H4812" s="10" t="inlineStr">
        <is>
          <t>29/03/2026</t>
        </is>
      </c>
      <c r="I4812" s="10" t="inlineStr">
        <is>
          <t>17/03/2026</t>
        </is>
      </c>
      <c r="J4812" s="10" t="inlineStr">
        <is>
          <t>Điện / Điện tử / Điện lạnh / Điện công nghiệp, Kiến trúc, Xây dựng</t>
        </is>
      </c>
      <c r="K4812" s="10" t="inlineStr">
        <is>
          <t>1 - 3 Năm</t>
        </is>
      </c>
      <c r="L4812" s="11">
        <f>HYPERLINK("https://careerviet.vn/vi/tim-viec-lam/ky-su-shopdrawing-m-e.35C64125.html","Xem chi tiết")</f>
        <v/>
      </c>
      <c r="M4812" s="10" t="n"/>
    </row>
    <row r="4813">
      <c r="B4813" s="7" t="n">
        <v>4811</v>
      </c>
      <c r="C4813" t="inlineStr">
        <is>
          <t>Nhân viên bán hàng (Thời trang - trang sức cao cấp) - HÀ NỘI</t>
        </is>
      </c>
      <c r="D4813" t="inlineStr">
        <is>
          <t>CÔNG TY CỔ PHẦN GLOBAL LINK</t>
        </is>
      </c>
      <c r="E4813" t="inlineStr">
        <is>
          <t>Lương:Cạnh tranh</t>
        </is>
      </c>
      <c r="F4813" t="inlineStr">
        <is>
          <t>Hà NộiHồ Chí Minh</t>
        </is>
      </c>
      <c r="G4813" t="inlineStr">
        <is>
          <t>29-03-2026</t>
        </is>
      </c>
      <c r="H4813" t="inlineStr">
        <is>
          <t>29/03/2026</t>
        </is>
      </c>
      <c r="I4813" t="inlineStr">
        <is>
          <t>17/03/2026</t>
        </is>
      </c>
      <c r="J4813" t="inlineStr">
        <is>
          <t>Bán lẻ / Bán sỉ, Bán hàng / Kinh doanh, Dệt may / Da giày / Thời trang</t>
        </is>
      </c>
      <c r="K4813" t="inlineStr">
        <is>
          <t>N/A</t>
        </is>
      </c>
      <c r="L4813" s="8">
        <f>HYPERLINK("https://careerviet.vn/vi/tim-viec-lam/nhan-vien-ban-hang-thoi-trang-trang-suc-cao-cap-ha-noi.35C66C4B.html","Xem chi tiết")</f>
        <v/>
      </c>
    </row>
    <row r="4814">
      <c r="B4814" s="9" t="n">
        <v>4812</v>
      </c>
      <c r="C4814" s="10" t="inlineStr">
        <is>
          <t>TT Nhân sự &amp; Đào tạo, Hội sở - CVCC Đào tạo trực tuyến elearning</t>
        </is>
      </c>
      <c r="D4814" s="10" t="inlineStr">
        <is>
          <t>Ngân Hàng TMCP Phương Đông - OCB</t>
        </is>
      </c>
      <c r="E4814" s="10" t="inlineStr">
        <is>
          <t>Lương:Cạnh tranh</t>
        </is>
      </c>
      <c r="F4814" s="10" t="inlineStr">
        <is>
          <t>Hồ Chí Minh</t>
        </is>
      </c>
      <c r="G4814" s="10" t="inlineStr">
        <is>
          <t>29-03-2026</t>
        </is>
      </c>
      <c r="H4814" s="10" t="inlineStr">
        <is>
          <t>29/03/2026</t>
        </is>
      </c>
      <c r="I4814" s="10" t="inlineStr">
        <is>
          <t>17/03/2026</t>
        </is>
      </c>
      <c r="J4814" s="10" t="inlineStr">
        <is>
          <t>Ngân hàng</t>
        </is>
      </c>
      <c r="K4814" s="10" t="inlineStr">
        <is>
          <t>3 - 5 Năm</t>
        </is>
      </c>
      <c r="L4814" s="11">
        <f>HYPERLINK("https://careerviet.vn/vi/tim-viec-lam/tt-nhan-su-dao-tao-hoi-so-cvcc-dao-tao-truc-tuyen-elearning.35C66DDD.html","Xem chi tiết")</f>
        <v/>
      </c>
      <c r="M4814" s="10" t="n"/>
    </row>
    <row r="4815">
      <c r="B4815" s="7" t="n">
        <v>4813</v>
      </c>
      <c r="C4815" t="inlineStr">
        <is>
          <t>Vận Hành Livestream (Livestream Operation)</t>
        </is>
      </c>
      <c r="D4815" t="inlineStr">
        <is>
          <t>CÔNG TY TNHH GOLDNET</t>
        </is>
      </c>
      <c r="E4815" t="inlineStr">
        <is>
          <t>Lương:Cạnh tranh</t>
        </is>
      </c>
      <c r="F4815" t="inlineStr">
        <is>
          <t>Hồ Chí Minh</t>
        </is>
      </c>
      <c r="G4815" t="inlineStr">
        <is>
          <t>29-03-2026</t>
        </is>
      </c>
      <c r="H4815" t="inlineStr">
        <is>
          <t>29/03/2026</t>
        </is>
      </c>
      <c r="I4815" t="inlineStr">
        <is>
          <t>17/03/2026</t>
        </is>
      </c>
      <c r="J4815" t="inlineStr">
        <is>
          <t>Tiếp thị / Marketing, Thương mại điện tử</t>
        </is>
      </c>
      <c r="K4815" t="inlineStr">
        <is>
          <t>Trên 1 Năm</t>
        </is>
      </c>
      <c r="L4815" s="8">
        <f>HYPERLINK("https://careerviet.vn/vi/tim-viec-lam/van-hanh-livestream-livestream-operation.35C66DA0.html","Xem chi tiết")</f>
        <v/>
      </c>
    </row>
    <row r="4816">
      <c r="B4816" s="9" t="n">
        <v>4814</v>
      </c>
      <c r="C4816" s="10" t="inlineStr">
        <is>
          <t>Chuyên viên Nhân sự - Vinmec Riverside</t>
        </is>
      </c>
      <c r="D4816" s="10" t="inlineStr">
        <is>
          <t>Công ty CP Bệnh Viện Đa Khoa Quốc Tế Vinmec</t>
        </is>
      </c>
      <c r="E4816" s="10" t="inlineStr">
        <is>
          <t>Lương:Cạnh tranh</t>
        </is>
      </c>
      <c r="F4816" s="10" t="inlineStr">
        <is>
          <t>Hà Nội</t>
        </is>
      </c>
      <c r="G4816" s="10" t="inlineStr">
        <is>
          <t>29-03-2026</t>
        </is>
      </c>
      <c r="H4816" s="10" t="inlineStr">
        <is>
          <t>29/03/2026</t>
        </is>
      </c>
      <c r="I4816" s="10" t="inlineStr">
        <is>
          <t>17/03/2026</t>
        </is>
      </c>
      <c r="J4816" s="10" t="inlineStr">
        <is>
          <t>Y tế / Chăm sóc sức khỏe / Thẩm mỹ / Làm đẹp, Nhân sự</t>
        </is>
      </c>
      <c r="K4816" s="10" t="inlineStr">
        <is>
          <t>3 - 8 Năm</t>
        </is>
      </c>
      <c r="L4816" s="11">
        <f>HYPERLINK("https://careerviet.vn/vi/tim-viec-lam/chuyen-vien-nhan-su-vinmec-riverside.35C66DE4.html","Xem chi tiết")</f>
        <v/>
      </c>
      <c r="M4816" s="10" t="n"/>
    </row>
    <row r="4817">
      <c r="B4817" s="7" t="n">
        <v>4815</v>
      </c>
      <c r="C4817" t="inlineStr">
        <is>
          <t>CỬA HÀNG TRƯỞNG CO.OPSMILE</t>
        </is>
      </c>
      <c r="D4817" t="inlineStr">
        <is>
          <t>Liên Hiệp HTX Thương Mại TPHCM - SAIGON CO.OP</t>
        </is>
      </c>
      <c r="E4817" t="inlineStr">
        <is>
          <t>Lương:9,6 Tr - 12 Tr VND</t>
        </is>
      </c>
      <c r="F4817" t="inlineStr">
        <is>
          <t>Hồ Chí Minh</t>
        </is>
      </c>
      <c r="G4817" t="inlineStr">
        <is>
          <t>29-03-2026</t>
        </is>
      </c>
      <c r="H4817" t="inlineStr">
        <is>
          <t>29/03/2026</t>
        </is>
      </c>
      <c r="I4817" t="inlineStr">
        <is>
          <t>17/03/2026</t>
        </is>
      </c>
      <c r="J4817" t="inlineStr">
        <is>
          <t>Quản lý điều hành</t>
        </is>
      </c>
      <c r="K4817" t="inlineStr">
        <is>
          <t>Trên 1 Năm</t>
        </is>
      </c>
      <c r="L4817" s="8">
        <f>HYPERLINK("https://careerviet.vn/vi/tim-viec-lam/cua-hang-truong-co-opsmile.35C641CE.html","Xem chi tiết")</f>
        <v/>
      </c>
    </row>
    <row r="4818">
      <c r="B4818" s="9" t="n">
        <v>4816</v>
      </c>
      <c r="C4818" s="10" t="inlineStr">
        <is>
          <t>Kế Toán Tổng Hợp</t>
        </is>
      </c>
      <c r="D4818" s="10" t="inlineStr">
        <is>
          <t>CÔNG TY CỔ PHẦN CÔNG NGHIỆP HỖ TRỢ TOMECO</t>
        </is>
      </c>
      <c r="E4818" s="10" t="inlineStr">
        <is>
          <t>Lương:15 Tr - 18 Tr VND</t>
        </is>
      </c>
      <c r="F4818" s="10" t="inlineStr">
        <is>
          <t>Hà Nội</t>
        </is>
      </c>
      <c r="G4818" s="10" t="inlineStr">
        <is>
          <t>29-03-2026</t>
        </is>
      </c>
      <c r="H4818" s="10" t="inlineStr">
        <is>
          <t>29/03/2026</t>
        </is>
      </c>
      <c r="I4818" s="10" t="inlineStr">
        <is>
          <t>17/03/2026</t>
        </is>
      </c>
      <c r="J4818" s="10" t="inlineStr">
        <is>
          <t>Kế toán / Kiểm toán, Ngân hàng, Tài chính / Đầu tư</t>
        </is>
      </c>
      <c r="K4818" s="10" t="inlineStr">
        <is>
          <t>2 - 3 Năm</t>
        </is>
      </c>
      <c r="L4818" s="11">
        <f>HYPERLINK("https://careerviet.vn/vi/tim-viec-lam/ke-toan-tong-hop.35C66C07.html","Xem chi tiết")</f>
        <v/>
      </c>
      <c r="M4818" s="10" t="n"/>
    </row>
    <row r="4819">
      <c r="B4819" s="7" t="n">
        <v>4817</v>
      </c>
      <c r="C4819" t="inlineStr">
        <is>
          <t>Chuyên viên QS</t>
        </is>
      </c>
      <c r="D4819" t="inlineStr">
        <is>
          <t>Tập Đoàn CT Group Việt Nam</t>
        </is>
      </c>
      <c r="E4819" t="inlineStr">
        <is>
          <t>Lương:20 Tr - 25 Tr VND</t>
        </is>
      </c>
      <c r="F4819" t="inlineStr">
        <is>
          <t>Hồ Chí Minh</t>
        </is>
      </c>
      <c r="G4819" t="inlineStr">
        <is>
          <t>29-03-2026</t>
        </is>
      </c>
      <c r="H4819" t="inlineStr">
        <is>
          <t>29/03/2026</t>
        </is>
      </c>
      <c r="I4819" t="inlineStr">
        <is>
          <t>17/03/2026</t>
        </is>
      </c>
      <c r="J4819" t="inlineStr">
        <is>
          <t>Bảo trì / Sửa chữa, Xây dựng, Bất động sản</t>
        </is>
      </c>
      <c r="K4819" t="inlineStr">
        <is>
          <t>3 - 5 Năm</t>
        </is>
      </c>
      <c r="L4819" s="8">
        <f>HYPERLINK("https://careerviet.vn/vi/tim-viec-lam/chuyen-vien-qs.35C66C41.html","Xem chi tiết")</f>
        <v/>
      </c>
    </row>
    <row r="4820">
      <c r="B4820" s="9" t="n">
        <v>4818</v>
      </c>
      <c r="C4820" s="10" t="inlineStr">
        <is>
          <t>Facilities Supervisor</t>
        </is>
      </c>
      <c r="D4820" s="10" t="inlineStr">
        <is>
          <t>Vietnam Concentrix Services Company Limited</t>
        </is>
      </c>
      <c r="E4820" s="10" t="inlineStr">
        <is>
          <t>Lương:Cạnh tranh</t>
        </is>
      </c>
      <c r="F4820" s="10" t="inlineStr">
        <is>
          <t>Hồ Chí Minh</t>
        </is>
      </c>
      <c r="G4820" s="10" t="inlineStr">
        <is>
          <t>29-03-2026</t>
        </is>
      </c>
      <c r="H4820" s="10" t="inlineStr">
        <is>
          <t>29/03/2026</t>
        </is>
      </c>
      <c r="I4820" s="10" t="inlineStr">
        <is>
          <t>17/03/2026</t>
        </is>
      </c>
      <c r="J4820" s="10" t="inlineStr">
        <is>
          <t>Ngành khác</t>
        </is>
      </c>
      <c r="K4820" s="10" t="inlineStr">
        <is>
          <t>2 - 4 Năm</t>
        </is>
      </c>
      <c r="L4820" s="11">
        <f>HYPERLINK("https://careerviet.vn/vi/tim-viec-lam/facilities-supervisor.35C66C7C.html","Xem chi tiết")</f>
        <v/>
      </c>
      <c r="M4820" s="10" t="n"/>
    </row>
    <row r="4821">
      <c r="B4821" s="7" t="n">
        <v>4819</v>
      </c>
      <c r="C4821" t="inlineStr">
        <is>
          <t>CHUYÊN VIÊN GIẢI PHÓNG MẶT BẰNG</t>
        </is>
      </c>
      <c r="D4821" t="inlineStr">
        <is>
          <t>VINHOMES - Tập đoàn Vingroup</t>
        </is>
      </c>
      <c r="E4821" t="inlineStr">
        <is>
          <t>Lương:Cạnh tranh</t>
        </is>
      </c>
      <c r="F4821" t="inlineStr">
        <is>
          <t>Hà Nội</t>
        </is>
      </c>
      <c r="G4821" t="inlineStr">
        <is>
          <t>29-03-2026</t>
        </is>
      </c>
      <c r="H4821" t="inlineStr">
        <is>
          <t>29/03/2026</t>
        </is>
      </c>
      <c r="I4821" t="inlineStr">
        <is>
          <t>17/03/2026</t>
        </is>
      </c>
      <c r="J4821" t="inlineStr">
        <is>
          <t>Luật / Pháp lý, Xây dựng, Bất động sản</t>
        </is>
      </c>
      <c r="K4821" t="inlineStr">
        <is>
          <t>2 - 5 Năm</t>
        </is>
      </c>
      <c r="L4821" s="8">
        <f>HYPERLINK("https://careerviet.vn/vi/tim-viec-lam/chuyen-vien-giai-phong-mat-bang.35C64161.html","Xem chi tiết")</f>
        <v/>
      </c>
    </row>
    <row r="4822">
      <c r="B4822" s="9" t="n">
        <v>4820</v>
      </c>
      <c r="C4822" s="10" t="inlineStr">
        <is>
          <t>Kế toán Tổng hợp Thuế</t>
        </is>
      </c>
      <c r="D4822" s="10" t="inlineStr">
        <is>
          <t>Công Ty Cổ Phần Vacxin Việt Nam</t>
        </is>
      </c>
      <c r="E4822" s="10" t="inlineStr">
        <is>
          <t>Lương:Cạnh tranh</t>
        </is>
      </c>
      <c r="F4822" s="10" t="inlineStr">
        <is>
          <t>Hồ Chí Minh</t>
        </is>
      </c>
      <c r="G4822" s="10" t="inlineStr">
        <is>
          <t>29-03-2026</t>
        </is>
      </c>
      <c r="H4822" s="10" t="inlineStr">
        <is>
          <t>29/03/2026</t>
        </is>
      </c>
      <c r="I4822" s="10" t="inlineStr">
        <is>
          <t>17/03/2026</t>
        </is>
      </c>
      <c r="J4822" s="10" t="inlineStr">
        <is>
          <t>Kế toán / Kiểm toán</t>
        </is>
      </c>
      <c r="K4822" s="10" t="inlineStr">
        <is>
          <t>3 - 5 Năm</t>
        </is>
      </c>
      <c r="L4822" s="11">
        <f>HYPERLINK("https://careerviet.vn/vi/tim-viec-lam/ke-toan-tong-hop-thue.35C66D2F.html","Xem chi tiết")</f>
        <v/>
      </c>
      <c r="M4822" s="10" t="n"/>
    </row>
    <row r="4823">
      <c r="B4823" s="7" t="n">
        <v>4821</v>
      </c>
      <c r="C4823" t="inlineStr">
        <is>
          <t>Nhân viên kinh doanh HCM - KHÔNG KINH NGHIỆM - Thu nhập UP TO 20tr</t>
        </is>
      </c>
      <c r="D4823" t="inlineStr">
        <is>
          <t>CÔNG TY TNHH MTV KỸ THUẬT TÚ LỘC</t>
        </is>
      </c>
      <c r="E4823" t="inlineStr">
        <is>
          <t>Lương:12,5 Tr - 20 Tr VND</t>
        </is>
      </c>
      <c r="F4823" t="inlineStr">
        <is>
          <t>Hồ Chí MinhHà Nội</t>
        </is>
      </c>
      <c r="G4823" t="inlineStr">
        <is>
          <t>29-03-2026</t>
        </is>
      </c>
      <c r="H4823" t="inlineStr">
        <is>
          <t>29/03/2026</t>
        </is>
      </c>
      <c r="I4823" t="inlineStr">
        <is>
          <t>17/03/2026</t>
        </is>
      </c>
      <c r="J4823" t="inlineStr">
        <is>
          <t>Bán hàng / Kinh doanh, Cơ khí / Ô tô / Tự động hóa</t>
        </is>
      </c>
      <c r="K4823" t="inlineStr">
        <is>
          <t>N/A</t>
        </is>
      </c>
      <c r="L4823" s="8">
        <f>HYPERLINK("https://careerviet.vn/vi/tim-viec-lam/nhan-vien-kinh-doanh-hcm-khong-kinh-nghiem-thu-nhap-up-to-20tr.35C64139.html","Xem chi tiết")</f>
        <v/>
      </c>
    </row>
    <row r="4824">
      <c r="B4824" s="9" t="n">
        <v>4822</v>
      </c>
      <c r="C4824" s="10" t="inlineStr">
        <is>
          <t>Chuyên viên Quản lý Kho thiết bị điện lạnh - Bắc Ninh</t>
        </is>
      </c>
      <c r="D4824" s="10" t="inlineStr">
        <is>
          <t>Suntory PepsiCo</t>
        </is>
      </c>
      <c r="E4824" s="10" t="inlineStr">
        <is>
          <t>Lương:20 Tr - 25 Tr VND</t>
        </is>
      </c>
      <c r="F4824" s="10" t="inlineStr">
        <is>
          <t>Bắc Ninh</t>
        </is>
      </c>
      <c r="G4824" s="10" t="inlineStr">
        <is>
          <t>29-03-2026</t>
        </is>
      </c>
      <c r="H4824" s="10" t="inlineStr">
        <is>
          <t>29/03/2026</t>
        </is>
      </c>
      <c r="I4824" s="10" t="inlineStr">
        <is>
          <t>17/03/2026</t>
        </is>
      </c>
      <c r="J4824" s="10" t="inlineStr">
        <is>
          <t>Điện / Điện tử / Điện lạnh / Điện công nghiệp</t>
        </is>
      </c>
      <c r="K4824" s="10" t="inlineStr">
        <is>
          <t>Trên 2 Năm</t>
        </is>
      </c>
      <c r="L4824" s="11">
        <f>HYPERLINK("https://careerviet.vn/vi/tim-viec-lam/chuyen-vien-quan-ly-kho-thiet-bi-dien-lanh-bac-ninh.35C66C9E.html","Xem chi tiết")</f>
        <v/>
      </c>
      <c r="M4824" s="10" t="n"/>
    </row>
    <row r="4825">
      <c r="B4825" s="7" t="n">
        <v>4823</v>
      </c>
      <c r="C4825" t="inlineStr">
        <is>
          <t>Nhân viên phụ trách tài liệu và hậu mãi 27551 - Hoàn Kiếm, HN</t>
        </is>
      </c>
      <c r="D4825" t="inlineStr">
        <is>
          <t>Công Ty TNHH Reeracoen Việt Nam</t>
        </is>
      </c>
      <c r="E4825" t="inlineStr">
        <is>
          <t>Lương:14 Tr - 17 Tr VND</t>
        </is>
      </c>
      <c r="F4825" t="inlineStr">
        <is>
          <t>Hà Nội</t>
        </is>
      </c>
      <c r="G4825" t="inlineStr">
        <is>
          <t>29-03-2026</t>
        </is>
      </c>
      <c r="H4825" t="inlineStr">
        <is>
          <t>29/03/2026</t>
        </is>
      </c>
      <c r="I4825" t="inlineStr">
        <is>
          <t>17/03/2026</t>
        </is>
      </c>
      <c r="J4825" t="inlineStr">
        <is>
          <t>Dịch vụ khách hàng, Hành chính / Thư ký, Biên phiên dịch</t>
        </is>
      </c>
      <c r="K4825" t="inlineStr">
        <is>
          <t>N/A</t>
        </is>
      </c>
      <c r="L4825" s="8">
        <f>HYPERLINK("https://careerviet.vn/vi/tim-viec-lam/nhan-vien-phu-trach-tai-lieu-va-hau-mai-27551-hoan-kiem-hn.35C66DFA.html","Xem chi tiết")</f>
        <v/>
      </c>
    </row>
    <row r="4826">
      <c r="B4826" s="9" t="n">
        <v>4824</v>
      </c>
      <c r="C4826" s="10" t="inlineStr">
        <is>
          <t>Phú Quốc - Chuyên Viên Kế Toán</t>
        </is>
      </c>
      <c r="D4826" s="10" t="inlineStr">
        <is>
          <t>BIM Group</t>
        </is>
      </c>
      <c r="E4826" s="10" t="inlineStr">
        <is>
          <t>Lương:Cạnh tranh</t>
        </is>
      </c>
      <c r="F4826" s="10" t="inlineStr">
        <is>
          <t>Kiên Giang</t>
        </is>
      </c>
      <c r="G4826" s="10" t="inlineStr">
        <is>
          <t>29-03-2026</t>
        </is>
      </c>
      <c r="H4826" s="10" t="inlineStr">
        <is>
          <t>29/03/2026</t>
        </is>
      </c>
      <c r="I4826" s="10" t="inlineStr">
        <is>
          <t>17/03/2026</t>
        </is>
      </c>
      <c r="J4826" s="10" t="inlineStr">
        <is>
          <t>Kế toán / Kiểm toán</t>
        </is>
      </c>
      <c r="K4826" s="10" t="inlineStr">
        <is>
          <t>1 - 2 Năm</t>
        </is>
      </c>
      <c r="L4826" s="11">
        <f>HYPERLINK("https://careerviet.vn/vi/tim-viec-lam/phu-quoc-chuyen-vien-ke-toan.35C66C82.html","Xem chi tiết")</f>
        <v/>
      </c>
      <c r="M4826" s="10" t="n"/>
    </row>
    <row r="4827">
      <c r="B4827" s="7" t="n">
        <v>4825</v>
      </c>
      <c r="C4827" t="inlineStr">
        <is>
          <t>Chuyên Viên Chính Kinh Tế Xây Dựng</t>
        </is>
      </c>
      <c r="D4827" t="inlineStr">
        <is>
          <t>CÔNG TY CỔ PHẦN PHÁT TRIỂN BẤT ĐỘNG SẢN VĂN PHÚ</t>
        </is>
      </c>
      <c r="E4827" t="inlineStr">
        <is>
          <t>Lương:26 Tr - 35 Tr VND</t>
        </is>
      </c>
      <c r="F4827" t="inlineStr">
        <is>
          <t>Hà Nội</t>
        </is>
      </c>
      <c r="G4827" t="inlineStr">
        <is>
          <t>29-03-2026</t>
        </is>
      </c>
      <c r="H4827" t="inlineStr">
        <is>
          <t>29/03/2026</t>
        </is>
      </c>
      <c r="I4827" t="inlineStr">
        <is>
          <t>17/03/2026</t>
        </is>
      </c>
      <c r="J4827" t="inlineStr">
        <is>
          <t>Bất động sản, Xây dựng</t>
        </is>
      </c>
      <c r="K4827" t="inlineStr">
        <is>
          <t>7 - 10 Năm</t>
        </is>
      </c>
      <c r="L4827" s="8">
        <f>HYPERLINK("https://careerviet.vn/vi/tim-viec-lam/chuyen-vien-chinh-kinh-te-xay-dung.35C66D0D.html","Xem chi tiết")</f>
        <v/>
      </c>
    </row>
    <row r="4828">
      <c r="B4828" s="9" t="n">
        <v>4826</v>
      </c>
      <c r="C4828" s="10" t="inlineStr">
        <is>
          <t>Chuyên viên quản lý rủi ro an ninh thông tin, Phòng Quản trị rủi ro hoạt động, Khối Khách hàng cá nhân</t>
        </is>
      </c>
      <c r="D4828" s="10" t="inlineStr">
        <is>
          <t>Ngân hàng TMCP Đại Chúng Việt Nam - PVcomBank</t>
        </is>
      </c>
      <c r="E4828" s="10" t="inlineStr">
        <is>
          <t>Lương:Cạnh tranh</t>
        </is>
      </c>
      <c r="F4828" s="10" t="inlineStr">
        <is>
          <t>Hà Nội</t>
        </is>
      </c>
      <c r="G4828" s="10" t="inlineStr">
        <is>
          <t>29-03-2026</t>
        </is>
      </c>
      <c r="H4828" s="10" t="inlineStr">
        <is>
          <t>29/03/2026</t>
        </is>
      </c>
      <c r="I4828" s="10" t="inlineStr">
        <is>
          <t>17/03/2026</t>
        </is>
      </c>
      <c r="J4828" s="10" t="inlineStr">
        <is>
          <t>CNTT - Phần cứng / Mạng, CNTT - Phần mềm, Ngân hàng</t>
        </is>
      </c>
      <c r="K4828" s="10" t="inlineStr">
        <is>
          <t>1 - 2 Năm</t>
        </is>
      </c>
      <c r="L4828" s="11">
        <f>HYPERLINK("https://careerviet.vn/vi/tim-viec-lam/chuyen-vien-quan-ly-rui-ro-an-ninh-thong-tin-phong-quan-tri-rui-ro-hoat-dong-khoi-khach-hang-ca-nhan.35C66DC2.html","Xem chi tiết")</f>
        <v/>
      </c>
      <c r="M4828" s="10" t="n"/>
    </row>
    <row r="4829">
      <c r="B4829" s="7" t="n">
        <v>4827</v>
      </c>
      <c r="C4829" t="inlineStr">
        <is>
          <t>TRƯỞNG NHÓM THIẾT KẾ HỆ THỐNG ĐIỆN- ĐIỆN NHẸ</t>
        </is>
      </c>
      <c r="D4829" t="inlineStr">
        <is>
          <t>Mars Corporation</t>
        </is>
      </c>
      <c r="E4829" t="inlineStr">
        <is>
          <t>Lương:20 Tr - 28 Tr VND</t>
        </is>
      </c>
      <c r="F4829" t="inlineStr">
        <is>
          <t>Hồ Chí Minh</t>
        </is>
      </c>
      <c r="G4829" t="inlineStr">
        <is>
          <t>29-03-2026</t>
        </is>
      </c>
      <c r="H4829" t="inlineStr">
        <is>
          <t>29/03/2026</t>
        </is>
      </c>
      <c r="I4829" t="inlineStr">
        <is>
          <t>17/03/2026</t>
        </is>
      </c>
      <c r="J4829" t="inlineStr">
        <is>
          <t>Cơ khí / Ô tô / Tự động hóa, Điện / Điện tử / Điện lạnh / Điện công nghiệp, Xây dựng</t>
        </is>
      </c>
      <c r="K4829" t="inlineStr">
        <is>
          <t>3 - 8 Năm</t>
        </is>
      </c>
      <c r="L4829" s="8">
        <f>HYPERLINK("https://careerviet.vn/vi/tim-viec-lam/truong-nhom-thiet-ke-he-thong-dien-dien-nhe.35C64266.html","Xem chi tiết")</f>
        <v/>
      </c>
    </row>
    <row r="4830">
      <c r="B4830" s="9" t="n">
        <v>4828</v>
      </c>
      <c r="C4830" s="10" t="inlineStr">
        <is>
          <t>Nhân viên Hành chính Kho</t>
        </is>
      </c>
      <c r="D4830" s="10" t="inlineStr">
        <is>
          <t>CÔNG TY TRÁCH NHIỆM HỮU HẠN FM SUPPLY CHAIN VIỆT NAM</t>
        </is>
      </c>
      <c r="E4830" s="10" t="inlineStr">
        <is>
          <t>Lương:9 Tr - 11 Tr VND</t>
        </is>
      </c>
      <c r="F4830" s="10" t="inlineStr">
        <is>
          <t>Hưng Yên</t>
        </is>
      </c>
      <c r="G4830" s="10" t="inlineStr">
        <is>
          <t>29-03-2026</t>
        </is>
      </c>
      <c r="H4830" s="10" t="inlineStr">
        <is>
          <t>29/03/2026</t>
        </is>
      </c>
      <c r="I4830" s="10" t="inlineStr">
        <is>
          <t>17/03/2026</t>
        </is>
      </c>
      <c r="J4830" s="10" t="inlineStr">
        <is>
          <t>Vận chuyển / Giao nhận / Kho vận, Hành chính / Thư ký, Quản lý chất lượng (QA/QC)</t>
        </is>
      </c>
      <c r="K4830" s="10" t="inlineStr">
        <is>
          <t>1 - 2 Năm</t>
        </is>
      </c>
      <c r="L4830" s="11">
        <f>HYPERLINK("https://careerviet.vn/vi/tim-viec-lam/nhan-vien-hanh-chinh-kho.35C6414C.html","Xem chi tiết")</f>
        <v/>
      </c>
      <c r="M4830" s="10" t="n"/>
    </row>
    <row r="4831">
      <c r="B4831" s="7" t="n">
        <v>4829</v>
      </c>
      <c r="C4831" t="inlineStr">
        <is>
          <t>Nhân viên QC 26511 - KCN Tân Phú Trung, HCM</t>
        </is>
      </c>
      <c r="D4831" t="inlineStr">
        <is>
          <t>Công Ty TNHH Reeracoen Việt Nam</t>
        </is>
      </c>
      <c r="E4831" t="inlineStr">
        <is>
          <t>Lương:18 Tr - 25 Tr VND</t>
        </is>
      </c>
      <c r="F4831" t="inlineStr">
        <is>
          <t>Hồ Chí Minh</t>
        </is>
      </c>
      <c r="G4831" t="inlineStr">
        <is>
          <t>29-03-2026</t>
        </is>
      </c>
      <c r="H4831" t="inlineStr">
        <is>
          <t>29/03/2026</t>
        </is>
      </c>
      <c r="I4831" t="inlineStr">
        <is>
          <t>17/03/2026</t>
        </is>
      </c>
      <c r="J4831" t="inlineStr">
        <is>
          <t>Cơ khí / Ô tô / Tự động hóa, Sản xuất / Vận hành sản xuất, Quản lý chất lượng (QA/QC)</t>
        </is>
      </c>
      <c r="K4831" t="inlineStr">
        <is>
          <t>N/A</t>
        </is>
      </c>
      <c r="L4831" s="8">
        <f>HYPERLINK("https://careerviet.vn/vi/tim-viec-lam/nhan-vien-qc-26511-kcn-tan-phu-trung-hcm.35C66DF3.html","Xem chi tiết")</f>
        <v/>
      </c>
    </row>
    <row r="4832">
      <c r="B4832" s="9" t="n">
        <v>4830</v>
      </c>
      <c r="C4832" s="10" t="inlineStr">
        <is>
          <t>Trưởng bộ phận bảo trì</t>
        </is>
      </c>
      <c r="D4832" s="10" t="inlineStr">
        <is>
          <t>VINFAST TRADING AND PRODUCTION JSC</t>
        </is>
      </c>
      <c r="E4832" s="10" t="inlineStr">
        <is>
          <t>Lương:Cạnh tranh</t>
        </is>
      </c>
      <c r="F4832" s="10" t="inlineStr">
        <is>
          <t>Hà Tĩnh</t>
        </is>
      </c>
      <c r="G4832" s="10" t="inlineStr">
        <is>
          <t>29-03-2026</t>
        </is>
      </c>
      <c r="H4832" s="10" t="inlineStr">
        <is>
          <t>29/03/2026</t>
        </is>
      </c>
      <c r="I4832" s="10" t="inlineStr">
        <is>
          <t>17/03/2026</t>
        </is>
      </c>
      <c r="J4832" s="10" t="inlineStr">
        <is>
          <t>Sản xuất / Vận hành sản xuất</t>
        </is>
      </c>
      <c r="K4832" s="10" t="inlineStr">
        <is>
          <t>3 - 5 Năm</t>
        </is>
      </c>
      <c r="L4832" s="11">
        <f>HYPERLINK("https://careerviet.vn/vi/tim-viec-lam/truong-bo-phan-bao-tri.35C6405A.html","Xem chi tiết")</f>
        <v/>
      </c>
      <c r="M4832" s="10" t="n"/>
    </row>
    <row r="4833">
      <c r="B4833" s="7" t="n">
        <v>4831</v>
      </c>
      <c r="C4833" t="inlineStr">
        <is>
          <t>Tổ Trưởng Điện Lạnh</t>
        </is>
      </c>
      <c r="D4833" t="inlineStr">
        <is>
          <t>CÔNG TY CỔ PHẦN DỊCH VỤ KỸ THUẬT AN PHÁT ĐẠT</t>
        </is>
      </c>
      <c r="E4833" t="inlineStr">
        <is>
          <t>Lương:Cạnh tranh</t>
        </is>
      </c>
      <c r="F4833" t="inlineStr">
        <is>
          <t>Bà Rịa - Vũng TàuHồ Chí Minh</t>
        </is>
      </c>
      <c r="G4833" t="inlineStr">
        <is>
          <t>29-03-2026</t>
        </is>
      </c>
      <c r="H4833" t="inlineStr">
        <is>
          <t>29/03/2026</t>
        </is>
      </c>
      <c r="I4833" t="inlineStr">
        <is>
          <t>17/03/2026</t>
        </is>
      </c>
      <c r="J4833" t="inlineStr">
        <is>
          <t>Cơ khí / Ô tô / Tự động hóa, Xây dựng, Điện / Điện tử / Điện lạnh / Điện công nghiệp</t>
        </is>
      </c>
      <c r="K4833" t="inlineStr">
        <is>
          <t>Trên 3 Năm</t>
        </is>
      </c>
      <c r="L4833" s="8">
        <f>HYPERLINK("https://careerviet.vn/vi/tim-viec-lam/to-truong-dien-lanh.35C63D9C.html","Xem chi tiết")</f>
        <v/>
      </c>
    </row>
    <row r="4834">
      <c r="B4834" s="9" t="n">
        <v>4832</v>
      </c>
      <c r="C4834" s="10" t="inlineStr">
        <is>
          <t>NHÂN VIÊN TINH CHẾ - REFINERY STAFF</t>
        </is>
      </c>
      <c r="D4834" s="10" t="inlineStr">
        <is>
          <t>CHI NHÁNH CÔNG TY TRÁCH NHIỆM HỮU HẠN HYOSUNG ĐỒNG NAI - BIO BÀ RỊA - VŨNG TÀU</t>
        </is>
      </c>
      <c r="E4834" s="10" t="inlineStr">
        <is>
          <t>Lương:Cạnh tranh</t>
        </is>
      </c>
      <c r="F4834" s="10" t="inlineStr">
        <is>
          <t>Bà Rịa - Vũng Tàu</t>
        </is>
      </c>
      <c r="G4834" s="10" t="inlineStr">
        <is>
          <t>29-03-2026</t>
        </is>
      </c>
      <c r="H4834" s="10" t="inlineStr">
        <is>
          <t>29/03/2026</t>
        </is>
      </c>
      <c r="I4834" s="10" t="inlineStr">
        <is>
          <t>17/03/2026</t>
        </is>
      </c>
      <c r="J4834" s="10" t="inlineStr">
        <is>
          <t>Hóa học</t>
        </is>
      </c>
      <c r="K4834" s="10" t="inlineStr">
        <is>
          <t>Trên 1 Năm</t>
        </is>
      </c>
      <c r="L4834" s="11">
        <f>HYPERLINK("https://careerviet.vn/vi/tim-viec-lam/nhan-vien-tinh-che-refinery-staff.35C66D44.html","Xem chi tiết")</f>
        <v/>
      </c>
      <c r="M4834" s="10" t="n"/>
    </row>
    <row r="4835">
      <c r="B4835" s="7" t="n">
        <v>4833</v>
      </c>
      <c r="C4835" t="inlineStr">
        <is>
          <t>Nhân viên giao nhận (Xe máy)</t>
        </is>
      </c>
      <c r="D4835" t="inlineStr">
        <is>
          <t>Công Ty TNHH TM &amp; XNK Nhất Lâm</t>
        </is>
      </c>
      <c r="E4835" t="inlineStr">
        <is>
          <t>Lương:12 Tr - 15 Tr VND</t>
        </is>
      </c>
      <c r="F4835" t="inlineStr">
        <is>
          <t>Hà Nội</t>
        </is>
      </c>
      <c r="G4835" t="inlineStr">
        <is>
          <t>29-03-2026</t>
        </is>
      </c>
      <c r="H4835" t="inlineStr">
        <is>
          <t>29/03/2026</t>
        </is>
      </c>
      <c r="I4835" t="inlineStr">
        <is>
          <t>17/03/2026</t>
        </is>
      </c>
      <c r="J4835" t="inlineStr">
        <is>
          <t>Vận chuyển / Giao nhận / Kho vận</t>
        </is>
      </c>
      <c r="K4835" t="inlineStr">
        <is>
          <t>Chưa có kinh nghiệm</t>
        </is>
      </c>
      <c r="L4835" s="8">
        <f>HYPERLINK("https://careerviet.vn/vi/tim-viec-lam/nhan-vien-giao-nhan-xe-may.35C641D0.html","Xem chi tiết")</f>
        <v/>
      </c>
    </row>
    <row r="4836">
      <c r="B4836" s="9" t="n">
        <v>4834</v>
      </c>
      <c r="C4836" s="10" t="inlineStr">
        <is>
          <t>Nhân viên HR 27553 - KCN Long Đức, Đồng Nai (có xe đưa đón)</t>
        </is>
      </c>
      <c r="D4836" s="10" t="inlineStr">
        <is>
          <t>Công Ty TNHH Reeracoen Việt Nam</t>
        </is>
      </c>
      <c r="E4836" s="10" t="inlineStr">
        <is>
          <t>Lương:15 Tr - 23 Tr VND</t>
        </is>
      </c>
      <c r="F4836" s="10" t="inlineStr">
        <is>
          <t>Đồng Nai</t>
        </is>
      </c>
      <c r="G4836" s="10" t="inlineStr">
        <is>
          <t>29-03-2026</t>
        </is>
      </c>
      <c r="H4836" s="10" t="inlineStr">
        <is>
          <t>29/03/2026</t>
        </is>
      </c>
      <c r="I4836" s="10" t="inlineStr">
        <is>
          <t>17/03/2026</t>
        </is>
      </c>
      <c r="J4836" s="10" t="inlineStr">
        <is>
          <t>Hành chính / Thư ký, Quản lý điều hành, Nhân sự</t>
        </is>
      </c>
      <c r="K4836" s="10" t="inlineStr">
        <is>
          <t>Trên 5 Năm</t>
        </is>
      </c>
      <c r="L4836" s="11">
        <f>HYPERLINK("https://careerviet.vn/vi/tim-viec-lam/nhan-vien-hr-27553-kcn-long-duc-dong-nai-co-xe-dua-don.35C66DF7.html","Xem chi tiết")</f>
        <v/>
      </c>
      <c r="M4836" s="10" t="n"/>
    </row>
    <row r="4837">
      <c r="B4837" s="7" t="n">
        <v>4835</v>
      </c>
      <c r="C4837" t="inlineStr">
        <is>
          <t>Giám đốc điều hành nhà máy 27540 - KCN Tân Đức, Long An (Có xe đưa đón)</t>
        </is>
      </c>
      <c r="D4837" t="inlineStr">
        <is>
          <t>Công Ty TNHH Reeracoen Việt Nam</t>
        </is>
      </c>
      <c r="E4837" t="inlineStr">
        <is>
          <t>Lương:Cạnh tranh</t>
        </is>
      </c>
      <c r="F4837" t="inlineStr">
        <is>
          <t>Long An</t>
        </is>
      </c>
      <c r="G4837" t="inlineStr">
        <is>
          <t>29-03-2026</t>
        </is>
      </c>
      <c r="H4837" t="inlineStr">
        <is>
          <t>29/03/2026</t>
        </is>
      </c>
      <c r="I4837" t="inlineStr">
        <is>
          <t>17/03/2026</t>
        </is>
      </c>
      <c r="J4837" t="inlineStr">
        <is>
          <t>Sản xuất / Vận hành sản xuất, Đồ gỗ, Quản lý chất lượng (QA/QC)</t>
        </is>
      </c>
      <c r="K4837" t="inlineStr">
        <is>
          <t>Trên 5 Năm</t>
        </is>
      </c>
      <c r="L4837" s="8">
        <f>HYPERLINK("https://careerviet.vn/vi/tim-viec-lam/giam-doc-dieu-hanh-nha-may-27540-kcn-tan-duc-long-an-co-xe-dua-don.35C66DE9.html","Xem chi tiết")</f>
        <v/>
      </c>
    </row>
    <row r="4838">
      <c r="B4838" s="9" t="n">
        <v>4836</v>
      </c>
      <c r="C4838" s="10" t="inlineStr">
        <is>
          <t>Trưởng bộ phận Tổ chức Nhân sự</t>
        </is>
      </c>
      <c r="D4838" s="10" t="inlineStr">
        <is>
          <t>BỆNH VIỆN ĐA KHOA PHƯƠNG ĐÔNG</t>
        </is>
      </c>
      <c r="E4838" s="10" t="inlineStr">
        <is>
          <t>Lương:20 Tr - 25 Tr VND</t>
        </is>
      </c>
      <c r="F4838" s="10" t="inlineStr">
        <is>
          <t>Hà Nội</t>
        </is>
      </c>
      <c r="G4838" s="10" t="inlineStr">
        <is>
          <t>29-03-2026</t>
        </is>
      </c>
      <c r="H4838" s="10" t="inlineStr">
        <is>
          <t>29/03/2026</t>
        </is>
      </c>
      <c r="I4838" s="10" t="inlineStr">
        <is>
          <t>17/03/2026</t>
        </is>
      </c>
      <c r="J4838" s="10" t="inlineStr">
        <is>
          <t>Y tế / Chăm sóc sức khỏe / Thẩm mỹ / Làm đẹp, Nhân sự</t>
        </is>
      </c>
      <c r="K4838" s="10" t="inlineStr">
        <is>
          <t>5 - 7 Năm</t>
        </is>
      </c>
      <c r="L4838" s="11">
        <f>HYPERLINK("https://careerviet.vn/vi/tim-viec-lam/truong-bo-phan-to-chuc-nhan-su.35C66D1F.html","Xem chi tiết")</f>
        <v/>
      </c>
      <c r="M4838" s="10" t="n"/>
    </row>
    <row r="4839">
      <c r="B4839" s="7" t="n">
        <v>4837</v>
      </c>
      <c r="C4839" t="inlineStr">
        <is>
          <t>Sales Supervisor (Giám sát bán hàng) - Nha Trang</t>
        </is>
      </c>
      <c r="D4839" t="inlineStr">
        <is>
          <t>Anheuser-Busch InBev (AB InBev)</t>
        </is>
      </c>
      <c r="E4839" t="inlineStr">
        <is>
          <t>Lương:Cạnh tranh</t>
        </is>
      </c>
      <c r="F4839" t="inlineStr">
        <is>
          <t>Khánh Hòa</t>
        </is>
      </c>
      <c r="G4839" t="inlineStr">
        <is>
          <t>29-03-2026</t>
        </is>
      </c>
      <c r="H4839" t="inlineStr">
        <is>
          <t>29/03/2026</t>
        </is>
      </c>
      <c r="I4839" t="inlineStr">
        <is>
          <t>17/03/2026</t>
        </is>
      </c>
      <c r="J4839" t="inlineStr">
        <is>
          <t>Bán hàng / Kinh doanh, Thực phẩm &amp; Đồ uống</t>
        </is>
      </c>
      <c r="K4839" t="inlineStr">
        <is>
          <t>Trên 3 Năm</t>
        </is>
      </c>
      <c r="L4839" s="8">
        <f>HYPERLINK("https://careerviet.vn/vi/tim-viec-lam/sales-supervisor-giam-sat-ban-hang-nha-trang.35C641C6.html","Xem chi tiết")</f>
        <v/>
      </c>
    </row>
    <row r="4840">
      <c r="B4840" s="9" t="n">
        <v>4838</v>
      </c>
      <c r="C4840" s="10" t="inlineStr">
        <is>
          <t>Chuyên Viên An Toàn Lao Động - Dự Án Park Hyatt</t>
        </is>
      </c>
      <c r="D4840" s="10" t="inlineStr">
        <is>
          <t>BIM Group</t>
        </is>
      </c>
      <c r="E4840" s="10" t="inlineStr">
        <is>
          <t>Lương:Cạnh tranh</t>
        </is>
      </c>
      <c r="F4840" s="10" t="inlineStr">
        <is>
          <t>Kiên Giang</t>
        </is>
      </c>
      <c r="G4840" s="10" t="inlineStr">
        <is>
          <t>29-03-2026</t>
        </is>
      </c>
      <c r="H4840" s="10" t="inlineStr">
        <is>
          <t>29/03/2026</t>
        </is>
      </c>
      <c r="I4840" s="10" t="inlineStr">
        <is>
          <t>17/03/2026</t>
        </is>
      </c>
      <c r="J4840" s="10" t="inlineStr">
        <is>
          <t>An toàn lao động, Xây dựng</t>
        </is>
      </c>
      <c r="K4840" s="10" t="inlineStr">
        <is>
          <t>3 - 5 Năm</t>
        </is>
      </c>
      <c r="L4840" s="11">
        <f>HYPERLINK("https://careerviet.vn/vi/tim-viec-lam/chuyen-vien-an-toan-lao-dong-du-an-park-hyatt.35C66C72.html","Xem chi tiết")</f>
        <v/>
      </c>
      <c r="M4840" s="10" t="n"/>
    </row>
    <row r="4841">
      <c r="B4841" s="7" t="n">
        <v>4839</v>
      </c>
      <c r="C4841" t="inlineStr">
        <is>
          <t>Sales Staff (Tiếng Nhật hoặc Tiếng Anh business)</t>
        </is>
      </c>
      <c r="D4841" t="inlineStr">
        <is>
          <t>CÔNG TY TNHH QUICK VIỆT NAM</t>
        </is>
      </c>
      <c r="E4841" t="inlineStr">
        <is>
          <t>Lương:15 Tr - 40 Tr VND</t>
        </is>
      </c>
      <c r="F4841" t="inlineStr">
        <is>
          <t>Hồ Chí Minh</t>
        </is>
      </c>
      <c r="G4841" t="inlineStr">
        <is>
          <t>29-03-2026</t>
        </is>
      </c>
      <c r="H4841" t="inlineStr">
        <is>
          <t>29/03/2026</t>
        </is>
      </c>
      <c r="I4841" t="inlineStr">
        <is>
          <t>17/03/2026</t>
        </is>
      </c>
      <c r="J4841" t="inlineStr">
        <is>
          <t>Bán hàng / Kinh doanh, Thực phẩm &amp; Đồ uống, Thủy sản / Hải sản</t>
        </is>
      </c>
      <c r="K4841" t="inlineStr">
        <is>
          <t>Trên 5 Năm</t>
        </is>
      </c>
      <c r="L4841" s="8">
        <f>HYPERLINK("https://careerviet.vn/vi/tim-viec-lam/sales-staff-tieng-nhat-hoac-tieng-anh-business.35C66CAA.html","Xem chi tiết")</f>
        <v/>
      </c>
    </row>
    <row r="4842">
      <c r="B4842" s="9" t="n">
        <v>4840</v>
      </c>
      <c r="C4842" s="10" t="inlineStr">
        <is>
          <t>Kỹ sư hạ tầng kỹ thuật</t>
        </is>
      </c>
      <c r="D4842" s="10" t="inlineStr">
        <is>
          <t>CÔNG TY CỔ PHẦN XÂY DỰNG VÀ CƠ KHÍ DELTA E&amp;C</t>
        </is>
      </c>
      <c r="E4842" s="10" t="inlineStr">
        <is>
          <t>Lương:20 Tr - 30 Tr VND</t>
        </is>
      </c>
      <c r="F4842" s="10" t="inlineStr">
        <is>
          <t>Hà Nội</t>
        </is>
      </c>
      <c r="G4842" s="10" t="inlineStr">
        <is>
          <t>29-03-2026</t>
        </is>
      </c>
      <c r="H4842" s="10" t="inlineStr">
        <is>
          <t>29/03/2026</t>
        </is>
      </c>
      <c r="I4842" s="10" t="inlineStr">
        <is>
          <t>17/03/2026</t>
        </is>
      </c>
      <c r="J4842" s="10" t="inlineStr">
        <is>
          <t>Kiến trúc, Xây dựng, Bất động sản</t>
        </is>
      </c>
      <c r="K4842" s="10" t="inlineStr">
        <is>
          <t>2 - 3 Năm</t>
        </is>
      </c>
      <c r="L4842" s="11">
        <f>HYPERLINK("https://careerviet.vn/vi/tim-viec-lam/ky-su-ha-tang-ky-thuat.35C64085.html","Xem chi tiết")</f>
        <v/>
      </c>
      <c r="M4842" s="10" t="n"/>
    </row>
    <row r="4843">
      <c r="B4843" s="7" t="n">
        <v>4841</v>
      </c>
      <c r="C4843" t="inlineStr">
        <is>
          <t>Sales &amp; Client Relations</t>
        </is>
      </c>
      <c r="D4843" t="inlineStr">
        <is>
          <t>SPORT STRENGTH COMPANY LIMITED</t>
        </is>
      </c>
      <c r="E4843" t="inlineStr">
        <is>
          <t>Lương:Cạnh tranh</t>
        </is>
      </c>
      <c r="F4843" t="inlineStr">
        <is>
          <t>Hồ Chí Minh</t>
        </is>
      </c>
      <c r="G4843" t="inlineStr">
        <is>
          <t>29-03-2026</t>
        </is>
      </c>
      <c r="H4843" t="inlineStr">
        <is>
          <t>29/03/2026</t>
        </is>
      </c>
      <c r="I4843" t="inlineStr">
        <is>
          <t>17/03/2026</t>
        </is>
      </c>
      <c r="J4843" t="inlineStr">
        <is>
          <t>Bán lẻ / Bán sỉ, Bán hàng / Kinh doanh, Tư vấn</t>
        </is>
      </c>
      <c r="K4843" t="inlineStr">
        <is>
          <t>Trên 1 Năm</t>
        </is>
      </c>
      <c r="L4843" s="8">
        <f>HYPERLINK("https://careerviet.vn/vi/tim-viec-lam/sales-client-relations.35C66CDC.html","Xem chi tiết")</f>
        <v/>
      </c>
    </row>
    <row r="4844">
      <c r="B4844" s="9" t="n">
        <v>4842</v>
      </c>
      <c r="C4844" s="10" t="inlineStr">
        <is>
          <t>Cán bộ hỗ trợ kinh doanh - Ban Bancassurance</t>
        </is>
      </c>
      <c r="D4844" s="10" t="inlineStr">
        <is>
          <t>Tổng Công ty Cổ phần Bảo hiểm Ngân hàng Đầu tư và Phát triển Việt Nam (BIC)</t>
        </is>
      </c>
      <c r="E4844" s="10" t="inlineStr">
        <is>
          <t>Lương:Cạnh tranh</t>
        </is>
      </c>
      <c r="F4844" s="10" t="inlineStr">
        <is>
          <t>Hà Nội</t>
        </is>
      </c>
      <c r="G4844" s="10" t="inlineStr">
        <is>
          <t>29-03-2026</t>
        </is>
      </c>
      <c r="H4844" s="10" t="inlineStr">
        <is>
          <t>29/03/2026</t>
        </is>
      </c>
      <c r="I4844" s="10" t="inlineStr">
        <is>
          <t>17/03/2026</t>
        </is>
      </c>
      <c r="J4844" s="10" t="inlineStr">
        <is>
          <t>Bảo hiểm, Ngân hàng, Tài chính / Đầu tư</t>
        </is>
      </c>
      <c r="K4844" s="10" t="inlineStr">
        <is>
          <t>1 - 3 Năm</t>
        </is>
      </c>
      <c r="L4844" s="11">
        <f>HYPERLINK("https://careerviet.vn/vi/tim-viec-lam/can-bo-ho-tro-kinh-doanh-ban-bancassurance.35C64293.html","Xem chi tiết")</f>
        <v/>
      </c>
      <c r="M4844" s="10" t="n"/>
    </row>
    <row r="4845">
      <c r="B4845" s="7" t="n">
        <v>4843</v>
      </c>
      <c r="C4845" t="inlineStr">
        <is>
          <t>Nhân viên kế toán Tiếng Trung</t>
        </is>
      </c>
      <c r="D4845" t="inlineStr">
        <is>
          <t>CÔNG TY TNHH DECHANG VIỆT NAM</t>
        </is>
      </c>
      <c r="E4845" t="inlineStr">
        <is>
          <t>Lương:12 Tr - 18 Tr VND</t>
        </is>
      </c>
      <c r="F4845" t="inlineStr">
        <is>
          <t>Đồng Nai</t>
        </is>
      </c>
      <c r="G4845" t="inlineStr">
        <is>
          <t>29-03-2026</t>
        </is>
      </c>
      <c r="H4845" t="inlineStr">
        <is>
          <t>29/03/2026</t>
        </is>
      </c>
      <c r="I4845" t="inlineStr">
        <is>
          <t>17/03/2026</t>
        </is>
      </c>
      <c r="J4845" t="inlineStr">
        <is>
          <t>Kế toán / Kiểm toán</t>
        </is>
      </c>
      <c r="K4845" t="inlineStr">
        <is>
          <t>1 - 3 Năm</t>
        </is>
      </c>
      <c r="L4845" s="8">
        <f>HYPERLINK("https://careerviet.vn/vi/tim-viec-lam/nhan-vien-ke-toan-tieng-trung.35C61BEA.html","Xem chi tiết")</f>
        <v/>
      </c>
    </row>
    <row r="4846">
      <c r="B4846" s="9" t="n">
        <v>4844</v>
      </c>
      <c r="C4846" s="10" t="inlineStr">
        <is>
          <t>Chuyên viên SAP FICO</t>
        </is>
      </c>
      <c r="D4846" s="10" t="inlineStr">
        <is>
          <t>CÔNG TY CỔ PHẦN CASPER VIỆT NAM</t>
        </is>
      </c>
      <c r="E4846" s="10" t="inlineStr">
        <is>
          <t>Lương:Cạnh tranh</t>
        </is>
      </c>
      <c r="F4846" s="10" t="inlineStr">
        <is>
          <t>Hà Nội</t>
        </is>
      </c>
      <c r="G4846" s="10" t="inlineStr">
        <is>
          <t>29-03-2026</t>
        </is>
      </c>
      <c r="H4846" s="10" t="inlineStr">
        <is>
          <t>29/03/2026</t>
        </is>
      </c>
      <c r="I4846" s="10" t="inlineStr">
        <is>
          <t>17/03/2026</t>
        </is>
      </c>
      <c r="J4846" s="10" t="inlineStr">
        <is>
          <t>CNTT - Phần mềm</t>
        </is>
      </c>
      <c r="K4846" s="10" t="inlineStr">
        <is>
          <t>3 - 7 Năm</t>
        </is>
      </c>
      <c r="L4846" s="11">
        <f>HYPERLINK("https://careerviet.vn/vi/tim-viec-lam/chuyen-vien-sap-fico.35C64222.html","Xem chi tiết")</f>
        <v/>
      </c>
      <c r="M4846" s="10" t="n"/>
    </row>
    <row r="4847">
      <c r="B4847" s="7" t="n">
        <v>4845</v>
      </c>
      <c r="C4847" t="inlineStr">
        <is>
          <t>Trưởng phòng phát triển sản phẩm</t>
        </is>
      </c>
      <c r="D4847" t="inlineStr">
        <is>
          <t>Gilimex</t>
        </is>
      </c>
      <c r="E4847" t="inlineStr">
        <is>
          <t>Lương:Cạnh tranh</t>
        </is>
      </c>
      <c r="F4847" t="inlineStr">
        <is>
          <t>Hồ Chí Minh</t>
        </is>
      </c>
      <c r="G4847" t="inlineStr">
        <is>
          <t>29-03-2026</t>
        </is>
      </c>
      <c r="H4847" t="inlineStr">
        <is>
          <t>29/03/2026</t>
        </is>
      </c>
      <c r="I4847" t="inlineStr">
        <is>
          <t>17/03/2026</t>
        </is>
      </c>
      <c r="J4847" t="inlineStr">
        <is>
          <t>Sản xuất / Vận hành sản xuất, Dệt may / Da giày / Thời trang, Quản lý chất lượng (QA/QC)</t>
        </is>
      </c>
      <c r="K4847" t="inlineStr">
        <is>
          <t>1 - 3 Năm</t>
        </is>
      </c>
      <c r="L4847" s="8">
        <f>HYPERLINK("https://careerviet.vn/vi/tim-viec-lam/truong-phong-phat-trien-san-pham.35C66B11.html","Xem chi tiết")</f>
        <v/>
      </c>
    </row>
    <row r="4848">
      <c r="B4848" s="9" t="n">
        <v>4846</v>
      </c>
      <c r="C4848" s="10" t="inlineStr">
        <is>
          <t>Nhân viên Kinh doanh  (Sales Representative)- Đông Hưng, Thái Bình (Hưng Yên)</t>
        </is>
      </c>
      <c r="D4848" s="10" t="inlineStr">
        <is>
          <t>HEINEKEN Vietnam</t>
        </is>
      </c>
      <c r="E4848" s="10" t="inlineStr">
        <is>
          <t>Lương:Cạnh tranh</t>
        </is>
      </c>
      <c r="F4848" s="10" t="inlineStr">
        <is>
          <t>Hưng Yên</t>
        </is>
      </c>
      <c r="G4848" s="10" t="inlineStr">
        <is>
          <t>29-03-2026</t>
        </is>
      </c>
      <c r="H4848" s="10" t="inlineStr">
        <is>
          <t>29/03/2026</t>
        </is>
      </c>
      <c r="I4848" s="10" t="inlineStr">
        <is>
          <t>17/03/2026</t>
        </is>
      </c>
      <c r="J4848" s="10" t="inlineStr">
        <is>
          <t>Tiếp thị / Marketing, Bán lẻ / Bán sỉ, Bán hàng / Kinh doanh</t>
        </is>
      </c>
      <c r="K4848" s="10" t="inlineStr">
        <is>
          <t>1 - 2 Năm</t>
        </is>
      </c>
      <c r="L4848" s="11">
        <f>HYPERLINK("https://careerviet.vn/vi/tim-viec-lam/nhan-vien-kinh-doanh-sales-representative-dong-hung-thai-binh-hung-yen.35C66DEC.html","Xem chi tiết")</f>
        <v/>
      </c>
      <c r="M4848" s="10" t="n"/>
    </row>
    <row r="4849">
      <c r="B4849" s="7" t="n">
        <v>4847</v>
      </c>
      <c r="C4849" t="inlineStr">
        <is>
          <t>Cửa hàng trưởng</t>
        </is>
      </c>
      <c r="D4849" t="inlineStr">
        <is>
          <t>CÔNG TY TNHH XIAOMI VIỆT NAM</t>
        </is>
      </c>
      <c r="E4849" t="inlineStr">
        <is>
          <t>Lương:14 Tr - 24 Tr VND</t>
        </is>
      </c>
      <c r="F4849" t="inlineStr">
        <is>
          <t>Hà NộiHải Phòng</t>
        </is>
      </c>
      <c r="G4849" t="inlineStr">
        <is>
          <t>30-03-2026</t>
        </is>
      </c>
      <c r="H4849" t="inlineStr">
        <is>
          <t>30/03/2026</t>
        </is>
      </c>
      <c r="I4849" t="inlineStr">
        <is>
          <t>17/03/2026</t>
        </is>
      </c>
      <c r="J4849" t="inlineStr">
        <is>
          <t>:Internet / Điện tử / Game trực tuyếnPhòng ban:Phòng bán lẻ mớiĐịa điểm làm việc:Hà Nội/ Hải Phòng</t>
        </is>
      </c>
      <c r="K4849" t="inlineStr">
        <is>
          <t>3 - 10 Năm</t>
        </is>
      </c>
      <c r="L4849" s="8">
        <f>HYPERLINK("https://careerviet.vn/vi/tim-viec-lam/cua-hang-truong.35C66F7C.html","Xem chi tiết")</f>
        <v/>
      </c>
    </row>
    <row r="4850">
      <c r="B4850" s="9" t="n">
        <v>4848</v>
      </c>
      <c r="C4850" s="10" t="inlineStr">
        <is>
          <t>Chuyên viên Digital Marketing</t>
        </is>
      </c>
      <c r="D4850" s="10" t="inlineStr">
        <is>
          <t>CÔNG TY CỔ PHẦN THƯƠNG MẠI VÀ CÔNG NGHỆ THỰC PHẨM HOÀNG LÂM</t>
        </is>
      </c>
      <c r="E4850" s="10" t="inlineStr">
        <is>
          <t>Lương:13 Tr - 16 Tr VND</t>
        </is>
      </c>
      <c r="F4850" s="10" t="inlineStr">
        <is>
          <t>Hà Nội</t>
        </is>
      </c>
      <c r="G4850" s="10" t="inlineStr">
        <is>
          <t>30-03-2026</t>
        </is>
      </c>
      <c r="H4850" s="10" t="inlineStr">
        <is>
          <t>30/03/2026</t>
        </is>
      </c>
      <c r="I4850" s="10" t="inlineStr">
        <is>
          <t>17/03/2026</t>
        </is>
      </c>
      <c r="J4850" s="10" t="inlineStr">
        <is>
          <t>Tiếp thị / Marketing</t>
        </is>
      </c>
      <c r="K4850" s="10" t="inlineStr">
        <is>
          <t>2 - 3 Năm</t>
        </is>
      </c>
      <c r="L4850" s="11">
        <f>HYPERLINK("https://careerviet.vn/vi/tim-viec-lam/chuyen-vien-digital-marketing.35C66E28.html","Xem chi tiết")</f>
        <v/>
      </c>
      <c r="M4850" s="10" t="n"/>
    </row>
    <row r="4851">
      <c r="B4851" s="7" t="n">
        <v>4849</v>
      </c>
      <c r="C4851" t="inlineStr">
        <is>
          <t>Trưởng nhóm vận hành Kinh doanh (Trong và ngoài nước)</t>
        </is>
      </c>
      <c r="D4851" t="inlineStr">
        <is>
          <t>Tập Đoàn CT Group Việt Nam</t>
        </is>
      </c>
      <c r="E4851" t="inlineStr">
        <is>
          <t>Lương:30 Tr - 35 Tr VND</t>
        </is>
      </c>
      <c r="F4851" t="inlineStr">
        <is>
          <t>Hồ Chí Minh</t>
        </is>
      </c>
      <c r="G4851" t="inlineStr">
        <is>
          <t>30-03-2026</t>
        </is>
      </c>
      <c r="H4851" t="inlineStr">
        <is>
          <t>30/03/2026</t>
        </is>
      </c>
      <c r="I4851" t="inlineStr">
        <is>
          <t>17/03/2026</t>
        </is>
      </c>
      <c r="J4851" t="inlineStr">
        <is>
          <t>Bán hàng / Kinh doanh, Luật / Pháp lý, Hành chính / Thư ký</t>
        </is>
      </c>
      <c r="K4851" t="inlineStr">
        <is>
          <t>2 - 5 Năm</t>
        </is>
      </c>
      <c r="L4851" s="8">
        <f>HYPERLINK("https://careerviet.vn/vi/tim-viec-lam/truong-nhom-van-hanh-kinh-doanh-trong-va-ngoai-nuoc.35C66E8A.html","Xem chi tiết")</f>
        <v/>
      </c>
    </row>
    <row r="4852">
      <c r="B4852" s="9" t="n">
        <v>4850</v>
      </c>
      <c r="C4852" s="10" t="inlineStr">
        <is>
          <t>Chuyên Viên Kế Toán</t>
        </is>
      </c>
      <c r="D4852" s="10" t="inlineStr">
        <is>
          <t>CÔNG TY TNHH SUUNTO ADVENTURE (VIETNAM)</t>
        </is>
      </c>
      <c r="E4852" s="10" t="inlineStr">
        <is>
          <t>Lương:15 Tr - 20 Tr VND</t>
        </is>
      </c>
      <c r="F4852" s="10" t="inlineStr">
        <is>
          <t>Hồ Chí Minh</t>
        </is>
      </c>
      <c r="G4852" s="10" t="inlineStr">
        <is>
          <t>29-03-2026</t>
        </is>
      </c>
      <c r="H4852" s="10" t="inlineStr">
        <is>
          <t>29/03/2026</t>
        </is>
      </c>
      <c r="I4852" s="10" t="inlineStr">
        <is>
          <t>17/03/2026</t>
        </is>
      </c>
      <c r="J4852" s="10" t="inlineStr">
        <is>
          <t>Luật / Pháp lý, Kế toán / Kiểm toán, Tài chính / Đầu tư</t>
        </is>
      </c>
      <c r="K4852" s="10" t="inlineStr">
        <is>
          <t>2 - 2 Năm</t>
        </is>
      </c>
      <c r="L4852" s="11">
        <f>HYPERLINK("https://careerviet.vn/vi/tim-viec-lam/chuyen-vien-ke-toan.35C66D87.html","Xem chi tiết")</f>
        <v/>
      </c>
      <c r="M4852" s="10" t="n"/>
    </row>
    <row r="4853">
      <c r="B4853" s="7" t="n">
        <v>4851</v>
      </c>
      <c r="C4853" t="inlineStr">
        <is>
          <t>[TP.HCM] PHÓ GIÁM ĐỐC CHI NHÁNH PHỤ TRÁCH KHÁCH HÀNG CÁ NHÂN</t>
        </is>
      </c>
      <c r="D4853" t="inlineStr">
        <is>
          <t>Ngân hàng TMCP Phát triển TP.HCM (HDBank)</t>
        </is>
      </c>
      <c r="E4853" t="inlineStr">
        <is>
          <t>Lương:30 Tr - 50 Tr VND</t>
        </is>
      </c>
      <c r="F4853" t="inlineStr">
        <is>
          <t>Hồ Chí Minh</t>
        </is>
      </c>
      <c r="G4853" t="inlineStr">
        <is>
          <t>30-03-2026</t>
        </is>
      </c>
      <c r="H4853" t="inlineStr">
        <is>
          <t>30/03/2026</t>
        </is>
      </c>
      <c r="I4853" t="inlineStr">
        <is>
          <t>17/03/2026</t>
        </is>
      </c>
      <c r="J4853" t="inlineStr">
        <is>
          <t>Ngân hàng, Tài chính / Đầu tư, Bán hàng / Kinh doanh</t>
        </is>
      </c>
      <c r="K4853" t="inlineStr">
        <is>
          <t>5 - 10 Năm</t>
        </is>
      </c>
      <c r="L4853" s="8">
        <f>HYPERLINK("https://careerviet.vn/vi/tim-viec-lam/tp-hcm-pho-giam-doc-chi-nhanh-phu-trach-khach-hang-ca-nhan.35C66F4E.html","Xem chi tiết")</f>
        <v/>
      </c>
    </row>
    <row r="4854">
      <c r="B4854" s="9" t="n">
        <v>4852</v>
      </c>
      <c r="C4854" s="10" t="inlineStr">
        <is>
          <t>Chuyên viên Thu mua</t>
        </is>
      </c>
      <c r="D4854" s="10" t="inlineStr">
        <is>
          <t>Công ty Cổ phần Kim Long Motor Huế</t>
        </is>
      </c>
      <c r="E4854" s="10" t="inlineStr">
        <is>
          <t>Lương:Cạnh tranh</t>
        </is>
      </c>
      <c r="F4854" s="10" t="inlineStr">
        <is>
          <t>Thừa Thiên- Huế</t>
        </is>
      </c>
      <c r="G4854" s="10" t="inlineStr">
        <is>
          <t>29-03-2026</t>
        </is>
      </c>
      <c r="H4854" s="10" t="inlineStr">
        <is>
          <t>29/03/2026</t>
        </is>
      </c>
      <c r="I4854" s="10" t="inlineStr">
        <is>
          <t>17/03/2026</t>
        </is>
      </c>
      <c r="J4854" s="10" t="inlineStr">
        <is>
          <t>Thu mua / Vật tư</t>
        </is>
      </c>
      <c r="K4854" s="10" t="inlineStr">
        <is>
          <t>N/A</t>
        </is>
      </c>
      <c r="L4854" s="11">
        <f>HYPERLINK("https://careerviet.vn/vi/tim-viec-lam/chuyen-vien-thu-mua.35C640A1.html","Xem chi tiết")</f>
        <v/>
      </c>
      <c r="M4854" s="10" t="n"/>
    </row>
    <row r="4855">
      <c r="B4855" s="7" t="n">
        <v>4853</v>
      </c>
      <c r="C4855" t="inlineStr">
        <is>
          <t>Quản Lý Cửa Hàng Nhãn Hàng Swarovski TP.Nha Trang</t>
        </is>
      </c>
      <c r="D4855" t="inlineStr">
        <is>
          <t>CÔNG TY TNHH THỜI TRANG VÀ MỸ PHẨM ÂU CHÂU</t>
        </is>
      </c>
      <c r="E4855" t="inlineStr">
        <is>
          <t>Lương:10 Tr - 15 Tr VND</t>
        </is>
      </c>
      <c r="F4855" t="inlineStr">
        <is>
          <t>Khánh Hòa</t>
        </is>
      </c>
      <c r="G4855" t="inlineStr">
        <is>
          <t>30-03-2026</t>
        </is>
      </c>
      <c r="H4855" t="inlineStr">
        <is>
          <t>30/03/2026</t>
        </is>
      </c>
      <c r="I4855" t="inlineStr">
        <is>
          <t>17/03/2026</t>
        </is>
      </c>
      <c r="J4855" t="inlineStr">
        <is>
          <t>Bán hàng / Kinh doanh, Quản lý điều hành, Dệt may / Da giày / Thời trang</t>
        </is>
      </c>
      <c r="K4855" t="inlineStr">
        <is>
          <t>1 - 2 Năm</t>
        </is>
      </c>
      <c r="L4855" s="8">
        <f>HYPERLINK("https://careerviet.vn/vi/tim-viec-lam/quan-ly-cua-hang-nhan-hang-swarovski-tp-nha-trang.35C64325.html","Xem chi tiết")</f>
        <v/>
      </c>
    </row>
    <row r="4856">
      <c r="B4856" s="9" t="n">
        <v>4854</v>
      </c>
      <c r="C4856" s="10" t="inlineStr">
        <is>
          <t>Nhân viên tư vấn tuyển sinh</t>
        </is>
      </c>
      <c r="D4856" s="10" t="inlineStr">
        <is>
          <t>CÔNG TY CỔ PHẦN GIÁO DỤC COLORBEE ENGLISH</t>
        </is>
      </c>
      <c r="E4856" s="10" t="inlineStr">
        <is>
          <t>Lương:10 Tr - 20 Tr VND</t>
        </is>
      </c>
      <c r="F4856" s="10" t="inlineStr">
        <is>
          <t>Hà Nội</t>
        </is>
      </c>
      <c r="G4856" s="10" t="inlineStr">
        <is>
          <t>30-03-2026</t>
        </is>
      </c>
      <c r="H4856" s="10" t="inlineStr">
        <is>
          <t>30/03/2026</t>
        </is>
      </c>
      <c r="I4856" s="10" t="inlineStr">
        <is>
          <t>17/03/2026</t>
        </is>
      </c>
      <c r="J4856" s="10" t="inlineStr">
        <is>
          <t>Bán hàng / Kinh doanh, Tư vấn, Giáo dục / Đào tạo</t>
        </is>
      </c>
      <c r="K4856" s="10" t="inlineStr">
        <is>
          <t>N/A</t>
        </is>
      </c>
      <c r="L4856" s="11">
        <f>HYPERLINK("https://careerviet.vn/vi/tim-viec-lam/nhan-vien-tu-van-tuyen-sinh.35C627F2.html","Xem chi tiết")</f>
        <v/>
      </c>
      <c r="M4856" s="10" t="n"/>
    </row>
    <row r="4857">
      <c r="B4857" s="7" t="n">
        <v>4855</v>
      </c>
      <c r="C4857" t="inlineStr">
        <is>
          <t>Đak Nông - Đại diện thương mại  (13-20 triệu)</t>
        </is>
      </c>
      <c r="D4857" t="inlineStr">
        <is>
          <t>CÔNG TY CỔ PHẦN TẬP ĐOÀN DEKKO</t>
        </is>
      </c>
      <c r="E4857" t="inlineStr">
        <is>
          <t>Lương:13 Tr - 30 Tr VND</t>
        </is>
      </c>
      <c r="F4857" t="inlineStr">
        <is>
          <t>Dak Nông</t>
        </is>
      </c>
      <c r="G4857" t="inlineStr">
        <is>
          <t>30-03-2026</t>
        </is>
      </c>
      <c r="H4857" t="inlineStr">
        <is>
          <t>30/03/2026</t>
        </is>
      </c>
      <c r="I4857" t="inlineStr">
        <is>
          <t>17/03/2026</t>
        </is>
      </c>
      <c r="J4857" t="inlineStr">
        <is>
          <t>Bán hàng / Kinh doanh</t>
        </is>
      </c>
      <c r="K4857" t="inlineStr">
        <is>
          <t>Trên 1 Năm</t>
        </is>
      </c>
      <c r="L4857" s="8">
        <f>HYPERLINK("https://careerviet.vn/vi/tim-viec-lam/dak-nong-dai-dien-thuong-mai-13-20-trieu.35C66E2D.html","Xem chi tiết")</f>
        <v/>
      </c>
    </row>
    <row r="4858">
      <c r="B4858" s="9" t="n">
        <v>4856</v>
      </c>
      <c r="C4858" s="10" t="inlineStr">
        <is>
          <t>KẾ TOÁN TRƯỞNG công ty sản xuất mới thành lập</t>
        </is>
      </c>
      <c r="D4858" s="10" t="inlineStr">
        <is>
          <t>Công ty TNHH AOBA Việt Nam</t>
        </is>
      </c>
      <c r="E4858" s="10" t="inlineStr">
        <is>
          <t>Lương:1.300 - 1.500 USD</t>
        </is>
      </c>
      <c r="F4858" s="10" t="inlineStr">
        <is>
          <t>Đồng Nai</t>
        </is>
      </c>
      <c r="G4858" s="10" t="inlineStr">
        <is>
          <t>30-03-2026</t>
        </is>
      </c>
      <c r="H4858" s="10" t="inlineStr">
        <is>
          <t>30/03/2026</t>
        </is>
      </c>
      <c r="I4858" s="10" t="inlineStr">
        <is>
          <t>17/03/2026</t>
        </is>
      </c>
      <c r="J4858" s="10" t="inlineStr">
        <is>
          <t>Kế toán / Kiểm toán</t>
        </is>
      </c>
      <c r="K4858" s="10" t="inlineStr">
        <is>
          <t>5 - 15 Năm</t>
        </is>
      </c>
      <c r="L4858" s="11">
        <f>HYPERLINK("https://careerviet.vn/vi/tim-viec-lam/ke-toan-truong-cong-ty-san-xuat-moi-thanh-lap.35C66E79.html","Xem chi tiết")</f>
        <v/>
      </c>
      <c r="M4858" s="10" t="n"/>
    </row>
    <row r="4859">
      <c r="B4859" s="7" t="n">
        <v>4857</v>
      </c>
      <c r="C4859" t="inlineStr">
        <is>
          <t>Regional Sale/ Executive Sales</t>
        </is>
      </c>
      <c r="D4859" t="inlineStr">
        <is>
          <t>CÔNG TY TNHH TASGO</t>
        </is>
      </c>
      <c r="E4859" t="inlineStr">
        <is>
          <t>Lương:Cạnh tranh</t>
        </is>
      </c>
      <c r="F4859" t="inlineStr">
        <is>
          <t>Hồ Chí Minh</t>
        </is>
      </c>
      <c r="G4859" t="inlineStr">
        <is>
          <t>29-03-2026</t>
        </is>
      </c>
      <c r="H4859" t="inlineStr">
        <is>
          <t>29/03/2026</t>
        </is>
      </c>
      <c r="I4859" t="inlineStr">
        <is>
          <t>17/03/2026</t>
        </is>
      </c>
      <c r="J4859" t="inlineStr">
        <is>
          <t>Bán hàng / Kinh doanh, Tư vấn, Dịch vụ khách hàng</t>
        </is>
      </c>
      <c r="K4859" t="inlineStr">
        <is>
          <t>N/A</t>
        </is>
      </c>
      <c r="L4859" s="8">
        <f>HYPERLINK("https://careerviet.vn/vi/tim-viec-lam/regional-sale-executive-sales.35C641ED.html","Xem chi tiết")</f>
        <v/>
      </c>
    </row>
    <row r="4860">
      <c r="B4860" s="9" t="n">
        <v>4858</v>
      </c>
      <c r="C4860" s="10" t="inlineStr">
        <is>
          <t>Nhân viên QA (May hoặc IC QA) - Số lượng: 02 nhân viên</t>
        </is>
      </c>
      <c r="D4860" s="10" t="inlineStr">
        <is>
          <t>Công ty TNHH Pac-Fung (Việt Nam)</t>
        </is>
      </c>
      <c r="E4860" s="10" t="inlineStr">
        <is>
          <t>Lương:Cạnh tranh</t>
        </is>
      </c>
      <c r="F4860" s="10" t="inlineStr">
        <is>
          <t>Đồng Nai</t>
        </is>
      </c>
      <c r="G4860" s="10" t="inlineStr">
        <is>
          <t>30-03-2026</t>
        </is>
      </c>
      <c r="H4860" s="10" t="inlineStr">
        <is>
          <t>30/03/2026</t>
        </is>
      </c>
      <c r="I4860" s="10" t="inlineStr">
        <is>
          <t>17/03/2026</t>
        </is>
      </c>
      <c r="J4860" s="10" t="inlineStr">
        <is>
          <t>Sản xuất / Vận hành sản xuất, Dệt may / Da giày / Thời trang, Quản lý chất lượng (QA/QC)</t>
        </is>
      </c>
      <c r="K4860" s="10" t="inlineStr">
        <is>
          <t>1 - 2 Năm</t>
        </is>
      </c>
      <c r="L4860" s="11">
        <f>HYPERLINK("https://careerviet.vn/vi/tim-viec-lam/nhan-vien-qa-may-hoac-ic-qa-so-luong-02-nhan-vien.35C66E15.html","Xem chi tiết")</f>
        <v/>
      </c>
      <c r="M4860" s="10" t="n"/>
    </row>
    <row r="4861">
      <c r="B4861" s="7" t="n">
        <v>4859</v>
      </c>
      <c r="C4861" t="inlineStr">
        <is>
          <t>Trưởng Nhóm Kỹ Thuật</t>
        </is>
      </c>
      <c r="D4861" t="inlineStr">
        <is>
          <t>CÔNG TY TNHH KỸ THUẬT ĐIỆN TỰ ĐỘNG HÓA HUKASU</t>
        </is>
      </c>
      <c r="E4861" t="inlineStr">
        <is>
          <t>Lương:Cạnh tranh</t>
        </is>
      </c>
      <c r="F4861" t="inlineStr">
        <is>
          <t>Bình Dương</t>
        </is>
      </c>
      <c r="G4861" t="inlineStr">
        <is>
          <t>30-03-2026</t>
        </is>
      </c>
      <c r="H4861" t="inlineStr">
        <is>
          <t>30/03/2026</t>
        </is>
      </c>
      <c r="I4861" t="inlineStr">
        <is>
          <t>17/03/2026</t>
        </is>
      </c>
      <c r="J4861" t="inlineStr">
        <is>
          <t>Quản lý điều hành, An toàn lao động, Bảo trì / Sửa chữa</t>
        </is>
      </c>
      <c r="K4861" t="inlineStr">
        <is>
          <t>1 - 2 Năm</t>
        </is>
      </c>
      <c r="L4861" s="8">
        <f>HYPERLINK("https://careerviet.vn/vi/tim-viec-lam/truong-nhom-ky-thuat.35C6420D.html","Xem chi tiết")</f>
        <v/>
      </c>
    </row>
    <row r="4862">
      <c r="B4862" s="9" t="n">
        <v>4860</v>
      </c>
      <c r="C4862" s="10" t="inlineStr">
        <is>
          <t>Nhân Viên Bán Hàng Hàng Nhãn Polo Ralph Lauren Hồ Chí Minh</t>
        </is>
      </c>
      <c r="D4862" s="10" t="inlineStr">
        <is>
          <t>CÔNG TY TNHH THỜI TRANG VÀ MỸ PHẨM ÂU CHÂU</t>
        </is>
      </c>
      <c r="E4862" s="10" t="inlineStr">
        <is>
          <t>Lương:8 Tr - 12 Tr VND</t>
        </is>
      </c>
      <c r="F4862" s="10" t="inlineStr">
        <is>
          <t>Hồ Chí Minh</t>
        </is>
      </c>
      <c r="G4862" s="10" t="inlineStr">
        <is>
          <t>30-03-2026</t>
        </is>
      </c>
      <c r="H4862" s="10" t="inlineStr">
        <is>
          <t>30/03/2026</t>
        </is>
      </c>
      <c r="I4862" s="10" t="inlineStr">
        <is>
          <t>17/03/2026</t>
        </is>
      </c>
      <c r="J4862" s="10" t="inlineStr">
        <is>
          <t>Bán lẻ / Bán sỉ, Bán hàng / Kinh doanh, Dệt may / Da giày / Thời trang</t>
        </is>
      </c>
      <c r="K4862" s="10" t="inlineStr">
        <is>
          <t>1 - 2 Năm</t>
        </is>
      </c>
      <c r="L4862" s="11">
        <f>HYPERLINK("https://careerviet.vn/vi/tim-viec-lam/nhan-vien-ban-hang-hang-nhan-polo-ralph-lauren-ho-chi-minh.35C64338.html","Xem chi tiết")</f>
        <v/>
      </c>
      <c r="M4862" s="10" t="n"/>
    </row>
    <row r="4863">
      <c r="B4863" s="7" t="n">
        <v>4861</v>
      </c>
      <c r="C4863" t="inlineStr">
        <is>
          <t>Trình dược viên OTC HCM, Bình Dương, Đồng Nai</t>
        </is>
      </c>
      <c r="D4863" t="inlineStr">
        <is>
          <t>CÔNG TY TNHH DƯỢC PHẨM ĐÔ THÀNH</t>
        </is>
      </c>
      <c r="E4863" t="inlineStr">
        <is>
          <t>Lương:6 Tr - 30 Tr VND</t>
        </is>
      </c>
      <c r="F4863" t="inlineStr">
        <is>
          <t>Hồ Chí MinhBình DươngĐồng Nai</t>
        </is>
      </c>
      <c r="G4863" t="inlineStr">
        <is>
          <t>30-03-2026</t>
        </is>
      </c>
      <c r="H4863" t="inlineStr">
        <is>
          <t>30/03/2026</t>
        </is>
      </c>
      <c r="I4863" t="inlineStr">
        <is>
          <t>17/03/2026</t>
        </is>
      </c>
      <c r="J4863" t="inlineStr">
        <is>
          <t>Bán hàng / Kinh doanh, Dược phẩm/ Hóa Mỹ Phẩm</t>
        </is>
      </c>
      <c r="K4863" t="inlineStr">
        <is>
          <t>Lên đến 1 Năm</t>
        </is>
      </c>
      <c r="L4863" s="8">
        <f>HYPERLINK("https://careerviet.vn/vi/tim-viec-lam/trinh-duoc-vien-otc-hcm-binh-duong-dong-nai.35C66E32.html","Xem chi tiết")</f>
        <v/>
      </c>
    </row>
    <row r="4864">
      <c r="B4864" s="9" t="n">
        <v>4862</v>
      </c>
      <c r="C4864" s="10" t="inlineStr">
        <is>
          <t>Chuyên viên kiểm toán</t>
        </is>
      </c>
      <c r="D4864" s="10" t="inlineStr">
        <is>
          <t>Tập đoàn Nhựa Bình Thuận</t>
        </is>
      </c>
      <c r="E4864" s="10" t="inlineStr">
        <is>
          <t>Lương:13 Tr - 18 Tr VND</t>
        </is>
      </c>
      <c r="F4864" s="10" t="inlineStr">
        <is>
          <t>Hà Nội</t>
        </is>
      </c>
      <c r="G4864" s="10" t="inlineStr">
        <is>
          <t>29-03-2026</t>
        </is>
      </c>
      <c r="H4864" s="10" t="inlineStr">
        <is>
          <t>29/03/2026</t>
        </is>
      </c>
      <c r="I4864" s="10" t="inlineStr">
        <is>
          <t>17/03/2026</t>
        </is>
      </c>
      <c r="J4864" s="10" t="inlineStr">
        <is>
          <t>Kế toán / Kiểm toán</t>
        </is>
      </c>
      <c r="K4864" s="10" t="inlineStr">
        <is>
          <t>Chưa có kinh nghiệm</t>
        </is>
      </c>
      <c r="L4864" s="11">
        <f>HYPERLINK("https://careerviet.vn/vi/tim-viec-lam/chuyen-vien-kiem-toan.35C640B2.html","Xem chi tiết")</f>
        <v/>
      </c>
      <c r="M4864" s="10" t="n"/>
    </row>
    <row r="4865">
      <c r="B4865" s="7" t="n">
        <v>4863</v>
      </c>
      <c r="C4865" t="inlineStr">
        <is>
          <t>Sales Manager OTC</t>
        </is>
      </c>
      <c r="D4865" t="inlineStr">
        <is>
          <t>Công Ty TNHH Thương Mại Dịch Vụ Xuất Nhập Khẩu The Vigo</t>
        </is>
      </c>
      <c r="E4865" t="inlineStr">
        <is>
          <t>Lương:Cạnh tranh</t>
        </is>
      </c>
      <c r="F4865" t="inlineStr">
        <is>
          <t>Hồ Chí MinhHà Nội</t>
        </is>
      </c>
      <c r="G4865" t="inlineStr">
        <is>
          <t>30-03-2026</t>
        </is>
      </c>
      <c r="H4865" t="inlineStr">
        <is>
          <t>30/03/2026</t>
        </is>
      </c>
      <c r="I4865" t="inlineStr">
        <is>
          <t>17/03/2026</t>
        </is>
      </c>
      <c r="J4865" t="inlineStr">
        <is>
          <t>Bán hàng / Kinh doanh, Dược phẩm/ Hóa Mỹ Phẩm, Y tế / Chăm sóc sức khỏe / Thẩm mỹ / Làm đẹp</t>
        </is>
      </c>
      <c r="K4865" t="inlineStr">
        <is>
          <t>2 - 3 Năm</t>
        </is>
      </c>
      <c r="L4865" s="8">
        <f>HYPERLINK("https://careerviet.vn/vi/tim-viec-lam/sales-manager-otc.35C66E6B.html","Xem chi tiết")</f>
        <v/>
      </c>
    </row>
    <row r="4866">
      <c r="B4866" s="9" t="n">
        <v>4864</v>
      </c>
      <c r="C4866" s="10" t="inlineStr">
        <is>
          <t>Kỹ Sư Kết Cấu</t>
        </is>
      </c>
      <c r="D4866" s="10" t="inlineStr">
        <is>
          <t>Công ty Cổ Phần Xây Dựng Thương Mại Dịch Vụ Nhất Tín</t>
        </is>
      </c>
      <c r="E4866" s="10" t="inlineStr">
        <is>
          <t>Lương:Lên đến 18 Tr VND</t>
        </is>
      </c>
      <c r="F4866" s="10" t="inlineStr">
        <is>
          <t>Bình ĐịnhHồ Chí Minh</t>
        </is>
      </c>
      <c r="G4866" s="10" t="inlineStr">
        <is>
          <t>30-03-2026</t>
        </is>
      </c>
      <c r="H4866" s="10" t="inlineStr">
        <is>
          <t>30/03/2026</t>
        </is>
      </c>
      <c r="I4866" s="10" t="inlineStr">
        <is>
          <t>17/03/2026</t>
        </is>
      </c>
      <c r="J4866" s="10" t="inlineStr">
        <is>
          <t>Mỹ thuật / Nghệ thuật / Thiết kế, Xây dựng</t>
        </is>
      </c>
      <c r="K4866" s="10" t="inlineStr">
        <is>
          <t>2 - 3 Năm</t>
        </is>
      </c>
      <c r="L4866" s="11">
        <f>HYPERLINK("https://careerviet.vn/vi/tim-viec-lam/ky-su-ket-cau.35C64269.html","Xem chi tiết")</f>
        <v/>
      </c>
      <c r="M4866" s="10" t="n"/>
    </row>
    <row r="4867">
      <c r="B4867" s="7" t="n">
        <v>4865</v>
      </c>
      <c r="C4867" t="inlineStr">
        <is>
          <t>Kỹ Thuật Viên Khúc Xạ (Optician) Mắt kính Owndays - Nha Trang (Khánh Hòa)</t>
        </is>
      </c>
      <c r="D4867" t="inlineStr">
        <is>
          <t>CÔNG TY TNHH THỜI TRANG VÀ MỸ PHẨM ÂU CHÂU</t>
        </is>
      </c>
      <c r="E4867" t="inlineStr">
        <is>
          <t>Lương:14 Tr - 17 Tr VND</t>
        </is>
      </c>
      <c r="F4867" t="inlineStr">
        <is>
          <t>Khánh Hòa</t>
        </is>
      </c>
      <c r="G4867" t="inlineStr">
        <is>
          <t>30-03-2026</t>
        </is>
      </c>
      <c r="H4867" t="inlineStr">
        <is>
          <t>30/03/2026</t>
        </is>
      </c>
      <c r="I4867" t="inlineStr">
        <is>
          <t>17/03/2026</t>
        </is>
      </c>
      <c r="J4867" t="inlineStr">
        <is>
          <t>Dệt may / Da giày / Thời trang, Bán Hàng Kỹ Thuật, Bán lẻ / Bán sỉ</t>
        </is>
      </c>
      <c r="K4867" t="inlineStr">
        <is>
          <t>1 - 2 Năm</t>
        </is>
      </c>
      <c r="L4867" s="8">
        <f>HYPERLINK("https://careerviet.vn/vi/tim-viec-lam/ky-thuat-vien-khuc-xa-optician-mat-kinh-owndays-nha-trang-khanh-hoa.35C6441E.html","Xem chi tiết")</f>
        <v/>
      </c>
    </row>
    <row r="4868">
      <c r="B4868" s="9" t="n">
        <v>4866</v>
      </c>
      <c r="C4868" s="10" t="inlineStr">
        <is>
          <t>Kỹ sư thiết kế kết cấu (Bê tông cốt thép)</t>
        </is>
      </c>
      <c r="D4868" s="10" t="inlineStr">
        <is>
          <t>CÔNG TY CP TẬP ĐOÀN VAS NGHI SƠN</t>
        </is>
      </c>
      <c r="E4868" s="10" t="inlineStr">
        <is>
          <t>Lương:Cạnh tranh</t>
        </is>
      </c>
      <c r="F4868" s="10" t="inlineStr">
        <is>
          <t>Hồ Chí MinhThanh HóaHải Phòng</t>
        </is>
      </c>
      <c r="G4868" s="10" t="inlineStr">
        <is>
          <t>30-03-2026</t>
        </is>
      </c>
      <c r="H4868" s="10" t="inlineStr">
        <is>
          <t>30/03/2026</t>
        </is>
      </c>
      <c r="I4868" s="10" t="inlineStr">
        <is>
          <t>17/03/2026</t>
        </is>
      </c>
      <c r="J4868" s="10" t="inlineStr">
        <is>
          <t>Kiến trúc, Xây dựng, Bất động sản</t>
        </is>
      </c>
      <c r="K4868" s="10" t="inlineStr">
        <is>
          <t>1 - 5 Năm</t>
        </is>
      </c>
      <c r="L4868" s="11">
        <f>HYPERLINK("https://careerviet.vn/vi/tim-viec-lam/ky-su-thiet-ke-ket-cau-be-tong-cot-thep.35C66E4F.html","Xem chi tiết")</f>
        <v/>
      </c>
      <c r="M4868" s="10" t="n"/>
    </row>
    <row r="4869">
      <c r="B4869" s="7" t="n">
        <v>4867</v>
      </c>
      <c r="C4869" t="inlineStr">
        <is>
          <t>Nhân Viên Thiết Kế Kết Cấu Thép</t>
        </is>
      </c>
      <c r="D4869" t="inlineStr">
        <is>
          <t>Công Ty Cổ Phần Thép Công Nghiệp GB</t>
        </is>
      </c>
      <c r="E4869" t="inlineStr">
        <is>
          <t>Lương:Cạnh tranh</t>
        </is>
      </c>
      <c r="F4869" t="inlineStr">
        <is>
          <t>Hồ Chí Minh</t>
        </is>
      </c>
      <c r="G4869" t="inlineStr">
        <is>
          <t>30-03-2026</t>
        </is>
      </c>
      <c r="H4869" t="inlineStr">
        <is>
          <t>30/03/2026</t>
        </is>
      </c>
      <c r="I4869" t="inlineStr">
        <is>
          <t>17/03/2026</t>
        </is>
      </c>
      <c r="J4869" t="inlineStr">
        <is>
          <t>Xây dựng, Kiến trúc, Mỹ thuật / Nghệ thuật / Thiết kế</t>
        </is>
      </c>
      <c r="K4869" t="inlineStr">
        <is>
          <t>Trên 1 Năm</t>
        </is>
      </c>
      <c r="L4869" s="8">
        <f>HYPERLINK("https://careerviet.vn/vi/tim-viec-lam/nhan-vien-thiet-ke-ket-cau-thep.35C66F9F.html","Xem chi tiết")</f>
        <v/>
      </c>
    </row>
    <row r="4870">
      <c r="B4870" s="9" t="n">
        <v>4868</v>
      </c>
      <c r="C4870" s="10" t="inlineStr">
        <is>
          <t>Chuyên Viên Thẩm Định - [Bac A Bank - Chi Nhánh Yên Bái/ Ninh Bình/ Hải Phòng]</t>
        </is>
      </c>
      <c r="D4870" s="10" t="inlineStr">
        <is>
          <t>Ngân Hàng Thương mại cổ phần Bắc Á- BAC A BANK</t>
        </is>
      </c>
      <c r="E4870" s="10" t="inlineStr">
        <is>
          <t>Lương:Cạnh tranh</t>
        </is>
      </c>
      <c r="F4870" s="10" t="inlineStr">
        <is>
          <t>Yên BáiNinh BìnhHải Phòng</t>
        </is>
      </c>
      <c r="G4870" s="10" t="inlineStr">
        <is>
          <t>30-03-2026</t>
        </is>
      </c>
      <c r="H4870" s="10" t="inlineStr">
        <is>
          <t>30/03/2026</t>
        </is>
      </c>
      <c r="I4870" s="10" t="inlineStr">
        <is>
          <t>17/03/2026</t>
        </is>
      </c>
      <c r="J4870" s="10" t="inlineStr">
        <is>
          <t>Ngân hàng, Tài chính / Đầu tư</t>
        </is>
      </c>
      <c r="K4870" s="10" t="inlineStr">
        <is>
          <t>2 - 3 Năm</t>
        </is>
      </c>
      <c r="L4870" s="11">
        <f>HYPERLINK("https://careerviet.vn/vi/tim-viec-lam/chuyen-vien-tham-dinh-bac-a-bank-chi-nhanh-yen-bai-ninh-binh-hai-phong.35C66E40.html","Xem chi tiết")</f>
        <v/>
      </c>
      <c r="M4870" s="10" t="n"/>
    </row>
    <row r="4871">
      <c r="B4871" s="7" t="n">
        <v>4869</v>
      </c>
      <c r="C4871" t="inlineStr">
        <is>
          <t>Nhân viên bán hàng</t>
        </is>
      </c>
      <c r="D4871" t="inlineStr">
        <is>
          <t>CÔNG TY TNHH XIAOMI VIỆT NAM</t>
        </is>
      </c>
      <c r="E4871" t="inlineStr">
        <is>
          <t>Lương:12 Tr - 17 Tr VND</t>
        </is>
      </c>
      <c r="F4871" t="inlineStr">
        <is>
          <t>Hà NộiHải Phòng</t>
        </is>
      </c>
      <c r="G4871" t="inlineStr">
        <is>
          <t>30-03-2026</t>
        </is>
      </c>
      <c r="H4871" t="inlineStr">
        <is>
          <t>30/03/2026</t>
        </is>
      </c>
      <c r="I4871" t="inlineStr">
        <is>
          <t>17/03/2026</t>
        </is>
      </c>
      <c r="J4871" t="inlineStr">
        <is>
          <t>Bán lẻ / Bán sỉ, Bán hàng / Kinh doanh</t>
        </is>
      </c>
      <c r="K4871" t="inlineStr">
        <is>
          <t>1 - 10 Năm</t>
        </is>
      </c>
      <c r="L4871" s="8">
        <f>HYPERLINK("https://careerviet.vn/vi/tim-viec-lam/nhan-vien-ban-hang.35C66F86.html","Xem chi tiết")</f>
        <v/>
      </c>
    </row>
    <row r="4872">
      <c r="B4872" s="9" t="n">
        <v>4870</v>
      </c>
      <c r="C4872" s="10" t="inlineStr">
        <is>
          <t>GLOBAL SALES SPECIALIST</t>
        </is>
      </c>
      <c r="D4872" s="10" t="inlineStr">
        <is>
          <t>Công Ty TNHH XNK Đại Dương Xanh</t>
        </is>
      </c>
      <c r="E4872" s="10" t="inlineStr">
        <is>
          <t>Lương:Cạnh tranh</t>
        </is>
      </c>
      <c r="F4872" s="10" t="inlineStr">
        <is>
          <t>Hồ Chí Minh</t>
        </is>
      </c>
      <c r="G4872" s="10" t="inlineStr">
        <is>
          <t>30-03-2026</t>
        </is>
      </c>
      <c r="H4872" s="10" t="inlineStr">
        <is>
          <t>30/03/2026</t>
        </is>
      </c>
      <c r="I4872" s="10" t="inlineStr">
        <is>
          <t>17/03/2026</t>
        </is>
      </c>
      <c r="J4872" s="10" t="inlineStr">
        <is>
          <t>Bán hàng / Kinh doanh, Thực phẩm &amp; Đồ uống, Xuất nhập khẩu</t>
        </is>
      </c>
      <c r="K4872" s="10" t="inlineStr">
        <is>
          <t>5 - 10 Năm</t>
        </is>
      </c>
      <c r="L4872" s="11">
        <f>HYPERLINK("https://careerviet.vn/vi/tim-viec-lam/global-sales-specialist.35C66DBB.html","Xem chi tiết")</f>
        <v/>
      </c>
      <c r="M4872" s="10" t="n"/>
    </row>
    <row r="4873">
      <c r="B4873" s="7" t="n">
        <v>4871</v>
      </c>
      <c r="C4873" t="inlineStr">
        <is>
          <t>Kiểm Soát Viên - [BAC A BANK - Chi Nhánh Phú Thọ(PGD Hùng Vương)]</t>
        </is>
      </c>
      <c r="D4873" t="inlineStr">
        <is>
          <t>Ngân Hàng Thương mại cổ phần Bắc Á- BAC A BANK</t>
        </is>
      </c>
      <c r="E4873" t="inlineStr">
        <is>
          <t>Lương:Cạnh tranh</t>
        </is>
      </c>
      <c r="F4873" t="inlineStr">
        <is>
          <t>Phú Thọ</t>
        </is>
      </c>
      <c r="G4873" t="inlineStr">
        <is>
          <t>30-03-2026</t>
        </is>
      </c>
      <c r="H4873" t="inlineStr">
        <is>
          <t>30/03/2026</t>
        </is>
      </c>
      <c r="I4873" t="inlineStr">
        <is>
          <t>17/03/2026</t>
        </is>
      </c>
      <c r="J4873" t="inlineStr">
        <is>
          <t>Dịch vụ khách hàng, Ngân hàng</t>
        </is>
      </c>
      <c r="K4873" t="inlineStr">
        <is>
          <t>2 - 5 Năm</t>
        </is>
      </c>
      <c r="L4873" s="8">
        <f>HYPERLINK("https://careerviet.vn/vi/tim-viec-lam/kiem-soat-vien-bac-a-bank-chi-nhanh-phu-tho-pgd-hung-vuong.35C66E43.html","Xem chi tiết")</f>
        <v/>
      </c>
    </row>
    <row r="4874">
      <c r="B4874" s="9" t="n">
        <v>4872</v>
      </c>
      <c r="C4874" s="10" t="inlineStr">
        <is>
          <t>Chuyên Viên Tư Vấn Bảo Hiểm Kênh Liên Kết Ngân Hàng Vietinbank Hà Tĩnh, Thanh Hóa, Thái Nguyên</t>
        </is>
      </c>
      <c r="D4874" s="10" t="inlineStr">
        <is>
          <t>Manulife (Vietnam) Limited</t>
        </is>
      </c>
      <c r="E4874" s="10" t="inlineStr">
        <is>
          <t>Lương:6 Tr - 12 Tr VND</t>
        </is>
      </c>
      <c r="F4874" s="10" t="inlineStr">
        <is>
          <t>Thanh HóaThái NguyênHà Tĩnh</t>
        </is>
      </c>
      <c r="G4874" s="10" t="inlineStr">
        <is>
          <t>30-03-2026</t>
        </is>
      </c>
      <c r="H4874" s="10" t="inlineStr">
        <is>
          <t>30/03/2026</t>
        </is>
      </c>
      <c r="I4874" s="10" t="inlineStr">
        <is>
          <t>17/03/2026</t>
        </is>
      </c>
      <c r="J4874" s="10" t="inlineStr">
        <is>
          <t>Ngân hàng, Bảo hiểm, Tài chính / Đầu tư</t>
        </is>
      </c>
      <c r="K4874" s="10" t="inlineStr">
        <is>
          <t>1 - 2 Năm</t>
        </is>
      </c>
      <c r="L4874" s="11">
        <f>HYPERLINK("https://careerviet.vn/vi/tim-viec-lam/chuyen-vien-tu-van-bao-hiem-kenh-lien-ket-ngan-hang-vietinbank-ha-tinh-thanh-hoa-thai-nguyen.35C64439.html","Xem chi tiết")</f>
        <v/>
      </c>
      <c r="M4874" s="10" t="n"/>
    </row>
    <row r="4875">
      <c r="B4875" s="7" t="n">
        <v>4873</v>
      </c>
      <c r="C4875" t="inlineStr">
        <is>
          <t>Trưởng Bộ Phận Bảo Trì (Cơ Điện)</t>
        </is>
      </c>
      <c r="D4875" t="inlineStr">
        <is>
          <t>CÔNG TY CỔ PHẦN GIẶT ỦI XANH</t>
        </is>
      </c>
      <c r="E4875" t="inlineStr">
        <is>
          <t>Lương:Cạnh tranh</t>
        </is>
      </c>
      <c r="F4875" t="inlineStr">
        <is>
          <t>Hồ Chí Minh</t>
        </is>
      </c>
      <c r="G4875" t="inlineStr">
        <is>
          <t>30-03-2026</t>
        </is>
      </c>
      <c r="H4875" t="inlineStr">
        <is>
          <t>30/03/2026</t>
        </is>
      </c>
      <c r="I4875" t="inlineStr">
        <is>
          <t>17/03/2026</t>
        </is>
      </c>
      <c r="J4875" t="inlineStr">
        <is>
          <t>Y tế / Chăm sóc sức khỏe / Thẩm mỹ / Làm đẹp, Điện / Điện tử / Điện lạnh / Điện công nghiệp, Bảo trì / Sửa chữa</t>
        </is>
      </c>
      <c r="K4875" t="inlineStr">
        <is>
          <t>5 - 7 Năm</t>
        </is>
      </c>
      <c r="L4875" s="8">
        <f>HYPERLINK("https://careerviet.vn/vi/tim-viec-lam/truong-bo-phan-ba-o-tri-co-dien.35C6440D.html","Xem chi tiết")</f>
        <v/>
      </c>
    </row>
    <row r="4876">
      <c r="B4876" s="9" t="n">
        <v>4874</v>
      </c>
      <c r="C4876" s="10" t="inlineStr">
        <is>
          <t>Import-Export Specialist</t>
        </is>
      </c>
      <c r="D4876" s="10" t="inlineStr">
        <is>
          <t>Bảo mật</t>
        </is>
      </c>
      <c r="E4876" s="10" t="inlineStr">
        <is>
          <t>Lương:Cạnh tranh</t>
        </is>
      </c>
      <c r="F4876" s="10" t="inlineStr">
        <is>
          <t>Đồng Nai</t>
        </is>
      </c>
      <c r="G4876" s="10" t="inlineStr">
        <is>
          <t>30-03-2026</t>
        </is>
      </c>
      <c r="H4876" s="10" t="inlineStr">
        <is>
          <t>30/03/2026</t>
        </is>
      </c>
      <c r="I4876" s="10" t="inlineStr">
        <is>
          <t>17/03/2026</t>
        </is>
      </c>
      <c r="J4876" s="10" t="inlineStr">
        <is>
          <t>Xuất nhập khẩu</t>
        </is>
      </c>
      <c r="K4876" s="10" t="inlineStr">
        <is>
          <t>2 - 3 Năm</t>
        </is>
      </c>
      <c r="L4876" s="11">
        <f>HYPERLINK("https://careerviet.vn/vi/tim-viec-lam/import-export-specialist.35C66F55.html","Xem chi tiết")</f>
        <v/>
      </c>
      <c r="M4876" s="10" t="n"/>
    </row>
    <row r="4877">
      <c r="B4877" s="7" t="n">
        <v>4875</v>
      </c>
      <c r="C4877" t="inlineStr">
        <is>
          <t>127349 - Sales Executive - Life and Healthcare</t>
        </is>
      </c>
      <c r="D4877" t="inlineStr">
        <is>
          <t>RGF HR Agent Vietnam Co., LTD</t>
        </is>
      </c>
      <c r="E4877" t="inlineStr">
        <is>
          <t>Lương:Cạnh tranh</t>
        </is>
      </c>
      <c r="F4877" t="inlineStr">
        <is>
          <t>Hồ Chí Minh</t>
        </is>
      </c>
      <c r="G4877" t="inlineStr">
        <is>
          <t>30-03-2026</t>
        </is>
      </c>
      <c r="H4877" t="inlineStr">
        <is>
          <t>30/03/2026</t>
        </is>
      </c>
      <c r="I4877" t="inlineStr">
        <is>
          <t>17/03/2026</t>
        </is>
      </c>
      <c r="J4877" t="inlineStr">
        <is>
          <t>Bán hàng / Kinh doanh</t>
        </is>
      </c>
      <c r="K4877" t="inlineStr">
        <is>
          <t>2 - 5 Năm</t>
        </is>
      </c>
      <c r="L4877" s="8">
        <f>HYPERLINK("https://careerviet.vn/vi/tim-viec-lam/127349-sales-executive-life-and-healthcare.35C66EBC.html","Xem chi tiết")</f>
        <v/>
      </c>
    </row>
    <row r="4878">
      <c r="B4878" s="9" t="n">
        <v>4876</v>
      </c>
      <c r="C4878" s="10" t="inlineStr">
        <is>
          <t>Sea Freight Supervisor</t>
        </is>
      </c>
      <c r="D4878" s="10" t="inlineStr">
        <is>
          <t>Indo Trans Logistics</t>
        </is>
      </c>
      <c r="E4878" s="10" t="inlineStr">
        <is>
          <t>Lương:Cạnh tranh</t>
        </is>
      </c>
      <c r="F4878" s="10" t="inlineStr">
        <is>
          <t>Hồ Chí Minh</t>
        </is>
      </c>
      <c r="G4878" s="10" t="inlineStr">
        <is>
          <t>30-03-2026</t>
        </is>
      </c>
      <c r="H4878" s="10" t="inlineStr">
        <is>
          <t>30/03/2026</t>
        </is>
      </c>
      <c r="I4878" s="10" t="inlineStr">
        <is>
          <t>17/03/2026</t>
        </is>
      </c>
      <c r="J4878" s="10" t="inlineStr">
        <is>
          <t>Vận chuyển / Giao nhận / Kho vận</t>
        </is>
      </c>
      <c r="K4878" s="10" t="inlineStr">
        <is>
          <t>5 - 8 Năm</t>
        </is>
      </c>
      <c r="L4878" s="11">
        <f>HYPERLINK("https://careerviet.vn/vi/tim-viec-lam/sea-freight-supervisor.35C66EF5.html","Xem chi tiết")</f>
        <v/>
      </c>
      <c r="M4878" s="10" t="n"/>
    </row>
    <row r="4879">
      <c r="B4879" s="7" t="n">
        <v>4877</v>
      </c>
      <c r="C4879" t="inlineStr">
        <is>
          <t>Product Marketing Specialist (Củ Chi - Free Shuttle Bus)</t>
        </is>
      </c>
      <c r="D4879" t="inlineStr">
        <is>
          <t>Techtronic Industries Vietnam Manufacturing Company Limited</t>
        </is>
      </c>
      <c r="E4879" t="inlineStr">
        <is>
          <t>Lương:Cạnh tranh</t>
        </is>
      </c>
      <c r="F4879" t="inlineStr">
        <is>
          <t>Hồ Chí Minh</t>
        </is>
      </c>
      <c r="G4879" t="inlineStr">
        <is>
          <t>30-03-2026</t>
        </is>
      </c>
      <c r="H4879" t="inlineStr">
        <is>
          <t>30/03/2026</t>
        </is>
      </c>
      <c r="I4879" t="inlineStr">
        <is>
          <t>17/03/2026</t>
        </is>
      </c>
      <c r="J4879" t="inlineStr">
        <is>
          <t>Bán hàng / Kinh doanh, Tiếp thị / Marketing, Xuất nhập khẩu</t>
        </is>
      </c>
      <c r="K4879" t="inlineStr">
        <is>
          <t>Lên đến 3 NămĐịa điểm</t>
        </is>
      </c>
      <c r="L4879" s="8">
        <f>HYPERLINK("https://careerviet.vn/vi/tim-viec-lam/product-marketing-specialist-cu-chi-free-shuttle-bus.35C66ED4.html","Xem chi tiết")</f>
        <v/>
      </c>
    </row>
    <row r="4880">
      <c r="B4880" s="9" t="n">
        <v>4878</v>
      </c>
      <c r="C4880" s="10" t="inlineStr">
        <is>
          <t>HR Executive – Timekeeping &amp; Payroll</t>
        </is>
      </c>
      <c r="D4880" s="10" t="inlineStr">
        <is>
          <t>Công Ty TNHH Công Nghiệp Kolon Bình Dương</t>
        </is>
      </c>
      <c r="E4880" s="10" t="inlineStr">
        <is>
          <t>Lương:Cạnh tranh</t>
        </is>
      </c>
      <c r="F4880" s="10" t="inlineStr">
        <is>
          <t>Bình Dương</t>
        </is>
      </c>
      <c r="G4880" s="10" t="inlineStr">
        <is>
          <t>30-03-2026</t>
        </is>
      </c>
      <c r="H4880" s="10" t="inlineStr">
        <is>
          <t>30/03/2026</t>
        </is>
      </c>
      <c r="I4880" s="10" t="inlineStr">
        <is>
          <t>17/03/2026</t>
        </is>
      </c>
      <c r="J4880" s="10" t="inlineStr">
        <is>
          <t>Luật / Pháp lý, Hành chính / Thư ký, Nhân sự</t>
        </is>
      </c>
      <c r="K4880" s="10" t="inlineStr">
        <is>
          <t>1 - 3 Năm</t>
        </is>
      </c>
      <c r="L4880" s="11">
        <f>HYPERLINK("https://careerviet.vn/vi/tim-viec-lam/hr-executive-timekeeping-payroll.35C66E07.html","Xem chi tiết")</f>
        <v/>
      </c>
      <c r="M4880" s="10" t="n"/>
    </row>
    <row r="4881">
      <c r="B4881" s="7" t="n">
        <v>4879</v>
      </c>
      <c r="C4881" t="inlineStr">
        <is>
          <t>Kế toán tổng hợp</t>
        </is>
      </c>
      <c r="D4881" t="inlineStr">
        <is>
          <t>Công ty Cổ phần ĐẠI ĐỒNG TIẾN</t>
        </is>
      </c>
      <c r="E4881" t="inlineStr">
        <is>
          <t>Lương:18 Tr - 25 Tr VND</t>
        </is>
      </c>
      <c r="F4881" t="inlineStr">
        <is>
          <t>Hồ Chí Minh</t>
        </is>
      </c>
      <c r="G4881" t="inlineStr">
        <is>
          <t>30-03-2026</t>
        </is>
      </c>
      <c r="H4881" t="inlineStr">
        <is>
          <t>30/03/2026</t>
        </is>
      </c>
      <c r="I4881" t="inlineStr">
        <is>
          <t>17/03/2026</t>
        </is>
      </c>
      <c r="J4881" t="inlineStr">
        <is>
          <t>Kế toán / Kiểm toán, Tài chính / Đầu tư, Sản xuất / Vận hành sản xuất</t>
        </is>
      </c>
      <c r="K4881" t="inlineStr">
        <is>
          <t>3 - 5 Năm</t>
        </is>
      </c>
      <c r="L4881" s="8">
        <f>HYPERLINK("https://careerviet.vn/vi/tim-viec-lam/ke-toan-tong-hop.35C66F75.html","Xem chi tiết")</f>
        <v/>
      </c>
    </row>
    <row r="4882">
      <c r="B4882" s="9" t="n">
        <v>4880</v>
      </c>
      <c r="C4882" s="10" t="inlineStr">
        <is>
          <t>Nhân viên hành chính</t>
        </is>
      </c>
      <c r="D4882" s="10" t="inlineStr">
        <is>
          <t>Cathay Life Insurance (Vietnam) Co., Ltd</t>
        </is>
      </c>
      <c r="E4882" s="10" t="inlineStr">
        <is>
          <t>Lương:10 Tr - 20 Tr VND</t>
        </is>
      </c>
      <c r="F4882" s="10" t="inlineStr">
        <is>
          <t>Hồ Chí Minh</t>
        </is>
      </c>
      <c r="G4882" s="10" t="inlineStr">
        <is>
          <t>27-03-2026</t>
        </is>
      </c>
      <c r="H4882" s="10" t="inlineStr">
        <is>
          <t>27/03/2026</t>
        </is>
      </c>
      <c r="I4882" s="10" t="inlineStr">
        <is>
          <t>17/03/2026</t>
        </is>
      </c>
      <c r="J4882" s="10" t="inlineStr">
        <is>
          <t>Hành chính / Thư ký</t>
        </is>
      </c>
      <c r="K4882" s="10" t="inlineStr">
        <is>
          <t>2 - 5 Năm</t>
        </is>
      </c>
      <c r="L4882" s="11">
        <f>HYPERLINK("https://careerviet.vn/vi/tim-viec-lam/nhan-vien-hanh-chinh.35C68C17.html","Xem chi tiết")</f>
        <v/>
      </c>
      <c r="M4882" s="10" t="n"/>
    </row>
    <row r="4883">
      <c r="B4883" s="7" t="n">
        <v>4881</v>
      </c>
      <c r="C4883" t="inlineStr">
        <is>
          <t>Chuyên viên Kinh doanh Quốc tế (Tiếng Nhật)</t>
        </is>
      </c>
      <c r="D4883" t="inlineStr">
        <is>
          <t>Tập đoàn Stavian (Stavian Group)</t>
        </is>
      </c>
      <c r="E4883" t="inlineStr">
        <is>
          <t>Lương:Cạnh tranh</t>
        </is>
      </c>
      <c r="F4883" t="inlineStr">
        <is>
          <t>Hà Nội</t>
        </is>
      </c>
      <c r="G4883" t="inlineStr">
        <is>
          <t>30-03-2026</t>
        </is>
      </c>
      <c r="H4883" t="inlineStr">
        <is>
          <t>30/03/2026</t>
        </is>
      </c>
      <c r="I4883" t="inlineStr">
        <is>
          <t>17/03/2026</t>
        </is>
      </c>
      <c r="J4883" t="inlineStr">
        <is>
          <t>Bán hàng / Kinh doanh</t>
        </is>
      </c>
      <c r="K4883" t="inlineStr">
        <is>
          <t>Trên 2 Năm</t>
        </is>
      </c>
      <c r="L4883" s="8">
        <f>HYPERLINK("https://careerviet.vn/vi/tim-viec-lam/chuyen-vien-kinh-doanh-quoc-te-tieng-nhat.35C66E41.html","Xem chi tiết")</f>
        <v/>
      </c>
    </row>
    <row r="4884">
      <c r="B4884" s="9" t="n">
        <v>4882</v>
      </c>
      <c r="C4884" s="10" t="inlineStr">
        <is>
          <t>Warehouse &amp; Logistic Manager</t>
        </is>
      </c>
      <c r="D4884" s="10" t="inlineStr">
        <is>
          <t>CÔNG TY TNHH HIRA MANUFACTURING</t>
        </is>
      </c>
      <c r="E4884" s="10" t="inlineStr">
        <is>
          <t>Lương:Cạnh tranh</t>
        </is>
      </c>
      <c r="F4884" s="10" t="inlineStr">
        <is>
          <t>Đồng Nai</t>
        </is>
      </c>
      <c r="G4884" s="10" t="inlineStr">
        <is>
          <t>25-03-2026</t>
        </is>
      </c>
      <c r="H4884" s="10" t="inlineStr">
        <is>
          <t>25/03/2026</t>
        </is>
      </c>
      <c r="I4884" s="10" t="inlineStr">
        <is>
          <t>17/03/2026</t>
        </is>
      </c>
      <c r="J4884" s="10" t="inlineStr">
        <is>
          <t>Sản xuất / Vận hành sản xuất, Vận chuyển / Giao nhận / Kho vận, Quản lý điều hành</t>
        </is>
      </c>
      <c r="K4884" s="10" t="inlineStr">
        <is>
          <t>3 - 5 Năm</t>
        </is>
      </c>
      <c r="L4884" s="11">
        <f>HYPERLINK("https://careerviet.vn/vi/tim-viec-lam/warehouse-logistic-manager.35C6A1B2.html","Xem chi tiết")</f>
        <v/>
      </c>
      <c r="M4884" s="10" t="n"/>
    </row>
    <row r="4885">
      <c r="B4885" s="7" t="n">
        <v>4883</v>
      </c>
      <c r="C4885" t="inlineStr">
        <is>
          <t>NHÂN VIÊN PHÁT TRIỂN BỀN VỮNG/ FARM STAFF</t>
        </is>
      </c>
      <c r="D4885" t="inlineStr">
        <is>
          <t>Công ty TNHH Olam Việt Nam - CN Gia Lai</t>
        </is>
      </c>
      <c r="E4885" t="inlineStr">
        <is>
          <t>Lương:8,5 Tr - 12 Tr VND</t>
        </is>
      </c>
      <c r="F4885" t="inlineStr">
        <is>
          <t>Gia Lai</t>
        </is>
      </c>
      <c r="G4885" t="inlineStr">
        <is>
          <t>30-03-2026</t>
        </is>
      </c>
      <c r="H4885" t="inlineStr">
        <is>
          <t>30/03/2026</t>
        </is>
      </c>
      <c r="I4885" t="inlineStr">
        <is>
          <t>17/03/2026</t>
        </is>
      </c>
      <c r="J4885" t="inlineStr">
        <is>
          <t>Nông nghiệp</t>
        </is>
      </c>
      <c r="K4885" t="inlineStr">
        <is>
          <t>Không yêu cầu kinh nghiệm</t>
        </is>
      </c>
      <c r="L4885" s="8">
        <f>HYPERLINK("https://careerviet.vn/vi/tim-viec-lam/nhan-vien-phat-trien-ben-vung-farm-staff.35C66F25.html","Xem chi tiết")</f>
        <v/>
      </c>
    </row>
    <row r="4886">
      <c r="B4886" s="9" t="n">
        <v>4884</v>
      </c>
      <c r="C4886" s="10" t="inlineStr">
        <is>
          <t>Nhân Viên Văn Phòng</t>
        </is>
      </c>
      <c r="D4886" s="10" t="inlineStr">
        <is>
          <t>Công Ty TNHH Kim Nghĩa</t>
        </is>
      </c>
      <c r="E4886" s="10" t="inlineStr">
        <is>
          <t>Lương:8 Tr - 15 Tr VND</t>
        </is>
      </c>
      <c r="F4886" s="10" t="inlineStr">
        <is>
          <t>Long An</t>
        </is>
      </c>
      <c r="G4886" s="10" t="inlineStr">
        <is>
          <t>28-03-2026</t>
        </is>
      </c>
      <c r="H4886" s="10" t="inlineStr">
        <is>
          <t>28/03/2026</t>
        </is>
      </c>
      <c r="I4886" s="10" t="inlineStr">
        <is>
          <t>17/03/2026</t>
        </is>
      </c>
      <c r="J4886" s="10" t="inlineStr">
        <is>
          <t>Hành chính / Thư ký, Sản xuất / Vận hành sản xuất, Quản lý chất lượng (QA/QC)</t>
        </is>
      </c>
      <c r="K4886" s="10" t="inlineStr">
        <is>
          <t>1 - 5 Năm</t>
        </is>
      </c>
      <c r="L4886" s="11">
        <f>HYPERLINK("https://careerviet.vn/vi/tim-viec-lam/nhan-vien-van-phong.35C6A142.html","Xem chi tiết")</f>
        <v/>
      </c>
      <c r="M4886" s="10" t="n"/>
    </row>
    <row r="4887">
      <c r="B4887" s="7" t="n">
        <v>4885</v>
      </c>
      <c r="C4887" t="inlineStr">
        <is>
          <t>Nhân viên Thiết kế/ Designer</t>
        </is>
      </c>
      <c r="D4887" t="inlineStr">
        <is>
          <t>CÔNG TY TNHH ĐẦU TƯ DỊCH VỤ HUMVENTURES</t>
        </is>
      </c>
      <c r="E4887" t="inlineStr">
        <is>
          <t>Lương:Cạnh tranh</t>
        </is>
      </c>
      <c r="F4887" t="inlineStr">
        <is>
          <t>Hồ Chí Minh</t>
        </is>
      </c>
      <c r="G4887" t="inlineStr">
        <is>
          <t>31-03-2026</t>
        </is>
      </c>
      <c r="H4887" t="inlineStr">
        <is>
          <t>31/03/2026</t>
        </is>
      </c>
      <c r="I4887" t="inlineStr">
        <is>
          <t>17/03/2026</t>
        </is>
      </c>
      <c r="J4887" t="inlineStr">
        <is>
          <t>Mỹ thuật / Nghệ thuật / Thiết kế</t>
        </is>
      </c>
      <c r="K4887" t="inlineStr">
        <is>
          <t>2 - 5 Năm</t>
        </is>
      </c>
      <c r="L4887" s="8">
        <f>HYPERLINK("https://careerviet.vn/vi/tim-viec-lam/nhan-vien-thiet-ke-designer.35C6A1F9.html","Xem chi tiết")</f>
        <v/>
      </c>
    </row>
    <row r="4888">
      <c r="B4888" s="9" t="n">
        <v>4886</v>
      </c>
      <c r="C4888" s="10" t="inlineStr">
        <is>
          <t>ACCOUNTING MANAGER/CHIEF ACCOUNTANT</t>
        </is>
      </c>
      <c r="D4888" s="10" t="inlineStr">
        <is>
          <t>CÔNG TY TNHH AMITEC</t>
        </is>
      </c>
      <c r="E4888" s="10" t="inlineStr">
        <is>
          <t>Lương:Cạnh tranh</t>
        </is>
      </c>
      <c r="F4888" s="10" t="inlineStr">
        <is>
          <t>Hồ Chí Minh</t>
        </is>
      </c>
      <c r="G4888" s="10" t="inlineStr">
        <is>
          <t>31-03-2026</t>
        </is>
      </c>
      <c r="H4888" s="10" t="inlineStr">
        <is>
          <t>31/03/2026</t>
        </is>
      </c>
      <c r="I4888" s="10" t="inlineStr">
        <is>
          <t>17/03/2026</t>
        </is>
      </c>
      <c r="J4888" s="10" t="inlineStr">
        <is>
          <t>Kế toán / Kiểm toán, Tài chính / Đầu tư, Dệt may / Da giày / Thời trang</t>
        </is>
      </c>
      <c r="K4888" s="10" t="inlineStr">
        <is>
          <t>5 - 7 Năm</t>
        </is>
      </c>
      <c r="L4888" s="11">
        <f>HYPERLINK("https://careerviet.vn/vi/tim-viec-lam/accounting-manager-chief-accountant.35C6A144.html","Xem chi tiết")</f>
        <v/>
      </c>
      <c r="M4888" s="10" t="n"/>
    </row>
    <row r="4889">
      <c r="B4889" s="7" t="n">
        <v>4887</v>
      </c>
      <c r="C4889" t="inlineStr">
        <is>
          <t>Nhân viên QC chuyền sản xuất</t>
        </is>
      </c>
      <c r="D4889" t="inlineStr">
        <is>
          <t>CÔNG TY CỔ PHẦN THỰC PHẨM ĐÔNG LẠNH KIDO</t>
        </is>
      </c>
      <c r="E4889" t="inlineStr">
        <is>
          <t>Lương:8 Tr - 10 Tr VND</t>
        </is>
      </c>
      <c r="F4889" t="inlineStr">
        <is>
          <t>Hồ Chí Minh</t>
        </is>
      </c>
      <c r="G4889" t="inlineStr">
        <is>
          <t>31-03-2026</t>
        </is>
      </c>
      <c r="H4889" t="inlineStr">
        <is>
          <t>31/03/2026</t>
        </is>
      </c>
      <c r="I4889" t="inlineStr">
        <is>
          <t>17/03/2026</t>
        </is>
      </c>
      <c r="J4889" t="inlineStr">
        <is>
          <t>Thực phẩm &amp; Đồ uống, Công nghệ thực phẩm / Dinh dưỡng, Công nghệ sinh học</t>
        </is>
      </c>
      <c r="K4889" t="inlineStr">
        <is>
          <t>N/A</t>
        </is>
      </c>
      <c r="L4889" s="8">
        <f>HYPERLINK("https://careerviet.vn/vi/tim-viec-lam/nhan-vien-qc-chuyen-san-xuat.35C6A234.html","Xem chi tiết")</f>
        <v/>
      </c>
    </row>
    <row r="4890">
      <c r="B4890" s="9" t="n">
        <v>4888</v>
      </c>
      <c r="C4890" s="10" t="inlineStr">
        <is>
          <t>BÀ RỊA VŨNG TÀU - KẾ TOÁN TRƯỞNG  (18-25 TR)</t>
        </is>
      </c>
      <c r="D4890" s="10" t="inlineStr">
        <is>
          <t>CÔNG TY CỔ PHẦN TẬP ĐOÀN DEKKO</t>
        </is>
      </c>
      <c r="E4890" s="10" t="inlineStr">
        <is>
          <t>Lương:18 Tr - 25 Tr VND</t>
        </is>
      </c>
      <c r="F4890" s="10" t="inlineStr">
        <is>
          <t>Bà Rịa - Vũng Tàu</t>
        </is>
      </c>
      <c r="G4890" s="10" t="inlineStr">
        <is>
          <t>30-03-2026</t>
        </is>
      </c>
      <c r="H4890" s="10" t="inlineStr">
        <is>
          <t>30/03/2026</t>
        </is>
      </c>
      <c r="I4890" s="10" t="inlineStr">
        <is>
          <t>17/03/2026</t>
        </is>
      </c>
      <c r="J4890" s="10" t="inlineStr">
        <is>
          <t>Kế toán / Kiểm toán</t>
        </is>
      </c>
      <c r="K4890" s="10" t="inlineStr">
        <is>
          <t>3 - 5 Năm</t>
        </is>
      </c>
      <c r="L4890" s="11">
        <f>HYPERLINK("https://careerviet.vn/vi/tim-viec-lam/ba-ria-vung-tau-ke-toan-truong-18-25-tr.35C66F3B.html","Xem chi tiết")</f>
        <v/>
      </c>
      <c r="M4890" s="10" t="n"/>
    </row>
    <row r="4891">
      <c r="B4891" s="7" t="n">
        <v>4889</v>
      </c>
      <c r="C4891" t="inlineStr">
        <is>
          <t>Nhân Viên Kinh Doanh - Lĩnh Vực Thực Phẩm, Suất Ăn Công Nghiệp - Lương cứng 10 đến 15 triệu/tháng -  Không yêu cầu kinh nghiệm - Hóc Môn (TPHCM)</t>
        </is>
      </c>
      <c r="D4891" t="inlineStr">
        <is>
          <t>CÔNG TY CỔ PHẦN THỰC PHẨM FRESCO</t>
        </is>
      </c>
      <c r="E4891" t="inlineStr">
        <is>
          <t>Lương:10 Tr - 15 Tr VND</t>
        </is>
      </c>
      <c r="F4891" t="inlineStr">
        <is>
          <t>Hồ Chí Minh</t>
        </is>
      </c>
      <c r="G4891" t="inlineStr">
        <is>
          <t>30-03-2026</t>
        </is>
      </c>
      <c r="H4891" t="inlineStr">
        <is>
          <t>30/03/2026</t>
        </is>
      </c>
      <c r="I4891" t="inlineStr">
        <is>
          <t>17/03/2026</t>
        </is>
      </c>
      <c r="J4891" t="inlineStr">
        <is>
          <t>Bán hàng / Kinh doanh, Dịch vụ khách hàng, Thực phẩm &amp; Đồ uống</t>
        </is>
      </c>
      <c r="K4891" t="inlineStr">
        <is>
          <t>N/A</t>
        </is>
      </c>
      <c r="L4891" s="8">
        <f>HYPERLINK("https://careerviet.vn/vi/tim-viec-lam/nhan-vien-kinh-doanh-linh-vuc-thuc-pham-suat-an-cong-nghiep-luong-cung-10-den-15-trieu-thang-khong-yeu-cau-kinh-nghiem-hoc-mon-tphcm.35C6435D.html","Xem chi tiết")</f>
        <v/>
      </c>
    </row>
    <row r="4892">
      <c r="B4892" s="9" t="n">
        <v>4890</v>
      </c>
      <c r="C4892" s="10" t="inlineStr">
        <is>
          <t>trưởng phòng tuyển dụng</t>
        </is>
      </c>
      <c r="D4892" s="10" t="inlineStr">
        <is>
          <t>CÔNG TY CỔ PHẦN THỊNH CƯỜNG</t>
        </is>
      </c>
      <c r="E4892" s="10" t="inlineStr">
        <is>
          <t>Lương:30 Tr - 40 Tr VND</t>
        </is>
      </c>
      <c r="F4892" s="10" t="inlineStr">
        <is>
          <t>Hà Nội</t>
        </is>
      </c>
      <c r="G4892" s="10" t="inlineStr">
        <is>
          <t>30-03-2026</t>
        </is>
      </c>
      <c r="H4892" s="10" t="inlineStr">
        <is>
          <t>30/03/2026</t>
        </is>
      </c>
      <c r="I4892" s="10" t="inlineStr">
        <is>
          <t>17/03/2026</t>
        </is>
      </c>
      <c r="J4892" s="10" t="inlineStr">
        <is>
          <t>Nhân sự</t>
        </is>
      </c>
      <c r="K4892" s="10" t="inlineStr">
        <is>
          <t>3 - 5 Năm</t>
        </is>
      </c>
      <c r="L4892" s="11">
        <f>HYPERLINK("https://careerviet.vn/vi/tim-viec-lam/truong-phong-tuyen-dung.35C643CB.html","Xem chi tiết")</f>
        <v/>
      </c>
      <c r="M4892" s="10" t="n"/>
    </row>
    <row r="4893">
      <c r="B4893" s="7" t="n">
        <v>4891</v>
      </c>
      <c r="C4893" t="inlineStr">
        <is>
          <t>Admin Executive</t>
        </is>
      </c>
      <c r="D4893" t="inlineStr">
        <is>
          <t>CÔNG TY CỔ PHẦN BÓNG RỔ VIỆT NAM</t>
        </is>
      </c>
      <c r="E4893" t="inlineStr">
        <is>
          <t>Lương:7 Tr - 10 Tr VND</t>
        </is>
      </c>
      <c r="F4893" t="inlineStr">
        <is>
          <t>Hồ Chí Minh</t>
        </is>
      </c>
      <c r="G4893" t="inlineStr">
        <is>
          <t>28-02-2026</t>
        </is>
      </c>
      <c r="H4893" t="inlineStr">
        <is>
          <t>15/03/2026</t>
        </is>
      </c>
      <c r="I4893" t="inlineStr">
        <is>
          <t>17/03/2026</t>
        </is>
      </c>
      <c r="J4893" t="inlineStr">
        <is>
          <t>Nhân sự, Hành chính / Thư ký</t>
        </is>
      </c>
      <c r="K4893" t="inlineStr">
        <is>
          <t>1 - 2 Năm</t>
        </is>
      </c>
      <c r="L4893" s="8">
        <f>HYPERLINK("https://careerviet.vn/vi/tim-viec-lam/admin-executive.35C6A204.html","Xem chi tiết")</f>
        <v/>
      </c>
    </row>
    <row r="4894">
      <c r="B4894" s="9" t="n">
        <v>4892</v>
      </c>
      <c r="C4894" s="10" t="inlineStr">
        <is>
          <t>Trưởng Phòng Kinh Doanh</t>
        </is>
      </c>
      <c r="D4894" s="10" t="inlineStr">
        <is>
          <t>Công ty Cổ phần Bkscitech</t>
        </is>
      </c>
      <c r="E4894" s="10" t="inlineStr">
        <is>
          <t>Lương:30 Tr - 100 Tr VND</t>
        </is>
      </c>
      <c r="F4894" s="10" t="inlineStr">
        <is>
          <t>Hà Nội</t>
        </is>
      </c>
      <c r="G4894" s="10" t="inlineStr">
        <is>
          <t>29-03-2026</t>
        </is>
      </c>
      <c r="H4894" s="10" t="inlineStr">
        <is>
          <t>29/03/2026</t>
        </is>
      </c>
      <c r="I4894" s="10" t="inlineStr">
        <is>
          <t>17/03/2026</t>
        </is>
      </c>
      <c r="J4894" s="10" t="inlineStr">
        <is>
          <t>Bán Hàng Kỹ Thuật, Quản lý điều hành, Bán hàng / Kinh doanh</t>
        </is>
      </c>
      <c r="K4894" s="10" t="inlineStr">
        <is>
          <t>Trên 5 Năm</t>
        </is>
      </c>
      <c r="L4894" s="11">
        <f>HYPERLINK("https://careerviet.vn/vi/tim-viec-lam/truong-phong-kinh-doanh.35C6412D.html","Xem chi tiết")</f>
        <v/>
      </c>
      <c r="M4894" s="10" t="n"/>
    </row>
    <row r="4895">
      <c r="B4895" s="7" t="n">
        <v>4893</v>
      </c>
      <c r="C4895" t="inlineStr">
        <is>
          <t>Trình Dược Viên/ Med-Rep/FFR</t>
        </is>
      </c>
      <c r="D4895" t="inlineStr">
        <is>
          <t>CÔNG TY TNHH DƯỢC PHẨM VÀ TRANG THIẾT BỊ Y TẾ HD</t>
        </is>
      </c>
      <c r="E4895" t="inlineStr">
        <is>
          <t>Lương:Cạnh tranh</t>
        </is>
      </c>
      <c r="F4895" t="inlineStr">
        <is>
          <t>Quảng NinhThái NguyênCà Mau</t>
        </is>
      </c>
      <c r="G4895" t="inlineStr">
        <is>
          <t>29-03-2026</t>
        </is>
      </c>
      <c r="H4895" t="inlineStr">
        <is>
          <t>29/03/2026</t>
        </is>
      </c>
      <c r="I4895" t="inlineStr">
        <is>
          <t>17/03/2026</t>
        </is>
      </c>
      <c r="J4895" t="inlineStr">
        <is>
          <t>Bán hàng / Kinh doanh, Dược phẩm/ Hóa Mỹ Phẩm, Y tế / Chăm sóc sức khỏe / Thẩm mỹ / Làm đẹp</t>
        </is>
      </c>
      <c r="K4895" t="inlineStr">
        <is>
          <t>Trên 1 Năm</t>
        </is>
      </c>
      <c r="L4895" s="8">
        <f>HYPERLINK("https://careerviet.vn/vi/tim-viec-lam/trinh-duoc-vien-med-rep-ffr.35C640C0.html","Xem chi tiết")</f>
        <v/>
      </c>
    </row>
    <row r="4896">
      <c r="B4896" s="9" t="n">
        <v>4894</v>
      </c>
      <c r="C4896" s="10" t="inlineStr">
        <is>
          <t>Sales Operations Executive</t>
        </is>
      </c>
      <c r="D4896" s="10" t="inlineStr">
        <is>
          <t>CÔNG TY TNHH AMITEC</t>
        </is>
      </c>
      <c r="E4896" s="10" t="inlineStr">
        <is>
          <t>Lương:Cạnh tranh</t>
        </is>
      </c>
      <c r="F4896" s="10" t="inlineStr">
        <is>
          <t>Hồ Chí Minh</t>
        </is>
      </c>
      <c r="G4896" s="10" t="inlineStr">
        <is>
          <t>31-03-2026</t>
        </is>
      </c>
      <c r="H4896" s="10" t="inlineStr">
        <is>
          <t>31/03/2026</t>
        </is>
      </c>
      <c r="I4896" s="10" t="inlineStr">
        <is>
          <t>17/03/2026</t>
        </is>
      </c>
      <c r="J4896" s="10" t="inlineStr">
        <is>
          <t>Bán hàng / Kinh doanh, Dịch vụ khách hàng, Điện / Điện tử / Điện lạnh / Điện công nghiệp</t>
        </is>
      </c>
      <c r="K4896" s="10" t="inlineStr">
        <is>
          <t>1 - 3 Năm</t>
        </is>
      </c>
      <c r="L4896" s="11">
        <f>HYPERLINK("https://careerviet.vn/vi/tim-viec-lam/sales-operations-executive.35C6A152.html","Xem chi tiết")</f>
        <v/>
      </c>
      <c r="M4896" s="10" t="n"/>
    </row>
    <row r="4897">
      <c r="B4897" s="7" t="n">
        <v>4895</v>
      </c>
      <c r="C4897" t="inlineStr">
        <is>
          <t>Chuyên viên Nhân sự tổng hợp</t>
        </is>
      </c>
      <c r="D4897" t="inlineStr">
        <is>
          <t>Bệnh viện đa khoa Hoàn Hảo (Hoàn Hảo KeiMeiKai)</t>
        </is>
      </c>
      <c r="E4897" t="inlineStr">
        <is>
          <t>Lương:Cạnh tranh</t>
        </is>
      </c>
      <c r="F4897" t="inlineStr">
        <is>
          <t>Hồ Chí Minh</t>
        </is>
      </c>
      <c r="G4897" t="inlineStr">
        <is>
          <t>28-03-2026</t>
        </is>
      </c>
      <c r="H4897" t="inlineStr">
        <is>
          <t>28/03/2026</t>
        </is>
      </c>
      <c r="I4897" t="inlineStr">
        <is>
          <t>17/03/2026</t>
        </is>
      </c>
      <c r="J4897" t="inlineStr">
        <is>
          <t>Nhân sự</t>
        </is>
      </c>
      <c r="K4897" t="inlineStr">
        <is>
          <t>1 - 2 Năm</t>
        </is>
      </c>
      <c r="L4897" s="8">
        <f>HYPERLINK("https://careerviet.vn/vi/tim-viec-lam/chuyen-vien-nhan-su-tong-hop.35C6A1D2.html","Xem chi tiết")</f>
        <v/>
      </c>
    </row>
    <row r="4898">
      <c r="B4898" s="9" t="n">
        <v>4896</v>
      </c>
      <c r="C4898" s="10" t="inlineStr">
        <is>
          <t>nhân viên Livestream</t>
        </is>
      </c>
      <c r="D4898" s="10" t="inlineStr">
        <is>
          <t>Procell VN</t>
        </is>
      </c>
      <c r="E4898" s="10" t="inlineStr">
        <is>
          <t>Lương:Cạnh tranh</t>
        </is>
      </c>
      <c r="F4898" s="10" t="inlineStr">
        <is>
          <t>Hồ Chí Minh</t>
        </is>
      </c>
      <c r="G4898" s="10" t="inlineStr">
        <is>
          <t>29-03-2026</t>
        </is>
      </c>
      <c r="H4898" s="10" t="inlineStr">
        <is>
          <t>29/03/2026</t>
        </is>
      </c>
      <c r="I4898" s="10" t="inlineStr">
        <is>
          <t>17/03/2026</t>
        </is>
      </c>
      <c r="J4898" s="10" t="inlineStr">
        <is>
          <t>Y tế / Chăm sóc sức khỏe / Thẩm mỹ / Làm đẹp</t>
        </is>
      </c>
      <c r="K4898" s="10" t="inlineStr">
        <is>
          <t>2 - 3 Năm</t>
        </is>
      </c>
      <c r="L4898" s="11">
        <f>HYPERLINK("https://careerviet.vn/vi/tim-viec-lam/nhan-vien-livestream.35C66855.html","Xem chi tiết")</f>
        <v/>
      </c>
      <c r="M4898" s="10" t="n"/>
    </row>
    <row r="4899">
      <c r="B4899" s="7" t="n">
        <v>4897</v>
      </c>
      <c r="C4899" t="inlineStr">
        <is>
          <t>Nhân viên sơn phủ 27538 - KCN Tân Phú Trung, HCM</t>
        </is>
      </c>
      <c r="D4899" t="inlineStr">
        <is>
          <t>Công Ty TNHH Reeracoen Việt Nam</t>
        </is>
      </c>
      <c r="E4899" t="inlineStr">
        <is>
          <t>Lương:10 Tr - 15 Tr VND</t>
        </is>
      </c>
      <c r="F4899" t="inlineStr">
        <is>
          <t>Hồ Chí Minh</t>
        </is>
      </c>
      <c r="G4899" t="inlineStr">
        <is>
          <t>29-03-2026</t>
        </is>
      </c>
      <c r="H4899" t="inlineStr">
        <is>
          <t>29/03/2026</t>
        </is>
      </c>
      <c r="I4899" t="inlineStr">
        <is>
          <t>17/03/2026</t>
        </is>
      </c>
      <c r="J4899" t="inlineStr">
        <is>
          <t>Cơ khí / Ô tô / Tự động hóa, Điện / Điện tử / Điện lạnh / Điện công nghiệp, Bảo trì / Sửa chữa</t>
        </is>
      </c>
      <c r="K4899" t="inlineStr">
        <is>
          <t>Trên 3 Năm</t>
        </is>
      </c>
      <c r="L4899" s="8">
        <f>HYPERLINK("https://careerviet.vn/vi/tim-viec-lam/nhan-vien-son-phu-27538-kcn-tan-phu-trung-hcm.35C66DF5.html","Xem chi tiết")</f>
        <v/>
      </c>
    </row>
    <row r="4900">
      <c r="B4900" s="9" t="n">
        <v>4898</v>
      </c>
      <c r="C4900" s="10" t="inlineStr">
        <is>
          <t>Chuyên Viên Kế Toán Thuế</t>
        </is>
      </c>
      <c r="D4900" s="10" t="inlineStr">
        <is>
          <t>CÔNG TY TNHH DỊCH VỤ TƯ VẤN THUẾ TASCO</t>
        </is>
      </c>
      <c r="E4900" s="10" t="inlineStr">
        <is>
          <t>Lương:Cạnh tranh</t>
        </is>
      </c>
      <c r="F4900" s="10" t="inlineStr">
        <is>
          <t>Hồ Chí Minh</t>
        </is>
      </c>
      <c r="G4900" s="10" t="inlineStr">
        <is>
          <t>29-03-2026</t>
        </is>
      </c>
      <c r="H4900" s="10" t="inlineStr">
        <is>
          <t>29/03/2026</t>
        </is>
      </c>
      <c r="I4900" s="10" t="inlineStr">
        <is>
          <t>17/03/2026</t>
        </is>
      </c>
      <c r="J4900" s="10" t="inlineStr">
        <is>
          <t>Luật / Pháp lý, Kế toán / Kiểm toán, Tài chính / Đầu tư</t>
        </is>
      </c>
      <c r="K4900" s="10" t="inlineStr">
        <is>
          <t>Trên 1 Năm</t>
        </is>
      </c>
      <c r="L4900" s="11">
        <f>HYPERLINK("https://careerviet.vn/vi/tim-viec-lam/chuyen-vien-ke-toan-thue.35C66D82.html","Xem chi tiết")</f>
        <v/>
      </c>
      <c r="M4900" s="10" t="n"/>
    </row>
    <row r="4901">
      <c r="B4901" s="7" t="n">
        <v>4899</v>
      </c>
      <c r="C4901" t="inlineStr">
        <is>
          <t>Chuyên viên quản lý chính sách hỗ trợ kinh doanh - Phòng Đối tác - Khối KHDN</t>
        </is>
      </c>
      <c r="D4901" t="inlineStr">
        <is>
          <t>Ngân hàng TMCP Đại Chúng Việt Nam - PVcomBank</t>
        </is>
      </c>
      <c r="E4901" t="inlineStr">
        <is>
          <t>Lương:Cạnh tranh</t>
        </is>
      </c>
      <c r="F4901" t="inlineStr">
        <is>
          <t>Hà Nội</t>
        </is>
      </c>
      <c r="G4901" t="inlineStr">
        <is>
          <t>30-03-2026</t>
        </is>
      </c>
      <c r="H4901" t="inlineStr">
        <is>
          <t>30/03/2026</t>
        </is>
      </c>
      <c r="I4901" t="inlineStr">
        <is>
          <t>17/03/2026</t>
        </is>
      </c>
      <c r="J4901" t="inlineStr">
        <is>
          <t>Ngân hàng, Tài chính / Đầu tư</t>
        </is>
      </c>
      <c r="K4901" t="inlineStr">
        <is>
          <t>1 - 5 Năm</t>
        </is>
      </c>
      <c r="L4901" s="8">
        <f>HYPERLINK("https://careerviet.vn/vi/tim-viec-lam/chuyen-vien-quan-ly-chinh-sach-ho-tro-kinh-doanh-phong-doi-tac-khoi-khdn.35C643FC.html","Xem chi tiết")</f>
        <v/>
      </c>
    </row>
    <row r="4902">
      <c r="B4902" s="9" t="n">
        <v>4900</v>
      </c>
      <c r="C4902" s="10" t="inlineStr">
        <is>
          <t>Phó phòng mua hàng + Chuyên viên xuất nhập khẩu + chuyên viên mua hàng</t>
        </is>
      </c>
      <c r="D4902" s="10" t="inlineStr">
        <is>
          <t>Cong Thanh Environment - Technology Co., Ltd (Envitech co.,Ltd )</t>
        </is>
      </c>
      <c r="E4902" s="10" t="inlineStr">
        <is>
          <t>Lương:20 Tr - 40 Tr VND</t>
        </is>
      </c>
      <c r="F4902" s="10" t="inlineStr">
        <is>
          <t>Hồ Chí Minh</t>
        </is>
      </c>
      <c r="G4902" s="10" t="inlineStr">
        <is>
          <t>30-03-2026</t>
        </is>
      </c>
      <c r="H4902" s="10" t="inlineStr">
        <is>
          <t>30/03/2026</t>
        </is>
      </c>
      <c r="I4902" s="10" t="inlineStr">
        <is>
          <t>17/03/2026</t>
        </is>
      </c>
      <c r="J4902" s="10" t="inlineStr">
        <is>
          <t>Thu mua / Vật tư</t>
        </is>
      </c>
      <c r="K4902" s="10" t="inlineStr">
        <is>
          <t>3 - 8 Năm</t>
        </is>
      </c>
      <c r="L4902" s="11">
        <f>HYPERLINK("https://careerviet.vn/vi/tim-viec-lam/pho-phong-mua-hang-chuyen-vien-xuat-nhap-khau-chuyen-vien-mua-hang.35C6A134.html","Xem chi tiết")</f>
        <v/>
      </c>
      <c r="M4902" s="10" t="n"/>
    </row>
    <row r="4903">
      <c r="B4903" s="7" t="n">
        <v>4901</v>
      </c>
      <c r="C4903" t="inlineStr">
        <is>
          <t>Chuyên gia đối tác khách hàng doanh nghiệp (Mảng đối tác số) - Khối KHDN</t>
        </is>
      </c>
      <c r="D4903" t="inlineStr">
        <is>
          <t>Ngân hàng TMCP Đại Chúng Việt Nam - PVcomBank</t>
        </is>
      </c>
      <c r="E4903" t="inlineStr">
        <is>
          <t>Lương:1.000 - 2.000 USD</t>
        </is>
      </c>
      <c r="F4903" t="inlineStr">
        <is>
          <t>Hà Nội</t>
        </is>
      </c>
      <c r="G4903" t="inlineStr">
        <is>
          <t>30-03-2026</t>
        </is>
      </c>
      <c r="H4903" t="inlineStr">
        <is>
          <t>30/03/2026</t>
        </is>
      </c>
      <c r="I4903" t="inlineStr">
        <is>
          <t>17/03/2026</t>
        </is>
      </c>
      <c r="J4903" t="inlineStr">
        <is>
          <t>Ngân hàng</t>
        </is>
      </c>
      <c r="K4903" t="inlineStr">
        <is>
          <t>3 - 10 Năm</t>
        </is>
      </c>
      <c r="L4903" s="8">
        <f>HYPERLINK("https://careerviet.vn/vi/tim-viec-lam/chuyen-gia-doi-tac-khach-hang-doanh-nghiep-mang-doi-tac-so-khoi-khdn.35C643DF.html","Xem chi tiết")</f>
        <v/>
      </c>
    </row>
    <row r="4904">
      <c r="B4904" s="9" t="n">
        <v>4902</v>
      </c>
      <c r="C4904" s="10" t="inlineStr">
        <is>
          <t>[Tiếng Nhật N1/N2] CHĂM SÓC KHÁCH HÀNG SÀN THƯƠNG MẠI ĐIỆN TỬ - THU NHẬP TỪ 22-24TR/THÁNG</t>
        </is>
      </c>
      <c r="D4904" s="10" t="inlineStr">
        <is>
          <t>Vietnam Concentrix Services Company Limited</t>
        </is>
      </c>
      <c r="E4904" s="10" t="inlineStr">
        <is>
          <t>Lương:22 Tr - 24 Tr VND</t>
        </is>
      </c>
      <c r="F4904" s="10" t="inlineStr">
        <is>
          <t>Hồ Chí Minh</t>
        </is>
      </c>
      <c r="G4904" s="10" t="inlineStr">
        <is>
          <t>29-03-2026</t>
        </is>
      </c>
      <c r="H4904" s="10" t="inlineStr">
        <is>
          <t>29/03/2026</t>
        </is>
      </c>
      <c r="I4904" s="10" t="inlineStr">
        <is>
          <t>17/03/2026</t>
        </is>
      </c>
      <c r="J4904" s="10" t="inlineStr">
        <is>
          <t>Thương mại điện tử, Dịch vụ khách hàng, Biên phiên dịch</t>
        </is>
      </c>
      <c r="K4904" s="10" t="inlineStr">
        <is>
          <t>N/A</t>
        </is>
      </c>
      <c r="L4904" s="11">
        <f>HYPERLINK("https://careerviet.vn/vi/tim-viec-lam/tieng-nhat-n1-n2-cham-soc-khach-hang-san-thuong-mai-dien-tu-thu-nhap-tu-22-24tr-thang.35C66C7A.html","Xem chi tiết")</f>
        <v/>
      </c>
      <c r="M4904" s="10" t="n"/>
    </row>
    <row r="4905">
      <c r="B4905" s="7" t="n">
        <v>4903</v>
      </c>
      <c r="C4905" t="inlineStr">
        <is>
          <t>MRP Executive</t>
        </is>
      </c>
      <c r="D4905" t="inlineStr">
        <is>
          <t>CÔNG TY CỔ PHẦN PIZZA 4PS</t>
        </is>
      </c>
      <c r="E4905" t="inlineStr">
        <is>
          <t>Lương:Cạnh tranh</t>
        </is>
      </c>
      <c r="F4905" t="inlineStr">
        <is>
          <t>Hồ Chí MinhLong An</t>
        </is>
      </c>
      <c r="G4905" t="inlineStr">
        <is>
          <t>30-03-2026</t>
        </is>
      </c>
      <c r="H4905" t="inlineStr">
        <is>
          <t>30/03/2026</t>
        </is>
      </c>
      <c r="I4905" t="inlineStr">
        <is>
          <t>17/03/2026</t>
        </is>
      </c>
      <c r="J4905" t="inlineStr">
        <is>
          <t>Thực phẩm &amp; Đồ uống, Vận chuyển / Giao nhận / Kho vận, Thu mua / Vật tư</t>
        </is>
      </c>
      <c r="K4905" t="inlineStr">
        <is>
          <t>Trên 1 Năm</t>
        </is>
      </c>
      <c r="L4905" s="8">
        <f>HYPERLINK("https://careerviet.vn/vi/tim-viec-lam/mrp-executive.35C66F2E.html","Xem chi tiết")</f>
        <v/>
      </c>
    </row>
    <row r="4906">
      <c r="B4906" s="9" t="n">
        <v>4904</v>
      </c>
      <c r="C4906" s="10" t="inlineStr">
        <is>
          <t>Quản Lý Cửa Hàng Nhãn Hàng Levi's Long Xuyên (An Giang)</t>
        </is>
      </c>
      <c r="D4906" s="10" t="inlineStr">
        <is>
          <t>CÔNG TY TNHH THỜI TRANG VÀ MỸ PHẨM ÂU CHÂU</t>
        </is>
      </c>
      <c r="E4906" s="10" t="inlineStr">
        <is>
          <t>Lương:10 Tr - 15 Tr VND</t>
        </is>
      </c>
      <c r="F4906" s="10" t="inlineStr">
        <is>
          <t>An Giang</t>
        </is>
      </c>
      <c r="G4906" s="10" t="inlineStr">
        <is>
          <t>30-03-2026</t>
        </is>
      </c>
      <c r="H4906" s="10" t="inlineStr">
        <is>
          <t>30/03/2026</t>
        </is>
      </c>
      <c r="I4906" s="10" t="inlineStr">
        <is>
          <t>17/03/2026</t>
        </is>
      </c>
      <c r="J4906" s="10" t="inlineStr">
        <is>
          <t>Bán hàng / Kinh doanh, Quản lý điều hành, Dệt may / Da giày / Thời trang</t>
        </is>
      </c>
      <c r="K4906" s="10" t="inlineStr">
        <is>
          <t>1 - 2 Năm</t>
        </is>
      </c>
      <c r="L4906" s="11">
        <f>HYPERLINK("https://careerviet.vn/vi/tim-viec-lam/quan-ly-cua-hang-nhan-hang-levi-s-long-xuyen-an-giang.35C64326.html","Xem chi tiết")</f>
        <v/>
      </c>
      <c r="M4906" s="10" t="n"/>
    </row>
    <row r="4907">
      <c r="B4907" s="7" t="n">
        <v>4905</v>
      </c>
      <c r="C4907" t="inlineStr">
        <is>
          <t>Key Account Manager - MT</t>
        </is>
      </c>
      <c r="D4907" t="inlineStr">
        <is>
          <t>CÔNG TY CỔ PHẦN THƯƠNG MẠI DỊCH VỤ SẢN XUẤT HƯƠNG THỦY</t>
        </is>
      </c>
      <c r="E4907" t="inlineStr">
        <is>
          <t>Lương:20 Tr - 30 Tr VND</t>
        </is>
      </c>
      <c r="F4907" t="inlineStr">
        <is>
          <t>Hồ Chí Minh</t>
        </is>
      </c>
      <c r="G4907" t="inlineStr">
        <is>
          <t>30-03-2026</t>
        </is>
      </c>
      <c r="H4907" t="inlineStr">
        <is>
          <t>30/03/2026</t>
        </is>
      </c>
      <c r="I4907" t="inlineStr">
        <is>
          <t>17/03/2026</t>
        </is>
      </c>
      <c r="J4907" t="inlineStr">
        <is>
          <t>Bán lẻ / Bán sỉ, Bán hàng / Kinh doanh, Thực phẩm &amp; Đồ uống</t>
        </is>
      </c>
      <c r="K4907" t="inlineStr">
        <is>
          <t>3 - 5 Năm</t>
        </is>
      </c>
      <c r="L4907" s="8">
        <f>HYPERLINK("https://careerviet.vn/vi/tim-viec-lam/key-account-manager-mt.35C66F04.html","Xem chi tiết")</f>
        <v/>
      </c>
    </row>
    <row r="4908">
      <c r="B4908" s="9" t="n">
        <v>4906</v>
      </c>
      <c r="C4908" s="10" t="inlineStr">
        <is>
          <t>Chuyên viên quan hệ khách hàng Doanh nghiệp - [BAC A BANK - Chi nhánh Phú Thọ/Yên Bái]</t>
        </is>
      </c>
      <c r="D4908" s="10" t="inlineStr">
        <is>
          <t>Ngân Hàng Thương mại cổ phần Bắc Á- BAC A BANK</t>
        </is>
      </c>
      <c r="E4908" s="10" t="inlineStr">
        <is>
          <t>Lương:Cạnh tranh</t>
        </is>
      </c>
      <c r="F4908" s="10" t="inlineStr">
        <is>
          <t>Yên BáiPhú Thọ</t>
        </is>
      </c>
      <c r="G4908" s="10" t="inlineStr">
        <is>
          <t>30-03-2026</t>
        </is>
      </c>
      <c r="H4908" s="10" t="inlineStr">
        <is>
          <t>30/03/2026</t>
        </is>
      </c>
      <c r="I4908" s="10" t="inlineStr">
        <is>
          <t>17/03/2026</t>
        </is>
      </c>
      <c r="J4908" s="10" t="inlineStr">
        <is>
          <t>Bán hàng / Kinh doanh, Ngân hàng, Tài chính / Đầu tư</t>
        </is>
      </c>
      <c r="K4908" s="10" t="inlineStr">
        <is>
          <t>2 - 5 Năm</t>
        </is>
      </c>
      <c r="L4908" s="11">
        <f>HYPERLINK("https://careerviet.vn/vi/tim-viec-lam/chuyen-vien-quan-he-khach-hang-doanh-nghiep-bac-a-bank-chi-nhanh-phu-tho-yen-bai.35C66E3C.html","Xem chi tiết")</f>
        <v/>
      </c>
      <c r="M4908" s="10" t="n"/>
    </row>
    <row r="4909">
      <c r="B4909" s="7" t="n">
        <v>4907</v>
      </c>
      <c r="C4909" t="inlineStr">
        <is>
          <t>Trưởng Nhóm Phân Tích Dữ Liệu - Ecom</t>
        </is>
      </c>
      <c r="D4909" t="inlineStr">
        <is>
          <t>CÔNG TY CỔ PHẦN DƯỢC PHẨM FPT LONG CHÂU</t>
        </is>
      </c>
      <c r="E4909" t="inlineStr">
        <is>
          <t>Lương:Cạnh tranh</t>
        </is>
      </c>
      <c r="F4909" t="inlineStr">
        <is>
          <t>Hồ Chí Minh</t>
        </is>
      </c>
      <c r="G4909" t="inlineStr">
        <is>
          <t>30-03-2026</t>
        </is>
      </c>
      <c r="H4909" t="inlineStr">
        <is>
          <t>30/03/2026</t>
        </is>
      </c>
      <c r="I4909" t="inlineStr">
        <is>
          <t>17/03/2026</t>
        </is>
      </c>
      <c r="J4909" t="inlineStr">
        <is>
          <t>Thương mại điện tử, Dược phẩm/ Hóa Mỹ Phẩm</t>
        </is>
      </c>
      <c r="K4909" t="inlineStr">
        <is>
          <t>2 - 3 Năm</t>
        </is>
      </c>
      <c r="L4909" s="8">
        <f>HYPERLINK("https://careerviet.vn/vi/tim-viec-lam/truong-nhom-phan-tich-du-lieu-ecom.35C6438B.html","Xem chi tiết")</f>
        <v/>
      </c>
    </row>
    <row r="4910">
      <c r="B4910" s="9" t="n">
        <v>4908</v>
      </c>
      <c r="C4910" s="10" t="inlineStr">
        <is>
          <t>[TP.HCM] Trưởng phòng khách hàng cá nhân</t>
        </is>
      </c>
      <c r="D4910" s="10" t="inlineStr">
        <is>
          <t>Ngân hàng TMCP Phát triển TP.HCM (HDBank)</t>
        </is>
      </c>
      <c r="E4910" s="10" t="inlineStr">
        <is>
          <t>Lương:Cạnh tranh</t>
        </is>
      </c>
      <c r="F4910" s="10" t="inlineStr">
        <is>
          <t>Hồ Chí Minh</t>
        </is>
      </c>
      <c r="G4910" s="10" t="inlineStr">
        <is>
          <t>30-03-2026</t>
        </is>
      </c>
      <c r="H4910" s="10" t="inlineStr">
        <is>
          <t>30/03/2026</t>
        </is>
      </c>
      <c r="I4910" s="10" t="inlineStr">
        <is>
          <t>17/03/2026</t>
        </is>
      </c>
      <c r="J4910" s="10" t="inlineStr">
        <is>
          <t>Ngân hàng, Tài chính / Đầu tư</t>
        </is>
      </c>
      <c r="K4910" s="10" t="inlineStr">
        <is>
          <t>5 - 10 Năm</t>
        </is>
      </c>
      <c r="L4910" s="11">
        <f>HYPERLINK("https://careerviet.vn/vi/tim-viec-lam/tp-hcm-truong-phong-khach-hang-ca-nhan.35C66F46.html","Xem chi tiết")</f>
        <v/>
      </c>
      <c r="M4910" s="10" t="n"/>
    </row>
    <row r="4911">
      <c r="B4911" s="7" t="n">
        <v>4909</v>
      </c>
      <c r="C4911" t="inlineStr">
        <is>
          <t>CHUYÊN VIÊN KINH DOANH ĐIỆN NĂNG LƯỢNG MẶT TRỜI</t>
        </is>
      </c>
      <c r="D4911" t="inlineStr">
        <is>
          <t>CÔNG TY CỔ PHẦN NĂNG LƯỢNG XANH ON ENERGY</t>
        </is>
      </c>
      <c r="E4911" t="inlineStr">
        <is>
          <t>Lương:15 Tr - 25 Tr VND</t>
        </is>
      </c>
      <c r="F4911" t="inlineStr">
        <is>
          <t>Hồ Chí MinhHà Nội</t>
        </is>
      </c>
      <c r="G4911" t="inlineStr">
        <is>
          <t>30-03-2026</t>
        </is>
      </c>
      <c r="H4911" t="inlineStr">
        <is>
          <t>30/03/2026</t>
        </is>
      </c>
      <c r="I4911" t="inlineStr">
        <is>
          <t>17/03/2026</t>
        </is>
      </c>
      <c r="J4911" t="inlineStr">
        <is>
          <t>Bán hàng / Kinh doanh, Bán Hàng Kỹ Thuật, Ngành khác</t>
        </is>
      </c>
      <c r="K4911" t="inlineStr">
        <is>
          <t>1 - 2 Năm</t>
        </is>
      </c>
      <c r="L4911" s="8">
        <f>HYPERLINK("https://careerviet.vn/vi/tim-viec-lam/chuyen-vien-kinh-doanh-dien-nang-luong-mat-troi.35C6441D.html","Xem chi tiết")</f>
        <v/>
      </c>
    </row>
    <row r="4912">
      <c r="B4912" s="9" t="n">
        <v>4910</v>
      </c>
      <c r="C4912" s="10" t="inlineStr">
        <is>
          <t>Quản Lý Cửa Hàng Nhãn Hàng Karl Lagerfeld Quận 7/Quận 1</t>
        </is>
      </c>
      <c r="D4912" s="10" t="inlineStr">
        <is>
          <t>CÔNG TY TNHH THỜI TRANG VÀ MỸ PHẨM ÂU CHÂU</t>
        </is>
      </c>
      <c r="E4912" s="10" t="inlineStr">
        <is>
          <t>Lương:10 Tr - 15 Tr VND</t>
        </is>
      </c>
      <c r="F4912" s="10" t="inlineStr">
        <is>
          <t>Hồ Chí Minh</t>
        </is>
      </c>
      <c r="G4912" s="10" t="inlineStr">
        <is>
          <t>30-03-2026</t>
        </is>
      </c>
      <c r="H4912" s="10" t="inlineStr">
        <is>
          <t>30/03/2026</t>
        </is>
      </c>
      <c r="I4912" s="10" t="inlineStr">
        <is>
          <t>17/03/2026</t>
        </is>
      </c>
      <c r="J4912" s="10" t="inlineStr">
        <is>
          <t>Bán hàng / Kinh doanh, Quản lý điều hành, Dệt may / Da giày / Thời trang</t>
        </is>
      </c>
      <c r="K4912" s="10" t="inlineStr">
        <is>
          <t>1 - 2 Năm</t>
        </is>
      </c>
      <c r="L4912" s="11">
        <f>HYPERLINK("https://careerviet.vn/vi/tim-viec-lam/quan-ly-cua-hang-nhan-hang-karl-lagerfeld-quan-7-quan-1.35C64345.html","Xem chi tiết")</f>
        <v/>
      </c>
      <c r="M4912" s="10" t="n"/>
    </row>
    <row r="4913">
      <c r="B4913" s="7" t="n">
        <v>4911</v>
      </c>
      <c r="C4913" t="inlineStr">
        <is>
          <t>Điều dưỡng Phòng khám Tâm thần</t>
        </is>
      </c>
      <c r="D4913" t="inlineStr">
        <is>
          <t>Công ty CP Bệnh Viện Đa Khoa Quốc Tế Vinmec</t>
        </is>
      </c>
      <c r="E4913" t="inlineStr">
        <is>
          <t>Lương:Cạnh tranh</t>
        </is>
      </c>
      <c r="F4913" t="inlineStr">
        <is>
          <t>Hồ Chí Minh</t>
        </is>
      </c>
      <c r="G4913" t="inlineStr">
        <is>
          <t>30-03-2026</t>
        </is>
      </c>
      <c r="H4913" t="inlineStr">
        <is>
          <t>30/03/2026</t>
        </is>
      </c>
      <c r="I4913" t="inlineStr">
        <is>
          <t>17/03/2026</t>
        </is>
      </c>
      <c r="J4913" t="inlineStr">
        <is>
          <t>Y tế / Chăm sóc sức khỏe / Thẩm mỹ / Làm đẹp</t>
        </is>
      </c>
      <c r="K4913" t="inlineStr">
        <is>
          <t>Trên 1 Năm</t>
        </is>
      </c>
      <c r="L4913" s="8">
        <f>HYPERLINK("https://careerviet.vn/vi/tim-viec-lam/dieu-duong-phong-kham-tam-than.35C66E62.html","Xem chi tiết")</f>
        <v/>
      </c>
    </row>
    <row r="4914">
      <c r="B4914" s="9" t="n">
        <v>4912</v>
      </c>
      <c r="C4914" s="10" t="inlineStr">
        <is>
          <t>Nhân Viên Bán Hàng Hàng Nhãn Armani Exchange - TP. Hồ Chí Minh</t>
        </is>
      </c>
      <c r="D4914" s="10" t="inlineStr">
        <is>
          <t>CÔNG TY TNHH THỜI TRANG VÀ MỸ PHẨM ÂU CHÂU</t>
        </is>
      </c>
      <c r="E4914" s="10" t="inlineStr">
        <is>
          <t>Lương:7 Tr - 10 Tr VND</t>
        </is>
      </c>
      <c r="F4914" s="10" t="inlineStr">
        <is>
          <t>Hồ Chí Minh</t>
        </is>
      </c>
      <c r="G4914" s="10" t="inlineStr">
        <is>
          <t>30-03-2026</t>
        </is>
      </c>
      <c r="H4914" s="10" t="inlineStr">
        <is>
          <t>30/03/2026</t>
        </is>
      </c>
      <c r="I4914" s="10" t="inlineStr">
        <is>
          <t>17/03/2026</t>
        </is>
      </c>
      <c r="J4914" s="10" t="inlineStr">
        <is>
          <t>Bán lẻ / Bán sỉ, Bán hàng / Kinh doanh, Dệt may / Da giày / Thời trang</t>
        </is>
      </c>
      <c r="K4914" s="10" t="inlineStr">
        <is>
          <t>1 - 2 Năm</t>
        </is>
      </c>
      <c r="L4914" s="11">
        <f>HYPERLINK("https://careerviet.vn/vi/tim-viec-lam/nhan-vien-ban-hang-hang-nhan-armani-exchange-tp-ho-chi-minh.35C64418.html","Xem chi tiết")</f>
        <v/>
      </c>
      <c r="M4914" s="10" t="n"/>
    </row>
    <row r="4915">
      <c r="B4915" s="7" t="n">
        <v>4913</v>
      </c>
      <c r="C4915" t="inlineStr">
        <is>
          <t>Chuyên Viên Định Giá Tài Sản Tại Hưng Yên (Làm Việc Tại VCB Hưng Yên)</t>
        </is>
      </c>
      <c r="D4915" t="inlineStr">
        <is>
          <t>NGÂN HÀNG TMCP NGOẠI THƯƠNG VIỆT NAM (VIETCOMBANK)</t>
        </is>
      </c>
      <c r="E4915" t="inlineStr">
        <is>
          <t>Lương:Cạnh tranh</t>
        </is>
      </c>
      <c r="F4915" t="inlineStr">
        <is>
          <t>Hưng Yên</t>
        </is>
      </c>
      <c r="G4915" t="inlineStr">
        <is>
          <t>30-03-2026</t>
        </is>
      </c>
      <c r="H4915" t="inlineStr">
        <is>
          <t>30/03/2026</t>
        </is>
      </c>
      <c r="I4915" t="inlineStr">
        <is>
          <t>17/03/2026</t>
        </is>
      </c>
      <c r="J4915" t="inlineStr">
        <is>
          <t>Ngân hàng, Luật / Pháp lý, Tài chính / Đầu tư</t>
        </is>
      </c>
      <c r="K4915" t="inlineStr">
        <is>
          <t>Trên 3 Năm</t>
        </is>
      </c>
      <c r="L4915" s="8">
        <f>HYPERLINK("https://careerviet.vn/vi/tim-viec-lam/chuyen-vien-dinh-gia-tai-san-tai-hung-yen-lam-viec-tai-vcb-hung-yen.35C66E76.html","Xem chi tiết")</f>
        <v/>
      </c>
    </row>
    <row r="4916">
      <c r="B4916" s="9" t="n">
        <v>4914</v>
      </c>
      <c r="C4916" s="10" t="inlineStr">
        <is>
          <t>Kỹ Sư Hóa / Chemical Engineer</t>
        </is>
      </c>
      <c r="D4916" s="10" t="inlineStr">
        <is>
          <t>CÔNG TY TNHH POLYTEX FAR EASTERN (VIỆT NAM)</t>
        </is>
      </c>
      <c r="E4916" s="10" t="inlineStr">
        <is>
          <t>Lương:9 Tr - 15 Tr VND</t>
        </is>
      </c>
      <c r="F4916" s="10" t="inlineStr">
        <is>
          <t>Bình Dương</t>
        </is>
      </c>
      <c r="G4916" s="10" t="inlineStr">
        <is>
          <t>30-03-2026</t>
        </is>
      </c>
      <c r="H4916" s="10" t="inlineStr">
        <is>
          <t>30/03/2026</t>
        </is>
      </c>
      <c r="I4916" s="10" t="inlineStr">
        <is>
          <t>17/03/2026</t>
        </is>
      </c>
      <c r="J4916" s="10" t="inlineStr">
        <is>
          <t>Dầu khí, Hóa học</t>
        </is>
      </c>
      <c r="K4916" s="10" t="inlineStr">
        <is>
          <t>N/A</t>
        </is>
      </c>
      <c r="L4916" s="11">
        <f>HYPERLINK("https://careerviet.vn/vi/tim-viec-lam/ky-su-hoa-chemical-engineer.35C66E4A.html","Xem chi tiết")</f>
        <v/>
      </c>
      <c r="M4916" s="10" t="n"/>
    </row>
    <row r="4917">
      <c r="B4917" s="7" t="n">
        <v>4915</v>
      </c>
      <c r="C4917" t="inlineStr">
        <is>
          <t>Giao dịch viên - [BAC A BANK - Chi nhánh Hưng Yên]</t>
        </is>
      </c>
      <c r="D4917" t="inlineStr">
        <is>
          <t>Ngân Hàng Thương mại cổ phần Bắc Á- BAC A BANK</t>
        </is>
      </c>
      <c r="E4917" t="inlineStr">
        <is>
          <t>Lương:Cạnh tranh</t>
        </is>
      </c>
      <c r="F4917" t="inlineStr">
        <is>
          <t>Phú ThọHưng Yên</t>
        </is>
      </c>
      <c r="G4917" t="inlineStr">
        <is>
          <t>30-03-2026</t>
        </is>
      </c>
      <c r="H4917" t="inlineStr">
        <is>
          <t>30/03/2026</t>
        </is>
      </c>
      <c r="I4917" t="inlineStr">
        <is>
          <t>17/03/2026</t>
        </is>
      </c>
      <c r="J4917" t="inlineStr">
        <is>
          <t>Bán hàng / Kinh doanh, Mới tốt nghiệp / Thực tập, Ngân hàng</t>
        </is>
      </c>
      <c r="K4917" t="inlineStr">
        <is>
          <t>N/A</t>
        </is>
      </c>
      <c r="L4917" s="8">
        <f>HYPERLINK("https://careerviet.vn/vi/tim-viec-lam/giao-dich-vien-bac-a-bank-chi-nhanh-hung-yen.35C66E3E.html","Xem chi tiết")</f>
        <v/>
      </c>
    </row>
    <row r="4918">
      <c r="B4918" s="9" t="n">
        <v>4916</v>
      </c>
      <c r="C4918" s="10" t="inlineStr">
        <is>
          <t>[TP.HCM] Trưởng phòng Khách hàng Doanh nghiệp</t>
        </is>
      </c>
      <c r="D4918" s="10" t="inlineStr">
        <is>
          <t>Ngân hàng TMCP Phát triển TP.HCM (HDBank)</t>
        </is>
      </c>
      <c r="E4918" s="10" t="inlineStr">
        <is>
          <t>Lương:Cạnh tranh</t>
        </is>
      </c>
      <c r="F4918" s="10" t="inlineStr">
        <is>
          <t>Hồ Chí Minh</t>
        </is>
      </c>
      <c r="G4918" s="10" t="inlineStr">
        <is>
          <t>30-03-2026</t>
        </is>
      </c>
      <c r="H4918" s="10" t="inlineStr">
        <is>
          <t>30/03/2026</t>
        </is>
      </c>
      <c r="I4918" s="10" t="inlineStr">
        <is>
          <t>17/03/2026</t>
        </is>
      </c>
      <c r="J4918" s="10" t="inlineStr">
        <is>
          <t>Ngân hàng, Tài chính / Đầu tư</t>
        </is>
      </c>
      <c r="K4918" s="10" t="inlineStr">
        <is>
          <t>5 - 10 Năm</t>
        </is>
      </c>
      <c r="L4918" s="11">
        <f>HYPERLINK("https://careerviet.vn/vi/tim-viec-lam/tp-hcm-truong-phong-khach-hang-doanh-nghiep.35C66F48.html","Xem chi tiết")</f>
        <v/>
      </c>
      <c r="M4918" s="10" t="n"/>
    </row>
    <row r="4919">
      <c r="B4919" s="7" t="n">
        <v>4917</v>
      </c>
      <c r="C4919" t="inlineStr">
        <is>
          <t>Bác sĩ Tâm thần - Vinmec Central Park</t>
        </is>
      </c>
      <c r="D4919" t="inlineStr">
        <is>
          <t>Công ty CP Bệnh Viện Đa Khoa Quốc Tế Vinmec</t>
        </is>
      </c>
      <c r="E4919" t="inlineStr">
        <is>
          <t>Lương:Cạnh tranh</t>
        </is>
      </c>
      <c r="F4919" t="inlineStr">
        <is>
          <t>Hồ Chí Minh</t>
        </is>
      </c>
      <c r="G4919" t="inlineStr">
        <is>
          <t>30-03-2026</t>
        </is>
      </c>
      <c r="H4919" t="inlineStr">
        <is>
          <t>30/03/2026</t>
        </is>
      </c>
      <c r="I4919" t="inlineStr">
        <is>
          <t>17/03/2026</t>
        </is>
      </c>
      <c r="J4919" t="inlineStr">
        <is>
          <t>Y tế / Chăm sóc sức khỏe / Thẩm mỹ / Làm đẹp</t>
        </is>
      </c>
      <c r="K4919" t="inlineStr">
        <is>
          <t>Trên 5 Năm</t>
        </is>
      </c>
      <c r="L4919" s="8">
        <f>HYPERLINK("https://careerviet.vn/vi/tim-viec-lam/bac-si-tam-than-vinmec-central-park.35C66E60.html","Xem chi tiết")</f>
        <v/>
      </c>
    </row>
    <row r="4920">
      <c r="B4920" s="9" t="n">
        <v>4918</v>
      </c>
      <c r="C4920" s="10" t="inlineStr">
        <is>
          <t>Chuyên Viên Tư Vấn Bảo Hiểm Kênh Liên Kết Ngân Hàng Vietinbank Quảng Ninh, Bắc Ninh, Vĩnh Phúc</t>
        </is>
      </c>
      <c r="D4920" s="10" t="inlineStr">
        <is>
          <t>Manulife (Vietnam) Limited</t>
        </is>
      </c>
      <c r="E4920" s="10" t="inlineStr">
        <is>
          <t>Lương:6 Tr - 12 Tr VND</t>
        </is>
      </c>
      <c r="F4920" s="10" t="inlineStr">
        <is>
          <t>Quảng NinhBắc NinhVĩnh Phúc</t>
        </is>
      </c>
      <c r="G4920" s="10" t="inlineStr">
        <is>
          <t>30-03-2026</t>
        </is>
      </c>
      <c r="H4920" s="10" t="inlineStr">
        <is>
          <t>30/03/2026</t>
        </is>
      </c>
      <c r="I4920" s="10" t="inlineStr">
        <is>
          <t>17/03/2026</t>
        </is>
      </c>
      <c r="J4920" s="10" t="inlineStr">
        <is>
          <t>Ngân hàng, Bảo hiểm, Tài chính / Đầu tư</t>
        </is>
      </c>
      <c r="K4920" s="10" t="inlineStr">
        <is>
          <t>1 - 2 Năm</t>
        </is>
      </c>
      <c r="L4920" s="11">
        <f>HYPERLINK("https://careerviet.vn/vi/tim-viec-lam/chuyen-vien-tu-van-bao-hiem-kenh-lien-ket-ngan-hang-vietinbank-quang-ninh-bac-ninh-vinh-phuc.35C63D20.html","Xem chi tiết")</f>
        <v/>
      </c>
      <c r="M4920" s="10" t="n"/>
    </row>
    <row r="4921">
      <c r="B4921" s="7" t="n">
        <v>4919</v>
      </c>
      <c r="C4921" t="inlineStr">
        <is>
          <t>[Hà Nội] Chuyên viên/Chuyên viên chính Khách hàng Cá nhân</t>
        </is>
      </c>
      <c r="D4921" t="inlineStr">
        <is>
          <t>Ngân Hàng TMCP Tiên Phong (TPBank)</t>
        </is>
      </c>
      <c r="E4921" t="inlineStr">
        <is>
          <t>Lương:10 Tr - 19 Tr VND</t>
        </is>
      </c>
      <c r="F4921" t="inlineStr">
        <is>
          <t>Hà Nội</t>
        </is>
      </c>
      <c r="G4921" t="inlineStr">
        <is>
          <t>30-03-2026</t>
        </is>
      </c>
      <c r="H4921" t="inlineStr">
        <is>
          <t>30/03/2026</t>
        </is>
      </c>
      <c r="I4921" t="inlineStr">
        <is>
          <t>17/03/2026</t>
        </is>
      </c>
      <c r="J4921" t="inlineStr">
        <is>
          <t>Ngân hàng, Tài chính / Đầu tư, Bán hàng / Kinh doanh</t>
        </is>
      </c>
      <c r="K4921" t="inlineStr">
        <is>
          <t>1 - 3 Năm</t>
        </is>
      </c>
      <c r="L4921" s="8">
        <f>HYPERLINK("https://careerviet.vn/vi/tim-viec-lam/ha-noi-chuyen-vien-chuyen-vien-chinh-khach-hang-ca-nhan.35C66F6E.html","Xem chi tiết")</f>
        <v/>
      </c>
    </row>
    <row r="4922">
      <c r="B4922" s="9" t="n">
        <v>4920</v>
      </c>
      <c r="C4922" s="10" t="inlineStr">
        <is>
          <t>Nhân viên kinh doanh bán lẻ</t>
        </is>
      </c>
      <c r="D4922" s="10" t="inlineStr">
        <is>
          <t>Viet Han Concrete JSC.,</t>
        </is>
      </c>
      <c r="E4922" s="10" t="inlineStr">
        <is>
          <t>Lương:7 Tr - 20 Tr VND</t>
        </is>
      </c>
      <c r="F4922" s="10" t="inlineStr">
        <is>
          <t>Hồ Chí MinhĐồng NaiLong An</t>
        </is>
      </c>
      <c r="G4922" s="10" t="inlineStr">
        <is>
          <t>30-03-2026</t>
        </is>
      </c>
      <c r="H4922" s="10" t="inlineStr">
        <is>
          <t>30/03/2026</t>
        </is>
      </c>
      <c r="I4922" s="10" t="inlineStr">
        <is>
          <t>17/03/2026</t>
        </is>
      </c>
      <c r="J4922" s="10" t="inlineStr">
        <is>
          <t>Bán hàng / Kinh doanh, Bán lẻ / Bán sỉ, Xây dựng</t>
        </is>
      </c>
      <c r="K4922" s="10" t="inlineStr">
        <is>
          <t>Chưa có kinh nghiệm</t>
        </is>
      </c>
      <c r="L4922" s="11">
        <f>HYPERLINK("https://careerviet.vn/vi/tim-viec-lam/nhan-vien-kinh-doanh-ban-le.35C66E4D.html","Xem chi tiết")</f>
        <v/>
      </c>
      <c r="M4922" s="10" t="n"/>
    </row>
    <row r="4923">
      <c r="B4923" s="7" t="n">
        <v>4921</v>
      </c>
      <c r="C4923" t="inlineStr">
        <is>
          <t>Chuyên Viên Tư Vấn Bảo Hiểm Kênh Liên Kết Ngân Hàng Vietinbank Tây Ninh; Trà Vinh; Vũng Tàu</t>
        </is>
      </c>
      <c r="D4923" t="inlineStr">
        <is>
          <t>Manulife (Vietnam) Limited</t>
        </is>
      </c>
      <c r="E4923" t="inlineStr">
        <is>
          <t>Lương:6 Tr - 12 Tr VND</t>
        </is>
      </c>
      <c r="F4923" t="inlineStr">
        <is>
          <t>Bà Rịa - Vũng TàuTrà VinhTây Ninh</t>
        </is>
      </c>
      <c r="G4923" t="inlineStr">
        <is>
          <t>30-03-2026</t>
        </is>
      </c>
      <c r="H4923" t="inlineStr">
        <is>
          <t>30/03/2026</t>
        </is>
      </c>
      <c r="I4923" t="inlineStr">
        <is>
          <t>17/03/2026</t>
        </is>
      </c>
      <c r="J4923" t="inlineStr">
        <is>
          <t>Ngân hàng, Bảo hiểm, Tài chính / Đầu tư</t>
        </is>
      </c>
      <c r="K4923" t="inlineStr">
        <is>
          <t>1 - 2 Năm</t>
        </is>
      </c>
      <c r="L4923" s="8">
        <f>HYPERLINK("https://careerviet.vn/vi/tim-viec-lam/chuyen-vien-tu-van-bao-hiem-kenh-lien-ket-ngan-hang-vietinbank-tay-ninh-tra-vinh-vung-tau.35C6443B.html","Xem chi tiết")</f>
        <v/>
      </c>
    </row>
    <row r="4924">
      <c r="B4924" s="9" t="n">
        <v>4922</v>
      </c>
      <c r="C4924" s="10" t="inlineStr">
        <is>
          <t>[TP.HCM] GIÁM ĐỐC PHÒNG GIAO DỊCH</t>
        </is>
      </c>
      <c r="D4924" s="10" t="inlineStr">
        <is>
          <t>Ngân hàng TMCP Phát triển TP.HCM (HDBank)</t>
        </is>
      </c>
      <c r="E4924" s="10" t="inlineStr">
        <is>
          <t>Lương:Cạnh tranh</t>
        </is>
      </c>
      <c r="F4924" s="10" t="inlineStr">
        <is>
          <t>Hồ Chí Minh</t>
        </is>
      </c>
      <c r="G4924" s="10" t="inlineStr">
        <is>
          <t>30-03-2026</t>
        </is>
      </c>
      <c r="H4924" s="10" t="inlineStr">
        <is>
          <t>30/03/2026</t>
        </is>
      </c>
      <c r="I4924" s="10" t="inlineStr">
        <is>
          <t>17/03/2026</t>
        </is>
      </c>
      <c r="J4924" s="10" t="inlineStr">
        <is>
          <t>Ngân hàng, Tài chính / Đầu tư, Bán hàng / Kinh doanh</t>
        </is>
      </c>
      <c r="K4924" s="10" t="inlineStr">
        <is>
          <t>5 - 15 Năm</t>
        </is>
      </c>
      <c r="L4924" s="11">
        <f>HYPERLINK("https://careerviet.vn/vi/tim-viec-lam/tp-hcm-giam-doc-phong-giao-dich.35C66F1C.html","Xem chi tiết")</f>
        <v/>
      </c>
      <c r="M4924" s="10" t="n"/>
    </row>
    <row r="4925">
      <c r="B4925" s="7" t="n">
        <v>4923</v>
      </c>
      <c r="C4925" t="inlineStr">
        <is>
          <t>[Hotel Thanh Cong] General Manager (Pre-opening)</t>
        </is>
      </c>
      <c r="D4925" t="inlineStr">
        <is>
          <t>Công ty Cổ phần Tập đoàn Minh Anh</t>
        </is>
      </c>
      <c r="E4925" t="inlineStr">
        <is>
          <t>Lương:Cạnh tranh</t>
        </is>
      </c>
      <c r="F4925" t="inlineStr">
        <is>
          <t>Hà Nội</t>
        </is>
      </c>
      <c r="G4925" t="inlineStr">
        <is>
          <t>30-03-2026</t>
        </is>
      </c>
      <c r="H4925" t="inlineStr">
        <is>
          <t>30/03/2026</t>
        </is>
      </c>
      <c r="I4925" t="inlineStr">
        <is>
          <t>17/03/2026</t>
        </is>
      </c>
      <c r="J4925" t="inlineStr">
        <is>
          <t>Dịch vụ khách hàng, Nhà hàng / Khách sạn, Du lịch</t>
        </is>
      </c>
      <c r="K4925" t="inlineStr">
        <is>
          <t>5 - 10 Năm</t>
        </is>
      </c>
      <c r="L4925" s="8">
        <f>HYPERLINK("https://careerviet.vn/vi/tim-viec-lam/hotel-thanh-cong-general-manager-pre-opening.35C64427.html","Xem chi tiết")</f>
        <v/>
      </c>
    </row>
    <row r="4926">
      <c r="B4926" s="9" t="n">
        <v>4924</v>
      </c>
      <c r="C4926" s="10" t="inlineStr">
        <is>
          <t>Chuyên Viên Bán Hàng Dự Án/ Project Sales Executive (Hóa Chất Xây Dựng, Chống Thấm)</t>
        </is>
      </c>
      <c r="D4926" s="10" t="inlineStr">
        <is>
          <t>Saint-Gobain Vietnam</t>
        </is>
      </c>
      <c r="E4926" s="10" t="inlineStr">
        <is>
          <t>Lương:Cạnh tranh</t>
        </is>
      </c>
      <c r="F4926" s="10" t="inlineStr">
        <is>
          <t>Hà Nội</t>
        </is>
      </c>
      <c r="G4926" s="10" t="inlineStr">
        <is>
          <t>30-03-2026</t>
        </is>
      </c>
      <c r="H4926" s="10" t="inlineStr">
        <is>
          <t>30/03/2026</t>
        </is>
      </c>
      <c r="I4926" s="10" t="inlineStr">
        <is>
          <t>17/03/2026</t>
        </is>
      </c>
      <c r="J4926" s="10" t="inlineStr">
        <is>
          <t>Bán hàng / Kinh doanh</t>
        </is>
      </c>
      <c r="K4926" s="10" t="inlineStr">
        <is>
          <t>2 - 3 Năm</t>
        </is>
      </c>
      <c r="L4926" s="11">
        <f>HYPERLINK("https://careerviet.vn/vi/tim-viec-lam/chuyen-vien-ban-hang-du-an-project-sales-executive-hoa-chat-xay-dung-chong-tham.35C6446C.html","Xem chi tiết")</f>
        <v/>
      </c>
      <c r="M4926" s="10" t="n"/>
    </row>
    <row r="4927">
      <c r="B4927" s="7" t="n">
        <v>4925</v>
      </c>
      <c r="C4927" t="inlineStr">
        <is>
          <t>Kỹ Thuật Viên Khúc Xạ (Optician) Mắt kính Owndays - Khu vực TP. Hồ Chí Minh</t>
        </is>
      </c>
      <c r="D4927" t="inlineStr">
        <is>
          <t>CÔNG TY TNHH THỜI TRANG VÀ MỸ PHẨM ÂU CHÂU</t>
        </is>
      </c>
      <c r="E4927" t="inlineStr">
        <is>
          <t>Lương:14 Tr - 17 Tr VND</t>
        </is>
      </c>
      <c r="F4927" t="inlineStr">
        <is>
          <t>Hồ Chí Minh</t>
        </is>
      </c>
      <c r="G4927" t="inlineStr">
        <is>
          <t>30-03-2026</t>
        </is>
      </c>
      <c r="H4927" t="inlineStr">
        <is>
          <t>30/03/2026</t>
        </is>
      </c>
      <c r="I4927" t="inlineStr">
        <is>
          <t>17/03/2026</t>
        </is>
      </c>
      <c r="J4927" t="inlineStr">
        <is>
          <t>Dệt may / Da giày / Thời trang, Bán Hàng Kỹ Thuật, Bán lẻ / Bán sỉ</t>
        </is>
      </c>
      <c r="K4927" t="inlineStr">
        <is>
          <t>1 - 2 Năm</t>
        </is>
      </c>
      <c r="L4927" s="8">
        <f>HYPERLINK("https://careerviet.vn/vi/tim-viec-lam/ky-thuat-vien-khuc-xa-optician-mat-kinh-owndays-khu-vuc-tp-ho-chi-minh.35C64422.html","Xem chi tiết")</f>
        <v/>
      </c>
    </row>
    <row r="4928">
      <c r="B4928" s="9" t="n">
        <v>4926</v>
      </c>
      <c r="C4928" s="10" t="inlineStr">
        <is>
          <t>Nhân Viên Trưng Bày (VM - In Store) Nhãn Hàng Nike Hồ Chí Minh</t>
        </is>
      </c>
      <c r="D4928" s="10" t="inlineStr">
        <is>
          <t>CÔNG TY TNHH THỜI TRANG VÀ MỸ PHẨM ÂU CHÂU</t>
        </is>
      </c>
      <c r="E4928" s="10" t="inlineStr">
        <is>
          <t>Lương:9 Tr - 12 Tr VND</t>
        </is>
      </c>
      <c r="F4928" s="10" t="inlineStr">
        <is>
          <t>Hồ Chí Minh</t>
        </is>
      </c>
      <c r="G4928" s="10" t="inlineStr">
        <is>
          <t>30-03-2026</t>
        </is>
      </c>
      <c r="H4928" s="10" t="inlineStr">
        <is>
          <t>30/03/2026</t>
        </is>
      </c>
      <c r="I4928" s="10" t="inlineStr">
        <is>
          <t>17/03/2026</t>
        </is>
      </c>
      <c r="J4928" s="10" t="inlineStr">
        <is>
          <t>Mỹ thuật / Nghệ thuật / Thiết kế, Dệt may / Da giày / Thời trang</t>
        </is>
      </c>
      <c r="K4928" s="10" t="inlineStr">
        <is>
          <t>1 - 2 Năm</t>
        </is>
      </c>
      <c r="L4928" s="11">
        <f>HYPERLINK("https://careerviet.vn/vi/tim-viec-lam/nhan-vien-trung-bay-vm-in-store-nhan-hang-nike-ho-chi-minh.35C6432F.html","Xem chi tiết")</f>
        <v/>
      </c>
      <c r="M4928" s="10" t="n"/>
    </row>
    <row r="4929">
      <c r="B4929" s="7" t="n">
        <v>4927</v>
      </c>
      <c r="C4929" t="inlineStr">
        <is>
          <t>KỸ SƯ ROBOT</t>
        </is>
      </c>
      <c r="D4929" t="inlineStr">
        <is>
          <t>VINFAST TRADING AND PRODUCTION JSC</t>
        </is>
      </c>
      <c r="E4929" t="inlineStr">
        <is>
          <t>Lương:Cạnh tranh</t>
        </is>
      </c>
      <c r="F4929" t="inlineStr">
        <is>
          <t>Hà Tĩnh</t>
        </is>
      </c>
      <c r="G4929" t="inlineStr">
        <is>
          <t>30-03-2026</t>
        </is>
      </c>
      <c r="H4929" t="inlineStr">
        <is>
          <t>30/03/2026</t>
        </is>
      </c>
      <c r="I4929" t="inlineStr">
        <is>
          <t>17/03/2026</t>
        </is>
      </c>
      <c r="J4929" t="inlineStr">
        <is>
          <t>Sản xuất / Vận hành sản xuất</t>
        </is>
      </c>
      <c r="K4929" t="inlineStr">
        <is>
          <t>1 - 3 Năm</t>
        </is>
      </c>
      <c r="L4929" s="8">
        <f>HYPERLINK("https://careerviet.vn/vi/tim-viec-lam/ky-su-robot.35C66E4C.html","Xem chi tiết")</f>
        <v/>
      </c>
    </row>
    <row r="4930">
      <c r="B4930" s="9" t="n">
        <v>4928</v>
      </c>
      <c r="C4930" s="10" t="inlineStr">
        <is>
          <t>Chuyên viên Tư vấn hỗ trợ doanh nghiệp</t>
        </is>
      </c>
      <c r="D4930" s="10" t="inlineStr">
        <is>
          <t>CÔNG TY TNHH JOB HOUSE</t>
        </is>
      </c>
      <c r="E4930" s="10" t="inlineStr">
        <is>
          <t>Lương:1.000 - 1.300 USD</t>
        </is>
      </c>
      <c r="F4930" s="10" t="inlineStr">
        <is>
          <t>Hồ Chí Minh</t>
        </is>
      </c>
      <c r="G4930" s="10" t="inlineStr">
        <is>
          <t>30-03-2026</t>
        </is>
      </c>
      <c r="H4930" s="10" t="inlineStr">
        <is>
          <t>30/03/2026</t>
        </is>
      </c>
      <c r="I4930" s="10" t="inlineStr">
        <is>
          <t>17/03/2026</t>
        </is>
      </c>
      <c r="J4930" s="10" t="inlineStr">
        <is>
          <t>N/A</t>
        </is>
      </c>
      <c r="K4930" s="10" t="inlineStr">
        <is>
          <t>Trên 2 Năm</t>
        </is>
      </c>
      <c r="L4930" s="11">
        <f>HYPERLINK("https://careerviet.vn/vi/tim-viec-lam/chuyen-vien-tu-van-ho-tro-doanh-nghiep.35C66EDF.html","Xem chi tiết")</f>
        <v/>
      </c>
      <c r="M4930" s="10" t="n"/>
    </row>
    <row r="4931">
      <c r="B4931" s="7" t="n">
        <v>4929</v>
      </c>
      <c r="C4931" t="inlineStr">
        <is>
          <t>Technical Assistant Manager</t>
        </is>
      </c>
      <c r="D4931" t="inlineStr">
        <is>
          <t>Saint-Gobain Vietnam</t>
        </is>
      </c>
      <c r="E4931" t="inlineStr">
        <is>
          <t>Lương:Cạnh tranh</t>
        </is>
      </c>
      <c r="F4931" t="inlineStr">
        <is>
          <t>Hà Nội</t>
        </is>
      </c>
      <c r="G4931" t="inlineStr">
        <is>
          <t>30-03-2026</t>
        </is>
      </c>
      <c r="H4931" t="inlineStr">
        <is>
          <t>30/03/2026</t>
        </is>
      </c>
      <c r="I4931" t="inlineStr">
        <is>
          <t>17/03/2026</t>
        </is>
      </c>
      <c r="J4931" t="inlineStr">
        <is>
          <t>Bán Hàng Kỹ Thuật, Kiến trúc, Xây dựng</t>
        </is>
      </c>
      <c r="K4931" t="inlineStr">
        <is>
          <t>5 - 7 Năm</t>
        </is>
      </c>
      <c r="L4931" s="8">
        <f>HYPERLINK("https://careerviet.vn/vi/tim-viec-lam/technical-assistant-manager.35C6446D.html","Xem chi tiết")</f>
        <v/>
      </c>
    </row>
    <row r="4932">
      <c r="B4932" s="9" t="n">
        <v>4930</v>
      </c>
      <c r="C4932" s="10" t="inlineStr">
        <is>
          <t>Kỹ Sư Cơ Điện - PCCC</t>
        </is>
      </c>
      <c r="D4932" s="10" t="inlineStr">
        <is>
          <t>CÔNG TY TNHH XÂY DỰNG KỸ THUẬT THƯƠNG MẠI CƯỜNG THỊNH</t>
        </is>
      </c>
      <c r="E4932" s="10" t="inlineStr">
        <is>
          <t>Lương:15 Tr - 25 Tr VND</t>
        </is>
      </c>
      <c r="F4932" s="10" t="inlineStr">
        <is>
          <t>Hồ Chí Minh</t>
        </is>
      </c>
      <c r="G4932" s="10" t="inlineStr">
        <is>
          <t>30-03-2026</t>
        </is>
      </c>
      <c r="H4932" s="10" t="inlineStr">
        <is>
          <t>30/03/2026</t>
        </is>
      </c>
      <c r="I4932" s="10" t="inlineStr">
        <is>
          <t>17/03/2026</t>
        </is>
      </c>
      <c r="J4932" s="10" t="inlineStr">
        <is>
          <t>Xây dựng</t>
        </is>
      </c>
      <c r="K4932" s="10" t="inlineStr">
        <is>
          <t>1 - 3 Năm</t>
        </is>
      </c>
      <c r="L4932" s="11">
        <f>HYPERLINK("https://careerviet.vn/vi/tim-viec-lam/ky-su-co-dien-pccc.35C6434D.html","Xem chi tiết")</f>
        <v/>
      </c>
      <c r="M4932" s="10" t="n"/>
    </row>
    <row r="4933">
      <c r="B4933" s="7" t="n">
        <v>4931</v>
      </c>
      <c r="C4933" t="inlineStr">
        <is>
          <t>Nhân Viên Kế Toán Giá Thành</t>
        </is>
      </c>
      <c r="D4933" t="inlineStr">
        <is>
          <t>Công Ty TNHH Nikkiso Việt Nam</t>
        </is>
      </c>
      <c r="E4933" t="inlineStr">
        <is>
          <t>Lương:Cạnh tranh</t>
        </is>
      </c>
      <c r="F4933" t="inlineStr">
        <is>
          <t>Quảng Ngãi</t>
        </is>
      </c>
      <c r="G4933" t="inlineStr">
        <is>
          <t>30-03-2026</t>
        </is>
      </c>
      <c r="H4933" t="inlineStr">
        <is>
          <t>30/03/2026</t>
        </is>
      </c>
      <c r="I4933" t="inlineStr">
        <is>
          <t>17/03/2026</t>
        </is>
      </c>
      <c r="J4933" t="inlineStr">
        <is>
          <t>Kế toán / Kiểm toán</t>
        </is>
      </c>
      <c r="K4933" t="inlineStr">
        <is>
          <t>Không yêu cầu kinh nghiệm</t>
        </is>
      </c>
      <c r="L4933" s="8">
        <f>HYPERLINK("https://careerviet.vn/vi/tim-viec-lam/nhan-vien-ke-toan-gia-thanh.35C66F2C.html","Xem chi tiết")</f>
        <v/>
      </c>
    </row>
    <row r="4934">
      <c r="B4934" s="9" t="n">
        <v>4932</v>
      </c>
      <c r="C4934" s="10" t="inlineStr">
        <is>
          <t>Tender Leader - Quản lý đấu thầu</t>
        </is>
      </c>
      <c r="D4934" s="10" t="inlineStr">
        <is>
          <t>Bảo mật</t>
        </is>
      </c>
      <c r="E4934" s="10" t="inlineStr">
        <is>
          <t>Lương:25 Tr - 30 Tr VND</t>
        </is>
      </c>
      <c r="F4934" s="10" t="inlineStr">
        <is>
          <t>Hồ Chí Minh</t>
        </is>
      </c>
      <c r="G4934" s="10" t="inlineStr">
        <is>
          <t>30-03-2026</t>
        </is>
      </c>
      <c r="H4934" s="10" t="inlineStr">
        <is>
          <t>30/03/2026</t>
        </is>
      </c>
      <c r="I4934" s="10" t="inlineStr">
        <is>
          <t>17/03/2026</t>
        </is>
      </c>
      <c r="J4934" s="10" t="inlineStr">
        <is>
          <t>Điện / Điện tử / Điện lạnh / Điện công nghiệp, Bảo trì / Sửa chữa, Xây dựng</t>
        </is>
      </c>
      <c r="K4934" s="10" t="inlineStr">
        <is>
          <t>5 - 7 Năm</t>
        </is>
      </c>
      <c r="L4934" s="11">
        <f>HYPERLINK("https://careerviet.vn/vi/tim-viec-lam/tender-leader-quan-ly-dau-thau.35C66E2F.html","Xem chi tiết")</f>
        <v/>
      </c>
      <c r="M4934" s="10" t="n"/>
    </row>
    <row r="4935">
      <c r="B4935" s="7" t="n">
        <v>4933</v>
      </c>
      <c r="C4935" t="inlineStr">
        <is>
          <t>Kỹ Sư Kỹ Thuật Khuôn</t>
        </is>
      </c>
      <c r="D4935" t="inlineStr">
        <is>
          <t>Công ty TNHH Ohara Plastics Việt Nam</t>
        </is>
      </c>
      <c r="E4935" t="inlineStr">
        <is>
          <t>Lương:Cạnh tranh</t>
        </is>
      </c>
      <c r="F4935" t="inlineStr">
        <is>
          <t>Hà Nội</t>
        </is>
      </c>
      <c r="G4935" t="inlineStr">
        <is>
          <t>30-03-2026</t>
        </is>
      </c>
      <c r="H4935" t="inlineStr">
        <is>
          <t>30/03/2026</t>
        </is>
      </c>
      <c r="I4935" t="inlineStr">
        <is>
          <t>17/03/2026</t>
        </is>
      </c>
      <c r="J4935" t="inlineStr">
        <is>
          <t>Cơ khí / Ô tô / Tự động hóa, Bảo trì / Sửa chữa, Sản xuất / Vận hành sản xuất</t>
        </is>
      </c>
      <c r="K4935" t="inlineStr">
        <is>
          <t>Trên 2 Năm</t>
        </is>
      </c>
      <c r="L4935" s="8">
        <f>HYPERLINK("https://careerviet.vn/vi/tim-viec-lam/ky-su-ky-thuat-khuon.35C66F3C.html","Xem chi tiết")</f>
        <v/>
      </c>
    </row>
    <row r="4936">
      <c r="B4936" s="9" t="n">
        <v>4934</v>
      </c>
      <c r="C4936" s="10" t="inlineStr">
        <is>
          <t>Quality Control Officer (6 tháng)</t>
        </is>
      </c>
      <c r="D4936" s="10" t="inlineStr">
        <is>
          <t>Công Ty Cổ Phần Hiệp Phú -  Vico</t>
        </is>
      </c>
      <c r="E4936" s="10" t="inlineStr">
        <is>
          <t>Lương:Cạnh tranh</t>
        </is>
      </c>
      <c r="F4936" s="10" t="inlineStr">
        <is>
          <t>Quảng Trị</t>
        </is>
      </c>
      <c r="G4936" s="10" t="inlineStr">
        <is>
          <t>30-03-2026</t>
        </is>
      </c>
      <c r="H4936" s="10" t="inlineStr">
        <is>
          <t>30/03/2026</t>
        </is>
      </c>
      <c r="I4936" s="10" t="inlineStr">
        <is>
          <t>17/03/2026</t>
        </is>
      </c>
      <c r="J4936" s="10" t="inlineStr">
        <is>
          <t>Công nghệ sinh học, Hóa học, Công nghệ thực phẩm / Dinh dưỡng</t>
        </is>
      </c>
      <c r="K4936" s="10" t="inlineStr">
        <is>
          <t>1 - 2 Năm</t>
        </is>
      </c>
      <c r="L4936" s="11">
        <f>HYPERLINK("https://careerviet.vn/vi/tim-viec-lam/quality-control-officer-6-thang.35C66E51.html","Xem chi tiết")</f>
        <v/>
      </c>
      <c r="M4936" s="10" t="n"/>
    </row>
    <row r="4937">
      <c r="B4937" s="7" t="n">
        <v>4935</v>
      </c>
      <c r="C4937" t="inlineStr">
        <is>
          <t>Unit Sales Manager</t>
        </is>
      </c>
      <c r="D4937" t="inlineStr">
        <is>
          <t>Công Ty Cổ Phần Uniben</t>
        </is>
      </c>
      <c r="E4937" t="inlineStr">
        <is>
          <t>Lương:Cạnh tranh</t>
        </is>
      </c>
      <c r="F4937" t="inlineStr">
        <is>
          <t>Lào CaiYên BáiTuyên Quang</t>
        </is>
      </c>
      <c r="G4937" t="inlineStr">
        <is>
          <t>30-03-2026</t>
        </is>
      </c>
      <c r="H4937" t="inlineStr">
        <is>
          <t>30/03/2026</t>
        </is>
      </c>
      <c r="I4937" t="inlineStr">
        <is>
          <t>17/03/2026</t>
        </is>
      </c>
      <c r="J4937" t="inlineStr">
        <is>
          <t>Bán lẻ / Bán sỉ, Bán hàng / Kinh doanh, Thực phẩm &amp; Đồ uống</t>
        </is>
      </c>
      <c r="K4937" t="inlineStr">
        <is>
          <t>Trên 2 Năm</t>
        </is>
      </c>
      <c r="L4937" s="8">
        <f>HYPERLINK("https://careerviet.vn/vi/tim-viec-lam/unit-sales-manager.35C66F84.html","Xem chi tiết")</f>
        <v/>
      </c>
    </row>
    <row r="4938">
      <c r="B4938" s="9" t="n">
        <v>4936</v>
      </c>
      <c r="C4938" s="10" t="inlineStr">
        <is>
          <t>Phó phòng Quản lý Tài sản - Vật  tư</t>
        </is>
      </c>
      <c r="D4938" s="10" t="inlineStr">
        <is>
          <t>CÔNG TY CỔ PHẦN THỊNH CƯỜNG</t>
        </is>
      </c>
      <c r="E4938" s="10" t="inlineStr">
        <is>
          <t>Lương:25 Tr - 35 Tr VND</t>
        </is>
      </c>
      <c r="F4938" s="10" t="inlineStr">
        <is>
          <t>Hà Nội</t>
        </is>
      </c>
      <c r="G4938" s="10" t="inlineStr">
        <is>
          <t>30-03-2026</t>
        </is>
      </c>
      <c r="H4938" s="10" t="inlineStr">
        <is>
          <t>30/03/2026</t>
        </is>
      </c>
      <c r="I4938" s="10" t="inlineStr">
        <is>
          <t>17/03/2026</t>
        </is>
      </c>
      <c r="J4938" s="10" t="inlineStr">
        <is>
          <t>Vận chuyển / Giao nhận / Kho vận, Hành chính / Thư ký, Kế toán / Kiểm toán</t>
        </is>
      </c>
      <c r="K4938" s="10" t="inlineStr">
        <is>
          <t>3 - 5 Năm</t>
        </is>
      </c>
      <c r="L4938" s="11">
        <f>HYPERLINK("https://careerviet.vn/vi/tim-viec-lam/pho-phong-quan-ly-tai-san-vat-tu.35C643C3.html","Xem chi tiết")</f>
        <v/>
      </c>
      <c r="M4938" s="10" t="n"/>
    </row>
    <row r="4939">
      <c r="B4939" s="7" t="n">
        <v>4937</v>
      </c>
      <c r="C4939" t="inlineStr">
        <is>
          <t>Hà Nội - Chuyên Viên Tư Vấn Khách Hàng Cá Nhân</t>
        </is>
      </c>
      <c r="D4939" t="inlineStr">
        <is>
          <t>ABBANK - Ngân Hàng TMCP An Bình</t>
        </is>
      </c>
      <c r="E4939" t="inlineStr">
        <is>
          <t>Lương:9 Tr - 20 Tr VND</t>
        </is>
      </c>
      <c r="F4939" t="inlineStr">
        <is>
          <t>Hà Nội</t>
        </is>
      </c>
      <c r="G4939" t="inlineStr">
        <is>
          <t>30-03-2026</t>
        </is>
      </c>
      <c r="H4939" t="inlineStr">
        <is>
          <t>30/03/2026</t>
        </is>
      </c>
      <c r="I4939" t="inlineStr">
        <is>
          <t>17/03/2026</t>
        </is>
      </c>
      <c r="J4939" t="inlineStr">
        <is>
          <t>Bán hàng / Kinh doanh, Ngân hàng, Tài chính / Đầu tư</t>
        </is>
      </c>
      <c r="K4939" t="inlineStr">
        <is>
          <t>Trên 1 Năm</t>
        </is>
      </c>
      <c r="L4939" s="8">
        <f>HYPERLINK("https://careerviet.vn/vi/tim-viec-lam/ha-noi-chuyen-vien-tu-van-khach-hang-ca-nhan.35C66E9B.html","Xem chi tiết")</f>
        <v/>
      </c>
    </row>
    <row r="4940">
      <c r="B4940" s="9" t="n">
        <v>4938</v>
      </c>
      <c r="C4940" s="10" t="inlineStr">
        <is>
          <t>Chuyên Viên Quan Hệ Khách Hàng - [BAC A BANK - Chi Nhánh Ninh Bình/ Nam Định/ Hà Giang]</t>
        </is>
      </c>
      <c r="D4940" s="10" t="inlineStr">
        <is>
          <t>Ngân Hàng Thương mại cổ phần Bắc Á- BAC A BANK</t>
        </is>
      </c>
      <c r="E4940" s="10" t="inlineStr">
        <is>
          <t>Lương:Cạnh tranh</t>
        </is>
      </c>
      <c r="F4940" s="10" t="inlineStr">
        <is>
          <t>Ninh BìnhHà GiangNam Định</t>
        </is>
      </c>
      <c r="G4940" s="10" t="inlineStr">
        <is>
          <t>30-03-2026</t>
        </is>
      </c>
      <c r="H4940" s="10" t="inlineStr">
        <is>
          <t>30/03/2026</t>
        </is>
      </c>
      <c r="I4940" s="10" t="inlineStr">
        <is>
          <t>17/03/2026</t>
        </is>
      </c>
      <c r="J4940" s="10" t="inlineStr">
        <is>
          <t>Mới tốt nghiệp / Thực tập, Ngân hàng</t>
        </is>
      </c>
      <c r="K4940" s="10" t="inlineStr">
        <is>
          <t>Chưa có kinh nghiệm</t>
        </is>
      </c>
      <c r="L4940" s="11">
        <f>HYPERLINK("https://careerviet.vn/vi/tim-viec-lam/chuyen-vien-quan-he-khach-hang-bac-a-bank-chi-nhanh-ninh-binh-nam-dinh-ha-giang.35C66E3B.html","Xem chi tiết")</f>
        <v/>
      </c>
      <c r="M4940" s="10" t="n"/>
    </row>
    <row r="4941">
      <c r="B4941" s="7" t="n">
        <v>4939</v>
      </c>
      <c r="C4941" t="inlineStr">
        <is>
          <t>127219 - Japanese Speaking - Project Manager - Machinery</t>
        </is>
      </c>
      <c r="D4941" t="inlineStr">
        <is>
          <t>RGF HR Agent Vietnam Co., LTD</t>
        </is>
      </c>
      <c r="E4941" t="inlineStr">
        <is>
          <t>Lương:Cạnh tranh</t>
        </is>
      </c>
      <c r="F4941" t="inlineStr">
        <is>
          <t>Đồng Nai</t>
        </is>
      </c>
      <c r="G4941" t="inlineStr">
        <is>
          <t>30-03-2026</t>
        </is>
      </c>
      <c r="H4941" t="inlineStr">
        <is>
          <t>30/03/2026</t>
        </is>
      </c>
      <c r="I4941" t="inlineStr">
        <is>
          <t>17/03/2026</t>
        </is>
      </c>
      <c r="J4941" t="inlineStr">
        <is>
          <t>Sản xuất / Vận hành sản xuất</t>
        </is>
      </c>
      <c r="K4941" t="inlineStr">
        <is>
          <t>3 - 5 Năm</t>
        </is>
      </c>
      <c r="L4941" s="8">
        <f>HYPERLINK("https://careerviet.vn/vi/tim-viec-lam/127219-japanese-speaking-project-manager-machinery.35C66EB9.html","Xem chi tiết")</f>
        <v/>
      </c>
    </row>
    <row r="4942">
      <c r="B4942" s="9" t="n">
        <v>4940</v>
      </c>
      <c r="C4942" s="10" t="inlineStr">
        <is>
          <t>Nhân Viên Bán Hàng Hàng Nhãn Tommy Hilfiger Hồ Chí Minh</t>
        </is>
      </c>
      <c r="D4942" s="10" t="inlineStr">
        <is>
          <t>CÔNG TY TNHH THỜI TRANG VÀ MỸ PHẨM ÂU CHÂU</t>
        </is>
      </c>
      <c r="E4942" s="10" t="inlineStr">
        <is>
          <t>Lương:8 Tr - 12 Tr VND</t>
        </is>
      </c>
      <c r="F4942" s="10" t="inlineStr">
        <is>
          <t>Hồ Chí Minh</t>
        </is>
      </c>
      <c r="G4942" s="10" t="inlineStr">
        <is>
          <t>30-03-2026</t>
        </is>
      </c>
      <c r="H4942" s="10" t="inlineStr">
        <is>
          <t>30/03/2026</t>
        </is>
      </c>
      <c r="I4942" s="10" t="inlineStr">
        <is>
          <t>17/03/2026</t>
        </is>
      </c>
      <c r="J4942" s="10" t="inlineStr">
        <is>
          <t>Bán lẻ / Bán sỉ, Bán hàng / Kinh doanh, Dệt may / Da giày / Thời trang</t>
        </is>
      </c>
      <c r="K4942" s="10" t="inlineStr">
        <is>
          <t>1 - 2 Năm</t>
        </is>
      </c>
      <c r="L4942" s="11">
        <f>HYPERLINK("https://careerviet.vn/vi/tim-viec-lam/nhan-vien-ban-hang-hang-nhan-tommy-hilfiger-ho-chi-minh.35C6433D.html","Xem chi tiết")</f>
        <v/>
      </c>
      <c r="M4942" s="10" t="n"/>
    </row>
    <row r="4943">
      <c r="B4943" s="7" t="n">
        <v>4941</v>
      </c>
      <c r="C4943" t="inlineStr">
        <is>
          <t>Quality Assurance Engineer - VCA</t>
        </is>
      </c>
      <c r="D4943" t="inlineStr">
        <is>
          <t>VINFAST TRADING AND PRODUCTION JSC</t>
        </is>
      </c>
      <c r="E4943" t="inlineStr">
        <is>
          <t>Lương:Cạnh tranh</t>
        </is>
      </c>
      <c r="F4943" t="inlineStr">
        <is>
          <t>Hà Tĩnh</t>
        </is>
      </c>
      <c r="G4943" t="inlineStr">
        <is>
          <t>30-03-2026</t>
        </is>
      </c>
      <c r="H4943" t="inlineStr">
        <is>
          <t>30/03/2026</t>
        </is>
      </c>
      <c r="I4943" t="inlineStr">
        <is>
          <t>17/03/2026</t>
        </is>
      </c>
      <c r="J4943" t="inlineStr">
        <is>
          <t>Sản xuất / Vận hành sản xuất</t>
        </is>
      </c>
      <c r="K4943" t="inlineStr">
        <is>
          <t>1 - 3 Năm</t>
        </is>
      </c>
      <c r="L4943" s="8">
        <f>HYPERLINK("https://careerviet.vn/vi/tim-viec-lam/quality-assurance-engineer-vca.35C66C75.html","Xem chi tiết")</f>
        <v/>
      </c>
    </row>
    <row r="4944">
      <c r="B4944" s="9" t="n">
        <v>4942</v>
      </c>
      <c r="C4944" s="10" t="inlineStr">
        <is>
          <t>Chuyên viên Kinh doanh Hạt nhựa Nội địa</t>
        </is>
      </c>
      <c r="D4944" s="10" t="inlineStr">
        <is>
          <t>Tập đoàn Stavian (Stavian Group)</t>
        </is>
      </c>
      <c r="E4944" s="10" t="inlineStr">
        <is>
          <t>Lương:Cạnh tranh</t>
        </is>
      </c>
      <c r="F4944" s="10" t="inlineStr">
        <is>
          <t>Hà Nội</t>
        </is>
      </c>
      <c r="G4944" s="10" t="inlineStr">
        <is>
          <t>30-03-2026</t>
        </is>
      </c>
      <c r="H4944" s="10" t="inlineStr">
        <is>
          <t>30/03/2026</t>
        </is>
      </c>
      <c r="I4944" s="10" t="inlineStr">
        <is>
          <t>17/03/2026</t>
        </is>
      </c>
      <c r="J4944" s="10" t="inlineStr">
        <is>
          <t>Bán hàng / Kinh doanh</t>
        </is>
      </c>
      <c r="K4944" s="10" t="inlineStr">
        <is>
          <t>1 - 5 Năm</t>
        </is>
      </c>
      <c r="L4944" s="11">
        <f>HYPERLINK("https://careerviet.vn/vi/tim-viec-lam/chuyen-vien-kinh-doanh-hat-nhua-noi-dia.35C66E49.html","Xem chi tiết")</f>
        <v/>
      </c>
      <c r="M4944" s="10" t="n"/>
    </row>
    <row r="4945">
      <c r="B4945" s="7" t="n">
        <v>4943</v>
      </c>
      <c r="C4945" t="inlineStr">
        <is>
          <t>Nhân viên Kinh doanh</t>
        </is>
      </c>
      <c r="D4945" t="inlineStr">
        <is>
          <t>CÔNG TY TNHH BULSAN GROUP</t>
        </is>
      </c>
      <c r="E4945" t="inlineStr">
        <is>
          <t>Lương:10 Tr - 18 Tr VND</t>
        </is>
      </c>
      <c r="F4945" t="inlineStr">
        <is>
          <t>Hồ Chí Minh</t>
        </is>
      </c>
      <c r="G4945" t="inlineStr">
        <is>
          <t>30-03-2026</t>
        </is>
      </c>
      <c r="H4945" t="inlineStr">
        <is>
          <t>30/03/2026</t>
        </is>
      </c>
      <c r="I4945" t="inlineStr">
        <is>
          <t>17/03/2026</t>
        </is>
      </c>
      <c r="J4945" t="inlineStr">
        <is>
          <t>Bán lẻ / Bán sỉ, Bán hàng / Kinh doanh, Hàng gia dụng / Chăm sóc cá nhân</t>
        </is>
      </c>
      <c r="K4945" t="inlineStr">
        <is>
          <t>1 - 2 Năm</t>
        </is>
      </c>
      <c r="L4945" s="8">
        <f>HYPERLINK("https://careerviet.vn/vi/tim-viec-lam/nhan-vien-kinh-doanh.35C643BE.html","Xem chi tiết")</f>
        <v/>
      </c>
    </row>
    <row r="4946">
      <c r="B4946" s="9" t="n">
        <v>4944</v>
      </c>
      <c r="C4946" s="10" t="inlineStr">
        <is>
          <t>Trưởng Phòng Kinh Doanh</t>
        </is>
      </c>
      <c r="D4946" s="10" t="inlineStr">
        <is>
          <t>Công Ty Cổ Phần Thép Công Nghiệp GB</t>
        </is>
      </c>
      <c r="E4946" s="10" t="inlineStr">
        <is>
          <t>Lương:Cạnh tranh</t>
        </is>
      </c>
      <c r="F4946" s="10" t="inlineStr">
        <is>
          <t>Hồ Chí Minh</t>
        </is>
      </c>
      <c r="G4946" s="10" t="inlineStr">
        <is>
          <t>30-03-2026</t>
        </is>
      </c>
      <c r="H4946" s="10" t="inlineStr">
        <is>
          <t>30/03/2026</t>
        </is>
      </c>
      <c r="I4946" s="10" t="inlineStr">
        <is>
          <t>17/03/2026</t>
        </is>
      </c>
      <c r="J4946" s="10" t="inlineStr">
        <is>
          <t>Bán hàng / Kinh doanh, Quản lý điều hành, Xây dựng</t>
        </is>
      </c>
      <c r="K4946" s="10" t="inlineStr">
        <is>
          <t>5 - 7 Năm</t>
        </is>
      </c>
      <c r="L4946" s="11">
        <f>HYPERLINK("https://careerviet.vn/vi/tim-viec-lam/truong-phong-kinh-doanh.35C66F9C.html","Xem chi tiết")</f>
        <v/>
      </c>
      <c r="M4946" s="10" t="n"/>
    </row>
    <row r="4947">
      <c r="B4947" s="7" t="n">
        <v>4945</v>
      </c>
      <c r="C4947" t="inlineStr">
        <is>
          <t>127354 - After Sales Support cum Sales Staff - Trading</t>
        </is>
      </c>
      <c r="D4947" t="inlineStr">
        <is>
          <t>RGF HR Agent Vietnam Co., LTD</t>
        </is>
      </c>
      <c r="E4947" t="inlineStr">
        <is>
          <t>Lương:15 Tr - 24 Tr VND</t>
        </is>
      </c>
      <c r="F4947" t="inlineStr">
        <is>
          <t>Hà Nội</t>
        </is>
      </c>
      <c r="G4947" t="inlineStr">
        <is>
          <t>30-03-2026</t>
        </is>
      </c>
      <c r="H4947" t="inlineStr">
        <is>
          <t>30/03/2026</t>
        </is>
      </c>
      <c r="I4947" t="inlineStr">
        <is>
          <t>17/03/2026</t>
        </is>
      </c>
      <c r="J4947" t="inlineStr">
        <is>
          <t>Bán hàng / Kinh doanh</t>
        </is>
      </c>
      <c r="K4947" t="inlineStr">
        <is>
          <t>Trên 2 Năm</t>
        </is>
      </c>
      <c r="L4947" s="8">
        <f>HYPERLINK("https://careerviet.vn/vi/tim-viec-lam/127354-after-sales-support-cum-sales-staff-trading.35C66E9C.html","Xem chi tiết")</f>
        <v/>
      </c>
    </row>
    <row r="4948">
      <c r="B4948" s="9" t="n">
        <v>4946</v>
      </c>
      <c r="C4948" s="10" t="inlineStr">
        <is>
          <t>Nhân Viên HSE</t>
        </is>
      </c>
      <c r="D4948" s="10" t="inlineStr">
        <is>
          <t>Công Ty TNHH Nikkiso Việt Nam</t>
        </is>
      </c>
      <c r="E4948" s="10" t="inlineStr">
        <is>
          <t>Lương:Cạnh tranh</t>
        </is>
      </c>
      <c r="F4948" s="10" t="inlineStr">
        <is>
          <t>Quảng Ngãi</t>
        </is>
      </c>
      <c r="G4948" s="10" t="inlineStr">
        <is>
          <t>30-03-2026</t>
        </is>
      </c>
      <c r="H4948" s="10" t="inlineStr">
        <is>
          <t>30/03/2026</t>
        </is>
      </c>
      <c r="I4948" s="10" t="inlineStr">
        <is>
          <t>17/03/2026</t>
        </is>
      </c>
      <c r="J4948" s="10" t="inlineStr">
        <is>
          <t>Sản xuất / Vận hành sản xuất, An toàn lao động</t>
        </is>
      </c>
      <c r="K4948" s="10" t="inlineStr">
        <is>
          <t>Không yêu cầu kinh nghiệm</t>
        </is>
      </c>
      <c r="L4948" s="11">
        <f>HYPERLINK("https://careerviet.vn/vi/tim-viec-lam/nhan-vien-hse.35C66F2B.html","Xem chi tiết")</f>
        <v/>
      </c>
      <c r="M4948" s="10" t="n"/>
    </row>
    <row r="4949">
      <c r="B4949" s="7" t="n">
        <v>4947</v>
      </c>
      <c r="C4949" t="inlineStr">
        <is>
          <t>Brand Manager Assistant</t>
        </is>
      </c>
      <c r="D4949" t="inlineStr">
        <is>
          <t>Công ty Easia Travel</t>
        </is>
      </c>
      <c r="E4949" t="inlineStr">
        <is>
          <t>Lương:Cạnh tranh</t>
        </is>
      </c>
      <c r="F4949" t="inlineStr">
        <is>
          <t>Hà Nội</t>
        </is>
      </c>
      <c r="G4949" t="inlineStr">
        <is>
          <t>30-03-2026</t>
        </is>
      </c>
      <c r="H4949" t="inlineStr">
        <is>
          <t>30/03/2026</t>
        </is>
      </c>
      <c r="I4949" t="inlineStr">
        <is>
          <t>17/03/2026</t>
        </is>
      </c>
      <c r="J4949" t="inlineStr">
        <is>
          <t>Nhà hàng / Khách sạn, Du lịch</t>
        </is>
      </c>
      <c r="K4949" t="inlineStr">
        <is>
          <t>2 - 3 Năm</t>
        </is>
      </c>
      <c r="L4949" s="8">
        <f>HYPERLINK("https://careerviet.vn/vi/tim-viec-lam/brand-manager-assistant.35C66F27.html","Xem chi tiết")</f>
        <v/>
      </c>
    </row>
    <row r="4950">
      <c r="B4950" s="9" t="n">
        <v>4948</v>
      </c>
      <c r="C4950" s="10" t="inlineStr">
        <is>
          <t>Urgent - Customer Service Executive (Food Testing Service)</t>
        </is>
      </c>
      <c r="D4950" s="10" t="inlineStr">
        <is>
          <t>TÜV SÜD Vietnam</t>
        </is>
      </c>
      <c r="E4950" s="10" t="inlineStr">
        <is>
          <t>Lương:Cạnh tranh</t>
        </is>
      </c>
      <c r="F4950" s="10" t="inlineStr">
        <is>
          <t>Hồ Chí Minh</t>
        </is>
      </c>
      <c r="G4950" s="10" t="inlineStr">
        <is>
          <t>30-03-2026</t>
        </is>
      </c>
      <c r="H4950" s="10" t="inlineStr">
        <is>
          <t>30/03/2026</t>
        </is>
      </c>
      <c r="I4950" s="10" t="inlineStr">
        <is>
          <t>17/03/2026</t>
        </is>
      </c>
      <c r="J4950" s="10" t="inlineStr">
        <is>
          <t>Dịch vụ khách hàng, Công nghệ sinh học, Công nghệ thực phẩm / Dinh dưỡng</t>
        </is>
      </c>
      <c r="K4950" s="10" t="inlineStr">
        <is>
          <t>1 - 2 Năm</t>
        </is>
      </c>
      <c r="L4950" s="11">
        <f>HYPERLINK("https://careerviet.vn/vi/tim-viec-lam/urgent-customer-service-executive-food-testing-service.35C66FAA.html","Xem chi tiết")</f>
        <v/>
      </c>
      <c r="M4950" s="10" t="n"/>
    </row>
    <row r="4951">
      <c r="B4951" s="7" t="n">
        <v>4949</v>
      </c>
      <c r="C4951" t="inlineStr">
        <is>
          <t>Trưởng phòng quản lý khách hàng doanh nghiệp</t>
        </is>
      </c>
      <c r="D4951" t="inlineStr">
        <is>
          <t>CÔNG TY CỔ PHẦN HỢP TÁC ĐẦU TƯ &amp; CÔNG NGHỆ TECHCOOP</t>
        </is>
      </c>
      <c r="E4951" t="inlineStr">
        <is>
          <t>Lương:20 Tr - 35 Tr VND</t>
        </is>
      </c>
      <c r="F4951" t="inlineStr">
        <is>
          <t>Hồ Chí Minh</t>
        </is>
      </c>
      <c r="G4951" t="inlineStr">
        <is>
          <t>28-03-2026</t>
        </is>
      </c>
      <c r="H4951" t="inlineStr">
        <is>
          <t>28/03/2026</t>
        </is>
      </c>
      <c r="I4951" t="inlineStr">
        <is>
          <t>17/03/2026</t>
        </is>
      </c>
      <c r="J4951" t="inlineStr">
        <is>
          <t>Ngân hàng, Tài chính / Đầu tư</t>
        </is>
      </c>
      <c r="K4951" t="inlineStr">
        <is>
          <t>5 - 10 Năm</t>
        </is>
      </c>
      <c r="L4951" s="8">
        <f>HYPERLINK("https://careerviet.vn/vi/tim-viec-lam/truong-phong-quan-ly-khach-hang-doanh-nghiep.35C66B02.html","Xem chi tiết")</f>
        <v/>
      </c>
    </row>
    <row r="4952">
      <c r="B4952" s="9" t="n">
        <v>4950</v>
      </c>
      <c r="C4952" s="10" t="inlineStr">
        <is>
          <t>Sales Engineer /Kỹ sư Kinh doanh (lương 15-25 tr)</t>
        </is>
      </c>
      <c r="D4952" s="10" t="inlineStr">
        <is>
          <t>CÔNG TY TNHH ATLAS COPCO VIỆT NAM</t>
        </is>
      </c>
      <c r="E4952" s="10" t="inlineStr">
        <is>
          <t>Lương:15 Tr - 25 Tr VND</t>
        </is>
      </c>
      <c r="F4952" s="10" t="inlineStr">
        <is>
          <t>Hà Nội</t>
        </is>
      </c>
      <c r="G4952" s="10" t="inlineStr">
        <is>
          <t>30-03-2026</t>
        </is>
      </c>
      <c r="H4952" s="10" t="inlineStr">
        <is>
          <t>30/03/2026</t>
        </is>
      </c>
      <c r="I4952" s="10" t="inlineStr">
        <is>
          <t>17/03/2026</t>
        </is>
      </c>
      <c r="J4952" s="10" t="inlineStr">
        <is>
          <t>Bán hàng / Kinh doanh, Bán Hàng Kỹ Thuật</t>
        </is>
      </c>
      <c r="K4952" s="10" t="inlineStr">
        <is>
          <t>1 - 3 Năm</t>
        </is>
      </c>
      <c r="L4952" s="11">
        <f>HYPERLINK("https://careerviet.vn/vi/tim-viec-lam/sales-engineer-ky-su-kinh-doanh-luong-15-25-tr.35C66E80.html","Xem chi tiết")</f>
        <v/>
      </c>
      <c r="M4952" s="10" t="n"/>
    </row>
    <row r="4953">
      <c r="B4953" s="7" t="n">
        <v>4951</v>
      </c>
      <c r="C4953" t="inlineStr">
        <is>
          <t>CQE (Customer Quality Engineer)</t>
        </is>
      </c>
      <c r="D4953" t="inlineStr">
        <is>
          <t>Friwo Vietnam Co., Ltd</t>
        </is>
      </c>
      <c r="E4953" t="inlineStr">
        <is>
          <t>Lương:Cạnh tranh</t>
        </is>
      </c>
      <c r="F4953" t="inlineStr">
        <is>
          <t>Đồng Nai</t>
        </is>
      </c>
      <c r="G4953" t="inlineStr">
        <is>
          <t>28-03-2026</t>
        </is>
      </c>
      <c r="H4953" t="inlineStr">
        <is>
          <t>28/03/2026</t>
        </is>
      </c>
      <c r="I4953" t="inlineStr">
        <is>
          <t>17/03/2026</t>
        </is>
      </c>
      <c r="J4953" t="inlineStr">
        <is>
          <t>Điện / Điện tử / Điện lạnh / Điện công nghiệp, Sản xuất / Vận hành sản xuất</t>
        </is>
      </c>
      <c r="K4953" t="inlineStr">
        <is>
          <t>2 - 3 Năm</t>
        </is>
      </c>
      <c r="L4953" s="8">
        <f>HYPERLINK("https://careerviet.vn/vi/tim-viec-lam/cqe-customer-quality-engineer.35C66AA3.html","Xem chi tiết")</f>
        <v/>
      </c>
    </row>
    <row r="4954">
      <c r="B4954" s="9" t="n">
        <v>4952</v>
      </c>
      <c r="C4954" s="10" t="inlineStr">
        <is>
          <t>Kế Toán Bán Hàng (Hợp đồng 6 tháng)</t>
        </is>
      </c>
      <c r="D4954" s="10" t="inlineStr">
        <is>
          <t>De Heus LLC</t>
        </is>
      </c>
      <c r="E4954" s="10" t="inlineStr">
        <is>
          <t>Lương:Cạnh tranh</t>
        </is>
      </c>
      <c r="F4954" s="10" t="inlineStr">
        <is>
          <t>Phú ThọHưng YênVĩnh Phúc</t>
        </is>
      </c>
      <c r="G4954" s="10" t="inlineStr">
        <is>
          <t>30-03-2026</t>
        </is>
      </c>
      <c r="H4954" s="10" t="inlineStr">
        <is>
          <t>30/03/2026</t>
        </is>
      </c>
      <c r="I4954" s="10" t="inlineStr">
        <is>
          <t>17/03/2026</t>
        </is>
      </c>
      <c r="J4954" s="10" t="inlineStr">
        <is>
          <t>Kế toán / Kiểm toán</t>
        </is>
      </c>
      <c r="K4954" s="10" t="inlineStr">
        <is>
          <t>1 - 8 Năm</t>
        </is>
      </c>
      <c r="L4954" s="11">
        <f>HYPERLINK("https://careerviet.vn/vi/tim-viec-lam/ke-toan-ban-hang-hop-dong-6-thang.35C64328.html","Xem chi tiết")</f>
        <v/>
      </c>
      <c r="M4954" s="10" t="n"/>
    </row>
    <row r="4955">
      <c r="B4955" s="7" t="n">
        <v>4953</v>
      </c>
      <c r="C4955" t="inlineStr">
        <is>
          <t>Sales Key Account _ Animal Nuitrition</t>
        </is>
      </c>
      <c r="D4955" t="inlineStr">
        <is>
          <t>CÔNG TY TNHH OLMIX ASIALAND VIỆT NAM</t>
        </is>
      </c>
      <c r="E4955" t="inlineStr">
        <is>
          <t>Lương:25 Tr - 30 Tr VND</t>
        </is>
      </c>
      <c r="F4955" t="inlineStr">
        <is>
          <t>Hà Nội</t>
        </is>
      </c>
      <c r="G4955" t="inlineStr">
        <is>
          <t>28-03-2026</t>
        </is>
      </c>
      <c r="H4955" t="inlineStr">
        <is>
          <t>28/03/2026</t>
        </is>
      </c>
      <c r="I4955" t="inlineStr">
        <is>
          <t>17/03/2026</t>
        </is>
      </c>
      <c r="J4955" t="inlineStr">
        <is>
          <t>Chăn nuôi / Thú y, Nông nghiệp, Bán hàng / Kinh doanh</t>
        </is>
      </c>
      <c r="K4955" t="inlineStr">
        <is>
          <t>1 - 3 Năm</t>
        </is>
      </c>
      <c r="L4955" s="8">
        <f>HYPERLINK("https://careerviet.vn/vi/tim-viec-lam/sales-key-account-_-animal-nuitrition.35C667EE.html","Xem chi tiết")</f>
        <v/>
      </c>
    </row>
    <row r="4956">
      <c r="B4956" s="9" t="n">
        <v>4954</v>
      </c>
      <c r="C4956" s="10" t="inlineStr">
        <is>
          <t>Chuyên Viên Cao Cấp Pháp Chế Tuân Thủ</t>
        </is>
      </c>
      <c r="D4956" s="10" t="inlineStr">
        <is>
          <t>Ngân Hàng Thương Mại Cổ Phần Bảo Việt</t>
        </is>
      </c>
      <c r="E4956" s="10" t="inlineStr">
        <is>
          <t>Lương:Cạnh tranh</t>
        </is>
      </c>
      <c r="F4956" s="10" t="inlineStr">
        <is>
          <t>Hà Nội</t>
        </is>
      </c>
      <c r="G4956" s="10" t="inlineStr">
        <is>
          <t>28-03-2026</t>
        </is>
      </c>
      <c r="H4956" s="10" t="inlineStr">
        <is>
          <t>28/03/2026</t>
        </is>
      </c>
      <c r="I4956" s="10" t="inlineStr">
        <is>
          <t>17/03/2026</t>
        </is>
      </c>
      <c r="J4956" s="10" t="inlineStr">
        <is>
          <t>Ngân hàng, Tài chính / Đầu tư, Luật / Pháp lý</t>
        </is>
      </c>
      <c r="K4956" s="10" t="inlineStr">
        <is>
          <t>Trên 2 Năm</t>
        </is>
      </c>
      <c r="L4956" s="11">
        <f>HYPERLINK("https://careerviet.vn/vi/tim-viec-lam/chuyen-vien-cao-cap-phap-che-tuan-thu.35C66B1B.html","Xem chi tiết")</f>
        <v/>
      </c>
      <c r="M4956" s="10" t="n"/>
    </row>
    <row r="4957">
      <c r="B4957" s="7" t="n">
        <v>4955</v>
      </c>
      <c r="C4957" t="inlineStr">
        <is>
          <t>TA Supervisor/Giám Sát Tuyển Dụng Ninh Bình-Hà Nam</t>
        </is>
      </c>
      <c r="D4957" t="inlineStr">
        <is>
          <t>Công Ty TNHH CJ Vina Agri</t>
        </is>
      </c>
      <c r="E4957" t="inlineStr">
        <is>
          <t>Lương:Cạnh tranh</t>
        </is>
      </c>
      <c r="F4957" t="inlineStr">
        <is>
          <t>Hà Nam</t>
        </is>
      </c>
      <c r="G4957" t="inlineStr">
        <is>
          <t>28-03-2026</t>
        </is>
      </c>
      <c r="H4957" t="inlineStr">
        <is>
          <t>28/03/2026</t>
        </is>
      </c>
      <c r="I4957" t="inlineStr">
        <is>
          <t>17/03/2026</t>
        </is>
      </c>
      <c r="J4957" t="inlineStr">
        <is>
          <t>Chăn nuôi / Thú y, Luật / Pháp lý, Nhân sự</t>
        </is>
      </c>
      <c r="K4957" t="inlineStr">
        <is>
          <t>Trên 5 Năm</t>
        </is>
      </c>
      <c r="L4957" s="8">
        <f>HYPERLINK("https://careerviet.vn/vi/tim-viec-lam/ta-supervisor-giam-sat-tuyen-dung-ninh-binh-ha-nam.35C66B7B.html","Xem chi tiết")</f>
        <v/>
      </c>
    </row>
    <row r="4958">
      <c r="B4958" s="9" t="n">
        <v>4956</v>
      </c>
      <c r="C4958" s="10" t="inlineStr">
        <is>
          <t>Chuyên viên Bán hàng qua điện thoại - Hà Nội - TA160 - ID856</t>
        </is>
      </c>
      <c r="D4958" s="10" t="inlineStr">
        <is>
          <t>Ngân Hàng TMCP Việt Nam Thịnh Vượng - VPBANK</t>
        </is>
      </c>
      <c r="E4958" s="10" t="inlineStr">
        <is>
          <t>Lương:Cạnh tranh</t>
        </is>
      </c>
      <c r="F4958" s="10" t="inlineStr">
        <is>
          <t>Hà Nội</t>
        </is>
      </c>
      <c r="G4958" s="10" t="inlineStr">
        <is>
          <t>28-03-2026</t>
        </is>
      </c>
      <c r="H4958" s="10" t="inlineStr">
        <is>
          <t>28/03/2026</t>
        </is>
      </c>
      <c r="I4958" s="10" t="inlineStr">
        <is>
          <t>17/03/2026</t>
        </is>
      </c>
      <c r="J4958" s="10" t="inlineStr">
        <is>
          <t>Bán hàng / Kinh doanh, Tiếp thị trực tuyến, Ngân hàng</t>
        </is>
      </c>
      <c r="K4958" s="10" t="inlineStr">
        <is>
          <t>Trên 1 Năm</t>
        </is>
      </c>
      <c r="L4958" s="11">
        <f>HYPERLINK("https://careerviet.vn/vi/tim-viec-lam/chuyen-vien-ban-hang-qua-dien-thoai-ha-noi-ta160-id856.35C66BCD.html","Xem chi tiết")</f>
        <v/>
      </c>
      <c r="M4958" s="10" t="n"/>
    </row>
    <row r="4959">
      <c r="B4959" s="7" t="n">
        <v>4957</v>
      </c>
      <c r="C4959" t="inlineStr">
        <is>
          <t>NHÂN VIÊN KINH DOANH</t>
        </is>
      </c>
      <c r="D4959" t="inlineStr">
        <is>
          <t>CÔNG TY CỔ PHẦN THÔNG GIÓ CÔNG NGHIỆP BREEZE</t>
        </is>
      </c>
      <c r="E4959" t="inlineStr">
        <is>
          <t>Lương:Cạnh tranh</t>
        </is>
      </c>
      <c r="F4959" t="inlineStr">
        <is>
          <t>Hà NộiĐà NẵngHồ Chí Minh</t>
        </is>
      </c>
      <c r="G4959" t="inlineStr">
        <is>
          <t>4</t>
        </is>
      </c>
      <c r="H4959" t="inlineStr">
        <is>
          <t>21/03/2026</t>
        </is>
      </c>
      <c r="I4959" t="inlineStr">
        <is>
          <t>17/03/2026</t>
        </is>
      </c>
      <c r="J4959" t="inlineStr">
        <is>
          <t>Bán hàng / Kinh doanh, Bán Hàng Kỹ Thuật, Điện / Điện tử / Điện lạnh / Điện công nghiệp</t>
        </is>
      </c>
      <c r="K4959" t="inlineStr">
        <is>
          <t>Chưa có kinh nghiệm</t>
        </is>
      </c>
      <c r="L4959" s="8">
        <f>HYPERLINK("https://careerviet.vn/vi/tim-viec-lam/nhan-vien-kinh-doanh.35C66ABF.html","Xem chi tiết")</f>
        <v/>
      </c>
    </row>
    <row r="4960">
      <c r="B4960" s="9" t="n">
        <v>4958</v>
      </c>
      <c r="C4960" s="10" t="inlineStr">
        <is>
          <t>Nhân Viên Kiểm Soát Đầu Vào - Hệ Thống Quản Lý Chất Lượng (Incoming Inspection)</t>
        </is>
      </c>
      <c r="D4960" s="10" t="inlineStr">
        <is>
          <t>CÔNG TY TNHH M.E.NIKKISO VIỆT NAM</t>
        </is>
      </c>
      <c r="E4960" s="10" t="inlineStr">
        <is>
          <t>Lương:Cạnh tranh</t>
        </is>
      </c>
      <c r="F4960" s="10" t="inlineStr">
        <is>
          <t>Quảng Ngãi</t>
        </is>
      </c>
      <c r="G4960" s="10" t="inlineStr">
        <is>
          <t>28-03-2026</t>
        </is>
      </c>
      <c r="H4960" s="10" t="inlineStr">
        <is>
          <t>28/03/2026</t>
        </is>
      </c>
      <c r="I4960" s="10" t="inlineStr">
        <is>
          <t>17/03/2026</t>
        </is>
      </c>
      <c r="J4960" s="10" t="inlineStr">
        <is>
          <t>Quản lý chất lượng (QA/QC), Sản xuất / Vận hành sản xuất, Thu mua / Vật tư</t>
        </is>
      </c>
      <c r="K4960" s="10" t="inlineStr">
        <is>
          <t>1 Năm</t>
        </is>
      </c>
      <c r="L4960" s="11">
        <f>HYPERLINK("https://careerviet.vn/vi/tim-viec-lam/nhan-vien-kiem-soat-dau-vao-he-thong-quan-ly-chat-luong-incoming-inspection.35C66BB7.html","Xem chi tiết")</f>
        <v/>
      </c>
      <c r="M4960" s="10" t="n"/>
    </row>
    <row r="4961">
      <c r="B4961" s="7" t="n">
        <v>4959</v>
      </c>
      <c r="C4961" t="inlineStr">
        <is>
          <t>Nhân viên Tư vấn bán hàng Showroom</t>
        </is>
      </c>
      <c r="D4961" t="inlineStr">
        <is>
          <t>Công ty TNHH SX TM ĐT Nhôm AN LẬP PHÁT</t>
        </is>
      </c>
      <c r="E4961" t="inlineStr">
        <is>
          <t>Lương:Cạnh tranh</t>
        </is>
      </c>
      <c r="F4961" t="inlineStr">
        <is>
          <t>Hồ Chí Minh</t>
        </is>
      </c>
      <c r="G4961" t="inlineStr">
        <is>
          <t>28-03-2026</t>
        </is>
      </c>
      <c r="H4961" t="inlineStr">
        <is>
          <t>28/03/2026</t>
        </is>
      </c>
      <c r="I4961" t="inlineStr">
        <is>
          <t>17/03/2026</t>
        </is>
      </c>
      <c r="J4961" t="inlineStr">
        <is>
          <t>Tiếp thị / Marketing, Bán hàng / Kinh doanh, Bán Hàng Kỹ Thuật</t>
        </is>
      </c>
      <c r="K4961" t="inlineStr">
        <is>
          <t>2 - 3 Năm</t>
        </is>
      </c>
      <c r="L4961" s="8">
        <f>HYPERLINK("https://careerviet.vn/vi/tim-viec-lam/nhan-vien-tu-van-ban-hang-showroom.35C66B38.html","Xem chi tiết")</f>
        <v/>
      </c>
    </row>
    <row r="4962">
      <c r="B4962" s="9" t="n">
        <v>4960</v>
      </c>
      <c r="C4962" s="10" t="inlineStr">
        <is>
          <t>127203 - Tiếng Nhật - Nhân viên / Giám sát / Quản lý Thu mua - Ngành Sản xuất</t>
        </is>
      </c>
      <c r="D4962" s="10" t="inlineStr">
        <is>
          <t>RGF HR Agent Vietnam Co., LTD</t>
        </is>
      </c>
      <c r="E4962" s="10" t="inlineStr">
        <is>
          <t>Lương:Cạnh tranh</t>
        </is>
      </c>
      <c r="F4962" s="10" t="inlineStr">
        <is>
          <t>Hồ Chí Minh</t>
        </is>
      </c>
      <c r="G4962" s="10" t="inlineStr">
        <is>
          <t>28-03-2026</t>
        </is>
      </c>
      <c r="H4962" s="10" t="inlineStr">
        <is>
          <t>28/03/2026</t>
        </is>
      </c>
      <c r="I4962" s="10" t="inlineStr">
        <is>
          <t>17/03/2026</t>
        </is>
      </c>
      <c r="J4962" s="10" t="inlineStr">
        <is>
          <t>Sản xuất / Vận hành sản xuất</t>
        </is>
      </c>
      <c r="K4962" s="10" t="inlineStr">
        <is>
          <t>0 - 0 Năm</t>
        </is>
      </c>
      <c r="L4962" s="11">
        <f>HYPERLINK("https://careerviet.vn/vi/tim-viec-lam/127203-tieng-nhat-nhan-vien-giam-sat-quan-ly-thu-mua-nganh-san-xuat.35C66AC5.html","Xem chi tiết")</f>
        <v/>
      </c>
      <c r="M4962" s="10" t="n"/>
    </row>
    <row r="4963">
      <c r="B4963" s="7" t="n">
        <v>4961</v>
      </c>
      <c r="C4963" t="inlineStr">
        <is>
          <t>Chuyên viên định giá Hội sở, Phòng Định giá Hội sở, Khối Tái thẩm và phê duyệt tín dụng  làm việc tại Hà Nội</t>
        </is>
      </c>
      <c r="D4963" t="inlineStr">
        <is>
          <t>Ngân hàng TMCP Đại Chúng Việt Nam - PVcomBank</t>
        </is>
      </c>
      <c r="E4963" t="inlineStr">
        <is>
          <t>Lương:Cạnh tranh</t>
        </is>
      </c>
      <c r="F4963" t="inlineStr">
        <is>
          <t>Hà Nội</t>
        </is>
      </c>
      <c r="G4963" t="inlineStr">
        <is>
          <t>28-03-2026</t>
        </is>
      </c>
      <c r="H4963" t="inlineStr">
        <is>
          <t>28/03/2026</t>
        </is>
      </c>
      <c r="I4963" t="inlineStr">
        <is>
          <t>17/03/2026</t>
        </is>
      </c>
      <c r="J4963" t="inlineStr">
        <is>
          <t>Ngân hàng</t>
        </is>
      </c>
      <c r="K4963" t="inlineStr">
        <is>
          <t>1 - 5 Năm</t>
        </is>
      </c>
      <c r="L4963" s="8">
        <f>HYPERLINK("https://careerviet.vn/vi/tim-viec-lam/chuyen-vien-dinh-gia-hoi-so-phong-dinh-gia-hoi-so-khoi-tai-tham-va-phe-duyet-tin-dung-lam-viec-tai-ha-noi.35C66BC5.html","Xem chi tiết")</f>
        <v/>
      </c>
    </row>
    <row r="4964">
      <c r="B4964" s="9" t="n">
        <v>4962</v>
      </c>
      <c r="C4964" s="10" t="inlineStr">
        <is>
          <t>Senior Sales Engineer 20931 - Đống Đa, Hà Nội</t>
        </is>
      </c>
      <c r="D4964" s="10" t="inlineStr">
        <is>
          <t>Công Ty TNHH Reeracoen Việt Nam</t>
        </is>
      </c>
      <c r="E4964" s="10" t="inlineStr">
        <is>
          <t>Lương:18 Tr - 23 Tr VND</t>
        </is>
      </c>
      <c r="F4964" s="10" t="inlineStr">
        <is>
          <t>Hà Nội</t>
        </is>
      </c>
      <c r="G4964" s="10" t="inlineStr">
        <is>
          <t>28-03-2026</t>
        </is>
      </c>
      <c r="H4964" s="10" t="inlineStr">
        <is>
          <t>28/03/2026</t>
        </is>
      </c>
      <c r="I4964" s="10" t="inlineStr">
        <is>
          <t>17/03/2026</t>
        </is>
      </c>
      <c r="J4964" s="10" t="inlineStr">
        <is>
          <t>Bán lẻ / Bán sỉ, Bán hàng / Kinh doanh, Bán Hàng Kỹ Thuật</t>
        </is>
      </c>
      <c r="K4964" s="10" t="inlineStr">
        <is>
          <t>Trên 3 Năm</t>
        </is>
      </c>
      <c r="L4964" s="11">
        <f>HYPERLINK("https://careerviet.vn/vi/tim-viec-lam/senior-sales-engineer-20931-dong-da-ha-noi.35C66B1F.html","Xem chi tiết")</f>
        <v/>
      </c>
      <c r="M4964" s="10" t="n"/>
    </row>
    <row r="4965">
      <c r="B4965" s="7" t="n">
        <v>4963</v>
      </c>
      <c r="C4965" t="inlineStr">
        <is>
          <t>Trưởng Phòng Thiết Kế Showroom</t>
        </is>
      </c>
      <c r="D4965" t="inlineStr">
        <is>
          <t>Công Ty TNHH Tập Đoàn Rita Võ</t>
        </is>
      </c>
      <c r="E4965" t="inlineStr">
        <is>
          <t>Lương:Cạnh tranh</t>
        </is>
      </c>
      <c r="F4965" t="inlineStr">
        <is>
          <t>Hồ Chí Minh</t>
        </is>
      </c>
      <c r="G4965" t="inlineStr">
        <is>
          <t>28-03-2026</t>
        </is>
      </c>
      <c r="H4965" t="inlineStr">
        <is>
          <t>28/03/2026</t>
        </is>
      </c>
      <c r="I4965" t="inlineStr">
        <is>
          <t>17/03/2026</t>
        </is>
      </c>
      <c r="J4965" t="inlineStr">
        <is>
          <t>Mỹ thuật / Nghệ thuật / Thiết kế, Kiến trúc, Nội ngoại thất</t>
        </is>
      </c>
      <c r="K4965" t="inlineStr">
        <is>
          <t>5 - 10 Năm</t>
        </is>
      </c>
      <c r="L4965" s="8">
        <f>HYPERLINK("https://careerviet.vn/vi/tim-viec-lam/truong-phong-thiet-ke-showroom.35C66B7F.html","Xem chi tiết")</f>
        <v/>
      </c>
    </row>
    <row r="4966">
      <c r="B4966" s="9" t="n">
        <v>4964</v>
      </c>
      <c r="C4966" s="10" t="inlineStr">
        <is>
          <t>Chuyên Viên Phát Triển Khách Hàng Trọng Điểm (Hội An - Quảng Nam) - Away From Home Executive</t>
        </is>
      </c>
      <c r="D4966" s="10" t="inlineStr">
        <is>
          <t>Suntory PepsiCo</t>
        </is>
      </c>
      <c r="E4966" s="10" t="inlineStr">
        <is>
          <t>Lương:Cạnh tranh</t>
        </is>
      </c>
      <c r="F4966" s="10" t="inlineStr">
        <is>
          <t>Quảng Nam</t>
        </is>
      </c>
      <c r="G4966" s="10" t="inlineStr">
        <is>
          <t>28-03-2026</t>
        </is>
      </c>
      <c r="H4966" s="10" t="inlineStr">
        <is>
          <t>28/03/2026</t>
        </is>
      </c>
      <c r="I4966" s="10" t="inlineStr">
        <is>
          <t>17/03/2026</t>
        </is>
      </c>
      <c r="J4966" s="10" t="inlineStr">
        <is>
          <t>Bán lẻ / Bán sỉ, Bán hàng / Kinh doanh, Thực phẩm &amp; Đồ uống</t>
        </is>
      </c>
      <c r="K4966" s="10" t="inlineStr">
        <is>
          <t>Trên 2 Năm</t>
        </is>
      </c>
      <c r="L4966" s="11">
        <f>HYPERLINK("https://careerviet.vn/vi/tim-viec-lam/chuyen-vien-phat-trien-khach-hang-trong-diem-hoi-an-quang-nam-away-from-home-executive.35C66BF8.html","Xem chi tiết")</f>
        <v/>
      </c>
      <c r="M4966" s="10" t="n"/>
    </row>
    <row r="4967">
      <c r="B4967" s="7" t="n">
        <v>4965</v>
      </c>
      <c r="C4967" t="inlineStr">
        <is>
          <t>Sales &amp; Marketing Manager (Based in Malaysia)</t>
        </is>
      </c>
      <c r="D4967" t="inlineStr">
        <is>
          <t>Công Ty Cổ Phần Y&amp;B</t>
        </is>
      </c>
      <c r="E4967" t="inlineStr">
        <is>
          <t>Lương:2.500 - 4.000 USD</t>
        </is>
      </c>
      <c r="F4967" t="inlineStr">
        <is>
          <t>Kuala Lumpur</t>
        </is>
      </c>
      <c r="G4967" t="inlineStr">
        <is>
          <t>28-03-2026</t>
        </is>
      </c>
      <c r="H4967" t="inlineStr">
        <is>
          <t>28/03/2026</t>
        </is>
      </c>
      <c r="I4967" t="inlineStr">
        <is>
          <t>17/03/2026</t>
        </is>
      </c>
      <c r="J4967" t="inlineStr">
        <is>
          <t>Tiếp thị / Marketing</t>
        </is>
      </c>
      <c r="K4967" t="inlineStr">
        <is>
          <t>5 - 6 Năm</t>
        </is>
      </c>
      <c r="L4967" s="8">
        <f>HYPERLINK("https://careerviet.vn/vi/tim-viec-lam/sales-marketing-manager-based-in-malaysia.35C66C0F.html","Xem chi tiết")</f>
        <v/>
      </c>
    </row>
    <row r="4968">
      <c r="B4968" s="9" t="n">
        <v>4966</v>
      </c>
      <c r="C4968" s="10" t="inlineStr">
        <is>
          <t>Giám đốc Phát triển Mạng lưới Cộng tác viên Thẻ</t>
        </is>
      </c>
      <c r="D4968" s="10" t="inlineStr">
        <is>
          <t>Ngân Hàng TMCP Quốc Tế Việt Nam</t>
        </is>
      </c>
      <c r="E4968" s="10" t="inlineStr">
        <is>
          <t>Lương:25 Tr - 30 Tr VND</t>
        </is>
      </c>
      <c r="F4968" s="10" t="inlineStr">
        <is>
          <t>Hà NộiHải PhòngQuảng Ninh</t>
        </is>
      </c>
      <c r="G4968" s="10" t="inlineStr">
        <is>
          <t>28-03-2026</t>
        </is>
      </c>
      <c r="H4968" s="10" t="inlineStr">
        <is>
          <t>28/03/2026</t>
        </is>
      </c>
      <c r="I4968" s="10" t="inlineStr">
        <is>
          <t>17/03/2026</t>
        </is>
      </c>
      <c r="J4968" s="10" t="inlineStr">
        <is>
          <t>Tiếp thị / Marketing, Bán lẻ / Bán sỉ, Bán hàng / Kinh doanh</t>
        </is>
      </c>
      <c r="K4968" s="10" t="inlineStr">
        <is>
          <t>Trên 1 Năm</t>
        </is>
      </c>
      <c r="L4968" s="11">
        <f>HYPERLINK("https://careerviet.vn/vi/tim-viec-lam/giam-doc-phat-trien-mang-luoi-cong-tac-vien-the.35C66BC1.html","Xem chi tiết")</f>
        <v/>
      </c>
      <c r="M4968" s="10" t="n"/>
    </row>
    <row r="4969">
      <c r="B4969" s="7" t="n">
        <v>4967</v>
      </c>
      <c r="C4969" t="inlineStr">
        <is>
          <t>127296 - Legal Manager - Real Estate</t>
        </is>
      </c>
      <c r="D4969" t="inlineStr">
        <is>
          <t>RGF HR Agent Vietnam Co., LTD</t>
        </is>
      </c>
      <c r="E4969" t="inlineStr">
        <is>
          <t>Lương:Cạnh tranh</t>
        </is>
      </c>
      <c r="F4969" t="inlineStr">
        <is>
          <t>Hồ Chí Minh</t>
        </is>
      </c>
      <c r="G4969" t="inlineStr">
        <is>
          <t>28-03-2026</t>
        </is>
      </c>
      <c r="H4969" t="inlineStr">
        <is>
          <t>28/03/2026</t>
        </is>
      </c>
      <c r="I4969" t="inlineStr">
        <is>
          <t>17/03/2026</t>
        </is>
      </c>
      <c r="J4969" t="inlineStr">
        <is>
          <t>Luật / Pháp lý, Bất động sản</t>
        </is>
      </c>
      <c r="K4969" t="inlineStr">
        <is>
          <t>5 - 7 Năm</t>
        </is>
      </c>
      <c r="L4969" s="8">
        <f>HYPERLINK("https://careerviet.vn/vi/tim-viec-lam/127296-legal-manager-real-estate.35C66B33.html","Xem chi tiết")</f>
        <v/>
      </c>
    </row>
    <row r="4970">
      <c r="B4970" s="9" t="n">
        <v>4968</v>
      </c>
      <c r="C4970" s="10" t="inlineStr">
        <is>
          <t>Organizational Development Specialist</t>
        </is>
      </c>
      <c r="D4970" s="10" t="inlineStr">
        <is>
          <t>Bitex (Nhà phân phối độc quyền máy tính Casio tại Việt Nam)</t>
        </is>
      </c>
      <c r="E4970" s="10" t="inlineStr">
        <is>
          <t>Lương:Cạnh tranh</t>
        </is>
      </c>
      <c r="F4970" s="10" t="inlineStr">
        <is>
          <t>Hồ Chí Minh</t>
        </is>
      </c>
      <c r="G4970" s="10" t="inlineStr">
        <is>
          <t>28-03-2026</t>
        </is>
      </c>
      <c r="H4970" s="10" t="inlineStr">
        <is>
          <t>28/03/2026</t>
        </is>
      </c>
      <c r="I4970" s="10" t="inlineStr">
        <is>
          <t>17/03/2026</t>
        </is>
      </c>
      <c r="J4970" s="10" t="inlineStr">
        <is>
          <t>Bán hàng / Kinh doanh, Nhân sự</t>
        </is>
      </c>
      <c r="K4970" s="10" t="inlineStr">
        <is>
          <t>3 - 5 Năm</t>
        </is>
      </c>
      <c r="L4970" s="11">
        <f>HYPERLINK("https://careerviet.vn/vi/tim-viec-lam/organizational-development-specialist.35C66AD5.html","Xem chi tiết")</f>
        <v/>
      </c>
      <c r="M4970" s="10" t="n"/>
    </row>
    <row r="4971">
      <c r="B4971" s="7" t="n">
        <v>4969</v>
      </c>
      <c r="C4971" t="inlineStr">
        <is>
          <t>Nhân Viên Kinh Doanh B2B - chỉ tuyển nữ</t>
        </is>
      </c>
      <c r="D4971" t="inlineStr">
        <is>
          <t>CÔNG TY TNHH VẬT LIỆU XÂY DỰNG TOÀN CẦU</t>
        </is>
      </c>
      <c r="E4971" t="inlineStr">
        <is>
          <t>Lương:Cạnh tranh</t>
        </is>
      </c>
      <c r="F4971" t="inlineStr">
        <is>
          <t>Hồ Chí Minh</t>
        </is>
      </c>
      <c r="G4971" t="inlineStr">
        <is>
          <t>28-03-2026</t>
        </is>
      </c>
      <c r="H4971" t="inlineStr">
        <is>
          <t>28/03/2026</t>
        </is>
      </c>
      <c r="I4971" t="inlineStr">
        <is>
          <t>17/03/2026</t>
        </is>
      </c>
      <c r="J4971" t="inlineStr">
        <is>
          <t>Bán hàng / Kinh doanh, Tư vấn, Xây dựng</t>
        </is>
      </c>
      <c r="K4971" t="inlineStr">
        <is>
          <t>1 - 2 Năm</t>
        </is>
      </c>
      <c r="L4971" s="8">
        <f>HYPERLINK("https://careerviet.vn/vi/tim-viec-lam/nhan-vien-kinh-doanh-b2b-chi-tuyen-nu.35C66C20.html","Xem chi tiết")</f>
        <v/>
      </c>
    </row>
    <row r="4972">
      <c r="B4972" s="9" t="n">
        <v>4970</v>
      </c>
      <c r="C4972" s="10" t="inlineStr">
        <is>
          <t>127191 - Nhân viên Kỹ thuật Điện</t>
        </is>
      </c>
      <c r="D4972" s="10" t="inlineStr">
        <is>
          <t>RGF HR Agent Vietnam Co., LTD</t>
        </is>
      </c>
      <c r="E4972" s="10" t="inlineStr">
        <is>
          <t>Lương:17 Tr - 20 Tr VND</t>
        </is>
      </c>
      <c r="F4972" s="10" t="inlineStr">
        <is>
          <t>Hà Nội</t>
        </is>
      </c>
      <c r="G4972" s="10" t="inlineStr">
        <is>
          <t>28-03-2026</t>
        </is>
      </c>
      <c r="H4972" s="10" t="inlineStr">
        <is>
          <t>28/03/2026</t>
        </is>
      </c>
      <c r="I4972" s="10" t="inlineStr">
        <is>
          <t>17/03/2026</t>
        </is>
      </c>
      <c r="J4972" s="10" t="inlineStr">
        <is>
          <t>Điện / Điện tử / Điện lạnh / Điện công nghiệp, Bảo trì / Sửa chữa</t>
        </is>
      </c>
      <c r="K4972" s="10" t="inlineStr">
        <is>
          <t>2 - 3 Năm</t>
        </is>
      </c>
      <c r="L4972" s="11">
        <f>HYPERLINK("https://careerviet.vn/vi/tim-viec-lam/127191-nhan-vien-ky-thuat-dien.35C66ABE.html","Xem chi tiết")</f>
        <v/>
      </c>
      <c r="M4972" s="10" t="n"/>
    </row>
    <row r="4973">
      <c r="B4973" s="7" t="n">
        <v>4971</v>
      </c>
      <c r="C4973" t="inlineStr">
        <is>
          <t>Accountant</t>
        </is>
      </c>
      <c r="D4973" t="inlineStr">
        <is>
          <t>Công Ty TNHH Logistics Panakor Việt Nam</t>
        </is>
      </c>
      <c r="E4973" t="inlineStr">
        <is>
          <t>Lương:13 Tr - 16 Tr VND</t>
        </is>
      </c>
      <c r="F4973" t="inlineStr">
        <is>
          <t>Hồ Chí Minh</t>
        </is>
      </c>
      <c r="G4973" t="inlineStr">
        <is>
          <t>27-03-2026</t>
        </is>
      </c>
      <c r="H4973" t="inlineStr">
        <is>
          <t>27/03/2026</t>
        </is>
      </c>
      <c r="I4973" t="inlineStr">
        <is>
          <t>17/03/2026</t>
        </is>
      </c>
      <c r="J4973" t="inlineStr">
        <is>
          <t>Kế toán / Kiểm toán, Tài chính / Đầu tư</t>
        </is>
      </c>
      <c r="K4973" t="inlineStr">
        <is>
          <t>Trên 2 Năm</t>
        </is>
      </c>
      <c r="L4973" s="8">
        <f>HYPERLINK("https://careerviet.vn/vi/tim-viec-lam/accountant.35C66A50.html","Xem chi tiết")</f>
        <v/>
      </c>
    </row>
    <row r="4974">
      <c r="B4974" s="9" t="n">
        <v>4972</v>
      </c>
      <c r="C4974" s="10" t="inlineStr">
        <is>
          <t>[Hải Dương] - Giao dịch viên</t>
        </is>
      </c>
      <c r="D4974" s="10" t="inlineStr">
        <is>
          <t>Ngân hàng TMCP Lộc Phát Việt Nam (LPBank)</t>
        </is>
      </c>
      <c r="E4974" s="10" t="inlineStr">
        <is>
          <t>Lương:Cạnh tranh</t>
        </is>
      </c>
      <c r="F4974" s="10" t="inlineStr">
        <is>
          <t>Hải Dương</t>
        </is>
      </c>
      <c r="G4974" s="10" t="inlineStr">
        <is>
          <t>28-03-2026</t>
        </is>
      </c>
      <c r="H4974" s="10" t="inlineStr">
        <is>
          <t>28/03/2026</t>
        </is>
      </c>
      <c r="I4974" s="10" t="inlineStr">
        <is>
          <t>17/03/2026</t>
        </is>
      </c>
      <c r="J4974" s="10" t="inlineStr">
        <is>
          <t>Bán hàng / Kinh doanh, Bảo hiểm, Dịch vụ khách hàng</t>
        </is>
      </c>
      <c r="K4974" s="10" t="inlineStr">
        <is>
          <t>N/A</t>
        </is>
      </c>
      <c r="L4974" s="11">
        <f>HYPERLINK("https://careerviet.vn/vi/tim-viec-lam/hai-duong-giao-dich-vien.35C66B72.html","Xem chi tiết")</f>
        <v/>
      </c>
      <c r="M4974" s="10" t="n"/>
    </row>
    <row r="4975">
      <c r="B4975" s="7" t="n">
        <v>4973</v>
      </c>
      <c r="C4975" t="inlineStr">
        <is>
          <t>QA/QC staff</t>
        </is>
      </c>
      <c r="D4975" t="inlineStr">
        <is>
          <t>Công ty TNHH GIVI VIỆT NAM</t>
        </is>
      </c>
      <c r="E4975" t="inlineStr">
        <is>
          <t>Lương:15 Tr - 25 Tr VND</t>
        </is>
      </c>
      <c r="F4975" t="inlineStr">
        <is>
          <t>Long An</t>
        </is>
      </c>
      <c r="G4975" t="inlineStr">
        <is>
          <t>28-03-2026</t>
        </is>
      </c>
      <c r="H4975" t="inlineStr">
        <is>
          <t>28/03/2026</t>
        </is>
      </c>
      <c r="I4975" t="inlineStr">
        <is>
          <t>17/03/2026</t>
        </is>
      </c>
      <c r="J4975" t="inlineStr">
        <is>
          <t>Sản xuất / Vận hành sản xuất, Dệt may / Da giày / Thời trang, Quản lý chất lượng (QA/QC)</t>
        </is>
      </c>
      <c r="K4975" t="inlineStr">
        <is>
          <t>Trên 3 Năm</t>
        </is>
      </c>
      <c r="L4975" s="8">
        <f>HYPERLINK("https://careerviet.vn/vi/tim-viec-lam/qa-qc-staff.35C66C32.html","Xem chi tiết")</f>
        <v/>
      </c>
    </row>
    <row r="4976">
      <c r="B4976" s="9" t="n">
        <v>4974</v>
      </c>
      <c r="C4976" s="10" t="inlineStr">
        <is>
          <t>Business Intelligence Engineer</t>
        </is>
      </c>
      <c r="D4976" s="10" t="inlineStr">
        <is>
          <t>Công Ty CP Việt Tinh Anh</t>
        </is>
      </c>
      <c r="E4976" s="10" t="inlineStr">
        <is>
          <t>Lương:Cạnh tranh</t>
        </is>
      </c>
      <c r="F4976" s="10" t="inlineStr">
        <is>
          <t>Hồ Chí Minh</t>
        </is>
      </c>
      <c r="G4976" s="10" t="inlineStr">
        <is>
          <t>28-03-2026</t>
        </is>
      </c>
      <c r="H4976" s="10" t="inlineStr">
        <is>
          <t>28/03/2026</t>
        </is>
      </c>
      <c r="I4976" s="10" t="inlineStr">
        <is>
          <t>17/03/2026</t>
        </is>
      </c>
      <c r="J4976" s="10" t="inlineStr">
        <is>
          <t>CNTT - Phần mềm</t>
        </is>
      </c>
      <c r="K4976" s="10" t="inlineStr">
        <is>
          <t>2 - 3 Năm</t>
        </is>
      </c>
      <c r="L4976" s="11">
        <f>HYPERLINK("https://careerviet.vn/vi/tim-viec-lam/business-intelligence-engineer.35C66BAA.html","Xem chi tiết")</f>
        <v/>
      </c>
      <c r="M4976" s="10" t="n"/>
    </row>
    <row r="4977">
      <c r="B4977" s="7" t="n">
        <v>4975</v>
      </c>
      <c r="C4977" t="inlineStr">
        <is>
          <t>KỸ SƯ MEP</t>
        </is>
      </c>
      <c r="D4977" t="inlineStr">
        <is>
          <t>CÔNG TY CP TẬP ĐOÀN ĐẦU TƯ HOÀNG GIA VIỆT NAM</t>
        </is>
      </c>
      <c r="E4977" t="inlineStr">
        <is>
          <t>Lương:Cạnh tranh</t>
        </is>
      </c>
      <c r="F4977" t="inlineStr">
        <is>
          <t>Đà NẵngThừa Thiên- Huế</t>
        </is>
      </c>
      <c r="G4977" t="inlineStr">
        <is>
          <t>28-03-2026</t>
        </is>
      </c>
      <c r="H4977" t="inlineStr">
        <is>
          <t>28/03/2026</t>
        </is>
      </c>
      <c r="I4977" t="inlineStr">
        <is>
          <t>17/03/2026</t>
        </is>
      </c>
      <c r="J4977" t="inlineStr">
        <is>
          <t>Điện / Điện tử / Điện lạnh / Điện công nghiệp, Xây dựng</t>
        </is>
      </c>
      <c r="K4977" t="inlineStr">
        <is>
          <t>5 - 10 Năm</t>
        </is>
      </c>
      <c r="L4977" s="8">
        <f>HYPERLINK("https://careerviet.vn/vi/tim-viec-lam/ky-su-mep.35C66A1D.html","Xem chi tiết")</f>
        <v/>
      </c>
    </row>
    <row r="4978">
      <c r="B4978" s="9" t="n">
        <v>4976</v>
      </c>
      <c r="C4978" s="10" t="inlineStr">
        <is>
          <t>Nhân Viên Kế Toán Nội Bộ</t>
        </is>
      </c>
      <c r="D4978" s="10" t="inlineStr">
        <is>
          <t>Công Ty Cổ phần Xây Dựng Thương Mại Du Lịch Hồng Ngọc Hà</t>
        </is>
      </c>
      <c r="E4978" s="10" t="inlineStr">
        <is>
          <t>Lương:9 Tr - 13 Tr VND</t>
        </is>
      </c>
      <c r="F4978" s="10" t="inlineStr">
        <is>
          <t>Hồ Chí Minh</t>
        </is>
      </c>
      <c r="G4978" s="10" t="inlineStr">
        <is>
          <t>28-03-2026</t>
        </is>
      </c>
      <c r="H4978" s="10" t="inlineStr">
        <is>
          <t>28/03/2026</t>
        </is>
      </c>
      <c r="I4978" s="10" t="inlineStr">
        <is>
          <t>17/03/2026</t>
        </is>
      </c>
      <c r="J4978" s="10" t="inlineStr">
        <is>
          <t>Kế toán / Kiểm toán, Du lịch, Hàng không</t>
        </is>
      </c>
      <c r="K4978" s="10" t="inlineStr">
        <is>
          <t>1 - 3 Năm</t>
        </is>
      </c>
      <c r="L4978" s="11">
        <f>HYPERLINK("https://careerviet.vn/vi/tim-viec-lam/nhan-vien-ke-toan-noi-bo.35C66BBF.html","Xem chi tiết")</f>
        <v/>
      </c>
      <c r="M4978" s="10" t="n"/>
    </row>
    <row r="4979">
      <c r="B4979" s="7" t="n">
        <v>4977</v>
      </c>
      <c r="C4979" t="inlineStr">
        <is>
          <t>GGEC -  KẾ TOÁN CÔNG NỢ NHẬN VIỆC NGAY</t>
        </is>
      </c>
      <c r="D4979" t="inlineStr">
        <is>
          <t>CÔNG TY TNHH ĐIỆN KHÍ QUỐC QUANG (VIỆT NAM)</t>
        </is>
      </c>
      <c r="E4979" t="inlineStr">
        <is>
          <t>Lương:Cạnh tranh</t>
        </is>
      </c>
      <c r="F4979" t="inlineStr">
        <is>
          <t>Quảng NamĐà Nẵng</t>
        </is>
      </c>
      <c r="G4979" t="inlineStr">
        <is>
          <t>28-03-2026</t>
        </is>
      </c>
      <c r="H4979" t="inlineStr">
        <is>
          <t>28/03/2026</t>
        </is>
      </c>
      <c r="I4979" t="inlineStr">
        <is>
          <t>17/03/2026</t>
        </is>
      </c>
      <c r="J4979" t="inlineStr">
        <is>
          <t>Kế toán / Kiểm toán, Sản xuất / Vận hành sản xuất</t>
        </is>
      </c>
      <c r="K4979" t="inlineStr">
        <is>
          <t>1 - 3 Năm</t>
        </is>
      </c>
      <c r="L4979" s="8">
        <f>HYPERLINK("https://careerviet.vn/vi/tim-viec-lam/ggec-ke-toan-cong-no-nhan-viec-ngay.35C66A9A.html","Xem chi tiết")</f>
        <v/>
      </c>
    </row>
    <row r="4980">
      <c r="B4980" s="9" t="n">
        <v>4978</v>
      </c>
      <c r="C4980" s="10" t="inlineStr">
        <is>
          <t>TRƯỞNG PHÒNG KINH DOANH</t>
        </is>
      </c>
      <c r="D4980" s="10" t="inlineStr">
        <is>
          <t>TRAN DUC CORPORATION - CÔNG TY CỔ PHẦN TRẦN ĐỨC</t>
        </is>
      </c>
      <c r="E4980" s="10" t="inlineStr">
        <is>
          <t>Lương:Cạnh tranh</t>
        </is>
      </c>
      <c r="F4980" s="10" t="inlineStr">
        <is>
          <t>Bình Dương</t>
        </is>
      </c>
      <c r="G4980" s="10" t="inlineStr">
        <is>
          <t>28-03-2026</t>
        </is>
      </c>
      <c r="H4980" s="10" t="inlineStr">
        <is>
          <t>28/03/2026</t>
        </is>
      </c>
      <c r="I4980" s="10" t="inlineStr">
        <is>
          <t>17/03/2026</t>
        </is>
      </c>
      <c r="J4980" s="10" t="inlineStr">
        <is>
          <t>Bán hàng / Kinh doanh, Đồ gỗ, Nội ngoại thất</t>
        </is>
      </c>
      <c r="K4980" s="10" t="inlineStr">
        <is>
          <t>5 - 6 Năm</t>
        </is>
      </c>
      <c r="L4980" s="11">
        <f>HYPERLINK("https://careerviet.vn/vi/tim-viec-lam/truong-phong-kinh-doanh.35C66B42.html","Xem chi tiết")</f>
        <v/>
      </c>
      <c r="M4980" s="10" t="n"/>
    </row>
    <row r="4981">
      <c r="B4981" s="7" t="n">
        <v>4979</v>
      </c>
      <c r="C4981" t="inlineStr">
        <is>
          <t>127228 - Tiếng Nhật - Chuyên viên Kiểm soát Chất lượng &amp; Phát triển Sản phẩm - Ngành Hàng Tiêu Dùng</t>
        </is>
      </c>
      <c r="D4981" t="inlineStr">
        <is>
          <t>RGF HR Agent Vietnam Co., LTD</t>
        </is>
      </c>
      <c r="E4981" t="inlineStr">
        <is>
          <t>Lương:25 Tr - 35 Tr VND</t>
        </is>
      </c>
      <c r="F4981" t="inlineStr">
        <is>
          <t>Hồ Chí Minh</t>
        </is>
      </c>
      <c r="G4981" t="inlineStr">
        <is>
          <t>28-03-2026</t>
        </is>
      </c>
      <c r="H4981" t="inlineStr">
        <is>
          <t>28/03/2026</t>
        </is>
      </c>
      <c r="I4981" t="inlineStr">
        <is>
          <t>17/03/2026</t>
        </is>
      </c>
      <c r="J4981" t="inlineStr">
        <is>
          <t>Hàng gia dụng / Chăm sóc cá nhân, Thực phẩm &amp; Đồ uống</t>
        </is>
      </c>
      <c r="K4981" t="inlineStr">
        <is>
          <t>2 - 5 Năm</t>
        </is>
      </c>
      <c r="L4981" s="8">
        <f>HYPERLINK("https://careerviet.vn/vi/tim-viec-lam/127228-tieng-nhat-chuyen-vien-kiem-soat-chat-luong-phat-trien-san-pham-nganh-hang-tieu-dung.35C66AC7.html","Xem chi tiết")</f>
        <v/>
      </c>
    </row>
    <row r="4982">
      <c r="B4982" s="9" t="n">
        <v>4980</v>
      </c>
      <c r="C4982" s="10" t="inlineStr">
        <is>
          <t>NHÂN VIÊN TRIỂN KHAI DỰ ÁN</t>
        </is>
      </c>
      <c r="D4982" s="10" t="inlineStr">
        <is>
          <t>CÔNG TY CP THƯƠNG MẠI - DỊCH VỤ SAO NAM AN</t>
        </is>
      </c>
      <c r="E4982" s="10" t="inlineStr">
        <is>
          <t>Lương:13 Tr - 18 Tr VND</t>
        </is>
      </c>
      <c r="F4982" s="10" t="inlineStr">
        <is>
          <t>Hồ Chí Minh</t>
        </is>
      </c>
      <c r="G4982" s="10" t="inlineStr">
        <is>
          <t>28-03-2026</t>
        </is>
      </c>
      <c r="H4982" s="10" t="inlineStr">
        <is>
          <t>28/03/2026</t>
        </is>
      </c>
      <c r="I4982" s="10" t="inlineStr">
        <is>
          <t>17/03/2026</t>
        </is>
      </c>
      <c r="J4982" s="10" t="inlineStr">
        <is>
          <t>Điện / Điện tử / Điện lạnh / Điện công nghiệp, CNTT - Phần cứng / Mạng, Bảo trì / Sửa chữa</t>
        </is>
      </c>
      <c r="K4982" s="10" t="inlineStr">
        <is>
          <t>Trên 2 Năm</t>
        </is>
      </c>
      <c r="L4982" s="11">
        <f>HYPERLINK("https://careerviet.vn/vi/tim-viec-lam/nhan-vien-trien-khai-du-an.35C66C05.html","Xem chi tiết")</f>
        <v/>
      </c>
      <c r="M4982" s="10" t="n"/>
    </row>
    <row r="4983">
      <c r="B4983" s="7" t="n">
        <v>4981</v>
      </c>
      <c r="C4983" t="inlineStr">
        <is>
          <t>127267 - MEP Senior Engineer/Assistant Manager - Real Estate</t>
        </is>
      </c>
      <c r="D4983" t="inlineStr">
        <is>
          <t>RGF HR Agent Vietnam Co., LTD</t>
        </is>
      </c>
      <c r="E4983" t="inlineStr">
        <is>
          <t>Lương:40 Tr - 63 Tr VND</t>
        </is>
      </c>
      <c r="F4983" t="inlineStr">
        <is>
          <t>Hà Nội</t>
        </is>
      </c>
      <c r="G4983" t="inlineStr">
        <is>
          <t>28-03-2026</t>
        </is>
      </c>
      <c r="H4983" t="inlineStr">
        <is>
          <t>28/03/2026</t>
        </is>
      </c>
      <c r="I4983" t="inlineStr">
        <is>
          <t>17/03/2026</t>
        </is>
      </c>
      <c r="J4983" t="inlineStr">
        <is>
          <t>Xây dựng, Bất động sản</t>
        </is>
      </c>
      <c r="K4983" t="inlineStr">
        <is>
          <t>3 - 8 Năm</t>
        </is>
      </c>
      <c r="L4983" s="8">
        <f>HYPERLINK("https://careerviet.vn/vi/tim-viec-lam/127267-mep-senior-engineer-assistant-manager-real-estate.35C66AC4.html","Xem chi tiết")</f>
        <v/>
      </c>
    </row>
    <row r="4984">
      <c r="B4984" s="9" t="n">
        <v>4982</v>
      </c>
      <c r="C4984" s="10" t="inlineStr">
        <is>
          <t>Tuyển dụng Trợ lý giám sát sản xuất (Biết tiếng Trung)</t>
        </is>
      </c>
      <c r="D4984" s="10" t="inlineStr">
        <is>
          <t>Công ty TNHH Amphenol Technology Vietnam (Xưởng 3)</t>
        </is>
      </c>
      <c r="E4984" s="10" t="inlineStr">
        <is>
          <t>Lương:Cạnh tranh</t>
        </is>
      </c>
      <c r="F4984" s="10" t="inlineStr">
        <is>
          <t>Long An</t>
        </is>
      </c>
      <c r="G4984" s="10" t="inlineStr">
        <is>
          <t>28-03-2026</t>
        </is>
      </c>
      <c r="H4984" s="10" t="inlineStr">
        <is>
          <t>28/03/2026</t>
        </is>
      </c>
      <c r="I4984" s="10" t="inlineStr">
        <is>
          <t>17/03/2026</t>
        </is>
      </c>
      <c r="J4984" s="10" t="inlineStr">
        <is>
          <t>Điện / Điện tử / Điện lạnh / Điện công nghiệp, Xuất nhập khẩu, Sản xuất / Vận hành sản xuất</t>
        </is>
      </c>
      <c r="K4984" s="10" t="inlineStr">
        <is>
          <t>1 - 3 Năm</t>
        </is>
      </c>
      <c r="L4984" s="11">
        <f>HYPERLINK("https://careerviet.vn/vi/tim-viec-lam/tuyen-dung-tro-ly-giam-sat-san-xuat-biet-tieng-trung.35C66A56.html","Xem chi tiết")</f>
        <v/>
      </c>
      <c r="M4984" s="10" t="n"/>
    </row>
    <row r="4985">
      <c r="B4985" s="7" t="n">
        <v>4983</v>
      </c>
      <c r="C4985" t="inlineStr">
        <is>
          <t>Chuyên Viên Phát Triển Phần Mềm IT</t>
        </is>
      </c>
      <c r="D4985" t="inlineStr">
        <is>
          <t>Ngân Hàng Thương Mại Cổ Phần Bảo Việt</t>
        </is>
      </c>
      <c r="E4985" t="inlineStr">
        <is>
          <t>Lương:Cạnh tranh</t>
        </is>
      </c>
      <c r="F4985" t="inlineStr">
        <is>
          <t>Hà Nội</t>
        </is>
      </c>
      <c r="G4985" t="inlineStr">
        <is>
          <t>28-03-2026</t>
        </is>
      </c>
      <c r="H4985" t="inlineStr">
        <is>
          <t>28/03/2026</t>
        </is>
      </c>
      <c r="I4985" t="inlineStr">
        <is>
          <t>17/03/2026</t>
        </is>
      </c>
      <c r="J4985" t="inlineStr">
        <is>
          <t>CNTT - Phần mềm, CNTT - Phần cứng / Mạng</t>
        </is>
      </c>
      <c r="K4985" t="inlineStr">
        <is>
          <t>N/A</t>
        </is>
      </c>
      <c r="L4985" s="8">
        <f>HYPERLINK("https://careerviet.vn/vi/tim-viec-lam/chuyen-vien-phat-trien-phan-mem-it.35C66B00.html","Xem chi tiết")</f>
        <v/>
      </c>
    </row>
    <row r="4986">
      <c r="B4986" s="9" t="n">
        <v>4984</v>
      </c>
      <c r="C4986" s="10" t="inlineStr">
        <is>
          <t>Trưởng phòng chất lượng</t>
        </is>
      </c>
      <c r="D4986" s="10" t="inlineStr">
        <is>
          <t>CÔNG TY TNHH AMPHENOL RF VIỆT NAM</t>
        </is>
      </c>
      <c r="E4986" s="10" t="inlineStr">
        <is>
          <t>Lương:Cạnh tranh</t>
        </is>
      </c>
      <c r="F4986" s="10" t="inlineStr">
        <is>
          <t>Hồ Chí MinhLong An</t>
        </is>
      </c>
      <c r="G4986" s="10" t="inlineStr">
        <is>
          <t>28-03-2026</t>
        </is>
      </c>
      <c r="H4986" s="10" t="inlineStr">
        <is>
          <t>28/03/2026</t>
        </is>
      </c>
      <c r="I4986" s="10" t="inlineStr">
        <is>
          <t>17/03/2026</t>
        </is>
      </c>
      <c r="J4986" s="10" t="inlineStr">
        <is>
          <t>Cơ khí / Ô tô / Tự động hóa, Quản lý chất lượng (QA/QC)</t>
        </is>
      </c>
      <c r="K4986" s="10" t="inlineStr">
        <is>
          <t>5 - 6 Năm</t>
        </is>
      </c>
      <c r="L4986" s="11">
        <f>HYPERLINK("https://careerviet.vn/vi/tim-viec-lam/truong-phong-chat-luong.35C66A9E.html","Xem chi tiết")</f>
        <v/>
      </c>
      <c r="M4986" s="10" t="n"/>
    </row>
    <row r="4987">
      <c r="B4987" s="7" t="n">
        <v>4985</v>
      </c>
      <c r="C4987" t="inlineStr">
        <is>
          <t>GGEC - KỸ SƯ PE NHẬN VIỆC NGAY</t>
        </is>
      </c>
      <c r="D4987" t="inlineStr">
        <is>
          <t>CÔNG TY TNHH ĐIỆN KHÍ QUỐC QUANG (VIỆT NAM)</t>
        </is>
      </c>
      <c r="E4987" t="inlineStr">
        <is>
          <t>Lương:Cạnh tranh</t>
        </is>
      </c>
      <c r="F4987" t="inlineStr">
        <is>
          <t>Quảng NamĐà Nẵng</t>
        </is>
      </c>
      <c r="G4987" t="inlineStr">
        <is>
          <t>28-03-2026</t>
        </is>
      </c>
      <c r="H4987" t="inlineStr">
        <is>
          <t>28/03/2026</t>
        </is>
      </c>
      <c r="I4987" t="inlineStr">
        <is>
          <t>17/03/2026</t>
        </is>
      </c>
      <c r="J4987" t="inlineStr">
        <is>
          <t>Bảo trì / Sửa chữa, Sản xuất / Vận hành sản xuất</t>
        </is>
      </c>
      <c r="K4987" t="inlineStr">
        <is>
          <t>1 - 3 Năm</t>
        </is>
      </c>
      <c r="L4987" s="8">
        <f>HYPERLINK("https://careerviet.vn/vi/tim-viec-lam/ggec-ky-su-pe-nhan-viec-ngay.35C66AAA.html","Xem chi tiết")</f>
        <v/>
      </c>
    </row>
    <row r="4988">
      <c r="B4988" s="9" t="n">
        <v>4986</v>
      </c>
      <c r="C4988" s="10" t="inlineStr">
        <is>
          <t>Giáo viên thỉnh giảng tiền tiểu học (Bình Tân, Quận 11)</t>
        </is>
      </c>
      <c r="D4988" s="10" t="inlineStr">
        <is>
          <t>TRƯỜNG QUỐC TẾ BLUE RIDGE / BLUE RIDGE INTERNATIONAL SCHOOL (BRIS)</t>
        </is>
      </c>
      <c r="E4988" s="10" t="inlineStr">
        <is>
          <t>Lương:7 Tr - 9 Tr VND</t>
        </is>
      </c>
      <c r="F4988" s="10" t="inlineStr">
        <is>
          <t>Hồ Chí Minh</t>
        </is>
      </c>
      <c r="G4988" s="10" t="inlineStr">
        <is>
          <t>28-03-2026</t>
        </is>
      </c>
      <c r="H4988" s="10" t="inlineStr">
        <is>
          <t>28/03/2026</t>
        </is>
      </c>
      <c r="I4988" s="10" t="inlineStr">
        <is>
          <t>17/03/2026</t>
        </is>
      </c>
      <c r="J4988" s="10" t="inlineStr">
        <is>
          <t>Giáo dục / Đào tạo</t>
        </is>
      </c>
      <c r="K4988" s="10" t="inlineStr">
        <is>
          <t>1 - 3 Năm</t>
        </is>
      </c>
      <c r="L4988" s="11">
        <f>HYPERLINK("https://careerviet.vn/vi/tim-viec-lam/giao-vien-thinh-giang-tien-tieu-hoc-binh-tan-quan-11.35C6406B.html","Xem chi tiết")</f>
        <v/>
      </c>
      <c r="M4988" s="10" t="n"/>
    </row>
    <row r="4989">
      <c r="B4989" s="7" t="n">
        <v>4987</v>
      </c>
      <c r="C4989" t="inlineStr">
        <is>
          <t>Product Marketing Manager</t>
        </is>
      </c>
      <c r="D4989" t="inlineStr">
        <is>
          <t>CÔNG TY CỔ PHẦN TẬP ĐOÀN DAT</t>
        </is>
      </c>
      <c r="E4989" t="inlineStr">
        <is>
          <t>Lương:30 Tr - 40 Tr VND</t>
        </is>
      </c>
      <c r="F4989" t="inlineStr">
        <is>
          <t>Hồ Chí Minh</t>
        </is>
      </c>
      <c r="G4989" t="inlineStr">
        <is>
          <t>28-03-2026</t>
        </is>
      </c>
      <c r="H4989" t="inlineStr">
        <is>
          <t>28/03/2026</t>
        </is>
      </c>
      <c r="I4989" t="inlineStr">
        <is>
          <t>17/03/2026</t>
        </is>
      </c>
      <c r="J4989" t="inlineStr">
        <is>
          <t>Tiếp thị / Marketing, Bán hàng / Kinh doanh, Bán Hàng Kỹ Thuật</t>
        </is>
      </c>
      <c r="K4989" t="inlineStr">
        <is>
          <t>5 - 7 Năm</t>
        </is>
      </c>
      <c r="L4989" s="8">
        <f>HYPERLINK("https://careerviet.vn/vi/tim-viec-lam/product-marketing-manager.35C66B24.html","Xem chi tiết")</f>
        <v/>
      </c>
    </row>
    <row r="4990">
      <c r="B4990" s="9" t="n">
        <v>4988</v>
      </c>
      <c r="C4990" s="10" t="inlineStr">
        <is>
          <t>Chuyên Viên Chính - Chuyên Viên Cao Cấp Phòng Chống Rửa Tiền</t>
        </is>
      </c>
      <c r="D4990" s="10" t="inlineStr">
        <is>
          <t>Ngân Hàng Thương Mại Cổ Phần Bảo Việt</t>
        </is>
      </c>
      <c r="E4990" s="10" t="inlineStr">
        <is>
          <t>Lương:Cạnh tranh</t>
        </is>
      </c>
      <c r="F4990" s="10" t="inlineStr">
        <is>
          <t>Hà Nội</t>
        </is>
      </c>
      <c r="G4990" s="10" t="inlineStr">
        <is>
          <t>28-03-2026</t>
        </is>
      </c>
      <c r="H4990" s="10" t="inlineStr">
        <is>
          <t>28/03/2026</t>
        </is>
      </c>
      <c r="I4990" s="10" t="inlineStr">
        <is>
          <t>17/03/2026</t>
        </is>
      </c>
      <c r="J4990" s="10" t="inlineStr">
        <is>
          <t>Ngân hàng, Bán hàng / Kinh doanh, Tài chính / Đầu tư</t>
        </is>
      </c>
      <c r="K4990" s="10" t="inlineStr">
        <is>
          <t>Trên 2 Năm</t>
        </is>
      </c>
      <c r="L4990" s="11">
        <f>HYPERLINK("https://careerviet.vn/vi/tim-viec-lam/chuyen-vien-chinh-chuyen-vien-cao-cap-phong-chong-rua-tien.35C66B14.html","Xem chi tiết")</f>
        <v/>
      </c>
      <c r="M4990" s="10" t="n"/>
    </row>
    <row r="4991">
      <c r="B4991" s="7" t="n">
        <v>4989</v>
      </c>
      <c r="C4991" t="inlineStr">
        <is>
          <t>Chuyên Viên Kinh Doanh_Mảng Vật Liệu Gỗ Nội Thất</t>
        </is>
      </c>
      <c r="D4991" t="inlineStr">
        <is>
          <t>Bảo mật</t>
        </is>
      </c>
      <c r="E4991" t="inlineStr">
        <is>
          <t>Lương:15 Tr - 25 Tr VND</t>
        </is>
      </c>
      <c r="F4991" t="inlineStr">
        <is>
          <t>Hồ Chí MinhNghệ An</t>
        </is>
      </c>
      <c r="G4991" t="inlineStr">
        <is>
          <t>28-03-2026</t>
        </is>
      </c>
      <c r="H4991" t="inlineStr">
        <is>
          <t>28/03/2026</t>
        </is>
      </c>
      <c r="I4991" t="inlineStr">
        <is>
          <t>17/03/2026</t>
        </is>
      </c>
      <c r="J4991" t="inlineStr">
        <is>
          <t>Bán hàng / Kinh doanh</t>
        </is>
      </c>
      <c r="K4991" t="inlineStr">
        <is>
          <t>2 - 5 Năm</t>
        </is>
      </c>
      <c r="L4991" s="8">
        <f>HYPERLINK("https://careerviet.vn/vi/tim-viec-lam/chuyen-vien-kinh-doanh_mang-vat-lieu-go-noi-that.35C66AE1.html","Xem chi tiết")</f>
        <v/>
      </c>
    </row>
    <row r="4992">
      <c r="B4992" s="9" t="n">
        <v>4990</v>
      </c>
      <c r="C4992" s="10" t="inlineStr">
        <is>
          <t>[Hà Nội] Chuyên gia Quản lý rủi ro tích hợp và mô hình</t>
        </is>
      </c>
      <c r="D4992" s="10" t="inlineStr">
        <is>
          <t>Ngân hàng TMCP Lộc Phát Việt Nam (LPBank)</t>
        </is>
      </c>
      <c r="E4992" s="10" t="inlineStr">
        <is>
          <t>Lương:Cạnh tranh</t>
        </is>
      </c>
      <c r="F4992" s="10" t="inlineStr">
        <is>
          <t>Hà Nội</t>
        </is>
      </c>
      <c r="G4992" s="10" t="inlineStr">
        <is>
          <t>28-03-2026</t>
        </is>
      </c>
      <c r="H4992" s="10" t="inlineStr">
        <is>
          <t>28/03/2026</t>
        </is>
      </c>
      <c r="I4992" s="10" t="inlineStr">
        <is>
          <t>17/03/2026</t>
        </is>
      </c>
      <c r="J4992" s="10" t="inlineStr">
        <is>
          <t>Kế toán / Kiểm toán, Luật / Pháp lý, Ngân hàng</t>
        </is>
      </c>
      <c r="K4992" s="10" t="inlineStr">
        <is>
          <t>Trên 5 Năm</t>
        </is>
      </c>
      <c r="L4992" s="11">
        <f>HYPERLINK("https://careerviet.vn/vi/tim-viec-lam/ha-noi-chuyen-gia-quan-ly-rui-ro-tich-hop-va-mo-hinh.35C66AB2.html","Xem chi tiết")</f>
        <v/>
      </c>
      <c r="M4992" s="10" t="n"/>
    </row>
    <row r="4993">
      <c r="B4993" s="7" t="n">
        <v>4991</v>
      </c>
      <c r="C4993" t="inlineStr">
        <is>
          <t>Trưởng Phòng Kinh Doanh (TTTM &amp; Văn Phòng)</t>
        </is>
      </c>
      <c r="D4993" t="inlineStr">
        <is>
          <t>TẬP ĐOÀN ĐẦU TƯ KINH ĐÔ</t>
        </is>
      </c>
      <c r="E4993" t="inlineStr">
        <is>
          <t>Lương:30 Tr - 40 Tr VND</t>
        </is>
      </c>
      <c r="F4993" t="inlineStr">
        <is>
          <t>Hà Nội</t>
        </is>
      </c>
      <c r="G4993" t="inlineStr">
        <is>
          <t>28-03-2026</t>
        </is>
      </c>
      <c r="H4993" t="inlineStr">
        <is>
          <t>28/03/2026</t>
        </is>
      </c>
      <c r="I4993" t="inlineStr">
        <is>
          <t>17/03/2026</t>
        </is>
      </c>
      <c r="J4993" t="inlineStr">
        <is>
          <t>Bán hàng / Kinh doanh, Xây dựng, Bất động sản</t>
        </is>
      </c>
      <c r="K4993" t="inlineStr">
        <is>
          <t>3 - 5 Năm</t>
        </is>
      </c>
      <c r="L4993" s="8">
        <f>HYPERLINK("https://careerviet.vn/vi/tim-viec-lam/truong-phong-kinh-doanh-tttm-van-phong.35C66A99.html","Xem chi tiết")</f>
        <v/>
      </c>
    </row>
    <row r="4994">
      <c r="B4994" s="9" t="n">
        <v>4992</v>
      </c>
      <c r="C4994" s="10" t="inlineStr">
        <is>
          <t>Merchandiser/Buyer (Veggies)</t>
        </is>
      </c>
      <c r="D4994" s="10" t="inlineStr">
        <is>
          <t>CÔNG TY CỔ PHẦN KING FOOD MARKET</t>
        </is>
      </c>
      <c r="E4994" s="10" t="inlineStr">
        <is>
          <t>Lương:Cạnh tranh</t>
        </is>
      </c>
      <c r="F4994" s="10" t="inlineStr">
        <is>
          <t>Hồ Chí Minh</t>
        </is>
      </c>
      <c r="G4994" s="10" t="inlineStr">
        <is>
          <t>28-03-2026</t>
        </is>
      </c>
      <c r="H4994" s="10" t="inlineStr">
        <is>
          <t>28/03/2026</t>
        </is>
      </c>
      <c r="I4994" s="10" t="inlineStr">
        <is>
          <t>17/03/2026</t>
        </is>
      </c>
      <c r="J4994" s="10" t="inlineStr">
        <is>
          <t>Bán lẻ / Bán sỉ, Thực phẩm &amp; Đồ uống, Thu mua / Vật tư</t>
        </is>
      </c>
      <c r="K4994" s="10" t="inlineStr">
        <is>
          <t>3 - 4 Năm</t>
        </is>
      </c>
      <c r="L4994" s="11">
        <f>HYPERLINK("https://careerviet.vn/vi/tim-viec-lam/merchandiser-buyer-veggies.35C66BC4.html","Xem chi tiết")</f>
        <v/>
      </c>
      <c r="M4994" s="10" t="n"/>
    </row>
    <row r="4995">
      <c r="B4995" s="7" t="n">
        <v>4993</v>
      </c>
      <c r="C4995" t="inlineStr">
        <is>
          <t>Executive Assistant / Personal Assistant to BOD (Biên Hòa)</t>
        </is>
      </c>
      <c r="D4995" t="inlineStr">
        <is>
          <t>Công Ty TNHH Map Pacific Singapore</t>
        </is>
      </c>
      <c r="E4995" t="inlineStr">
        <is>
          <t>Lương:15 Tr - 25 Tr VND</t>
        </is>
      </c>
      <c r="F4995" t="inlineStr">
        <is>
          <t>Đồng Nai</t>
        </is>
      </c>
      <c r="G4995" t="inlineStr">
        <is>
          <t>28-03-2026</t>
        </is>
      </c>
      <c r="H4995" t="inlineStr">
        <is>
          <t>28/03/2026</t>
        </is>
      </c>
      <c r="I4995" t="inlineStr">
        <is>
          <t>17/03/2026</t>
        </is>
      </c>
      <c r="J4995" t="inlineStr">
        <is>
          <t>Hành chính / Thư ký, Biên phiên dịch</t>
        </is>
      </c>
      <c r="K4995" t="inlineStr">
        <is>
          <t>3 - 10 Năm</t>
        </is>
      </c>
      <c r="L4995" s="8">
        <f>HYPERLINK("https://careerviet.vn/vi/tim-viec-lam/executive-assistant-personal-assistant-to-bod-bien-hoa.35C66AFE.html","Xem chi tiết")</f>
        <v/>
      </c>
    </row>
    <row r="4996">
      <c r="B4996" s="9" t="n">
        <v>4994</v>
      </c>
      <c r="C4996" s="10" t="inlineStr">
        <is>
          <t>Nhân Viên Vẽ CAD (CAD Operator) URGENT</t>
        </is>
      </c>
      <c r="D4996" s="10" t="inlineStr">
        <is>
          <t>FUKUSHIMA GALILEI VIETNAM COMPANY LIMITED</t>
        </is>
      </c>
      <c r="E4996" s="10" t="inlineStr">
        <is>
          <t>Lương:10 Tr - 14 Tr VND</t>
        </is>
      </c>
      <c r="F4996" s="10" t="inlineStr">
        <is>
          <t>Hồ Chí Minh</t>
        </is>
      </c>
      <c r="G4996" s="10" t="inlineStr">
        <is>
          <t>28-03-2026</t>
        </is>
      </c>
      <c r="H4996" s="10" t="inlineStr">
        <is>
          <t>28/03/2026</t>
        </is>
      </c>
      <c r="I4996" s="10" t="inlineStr">
        <is>
          <t>17/03/2026</t>
        </is>
      </c>
      <c r="J4996" s="10" t="inlineStr">
        <is>
          <t>Điện / Điện tử / Điện lạnh / Điện công nghiệp, Mỹ thuật / Nghệ thuật / Thiết kế, Xây dựng</t>
        </is>
      </c>
      <c r="K4996" s="10" t="inlineStr">
        <is>
          <t>N/A</t>
        </is>
      </c>
      <c r="L4996" s="11">
        <f>HYPERLINK("https://careerviet.vn/vi/tim-viec-lam/nhan-vien-ve-cad-cad-operator-urgent.35C66BD1.html","Xem chi tiết")</f>
        <v/>
      </c>
      <c r="M4996" s="10" t="n"/>
    </row>
    <row r="4997">
      <c r="B4997" s="7" t="n">
        <v>4995</v>
      </c>
      <c r="C4997" t="inlineStr">
        <is>
          <t>127269 - Leasing Staff - Real Estate</t>
        </is>
      </c>
      <c r="D4997" t="inlineStr">
        <is>
          <t>RGF HR Agent Vietnam Co., LTD</t>
        </is>
      </c>
      <c r="E4997" t="inlineStr">
        <is>
          <t>Lương:25 Tr - 28 Tr VND</t>
        </is>
      </c>
      <c r="F4997" t="inlineStr">
        <is>
          <t>Hà Nội</t>
        </is>
      </c>
      <c r="G4997" t="inlineStr">
        <is>
          <t>28-03-2026</t>
        </is>
      </c>
      <c r="H4997" t="inlineStr">
        <is>
          <t>28/03/2026</t>
        </is>
      </c>
      <c r="I4997" t="inlineStr">
        <is>
          <t>17/03/2026</t>
        </is>
      </c>
      <c r="J4997" t="inlineStr">
        <is>
          <t>Bất động sản</t>
        </is>
      </c>
      <c r="K4997" t="inlineStr">
        <is>
          <t>3 - 4 Năm</t>
        </is>
      </c>
      <c r="L4997" s="8">
        <f>HYPERLINK("https://careerviet.vn/vi/tim-viec-lam/127269-leasing-staff-real-estate.35C66AC0.html","Xem chi tiết")</f>
        <v/>
      </c>
    </row>
    <row r="4998">
      <c r="B4998" s="9" t="n">
        <v>4996</v>
      </c>
      <c r="C4998" s="10" t="inlineStr">
        <is>
          <t>127200 - Tiếng Nhật - Quản lý Quản lý Hiện trường Sản xuất - Ngành Sản xuất</t>
        </is>
      </c>
      <c r="D4998" s="10" t="inlineStr">
        <is>
          <t>RGF HR Agent Vietnam Co., LTD</t>
        </is>
      </c>
      <c r="E4998" s="10" t="inlineStr">
        <is>
          <t>Lương:Lên đến 35 Tr VND</t>
        </is>
      </c>
      <c r="F4998" s="10" t="inlineStr">
        <is>
          <t>Hồ Chí Minh</t>
        </is>
      </c>
      <c r="G4998" s="10" t="inlineStr">
        <is>
          <t>28-03-2026</t>
        </is>
      </c>
      <c r="H4998" s="10" t="inlineStr">
        <is>
          <t>28/03/2026</t>
        </is>
      </c>
      <c r="I4998" s="10" t="inlineStr">
        <is>
          <t>17/03/2026</t>
        </is>
      </c>
      <c r="J4998" s="10" t="inlineStr">
        <is>
          <t>Sản xuất / Vận hành sản xuất</t>
        </is>
      </c>
      <c r="K4998" s="10" t="inlineStr">
        <is>
          <t>Trên 5 Năm</t>
        </is>
      </c>
      <c r="L4998" s="11">
        <f>HYPERLINK("https://careerviet.vn/vi/tim-viec-lam/127200-tieng-nhat-quan-ly-quan-ly-hien-truong-san-xuat-nganh-san-xuat.35C65776.html","Xem chi tiết")</f>
        <v/>
      </c>
      <c r="M4998" s="10" t="n"/>
    </row>
    <row r="4999">
      <c r="B4999" s="7" t="n">
        <v>4997</v>
      </c>
      <c r="C4999" t="inlineStr">
        <is>
          <t>[Hà Nội] Chuyên viên chính/Chuyên viên cao cấp Quản lý rủi ro tích hợp và mô hình</t>
        </is>
      </c>
      <c r="D4999" t="inlineStr">
        <is>
          <t>Ngân hàng TMCP Lộc Phát Việt Nam (LPBank)</t>
        </is>
      </c>
      <c r="E4999" t="inlineStr">
        <is>
          <t>Lương:Cạnh tranh</t>
        </is>
      </c>
      <c r="F4999" t="inlineStr">
        <is>
          <t>Hà Nội</t>
        </is>
      </c>
      <c r="G4999" t="inlineStr">
        <is>
          <t>28-03-2026</t>
        </is>
      </c>
      <c r="H4999" t="inlineStr">
        <is>
          <t>28/03/2026</t>
        </is>
      </c>
      <c r="I4999" t="inlineStr">
        <is>
          <t>17/03/2026</t>
        </is>
      </c>
      <c r="J4999" t="inlineStr">
        <is>
          <t>Kế toán / Kiểm toán, Luật / Pháp lý, Ngân hàng</t>
        </is>
      </c>
      <c r="K4999" t="inlineStr">
        <is>
          <t>Trên 5 Năm</t>
        </is>
      </c>
      <c r="L4999" s="8">
        <f>HYPERLINK("https://careerviet.vn/vi/tim-viec-lam/ha-noi-chuyen-vien-chinh-chuyen-vien-cao-cap-quan-ly-rui-ro-tich-hop-va-mo-hinh.35C66ABC.html","Xem chi tiết")</f>
        <v/>
      </c>
    </row>
    <row r="5000">
      <c r="B5000" s="9" t="n">
        <v>4998</v>
      </c>
      <c r="C5000" s="10" t="inlineStr">
        <is>
          <t>Kỹ Sư Shop Drawing - Cơ Khí  Xây Dựng</t>
        </is>
      </c>
      <c r="D5000" s="10" t="inlineStr">
        <is>
          <t>ATAD Steel Structure Corporation</t>
        </is>
      </c>
      <c r="E5000" s="10" t="inlineStr">
        <is>
          <t>Lương:Cạnh tranh</t>
        </is>
      </c>
      <c r="F5000" s="10" t="inlineStr">
        <is>
          <t>Hồ Chí Minh</t>
        </is>
      </c>
      <c r="G5000" s="10" t="inlineStr">
        <is>
          <t>28-03-2026</t>
        </is>
      </c>
      <c r="H5000" s="10" t="inlineStr">
        <is>
          <t>28/03/2026</t>
        </is>
      </c>
      <c r="I5000" s="10" t="inlineStr">
        <is>
          <t>17/03/2026</t>
        </is>
      </c>
      <c r="J5000" s="10" t="inlineStr">
        <is>
          <t>Cơ khí / Ô tô / Tự động hóa, Xây dựng</t>
        </is>
      </c>
      <c r="K5000" s="10" t="inlineStr">
        <is>
          <t>N/A</t>
        </is>
      </c>
      <c r="L5000" s="11">
        <f>HYPERLINK("https://careerviet.vn/vi/tim-viec-lam/ky-su-shop-drawing-co-khi-xay-dung.35C66BCE.html","Xem chi tiết")</f>
        <v/>
      </c>
      <c r="M5000" s="10" t="n"/>
    </row>
    <row r="5001">
      <c r="B5001" s="7" t="n">
        <v>4999</v>
      </c>
      <c r="C5001" t="inlineStr">
        <is>
          <t>Nhân Viên Thu Mua Đà Nẵng Ổn Định Lâu Dài</t>
        </is>
      </c>
      <c r="D5001" t="inlineStr">
        <is>
          <t>Công ty TNHH Triệu Hổ</t>
        </is>
      </c>
      <c r="E5001" t="inlineStr">
        <is>
          <t>Lương:Cạnh tranh</t>
        </is>
      </c>
      <c r="F5001" t="inlineStr">
        <is>
          <t>Đà Nẵng</t>
        </is>
      </c>
      <c r="G5001" t="inlineStr">
        <is>
          <t>28-03-2026</t>
        </is>
      </c>
      <c r="H5001" t="inlineStr">
        <is>
          <t>28/03/2026</t>
        </is>
      </c>
      <c r="I5001" t="inlineStr">
        <is>
          <t>17/03/2026</t>
        </is>
      </c>
      <c r="J5001" t="inlineStr">
        <is>
          <t>Tư vấn, Xuất nhập khẩu, Thu mua / Vật tư</t>
        </is>
      </c>
      <c r="K5001" t="inlineStr">
        <is>
          <t>Trên 3 Năm</t>
        </is>
      </c>
      <c r="L5001" s="8">
        <f>HYPERLINK("https://careerviet.vn/vi/tim-viec-lam/nhan-vien-thu-mua-da-nang-on-dinh-lau-dai.35C66B2E.html","Xem chi tiết")</f>
        <v/>
      </c>
    </row>
    <row r="5002">
      <c r="B5002" s="9" t="n">
        <v>5000</v>
      </c>
      <c r="C5002" s="10" t="inlineStr">
        <is>
          <t>Pricing Officer</t>
        </is>
      </c>
      <c r="D5002" s="10" t="inlineStr">
        <is>
          <t>HEADWAY JSC</t>
        </is>
      </c>
      <c r="E5002" s="10" t="inlineStr">
        <is>
          <t>Lương:Cạnh tranh</t>
        </is>
      </c>
      <c r="F5002" s="10" t="inlineStr">
        <is>
          <t>Hồ Chí Minh</t>
        </is>
      </c>
      <c r="G5002" s="10" t="inlineStr">
        <is>
          <t>26-03-2026</t>
        </is>
      </c>
      <c r="H5002" s="10" t="inlineStr">
        <is>
          <t>26/03/2026</t>
        </is>
      </c>
      <c r="I5002" s="10" t="inlineStr">
        <is>
          <t>17/03/2026</t>
        </is>
      </c>
      <c r="J5002" s="10" t="inlineStr">
        <is>
          <t>Dịch vụ khách hàng, Vận chuyển / Giao nhận / Kho vận, Xuất nhập khẩu</t>
        </is>
      </c>
      <c r="K5002" s="10" t="inlineStr">
        <is>
          <t>N/A</t>
        </is>
      </c>
      <c r="L5002" s="11">
        <f>HYPERLINK("https://careerviet.vn/vi/tim-viec-lam/pricing-officer.35C6A023.html","Xem chi tiết")</f>
        <v/>
      </c>
      <c r="M5002" s="10" t="n"/>
    </row>
    <row r="5003">
      <c r="B5003" s="7" t="n">
        <v>5001</v>
      </c>
      <c r="C5003" t="inlineStr">
        <is>
          <t>Nhân viên theo dõi đơn hàng Merchandiser</t>
        </is>
      </c>
      <c r="D5003" t="inlineStr">
        <is>
          <t>Công ty TNHH DH Textile</t>
        </is>
      </c>
      <c r="E5003" t="inlineStr">
        <is>
          <t>Lương:11 Tr - 20 Tr VND</t>
        </is>
      </c>
      <c r="F5003" t="inlineStr">
        <is>
          <t>Hồ Chí Minh</t>
        </is>
      </c>
      <c r="G5003" t="inlineStr">
        <is>
          <t>31-03-2026</t>
        </is>
      </c>
      <c r="H5003" t="inlineStr">
        <is>
          <t>31/03/2026</t>
        </is>
      </c>
      <c r="I5003" t="inlineStr">
        <is>
          <t>17/03/2026</t>
        </is>
      </c>
      <c r="J5003" t="inlineStr">
        <is>
          <t>Dệt may / Da giày / Thời trang, Sản xuất / Vận hành sản xuất, Bán hàng / Kinh doanh</t>
        </is>
      </c>
      <c r="K5003" t="inlineStr">
        <is>
          <t>N/A</t>
        </is>
      </c>
      <c r="L5003" s="8">
        <f>HYPERLINK("https://careerviet.vn/vi/tim-viec-lam/nhan-vien-theo-doi-don-hang-merchandiser.35C69C47.html","Xem chi tiết")</f>
        <v/>
      </c>
    </row>
    <row r="5004">
      <c r="B5004" s="9" t="n">
        <v>5002</v>
      </c>
      <c r="C5004" s="10" t="inlineStr">
        <is>
          <t>Sales Executive</t>
        </is>
      </c>
      <c r="D5004" s="10" t="inlineStr">
        <is>
          <t>CÔNG TY CỔ PHẦN BỆNH VIỆN QUỐC TẾ BERNARD 1</t>
        </is>
      </c>
      <c r="E5004" s="10" t="inlineStr">
        <is>
          <t>Lương:Cạnh tranh</t>
        </is>
      </c>
      <c r="F5004" s="10" t="inlineStr">
        <is>
          <t>Hồ Chí Minh</t>
        </is>
      </c>
      <c r="G5004" s="10" t="inlineStr">
        <is>
          <t>28-03-2026</t>
        </is>
      </c>
      <c r="H5004" s="10" t="inlineStr">
        <is>
          <t>28/03/2026</t>
        </is>
      </c>
      <c r="I5004" s="10" t="inlineStr">
        <is>
          <t>17/03/2026</t>
        </is>
      </c>
      <c r="J5004" s="10" t="inlineStr">
        <is>
          <t>Bán hàng / Kinh doanh, Dược phẩm/ Hóa Mỹ Phẩm, Y tế / Chăm sóc sức khỏe / Thẩm mỹ / Làm đẹp</t>
        </is>
      </c>
      <c r="K5004" s="10" t="inlineStr">
        <is>
          <t>2 - 5 Năm</t>
        </is>
      </c>
      <c r="L5004" s="11">
        <f>HYPERLINK("https://careerviet.vn/vi/tim-viec-lam/sales-executive.35C66B57.html","Xem chi tiết")</f>
        <v/>
      </c>
      <c r="M5004" s="10" t="n"/>
    </row>
    <row r="5005">
      <c r="B5005" s="7" t="n">
        <v>5003</v>
      </c>
      <c r="C5005" t="inlineStr">
        <is>
          <t>Nhân viên Sourcing &amp; Purchasing (Chuyên ngành xuất khẩu FMCG, Thực phẩm)</t>
        </is>
      </c>
      <c r="D5005" t="inlineStr">
        <is>
          <t>Công Ty TNHH XNK Đại Dương Xanh</t>
        </is>
      </c>
      <c r="E5005" t="inlineStr">
        <is>
          <t>Lương:Cạnh tranh</t>
        </is>
      </c>
      <c r="F5005" t="inlineStr">
        <is>
          <t>Hồ Chí Minh</t>
        </is>
      </c>
      <c r="G5005" t="inlineStr">
        <is>
          <t>29-03-2026</t>
        </is>
      </c>
      <c r="H5005" t="inlineStr">
        <is>
          <t>29/03/2026</t>
        </is>
      </c>
      <c r="I5005" t="inlineStr">
        <is>
          <t>17/03/2026</t>
        </is>
      </c>
      <c r="J5005" t="inlineStr">
        <is>
          <t>Thực phẩm &amp; Đồ uống, Thu mua / Vật tư, Công nghệ thực phẩm / Dinh dưỡng</t>
        </is>
      </c>
      <c r="K5005" t="inlineStr">
        <is>
          <t>2 - 5 Năm</t>
        </is>
      </c>
      <c r="L5005" s="8">
        <f>HYPERLINK("https://careerviet.vn/vi/tim-viec-lam/nhan-vien-sourcing-purchasing-chuyen-nganh-xuat-khau-fmcg-thuc-pham.35C69F1A.html","Xem chi tiết")</f>
        <v/>
      </c>
    </row>
    <row r="5006">
      <c r="B5006" s="9" t="n">
        <v>5004</v>
      </c>
      <c r="C5006" s="10" t="inlineStr">
        <is>
          <t>Chuyên viên điều phối đơn hàng</t>
        </is>
      </c>
      <c r="D5006" s="10" t="inlineStr">
        <is>
          <t>Hoang Duc Pharmaceutical &amp; Medical Supplies co, Ltd.</t>
        </is>
      </c>
      <c r="E5006" s="10" t="inlineStr">
        <is>
          <t>Lương:Cạnh tranh</t>
        </is>
      </c>
      <c r="F5006" s="10" t="inlineStr">
        <is>
          <t>Hà NộiHưng Yên</t>
        </is>
      </c>
      <c r="G5006" s="10" t="inlineStr">
        <is>
          <t>28-03-2026</t>
        </is>
      </c>
      <c r="H5006" s="10" t="inlineStr">
        <is>
          <t>28/03/2026</t>
        </is>
      </c>
      <c r="I5006" s="10" t="inlineStr">
        <is>
          <t>17/03/2026</t>
        </is>
      </c>
      <c r="J5006" s="10" t="inlineStr">
        <is>
          <t>Vận chuyển / Giao nhận / Kho vận</t>
        </is>
      </c>
      <c r="K5006" s="10" t="inlineStr">
        <is>
          <t>1 - 2 Năm</t>
        </is>
      </c>
      <c r="L5006" s="11">
        <f>HYPERLINK("https://careerviet.vn/vi/tim-viec-lam/chuyen-vien-dieu-phoi-don-hang.35C66ADD.html","Xem chi tiết")</f>
        <v/>
      </c>
      <c r="M5006" s="10" t="n"/>
    </row>
    <row r="5007">
      <c r="B5007" s="7" t="n">
        <v>5005</v>
      </c>
      <c r="C5007" t="inlineStr">
        <is>
          <t>Merchandiser / Export-Coordinator</t>
        </is>
      </c>
      <c r="D5007" t="inlineStr">
        <is>
          <t>UP Furniture</t>
        </is>
      </c>
      <c r="E5007" t="inlineStr">
        <is>
          <t>Lương:Cạnh tranh</t>
        </is>
      </c>
      <c r="F5007" t="inlineStr">
        <is>
          <t>Bình Dương</t>
        </is>
      </c>
      <c r="G5007" t="inlineStr">
        <is>
          <t>27-03-2026</t>
        </is>
      </c>
      <c r="H5007" t="inlineStr">
        <is>
          <t>27/03/2026</t>
        </is>
      </c>
      <c r="I5007" t="inlineStr">
        <is>
          <t>17/03/2026</t>
        </is>
      </c>
      <c r="J5007" t="inlineStr">
        <is>
          <t>Xuất nhập khẩu, Dịch vụ khách hàng, Nội ngoại thất</t>
        </is>
      </c>
      <c r="K5007" t="inlineStr">
        <is>
          <t>N/A</t>
        </is>
      </c>
      <c r="L5007" s="8">
        <f>HYPERLINK("https://careerviet.vn/vi/tim-viec-lam/merchandiser-export-coordinator.35C6A01E.html","Xem chi tiết")</f>
        <v/>
      </c>
    </row>
    <row r="5008">
      <c r="B5008" s="9" t="n">
        <v>5006</v>
      </c>
      <c r="C5008" s="10" t="inlineStr">
        <is>
          <t>Nhân Viên Mua Hàng Nhập Khẩu (Import Purchasing Executive)</t>
        </is>
      </c>
      <c r="D5008" s="10" t="inlineStr">
        <is>
          <t>CÔNG TY CỔ PHẦN GANG THÉP HD MIỀN TRUNG</t>
        </is>
      </c>
      <c r="E5008" s="10" t="inlineStr">
        <is>
          <t>Lương:Cạnh tranh</t>
        </is>
      </c>
      <c r="F5008" s="10" t="inlineStr">
        <is>
          <t>Hồ Chí Minh</t>
        </is>
      </c>
      <c r="G5008" s="10" t="inlineStr">
        <is>
          <t>27-03-2026</t>
        </is>
      </c>
      <c r="H5008" s="10" t="inlineStr">
        <is>
          <t>27/03/2026</t>
        </is>
      </c>
      <c r="I5008" s="10" t="inlineStr">
        <is>
          <t>17/03/2026</t>
        </is>
      </c>
      <c r="J5008" s="10" t="inlineStr">
        <is>
          <t>Thu mua / Vật tư, Xuất nhập khẩu, Vận chuyển / Giao nhận / Kho vận</t>
        </is>
      </c>
      <c r="K5008" s="10" t="inlineStr">
        <is>
          <t>Trên 2 Năm</t>
        </is>
      </c>
      <c r="L5008" s="11">
        <f>HYPERLINK("https://careerviet.vn/vi/tim-viec-lam/nhan-vien-mua-hang-nhap-khau-import-purchasing-executive.35C69FF4.html","Xem chi tiết")</f>
        <v/>
      </c>
      <c r="M5008" s="10" t="n"/>
    </row>
    <row r="5009">
      <c r="B5009" s="7" t="n">
        <v>5007</v>
      </c>
      <c r="C5009" t="inlineStr">
        <is>
          <t>NHÂN VIÊN HÀNH CHÍNH NHÂN SỰ</t>
        </is>
      </c>
      <c r="D5009" t="inlineStr">
        <is>
          <t>SKODA BÌNH DƯƠNG</t>
        </is>
      </c>
      <c r="E5009" t="inlineStr">
        <is>
          <t>Lương:8 Tr - 9 Tr VND</t>
        </is>
      </c>
      <c r="F5009" t="inlineStr">
        <is>
          <t>Bình Dương</t>
        </is>
      </c>
      <c r="G5009" t="inlineStr">
        <is>
          <t>26-03-2026</t>
        </is>
      </c>
      <c r="H5009" t="inlineStr">
        <is>
          <t>26/03/2026</t>
        </is>
      </c>
      <c r="I5009" t="inlineStr">
        <is>
          <t>17/03/2026</t>
        </is>
      </c>
      <c r="J5009" t="inlineStr">
        <is>
          <t>Hành chính / Thư ký, Nhân sự, Quản lý điều hành</t>
        </is>
      </c>
      <c r="K5009" t="inlineStr">
        <is>
          <t>Trên 1 Năm</t>
        </is>
      </c>
      <c r="L5009" s="8">
        <f>HYPERLINK("https://careerviet.vn/vi/tim-viec-lam/nhan-vien-hanh-chinh-nhan-su.35C6A088.html","Xem chi tiết")</f>
        <v/>
      </c>
    </row>
    <row r="5010">
      <c r="B5010" s="9" t="n">
        <v>5008</v>
      </c>
      <c r="C5010" s="10" t="inlineStr">
        <is>
          <t>Nhân Viên Hành Chính</t>
        </is>
      </c>
      <c r="D5010" s="10" t="inlineStr">
        <is>
          <t>CÔNG TY CỔ PHẦN VÀNG BẠC ĐÁ QUÝ LỘC PHÚC</t>
        </is>
      </c>
      <c r="E5010" s="10" t="inlineStr">
        <is>
          <t>Lương:8 Tr - 9 Tr VND</t>
        </is>
      </c>
      <c r="F5010" s="10" t="inlineStr">
        <is>
          <t>Hồ Chí Minh</t>
        </is>
      </c>
      <c r="G5010" s="10" t="inlineStr">
        <is>
          <t>27-03-2026</t>
        </is>
      </c>
      <c r="H5010" s="10" t="inlineStr">
        <is>
          <t>27/03/2026</t>
        </is>
      </c>
      <c r="I5010" s="10" t="inlineStr">
        <is>
          <t>17/03/2026</t>
        </is>
      </c>
      <c r="J5010" s="10" t="inlineStr">
        <is>
          <t>Hành chính / Thư ký, Nhân sự</t>
        </is>
      </c>
      <c r="K5010" s="10" t="inlineStr">
        <is>
          <t>1 - 2 Năm</t>
        </is>
      </c>
      <c r="L5010" s="11">
        <f>HYPERLINK("https://careerviet.vn/vi/tim-viec-lam/nhan-vien-hanh-chinh.35C6A08F.html","Xem chi tiết")</f>
        <v/>
      </c>
      <c r="M5010" s="10" t="n"/>
    </row>
    <row r="5011">
      <c r="B5011" s="7" t="n">
        <v>5009</v>
      </c>
      <c r="C5011" t="inlineStr">
        <is>
          <t>Marketing Communication Specialist</t>
        </is>
      </c>
      <c r="D5011" t="inlineStr">
        <is>
          <t>Sika Limited (Vietnam)</t>
        </is>
      </c>
      <c r="E5011" t="inlineStr">
        <is>
          <t>Lương:Cạnh tranh</t>
        </is>
      </c>
      <c r="F5011" t="inlineStr">
        <is>
          <t>Hồ Chí Minh</t>
        </is>
      </c>
      <c r="G5011" t="inlineStr">
        <is>
          <t>31-03-2026</t>
        </is>
      </c>
      <c r="H5011" t="inlineStr">
        <is>
          <t>31/03/2026</t>
        </is>
      </c>
      <c r="I5011" t="inlineStr">
        <is>
          <t>17/03/2026</t>
        </is>
      </c>
      <c r="J5011" t="inlineStr">
        <is>
          <t>Tiếp thị / Marketing, Quảng cáo / Đối ngoại / Truyền Thông</t>
        </is>
      </c>
      <c r="K5011" t="inlineStr">
        <is>
          <t>4 - 5 Năm</t>
        </is>
      </c>
      <c r="L5011" s="8">
        <f>HYPERLINK("https://careerviet.vn/vi/tim-viec-lam/marketing-communication-specialist.35C6A0A7.html","Xem chi tiết")</f>
        <v/>
      </c>
    </row>
    <row r="5012">
      <c r="B5012" s="9" t="n">
        <v>5010</v>
      </c>
      <c r="C5012" s="10" t="inlineStr">
        <is>
          <t>FULLSTACK DEVELOPER (MIDDLE, SENIOR)</t>
        </is>
      </c>
      <c r="D5012" s="10" t="inlineStr">
        <is>
          <t>Công Ty Cổ Phần Xây Dựng Central</t>
        </is>
      </c>
      <c r="E5012" s="10" t="inlineStr">
        <is>
          <t>Lương:20 Tr - 40 Tr VND</t>
        </is>
      </c>
      <c r="F5012" s="10" t="inlineStr">
        <is>
          <t>Hồ Chí Minh</t>
        </is>
      </c>
      <c r="G5012" s="10" t="inlineStr">
        <is>
          <t>31-03-2026</t>
        </is>
      </c>
      <c r="H5012" s="10" t="inlineStr">
        <is>
          <t>31/03/2026</t>
        </is>
      </c>
      <c r="I5012" s="10" t="inlineStr">
        <is>
          <t>17/03/2026</t>
        </is>
      </c>
      <c r="J5012" s="10" t="inlineStr">
        <is>
          <t>CNTT - Phần mềm, CNTT - Phần cứng / Mạng</t>
        </is>
      </c>
      <c r="K5012" s="10" t="inlineStr">
        <is>
          <t>3 - 5 Năm</t>
        </is>
      </c>
      <c r="L5012" s="11">
        <f>HYPERLINK("https://careerviet.vn/vi/tim-viec-lam/fullstack-developer-middle-senior.35C6A019.html","Xem chi tiết")</f>
        <v/>
      </c>
      <c r="M5012" s="10" t="n"/>
    </row>
    <row r="5013">
      <c r="B5013" s="7" t="n">
        <v>5011</v>
      </c>
      <c r="C5013" t="inlineStr">
        <is>
          <t>Trưởng Phòng Marketing</t>
        </is>
      </c>
      <c r="D5013" t="inlineStr">
        <is>
          <t>CÔNG TY TNHH ĐẦU TƯ VÀ PHÁT TRIỂN LÊ PHONG</t>
        </is>
      </c>
      <c r="E5013" t="inlineStr">
        <is>
          <t>Lương:Cạnh tranh</t>
        </is>
      </c>
      <c r="F5013" t="inlineStr">
        <is>
          <t>Hồ Chí MinhBình Dương</t>
        </is>
      </c>
      <c r="G5013" t="inlineStr">
        <is>
          <t>31-03-2026</t>
        </is>
      </c>
      <c r="H5013" t="inlineStr">
        <is>
          <t>31/03/2026</t>
        </is>
      </c>
      <c r="I5013" t="inlineStr">
        <is>
          <t>17/03/2026</t>
        </is>
      </c>
      <c r="J5013" t="inlineStr">
        <is>
          <t>Bất động sản, Tiếp thị / Marketing</t>
        </is>
      </c>
      <c r="K5013" t="inlineStr">
        <is>
          <t>3 - 5 Năm</t>
        </is>
      </c>
      <c r="L5013" s="8">
        <f>HYPERLINK("https://careerviet.vn/vi/tim-viec-lam/truong-phong-marketing.35C69AEE.html","Xem chi tiết")</f>
        <v/>
      </c>
    </row>
    <row r="5014">
      <c r="B5014" s="9" t="n">
        <v>5012</v>
      </c>
      <c r="C5014" s="10" t="inlineStr">
        <is>
          <t>Trưởng Nhóm Dịch Vụ Nhân Sự (C&amp;B Leader Service)</t>
        </is>
      </c>
      <c r="D5014" s="10" t="inlineStr">
        <is>
          <t>CÔNG TY CỔ PHẦN KẾT NỐI VIỆC</t>
        </is>
      </c>
      <c r="E5014" s="10" t="inlineStr">
        <is>
          <t>Lương:20 Tr - 32 Tr VND</t>
        </is>
      </c>
      <c r="F5014" s="10" t="inlineStr">
        <is>
          <t>Hồ Chí Minh</t>
        </is>
      </c>
      <c r="G5014" s="10" t="inlineStr">
        <is>
          <t>31-03-2026</t>
        </is>
      </c>
      <c r="H5014" s="10" t="inlineStr">
        <is>
          <t>31/03/2026</t>
        </is>
      </c>
      <c r="I5014" s="10" t="inlineStr">
        <is>
          <t>17/03/2026</t>
        </is>
      </c>
      <c r="J5014" s="10" t="inlineStr">
        <is>
          <t>Nhân sự, Kế toán / Kiểm toán, Hành chính / Thư ký</t>
        </is>
      </c>
      <c r="K5014" s="10" t="inlineStr">
        <is>
          <t>3 - 5 Năm</t>
        </is>
      </c>
      <c r="L5014" s="11">
        <f>HYPERLINK("https://careerviet.vn/vi/tim-viec-lam/truong-nhom-dich-vu-nhan-su-c-b-leader-service.35C69FBB.html","Xem chi tiết")</f>
        <v/>
      </c>
      <c r="M5014" s="10" t="n"/>
    </row>
    <row r="5015">
      <c r="B5015" s="7" t="n">
        <v>5013</v>
      </c>
      <c r="C5015" t="inlineStr">
        <is>
          <t>Chuyên Viên Dịch Vụ Nhân Sự (C&amp;B Service Executive)</t>
        </is>
      </c>
      <c r="D5015" t="inlineStr">
        <is>
          <t>CÔNG TY CỔ PHẦN KẾT NỐI VIỆC</t>
        </is>
      </c>
      <c r="E5015" t="inlineStr">
        <is>
          <t>Lương:12 Tr - 20 Tr VND</t>
        </is>
      </c>
      <c r="F5015" t="inlineStr">
        <is>
          <t>Hồ Chí Minh</t>
        </is>
      </c>
      <c r="G5015" t="inlineStr">
        <is>
          <t>31-03-2026</t>
        </is>
      </c>
      <c r="H5015" t="inlineStr">
        <is>
          <t>31/03/2026</t>
        </is>
      </c>
      <c r="I5015" t="inlineStr">
        <is>
          <t>17/03/2026</t>
        </is>
      </c>
      <c r="J5015" t="inlineStr">
        <is>
          <t>Hành chính / Thư ký, Nhân sự, Kế toán / Kiểm toán</t>
        </is>
      </c>
      <c r="K5015" t="inlineStr">
        <is>
          <t>Trên 2 Năm</t>
        </is>
      </c>
      <c r="L5015" s="8">
        <f>HYPERLINK("https://careerviet.vn/vi/tim-viec-lam/chuyen-vien-dich-vu-nhan-su-c-b-service-executive.35C69FF2.html","Xem chi tiết")</f>
        <v/>
      </c>
    </row>
    <row r="5016">
      <c r="B5016" s="9" t="n">
        <v>5014</v>
      </c>
      <c r="C5016" s="10" t="inlineStr">
        <is>
          <t>Trợ Lý Phó Chủ Tịch</t>
        </is>
      </c>
      <c r="D5016" s="10" t="inlineStr">
        <is>
          <t>Công Ty Cổ Phần Tập Đoàn Trung Thủy</t>
        </is>
      </c>
      <c r="E5016" s="10" t="inlineStr">
        <is>
          <t>Lương:30 Tr - 30 Tr VND</t>
        </is>
      </c>
      <c r="F5016" s="10" t="inlineStr">
        <is>
          <t>Hồ Chí Minh</t>
        </is>
      </c>
      <c r="G5016" s="10" t="inlineStr">
        <is>
          <t>31-03-2026</t>
        </is>
      </c>
      <c r="H5016" s="10" t="inlineStr">
        <is>
          <t>31/03/2026</t>
        </is>
      </c>
      <c r="I5016" s="10" t="inlineStr">
        <is>
          <t>17/03/2026</t>
        </is>
      </c>
      <c r="J5016" s="10" t="inlineStr">
        <is>
          <t>Bất động sản, Xây dựng, Hành chính / Thư ký</t>
        </is>
      </c>
      <c r="K5016" s="10" t="inlineStr">
        <is>
          <t>5 - 10 Năm</t>
        </is>
      </c>
      <c r="L5016" s="11">
        <f>HYPERLINK("https://careerviet.vn/vi/tim-viec-lam/tro-ly-pho-chu-tich.35C6A03C.html","Xem chi tiết")</f>
        <v/>
      </c>
      <c r="M5016" s="10" t="n"/>
    </row>
    <row r="5017">
      <c r="B5017" s="7" t="n">
        <v>5015</v>
      </c>
      <c r="C5017" t="inlineStr">
        <is>
          <t>Trưởng nhóm Sáng tạo Nội dung Số</t>
        </is>
      </c>
      <c r="D5017" t="inlineStr">
        <is>
          <t>CÔNG TY CỔ PHẦN DƯỢC PHẨM FPT LONG CHÂU</t>
        </is>
      </c>
      <c r="E5017" t="inlineStr">
        <is>
          <t>Lương:Cạnh tranh</t>
        </is>
      </c>
      <c r="F5017" t="inlineStr">
        <is>
          <t>Hồ Chí Minh</t>
        </is>
      </c>
      <c r="G5017" t="inlineStr">
        <is>
          <t>31-03-2026</t>
        </is>
      </c>
      <c r="H5017" t="inlineStr">
        <is>
          <t>31/03/2026</t>
        </is>
      </c>
      <c r="I5017" t="inlineStr">
        <is>
          <t>17/03/2026</t>
        </is>
      </c>
      <c r="J5017" t="inlineStr">
        <is>
          <t>Tiếp thị / Marketing, Truyền hình / Báo chí / Biên tập, Quảng cáo / Đối ngoại / Truyền Thông</t>
        </is>
      </c>
      <c r="K5017" t="inlineStr">
        <is>
          <t>3 - 5 Năm</t>
        </is>
      </c>
      <c r="L5017" s="8">
        <f>HYPERLINK("https://careerviet.vn/vi/tim-viec-lam/truong-nhom-sang-tao-noi-dung-so.35C69F95.html","Xem chi tiết")</f>
        <v/>
      </c>
    </row>
    <row r="5018">
      <c r="B5018" s="9" t="n">
        <v>5016</v>
      </c>
      <c r="C5018" s="10" t="inlineStr">
        <is>
          <t>Admin Executive</t>
        </is>
      </c>
      <c r="D5018" s="10" t="inlineStr">
        <is>
          <t>VĂN PHÒNG ĐẠI DIỆN TỔNG CÔNG TY PHÁT TRIỂN ĐÔ THỊ KINH BẮC-CTCP TẠI THÀNH PHỐ HỒ CHÍ MINH</t>
        </is>
      </c>
      <c r="E5018" s="10" t="inlineStr">
        <is>
          <t>Lương:13 Tr - 15 Tr VND</t>
        </is>
      </c>
      <c r="F5018" s="10" t="inlineStr">
        <is>
          <t>Hồ Chí Minh</t>
        </is>
      </c>
      <c r="G5018" s="10" t="inlineStr">
        <is>
          <t>30-03-2026</t>
        </is>
      </c>
      <c r="H5018" s="10" t="inlineStr">
        <is>
          <t>30/03/2026</t>
        </is>
      </c>
      <c r="I5018" s="10" t="inlineStr">
        <is>
          <t>17/03/2026</t>
        </is>
      </c>
      <c r="J5018" s="10" t="inlineStr">
        <is>
          <t>Hành chính / Thư ký</t>
        </is>
      </c>
      <c r="K5018" s="10" t="inlineStr">
        <is>
          <t>2 - 5 Năm</t>
        </is>
      </c>
      <c r="L5018" s="11">
        <f>HYPERLINK("https://careerviet.vn/vi/tim-viec-lam/admin-executive.35C6A009.html","Xem chi tiết")</f>
        <v/>
      </c>
      <c r="M5018" s="10" t="n"/>
    </row>
    <row r="5019">
      <c r="B5019" s="7" t="n">
        <v>5017</v>
      </c>
      <c r="C5019" t="inlineStr">
        <is>
          <t>UI/ UX Designer</t>
        </is>
      </c>
      <c r="D5019" t="inlineStr">
        <is>
          <t>Công Ty Cổ Phần Xây Dựng Central</t>
        </is>
      </c>
      <c r="E5019" t="inlineStr">
        <is>
          <t>Lương:15 Tr - 35 Tr VND</t>
        </is>
      </c>
      <c r="F5019" t="inlineStr">
        <is>
          <t>Hồ Chí Minh</t>
        </is>
      </c>
      <c r="G5019" t="inlineStr">
        <is>
          <t>31-03-2026</t>
        </is>
      </c>
      <c r="H5019" t="inlineStr">
        <is>
          <t>31/03/2026</t>
        </is>
      </c>
      <c r="I5019" t="inlineStr">
        <is>
          <t>17/03/2026</t>
        </is>
      </c>
      <c r="J5019" t="inlineStr">
        <is>
          <t>CNTT - Phần mềm, CNTT - Phần cứng / Mạng</t>
        </is>
      </c>
      <c r="K5019" t="inlineStr">
        <is>
          <t>2 - 4 Năm</t>
        </is>
      </c>
      <c r="L5019" s="8">
        <f>HYPERLINK("https://careerviet.vn/vi/tim-viec-lam/ui-ux-designer.35C6A000.html","Xem chi tiết")</f>
        <v/>
      </c>
    </row>
    <row r="5020">
      <c r="B5020" s="9" t="n">
        <v>5018</v>
      </c>
      <c r="C5020" s="10" t="inlineStr">
        <is>
          <t>Nhân Viên Gán Nhãn Dữ Liệu Hình Ảnh AI - Không Yêu Cầu Kinh Nghiệm</t>
        </is>
      </c>
      <c r="D5020" s="10" t="inlineStr">
        <is>
          <t>CÔNG TY TNHH ALCHERA VIỆT NAM</t>
        </is>
      </c>
      <c r="E5020" s="10" t="inlineStr">
        <is>
          <t>Lương:Trên 6 Tr VND</t>
        </is>
      </c>
      <c r="F5020" s="10" t="inlineStr">
        <is>
          <t>Hồ Chí Minh</t>
        </is>
      </c>
      <c r="G5020" s="10" t="inlineStr">
        <is>
          <t>31-03-2026</t>
        </is>
      </c>
      <c r="H5020" s="10" t="inlineStr">
        <is>
          <t>31/03/2026</t>
        </is>
      </c>
      <c r="I5020" s="10" t="inlineStr">
        <is>
          <t>17/03/2026</t>
        </is>
      </c>
      <c r="J5020" s="10" t="inlineStr">
        <is>
          <t>Quảng cáo / Đối ngoại / Truyền Thông, Mỹ thuật / Nghệ thuật / Thiết kế, Tiếp thị / Marketing</t>
        </is>
      </c>
      <c r="K5020" s="10" t="inlineStr">
        <is>
          <t>N/A</t>
        </is>
      </c>
      <c r="L5020" s="11">
        <f>HYPERLINK("https://careerviet.vn/vi/tim-viec-lam/nhan-vien-gan-nhan-du-lieu-hinh-anh-ai-khong-yeu-cau-kinh-nghiem.35C69F3A.html","Xem chi tiết")</f>
        <v/>
      </c>
      <c r="M5020" s="10" t="n"/>
    </row>
    <row r="5021">
      <c r="B5021" s="7" t="n">
        <v>5019</v>
      </c>
      <c r="C5021" t="inlineStr">
        <is>
          <t>HEAD OF DOMESTIC SALES</t>
        </is>
      </c>
      <c r="D5021" t="inlineStr">
        <is>
          <t>Công ty Cổ phần Phân Phối Thực Phẩm và Hàng Tiêu Dùng Việt Nam</t>
        </is>
      </c>
      <c r="E5021" t="inlineStr">
        <is>
          <t>Lương:Cạnh tranh</t>
        </is>
      </c>
      <c r="F5021" t="inlineStr">
        <is>
          <t>Hồ Chí MinhHà Nội</t>
        </is>
      </c>
      <c r="G5021" t="inlineStr">
        <is>
          <t>31-03-2026</t>
        </is>
      </c>
      <c r="H5021" t="inlineStr">
        <is>
          <t>31/03/2026</t>
        </is>
      </c>
      <c r="I5021" t="inlineStr">
        <is>
          <t>17/03/2026</t>
        </is>
      </c>
      <c r="J5021" t="inlineStr">
        <is>
          <t>Bán hàng / Kinh doanh, Tiếp thị / Marketing, Xuất nhập khẩu</t>
        </is>
      </c>
      <c r="K5021" t="inlineStr">
        <is>
          <t>5 - 10 Năm</t>
        </is>
      </c>
      <c r="L5021" s="8">
        <f>HYPERLINK("https://careerviet.vn/vi/tim-viec-lam/head-of-domestic-sales.35C69F3E.html","Xem chi tiết")</f>
        <v/>
      </c>
    </row>
    <row r="5022">
      <c r="B5022" s="9" t="n">
        <v>5020</v>
      </c>
      <c r="C5022" s="10" t="inlineStr">
        <is>
          <t>[HCM] Assistant Brand Manager For Innovative (Branded) Products</t>
        </is>
      </c>
      <c r="D5022" s="10" t="inlineStr">
        <is>
          <t>Công ty Cổ phần Dược Hậu Giang</t>
        </is>
      </c>
      <c r="E5022" s="10" t="inlineStr">
        <is>
          <t>Lương:15 Tr - 18 Tr VND</t>
        </is>
      </c>
      <c r="F5022" s="10" t="inlineStr">
        <is>
          <t>Hồ Chí Minh</t>
        </is>
      </c>
      <c r="G5022" s="10" t="inlineStr">
        <is>
          <t>25-03-2026</t>
        </is>
      </c>
      <c r="H5022" s="10" t="inlineStr">
        <is>
          <t>25/03/2026</t>
        </is>
      </c>
      <c r="I5022" s="10" t="inlineStr">
        <is>
          <t>17/03/2026</t>
        </is>
      </c>
      <c r="J5022" s="10" t="inlineStr">
        <is>
          <t>Tiếp thị / Marketing, Dược phẩm/ Hóa Mỹ Phẩm</t>
        </is>
      </c>
      <c r="K5022" s="10" t="inlineStr">
        <is>
          <t>1 - 2 Năm</t>
        </is>
      </c>
      <c r="L5022" s="11">
        <f>HYPERLINK("https://careerviet.vn/vi/tim-viec-lam/hcm-assistant-brand-manager-for-innovative-branded-products.35C69FA8.html","Xem chi tiết")</f>
        <v/>
      </c>
      <c r="M5022" s="10" t="n"/>
    </row>
    <row r="5023">
      <c r="B5023" s="7" t="n">
        <v>5021</v>
      </c>
      <c r="C5023" t="inlineStr">
        <is>
          <t>Trợ Lý Kinh Doanh ( Ưu Tiên Kinh Nghiệm Nhập Khẩu )</t>
        </is>
      </c>
      <c r="D5023" t="inlineStr">
        <is>
          <t>CÔNG TY TNHH THIẾT BỊ GIÁO DỤC TẦM NHÌN MỚI</t>
        </is>
      </c>
      <c r="E5023" t="inlineStr">
        <is>
          <t>Lương:10 Tr - 20 Tr VND</t>
        </is>
      </c>
      <c r="F5023" t="inlineStr">
        <is>
          <t>Hồ Chí Minh</t>
        </is>
      </c>
      <c r="G5023" t="inlineStr">
        <is>
          <t>27-03-2026</t>
        </is>
      </c>
      <c r="H5023" t="inlineStr">
        <is>
          <t>27/03/2026</t>
        </is>
      </c>
      <c r="I5023" t="inlineStr">
        <is>
          <t>17/03/2026</t>
        </is>
      </c>
      <c r="J5023" t="inlineStr">
        <is>
          <t>Hành chính / Thư ký, Bán hàng / Kinh doanh, Xuất nhập khẩu</t>
        </is>
      </c>
      <c r="K5023" t="inlineStr">
        <is>
          <t>N/A</t>
        </is>
      </c>
      <c r="L5023" s="8">
        <f>HYPERLINK("https://careerviet.vn/vi/tim-viec-lam/tro-ly-kinh-doanh-uu-tien-kinh-nghiem-nhap-khau.35C69FDF.html","Xem chi tiết")</f>
        <v/>
      </c>
    </row>
    <row r="5024">
      <c r="B5024" s="9" t="n">
        <v>5022</v>
      </c>
      <c r="C5024" s="10" t="inlineStr">
        <is>
          <t>Quản lý hành chính nhân sự</t>
        </is>
      </c>
      <c r="D5024" s="10" t="inlineStr">
        <is>
          <t>DR.BAUMANN VIETNAM - Công Ty TNHH DƯỢC MỸ PHẨM D&amp;D</t>
        </is>
      </c>
      <c r="E5024" s="10" t="inlineStr">
        <is>
          <t>Lương:Trên 12 Tr VND</t>
        </is>
      </c>
      <c r="F5024" s="10" t="inlineStr">
        <is>
          <t>Hồ Chí Minh</t>
        </is>
      </c>
      <c r="G5024" s="10" t="inlineStr">
        <is>
          <t>30-04-2026</t>
        </is>
      </c>
      <c r="H5024" s="10" t="inlineStr">
        <is>
          <t>30/04/2026</t>
        </is>
      </c>
      <c r="I5024" s="10" t="inlineStr">
        <is>
          <t>17/03/2026</t>
        </is>
      </c>
      <c r="J5024" s="10" t="inlineStr">
        <is>
          <t>Hành chính / Thư ký, Nhân sự, Quản lý điều hành</t>
        </is>
      </c>
      <c r="K5024" s="10" t="inlineStr">
        <is>
          <t>2 - 3 Năm</t>
        </is>
      </c>
      <c r="L5024" s="11">
        <f>HYPERLINK("https://careerviet.vn/vi/tim-viec-lam/quan-ly-hanh-chinh-nhan-su.35C69B04.html","Xem chi tiết")</f>
        <v/>
      </c>
      <c r="M5024" s="10" t="n"/>
    </row>
    <row r="5025">
      <c r="B5025" s="7" t="n">
        <v>5023</v>
      </c>
      <c r="C5025" t="inlineStr">
        <is>
          <t>TRƯỞNG PHÒNG HÀNH CHÍNH NHÂN SỰ</t>
        </is>
      </c>
      <c r="D5025" t="inlineStr">
        <is>
          <t>Công Ty Cổ Phần Tập Đoàn Toàn Cầu Xanh</t>
        </is>
      </c>
      <c r="E5025" t="inlineStr">
        <is>
          <t>Lương:Cạnh tranh</t>
        </is>
      </c>
      <c r="F5025" t="inlineStr">
        <is>
          <t>Hồ Chí Minh</t>
        </is>
      </c>
      <c r="G5025" t="inlineStr">
        <is>
          <t>30-04-2026</t>
        </is>
      </c>
      <c r="H5025" t="inlineStr">
        <is>
          <t>30/04/2026</t>
        </is>
      </c>
      <c r="I5025" t="inlineStr">
        <is>
          <t>17/03/2026</t>
        </is>
      </c>
      <c r="J5025" t="inlineStr">
        <is>
          <t>Nhân sự, Quản lý điều hành, Hành chính / Thư ký</t>
        </is>
      </c>
      <c r="K5025" t="inlineStr">
        <is>
          <t>Trên 3 Năm</t>
        </is>
      </c>
      <c r="L5025" s="8">
        <f>HYPERLINK("https://careerviet.vn/vi/tim-viec-lam/truong-phong-hanh-chinh-nhan-su.35C69E2F.html","Xem chi tiết")</f>
        <v/>
      </c>
    </row>
    <row r="5026">
      <c r="B5026" s="9" t="n">
        <v>5024</v>
      </c>
      <c r="C5026" s="10" t="inlineStr">
        <is>
          <t>Chuyên viên hành chính nhân sự</t>
        </is>
      </c>
      <c r="D5026" s="10" t="inlineStr">
        <is>
          <t>CÔNG TY TNHH THƯƠNG MẠI DỊCH VỤ BẤT ĐỘNG SẢN ESTA</t>
        </is>
      </c>
      <c r="E5026" s="10" t="inlineStr">
        <is>
          <t>Lương:13 Tr - 15 Tr VND</t>
        </is>
      </c>
      <c r="F5026" s="10" t="inlineStr">
        <is>
          <t>Hồ Chí Minh</t>
        </is>
      </c>
      <c r="G5026" s="10" t="inlineStr">
        <is>
          <t>27-03-2026</t>
        </is>
      </c>
      <c r="H5026" s="10" t="inlineStr">
        <is>
          <t>27/03/2026</t>
        </is>
      </c>
      <c r="I5026" s="10" t="inlineStr">
        <is>
          <t>17/03/2026</t>
        </is>
      </c>
      <c r="J5026" s="10" t="inlineStr">
        <is>
          <t>Hành chính / Thư ký, Nhân sự, Bất động sản</t>
        </is>
      </c>
      <c r="K5026" s="10" t="inlineStr">
        <is>
          <t>2 - 3 Năm</t>
        </is>
      </c>
      <c r="L5026" s="11">
        <f>HYPERLINK("https://careerviet.vn/vi/tim-viec-lam/chuyen-vien-hanh-chinh-nhan-su.35C69E57.html","Xem chi tiết")</f>
        <v/>
      </c>
      <c r="M5026" s="10" t="n"/>
    </row>
    <row r="5027">
      <c r="B5027" s="7" t="n">
        <v>5025</v>
      </c>
      <c r="C5027" t="inlineStr">
        <is>
          <t>Phó Quản lý Kho trung tâm (Mảng Thực phẩm)</t>
        </is>
      </c>
      <c r="D5027" t="inlineStr">
        <is>
          <t>CÔNG TY CỔ PHẦN THE STREET</t>
        </is>
      </c>
      <c r="E5027" t="inlineStr">
        <is>
          <t>Lương:11 Tr - 13 Tr VND</t>
        </is>
      </c>
      <c r="F5027" t="inlineStr">
        <is>
          <t>Hồ Chí Minh</t>
        </is>
      </c>
      <c r="G5027" t="inlineStr">
        <is>
          <t>31-03-2026</t>
        </is>
      </c>
      <c r="H5027" t="inlineStr">
        <is>
          <t>31/03/2026</t>
        </is>
      </c>
      <c r="I5027" t="inlineStr">
        <is>
          <t>17/03/2026</t>
        </is>
      </c>
      <c r="J5027" t="inlineStr">
        <is>
          <t>Vận chuyển / Giao nhận / Kho vận, Nhà hàng / Khách sạn, Thực phẩm &amp; Đồ uống</t>
        </is>
      </c>
      <c r="K5027" t="inlineStr">
        <is>
          <t>1 - 2 Năm</t>
        </is>
      </c>
      <c r="L5027" s="8">
        <f>HYPERLINK("https://careerviet.vn/vi/tim-viec-lam/pho-quan-ly-kho-trung-tam-mang-thuc-pham.35C69E3F.html","Xem chi tiết")</f>
        <v/>
      </c>
    </row>
    <row r="5028">
      <c r="B5028" s="9" t="n">
        <v>5026</v>
      </c>
      <c r="C5028" s="10" t="inlineStr">
        <is>
          <t>Chuyên Viên R&amp;D</t>
        </is>
      </c>
      <c r="D5028" s="10" t="inlineStr">
        <is>
          <t>CÔNG TY CỔ PHẦN AP SAIGON PETRO</t>
        </is>
      </c>
      <c r="E5028" s="10" t="inlineStr">
        <is>
          <t>Lương:Cạnh tranh</t>
        </is>
      </c>
      <c r="F5028" s="10" t="inlineStr">
        <is>
          <t>Hồ Chí Minh</t>
        </is>
      </c>
      <c r="G5028" s="10" t="inlineStr">
        <is>
          <t>26-03-2026</t>
        </is>
      </c>
      <c r="H5028" s="10" t="inlineStr">
        <is>
          <t>26/03/2026</t>
        </is>
      </c>
      <c r="I5028" s="10" t="inlineStr">
        <is>
          <t>17/03/2026</t>
        </is>
      </c>
      <c r="J5028" s="10" t="inlineStr">
        <is>
          <t>Dầu khí, Hóa học, Công nghệ sinh học</t>
        </is>
      </c>
      <c r="K5028" s="10" t="inlineStr">
        <is>
          <t>Trên 1 Năm</t>
        </is>
      </c>
      <c r="L5028" s="11">
        <f>HYPERLINK("https://careerviet.vn/vi/tim-viec-lam/chuyen-vien-r-d.35C69FA6.html","Xem chi tiết")</f>
        <v/>
      </c>
      <c r="M5028" s="10" t="n"/>
    </row>
    <row r="5029">
      <c r="B5029" s="7" t="n">
        <v>5027</v>
      </c>
      <c r="C5029" t="inlineStr">
        <is>
          <t>Accounting Manager</t>
        </is>
      </c>
      <c r="D5029" t="inlineStr">
        <is>
          <t>CÔNG TY TNHH BESI VIỆT NAM</t>
        </is>
      </c>
      <c r="E5029" t="inlineStr">
        <is>
          <t>Lương:Cạnh tranh</t>
        </is>
      </c>
      <c r="F5029" t="inlineStr">
        <is>
          <t>Hồ Chí Minh</t>
        </is>
      </c>
      <c r="G5029" t="inlineStr">
        <is>
          <t>30-04-2026</t>
        </is>
      </c>
      <c r="H5029" t="inlineStr">
        <is>
          <t>30/04/2026</t>
        </is>
      </c>
      <c r="I5029" t="inlineStr">
        <is>
          <t>17/03/2026</t>
        </is>
      </c>
      <c r="J5029" t="inlineStr">
        <is>
          <t>Kế toán / Kiểm toán, Tài chính / Đầu tư</t>
        </is>
      </c>
      <c r="K5029" t="inlineStr">
        <is>
          <t>5 - 8 Năm</t>
        </is>
      </c>
      <c r="L5029" s="8">
        <f>HYPERLINK("https://careerviet.vn/vi/tim-viec-lam/accounting-manager.35C69306.html","Xem chi tiết")</f>
        <v/>
      </c>
    </row>
    <row r="5030">
      <c r="B5030" s="9" t="n">
        <v>5028</v>
      </c>
      <c r="C5030" s="10" t="inlineStr">
        <is>
          <t>Process Engineer</t>
        </is>
      </c>
      <c r="D5030" s="10" t="inlineStr">
        <is>
          <t>XP Power  Vietnam</t>
        </is>
      </c>
      <c r="E5030" s="10" t="inlineStr">
        <is>
          <t>Lương:Cạnh tranh</t>
        </is>
      </c>
      <c r="F5030" s="10" t="inlineStr">
        <is>
          <t>Bình Dương</t>
        </is>
      </c>
      <c r="G5030" s="10" t="inlineStr">
        <is>
          <t>27-03-2026</t>
        </is>
      </c>
      <c r="H5030" s="10" t="inlineStr">
        <is>
          <t>27/03/2026</t>
        </is>
      </c>
      <c r="I5030" s="10" t="inlineStr">
        <is>
          <t>17/03/2026</t>
        </is>
      </c>
      <c r="J5030" s="10" t="inlineStr">
        <is>
          <t>Điện / Điện tử / Điện lạnh / Điện công nghiệp</t>
        </is>
      </c>
      <c r="K5030" s="10" t="inlineStr">
        <is>
          <t>3 - 5 Năm</t>
        </is>
      </c>
      <c r="L5030" s="11">
        <f>HYPERLINK("https://careerviet.vn/vi/tim-viec-lam/process-engineer.35C69F30.html","Xem chi tiết")</f>
        <v/>
      </c>
      <c r="M5030" s="10" t="n"/>
    </row>
    <row r="5031">
      <c r="B5031" s="7" t="n">
        <v>5029</v>
      </c>
      <c r="C5031" t="inlineStr">
        <is>
          <t>Nhân viên chăm sóc khách hàng Logistics</t>
        </is>
      </c>
      <c r="D5031" t="inlineStr">
        <is>
          <t>CÔNG TY TNHH VIỆT NAM MAXWIDE LOGISTICS</t>
        </is>
      </c>
      <c r="E5031" t="inlineStr">
        <is>
          <t>Lương:10 Tr - 20 Tr VND</t>
        </is>
      </c>
      <c r="F5031" t="inlineStr">
        <is>
          <t>Hồ Chí Minh</t>
        </is>
      </c>
      <c r="G5031" t="inlineStr">
        <is>
          <t>27-03-2026</t>
        </is>
      </c>
      <c r="H5031" t="inlineStr">
        <is>
          <t>27/03/2026</t>
        </is>
      </c>
      <c r="I5031" t="inlineStr">
        <is>
          <t>17/03/2026</t>
        </is>
      </c>
      <c r="J5031" t="inlineStr">
        <is>
          <t>Bán hàng / Kinh doanh, Vận chuyển / Giao nhận / Kho vận, Xuất nhập khẩu</t>
        </is>
      </c>
      <c r="K5031" t="inlineStr">
        <is>
          <t>1 - 3 Năm</t>
        </is>
      </c>
      <c r="L5031" s="8">
        <f>HYPERLINK("https://careerviet.vn/vi/tim-viec-lam/nhan-vien-cham-soc-khach-hang-logistics.35C69F4B.html","Xem chi tiết")</f>
        <v/>
      </c>
    </row>
    <row r="5032">
      <c r="B5032" s="9" t="n">
        <v>5030</v>
      </c>
      <c r="C5032" s="10" t="inlineStr">
        <is>
          <t>Warehouse manager</t>
        </is>
      </c>
      <c r="D5032" s="10" t="inlineStr">
        <is>
          <t>Công Ty TNHH Nyan Kids Đồng Nai</t>
        </is>
      </c>
      <c r="E5032" s="10" t="inlineStr">
        <is>
          <t>Lương:Cạnh tranh</t>
        </is>
      </c>
      <c r="F5032" s="10" t="inlineStr">
        <is>
          <t>Đồng Nai</t>
        </is>
      </c>
      <c r="G5032" s="10" t="inlineStr">
        <is>
          <t>30-04-2026</t>
        </is>
      </c>
      <c r="H5032" s="10" t="inlineStr">
        <is>
          <t>30/04/2026</t>
        </is>
      </c>
      <c r="I5032" s="10" t="inlineStr">
        <is>
          <t>17/03/2026</t>
        </is>
      </c>
      <c r="J5032" s="10" t="inlineStr">
        <is>
          <t>Dệt may / Da giày / Thời trang, Sản xuất / Vận hành sản xuất, Quản lý điều hành</t>
        </is>
      </c>
      <c r="K5032" s="10" t="inlineStr">
        <is>
          <t>5 - 8 Năm</t>
        </is>
      </c>
      <c r="L5032" s="11">
        <f>HYPERLINK("https://careerviet.vn/vi/tim-viec-lam/warehouse-manager.35C69D85.html","Xem chi tiết")</f>
        <v/>
      </c>
      <c r="M5032" s="10" t="n"/>
    </row>
    <row r="5033">
      <c r="B5033" s="7" t="n">
        <v>5031</v>
      </c>
      <c r="C5033" t="inlineStr">
        <is>
          <t>Chuyên Viên Kinh Doanh</t>
        </is>
      </c>
      <c r="D5033" t="inlineStr">
        <is>
          <t>TỔNG CÔNG TY CP PHONG PHÚ</t>
        </is>
      </c>
      <c r="E5033" t="inlineStr">
        <is>
          <t>Lương:12 Tr - 18 Tr VND</t>
        </is>
      </c>
      <c r="F5033" t="inlineStr">
        <is>
          <t>Hồ Chí Minh</t>
        </is>
      </c>
      <c r="G5033" t="inlineStr">
        <is>
          <t>24-03-2026</t>
        </is>
      </c>
      <c r="H5033" t="inlineStr">
        <is>
          <t>24/03/2026</t>
        </is>
      </c>
      <c r="I5033" t="inlineStr">
        <is>
          <t>17/03/2026</t>
        </is>
      </c>
      <c r="J5033" t="inlineStr">
        <is>
          <t>Bán hàng / Kinh doanh, Hàng gia dụng / Chăm sóc cá nhân, Dệt may / Da giày / Thời trang</t>
        </is>
      </c>
      <c r="K5033" t="inlineStr">
        <is>
          <t>1 - 3 Năm</t>
        </is>
      </c>
      <c r="L5033" s="8">
        <f>HYPERLINK("https://careerviet.vn/vi/tim-viec-lam/chuyen-vien-kinh-doanh.35C63B8D.html","Xem chi tiết")</f>
        <v/>
      </c>
    </row>
    <row r="5034">
      <c r="B5034" s="9" t="n">
        <v>5032</v>
      </c>
      <c r="C5034" s="10" t="inlineStr">
        <is>
          <t>Trợ lý Phó Giám đốc Kinh doanh (cấp Trưởng phòng)</t>
        </is>
      </c>
      <c r="D5034" s="10" t="inlineStr">
        <is>
          <t>Công Ty Cổ Phần Bao Bì Đạm Phú Mỹ</t>
        </is>
      </c>
      <c r="E5034" s="10" t="inlineStr">
        <is>
          <t>Lương:18 Tr - 30 Tr VND</t>
        </is>
      </c>
      <c r="F5034" s="10" t="inlineStr">
        <is>
          <t>Bà Rịa - Vũng Tàu</t>
        </is>
      </c>
      <c r="G5034" s="10" t="inlineStr">
        <is>
          <t>27-03-2026</t>
        </is>
      </c>
      <c r="H5034" s="10" t="inlineStr">
        <is>
          <t>27/03/2026</t>
        </is>
      </c>
      <c r="I5034" s="10" t="inlineStr">
        <is>
          <t>17/03/2026</t>
        </is>
      </c>
      <c r="J5034" s="10" t="inlineStr">
        <is>
          <t>Bán hàng / Kinh doanh, Xuất nhập khẩu, Dệt may / Da giày / Thời trang</t>
        </is>
      </c>
      <c r="K5034" s="10" t="inlineStr">
        <is>
          <t>3 - 5 Năm</t>
        </is>
      </c>
      <c r="L5034" s="11">
        <f>HYPERLINK("https://careerviet.vn/vi/tim-viec-lam/tro-ly-pho-giam-doc-kinh-doanh-cap-truong-phong.35C69ED2.html","Xem chi tiết")</f>
        <v/>
      </c>
      <c r="M5034" s="10" t="n"/>
    </row>
    <row r="5035">
      <c r="B5035" s="7" t="n">
        <v>5033</v>
      </c>
      <c r="C5035" t="inlineStr">
        <is>
          <t>Quản lý sản xuất xưởng Gỗ</t>
        </is>
      </c>
      <c r="D5035" t="inlineStr">
        <is>
          <t>Công Ty CP Tập Đoàn Kỹ Nghệ Gỗ Trường Thành</t>
        </is>
      </c>
      <c r="E5035" t="inlineStr">
        <is>
          <t>Lương:25 Tr - 40 Tr VND</t>
        </is>
      </c>
      <c r="F5035" t="inlineStr">
        <is>
          <t>Bình Dương</t>
        </is>
      </c>
      <c r="G5035" t="inlineStr">
        <is>
          <t>26-03-2026</t>
        </is>
      </c>
      <c r="H5035" t="inlineStr">
        <is>
          <t>26/03/2026</t>
        </is>
      </c>
      <c r="I5035" t="inlineStr">
        <is>
          <t>17/03/2026</t>
        </is>
      </c>
      <c r="J5035" t="inlineStr">
        <is>
          <t>Sản xuất / Vận hành sản xuất, Đồ gỗ, Nội ngoại thất</t>
        </is>
      </c>
      <c r="K5035" t="inlineStr">
        <is>
          <t>6 - 8 Năm</t>
        </is>
      </c>
      <c r="L5035" s="8">
        <f>HYPERLINK("https://careerviet.vn/vi/tim-viec-lam/quan-ly-san-xuat-xuong-go.35C69EB9.html","Xem chi tiết")</f>
        <v/>
      </c>
    </row>
    <row r="5036">
      <c r="B5036" s="9" t="n">
        <v>5034</v>
      </c>
      <c r="C5036" s="10" t="inlineStr">
        <is>
          <t>125359 - Chief Accountant (CFO) - Retail</t>
        </is>
      </c>
      <c r="D5036" s="10" t="inlineStr">
        <is>
          <t>RGF HR Agent Vietnam Co., LTD</t>
        </is>
      </c>
      <c r="E5036" s="10" t="inlineStr">
        <is>
          <t>Lương:70 Tr - 75 Tr VND</t>
        </is>
      </c>
      <c r="F5036" s="10" t="inlineStr">
        <is>
          <t>Hồ Chí Minh</t>
        </is>
      </c>
      <c r="G5036" s="10" t="inlineStr">
        <is>
          <t>27-02-2026</t>
        </is>
      </c>
      <c r="H5036" s="10" t="inlineStr">
        <is>
          <t>12/03/2026</t>
        </is>
      </c>
      <c r="I5036" s="10" t="inlineStr">
        <is>
          <t>17/03/2026</t>
        </is>
      </c>
      <c r="J5036" s="10" t="inlineStr">
        <is>
          <t>Bán lẻ / Bán sỉ, Kế toán / Kiểm toán</t>
        </is>
      </c>
      <c r="K5036" s="10" t="inlineStr">
        <is>
          <t>10 - 11 Năm</t>
        </is>
      </c>
      <c r="L5036" s="11">
        <f>HYPERLINK("https://careerviet.vn/vi/tim-viec-lam/125359-chief-accountant-cfo-retail.35C69E1A.html","Xem chi tiết")</f>
        <v/>
      </c>
      <c r="M5036" s="10" t="n"/>
    </row>
    <row r="5037">
      <c r="B5037" s="7" t="n">
        <v>5035</v>
      </c>
      <c r="C5037" t="inlineStr">
        <is>
          <t>Business Analyst</t>
        </is>
      </c>
      <c r="D5037" t="inlineStr">
        <is>
          <t>LacViet Computing Corporation</t>
        </is>
      </c>
      <c r="E5037" t="inlineStr">
        <is>
          <t>Lương:Cạnh tranh</t>
        </is>
      </c>
      <c r="F5037" t="inlineStr">
        <is>
          <t>Hồ Chí Minh</t>
        </is>
      </c>
      <c r="G5037" t="inlineStr">
        <is>
          <t>30-03-2026</t>
        </is>
      </c>
      <c r="H5037" t="inlineStr">
        <is>
          <t>30/03/2026</t>
        </is>
      </c>
      <c r="I5037" t="inlineStr">
        <is>
          <t>17/03/2026</t>
        </is>
      </c>
      <c r="J5037" t="inlineStr">
        <is>
          <t>CNTT - Phần mềm</t>
        </is>
      </c>
      <c r="K5037" t="inlineStr">
        <is>
          <t>1 - 3 Năm</t>
        </is>
      </c>
      <c r="L5037" s="8">
        <f>HYPERLINK("https://careerviet.vn/vi/tim-viec-lam/business-analyst.35C69E76.html","Xem chi tiết")</f>
        <v/>
      </c>
    </row>
    <row r="5038">
      <c r="B5038" s="9" t="n">
        <v>5036</v>
      </c>
      <c r="C5038" s="10" t="inlineStr">
        <is>
          <t>Project Engineer Testing (HCMC) - P.04</t>
        </is>
      </c>
      <c r="D5038" s="10" t="inlineStr">
        <is>
          <t>TÜV Rheinland Vietnam</t>
        </is>
      </c>
      <c r="E5038" s="10" t="inlineStr">
        <is>
          <t>Lương:Cạnh tranh</t>
        </is>
      </c>
      <c r="F5038" s="10" t="inlineStr">
        <is>
          <t>Hồ Chí Minh</t>
        </is>
      </c>
      <c r="G5038" s="10" t="inlineStr">
        <is>
          <t>28-03-2026</t>
        </is>
      </c>
      <c r="H5038" s="10" t="inlineStr">
        <is>
          <t>28/03/2026</t>
        </is>
      </c>
      <c r="I5038" s="10" t="inlineStr">
        <is>
          <t>17/03/2026</t>
        </is>
      </c>
      <c r="J5038" s="10" t="inlineStr">
        <is>
          <t>Cơ khí / Ô tô / Tự động hóa, Điện / Điện tử / Điện lạnh / Điện công nghiệp, Ngành khác</t>
        </is>
      </c>
      <c r="K5038" s="10" t="inlineStr">
        <is>
          <t>1 - 5 Năm</t>
        </is>
      </c>
      <c r="L5038" s="11">
        <f>HYPERLINK("https://careerviet.vn/vi/tim-viec-lam/project-engineer-testing-hcmc-p-04.35C66A64.html","Xem chi tiết")</f>
        <v/>
      </c>
      <c r="M5038" s="10" t="n"/>
    </row>
    <row r="5039">
      <c r="B5039" s="7" t="n">
        <v>5037</v>
      </c>
      <c r="C5039" t="inlineStr">
        <is>
          <t>[HCM] Marketing Leader (Trade Marketing) - Trưởng Nhóm Marketing (Trade Marketing)</t>
        </is>
      </c>
      <c r="D5039" t="inlineStr">
        <is>
          <t>CÔNG TY CỔ PHẦN ĐẦU TƯ KỸ THUẬT BERJAYA GIA THỊNH</t>
        </is>
      </c>
      <c r="E5039" t="inlineStr">
        <is>
          <t>Lương:Cạnh tranh</t>
        </is>
      </c>
      <c r="F5039" t="inlineStr">
        <is>
          <t>Hồ Chí Minh</t>
        </is>
      </c>
      <c r="G5039" t="inlineStr">
        <is>
          <t>27-03-2026</t>
        </is>
      </c>
      <c r="H5039" t="inlineStr">
        <is>
          <t>27/03/2026</t>
        </is>
      </c>
      <c r="I5039" t="inlineStr">
        <is>
          <t>17/03/2026</t>
        </is>
      </c>
      <c r="J5039" t="inlineStr">
        <is>
          <t>Tiếp thị / Marketing, Quảng cáo / Đối ngoại / Truyền Thông, Tiếp thị trực tuyến</t>
        </is>
      </c>
      <c r="K5039" t="inlineStr">
        <is>
          <t>Trên 5 Năm</t>
        </is>
      </c>
      <c r="L5039" s="8">
        <f>HYPERLINK("https://careerviet.vn/vi/tim-viec-lam/hcm-marketing-leader-trade-marketing-truong-nhom-marketing-trade-marketing.35C69E5F.html","Xem chi tiết")</f>
        <v/>
      </c>
    </row>
    <row r="5040">
      <c r="B5040" s="9" t="n">
        <v>5038</v>
      </c>
      <c r="C5040" s="10" t="inlineStr">
        <is>
          <t>Nhân viên R&amp;D (thực phẩm)</t>
        </is>
      </c>
      <c r="D5040" s="10" t="inlineStr">
        <is>
          <t>CÔNG TY CỔ PHẦN THỰC PHẨM ĐÔNG LẠNH KIDO</t>
        </is>
      </c>
      <c r="E5040" s="10" t="inlineStr">
        <is>
          <t>Lương:10 Tr - 15 Tr VND</t>
        </is>
      </c>
      <c r="F5040" s="10" t="inlineStr">
        <is>
          <t>Hồ Chí Minh</t>
        </is>
      </c>
      <c r="G5040" s="10" t="inlineStr">
        <is>
          <t>31-03-2026</t>
        </is>
      </c>
      <c r="H5040" s="10" t="inlineStr">
        <is>
          <t>31/03/2026</t>
        </is>
      </c>
      <c r="I5040" s="10" t="inlineStr">
        <is>
          <t>17/03/2026</t>
        </is>
      </c>
      <c r="J5040" s="10" t="inlineStr">
        <is>
          <t>Thực phẩm &amp; Đồ uống, Công nghệ thực phẩm / Dinh dưỡng</t>
        </is>
      </c>
      <c r="K5040" s="10" t="inlineStr">
        <is>
          <t>Lên đến 1 Năm</t>
        </is>
      </c>
      <c r="L5040" s="11">
        <f>HYPERLINK("https://careerviet.vn/vi/tim-viec-lam/nhan-vien-r-d-thuc-pham.35C69DA0.html","Xem chi tiết")</f>
        <v/>
      </c>
      <c r="M5040" s="10" t="n"/>
    </row>
    <row r="5041">
      <c r="B5041" s="7" t="n">
        <v>5039</v>
      </c>
      <c r="C5041" t="inlineStr">
        <is>
          <t>R&amp;D mảng Đồ uống 27689 - Tân Bình, HCM</t>
        </is>
      </c>
      <c r="D5041" t="inlineStr">
        <is>
          <t>Công Ty TNHH Reeracoen Việt Nam</t>
        </is>
      </c>
      <c r="E5041" t="inlineStr">
        <is>
          <t>Lương:20 Tr - 23 Tr VND</t>
        </is>
      </c>
      <c r="F5041" t="inlineStr">
        <is>
          <t>Hồ Chí Minh</t>
        </is>
      </c>
      <c r="G5041" t="inlineStr">
        <is>
          <t>27-03-2026</t>
        </is>
      </c>
      <c r="H5041" t="inlineStr">
        <is>
          <t>27/03/2026</t>
        </is>
      </c>
      <c r="I5041" t="inlineStr">
        <is>
          <t>17/03/2026</t>
        </is>
      </c>
      <c r="J5041" t="inlineStr">
        <is>
          <t>Thực phẩm &amp; Đồ uống, Công nghệ sinh học, Dược phẩm/ Hóa Mỹ Phẩm</t>
        </is>
      </c>
      <c r="K5041" t="inlineStr">
        <is>
          <t>Trên 3 Năm</t>
        </is>
      </c>
      <c r="L5041" s="8">
        <f>HYPERLINK("https://careerviet.vn/vi/tim-viec-lam/r-d-mang-do-uong-27689-tan-binh-hcm.35C69D96.html","Xem chi tiết")</f>
        <v/>
      </c>
    </row>
    <row r="5042">
      <c r="B5042" s="9" t="n">
        <v>5040</v>
      </c>
      <c r="C5042" s="10" t="inlineStr">
        <is>
          <t>Kế toán thanh toán</t>
        </is>
      </c>
      <c r="D5042" s="10" t="inlineStr">
        <is>
          <t>Công ty TNHH Xây Dựng Lê Thy</t>
        </is>
      </c>
      <c r="E5042" s="10" t="inlineStr">
        <is>
          <t>Lương:18 Tr - 25 Tr VND</t>
        </is>
      </c>
      <c r="F5042" s="10" t="inlineStr">
        <is>
          <t>Hồ Chí Minh</t>
        </is>
      </c>
      <c r="G5042" s="10" t="inlineStr">
        <is>
          <t>31-03-2026</t>
        </is>
      </c>
      <c r="H5042" s="10" t="inlineStr">
        <is>
          <t>31/03/2026</t>
        </is>
      </c>
      <c r="I5042" s="10" t="inlineStr">
        <is>
          <t>17/03/2026</t>
        </is>
      </c>
      <c r="J5042" s="10" t="inlineStr">
        <is>
          <t>Kế toán / Kiểm toán, Ngân hàng, Tài chính / Đầu tư</t>
        </is>
      </c>
      <c r="K5042" s="10" t="inlineStr">
        <is>
          <t>2 - 5 Năm</t>
        </is>
      </c>
      <c r="L5042" s="11">
        <f>HYPERLINK("https://careerviet.vn/vi/tim-viec-lam/ke-toan-thanh-toan.35C69CB5.html","Xem chi tiết")</f>
        <v/>
      </c>
      <c r="M5042" s="10" t="n"/>
    </row>
    <row r="5043">
      <c r="B5043" s="7" t="n">
        <v>5041</v>
      </c>
      <c r="C5043" t="inlineStr">
        <is>
          <t>Nhân Viên Chứng Từ Xuất Nhập Khẩu</t>
        </is>
      </c>
      <c r="D5043" t="inlineStr">
        <is>
          <t>Vantage Logistics Corporation</t>
        </is>
      </c>
      <c r="E5043" t="inlineStr">
        <is>
          <t>Lương:Cạnh tranh</t>
        </is>
      </c>
      <c r="F5043" t="inlineStr">
        <is>
          <t>Hồ Chí MinhHà Nội</t>
        </is>
      </c>
      <c r="G5043" t="inlineStr">
        <is>
          <t>27-03-2026</t>
        </is>
      </c>
      <c r="H5043" t="inlineStr">
        <is>
          <t>27/03/2026</t>
        </is>
      </c>
      <c r="I5043" t="inlineStr">
        <is>
          <t>17/03/2026</t>
        </is>
      </c>
      <c r="J5043" t="inlineStr">
        <is>
          <t>Vận chuyển / Giao nhận / Kho vận, Xuất nhập khẩu</t>
        </is>
      </c>
      <c r="K5043" t="inlineStr">
        <is>
          <t>1 - 2 Năm</t>
        </is>
      </c>
      <c r="L5043" s="8">
        <f>HYPERLINK("https://careerviet.vn/vi/tim-viec-lam/nhan-vien-chung-tu-xuat-nhap-khau.35C69D49.html","Xem chi tiết")</f>
        <v/>
      </c>
    </row>
    <row r="5044">
      <c r="B5044" s="9" t="n">
        <v>5042</v>
      </c>
      <c r="C5044" s="10" t="inlineStr">
        <is>
          <t>Kế Toán Tổng Hợp (có kinh nghiệm FMCG)</t>
        </is>
      </c>
      <c r="D5044" s="10" t="inlineStr">
        <is>
          <t>Công Ty TNHH Daily Effect</t>
        </is>
      </c>
      <c r="E5044" s="10" t="inlineStr">
        <is>
          <t>Lương:20 Tr - 25 Tr VND</t>
        </is>
      </c>
      <c r="F5044" s="10" t="inlineStr">
        <is>
          <t>Hồ Chí Minh</t>
        </is>
      </c>
      <c r="G5044" s="10" t="inlineStr">
        <is>
          <t>28-03-2026</t>
        </is>
      </c>
      <c r="H5044" s="10" t="inlineStr">
        <is>
          <t>28/03/2026</t>
        </is>
      </c>
      <c r="I5044" s="10" t="inlineStr">
        <is>
          <t>17/03/2026</t>
        </is>
      </c>
      <c r="J5044" s="10" t="inlineStr">
        <is>
          <t>Bán lẻ / Bán sỉ, Luật / Pháp lý, Kế toán / Kiểm toán</t>
        </is>
      </c>
      <c r="K5044" s="10" t="inlineStr">
        <is>
          <t>N/A</t>
        </is>
      </c>
      <c r="L5044" s="11">
        <f>HYPERLINK("https://careerviet.vn/vi/tim-viec-lam/ke-toan-tong-hop-co-kinh-nghiem-fmcg.35C66B71.html","Xem chi tiết")</f>
        <v/>
      </c>
      <c r="M5044" s="10" t="n"/>
    </row>
    <row r="5045">
      <c r="B5045" s="7" t="n">
        <v>5043</v>
      </c>
      <c r="C5045" t="inlineStr">
        <is>
          <t>Kế toán tổng hợp</t>
        </is>
      </c>
      <c r="D5045" t="inlineStr">
        <is>
          <t>Công Ty Cổ Phần Đầu Tư &amp; Xây Dựng Tây Hồ</t>
        </is>
      </c>
      <c r="E5045" t="inlineStr">
        <is>
          <t>Lương:Cạnh tranh</t>
        </is>
      </c>
      <c r="F5045" t="inlineStr">
        <is>
          <t>Hồ Chí Minh</t>
        </is>
      </c>
      <c r="G5045" t="inlineStr">
        <is>
          <t>24-03-2026</t>
        </is>
      </c>
      <c r="H5045" t="inlineStr">
        <is>
          <t>24/03/2026</t>
        </is>
      </c>
      <c r="I5045" t="inlineStr">
        <is>
          <t>17/03/2026</t>
        </is>
      </c>
      <c r="J5045" t="inlineStr">
        <is>
          <t>Kế toán / Kiểm toán, Bất động sản</t>
        </is>
      </c>
      <c r="K5045" t="inlineStr">
        <is>
          <t>7 - 12 Năm</t>
        </is>
      </c>
      <c r="L5045" s="8">
        <f>HYPERLINK("https://careerviet.vn/vi/tim-viec-lam/ke-toan-tong-hop.35C666C5.html","Xem chi tiết")</f>
        <v/>
      </c>
    </row>
    <row r="5046">
      <c r="B5046" s="9" t="n">
        <v>5044</v>
      </c>
      <c r="C5046" s="10" t="inlineStr">
        <is>
          <t>Nhân viên Hành chánh Nhân sự Tổng Hợp</t>
        </is>
      </c>
      <c r="D5046" s="10" t="inlineStr">
        <is>
          <t>Bảo mật</t>
        </is>
      </c>
      <c r="E5046" s="10" t="inlineStr">
        <is>
          <t>Lương:9 Tr - 12 Tr VND</t>
        </is>
      </c>
      <c r="F5046" s="10" t="inlineStr">
        <is>
          <t>Long An</t>
        </is>
      </c>
      <c r="G5046" s="10" t="inlineStr">
        <is>
          <t>28-03-2026</t>
        </is>
      </c>
      <c r="H5046" s="10" t="inlineStr">
        <is>
          <t>28/03/2026</t>
        </is>
      </c>
      <c r="I5046" s="10" t="inlineStr">
        <is>
          <t>17/03/2026</t>
        </is>
      </c>
      <c r="J5046" s="10" t="inlineStr">
        <is>
          <t>Hành chính / Thư ký, Quản lý điều hành, Nhân sự</t>
        </is>
      </c>
      <c r="K5046" s="10" t="inlineStr">
        <is>
          <t>2 - 3 Năm</t>
        </is>
      </c>
      <c r="L5046" s="11">
        <f>HYPERLINK("https://careerviet.vn/vi/tim-viec-lam/nhan-vien-hanh-chanh-nhan-su-tong-hop.35C66A85.html","Xem chi tiết")</f>
        <v/>
      </c>
      <c r="M5046" s="10" t="n"/>
    </row>
    <row r="5047">
      <c r="B5047" s="7" t="n">
        <v>5045</v>
      </c>
      <c r="C5047" t="inlineStr">
        <is>
          <t>Key Account Executive (E-commerce Retail)</t>
        </is>
      </c>
      <c r="D5047" t="inlineStr">
        <is>
          <t>CÔNG TY CỔ PHẦN THƯƠNG MẠI DỊCH VỤ SẢN XUẤT HƯƠNG THỦY</t>
        </is>
      </c>
      <c r="E5047" t="inlineStr">
        <is>
          <t>Lương:15 Tr - 18 Tr VND</t>
        </is>
      </c>
      <c r="F5047" t="inlineStr">
        <is>
          <t>Hồ Chí Minh</t>
        </is>
      </c>
      <c r="G5047" t="inlineStr">
        <is>
          <t>28-03-2026</t>
        </is>
      </c>
      <c r="H5047" t="inlineStr">
        <is>
          <t>28/03/2026</t>
        </is>
      </c>
      <c r="I5047" t="inlineStr">
        <is>
          <t>17/03/2026</t>
        </is>
      </c>
      <c r="J5047" t="inlineStr">
        <is>
          <t>Bán lẻ / Bán sỉ, Thương mại điện tử, Thực phẩm &amp; Đồ uống</t>
        </is>
      </c>
      <c r="K5047" t="inlineStr">
        <is>
          <t>2 - 3 Năm</t>
        </is>
      </c>
      <c r="L5047" s="8">
        <f>HYPERLINK("https://careerviet.vn/vi/tim-viec-lam/key-account-executive-e-commerce-retail.35C66AE4.html","Xem chi tiết")</f>
        <v/>
      </c>
    </row>
    <row r="5048">
      <c r="B5048" s="9" t="n">
        <v>5046</v>
      </c>
      <c r="C5048" s="10" t="inlineStr">
        <is>
          <t>Chuyên viên Quản lý nợ, Phòng Cảnh báo và QLN, Khối KHCN</t>
        </is>
      </c>
      <c r="D5048" s="10" t="inlineStr">
        <is>
          <t>Ngân hàng TMCP Đại Chúng Việt Nam - PVcomBank</t>
        </is>
      </c>
      <c r="E5048" s="10" t="inlineStr">
        <is>
          <t>Lương:Cạnh tranh</t>
        </is>
      </c>
      <c r="F5048" s="10" t="inlineStr">
        <is>
          <t>Hà Nội</t>
        </is>
      </c>
      <c r="G5048" s="10" t="inlineStr">
        <is>
          <t>28-03-2026</t>
        </is>
      </c>
      <c r="H5048" s="10" t="inlineStr">
        <is>
          <t>28/03/2026</t>
        </is>
      </c>
      <c r="I5048" s="10" t="inlineStr">
        <is>
          <t>17/03/2026</t>
        </is>
      </c>
      <c r="J5048" s="10" t="inlineStr">
        <is>
          <t>Ngân hàng</t>
        </is>
      </c>
      <c r="K5048" s="10" t="inlineStr">
        <is>
          <t>1 - 2 Năm</t>
        </is>
      </c>
      <c r="L5048" s="11">
        <f>HYPERLINK("https://careerviet.vn/vi/tim-viec-lam/chuyen-vien-quan-ly-no-phong-canh-bao-va-qln-khoi-khcn.35C66B51.html","Xem chi tiết")</f>
        <v/>
      </c>
      <c r="M5048" s="10" t="n"/>
    </row>
    <row r="5049">
      <c r="B5049" s="7" t="n">
        <v>5047</v>
      </c>
      <c r="C5049" t="inlineStr">
        <is>
          <t>TRƯỞNG PHÒNG QA-QC</t>
        </is>
      </c>
      <c r="D5049" t="inlineStr">
        <is>
          <t>TRAN DUC CORPORATION - CÔNG TY CỔ PHẦN TRẦN ĐỨC</t>
        </is>
      </c>
      <c r="E5049" t="inlineStr">
        <is>
          <t>Lương:Cạnh tranh</t>
        </is>
      </c>
      <c r="F5049" t="inlineStr">
        <is>
          <t>Bình Dương</t>
        </is>
      </c>
      <c r="G5049" t="inlineStr">
        <is>
          <t>28-03-2026</t>
        </is>
      </c>
      <c r="H5049" t="inlineStr">
        <is>
          <t>28/03/2026</t>
        </is>
      </c>
      <c r="I5049" t="inlineStr">
        <is>
          <t>17/03/2026</t>
        </is>
      </c>
      <c r="J5049" t="inlineStr">
        <is>
          <t>Đồ gỗ, Nội ngoại thất, Xây dựng</t>
        </is>
      </c>
      <c r="K5049" t="inlineStr">
        <is>
          <t>7 - 8 Năm</t>
        </is>
      </c>
      <c r="L5049" s="8">
        <f>HYPERLINK("https://careerviet.vn/vi/tim-viec-lam/truong-phong-qa-qc.35C66B26.html","Xem chi tiết")</f>
        <v/>
      </c>
    </row>
    <row r="5050">
      <c r="B5050" s="9" t="n">
        <v>5048</v>
      </c>
      <c r="C5050" s="10" t="inlineStr">
        <is>
          <t>Quality Assurance Specialist (Furniture/Binh Duong/US MNC)</t>
        </is>
      </c>
      <c r="D5050" s="10" t="inlineStr">
        <is>
          <t>Citigroup Limited Industries, Inc.</t>
        </is>
      </c>
      <c r="E5050" s="10" t="inlineStr">
        <is>
          <t>Lương:Cạnh tranh</t>
        </is>
      </c>
      <c r="F5050" s="10" t="inlineStr">
        <is>
          <t>Bình Dương</t>
        </is>
      </c>
      <c r="G5050" s="10" t="inlineStr">
        <is>
          <t>29-03-2026</t>
        </is>
      </c>
      <c r="H5050" s="10" t="inlineStr">
        <is>
          <t>29/03/2026</t>
        </is>
      </c>
      <c r="I5050" s="10" t="inlineStr">
        <is>
          <t>17/03/2026</t>
        </is>
      </c>
      <c r="J5050" s="10" t="inlineStr">
        <is>
          <t>Quản lý chất lượng (QA/QC)</t>
        </is>
      </c>
      <c r="K5050" s="10" t="inlineStr">
        <is>
          <t>1 - 5 Năm</t>
        </is>
      </c>
      <c r="L5050" s="11">
        <f>HYPERLINK("https://careerviet.vn/vi/tim-viec-lam/quality-assurance-specialist-furniture-binh-duong-us-mnc.35C66CEC.html","Xem chi tiết")</f>
        <v/>
      </c>
      <c r="M5050" s="10" t="n"/>
    </row>
    <row r="5051">
      <c r="B5051" s="7" t="n">
        <v>5049</v>
      </c>
      <c r="C5051" t="inlineStr">
        <is>
          <t>Nhân Viên Bảo Trì (Điện)</t>
        </is>
      </c>
      <c r="D5051" t="inlineStr">
        <is>
          <t>Công Ty TNHH CJ Vina Agri- Chi nhánh Bình Định</t>
        </is>
      </c>
      <c r="E5051" t="inlineStr">
        <is>
          <t>Lương:9 Tr - 16 Tr VND</t>
        </is>
      </c>
      <c r="F5051" t="inlineStr">
        <is>
          <t>Bình Định</t>
        </is>
      </c>
      <c r="G5051" t="inlineStr">
        <is>
          <t>28-03-2026</t>
        </is>
      </c>
      <c r="H5051" t="inlineStr">
        <is>
          <t>28/03/2026</t>
        </is>
      </c>
      <c r="I5051" t="inlineStr">
        <is>
          <t>17/03/2026</t>
        </is>
      </c>
      <c r="J5051" t="inlineStr">
        <is>
          <t>Điện / Điện tử / Điện lạnh / Điện công nghiệp</t>
        </is>
      </c>
      <c r="K5051" t="inlineStr">
        <is>
          <t>1 - 2 Năm</t>
        </is>
      </c>
      <c r="L5051" s="8">
        <f>HYPERLINK("https://careerviet.vn/vi/tim-viec-lam/nhan-vien-bao-tri-dien.35C63DEB.html","Xem chi tiết")</f>
        <v/>
      </c>
    </row>
    <row r="5052">
      <c r="B5052" s="9" t="n">
        <v>5050</v>
      </c>
      <c r="C5052" s="10" t="inlineStr">
        <is>
          <t>Nhân Viên Phiên Dịch Tiếng Hàn</t>
        </is>
      </c>
      <c r="D5052" s="10" t="inlineStr">
        <is>
          <t>Công Ty TNHH DSR Vina</t>
        </is>
      </c>
      <c r="E5052" s="10" t="inlineStr">
        <is>
          <t>Lương:Cạnh tranh</t>
        </is>
      </c>
      <c r="F5052" s="10" t="inlineStr">
        <is>
          <t>Bình Dương</t>
        </is>
      </c>
      <c r="G5052" s="10" t="inlineStr">
        <is>
          <t>29-03-2026</t>
        </is>
      </c>
      <c r="H5052" s="10" t="inlineStr">
        <is>
          <t>29/03/2026</t>
        </is>
      </c>
      <c r="I5052" s="10" t="inlineStr">
        <is>
          <t>17/03/2026</t>
        </is>
      </c>
      <c r="J5052" s="10" t="inlineStr">
        <is>
          <t>Hành chính / Thư ký, Biên phiên dịch</t>
        </is>
      </c>
      <c r="K5052" s="10" t="inlineStr">
        <is>
          <t>1 - 2 Năm</t>
        </is>
      </c>
      <c r="L5052" s="11">
        <f>HYPERLINK("https://careerviet.vn/vi/tim-viec-lam/nhan-vien-phien-dich-tieng-han.35C640C4.html","Xem chi tiết")</f>
        <v/>
      </c>
      <c r="M5052" s="10" t="n"/>
    </row>
    <row r="5053">
      <c r="B5053" s="7" t="n">
        <v>5051</v>
      </c>
      <c r="C5053" t="inlineStr">
        <is>
          <t>[ALDO] District Manager</t>
        </is>
      </c>
      <c r="D5053" t="inlineStr">
        <is>
          <t>Viet Thai International</t>
        </is>
      </c>
      <c r="E5053" t="inlineStr">
        <is>
          <t>Lương:Cạnh tranh</t>
        </is>
      </c>
      <c r="F5053" t="inlineStr">
        <is>
          <t>Hồ Chí Minh</t>
        </is>
      </c>
      <c r="G5053" t="inlineStr">
        <is>
          <t>29-03-2026</t>
        </is>
      </c>
      <c r="H5053" t="inlineStr">
        <is>
          <t>29/03/2026</t>
        </is>
      </c>
      <c r="I5053" t="inlineStr">
        <is>
          <t>17/03/2026</t>
        </is>
      </c>
      <c r="J5053" t="inlineStr">
        <is>
          <t>Bán lẻ / Bán sỉ, Bán hàng / Kinh doanh</t>
        </is>
      </c>
      <c r="K5053" t="inlineStr">
        <is>
          <t>3 - 4 Năm</t>
        </is>
      </c>
      <c r="L5053" s="8">
        <f>HYPERLINK("https://careerviet.vn/vi/tim-viec-lam/aldo-district-manager.35C64212.html","Xem chi tiết")</f>
        <v/>
      </c>
    </row>
    <row r="5054">
      <c r="B5054" s="9" t="n">
        <v>5052</v>
      </c>
      <c r="C5054" s="10" t="inlineStr">
        <is>
          <t>Chăm sóc Khách hàng - Ứng Dụng Du lịch Tiếng Anh</t>
        </is>
      </c>
      <c r="D5054" s="10" t="inlineStr">
        <is>
          <t>Vietnam Concentrix Services Company Limited</t>
        </is>
      </c>
      <c r="E5054" s="10" t="inlineStr">
        <is>
          <t>Lương:10 Tr - 12 Tr VND</t>
        </is>
      </c>
      <c r="F5054" s="10" t="inlineStr">
        <is>
          <t>Hồ Chí Minh</t>
        </is>
      </c>
      <c r="G5054" s="10" t="inlineStr">
        <is>
          <t>29-03-2026</t>
        </is>
      </c>
      <c r="H5054" s="10" t="inlineStr">
        <is>
          <t>29/03/2026</t>
        </is>
      </c>
      <c r="I5054" s="10" t="inlineStr">
        <is>
          <t>17/03/2026</t>
        </is>
      </c>
      <c r="J5054" s="10" t="inlineStr">
        <is>
          <t>Dịch vụ khách hàng, Tư vấn, Du lịch</t>
        </is>
      </c>
      <c r="K5054" s="10" t="inlineStr">
        <is>
          <t>Chưa có kinh nghiệm</t>
        </is>
      </c>
      <c r="L5054" s="11">
        <f>HYPERLINK("https://careerviet.vn/vi/tim-viec-lam/cham-soc-khach-hang-ung-dung-du-lich-tieng-anh.35C66C79.html","Xem chi tiết")</f>
        <v/>
      </c>
      <c r="M5054" s="10" t="n"/>
    </row>
    <row r="5055">
      <c r="B5055" s="7" t="n">
        <v>5053</v>
      </c>
      <c r="C5055" t="inlineStr">
        <is>
          <t>[Bắc Giang] - Trưởng phòng Khách hàng doanh nghiệp</t>
        </is>
      </c>
      <c r="D5055" t="inlineStr">
        <is>
          <t>Ngân hàng TMCP Lộc Phát Việt Nam (LPBank)</t>
        </is>
      </c>
      <c r="E5055" t="inlineStr">
        <is>
          <t>Lương:Cạnh tranh</t>
        </is>
      </c>
      <c r="F5055" t="inlineStr">
        <is>
          <t>Bắc Giang</t>
        </is>
      </c>
      <c r="G5055" t="inlineStr">
        <is>
          <t>29-03-2026</t>
        </is>
      </c>
      <c r="H5055" t="inlineStr">
        <is>
          <t>29/03/2026</t>
        </is>
      </c>
      <c r="I5055" t="inlineStr">
        <is>
          <t>17/03/2026</t>
        </is>
      </c>
      <c r="J5055" t="inlineStr">
        <is>
          <t>Bất động sản, Bảo hiểm, Dịch vụ khách hàng</t>
        </is>
      </c>
      <c r="K5055" t="inlineStr">
        <is>
          <t>Trên 4 Năm</t>
        </is>
      </c>
      <c r="L5055" s="8">
        <f>HYPERLINK("https://careerviet.vn/vi/tim-viec-lam/bac-giang-truong-phong-khach-hang-doanh-nghiep.35C6411F.html","Xem chi tiết")</f>
        <v/>
      </c>
    </row>
    <row r="5056">
      <c r="B5056" s="9" t="n">
        <v>5054</v>
      </c>
      <c r="C5056" s="10" t="inlineStr">
        <is>
          <t>Kỹ Sư Môi Trường (Xử Lý Nước Thải,Khí Thải )</t>
        </is>
      </c>
      <c r="D5056" s="10" t="inlineStr">
        <is>
          <t>VIET NHAT ENVIRONMENT - CÔNG TY CỔ PHẦN MÔI TRƯỜNG VIỆT NHẤT</t>
        </is>
      </c>
      <c r="E5056" s="10" t="inlineStr">
        <is>
          <t>Lương:9 Tr - 15 Tr VND</t>
        </is>
      </c>
      <c r="F5056" s="10" t="inlineStr">
        <is>
          <t>Bình Dương</t>
        </is>
      </c>
      <c r="G5056" s="10" t="inlineStr">
        <is>
          <t>29-03-2026</t>
        </is>
      </c>
      <c r="H5056" s="10" t="inlineStr">
        <is>
          <t>29/03/2026</t>
        </is>
      </c>
      <c r="I5056" s="10" t="inlineStr">
        <is>
          <t>17/03/2026</t>
        </is>
      </c>
      <c r="J5056" s="10" t="inlineStr">
        <is>
          <t>Môi trường</t>
        </is>
      </c>
      <c r="K5056" s="10" t="inlineStr">
        <is>
          <t>N/A</t>
        </is>
      </c>
      <c r="L5056" s="11">
        <f>HYPERLINK("https://careerviet.vn/vi/tim-viec-lam/ky-su-moi-truong-xu-ly-nuoc-thai-khi-thai.35C641A4.html","Xem chi tiết")</f>
        <v/>
      </c>
      <c r="M5056" s="10" t="n"/>
    </row>
    <row r="5057">
      <c r="B5057" s="7" t="n">
        <v>5055</v>
      </c>
      <c r="C5057" t="inlineStr">
        <is>
          <t>Cylinder Warehouse Keeper (Nhân viên Kho Trục)</t>
        </is>
      </c>
      <c r="D5057" t="inlineStr">
        <is>
          <t>Huhtamaki (Vietnam) Ltd.</t>
        </is>
      </c>
      <c r="E5057" t="inlineStr">
        <is>
          <t>Lương:8 Tr - 10 Tr VND</t>
        </is>
      </c>
      <c r="F5057" t="inlineStr">
        <is>
          <t>Bình Dương</t>
        </is>
      </c>
      <c r="G5057" t="inlineStr">
        <is>
          <t>29-03-2026</t>
        </is>
      </c>
      <c r="H5057" t="inlineStr">
        <is>
          <t>29/03/2026</t>
        </is>
      </c>
      <c r="I5057" t="inlineStr">
        <is>
          <t>17/03/2026</t>
        </is>
      </c>
      <c r="J5057" t="inlineStr">
        <is>
          <t>Vận chuyển / Giao nhận / Kho vận, Cơ khí / Ô tô / Tự động hóa, Hóa học</t>
        </is>
      </c>
      <c r="K5057" t="inlineStr">
        <is>
          <t>Chưa có kinh nghiệm</t>
        </is>
      </c>
      <c r="L5057" s="8">
        <f>HYPERLINK("https://careerviet.vn/vi/tim-viec-lam/cylinder-warehouse-keeper-nhan-vien-kho-truc.35C64109.html","Xem chi tiết")</f>
        <v/>
      </c>
    </row>
    <row r="5058">
      <c r="B5058" s="9" t="n">
        <v>5056</v>
      </c>
      <c r="C5058" s="10" t="inlineStr">
        <is>
          <t>Outbound Manager (Telesales Manager)</t>
        </is>
      </c>
      <c r="D5058" s="10" t="inlineStr">
        <is>
          <t>Vietnam Concentrix Services Company Limited</t>
        </is>
      </c>
      <c r="E5058" s="10" t="inlineStr">
        <is>
          <t>Lương:50 Tr - 70 Tr VND</t>
        </is>
      </c>
      <c r="F5058" s="10" t="inlineStr">
        <is>
          <t>Hồ Chí Minh</t>
        </is>
      </c>
      <c r="G5058" s="10" t="inlineStr">
        <is>
          <t>29-03-2026</t>
        </is>
      </c>
      <c r="H5058" s="10" t="inlineStr">
        <is>
          <t>29/03/2026</t>
        </is>
      </c>
      <c r="I5058" s="10" t="inlineStr">
        <is>
          <t>17/03/2026</t>
        </is>
      </c>
      <c r="J5058" s="10" t="inlineStr">
        <is>
          <t>Bán hàng / Kinh doanh, Tiếp thị trực tuyến, Quản lý điều hành</t>
        </is>
      </c>
      <c r="K5058" s="10" t="inlineStr">
        <is>
          <t>N/A</t>
        </is>
      </c>
      <c r="L5058" s="11">
        <f>HYPERLINK("https://careerviet.vn/vi/tim-viec-lam/outbound-manager-telesales-manager.35C66C76.html","Xem chi tiết")</f>
        <v/>
      </c>
      <c r="M5058" s="10" t="n"/>
    </row>
    <row r="5059">
      <c r="B5059" s="7" t="n">
        <v>5057</v>
      </c>
      <c r="C5059" t="inlineStr">
        <is>
          <t>Chuyên viên Quan hệ khách hàng Cá nhân (Thế chấp) - Hà Nội - TA160 - ID534</t>
        </is>
      </c>
      <c r="D5059" t="inlineStr">
        <is>
          <t>Ngân Hàng TMCP Việt Nam Thịnh Vượng - VPBANK</t>
        </is>
      </c>
      <c r="E5059" t="inlineStr">
        <is>
          <t>Lương:Cạnh tranh</t>
        </is>
      </c>
      <c r="F5059" t="inlineStr">
        <is>
          <t>Hà Nội</t>
        </is>
      </c>
      <c r="G5059" t="inlineStr">
        <is>
          <t>28-03-2026</t>
        </is>
      </c>
      <c r="H5059" t="inlineStr">
        <is>
          <t>28/03/2026</t>
        </is>
      </c>
      <c r="I5059" t="inlineStr">
        <is>
          <t>17/03/2026</t>
        </is>
      </c>
      <c r="J5059" t="inlineStr">
        <is>
          <t>Bán hàng / Kinh doanh, Ngân hàng</t>
        </is>
      </c>
      <c r="K5059" t="inlineStr">
        <is>
          <t>Trên 1 Năm</t>
        </is>
      </c>
      <c r="L5059" s="8">
        <f>HYPERLINK("https://careerviet.vn/vi/tim-viec-lam/chuyen-vien-quan-he-khach-hang-ca-nhan-the-chap-ha-noi-ta160-id534.35C66BD4.html","Xem chi tiết")</f>
        <v/>
      </c>
    </row>
    <row r="5060">
      <c r="B5060" s="9" t="n">
        <v>5058</v>
      </c>
      <c r="C5060" s="10" t="inlineStr">
        <is>
          <t>KỸ SƯ PHÁT TRIỂN KỸ THUẬT (技術開發工程師）</t>
        </is>
      </c>
      <c r="D5060" s="10" t="inlineStr">
        <is>
          <t>CÔNG TY TNHH SẢN XUẤT GREAT LOTUS VIỆT NAM</t>
        </is>
      </c>
      <c r="E5060" s="10" t="inlineStr">
        <is>
          <t>Lương:22 Tr - 25 Tr VND</t>
        </is>
      </c>
      <c r="F5060" s="10" t="inlineStr">
        <is>
          <t>Bình Dương</t>
        </is>
      </c>
      <c r="G5060" s="10" t="inlineStr">
        <is>
          <t>29-03-2026</t>
        </is>
      </c>
      <c r="H5060" s="10" t="inlineStr">
        <is>
          <t>29/03/2026</t>
        </is>
      </c>
      <c r="I5060" s="10" t="inlineStr">
        <is>
          <t>17/03/2026</t>
        </is>
      </c>
      <c r="J5060" s="10" t="inlineStr">
        <is>
          <t>Sản xuất / Vận hành sản xuất, Dệt may / Da giày / Thời trang</t>
        </is>
      </c>
      <c r="K5060" s="10" t="inlineStr">
        <is>
          <t>3 - 5 Năm</t>
        </is>
      </c>
      <c r="L5060" s="11">
        <f>HYPERLINK("https://careerviet.vn/vi/tim-viec-lam/ky-su-phat-trien-ky-thuat.35C641E7.html","Xem chi tiết")</f>
        <v/>
      </c>
      <c r="M5060" s="10" t="n"/>
    </row>
    <row r="5061">
      <c r="B5061" s="7" t="n">
        <v>5059</v>
      </c>
      <c r="C5061" t="inlineStr">
        <is>
          <t>Nhân Viên Hành Chính Nhân Sự</t>
        </is>
      </c>
      <c r="D5061" t="inlineStr">
        <is>
          <t>Tập Đoàn Kim Tín</t>
        </is>
      </c>
      <c r="E5061" t="inlineStr">
        <is>
          <t>Lương:14 Tr - 18 Tr VND</t>
        </is>
      </c>
      <c r="F5061" t="inlineStr">
        <is>
          <t>Hưng Yên</t>
        </is>
      </c>
      <c r="G5061" t="inlineStr">
        <is>
          <t>29-03-2026</t>
        </is>
      </c>
      <c r="H5061" t="inlineStr">
        <is>
          <t>29/03/2026</t>
        </is>
      </c>
      <c r="I5061" t="inlineStr">
        <is>
          <t>17/03/2026</t>
        </is>
      </c>
      <c r="J5061" t="inlineStr">
        <is>
          <t>Nhân sự, Sản xuất / Vận hành sản xuất</t>
        </is>
      </c>
      <c r="K5061" t="inlineStr">
        <is>
          <t>2 - 4 NămĐịa điểm</t>
        </is>
      </c>
      <c r="L5061" s="8">
        <f>HYPERLINK("https://careerviet.vn/vi/tim-viec-lam/nhan-vien-hanh-chinh-nhan-su.35C66CA8.html","Xem chi tiết")</f>
        <v/>
      </c>
    </row>
    <row r="5062">
      <c r="B5062" s="9" t="n">
        <v>5060</v>
      </c>
      <c r="C5062" s="10" t="inlineStr">
        <is>
          <t>Chuyên Viên Cao Cấp Nhân Sự</t>
        </is>
      </c>
      <c r="D5062" s="10" t="inlineStr">
        <is>
          <t>Công ty Cổ phần Chứng khoán DNSE</t>
        </is>
      </c>
      <c r="E5062" s="10" t="inlineStr">
        <is>
          <t>Lương:Cạnh tranh</t>
        </is>
      </c>
      <c r="F5062" s="10" t="inlineStr">
        <is>
          <t>Hà Nội</t>
        </is>
      </c>
      <c r="G5062" s="10" t="inlineStr">
        <is>
          <t>28-03-2026</t>
        </is>
      </c>
      <c r="H5062" s="10" t="inlineStr">
        <is>
          <t>28/03/2026</t>
        </is>
      </c>
      <c r="I5062" s="10" t="inlineStr">
        <is>
          <t>17/03/2026</t>
        </is>
      </c>
      <c r="J5062" s="10" t="inlineStr">
        <is>
          <t>Hành chính / Thư ký, Quản lý điều hành, Nhân sự</t>
        </is>
      </c>
      <c r="K5062" s="10" t="inlineStr">
        <is>
          <t>Trên 5 Năm</t>
        </is>
      </c>
      <c r="L5062" s="11">
        <f>HYPERLINK("https://careerviet.vn/vi/tim-viec-lam/chuyen-vien-cao-cap-nhan-su.35C66C09.html","Xem chi tiết")</f>
        <v/>
      </c>
      <c r="M5062" s="10" t="n"/>
    </row>
    <row r="5063">
      <c r="B5063" s="7" t="n">
        <v>5061</v>
      </c>
      <c r="C5063" t="inlineStr">
        <is>
          <t>Teacher Intern ( District 2)</t>
        </is>
      </c>
      <c r="D5063" t="inlineStr">
        <is>
          <t>CareerViet's client</t>
        </is>
      </c>
      <c r="E5063" t="inlineStr">
        <is>
          <t>Lương:3 Tr - 3,0 Tr VND</t>
        </is>
      </c>
      <c r="F5063" t="inlineStr">
        <is>
          <t>Hồ Chí Minh</t>
        </is>
      </c>
      <c r="G5063" t="inlineStr">
        <is>
          <t>29-03-2026</t>
        </is>
      </c>
      <c r="H5063" t="inlineStr">
        <is>
          <t>29/03/2026</t>
        </is>
      </c>
      <c r="I5063" t="inlineStr">
        <is>
          <t>17/03/2026</t>
        </is>
      </c>
      <c r="J5063" t="inlineStr">
        <is>
          <t>Tư vấn, Dịch vụ khách hàng, Giáo dục / Đào tạo</t>
        </is>
      </c>
      <c r="K5063" t="inlineStr">
        <is>
          <t>N/A</t>
        </is>
      </c>
      <c r="L5063" s="8">
        <f>HYPERLINK("https://careerviet.vn/vi/tim-viec-lam/teacher-intern-district-2.35C66D36.html","Xem chi tiết")</f>
        <v/>
      </c>
    </row>
    <row r="5064">
      <c r="B5064" s="9" t="n">
        <v>5062</v>
      </c>
      <c r="C5064" s="10" t="inlineStr">
        <is>
          <t>Nhân viên Kỹ thuật CNC- ƯU TIÊN MỚI RA TRƯỜNG</t>
        </is>
      </c>
      <c r="D5064" s="10" t="inlineStr">
        <is>
          <t>CÔNG TY TNHH MTV KỸ THUẬT TÚ LỘC</t>
        </is>
      </c>
      <c r="E5064" s="10" t="inlineStr">
        <is>
          <t>Lương:8 Tr - 10 Tr VND</t>
        </is>
      </c>
      <c r="F5064" s="10" t="inlineStr">
        <is>
          <t>Hồ Chí MinhHà Nội</t>
        </is>
      </c>
      <c r="G5064" s="10" t="inlineStr">
        <is>
          <t>29-03-2026</t>
        </is>
      </c>
      <c r="H5064" s="10" t="inlineStr">
        <is>
          <t>29/03/2026</t>
        </is>
      </c>
      <c r="I5064" s="10" t="inlineStr">
        <is>
          <t>17/03/2026</t>
        </is>
      </c>
      <c r="J5064" s="10" t="inlineStr">
        <is>
          <t>Cơ khí / Ô tô / Tự động hóa, Bảo trì / Sửa chữa</t>
        </is>
      </c>
      <c r="K5064" s="10" t="inlineStr">
        <is>
          <t>N/A</t>
        </is>
      </c>
      <c r="L5064" s="11">
        <f>HYPERLINK("https://careerviet.vn/vi/tim-viec-lam/nhan-vien-ky-thuat-cnc-uu-tien-moi-ra-truong.35C64132.html","Xem chi tiết")</f>
        <v/>
      </c>
      <c r="M5064" s="10" t="n"/>
    </row>
    <row r="5065">
      <c r="B5065" s="7" t="n">
        <v>5063</v>
      </c>
      <c r="C5065" t="inlineStr">
        <is>
          <t>Expert, Business Finance</t>
        </is>
      </c>
      <c r="D5065" t="inlineStr">
        <is>
          <t>NGÂN HÀNG TMCP KỸ THƯƠNG VIỆT NAM (TECHCOMBANK)</t>
        </is>
      </c>
      <c r="E5065" t="inlineStr">
        <is>
          <t>Lương:Cạnh tranh</t>
        </is>
      </c>
      <c r="F5065" t="inlineStr">
        <is>
          <t>Hà Nội</t>
        </is>
      </c>
      <c r="G5065" t="inlineStr">
        <is>
          <t>29-03-2026</t>
        </is>
      </c>
      <c r="H5065" t="inlineStr">
        <is>
          <t>29/03/2026</t>
        </is>
      </c>
      <c r="I5065" t="inlineStr">
        <is>
          <t>17/03/2026</t>
        </is>
      </c>
      <c r="J5065" t="inlineStr">
        <is>
          <t>Ngân hàng, Tài chính / Đầu tư, Kế toán / Kiểm toán</t>
        </is>
      </c>
      <c r="K5065" t="inlineStr">
        <is>
          <t>Trên 4 Năm</t>
        </is>
      </c>
      <c r="L5065" s="8">
        <f>HYPERLINK("https://careerviet.vn/vi/tim-viec-lam/expert-business-finance.35C66E06.html","Xem chi tiết")</f>
        <v/>
      </c>
    </row>
    <row r="5066">
      <c r="B5066" s="9" t="n">
        <v>5064</v>
      </c>
      <c r="C5066" s="10" t="inlineStr">
        <is>
          <t>Kế toán Doanh thu kiêm Nhân sự</t>
        </is>
      </c>
      <c r="D5066" s="10" t="inlineStr">
        <is>
          <t>Boncafé Vietnam</t>
        </is>
      </c>
      <c r="E5066" s="10" t="inlineStr">
        <is>
          <t>Lương:Cạnh tranh</t>
        </is>
      </c>
      <c r="F5066" s="10" t="inlineStr">
        <is>
          <t>Hồ Chí Minh</t>
        </is>
      </c>
      <c r="G5066" s="10" t="inlineStr">
        <is>
          <t>29-03-2026</t>
        </is>
      </c>
      <c r="H5066" s="10" t="inlineStr">
        <is>
          <t>29/03/2026</t>
        </is>
      </c>
      <c r="I5066" s="10" t="inlineStr">
        <is>
          <t>17/03/2026</t>
        </is>
      </c>
      <c r="J5066" s="10" t="inlineStr">
        <is>
          <t>Luật / Pháp lý, Kế toán / Kiểm toán, Tài chính / Đầu tư</t>
        </is>
      </c>
      <c r="K5066" s="10" t="inlineStr">
        <is>
          <t>Trên 2 Năm</t>
        </is>
      </c>
      <c r="L5066" s="11">
        <f>HYPERLINK("https://careerviet.vn/vi/tim-viec-lam/ke-toan-doanh-thu-kiem-nhan-su.35C66D3E.html","Xem chi tiết")</f>
        <v/>
      </c>
      <c r="M5066" s="10" t="n"/>
    </row>
    <row r="5067">
      <c r="B5067" s="7" t="n">
        <v>5065</v>
      </c>
      <c r="C5067" t="inlineStr">
        <is>
          <t>[Hà Nội] Chuyên viên chính Hỗ trợ giao dịch nguồn vốn</t>
        </is>
      </c>
      <c r="D5067" t="inlineStr">
        <is>
          <t>Ngân hàng TMCP Lộc Phát Việt Nam (LPBank)</t>
        </is>
      </c>
      <c r="E5067" t="inlineStr">
        <is>
          <t>Lương:Cạnh tranh</t>
        </is>
      </c>
      <c r="F5067" t="inlineStr">
        <is>
          <t>Hà Nội</t>
        </is>
      </c>
      <c r="G5067" t="inlineStr">
        <is>
          <t>29-03-2026</t>
        </is>
      </c>
      <c r="H5067" t="inlineStr">
        <is>
          <t>29/03/2026</t>
        </is>
      </c>
      <c r="I5067" t="inlineStr">
        <is>
          <t>17/03/2026</t>
        </is>
      </c>
      <c r="J5067" t="inlineStr">
        <is>
          <t>Ngân hàng</t>
        </is>
      </c>
      <c r="K5067" t="inlineStr">
        <is>
          <t>1 - 3 Năm</t>
        </is>
      </c>
      <c r="L5067" s="8">
        <f>HYPERLINK("https://careerviet.vn/vi/tim-viec-lam/ha-noi-chuyen-vien-chinh-ho-tro-giao-dich-nguon-von.35C6411D.html","Xem chi tiết")</f>
        <v/>
      </c>
    </row>
    <row r="5068">
      <c r="B5068" s="9" t="n">
        <v>5066</v>
      </c>
      <c r="C5068" s="10" t="inlineStr">
        <is>
          <t>Cán bộ Ban Khách hàng doanh nghiệp (mảng dự án đấu thầu)</t>
        </is>
      </c>
      <c r="D5068" s="10" t="inlineStr">
        <is>
          <t>Tổng Công ty Cổ phần Bảo hiểm Ngân hàng Đầu tư và Phát triển Việt Nam (BIC)</t>
        </is>
      </c>
      <c r="E5068" s="10" t="inlineStr">
        <is>
          <t>Lương:Cạnh tranh</t>
        </is>
      </c>
      <c r="F5068" s="10" t="inlineStr">
        <is>
          <t>Hà Nội</t>
        </is>
      </c>
      <c r="G5068" s="10" t="inlineStr">
        <is>
          <t>29-03-2026</t>
        </is>
      </c>
      <c r="H5068" s="10" t="inlineStr">
        <is>
          <t>29/03/2026</t>
        </is>
      </c>
      <c r="I5068" s="10" t="inlineStr">
        <is>
          <t>17/03/2026</t>
        </is>
      </c>
      <c r="J5068" s="10" t="inlineStr">
        <is>
          <t>Bảo hiểm, Ngân hàng</t>
        </is>
      </c>
      <c r="K5068" s="10" t="inlineStr">
        <is>
          <t>1 - 3 Năm</t>
        </is>
      </c>
      <c r="L5068" s="11">
        <f>HYPERLINK("https://careerviet.vn/vi/tim-viec-lam/can-bo-ban-khach-hang-doanh-nghiep-mang-du-an-dau-thau.35C6420B.html","Xem chi tiết")</f>
        <v/>
      </c>
      <c r="M5068" s="10" t="n"/>
    </row>
    <row r="5069">
      <c r="B5069" s="7" t="n">
        <v>5067</v>
      </c>
      <c r="C5069" t="inlineStr">
        <is>
          <t>Khu vực Đông Nam Bộ (Bà Rịa Vũng Tàu) - Trợ lý Giám đốc khu vực</t>
        </is>
      </c>
      <c r="D5069" t="inlineStr">
        <is>
          <t>Ngân Hàng TMCP Phương Đông - OCB</t>
        </is>
      </c>
      <c r="E5069" t="inlineStr">
        <is>
          <t>Lương:Cạnh tranh</t>
        </is>
      </c>
      <c r="F5069" t="inlineStr">
        <is>
          <t>Bà Rịa - Vũng Tàu</t>
        </is>
      </c>
      <c r="G5069" t="inlineStr">
        <is>
          <t>29-03-2026</t>
        </is>
      </c>
      <c r="H5069" t="inlineStr">
        <is>
          <t>29/03/2026</t>
        </is>
      </c>
      <c r="I5069" t="inlineStr">
        <is>
          <t>17/03/2026</t>
        </is>
      </c>
      <c r="J5069" t="inlineStr">
        <is>
          <t>Ngân hàng</t>
        </is>
      </c>
      <c r="K5069" t="inlineStr">
        <is>
          <t>3 - 5 Năm</t>
        </is>
      </c>
      <c r="L5069" s="8">
        <f>HYPERLINK("https://careerviet.vn/vi/tim-viec-lam/khu-vuc-dong-nam-bo-ba-ria-vung-tau-tro-ly-giam-doc-khu-vuc.35C66DEA.html","Xem chi tiết")</f>
        <v/>
      </c>
    </row>
    <row r="5070">
      <c r="B5070" s="9" t="n">
        <v>5068</v>
      </c>
      <c r="C5070" s="10" t="inlineStr">
        <is>
          <t>KẾ TOÁN TỔNG HỢP</t>
        </is>
      </c>
      <c r="D5070" s="10" t="inlineStr">
        <is>
          <t>CÔNG TY TNHH THƯƠNG MẠI ORYX</t>
        </is>
      </c>
      <c r="E5070" s="10" t="inlineStr">
        <is>
          <t>Lương:Cạnh tranh</t>
        </is>
      </c>
      <c r="F5070" s="10" t="inlineStr">
        <is>
          <t>Hồ Chí Minh</t>
        </is>
      </c>
      <c r="G5070" s="10" t="inlineStr">
        <is>
          <t>29-03-2026</t>
        </is>
      </c>
      <c r="H5070" s="10" t="inlineStr">
        <is>
          <t>29/03/2026</t>
        </is>
      </c>
      <c r="I5070" s="10" t="inlineStr">
        <is>
          <t>17/03/2026</t>
        </is>
      </c>
      <c r="J5070" s="10" t="inlineStr">
        <is>
          <t>Kế toán / Kiểm toán, Tài chính / Đầu tưBằng cấpCao đẳngĐộ tuổi24 - 35</t>
        </is>
      </c>
      <c r="K5070" s="10" t="inlineStr">
        <is>
          <t>N/A</t>
        </is>
      </c>
      <c r="L5070" s="11">
        <f>HYPERLINK("https://careerviet.vn/vi/tim-viec-lam/ke-toan-tong-hop.35C66CE9.html","Xem chi tiết")</f>
        <v/>
      </c>
      <c r="M5070" s="10" t="n"/>
    </row>
    <row r="5071">
      <c r="B5071" s="7" t="n">
        <v>5069</v>
      </c>
      <c r="C5071" t="inlineStr">
        <is>
          <t>Operation Manager - Nha Trang branch</t>
        </is>
      </c>
      <c r="D5071" t="inlineStr">
        <is>
          <t>Công Ty Avanti - Group</t>
        </is>
      </c>
      <c r="E5071" t="inlineStr">
        <is>
          <t>Lương:Cạnh tranh</t>
        </is>
      </c>
      <c r="F5071" t="inlineStr">
        <is>
          <t>Khánh Hòa</t>
        </is>
      </c>
      <c r="G5071" t="inlineStr">
        <is>
          <t>29-03-2026</t>
        </is>
      </c>
      <c r="H5071" t="inlineStr">
        <is>
          <t>29/03/2026</t>
        </is>
      </c>
      <c r="I5071" t="inlineStr">
        <is>
          <t>17/03/2026</t>
        </is>
      </c>
      <c r="J5071" t="inlineStr">
        <is>
          <t>Thực phẩm &amp; Đồ uống, Bán lẻ / Bán sỉ, Nhà hàng / Khách sạn</t>
        </is>
      </c>
      <c r="K5071" t="inlineStr">
        <is>
          <t>8 - 20 Năm</t>
        </is>
      </c>
      <c r="L5071" s="8">
        <f>HYPERLINK("https://careerviet.vn/vi/tim-viec-lam/operation-manager-nha-trang-branch.35C66D94.html","Xem chi tiết")</f>
        <v/>
      </c>
    </row>
    <row r="5072">
      <c r="B5072" s="9" t="n">
        <v>5070</v>
      </c>
      <c r="C5072" s="10" t="inlineStr">
        <is>
          <t>Chuyên viên Quản lý Đại lý (Chủ đầu tư BĐS)</t>
        </is>
      </c>
      <c r="D5072" s="10" t="inlineStr">
        <is>
          <t>Pacific Corporation</t>
        </is>
      </c>
      <c r="E5072" s="10" t="inlineStr">
        <is>
          <t>Lương:Cạnh tranh</t>
        </is>
      </c>
      <c r="F5072" s="10" t="inlineStr">
        <is>
          <t>Hà Nội</t>
        </is>
      </c>
      <c r="G5072" s="10" t="inlineStr">
        <is>
          <t>29-03-2026</t>
        </is>
      </c>
      <c r="H5072" s="10" t="inlineStr">
        <is>
          <t>29/03/2026</t>
        </is>
      </c>
      <c r="I5072" s="10" t="inlineStr">
        <is>
          <t>17/03/2026</t>
        </is>
      </c>
      <c r="J5072" s="10" t="inlineStr">
        <is>
          <t>Tiếp thị / Marketing, Bán hàng / Kinh doanh, Bất động sản</t>
        </is>
      </c>
      <c r="K5072" s="10" t="inlineStr">
        <is>
          <t>3 - 5 Năm</t>
        </is>
      </c>
      <c r="L5072" s="11">
        <f>HYPERLINK("https://careerviet.vn/vi/tim-viec-lam/chuyen-vien-quan-ly-dai-ly-chu-dau-tu-bds.35C641B5.html","Xem chi tiết")</f>
        <v/>
      </c>
      <c r="M5072" s="10" t="n"/>
    </row>
    <row r="5073">
      <c r="B5073" s="7" t="n">
        <v>5071</v>
      </c>
      <c r="C5073" t="inlineStr">
        <is>
          <t>Sales - chief or Assistant Manager  (Tiếng Anh và Tiếng Trung/Hàn giao tiếp)</t>
        </is>
      </c>
      <c r="D5073" t="inlineStr">
        <is>
          <t>CÔNG TY TNHH QUICK VIỆT NAM</t>
        </is>
      </c>
      <c r="E5073" t="inlineStr">
        <is>
          <t>Lương:Lên đến 50 Tr VND</t>
        </is>
      </c>
      <c r="F5073" t="inlineStr">
        <is>
          <t>Hồ Chí Minh</t>
        </is>
      </c>
      <c r="G5073" t="inlineStr">
        <is>
          <t>29-03-2026</t>
        </is>
      </c>
      <c r="H5073" t="inlineStr">
        <is>
          <t>29/03/2026</t>
        </is>
      </c>
      <c r="I5073" t="inlineStr">
        <is>
          <t>17/03/2026</t>
        </is>
      </c>
      <c r="J5073" t="inlineStr">
        <is>
          <t>Bán hàng / Kinh doanh, Dịch vụ khách hàng, Ngành khác</t>
        </is>
      </c>
      <c r="K5073" t="inlineStr">
        <is>
          <t>7 - 10 Năm</t>
        </is>
      </c>
      <c r="L5073" s="8">
        <f>HYPERLINK("https://careerviet.vn/vi/tim-viec-lam/sales-chief-or-assistant-manager-tieng-anh-va-tieng-trung-han-giao-tiep.35C66C8F.html","Xem chi tiết")</f>
        <v/>
      </c>
    </row>
    <row r="5074">
      <c r="B5074" s="9" t="n">
        <v>5072</v>
      </c>
      <c r="C5074" s="10" t="inlineStr">
        <is>
          <t>Thư Ký Dự Án / Site Admin</t>
        </is>
      </c>
      <c r="D5074" s="10" t="inlineStr">
        <is>
          <t>Handong Engineering &amp; Construction JSC</t>
        </is>
      </c>
      <c r="E5074" s="10" t="inlineStr">
        <is>
          <t>Lương:12 Tr - 18 Tr VND</t>
        </is>
      </c>
      <c r="F5074" s="10" t="inlineStr">
        <is>
          <t>Đồng NaiQuảng NgãiHồ Chí Minh</t>
        </is>
      </c>
      <c r="G5074" s="10" t="inlineStr">
        <is>
          <t>29-03-2026</t>
        </is>
      </c>
      <c r="H5074" s="10" t="inlineStr">
        <is>
          <t>29/03/2026</t>
        </is>
      </c>
      <c r="I5074" s="10" t="inlineStr">
        <is>
          <t>17/03/2026</t>
        </is>
      </c>
      <c r="J5074" s="10" t="inlineStr">
        <is>
          <t>Hành chính / Thư ký, Kiến trúc, Xây dựng</t>
        </is>
      </c>
      <c r="K5074" s="10" t="inlineStr">
        <is>
          <t>1 - 3 Năm</t>
        </is>
      </c>
      <c r="L5074" s="11">
        <f>HYPERLINK("https://careerviet.vn/vi/tim-viec-lam/thu-ky-du-an-site-admin.35C66CDD.html","Xem chi tiết")</f>
        <v/>
      </c>
      <c r="M5074" s="10" t="n"/>
    </row>
    <row r="5075">
      <c r="B5075" s="7" t="n">
        <v>5073</v>
      </c>
      <c r="C5075" t="inlineStr">
        <is>
          <t>TT Nhân sự &amp; Đào tạo, Hội sở - CVCC Phát triển thương hiệu tuyển dụng</t>
        </is>
      </c>
      <c r="D5075" t="inlineStr">
        <is>
          <t>Ngân Hàng TMCP Phương Đông - OCB</t>
        </is>
      </c>
      <c r="E5075" t="inlineStr">
        <is>
          <t>Lương:Cạnh tranh</t>
        </is>
      </c>
      <c r="F5075" t="inlineStr">
        <is>
          <t>Hồ Chí Minh</t>
        </is>
      </c>
      <c r="G5075" t="inlineStr">
        <is>
          <t>29-03-2026</t>
        </is>
      </c>
      <c r="H5075" t="inlineStr">
        <is>
          <t>29/03/2026</t>
        </is>
      </c>
      <c r="I5075" t="inlineStr">
        <is>
          <t>17/03/2026</t>
        </is>
      </c>
      <c r="J5075" t="inlineStr">
        <is>
          <t>Ngân hàng</t>
        </is>
      </c>
      <c r="K5075" t="inlineStr">
        <is>
          <t>3 - 5 Năm</t>
        </is>
      </c>
      <c r="L5075" s="8">
        <f>HYPERLINK("https://careerviet.vn/vi/tim-viec-lam/tt-nhan-su-dao-tao-hoi-so-cvcc-phat-trien-thuong-hieu-tuyen-dung.35C66DEF.html","Xem chi tiết")</f>
        <v/>
      </c>
    </row>
    <row r="5076">
      <c r="B5076" s="9" t="n">
        <v>5074</v>
      </c>
      <c r="C5076" s="10" t="inlineStr">
        <is>
          <t>Trưởng phòng IT 27547 - KCN Đồng Văn 3, Hà Nam</t>
        </is>
      </c>
      <c r="D5076" s="10" t="inlineStr">
        <is>
          <t>Công Ty TNHH Reeracoen Việt Nam</t>
        </is>
      </c>
      <c r="E5076" s="10" t="inlineStr">
        <is>
          <t>Lương:20 Tr - 30 Tr VND</t>
        </is>
      </c>
      <c r="F5076" s="10" t="inlineStr">
        <is>
          <t>Hà Nam</t>
        </is>
      </c>
      <c r="G5076" s="10" t="inlineStr">
        <is>
          <t>29-03-2026</t>
        </is>
      </c>
      <c r="H5076" s="10" t="inlineStr">
        <is>
          <t>29/03/2026</t>
        </is>
      </c>
      <c r="I5076" s="10" t="inlineStr">
        <is>
          <t>17/03/2026</t>
        </is>
      </c>
      <c r="J5076" s="10" t="inlineStr">
        <is>
          <t>CNTT - Phần mềm, CNTT - Phần cứng / Mạng</t>
        </is>
      </c>
      <c r="K5076" s="10" t="inlineStr">
        <is>
          <t>5 - 8 Năm</t>
        </is>
      </c>
      <c r="L5076" s="11">
        <f>HYPERLINK("https://careerviet.vn/vi/tim-viec-lam/truong-phong-it-27547-kcn-dong-van-3-ha-nam.35C66DD3.html","Xem chi tiết")</f>
        <v/>
      </c>
      <c r="M5076" s="10" t="n"/>
    </row>
    <row r="5077">
      <c r="B5077" s="7" t="n">
        <v>5075</v>
      </c>
      <c r="C5077" t="inlineStr">
        <is>
          <t>Trợ Lý Tài Chính (tuyển Nữ)</t>
        </is>
      </c>
      <c r="D5077" t="inlineStr">
        <is>
          <t>Công Ty TNHH LanTro Việt Nam</t>
        </is>
      </c>
      <c r="E5077" t="inlineStr">
        <is>
          <t>Lương:Cạnh tranh</t>
        </is>
      </c>
      <c r="F5077" t="inlineStr">
        <is>
          <t>Hồ Chí Minh</t>
        </is>
      </c>
      <c r="G5077" t="inlineStr">
        <is>
          <t>28-03-2026</t>
        </is>
      </c>
      <c r="H5077" t="inlineStr">
        <is>
          <t>28/03/2026</t>
        </is>
      </c>
      <c r="I5077" t="inlineStr">
        <is>
          <t>17/03/2026</t>
        </is>
      </c>
      <c r="J5077" t="inlineStr">
        <is>
          <t>Kế toán / Kiểm toán</t>
        </is>
      </c>
      <c r="K5077" t="inlineStr">
        <is>
          <t>2 - 3 Năm</t>
        </is>
      </c>
      <c r="L5077" s="8">
        <f>HYPERLINK("https://careerviet.vn/vi/tim-viec-lam/tro-ly-tai-chinh-tuyen-nu.35C66CB7.html","Xem chi tiết")</f>
        <v/>
      </c>
    </row>
    <row r="5078">
      <c r="B5078" s="9" t="n">
        <v>5076</v>
      </c>
      <c r="C5078" s="10" t="inlineStr">
        <is>
          <t>Giám đốc Chi nhánh - Sóc Trăng</t>
        </is>
      </c>
      <c r="D5078" s="10" t="inlineStr">
        <is>
          <t>Ngân hàng TMCP Phát triển TP.HCM (HDBank)</t>
        </is>
      </c>
      <c r="E5078" s="10" t="inlineStr">
        <is>
          <t>Lương:56 Tr - 80 Tr VND</t>
        </is>
      </c>
      <c r="F5078" s="10" t="inlineStr">
        <is>
          <t>Sóc Trăng</t>
        </is>
      </c>
      <c r="G5078" s="10" t="inlineStr">
        <is>
          <t>29-03-2026</t>
        </is>
      </c>
      <c r="H5078" s="10" t="inlineStr">
        <is>
          <t>29/03/2026</t>
        </is>
      </c>
      <c r="I5078" s="10" t="inlineStr">
        <is>
          <t>17/03/2026</t>
        </is>
      </c>
      <c r="J5078" s="10" t="inlineStr">
        <is>
          <t>Ngân hàng</t>
        </is>
      </c>
      <c r="K5078" s="10" t="inlineStr">
        <is>
          <t>5 - 7 Năm</t>
        </is>
      </c>
      <c r="L5078" s="11">
        <f>HYPERLINK("https://careerviet.vn/vi/tim-viec-lam/giam-doc-chi-nhanh-soc-trang.35C66C87.html","Xem chi tiết")</f>
        <v/>
      </c>
      <c r="M5078" s="10" t="n"/>
    </row>
    <row r="5079">
      <c r="B5079" s="7" t="n">
        <v>5077</v>
      </c>
      <c r="C5079" t="inlineStr">
        <is>
          <t>HR Supervisor</t>
        </is>
      </c>
      <c r="D5079" t="inlineStr">
        <is>
          <t>Công ty TNHH Olam Việt Nam</t>
        </is>
      </c>
      <c r="E5079" t="inlineStr">
        <is>
          <t>Lương:Cạnh tranh</t>
        </is>
      </c>
      <c r="F5079" t="inlineStr">
        <is>
          <t>Đồng Nai</t>
        </is>
      </c>
      <c r="G5079" t="inlineStr">
        <is>
          <t>29-03-2026</t>
        </is>
      </c>
      <c r="H5079" t="inlineStr">
        <is>
          <t>29/03/2026</t>
        </is>
      </c>
      <c r="I5079" t="inlineStr">
        <is>
          <t>17/03/2026</t>
        </is>
      </c>
      <c r="J5079" t="inlineStr">
        <is>
          <t>Hành chính / Thư ký, Nhân sự, Sản xuất / Vận hành sản xuất</t>
        </is>
      </c>
      <c r="K5079" t="inlineStr">
        <is>
          <t>3 - 5 Năm</t>
        </is>
      </c>
      <c r="L5079" s="8">
        <f>HYPERLINK("https://careerviet.vn/vi/tim-viec-lam/hr-supervisor.35C66CD0.html","Xem chi tiết")</f>
        <v/>
      </c>
    </row>
    <row r="5080">
      <c r="B5080" s="9" t="n">
        <v>5078</v>
      </c>
      <c r="C5080" s="10" t="inlineStr">
        <is>
          <t>Finalization Staff (Report Checker) - Textile / Garment (Hanoi / HCM)</t>
        </is>
      </c>
      <c r="D5080" s="10" t="inlineStr">
        <is>
          <t>Chi nhánh CÔNG TY TNHH INTERTEK VIỆT NAM</t>
        </is>
      </c>
      <c r="E5080" s="10" t="inlineStr">
        <is>
          <t>Lương:Cạnh tranh</t>
        </is>
      </c>
      <c r="F5080" s="10" t="inlineStr">
        <is>
          <t>Hồ Chí Minh</t>
        </is>
      </c>
      <c r="G5080" s="10" t="inlineStr">
        <is>
          <t>29-03-2026</t>
        </is>
      </c>
      <c r="H5080" s="10" t="inlineStr">
        <is>
          <t>29/03/2026</t>
        </is>
      </c>
      <c r="I5080" s="10" t="inlineStr">
        <is>
          <t>17/03/2026</t>
        </is>
      </c>
      <c r="J5080" s="10" t="inlineStr">
        <is>
          <t>Hóa học, Dệt may / Da giày / Thời trang, Quản lý chất lượng (QA/QC)</t>
        </is>
      </c>
      <c r="K5080" s="10" t="inlineStr">
        <is>
          <t>Trên 2 Năm</t>
        </is>
      </c>
      <c r="L5080" s="11">
        <f>HYPERLINK("https://careerviet.vn/vi/tim-viec-lam/finalization-staff-report-checker-textile-garment-hanoi-hcm.35C66DBD.html","Xem chi tiết")</f>
        <v/>
      </c>
      <c r="M5080" s="10" t="n"/>
    </row>
    <row r="5081">
      <c r="B5081" s="7" t="n">
        <v>5079</v>
      </c>
      <c r="C5081" t="inlineStr">
        <is>
          <t>Kỹ Sư Trưởng Sản Xuất – Ngành Cơ Khí</t>
        </is>
      </c>
      <c r="D5081" t="inlineStr">
        <is>
          <t>Công ty TNHH STVS</t>
        </is>
      </c>
      <c r="E5081" t="inlineStr">
        <is>
          <t>Lương:12 Tr - 20 Tr VND</t>
        </is>
      </c>
      <c r="F5081" t="inlineStr">
        <is>
          <t>Long An</t>
        </is>
      </c>
      <c r="G5081" t="inlineStr">
        <is>
          <t>29-03-2026</t>
        </is>
      </c>
      <c r="H5081" t="inlineStr">
        <is>
          <t>29/03/2026</t>
        </is>
      </c>
      <c r="I5081" t="inlineStr">
        <is>
          <t>17/03/2026</t>
        </is>
      </c>
      <c r="J5081" t="inlineStr">
        <is>
          <t>Cơ khí / Ô tô / Tự động hóa, Sản xuất / Vận hành sản xuất, Điện / Điện tử / Điện lạnh / Điện công nghiệp</t>
        </is>
      </c>
      <c r="K5081" t="inlineStr">
        <is>
          <t>3 - 10 Năm</t>
        </is>
      </c>
      <c r="L5081" s="8">
        <f>HYPERLINK("https://careerviet.vn/vi/tim-viec-lam/ky-su-truong-san-xuat-nganh-co-khi.35C64153.html","Xem chi tiết")</f>
        <v/>
      </c>
    </row>
    <row r="5082">
      <c r="B5082" s="9" t="n">
        <v>5080</v>
      </c>
      <c r="C5082" s="10" t="inlineStr">
        <is>
          <t>Legal Supervisor</t>
        </is>
      </c>
      <c r="D5082" s="10" t="inlineStr">
        <is>
          <t>CÔNG TY CỔ PHẦN PIZZA 4PS</t>
        </is>
      </c>
      <c r="E5082" s="10" t="inlineStr">
        <is>
          <t>Lương:Trên 20 Tr VND</t>
        </is>
      </c>
      <c r="F5082" s="10" t="inlineStr">
        <is>
          <t>Hồ Chí Minh</t>
        </is>
      </c>
      <c r="G5082" s="10" t="inlineStr">
        <is>
          <t>29-03-2026</t>
        </is>
      </c>
      <c r="H5082" s="10" t="inlineStr">
        <is>
          <t>29/03/2026</t>
        </is>
      </c>
      <c r="I5082" s="10" t="inlineStr">
        <is>
          <t>17/03/2026</t>
        </is>
      </c>
      <c r="J5082" s="10" t="inlineStr">
        <is>
          <t>Luật / Pháp lý, Kế toán / Kiểm toán, Tài chính / Đầu tư</t>
        </is>
      </c>
      <c r="K5082" s="10" t="inlineStr">
        <is>
          <t>8 - 10 Năm</t>
        </is>
      </c>
      <c r="L5082" s="11">
        <f>HYPERLINK("https://careerviet.vn/vi/tim-viec-lam/legal-supervisor.35C66DFC.html","Xem chi tiết")</f>
        <v/>
      </c>
      <c r="M5082" s="10" t="n"/>
    </row>
    <row r="5083">
      <c r="B5083" s="7" t="n">
        <v>5081</v>
      </c>
      <c r="C5083" t="inlineStr">
        <is>
          <t>Nhân viên kỹ thuật và bảo trì</t>
        </is>
      </c>
      <c r="D5083" t="inlineStr">
        <is>
          <t>Công ty TNHH Di Đại Hưng</t>
        </is>
      </c>
      <c r="E5083" t="inlineStr">
        <is>
          <t>Lương:10 Tr - 15 Tr VND</t>
        </is>
      </c>
      <c r="F5083" t="inlineStr">
        <is>
          <t>Hồ Chí Minh</t>
        </is>
      </c>
      <c r="G5083" t="inlineStr">
        <is>
          <t>29-03-2026</t>
        </is>
      </c>
      <c r="H5083" t="inlineStr">
        <is>
          <t>29/03/2026</t>
        </is>
      </c>
      <c r="I5083" t="inlineStr">
        <is>
          <t>17/03/2026</t>
        </is>
      </c>
      <c r="J5083" t="inlineStr">
        <is>
          <t>Điện / Điện tử / Điện lạnh / Điện công nghiệp, Bảo trì / Sửa chữa, Sản xuất / Vận hành sản xuất</t>
        </is>
      </c>
      <c r="K5083" t="inlineStr">
        <is>
          <t>2 - 5 Năm</t>
        </is>
      </c>
      <c r="L5083" s="8">
        <f>HYPERLINK("https://careerviet.vn/vi/tim-viec-lam/nhan-vien-ky-thuat-va-bao-tri.35C64126.html","Xem chi tiết")</f>
        <v/>
      </c>
    </row>
    <row r="5084">
      <c r="B5084" s="9" t="n">
        <v>5082</v>
      </c>
      <c r="C5084" s="10" t="inlineStr">
        <is>
          <t>Project Coordinator</t>
        </is>
      </c>
      <c r="D5084" s="10" t="inlineStr">
        <is>
          <t>CÔNG TY TNHH DOYLE PACIFIC VIETNAM</t>
        </is>
      </c>
      <c r="E5084" s="10" t="inlineStr">
        <is>
          <t>Lương:Cạnh tranh</t>
        </is>
      </c>
      <c r="F5084" s="10" t="inlineStr">
        <is>
          <t>Đồng Nai</t>
        </is>
      </c>
      <c r="G5084" s="10" t="inlineStr">
        <is>
          <t>29-03-2026</t>
        </is>
      </c>
      <c r="H5084" s="10" t="inlineStr">
        <is>
          <t>29/03/2026</t>
        </is>
      </c>
      <c r="I5084" s="10" t="inlineStr">
        <is>
          <t>17/03/2026</t>
        </is>
      </c>
      <c r="J5084" s="10" t="inlineStr">
        <is>
          <t>Thu mua / Vật tư</t>
        </is>
      </c>
      <c r="K5084" s="10" t="inlineStr">
        <is>
          <t>2 - 4 Năm</t>
        </is>
      </c>
      <c r="L5084" s="11">
        <f>HYPERLINK("https://careerviet.vn/vi/tim-viec-lam/project-coordinator.35C66E0A.html","Xem chi tiết")</f>
        <v/>
      </c>
      <c r="M5084" s="10" t="n"/>
    </row>
    <row r="5085">
      <c r="B5085" s="7" t="n">
        <v>5083</v>
      </c>
      <c r="C5085" t="inlineStr">
        <is>
          <t>[Hà Nội] Chuyên Viên Quản Trị Kế Hoạch và Hiệu Suất</t>
        </is>
      </c>
      <c r="D5085" t="inlineStr">
        <is>
          <t>Công ty Cổ phần FECON</t>
        </is>
      </c>
      <c r="E5085" t="inlineStr">
        <is>
          <t>Lương:Cạnh tranh</t>
        </is>
      </c>
      <c r="F5085" t="inlineStr">
        <is>
          <t>Hà Nội</t>
        </is>
      </c>
      <c r="G5085" t="inlineStr">
        <is>
          <t>29-03-2026</t>
        </is>
      </c>
      <c r="H5085" t="inlineStr">
        <is>
          <t>29/03/2026</t>
        </is>
      </c>
      <c r="I5085" t="inlineStr">
        <is>
          <t>17/03/2026</t>
        </is>
      </c>
      <c r="J5085" t="inlineStr">
        <is>
          <t>Quản lý điều hành, Thống kê</t>
        </is>
      </c>
      <c r="K5085" t="inlineStr">
        <is>
          <t>3 - 5 Năm</t>
        </is>
      </c>
      <c r="L5085" s="8">
        <f>HYPERLINK("https://careerviet.vn/vi/tim-viec-lam/ha-noi-chuyen-vien-quan-tri-ke-hoach-va-hieu-suat.35C64141.html","Xem chi tiết")</f>
        <v/>
      </c>
    </row>
    <row r="5086">
      <c r="B5086" s="9" t="n">
        <v>5084</v>
      </c>
      <c r="C5086" s="10" t="inlineStr">
        <is>
          <t>Chuyên Viên Thẩm Định Giá - [BAC A  AMC - Thanh Hoá]</t>
        </is>
      </c>
      <c r="D5086" s="10" t="inlineStr">
        <is>
          <t>Ngân Hàng Thương mại cổ phần Bắc Á- BAC A BANK</t>
        </is>
      </c>
      <c r="E5086" s="10" t="inlineStr">
        <is>
          <t>Lương:Cạnh tranh</t>
        </is>
      </c>
      <c r="F5086" s="10" t="inlineStr">
        <is>
          <t>Thanh Hóa</t>
        </is>
      </c>
      <c r="G5086" s="10" t="inlineStr">
        <is>
          <t>29-03-2026</t>
        </is>
      </c>
      <c r="H5086" s="10" t="inlineStr">
        <is>
          <t>29/03/2026</t>
        </is>
      </c>
      <c r="I5086" s="10" t="inlineStr">
        <is>
          <t>17/03/2026</t>
        </is>
      </c>
      <c r="J5086" s="10" t="inlineStr">
        <is>
          <t>Ngân hàng</t>
        </is>
      </c>
      <c r="K5086" s="10" t="inlineStr">
        <is>
          <t>2 - 5 Năm</t>
        </is>
      </c>
      <c r="L5086" s="11">
        <f>HYPERLINK("https://careerviet.vn/vi/tim-viec-lam/chuyen-vien-tham-dinh-gia-bac-a-amc-thanh-hoa.35C641F3.html","Xem chi tiết")</f>
        <v/>
      </c>
      <c r="M5086" s="10" t="n"/>
    </row>
    <row r="5087">
      <c r="B5087" s="7" t="n">
        <v>5085</v>
      </c>
      <c r="C5087" t="inlineStr">
        <is>
          <t>Kỹ Sư Dự Toán Đấu Thầu</t>
        </is>
      </c>
      <c r="D5087" t="inlineStr">
        <is>
          <t>ATAD Steel Structure Corporation</t>
        </is>
      </c>
      <c r="E5087" t="inlineStr">
        <is>
          <t>Lương:Cạnh tranh</t>
        </is>
      </c>
      <c r="F5087" t="inlineStr">
        <is>
          <t>Hồ Chí Minh</t>
        </is>
      </c>
      <c r="G5087" t="inlineStr">
        <is>
          <t>29-03-2026</t>
        </is>
      </c>
      <c r="H5087" t="inlineStr">
        <is>
          <t>29/03/2026</t>
        </is>
      </c>
      <c r="I5087" t="inlineStr">
        <is>
          <t>17/03/2026</t>
        </is>
      </c>
      <c r="J5087" t="inlineStr">
        <is>
          <t>Xây dựng, Kiến trúc, Cơ khí / Ô tô / Tự động hóa</t>
        </is>
      </c>
      <c r="K5087" t="inlineStr">
        <is>
          <t>1 - 2 Năm</t>
        </is>
      </c>
      <c r="L5087" s="8">
        <f>HYPERLINK("https://careerviet.vn/vi/tim-viec-lam/ky-su-du-toan-dau-thau.35C641B0.html","Xem chi tiết")</f>
        <v/>
      </c>
    </row>
    <row r="5088">
      <c r="B5088" s="9" t="n">
        <v>5086</v>
      </c>
      <c r="C5088" s="10" t="inlineStr">
        <is>
          <t>Nhân viên an toàn 27549 - KCN Phú Mỹ 2, Bà Rịa Vũng Tàu</t>
        </is>
      </c>
      <c r="D5088" s="10" t="inlineStr">
        <is>
          <t>Công Ty TNHH Reeracoen Việt Nam</t>
        </is>
      </c>
      <c r="E5088" s="10" t="inlineStr">
        <is>
          <t>Lương:15 Tr - 20 Tr VND</t>
        </is>
      </c>
      <c r="F5088" s="10" t="inlineStr">
        <is>
          <t>Bà Rịa - Vũng Tàu</t>
        </is>
      </c>
      <c r="G5088" s="10" t="inlineStr">
        <is>
          <t>29-03-2026</t>
        </is>
      </c>
      <c r="H5088" s="10" t="inlineStr">
        <is>
          <t>29/03/2026</t>
        </is>
      </c>
      <c r="I5088" s="10" t="inlineStr">
        <is>
          <t>17/03/2026</t>
        </is>
      </c>
      <c r="J5088" s="10" t="inlineStr">
        <is>
          <t>An toàn lao động, Kiến trúc, Xây dựng</t>
        </is>
      </c>
      <c r="K5088" s="10" t="inlineStr">
        <is>
          <t>Trên 4 Năm</t>
        </is>
      </c>
      <c r="L5088" s="11">
        <f>HYPERLINK("https://careerviet.vn/vi/tim-viec-lam/nhan-vien-an-toan-27549-kcn-phu-my-2-ba-ria-vung-tau.35C66DCF.html","Xem chi tiết")</f>
        <v/>
      </c>
      <c r="M5088" s="10" t="n"/>
    </row>
    <row r="5089">
      <c r="B5089" s="7" t="n">
        <v>5087</v>
      </c>
      <c r="C5089" t="inlineStr">
        <is>
          <t>Giám sát kĩ thuật điện lạnh - Hà Nội</t>
        </is>
      </c>
      <c r="D5089" t="inlineStr">
        <is>
          <t>Suntory PepsiCo</t>
        </is>
      </c>
      <c r="E5089" t="inlineStr">
        <is>
          <t>Lương:18 Tr - 25 Tr VND</t>
        </is>
      </c>
      <c r="F5089" t="inlineStr">
        <is>
          <t>Hà Nội</t>
        </is>
      </c>
      <c r="G5089" t="inlineStr">
        <is>
          <t>29-03-2026</t>
        </is>
      </c>
      <c r="H5089" t="inlineStr">
        <is>
          <t>29/03/2026</t>
        </is>
      </c>
      <c r="I5089" t="inlineStr">
        <is>
          <t>17/03/2026</t>
        </is>
      </c>
      <c r="J5089" t="inlineStr">
        <is>
          <t>Điện / Điện tử / Điện lạnh / Điện công nghiệp</t>
        </is>
      </c>
      <c r="K5089" t="inlineStr">
        <is>
          <t>N/A</t>
        </is>
      </c>
      <c r="L5089" s="8">
        <f>HYPERLINK("https://careerviet.vn/vi/tim-viec-lam/giam-sat-ki-thuat-dien-lanh-ha-noi.35C641B2.html","Xem chi tiết")</f>
        <v/>
      </c>
    </row>
    <row r="5090">
      <c r="B5090" s="9" t="n">
        <v>5088</v>
      </c>
      <c r="C5090" s="10" t="inlineStr">
        <is>
          <t>IT Engineer 27545 - VSIP Hải Phòng (có xe đưa đón)</t>
        </is>
      </c>
      <c r="D5090" s="10" t="inlineStr">
        <is>
          <t>Công Ty TNHH Reeracoen Việt Nam</t>
        </is>
      </c>
      <c r="E5090" s="10" t="inlineStr">
        <is>
          <t>Lương:20 Tr - 30 Tr VND</t>
        </is>
      </c>
      <c r="F5090" s="10" t="inlineStr">
        <is>
          <t>Hải Phòng</t>
        </is>
      </c>
      <c r="G5090" s="10" t="inlineStr">
        <is>
          <t>29-03-2026</t>
        </is>
      </c>
      <c r="H5090" s="10" t="inlineStr">
        <is>
          <t>29/03/2026</t>
        </is>
      </c>
      <c r="I5090" s="10" t="inlineStr">
        <is>
          <t>17/03/2026</t>
        </is>
      </c>
      <c r="J5090" s="10" t="inlineStr">
        <is>
          <t>CNTT - Phần mềm, CNTT - Phần cứng / Mạng</t>
        </is>
      </c>
      <c r="K5090" s="10" t="inlineStr">
        <is>
          <t>Trên 5 Năm</t>
        </is>
      </c>
      <c r="L5090" s="11">
        <f>HYPERLINK("https://careerviet.vn/vi/tim-viec-lam/it-engineer-27545-vsip-hai-phong-co-xe-dua-don.35C66DDA.html","Xem chi tiết")</f>
        <v/>
      </c>
      <c r="M5090" s="10" t="n"/>
    </row>
    <row r="5091">
      <c r="B5091" s="7" t="n">
        <v>5089</v>
      </c>
      <c r="C5091" t="inlineStr">
        <is>
          <t>Trưởng Bộ Phận Vật Tư</t>
        </is>
      </c>
      <c r="D5091" t="inlineStr">
        <is>
          <t>BIM Group</t>
        </is>
      </c>
      <c r="E5091" t="inlineStr">
        <is>
          <t>Lương:Cạnh tranh</t>
        </is>
      </c>
      <c r="F5091" t="inlineStr">
        <is>
          <t>Kiên Giang</t>
        </is>
      </c>
      <c r="G5091" t="inlineStr">
        <is>
          <t>29-03-2026</t>
        </is>
      </c>
      <c r="H5091" t="inlineStr">
        <is>
          <t>29/03/2026</t>
        </is>
      </c>
      <c r="I5091" t="inlineStr">
        <is>
          <t>17/03/2026</t>
        </is>
      </c>
      <c r="J5091" t="inlineStr">
        <is>
          <t>Vận chuyển / Giao nhận / Kho vận, Thu mua / Vật tư</t>
        </is>
      </c>
      <c r="K5091" t="inlineStr">
        <is>
          <t>7 - 10 Năm</t>
        </is>
      </c>
      <c r="L5091" s="8">
        <f>HYPERLINK("https://careerviet.vn/vi/tim-viec-lam/truong-bo-phan-vat-tu.35C66C60.html","Xem chi tiết")</f>
        <v/>
      </c>
    </row>
    <row r="5092">
      <c r="B5092" s="9" t="n">
        <v>5090</v>
      </c>
      <c r="C5092" s="10" t="inlineStr">
        <is>
          <t>KỸ SƯ THIẾT KẾ CẦU ĐƯỜNG</t>
        </is>
      </c>
      <c r="D5092" s="10" t="inlineStr">
        <is>
          <t>PRECIOUS PRESTIGE TRADING AND LOGISTICS</t>
        </is>
      </c>
      <c r="E5092" s="10" t="inlineStr">
        <is>
          <t>Lương:Cạnh tranh</t>
        </is>
      </c>
      <c r="F5092" s="10" t="inlineStr">
        <is>
          <t>Hồ Chí Minh</t>
        </is>
      </c>
      <c r="G5092" s="10" t="inlineStr">
        <is>
          <t>29-03-2026</t>
        </is>
      </c>
      <c r="H5092" s="10" t="inlineStr">
        <is>
          <t>29/03/2026</t>
        </is>
      </c>
      <c r="I5092" s="10" t="inlineStr">
        <is>
          <t>17/03/2026</t>
        </is>
      </c>
      <c r="J5092" s="10" t="inlineStr">
        <is>
          <t>Trắc địa / Địa Chất, Xây dựng, Mỹ thuật / Nghệ thuật / Thiết kế</t>
        </is>
      </c>
      <c r="K5092" s="10" t="inlineStr">
        <is>
          <t>Trên 1 Năm</t>
        </is>
      </c>
      <c r="L5092" s="11">
        <f>HYPERLINK("https://careerviet.vn/vi/tim-viec-lam/ky-su-thiet-ke-cau-duong.35C66DB1.html","Xem chi tiết")</f>
        <v/>
      </c>
      <c r="M5092" s="10" t="n"/>
    </row>
    <row r="5093">
      <c r="B5093" s="7" t="n">
        <v>5091</v>
      </c>
      <c r="C5093" t="inlineStr">
        <is>
          <t>Sales Manager (Logistics) 27537 - Tân Bình, HCM</t>
        </is>
      </c>
      <c r="D5093" t="inlineStr">
        <is>
          <t>Công Ty TNHH Reeracoen Việt Nam</t>
        </is>
      </c>
      <c r="E5093" t="inlineStr">
        <is>
          <t>Lương:35 Tr - 45 Tr VND</t>
        </is>
      </c>
      <c r="F5093" t="inlineStr">
        <is>
          <t>Hồ Chí Minh</t>
        </is>
      </c>
      <c r="G5093" t="inlineStr">
        <is>
          <t>29-03-2026</t>
        </is>
      </c>
      <c r="H5093" t="inlineStr">
        <is>
          <t>29/03/2026</t>
        </is>
      </c>
      <c r="I5093" t="inlineStr">
        <is>
          <t>17/03/2026</t>
        </is>
      </c>
      <c r="J5093" t="inlineStr">
        <is>
          <t>Bán hàng / Kinh doanh, Bán Hàng Kỹ Thuật, Vận chuyển / Giao nhận / Kho vận</t>
        </is>
      </c>
      <c r="K5093" t="inlineStr">
        <is>
          <t>3 - 5 Năm</t>
        </is>
      </c>
      <c r="L5093" s="8">
        <f>HYPERLINK("https://careerviet.vn/vi/tim-viec-lam/sales-manager-logistics-27537-tan-binh-hcm.35C66DDF.html","Xem chi tiết")</f>
        <v/>
      </c>
    </row>
    <row r="5094">
      <c r="B5094" s="9" t="n">
        <v>5092</v>
      </c>
      <c r="C5094" s="10" t="inlineStr">
        <is>
          <t>Machine Learning Engineer</t>
        </is>
      </c>
      <c r="D5094" s="10" t="inlineStr">
        <is>
          <t>Công ty TNHH Greystone Data Systems Việt Nam</t>
        </is>
      </c>
      <c r="E5094" s="10" t="inlineStr">
        <is>
          <t>Lương:12 Tr - 25 Tr VND</t>
        </is>
      </c>
      <c r="F5094" s="10" t="inlineStr">
        <is>
          <t>Hồ Chí Minh</t>
        </is>
      </c>
      <c r="G5094" s="10" t="inlineStr">
        <is>
          <t>29-03-2026</t>
        </is>
      </c>
      <c r="H5094" s="10" t="inlineStr">
        <is>
          <t>29/03/2026</t>
        </is>
      </c>
      <c r="I5094" s="10" t="inlineStr">
        <is>
          <t>17/03/2026</t>
        </is>
      </c>
      <c r="J5094" s="10" t="inlineStr">
        <is>
          <t>Điện / Điện tử / Điện lạnh / Điện công nghiệp, CNTT - Phần mềm, Cơ khí / Ô tô / Tự động hóa</t>
        </is>
      </c>
      <c r="K5094" s="10" t="inlineStr">
        <is>
          <t>1 - 2 Năm</t>
        </is>
      </c>
      <c r="L5094" s="11">
        <f>HYPERLINK("https://careerviet.vn/vi/tim-viec-lam/machine-learning-engineer.35C66C9A.html","Xem chi tiết")</f>
        <v/>
      </c>
      <c r="M5094" s="10" t="n"/>
    </row>
    <row r="5095">
      <c r="B5095" s="7" t="n">
        <v>5093</v>
      </c>
      <c r="C5095" t="inlineStr">
        <is>
          <t>Chuyên viên Giải quyết bồi thường con người</t>
        </is>
      </c>
      <c r="D5095" t="inlineStr">
        <is>
          <t>Tổng Công ty Cổ phần Bảo hiểm Ngân hàng Đầu tư và Phát triển Việt Nam (BIC)</t>
        </is>
      </c>
      <c r="E5095" t="inlineStr">
        <is>
          <t>Lương:Cạnh tranh</t>
        </is>
      </c>
      <c r="F5095" t="inlineStr">
        <is>
          <t>Hà Nội</t>
        </is>
      </c>
      <c r="G5095" t="inlineStr">
        <is>
          <t>29-03-2026</t>
        </is>
      </c>
      <c r="H5095" t="inlineStr">
        <is>
          <t>29/03/2026</t>
        </is>
      </c>
      <c r="I5095" t="inlineStr">
        <is>
          <t>17/03/2026</t>
        </is>
      </c>
      <c r="J5095" t="inlineStr">
        <is>
          <t>Bảo hiểm, Y tế / Chăm sóc sức khỏe / Thẩm mỹ / Làm đẹp</t>
        </is>
      </c>
      <c r="K5095" t="inlineStr">
        <is>
          <t>1 - 3 Năm</t>
        </is>
      </c>
      <c r="L5095" s="8">
        <f>HYPERLINK("https://careerviet.vn/vi/tim-viec-lam/chuyen-vien-giai-quyet-boi-thuong-con-nguoi.35C64131.html","Xem chi tiết")</f>
        <v/>
      </c>
    </row>
    <row r="5096">
      <c r="B5096" s="9" t="n">
        <v>5094</v>
      </c>
      <c r="C5096" s="10" t="inlineStr">
        <is>
          <t>Trình Dược Viên/ Med-Rep/FFR</t>
        </is>
      </c>
      <c r="D5096" s="10" t="inlineStr">
        <is>
          <t>CÔNG TY TNHH DƯỢC PHẨM VÀ TRANG THIẾT BỊ Y TẾ HD</t>
        </is>
      </c>
      <c r="E5096" s="10" t="inlineStr">
        <is>
          <t>Lương:Cạnh tranh</t>
        </is>
      </c>
      <c r="F5096" s="10" t="inlineStr">
        <is>
          <t>Hải PhòngGia LaiQuảng Ngãi</t>
        </is>
      </c>
      <c r="G5096" s="10" t="inlineStr">
        <is>
          <t>29-03-2026</t>
        </is>
      </c>
      <c r="H5096" s="10" t="inlineStr">
        <is>
          <t>29/03/2026</t>
        </is>
      </c>
      <c r="I5096" s="10" t="inlineStr">
        <is>
          <t>17/03/2026</t>
        </is>
      </c>
      <c r="J5096" s="10" t="inlineStr">
        <is>
          <t>Bán hàng / Kinh doanh, Dược phẩm/ Hóa Mỹ Phẩm, Y tế / Chăm sóc sức khỏe / Thẩm mỹ / Làm đẹp</t>
        </is>
      </c>
      <c r="K5096" s="10" t="inlineStr">
        <is>
          <t>Trên 1 Năm</t>
        </is>
      </c>
      <c r="L5096" s="11">
        <f>HYPERLINK("https://careerviet.vn/vi/tim-viec-lam/trinh-duoc-vien-med-rep-ffr.35C640BE.html","Xem chi tiết")</f>
        <v/>
      </c>
      <c r="M5096" s="10" t="n"/>
    </row>
    <row r="5097">
      <c r="B5097" s="7" t="n">
        <v>5095</v>
      </c>
      <c r="C5097" t="inlineStr">
        <is>
          <t>[Hưng Yên] - Trưởng phòng Khách hàng doanh nghiệp</t>
        </is>
      </c>
      <c r="D5097" t="inlineStr">
        <is>
          <t>Ngân hàng TMCP Lộc Phát Việt Nam (LPBank)</t>
        </is>
      </c>
      <c r="E5097" t="inlineStr">
        <is>
          <t>Lương:Cạnh tranh</t>
        </is>
      </c>
      <c r="F5097" t="inlineStr">
        <is>
          <t>Hưng Yên</t>
        </is>
      </c>
      <c r="G5097" t="inlineStr">
        <is>
          <t>29-03-2026</t>
        </is>
      </c>
      <c r="H5097" t="inlineStr">
        <is>
          <t>29/03/2026</t>
        </is>
      </c>
      <c r="I5097" t="inlineStr">
        <is>
          <t>17/03/2026</t>
        </is>
      </c>
      <c r="J5097" t="inlineStr">
        <is>
          <t>Bất động sản, Bảo hiểm, Dịch vụ khách hàng</t>
        </is>
      </c>
      <c r="K5097" t="inlineStr">
        <is>
          <t>Trên 4 Năm</t>
        </is>
      </c>
      <c r="L5097" s="8">
        <f>HYPERLINK("https://careerviet.vn/vi/tim-viec-lam/hung-yen-truong-phong-khach-hang-doanh-nghiep.35C6411A.html","Xem chi tiết")</f>
        <v/>
      </c>
    </row>
    <row r="5098">
      <c r="B5098" s="9" t="n">
        <v>5096</v>
      </c>
      <c r="C5098" s="10" t="inlineStr">
        <is>
          <t>Chỉ Huy Trưởng MEP (Site Manager)</t>
        </is>
      </c>
      <c r="D5098" s="10" t="inlineStr">
        <is>
          <t>Công ty Cổ Phần Công Nghệ Cơ Điện Reecons</t>
        </is>
      </c>
      <c r="E5098" s="10" t="inlineStr">
        <is>
          <t>Lương:Cạnh tranh</t>
        </is>
      </c>
      <c r="F5098" s="10" t="inlineStr">
        <is>
          <t>Hồ Chí MinhLâm Đồng</t>
        </is>
      </c>
      <c r="G5098" s="10" t="inlineStr">
        <is>
          <t>28-03-2026</t>
        </is>
      </c>
      <c r="H5098" s="10" t="inlineStr">
        <is>
          <t>28/03/2026</t>
        </is>
      </c>
      <c r="I5098" s="10" t="inlineStr">
        <is>
          <t>17/03/2026</t>
        </is>
      </c>
      <c r="J5098" s="10" t="inlineStr">
        <is>
          <t>Quản lý điều hành, Điện / Điện tử / Điện lạnh / Điện công nghiệp, Xây dựng</t>
        </is>
      </c>
      <c r="K5098" s="10" t="inlineStr">
        <is>
          <t>Trên 5 Năm</t>
        </is>
      </c>
      <c r="L5098" s="11">
        <f>HYPERLINK("https://careerviet.vn/vi/tim-viec-lam/chi-huy-truong-mep-site-manager.35C66AE8.html","Xem chi tiết")</f>
        <v/>
      </c>
      <c r="M5098" s="10" t="n"/>
    </row>
    <row r="5099">
      <c r="B5099" s="7" t="n">
        <v>5097</v>
      </c>
      <c r="C5099" t="inlineStr">
        <is>
          <t>Activation Trade Executive (Temp Contract)</t>
        </is>
      </c>
      <c r="D5099" t="inlineStr">
        <is>
          <t>Saint-Gobain Vietnam</t>
        </is>
      </c>
      <c r="E5099" t="inlineStr">
        <is>
          <t>Lương:Cạnh tranh</t>
        </is>
      </c>
      <c r="F5099" t="inlineStr">
        <is>
          <t>Hồ Chí Minh</t>
        </is>
      </c>
      <c r="G5099" t="inlineStr">
        <is>
          <t>29-03-2026</t>
        </is>
      </c>
      <c r="H5099" t="inlineStr">
        <is>
          <t>29/03/2026</t>
        </is>
      </c>
      <c r="I5099" t="inlineStr">
        <is>
          <t>17/03/2026</t>
        </is>
      </c>
      <c r="J5099" t="inlineStr">
        <is>
          <t>Tiếp thị / Marketing, Bán lẻ / Bán sỉ, Bán hàng / Kinh doanh</t>
        </is>
      </c>
      <c r="K5099" t="inlineStr">
        <is>
          <t>1 - 2 Năm</t>
        </is>
      </c>
      <c r="L5099" s="8">
        <f>HYPERLINK("https://careerviet.vn/vi/tim-viec-lam/activation-trade-executive-temp-contract.35C66CE3.html","Xem chi tiết")</f>
        <v/>
      </c>
    </row>
    <row r="5100">
      <c r="B5100" s="9" t="n">
        <v>5098</v>
      </c>
      <c r="C5100" s="10" t="inlineStr">
        <is>
          <t>Quản Lý Đơn Hàng Xuất Nhập Khẩu</t>
        </is>
      </c>
      <c r="D5100" s="10" t="inlineStr">
        <is>
          <t>Partners Plus Co., LTD</t>
        </is>
      </c>
      <c r="E5100" s="10" t="inlineStr">
        <is>
          <t>Lương:15 Tr - 25 Tr VND</t>
        </is>
      </c>
      <c r="F5100" s="10" t="inlineStr">
        <is>
          <t>Hồ Chí Minh</t>
        </is>
      </c>
      <c r="G5100" s="10" t="inlineStr">
        <is>
          <t>31-03-2026</t>
        </is>
      </c>
      <c r="H5100" s="10" t="inlineStr">
        <is>
          <t>31/03/2026</t>
        </is>
      </c>
      <c r="I5100" s="10" t="inlineStr">
        <is>
          <t>17/03/2026</t>
        </is>
      </c>
      <c r="J5100" s="10" t="inlineStr">
        <is>
          <t>Dịch vụ khách hàng, Quản lý điều hành, Xuất nhập khẩu</t>
        </is>
      </c>
      <c r="K5100" s="10" t="inlineStr">
        <is>
          <t>2 - 5 Năm</t>
        </is>
      </c>
      <c r="L5100" s="11">
        <f>HYPERLINK("https://careerviet.vn/vi/tim-viec-lam/quan-ly-don-hang-xuat-nhap-khau.35C6A0E6.html","Xem chi tiết")</f>
        <v/>
      </c>
      <c r="M5100" s="10" t="n"/>
    </row>
    <row r="5101">
      <c r="B5101" s="7" t="n">
        <v>5099</v>
      </c>
      <c r="C5101" t="inlineStr">
        <is>
          <t>Nhân Viên Kinh Doanh Thiết Bị PCCC</t>
        </is>
      </c>
      <c r="D5101" t="inlineStr">
        <is>
          <t>Công Ty Cổ Phần Cơ Bản Toàn Cầu</t>
        </is>
      </c>
      <c r="E5101" t="inlineStr">
        <is>
          <t>Lương:12 Tr - 35 Tr VND</t>
        </is>
      </c>
      <c r="F5101" t="inlineStr">
        <is>
          <t>Hồ Chí Minh</t>
        </is>
      </c>
      <c r="G5101" t="inlineStr">
        <is>
          <t>29-03-2026</t>
        </is>
      </c>
      <c r="H5101" t="inlineStr">
        <is>
          <t>29/03/2026</t>
        </is>
      </c>
      <c r="I5101" t="inlineStr">
        <is>
          <t>17/03/2026</t>
        </is>
      </c>
      <c r="J5101" t="inlineStr">
        <is>
          <t>Bán hàng / Kinh doanh, Bán Hàng Kỹ Thuật, Tư vấn</t>
        </is>
      </c>
      <c r="K5101" t="inlineStr">
        <is>
          <t>Lên đến 2 Năm</t>
        </is>
      </c>
      <c r="L5101" s="8">
        <f>HYPERLINK("https://careerviet.vn/vi/tim-viec-lam/nhan-vien-kinh-doanh-thiet-bi-pccc.35C66DFB.html","Xem chi tiết")</f>
        <v/>
      </c>
    </row>
    <row r="5102">
      <c r="B5102" s="9" t="n">
        <v>5100</v>
      </c>
      <c r="C5102" s="10" t="inlineStr">
        <is>
          <t>Chuyên Viên Cao Cấp - Chuyên Viên Chính Tuyển Dụng - Trụ Sở Chính</t>
        </is>
      </c>
      <c r="D5102" s="10" t="inlineStr">
        <is>
          <t>Ngân Hàng Thương Mại Cổ Phần Bảo Việt</t>
        </is>
      </c>
      <c r="E5102" s="10" t="inlineStr">
        <is>
          <t>Lương:Cạnh tranh</t>
        </is>
      </c>
      <c r="F5102" s="10" t="inlineStr">
        <is>
          <t>Hà Nội</t>
        </is>
      </c>
      <c r="G5102" s="10" t="inlineStr">
        <is>
          <t>28-03-2026</t>
        </is>
      </c>
      <c r="H5102" s="10" t="inlineStr">
        <is>
          <t>28/03/2026</t>
        </is>
      </c>
      <c r="I5102" s="10" t="inlineStr">
        <is>
          <t>17/03/2026</t>
        </is>
      </c>
      <c r="J5102" s="10" t="inlineStr">
        <is>
          <t>Hành chính / Thư ký, Ngân hàng, Nhân sự</t>
        </is>
      </c>
      <c r="K5102" s="10" t="inlineStr">
        <is>
          <t>N/A</t>
        </is>
      </c>
      <c r="L5102" s="11">
        <f>HYPERLINK("https://careerviet.vn/vi/tim-viec-lam/chuyen-vien-cao-cap-chuyen-vien-chinh-tuyen-dung-tru-so-chinh.35C66B09.html","Xem chi tiết")</f>
        <v/>
      </c>
      <c r="M5102" s="10" t="n"/>
    </row>
    <row r="5103">
      <c r="B5103" s="7" t="n">
        <v>5101</v>
      </c>
      <c r="C5103" t="inlineStr">
        <is>
          <t>PĐG - Chuyên viên ISO</t>
        </is>
      </c>
      <c r="D5103" t="inlineStr">
        <is>
          <t>Phu Dong Group</t>
        </is>
      </c>
      <c r="E5103" t="inlineStr">
        <is>
          <t>Lương:14 Tr - 20 Tr VND</t>
        </is>
      </c>
      <c r="F5103" t="inlineStr">
        <is>
          <t>Hồ Chí Minh</t>
        </is>
      </c>
      <c r="G5103" t="inlineStr">
        <is>
          <t>28-03-2026</t>
        </is>
      </c>
      <c r="H5103" t="inlineStr">
        <is>
          <t>28/03/2026</t>
        </is>
      </c>
      <c r="I5103" t="inlineStr">
        <is>
          <t>17/03/2026</t>
        </is>
      </c>
      <c r="J5103" t="inlineStr">
        <is>
          <t>Xây dựng, Bất động sản, Quản lý chất lượng (QA/QC)</t>
        </is>
      </c>
      <c r="K5103" t="inlineStr">
        <is>
          <t>3 - 6 Năm</t>
        </is>
      </c>
      <c r="L5103" s="8">
        <f>HYPERLINK("https://careerviet.vn/vi/tim-viec-lam/pdg-chuyen-vien-iso.35C66B36.html","Xem chi tiết")</f>
        <v/>
      </c>
    </row>
    <row r="5104">
      <c r="B5104" s="9" t="n">
        <v>5102</v>
      </c>
      <c r="C5104" s="10" t="inlineStr">
        <is>
          <t>HR Business Partner (HRBP) Chinese communication</t>
        </is>
      </c>
      <c r="D5104" s="10" t="inlineStr">
        <is>
          <t>CÔNG TY TNHH CHUỖI THƯƠNG MẠI BUSY MING VIỆT NAM</t>
        </is>
      </c>
      <c r="E5104" s="10" t="inlineStr">
        <is>
          <t>Lương:Cạnh tranh</t>
        </is>
      </c>
      <c r="F5104" s="10" t="inlineStr">
        <is>
          <t>Hồ Chí Minh</t>
        </is>
      </c>
      <c r="G5104" s="10" t="inlineStr">
        <is>
          <t>30-03-2026</t>
        </is>
      </c>
      <c r="H5104" s="10" t="inlineStr">
        <is>
          <t>30/03/2026</t>
        </is>
      </c>
      <c r="I5104" s="10" t="inlineStr">
        <is>
          <t>17/03/2026</t>
        </is>
      </c>
      <c r="J5104" s="10" t="inlineStr">
        <is>
          <t>Nhân sự, Bán lẻ / Bán sỉ, Thực phẩm &amp; Đồ uống</t>
        </is>
      </c>
      <c r="K5104" s="10" t="inlineStr">
        <is>
          <t>2 - 3 Năm</t>
        </is>
      </c>
      <c r="L5104" s="11">
        <f>HYPERLINK("https://careerviet.vn/vi/tim-viec-lam/hr-business-partner-hrbp-chinese-communication.35C6A0D9.html","Xem chi tiết")</f>
        <v/>
      </c>
      <c r="M5104" s="10" t="n"/>
    </row>
    <row r="5105">
      <c r="B5105" s="7" t="n">
        <v>5103</v>
      </c>
      <c r="C5105" t="inlineStr">
        <is>
          <t>Marketing Manager ( Lương 35 -45 triệu)</t>
        </is>
      </c>
      <c r="D5105" t="inlineStr">
        <is>
          <t>CÔNG TY CỔ PHẦN ULTD THỊNH PHÁT</t>
        </is>
      </c>
      <c r="E5105" t="inlineStr">
        <is>
          <t>Lương:35 Tr - 45 Tr VND</t>
        </is>
      </c>
      <c r="F5105" t="inlineStr">
        <is>
          <t>Hà Nội</t>
        </is>
      </c>
      <c r="G5105" t="inlineStr">
        <is>
          <t>31-03-2026</t>
        </is>
      </c>
      <c r="H5105" t="inlineStr">
        <is>
          <t>31/03/2026</t>
        </is>
      </c>
      <c r="I5105" t="inlineStr">
        <is>
          <t>17/03/2026</t>
        </is>
      </c>
      <c r="J5105" t="inlineStr">
        <is>
          <t>Tiếp thị / Marketing, Dệt may / Da giày / Thời trang, Bán lẻ / Bán sỉ</t>
        </is>
      </c>
      <c r="K5105" t="inlineStr">
        <is>
          <t>2 - 3 Năm</t>
        </is>
      </c>
      <c r="L5105" s="8">
        <f>HYPERLINK("https://careerviet.vn/vi/tim-viec-lam/marketing-manager-luong-35-45-trieu.35C69D09.html","Xem chi tiết")</f>
        <v/>
      </c>
    </row>
    <row r="5106">
      <c r="B5106" s="9" t="n">
        <v>5104</v>
      </c>
      <c r="C5106" s="10" t="inlineStr">
        <is>
          <t>Production Document Staff - Nhân viên Quản lý Hồ sơ Sản xuất</t>
        </is>
      </c>
      <c r="D5106" s="10" t="inlineStr">
        <is>
          <t>Abbott</t>
        </is>
      </c>
      <c r="E5106" s="10" t="inlineStr">
        <is>
          <t>Lương:Cạnh tranh</t>
        </is>
      </c>
      <c r="F5106" s="10" t="inlineStr">
        <is>
          <t>Bình Dương</t>
        </is>
      </c>
      <c r="G5106" s="10" t="inlineStr">
        <is>
          <t>31-03-2026</t>
        </is>
      </c>
      <c r="H5106" s="10" t="inlineStr">
        <is>
          <t>31/03/2026</t>
        </is>
      </c>
      <c r="I5106" s="10" t="inlineStr">
        <is>
          <t>17/03/2026</t>
        </is>
      </c>
      <c r="J5106" s="10" t="inlineStr">
        <is>
          <t>Dược phẩm/ Hóa Mỹ Phẩm, Hành chính / Thư ký</t>
        </is>
      </c>
      <c r="K5106" s="10" t="inlineStr">
        <is>
          <t>Trên 2 Năm</t>
        </is>
      </c>
      <c r="L5106" s="11">
        <f>HYPERLINK("https://careerviet.vn/vi/tim-viec-lam/production-document-staff-nhan-vien-quan-ly-ho-so-san-xuat.35C69CEC.html","Xem chi tiết")</f>
        <v/>
      </c>
      <c r="M5106" s="10" t="n"/>
    </row>
    <row r="5107">
      <c r="B5107" s="7" t="n">
        <v>5105</v>
      </c>
      <c r="C5107" t="inlineStr">
        <is>
          <t>Content Marketing ( Thu nhập 9-14 triệu)</t>
        </is>
      </c>
      <c r="D5107" t="inlineStr">
        <is>
          <t>CÔNG TY CỔ PHẦN ULTD THỊNH PHÁT</t>
        </is>
      </c>
      <c r="E5107" t="inlineStr">
        <is>
          <t>Lương:9 Tr - 14 Tr VND</t>
        </is>
      </c>
      <c r="F5107" t="inlineStr">
        <is>
          <t>Hà Nội</t>
        </is>
      </c>
      <c r="G5107" t="inlineStr">
        <is>
          <t>31-03-2026</t>
        </is>
      </c>
      <c r="H5107" t="inlineStr">
        <is>
          <t>31/03/2026</t>
        </is>
      </c>
      <c r="I5107" t="inlineStr">
        <is>
          <t>17/03/2026</t>
        </is>
      </c>
      <c r="J5107" t="inlineStr">
        <is>
          <t>Tiếp thị / Marketing, Quảng cáo / Đối ngoại / Truyền Thông, Dệt may / Da giày / Thời trang</t>
        </is>
      </c>
      <c r="K5107" t="inlineStr">
        <is>
          <t>1 - 2 Năm</t>
        </is>
      </c>
      <c r="L5107" s="8">
        <f>HYPERLINK("https://careerviet.vn/vi/tim-viec-lam/content-marketing-thu-nhap-9-14-trieu.35C69D02.html","Xem chi tiết")</f>
        <v/>
      </c>
    </row>
    <row r="5108">
      <c r="B5108" s="9" t="n">
        <v>5106</v>
      </c>
      <c r="C5108" s="10" t="inlineStr">
        <is>
          <t>Chuyên viên Pháp lý doanh nghiệp</t>
        </is>
      </c>
      <c r="D5108" s="10" t="inlineStr">
        <is>
          <t>PVInvest - Công Ty Cổ Phần Đầu Tư và Kinh doanh Bất Động Sản Phương Việt</t>
        </is>
      </c>
      <c r="E5108" s="10" t="inlineStr">
        <is>
          <t>Lương:Cạnh tranh</t>
        </is>
      </c>
      <c r="F5108" s="10" t="inlineStr">
        <is>
          <t>Hồ Chí Minh</t>
        </is>
      </c>
      <c r="G5108" s="10" t="inlineStr">
        <is>
          <t>31-03-2026</t>
        </is>
      </c>
      <c r="H5108" s="10" t="inlineStr">
        <is>
          <t>31/03/2026</t>
        </is>
      </c>
      <c r="I5108" s="10" t="inlineStr">
        <is>
          <t>17/03/2026</t>
        </is>
      </c>
      <c r="J5108" s="10" t="inlineStr">
        <is>
          <t>Luật / Pháp lý, Bất động sản, Tài chính / Đầu tư</t>
        </is>
      </c>
      <c r="K5108" s="10" t="inlineStr">
        <is>
          <t>5 - 8 Năm</t>
        </is>
      </c>
      <c r="L5108" s="11">
        <f>HYPERLINK("https://careerviet.vn/vi/tim-viec-lam/chuyen-vien-phap-ly-doanh-nghiep.35C6A0BB.html","Xem chi tiết")</f>
        <v/>
      </c>
      <c r="M5108" s="10" t="n"/>
    </row>
    <row r="5109">
      <c r="B5109" s="7" t="n">
        <v>5107</v>
      </c>
      <c r="C5109" t="inlineStr">
        <is>
          <t>GGEC KỸ SƯ SMT (PE, ME) NHẬN VIỆC NGAY</t>
        </is>
      </c>
      <c r="D5109" t="inlineStr">
        <is>
          <t>CÔNG TY TNHH ĐIỆN KHÍ QUỐC QUANG (VIỆT NAM)</t>
        </is>
      </c>
      <c r="E5109" t="inlineStr">
        <is>
          <t>Lương:Cạnh tranh</t>
        </is>
      </c>
      <c r="F5109" t="inlineStr">
        <is>
          <t>Quảng NamĐà Nẵng</t>
        </is>
      </c>
      <c r="G5109" t="inlineStr">
        <is>
          <t>28-03-2026</t>
        </is>
      </c>
      <c r="H5109" t="inlineStr">
        <is>
          <t>28/03/2026</t>
        </is>
      </c>
      <c r="I5109" t="inlineStr">
        <is>
          <t>17/03/2026</t>
        </is>
      </c>
      <c r="J5109" t="inlineStr">
        <is>
          <t>Sản xuất / Vận hành sản xuất</t>
        </is>
      </c>
      <c r="K5109" t="inlineStr">
        <is>
          <t>1 - 3 Năm</t>
        </is>
      </c>
      <c r="L5109" s="8">
        <f>HYPERLINK("https://careerviet.vn/vi/tim-viec-lam/ggec-ky-su-smt-pe-me-nhan-viec-ngay.35C66A7C.html","Xem chi tiết")</f>
        <v/>
      </c>
    </row>
    <row r="5110">
      <c r="B5110" s="9" t="n">
        <v>5108</v>
      </c>
      <c r="C5110" s="10" t="inlineStr">
        <is>
          <t>Sales Admin</t>
        </is>
      </c>
      <c r="D5110" s="10" t="inlineStr">
        <is>
          <t>Hồng Nga SG - Công ty TNHH Thương Mại Hồng Nga Sài Gòn</t>
        </is>
      </c>
      <c r="E5110" s="10" t="inlineStr">
        <is>
          <t>Lương:Trên 10 Tr VND</t>
        </is>
      </c>
      <c r="F5110" s="10" t="inlineStr">
        <is>
          <t>Hồ Chí Minh</t>
        </is>
      </c>
      <c r="G5110" s="10" t="inlineStr">
        <is>
          <t>26-03-2026</t>
        </is>
      </c>
      <c r="H5110" s="10" t="inlineStr">
        <is>
          <t>26/03/2026</t>
        </is>
      </c>
      <c r="I5110" s="10" t="inlineStr">
        <is>
          <t>17/03/2026</t>
        </is>
      </c>
      <c r="J5110" s="10" t="inlineStr">
        <is>
          <t>Xuất nhập khẩu, Quản lý điều hành, Vận chuyển / Giao nhận / Kho vận</t>
        </is>
      </c>
      <c r="K5110" s="10" t="inlineStr">
        <is>
          <t>Trên 2 Năm</t>
        </is>
      </c>
      <c r="L5110" s="11">
        <f>HYPERLINK("https://careerviet.vn/vi/tim-viec-lam/sales-admin.35C699E0.html","Xem chi tiết")</f>
        <v/>
      </c>
      <c r="M5110" s="10" t="n"/>
    </row>
    <row r="5111">
      <c r="B5111" s="7" t="n">
        <v>5109</v>
      </c>
      <c r="C5111" t="inlineStr">
        <is>
          <t>Nhân Viên Nhân Sự (Tuyển Dụng &amp; C&amp;B)</t>
        </is>
      </c>
      <c r="D5111" t="inlineStr">
        <is>
          <t>CÔNG TY TNHH MTV BCA - THĂNG LONG</t>
        </is>
      </c>
      <c r="E5111" t="inlineStr">
        <is>
          <t>Lương:10 Tr - 17 Tr VND</t>
        </is>
      </c>
      <c r="F5111" t="inlineStr">
        <is>
          <t>Hồ Chí Minh</t>
        </is>
      </c>
      <c r="G5111" t="inlineStr">
        <is>
          <t>25-03-2026</t>
        </is>
      </c>
      <c r="H5111" t="inlineStr">
        <is>
          <t>25/03/2026</t>
        </is>
      </c>
      <c r="I5111" t="inlineStr">
        <is>
          <t>17/03/2026</t>
        </is>
      </c>
      <c r="J5111" t="inlineStr">
        <is>
          <t>Nhân sự, Hành chính / Thư ký, Quản lý điều hành</t>
        </is>
      </c>
      <c r="K5111" t="inlineStr">
        <is>
          <t>Trên 3 Năm</t>
        </is>
      </c>
      <c r="L5111" s="8">
        <f>HYPERLINK("https://careerviet.vn/vi/tim-viec-lam/nhan-vien-nhan-su-tuyen-dung-c-b.35C69CE6.html","Xem chi tiết")</f>
        <v/>
      </c>
    </row>
    <row r="5112">
      <c r="B5112" s="9" t="n">
        <v>5110</v>
      </c>
      <c r="C5112" s="10" t="inlineStr">
        <is>
          <t>Digital Marketing Executive</t>
        </is>
      </c>
      <c r="D5112" s="10" t="inlineStr">
        <is>
          <t>CÔNG TY TNHH CHUỖI THƯƠNG MẠI BUSY MING VIỆT NAM</t>
        </is>
      </c>
      <c r="E5112" s="10" t="inlineStr">
        <is>
          <t>Lương:10 Tr - 15 Tr VND</t>
        </is>
      </c>
      <c r="F5112" s="10" t="inlineStr">
        <is>
          <t>Hồ Chí Minh</t>
        </is>
      </c>
      <c r="G5112" s="10" t="inlineStr">
        <is>
          <t>31-03-2026</t>
        </is>
      </c>
      <c r="H5112" s="10" t="inlineStr">
        <is>
          <t>31/03/2026</t>
        </is>
      </c>
      <c r="I5112" s="10" t="inlineStr">
        <is>
          <t>17/03/2026</t>
        </is>
      </c>
      <c r="J5112" s="10" t="inlineStr">
        <is>
          <t>Tiếp thị / Marketing</t>
        </is>
      </c>
      <c r="K5112" s="10" t="inlineStr">
        <is>
          <t>2 - 3 Năm</t>
        </is>
      </c>
      <c r="L5112" s="11">
        <f>HYPERLINK("https://careerviet.vn/vi/tim-viec-lam/digital-marketing-executive.35C69A63.html","Xem chi tiết")</f>
        <v/>
      </c>
      <c r="M5112" s="10" t="n"/>
    </row>
    <row r="5113">
      <c r="B5113" s="7" t="n">
        <v>5111</v>
      </c>
      <c r="C5113" t="inlineStr">
        <is>
          <t>HR Manager (Tiếng Trung Cơ Bản)</t>
        </is>
      </c>
      <c r="D5113" t="inlineStr">
        <is>
          <t>CÔNG TY TNHH UWINFLY VIETNAM INDUSTRIES</t>
        </is>
      </c>
      <c r="E5113" t="inlineStr">
        <is>
          <t>Lương:Cạnh tranh</t>
        </is>
      </c>
      <c r="F5113" t="inlineStr">
        <is>
          <t>Hồ Chí Minh</t>
        </is>
      </c>
      <c r="G5113" t="inlineStr">
        <is>
          <t>26-03-2026</t>
        </is>
      </c>
      <c r="H5113" t="inlineStr">
        <is>
          <t>26/03/2026</t>
        </is>
      </c>
      <c r="I5113" t="inlineStr">
        <is>
          <t>17/03/2026</t>
        </is>
      </c>
      <c r="J5113" t="inlineStr">
        <is>
          <t>Nhân sự, Quản lý điều hành, Hành chính / Thư ký</t>
        </is>
      </c>
      <c r="K5113" t="inlineStr">
        <is>
          <t>3 - 5 Năm</t>
        </is>
      </c>
      <c r="L5113" s="8">
        <f>HYPERLINK("https://careerviet.vn/vi/tim-viec-lam/hr-manager-tieng-trung-co-ban.35C69CD3.html","Xem chi tiết")</f>
        <v/>
      </c>
    </row>
    <row r="5114">
      <c r="B5114" s="9" t="n">
        <v>5112</v>
      </c>
      <c r="C5114" s="10" t="inlineStr">
        <is>
          <t>Tổng Giám Đốc Điều Hành - CEO</t>
        </is>
      </c>
      <c r="D5114" s="10" t="inlineStr">
        <is>
          <t>Công Ty CP Đầu Tư Địa Ốc Khang An</t>
        </is>
      </c>
      <c r="E5114" s="10" t="inlineStr">
        <is>
          <t>Lương:60 Tr - 150 Tr VND</t>
        </is>
      </c>
      <c r="F5114" s="10" t="inlineStr">
        <is>
          <t>Hồ Chí Minh</t>
        </is>
      </c>
      <c r="G5114" s="10" t="inlineStr">
        <is>
          <t>15-04-2026</t>
        </is>
      </c>
      <c r="H5114" s="10" t="inlineStr">
        <is>
          <t>15/04/2026</t>
        </is>
      </c>
      <c r="I5114" s="10" t="inlineStr">
        <is>
          <t>17/03/2026</t>
        </is>
      </c>
      <c r="J5114" s="10" t="inlineStr">
        <is>
          <t>Bất động sản, Xây dựng</t>
        </is>
      </c>
      <c r="K5114" s="10" t="inlineStr">
        <is>
          <t>3 - 7 Năm</t>
        </is>
      </c>
      <c r="L5114" s="11">
        <f>HYPERLINK("https://careerviet.vn/vi/tim-viec-lam/tong-giam-doc-dieu-hanh-ceo.35C69CA7.html","Xem chi tiết")</f>
        <v/>
      </c>
      <c r="M5114" s="10" t="n"/>
    </row>
    <row r="5115">
      <c r="B5115" s="7" t="n">
        <v>5113</v>
      </c>
      <c r="C5115" t="inlineStr">
        <is>
          <t>Nhân Viên Vận Hành Kho (Warehouse Operation Officer)</t>
        </is>
      </c>
      <c r="D5115" t="inlineStr">
        <is>
          <t>CÔNG TY CỔ PHẦN KẾT CẤU THÉP REMARK</t>
        </is>
      </c>
      <c r="E5115" t="inlineStr">
        <is>
          <t>Lương:Cạnh tranh</t>
        </is>
      </c>
      <c r="F5115" t="inlineStr">
        <is>
          <t>Đồng Nai</t>
        </is>
      </c>
      <c r="G5115" t="inlineStr">
        <is>
          <t>26-03-2026</t>
        </is>
      </c>
      <c r="H5115" t="inlineStr">
        <is>
          <t>26/03/2026</t>
        </is>
      </c>
      <c r="I5115" t="inlineStr">
        <is>
          <t>17/03/2026</t>
        </is>
      </c>
      <c r="J5115" t="inlineStr">
        <is>
          <t>Sản xuất / Vận hành sản xuất, Vận chuyển / Giao nhận / Kho vận, Quản lý điều hành</t>
        </is>
      </c>
      <c r="K5115" t="inlineStr">
        <is>
          <t>Trên 1 Năm</t>
        </is>
      </c>
      <c r="L5115" s="8">
        <f>HYPERLINK("https://careerviet.vn/vi/tim-viec-lam/nhan-vien-van-hanh-kho-warehouse-operation-officer.35C69BAB.html","Xem chi tiết")</f>
        <v/>
      </c>
    </row>
    <row r="5116">
      <c r="B5116" s="9" t="n">
        <v>5114</v>
      </c>
      <c r="C5116" s="10" t="inlineStr">
        <is>
          <t>Trưởng Phòng Kế Toán</t>
        </is>
      </c>
      <c r="D5116" s="10" t="inlineStr">
        <is>
          <t>Công ty cổ phần Nu Việt Nam</t>
        </is>
      </c>
      <c r="E5116" s="10" t="inlineStr">
        <is>
          <t>Lương:35 Tr - 50 Tr VND</t>
        </is>
      </c>
      <c r="F5116" s="10" t="inlineStr">
        <is>
          <t>Hà Nội</t>
        </is>
      </c>
      <c r="G5116" s="10" t="inlineStr">
        <is>
          <t>26-03-2026</t>
        </is>
      </c>
      <c r="H5116" s="10" t="inlineStr">
        <is>
          <t>26/03/2026</t>
        </is>
      </c>
      <c r="I5116" s="10" t="inlineStr">
        <is>
          <t>17/03/2026</t>
        </is>
      </c>
      <c r="J5116" s="10" t="inlineStr">
        <is>
          <t>Bán lẻ / Bán sỉ, Kế toán / Kiểm toán, Dệt may / Da giày / Thời trang</t>
        </is>
      </c>
      <c r="K5116" s="10" t="inlineStr">
        <is>
          <t>Trên 5 Năm</t>
        </is>
      </c>
      <c r="L5116" s="11">
        <f>HYPERLINK("https://careerviet.vn/vi/tim-viec-lam/truong-phong-ke-toan.35C694CC.html","Xem chi tiết")</f>
        <v/>
      </c>
      <c r="M5116" s="10" t="n"/>
    </row>
    <row r="5117">
      <c r="B5117" s="7" t="n">
        <v>5115</v>
      </c>
      <c r="C5117" t="inlineStr">
        <is>
          <t>Trưởng phòng Marketing (Ngành thời trang)</t>
        </is>
      </c>
      <c r="D5117" t="inlineStr">
        <is>
          <t>CÔNG TY TNHH FF1 (Gout De Jun, Secodee)</t>
        </is>
      </c>
      <c r="E5117" t="inlineStr">
        <is>
          <t>Lương:30 Tr - 40 Tr VND</t>
        </is>
      </c>
      <c r="F5117" t="inlineStr">
        <is>
          <t>Hồ Chí Minh</t>
        </is>
      </c>
      <c r="G5117" t="inlineStr">
        <is>
          <t>31-03-2026</t>
        </is>
      </c>
      <c r="H5117" t="inlineStr">
        <is>
          <t>31/03/2026</t>
        </is>
      </c>
      <c r="I5117" t="inlineStr">
        <is>
          <t>17/03/2026</t>
        </is>
      </c>
      <c r="J5117" t="inlineStr">
        <is>
          <t>Tiếp thị / Marketing</t>
        </is>
      </c>
      <c r="K5117" t="inlineStr">
        <is>
          <t>Trên 3 Năm</t>
        </is>
      </c>
      <c r="L5117" s="8">
        <f>HYPERLINK("https://careerviet.vn/vi/tim-viec-lam/truong-phong-marketing-nganh-thoi-trang.35C69CC7.html","Xem chi tiết")</f>
        <v/>
      </c>
    </row>
    <row r="5118">
      <c r="B5118" s="9" t="n">
        <v>5116</v>
      </c>
      <c r="C5118" s="10" t="inlineStr">
        <is>
          <t>Quản Lý Thi Công</t>
        </is>
      </c>
      <c r="D5118" s="10" t="inlineStr">
        <is>
          <t>Công Ty Cổ Phần Xây Dựng Công Trình Tây Hồ</t>
        </is>
      </c>
      <c r="E5118" s="10" t="inlineStr">
        <is>
          <t>Lương:Cạnh tranh</t>
        </is>
      </c>
      <c r="F5118" s="10" t="inlineStr">
        <is>
          <t>Bình DươngHồ Chí MinhĐồng Nai</t>
        </is>
      </c>
      <c r="G5118" s="10" t="inlineStr">
        <is>
          <t>26-03-2026</t>
        </is>
      </c>
      <c r="H5118" s="10" t="inlineStr">
        <is>
          <t>26/03/2026</t>
        </is>
      </c>
      <c r="I5118" s="10" t="inlineStr">
        <is>
          <t>17/03/2026</t>
        </is>
      </c>
      <c r="J5118" s="10" t="inlineStr">
        <is>
          <t>Xây dựng, Kiến trúc, Bất động sản</t>
        </is>
      </c>
      <c r="K5118" s="10" t="inlineStr">
        <is>
          <t>Trên 5 Năm</t>
        </is>
      </c>
      <c r="L5118" s="11">
        <f>HYPERLINK("https://careerviet.vn/vi/tim-viec-lam/quan-ly-thi-cong.35C69C70.html","Xem chi tiết")</f>
        <v/>
      </c>
      <c r="M5118" s="10" t="n"/>
    </row>
    <row r="5119">
      <c r="B5119" s="7" t="n">
        <v>5117</v>
      </c>
      <c r="C5119" t="inlineStr">
        <is>
          <t>Kế Toán Công Nợ Phải Thu / Receivable Accountant</t>
        </is>
      </c>
      <c r="D5119" t="inlineStr">
        <is>
          <t>Công Ty TNHH Kamereo</t>
        </is>
      </c>
      <c r="E5119" t="inlineStr">
        <is>
          <t>Lương:Cạnh tranh</t>
        </is>
      </c>
      <c r="F5119" t="inlineStr">
        <is>
          <t>Hồ Chí Minh</t>
        </is>
      </c>
      <c r="G5119" t="inlineStr">
        <is>
          <t>31-03-2026</t>
        </is>
      </c>
      <c r="H5119" t="inlineStr">
        <is>
          <t>31/03/2026</t>
        </is>
      </c>
      <c r="I5119" t="inlineStr">
        <is>
          <t>17/03/2026</t>
        </is>
      </c>
      <c r="J5119" t="inlineStr">
        <is>
          <t>Kế toán / Kiểm toán, Tài chính / Đầu tư, Luật / Pháp lý</t>
        </is>
      </c>
      <c r="K5119" t="inlineStr">
        <is>
          <t>Trên 1 Năm</t>
        </is>
      </c>
      <c r="L5119" s="8">
        <f>HYPERLINK("https://careerviet.vn/vi/tim-viec-lam/ke-toan-cong-no-phai-thu-receivable-accountant.35C69B47.html","Xem chi tiết")</f>
        <v/>
      </c>
    </row>
    <row r="5120">
      <c r="B5120" s="9" t="n">
        <v>5118</v>
      </c>
      <c r="C5120" s="10" t="inlineStr">
        <is>
          <t>Nhân viên Account Executive</t>
        </is>
      </c>
      <c r="D5120" s="10" t="inlineStr">
        <is>
          <t>Công ty TNHH Tiếp Thị Truyền Thông DO - Do. Marketing</t>
        </is>
      </c>
      <c r="E5120" s="10" t="inlineStr">
        <is>
          <t>Lương:Cạnh tranh</t>
        </is>
      </c>
      <c r="F5120" s="10" t="inlineStr">
        <is>
          <t>Hồ Chí Minh</t>
        </is>
      </c>
      <c r="G5120" s="10" t="inlineStr">
        <is>
          <t>31-03-2026</t>
        </is>
      </c>
      <c r="H5120" s="10" t="inlineStr">
        <is>
          <t>31/03/2026</t>
        </is>
      </c>
      <c r="I5120" s="10" t="inlineStr">
        <is>
          <t>17/03/2026</t>
        </is>
      </c>
      <c r="J5120" s="10" t="inlineStr">
        <is>
          <t>Quảng cáo / Đối ngoại / Truyền Thông, Tiếp thị / Marketing, Bán hàng / Kinh doanh</t>
        </is>
      </c>
      <c r="K5120" s="10" t="inlineStr">
        <is>
          <t>1 - 2 Năm</t>
        </is>
      </c>
      <c r="L5120" s="11">
        <f>HYPERLINK("https://careerviet.vn/vi/tim-viec-lam/nhan-vien-account-executive.35C69CC8.html","Xem chi tiết")</f>
        <v/>
      </c>
      <c r="M5120" s="10" t="n"/>
    </row>
    <row r="5121">
      <c r="B5121" s="7" t="n">
        <v>5119</v>
      </c>
      <c r="C5121" t="inlineStr">
        <is>
          <t>Chuyên viên tổng hợp Phòng Hành chính</t>
        </is>
      </c>
      <c r="D5121" t="inlineStr">
        <is>
          <t>Ngân Hàng TMCP Phương Đông - OCB</t>
        </is>
      </c>
      <c r="E5121" t="inlineStr">
        <is>
          <t>Lương:15 Tr - 25 Tr VND</t>
        </is>
      </c>
      <c r="F5121" t="inlineStr">
        <is>
          <t>Hồ Chí Minh</t>
        </is>
      </c>
      <c r="G5121" t="inlineStr">
        <is>
          <t>31-03-2026</t>
        </is>
      </c>
      <c r="H5121" t="inlineStr">
        <is>
          <t>31/03/2026</t>
        </is>
      </c>
      <c r="I5121" t="inlineStr">
        <is>
          <t>17/03/2026</t>
        </is>
      </c>
      <c r="J5121" t="inlineStr">
        <is>
          <t>Ngân hàng</t>
        </is>
      </c>
      <c r="K5121" t="inlineStr">
        <is>
          <t>1 - 3 Năm</t>
        </is>
      </c>
      <c r="L5121" s="8">
        <f>HYPERLINK("https://careerviet.vn/vi/tim-viec-lam/chuyen-vien-tong-hop-phong-hanh-chinh.35C69BDE.html","Xem chi tiết")</f>
        <v/>
      </c>
    </row>
    <row r="5122">
      <c r="B5122" s="9" t="n">
        <v>5120</v>
      </c>
      <c r="C5122" s="10" t="inlineStr">
        <is>
          <t>[LONG AN] KẾ HOẠCH VẬT TƯ</t>
        </is>
      </c>
      <c r="D5122" s="10" t="inlineStr">
        <is>
          <t>Công Ty Cổ Phần Y&amp;B</t>
        </is>
      </c>
      <c r="E5122" s="10" t="inlineStr">
        <is>
          <t>Lương:Cạnh tranh</t>
        </is>
      </c>
      <c r="F5122" s="10" t="inlineStr">
        <is>
          <t>Long AnHồ Chí Minh</t>
        </is>
      </c>
      <c r="G5122" s="10" t="inlineStr">
        <is>
          <t>26-02-2026</t>
        </is>
      </c>
      <c r="H5122" s="10" t="inlineStr">
        <is>
          <t>14/03/2026</t>
        </is>
      </c>
      <c r="I5122" s="10" t="inlineStr">
        <is>
          <t>17/03/2026</t>
        </is>
      </c>
      <c r="J5122" s="10" t="inlineStr">
        <is>
          <t>Hành chính / Thư ký, Thống kê, Sản xuất / Vận hành sản xuất</t>
        </is>
      </c>
      <c r="K5122" s="10" t="inlineStr">
        <is>
          <t>2 - 5 Năm</t>
        </is>
      </c>
      <c r="L5122" s="11">
        <f>HYPERLINK("https://careerviet.vn/vi/tim-viec-lam/long-an-ke-hoach-vat-tu.35C69C7F.html","Xem chi tiết")</f>
        <v/>
      </c>
      <c r="M5122" s="10" t="n"/>
    </row>
    <row r="5123">
      <c r="B5123" s="7" t="n">
        <v>5121</v>
      </c>
      <c r="C5123" t="inlineStr">
        <is>
          <t>Sourcing Staff</t>
        </is>
      </c>
      <c r="D5123" t="inlineStr">
        <is>
          <t>Vietnam Furniture Resources (VFR)</t>
        </is>
      </c>
      <c r="E5123" t="inlineStr">
        <is>
          <t>Lương:Cạnh tranh</t>
        </is>
      </c>
      <c r="F5123" t="inlineStr">
        <is>
          <t>Bình Dương</t>
        </is>
      </c>
      <c r="G5123" t="inlineStr">
        <is>
          <t>27-03-2026</t>
        </is>
      </c>
      <c r="H5123" t="inlineStr">
        <is>
          <t>27/03/2026</t>
        </is>
      </c>
      <c r="I5123" t="inlineStr">
        <is>
          <t>17/03/2026</t>
        </is>
      </c>
      <c r="J5123" t="inlineStr">
        <is>
          <t>Đồ gỗ, Nội ngoại thất, Thu mua / Vật tư</t>
        </is>
      </c>
      <c r="K5123" t="inlineStr">
        <is>
          <t>2 - 5 Năm</t>
        </is>
      </c>
      <c r="L5123" s="8">
        <f>HYPERLINK("https://careerviet.vn/vi/tim-viec-lam/sourcing-staff.35C698E3.html","Xem chi tiết")</f>
        <v/>
      </c>
    </row>
    <row r="5124">
      <c r="B5124" s="9" t="n">
        <v>5122</v>
      </c>
      <c r="C5124" s="10" t="inlineStr">
        <is>
          <t>Import - Export Officer</t>
        </is>
      </c>
      <c r="D5124" s="10" t="inlineStr">
        <is>
          <t>Công ty TNHH Vexos Việt Nam</t>
        </is>
      </c>
      <c r="E5124" s="10" t="inlineStr">
        <is>
          <t>Lương:Cạnh tranh</t>
        </is>
      </c>
      <c r="F5124" s="10" t="inlineStr">
        <is>
          <t>Hồ Chí Minh</t>
        </is>
      </c>
      <c r="G5124" s="10" t="inlineStr">
        <is>
          <t>26-03-2026</t>
        </is>
      </c>
      <c r="H5124" s="10" t="inlineStr">
        <is>
          <t>26/03/2026</t>
        </is>
      </c>
      <c r="I5124" s="10" t="inlineStr">
        <is>
          <t>17/03/2026</t>
        </is>
      </c>
      <c r="J5124" s="10" t="inlineStr">
        <is>
          <t>Vận chuyển / Giao nhận / Kho vận, Xuất nhập khẩu, Sản xuất / Vận hành sản xuất</t>
        </is>
      </c>
      <c r="K5124" s="10" t="inlineStr">
        <is>
          <t>3 - 10 Năm</t>
        </is>
      </c>
      <c r="L5124" s="11">
        <f>HYPERLINK("https://careerviet.vn/vi/tim-viec-lam/import-export-officer.35C69A10.html","Xem chi tiết")</f>
        <v/>
      </c>
      <c r="M5124" s="10" t="n"/>
    </row>
    <row r="5125">
      <c r="B5125" s="7" t="n">
        <v>5123</v>
      </c>
      <c r="C5125" t="inlineStr">
        <is>
          <t>Kỹ sư QA QC</t>
        </is>
      </c>
      <c r="D5125" t="inlineStr">
        <is>
          <t>Chi nhánh Công ty TNHH MTV BCA-Thăng Long tại TP.HCM</t>
        </is>
      </c>
      <c r="E5125" t="inlineStr">
        <is>
          <t>Lương:25 Tr - 30 Tr VND</t>
        </is>
      </c>
      <c r="F5125" t="inlineStr">
        <is>
          <t>Hồ Chí MinhBà Rịa - Vũng TàuĐồng Nai</t>
        </is>
      </c>
      <c r="G5125" t="inlineStr">
        <is>
          <t>31-03-2026</t>
        </is>
      </c>
      <c r="H5125" t="inlineStr">
        <is>
          <t>31/03/2026</t>
        </is>
      </c>
      <c r="I5125" t="inlineStr">
        <is>
          <t>17/03/2026</t>
        </is>
      </c>
      <c r="J5125" t="inlineStr">
        <is>
          <t>Cơ khí / Ô tô / Tự động hóa, Quản lý chất lượng (QA/QC), Điện / Điện tử / Điện lạnh / Điện công nghiệp</t>
        </is>
      </c>
      <c r="K5125" t="inlineStr">
        <is>
          <t>3 - 5 Năm</t>
        </is>
      </c>
      <c r="L5125" s="8">
        <f>HYPERLINK("https://careerviet.vn/vi/tim-viec-lam/ky-su-qa-qc.35C69BF6.html","Xem chi tiết")</f>
        <v/>
      </c>
    </row>
    <row r="5126">
      <c r="B5126" s="9" t="n">
        <v>5124</v>
      </c>
      <c r="C5126" s="10" t="inlineStr">
        <is>
          <t>Senior Internal Communication Manager</t>
        </is>
      </c>
      <c r="D5126" s="10" t="inlineStr">
        <is>
          <t>Công Ty Cổ Phần GreenFeed Việt Nam</t>
        </is>
      </c>
      <c r="E5126" s="10" t="inlineStr">
        <is>
          <t>Lương:Cạnh tranh</t>
        </is>
      </c>
      <c r="F5126" s="10" t="inlineStr">
        <is>
          <t>Hồ Chí Minh</t>
        </is>
      </c>
      <c r="G5126" s="10" t="inlineStr">
        <is>
          <t>28-03-2026</t>
        </is>
      </c>
      <c r="H5126" s="10" t="inlineStr">
        <is>
          <t>28/03/2026</t>
        </is>
      </c>
      <c r="I5126" s="10" t="inlineStr">
        <is>
          <t>17/03/2026</t>
        </is>
      </c>
      <c r="J5126" s="10" t="inlineStr">
        <is>
          <t>Quảng cáo / Đối ngoại / Truyền Thông</t>
        </is>
      </c>
      <c r="K5126" s="10" t="inlineStr">
        <is>
          <t>10 - 15 Năm</t>
        </is>
      </c>
      <c r="L5126" s="11">
        <f>HYPERLINK("https://careerviet.vn/vi/tim-viec-lam/senior-internal-communication-manager.35C69CAC.html","Xem chi tiết")</f>
        <v/>
      </c>
      <c r="M5126" s="10" t="n"/>
    </row>
    <row r="5127">
      <c r="B5127" s="7" t="n">
        <v>5125</v>
      </c>
      <c r="C5127" t="inlineStr">
        <is>
          <t>Chuyên viên hành chính</t>
        </is>
      </c>
      <c r="D5127" t="inlineStr">
        <is>
          <t>ERAS GROUP</t>
        </is>
      </c>
      <c r="E5127" t="inlineStr">
        <is>
          <t>Lương:Cạnh tranh</t>
        </is>
      </c>
      <c r="F5127" t="inlineStr">
        <is>
          <t>Hồ Chí Minh</t>
        </is>
      </c>
      <c r="G5127" t="inlineStr">
        <is>
          <t>31-03-2026</t>
        </is>
      </c>
      <c r="H5127" t="inlineStr">
        <is>
          <t>31/03/2026</t>
        </is>
      </c>
      <c r="I5127" t="inlineStr">
        <is>
          <t>17/03/2026</t>
        </is>
      </c>
      <c r="J5127" t="inlineStr">
        <is>
          <t>Hành chính / Thư ký</t>
        </is>
      </c>
      <c r="K5127" t="inlineStr">
        <is>
          <t>3 - 5 Năm</t>
        </is>
      </c>
      <c r="L5127" s="8">
        <f>HYPERLINK("https://careerviet.vn/vi/tim-viec-lam/chuyen-vien-hanh-chinh.35C69C0D.html","Xem chi tiết")</f>
        <v/>
      </c>
    </row>
    <row r="5128">
      <c r="B5128" s="9" t="n">
        <v>5126</v>
      </c>
      <c r="C5128" s="10" t="inlineStr">
        <is>
          <t>Chuyên viên cao cấp kiểm soát nội bộ</t>
        </is>
      </c>
      <c r="D5128" s="10" t="inlineStr">
        <is>
          <t>Ngân Hàng TMCP Phương Đông - OCB</t>
        </is>
      </c>
      <c r="E5128" s="10" t="inlineStr">
        <is>
          <t>Lương:Cạnh tranh</t>
        </is>
      </c>
      <c r="F5128" s="10" t="inlineStr">
        <is>
          <t>Hồ Chí Minh</t>
        </is>
      </c>
      <c r="G5128" s="10" t="inlineStr">
        <is>
          <t>31-03-2026</t>
        </is>
      </c>
      <c r="H5128" s="10" t="inlineStr">
        <is>
          <t>31/03/2026</t>
        </is>
      </c>
      <c r="I5128" s="10" t="inlineStr">
        <is>
          <t>17/03/2026</t>
        </is>
      </c>
      <c r="J5128" s="10" t="inlineStr">
        <is>
          <t>Ngân hàng</t>
        </is>
      </c>
      <c r="K5128" s="10" t="inlineStr">
        <is>
          <t>1 - 3 Năm</t>
        </is>
      </c>
      <c r="L5128" s="11">
        <f>HYPERLINK("https://careerviet.vn/vi/tim-viec-lam/chuyen-vien-cao-cap-kiem-soat-noi-bo.35C69BDC.html","Xem chi tiết")</f>
        <v/>
      </c>
      <c r="M5128" s="10" t="n"/>
    </row>
    <row r="5129">
      <c r="B5129" s="7" t="n">
        <v>5127</v>
      </c>
      <c r="C5129" t="inlineStr">
        <is>
          <t>MRO Buyer - Nhân viên mua hàng MRO</t>
        </is>
      </c>
      <c r="D5129" t="inlineStr">
        <is>
          <t>Công ty TNHH Vexos Việt Nam</t>
        </is>
      </c>
      <c r="E5129" t="inlineStr">
        <is>
          <t>Lương:Cạnh tranh</t>
        </is>
      </c>
      <c r="F5129" t="inlineStr">
        <is>
          <t>Hồ Chí Minh</t>
        </is>
      </c>
      <c r="G5129" t="inlineStr">
        <is>
          <t>26-03-2026</t>
        </is>
      </c>
      <c r="H5129" t="inlineStr">
        <is>
          <t>26/03/2026</t>
        </is>
      </c>
      <c r="I5129" t="inlineStr">
        <is>
          <t>17/03/2026</t>
        </is>
      </c>
      <c r="J5129" t="inlineStr">
        <is>
          <t>Vận chuyển / Giao nhận / Kho vận, Xuất nhập khẩu, Sản xuất / Vận hành sản xuất</t>
        </is>
      </c>
      <c r="K5129" t="inlineStr">
        <is>
          <t>3 - 10 Năm</t>
        </is>
      </c>
      <c r="L5129" s="8">
        <f>HYPERLINK("https://careerviet.vn/vi/tim-viec-lam/mro-buyer-nhan-vien-mua-hang-mro.35C69C3B.html","Xem chi tiết")</f>
        <v/>
      </c>
    </row>
    <row r="5130">
      <c r="B5130" s="9" t="n">
        <v>5128</v>
      </c>
      <c r="C5130" s="10" t="inlineStr">
        <is>
          <t>Nhân Viên HSE</t>
        </is>
      </c>
      <c r="D5130" s="10" t="inlineStr">
        <is>
          <t>Công ty TNHH Hunter Douglas Indochina</t>
        </is>
      </c>
      <c r="E5130" s="10" t="inlineStr">
        <is>
          <t>Lương:Cạnh tranh</t>
        </is>
      </c>
      <c r="F5130" s="10" t="inlineStr">
        <is>
          <t>Bình Dương</t>
        </is>
      </c>
      <c r="G5130" s="10" t="inlineStr">
        <is>
          <t>26-03-2026</t>
        </is>
      </c>
      <c r="H5130" s="10" t="inlineStr">
        <is>
          <t>26/03/2026</t>
        </is>
      </c>
      <c r="I5130" s="10" t="inlineStr">
        <is>
          <t>17/03/2026</t>
        </is>
      </c>
      <c r="J5130" s="10" t="inlineStr">
        <is>
          <t>An toàn lao động, Xây dựng, Quản lý chất lượng (QA/QC)</t>
        </is>
      </c>
      <c r="K5130" s="10" t="inlineStr">
        <is>
          <t>Trên 1 Năm</t>
        </is>
      </c>
      <c r="L5130" s="11">
        <f>HYPERLINK("https://careerviet.vn/vi/tim-viec-lam/nhan-vien-hse.35C69BFF.html","Xem chi tiết")</f>
        <v/>
      </c>
      <c r="M5130" s="10" t="n"/>
    </row>
    <row r="5131">
      <c r="B5131" s="7" t="n">
        <v>5129</v>
      </c>
      <c r="C5131" t="inlineStr">
        <is>
          <t>Chuyên Viên Bảo Trì (Cơ điện)</t>
        </is>
      </c>
      <c r="D5131" t="inlineStr">
        <is>
          <t>Masan Consumer</t>
        </is>
      </c>
      <c r="E5131" t="inlineStr">
        <is>
          <t>Lương:Cạnh tranh</t>
        </is>
      </c>
      <c r="F5131" t="inlineStr">
        <is>
          <t>Đồng Nai</t>
        </is>
      </c>
      <c r="G5131" t="inlineStr">
        <is>
          <t>31-03-2026</t>
        </is>
      </c>
      <c r="H5131" t="inlineStr">
        <is>
          <t>31/03/2026</t>
        </is>
      </c>
      <c r="I5131" t="inlineStr">
        <is>
          <t>17/03/2026</t>
        </is>
      </c>
      <c r="J5131" t="inlineStr">
        <is>
          <t>Bảo trì / Sửa chữa, Điện / Điện tử / Điện lạnh / Điện công nghiệp, Cơ khí / Ô tô / Tự động hóa</t>
        </is>
      </c>
      <c r="K5131" t="inlineStr">
        <is>
          <t>1 - 2 Năm</t>
        </is>
      </c>
      <c r="L5131" s="8">
        <f>HYPERLINK("https://careerviet.vn/vi/tim-viec-lam/chuyen-vien-bao-tri-co-dien.35C69BE9.html","Xem chi tiết")</f>
        <v/>
      </c>
    </row>
    <row r="5132">
      <c r="B5132" s="9" t="n">
        <v>5130</v>
      </c>
      <c r="C5132" s="10" t="inlineStr">
        <is>
          <t>SALE ONLINE</t>
        </is>
      </c>
      <c r="D5132" s="10" t="inlineStr">
        <is>
          <t>Hỷ Lâm Môn &amp; L'amour Bakery</t>
        </is>
      </c>
      <c r="E5132" s="10" t="inlineStr">
        <is>
          <t>Lương:7 Tr - 10 Tr VND</t>
        </is>
      </c>
      <c r="F5132" s="10" t="inlineStr">
        <is>
          <t>Hồ Chí Minh</t>
        </is>
      </c>
      <c r="G5132" s="10" t="inlineStr">
        <is>
          <t>26-03-2026</t>
        </is>
      </c>
      <c r="H5132" s="10" t="inlineStr">
        <is>
          <t>26/03/2026</t>
        </is>
      </c>
      <c r="I5132" s="10" t="inlineStr">
        <is>
          <t>17/03/2026</t>
        </is>
      </c>
      <c r="J5132" s="10" t="inlineStr">
        <is>
          <t>Bán hàng / Kinh doanh</t>
        </is>
      </c>
      <c r="K5132" s="10" t="inlineStr">
        <is>
          <t>1 - 2 Năm</t>
        </is>
      </c>
      <c r="L5132" s="11">
        <f>HYPERLINK("https://careerviet.vn/vi/tim-viec-lam/sale-online.35C69C15.html","Xem chi tiết")</f>
        <v/>
      </c>
      <c r="M5132" s="10" t="n"/>
    </row>
    <row r="5133">
      <c r="B5133" s="7" t="n">
        <v>5131</v>
      </c>
      <c r="C5133" t="inlineStr">
        <is>
          <t>EHS &amp; Sustainability Manager</t>
        </is>
      </c>
      <c r="D5133" t="inlineStr">
        <is>
          <t>CÔNG TY TNHH CIRQL MANUFACTURING VIETNAM</t>
        </is>
      </c>
      <c r="E5133" t="inlineStr">
        <is>
          <t>Lương:Cạnh tranh</t>
        </is>
      </c>
      <c r="F5133" t="inlineStr">
        <is>
          <t>Bình Dương</t>
        </is>
      </c>
      <c r="G5133" t="inlineStr">
        <is>
          <t>27-03-2026</t>
        </is>
      </c>
      <c r="H5133" t="inlineStr">
        <is>
          <t>27/03/2026</t>
        </is>
      </c>
      <c r="I5133" t="inlineStr">
        <is>
          <t>17/03/2026</t>
        </is>
      </c>
      <c r="J5133" t="inlineStr">
        <is>
          <t>Môi trường, Dệt may / Da giày / Thời trang, An toàn lao động</t>
        </is>
      </c>
      <c r="K5133" t="inlineStr">
        <is>
          <t>5 - 8 Năm</t>
        </is>
      </c>
      <c r="L5133" s="8">
        <f>HYPERLINK("https://careerviet.vn/vi/tim-viec-lam/ehs-sustainability-manager.35C69BCF.html","Xem chi tiết")</f>
        <v/>
      </c>
    </row>
    <row r="5134">
      <c r="B5134" s="9" t="n">
        <v>5132</v>
      </c>
      <c r="C5134" s="10" t="inlineStr">
        <is>
          <t>IT Service Desk Executive (F&amp;B | Retail)</t>
        </is>
      </c>
      <c r="D5134" s="10" t="inlineStr">
        <is>
          <t>CÔNG TY TNHH THỜI TRANG VÀ MỸ PHẨM ÂU CHÂU</t>
        </is>
      </c>
      <c r="E5134" s="10" t="inlineStr">
        <is>
          <t>Lương:Cạnh tranh</t>
        </is>
      </c>
      <c r="F5134" s="10" t="inlineStr">
        <is>
          <t>Hồ Chí Minh</t>
        </is>
      </c>
      <c r="G5134" s="10" t="inlineStr">
        <is>
          <t>27-03-2026</t>
        </is>
      </c>
      <c r="H5134" s="10" t="inlineStr">
        <is>
          <t>27/03/2026</t>
        </is>
      </c>
      <c r="I5134" s="10" t="inlineStr">
        <is>
          <t>17/03/2026</t>
        </is>
      </c>
      <c r="J5134" s="10" t="inlineStr">
        <is>
          <t>CNTT - Phần mềm, CNTT - Phần cứng / Mạng</t>
        </is>
      </c>
      <c r="K5134" s="10" t="inlineStr">
        <is>
          <t>1 - 5 Năm</t>
        </is>
      </c>
      <c r="L5134" s="11">
        <f>HYPERLINK("https://careerviet.vn/vi/tim-viec-lam/it-service-desk-executive-f-b-retail.35C69C34.html","Xem chi tiết")</f>
        <v/>
      </c>
      <c r="M5134" s="10" t="n"/>
    </row>
    <row r="5135">
      <c r="B5135" s="7" t="n">
        <v>5133</v>
      </c>
      <c r="C5135" t="inlineStr">
        <is>
          <t>Brand Marketing Executive</t>
        </is>
      </c>
      <c r="D5135" t="inlineStr">
        <is>
          <t>CÔNG TY TNHH WIR GROUP</t>
        </is>
      </c>
      <c r="E5135" t="inlineStr">
        <is>
          <t>Lương:14 Tr - 17 Tr VND</t>
        </is>
      </c>
      <c r="F5135" t="inlineStr">
        <is>
          <t>Hà Nội</t>
        </is>
      </c>
      <c r="G5135" t="inlineStr">
        <is>
          <t>3</t>
        </is>
      </c>
      <c r="H5135" t="inlineStr">
        <is>
          <t>20/03/2026</t>
        </is>
      </c>
      <c r="I5135" t="inlineStr">
        <is>
          <t>17/03/2026</t>
        </is>
      </c>
      <c r="J5135" t="inlineStr">
        <is>
          <t>Tiếp thị / Marketing, Dược phẩm/ Hóa Mỹ Phẩm, Y tế / Chăm sóc sức khỏe / Thẩm mỹ / Làm đẹp</t>
        </is>
      </c>
      <c r="K5135" t="inlineStr">
        <is>
          <t>2 - 3 Năm</t>
        </is>
      </c>
      <c r="L5135" s="8">
        <f>HYPERLINK("https://careerviet.vn/vi/tim-viec-lam/brand-marketing-executive.35C69B6B.html","Xem chi tiết")</f>
        <v/>
      </c>
    </row>
    <row r="5136">
      <c r="B5136" s="9" t="n">
        <v>5134</v>
      </c>
      <c r="C5136" s="10" t="inlineStr">
        <is>
          <t>Chuyên viên Hỗ trợ khách hàng Tổng đài</t>
        </is>
      </c>
      <c r="D5136" s="10" t="inlineStr">
        <is>
          <t>BVBank - Ngân hàng Bản Việt</t>
        </is>
      </c>
      <c r="E5136" s="10" t="inlineStr">
        <is>
          <t>Lương:Cạnh tranh</t>
        </is>
      </c>
      <c r="F5136" s="10" t="inlineStr">
        <is>
          <t>Hồ Chí Minh</t>
        </is>
      </c>
      <c r="G5136" s="10" t="inlineStr">
        <is>
          <t>25-03-2026</t>
        </is>
      </c>
      <c r="H5136" s="10" t="inlineStr">
        <is>
          <t>25/03/2026</t>
        </is>
      </c>
      <c r="I5136" s="10" t="inlineStr">
        <is>
          <t>17/03/2026</t>
        </is>
      </c>
      <c r="J5136" s="10" t="inlineStr">
        <is>
          <t>Ngân hàng, Tài chính / Đầu tư, Bán hàng / Kinh doanh</t>
        </is>
      </c>
      <c r="K5136" s="10" t="inlineStr">
        <is>
          <t>1 - 2 Năm</t>
        </is>
      </c>
      <c r="L5136" s="11">
        <f>HYPERLINK("https://careerviet.vn/vi/tim-viec-lam/chuyen-vien-ho-tro-khach-hang-tong-dai.35C69B84.html","Xem chi tiết")</f>
        <v/>
      </c>
      <c r="M5136" s="10" t="n"/>
    </row>
    <row r="5137">
      <c r="B5137" s="7" t="n">
        <v>5135</v>
      </c>
      <c r="C5137" t="inlineStr">
        <is>
          <t>Nhân Viên Thu Mua (Cơ Khí Xây Dựng)</t>
        </is>
      </c>
      <c r="D5137" t="inlineStr">
        <is>
          <t>ATAD Steel Structure Corporation</t>
        </is>
      </c>
      <c r="E5137" t="inlineStr">
        <is>
          <t>Lương:Cạnh tranh</t>
        </is>
      </c>
      <c r="F5137" t="inlineStr">
        <is>
          <t>Hồ Chí Minh</t>
        </is>
      </c>
      <c r="G5137" t="inlineStr">
        <is>
          <t>30-04-2026</t>
        </is>
      </c>
      <c r="H5137" t="inlineStr">
        <is>
          <t>30/04/2026</t>
        </is>
      </c>
      <c r="I5137" t="inlineStr">
        <is>
          <t>17/03/2026</t>
        </is>
      </c>
      <c r="J5137" t="inlineStr">
        <is>
          <t>Thu mua / Vật tư, Cơ khí / Ô tô / Tự động hóa, Xuất nhập khẩu</t>
        </is>
      </c>
      <c r="K5137" t="inlineStr">
        <is>
          <t>1 - 2 Năm</t>
        </is>
      </c>
      <c r="L5137" s="8">
        <f>HYPERLINK("https://careerviet.vn/vi/tim-viec-lam/nhan-vien-thu-mua-co-khi-xay-dung.35C69C6D.html","Xem chi tiết")</f>
        <v/>
      </c>
    </row>
    <row r="5138">
      <c r="B5138" s="9" t="n">
        <v>5136</v>
      </c>
      <c r="C5138" s="10" t="inlineStr">
        <is>
          <t>Nhân viên Hành chính Marketing (MKT Admin)</t>
        </is>
      </c>
      <c r="D5138" s="10" t="inlineStr">
        <is>
          <t>Ngân Hàng TMCP Phương Đông - OCB</t>
        </is>
      </c>
      <c r="E5138" s="10" t="inlineStr">
        <is>
          <t>Lương:Cạnh tranh</t>
        </is>
      </c>
      <c r="F5138" s="10" t="inlineStr">
        <is>
          <t>Hồ Chí Minh</t>
        </is>
      </c>
      <c r="G5138" s="10" t="inlineStr">
        <is>
          <t>31-03-2026</t>
        </is>
      </c>
      <c r="H5138" s="10" t="inlineStr">
        <is>
          <t>31/03/2026</t>
        </is>
      </c>
      <c r="I5138" s="10" t="inlineStr">
        <is>
          <t>17/03/2026</t>
        </is>
      </c>
      <c r="J5138" s="10" t="inlineStr">
        <is>
          <t>Ngân hàng</t>
        </is>
      </c>
      <c r="K5138" s="10" t="inlineStr">
        <is>
          <t>1 - 2 Năm</t>
        </is>
      </c>
      <c r="L5138" s="11">
        <f>HYPERLINK("https://careerviet.vn/vi/tim-viec-lam/nhan-vien-hanh-chinh-marketing-mkt-admin.35C69BC9.html","Xem chi tiết")</f>
        <v/>
      </c>
      <c r="M5138" s="10" t="n"/>
    </row>
    <row r="5139">
      <c r="B5139" s="7" t="n">
        <v>5137</v>
      </c>
      <c r="C5139" t="inlineStr">
        <is>
          <t>Nhân Viên Kiểm Nghiệm, Thẩm Định Phương Pháp Phân Tích Và Đăng Ký Thuốc</t>
        </is>
      </c>
      <c r="D5139" t="inlineStr">
        <is>
          <t>Phil Inter Pharma</t>
        </is>
      </c>
      <c r="E5139" t="inlineStr">
        <is>
          <t>Lương:Cạnh tranh</t>
        </is>
      </c>
      <c r="F5139" t="inlineStr">
        <is>
          <t>Hồ Chí Minh</t>
        </is>
      </c>
      <c r="G5139" t="inlineStr">
        <is>
          <t>26-03-2026</t>
        </is>
      </c>
      <c r="H5139" t="inlineStr">
        <is>
          <t>26/03/2026</t>
        </is>
      </c>
      <c r="I5139" t="inlineStr">
        <is>
          <t>17/03/2026</t>
        </is>
      </c>
      <c r="J5139" t="inlineStr">
        <is>
          <t>Quản lý chất lượng (QA/QC), Dược phẩm/ Hóa Mỹ Phẩm, Y tế / Chăm sóc sức khỏe / Thẩm mỹ / Làm đẹp</t>
        </is>
      </c>
      <c r="K5139" t="inlineStr">
        <is>
          <t>2 - 3 Năm</t>
        </is>
      </c>
      <c r="L5139" s="8">
        <f>HYPERLINK("https://careerviet.vn/vi/tim-viec-lam/nhan-vien-kiem-nghiem-tham-dinh-phuong-phap-phan-tich-va-dang-ky-thuoc.35C69A8D.html","Xem chi tiết")</f>
        <v/>
      </c>
    </row>
    <row r="5140">
      <c r="B5140" s="9" t="n">
        <v>5138</v>
      </c>
      <c r="C5140" s="10" t="inlineStr">
        <is>
          <t>Designer (FMCG)</t>
        </is>
      </c>
      <c r="D5140" s="10" t="inlineStr">
        <is>
          <t>CÔNG TY CỔ PHẦN THƯƠNG MẠI DỊCH VỤ SẢN XUẤT HƯƠNG THỦY</t>
        </is>
      </c>
      <c r="E5140" s="10" t="inlineStr">
        <is>
          <t>Lương:13 Tr - 16 Tr VND</t>
        </is>
      </c>
      <c r="F5140" s="10" t="inlineStr">
        <is>
          <t>Hồ Chí Minh</t>
        </is>
      </c>
      <c r="G5140" s="10" t="inlineStr">
        <is>
          <t>25-03-2026</t>
        </is>
      </c>
      <c r="H5140" s="10" t="inlineStr">
        <is>
          <t>25/03/2026</t>
        </is>
      </c>
      <c r="I5140" s="10" t="inlineStr">
        <is>
          <t>17/03/2026</t>
        </is>
      </c>
      <c r="J5140" s="10" t="inlineStr">
        <is>
          <t>Mỹ thuật / Nghệ thuật / Thiết kế</t>
        </is>
      </c>
      <c r="K5140" s="10" t="inlineStr">
        <is>
          <t>1 - 3 Năm</t>
        </is>
      </c>
      <c r="L5140" s="11">
        <f>HYPERLINK("https://careerviet.vn/vi/tim-viec-lam/designer-fmcg.35C69B69.html","Xem chi tiết")</f>
        <v/>
      </c>
      <c r="M5140" s="10" t="n"/>
    </row>
    <row r="5141">
      <c r="B5141" s="7" t="n">
        <v>5139</v>
      </c>
      <c r="C5141" t="inlineStr">
        <is>
          <t>Customer Service Staff - Nhân viên dịch vụ khách hàng</t>
        </is>
      </c>
      <c r="D5141" t="inlineStr">
        <is>
          <t>CÔNG TY TNHH YANG MING SHIPPING (VIỆT NAM)</t>
        </is>
      </c>
      <c r="E5141" t="inlineStr">
        <is>
          <t>Lương:8 Tr - 15 Tr VND</t>
        </is>
      </c>
      <c r="F5141" t="inlineStr">
        <is>
          <t>Hồ Chí MinhHải Phòng</t>
        </is>
      </c>
      <c r="G5141" t="inlineStr">
        <is>
          <t>26-03-2026</t>
        </is>
      </c>
      <c r="H5141" t="inlineStr">
        <is>
          <t>26/03/2026</t>
        </is>
      </c>
      <c r="I5141" t="inlineStr">
        <is>
          <t>17/03/2026</t>
        </is>
      </c>
      <c r="J5141" t="inlineStr">
        <is>
          <t>Dịch vụ khách hàng, Hàng hải, Xuất nhập khẩu</t>
        </is>
      </c>
      <c r="K5141" t="inlineStr">
        <is>
          <t>1 - 2 Năm</t>
        </is>
      </c>
      <c r="L5141" s="8">
        <f>HYPERLINK("https://careerviet.vn/vi/tim-viec-lam/customer-service-staff-nhan-vien-dich-vu-khach-hang.35C69AFF.html","Xem chi tiết")</f>
        <v/>
      </c>
    </row>
    <row r="5142">
      <c r="B5142" s="9" t="n">
        <v>5140</v>
      </c>
      <c r="C5142" s="10" t="inlineStr">
        <is>
          <t>[HCM] Category Manager (In charge of Hapacol)</t>
        </is>
      </c>
      <c r="D5142" s="10" t="inlineStr">
        <is>
          <t>Công ty Cổ phần Dược Hậu Giang</t>
        </is>
      </c>
      <c r="E5142" s="10" t="inlineStr">
        <is>
          <t>Lương:Cạnh tranh</t>
        </is>
      </c>
      <c r="F5142" s="10" t="inlineStr">
        <is>
          <t>Hồ Chí Minh</t>
        </is>
      </c>
      <c r="G5142" s="10" t="inlineStr">
        <is>
          <t>25-03-2026</t>
        </is>
      </c>
      <c r="H5142" s="10" t="inlineStr">
        <is>
          <t>25/03/2026</t>
        </is>
      </c>
      <c r="I5142" s="10" t="inlineStr">
        <is>
          <t>17/03/2026</t>
        </is>
      </c>
      <c r="J5142" s="10" t="inlineStr">
        <is>
          <t>Dược phẩm/ Hóa Mỹ Phẩm, Tiếp thị / Marketing, Bán hàng / Kinh doanh</t>
        </is>
      </c>
      <c r="K5142" s="10" t="inlineStr">
        <is>
          <t>3 - 5 Năm</t>
        </is>
      </c>
      <c r="L5142" s="11">
        <f>HYPERLINK("https://careerviet.vn/vi/tim-viec-lam/hcm-category-manager-in-charge-of-hapacol.35C69B3C.html","Xem chi tiết")</f>
        <v/>
      </c>
      <c r="M5142" s="10" t="n"/>
    </row>
    <row r="5143">
      <c r="B5143" s="7" t="n">
        <v>5141</v>
      </c>
      <c r="C5143" t="inlineStr">
        <is>
          <t>Nhân viên Digital Marketing</t>
        </is>
      </c>
      <c r="D5143" t="inlineStr">
        <is>
          <t>CÔNG TY TNHH LABEE</t>
        </is>
      </c>
      <c r="E5143" t="inlineStr">
        <is>
          <t>Lương:10 Tr - 20 Tr VND</t>
        </is>
      </c>
      <c r="F5143" t="inlineStr">
        <is>
          <t>Hồ Chí Minh</t>
        </is>
      </c>
      <c r="G5143" t="inlineStr">
        <is>
          <t>31-03-2026</t>
        </is>
      </c>
      <c r="H5143" t="inlineStr">
        <is>
          <t>31/03/2026</t>
        </is>
      </c>
      <c r="I5143" t="inlineStr">
        <is>
          <t>17/03/2026</t>
        </is>
      </c>
      <c r="J5143" t="inlineStr">
        <is>
          <t>Tiếp thị / Marketing, Quảng cáo / Đối ngoại / Truyền Thông, Thương mại điện tử</t>
        </is>
      </c>
      <c r="K5143" t="inlineStr">
        <is>
          <t>1 - 2 Năm</t>
        </is>
      </c>
      <c r="L5143" s="8">
        <f>HYPERLINK("https://careerviet.vn/vi/tim-viec-lam/nhan-vien-digital-marketing.35C69B26.html","Xem chi tiết")</f>
        <v/>
      </c>
    </row>
    <row r="5144">
      <c r="B5144" s="9" t="n">
        <v>5142</v>
      </c>
      <c r="C5144" s="10" t="inlineStr">
        <is>
          <t>Senior IT Administrator</t>
        </is>
      </c>
      <c r="D5144" s="10" t="inlineStr">
        <is>
          <t>Công ty TNHH FES VietNam</t>
        </is>
      </c>
      <c r="E5144" s="10" t="inlineStr">
        <is>
          <t>Lương:Cạnh tranh</t>
        </is>
      </c>
      <c r="F5144" s="10" t="inlineStr">
        <is>
          <t>Bình Dương</t>
        </is>
      </c>
      <c r="G5144" s="10" t="inlineStr">
        <is>
          <t>25-03-2026</t>
        </is>
      </c>
      <c r="H5144" s="10" t="inlineStr">
        <is>
          <t>25/03/2026</t>
        </is>
      </c>
      <c r="I5144" s="10" t="inlineStr">
        <is>
          <t>17/03/2026</t>
        </is>
      </c>
      <c r="J5144" s="10" t="inlineStr">
        <is>
          <t>CNTT - Phần cứng / Mạng</t>
        </is>
      </c>
      <c r="K5144" s="10" t="inlineStr">
        <is>
          <t>5 Năm</t>
        </is>
      </c>
      <c r="L5144" s="11">
        <f>HYPERLINK("https://careerviet.vn/vi/tim-viec-lam/senior-it-administrator.35C69AD5.html","Xem chi tiết")</f>
        <v/>
      </c>
      <c r="M5144" s="10" t="n"/>
    </row>
    <row r="5145">
      <c r="B5145" s="7" t="n">
        <v>5143</v>
      </c>
      <c r="C5145" t="inlineStr">
        <is>
          <t>HO - Chuyên viên cao cấp Thiết kế</t>
        </is>
      </c>
      <c r="D5145" t="inlineStr">
        <is>
          <t>Ngân Hàng TMCP Phương Đông - OCB</t>
        </is>
      </c>
      <c r="E5145" t="inlineStr">
        <is>
          <t>Lương:Cạnh tranh</t>
        </is>
      </c>
      <c r="F5145" t="inlineStr">
        <is>
          <t>Hồ Chí Minh</t>
        </is>
      </c>
      <c r="G5145" t="inlineStr">
        <is>
          <t>31-03-2026</t>
        </is>
      </c>
      <c r="H5145" t="inlineStr">
        <is>
          <t>31/03/2026</t>
        </is>
      </c>
      <c r="I5145" t="inlineStr">
        <is>
          <t>17/03/2026</t>
        </is>
      </c>
      <c r="J5145" t="inlineStr">
        <is>
          <t>Ngân hàng, Tiếp thị / Marketing</t>
        </is>
      </c>
      <c r="K5145" t="inlineStr">
        <is>
          <t>1 - 3 Năm</t>
        </is>
      </c>
      <c r="L5145" s="8">
        <f>HYPERLINK("https://careerviet.vn/vi/tim-viec-lam/ho-chuyen-vien-cao-cap-thiet-ke.35C69BCD.html","Xem chi tiết")</f>
        <v/>
      </c>
    </row>
    <row r="5146">
      <c r="B5146" s="9" t="n">
        <v>5144</v>
      </c>
      <c r="C5146" s="10" t="inlineStr">
        <is>
          <t>Nhân viên Xuất Nhập Khẩu (NV hàng nhập)</t>
        </is>
      </c>
      <c r="D5146" s="10" t="inlineStr">
        <is>
          <t>Công ty TNHH, Liên Doanh Vĩnh Hưng (TMI Việt Nam)</t>
        </is>
      </c>
      <c r="E5146" s="10" t="inlineStr">
        <is>
          <t>Lương:10 Tr - 11 Tr VND</t>
        </is>
      </c>
      <c r="F5146" s="10" t="inlineStr">
        <is>
          <t>Hồ Chí Minh</t>
        </is>
      </c>
      <c r="G5146" s="10" t="inlineStr">
        <is>
          <t>31-03-2026</t>
        </is>
      </c>
      <c r="H5146" s="10" t="inlineStr">
        <is>
          <t>31/03/2026</t>
        </is>
      </c>
      <c r="I5146" s="10" t="inlineStr">
        <is>
          <t>17/03/2026</t>
        </is>
      </c>
      <c r="J5146" s="10" t="inlineStr">
        <is>
          <t>Xuất nhập khẩu, Dệt may / Da giày / Thời trang, Thu mua / Vật tư</t>
        </is>
      </c>
      <c r="K5146" s="10" t="inlineStr">
        <is>
          <t>Lên đến 1 Năm</t>
        </is>
      </c>
      <c r="L5146" s="11">
        <f>HYPERLINK("https://careerviet.vn/vi/tim-viec-lam/nhan-vien-xuat-nhap-khau-nv-hang-nhap.35C69AC0.html","Xem chi tiết")</f>
        <v/>
      </c>
      <c r="M5146" s="10" t="n"/>
    </row>
    <row r="5147">
      <c r="B5147" s="7" t="n">
        <v>5145</v>
      </c>
      <c r="C5147" t="inlineStr">
        <is>
          <t>Nhân viên xử lý số liệu</t>
        </is>
      </c>
      <c r="D5147" t="inlineStr">
        <is>
          <t>Quickpack Vietnam Limited</t>
        </is>
      </c>
      <c r="E5147" t="inlineStr">
        <is>
          <t>Lương:11 Tr - 15 Tr VND</t>
        </is>
      </c>
      <c r="F5147" t="inlineStr">
        <is>
          <t>Long An</t>
        </is>
      </c>
      <c r="G5147" t="inlineStr">
        <is>
          <t>26-02-2026</t>
        </is>
      </c>
      <c r="H5147" t="inlineStr">
        <is>
          <t>15/03/2026</t>
        </is>
      </c>
      <c r="I5147" t="inlineStr">
        <is>
          <t>17/03/2026</t>
        </is>
      </c>
      <c r="J5147" t="inlineStr">
        <is>
          <t>Kế toán / Kiểm toán, Thống kê, Sản xuất / Vận hành sản xuất</t>
        </is>
      </c>
      <c r="K5147" t="inlineStr">
        <is>
          <t>1 - 2 Năm</t>
        </is>
      </c>
      <c r="L5147" s="8">
        <f>HYPERLINK("https://careerviet.vn/vi/tim-viec-lam/nhan-vien-xu-ly-so-lieu.35C69B63.html","Xem chi tiết")</f>
        <v/>
      </c>
    </row>
    <row r="5148">
      <c r="B5148" s="9" t="n">
        <v>5146</v>
      </c>
      <c r="C5148" s="10" t="inlineStr">
        <is>
          <t>Chuyên Viên Kinh Doanh Online/ TeleMarketing</t>
        </is>
      </c>
      <c r="D5148" s="10" t="inlineStr">
        <is>
          <t>CÔNG TY CỔ PHẦN NỆM THUẦN VIỆT</t>
        </is>
      </c>
      <c r="E5148" s="10" t="inlineStr">
        <is>
          <t>Lương:15 Tr - 30 Tr VND</t>
        </is>
      </c>
      <c r="F5148" s="10" t="inlineStr">
        <is>
          <t>Hồ Chí Minh</t>
        </is>
      </c>
      <c r="G5148" s="10" t="inlineStr">
        <is>
          <t>28-03-2026</t>
        </is>
      </c>
      <c r="H5148" s="10" t="inlineStr">
        <is>
          <t>28/03/2026</t>
        </is>
      </c>
      <c r="I5148" s="10" t="inlineStr">
        <is>
          <t>17/03/2026</t>
        </is>
      </c>
      <c r="J5148" s="10" t="inlineStr">
        <is>
          <t>Bán hàng / Kinh doanh</t>
        </is>
      </c>
      <c r="K5148" s="10" t="inlineStr">
        <is>
          <t>1 - 2 Năm</t>
        </is>
      </c>
      <c r="L5148" s="11">
        <f>HYPERLINK("https://careerviet.vn/vi/tim-viec-lam/chuyen-vien-kinh-doanh-online-telemarketing.35C69B5D.html","Xem chi tiết")</f>
        <v/>
      </c>
      <c r="M5148" s="10" t="n"/>
    </row>
    <row r="5149">
      <c r="B5149" s="7" t="n">
        <v>5147</v>
      </c>
      <c r="C5149" t="inlineStr">
        <is>
          <t>Chuyên Viên/Nhân Viên Kế Toán (Kế Toán Sản Xuất)</t>
        </is>
      </c>
      <c r="D5149" t="inlineStr">
        <is>
          <t>Công Ty TNHH Thủy Design House</t>
        </is>
      </c>
      <c r="E5149" t="inlineStr">
        <is>
          <t>Lương:9 Tr - 15 Tr VND</t>
        </is>
      </c>
      <c r="F5149" t="inlineStr">
        <is>
          <t>Hồ Chí Minh</t>
        </is>
      </c>
      <c r="G5149" t="inlineStr">
        <is>
          <t>26-03-2026</t>
        </is>
      </c>
      <c r="H5149" t="inlineStr">
        <is>
          <t>26/03/2026</t>
        </is>
      </c>
      <c r="I5149" t="inlineStr">
        <is>
          <t>17/03/2026</t>
        </is>
      </c>
      <c r="J5149" t="inlineStr">
        <is>
          <t>Kế toán / Kiểm toán, Mỹ thuật / Nghệ thuật / Thiết kế, Sản xuất / Vận hành sản xuất</t>
        </is>
      </c>
      <c r="K5149" t="inlineStr">
        <is>
          <t>1 - 2 Năm</t>
        </is>
      </c>
      <c r="L5149" s="8">
        <f>HYPERLINK("https://careerviet.vn/vi/tim-viec-lam/chuyen-vien-nhan-vien-ke-toan-ke-toan-san-xuat.35C69AB2.html","Xem chi tiết")</f>
        <v/>
      </c>
    </row>
    <row r="5150">
      <c r="B5150" s="9" t="n">
        <v>5148</v>
      </c>
      <c r="C5150" s="10" t="inlineStr">
        <is>
          <t>Giám Đốc Sản Xuất Xưởng SMT</t>
        </is>
      </c>
      <c r="D5150" s="10" t="inlineStr">
        <is>
          <t>CÔNG TY TNHH RYDER INDUSTRIES VIỆT NAM</t>
        </is>
      </c>
      <c r="E5150" s="10" t="inlineStr">
        <is>
          <t>Lương:50 Tr - 70 Tr VND</t>
        </is>
      </c>
      <c r="F5150" s="10" t="inlineStr">
        <is>
          <t>Đồng Nai</t>
        </is>
      </c>
      <c r="G5150" s="10" t="inlineStr">
        <is>
          <t>26-03-2026</t>
        </is>
      </c>
      <c r="H5150" s="10" t="inlineStr">
        <is>
          <t>26/03/2026</t>
        </is>
      </c>
      <c r="I5150" s="10" t="inlineStr">
        <is>
          <t>17/03/2026</t>
        </is>
      </c>
      <c r="J5150" s="10" t="inlineStr">
        <is>
          <t>Sản xuất / Vận hành sản xuất, Quản lý điều hành, Điện / Điện tử / Điện lạnh / Điện công nghiệp</t>
        </is>
      </c>
      <c r="K5150" s="10" t="inlineStr">
        <is>
          <t>Trên 5 Năm</t>
        </is>
      </c>
      <c r="L5150" s="11">
        <f>HYPERLINK("https://careerviet.vn/vi/tim-viec-lam/giam-doc-san-xuat-xuong-smt.35C69A4E.html","Xem chi tiết")</f>
        <v/>
      </c>
      <c r="M5150" s="10" t="n"/>
    </row>
    <row r="5151">
      <c r="B5151" s="7" t="n">
        <v>5149</v>
      </c>
      <c r="C5151" t="inlineStr">
        <is>
          <t>Nhân Viên IT System</t>
        </is>
      </c>
      <c r="D5151" t="inlineStr">
        <is>
          <t>Công Ty Cổ phần Hệ thống Công Nghệ Hoàng Hải</t>
        </is>
      </c>
      <c r="E5151" t="inlineStr">
        <is>
          <t>Lương:Cạnh tranh</t>
        </is>
      </c>
      <c r="F5151" t="inlineStr">
        <is>
          <t>Hồ Chí Minh</t>
        </is>
      </c>
      <c r="G5151" t="inlineStr">
        <is>
          <t>26-03-2026</t>
        </is>
      </c>
      <c r="H5151" t="inlineStr">
        <is>
          <t>26/03/2026</t>
        </is>
      </c>
      <c r="I5151" t="inlineStr">
        <is>
          <t>17/03/2026</t>
        </is>
      </c>
      <c r="J5151" t="inlineStr">
        <is>
          <t>CNTT - Phần mềm, CNTT - Phần cứng / Mạng, Bảo trì / Sửa chữa</t>
        </is>
      </c>
      <c r="K5151" t="inlineStr">
        <is>
          <t>1 - 2 Năm</t>
        </is>
      </c>
      <c r="L5151" s="8">
        <f>HYPERLINK("https://careerviet.vn/vi/tim-viec-lam/nhan-vien-it-system.35C69A4B.html","Xem chi tiết")</f>
        <v/>
      </c>
    </row>
    <row r="5152">
      <c r="B5152" s="9" t="n">
        <v>5150</v>
      </c>
      <c r="C5152" s="10" t="inlineStr">
        <is>
          <t>Logistics Officer (Import Export - Factory Background)</t>
        </is>
      </c>
      <c r="D5152" s="10" t="inlineStr">
        <is>
          <t>Brand Packaging Joint Stock Company</t>
        </is>
      </c>
      <c r="E5152" s="10" t="inlineStr">
        <is>
          <t>Lương:Cạnh tranh</t>
        </is>
      </c>
      <c r="F5152" s="10" t="inlineStr">
        <is>
          <t>Bình Dương</t>
        </is>
      </c>
      <c r="G5152" s="10" t="inlineStr">
        <is>
          <t>25-03-2026</t>
        </is>
      </c>
      <c r="H5152" s="10" t="inlineStr">
        <is>
          <t>25/03/2026</t>
        </is>
      </c>
      <c r="I5152" s="10" t="inlineStr">
        <is>
          <t>17/03/2026</t>
        </is>
      </c>
      <c r="J5152" s="10" t="inlineStr">
        <is>
          <t>Vận chuyển / Giao nhận / Kho vận, Xuất nhập khẩu, Sản xuất / Vận hành sản xuất</t>
        </is>
      </c>
      <c r="K5152" s="10" t="inlineStr">
        <is>
          <t>Trên 3 Năm</t>
        </is>
      </c>
      <c r="L5152" s="11">
        <f>HYPERLINK("https://careerviet.vn/vi/tim-viec-lam/logistics-officer-import-export-factory-background.35C69B45.html","Xem chi tiết")</f>
        <v/>
      </c>
      <c r="M5152" s="10" t="n"/>
    </row>
    <row r="5153">
      <c r="B5153" s="7" t="n">
        <v>5151</v>
      </c>
      <c r="C5153" t="inlineStr">
        <is>
          <t>Legal officer</t>
        </is>
      </c>
      <c r="D5153" t="inlineStr">
        <is>
          <t>CÔNG TY TNHH SEAH M&amp;S VIỆT NAM</t>
        </is>
      </c>
      <c r="E5153" t="inlineStr">
        <is>
          <t>Lương:Cạnh tranh</t>
        </is>
      </c>
      <c r="F5153" t="inlineStr">
        <is>
          <t>Bà Rịa - Vũng TàuHồ Chí Minh</t>
        </is>
      </c>
      <c r="G5153" t="inlineStr">
        <is>
          <t>26-03-2026</t>
        </is>
      </c>
      <c r="H5153" t="inlineStr">
        <is>
          <t>26/03/2026</t>
        </is>
      </c>
      <c r="I5153" t="inlineStr">
        <is>
          <t>17/03/2026</t>
        </is>
      </c>
      <c r="J5153" t="inlineStr">
        <is>
          <t>Luật / Pháp lý, Sản xuất / Vận hành sản xuất</t>
        </is>
      </c>
      <c r="K5153" t="inlineStr">
        <is>
          <t>2 - 3 Năm</t>
        </is>
      </c>
      <c r="L5153" s="8">
        <f>HYPERLINK("https://careerviet.vn/vi/tim-viec-lam/legal-officer.35C69A79.html","Xem chi tiết")</f>
        <v/>
      </c>
    </row>
    <row r="5154">
      <c r="B5154" s="9" t="n">
        <v>5152</v>
      </c>
      <c r="C5154" s="10" t="inlineStr">
        <is>
          <t>Giám Đốc Sản Xuất Xưởng Ép Nhựa</t>
        </is>
      </c>
      <c r="D5154" s="10" t="inlineStr">
        <is>
          <t>CÔNG TY TNHH RYDER INDUSTRIES VIỆT NAM</t>
        </is>
      </c>
      <c r="E5154" s="10" t="inlineStr">
        <is>
          <t>Lương:50 Tr - 70 Tr VND</t>
        </is>
      </c>
      <c r="F5154" s="10" t="inlineStr">
        <is>
          <t>Đồng Nai</t>
        </is>
      </c>
      <c r="G5154" s="10" t="inlineStr">
        <is>
          <t>26-03-2026</t>
        </is>
      </c>
      <c r="H5154" s="10" t="inlineStr">
        <is>
          <t>26/03/2026</t>
        </is>
      </c>
      <c r="I5154" s="10" t="inlineStr">
        <is>
          <t>17/03/2026</t>
        </is>
      </c>
      <c r="J5154" s="10" t="inlineStr">
        <is>
          <t>Cơ khí / Ô tô / Tự động hóa, Sản xuất / Vận hành sản xuất, Quản lý điều hành</t>
        </is>
      </c>
      <c r="K5154" s="10" t="inlineStr">
        <is>
          <t>Trên 5 Năm</t>
        </is>
      </c>
      <c r="L5154" s="11">
        <f>HYPERLINK("https://careerviet.vn/vi/tim-viec-lam/giam-doc-san-xuat-xuong-ep-nhua.35C69A4A.html","Xem chi tiết")</f>
        <v/>
      </c>
      <c r="M5154" s="10" t="n"/>
    </row>
    <row r="5155">
      <c r="B5155" s="7" t="n">
        <v>5153</v>
      </c>
      <c r="C5155" t="inlineStr">
        <is>
          <t>Nhân Viên IT Helpdesk</t>
        </is>
      </c>
      <c r="D5155" t="inlineStr">
        <is>
          <t>Công Ty Cổ phần Hệ thống Công Nghệ Hoàng Hải</t>
        </is>
      </c>
      <c r="E5155" t="inlineStr">
        <is>
          <t>Lương:8 Tr - 12 Tr VND</t>
        </is>
      </c>
      <c r="F5155" t="inlineStr">
        <is>
          <t>Hồ Chí Minh</t>
        </is>
      </c>
      <c r="G5155" t="inlineStr">
        <is>
          <t>26-03-2026</t>
        </is>
      </c>
      <c r="H5155" t="inlineStr">
        <is>
          <t>26/03/2026</t>
        </is>
      </c>
      <c r="I5155" t="inlineStr">
        <is>
          <t>17/03/2026</t>
        </is>
      </c>
      <c r="J5155" t="inlineStr">
        <is>
          <t>CNTT - Phần mềm, CNTT - Phần cứng / Mạng, Bảo trì / Sửa chữa</t>
        </is>
      </c>
      <c r="K5155" t="inlineStr">
        <is>
          <t>Trên 2 Năm</t>
        </is>
      </c>
      <c r="L5155" s="8">
        <f>HYPERLINK("https://careerviet.vn/vi/tim-viec-lam/nhan-vien-it-helpdesk.35C69A45.html","Xem chi tiết")</f>
        <v/>
      </c>
    </row>
    <row r="5156">
      <c r="B5156" s="9" t="n">
        <v>5154</v>
      </c>
      <c r="C5156" s="10" t="inlineStr">
        <is>
          <t>Nhân Viên Tuyển Dụng - Mass</t>
        </is>
      </c>
      <c r="D5156" s="10" t="inlineStr">
        <is>
          <t>FE CREDIT</t>
        </is>
      </c>
      <c r="E5156" s="10" t="inlineStr">
        <is>
          <t>Lương:Cạnh tranh</t>
        </is>
      </c>
      <c r="F5156" s="10" t="inlineStr">
        <is>
          <t>Hồ Chí Minh</t>
        </is>
      </c>
      <c r="G5156" s="10" t="inlineStr">
        <is>
          <t>31-03-2026</t>
        </is>
      </c>
      <c r="H5156" s="10" t="inlineStr">
        <is>
          <t>31/03/2026</t>
        </is>
      </c>
      <c r="I5156" s="10" t="inlineStr">
        <is>
          <t>17/03/2026</t>
        </is>
      </c>
      <c r="J5156" s="10" t="inlineStr">
        <is>
          <t>Nhân sự, Ngân hàng, Bảo hiểm</t>
        </is>
      </c>
      <c r="K5156" s="10" t="inlineStr">
        <is>
          <t>1 - 2 Năm</t>
        </is>
      </c>
      <c r="L5156" s="11">
        <f>HYPERLINK("https://careerviet.vn/vi/tim-viec-lam/nhan-vien-tuyen-dung-mass.35C69A86.html","Xem chi tiết")</f>
        <v/>
      </c>
      <c r="M5156" s="10" t="n"/>
    </row>
    <row r="5157">
      <c r="B5157" s="7" t="n">
        <v>5155</v>
      </c>
      <c r="C5157" t="inlineStr">
        <is>
          <t>HCNS Tổng hợp (ngành F&amp;B)</t>
        </is>
      </c>
      <c r="D5157" t="inlineStr">
        <is>
          <t>CÔNG TY TNHH BLUE ELATION</t>
        </is>
      </c>
      <c r="E5157" t="inlineStr">
        <is>
          <t>Lương:15 Tr - 18 Tr VND</t>
        </is>
      </c>
      <c r="F5157" t="inlineStr">
        <is>
          <t>Hồ Chí Minh</t>
        </is>
      </c>
      <c r="G5157" t="inlineStr">
        <is>
          <t>31-03-2026</t>
        </is>
      </c>
      <c r="H5157" t="inlineStr">
        <is>
          <t>31/03/2026</t>
        </is>
      </c>
      <c r="I5157" t="inlineStr">
        <is>
          <t>17/03/2026</t>
        </is>
      </c>
      <c r="J5157" t="inlineStr">
        <is>
          <t>Hành chính / Thư ký, Nhân sự, Nhà hàng / Khách sạn</t>
        </is>
      </c>
      <c r="K5157" t="inlineStr">
        <is>
          <t>4 - 11 Năm</t>
        </is>
      </c>
      <c r="L5157" s="8">
        <f>HYPERLINK("https://careerviet.vn/vi/tim-viec-lam/hcns-tong-hop-nganh-f-b.35C69A74.html","Xem chi tiết")</f>
        <v/>
      </c>
    </row>
    <row r="5158">
      <c r="B5158" s="9" t="n">
        <v>5156</v>
      </c>
      <c r="C5158" s="10" t="inlineStr">
        <is>
          <t>Kỹ sư cơ khí</t>
        </is>
      </c>
      <c r="D5158" s="10" t="inlineStr">
        <is>
          <t>CÔNG TY TNHH CƠ KHÍ MÔI TRƯỜNG HỒNG HÀ</t>
        </is>
      </c>
      <c r="E5158" s="10" t="inlineStr">
        <is>
          <t>Lương:13 Tr - 18 Tr VND</t>
        </is>
      </c>
      <c r="F5158" s="10" t="inlineStr">
        <is>
          <t>Hồ Chí MinhBình Dương</t>
        </is>
      </c>
      <c r="G5158" s="10" t="inlineStr">
        <is>
          <t>31-03-2026</t>
        </is>
      </c>
      <c r="H5158" s="10" t="inlineStr">
        <is>
          <t>31/03/2026</t>
        </is>
      </c>
      <c r="I5158" s="10" t="inlineStr">
        <is>
          <t>17/03/2026</t>
        </is>
      </c>
      <c r="J5158" s="10" t="inlineStr">
        <is>
          <t>Cơ khí / Ô tô / Tự động hóa</t>
        </is>
      </c>
      <c r="K5158" s="10" t="inlineStr">
        <is>
          <t>2 - 5 Năm</t>
        </is>
      </c>
      <c r="L5158" s="11">
        <f>HYPERLINK("https://careerviet.vn/vi/tim-viec-lam/ky-su-co-khi.35C699CF.html","Xem chi tiết")</f>
        <v/>
      </c>
      <c r="M5158" s="10" t="n"/>
    </row>
    <row r="5159">
      <c r="B5159" s="7" t="n">
        <v>5157</v>
      </c>
      <c r="C5159" t="inlineStr">
        <is>
          <t>[Phú Nhuận, Q.2] Thư ký Y khoa Phòng khám</t>
        </is>
      </c>
      <c r="D5159" t="inlineStr">
        <is>
          <t>CÔNG TY CP PHÁT TRIỂN Y TẾ VICTORIA HEALTHCARE</t>
        </is>
      </c>
      <c r="E5159" t="inlineStr">
        <is>
          <t>Lương:8 Tr - 9 Tr VND</t>
        </is>
      </c>
      <c r="F5159" t="inlineStr">
        <is>
          <t>Hồ Chí Minh</t>
        </is>
      </c>
      <c r="G5159" t="inlineStr">
        <is>
          <t>26-02-2026</t>
        </is>
      </c>
      <c r="H5159" t="inlineStr">
        <is>
          <t>15/03/2026</t>
        </is>
      </c>
      <c r="I5159" t="inlineStr">
        <is>
          <t>17/03/2026</t>
        </is>
      </c>
      <c r="J5159" t="inlineStr">
        <is>
          <t>Y tế / Chăm sóc sức khỏe / Thẩm mỹ / Làm đẹp, Dịch vụ khách hàng</t>
        </is>
      </c>
      <c r="K5159" t="inlineStr">
        <is>
          <t>1 - 2 Năm</t>
        </is>
      </c>
      <c r="L5159" s="8">
        <f>HYPERLINK("https://careerviet.vn/vi/tim-viec-lam/phu-nhuan-q-2-thu-ky-y-khoa-phong-kham.35C699E4.html","Xem chi tiết")</f>
        <v/>
      </c>
    </row>
    <row r="5160">
      <c r="B5160" s="9" t="n">
        <v>5158</v>
      </c>
      <c r="C5160" s="10" t="inlineStr">
        <is>
          <t>Kế toán trưởng</t>
        </is>
      </c>
      <c r="D5160" s="10" t="inlineStr">
        <is>
          <t>Sai Gon Hikari Eye Center</t>
        </is>
      </c>
      <c r="E5160" s="10" t="inlineStr">
        <is>
          <t>Lương:Cạnh tranh</t>
        </is>
      </c>
      <c r="F5160" s="10" t="inlineStr">
        <is>
          <t>Hồ Chí Minh</t>
        </is>
      </c>
      <c r="G5160" s="10" t="inlineStr">
        <is>
          <t>31-03-2026</t>
        </is>
      </c>
      <c r="H5160" s="10" t="inlineStr">
        <is>
          <t>31/03/2026</t>
        </is>
      </c>
      <c r="I5160" s="10" t="inlineStr">
        <is>
          <t>17/03/2026</t>
        </is>
      </c>
      <c r="J5160" s="10" t="inlineStr">
        <is>
          <t>Kế toán / Kiểm toán</t>
        </is>
      </c>
      <c r="K5160" s="10" t="inlineStr">
        <is>
          <t>Trên 3 Năm</t>
        </is>
      </c>
      <c r="L5160" s="11">
        <f>HYPERLINK("https://careerviet.vn/vi/tim-viec-lam/ke-toan-truong.35C69A6A.html","Xem chi tiết")</f>
        <v/>
      </c>
      <c r="M5160" s="10" t="n"/>
    </row>
    <row r="5161">
      <c r="B5161" s="7" t="n">
        <v>5159</v>
      </c>
      <c r="C5161" t="inlineStr">
        <is>
          <t>NHÂN VIÊN TỔ CHỨC HÀNH CHÁNH CO.OPXTRA LONG BÌNH (QUẬN 9 CŨ)</t>
        </is>
      </c>
      <c r="D5161" t="inlineStr">
        <is>
          <t>Liên Hiệp HTX Thương Mại TPHCM - SAIGON CO.OP</t>
        </is>
      </c>
      <c r="E5161" t="inlineStr">
        <is>
          <t>Lương:Cạnh tranh</t>
        </is>
      </c>
      <c r="F5161" t="inlineStr">
        <is>
          <t>Hồ Chí Minh</t>
        </is>
      </c>
      <c r="G5161" t="inlineStr">
        <is>
          <t>28-03-2026</t>
        </is>
      </c>
      <c r="H5161" t="inlineStr">
        <is>
          <t>28/03/2026</t>
        </is>
      </c>
      <c r="I5161" t="inlineStr">
        <is>
          <t>17/03/2026</t>
        </is>
      </c>
      <c r="J5161" t="inlineStr">
        <is>
          <t>Hành chính / Thư ký, Nhân sự, Luật / Pháp lý</t>
        </is>
      </c>
      <c r="K5161" t="inlineStr">
        <is>
          <t>Trên 1 Năm</t>
        </is>
      </c>
      <c r="L5161" s="8">
        <f>HYPERLINK("https://careerviet.vn/vi/tim-viec-lam/nhan-vien-to-chuc-hanh-chanh-co-opxtra-long-binh-quan-9-cu.35C699CC.html","Xem chi tiết")</f>
        <v/>
      </c>
    </row>
    <row r="5162">
      <c r="B5162" s="9" t="n">
        <v>5160</v>
      </c>
      <c r="C5162" s="10" t="inlineStr">
        <is>
          <t>Chuyên viên QA</t>
        </is>
      </c>
      <c r="D5162" s="10" t="inlineStr">
        <is>
          <t>CÔNG TY TNHH BAO BÌ NHỰA THÁI DƯƠNG</t>
        </is>
      </c>
      <c r="E5162" s="10" t="inlineStr">
        <is>
          <t>Lương:13 Tr - 15 Tr VND</t>
        </is>
      </c>
      <c r="F5162" s="10" t="inlineStr">
        <is>
          <t>Bình Dương</t>
        </is>
      </c>
      <c r="G5162" s="10" t="inlineStr">
        <is>
          <t>31-03-2026</t>
        </is>
      </c>
      <c r="H5162" s="10" t="inlineStr">
        <is>
          <t>31/03/2026</t>
        </is>
      </c>
      <c r="I5162" s="10" t="inlineStr">
        <is>
          <t>17/03/2026</t>
        </is>
      </c>
      <c r="J5162" s="10" t="inlineStr">
        <is>
          <t>Công nghệ thực phẩm / Dinh dưỡng, Quản lý chất lượng (QA/QC), Công nghệ sinh học</t>
        </is>
      </c>
      <c r="K5162" s="10" t="inlineStr">
        <is>
          <t>3 - 5 Năm</t>
        </is>
      </c>
      <c r="L5162" s="11">
        <f>HYPERLINK("https://careerviet.vn/vi/tim-viec-lam/chuyen-vien-qa.35C69A26.html","Xem chi tiết")</f>
        <v/>
      </c>
      <c r="M5162" s="10" t="n"/>
    </row>
    <row r="5163">
      <c r="B5163" s="7" t="n">
        <v>5161</v>
      </c>
      <c r="C5163" t="inlineStr">
        <is>
          <t>Receptionist - Lễ tân Phòng khám</t>
        </is>
      </c>
      <c r="D5163" t="inlineStr">
        <is>
          <t>CÔNG TY CP PHÁT TRIỂN Y TẾ VICTORIA HEALTHCARE</t>
        </is>
      </c>
      <c r="E5163" t="inlineStr">
        <is>
          <t>Lương:9 Tr - 11 Tr VND</t>
        </is>
      </c>
      <c r="F5163" t="inlineStr">
        <is>
          <t>Hồ Chí Minh</t>
        </is>
      </c>
      <c r="G5163" t="inlineStr">
        <is>
          <t>30-04-2026</t>
        </is>
      </c>
      <c r="H5163" t="inlineStr">
        <is>
          <t>30/04/2026</t>
        </is>
      </c>
      <c r="I5163" t="inlineStr">
        <is>
          <t>17/03/2026</t>
        </is>
      </c>
      <c r="J5163" t="inlineStr">
        <is>
          <t>Y tế / Chăm sóc sức khỏe / Thẩm mỹ / Làm đẹp, Dịch vụ khách hàng, Du lịch</t>
        </is>
      </c>
      <c r="K5163" t="inlineStr">
        <is>
          <t>1 - 2 Năm</t>
        </is>
      </c>
      <c r="L5163" s="8">
        <f>HYPERLINK("https://careerviet.vn/vi/tim-viec-lam/receptionist-le-tan-phong-kham.35C699ED.html","Xem chi tiết")</f>
        <v/>
      </c>
    </row>
    <row r="5164">
      <c r="B5164" s="9" t="n">
        <v>5162</v>
      </c>
      <c r="C5164" s="10" t="inlineStr">
        <is>
          <t>Graphic Designer</t>
        </is>
      </c>
      <c r="D5164" s="10" t="inlineStr">
        <is>
          <t>Công ty TNHH, Liên Doanh Vĩnh Hưng (TMI Việt Nam)</t>
        </is>
      </c>
      <c r="E5164" s="10" t="inlineStr">
        <is>
          <t>Lương:14 Tr - 18 Tr VND</t>
        </is>
      </c>
      <c r="F5164" s="10" t="inlineStr">
        <is>
          <t>Hồ Chí Minh</t>
        </is>
      </c>
      <c r="G5164" s="10" t="inlineStr">
        <is>
          <t>31-03-2026</t>
        </is>
      </c>
      <c r="H5164" s="10" t="inlineStr">
        <is>
          <t>31/03/2026</t>
        </is>
      </c>
      <c r="I5164" s="10" t="inlineStr">
        <is>
          <t>17/03/2026</t>
        </is>
      </c>
      <c r="J5164" s="10" t="inlineStr">
        <is>
          <t>Mỹ thuật / Nghệ thuật / Thiết kế, Tổ chức sự kiện, Quảng cáo / Đối ngoại / Truyền Thông</t>
        </is>
      </c>
      <c r="K5164" s="10" t="inlineStr">
        <is>
          <t>2 - 5 Năm</t>
        </is>
      </c>
      <c r="L5164" s="11">
        <f>HYPERLINK("https://careerviet.vn/vi/tim-viec-lam/graphic-designer.35C69A6B.html","Xem chi tiết")</f>
        <v/>
      </c>
      <c r="M5164" s="10" t="n"/>
    </row>
    <row r="5165">
      <c r="B5165" s="7" t="n">
        <v>5163</v>
      </c>
      <c r="C5165" t="inlineStr">
        <is>
          <t>Nhân viên bán hàng</t>
        </is>
      </c>
      <c r="D5165" t="inlineStr">
        <is>
          <t>Công ty TNHH Buymed Logistics</t>
        </is>
      </c>
      <c r="E5165" t="inlineStr">
        <is>
          <t>Lương:10 Tr - 14 Tr VND</t>
        </is>
      </c>
      <c r="F5165" t="inlineStr">
        <is>
          <t>Hà NộiHồ Chí MinhĐà Nẵng</t>
        </is>
      </c>
      <c r="G5165" t="inlineStr">
        <is>
          <t>27-03-2026</t>
        </is>
      </c>
      <c r="H5165" t="inlineStr">
        <is>
          <t>27/03/2026</t>
        </is>
      </c>
      <c r="I5165" t="inlineStr">
        <is>
          <t>17/03/2026</t>
        </is>
      </c>
      <c r="J5165" t="inlineStr">
        <is>
          <t>Bán lẻ / Bán sỉ, Bán hàng / Kinh doanh, Tiếp thị / Marketing</t>
        </is>
      </c>
      <c r="K5165" t="inlineStr">
        <is>
          <t>1 - 3 Năm</t>
        </is>
      </c>
      <c r="L5165" s="8">
        <f>HYPERLINK("https://careerviet.vn/vi/tim-viec-lam/nhan-vien-ban-hang.35C6998D.html","Xem chi tiết")</f>
        <v/>
      </c>
    </row>
    <row r="5166">
      <c r="B5166" s="9" t="n">
        <v>5164</v>
      </c>
      <c r="C5166" s="10" t="inlineStr">
        <is>
          <t>Quản lý kinh doanh khu vực Tây Bắc</t>
        </is>
      </c>
      <c r="D5166" s="10" t="inlineStr">
        <is>
          <t>CÔNG TY CỔ PHẦN DƯỢC PHẨM REVO</t>
        </is>
      </c>
      <c r="E5166" s="10" t="inlineStr">
        <is>
          <t>Lương:Trên 40 Tr VND</t>
        </is>
      </c>
      <c r="F5166" s="10" t="inlineStr">
        <is>
          <t>Hà NộiBắc GiangVĩnh Phúc</t>
        </is>
      </c>
      <c r="G5166" s="10" t="inlineStr">
        <is>
          <t>31-03-2026</t>
        </is>
      </c>
      <c r="H5166" s="10" t="inlineStr">
        <is>
          <t>31/03/2026</t>
        </is>
      </c>
      <c r="I5166" s="10" t="inlineStr">
        <is>
          <t>17/03/2026</t>
        </is>
      </c>
      <c r="J5166" s="10" t="inlineStr">
        <is>
          <t>Bán hàng / Kinh doanh, Dược phẩm/ Hóa Mỹ Phẩm, Tư vấn</t>
        </is>
      </c>
      <c r="K5166" s="10" t="inlineStr">
        <is>
          <t>Trên 2 Năm</t>
        </is>
      </c>
      <c r="L5166" s="11">
        <f>HYPERLINK("https://careerviet.vn/vi/tim-viec-lam/quan-ly-kinh-doanh-khu-vuc-tay-bac.35C69958.html","Xem chi tiết")</f>
        <v/>
      </c>
      <c r="M5166" s="10" t="n"/>
    </row>
    <row r="5167">
      <c r="B5167" s="7" t="n">
        <v>5165</v>
      </c>
      <c r="C5167" t="inlineStr">
        <is>
          <t>Fresh Process Technician (Chuyên Ngành Hóa học) - Củ Chi</t>
        </is>
      </c>
      <c r="D5167" t="inlineStr">
        <is>
          <t>Techtronic Industries Vietnam Manufacturing Company Limited</t>
        </is>
      </c>
      <c r="E5167" t="inlineStr">
        <is>
          <t>Lương:Cạnh tranh</t>
        </is>
      </c>
      <c r="F5167" t="inlineStr">
        <is>
          <t>Hồ Chí Minh</t>
        </is>
      </c>
      <c r="G5167" t="inlineStr">
        <is>
          <t>31-03-2026</t>
        </is>
      </c>
      <c r="H5167" t="inlineStr">
        <is>
          <t>31/03/2026</t>
        </is>
      </c>
      <c r="I5167" t="inlineStr">
        <is>
          <t>17/03/2026</t>
        </is>
      </c>
      <c r="J5167" t="inlineStr">
        <is>
          <t>Công nghệ sinh học, Hóa học</t>
        </is>
      </c>
      <c r="K5167" t="inlineStr">
        <is>
          <t>Không yêu cầu kinh nghiệm</t>
        </is>
      </c>
      <c r="L5167" s="8">
        <f>HYPERLINK("https://careerviet.vn/vi/tim-viec-lam/fresh-process-technician-chuyen-nganh-hoa-hoc-cu-chi.35C699C0.html","Xem chi tiết")</f>
        <v/>
      </c>
    </row>
    <row r="5168">
      <c r="B5168" s="9" t="n">
        <v>5166</v>
      </c>
      <c r="C5168" s="10" t="inlineStr">
        <is>
          <t>Hành chính nhân sự</t>
        </is>
      </c>
      <c r="D5168" s="10" t="inlineStr">
        <is>
          <t>CÔNG TY CỔ PHẦN THƯƠNG MẠI ĐẦU TƯ ONE - T</t>
        </is>
      </c>
      <c r="E5168" s="10" t="inlineStr">
        <is>
          <t>Lương:10 Tr - 13 Tr VND</t>
        </is>
      </c>
      <c r="F5168" s="10" t="inlineStr">
        <is>
          <t>Hà NộiHồ Chí Minh</t>
        </is>
      </c>
      <c r="G5168" s="10" t="inlineStr">
        <is>
          <t>29-04-2026</t>
        </is>
      </c>
      <c r="H5168" s="10" t="inlineStr">
        <is>
          <t>29/04/2026</t>
        </is>
      </c>
      <c r="I5168" s="10" t="inlineStr">
        <is>
          <t>17/03/2026</t>
        </is>
      </c>
      <c r="J5168" s="10" t="inlineStr">
        <is>
          <t>Hành chính / Thư ký, Nhân sự</t>
        </is>
      </c>
      <c r="K5168" s="10" t="inlineStr">
        <is>
          <t>2 - 3 Năm</t>
        </is>
      </c>
      <c r="L5168" s="11">
        <f>HYPERLINK("https://careerviet.vn/vi/tim-viec-lam/hanh-chinh-nhan-su.35C6993E.html","Xem chi tiết")</f>
        <v/>
      </c>
      <c r="M5168" s="10" t="n"/>
    </row>
    <row r="5169">
      <c r="B5169" s="7" t="n">
        <v>5167</v>
      </c>
      <c r="C5169" t="inlineStr">
        <is>
          <t>[Factory 1] Junior Production Supervisor (Fresh Graduated from Chemical/ Biotech)</t>
        </is>
      </c>
      <c r="D5169" t="inlineStr">
        <is>
          <t>CÔNG TY TNHH ROHTO-MENTHOLATUM (VIỆT NAM)</t>
        </is>
      </c>
      <c r="E5169" t="inlineStr">
        <is>
          <t>Lương:Cạnh tranh</t>
        </is>
      </c>
      <c r="F5169" t="inlineStr">
        <is>
          <t>Bình Dương</t>
        </is>
      </c>
      <c r="G5169" t="inlineStr">
        <is>
          <t>25-03-2026</t>
        </is>
      </c>
      <c r="H5169" t="inlineStr">
        <is>
          <t>25/03/2026</t>
        </is>
      </c>
      <c r="I5169" t="inlineStr">
        <is>
          <t>17/03/2026</t>
        </is>
      </c>
      <c r="J5169" t="inlineStr">
        <is>
          <t>Sản xuất / Vận hành sản xuất, Dược phẩm/ Hóa Mỹ Phẩm, Hàng gia dụng / Chăm sóc cá nhân</t>
        </is>
      </c>
      <c r="K5169" t="inlineStr">
        <is>
          <t>Chưa có kinh nghiệm</t>
        </is>
      </c>
      <c r="L5169" s="8">
        <f>HYPERLINK("https://careerviet.vn/vi/tim-viec-lam/factory-1-junior-production-supervisor-fresh-graduated-from-chemical-biotech.35C69964.html","Xem chi tiết")</f>
        <v/>
      </c>
    </row>
    <row r="5170">
      <c r="B5170" s="9" t="n">
        <v>5168</v>
      </c>
      <c r="C5170" s="10" t="inlineStr">
        <is>
          <t>Nhân viên tuyển dụng</t>
        </is>
      </c>
      <c r="D5170" s="10" t="inlineStr">
        <is>
          <t>Công ty TNHH Airspeed Manufacturing Việt Nam</t>
        </is>
      </c>
      <c r="E5170" s="10" t="inlineStr">
        <is>
          <t>Lương:Cạnh tranh</t>
        </is>
      </c>
      <c r="F5170" s="10" t="inlineStr">
        <is>
          <t>Long An</t>
        </is>
      </c>
      <c r="G5170" s="10" t="inlineStr">
        <is>
          <t>31-03-2026</t>
        </is>
      </c>
      <c r="H5170" s="10" t="inlineStr">
        <is>
          <t>31/03/2026</t>
        </is>
      </c>
      <c r="I5170" s="10" t="inlineStr">
        <is>
          <t>17/03/2026</t>
        </is>
      </c>
      <c r="J5170" s="10" t="inlineStr">
        <is>
          <t>Nhân sự</t>
        </is>
      </c>
      <c r="K5170" s="10" t="inlineStr">
        <is>
          <t>1 - 3 Năm</t>
        </is>
      </c>
      <c r="L5170" s="11">
        <f>HYPERLINK("https://careerviet.vn/vi/tim-viec-lam/nhan-vien-tuyen-dung.35C6994F.html","Xem chi tiết")</f>
        <v/>
      </c>
      <c r="M5170" s="10" t="n"/>
    </row>
    <row r="5171">
      <c r="B5171" s="7" t="n">
        <v>5169</v>
      </c>
      <c r="C5171" t="inlineStr">
        <is>
          <t>Kỹ sư bảo trì Khuôn</t>
        </is>
      </c>
      <c r="D5171" t="inlineStr">
        <is>
          <t>Saint-Gobain Vietnam _ nhà máy Vĩnh Tường</t>
        </is>
      </c>
      <c r="E5171" t="inlineStr">
        <is>
          <t>Lương:10 Tr - 14 Tr VND</t>
        </is>
      </c>
      <c r="F5171" t="inlineStr">
        <is>
          <t>Hồ Chí Minh</t>
        </is>
      </c>
      <c r="G5171" t="inlineStr">
        <is>
          <t>27-03-2026</t>
        </is>
      </c>
      <c r="H5171" t="inlineStr">
        <is>
          <t>27/03/2026</t>
        </is>
      </c>
      <c r="I5171" t="inlineStr">
        <is>
          <t>17/03/2026</t>
        </is>
      </c>
      <c r="J5171" t="inlineStr">
        <is>
          <t>Sản xuất / Vận hành sản xuất</t>
        </is>
      </c>
      <c r="K5171" t="inlineStr">
        <is>
          <t>1 - 2 Năm</t>
        </is>
      </c>
      <c r="L5171" s="8">
        <f>HYPERLINK("https://careerviet.vn/vi/tim-viec-lam/ky-su-bao-tri-khuon.35C6688F.html","Xem chi tiết")</f>
        <v/>
      </c>
    </row>
    <row r="5172">
      <c r="B5172" s="9" t="n">
        <v>5170</v>
      </c>
      <c r="C5172" s="10" t="inlineStr">
        <is>
          <t>AR &amp; Revenue Accountant (Fresh graduate or Junior Level)</t>
        </is>
      </c>
      <c r="D5172" s="10" t="inlineStr">
        <is>
          <t>Công ty Cổ Phần Gourmet Partner Việt Nam</t>
        </is>
      </c>
      <c r="E5172" s="10" t="inlineStr">
        <is>
          <t>Lương:Cạnh tranh</t>
        </is>
      </c>
      <c r="F5172" s="10" t="inlineStr">
        <is>
          <t>Hồ Chí Minh</t>
        </is>
      </c>
      <c r="G5172" s="10" t="inlineStr">
        <is>
          <t>28-03-2026</t>
        </is>
      </c>
      <c r="H5172" s="10" t="inlineStr">
        <is>
          <t>28/03/2026</t>
        </is>
      </c>
      <c r="I5172" s="10" t="inlineStr">
        <is>
          <t>17/03/2026</t>
        </is>
      </c>
      <c r="J5172" s="10" t="inlineStr">
        <is>
          <t>Kế toán / Kiểm toán</t>
        </is>
      </c>
      <c r="K5172" s="10" t="inlineStr">
        <is>
          <t>N/A</t>
        </is>
      </c>
      <c r="L5172" s="11">
        <f>HYPERLINK("https://careerviet.vn/vi/tim-viec-lam/ar-revenue-accountant-fresh-graduate-or-junior-level.35C698E8.html","Xem chi tiết")</f>
        <v/>
      </c>
      <c r="M5172" s="10" t="n"/>
    </row>
    <row r="5173">
      <c r="B5173" s="7" t="n">
        <v>5171</v>
      </c>
      <c r="C5173" t="inlineStr">
        <is>
          <t>Nhân Viên Bảo Trì Điện Công Nghiệp</t>
        </is>
      </c>
      <c r="D5173" t="inlineStr">
        <is>
          <t>CÔNG TY TNHH CÀ PHÊ TRÀ PHƯƠNG VY</t>
        </is>
      </c>
      <c r="E5173" t="inlineStr">
        <is>
          <t>Lương:Cạnh tranh</t>
        </is>
      </c>
      <c r="F5173" t="inlineStr">
        <is>
          <t>Bình Dương</t>
        </is>
      </c>
      <c r="G5173" t="inlineStr">
        <is>
          <t>27-03-2026</t>
        </is>
      </c>
      <c r="H5173" t="inlineStr">
        <is>
          <t>27/03/2026</t>
        </is>
      </c>
      <c r="I5173" t="inlineStr">
        <is>
          <t>17/03/2026</t>
        </is>
      </c>
      <c r="J5173" t="inlineStr">
        <is>
          <t>Điện / Điện tử / Điện lạnh / Điện công nghiệp, Bảo trì / Sửa chữa</t>
        </is>
      </c>
      <c r="K5173" t="inlineStr">
        <is>
          <t>1 - 2 Năm</t>
        </is>
      </c>
      <c r="L5173" s="8">
        <f>HYPERLINK("https://careerviet.vn/vi/tim-viec-lam/nhan-vien-bao-tri-dien-cong-nghiep.35C66942.html","Xem chi tiết")</f>
        <v/>
      </c>
    </row>
    <row r="5174">
      <c r="B5174" s="9" t="n">
        <v>5172</v>
      </c>
      <c r="C5174" s="10" t="inlineStr">
        <is>
          <t>[Hà Nội] Phó phòng Vận hành tín dụng (phụ trách mảng vận hành tín dụng)</t>
        </is>
      </c>
      <c r="D5174" s="10" t="inlineStr">
        <is>
          <t>Ngân hàng TMCP Lộc Phát Việt Nam (LPBank)</t>
        </is>
      </c>
      <c r="E5174" s="10" t="inlineStr">
        <is>
          <t>Lương:Cạnh tranh</t>
        </is>
      </c>
      <c r="F5174" s="10" t="inlineStr">
        <is>
          <t>Hà Nội</t>
        </is>
      </c>
      <c r="G5174" s="10" t="inlineStr">
        <is>
          <t>27-03-2026</t>
        </is>
      </c>
      <c r="H5174" s="10" t="inlineStr">
        <is>
          <t>27/03/2026</t>
        </is>
      </c>
      <c r="I5174" s="10" t="inlineStr">
        <is>
          <t>17/03/2026</t>
        </is>
      </c>
      <c r="J5174" s="10" t="inlineStr">
        <is>
          <t>CNTT - Phần mềm, Kế toán / Kiểm toán, Ngân hàng</t>
        </is>
      </c>
      <c r="K5174" s="10" t="inlineStr">
        <is>
          <t>Trên 8 Năm</t>
        </is>
      </c>
      <c r="L5174" s="11">
        <f>HYPERLINK("https://careerviet.vn/vi/tim-viec-lam/ha-noi-pho-phong-van-hanh-tin-dung-phu-trach-mang-van-hanh-tin-dung.35C6697F.html","Xem chi tiết")</f>
        <v/>
      </c>
      <c r="M5174" s="10" t="n"/>
    </row>
    <row r="5175">
      <c r="B5175" s="7" t="n">
        <v>5173</v>
      </c>
      <c r="C5175" t="inlineStr">
        <is>
          <t>Compliance Specialist</t>
        </is>
      </c>
      <c r="D5175" t="inlineStr">
        <is>
          <t>Be Group Joint Stock Company</t>
        </is>
      </c>
      <c r="E5175" t="inlineStr">
        <is>
          <t>Lương:Cạnh tranh</t>
        </is>
      </c>
      <c r="F5175" t="inlineStr">
        <is>
          <t>Hồ Chí Minh</t>
        </is>
      </c>
      <c r="G5175" t="inlineStr">
        <is>
          <t>31-03-2026</t>
        </is>
      </c>
      <c r="H5175" t="inlineStr">
        <is>
          <t>31/03/2026</t>
        </is>
      </c>
      <c r="I5175" t="inlineStr">
        <is>
          <t>17/03/2026</t>
        </is>
      </c>
      <c r="J5175" t="inlineStr">
        <is>
          <t>Luật / Pháp lý</t>
        </is>
      </c>
      <c r="K5175" t="inlineStr">
        <is>
          <t>2 - 4 Năm</t>
        </is>
      </c>
      <c r="L5175" s="8">
        <f>HYPERLINK("https://careerviet.vn/vi/tim-viec-lam/compliance-specialist.35C698EA.html","Xem chi tiết")</f>
        <v/>
      </c>
    </row>
    <row r="5176">
      <c r="B5176" s="9" t="n">
        <v>5174</v>
      </c>
      <c r="C5176" s="10" t="inlineStr">
        <is>
          <t>Quản lý khu vực ASM</t>
        </is>
      </c>
      <c r="D5176" s="10" t="inlineStr">
        <is>
          <t>Công Ty Cổ Phần Cơ Khí Hồng Ký</t>
        </is>
      </c>
      <c r="E5176" s="10" t="inlineStr">
        <is>
          <t>Lương:Cạnh tranh</t>
        </is>
      </c>
      <c r="F5176" s="10" t="inlineStr">
        <is>
          <t>Hà Nội</t>
        </is>
      </c>
      <c r="G5176" s="10" t="inlineStr">
        <is>
          <t>27-03-2026</t>
        </is>
      </c>
      <c r="H5176" s="10" t="inlineStr">
        <is>
          <t>27/03/2026</t>
        </is>
      </c>
      <c r="I5176" s="10" t="inlineStr">
        <is>
          <t>17/03/2026</t>
        </is>
      </c>
      <c r="J5176" s="10" t="inlineStr">
        <is>
          <t>Bán hàng / Kinh doanh, Cơ khí / Ô tô / Tự động hóa, Bảo trì / Sửa chữa</t>
        </is>
      </c>
      <c r="K5176" s="10" t="inlineStr">
        <is>
          <t>5 - 15 Năm</t>
        </is>
      </c>
      <c r="L5176" s="11">
        <f>HYPERLINK("https://careerviet.vn/vi/tim-viec-lam/quan-ly-khu-vuc-asm.35C6698A.html","Xem chi tiết")</f>
        <v/>
      </c>
      <c r="M5176" s="10" t="n"/>
    </row>
    <row r="5177">
      <c r="B5177" s="7" t="n">
        <v>5175</v>
      </c>
      <c r="C5177" t="inlineStr">
        <is>
          <t>Trưởng Phòng Kinh Doanh – Trung tâm thế chấp - Hồ Chí Minh - ID1611</t>
        </is>
      </c>
      <c r="D5177" t="inlineStr">
        <is>
          <t>Ngân Hàng TMCP Việt Nam Thịnh Vượng - VPBANK</t>
        </is>
      </c>
      <c r="E5177" t="inlineStr">
        <is>
          <t>Lương:Cạnh tranh</t>
        </is>
      </c>
      <c r="F5177" t="inlineStr">
        <is>
          <t>Hồ Chí Minh</t>
        </is>
      </c>
      <c r="G5177" t="inlineStr">
        <is>
          <t>27-03-2026</t>
        </is>
      </c>
      <c r="H5177" t="inlineStr">
        <is>
          <t>27/03/2026</t>
        </is>
      </c>
      <c r="I5177" t="inlineStr">
        <is>
          <t>17/03/2026</t>
        </is>
      </c>
      <c r="J5177" t="inlineStr">
        <is>
          <t>Bán hàng / Kinh doanh, Ngân hàng</t>
        </is>
      </c>
      <c r="K5177" t="inlineStr">
        <is>
          <t>3 - 4 Năm</t>
        </is>
      </c>
      <c r="L5177" s="8">
        <f>HYPERLINK("https://careerviet.vn/vi/tim-viec-lam/truong-phong-kinh-doanh-trung-tam-the-chap-ho-chi-minh-id1611.35C669B6.html","Xem chi tiết")</f>
        <v/>
      </c>
    </row>
    <row r="5178">
      <c r="B5178" s="9" t="n">
        <v>5176</v>
      </c>
      <c r="C5178" s="10" t="inlineStr">
        <is>
          <t>Chuyên viên đầu tư cao cấp</t>
        </is>
      </c>
      <c r="D5178" s="10" t="inlineStr">
        <is>
          <t>CÔNG TY CỔ PHẦN ĐẦU TƯ TẦM NHÌN PHƯƠNG NAM</t>
        </is>
      </c>
      <c r="E5178" s="10" t="inlineStr">
        <is>
          <t>Lương:Cạnh tranh</t>
        </is>
      </c>
      <c r="F5178" s="10" t="inlineStr">
        <is>
          <t>Hồ Chí Minh</t>
        </is>
      </c>
      <c r="G5178" s="10" t="inlineStr">
        <is>
          <t>27-03-2026</t>
        </is>
      </c>
      <c r="H5178" s="10" t="inlineStr">
        <is>
          <t>27/03/2026</t>
        </is>
      </c>
      <c r="I5178" s="10" t="inlineStr">
        <is>
          <t>17/03/2026</t>
        </is>
      </c>
      <c r="J5178" s="10" t="inlineStr">
        <is>
          <t>Bán hàng / Kinh doanh, Tài chính / Đầu tư, Bất động sản</t>
        </is>
      </c>
      <c r="K5178" s="10" t="inlineStr">
        <is>
          <t>3 - 5 Năm</t>
        </is>
      </c>
      <c r="L5178" s="11">
        <f>HYPERLINK("https://careerviet.vn/vi/tim-viec-lam/chuyen-vien-dau-tu-cao-cap.35C66981.html","Xem chi tiết")</f>
        <v/>
      </c>
      <c r="M5178" s="10" t="n"/>
    </row>
    <row r="5179">
      <c r="B5179" s="7" t="n">
        <v>5177</v>
      </c>
      <c r="C5179" t="inlineStr">
        <is>
          <t>Operations Manager</t>
        </is>
      </c>
      <c r="D5179" t="inlineStr">
        <is>
          <t>Brand Packaging Joint Stock Company</t>
        </is>
      </c>
      <c r="E5179" t="inlineStr">
        <is>
          <t>Lương:Cạnh tranh</t>
        </is>
      </c>
      <c r="F5179" t="inlineStr">
        <is>
          <t>Bình Dương</t>
        </is>
      </c>
      <c r="G5179" t="inlineStr">
        <is>
          <t>25-03-2026</t>
        </is>
      </c>
      <c r="H5179" t="inlineStr">
        <is>
          <t>25/03/2026</t>
        </is>
      </c>
      <c r="I5179" t="inlineStr">
        <is>
          <t>17/03/2026</t>
        </is>
      </c>
      <c r="J5179" t="inlineStr">
        <is>
          <t>Quản lý điều hành, Sản xuất / Vận hành sản xuất, Cơ khí / Ô tô / Tự động hóa</t>
        </is>
      </c>
      <c r="K5179" t="inlineStr">
        <is>
          <t>8 - 10 Năm</t>
        </is>
      </c>
      <c r="L5179" s="8">
        <f>HYPERLINK("https://careerviet.vn/vi/tim-viec-lam/operations-manager.35C69994.html","Xem chi tiết")</f>
        <v/>
      </c>
    </row>
    <row r="5180">
      <c r="B5180" s="9" t="n">
        <v>5178</v>
      </c>
      <c r="C5180" s="10" t="inlineStr">
        <is>
          <t>Trưởng Phòng Kỹ Thuật Cơ điện (Xuân Thới Sơn, TPHCM)</t>
        </is>
      </c>
      <c r="D5180" s="10" t="inlineStr">
        <is>
          <t>Công Ty TNHH SX - TM - DV Lê Trần</t>
        </is>
      </c>
      <c r="E5180" s="10" t="inlineStr">
        <is>
          <t>Lương:25 Tr - 30 Tr VND</t>
        </is>
      </c>
      <c r="F5180" s="10" t="inlineStr">
        <is>
          <t>Hồ Chí MinhLong An</t>
        </is>
      </c>
      <c r="G5180" s="10" t="inlineStr">
        <is>
          <t>27-03-2026</t>
        </is>
      </c>
      <c r="H5180" s="10" t="inlineStr">
        <is>
          <t>27/03/2026</t>
        </is>
      </c>
      <c r="I5180" s="10" t="inlineStr">
        <is>
          <t>17/03/2026</t>
        </is>
      </c>
      <c r="J5180" s="10" t="inlineStr">
        <is>
          <t>Cơ khí / Ô tô / Tự động hóa, Điện / Điện tử / Điện lạnh / Điện công nghiệp, Bảo trì / Sửa chữa</t>
        </is>
      </c>
      <c r="K5180" s="10" t="inlineStr">
        <is>
          <t>5 - 10 Năm</t>
        </is>
      </c>
      <c r="L5180" s="11">
        <f>HYPERLINK("https://careerviet.vn/vi/tim-viec-lam/truong-phong-ky-thuat-co-dien-xuan-thoi-son-tphcm.35C6692F.html","Xem chi tiết")</f>
        <v/>
      </c>
      <c r="M5180" s="10" t="n"/>
    </row>
    <row r="5181">
      <c r="B5181" s="7" t="n">
        <v>5179</v>
      </c>
      <c r="C5181" t="inlineStr">
        <is>
          <t>Software Engineer</t>
        </is>
      </c>
      <c r="D5181" t="inlineStr">
        <is>
          <t>Công ty TNHH Viettel - CHT</t>
        </is>
      </c>
      <c r="E5181" t="inlineStr">
        <is>
          <t>Lương:Cạnh tranh</t>
        </is>
      </c>
      <c r="F5181" t="inlineStr">
        <is>
          <t>Hà Nội</t>
        </is>
      </c>
      <c r="G5181" t="inlineStr">
        <is>
          <t>27-03-2026</t>
        </is>
      </c>
      <c r="H5181" t="inlineStr">
        <is>
          <t>27/03/2026</t>
        </is>
      </c>
      <c r="I5181" t="inlineStr">
        <is>
          <t>17/03/2026</t>
        </is>
      </c>
      <c r="J5181" t="inlineStr">
        <is>
          <t>CNTT - Phần mềm, CNTT - Phần cứng / Mạng</t>
        </is>
      </c>
      <c r="K5181" t="inlineStr">
        <is>
          <t>Trên 3 Năm</t>
        </is>
      </c>
      <c r="L5181" s="8">
        <f>HYPERLINK("https://careerviet.vn/vi/tim-viec-lam/software-engineer.35C66898.html","Xem chi tiết")</f>
        <v/>
      </c>
    </row>
    <row r="5182">
      <c r="B5182" s="9" t="n">
        <v>5180</v>
      </c>
      <c r="C5182" s="10" t="inlineStr">
        <is>
          <t>KỸ THUẬT HIỆN TRƯỜNG</t>
        </is>
      </c>
      <c r="D5182" s="10" t="inlineStr">
        <is>
          <t>CÔNG TY CỔ PHẦN ĐẦU TƯ VÀ XÂY DỰNG TS</t>
        </is>
      </c>
      <c r="E5182" s="10" t="inlineStr">
        <is>
          <t>Lương:Cạnh tranh</t>
        </is>
      </c>
      <c r="F5182" s="10" t="inlineStr">
        <is>
          <t>Hải PhòngThanh HóaĐồng Nai</t>
        </is>
      </c>
      <c r="G5182" s="10" t="inlineStr">
        <is>
          <t>27-03-2026</t>
        </is>
      </c>
      <c r="H5182" s="10" t="inlineStr">
        <is>
          <t>27/03/2026</t>
        </is>
      </c>
      <c r="I5182" s="10" t="inlineStr">
        <is>
          <t>17/03/2026</t>
        </is>
      </c>
      <c r="J5182" s="10" t="inlineStr">
        <is>
          <t>Kiến trúc, Xây dựng</t>
        </is>
      </c>
      <c r="K5182" s="10" t="inlineStr">
        <is>
          <t>2 - 3 Năm</t>
        </is>
      </c>
      <c r="L5182" s="11">
        <f>HYPERLINK("https://careerviet.vn/vi/tim-viec-lam/ky-thuat-hien-truong.35C66A47.html","Xem chi tiết")</f>
        <v/>
      </c>
      <c r="M5182" s="10" t="n"/>
    </row>
    <row r="5183">
      <c r="B5183" s="7" t="n">
        <v>5181</v>
      </c>
      <c r="C5183" t="inlineStr">
        <is>
          <t>[HCM] Accountant Payable Intern - 6 months with Allowance</t>
        </is>
      </c>
      <c r="D5183" t="inlineStr">
        <is>
          <t>EUROFINS VIETNAM</t>
        </is>
      </c>
      <c r="E5183" t="inlineStr">
        <is>
          <t>Lương:Cạnh tranh</t>
        </is>
      </c>
      <c r="F5183" t="inlineStr">
        <is>
          <t>Hồ Chí Minh</t>
        </is>
      </c>
      <c r="G5183" t="inlineStr">
        <is>
          <t>27-03-2026</t>
        </is>
      </c>
      <c r="H5183" t="inlineStr">
        <is>
          <t>27/03/2026</t>
        </is>
      </c>
      <c r="I5183" t="inlineStr">
        <is>
          <t>17/03/2026</t>
        </is>
      </c>
      <c r="J5183" t="inlineStr">
        <is>
          <t>Tài chính / Đầu tư, Kế toán / Kiểm toán, Mới tốt nghiệp / Thực tập</t>
        </is>
      </c>
      <c r="K5183" t="inlineStr">
        <is>
          <t>N/A</t>
        </is>
      </c>
      <c r="L5183" s="8">
        <f>HYPERLINK("https://careerviet.vn/vi/tim-viec-lam/hcm-accountant-payable-intern-6-months-with-allowance.35C669D0.html","Xem chi tiết")</f>
        <v/>
      </c>
    </row>
    <row r="5184">
      <c r="B5184" s="9" t="n">
        <v>5182</v>
      </c>
      <c r="C5184" s="10" t="inlineStr">
        <is>
          <t>KỸ SƯ XÂY DỰNG</t>
        </is>
      </c>
      <c r="D5184" s="10" t="inlineStr">
        <is>
          <t>Tập Đoàn Kim Tín</t>
        </is>
      </c>
      <c r="E5184" s="10" t="inlineStr">
        <is>
          <t>Lương:Cạnh tranh</t>
        </is>
      </c>
      <c r="F5184" s="10" t="inlineStr">
        <is>
          <t>KV Bắc Trung BộHà NộiHưng Yên</t>
        </is>
      </c>
      <c r="G5184" s="10" t="inlineStr">
        <is>
          <t>27-03-2026</t>
        </is>
      </c>
      <c r="H5184" s="10" t="inlineStr">
        <is>
          <t>27/03/2026</t>
        </is>
      </c>
      <c r="I5184" s="10" t="inlineStr">
        <is>
          <t>17/03/2026</t>
        </is>
      </c>
      <c r="J5184" s="10" t="inlineStr">
        <is>
          <t>Xây dựng</t>
        </is>
      </c>
      <c r="K5184" s="10" t="inlineStr">
        <is>
          <t>3 - 5 Năm</t>
        </is>
      </c>
      <c r="L5184" s="11">
        <f>HYPERLINK("https://careerviet.vn/vi/tim-viec-lam/ky-su-xay-dung.35C63FE1.html","Xem chi tiết")</f>
        <v/>
      </c>
      <c r="M5184" s="10" t="n"/>
    </row>
    <row r="5185">
      <c r="B5185" s="7" t="n">
        <v>5183</v>
      </c>
      <c r="C5185" t="inlineStr">
        <is>
          <t>KẾ TOÁN TỔNG HỢP F&amp;B</t>
        </is>
      </c>
      <c r="D5185" t="inlineStr">
        <is>
          <t>CÔNG TY CỔ PHẦN THÀNH PHỐ DU LỊCH SINH THÁI SƠN TIÊN</t>
        </is>
      </c>
      <c r="E5185" t="inlineStr">
        <is>
          <t>Lương:Cạnh tranh</t>
        </is>
      </c>
      <c r="F5185" t="inlineStr">
        <is>
          <t>Đồng Nai</t>
        </is>
      </c>
      <c r="G5185" t="inlineStr">
        <is>
          <t>27-03-2026</t>
        </is>
      </c>
      <c r="H5185" t="inlineStr">
        <is>
          <t>27/03/2026</t>
        </is>
      </c>
      <c r="I5185" t="inlineStr">
        <is>
          <t>17/03/2026</t>
        </is>
      </c>
      <c r="J5185" t="inlineStr">
        <is>
          <t>Thực phẩm &amp; Đồ uống, Kế toán / Kiểm toán</t>
        </is>
      </c>
      <c r="K5185" t="inlineStr">
        <is>
          <t>Trên 3 Năm</t>
        </is>
      </c>
      <c r="L5185" s="8">
        <f>HYPERLINK("https://careerviet.vn/vi/tim-viec-lam/ke-toan-tong-hop-f-b.35C64016.html","Xem chi tiết")</f>
        <v/>
      </c>
    </row>
    <row r="5186">
      <c r="B5186" s="9" t="n">
        <v>5184</v>
      </c>
      <c r="C5186" s="10" t="inlineStr">
        <is>
          <t>Chuyên Viên Quản Lý Cơ Sở Dữ Liệu_Hội Sở (Database Administration Officer - DBA_HO)</t>
        </is>
      </c>
      <c r="D5186" s="10" t="inlineStr">
        <is>
          <t>NGÂN HÀNG TRÁCH NHIỆM HỮU HẠN MỘT THÀNH VIÊN VIỆT NAM HIỆN ĐẠI</t>
        </is>
      </c>
      <c r="E5186" s="10" t="inlineStr">
        <is>
          <t>Lương:Cạnh tranh</t>
        </is>
      </c>
      <c r="F5186" s="10" t="inlineStr">
        <is>
          <t>Hà Nội</t>
        </is>
      </c>
      <c r="G5186" s="10" t="inlineStr">
        <is>
          <t>27-03-2026</t>
        </is>
      </c>
      <c r="H5186" s="10" t="inlineStr">
        <is>
          <t>27/03/2026</t>
        </is>
      </c>
      <c r="I5186" s="10" t="inlineStr">
        <is>
          <t>17/03/2026</t>
        </is>
      </c>
      <c r="J5186" s="10" t="inlineStr">
        <is>
          <t>CNTT - Phần mềm, CNTT - Phần cứng / Mạng</t>
        </is>
      </c>
      <c r="K5186" s="10" t="inlineStr">
        <is>
          <t>1 - 2 Năm</t>
        </is>
      </c>
      <c r="L5186" s="11">
        <f>HYPERLINK("https://careerviet.vn/vi/tim-viec-lam/chuyen-vien-quan-ly-co-so-du-lieu_hoi-so-database-administration-officer-dba_ho.35C668C7.html","Xem chi tiết")</f>
        <v/>
      </c>
      <c r="M5186" s="10" t="n"/>
    </row>
    <row r="5187">
      <c r="B5187" s="7" t="n">
        <v>5185</v>
      </c>
      <c r="C5187" t="inlineStr">
        <is>
          <t>Bác Sỹ Thú Y (Chuyên Gia Chăm Sóc Sức Khỏe/ Dinh Dưỡng Thú Cưng)</t>
        </is>
      </c>
      <c r="D5187" t="inlineStr">
        <is>
          <t>Công Ty TNHH Perfect Companion Việt Nam</t>
        </is>
      </c>
      <c r="E5187" t="inlineStr">
        <is>
          <t>Lương:Cạnh tranh</t>
        </is>
      </c>
      <c r="F5187" t="inlineStr">
        <is>
          <t>Hà Nội</t>
        </is>
      </c>
      <c r="G5187" t="inlineStr">
        <is>
          <t>27-03-2026</t>
        </is>
      </c>
      <c r="H5187" t="inlineStr">
        <is>
          <t>27/03/2026</t>
        </is>
      </c>
      <c r="I5187" t="inlineStr">
        <is>
          <t>17/03/2026</t>
        </is>
      </c>
      <c r="J5187" t="inlineStr">
        <is>
          <t>Y tế / Chăm sóc sức khỏe / Thẩm mỹ / Làm đẹp, Hàng gia dụng / Chăm sóc cá nhân, Chăn nuôi / Thú y</t>
        </is>
      </c>
      <c r="K5187" t="inlineStr">
        <is>
          <t>Lên đến 1 Năm</t>
        </is>
      </c>
      <c r="L5187" s="8">
        <f>HYPERLINK("https://careerviet.vn/vi/tim-viec-lam/bac-sy-thu-y-chuyen-gia-cham-soc-suc-khoe-dinh-duong-thu-cung.35C66A24.html","Xem chi tiết")</f>
        <v/>
      </c>
    </row>
    <row r="5188">
      <c r="B5188" s="9" t="n">
        <v>5186</v>
      </c>
      <c r="C5188" s="10" t="inlineStr">
        <is>
          <t>Nhân Viên Bảo trì Cửa Hàng</t>
        </is>
      </c>
      <c r="D5188" s="10" t="inlineStr">
        <is>
          <t>CÔNG TY TNHH THỜI TRANG VÀ MỸ PHẨM ÂU CHÂU</t>
        </is>
      </c>
      <c r="E5188" s="10" t="inlineStr">
        <is>
          <t>Lương:Cạnh tranh</t>
        </is>
      </c>
      <c r="F5188" s="10" t="inlineStr">
        <is>
          <t>Hồ Chí Minh</t>
        </is>
      </c>
      <c r="G5188" s="10" t="inlineStr">
        <is>
          <t>27-03-2026</t>
        </is>
      </c>
      <c r="H5188" s="10" t="inlineStr">
        <is>
          <t>27/03/2026</t>
        </is>
      </c>
      <c r="I5188" s="10" t="inlineStr">
        <is>
          <t>17/03/2026</t>
        </is>
      </c>
      <c r="J5188" s="10" t="inlineStr">
        <is>
          <t>Bảo trì / Sửa chữa</t>
        </is>
      </c>
      <c r="K5188" s="10" t="inlineStr">
        <is>
          <t>1 - 3 Năm</t>
        </is>
      </c>
      <c r="L5188" s="11">
        <f>HYPERLINK("https://careerviet.vn/vi/tim-viec-lam/nhan-vien-bao-tri-cua-hang.35C66A38.html","Xem chi tiết")</f>
        <v/>
      </c>
      <c r="M5188" s="10" t="n"/>
    </row>
    <row r="5189">
      <c r="B5189" s="7" t="n">
        <v>5187</v>
      </c>
      <c r="C5189" t="inlineStr">
        <is>
          <t>Kỹ Sư Giám Sát Xây Dựng</t>
        </is>
      </c>
      <c r="D5189" t="inlineStr">
        <is>
          <t>CÔNG TY CỔ PHẦN GANG THÉP HD MIỀN TRUNG</t>
        </is>
      </c>
      <c r="E5189" t="inlineStr">
        <is>
          <t>Lương:Cạnh tranh</t>
        </is>
      </c>
      <c r="F5189" t="inlineStr">
        <is>
          <t>Ninh Thuận</t>
        </is>
      </c>
      <c r="G5189" t="inlineStr">
        <is>
          <t>27-03-2026</t>
        </is>
      </c>
      <c r="H5189" t="inlineStr">
        <is>
          <t>27/03/2026</t>
        </is>
      </c>
      <c r="I5189" t="inlineStr">
        <is>
          <t>17/03/2026</t>
        </is>
      </c>
      <c r="J5189" t="inlineStr">
        <is>
          <t>Quản lý điều hành, Xây dựng</t>
        </is>
      </c>
      <c r="K5189" t="inlineStr">
        <is>
          <t>Trên 7 Năm</t>
        </is>
      </c>
      <c r="L5189" s="8">
        <f>HYPERLINK("https://careerviet.vn/vi/tim-viec-lam/ky-su-giam-sat-xay-dung.35C66960.html","Xem chi tiết")</f>
        <v/>
      </c>
    </row>
    <row r="5190">
      <c r="B5190" s="9" t="n">
        <v>5188</v>
      </c>
      <c r="C5190" s="10" t="inlineStr">
        <is>
          <t>Nhân Viên Ứng Dụng Sản Phẩm (APP)</t>
        </is>
      </c>
      <c r="D5190" s="10" t="inlineStr">
        <is>
          <t>CÔNG TY TNHH GIẢI PHÁP Y SINH ABT</t>
        </is>
      </c>
      <c r="E5190" s="10" t="inlineStr">
        <is>
          <t>Lương:Cạnh tranh</t>
        </is>
      </c>
      <c r="F5190" s="10" t="inlineStr">
        <is>
          <t>Hồ Chí MinhTây Ninh</t>
        </is>
      </c>
      <c r="G5190" s="10" t="inlineStr">
        <is>
          <t>27-03-2026</t>
        </is>
      </c>
      <c r="H5190" s="10" t="inlineStr">
        <is>
          <t>27/03/2026</t>
        </is>
      </c>
      <c r="I5190" s="10" t="inlineStr">
        <is>
          <t>17/03/2026</t>
        </is>
      </c>
      <c r="J5190" s="10" t="inlineStr">
        <is>
          <t>Tiếp thị / Marketing, Y tế / Chăm sóc sức khỏe / Thẩm mỹ / Làm đẹp, Công nghệ sinh học</t>
        </is>
      </c>
      <c r="K5190" s="10" t="inlineStr">
        <is>
          <t>Chưa có kinh nghiệm</t>
        </is>
      </c>
      <c r="L5190" s="11">
        <f>HYPERLINK("https://careerviet.vn/vi/tim-viec-lam/nhan-vien-ung-dung-san-pham-app.35C669D8.html","Xem chi tiết")</f>
        <v/>
      </c>
      <c r="M5190" s="10" t="n"/>
    </row>
    <row r="5191">
      <c r="B5191" s="7" t="n">
        <v>5189</v>
      </c>
      <c r="C5191" t="inlineStr">
        <is>
          <t>Nhân Viên Kỹ Thuật Trại Heo  - (Trại Công ty Đaklak &amp; Gia Lai)</t>
        </is>
      </c>
      <c r="D5191" t="inlineStr">
        <is>
          <t>De Heus LLC</t>
        </is>
      </c>
      <c r="E5191" t="inlineStr">
        <is>
          <t>Lương:Cạnh tranh</t>
        </is>
      </c>
      <c r="F5191" t="inlineStr">
        <is>
          <t>Dak Lak</t>
        </is>
      </c>
      <c r="G5191" t="inlineStr">
        <is>
          <t>27-03-2026</t>
        </is>
      </c>
      <c r="H5191" t="inlineStr">
        <is>
          <t>27/03/2026</t>
        </is>
      </c>
      <c r="I5191" t="inlineStr">
        <is>
          <t>17/03/2026</t>
        </is>
      </c>
      <c r="J5191" t="inlineStr">
        <is>
          <t>Chăn nuôi / Thú y</t>
        </is>
      </c>
      <c r="K5191" t="inlineStr">
        <is>
          <t>1 - 3 NămĐịa điểm</t>
        </is>
      </c>
      <c r="L5191" s="8">
        <f>HYPERLINK("https://careerviet.vn/vi/tim-viec-lam/nhan-vien-ky-thuat-trai-heo-trai-cong-ty-daklak-gia-lai.35C5B431.html","Xem chi tiết")</f>
        <v/>
      </c>
    </row>
    <row r="5192">
      <c r="B5192" s="9" t="n">
        <v>5190</v>
      </c>
      <c r="C5192" s="10" t="inlineStr">
        <is>
          <t>Nhân viên kế toán thuế (Đi làm ngay hoặc sau tết)</t>
        </is>
      </c>
      <c r="D5192" s="10" t="inlineStr">
        <is>
          <t>Công Ty Cổ Phần Xuất Nhập Khẩu Thương Mại Đài Linh</t>
        </is>
      </c>
      <c r="E5192" s="10" t="inlineStr">
        <is>
          <t>Lương:15 Tr - 20 Tr VND</t>
        </is>
      </c>
      <c r="F5192" s="10" t="inlineStr">
        <is>
          <t>Hà Nội</t>
        </is>
      </c>
      <c r="G5192" s="10" t="inlineStr">
        <is>
          <t>27-03-2026</t>
        </is>
      </c>
      <c r="H5192" s="10" t="inlineStr">
        <is>
          <t>27/03/2026</t>
        </is>
      </c>
      <c r="I5192" s="10" t="inlineStr">
        <is>
          <t>17/03/2026</t>
        </is>
      </c>
      <c r="J5192" s="10" t="inlineStr">
        <is>
          <t>Kế toán / Kiểm toán</t>
        </is>
      </c>
      <c r="K5192" s="10" t="inlineStr">
        <is>
          <t>2 - 3 Năm</t>
        </is>
      </c>
      <c r="L5192" s="11">
        <f>HYPERLINK("https://careerviet.vn/vi/tim-viec-lam/nhan-vien-ke-toan-thue-di-lam-ngay-hoac-sau-tet.35C668E9.html","Xem chi tiết")</f>
        <v/>
      </c>
      <c r="M5192" s="10" t="n"/>
    </row>
    <row r="5193">
      <c r="B5193" s="7" t="n">
        <v>5191</v>
      </c>
      <c r="C5193" t="inlineStr">
        <is>
          <t>Chuyên viên cao cấp Xử lý nợ Ngoại Bảng</t>
        </is>
      </c>
      <c r="D5193" t="inlineStr">
        <is>
          <t>Ngân Hàng TMCP Quốc Tế Việt Nam</t>
        </is>
      </c>
      <c r="E5193" t="inlineStr">
        <is>
          <t>Lương:Cạnh tranh</t>
        </is>
      </c>
      <c r="F5193" t="inlineStr">
        <is>
          <t>Thanh HóaPhú ThọNghệ An</t>
        </is>
      </c>
      <c r="G5193" t="inlineStr">
        <is>
          <t>27-03-2026</t>
        </is>
      </c>
      <c r="H5193" t="inlineStr">
        <is>
          <t>27/03/2026</t>
        </is>
      </c>
      <c r="I5193" t="inlineStr">
        <is>
          <t>17/03/2026</t>
        </is>
      </c>
      <c r="J5193" t="inlineStr">
        <is>
          <t>Luật / Pháp lý, Ngân hàng, Tài chính / Đầu tư</t>
        </is>
      </c>
      <c r="K5193" t="inlineStr">
        <is>
          <t>1 - 20 Năm</t>
        </is>
      </c>
      <c r="L5193" s="8">
        <f>HYPERLINK("https://careerviet.vn/vi/tim-viec-lam/chuyen-vien-cao-cap-xu-ly-no-ngoai-bang.35C668AD.html","Xem chi tiết")</f>
        <v/>
      </c>
    </row>
    <row r="5194">
      <c r="B5194" s="9" t="n">
        <v>5192</v>
      </c>
      <c r="C5194" s="10" t="inlineStr">
        <is>
          <t>NHÂN VIÊN BẢO TRÌ KHUÔN DẬP KIM LOẠI</t>
        </is>
      </c>
      <c r="D5194" s="10" t="inlineStr">
        <is>
          <t>CÔNG TY TNHH FUJIKURA CONEC VIỆT NAM</t>
        </is>
      </c>
      <c r="E5194" s="10" t="inlineStr">
        <is>
          <t>Lương:10 Tr - 13 Tr VND</t>
        </is>
      </c>
      <c r="F5194" s="10" t="inlineStr">
        <is>
          <t>Bình Dương</t>
        </is>
      </c>
      <c r="G5194" s="10" t="inlineStr">
        <is>
          <t>27-03-2026</t>
        </is>
      </c>
      <c r="H5194" s="10" t="inlineStr">
        <is>
          <t>27/03/2026</t>
        </is>
      </c>
      <c r="I5194" s="10" t="inlineStr">
        <is>
          <t>17/03/2026</t>
        </is>
      </c>
      <c r="J5194" s="10" t="inlineStr">
        <is>
          <t>Cơ khí / Ô tô / Tự động hóa, Điện / Điện tử / Điện lạnh / Điện công nghiệp</t>
        </is>
      </c>
      <c r="K5194" s="10" t="inlineStr">
        <is>
          <t>Không yêu cầu kinh nghiệm</t>
        </is>
      </c>
      <c r="L5194" s="11">
        <f>HYPERLINK("https://careerviet.vn/vi/tim-viec-lam/nhan-vien-bao-tri-khuon-dap-kim-loai.35C668CD.html","Xem chi tiết")</f>
        <v/>
      </c>
      <c r="M5194" s="10" t="n"/>
    </row>
    <row r="5195">
      <c r="B5195" s="7" t="n">
        <v>5193</v>
      </c>
      <c r="C5195" t="inlineStr">
        <is>
          <t>Nhân Viên Kế Toán Tổng Hợp Dự Án</t>
        </is>
      </c>
      <c r="D5195" t="inlineStr">
        <is>
          <t>CÔNG TY CỔ PHẦN GANG THÉP HD MIỀN TRUNG</t>
        </is>
      </c>
      <c r="E5195" t="inlineStr">
        <is>
          <t>Lương:14 Tr - 20 Tr VND</t>
        </is>
      </c>
      <c r="F5195" t="inlineStr">
        <is>
          <t>Hồ Chí Minh</t>
        </is>
      </c>
      <c r="G5195" t="inlineStr">
        <is>
          <t>27-03-2026</t>
        </is>
      </c>
      <c r="H5195" t="inlineStr">
        <is>
          <t>27/03/2026</t>
        </is>
      </c>
      <c r="I5195" t="inlineStr">
        <is>
          <t>17/03/2026</t>
        </is>
      </c>
      <c r="J5195" t="inlineStr">
        <is>
          <t>Xây dựng, Kế toán / Kiểm toán, Tài chính / Đầu tư</t>
        </is>
      </c>
      <c r="K5195" t="inlineStr">
        <is>
          <t>2 - 3 Năm</t>
        </is>
      </c>
      <c r="L5195" s="8">
        <f>HYPERLINK("https://careerviet.vn/vi/tim-viec-lam/nhan-vien-ke-toan-tong-hop-du-an.35C66962.html","Xem chi tiết")</f>
        <v/>
      </c>
    </row>
    <row r="5196">
      <c r="B5196" s="9" t="n">
        <v>5194</v>
      </c>
      <c r="C5196" s="10" t="inlineStr">
        <is>
          <t>QUẢN LÝ QUAN HỆ KHÁCH HÀNG (B.A.M)</t>
        </is>
      </c>
      <c r="D5196" s="10" t="inlineStr">
        <is>
          <t>Công Ty Cổ Phần Tập Đoàn Đầu Tư Địa Ốc No Va</t>
        </is>
      </c>
      <c r="E5196" s="10" t="inlineStr">
        <is>
          <t>Lương:6 Tr - 10 Tr VND</t>
        </is>
      </c>
      <c r="F5196" s="10" t="inlineStr">
        <is>
          <t>Hồ Chí Minh</t>
        </is>
      </c>
      <c r="G5196" s="10" t="inlineStr">
        <is>
          <t>27-03-2026</t>
        </is>
      </c>
      <c r="H5196" s="10" t="inlineStr">
        <is>
          <t>27/03/2026</t>
        </is>
      </c>
      <c r="I5196" s="10" t="inlineStr">
        <is>
          <t>17/03/2026</t>
        </is>
      </c>
      <c r="J5196" s="10" t="inlineStr">
        <is>
          <t>Bất động sản</t>
        </is>
      </c>
      <c r="K5196" s="10" t="inlineStr">
        <is>
          <t>1 - 3 Năm</t>
        </is>
      </c>
      <c r="L5196" s="11">
        <f>HYPERLINK("https://careerviet.vn/vi/tim-viec-lam/quan-ly-quan-he-khach-hang-b-a-m.35C66922.html","Xem chi tiết")</f>
        <v/>
      </c>
      <c r="M5196" s="10" t="n"/>
    </row>
    <row r="5197">
      <c r="B5197" s="7" t="n">
        <v>5195</v>
      </c>
      <c r="C5197" t="inlineStr">
        <is>
          <t>Chuyên Viên Tuyển Dụng - Vinmec Riverside</t>
        </is>
      </c>
      <c r="D5197" t="inlineStr">
        <is>
          <t>Công ty CP Bệnh Viện Đa Khoa Quốc Tế Vinmec</t>
        </is>
      </c>
      <c r="E5197" t="inlineStr">
        <is>
          <t>Lương:Cạnh tranh</t>
        </is>
      </c>
      <c r="F5197" t="inlineStr">
        <is>
          <t>Hà Nội</t>
        </is>
      </c>
      <c r="G5197" t="inlineStr">
        <is>
          <t>27-03-2026</t>
        </is>
      </c>
      <c r="H5197" t="inlineStr">
        <is>
          <t>27/03/2026</t>
        </is>
      </c>
      <c r="I5197" t="inlineStr">
        <is>
          <t>17/03/2026</t>
        </is>
      </c>
      <c r="J5197" t="inlineStr">
        <is>
          <t>Y tế / Chăm sóc sức khỏe / Thẩm mỹ / Làm đẹp, Nhân sự</t>
        </is>
      </c>
      <c r="K5197" t="inlineStr">
        <is>
          <t>Trên 3 Năm</t>
        </is>
      </c>
      <c r="L5197" s="8">
        <f>HYPERLINK("https://careerviet.vn/vi/tim-viec-lam/chuyen-vien-tuyen-dung-vinmec-riverside.35C66954.html","Xem chi tiết")</f>
        <v/>
      </c>
    </row>
    <row r="5198">
      <c r="B5198" s="9" t="n">
        <v>5196</v>
      </c>
      <c r="C5198" s="10" t="inlineStr">
        <is>
          <t>Facility Technician/ Kỹ Thuật Viên Bảo Trì Tòa Nhà (Đi ca)</t>
        </is>
      </c>
      <c r="D5198" s="10" t="inlineStr">
        <is>
          <t>Sonion Vietnam</t>
        </is>
      </c>
      <c r="E5198" s="10" t="inlineStr">
        <is>
          <t>Lương:Cạnh tranh</t>
        </is>
      </c>
      <c r="F5198" s="10" t="inlineStr">
        <is>
          <t>Hồ Chí Minh</t>
        </is>
      </c>
      <c r="G5198" s="10" t="inlineStr">
        <is>
          <t>27-03-2026</t>
        </is>
      </c>
      <c r="H5198" s="10" t="inlineStr">
        <is>
          <t>27/03/2026</t>
        </is>
      </c>
      <c r="I5198" s="10" t="inlineStr">
        <is>
          <t>17/03/2026</t>
        </is>
      </c>
      <c r="J5198" s="10" t="inlineStr">
        <is>
          <t>Điện / Điện tử / Điện lạnh / Điện công nghiệp, Bảo trì / Sửa chữa</t>
        </is>
      </c>
      <c r="K5198" s="10" t="inlineStr">
        <is>
          <t>1 - 2 Năm</t>
        </is>
      </c>
      <c r="L5198" s="11">
        <f>HYPERLINK("https://careerviet.vn/vi/tim-viec-lam/facility-technician-ky-thuat-vien-bao-tri-toa-nha-di-ca.35C6694D.html","Xem chi tiết")</f>
        <v/>
      </c>
      <c r="M5198" s="10" t="n"/>
    </row>
    <row r="5199">
      <c r="B5199" s="7" t="n">
        <v>5197</v>
      </c>
      <c r="C5199" t="inlineStr">
        <is>
          <t>Trưởng Phòng Kinh Doanh</t>
        </is>
      </c>
      <c r="D5199" t="inlineStr">
        <is>
          <t>Viet Han Concrete JSC.,</t>
        </is>
      </c>
      <c r="E5199" t="inlineStr">
        <is>
          <t>Lương:Cạnh tranh</t>
        </is>
      </c>
      <c r="F5199" t="inlineStr">
        <is>
          <t>Hồ Chí MinhĐồng Nai</t>
        </is>
      </c>
      <c r="G5199" t="inlineStr">
        <is>
          <t>27-03-2026</t>
        </is>
      </c>
      <c r="H5199" t="inlineStr">
        <is>
          <t>27/03/2026</t>
        </is>
      </c>
      <c r="I5199" t="inlineStr">
        <is>
          <t>17/03/2026</t>
        </is>
      </c>
      <c r="J5199" t="inlineStr">
        <is>
          <t>Bán hàng / Kinh doanh, Xây dựng, Bán lẻ / Bán sỉ</t>
        </is>
      </c>
      <c r="K5199" t="inlineStr">
        <is>
          <t>2 - 10 Năm</t>
        </is>
      </c>
      <c r="L5199" s="8">
        <f>HYPERLINK("https://careerviet.vn/vi/tim-viec-lam/truong-phong-kinh-doanh.35C669DF.html","Xem chi tiết")</f>
        <v/>
      </c>
    </row>
    <row r="5200">
      <c r="B5200" s="9" t="n">
        <v>5198</v>
      </c>
      <c r="C5200" s="10" t="inlineStr">
        <is>
          <t>Nhân Viên Xử Lý Đơn Hàng - Kênh MT</t>
        </is>
      </c>
      <c r="D5200" s="10" t="inlineStr">
        <is>
          <t>Công Ty Cổ phần Tập Đoàn KIDO</t>
        </is>
      </c>
      <c r="E5200" s="10" t="inlineStr">
        <is>
          <t>Lương:Cạnh tranh</t>
        </is>
      </c>
      <c r="F5200" s="10" t="inlineStr">
        <is>
          <t>Hồ Chí Minh</t>
        </is>
      </c>
      <c r="G5200" s="10" t="inlineStr">
        <is>
          <t>25-03-2026</t>
        </is>
      </c>
      <c r="H5200" s="10" t="inlineStr">
        <is>
          <t>25/03/2026</t>
        </is>
      </c>
      <c r="I5200" s="10" t="inlineStr">
        <is>
          <t>17/03/2026</t>
        </is>
      </c>
      <c r="J5200" s="10" t="inlineStr">
        <is>
          <t>Vận chuyển / Giao nhận / Kho vận</t>
        </is>
      </c>
      <c r="K5200" s="10" t="inlineStr">
        <is>
          <t>null - null Năm</t>
        </is>
      </c>
      <c r="L5200" s="11">
        <f>HYPERLINK("https://careerviet.vn/vi/tim-viec-lam/nhan-vien-xu-ly-don-hang-kenh-mt.35C68EE6.html","Xem chi tiết")</f>
        <v/>
      </c>
      <c r="M5200" s="10" t="n"/>
    </row>
    <row r="5201">
      <c r="B5201" s="7" t="n">
        <v>5199</v>
      </c>
      <c r="C5201" t="inlineStr">
        <is>
          <t>Senior Industrial Engineer</t>
        </is>
      </c>
      <c r="D5201" t="inlineStr">
        <is>
          <t>XP Power  Vietnam</t>
        </is>
      </c>
      <c r="E5201" t="inlineStr">
        <is>
          <t>Lương:Cạnh tranh</t>
        </is>
      </c>
      <c r="F5201" t="inlineStr">
        <is>
          <t>Bình Dương</t>
        </is>
      </c>
      <c r="G5201" t="inlineStr">
        <is>
          <t>27-03-2026</t>
        </is>
      </c>
      <c r="H5201" t="inlineStr">
        <is>
          <t>27/03/2026</t>
        </is>
      </c>
      <c r="I5201" t="inlineStr">
        <is>
          <t>17/03/2026</t>
        </is>
      </c>
      <c r="J5201" t="inlineStr">
        <is>
          <t>Điện / Điện tử / Điện lạnh / Điện công nghiệp</t>
        </is>
      </c>
      <c r="K5201" t="inlineStr">
        <is>
          <t>3 - 4 Năm</t>
        </is>
      </c>
      <c r="L5201" s="8">
        <f>HYPERLINK("https://careerviet.vn/vi/tim-viec-lam/senior-industrial-engineer.35C66887.html","Xem chi tiết")</f>
        <v/>
      </c>
    </row>
    <row r="5202">
      <c r="B5202" s="9" t="n">
        <v>5200</v>
      </c>
      <c r="C5202" s="10" t="inlineStr">
        <is>
          <t>Nhân viên kinh doanh</t>
        </is>
      </c>
      <c r="D5202" s="10" t="inlineStr">
        <is>
          <t>Công Ty Cổ Phần A25 Hotel</t>
        </is>
      </c>
      <c r="E5202" s="10" t="inlineStr">
        <is>
          <t>Lương:15 Tr - 25 Tr VND</t>
        </is>
      </c>
      <c r="F5202" s="10" t="inlineStr">
        <is>
          <t>Hà NộiHồ Chí Minh</t>
        </is>
      </c>
      <c r="G5202" s="10" t="inlineStr">
        <is>
          <t>31-03-2026</t>
        </is>
      </c>
      <c r="H5202" s="10" t="inlineStr">
        <is>
          <t>31/03/2026</t>
        </is>
      </c>
      <c r="I5202" s="10" t="inlineStr">
        <is>
          <t>17/03/2026</t>
        </is>
      </c>
      <c r="J5202" s="10" t="inlineStr">
        <is>
          <t>Bán hàng / Kinh doanh, Dịch vụ khách hàng, Nhà hàng / Khách sạn</t>
        </is>
      </c>
      <c r="K5202" s="10" t="inlineStr">
        <is>
          <t>1 - 2 Năm</t>
        </is>
      </c>
      <c r="L5202" s="11">
        <f>HYPERLINK("https://careerviet.vn/vi/tim-viec-lam/nhan-vien-kinh-doanh.35C68F41.html","Xem chi tiết")</f>
        <v/>
      </c>
      <c r="M5202" s="10" t="n"/>
    </row>
    <row r="5203">
      <c r="B5203" s="7" t="n">
        <v>5201</v>
      </c>
      <c r="C5203" t="inlineStr">
        <is>
          <t>Nhân Viên Nhà Máy</t>
        </is>
      </c>
      <c r="D5203" t="inlineStr">
        <is>
          <t>CÔNG TY TNHH LDC LOGISTICS VIỆT NAM</t>
        </is>
      </c>
      <c r="E5203" t="inlineStr">
        <is>
          <t>Lương:Cạnh tranh</t>
        </is>
      </c>
      <c r="F5203" t="inlineStr">
        <is>
          <t>Bình Dương</t>
        </is>
      </c>
      <c r="G5203" t="inlineStr">
        <is>
          <t>27-03-2026</t>
        </is>
      </c>
      <c r="H5203" t="inlineStr">
        <is>
          <t>27/03/2026</t>
        </is>
      </c>
      <c r="I5203" t="inlineStr">
        <is>
          <t>17/03/2026</t>
        </is>
      </c>
      <c r="J5203" t="inlineStr">
        <is>
          <t>Vận chuyển / Giao nhận / Kho vận, Điện / Điện tử / Điện lạnh / Điện công nghiệp, Sản xuất / Vận hành sản xuất</t>
        </is>
      </c>
      <c r="K5203" t="inlineStr">
        <is>
          <t>0 - 0 Năm</t>
        </is>
      </c>
      <c r="L5203" s="8">
        <f>HYPERLINK("https://careerviet.vn/vi/tim-viec-lam/nhan-vien-nha-may.35C66985.html","Xem chi tiết")</f>
        <v/>
      </c>
    </row>
    <row r="5204">
      <c r="B5204" s="9" t="n">
        <v>5202</v>
      </c>
      <c r="C5204" s="10" t="inlineStr">
        <is>
          <t>Nhân viên Trợ lý (Biết tiếng Trung)</t>
        </is>
      </c>
      <c r="D5204" s="10" t="inlineStr">
        <is>
          <t>CÔNG TY TNHH VIỆT NAM PAIHO</t>
        </is>
      </c>
      <c r="E5204" s="10" t="inlineStr">
        <is>
          <t>Lương:Cạnh tranh</t>
        </is>
      </c>
      <c r="F5204" s="10" t="inlineStr">
        <is>
          <t>Hồ Chí Minh</t>
        </is>
      </c>
      <c r="G5204" s="10" t="inlineStr">
        <is>
          <t>23-02-2026</t>
        </is>
      </c>
      <c r="H5204" s="10" t="inlineStr">
        <is>
          <t>03/03/2026</t>
        </is>
      </c>
      <c r="I5204" s="10" t="inlineStr">
        <is>
          <t>17/03/2026</t>
        </is>
      </c>
      <c r="J5204" s="10" t="inlineStr">
        <is>
          <t>Bán hàng / Kinh doanh, Hành chính / Thư ký, Biên phiên dịch</t>
        </is>
      </c>
      <c r="K5204" s="10" t="inlineStr">
        <is>
          <t>1 Năm</t>
        </is>
      </c>
      <c r="L5204" s="11">
        <f>HYPERLINK("https://careerviet.vn/vi/tim-viec-lam/nhan-vien-tro-ly-biet-tieng-trung.35C68F2E.html","Xem chi tiết")</f>
        <v/>
      </c>
      <c r="M5204" s="10" t="n"/>
    </row>
    <row r="5205">
      <c r="B5205" s="7" t="n">
        <v>5203</v>
      </c>
      <c r="C5205" t="inlineStr">
        <is>
          <t>Nhân viên Bảo trì (Trại heo Đak Lak, Gia Lai, Bình Dương)</t>
        </is>
      </c>
      <c r="D5205" t="inlineStr">
        <is>
          <t>De Heus LLC</t>
        </is>
      </c>
      <c r="E5205" t="inlineStr">
        <is>
          <t>Lương:Cạnh tranh</t>
        </is>
      </c>
      <c r="F5205" t="inlineStr">
        <is>
          <t>Dak LakBình DươngGia Lai</t>
        </is>
      </c>
      <c r="G5205" t="inlineStr">
        <is>
          <t>27-03-2026</t>
        </is>
      </c>
      <c r="H5205" t="inlineStr">
        <is>
          <t>27/03/2026</t>
        </is>
      </c>
      <c r="I5205" t="inlineStr">
        <is>
          <t>17/03/2026</t>
        </is>
      </c>
      <c r="J5205" t="inlineStr">
        <is>
          <t>Điện / Điện tử / Điện lạnh / Điện công nghiệp, Bảo trì / Sửa chữa</t>
        </is>
      </c>
      <c r="K5205" t="inlineStr">
        <is>
          <t>1 - 5 NămĐịa điểm</t>
        </is>
      </c>
      <c r="L5205" s="8">
        <f>HYPERLINK("https://careerviet.vn/vi/tim-viec-lam/nhan-vien-bao-tri-trai-heo-dak-lak-gia-lai-binh-duong.35C63FDF.html","Xem chi tiết")</f>
        <v/>
      </c>
    </row>
    <row r="5206">
      <c r="B5206" s="9" t="n">
        <v>5204</v>
      </c>
      <c r="C5206" s="10" t="inlineStr">
        <is>
          <t>TRỢ LÝ KINH DOANH (BIẾT TIẾNG ANH)</t>
        </is>
      </c>
      <c r="D5206" s="10" t="inlineStr">
        <is>
          <t>CÔNG TY TNHH VIỆT NAM PAIHO</t>
        </is>
      </c>
      <c r="E5206" s="10" t="inlineStr">
        <is>
          <t>Lương:Cạnh tranh</t>
        </is>
      </c>
      <c r="F5206" s="10" t="inlineStr">
        <is>
          <t>Hồ Chí Minh</t>
        </is>
      </c>
      <c r="G5206" s="10" t="inlineStr">
        <is>
          <t>31-03-2026</t>
        </is>
      </c>
      <c r="H5206" s="10" t="inlineStr">
        <is>
          <t>31/03/2026</t>
        </is>
      </c>
      <c r="I5206" s="10" t="inlineStr">
        <is>
          <t>17/03/2026</t>
        </is>
      </c>
      <c r="J5206" s="10" t="inlineStr">
        <is>
          <t>Kế toán / Kiểm toán, Thống kê, Sản xuất / Vận hành sản xuất</t>
        </is>
      </c>
      <c r="K5206" s="10" t="inlineStr">
        <is>
          <t>N/A</t>
        </is>
      </c>
      <c r="L5206" s="11">
        <f>HYPERLINK("https://careerviet.vn/vi/tim-viec-lam/tro-ly-kinh-doanh-biet-tieng-anh.35C68F24.html","Xem chi tiết")</f>
        <v/>
      </c>
      <c r="M5206" s="10" t="n"/>
    </row>
    <row r="5207">
      <c r="B5207" s="7" t="n">
        <v>5205</v>
      </c>
      <c r="C5207" t="inlineStr">
        <is>
          <t>Chuyên viên giám sát và vận hành hệ thống công nghệ thông tin</t>
        </is>
      </c>
      <c r="D5207" t="inlineStr">
        <is>
          <t>Công ty CP OSI Holdings</t>
        </is>
      </c>
      <c r="E5207" t="inlineStr">
        <is>
          <t>Lương:25 Tr - 35 Tr VND</t>
        </is>
      </c>
      <c r="F5207" t="inlineStr">
        <is>
          <t>Hà Nội</t>
        </is>
      </c>
      <c r="G5207" t="inlineStr">
        <is>
          <t>31-03-2026</t>
        </is>
      </c>
      <c r="H5207" t="inlineStr">
        <is>
          <t>31/03/2026</t>
        </is>
      </c>
      <c r="I5207" t="inlineStr">
        <is>
          <t>17/03/2026</t>
        </is>
      </c>
      <c r="J5207" t="inlineStr">
        <is>
          <t>CNTT - Phần mềm, CNTT - Phần cứng / Mạng</t>
        </is>
      </c>
      <c r="K5207" t="inlineStr">
        <is>
          <t>Trên 5 Năm</t>
        </is>
      </c>
      <c r="L5207" s="8">
        <f>HYPERLINK("https://careerviet.vn/vi/tim-viec-lam/chuyen-vien-giam-sat-va-van-hanh-he-thong-cong-nghe-thong-tin.35C68F03.html","Xem chi tiết")</f>
        <v/>
      </c>
    </row>
    <row r="5208">
      <c r="B5208" s="9" t="n">
        <v>5206</v>
      </c>
      <c r="C5208" s="10" t="inlineStr">
        <is>
          <t>Data Intelligence Analyst</t>
        </is>
      </c>
      <c r="D5208" s="10" t="inlineStr">
        <is>
          <t>RED2 DIGITAL</t>
        </is>
      </c>
      <c r="E5208" s="10" t="inlineStr">
        <is>
          <t>Lương:Cạnh tranh</t>
        </is>
      </c>
      <c r="F5208" s="10" t="inlineStr">
        <is>
          <t>Hồ Chí Minh</t>
        </is>
      </c>
      <c r="G5208" s="10" t="inlineStr">
        <is>
          <t>31-03-2026</t>
        </is>
      </c>
      <c r="H5208" s="10" t="inlineStr">
        <is>
          <t>31/03/2026</t>
        </is>
      </c>
      <c r="I5208" s="10" t="inlineStr">
        <is>
          <t>17/03/2026</t>
        </is>
      </c>
      <c r="J5208" s="10" t="inlineStr">
        <is>
          <t>Thống kê, CNTT - Phần mềm, Tiếp thị / Marketing</t>
        </is>
      </c>
      <c r="K5208" s="10" t="inlineStr">
        <is>
          <t>1 - 5 Năm</t>
        </is>
      </c>
      <c r="L5208" s="11">
        <f>HYPERLINK("https://careerviet.vn/vi/tim-viec-lam/data-intelligence-analyst.35C68EF2.html","Xem chi tiết")</f>
        <v/>
      </c>
      <c r="M5208" s="10" t="n"/>
    </row>
    <row r="5209">
      <c r="B5209" s="7" t="n">
        <v>5207</v>
      </c>
      <c r="C5209" t="inlineStr">
        <is>
          <t>Senior Commercial Marketing Lead</t>
        </is>
      </c>
      <c r="D5209" t="inlineStr">
        <is>
          <t>Công Ty Cổ phần NDS VIETNAM</t>
        </is>
      </c>
      <c r="E5209" t="inlineStr">
        <is>
          <t>Lương:30 Tr - 45 Tr VND</t>
        </is>
      </c>
      <c r="F5209" t="inlineStr">
        <is>
          <t>Hồ Chí Minh</t>
        </is>
      </c>
      <c r="G5209" t="inlineStr">
        <is>
          <t>25-03-2026</t>
        </is>
      </c>
      <c r="H5209" t="inlineStr">
        <is>
          <t>25/03/2026</t>
        </is>
      </c>
      <c r="I5209" t="inlineStr">
        <is>
          <t>17/03/2026</t>
        </is>
      </c>
      <c r="J5209" t="inlineStr">
        <is>
          <t>Tiếp thị / Marketing, Thương mại điện tử, CNTT - Phần mềm</t>
        </is>
      </c>
      <c r="K5209" t="inlineStr">
        <is>
          <t>5 - 7 Năm</t>
        </is>
      </c>
      <c r="L5209" s="8">
        <f>HYPERLINK("https://careerviet.vn/vi/tim-viec-lam/senior-commercial-marketing-lead.35C68DC2.html","Xem chi tiết")</f>
        <v/>
      </c>
    </row>
    <row r="5210">
      <c r="B5210" s="9" t="n">
        <v>5208</v>
      </c>
      <c r="C5210" s="10" t="inlineStr">
        <is>
          <t>Shipping Specialist</t>
        </is>
      </c>
      <c r="D5210" s="10" t="inlineStr">
        <is>
          <t>Công ty TNHH Liên doanh FLV</t>
        </is>
      </c>
      <c r="E5210" s="10" t="inlineStr">
        <is>
          <t>Lương:Cạnh tranh</t>
        </is>
      </c>
      <c r="F5210" s="10" t="inlineStr">
        <is>
          <t>Bình Dương</t>
        </is>
      </c>
      <c r="G5210" s="10" t="inlineStr">
        <is>
          <t>25-03-2026</t>
        </is>
      </c>
      <c r="H5210" s="10" t="inlineStr">
        <is>
          <t>25/03/2026</t>
        </is>
      </c>
      <c r="I5210" s="10" t="inlineStr">
        <is>
          <t>17/03/2026</t>
        </is>
      </c>
      <c r="J5210" s="10" t="inlineStr">
        <is>
          <t>Hành chính / Thư ký, Nhân sự, Xuất nhập khẩu</t>
        </is>
      </c>
      <c r="K5210" s="10" t="inlineStr">
        <is>
          <t>3 - 5 Năm</t>
        </is>
      </c>
      <c r="L5210" s="11">
        <f>HYPERLINK("https://careerviet.vn/vi/tim-viec-lam/shipping-specialist.35C68DA0.html","Xem chi tiết")</f>
        <v/>
      </c>
      <c r="M5210" s="10" t="n"/>
    </row>
    <row r="5211">
      <c r="B5211" s="7" t="n">
        <v>5209</v>
      </c>
      <c r="C5211" t="inlineStr">
        <is>
          <t>Nhân Viên Kỹ Thuật Điện</t>
        </is>
      </c>
      <c r="D5211" t="inlineStr">
        <is>
          <t>CÔNG TY TNHH VIỆT NAM PAIHO</t>
        </is>
      </c>
      <c r="E5211" t="inlineStr">
        <is>
          <t>Lương:Cạnh tranh</t>
        </is>
      </c>
      <c r="F5211" t="inlineStr">
        <is>
          <t>Hồ Chí Minh</t>
        </is>
      </c>
      <c r="G5211" t="inlineStr">
        <is>
          <t>23-02-2026</t>
        </is>
      </c>
      <c r="H5211" t="inlineStr">
        <is>
          <t>03/03/2026</t>
        </is>
      </c>
      <c r="I5211" t="inlineStr">
        <is>
          <t>17/03/2026</t>
        </is>
      </c>
      <c r="J5211" t="inlineStr">
        <is>
          <t>Cơ khí / Ô tô / Tự động hóa, Điện / Điện tử / Điện lạnh / Điện công nghiệp, Bảo trì / Sửa chữa</t>
        </is>
      </c>
      <c r="K5211" t="inlineStr">
        <is>
          <t>Không yêu cầu kinh nghiệm</t>
        </is>
      </c>
      <c r="L5211" s="8">
        <f>HYPERLINK("https://careerviet.vn/vi/tim-viec-lam/nhan-vien-ky-thuat-dien.35C68F28.html","Xem chi tiết")</f>
        <v/>
      </c>
    </row>
    <row r="5212">
      <c r="B5212" s="9" t="n">
        <v>5210</v>
      </c>
      <c r="C5212" s="10" t="inlineStr">
        <is>
          <t>NHÂN VIÊN XỬ LÝ CHỨNG TỪ</t>
        </is>
      </c>
      <c r="D5212" s="10" t="inlineStr">
        <is>
          <t>Công Ty Cổ phần Tập Đoàn KIDO</t>
        </is>
      </c>
      <c r="E5212" s="10" t="inlineStr">
        <is>
          <t>Lương:Cạnh tranh</t>
        </is>
      </c>
      <c r="F5212" s="10" t="inlineStr">
        <is>
          <t>Hồ Chí Minh</t>
        </is>
      </c>
      <c r="G5212" s="10" t="inlineStr">
        <is>
          <t>25-03-2026</t>
        </is>
      </c>
      <c r="H5212" s="10" t="inlineStr">
        <is>
          <t>25/03/2026</t>
        </is>
      </c>
      <c r="I5212" s="10" t="inlineStr">
        <is>
          <t>17/03/2026</t>
        </is>
      </c>
      <c r="J5212" s="10" t="inlineStr">
        <is>
          <t>Vận chuyển / Giao nhận / Kho vận</t>
        </is>
      </c>
      <c r="K5212" s="10" t="inlineStr">
        <is>
          <t>null - null Năm</t>
        </is>
      </c>
      <c r="L5212" s="11">
        <f>HYPERLINK("https://careerviet.vn/vi/tim-viec-lam/nhan-vien-xu-ly-chung-tu.35C68EE2.html","Xem chi tiết")</f>
        <v/>
      </c>
      <c r="M5212" s="10" t="n"/>
    </row>
    <row r="5213">
      <c r="B5213" s="7" t="n">
        <v>5211</v>
      </c>
      <c r="C5213" t="inlineStr">
        <is>
          <t>TRƯỞNG PHÒNG TIẾP THỊ THƯƠNG MẠI  (TRADE MARKETING MANAGER)</t>
        </is>
      </c>
      <c r="D5213" t="inlineStr">
        <is>
          <t>Công Ty Cổ phần Tập Đoàn KIDO</t>
        </is>
      </c>
      <c r="E5213" t="inlineStr">
        <is>
          <t>Lương:Cạnh tranh</t>
        </is>
      </c>
      <c r="F5213" t="inlineStr">
        <is>
          <t>Hồ Chí Minh</t>
        </is>
      </c>
      <c r="G5213" t="inlineStr">
        <is>
          <t>25-03-2026</t>
        </is>
      </c>
      <c r="H5213" t="inlineStr">
        <is>
          <t>25/03/2026</t>
        </is>
      </c>
      <c r="I5213" t="inlineStr">
        <is>
          <t>17/03/2026</t>
        </is>
      </c>
      <c r="J5213" t="inlineStr">
        <is>
          <t>Tiếp thị / Marketing, Thực phẩm &amp; Đồ uống, Bán hàng / Kinh doanh</t>
        </is>
      </c>
      <c r="K5213" t="inlineStr">
        <is>
          <t>null - null Năm</t>
        </is>
      </c>
      <c r="L5213" s="8">
        <f>HYPERLINK("https://careerviet.vn/vi/tim-viec-lam/truong-phong-tiep-thi-thuong-mai-trade-marketing-manager.35C68EDE.html","Xem chi tiết")</f>
        <v/>
      </c>
    </row>
    <row r="5214">
      <c r="B5214" s="9" t="n">
        <v>5212</v>
      </c>
      <c r="C5214" s="10" t="inlineStr">
        <is>
          <t>Kỹ sư quản lý dự án xây dựng</t>
        </is>
      </c>
      <c r="D5214" s="10" t="inlineStr">
        <is>
          <t>Công ty CP OSI Holdings</t>
        </is>
      </c>
      <c r="E5214" s="10" t="inlineStr">
        <is>
          <t>Lương:25 Tr - 35 Tr VND</t>
        </is>
      </c>
      <c r="F5214" s="10" t="inlineStr">
        <is>
          <t>Hà Nội</t>
        </is>
      </c>
      <c r="G5214" s="10" t="inlineStr">
        <is>
          <t>31-03-2026</t>
        </is>
      </c>
      <c r="H5214" s="10" t="inlineStr">
        <is>
          <t>31/03/2026</t>
        </is>
      </c>
      <c r="I5214" s="10" t="inlineStr">
        <is>
          <t>17/03/2026</t>
        </is>
      </c>
      <c r="J5214" s="10" t="inlineStr">
        <is>
          <t>Xây dựng, Bất động sản</t>
        </is>
      </c>
      <c r="K5214" s="10" t="inlineStr">
        <is>
          <t>Trên 5 Năm</t>
        </is>
      </c>
      <c r="L5214" s="11">
        <f>HYPERLINK("https://careerviet.vn/vi/tim-viec-lam/ky-su-quan-ly-du-an-xay-dung.35C68ECA.html","Xem chi tiết")</f>
        <v/>
      </c>
      <c r="M5214" s="10" t="n"/>
    </row>
    <row r="5215">
      <c r="B5215" s="7" t="n">
        <v>5213</v>
      </c>
      <c r="C5215" t="inlineStr">
        <is>
          <t>Admin - HR Executive</t>
        </is>
      </c>
      <c r="D5215" t="inlineStr">
        <is>
          <t>Công Ty TNHH APM Springs Vietnam</t>
        </is>
      </c>
      <c r="E5215" t="inlineStr">
        <is>
          <t>Lương:Cạnh tranh</t>
        </is>
      </c>
      <c r="F5215" t="inlineStr">
        <is>
          <t>Bình Dương</t>
        </is>
      </c>
      <c r="G5215" t="inlineStr">
        <is>
          <t>31-03-2026</t>
        </is>
      </c>
      <c r="H5215" t="inlineStr">
        <is>
          <t>31/03/2026</t>
        </is>
      </c>
      <c r="I5215" t="inlineStr">
        <is>
          <t>17/03/2026</t>
        </is>
      </c>
      <c r="J5215" t="inlineStr">
        <is>
          <t>Nhân sự, Hành chính / Thư ký, Quản lý điều hành</t>
        </is>
      </c>
      <c r="K5215" t="inlineStr">
        <is>
          <t>3 - 5 Năm</t>
        </is>
      </c>
      <c r="L5215" s="8">
        <f>HYPERLINK("https://careerviet.vn/vi/tim-viec-lam/admin-hr-executive.35C68EAE.html","Xem chi tiết")</f>
        <v/>
      </c>
    </row>
    <row r="5216">
      <c r="B5216" s="9" t="n">
        <v>5214</v>
      </c>
      <c r="C5216" s="10" t="inlineStr">
        <is>
          <t>Trợ lý giám đốc</t>
        </is>
      </c>
      <c r="D5216" s="10" t="inlineStr">
        <is>
          <t>CÔNG TY TNHH GLOBAL INVESTORS</t>
        </is>
      </c>
      <c r="E5216" s="10" t="inlineStr">
        <is>
          <t>Lương:11 Tr - 20 Tr VND</t>
        </is>
      </c>
      <c r="F5216" s="10" t="inlineStr">
        <is>
          <t>Hồ Chí Minh</t>
        </is>
      </c>
      <c r="G5216" s="10" t="inlineStr">
        <is>
          <t>5</t>
        </is>
      </c>
      <c r="H5216" s="10" t="inlineStr">
        <is>
          <t>22/03/2026</t>
        </is>
      </c>
      <c r="I5216" s="10" t="inlineStr">
        <is>
          <t>17/03/2026</t>
        </is>
      </c>
      <c r="J5216" s="10" t="inlineStr">
        <is>
          <t>Quản lý điều hành, Bán hàng / Kinh doanh, Thực phẩm &amp; Đồ uống</t>
        </is>
      </c>
      <c r="K5216" s="10" t="inlineStr">
        <is>
          <t>1 - 3 Năm</t>
        </is>
      </c>
      <c r="L5216" s="11">
        <f>HYPERLINK("https://careerviet.vn/vi/tim-viec-lam/tro-ly-giam-doc.35C68E97.html","Xem chi tiết")</f>
        <v/>
      </c>
      <c r="M5216" s="10" t="n"/>
    </row>
    <row r="5217">
      <c r="B5217" s="7" t="n">
        <v>5215</v>
      </c>
      <c r="C5217" t="inlineStr">
        <is>
          <t>HR - Chuyên Viên Tổ Chức Đánh Giá Và Đào Tạo</t>
        </is>
      </c>
      <c r="D5217" t="inlineStr">
        <is>
          <t>CÔNG TY TRÁCH NHIỆM HỮU HẠN THỤC SAN NGUYỄN</t>
        </is>
      </c>
      <c r="E5217" t="inlineStr">
        <is>
          <t>Lương:Trên 12 Tr VND</t>
        </is>
      </c>
      <c r="F5217" t="inlineStr">
        <is>
          <t>Hồ Chí MinhKhánh Hòa</t>
        </is>
      </c>
      <c r="G5217" t="inlineStr">
        <is>
          <t>6</t>
        </is>
      </c>
      <c r="H5217" t="inlineStr">
        <is>
          <t>23/03/2026</t>
        </is>
      </c>
      <c r="I5217" t="inlineStr">
        <is>
          <t>17/03/2026</t>
        </is>
      </c>
      <c r="J5217" t="inlineStr">
        <is>
          <t>Nhân sự, Giáo dục / Đào tạo, Hành chính / Thư ký</t>
        </is>
      </c>
      <c r="K5217" t="inlineStr">
        <is>
          <t>1 - 2 NămĐịa điểm</t>
        </is>
      </c>
      <c r="L5217" s="8">
        <f>HYPERLINK("https://careerviet.vn/vi/tim-viec-lam/hr-chuyen-vien-to-chuc-danh-gia-va-dao-tao.35C68DD6.html","Xem chi tiết")</f>
        <v/>
      </c>
    </row>
    <row r="5218">
      <c r="B5218" s="9" t="n">
        <v>5216</v>
      </c>
      <c r="C5218" s="10" t="inlineStr">
        <is>
          <t>Quản Lý Dự Án/ Project Manager</t>
        </is>
      </c>
      <c r="D5218" s="10" t="inlineStr">
        <is>
          <t>OMN1 Solution</t>
        </is>
      </c>
      <c r="E5218" s="10" t="inlineStr">
        <is>
          <t>Lương:Trên 25 Tr VND</t>
        </is>
      </c>
      <c r="F5218" s="10" t="inlineStr">
        <is>
          <t>Hồ Chí Minh</t>
        </is>
      </c>
      <c r="G5218" s="10" t="inlineStr">
        <is>
          <t>5</t>
        </is>
      </c>
      <c r="H5218" s="10" t="inlineStr">
        <is>
          <t>22/03/2026</t>
        </is>
      </c>
      <c r="I5218" s="10" t="inlineStr">
        <is>
          <t>17/03/2026</t>
        </is>
      </c>
      <c r="J5218" s="10" t="inlineStr">
        <is>
          <t>Quản lý điều hành, CNTT - Phần mềm, CNTT - Phần cứng / Mạng</t>
        </is>
      </c>
      <c r="K5218" s="10" t="inlineStr">
        <is>
          <t>3 - 5 Năm</t>
        </is>
      </c>
      <c r="L5218" s="11">
        <f>HYPERLINK("https://careerviet.vn/vi/tim-viec-lam/quan-ly-du-an-project-manager.35C68EA8.html","Xem chi tiết")</f>
        <v/>
      </c>
      <c r="M5218" s="10" t="n"/>
    </row>
    <row r="5219">
      <c r="B5219" s="7" t="n">
        <v>5217</v>
      </c>
      <c r="C5219" t="inlineStr">
        <is>
          <t>Trưởng phòng hành chính nhân sự</t>
        </is>
      </c>
      <c r="D5219" t="inlineStr">
        <is>
          <t>Công Ty TNHH TM &amp; XNK Nhất Lâm</t>
        </is>
      </c>
      <c r="E5219" t="inlineStr">
        <is>
          <t>Lương:30 Tr - 40 Tr VND</t>
        </is>
      </c>
      <c r="F5219" t="inlineStr">
        <is>
          <t>Hà Nội</t>
        </is>
      </c>
      <c r="G5219" t="inlineStr">
        <is>
          <t>3</t>
        </is>
      </c>
      <c r="H5219" t="inlineStr">
        <is>
          <t>20/03/2026</t>
        </is>
      </c>
      <c r="I5219" t="inlineStr">
        <is>
          <t>17/03/2026</t>
        </is>
      </c>
      <c r="J5219" t="inlineStr">
        <is>
          <t>Nhân sự, Hành chính / Thư ký</t>
        </is>
      </c>
      <c r="K5219" t="inlineStr">
        <is>
          <t>3 - 5 Năm</t>
        </is>
      </c>
      <c r="L5219" s="8">
        <f>HYPERLINK("https://careerviet.vn/vi/tim-viec-lam/truong-phong-hanh-chinh-nhan-su.35C68EC6.html","Xem chi tiết")</f>
        <v/>
      </c>
    </row>
    <row r="5220">
      <c r="B5220" s="9" t="n">
        <v>5218</v>
      </c>
      <c r="C5220" s="10" t="inlineStr">
        <is>
          <t>Giám Đốc Phát Triển Thị Trường</t>
        </is>
      </c>
      <c r="D5220" s="10" t="inlineStr">
        <is>
          <t>CÔNG TY TNHH ZAM MART (VIỆT NAM)</t>
        </is>
      </c>
      <c r="E5220" s="10" t="inlineStr">
        <is>
          <t>Lương:Lên đến 80 Tr VND</t>
        </is>
      </c>
      <c r="F5220" s="10" t="inlineStr">
        <is>
          <t>Hồ Chí Minh</t>
        </is>
      </c>
      <c r="G5220" s="10" t="inlineStr">
        <is>
          <t>6</t>
        </is>
      </c>
      <c r="H5220" s="10" t="inlineStr">
        <is>
          <t>23/03/2026</t>
        </is>
      </c>
      <c r="I5220" s="10" t="inlineStr">
        <is>
          <t>17/03/2026</t>
        </is>
      </c>
      <c r="J5220" s="10" t="inlineStr">
        <is>
          <t>Thương mại điện tử, Bán lẻ / Bán sỉ, Bán hàng / Kinh doanh</t>
        </is>
      </c>
      <c r="K5220" s="10" t="inlineStr">
        <is>
          <t>Trên 2 Năm</t>
        </is>
      </c>
      <c r="L5220" s="11">
        <f>HYPERLINK("https://careerviet.vn/vi/tim-viec-lam/giam-doc-phat-trien-thi-truong.35C68EB6.html","Xem chi tiết")</f>
        <v/>
      </c>
      <c r="M5220" s="10" t="n"/>
    </row>
    <row r="5221">
      <c r="B5221" s="7" t="n">
        <v>5219</v>
      </c>
      <c r="C5221" t="inlineStr">
        <is>
          <t>HR Executive</t>
        </is>
      </c>
      <c r="D5221" t="inlineStr">
        <is>
          <t>Công Ty TNHH Sản Xuất Thương Mại Dịch Vụ Cuộc Sống Xanh &amp; Công Ty TNHH Barentz Vietnam</t>
        </is>
      </c>
      <c r="E5221" t="inlineStr">
        <is>
          <t>Lương:14 Tr - 18 Tr VND</t>
        </is>
      </c>
      <c r="F5221" t="inlineStr">
        <is>
          <t>Hồ Chí Minh</t>
        </is>
      </c>
      <c r="G5221" t="inlineStr">
        <is>
          <t>31-03-2026</t>
        </is>
      </c>
      <c r="H5221" t="inlineStr">
        <is>
          <t>31/03/2026</t>
        </is>
      </c>
      <c r="I5221" t="inlineStr">
        <is>
          <t>17/03/2026</t>
        </is>
      </c>
      <c r="J5221" t="inlineStr">
        <is>
          <t>Nhân sự</t>
        </is>
      </c>
      <c r="K5221" t="inlineStr">
        <is>
          <t>2 - 4 Năm</t>
        </is>
      </c>
      <c r="L5221" s="8">
        <f>HYPERLINK("https://careerviet.vn/vi/tim-viec-lam/hr-executive.35C68E98.html","Xem chi tiết")</f>
        <v/>
      </c>
    </row>
    <row r="5222">
      <c r="B5222" s="9" t="n">
        <v>5220</v>
      </c>
      <c r="C5222" s="10" t="inlineStr">
        <is>
          <t>Kế Toán Thanh Toán</t>
        </is>
      </c>
      <c r="D5222" s="10" t="inlineStr">
        <is>
          <t>CÔNG TY TNHH ĐẦU TƯ DỊCH VỤ HUMVENTURES</t>
        </is>
      </c>
      <c r="E5222" s="10" t="inlineStr">
        <is>
          <t>Lương:Cạnh tranh</t>
        </is>
      </c>
      <c r="F5222" s="10" t="inlineStr">
        <is>
          <t>Hồ Chí Minh</t>
        </is>
      </c>
      <c r="G5222" s="10" t="inlineStr">
        <is>
          <t>31-03-2026</t>
        </is>
      </c>
      <c r="H5222" s="10" t="inlineStr">
        <is>
          <t>31/03/2026</t>
        </is>
      </c>
      <c r="I5222" s="10" t="inlineStr">
        <is>
          <t>17/03/2026</t>
        </is>
      </c>
      <c r="J5222" s="10" t="inlineStr">
        <is>
          <t>Kế toán / Kiểm toán</t>
        </is>
      </c>
      <c r="K5222" s="10" t="inlineStr">
        <is>
          <t>3 - 5 Năm</t>
        </is>
      </c>
      <c r="L5222" s="11">
        <f>HYPERLINK("https://careerviet.vn/vi/tim-viec-lam/ke-toan-thanh-toan.35C68EA2.html","Xem chi tiết")</f>
        <v/>
      </c>
      <c r="M5222" s="10" t="n"/>
    </row>
    <row r="5223">
      <c r="B5223" s="7" t="n">
        <v>5221</v>
      </c>
      <c r="C5223" t="inlineStr">
        <is>
          <t>FullStack Developer</t>
        </is>
      </c>
      <c r="D5223" t="inlineStr">
        <is>
          <t>CÔNG TY CP TẬP ĐOÀN VAS NGHI SƠN</t>
        </is>
      </c>
      <c r="E5223" t="inlineStr">
        <is>
          <t>Lương:Cạnh tranh</t>
        </is>
      </c>
      <c r="F5223" t="inlineStr">
        <is>
          <t>Hồ Chí Minh</t>
        </is>
      </c>
      <c r="G5223" t="inlineStr">
        <is>
          <t>6</t>
        </is>
      </c>
      <c r="H5223" t="inlineStr">
        <is>
          <t>23/03/2026</t>
        </is>
      </c>
      <c r="I5223" t="inlineStr">
        <is>
          <t>17/03/2026</t>
        </is>
      </c>
      <c r="J5223" t="inlineStr">
        <is>
          <t>CNTT - Phần mềm</t>
        </is>
      </c>
      <c r="K5223" t="inlineStr">
        <is>
          <t>2 - 4 Năm</t>
        </is>
      </c>
      <c r="L5223" s="8">
        <f>HYPERLINK("https://careerviet.vn/vi/tim-viec-lam/fullstack-developer.35C68E7B.html","Xem chi tiết")</f>
        <v/>
      </c>
    </row>
    <row r="5224">
      <c r="B5224" s="9" t="n">
        <v>5222</v>
      </c>
      <c r="C5224" s="10" t="inlineStr">
        <is>
          <t>Senior Digital Marketing Executive</t>
        </is>
      </c>
      <c r="D5224" s="10" t="inlineStr">
        <is>
          <t>Saint-Gobain Vietnam</t>
        </is>
      </c>
      <c r="E5224" s="10" t="inlineStr">
        <is>
          <t>Lương:Cạnh tranh</t>
        </is>
      </c>
      <c r="F5224" s="10" t="inlineStr">
        <is>
          <t>Hồ Chí Minh</t>
        </is>
      </c>
      <c r="G5224" s="10" t="inlineStr">
        <is>
          <t>6</t>
        </is>
      </c>
      <c r="H5224" s="10" t="inlineStr">
        <is>
          <t>23/03/2026</t>
        </is>
      </c>
      <c r="I5224" s="10" t="inlineStr">
        <is>
          <t>17/03/2026</t>
        </is>
      </c>
      <c r="J5224" s="10" t="inlineStr">
        <is>
          <t>Tiếp thị / Marketing, Tiếp thị trực tuyến</t>
        </is>
      </c>
      <c r="K5224" s="10" t="inlineStr">
        <is>
          <t>3 - 5 Năm</t>
        </is>
      </c>
      <c r="L5224" s="11">
        <f>HYPERLINK("https://careerviet.vn/vi/tim-viec-lam/senior-digital-marketing-executive.35C68E6D.html","Xem chi tiết")</f>
        <v/>
      </c>
      <c r="M5224" s="10" t="n"/>
    </row>
    <row r="5225">
      <c r="B5225" s="7" t="n">
        <v>5223</v>
      </c>
      <c r="C5225" t="inlineStr">
        <is>
          <t>IT Leader  (FMCG)</t>
        </is>
      </c>
      <c r="D5225" t="inlineStr">
        <is>
          <t>CÔNG TY CỔ PHẦN THƯƠNG MẠI DỊCH VỤ SẢN XUẤT HƯƠNG THỦY</t>
        </is>
      </c>
      <c r="E5225" t="inlineStr">
        <is>
          <t>Lương:25 Tr - 35 Tr VND</t>
        </is>
      </c>
      <c r="F5225" t="inlineStr">
        <is>
          <t>Hồ Chí Minh</t>
        </is>
      </c>
      <c r="G5225" t="inlineStr">
        <is>
          <t>5</t>
        </is>
      </c>
      <c r="H5225" t="inlineStr">
        <is>
          <t>22/03/2026</t>
        </is>
      </c>
      <c r="I5225" t="inlineStr">
        <is>
          <t>17/03/2026</t>
        </is>
      </c>
      <c r="J5225" t="inlineStr">
        <is>
          <t>CNTT - Phần mềm</t>
        </is>
      </c>
      <c r="K5225" t="inlineStr">
        <is>
          <t>3 - 5 Năm</t>
        </is>
      </c>
      <c r="L5225" s="8">
        <f>HYPERLINK("https://careerviet.vn/vi/tim-viec-lam/it-leader-fmcg.35C68E96.html","Xem chi tiết")</f>
        <v/>
      </c>
    </row>
    <row r="5226">
      <c r="B5226" s="9" t="n">
        <v>5224</v>
      </c>
      <c r="C5226" s="10" t="inlineStr">
        <is>
          <t>Chuyên viên Tuyển Dụng</t>
        </is>
      </c>
      <c r="D5226" s="10" t="inlineStr">
        <is>
          <t>CÔNG TY CỔ PHẦN VÀNG BẠC ĐÁ QUÝ LỘC PHÚC</t>
        </is>
      </c>
      <c r="E5226" s="10" t="inlineStr">
        <is>
          <t>Lương:12 Tr - 15 Tr VND</t>
        </is>
      </c>
      <c r="F5226" s="10" t="inlineStr">
        <is>
          <t>Hồ Chí Minh</t>
        </is>
      </c>
      <c r="G5226" s="10" t="inlineStr">
        <is>
          <t>23-02-2026</t>
        </is>
      </c>
      <c r="H5226" s="10" t="inlineStr">
        <is>
          <t>15/03/2026</t>
        </is>
      </c>
      <c r="I5226" s="10" t="inlineStr">
        <is>
          <t>17/03/2026</t>
        </is>
      </c>
      <c r="J5226" s="10" t="inlineStr">
        <is>
          <t>Nhân sự, Hành chính / Thư ký</t>
        </is>
      </c>
      <c r="K5226" s="10" t="inlineStr">
        <is>
          <t>2 - 5 Năm</t>
        </is>
      </c>
      <c r="L5226" s="11">
        <f>HYPERLINK("https://careerviet.vn/vi/tim-viec-lam/chuyen-vien-tuyen-dung.35C68DFE.html","Xem chi tiết")</f>
        <v/>
      </c>
      <c r="M5226" s="10" t="n"/>
    </row>
    <row r="5227">
      <c r="B5227" s="7" t="n">
        <v>5225</v>
      </c>
      <c r="C5227" t="inlineStr">
        <is>
          <t>Phó Phòng Mua Hàng</t>
        </is>
      </c>
      <c r="D5227" t="inlineStr">
        <is>
          <t>CÔNG TY CP TẬP ĐOÀN VAS NGHI SƠN</t>
        </is>
      </c>
      <c r="E5227" t="inlineStr">
        <is>
          <t>Lương:Cạnh tranh</t>
        </is>
      </c>
      <c r="F5227" t="inlineStr">
        <is>
          <t>Hồ Chí Minh</t>
        </is>
      </c>
      <c r="G5227" t="inlineStr">
        <is>
          <t>6</t>
        </is>
      </c>
      <c r="H5227" t="inlineStr">
        <is>
          <t>23/03/2026</t>
        </is>
      </c>
      <c r="I5227" t="inlineStr">
        <is>
          <t>17/03/2026</t>
        </is>
      </c>
      <c r="J5227" t="inlineStr">
        <is>
          <t>Thu mua / Vật tư</t>
        </is>
      </c>
      <c r="K5227" t="inlineStr">
        <is>
          <t>2 - 5 Năm</t>
        </is>
      </c>
      <c r="L5227" s="8">
        <f>HYPERLINK("https://careerviet.vn/vi/tim-viec-lam/pho-phong-mua-hang.35C68E14.html","Xem chi tiết")</f>
        <v/>
      </c>
    </row>
    <row r="5228">
      <c r="B5228" s="9" t="n">
        <v>5226</v>
      </c>
      <c r="C5228" s="10" t="inlineStr">
        <is>
          <t>Material Control Planner (Đồng Nai or Củ Chi)</t>
        </is>
      </c>
      <c r="D5228" s="10" t="inlineStr">
        <is>
          <t>Techtronic Industries Vietnam Manufacturing Company Limited</t>
        </is>
      </c>
      <c r="E5228" s="10" t="inlineStr">
        <is>
          <t>Lương:Cạnh tranh</t>
        </is>
      </c>
      <c r="F5228" s="10" t="inlineStr">
        <is>
          <t>Hồ Chí MinhĐồng Nai</t>
        </is>
      </c>
      <c r="G5228" s="10" t="inlineStr">
        <is>
          <t>25-03-2026</t>
        </is>
      </c>
      <c r="H5228" s="10" t="inlineStr">
        <is>
          <t>25/03/2026</t>
        </is>
      </c>
      <c r="I5228" s="10" t="inlineStr">
        <is>
          <t>17/03/2026</t>
        </is>
      </c>
      <c r="J5228" s="10" t="inlineStr">
        <is>
          <t>Thu mua / Vật tư</t>
        </is>
      </c>
      <c r="K5228" s="10" t="inlineStr">
        <is>
          <t>null - null Năm</t>
        </is>
      </c>
      <c r="L5228" s="11">
        <f>HYPERLINK("https://careerviet.vn/vi/tim-viec-lam/material-control-planner-dong-nai-or-cu-chi.35C68E5B.html","Xem chi tiết")</f>
        <v/>
      </c>
      <c r="M5228" s="10" t="n"/>
    </row>
    <row r="5229">
      <c r="B5229" s="7" t="n">
        <v>5227</v>
      </c>
      <c r="C5229" t="inlineStr">
        <is>
          <t>Chuyên viên Phát triển dự án/ Chuyên viên Pháp lý dự án BĐS</t>
        </is>
      </c>
      <c r="D5229" t="inlineStr">
        <is>
          <t>Tập đoàn Hà Đô</t>
        </is>
      </c>
      <c r="E5229" t="inlineStr">
        <is>
          <t>Lương:Cạnh tranh</t>
        </is>
      </c>
      <c r="F5229" t="inlineStr">
        <is>
          <t>Hà Nội</t>
        </is>
      </c>
      <c r="G5229" t="inlineStr">
        <is>
          <t>31-03-2026</t>
        </is>
      </c>
      <c r="H5229" t="inlineStr">
        <is>
          <t>31/03/2026</t>
        </is>
      </c>
      <c r="I5229" t="inlineStr">
        <is>
          <t>17/03/2026</t>
        </is>
      </c>
      <c r="J5229" t="inlineStr">
        <is>
          <t>Tài chính / Đầu tư, Xây dựng, Bất động sản</t>
        </is>
      </c>
      <c r="K5229" t="inlineStr">
        <is>
          <t>3 - 5 Năm</t>
        </is>
      </c>
      <c r="L5229" s="8">
        <f>HYPERLINK("https://careerviet.vn/vi/tim-viec-lam/chuyen-vien-phat-trien-du-an-chuyen-vien-phap-ly-du-an-bds.35C68DA9.html","Xem chi tiết")</f>
        <v/>
      </c>
    </row>
    <row r="5230">
      <c r="B5230" s="9" t="n">
        <v>5228</v>
      </c>
      <c r="C5230" s="10" t="inlineStr">
        <is>
          <t>Nhân Viên Kiểm Soát Chất Lượng - QC</t>
        </is>
      </c>
      <c r="D5230" s="10" t="inlineStr">
        <is>
          <t>VĂN PHÒNG ĐẠI DIỆN CÔNG TY TNHH AMREP VIỆT NAM TẠI THÀNH PHỐ HÀ NỘI</t>
        </is>
      </c>
      <c r="E5230" s="10" t="inlineStr">
        <is>
          <t>Lương:Lên đến 14 Tr VND</t>
        </is>
      </c>
      <c r="F5230" s="10" t="inlineStr">
        <is>
          <t>Đồng NaiBình Dương</t>
        </is>
      </c>
      <c r="G5230" s="10" t="inlineStr">
        <is>
          <t>25-03-2026</t>
        </is>
      </c>
      <c r="H5230" s="10" t="inlineStr">
        <is>
          <t>25/03/2026</t>
        </is>
      </c>
      <c r="I5230" s="10" t="inlineStr">
        <is>
          <t>17/03/2026</t>
        </is>
      </c>
      <c r="J5230" s="10" t="inlineStr">
        <is>
          <t>Quản lý chất lượng (QA/QC), Sản xuất / Vận hành sản xuất</t>
        </is>
      </c>
      <c r="K5230" s="10" t="inlineStr">
        <is>
          <t>N/A</t>
        </is>
      </c>
      <c r="L5230" s="11">
        <f>HYPERLINK("https://careerviet.vn/vi/tim-viec-lam/nhan-vien-kiem-soat-chat-luong-qc.35C68E1E.html","Xem chi tiết")</f>
        <v/>
      </c>
      <c r="M5230" s="10" t="n"/>
    </row>
    <row r="5231">
      <c r="B5231" s="7" t="n">
        <v>5229</v>
      </c>
      <c r="C5231" t="inlineStr">
        <is>
          <t>WH &amp; Supply Chain Assistant Manager</t>
        </is>
      </c>
      <c r="D5231" t="inlineStr">
        <is>
          <t>Công ty TNHH MTV VietNam GS Industry - Chi nhánh cốp pha nhôm</t>
        </is>
      </c>
      <c r="E5231" t="inlineStr">
        <is>
          <t>Lương:Cạnh tranh</t>
        </is>
      </c>
      <c r="F5231" t="inlineStr">
        <is>
          <t>Đồng Nai</t>
        </is>
      </c>
      <c r="G5231" t="inlineStr">
        <is>
          <t>5</t>
        </is>
      </c>
      <c r="H5231" t="inlineStr">
        <is>
          <t>22/03/2026</t>
        </is>
      </c>
      <c r="I5231" t="inlineStr">
        <is>
          <t>17/03/2026</t>
        </is>
      </c>
      <c r="J5231" t="inlineStr">
        <is>
          <t>Thu mua / Vật tư, Quản lý điều hành, Sản xuất / Vận hành sản xuất</t>
        </is>
      </c>
      <c r="K5231" t="inlineStr">
        <is>
          <t>1 - 3 Năm</t>
        </is>
      </c>
      <c r="L5231" s="8">
        <f>HYPERLINK("https://careerviet.vn/vi/tim-viec-lam/wh-supply-chain-assistant-manager.35C68DB1.html","Xem chi tiết")</f>
        <v/>
      </c>
    </row>
    <row r="5232">
      <c r="B5232" s="9" t="n">
        <v>5230</v>
      </c>
      <c r="C5232" s="10" t="inlineStr">
        <is>
          <t>Digital Marketing Lead</t>
        </is>
      </c>
      <c r="D5232" s="10" t="inlineStr">
        <is>
          <t>Công ty TNHH Ru9</t>
        </is>
      </c>
      <c r="E5232" s="10" t="inlineStr">
        <is>
          <t>Lương:20 Tr - 25 Tr VND</t>
        </is>
      </c>
      <c r="F5232" s="10" t="inlineStr">
        <is>
          <t>Hồ Chí Minh</t>
        </is>
      </c>
      <c r="G5232" s="10" t="inlineStr">
        <is>
          <t>31-03-2026</t>
        </is>
      </c>
      <c r="H5232" s="10" t="inlineStr">
        <is>
          <t>31/03/2026</t>
        </is>
      </c>
      <c r="I5232" s="10" t="inlineStr">
        <is>
          <t>17/03/2026</t>
        </is>
      </c>
      <c r="J5232" s="10" t="inlineStr">
        <is>
          <t>Tiếp thị / Marketing, Quảng cáo / Đối ngoại / Truyền Thông, Bán lẻ / Bán sỉ</t>
        </is>
      </c>
      <c r="K5232" s="10" t="inlineStr">
        <is>
          <t>Chưa có kinh nghiệm</t>
        </is>
      </c>
      <c r="L5232" s="11">
        <f>HYPERLINK("https://careerviet.vn/vi/tim-viec-lam/digital-marketing-lead.35C68E4A.html","Xem chi tiết")</f>
        <v/>
      </c>
      <c r="M5232" s="10" t="n"/>
    </row>
    <row r="5233">
      <c r="B5233" s="7" t="n">
        <v>5231</v>
      </c>
      <c r="C5233" t="inlineStr">
        <is>
          <t>Sales Logistics</t>
        </is>
      </c>
      <c r="D5233" t="inlineStr">
        <is>
          <t>OOCL Logistics (Vietnam) Company Limited</t>
        </is>
      </c>
      <c r="E5233" t="inlineStr">
        <is>
          <t>Lương:Cạnh tranh</t>
        </is>
      </c>
      <c r="F5233" t="inlineStr">
        <is>
          <t>Hà NộiHải Phòng</t>
        </is>
      </c>
      <c r="G5233" t="inlineStr">
        <is>
          <t>31-03-2026</t>
        </is>
      </c>
      <c r="H5233" t="inlineStr">
        <is>
          <t>31/03/2026</t>
        </is>
      </c>
      <c r="I5233" t="inlineStr">
        <is>
          <t>17/03/2026</t>
        </is>
      </c>
      <c r="J5233" t="inlineStr">
        <is>
          <t>Bán hàng / Kinh doanh, Xuất nhập khẩu, Vận chuyển / Giao nhận / Kho vận</t>
        </is>
      </c>
      <c r="K5233" t="inlineStr">
        <is>
          <t>1 - 3 Năm</t>
        </is>
      </c>
      <c r="L5233" s="8">
        <f>HYPERLINK("https://careerviet.vn/vi/tim-viec-lam/sales-logistics.35C68D88.html","Xem chi tiết")</f>
        <v/>
      </c>
    </row>
    <row r="5234">
      <c r="B5234" s="9" t="n">
        <v>5232</v>
      </c>
      <c r="C5234" s="10" t="inlineStr">
        <is>
          <t>Kỹ sư QS</t>
        </is>
      </c>
      <c r="D5234" s="10" t="inlineStr">
        <is>
          <t>CÔNG TY CP TẬP ĐOÀN VAS NGHI SƠN</t>
        </is>
      </c>
      <c r="E5234" s="10" t="inlineStr">
        <is>
          <t>Lương:Cạnh tranh</t>
        </is>
      </c>
      <c r="F5234" s="10" t="inlineStr">
        <is>
          <t>Hồ Chí MinhThanh Hóa</t>
        </is>
      </c>
      <c r="G5234" s="10" t="inlineStr">
        <is>
          <t>6</t>
        </is>
      </c>
      <c r="H5234" s="10" t="inlineStr">
        <is>
          <t>23/03/2026</t>
        </is>
      </c>
      <c r="I5234" s="10" t="inlineStr">
        <is>
          <t>17/03/2026</t>
        </is>
      </c>
      <c r="J5234" s="10" t="inlineStr">
        <is>
          <t>Xây dựng, Bất động sản, Kiến trúc</t>
        </is>
      </c>
      <c r="K5234" s="10" t="inlineStr">
        <is>
          <t>2 - 5 Năm</t>
        </is>
      </c>
      <c r="L5234" s="11">
        <f>HYPERLINK("https://careerviet.vn/vi/tim-viec-lam/ky-su-qs.35C68DF0.html","Xem chi tiết")</f>
        <v/>
      </c>
      <c r="M5234" s="10" t="n"/>
    </row>
    <row r="5235">
      <c r="B5235" s="7" t="n">
        <v>5233</v>
      </c>
      <c r="C5235" t="inlineStr">
        <is>
          <t>Giám đốc Khối kinh doanh tiếp thị</t>
        </is>
      </c>
      <c r="D5235" t="inlineStr">
        <is>
          <t>CÔNG TY CỔ PHẦN THÀNH PHỐ DU LỊCH SINH THÁI SƠN TIÊN</t>
        </is>
      </c>
      <c r="E5235" t="inlineStr">
        <is>
          <t>Lương:60 Tr - 80 Tr VND</t>
        </is>
      </c>
      <c r="F5235" t="inlineStr">
        <is>
          <t>Đồng Nai</t>
        </is>
      </c>
      <c r="G5235" t="inlineStr">
        <is>
          <t>3</t>
        </is>
      </c>
      <c r="H5235" t="inlineStr">
        <is>
          <t>20/03/2026</t>
        </is>
      </c>
      <c r="I5235" t="inlineStr">
        <is>
          <t>17/03/2026</t>
        </is>
      </c>
      <c r="J5235" t="inlineStr">
        <is>
          <t>Tiếp thị / Marketing, Du lịch, Nhà hàng / Khách sạn</t>
        </is>
      </c>
      <c r="K5235" t="inlineStr">
        <is>
          <t>10 - 30 Năm</t>
        </is>
      </c>
      <c r="L5235" s="8">
        <f>HYPERLINK("https://careerviet.vn/vi/tim-viec-lam/giam-doc-khoi-kinh-doanh-tiep-thi.35C68D70.html","Xem chi tiết")</f>
        <v/>
      </c>
    </row>
    <row r="5236">
      <c r="B5236" s="9" t="n">
        <v>5234</v>
      </c>
      <c r="C5236" s="10" t="inlineStr">
        <is>
          <t>Chuyên viên Sales Tour</t>
        </is>
      </c>
      <c r="D5236" s="10" t="inlineStr">
        <is>
          <t>CÔNG TY TNHH ĐẦU TƯ DU LỊCH TRUNG NGUYÊN HEALING</t>
        </is>
      </c>
      <c r="E5236" s="10" t="inlineStr">
        <is>
          <t>Lương:15 Tr - 18 Tr VND</t>
        </is>
      </c>
      <c r="F5236" s="10" t="inlineStr">
        <is>
          <t>Hồ Chí Minh</t>
        </is>
      </c>
      <c r="G5236" s="10" t="inlineStr">
        <is>
          <t>31-03-2026</t>
        </is>
      </c>
      <c r="H5236" s="10" t="inlineStr">
        <is>
          <t>31/03/2026</t>
        </is>
      </c>
      <c r="I5236" s="10" t="inlineStr">
        <is>
          <t>17/03/2026</t>
        </is>
      </c>
      <c r="J5236" s="10" t="inlineStr">
        <is>
          <t>Nhà hàng / Khách sạn, Du lịch</t>
        </is>
      </c>
      <c r="K5236" s="10" t="inlineStr">
        <is>
          <t>3 - 5 Năm</t>
        </is>
      </c>
      <c r="L5236" s="11">
        <f>HYPERLINK("https://careerviet.vn/vi/tim-viec-lam/chuyen-vien-sales-tour.35C68D4D.html","Xem chi tiết")</f>
        <v/>
      </c>
      <c r="M5236" s="10" t="n"/>
    </row>
    <row r="5237">
      <c r="B5237" s="7" t="n">
        <v>5235</v>
      </c>
      <c r="C5237" t="inlineStr">
        <is>
          <t>Trưởng phòng hành chính nhân sự</t>
        </is>
      </c>
      <c r="D5237" t="inlineStr">
        <is>
          <t>CÔNG TY CỔ PHẦN THƯƠNG MẠI DỊCH VỤ KỸ THUẬT CHẤN HƯNG</t>
        </is>
      </c>
      <c r="E5237" t="inlineStr">
        <is>
          <t>Lương:20 Tr - 30 Tr VND</t>
        </is>
      </c>
      <c r="F5237" t="inlineStr">
        <is>
          <t>Hồ Chí Minh</t>
        </is>
      </c>
      <c r="G5237" t="inlineStr">
        <is>
          <t>30-04-2026</t>
        </is>
      </c>
      <c r="H5237" t="inlineStr">
        <is>
          <t>30/04/2026</t>
        </is>
      </c>
      <c r="I5237" t="inlineStr">
        <is>
          <t>17/03/2026</t>
        </is>
      </c>
      <c r="J5237" t="inlineStr">
        <is>
          <t>Nhân sự, Dầu khí</t>
        </is>
      </c>
      <c r="K5237" t="inlineStr">
        <is>
          <t>3 - 5 Năm</t>
        </is>
      </c>
      <c r="L5237" s="8">
        <f>HYPERLINK("https://careerviet.vn/vi/tim-viec-lam/truong-phong-hanh-chinh-nhan-su.35C68E0A.html","Xem chi tiết")</f>
        <v/>
      </c>
    </row>
    <row r="5238">
      <c r="B5238" s="9" t="n">
        <v>5236</v>
      </c>
      <c r="C5238" s="10" t="inlineStr">
        <is>
          <t>Trưởng Nhóm Bán Hàng Kênh GT / GT Team Leader (Cần Thơ, Kiên Giang &amp; Hậu Giang)</t>
        </is>
      </c>
      <c r="D5238" s="10" t="inlineStr">
        <is>
          <t>CÔNG TY TNHH ROHTO-MENTHOLATUM (VIỆT NAM)</t>
        </is>
      </c>
      <c r="E5238" s="10" t="inlineStr">
        <is>
          <t>Lương:Cạnh tranh</t>
        </is>
      </c>
      <c r="F5238" s="10" t="inlineStr">
        <is>
          <t>Cần ThơKiên GiangHậu Giang</t>
        </is>
      </c>
      <c r="G5238" s="10" t="inlineStr">
        <is>
          <t>31-03-2026</t>
        </is>
      </c>
      <c r="H5238" s="10" t="inlineStr">
        <is>
          <t>31/03/2026</t>
        </is>
      </c>
      <c r="I5238" s="10" t="inlineStr">
        <is>
          <t>17/03/2026</t>
        </is>
      </c>
      <c r="J5238" s="10" t="inlineStr">
        <is>
          <t>Bán hàng / Kinh doanh, Dược phẩm/ Hóa Mỹ Phẩm, Hàng gia dụng / Chăm sóc cá nhânBằng cấpCao đẳngĐộ tuổiKhông giới hạn tuổi</t>
        </is>
      </c>
      <c r="K5238" s="10" t="inlineStr">
        <is>
          <t>N/A</t>
        </is>
      </c>
      <c r="L5238" s="11">
        <f>HYPERLINK("https://careerviet.vn/vi/tim-viec-lam/truong-nhom-ban-hang-kenh-gt-gt-team-leader-can-tho-kien-giang-hau-giang.35C68DD1.html","Xem chi tiết")</f>
        <v/>
      </c>
      <c r="M5238" s="10" t="n"/>
    </row>
    <row r="5239">
      <c r="B5239" s="7" t="n">
        <v>5237</v>
      </c>
      <c r="C5239" t="inlineStr">
        <is>
          <t>Senior Executive Marketing</t>
        </is>
      </c>
      <c r="D5239" t="inlineStr">
        <is>
          <t>HỆ THỐNG TRƯỜNG MẦM NON - TIỂU HỌC ICS</t>
        </is>
      </c>
      <c r="E5239" t="inlineStr">
        <is>
          <t>Lương:13 Tr - 15 Tr VND</t>
        </is>
      </c>
      <c r="F5239" t="inlineStr">
        <is>
          <t>Hồ Chí Minh</t>
        </is>
      </c>
      <c r="G5239" t="inlineStr">
        <is>
          <t>6</t>
        </is>
      </c>
      <c r="H5239" t="inlineStr">
        <is>
          <t>23/03/2026</t>
        </is>
      </c>
      <c r="I5239" t="inlineStr">
        <is>
          <t>17/03/2026</t>
        </is>
      </c>
      <c r="J5239" t="inlineStr">
        <is>
          <t>Tiếp thị / Marketing, Giáo dục / Đào tạo, Tổ chức sự kiện</t>
        </is>
      </c>
      <c r="K5239" t="inlineStr">
        <is>
          <t>2 - 5 Năm</t>
        </is>
      </c>
      <c r="L5239" s="8">
        <f>HYPERLINK("https://careerviet.vn/vi/tim-viec-lam/senior-executive-marketing.35C68DB5.html","Xem chi tiết")</f>
        <v/>
      </c>
    </row>
    <row r="5240">
      <c r="B5240" s="9" t="n">
        <v>5238</v>
      </c>
      <c r="C5240" s="10" t="inlineStr">
        <is>
          <t>Kỹ Sư Thiết Kế Cơ Khí</t>
        </is>
      </c>
      <c r="D5240" s="10" t="inlineStr">
        <is>
          <t>Công ty TNHH Greystone Data Systems Việt Nam</t>
        </is>
      </c>
      <c r="E5240" s="10" t="inlineStr">
        <is>
          <t>Lương:10 Tr - 20 Tr VND</t>
        </is>
      </c>
      <c r="F5240" s="10" t="inlineStr">
        <is>
          <t>Hồ Chí Minh</t>
        </is>
      </c>
      <c r="G5240" s="10" t="inlineStr">
        <is>
          <t>25-03-2026</t>
        </is>
      </c>
      <c r="H5240" s="10" t="inlineStr">
        <is>
          <t>25/03/2026</t>
        </is>
      </c>
      <c r="I5240" s="10" t="inlineStr">
        <is>
          <t>17/03/2026</t>
        </is>
      </c>
      <c r="J5240" s="10" t="inlineStr">
        <is>
          <t>Cơ khí / Ô tô / Tự động hóa</t>
        </is>
      </c>
      <c r="K5240" s="10" t="inlineStr">
        <is>
          <t>1 - 3 Năm</t>
        </is>
      </c>
      <c r="L5240" s="11">
        <f>HYPERLINK("https://careerviet.vn/vi/tim-viec-lam/ky-su-thiet-ke-co-khi.35C68D61.html","Xem chi tiết")</f>
        <v/>
      </c>
      <c r="M5240" s="10" t="n"/>
    </row>
    <row r="5241">
      <c r="B5241" s="7" t="n">
        <v>5239</v>
      </c>
      <c r="C5241" t="inlineStr">
        <is>
          <t>Machine Learning Engineer</t>
        </is>
      </c>
      <c r="D5241" t="inlineStr">
        <is>
          <t>Công ty TNHH Greystone Data Systems Việt Nam</t>
        </is>
      </c>
      <c r="E5241" t="inlineStr">
        <is>
          <t>Lương:12 Tr - 25 Tr VND</t>
        </is>
      </c>
      <c r="F5241" t="inlineStr">
        <is>
          <t>Hồ Chí Minh</t>
        </is>
      </c>
      <c r="G5241" t="inlineStr">
        <is>
          <t>25-03-2026</t>
        </is>
      </c>
      <c r="H5241" t="inlineStr">
        <is>
          <t>25/03/2026</t>
        </is>
      </c>
      <c r="I5241" t="inlineStr">
        <is>
          <t>17/03/2026</t>
        </is>
      </c>
      <c r="J5241" t="inlineStr">
        <is>
          <t>Điện / Điện tử / Điện lạnh / Điện công nghiệp, CNTT - Phần mềm, Cơ khí / Ô tô / Tự động hóa</t>
        </is>
      </c>
      <c r="K5241" t="inlineStr">
        <is>
          <t>1 - 2 Năm</t>
        </is>
      </c>
      <c r="L5241" s="8">
        <f>HYPERLINK("https://careerviet.vn/vi/tim-viec-lam/machine-learning-engineer.35C68D4C.html","Xem chi tiết")</f>
        <v/>
      </c>
    </row>
    <row r="5242">
      <c r="B5242" s="9" t="n">
        <v>5240</v>
      </c>
      <c r="C5242" s="10" t="inlineStr">
        <is>
          <t>Nhân Viên Thu Mua</t>
        </is>
      </c>
      <c r="D5242" s="10" t="inlineStr">
        <is>
          <t>CÔNG TY CỔ PHẦN DỊCH VỤ CIRCO</t>
        </is>
      </c>
      <c r="E5242" s="10" t="inlineStr">
        <is>
          <t>Lương:12 Tr - 15 Tr VND</t>
        </is>
      </c>
      <c r="F5242" s="10" t="inlineStr">
        <is>
          <t>Hồ Chí Minh</t>
        </is>
      </c>
      <c r="G5242" s="10" t="inlineStr">
        <is>
          <t>6</t>
        </is>
      </c>
      <c r="H5242" s="10" t="inlineStr">
        <is>
          <t>23/03/2026</t>
        </is>
      </c>
      <c r="I5242" s="10" t="inlineStr">
        <is>
          <t>17/03/2026</t>
        </is>
      </c>
      <c r="J5242" s="10" t="inlineStr">
        <is>
          <t>Nhà hàng / Khách sạn, Thu mua / Vật tư, Kế toán / Kiểm toán</t>
        </is>
      </c>
      <c r="K5242" s="10" t="inlineStr">
        <is>
          <t>2 - 3 Năm</t>
        </is>
      </c>
      <c r="L5242" s="11">
        <f>HYPERLINK("https://careerviet.vn/vi/tim-viec-lam/nhan-vien-thu-mua.35C68D2B.html","Xem chi tiết")</f>
        <v/>
      </c>
      <c r="M5242" s="10" t="n"/>
    </row>
    <row r="5243">
      <c r="B5243" s="7" t="n">
        <v>5241</v>
      </c>
      <c r="C5243" t="inlineStr">
        <is>
          <t>C&amp;B Executive - Chuyên Viên Tiền Lương &amp; Phúc Lợi</t>
        </is>
      </c>
      <c r="D5243" t="inlineStr">
        <is>
          <t>Công Ty Tài Chính Mirae Asset (Việt Nam)</t>
        </is>
      </c>
      <c r="E5243" t="inlineStr">
        <is>
          <t>Lương:Cạnh tranh</t>
        </is>
      </c>
      <c r="F5243" t="inlineStr">
        <is>
          <t>Hồ Chí Minh</t>
        </is>
      </c>
      <c r="G5243" t="inlineStr">
        <is>
          <t>25-03-2026</t>
        </is>
      </c>
      <c r="H5243" t="inlineStr">
        <is>
          <t>25/03/2026</t>
        </is>
      </c>
      <c r="I5243" t="inlineStr">
        <is>
          <t>17/03/2026</t>
        </is>
      </c>
      <c r="J5243" t="inlineStr">
        <is>
          <t>Kế toán / Kiểm toán, Ngân hàng, Nhân sự</t>
        </is>
      </c>
      <c r="K5243" t="inlineStr">
        <is>
          <t>null - null Năm</t>
        </is>
      </c>
      <c r="L5243" s="8">
        <f>HYPERLINK("https://careerviet.vn/vi/tim-viec-lam/c-b-executive-chuyen-vien-tien-luong-phuc-loi.35C68D4F.html","Xem chi tiết")</f>
        <v/>
      </c>
    </row>
    <row r="5244">
      <c r="B5244" s="9" t="n">
        <v>5242</v>
      </c>
      <c r="C5244" s="10" t="inlineStr">
        <is>
          <t>Giám Đốc Kinh Doanh - Kênh MT Miền Nam (ASM)</t>
        </is>
      </c>
      <c r="D5244" s="10" t="inlineStr">
        <is>
          <t>CÔNG TY CỔ PHẦN SỮA QUỐC TẾ LOF</t>
        </is>
      </c>
      <c r="E5244" s="10" t="inlineStr">
        <is>
          <t>Lương:Cạnh tranh</t>
        </is>
      </c>
      <c r="F5244" s="10" t="inlineStr">
        <is>
          <t>Hồ Chí Minh</t>
        </is>
      </c>
      <c r="G5244" s="10" t="inlineStr">
        <is>
          <t>25-03-2026</t>
        </is>
      </c>
      <c r="H5244" s="10" t="inlineStr">
        <is>
          <t>25/03/2026</t>
        </is>
      </c>
      <c r="I5244" s="10" t="inlineStr">
        <is>
          <t>17/03/2026</t>
        </is>
      </c>
      <c r="J5244" s="10" t="inlineStr">
        <is>
          <t>Bán lẻ / Bán sỉ, Bán hàng / Kinh doanh, Công nghệ thực phẩm / Dinh dưỡng</t>
        </is>
      </c>
      <c r="K5244" s="10" t="inlineStr">
        <is>
          <t>null - null Năm</t>
        </is>
      </c>
      <c r="L5244" s="11">
        <f>HYPERLINK("https://careerviet.vn/vi/tim-viec-lam/giam-doc-kinh-doanh-kenh-mt-mien-nam-asm.35C68D96.html","Xem chi tiết")</f>
        <v/>
      </c>
      <c r="M5244" s="10" t="n"/>
    </row>
    <row r="5245">
      <c r="B5245" s="7" t="n">
        <v>5243</v>
      </c>
      <c r="C5245" t="inlineStr">
        <is>
          <t>QUẬN 7- Sales Assistant (Chinese or English)</t>
        </is>
      </c>
      <c r="D5245" t="inlineStr">
        <is>
          <t>CÔNG TY TNHH POLYTEX FAR EASTERN (VIỆT NAM)</t>
        </is>
      </c>
      <c r="E5245" t="inlineStr">
        <is>
          <t>Lương:12 Tr - 17 Tr VND</t>
        </is>
      </c>
      <c r="F5245" t="inlineStr">
        <is>
          <t>Hồ Chí Minh</t>
        </is>
      </c>
      <c r="G5245" t="inlineStr">
        <is>
          <t>31-03-2026</t>
        </is>
      </c>
      <c r="H5245" t="inlineStr">
        <is>
          <t>31/03/2026</t>
        </is>
      </c>
      <c r="I5245" t="inlineStr">
        <is>
          <t>17/03/2026</t>
        </is>
      </c>
      <c r="J5245" t="inlineStr">
        <is>
          <t>Bán hàng / Kinh doanh, Hành chính / Thư ký, Biên phiên dịch</t>
        </is>
      </c>
      <c r="K5245" t="inlineStr">
        <is>
          <t>N/A</t>
        </is>
      </c>
      <c r="L5245" s="8">
        <f>HYPERLINK("https://careerviet.vn/vi/tim-viec-lam/quan-7-sales-assistant-chinese-or-english.35C68D4A.html","Xem chi tiết")</f>
        <v/>
      </c>
    </row>
    <row r="5246">
      <c r="B5246" s="9" t="n">
        <v>5244</v>
      </c>
      <c r="C5246" s="10" t="inlineStr">
        <is>
          <t>Engineering Clerk (District 9, HCMC)</t>
        </is>
      </c>
      <c r="D5246" s="10" t="inlineStr">
        <is>
          <t>Techtronic Industries Vietnam Manufacturing Company Limited</t>
        </is>
      </c>
      <c r="E5246" s="10" t="inlineStr">
        <is>
          <t>Lương:Cạnh tranh</t>
        </is>
      </c>
      <c r="F5246" s="10" t="inlineStr">
        <is>
          <t>Hồ Chí Minh</t>
        </is>
      </c>
      <c r="G5246" s="10" t="inlineStr">
        <is>
          <t>25-03-2026</t>
        </is>
      </c>
      <c r="H5246" s="10" t="inlineStr">
        <is>
          <t>25/03/2026</t>
        </is>
      </c>
      <c r="I5246" s="10" t="inlineStr">
        <is>
          <t>17/03/2026</t>
        </is>
      </c>
      <c r="J5246" s="10" t="inlineStr">
        <is>
          <t>Hành chính / Thư ký</t>
        </is>
      </c>
      <c r="K5246" s="10" t="inlineStr">
        <is>
          <t>null - null Năm</t>
        </is>
      </c>
      <c r="L5246" s="11">
        <f>HYPERLINK("https://careerviet.vn/vi/tim-viec-lam/engineering-clerk-district-9-hcmc.35C68DBB.html","Xem chi tiết")</f>
        <v/>
      </c>
      <c r="M5246" s="10" t="n"/>
    </row>
    <row r="5247">
      <c r="B5247" s="7" t="n">
        <v>5245</v>
      </c>
      <c r="C5247" t="inlineStr">
        <is>
          <t>Chuyên Viên Đào Tạo (Hệ thống bán lẻ)</t>
        </is>
      </c>
      <c r="D5247" t="inlineStr">
        <is>
          <t>Công Ty Cổ Phần Đầu Tư K&amp;G Việt Nam</t>
        </is>
      </c>
      <c r="E5247" t="inlineStr">
        <is>
          <t>Lương:13 Tr - 16 Tr VND</t>
        </is>
      </c>
      <c r="F5247" t="inlineStr">
        <is>
          <t>Hồ Chí Minh</t>
        </is>
      </c>
      <c r="G5247" t="inlineStr">
        <is>
          <t>6</t>
        </is>
      </c>
      <c r="H5247" t="inlineStr">
        <is>
          <t>23/03/2026</t>
        </is>
      </c>
      <c r="I5247" t="inlineStr">
        <is>
          <t>17/03/2026</t>
        </is>
      </c>
      <c r="J5247" t="inlineStr">
        <is>
          <t>Giáo dục / Đào tạo, Bán lẻ / Bán sỉ</t>
        </is>
      </c>
      <c r="K5247" t="inlineStr">
        <is>
          <t>2 - 3 Năm</t>
        </is>
      </c>
      <c r="L5247" s="8">
        <f>HYPERLINK("https://careerviet.vn/vi/tim-viec-lam/chuyen-vien-dao-tao-he-thong-ban-le.35C68D06.html","Xem chi tiết")</f>
        <v/>
      </c>
    </row>
    <row r="5248">
      <c r="B5248" s="9" t="n">
        <v>5246</v>
      </c>
      <c r="C5248" s="10" t="inlineStr">
        <is>
          <t>Chuyên viên Nguồn vốn</t>
        </is>
      </c>
      <c r="D5248" s="10" t="inlineStr">
        <is>
          <t>Công Ty Cổ Phần Kiến Á</t>
        </is>
      </c>
      <c r="E5248" s="10" t="inlineStr">
        <is>
          <t>Lương:Cạnh tranh</t>
        </is>
      </c>
      <c r="F5248" s="10" t="inlineStr">
        <is>
          <t>Hồ Chí Minh</t>
        </is>
      </c>
      <c r="G5248" s="10" t="inlineStr">
        <is>
          <t>30-03-2026</t>
        </is>
      </c>
      <c r="H5248" s="10" t="inlineStr">
        <is>
          <t>30/03/2026</t>
        </is>
      </c>
      <c r="I5248" s="10" t="inlineStr">
        <is>
          <t>17/03/2026</t>
        </is>
      </c>
      <c r="J5248" s="10" t="inlineStr">
        <is>
          <t>Tài chính / Đầu tư, Kế toán / Kiểm toán, Ngân hàng</t>
        </is>
      </c>
      <c r="K5248" s="10" t="inlineStr">
        <is>
          <t>2 - 3 Năm</t>
        </is>
      </c>
      <c r="L5248" s="11">
        <f>HYPERLINK("https://careerviet.vn/vi/tim-viec-lam/chuyen-vien-nguon-von.35C68D38.html","Xem chi tiết")</f>
        <v/>
      </c>
      <c r="M5248" s="10" t="n"/>
    </row>
    <row r="5249">
      <c r="B5249" s="7" t="n">
        <v>5247</v>
      </c>
      <c r="C5249" t="inlineStr">
        <is>
          <t>Nhân Viên Vận Hành Máy</t>
        </is>
      </c>
      <c r="D5249" t="inlineStr">
        <is>
          <t>Công Ty TNHH TM &amp; XNK Nhất Lâm</t>
        </is>
      </c>
      <c r="E5249" t="inlineStr">
        <is>
          <t>Lương:8 Tr - 10 Tr VND</t>
        </is>
      </c>
      <c r="F5249" t="inlineStr">
        <is>
          <t>Hồ Chí Minh</t>
        </is>
      </c>
      <c r="G5249" t="inlineStr">
        <is>
          <t>26-03-2026</t>
        </is>
      </c>
      <c r="H5249" t="inlineStr">
        <is>
          <t>26/03/2026</t>
        </is>
      </c>
      <c r="I5249" t="inlineStr">
        <is>
          <t>17/03/2026</t>
        </is>
      </c>
      <c r="J5249" t="inlineStr">
        <is>
          <t>Sản xuất / Vận hành sản xuất</t>
        </is>
      </c>
      <c r="K5249" t="inlineStr">
        <is>
          <t>1 - 2 Năm</t>
        </is>
      </c>
      <c r="L5249" s="8">
        <f>HYPERLINK("https://careerviet.vn/vi/tim-viec-lam/nhan-vien-van-hanh-may.35C63FC6.html","Xem chi tiết")</f>
        <v/>
      </c>
    </row>
    <row r="5250">
      <c r="B5250" s="9" t="n">
        <v>5248</v>
      </c>
      <c r="C5250" s="10" t="inlineStr">
        <is>
          <t>Chuyên viên cao cấp phát triển Đại Lý</t>
        </is>
      </c>
      <c r="D5250" s="10" t="inlineStr">
        <is>
          <t>Công Ty Cổ Phần Tập Đoàn Đầu Tư Địa Ốc No Va</t>
        </is>
      </c>
      <c r="E5250" s="10" t="inlineStr">
        <is>
          <t>Lương:10 Tr - 20 Tr VND</t>
        </is>
      </c>
      <c r="F5250" s="10" t="inlineStr">
        <is>
          <t>Hồ Chí Minh</t>
        </is>
      </c>
      <c r="G5250" s="10" t="inlineStr">
        <is>
          <t>26-03-2026</t>
        </is>
      </c>
      <c r="H5250" s="10" t="inlineStr">
        <is>
          <t>26/03/2026</t>
        </is>
      </c>
      <c r="I5250" s="10" t="inlineStr">
        <is>
          <t>17/03/2026</t>
        </is>
      </c>
      <c r="J5250" s="10" t="inlineStr">
        <is>
          <t>Bất động sản, Bán hàng / Kinh doanh</t>
        </is>
      </c>
      <c r="K5250" s="10" t="inlineStr">
        <is>
          <t>1 - 2 Năm</t>
        </is>
      </c>
      <c r="L5250" s="11">
        <f>HYPERLINK("https://careerviet.vn/vi/tim-viec-lam/chuyen-vien-cao-cap-phat-trien-dai-ly.35C63EC4.html","Xem chi tiết")</f>
        <v/>
      </c>
      <c r="M5250" s="10" t="n"/>
    </row>
    <row r="5251">
      <c r="B5251" s="7" t="n">
        <v>5249</v>
      </c>
      <c r="C5251" t="inlineStr">
        <is>
          <t>Chương Trình Thực Tập Coca-Cola STEMX 2026 - Nhà Máy Miền Nam (Long An, Tây Ninh)</t>
        </is>
      </c>
      <c r="D5251" t="inlineStr">
        <is>
          <t>Coca-Cola Beverages Vietnam</t>
        </is>
      </c>
      <c r="E5251" t="inlineStr">
        <is>
          <t>Lương:Cạnh tranh</t>
        </is>
      </c>
      <c r="F5251" t="inlineStr">
        <is>
          <t>Long An</t>
        </is>
      </c>
      <c r="G5251" t="inlineStr">
        <is>
          <t>31-03-2026</t>
        </is>
      </c>
      <c r="H5251" t="inlineStr">
        <is>
          <t>31/03/2026</t>
        </is>
      </c>
      <c r="I5251" t="inlineStr">
        <is>
          <t>17/03/2026</t>
        </is>
      </c>
      <c r="J5251" t="inlineStr">
        <is>
          <t>Điện / Điện tử / Điện lạnh / Điện công nghiệp, Cơ khí / Ô tô / Tự động hóa</t>
        </is>
      </c>
      <c r="K5251" t="inlineStr">
        <is>
          <t>Không yêu cầu kinh nghiệm</t>
        </is>
      </c>
      <c r="L5251" s="8">
        <f>HYPERLINK("https://careerviet.vn/vi/tim-viec-lam/chuong-trinh-thuc-tap-coca-cola-stemx-2026-nha-may-mien-nam-long-an-tay-ninh.35C68D26.html","Xem chi tiết")</f>
        <v/>
      </c>
    </row>
    <row r="5252">
      <c r="B5252" s="9" t="n">
        <v>5250</v>
      </c>
      <c r="C5252" s="10" t="inlineStr">
        <is>
          <t>[NovaDreams] Kiến trúc sư cao cấp Quản lý Thiết kế Nội thất</t>
        </is>
      </c>
      <c r="D5252" s="10" t="inlineStr">
        <is>
          <t>Bảo mật</t>
        </is>
      </c>
      <c r="E5252" s="10" t="inlineStr">
        <is>
          <t>Lương:Cạnh tranh</t>
        </is>
      </c>
      <c r="F5252" s="10" t="inlineStr">
        <is>
          <t>Hồ Chí Minh</t>
        </is>
      </c>
      <c r="G5252" s="10" t="inlineStr">
        <is>
          <t>26-03-2026</t>
        </is>
      </c>
      <c r="H5252" s="10" t="inlineStr">
        <is>
          <t>26/03/2026</t>
        </is>
      </c>
      <c r="I5252" s="10" t="inlineStr">
        <is>
          <t>17/03/2026</t>
        </is>
      </c>
      <c r="J5252" s="10" t="inlineStr">
        <is>
          <t>Kiến trúc, Nội ngoại thất</t>
        </is>
      </c>
      <c r="K5252" s="10" t="inlineStr">
        <is>
          <t>3 - 12 Năm</t>
        </is>
      </c>
      <c r="L5252" s="11">
        <f>HYPERLINK("https://careerviet.vn/vi/tim-viec-lam/novadreams-kien-truc-su-cao-cap-quan-ly-thiet-ke-noi-that.35C63F00.html","Xem chi tiết")</f>
        <v/>
      </c>
      <c r="M5252" s="10" t="n"/>
    </row>
    <row r="5253">
      <c r="B5253" s="7" t="n">
        <v>5251</v>
      </c>
      <c r="C5253" t="inlineStr">
        <is>
          <t>Nhân viên thiết kế</t>
        </is>
      </c>
      <c r="D5253" t="inlineStr">
        <is>
          <t>Shinpoong Daewoo Pharma</t>
        </is>
      </c>
      <c r="E5253" t="inlineStr">
        <is>
          <t>Lương:Cạnh tranh</t>
        </is>
      </c>
      <c r="F5253" t="inlineStr">
        <is>
          <t>Hồ Chí Minh</t>
        </is>
      </c>
      <c r="G5253" t="inlineStr">
        <is>
          <t>6</t>
        </is>
      </c>
      <c r="H5253" t="inlineStr">
        <is>
          <t>23/03/2026</t>
        </is>
      </c>
      <c r="I5253" t="inlineStr">
        <is>
          <t>17/03/2026</t>
        </is>
      </c>
      <c r="J5253" t="inlineStr">
        <is>
          <t>Mỹ thuật / Nghệ thuật / Thiết kế, Ngành khác</t>
        </is>
      </c>
      <c r="K5253" t="inlineStr">
        <is>
          <t>1 - 2 Năm</t>
        </is>
      </c>
      <c r="L5253" s="8">
        <f>HYPERLINK("https://careerviet.vn/vi/tim-viec-lam/nhan-vien-thiet-ke.35C68D2A.html","Xem chi tiết")</f>
        <v/>
      </c>
    </row>
    <row r="5254">
      <c r="B5254" s="9" t="n">
        <v>5252</v>
      </c>
      <c r="C5254" s="10" t="inlineStr">
        <is>
          <t>Chuyên Viên Quản Lý Chất Lượng - Vinmec Phú Quốc</t>
        </is>
      </c>
      <c r="D5254" s="10" t="inlineStr">
        <is>
          <t>Công ty CP Bệnh Viện Đa Khoa Quốc Tế Vinmec</t>
        </is>
      </c>
      <c r="E5254" s="10" t="inlineStr">
        <is>
          <t>Lương:Cạnh tranh</t>
        </is>
      </c>
      <c r="F5254" s="10" t="inlineStr">
        <is>
          <t>Kiên Giang</t>
        </is>
      </c>
      <c r="G5254" s="10" t="inlineStr">
        <is>
          <t>26-03-2026</t>
        </is>
      </c>
      <c r="H5254" s="10" t="inlineStr">
        <is>
          <t>26/03/2026</t>
        </is>
      </c>
      <c r="I5254" s="10" t="inlineStr">
        <is>
          <t>17/03/2026</t>
        </is>
      </c>
      <c r="J5254" s="10" t="inlineStr">
        <is>
          <t>Y tế / Chăm sóc sức khỏe / Thẩm mỹ / Làm đẹp, Quản lý chất lượng (QA/QC)</t>
        </is>
      </c>
      <c r="K5254" s="10" t="inlineStr">
        <is>
          <t>1 - 2 Năm</t>
        </is>
      </c>
      <c r="L5254" s="11">
        <f>HYPERLINK("https://careerviet.vn/vi/tim-viec-lam/chuyen-vien-quan-ly-chat-luong-vinmec-phu-quoc.35C63F17.html","Xem chi tiết")</f>
        <v/>
      </c>
      <c r="M5254" s="10" t="n"/>
    </row>
    <row r="5255">
      <c r="B5255" s="7" t="n">
        <v>5253</v>
      </c>
      <c r="C5255" t="inlineStr">
        <is>
          <t>NHÂN VIÊN HÀNH CHÍNH</t>
        </is>
      </c>
      <c r="D5255" t="inlineStr">
        <is>
          <t>CÔNG TY CỔ PHẦN TRUNG TÂM GIA CÔNG POSCO VIỆT NAM - CHI NHÁNH ĐỒNG NAI - VHPC</t>
        </is>
      </c>
      <c r="E5255" t="inlineStr">
        <is>
          <t>Lương:9 Tr - 12 Tr VND</t>
        </is>
      </c>
      <c r="F5255" t="inlineStr">
        <is>
          <t>Đồng Nai</t>
        </is>
      </c>
      <c r="G5255" t="inlineStr">
        <is>
          <t>30-04-2026</t>
        </is>
      </c>
      <c r="H5255" t="inlineStr">
        <is>
          <t>30/04/2026</t>
        </is>
      </c>
      <c r="I5255" t="inlineStr">
        <is>
          <t>17/03/2026</t>
        </is>
      </c>
      <c r="J5255" t="inlineStr">
        <is>
          <t>Hành chính / Thư ký, Thu mua / Vật tư</t>
        </is>
      </c>
      <c r="K5255" t="inlineStr">
        <is>
          <t>1 - 2 Năm</t>
        </is>
      </c>
      <c r="L5255" s="8">
        <f>HYPERLINK("https://careerviet.vn/vi/tim-viec-lam/nhan-vien-hanh-chinh.35C68D08.html","Xem chi tiết")</f>
        <v/>
      </c>
    </row>
    <row r="5256">
      <c r="B5256" s="9" t="n">
        <v>5254</v>
      </c>
      <c r="C5256" s="10" t="inlineStr">
        <is>
          <t>Trade MKT Leader</t>
        </is>
      </c>
      <c r="D5256" s="10" t="inlineStr">
        <is>
          <t>Công Ty TNHH TM &amp; XNK Nhất Lâm</t>
        </is>
      </c>
      <c r="E5256" s="10" t="inlineStr">
        <is>
          <t>Lương:15 Tr - 20 Tr VND</t>
        </is>
      </c>
      <c r="F5256" s="10" t="inlineStr">
        <is>
          <t>Hà Nội</t>
        </is>
      </c>
      <c r="G5256" s="10" t="inlineStr">
        <is>
          <t>26-03-2026</t>
        </is>
      </c>
      <c r="H5256" s="10" t="inlineStr">
        <is>
          <t>26/03/2026</t>
        </is>
      </c>
      <c r="I5256" s="10" t="inlineStr">
        <is>
          <t>17/03/2026</t>
        </is>
      </c>
      <c r="J5256" s="10" t="inlineStr">
        <is>
          <t>Tiếp thị / Marketing</t>
        </is>
      </c>
      <c r="K5256" s="10" t="inlineStr">
        <is>
          <t>3 - 5 Năm</t>
        </is>
      </c>
      <c r="L5256" s="11">
        <f>HYPERLINK("https://careerviet.vn/vi/tim-viec-lam/trade-mkt-leader.35C63C7F.html","Xem chi tiết")</f>
        <v/>
      </c>
      <c r="M5256" s="10" t="n"/>
    </row>
    <row r="5257">
      <c r="B5257" s="7" t="n">
        <v>5255</v>
      </c>
      <c r="C5257" t="inlineStr">
        <is>
          <t>Nhân viên Bảo mẫu</t>
        </is>
      </c>
      <c r="D5257" t="inlineStr">
        <is>
          <t>Công ty CP Giáo dục Quốc tế Việt Úc</t>
        </is>
      </c>
      <c r="E5257" t="inlineStr">
        <is>
          <t>Lương:Cạnh tranh</t>
        </is>
      </c>
      <c r="F5257" t="inlineStr">
        <is>
          <t>Hồ Chí Minh</t>
        </is>
      </c>
      <c r="G5257" t="inlineStr">
        <is>
          <t>15-04-2026</t>
        </is>
      </c>
      <c r="H5257" t="inlineStr">
        <is>
          <t>15/04/2026</t>
        </is>
      </c>
      <c r="I5257" t="inlineStr">
        <is>
          <t>17/03/2026</t>
        </is>
      </c>
      <c r="J5257" t="inlineStr">
        <is>
          <t>Lao động phổ thông, Giáo dục / Đào tạo</t>
        </is>
      </c>
      <c r="K5257" t="inlineStr">
        <is>
          <t>Chưa có kinh nghiệm</t>
        </is>
      </c>
      <c r="L5257" s="8">
        <f>HYPERLINK("https://careerviet.vn/vi/tim-viec-lam/nhan-vien-bao-mau.35C63F58.html","Xem chi tiết")</f>
        <v/>
      </c>
    </row>
    <row r="5258">
      <c r="B5258" s="9" t="n">
        <v>5256</v>
      </c>
      <c r="C5258" s="10" t="inlineStr">
        <is>
          <t>HR Manager (English)</t>
        </is>
      </c>
      <c r="D5258" s="10" t="inlineStr">
        <is>
          <t>CÔNG TY CỔ PHẦN XUẤT NHẬP KHẨU VÀ THƯƠNG MẠI FOREVER</t>
        </is>
      </c>
      <c r="E5258" s="10" t="inlineStr">
        <is>
          <t>Lương:20 Tr - 30 Tr VND</t>
        </is>
      </c>
      <c r="F5258" s="10" t="inlineStr">
        <is>
          <t>Hà Nội</t>
        </is>
      </c>
      <c r="G5258" s="10" t="inlineStr">
        <is>
          <t>26-03-2026</t>
        </is>
      </c>
      <c r="H5258" s="10" t="inlineStr">
        <is>
          <t>26/03/2026</t>
        </is>
      </c>
      <c r="I5258" s="10" t="inlineStr">
        <is>
          <t>17/03/2026</t>
        </is>
      </c>
      <c r="J5258" s="10" t="inlineStr">
        <is>
          <t>Hành chính / Thư ký, Quản lý điều hành, Nhân sự</t>
        </is>
      </c>
      <c r="K5258" s="10" t="inlineStr">
        <is>
          <t>Trên 5 Năm</t>
        </is>
      </c>
      <c r="L5258" s="11">
        <f>HYPERLINK("https://careerviet.vn/vi/tim-viec-lam/hr-manager-english.35C63EA2.html","Xem chi tiết")</f>
        <v/>
      </c>
      <c r="M5258" s="10" t="n"/>
    </row>
    <row r="5259">
      <c r="B5259" s="7" t="n">
        <v>5257</v>
      </c>
      <c r="C5259" t="inlineStr">
        <is>
          <t>Nhân viên kinh doanh Bất động sản (TP. Buôn Ma Thuột)</t>
        </is>
      </c>
      <c r="D5259" t="inlineStr">
        <is>
          <t>Công ty Cổ phần Đầu tư Trung Nguyên</t>
        </is>
      </c>
      <c r="E5259" t="inlineStr">
        <is>
          <t>Lương:Cạnh tranh</t>
        </is>
      </c>
      <c r="F5259" t="inlineStr">
        <is>
          <t>Dak Lak</t>
        </is>
      </c>
      <c r="G5259" t="inlineStr">
        <is>
          <t>26-03-2026</t>
        </is>
      </c>
      <c r="H5259" t="inlineStr">
        <is>
          <t>26/03/2026</t>
        </is>
      </c>
      <c r="I5259" t="inlineStr">
        <is>
          <t>17/03/2026</t>
        </is>
      </c>
      <c r="J5259" t="inlineStr">
        <is>
          <t>Tiếp thị / Marketing, Bán hàng / Kinh doanh, Bất động sản</t>
        </is>
      </c>
      <c r="K5259" t="inlineStr">
        <is>
          <t>2 - 5 Năm</t>
        </is>
      </c>
      <c r="L5259" s="8">
        <f>HYPERLINK("https://careerviet.vn/vi/tim-viec-lam/nhan-vien-kinh-doanh-bat-dong-san-tp-buon-ma-thuot.35C63F0C.html","Xem chi tiết")</f>
        <v/>
      </c>
    </row>
    <row r="5260">
      <c r="B5260" s="9" t="n">
        <v>5258</v>
      </c>
      <c r="C5260" s="10" t="inlineStr">
        <is>
          <t>[Hà Nội] Trưởng nhóm kho (kiêm lái xe nâng)</t>
        </is>
      </c>
      <c r="D5260" s="10" t="inlineStr">
        <is>
          <t>Viet Thai International</t>
        </is>
      </c>
      <c r="E5260" s="10" t="inlineStr">
        <is>
          <t>Lương:Cạnh tranh</t>
        </is>
      </c>
      <c r="F5260" s="10" t="inlineStr">
        <is>
          <t>Hà Nội</t>
        </is>
      </c>
      <c r="G5260" s="10" t="inlineStr">
        <is>
          <t>26-03-2026</t>
        </is>
      </c>
      <c r="H5260" s="10" t="inlineStr">
        <is>
          <t>26/03/2026</t>
        </is>
      </c>
      <c r="I5260" s="10" t="inlineStr">
        <is>
          <t>17/03/2026</t>
        </is>
      </c>
      <c r="J5260" s="10" t="inlineStr">
        <is>
          <t>Vận chuyển / Giao nhận / Kho vận, Lao động phổ thông, Thực phẩm &amp; Đồ uống</t>
        </is>
      </c>
      <c r="K5260" s="10" t="inlineStr">
        <is>
          <t>2 - 3 Năm</t>
        </is>
      </c>
      <c r="L5260" s="11">
        <f>HYPERLINK("https://careerviet.vn/vi/tim-viec-lam/ha-noi-truong-nhom-kho-kiem-lai-xe-nang.35C63E7C.html","Xem chi tiết")</f>
        <v/>
      </c>
      <c r="M5260" s="10" t="n"/>
    </row>
    <row r="5261">
      <c r="B5261" s="7" t="n">
        <v>5259</v>
      </c>
      <c r="C5261" t="inlineStr">
        <is>
          <t>Chuyên viên pháp chế</t>
        </is>
      </c>
      <c r="D5261" t="inlineStr">
        <is>
          <t>Công Ty TNHH TM &amp; XNK Nhất Lâm</t>
        </is>
      </c>
      <c r="E5261" t="inlineStr">
        <is>
          <t>Lương:12 Tr - 15 Tr VND</t>
        </is>
      </c>
      <c r="F5261" t="inlineStr">
        <is>
          <t>Hà Nội</t>
        </is>
      </c>
      <c r="G5261" t="inlineStr">
        <is>
          <t>26-03-2026</t>
        </is>
      </c>
      <c r="H5261" t="inlineStr">
        <is>
          <t>26/03/2026</t>
        </is>
      </c>
      <c r="I5261" t="inlineStr">
        <is>
          <t>17/03/2026</t>
        </is>
      </c>
      <c r="J5261" t="inlineStr">
        <is>
          <t>Luật / Pháp lý</t>
        </is>
      </c>
      <c r="K5261" t="inlineStr">
        <is>
          <t>3 - 5 Năm</t>
        </is>
      </c>
      <c r="L5261" s="8">
        <f>HYPERLINK("https://careerviet.vn/vi/tim-viec-lam/chuyen-vien-phap-che.35C63CA2.html","Xem chi tiết")</f>
        <v/>
      </c>
    </row>
    <row r="5262">
      <c r="B5262" s="9" t="n">
        <v>5260</v>
      </c>
      <c r="C5262" s="10" t="inlineStr">
        <is>
          <t>Nhân viên HSSE (khá tiếng Anh)</t>
        </is>
      </c>
      <c r="D5262" s="10" t="inlineStr">
        <is>
          <t>CÔNG TY CỔ PHẦN DƯỢC LIỆU TRUNG ƯƠNG 2</t>
        </is>
      </c>
      <c r="E5262" s="10" t="inlineStr">
        <is>
          <t>Lương:Cạnh tranh</t>
        </is>
      </c>
      <c r="F5262" s="10" t="inlineStr">
        <is>
          <t>Long AnHồ Chí Minh</t>
        </is>
      </c>
      <c r="G5262" s="10" t="inlineStr">
        <is>
          <t>26-03-2026</t>
        </is>
      </c>
      <c r="H5262" s="10" t="inlineStr">
        <is>
          <t>26/03/2026</t>
        </is>
      </c>
      <c r="I5262" s="10" t="inlineStr">
        <is>
          <t>17/03/2026</t>
        </is>
      </c>
      <c r="J5262" s="10" t="inlineStr">
        <is>
          <t>Dược phẩm/ Hóa Mỹ Phẩm, Môi trường, An toàn lao động</t>
        </is>
      </c>
      <c r="K5262" s="10" t="inlineStr">
        <is>
          <t>N/A</t>
        </is>
      </c>
      <c r="L5262" s="11">
        <f>HYPERLINK("https://careerviet.vn/vi/tim-viec-lam/nhan-vien-hsse-kha-tieng-anh.35C66843.html","Xem chi tiết")</f>
        <v/>
      </c>
      <c r="M5262" s="10" t="n"/>
    </row>
    <row r="5263">
      <c r="B5263" s="7" t="n">
        <v>5261</v>
      </c>
      <c r="C5263" t="inlineStr">
        <is>
          <t>Chuyên viên Hoạch Định và Phân Tích Tài Chính (FP&amp;A)</t>
        </is>
      </c>
      <c r="D5263" t="inlineStr">
        <is>
          <t>Công Ty Cổ Phần Kiến Á</t>
        </is>
      </c>
      <c r="E5263" t="inlineStr">
        <is>
          <t>Lương:Cạnh tranh</t>
        </is>
      </c>
      <c r="F5263" t="inlineStr">
        <is>
          <t>Hồ Chí Minh</t>
        </is>
      </c>
      <c r="G5263" t="inlineStr">
        <is>
          <t>30-03-2026</t>
        </is>
      </c>
      <c r="H5263" t="inlineStr">
        <is>
          <t>30/03/2026</t>
        </is>
      </c>
      <c r="I5263" t="inlineStr">
        <is>
          <t>17/03/2026</t>
        </is>
      </c>
      <c r="J5263" t="inlineStr">
        <is>
          <t>Tài chính / Đầu tư, Bất động sản, Ngân hàng</t>
        </is>
      </c>
      <c r="K5263" t="inlineStr">
        <is>
          <t>2 - 3 Năm</t>
        </is>
      </c>
      <c r="L5263" s="8">
        <f>HYPERLINK("https://careerviet.vn/vi/tim-viec-lam/chuyen-vien-hoach-dinh-va-phan-tich-tai-chinh-fp-a.35C68D09.html","Xem chi tiết")</f>
        <v/>
      </c>
    </row>
    <row r="5264">
      <c r="B5264" s="9" t="n">
        <v>5262</v>
      </c>
      <c r="C5264" s="10" t="inlineStr">
        <is>
          <t>Phân tích nghiệp vụ - Business Analyst</t>
        </is>
      </c>
      <c r="D5264" s="10" t="inlineStr">
        <is>
          <t>TRUNG TÂM KỸ THUẬT</t>
        </is>
      </c>
      <c r="E5264" s="10" t="inlineStr">
        <is>
          <t>Lương:20 Tr - 25 Tr VND</t>
        </is>
      </c>
      <c r="F5264" s="10" t="inlineStr">
        <is>
          <t>Hà Nội</t>
        </is>
      </c>
      <c r="G5264" s="10" t="inlineStr">
        <is>
          <t>26-03-2026</t>
        </is>
      </c>
      <c r="H5264" s="10" t="inlineStr">
        <is>
          <t>26/03/2026</t>
        </is>
      </c>
      <c r="I5264" s="10" t="inlineStr">
        <is>
          <t>17/03/2026</t>
        </is>
      </c>
      <c r="J5264" s="10" t="inlineStr">
        <is>
          <t>CNTT - Phần mềm, CNTT - Phần cứng / Mạng</t>
        </is>
      </c>
      <c r="K5264" s="10" t="inlineStr">
        <is>
          <t>3 - 5 Năm</t>
        </is>
      </c>
      <c r="L5264" s="11">
        <f>HYPERLINK("https://careerviet.vn/vi/tim-viec-lam/phan-tich-nghiep-vu-business-analyst.35C63F7D.html","Xem chi tiết")</f>
        <v/>
      </c>
      <c r="M5264" s="10" t="n"/>
    </row>
    <row r="5265">
      <c r="B5265" s="7" t="n">
        <v>5263</v>
      </c>
      <c r="C5265" t="inlineStr">
        <is>
          <t>Nhân viên chứng từ xuất nhập khẩu</t>
        </is>
      </c>
      <c r="D5265" t="inlineStr">
        <is>
          <t>Công Ty TNHH TM &amp; XNK Nhất Lâm</t>
        </is>
      </c>
      <c r="E5265" t="inlineStr">
        <is>
          <t>Lương:10 Tr - 13 Tr VND</t>
        </is>
      </c>
      <c r="F5265" t="inlineStr">
        <is>
          <t>Hà Nội</t>
        </is>
      </c>
      <c r="G5265" t="inlineStr">
        <is>
          <t>26-03-2026</t>
        </is>
      </c>
      <c r="H5265" t="inlineStr">
        <is>
          <t>26/03/2026</t>
        </is>
      </c>
      <c r="I5265" t="inlineStr">
        <is>
          <t>17/03/2026</t>
        </is>
      </c>
      <c r="J5265" t="inlineStr">
        <is>
          <t>Bán hàng / Kinh doanh, Vận chuyển / Giao nhận / Kho vận, Xuất nhập khẩu</t>
        </is>
      </c>
      <c r="K5265" t="inlineStr">
        <is>
          <t>2 - 3 Năm</t>
        </is>
      </c>
      <c r="L5265" s="8">
        <f>HYPERLINK("https://careerviet.vn/vi/tim-viec-lam/nhan-vien-chung-tu-xuat-nhap-khau.35C63F42.html","Xem chi tiết")</f>
        <v/>
      </c>
    </row>
    <row r="5266">
      <c r="B5266" s="9" t="n">
        <v>5264</v>
      </c>
      <c r="C5266" s="10" t="inlineStr">
        <is>
          <t>CHUYÊN VIÊN QUẢN TRỊ DỮ LIỆU TÀI CHÍNH</t>
        </is>
      </c>
      <c r="D5266" s="10" t="inlineStr">
        <is>
          <t>CÔNG TY CỔ PHẦN CẢNG TÀU KHÁCH QUỐC TẾ TUẦN CHÂU</t>
        </is>
      </c>
      <c r="E5266" s="10" t="inlineStr">
        <is>
          <t>Lương:Cạnh tranh</t>
        </is>
      </c>
      <c r="F5266" s="10" t="inlineStr">
        <is>
          <t>Hà Nội</t>
        </is>
      </c>
      <c r="G5266" s="10" t="inlineStr">
        <is>
          <t>26-03-2026</t>
        </is>
      </c>
      <c r="H5266" s="10" t="inlineStr">
        <is>
          <t>26/03/2026</t>
        </is>
      </c>
      <c r="I5266" s="10" t="inlineStr">
        <is>
          <t>17/03/2026</t>
        </is>
      </c>
      <c r="J5266" s="10" t="inlineStr">
        <is>
          <t>Kế toán / Kiểm toán, Thống kê, Tài chính / Đầu tư</t>
        </is>
      </c>
      <c r="K5266" s="10" t="inlineStr">
        <is>
          <t>3 - 5 Năm</t>
        </is>
      </c>
      <c r="L5266" s="11">
        <f>HYPERLINK("https://careerviet.vn/vi/tim-viec-lam/chuyen-vien-quan-tri-du-lieu-tai-chinh.35C63F66.html","Xem chi tiết")</f>
        <v/>
      </c>
      <c r="M5266" s="10" t="n"/>
    </row>
    <row r="5267">
      <c r="B5267" s="7" t="n">
        <v>5265</v>
      </c>
      <c r="C5267" t="inlineStr">
        <is>
          <t>Chuyên viên cao cấp Quản lý Partner</t>
        </is>
      </c>
      <c r="D5267" t="inlineStr">
        <is>
          <t>Công Ty Cổ Phần Tập Đoàn Đầu Tư Địa Ốc No Va</t>
        </is>
      </c>
      <c r="E5267" t="inlineStr">
        <is>
          <t>Lương:10 Tr - 20 Tr VND</t>
        </is>
      </c>
      <c r="F5267" t="inlineStr">
        <is>
          <t>Hồ Chí Minh</t>
        </is>
      </c>
      <c r="G5267" t="inlineStr">
        <is>
          <t>26-03-2026</t>
        </is>
      </c>
      <c r="H5267" t="inlineStr">
        <is>
          <t>26/03/2026</t>
        </is>
      </c>
      <c r="I5267" t="inlineStr">
        <is>
          <t>17/03/2026</t>
        </is>
      </c>
      <c r="J5267" t="inlineStr">
        <is>
          <t>Bán hàng / Kinh doanh</t>
        </is>
      </c>
      <c r="K5267" t="inlineStr">
        <is>
          <t>1 - 2 Năm</t>
        </is>
      </c>
      <c r="L5267" s="8">
        <f>HYPERLINK("https://careerviet.vn/vi/tim-viec-lam/chuyen-vien-cao-cap-quan-ly-partner.35C63EDE.html","Xem chi tiết")</f>
        <v/>
      </c>
    </row>
    <row r="5268">
      <c r="B5268" s="9" t="n">
        <v>5266</v>
      </c>
      <c r="C5268" s="10" t="inlineStr">
        <is>
          <t>VQA (GARMENT)</t>
        </is>
      </c>
      <c r="D5268" s="10" t="inlineStr">
        <is>
          <t>Công ty TNHH SX UPGAIN (VN)</t>
        </is>
      </c>
      <c r="E5268" s="10" t="inlineStr">
        <is>
          <t>Lương:Cạnh tranh</t>
        </is>
      </c>
      <c r="F5268" s="10" t="inlineStr">
        <is>
          <t>Hồ Chí Minh</t>
        </is>
      </c>
      <c r="G5268" s="10" t="inlineStr">
        <is>
          <t>26-03-2026</t>
        </is>
      </c>
      <c r="H5268" s="10" t="inlineStr">
        <is>
          <t>26/03/2026</t>
        </is>
      </c>
      <c r="I5268" s="10" t="inlineStr">
        <is>
          <t>17/03/2026</t>
        </is>
      </c>
      <c r="J5268" s="10" t="inlineStr">
        <is>
          <t>Dệt may / Da giày / Thời trang</t>
        </is>
      </c>
      <c r="K5268" s="10" t="inlineStr">
        <is>
          <t>2 - 4 Năm</t>
        </is>
      </c>
      <c r="L5268" s="11">
        <f>HYPERLINK("https://careerviet.vn/vi/tim-viec-lam/vqa-garment.35C63EC1.html","Xem chi tiết")</f>
        <v/>
      </c>
      <c r="M5268" s="10" t="n"/>
    </row>
    <row r="5269">
      <c r="B5269" s="7" t="n">
        <v>5267</v>
      </c>
      <c r="C5269" t="inlineStr">
        <is>
          <t>Trưởng nhóm pháp chế</t>
        </is>
      </c>
      <c r="D5269" t="inlineStr">
        <is>
          <t>Công Ty TNHH TM &amp; XNK Nhất Lâm</t>
        </is>
      </c>
      <c r="E5269" t="inlineStr">
        <is>
          <t>Lương:15 Tr - 25 Tr VND</t>
        </is>
      </c>
      <c r="F5269" t="inlineStr">
        <is>
          <t>Hà Nội</t>
        </is>
      </c>
      <c r="G5269" t="inlineStr">
        <is>
          <t>26-03-2026</t>
        </is>
      </c>
      <c r="H5269" t="inlineStr">
        <is>
          <t>26/03/2026</t>
        </is>
      </c>
      <c r="I5269" t="inlineStr">
        <is>
          <t>17/03/2026</t>
        </is>
      </c>
      <c r="J5269" t="inlineStr">
        <is>
          <t>Luật / Pháp lý</t>
        </is>
      </c>
      <c r="K5269" t="inlineStr">
        <is>
          <t>3 - 5 Năm</t>
        </is>
      </c>
      <c r="L5269" s="8">
        <f>HYPERLINK("https://careerviet.vn/vi/tim-viec-lam/truong-nhom-phap-che.35C63CCF.html","Xem chi tiết")</f>
        <v/>
      </c>
    </row>
    <row r="5270">
      <c r="B5270" s="9" t="n">
        <v>5268</v>
      </c>
      <c r="C5270" s="10" t="inlineStr">
        <is>
          <t>Cán bộ Giám định bồi thường - Khu vực Hà Nội, Phú Thọ, Khánh Hòa</t>
        </is>
      </c>
      <c r="D5270" s="10" t="inlineStr">
        <is>
          <t>Tổng Công ty Cổ phần Bảo hiểm Ngân hàng Đầu tư và Phát triển Việt Nam (BIC)</t>
        </is>
      </c>
      <c r="E5270" s="10" t="inlineStr">
        <is>
          <t>Lương:Cạnh tranh</t>
        </is>
      </c>
      <c r="F5270" s="10" t="inlineStr">
        <is>
          <t>Hà NộiKhánh HòaPhú Thọ</t>
        </is>
      </c>
      <c r="G5270" s="10" t="inlineStr">
        <is>
          <t>26-03-2026</t>
        </is>
      </c>
      <c r="H5270" s="10" t="inlineStr">
        <is>
          <t>26/03/2026</t>
        </is>
      </c>
      <c r="I5270" s="10" t="inlineStr">
        <is>
          <t>17/03/2026</t>
        </is>
      </c>
      <c r="J5270" s="10" t="inlineStr">
        <is>
          <t>Bảo hiểm, Cơ khí / Ô tô / Tự động hóa, Hàng hải</t>
        </is>
      </c>
      <c r="K5270" s="10" t="inlineStr">
        <is>
          <t>1 - 3 Năm</t>
        </is>
      </c>
      <c r="L5270" s="11">
        <f>HYPERLINK("https://careerviet.vn/vi/tim-viec-lam/can-bo-giam-dinh-boi-thuong-khu-vuc-ha-noi-phu-tho-khanh-hoa.35C6684D.html","Xem chi tiết")</f>
        <v/>
      </c>
      <c r="M5270" s="10" t="n"/>
    </row>
    <row r="5271">
      <c r="B5271" s="7" t="n">
        <v>5269</v>
      </c>
      <c r="C5271" t="inlineStr">
        <is>
          <t>Kế toán tổng hợp Thuế</t>
        </is>
      </c>
      <c r="D5271" t="inlineStr">
        <is>
          <t>Công Ty TNHH TM &amp; XNK Nhất Lâm</t>
        </is>
      </c>
      <c r="E5271" t="inlineStr">
        <is>
          <t>Lương:15 Tr - 17 Tr VND</t>
        </is>
      </c>
      <c r="F5271" t="inlineStr">
        <is>
          <t>Hà Nội</t>
        </is>
      </c>
      <c r="G5271" t="inlineStr">
        <is>
          <t>26-03-2026</t>
        </is>
      </c>
      <c r="H5271" t="inlineStr">
        <is>
          <t>26/03/2026</t>
        </is>
      </c>
      <c r="I5271" t="inlineStr">
        <is>
          <t>17/03/2026</t>
        </is>
      </c>
      <c r="J5271" t="inlineStr">
        <is>
          <t>Kế toán / Kiểm toán</t>
        </is>
      </c>
      <c r="K5271" t="inlineStr">
        <is>
          <t>2 - 3 Năm</t>
        </is>
      </c>
      <c r="L5271" s="8">
        <f>HYPERLINK("https://careerviet.vn/vi/tim-viec-lam/ke-toan-tong-hop-thue.35C63C82.html","Xem chi tiết")</f>
        <v/>
      </c>
    </row>
    <row r="5272">
      <c r="B5272" s="9" t="n">
        <v>5270</v>
      </c>
      <c r="C5272" s="10" t="inlineStr">
        <is>
          <t>Cán bộ Quản trị ứng dụng - Ban CNTT</t>
        </is>
      </c>
      <c r="D5272" s="10" t="inlineStr">
        <is>
          <t>Tổng Công ty Cổ phần Bảo hiểm Ngân hàng Đầu tư và Phát triển Việt Nam (BIC)</t>
        </is>
      </c>
      <c r="E5272" s="10" t="inlineStr">
        <is>
          <t>Lương:Cạnh tranh</t>
        </is>
      </c>
      <c r="F5272" s="10" t="inlineStr">
        <is>
          <t>Hà Nội</t>
        </is>
      </c>
      <c r="G5272" s="10" t="inlineStr">
        <is>
          <t>26-03-2026</t>
        </is>
      </c>
      <c r="H5272" s="10" t="inlineStr">
        <is>
          <t>26/03/2026</t>
        </is>
      </c>
      <c r="I5272" s="10" t="inlineStr">
        <is>
          <t>17/03/2026</t>
        </is>
      </c>
      <c r="J5272" s="10" t="inlineStr">
        <is>
          <t>CNTT - Phần cứng / Mạng, CNTT - Phần mềm</t>
        </is>
      </c>
      <c r="K5272" s="10" t="inlineStr">
        <is>
          <t>2 - 5 Năm</t>
        </is>
      </c>
      <c r="L5272" s="11">
        <f>HYPERLINK("https://careerviet.vn/vi/tim-viec-lam/can-bo-quan-tri-ung-dung-ban-cntt.35C6684F.html","Xem chi tiết")</f>
        <v/>
      </c>
      <c r="M5272" s="10" t="n"/>
    </row>
    <row r="5273">
      <c r="B5273" s="7" t="n">
        <v>5271</v>
      </c>
      <c r="C5273" t="inlineStr">
        <is>
          <t>Legal Specialist</t>
        </is>
      </c>
      <c r="D5273" t="inlineStr">
        <is>
          <t>CÔNG TY CỔ PHẦN GONSA</t>
        </is>
      </c>
      <c r="E5273" t="inlineStr">
        <is>
          <t>Lương:Cạnh tranh</t>
        </is>
      </c>
      <c r="F5273" t="inlineStr">
        <is>
          <t>Hồ Chí Minh</t>
        </is>
      </c>
      <c r="G5273" t="inlineStr">
        <is>
          <t>26-03-2026</t>
        </is>
      </c>
      <c r="H5273" t="inlineStr">
        <is>
          <t>26/03/2026</t>
        </is>
      </c>
      <c r="I5273" t="inlineStr">
        <is>
          <t>17/03/2026</t>
        </is>
      </c>
      <c r="J5273" t="inlineStr">
        <is>
          <t>Dược phẩm/ Hóa Mỹ Phẩm, Luật / Pháp lý, Vận chuyển / Giao nhận / Kho vận</t>
        </is>
      </c>
      <c r="K5273" t="inlineStr">
        <is>
          <t>3 - 5 Năm</t>
        </is>
      </c>
      <c r="L5273" s="8">
        <f>HYPERLINK("https://careerviet.vn/vi/tim-viec-lam/legal-specialist.35C66842.html","Xem chi tiết")</f>
        <v/>
      </c>
    </row>
    <row r="5274">
      <c r="B5274" s="9" t="n">
        <v>5272</v>
      </c>
      <c r="C5274" s="10" t="inlineStr">
        <is>
          <t>Kiến trúc sư</t>
        </is>
      </c>
      <c r="D5274" s="10" t="inlineStr">
        <is>
          <t>Công ty Cổ phần Xây dựng và Đầu tư Visicons</t>
        </is>
      </c>
      <c r="E5274" s="10" t="inlineStr">
        <is>
          <t>Lương:15 Tr - 30 Tr VND</t>
        </is>
      </c>
      <c r="F5274" s="10" t="inlineStr">
        <is>
          <t>Hà Nội</t>
        </is>
      </c>
      <c r="G5274" s="10" t="inlineStr">
        <is>
          <t>26-03-2026</t>
        </is>
      </c>
      <c r="H5274" s="10" t="inlineStr">
        <is>
          <t>26/03/2026</t>
        </is>
      </c>
      <c r="I5274" s="10" t="inlineStr">
        <is>
          <t>17/03/2026</t>
        </is>
      </c>
      <c r="J5274" s="10" t="inlineStr">
        <is>
          <t>Kiến trúc</t>
        </is>
      </c>
      <c r="K5274" s="10" t="inlineStr">
        <is>
          <t>1 - 3 Năm</t>
        </is>
      </c>
      <c r="L5274" s="11">
        <f>HYPERLINK("https://careerviet.vn/vi/tim-viec-lam/kien-truc-su.35C63F92.html","Xem chi tiết")</f>
        <v/>
      </c>
      <c r="M5274" s="10" t="n"/>
    </row>
    <row r="5275">
      <c r="B5275" s="7" t="n">
        <v>5273</v>
      </c>
      <c r="C5275" t="inlineStr">
        <is>
          <t>Chuyên gia quản trị rủi ro tích hợp, Phòng Quản trị rủi ro tích hợp, Khối Quản trị rủi ro</t>
        </is>
      </c>
      <c r="D5275" t="inlineStr">
        <is>
          <t>Ngân hàng TMCP Đại Chúng Việt Nam - PVcomBank</t>
        </is>
      </c>
      <c r="E5275" t="inlineStr">
        <is>
          <t>Lương:Cạnh tranh</t>
        </is>
      </c>
      <c r="F5275" t="inlineStr">
        <is>
          <t>Hà Nội</t>
        </is>
      </c>
      <c r="G5275" t="inlineStr">
        <is>
          <t>26-03-2026</t>
        </is>
      </c>
      <c r="H5275" t="inlineStr">
        <is>
          <t>26/03/2026</t>
        </is>
      </c>
      <c r="I5275" t="inlineStr">
        <is>
          <t>17/03/2026</t>
        </is>
      </c>
      <c r="J5275" t="inlineStr">
        <is>
          <t>Ngân hàng</t>
        </is>
      </c>
      <c r="K5275" t="inlineStr">
        <is>
          <t>5 - 7 Năm</t>
        </is>
      </c>
      <c r="L5275" s="8">
        <f>HYPERLINK("https://careerviet.vn/vi/tim-viec-lam/chuyen-gia-quan-tri-rui-ro-tich-hop-phong-quan-tri-rui-ro-tich-hop-khoi-quan-tri-rui-ro.35C63EA0.html","Xem chi tiết")</f>
        <v/>
      </c>
    </row>
    <row r="5276">
      <c r="B5276" s="9" t="n">
        <v>5274</v>
      </c>
      <c r="C5276" s="10" t="inlineStr">
        <is>
          <t>Chuyên Viên Marketing Phụ Trách Về Đối Ngoại</t>
        </is>
      </c>
      <c r="D5276" s="10" t="inlineStr">
        <is>
          <t>Công Ty TNHH XNK Cầu Nối Việt</t>
        </is>
      </c>
      <c r="E5276" s="10" t="inlineStr">
        <is>
          <t>Lương:13 Tr - 15 Tr VND</t>
        </is>
      </c>
      <c r="F5276" s="10" t="inlineStr">
        <is>
          <t>Hà Nội</t>
        </is>
      </c>
      <c r="G5276" s="10" t="inlineStr">
        <is>
          <t>30-05-2026</t>
        </is>
      </c>
      <c r="H5276" s="10" t="inlineStr">
        <is>
          <t>30/05/2026</t>
        </is>
      </c>
      <c r="I5276" s="10" t="inlineStr">
        <is>
          <t>17/03/2026</t>
        </is>
      </c>
      <c r="J5276" s="10" t="inlineStr">
        <is>
          <t>Tiếp thị / Marketing, Quảng cáo / Đối ngoại / Truyền Thông, Truyền hình / Báo chí / Biên tập</t>
        </is>
      </c>
      <c r="K5276" s="10" t="inlineStr">
        <is>
          <t>1 - 10 Năm</t>
        </is>
      </c>
      <c r="L5276" s="11">
        <f>HYPERLINK("https://careerviet.vn/vi/tim-viec-lam/chuyen-vien-marketing-phu-trach-ve-doi-ngoai.35C6943F.html","Xem chi tiết")</f>
        <v/>
      </c>
      <c r="M5276" s="10" t="n"/>
    </row>
    <row r="5277">
      <c r="B5277" s="7" t="n">
        <v>5275</v>
      </c>
      <c r="C5277" t="inlineStr">
        <is>
          <t>QS Engineer/ Nhân Viên Thanh Quyết Toán Công Trình</t>
        </is>
      </c>
      <c r="D5277" t="inlineStr">
        <is>
          <t>ATAD Steel Structure Corporation</t>
        </is>
      </c>
      <c r="E5277" t="inlineStr">
        <is>
          <t>Lương:Cạnh tranh</t>
        </is>
      </c>
      <c r="F5277" t="inlineStr">
        <is>
          <t>Thái BìnhHưng YênAn Giang</t>
        </is>
      </c>
      <c r="G5277" t="inlineStr">
        <is>
          <t>26-03-2026</t>
        </is>
      </c>
      <c r="H5277" t="inlineStr">
        <is>
          <t>26/03/2026</t>
        </is>
      </c>
      <c r="I5277" t="inlineStr">
        <is>
          <t>17/03/2026</t>
        </is>
      </c>
      <c r="J5277" t="inlineStr">
        <is>
          <t>Kiến trúc, Xây dựng</t>
        </is>
      </c>
      <c r="K5277" t="inlineStr">
        <is>
          <t>1 - 2 Năm</t>
        </is>
      </c>
      <c r="L5277" s="8">
        <f>HYPERLINK("https://careerviet.vn/vi/tim-viec-lam/qs-engineer-nhan-vien-thanh-quyet-toan-cong-trinh.35C63B27.html","Xem chi tiết")</f>
        <v/>
      </c>
    </row>
    <row r="5278">
      <c r="B5278" s="9" t="n">
        <v>5276</v>
      </c>
      <c r="C5278" s="10" t="inlineStr">
        <is>
          <t>Kế Toán Công Nợ</t>
        </is>
      </c>
      <c r="D5278" s="10" t="inlineStr">
        <is>
          <t>CÔNG TY CỔ PHẦN GONSA</t>
        </is>
      </c>
      <c r="E5278" s="10" t="inlineStr">
        <is>
          <t>Lương:Cạnh tranh</t>
        </is>
      </c>
      <c r="F5278" s="10" t="inlineStr">
        <is>
          <t>Hồ Chí Minh</t>
        </is>
      </c>
      <c r="G5278" s="10" t="inlineStr">
        <is>
          <t>26-03-2026</t>
        </is>
      </c>
      <c r="H5278" s="10" t="inlineStr">
        <is>
          <t>26/03/2026</t>
        </is>
      </c>
      <c r="I5278" s="10" t="inlineStr">
        <is>
          <t>17/03/2026</t>
        </is>
      </c>
      <c r="J5278" s="10" t="inlineStr">
        <is>
          <t>Dược phẩm/ Hóa Mỹ Phẩm, Kế toán / Kiểm toán, Tài chính / Đầu tư</t>
        </is>
      </c>
      <c r="K5278" s="10" t="inlineStr">
        <is>
          <t>1 - 3 Năm</t>
        </is>
      </c>
      <c r="L5278" s="11">
        <f>HYPERLINK("https://careerviet.vn/vi/tim-viec-lam/ke-toan-cong-no.35C66845.html","Xem chi tiết")</f>
        <v/>
      </c>
      <c r="M5278" s="10" t="n"/>
    </row>
    <row r="5279">
      <c r="B5279" s="7" t="n">
        <v>5277</v>
      </c>
      <c r="C5279" t="inlineStr">
        <is>
          <t>IT Helpdesk (Đồng Nai hoặc HCM)</t>
        </is>
      </c>
      <c r="D5279" t="inlineStr">
        <is>
          <t>Công Ty TNHH Sunjin Vina</t>
        </is>
      </c>
      <c r="E5279" t="inlineStr">
        <is>
          <t>Lương:Cạnh tranh</t>
        </is>
      </c>
      <c r="F5279" t="inlineStr">
        <is>
          <t>Hồ Chí MinhĐồng Nai</t>
        </is>
      </c>
      <c r="G5279" t="inlineStr">
        <is>
          <t>30-04-2026</t>
        </is>
      </c>
      <c r="H5279" t="inlineStr">
        <is>
          <t>30/04/2026</t>
        </is>
      </c>
      <c r="I5279" t="inlineStr">
        <is>
          <t>17/03/2026</t>
        </is>
      </c>
      <c r="J5279" t="inlineStr">
        <is>
          <t>CNTT - Phần cứng / Mạng</t>
        </is>
      </c>
      <c r="K5279" t="inlineStr">
        <is>
          <t>N/A</t>
        </is>
      </c>
      <c r="L5279" s="8">
        <f>HYPERLINK("https://careerviet.vn/vi/tim-viec-lam/it-helpdesk-dong-nai-hoac-hcm.35C69348.html","Xem chi tiết")</f>
        <v/>
      </c>
    </row>
    <row r="5280">
      <c r="B5280" s="9" t="n">
        <v>5278</v>
      </c>
      <c r="C5280" s="10" t="inlineStr">
        <is>
          <t>[Hồ Chí Minh]  Chuyên viên Đảm bảo Chất lượng</t>
        </is>
      </c>
      <c r="D5280" s="10" t="inlineStr">
        <is>
          <t>CÔNG TY CỔ PHẦN DƯỢC PHẨM FPT LONG CHÂU</t>
        </is>
      </c>
      <c r="E5280" s="10" t="inlineStr">
        <is>
          <t>Lương:Cạnh tranh</t>
        </is>
      </c>
      <c r="F5280" s="10" t="inlineStr">
        <is>
          <t>Hồ Chí Minh</t>
        </is>
      </c>
      <c r="G5280" s="10" t="inlineStr">
        <is>
          <t>31-03-2026</t>
        </is>
      </c>
      <c r="H5280" s="10" t="inlineStr">
        <is>
          <t>31/03/2026</t>
        </is>
      </c>
      <c r="I5280" s="10" t="inlineStr">
        <is>
          <t>17/03/2026</t>
        </is>
      </c>
      <c r="J5280" s="10" t="inlineStr">
        <is>
          <t>Dược phẩm/ Hóa Mỹ Phẩm, Y tế / Chăm sóc sức khỏe / Thẩm mỹ / Làm đẹp, Quản lý chất lượng (QA/QC)</t>
        </is>
      </c>
      <c r="K5280" s="10" t="inlineStr">
        <is>
          <t>1 - 3 Năm</t>
        </is>
      </c>
      <c r="L5280" s="11">
        <f>HYPERLINK("https://careerviet.vn/vi/tim-viec-lam/ho-chi-minh-chuyen-vien-dam-bao-chat-luong.35C69341.html","Xem chi tiết")</f>
        <v/>
      </c>
      <c r="M5280" s="10" t="n"/>
    </row>
    <row r="5281">
      <c r="B5281" s="7" t="n">
        <v>5279</v>
      </c>
      <c r="C5281" t="inlineStr">
        <is>
          <t>CVCC/CVC VẬN HÀNH GIAO DỊCH TẠI QUẦY</t>
        </is>
      </c>
      <c r="D5281" t="inlineStr">
        <is>
          <t>Ngân Hàng TMCP Phương Đông - OCB</t>
        </is>
      </c>
      <c r="E5281" t="inlineStr">
        <is>
          <t>Lương:Cạnh tranh</t>
        </is>
      </c>
      <c r="F5281" t="inlineStr">
        <is>
          <t>Hồ Chí Minh</t>
        </is>
      </c>
      <c r="G5281" t="inlineStr">
        <is>
          <t>31-03-2026</t>
        </is>
      </c>
      <c r="H5281" t="inlineStr">
        <is>
          <t>31/03/2026</t>
        </is>
      </c>
      <c r="I5281" t="inlineStr">
        <is>
          <t>17/03/2026</t>
        </is>
      </c>
      <c r="J5281" t="inlineStr">
        <is>
          <t>Ngân hàng, Dịch vụ khách hàng</t>
        </is>
      </c>
      <c r="K5281" t="inlineStr">
        <is>
          <t>3 - 5 Năm</t>
        </is>
      </c>
      <c r="L5281" s="8">
        <f>HYPERLINK("https://careerviet.vn/vi/tim-viec-lam/cvcc-cvc-van-hanh-giao-dich-tai-quay.35C69388.html","Xem chi tiết")</f>
        <v/>
      </c>
    </row>
    <row r="5282">
      <c r="B5282" s="9" t="n">
        <v>5280</v>
      </c>
      <c r="C5282" s="10" t="inlineStr">
        <is>
          <t>NHÂN VIÊN KHO</t>
        </is>
      </c>
      <c r="D5282" s="10" t="inlineStr">
        <is>
          <t>DRB Việt Nam</t>
        </is>
      </c>
      <c r="E5282" s="10" t="inlineStr">
        <is>
          <t>Lương:Cạnh tranh</t>
        </is>
      </c>
      <c r="F5282" s="10" t="inlineStr">
        <is>
          <t>Bình Dương</t>
        </is>
      </c>
      <c r="G5282" s="10" t="inlineStr">
        <is>
          <t>25-03-2026</t>
        </is>
      </c>
      <c r="H5282" s="10" t="inlineStr">
        <is>
          <t>25/03/2026</t>
        </is>
      </c>
      <c r="I5282" s="10" t="inlineStr">
        <is>
          <t>17/03/2026</t>
        </is>
      </c>
      <c r="J5282" s="10" t="inlineStr">
        <is>
          <t>Điện / Điện tử / Điện lạnh / Điện công nghiệp, Hành chính / Thư ký, Vận chuyển / Giao nhận / Kho vận</t>
        </is>
      </c>
      <c r="K5282" s="10" t="inlineStr">
        <is>
          <t>Trên 1 Năm</t>
        </is>
      </c>
      <c r="L5282" s="11">
        <f>HYPERLINK("https://careerviet.vn/vi/tim-viec-lam/nhan-vien-kho.35C69410.html","Xem chi tiết")</f>
        <v/>
      </c>
      <c r="M5282" s="10" t="n"/>
    </row>
    <row r="5283">
      <c r="B5283" s="7" t="n">
        <v>5281</v>
      </c>
      <c r="C5283" t="inlineStr">
        <is>
          <t>NHÂN VIÊN MUA HÀNG</t>
        </is>
      </c>
      <c r="D5283" t="inlineStr">
        <is>
          <t>Công Ty Cổ Phần Phim Thiên Ngân (GALAXY STUDIO)</t>
        </is>
      </c>
      <c r="E5283" t="inlineStr">
        <is>
          <t>Lương:Cạnh tranh</t>
        </is>
      </c>
      <c r="F5283" t="inlineStr">
        <is>
          <t>Hồ Chí Minh</t>
        </is>
      </c>
      <c r="G5283" t="inlineStr">
        <is>
          <t>31-03-2026</t>
        </is>
      </c>
      <c r="H5283" t="inlineStr">
        <is>
          <t>31/03/2026</t>
        </is>
      </c>
      <c r="I5283" t="inlineStr">
        <is>
          <t>17/03/2026</t>
        </is>
      </c>
      <c r="J5283" t="inlineStr">
        <is>
          <t>Thu mua / Vật tư</t>
        </is>
      </c>
      <c r="K5283" t="inlineStr">
        <is>
          <t>Trên 2 Năm</t>
        </is>
      </c>
      <c r="L5283" s="8">
        <f>HYPERLINK("https://careerviet.vn/vi/tim-viec-lam/nhan-vien-mua-hang.35C6938A.html","Xem chi tiết")</f>
        <v/>
      </c>
    </row>
    <row r="5284">
      <c r="B5284" s="9" t="n">
        <v>5282</v>
      </c>
      <c r="C5284" s="10" t="inlineStr">
        <is>
          <t>Nhân Viên Pháp Chế</t>
        </is>
      </c>
      <c r="D5284" s="10" t="inlineStr">
        <is>
          <t>CÔNG TY CỔ PHẦN TẬP ĐOÀN MIZA</t>
        </is>
      </c>
      <c r="E5284" s="10" t="inlineStr">
        <is>
          <t>Lương:Cạnh tranh</t>
        </is>
      </c>
      <c r="F5284" s="10" t="inlineStr">
        <is>
          <t>Hà Nội</t>
        </is>
      </c>
      <c r="G5284" s="10" t="inlineStr">
        <is>
          <t>24-03-2026</t>
        </is>
      </c>
      <c r="H5284" s="10" t="inlineStr">
        <is>
          <t>24/03/2026</t>
        </is>
      </c>
      <c r="I5284" s="10" t="inlineStr">
        <is>
          <t>17/03/2026</t>
        </is>
      </c>
      <c r="J5284" s="10" t="inlineStr">
        <is>
          <t>Luật / Pháp lý, Hành chính / Thư ký, Sản xuất / Vận hành sản xuất</t>
        </is>
      </c>
      <c r="K5284" s="10" t="inlineStr">
        <is>
          <t>N/A</t>
        </is>
      </c>
      <c r="L5284" s="11">
        <f>HYPERLINK("https://careerviet.vn/vi/tim-viec-lam/nhan-vien-phap-che.35C693FC.html","Xem chi tiết")</f>
        <v/>
      </c>
      <c r="M5284" s="10" t="n"/>
    </row>
    <row r="5285">
      <c r="B5285" s="7" t="n">
        <v>5283</v>
      </c>
      <c r="C5285" t="inlineStr">
        <is>
          <t>QA/QC Staff</t>
        </is>
      </c>
      <c r="D5285" t="inlineStr">
        <is>
          <t>Công Ty TNHH Texmaster Việt Nam</t>
        </is>
      </c>
      <c r="E5285" t="inlineStr">
        <is>
          <t>Lương:Cạnh tranh</t>
        </is>
      </c>
      <c r="F5285" t="inlineStr">
        <is>
          <t>Bình Dương</t>
        </is>
      </c>
      <c r="G5285" t="inlineStr">
        <is>
          <t>24-03-2026</t>
        </is>
      </c>
      <c r="H5285" t="inlineStr">
        <is>
          <t>24/03/2026</t>
        </is>
      </c>
      <c r="I5285" t="inlineStr">
        <is>
          <t>17/03/2026</t>
        </is>
      </c>
      <c r="J5285" t="inlineStr">
        <is>
          <t>Quản lý chất lượng (QA/QC), Cơ khí / Ô tô / Tự động hóa, Sản xuất / Vận hành sản xuất</t>
        </is>
      </c>
      <c r="K5285" t="inlineStr">
        <is>
          <t>Trên 1 Năm</t>
        </is>
      </c>
      <c r="L5285" s="8">
        <f>HYPERLINK("https://careerviet.vn/vi/tim-viec-lam/qa-qc-staff.35C693F3.html","Xem chi tiết")</f>
        <v/>
      </c>
    </row>
    <row r="5286">
      <c r="B5286" s="9" t="n">
        <v>5284</v>
      </c>
      <c r="C5286" s="10" t="inlineStr">
        <is>
          <t>Kế Toán Tổng Hợp</t>
        </is>
      </c>
      <c r="D5286" s="10" t="inlineStr">
        <is>
          <t>CÔNG TY CỔ PHẦN ONEFIN VIỆT NAM</t>
        </is>
      </c>
      <c r="E5286" s="10" t="inlineStr">
        <is>
          <t>Lương:18 Tr - 20 Tr VND</t>
        </is>
      </c>
      <c r="F5286" s="10" t="inlineStr">
        <is>
          <t>Hồ Chí Minh</t>
        </is>
      </c>
      <c r="G5286" s="10" t="inlineStr">
        <is>
          <t>6</t>
        </is>
      </c>
      <c r="H5286" s="10" t="inlineStr">
        <is>
          <t>23/03/2026</t>
        </is>
      </c>
      <c r="I5286" s="10" t="inlineStr">
        <is>
          <t>17/03/2026</t>
        </is>
      </c>
      <c r="J5286" s="10" t="inlineStr">
        <is>
          <t>Tài chính / Đầu tư, CNTT - Phần mềm, Kế toán / Kiểm toán</t>
        </is>
      </c>
      <c r="K5286" s="10" t="inlineStr">
        <is>
          <t>3 - 5 Năm</t>
        </is>
      </c>
      <c r="L5286" s="11">
        <f>HYPERLINK("https://careerviet.vn/vi/tim-viec-lam/ke-toan-tong-hop.35C516D5.html","Xem chi tiết")</f>
        <v/>
      </c>
      <c r="M5286" s="10" t="n"/>
    </row>
    <row r="5287">
      <c r="B5287" s="7" t="n">
        <v>5285</v>
      </c>
      <c r="C5287" t="inlineStr">
        <is>
          <t>Nhân Viên IT Phụ Trách Phần Mềm (Doanh Nghiệp Sản Xuất)</t>
        </is>
      </c>
      <c r="D5287" t="inlineStr">
        <is>
          <t>CÔNG TY CỔ PHẦN TẬP ĐOÀN MIZA</t>
        </is>
      </c>
      <c r="E5287" t="inlineStr">
        <is>
          <t>Lương:Cạnh tranh</t>
        </is>
      </c>
      <c r="F5287" t="inlineStr">
        <is>
          <t>Hà Nội</t>
        </is>
      </c>
      <c r="G5287" t="inlineStr">
        <is>
          <t>24-03-2026</t>
        </is>
      </c>
      <c r="H5287" t="inlineStr">
        <is>
          <t>24/03/2026</t>
        </is>
      </c>
      <c r="I5287" t="inlineStr">
        <is>
          <t>17/03/2026</t>
        </is>
      </c>
      <c r="J5287" t="inlineStr">
        <is>
          <t>CNTT - Phần mềm, CNTT - Phần cứng / Mạng, Sản xuất / Vận hành sản xuất</t>
        </is>
      </c>
      <c r="K5287" t="inlineStr">
        <is>
          <t>N/A</t>
        </is>
      </c>
      <c r="L5287" s="8">
        <f>HYPERLINK("https://careerviet.vn/vi/tim-viec-lam/nhan-vien-it-phu-trach-phan-mem-doanh-nghiep-san-xuat.35C693F9.html","Xem chi tiết")</f>
        <v/>
      </c>
    </row>
    <row r="5288">
      <c r="B5288" s="9" t="n">
        <v>5286</v>
      </c>
      <c r="C5288" s="10" t="inlineStr">
        <is>
          <t>Technical Product Specialist (CRM system)</t>
        </is>
      </c>
      <c r="D5288" s="10" t="inlineStr">
        <is>
          <t>Wall Street English</t>
        </is>
      </c>
      <c r="E5288" s="10" t="inlineStr">
        <is>
          <t>Lương:Cạnh tranh</t>
        </is>
      </c>
      <c r="F5288" s="10" t="inlineStr">
        <is>
          <t>Hồ Chí Minh</t>
        </is>
      </c>
      <c r="G5288" s="10" t="inlineStr">
        <is>
          <t>3</t>
        </is>
      </c>
      <c r="H5288" s="10" t="inlineStr">
        <is>
          <t>20/03/2026</t>
        </is>
      </c>
      <c r="I5288" s="10" t="inlineStr">
        <is>
          <t>17/03/2026</t>
        </is>
      </c>
      <c r="J5288" s="10" t="inlineStr">
        <is>
          <t>CNTT - Phần mềm, Giáo dục / Đào tạo</t>
        </is>
      </c>
      <c r="K5288" s="10" t="inlineStr">
        <is>
          <t>3 - 5 Năm</t>
        </is>
      </c>
      <c r="L5288" s="11">
        <f>HYPERLINK("https://careerviet.vn/vi/tim-viec-lam/technical-product-specialist-crm-system.35C69349.html","Xem chi tiết")</f>
        <v/>
      </c>
      <c r="M5288" s="10" t="n"/>
    </row>
    <row r="5289">
      <c r="B5289" s="7" t="n">
        <v>5287</v>
      </c>
      <c r="C5289" t="inlineStr">
        <is>
          <t>Cán bộ Nghiệp vụ bảo hiểm hàng hải (mảng nghiệp vụ tàu)</t>
        </is>
      </c>
      <c r="D5289" t="inlineStr">
        <is>
          <t>Tổng Công ty Cổ phần Bảo hiểm Ngân hàng Đầu tư và Phát triển Việt Nam (BIC)</t>
        </is>
      </c>
      <c r="E5289" t="inlineStr">
        <is>
          <t>Lương:Cạnh tranh</t>
        </is>
      </c>
      <c r="F5289" t="inlineStr">
        <is>
          <t>Hà Nội</t>
        </is>
      </c>
      <c r="G5289" t="inlineStr">
        <is>
          <t>26-03-2026</t>
        </is>
      </c>
      <c r="H5289" t="inlineStr">
        <is>
          <t>26/03/2026</t>
        </is>
      </c>
      <c r="I5289" t="inlineStr">
        <is>
          <t>17/03/2026</t>
        </is>
      </c>
      <c r="J5289" t="inlineStr">
        <is>
          <t>Bảo hiểm, Cơ khí / Ô tô / Tự động hóa, Hàng hải</t>
        </is>
      </c>
      <c r="K5289" t="inlineStr">
        <is>
          <t>1 - 5 Năm</t>
        </is>
      </c>
      <c r="L5289" s="8">
        <f>HYPERLINK("https://careerviet.vn/vi/tim-viec-lam/can-bo-nghiep-vu-bao-hiem-hang-hai-mang-nghiep-vu-tau.35C66850.html","Xem chi tiết")</f>
        <v/>
      </c>
    </row>
    <row r="5290">
      <c r="B5290" s="9" t="n">
        <v>5288</v>
      </c>
      <c r="C5290" s="10" t="inlineStr">
        <is>
          <t>Kế toán trưởng</t>
        </is>
      </c>
      <c r="D5290" s="10" t="inlineStr">
        <is>
          <t>CÔNG TY TNHH SHRI</t>
        </is>
      </c>
      <c r="E5290" s="10" t="inlineStr">
        <is>
          <t>Lương:Cạnh tranh</t>
        </is>
      </c>
      <c r="F5290" s="10" t="inlineStr">
        <is>
          <t>Hồ Chí Minh</t>
        </is>
      </c>
      <c r="G5290" s="10" t="inlineStr">
        <is>
          <t>31-03-2026</t>
        </is>
      </c>
      <c r="H5290" s="10" t="inlineStr">
        <is>
          <t>31/03/2026</t>
        </is>
      </c>
      <c r="I5290" s="10" t="inlineStr">
        <is>
          <t>17/03/2026</t>
        </is>
      </c>
      <c r="J5290" s="10" t="inlineStr">
        <is>
          <t>Kế toán / Kiểm toán, Nhà hàng / Khách sạn</t>
        </is>
      </c>
      <c r="K5290" s="10" t="inlineStr">
        <is>
          <t>Trên 5 Năm</t>
        </is>
      </c>
      <c r="L5290" s="11">
        <f>HYPERLINK("https://careerviet.vn/vi/tim-viec-lam/ke-toan-truong.35C69312.html","Xem chi tiết")</f>
        <v/>
      </c>
      <c r="M5290" s="10" t="n"/>
    </row>
    <row r="5291">
      <c r="B5291" s="7" t="n">
        <v>5289</v>
      </c>
      <c r="C5291" t="inlineStr">
        <is>
          <t>Nhân viên kinh doanh</t>
        </is>
      </c>
      <c r="D5291" t="inlineStr">
        <is>
          <t>Công Ty Cổ Phần A25 Hotel</t>
        </is>
      </c>
      <c r="E5291" t="inlineStr">
        <is>
          <t>Lương:8 Tr - 25 Tr VND</t>
        </is>
      </c>
      <c r="F5291" t="inlineStr">
        <is>
          <t>Hà NộiHồ Chí Minh</t>
        </is>
      </c>
      <c r="G5291" t="inlineStr">
        <is>
          <t>31-03-2026</t>
        </is>
      </c>
      <c r="H5291" t="inlineStr">
        <is>
          <t>31/03/2026</t>
        </is>
      </c>
      <c r="I5291" t="inlineStr">
        <is>
          <t>17/03/2026</t>
        </is>
      </c>
      <c r="J5291" t="inlineStr">
        <is>
          <t>Bán hàng / Kinh doanh, Dịch vụ khách hàng, Nhà hàng / Khách sạn</t>
        </is>
      </c>
      <c r="K5291" t="inlineStr">
        <is>
          <t>1 - 2 Năm</t>
        </is>
      </c>
      <c r="L5291" s="8">
        <f>HYPERLINK("https://careerviet.vn/vi/tim-viec-lam/nhan-vien-kinh-doanh.35C69318.html","Xem chi tiết")</f>
        <v/>
      </c>
    </row>
    <row r="5292">
      <c r="B5292" s="9" t="n">
        <v>5290</v>
      </c>
      <c r="C5292" s="10" t="inlineStr">
        <is>
          <t>NHÂN VIÊN KẾ TOÁN</t>
        </is>
      </c>
      <c r="D5292" s="10" t="inlineStr">
        <is>
          <t>Công Ty Cổ Phần Vận Tải Và Dịch Vụ Hàng Hải (TRA-SAS)</t>
        </is>
      </c>
      <c r="E5292" s="10" t="inlineStr">
        <is>
          <t>Lương:12 Tr - 16 Tr VND</t>
        </is>
      </c>
      <c r="F5292" s="10" t="inlineStr">
        <is>
          <t>Hồ Chí Minh</t>
        </is>
      </c>
      <c r="G5292" s="10" t="inlineStr">
        <is>
          <t>31-03-2026</t>
        </is>
      </c>
      <c r="H5292" s="10" t="inlineStr">
        <is>
          <t>31/03/2026</t>
        </is>
      </c>
      <c r="I5292" s="10" t="inlineStr">
        <is>
          <t>17/03/2026</t>
        </is>
      </c>
      <c r="J5292" s="10" t="inlineStr">
        <is>
          <t>Vận chuyển / Giao nhận / Kho vận, Xuất nhập khẩu, Kế toán / Kiểm toán</t>
        </is>
      </c>
      <c r="K5292" s="10" t="inlineStr">
        <is>
          <t>1 - 3 Năm</t>
        </is>
      </c>
      <c r="L5292" s="11">
        <f>HYPERLINK("https://careerviet.vn/vi/tim-viec-lam/nhan-vien-ke-toan.35C693CE.html","Xem chi tiết")</f>
        <v/>
      </c>
      <c r="M5292" s="10" t="n"/>
    </row>
    <row r="5293">
      <c r="B5293" s="7" t="n">
        <v>5291</v>
      </c>
      <c r="C5293" t="inlineStr">
        <is>
          <t>Senior HRBP Executive– Commercial (Sales)</t>
        </is>
      </c>
      <c r="D5293" t="inlineStr">
        <is>
          <t>Công Ty Cổ Phần Uniben</t>
        </is>
      </c>
      <c r="E5293" t="inlineStr">
        <is>
          <t>Lương:Cạnh tranh</t>
        </is>
      </c>
      <c r="F5293" t="inlineStr">
        <is>
          <t>Hồ Chí Minh</t>
        </is>
      </c>
      <c r="G5293" t="inlineStr">
        <is>
          <t>6</t>
        </is>
      </c>
      <c r="H5293" t="inlineStr">
        <is>
          <t>23/03/2026</t>
        </is>
      </c>
      <c r="I5293" t="inlineStr">
        <is>
          <t>17/03/2026</t>
        </is>
      </c>
      <c r="J5293" t="inlineStr">
        <is>
          <t>Hành chính / Thư ký, Nhân sự, Bán hàng / Kinh doanh</t>
        </is>
      </c>
      <c r="K5293" t="inlineStr">
        <is>
          <t>Trên 5 Năm</t>
        </is>
      </c>
      <c r="L5293" s="8">
        <f>HYPERLINK("https://careerviet.vn/vi/tim-viec-lam/senior-hrbp-executive-commercial-sales.35C693C6.html","Xem chi tiết")</f>
        <v/>
      </c>
    </row>
    <row r="5294">
      <c r="B5294" s="9" t="n">
        <v>5292</v>
      </c>
      <c r="C5294" s="10" t="inlineStr">
        <is>
          <t>Coherent Internship Program 2026</t>
        </is>
      </c>
      <c r="D5294" s="10" t="inlineStr">
        <is>
          <t>Coherent Corp.</t>
        </is>
      </c>
      <c r="E5294" s="10" t="inlineStr">
        <is>
          <t>Lương:Cạnh tranh</t>
        </is>
      </c>
      <c r="F5294" s="10" t="inlineStr">
        <is>
          <t>Bình Dương</t>
        </is>
      </c>
      <c r="G5294" s="10" t="inlineStr">
        <is>
          <t>24-02-2026</t>
        </is>
      </c>
      <c r="H5294" s="10" t="inlineStr">
        <is>
          <t>14/03/2026</t>
        </is>
      </c>
      <c r="I5294" s="10" t="inlineStr">
        <is>
          <t>17/03/2026</t>
        </is>
      </c>
      <c r="J5294" s="10" t="inlineStr">
        <is>
          <t>Mới tốt nghiệp / Thực tập, Nhân sự, Tiếp thị / Marketing</t>
        </is>
      </c>
      <c r="K5294" s="10" t="inlineStr">
        <is>
          <t>N/A</t>
        </is>
      </c>
      <c r="L5294" s="11">
        <f>HYPERLINK("https://careerviet.vn/vi/tim-viec-lam/coherent-internship-program-2026.35C69305.html","Xem chi tiết")</f>
        <v/>
      </c>
      <c r="M5294" s="10" t="n"/>
    </row>
    <row r="5295">
      <c r="B5295" s="7" t="n">
        <v>5293</v>
      </c>
      <c r="C5295" t="inlineStr">
        <is>
          <t>Giám sát Bán hàng - Bình Chánh</t>
        </is>
      </c>
      <c r="D5295" t="inlineStr">
        <is>
          <t>Suntory PepsiCo</t>
        </is>
      </c>
      <c r="E5295" t="inlineStr">
        <is>
          <t>Lương:25 Tr - 35 Tr VND</t>
        </is>
      </c>
      <c r="F5295" t="inlineStr">
        <is>
          <t>Hồ Chí Minh</t>
        </is>
      </c>
      <c r="G5295" t="inlineStr">
        <is>
          <t>31-03-2026</t>
        </is>
      </c>
      <c r="H5295" t="inlineStr">
        <is>
          <t>31/03/2026</t>
        </is>
      </c>
      <c r="I5295" t="inlineStr">
        <is>
          <t>17/03/2026</t>
        </is>
      </c>
      <c r="J5295" t="inlineStr">
        <is>
          <t>Bán lẻ / Bán sỉ, Bán hàng / Kinh doanh, Thực phẩm &amp; Đồ uống</t>
        </is>
      </c>
      <c r="K5295" t="inlineStr">
        <is>
          <t>3 - 5 Năm</t>
        </is>
      </c>
      <c r="L5295" s="8">
        <f>HYPERLINK("https://careerviet.vn/vi/tim-viec-lam/giam-sat-ban-hang-binh-chanh.35C69337.html","Xem chi tiết")</f>
        <v/>
      </c>
    </row>
    <row r="5296">
      <c r="B5296" s="9" t="n">
        <v>5294</v>
      </c>
      <c r="C5296" s="10" t="inlineStr">
        <is>
          <t>Chuyên Viên Hành Chính</t>
        </is>
      </c>
      <c r="D5296" s="10" t="inlineStr">
        <is>
          <t>FE CREDIT</t>
        </is>
      </c>
      <c r="E5296" s="10" t="inlineStr">
        <is>
          <t>Lương:Cạnh tranh</t>
        </is>
      </c>
      <c r="F5296" s="10" t="inlineStr">
        <is>
          <t>Hồ Chí Minh</t>
        </is>
      </c>
      <c r="G5296" s="10" t="inlineStr">
        <is>
          <t>6</t>
        </is>
      </c>
      <c r="H5296" s="10" t="inlineStr">
        <is>
          <t>23/03/2026</t>
        </is>
      </c>
      <c r="I5296" s="10" t="inlineStr">
        <is>
          <t>17/03/2026</t>
        </is>
      </c>
      <c r="J5296" s="10" t="inlineStr">
        <is>
          <t>Hành chính / Thư ký, Ngân hàng, Tài chính / Đầu tư</t>
        </is>
      </c>
      <c r="K5296" s="10" t="inlineStr">
        <is>
          <t>2 - 4 Năm</t>
        </is>
      </c>
      <c r="L5296" s="11">
        <f>HYPERLINK("https://careerviet.vn/vi/tim-viec-lam/chuyen-vien-hanh-chinh.35C693ED.html","Xem chi tiết")</f>
        <v/>
      </c>
      <c r="M5296" s="10" t="n"/>
    </row>
    <row r="5297">
      <c r="B5297" s="7" t="n">
        <v>5295</v>
      </c>
      <c r="C5297" t="inlineStr">
        <is>
          <t>Nhân viên Pháp chế</t>
        </is>
      </c>
      <c r="D5297" t="inlineStr">
        <is>
          <t>Sở Giao dịch Hàng hóa Việt Nam</t>
        </is>
      </c>
      <c r="E5297" t="inlineStr">
        <is>
          <t>Lương:9 Tr - 15 Tr VND</t>
        </is>
      </c>
      <c r="F5297" t="inlineStr">
        <is>
          <t>Hà Nội</t>
        </is>
      </c>
      <c r="G5297" t="inlineStr">
        <is>
          <t>31-03-2026</t>
        </is>
      </c>
      <c r="H5297" t="inlineStr">
        <is>
          <t>31/03/2026</t>
        </is>
      </c>
      <c r="I5297" t="inlineStr">
        <is>
          <t>17/03/2026</t>
        </is>
      </c>
      <c r="J5297" t="inlineStr">
        <is>
          <t>Luật / Pháp lý</t>
        </is>
      </c>
      <c r="K5297" t="inlineStr">
        <is>
          <t>Trên 1 Năm</t>
        </is>
      </c>
      <c r="L5297" s="8">
        <f>HYPERLINK("https://careerviet.vn/vi/tim-viec-lam/nhan-vien-phap-che.35C69327.html","Xem chi tiết")</f>
        <v/>
      </c>
    </row>
    <row r="5298">
      <c r="B5298" s="9" t="n">
        <v>5296</v>
      </c>
      <c r="C5298" s="10" t="inlineStr">
        <is>
          <t>Trade Marketing Executive</t>
        </is>
      </c>
      <c r="D5298" s="10" t="inlineStr">
        <is>
          <t>CÔNG TY TNHH MẮT VIỆT GROUP</t>
        </is>
      </c>
      <c r="E5298" s="10" t="inlineStr">
        <is>
          <t>Lương:20 Tr - 25 Tr VND</t>
        </is>
      </c>
      <c r="F5298" s="10" t="inlineStr">
        <is>
          <t>Hồ Chí Minh</t>
        </is>
      </c>
      <c r="G5298" s="10" t="inlineStr">
        <is>
          <t>31-03-2026</t>
        </is>
      </c>
      <c r="H5298" s="10" t="inlineStr">
        <is>
          <t>31/03/2026</t>
        </is>
      </c>
      <c r="I5298" s="10" t="inlineStr">
        <is>
          <t>17/03/2026</t>
        </is>
      </c>
      <c r="J5298" s="10" t="inlineStr">
        <is>
          <t>Tiếp thị / Marketing, Bán lẻ / Bán sỉ, Tiếp thị trực tuyến</t>
        </is>
      </c>
      <c r="K5298" s="10" t="inlineStr">
        <is>
          <t>2 - 3 Năm</t>
        </is>
      </c>
      <c r="L5298" s="11">
        <f>HYPERLINK("https://careerviet.vn/vi/tim-viec-lam/trade-marketing-executive.35C692EF.html","Xem chi tiết")</f>
        <v/>
      </c>
      <c r="M5298" s="10" t="n"/>
    </row>
    <row r="5299">
      <c r="B5299" s="7" t="n">
        <v>5297</v>
      </c>
      <c r="C5299" t="inlineStr">
        <is>
          <t>Trưởng Phòng Sản Xuất</t>
        </is>
      </c>
      <c r="D5299" t="inlineStr">
        <is>
          <t>Công Ty TNHH TM &amp; XNK Nhất Lâm</t>
        </is>
      </c>
      <c r="E5299" t="inlineStr">
        <is>
          <t>Lương:20 Tr - 30 Tr VND</t>
        </is>
      </c>
      <c r="F5299" t="inlineStr">
        <is>
          <t>Hồ Chí Minh</t>
        </is>
      </c>
      <c r="G5299" t="inlineStr">
        <is>
          <t>31-03-2026</t>
        </is>
      </c>
      <c r="H5299" t="inlineStr">
        <is>
          <t>31/03/2026</t>
        </is>
      </c>
      <c r="I5299" t="inlineStr">
        <is>
          <t>17/03/2026</t>
        </is>
      </c>
      <c r="J5299" t="inlineStr">
        <is>
          <t>Sản xuất / Vận hành sản xuất</t>
        </is>
      </c>
      <c r="K5299" t="inlineStr">
        <is>
          <t>1 - 4 Năm</t>
        </is>
      </c>
      <c r="L5299" s="8">
        <f>HYPERLINK("https://careerviet.vn/vi/tim-viec-lam/truong-phong-san-xuat.35C69437.html","Xem chi tiết")</f>
        <v/>
      </c>
    </row>
    <row r="5300">
      <c r="B5300" s="9" t="n">
        <v>5298</v>
      </c>
      <c r="C5300" s="10" t="inlineStr">
        <is>
          <t>Phó trưởng khoa - Khoa Ngôn ngữ Anh</t>
        </is>
      </c>
      <c r="D5300" s="10" t="inlineStr">
        <is>
          <t>ĐẠI HỌC PHENIKAA</t>
        </is>
      </c>
      <c r="E5300" s="10" t="inlineStr">
        <is>
          <t>Lương:Cạnh tranh</t>
        </is>
      </c>
      <c r="F5300" s="10" t="inlineStr">
        <is>
          <t>Hà Nội</t>
        </is>
      </c>
      <c r="G5300" s="10" t="inlineStr">
        <is>
          <t>25-03-2026</t>
        </is>
      </c>
      <c r="H5300" s="10" t="inlineStr">
        <is>
          <t>25/03/2026</t>
        </is>
      </c>
      <c r="I5300" s="10" t="inlineStr">
        <is>
          <t>17/03/2026</t>
        </is>
      </c>
      <c r="J5300" s="10" t="inlineStr">
        <is>
          <t>Giáo dục / Đào tạo</t>
        </is>
      </c>
      <c r="K5300" s="10" t="inlineStr">
        <is>
          <t>3 - 4 Năm</t>
        </is>
      </c>
      <c r="L5300" s="11">
        <f>HYPERLINK("https://careerviet.vn/vi/tim-viec-lam/pho-truong-khoa-khoa-ngon-ngu-anh.35C63CAC.html","Xem chi tiết")</f>
        <v/>
      </c>
      <c r="M5300" s="10" t="n"/>
    </row>
    <row r="5301">
      <c r="B5301" s="7" t="n">
        <v>5299</v>
      </c>
      <c r="C5301" t="inlineStr">
        <is>
          <t>Giám sát Bán hàng - Vĩnh Cửu, Đồng Nai</t>
        </is>
      </c>
      <c r="D5301" t="inlineStr">
        <is>
          <t>Suntory PepsiCo</t>
        </is>
      </c>
      <c r="E5301" t="inlineStr">
        <is>
          <t>Lương:28 Tr - 35 Tr VND</t>
        </is>
      </c>
      <c r="F5301" t="inlineStr">
        <is>
          <t>Đồng Nai</t>
        </is>
      </c>
      <c r="G5301" t="inlineStr">
        <is>
          <t>24-02-2026</t>
        </is>
      </c>
      <c r="H5301" t="inlineStr">
        <is>
          <t>15/03/2026</t>
        </is>
      </c>
      <c r="I5301" t="inlineStr">
        <is>
          <t>17/03/2026</t>
        </is>
      </c>
      <c r="J5301" t="inlineStr">
        <is>
          <t>Bán lẻ / Bán sỉ, Bán hàng / Kinh doanh, Thực phẩm &amp; Đồ uống</t>
        </is>
      </c>
      <c r="K5301" t="inlineStr">
        <is>
          <t>2 - 5 Năm</t>
        </is>
      </c>
      <c r="L5301" s="8">
        <f>HYPERLINK("https://careerviet.vn/vi/tim-viec-lam/giam-sat-ban-hang-vinh-cuu-dong-nai.35C6931C.html","Xem chi tiết")</f>
        <v/>
      </c>
    </row>
    <row r="5302">
      <c r="B5302" s="9" t="n">
        <v>5300</v>
      </c>
      <c r="C5302" s="10" t="inlineStr">
        <is>
          <t>Giám sát Bán hàng - Quận 7, Cần Giờ</t>
        </is>
      </c>
      <c r="D5302" s="10" t="inlineStr">
        <is>
          <t>Suntory PepsiCo</t>
        </is>
      </c>
      <c r="E5302" s="10" t="inlineStr">
        <is>
          <t>Lương:25 Tr - 35 Tr VND</t>
        </is>
      </c>
      <c r="F5302" s="10" t="inlineStr">
        <is>
          <t>Hồ Chí Minh</t>
        </is>
      </c>
      <c r="G5302" s="10" t="inlineStr">
        <is>
          <t>31-03-2026</t>
        </is>
      </c>
      <c r="H5302" s="10" t="inlineStr">
        <is>
          <t>31/03/2026</t>
        </is>
      </c>
      <c r="I5302" s="10" t="inlineStr">
        <is>
          <t>17/03/2026</t>
        </is>
      </c>
      <c r="J5302" s="10" t="inlineStr">
        <is>
          <t>Bán lẻ / Bán sỉ, Bán hàng / Kinh doanh, Thực phẩm &amp; Đồ uống</t>
        </is>
      </c>
      <c r="K5302" s="10" t="inlineStr">
        <is>
          <t>2 - 5 Năm</t>
        </is>
      </c>
      <c r="L5302" s="11">
        <f>HYPERLINK("https://careerviet.vn/vi/tim-viec-lam/giam-sat-ban-hang-quan-7-can-gio.35C6932E.html","Xem chi tiết")</f>
        <v/>
      </c>
      <c r="M5302" s="10" t="n"/>
    </row>
    <row r="5303">
      <c r="B5303" s="7" t="n">
        <v>5301</v>
      </c>
      <c r="C5303" t="inlineStr">
        <is>
          <t>Area Manager / Quản Lý Khu Vực</t>
        </is>
      </c>
      <c r="D5303" t="inlineStr">
        <is>
          <t>CÔNG TY TNHH MẮT VIỆT GROUP</t>
        </is>
      </c>
      <c r="E5303" t="inlineStr">
        <is>
          <t>Lương:Cạnh tranh</t>
        </is>
      </c>
      <c r="F5303" t="inlineStr">
        <is>
          <t>Hồ Chí Minh</t>
        </is>
      </c>
      <c r="G5303" t="inlineStr">
        <is>
          <t>31-03-2026</t>
        </is>
      </c>
      <c r="H5303" t="inlineStr">
        <is>
          <t>31/03/2026</t>
        </is>
      </c>
      <c r="I5303" t="inlineStr">
        <is>
          <t>17/03/2026</t>
        </is>
      </c>
      <c r="J5303" t="inlineStr">
        <is>
          <t>Bán lẻ / Bán sỉ, Bán hàng / Kinh doanh, Dược phẩm/ Hóa Mỹ Phẩm</t>
        </is>
      </c>
      <c r="K5303" t="inlineStr">
        <is>
          <t>3 - 5 Năm</t>
        </is>
      </c>
      <c r="L5303" s="8">
        <f>HYPERLINK("https://careerviet.vn/vi/tim-viec-lam/area-manager-quan-ly-khu-vuc.35C692DC.html","Xem chi tiết")</f>
        <v/>
      </c>
    </row>
    <row r="5304">
      <c r="B5304" s="9" t="n">
        <v>5302</v>
      </c>
      <c r="C5304" s="10" t="inlineStr">
        <is>
          <t>Sales May mặc 27283 - KCN Bàu Bàng, HCM</t>
        </is>
      </c>
      <c r="D5304" s="10" t="inlineStr">
        <is>
          <t>Công Ty TNHH Reeracoen Việt Nam</t>
        </is>
      </c>
      <c r="E5304" s="10" t="inlineStr">
        <is>
          <t>Lương:12 Tr - 18 Tr VND</t>
        </is>
      </c>
      <c r="F5304" s="10" t="inlineStr">
        <is>
          <t>Hồ Chí Minh</t>
        </is>
      </c>
      <c r="G5304" s="10" t="inlineStr">
        <is>
          <t>25-03-2026</t>
        </is>
      </c>
      <c r="H5304" s="10" t="inlineStr">
        <is>
          <t>25/03/2026</t>
        </is>
      </c>
      <c r="I5304" s="10" t="inlineStr">
        <is>
          <t>17/03/2026</t>
        </is>
      </c>
      <c r="J5304" s="10" t="inlineStr">
        <is>
          <t>Bán lẻ / Bán sỉ, Bán hàng / Kinh doanh, Bán Hàng Kỹ Thuật</t>
        </is>
      </c>
      <c r="K5304" s="10" t="inlineStr">
        <is>
          <t>Trên 1 Năm</t>
        </is>
      </c>
      <c r="L5304" s="11">
        <f>HYPERLINK("https://careerviet.vn/vi/tim-viec-lam/sales-may-mac-27283-kcn-bau-bang-hcm.35C63D38.html","Xem chi tiết")</f>
        <v/>
      </c>
      <c r="M5304" s="10" t="n"/>
    </row>
    <row r="5305">
      <c r="B5305" s="7" t="n">
        <v>5303</v>
      </c>
      <c r="C5305" t="inlineStr">
        <is>
          <t>Senior Backend Developer (Golang, Java/C++)</t>
        </is>
      </c>
      <c r="D5305" t="inlineStr">
        <is>
          <t>CÔNG TY CỔ PHẦN VINATECH SOLUTION</t>
        </is>
      </c>
      <c r="E5305" t="inlineStr">
        <is>
          <t>Lương:20 Tr - 30 Tr VND</t>
        </is>
      </c>
      <c r="F5305" t="inlineStr">
        <is>
          <t>Hồ Chí Minh</t>
        </is>
      </c>
      <c r="G5305" t="inlineStr">
        <is>
          <t>25-03-2026</t>
        </is>
      </c>
      <c r="H5305" t="inlineStr">
        <is>
          <t>25/03/2026</t>
        </is>
      </c>
      <c r="I5305" t="inlineStr">
        <is>
          <t>17/03/2026</t>
        </is>
      </c>
      <c r="J5305" t="inlineStr">
        <is>
          <t>CNTT - Phần mềm, CNTT - Phần cứng / Mạng</t>
        </is>
      </c>
      <c r="K5305" t="inlineStr">
        <is>
          <t>2 - 5 Năm</t>
        </is>
      </c>
      <c r="L5305" s="8">
        <f>HYPERLINK("https://careerviet.vn/vi/tim-viec-lam/senior-backend-developer-golang-java-c.35C63DCB.html","Xem chi tiết")</f>
        <v/>
      </c>
    </row>
    <row r="5306">
      <c r="B5306" s="9" t="n">
        <v>5304</v>
      </c>
      <c r="C5306" s="10" t="inlineStr">
        <is>
          <t>P. Kiểm soát tuân thủ, Hội sở - CVCC Kiểm soát tuân thủ định giá</t>
        </is>
      </c>
      <c r="D5306" s="10" t="inlineStr">
        <is>
          <t>Ngân Hàng TMCP Phương Đông - OCB</t>
        </is>
      </c>
      <c r="E5306" s="10" t="inlineStr">
        <is>
          <t>Lương:10 Tr - 12 Tr VND</t>
        </is>
      </c>
      <c r="F5306" s="10" t="inlineStr">
        <is>
          <t>Hồ Chí Minh</t>
        </is>
      </c>
      <c r="G5306" s="10" t="inlineStr">
        <is>
          <t>25-03-2026</t>
        </is>
      </c>
      <c r="H5306" s="10" t="inlineStr">
        <is>
          <t>25/03/2026</t>
        </is>
      </c>
      <c r="I5306" s="10" t="inlineStr">
        <is>
          <t>17/03/2026</t>
        </is>
      </c>
      <c r="J5306" s="10" t="inlineStr">
        <is>
          <t>Luật / Pháp lý, Ngân hàng, Tài chính / Đầu tư</t>
        </is>
      </c>
      <c r="K5306" s="10" t="inlineStr">
        <is>
          <t>3 - 5 Năm</t>
        </is>
      </c>
      <c r="L5306" s="11">
        <f>HYPERLINK("https://careerviet.vn/vi/tim-viec-lam/p-kiem-soat-tuan-thu-hoi-so-cvcc-kiem-soat-tuan-thu-dinh-gia.35C63CBF.html","Xem chi tiết")</f>
        <v/>
      </c>
      <c r="M5306" s="10" t="n"/>
    </row>
    <row r="5307">
      <c r="B5307" s="7" t="n">
        <v>5305</v>
      </c>
      <c r="C5307" t="inlineStr">
        <is>
          <t>Điều Dưỡng/ Hộ Sinh / Y Sĩ Lấy Máu Tại Chi Nhánh - Võ Nguyên Giáp, Quận 2</t>
        </is>
      </c>
      <c r="D5307" t="inlineStr">
        <is>
          <t>DIAG</t>
        </is>
      </c>
      <c r="E5307" t="inlineStr">
        <is>
          <t>Lương:11 Tr - 15 Tr VND</t>
        </is>
      </c>
      <c r="F5307" t="inlineStr">
        <is>
          <t>Hồ Chí Minh</t>
        </is>
      </c>
      <c r="G5307" t="inlineStr">
        <is>
          <t>25-03-2026</t>
        </is>
      </c>
      <c r="H5307" t="inlineStr">
        <is>
          <t>25/03/2026</t>
        </is>
      </c>
      <c r="I5307" t="inlineStr">
        <is>
          <t>17/03/2026</t>
        </is>
      </c>
      <c r="J5307" t="inlineStr">
        <is>
          <t>Dược phẩm/ Hóa Mỹ Phẩm, Y tế / Chăm sóc sức khỏe / Thẩm mỹ / Làm đẹp, Dịch vụ khách hàng</t>
        </is>
      </c>
      <c r="K5307" t="inlineStr">
        <is>
          <t>Lên đến 1 Năm</t>
        </is>
      </c>
      <c r="L5307" s="8">
        <f>HYPERLINK("https://careerviet.vn/vi/tim-viec-lam/dieu-duong-ho-sinh-y-si-lay-mau-tai-chi-nhanh-vo-nguyen-giap-quan-2.35C63D25.html","Xem chi tiết")</f>
        <v/>
      </c>
    </row>
    <row r="5308">
      <c r="B5308" s="9" t="n">
        <v>5306</v>
      </c>
      <c r="C5308" s="10" t="inlineStr">
        <is>
          <t>Nhân viên HSE</t>
        </is>
      </c>
      <c r="D5308" s="10" t="inlineStr">
        <is>
          <t>Cty TNHH MTV CB TP Thọ Phát</t>
        </is>
      </c>
      <c r="E5308" s="10" t="inlineStr">
        <is>
          <t>Lương:10 Tr - 12 Tr VND</t>
        </is>
      </c>
      <c r="F5308" s="10" t="inlineStr">
        <is>
          <t>Hồ Chí Minh</t>
        </is>
      </c>
      <c r="G5308" s="10" t="inlineStr">
        <is>
          <t>25-03-2026</t>
        </is>
      </c>
      <c r="H5308" s="10" t="inlineStr">
        <is>
          <t>25/03/2026</t>
        </is>
      </c>
      <c r="I5308" s="10" t="inlineStr">
        <is>
          <t>17/03/2026</t>
        </is>
      </c>
      <c r="J5308" s="10" t="inlineStr">
        <is>
          <t>An toàn lao động</t>
        </is>
      </c>
      <c r="K5308" s="10" t="inlineStr">
        <is>
          <t>1 - 2 Năm</t>
        </is>
      </c>
      <c r="L5308" s="11">
        <f>HYPERLINK("https://careerviet.vn/vi/tim-viec-lam/nhan-vien-hse.35C63420.html","Xem chi tiết")</f>
        <v/>
      </c>
      <c r="M5308" s="10" t="n"/>
    </row>
    <row r="5309">
      <c r="B5309" s="7" t="n">
        <v>5307</v>
      </c>
      <c r="C5309" t="inlineStr">
        <is>
          <t>Chuyên viên Shopdrawing</t>
        </is>
      </c>
      <c r="D5309" t="inlineStr">
        <is>
          <t>CÔNG TY CỔ PHẦN PHÁT TRIỂN VÀ ĐẦU TƯ XÂY DỰNG VINCONS</t>
        </is>
      </c>
      <c r="E5309" t="inlineStr">
        <is>
          <t>Lương:25 Tr - 30 Tr VND</t>
        </is>
      </c>
      <c r="F5309" t="inlineStr">
        <is>
          <t>Hà NộiHồ Chí MinhLong An</t>
        </is>
      </c>
      <c r="G5309" t="inlineStr">
        <is>
          <t>25-03-2026</t>
        </is>
      </c>
      <c r="H5309" t="inlineStr">
        <is>
          <t>25/03/2026</t>
        </is>
      </c>
      <c r="I5309" t="inlineStr">
        <is>
          <t>17/03/2026</t>
        </is>
      </c>
      <c r="J5309" t="inlineStr">
        <is>
          <t>Kiến trúc, Xây dựng</t>
        </is>
      </c>
      <c r="K5309" t="inlineStr">
        <is>
          <t>Lên đến 2 Năm</t>
        </is>
      </c>
      <c r="L5309" s="8">
        <f>HYPERLINK("https://careerviet.vn/vi/tim-viec-lam/chuyen-vien-shopdrawing.35C63CF8.html","Xem chi tiết")</f>
        <v/>
      </c>
    </row>
    <row r="5310">
      <c r="B5310" s="9" t="n">
        <v>5308</v>
      </c>
      <c r="C5310" s="10" t="inlineStr">
        <is>
          <t>Giám Sát Thi Công Nhà Phố</t>
        </is>
      </c>
      <c r="D5310" s="10" t="inlineStr">
        <is>
          <t>CÔNG TY TNHH THIẾT KẾ XÂY DỰNG TRƯỜNG SINH</t>
        </is>
      </c>
      <c r="E5310" s="10" t="inlineStr">
        <is>
          <t>Lương:9 Tr - 15 Tr VND</t>
        </is>
      </c>
      <c r="F5310" s="10" t="inlineStr">
        <is>
          <t>Đồng Nai</t>
        </is>
      </c>
      <c r="G5310" s="10" t="inlineStr">
        <is>
          <t>25-03-2026</t>
        </is>
      </c>
      <c r="H5310" s="10" t="inlineStr">
        <is>
          <t>25/03/2026</t>
        </is>
      </c>
      <c r="I5310" s="10" t="inlineStr">
        <is>
          <t>17/03/2026</t>
        </is>
      </c>
      <c r="J5310" s="10" t="inlineStr">
        <is>
          <t>Kế toán / Kiểm toán, Xây dựng, Bất động sản</t>
        </is>
      </c>
      <c r="K5310" s="10" t="inlineStr">
        <is>
          <t>1 Năm</t>
        </is>
      </c>
      <c r="L5310" s="11">
        <f>HYPERLINK("https://careerviet.vn/vi/tim-viec-lam/giam-sat-thi-cong-nha-pho.35C63B23.html","Xem chi tiết")</f>
        <v/>
      </c>
      <c r="M5310" s="10" t="n"/>
    </row>
    <row r="5311">
      <c r="B5311" s="7" t="n">
        <v>5309</v>
      </c>
      <c r="C5311" t="inlineStr">
        <is>
          <t>Kỹ sư điện gió</t>
        </is>
      </c>
      <c r="D5311" t="inlineStr">
        <is>
          <t>Công ty cổ phần Tập đoàn Trường Thành Việt Nam</t>
        </is>
      </c>
      <c r="E5311" t="inlineStr">
        <is>
          <t>Lương:Lên đến 40 Tr VND</t>
        </is>
      </c>
      <c r="F5311" t="inlineStr">
        <is>
          <t>Vĩnh Long</t>
        </is>
      </c>
      <c r="G5311" t="inlineStr">
        <is>
          <t>25-03-2026</t>
        </is>
      </c>
      <c r="H5311" t="inlineStr">
        <is>
          <t>25/03/2026</t>
        </is>
      </c>
      <c r="I5311" t="inlineStr">
        <is>
          <t>17/03/2026</t>
        </is>
      </c>
      <c r="J5311" t="inlineStr">
        <is>
          <t>Điện / Điện tử / Điện lạnh / Điện công nghiệp, Xây dựng</t>
        </is>
      </c>
      <c r="K5311" t="inlineStr">
        <is>
          <t>3 - 5 Năm</t>
        </is>
      </c>
      <c r="L5311" s="8">
        <f>HYPERLINK("https://careerviet.vn/vi/tim-viec-lam/ky-su-dien-gio.35C63E0F.html","Xem chi tiết")</f>
        <v/>
      </c>
    </row>
    <row r="5312">
      <c r="B5312" s="9" t="n">
        <v>5310</v>
      </c>
      <c r="C5312" s="10" t="inlineStr">
        <is>
          <t>Khối Quản lý rủi ro, Hội sở - CVCC Giám sát rủi ro tín dụng</t>
        </is>
      </c>
      <c r="D5312" s="10" t="inlineStr">
        <is>
          <t>Ngân Hàng TMCP Phương Đông - OCB</t>
        </is>
      </c>
      <c r="E5312" s="10" t="inlineStr">
        <is>
          <t>Lương:Cạnh tranh</t>
        </is>
      </c>
      <c r="F5312" s="10" t="inlineStr">
        <is>
          <t>Hồ Chí Minh</t>
        </is>
      </c>
      <c r="G5312" s="10" t="inlineStr">
        <is>
          <t>25-03-2026</t>
        </is>
      </c>
      <c r="H5312" s="10" t="inlineStr">
        <is>
          <t>25/03/2026</t>
        </is>
      </c>
      <c r="I5312" s="10" t="inlineStr">
        <is>
          <t>17/03/2026</t>
        </is>
      </c>
      <c r="J5312" s="10" t="inlineStr">
        <is>
          <t>Luật / Pháp lý, Ngân hàng, Thống kê</t>
        </is>
      </c>
      <c r="K5312" s="10" t="inlineStr">
        <is>
          <t>3 - 5 Năm</t>
        </is>
      </c>
      <c r="L5312" s="11">
        <f>HYPERLINK("https://careerviet.vn/vi/tim-viec-lam/khoi-quan-ly-rui-ro-hoi-so-cvcc-giam-sat-rui-ro-tin-dung.35C63CCD.html","Xem chi tiết")</f>
        <v/>
      </c>
      <c r="M5312" s="10" t="n"/>
    </row>
    <row r="5313">
      <c r="B5313" s="7" t="n">
        <v>5311</v>
      </c>
      <c r="C5313" t="inlineStr">
        <is>
          <t>Giám đốc Kinh doanh (Bất động sản)</t>
        </is>
      </c>
      <c r="D5313" t="inlineStr">
        <is>
          <t>Công ty cổ phần Tập đoàn Trường Thành Việt Nam</t>
        </is>
      </c>
      <c r="E5313" t="inlineStr">
        <is>
          <t>Lương:35 Tr - 50 Tr VND</t>
        </is>
      </c>
      <c r="F5313" t="inlineStr">
        <is>
          <t>Hà Nội</t>
        </is>
      </c>
      <c r="G5313" t="inlineStr">
        <is>
          <t>25-03-2026</t>
        </is>
      </c>
      <c r="H5313" t="inlineStr">
        <is>
          <t>25/03/2026</t>
        </is>
      </c>
      <c r="I5313" t="inlineStr">
        <is>
          <t>17/03/2026</t>
        </is>
      </c>
      <c r="J5313" t="inlineStr">
        <is>
          <t>Bán hàng / Kinh doanh</t>
        </is>
      </c>
      <c r="K5313" t="inlineStr">
        <is>
          <t>3 - 5 Năm</t>
        </is>
      </c>
      <c r="L5313" s="8">
        <f>HYPERLINK("https://careerviet.vn/vi/tim-viec-lam/giam-doc-kinh-doanh-bat-dong-san.35C63E1D.html","Xem chi tiết")</f>
        <v/>
      </c>
    </row>
    <row r="5314">
      <c r="B5314" s="9" t="n">
        <v>5312</v>
      </c>
      <c r="C5314" s="10" t="inlineStr">
        <is>
          <t>Sales Agronomist – Fertigation/ Nhân viên kinh doanh phân bón – Tưới nhỏ giọt</t>
        </is>
      </c>
      <c r="D5314" s="10" t="inlineStr">
        <is>
          <t>CÔNG TY TNHH YARA VIỆT NAM</t>
        </is>
      </c>
      <c r="E5314" s="10" t="inlineStr">
        <is>
          <t>Lương:Cạnh tranh</t>
        </is>
      </c>
      <c r="F5314" s="10" t="inlineStr">
        <is>
          <t>Lâm Đồng</t>
        </is>
      </c>
      <c r="G5314" s="10" t="inlineStr">
        <is>
          <t>25-03-2026</t>
        </is>
      </c>
      <c r="H5314" s="10" t="inlineStr">
        <is>
          <t>25/03/2026</t>
        </is>
      </c>
      <c r="I5314" s="10" t="inlineStr">
        <is>
          <t>17/03/2026</t>
        </is>
      </c>
      <c r="J5314" s="10" t="inlineStr">
        <is>
          <t>Nông nghiệp, Bán hàng / Kinh doanh, Công nghệ sinh học</t>
        </is>
      </c>
      <c r="K5314" s="10" t="inlineStr">
        <is>
          <t>Trên 2 Năm</t>
        </is>
      </c>
      <c r="L5314" s="11">
        <f>HYPERLINK("https://careerviet.vn/vi/tim-viec-lam/sales-agronomist-fertigation-nhan-vien-kinh-doanh-phan-bon-tuoi-nho-giot.35C63848.html","Xem chi tiết")</f>
        <v/>
      </c>
      <c r="M5314" s="10" t="n"/>
    </row>
    <row r="5315">
      <c r="B5315" s="7" t="n">
        <v>5313</v>
      </c>
      <c r="C5315" t="inlineStr">
        <is>
          <t>CHUYÊN VIÊN ĐẤU THẦU</t>
        </is>
      </c>
      <c r="D5315" t="inlineStr">
        <is>
          <t>CÔNG TY CỔ PHẦN THÀNH PHỐ DU LỊCH SINH THÁI SƠN TIÊN</t>
        </is>
      </c>
      <c r="E5315" t="inlineStr">
        <is>
          <t>Lương:20 Tr - 27 Tr VND</t>
        </is>
      </c>
      <c r="F5315" t="inlineStr">
        <is>
          <t>Đồng Nai</t>
        </is>
      </c>
      <c r="G5315" t="inlineStr">
        <is>
          <t>25-03-2026</t>
        </is>
      </c>
      <c r="H5315" t="inlineStr">
        <is>
          <t>25/03/2026</t>
        </is>
      </c>
      <c r="I5315" t="inlineStr">
        <is>
          <t>17/03/2026</t>
        </is>
      </c>
      <c r="J5315" t="inlineStr">
        <is>
          <t>Xây dựng</t>
        </is>
      </c>
      <c r="K5315" t="inlineStr">
        <is>
          <t>Trên 3 Năm</t>
        </is>
      </c>
      <c r="L5315" s="8">
        <f>HYPERLINK("https://careerviet.vn/vi/tim-viec-lam/chuyen-vien-dau-thau.35C63D54.html","Xem chi tiết")</f>
        <v/>
      </c>
    </row>
    <row r="5316">
      <c r="B5316" s="9" t="n">
        <v>5314</v>
      </c>
      <c r="C5316" s="10" t="inlineStr">
        <is>
          <t>TT. Quản trị và Phân tích dữ liệu, Hội sở - CVCC Danh mục dữ liệu &amp; Quản lý meta data</t>
        </is>
      </c>
      <c r="D5316" s="10" t="inlineStr">
        <is>
          <t>Ngân Hàng TMCP Phương Đông - OCB</t>
        </is>
      </c>
      <c r="E5316" s="10" t="inlineStr">
        <is>
          <t>Lương:10 Tr - 12 Tr VND</t>
        </is>
      </c>
      <c r="F5316" s="10" t="inlineStr">
        <is>
          <t>Hồ Chí Minh</t>
        </is>
      </c>
      <c r="G5316" s="10" t="inlineStr">
        <is>
          <t>25-03-2026</t>
        </is>
      </c>
      <c r="H5316" s="10" t="inlineStr">
        <is>
          <t>25/03/2026</t>
        </is>
      </c>
      <c r="I5316" s="10" t="inlineStr">
        <is>
          <t>17/03/2026</t>
        </is>
      </c>
      <c r="J5316" s="10" t="inlineStr">
        <is>
          <t>Ngân hàng, Tài chính / Đầu tư, Thống kê</t>
        </is>
      </c>
      <c r="K5316" s="10" t="inlineStr">
        <is>
          <t>3 - 5 Năm</t>
        </is>
      </c>
      <c r="L5316" s="11">
        <f>HYPERLINK("https://careerviet.vn/vi/tim-viec-lam/tt-quan-tri-va-phan-tich-du-lieu-hoi-so-cvcc-danh-muc-du-lieu-quan-ly-meta-data.35C63CA4.html","Xem chi tiết")</f>
        <v/>
      </c>
      <c r="M5316" s="10" t="n"/>
    </row>
    <row r="5317">
      <c r="B5317" s="7" t="n">
        <v>5315</v>
      </c>
      <c r="C5317" t="inlineStr">
        <is>
          <t>CHUYÊN VIÊN ĐÀO TẠO -- CƠ HỘI PHÁT TRIỂN</t>
        </is>
      </c>
      <c r="D5317" t="inlineStr">
        <is>
          <t>Công ty Cổ phần Tập đoàn Gỗ Minh Long</t>
        </is>
      </c>
      <c r="E5317" t="inlineStr">
        <is>
          <t>Lương:12 Tr - 18 Tr VND</t>
        </is>
      </c>
      <c r="F5317" t="inlineStr">
        <is>
          <t>Hà Nội</t>
        </is>
      </c>
      <c r="G5317" t="inlineStr">
        <is>
          <t>25-03-2026</t>
        </is>
      </c>
      <c r="H5317" t="inlineStr">
        <is>
          <t>25/03/2026</t>
        </is>
      </c>
      <c r="I5317" t="inlineStr">
        <is>
          <t>17/03/2026</t>
        </is>
      </c>
      <c r="J5317" t="inlineStr">
        <is>
          <t>Giáo dục / Đào tạo, Nhân sự</t>
        </is>
      </c>
      <c r="K5317" t="inlineStr">
        <is>
          <t>Trên 2 Năm</t>
        </is>
      </c>
      <c r="L5317" s="8">
        <f>HYPERLINK("https://careerviet.vn/vi/tim-viec-lam/chuyen-vien-dao-tao-co-hoi-phat-trien.35C63E25.html","Xem chi tiết")</f>
        <v/>
      </c>
    </row>
    <row r="5318">
      <c r="B5318" s="9" t="n">
        <v>5316</v>
      </c>
      <c r="C5318" s="10" t="inlineStr">
        <is>
          <t>[GLOBALX-NOVASERVICE] Chuyên Viên Thu Hút Nhân Tài</t>
        </is>
      </c>
      <c r="D5318" s="10" t="inlineStr">
        <is>
          <t>Nova Service Group - Công ty Cổ phần Tập đoàn Nova Services</t>
        </is>
      </c>
      <c r="E5318" s="10" t="inlineStr">
        <is>
          <t>Lương:15 Tr - 18 Tr VND</t>
        </is>
      </c>
      <c r="F5318" s="10" t="inlineStr">
        <is>
          <t>Hồ Chí Minh</t>
        </is>
      </c>
      <c r="G5318" s="10" t="inlineStr">
        <is>
          <t>25-03-2026</t>
        </is>
      </c>
      <c r="H5318" s="10" t="inlineStr">
        <is>
          <t>25/03/2026</t>
        </is>
      </c>
      <c r="I5318" s="10" t="inlineStr">
        <is>
          <t>17/03/2026</t>
        </is>
      </c>
      <c r="J5318" s="10" t="inlineStr">
        <is>
          <t>Nhân sự, Nhà hàng / Khách sạn</t>
        </is>
      </c>
      <c r="K5318" s="10" t="inlineStr">
        <is>
          <t>2 - 3 Năm</t>
        </is>
      </c>
      <c r="L5318" s="11">
        <f>HYPERLINK("https://careerviet.vn/vi/tim-viec-lam/globalx-novaservice-chuyen-vien-thu-hut-nhan-tai.35C63D99.html","Xem chi tiết")</f>
        <v/>
      </c>
      <c r="M5318" s="10" t="n"/>
    </row>
    <row r="5319">
      <c r="B5319" s="7" t="n">
        <v>5317</v>
      </c>
      <c r="C5319" t="inlineStr">
        <is>
          <t>Chuyên viên Dịch vụ và chăm sóc khách hàng 24/7 - Khối Vận hành</t>
        </is>
      </c>
      <c r="D5319" t="inlineStr">
        <is>
          <t>Ngân hàng TMCP Đại Chúng Việt Nam - PVcomBank</t>
        </is>
      </c>
      <c r="E5319" t="inlineStr">
        <is>
          <t>Lương:Cạnh tranh</t>
        </is>
      </c>
      <c r="F5319" t="inlineStr">
        <is>
          <t>Hà Nội</t>
        </is>
      </c>
      <c r="G5319" t="inlineStr">
        <is>
          <t>25-03-2026</t>
        </is>
      </c>
      <c r="H5319" t="inlineStr">
        <is>
          <t>25/03/2026</t>
        </is>
      </c>
      <c r="I5319" t="inlineStr">
        <is>
          <t>17/03/2026</t>
        </is>
      </c>
      <c r="J5319" t="inlineStr">
        <is>
          <t>Bán hàng / Kinh doanh, Ngân hàng, Tài chính / Đầu tư</t>
        </is>
      </c>
      <c r="K5319" t="inlineStr">
        <is>
          <t>1 - 5 Năm</t>
        </is>
      </c>
      <c r="L5319" s="8">
        <f>HYPERLINK("https://careerviet.vn/vi/tim-viec-lam/chuyen-vien-dich-vu-va-cham-soc-khach-hang-24-7-khoi-van-hanh.35C63CEE.html","Xem chi tiết")</f>
        <v/>
      </c>
    </row>
    <row r="5320">
      <c r="B5320" s="9" t="n">
        <v>5318</v>
      </c>
      <c r="C5320" s="10" t="inlineStr">
        <is>
          <t>Giám sát hành chính có Tiếng Trung 27269 - KCN Bàu Bàng, HCM</t>
        </is>
      </c>
      <c r="D5320" s="10" t="inlineStr">
        <is>
          <t>Công Ty TNHH Reeracoen Việt Nam</t>
        </is>
      </c>
      <c r="E5320" s="10" t="inlineStr">
        <is>
          <t>Lương:18 Tr - 25 Tr VND</t>
        </is>
      </c>
      <c r="F5320" s="10" t="inlineStr">
        <is>
          <t>Hồ Chí Minh</t>
        </is>
      </c>
      <c r="G5320" s="10" t="inlineStr">
        <is>
          <t>25-03-2026</t>
        </is>
      </c>
      <c r="H5320" s="10" t="inlineStr">
        <is>
          <t>25/03/2026</t>
        </is>
      </c>
      <c r="I5320" s="10" t="inlineStr">
        <is>
          <t>17/03/2026</t>
        </is>
      </c>
      <c r="J5320" s="10" t="inlineStr">
        <is>
          <t>Hành chính / Thư ký, Quản lý điều hành, Nhân sự</t>
        </is>
      </c>
      <c r="K5320" s="10" t="inlineStr">
        <is>
          <t>Trên 2 Năm</t>
        </is>
      </c>
      <c r="L5320" s="11">
        <f>HYPERLINK("https://careerviet.vn/vi/tim-viec-lam/giam-sat-hanh-chinh-co-tieng-trung-27269-kcn-bau-bang-hcm.35C63D7D.html","Xem chi tiết")</f>
        <v/>
      </c>
      <c r="M5320" s="10" t="n"/>
    </row>
    <row r="5321">
      <c r="B5321" s="7" t="n">
        <v>5319</v>
      </c>
      <c r="C5321" t="inlineStr">
        <is>
          <t>New Business Development Manager</t>
        </is>
      </c>
      <c r="D5321" t="inlineStr">
        <is>
          <t>Huhtamaki (Vietnam) Ltd.</t>
        </is>
      </c>
      <c r="E5321" t="inlineStr">
        <is>
          <t>Lương:Cạnh tranh</t>
        </is>
      </c>
      <c r="F5321" t="inlineStr">
        <is>
          <t>Bình Dương</t>
        </is>
      </c>
      <c r="G5321" t="inlineStr">
        <is>
          <t>25-03-2026</t>
        </is>
      </c>
      <c r="H5321" t="inlineStr">
        <is>
          <t>25/03/2026</t>
        </is>
      </c>
      <c r="I5321" t="inlineStr">
        <is>
          <t>17/03/2026</t>
        </is>
      </c>
      <c r="J5321" t="inlineStr">
        <is>
          <t>Bán hàng / Kinh doanh, Bán Hàng Kỹ Thuật, In ấn / Xuất bản</t>
        </is>
      </c>
      <c r="K5321" t="inlineStr">
        <is>
          <t>7 - 10 Năm</t>
        </is>
      </c>
      <c r="L5321" s="8">
        <f>HYPERLINK("https://careerviet.vn/vi/tim-viec-lam/new-business-development-manager.35C63D98.html","Xem chi tiết")</f>
        <v/>
      </c>
    </row>
    <row r="5322">
      <c r="B5322" s="9" t="n">
        <v>5320</v>
      </c>
      <c r="C5322" s="10" t="inlineStr">
        <is>
          <t>Nhân viên sản xuất 27310 - KCN Nam Cầu Kiền, HP</t>
        </is>
      </c>
      <c r="D5322" s="10" t="inlineStr">
        <is>
          <t>Công Ty TNHH Reeracoen Việt Nam</t>
        </is>
      </c>
      <c r="E5322" s="10" t="inlineStr">
        <is>
          <t>Lương:13 Tr - 16 Tr VND</t>
        </is>
      </c>
      <c r="F5322" s="10" t="inlineStr">
        <is>
          <t>Hải Phòng</t>
        </is>
      </c>
      <c r="G5322" s="10" t="inlineStr">
        <is>
          <t>25-03-2026</t>
        </is>
      </c>
      <c r="H5322" s="10" t="inlineStr">
        <is>
          <t>25/03/2026</t>
        </is>
      </c>
      <c r="I5322" s="10" t="inlineStr">
        <is>
          <t>17/03/2026</t>
        </is>
      </c>
      <c r="J5322" s="10" t="inlineStr">
        <is>
          <t>Cơ khí / Ô tô / Tự động hóa, Bảo trì / Sửa chữa, Sản xuất / Vận hành sản xuất</t>
        </is>
      </c>
      <c r="K5322" s="10" t="inlineStr">
        <is>
          <t>Trên 3 Năm</t>
        </is>
      </c>
      <c r="L5322" s="11">
        <f>HYPERLINK("https://careerviet.vn/vi/tim-viec-lam/nhan-vien-san-xuat-27310-kcn-nam-cau-kien-hp.35C63D2D.html","Xem chi tiết")</f>
        <v/>
      </c>
      <c r="M5322" s="10" t="n"/>
    </row>
    <row r="5323">
      <c r="B5323" s="7" t="n">
        <v>5321</v>
      </c>
      <c r="C5323" t="inlineStr">
        <is>
          <t>Chuyên viên Cao cấp quản lý chất lượng công trình ( Nghiệm thu bàn giao/ Cải tạo)</t>
        </is>
      </c>
      <c r="D5323" t="inlineStr">
        <is>
          <t>BIM Group</t>
        </is>
      </c>
      <c r="E5323" t="inlineStr">
        <is>
          <t>Lương:Cạnh tranh</t>
        </is>
      </c>
      <c r="F5323" t="inlineStr">
        <is>
          <t>Hà Nội</t>
        </is>
      </c>
      <c r="G5323" t="inlineStr">
        <is>
          <t>25-03-2026</t>
        </is>
      </c>
      <c r="H5323" t="inlineStr">
        <is>
          <t>25/03/2026</t>
        </is>
      </c>
      <c r="I5323" t="inlineStr">
        <is>
          <t>17/03/2026</t>
        </is>
      </c>
      <c r="J5323" t="inlineStr">
        <is>
          <t>Quản lý chất lượng (QA/QC), Xây dựng, Bất động sản</t>
        </is>
      </c>
      <c r="K5323" t="inlineStr">
        <is>
          <t>Trên 5 Năm</t>
        </is>
      </c>
      <c r="L5323" s="8">
        <f>HYPERLINK("https://careerviet.vn/vi/tim-viec-lam/chuyen-vien-cao-cap-quan-ly-chat-luong-cong-trinh-nghiem-thu-ban-giao-cai-tao.35C63E00.html","Xem chi tiết")</f>
        <v/>
      </c>
    </row>
    <row r="5324">
      <c r="B5324" s="9" t="n">
        <v>5322</v>
      </c>
      <c r="C5324" s="10" t="inlineStr">
        <is>
          <t>Quản Lý Quy Trình Sản Xuất</t>
        </is>
      </c>
      <c r="D5324" s="10" t="inlineStr">
        <is>
          <t>CÔNG TY TNHH SHEH FUNG SCREWS VIỆT NAM</t>
        </is>
      </c>
      <c r="E5324" s="10" t="inlineStr">
        <is>
          <t>Lương:Cạnh tranh</t>
        </is>
      </c>
      <c r="F5324" s="10" t="inlineStr">
        <is>
          <t>Bình Thuận</t>
        </is>
      </c>
      <c r="G5324" s="10" t="inlineStr">
        <is>
          <t>25-03-2026</t>
        </is>
      </c>
      <c r="H5324" s="10" t="inlineStr">
        <is>
          <t>25/03/2026</t>
        </is>
      </c>
      <c r="I5324" s="10" t="inlineStr">
        <is>
          <t>17/03/2026</t>
        </is>
      </c>
      <c r="J5324" s="10" t="inlineStr">
        <is>
          <t>Sản xuất / Vận hành sản xuất, Bảo trì / Sửa chữa, Bán Hàng Kỹ Thuật</t>
        </is>
      </c>
      <c r="K5324" s="10" t="inlineStr">
        <is>
          <t>Chưa có kinh nghiệm</t>
        </is>
      </c>
      <c r="L5324" s="11">
        <f>HYPERLINK("https://careerviet.vn/vi/tim-viec-lam/quan-ly-quy-trinh-san-xuat.35C63DE8.html","Xem chi tiết")</f>
        <v/>
      </c>
      <c r="M5324" s="10" t="n"/>
    </row>
    <row r="5325">
      <c r="B5325" s="7" t="n">
        <v>5323</v>
      </c>
      <c r="C5325" t="inlineStr">
        <is>
          <t>Nhân viên Trợ lý dự án</t>
        </is>
      </c>
      <c r="D5325" t="inlineStr">
        <is>
          <t>Công ty cổ phần Tập đoàn Trường Thành Việt Nam</t>
        </is>
      </c>
      <c r="E5325" t="inlineStr">
        <is>
          <t>Lương:15 Tr - 25 Tr VND</t>
        </is>
      </c>
      <c r="F5325" t="inlineStr">
        <is>
          <t>Vĩnh Long</t>
        </is>
      </c>
      <c r="G5325" t="inlineStr">
        <is>
          <t>25-03-2026</t>
        </is>
      </c>
      <c r="H5325" t="inlineStr">
        <is>
          <t>25/03/2026</t>
        </is>
      </c>
      <c r="I5325" t="inlineStr">
        <is>
          <t>17/03/2026</t>
        </is>
      </c>
      <c r="J5325" t="inlineStr">
        <is>
          <t>Hành chính / Thư ký, Biên phiên dịch</t>
        </is>
      </c>
      <c r="K5325" t="inlineStr">
        <is>
          <t>1 - 3 Năm</t>
        </is>
      </c>
      <c r="L5325" s="8">
        <f>HYPERLINK("https://careerviet.vn/vi/tim-viec-lam/nhan-vien-tro-ly-du-an.35C63E1C.html","Xem chi tiết")</f>
        <v/>
      </c>
    </row>
    <row r="5326">
      <c r="B5326" s="9" t="n">
        <v>5324</v>
      </c>
      <c r="C5326" s="10" t="inlineStr">
        <is>
          <t>Chuyên Viên Mua Hàng  (Tiếng Trung HSK5)</t>
        </is>
      </c>
      <c r="D5326" s="10" t="inlineStr">
        <is>
          <t>Công Ty TNHH Thương Mại Xuất Nhập Khẩu Fani</t>
        </is>
      </c>
      <c r="E5326" s="10" t="inlineStr">
        <is>
          <t>Lương:13 Tr - 21 Tr VND</t>
        </is>
      </c>
      <c r="F5326" s="10" t="inlineStr">
        <is>
          <t>Hà Nội</t>
        </is>
      </c>
      <c r="G5326" s="10" t="inlineStr">
        <is>
          <t>25-03-2026</t>
        </is>
      </c>
      <c r="H5326" s="10" t="inlineStr">
        <is>
          <t>25/03/2026</t>
        </is>
      </c>
      <c r="I5326" s="10" t="inlineStr">
        <is>
          <t>17/03/2026</t>
        </is>
      </c>
      <c r="J5326" s="10" t="inlineStr">
        <is>
          <t>Thu mua / Vật tư, Bán lẻ / Bán sỉ, Thương mại điện tử</t>
        </is>
      </c>
      <c r="K5326" s="10" t="inlineStr">
        <is>
          <t>2 - 5 Năm</t>
        </is>
      </c>
      <c r="L5326" s="11">
        <f>HYPERLINK("https://careerviet.vn/vi/tim-viec-lam/chuyen-vien-mua-hang-tieng-trung-hsk5.35C63D72.html","Xem chi tiết")</f>
        <v/>
      </c>
      <c r="M5326" s="10" t="n"/>
    </row>
    <row r="5327">
      <c r="B5327" s="7" t="n">
        <v>5325</v>
      </c>
      <c r="C5327" t="inlineStr">
        <is>
          <t>Nhân Viên Bảo Trì Cấp Cao - Sửa Bo Mạch Máy May</t>
        </is>
      </c>
      <c r="D5327" t="inlineStr">
        <is>
          <t>CÔNG TY TNHH ORIENTAL GARMENT AN GIANG</t>
        </is>
      </c>
      <c r="E5327" t="inlineStr">
        <is>
          <t>Lương:15 Tr - 30 Tr VND</t>
        </is>
      </c>
      <c r="F5327" t="inlineStr">
        <is>
          <t>An Giang</t>
        </is>
      </c>
      <c r="G5327" t="inlineStr">
        <is>
          <t>25-03-2026</t>
        </is>
      </c>
      <c r="H5327" t="inlineStr">
        <is>
          <t>25/03/2026</t>
        </is>
      </c>
      <c r="I5327" t="inlineStr">
        <is>
          <t>17/03/2026</t>
        </is>
      </c>
      <c r="J5327" t="inlineStr">
        <is>
          <t>Điện / Điện tử / Điện lạnh / Điện công nghiệp, Bảo trì / Sửa chữa, Dệt may / Da giày / Thời trang</t>
        </is>
      </c>
      <c r="K5327" t="inlineStr">
        <is>
          <t>1 - 3 Năm</t>
        </is>
      </c>
      <c r="L5327" s="8">
        <f>HYPERLINK("https://careerviet.vn/vi/tim-viec-lam/nhan-vien-bao-tri-cap-cao-sua-bo-mach-may-may.35C63D00.html","Xem chi tiết")</f>
        <v/>
      </c>
    </row>
    <row r="5328">
      <c r="B5328" s="9" t="n">
        <v>5326</v>
      </c>
      <c r="C5328" s="10" t="inlineStr">
        <is>
          <t>Giám đốc Sản xuất</t>
        </is>
      </c>
      <c r="D5328" s="10" t="inlineStr">
        <is>
          <t>CÔNG TY TNHH ORIENTAL GARMENT AN GIANG</t>
        </is>
      </c>
      <c r="E5328" s="10" t="inlineStr">
        <is>
          <t>Lương:30 Tr - 40 Tr VND</t>
        </is>
      </c>
      <c r="F5328" s="10" t="inlineStr">
        <is>
          <t>An Giang</t>
        </is>
      </c>
      <c r="G5328" s="10" t="inlineStr">
        <is>
          <t>25-03-2026</t>
        </is>
      </c>
      <c r="H5328" s="10" t="inlineStr">
        <is>
          <t>25/03/2026</t>
        </is>
      </c>
      <c r="I5328" s="10" t="inlineStr">
        <is>
          <t>17/03/2026</t>
        </is>
      </c>
      <c r="J5328" s="10" t="inlineStr">
        <is>
          <t>Dệt may / Da giày / Thời trang</t>
        </is>
      </c>
      <c r="K5328" s="10" t="inlineStr">
        <is>
          <t>5 - 10 Năm</t>
        </is>
      </c>
      <c r="L5328" s="11">
        <f>HYPERLINK("https://careerviet.vn/vi/tim-viec-lam/giam-doc-san-xuat.35C63CF7.html","Xem chi tiết")</f>
        <v/>
      </c>
      <c r="M5328" s="10" t="n"/>
    </row>
    <row r="5329">
      <c r="B5329" s="7" t="n">
        <v>5327</v>
      </c>
      <c r="C5329" t="inlineStr">
        <is>
          <t>Nhân viên QA/QC 27253 - KCN Bàu Bàng, HCM</t>
        </is>
      </c>
      <c r="D5329" t="inlineStr">
        <is>
          <t>Công Ty TNHH Reeracoen Việt Nam</t>
        </is>
      </c>
      <c r="E5329" t="inlineStr">
        <is>
          <t>Lương:15 Tr - 25 Tr VND</t>
        </is>
      </c>
      <c r="F5329" t="inlineStr">
        <is>
          <t>Hồ Chí Minh</t>
        </is>
      </c>
      <c r="G5329" t="inlineStr">
        <is>
          <t>25-03-2026</t>
        </is>
      </c>
      <c r="H5329" t="inlineStr">
        <is>
          <t>25/03/2026</t>
        </is>
      </c>
      <c r="I5329" t="inlineStr">
        <is>
          <t>17/03/2026</t>
        </is>
      </c>
      <c r="J5329" t="inlineStr">
        <is>
          <t>Điện / Điện tử / Điện lạnh / Điện công nghiệp, Sản xuất / Vận hành sản xuất, Quản lý chất lượng (QA/QC)</t>
        </is>
      </c>
      <c r="K5329" t="inlineStr">
        <is>
          <t>Trên 3 Năm</t>
        </is>
      </c>
      <c r="L5329" s="8">
        <f>HYPERLINK("https://careerviet.vn/vi/tim-viec-lam/nhan-vien-qa-qc-27253-kcn-bau-bang-hcm.35C63D2F.html","Xem chi tiết")</f>
        <v/>
      </c>
    </row>
    <row r="5330">
      <c r="B5330" s="9" t="n">
        <v>5328</v>
      </c>
      <c r="C5330" s="10" t="inlineStr">
        <is>
          <t>Mobile (Flutter)</t>
        </is>
      </c>
      <c r="D5330" s="10" t="inlineStr">
        <is>
          <t>CÔNG TY CỔ PHẦN DƯỢC PHẨM FPT LONG CHÂU</t>
        </is>
      </c>
      <c r="E5330" s="10" t="inlineStr">
        <is>
          <t>Lương:Cạnh tranh</t>
        </is>
      </c>
      <c r="F5330" s="10" t="inlineStr">
        <is>
          <t>Hồ Chí Minh</t>
        </is>
      </c>
      <c r="G5330" s="10" t="inlineStr">
        <is>
          <t>25-03-2026</t>
        </is>
      </c>
      <c r="H5330" s="10" t="inlineStr">
        <is>
          <t>25/03/2026</t>
        </is>
      </c>
      <c r="I5330" s="10" t="inlineStr">
        <is>
          <t>17/03/2026</t>
        </is>
      </c>
      <c r="J5330" s="10" t="inlineStr">
        <is>
          <t>Bán hàng / Kinh doanh, Y tế / Chăm sóc sức khỏe / Thẩm mỹ / Làm đẹp, CNTT - Phần mềm</t>
        </is>
      </c>
      <c r="K5330" s="10" t="inlineStr">
        <is>
          <t>3 - 5 Năm</t>
        </is>
      </c>
      <c r="L5330" s="11">
        <f>HYPERLINK("https://careerviet.vn/vi/tim-viec-lam/mobile-flutter.35C63D9B.html","Xem chi tiết")</f>
        <v/>
      </c>
      <c r="M5330" s="10" t="n"/>
    </row>
    <row r="5331">
      <c r="B5331" s="7" t="n">
        <v>5329</v>
      </c>
      <c r="C5331" t="inlineStr">
        <is>
          <t>Chuyên viên Giám sát MEP</t>
        </is>
      </c>
      <c r="D5331" t="inlineStr">
        <is>
          <t>Tập Đoàn CT Group Việt Nam</t>
        </is>
      </c>
      <c r="E5331" t="inlineStr">
        <is>
          <t>Lương:20 Tr - 25 Tr VND</t>
        </is>
      </c>
      <c r="F5331" t="inlineStr">
        <is>
          <t>Hồ Chí Minh</t>
        </is>
      </c>
      <c r="G5331" t="inlineStr">
        <is>
          <t>25-03-2026</t>
        </is>
      </c>
      <c r="H5331" t="inlineStr">
        <is>
          <t>25/03/2026</t>
        </is>
      </c>
      <c r="I5331" t="inlineStr">
        <is>
          <t>17/03/2026</t>
        </is>
      </c>
      <c r="J5331" t="inlineStr">
        <is>
          <t>Cơ khí / Ô tô / Tự động hóa, Xây dựng, Bất động sản</t>
        </is>
      </c>
      <c r="K5331" t="inlineStr">
        <is>
          <t>3 - 5 Năm</t>
        </is>
      </c>
      <c r="L5331" s="8">
        <f>HYPERLINK("https://careerviet.vn/vi/tim-viec-lam/chuyen-vien-giam-sat-mep.35C63C89.html","Xem chi tiết")</f>
        <v/>
      </c>
    </row>
    <row r="5332">
      <c r="B5332" s="9" t="n">
        <v>5330</v>
      </c>
      <c r="C5332" s="10" t="inlineStr">
        <is>
          <t>Kế Toán Giá Thành</t>
        </is>
      </c>
      <c r="D5332" s="10" t="inlineStr">
        <is>
          <t>Công Ty TNHH Bao Bì Nhựa Thành Phú</t>
        </is>
      </c>
      <c r="E5332" s="10" t="inlineStr">
        <is>
          <t>Lương:Cạnh tranh</t>
        </is>
      </c>
      <c r="F5332" s="10" t="inlineStr">
        <is>
          <t>Hồ Chí MinhLong An</t>
        </is>
      </c>
      <c r="G5332" s="10" t="inlineStr">
        <is>
          <t>25-03-2026</t>
        </is>
      </c>
      <c r="H5332" s="10" t="inlineStr">
        <is>
          <t>25/03/2026</t>
        </is>
      </c>
      <c r="I5332" s="10" t="inlineStr">
        <is>
          <t>17/03/2026</t>
        </is>
      </c>
      <c r="J5332" s="10" t="inlineStr">
        <is>
          <t>Kế toán / Kiểm toán, Ngân hàng, Tài chính / Đầu tư</t>
        </is>
      </c>
      <c r="K5332" s="10" t="inlineStr">
        <is>
          <t>4 - 8 Năm</t>
        </is>
      </c>
      <c r="L5332" s="11">
        <f>HYPERLINK("https://careerviet.vn/vi/tim-viec-lam/ke-toan-gia-thanh.35C63DCE.html","Xem chi tiết")</f>
        <v/>
      </c>
      <c r="M5332" s="10" t="n"/>
    </row>
    <row r="5333">
      <c r="B5333" s="7" t="n">
        <v>5331</v>
      </c>
      <c r="C5333" t="inlineStr">
        <is>
          <t>Chuyên Viên Định Giá Tài Sản Tại Thanh Hóa</t>
        </is>
      </c>
      <c r="D5333" t="inlineStr">
        <is>
          <t>NGÂN HÀNG TMCP NGOẠI THƯƠNG VIỆT NAM (VIETCOMBANK)</t>
        </is>
      </c>
      <c r="E5333" t="inlineStr">
        <is>
          <t>Lương:Cạnh tranh</t>
        </is>
      </c>
      <c r="F5333" t="inlineStr">
        <is>
          <t>Thanh Hóa</t>
        </is>
      </c>
      <c r="G5333" t="inlineStr">
        <is>
          <t>25-03-2026</t>
        </is>
      </c>
      <c r="H5333" t="inlineStr">
        <is>
          <t>25/03/2026</t>
        </is>
      </c>
      <c r="I5333" t="inlineStr">
        <is>
          <t>17/03/2026</t>
        </is>
      </c>
      <c r="J5333" t="inlineStr">
        <is>
          <t>Luật / Pháp lý, Ngân hàng, Tài chính / Đầu tư</t>
        </is>
      </c>
      <c r="K5333" t="inlineStr">
        <is>
          <t>2 - 3 Năm</t>
        </is>
      </c>
      <c r="L5333" s="8">
        <f>HYPERLINK("https://careerviet.vn/vi/tim-viec-lam/chuyen-vien-dinh-gia-tai-san-tai-thanh-hoa.35C63E48.html","Xem chi tiết")</f>
        <v/>
      </c>
    </row>
    <row r="5334">
      <c r="B5334" s="9" t="n">
        <v>5332</v>
      </c>
      <c r="C5334" s="10" t="inlineStr">
        <is>
          <t>Chuyên viên cao cấp Quản lý trải nghiệm khách hàng</t>
        </is>
      </c>
      <c r="D5334" s="10" t="inlineStr">
        <is>
          <t>BIM Group</t>
        </is>
      </c>
      <c r="E5334" s="10" t="inlineStr">
        <is>
          <t>Lương:Cạnh tranh</t>
        </is>
      </c>
      <c r="F5334" s="10" t="inlineStr">
        <is>
          <t>Hà Nội</t>
        </is>
      </c>
      <c r="G5334" s="10" t="inlineStr">
        <is>
          <t>25-03-2026</t>
        </is>
      </c>
      <c r="H5334" s="10" t="inlineStr">
        <is>
          <t>25/03/2026</t>
        </is>
      </c>
      <c r="I5334" s="10" t="inlineStr">
        <is>
          <t>17/03/2026</t>
        </is>
      </c>
      <c r="J5334" s="10" t="inlineStr">
        <is>
          <t>Dịch vụ khách hàng, Quản lý chất lượng (QA/QC), Bất động sản</t>
        </is>
      </c>
      <c r="K5334" s="10" t="inlineStr">
        <is>
          <t>Trên 5 Năm</t>
        </is>
      </c>
      <c r="L5334" s="11">
        <f>HYPERLINK("https://careerviet.vn/vi/tim-viec-lam/chuyen-vien-cao-cap-quan-ly-trai-nghiem-khach-hang.35C63E11.html","Xem chi tiết")</f>
        <v/>
      </c>
      <c r="M5334" s="10" t="n"/>
    </row>
    <row r="5335">
      <c r="B5335" s="7" t="n">
        <v>5333</v>
      </c>
      <c r="C5335" t="inlineStr">
        <is>
          <t>Kỹ sư thiết kế bao bì 27312 - Yên Phong, Bắc Ninh (có xe đưa đón từ HN)</t>
        </is>
      </c>
      <c r="D5335" t="inlineStr">
        <is>
          <t>Công Ty TNHH Reeracoen Việt Nam</t>
        </is>
      </c>
      <c r="E5335" t="inlineStr">
        <is>
          <t>Lương:20,8 Tr - 26 Tr VND</t>
        </is>
      </c>
      <c r="F5335" t="inlineStr">
        <is>
          <t>Bắc Ninh</t>
        </is>
      </c>
      <c r="G5335" t="inlineStr">
        <is>
          <t>25-03-2026</t>
        </is>
      </c>
      <c r="H5335" t="inlineStr">
        <is>
          <t>25/03/2026</t>
        </is>
      </c>
      <c r="I5335" t="inlineStr">
        <is>
          <t>17/03/2026</t>
        </is>
      </c>
      <c r="J5335" t="inlineStr">
        <is>
          <t>Mỹ thuật / Nghệ thuật / Thiết kế, Quản lý chất lượng (QA/QC)</t>
        </is>
      </c>
      <c r="K5335" t="inlineStr">
        <is>
          <t>Trên 2 Năm</t>
        </is>
      </c>
      <c r="L5335" s="8">
        <f>HYPERLINK("https://careerviet.vn/vi/tim-viec-lam/ky-su-thiet-ke-bao-bi-27312-yen-phong-bac-ninh-co-xe-dua-don-tu-hn.35C638A8.html","Xem chi tiết")</f>
        <v/>
      </c>
    </row>
    <row r="5336">
      <c r="B5336" s="9" t="n">
        <v>5334</v>
      </c>
      <c r="C5336" s="10" t="inlineStr">
        <is>
          <t>TT. Quản trị và Phân tích dữ liệu, Hội sở - CVCC Kiến trúc và nền tảng dữ liệu</t>
        </is>
      </c>
      <c r="D5336" s="10" t="inlineStr">
        <is>
          <t>Ngân Hàng TMCP Phương Đông - OCB</t>
        </is>
      </c>
      <c r="E5336" s="10" t="inlineStr">
        <is>
          <t>Lương:Cạnh tranh</t>
        </is>
      </c>
      <c r="F5336" s="10" t="inlineStr">
        <is>
          <t>Hồ Chí Minh</t>
        </is>
      </c>
      <c r="G5336" s="10" t="inlineStr">
        <is>
          <t>25-03-2026</t>
        </is>
      </c>
      <c r="H5336" s="10" t="inlineStr">
        <is>
          <t>25/03/2026</t>
        </is>
      </c>
      <c r="I5336" s="10" t="inlineStr">
        <is>
          <t>17/03/2026</t>
        </is>
      </c>
      <c r="J5336" s="10" t="inlineStr">
        <is>
          <t>Ngân hàng, Thống kê, CNTT - Phần mềm</t>
        </is>
      </c>
      <c r="K5336" s="10" t="inlineStr">
        <is>
          <t>3 - 5 Năm</t>
        </is>
      </c>
      <c r="L5336" s="11">
        <f>HYPERLINK("https://careerviet.vn/vi/tim-viec-lam/tt-quan-tri-va-phan-tich-du-lieu-hoi-so-cvcc-kien-truc-va-nen-tang-du-lieu.35C63C8E.html","Xem chi tiết")</f>
        <v/>
      </c>
      <c r="M5336" s="10" t="n"/>
    </row>
    <row r="5337">
      <c r="B5337" s="7" t="n">
        <v>5335</v>
      </c>
      <c r="C5337" t="inlineStr">
        <is>
          <t>Nhân viên kinh doanh</t>
        </is>
      </c>
      <c r="D5337" t="inlineStr">
        <is>
          <t>Công ty Cổ Phần Kiến trúc Nội thất Châu Âu</t>
        </is>
      </c>
      <c r="E5337" t="inlineStr">
        <is>
          <t>Lương:8 Tr - 15 Tr VND</t>
        </is>
      </c>
      <c r="F5337" t="inlineStr">
        <is>
          <t>Hải Phòng</t>
        </is>
      </c>
      <c r="G5337" t="inlineStr">
        <is>
          <t>25-03-2026</t>
        </is>
      </c>
      <c r="H5337" t="inlineStr">
        <is>
          <t>25/03/2026</t>
        </is>
      </c>
      <c r="I5337" t="inlineStr">
        <is>
          <t>17/03/2026</t>
        </is>
      </c>
      <c r="J5337" t="inlineStr">
        <is>
          <t>Xây dựng</t>
        </is>
      </c>
      <c r="K5337" t="inlineStr">
        <is>
          <t>N/A</t>
        </is>
      </c>
      <c r="L5337" s="8">
        <f>HYPERLINK("https://careerviet.vn/vi/tim-viec-lam/nhan-vien-kinh-doanh.35C63CE9.html","Xem chi tiết")</f>
        <v/>
      </c>
    </row>
    <row r="5338">
      <c r="B5338" s="9" t="n">
        <v>5336</v>
      </c>
      <c r="C5338" s="10" t="inlineStr">
        <is>
          <t>Khối Quản lý rủi ro, Hội sở - Chuyên gia/TBP QLRR tín dụng doanh nghiệp (chính sách tín dụng KHDN)</t>
        </is>
      </c>
      <c r="D5338" s="10" t="inlineStr">
        <is>
          <t>Ngân Hàng TMCP Phương Đông - OCB</t>
        </is>
      </c>
      <c r="E5338" s="10" t="inlineStr">
        <is>
          <t>Lương:Cạnh tranh</t>
        </is>
      </c>
      <c r="F5338" s="10" t="inlineStr">
        <is>
          <t>Hồ Chí Minh</t>
        </is>
      </c>
      <c r="G5338" s="10" t="inlineStr">
        <is>
          <t>25-03-2026</t>
        </is>
      </c>
      <c r="H5338" s="10" t="inlineStr">
        <is>
          <t>25/03/2026</t>
        </is>
      </c>
      <c r="I5338" s="10" t="inlineStr">
        <is>
          <t>17/03/2026</t>
        </is>
      </c>
      <c r="J5338" s="10" t="inlineStr">
        <is>
          <t>Bán lẻ / Bán sỉ, Luật / Pháp lý, Ngân hàng</t>
        </is>
      </c>
      <c r="K5338" s="10" t="inlineStr">
        <is>
          <t>5 - 7 Năm</t>
        </is>
      </c>
      <c r="L5338" s="11">
        <f>HYPERLINK("https://careerviet.vn/vi/tim-viec-lam/khoi-quan-ly-rui-ro-hoi-so-chuyen-gia-tbp-qlrr-tin-dung-doanh-nghiep-chinh-sach-tin-dung-khdn.35C63CC9.html","Xem chi tiết")</f>
        <v/>
      </c>
      <c r="M5338" s="10" t="n"/>
    </row>
    <row r="5339">
      <c r="B5339" s="7" t="n">
        <v>5337</v>
      </c>
      <c r="C5339" t="inlineStr">
        <is>
          <t>Chuyên Viên Điều Hành Vận Tải</t>
        </is>
      </c>
      <c r="D5339" t="inlineStr">
        <is>
          <t>CÔNG TY CỔ PHẦN DI CHUYỂN VÀ THÔNG MINH GSM</t>
        </is>
      </c>
      <c r="E5339" t="inlineStr">
        <is>
          <t>Lương:Cạnh tranh</t>
        </is>
      </c>
      <c r="F5339" t="inlineStr">
        <is>
          <t>Hà Nội</t>
        </is>
      </c>
      <c r="G5339" t="inlineStr">
        <is>
          <t>25-03-2026</t>
        </is>
      </c>
      <c r="H5339" t="inlineStr">
        <is>
          <t>25/03/2026</t>
        </is>
      </c>
      <c r="I5339" t="inlineStr">
        <is>
          <t>17/03/2026</t>
        </is>
      </c>
      <c r="J5339" t="inlineStr">
        <is>
          <t>Vận chuyển / Giao nhận / Kho vận, Dịch vụ khách hàng, Quản lý điều hành</t>
        </is>
      </c>
      <c r="K5339" t="inlineStr">
        <is>
          <t>Trên 1 Năm</t>
        </is>
      </c>
      <c r="L5339" s="8">
        <f>HYPERLINK("https://careerviet.vn/vi/tim-viec-lam/chuyen-vien-dieu-hanh-van-tai.35C63CD4.html","Xem chi tiết")</f>
        <v/>
      </c>
    </row>
    <row r="5340">
      <c r="B5340" s="9" t="n">
        <v>5338</v>
      </c>
      <c r="C5340" s="10" t="inlineStr">
        <is>
          <t>IT Governance Specialist</t>
        </is>
      </c>
      <c r="D5340" s="10" t="inlineStr">
        <is>
          <t>FE CREDIT</t>
        </is>
      </c>
      <c r="E5340" s="10" t="inlineStr">
        <is>
          <t>Lương:800 - 1.100 USD</t>
        </is>
      </c>
      <c r="F5340" s="10" t="inlineStr">
        <is>
          <t>Hồ Chí Minh</t>
        </is>
      </c>
      <c r="G5340" s="10" t="inlineStr">
        <is>
          <t>25-03-2026</t>
        </is>
      </c>
      <c r="H5340" s="10" t="inlineStr">
        <is>
          <t>25/03/2026</t>
        </is>
      </c>
      <c r="I5340" s="10" t="inlineStr">
        <is>
          <t>17/03/2026</t>
        </is>
      </c>
      <c r="J5340" s="10" t="inlineStr">
        <is>
          <t>Ngân hàng, Kế toán / Kiểm toán, Luật / Pháp lý</t>
        </is>
      </c>
      <c r="K5340" s="10" t="inlineStr">
        <is>
          <t>2 - 3 Năm</t>
        </is>
      </c>
      <c r="L5340" s="11">
        <f>HYPERLINK("https://careerviet.vn/vi/tim-viec-lam/it-governance-specialist.35C63CEF.html","Xem chi tiết")</f>
        <v/>
      </c>
      <c r="M5340" s="10" t="n"/>
    </row>
    <row r="5341">
      <c r="B5341" s="7" t="n">
        <v>5339</v>
      </c>
      <c r="C5341" t="inlineStr">
        <is>
          <t>TT. Quản trị và Phân tích dữ liệu, Hội sở - CVCC Bảo vệ dữ liệu và quyền riêng tư</t>
        </is>
      </c>
      <c r="D5341" t="inlineStr">
        <is>
          <t>Ngân Hàng TMCP Phương Đông - OCB</t>
        </is>
      </c>
      <c r="E5341" t="inlineStr">
        <is>
          <t>Lương:Cạnh tranh</t>
        </is>
      </c>
      <c r="F5341" t="inlineStr">
        <is>
          <t>Hồ Chí Minh</t>
        </is>
      </c>
      <c r="G5341" t="inlineStr">
        <is>
          <t>25-03-2026</t>
        </is>
      </c>
      <c r="H5341" t="inlineStr">
        <is>
          <t>25/03/2026</t>
        </is>
      </c>
      <c r="I5341" t="inlineStr">
        <is>
          <t>17/03/2026</t>
        </is>
      </c>
      <c r="J5341" t="inlineStr">
        <is>
          <t>Luật / Pháp lý, Ngân hàng, CNTT - Phần mềm</t>
        </is>
      </c>
      <c r="K5341" t="inlineStr">
        <is>
          <t>3 - 5 Năm</t>
        </is>
      </c>
      <c r="L5341" s="8">
        <f>HYPERLINK("https://careerviet.vn/vi/tim-viec-lam/tt-quan-tri-va-phan-tich-du-lieu-hoi-so-cvcc-bao-ve-du-lieu-va-quyen-rieng-tu.35C63C95.html","Xem chi tiết")</f>
        <v/>
      </c>
    </row>
    <row r="5342">
      <c r="B5342" s="9" t="n">
        <v>5340</v>
      </c>
      <c r="C5342" s="10" t="inlineStr">
        <is>
          <t>Talent Manager (UNIMEDIA)</t>
        </is>
      </c>
      <c r="D5342" s="10" t="inlineStr">
        <is>
          <t>UNIMEDIA VIỆT NAM</t>
        </is>
      </c>
      <c r="E5342" s="10" t="inlineStr">
        <is>
          <t>Lương:Cạnh tranh</t>
        </is>
      </c>
      <c r="F5342" s="10" t="inlineStr">
        <is>
          <t>Hồ Chí Minh</t>
        </is>
      </c>
      <c r="G5342" s="10" t="inlineStr">
        <is>
          <t>25-03-2026</t>
        </is>
      </c>
      <c r="H5342" s="10" t="inlineStr">
        <is>
          <t>25/03/2026</t>
        </is>
      </c>
      <c r="I5342" s="10" t="inlineStr">
        <is>
          <t>17/03/2026</t>
        </is>
      </c>
      <c r="J5342" s="10" t="inlineStr">
        <is>
          <t>Giải trí, Quảng cáo / Đối ngoại / Truyền Thông, Tổ chức sự kiện</t>
        </is>
      </c>
      <c r="K5342" s="10" t="inlineStr">
        <is>
          <t>3 - 5 Năm</t>
        </is>
      </c>
      <c r="L5342" s="11">
        <f>HYPERLINK("https://careerviet.vn/vi/tim-viec-lam/talent-manager-unimedia.35C6680B.html","Xem chi tiết")</f>
        <v/>
      </c>
      <c r="M5342" s="10" t="n"/>
    </row>
    <row r="5343">
      <c r="B5343" s="7" t="n">
        <v>5341</v>
      </c>
      <c r="C5343" t="inlineStr">
        <is>
          <t>Marketing Leader [UNIMEDIA]</t>
        </is>
      </c>
      <c r="D5343" t="inlineStr">
        <is>
          <t>CÔNG TY CP TẬP ĐOÀN ĐẦU TƯ HOÀNG GIA VIỆT NAM</t>
        </is>
      </c>
      <c r="E5343" t="inlineStr">
        <is>
          <t>Lương:Cạnh tranh</t>
        </is>
      </c>
      <c r="F5343" t="inlineStr">
        <is>
          <t>Hồ Chí Minh</t>
        </is>
      </c>
      <c r="G5343" t="inlineStr">
        <is>
          <t>25-03-2026</t>
        </is>
      </c>
      <c r="H5343" t="inlineStr">
        <is>
          <t>25/03/2026</t>
        </is>
      </c>
      <c r="I5343" t="inlineStr">
        <is>
          <t>17/03/2026</t>
        </is>
      </c>
      <c r="J5343" t="inlineStr">
        <is>
          <t>Giải trí, Quảng cáo / Đối ngoại / Truyền Thông, Tổ chức sự kiện</t>
        </is>
      </c>
      <c r="K5343" t="inlineStr">
        <is>
          <t>3 - 5 Năm</t>
        </is>
      </c>
      <c r="L5343" s="8">
        <f>HYPERLINK("https://careerviet.vn/vi/tim-viec-lam/marketing-leader-unimedia.35C6680C.html","Xem chi tiết")</f>
        <v/>
      </c>
    </row>
    <row r="5344">
      <c r="B5344" s="9" t="n">
        <v>5342</v>
      </c>
      <c r="C5344" s="10" t="inlineStr">
        <is>
          <t>Trợ lý kinh doanh có Tiếng Nhật 27252 - KCN Bàu Bàng, HCM</t>
        </is>
      </c>
      <c r="D5344" s="10" t="inlineStr">
        <is>
          <t>Công Ty TNHH Reeracoen Việt Nam</t>
        </is>
      </c>
      <c r="E5344" s="10" t="inlineStr">
        <is>
          <t>Lương:15 Tr - 20 Tr VND</t>
        </is>
      </c>
      <c r="F5344" s="10" t="inlineStr">
        <is>
          <t>Hồ Chí Minh</t>
        </is>
      </c>
      <c r="G5344" s="10" t="inlineStr">
        <is>
          <t>25-03-2026</t>
        </is>
      </c>
      <c r="H5344" s="10" t="inlineStr">
        <is>
          <t>25/03/2026</t>
        </is>
      </c>
      <c r="I5344" s="10" t="inlineStr">
        <is>
          <t>17/03/2026</t>
        </is>
      </c>
      <c r="J5344" s="10" t="inlineStr">
        <is>
          <t>Bán hàng / Kinh doanh, Hành chính / Thư ký, Biên phiên dịch</t>
        </is>
      </c>
      <c r="K5344" s="10" t="inlineStr">
        <is>
          <t>Trên 2 Năm</t>
        </is>
      </c>
      <c r="L5344" s="11">
        <f>HYPERLINK("https://careerviet.vn/vi/tim-viec-lam/tro-ly-kinh-doanh-co-tieng-nhat-27252-kcn-bau-bang-hcm.35C63D89.html","Xem chi tiết")</f>
        <v/>
      </c>
      <c r="M5344" s="10" t="n"/>
    </row>
    <row r="5345">
      <c r="B5345" s="7" t="n">
        <v>5343</v>
      </c>
      <c r="C5345" t="inlineStr">
        <is>
          <t>Nhân Viên Sản Xuất Nội Dung Đa Nền Tảng (Content Creator)</t>
        </is>
      </c>
      <c r="D5345" t="inlineStr">
        <is>
          <t>CÔNG TY CỔ PHẦN CHẾ BIẾN THỰC PHẨM NAM SÀI GÒN</t>
        </is>
      </c>
      <c r="E5345" t="inlineStr">
        <is>
          <t>Lương:8 Tr - 12 Tr VND</t>
        </is>
      </c>
      <c r="F5345" t="inlineStr">
        <is>
          <t>Long An</t>
        </is>
      </c>
      <c r="G5345" t="inlineStr">
        <is>
          <t>25-03-2026</t>
        </is>
      </c>
      <c r="H5345" t="inlineStr">
        <is>
          <t>25/03/2026</t>
        </is>
      </c>
      <c r="I5345" t="inlineStr">
        <is>
          <t>17/03/2026</t>
        </is>
      </c>
      <c r="J5345" t="inlineStr">
        <is>
          <t>Tiếp thị / Marketing, Thương mại điện tử, Quảng cáo / Đối ngoại / Truyền Thông</t>
        </is>
      </c>
      <c r="K5345" t="inlineStr">
        <is>
          <t>Trên 2 Năm</t>
        </is>
      </c>
      <c r="L5345" s="8">
        <f>HYPERLINK("https://careerviet.vn/vi/tim-viec-lam/nhan-vien-san-xuat-noi-dung-da-nen-tang-content-creator.35C63D07.html","Xem chi tiết")</f>
        <v/>
      </c>
    </row>
    <row r="5346">
      <c r="B5346" s="9" t="n">
        <v>5344</v>
      </c>
      <c r="C5346" s="10" t="inlineStr">
        <is>
          <t>Chuyên Viên Kế Toán (Nhà Cung Cấp)</t>
        </is>
      </c>
      <c r="D5346" s="10" t="inlineStr">
        <is>
          <t>Hoang Duc Pharmaceutical &amp; Medical Supplies co, Ltd.</t>
        </is>
      </c>
      <c r="E5346" s="10" t="inlineStr">
        <is>
          <t>Lương:13 Tr - 16 Tr VND</t>
        </is>
      </c>
      <c r="F5346" s="10" t="inlineStr">
        <is>
          <t>Hồ Chí Minh</t>
        </is>
      </c>
      <c r="G5346" s="10" t="inlineStr">
        <is>
          <t>25-03-2026</t>
        </is>
      </c>
      <c r="H5346" s="10" t="inlineStr">
        <is>
          <t>25/03/2026</t>
        </is>
      </c>
      <c r="I5346" s="10" t="inlineStr">
        <is>
          <t>17/03/2026</t>
        </is>
      </c>
      <c r="J5346" s="10" t="inlineStr">
        <is>
          <t>Kế toán / Kiểm toán</t>
        </is>
      </c>
      <c r="K5346" s="10" t="inlineStr">
        <is>
          <t>Trên 2 Năm</t>
        </is>
      </c>
      <c r="L5346" s="11">
        <f>HYPERLINK("https://careerviet.vn/vi/tim-viec-lam/chuyen-vien-ke-toan-nha-cung-cap.35C63BD2.html","Xem chi tiết")</f>
        <v/>
      </c>
      <c r="M5346" s="10" t="n"/>
    </row>
    <row r="5347">
      <c r="B5347" s="7" t="n">
        <v>5345</v>
      </c>
      <c r="C5347" t="inlineStr">
        <is>
          <t>Cán Bộ Kế Toán - Khu vực Hà Nội, Bắc Ninh, Thái Nguyên</t>
        </is>
      </c>
      <c r="D5347" t="inlineStr">
        <is>
          <t>Tổng Công ty Cổ phần Bảo hiểm Ngân hàng Đầu tư và Phát triển Việt Nam (BIC)</t>
        </is>
      </c>
      <c r="E5347" t="inlineStr">
        <is>
          <t>Lương:Cạnh tranh</t>
        </is>
      </c>
      <c r="F5347" t="inlineStr">
        <is>
          <t>Hà NộiBắc NinhThái Nguyên</t>
        </is>
      </c>
      <c r="G5347" t="inlineStr">
        <is>
          <t>25-03-2026</t>
        </is>
      </c>
      <c r="H5347" t="inlineStr">
        <is>
          <t>25/03/2026</t>
        </is>
      </c>
      <c r="I5347" t="inlineStr">
        <is>
          <t>17/03/2026</t>
        </is>
      </c>
      <c r="J5347" t="inlineStr">
        <is>
          <t>Bảo hiểm, Kế toán / Kiểm toán</t>
        </is>
      </c>
      <c r="K5347" t="inlineStr">
        <is>
          <t>N/A</t>
        </is>
      </c>
      <c r="L5347" s="8">
        <f>HYPERLINK("https://careerviet.vn/vi/tim-viec-lam/can-bo-ke-toan-khu-vuc-ha-noi-bac-ninh-thai-nguyen.35C66806.html","Xem chi tiết")</f>
        <v/>
      </c>
    </row>
    <row r="5348">
      <c r="B5348" s="9" t="n">
        <v>5346</v>
      </c>
      <c r="C5348" s="10" t="inlineStr">
        <is>
          <t>Nhân viên cung ứng</t>
        </is>
      </c>
      <c r="D5348" s="10" t="inlineStr">
        <is>
          <t>Công Ty Cổ Phần A25 Hotel</t>
        </is>
      </c>
      <c r="E5348" s="10" t="inlineStr">
        <is>
          <t>Lương:14 Tr - 20 Tr VND</t>
        </is>
      </c>
      <c r="F5348" s="10" t="inlineStr">
        <is>
          <t>Hà NộiHồ Chí Minh</t>
        </is>
      </c>
      <c r="G5348" s="10" t="inlineStr">
        <is>
          <t>31-03-2026</t>
        </is>
      </c>
      <c r="H5348" s="10" t="inlineStr">
        <is>
          <t>31/03/2026</t>
        </is>
      </c>
      <c r="I5348" s="10" t="inlineStr">
        <is>
          <t>17/03/2026</t>
        </is>
      </c>
      <c r="J5348" s="10" t="inlineStr">
        <is>
          <t>Nhà hàng / Khách sạn, Xuất nhập khẩu, Thu mua / Vật tư</t>
        </is>
      </c>
      <c r="K5348" s="10" t="inlineStr">
        <is>
          <t>2 - 3 Năm</t>
        </is>
      </c>
      <c r="L5348" s="11">
        <f>HYPERLINK("https://careerviet.vn/vi/tim-viec-lam/nhan-vien-cung-ung.35C68F57.html","Xem chi tiết")</f>
        <v/>
      </c>
      <c r="M5348" s="10" t="n"/>
    </row>
    <row r="5349">
      <c r="B5349" s="7" t="n">
        <v>5347</v>
      </c>
      <c r="C5349" t="inlineStr">
        <is>
          <t>Sales Admin</t>
        </is>
      </c>
      <c r="D5349" t="inlineStr">
        <is>
          <t>CÔNG TY TNHH AMERICA INDOCHINA MANAGEMENT VIETNAM</t>
        </is>
      </c>
      <c r="E5349" t="inlineStr">
        <is>
          <t>Lương:Cạnh tranh</t>
        </is>
      </c>
      <c r="F5349" t="inlineStr">
        <is>
          <t>Hồ Chí Minh</t>
        </is>
      </c>
      <c r="G5349" t="inlineStr">
        <is>
          <t>23-02-2026</t>
        </is>
      </c>
      <c r="H5349" t="inlineStr">
        <is>
          <t>14/03/2026</t>
        </is>
      </c>
      <c r="I5349" t="inlineStr">
        <is>
          <t>17/03/2026</t>
        </is>
      </c>
      <c r="J5349" t="inlineStr">
        <is>
          <t>Xuất nhập khẩu, Thu mua / Vật tư, Bán hàng / Kinh doanh</t>
        </is>
      </c>
      <c r="K5349" t="inlineStr">
        <is>
          <t>3 - 5 Năm</t>
        </is>
      </c>
      <c r="L5349" s="8">
        <f>HYPERLINK("https://careerviet.vn/vi/tim-viec-lam/sales-admin.35C68F0C.html","Xem chi tiết")</f>
        <v/>
      </c>
    </row>
    <row r="5350">
      <c r="B5350" s="9" t="n">
        <v>5348</v>
      </c>
      <c r="C5350" s="10" t="inlineStr">
        <is>
          <t>Sales Admin</t>
        </is>
      </c>
      <c r="D5350" s="10" t="inlineStr">
        <is>
          <t>Công Ty TNHH DV Trợ Thính Quang Đức</t>
        </is>
      </c>
      <c r="E5350" s="10" t="inlineStr">
        <is>
          <t>Lương:Cạnh tranh</t>
        </is>
      </c>
      <c r="F5350" s="10" t="inlineStr">
        <is>
          <t>Hồ Chí MinhHà Nội</t>
        </is>
      </c>
      <c r="G5350" s="10" t="inlineStr">
        <is>
          <t>31-03-2026</t>
        </is>
      </c>
      <c r="H5350" s="10" t="inlineStr">
        <is>
          <t>31/03/2026</t>
        </is>
      </c>
      <c r="I5350" s="10" t="inlineStr">
        <is>
          <t>17/03/2026</t>
        </is>
      </c>
      <c r="J5350" s="10" t="inlineStr">
        <is>
          <t>Dược phẩm/ Hóa Mỹ Phẩm, Y tế / Chăm sóc sức khỏe / Thẩm mỹ / Làm đẹp, Hành chính / Thư ký</t>
        </is>
      </c>
      <c r="K5350" s="10" t="inlineStr">
        <is>
          <t>1 - 5 Năm</t>
        </is>
      </c>
      <c r="L5350" s="11">
        <f>HYPERLINK("https://careerviet.vn/vi/tim-viec-lam/sales-admin.35C6970C.html","Xem chi tiết")</f>
        <v/>
      </c>
      <c r="M5350" s="10" t="n"/>
    </row>
    <row r="5351">
      <c r="B5351" s="7" t="n">
        <v>5349</v>
      </c>
      <c r="C5351" t="inlineStr">
        <is>
          <t>Cán Bộ Kế Toán - Khu vực Khánh Hòa, Hồ Chí Minh, Kiên Giang</t>
        </is>
      </c>
      <c r="D5351" t="inlineStr">
        <is>
          <t>Tổng Công ty Cổ phần Bảo hiểm Ngân hàng Đầu tư và Phát triển Việt Nam (BIC)</t>
        </is>
      </c>
      <c r="E5351" t="inlineStr">
        <is>
          <t>Lương:Cạnh tranh</t>
        </is>
      </c>
      <c r="F5351" t="inlineStr">
        <is>
          <t>Khánh HòaHồ Chí MinhKiên Giang</t>
        </is>
      </c>
      <c r="G5351" t="inlineStr">
        <is>
          <t>25-03-2026</t>
        </is>
      </c>
      <c r="H5351" t="inlineStr">
        <is>
          <t>25/03/2026</t>
        </is>
      </c>
      <c r="I5351" t="inlineStr">
        <is>
          <t>17/03/2026</t>
        </is>
      </c>
      <c r="J5351" t="inlineStr">
        <is>
          <t>Bảo hiểm, Kế toán / Kiểm toán</t>
        </is>
      </c>
      <c r="K5351" t="inlineStr">
        <is>
          <t>N/A</t>
        </is>
      </c>
      <c r="L5351" s="8">
        <f>HYPERLINK("https://careerviet.vn/vi/tim-viec-lam/can-bo-ke-toan-khu-vuc-khanh-hoa-ho-chi-minh-kien-giang.35C667F0.html","Xem chi tiết")</f>
        <v/>
      </c>
    </row>
    <row r="5352">
      <c r="B5352" s="9" t="n">
        <v>5350</v>
      </c>
      <c r="C5352" s="10" t="inlineStr">
        <is>
          <t>Nhân viên Affiliate Controller</t>
        </is>
      </c>
      <c r="D5352" s="10" t="inlineStr">
        <is>
          <t>CÔNG TY TNHH XNK CUỘC SỐNG TƯƠI ĐẸP</t>
        </is>
      </c>
      <c r="E5352" s="10" t="inlineStr">
        <is>
          <t>Lương:13 Tr - 16 Tr VND</t>
        </is>
      </c>
      <c r="F5352" s="10" t="inlineStr">
        <is>
          <t>Hồ Chí Minh</t>
        </is>
      </c>
      <c r="G5352" s="10" t="inlineStr">
        <is>
          <t>31-03-2026</t>
        </is>
      </c>
      <c r="H5352" s="10" t="inlineStr">
        <is>
          <t>31/03/2026</t>
        </is>
      </c>
      <c r="I5352" s="10" t="inlineStr">
        <is>
          <t>17/03/2026</t>
        </is>
      </c>
      <c r="J5352" s="10" t="inlineStr">
        <is>
          <t>Tiếp thị / Marketing, Tiếp thị trực tuyến, Thương mại điện tử</t>
        </is>
      </c>
      <c r="K5352" s="10" t="inlineStr">
        <is>
          <t>1 - 3 Năm</t>
        </is>
      </c>
      <c r="L5352" s="11">
        <f>HYPERLINK("https://careerviet.vn/vi/tim-viec-lam/nhan-vien-affiliate-controller.35C69729.html","Xem chi tiết")</f>
        <v/>
      </c>
      <c r="M5352" s="10" t="n"/>
    </row>
    <row r="5353">
      <c r="B5353" s="7" t="n">
        <v>5351</v>
      </c>
      <c r="C5353" t="inlineStr">
        <is>
          <t>Sales Executive</t>
        </is>
      </c>
      <c r="D5353" t="inlineStr">
        <is>
          <t>CÔNG TY TNHH AMERICA INDOCHINA MANAGEMENT VIETNAM</t>
        </is>
      </c>
      <c r="E5353" t="inlineStr">
        <is>
          <t>Lương:Cạnh tranh</t>
        </is>
      </c>
      <c r="F5353" t="inlineStr">
        <is>
          <t>Hà NộiHồ Chí Minh</t>
        </is>
      </c>
      <c r="G5353" t="inlineStr">
        <is>
          <t>23-02-2026</t>
        </is>
      </c>
      <c r="H5353" t="inlineStr">
        <is>
          <t>14/03/2026</t>
        </is>
      </c>
      <c r="I5353" t="inlineStr">
        <is>
          <t>17/03/2026</t>
        </is>
      </c>
      <c r="J5353" t="inlineStr">
        <is>
          <t>Bán hàng / Kinh doanh, Xây dựng, Nội ngoại thất</t>
        </is>
      </c>
      <c r="K5353" t="inlineStr">
        <is>
          <t>1 - 3 Năm</t>
        </is>
      </c>
      <c r="L5353" s="8">
        <f>HYPERLINK("https://careerviet.vn/vi/tim-viec-lam/sales-executive.35C68F6E.html","Xem chi tiết")</f>
        <v/>
      </c>
    </row>
    <row r="5354">
      <c r="B5354" s="9" t="n">
        <v>5352</v>
      </c>
      <c r="C5354" s="10" t="inlineStr">
        <is>
          <t>Nhân viên Sale Online (Làm việc giờ hành chính, thu nhập từ 10 triệu trở lên)</t>
        </is>
      </c>
      <c r="D5354" s="10" t="inlineStr">
        <is>
          <t>CÔNG TY CỔ PHẦN SẢN XUẤT, THƯƠNG MẠI VÀ DỊCH VỤ PHÚC THỊNH</t>
        </is>
      </c>
      <c r="E5354" s="10" t="inlineStr">
        <is>
          <t>Lương:8 Tr - 15 Tr VND</t>
        </is>
      </c>
      <c r="F5354" s="10" t="inlineStr">
        <is>
          <t>Hồ Chí Minh</t>
        </is>
      </c>
      <c r="G5354" s="10" t="inlineStr">
        <is>
          <t>25-02-2026</t>
        </is>
      </c>
      <c r="H5354" s="10" t="inlineStr">
        <is>
          <t>01/03/2026</t>
        </is>
      </c>
      <c r="I5354" s="10" t="inlineStr">
        <is>
          <t>17/03/2026</t>
        </is>
      </c>
      <c r="J5354" s="10" t="inlineStr">
        <is>
          <t>Bán hàng / Kinh doanh, Tư vấn, Tiếp thị trực tuyến</t>
        </is>
      </c>
      <c r="K5354" s="10" t="inlineStr">
        <is>
          <t>1 - 2 Năm</t>
        </is>
      </c>
      <c r="L5354" s="11">
        <f>HYPERLINK("https://careerviet.vn/vi/tim-viec-lam/nhan-vien-sale-online-lam-viec-gio-hanh-chinh-thu-nhap-tu-10-trieu-tro-len.35C6970A.html","Xem chi tiết")</f>
        <v/>
      </c>
      <c r="M5354" s="10" t="n"/>
    </row>
    <row r="5355">
      <c r="B5355" s="7" t="n">
        <v>5353</v>
      </c>
      <c r="C5355" t="inlineStr">
        <is>
          <t>SALES NỘI THẤT – LƯƠNG CỨNG 8-12tr +DATA NÓNG MKT – THU NHẬP 100tr++</t>
        </is>
      </c>
      <c r="D5355" t="inlineStr">
        <is>
          <t>Công ty Cổ phần Govi Việt Nam</t>
        </is>
      </c>
      <c r="E5355" t="inlineStr">
        <is>
          <t>Lương:Trên 30 Tr VND</t>
        </is>
      </c>
      <c r="F5355" t="inlineStr">
        <is>
          <t>Hồ Chí MinhHà Nội</t>
        </is>
      </c>
      <c r="G5355" t="inlineStr">
        <is>
          <t>31-03-2026</t>
        </is>
      </c>
      <c r="H5355" t="inlineStr">
        <is>
          <t>31/03/2026</t>
        </is>
      </c>
      <c r="I5355" t="inlineStr">
        <is>
          <t>17/03/2026</t>
        </is>
      </c>
      <c r="J5355" t="inlineStr">
        <is>
          <t>Bán lẻ / Bán sỉ, Bán hàng / Kinh doanh, Tư vấn</t>
        </is>
      </c>
      <c r="K5355" t="inlineStr">
        <is>
          <t>Trên 1 Năm</t>
        </is>
      </c>
      <c r="L5355" s="8">
        <f>HYPERLINK("https://careerviet.vn/vi/tim-viec-lam/sales-noi-that-luong-cung-8-12tr-data-nong-mkt-thu-nhap-100tr.35C696B1.html","Xem chi tiết")</f>
        <v/>
      </c>
    </row>
    <row r="5356">
      <c r="B5356" s="9" t="n">
        <v>5354</v>
      </c>
      <c r="C5356" s="10" t="inlineStr">
        <is>
          <t>[Hà Nội] Chuyên viên Vận hành Tín dụng</t>
        </is>
      </c>
      <c r="D5356" s="10" t="inlineStr">
        <is>
          <t>Ngân hàng TMCP Lộc Phát Việt Nam (LPBank)</t>
        </is>
      </c>
      <c r="E5356" s="10" t="inlineStr">
        <is>
          <t>Lương:Cạnh tranh</t>
        </is>
      </c>
      <c r="F5356" s="10" t="inlineStr">
        <is>
          <t>Hà Nội</t>
        </is>
      </c>
      <c r="G5356" s="10" t="inlineStr">
        <is>
          <t>27-03-2026</t>
        </is>
      </c>
      <c r="H5356" s="10" t="inlineStr">
        <is>
          <t>27/03/2026</t>
        </is>
      </c>
      <c r="I5356" s="10" t="inlineStr">
        <is>
          <t>17/03/2026</t>
        </is>
      </c>
      <c r="J5356" s="10" t="inlineStr">
        <is>
          <t>Dịch vụ khách hàng, Ngân hàng, Bán hàng / Kinh doanh</t>
        </is>
      </c>
      <c r="K5356" s="10" t="inlineStr">
        <is>
          <t>Trên 1 Năm</t>
        </is>
      </c>
      <c r="L5356" s="11">
        <f>HYPERLINK("https://careerviet.vn/vi/tim-viec-lam/ha-noi-chuyen-vien-van-hanh-tin-dung.35C696AB.html","Xem chi tiết")</f>
        <v/>
      </c>
      <c r="M5356" s="10" t="n"/>
    </row>
    <row r="5357">
      <c r="B5357" s="7" t="n">
        <v>5355</v>
      </c>
      <c r="C5357" t="inlineStr">
        <is>
          <t>[HCM] Nhân Viên Kinh Doanh Siêu Thị - Khu vực: Hồ Chí Minh</t>
        </is>
      </c>
      <c r="D5357" t="inlineStr">
        <is>
          <t>CÔNG TY CỔ PHẦN SẢN XUẤT, THƯƠNG MẠI VÀ DỊCH VỤ PHÚC THỊNH</t>
        </is>
      </c>
      <c r="E5357" t="inlineStr">
        <is>
          <t>Lương:8,7 Tr - 13 Tr VND</t>
        </is>
      </c>
      <c r="F5357" t="inlineStr">
        <is>
          <t>Hồ Chí Minh</t>
        </is>
      </c>
      <c r="G5357" t="inlineStr">
        <is>
          <t>25-02-2026</t>
        </is>
      </c>
      <c r="H5357" t="inlineStr">
        <is>
          <t>01/03/2026</t>
        </is>
      </c>
      <c r="I5357" t="inlineStr">
        <is>
          <t>17/03/2026</t>
        </is>
      </c>
      <c r="J5357" t="inlineStr">
        <is>
          <t>Bán lẻ / Bán sỉ, Bán hàng / Kinh doanh, Thực phẩm &amp; Đồ uống</t>
        </is>
      </c>
      <c r="K5357" t="inlineStr">
        <is>
          <t>1 - 2 Năm</t>
        </is>
      </c>
      <c r="L5357" s="8">
        <f>HYPERLINK("https://careerviet.vn/vi/tim-viec-lam/hcm-nhan-vien-kinh-doanh-sieu-thi-khu-vuc-ho-chi-minh.35C696D1.html","Xem chi tiết")</f>
        <v/>
      </c>
    </row>
    <row r="5358">
      <c r="B5358" s="9" t="n">
        <v>5356</v>
      </c>
      <c r="C5358" s="10" t="inlineStr">
        <is>
          <t>Trưởng phòng kế toán</t>
        </is>
      </c>
      <c r="D5358" s="10" t="inlineStr">
        <is>
          <t>PVInvest - Công Ty Cổ Phần Đầu Tư và Kinh doanh Bất Động Sản Phương Việt</t>
        </is>
      </c>
      <c r="E5358" s="10" t="inlineStr">
        <is>
          <t>Lương:45 Tr - 60 Tr VND</t>
        </is>
      </c>
      <c r="F5358" s="10" t="inlineStr">
        <is>
          <t>Hồ Chí Minh</t>
        </is>
      </c>
      <c r="G5358" s="10" t="inlineStr">
        <is>
          <t>31-03-2026</t>
        </is>
      </c>
      <c r="H5358" s="10" t="inlineStr">
        <is>
          <t>31/03/2026</t>
        </is>
      </c>
      <c r="I5358" s="10" t="inlineStr">
        <is>
          <t>17/03/2026</t>
        </is>
      </c>
      <c r="J5358" s="10" t="inlineStr">
        <is>
          <t>Kế toán / Kiểm toán, Bất động sản, Tài chính / Đầu tư</t>
        </is>
      </c>
      <c r="K5358" s="10" t="inlineStr">
        <is>
          <t>5 - 10 Năm</t>
        </is>
      </c>
      <c r="L5358" s="11">
        <f>HYPERLINK("https://careerviet.vn/vi/tim-viec-lam/truong-phong-ke-toan.35C6955C.html","Xem chi tiết")</f>
        <v/>
      </c>
      <c r="M5358" s="10" t="n"/>
    </row>
    <row r="5359">
      <c r="B5359" s="7" t="n">
        <v>5357</v>
      </c>
      <c r="C5359" t="inlineStr">
        <is>
          <t>NHÂN VIÊN R&amp;D - NHÀ MÁY DƯỢC</t>
        </is>
      </c>
      <c r="D5359" t="inlineStr">
        <is>
          <t>Korea United Pharm Int'l</t>
        </is>
      </c>
      <c r="E5359" t="inlineStr">
        <is>
          <t>Lương:Cạnh tranh</t>
        </is>
      </c>
      <c r="F5359" t="inlineStr">
        <is>
          <t>Bình Dương</t>
        </is>
      </c>
      <c r="G5359" t="inlineStr">
        <is>
          <t>25-02-2026</t>
        </is>
      </c>
      <c r="H5359" t="inlineStr">
        <is>
          <t>03/03/2026</t>
        </is>
      </c>
      <c r="I5359" t="inlineStr">
        <is>
          <t>17/03/2026</t>
        </is>
      </c>
      <c r="J5359" t="inlineStr">
        <is>
          <t>Dược phẩm/ Hóa Mỹ Phẩm, Y tế / Chăm sóc sức khỏe / Thẩm mỹ / Làm đẹp, Hóa học</t>
        </is>
      </c>
      <c r="K5359" t="inlineStr">
        <is>
          <t>N/A</t>
        </is>
      </c>
      <c r="L5359" s="8">
        <f>HYPERLINK("https://careerviet.vn/vi/tim-viec-lam/nhan-vien-r-d-nha-may-duoc.35C696CA.html","Xem chi tiết")</f>
        <v/>
      </c>
    </row>
    <row r="5360">
      <c r="B5360" s="9" t="n">
        <v>5358</v>
      </c>
      <c r="C5360" s="10" t="inlineStr">
        <is>
          <t>Nhân viên tư vấn Vaccine Trực tuyến</t>
        </is>
      </c>
      <c r="D5360" s="10" t="inlineStr">
        <is>
          <t>CÔNG TY CỔ PHẦN DƯỢC PHẨM FPT LONG CHÂU</t>
        </is>
      </c>
      <c r="E5360" s="10" t="inlineStr">
        <is>
          <t>Lương:10 Tr - 15 Tr VND</t>
        </is>
      </c>
      <c r="F5360" s="10" t="inlineStr">
        <is>
          <t>Hồ Chí Minh</t>
        </is>
      </c>
      <c r="G5360" s="10" t="inlineStr">
        <is>
          <t>25-03-2026</t>
        </is>
      </c>
      <c r="H5360" s="10" t="inlineStr">
        <is>
          <t>25/03/2026</t>
        </is>
      </c>
      <c r="I5360" s="10" t="inlineStr">
        <is>
          <t>17/03/2026</t>
        </is>
      </c>
      <c r="J5360" s="10" t="inlineStr">
        <is>
          <t>Bán hàng / Kinh doanh, Y tế / Chăm sóc sức khỏe / Thẩm mỹ / Làm đẹp, Tư vấn</t>
        </is>
      </c>
      <c r="K5360" s="10" t="inlineStr">
        <is>
          <t>N/A</t>
        </is>
      </c>
      <c r="L5360" s="11">
        <f>HYPERLINK("https://careerviet.vn/vi/tim-viec-lam/nhan-vien-tu-van-vaccine-truc-tuyen.35C66803.html","Xem chi tiết")</f>
        <v/>
      </c>
      <c r="M5360" s="10" t="n"/>
    </row>
    <row r="5361">
      <c r="B5361" s="7" t="n">
        <v>5359</v>
      </c>
      <c r="C5361" t="inlineStr">
        <is>
          <t>Nhân Viên Lái Xe Ban Lãnh Đạo</t>
        </is>
      </c>
      <c r="D5361" t="inlineStr">
        <is>
          <t>Công Ty Cổ Phần Dược Phẩm Trung Ương Codupha</t>
        </is>
      </c>
      <c r="E5361" t="inlineStr">
        <is>
          <t>Lương:Cạnh tranh</t>
        </is>
      </c>
      <c r="F5361" t="inlineStr">
        <is>
          <t>Hồ Chí Minh</t>
        </is>
      </c>
      <c r="G5361" t="inlineStr">
        <is>
          <t>24-03-2026</t>
        </is>
      </c>
      <c r="H5361" t="inlineStr">
        <is>
          <t>24/03/2026</t>
        </is>
      </c>
      <c r="I5361" t="inlineStr">
        <is>
          <t>17/03/2026</t>
        </is>
      </c>
      <c r="J5361" t="inlineStr">
        <is>
          <t>Vận chuyển / Giao nhận / Kho vận, Lao động phổ thông, Ngành khác</t>
        </is>
      </c>
      <c r="K5361" t="inlineStr">
        <is>
          <t>Trên 3 Năm</t>
        </is>
      </c>
      <c r="L5361" s="8">
        <f>HYPERLINK("https://careerviet.vn/vi/tim-viec-lam/nhan-vien-lai-xe-ban-lanh-dao.35C696DA.html","Xem chi tiết")</f>
        <v/>
      </c>
    </row>
    <row r="5362">
      <c r="B5362" s="9" t="n">
        <v>5360</v>
      </c>
      <c r="C5362" s="10" t="inlineStr">
        <is>
          <t>Automation Engineer</t>
        </is>
      </c>
      <c r="D5362" s="10" t="inlineStr">
        <is>
          <t>GS Battery Vietnam Co., Ltd. (Công ty TNHH Ắc quy GS Việt Nam)</t>
        </is>
      </c>
      <c r="E5362" s="10" t="inlineStr">
        <is>
          <t>Lương:16 Tr - 18 Tr VND</t>
        </is>
      </c>
      <c r="F5362" s="10" t="inlineStr">
        <is>
          <t>Bình Dương</t>
        </is>
      </c>
      <c r="G5362" s="10" t="inlineStr">
        <is>
          <t>3</t>
        </is>
      </c>
      <c r="H5362" s="10" t="inlineStr">
        <is>
          <t>20/03/2026</t>
        </is>
      </c>
      <c r="I5362" s="10" t="inlineStr">
        <is>
          <t>17/03/2026</t>
        </is>
      </c>
      <c r="J5362" s="10" t="inlineStr">
        <is>
          <t>Cơ khí / Ô tô / Tự động hóa, Điện / Điện tử / Điện lạnh / Điện công nghiệp, Sản xuất / Vận hành sản xuất</t>
        </is>
      </c>
      <c r="K5362" s="10" t="inlineStr">
        <is>
          <t>1 - 5 Năm</t>
        </is>
      </c>
      <c r="L5362" s="11">
        <f>HYPERLINK("https://careerviet.vn/vi/tim-viec-lam/automation-engineer.35C6962A.html","Xem chi tiết")</f>
        <v/>
      </c>
      <c r="M5362" s="10" t="n"/>
    </row>
    <row r="5363">
      <c r="B5363" s="7" t="n">
        <v>5361</v>
      </c>
      <c r="C5363" t="inlineStr">
        <is>
          <t>Kế toán thanh toán</t>
        </is>
      </c>
      <c r="D5363" t="inlineStr">
        <is>
          <t>CÔNG TY CỔ PHẦN ĐẦU TƯ KINH DOANH BẤT ĐỘNG SẢN VIETNAM GROOVE</t>
        </is>
      </c>
      <c r="E5363" t="inlineStr">
        <is>
          <t>Lương:Cạnh tranh</t>
        </is>
      </c>
      <c r="F5363" t="inlineStr">
        <is>
          <t>Hồ Chí Minh</t>
        </is>
      </c>
      <c r="G5363" t="inlineStr">
        <is>
          <t>31-03-2026</t>
        </is>
      </c>
      <c r="H5363" t="inlineStr">
        <is>
          <t>31/03/2026</t>
        </is>
      </c>
      <c r="I5363" t="inlineStr">
        <is>
          <t>17/03/2026</t>
        </is>
      </c>
      <c r="J5363" t="inlineStr">
        <is>
          <t>Kế toán / Kiểm toán, Bán lẻ / Bán sỉ, Bất động sản</t>
        </is>
      </c>
      <c r="K5363" t="inlineStr">
        <is>
          <t>3 - 5 Năm</t>
        </is>
      </c>
      <c r="L5363" s="8">
        <f>HYPERLINK("https://careerviet.vn/vi/tim-viec-lam/ke-toan-thanh-toan.35C6956B.html","Xem chi tiết")</f>
        <v/>
      </c>
    </row>
    <row r="5364">
      <c r="B5364" s="9" t="n">
        <v>5362</v>
      </c>
      <c r="C5364" s="10" t="inlineStr">
        <is>
          <t>Nhân viên Admin (Bếp ăn tập thể)</t>
        </is>
      </c>
      <c r="D5364" s="10" t="inlineStr">
        <is>
          <t>Công ty TNHH, Liên Doanh Vĩnh Hưng (TMI Việt Nam)</t>
        </is>
      </c>
      <c r="E5364" s="10" t="inlineStr">
        <is>
          <t>Lương:10 Tr - 12 Tr VND</t>
        </is>
      </c>
      <c r="F5364" s="10" t="inlineStr">
        <is>
          <t>Hồ Chí Minh</t>
        </is>
      </c>
      <c r="G5364" s="10" t="inlineStr">
        <is>
          <t>01-04-2026</t>
        </is>
      </c>
      <c r="H5364" s="10" t="inlineStr">
        <is>
          <t>01/04/2026</t>
        </is>
      </c>
      <c r="I5364" s="10" t="inlineStr">
        <is>
          <t>17/03/2026</t>
        </is>
      </c>
      <c r="J5364" s="10" t="inlineStr">
        <is>
          <t>Hành chính / Thư ký, Nhân sự, Công nghệ thực phẩm / Dinh dưỡng</t>
        </is>
      </c>
      <c r="K5364" s="10" t="inlineStr">
        <is>
          <t>Lên đến 3 Năm</t>
        </is>
      </c>
      <c r="L5364" s="11">
        <f>HYPERLINK("https://careerviet.vn/vi/tim-viec-lam/nhan-vien-admin-bep-an-tap-the.35C696AD.html","Xem chi tiết")</f>
        <v/>
      </c>
      <c r="M5364" s="10" t="n"/>
    </row>
    <row r="5365">
      <c r="B5365" s="7" t="n">
        <v>5363</v>
      </c>
      <c r="C5365" t="inlineStr">
        <is>
          <t>Nhân Viên Kế Toán Thanh Toán</t>
        </is>
      </c>
      <c r="D5365" t="inlineStr">
        <is>
          <t>CÔNG TY CỔ PHẦN TẬP ĐOÀN GELEX</t>
        </is>
      </c>
      <c r="E5365" t="inlineStr">
        <is>
          <t>Lương:Cạnh tranh</t>
        </is>
      </c>
      <c r="F5365" t="inlineStr">
        <is>
          <t>Hà Nội</t>
        </is>
      </c>
      <c r="G5365" t="inlineStr">
        <is>
          <t>25-03-2026</t>
        </is>
      </c>
      <c r="H5365" t="inlineStr">
        <is>
          <t>25/03/2026</t>
        </is>
      </c>
      <c r="I5365" t="inlineStr">
        <is>
          <t>17/03/2026</t>
        </is>
      </c>
      <c r="J5365" t="inlineStr">
        <is>
          <t>Kế toán / Kiểm toán, Ngân hàng, Luật / Pháp lý</t>
        </is>
      </c>
      <c r="K5365" t="inlineStr">
        <is>
          <t>Trên 3 Năm</t>
        </is>
      </c>
      <c r="L5365" s="8">
        <f>HYPERLINK("https://careerviet.vn/vi/tim-viec-lam/nhan-vien-ke-toan-thanh-toan.35C695A2.html","Xem chi tiết")</f>
        <v/>
      </c>
    </row>
    <row r="5366">
      <c r="B5366" s="9" t="n">
        <v>5364</v>
      </c>
      <c r="C5366" s="10" t="inlineStr">
        <is>
          <t>Chuyên Viên Tuyển Dụng</t>
        </is>
      </c>
      <c r="D5366" s="10" t="inlineStr">
        <is>
          <t>PRECIOUS PRESTIGE TRADING AND LOGISTICS</t>
        </is>
      </c>
      <c r="E5366" s="10" t="inlineStr">
        <is>
          <t>Lương:Cạnh tranh</t>
        </is>
      </c>
      <c r="F5366" s="10" t="inlineStr">
        <is>
          <t>Hồ Chí Minh</t>
        </is>
      </c>
      <c r="G5366" s="10" t="inlineStr">
        <is>
          <t>24-03-2026</t>
        </is>
      </c>
      <c r="H5366" s="10" t="inlineStr">
        <is>
          <t>24/03/2026</t>
        </is>
      </c>
      <c r="I5366" s="10" t="inlineStr">
        <is>
          <t>17/03/2026</t>
        </is>
      </c>
      <c r="J5366" s="10" t="inlineStr">
        <is>
          <t>Hành chính / Thư ký, Nhân sự, Vận chuyển / Giao nhận / Kho vận</t>
        </is>
      </c>
      <c r="K5366" s="10" t="inlineStr">
        <is>
          <t>Trên 3 Năm</t>
        </is>
      </c>
      <c r="L5366" s="11">
        <f>HYPERLINK("https://careerviet.vn/vi/tim-viec-lam/chuyen-vien-tuyen-dung.35C695C1.html","Xem chi tiết")</f>
        <v/>
      </c>
      <c r="M5366" s="10" t="n"/>
    </row>
    <row r="5367">
      <c r="B5367" s="7" t="n">
        <v>5365</v>
      </c>
      <c r="C5367" t="inlineStr">
        <is>
          <t>Nhân Viên Kinh Doanh Quốc Tế (Không yêu cầu kinh nghiệm)</t>
        </is>
      </c>
      <c r="D5367" t="inlineStr">
        <is>
          <t>CT CP Tập Đoàn Thái Tuấn</t>
        </is>
      </c>
      <c r="E5367" t="inlineStr">
        <is>
          <t>Lương:Cạnh tranh</t>
        </is>
      </c>
      <c r="F5367" t="inlineStr">
        <is>
          <t>Hồ Chí Minh</t>
        </is>
      </c>
      <c r="G5367" t="inlineStr">
        <is>
          <t>24-03-2026</t>
        </is>
      </c>
      <c r="H5367" t="inlineStr">
        <is>
          <t>24/03/2026</t>
        </is>
      </c>
      <c r="I5367" t="inlineStr">
        <is>
          <t>17/03/2026</t>
        </is>
      </c>
      <c r="J5367" t="inlineStr">
        <is>
          <t>Bán lẻ / Bán sỉ, Bán hàng / Kinh doanh, Dệt may / Da giày / Thời trangBằng cấpCao đẳngĐộ tuổiKhông giới hạn tuổi</t>
        </is>
      </c>
      <c r="K5367" t="inlineStr">
        <is>
          <t>N/A</t>
        </is>
      </c>
      <c r="L5367" s="8">
        <f>HYPERLINK("https://careerviet.vn/vi/tim-viec-lam/nhan-vien-kinh-doanh-quoc-te-khong-yeu-cau-kinh-nghiem.35C6953F.html","Xem chi tiết")</f>
        <v/>
      </c>
    </row>
    <row r="5368">
      <c r="B5368" s="9" t="n">
        <v>5366</v>
      </c>
      <c r="C5368" s="10" t="inlineStr">
        <is>
          <t>Nhân Viên Mua Hàng Quốc Tế/ International Co-Ordinator</t>
        </is>
      </c>
      <c r="D5368" s="10" t="inlineStr">
        <is>
          <t>CÔNG TY TNHH THƯƠNG MẠI VÀ DỊCH VỤ TĂNG MINH PHÁT</t>
        </is>
      </c>
      <c r="E5368" s="10" t="inlineStr">
        <is>
          <t>Lương:Cạnh tranh</t>
        </is>
      </c>
      <c r="F5368" s="10" t="inlineStr">
        <is>
          <t>Hồ Chí Minh</t>
        </is>
      </c>
      <c r="G5368" s="10" t="inlineStr">
        <is>
          <t>24-03-2026</t>
        </is>
      </c>
      <c r="H5368" s="10" t="inlineStr">
        <is>
          <t>24/03/2026</t>
        </is>
      </c>
      <c r="I5368" s="10" t="inlineStr">
        <is>
          <t>17/03/2026</t>
        </is>
      </c>
      <c r="J5368" s="10" t="inlineStr">
        <is>
          <t>Thu mua / Vật tư, Xuất nhập khẩu, Tiếp thị / Marketing</t>
        </is>
      </c>
      <c r="K5368" s="10" t="inlineStr">
        <is>
          <t>N/A</t>
        </is>
      </c>
      <c r="L5368" s="11">
        <f>HYPERLINK("https://careerviet.vn/vi/tim-viec-lam/nhan-vien-mua-hang-quoc-te-international-co-ordinator.35C696A4.html","Xem chi tiết")</f>
        <v/>
      </c>
      <c r="M5368" s="10" t="n"/>
    </row>
    <row r="5369">
      <c r="B5369" s="7" t="n">
        <v>5367</v>
      </c>
      <c r="C5369" t="inlineStr">
        <is>
          <t>Chief Accountant (E-commerce)</t>
        </is>
      </c>
      <c r="D5369" t="inlineStr">
        <is>
          <t>Elite Beauty Asia (Vietnam) Company Limited</t>
        </is>
      </c>
      <c r="E5369" t="inlineStr">
        <is>
          <t>Lương:Cạnh tranh</t>
        </is>
      </c>
      <c r="F5369" t="inlineStr">
        <is>
          <t>Hồ Chí Minh</t>
        </is>
      </c>
      <c r="G5369" t="inlineStr">
        <is>
          <t>24-03-2026</t>
        </is>
      </c>
      <c r="H5369" t="inlineStr">
        <is>
          <t>24/03/2026</t>
        </is>
      </c>
      <c r="I5369" t="inlineStr">
        <is>
          <t>17/03/2026</t>
        </is>
      </c>
      <c r="J5369" t="inlineStr">
        <is>
          <t>Kế toán / Kiểm toán, Thương mại điện tử, Hàng gia dụng / Chăm sóc cá nhân</t>
        </is>
      </c>
      <c r="K5369" t="inlineStr">
        <is>
          <t>Trên 8 Năm</t>
        </is>
      </c>
      <c r="L5369" s="8">
        <f>HYPERLINK("https://careerviet.vn/vi/tim-viec-lam/chief-accountant-e-commerce.35C696FC.html","Xem chi tiết")</f>
        <v/>
      </c>
    </row>
    <row r="5370">
      <c r="B5370" s="9" t="n">
        <v>5368</v>
      </c>
      <c r="C5370" s="10" t="inlineStr">
        <is>
          <t>Thực Tập Sinh Điều Phối và Hệ Thống</t>
        </is>
      </c>
      <c r="D5370" s="10" t="inlineStr">
        <is>
          <t>CÔNG TY CỔ PHẦN VUA NỆM</t>
        </is>
      </c>
      <c r="E5370" s="10" t="inlineStr">
        <is>
          <t>Lương:1 Tr - 2 Tr VND</t>
        </is>
      </c>
      <c r="F5370" s="10" t="inlineStr">
        <is>
          <t>Hồ Chí Minh</t>
        </is>
      </c>
      <c r="G5370" s="10" t="inlineStr">
        <is>
          <t>25-02-2026</t>
        </is>
      </c>
      <c r="H5370" s="10" t="inlineStr">
        <is>
          <t>14/03/2026</t>
        </is>
      </c>
      <c r="I5370" s="10" t="inlineStr">
        <is>
          <t>17/03/2026</t>
        </is>
      </c>
      <c r="J5370" s="10" t="inlineStr">
        <is>
          <t>Bán lẻ / Bán sỉ, Sản xuất / Vận hành sản xuất, Thu mua / Vật tư</t>
        </is>
      </c>
      <c r="K5370" s="10" t="inlineStr">
        <is>
          <t>N/A</t>
        </is>
      </c>
      <c r="L5370" s="11">
        <f>HYPERLINK("https://careerviet.vn/vi/tim-viec-lam/thuc-tap-sinh-dieu-phoi-va-he-thong.35C6954C.html","Xem chi tiết")</f>
        <v/>
      </c>
      <c r="M5370" s="10" t="n"/>
    </row>
    <row r="5371">
      <c r="B5371" s="7" t="n">
        <v>5369</v>
      </c>
      <c r="C5371" t="inlineStr">
        <is>
          <t>Giám Sát Bán Hàng Kênh Siêu thị</t>
        </is>
      </c>
      <c r="D5371" t="inlineStr">
        <is>
          <t>Công Ty Cổ Phần Đầu Tư K&amp;G Việt Nam</t>
        </is>
      </c>
      <c r="E5371" t="inlineStr">
        <is>
          <t>Lương:17 Tr - 25 Tr VND</t>
        </is>
      </c>
      <c r="F5371" t="inlineStr">
        <is>
          <t>Hồ Chí Minh</t>
        </is>
      </c>
      <c r="G5371" t="inlineStr">
        <is>
          <t>25-03-2026</t>
        </is>
      </c>
      <c r="H5371" t="inlineStr">
        <is>
          <t>25/03/2026</t>
        </is>
      </c>
      <c r="I5371" t="inlineStr">
        <is>
          <t>17/03/2026</t>
        </is>
      </c>
      <c r="J5371" t="inlineStr">
        <is>
          <t>Bán hàng / Kinh doanh</t>
        </is>
      </c>
      <c r="K5371" t="inlineStr">
        <is>
          <t>2 - 4 Năm</t>
        </is>
      </c>
      <c r="L5371" s="8">
        <f>HYPERLINK("https://careerviet.vn/vi/tim-viec-lam/giam-sat-ban-hang-kenh-sieu-thi.35C69562.html","Xem chi tiết")</f>
        <v/>
      </c>
    </row>
    <row r="5372">
      <c r="B5372" s="9" t="n">
        <v>5370</v>
      </c>
      <c r="C5372" s="10" t="inlineStr">
        <is>
          <t>Nhân viên nhân sự tổng hợp</t>
        </is>
      </c>
      <c r="D5372" s="10" t="inlineStr">
        <is>
          <t>Công Ty TNHH T.M.G</t>
        </is>
      </c>
      <c r="E5372" s="10" t="inlineStr">
        <is>
          <t>Lương:Cạnh tranh</t>
        </is>
      </c>
      <c r="F5372" s="10" t="inlineStr">
        <is>
          <t>Hồ Chí Minh</t>
        </is>
      </c>
      <c r="G5372" s="10" t="inlineStr">
        <is>
          <t>31-03-2026</t>
        </is>
      </c>
      <c r="H5372" s="10" t="inlineStr">
        <is>
          <t>31/03/2026</t>
        </is>
      </c>
      <c r="I5372" s="10" t="inlineStr">
        <is>
          <t>17/03/2026</t>
        </is>
      </c>
      <c r="J5372" s="10" t="inlineStr">
        <is>
          <t>Nhân sự</t>
        </is>
      </c>
      <c r="K5372" s="10" t="inlineStr">
        <is>
          <t>1 - 3 Năm</t>
        </is>
      </c>
      <c r="L5372" s="11">
        <f>HYPERLINK("https://careerviet.vn/vi/tim-viec-lam/nhan-vien-nhan-su-tong-hop.35C68C62.html","Xem chi tiết")</f>
        <v/>
      </c>
      <c r="M5372" s="10" t="n"/>
    </row>
    <row r="5373">
      <c r="B5373" s="7" t="n">
        <v>5371</v>
      </c>
      <c r="C5373" t="inlineStr">
        <is>
          <t>Digital Marketing - Performance Marketing</t>
        </is>
      </c>
      <c r="D5373" t="inlineStr">
        <is>
          <t>Savimex Corporation</t>
        </is>
      </c>
      <c r="E5373" t="inlineStr">
        <is>
          <t>Lương:Cạnh tranh</t>
        </is>
      </c>
      <c r="F5373" t="inlineStr">
        <is>
          <t>Hồ Chí Minh</t>
        </is>
      </c>
      <c r="G5373" t="inlineStr">
        <is>
          <t>27-03-2026</t>
        </is>
      </c>
      <c r="H5373" t="inlineStr">
        <is>
          <t>27/03/2026</t>
        </is>
      </c>
      <c r="I5373" t="inlineStr">
        <is>
          <t>17/03/2026</t>
        </is>
      </c>
      <c r="J5373" t="inlineStr">
        <is>
          <t>Tiếp thị / Marketing, Tiếp thị trực tuyến, Thương mại điện tử</t>
        </is>
      </c>
      <c r="K5373" t="inlineStr">
        <is>
          <t>Trên 2 Năm</t>
        </is>
      </c>
      <c r="L5373" s="8">
        <f>HYPERLINK("https://careerviet.vn/vi/tim-viec-lam/digital-marketing-performance-marketing.35C69648.html","Xem chi tiết")</f>
        <v/>
      </c>
    </row>
    <row r="5374">
      <c r="B5374" s="9" t="n">
        <v>5372</v>
      </c>
      <c r="C5374" s="10" t="inlineStr">
        <is>
          <t>HSE Manager</t>
        </is>
      </c>
      <c r="D5374" s="10" t="inlineStr">
        <is>
          <t>Công Ty TNHH Go-Pak Việt Nam</t>
        </is>
      </c>
      <c r="E5374" s="10" t="inlineStr">
        <is>
          <t>Lương:30 Tr - 35 Tr VND</t>
        </is>
      </c>
      <c r="F5374" s="10" t="inlineStr">
        <is>
          <t>Bình Dương</t>
        </is>
      </c>
      <c r="G5374" s="10" t="inlineStr">
        <is>
          <t>31-03-2026</t>
        </is>
      </c>
      <c r="H5374" s="10" t="inlineStr">
        <is>
          <t>31/03/2026</t>
        </is>
      </c>
      <c r="I5374" s="10" t="inlineStr">
        <is>
          <t>17/03/2026</t>
        </is>
      </c>
      <c r="J5374" s="10" t="inlineStr">
        <is>
          <t>Sản xuất / Vận hành sản xuất, An toàn lao động, Môi trường</t>
        </is>
      </c>
      <c r="K5374" s="10" t="inlineStr">
        <is>
          <t>3 - 5 Năm</t>
        </is>
      </c>
      <c r="L5374" s="11">
        <f>HYPERLINK("https://careerviet.vn/vi/tim-viec-lam/hse-manager.35C696B2.html","Xem chi tiết")</f>
        <v/>
      </c>
      <c r="M5374" s="10" t="n"/>
    </row>
    <row r="5375">
      <c r="B5375" s="7" t="n">
        <v>5373</v>
      </c>
      <c r="C5375" t="inlineStr">
        <is>
          <t>Trưởng phòng Công Nghệ Thông Tin</t>
        </is>
      </c>
      <c r="D5375" t="inlineStr">
        <is>
          <t>Công Ty TNHH Dược Phẩm Healthy Beauty</t>
        </is>
      </c>
      <c r="E5375" t="inlineStr">
        <is>
          <t>Lương:Trên 30 Tr VND</t>
        </is>
      </c>
      <c r="F5375" t="inlineStr">
        <is>
          <t>Hồ Chí Minh</t>
        </is>
      </c>
      <c r="G5375" t="inlineStr">
        <is>
          <t>25-03-2026</t>
        </is>
      </c>
      <c r="H5375" t="inlineStr">
        <is>
          <t>25/03/2026</t>
        </is>
      </c>
      <c r="I5375" t="inlineStr">
        <is>
          <t>17/03/2026</t>
        </is>
      </c>
      <c r="J5375" t="inlineStr">
        <is>
          <t>Dược phẩm/ Hóa Mỹ Phẩm, CNTT - Phần cứng / Mạng</t>
        </is>
      </c>
      <c r="K5375" t="inlineStr">
        <is>
          <t>5 - 10 Năm</t>
        </is>
      </c>
      <c r="L5375" s="8">
        <f>HYPERLINK("https://careerviet.vn/vi/tim-viec-lam/truong-phong-cong-nghe-thong-tin.35C694F9.html","Xem chi tiết")</f>
        <v/>
      </c>
    </row>
    <row r="5376">
      <c r="B5376" s="9" t="n">
        <v>5374</v>
      </c>
      <c r="C5376" s="10" t="inlineStr">
        <is>
          <t>[Hồ Chí Minh] Nhân Viên Kiểm Soát Nội Bộ</t>
        </is>
      </c>
      <c r="D5376" s="10" t="inlineStr">
        <is>
          <t>CÔNG TY CỔ PHẦN DƯỢC PHẨM FPT LONG CHÂU</t>
        </is>
      </c>
      <c r="E5376" s="10" t="inlineStr">
        <is>
          <t>Lương:9 Tr - 11 Tr VND</t>
        </is>
      </c>
      <c r="F5376" s="10" t="inlineStr">
        <is>
          <t>Hồ Chí Minh</t>
        </is>
      </c>
      <c r="G5376" s="10" t="inlineStr">
        <is>
          <t>31-03-2026</t>
        </is>
      </c>
      <c r="H5376" s="10" t="inlineStr">
        <is>
          <t>31/03/2026</t>
        </is>
      </c>
      <c r="I5376" s="10" t="inlineStr">
        <is>
          <t>17/03/2026</t>
        </is>
      </c>
      <c r="J5376" s="10" t="inlineStr">
        <is>
          <t>Kế toán / Kiểm toán, Mới tốt nghiệp / Thực tập</t>
        </is>
      </c>
      <c r="K5376" s="10" t="inlineStr">
        <is>
          <t>Chưa có kinh nghiệm</t>
        </is>
      </c>
      <c r="L5376" s="11">
        <f>HYPERLINK("https://careerviet.vn/vi/tim-viec-lam/ho-chi-minh-nhan-vien-kiem-soat-noi-bo.35C694EF.html","Xem chi tiết")</f>
        <v/>
      </c>
      <c r="M5376" s="10" t="n"/>
    </row>
    <row r="5377">
      <c r="B5377" s="7" t="n">
        <v>5375</v>
      </c>
      <c r="C5377" t="inlineStr">
        <is>
          <t>LAB TECHNICIAN ( Softlines / Textile) - Hanoi / HCMC - 6_month contract</t>
        </is>
      </c>
      <c r="D5377" t="inlineStr">
        <is>
          <t>Chi nhánh CÔNG TY TNHH INTERTEK VIỆT NAM</t>
        </is>
      </c>
      <c r="E5377" t="inlineStr">
        <is>
          <t>Lương:Cạnh tranh</t>
        </is>
      </c>
      <c r="F5377" t="inlineStr">
        <is>
          <t>Hồ Chí MinhHà Nội</t>
        </is>
      </c>
      <c r="G5377" t="inlineStr">
        <is>
          <t>25-03-2026</t>
        </is>
      </c>
      <c r="H5377" t="inlineStr">
        <is>
          <t>25/03/2026</t>
        </is>
      </c>
      <c r="I5377" t="inlineStr">
        <is>
          <t>17/03/2026</t>
        </is>
      </c>
      <c r="J5377" t="inlineStr">
        <is>
          <t>Dệt may / Da giày / Thời trang, Quản lý chất lượng (QA/QC), Hóa học</t>
        </is>
      </c>
      <c r="K5377" t="inlineStr">
        <is>
          <t>Trên 2 Năm</t>
        </is>
      </c>
      <c r="L5377" s="8">
        <f>HYPERLINK("https://careerviet.vn/vi/tim-viec-lam/lab-technician-softlines-textile-hanoi-hcmc-6_month-contract.35C69501.html","Xem chi tiết")</f>
        <v/>
      </c>
    </row>
    <row r="5378">
      <c r="B5378" s="9" t="n">
        <v>5376</v>
      </c>
      <c r="C5378" s="10" t="inlineStr">
        <is>
          <t>WEBSITE DESIGNER (WORDPRESS – UX/UI)</t>
        </is>
      </c>
      <c r="D5378" s="10" t="inlineStr">
        <is>
          <t>CÔNG TY TNHH ZACOM VIỆT NAM</t>
        </is>
      </c>
      <c r="E5378" s="10" t="inlineStr">
        <is>
          <t>Lương:Cạnh tranh</t>
        </is>
      </c>
      <c r="F5378" s="10" t="inlineStr">
        <is>
          <t>Bình DươngHồ Chí MinhĐồng Nai</t>
        </is>
      </c>
      <c r="G5378" s="10" t="inlineStr">
        <is>
          <t>25-03-2026</t>
        </is>
      </c>
      <c r="H5378" s="10" t="inlineStr">
        <is>
          <t>25/03/2026</t>
        </is>
      </c>
      <c r="I5378" s="10" t="inlineStr">
        <is>
          <t>17/03/2026</t>
        </is>
      </c>
      <c r="J5378" s="10" t="inlineStr">
        <is>
          <t>Tiếp thị / Marketing, CNTT - Phần mềm, Thương mại điện tử</t>
        </is>
      </c>
      <c r="K5378" s="10" t="inlineStr">
        <is>
          <t>Trên 5 Năm</t>
        </is>
      </c>
      <c r="L5378" s="11">
        <f>HYPERLINK("https://careerviet.vn/vi/tim-viec-lam/website-designer-wordpress-ux-ui.35C693D2.html","Xem chi tiết")</f>
        <v/>
      </c>
      <c r="M5378" s="10" t="n"/>
    </row>
    <row r="5379">
      <c r="B5379" s="7" t="n">
        <v>5377</v>
      </c>
      <c r="C5379" t="inlineStr">
        <is>
          <t>Office Assistant (6-month contract)</t>
        </is>
      </c>
      <c r="D5379" t="inlineStr">
        <is>
          <t>Viet Thai International</t>
        </is>
      </c>
      <c r="E5379" t="inlineStr">
        <is>
          <t>Lương:Cạnh tranh</t>
        </is>
      </c>
      <c r="F5379" t="inlineStr">
        <is>
          <t>Hồ Chí Minh</t>
        </is>
      </c>
      <c r="G5379" t="inlineStr">
        <is>
          <t>25-03-2026</t>
        </is>
      </c>
      <c r="H5379" t="inlineStr">
        <is>
          <t>25/03/2026</t>
        </is>
      </c>
      <c r="I5379" t="inlineStr">
        <is>
          <t>17/03/2026</t>
        </is>
      </c>
      <c r="J5379" t="inlineStr">
        <is>
          <t>Hành chính / Thư ký</t>
        </is>
      </c>
      <c r="K5379" t="inlineStr">
        <is>
          <t>3 - 5 Năm</t>
        </is>
      </c>
      <c r="L5379" s="8">
        <f>HYPERLINK("https://careerviet.vn/vi/tim-viec-lam/office-assistant-6-month-contract.35C694FE.html","Xem chi tiết")</f>
        <v/>
      </c>
    </row>
    <row r="5380">
      <c r="B5380" s="9" t="n">
        <v>5378</v>
      </c>
      <c r="C5380" s="10" t="inlineStr">
        <is>
          <t>Chuyên viên Thiết kế  (Ngành Bất Động Sản)</t>
        </is>
      </c>
      <c r="D5380" s="10" t="inlineStr">
        <is>
          <t>CTY TNHH WHISKYCOGNAC</t>
        </is>
      </c>
      <c r="E5380" s="10" t="inlineStr">
        <is>
          <t>Lương:20 Tr - 25 Tr VND</t>
        </is>
      </c>
      <c r="F5380" s="10" t="inlineStr">
        <is>
          <t>Hồ Chí Minh</t>
        </is>
      </c>
      <c r="G5380" s="10" t="inlineStr">
        <is>
          <t>31-03-2026</t>
        </is>
      </c>
      <c r="H5380" s="10" t="inlineStr">
        <is>
          <t>31/03/2026</t>
        </is>
      </c>
      <c r="I5380" s="10" t="inlineStr">
        <is>
          <t>17/03/2026</t>
        </is>
      </c>
      <c r="J5380" s="10" t="inlineStr">
        <is>
          <t>Tiếp thị / Marketing, Mỹ thuật / Nghệ thuật / Thiết kế, Quảng cáo / Đối ngoại / Truyền Thông</t>
        </is>
      </c>
      <c r="K5380" s="10" t="inlineStr">
        <is>
          <t>Trên 3 Năm</t>
        </is>
      </c>
      <c r="L5380" s="11">
        <f>HYPERLINK("https://careerviet.vn/vi/tim-viec-lam/chuyen-vien-thiet-ke-nganh-bat-dong-san.35C6948C.html","Xem chi tiết")</f>
        <v/>
      </c>
      <c r="M5380" s="10" t="n"/>
    </row>
    <row r="5381">
      <c r="B5381" s="7" t="n">
        <v>5379</v>
      </c>
      <c r="C5381" t="inlineStr">
        <is>
          <t>CUSTOMER SERVICE (GARMENT / TEXTILE / FOOTWEAR) - (English &amp; Chinese) - 6_month contract</t>
        </is>
      </c>
      <c r="D5381" t="inlineStr">
        <is>
          <t>Chi nhánh CÔNG TY TNHH INTERTEK VIỆT NAM</t>
        </is>
      </c>
      <c r="E5381" t="inlineStr">
        <is>
          <t>Lương:Cạnh tranh</t>
        </is>
      </c>
      <c r="F5381" t="inlineStr">
        <is>
          <t>Hồ Chí MinhHà Nội</t>
        </is>
      </c>
      <c r="G5381" t="inlineStr">
        <is>
          <t>25-03-2026</t>
        </is>
      </c>
      <c r="H5381" t="inlineStr">
        <is>
          <t>25/03/2026</t>
        </is>
      </c>
      <c r="I5381" t="inlineStr">
        <is>
          <t>17/03/2026</t>
        </is>
      </c>
      <c r="J5381" t="inlineStr">
        <is>
          <t>Dệt may / Da giày / Thời trang, Dịch vụ khách hàng</t>
        </is>
      </c>
      <c r="K5381" t="inlineStr">
        <is>
          <t>Trên 2 Năm</t>
        </is>
      </c>
      <c r="L5381" s="8">
        <f>HYPERLINK("https://careerviet.vn/vi/tim-viec-lam/customer-service-garment-textile-footwear-english-chinese-6_month-contract.35C69506.html","Xem chi tiết")</f>
        <v/>
      </c>
    </row>
    <row r="5382">
      <c r="B5382" s="9" t="n">
        <v>5380</v>
      </c>
      <c r="C5382" s="10" t="inlineStr">
        <is>
          <t>Business Intelligence Analyst (Finance)</t>
        </is>
      </c>
      <c r="D5382" s="10" t="inlineStr">
        <is>
          <t>CÔNG TY TNHH AIRR LABS (VIỆT NAM)</t>
        </is>
      </c>
      <c r="E5382" s="10" t="inlineStr">
        <is>
          <t>Lương:Cạnh tranh</t>
        </is>
      </c>
      <c r="F5382" s="10" t="inlineStr">
        <is>
          <t>Hồ Chí Minh</t>
        </is>
      </c>
      <c r="G5382" s="10" t="inlineStr">
        <is>
          <t>25-03-2026</t>
        </is>
      </c>
      <c r="H5382" s="10" t="inlineStr">
        <is>
          <t>25/03/2026</t>
        </is>
      </c>
      <c r="I5382" s="10" t="inlineStr">
        <is>
          <t>17/03/2026</t>
        </is>
      </c>
      <c r="J5382" s="10" t="inlineStr">
        <is>
          <t>Thương mại điện tử, Tiếp thị trực tuyến, Bán hàng / Kinh doanh</t>
        </is>
      </c>
      <c r="K5382" s="10" t="inlineStr">
        <is>
          <t>2 - 4 Năm</t>
        </is>
      </c>
      <c r="L5382" s="11">
        <f>HYPERLINK("https://careerviet.vn/vi/tim-viec-lam/business-intelligence-analyst-finance.35C694C5.html","Xem chi tiết")</f>
        <v/>
      </c>
      <c r="M5382" s="10" t="n"/>
    </row>
    <row r="5383">
      <c r="B5383" s="7" t="n">
        <v>5381</v>
      </c>
      <c r="C5383" t="inlineStr">
        <is>
          <t>Purchasing Supervisor</t>
        </is>
      </c>
      <c r="D5383" t="inlineStr">
        <is>
          <t>Bảo mật</t>
        </is>
      </c>
      <c r="E5383" t="inlineStr">
        <is>
          <t>Lương:Cạnh tranh</t>
        </is>
      </c>
      <c r="F5383" t="inlineStr">
        <is>
          <t>Hồ Chí Minh</t>
        </is>
      </c>
      <c r="G5383" t="inlineStr">
        <is>
          <t>31-03-2026</t>
        </is>
      </c>
      <c r="H5383" t="inlineStr">
        <is>
          <t>31/03/2026</t>
        </is>
      </c>
      <c r="I5383" t="inlineStr">
        <is>
          <t>17/03/2026</t>
        </is>
      </c>
      <c r="J5383" t="inlineStr">
        <is>
          <t>Nhà hàng / Khách sạn, Thực phẩm &amp; Đồ uống, Thu mua / Vật tư</t>
        </is>
      </c>
      <c r="K5383" t="inlineStr">
        <is>
          <t>Chưa có kinh nghiệm</t>
        </is>
      </c>
      <c r="L5383" s="8">
        <f>HYPERLINK("https://careerviet.vn/vi/tim-viec-lam/purchasing-supervisor.35C694E5.html","Xem chi tiết")</f>
        <v/>
      </c>
    </row>
    <row r="5384">
      <c r="B5384" s="9" t="n">
        <v>5382</v>
      </c>
      <c r="C5384" s="10" t="inlineStr">
        <is>
          <t>Global Forecasting Analyst</t>
        </is>
      </c>
      <c r="D5384" s="10" t="inlineStr">
        <is>
          <t>Citigroup Limited Industries, Inc.</t>
        </is>
      </c>
      <c r="E5384" s="10" t="inlineStr">
        <is>
          <t>Lương:Cạnh tranh</t>
        </is>
      </c>
      <c r="F5384" s="10" t="inlineStr">
        <is>
          <t>Hồ Chí Minh</t>
        </is>
      </c>
      <c r="G5384" s="10" t="inlineStr">
        <is>
          <t>30-03-2026</t>
        </is>
      </c>
      <c r="H5384" s="10" t="inlineStr">
        <is>
          <t>30/03/2026</t>
        </is>
      </c>
      <c r="I5384" s="10" t="inlineStr">
        <is>
          <t>17/03/2026</t>
        </is>
      </c>
      <c r="J5384" s="10" t="inlineStr">
        <is>
          <t>Xuất nhập khẩu, Nội ngoại thất</t>
        </is>
      </c>
      <c r="K5384" s="10" t="inlineStr">
        <is>
          <t>2 - 5 Năm</t>
        </is>
      </c>
      <c r="L5384" s="11">
        <f>HYPERLINK("https://careerviet.vn/vi/tim-viec-lam/global-forecasting-analyst.35C694A2.html","Xem chi tiết")</f>
        <v/>
      </c>
      <c r="M5384" s="10" t="n"/>
    </row>
    <row r="5385">
      <c r="B5385" s="7" t="n">
        <v>5383</v>
      </c>
      <c r="C5385" t="inlineStr">
        <is>
          <t>Phó Tổng Giám Đốc Sales &amp; Marketing (BĐS)</t>
        </is>
      </c>
      <c r="D5385" t="inlineStr">
        <is>
          <t>Công ty Cổ Phần Bất Động Sản SeaHoldings</t>
        </is>
      </c>
      <c r="E5385" t="inlineStr">
        <is>
          <t>Lương:Cạnh tranh</t>
        </is>
      </c>
      <c r="F5385" t="inlineStr">
        <is>
          <t>Hồ Chí Minh</t>
        </is>
      </c>
      <c r="G5385" t="inlineStr">
        <is>
          <t>31-03-2026</t>
        </is>
      </c>
      <c r="H5385" t="inlineStr">
        <is>
          <t>31/03/2026</t>
        </is>
      </c>
      <c r="I5385" t="inlineStr">
        <is>
          <t>17/03/2026</t>
        </is>
      </c>
      <c r="J5385" t="inlineStr">
        <is>
          <t>Tiếp thị / Marketing, Bán hàng / Kinh doanh, Bất động sản</t>
        </is>
      </c>
      <c r="K5385" t="inlineStr">
        <is>
          <t>5 - 10 Năm</t>
        </is>
      </c>
      <c r="L5385" s="8">
        <f>HYPERLINK("https://careerviet.vn/vi/tim-viec-lam/pho-tong-giam-doc-sales-marketing-bds.35C69487.html","Xem chi tiết")</f>
        <v/>
      </c>
    </row>
    <row r="5386">
      <c r="B5386" s="9" t="n">
        <v>5384</v>
      </c>
      <c r="C5386" s="10" t="inlineStr">
        <is>
          <t>Kế toán trưởng</t>
        </is>
      </c>
      <c r="D5386" s="10" t="inlineStr">
        <is>
          <t>CÔNG TY CỔ PHẦN IFF HOLDINGS</t>
        </is>
      </c>
      <c r="E5386" s="10" t="inlineStr">
        <is>
          <t>Lương:25 Tr - 35 Tr VND</t>
        </is>
      </c>
      <c r="F5386" s="10" t="inlineStr">
        <is>
          <t>Hồ Chí Minh</t>
        </is>
      </c>
      <c r="G5386" s="10" t="inlineStr">
        <is>
          <t>25-03-2026</t>
        </is>
      </c>
      <c r="H5386" s="10" t="inlineStr">
        <is>
          <t>25/03/2026</t>
        </is>
      </c>
      <c r="I5386" s="10" t="inlineStr">
        <is>
          <t>17/03/2026</t>
        </is>
      </c>
      <c r="J5386" s="10" t="inlineStr">
        <is>
          <t>Kế toán / Kiểm toán, Bất động sản</t>
        </is>
      </c>
      <c r="K5386" s="10" t="inlineStr">
        <is>
          <t>5 - 10 Năm</t>
        </is>
      </c>
      <c r="L5386" s="11">
        <f>HYPERLINK("https://careerviet.vn/vi/tim-viec-lam/ke-toan-truong.35C69483.html","Xem chi tiết")</f>
        <v/>
      </c>
      <c r="M5386" s="10" t="n"/>
    </row>
    <row r="5387">
      <c r="B5387" s="7" t="n">
        <v>5385</v>
      </c>
      <c r="C5387" t="inlineStr">
        <is>
          <t>Nhân Viên Kinh Doanh (Nhận Việc Sau Tết) Lĩnh Vực Thực Phẩm, Suất Ăn Công Nghiệp - Không yêu cầu kinh nghiệm - Hóc Môn (TPHCM)</t>
        </is>
      </c>
      <c r="D5387" t="inlineStr">
        <is>
          <t>CÔNG TY CỔ PHẦN THỰC PHẨM FRESCO</t>
        </is>
      </c>
      <c r="E5387" t="inlineStr">
        <is>
          <t>Lương:10 Tr - 15 Tr VND</t>
        </is>
      </c>
      <c r="F5387" t="inlineStr">
        <is>
          <t>Hồ Chí Minh</t>
        </is>
      </c>
      <c r="G5387" t="inlineStr">
        <is>
          <t>6</t>
        </is>
      </c>
      <c r="H5387" t="inlineStr">
        <is>
          <t>23/03/2026</t>
        </is>
      </c>
      <c r="I5387" t="inlineStr">
        <is>
          <t>17/03/2026</t>
        </is>
      </c>
      <c r="J5387" t="inlineStr">
        <is>
          <t>Bán hàng / Kinh doanh, Dịch vụ khách hàng, Thực phẩm &amp; Đồ uống</t>
        </is>
      </c>
      <c r="K5387" t="inlineStr">
        <is>
          <t>N/A</t>
        </is>
      </c>
      <c r="L5387" s="8">
        <f>HYPERLINK("https://careerviet.vn/vi/tim-viec-lam/nhan-vien-kinh-doanh-nhan-viec-sau-tet-linh-vuc-thuc-pham-suat-an-cong-nghiep-khong-yeu-cau-kinh-nghiem-hoc-mon-tphcm.35C664C3.html","Xem chi tiết")</f>
        <v/>
      </c>
    </row>
    <row r="5388">
      <c r="B5388" s="9" t="n">
        <v>5386</v>
      </c>
      <c r="C5388" s="10" t="inlineStr">
        <is>
          <t>Operations Executive (Temp 12M)</t>
        </is>
      </c>
      <c r="D5388" s="10" t="inlineStr">
        <is>
          <t>CÔNG TY TNHH MSC VIỆT NAM</t>
        </is>
      </c>
      <c r="E5388" s="10" t="inlineStr">
        <is>
          <t>Lương:Cạnh tranh</t>
        </is>
      </c>
      <c r="F5388" s="10" t="inlineStr">
        <is>
          <t>Hồ Chí Minh</t>
        </is>
      </c>
      <c r="G5388" s="10" t="inlineStr">
        <is>
          <t>31-03-2026</t>
        </is>
      </c>
      <c r="H5388" s="10" t="inlineStr">
        <is>
          <t>31/03/2026</t>
        </is>
      </c>
      <c r="I5388" s="10" t="inlineStr">
        <is>
          <t>17/03/2026</t>
        </is>
      </c>
      <c r="J5388" s="10" t="inlineStr">
        <is>
          <t>Vận chuyển / Giao nhận / Kho vận, Xuất nhập khẩu</t>
        </is>
      </c>
      <c r="K5388" s="10" t="inlineStr">
        <is>
          <t>1 - 2 Năm</t>
        </is>
      </c>
      <c r="L5388" s="11">
        <f>HYPERLINK("https://careerviet.vn/vi/tim-viec-lam/operations-executive-temp-12m.35C69422.html","Xem chi tiết")</f>
        <v/>
      </c>
      <c r="M5388" s="10" t="n"/>
    </row>
    <row r="5389">
      <c r="B5389" s="7" t="n">
        <v>5387</v>
      </c>
      <c r="C5389" t="inlineStr">
        <is>
          <t>Senior Learning &amp; Development Specialist</t>
        </is>
      </c>
      <c r="D5389" t="inlineStr">
        <is>
          <t>Techtronic Industries Vietnam Manufacturing Company Limited</t>
        </is>
      </c>
      <c r="E5389" t="inlineStr">
        <is>
          <t>Lương:Cạnh tranh</t>
        </is>
      </c>
      <c r="F5389" t="inlineStr">
        <is>
          <t>Hồ Chí Minh</t>
        </is>
      </c>
      <c r="G5389" t="inlineStr">
        <is>
          <t>25-03-2026</t>
        </is>
      </c>
      <c r="H5389" t="inlineStr">
        <is>
          <t>25/03/2026</t>
        </is>
      </c>
      <c r="I5389" t="inlineStr">
        <is>
          <t>17/03/2026</t>
        </is>
      </c>
      <c r="J5389" t="inlineStr">
        <is>
          <t>Giáo dục / Đào tạo, Hành chính / Thư ký, Nhân sự</t>
        </is>
      </c>
      <c r="K5389" t="inlineStr">
        <is>
          <t>4 - 6 Năm</t>
        </is>
      </c>
      <c r="L5389" s="8">
        <f>HYPERLINK("https://careerviet.vn/vi/tim-viec-lam/senior-learning-development-specialist.35C69462.html","Xem chi tiết")</f>
        <v/>
      </c>
    </row>
    <row r="5390">
      <c r="B5390" s="9" t="n">
        <v>5388</v>
      </c>
      <c r="C5390" s="10" t="inlineStr">
        <is>
          <t>Chuyên viên Điều phối Email &amp; Tin nhắn | Email &amp; SMS Coordinator</t>
        </is>
      </c>
      <c r="D5390" s="10" t="inlineStr">
        <is>
          <t>Công Ty TNHH Zeder Việt Nam</t>
        </is>
      </c>
      <c r="E5390" s="10" t="inlineStr">
        <is>
          <t>Lương:Cạnh tranh</t>
        </is>
      </c>
      <c r="F5390" s="10" t="inlineStr">
        <is>
          <t>Hà Nội</t>
        </is>
      </c>
      <c r="G5390" s="10" t="inlineStr">
        <is>
          <t>26-03-2026</t>
        </is>
      </c>
      <c r="H5390" s="10" t="inlineStr">
        <is>
          <t>26/03/2026</t>
        </is>
      </c>
      <c r="I5390" s="10" t="inlineStr">
        <is>
          <t>17/03/2026</t>
        </is>
      </c>
      <c r="J5390" s="10" t="inlineStr">
        <is>
          <t>Tiếp thị / Marketing, Truyền hình / Báo chí / Biên tập, Quảng cáo / Đối ngoại / Truyền Thông</t>
        </is>
      </c>
      <c r="K5390" s="10" t="inlineStr">
        <is>
          <t>2 - 3 Năm</t>
        </is>
      </c>
      <c r="L5390" s="11">
        <f>HYPERLINK("https://careerviet.vn/vi/tim-viec-lam/chuyen-vien-dieu-phoi-email-tin-nhan-email-sms-coordinator.35C63FAA.html","Xem chi tiết")</f>
        <v/>
      </c>
      <c r="M5390" s="10" t="n"/>
    </row>
    <row r="5391">
      <c r="B5391" s="7" t="n">
        <v>5389</v>
      </c>
      <c r="C5391" t="inlineStr">
        <is>
          <t>Marketing Executive</t>
        </is>
      </c>
      <c r="D5391" t="inlineStr">
        <is>
          <t>CÔNG TY CỔ PHẦN TCELL</t>
        </is>
      </c>
      <c r="E5391" t="inlineStr">
        <is>
          <t>Lương:10 Tr - 15 Tr VND</t>
        </is>
      </c>
      <c r="F5391" t="inlineStr">
        <is>
          <t>Hồ Chí Minh</t>
        </is>
      </c>
      <c r="G5391" t="inlineStr">
        <is>
          <t>31-03-2026</t>
        </is>
      </c>
      <c r="H5391" t="inlineStr">
        <is>
          <t>31/03/2026</t>
        </is>
      </c>
      <c r="I5391" t="inlineStr">
        <is>
          <t>17/03/2026</t>
        </is>
      </c>
      <c r="J5391" t="inlineStr">
        <is>
          <t>Tiếp thị / Marketing, Tiếp thị trực tuyến, Dược phẩm/ Hóa Mỹ Phẩm</t>
        </is>
      </c>
      <c r="K5391" t="inlineStr">
        <is>
          <t>2 - 3 Năm</t>
        </is>
      </c>
      <c r="L5391" s="8">
        <f>HYPERLINK("https://careerviet.vn/vi/tim-viec-lam/marketing-executive.35C694CB.html","Xem chi tiết")</f>
        <v/>
      </c>
    </row>
    <row r="5392">
      <c r="B5392" s="9" t="n">
        <v>5390</v>
      </c>
      <c r="C5392" s="10" t="inlineStr">
        <is>
          <t>Lean Coordinator</t>
        </is>
      </c>
      <c r="D5392" s="10" t="inlineStr">
        <is>
          <t>Sonion Vietnam</t>
        </is>
      </c>
      <c r="E5392" s="10" t="inlineStr">
        <is>
          <t>Lương:Cạnh tranh</t>
        </is>
      </c>
      <c r="F5392" s="10" t="inlineStr">
        <is>
          <t>Hồ Chí Minh</t>
        </is>
      </c>
      <c r="G5392" s="10" t="inlineStr">
        <is>
          <t>31-03-2026</t>
        </is>
      </c>
      <c r="H5392" s="10" t="inlineStr">
        <is>
          <t>31/03/2026</t>
        </is>
      </c>
      <c r="I5392" s="10" t="inlineStr">
        <is>
          <t>17/03/2026</t>
        </is>
      </c>
      <c r="J5392" s="10" t="inlineStr">
        <is>
          <t>Sản xuất / Vận hành sản xuất</t>
        </is>
      </c>
      <c r="K5392" s="10" t="inlineStr">
        <is>
          <t>1 - 3 Năm</t>
        </is>
      </c>
      <c r="L5392" s="11">
        <f>HYPERLINK("https://careerviet.vn/vi/tim-viec-lam/lean-coordinator.35C694B7.html","Xem chi tiết")</f>
        <v/>
      </c>
      <c r="M5392" s="10" t="n"/>
    </row>
    <row r="5393">
      <c r="B5393" s="7" t="n">
        <v>5391</v>
      </c>
      <c r="C5393" t="inlineStr">
        <is>
          <t>Kế Toán Thu Chi</t>
        </is>
      </c>
      <c r="D5393" t="inlineStr">
        <is>
          <t>IDEAL LIFE JSC - CÔNG TY CỔ PHẦN TƯ VẤN IDEAL LIFE</t>
        </is>
      </c>
      <c r="E5393" t="inlineStr">
        <is>
          <t>Lương:Cạnh tranh</t>
        </is>
      </c>
      <c r="F5393" t="inlineStr">
        <is>
          <t>Hồ Chí Minh</t>
        </is>
      </c>
      <c r="G5393" t="inlineStr">
        <is>
          <t>26-03-2026</t>
        </is>
      </c>
      <c r="H5393" t="inlineStr">
        <is>
          <t>26/03/2026</t>
        </is>
      </c>
      <c r="I5393" t="inlineStr">
        <is>
          <t>17/03/2026</t>
        </is>
      </c>
      <c r="J5393" t="inlineStr">
        <is>
          <t>Kế toán / Kiểm toán, Ngân hàng, Bảo hiểm</t>
        </is>
      </c>
      <c r="K5393" t="inlineStr">
        <is>
          <t>1 - 2 Năm</t>
        </is>
      </c>
      <c r="L5393" s="8">
        <f>HYPERLINK("https://careerviet.vn/vi/tim-viec-lam/ke-toan-thu-chi.35C63EDD.html","Xem chi tiết")</f>
        <v/>
      </c>
    </row>
    <row r="5394">
      <c r="B5394" s="9" t="n">
        <v>5392</v>
      </c>
      <c r="C5394" s="10" t="inlineStr">
        <is>
          <t>Thợ làm bánh mì (Bánh mì pa tê)</t>
        </is>
      </c>
      <c r="D5394" s="10" t="inlineStr">
        <is>
          <t>CÔNG TY TNHH BLUE ELATION</t>
        </is>
      </c>
      <c r="E5394" s="10" t="inlineStr">
        <is>
          <t>Lương:Cạnh tranh</t>
        </is>
      </c>
      <c r="F5394" s="10" t="inlineStr">
        <is>
          <t>Hồ Chí Minh</t>
        </is>
      </c>
      <c r="G5394" s="10" t="inlineStr">
        <is>
          <t>26-03-2026</t>
        </is>
      </c>
      <c r="H5394" s="10" t="inlineStr">
        <is>
          <t>26/03/2026</t>
        </is>
      </c>
      <c r="I5394" s="10" t="inlineStr">
        <is>
          <t>17/03/2026</t>
        </is>
      </c>
      <c r="J5394" s="10" t="inlineStr">
        <is>
          <t>Thực phẩm &amp; Đồ uống</t>
        </is>
      </c>
      <c r="K5394" s="10" t="inlineStr">
        <is>
          <t>2 - 5 Năm</t>
        </is>
      </c>
      <c r="L5394" s="11">
        <f>HYPERLINK("https://careerviet.vn/vi/tim-viec-lam/tho-lam-banh-mi-banh-mi-pa-te.35C63F77.html","Xem chi tiết")</f>
        <v/>
      </c>
      <c r="M5394" s="10" t="n"/>
    </row>
    <row r="5395">
      <c r="B5395" s="7" t="n">
        <v>5393</v>
      </c>
      <c r="C5395" t="inlineStr">
        <is>
          <t>CỬA HÀNG TRƯỞNG K COFFEE SHOP - FMCG</t>
        </is>
      </c>
      <c r="D5395" t="inlineStr">
        <is>
          <t>Công Ty Cổ Phần Phúc Sinh</t>
        </is>
      </c>
      <c r="E5395" t="inlineStr">
        <is>
          <t>Lương:Cạnh tranh</t>
        </is>
      </c>
      <c r="F5395" t="inlineStr">
        <is>
          <t>Hồ Chí Minh</t>
        </is>
      </c>
      <c r="G5395" t="inlineStr">
        <is>
          <t>26-03-2026</t>
        </is>
      </c>
      <c r="H5395" t="inlineStr">
        <is>
          <t>26/03/2026</t>
        </is>
      </c>
      <c r="I5395" t="inlineStr">
        <is>
          <t>17/03/2026</t>
        </is>
      </c>
      <c r="J5395" t="inlineStr">
        <is>
          <t>Dịch vụ khách hàng, Nhà hàng / Khách sạn, Thực phẩm &amp; Đồ uống</t>
        </is>
      </c>
      <c r="K5395" t="inlineStr">
        <is>
          <t>1 - 5 Năm</t>
        </is>
      </c>
      <c r="L5395" s="8">
        <f>HYPERLINK("https://careerviet.vn/vi/tim-viec-lam/cua-hang-truong-k-coffee-shop-fmcg.35C63F9F.html","Xem chi tiết")</f>
        <v/>
      </c>
    </row>
    <row r="5396">
      <c r="B5396" s="9" t="n">
        <v>5394</v>
      </c>
      <c r="C5396" s="10" t="inlineStr">
        <is>
          <t>Lái Xe/ Tài Xế Xe Tải</t>
        </is>
      </c>
      <c r="D5396" s="10" t="inlineStr">
        <is>
          <t>Công Ty TNHH TM &amp; XNK Nhất Lâm</t>
        </is>
      </c>
      <c r="E5396" s="10" t="inlineStr">
        <is>
          <t>Lương:12 Tr - 15 Tr VND</t>
        </is>
      </c>
      <c r="F5396" s="10" t="inlineStr">
        <is>
          <t>Hồ Chí Minh</t>
        </is>
      </c>
      <c r="G5396" s="10" t="inlineStr">
        <is>
          <t>26-03-2026</t>
        </is>
      </c>
      <c r="H5396" s="10" t="inlineStr">
        <is>
          <t>26/03/2026</t>
        </is>
      </c>
      <c r="I5396" s="10" t="inlineStr">
        <is>
          <t>17/03/2026</t>
        </is>
      </c>
      <c r="J5396" s="10" t="inlineStr">
        <is>
          <t>Vận chuyển / Giao nhận / Kho vận</t>
        </is>
      </c>
      <c r="K5396" s="10" t="inlineStr">
        <is>
          <t>1 - 2 Năm</t>
        </is>
      </c>
      <c r="L5396" s="11">
        <f>HYPERLINK("https://careerviet.vn/vi/tim-viec-lam/lai-xe-tai-xe-xe-tai.35C63FC5.html","Xem chi tiết")</f>
        <v/>
      </c>
      <c r="M5396" s="10" t="n"/>
    </row>
    <row r="5397">
      <c r="B5397" s="7" t="n">
        <v>5395</v>
      </c>
      <c r="C5397" t="inlineStr">
        <is>
          <t>Pattern Developer</t>
        </is>
      </c>
      <c r="D5397" t="inlineStr">
        <is>
          <t>CÔNG TY TNHH B &amp; D LINGERIE VIỆT NAM</t>
        </is>
      </c>
      <c r="E5397" t="inlineStr">
        <is>
          <t>Lương:Cạnh tranh</t>
        </is>
      </c>
      <c r="F5397" t="inlineStr">
        <is>
          <t>Bình Định</t>
        </is>
      </c>
      <c r="G5397" t="inlineStr">
        <is>
          <t>26-03-2026</t>
        </is>
      </c>
      <c r="H5397" t="inlineStr">
        <is>
          <t>26/03/2026</t>
        </is>
      </c>
      <c r="I5397" t="inlineStr">
        <is>
          <t>17/03/2026</t>
        </is>
      </c>
      <c r="J5397" t="inlineStr">
        <is>
          <t>Dệt may / Da giày / Thời trang</t>
        </is>
      </c>
      <c r="K5397" t="inlineStr">
        <is>
          <t>5 - 7 Năm</t>
        </is>
      </c>
      <c r="L5397" s="8">
        <f>HYPERLINK("https://careerviet.vn/vi/tim-viec-lam/pattern-developer.35C63E99.html","Xem chi tiết")</f>
        <v/>
      </c>
    </row>
    <row r="5398">
      <c r="B5398" s="9" t="n">
        <v>5396</v>
      </c>
      <c r="C5398" s="10" t="inlineStr">
        <is>
          <t>PHÓ PHÒNG KẾ TOÁN - FMCG</t>
        </is>
      </c>
      <c r="D5398" s="10" t="inlineStr">
        <is>
          <t>Công Ty Cổ Phần Phúc Sinh</t>
        </is>
      </c>
      <c r="E5398" s="10" t="inlineStr">
        <is>
          <t>Lương:Cạnh tranh</t>
        </is>
      </c>
      <c r="F5398" s="10" t="inlineStr">
        <is>
          <t>Hồ Chí Minh</t>
        </is>
      </c>
      <c r="G5398" s="10" t="inlineStr">
        <is>
          <t>26-03-2026</t>
        </is>
      </c>
      <c r="H5398" s="10" t="inlineStr">
        <is>
          <t>26/03/2026</t>
        </is>
      </c>
      <c r="I5398" s="10" t="inlineStr">
        <is>
          <t>17/03/2026</t>
        </is>
      </c>
      <c r="J5398" s="10" t="inlineStr">
        <is>
          <t>Kế toán / Kiểm toán, Tài chính / Đầu tư, Thực phẩm &amp; Đồ uống</t>
        </is>
      </c>
      <c r="K5398" s="10" t="inlineStr">
        <is>
          <t>2 - 5 Năm</t>
        </is>
      </c>
      <c r="L5398" s="11">
        <f>HYPERLINK("https://careerviet.vn/vi/tim-viec-lam/pho-phong-ke-toan-fmcg.35C63F9D.html","Xem chi tiết")</f>
        <v/>
      </c>
      <c r="M5398" s="10" t="n"/>
    </row>
    <row r="5399">
      <c r="B5399" s="7" t="n">
        <v>5397</v>
      </c>
      <c r="C5399" t="inlineStr">
        <is>
          <t>Q/C Quản Lý Chất Lượng</t>
        </is>
      </c>
      <c r="D5399" t="inlineStr">
        <is>
          <t>Công Ty TNHH Kim Nghĩa</t>
        </is>
      </c>
      <c r="E5399" t="inlineStr">
        <is>
          <t>Lương:8 Tr - 12 Tr VND</t>
        </is>
      </c>
      <c r="F5399" t="inlineStr">
        <is>
          <t>Long An</t>
        </is>
      </c>
      <c r="G5399" t="inlineStr">
        <is>
          <t>26-03-2026</t>
        </is>
      </c>
      <c r="H5399" t="inlineStr">
        <is>
          <t>26/03/2026</t>
        </is>
      </c>
      <c r="I5399" t="inlineStr">
        <is>
          <t>17/03/2026</t>
        </is>
      </c>
      <c r="J5399" t="inlineStr">
        <is>
          <t>Sản xuất / Vận hành sản xuất, Quản lý chất lượng (QA/QC)</t>
        </is>
      </c>
      <c r="K5399" t="inlineStr">
        <is>
          <t>1 - 5 Năm</t>
        </is>
      </c>
      <c r="L5399" s="8">
        <f>HYPERLINK("https://careerviet.vn/vi/tim-viec-lam/q-c-quan-ly-chat-luong.35C63F60.html","Xem chi tiết")</f>
        <v/>
      </c>
    </row>
    <row r="5400">
      <c r="B5400" s="9" t="n">
        <v>5398</v>
      </c>
      <c r="C5400" s="10" t="inlineStr">
        <is>
          <t>Trưởng phòng Kế toán Hành chính - Khu vực Khánh Hòa</t>
        </is>
      </c>
      <c r="D5400" s="10" t="inlineStr">
        <is>
          <t>Tổng Công ty Cổ phần Bảo hiểm Ngân hàng Đầu tư và Phát triển Việt Nam (BIC)</t>
        </is>
      </c>
      <c r="E5400" s="10" t="inlineStr">
        <is>
          <t>Lương:Cạnh tranh</t>
        </is>
      </c>
      <c r="F5400" s="10" t="inlineStr">
        <is>
          <t>Khánh Hòa</t>
        </is>
      </c>
      <c r="G5400" s="10" t="inlineStr">
        <is>
          <t>26-03-2026</t>
        </is>
      </c>
      <c r="H5400" s="10" t="inlineStr">
        <is>
          <t>26/03/2026</t>
        </is>
      </c>
      <c r="I5400" s="10" t="inlineStr">
        <is>
          <t>17/03/2026</t>
        </is>
      </c>
      <c r="J5400" s="10" t="inlineStr">
        <is>
          <t>Bảo hiểm, Kế toán / Kiểm toán, Tài chính / Đầu tư</t>
        </is>
      </c>
      <c r="K5400" s="10" t="inlineStr">
        <is>
          <t>3 - 10 Năm</t>
        </is>
      </c>
      <c r="L5400" s="11">
        <f>HYPERLINK("https://careerviet.vn/vi/tim-viec-lam/truong-phong-ke-toan-hanh-chinh-khu-vuc-khanh-hoa.35C63FB2.html","Xem chi tiết")</f>
        <v/>
      </c>
      <c r="M5400" s="10" t="n"/>
    </row>
    <row r="5401">
      <c r="B5401" s="7" t="n">
        <v>5399</v>
      </c>
      <c r="C5401" t="inlineStr">
        <is>
          <t>Material Quality Specialist (Furniture/US MNC/Binh Duong)</t>
        </is>
      </c>
      <c r="D5401" t="inlineStr">
        <is>
          <t>Citigroup Limited Industries, Inc.</t>
        </is>
      </c>
      <c r="E5401" t="inlineStr">
        <is>
          <t>Lương:Cạnh tranh</t>
        </is>
      </c>
      <c r="F5401" t="inlineStr">
        <is>
          <t>Bình Dương</t>
        </is>
      </c>
      <c r="G5401" t="inlineStr">
        <is>
          <t>26-03-2026</t>
        </is>
      </c>
      <c r="H5401" t="inlineStr">
        <is>
          <t>26/03/2026</t>
        </is>
      </c>
      <c r="I5401" t="inlineStr">
        <is>
          <t>17/03/2026</t>
        </is>
      </c>
      <c r="J5401" t="inlineStr">
        <is>
          <t>Đồ gỗ, Quản lý chất lượng (QA/QC), Nội ngoại thất</t>
        </is>
      </c>
      <c r="K5401" t="inlineStr">
        <is>
          <t>1 - 10 Năm</t>
        </is>
      </c>
      <c r="L5401" s="8">
        <f>HYPERLINK("https://careerviet.vn/vi/tim-viec-lam/material-quality-specialist-furniture-us-mnc-binh-duong.35C63BFA.html","Xem chi tiết")</f>
        <v/>
      </c>
    </row>
    <row r="5402">
      <c r="B5402" s="9" t="n">
        <v>5400</v>
      </c>
      <c r="C5402" s="10" t="inlineStr">
        <is>
          <t>Chuyên viên Merchandise chất liệu</t>
        </is>
      </c>
      <c r="D5402" s="10" t="inlineStr">
        <is>
          <t>Công ty Cổ phần Thời Trang YODY</t>
        </is>
      </c>
      <c r="E5402" s="10" t="inlineStr">
        <is>
          <t>Lương:Cạnh tranh</t>
        </is>
      </c>
      <c r="F5402" s="10" t="inlineStr">
        <is>
          <t>Hà NộiHải Dương</t>
        </is>
      </c>
      <c r="G5402" s="10" t="inlineStr">
        <is>
          <t>27-03-2026</t>
        </is>
      </c>
      <c r="H5402" s="10" t="inlineStr">
        <is>
          <t>27/03/2026</t>
        </is>
      </c>
      <c r="I5402" s="10" t="inlineStr">
        <is>
          <t>17/03/2026</t>
        </is>
      </c>
      <c r="J5402" s="10" t="inlineStr">
        <is>
          <t>Xuất nhập khẩu, Dệt may / Da giày / Thời trang</t>
        </is>
      </c>
      <c r="K5402" s="10" t="inlineStr">
        <is>
          <t>Trên 1 Năm</t>
        </is>
      </c>
      <c r="L5402" s="11">
        <f>HYPERLINK("https://careerviet.vn/vi/tim-viec-lam/chuyen-vien-merchandise-chat-lieu.35C66893.html","Xem chi tiết")</f>
        <v/>
      </c>
      <c r="M5402" s="10" t="n"/>
    </row>
    <row r="5403">
      <c r="B5403" s="7" t="n">
        <v>5401</v>
      </c>
      <c r="C5403" t="inlineStr">
        <is>
          <t>Kiến trúc sư</t>
        </is>
      </c>
      <c r="D5403" t="inlineStr">
        <is>
          <t>Tổng Công ty Vận Tải Thủy</t>
        </is>
      </c>
      <c r="E5403" t="inlineStr">
        <is>
          <t>Lương:15 Tr - 30 Tr VND</t>
        </is>
      </c>
      <c r="F5403" t="inlineStr">
        <is>
          <t>Hà Nội</t>
        </is>
      </c>
      <c r="G5403" t="inlineStr">
        <is>
          <t>27-03-2026</t>
        </is>
      </c>
      <c r="H5403" t="inlineStr">
        <is>
          <t>27/03/2026</t>
        </is>
      </c>
      <c r="I5403" t="inlineStr">
        <is>
          <t>17/03/2026</t>
        </is>
      </c>
      <c r="J5403" t="inlineStr">
        <is>
          <t>Kiến trúc, Xây dựng, Bất động sản</t>
        </is>
      </c>
      <c r="K5403" t="inlineStr">
        <is>
          <t>N/A</t>
        </is>
      </c>
      <c r="L5403" s="8">
        <f>HYPERLINK("https://careerviet.vn/vi/tim-viec-lam/kien-truc-su.35C66986.html","Xem chi tiết")</f>
        <v/>
      </c>
    </row>
    <row r="5404">
      <c r="B5404" s="9" t="n">
        <v>5402</v>
      </c>
      <c r="C5404" s="10" t="inlineStr">
        <is>
          <t>Chuyên Viên RM Tiếng Trung</t>
        </is>
      </c>
      <c r="D5404" s="10" t="inlineStr">
        <is>
          <t>NGÂN HÀNG TMCP NGOẠI THƯƠNG VIỆT NAM (VIETCOMBANK)</t>
        </is>
      </c>
      <c r="E5404" s="10" t="inlineStr">
        <is>
          <t>Lương:Cạnh tranh</t>
        </is>
      </c>
      <c r="F5404" s="10" t="inlineStr">
        <is>
          <t>Hà Nội</t>
        </is>
      </c>
      <c r="G5404" s="10" t="inlineStr">
        <is>
          <t>26-03-2026</t>
        </is>
      </c>
      <c r="H5404" s="10" t="inlineStr">
        <is>
          <t>26/03/2026</t>
        </is>
      </c>
      <c r="I5404" s="10" t="inlineStr">
        <is>
          <t>17/03/2026</t>
        </is>
      </c>
      <c r="J5404" s="10" t="inlineStr">
        <is>
          <t>Ngân hàng, Tài chính / Đầu tư, Bán hàng / Kinh doanh</t>
        </is>
      </c>
      <c r="K5404" s="10" t="inlineStr">
        <is>
          <t>Trên 2 Năm</t>
        </is>
      </c>
      <c r="L5404" s="11">
        <f>HYPERLINK("https://careerviet.vn/vi/tim-viec-lam/chuyen-vien-rm-tieng-trung.35C63EF1.html","Xem chi tiết")</f>
        <v/>
      </c>
      <c r="M5404" s="10" t="n"/>
    </row>
    <row r="5405">
      <c r="B5405" s="7" t="n">
        <v>5403</v>
      </c>
      <c r="C5405" t="inlineStr">
        <is>
          <t>Nhân viên Kinh doanh – NGƯỜI HÙNG DOANH SỐ</t>
        </is>
      </c>
      <c r="D5405" t="inlineStr">
        <is>
          <t>Công Ty TNHH Anh Tin</t>
        </is>
      </c>
      <c r="E5405" t="inlineStr">
        <is>
          <t>Lương:10 Tr - 30 Tr VND</t>
        </is>
      </c>
      <c r="F5405" t="inlineStr">
        <is>
          <t>Hồ Chí Minh</t>
        </is>
      </c>
      <c r="G5405" t="inlineStr">
        <is>
          <t>27-03-2026</t>
        </is>
      </c>
      <c r="H5405" t="inlineStr">
        <is>
          <t>27/03/2026</t>
        </is>
      </c>
      <c r="I5405" t="inlineStr">
        <is>
          <t>17/03/2026</t>
        </is>
      </c>
      <c r="J5405" t="inlineStr">
        <is>
          <t>Bán lẻ / Bán sỉ, Bán hàng / Kinh doanh, Bán Hàng Kỹ Thuật</t>
        </is>
      </c>
      <c r="K5405" t="inlineStr">
        <is>
          <t>Chưa có kinh nghiệm</t>
        </is>
      </c>
      <c r="L5405" s="8">
        <f>HYPERLINK("https://careerviet.vn/vi/tim-viec-lam/nhan-vien-kinh-doanh-nguoi-hung-doanh-so.35C6401F.html","Xem chi tiết")</f>
        <v/>
      </c>
    </row>
    <row r="5406">
      <c r="B5406" s="9" t="n">
        <v>5404</v>
      </c>
      <c r="C5406" s="10" t="inlineStr">
        <is>
          <t>Kỹ Sư Xây Dựng Cơ Bản</t>
        </is>
      </c>
      <c r="D5406" s="10" t="inlineStr">
        <is>
          <t>ATAD Steel Structure Corporation</t>
        </is>
      </c>
      <c r="E5406" s="10" t="inlineStr">
        <is>
          <t>Lương:Cạnh tranh</t>
        </is>
      </c>
      <c r="F5406" s="10" t="inlineStr">
        <is>
          <t>Hồ Chí Minh</t>
        </is>
      </c>
      <c r="G5406" s="10" t="inlineStr">
        <is>
          <t>27-03-2026</t>
        </is>
      </c>
      <c r="H5406" s="10" t="inlineStr">
        <is>
          <t>27/03/2026</t>
        </is>
      </c>
      <c r="I5406" s="10" t="inlineStr">
        <is>
          <t>17/03/2026</t>
        </is>
      </c>
      <c r="J5406" s="10" t="inlineStr">
        <is>
          <t>Cơ khí / Ô tô / Tự động hóa, Sản xuất / Vận hành sản xuất, Xây dựng</t>
        </is>
      </c>
      <c r="K5406" s="10" t="inlineStr">
        <is>
          <t>3 - 5 Năm</t>
        </is>
      </c>
      <c r="L5406" s="11">
        <f>HYPERLINK("https://careerviet.vn/vi/tim-viec-lam/ky-su-xay-dung-co-ban.35C66883.html","Xem chi tiết")</f>
        <v/>
      </c>
      <c r="M5406" s="10" t="n"/>
    </row>
    <row r="5407">
      <c r="B5407" s="7" t="n">
        <v>5405</v>
      </c>
      <c r="C5407" t="inlineStr">
        <is>
          <t>Giáo viên Toán Tiếng Anh</t>
        </is>
      </c>
      <c r="D5407" t="inlineStr">
        <is>
          <t>TRƯỜNG PHỔ THÔNG LIÊN CẤP H.A.S</t>
        </is>
      </c>
      <c r="E5407" t="inlineStr">
        <is>
          <t>Lương:10 Tr - 13 Tr VND</t>
        </is>
      </c>
      <c r="F5407" t="inlineStr">
        <is>
          <t>Hà Nội</t>
        </is>
      </c>
      <c r="G5407" t="inlineStr">
        <is>
          <t>27-03-2026</t>
        </is>
      </c>
      <c r="H5407" t="inlineStr">
        <is>
          <t>27/03/2026</t>
        </is>
      </c>
      <c r="I5407" t="inlineStr">
        <is>
          <t>17/03/2026</t>
        </is>
      </c>
      <c r="J5407" t="inlineStr">
        <is>
          <t>Giáo dục / Đào tạo</t>
        </is>
      </c>
      <c r="K5407" t="inlineStr">
        <is>
          <t>1 - 5 Năm</t>
        </is>
      </c>
      <c r="L5407" s="8">
        <f>HYPERLINK("https://careerviet.vn/vi/tim-viec-lam/giao-vien-toan-tieng-anh.35C6686A.html","Xem chi tiết")</f>
        <v/>
      </c>
    </row>
    <row r="5408">
      <c r="B5408" s="9" t="n">
        <v>5406</v>
      </c>
      <c r="C5408" s="10" t="inlineStr">
        <is>
          <t>Nhân viên kinh doanh</t>
        </is>
      </c>
      <c r="D5408" s="10" t="inlineStr">
        <is>
          <t>Công ty TNHH Hữu Toàn Group</t>
        </is>
      </c>
      <c r="E5408" s="10" t="inlineStr">
        <is>
          <t>Lương:12 Tr - 15 Tr VND</t>
        </is>
      </c>
      <c r="F5408" s="10" t="inlineStr">
        <is>
          <t>Hà Nội</t>
        </is>
      </c>
      <c r="G5408" s="10" t="inlineStr">
        <is>
          <t>31-05-2026</t>
        </is>
      </c>
      <c r="H5408" s="10" t="inlineStr">
        <is>
          <t>31/05/2026</t>
        </is>
      </c>
      <c r="I5408" s="10" t="inlineStr">
        <is>
          <t>17/03/2026</t>
        </is>
      </c>
      <c r="J5408" s="10" t="inlineStr">
        <is>
          <t>Điện / Điện tử / Điện lạnh / Điện công nghiệp, Bán hàng / Kinh doanh</t>
        </is>
      </c>
      <c r="K5408" s="10" t="inlineStr">
        <is>
          <t>1 - 2 Năm</t>
        </is>
      </c>
      <c r="L5408" s="11">
        <f>HYPERLINK("https://careerviet.vn/vi/tim-viec-lam/nhan-vien-kinh-doanh.35C66924.html","Xem chi tiết")</f>
        <v/>
      </c>
      <c r="M5408" s="10" t="n"/>
    </row>
    <row r="5409">
      <c r="B5409" s="7" t="n">
        <v>5407</v>
      </c>
      <c r="C5409" t="inlineStr">
        <is>
          <t>[Hà Nội - Bắc Ninh] _ Chuyên viên chính/Chuyên viên cao cấp Kinh doanh Khách hàng cao cấp</t>
        </is>
      </c>
      <c r="D5409" t="inlineStr">
        <is>
          <t>Ngân Hàng TMCP Tiên Phong (TPBank)</t>
        </is>
      </c>
      <c r="E5409" t="inlineStr">
        <is>
          <t>Lương:20 Tr - 30 Tr VND</t>
        </is>
      </c>
      <c r="F5409" t="inlineStr">
        <is>
          <t>Hà NộiBắc Ninh</t>
        </is>
      </c>
      <c r="G5409" t="inlineStr">
        <is>
          <t>27-03-2026</t>
        </is>
      </c>
      <c r="H5409" t="inlineStr">
        <is>
          <t>27/03/2026</t>
        </is>
      </c>
      <c r="I5409" t="inlineStr">
        <is>
          <t>17/03/2026</t>
        </is>
      </c>
      <c r="J5409" t="inlineStr">
        <is>
          <t>Tư vấn, Ngân hàng, Bảo hiểm</t>
        </is>
      </c>
      <c r="K5409" t="inlineStr">
        <is>
          <t>1 - 3 Năm</t>
        </is>
      </c>
      <c r="L5409" s="8">
        <f>HYPERLINK("https://careerviet.vn/vi/tim-viec-lam/ha-noi-bac-ninh-_-chuyen-vien-chinh-chuyen-vien-cao-cap-kinh-doanh-khach-hang-cao-cap.35C669F6.html","Xem chi tiết")</f>
        <v/>
      </c>
    </row>
    <row r="5410">
      <c r="B5410" s="9" t="n">
        <v>5408</v>
      </c>
      <c r="C5410" s="10" t="inlineStr">
        <is>
          <t>Kỹ sư Kinh tế Xây dựng</t>
        </is>
      </c>
      <c r="D5410" s="10" t="inlineStr">
        <is>
          <t>Tổng Công ty Vận Tải Thủy</t>
        </is>
      </c>
      <c r="E5410" s="10" t="inlineStr">
        <is>
          <t>Lương:15 Tr - 30 Tr VND</t>
        </is>
      </c>
      <c r="F5410" s="10" t="inlineStr">
        <is>
          <t>Hà Nội</t>
        </is>
      </c>
      <c r="G5410" s="10" t="inlineStr">
        <is>
          <t>27-03-2026</t>
        </is>
      </c>
      <c r="H5410" s="10" t="inlineStr">
        <is>
          <t>27/03/2026</t>
        </is>
      </c>
      <c r="I5410" s="10" t="inlineStr">
        <is>
          <t>17/03/2026</t>
        </is>
      </c>
      <c r="J5410" s="10" t="inlineStr">
        <is>
          <t>Xây dựng, Bất động sản</t>
        </is>
      </c>
      <c r="K5410" s="10" t="inlineStr">
        <is>
          <t>N/A</t>
        </is>
      </c>
      <c r="L5410" s="11">
        <f>HYPERLINK("https://careerviet.vn/vi/tim-viec-lam/ky-su-kinh-te-xay-dung.35C66957.html","Xem chi tiết")</f>
        <v/>
      </c>
      <c r="M5410" s="10" t="n"/>
    </row>
    <row r="5411">
      <c r="B5411" s="7" t="n">
        <v>5409</v>
      </c>
      <c r="C5411" t="inlineStr">
        <is>
          <t>Quản lý Nhân sự - Vinmec Riverside</t>
        </is>
      </c>
      <c r="D5411" t="inlineStr">
        <is>
          <t>Công ty CP Bệnh Viện Đa Khoa Quốc Tế Vinmec</t>
        </is>
      </c>
      <c r="E5411" t="inlineStr">
        <is>
          <t>Lương:Cạnh tranh</t>
        </is>
      </c>
      <c r="F5411" t="inlineStr">
        <is>
          <t>Hà Nội</t>
        </is>
      </c>
      <c r="G5411" t="inlineStr">
        <is>
          <t>27-03-2026</t>
        </is>
      </c>
      <c r="H5411" t="inlineStr">
        <is>
          <t>27/03/2026</t>
        </is>
      </c>
      <c r="I5411" t="inlineStr">
        <is>
          <t>17/03/2026</t>
        </is>
      </c>
      <c r="J5411" t="inlineStr">
        <is>
          <t>Y tế / Chăm sóc sức khỏe / Thẩm mỹ / Làm đẹp, Nhân sự</t>
        </is>
      </c>
      <c r="K5411" t="inlineStr">
        <is>
          <t>Trên 8 Năm</t>
        </is>
      </c>
      <c r="L5411" s="8">
        <f>HYPERLINK("https://careerviet.vn/vi/tim-viec-lam/quan-ly-nhan-su-vinmec-riverside.35C6694C.html","Xem chi tiết")</f>
        <v/>
      </c>
    </row>
    <row r="5412">
      <c r="B5412" s="9" t="n">
        <v>5410</v>
      </c>
      <c r="C5412" s="10" t="inlineStr">
        <is>
          <t>Dermatologist (Bác sĩ da liễu) - Rohto Aohal Clinic</t>
        </is>
      </c>
      <c r="D5412" s="10" t="inlineStr">
        <is>
          <t>CÔNG TY TNHH ROHTO-MENTHOLATUM (VIỆT NAM)</t>
        </is>
      </c>
      <c r="E5412" s="10" t="inlineStr">
        <is>
          <t>Lương:Cạnh tranh</t>
        </is>
      </c>
      <c r="F5412" s="10" t="inlineStr">
        <is>
          <t>Hà Nội</t>
        </is>
      </c>
      <c r="G5412" s="10" t="inlineStr">
        <is>
          <t>27-03-2026</t>
        </is>
      </c>
      <c r="H5412" s="10" t="inlineStr">
        <is>
          <t>27/03/2026</t>
        </is>
      </c>
      <c r="I5412" s="10" t="inlineStr">
        <is>
          <t>17/03/2026</t>
        </is>
      </c>
      <c r="J5412" s="10" t="inlineStr">
        <is>
          <t>Y tế / Chăm sóc sức khỏe / Thẩm mỹ / Làm đẹpBằng cấpĐại họcĐộ tuổiKhông giới hạn tuổi</t>
        </is>
      </c>
      <c r="K5412" s="10" t="inlineStr">
        <is>
          <t>N/A</t>
        </is>
      </c>
      <c r="L5412" s="11">
        <f>HYPERLINK("https://careerviet.vn/vi/tim-viec-lam/dermatologist-bac-si-da-lieu-rohto-aohal-clinic.35C6416D.html","Xem chi tiết")</f>
        <v/>
      </c>
      <c r="M5412" s="10" t="n"/>
    </row>
    <row r="5413">
      <c r="B5413" s="7" t="n">
        <v>5411</v>
      </c>
      <c r="C5413" t="inlineStr">
        <is>
          <t>Kỹ sư xây dựng dân dụng công nghiệp</t>
        </is>
      </c>
      <c r="D5413" t="inlineStr">
        <is>
          <t>Tổng Công ty Vận Tải Thủy</t>
        </is>
      </c>
      <c r="E5413" t="inlineStr">
        <is>
          <t>Lương:15 Tr - 30 Tr VND</t>
        </is>
      </c>
      <c r="F5413" t="inlineStr">
        <is>
          <t>Hà Nội</t>
        </is>
      </c>
      <c r="G5413" t="inlineStr">
        <is>
          <t>27-03-2026</t>
        </is>
      </c>
      <c r="H5413" t="inlineStr">
        <is>
          <t>27/03/2026</t>
        </is>
      </c>
      <c r="I5413" t="inlineStr">
        <is>
          <t>17/03/2026</t>
        </is>
      </c>
      <c r="J5413" t="inlineStr">
        <is>
          <t>Xây dựng, Bất động sản</t>
        </is>
      </c>
      <c r="K5413" t="inlineStr">
        <is>
          <t>N/A</t>
        </is>
      </c>
      <c r="L5413" s="8">
        <f>HYPERLINK("https://careerviet.vn/vi/tim-viec-lam/ky-su-xay-dung-dan-dung-cong-nghiep.35C66980.html","Xem chi tiết")</f>
        <v/>
      </c>
    </row>
    <row r="5414">
      <c r="B5414" s="9" t="n">
        <v>5412</v>
      </c>
      <c r="C5414" s="10" t="inlineStr">
        <is>
          <t>Trưởng Phòng Kinh Doanh - Phòng Khách Hàng Cá Nhân</t>
        </is>
      </c>
      <c r="D5414" s="10" t="inlineStr">
        <is>
          <t>Ngân Hàng TMCP Việt Nam Thịnh Vượng - VPBANK</t>
        </is>
      </c>
      <c r="E5414" s="10" t="inlineStr">
        <is>
          <t>Lương:Cạnh tranh</t>
        </is>
      </c>
      <c r="F5414" s="10" t="inlineStr">
        <is>
          <t>Hồ Chí MinhĐà NẵngQuảng Nam</t>
        </is>
      </c>
      <c r="G5414" s="10" t="inlineStr">
        <is>
          <t>27-03-2026</t>
        </is>
      </c>
      <c r="H5414" s="10" t="inlineStr">
        <is>
          <t>27/03/2026</t>
        </is>
      </c>
      <c r="I5414" s="10" t="inlineStr">
        <is>
          <t>17/03/2026</t>
        </is>
      </c>
      <c r="J5414" s="10" t="inlineStr">
        <is>
          <t>Bán hàng / Kinh doanh, Ngân hàng</t>
        </is>
      </c>
      <c r="K5414" s="10" t="inlineStr">
        <is>
          <t>3 - 4 Năm</t>
        </is>
      </c>
      <c r="L5414" s="11">
        <f>HYPERLINK("https://careerviet.vn/vi/tim-viec-lam/truong-phong-kinh-doanh-phong-khach-hang-ca-nhan.35C669B5.html","Xem chi tiết")</f>
        <v/>
      </c>
      <c r="M5414" s="10" t="n"/>
    </row>
    <row r="5415">
      <c r="B5415" s="7" t="n">
        <v>5413</v>
      </c>
      <c r="C5415" t="inlineStr">
        <is>
          <t>Kế Toán Tổng Hợp</t>
        </is>
      </c>
      <c r="D5415" t="inlineStr">
        <is>
          <t>DA Law - CÔNG TY LUẬT TRÁCH NHIỆM HỮU HẠN ĐÀO ANH</t>
        </is>
      </c>
      <c r="E5415" t="inlineStr">
        <is>
          <t>Lương:Cạnh tranh</t>
        </is>
      </c>
      <c r="F5415" t="inlineStr">
        <is>
          <t>Hồ Chí Minh</t>
        </is>
      </c>
      <c r="G5415" t="inlineStr">
        <is>
          <t>26-03-2026</t>
        </is>
      </c>
      <c r="H5415" t="inlineStr">
        <is>
          <t>26/03/2026</t>
        </is>
      </c>
      <c r="I5415" t="inlineStr">
        <is>
          <t>17/03/2026</t>
        </is>
      </c>
      <c r="J5415" t="inlineStr">
        <is>
          <t>Tài chính / Đầu tư, Luật / Pháp lý, Kế toán / Kiểm toán</t>
        </is>
      </c>
      <c r="K5415" t="inlineStr">
        <is>
          <t>Trên 2 Năm</t>
        </is>
      </c>
      <c r="L5415" s="8">
        <f>HYPERLINK("https://careerviet.vn/vi/tim-viec-lam/ke-toan-tong-hop.35C6699B.html","Xem chi tiết")</f>
        <v/>
      </c>
    </row>
    <row r="5416">
      <c r="B5416" s="9" t="n">
        <v>5414</v>
      </c>
      <c r="C5416" s="10" t="inlineStr">
        <is>
          <t>Production Engineer</t>
        </is>
      </c>
      <c r="D5416" s="10" t="inlineStr">
        <is>
          <t>CÔNG TY TNHH CS BEARING VIỆT NAM</t>
        </is>
      </c>
      <c r="E5416" s="10" t="inlineStr">
        <is>
          <t>Lương:Cạnh tranh</t>
        </is>
      </c>
      <c r="F5416" s="10" t="inlineStr">
        <is>
          <t>Bà Rịa - Vũng Tàu</t>
        </is>
      </c>
      <c r="G5416" s="10" t="inlineStr">
        <is>
          <t>27-03-2026</t>
        </is>
      </c>
      <c r="H5416" s="10" t="inlineStr">
        <is>
          <t>27/03/2026</t>
        </is>
      </c>
      <c r="I5416" s="10" t="inlineStr">
        <is>
          <t>17/03/2026</t>
        </is>
      </c>
      <c r="J5416" s="10" t="inlineStr">
        <is>
          <t>Cơ khí / Ô tô / Tự động hóa, Điện / Điện tử / Điện lạnh / Điện công nghiệp, Sản xuất / Vận hành sản xuất</t>
        </is>
      </c>
      <c r="K5416" s="10" t="inlineStr">
        <is>
          <t>1 - 3 Năm</t>
        </is>
      </c>
      <c r="L5416" s="11">
        <f>HYPERLINK("https://careerviet.vn/vi/tim-viec-lam/production-engineer.35C63FED.html","Xem chi tiết")</f>
        <v/>
      </c>
      <c r="M5416" s="10" t="n"/>
    </row>
    <row r="5417">
      <c r="B5417" s="7" t="n">
        <v>5415</v>
      </c>
      <c r="C5417" t="inlineStr">
        <is>
          <t>Nhân Viên Kinh Doanh</t>
        </is>
      </c>
      <c r="D5417" t="inlineStr">
        <is>
          <t>Chi Nhánh Công Ty TNHH Ojitex (Việt Nam)</t>
        </is>
      </c>
      <c r="E5417" t="inlineStr">
        <is>
          <t>Lương:15 Tr - 25 Tr VND</t>
        </is>
      </c>
      <c r="F5417" t="inlineStr">
        <is>
          <t>Bình Dương</t>
        </is>
      </c>
      <c r="G5417" t="inlineStr">
        <is>
          <t>27-03-2026</t>
        </is>
      </c>
      <c r="H5417" t="inlineStr">
        <is>
          <t>27/03/2026</t>
        </is>
      </c>
      <c r="I5417" t="inlineStr">
        <is>
          <t>17/03/2026</t>
        </is>
      </c>
      <c r="J5417" t="inlineStr">
        <is>
          <t>Bán hàng / Kinh doanh</t>
        </is>
      </c>
      <c r="K5417" t="inlineStr">
        <is>
          <t>3 - 5 Năm</t>
        </is>
      </c>
      <c r="L5417" s="8">
        <f>HYPERLINK("https://careerviet.vn/vi/tim-viec-lam/nhan-vien-kinh-doanh.35C079FD.html","Xem chi tiết")</f>
        <v/>
      </c>
    </row>
    <row r="5418">
      <c r="B5418" s="9" t="n">
        <v>5416</v>
      </c>
      <c r="C5418" s="10" t="inlineStr">
        <is>
          <t>Chuyên viên cao cấp Xử lý nợ Ngoại Bảng - Khu vực Nam Trung Bộ</t>
        </is>
      </c>
      <c r="D5418" s="10" t="inlineStr">
        <is>
          <t>Ngân Hàng TMCP Quốc Tế Việt Nam</t>
        </is>
      </c>
      <c r="E5418" s="10" t="inlineStr">
        <is>
          <t>Lương:15 Tr - 25 Tr VND</t>
        </is>
      </c>
      <c r="F5418" s="10" t="inlineStr">
        <is>
          <t>Khánh HòaQuảng Ngãi</t>
        </is>
      </c>
      <c r="G5418" s="10" t="inlineStr">
        <is>
          <t>27-03-2026</t>
        </is>
      </c>
      <c r="H5418" s="10" t="inlineStr">
        <is>
          <t>27/03/2026</t>
        </is>
      </c>
      <c r="I5418" s="10" t="inlineStr">
        <is>
          <t>17/03/2026</t>
        </is>
      </c>
      <c r="J5418" s="10" t="inlineStr">
        <is>
          <t>Luật / Pháp lý, Ngân hàng, An Ninh / Bảo Vệ</t>
        </is>
      </c>
      <c r="K5418" s="10" t="inlineStr">
        <is>
          <t>2 - 10 Năm</t>
        </is>
      </c>
      <c r="L5418" s="11">
        <f>HYPERLINK("https://careerviet.vn/vi/tim-viec-lam/chuyen-vien-cao-cap-xu-ly-no-ngoai-bang-khu-vuc-nam-trung-bo.35C66891.html","Xem chi tiết")</f>
        <v/>
      </c>
      <c r="M5418" s="10" t="n"/>
    </row>
    <row r="5419">
      <c r="B5419" s="7" t="n">
        <v>5417</v>
      </c>
      <c r="C5419" t="inlineStr">
        <is>
          <t>Chỉ Huy Trưởng</t>
        </is>
      </c>
      <c r="D5419" t="inlineStr">
        <is>
          <t>CÔNG TY CỔ PHẦN GIẢI PHÁP CHIẾU SÁNG NAVITEK</t>
        </is>
      </c>
      <c r="E5419" t="inlineStr">
        <is>
          <t>Lương:25 Tr - 30 Tr VND</t>
        </is>
      </c>
      <c r="F5419" t="inlineStr">
        <is>
          <t>Hồ Chí Minh</t>
        </is>
      </c>
      <c r="G5419" t="inlineStr">
        <is>
          <t>27-03-2026</t>
        </is>
      </c>
      <c r="H5419" t="inlineStr">
        <is>
          <t>27/03/2026</t>
        </is>
      </c>
      <c r="I5419" t="inlineStr">
        <is>
          <t>17/03/2026</t>
        </is>
      </c>
      <c r="J5419" t="inlineStr">
        <is>
          <t>Quản lý điều hành, Xây dựng, Điện / Điện tử / Điện lạnh / Điện công nghiệp</t>
        </is>
      </c>
      <c r="K5419" t="inlineStr">
        <is>
          <t>Trên 5 Năm</t>
        </is>
      </c>
      <c r="L5419" s="8">
        <f>HYPERLINK("https://careerviet.vn/vi/tim-viec-lam/chi-huy-truong.35C66A26.html","Xem chi tiết")</f>
        <v/>
      </c>
    </row>
    <row r="5420">
      <c r="B5420" s="9" t="n">
        <v>5418</v>
      </c>
      <c r="C5420" s="10" t="inlineStr">
        <is>
          <t>Nhân Viên Tư vấn Vàng - Kim cương (Quận 2, Thủ Đức)</t>
        </is>
      </c>
      <c r="D5420" s="10" t="inlineStr">
        <is>
          <t>CÔNG TY CỔ PHẦN VÀNG BẠC ĐÁ QUÝ LỘC PHÚC</t>
        </is>
      </c>
      <c r="E5420" s="10" t="inlineStr">
        <is>
          <t>Lương:6,8 Tr - 13 Tr VND</t>
        </is>
      </c>
      <c r="F5420" s="10" t="inlineStr">
        <is>
          <t>Hồ Chí Minh</t>
        </is>
      </c>
      <c r="G5420" s="10" t="inlineStr">
        <is>
          <t>27-03-2026</t>
        </is>
      </c>
      <c r="H5420" s="10" t="inlineStr">
        <is>
          <t>27/03/2026</t>
        </is>
      </c>
      <c r="I5420" s="10" t="inlineStr">
        <is>
          <t>17/03/2026</t>
        </is>
      </c>
      <c r="J5420" s="10" t="inlineStr">
        <is>
          <t>Bán lẻ / Bán sỉ, Bán hàng / Kinh doanh, Tư vấn</t>
        </is>
      </c>
      <c r="K5420" s="10" t="inlineStr">
        <is>
          <t>N/A</t>
        </is>
      </c>
      <c r="L5420" s="11">
        <f>HYPERLINK("https://careerviet.vn/vi/tim-viec-lam/nhan-vien-tu-van-vang-kim-cuong-quan-2-thu-duc.35C64000.html","Xem chi tiết")</f>
        <v/>
      </c>
      <c r="M5420" s="10" t="n"/>
    </row>
    <row r="5421">
      <c r="B5421" s="7" t="n">
        <v>5419</v>
      </c>
      <c r="C5421" t="inlineStr">
        <is>
          <t>Chuyên Viên Kinh Doanh (Kênh Đại Lý)</t>
        </is>
      </c>
      <c r="D5421" t="inlineStr">
        <is>
          <t>Công ty TNHH Hữu Toàn Group</t>
        </is>
      </c>
      <c r="E5421" t="inlineStr">
        <is>
          <t>Lương:10 Tr - 18 Tr VND</t>
        </is>
      </c>
      <c r="F5421" t="inlineStr">
        <is>
          <t>Hà Nội</t>
        </is>
      </c>
      <c r="G5421" t="inlineStr">
        <is>
          <t>27-03-2026</t>
        </is>
      </c>
      <c r="H5421" t="inlineStr">
        <is>
          <t>27/03/2026</t>
        </is>
      </c>
      <c r="I5421" t="inlineStr">
        <is>
          <t>17/03/2026</t>
        </is>
      </c>
      <c r="J5421" t="inlineStr">
        <is>
          <t>Bán hàng / Kinh doanh, Điện / Điện tử / Điện lạnh / Điện công nghiệp</t>
        </is>
      </c>
      <c r="K5421" t="inlineStr">
        <is>
          <t>2 - 7 Năm</t>
        </is>
      </c>
      <c r="L5421" s="8">
        <f>HYPERLINK("https://careerviet.vn/vi/tim-viec-lam/chuyen-vien-kinh-doanh-kenh-dai-ly.35C668FA.html","Xem chi tiết")</f>
        <v/>
      </c>
    </row>
    <row r="5422">
      <c r="B5422" s="9" t="n">
        <v>5420</v>
      </c>
      <c r="C5422" s="10" t="inlineStr">
        <is>
          <t>GIÁM SÁT OTC Miền Đông/Miền Trung</t>
        </is>
      </c>
      <c r="D5422" s="10" t="inlineStr">
        <is>
          <t>CÔNG TY TNHH DƯỢC PHẨM ĐÔ THÀNH</t>
        </is>
      </c>
      <c r="E5422" s="10" t="inlineStr">
        <is>
          <t>Lương:15 Tr - 30 Tr VND</t>
        </is>
      </c>
      <c r="F5422" s="10" t="inlineStr">
        <is>
          <t>Hồ Chí MinhKhánh HòaHà Nội</t>
        </is>
      </c>
      <c r="G5422" s="10" t="inlineStr">
        <is>
          <t>27-03-2026</t>
        </is>
      </c>
      <c r="H5422" s="10" t="inlineStr">
        <is>
          <t>27/03/2026</t>
        </is>
      </c>
      <c r="I5422" s="10" t="inlineStr">
        <is>
          <t>17/03/2026</t>
        </is>
      </c>
      <c r="J5422" s="10" t="inlineStr">
        <is>
          <t>Bán hàng / Kinh doanh, Dược phẩm/ Hóa Mỹ Phẩm</t>
        </is>
      </c>
      <c r="K5422" s="10" t="inlineStr">
        <is>
          <t>2 - 3 Năm</t>
        </is>
      </c>
      <c r="L5422" s="11">
        <f>HYPERLINK("https://careerviet.vn/vi/tim-viec-lam/giam-sat-otc-mien-dong-mien-trung.35C669C2.html","Xem chi tiết")</f>
        <v/>
      </c>
      <c r="M5422" s="10" t="n"/>
    </row>
    <row r="5423">
      <c r="B5423" s="7" t="n">
        <v>5421</v>
      </c>
      <c r="C5423" t="inlineStr">
        <is>
          <t>Trưởng Phòng/ Giám Đốc Quản Trị Khách Hàng (Hồ Chí Minh, Hà Nội)</t>
        </is>
      </c>
      <c r="D5423" t="inlineStr">
        <is>
          <t>Tổng công ty Cổ phần Bảo hiểm Bưu điện</t>
        </is>
      </c>
      <c r="E5423" t="inlineStr">
        <is>
          <t>Lương:Cạnh tranh</t>
        </is>
      </c>
      <c r="F5423" t="inlineStr">
        <is>
          <t>Hồ Chí Minh</t>
        </is>
      </c>
      <c r="G5423" t="inlineStr">
        <is>
          <t>31-03-2026</t>
        </is>
      </c>
      <c r="H5423" t="inlineStr">
        <is>
          <t>31/03/2026</t>
        </is>
      </c>
      <c r="I5423" t="inlineStr">
        <is>
          <t>17/03/2026</t>
        </is>
      </c>
      <c r="J5423" t="inlineStr">
        <is>
          <t>Ngân hàng, Bảo hiểm, Tài chính / Đầu tư</t>
        </is>
      </c>
      <c r="K5423" t="inlineStr">
        <is>
          <t>Trên 8 Năm</t>
        </is>
      </c>
      <c r="L5423" s="8">
        <f>HYPERLINK("https://careerviet.vn/vi/tim-viec-lam/truong-phong-giam-doc-quan-tri-khach-hang-ho-chi-minh-ha-noi.35C66866.html","Xem chi tiết")</f>
        <v/>
      </c>
    </row>
    <row r="5424">
      <c r="B5424" s="9" t="n">
        <v>5422</v>
      </c>
      <c r="C5424" s="10" t="inlineStr">
        <is>
          <t>Nhân viên hành chính nhân sự 27669 - Bình Thạnh, HCM</t>
        </is>
      </c>
      <c r="D5424" s="10" t="inlineStr">
        <is>
          <t>Công Ty TNHH Reeracoen Việt Nam</t>
        </is>
      </c>
      <c r="E5424" s="10" t="inlineStr">
        <is>
          <t>Lương:Cạnh tranh</t>
        </is>
      </c>
      <c r="F5424" s="10" t="inlineStr">
        <is>
          <t>Hồ Chí Minh</t>
        </is>
      </c>
      <c r="G5424" s="10" t="inlineStr">
        <is>
          <t>25-03-2026</t>
        </is>
      </c>
      <c r="H5424" s="10" t="inlineStr">
        <is>
          <t>25/03/2026</t>
        </is>
      </c>
      <c r="I5424" s="10" t="inlineStr">
        <is>
          <t>17/03/2026</t>
        </is>
      </c>
      <c r="J5424" s="10" t="inlineStr">
        <is>
          <t>Hành chính / Thư ký, Nhân sự, Quản lý điều hành</t>
        </is>
      </c>
      <c r="K5424" s="10" t="inlineStr">
        <is>
          <t>Trên 1 Năm</t>
        </is>
      </c>
      <c r="L5424" s="11">
        <f>HYPERLINK("https://careerviet.vn/vi/tim-viec-lam/nhan-vien-hanh-chinh-nhan-su-27669-binh-thanh-hcm.35C69817.html","Xem chi tiết")</f>
        <v/>
      </c>
      <c r="M5424" s="10" t="n"/>
    </row>
    <row r="5425">
      <c r="B5425" s="7" t="n">
        <v>5423</v>
      </c>
      <c r="C5425" t="inlineStr">
        <is>
          <t>Kỹ Sư Cao Cấp Đấu Thầu</t>
        </is>
      </c>
      <c r="D5425" t="inlineStr">
        <is>
          <t>Công Ty Cổ Phần Tập Đoàn Đầu Tư Địa Ốc No Va</t>
        </is>
      </c>
      <c r="E5425" t="inlineStr">
        <is>
          <t>Lương:Cạnh tranh</t>
        </is>
      </c>
      <c r="F5425" t="inlineStr">
        <is>
          <t>Hồ Chí Minh</t>
        </is>
      </c>
      <c r="G5425" t="inlineStr">
        <is>
          <t>27-03-2026</t>
        </is>
      </c>
      <c r="H5425" t="inlineStr">
        <is>
          <t>27/03/2026</t>
        </is>
      </c>
      <c r="I5425" t="inlineStr">
        <is>
          <t>17/03/2026</t>
        </is>
      </c>
      <c r="J5425" t="inlineStr">
        <is>
          <t>Kiến trúc, Xây dựng, Bất động sản</t>
        </is>
      </c>
      <c r="K5425" t="inlineStr">
        <is>
          <t>5 - 20 Năm</t>
        </is>
      </c>
      <c r="L5425" s="8">
        <f>HYPERLINK("https://careerviet.vn/vi/tim-viec-lam/ky-su-cao-cap-dau-thau.35C668A6.html","Xem chi tiết")</f>
        <v/>
      </c>
    </row>
    <row r="5426">
      <c r="B5426" s="9" t="n">
        <v>5424</v>
      </c>
      <c r="C5426" s="10" t="inlineStr">
        <is>
          <t>Nhân viên hồ sơ thầu (mảng dược phẩm)</t>
        </is>
      </c>
      <c r="D5426" s="10" t="inlineStr">
        <is>
          <t>CÔNG TY CỔ PHẦN DƯỢC LIỆU TRUNG ƯƠNG 2</t>
        </is>
      </c>
      <c r="E5426" s="10" t="inlineStr">
        <is>
          <t>Lương:12 Tr - 20 Tr VND</t>
        </is>
      </c>
      <c r="F5426" s="10" t="inlineStr">
        <is>
          <t>Hồ Chí Minh</t>
        </is>
      </c>
      <c r="G5426" s="10" t="inlineStr">
        <is>
          <t>26-03-2026</t>
        </is>
      </c>
      <c r="H5426" s="10" t="inlineStr">
        <is>
          <t>26/03/2026</t>
        </is>
      </c>
      <c r="I5426" s="10" t="inlineStr">
        <is>
          <t>17/03/2026</t>
        </is>
      </c>
      <c r="J5426" s="10" t="inlineStr">
        <is>
          <t>Dược phẩm/ Hóa Mỹ Phẩm</t>
        </is>
      </c>
      <c r="K5426" s="10" t="inlineStr">
        <is>
          <t>3 - 5 Năm</t>
        </is>
      </c>
      <c r="L5426" s="11">
        <f>HYPERLINK("https://careerviet.vn/vi/tim-viec-lam/nhan-vien-ho-so-thau-mang-duoc-pham.35C696B5.html","Xem chi tiết")</f>
        <v/>
      </c>
      <c r="M5426" s="10" t="n"/>
    </row>
    <row r="5427">
      <c r="B5427" s="7" t="n">
        <v>5425</v>
      </c>
      <c r="C5427" t="inlineStr">
        <is>
          <t>SALES &amp; TRỢ LÝ GIÁM ĐỐC (CEO ASSISTANT)</t>
        </is>
      </c>
      <c r="D5427" t="inlineStr">
        <is>
          <t>Công ty TNHH TJ Tech</t>
        </is>
      </c>
      <c r="E5427" t="inlineStr">
        <is>
          <t>Lương:1.000 - 1.500 USD</t>
        </is>
      </c>
      <c r="F5427" t="inlineStr">
        <is>
          <t>Hà Nội</t>
        </is>
      </c>
      <c r="G5427" t="inlineStr">
        <is>
          <t>27-03-2026</t>
        </is>
      </c>
      <c r="H5427" t="inlineStr">
        <is>
          <t>27/03/2026</t>
        </is>
      </c>
      <c r="I5427" t="inlineStr">
        <is>
          <t>17/03/2026</t>
        </is>
      </c>
      <c r="J5427" t="inlineStr">
        <is>
          <t>Bán hàng / Kinh doanh, Hành chính / Thư ký</t>
        </is>
      </c>
      <c r="K5427" t="inlineStr">
        <is>
          <t>2 - 3 Năm</t>
        </is>
      </c>
      <c r="L5427" s="8">
        <f>HYPERLINK("https://careerviet.vn/vi/tim-viec-lam/sales-tro-ly-giam-doc-ceo-assistant.35C669BA.html","Xem chi tiết")</f>
        <v/>
      </c>
    </row>
    <row r="5428">
      <c r="B5428" s="9" t="n">
        <v>5426</v>
      </c>
      <c r="C5428" s="10" t="inlineStr">
        <is>
          <t>Nhân viên vận hành hệ thống - Utility Staff</t>
        </is>
      </c>
      <c r="D5428" s="10" t="inlineStr">
        <is>
          <t>CHI NHÁNH CÔNG TY TRÁCH NHIỆM HỮU HẠN HYOSUNG ĐỒNG NAI - BIO BÀ RỊA - VŨNG TÀU</t>
        </is>
      </c>
      <c r="E5428" s="10" t="inlineStr">
        <is>
          <t>Lương:Cạnh tranh</t>
        </is>
      </c>
      <c r="F5428" s="10" t="inlineStr">
        <is>
          <t>Bà Rịa - Vũng Tàu</t>
        </is>
      </c>
      <c r="G5428" s="10" t="inlineStr">
        <is>
          <t>27-03-2026</t>
        </is>
      </c>
      <c r="H5428" s="10" t="inlineStr">
        <is>
          <t>27/03/2026</t>
        </is>
      </c>
      <c r="I5428" s="10" t="inlineStr">
        <is>
          <t>17/03/2026</t>
        </is>
      </c>
      <c r="J5428" s="10" t="inlineStr">
        <is>
          <t>Cơ khí / Ô tô / Tự động hóa, Sản xuất / Vận hành sản xuất</t>
        </is>
      </c>
      <c r="K5428" s="10" t="inlineStr">
        <is>
          <t>Chưa có kinh nghiệm</t>
        </is>
      </c>
      <c r="L5428" s="11">
        <f>HYPERLINK("https://careerviet.vn/vi/tim-viec-lam/nhan-vien-van-hanh-he-thong-utility-staff.35C669FB.html","Xem chi tiết")</f>
        <v/>
      </c>
      <c r="M5428" s="10" t="n"/>
    </row>
    <row r="5429">
      <c r="B5429" s="7" t="n">
        <v>5427</v>
      </c>
      <c r="C5429" t="inlineStr">
        <is>
          <t>CHUYÊN VIÊN NHÂN SỰ</t>
        </is>
      </c>
      <c r="D5429" t="inlineStr">
        <is>
          <t>THỜI TRANG TRẺ EM RABITY</t>
        </is>
      </c>
      <c r="E5429" t="inlineStr">
        <is>
          <t>Lương:15 Tr - 18 Tr VND</t>
        </is>
      </c>
      <c r="F5429" t="inlineStr">
        <is>
          <t>Hồ Chí Minh</t>
        </is>
      </c>
      <c r="G5429" t="inlineStr">
        <is>
          <t>25-03-2026</t>
        </is>
      </c>
      <c r="H5429" t="inlineStr">
        <is>
          <t>25/03/2026</t>
        </is>
      </c>
      <c r="I5429" t="inlineStr">
        <is>
          <t>17/03/2026</t>
        </is>
      </c>
      <c r="J5429" t="inlineStr">
        <is>
          <t>Bán lẻ / Bán sỉ, Bán hàng / Kinh doanh, Hành chính / Thư ký</t>
        </is>
      </c>
      <c r="K5429" t="inlineStr">
        <is>
          <t>4 - 5 Năm</t>
        </is>
      </c>
      <c r="L5429" s="8">
        <f>HYPERLINK("https://careerviet.vn/vi/tim-viec-lam/chuyen-vien-nhan-su.35C692D8.html","Xem chi tiết")</f>
        <v/>
      </c>
    </row>
    <row r="5430">
      <c r="B5430" s="9" t="n">
        <v>5428</v>
      </c>
      <c r="C5430" s="10" t="inlineStr">
        <is>
          <t>[Long An]_Kỹ sư hạ tầng kỹ thuật</t>
        </is>
      </c>
      <c r="D5430" s="10" t="inlineStr">
        <is>
          <t>CÔNG TY CP TẬP ĐOÀN ĐẦU TƯ HOÀNG GIA VIỆT NAM</t>
        </is>
      </c>
      <c r="E5430" s="10" t="inlineStr">
        <is>
          <t>Lương:Cạnh tranh</t>
        </is>
      </c>
      <c r="F5430" s="10" t="inlineStr">
        <is>
          <t>Long An</t>
        </is>
      </c>
      <c r="G5430" s="10" t="inlineStr">
        <is>
          <t>27-03-2026</t>
        </is>
      </c>
      <c r="H5430" s="10" t="inlineStr">
        <is>
          <t>27/03/2026</t>
        </is>
      </c>
      <c r="I5430" s="10" t="inlineStr">
        <is>
          <t>17/03/2026</t>
        </is>
      </c>
      <c r="J5430" s="10" t="inlineStr">
        <is>
          <t>Xây dựng</t>
        </is>
      </c>
      <c r="K5430" s="10" t="inlineStr">
        <is>
          <t>Trên 5 Năm</t>
        </is>
      </c>
      <c r="L5430" s="11">
        <f>HYPERLINK("https://careerviet.vn/vi/tim-viec-lam/long-an-_ky-su-ha-tang-ky-thuat.35C6402A.html","Xem chi tiết")</f>
        <v/>
      </c>
      <c r="M5430" s="10" t="n"/>
    </row>
    <row r="5431">
      <c r="B5431" s="7" t="n">
        <v>5429</v>
      </c>
      <c r="C5431" t="inlineStr">
        <is>
          <t>POWER ELECTRONICS ENGINEER (R&amp;D)</t>
        </is>
      </c>
      <c r="D5431" t="inlineStr">
        <is>
          <t>Công Ty Cổ Phần Indefol Solar</t>
        </is>
      </c>
      <c r="E5431" t="inlineStr">
        <is>
          <t>Lương:15 Tr - 30 Tr VND</t>
        </is>
      </c>
      <c r="F5431" t="inlineStr">
        <is>
          <t>Hồ Chí Minh</t>
        </is>
      </c>
      <c r="G5431" t="inlineStr">
        <is>
          <t>27-03-2026</t>
        </is>
      </c>
      <c r="H5431" t="inlineStr">
        <is>
          <t>27/03/2026</t>
        </is>
      </c>
      <c r="I5431" t="inlineStr">
        <is>
          <t>17/03/2026</t>
        </is>
      </c>
      <c r="J5431" t="inlineStr">
        <is>
          <t>Cơ khí / Ô tô / Tự động hóa, Điện / Điện tử / Điện lạnh / Điện công nghiệp</t>
        </is>
      </c>
      <c r="K5431" t="inlineStr">
        <is>
          <t>Chưa có kinh nghiệm</t>
        </is>
      </c>
      <c r="L5431" s="8">
        <f>HYPERLINK("https://careerviet.vn/vi/tim-viec-lam/power-electronics-engineer-r-d.35C66889.html","Xem chi tiết")</f>
        <v/>
      </c>
    </row>
    <row r="5432">
      <c r="B5432" s="9" t="n">
        <v>5430</v>
      </c>
      <c r="C5432" s="10" t="inlineStr">
        <is>
          <t>Sales Admin / Trợ Lý Kinh Doanh</t>
        </is>
      </c>
      <c r="D5432" s="10" t="inlineStr">
        <is>
          <t>VIHAN INTERNATIONAL CO.,LTD</t>
        </is>
      </c>
      <c r="E5432" s="10" t="inlineStr">
        <is>
          <t>Lương:12 Tr - 25 Tr VND</t>
        </is>
      </c>
      <c r="F5432" s="10" t="inlineStr">
        <is>
          <t>Hà Nội</t>
        </is>
      </c>
      <c r="G5432" s="10" t="inlineStr">
        <is>
          <t>31-03-2026</t>
        </is>
      </c>
      <c r="H5432" s="10" t="inlineStr">
        <is>
          <t>31/03/2026</t>
        </is>
      </c>
      <c r="I5432" s="10" t="inlineStr">
        <is>
          <t>17/03/2026</t>
        </is>
      </c>
      <c r="J5432" s="10" t="inlineStr">
        <is>
          <t>Bán hàng / Kinh doanh, Y tế / Chăm sóc sức khỏe / Thẩm mỹ / Làm đẹp, Tư vấn</t>
        </is>
      </c>
      <c r="K5432" s="10" t="inlineStr">
        <is>
          <t>Lên đến 1 Năm</t>
        </is>
      </c>
      <c r="L5432" s="11">
        <f>HYPERLINK("https://careerviet.vn/vi/tim-viec-lam/sales-admin-tro-ly-kinh-doanh.35C6979F.html","Xem chi tiết")</f>
        <v/>
      </c>
      <c r="M5432" s="10" t="n"/>
    </row>
    <row r="5433">
      <c r="B5433" s="7" t="n">
        <v>5431</v>
      </c>
      <c r="C5433" t="inlineStr">
        <is>
          <t>Quản lý Khách hàng Sản phẩm Thẻ - Vùng Tây Hà Nội</t>
        </is>
      </c>
      <c r="D5433" t="inlineStr">
        <is>
          <t>Ngân Hàng TMCP Quốc Tế Việt Nam</t>
        </is>
      </c>
      <c r="E5433" t="inlineStr">
        <is>
          <t>Lương:10 Tr - 20 Tr VND</t>
        </is>
      </c>
      <c r="F5433" t="inlineStr">
        <is>
          <t>Hà NộiPhú ThọVĩnh Phúc</t>
        </is>
      </c>
      <c r="G5433" t="inlineStr">
        <is>
          <t>27-03-2026</t>
        </is>
      </c>
      <c r="H5433" t="inlineStr">
        <is>
          <t>27/03/2026</t>
        </is>
      </c>
      <c r="I5433" t="inlineStr">
        <is>
          <t>17/03/2026</t>
        </is>
      </c>
      <c r="J5433" t="inlineStr">
        <is>
          <t>Bán hàng / Kinh doanh, Ngân hàng, Tài chính / Đầu tư</t>
        </is>
      </c>
      <c r="K5433" t="inlineStr">
        <is>
          <t>N/A</t>
        </is>
      </c>
      <c r="L5433" s="8">
        <f>HYPERLINK("https://careerviet.vn/vi/tim-viec-lam/quan-ly-khach-hang-san-pham-the-vung-tay-ha-noi.35C669CE.html","Xem chi tiết")</f>
        <v/>
      </c>
    </row>
    <row r="5434">
      <c r="B5434" s="9" t="n">
        <v>5432</v>
      </c>
      <c r="C5434" s="10" t="inlineStr">
        <is>
          <t>Nhân Viên Kinh Doanh (Ngành Nhôm)</t>
        </is>
      </c>
      <c r="D5434" s="10" t="inlineStr">
        <is>
          <t>CÔNG TY TNHH XUẤT NHẬP KHẨU CÁT TƯỜNG</t>
        </is>
      </c>
      <c r="E5434" s="10" t="inlineStr">
        <is>
          <t>Lương:12 Tr - 15 Tr VND</t>
        </is>
      </c>
      <c r="F5434" s="10" t="inlineStr">
        <is>
          <t>Hồ Chí Minh</t>
        </is>
      </c>
      <c r="G5434" s="10" t="inlineStr">
        <is>
          <t>24-03-2026</t>
        </is>
      </c>
      <c r="H5434" s="10" t="inlineStr">
        <is>
          <t>24/03/2026</t>
        </is>
      </c>
      <c r="I5434" s="10" t="inlineStr">
        <is>
          <t>17/03/2026</t>
        </is>
      </c>
      <c r="J5434" s="10" t="inlineStr">
        <is>
          <t>Bán hàng / Kinh doanh, Bán lẻ / Bán sỉ, Xuất nhập khẩu</t>
        </is>
      </c>
      <c r="K5434" s="10" t="inlineStr">
        <is>
          <t>N/A</t>
        </is>
      </c>
      <c r="L5434" s="11">
        <f>HYPERLINK("https://careerviet.vn/vi/tim-viec-lam/nhan-vien-kinh-doanh-nganh-nhom.35C6977F.html","Xem chi tiết")</f>
        <v/>
      </c>
      <c r="M5434" s="10" t="n"/>
    </row>
    <row r="5435">
      <c r="B5435" s="7" t="n">
        <v>5433</v>
      </c>
      <c r="C5435" t="inlineStr">
        <is>
          <t>Nhân viên đào tạo &amp; phát triển nhân tài (HCM)</t>
        </is>
      </c>
      <c r="D5435" t="inlineStr">
        <is>
          <t>Công Ty TNHH Sunjin Vina</t>
        </is>
      </c>
      <c r="E5435" t="inlineStr">
        <is>
          <t>Lương:15 Tr - 20 Tr VND</t>
        </is>
      </c>
      <c r="F5435" t="inlineStr">
        <is>
          <t>Hồ Chí Minh</t>
        </is>
      </c>
      <c r="G5435" t="inlineStr">
        <is>
          <t>31-03-2026</t>
        </is>
      </c>
      <c r="H5435" t="inlineStr">
        <is>
          <t>31/03/2026</t>
        </is>
      </c>
      <c r="I5435" t="inlineStr">
        <is>
          <t>17/03/2026</t>
        </is>
      </c>
      <c r="J5435" t="inlineStr">
        <is>
          <t>Nhân sự, Nông nghiệp, Chăn nuôi / Thú y</t>
        </is>
      </c>
      <c r="K5435" t="inlineStr">
        <is>
          <t>2 - 5 Năm</t>
        </is>
      </c>
      <c r="L5435" s="8">
        <f>HYPERLINK("https://careerviet.vn/vi/tim-viec-lam/nhan-vien-dao-tao-phat-trien-nhan-tai-hcm.35C697BF.html","Xem chi tiết")</f>
        <v/>
      </c>
    </row>
    <row r="5436">
      <c r="B5436" s="9" t="n">
        <v>5434</v>
      </c>
      <c r="C5436" s="10" t="inlineStr">
        <is>
          <t>MT Account Supervisor ( Giám sát bán hàng kênh siêu thị )</t>
        </is>
      </c>
      <c r="D5436" s="10" t="inlineStr">
        <is>
          <t>URC Vietnam Co., Ltd.</t>
        </is>
      </c>
      <c r="E5436" s="10" t="inlineStr">
        <is>
          <t>Lương:11 Tr - 12 Tr VND</t>
        </is>
      </c>
      <c r="F5436" s="10" t="inlineStr">
        <is>
          <t>Hồ Chí Minh</t>
        </is>
      </c>
      <c r="G5436" s="10" t="inlineStr">
        <is>
          <t>25-02-2026</t>
        </is>
      </c>
      <c r="H5436" s="10" t="inlineStr">
        <is>
          <t>08/03/2026</t>
        </is>
      </c>
      <c r="I5436" s="10" t="inlineStr">
        <is>
          <t>17/03/2026</t>
        </is>
      </c>
      <c r="J5436" s="10" t="inlineStr">
        <is>
          <t>Tiếp thị / Marketing, Bán lẻ / Bán sỉ, Bán hàng / Kinh doanh</t>
        </is>
      </c>
      <c r="K5436" s="10" t="inlineStr">
        <is>
          <t>2 - 5 Năm</t>
        </is>
      </c>
      <c r="L5436" s="11">
        <f>HYPERLINK("https://careerviet.vn/vi/tim-viec-lam/mt-account-supervisor-giam-sat-ban-hang-kenh-sieu-thi.35C68606.html","Xem chi tiết")</f>
        <v/>
      </c>
      <c r="M5436" s="10" t="n"/>
    </row>
    <row r="5437">
      <c r="B5437" s="7" t="n">
        <v>5435</v>
      </c>
      <c r="C5437" t="inlineStr">
        <is>
          <t>[Hà Nội] - Ngân hàng doanh nghiệp - Chuyên viên/Chuyên viên cao cấp Giải pháp (mảng Phân khúc khách hàng)</t>
        </is>
      </c>
      <c r="D5437" t="inlineStr">
        <is>
          <t>Ngân hàng TMCP Lộc Phát Việt Nam (LPBank)</t>
        </is>
      </c>
      <c r="E5437" t="inlineStr">
        <is>
          <t>Lương:Cạnh tranh</t>
        </is>
      </c>
      <c r="F5437" t="inlineStr">
        <is>
          <t>Hà Nội</t>
        </is>
      </c>
      <c r="G5437" t="inlineStr">
        <is>
          <t>27-03-2026</t>
        </is>
      </c>
      <c r="H5437" t="inlineStr">
        <is>
          <t>27/03/2026</t>
        </is>
      </c>
      <c r="I5437" t="inlineStr">
        <is>
          <t>17/03/2026</t>
        </is>
      </c>
      <c r="J5437" t="inlineStr">
        <is>
          <t>Ngân hàng</t>
        </is>
      </c>
      <c r="K5437" t="inlineStr">
        <is>
          <t>Trên 2 Năm</t>
        </is>
      </c>
      <c r="L5437" s="8">
        <f>HYPERLINK("https://careerviet.vn/vi/tim-viec-lam/ha-noi-ngan-hang-doanh-nghiep-chuyen-vien-chuyen-vien-cao-cap-giai-phap-mang-phan-khuc-khach-hang.35C668BC.html","Xem chi tiết")</f>
        <v/>
      </c>
    </row>
    <row r="5438">
      <c r="B5438" s="9" t="n">
        <v>5436</v>
      </c>
      <c r="C5438" s="10" t="inlineStr">
        <is>
          <t>Kỹ Sư Tự Động Hóa</t>
        </is>
      </c>
      <c r="D5438" s="10" t="inlineStr">
        <is>
          <t>CÔNG TY TRÁCH NHIỆM HỮU HẠN SÀI GÒN PRECISION</t>
        </is>
      </c>
      <c r="E5438" s="10" t="inlineStr">
        <is>
          <t>Lương:Cạnh tranh</t>
        </is>
      </c>
      <c r="F5438" s="10" t="inlineStr">
        <is>
          <t>Hồ Chí Minh</t>
        </is>
      </c>
      <c r="G5438" s="10" t="inlineStr">
        <is>
          <t>27-03-2026</t>
        </is>
      </c>
      <c r="H5438" s="10" t="inlineStr">
        <is>
          <t>27/03/2026</t>
        </is>
      </c>
      <c r="I5438" s="10" t="inlineStr">
        <is>
          <t>17/03/2026</t>
        </is>
      </c>
      <c r="J5438" s="10" t="inlineStr">
        <is>
          <t>Cơ khí / Ô tô / Tự động hóa</t>
        </is>
      </c>
      <c r="K5438" s="10" t="inlineStr">
        <is>
          <t>1 - 5 Năm</t>
        </is>
      </c>
      <c r="L5438" s="11">
        <f>HYPERLINK("https://careerviet.vn/vi/tim-viec-lam/ky-su-tu-dong-hoa.35C69815.html","Xem chi tiết")</f>
        <v/>
      </c>
      <c r="M5438" s="10" t="n"/>
    </row>
    <row r="5439">
      <c r="B5439" s="7" t="n">
        <v>5437</v>
      </c>
      <c r="C5439" t="inlineStr">
        <is>
          <t>Supplier Quality Engineer (HCM/Bình Dương/Đồng Nai)</t>
        </is>
      </c>
      <c r="D5439" t="inlineStr">
        <is>
          <t>Techtronic Industries Vietnam Manufacturing Company Limited</t>
        </is>
      </c>
      <c r="E5439" t="inlineStr">
        <is>
          <t>Lương:Cạnh tranh</t>
        </is>
      </c>
      <c r="F5439" t="inlineStr">
        <is>
          <t>Hồ Chí MinhĐồng NaiBình Dương</t>
        </is>
      </c>
      <c r="G5439" t="inlineStr">
        <is>
          <t>27-03-2026</t>
        </is>
      </c>
      <c r="H5439" t="inlineStr">
        <is>
          <t>27/03/2026</t>
        </is>
      </c>
      <c r="I5439" t="inlineStr">
        <is>
          <t>17/03/2026</t>
        </is>
      </c>
      <c r="J5439" t="inlineStr">
        <is>
          <t>Cơ khí / Ô tô / Tự động hóa, Quản lý chất lượng (QA/QC), Điện / Điện tử / Điện lạnh / Điện công nghiệp</t>
        </is>
      </c>
      <c r="K5439" t="inlineStr">
        <is>
          <t>N/A</t>
        </is>
      </c>
      <c r="L5439" s="8">
        <f>HYPERLINK("https://careerviet.vn/vi/tim-viec-lam/supplier-quality-engineer-hcm-binh-duong-dong-nai.35C697B4.html","Xem chi tiết")</f>
        <v/>
      </c>
    </row>
    <row r="5440">
      <c r="B5440" s="9" t="n">
        <v>5438</v>
      </c>
      <c r="C5440" s="10" t="inlineStr">
        <is>
          <t>Customer Service Officer - Fresh Graduate</t>
        </is>
      </c>
      <c r="D5440" s="10" t="inlineStr">
        <is>
          <t>CÔNG TY TNHH ROHTO-MENTHOLATUM (VIỆT NAM)</t>
        </is>
      </c>
      <c r="E5440" s="10" t="inlineStr">
        <is>
          <t>Lương:Cạnh tranh</t>
        </is>
      </c>
      <c r="F5440" s="10" t="inlineStr">
        <is>
          <t>Hồ Chí Minh</t>
        </is>
      </c>
      <c r="G5440" s="10" t="inlineStr">
        <is>
          <t>24-03-2026</t>
        </is>
      </c>
      <c r="H5440" s="10" t="inlineStr">
        <is>
          <t>24/03/2026</t>
        </is>
      </c>
      <c r="I5440" s="10" t="inlineStr">
        <is>
          <t>17/03/2026</t>
        </is>
      </c>
      <c r="J5440" s="10" t="inlineStr">
        <is>
          <t>Hàng gia dụng / Chăm sóc cá nhân</t>
        </is>
      </c>
      <c r="K5440" s="10" t="inlineStr">
        <is>
          <t>Chưa có kinh nghiệm</t>
        </is>
      </c>
      <c r="L5440" s="11">
        <f>HYPERLINK("https://careerviet.vn/vi/tim-viec-lam/customer-service-officer-fresh-graduate.35C697BD.html","Xem chi tiết")</f>
        <v/>
      </c>
      <c r="M5440" s="10" t="n"/>
    </row>
    <row r="5441">
      <c r="B5441" s="7" t="n">
        <v>5439</v>
      </c>
      <c r="C5441" t="inlineStr">
        <is>
          <t>International Procurement Executive/Specialist</t>
        </is>
      </c>
      <c r="D5441" t="inlineStr">
        <is>
          <t>Công Ty TNHH SX Và TM Quân Đạt</t>
        </is>
      </c>
      <c r="E5441" t="inlineStr">
        <is>
          <t>Lương:Cạnh tranh</t>
        </is>
      </c>
      <c r="F5441" t="inlineStr">
        <is>
          <t>Hồ Chí Minh</t>
        </is>
      </c>
      <c r="G5441" t="inlineStr">
        <is>
          <t>26-03-2026</t>
        </is>
      </c>
      <c r="H5441" t="inlineStr">
        <is>
          <t>26/03/2026</t>
        </is>
      </c>
      <c r="I5441" t="inlineStr">
        <is>
          <t>17/03/2026</t>
        </is>
      </c>
      <c r="J5441" t="inlineStr">
        <is>
          <t>Cơ khí / Ô tô / Tự động hóa, Thu mua / Vật tư, Xây dựng</t>
        </is>
      </c>
      <c r="K5441" t="inlineStr">
        <is>
          <t>1 - 5 Năm</t>
        </is>
      </c>
      <c r="L5441" s="8">
        <f>HYPERLINK("https://careerviet.vn/vi/tim-viec-lam/international-procurement-executive-specialist.35C697EA.html","Xem chi tiết")</f>
        <v/>
      </c>
    </row>
    <row r="5442">
      <c r="B5442" s="9" t="n">
        <v>5440</v>
      </c>
      <c r="C5442" s="10" t="inlineStr">
        <is>
          <t>Nhân Viên Kỹ Thuật Thiết Bị Y Tế (Sales Engineer)</t>
        </is>
      </c>
      <c r="D5442" s="10" t="inlineStr">
        <is>
          <t>CÔNG TY TNHH CLOVER CỘNG</t>
        </is>
      </c>
      <c r="E5442" s="10" t="inlineStr">
        <is>
          <t>Lương:Cạnh tranh</t>
        </is>
      </c>
      <c r="F5442" s="10" t="inlineStr">
        <is>
          <t>Hồ Chí Minh</t>
        </is>
      </c>
      <c r="G5442" s="10" t="inlineStr">
        <is>
          <t>25-03-2026</t>
        </is>
      </c>
      <c r="H5442" s="10" t="inlineStr">
        <is>
          <t>25/03/2026</t>
        </is>
      </c>
      <c r="I5442" s="10" t="inlineStr">
        <is>
          <t>17/03/2026</t>
        </is>
      </c>
      <c r="J5442" s="10" t="inlineStr">
        <is>
          <t>Bán lẻ / Bán sỉ, Bán hàng / Kinh doanh, Y tế / Chăm sóc sức khỏe / Thẩm mỹ / Làm đẹp</t>
        </is>
      </c>
      <c r="K5442" s="10" t="inlineStr">
        <is>
          <t>N/A</t>
        </is>
      </c>
      <c r="L5442" s="11">
        <f>HYPERLINK("https://careerviet.vn/vi/tim-viec-lam/nhan-vien-ky-thuat-thiet-bi-y-te-sales-engineer.35C69748.html","Xem chi tiết")</f>
        <v/>
      </c>
      <c r="M5442" s="10" t="n"/>
    </row>
    <row r="5443">
      <c r="B5443" s="7" t="n">
        <v>5441</v>
      </c>
      <c r="C5443" t="inlineStr">
        <is>
          <t>Giám sát HSE</t>
        </is>
      </c>
      <c r="D5443" t="inlineStr">
        <is>
          <t>PeopleWise Vietnam</t>
        </is>
      </c>
      <c r="E5443" t="inlineStr">
        <is>
          <t>Lương:Cạnh tranh</t>
        </is>
      </c>
      <c r="F5443" t="inlineStr">
        <is>
          <t>Bà Rịa - Vũng Tàu</t>
        </is>
      </c>
      <c r="G5443" t="inlineStr">
        <is>
          <t>27-03-2026</t>
        </is>
      </c>
      <c r="H5443" t="inlineStr">
        <is>
          <t>27/03/2026</t>
        </is>
      </c>
      <c r="I5443" t="inlineStr">
        <is>
          <t>17/03/2026</t>
        </is>
      </c>
      <c r="J5443" t="inlineStr">
        <is>
          <t>Cơ khí / Ô tô / Tự động hóa, Bảo trì / Sửa chữa, Sản xuất / Vận hành sản xuất</t>
        </is>
      </c>
      <c r="K5443" t="inlineStr">
        <is>
          <t>Lên đến 5 Năm</t>
        </is>
      </c>
      <c r="L5443" s="8">
        <f>HYPERLINK("https://careerviet.vn/vi/tim-viec-lam/giam-sat-hse.35C66881.html","Xem chi tiết")</f>
        <v/>
      </c>
    </row>
    <row r="5444">
      <c r="B5444" s="9" t="n">
        <v>5442</v>
      </c>
      <c r="C5444" s="10" t="inlineStr">
        <is>
          <t>Quản lý sản xuất</t>
        </is>
      </c>
      <c r="D5444" s="10" t="inlineStr">
        <is>
          <t>SHIN Cà Phê - Công ty Cổ phần Cà phê Golden Beans</t>
        </is>
      </c>
      <c r="E5444" s="10" t="inlineStr">
        <is>
          <t>Lương:28 Tr - 30 Tr VND</t>
        </is>
      </c>
      <c r="F5444" s="10" t="inlineStr">
        <is>
          <t>Hồ Chí Minh</t>
        </is>
      </c>
      <c r="G5444" s="10" t="inlineStr">
        <is>
          <t>31-03-2026</t>
        </is>
      </c>
      <c r="H5444" s="10" t="inlineStr">
        <is>
          <t>31/03/2026</t>
        </is>
      </c>
      <c r="I5444" s="10" t="inlineStr">
        <is>
          <t>17/03/2026</t>
        </is>
      </c>
      <c r="J5444" s="10" t="inlineStr">
        <is>
          <t>Sản xuất / Vận hành sản xuất, Thực phẩm &amp; Đồ uống, Công nghệ thực phẩm / Dinh dưỡng</t>
        </is>
      </c>
      <c r="K5444" s="10" t="inlineStr">
        <is>
          <t>5 - 7 Năm</t>
        </is>
      </c>
      <c r="L5444" s="11">
        <f>HYPERLINK("https://careerviet.vn/vi/tim-viec-lam/quan-ly-san-xuat.35C697DF.html","Xem chi tiết")</f>
        <v/>
      </c>
      <c r="M5444" s="10" t="n"/>
    </row>
    <row r="5445">
      <c r="B5445" s="7" t="n">
        <v>5443</v>
      </c>
      <c r="C5445" t="inlineStr">
        <is>
          <t>NHÂN VIÊN THỐNG KÊ DỮ LIỆU</t>
        </is>
      </c>
      <c r="D5445" t="inlineStr">
        <is>
          <t>Công Ty Tnhh Thương Mại Dịch Vụ Xuất Nhập Khẩu Thế giới Baby</t>
        </is>
      </c>
      <c r="E5445" t="inlineStr">
        <is>
          <t>Lương:9 Tr - 12 Tr VND</t>
        </is>
      </c>
      <c r="F5445" t="inlineStr">
        <is>
          <t>Hồ Chí Minh</t>
        </is>
      </c>
      <c r="G5445" t="inlineStr">
        <is>
          <t>31-03-2026</t>
        </is>
      </c>
      <c r="H5445" t="inlineStr">
        <is>
          <t>31/03/2026</t>
        </is>
      </c>
      <c r="I5445" t="inlineStr">
        <is>
          <t>17/03/2026</t>
        </is>
      </c>
      <c r="J5445" t="inlineStr">
        <is>
          <t>Kế toán / Kiểm toán</t>
        </is>
      </c>
      <c r="K5445" t="inlineStr">
        <is>
          <t>1 - 3 Năm</t>
        </is>
      </c>
      <c r="L5445" s="8">
        <f>HYPERLINK("https://careerviet.vn/vi/tim-viec-lam/nhan-vien-thong-ke-du-lieu.35C6978E.html","Xem chi tiết")</f>
        <v/>
      </c>
    </row>
    <row r="5446">
      <c r="B5446" s="9" t="n">
        <v>5444</v>
      </c>
      <c r="C5446" s="10" t="inlineStr">
        <is>
          <t>Supervisor LẬP KẾ HOẠCH SẢN XUẤT tại công ty sản xuất mới thành lập của Nhật</t>
        </is>
      </c>
      <c r="D5446" s="10" t="inlineStr">
        <is>
          <t>Công ty TNHH AOBA Việt Nam</t>
        </is>
      </c>
      <c r="E5446" s="10" t="inlineStr">
        <is>
          <t>Lương:1.000 - 1.200 USD</t>
        </is>
      </c>
      <c r="F5446" s="10" t="inlineStr">
        <is>
          <t>Đồng Nai</t>
        </is>
      </c>
      <c r="G5446" s="10" t="inlineStr">
        <is>
          <t>31-03-2026</t>
        </is>
      </c>
      <c r="H5446" s="10" t="inlineStr">
        <is>
          <t>31/03/2026</t>
        </is>
      </c>
      <c r="I5446" s="10" t="inlineStr">
        <is>
          <t>17/03/2026</t>
        </is>
      </c>
      <c r="J5446" s="10" t="inlineStr">
        <is>
          <t>Sản xuất / Vận hành sản xuất</t>
        </is>
      </c>
      <c r="K5446" s="10" t="inlineStr">
        <is>
          <t>3 - 10 Năm</t>
        </is>
      </c>
      <c r="L5446" s="11">
        <f>HYPERLINK("https://careerviet.vn/vi/tim-viec-lam/supervisor-lap-ke-hoach-san-xuat-tai-cong-ty-san-xuat-moi-thanh-lap-cua-nhat.35C69779.html","Xem chi tiết")</f>
        <v/>
      </c>
      <c r="M5446" s="10" t="n"/>
    </row>
    <row r="5447">
      <c r="B5447" s="7" t="n">
        <v>5445</v>
      </c>
      <c r="C5447" t="inlineStr">
        <is>
          <t>Trưởng phòng nhân sự</t>
        </is>
      </c>
      <c r="D5447" t="inlineStr">
        <is>
          <t>Công ty Cổ Phần Đầu tư và Phát triển Tập đoàn Đông Ngô</t>
        </is>
      </c>
      <c r="E5447" t="inlineStr">
        <is>
          <t>Lương:30 Tr - 40 Tr VND</t>
        </is>
      </c>
      <c r="F5447" t="inlineStr">
        <is>
          <t>Hồ Chí Minh</t>
        </is>
      </c>
      <c r="G5447" t="inlineStr">
        <is>
          <t>31-03-2026</t>
        </is>
      </c>
      <c r="H5447" t="inlineStr">
        <is>
          <t>31/03/2026</t>
        </is>
      </c>
      <c r="I5447" t="inlineStr">
        <is>
          <t>17/03/2026</t>
        </is>
      </c>
      <c r="J5447" t="inlineStr">
        <is>
          <t>Luật / Pháp lý, Quản lý điều hành, Nhân sự</t>
        </is>
      </c>
      <c r="K5447" t="inlineStr">
        <is>
          <t>5 - 10 Năm</t>
        </is>
      </c>
      <c r="L5447" s="8">
        <f>HYPERLINK("https://careerviet.vn/vi/tim-viec-lam/truong-phong-nhan-su.35C69794.html","Xem chi tiết")</f>
        <v/>
      </c>
    </row>
    <row r="5448">
      <c r="B5448" s="9" t="n">
        <v>5446</v>
      </c>
      <c r="C5448" s="10" t="inlineStr">
        <is>
          <t>Nhân Viên Kinh Doanh - Thu Nhập Hấp Dẫn Từ 12 Triệu - Không Yêu Cầu Kinh Nghiệm</t>
        </is>
      </c>
      <c r="D5448" s="10" t="inlineStr">
        <is>
          <t>CÔNG TY CỔ PHẦN TẬP ĐOÀN HOA SEN</t>
        </is>
      </c>
      <c r="E5448" s="10" t="inlineStr">
        <is>
          <t>Lương:12 Tr - 18 Tr VND</t>
        </is>
      </c>
      <c r="F5448" s="10" t="inlineStr">
        <is>
          <t>Hồ Chí Minh</t>
        </is>
      </c>
      <c r="G5448" s="10" t="inlineStr">
        <is>
          <t>31-03-2026</t>
        </is>
      </c>
      <c r="H5448" s="10" t="inlineStr">
        <is>
          <t>31/03/2026</t>
        </is>
      </c>
      <c r="I5448" s="10" t="inlineStr">
        <is>
          <t>17/03/2026</t>
        </is>
      </c>
      <c r="J5448" s="10" t="inlineStr">
        <is>
          <t>Bán lẻ / Bán sỉ, Bán hàng / Kinh doanh, Xây dựng</t>
        </is>
      </c>
      <c r="K5448" s="10" t="inlineStr">
        <is>
          <t>N/A</t>
        </is>
      </c>
      <c r="L5448" s="11">
        <f>HYPERLINK("https://careerviet.vn/vi/tim-viec-lam/nhan-vien-kinh-doanh-thu-nhap-hap-dan-tu-12-trieu-khong-yeu-cau-kinh-nghiem.35C697AD.html","Xem chi tiết")</f>
        <v/>
      </c>
      <c r="M5448" s="10" t="n"/>
    </row>
    <row r="5449">
      <c r="B5449" s="7" t="n">
        <v>5447</v>
      </c>
      <c r="C5449" t="inlineStr">
        <is>
          <t>Nhân viên kế toán</t>
        </is>
      </c>
      <c r="D5449" t="inlineStr">
        <is>
          <t>Công Ty Cổ Phần Kiến Trúc Cảnh Quan LSS</t>
        </is>
      </c>
      <c r="E5449" t="inlineStr">
        <is>
          <t>Lương:8 Tr - 14 Tr VND</t>
        </is>
      </c>
      <c r="F5449" t="inlineStr">
        <is>
          <t>Hồ Chí Minh</t>
        </is>
      </c>
      <c r="G5449" t="inlineStr">
        <is>
          <t>31-03-2026</t>
        </is>
      </c>
      <c r="H5449" t="inlineStr">
        <is>
          <t>31/03/2026</t>
        </is>
      </c>
      <c r="I5449" t="inlineStr">
        <is>
          <t>17/03/2026</t>
        </is>
      </c>
      <c r="J5449" t="inlineStr">
        <is>
          <t>Kế toán / Kiểm toán</t>
        </is>
      </c>
      <c r="K5449" t="inlineStr">
        <is>
          <t>1 - 5 Năm</t>
        </is>
      </c>
      <c r="L5449" s="8">
        <f>HYPERLINK("https://careerviet.vn/vi/tim-viec-lam/nhan-vien-ke-toan.35C697D8.html","Xem chi tiết")</f>
        <v/>
      </c>
    </row>
    <row r="5450">
      <c r="B5450" s="9" t="n">
        <v>5448</v>
      </c>
      <c r="C5450" s="10" t="inlineStr">
        <is>
          <t>Senior Marcom Specialist</t>
        </is>
      </c>
      <c r="D5450" s="10" t="inlineStr">
        <is>
          <t>Công ty Cổ phần Sữa VitaDairy Việt Nam</t>
        </is>
      </c>
      <c r="E5450" s="10" t="inlineStr">
        <is>
          <t>Lương:Cạnh tranh</t>
        </is>
      </c>
      <c r="F5450" s="10" t="inlineStr">
        <is>
          <t>Hồ Chí Minh</t>
        </is>
      </c>
      <c r="G5450" s="10" t="inlineStr">
        <is>
          <t>25-02-2026</t>
        </is>
      </c>
      <c r="H5450" s="10" t="inlineStr">
        <is>
          <t>15/03/2026</t>
        </is>
      </c>
      <c r="I5450" s="10" t="inlineStr">
        <is>
          <t>17/03/2026</t>
        </is>
      </c>
      <c r="J5450" s="10" t="inlineStr">
        <is>
          <t>Tiếp thị / Marketing, Truyền hình / Báo chí / Biên tập, Quảng cáo / Đối ngoại / Truyền Thông</t>
        </is>
      </c>
      <c r="K5450" s="10" t="inlineStr">
        <is>
          <t>2 - 3 Năm</t>
        </is>
      </c>
      <c r="L5450" s="11">
        <f>HYPERLINK("https://careerviet.vn/vi/tim-viec-lam/senior-marcom-specialist.35C69738.html","Xem chi tiết")</f>
        <v/>
      </c>
      <c r="M5450" s="10" t="n"/>
    </row>
    <row r="5451">
      <c r="B5451" s="7" t="n">
        <v>5449</v>
      </c>
      <c r="C5451" t="inlineStr">
        <is>
          <t>[Bình Dương] Thủ Kho</t>
        </is>
      </c>
      <c r="D5451" t="inlineStr">
        <is>
          <t>Viet Thai International</t>
        </is>
      </c>
      <c r="E5451" t="inlineStr">
        <is>
          <t>Lương:Cạnh tranh</t>
        </is>
      </c>
      <c r="F5451" t="inlineStr">
        <is>
          <t>Bình Dương</t>
        </is>
      </c>
      <c r="G5451" t="inlineStr">
        <is>
          <t>25-03-2026</t>
        </is>
      </c>
      <c r="H5451" t="inlineStr">
        <is>
          <t>25/03/2026</t>
        </is>
      </c>
      <c r="I5451" t="inlineStr">
        <is>
          <t>17/03/2026</t>
        </is>
      </c>
      <c r="J5451" t="inlineStr">
        <is>
          <t>Vận chuyển / Giao nhận / Kho vận, Sản xuất / Vận hành sản xuất, Quản lý chất lượng (QA/QC)</t>
        </is>
      </c>
      <c r="K5451" t="inlineStr">
        <is>
          <t>1 - 3 Năm</t>
        </is>
      </c>
      <c r="L5451" s="8">
        <f>HYPERLINK("https://careerviet.vn/vi/tim-viec-lam/binh-duong-thu-kho.35C694E2.html","Xem chi tiết")</f>
        <v/>
      </c>
    </row>
    <row r="5452">
      <c r="B5452" s="9" t="n">
        <v>5450</v>
      </c>
      <c r="C5452" s="10" t="inlineStr">
        <is>
          <t>Chuyên viên Thiết kế - Graphic Designer</t>
        </is>
      </c>
      <c r="D5452" s="10" t="inlineStr">
        <is>
          <t>Công ty Cổ Phần Thực Phẩm Dinh Dưỡng NutiFood</t>
        </is>
      </c>
      <c r="E5452" s="10" t="inlineStr">
        <is>
          <t>Lương:Cạnh tranh</t>
        </is>
      </c>
      <c r="F5452" s="10" t="inlineStr">
        <is>
          <t>Hồ Chí Minh</t>
        </is>
      </c>
      <c r="G5452" s="10" t="inlineStr">
        <is>
          <t>30-04-2026</t>
        </is>
      </c>
      <c r="H5452" s="10" t="inlineStr">
        <is>
          <t>30/04/2026</t>
        </is>
      </c>
      <c r="I5452" s="10" t="inlineStr">
        <is>
          <t>17/03/2026</t>
        </is>
      </c>
      <c r="J5452" s="10" t="inlineStr">
        <is>
          <t>Mỹ thuật / Nghệ thuật / Thiết kế, Truyền hình / Báo chí / Biên tập, Quảng cáo / Đối ngoại / Truyền Thông</t>
        </is>
      </c>
      <c r="K5452" s="10" t="inlineStr">
        <is>
          <t>3 - 5 Năm</t>
        </is>
      </c>
      <c r="L5452" s="11">
        <f>HYPERLINK("https://careerviet.vn/vi/tim-viec-lam/chuyen-vien-thiet-ke-graphic-designer.35C697EC.html","Xem chi tiết")</f>
        <v/>
      </c>
      <c r="M5452" s="10" t="n"/>
    </row>
    <row r="5453">
      <c r="B5453" s="7" t="n">
        <v>5451</v>
      </c>
      <c r="C5453" t="inlineStr">
        <is>
          <t>Nhân Viên Kế Toán - Tuyển gấp</t>
        </is>
      </c>
      <c r="D5453" t="inlineStr">
        <is>
          <t>CÔNG TY CỔ PHẦN Y&amp;Y GROUP</t>
        </is>
      </c>
      <c r="E5453" t="inlineStr">
        <is>
          <t>Lương:10 Tr - 15 Tr VND</t>
        </is>
      </c>
      <c r="F5453" t="inlineStr">
        <is>
          <t>Hồ Chí Minh</t>
        </is>
      </c>
      <c r="G5453" t="inlineStr">
        <is>
          <t>24-03-2026</t>
        </is>
      </c>
      <c r="H5453" t="inlineStr">
        <is>
          <t>24/03/2026</t>
        </is>
      </c>
      <c r="I5453" t="inlineStr">
        <is>
          <t>17/03/2026</t>
        </is>
      </c>
      <c r="J5453" t="inlineStr">
        <is>
          <t>Luật / Pháp lý, Kế toán / Kiểm toán, Tài chính / Đầu tư</t>
        </is>
      </c>
      <c r="K5453" t="inlineStr">
        <is>
          <t>Trên 2 Năm</t>
        </is>
      </c>
      <c r="L5453" s="8">
        <f>HYPERLINK("https://careerviet.vn/vi/tim-viec-lam/nhan-vien-ke-toan-tuyen-gap.35C66781.html","Xem chi tiết")</f>
        <v/>
      </c>
    </row>
    <row r="5454">
      <c r="B5454" s="9" t="n">
        <v>5452</v>
      </c>
      <c r="C5454" s="10" t="inlineStr">
        <is>
          <t>GIÁM SÁT KỸ THUẬT</t>
        </is>
      </c>
      <c r="D5454" s="10" t="inlineStr">
        <is>
          <t>Công Ty Cổ Phần Eurowindow</t>
        </is>
      </c>
      <c r="E5454" s="10" t="inlineStr">
        <is>
          <t>Lương:Cạnh tranh</t>
        </is>
      </c>
      <c r="F5454" s="10" t="inlineStr">
        <is>
          <t>Hồ Chí Minh</t>
        </is>
      </c>
      <c r="G5454" s="10" t="inlineStr">
        <is>
          <t>24-03-2026</t>
        </is>
      </c>
      <c r="H5454" s="10" t="inlineStr">
        <is>
          <t>24/03/2026</t>
        </is>
      </c>
      <c r="I5454" s="10" t="inlineStr">
        <is>
          <t>17/03/2026</t>
        </is>
      </c>
      <c r="J5454" s="10" t="inlineStr">
        <is>
          <t>Kiến trúc, Nội ngoại thất, Xây dựng</t>
        </is>
      </c>
      <c r="K5454" s="10" t="inlineStr">
        <is>
          <t>1 - 2 Năm</t>
        </is>
      </c>
      <c r="L5454" s="11">
        <f>HYPERLINK("https://careerviet.vn/vi/tim-viec-lam/giam-sat-ky-thuat.35C63BBA.html","Xem chi tiết")</f>
        <v/>
      </c>
      <c r="M5454" s="10" t="n"/>
    </row>
    <row r="5455">
      <c r="B5455" s="7" t="n">
        <v>5453</v>
      </c>
      <c r="C5455" t="inlineStr">
        <is>
          <t>127213 - Sales Expert - Trading</t>
        </is>
      </c>
      <c r="D5455" t="inlineStr">
        <is>
          <t>RGF HR Agent Vietnam Co., LTD</t>
        </is>
      </c>
      <c r="E5455" t="inlineStr">
        <is>
          <t>Lương:25 Tr - 36 Tr VND</t>
        </is>
      </c>
      <c r="F5455" t="inlineStr">
        <is>
          <t>Hà Nội</t>
        </is>
      </c>
      <c r="G5455" t="inlineStr">
        <is>
          <t>24-03-2026</t>
        </is>
      </c>
      <c r="H5455" t="inlineStr">
        <is>
          <t>24/03/2026</t>
        </is>
      </c>
      <c r="I5455" t="inlineStr">
        <is>
          <t>17/03/2026</t>
        </is>
      </c>
      <c r="J5455" t="inlineStr">
        <is>
          <t>Bán hàng / Kinh doanh</t>
        </is>
      </c>
      <c r="K5455" t="inlineStr">
        <is>
          <t>Trên 3 Năm</t>
        </is>
      </c>
      <c r="L5455" s="8">
        <f>HYPERLINK("https://careerviet.vn/vi/tim-viec-lam/127213-sales-expert-trading.35C667A8.html","Xem chi tiết")</f>
        <v/>
      </c>
    </row>
    <row r="5456">
      <c r="B5456" s="9" t="n">
        <v>5454</v>
      </c>
      <c r="C5456" s="10" t="inlineStr">
        <is>
          <t>PĐG - Trưởng ban quản lý khu căn hộ</t>
        </is>
      </c>
      <c r="D5456" s="10" t="inlineStr">
        <is>
          <t>Phu Dong Group</t>
        </is>
      </c>
      <c r="E5456" s="10" t="inlineStr">
        <is>
          <t>Lương:Cạnh tranh</t>
        </is>
      </c>
      <c r="F5456" s="10" t="inlineStr">
        <is>
          <t>Bình Dương</t>
        </is>
      </c>
      <c r="G5456" s="10" t="inlineStr">
        <is>
          <t>24-03-2026</t>
        </is>
      </c>
      <c r="H5456" s="10" t="inlineStr">
        <is>
          <t>24/03/2026</t>
        </is>
      </c>
      <c r="I5456" s="10" t="inlineStr">
        <is>
          <t>17/03/2026</t>
        </is>
      </c>
      <c r="J5456" s="10" t="inlineStr">
        <is>
          <t>Bất động sản, Xây dựng, Quản lý điều hành</t>
        </is>
      </c>
      <c r="K5456" s="10" t="inlineStr">
        <is>
          <t>3 - 5 Năm</t>
        </is>
      </c>
      <c r="L5456" s="11">
        <f>HYPERLINK("https://careerviet.vn/vi/tim-viec-lam/pdg-truong-ban-quan-ly-khu-can-ho.35C6673F.html","Xem chi tiết")</f>
        <v/>
      </c>
      <c r="M5456" s="10" t="n"/>
    </row>
    <row r="5457">
      <c r="B5457" s="7" t="n">
        <v>5455</v>
      </c>
      <c r="C5457" t="inlineStr">
        <is>
          <t>[Sóc Trăng] Giám đốc HDBank Ngã Năm</t>
        </is>
      </c>
      <c r="D5457" t="inlineStr">
        <is>
          <t>Ngân hàng TMCP Phát triển TP.HCM (HDBank)</t>
        </is>
      </c>
      <c r="E5457" t="inlineStr">
        <is>
          <t>Lương:40 Tr - 50 Tr VND</t>
        </is>
      </c>
      <c r="F5457" t="inlineStr">
        <is>
          <t>Sóc Trăng</t>
        </is>
      </c>
      <c r="G5457" t="inlineStr">
        <is>
          <t>24-03-2026</t>
        </is>
      </c>
      <c r="H5457" t="inlineStr">
        <is>
          <t>24/03/2026</t>
        </is>
      </c>
      <c r="I5457" t="inlineStr">
        <is>
          <t>17/03/2026</t>
        </is>
      </c>
      <c r="J5457" t="inlineStr">
        <is>
          <t>Ngân hàng, Bảo hiểm, Tài chính / Đầu tư</t>
        </is>
      </c>
      <c r="K5457" t="inlineStr">
        <is>
          <t>3 - 5 Năm</t>
        </is>
      </c>
      <c r="L5457" s="8">
        <f>HYPERLINK("https://careerviet.vn/vi/tim-viec-lam/soc-trang-giam-doc-hdbank-nga-nam.35C666FF.html","Xem chi tiết")</f>
        <v/>
      </c>
    </row>
    <row r="5458">
      <c r="B5458" s="9" t="n">
        <v>5456</v>
      </c>
      <c r="C5458" s="10" t="inlineStr">
        <is>
          <t>Chuyên Viên Pháp Chế</t>
        </is>
      </c>
      <c r="D5458" s="10" t="inlineStr">
        <is>
          <t>Công Ty Cổ Phần ZME</t>
        </is>
      </c>
      <c r="E5458" s="10" t="inlineStr">
        <is>
          <t>Lương:15 Tr - 20 Tr VND</t>
        </is>
      </c>
      <c r="F5458" s="10" t="inlineStr">
        <is>
          <t>Hà Nội</t>
        </is>
      </c>
      <c r="G5458" s="10" t="inlineStr">
        <is>
          <t>5</t>
        </is>
      </c>
      <c r="H5458" s="10" t="inlineStr">
        <is>
          <t>22/03/2026</t>
        </is>
      </c>
      <c r="I5458" s="10" t="inlineStr">
        <is>
          <t>17/03/2026</t>
        </is>
      </c>
      <c r="J5458" s="10" t="inlineStr">
        <is>
          <t>Luật / Pháp lý, Hành chính / Thư ký, Nhân sự</t>
        </is>
      </c>
      <c r="K5458" s="10" t="inlineStr">
        <is>
          <t>N/A</t>
        </is>
      </c>
      <c r="L5458" s="11">
        <f>HYPERLINK("https://careerviet.vn/vi/tim-viec-lam/chuyen-vien-phap-che.35C68CFA.html","Xem chi tiết")</f>
        <v/>
      </c>
      <c r="M5458" s="10" t="n"/>
    </row>
    <row r="5459">
      <c r="B5459" s="7" t="n">
        <v>5457</v>
      </c>
      <c r="C5459" t="inlineStr">
        <is>
          <t>Chuyên viên công tác Đảng, Văn Phòng Đảng Ủy va Tổ chức các Đoàn thể</t>
        </is>
      </c>
      <c r="D5459" t="inlineStr">
        <is>
          <t>Ngân hàng TMCP Đại Chúng Việt Nam - PVcomBank</t>
        </is>
      </c>
      <c r="E5459" t="inlineStr">
        <is>
          <t>Lương:Cạnh tranh</t>
        </is>
      </c>
      <c r="F5459" t="inlineStr">
        <is>
          <t>Hà Nội</t>
        </is>
      </c>
      <c r="G5459" t="inlineStr">
        <is>
          <t>24-03-2026</t>
        </is>
      </c>
      <c r="H5459" t="inlineStr">
        <is>
          <t>24/03/2026</t>
        </is>
      </c>
      <c r="I5459" t="inlineStr">
        <is>
          <t>17/03/2026</t>
        </is>
      </c>
      <c r="J5459" t="inlineStr">
        <is>
          <t>Nhân sự, Ngân hàng</t>
        </is>
      </c>
      <c r="K5459" t="inlineStr">
        <is>
          <t>1 - 3 Năm</t>
        </is>
      </c>
      <c r="L5459" s="8">
        <f>HYPERLINK("https://careerviet.vn/vi/tim-viec-lam/chuyen-vien-cong-tac-dang-van-phong-dang-uy-va-to-chuc-cac-doan-the.35C666EE.html","Xem chi tiết")</f>
        <v/>
      </c>
    </row>
    <row r="5460">
      <c r="B5460" s="9" t="n">
        <v>5458</v>
      </c>
      <c r="C5460" s="10" t="inlineStr">
        <is>
          <t>Giám đốc Phòng Marketing</t>
        </is>
      </c>
      <c r="D5460" s="10" t="inlineStr">
        <is>
          <t>CÔNG TY CỔ PHẦN THÀNH PHỐ DU LỊCH SINH THÁI SƠN TIÊN</t>
        </is>
      </c>
      <c r="E5460" s="10" t="inlineStr">
        <is>
          <t>Lương:40 Tr - 70 Tr VND</t>
        </is>
      </c>
      <c r="F5460" s="10" t="inlineStr">
        <is>
          <t>Đồng Nai</t>
        </is>
      </c>
      <c r="G5460" s="10" t="inlineStr">
        <is>
          <t>22-02-2026</t>
        </is>
      </c>
      <c r="H5460" s="10" t="inlineStr">
        <is>
          <t>10/03/2026</t>
        </is>
      </c>
      <c r="I5460" s="10" t="inlineStr">
        <is>
          <t>17/03/2026</t>
        </is>
      </c>
      <c r="J5460" s="10" t="inlineStr">
        <is>
          <t>Tiếp thị / Marketing, Du lịch, Nhà hàng / Khách sạn</t>
        </is>
      </c>
      <c r="K5460" s="10" t="inlineStr">
        <is>
          <t>7 - 30 Năm</t>
        </is>
      </c>
      <c r="L5460" s="11">
        <f>HYPERLINK("https://careerviet.vn/vi/tim-viec-lam/giam-doc-phong-marketing.35C68C60.html","Xem chi tiết")</f>
        <v/>
      </c>
      <c r="M5460" s="10" t="n"/>
    </row>
    <row r="5461">
      <c r="B5461" s="7" t="n">
        <v>5459</v>
      </c>
      <c r="C5461" t="inlineStr">
        <is>
          <t>Customer Success Manager</t>
        </is>
      </c>
      <c r="D5461" t="inlineStr">
        <is>
          <t>Công Ty TNHH Thương Mại Dịch Vụ Xuất Nhập Khẩu The Vigo</t>
        </is>
      </c>
      <c r="E5461" t="inlineStr">
        <is>
          <t>Lương:35 Tr - 45 Tr VND</t>
        </is>
      </c>
      <c r="F5461" t="inlineStr">
        <is>
          <t>Hồ Chí Minh</t>
        </is>
      </c>
      <c r="G5461" t="inlineStr">
        <is>
          <t>24-03-2026</t>
        </is>
      </c>
      <c r="H5461" t="inlineStr">
        <is>
          <t>24/03/2026</t>
        </is>
      </c>
      <c r="I5461" t="inlineStr">
        <is>
          <t>17/03/2026</t>
        </is>
      </c>
      <c r="J5461" t="inlineStr">
        <is>
          <t>Dược phẩm/ Hóa Mỹ Phẩm, Y tế / Chăm sóc sức khỏe / Thẩm mỹ / Làm đẹp, Hàng gia dụng / Chăm sóc cá nhân</t>
        </is>
      </c>
      <c r="K5461" t="inlineStr">
        <is>
          <t>5 - 8 Năm</t>
        </is>
      </c>
      <c r="L5461" s="8">
        <f>HYPERLINK("https://careerviet.vn/vi/tim-viec-lam/customer-success-manager.35C66693.html","Xem chi tiết")</f>
        <v/>
      </c>
    </row>
    <row r="5462">
      <c r="B5462" s="9" t="n">
        <v>5460</v>
      </c>
      <c r="C5462" s="10" t="inlineStr">
        <is>
          <t>Chuyên Viên Điều Hành Vận Tải</t>
        </is>
      </c>
      <c r="D5462" s="10" t="inlineStr">
        <is>
          <t>CÔNG TY CỔ PHẦN DI CHUYỂN VÀ THÔNG MINH GSM</t>
        </is>
      </c>
      <c r="E5462" s="10" t="inlineStr">
        <is>
          <t>Lương:Cạnh tranh</t>
        </is>
      </c>
      <c r="F5462" s="10" t="inlineStr">
        <is>
          <t>Hà Nội</t>
        </is>
      </c>
      <c r="G5462" s="10" t="inlineStr">
        <is>
          <t>24-03-2026</t>
        </is>
      </c>
      <c r="H5462" s="10" t="inlineStr">
        <is>
          <t>24/03/2026</t>
        </is>
      </c>
      <c r="I5462" s="10" t="inlineStr">
        <is>
          <t>17/03/2026</t>
        </is>
      </c>
      <c r="J5462" s="10" t="inlineStr">
        <is>
          <t>Dịch vụ khách hàng, Vận chuyển / Giao nhận / Kho vận, Cơ khí / Ô tô / Tự động hóa</t>
        </is>
      </c>
      <c r="K5462" s="10" t="inlineStr">
        <is>
          <t>Lên đến 1 Năm</t>
        </is>
      </c>
      <c r="L5462" s="11">
        <f>HYPERLINK("https://careerviet.vn/vi/tim-viec-lam/chuyen-vien-dieu-hanh-van-tai.35C666A7.html","Xem chi tiết")</f>
        <v/>
      </c>
      <c r="M5462" s="10" t="n"/>
    </row>
    <row r="5463">
      <c r="B5463" s="7" t="n">
        <v>5461</v>
      </c>
      <c r="C5463" t="inlineStr">
        <is>
          <t>Kỹ Sư QS</t>
        </is>
      </c>
      <c r="D5463" t="inlineStr">
        <is>
          <t>CÔNG TY TNHH MTV BCA - THĂNG LONG</t>
        </is>
      </c>
      <c r="E5463" t="inlineStr">
        <is>
          <t>Lương:20 Tr - 25 Tr VND</t>
        </is>
      </c>
      <c r="F5463" t="inlineStr">
        <is>
          <t>Sóc TrăngHồ Chí Minh</t>
        </is>
      </c>
      <c r="G5463" t="inlineStr">
        <is>
          <t>6</t>
        </is>
      </c>
      <c r="H5463" t="inlineStr">
        <is>
          <t>23/03/2026</t>
        </is>
      </c>
      <c r="I5463" t="inlineStr">
        <is>
          <t>17/03/2026</t>
        </is>
      </c>
      <c r="J5463" t="inlineStr">
        <is>
          <t>Tài chính / Đầu tư, Điện / Điện tử / Điện lạnh / Điện công nghiệp, Xây dựng</t>
        </is>
      </c>
      <c r="K5463" t="inlineStr">
        <is>
          <t>3 - 5 Năm</t>
        </is>
      </c>
      <c r="L5463" s="8">
        <f>HYPERLINK("https://careerviet.vn/vi/tim-viec-lam/ky-su-qs.35C63795.html","Xem chi tiết")</f>
        <v/>
      </c>
    </row>
    <row r="5464">
      <c r="B5464" s="9" t="n">
        <v>5462</v>
      </c>
      <c r="C5464" s="10" t="inlineStr">
        <is>
          <t>Marketing Director</t>
        </is>
      </c>
      <c r="D5464" s="10" t="inlineStr">
        <is>
          <t>CÔNG TY CỔ PHẦN SOLIA GROUP</t>
        </is>
      </c>
      <c r="E5464" s="10" t="inlineStr">
        <is>
          <t>Lương:Cạnh tranh</t>
        </is>
      </c>
      <c r="F5464" s="10" t="inlineStr">
        <is>
          <t>Hồ Chí Minh</t>
        </is>
      </c>
      <c r="G5464" s="10" t="inlineStr">
        <is>
          <t>31-03-2026</t>
        </is>
      </c>
      <c r="H5464" s="10" t="inlineStr">
        <is>
          <t>31/03/2026</t>
        </is>
      </c>
      <c r="I5464" s="10" t="inlineStr">
        <is>
          <t>17/03/2026</t>
        </is>
      </c>
      <c r="J5464" s="10" t="inlineStr">
        <is>
          <t>Bất động sản, Quảng cáo / Đối ngoại / Truyền Thông</t>
        </is>
      </c>
      <c r="K5464" s="10" t="inlineStr">
        <is>
          <t>5 - 10 Năm</t>
        </is>
      </c>
      <c r="L5464" s="11">
        <f>HYPERLINK("https://careerviet.vn/vi/tim-viec-lam/marketing-director.35C68C4C.html","Xem chi tiết")</f>
        <v/>
      </c>
      <c r="M5464" s="10" t="n"/>
    </row>
    <row r="5465">
      <c r="B5465" s="7" t="n">
        <v>5463</v>
      </c>
      <c r="C5465" t="inlineStr">
        <is>
          <t>THƯ KÝ CÔNG TRƯỜNG</t>
        </is>
      </c>
      <c r="D5465" t="inlineStr">
        <is>
          <t>TBS Land- Công ty Cổ Phần Đầu Tư Thái Bình</t>
        </is>
      </c>
      <c r="E5465" t="inlineStr">
        <is>
          <t>Lương:Cạnh tranh</t>
        </is>
      </c>
      <c r="F5465" t="inlineStr">
        <is>
          <t>Bình Dương</t>
        </is>
      </c>
      <c r="G5465" t="inlineStr">
        <is>
          <t>6</t>
        </is>
      </c>
      <c r="H5465" t="inlineStr">
        <is>
          <t>23/03/2026</t>
        </is>
      </c>
      <c r="I5465" t="inlineStr">
        <is>
          <t>17/03/2026</t>
        </is>
      </c>
      <c r="J5465" t="inlineStr">
        <is>
          <t>Xây dựng, Bất động sản</t>
        </is>
      </c>
      <c r="K5465" t="inlineStr">
        <is>
          <t>5 - 10 Năm</t>
        </is>
      </c>
      <c r="L5465" s="8">
        <f>HYPERLINK("https://careerviet.vn/vi/tim-viec-lam/thu-ky-cong-truong.35C639E6.html","Xem chi tiết")</f>
        <v/>
      </c>
    </row>
    <row r="5466">
      <c r="B5466" s="9" t="n">
        <v>5464</v>
      </c>
      <c r="C5466" s="10" t="inlineStr">
        <is>
          <t>Associate Territory Sales Engineer</t>
        </is>
      </c>
      <c r="D5466" s="10" t="inlineStr">
        <is>
          <t>Cognex Vietnam Company Limited</t>
        </is>
      </c>
      <c r="E5466" s="10" t="inlineStr">
        <is>
          <t>Lương:Cạnh tranh</t>
        </is>
      </c>
      <c r="F5466" s="10" t="inlineStr">
        <is>
          <t>Hà Nội</t>
        </is>
      </c>
      <c r="G5466" s="10" t="inlineStr">
        <is>
          <t>6</t>
        </is>
      </c>
      <c r="H5466" s="10" t="inlineStr">
        <is>
          <t>22/03/2026</t>
        </is>
      </c>
      <c r="I5466" s="10" t="inlineStr">
        <is>
          <t>17/03/2026</t>
        </is>
      </c>
      <c r="J5466" s="10" t="inlineStr">
        <is>
          <t>Sản xuất / Vận hành sản xuất</t>
        </is>
      </c>
      <c r="K5466" s="10" t="inlineStr">
        <is>
          <t>N/A</t>
        </is>
      </c>
      <c r="L5466" s="11">
        <f>HYPERLINK("https://careerviet.vn/vi/tim-viec-lam/associate-territory-sales-engineer.35C63A2D.html","Xem chi tiết")</f>
        <v/>
      </c>
      <c r="M5466" s="10" t="n"/>
    </row>
    <row r="5467">
      <c r="B5467" s="7" t="n">
        <v>5465</v>
      </c>
      <c r="C5467" t="inlineStr">
        <is>
          <t>Kỹ sư Shop MEP (Shop Drawing – MEP)</t>
        </is>
      </c>
      <c r="D5467" t="inlineStr">
        <is>
          <t>Chi Nhánh Miền Nam - Tổng Công Ty Cổ Phần Xây Dựng Công Nghiệp Việt Nam</t>
        </is>
      </c>
      <c r="E5467" t="inlineStr">
        <is>
          <t>Lương:14 Tr - 16 Tr VND</t>
        </is>
      </c>
      <c r="F5467" t="inlineStr">
        <is>
          <t>Khánh Hòa</t>
        </is>
      </c>
      <c r="G5467" t="inlineStr">
        <is>
          <t>6</t>
        </is>
      </c>
      <c r="H5467" t="inlineStr">
        <is>
          <t>23/03/2026</t>
        </is>
      </c>
      <c r="I5467" t="inlineStr">
        <is>
          <t>17/03/2026</t>
        </is>
      </c>
      <c r="J5467" t="inlineStr">
        <is>
          <t>Điện / Điện tử / Điện lạnh / Điện công nghiệp, Kiến trúc, Xây dựng</t>
        </is>
      </c>
      <c r="K5467" t="inlineStr">
        <is>
          <t>2 - 5 Năm</t>
        </is>
      </c>
      <c r="L5467" s="8">
        <f>HYPERLINK("https://careerviet.vn/vi/tim-viec-lam/ky-su-shop-mep-shop-drawing-mep.35C639E0.html","Xem chi tiết")</f>
        <v/>
      </c>
    </row>
    <row r="5468">
      <c r="B5468" s="9" t="n">
        <v>5466</v>
      </c>
      <c r="C5468" s="10" t="inlineStr">
        <is>
          <t>Giám sát nhà hàng - Bình Dương</t>
        </is>
      </c>
      <c r="D5468" s="10" t="inlineStr">
        <is>
          <t>Công Ty TNHH TM &amp; XNK Nhất Lâm</t>
        </is>
      </c>
      <c r="E5468" s="10" t="inlineStr">
        <is>
          <t>Lương:8 Tr - 10 Tr VND</t>
        </is>
      </c>
      <c r="F5468" s="10" t="inlineStr">
        <is>
          <t>Bình Dương</t>
        </is>
      </c>
      <c r="G5468" s="10" t="inlineStr">
        <is>
          <t>6</t>
        </is>
      </c>
      <c r="H5468" s="10" t="inlineStr">
        <is>
          <t>23/03/2026</t>
        </is>
      </c>
      <c r="I5468" s="10" t="inlineStr">
        <is>
          <t>17/03/2026</t>
        </is>
      </c>
      <c r="J5468" s="10" t="inlineStr">
        <is>
          <t>Nhà hàng / Khách sạn</t>
        </is>
      </c>
      <c r="K5468" s="10" t="inlineStr">
        <is>
          <t>1 - 2 Năm</t>
        </is>
      </c>
      <c r="L5468" s="11">
        <f>HYPERLINK("https://careerviet.vn/vi/tim-viec-lam/giam-sat-nha-hang-binh-duong.35C6658F.html","Xem chi tiết")</f>
        <v/>
      </c>
      <c r="M5468" s="10" t="n"/>
    </row>
    <row r="5469">
      <c r="B5469" s="7" t="n">
        <v>5467</v>
      </c>
      <c r="C5469" t="inlineStr">
        <is>
          <t>Trưởng phòng marketing</t>
        </is>
      </c>
      <c r="D5469" t="inlineStr">
        <is>
          <t>Công Ty Cổ Phần Thép Việt Xô Hà Nội</t>
        </is>
      </c>
      <c r="E5469" t="inlineStr">
        <is>
          <t>Lương:Cạnh tranh</t>
        </is>
      </c>
      <c r="F5469" t="inlineStr">
        <is>
          <t>Hà Nội</t>
        </is>
      </c>
      <c r="G5469" t="inlineStr">
        <is>
          <t>6</t>
        </is>
      </c>
      <c r="H5469" t="inlineStr">
        <is>
          <t>23/03/2026</t>
        </is>
      </c>
      <c r="I5469" t="inlineStr">
        <is>
          <t>17/03/2026</t>
        </is>
      </c>
      <c r="J5469" t="inlineStr">
        <is>
          <t>Quảng cáo / Đối ngoại / Truyền Thông, Tiếp thị trực tuyến, Tiếp thị / Marketing</t>
        </is>
      </c>
      <c r="K5469" t="inlineStr">
        <is>
          <t>3 - 5 Năm</t>
        </is>
      </c>
      <c r="L5469" s="8">
        <f>HYPERLINK("https://careerviet.vn/vi/tim-viec-lam/truong-phong-marketing.35C63A41.html","Xem chi tiết")</f>
        <v/>
      </c>
    </row>
    <row r="5470">
      <c r="B5470" s="9" t="n">
        <v>5468</v>
      </c>
      <c r="C5470" s="10" t="inlineStr">
        <is>
          <t>Chuyên viên Thanh toán và đối soát thẻ quốc tế - Khối Vận hành</t>
        </is>
      </c>
      <c r="D5470" s="10" t="inlineStr">
        <is>
          <t>Ngân hàng Thương mại cổ phần Đông Nam Á (SeABank)</t>
        </is>
      </c>
      <c r="E5470" s="10" t="inlineStr">
        <is>
          <t>Lương:Cạnh tranh</t>
        </is>
      </c>
      <c r="F5470" s="10" t="inlineStr">
        <is>
          <t>Hà Nội</t>
        </is>
      </c>
      <c r="G5470" s="10" t="inlineStr">
        <is>
          <t>6</t>
        </is>
      </c>
      <c r="H5470" s="10" t="inlineStr">
        <is>
          <t>23/03/2026</t>
        </is>
      </c>
      <c r="I5470" s="10" t="inlineStr">
        <is>
          <t>17/03/2026</t>
        </is>
      </c>
      <c r="J5470" s="10" t="inlineStr">
        <is>
          <t>Kế toán / Kiểm toán, Ngân hàng, Tài chính / Đầu tư</t>
        </is>
      </c>
      <c r="K5470" s="10" t="inlineStr">
        <is>
          <t>Trên 1 Năm</t>
        </is>
      </c>
      <c r="L5470" s="11">
        <f>HYPERLINK("https://careerviet.vn/vi/tim-viec-lam/chuyen-vien-thanh-toan-va-doi-soat-the-quoc-te-khoi-van-hanh.35C664A6.html","Xem chi tiết")</f>
        <v/>
      </c>
      <c r="M5470" s="10" t="n"/>
    </row>
    <row r="5471">
      <c r="B5471" s="7" t="n">
        <v>5469</v>
      </c>
      <c r="C5471" t="inlineStr">
        <is>
          <t>Chuyên viên kinh doanh</t>
        </is>
      </c>
      <c r="D5471" t="inlineStr">
        <is>
          <t>CÔNG TY CỔ PHẨN TẬP ĐOÀN MK</t>
        </is>
      </c>
      <c r="E5471" t="inlineStr">
        <is>
          <t>Lương:10 Tr - 25 Tr VND</t>
        </is>
      </c>
      <c r="F5471" t="inlineStr">
        <is>
          <t>Hà Nội</t>
        </is>
      </c>
      <c r="G5471" t="inlineStr">
        <is>
          <t>6</t>
        </is>
      </c>
      <c r="H5471" t="inlineStr">
        <is>
          <t>23/03/2026</t>
        </is>
      </c>
      <c r="I5471" t="inlineStr">
        <is>
          <t>17/03/2026</t>
        </is>
      </c>
      <c r="J5471" t="inlineStr">
        <is>
          <t>Tiếp thị / Marketing, Bán hàng / Kinh doanh</t>
        </is>
      </c>
      <c r="K5471" t="inlineStr">
        <is>
          <t>2 - 5 Năm</t>
        </is>
      </c>
      <c r="L5471" s="8">
        <f>HYPERLINK("https://careerviet.vn/vi/tim-viec-lam/chuyen-vien-kinh-doanh.35C63A6E.html","Xem chi tiết")</f>
        <v/>
      </c>
    </row>
    <row r="5472">
      <c r="B5472" s="9" t="n">
        <v>5470</v>
      </c>
      <c r="C5472" s="10" t="inlineStr">
        <is>
          <t>Hậu Giang - Chuyên viên Quan hệ Khách hàng cá nhân</t>
        </is>
      </c>
      <c r="D5472" s="10" t="inlineStr">
        <is>
          <t>Ngân hàng TMCP Lộc Phát Việt Nam (LPBank)</t>
        </is>
      </c>
      <c r="E5472" s="10" t="inlineStr">
        <is>
          <t>Lương:Cạnh tranh</t>
        </is>
      </c>
      <c r="F5472" s="10" t="inlineStr">
        <is>
          <t>Hậu Giang</t>
        </is>
      </c>
      <c r="G5472" s="10" t="inlineStr">
        <is>
          <t>6</t>
        </is>
      </c>
      <c r="H5472" s="10" t="inlineStr">
        <is>
          <t>23/03/2026</t>
        </is>
      </c>
      <c r="I5472" s="10" t="inlineStr">
        <is>
          <t>17/03/2026</t>
        </is>
      </c>
      <c r="J5472" s="10" t="inlineStr">
        <is>
          <t>Bán hàng / Kinh doanh, Kế toán / Kiểm toán, Ngân hàng</t>
        </is>
      </c>
      <c r="K5472" s="10" t="inlineStr">
        <is>
          <t>N/A</t>
        </is>
      </c>
      <c r="L5472" s="11">
        <f>HYPERLINK("https://careerviet.vn/vi/tim-viec-lam/hau-giang-chuyen-vien-quan-he-khach-hang-ca-nhan.35C639D5.html","Xem chi tiết")</f>
        <v/>
      </c>
      <c r="M5472" s="10" t="n"/>
    </row>
    <row r="5473">
      <c r="B5473" s="7" t="n">
        <v>5471</v>
      </c>
      <c r="C5473" t="inlineStr">
        <is>
          <t>Nhân Viên Brand Visual</t>
        </is>
      </c>
      <c r="D5473" t="inlineStr">
        <is>
          <t>CÔNG TY TNHH GIẢI PHÁP TỐT - GFT</t>
        </is>
      </c>
      <c r="E5473" t="inlineStr">
        <is>
          <t>Lương:9 Tr - 13 Tr VND</t>
        </is>
      </c>
      <c r="F5473" t="inlineStr">
        <is>
          <t>Hồ Chí Minh</t>
        </is>
      </c>
      <c r="G5473" t="inlineStr">
        <is>
          <t>6</t>
        </is>
      </c>
      <c r="H5473" t="inlineStr">
        <is>
          <t>23/03/2026</t>
        </is>
      </c>
      <c r="I5473" t="inlineStr">
        <is>
          <t>17/03/2026</t>
        </is>
      </c>
      <c r="J5473" t="inlineStr">
        <is>
          <t>Tiếp thị / Marketing, Truyền hình / Báo chí / Biên tập, Quảng cáo / Đối ngoại / Truyền Thông</t>
        </is>
      </c>
      <c r="K5473" t="inlineStr">
        <is>
          <t>Trên 1 Năm</t>
        </is>
      </c>
      <c r="L5473" s="8">
        <f>HYPERLINK("https://careerviet.vn/vi/tim-viec-lam/nhan-vien-brand-visual.35C639E8.html","Xem chi tiết")</f>
        <v/>
      </c>
    </row>
    <row r="5474">
      <c r="B5474" s="9" t="n">
        <v>5472</v>
      </c>
      <c r="C5474" s="10" t="inlineStr">
        <is>
          <t>Kế toán tổng hợp</t>
        </is>
      </c>
      <c r="D5474" s="10" t="inlineStr">
        <is>
          <t>CÔNG TY CỔ PHẦN IFF HOLDINGS</t>
        </is>
      </c>
      <c r="E5474" s="10" t="inlineStr">
        <is>
          <t>Lương:8 Tr - 10 Tr VND</t>
        </is>
      </c>
      <c r="F5474" s="10" t="inlineStr">
        <is>
          <t>Đà Nẵng</t>
        </is>
      </c>
      <c r="G5474" s="10" t="inlineStr">
        <is>
          <t>6</t>
        </is>
      </c>
      <c r="H5474" s="10" t="inlineStr">
        <is>
          <t>23/03/2026</t>
        </is>
      </c>
      <c r="I5474" s="10" t="inlineStr">
        <is>
          <t>17/03/2026</t>
        </is>
      </c>
      <c r="J5474" s="10" t="inlineStr">
        <is>
          <t>Kế toán / Kiểm toán, Thu mua / Vật tư</t>
        </is>
      </c>
      <c r="K5474" s="10" t="inlineStr">
        <is>
          <t>1 - 3 Năm</t>
        </is>
      </c>
      <c r="L5474" s="11">
        <f>HYPERLINK("https://careerviet.vn/vi/tim-viec-lam/ke-toan-tong-hop.35C66480.html","Xem chi tiết")</f>
        <v/>
      </c>
      <c r="M5474" s="10" t="n"/>
    </row>
    <row r="5475">
      <c r="B5475" s="7" t="n">
        <v>5473</v>
      </c>
      <c r="C5475" t="inlineStr">
        <is>
          <t>Phú Thọ - Chuyên Viên Kỹ Thuật Cảnh Quan</t>
        </is>
      </c>
      <c r="D5475" t="inlineStr">
        <is>
          <t>BIM Group</t>
        </is>
      </c>
      <c r="E5475" t="inlineStr">
        <is>
          <t>Lương:Cạnh tranh</t>
        </is>
      </c>
      <c r="F5475" t="inlineStr">
        <is>
          <t>Phú Thọ</t>
        </is>
      </c>
      <c r="G5475" t="inlineStr">
        <is>
          <t>6</t>
        </is>
      </c>
      <c r="H5475" t="inlineStr">
        <is>
          <t>23/03/2026</t>
        </is>
      </c>
      <c r="I5475" t="inlineStr">
        <is>
          <t>17/03/2026</t>
        </is>
      </c>
      <c r="J5475" t="inlineStr">
        <is>
          <t>Nông nghiệp, Lâm Nghiệp, Kiến trúc</t>
        </is>
      </c>
      <c r="K5475" t="inlineStr">
        <is>
          <t>3 - 5 Năm</t>
        </is>
      </c>
      <c r="L5475" s="8">
        <f>HYPERLINK("https://careerviet.vn/vi/tim-viec-lam/phu-tho-chuyen-vien-ky-thuat-canh-quan.35C63AAC.html","Xem chi tiết")</f>
        <v/>
      </c>
    </row>
    <row r="5476">
      <c r="B5476" s="9" t="n">
        <v>5474</v>
      </c>
      <c r="C5476" s="10" t="inlineStr">
        <is>
          <t>Kỹ Sư QS Công Trình</t>
        </is>
      </c>
      <c r="D5476" s="10" t="inlineStr">
        <is>
          <t>ATAD Steel Structure Corporation</t>
        </is>
      </c>
      <c r="E5476" s="10" t="inlineStr">
        <is>
          <t>Lương:Cạnh tranh</t>
        </is>
      </c>
      <c r="F5476" s="10" t="inlineStr">
        <is>
          <t>Thái BìnhKiên GiangHồ Chí Minh</t>
        </is>
      </c>
      <c r="G5476" s="10" t="inlineStr">
        <is>
          <t>6</t>
        </is>
      </c>
      <c r="H5476" s="10" t="inlineStr">
        <is>
          <t>23/03/2026</t>
        </is>
      </c>
      <c r="I5476" s="10" t="inlineStr">
        <is>
          <t>17/03/2026</t>
        </is>
      </c>
      <c r="J5476" s="10" t="inlineStr">
        <is>
          <t>Kiến trúc, Xây dựng</t>
        </is>
      </c>
      <c r="K5476" s="10" t="inlineStr">
        <is>
          <t>1 - 2 Năm</t>
        </is>
      </c>
      <c r="L5476" s="11">
        <f>HYPERLINK("https://careerviet.vn/vi/tim-viec-lam/ky-su-qs-cong-trinh.35C665F6.html","Xem chi tiết")</f>
        <v/>
      </c>
      <c r="M5476" s="10" t="n"/>
    </row>
    <row r="5477">
      <c r="B5477" s="7" t="n">
        <v>5475</v>
      </c>
      <c r="C5477" t="inlineStr">
        <is>
          <t>Quản Lý Kho</t>
        </is>
      </c>
      <c r="D5477" t="inlineStr">
        <is>
          <t>Công Ty Cổ Phần Tập Đoàn TH</t>
        </is>
      </c>
      <c r="E5477" t="inlineStr">
        <is>
          <t>Lương:Cạnh tranh</t>
        </is>
      </c>
      <c r="F5477" t="inlineStr">
        <is>
          <t>Nghệ AnHà Nội</t>
        </is>
      </c>
      <c r="G5477" t="inlineStr">
        <is>
          <t>6</t>
        </is>
      </c>
      <c r="H5477" t="inlineStr">
        <is>
          <t>23/03/2026</t>
        </is>
      </c>
      <c r="I5477" t="inlineStr">
        <is>
          <t>17/03/2026</t>
        </is>
      </c>
      <c r="J5477" t="inlineStr">
        <is>
          <t>Vận chuyển / Giao nhận / Kho vận</t>
        </is>
      </c>
      <c r="K5477" t="inlineStr">
        <is>
          <t>2 - 5 Năm</t>
        </is>
      </c>
      <c r="L5477" s="8">
        <f>HYPERLINK("https://careerviet.vn/vi/tim-viec-lam/quan-ly-kho.35C6651A.html","Xem chi tiết")</f>
        <v/>
      </c>
    </row>
    <row r="5478">
      <c r="B5478" s="9" t="n">
        <v>5476</v>
      </c>
      <c r="C5478" s="10" t="inlineStr">
        <is>
          <t>126287 - Nhân viên Kinh doanh - ngành Sản xuất</t>
        </is>
      </c>
      <c r="D5478" s="10" t="inlineStr">
        <is>
          <t>RGF HR Agent Vietnam Co., LTD</t>
        </is>
      </c>
      <c r="E5478" s="10" t="inlineStr">
        <is>
          <t>Lương:15 Tr - 20 Tr VND</t>
        </is>
      </c>
      <c r="F5478" s="10" t="inlineStr">
        <is>
          <t>Hà Nội</t>
        </is>
      </c>
      <c r="G5478" s="10" t="inlineStr">
        <is>
          <t>6</t>
        </is>
      </c>
      <c r="H5478" s="10" t="inlineStr">
        <is>
          <t>23/03/2026</t>
        </is>
      </c>
      <c r="I5478" s="10" t="inlineStr">
        <is>
          <t>17/03/2026</t>
        </is>
      </c>
      <c r="J5478" s="10" t="inlineStr">
        <is>
          <t>Bán hàng / Kinh doanh, Tư vấn, Xây dựng</t>
        </is>
      </c>
      <c r="K5478" s="10" t="inlineStr">
        <is>
          <t>Trên 3 Năm</t>
        </is>
      </c>
      <c r="L5478" s="11">
        <f>HYPERLINK("https://careerviet.vn/vi/tim-viec-lam/126287-nhan-vien-kinh-doanh-nganh-san-xuat.35C66547.html","Xem chi tiết")</f>
        <v/>
      </c>
      <c r="M5478" s="10" t="n"/>
    </row>
    <row r="5479">
      <c r="B5479" s="7" t="n">
        <v>5477</v>
      </c>
      <c r="C5479" t="inlineStr">
        <is>
          <t>Assistant Livestream Content Executive</t>
        </is>
      </c>
      <c r="D5479" t="inlineStr">
        <is>
          <t>Vascara Group</t>
        </is>
      </c>
      <c r="E5479" t="inlineStr">
        <is>
          <t>Lương:Cạnh tranh</t>
        </is>
      </c>
      <c r="F5479" t="inlineStr">
        <is>
          <t>Hồ Chí Minh</t>
        </is>
      </c>
      <c r="G5479" t="inlineStr">
        <is>
          <t>6</t>
        </is>
      </c>
      <c r="H5479" t="inlineStr">
        <is>
          <t>23/03/2026</t>
        </is>
      </c>
      <c r="I5479" t="inlineStr">
        <is>
          <t>17/03/2026</t>
        </is>
      </c>
      <c r="J5479" t="inlineStr">
        <is>
          <t>Tiếp thị / Marketing, Thương mại điện tử, Quảng cáo / Đối ngoại / Truyền Thông</t>
        </is>
      </c>
      <c r="K5479" t="inlineStr">
        <is>
          <t>1 - 2 Năm</t>
        </is>
      </c>
      <c r="L5479" s="8">
        <f>HYPERLINK("https://careerviet.vn/vi/tim-viec-lam/assistant-livestream-content-executive.35C664A4.html","Xem chi tiết")</f>
        <v/>
      </c>
    </row>
    <row r="5480">
      <c r="B5480" s="9" t="n">
        <v>5478</v>
      </c>
      <c r="C5480" s="10" t="inlineStr">
        <is>
          <t>Chuyên Viên Giải Phóng Mặt Bằng</t>
        </is>
      </c>
      <c r="D5480" s="10" t="inlineStr">
        <is>
          <t>CÔNG TY TNHH ĐẦU TƯ KHU CÔNG NGHIỆP LƯỠNG DỤNG VĂN GIANG</t>
        </is>
      </c>
      <c r="E5480" s="10" t="inlineStr">
        <is>
          <t>Lương:18 Tr - 30 Tr VND</t>
        </is>
      </c>
      <c r="F5480" s="10" t="inlineStr">
        <is>
          <t>Hà Nội</t>
        </is>
      </c>
      <c r="G5480" s="10" t="inlineStr">
        <is>
          <t>6</t>
        </is>
      </c>
      <c r="H5480" s="10" t="inlineStr">
        <is>
          <t>23/03/2026</t>
        </is>
      </c>
      <c r="I5480" s="10" t="inlineStr">
        <is>
          <t>17/03/2026</t>
        </is>
      </c>
      <c r="J5480" s="10" t="inlineStr">
        <is>
          <t>Bất động sản</t>
        </is>
      </c>
      <c r="K5480" s="10" t="inlineStr">
        <is>
          <t>3 - 5 Năm</t>
        </is>
      </c>
      <c r="L5480" s="11">
        <f>HYPERLINK("https://careerviet.vn/vi/tim-viec-lam/chuyen-vien-giai-phong-mat-bang.35C6661A.html","Xem chi tiết")</f>
        <v/>
      </c>
      <c r="M5480" s="10" t="n"/>
    </row>
    <row r="5481">
      <c r="B5481" s="7" t="n">
        <v>5479</v>
      </c>
      <c r="C5481" t="inlineStr">
        <is>
          <t>Kế toán dự án</t>
        </is>
      </c>
      <c r="D5481" t="inlineStr">
        <is>
          <t>CÔNG TY CỔ PHẦN XÂY DỰNG VÀ CƠ KHÍ DELTA E&amp;C</t>
        </is>
      </c>
      <c r="E5481" t="inlineStr">
        <is>
          <t>Lương:12 Tr - 15 Tr VND</t>
        </is>
      </c>
      <c r="F5481" t="inlineStr">
        <is>
          <t>Hà Nam</t>
        </is>
      </c>
      <c r="G5481" t="inlineStr">
        <is>
          <t>6</t>
        </is>
      </c>
      <c r="H5481" t="inlineStr">
        <is>
          <t>23/03/2026</t>
        </is>
      </c>
      <c r="I5481" t="inlineStr">
        <is>
          <t>17/03/2026</t>
        </is>
      </c>
      <c r="J5481" t="inlineStr">
        <is>
          <t>Kế toán / Kiểm toán, Xây dựng</t>
        </is>
      </c>
      <c r="K5481" t="inlineStr">
        <is>
          <t>1 - 2 Năm</t>
        </is>
      </c>
      <c r="L5481" s="8">
        <f>HYPERLINK("https://careerviet.vn/vi/tim-viec-lam/ke-toan-du-an.35C6395F.html","Xem chi tiết")</f>
        <v/>
      </c>
    </row>
    <row r="5482">
      <c r="B5482" s="9" t="n">
        <v>5480</v>
      </c>
      <c r="C5482" s="10" t="inlineStr">
        <is>
          <t>Giám Sát Thi Công Kết Cấu Thép</t>
        </is>
      </c>
      <c r="D5482" s="10" t="inlineStr">
        <is>
          <t>ATAD Steel Structure Corporation</t>
        </is>
      </c>
      <c r="E5482" s="10" t="inlineStr">
        <is>
          <t>Lương:Cạnh tranh</t>
        </is>
      </c>
      <c r="F5482" s="10" t="inlineStr">
        <is>
          <t>Hà NộiHưng YênHồ Chí Minh</t>
        </is>
      </c>
      <c r="G5482" s="10" t="inlineStr">
        <is>
          <t>6</t>
        </is>
      </c>
      <c r="H5482" s="10" t="inlineStr">
        <is>
          <t>23/03/2026</t>
        </is>
      </c>
      <c r="I5482" s="10" t="inlineStr">
        <is>
          <t>17/03/2026</t>
        </is>
      </c>
      <c r="J5482" s="10" t="inlineStr">
        <is>
          <t>Xây dựng, Kiến trúc, Cơ khí / Ô tô / Tự động hóa</t>
        </is>
      </c>
      <c r="K5482" s="10" t="inlineStr">
        <is>
          <t>1 - 2 Năm</t>
        </is>
      </c>
      <c r="L5482" s="11">
        <f>HYPERLINK("https://careerviet.vn/vi/tim-viec-lam/giam-sat-thi-cong-ket-cau-thep.35C626B2.html","Xem chi tiết")</f>
        <v/>
      </c>
      <c r="M5482" s="10" t="n"/>
    </row>
    <row r="5483">
      <c r="B5483" s="7" t="n">
        <v>5481</v>
      </c>
      <c r="C5483" t="inlineStr">
        <is>
          <t>Sales Manager FMCG</t>
        </is>
      </c>
      <c r="D5483" t="inlineStr">
        <is>
          <t>CÔNG TY CỔ PHẦN THƯƠNG MẠI DỊCH VỤ SẢN XUẤT HƯƠNG THỦY</t>
        </is>
      </c>
      <c r="E5483" t="inlineStr">
        <is>
          <t>Lương:Cạnh tranh</t>
        </is>
      </c>
      <c r="F5483" t="inlineStr">
        <is>
          <t>Hồ Chí Minh</t>
        </is>
      </c>
      <c r="G5483" t="inlineStr">
        <is>
          <t>6</t>
        </is>
      </c>
      <c r="H5483" t="inlineStr">
        <is>
          <t>23/03/2026</t>
        </is>
      </c>
      <c r="I5483" t="inlineStr">
        <is>
          <t>17/03/2026</t>
        </is>
      </c>
      <c r="J5483" t="inlineStr">
        <is>
          <t>Bán lẻ / Bán sỉ, Bán hàng / Kinh doanh, Thực phẩm &amp; Đồ uống</t>
        </is>
      </c>
      <c r="K5483" t="inlineStr">
        <is>
          <t>7 - 10 Năm</t>
        </is>
      </c>
      <c r="L5483" s="8">
        <f>HYPERLINK("https://careerviet.vn/vi/tim-viec-lam/sales-manager-fmcg.35C664A2.html","Xem chi tiết")</f>
        <v/>
      </c>
    </row>
    <row r="5484">
      <c r="B5484" s="9" t="n">
        <v>5482</v>
      </c>
      <c r="C5484" s="10" t="inlineStr">
        <is>
          <t>Talent Development Manager</t>
        </is>
      </c>
      <c r="D5484" s="10" t="inlineStr">
        <is>
          <t>Công Ty Cổ Phần TEKCOM</t>
        </is>
      </c>
      <c r="E5484" s="10" t="inlineStr">
        <is>
          <t>Lương:Cạnh tranh</t>
        </is>
      </c>
      <c r="F5484" s="10" t="inlineStr">
        <is>
          <t>Bình Dương</t>
        </is>
      </c>
      <c r="G5484" s="10" t="inlineStr">
        <is>
          <t>6</t>
        </is>
      </c>
      <c r="H5484" s="10" t="inlineStr">
        <is>
          <t>23/03/2026</t>
        </is>
      </c>
      <c r="I5484" s="10" t="inlineStr">
        <is>
          <t>17/03/2026</t>
        </is>
      </c>
      <c r="J5484" s="10" t="inlineStr">
        <is>
          <t>Giáo dục / Đào tạo, Nhân sự, Sản xuất / Vận hành sản xuất</t>
        </is>
      </c>
      <c r="K5484" s="10" t="inlineStr">
        <is>
          <t>Chưa có kinh nghiệm</t>
        </is>
      </c>
      <c r="L5484" s="11">
        <f>HYPERLINK("https://careerviet.vn/vi/tim-viec-lam/talent-development-manager.35C66550.html","Xem chi tiết")</f>
        <v/>
      </c>
      <c r="M5484" s="10" t="n"/>
    </row>
    <row r="5485">
      <c r="B5485" s="7" t="n">
        <v>5483</v>
      </c>
      <c r="C5485" t="inlineStr">
        <is>
          <t>GIÁM SÁT THI CÔNG NỘI THẤT</t>
        </is>
      </c>
      <c r="D5485" t="inlineStr">
        <is>
          <t>CÔNG TY CỔ PHẦN XÂY DỰNG NỘI THẤT ATC</t>
        </is>
      </c>
      <c r="E5485" t="inlineStr">
        <is>
          <t>Lương:18 Tr - 25 Tr VND</t>
        </is>
      </c>
      <c r="F5485" t="inlineStr">
        <is>
          <t>Hà NộiĐà NẵngBình Định</t>
        </is>
      </c>
      <c r="G5485" t="inlineStr">
        <is>
          <t>6</t>
        </is>
      </c>
      <c r="H5485" t="inlineStr">
        <is>
          <t>23/03/2026</t>
        </is>
      </c>
      <c r="I5485" t="inlineStr">
        <is>
          <t>17/03/2026</t>
        </is>
      </c>
      <c r="J5485" t="inlineStr">
        <is>
          <t>Xây dựng, Nội ngoại thất</t>
        </is>
      </c>
      <c r="K5485" t="inlineStr">
        <is>
          <t>3 - 5 Năm</t>
        </is>
      </c>
      <c r="L5485" s="8">
        <f>HYPERLINK("https://careerviet.vn/vi/tim-viec-lam/giam-sat-thi-cong-noi-that.35C66413.html","Xem chi tiết")</f>
        <v/>
      </c>
    </row>
    <row r="5486">
      <c r="B5486" s="9" t="n">
        <v>5484</v>
      </c>
      <c r="C5486" s="10" t="inlineStr">
        <is>
          <t>Chuyên viên pháp lý quản trị và phi tín dụng - Khối Pháp chế và tuân thủ</t>
        </is>
      </c>
      <c r="D5486" s="10" t="inlineStr">
        <is>
          <t>Ngân hàng TMCP Đại Chúng Việt Nam - PVcomBank</t>
        </is>
      </c>
      <c r="E5486" s="10" t="inlineStr">
        <is>
          <t>Lương:Cạnh tranh</t>
        </is>
      </c>
      <c r="F5486" s="10" t="inlineStr">
        <is>
          <t>Hà Nội</t>
        </is>
      </c>
      <c r="G5486" s="10" t="inlineStr">
        <is>
          <t>6</t>
        </is>
      </c>
      <c r="H5486" s="10" t="inlineStr">
        <is>
          <t>23/03/2026</t>
        </is>
      </c>
      <c r="I5486" s="10" t="inlineStr">
        <is>
          <t>17/03/2026</t>
        </is>
      </c>
      <c r="J5486" s="10" t="inlineStr">
        <is>
          <t>Ngân hàng, Tài chính / Đầu tư</t>
        </is>
      </c>
      <c r="K5486" s="10" t="inlineStr">
        <is>
          <t>2 - 5 Năm</t>
        </is>
      </c>
      <c r="L5486" s="11">
        <f>HYPERLINK("https://careerviet.vn/vi/tim-viec-lam/chuyen-vien-phap-ly-quan-tri-va-phi-tin-dung-khoi-phap-che-va-tuan-thu.35C6645C.html","Xem chi tiết")</f>
        <v/>
      </c>
      <c r="M5486" s="10" t="n"/>
    </row>
    <row r="5487">
      <c r="B5487" s="7" t="n">
        <v>5485</v>
      </c>
      <c r="C5487" t="inlineStr">
        <is>
          <t>Chuyên Viên Phát Triển Sản Phẩm Chứng Khoán</t>
        </is>
      </c>
      <c r="D5487" t="inlineStr">
        <is>
          <t>Phu Hung Securities Corporation</t>
        </is>
      </c>
      <c r="E5487" t="inlineStr">
        <is>
          <t>Lương:Cạnh tranh</t>
        </is>
      </c>
      <c r="F5487" t="inlineStr">
        <is>
          <t>Hồ Chí Minh</t>
        </is>
      </c>
      <c r="G5487" t="inlineStr">
        <is>
          <t>6</t>
        </is>
      </c>
      <c r="H5487" t="inlineStr">
        <is>
          <t>23/03/2026</t>
        </is>
      </c>
      <c r="I5487" t="inlineStr">
        <is>
          <t>17/03/2026</t>
        </is>
      </c>
      <c r="J5487" t="inlineStr">
        <is>
          <t>Ngân hàng, Chứng khoán, Tài chính / Đầu tư</t>
        </is>
      </c>
      <c r="K5487" t="inlineStr">
        <is>
          <t>1 - 2 Năm</t>
        </is>
      </c>
      <c r="L5487" s="8">
        <f>HYPERLINK("https://careerviet.vn/vi/tim-viec-lam/chuyen-vien-phat-trien-san-pham-chung-khoan.35C6392C.html","Xem chi tiết")</f>
        <v/>
      </c>
    </row>
    <row r="5488">
      <c r="B5488" s="9" t="n">
        <v>5486</v>
      </c>
      <c r="C5488" s="10" t="inlineStr">
        <is>
          <t>Kiểm Toán Nội Bộ</t>
        </is>
      </c>
      <c r="D5488" s="10" t="inlineStr">
        <is>
          <t>CÔNG TY TNHH ĐẦU TƯ AMZ HOLDINGS</t>
        </is>
      </c>
      <c r="E5488" s="10" t="inlineStr">
        <is>
          <t>Lương:8 Tr - 20 Tr VND</t>
        </is>
      </c>
      <c r="F5488" s="10" t="inlineStr">
        <is>
          <t>Lâm Đồng</t>
        </is>
      </c>
      <c r="G5488" s="10" t="inlineStr">
        <is>
          <t>6</t>
        </is>
      </c>
      <c r="H5488" s="10" t="inlineStr">
        <is>
          <t>23/03/2026</t>
        </is>
      </c>
      <c r="I5488" s="10" t="inlineStr">
        <is>
          <t>17/03/2026</t>
        </is>
      </c>
      <c r="J5488" s="10" t="inlineStr">
        <is>
          <t>Quản lý điều hành, Kế toán / Kiểm toán, Tài chính / Đầu tư</t>
        </is>
      </c>
      <c r="K5488" s="10" t="inlineStr">
        <is>
          <t>2 - 5 Năm</t>
        </is>
      </c>
      <c r="L5488" s="11">
        <f>HYPERLINK("https://careerviet.vn/vi/tim-viec-lam/kiem-toan-noi-bo.35C63A53.html","Xem chi tiết")</f>
        <v/>
      </c>
      <c r="M5488" s="10" t="n"/>
    </row>
    <row r="5489">
      <c r="B5489" s="7" t="n">
        <v>5487</v>
      </c>
      <c r="C5489" t="inlineStr">
        <is>
          <t>Kỹ Sư Điều Hòa Không Khí</t>
        </is>
      </c>
      <c r="D5489" t="inlineStr">
        <is>
          <t>Panasonic Sales Vietnam</t>
        </is>
      </c>
      <c r="E5489" t="inlineStr">
        <is>
          <t>Lương:Cạnh tranh</t>
        </is>
      </c>
      <c r="F5489" t="inlineStr">
        <is>
          <t>Hồ Chí Minh</t>
        </is>
      </c>
      <c r="G5489" t="inlineStr">
        <is>
          <t>6</t>
        </is>
      </c>
      <c r="H5489" t="inlineStr">
        <is>
          <t>23/03/2026</t>
        </is>
      </c>
      <c r="I5489" t="inlineStr">
        <is>
          <t>17/03/2026</t>
        </is>
      </c>
      <c r="J5489" t="inlineStr">
        <is>
          <t>Dịch vụ khách hàng, Điện / Điện tử / Điện lạnh / Điện công nghiệp, Bảo trì / Sửa chữa</t>
        </is>
      </c>
      <c r="K5489" t="inlineStr">
        <is>
          <t>Chưa có kinh nghiệm</t>
        </is>
      </c>
      <c r="L5489" s="8">
        <f>HYPERLINK("https://careerviet.vn/vi/tim-viec-lam/ky-su-dieu-hoa-khong-khi.35C63A64.html","Xem chi tiết")</f>
        <v/>
      </c>
    </row>
    <row r="5490">
      <c r="B5490" s="9" t="n">
        <v>5488</v>
      </c>
      <c r="C5490" s="10" t="inlineStr">
        <is>
          <t>126594 - Chemical Sales Engineer - Water/Wastewater Treatment</t>
        </is>
      </c>
      <c r="D5490" s="10" t="inlineStr">
        <is>
          <t>RGF HR Agent Vietnam Co., LTD</t>
        </is>
      </c>
      <c r="E5490" s="10" t="inlineStr">
        <is>
          <t>Lương:18 Tr - 20 Tr VND</t>
        </is>
      </c>
      <c r="F5490" s="10" t="inlineStr">
        <is>
          <t>Hà Nội</t>
        </is>
      </c>
      <c r="G5490" s="10" t="inlineStr">
        <is>
          <t>6</t>
        </is>
      </c>
      <c r="H5490" s="10" t="inlineStr">
        <is>
          <t>23/03/2026</t>
        </is>
      </c>
      <c r="I5490" s="10" t="inlineStr">
        <is>
          <t>17/03/2026</t>
        </is>
      </c>
      <c r="J5490" s="10" t="inlineStr">
        <is>
          <t>Bán Hàng Kỹ Thuật, Hóa học</t>
        </is>
      </c>
      <c r="K5490" s="10" t="inlineStr">
        <is>
          <t>Trên 5 Năm</t>
        </is>
      </c>
      <c r="L5490" s="11">
        <f>HYPERLINK("https://careerviet.vn/vi/tim-viec-lam/126594-chemical-sales-engineer-water-wastewater-treatment.35C6653A.html","Xem chi tiết")</f>
        <v/>
      </c>
      <c r="M5490" s="10" t="n"/>
    </row>
    <row r="5491">
      <c r="B5491" s="7" t="n">
        <v>5489</v>
      </c>
      <c r="C5491" t="inlineStr">
        <is>
          <t>127097 - Kỹ sư Kiểm thử - ngành điện</t>
        </is>
      </c>
      <c r="D5491" t="inlineStr">
        <is>
          <t>RGF HR Agent Vietnam Co., LTD</t>
        </is>
      </c>
      <c r="E5491" t="inlineStr">
        <is>
          <t>Lương:Cạnh tranh</t>
        </is>
      </c>
      <c r="F5491" t="inlineStr">
        <is>
          <t>Hà Nội</t>
        </is>
      </c>
      <c r="G5491" t="inlineStr">
        <is>
          <t>6</t>
        </is>
      </c>
      <c r="H5491" t="inlineStr">
        <is>
          <t>23/03/2026</t>
        </is>
      </c>
      <c r="I5491" t="inlineStr">
        <is>
          <t>17/03/2026</t>
        </is>
      </c>
      <c r="J5491" t="inlineStr">
        <is>
          <t>Điện / Điện tử / Điện lạnh / Điện công nghiệp</t>
        </is>
      </c>
      <c r="K5491" t="inlineStr">
        <is>
          <t>Trên 5 Năm</t>
        </is>
      </c>
      <c r="L5491" s="8">
        <f>HYPERLINK("https://careerviet.vn/vi/tim-viec-lam/127097-ky-su-kiem-thu-nganh-dien.35C66526.html","Xem chi tiết")</f>
        <v/>
      </c>
    </row>
    <row r="5492">
      <c r="B5492" s="9" t="n">
        <v>5490</v>
      </c>
      <c r="C5492" s="10" t="inlineStr">
        <is>
          <t>Tài xế dấu C</t>
        </is>
      </c>
      <c r="D5492" s="10" t="inlineStr">
        <is>
          <t>Bảo mật</t>
        </is>
      </c>
      <c r="E5492" s="10" t="inlineStr">
        <is>
          <t>Lương:Cạnh tranh</t>
        </is>
      </c>
      <c r="F5492" s="10" t="inlineStr">
        <is>
          <t>Long AnHồ Chí Minh</t>
        </is>
      </c>
      <c r="G5492" s="10" t="inlineStr">
        <is>
          <t>6</t>
        </is>
      </c>
      <c r="H5492" s="10" t="inlineStr">
        <is>
          <t>23/03/2026</t>
        </is>
      </c>
      <c r="I5492" s="10" t="inlineStr">
        <is>
          <t>17/03/2026</t>
        </is>
      </c>
      <c r="J5492" s="10" t="inlineStr">
        <is>
          <t>Vận chuyển / Giao nhận / Kho vận</t>
        </is>
      </c>
      <c r="K5492" s="10" t="inlineStr">
        <is>
          <t>1 - 5 Năm</t>
        </is>
      </c>
      <c r="L5492" s="11">
        <f>HYPERLINK("https://careerviet.vn/vi/tim-viec-lam/tai-xe-dau-c.35C63A43.html","Xem chi tiết")</f>
        <v/>
      </c>
      <c r="M5492" s="10" t="n"/>
    </row>
    <row r="5493">
      <c r="B5493" s="7" t="n">
        <v>5491</v>
      </c>
      <c r="C5493" t="inlineStr">
        <is>
          <t>Trưởng Nhóm Thu Hồi Nợ Hiện Trường - Nợ Sớm - TA156 - ID874</t>
        </is>
      </c>
      <c r="D5493" t="inlineStr">
        <is>
          <t>Ngân Hàng TMCP Việt Nam Thịnh Vượng - VPBANK</t>
        </is>
      </c>
      <c r="E5493" t="inlineStr">
        <is>
          <t>Lương:Cạnh tranh</t>
        </is>
      </c>
      <c r="F5493" t="inlineStr">
        <is>
          <t>An GiangKiên GiangĐồng Tháp</t>
        </is>
      </c>
      <c r="G5493" t="inlineStr">
        <is>
          <t>6</t>
        </is>
      </c>
      <c r="H5493" t="inlineStr">
        <is>
          <t>23/03/2026</t>
        </is>
      </c>
      <c r="I5493" t="inlineStr">
        <is>
          <t>17/03/2026</t>
        </is>
      </c>
      <c r="J5493" t="inlineStr">
        <is>
          <t>Bán hàng / Kinh doanh, Dịch vụ khách hàng, Ngân hàng</t>
        </is>
      </c>
      <c r="K5493" t="inlineStr">
        <is>
          <t>4 - 5 Năm</t>
        </is>
      </c>
      <c r="L5493" s="8">
        <f>HYPERLINK("https://careerviet.vn/vi/tim-viec-lam/truong-nhom-thu-hoi-no-hien-truong-no-som-ta156-id874.35C6396F.html","Xem chi tiết")</f>
        <v/>
      </c>
    </row>
    <row r="5494">
      <c r="B5494" s="9" t="n">
        <v>5492</v>
      </c>
      <c r="C5494" s="10" t="inlineStr">
        <is>
          <t>Thực tập sinh</t>
        </is>
      </c>
      <c r="D5494" s="10" t="inlineStr">
        <is>
          <t>NGÂN HÀNG TMCP QUÂN ĐỘI - QUẬN 6</t>
        </is>
      </c>
      <c r="E5494" s="10" t="inlineStr">
        <is>
          <t>Lương:1 Tr - 12 Tr VND</t>
        </is>
      </c>
      <c r="F5494" s="10" t="inlineStr">
        <is>
          <t>Hồ Chí Minh</t>
        </is>
      </c>
      <c r="G5494" s="10" t="inlineStr">
        <is>
          <t>6</t>
        </is>
      </c>
      <c r="H5494" s="10" t="inlineStr">
        <is>
          <t>23/03/2026</t>
        </is>
      </c>
      <c r="I5494" s="10" t="inlineStr">
        <is>
          <t>17/03/2026</t>
        </is>
      </c>
      <c r="J5494" s="10" t="inlineStr">
        <is>
          <t>Ngân hàng</t>
        </is>
      </c>
      <c r="K5494" s="10" t="inlineStr">
        <is>
          <t>N/A</t>
        </is>
      </c>
      <c r="L5494" s="11">
        <f>HYPERLINK("https://careerviet.vn/vi/tim-viec-lam/thuc-tap-sinh.35C665E6.html","Xem chi tiết")</f>
        <v/>
      </c>
      <c r="M5494" s="10" t="n"/>
    </row>
    <row r="5495">
      <c r="B5495" s="7" t="n">
        <v>5493</v>
      </c>
      <c r="C5495" t="inlineStr">
        <is>
          <t>OPERATION LCL EXECUTIVE</t>
        </is>
      </c>
      <c r="D5495" t="inlineStr">
        <is>
          <t>Bảo mật</t>
        </is>
      </c>
      <c r="E5495" t="inlineStr">
        <is>
          <t>Lương:Cạnh tranh</t>
        </is>
      </c>
      <c r="F5495" t="inlineStr">
        <is>
          <t>Hồ Chí Minh</t>
        </is>
      </c>
      <c r="G5495" t="inlineStr">
        <is>
          <t>6</t>
        </is>
      </c>
      <c r="H5495" t="inlineStr">
        <is>
          <t>23/03/2026</t>
        </is>
      </c>
      <c r="I5495" t="inlineStr">
        <is>
          <t>17/03/2026</t>
        </is>
      </c>
      <c r="J5495" t="inlineStr">
        <is>
          <t>Vận chuyển / Giao nhận / Kho vận, Xuất nhập khẩu</t>
        </is>
      </c>
      <c r="K5495" t="inlineStr">
        <is>
          <t>1 - 3 Năm</t>
        </is>
      </c>
      <c r="L5495" s="8">
        <f>HYPERLINK("https://careerviet.vn/vi/tim-viec-lam/operation-lcl-executive.35C66448.html","Xem chi tiết")</f>
        <v/>
      </c>
    </row>
    <row r="5496">
      <c r="B5496" s="9" t="n">
        <v>5494</v>
      </c>
      <c r="C5496" s="10" t="inlineStr">
        <is>
          <t>Financial Planning &amp; Analysis Specialist</t>
        </is>
      </c>
      <c r="D5496" s="10" t="inlineStr">
        <is>
          <t>Công Ty Cổ Phần Tập Đoàn Đầu Tư Địa Ốc No Va</t>
        </is>
      </c>
      <c r="E5496" s="10" t="inlineStr">
        <is>
          <t>Lương:Cạnh tranh</t>
        </is>
      </c>
      <c r="F5496" s="10" t="inlineStr">
        <is>
          <t>Hồ Chí Minh</t>
        </is>
      </c>
      <c r="G5496" s="10" t="inlineStr">
        <is>
          <t>6</t>
        </is>
      </c>
      <c r="H5496" s="10" t="inlineStr">
        <is>
          <t>23/03/2026</t>
        </is>
      </c>
      <c r="I5496" s="10" t="inlineStr">
        <is>
          <t>17/03/2026</t>
        </is>
      </c>
      <c r="J5496" s="10" t="inlineStr">
        <is>
          <t>Kế toán / Kiểm toán, Tài chính / Đầu tư, Bất động sản</t>
        </is>
      </c>
      <c r="K5496" s="10" t="inlineStr">
        <is>
          <t>3 - 5 Năm</t>
        </is>
      </c>
      <c r="L5496" s="11">
        <f>HYPERLINK("https://careerviet.vn/vi/tim-viec-lam/financial-planning-analysis-specialist.35C66489.html","Xem chi tiết")</f>
        <v/>
      </c>
      <c r="M5496" s="10" t="n"/>
    </row>
    <row r="5497">
      <c r="B5497" s="7" t="n">
        <v>5495</v>
      </c>
      <c r="C5497" t="inlineStr">
        <is>
          <t>Trưởng nhóm Hiện trường (Đường Sắt)</t>
        </is>
      </c>
      <c r="D5497" t="inlineStr">
        <is>
          <t>ITL Freight Management</t>
        </is>
      </c>
      <c r="E5497" t="inlineStr">
        <is>
          <t>Lương:Cạnh tranh</t>
        </is>
      </c>
      <c r="F5497" t="inlineStr">
        <is>
          <t>Hồ Chí Minh</t>
        </is>
      </c>
      <c r="G5497" t="inlineStr">
        <is>
          <t>6</t>
        </is>
      </c>
      <c r="H5497" t="inlineStr">
        <is>
          <t>23/03/2026</t>
        </is>
      </c>
      <c r="I5497" t="inlineStr">
        <is>
          <t>17/03/2026</t>
        </is>
      </c>
      <c r="J5497" t="inlineStr">
        <is>
          <t>Vận chuyển / Giao nhận / Kho vận</t>
        </is>
      </c>
      <c r="K5497" t="inlineStr">
        <is>
          <t>Trên 3 Năm</t>
        </is>
      </c>
      <c r="L5497" s="8">
        <f>HYPERLINK("https://careerviet.vn/vi/tim-viec-lam/truong-nhom-hien-truong-duong-sat.35C63A31.html","Xem chi tiết")</f>
        <v/>
      </c>
    </row>
    <row r="5498">
      <c r="B5498" s="9" t="n">
        <v>5496</v>
      </c>
      <c r="C5498" s="10" t="inlineStr">
        <is>
          <t>IQC Engineer</t>
        </is>
      </c>
      <c r="D5498" s="10" t="inlineStr">
        <is>
          <t>XP Power  Vietnam</t>
        </is>
      </c>
      <c r="E5498" s="10" t="inlineStr">
        <is>
          <t>Lương:Cạnh tranh</t>
        </is>
      </c>
      <c r="F5498" s="10" t="inlineStr">
        <is>
          <t>Bình Dương</t>
        </is>
      </c>
      <c r="G5498" s="10" t="inlineStr">
        <is>
          <t>6</t>
        </is>
      </c>
      <c r="H5498" s="10" t="inlineStr">
        <is>
          <t>23/03/2026</t>
        </is>
      </c>
      <c r="I5498" s="10" t="inlineStr">
        <is>
          <t>17/03/2026</t>
        </is>
      </c>
      <c r="J5498" s="10" t="inlineStr">
        <is>
          <t>Điện / Điện tử / Điện lạnh / Điện công nghiệp, Quản lý chất lượng (QA/QC)</t>
        </is>
      </c>
      <c r="K5498" s="10" t="inlineStr">
        <is>
          <t>N/A</t>
        </is>
      </c>
      <c r="L5498" s="11">
        <f>HYPERLINK("https://careerviet.vn/vi/tim-viec-lam/iqc-engineer.35C665B1.html","Xem chi tiết")</f>
        <v/>
      </c>
      <c r="M5498" s="10" t="n"/>
    </row>
    <row r="5499">
      <c r="B5499" s="7" t="n">
        <v>5497</v>
      </c>
      <c r="C5499" t="inlineStr">
        <is>
          <t>Nhân Viên Thiết Kế Đồ Họa</t>
        </is>
      </c>
      <c r="D5499" t="inlineStr">
        <is>
          <t>Công ty CP Sữa chua Trân châu Hạ Long</t>
        </is>
      </c>
      <c r="E5499" t="inlineStr">
        <is>
          <t>Lương:12 Tr - 14 Tr VND</t>
        </is>
      </c>
      <c r="F5499" t="inlineStr">
        <is>
          <t>Hà Nội</t>
        </is>
      </c>
      <c r="G5499" t="inlineStr">
        <is>
          <t>6</t>
        </is>
      </c>
      <c r="H5499" t="inlineStr">
        <is>
          <t>23/03/2026</t>
        </is>
      </c>
      <c r="I5499" t="inlineStr">
        <is>
          <t>17/03/2026</t>
        </is>
      </c>
      <c r="J5499" t="inlineStr">
        <is>
          <t>Tiếp thị / Marketing, Mỹ thuật / Nghệ thuật / Thiết kế, Quảng cáo / Đối ngoại / Truyền Thông</t>
        </is>
      </c>
      <c r="K5499" t="inlineStr">
        <is>
          <t>Trên 2 Năm</t>
        </is>
      </c>
      <c r="L5499" s="8">
        <f>HYPERLINK("https://careerviet.vn/vi/tim-viec-lam/nhan-vien-thiet-ke-do-hoa.35C63A20.html","Xem chi tiết")</f>
        <v/>
      </c>
    </row>
    <row r="5500">
      <c r="B5500" s="9" t="n">
        <v>5498</v>
      </c>
      <c r="C5500" s="10" t="inlineStr">
        <is>
          <t>Commercial Leader</t>
        </is>
      </c>
      <c r="D5500" s="10" t="inlineStr">
        <is>
          <t>CÔNG TY CỔ PHẦN CÔNG NGHỆ FINVIET</t>
        </is>
      </c>
      <c r="E5500" s="10" t="inlineStr">
        <is>
          <t>Lương:Cạnh tranh</t>
        </is>
      </c>
      <c r="F5500" s="10" t="inlineStr">
        <is>
          <t>Hồ Chí Minh</t>
        </is>
      </c>
      <c r="G5500" s="10" t="inlineStr">
        <is>
          <t>6</t>
        </is>
      </c>
      <c r="H5500" s="10" t="inlineStr">
        <is>
          <t>23/03/2026</t>
        </is>
      </c>
      <c r="I5500" s="10" t="inlineStr">
        <is>
          <t>17/03/2026</t>
        </is>
      </c>
      <c r="J5500" s="10" t="inlineStr">
        <is>
          <t>Tiếp thị / Marketing, Bán lẻ / Bán sỉ, Bán hàng / Kinh doanh</t>
        </is>
      </c>
      <c r="K5500" s="10" t="inlineStr">
        <is>
          <t>3 - 5 Năm</t>
        </is>
      </c>
      <c r="L5500" s="11">
        <f>HYPERLINK("https://careerviet.vn/vi/tim-viec-lam/commercial-leader.35C66486.html","Xem chi tiết")</f>
        <v/>
      </c>
      <c r="M5500" s="10" t="n"/>
    </row>
    <row r="5501">
      <c r="B5501" s="7" t="n">
        <v>5499</v>
      </c>
      <c r="C5501" t="inlineStr">
        <is>
          <t>Nhân Viên Kinh Doanh B2B</t>
        </is>
      </c>
      <c r="D5501" t="inlineStr">
        <is>
          <t>CÔNG TY TNHH TIẾP THỊ TRUYỀN THÔNG -  MARCOM</t>
        </is>
      </c>
      <c r="E5501" t="inlineStr">
        <is>
          <t>Lương:15 Tr - 40 Tr VND</t>
        </is>
      </c>
      <c r="F5501" t="inlineStr">
        <is>
          <t>Hà Nội</t>
        </is>
      </c>
      <c r="G5501" t="inlineStr">
        <is>
          <t>6</t>
        </is>
      </c>
      <c r="H5501" t="inlineStr">
        <is>
          <t>23/03/2026</t>
        </is>
      </c>
      <c r="I5501" t="inlineStr">
        <is>
          <t>17/03/2026</t>
        </is>
      </c>
      <c r="J5501" t="inlineStr">
        <is>
          <t>Tiếp thị / Marketing, Bán hàng / Kinh doanh, Dịch vụ khách hàng</t>
        </is>
      </c>
      <c r="K5501" t="inlineStr">
        <is>
          <t>Trên 1 Năm</t>
        </is>
      </c>
      <c r="L5501" s="8">
        <f>HYPERLINK("https://careerviet.vn/vi/tim-viec-lam/nhan-vien-kinh-doanh-b2b.35C63A2E.html","Xem chi tiết")</f>
        <v/>
      </c>
    </row>
    <row r="5502">
      <c r="B5502" s="9" t="n">
        <v>5500</v>
      </c>
      <c r="C5502" s="10" t="inlineStr">
        <is>
          <t>CV/CVC Thu Hồi Nợ Hiện Trường  - Hồ Chí Minh, Bình Dương, Vũng Tàu - ID859</t>
        </is>
      </c>
      <c r="D5502" s="10" t="inlineStr">
        <is>
          <t>Ngân Hàng TMCP Việt Nam Thịnh Vượng - VPBANK</t>
        </is>
      </c>
      <c r="E5502" s="10" t="inlineStr">
        <is>
          <t>Lương:Cạnh tranh</t>
        </is>
      </c>
      <c r="F5502" s="10" t="inlineStr">
        <is>
          <t>Hồ Chí Minh</t>
        </is>
      </c>
      <c r="G5502" s="10" t="inlineStr">
        <is>
          <t>6</t>
        </is>
      </c>
      <c r="H5502" s="10" t="inlineStr">
        <is>
          <t>23/03/2026</t>
        </is>
      </c>
      <c r="I5502" s="10" t="inlineStr">
        <is>
          <t>17/03/2026</t>
        </is>
      </c>
      <c r="J5502" s="10" t="inlineStr">
        <is>
          <t>Ngân hàng</t>
        </is>
      </c>
      <c r="K5502" s="10" t="inlineStr">
        <is>
          <t>Chưa có kinh nghiệm</t>
        </is>
      </c>
      <c r="L5502" s="11">
        <f>HYPERLINK("https://careerviet.vn/vi/tim-viec-lam/cv-cvc-thu-hoi-no-hien-truong-ho-chi-minh-binh-duong-vung-tau-id859.35C63AB6.html","Xem chi tiết")</f>
        <v/>
      </c>
      <c r="M5502" s="10" t="n"/>
    </row>
    <row r="5503">
      <c r="B5503" s="7" t="n">
        <v>5501</v>
      </c>
      <c r="C5503" t="inlineStr">
        <is>
          <t>Chuyên Viên Quan Hệ Khách Hàng Doanh Nghiệp - Khu Vực Hà Nội</t>
        </is>
      </c>
      <c r="D5503" t="inlineStr">
        <is>
          <t>Ngân Hàng Thương Mại Cổ Phần Bảo Việt</t>
        </is>
      </c>
      <c r="E5503" t="inlineStr">
        <is>
          <t>Lương:10 Tr - 20 Tr VND</t>
        </is>
      </c>
      <c r="F5503" t="inlineStr">
        <is>
          <t>Hà Nội</t>
        </is>
      </c>
      <c r="G5503" t="inlineStr">
        <is>
          <t>6</t>
        </is>
      </c>
      <c r="H5503" t="inlineStr">
        <is>
          <t>23/03/2026</t>
        </is>
      </c>
      <c r="I5503" t="inlineStr">
        <is>
          <t>17/03/2026</t>
        </is>
      </c>
      <c r="J5503" t="inlineStr">
        <is>
          <t>Bán hàng / Kinh doanh, Ngân hàng</t>
        </is>
      </c>
      <c r="K5503" t="inlineStr">
        <is>
          <t>1 - 3 Năm</t>
        </is>
      </c>
      <c r="L5503" s="8">
        <f>HYPERLINK("https://careerviet.vn/vi/tim-viec-lam/chuyen-vien-quan-he-khach-hang-doanh-nghiep-khu-vuc-ha-noi.35C665DA.html","Xem chi tiết")</f>
        <v/>
      </c>
    </row>
    <row r="5504">
      <c r="B5504" s="9" t="n">
        <v>5502</v>
      </c>
      <c r="C5504" s="10" t="inlineStr">
        <is>
          <t>Chuyên viên kinh doanh</t>
        </is>
      </c>
      <c r="D5504" s="10" t="inlineStr">
        <is>
          <t>Công Ty TNHH Sơn Seamaster Việt Nam</t>
        </is>
      </c>
      <c r="E5504" s="10" t="inlineStr">
        <is>
          <t>Lương:10 Tr - 20 Tr VND</t>
        </is>
      </c>
      <c r="F5504" s="10" t="inlineStr">
        <is>
          <t>Hà NộiHải PhòngHồ Chí Minh</t>
        </is>
      </c>
      <c r="G5504" s="10" t="inlineStr">
        <is>
          <t>6</t>
        </is>
      </c>
      <c r="H5504" s="10" t="inlineStr">
        <is>
          <t>23/03/2026</t>
        </is>
      </c>
      <c r="I5504" s="10" t="inlineStr">
        <is>
          <t>17/03/2026</t>
        </is>
      </c>
      <c r="J5504" s="10" t="inlineStr">
        <is>
          <t>Tiếp thị / Marketing, Bán hàng / Kinh doanh, Tư vấn</t>
        </is>
      </c>
      <c r="K5504" s="10" t="inlineStr">
        <is>
          <t>1 - 2 Năm</t>
        </is>
      </c>
      <c r="L5504" s="11">
        <f>HYPERLINK("https://careerviet.vn/vi/tim-viec-lam/chuyen-vien-kinh-doanh.35C62285.html","Xem chi tiết")</f>
        <v/>
      </c>
      <c r="M5504" s="10" t="n"/>
    </row>
    <row r="5505">
      <c r="B5505" s="7" t="n">
        <v>5503</v>
      </c>
      <c r="C5505" t="inlineStr">
        <is>
          <t>Cộng Tác Viên Kế Toán  - Thời Gian 6 Tháng</t>
        </is>
      </c>
      <c r="D5505" t="inlineStr">
        <is>
          <t>Công Ty Cổ Phần Mỹ Phẩm Sài Gòn</t>
        </is>
      </c>
      <c r="E5505" t="inlineStr">
        <is>
          <t>Lương:Cạnh tranh</t>
        </is>
      </c>
      <c r="F5505" t="inlineStr">
        <is>
          <t>Hồ Chí Minh</t>
        </is>
      </c>
      <c r="G5505" t="inlineStr">
        <is>
          <t>6</t>
        </is>
      </c>
      <c r="H5505" t="inlineStr">
        <is>
          <t>23/03/2026</t>
        </is>
      </c>
      <c r="I5505" t="inlineStr">
        <is>
          <t>17/03/2026</t>
        </is>
      </c>
      <c r="J5505" t="inlineStr">
        <is>
          <t>Kế toán / Kiểm toán</t>
        </is>
      </c>
      <c r="K5505" t="inlineStr">
        <is>
          <t>1 - 3 Năm</t>
        </is>
      </c>
      <c r="L5505" s="8">
        <f>HYPERLINK("https://careerviet.vn/vi/tim-viec-lam/cong-tac-vien-ke-toan-thoi-gian-6-thang.35C63A45.html","Xem chi tiết")</f>
        <v/>
      </c>
    </row>
    <row r="5506">
      <c r="B5506" s="9" t="n">
        <v>5504</v>
      </c>
      <c r="C5506" s="10" t="inlineStr">
        <is>
          <t>Program Officer in Human Capacity Development</t>
        </is>
      </c>
      <c r="D5506" s="10" t="inlineStr">
        <is>
          <t>The Deutsche Gesellschaft für Internationale Zusammenarbeit (GIZ)</t>
        </is>
      </c>
      <c r="E5506" s="10" t="inlineStr">
        <is>
          <t>Lương:Cạnh tranh</t>
        </is>
      </c>
      <c r="F5506" s="10" t="inlineStr">
        <is>
          <t>Hồ Chí Minh</t>
        </is>
      </c>
      <c r="G5506" s="10" t="inlineStr">
        <is>
          <t>6</t>
        </is>
      </c>
      <c r="H5506" s="10" t="inlineStr">
        <is>
          <t>23/03/2026</t>
        </is>
      </c>
      <c r="I5506" s="10" t="inlineStr">
        <is>
          <t>17/03/2026</t>
        </is>
      </c>
      <c r="J5506" s="10" t="inlineStr">
        <is>
          <t>Hành chính / Thư ký, Quản lý điều hành, Nhân sự</t>
        </is>
      </c>
      <c r="K5506" s="10" t="inlineStr">
        <is>
          <t>5 Năm</t>
        </is>
      </c>
      <c r="L5506" s="11">
        <f>HYPERLINK("https://careerviet.vn/vi/tim-viec-lam/program-officer-in-human-capacity-development.35C6399A.html","Xem chi tiết")</f>
        <v/>
      </c>
      <c r="M5506" s="10" t="n"/>
    </row>
    <row r="5507">
      <c r="B5507" s="7" t="n">
        <v>5505</v>
      </c>
      <c r="C5507" t="inlineStr">
        <is>
          <t>Nhân viên Quản trị quy trình, ISO, QA</t>
        </is>
      </c>
      <c r="D5507" t="inlineStr">
        <is>
          <t>Tổng Công ty Cổ phần Công trình Viettel</t>
        </is>
      </c>
      <c r="E5507" t="inlineStr">
        <is>
          <t>Lương:18 Tr - 22 Tr VND</t>
        </is>
      </c>
      <c r="F5507" t="inlineStr">
        <is>
          <t>Hà Nội</t>
        </is>
      </c>
      <c r="G5507" t="inlineStr">
        <is>
          <t>6</t>
        </is>
      </c>
      <c r="H5507" t="inlineStr">
        <is>
          <t>23/03/2026</t>
        </is>
      </c>
      <c r="I5507" t="inlineStr">
        <is>
          <t>17/03/2026</t>
        </is>
      </c>
      <c r="J5507" t="inlineStr">
        <is>
          <t>An toàn lao động, Luật / Pháp lý, Xây dựng</t>
        </is>
      </c>
      <c r="K5507" t="inlineStr">
        <is>
          <t>2 - 5 Năm</t>
        </is>
      </c>
      <c r="L5507" s="8">
        <f>HYPERLINK("https://careerviet.vn/vi/tim-viec-lam/nhan-vien-quan-tri-quy-trinh-iso-qa.35C63A46.html","Xem chi tiết")</f>
        <v/>
      </c>
    </row>
    <row r="5508">
      <c r="B5508" s="9" t="n">
        <v>5506</v>
      </c>
      <c r="C5508" s="10" t="inlineStr">
        <is>
          <t>Đồng Tháp - Chuyên viên Quan hệ Khách hàng cá nhân</t>
        </is>
      </c>
      <c r="D5508" s="10" t="inlineStr">
        <is>
          <t>Ngân hàng TMCP Lộc Phát Việt Nam (LPBank)</t>
        </is>
      </c>
      <c r="E5508" s="10" t="inlineStr">
        <is>
          <t>Lương:Cạnh tranh</t>
        </is>
      </c>
      <c r="F5508" s="10" t="inlineStr">
        <is>
          <t>Đồng Tháp</t>
        </is>
      </c>
      <c r="G5508" s="10" t="inlineStr">
        <is>
          <t>6</t>
        </is>
      </c>
      <c r="H5508" s="10" t="inlineStr">
        <is>
          <t>23/03/2026</t>
        </is>
      </c>
      <c r="I5508" s="10" t="inlineStr">
        <is>
          <t>17/03/2026</t>
        </is>
      </c>
      <c r="J5508" s="10" t="inlineStr">
        <is>
          <t>Bán hàng / Kinh doanh, Kế toán / Kiểm toán, Ngân hàng</t>
        </is>
      </c>
      <c r="K5508" s="10" t="inlineStr">
        <is>
          <t>N/A</t>
        </is>
      </c>
      <c r="L5508" s="11">
        <f>HYPERLINK("https://careerviet.vn/vi/tim-viec-lam/dong-thap-chuyen-vien-quan-he-khach-hang-ca-nhan.35C639FE.html","Xem chi tiết")</f>
        <v/>
      </c>
      <c r="M5508" s="10" t="n"/>
    </row>
    <row r="5509">
      <c r="B5509" s="7" t="n">
        <v>5507</v>
      </c>
      <c r="C5509" t="inlineStr">
        <is>
          <t>Nhân viên phục vụ _ Long Biên</t>
        </is>
      </c>
      <c r="D5509" t="inlineStr">
        <is>
          <t>Công Ty TNHH TM &amp; XNK Nhất Lâm</t>
        </is>
      </c>
      <c r="E5509" t="inlineStr">
        <is>
          <t>Lương:4 Tr - 6 Tr VND</t>
        </is>
      </c>
      <c r="F5509" t="inlineStr">
        <is>
          <t>Hà Nội</t>
        </is>
      </c>
      <c r="G5509" t="inlineStr">
        <is>
          <t>6</t>
        </is>
      </c>
      <c r="H5509" t="inlineStr">
        <is>
          <t>23/03/2026</t>
        </is>
      </c>
      <c r="I5509" t="inlineStr">
        <is>
          <t>17/03/2026</t>
        </is>
      </c>
      <c r="J5509" t="inlineStr">
        <is>
          <t>Dịch vụ khách hàng, Nhà hàng / Khách sạn</t>
        </is>
      </c>
      <c r="K5509" t="inlineStr">
        <is>
          <t>N/A</t>
        </is>
      </c>
      <c r="L5509" s="8">
        <f>HYPERLINK("https://careerviet.vn/vi/tim-viec-lam/nhan-vien-phuc-vu-_-long-bien.35C6658A.html","Xem chi tiết")</f>
        <v/>
      </c>
    </row>
    <row r="5510">
      <c r="B5510" s="9" t="n">
        <v>5508</v>
      </c>
      <c r="C5510" s="10" t="inlineStr">
        <is>
          <t>Nhân viên thủ kho (Chỉ tuyển nam)</t>
        </is>
      </c>
      <c r="D5510" s="10" t="inlineStr">
        <is>
          <t>Công Ty TNHH TM &amp; XNK Nhất Lâm</t>
        </is>
      </c>
      <c r="E5510" s="10" t="inlineStr">
        <is>
          <t>Lương:11 Tr - 13 Tr VND</t>
        </is>
      </c>
      <c r="F5510" s="10" t="inlineStr">
        <is>
          <t>Hồ Chí Minh</t>
        </is>
      </c>
      <c r="G5510" s="10" t="inlineStr">
        <is>
          <t>6</t>
        </is>
      </c>
      <c r="H5510" s="10" t="inlineStr">
        <is>
          <t>22/03/2026</t>
        </is>
      </c>
      <c r="I5510" s="10" t="inlineStr">
        <is>
          <t>17/03/2026</t>
        </is>
      </c>
      <c r="J5510" s="10" t="inlineStr">
        <is>
          <t>Vận chuyển / Giao nhận / Kho vận, Thực phẩm &amp; Đồ uống, Sản xuất / Vận hành sản xuất</t>
        </is>
      </c>
      <c r="K5510" s="10" t="inlineStr">
        <is>
          <t>1 - 2 Năm</t>
        </is>
      </c>
      <c r="L5510" s="11">
        <f>HYPERLINK("https://careerviet.vn/vi/tim-viec-lam/nhan-vien-thu-kho-chi-tuyen-nam.35C6643F.html","Xem chi tiết")</f>
        <v/>
      </c>
      <c r="M5510" s="10" t="n"/>
    </row>
    <row r="5511">
      <c r="B5511" s="7" t="n">
        <v>5509</v>
      </c>
      <c r="C5511" t="inlineStr">
        <is>
          <t>Giám đốc Phòng Kế hoạch Kinh doanh Trả Góp</t>
        </is>
      </c>
      <c r="D5511" t="inlineStr">
        <is>
          <t>LOTTE FINANCE VIETNAM</t>
        </is>
      </c>
      <c r="E5511" t="inlineStr">
        <is>
          <t>Lương:Cạnh tranh</t>
        </is>
      </c>
      <c r="F5511" t="inlineStr">
        <is>
          <t>Hồ Chí MinhHà Nội</t>
        </is>
      </c>
      <c r="G5511" t="inlineStr">
        <is>
          <t>6</t>
        </is>
      </c>
      <c r="H5511" t="inlineStr">
        <is>
          <t>23/03/2026</t>
        </is>
      </c>
      <c r="I5511" t="inlineStr">
        <is>
          <t>17/03/2026</t>
        </is>
      </c>
      <c r="J5511" t="inlineStr">
        <is>
          <t>Ngân hàng, Tài chính / Đầu tư</t>
        </is>
      </c>
      <c r="K5511" t="inlineStr">
        <is>
          <t>Trên 5 Năm</t>
        </is>
      </c>
      <c r="L5511" s="8">
        <f>HYPERLINK("https://careerviet.vn/vi/tim-viec-lam/giam-doc-phong-ke-hoach-kinh-doanh-tra-gop.35C665AE.html","Xem chi tiết")</f>
        <v/>
      </c>
    </row>
    <row r="5512">
      <c r="B5512" s="9" t="n">
        <v>5510</v>
      </c>
      <c r="C5512" s="10" t="inlineStr">
        <is>
          <t>113018 - Nhân viên Quản lý Chất lượng - ngành Sản xuất</t>
        </is>
      </c>
      <c r="D5512" s="10" t="inlineStr">
        <is>
          <t>RGF HR Agent Vietnam Co., LTD</t>
        </is>
      </c>
      <c r="E5512" s="10" t="inlineStr">
        <is>
          <t>Lương:14 Tr - 20 Tr VND</t>
        </is>
      </c>
      <c r="F5512" s="10" t="inlineStr">
        <is>
          <t>Hà Nội</t>
        </is>
      </c>
      <c r="G5512" s="10" t="inlineStr">
        <is>
          <t>6</t>
        </is>
      </c>
      <c r="H5512" s="10" t="inlineStr">
        <is>
          <t>23/03/2026</t>
        </is>
      </c>
      <c r="I5512" s="10" t="inlineStr">
        <is>
          <t>17/03/2026</t>
        </is>
      </c>
      <c r="J5512" s="10" t="inlineStr">
        <is>
          <t>Quản lý chất lượng (QA/QC)</t>
        </is>
      </c>
      <c r="K5512" s="10" t="inlineStr">
        <is>
          <t>Trên 5 Năm</t>
        </is>
      </c>
      <c r="L5512" s="11">
        <f>HYPERLINK("https://careerviet.vn/vi/tim-viec-lam/113018-nhan-vien-quan-ly-chat-luong-nganh-san-xuat.35C66532.html","Xem chi tiết")</f>
        <v/>
      </c>
      <c r="M5512" s="10" t="n"/>
    </row>
    <row r="5513">
      <c r="B5513" s="7" t="n">
        <v>5511</v>
      </c>
      <c r="C5513" t="inlineStr">
        <is>
          <t>[Đà Nẵng] Business Development Executive - On Premise</t>
        </is>
      </c>
      <c r="D5513" t="inlineStr">
        <is>
          <t>Coca-Cola Beverages Vietnam</t>
        </is>
      </c>
      <c r="E5513" t="inlineStr">
        <is>
          <t>Lương:Cạnh tranh</t>
        </is>
      </c>
      <c r="F5513" t="inlineStr">
        <is>
          <t>Đà Nẵng</t>
        </is>
      </c>
      <c r="G5513" t="inlineStr">
        <is>
          <t>6</t>
        </is>
      </c>
      <c r="H5513" t="inlineStr">
        <is>
          <t>23/03/2026</t>
        </is>
      </c>
      <c r="I5513" t="inlineStr">
        <is>
          <t>17/03/2026</t>
        </is>
      </c>
      <c r="J5513" t="inlineStr">
        <is>
          <t>Bán hàng / Kinh doanh</t>
        </is>
      </c>
      <c r="K5513" t="inlineStr">
        <is>
          <t>2 - 10 Năm</t>
        </is>
      </c>
      <c r="L5513" s="8">
        <f>HYPERLINK("https://careerviet.vn/vi/tim-viec-lam/da-nang-business-development-executive-on-premise.35C6661E.html","Xem chi tiết")</f>
        <v/>
      </c>
    </row>
    <row r="5514">
      <c r="B5514" s="9" t="n">
        <v>5512</v>
      </c>
      <c r="C5514" s="10" t="inlineStr">
        <is>
          <t>Line Technician/Nhân Viên Kỹ Thuật Trên Chuyền</t>
        </is>
      </c>
      <c r="D5514" s="10" t="inlineStr">
        <is>
          <t>Sonion Vietnam</t>
        </is>
      </c>
      <c r="E5514" s="10" t="inlineStr">
        <is>
          <t>Lương:Cạnh tranh</t>
        </is>
      </c>
      <c r="F5514" s="10" t="inlineStr">
        <is>
          <t>Hồ Chí Minh</t>
        </is>
      </c>
      <c r="G5514" s="10" t="inlineStr">
        <is>
          <t>6</t>
        </is>
      </c>
      <c r="H5514" s="10" t="inlineStr">
        <is>
          <t>23/03/2026</t>
        </is>
      </c>
      <c r="I5514" s="10" t="inlineStr">
        <is>
          <t>17/03/2026</t>
        </is>
      </c>
      <c r="J5514" s="10" t="inlineStr">
        <is>
          <t>Cơ khí / Ô tô / Tự động hóa, Điện / Điện tử / Điện lạnh / Điện công nghiệp, Bảo trì / Sửa chữa</t>
        </is>
      </c>
      <c r="K5514" s="10" t="inlineStr">
        <is>
          <t>N/A</t>
        </is>
      </c>
      <c r="L5514" s="11">
        <f>HYPERLINK("https://careerviet.vn/vi/tim-viec-lam/line-technician-nhan-vien-ky-thuat-tren-chuyen.35C6660D.html","Xem chi tiết")</f>
        <v/>
      </c>
      <c r="M5514" s="10" t="n"/>
    </row>
    <row r="5515">
      <c r="B5515" s="7" t="n">
        <v>5513</v>
      </c>
      <c r="C5515" t="inlineStr">
        <is>
          <t>Quản lý Kinh Doanh Kênh KA - (KAM)</t>
        </is>
      </c>
      <c r="D5515" t="inlineStr">
        <is>
          <t>Công Ty Cổ phần Tập Đoàn KIDO</t>
        </is>
      </c>
      <c r="E5515" t="inlineStr">
        <is>
          <t>Lương:Cạnh tranh</t>
        </is>
      </c>
      <c r="F5515" t="inlineStr">
        <is>
          <t>Hồ Chí Minh</t>
        </is>
      </c>
      <c r="G5515" t="inlineStr">
        <is>
          <t>6</t>
        </is>
      </c>
      <c r="H5515" t="inlineStr">
        <is>
          <t>23/03/2026</t>
        </is>
      </c>
      <c r="I5515" t="inlineStr">
        <is>
          <t>17/03/2026</t>
        </is>
      </c>
      <c r="J5515" t="inlineStr">
        <is>
          <t>Bán hàng / Kinh doanh, Thực phẩm &amp; Đồ uống</t>
        </is>
      </c>
      <c r="K5515" t="inlineStr">
        <is>
          <t>3 - 5 Năm</t>
        </is>
      </c>
      <c r="L5515" s="8">
        <f>HYPERLINK("https://careerviet.vn/vi/tim-viec-lam/quan-ly-kinh-doanh-kenh-ka-kam.35C6660F.html","Xem chi tiết")</f>
        <v/>
      </c>
    </row>
    <row r="5516">
      <c r="B5516" s="9" t="n">
        <v>5514</v>
      </c>
      <c r="C5516" s="10" t="inlineStr">
        <is>
          <t>Chuyên viên Quan hệ Khách hàng Cá nhân -  Cần Thơ</t>
        </is>
      </c>
      <c r="D5516" s="10" t="inlineStr">
        <is>
          <t>Ngân Hàng Thương Mại Cổ Phần Bảo Việt</t>
        </is>
      </c>
      <c r="E5516" s="10" t="inlineStr">
        <is>
          <t>Lương:10 Tr - 18 Tr VND</t>
        </is>
      </c>
      <c r="F5516" s="10" t="inlineStr">
        <is>
          <t>Cần Thơ</t>
        </is>
      </c>
      <c r="G5516" s="10" t="inlineStr">
        <is>
          <t>6</t>
        </is>
      </c>
      <c r="H5516" s="10" t="inlineStr">
        <is>
          <t>23/03/2026</t>
        </is>
      </c>
      <c r="I5516" s="10" t="inlineStr">
        <is>
          <t>17/03/2026</t>
        </is>
      </c>
      <c r="J5516" s="10" t="inlineStr">
        <is>
          <t>Ngân hàng, Tài chính / Đầu tư, Bất động sản</t>
        </is>
      </c>
      <c r="K5516" s="10" t="inlineStr">
        <is>
          <t>1 - 3 Năm</t>
        </is>
      </c>
      <c r="L5516" s="11">
        <f>HYPERLINK("https://careerviet.vn/vi/tim-viec-lam/chuyen-vien-quan-he-khach-hang-ca-nhan-can-tho.35C66601.html","Xem chi tiết")</f>
        <v/>
      </c>
      <c r="M5516" s="10" t="n"/>
    </row>
    <row r="5517">
      <c r="B5517" s="7" t="n">
        <v>5515</v>
      </c>
      <c r="C5517" t="inlineStr">
        <is>
          <t>Key Account Planning Specialist - MOFT Channel</t>
        </is>
      </c>
      <c r="D5517" t="inlineStr">
        <is>
          <t>CÔNG TY CỔ PHẦN SỮA QUỐC TẾ LOF</t>
        </is>
      </c>
      <c r="E5517" t="inlineStr">
        <is>
          <t>Lương:Cạnh tranh</t>
        </is>
      </c>
      <c r="F5517" t="inlineStr">
        <is>
          <t>Hồ Chí Minh</t>
        </is>
      </c>
      <c r="G5517" t="inlineStr">
        <is>
          <t>6</t>
        </is>
      </c>
      <c r="H5517" t="inlineStr">
        <is>
          <t>23/03/2026</t>
        </is>
      </c>
      <c r="I5517" t="inlineStr">
        <is>
          <t>17/03/2026</t>
        </is>
      </c>
      <c r="J5517" t="inlineStr">
        <is>
          <t>Bán hàng / Kinh doanh, Bán lẻ / Bán sỉ, Công nghệ thực phẩm / Dinh dưỡng</t>
        </is>
      </c>
      <c r="K5517" t="inlineStr">
        <is>
          <t>3 - 5 Năm</t>
        </is>
      </c>
      <c r="L5517" s="8">
        <f>HYPERLINK("https://careerviet.vn/vi/tim-viec-lam/key-account-planning-specialist-moft-channel.35C664D8.html","Xem chi tiết")</f>
        <v/>
      </c>
    </row>
    <row r="5518">
      <c r="B5518" s="9" t="n">
        <v>5516</v>
      </c>
      <c r="C5518" s="10" t="inlineStr">
        <is>
          <t>127140 - Key Account Executive (MT) - Foods</t>
        </is>
      </c>
      <c r="D5518" s="10" t="inlineStr">
        <is>
          <t>RGF HR Agent Vietnam Co., LTD</t>
        </is>
      </c>
      <c r="E5518" s="10" t="inlineStr">
        <is>
          <t>Lương:Lên đến 30 Tr VND</t>
        </is>
      </c>
      <c r="F5518" s="10" t="inlineStr">
        <is>
          <t>Hồ Chí Minh</t>
        </is>
      </c>
      <c r="G5518" s="10" t="inlineStr">
        <is>
          <t>6</t>
        </is>
      </c>
      <c r="H5518" s="10" t="inlineStr">
        <is>
          <t>23/03/2026</t>
        </is>
      </c>
      <c r="I5518" s="10" t="inlineStr">
        <is>
          <t>17/03/2026</t>
        </is>
      </c>
      <c r="J5518" s="10" t="inlineStr">
        <is>
          <t>Bán hàng / Kinh doanh, Thực phẩm &amp; Đồ uống</t>
        </is>
      </c>
      <c r="K5518" s="10" t="inlineStr">
        <is>
          <t>Lên đến 5 Năm</t>
        </is>
      </c>
      <c r="L5518" s="11">
        <f>HYPERLINK("https://careerviet.vn/vi/tim-viec-lam/127140-key-account-executive-mt-foods.35C66542.html","Xem chi tiết")</f>
        <v/>
      </c>
      <c r="M5518" s="10" t="n"/>
    </row>
    <row r="5519">
      <c r="B5519" s="7" t="n">
        <v>5517</v>
      </c>
      <c r="C5519" t="inlineStr">
        <is>
          <t>CV Thu hồi nợ hiện trường - Hà Nội - ID593</t>
        </is>
      </c>
      <c r="D5519" t="inlineStr">
        <is>
          <t>Ngân Hàng TMCP Việt Nam Thịnh Vượng - VPBANK</t>
        </is>
      </c>
      <c r="E5519" t="inlineStr">
        <is>
          <t>Lương:Cạnh tranh</t>
        </is>
      </c>
      <c r="F5519" t="inlineStr">
        <is>
          <t>Hà Nội</t>
        </is>
      </c>
      <c r="G5519" t="inlineStr">
        <is>
          <t>6</t>
        </is>
      </c>
      <c r="H5519" t="inlineStr">
        <is>
          <t>23/03/2026</t>
        </is>
      </c>
      <c r="I5519" t="inlineStr">
        <is>
          <t>17/03/2026</t>
        </is>
      </c>
      <c r="J5519" t="inlineStr">
        <is>
          <t>Ngân hàng</t>
        </is>
      </c>
      <c r="K5519" t="inlineStr">
        <is>
          <t>Chưa có kinh nghiệm</t>
        </is>
      </c>
      <c r="L5519" s="8">
        <f>HYPERLINK("https://careerviet.vn/vi/tim-viec-lam/cv-thu-hoi-no-hien-truong-ha-noi-id593.35C63AB1.html","Xem chi tiết")</f>
        <v/>
      </c>
    </row>
    <row r="5520">
      <c r="B5520" s="9" t="n">
        <v>5518</v>
      </c>
      <c r="C5520" s="10" t="inlineStr">
        <is>
          <t>Chuyên Viên Điều Phối Kinh Doanh Quốc Tế</t>
        </is>
      </c>
      <c r="D5520" s="10" t="inlineStr">
        <is>
          <t>Công Ty Cổ Phần Tập Đoàn TH</t>
        </is>
      </c>
      <c r="E5520" s="10" t="inlineStr">
        <is>
          <t>Lương:Cạnh tranh</t>
        </is>
      </c>
      <c r="F5520" s="10" t="inlineStr">
        <is>
          <t>Hồ Chí MinhHà Nội</t>
        </is>
      </c>
      <c r="G5520" s="10" t="inlineStr">
        <is>
          <t>6</t>
        </is>
      </c>
      <c r="H5520" s="10" t="inlineStr">
        <is>
          <t>23/03/2026</t>
        </is>
      </c>
      <c r="I5520" s="10" t="inlineStr">
        <is>
          <t>17/03/2026</t>
        </is>
      </c>
      <c r="J5520" s="10" t="inlineStr">
        <is>
          <t>Bán hàng / Kinh doanh, Thực phẩm &amp; Đồ uống, Xuất nhập khẩu</t>
        </is>
      </c>
      <c r="K5520" s="10" t="inlineStr">
        <is>
          <t>2 - 3 Năm</t>
        </is>
      </c>
      <c r="L5520" s="11">
        <f>HYPERLINK("https://careerviet.vn/vi/tim-viec-lam/chuyen-vien-dieu-phoi-kinh-doanh-quoc-te.35C6393D.html","Xem chi tiết")</f>
        <v/>
      </c>
      <c r="M5520" s="10" t="n"/>
    </row>
    <row r="5521">
      <c r="B5521" s="7" t="n">
        <v>5519</v>
      </c>
      <c r="C5521" t="inlineStr">
        <is>
          <t>126749 - Giám sát Kho - Ngành Hậu Cần</t>
        </is>
      </c>
      <c r="D5521" t="inlineStr">
        <is>
          <t>RGF HR Agent Vietnam Co., LTD</t>
        </is>
      </c>
      <c r="E5521" t="inlineStr">
        <is>
          <t>Lương:15 Tr - 20 Tr VND</t>
        </is>
      </c>
      <c r="F5521" t="inlineStr">
        <is>
          <t>Hưng Yên</t>
        </is>
      </c>
      <c r="G5521" t="inlineStr">
        <is>
          <t>6</t>
        </is>
      </c>
      <c r="H5521" t="inlineStr">
        <is>
          <t>23/03/2026</t>
        </is>
      </c>
      <c r="I5521" t="inlineStr">
        <is>
          <t>17/03/2026</t>
        </is>
      </c>
      <c r="J5521" t="inlineStr">
        <is>
          <t>Vận chuyển / Giao nhận / Kho vận</t>
        </is>
      </c>
      <c r="K5521" t="inlineStr">
        <is>
          <t>Trên 5 Năm</t>
        </is>
      </c>
      <c r="L5521" s="8">
        <f>HYPERLINK("https://careerviet.vn/vi/tim-viec-lam/126749-giam-sat-kho-nganh-hau-can.35C66538.html","Xem chi tiết")</f>
        <v/>
      </c>
    </row>
    <row r="5522">
      <c r="B5522" s="9" t="n">
        <v>5520</v>
      </c>
      <c r="C5522" s="10" t="inlineStr">
        <is>
          <t>NV/CV Thu hồi nợ qua điện thoại - Hà Nội - ID594</t>
        </is>
      </c>
      <c r="D5522" s="10" t="inlineStr">
        <is>
          <t>Ngân Hàng TMCP Việt Nam Thịnh Vượng - VPBANK</t>
        </is>
      </c>
      <c r="E5522" s="10" t="inlineStr">
        <is>
          <t>Lương:15 Tr - 30 Tr VND</t>
        </is>
      </c>
      <c r="F5522" s="10" t="inlineStr">
        <is>
          <t>Hà Nội</t>
        </is>
      </c>
      <c r="G5522" s="10" t="inlineStr">
        <is>
          <t>6</t>
        </is>
      </c>
      <c r="H5522" s="10" t="inlineStr">
        <is>
          <t>23/03/2026</t>
        </is>
      </c>
      <c r="I5522" s="10" t="inlineStr">
        <is>
          <t>17/03/2026</t>
        </is>
      </c>
      <c r="J5522" s="10" t="inlineStr">
        <is>
          <t>Bán hàng / Kinh doanh, Dịch vụ khách hàng, Ngân hàng</t>
        </is>
      </c>
      <c r="K5522" s="10" t="inlineStr">
        <is>
          <t>Chưa có kinh nghiệm</t>
        </is>
      </c>
      <c r="L5522" s="11">
        <f>HYPERLINK("https://careerviet.vn/vi/tim-viec-lam/nv-cv-thu-hoi-no-qua-dien-thoai-ha-noi-id594.35C63967.html","Xem chi tiết")</f>
        <v/>
      </c>
      <c r="M5522" s="10" t="n"/>
    </row>
    <row r="5523">
      <c r="B5523" s="7" t="n">
        <v>5521</v>
      </c>
      <c r="C5523" t="inlineStr">
        <is>
          <t>Kế toán Trưởng</t>
        </is>
      </c>
      <c r="D5523" t="inlineStr">
        <is>
          <t>Công ty TNHH Thiên Thủy Mộc</t>
        </is>
      </c>
      <c r="E5523" t="inlineStr">
        <is>
          <t>Lương:25 Tr - 35 Tr VND</t>
        </is>
      </c>
      <c r="F5523" t="inlineStr">
        <is>
          <t>Hà Nội</t>
        </is>
      </c>
      <c r="G5523" t="inlineStr">
        <is>
          <t>6</t>
        </is>
      </c>
      <c r="H5523" t="inlineStr">
        <is>
          <t>23/03/2026</t>
        </is>
      </c>
      <c r="I5523" t="inlineStr">
        <is>
          <t>17/03/2026</t>
        </is>
      </c>
      <c r="J5523" t="inlineStr">
        <is>
          <t>Kế toán / Kiểm toán</t>
        </is>
      </c>
      <c r="K5523" t="inlineStr">
        <is>
          <t>3 - 5 Năm</t>
        </is>
      </c>
      <c r="L5523" s="8">
        <f>HYPERLINK("https://careerviet.vn/vi/tim-viec-lam/ke-toan-truong.35C6644A.html","Xem chi tiết")</f>
        <v/>
      </c>
    </row>
    <row r="5524">
      <c r="B5524" s="9" t="n">
        <v>5522</v>
      </c>
      <c r="C5524" s="10" t="inlineStr">
        <is>
          <t>TPCC Kinh Doanh Khách Hàng Ưu Tiên - ID1034</t>
        </is>
      </c>
      <c r="D5524" s="10" t="inlineStr">
        <is>
          <t>Ngân Hàng TMCP Việt Nam Thịnh Vượng - VPBANK</t>
        </is>
      </c>
      <c r="E5524" s="10" t="inlineStr">
        <is>
          <t>Lương:Cạnh tranh</t>
        </is>
      </c>
      <c r="F5524" s="10" t="inlineStr">
        <is>
          <t>Hồ Chí MinhĐà Nẵng</t>
        </is>
      </c>
      <c r="G5524" s="10" t="inlineStr">
        <is>
          <t>6</t>
        </is>
      </c>
      <c r="H5524" s="10" t="inlineStr">
        <is>
          <t>23/03/2026</t>
        </is>
      </c>
      <c r="I5524" s="10" t="inlineStr">
        <is>
          <t>17/03/2026</t>
        </is>
      </c>
      <c r="J5524" s="10" t="inlineStr">
        <is>
          <t>Bán hàng / Kinh doanh, Ngân hàng</t>
        </is>
      </c>
      <c r="K5524" s="10" t="inlineStr">
        <is>
          <t>4 - 5 Năm</t>
        </is>
      </c>
      <c r="L5524" s="11">
        <f>HYPERLINK("https://careerviet.vn/vi/tim-viec-lam/tpcc-kinh-doanh-khach-hang-uu-tien-id1034.35C6661F.html","Xem chi tiết")</f>
        <v/>
      </c>
      <c r="M5524" s="10" t="n"/>
    </row>
    <row r="5525">
      <c r="B5525" s="7" t="n">
        <v>5523</v>
      </c>
      <c r="C5525" t="inlineStr">
        <is>
          <t>127116 - Sales Assistant - Trading</t>
        </is>
      </c>
      <c r="D5525" t="inlineStr">
        <is>
          <t>RGF HR Agent Vietnam Co., LTD</t>
        </is>
      </c>
      <c r="E5525" t="inlineStr">
        <is>
          <t>Lương:19 Tr - 23 Tr VND</t>
        </is>
      </c>
      <c r="F5525" t="inlineStr">
        <is>
          <t>Hà Nội</t>
        </is>
      </c>
      <c r="G5525" t="inlineStr">
        <is>
          <t>6</t>
        </is>
      </c>
      <c r="H5525" t="inlineStr">
        <is>
          <t>23/03/2026</t>
        </is>
      </c>
      <c r="I5525" t="inlineStr">
        <is>
          <t>17/03/2026</t>
        </is>
      </c>
      <c r="J5525" t="inlineStr">
        <is>
          <t>Bán hàng / Kinh doanh, Hành chính / Thư ký</t>
        </is>
      </c>
      <c r="K5525" t="inlineStr">
        <is>
          <t>Trên 1 Năm</t>
        </is>
      </c>
      <c r="L5525" s="8">
        <f>HYPERLINK("https://careerviet.vn/vi/tim-viec-lam/127116-sales-assistant-trading.35C66528.html","Xem chi tiết")</f>
        <v/>
      </c>
    </row>
    <row r="5526">
      <c r="B5526" s="9" t="n">
        <v>5524</v>
      </c>
      <c r="C5526" s="10" t="inlineStr">
        <is>
          <t>Kỹ sư thiết kế hệ thống điện (Ngành cơ khí)</t>
        </is>
      </c>
      <c r="D5526" s="10" t="inlineStr">
        <is>
          <t>Công Ty Cổ Phần Trực Quan</t>
        </is>
      </c>
      <c r="E5526" s="10" t="inlineStr">
        <is>
          <t>Lương:10 Tr - 15 Tr VND</t>
        </is>
      </c>
      <c r="F5526" s="10" t="inlineStr">
        <is>
          <t>Long An</t>
        </is>
      </c>
      <c r="G5526" s="10" t="inlineStr">
        <is>
          <t>6</t>
        </is>
      </c>
      <c r="H5526" s="10" t="inlineStr">
        <is>
          <t>23/03/2026</t>
        </is>
      </c>
      <c r="I5526" s="10" t="inlineStr">
        <is>
          <t>17/03/2026</t>
        </is>
      </c>
      <c r="J5526" s="10" t="inlineStr">
        <is>
          <t>Thương mại điện tử, Cơ khí / Ô tô / Tự động hóa, Điện / Điện tử / Điện lạnh / Điện công nghiệp</t>
        </is>
      </c>
      <c r="K5526" s="10" t="inlineStr">
        <is>
          <t>1 - 2 Năm</t>
        </is>
      </c>
      <c r="L5526" s="11">
        <f>HYPERLINK("https://careerviet.vn/vi/tim-viec-lam/ky-su-thiet-ke-he-thong-dien-nganh-co-khi.35C665DD.html","Xem chi tiết")</f>
        <v/>
      </c>
      <c r="M5526" s="10" t="n"/>
    </row>
    <row r="5527">
      <c r="B5527" s="7" t="n">
        <v>5525</v>
      </c>
      <c r="C5527" t="inlineStr">
        <is>
          <t>[Hà Nội, Hồ Chí Minh]  Kỹ sư Thiết kế &amp; Lắp đặt Hệ thống BESS</t>
        </is>
      </c>
      <c r="D5527" t="inlineStr">
        <is>
          <t>Tổng Công ty Cổ phần Công trình Viettel</t>
        </is>
      </c>
      <c r="E5527" t="inlineStr">
        <is>
          <t>Lương:25 Tr - 35 Tr VND</t>
        </is>
      </c>
      <c r="F5527" t="inlineStr">
        <is>
          <t>Hà NộiHồ Chí Minh</t>
        </is>
      </c>
      <c r="G5527" t="inlineStr">
        <is>
          <t>6</t>
        </is>
      </c>
      <c r="H5527" t="inlineStr">
        <is>
          <t>23/03/2026</t>
        </is>
      </c>
      <c r="I5527" t="inlineStr">
        <is>
          <t>17/03/2026</t>
        </is>
      </c>
      <c r="J5527" t="inlineStr">
        <is>
          <t>Cơ khí / Ô tô / Tự động hóa, Mỹ thuật / Nghệ thuật / Thiết kế, Điện / Điện tử / Điện lạnh / Điện công nghiệp</t>
        </is>
      </c>
      <c r="K5527" t="inlineStr">
        <is>
          <t>2 - 5 Năm</t>
        </is>
      </c>
      <c r="L5527" s="8">
        <f>HYPERLINK("https://careerviet.vn/vi/tim-viec-lam/ha-noi-ho-chi-minh-ky-su-thiet-ke-lap-dat-he-thong-bess.35C63A52.html","Xem chi tiết")</f>
        <v/>
      </c>
    </row>
    <row r="5528">
      <c r="B5528" s="9" t="n">
        <v>5526</v>
      </c>
      <c r="C5528" s="10" t="inlineStr">
        <is>
          <t>Kế Toán Tổng Hợp</t>
        </is>
      </c>
      <c r="D5528" s="10" t="inlineStr">
        <is>
          <t>CÔNG TY CỔ PHẦN TẬP ĐOÀN BÌNH MINH VN</t>
        </is>
      </c>
      <c r="E5528" s="10" t="inlineStr">
        <is>
          <t>Lương:Cạnh tranh</t>
        </is>
      </c>
      <c r="F5528" s="10" t="inlineStr">
        <is>
          <t>Long An</t>
        </is>
      </c>
      <c r="G5528" s="10" t="inlineStr">
        <is>
          <t>6</t>
        </is>
      </c>
      <c r="H5528" s="10" t="inlineStr">
        <is>
          <t>23/03/2026</t>
        </is>
      </c>
      <c r="I5528" s="10" t="inlineStr">
        <is>
          <t>17/03/2026</t>
        </is>
      </c>
      <c r="J5528" s="10" t="inlineStr">
        <is>
          <t>Luật / Pháp lý, Kế toán / Kiểm toán, Tài chính / Đầu tư</t>
        </is>
      </c>
      <c r="K5528" s="10" t="inlineStr">
        <is>
          <t>Trên 2 Năm</t>
        </is>
      </c>
      <c r="L5528" s="11">
        <f>HYPERLINK("https://careerviet.vn/vi/tim-viec-lam/ke-toan-tong-hop.35C664E3.html","Xem chi tiết")</f>
        <v/>
      </c>
      <c r="M5528" s="10" t="n"/>
    </row>
    <row r="5529">
      <c r="B5529" s="7" t="n">
        <v>5527</v>
      </c>
      <c r="C5529" t="inlineStr">
        <is>
          <t>Kỹ Thuật Viên Bảo Trì Tòa Nhà Văn Phòng (SCID)</t>
        </is>
      </c>
      <c r="D5529" t="inlineStr">
        <is>
          <t>Liên Hiệp HTX Thương Mại TPHCM - SAIGON CO.OP</t>
        </is>
      </c>
      <c r="E5529" t="inlineStr">
        <is>
          <t>Lương:Cạnh tranh</t>
        </is>
      </c>
      <c r="F5529" t="inlineStr">
        <is>
          <t>Hồ Chí Minh</t>
        </is>
      </c>
      <c r="G5529" t="inlineStr">
        <is>
          <t>6</t>
        </is>
      </c>
      <c r="H5529" t="inlineStr">
        <is>
          <t>23/03/2026</t>
        </is>
      </c>
      <c r="I5529" t="inlineStr">
        <is>
          <t>17/03/2026</t>
        </is>
      </c>
      <c r="J5529" t="inlineStr">
        <is>
          <t>Bảo trì / Sửa chữa, Cơ khí / Ô tô / Tự động hóa, Điện / Điện tử / Điện lạnh / Điện công nghiệp</t>
        </is>
      </c>
      <c r="K5529" t="inlineStr">
        <is>
          <t>1 - 3 Năm</t>
        </is>
      </c>
      <c r="L5529" s="8">
        <f>HYPERLINK("https://careerviet.vn/vi/tim-viec-lam/ky-thuat-vien-bao-tri-toa-nha-van-phong-scid.35C6644F.html","Xem chi tiết")</f>
        <v/>
      </c>
    </row>
    <row r="5530">
      <c r="B5530" s="9" t="n">
        <v>5528</v>
      </c>
      <c r="C5530" s="10" t="inlineStr">
        <is>
          <t>Phú Thọ - Tổ Trưởng Cây Xanh</t>
        </is>
      </c>
      <c r="D5530" s="10" t="inlineStr">
        <is>
          <t>BIM Group</t>
        </is>
      </c>
      <c r="E5530" s="10" t="inlineStr">
        <is>
          <t>Lương:Cạnh tranh</t>
        </is>
      </c>
      <c r="F5530" s="10" t="inlineStr">
        <is>
          <t>Phú Thọ</t>
        </is>
      </c>
      <c r="G5530" s="10" t="inlineStr">
        <is>
          <t>6</t>
        </is>
      </c>
      <c r="H5530" s="10" t="inlineStr">
        <is>
          <t>23/03/2026</t>
        </is>
      </c>
      <c r="I5530" s="10" t="inlineStr">
        <is>
          <t>17/03/2026</t>
        </is>
      </c>
      <c r="J5530" s="10" t="inlineStr">
        <is>
          <t>Nông nghiệp, Lâm Nghiệp, Xây dựng</t>
        </is>
      </c>
      <c r="K5530" s="10" t="inlineStr">
        <is>
          <t>3 - 8 Năm</t>
        </is>
      </c>
      <c r="L5530" s="11">
        <f>HYPERLINK("https://careerviet.vn/vi/tim-viec-lam/phu-tho-to-truong-cay-xanh.35C63A9C.html","Xem chi tiết")</f>
        <v/>
      </c>
      <c r="M5530" s="10" t="n"/>
    </row>
    <row r="5531">
      <c r="B5531" s="7" t="n">
        <v>5529</v>
      </c>
      <c r="C5531" t="inlineStr">
        <is>
          <t>Category Executive</t>
        </is>
      </c>
      <c r="D5531" t="inlineStr">
        <is>
          <t>New Viet Dairy - Công Ty CP Đại Tân Việt</t>
        </is>
      </c>
      <c r="E5531" t="inlineStr">
        <is>
          <t>Lương:Cạnh tranh</t>
        </is>
      </c>
      <c r="F5531" t="inlineStr">
        <is>
          <t>Hồ Chí Minh</t>
        </is>
      </c>
      <c r="G5531" t="inlineStr">
        <is>
          <t>6</t>
        </is>
      </c>
      <c r="H5531" t="inlineStr">
        <is>
          <t>23/03/2026</t>
        </is>
      </c>
      <c r="I5531" t="inlineStr">
        <is>
          <t>17/03/2026</t>
        </is>
      </c>
      <c r="J5531" t="inlineStr">
        <is>
          <t>Xuất nhập khẩu, Thu mua / Vật tư</t>
        </is>
      </c>
      <c r="K5531" t="inlineStr">
        <is>
          <t>1 - 3 Năm</t>
        </is>
      </c>
      <c r="L5531" s="8">
        <f>HYPERLINK("https://careerviet.vn/vi/tim-viec-lam/category-executive.35C665F8.html","Xem chi tiết")</f>
        <v/>
      </c>
    </row>
    <row r="5532">
      <c r="B5532" s="9" t="n">
        <v>5530</v>
      </c>
      <c r="C5532" s="10" t="inlineStr">
        <is>
          <t>Associate Manager – Executive Search and Selection</t>
        </is>
      </c>
      <c r="D5532" s="10" t="inlineStr">
        <is>
          <t>Cổ Phần Kết Nối Nhân Tài - Talentnet Corporation</t>
        </is>
      </c>
      <c r="E5532" s="10" t="inlineStr">
        <is>
          <t>Lương:Cạnh tranh</t>
        </is>
      </c>
      <c r="F5532" s="10" t="inlineStr">
        <is>
          <t>Hồ Chí Minh</t>
        </is>
      </c>
      <c r="G5532" s="10" t="inlineStr">
        <is>
          <t>6</t>
        </is>
      </c>
      <c r="H5532" s="10" t="inlineStr">
        <is>
          <t>23/03/2026</t>
        </is>
      </c>
      <c r="I5532" s="10" t="inlineStr">
        <is>
          <t>17/03/2026</t>
        </is>
      </c>
      <c r="J5532" s="10" t="inlineStr">
        <is>
          <t>Nhân sự</t>
        </is>
      </c>
      <c r="K5532" s="10" t="inlineStr">
        <is>
          <t>7 - 8 Năm</t>
        </is>
      </c>
      <c r="L5532" s="11">
        <f>HYPERLINK("https://careerviet.vn/vi/tim-viec-lam/associate-manager-executive-search-and-selection.35C6659B.html","Xem chi tiết")</f>
        <v/>
      </c>
      <c r="M5532" s="10" t="n"/>
    </row>
    <row r="5533">
      <c r="B5533" s="7" t="n">
        <v>5531</v>
      </c>
      <c r="C5533" t="inlineStr">
        <is>
          <t>Trưởng Phòng Kinh Doanh Khu Vực (Ưu tiên Nữ)</t>
        </is>
      </c>
      <c r="D5533" t="inlineStr">
        <is>
          <t>Hỷ Lâm Môn &amp; L'amour Bakery</t>
        </is>
      </c>
      <c r="E5533" t="inlineStr">
        <is>
          <t>Lương:28 Tr - 45 Tr VND</t>
        </is>
      </c>
      <c r="F5533" t="inlineStr">
        <is>
          <t>Hồ Chí Minh</t>
        </is>
      </c>
      <c r="G5533" t="inlineStr">
        <is>
          <t>4</t>
        </is>
      </c>
      <c r="H5533" t="inlineStr">
        <is>
          <t>21/03/2026</t>
        </is>
      </c>
      <c r="I5533" t="inlineStr">
        <is>
          <t>17/03/2026</t>
        </is>
      </c>
      <c r="J5533" t="inlineStr">
        <is>
          <t>Bán lẻ / Bán sỉ, Bán hàng / Kinh doanh, Thực phẩm &amp; Đồ uống</t>
        </is>
      </c>
      <c r="K5533" t="inlineStr">
        <is>
          <t>2 - 5 Năm</t>
        </is>
      </c>
      <c r="L5533" s="8">
        <f>HYPERLINK("https://careerviet.vn/vi/tim-viec-lam/truong-phong-kinh-doanh-khu-vuc-uu-tien-nu.35C68C2F.html","Xem chi tiết")</f>
        <v/>
      </c>
    </row>
    <row r="5534">
      <c r="B5534" s="9" t="n">
        <v>5532</v>
      </c>
      <c r="C5534" s="10" t="inlineStr">
        <is>
          <t>[HN] Chuyên viên chính Chuyển tiền quốc tế và tài trợ thương mại</t>
        </is>
      </c>
      <c r="D5534" s="10" t="inlineStr">
        <is>
          <t>Ngân hàng TMCP Lộc Phát Việt Nam (LPBank)</t>
        </is>
      </c>
      <c r="E5534" s="10" t="inlineStr">
        <is>
          <t>Lương:Cạnh tranh</t>
        </is>
      </c>
      <c r="F5534" s="10" t="inlineStr">
        <is>
          <t>Hà Nội</t>
        </is>
      </c>
      <c r="G5534" s="10" t="inlineStr">
        <is>
          <t>6</t>
        </is>
      </c>
      <c r="H5534" s="10" t="inlineStr">
        <is>
          <t>23/03/2026</t>
        </is>
      </c>
      <c r="I5534" s="10" t="inlineStr">
        <is>
          <t>17/03/2026</t>
        </is>
      </c>
      <c r="J5534" s="10" t="inlineStr">
        <is>
          <t>Ngân hàng</t>
        </is>
      </c>
      <c r="K5534" s="10" t="inlineStr">
        <is>
          <t>1 - 3 Năm</t>
        </is>
      </c>
      <c r="L5534" s="11">
        <f>HYPERLINK("https://careerviet.vn/vi/tim-viec-lam/hn-chuyen-vien-chinh-chuyen-tien-quoc-te-va-tai-tro-thuong-mai.35C6648B.html","Xem chi tiết")</f>
        <v/>
      </c>
      <c r="M5534" s="10" t="n"/>
    </row>
    <row r="5535">
      <c r="B5535" s="7" t="n">
        <v>5533</v>
      </c>
      <c r="C5535" t="inlineStr">
        <is>
          <t>[Hanoi] Business Development Executive - On Premise</t>
        </is>
      </c>
      <c r="D5535" t="inlineStr">
        <is>
          <t>Coca-Cola Beverages Vietnam</t>
        </is>
      </c>
      <c r="E5535" t="inlineStr">
        <is>
          <t>Lương:Cạnh tranh</t>
        </is>
      </c>
      <c r="F5535" t="inlineStr">
        <is>
          <t>Hà Nội</t>
        </is>
      </c>
      <c r="G5535" t="inlineStr">
        <is>
          <t>6</t>
        </is>
      </c>
      <c r="H5535" t="inlineStr">
        <is>
          <t>23/03/2026</t>
        </is>
      </c>
      <c r="I5535" t="inlineStr">
        <is>
          <t>17/03/2026</t>
        </is>
      </c>
      <c r="J5535" t="inlineStr">
        <is>
          <t>Bán hàng / Kinh doanh</t>
        </is>
      </c>
      <c r="K5535" t="inlineStr">
        <is>
          <t>2 - 10 Năm</t>
        </is>
      </c>
      <c r="L5535" s="8">
        <f>HYPERLINK("https://careerviet.vn/vi/tim-viec-lam/hanoi-business-development-executive-on-premise.35C6661C.html","Xem chi tiết")</f>
        <v/>
      </c>
    </row>
    <row r="5536">
      <c r="B5536" s="9" t="n">
        <v>5534</v>
      </c>
      <c r="C5536" s="10" t="inlineStr">
        <is>
          <t>Kế toán kho</t>
        </is>
      </c>
      <c r="D5536" s="10" t="inlineStr">
        <is>
          <t>CÔNG TY CỔ PHẦN ĐẦU TƯ XÂY DỰNG NEGEN</t>
        </is>
      </c>
      <c r="E5536" s="10" t="inlineStr">
        <is>
          <t>Lương:11 Tr - 13 Tr VND</t>
        </is>
      </c>
      <c r="F5536" s="10" t="inlineStr">
        <is>
          <t>Bà Rịa - Vũng Tàu</t>
        </is>
      </c>
      <c r="G5536" s="10" t="inlineStr">
        <is>
          <t>5</t>
        </is>
      </c>
      <c r="H5536" s="10" t="inlineStr">
        <is>
          <t>22/03/2026</t>
        </is>
      </c>
      <c r="I5536" s="10" t="inlineStr">
        <is>
          <t>17/03/2026</t>
        </is>
      </c>
      <c r="J5536" s="10" t="inlineStr">
        <is>
          <t>Xây dựng</t>
        </is>
      </c>
      <c r="K5536" s="10" t="inlineStr">
        <is>
          <t>1 - 2 Năm</t>
        </is>
      </c>
      <c r="L5536" s="11">
        <f>HYPERLINK("https://careerviet.vn/vi/tim-viec-lam/ke-toan-kho.35C6639A.html","Xem chi tiết")</f>
        <v/>
      </c>
      <c r="M5536" s="10" t="n"/>
    </row>
    <row r="5537">
      <c r="B5537" s="7" t="n">
        <v>5535</v>
      </c>
      <c r="C5537" t="inlineStr">
        <is>
          <t>3D Pattern Maker (CLO)</t>
        </is>
      </c>
      <c r="D5537" t="inlineStr">
        <is>
          <t>Công ty TNHH May Mặc Bowker</t>
        </is>
      </c>
      <c r="E5537" t="inlineStr">
        <is>
          <t>Lương:Trên 15 Tr VND</t>
        </is>
      </c>
      <c r="F5537" t="inlineStr">
        <is>
          <t>Hồ Chí Minh</t>
        </is>
      </c>
      <c r="G5537" t="inlineStr">
        <is>
          <t>5</t>
        </is>
      </c>
      <c r="H5537" t="inlineStr">
        <is>
          <t>22/03/2026</t>
        </is>
      </c>
      <c r="I5537" t="inlineStr">
        <is>
          <t>17/03/2026</t>
        </is>
      </c>
      <c r="J5537" t="inlineStr">
        <is>
          <t>Mỹ thuật / Nghệ thuật / Thiết kế, Sản xuất / Vận hành sản xuất, Dệt may / Da giày / Thời trang</t>
        </is>
      </c>
      <c r="K5537" t="inlineStr">
        <is>
          <t>Trên 2 Năm</t>
        </is>
      </c>
      <c r="L5537" s="8">
        <f>HYPERLINK("https://careerviet.vn/vi/tim-viec-lam/3d-pattern-maker-clo.35C63664.html","Xem chi tiết")</f>
        <v/>
      </c>
    </row>
    <row r="5538">
      <c r="B5538" s="9" t="n">
        <v>5536</v>
      </c>
      <c r="C5538" s="10" t="inlineStr">
        <is>
          <t>Nhân viên Kinh doanh Bất động sản</t>
        </is>
      </c>
      <c r="D5538" s="10" t="inlineStr">
        <is>
          <t>Công Ty Cổ Phần Địa Ốc Phú Long</t>
        </is>
      </c>
      <c r="E5538" s="10" t="inlineStr">
        <is>
          <t>Lương:8 Tr - 12 Tr VND</t>
        </is>
      </c>
      <c r="F5538" s="10" t="inlineStr">
        <is>
          <t>Hồ Chí Minh</t>
        </is>
      </c>
      <c r="G5538" s="10" t="inlineStr">
        <is>
          <t>5</t>
        </is>
      </c>
      <c r="H5538" s="10" t="inlineStr">
        <is>
          <t>22/03/2026</t>
        </is>
      </c>
      <c r="I5538" s="10" t="inlineStr">
        <is>
          <t>17/03/2026</t>
        </is>
      </c>
      <c r="J5538" s="10" t="inlineStr">
        <is>
          <t>Tiếp thị / Marketing, Bán hàng / Kinh doanh, Bất động sản</t>
        </is>
      </c>
      <c r="K5538" s="10" t="inlineStr">
        <is>
          <t>2 - 10 Năm</t>
        </is>
      </c>
      <c r="L5538" s="11">
        <f>HYPERLINK("https://careerviet.vn/vi/tim-viec-lam/nhan-vien-kinh-doanh-bat-dong-san.35C636FC.html","Xem chi tiết")</f>
        <v/>
      </c>
      <c r="M5538" s="10" t="n"/>
    </row>
    <row r="5539">
      <c r="B5539" s="7" t="n">
        <v>5537</v>
      </c>
      <c r="C5539" t="inlineStr">
        <is>
          <t>Nhân viên tư vấn trực tiếp</t>
        </is>
      </c>
      <c r="D5539" t="inlineStr">
        <is>
          <t>Hệ thống Y tế Thu Cúc</t>
        </is>
      </c>
      <c r="E5539" t="inlineStr">
        <is>
          <t>Lương:8 Tr - 15 Tr VND</t>
        </is>
      </c>
      <c r="F5539" t="inlineStr">
        <is>
          <t>Hà Nội</t>
        </is>
      </c>
      <c r="G5539" t="inlineStr">
        <is>
          <t>5</t>
        </is>
      </c>
      <c r="H5539" t="inlineStr">
        <is>
          <t>22/03/2026</t>
        </is>
      </c>
      <c r="I5539" t="inlineStr">
        <is>
          <t>17/03/2026</t>
        </is>
      </c>
      <c r="J5539" t="inlineStr">
        <is>
          <t>Bán hàng / Kinh doanh, Tiếp thị trực tuyến, Y tế / Chăm sóc sức khỏe / Thẩm mỹ / Làm đẹp</t>
        </is>
      </c>
      <c r="K5539" t="inlineStr">
        <is>
          <t>1 - 2 Năm</t>
        </is>
      </c>
      <c r="L5539" s="8">
        <f>HYPERLINK("https://careerviet.vn/vi/tim-viec-lam/nhan-vien-tu-van-truc-tiep.35C63709.html","Xem chi tiết")</f>
        <v/>
      </c>
    </row>
    <row r="5540">
      <c r="B5540" s="9" t="n">
        <v>5538</v>
      </c>
      <c r="C5540" s="10" t="inlineStr">
        <is>
          <t>Store Manager - Cửa hàng trưởng nhãn hàng Crocs</t>
        </is>
      </c>
      <c r="D5540" s="10" t="inlineStr">
        <is>
          <t>Central Brand &amp; Specialty Việt Nam</t>
        </is>
      </c>
      <c r="E5540" s="10" t="inlineStr">
        <is>
          <t>Lương:14 Tr - 16 Tr VND</t>
        </is>
      </c>
      <c r="F5540" s="10" t="inlineStr">
        <is>
          <t>Hà Nội</t>
        </is>
      </c>
      <c r="G5540" s="10" t="inlineStr">
        <is>
          <t>5</t>
        </is>
      </c>
      <c r="H5540" s="10" t="inlineStr">
        <is>
          <t>22/03/2026</t>
        </is>
      </c>
      <c r="I5540" s="10" t="inlineStr">
        <is>
          <t>17/03/2026</t>
        </is>
      </c>
      <c r="J5540" s="10" t="inlineStr">
        <is>
          <t>Bán lẻ / Bán sỉ</t>
        </is>
      </c>
      <c r="K5540" s="10" t="inlineStr">
        <is>
          <t>1 - 5 Năm</t>
        </is>
      </c>
      <c r="L5540" s="11">
        <f>HYPERLINK("https://careerviet.vn/vi/tim-viec-lam/store-manager-cua-hang-truong-nhan-hang-crocs.35C6388E.html","Xem chi tiết")</f>
        <v/>
      </c>
      <c r="M5540" s="10" t="n"/>
    </row>
    <row r="5541">
      <c r="B5541" s="7" t="n">
        <v>5539</v>
      </c>
      <c r="C5541" t="inlineStr">
        <is>
          <t>Garment Development MD (Japanese speaker only) アパレル開発担当</t>
        </is>
      </c>
      <c r="D5541" t="inlineStr">
        <is>
          <t>MUJI GLOBAL SOURCING VIETNAM CO.,LTD</t>
        </is>
      </c>
      <c r="E5541" t="inlineStr">
        <is>
          <t>Lương:Cạnh tranh</t>
        </is>
      </c>
      <c r="F5541" t="inlineStr">
        <is>
          <t>Hồ Chí Minh</t>
        </is>
      </c>
      <c r="G5541" t="inlineStr">
        <is>
          <t>5</t>
        </is>
      </c>
      <c r="H5541" t="inlineStr">
        <is>
          <t>22/03/2026</t>
        </is>
      </c>
      <c r="I5541" t="inlineStr">
        <is>
          <t>17/03/2026</t>
        </is>
      </c>
      <c r="J5541" t="inlineStr">
        <is>
          <t>Dệt may / Da giày / Thời trang, Sản xuất / Vận hành sản xuất, Thu mua / Vật tư</t>
        </is>
      </c>
      <c r="K5541" t="inlineStr">
        <is>
          <t>N/A</t>
        </is>
      </c>
      <c r="L5541" s="8">
        <f>HYPERLINK("https://careerviet.vn/vi/tim-viec-lam/garment-development-md-japanese-speaker-only.35C63760.html","Xem chi tiết")</f>
        <v/>
      </c>
    </row>
    <row r="5542">
      <c r="B5542" s="9" t="n">
        <v>5540</v>
      </c>
      <c r="C5542" s="10" t="inlineStr">
        <is>
          <t>Kỹ sư công nghiệp</t>
        </is>
      </c>
      <c r="D5542" s="10" t="inlineStr">
        <is>
          <t>Công ty TNHH Thực phẩm Nissin Việt Nam</t>
        </is>
      </c>
      <c r="E5542" s="10" t="inlineStr">
        <is>
          <t>Lương:13 Tr - 15 Tr VND</t>
        </is>
      </c>
      <c r="F5542" s="10" t="inlineStr">
        <is>
          <t>Bình Dương</t>
        </is>
      </c>
      <c r="G5542" s="10" t="inlineStr">
        <is>
          <t>6</t>
        </is>
      </c>
      <c r="H5542" s="10" t="inlineStr">
        <is>
          <t>23/03/2026</t>
        </is>
      </c>
      <c r="I5542" s="10" t="inlineStr">
        <is>
          <t>17/03/2026</t>
        </is>
      </c>
      <c r="J5542" s="10" t="inlineStr">
        <is>
          <t>Cơ khí / Ô tô / Tự động hóa, Điện / Điện tử / Điện lạnh / Điện công nghiệp, Bảo trì / Sửa chữa</t>
        </is>
      </c>
      <c r="K5542" s="10" t="inlineStr">
        <is>
          <t>Lên đến 3 NămĐịa điểm</t>
        </is>
      </c>
      <c r="L5542" s="11">
        <f>HYPERLINK("https://careerviet.vn/vi/tim-viec-lam/ky-su-cong-nghiep.35C66594.html","Xem chi tiết")</f>
        <v/>
      </c>
      <c r="M5542" s="10" t="n"/>
    </row>
    <row r="5543">
      <c r="B5543" s="7" t="n">
        <v>5541</v>
      </c>
      <c r="C5543" t="inlineStr">
        <is>
          <t>English Teacher For Kids  [District 9]</t>
        </is>
      </c>
      <c r="D5543" t="inlineStr">
        <is>
          <t>CareerViet's client</t>
        </is>
      </c>
      <c r="E5543" t="inlineStr">
        <is>
          <t>Lương:8 Tr - 13 Tr VND</t>
        </is>
      </c>
      <c r="F5543" t="inlineStr">
        <is>
          <t>Hồ Chí Minh</t>
        </is>
      </c>
      <c r="G5543" t="inlineStr">
        <is>
          <t>5</t>
        </is>
      </c>
      <c r="H5543" t="inlineStr">
        <is>
          <t>22/03/2026</t>
        </is>
      </c>
      <c r="I5543" t="inlineStr">
        <is>
          <t>17/03/2026</t>
        </is>
      </c>
      <c r="J5543" t="inlineStr">
        <is>
          <t>Giáo dục / Đào tạo, Biên phiên dịch, Ngành khác</t>
        </is>
      </c>
      <c r="K5543" t="inlineStr">
        <is>
          <t>1 - 2 Năm</t>
        </is>
      </c>
      <c r="L5543" s="8">
        <f>HYPERLINK("https://careerviet.vn/vi/tim-viec-lam/english-teacher-for-kids-district-9.35C662C5.html","Xem chi tiết")</f>
        <v/>
      </c>
    </row>
    <row r="5544">
      <c r="B5544" s="9" t="n">
        <v>5542</v>
      </c>
      <c r="C5544" s="10" t="inlineStr">
        <is>
          <t>Nhân viên QA có Tiếng Nhật 26265 - KCN Biên Hòa 2, Đồng Nai</t>
        </is>
      </c>
      <c r="D5544" s="10" t="inlineStr">
        <is>
          <t>Công Ty TNHH Reeracoen Việt Nam</t>
        </is>
      </c>
      <c r="E5544" s="10" t="inlineStr">
        <is>
          <t>Lương:18 Tr - 20 Tr VND</t>
        </is>
      </c>
      <c r="F5544" s="10" t="inlineStr">
        <is>
          <t>Đồng Nai</t>
        </is>
      </c>
      <c r="G5544" s="10" t="inlineStr">
        <is>
          <t>5</t>
        </is>
      </c>
      <c r="H5544" s="10" t="inlineStr">
        <is>
          <t>22/03/2026</t>
        </is>
      </c>
      <c r="I5544" s="10" t="inlineStr">
        <is>
          <t>17/03/2026</t>
        </is>
      </c>
      <c r="J5544" s="10" t="inlineStr">
        <is>
          <t>Biên phiên dịch, Sản xuất / Vận hành sản xuất, Quản lý chất lượng (QA/QC)</t>
        </is>
      </c>
      <c r="K5544" s="10" t="inlineStr">
        <is>
          <t>Trên 5 Năm</t>
        </is>
      </c>
      <c r="L5544" s="11">
        <f>HYPERLINK("https://careerviet.vn/vi/tim-viec-lam/nhan-vien-qa-co-tieng-nhat-26265-kcn-bien-hoa-2-dong-nai.35C638A5.html","Xem chi tiết")</f>
        <v/>
      </c>
      <c r="M5544" s="10" t="n"/>
    </row>
    <row r="5545">
      <c r="B5545" s="7" t="n">
        <v>5543</v>
      </c>
      <c r="C5545" t="inlineStr">
        <is>
          <t>[Urgent, High-volume hiring] Business Architect - Salary Up to 80Mil</t>
        </is>
      </c>
      <c r="D5545" t="inlineStr">
        <is>
          <t>CÔNG TY TNHH CÔNG NGHỆ HUAWEI VIỆT NAM</t>
        </is>
      </c>
      <c r="E5545" t="inlineStr">
        <is>
          <t>Lương:Lên đến 80 Tr VND</t>
        </is>
      </c>
      <c r="F5545" t="inlineStr">
        <is>
          <t>Hà NộiHồ Chí Minh</t>
        </is>
      </c>
      <c r="G5545" t="inlineStr">
        <is>
          <t>6</t>
        </is>
      </c>
      <c r="H5545" t="inlineStr">
        <is>
          <t>23/03/2026</t>
        </is>
      </c>
      <c r="I5545" t="inlineStr">
        <is>
          <t>17/03/2026</t>
        </is>
      </c>
      <c r="J5545" t="inlineStr">
        <is>
          <t>Bưu chính viễn thông, CNTT - Phần cứng / Mạng</t>
        </is>
      </c>
      <c r="K5545" t="inlineStr">
        <is>
          <t>3 - 10 Năm</t>
        </is>
      </c>
      <c r="L5545" s="8">
        <f>HYPERLINK("https://careerviet.vn/vi/tim-viec-lam/urgent-high-volume-hiring-business-architect-salary-up-to-80mil.35C6394F.html","Xem chi tiết")</f>
        <v/>
      </c>
    </row>
    <row r="5546">
      <c r="B5546" s="9" t="n">
        <v>5544</v>
      </c>
      <c r="C5546" s="10" t="inlineStr">
        <is>
          <t>Thiết Kế Kết Cấu (Kết Cấu Thép)</t>
        </is>
      </c>
      <c r="D5546" s="10" t="inlineStr">
        <is>
          <t>ATAD Steel Structure Corporation</t>
        </is>
      </c>
      <c r="E5546" s="10" t="inlineStr">
        <is>
          <t>Lương:Cạnh tranh</t>
        </is>
      </c>
      <c r="F5546" s="10" t="inlineStr">
        <is>
          <t>Hồ Chí Minh</t>
        </is>
      </c>
      <c r="G5546" s="10" t="inlineStr">
        <is>
          <t>6</t>
        </is>
      </c>
      <c r="H5546" s="10" t="inlineStr">
        <is>
          <t>23/03/2026</t>
        </is>
      </c>
      <c r="I5546" s="10" t="inlineStr">
        <is>
          <t>17/03/2026</t>
        </is>
      </c>
      <c r="J5546" s="10" t="inlineStr">
        <is>
          <t>Kiến trúc, Xây dựng</t>
        </is>
      </c>
      <c r="K5546" s="10" t="inlineStr">
        <is>
          <t>N/A</t>
        </is>
      </c>
      <c r="L5546" s="11">
        <f>HYPERLINK("https://careerviet.vn/vi/tim-viec-lam/thiet-ke-ket-cau-ket-cau-thep.35C638EC.html","Xem chi tiết")</f>
        <v/>
      </c>
      <c r="M5546" s="10" t="n"/>
    </row>
    <row r="5547">
      <c r="B5547" s="7" t="n">
        <v>5545</v>
      </c>
      <c r="C5547" t="inlineStr">
        <is>
          <t>Kinh Doanh/Sales - Nội Thất Oppein (Có thể đi làm sau Tết)</t>
        </is>
      </c>
      <c r="D5547" t="inlineStr">
        <is>
          <t>CÔNG TY TNHH GRANFORD</t>
        </is>
      </c>
      <c r="E5547" t="inlineStr">
        <is>
          <t>Lương:12 Tr - 25 Tr VND</t>
        </is>
      </c>
      <c r="F5547" t="inlineStr">
        <is>
          <t>Hồ Chí Minh</t>
        </is>
      </c>
      <c r="G5547" t="inlineStr">
        <is>
          <t>5</t>
        </is>
      </c>
      <c r="H5547" t="inlineStr">
        <is>
          <t>22/03/2026</t>
        </is>
      </c>
      <c r="I5547" t="inlineStr">
        <is>
          <t>17/03/2026</t>
        </is>
      </c>
      <c r="J5547" t="inlineStr">
        <is>
          <t>Nội ngoại thất, Kiến trúc, Bất động sản</t>
        </is>
      </c>
      <c r="K5547" t="inlineStr">
        <is>
          <t>5 - 7 Năm</t>
        </is>
      </c>
      <c r="L5547" s="8">
        <f>HYPERLINK("https://careerviet.vn/vi/tim-viec-lam/kinh-doanh-sales-noi-that-oppein-co-the-di-lam-sau-tet.35C663DC.html","Xem chi tiết")</f>
        <v/>
      </c>
    </row>
    <row r="5548">
      <c r="B5548" s="9" t="n">
        <v>5546</v>
      </c>
      <c r="C5548" s="10" t="inlineStr">
        <is>
          <t>Đại diện bán hàng kênh siêu thị (MT)</t>
        </is>
      </c>
      <c r="D5548" s="10" t="inlineStr">
        <is>
          <t>Công Ty Cổ Phần Y&amp;B</t>
        </is>
      </c>
      <c r="E5548" s="10" t="inlineStr">
        <is>
          <t>Lương:10 Tr - 14 Tr VND</t>
        </is>
      </c>
      <c r="F5548" s="10" t="inlineStr">
        <is>
          <t>Hồ Chí Minh</t>
        </is>
      </c>
      <c r="G5548" s="10" t="inlineStr">
        <is>
          <t>31-03-2026</t>
        </is>
      </c>
      <c r="H5548" s="10" t="inlineStr">
        <is>
          <t>31/03/2026</t>
        </is>
      </c>
      <c r="I5548" s="10" t="inlineStr">
        <is>
          <t>17/03/2026</t>
        </is>
      </c>
      <c r="J5548" s="10" t="inlineStr">
        <is>
          <t>Bán hàng / Kinh doanh</t>
        </is>
      </c>
      <c r="K5548" s="10" t="inlineStr">
        <is>
          <t>Chưa có kinh nghiệm</t>
        </is>
      </c>
      <c r="L5548" s="11">
        <f>HYPERLINK("https://careerviet.vn/vi/tim-viec-lam/dai-dien-ban-hang-kenh-sieu-thi-mt.35C69289.html","Xem chi tiết")</f>
        <v/>
      </c>
      <c r="M5548" s="10" t="n"/>
    </row>
    <row r="5549">
      <c r="B5549" s="7" t="n">
        <v>5547</v>
      </c>
      <c r="C5549" t="inlineStr">
        <is>
          <t>Employee Relations Officer</t>
        </is>
      </c>
      <c r="D5549" t="inlineStr">
        <is>
          <t>Amkor Technology Việt Nam</t>
        </is>
      </c>
      <c r="E5549" t="inlineStr">
        <is>
          <t>Lương:Cạnh tranh</t>
        </is>
      </c>
      <c r="F5549" t="inlineStr">
        <is>
          <t>Bắc Ninh</t>
        </is>
      </c>
      <c r="G5549" t="inlineStr">
        <is>
          <t>5</t>
        </is>
      </c>
      <c r="H5549" t="inlineStr">
        <is>
          <t>22/03/2026</t>
        </is>
      </c>
      <c r="I5549" t="inlineStr">
        <is>
          <t>17/03/2026</t>
        </is>
      </c>
      <c r="J5549" t="inlineStr">
        <is>
          <t>Nhân sự</t>
        </is>
      </c>
      <c r="K5549" t="inlineStr">
        <is>
          <t>4 - 10 Năm</t>
        </is>
      </c>
      <c r="L5549" s="8">
        <f>HYPERLINK("https://careerviet.vn/vi/tim-viec-lam/employee-relations-officer.35C663F2.html","Xem chi tiết")</f>
        <v/>
      </c>
    </row>
    <row r="5550">
      <c r="B5550" s="9" t="n">
        <v>5548</v>
      </c>
      <c r="C5550" s="10" t="inlineStr">
        <is>
          <t>Kế Toán Doanh Thu-Kho</t>
        </is>
      </c>
      <c r="D5550" s="10" t="inlineStr">
        <is>
          <t>Công ty TNHH Dịch vụ Asan</t>
        </is>
      </c>
      <c r="E5550" s="10" t="inlineStr">
        <is>
          <t>Lương:12 Tr - 14 Tr VND</t>
        </is>
      </c>
      <c r="F5550" s="10" t="inlineStr">
        <is>
          <t>Hồ Chí Minh</t>
        </is>
      </c>
      <c r="G5550" s="10" t="inlineStr">
        <is>
          <t>31-03-2026</t>
        </is>
      </c>
      <c r="H5550" s="10" t="inlineStr">
        <is>
          <t>31/03/2026</t>
        </is>
      </c>
      <c r="I5550" s="10" t="inlineStr">
        <is>
          <t>17/03/2026</t>
        </is>
      </c>
      <c r="J5550" s="10" t="inlineStr">
        <is>
          <t>Kế toán / Kiểm toán</t>
        </is>
      </c>
      <c r="K5550" s="10" t="inlineStr">
        <is>
          <t>Chưa có kinh nghiệm</t>
        </is>
      </c>
      <c r="L5550" s="11">
        <f>HYPERLINK("https://careerviet.vn/vi/tim-viec-lam/ke-toan-doanh-thu-kho.35C6928A.html","Xem chi tiết")</f>
        <v/>
      </c>
      <c r="M5550" s="10" t="n"/>
    </row>
    <row r="5551">
      <c r="B5551" s="7" t="n">
        <v>5549</v>
      </c>
      <c r="C5551" t="inlineStr">
        <is>
          <t>Senior Communication Executive</t>
        </is>
      </c>
      <c r="D5551" t="inlineStr">
        <is>
          <t>Công ty TNHH Ru9</t>
        </is>
      </c>
      <c r="E5551" t="inlineStr">
        <is>
          <t>Lương:16 Tr - 20 Tr VND</t>
        </is>
      </c>
      <c r="F5551" t="inlineStr">
        <is>
          <t>Hồ Chí Minh</t>
        </is>
      </c>
      <c r="G5551" t="inlineStr">
        <is>
          <t>31-03-2026</t>
        </is>
      </c>
      <c r="H5551" t="inlineStr">
        <is>
          <t>31/03/2026</t>
        </is>
      </c>
      <c r="I5551" t="inlineStr">
        <is>
          <t>17/03/2026</t>
        </is>
      </c>
      <c r="J5551" t="inlineStr">
        <is>
          <t>Tiếp thị / Marketing, Quảng cáo / Đối ngoại / Truyền Thông, Bán lẻ / Bán sỉ</t>
        </is>
      </c>
      <c r="K5551" t="inlineStr">
        <is>
          <t>3 - 4 Năm</t>
        </is>
      </c>
      <c r="L5551" s="8">
        <f>HYPERLINK("https://careerviet.vn/vi/tim-viec-lam/senior-communication-executive.35C6927F.html","Xem chi tiết")</f>
        <v/>
      </c>
    </row>
    <row r="5552">
      <c r="B5552" s="9" t="n">
        <v>5550</v>
      </c>
      <c r="C5552" s="10" t="inlineStr">
        <is>
          <t>Trưởng Nhóm Logistic</t>
        </is>
      </c>
      <c r="D5552" s="10" t="inlineStr">
        <is>
          <t>Công Ty Cổ Phần Mỹ Phẩm Sài Gòn</t>
        </is>
      </c>
      <c r="E5552" s="10" t="inlineStr">
        <is>
          <t>Lương:Cạnh tranh</t>
        </is>
      </c>
      <c r="F5552" s="10" t="inlineStr">
        <is>
          <t>Hồ Chí Minh</t>
        </is>
      </c>
      <c r="G5552" s="10" t="inlineStr">
        <is>
          <t>26-03-2026</t>
        </is>
      </c>
      <c r="H5552" s="10" t="inlineStr">
        <is>
          <t>26/03/2026</t>
        </is>
      </c>
      <c r="I5552" s="10" t="inlineStr">
        <is>
          <t>17/03/2026</t>
        </is>
      </c>
      <c r="J5552" s="10" t="inlineStr">
        <is>
          <t>Sản xuất / Vận hành sản xuất, Vận chuyển / Giao nhận / Kho vận</t>
        </is>
      </c>
      <c r="K5552" s="10" t="inlineStr">
        <is>
          <t>2 - 3 Năm</t>
        </is>
      </c>
      <c r="L5552" s="11">
        <f>HYPERLINK("https://careerviet.vn/vi/tim-viec-lam/truong-nhom-logistic.35C692C1.html","Xem chi tiết")</f>
        <v/>
      </c>
      <c r="M5552" s="10" t="n"/>
    </row>
    <row r="5553">
      <c r="B5553" s="7" t="n">
        <v>5551</v>
      </c>
      <c r="C5553" t="inlineStr">
        <is>
          <t>Giám Đốc Mỏ Đá</t>
        </is>
      </c>
      <c r="D5553" t="inlineStr">
        <is>
          <t>CÔNG TY CỔ PHẦN ĐẦU TƯ HẠ TẦNG DONACOOP</t>
        </is>
      </c>
      <c r="E5553" t="inlineStr">
        <is>
          <t>Lương:Cạnh tranh</t>
        </is>
      </c>
      <c r="F5553" t="inlineStr">
        <is>
          <t>Đồng Nai</t>
        </is>
      </c>
      <c r="G5553" t="inlineStr">
        <is>
          <t>5</t>
        </is>
      </c>
      <c r="H5553" t="inlineStr">
        <is>
          <t>22/03/2026</t>
        </is>
      </c>
      <c r="I5553" t="inlineStr">
        <is>
          <t>17/03/2026</t>
        </is>
      </c>
      <c r="J5553" t="inlineStr">
        <is>
          <t>Luật / Pháp lý, Môi trường, Khoáng sản</t>
        </is>
      </c>
      <c r="K5553" t="inlineStr">
        <is>
          <t>Trên 5 Năm</t>
        </is>
      </c>
      <c r="L5553" s="8">
        <f>HYPERLINK("https://careerviet.vn/vi/tim-viec-lam/giam-doc-mo-da.35C66401.html","Xem chi tiết")</f>
        <v/>
      </c>
    </row>
    <row r="5554">
      <c r="B5554" s="9" t="n">
        <v>5552</v>
      </c>
      <c r="C5554" s="10" t="inlineStr">
        <is>
          <t>Giám sát Dịch vụ Khách hàng (Công nợ)</t>
        </is>
      </c>
      <c r="D5554" s="10" t="inlineStr">
        <is>
          <t>Công Ty Cổ Phần Đầu Tư Nam Long</t>
        </is>
      </c>
      <c r="E5554" s="10" t="inlineStr">
        <is>
          <t>Lương:Cạnh tranh</t>
        </is>
      </c>
      <c r="F5554" s="10" t="inlineStr">
        <is>
          <t>Hồ Chí Minh</t>
        </is>
      </c>
      <c r="G5554" s="10" t="inlineStr">
        <is>
          <t>5</t>
        </is>
      </c>
      <c r="H5554" s="10" t="inlineStr">
        <is>
          <t>22/03/2026</t>
        </is>
      </c>
      <c r="I5554" s="10" t="inlineStr">
        <is>
          <t>17/03/2026</t>
        </is>
      </c>
      <c r="J5554" s="10" t="inlineStr">
        <is>
          <t>Kế toán / Kiểm toán, Ngân hàng, Bất động sản</t>
        </is>
      </c>
      <c r="K5554" s="10" t="inlineStr">
        <is>
          <t>3 - 5 Năm</t>
        </is>
      </c>
      <c r="L5554" s="11">
        <f>HYPERLINK("https://careerviet.vn/vi/tim-viec-lam/giam-sat-dich-vu-khach-hang-cong-no.35C662AC.html","Xem chi tiết")</f>
        <v/>
      </c>
      <c r="M5554" s="10" t="n"/>
    </row>
    <row r="5555">
      <c r="B5555" s="7" t="n">
        <v>5553</v>
      </c>
      <c r="C5555" t="inlineStr">
        <is>
          <t>Nhân Viên R&amp;D Sơn</t>
        </is>
      </c>
      <c r="D5555" t="inlineStr">
        <is>
          <t>CÔNG TY TNHH KCC VIỆT NAM</t>
        </is>
      </c>
      <c r="E5555" t="inlineStr">
        <is>
          <t>Lương:Cạnh tranh</t>
        </is>
      </c>
      <c r="F5555" t="inlineStr">
        <is>
          <t>Đồng Nai</t>
        </is>
      </c>
      <c r="G5555" t="inlineStr">
        <is>
          <t>31-03-2026</t>
        </is>
      </c>
      <c r="H5555" t="inlineStr">
        <is>
          <t>31/03/2026</t>
        </is>
      </c>
      <c r="I5555" t="inlineStr">
        <is>
          <t>17/03/2026</t>
        </is>
      </c>
      <c r="J5555" t="inlineStr">
        <is>
          <t>Hóa học</t>
        </is>
      </c>
      <c r="K5555" t="inlineStr">
        <is>
          <t>N/A</t>
        </is>
      </c>
      <c r="L5555" s="8">
        <f>HYPERLINK("https://careerviet.vn/vi/tim-viec-lam/nhan-vien-r-d-son.35C69272.html","Xem chi tiết")</f>
        <v/>
      </c>
    </row>
    <row r="5556">
      <c r="B5556" s="9" t="n">
        <v>5554</v>
      </c>
      <c r="C5556" s="10" t="inlineStr">
        <is>
          <t>Customer Service (CS) Logistics</t>
        </is>
      </c>
      <c r="D5556" s="10" t="inlineStr">
        <is>
          <t>Công ty CP Vĩnh An Logistics</t>
        </is>
      </c>
      <c r="E5556" s="10" t="inlineStr">
        <is>
          <t>Lương:Cạnh tranh</t>
        </is>
      </c>
      <c r="F5556" s="10" t="inlineStr">
        <is>
          <t>Hồ Chí Minh</t>
        </is>
      </c>
      <c r="G5556" s="10" t="inlineStr">
        <is>
          <t>6</t>
        </is>
      </c>
      <c r="H5556" s="10" t="inlineStr">
        <is>
          <t>23/03/2026</t>
        </is>
      </c>
      <c r="I5556" s="10" t="inlineStr">
        <is>
          <t>17/03/2026</t>
        </is>
      </c>
      <c r="J5556" s="10" t="inlineStr">
        <is>
          <t>Xuất nhập khẩu, Hàng hải, Dịch vụ khách hàng</t>
        </is>
      </c>
      <c r="K5556" s="10" t="inlineStr">
        <is>
          <t>Lên đến 2 Năm</t>
        </is>
      </c>
      <c r="L5556" s="11">
        <f>HYPERLINK("https://careerviet.vn/vi/tim-viec-lam/customer-service-cs-logistics.35C6924A.html","Xem chi tiết")</f>
        <v/>
      </c>
      <c r="M5556" s="10" t="n"/>
    </row>
    <row r="5557">
      <c r="B5557" s="7" t="n">
        <v>5555</v>
      </c>
      <c r="C5557" t="inlineStr">
        <is>
          <t>Nhân viên Kinh doanh</t>
        </is>
      </c>
      <c r="D5557" t="inlineStr">
        <is>
          <t>Công Ty Cổ Phần Du Lịch Vietravel</t>
        </is>
      </c>
      <c r="E5557" t="inlineStr">
        <is>
          <t>Lương:Cạnh tranh</t>
        </is>
      </c>
      <c r="F5557" t="inlineStr">
        <is>
          <t>Hồ Chí Minh</t>
        </is>
      </c>
      <c r="G5557" t="inlineStr">
        <is>
          <t>26-03-2026</t>
        </is>
      </c>
      <c r="H5557" t="inlineStr">
        <is>
          <t>26/03/2026</t>
        </is>
      </c>
      <c r="I5557" t="inlineStr">
        <is>
          <t>17/03/2026</t>
        </is>
      </c>
      <c r="J5557" t="inlineStr">
        <is>
          <t>Du lịch, Mới tốt nghiệp / Thực tập, Tài chính / Đầu tư</t>
        </is>
      </c>
      <c r="K5557" t="inlineStr">
        <is>
          <t>1 - 3 Năm</t>
        </is>
      </c>
      <c r="L5557" s="8">
        <f>HYPERLINK("https://careerviet.vn/vi/tim-viec-lam/nhan-vien-kinh-doanh.35C69274.html","Xem chi tiết")</f>
        <v/>
      </c>
    </row>
    <row r="5558">
      <c r="B5558" s="9" t="n">
        <v>5556</v>
      </c>
      <c r="C5558" s="10" t="inlineStr">
        <is>
          <t>Chuyên viên chứng từ xuất nhập khẩu/ Documentation Executive</t>
        </is>
      </c>
      <c r="D5558" s="10" t="inlineStr">
        <is>
          <t>Công ty CP Vĩnh An Logistics</t>
        </is>
      </c>
      <c r="E5558" s="10" t="inlineStr">
        <is>
          <t>Lương:15 Tr - 20 Tr VND</t>
        </is>
      </c>
      <c r="F5558" s="10" t="inlineStr">
        <is>
          <t>Hồ Chí Minh</t>
        </is>
      </c>
      <c r="G5558" s="10" t="inlineStr">
        <is>
          <t>6</t>
        </is>
      </c>
      <c r="H5558" s="10" t="inlineStr">
        <is>
          <t>23/03/2026</t>
        </is>
      </c>
      <c r="I5558" s="10" t="inlineStr">
        <is>
          <t>17/03/2026</t>
        </is>
      </c>
      <c r="J5558" s="10" t="inlineStr">
        <is>
          <t>Vận chuyển / Giao nhận / Kho vận, Xuất nhập khẩu, Hàng hải</t>
        </is>
      </c>
      <c r="K5558" s="10" t="inlineStr">
        <is>
          <t>Trên 2 Năm</t>
        </is>
      </c>
      <c r="L5558" s="11">
        <f>HYPERLINK("https://careerviet.vn/vi/tim-viec-lam/chuyen-vien-chung-tu-xuat-nhap-khau-documentation-executive.35C6924C.html","Xem chi tiết")</f>
        <v/>
      </c>
      <c r="M5558" s="10" t="n"/>
    </row>
    <row r="5559">
      <c r="B5559" s="7" t="n">
        <v>5557</v>
      </c>
      <c r="C5559" t="inlineStr">
        <is>
          <t>Admission Manager - Cụm Quận 12/ Cụm Thủ Đức</t>
        </is>
      </c>
      <c r="D5559" t="inlineStr">
        <is>
          <t>Hệ thống trường Pathway Tuệ Đức</t>
        </is>
      </c>
      <c r="E5559" t="inlineStr">
        <is>
          <t>Lương:Cạnh tranh</t>
        </is>
      </c>
      <c r="F5559" t="inlineStr">
        <is>
          <t>Hồ Chí Minh</t>
        </is>
      </c>
      <c r="G5559" t="inlineStr">
        <is>
          <t>24-02-2026</t>
        </is>
      </c>
      <c r="H5559" t="inlineStr">
        <is>
          <t>13/03/2026</t>
        </is>
      </c>
      <c r="I5559" t="inlineStr">
        <is>
          <t>17/03/2026</t>
        </is>
      </c>
      <c r="J5559" t="inlineStr">
        <is>
          <t>Giáo dục / Đào tạo, Bán hàng / Kinh doanh, Quản lý điều hành</t>
        </is>
      </c>
      <c r="K5559" t="inlineStr">
        <is>
          <t>3 - 5 Năm</t>
        </is>
      </c>
      <c r="L5559" s="8">
        <f>HYPERLINK("https://careerviet.vn/vi/tim-viec-lam/admission-manager-cum-quan-12-cum-thu-duc.35C6925D.html","Xem chi tiết")</f>
        <v/>
      </c>
    </row>
    <row r="5560">
      <c r="B5560" s="9" t="n">
        <v>5558</v>
      </c>
      <c r="C5560" s="10" t="inlineStr">
        <is>
          <t>Nhân Viên Vận Hành Tòa Nhà (tòa nhà văn phòng Coworking)</t>
        </is>
      </c>
      <c r="D5560" s="10" t="inlineStr">
        <is>
          <t>CÔNG TY CỔ PHẦN SEREPOK</t>
        </is>
      </c>
      <c r="E5560" s="10" t="inlineStr">
        <is>
          <t>Lương:Cạnh tranh</t>
        </is>
      </c>
      <c r="F5560" s="10" t="inlineStr">
        <is>
          <t>Hồ Chí Minh</t>
        </is>
      </c>
      <c r="G5560" s="10" t="inlineStr">
        <is>
          <t>31-03-2026</t>
        </is>
      </c>
      <c r="H5560" s="10" t="inlineStr">
        <is>
          <t>31/03/2026</t>
        </is>
      </c>
      <c r="I5560" s="10" t="inlineStr">
        <is>
          <t>17/03/2026</t>
        </is>
      </c>
      <c r="J5560" s="10" t="inlineStr">
        <is>
          <t>Hành chính / Thư ký, Dịch vụ khách hàng, Bất động sản</t>
        </is>
      </c>
      <c r="K5560" s="10" t="inlineStr">
        <is>
          <t>1 - 3 Năm</t>
        </is>
      </c>
      <c r="L5560" s="11">
        <f>HYPERLINK("https://careerviet.vn/vi/tim-viec-lam/nhan-vien-van-hanh-toa-nha-toa-nha-van-phong-coworking.35C691D4.html","Xem chi tiết")</f>
        <v/>
      </c>
      <c r="M5560" s="10" t="n"/>
    </row>
    <row r="5561">
      <c r="B5561" s="7" t="n">
        <v>5559</v>
      </c>
      <c r="C5561" t="inlineStr">
        <is>
          <t>Nhân Viên Kế Hoạch Sản Xuất</t>
        </is>
      </c>
      <c r="D5561" t="inlineStr">
        <is>
          <t>CÔNG TY TNHH CHEMTROVINA</t>
        </is>
      </c>
      <c r="E5561" t="inlineStr">
        <is>
          <t>Lương:Cạnh tranh</t>
        </is>
      </c>
      <c r="F5561" t="inlineStr">
        <is>
          <t>Đồng Nai</t>
        </is>
      </c>
      <c r="G5561" t="inlineStr">
        <is>
          <t>6</t>
        </is>
      </c>
      <c r="H5561" t="inlineStr">
        <is>
          <t>23/03/2026</t>
        </is>
      </c>
      <c r="I5561" t="inlineStr">
        <is>
          <t>17/03/2026</t>
        </is>
      </c>
      <c r="J5561" t="inlineStr">
        <is>
          <t>Cơ khí / Ô tô / Tự động hóa, Điện / Điện tử / Điện lạnh / Điện công nghiệp, Sản xuất / Vận hành sản xuất</t>
        </is>
      </c>
      <c r="K5561" t="inlineStr">
        <is>
          <t>N/A</t>
        </is>
      </c>
      <c r="L5561" s="8">
        <f>HYPERLINK("https://careerviet.vn/vi/tim-viec-lam/nhan-vien-ke-hoach-san-xuat.35C69220.html","Xem chi tiết")</f>
        <v/>
      </c>
    </row>
    <row r="5562">
      <c r="B5562" s="9" t="n">
        <v>5560</v>
      </c>
      <c r="C5562" s="10" t="inlineStr">
        <is>
          <t>Business Analyst Banking_BA_Phân tích nghiệp vụ - HO</t>
        </is>
      </c>
      <c r="D5562" s="10" t="inlineStr">
        <is>
          <t>NGÂN HÀNG TRÁCH NHIỆM HỮU HẠN MỘT THÀNH VIÊN VIỆT NAM HIỆN ĐẠI</t>
        </is>
      </c>
      <c r="E5562" s="10" t="inlineStr">
        <is>
          <t>Lương:Cạnh tranh</t>
        </is>
      </c>
      <c r="F5562" s="10" t="inlineStr">
        <is>
          <t>Hà Nội</t>
        </is>
      </c>
      <c r="G5562" s="10" t="inlineStr">
        <is>
          <t>31-03-2026</t>
        </is>
      </c>
      <c r="H5562" s="10" t="inlineStr">
        <is>
          <t>31/03/2026</t>
        </is>
      </c>
      <c r="I5562" s="10" t="inlineStr">
        <is>
          <t>17/03/2026</t>
        </is>
      </c>
      <c r="J5562" s="10" t="inlineStr">
        <is>
          <t>CNTT - Phần mềm</t>
        </is>
      </c>
      <c r="K5562" s="10" t="inlineStr">
        <is>
          <t>2 - 5 Năm</t>
        </is>
      </c>
      <c r="L5562" s="11">
        <f>HYPERLINK("https://careerviet.vn/vi/tim-viec-lam/business-analyst-banking_ba_phan-tich-nghiep-vu-ho.35C69265.html","Xem chi tiết")</f>
        <v/>
      </c>
      <c r="M5562" s="10" t="n"/>
    </row>
    <row r="5563">
      <c r="B5563" s="7" t="n">
        <v>5561</v>
      </c>
      <c r="C5563" t="inlineStr">
        <is>
          <t>Purchasing Specialist-Chuyên viên thu mua</t>
        </is>
      </c>
      <c r="D5563" t="inlineStr">
        <is>
          <t>Quickpack Vietnam Limited</t>
        </is>
      </c>
      <c r="E5563" t="inlineStr">
        <is>
          <t>Lương:15 Tr - 25 Tr VND</t>
        </is>
      </c>
      <c r="F5563" t="inlineStr">
        <is>
          <t>Long An</t>
        </is>
      </c>
      <c r="G5563" t="inlineStr">
        <is>
          <t>6</t>
        </is>
      </c>
      <c r="H5563" t="inlineStr">
        <is>
          <t>23/03/2026</t>
        </is>
      </c>
      <c r="I5563" t="inlineStr">
        <is>
          <t>17/03/2026</t>
        </is>
      </c>
      <c r="J5563" t="inlineStr">
        <is>
          <t>Thu mua / Vật tư</t>
        </is>
      </c>
      <c r="K5563" t="inlineStr">
        <is>
          <t>1 - 2 Năm</t>
        </is>
      </c>
      <c r="L5563" s="8">
        <f>HYPERLINK("https://careerviet.vn/vi/tim-viec-lam/purchasing-specialist-chuyen-vien-thu-mua.35C691F0.html","Xem chi tiết")</f>
        <v/>
      </c>
    </row>
    <row r="5564">
      <c r="B5564" s="9" t="n">
        <v>5562</v>
      </c>
      <c r="C5564" s="10" t="inlineStr">
        <is>
          <t>Nhân viên Kinh doanh</t>
        </is>
      </c>
      <c r="D5564" s="10" t="inlineStr">
        <is>
          <t>CÔNG TY TNHH LABEE</t>
        </is>
      </c>
      <c r="E5564" s="10" t="inlineStr">
        <is>
          <t>Lương:10 Tr - 30 Tr VND</t>
        </is>
      </c>
      <c r="F5564" s="10" t="inlineStr">
        <is>
          <t>Hồ Chí Minh</t>
        </is>
      </c>
      <c r="G5564" s="10" t="inlineStr">
        <is>
          <t>31-03-2026</t>
        </is>
      </c>
      <c r="H5564" s="10" t="inlineStr">
        <is>
          <t>31/03/2026</t>
        </is>
      </c>
      <c r="I5564" s="10" t="inlineStr">
        <is>
          <t>17/03/2026</t>
        </is>
      </c>
      <c r="J5564" s="10" t="inlineStr">
        <is>
          <t>Bán hàng / Kinh doanh, Công nghệ sinh học, Hóa học</t>
        </is>
      </c>
      <c r="K5564" s="10" t="inlineStr">
        <is>
          <t>N/A</t>
        </is>
      </c>
      <c r="L5564" s="11">
        <f>HYPERLINK("https://careerviet.vn/vi/tim-viec-lam/nhan-vien-kinh-doanh.35C69202.html","Xem chi tiết")</f>
        <v/>
      </c>
      <c r="M5564" s="10" t="n"/>
    </row>
    <row r="5565">
      <c r="B5565" s="7" t="n">
        <v>5563</v>
      </c>
      <c r="C5565" t="inlineStr">
        <is>
          <t>Chuyên Viên An Toàn Chất Lượng</t>
        </is>
      </c>
      <c r="D5565" t="inlineStr">
        <is>
          <t>Công Ty Cổ Phần Suất Ăn Hàng Không Nội Bài</t>
        </is>
      </c>
      <c r="E5565" t="inlineStr">
        <is>
          <t>Lương:Cạnh tranh</t>
        </is>
      </c>
      <c r="F5565" t="inlineStr">
        <is>
          <t>Hà Nội</t>
        </is>
      </c>
      <c r="G5565" t="inlineStr">
        <is>
          <t>5</t>
        </is>
      </c>
      <c r="H5565" t="inlineStr">
        <is>
          <t>22/03/2026</t>
        </is>
      </c>
      <c r="I5565" t="inlineStr">
        <is>
          <t>17/03/2026</t>
        </is>
      </c>
      <c r="J5565" t="inlineStr">
        <is>
          <t>Quản lý chất lượng (QA/QC), Môi trường, An toàn lao động</t>
        </is>
      </c>
      <c r="K5565" t="inlineStr">
        <is>
          <t>Trên 3 Năm</t>
        </is>
      </c>
      <c r="L5565" s="8">
        <f>HYPERLINK("https://careerviet.vn/vi/tim-viec-lam/chuyen-vien-an-toan-chat-luong.35C66253.html","Xem chi tiết")</f>
        <v/>
      </c>
    </row>
    <row r="5566">
      <c r="B5566" s="9" t="n">
        <v>5564</v>
      </c>
      <c r="C5566" s="10" t="inlineStr">
        <is>
          <t>ĐỘI PHÓ SẢN XUẤT</t>
        </is>
      </c>
      <c r="D5566" s="10" t="inlineStr">
        <is>
          <t>CÔNG TY CỔ PHẦN THỰC PHẨM CHOLIMEX</t>
        </is>
      </c>
      <c r="E5566" s="10" t="inlineStr">
        <is>
          <t>Lương:18 Tr - 20 Tr VND</t>
        </is>
      </c>
      <c r="F5566" s="10" t="inlineStr">
        <is>
          <t>Hồ Chí Minh</t>
        </is>
      </c>
      <c r="G5566" s="10" t="inlineStr">
        <is>
          <t>6</t>
        </is>
      </c>
      <c r="H5566" s="10" t="inlineStr">
        <is>
          <t>23/03/2026</t>
        </is>
      </c>
      <c r="I5566" s="10" t="inlineStr">
        <is>
          <t>17/03/2026</t>
        </is>
      </c>
      <c r="J5566" s="10" t="inlineStr">
        <is>
          <t>Thực phẩm &amp; Đồ uống, Sản xuất / Vận hành sản xuất, Quản lý chất lượng (QA/QC)</t>
        </is>
      </c>
      <c r="K5566" s="10" t="inlineStr">
        <is>
          <t>1 - 2 Năm</t>
        </is>
      </c>
      <c r="L5566" s="11">
        <f>HYPERLINK("https://careerviet.vn/vi/tim-viec-lam/doi-pho-san-xuat.35C68CF9.html","Xem chi tiết")</f>
        <v/>
      </c>
      <c r="M5566" s="10" t="n"/>
    </row>
    <row r="5567">
      <c r="B5567" s="7" t="n">
        <v>5565</v>
      </c>
      <c r="C5567" t="inlineStr">
        <is>
          <t>Project Director</t>
        </is>
      </c>
      <c r="D5567" t="inlineStr">
        <is>
          <t>Công Ty TNHH Tập Đoàn Rita Võ</t>
        </is>
      </c>
      <c r="E5567" t="inlineStr">
        <is>
          <t>Lương:Cạnh tranh</t>
        </is>
      </c>
      <c r="F5567" t="inlineStr">
        <is>
          <t>Hồ Chí Minh</t>
        </is>
      </c>
      <c r="G5567" t="inlineStr">
        <is>
          <t>31-03-2026</t>
        </is>
      </c>
      <c r="H5567" t="inlineStr">
        <is>
          <t>31/03/2026</t>
        </is>
      </c>
      <c r="I5567" t="inlineStr">
        <is>
          <t>17/03/2026</t>
        </is>
      </c>
      <c r="J5567" t="inlineStr">
        <is>
          <t>Kiến trúc, Xây dựng, Bất động sản</t>
        </is>
      </c>
      <c r="K5567" t="inlineStr">
        <is>
          <t>Trên 7 Năm</t>
        </is>
      </c>
      <c r="L5567" s="8">
        <f>HYPERLINK("https://careerviet.vn/vi/tim-viec-lam/project-director.35C69215.html","Xem chi tiết")</f>
        <v/>
      </c>
    </row>
    <row r="5568">
      <c r="B5568" s="9" t="n">
        <v>5566</v>
      </c>
      <c r="C5568" s="10" t="inlineStr">
        <is>
          <t>Kế toán mua hàng (Purchasing Accountant) | Thu nhập 10–13 triệu | Quận 1 | Chuỗi bán lẻ</t>
        </is>
      </c>
      <c r="D5568" s="10" t="inlineStr">
        <is>
          <t>Đồng Hồ Hải Triều</t>
        </is>
      </c>
      <c r="E5568" s="10" t="inlineStr">
        <is>
          <t>Lương:10 Tr - 13 Tr VND</t>
        </is>
      </c>
      <c r="F5568" s="10" t="inlineStr">
        <is>
          <t>Hồ Chí Minh</t>
        </is>
      </c>
      <c r="G5568" s="10" t="inlineStr">
        <is>
          <t>25-03-2026</t>
        </is>
      </c>
      <c r="H5568" s="10" t="inlineStr">
        <is>
          <t>25/03/2026</t>
        </is>
      </c>
      <c r="I5568" s="10" t="inlineStr">
        <is>
          <t>17/03/2026</t>
        </is>
      </c>
      <c r="J5568" s="10" t="inlineStr">
        <is>
          <t>Bán lẻ / Bán sỉ, Kế toán / Kiểm toán, Thu mua / Vật tư</t>
        </is>
      </c>
      <c r="K5568" s="10" t="inlineStr">
        <is>
          <t>1 - 2 Năm</t>
        </is>
      </c>
      <c r="L5568" s="11">
        <f>HYPERLINK("https://careerviet.vn/vi/tim-viec-lam/ke-toan-mua-hang-purchasing-accountant-thu-nhap-10-13-trieu-quan-1-chuoi-ban-le.35C691C9.html","Xem chi tiết")</f>
        <v/>
      </c>
      <c r="M5568" s="10" t="n"/>
    </row>
    <row r="5569">
      <c r="B5569" s="7" t="n">
        <v>5567</v>
      </c>
      <c r="C5569" t="inlineStr">
        <is>
          <t>Trưởng Phòng Kế Toán</t>
        </is>
      </c>
      <c r="D5569" t="inlineStr">
        <is>
          <t>Công Ty Cổ Phần Mỹ Phẩm Sài Gòn</t>
        </is>
      </c>
      <c r="E5569" t="inlineStr">
        <is>
          <t>Lương:Cạnh tranh</t>
        </is>
      </c>
      <c r="F5569" t="inlineStr">
        <is>
          <t>Hồ Chí Minh</t>
        </is>
      </c>
      <c r="G5569" t="inlineStr">
        <is>
          <t>26-03-2026</t>
        </is>
      </c>
      <c r="H5569" t="inlineStr">
        <is>
          <t>26/03/2026</t>
        </is>
      </c>
      <c r="I5569" t="inlineStr">
        <is>
          <t>17/03/2026</t>
        </is>
      </c>
      <c r="J5569" t="inlineStr">
        <is>
          <t>Kế toán / Kiểm toán, Tài chính / Đầu tư</t>
        </is>
      </c>
      <c r="K5569" t="inlineStr">
        <is>
          <t>2 - 5 Năm</t>
        </is>
      </c>
      <c r="L5569" s="8">
        <f>HYPERLINK("https://careerviet.vn/vi/tim-viec-lam/truong-phong-ke-toan.35C69291.html","Xem chi tiết")</f>
        <v/>
      </c>
    </row>
    <row r="5570">
      <c r="B5570" s="9" t="n">
        <v>5568</v>
      </c>
      <c r="C5570" s="10" t="inlineStr">
        <is>
          <t>Marketing Executive</t>
        </is>
      </c>
      <c r="D5570" s="10" t="inlineStr">
        <is>
          <t>Công ty TNHH Thực Phẩm &amp; TMDV Lê Gia</t>
        </is>
      </c>
      <c r="E5570" s="10" t="inlineStr">
        <is>
          <t>Lương:10 Tr - 20 Tr VND</t>
        </is>
      </c>
      <c r="F5570" s="10" t="inlineStr">
        <is>
          <t>Hà Nội</t>
        </is>
      </c>
      <c r="G5570" s="10" t="inlineStr">
        <is>
          <t>28-03-2026</t>
        </is>
      </c>
      <c r="H5570" s="10" t="inlineStr">
        <is>
          <t>28/03/2026</t>
        </is>
      </c>
      <c r="I5570" s="10" t="inlineStr">
        <is>
          <t>17/03/2026</t>
        </is>
      </c>
      <c r="J5570" s="10" t="inlineStr">
        <is>
          <t>Bán hàng / Kinh doanh, Thực phẩm &amp; Đồ uống, Tiếp thị / Marketing</t>
        </is>
      </c>
      <c r="K5570" s="10" t="inlineStr">
        <is>
          <t>Lên đến 1 Năm</t>
        </is>
      </c>
      <c r="L5570" s="11">
        <f>HYPERLINK("https://careerviet.vn/vi/tim-viec-lam/marketing-executive.35C6912C.html","Xem chi tiết")</f>
        <v/>
      </c>
      <c r="M5570" s="10" t="n"/>
    </row>
    <row r="5571">
      <c r="B5571" s="7" t="n">
        <v>5569</v>
      </c>
      <c r="C5571" t="inlineStr">
        <is>
          <t>Nhân Viên Dịch Vụ Bán Hàng Siêu Thị (Sales Rep)</t>
        </is>
      </c>
      <c r="D5571" t="inlineStr">
        <is>
          <t>Công Ty Cổ phần Tập Đoàn KIDO</t>
        </is>
      </c>
      <c r="E5571" t="inlineStr">
        <is>
          <t>Lương:8 Tr - 12 Tr VND</t>
        </is>
      </c>
      <c r="F5571" t="inlineStr">
        <is>
          <t>Hà Nội</t>
        </is>
      </c>
      <c r="G5571" t="inlineStr">
        <is>
          <t>5</t>
        </is>
      </c>
      <c r="H5571" t="inlineStr">
        <is>
          <t>22/03/2026</t>
        </is>
      </c>
      <c r="I5571" t="inlineStr">
        <is>
          <t>17/03/2026</t>
        </is>
      </c>
      <c r="J5571" t="inlineStr">
        <is>
          <t>Bán hàng / Kinh doanh</t>
        </is>
      </c>
      <c r="K5571" t="inlineStr">
        <is>
          <t>1 - 2 Năm</t>
        </is>
      </c>
      <c r="L5571" s="8">
        <f>HYPERLINK("https://careerviet.vn/vi/tim-viec-lam/nhan-vien-dich-vu-ban-hang-sieu-thi-sales-rep.35C663B1.html","Xem chi tiết")</f>
        <v/>
      </c>
    </row>
    <row r="5572">
      <c r="B5572" s="9" t="n">
        <v>5570</v>
      </c>
      <c r="C5572" s="10" t="inlineStr">
        <is>
          <t>Planning Supervisor</t>
        </is>
      </c>
      <c r="D5572" s="10" t="inlineStr">
        <is>
          <t>Công ty TNHH Olam Việt Nam</t>
        </is>
      </c>
      <c r="E5572" s="10" t="inlineStr">
        <is>
          <t>Lương:Cạnh tranh</t>
        </is>
      </c>
      <c r="F5572" s="10" t="inlineStr">
        <is>
          <t>Đồng Nai</t>
        </is>
      </c>
      <c r="G5572" s="10" t="inlineStr">
        <is>
          <t>25-03-2026</t>
        </is>
      </c>
      <c r="H5572" s="10" t="inlineStr">
        <is>
          <t>25/03/2026</t>
        </is>
      </c>
      <c r="I5572" s="10" t="inlineStr">
        <is>
          <t>17/03/2026</t>
        </is>
      </c>
      <c r="J5572" s="10" t="inlineStr">
        <is>
          <t>Xuất nhập khẩu, Sản xuất / Vận hành sản xuất, Công nghệ thực phẩm / Dinh dưỡng</t>
        </is>
      </c>
      <c r="K5572" s="10" t="inlineStr">
        <is>
          <t>N/A</t>
        </is>
      </c>
      <c r="L5572" s="11">
        <f>HYPERLINK("https://careerviet.vn/vi/tim-viec-lam/planning-supervisor.35C6914D.html","Xem chi tiết")</f>
        <v/>
      </c>
      <c r="M5572" s="10" t="n"/>
    </row>
    <row r="5573">
      <c r="B5573" s="7" t="n">
        <v>5571</v>
      </c>
      <c r="C5573" t="inlineStr">
        <is>
          <t>Category Staff</t>
        </is>
      </c>
      <c r="D5573" t="inlineStr">
        <is>
          <t>FamilyMart VietNam Joint Stock Company</t>
        </is>
      </c>
      <c r="E5573" t="inlineStr">
        <is>
          <t>Lương:Cạnh tranh</t>
        </is>
      </c>
      <c r="F5573" t="inlineStr">
        <is>
          <t>Hồ Chí Minh</t>
        </is>
      </c>
      <c r="G5573" t="inlineStr">
        <is>
          <t>26-03-2026</t>
        </is>
      </c>
      <c r="H5573" t="inlineStr">
        <is>
          <t>26/03/2026</t>
        </is>
      </c>
      <c r="I5573" t="inlineStr">
        <is>
          <t>17/03/2026</t>
        </is>
      </c>
      <c r="J5573" t="inlineStr">
        <is>
          <t>Hàng gia dụng / Chăm sóc cá nhân, Thu mua / Vật tư</t>
        </is>
      </c>
      <c r="K5573" t="inlineStr">
        <is>
          <t>1 - 2 Năm</t>
        </is>
      </c>
      <c r="L5573" s="8">
        <f>HYPERLINK("https://careerviet.vn/vi/tim-viec-lam/category-staff.35C69194.html","Xem chi tiết")</f>
        <v/>
      </c>
    </row>
    <row r="5574">
      <c r="B5574" s="9" t="n">
        <v>5572</v>
      </c>
      <c r="C5574" s="10" t="inlineStr">
        <is>
          <t>NHÂN VIÊN KỸ THUẬT</t>
        </is>
      </c>
      <c r="D5574" s="10" t="inlineStr">
        <is>
          <t>CÔNG TY TNHH NEXVISION METROLOGY VIỆT NAM</t>
        </is>
      </c>
      <c r="E5574" s="10" t="inlineStr">
        <is>
          <t>Lương:Cạnh tranh</t>
        </is>
      </c>
      <c r="F5574" s="10" t="inlineStr">
        <is>
          <t>Hồ Chí Minh</t>
        </is>
      </c>
      <c r="G5574" s="10" t="inlineStr">
        <is>
          <t>24-03-2026</t>
        </is>
      </c>
      <c r="H5574" s="10" t="inlineStr">
        <is>
          <t>24/03/2026</t>
        </is>
      </c>
      <c r="I5574" s="10" t="inlineStr">
        <is>
          <t>17/03/2026</t>
        </is>
      </c>
      <c r="J5574" s="10" t="inlineStr">
        <is>
          <t>Điện / Điện tử / Điện lạnh / Điện công nghiệp, Bảo trì / Sửa chữa, Cơ khí / Ô tô / Tự động hóa</t>
        </is>
      </c>
      <c r="K5574" s="10" t="inlineStr">
        <is>
          <t>Lên đến 1 Năm</t>
        </is>
      </c>
      <c r="L5574" s="11">
        <f>HYPERLINK("https://careerviet.vn/vi/tim-viec-lam/nhan-vien-ky-thuat.35C69218.html","Xem chi tiết")</f>
        <v/>
      </c>
      <c r="M5574" s="10" t="n"/>
    </row>
    <row r="5575">
      <c r="B5575" s="7" t="n">
        <v>5573</v>
      </c>
      <c r="C5575" t="inlineStr">
        <is>
          <t>Learning &amp; Development Manager ( South Vietnam)</t>
        </is>
      </c>
      <c r="D5575" t="inlineStr">
        <is>
          <t>SOMERSET SERVICED RESIDENCE</t>
        </is>
      </c>
      <c r="E5575" t="inlineStr">
        <is>
          <t>Lương:Cạnh tranh</t>
        </is>
      </c>
      <c r="F5575" t="inlineStr">
        <is>
          <t>Hồ Chí Minh</t>
        </is>
      </c>
      <c r="G5575" t="inlineStr">
        <is>
          <t>31-03-2026</t>
        </is>
      </c>
      <c r="H5575" t="inlineStr">
        <is>
          <t>31/03/2026</t>
        </is>
      </c>
      <c r="I5575" t="inlineStr">
        <is>
          <t>17/03/2026</t>
        </is>
      </c>
      <c r="J5575" t="inlineStr">
        <is>
          <t>Giáo dục / Đào tạo, Nhân sự, Nhà hàng / Khách sạn</t>
        </is>
      </c>
      <c r="K5575" t="inlineStr">
        <is>
          <t>null - null Năm</t>
        </is>
      </c>
      <c r="L5575" s="8">
        <f>HYPERLINK("https://careerviet.vn/vi/tim-viec-lam/learning-development-manager-south-vietnam.35C69197.html","Xem chi tiết")</f>
        <v/>
      </c>
    </row>
    <row r="5576">
      <c r="B5576" s="9" t="n">
        <v>5574</v>
      </c>
      <c r="C5576" s="10" t="inlineStr">
        <is>
          <t>Chuyên Viên Chăm Sóc Khách Hàng - Impact Result Specialist</t>
        </is>
      </c>
      <c r="D5576" s="10" t="inlineStr">
        <is>
          <t>Dale Carnegie Việt Nam</t>
        </is>
      </c>
      <c r="E5576" s="10" t="inlineStr">
        <is>
          <t>Lương:Cạnh tranh</t>
        </is>
      </c>
      <c r="F5576" s="10" t="inlineStr">
        <is>
          <t>Hồ Chí Minh</t>
        </is>
      </c>
      <c r="G5576" s="10" t="inlineStr">
        <is>
          <t>6</t>
        </is>
      </c>
      <c r="H5576" s="10" t="inlineStr">
        <is>
          <t>23/03/2026</t>
        </is>
      </c>
      <c r="I5576" s="10" t="inlineStr">
        <is>
          <t>17/03/2026</t>
        </is>
      </c>
      <c r="J5576" s="10" t="inlineStr">
        <is>
          <t>Dịch vụ khách hàng, Giáo dục / Đào tạo</t>
        </is>
      </c>
      <c r="K5576" s="10" t="inlineStr">
        <is>
          <t>2 - 3 Năm</t>
        </is>
      </c>
      <c r="L5576" s="11">
        <f>HYPERLINK("https://careerviet.vn/vi/tim-viec-lam/chuyen-vien-cham-soc-khach-hang-impact-result-specialist.35C6916B.html","Xem chi tiết")</f>
        <v/>
      </c>
      <c r="M5576" s="10" t="n"/>
    </row>
    <row r="5577">
      <c r="B5577" s="7" t="n">
        <v>5575</v>
      </c>
      <c r="C5577" t="inlineStr">
        <is>
          <t>Nhân viên bán hàng</t>
        </is>
      </c>
      <c r="D5577" t="inlineStr">
        <is>
          <t>Levents Global</t>
        </is>
      </c>
      <c r="E5577" t="inlineStr">
        <is>
          <t>Lương:Cạnh tranh</t>
        </is>
      </c>
      <c r="F5577" t="inlineStr">
        <is>
          <t>Hồ Chí Minh</t>
        </is>
      </c>
      <c r="G5577" t="inlineStr">
        <is>
          <t>24-03-2026</t>
        </is>
      </c>
      <c r="H5577" t="inlineStr">
        <is>
          <t>24/03/2026</t>
        </is>
      </c>
      <c r="I5577" t="inlineStr">
        <is>
          <t>17/03/2026</t>
        </is>
      </c>
      <c r="J5577" t="inlineStr">
        <is>
          <t>Bán hàng / Kinh doanh, Dệt may / Da giày / Thời trang, Bán lẻ / Bán sỉ</t>
        </is>
      </c>
      <c r="K5577" t="inlineStr">
        <is>
          <t>Chưa có kinh nghiệm</t>
        </is>
      </c>
      <c r="L5577" s="8">
        <f>HYPERLINK("https://careerviet.vn/vi/tim-viec-lam/nhan-vien-ban-hang.35C6913B.html","Xem chi tiết")</f>
        <v/>
      </c>
    </row>
    <row r="5578">
      <c r="B5578" s="9" t="n">
        <v>5576</v>
      </c>
      <c r="C5578" s="10" t="inlineStr">
        <is>
          <t>NHÂN VIÊN MERCHANDISER (GARMENT)</t>
        </is>
      </c>
      <c r="D5578" s="10" t="inlineStr">
        <is>
          <t>Công ty TNHH SX UPGAIN (VN)</t>
        </is>
      </c>
      <c r="E5578" s="10" t="inlineStr">
        <is>
          <t>Lương:Cạnh tranh</t>
        </is>
      </c>
      <c r="F5578" s="10" t="inlineStr">
        <is>
          <t>Hồ Chí Minh</t>
        </is>
      </c>
      <c r="G5578" s="10" t="inlineStr">
        <is>
          <t>30-04-2026</t>
        </is>
      </c>
      <c r="H5578" s="10" t="inlineStr">
        <is>
          <t>30/04/2026</t>
        </is>
      </c>
      <c r="I5578" s="10" t="inlineStr">
        <is>
          <t>17/03/2026</t>
        </is>
      </c>
      <c r="J5578" s="10" t="inlineStr">
        <is>
          <t>Dệt may / Da giày / Thời trang</t>
        </is>
      </c>
      <c r="K5578" s="10" t="inlineStr">
        <is>
          <t>1 - 3 Năm</t>
        </is>
      </c>
      <c r="L5578" s="11">
        <f>HYPERLINK("https://careerviet.vn/vi/tim-viec-lam/nhan-vien-merchandiser-garment.35C691E6.html","Xem chi tiết")</f>
        <v/>
      </c>
      <c r="M5578" s="10" t="n"/>
    </row>
    <row r="5579">
      <c r="B5579" s="7" t="n">
        <v>5577</v>
      </c>
      <c r="C5579" t="inlineStr">
        <is>
          <t>Nhân viên Kế toán (Accountant)</t>
        </is>
      </c>
      <c r="D5579" t="inlineStr">
        <is>
          <t>CÔNG TY TNHH  REDIMED VIỆT NAM</t>
        </is>
      </c>
      <c r="E5579" t="inlineStr">
        <is>
          <t>Lương:Cạnh tranh</t>
        </is>
      </c>
      <c r="F5579" t="inlineStr">
        <is>
          <t>Hồ Chí Minh</t>
        </is>
      </c>
      <c r="G5579" t="inlineStr">
        <is>
          <t>25-03-2026</t>
        </is>
      </c>
      <c r="H5579" t="inlineStr">
        <is>
          <t>25/03/2026</t>
        </is>
      </c>
      <c r="I5579" t="inlineStr">
        <is>
          <t>17/03/2026</t>
        </is>
      </c>
      <c r="J5579" t="inlineStr">
        <is>
          <t>Mới tốt nghiệp / Thực tập, Kế toán / Kiểm toán, Y tế / Chăm sóc sức khỏe / Thẩm mỹ / Làm đẹp</t>
        </is>
      </c>
      <c r="K5579" t="inlineStr">
        <is>
          <t>N/A</t>
        </is>
      </c>
      <c r="L5579" s="8">
        <f>HYPERLINK("https://careerviet.vn/vi/tim-viec-lam/nhan-vien-ke-toan-accountant.35C69118.html","Xem chi tiết")</f>
        <v/>
      </c>
    </row>
    <row r="5580">
      <c r="B5580" s="9" t="n">
        <v>5578</v>
      </c>
      <c r="C5580" s="10" t="inlineStr">
        <is>
          <t>Assistant Brand Manager</t>
        </is>
      </c>
      <c r="D5580" s="10" t="inlineStr">
        <is>
          <t>CÔNG TY TNHH BULSAN GROUP</t>
        </is>
      </c>
      <c r="E5580" s="10" t="inlineStr">
        <is>
          <t>Lương:13 Tr - 20 Tr VND</t>
        </is>
      </c>
      <c r="F5580" s="10" t="inlineStr">
        <is>
          <t>Hồ Chí Minh</t>
        </is>
      </c>
      <c r="G5580" s="10" t="inlineStr">
        <is>
          <t>24-03-2026</t>
        </is>
      </c>
      <c r="H5580" s="10" t="inlineStr">
        <is>
          <t>24/03/2026</t>
        </is>
      </c>
      <c r="I5580" s="10" t="inlineStr">
        <is>
          <t>17/03/2026</t>
        </is>
      </c>
      <c r="J5580" s="10" t="inlineStr">
        <is>
          <t>Tiếp thị / Marketing, Tiếp thị trực tuyến, Hàng gia dụng / Chăm sóc cá nhân</t>
        </is>
      </c>
      <c r="K5580" s="10" t="inlineStr">
        <is>
          <t>1 - 2 Năm</t>
        </is>
      </c>
      <c r="L5580" s="11">
        <f>HYPERLINK("https://careerviet.vn/vi/tim-viec-lam/assistant-brand-manager.35C690E1.html","Xem chi tiết")</f>
        <v/>
      </c>
      <c r="M5580" s="10" t="n"/>
    </row>
    <row r="5581">
      <c r="B5581" s="7" t="n">
        <v>5579</v>
      </c>
      <c r="C5581" t="inlineStr">
        <is>
          <t>Retail Operation Manager (HCM &amp; Nha Trang)</t>
        </is>
      </c>
      <c r="D5581" t="inlineStr">
        <is>
          <t>Công Ty Avanti - Group</t>
        </is>
      </c>
      <c r="E5581" t="inlineStr">
        <is>
          <t>Lương:Cạnh tranh</t>
        </is>
      </c>
      <c r="F5581" t="inlineStr">
        <is>
          <t>Hồ Chí Minh</t>
        </is>
      </c>
      <c r="G5581" t="inlineStr">
        <is>
          <t>31-03-2026</t>
        </is>
      </c>
      <c r="H5581" t="inlineStr">
        <is>
          <t>31/03/2026</t>
        </is>
      </c>
      <c r="I5581" t="inlineStr">
        <is>
          <t>17/03/2026</t>
        </is>
      </c>
      <c r="J5581" t="inlineStr">
        <is>
          <t>Bán hàng / Kinh doanh, Thực phẩm &amp; Đồ uống, Bán lẻ / Bán sỉ</t>
        </is>
      </c>
      <c r="K5581" t="inlineStr">
        <is>
          <t>10 - 20 Năm</t>
        </is>
      </c>
      <c r="L5581" s="8">
        <f>HYPERLINK("https://careerviet.vn/vi/tim-viec-lam/retail-operation-manager-hcm-nha-trang.35C69088.html","Xem chi tiết")</f>
        <v/>
      </c>
    </row>
    <row r="5582">
      <c r="B5582" s="9" t="n">
        <v>5580</v>
      </c>
      <c r="C5582" s="10" t="inlineStr">
        <is>
          <t>Giám Sát Phòng Thí Nghiệm - Lab Supervisor</t>
        </is>
      </c>
      <c r="D5582" s="10" t="inlineStr">
        <is>
          <t>Công ty TNHH Gold Coin Feedmill Đồng Nai - Chi Nhánh Long An</t>
        </is>
      </c>
      <c r="E5582" s="10" t="inlineStr">
        <is>
          <t>Lương:18 Tr - 23 Tr VND</t>
        </is>
      </c>
      <c r="F5582" s="10" t="inlineStr">
        <is>
          <t>Long An</t>
        </is>
      </c>
      <c r="G5582" s="10" t="inlineStr">
        <is>
          <t>6</t>
        </is>
      </c>
      <c r="H5582" s="10" t="inlineStr">
        <is>
          <t>23/03/2026</t>
        </is>
      </c>
      <c r="I5582" s="10" t="inlineStr">
        <is>
          <t>17/03/2026</t>
        </is>
      </c>
      <c r="J5582" s="10" t="inlineStr">
        <is>
          <t>Chăn nuôi / Thú y, Công nghệ sinh học, Hóa học</t>
        </is>
      </c>
      <c r="K5582" s="10" t="inlineStr">
        <is>
          <t>Trên 3 Năm</t>
        </is>
      </c>
      <c r="L5582" s="11">
        <f>HYPERLINK("https://careerviet.vn/vi/tim-viec-lam/giam-sat-phong-thi-nghiem-lab-supervisor.35C6910F.html","Xem chi tiết")</f>
        <v/>
      </c>
      <c r="M5582" s="10" t="n"/>
    </row>
    <row r="5583">
      <c r="B5583" s="7" t="n">
        <v>5581</v>
      </c>
      <c r="C5583" t="inlineStr">
        <is>
          <t>Project Manager (Quản Lý Dự Án)</t>
        </is>
      </c>
      <c r="D5583" t="inlineStr">
        <is>
          <t>Blue Sky Corporation</t>
        </is>
      </c>
      <c r="E5583" t="inlineStr">
        <is>
          <t>Lương:Cạnh tranh</t>
        </is>
      </c>
      <c r="F5583" t="inlineStr">
        <is>
          <t>Hồ Chí Minh</t>
        </is>
      </c>
      <c r="G5583" t="inlineStr">
        <is>
          <t>6</t>
        </is>
      </c>
      <c r="H5583" t="inlineStr">
        <is>
          <t>23/03/2026</t>
        </is>
      </c>
      <c r="I5583" t="inlineStr">
        <is>
          <t>17/03/2026</t>
        </is>
      </c>
      <c r="J5583" t="inlineStr">
        <is>
          <t>Tổ chức sự kiện, Quảng cáo / Đối ngoại / Truyền Thông, Tiếp thị / Marketing</t>
        </is>
      </c>
      <c r="K5583" t="inlineStr">
        <is>
          <t>3 - 5 Năm</t>
        </is>
      </c>
      <c r="L5583" s="8">
        <f>HYPERLINK("https://careerviet.vn/vi/tim-viec-lam/project-manager-quan-ly-du-an.35C690F4.html","Xem chi tiết")</f>
        <v/>
      </c>
    </row>
    <row r="5584">
      <c r="B5584" s="9" t="n">
        <v>5582</v>
      </c>
      <c r="C5584" s="10" t="inlineStr">
        <is>
          <t>Procurement Supervisor</t>
        </is>
      </c>
      <c r="D5584" s="10" t="inlineStr">
        <is>
          <t>CÔNG TY TNHH YAMADA ELECTRIC VIỆT NAM</t>
        </is>
      </c>
      <c r="E5584" s="10" t="inlineStr">
        <is>
          <t>Lương:20 Tr - 24 Tr VND</t>
        </is>
      </c>
      <c r="F5584" s="10" t="inlineStr">
        <is>
          <t>Bình Dương</t>
        </is>
      </c>
      <c r="G5584" s="10" t="inlineStr">
        <is>
          <t>24-03-2026</t>
        </is>
      </c>
      <c r="H5584" s="10" t="inlineStr">
        <is>
          <t>24/03/2026</t>
        </is>
      </c>
      <c r="I5584" s="10" t="inlineStr">
        <is>
          <t>17/03/2026</t>
        </is>
      </c>
      <c r="J5584" s="10" t="inlineStr">
        <is>
          <t>Xuất nhập khẩu, Thu mua / Vật tư</t>
        </is>
      </c>
      <c r="K5584" s="10" t="inlineStr">
        <is>
          <t>Trên 2 Năm</t>
        </is>
      </c>
      <c r="L5584" s="11">
        <f>HYPERLINK("https://careerviet.vn/vi/tim-viec-lam/procurement-supervisor.35C1110B.html","Xem chi tiết")</f>
        <v/>
      </c>
      <c r="M5584" s="10" t="n"/>
    </row>
    <row r="5585">
      <c r="B5585" s="7" t="n">
        <v>5583</v>
      </c>
      <c r="C5585" t="inlineStr">
        <is>
          <t>Talent Acquisition Manager</t>
        </is>
      </c>
      <c r="D5585" t="inlineStr">
        <is>
          <t>Công Ty Cổ Phần GreenFeed Việt Nam</t>
        </is>
      </c>
      <c r="E5585" t="inlineStr">
        <is>
          <t>Lương:Cạnh tranh</t>
        </is>
      </c>
      <c r="F5585" t="inlineStr">
        <is>
          <t>Hồ Chí Minh</t>
        </is>
      </c>
      <c r="G5585" t="inlineStr">
        <is>
          <t>26-03-2026</t>
        </is>
      </c>
      <c r="H5585" t="inlineStr">
        <is>
          <t>26/03/2026</t>
        </is>
      </c>
      <c r="I5585" t="inlineStr">
        <is>
          <t>17/03/2026</t>
        </is>
      </c>
      <c r="J5585" t="inlineStr">
        <is>
          <t>Nhân sự</t>
        </is>
      </c>
      <c r="K5585" t="inlineStr">
        <is>
          <t>5 - 10 Năm</t>
        </is>
      </c>
      <c r="L5585" s="8">
        <f>HYPERLINK("https://careerviet.vn/vi/tim-viec-lam/talent-acquisition-manager.35C69110.html","Xem chi tiết")</f>
        <v/>
      </c>
    </row>
    <row r="5586">
      <c r="B5586" s="9" t="n">
        <v>5584</v>
      </c>
      <c r="C5586" s="10" t="inlineStr">
        <is>
          <t>Production Supervisor Pharmaceutical Plant VSIP1</t>
        </is>
      </c>
      <c r="D5586" s="10" t="inlineStr">
        <is>
          <t>Abbott</t>
        </is>
      </c>
      <c r="E5586" s="10" t="inlineStr">
        <is>
          <t>Lương:Cạnh tranh</t>
        </is>
      </c>
      <c r="F5586" s="10" t="inlineStr">
        <is>
          <t>Bình Dương</t>
        </is>
      </c>
      <c r="G5586" s="10" t="inlineStr">
        <is>
          <t>25-03-2026</t>
        </is>
      </c>
      <c r="H5586" s="10" t="inlineStr">
        <is>
          <t>25/03/2026</t>
        </is>
      </c>
      <c r="I5586" s="10" t="inlineStr">
        <is>
          <t>17/03/2026</t>
        </is>
      </c>
      <c r="J5586" s="10" t="inlineStr">
        <is>
          <t>Dược phẩm/ Hóa Mỹ Phẩm, Sản xuất / Vận hành sản xuất</t>
        </is>
      </c>
      <c r="K5586" s="10" t="inlineStr">
        <is>
          <t>Trên 5 Năm</t>
        </is>
      </c>
      <c r="L5586" s="11">
        <f>HYPERLINK("https://careerviet.vn/vi/tim-viec-lam/production-supervisor-pharmaceutical-plant-vsip1.35C690AB.html","Xem chi tiết")</f>
        <v/>
      </c>
      <c r="M5586" s="10" t="n"/>
    </row>
    <row r="5587">
      <c r="B5587" s="7" t="n">
        <v>5585</v>
      </c>
      <c r="C5587" t="inlineStr">
        <is>
          <t>Nhân Viên Vận Hành Sản Xuất Dược Vsip1</t>
        </is>
      </c>
      <c r="D5587" t="inlineStr">
        <is>
          <t>Abbott</t>
        </is>
      </c>
      <c r="E5587" t="inlineStr">
        <is>
          <t>Lương:Cạnh tranh</t>
        </is>
      </c>
      <c r="F5587" t="inlineStr">
        <is>
          <t>Bình Dương</t>
        </is>
      </c>
      <c r="G5587" t="inlineStr">
        <is>
          <t>1</t>
        </is>
      </c>
      <c r="H5587" t="inlineStr">
        <is>
          <t>18/03/2026</t>
        </is>
      </c>
      <c r="I5587" t="inlineStr">
        <is>
          <t>17/03/2026</t>
        </is>
      </c>
      <c r="J5587" t="inlineStr">
        <is>
          <t>Dược phẩm/ Hóa Mỹ Phẩm, Sản xuất / Vận hành sản xuất</t>
        </is>
      </c>
      <c r="K5587" t="inlineStr">
        <is>
          <t>1 - 5 Năm</t>
        </is>
      </c>
      <c r="L5587" s="8">
        <f>HYPERLINK("https://careerviet.vn/vi/tim-viec-lam/nhan-vien-van-hanh-san-xuat-duoc-vsip1.35C690A3.html","Xem chi tiết")</f>
        <v/>
      </c>
    </row>
    <row r="5588">
      <c r="B5588" s="9" t="n">
        <v>5586</v>
      </c>
      <c r="C5588" s="10" t="inlineStr">
        <is>
          <t>NHÂN VIÊN SENIOR DESIGNER</t>
        </is>
      </c>
      <c r="D5588" s="10" t="inlineStr">
        <is>
          <t>Hệ Thống Cửa Hàng Giày Da Đông Hải</t>
        </is>
      </c>
      <c r="E5588" s="10" t="inlineStr">
        <is>
          <t>Lương:Cạnh tranh</t>
        </is>
      </c>
      <c r="F5588" s="10" t="inlineStr">
        <is>
          <t>Hồ Chí Minh</t>
        </is>
      </c>
      <c r="G5588" s="10" t="inlineStr">
        <is>
          <t>31-03-2026</t>
        </is>
      </c>
      <c r="H5588" s="10" t="inlineStr">
        <is>
          <t>31/03/2026</t>
        </is>
      </c>
      <c r="I5588" s="10" t="inlineStr">
        <is>
          <t>17/03/2026</t>
        </is>
      </c>
      <c r="J5588" s="10" t="inlineStr">
        <is>
          <t>Mỹ thuật / Nghệ thuật / Thiết kế, Quảng cáo / Đối ngoại / Truyền Thông, Dệt may / Da giày / Thời trang</t>
        </is>
      </c>
      <c r="K5588" s="10" t="inlineStr">
        <is>
          <t>2 - 3 Năm</t>
        </is>
      </c>
      <c r="L5588" s="11">
        <f>HYPERLINK("https://careerviet.vn/vi/tim-viec-lam/nhan-vien-senior-designer.35C6904E.html","Xem chi tiết")</f>
        <v/>
      </c>
      <c r="M5588" s="10" t="n"/>
    </row>
    <row r="5589">
      <c r="B5589" s="7" t="n">
        <v>5587</v>
      </c>
      <c r="C5589" t="inlineStr">
        <is>
          <t>NHÂN VIÊN LEAD DESIGNER</t>
        </is>
      </c>
      <c r="D5589" t="inlineStr">
        <is>
          <t>Hệ Thống Cửa Hàng Giày Da Đông Hải</t>
        </is>
      </c>
      <c r="E5589" t="inlineStr">
        <is>
          <t>Lương:Cạnh tranh</t>
        </is>
      </c>
      <c r="F5589" t="inlineStr">
        <is>
          <t>Hồ Chí Minh</t>
        </is>
      </c>
      <c r="G5589" t="inlineStr">
        <is>
          <t>31-03-2026</t>
        </is>
      </c>
      <c r="H5589" t="inlineStr">
        <is>
          <t>31/03/2026</t>
        </is>
      </c>
      <c r="I5589" t="inlineStr">
        <is>
          <t>17/03/2026</t>
        </is>
      </c>
      <c r="J5589" t="inlineStr">
        <is>
          <t>Mỹ thuật / Nghệ thuật / Thiết kế, Quảng cáo / Đối ngoại / Truyền Thông, Dệt may / Da giày / Thời trang</t>
        </is>
      </c>
      <c r="K5589" t="inlineStr">
        <is>
          <t>4 - 5 Năm</t>
        </is>
      </c>
      <c r="L5589" s="8">
        <f>HYPERLINK("https://careerviet.vn/vi/tim-viec-lam/nhan-vien-lead-designer.35C69093.html","Xem chi tiết")</f>
        <v/>
      </c>
    </row>
    <row r="5590">
      <c r="B5590" s="9" t="n">
        <v>5588</v>
      </c>
      <c r="C5590" s="10" t="inlineStr">
        <is>
          <t>Kỹ sư QA/QC</t>
        </is>
      </c>
      <c r="D5590" s="10" t="inlineStr">
        <is>
          <t>CÔNG TY TNHH KCC (VIỆT NAM NHƠN TRẠCH)</t>
        </is>
      </c>
      <c r="E5590" s="10" t="inlineStr">
        <is>
          <t>Lương:14 Tr - 27 Tr VND</t>
        </is>
      </c>
      <c r="F5590" s="10" t="inlineStr">
        <is>
          <t>Đồng Nai</t>
        </is>
      </c>
      <c r="G5590" s="10" t="inlineStr">
        <is>
          <t>23-04-2026</t>
        </is>
      </c>
      <c r="H5590" s="10" t="inlineStr">
        <is>
          <t>23/04/2026</t>
        </is>
      </c>
      <c r="I5590" s="10" t="inlineStr">
        <is>
          <t>17/03/2026</t>
        </is>
      </c>
      <c r="J5590" s="10" t="inlineStr">
        <is>
          <t>Quản lý chất lượng (QA/QC), Sản xuất / Vận hành sản xuất</t>
        </is>
      </c>
      <c r="K5590" s="10" t="inlineStr">
        <is>
          <t>3 - 5 Năm</t>
        </is>
      </c>
      <c r="L5590" s="11">
        <f>HYPERLINK("https://careerviet.vn/vi/tim-viec-lam/ky-su-qa-qc.35C690A6.html","Xem chi tiết")</f>
        <v/>
      </c>
      <c r="M5590" s="10" t="n"/>
    </row>
    <row r="5591">
      <c r="B5591" s="7" t="n">
        <v>5589</v>
      </c>
      <c r="C5591" t="inlineStr">
        <is>
          <t>Chuyên viên Phân Tích Tài Chính</t>
        </is>
      </c>
      <c r="D5591" t="inlineStr">
        <is>
          <t>Công Ty Cổ Phần Y&amp;B</t>
        </is>
      </c>
      <c r="E5591" t="inlineStr">
        <is>
          <t>Lương:20 Tr - 25 Tr VND</t>
        </is>
      </c>
      <c r="F5591" t="inlineStr">
        <is>
          <t>Hồ Chí Minh</t>
        </is>
      </c>
      <c r="G5591" t="inlineStr">
        <is>
          <t>31-03-2026</t>
        </is>
      </c>
      <c r="H5591" t="inlineStr">
        <is>
          <t>31/03/2026</t>
        </is>
      </c>
      <c r="I5591" t="inlineStr">
        <is>
          <t>17/03/2026</t>
        </is>
      </c>
      <c r="J5591" t="inlineStr">
        <is>
          <t>Hàng gia dụng / Chăm sóc cá nhân, Kế toán / Kiểm toán, Tài chính / Đầu tư</t>
        </is>
      </c>
      <c r="K5591" t="inlineStr">
        <is>
          <t>3 - 5 Năm</t>
        </is>
      </c>
      <c r="L5591" s="8">
        <f>HYPERLINK("https://careerviet.vn/vi/tim-viec-lam/chuyen-vien-phan-tich-tai-chinh.35C69029.html","Xem chi tiết")</f>
        <v/>
      </c>
    </row>
    <row r="5592">
      <c r="B5592" s="9" t="n">
        <v>5590</v>
      </c>
      <c r="C5592" s="10" t="inlineStr">
        <is>
          <t>Hardline Lab Technician | Kiểm nghiệm viên cơ lý</t>
        </is>
      </c>
      <c r="D5592" s="10" t="inlineStr">
        <is>
          <t>EUROFINS VIETNAM</t>
        </is>
      </c>
      <c r="E5592" s="10" t="inlineStr">
        <is>
          <t>Lương:Cạnh tranh</t>
        </is>
      </c>
      <c r="F5592" s="10" t="inlineStr">
        <is>
          <t>Hồ Chí Minh</t>
        </is>
      </c>
      <c r="G5592" s="10" t="inlineStr">
        <is>
          <t>24-03-2026</t>
        </is>
      </c>
      <c r="H5592" s="10" t="inlineStr">
        <is>
          <t>24/03/2026</t>
        </is>
      </c>
      <c r="I5592" s="10" t="inlineStr">
        <is>
          <t>17/03/2026</t>
        </is>
      </c>
      <c r="J5592" s="10" t="inlineStr">
        <is>
          <t>Cơ khí / Ô tô / Tự động hóa, Đồ gỗ, Bảo trì / Sửa chữa</t>
        </is>
      </c>
      <c r="K5592" s="10" t="inlineStr">
        <is>
          <t>1 - 2 Năm</t>
        </is>
      </c>
      <c r="L5592" s="11">
        <f>HYPERLINK("https://careerviet.vn/vi/tim-viec-lam/hardline-lab-technician-kiem-nghiem-vien-co-ly.35C68FC4.html","Xem chi tiết")</f>
        <v/>
      </c>
      <c r="M5592" s="10" t="n"/>
    </row>
    <row r="5593">
      <c r="B5593" s="7" t="n">
        <v>5591</v>
      </c>
      <c r="C5593" t="inlineStr">
        <is>
          <t>Design Manager (Quản Lý Thiết Kế)</t>
        </is>
      </c>
      <c r="D5593" t="inlineStr">
        <is>
          <t>Blue Sky Corporation</t>
        </is>
      </c>
      <c r="E5593" t="inlineStr">
        <is>
          <t>Lương:Cạnh tranh</t>
        </is>
      </c>
      <c r="F5593" t="inlineStr">
        <is>
          <t>Hồ Chí Minh</t>
        </is>
      </c>
      <c r="G5593" t="inlineStr">
        <is>
          <t>6</t>
        </is>
      </c>
      <c r="H5593" t="inlineStr">
        <is>
          <t>23/03/2026</t>
        </is>
      </c>
      <c r="I5593" t="inlineStr">
        <is>
          <t>17/03/2026</t>
        </is>
      </c>
      <c r="J5593" t="inlineStr">
        <is>
          <t>Tổ chức sự kiện, Quảng cáo / Đối ngoại / Truyền Thông, Mỹ thuật / Nghệ thuật / Thiết kế</t>
        </is>
      </c>
      <c r="K5593" t="inlineStr">
        <is>
          <t>Trên 5 Năm</t>
        </is>
      </c>
      <c r="L5593" s="8">
        <f>HYPERLINK("https://careerviet.vn/vi/tim-viec-lam/design-manager-quan-ly-thiet-ke.35C690EB.html","Xem chi tiết")</f>
        <v/>
      </c>
    </row>
    <row r="5594">
      <c r="B5594" s="9" t="n">
        <v>5592</v>
      </c>
      <c r="C5594" s="10" t="inlineStr">
        <is>
          <t>QUẢN LÝ SHOWROOM</t>
        </is>
      </c>
      <c r="D5594" s="10" t="inlineStr">
        <is>
          <t>CÔNG TY CỔ PHẦN THƯƠNG MẠI SATORI</t>
        </is>
      </c>
      <c r="E5594" s="10" t="inlineStr">
        <is>
          <t>Lương:Cạnh tranh</t>
        </is>
      </c>
      <c r="F5594" s="10" t="inlineStr">
        <is>
          <t>Hồ Chí Minh</t>
        </is>
      </c>
      <c r="G5594" s="10" t="inlineStr">
        <is>
          <t>31-03-2026</t>
        </is>
      </c>
      <c r="H5594" s="10" t="inlineStr">
        <is>
          <t>31/03/2026</t>
        </is>
      </c>
      <c r="I5594" s="10" t="inlineStr">
        <is>
          <t>17/03/2026</t>
        </is>
      </c>
      <c r="J5594" s="10" t="inlineStr">
        <is>
          <t>Bán hàng / Kinh doanh</t>
        </is>
      </c>
      <c r="K5594" s="10" t="inlineStr">
        <is>
          <t>2 - 5 Năm</t>
        </is>
      </c>
      <c r="L5594" s="11">
        <f>HYPERLINK("https://careerviet.vn/vi/tim-viec-lam/quan-ly-showroom.35C6909F.html","Xem chi tiết")</f>
        <v/>
      </c>
      <c r="M5594" s="10" t="n"/>
    </row>
    <row r="5595">
      <c r="B5595" s="7" t="n">
        <v>5593</v>
      </c>
      <c r="C5595" t="inlineStr">
        <is>
          <t>Nhân Viên Pháp Lý và Hợp Đồng</t>
        </is>
      </c>
      <c r="D5595" t="inlineStr">
        <is>
          <t>ATAD Steel Structure Corporation</t>
        </is>
      </c>
      <c r="E5595" t="inlineStr">
        <is>
          <t>Lương:Cạnh tranh</t>
        </is>
      </c>
      <c r="F5595" t="inlineStr">
        <is>
          <t>Hồ Chí Minh</t>
        </is>
      </c>
      <c r="G5595" t="inlineStr">
        <is>
          <t>24-02-2026</t>
        </is>
      </c>
      <c r="H5595" t="inlineStr">
        <is>
          <t>07/03/2026</t>
        </is>
      </c>
      <c r="I5595" t="inlineStr">
        <is>
          <t>17/03/2026</t>
        </is>
      </c>
      <c r="J5595" t="inlineStr">
        <is>
          <t>Luật / Pháp lý, Nhân sự, Xây dựng</t>
        </is>
      </c>
      <c r="K5595" t="inlineStr">
        <is>
          <t>1 - 2 Năm</t>
        </is>
      </c>
      <c r="L5595" s="8">
        <f>HYPERLINK("https://careerviet.vn/vi/tim-viec-lam/nhan-vien-phap-ly-va-hop-dong.35C67FF1.html","Xem chi tiết")</f>
        <v/>
      </c>
    </row>
    <row r="5596">
      <c r="B5596" s="9" t="n">
        <v>5594</v>
      </c>
      <c r="C5596" s="10" t="inlineStr">
        <is>
          <t>Chuyên Viên Kiểm Soát Nội Bộ (Hàng Hóa)</t>
        </is>
      </c>
      <c r="D5596" s="10" t="inlineStr">
        <is>
          <t>Công Ty TNHH Tập Đoàn Rita Võ</t>
        </is>
      </c>
      <c r="E5596" s="10" t="inlineStr">
        <is>
          <t>Lương:Cạnh tranh</t>
        </is>
      </c>
      <c r="F5596" s="10" t="inlineStr">
        <is>
          <t>Hồ Chí MinhBình Dương</t>
        </is>
      </c>
      <c r="G5596" s="10" t="inlineStr">
        <is>
          <t>31-03-2026</t>
        </is>
      </c>
      <c r="H5596" s="10" t="inlineStr">
        <is>
          <t>31/03/2026</t>
        </is>
      </c>
      <c r="I5596" s="10" t="inlineStr">
        <is>
          <t>17/03/2026</t>
        </is>
      </c>
      <c r="J5596" s="10" t="inlineStr">
        <is>
          <t>Vận chuyển / Giao nhận / Kho vận, Kế toán / Kiểm toán</t>
        </is>
      </c>
      <c r="K5596" s="10" t="inlineStr">
        <is>
          <t>Trên 2 Năm</t>
        </is>
      </c>
      <c r="L5596" s="11">
        <f>HYPERLINK("https://careerviet.vn/vi/tim-viec-lam/chuyen-vien-kiem-soat-noi-bo-hang-hoa.35C6904B.html","Xem chi tiết")</f>
        <v/>
      </c>
      <c r="M5596" s="10" t="n"/>
    </row>
    <row r="5597">
      <c r="B5597" s="7" t="n">
        <v>5595</v>
      </c>
      <c r="C5597" t="inlineStr">
        <is>
          <t>Supply Planning Assistant Manager - FMCG</t>
        </is>
      </c>
      <c r="D5597" t="inlineStr">
        <is>
          <t>Masan Consumer</t>
        </is>
      </c>
      <c r="E5597" t="inlineStr">
        <is>
          <t>Lương:Cạnh tranh</t>
        </is>
      </c>
      <c r="F5597" t="inlineStr">
        <is>
          <t>Bình Dương</t>
        </is>
      </c>
      <c r="G5597" t="inlineStr">
        <is>
          <t>31-03-2026</t>
        </is>
      </c>
      <c r="H5597" t="inlineStr">
        <is>
          <t>31/03/2026</t>
        </is>
      </c>
      <c r="I5597" t="inlineStr">
        <is>
          <t>17/03/2026</t>
        </is>
      </c>
      <c r="J5597" t="inlineStr">
        <is>
          <t>Quản lý điều hành, Thu mua / Vật tư, Thực phẩm &amp; Đồ uống</t>
        </is>
      </c>
      <c r="K5597" t="inlineStr">
        <is>
          <t>3 - 7 Năm</t>
        </is>
      </c>
      <c r="L5597" s="8">
        <f>HYPERLINK("https://careerviet.vn/vi/tim-viec-lam/supply-planning-assistant-manager-fmcg.35C68FF4.html","Xem chi tiết")</f>
        <v/>
      </c>
    </row>
    <row r="5598">
      <c r="B5598" s="9" t="n">
        <v>5596</v>
      </c>
      <c r="C5598" s="10" t="inlineStr">
        <is>
          <t>NHÂN VIÊN PHÁP CHẾ</t>
        </is>
      </c>
      <c r="D5598" s="10" t="inlineStr">
        <is>
          <t>CÔNG TY CỔ PHẦN TRANSIMEX</t>
        </is>
      </c>
      <c r="E5598" s="10" t="inlineStr">
        <is>
          <t>Lương:Cạnh tranh</t>
        </is>
      </c>
      <c r="F5598" s="10" t="inlineStr">
        <is>
          <t>Hồ Chí Minh</t>
        </is>
      </c>
      <c r="G5598" s="10" t="inlineStr">
        <is>
          <t>6</t>
        </is>
      </c>
      <c r="H5598" s="10" t="inlineStr">
        <is>
          <t>23/03/2026</t>
        </is>
      </c>
      <c r="I5598" s="10" t="inlineStr">
        <is>
          <t>17/03/2026</t>
        </is>
      </c>
      <c r="J5598" s="10" t="inlineStr">
        <is>
          <t>Luật / Pháp lý</t>
        </is>
      </c>
      <c r="K5598" s="10" t="inlineStr">
        <is>
          <t>2 - 5 Năm</t>
        </is>
      </c>
      <c r="L5598" s="11">
        <f>HYPERLINK("https://careerviet.vn/vi/tim-viec-lam/nhan-vien-phap-che.35C68F94.html","Xem chi tiết")</f>
        <v/>
      </c>
      <c r="M5598" s="10" t="n"/>
    </row>
    <row r="5599">
      <c r="B5599" s="7" t="n">
        <v>5597</v>
      </c>
      <c r="C5599" t="inlineStr">
        <is>
          <t>Kỹ Sư Đảm Bảo Chất Lượng</t>
        </is>
      </c>
      <c r="D5599" t="inlineStr">
        <is>
          <t>CÔNG TY CỔ PHẦN THIẾT BỊ CÔNG NGHIỆP GEIC</t>
        </is>
      </c>
      <c r="E5599" t="inlineStr">
        <is>
          <t>Lương:Cạnh tranh</t>
        </is>
      </c>
      <c r="F5599" t="inlineStr">
        <is>
          <t>Hà Nội</t>
        </is>
      </c>
      <c r="G5599" t="inlineStr">
        <is>
          <t>6</t>
        </is>
      </c>
      <c r="H5599" t="inlineStr">
        <is>
          <t>23/03/2026</t>
        </is>
      </c>
      <c r="I5599" t="inlineStr">
        <is>
          <t>17/03/2026</t>
        </is>
      </c>
      <c r="J5599" t="inlineStr">
        <is>
          <t>Bảo trì / Sửa chữa, Điện / Điện tử / Điện lạnh / Điện công nghiệp, Quản lý chất lượng (QA/QC)</t>
        </is>
      </c>
      <c r="K5599" t="inlineStr">
        <is>
          <t>Trên 2 Năm</t>
        </is>
      </c>
      <c r="L5599" s="8">
        <f>HYPERLINK("https://careerviet.vn/vi/tim-viec-lam/ky-su-dam-bao-chat-luong.35C63944.html","Xem chi tiết")</f>
        <v/>
      </c>
    </row>
    <row r="5600">
      <c r="B5600" s="9" t="n">
        <v>5598</v>
      </c>
      <c r="C5600" s="10" t="inlineStr">
        <is>
          <t>Chuyên Viên Tuyển Dụng</t>
        </is>
      </c>
      <c r="D5600" s="10" t="inlineStr">
        <is>
          <t>ATAD Steel Structure Corporation</t>
        </is>
      </c>
      <c r="E5600" s="10" t="inlineStr">
        <is>
          <t>Lương:Cạnh tranh</t>
        </is>
      </c>
      <c r="F5600" s="10" t="inlineStr">
        <is>
          <t>Hồ Chí Minh</t>
        </is>
      </c>
      <c r="G5600" s="10" t="inlineStr">
        <is>
          <t>24-03-2026</t>
        </is>
      </c>
      <c r="H5600" s="10" t="inlineStr">
        <is>
          <t>24/03/2026</t>
        </is>
      </c>
      <c r="I5600" s="10" t="inlineStr">
        <is>
          <t>17/03/2026</t>
        </is>
      </c>
      <c r="J5600" s="10" t="inlineStr">
        <is>
          <t>Quản lý điều hành, Nhân sự, Xây dựng</t>
        </is>
      </c>
      <c r="K5600" s="10" t="inlineStr">
        <is>
          <t>2 - 3 Năm</t>
        </is>
      </c>
      <c r="L5600" s="11">
        <f>HYPERLINK("https://careerviet.vn/vi/tim-viec-lam/chuyen-vien-tuyen-dung.35C68F95.html","Xem chi tiết")</f>
        <v/>
      </c>
      <c r="M5600" s="10" t="n"/>
    </row>
    <row r="5601">
      <c r="B5601" s="7" t="n">
        <v>5599</v>
      </c>
      <c r="C5601" t="inlineStr">
        <is>
          <t>Nhân viên Event - sự kiện</t>
        </is>
      </c>
      <c r="D5601" t="inlineStr">
        <is>
          <t>Công ty Cổ phần Tập đoàn Gỗ Minh Long</t>
        </is>
      </c>
      <c r="E5601" t="inlineStr">
        <is>
          <t>Lương:12 Tr - 18 Tr VND</t>
        </is>
      </c>
      <c r="F5601" t="inlineStr">
        <is>
          <t>Hà Nội</t>
        </is>
      </c>
      <c r="G5601" t="inlineStr">
        <is>
          <t>31-03-2026</t>
        </is>
      </c>
      <c r="H5601" t="inlineStr">
        <is>
          <t>31/03/2026</t>
        </is>
      </c>
      <c r="I5601" t="inlineStr">
        <is>
          <t>17/03/2026</t>
        </is>
      </c>
      <c r="J5601" t="inlineStr">
        <is>
          <t>Tiếp thị / Marketing, Quảng cáo / Đối ngoại / Truyền Thông, Tổ chức sự kiện</t>
        </is>
      </c>
      <c r="K5601" t="inlineStr">
        <is>
          <t>4 - 8 Năm</t>
        </is>
      </c>
      <c r="L5601" s="8">
        <f>HYPERLINK("https://careerviet.vn/vi/tim-viec-lam/nhan-vien-event-su-kien.35C69085.html","Xem chi tiết")</f>
        <v/>
      </c>
    </row>
    <row r="5602">
      <c r="B5602" s="9" t="n">
        <v>5600</v>
      </c>
      <c r="C5602" s="10" t="inlineStr">
        <is>
          <t>Trợ lý chủ tịch HĐQT (Mạnh tài chính và kế hoạch đầu tư bất động sản)</t>
        </is>
      </c>
      <c r="D5602" s="10" t="inlineStr">
        <is>
          <t>Công Ty CP Đầu Tư IMG</t>
        </is>
      </c>
      <c r="E5602" s="10" t="inlineStr">
        <is>
          <t>Lương:40 Tr - 50 Tr VND</t>
        </is>
      </c>
      <c r="F5602" s="10" t="inlineStr">
        <is>
          <t>Hồ Chí Minh</t>
        </is>
      </c>
      <c r="G5602" s="10" t="inlineStr">
        <is>
          <t>26-03-2026</t>
        </is>
      </c>
      <c r="H5602" s="10" t="inlineStr">
        <is>
          <t>26/03/2026</t>
        </is>
      </c>
      <c r="I5602" s="10" t="inlineStr">
        <is>
          <t>17/03/2026</t>
        </is>
      </c>
      <c r="J5602" s="10" t="inlineStr">
        <is>
          <t>Bất động sản, Tài chính / Đầu tư, Kế toán / Kiểm toán</t>
        </is>
      </c>
      <c r="K5602" s="10" t="inlineStr">
        <is>
          <t>10 - 15 Năm</t>
        </is>
      </c>
      <c r="L5602" s="11">
        <f>HYPERLINK("https://careerviet.vn/vi/tim-viec-lam/tro-ly-chu-tich-hdqt-manh-tai-chinh-va-ke-hoach-dau-tu-bat-dong-san.35C68F9A.html","Xem chi tiết")</f>
        <v/>
      </c>
      <c r="M5602" s="10" t="n"/>
    </row>
    <row r="5603">
      <c r="B5603" s="7" t="n">
        <v>5601</v>
      </c>
      <c r="C5603" t="inlineStr">
        <is>
          <t>Chuyên Viên ISO (ISO 9001, 14001 và 45001)_Ưu tiên từng làm ngành Xây Dựng</t>
        </is>
      </c>
      <c r="D5603" t="inlineStr">
        <is>
          <t>ATAD Steel Structure Corporation</t>
        </is>
      </c>
      <c r="E5603" t="inlineStr">
        <is>
          <t>Lương:15 Tr - 22 Tr VND</t>
        </is>
      </c>
      <c r="F5603" t="inlineStr">
        <is>
          <t>Hồ Chí MinhHải PhòngQuảng Bình</t>
        </is>
      </c>
      <c r="G5603" t="inlineStr">
        <is>
          <t>6</t>
        </is>
      </c>
      <c r="H5603" t="inlineStr">
        <is>
          <t>23/03/2026</t>
        </is>
      </c>
      <c r="I5603" t="inlineStr">
        <is>
          <t>17/03/2026</t>
        </is>
      </c>
      <c r="J5603" t="inlineStr">
        <is>
          <t>Xây dựng</t>
        </is>
      </c>
      <c r="K5603" t="inlineStr">
        <is>
          <t>2 - 5 Năm</t>
        </is>
      </c>
      <c r="L5603" s="8">
        <f>HYPERLINK("https://careerviet.vn/vi/tim-viec-lam/chuyen-vien-iso-iso-9001-14001-va-45001-_uu-tien-tung-lam-nganh-xay-dung.35C638DC.html","Xem chi tiết")</f>
        <v/>
      </c>
    </row>
    <row r="5604">
      <c r="B5604" s="9" t="n">
        <v>5602</v>
      </c>
      <c r="C5604" s="10" t="inlineStr">
        <is>
          <t>[Hà Nội] Chuyên viên chính Tra soát, đối soát, thanh quyết toán</t>
        </is>
      </c>
      <c r="D5604" s="10" t="inlineStr">
        <is>
          <t>Ngân hàng TMCP Lộc Phát Việt Nam (LPBank)</t>
        </is>
      </c>
      <c r="E5604" s="10" t="inlineStr">
        <is>
          <t>Lương:Cạnh tranh</t>
        </is>
      </c>
      <c r="F5604" s="10" t="inlineStr">
        <is>
          <t>Hà Nội</t>
        </is>
      </c>
      <c r="G5604" s="10" t="inlineStr">
        <is>
          <t>6</t>
        </is>
      </c>
      <c r="H5604" s="10" t="inlineStr">
        <is>
          <t>23/03/2026</t>
        </is>
      </c>
      <c r="I5604" s="10" t="inlineStr">
        <is>
          <t>17/03/2026</t>
        </is>
      </c>
      <c r="J5604" s="10" t="inlineStr">
        <is>
          <t>Ngân hàng</t>
        </is>
      </c>
      <c r="K5604" s="10" t="inlineStr">
        <is>
          <t>1 - 5 Năm</t>
        </is>
      </c>
      <c r="L5604" s="11">
        <f>HYPERLINK("https://careerviet.vn/vi/tim-viec-lam/ha-noi-chuyen-vien-chinh-tra-soat-doi-soat-thanh-quyet-toan.35C665C5.html","Xem chi tiết")</f>
        <v/>
      </c>
      <c r="M5604" s="10" t="n"/>
    </row>
    <row r="5605">
      <c r="B5605" s="7" t="n">
        <v>5603</v>
      </c>
      <c r="C5605" t="inlineStr">
        <is>
          <t>An Giang - Chuyên viên Quan hệ Khách hàng cá nhân</t>
        </is>
      </c>
      <c r="D5605" t="inlineStr">
        <is>
          <t>Ngân hàng TMCP Lộc Phát Việt Nam (LPBank)</t>
        </is>
      </c>
      <c r="E5605" t="inlineStr">
        <is>
          <t>Lương:Cạnh tranh</t>
        </is>
      </c>
      <c r="F5605" t="inlineStr">
        <is>
          <t>An Giang</t>
        </is>
      </c>
      <c r="G5605" t="inlineStr">
        <is>
          <t>6</t>
        </is>
      </c>
      <c r="H5605" t="inlineStr">
        <is>
          <t>23/03/2026</t>
        </is>
      </c>
      <c r="I5605" t="inlineStr">
        <is>
          <t>17/03/2026</t>
        </is>
      </c>
      <c r="J5605" t="inlineStr">
        <is>
          <t>Bán hàng / Kinh doanh, Kế toán / Kiểm toán, Ngân hàng</t>
        </is>
      </c>
      <c r="K5605" t="inlineStr">
        <is>
          <t>N/A</t>
        </is>
      </c>
      <c r="L5605" s="8">
        <f>HYPERLINK("https://careerviet.vn/vi/tim-viec-lam/an-giang-chuyen-vien-quan-he-khach-hang-ca-nhan.35C639ED.html","Xem chi tiết")</f>
        <v/>
      </c>
    </row>
    <row r="5606">
      <c r="B5606" s="9" t="n">
        <v>5604</v>
      </c>
      <c r="C5606" s="10" t="inlineStr">
        <is>
          <t>Giám sát Kinh doanh KV Hồ Chí Minh</t>
        </is>
      </c>
      <c r="D5606" s="10" t="inlineStr">
        <is>
          <t>Công Ty TNHH Phát Triển Công Nghệ Điện Tử Bình Anh</t>
        </is>
      </c>
      <c r="E5606" s="10" t="inlineStr">
        <is>
          <t>Lương:20 Tr - 35 Tr VND</t>
        </is>
      </c>
      <c r="F5606" s="10" t="inlineStr">
        <is>
          <t>Hồ Chí Minh</t>
        </is>
      </c>
      <c r="G5606" s="10" t="inlineStr">
        <is>
          <t>6</t>
        </is>
      </c>
      <c r="H5606" s="10" t="inlineStr">
        <is>
          <t>23/03/2026</t>
        </is>
      </c>
      <c r="I5606" s="10" t="inlineStr">
        <is>
          <t>17/03/2026</t>
        </is>
      </c>
      <c r="J5606" s="10" t="inlineStr">
        <is>
          <t>Bán hàng / Kinh doanh</t>
        </is>
      </c>
      <c r="K5606" s="10" t="inlineStr">
        <is>
          <t>3 - 10 Năm</t>
        </is>
      </c>
      <c r="L5606" s="11">
        <f>HYPERLINK("https://careerviet.vn/vi/tim-viec-lam/giam-sat-kinh-doanh-kv-ho-chi-minh.35C66587.html","Xem chi tiết")</f>
        <v/>
      </c>
      <c r="M5606" s="10" t="n"/>
    </row>
    <row r="5607">
      <c r="B5607" s="7" t="n">
        <v>5605</v>
      </c>
      <c r="C5607" t="inlineStr">
        <is>
          <t>Trưởng Phòng Kinh Doanh (MAF) - ID1271</t>
        </is>
      </c>
      <c r="D5607" t="inlineStr">
        <is>
          <t>Ngân Hàng TMCP Việt Nam Thịnh Vượng - VPBANK</t>
        </is>
      </c>
      <c r="E5607" t="inlineStr">
        <is>
          <t>Lương:Cạnh tranh</t>
        </is>
      </c>
      <c r="F5607" t="inlineStr">
        <is>
          <t>An GiangVĩnh LongCần Thơ</t>
        </is>
      </c>
      <c r="G5607" t="inlineStr">
        <is>
          <t>6</t>
        </is>
      </c>
      <c r="H5607" t="inlineStr">
        <is>
          <t>23/03/2026</t>
        </is>
      </c>
      <c r="I5607" t="inlineStr">
        <is>
          <t>17/03/2026</t>
        </is>
      </c>
      <c r="J5607" t="inlineStr">
        <is>
          <t>Bán hàng / Kinh doanh, Ngân hàng</t>
        </is>
      </c>
      <c r="K5607" t="inlineStr">
        <is>
          <t>3 - 4 Năm</t>
        </is>
      </c>
      <c r="L5607" s="8">
        <f>HYPERLINK("https://careerviet.vn/vi/tim-viec-lam/truong-phong-kinh-doanh-maf-id1271.35C66616.html","Xem chi tiết")</f>
        <v/>
      </c>
    </row>
    <row r="5608">
      <c r="B5608" s="9" t="n">
        <v>5606</v>
      </c>
      <c r="C5608" s="10" t="inlineStr">
        <is>
          <t>Programme Officer in Electronics and Semiconductor Sector</t>
        </is>
      </c>
      <c r="D5608" s="10" t="inlineStr">
        <is>
          <t>The Deutsche Gesellschaft für Internationale Zusammenarbeit (GIZ)</t>
        </is>
      </c>
      <c r="E5608" s="10" t="inlineStr">
        <is>
          <t>Lương:Cạnh tranh</t>
        </is>
      </c>
      <c r="F5608" s="10" t="inlineStr">
        <is>
          <t>Hồ Chí Minh</t>
        </is>
      </c>
      <c r="G5608" s="10" t="inlineStr">
        <is>
          <t>6</t>
        </is>
      </c>
      <c r="H5608" s="10" t="inlineStr">
        <is>
          <t>23/03/2026</t>
        </is>
      </c>
      <c r="I5608" s="10" t="inlineStr">
        <is>
          <t>17/03/2026</t>
        </is>
      </c>
      <c r="J5608" s="10" t="inlineStr">
        <is>
          <t>Bán hàng / Kinh doanh, Môi trường, Điện / Điện tử / Điện lạnh / Điện công nghiệp</t>
        </is>
      </c>
      <c r="K5608" s="10" t="inlineStr">
        <is>
          <t>5 Năm</t>
        </is>
      </c>
      <c r="L5608" s="11">
        <f>HYPERLINK("https://careerviet.vn/vi/tim-viec-lam/programme-officer-in-electronics-and-semiconductor-sector.35C63996.html","Xem chi tiết")</f>
        <v/>
      </c>
      <c r="M5608" s="10" t="n"/>
    </row>
    <row r="5609">
      <c r="B5609" s="7" t="n">
        <v>5607</v>
      </c>
      <c r="C5609" t="inlineStr">
        <is>
          <t>Nhân viên điều hành thi công xây dựng (làm văn phòng)</t>
        </is>
      </c>
      <c r="D5609" t="inlineStr">
        <is>
          <t>Tổng Công ty Cổ phần Công trình Viettel</t>
        </is>
      </c>
      <c r="E5609" t="inlineStr">
        <is>
          <t>Lương:18 Tr - 20 Tr VND</t>
        </is>
      </c>
      <c r="F5609" t="inlineStr">
        <is>
          <t>Hà Nội</t>
        </is>
      </c>
      <c r="G5609" t="inlineStr">
        <is>
          <t>6</t>
        </is>
      </c>
      <c r="H5609" t="inlineStr">
        <is>
          <t>23/03/2026</t>
        </is>
      </c>
      <c r="I5609" t="inlineStr">
        <is>
          <t>17/03/2026</t>
        </is>
      </c>
      <c r="J5609" t="inlineStr">
        <is>
          <t>Xây dựng</t>
        </is>
      </c>
      <c r="K5609" t="inlineStr">
        <is>
          <t>Trên 2 Năm</t>
        </is>
      </c>
      <c r="L5609" s="8">
        <f>HYPERLINK("https://careerviet.vn/vi/tim-viec-lam/nhan-vien-dieu-hanh-thi-cong-xay-dung-lam-van-phong.35C63A4D.html","Xem chi tiết")</f>
        <v/>
      </c>
    </row>
    <row r="5610">
      <c r="B5610" s="9" t="n">
        <v>5608</v>
      </c>
      <c r="C5610" s="10" t="inlineStr">
        <is>
          <t>Key Account Executive</t>
        </is>
      </c>
      <c r="D5610" s="10" t="inlineStr">
        <is>
          <t>CÔNG TY CỔ PHẦN THƯƠNG MẠI DỊCH VỤ SẢN XUẤT HƯƠNG THỦY</t>
        </is>
      </c>
      <c r="E5610" s="10" t="inlineStr">
        <is>
          <t>Lương:18 Tr - 24 Tr VND</t>
        </is>
      </c>
      <c r="F5610" s="10" t="inlineStr">
        <is>
          <t>Hồ Chí Minh</t>
        </is>
      </c>
      <c r="G5610" s="10" t="inlineStr">
        <is>
          <t>6</t>
        </is>
      </c>
      <c r="H5610" s="10" t="inlineStr">
        <is>
          <t>23/03/2026</t>
        </is>
      </c>
      <c r="I5610" s="10" t="inlineStr">
        <is>
          <t>17/03/2026</t>
        </is>
      </c>
      <c r="J5610" s="10" t="inlineStr">
        <is>
          <t>Tiếp thị / Marketing, Bán lẻ / Bán sỉ, Hàng gia dụng / Chăm sóc cá nhân</t>
        </is>
      </c>
      <c r="K5610" s="10" t="inlineStr">
        <is>
          <t>2 - 3 Năm</t>
        </is>
      </c>
      <c r="L5610" s="11">
        <f>HYPERLINK("https://careerviet.vn/vi/tim-viec-lam/key-account-executive.35C63A3E.html","Xem chi tiết")</f>
        <v/>
      </c>
      <c r="M5610" s="10" t="n"/>
    </row>
    <row r="5611">
      <c r="B5611" s="7" t="n">
        <v>5609</v>
      </c>
      <c r="C5611" t="inlineStr">
        <is>
          <t>Kỹ sư Cơ Điện (Lương gross 15-20 triệu)</t>
        </is>
      </c>
      <c r="D5611" t="inlineStr">
        <is>
          <t>CÔNG TY TNHH SẢN PHẨM XÂY DỰNG DINGO</t>
        </is>
      </c>
      <c r="E5611" t="inlineStr">
        <is>
          <t>Lương:15 Tr - 20 Tr VND</t>
        </is>
      </c>
      <c r="F5611" t="inlineStr">
        <is>
          <t>Đồng Nai</t>
        </is>
      </c>
      <c r="G5611" t="inlineStr">
        <is>
          <t>26-03-2026</t>
        </is>
      </c>
      <c r="H5611" t="inlineStr">
        <is>
          <t>26/03/2026</t>
        </is>
      </c>
      <c r="I5611" t="inlineStr">
        <is>
          <t>17/03/2026</t>
        </is>
      </c>
      <c r="J5611" t="inlineStr">
        <is>
          <t>Điện / Điện tử / Điện lạnh / Điện công nghiệp, Cơ khí / Ô tô / Tự động hóa, Sản xuất / Vận hành sản xuất</t>
        </is>
      </c>
      <c r="K5611" t="inlineStr">
        <is>
          <t>Trên 2 Năm</t>
        </is>
      </c>
      <c r="L5611" s="8">
        <f>HYPERLINK("https://careerviet.vn/vi/tim-viec-lam/ky-su-co-dien-luong-gross-15-20-trieu.35C68FDA.html","Xem chi tiết")</f>
        <v/>
      </c>
    </row>
    <row r="5612">
      <c r="B5612" s="9" t="n">
        <v>5610</v>
      </c>
      <c r="C5612" s="10" t="inlineStr">
        <is>
          <t>Trợ lý Tổng Giám đốc (mảng Pháp chế)</t>
        </is>
      </c>
      <c r="D5612" s="10" t="inlineStr">
        <is>
          <t>Công ty Cổ phần Tập đoàn Meey Land</t>
        </is>
      </c>
      <c r="E5612" s="10" t="inlineStr">
        <is>
          <t>Lương:Cạnh tranh</t>
        </is>
      </c>
      <c r="F5612" s="10" t="inlineStr">
        <is>
          <t>Hà Nội</t>
        </is>
      </c>
      <c r="G5612" s="10" t="inlineStr">
        <is>
          <t>6</t>
        </is>
      </c>
      <c r="H5612" s="10" t="inlineStr">
        <is>
          <t>23/03/2026</t>
        </is>
      </c>
      <c r="I5612" s="10" t="inlineStr">
        <is>
          <t>17/03/2026</t>
        </is>
      </c>
      <c r="J5612" s="10" t="inlineStr">
        <is>
          <t>Luật / Pháp lý</t>
        </is>
      </c>
      <c r="K5612" s="10" t="inlineStr">
        <is>
          <t>5 - 20 Năm</t>
        </is>
      </c>
      <c r="L5612" s="11">
        <f>HYPERLINK("https://careerviet.vn/vi/tim-viec-lam/tro-ly-tong-giam-doc-mang-phap-che.35C665ED.html","Xem chi tiết")</f>
        <v/>
      </c>
      <c r="M5612" s="10" t="n"/>
    </row>
    <row r="5613">
      <c r="B5613" s="7" t="n">
        <v>5611</v>
      </c>
      <c r="C5613" t="inlineStr">
        <is>
          <t>Account Sales Engineer</t>
        </is>
      </c>
      <c r="D5613" t="inlineStr">
        <is>
          <t>Cognex Vietnam Company Limited</t>
        </is>
      </c>
      <c r="E5613" t="inlineStr">
        <is>
          <t>Lương:Cạnh tranh</t>
        </is>
      </c>
      <c r="F5613" t="inlineStr">
        <is>
          <t>Hà Nội</t>
        </is>
      </c>
      <c r="G5613" t="inlineStr">
        <is>
          <t>6</t>
        </is>
      </c>
      <c r="H5613" t="inlineStr">
        <is>
          <t>22/03/2026</t>
        </is>
      </c>
      <c r="I5613" t="inlineStr">
        <is>
          <t>17/03/2026</t>
        </is>
      </c>
      <c r="J5613" t="inlineStr">
        <is>
          <t>Sản xuất / Vận hành sản xuất</t>
        </is>
      </c>
      <c r="K5613" t="inlineStr">
        <is>
          <t>3 - 10 Năm</t>
        </is>
      </c>
      <c r="L5613" s="8">
        <f>HYPERLINK("https://careerviet.vn/vi/tim-viec-lam/account-sales-engineer.35C63A0C.html","Xem chi tiết")</f>
        <v/>
      </c>
    </row>
    <row r="5614">
      <c r="B5614" s="9" t="n">
        <v>5612</v>
      </c>
      <c r="C5614" s="10" t="inlineStr">
        <is>
          <t>127082 - Mechanical Equipment Design Engineer - Construction</t>
        </is>
      </c>
      <c r="D5614" s="10" t="inlineStr">
        <is>
          <t>RGF HR Agent Vietnam Co., LTD</t>
        </is>
      </c>
      <c r="E5614" s="10" t="inlineStr">
        <is>
          <t>Lương:26 Tr - 30 Tr VND</t>
        </is>
      </c>
      <c r="F5614" s="10" t="inlineStr">
        <is>
          <t>Hồ Chí Minh</t>
        </is>
      </c>
      <c r="G5614" s="10" t="inlineStr">
        <is>
          <t>6</t>
        </is>
      </c>
      <c r="H5614" s="10" t="inlineStr">
        <is>
          <t>23/03/2026</t>
        </is>
      </c>
      <c r="I5614" s="10" t="inlineStr">
        <is>
          <t>17/03/2026</t>
        </is>
      </c>
      <c r="J5614" s="10" t="inlineStr">
        <is>
          <t>Kiến trúc, Xây dựng</t>
        </is>
      </c>
      <c r="K5614" s="10" t="inlineStr">
        <is>
          <t>Trên 5 Năm</t>
        </is>
      </c>
      <c r="L5614" s="11">
        <f>HYPERLINK("https://careerviet.vn/vi/tim-viec-lam/127082-mechanical-equipment-design-engineer-construction.35C66554.html","Xem chi tiết")</f>
        <v/>
      </c>
      <c r="M5614" s="10" t="n"/>
    </row>
    <row r="5615">
      <c r="B5615" s="7" t="n">
        <v>5613</v>
      </c>
      <c r="C5615" t="inlineStr">
        <is>
          <t>CVCC Đấu thầu Hợp đồng tư vấn Thiết kế</t>
        </is>
      </c>
      <c r="D5615" t="inlineStr">
        <is>
          <t>Công Ty Cổ Phần Tập Đoàn Đầu Tư Địa Ốc No Va</t>
        </is>
      </c>
      <c r="E5615" t="inlineStr">
        <is>
          <t>Lương:Cạnh tranh</t>
        </is>
      </c>
      <c r="F5615" t="inlineStr">
        <is>
          <t>Hồ Chí Minh</t>
        </is>
      </c>
      <c r="G5615" t="inlineStr">
        <is>
          <t>6</t>
        </is>
      </c>
      <c r="H5615" t="inlineStr">
        <is>
          <t>23/03/2026</t>
        </is>
      </c>
      <c r="I5615" t="inlineStr">
        <is>
          <t>17/03/2026</t>
        </is>
      </c>
      <c r="J5615" t="inlineStr">
        <is>
          <t>Kiến trúc, Xây dựng, Bất động sản</t>
        </is>
      </c>
      <c r="K5615" t="inlineStr">
        <is>
          <t>5 - 20 Năm</t>
        </is>
      </c>
      <c r="L5615" s="8">
        <f>HYPERLINK("https://careerviet.vn/vi/tim-viec-lam/cvcc-dau-thau-hop-dong-tu-van-thiet-ke.35C63A5D.html","Xem chi tiết")</f>
        <v/>
      </c>
    </row>
    <row r="5616">
      <c r="B5616" s="9" t="n">
        <v>5614</v>
      </c>
      <c r="C5616" s="10" t="inlineStr">
        <is>
          <t>Quality Assurance (E&amp;E)</t>
        </is>
      </c>
      <c r="D5616" s="10" t="inlineStr">
        <is>
          <t>CÔNG TY TNHH DỊCH VỤ VÀ CÔNG NGHỆ HELMSMAN</t>
        </is>
      </c>
      <c r="E5616" s="10" t="inlineStr">
        <is>
          <t>Lương:800 - 1.000 USD</t>
        </is>
      </c>
      <c r="F5616" s="10" t="inlineStr">
        <is>
          <t>Hồ Chí Minh</t>
        </is>
      </c>
      <c r="G5616" s="10" t="inlineStr">
        <is>
          <t>6</t>
        </is>
      </c>
      <c r="H5616" s="10" t="inlineStr">
        <is>
          <t>23/03/2026</t>
        </is>
      </c>
      <c r="I5616" s="10" t="inlineStr">
        <is>
          <t>17/03/2026</t>
        </is>
      </c>
      <c r="J5616" s="10" t="inlineStr">
        <is>
          <t>Hàng gia dụng / Chăm sóc cá nhân, Điện / Điện tử / Điện lạnh / Điện công nghiệp, Quản lý chất lượng (QA/QC)</t>
        </is>
      </c>
      <c r="K5616" s="10" t="inlineStr">
        <is>
          <t>1 - 3 Năm</t>
        </is>
      </c>
      <c r="L5616" s="11">
        <f>HYPERLINK("https://careerviet.vn/vi/tim-viec-lam/quality-assurance-e-e.35C66537.html","Xem chi tiết")</f>
        <v/>
      </c>
      <c r="M5616" s="10" t="n"/>
    </row>
    <row r="5617">
      <c r="B5617" s="7" t="n">
        <v>5615</v>
      </c>
      <c r="C5617" t="inlineStr">
        <is>
          <t>126484 - Customer Service Staff - Logistics</t>
        </is>
      </c>
      <c r="D5617" t="inlineStr">
        <is>
          <t>RGF HR Agent Vietnam Co., LTD</t>
        </is>
      </c>
      <c r="E5617" t="inlineStr">
        <is>
          <t>Lương:16 Tr - 20 Tr VND</t>
        </is>
      </c>
      <c r="F5617" t="inlineStr">
        <is>
          <t>Hà Nội</t>
        </is>
      </c>
      <c r="G5617" t="inlineStr">
        <is>
          <t>6</t>
        </is>
      </c>
      <c r="H5617" t="inlineStr">
        <is>
          <t>23/03/2026</t>
        </is>
      </c>
      <c r="I5617" t="inlineStr">
        <is>
          <t>17/03/2026</t>
        </is>
      </c>
      <c r="J5617" t="inlineStr">
        <is>
          <t>Dịch vụ khách hàng, Vận chuyển / Giao nhận / Kho vận</t>
        </is>
      </c>
      <c r="K5617" t="inlineStr">
        <is>
          <t>Trên 3 Năm</t>
        </is>
      </c>
      <c r="L5617" s="8">
        <f>HYPERLINK("https://careerviet.vn/vi/tim-viec-lam/126484-customer-service-staff-logistics.35C66544.html","Xem chi tiết")</f>
        <v/>
      </c>
    </row>
    <row r="5618">
      <c r="B5618" s="9" t="n">
        <v>5616</v>
      </c>
      <c r="C5618" s="10" t="inlineStr">
        <is>
          <t>TP Kinh Doanh Thế Chấp - TP.HCM - ID1465</t>
        </is>
      </c>
      <c r="D5618" s="10" t="inlineStr">
        <is>
          <t>Ngân Hàng TMCP Việt Nam Thịnh Vượng - VPBANK</t>
        </is>
      </c>
      <c r="E5618" s="10" t="inlineStr">
        <is>
          <t>Lương:Cạnh tranh</t>
        </is>
      </c>
      <c r="F5618" s="10" t="inlineStr">
        <is>
          <t>Hồ Chí Minh</t>
        </is>
      </c>
      <c r="G5618" s="10" t="inlineStr">
        <is>
          <t>6</t>
        </is>
      </c>
      <c r="H5618" s="10" t="inlineStr">
        <is>
          <t>23/03/2026</t>
        </is>
      </c>
      <c r="I5618" s="10" t="inlineStr">
        <is>
          <t>17/03/2026</t>
        </is>
      </c>
      <c r="J5618" s="10" t="inlineStr">
        <is>
          <t>Bán hàng / Kinh doanh, Ngân hàng</t>
        </is>
      </c>
      <c r="K5618" s="10" t="inlineStr">
        <is>
          <t>3 - 4 Năm</t>
        </is>
      </c>
      <c r="L5618" s="11">
        <f>HYPERLINK("https://careerviet.vn/vi/tim-viec-lam/tp-kinh-doanh-the-chap-tp-hcm-id1465.35C66622.html","Xem chi tiết")</f>
        <v/>
      </c>
      <c r="M5618" s="10" t="n"/>
    </row>
    <row r="5619">
      <c r="B5619" s="7" t="n">
        <v>5617</v>
      </c>
      <c r="C5619" t="inlineStr">
        <is>
          <t>QMS Engineer (Supplier audit) - Cu Chi (Having shuttle bus)</t>
        </is>
      </c>
      <c r="D5619" t="inlineStr">
        <is>
          <t>Techtronic Industries Vietnam Manufacturing Company Limited</t>
        </is>
      </c>
      <c r="E5619" t="inlineStr">
        <is>
          <t>Lương:Cạnh tranh</t>
        </is>
      </c>
      <c r="F5619" t="inlineStr">
        <is>
          <t>Hồ Chí Minh</t>
        </is>
      </c>
      <c r="G5619" t="inlineStr">
        <is>
          <t>6</t>
        </is>
      </c>
      <c r="H5619" t="inlineStr">
        <is>
          <t>23/03/2026</t>
        </is>
      </c>
      <c r="I5619" t="inlineStr">
        <is>
          <t>17/03/2026</t>
        </is>
      </c>
      <c r="J5619" t="inlineStr">
        <is>
          <t>Quản lý chất lượng (QA/QC), Sản xuất / Vận hành sản xuất, Điện / Điện tử / Điện lạnh / Điện công nghiệp</t>
        </is>
      </c>
      <c r="K5619" t="inlineStr">
        <is>
          <t>N/A</t>
        </is>
      </c>
      <c r="L5619" s="8">
        <f>HYPERLINK("https://careerviet.vn/vi/tim-viec-lam/qms-engineer-supplier-audit-cu-chi-having-shuttle-bus.35C66514.html","Xem chi tiết")</f>
        <v/>
      </c>
    </row>
    <row r="5620">
      <c r="B5620" s="9" t="n">
        <v>5618</v>
      </c>
      <c r="C5620" s="10" t="inlineStr">
        <is>
          <t>Review Management (Customer Service, English Required)</t>
        </is>
      </c>
      <c r="D5620" s="10" t="inlineStr">
        <is>
          <t>CTY TNHH YAOYAO VIETNAM INFO TECH</t>
        </is>
      </c>
      <c r="E5620" s="10" t="inlineStr">
        <is>
          <t>Lương:12 Tr - 16 Tr VND</t>
        </is>
      </c>
      <c r="F5620" s="10" t="inlineStr">
        <is>
          <t>Hồ Chí Minh</t>
        </is>
      </c>
      <c r="G5620" s="10" t="inlineStr">
        <is>
          <t>6</t>
        </is>
      </c>
      <c r="H5620" s="10" t="inlineStr">
        <is>
          <t>23/03/2026</t>
        </is>
      </c>
      <c r="I5620" s="10" t="inlineStr">
        <is>
          <t>17/03/2026</t>
        </is>
      </c>
      <c r="J5620" s="10" t="inlineStr">
        <is>
          <t>Thương mại điện tử</t>
        </is>
      </c>
      <c r="K5620" s="10" t="inlineStr">
        <is>
          <t>1 - 3 Năm</t>
        </is>
      </c>
      <c r="L5620" s="11">
        <f>HYPERLINK("https://careerviet.vn/vi/tim-viec-lam/review-management-customer-service-english-required.35C66499.html","Xem chi tiết")</f>
        <v/>
      </c>
      <c r="M5620" s="10" t="n"/>
    </row>
    <row r="5621">
      <c r="B5621" s="7" t="n">
        <v>5619</v>
      </c>
      <c r="C5621" t="inlineStr">
        <is>
          <t>127108 - Phó Phòng Kinh Doanh - Mảng Bảo Hiểm (Phi Nhân Thọ)</t>
        </is>
      </c>
      <c r="D5621" t="inlineStr">
        <is>
          <t>RGF HR Agent Vietnam Co., LTD</t>
        </is>
      </c>
      <c r="E5621" t="inlineStr">
        <is>
          <t>Lương:Cạnh tranh</t>
        </is>
      </c>
      <c r="F5621" t="inlineStr">
        <is>
          <t>Hà Nội</t>
        </is>
      </c>
      <c r="G5621" t="inlineStr">
        <is>
          <t>6</t>
        </is>
      </c>
      <c r="H5621" t="inlineStr">
        <is>
          <t>23/03/2026</t>
        </is>
      </c>
      <c r="I5621" t="inlineStr">
        <is>
          <t>17/03/2026</t>
        </is>
      </c>
      <c r="J5621" t="inlineStr">
        <is>
          <t>Bán hàng / Kinh doanh, Tư vấn, Bảo hiểm</t>
        </is>
      </c>
      <c r="K5621" t="inlineStr">
        <is>
          <t>2 - 3 Năm</t>
        </is>
      </c>
      <c r="L5621" s="8">
        <f>HYPERLINK("https://careerviet.vn/vi/tim-viec-lam/127108-pho-phong-kinh-doanh-mang-bao-hiem-phi-nhan-tho.35C66517.html","Xem chi tiết")</f>
        <v/>
      </c>
    </row>
    <row r="5622">
      <c r="B5622" s="9" t="n">
        <v>5620</v>
      </c>
      <c r="C5622" s="10" t="inlineStr">
        <is>
          <t>KỸ THUẬT VIÊN BẢO TRÌ SỬA CHỮA</t>
        </is>
      </c>
      <c r="D5622" s="10" t="inlineStr">
        <is>
          <t>CÔNG TY CỔ PHẦN RIVIERA</t>
        </is>
      </c>
      <c r="E5622" s="10" t="inlineStr">
        <is>
          <t>Lương:400 - 700 USD</t>
        </is>
      </c>
      <c r="F5622" s="10" t="inlineStr">
        <is>
          <t>Hồ Chí Minh</t>
        </is>
      </c>
      <c r="G5622" s="10" t="inlineStr">
        <is>
          <t>6</t>
        </is>
      </c>
      <c r="H5622" s="10" t="inlineStr">
        <is>
          <t>23/03/2026</t>
        </is>
      </c>
      <c r="I5622" s="10" t="inlineStr">
        <is>
          <t>17/03/2026</t>
        </is>
      </c>
      <c r="J5622" s="10" t="inlineStr">
        <is>
          <t>Dịch vụ khách hàng, Bảo trì / Sửa chữa, Bất động sản</t>
        </is>
      </c>
      <c r="K5622" s="10" t="inlineStr">
        <is>
          <t>2 - 3 Năm</t>
        </is>
      </c>
      <c r="L5622" s="11">
        <f>HYPERLINK("https://careerviet.vn/vi/tim-viec-lam/ky-thuat-vien-bao-tri-sua-chua.35C638DE.html","Xem chi tiết")</f>
        <v/>
      </c>
      <c r="M5622" s="10" t="n"/>
    </row>
    <row r="5623">
      <c r="B5623" s="7" t="n">
        <v>5621</v>
      </c>
      <c r="C5623" t="inlineStr">
        <is>
          <t>116648 - Field Sales Executive (Hard lines) - Professional Service</t>
        </is>
      </c>
      <c r="D5623" t="inlineStr">
        <is>
          <t>RGF HR Agent Vietnam Co., LTD</t>
        </is>
      </c>
      <c r="E5623" t="inlineStr">
        <is>
          <t>Lương:20 Tr - 25 Tr VND</t>
        </is>
      </c>
      <c r="F5623" t="inlineStr">
        <is>
          <t>Hồ Chí Minh</t>
        </is>
      </c>
      <c r="G5623" t="inlineStr">
        <is>
          <t>6</t>
        </is>
      </c>
      <c r="H5623" t="inlineStr">
        <is>
          <t>23/03/2026</t>
        </is>
      </c>
      <c r="I5623" t="inlineStr">
        <is>
          <t>17/03/2026</t>
        </is>
      </c>
      <c r="J5623" t="inlineStr">
        <is>
          <t>Bán hàng / Kinh doanh</t>
        </is>
      </c>
      <c r="K5623" t="inlineStr">
        <is>
          <t>3 - 5 Năm</t>
        </is>
      </c>
      <c r="L5623" s="8">
        <f>HYPERLINK("https://careerviet.vn/vi/tim-viec-lam/116648-field-sales-executive-hard-lines-professional-service.35C66541.html","Xem chi tiết")</f>
        <v/>
      </c>
    </row>
    <row r="5624">
      <c r="B5624" s="9" t="n">
        <v>5622</v>
      </c>
      <c r="C5624" s="10" t="inlineStr">
        <is>
          <t>Kỹ sư Revit &amp; BIM 27527 - Quận 1, HCM</t>
        </is>
      </c>
      <c r="D5624" s="10" t="inlineStr">
        <is>
          <t>Công Ty TNHH Reeracoen Việt Nam</t>
        </is>
      </c>
      <c r="E5624" s="10" t="inlineStr">
        <is>
          <t>Lương:15 Tr - 30 Tr VND</t>
        </is>
      </c>
      <c r="F5624" s="10" t="inlineStr">
        <is>
          <t>Hồ Chí Minh</t>
        </is>
      </c>
      <c r="G5624" s="10" t="inlineStr">
        <is>
          <t>6</t>
        </is>
      </c>
      <c r="H5624" s="10" t="inlineStr">
        <is>
          <t>23/03/2026</t>
        </is>
      </c>
      <c r="I5624" s="10" t="inlineStr">
        <is>
          <t>17/03/2026</t>
        </is>
      </c>
      <c r="J5624" s="10" t="inlineStr">
        <is>
          <t>Kiến trúc, Xây dựng, Nội ngoại thất</t>
        </is>
      </c>
      <c r="K5624" s="10" t="inlineStr">
        <is>
          <t>Trên 2 Năm</t>
        </is>
      </c>
      <c r="L5624" s="11">
        <f>HYPERLINK("https://careerviet.vn/vi/tim-viec-lam/ky-su-revit-bim-27527-quan-1-hcm.35C66612.html","Xem chi tiết")</f>
        <v/>
      </c>
      <c r="M5624" s="10" t="n"/>
    </row>
    <row r="5625">
      <c r="B5625" s="7" t="n">
        <v>5623</v>
      </c>
      <c r="C5625" t="inlineStr">
        <is>
          <t>NHÂN VIÊN XỬ LÝ CHỨNG TỪ</t>
        </is>
      </c>
      <c r="D5625" t="inlineStr">
        <is>
          <t>Công Ty Cổ phần Tập Đoàn KIDO</t>
        </is>
      </c>
      <c r="E5625" t="inlineStr">
        <is>
          <t>Lương:8 Tr - 10 Tr VND</t>
        </is>
      </c>
      <c r="F5625" t="inlineStr">
        <is>
          <t>Hồ Chí Minh</t>
        </is>
      </c>
      <c r="G5625" t="inlineStr">
        <is>
          <t>6</t>
        </is>
      </c>
      <c r="H5625" t="inlineStr">
        <is>
          <t>23/03/2026</t>
        </is>
      </c>
      <c r="I5625" t="inlineStr">
        <is>
          <t>17/03/2026</t>
        </is>
      </c>
      <c r="J5625" t="inlineStr">
        <is>
          <t>Vận chuyển / Giao nhận / Kho vận</t>
        </is>
      </c>
      <c r="K5625" t="inlineStr">
        <is>
          <t>1 - 2 Năm</t>
        </is>
      </c>
      <c r="L5625" s="8">
        <f>HYPERLINK("https://careerviet.vn/vi/tim-viec-lam/nhan-vien-xu-ly-chung-tu.35C665F1.html","Xem chi tiết")</f>
        <v/>
      </c>
    </row>
    <row r="5626">
      <c r="B5626" s="9" t="n">
        <v>5624</v>
      </c>
      <c r="C5626" s="10" t="inlineStr">
        <is>
          <t>Nhân Viên Cơ Khí</t>
        </is>
      </c>
      <c r="D5626" s="10" t="inlineStr">
        <is>
          <t>Công Ty Cổ Phần Vina Logistics</t>
        </is>
      </c>
      <c r="E5626" s="10" t="inlineStr">
        <is>
          <t>Lương:Cạnh tranh</t>
        </is>
      </c>
      <c r="F5626" s="10" t="inlineStr">
        <is>
          <t>Bà Rịa - Vũng Tàu</t>
        </is>
      </c>
      <c r="G5626" s="10" t="inlineStr">
        <is>
          <t>6</t>
        </is>
      </c>
      <c r="H5626" s="10" t="inlineStr">
        <is>
          <t>23/03/2026</t>
        </is>
      </c>
      <c r="I5626" s="10" t="inlineStr">
        <is>
          <t>17/03/2026</t>
        </is>
      </c>
      <c r="J5626" s="10" t="inlineStr">
        <is>
          <t>Bảo trì / Sửa chữa</t>
        </is>
      </c>
      <c r="K5626" s="10" t="inlineStr">
        <is>
          <t>Trên 1 Năm</t>
        </is>
      </c>
      <c r="L5626" s="11">
        <f>HYPERLINK("https://careerviet.vn/vi/tim-viec-lam/nhan-vien-co-khi.35C664AD.html","Xem chi tiết")</f>
        <v/>
      </c>
      <c r="M5626" s="10" t="n"/>
    </row>
    <row r="5627">
      <c r="B5627" s="7" t="n">
        <v>5625</v>
      </c>
      <c r="C5627" t="inlineStr">
        <is>
          <t>Kỹ Sư Bản Vẽ Thi Công (Shop Drawings) PCCC</t>
        </is>
      </c>
      <c r="D5627" t="inlineStr">
        <is>
          <t>CÔNG TY TNHH MTV BCA - THĂNG LONG</t>
        </is>
      </c>
      <c r="E5627" t="inlineStr">
        <is>
          <t>Lương:20 Tr - 25 Tr VND</t>
        </is>
      </c>
      <c r="F5627" t="inlineStr">
        <is>
          <t>Sóc TrăngHồ Chí Minh</t>
        </is>
      </c>
      <c r="G5627" t="inlineStr">
        <is>
          <t>6</t>
        </is>
      </c>
      <c r="H5627" t="inlineStr">
        <is>
          <t>23/03/2026</t>
        </is>
      </c>
      <c r="I5627" t="inlineStr">
        <is>
          <t>17/03/2026</t>
        </is>
      </c>
      <c r="J5627" t="inlineStr">
        <is>
          <t>Điện / Điện tử / Điện lạnh / Điện công nghiệp, Kiến trúc, Xây dựng</t>
        </is>
      </c>
      <c r="K5627" t="inlineStr">
        <is>
          <t>3 - 5 Năm</t>
        </is>
      </c>
      <c r="L5627" s="8">
        <f>HYPERLINK("https://careerviet.vn/vi/tim-viec-lam/ky-su-ban-ve-thi-cong-shop-drawings-pccc.35C6379D.html","Xem chi tiết")</f>
        <v/>
      </c>
    </row>
    <row r="5628">
      <c r="B5628" s="9" t="n">
        <v>5626</v>
      </c>
      <c r="C5628" s="10" t="inlineStr">
        <is>
          <t>[HÀ NỘI] NHÂN VIÊN KỸ THUẬT &amp; BẢO TRÌ HỆ THỐNG MÁY CHIẾU PHIM</t>
        </is>
      </c>
      <c r="D5628" s="10" t="inlineStr">
        <is>
          <t>CÔNG TY TNHH LOTTECINEMA VIỆT NAM</t>
        </is>
      </c>
      <c r="E5628" s="10" t="inlineStr">
        <is>
          <t>Lương:Cạnh tranh</t>
        </is>
      </c>
      <c r="F5628" s="10" t="inlineStr">
        <is>
          <t>Hà Nội</t>
        </is>
      </c>
      <c r="G5628" s="10" t="inlineStr">
        <is>
          <t>6</t>
        </is>
      </c>
      <c r="H5628" s="10" t="inlineStr">
        <is>
          <t>23/03/2026</t>
        </is>
      </c>
      <c r="I5628" s="10" t="inlineStr">
        <is>
          <t>17/03/2026</t>
        </is>
      </c>
      <c r="J5628" s="10" t="inlineStr">
        <is>
          <t>CNTT - Phần cứng / Mạng, Bảo trì / Sửa chữa, Điện / Điện tử / Điện lạnh / Điện công nghiệp</t>
        </is>
      </c>
      <c r="K5628" s="10" t="inlineStr">
        <is>
          <t>2 - 5 Năm</t>
        </is>
      </c>
      <c r="L5628" s="11">
        <f>HYPERLINK("https://careerviet.vn/vi/tim-viec-lam/ha-noi-nhan-vien-ky-thuat-bao-tri-he-thong-may-chieu-phim.35C63A28.html","Xem chi tiết")</f>
        <v/>
      </c>
      <c r="M5628" s="10" t="n"/>
    </row>
    <row r="5629">
      <c r="B5629" s="7" t="n">
        <v>5627</v>
      </c>
      <c r="C5629" t="inlineStr">
        <is>
          <t>Automation Assistant Manager</t>
        </is>
      </c>
      <c r="D5629" t="inlineStr">
        <is>
          <t>Công ty TNHH framas Korea Vina</t>
        </is>
      </c>
      <c r="E5629" t="inlineStr">
        <is>
          <t>Lương:Cạnh tranh</t>
        </is>
      </c>
      <c r="F5629" t="inlineStr">
        <is>
          <t>Đồng Nai</t>
        </is>
      </c>
      <c r="G5629" t="inlineStr">
        <is>
          <t>6</t>
        </is>
      </c>
      <c r="H5629" t="inlineStr">
        <is>
          <t>23/03/2026</t>
        </is>
      </c>
      <c r="I5629" t="inlineStr">
        <is>
          <t>17/03/2026</t>
        </is>
      </c>
      <c r="J5629" t="inlineStr">
        <is>
          <t>Cơ khí / Ô tô / Tự động hóa, Điện / Điện tử / Điện lạnh / Điện công nghiệp, Bảo trì / Sửa chữa</t>
        </is>
      </c>
      <c r="K5629" t="inlineStr">
        <is>
          <t>3 - 5 Năm</t>
        </is>
      </c>
      <c r="L5629" s="8">
        <f>HYPERLINK("https://careerviet.vn/vi/tim-viec-lam/automation-assistant-manager.35C66456.html","Xem chi tiết")</f>
        <v/>
      </c>
    </row>
    <row r="5630">
      <c r="B5630" s="9" t="n">
        <v>5628</v>
      </c>
      <c r="C5630" s="10" t="inlineStr">
        <is>
          <t>Marketing Manager</t>
        </is>
      </c>
      <c r="D5630" s="10" t="inlineStr">
        <is>
          <t>CÔNG TY TNHH DỊCH VỤ DU LỊCH VÀ THƯƠNG MẠI HẠ LONG THỊNH VƯỢNG</t>
        </is>
      </c>
      <c r="E5630" s="10" t="inlineStr">
        <is>
          <t>Lương:Cạnh tranh</t>
        </is>
      </c>
      <c r="F5630" s="10" t="inlineStr">
        <is>
          <t>Hà Nội</t>
        </is>
      </c>
      <c r="G5630" s="10" t="inlineStr">
        <is>
          <t>6</t>
        </is>
      </c>
      <c r="H5630" s="10" t="inlineStr">
        <is>
          <t>23/03/2026</t>
        </is>
      </c>
      <c r="I5630" s="10" t="inlineStr">
        <is>
          <t>17/03/2026</t>
        </is>
      </c>
      <c r="J5630" s="10" t="inlineStr">
        <is>
          <t>Tiếp thị / Marketing, Du lịch, Quảng cáo / Đối ngoại / Truyền Thông</t>
        </is>
      </c>
      <c r="K5630" s="10" t="inlineStr">
        <is>
          <t>3 - 5 Năm</t>
        </is>
      </c>
      <c r="L5630" s="11">
        <f>HYPERLINK("https://careerviet.vn/vi/tim-viec-lam/marketing-manager.35C63AC0.html","Xem chi tiết")</f>
        <v/>
      </c>
      <c r="M5630" s="10" t="n"/>
    </row>
    <row r="5631">
      <c r="B5631" s="7" t="n">
        <v>5629</v>
      </c>
      <c r="C5631" t="inlineStr">
        <is>
          <t>New Business Development Manager</t>
        </is>
      </c>
      <c r="D5631" t="inlineStr">
        <is>
          <t>Huhtamaki (Vietnam) Ltd.</t>
        </is>
      </c>
      <c r="E5631" t="inlineStr">
        <is>
          <t>Lương:Cạnh tranh</t>
        </is>
      </c>
      <c r="F5631" t="inlineStr">
        <is>
          <t>Bình Dương</t>
        </is>
      </c>
      <c r="G5631" t="inlineStr">
        <is>
          <t>6</t>
        </is>
      </c>
      <c r="H5631" t="inlineStr">
        <is>
          <t>23/03/2026</t>
        </is>
      </c>
      <c r="I5631" t="inlineStr">
        <is>
          <t>17/03/2026</t>
        </is>
      </c>
      <c r="J5631" t="inlineStr">
        <is>
          <t>Bán hàng / Kinh doanh, Bán Hàng Kỹ Thuật, In ấn / Xuất bản</t>
        </is>
      </c>
      <c r="K5631" t="inlineStr">
        <is>
          <t>5 - 10 Năm</t>
        </is>
      </c>
      <c r="L5631" s="8">
        <f>HYPERLINK("https://careerviet.vn/vi/tim-viec-lam/new-business-development-manager.35C66472.html","Xem chi tiết")</f>
        <v/>
      </c>
    </row>
    <row r="5632">
      <c r="B5632" s="9" t="n">
        <v>5630</v>
      </c>
      <c r="C5632" s="10" t="inlineStr">
        <is>
          <t>Kế Toán Tổng Hợp/ Kế toán trưởng</t>
        </is>
      </c>
      <c r="D5632" s="10" t="inlineStr">
        <is>
          <t>Công ty TNHH Xuất Nhập khẩu và Thương mại  THH</t>
        </is>
      </c>
      <c r="E5632" s="10" t="inlineStr">
        <is>
          <t>Lương:15 Tr - 25 Tr VND</t>
        </is>
      </c>
      <c r="F5632" s="10" t="inlineStr">
        <is>
          <t>Hà Nội</t>
        </is>
      </c>
      <c r="G5632" s="10" t="inlineStr">
        <is>
          <t>6</t>
        </is>
      </c>
      <c r="H5632" s="10" t="inlineStr">
        <is>
          <t>23/03/2026</t>
        </is>
      </c>
      <c r="I5632" s="10" t="inlineStr">
        <is>
          <t>17/03/2026</t>
        </is>
      </c>
      <c r="J5632" s="10" t="inlineStr">
        <is>
          <t>Luật / Pháp lý, Kế toán / Kiểm toán, Tài chính / Đầu tư</t>
        </is>
      </c>
      <c r="K5632" s="10" t="inlineStr">
        <is>
          <t>3 - 5 Năm</t>
        </is>
      </c>
      <c r="L5632" s="11">
        <f>HYPERLINK("https://careerviet.vn/vi/tim-viec-lam/ke-toan-tong-hop-ke-toan-truong.35C664CC.html","Xem chi tiết")</f>
        <v/>
      </c>
      <c r="M5632" s="10" t="n"/>
    </row>
    <row r="5633">
      <c r="B5633" s="7" t="n">
        <v>5631</v>
      </c>
      <c r="C5633" t="inlineStr">
        <is>
          <t>Giám Đốc Chi Nhánh - ID1026</t>
        </is>
      </c>
      <c r="D5633" t="inlineStr">
        <is>
          <t>Ngân Hàng TMCP Việt Nam Thịnh Vượng - VPBANK</t>
        </is>
      </c>
      <c r="E5633" t="inlineStr">
        <is>
          <t>Lương:Cạnh tranh</t>
        </is>
      </c>
      <c r="F5633" t="inlineStr">
        <is>
          <t>Hồ Chí Minh</t>
        </is>
      </c>
      <c r="G5633" t="inlineStr">
        <is>
          <t>6</t>
        </is>
      </c>
      <c r="H5633" t="inlineStr">
        <is>
          <t>23/03/2026</t>
        </is>
      </c>
      <c r="I5633" t="inlineStr">
        <is>
          <t>17/03/2026</t>
        </is>
      </c>
      <c r="J5633" t="inlineStr">
        <is>
          <t>Bán hàng / Kinh doanh, Ngân hàng</t>
        </is>
      </c>
      <c r="K5633" t="inlineStr">
        <is>
          <t>5 - 6 Năm</t>
        </is>
      </c>
      <c r="L5633" s="8">
        <f>HYPERLINK("https://careerviet.vn/vi/tim-viec-lam/giam-doc-chi-nhanh-id1026.35C6661D.html","Xem chi tiết")</f>
        <v/>
      </c>
    </row>
    <row r="5634">
      <c r="B5634" s="9" t="n">
        <v>5632</v>
      </c>
      <c r="C5634" s="10" t="inlineStr">
        <is>
          <t>Chuyên viên cao cấp Phát triển Giải pháp Ngân hàng số (iOS .NET developer)</t>
        </is>
      </c>
      <c r="D5634" s="10" t="inlineStr">
        <is>
          <t>Ngân Hàng TMCP Quốc Tế Việt Nam</t>
        </is>
      </c>
      <c r="E5634" s="10" t="inlineStr">
        <is>
          <t>Lương:Cạnh tranh</t>
        </is>
      </c>
      <c r="F5634" s="10" t="inlineStr">
        <is>
          <t>Hà Nội</t>
        </is>
      </c>
      <c r="G5634" s="10" t="inlineStr">
        <is>
          <t>6</t>
        </is>
      </c>
      <c r="H5634" s="10" t="inlineStr">
        <is>
          <t>23/03/2026</t>
        </is>
      </c>
      <c r="I5634" s="10" t="inlineStr">
        <is>
          <t>17/03/2026</t>
        </is>
      </c>
      <c r="J5634" s="10" t="inlineStr">
        <is>
          <t>Ngân hàng, CNTT - Phần mềm</t>
        </is>
      </c>
      <c r="K5634" s="10" t="inlineStr">
        <is>
          <t>Trên 2 Năm</t>
        </is>
      </c>
      <c r="L5634" s="11">
        <f>HYPERLINK("https://careerviet.vn/vi/tim-viec-lam/chuyen-vien-cao-cap-phat-trien-giai-phap-ngan-hang-so-ios-net-developer.35C664B2.html","Xem chi tiết")</f>
        <v/>
      </c>
      <c r="M5634" s="10" t="n"/>
    </row>
    <row r="5635">
      <c r="B5635" s="7" t="n">
        <v>5633</v>
      </c>
      <c r="C5635" t="inlineStr">
        <is>
          <t>124572 - Trưởng Phòng Kế Toán - Ngành Sản Xuất</t>
        </is>
      </c>
      <c r="D5635" t="inlineStr">
        <is>
          <t>RGF HR Agent Vietnam Co., LTD</t>
        </is>
      </c>
      <c r="E5635" t="inlineStr">
        <is>
          <t>Lương:30 Tr - 50 Tr VND</t>
        </is>
      </c>
      <c r="F5635" t="inlineStr">
        <is>
          <t>Hưng Yên</t>
        </is>
      </c>
      <c r="G5635" t="inlineStr">
        <is>
          <t>6</t>
        </is>
      </c>
      <c r="H5635" t="inlineStr">
        <is>
          <t>23/03/2026</t>
        </is>
      </c>
      <c r="I5635" t="inlineStr">
        <is>
          <t>17/03/2026</t>
        </is>
      </c>
      <c r="J5635" t="inlineStr">
        <is>
          <t>Kế toán / Kiểm toán</t>
        </is>
      </c>
      <c r="K5635" t="inlineStr">
        <is>
          <t>Trên 7 Năm</t>
        </is>
      </c>
      <c r="L5635" s="8">
        <f>HYPERLINK("https://careerviet.vn/vi/tim-viec-lam/124572-truong-phong-ke-toan-nganh-san-xuat.35C6652C.html","Xem chi tiết")</f>
        <v/>
      </c>
    </row>
    <row r="5636">
      <c r="B5636" s="9" t="n">
        <v>5634</v>
      </c>
      <c r="C5636" s="10" t="inlineStr">
        <is>
          <t>Nhân viên kiểm tra thử nghiệm</t>
        </is>
      </c>
      <c r="D5636" s="10" t="inlineStr">
        <is>
          <t>Nhà máy Hóa chất Biên Hòa</t>
        </is>
      </c>
      <c r="E5636" s="10" t="inlineStr">
        <is>
          <t>Lương:10 Tr - 12 Tr VND</t>
        </is>
      </c>
      <c r="F5636" s="10" t="inlineStr">
        <is>
          <t>Đồng Nai</t>
        </is>
      </c>
      <c r="G5636" s="10" t="inlineStr">
        <is>
          <t>6</t>
        </is>
      </c>
      <c r="H5636" s="10" t="inlineStr">
        <is>
          <t>23/03/2026</t>
        </is>
      </c>
      <c r="I5636" s="10" t="inlineStr">
        <is>
          <t>17/03/2026</t>
        </is>
      </c>
      <c r="J5636" s="10" t="inlineStr">
        <is>
          <t>Hóa học</t>
        </is>
      </c>
      <c r="K5636" s="10" t="inlineStr">
        <is>
          <t>Trên 2 Năm</t>
        </is>
      </c>
      <c r="L5636" s="11">
        <f>HYPERLINK("https://careerviet.vn/vi/tim-viec-lam/nhan-vien-kiem-tra-thu-nghiem.35C66589.html","Xem chi tiết")</f>
        <v/>
      </c>
      <c r="M5636" s="10" t="n"/>
    </row>
    <row r="5637">
      <c r="B5637" s="7" t="n">
        <v>5635</v>
      </c>
      <c r="C5637" t="inlineStr">
        <is>
          <t>Accounting Staff (Debit notes)</t>
        </is>
      </c>
      <c r="D5637" t="inlineStr">
        <is>
          <t>CÔNG TY CỔ PHẦN THƯƠNG MẠI DỊCH VỤ SẢN XUẤT HƯƠNG THỦY</t>
        </is>
      </c>
      <c r="E5637" t="inlineStr">
        <is>
          <t>Lương:11 Tr - 15 Tr VND</t>
        </is>
      </c>
      <c r="F5637" t="inlineStr">
        <is>
          <t>Hồ Chí Minh</t>
        </is>
      </c>
      <c r="G5637" t="inlineStr">
        <is>
          <t>6</t>
        </is>
      </c>
      <c r="H5637" t="inlineStr">
        <is>
          <t>22/03/2026</t>
        </is>
      </c>
      <c r="I5637" t="inlineStr">
        <is>
          <t>17/03/2026</t>
        </is>
      </c>
      <c r="J5637" t="inlineStr">
        <is>
          <t>Bán hàng / Kinh doanh, Bán lẻ / Bán sỉ, Kế toán / Kiểm toán</t>
        </is>
      </c>
      <c r="K5637" t="inlineStr">
        <is>
          <t>1 - 3 Năm</t>
        </is>
      </c>
      <c r="L5637" s="8">
        <f>HYPERLINK("https://careerviet.vn/vi/tim-viec-lam/accounting-staff-debit-notes.35C664D0.html","Xem chi tiết")</f>
        <v/>
      </c>
    </row>
    <row r="5638">
      <c r="B5638" s="9" t="n">
        <v>5636</v>
      </c>
      <c r="C5638" s="10" t="inlineStr">
        <is>
          <t>Account Manager</t>
        </is>
      </c>
      <c r="D5638" s="10" t="inlineStr">
        <is>
          <t>CÔNG TY CỔ PHẨN TẬP ĐOÀN MK</t>
        </is>
      </c>
      <c r="E5638" s="10" t="inlineStr">
        <is>
          <t>Lương:10 Tr - 25 Tr VND</t>
        </is>
      </c>
      <c r="F5638" s="10" t="inlineStr">
        <is>
          <t>Hà Nội</t>
        </is>
      </c>
      <c r="G5638" s="10" t="inlineStr">
        <is>
          <t>6</t>
        </is>
      </c>
      <c r="H5638" s="10" t="inlineStr">
        <is>
          <t>23/03/2026</t>
        </is>
      </c>
      <c r="I5638" s="10" t="inlineStr">
        <is>
          <t>17/03/2026</t>
        </is>
      </c>
      <c r="J5638" s="10" t="inlineStr">
        <is>
          <t>Tiếp thị / Marketing, Bán hàng / Kinh doanh</t>
        </is>
      </c>
      <c r="K5638" s="10" t="inlineStr">
        <is>
          <t>1 - 5 Năm</t>
        </is>
      </c>
      <c r="L5638" s="11">
        <f>HYPERLINK("https://careerviet.vn/vi/tim-viec-lam/account-manager.35C63A6C.html","Xem chi tiết")</f>
        <v/>
      </c>
      <c r="M5638" s="10" t="n"/>
    </row>
    <row r="5639">
      <c r="B5639" s="7" t="n">
        <v>5637</v>
      </c>
      <c r="C5639" t="inlineStr">
        <is>
          <t>Designer technical</t>
        </is>
      </c>
      <c r="D5639" t="inlineStr">
        <is>
          <t>Công ty TNHH Gardenline International (VN)</t>
        </is>
      </c>
      <c r="E5639" t="inlineStr">
        <is>
          <t>Lương:Cạnh tranh</t>
        </is>
      </c>
      <c r="F5639" t="inlineStr">
        <is>
          <t>Bình Định</t>
        </is>
      </c>
      <c r="G5639" t="inlineStr">
        <is>
          <t>6</t>
        </is>
      </c>
      <c r="H5639" t="inlineStr">
        <is>
          <t>23/03/2026</t>
        </is>
      </c>
      <c r="I5639" t="inlineStr">
        <is>
          <t>17/03/2026</t>
        </is>
      </c>
      <c r="J5639" t="inlineStr">
        <is>
          <t>Sản xuất / Vận hành sản xuất, Đồ gỗ</t>
        </is>
      </c>
      <c r="K5639" t="inlineStr">
        <is>
          <t>3 - 5 Năm</t>
        </is>
      </c>
      <c r="L5639" s="8">
        <f>HYPERLINK("https://careerviet.vn/vi/tim-viec-lam/designer-technical.35C6657E.html","Xem chi tiết")</f>
        <v/>
      </c>
    </row>
    <row r="5640">
      <c r="B5640" s="9" t="n">
        <v>5638</v>
      </c>
      <c r="C5640" s="10" t="inlineStr">
        <is>
          <t>Giám Đốc Kinh Doanh Khu Vực</t>
        </is>
      </c>
      <c r="D5640" s="10" t="inlineStr">
        <is>
          <t>Tổng Công Ty Bảo Việt Nhân Thọ</t>
        </is>
      </c>
      <c r="E5640" s="10" t="inlineStr">
        <is>
          <t>Lương:1.000 - 3.000 USD</t>
        </is>
      </c>
      <c r="F5640" s="10" t="inlineStr">
        <is>
          <t>Thừa Thiên- HuếĐồng NaiKiên Giang</t>
        </is>
      </c>
      <c r="G5640" s="10" t="inlineStr">
        <is>
          <t>6</t>
        </is>
      </c>
      <c r="H5640" s="10" t="inlineStr">
        <is>
          <t>23/03/2026</t>
        </is>
      </c>
      <c r="I5640" s="10" t="inlineStr">
        <is>
          <t>17/03/2026</t>
        </is>
      </c>
      <c r="J5640" s="10" t="inlineStr">
        <is>
          <t>Bảo hiểm, Bán hàng / Kinh doanh, Tài chính / Đầu tư</t>
        </is>
      </c>
      <c r="K5640" s="10" t="inlineStr">
        <is>
          <t>1 - 5 Năm</t>
        </is>
      </c>
      <c r="L5640" s="11">
        <f>HYPERLINK("https://careerviet.vn/vi/tim-viec-lam/giam-doc-kinh-doanh-khu-vuc.35C665EB.html","Xem chi tiết")</f>
        <v/>
      </c>
      <c r="M5640" s="10" t="n"/>
    </row>
    <row r="5641">
      <c r="B5641" s="7" t="n">
        <v>5639</v>
      </c>
      <c r="C5641" t="inlineStr">
        <is>
          <t>KẾ TOÁN THANH TOÁN CÔNG TY DU LỊCH.</t>
        </is>
      </c>
      <c r="D5641" t="inlineStr">
        <is>
          <t>Threeland Travel</t>
        </is>
      </c>
      <c r="E5641" t="inlineStr">
        <is>
          <t>Lương:9 Tr - 13 Tr VND</t>
        </is>
      </c>
      <c r="F5641" t="inlineStr">
        <is>
          <t>Hà Nội</t>
        </is>
      </c>
      <c r="G5641" t="inlineStr">
        <is>
          <t>6</t>
        </is>
      </c>
      <c r="H5641" t="inlineStr">
        <is>
          <t>23/03/2026</t>
        </is>
      </c>
      <c r="I5641" t="inlineStr">
        <is>
          <t>17/03/2026</t>
        </is>
      </c>
      <c r="J5641" t="inlineStr">
        <is>
          <t>Kế toán / Kiểm toán, Ngân hàng, Du lịch</t>
        </is>
      </c>
      <c r="K5641" t="inlineStr">
        <is>
          <t>1 - 3 Năm</t>
        </is>
      </c>
      <c r="L5641" s="8">
        <f>HYPERLINK("https://careerviet.vn/vi/tim-viec-lam/ke-toan-thanh-toan-cong-ty-du-lich.35C665BE.html","Xem chi tiết")</f>
        <v/>
      </c>
    </row>
    <row r="5642">
      <c r="B5642" s="9" t="n">
        <v>5640</v>
      </c>
      <c r="C5642" s="10" t="inlineStr">
        <is>
          <t>Nhân viên dán tem kho váng</t>
        </is>
      </c>
      <c r="D5642" s="10" t="inlineStr">
        <is>
          <t>Công Ty TNHH TM &amp; XNK Nhất Lâm</t>
        </is>
      </c>
      <c r="E5642" s="10" t="inlineStr">
        <is>
          <t>Lương:7 Tr - 8 Tr VND</t>
        </is>
      </c>
      <c r="F5642" s="10" t="inlineStr">
        <is>
          <t>Hồ Chí Minh</t>
        </is>
      </c>
      <c r="G5642" s="10" t="inlineStr">
        <is>
          <t>6</t>
        </is>
      </c>
      <c r="H5642" s="10" t="inlineStr">
        <is>
          <t>23/03/2026</t>
        </is>
      </c>
      <c r="I5642" s="10" t="inlineStr">
        <is>
          <t>17/03/2026</t>
        </is>
      </c>
      <c r="J5642" s="10" t="inlineStr">
        <is>
          <t>Vận chuyển / Giao nhận / Kho vận, Sản xuất / Vận hành sản xuất</t>
        </is>
      </c>
      <c r="K5642" s="10" t="inlineStr">
        <is>
          <t>N/A</t>
        </is>
      </c>
      <c r="L5642" s="11">
        <f>HYPERLINK("https://careerviet.vn/vi/tim-viec-lam/nhan-vien-dan-tem-kho-vang.35C66557.html","Xem chi tiết")</f>
        <v/>
      </c>
      <c r="M5642" s="10" t="n"/>
    </row>
    <row r="5643">
      <c r="B5643" s="7" t="n">
        <v>5641</v>
      </c>
      <c r="C5643" t="inlineStr">
        <is>
          <t>Kỹ Sư Hiện Trường</t>
        </is>
      </c>
      <c r="D5643" t="inlineStr">
        <is>
          <t>CÔNG TY CỔ PHẨN ỨNG DỤNG VÀ CHUYỂN GIAO CÔNG NGHỆ XÂY DỰNG (CJSC)</t>
        </is>
      </c>
      <c r="E5643" t="inlineStr">
        <is>
          <t>Lương:17 Tr - 22 Tr VND</t>
        </is>
      </c>
      <c r="F5643" t="inlineStr">
        <is>
          <t>Bắc NinhThái Bình</t>
        </is>
      </c>
      <c r="G5643" t="inlineStr">
        <is>
          <t>6</t>
        </is>
      </c>
      <c r="H5643" t="inlineStr">
        <is>
          <t>23/03/2026</t>
        </is>
      </c>
      <c r="I5643" t="inlineStr">
        <is>
          <t>17/03/2026</t>
        </is>
      </c>
      <c r="J5643" t="inlineStr">
        <is>
          <t>Xây dựng, Kiến trúc</t>
        </is>
      </c>
      <c r="K5643" t="inlineStr">
        <is>
          <t>Trên 3 Năm</t>
        </is>
      </c>
      <c r="L5643" s="8">
        <f>HYPERLINK("https://careerviet.vn/vi/tim-viec-lam/ky-su-hien-truong.35C665B9.html","Xem chi tiết")</f>
        <v/>
      </c>
    </row>
    <row r="5644">
      <c r="B5644" s="9" t="n">
        <v>5642</v>
      </c>
      <c r="C5644" s="10" t="inlineStr">
        <is>
          <t>Kế toán tổng hợp</t>
        </is>
      </c>
      <c r="D5644" s="10" t="inlineStr">
        <is>
          <t>CÔNG TY TNHH BULSAN GROUP</t>
        </is>
      </c>
      <c r="E5644" s="10" t="inlineStr">
        <is>
          <t>Lương:9 Tr - 12 Tr VND</t>
        </is>
      </c>
      <c r="F5644" s="10" t="inlineStr">
        <is>
          <t>Hồ Chí Minh</t>
        </is>
      </c>
      <c r="G5644" s="10" t="inlineStr">
        <is>
          <t>6</t>
        </is>
      </c>
      <c r="H5644" s="10" t="inlineStr">
        <is>
          <t>23/03/2026</t>
        </is>
      </c>
      <c r="I5644" s="10" t="inlineStr">
        <is>
          <t>17/03/2026</t>
        </is>
      </c>
      <c r="J5644" s="10" t="inlineStr">
        <is>
          <t>Bán lẻ / Bán sỉ, Kế toán / Kiểm toán</t>
        </is>
      </c>
      <c r="K5644" s="10" t="inlineStr">
        <is>
          <t>1 - 3 Năm</t>
        </is>
      </c>
      <c r="L5644" s="11">
        <f>HYPERLINK("https://careerviet.vn/vi/tim-viec-lam/ke-toan-tong-hop.35C638F9.html","Xem chi tiết")</f>
        <v/>
      </c>
      <c r="M5644" s="10" t="n"/>
    </row>
    <row r="5645">
      <c r="B5645" s="7" t="n">
        <v>5643</v>
      </c>
      <c r="C5645" t="inlineStr">
        <is>
          <t>Data Engineer - ISC</t>
        </is>
      </c>
      <c r="D5645" t="inlineStr">
        <is>
          <t>CÔNG TY CỔ PHẦN DƯỢC PHẨM FPT LONG CHÂU</t>
        </is>
      </c>
      <c r="E5645" t="inlineStr">
        <is>
          <t>Lương:Cạnh tranh</t>
        </is>
      </c>
      <c r="F5645" t="inlineStr">
        <is>
          <t>Hồ Chí Minh</t>
        </is>
      </c>
      <c r="G5645" t="inlineStr">
        <is>
          <t>6</t>
        </is>
      </c>
      <c r="H5645" t="inlineStr">
        <is>
          <t>23/03/2026</t>
        </is>
      </c>
      <c r="I5645" t="inlineStr">
        <is>
          <t>17/03/2026</t>
        </is>
      </c>
      <c r="J5645" t="inlineStr">
        <is>
          <t>Bán lẻ / Bán sỉ, Y tế / Chăm sóc sức khỏe / Thẩm mỹ / Làm đẹp, CNTT - Phần mềm</t>
        </is>
      </c>
      <c r="K5645" t="inlineStr">
        <is>
          <t>3 - 5 Năm</t>
        </is>
      </c>
      <c r="L5645" s="8">
        <f>HYPERLINK("https://careerviet.vn/vi/tim-viec-lam/data-engineer-isc.35C664B0.html","Xem chi tiết")</f>
        <v/>
      </c>
    </row>
    <row r="5646">
      <c r="B5646" s="9" t="n">
        <v>5644</v>
      </c>
      <c r="C5646" s="10" t="inlineStr">
        <is>
          <t>Giám Đốc Chuyển Đổi Số (Digital Transformation Director)</t>
        </is>
      </c>
      <c r="D5646" s="10" t="inlineStr">
        <is>
          <t>Công ty Cổ phần Công nghệ UpBase</t>
        </is>
      </c>
      <c r="E5646" s="10" t="inlineStr">
        <is>
          <t>Lương:Cạnh tranh</t>
        </is>
      </c>
      <c r="F5646" s="10" t="inlineStr">
        <is>
          <t>Hà Nội</t>
        </is>
      </c>
      <c r="G5646" s="10" t="inlineStr">
        <is>
          <t>6</t>
        </is>
      </c>
      <c r="H5646" s="10" t="inlineStr">
        <is>
          <t>23/03/2026</t>
        </is>
      </c>
      <c r="I5646" s="10" t="inlineStr">
        <is>
          <t>17/03/2026</t>
        </is>
      </c>
      <c r="J5646" s="10" t="inlineStr">
        <is>
          <t>CNTT - Phần mềm, Bán hàng / Kinh doanh, Thương mại điện tử</t>
        </is>
      </c>
      <c r="K5646" s="10" t="inlineStr">
        <is>
          <t>5 - 7 Năm</t>
        </is>
      </c>
      <c r="L5646" s="11">
        <f>HYPERLINK("https://careerviet.vn/vi/tim-viec-lam/giam-doc-chuyen-doi-so-digital-transformation-director.35C66581.html","Xem chi tiết")</f>
        <v/>
      </c>
      <c r="M5646" s="10" t="n"/>
    </row>
    <row r="5647">
      <c r="B5647" s="7" t="n">
        <v>5645</v>
      </c>
      <c r="C5647" t="inlineStr">
        <is>
          <t>CHUYÊN VIÊN CAO CẤP TƯ VẤN ĐẦU TƯ - KHÁCH HÀNG TỔ CHỨC</t>
        </is>
      </c>
      <c r="D5647" t="inlineStr">
        <is>
          <t>VDSC - Công ty CP Chứng khoán Rồng Việt</t>
        </is>
      </c>
      <c r="E5647" t="inlineStr">
        <is>
          <t>Lương:Cạnh tranh</t>
        </is>
      </c>
      <c r="F5647" t="inlineStr">
        <is>
          <t>Hồ Chí Minh</t>
        </is>
      </c>
      <c r="G5647" t="inlineStr">
        <is>
          <t>6</t>
        </is>
      </c>
      <c r="H5647" t="inlineStr">
        <is>
          <t>23/03/2026</t>
        </is>
      </c>
      <c r="I5647" t="inlineStr">
        <is>
          <t>17/03/2026</t>
        </is>
      </c>
      <c r="J5647" t="inlineStr">
        <is>
          <t>Ngân hàng, Chứng khoán, Tài chính / Đầu tư</t>
        </is>
      </c>
      <c r="K5647" t="inlineStr">
        <is>
          <t>Trên 5 Năm</t>
        </is>
      </c>
      <c r="L5647" s="8">
        <f>HYPERLINK("https://careerviet.vn/vi/tim-viec-lam/chuyen-vien-cao-cap-tu-van-dau-tu-khach-hang-to-chuc.35C63A23.html","Xem chi tiết")</f>
        <v/>
      </c>
    </row>
    <row r="5648">
      <c r="B5648" s="9" t="n">
        <v>5646</v>
      </c>
      <c r="C5648" s="10" t="inlineStr">
        <is>
          <t>Nhân Viên Đưa Rước Học Sinh</t>
        </is>
      </c>
      <c r="D5648" s="10" t="inlineStr">
        <is>
          <t>CHI NHÁNH TẠI QUẬN 2 - CÔNG TY TNHH NGHIÊN CỨU VÀ ĐÀO TẠO KVSTAR</t>
        </is>
      </c>
      <c r="E5648" s="10" t="inlineStr">
        <is>
          <t>Lương:Cạnh tranh</t>
        </is>
      </c>
      <c r="F5648" s="10" t="inlineStr">
        <is>
          <t>Hồ Chí Minh</t>
        </is>
      </c>
      <c r="G5648" s="10" t="inlineStr">
        <is>
          <t>6</t>
        </is>
      </c>
      <c r="H5648" s="10" t="inlineStr">
        <is>
          <t>23/03/2026</t>
        </is>
      </c>
      <c r="I5648" s="10" t="inlineStr">
        <is>
          <t>17/03/2026</t>
        </is>
      </c>
      <c r="J5648" s="10" t="inlineStr">
        <is>
          <t>Vận chuyển / Giao nhận / Kho vận, Giáo dục / Đào tạo</t>
        </is>
      </c>
      <c r="K5648" s="10" t="inlineStr">
        <is>
          <t>N/A</t>
        </is>
      </c>
      <c r="L5648" s="11">
        <f>HYPERLINK("https://careerviet.vn/vi/tim-viec-lam/nhan-vien-dua-ruoc-hoc-sinh.35C664EA.html","Xem chi tiết")</f>
        <v/>
      </c>
      <c r="M5648" s="10" t="n"/>
    </row>
    <row r="5649">
      <c r="B5649" s="7" t="n">
        <v>5647</v>
      </c>
      <c r="C5649" t="inlineStr">
        <is>
          <t>Kỹ Sư QA/QC Hệ Thống PCCC</t>
        </is>
      </c>
      <c r="D5649" t="inlineStr">
        <is>
          <t>CÔNG TY TNHH MTV BCA - THĂNG LONG</t>
        </is>
      </c>
      <c r="E5649" t="inlineStr">
        <is>
          <t>Lương:20 Tr - 25 Tr VND</t>
        </is>
      </c>
      <c r="F5649" t="inlineStr">
        <is>
          <t>Sóc TrăngHồ Chí Minh</t>
        </is>
      </c>
      <c r="G5649" t="inlineStr">
        <is>
          <t>6</t>
        </is>
      </c>
      <c r="H5649" t="inlineStr">
        <is>
          <t>23/03/2026</t>
        </is>
      </c>
      <c r="I5649" t="inlineStr">
        <is>
          <t>17/03/2026</t>
        </is>
      </c>
      <c r="J5649" t="inlineStr">
        <is>
          <t>Cơ khí / Ô tô / Tự động hóa, Điện / Điện tử / Điện lạnh / Điện công nghiệp, Quản lý chất lượng (QA/QC)</t>
        </is>
      </c>
      <c r="K5649" t="inlineStr">
        <is>
          <t>Trên 3 Năm</t>
        </is>
      </c>
      <c r="L5649" s="8">
        <f>HYPERLINK("https://careerviet.vn/vi/tim-viec-lam/ky-su-qa-qc-he-thong-pccc.35C63788.html","Xem chi tiết")</f>
        <v/>
      </c>
    </row>
    <row r="5650">
      <c r="B5650" s="9" t="n">
        <v>5648</v>
      </c>
      <c r="C5650" s="10" t="inlineStr">
        <is>
          <t>Garment Specialist (Chuyên Viên Lĩnh Vực May Mặc)</t>
        </is>
      </c>
      <c r="D5650" s="10" t="inlineStr">
        <is>
          <t>CÔNG TY TNHH HYOSUNG ĐỒNG NAI - VĂN PHÒNG ĐẠI DIỆN TP.HCM</t>
        </is>
      </c>
      <c r="E5650" s="10" t="inlineStr">
        <is>
          <t>Lương:Cạnh tranh</t>
        </is>
      </c>
      <c r="F5650" s="10" t="inlineStr">
        <is>
          <t>Hồ Chí Minh</t>
        </is>
      </c>
      <c r="G5650" s="10" t="inlineStr">
        <is>
          <t>24-03-2026</t>
        </is>
      </c>
      <c r="H5650" s="10" t="inlineStr">
        <is>
          <t>24/03/2026</t>
        </is>
      </c>
      <c r="I5650" s="10" t="inlineStr">
        <is>
          <t>17/03/2026</t>
        </is>
      </c>
      <c r="J5650" s="10" t="inlineStr">
        <is>
          <t>Hóa học, Dệt may / Da giày / Thời trang</t>
        </is>
      </c>
      <c r="K5650" s="10" t="inlineStr">
        <is>
          <t>6 - 10 Năm</t>
        </is>
      </c>
      <c r="L5650" s="11">
        <f>HYPERLINK("https://careerviet.vn/vi/tim-viec-lam/garment-specialist-chuyen-vien-linh-vuc-may-mac.35C66783.html","Xem chi tiết")</f>
        <v/>
      </c>
      <c r="M5650" s="10" t="n"/>
    </row>
    <row r="5651">
      <c r="B5651" s="7" t="n">
        <v>5649</v>
      </c>
      <c r="C5651" t="inlineStr">
        <is>
          <t>QUẢN LÝ KINH DOANH DỰ ÁN THIẾT BỊ CÔNG NGHIỆP VÀ HÀNG HẢI</t>
        </is>
      </c>
      <c r="D5651" t="inlineStr">
        <is>
          <t>Công ty Cổ phần Inmatech</t>
        </is>
      </c>
      <c r="E5651" t="inlineStr">
        <is>
          <t>Lương:Cạnh tranh</t>
        </is>
      </c>
      <c r="F5651" t="inlineStr">
        <is>
          <t>Hải PhòngHồ Chí MinhHà Nội</t>
        </is>
      </c>
      <c r="G5651" t="inlineStr">
        <is>
          <t>6</t>
        </is>
      </c>
      <c r="H5651" t="inlineStr">
        <is>
          <t>23/03/2026</t>
        </is>
      </c>
      <c r="I5651" t="inlineStr">
        <is>
          <t>17/03/2026</t>
        </is>
      </c>
      <c r="J5651" t="inlineStr">
        <is>
          <t>Bán Hàng Kỹ Thuật, Bán hàng / Kinh doanh, Điện / Điện tử / Điện lạnh / Điện công nghiệp</t>
        </is>
      </c>
      <c r="K5651" t="inlineStr">
        <is>
          <t>5 - 10 Năm</t>
        </is>
      </c>
      <c r="L5651" s="8">
        <f>HYPERLINK("https://careerviet.vn/vi/tim-viec-lam/quan-ly-kinh-doanh-du-an-thiet-bi-cong-nghiep-va-hang-hai.35C665E5.html","Xem chi tiết")</f>
        <v/>
      </c>
    </row>
    <row r="5652">
      <c r="B5652" s="9" t="n">
        <v>5650</v>
      </c>
      <c r="C5652" s="10" t="inlineStr">
        <is>
          <t>GIÁM ĐỐC MUA HÀNG (QUỐC TẾ &amp; NỘI ĐỊA)</t>
        </is>
      </c>
      <c r="D5652" s="10" t="inlineStr">
        <is>
          <t>Công Ty Cổ Phần Tân Vĩnh Cửu (Tavico group)</t>
        </is>
      </c>
      <c r="E5652" s="10" t="inlineStr">
        <is>
          <t>Lương:Cạnh tranh</t>
        </is>
      </c>
      <c r="F5652" s="10" t="inlineStr">
        <is>
          <t>Đồng Nai</t>
        </is>
      </c>
      <c r="G5652" s="10" t="inlineStr">
        <is>
          <t>6</t>
        </is>
      </c>
      <c r="H5652" s="10" t="inlineStr">
        <is>
          <t>23/03/2026</t>
        </is>
      </c>
      <c r="I5652" s="10" t="inlineStr">
        <is>
          <t>17/03/2026</t>
        </is>
      </c>
      <c r="J5652" s="10" t="inlineStr">
        <is>
          <t>Lâm Nghiệp, Thu mua / Vật tư, Ngành khác</t>
        </is>
      </c>
      <c r="K5652" s="10" t="inlineStr">
        <is>
          <t>5 - 10 Năm</t>
        </is>
      </c>
      <c r="L5652" s="11">
        <f>HYPERLINK("https://careerviet.vn/vi/tim-viec-lam/giam-doc-mua-hang-quoc-te-noi-dia.35C6644E.html","Xem chi tiết")</f>
        <v/>
      </c>
      <c r="M5652" s="10" t="n"/>
    </row>
    <row r="5653">
      <c r="B5653" s="7" t="n">
        <v>5651</v>
      </c>
      <c r="C5653" t="inlineStr">
        <is>
          <t>Chuyên viên kế toán thuế</t>
        </is>
      </c>
      <c r="D5653" t="inlineStr">
        <is>
          <t>BỆNH VIỆN ĐA KHOA PHƯƠNG ĐÔNG</t>
        </is>
      </c>
      <c r="E5653" t="inlineStr">
        <is>
          <t>Lương:10 Tr - 17 Tr VND</t>
        </is>
      </c>
      <c r="F5653" t="inlineStr">
        <is>
          <t>Hà Nội</t>
        </is>
      </c>
      <c r="G5653" t="inlineStr">
        <is>
          <t>24-03-2026</t>
        </is>
      </c>
      <c r="H5653" t="inlineStr">
        <is>
          <t>24/03/2026</t>
        </is>
      </c>
      <c r="I5653" t="inlineStr">
        <is>
          <t>17/03/2026</t>
        </is>
      </c>
      <c r="J5653" t="inlineStr">
        <is>
          <t>Kế toán / Kiểm toán</t>
        </is>
      </c>
      <c r="K5653" t="inlineStr">
        <is>
          <t>Chưa có kinh nghiệm</t>
        </is>
      </c>
      <c r="L5653" s="8">
        <f>HYPERLINK("https://careerviet.vn/vi/tim-viec-lam/chuyen-vien-ke-toan-thue.35C63AE8.html","Xem chi tiết")</f>
        <v/>
      </c>
    </row>
    <row r="5654">
      <c r="B5654" s="9" t="n">
        <v>5652</v>
      </c>
      <c r="C5654" s="10" t="inlineStr">
        <is>
          <t>Quản Lý  Chất Lượng  QA /QC</t>
        </is>
      </c>
      <c r="D5654" s="10" t="inlineStr">
        <is>
          <t>CÔNG TY TNHH TEXON VIETNAM</t>
        </is>
      </c>
      <c r="E5654" s="10" t="inlineStr">
        <is>
          <t>Lương:Cạnh tranh</t>
        </is>
      </c>
      <c r="F5654" s="10" t="inlineStr">
        <is>
          <t>Bắc NinhHà Nội</t>
        </is>
      </c>
      <c r="G5654" s="10" t="inlineStr">
        <is>
          <t>24-03-2026</t>
        </is>
      </c>
      <c r="H5654" s="10" t="inlineStr">
        <is>
          <t>24/03/2026</t>
        </is>
      </c>
      <c r="I5654" s="10" t="inlineStr">
        <is>
          <t>17/03/2026</t>
        </is>
      </c>
      <c r="J5654" s="10" t="inlineStr">
        <is>
          <t>Quản lý chất lượng (QA/QC), Cơ khí / Ô tô / Tự động hóa, Sản xuất / Vận hành sản xuất</t>
        </is>
      </c>
      <c r="K5654" s="10" t="inlineStr">
        <is>
          <t>2 - 5 Năm</t>
        </is>
      </c>
      <c r="L5654" s="11">
        <f>HYPERLINK("https://careerviet.vn/vi/tim-viec-lam/quan-ly-chat-luong-qa-qc.35C63C3B.html","Xem chi tiết")</f>
        <v/>
      </c>
      <c r="M5654" s="10" t="n"/>
    </row>
    <row r="5655">
      <c r="B5655" s="7" t="n">
        <v>5653</v>
      </c>
      <c r="C5655" t="inlineStr">
        <is>
          <t>CHUYÊN GIA THIẾT KẾ LASER NGÀNH WASH</t>
        </is>
      </c>
      <c r="D5655" t="inlineStr">
        <is>
          <t>Công Ty TNHH Sơn Tùng</t>
        </is>
      </c>
      <c r="E5655" t="inlineStr">
        <is>
          <t>Lương:20 Tr - 30 Tr VND</t>
        </is>
      </c>
      <c r="F5655" t="inlineStr">
        <is>
          <t>Hồ Chí Minh</t>
        </is>
      </c>
      <c r="G5655" t="inlineStr">
        <is>
          <t>24-03-2026</t>
        </is>
      </c>
      <c r="H5655" t="inlineStr">
        <is>
          <t>24/03/2026</t>
        </is>
      </c>
      <c r="I5655" t="inlineStr">
        <is>
          <t>17/03/2026</t>
        </is>
      </c>
      <c r="J5655" t="inlineStr">
        <is>
          <t>Dệt may / Da giày / Thời trang, Mỹ thuật / Nghệ thuật / Thiết kế, Quản lý điều hành</t>
        </is>
      </c>
      <c r="K5655" t="inlineStr">
        <is>
          <t>2 - 3 Năm</t>
        </is>
      </c>
      <c r="L5655" s="8">
        <f>HYPERLINK("https://careerviet.vn/vi/tim-viec-lam/chuyen-gia-thiet-ke-laser-nganh-wash.35C63B4A.html","Xem chi tiết")</f>
        <v/>
      </c>
    </row>
    <row r="5656">
      <c r="B5656" s="9" t="n">
        <v>5654</v>
      </c>
      <c r="C5656" s="10" t="inlineStr">
        <is>
          <t>Kế toán Trưởng - Nhà máy Nội thất</t>
        </is>
      </c>
      <c r="D5656" s="10" t="inlineStr">
        <is>
          <t>Công ty Cổ Phần Đầu tư và Phát triển Tập đoàn Đông Ngô</t>
        </is>
      </c>
      <c r="E5656" s="10" t="inlineStr">
        <is>
          <t>Lương:30 Tr - 35 Tr VND</t>
        </is>
      </c>
      <c r="F5656" s="10" t="inlineStr">
        <is>
          <t>Hồ Chí Minh</t>
        </is>
      </c>
      <c r="G5656" s="10" t="inlineStr">
        <is>
          <t>24-03-2026</t>
        </is>
      </c>
      <c r="H5656" s="10" t="inlineStr">
        <is>
          <t>24/03/2026</t>
        </is>
      </c>
      <c r="I5656" s="10" t="inlineStr">
        <is>
          <t>17/03/2026</t>
        </is>
      </c>
      <c r="J5656" s="10" t="inlineStr">
        <is>
          <t>Xây dựng, Bất động sản, Nội ngoại thất</t>
        </is>
      </c>
      <c r="K5656" s="10" t="inlineStr">
        <is>
          <t>3 - 5 Năm</t>
        </is>
      </c>
      <c r="L5656" s="11">
        <f>HYPERLINK("https://careerviet.vn/vi/tim-viec-lam/ke-toan-truong-nha-may-noi-that.35C66666.html","Xem chi tiết")</f>
        <v/>
      </c>
      <c r="M5656" s="10" t="n"/>
    </row>
    <row r="5657">
      <c r="B5657" s="7" t="n">
        <v>5655</v>
      </c>
      <c r="C5657" t="inlineStr">
        <is>
          <t>Nhân viên thu ngân</t>
        </is>
      </c>
      <c r="D5657" t="inlineStr">
        <is>
          <t>BỆNH VIỆN ĐA KHOA PHƯƠNG ĐÔNG</t>
        </is>
      </c>
      <c r="E5657" t="inlineStr">
        <is>
          <t>Lương:8 Tr - 10 Tr VND</t>
        </is>
      </c>
      <c r="F5657" t="inlineStr">
        <is>
          <t>Hà Nội</t>
        </is>
      </c>
      <c r="G5657" t="inlineStr">
        <is>
          <t>24-03-2026</t>
        </is>
      </c>
      <c r="H5657" t="inlineStr">
        <is>
          <t>24/03/2026</t>
        </is>
      </c>
      <c r="I5657" t="inlineStr">
        <is>
          <t>17/03/2026</t>
        </is>
      </c>
      <c r="J5657" t="inlineStr">
        <is>
          <t>Dịch vụ khách hàng, Kế toán / Kiểm toán</t>
        </is>
      </c>
      <c r="K5657" t="inlineStr">
        <is>
          <t>N/A</t>
        </is>
      </c>
      <c r="L5657" s="8">
        <f>HYPERLINK("https://careerviet.vn/vi/tim-viec-lam/nhan-vien-thu-ngan.35C63B1A.html","Xem chi tiết")</f>
        <v/>
      </c>
    </row>
    <row r="5658">
      <c r="B5658" s="9" t="n">
        <v>5656</v>
      </c>
      <c r="C5658" s="10" t="inlineStr">
        <is>
          <t>Sales có Tiếng Nhật 27534 - Cầu Giấy, HN</t>
        </is>
      </c>
      <c r="D5658" s="10" t="inlineStr">
        <is>
          <t>Công Ty TNHH Reeracoen Việt Nam</t>
        </is>
      </c>
      <c r="E5658" s="10" t="inlineStr">
        <is>
          <t>Lương:15 Tr - 15,5 Tr VND</t>
        </is>
      </c>
      <c r="F5658" s="10" t="inlineStr">
        <is>
          <t>Hà Nội</t>
        </is>
      </c>
      <c r="G5658" s="10" t="inlineStr">
        <is>
          <t>24-03-2026</t>
        </is>
      </c>
      <c r="H5658" s="10" t="inlineStr">
        <is>
          <t>24/03/2026</t>
        </is>
      </c>
      <c r="I5658" s="10" t="inlineStr">
        <is>
          <t>17/03/2026</t>
        </is>
      </c>
      <c r="J5658" s="10" t="inlineStr">
        <is>
          <t>Bán lẻ / Bán sỉ, Bán hàng / Kinh doanh, Bán Hàng Kỹ Thuật</t>
        </is>
      </c>
      <c r="K5658" s="10" t="inlineStr">
        <is>
          <t>2 - 3 Năm</t>
        </is>
      </c>
      <c r="L5658" s="11">
        <f>HYPERLINK("https://careerviet.vn/vi/tim-viec-lam/sales-co-tieng-nhat-27534-cau-giay-hn.35C667B4.html","Xem chi tiết")</f>
        <v/>
      </c>
      <c r="M5658" s="10" t="n"/>
    </row>
    <row r="5659">
      <c r="B5659" s="7" t="n">
        <v>5657</v>
      </c>
      <c r="C5659" t="inlineStr">
        <is>
          <t>Online Sales Manager</t>
        </is>
      </c>
      <c r="D5659" t="inlineStr">
        <is>
          <t>HỘ KINH DOANH AG STUDIO</t>
        </is>
      </c>
      <c r="E5659" t="inlineStr">
        <is>
          <t>Lương:15 Tr - 25 Tr VND</t>
        </is>
      </c>
      <c r="F5659" t="inlineStr">
        <is>
          <t>Hồ Chí Minh</t>
        </is>
      </c>
      <c r="G5659" t="inlineStr">
        <is>
          <t>24-03-2026</t>
        </is>
      </c>
      <c r="H5659" t="inlineStr">
        <is>
          <t>24/03/2026</t>
        </is>
      </c>
      <c r="I5659" t="inlineStr">
        <is>
          <t>17/03/2026</t>
        </is>
      </c>
      <c r="J5659" t="inlineStr">
        <is>
          <t>Tiếp thị / Marketing, Bán hàng / Kinh doanh, Thương mại điện tử</t>
        </is>
      </c>
      <c r="K5659" t="inlineStr">
        <is>
          <t>N/A</t>
        </is>
      </c>
      <c r="L5659" s="8">
        <f>HYPERLINK("https://careerviet.vn/vi/tim-viec-lam/online-sales-manager.35C66617.html","Xem chi tiết")</f>
        <v/>
      </c>
    </row>
    <row r="5660">
      <c r="B5660" s="9" t="n">
        <v>5658</v>
      </c>
      <c r="C5660" s="10" t="inlineStr">
        <is>
          <t>Nhân Viên Hành Chánh Tổng Vụ - Tiếng Trung</t>
        </is>
      </c>
      <c r="D5660" s="10" t="inlineStr">
        <is>
          <t>CÔNG TY TNHH TOPBAND SMART ĐỒNG NAI (VIỆT NAM)</t>
        </is>
      </c>
      <c r="E5660" s="10" t="inlineStr">
        <is>
          <t>Lương:10 Tr - 20 Tr VND</t>
        </is>
      </c>
      <c r="F5660" s="10" t="inlineStr">
        <is>
          <t>Đồng Nai</t>
        </is>
      </c>
      <c r="G5660" s="10" t="inlineStr">
        <is>
          <t>6</t>
        </is>
      </c>
      <c r="H5660" s="10" t="inlineStr">
        <is>
          <t>23/03/2026</t>
        </is>
      </c>
      <c r="I5660" s="10" t="inlineStr">
        <is>
          <t>17/03/2026</t>
        </is>
      </c>
      <c r="J5660" s="10" t="inlineStr">
        <is>
          <t>Hành chính / Thư ký, Quản lý điều hành, An toàn lao động</t>
        </is>
      </c>
      <c r="K5660" s="10" t="inlineStr">
        <is>
          <t>1 - 2 Năm</t>
        </is>
      </c>
      <c r="L5660" s="11">
        <f>HYPERLINK("https://careerviet.vn/vi/tim-viec-lam/nhan-vien-hanh-chanh-tong-vu-tieng-trung.35C66440.html","Xem chi tiết")</f>
        <v/>
      </c>
      <c r="M5660" s="10" t="n"/>
    </row>
    <row r="5661">
      <c r="B5661" s="7" t="n">
        <v>5659</v>
      </c>
      <c r="C5661" t="inlineStr">
        <is>
          <t>Nhân Viên Vận Hành Máy Phay CNC</t>
        </is>
      </c>
      <c r="D5661" t="inlineStr">
        <is>
          <t>Công Ty TNHH Roeders Việt Nam</t>
        </is>
      </c>
      <c r="E5661" t="inlineStr">
        <is>
          <t>Lương:10 Tr - 16 Tr VND</t>
        </is>
      </c>
      <c r="F5661" t="inlineStr">
        <is>
          <t>Hồ Chí Minh</t>
        </is>
      </c>
      <c r="G5661" t="inlineStr">
        <is>
          <t>24-03-2026</t>
        </is>
      </c>
      <c r="H5661" t="inlineStr">
        <is>
          <t>24/03/2026</t>
        </is>
      </c>
      <c r="I5661" t="inlineStr">
        <is>
          <t>17/03/2026</t>
        </is>
      </c>
      <c r="J5661" t="inlineStr">
        <is>
          <t>chuyên mônCơ Khí - Chế Tạo Máy Vận Hành Máy - Lắp Ráp - Chế Biến Vận Hành - Bảo Trì - Sửa ChữaYêu cầu</t>
        </is>
      </c>
      <c r="K5661" t="inlineStr">
        <is>
          <t>Trên 1 Năm</t>
        </is>
      </c>
      <c r="L5661" s="8">
        <f>HYPERLINK("https://careerviet.vn/vi/tim-viec-lam/nhan-vien-van-hanh-may-phay-cnc.35C66714.html","Xem chi tiết")</f>
        <v/>
      </c>
    </row>
    <row r="5662">
      <c r="B5662" s="9" t="n">
        <v>5660</v>
      </c>
      <c r="C5662" s="10" t="inlineStr">
        <is>
          <t>LẬP TRÌNH VIÊN JAVA CAO CẤP</t>
        </is>
      </c>
      <c r="D5662" s="10" t="inlineStr">
        <is>
          <t>CÔNG TY TNHH ĐIỆN KHÍ QUỐC QUANG (VIỆT NAM)</t>
        </is>
      </c>
      <c r="E5662" s="10" t="inlineStr">
        <is>
          <t>Lương:Cạnh tranh</t>
        </is>
      </c>
      <c r="F5662" s="10" t="inlineStr">
        <is>
          <t>Quảng NamĐà Nẵng</t>
        </is>
      </c>
      <c r="G5662" s="10" t="inlineStr">
        <is>
          <t>24-03-2026</t>
        </is>
      </c>
      <c r="H5662" s="10" t="inlineStr">
        <is>
          <t>24/03/2026</t>
        </is>
      </c>
      <c r="I5662" s="10" t="inlineStr">
        <is>
          <t>17/03/2026</t>
        </is>
      </c>
      <c r="J5662" s="10" t="inlineStr">
        <is>
          <t>Sản xuất / Vận hành sản xuất, CNTT - Phần mềm</t>
        </is>
      </c>
      <c r="K5662" s="10" t="inlineStr">
        <is>
          <t>3 - 5 Năm</t>
        </is>
      </c>
      <c r="L5662" s="11">
        <f>HYPERLINK("https://careerviet.vn/vi/tim-viec-lam/lap-trinh-vien-java-cao-cap.35C665C7.html","Xem chi tiết")</f>
        <v/>
      </c>
      <c r="M5662" s="10" t="n"/>
    </row>
    <row r="5663">
      <c r="B5663" s="7" t="n">
        <v>5661</v>
      </c>
      <c r="C5663" t="inlineStr">
        <is>
          <t>Backend Developer (Lĩnh vực giải pháp giáo dục)</t>
        </is>
      </c>
      <c r="D5663" t="inlineStr">
        <is>
          <t>Công ty Cổ phần Masscom Việt Nam</t>
        </is>
      </c>
      <c r="E5663" t="inlineStr">
        <is>
          <t>Lương:15 Tr - 25 Tr VND</t>
        </is>
      </c>
      <c r="F5663" t="inlineStr">
        <is>
          <t>Hà Nội</t>
        </is>
      </c>
      <c r="G5663" t="inlineStr">
        <is>
          <t>24-03-2026</t>
        </is>
      </c>
      <c r="H5663" t="inlineStr">
        <is>
          <t>24/03/2026</t>
        </is>
      </c>
      <c r="I5663" t="inlineStr">
        <is>
          <t>17/03/2026</t>
        </is>
      </c>
      <c r="J5663" t="inlineStr">
        <is>
          <t>CNTT - Phần mềm, Bưu chính viễn thông, Giáo dục / Đào tạo</t>
        </is>
      </c>
      <c r="K5663" t="inlineStr">
        <is>
          <t>2 - 3 Năm</t>
        </is>
      </c>
      <c r="L5663" s="8">
        <f>HYPERLINK("https://careerviet.vn/vi/tim-viec-lam/backend-developer-linh-vuc-giai-phap-giao-duc.35C666CC.html","Xem chi tiết")</f>
        <v/>
      </c>
    </row>
    <row r="5664">
      <c r="B5664" s="9" t="n">
        <v>5662</v>
      </c>
      <c r="C5664" s="10" t="inlineStr">
        <is>
          <t>Chuyên viên kinh doanh (Sale OTA)</t>
        </is>
      </c>
      <c r="D5664" s="10" t="inlineStr">
        <is>
          <t>CÔNG TY CP TẬP ĐOÀN ĐẦU TƯ HOÀNG GIA VIỆT NAM</t>
        </is>
      </c>
      <c r="E5664" s="10" t="inlineStr">
        <is>
          <t>Lương:Cạnh tranh</t>
        </is>
      </c>
      <c r="F5664" s="10" t="inlineStr">
        <is>
          <t>Hồ Chí Minh</t>
        </is>
      </c>
      <c r="G5664" s="10" t="inlineStr">
        <is>
          <t>24-03-2026</t>
        </is>
      </c>
      <c r="H5664" s="10" t="inlineStr">
        <is>
          <t>24/03/2026</t>
        </is>
      </c>
      <c r="I5664" s="10" t="inlineStr">
        <is>
          <t>17/03/2026</t>
        </is>
      </c>
      <c r="J5664" s="10" t="inlineStr">
        <is>
          <t>Bán hàng / Kinh doanh, Tiếp thị / Marketing, Nhà hàng / Khách sạn</t>
        </is>
      </c>
      <c r="K5664" s="10" t="inlineStr">
        <is>
          <t>1 - 2 Năm</t>
        </is>
      </c>
      <c r="L5664" s="11">
        <f>HYPERLINK("https://careerviet.vn/vi/tim-viec-lam/chuyen-vien-kinh-doanh-sale-ota.35C66675.html","Xem chi tiết")</f>
        <v/>
      </c>
      <c r="M5664" s="10" t="n"/>
    </row>
    <row r="5665">
      <c r="B5665" s="7" t="n">
        <v>5663</v>
      </c>
      <c r="C5665" t="inlineStr">
        <is>
          <t>Kỹ sư khối lượng</t>
        </is>
      </c>
      <c r="D5665" t="inlineStr">
        <is>
          <t>CÔNG TY TNHH XÂY DỰNG VÀ NỘI THẤT NHD</t>
        </is>
      </c>
      <c r="E5665" t="inlineStr">
        <is>
          <t>Lương:15 Tr - 20 Tr VND</t>
        </is>
      </c>
      <c r="F5665" t="inlineStr">
        <is>
          <t>Hồ Chí Minh</t>
        </is>
      </c>
      <c r="G5665" t="inlineStr">
        <is>
          <t>24-03-2026</t>
        </is>
      </c>
      <c r="H5665" t="inlineStr">
        <is>
          <t>24/03/2026</t>
        </is>
      </c>
      <c r="I5665" t="inlineStr">
        <is>
          <t>17/03/2026</t>
        </is>
      </c>
      <c r="J5665" t="inlineStr">
        <is>
          <t>Quản lý chất lượng (QA/QC), Xây dựng, Nội ngoại thất</t>
        </is>
      </c>
      <c r="K5665" t="inlineStr">
        <is>
          <t>2 - 3 Năm</t>
        </is>
      </c>
      <c r="L5665" s="8">
        <f>HYPERLINK("https://careerviet.vn/vi/tim-viec-lam/ky-su-khoi-luong.35C667C0.html","Xem chi tiết")</f>
        <v/>
      </c>
    </row>
    <row r="5666">
      <c r="B5666" s="9" t="n">
        <v>5664</v>
      </c>
      <c r="C5666" s="10" t="inlineStr">
        <is>
          <t>Kế Toán Tổng Hợp</t>
        </is>
      </c>
      <c r="D5666" s="10" t="inlineStr">
        <is>
          <t>Công Ty TNHH Dược Phẩm Healthy Beauty</t>
        </is>
      </c>
      <c r="E5666" s="10" t="inlineStr">
        <is>
          <t>Lương:Cạnh tranh</t>
        </is>
      </c>
      <c r="F5666" s="10" t="inlineStr">
        <is>
          <t>Hồ Chí Minh</t>
        </is>
      </c>
      <c r="G5666" s="10" t="inlineStr">
        <is>
          <t>24-03-2026</t>
        </is>
      </c>
      <c r="H5666" s="10" t="inlineStr">
        <is>
          <t>24/03/2026</t>
        </is>
      </c>
      <c r="I5666" s="10" t="inlineStr">
        <is>
          <t>17/03/2026</t>
        </is>
      </c>
      <c r="J5666" s="10" t="inlineStr">
        <is>
          <t>Bán hàng / Kinh doanh, Dược phẩm/ Hóa Mỹ Phẩm, Kế toán / Kiểm toán</t>
        </is>
      </c>
      <c r="K5666" s="10" t="inlineStr">
        <is>
          <t>3 - 10 Năm</t>
        </is>
      </c>
      <c r="L5666" s="11">
        <f>HYPERLINK("https://careerviet.vn/vi/tim-viec-lam/ke-toan-tong-hop.35C63B50.html","Xem chi tiết")</f>
        <v/>
      </c>
      <c r="M5666" s="10" t="n"/>
    </row>
    <row r="5667">
      <c r="B5667" s="7" t="n">
        <v>5665</v>
      </c>
      <c r="C5667" t="inlineStr">
        <is>
          <t>HCM - Key Account Executive</t>
        </is>
      </c>
      <c r="D5667" t="inlineStr">
        <is>
          <t>Coca-Cola Beverages Vietnam</t>
        </is>
      </c>
      <c r="E5667" t="inlineStr">
        <is>
          <t>Lương:Cạnh tranh</t>
        </is>
      </c>
      <c r="F5667" t="inlineStr">
        <is>
          <t>Hồ Chí Minh</t>
        </is>
      </c>
      <c r="G5667" t="inlineStr">
        <is>
          <t>24-03-2026</t>
        </is>
      </c>
      <c r="H5667" t="inlineStr">
        <is>
          <t>24/03/2026</t>
        </is>
      </c>
      <c r="I5667" t="inlineStr">
        <is>
          <t>17/03/2026</t>
        </is>
      </c>
      <c r="J5667" t="inlineStr">
        <is>
          <t>Bán hàng / Kinh doanh</t>
        </is>
      </c>
      <c r="K5667" t="inlineStr">
        <is>
          <t>3 - 5 Năm</t>
        </is>
      </c>
      <c r="L5667" s="8">
        <f>HYPERLINK("https://careerviet.vn/vi/tim-viec-lam/hcm-key-account-executive.35C666E4.html","Xem chi tiết")</f>
        <v/>
      </c>
    </row>
    <row r="5668">
      <c r="B5668" s="9" t="n">
        <v>5666</v>
      </c>
      <c r="C5668" s="10" t="inlineStr">
        <is>
          <t>Kỹ sư giám sát thi công</t>
        </is>
      </c>
      <c r="D5668" s="10" t="inlineStr">
        <is>
          <t>CÔNG TY TNHH XÂY DỰNG VÀ NỘI THẤT NHD</t>
        </is>
      </c>
      <c r="E5668" s="10" t="inlineStr">
        <is>
          <t>Lương:15 Tr - 25 Tr VND</t>
        </is>
      </c>
      <c r="F5668" s="10" t="inlineStr">
        <is>
          <t>Hồ Chí Minh</t>
        </is>
      </c>
      <c r="G5668" s="10" t="inlineStr">
        <is>
          <t>24-03-2026</t>
        </is>
      </c>
      <c r="H5668" s="10" t="inlineStr">
        <is>
          <t>24/03/2026</t>
        </is>
      </c>
      <c r="I5668" s="10" t="inlineStr">
        <is>
          <t>17/03/2026</t>
        </is>
      </c>
      <c r="J5668" s="10" t="inlineStr">
        <is>
          <t>Nội ngoại thất</t>
        </is>
      </c>
      <c r="K5668" s="10" t="inlineStr">
        <is>
          <t>2 - 3 Năm</t>
        </is>
      </c>
      <c r="L5668" s="11">
        <f>HYPERLINK("https://careerviet.vn/vi/tim-viec-lam/ky-su-giam-sat-thi-cong.35C667B8.html","Xem chi tiết")</f>
        <v/>
      </c>
      <c r="M5668" s="10" t="n"/>
    </row>
    <row r="5669">
      <c r="B5669" s="7" t="n">
        <v>5667</v>
      </c>
      <c r="C5669" t="inlineStr">
        <is>
          <t>Trình Dược Viên Kênh Nhà Thuốc (OTC) - Ngành hàng Dược phẩm - Hà Nội/ Đà Nẵng/ Hồ Chí Minh</t>
        </is>
      </c>
      <c r="D5669" t="inlineStr">
        <is>
          <t>Abbott</t>
        </is>
      </c>
      <c r="E5669" t="inlineStr">
        <is>
          <t>Lương:Cạnh tranh</t>
        </is>
      </c>
      <c r="F5669" t="inlineStr">
        <is>
          <t>Hà NộiHồ Chí MinhĐà Nẵng</t>
        </is>
      </c>
      <c r="G5669" t="inlineStr">
        <is>
          <t>24-03-2026</t>
        </is>
      </c>
      <c r="H5669" t="inlineStr">
        <is>
          <t>24/03/2026</t>
        </is>
      </c>
      <c r="I5669" t="inlineStr">
        <is>
          <t>17/03/2026</t>
        </is>
      </c>
      <c r="J5669" t="inlineStr">
        <is>
          <t>Dược phẩm/ Hóa Mỹ Phẩm</t>
        </is>
      </c>
      <c r="K5669" t="inlineStr">
        <is>
          <t>1 - 3 Năm</t>
        </is>
      </c>
      <c r="L5669" s="8">
        <f>HYPERLINK("https://careerviet.vn/vi/tim-viec-lam/trinh-duoc-vien-kenh-nha-thuoc-otc-nganh-hang-duoc-pham-ha-noi-da-nang-ho-chi-minh.35C666F7.html","Xem chi tiết")</f>
        <v/>
      </c>
    </row>
    <row r="5670">
      <c r="B5670" s="9" t="n">
        <v>5668</v>
      </c>
      <c r="C5670" s="10" t="inlineStr">
        <is>
          <t>Nhân Viên Kho</t>
        </is>
      </c>
      <c r="D5670" s="10" t="inlineStr">
        <is>
          <t>Công ty CP OCM Việt Nam</t>
        </is>
      </c>
      <c r="E5670" s="10" t="inlineStr">
        <is>
          <t>Lương:9,2 Tr - 11,2 Tr VND</t>
        </is>
      </c>
      <c r="F5670" s="10" t="inlineStr">
        <is>
          <t>Long An</t>
        </is>
      </c>
      <c r="G5670" s="10" t="inlineStr">
        <is>
          <t>24-03-2026</t>
        </is>
      </c>
      <c r="H5670" s="10" t="inlineStr">
        <is>
          <t>24/03/2026</t>
        </is>
      </c>
      <c r="I5670" s="10" t="inlineStr">
        <is>
          <t>17/03/2026</t>
        </is>
      </c>
      <c r="J5670" s="10" t="inlineStr">
        <is>
          <t>Hành chính / Thư ký, Vận chuyển / Giao nhận / Kho vận, Thu mua / Vật tư</t>
        </is>
      </c>
      <c r="K5670" s="10" t="inlineStr">
        <is>
          <t>Trên 2 Năm</t>
        </is>
      </c>
      <c r="L5670" s="11">
        <f>HYPERLINK("https://careerviet.vn/vi/tim-viec-lam/nhan-vien-kho.35C63BD5.html","Xem chi tiết")</f>
        <v/>
      </c>
      <c r="M5670" s="10" t="n"/>
    </row>
    <row r="5671">
      <c r="B5671" s="7" t="n">
        <v>5669</v>
      </c>
      <c r="C5671" t="inlineStr">
        <is>
          <t>KỸ SƯ QS</t>
        </is>
      </c>
      <c r="D5671" t="inlineStr">
        <is>
          <t>CÔNG TY CỔ PHẦN ĐẦU TƯ VÀ XÂY DỰNG RPC GROUP</t>
        </is>
      </c>
      <c r="E5671" t="inlineStr">
        <is>
          <t>Lương:15 Tr - 25 Tr VND</t>
        </is>
      </c>
      <c r="F5671" t="inlineStr">
        <is>
          <t>Hà Nội</t>
        </is>
      </c>
      <c r="G5671" t="inlineStr">
        <is>
          <t>24-03-2026</t>
        </is>
      </c>
      <c r="H5671" t="inlineStr">
        <is>
          <t>24/03/2026</t>
        </is>
      </c>
      <c r="I5671" t="inlineStr">
        <is>
          <t>17/03/2026</t>
        </is>
      </c>
      <c r="J5671" t="inlineStr">
        <is>
          <t>Quản lý chất lượng (QA/QC)</t>
        </is>
      </c>
      <c r="K5671" t="inlineStr">
        <is>
          <t>Trên 1 Năm</t>
        </is>
      </c>
      <c r="L5671" s="8">
        <f>HYPERLINK("https://careerviet.vn/vi/tim-viec-lam/ky-su-qs.35C63BDF.html","Xem chi tiết")</f>
        <v/>
      </c>
    </row>
    <row r="5672">
      <c r="B5672" s="9" t="n">
        <v>5670</v>
      </c>
      <c r="C5672" s="10" t="inlineStr">
        <is>
          <t>CHUYÊN VIÊN KINH DOANH</t>
        </is>
      </c>
      <c r="D5672" s="10" t="inlineStr">
        <is>
          <t>CÔNG TY CỔ PHẦN ĐẦU TƯ ĐỊA ỐC VẠN PHÚC</t>
        </is>
      </c>
      <c r="E5672" s="10" t="inlineStr">
        <is>
          <t>Lương:Cạnh tranh</t>
        </is>
      </c>
      <c r="F5672" s="10" t="inlineStr">
        <is>
          <t>Hồ Chí Minh</t>
        </is>
      </c>
      <c r="G5672" s="10" t="inlineStr">
        <is>
          <t>24-03-2026</t>
        </is>
      </c>
      <c r="H5672" s="10" t="inlineStr">
        <is>
          <t>24/03/2026</t>
        </is>
      </c>
      <c r="I5672" s="10" t="inlineStr">
        <is>
          <t>17/03/2026</t>
        </is>
      </c>
      <c r="J5672" s="10" t="inlineStr">
        <is>
          <t>Bất động sản, Bán lẻ / Bán sỉ, Bán hàng / Kinh doanh</t>
        </is>
      </c>
      <c r="K5672" s="10" t="inlineStr">
        <is>
          <t>2 - 10 Năm</t>
        </is>
      </c>
      <c r="L5672" s="11">
        <f>HYPERLINK("https://careerviet.vn/vi/tim-viec-lam/chuyen-vien-kinh-doanh.35C63BD7.html","Xem chi tiết")</f>
        <v/>
      </c>
      <c r="M5672" s="10" t="n"/>
    </row>
    <row r="5673">
      <c r="B5673" s="7" t="n">
        <v>5671</v>
      </c>
      <c r="C5673" t="inlineStr">
        <is>
          <t>Nhân viên an toàn môi trường và an toàn PCCC ( HSE)</t>
        </is>
      </c>
      <c r="D5673" t="inlineStr">
        <is>
          <t>Công Ty TNHH Công Nghiệp Kolon Bình Dương</t>
        </is>
      </c>
      <c r="E5673" t="inlineStr">
        <is>
          <t>Lương:12,5 Tr - 15 Tr VND</t>
        </is>
      </c>
      <c r="F5673" t="inlineStr">
        <is>
          <t>Bình Dương</t>
        </is>
      </c>
      <c r="G5673" t="inlineStr">
        <is>
          <t>24-03-2026</t>
        </is>
      </c>
      <c r="H5673" t="inlineStr">
        <is>
          <t>24/03/2026</t>
        </is>
      </c>
      <c r="I5673" t="inlineStr">
        <is>
          <t>17/03/2026</t>
        </is>
      </c>
      <c r="J5673" t="inlineStr">
        <is>
          <t>Môi trường, An toàn lao động</t>
        </is>
      </c>
      <c r="K5673" t="inlineStr">
        <is>
          <t>N/A</t>
        </is>
      </c>
      <c r="L5673" s="8">
        <f>HYPERLINK("https://careerviet.vn/vi/tim-viec-lam/nhan-vien-an-toan-moi-truong-va-an-toan-pccc-hse.35C63B06.html","Xem chi tiết")</f>
        <v/>
      </c>
    </row>
    <row r="5674">
      <c r="B5674" s="9" t="n">
        <v>5672</v>
      </c>
      <c r="C5674" s="10" t="inlineStr">
        <is>
          <t>Nhân viên Thiết kế khuôn nhựa 27531 - KCN Amata, Đồng Nai</t>
        </is>
      </c>
      <c r="D5674" s="10" t="inlineStr">
        <is>
          <t>Công Ty TNHH Reeracoen Việt Nam</t>
        </is>
      </c>
      <c r="E5674" s="10" t="inlineStr">
        <is>
          <t>Lương:15 Tr - 17 Tr VND</t>
        </is>
      </c>
      <c r="F5674" s="10" t="inlineStr">
        <is>
          <t>Đồng Nai</t>
        </is>
      </c>
      <c r="G5674" s="10" t="inlineStr">
        <is>
          <t>24-03-2026</t>
        </is>
      </c>
      <c r="H5674" s="10" t="inlineStr">
        <is>
          <t>24/03/2026</t>
        </is>
      </c>
      <c r="I5674" s="10" t="inlineStr">
        <is>
          <t>17/03/2026</t>
        </is>
      </c>
      <c r="J5674" s="10" t="inlineStr">
        <is>
          <t>Cơ khí / Ô tô / Tự động hóa, Điện / Điện tử / Điện lạnh / Điện công nghiệp, Bảo trì / Sửa chữa</t>
        </is>
      </c>
      <c r="K5674" s="10" t="inlineStr">
        <is>
          <t>Trên 5 Năm</t>
        </is>
      </c>
      <c r="L5674" s="11">
        <f>HYPERLINK("https://careerviet.vn/vi/tim-viec-lam/nhan-vien-thiet-ke-khuon-nhua-27531-kcn-amata-dong-nai.35C6667C.html","Xem chi tiết")</f>
        <v/>
      </c>
      <c r="M5674" s="10" t="n"/>
    </row>
    <row r="5675">
      <c r="B5675" s="7" t="n">
        <v>5673</v>
      </c>
      <c r="C5675" t="inlineStr">
        <is>
          <t>NHÂN VIÊN NHÂN SỰ- TUYỂN DỤNG- LAO ĐỘNG- TIỀN LƯƠNG</t>
        </is>
      </c>
      <c r="D5675" t="inlineStr">
        <is>
          <t>Công ty Cổ phần Phân Phối Thực Phẩm và Hàng Tiêu Dùng Việt Nam</t>
        </is>
      </c>
      <c r="E5675" t="inlineStr">
        <is>
          <t>Lương:Cạnh tranh</t>
        </is>
      </c>
      <c r="F5675" t="inlineStr">
        <is>
          <t>Hà Nội</t>
        </is>
      </c>
      <c r="G5675" t="inlineStr">
        <is>
          <t>23-03-2026</t>
        </is>
      </c>
      <c r="H5675" t="inlineStr">
        <is>
          <t>23/03/2026</t>
        </is>
      </c>
      <c r="I5675" t="inlineStr">
        <is>
          <t>17/03/2026</t>
        </is>
      </c>
      <c r="J5675" t="inlineStr">
        <is>
          <t>Hành chính / Thư ký, Nhân sự, Xuất nhập khẩu</t>
        </is>
      </c>
      <c r="K5675" t="inlineStr">
        <is>
          <t>2 - 5 Năm</t>
        </is>
      </c>
      <c r="L5675" s="8">
        <f>HYPERLINK("https://careerviet.vn/vi/tim-viec-lam/nhan-vien-nhan-su-tuyen-dung-lao-dong-tien-luong.35C66638.html","Xem chi tiết")</f>
        <v/>
      </c>
    </row>
    <row r="5676">
      <c r="B5676" s="9" t="n">
        <v>5674</v>
      </c>
      <c r="C5676" s="10" t="inlineStr">
        <is>
          <t>CHUYÊN VIÊN DỊCH VỤ XUẤT NHẬP KHẨU (20TR - 25TR) - MẠNH CHUYÊN MÔN</t>
        </is>
      </c>
      <c r="D5676" s="10" t="inlineStr">
        <is>
          <t>CÔNG TY TNHH PHÁT TRIỂN THƯƠNG HIỆU VÀ DỊCH VỤ KẾT NỐI BÁN LẺ CHÂU Á</t>
        </is>
      </c>
      <c r="E5676" s="10" t="inlineStr">
        <is>
          <t>Lương:20 Tr - 25 Tr VND</t>
        </is>
      </c>
      <c r="F5676" s="10" t="inlineStr">
        <is>
          <t>Hồ Chí Minh</t>
        </is>
      </c>
      <c r="G5676" s="10" t="inlineStr">
        <is>
          <t>24-03-2026</t>
        </is>
      </c>
      <c r="H5676" s="10" t="inlineStr">
        <is>
          <t>24/03/2026</t>
        </is>
      </c>
      <c r="I5676" s="10" t="inlineStr">
        <is>
          <t>17/03/2026</t>
        </is>
      </c>
      <c r="J5676" s="10" t="inlineStr">
        <is>
          <t>Vận chuyển / Giao nhận / Kho vận, Xuất nhập khẩu, Thu mua / Vật tư</t>
        </is>
      </c>
      <c r="K5676" s="10" t="inlineStr">
        <is>
          <t>Trên 5 Năm</t>
        </is>
      </c>
      <c r="L5676" s="11">
        <f>HYPERLINK("https://careerviet.vn/vi/tim-viec-lam/chuyen-vien-dich-vu-xuat-nhap-khau-20tr-25tr-manh-chuyen-mon.35C6675F.html","Xem chi tiết")</f>
        <v/>
      </c>
      <c r="M5676" s="10" t="n"/>
    </row>
    <row r="5677">
      <c r="B5677" s="7" t="n">
        <v>5675</v>
      </c>
      <c r="C5677" t="inlineStr">
        <is>
          <t>[Hà Nội] Giám Sát Bán Hàng Kênh Khách Hàng Trọng Điểm - Modern Trade</t>
        </is>
      </c>
      <c r="D5677" t="inlineStr">
        <is>
          <t>Coca-Cola Beverages Vietnam</t>
        </is>
      </c>
      <c r="E5677" t="inlineStr">
        <is>
          <t>Lương:Cạnh tranh</t>
        </is>
      </c>
      <c r="F5677" t="inlineStr">
        <is>
          <t>Hà Nội</t>
        </is>
      </c>
      <c r="G5677" t="inlineStr">
        <is>
          <t>24-03-2026</t>
        </is>
      </c>
      <c r="H5677" t="inlineStr">
        <is>
          <t>24/03/2026</t>
        </is>
      </c>
      <c r="I5677" t="inlineStr">
        <is>
          <t>17/03/2026</t>
        </is>
      </c>
      <c r="J5677" t="inlineStr">
        <is>
          <t>Bán hàng / Kinh doanh</t>
        </is>
      </c>
      <c r="K5677" t="inlineStr">
        <is>
          <t>1 - 10 Năm</t>
        </is>
      </c>
      <c r="L5677" s="8">
        <f>HYPERLINK("https://careerviet.vn/vi/tim-viec-lam/ha-noi-giam-sat-ban-hang-kenh-khach-hang-trong-diem-modern-trade.35C6667A.html","Xem chi tiết")</f>
        <v/>
      </c>
    </row>
    <row r="5678">
      <c r="B5678" s="9" t="n">
        <v>5676</v>
      </c>
      <c r="C5678" s="10" t="inlineStr">
        <is>
          <t>[Khu vực HCM] - CV/CVC/CVCC Quan hệ Khách hàng Priority</t>
        </is>
      </c>
      <c r="D5678" s="10" t="inlineStr">
        <is>
          <t>Ngân hàng TMCP Lộc Phát Việt Nam (LPBank)</t>
        </is>
      </c>
      <c r="E5678" s="10" t="inlineStr">
        <is>
          <t>Lương:Cạnh tranh</t>
        </is>
      </c>
      <c r="F5678" s="10" t="inlineStr">
        <is>
          <t>Hồ Chí Minh</t>
        </is>
      </c>
      <c r="G5678" s="10" t="inlineStr">
        <is>
          <t>24-03-2026</t>
        </is>
      </c>
      <c r="H5678" s="10" t="inlineStr">
        <is>
          <t>24/03/2026</t>
        </is>
      </c>
      <c r="I5678" s="10" t="inlineStr">
        <is>
          <t>17/03/2026</t>
        </is>
      </c>
      <c r="J5678" s="10" t="inlineStr">
        <is>
          <t>Bán hàng / Kinh doanh, Bất động sản, Dịch vụ khách hàng</t>
        </is>
      </c>
      <c r="K5678" s="10" t="inlineStr">
        <is>
          <t>3 - 10 Năm</t>
        </is>
      </c>
      <c r="L5678" s="11">
        <f>HYPERLINK("https://careerviet.vn/vi/tim-viec-lam/khu-vuc-hcm-cv-cvc-cvcc-quan-he-khach-hang-priority.35C66664.html","Xem chi tiết")</f>
        <v/>
      </c>
      <c r="M5678" s="10" t="n"/>
    </row>
    <row r="5679">
      <c r="B5679" s="7" t="n">
        <v>5677</v>
      </c>
      <c r="C5679" t="inlineStr">
        <is>
          <t>Chuyên viên Forwarder</t>
        </is>
      </c>
      <c r="D5679" t="inlineStr">
        <is>
          <t>CÔNG TY TNHH M&amp;M MILITZER &amp; MUENCH VIỆT NAM</t>
        </is>
      </c>
      <c r="E5679" t="inlineStr">
        <is>
          <t>Lương:Cạnh tranh</t>
        </is>
      </c>
      <c r="F5679" t="inlineStr">
        <is>
          <t>Hồ Chí Minh</t>
        </is>
      </c>
      <c r="G5679" t="inlineStr">
        <is>
          <t>24-03-2026</t>
        </is>
      </c>
      <c r="H5679" t="inlineStr">
        <is>
          <t>24/03/2026</t>
        </is>
      </c>
      <c r="I5679" t="inlineStr">
        <is>
          <t>17/03/2026</t>
        </is>
      </c>
      <c r="J5679" t="inlineStr">
        <is>
          <t>Bán hàng / Kinh doanh, Vận chuyển / Giao nhận / Kho vận, Xuất nhập khẩu</t>
        </is>
      </c>
      <c r="K5679" t="inlineStr">
        <is>
          <t>3 - 5 Năm</t>
        </is>
      </c>
      <c r="L5679" s="8">
        <f>HYPERLINK("https://careerviet.vn/vi/tim-viec-lam/chuyen-vien-forwarder.35C66661.html","Xem chi tiết")</f>
        <v/>
      </c>
    </row>
    <row r="5680">
      <c r="B5680" s="9" t="n">
        <v>5678</v>
      </c>
      <c r="C5680" s="10" t="inlineStr">
        <is>
          <t>Chuyên viên Cao cấp Quản lý Rủi ro Thị trường, Thanh khoản - Hội  sở HDBank (HCM)</t>
        </is>
      </c>
      <c r="D5680" s="10" t="inlineStr">
        <is>
          <t>Ngân hàng TMCP Phát triển TP.HCM (HDBank)</t>
        </is>
      </c>
      <c r="E5680" s="10" t="inlineStr">
        <is>
          <t>Lương:Cạnh tranh</t>
        </is>
      </c>
      <c r="F5680" s="10" t="inlineStr">
        <is>
          <t>Hồ Chí Minh</t>
        </is>
      </c>
      <c r="G5680" s="10" t="inlineStr">
        <is>
          <t>24-03-2026</t>
        </is>
      </c>
      <c r="H5680" s="10" t="inlineStr">
        <is>
          <t>24/03/2026</t>
        </is>
      </c>
      <c r="I5680" s="10" t="inlineStr">
        <is>
          <t>17/03/2026</t>
        </is>
      </c>
      <c r="J5680" s="10" t="inlineStr">
        <is>
          <t>Ngân hàng, Chứng khoán, Tài chính / Đầu tư</t>
        </is>
      </c>
      <c r="K5680" s="10" t="inlineStr">
        <is>
          <t>1 - 5 Năm</t>
        </is>
      </c>
      <c r="L5680" s="11">
        <f>HYPERLINK("https://careerviet.vn/vi/tim-viec-lam/chuyen-vien-cao-cap-quan-ly-rui-ro-thi-truong-thanh-khoan-hoi-so-hdbank-hcm.35C66676.html","Xem chi tiết")</f>
        <v/>
      </c>
      <c r="M5680" s="10" t="n"/>
    </row>
    <row r="5681">
      <c r="B5681" s="7" t="n">
        <v>5679</v>
      </c>
      <c r="C5681" t="inlineStr">
        <is>
          <t>Chuyên Viên Phát Triển Kinh Doanh</t>
        </is>
      </c>
      <c r="D5681" t="inlineStr">
        <is>
          <t>NGÂN HÀNG TMCP NGOẠI THƯƠNG VIỆT NAM (VIETCOMBANK)</t>
        </is>
      </c>
      <c r="E5681" t="inlineStr">
        <is>
          <t>Lương:Cạnh tranh</t>
        </is>
      </c>
      <c r="F5681" t="inlineStr">
        <is>
          <t>Hà Nội</t>
        </is>
      </c>
      <c r="G5681" t="inlineStr">
        <is>
          <t>24-03-2026</t>
        </is>
      </c>
      <c r="H5681" t="inlineStr">
        <is>
          <t>24/03/2026</t>
        </is>
      </c>
      <c r="I5681" t="inlineStr">
        <is>
          <t>17/03/2026</t>
        </is>
      </c>
      <c r="J5681" t="inlineStr">
        <is>
          <t>Ngân hàng, Bán hàng / Kinh doanh, Tiếp thị / Marketing</t>
        </is>
      </c>
      <c r="K5681" t="inlineStr">
        <is>
          <t>Trên 3 Năm</t>
        </is>
      </c>
      <c r="L5681" s="8">
        <f>HYPERLINK("https://careerviet.vn/vi/tim-viec-lam/chuyen-vien-phat-trien-kinh-doanh.35C667D6.html","Xem chi tiết")</f>
        <v/>
      </c>
    </row>
    <row r="5682">
      <c r="B5682" s="9" t="n">
        <v>5680</v>
      </c>
      <c r="C5682" s="10" t="inlineStr">
        <is>
          <t>Giám đốc Chi Nhánh (Khu vực TP. Hồ Chí Minh, Tiền Giang, Gia Lai)</t>
        </is>
      </c>
      <c r="D5682" s="10" t="inlineStr">
        <is>
          <t>NGÂN HÀNG TMCP KỸ THƯƠNG VIỆT NAM (TECHCOMBANK)</t>
        </is>
      </c>
      <c r="E5682" s="10" t="inlineStr">
        <is>
          <t>Lương:Cạnh tranh</t>
        </is>
      </c>
      <c r="F5682" s="10" t="inlineStr">
        <is>
          <t>Hồ Chí MinhTiền GiangGia Lai</t>
        </is>
      </c>
      <c r="G5682" s="10" t="inlineStr">
        <is>
          <t>24-03-2026</t>
        </is>
      </c>
      <c r="H5682" s="10" t="inlineStr">
        <is>
          <t>24/03/2026</t>
        </is>
      </c>
      <c r="I5682" s="10" t="inlineStr">
        <is>
          <t>17/03/2026</t>
        </is>
      </c>
      <c r="J5682" s="10" t="inlineStr">
        <is>
          <t>Ngân hàng, Tài chính / Đầu tư, Quản lý điều hành</t>
        </is>
      </c>
      <c r="K5682" s="10" t="inlineStr">
        <is>
          <t>Trên 8 Năm</t>
        </is>
      </c>
      <c r="L5682" s="11">
        <f>HYPERLINK("https://careerviet.vn/vi/tim-viec-lam/giam-doc-chi-nhanh-khu-vuc-tp-ho-chi-minh-tien-giang-gia-lai.35C63C31.html","Xem chi tiết")</f>
        <v/>
      </c>
      <c r="M5682" s="10" t="n"/>
    </row>
    <row r="5683">
      <c r="B5683" s="7" t="n">
        <v>5681</v>
      </c>
      <c r="C5683" t="inlineStr">
        <is>
          <t>Chuyên Viên Tuyển Dụng</t>
        </is>
      </c>
      <c r="D5683" t="inlineStr">
        <is>
          <t>Công Ty Cổ Phần Vincom Retail</t>
        </is>
      </c>
      <c r="E5683" t="inlineStr">
        <is>
          <t>Lương:1.000 - 2.000 USD</t>
        </is>
      </c>
      <c r="F5683" t="inlineStr">
        <is>
          <t>Hà Nội</t>
        </is>
      </c>
      <c r="G5683" t="inlineStr">
        <is>
          <t>24-03-2026</t>
        </is>
      </c>
      <c r="H5683" t="inlineStr">
        <is>
          <t>24/03/2026</t>
        </is>
      </c>
      <c r="I5683" t="inlineStr">
        <is>
          <t>17/03/2026</t>
        </is>
      </c>
      <c r="J5683" t="inlineStr">
        <is>
          <t>Luật / Pháp lý, Hành chính / Thư ký, Nhân sự</t>
        </is>
      </c>
      <c r="K5683" t="inlineStr">
        <is>
          <t>N/A</t>
        </is>
      </c>
      <c r="L5683" s="8">
        <f>HYPERLINK("https://careerviet.vn/vi/tim-viec-lam/chuyen-vien-tuyen-dung.35C66774.html","Xem chi tiết")</f>
        <v/>
      </c>
    </row>
    <row r="5684">
      <c r="B5684" s="9" t="n">
        <v>5682</v>
      </c>
      <c r="C5684" s="10" t="inlineStr">
        <is>
          <t>Nhân viên hỗ trợ kinh doanh</t>
        </is>
      </c>
      <c r="D5684" s="10" t="inlineStr">
        <is>
          <t>CÔNG TY TNHH PHÁT TRIỂN KỸ THUẬT VIỆT NAM</t>
        </is>
      </c>
      <c r="E5684" s="10" t="inlineStr">
        <is>
          <t>Lương:9 Tr - 12 Tr VND</t>
        </is>
      </c>
      <c r="F5684" s="10" t="inlineStr">
        <is>
          <t>Hồ Chí MinhHà Nội</t>
        </is>
      </c>
      <c r="G5684" s="10" t="inlineStr">
        <is>
          <t>24-03-2026</t>
        </is>
      </c>
      <c r="H5684" s="10" t="inlineStr">
        <is>
          <t>24/03/2026</t>
        </is>
      </c>
      <c r="I5684" s="10" t="inlineStr">
        <is>
          <t>17/03/2026</t>
        </is>
      </c>
      <c r="J5684" s="10" t="inlineStr">
        <is>
          <t>Cơ khí / Ô tô / Tự động hóa, Điện / Điện tử / Điện lạnh / Điện công nghiệp, Bán Hàng Kỹ Thuật</t>
        </is>
      </c>
      <c r="K5684" s="10" t="inlineStr">
        <is>
          <t>Chưa có kinh nghiệm</t>
        </is>
      </c>
      <c r="L5684" s="11">
        <f>HYPERLINK("https://careerviet.vn/vi/tim-viec-lam/nhan-vien-ho-tro-kinh-doanh.35C66359.html","Xem chi tiết")</f>
        <v/>
      </c>
      <c r="M5684" s="10" t="n"/>
    </row>
    <row r="5685">
      <c r="B5685" s="7" t="n">
        <v>5683</v>
      </c>
      <c r="C5685" t="inlineStr">
        <is>
          <t>NHÂN VIÊN VẬN HÀNH HỆ THỐNG XỬ LÝ NƯỚC THẢI</t>
        </is>
      </c>
      <c r="D5685" t="inlineStr">
        <is>
          <t>Công Ty Cổ Phần Del Tech</t>
        </is>
      </c>
      <c r="E5685" t="inlineStr">
        <is>
          <t>Lương:8 Tr - 9 Tr VND</t>
        </is>
      </c>
      <c r="F5685" t="inlineStr">
        <is>
          <t>Long An</t>
        </is>
      </c>
      <c r="G5685" t="inlineStr">
        <is>
          <t>24-03-2026</t>
        </is>
      </c>
      <c r="H5685" t="inlineStr">
        <is>
          <t>24/03/2026</t>
        </is>
      </c>
      <c r="I5685" t="inlineStr">
        <is>
          <t>17/03/2026</t>
        </is>
      </c>
      <c r="J5685" t="inlineStr">
        <is>
          <t>Môi trường, Bảo trì / Sửa chữa</t>
        </is>
      </c>
      <c r="K5685" t="inlineStr">
        <is>
          <t>Lên đến 1 Năm</t>
        </is>
      </c>
      <c r="L5685" s="8">
        <f>HYPERLINK("https://careerviet.vn/vi/tim-viec-lam/nhan-vien-van-hanh-he-thong-xu-ly-nuoc-thai.35C63AEE.html","Xem chi tiết")</f>
        <v/>
      </c>
    </row>
    <row r="5686">
      <c r="B5686" s="9" t="n">
        <v>5684</v>
      </c>
      <c r="C5686" s="10" t="inlineStr">
        <is>
          <t>Nhân Viên Kỹ Thuật Tòa Nhà</t>
        </is>
      </c>
      <c r="D5686" s="10" t="inlineStr">
        <is>
          <t>Công Ty Cổ Phần Vincom Retail</t>
        </is>
      </c>
      <c r="E5686" s="10" t="inlineStr">
        <is>
          <t>Lương:10 Tr - 12 Tr VND</t>
        </is>
      </c>
      <c r="F5686" s="10" t="inlineStr">
        <is>
          <t>Đà NẵngHà Nội</t>
        </is>
      </c>
      <c r="G5686" s="10" t="inlineStr">
        <is>
          <t>24-03-2026</t>
        </is>
      </c>
      <c r="H5686" s="10" t="inlineStr">
        <is>
          <t>24/03/2026</t>
        </is>
      </c>
      <c r="I5686" s="10" t="inlineStr">
        <is>
          <t>17/03/2026</t>
        </is>
      </c>
      <c r="J5686" s="10" t="inlineStr">
        <is>
          <t>Cơ khí / Ô tô / Tự động hóa, Điện / Điện tử / Điện lạnh / Điện công nghiệp, Bảo trì / Sửa chữa</t>
        </is>
      </c>
      <c r="K5686" s="10" t="inlineStr">
        <is>
          <t>1 - 3 Năm</t>
        </is>
      </c>
      <c r="L5686" s="11">
        <f>HYPERLINK("https://careerviet.vn/vi/tim-viec-lam/nhan-vien-ky-thuat-toa-nha.35C66776.html","Xem chi tiết")</f>
        <v/>
      </c>
      <c r="M5686" s="10" t="n"/>
    </row>
    <row r="5687">
      <c r="B5687" s="7" t="n">
        <v>5685</v>
      </c>
      <c r="C5687" t="inlineStr">
        <is>
          <t>Nhân viên bảo lãnh viện phí</t>
        </is>
      </c>
      <c r="D5687" t="inlineStr">
        <is>
          <t>BỆNH VIỆN ĐA KHOA PHƯƠNG ĐÔNG</t>
        </is>
      </c>
      <c r="E5687" t="inlineStr">
        <is>
          <t>Lương:8 Tr - 12 Tr VND</t>
        </is>
      </c>
      <c r="F5687" t="inlineStr">
        <is>
          <t>Hà Nội</t>
        </is>
      </c>
      <c r="G5687" t="inlineStr">
        <is>
          <t>24-03-2026</t>
        </is>
      </c>
      <c r="H5687" t="inlineStr">
        <is>
          <t>24/03/2026</t>
        </is>
      </c>
      <c r="I5687" t="inlineStr">
        <is>
          <t>17/03/2026</t>
        </is>
      </c>
      <c r="J5687" t="inlineStr">
        <is>
          <t>Bảo hiểm</t>
        </is>
      </c>
      <c r="K5687" t="inlineStr">
        <is>
          <t>N/A</t>
        </is>
      </c>
      <c r="L5687" s="8">
        <f>HYPERLINK("https://careerviet.vn/vi/tim-viec-lam/nhan-vien-bao-lanh-vien-phi.35C63B16.html","Xem chi tiết")</f>
        <v/>
      </c>
    </row>
    <row r="5688">
      <c r="B5688" s="9" t="n">
        <v>5686</v>
      </c>
      <c r="C5688" s="10" t="inlineStr">
        <is>
          <t>NHÂN VIÊN TUYỂN DỤNG</t>
        </is>
      </c>
      <c r="D5688" s="10" t="inlineStr">
        <is>
          <t>CÔNG TY TNHH ĐẦU TƯ VÀ PHÁT TRIỂN NGUỒN NHÂN LỰC 365 SHR</t>
        </is>
      </c>
      <c r="E5688" s="10" t="inlineStr">
        <is>
          <t>Lương:7 Tr - 25 Tr VND</t>
        </is>
      </c>
      <c r="F5688" s="10" t="inlineStr">
        <is>
          <t>Bình Dương</t>
        </is>
      </c>
      <c r="G5688" s="10" t="inlineStr">
        <is>
          <t>24-03-2026</t>
        </is>
      </c>
      <c r="H5688" s="10" t="inlineStr">
        <is>
          <t>24/03/2026</t>
        </is>
      </c>
      <c r="I5688" s="10" t="inlineStr">
        <is>
          <t>17/03/2026</t>
        </is>
      </c>
      <c r="J5688" s="10" t="inlineStr">
        <is>
          <t>Hành chính / Thư ký, Nhân sự, Tư vấn</t>
        </is>
      </c>
      <c r="K5688" s="10" t="inlineStr">
        <is>
          <t>N/A</t>
        </is>
      </c>
      <c r="L5688" s="11">
        <f>HYPERLINK("https://careerviet.vn/vi/tim-viec-lam/nhan-vien-tuyen-dung.35C66690.html","Xem chi tiết")</f>
        <v/>
      </c>
      <c r="M5688" s="10" t="n"/>
    </row>
    <row r="5689">
      <c r="B5689" s="7" t="n">
        <v>5687</v>
      </c>
      <c r="C5689" t="inlineStr">
        <is>
          <t>Chuyên viên cao cấp - Kế toán Sản xuất</t>
        </is>
      </c>
      <c r="D5689" t="inlineStr">
        <is>
          <t>CÔNG TY TNHH MTV CHẾ TÁC VÀ KINH DOANH TRANG SỨC PNJ</t>
        </is>
      </c>
      <c r="E5689" t="inlineStr">
        <is>
          <t>Lương:19 Tr - 23 Tr VND</t>
        </is>
      </c>
      <c r="F5689" t="inlineStr">
        <is>
          <t>Long An</t>
        </is>
      </c>
      <c r="G5689" t="inlineStr">
        <is>
          <t>24-03-2026</t>
        </is>
      </c>
      <c r="H5689" t="inlineStr">
        <is>
          <t>24/03/2026</t>
        </is>
      </c>
      <c r="I5689" t="inlineStr">
        <is>
          <t>17/03/2026</t>
        </is>
      </c>
      <c r="J5689" t="inlineStr">
        <is>
          <t>Kế toán / Kiểm toán, Tài chính / Đầu tư, Sản xuất / Vận hành sản xuất</t>
        </is>
      </c>
      <c r="K5689" t="inlineStr">
        <is>
          <t>3 - 4 Năm</t>
        </is>
      </c>
      <c r="L5689" s="8">
        <f>HYPERLINK("https://careerviet.vn/vi/tim-viec-lam/chuyen-vien-cao-cap-ke-toan-san-xuat.35C63BF9.html","Xem chi tiết")</f>
        <v/>
      </c>
    </row>
    <row r="5690">
      <c r="B5690" s="9" t="n">
        <v>5688</v>
      </c>
      <c r="C5690" s="10" t="inlineStr">
        <is>
          <t>Kỹ sư Cơ Điện (Sản xuất Keo Siêu Dính)</t>
        </is>
      </c>
      <c r="D5690" s="10" t="inlineStr">
        <is>
          <t>Công Ty TNHH Sản Xuất Keo Dán Thuận Nguyên</t>
        </is>
      </c>
      <c r="E5690" s="10" t="inlineStr">
        <is>
          <t>Lương:15 Tr - 20 Tr VND</t>
        </is>
      </c>
      <c r="F5690" s="10" t="inlineStr">
        <is>
          <t>Hưng Yên</t>
        </is>
      </c>
      <c r="G5690" s="10" t="inlineStr">
        <is>
          <t>24-03-2026</t>
        </is>
      </c>
      <c r="H5690" s="10" t="inlineStr">
        <is>
          <t>24/03/2026</t>
        </is>
      </c>
      <c r="I5690" s="10" t="inlineStr">
        <is>
          <t>17/03/2026</t>
        </is>
      </c>
      <c r="J5690" s="10" t="inlineStr">
        <is>
          <t>Điện / Điện tử / Điện lạnh / Điện công nghiệp</t>
        </is>
      </c>
      <c r="K5690" s="10" t="inlineStr">
        <is>
          <t>2 - 4 Năm</t>
        </is>
      </c>
      <c r="L5690" s="11">
        <f>HYPERLINK("https://careerviet.vn/vi/tim-viec-lam/ky-su-co-dien-san-xuat-keo-sieu-dinh.35C66644.html","Xem chi tiết")</f>
        <v/>
      </c>
      <c r="M5690" s="10" t="n"/>
    </row>
    <row r="5691">
      <c r="B5691" s="7" t="n">
        <v>5689</v>
      </c>
      <c r="C5691" t="inlineStr">
        <is>
          <t>GGEC - TUYỂN DỤNG CHỦ QUẢN  EHS Nhận Việc Ngay</t>
        </is>
      </c>
      <c r="D5691" t="inlineStr">
        <is>
          <t>CÔNG TY TNHH ĐIỆN KHÍ QUỐC QUANG (VIỆT NAM)</t>
        </is>
      </c>
      <c r="E5691" t="inlineStr">
        <is>
          <t>Lương:Cạnh tranh</t>
        </is>
      </c>
      <c r="F5691" t="inlineStr">
        <is>
          <t>Quảng NamĐà Nẵng</t>
        </is>
      </c>
      <c r="G5691" t="inlineStr">
        <is>
          <t>24-03-2026</t>
        </is>
      </c>
      <c r="H5691" t="inlineStr">
        <is>
          <t>24/03/2026</t>
        </is>
      </c>
      <c r="I5691" t="inlineStr">
        <is>
          <t>17/03/2026</t>
        </is>
      </c>
      <c r="J5691" t="inlineStr">
        <is>
          <t>Môi trường, Sản xuất / Vận hành sản xuất, An toàn lao động</t>
        </is>
      </c>
      <c r="K5691" t="inlineStr">
        <is>
          <t>3 - 5 Năm</t>
        </is>
      </c>
      <c r="L5691" s="8">
        <f>HYPERLINK("https://careerviet.vn/vi/tim-viec-lam/ggec-tuyen-dung-chu-quan-ehs-nhan-viec-ngay.35C666DC.html","Xem chi tiết")</f>
        <v/>
      </c>
    </row>
    <row r="5692">
      <c r="B5692" s="9" t="n">
        <v>5690</v>
      </c>
      <c r="C5692" s="10" t="inlineStr">
        <is>
          <t>CVC CVCC Bán Sản Phẩm Cho Vay (Thế chấp)</t>
        </is>
      </c>
      <c r="D5692" s="10" t="inlineStr">
        <is>
          <t>Ngân Hàng TMCP Việt Nam Thịnh Vượng - VPBANK</t>
        </is>
      </c>
      <c r="E5692" s="10" t="inlineStr">
        <is>
          <t>Lương:Cạnh tranh</t>
        </is>
      </c>
      <c r="F5692" s="10" t="inlineStr">
        <is>
          <t>Hồ Chí MinhĐà NẵngQuảng Trị</t>
        </is>
      </c>
      <c r="G5692" s="10" t="inlineStr">
        <is>
          <t>24-03-2026</t>
        </is>
      </c>
      <c r="H5692" s="10" t="inlineStr">
        <is>
          <t>24/03/2026</t>
        </is>
      </c>
      <c r="I5692" s="10" t="inlineStr">
        <is>
          <t>17/03/2026</t>
        </is>
      </c>
      <c r="J5692" s="10" t="inlineStr">
        <is>
          <t>Bán hàng / Kinh doanh, Ngân hàng</t>
        </is>
      </c>
      <c r="K5692" s="10" t="inlineStr">
        <is>
          <t>2 - 3 Năm</t>
        </is>
      </c>
      <c r="L5692" s="11">
        <f>HYPERLINK("https://careerviet.vn/vi/tim-viec-lam/cvc-cvcc-ban-san-pham-cho-vay-the-chap.35C6677C.html","Xem chi tiết")</f>
        <v/>
      </c>
      <c r="M5692" s="10" t="n"/>
    </row>
    <row r="5693">
      <c r="B5693" s="7" t="n">
        <v>5691</v>
      </c>
      <c r="C5693" t="inlineStr">
        <is>
          <t>Chuyên Viên Bảo Hiểm</t>
        </is>
      </c>
      <c r="D5693" t="inlineStr">
        <is>
          <t>NGÂN HÀNG TMCP NGOẠI THƯƠNG VIỆT NAM (VIETCOMBANK)</t>
        </is>
      </c>
      <c r="E5693" t="inlineStr">
        <is>
          <t>Lương:Cạnh tranh</t>
        </is>
      </c>
      <c r="F5693" t="inlineStr">
        <is>
          <t>Hà Nội</t>
        </is>
      </c>
      <c r="G5693" t="inlineStr">
        <is>
          <t>24-03-2026</t>
        </is>
      </c>
      <c r="H5693" t="inlineStr">
        <is>
          <t>24/03/2026</t>
        </is>
      </c>
      <c r="I5693" t="inlineStr">
        <is>
          <t>17/03/2026</t>
        </is>
      </c>
      <c r="J5693" t="inlineStr">
        <is>
          <t>Ngân hàng, Bán hàng / Kinh doanh, Bảo hiểm</t>
        </is>
      </c>
      <c r="K5693" t="inlineStr">
        <is>
          <t>Trên 3 Năm</t>
        </is>
      </c>
      <c r="L5693" s="8">
        <f>HYPERLINK("https://careerviet.vn/vi/tim-viec-lam/chuyen-vien-bao-hiem.35C667D5.html","Xem chi tiết")</f>
        <v/>
      </c>
    </row>
    <row r="5694">
      <c r="B5694" s="9" t="n">
        <v>5692</v>
      </c>
      <c r="C5694" s="10" t="inlineStr">
        <is>
          <t>QA Technician</t>
        </is>
      </c>
      <c r="D5694" s="10" t="inlineStr">
        <is>
          <t>Công Ty TNHH Công Nghiệp Kolon Bình Dương</t>
        </is>
      </c>
      <c r="E5694" s="10" t="inlineStr">
        <is>
          <t>Lương:10 Tr - 12 Tr VND</t>
        </is>
      </c>
      <c r="F5694" s="10" t="inlineStr">
        <is>
          <t>Bình Dương</t>
        </is>
      </c>
      <c r="G5694" s="10" t="inlineStr">
        <is>
          <t>24-03-2026</t>
        </is>
      </c>
      <c r="H5694" s="10" t="inlineStr">
        <is>
          <t>24/03/2026</t>
        </is>
      </c>
      <c r="I5694" s="10" t="inlineStr">
        <is>
          <t>17/03/2026</t>
        </is>
      </c>
      <c r="J5694" s="10" t="inlineStr">
        <is>
          <t>Công nghệ sinh học, Hóa học, Quản lý chất lượng (QA/QC)</t>
        </is>
      </c>
      <c r="K5694" s="10" t="inlineStr">
        <is>
          <t>N/A</t>
        </is>
      </c>
      <c r="L5694" s="11">
        <f>HYPERLINK("https://careerviet.vn/vi/tim-viec-lam/qa-technician.35C63AFB.html","Xem chi tiết")</f>
        <v/>
      </c>
      <c r="M5694" s="10" t="n"/>
    </row>
    <row r="5695">
      <c r="B5695" s="7" t="n">
        <v>5693</v>
      </c>
      <c r="C5695" t="inlineStr">
        <is>
          <t>TRỢ LÝ KHU VỰC ( Biết Tiếng Trung)</t>
        </is>
      </c>
      <c r="D5695" t="inlineStr">
        <is>
          <t>Công Ty TNHH BEST Logistics Technology (Việt Nam)</t>
        </is>
      </c>
      <c r="E5695" t="inlineStr">
        <is>
          <t>Lương:16 Tr - 25 Tr VND</t>
        </is>
      </c>
      <c r="F5695" t="inlineStr">
        <is>
          <t>Bắc Ninh</t>
        </is>
      </c>
      <c r="G5695" t="inlineStr">
        <is>
          <t>24-03-2026</t>
        </is>
      </c>
      <c r="H5695" t="inlineStr">
        <is>
          <t>24/03/2026</t>
        </is>
      </c>
      <c r="I5695" t="inlineStr">
        <is>
          <t>17/03/2026</t>
        </is>
      </c>
      <c r="J5695" t="inlineStr">
        <is>
          <t>Hành chính / Thư ký, Quản lý điều hành</t>
        </is>
      </c>
      <c r="K5695" t="inlineStr">
        <is>
          <t>N/A</t>
        </is>
      </c>
      <c r="L5695" s="8">
        <f>HYPERLINK("https://careerviet.vn/vi/tim-viec-lam/tro-ly-khu-vuc-biet-tieng-trung.35C63C1F.html","Xem chi tiết")</f>
        <v/>
      </c>
    </row>
    <row r="5696">
      <c r="B5696" s="9" t="n">
        <v>5694</v>
      </c>
      <c r="C5696" s="10" t="inlineStr">
        <is>
          <t>Import/Export document officer /Intern</t>
        </is>
      </c>
      <c r="D5696" s="10" t="inlineStr">
        <is>
          <t>CONG TY TNHH WONCHANG LOGISTICS</t>
        </is>
      </c>
      <c r="E5696" s="10" t="inlineStr">
        <is>
          <t>Lương:Cạnh tranh</t>
        </is>
      </c>
      <c r="F5696" s="10" t="inlineStr">
        <is>
          <t>Hồ Chí Minh</t>
        </is>
      </c>
      <c r="G5696" s="10" t="inlineStr">
        <is>
          <t>5</t>
        </is>
      </c>
      <c r="H5696" s="10" t="inlineStr">
        <is>
          <t>22/03/2026</t>
        </is>
      </c>
      <c r="I5696" s="10" t="inlineStr">
        <is>
          <t>17/03/2026</t>
        </is>
      </c>
      <c r="J5696" s="10" t="inlineStr">
        <is>
          <t>Xuất nhập khẩu</t>
        </is>
      </c>
      <c r="K5696" s="10" t="inlineStr">
        <is>
          <t>N/A</t>
        </is>
      </c>
      <c r="L5696" s="11">
        <f>HYPERLINK("https://careerviet.vn/vi/tim-viec-lam/import-export-document-officer-intern.35C68CF4.html","Xem chi tiết")</f>
        <v/>
      </c>
      <c r="M5696" s="10" t="n"/>
    </row>
    <row r="5697">
      <c r="B5697" s="7" t="n">
        <v>5695</v>
      </c>
      <c r="C5697" t="inlineStr">
        <is>
          <t>Chuyên Viên Kế Toán Dự Án</t>
        </is>
      </c>
      <c r="D5697" t="inlineStr">
        <is>
          <t>Công Ty Cổ Phần Tập Đoàn Đầu Tư Địa Ốc No Va</t>
        </is>
      </c>
      <c r="E5697" t="inlineStr">
        <is>
          <t>Lương:15 Tr - 20 Tr VND</t>
        </is>
      </c>
      <c r="F5697" t="inlineStr">
        <is>
          <t>Hồ Chí Minh</t>
        </is>
      </c>
      <c r="G5697" t="inlineStr">
        <is>
          <t>24-03-2026</t>
        </is>
      </c>
      <c r="H5697" t="inlineStr">
        <is>
          <t>24/03/2026</t>
        </is>
      </c>
      <c r="I5697" t="inlineStr">
        <is>
          <t>17/03/2026</t>
        </is>
      </c>
      <c r="J5697" t="inlineStr">
        <is>
          <t>Kế toán / Kiểm toán, Tài chính / Đầu tư, Bất động sản</t>
        </is>
      </c>
      <c r="K5697" t="inlineStr">
        <is>
          <t>1 - 3 Năm</t>
        </is>
      </c>
      <c r="L5697" s="8">
        <f>HYPERLINK("https://careerviet.vn/vi/tim-viec-lam/chuyen-vien-ke-toan-du-an.35C66733.html","Xem chi tiết")</f>
        <v/>
      </c>
    </row>
    <row r="5698">
      <c r="B5698" s="9" t="n">
        <v>5696</v>
      </c>
      <c r="C5698" s="10" t="inlineStr">
        <is>
          <t>Nhân viên Kế toán cấp cao 27002 - Quận 1, HCM</t>
        </is>
      </c>
      <c r="D5698" s="10" t="inlineStr">
        <is>
          <t>Công Ty TNHH Reeracoen Việt Nam</t>
        </is>
      </c>
      <c r="E5698" s="10" t="inlineStr">
        <is>
          <t>Lương:26 Tr - 40 Tr VND</t>
        </is>
      </c>
      <c r="F5698" s="10" t="inlineStr">
        <is>
          <t>Hồ Chí Minh</t>
        </is>
      </c>
      <c r="G5698" s="10" t="inlineStr">
        <is>
          <t>24-03-2026</t>
        </is>
      </c>
      <c r="H5698" s="10" t="inlineStr">
        <is>
          <t>24/03/2026</t>
        </is>
      </c>
      <c r="I5698" s="10" t="inlineStr">
        <is>
          <t>17/03/2026</t>
        </is>
      </c>
      <c r="J5698" s="10" t="inlineStr">
        <is>
          <t>Quản lý điều hành, Kế toán / Kiểm toán, Tài chính / Đầu tư</t>
        </is>
      </c>
      <c r="K5698" s="10" t="inlineStr">
        <is>
          <t>Trên 5 Năm</t>
        </is>
      </c>
      <c r="L5698" s="11">
        <f>HYPERLINK("https://careerviet.vn/vi/tim-viec-lam/nhan-vien-ke-toan-cap-cao-27002-quan-1-hcm.35C667B1.html","Xem chi tiết")</f>
        <v/>
      </c>
      <c r="M5698" s="10" t="n"/>
    </row>
    <row r="5699">
      <c r="B5699" s="7" t="n">
        <v>5697</v>
      </c>
      <c r="C5699" t="inlineStr">
        <is>
          <t>Nhân viên QC kho ngoài - Chỉ tuyển nam</t>
        </is>
      </c>
      <c r="D5699" t="inlineStr">
        <is>
          <t>Công Ty TNHH TM &amp; XNK Nhất Lâm</t>
        </is>
      </c>
      <c r="E5699" t="inlineStr">
        <is>
          <t>Lương:9,5 Tr - 11 Tr VND</t>
        </is>
      </c>
      <c r="F5699" t="inlineStr">
        <is>
          <t>Hồ Chí Minh</t>
        </is>
      </c>
      <c r="G5699" t="inlineStr">
        <is>
          <t>24-03-2026</t>
        </is>
      </c>
      <c r="H5699" t="inlineStr">
        <is>
          <t>24/03/2026</t>
        </is>
      </c>
      <c r="I5699" t="inlineStr">
        <is>
          <t>17/03/2026</t>
        </is>
      </c>
      <c r="J5699" t="inlineStr">
        <is>
          <t>Sản xuất / Vận hành sản xuất, Quản lý chất lượng (QA/QC)</t>
        </is>
      </c>
      <c r="K5699" t="inlineStr">
        <is>
          <t>Lên đến 1 Năm</t>
        </is>
      </c>
      <c r="L5699" s="8">
        <f>HYPERLINK("https://careerviet.vn/vi/tim-viec-lam/nhan-vien-qc-kho-ngoai-chi-tuyen-nam.35C66773.html","Xem chi tiết")</f>
        <v/>
      </c>
    </row>
    <row r="5700">
      <c r="B5700" s="9" t="n">
        <v>5698</v>
      </c>
      <c r="C5700" s="10" t="inlineStr">
        <is>
          <t>Chuyên viên cao cấp khách hàng cá nhân (Bình Dương, Đồng Nai, Tây Ninh, Bình Phước)</t>
        </is>
      </c>
      <c r="D5700" s="10" t="inlineStr">
        <is>
          <t>NGÂN HÀNG TMCP KỸ THƯƠNG VIỆT NAM (TECHCOMBANK)</t>
        </is>
      </c>
      <c r="E5700" s="10" t="inlineStr">
        <is>
          <t>Lương:Cạnh tranh</t>
        </is>
      </c>
      <c r="F5700" s="10" t="inlineStr">
        <is>
          <t>Đồng NaiBình PhướcBình Dương</t>
        </is>
      </c>
      <c r="G5700" s="10" t="inlineStr">
        <is>
          <t>24-03-2026</t>
        </is>
      </c>
      <c r="H5700" s="10" t="inlineStr">
        <is>
          <t>24/03/2026</t>
        </is>
      </c>
      <c r="I5700" s="10" t="inlineStr">
        <is>
          <t>17/03/2026</t>
        </is>
      </c>
      <c r="J5700" s="10" t="inlineStr">
        <is>
          <t>Bán hàng / Kinh doanh, Ngân hàng, Tài chính / Đầu tư</t>
        </is>
      </c>
      <c r="K5700" s="10" t="inlineStr">
        <is>
          <t>Trên 5 Năm</t>
        </is>
      </c>
      <c r="L5700" s="11">
        <f>HYPERLINK("https://careerviet.vn/vi/tim-viec-lam/chuyen-vien-cao-cap-khach-hang-ca-nhan-binh-duong-dong-nai-tay-ninh-binh-phuoc.35C63BE4.html","Xem chi tiết")</f>
        <v/>
      </c>
      <c r="M5700" s="10" t="n"/>
    </row>
    <row r="5701">
      <c r="B5701" s="7" t="n">
        <v>5699</v>
      </c>
      <c r="C5701" t="inlineStr">
        <is>
          <t>Nhân viên thiết kế</t>
        </is>
      </c>
      <c r="D5701" t="inlineStr">
        <is>
          <t>BỆNH VIỆN ĐA KHOA PHƯƠNG ĐÔNG</t>
        </is>
      </c>
      <c r="E5701" t="inlineStr">
        <is>
          <t>Lương:9 Tr - 15 Tr VND</t>
        </is>
      </c>
      <c r="F5701" t="inlineStr">
        <is>
          <t>Hà Nội</t>
        </is>
      </c>
      <c r="G5701" t="inlineStr">
        <is>
          <t>01-06-2026</t>
        </is>
      </c>
      <c r="H5701" t="inlineStr">
        <is>
          <t>01/06/2026</t>
        </is>
      </c>
      <c r="I5701" t="inlineStr">
        <is>
          <t>17/03/2026</t>
        </is>
      </c>
      <c r="J5701" t="inlineStr">
        <is>
          <t>Tiếp thị / Marketing</t>
        </is>
      </c>
      <c r="K5701" t="inlineStr">
        <is>
          <t>1 - 3 Năm</t>
        </is>
      </c>
      <c r="L5701" s="8">
        <f>HYPERLINK("https://careerviet.vn/vi/tim-viec-lam/nhan-vien-thiet-ke.35C63AEC.html","Xem chi tiết")</f>
        <v/>
      </c>
    </row>
    <row r="5702">
      <c r="B5702" s="9" t="n">
        <v>5700</v>
      </c>
      <c r="C5702" s="10" t="inlineStr">
        <is>
          <t>[TIAN LONG] QUẢN LÝ/ PHÓ QUẢN LÝ NHÀ HÀNG</t>
        </is>
      </c>
      <c r="D5702" s="10" t="inlineStr">
        <is>
          <t>Công Ty Cổ Phần Tầm Nhìn Quốc Tế Aladdin</t>
        </is>
      </c>
      <c r="E5702" s="10" t="inlineStr">
        <is>
          <t>Lương:15 Tr - 20 Tr VND</t>
        </is>
      </c>
      <c r="F5702" s="10" t="inlineStr">
        <is>
          <t>Hồ Chí Minh</t>
        </is>
      </c>
      <c r="G5702" s="10" t="inlineStr">
        <is>
          <t>30-03-2026</t>
        </is>
      </c>
      <c r="H5702" s="10" t="inlineStr">
        <is>
          <t>30/03/2026</t>
        </is>
      </c>
      <c r="I5702" s="10" t="inlineStr">
        <is>
          <t>17/03/2026</t>
        </is>
      </c>
      <c r="J5702" s="10" t="inlineStr">
        <is>
          <t>Thực phẩm &amp; Đồ uống, Nhà hàng / Khách sạn, Quản lý điều hành</t>
        </is>
      </c>
      <c r="K5702" s="10" t="inlineStr">
        <is>
          <t>2 - 4 Năm</t>
        </is>
      </c>
      <c r="L5702" s="11">
        <f>HYPERLINK("https://careerviet.vn/vi/tim-viec-lam/tian-long-quan-ly-pho-quan-ly-nha-hang.35C68CC2.html","Xem chi tiết")</f>
        <v/>
      </c>
      <c r="M5702" s="10" t="n"/>
    </row>
    <row r="5703">
      <c r="B5703" s="7" t="n">
        <v>5701</v>
      </c>
      <c r="C5703" t="inlineStr">
        <is>
          <t>NHÂN VIÊN HÀNH CHÍNH CHO VĂN PHÒNG ĐẠI DIỆN TẠI HN</t>
        </is>
      </c>
      <c r="D5703" t="inlineStr">
        <is>
          <t>Công ty TNHH AOBA Việt Nam</t>
        </is>
      </c>
      <c r="E5703" t="inlineStr">
        <is>
          <t>Lương:600 - 800 USD</t>
        </is>
      </c>
      <c r="F5703" t="inlineStr">
        <is>
          <t>Hà Nội</t>
        </is>
      </c>
      <c r="G5703" t="inlineStr">
        <is>
          <t>30-04-2026</t>
        </is>
      </c>
      <c r="H5703" t="inlineStr">
        <is>
          <t>30/04/2026</t>
        </is>
      </c>
      <c r="I5703" t="inlineStr">
        <is>
          <t>17/03/2026</t>
        </is>
      </c>
      <c r="J5703" t="inlineStr">
        <is>
          <t>Hành chính / Thư ký</t>
        </is>
      </c>
      <c r="K5703" t="inlineStr">
        <is>
          <t>N/A</t>
        </is>
      </c>
      <c r="L5703" s="8">
        <f>HYPERLINK("https://careerviet.vn/vi/tim-viec-lam/nhan-vien-hanh-chinh-cho-van-phong-dai-dien-tai-hn.35C68CB6.html","Xem chi tiết")</f>
        <v/>
      </c>
    </row>
    <row r="5704">
      <c r="B5704" s="9" t="n">
        <v>5702</v>
      </c>
      <c r="C5704" s="10" t="inlineStr">
        <is>
          <t>Chuyên Viên Đối Tác Nhân Sự Chiến Lược (HRBP)</t>
        </is>
      </c>
      <c r="D5704" s="10" t="inlineStr">
        <is>
          <t>CÔNG TY CỔ PHẦN DƯỢC PHẨM FPT LONG CHÂU</t>
        </is>
      </c>
      <c r="E5704" s="10" t="inlineStr">
        <is>
          <t>Lương:10 Tr - 12 Tr VND</t>
        </is>
      </c>
      <c r="F5704" s="10" t="inlineStr">
        <is>
          <t>Hồ Chí Minh</t>
        </is>
      </c>
      <c r="G5704" s="10" t="inlineStr">
        <is>
          <t>6</t>
        </is>
      </c>
      <c r="H5704" s="10" t="inlineStr">
        <is>
          <t>23/03/2026</t>
        </is>
      </c>
      <c r="I5704" s="10" t="inlineStr">
        <is>
          <t>17/03/2026</t>
        </is>
      </c>
      <c r="J5704" s="10" t="inlineStr">
        <is>
          <t>Nhân sự</t>
        </is>
      </c>
      <c r="K5704" s="10" t="inlineStr">
        <is>
          <t>2 - 5 Năm</t>
        </is>
      </c>
      <c r="L5704" s="11">
        <f>HYPERLINK("https://careerviet.vn/vi/tim-viec-lam/chuyen-vien-doi-tac-nhan-su-chien-luoc-hrbp.35C68CE4.html","Xem chi tiết")</f>
        <v/>
      </c>
      <c r="M5704" s="10" t="n"/>
    </row>
    <row r="5705">
      <c r="B5705" s="7" t="n">
        <v>5703</v>
      </c>
      <c r="C5705" t="inlineStr">
        <is>
          <t>KỸ SƯ QA/QC - TPHCM - Đi làm ngay</t>
        </is>
      </c>
      <c r="D5705" t="inlineStr">
        <is>
          <t>Công ty Cổ phần Liên kết Công nghệ Xây dựng- TELICO</t>
        </is>
      </c>
      <c r="E5705" t="inlineStr">
        <is>
          <t>Lương:20 Tr - 25 Tr VND</t>
        </is>
      </c>
      <c r="F5705" t="inlineStr">
        <is>
          <t>Hồ Chí MinhCần ThơKiên Giang</t>
        </is>
      </c>
      <c r="G5705" t="inlineStr">
        <is>
          <t>24-03-2026</t>
        </is>
      </c>
      <c r="H5705" t="inlineStr">
        <is>
          <t>24/03/2026</t>
        </is>
      </c>
      <c r="I5705" t="inlineStr">
        <is>
          <t>17/03/2026</t>
        </is>
      </c>
      <c r="J5705" t="inlineStr">
        <is>
          <t>Trắc địa / Địa Chất, An toàn lao động, Xây dựng</t>
        </is>
      </c>
      <c r="K5705" t="inlineStr">
        <is>
          <t>N/A</t>
        </is>
      </c>
      <c r="L5705" s="8">
        <f>HYPERLINK("https://careerviet.vn/vi/tim-viec-lam/ky-su-qa-qc-tphcm-di-lam-ngay.35C63B3E.html","Xem chi tiết")</f>
        <v/>
      </c>
    </row>
    <row r="5706">
      <c r="B5706" s="9" t="n">
        <v>5704</v>
      </c>
      <c r="C5706" s="10" t="inlineStr">
        <is>
          <t>Nhân Viên Hành Chính (Đi Làm Ngay)</t>
        </is>
      </c>
      <c r="D5706" s="10" t="inlineStr">
        <is>
          <t>CÔNG TY CỔ PHẦN ĐẦU TƯ VÀNG PHÚ QUÝ</t>
        </is>
      </c>
      <c r="E5706" s="10" t="inlineStr">
        <is>
          <t>Lương:10 Tr - 15 Tr VND</t>
        </is>
      </c>
      <c r="F5706" s="10" t="inlineStr">
        <is>
          <t>Hà Nội</t>
        </is>
      </c>
      <c r="G5706" s="10" t="inlineStr">
        <is>
          <t>31-03-2026</t>
        </is>
      </c>
      <c r="H5706" s="10" t="inlineStr">
        <is>
          <t>31/03/2026</t>
        </is>
      </c>
      <c r="I5706" s="10" t="inlineStr">
        <is>
          <t>17/03/2026</t>
        </is>
      </c>
      <c r="J5706" s="10" t="inlineStr">
        <is>
          <t>Hành chính / Thư ký</t>
        </is>
      </c>
      <c r="K5706" s="10" t="inlineStr">
        <is>
          <t>Trên 1 Năm</t>
        </is>
      </c>
      <c r="L5706" s="11">
        <f>HYPERLINK("https://careerviet.vn/vi/tim-viec-lam/nhan-vien-hanh-chinh-di-lam-ngay.35C68CCD.html","Xem chi tiết")</f>
        <v/>
      </c>
      <c r="M5706" s="10" t="n"/>
    </row>
    <row r="5707">
      <c r="B5707" s="7" t="n">
        <v>5705</v>
      </c>
      <c r="C5707" t="inlineStr">
        <is>
          <t>Quản Lý Kho Miền Nam</t>
        </is>
      </c>
      <c r="D5707" t="inlineStr">
        <is>
          <t>Công ty CP Toshiko Việt Nam</t>
        </is>
      </c>
      <c r="E5707" t="inlineStr">
        <is>
          <t>Lương:15 Tr - 20 Tr VND</t>
        </is>
      </c>
      <c r="F5707" t="inlineStr">
        <is>
          <t>Hồ Chí Minh</t>
        </is>
      </c>
      <c r="G5707" t="inlineStr">
        <is>
          <t>6</t>
        </is>
      </c>
      <c r="H5707" t="inlineStr">
        <is>
          <t>23/03/2026</t>
        </is>
      </c>
      <c r="I5707" t="inlineStr">
        <is>
          <t>17/03/2026</t>
        </is>
      </c>
      <c r="J5707" t="inlineStr">
        <is>
          <t>Bán hàng / Kinh doanh, Vận chuyển / Giao nhận / Kho vận, Quản lý điều hành</t>
        </is>
      </c>
      <c r="K5707" t="inlineStr">
        <is>
          <t>2 - 3 Năm</t>
        </is>
      </c>
      <c r="L5707" s="8">
        <f>HYPERLINK("https://careerviet.vn/vi/tim-viec-lam/quan-ly-kho-mien-nam.35C68CB4.html","Xem chi tiết")</f>
        <v/>
      </c>
    </row>
    <row r="5708">
      <c r="B5708" s="9" t="n">
        <v>5706</v>
      </c>
      <c r="C5708" s="10" t="inlineStr">
        <is>
          <t>Chuyên viên cao cấp thiết kế UI/UX sản phẩm ngân hàng số</t>
        </is>
      </c>
      <c r="D5708" s="10" t="inlineStr">
        <is>
          <t>Ngân hàng Thương mại cổ phần Đông Nam Á (SeABank)</t>
        </is>
      </c>
      <c r="E5708" s="10" t="inlineStr">
        <is>
          <t>Lương:Cạnh tranh</t>
        </is>
      </c>
      <c r="F5708" s="10" t="inlineStr">
        <is>
          <t>Hà Nội</t>
        </is>
      </c>
      <c r="G5708" s="10" t="inlineStr">
        <is>
          <t>24-03-2026</t>
        </is>
      </c>
      <c r="H5708" s="10" t="inlineStr">
        <is>
          <t>24/03/2026</t>
        </is>
      </c>
      <c r="I5708" s="10" t="inlineStr">
        <is>
          <t>17/03/2026</t>
        </is>
      </c>
      <c r="J5708" s="10" t="inlineStr">
        <is>
          <t>Ngân hàng, Mỹ thuật / Nghệ thuật / Thiết kế</t>
        </is>
      </c>
      <c r="K5708" s="10" t="inlineStr">
        <is>
          <t>2 - 5 Năm</t>
        </is>
      </c>
      <c r="L5708" s="11">
        <f>HYPERLINK("https://careerviet.vn/vi/tim-viec-lam/chuyen-vien-cao-cap-thiet-ke-ui-ux-san-pham-ngan-hang-so.35C63BC1.html","Xem chi tiết")</f>
        <v/>
      </c>
      <c r="M5708" s="10" t="n"/>
    </row>
    <row r="5709">
      <c r="B5709" s="7" t="n">
        <v>5707</v>
      </c>
      <c r="C5709" t="inlineStr">
        <is>
          <t>Deputy QA Manager</t>
        </is>
      </c>
      <c r="D5709" t="inlineStr">
        <is>
          <t>ATAD Steel Structure Corporation</t>
        </is>
      </c>
      <c r="E5709" t="inlineStr">
        <is>
          <t>Lương:Cạnh tranh</t>
        </is>
      </c>
      <c r="F5709" t="inlineStr">
        <is>
          <t>Đồng Nai</t>
        </is>
      </c>
      <c r="G5709" t="inlineStr">
        <is>
          <t>24-03-2026</t>
        </is>
      </c>
      <c r="H5709" t="inlineStr">
        <is>
          <t>24/03/2026</t>
        </is>
      </c>
      <c r="I5709" t="inlineStr">
        <is>
          <t>17/03/2026</t>
        </is>
      </c>
      <c r="J5709" t="inlineStr">
        <is>
          <t>Cơ khí / Ô tô / Tự động hóa, Quản lý chất lượng (QA/QC), Xây dựng</t>
        </is>
      </c>
      <c r="K5709" t="inlineStr">
        <is>
          <t>5 - 7 Năm</t>
        </is>
      </c>
      <c r="L5709" s="8">
        <f>HYPERLINK("https://careerviet.vn/vi/tim-viec-lam/deputy-qa-manager.35C63ACC.html","Xem chi tiết")</f>
        <v/>
      </c>
    </row>
    <row r="5710">
      <c r="B5710" s="9" t="n">
        <v>5708</v>
      </c>
      <c r="C5710" s="10" t="inlineStr">
        <is>
          <t>Chuyên Viên Đăng Ký Công Bố Sản Phẩm</t>
        </is>
      </c>
      <c r="D5710" s="10" t="inlineStr">
        <is>
          <t>CÔNG TY TNHH ĐỈNH VIỆT HEALTHCARE &amp; LIFESTYLE</t>
        </is>
      </c>
      <c r="E5710" s="10" t="inlineStr">
        <is>
          <t>Lương:Trên 20 Tr VND</t>
        </is>
      </c>
      <c r="F5710" s="10" t="inlineStr">
        <is>
          <t>Hồ Chí Minh</t>
        </is>
      </c>
      <c r="G5710" s="10" t="inlineStr">
        <is>
          <t>24-03-2026</t>
        </is>
      </c>
      <c r="H5710" s="10" t="inlineStr">
        <is>
          <t>24/03/2026</t>
        </is>
      </c>
      <c r="I5710" s="10" t="inlineStr">
        <is>
          <t>17/03/2026</t>
        </is>
      </c>
      <c r="J5710" s="10" t="inlineStr">
        <is>
          <t>Dược phẩm/ Hóa Mỹ Phẩm, Mỹ thuật / Nghệ thuật / Thiết kế, Sản xuất / Vận hành sản xuất</t>
        </is>
      </c>
      <c r="K5710" s="10" t="inlineStr">
        <is>
          <t>Trên 2 Năm</t>
        </is>
      </c>
      <c r="L5710" s="11">
        <f>HYPERLINK("https://careerviet.vn/vi/tim-viec-lam/chuyen-vien-dang-ky-cong-bo-san-pham.35C63C2A.html","Xem chi tiết")</f>
        <v/>
      </c>
      <c r="M5710" s="10" t="n"/>
    </row>
    <row r="5711">
      <c r="B5711" s="7" t="n">
        <v>5709</v>
      </c>
      <c r="C5711" t="inlineStr">
        <is>
          <t>Receptionist/ Nhân viên Lễ tân  (Đà Nẵng)</t>
        </is>
      </c>
      <c r="D5711" t="inlineStr">
        <is>
          <t>CBRE (Vietnam) Co.,ltd</t>
        </is>
      </c>
      <c r="E5711" t="inlineStr">
        <is>
          <t>Lương:7 Tr - 8 Tr VND</t>
        </is>
      </c>
      <c r="F5711" t="inlineStr">
        <is>
          <t>Đà Nẵng</t>
        </is>
      </c>
      <c r="G5711" t="inlineStr">
        <is>
          <t>24-03-2026</t>
        </is>
      </c>
      <c r="H5711" t="inlineStr">
        <is>
          <t>24/03/2026</t>
        </is>
      </c>
      <c r="I5711" t="inlineStr">
        <is>
          <t>17/03/2026</t>
        </is>
      </c>
      <c r="J5711" t="inlineStr">
        <is>
          <t>Dịch vụ khách hàng, Nhà hàng / Khách sạn, Bất động sản</t>
        </is>
      </c>
      <c r="K5711" t="inlineStr">
        <is>
          <t>1 - 2 Năm</t>
        </is>
      </c>
      <c r="L5711" s="8">
        <f>HYPERLINK("https://careerviet.vn/vi/tim-viec-lam/receptionist-nhan-vien-le-tan-da-nang.35C63B58.html","Xem chi tiết")</f>
        <v/>
      </c>
    </row>
    <row r="5712">
      <c r="B5712" s="9" t="n">
        <v>5710</v>
      </c>
      <c r="C5712" s="10" t="inlineStr">
        <is>
          <t>[QUẬN 1 - HCM] KẾ TOÁN QUẢN LÝ NỘI BỘ</t>
        </is>
      </c>
      <c r="D5712" s="10" t="inlineStr">
        <is>
          <t>CÔNG TY CỔ PHẦN TẬP ĐOÀN UNIS</t>
        </is>
      </c>
      <c r="E5712" s="10" t="inlineStr">
        <is>
          <t>Lương:10 Tr - 12 Tr VND</t>
        </is>
      </c>
      <c r="F5712" s="10" t="inlineStr">
        <is>
          <t>Hồ Chí Minh</t>
        </is>
      </c>
      <c r="G5712" s="10" t="inlineStr">
        <is>
          <t>24-03-2026</t>
        </is>
      </c>
      <c r="H5712" s="10" t="inlineStr">
        <is>
          <t>24/03/2026</t>
        </is>
      </c>
      <c r="I5712" s="10" t="inlineStr">
        <is>
          <t>17/03/2026</t>
        </is>
      </c>
      <c r="J5712" s="10" t="inlineStr">
        <is>
          <t>Bán hàng / Kinh doanh, Kế toán / Kiểm toán</t>
        </is>
      </c>
      <c r="K5712" s="10" t="inlineStr">
        <is>
          <t>2 - 3 Năm</t>
        </is>
      </c>
      <c r="L5712" s="11">
        <f>HYPERLINK("https://careerviet.vn/vi/tim-viec-lam/quan-1-hcm-ke-toan-quan-ly-noi-bo.35C63B17.html","Xem chi tiết")</f>
        <v/>
      </c>
      <c r="M5712" s="10" t="n"/>
    </row>
    <row r="5713">
      <c r="B5713" s="7" t="n">
        <v>5711</v>
      </c>
      <c r="C5713" t="inlineStr">
        <is>
          <t>Nhân viên quản lý dịch vụ</t>
        </is>
      </c>
      <c r="D5713" t="inlineStr">
        <is>
          <t>BỆNH VIỆN ĐA KHOA PHƯƠNG ĐÔNG</t>
        </is>
      </c>
      <c r="E5713" t="inlineStr">
        <is>
          <t>Lương:9 Tr - 15 Tr VND</t>
        </is>
      </c>
      <c r="F5713" t="inlineStr">
        <is>
          <t>Hà Nội</t>
        </is>
      </c>
      <c r="G5713" t="inlineStr">
        <is>
          <t>24-03-2026</t>
        </is>
      </c>
      <c r="H5713" t="inlineStr">
        <is>
          <t>24/03/2026</t>
        </is>
      </c>
      <c r="I5713" t="inlineStr">
        <is>
          <t>17/03/2026</t>
        </is>
      </c>
      <c r="J5713" t="inlineStr">
        <is>
          <t>Y tế / Chăm sóc sức khỏe / Thẩm mỹ / Làm đẹp</t>
        </is>
      </c>
      <c r="K5713" t="inlineStr">
        <is>
          <t>1 - 3 Năm</t>
        </is>
      </c>
      <c r="L5713" s="8">
        <f>HYPERLINK("https://careerviet.vn/vi/tim-viec-lam/nhan-vien-quan-ly-dich-vu.35C63B0A.html","Xem chi tiết")</f>
        <v/>
      </c>
    </row>
    <row r="5714">
      <c r="B5714" s="9" t="n">
        <v>5712</v>
      </c>
      <c r="C5714" s="10" t="inlineStr">
        <is>
          <t>Nhân viên Bảo trì (Chuỗi Siêu Thị)</t>
        </is>
      </c>
      <c r="D5714" s="10" t="inlineStr">
        <is>
          <t>CÔNG TY CỔ PHẦN KING FOOD MARKET</t>
        </is>
      </c>
      <c r="E5714" s="10" t="inlineStr">
        <is>
          <t>Lương:10 Tr - 11 Tr VND</t>
        </is>
      </c>
      <c r="F5714" s="10" t="inlineStr">
        <is>
          <t>Hồ Chí Minh</t>
        </is>
      </c>
      <c r="G5714" s="10" t="inlineStr">
        <is>
          <t>24-03-2026</t>
        </is>
      </c>
      <c r="H5714" s="10" t="inlineStr">
        <is>
          <t>24/03/2026</t>
        </is>
      </c>
      <c r="I5714" s="10" t="inlineStr">
        <is>
          <t>17/03/2026</t>
        </is>
      </c>
      <c r="J5714" s="10" t="inlineStr">
        <is>
          <t>Bảo trì / Sửa chữa, Xây dựng, Bán lẻ / Bán sỉ</t>
        </is>
      </c>
      <c r="K5714" s="10" t="inlineStr">
        <is>
          <t>N/A</t>
        </is>
      </c>
      <c r="L5714" s="11">
        <f>HYPERLINK("https://careerviet.vn/vi/tim-viec-lam/nhan-vien-bao-tri-chuoi-sieu-thi.35C63BB7.html","Xem chi tiết")</f>
        <v/>
      </c>
      <c r="M5714" s="10" t="n"/>
    </row>
    <row r="5715">
      <c r="B5715" s="7" t="n">
        <v>5713</v>
      </c>
      <c r="C5715" t="inlineStr">
        <is>
          <t>Trưởng Bộ Phận Tuyển Dụng Nhân Sự - lương từ 28tr - 32tr</t>
        </is>
      </c>
      <c r="D5715" t="inlineStr">
        <is>
          <t>CÔNG TY CỔ PHẦN UNIK XANH</t>
        </is>
      </c>
      <c r="E5715" t="inlineStr">
        <is>
          <t>Lương:28 Tr - 32 Tr VND</t>
        </is>
      </c>
      <c r="F5715" t="inlineStr">
        <is>
          <t>Hà Nội</t>
        </is>
      </c>
      <c r="G5715" t="inlineStr">
        <is>
          <t>24-03-2026</t>
        </is>
      </c>
      <c r="H5715" t="inlineStr">
        <is>
          <t>24/03/2026</t>
        </is>
      </c>
      <c r="I5715" t="inlineStr">
        <is>
          <t>17/03/2026</t>
        </is>
      </c>
      <c r="J5715" t="inlineStr">
        <is>
          <t>Hành chính / Thư ký, Nhân sự, Luật / Pháp lý</t>
        </is>
      </c>
      <c r="K5715" t="inlineStr">
        <is>
          <t>5 - 7 Năm</t>
        </is>
      </c>
      <c r="L5715" s="8">
        <f>HYPERLINK("https://careerviet.vn/vi/tim-viec-lam/truong-bo-phan-tuyen-dung-nhan-su-luong-tu-28tr-32tr.35C63B39.html","Xem chi tiết")</f>
        <v/>
      </c>
    </row>
    <row r="5716">
      <c r="B5716" s="9" t="n">
        <v>5714</v>
      </c>
      <c r="C5716" s="10" t="inlineStr">
        <is>
          <t>Formwork Design Engineer (Fresh Graduate Welcome)</t>
        </is>
      </c>
      <c r="D5716" s="10" t="inlineStr">
        <is>
          <t>Công ty TNHH MTV VietNam GS Industry - Chi nhánh cốp pha nhôm</t>
        </is>
      </c>
      <c r="E5716" s="10" t="inlineStr">
        <is>
          <t>Lương:Cạnh tranh</t>
        </is>
      </c>
      <c r="F5716" s="10" t="inlineStr">
        <is>
          <t>Đồng NaiHà Nội</t>
        </is>
      </c>
      <c r="G5716" s="10" t="inlineStr">
        <is>
          <t>24-03-2026</t>
        </is>
      </c>
      <c r="H5716" s="10" t="inlineStr">
        <is>
          <t>24/03/2026</t>
        </is>
      </c>
      <c r="I5716" s="10" t="inlineStr">
        <is>
          <t>17/03/2026</t>
        </is>
      </c>
      <c r="J5716" s="10" t="inlineStr">
        <is>
          <t>Mỹ thuật / Nghệ thuật / Thiết kế, Kiến trúc, Xây dựng</t>
        </is>
      </c>
      <c r="K5716" s="10" t="inlineStr">
        <is>
          <t>N/A</t>
        </is>
      </c>
      <c r="L5716" s="11">
        <f>HYPERLINK("https://careerviet.vn/vi/tim-viec-lam/formwork-design-engineer-fresh-graduate-welcome.35C66798.html","Xem chi tiết")</f>
        <v/>
      </c>
      <c r="M5716" s="10" t="n"/>
    </row>
    <row r="5717">
      <c r="B5717" s="7" t="n">
        <v>5715</v>
      </c>
      <c r="C5717" t="inlineStr">
        <is>
          <t>CVC/CVCC Quan Hệ Khách Hàng Ưu Tiên</t>
        </is>
      </c>
      <c r="D5717" t="inlineStr">
        <is>
          <t>Ngân Hàng TMCP Việt Nam Thịnh Vượng - VPBANK</t>
        </is>
      </c>
      <c r="E5717" t="inlineStr">
        <is>
          <t>Lương:Cạnh tranh</t>
        </is>
      </c>
      <c r="F5717" t="inlineStr">
        <is>
          <t>Hồ Chí MinhĐà NẵngThừa Thiên- Huế</t>
        </is>
      </c>
      <c r="G5717" t="inlineStr">
        <is>
          <t>24-03-2026</t>
        </is>
      </c>
      <c r="H5717" t="inlineStr">
        <is>
          <t>24/03/2026</t>
        </is>
      </c>
      <c r="I5717" t="inlineStr">
        <is>
          <t>17/03/2026</t>
        </is>
      </c>
      <c r="J5717" t="inlineStr">
        <is>
          <t>Bán hàng / Kinh doanh, Ngân hàng</t>
        </is>
      </c>
      <c r="K5717" t="inlineStr">
        <is>
          <t>3 - 4 Năm</t>
        </is>
      </c>
      <c r="L5717" s="8">
        <f>HYPERLINK("https://careerviet.vn/vi/tim-viec-lam/cvc-cvcc-quan-he-khach-hang-uu-tien.35C6677A.html","Xem chi tiết")</f>
        <v/>
      </c>
    </row>
    <row r="5718">
      <c r="B5718" s="9" t="n">
        <v>5716</v>
      </c>
      <c r="C5718" s="10" t="inlineStr">
        <is>
          <t>General Accountant</t>
        </is>
      </c>
      <c r="D5718" s="10" t="inlineStr">
        <is>
          <t>PeopleWise Vietnam</t>
        </is>
      </c>
      <c r="E5718" s="10" t="inlineStr">
        <is>
          <t>Lương:Trên 20 Tr VND</t>
        </is>
      </c>
      <c r="F5718" s="10" t="inlineStr">
        <is>
          <t>Hồ Chí Minh</t>
        </is>
      </c>
      <c r="G5718" s="10" t="inlineStr">
        <is>
          <t>24-03-2026</t>
        </is>
      </c>
      <c r="H5718" s="10" t="inlineStr">
        <is>
          <t>24/03/2026</t>
        </is>
      </c>
      <c r="I5718" s="10" t="inlineStr">
        <is>
          <t>17/03/2026</t>
        </is>
      </c>
      <c r="J5718" s="10" t="inlineStr">
        <is>
          <t>Thực phẩm &amp; Đồ uống, Nông nghiệp</t>
        </is>
      </c>
      <c r="K5718" s="10" t="inlineStr">
        <is>
          <t>1 - 3 Năm</t>
        </is>
      </c>
      <c r="L5718" s="11">
        <f>HYPERLINK("https://careerviet.vn/vi/tim-viec-lam/general-accountant.35C667B0.html","Xem chi tiết")</f>
        <v/>
      </c>
      <c r="M5718" s="10" t="n"/>
    </row>
    <row r="5719">
      <c r="B5719" s="7" t="n">
        <v>5717</v>
      </c>
      <c r="C5719" t="inlineStr">
        <is>
          <t>ME Staff</t>
        </is>
      </c>
      <c r="D5719" t="inlineStr">
        <is>
          <t>CÔNG TY TNHH TEXON VIETNAM</t>
        </is>
      </c>
      <c r="E5719" t="inlineStr">
        <is>
          <t>Lương:10 Tr - 16 Tr VND</t>
        </is>
      </c>
      <c r="F5719" t="inlineStr">
        <is>
          <t>Bắc Ninh</t>
        </is>
      </c>
      <c r="G5719" t="inlineStr">
        <is>
          <t>24-03-2026</t>
        </is>
      </c>
      <c r="H5719" t="inlineStr">
        <is>
          <t>24/03/2026</t>
        </is>
      </c>
      <c r="I5719" t="inlineStr">
        <is>
          <t>17/03/2026</t>
        </is>
      </c>
      <c r="J5719" t="inlineStr">
        <is>
          <t>Cơ khí / Ô tô / Tự động hóa, Điện / Điện tử / Điện lạnh / Điện công nghiệp, Sản xuất / Vận hành sản xuất</t>
        </is>
      </c>
      <c r="K5719" t="inlineStr">
        <is>
          <t>N/A</t>
        </is>
      </c>
      <c r="L5719" s="8">
        <f>HYPERLINK("https://careerviet.vn/vi/tim-viec-lam/me-staff.35C63C3C.html","Xem chi tiết")</f>
        <v/>
      </c>
    </row>
    <row r="5720">
      <c r="B5720" s="9" t="n">
        <v>5718</v>
      </c>
      <c r="C5720" s="10" t="inlineStr">
        <is>
          <t>Nhân Viên Vận Hành Máy Tiện CNC</t>
        </is>
      </c>
      <c r="D5720" s="10" t="inlineStr">
        <is>
          <t>Công Ty TNHH Roeders Việt Nam</t>
        </is>
      </c>
      <c r="E5720" s="10" t="inlineStr">
        <is>
          <t>Lương:Cạnh tranh</t>
        </is>
      </c>
      <c r="F5720" s="10" t="inlineStr">
        <is>
          <t>Hồ Chí Minh</t>
        </is>
      </c>
      <c r="G5720" s="10" t="inlineStr">
        <is>
          <t>24-03-2026</t>
        </is>
      </c>
      <c r="H5720" s="10" t="inlineStr">
        <is>
          <t>24/03/2026</t>
        </is>
      </c>
      <c r="I5720" s="10" t="inlineStr">
        <is>
          <t>17/03/2026</t>
        </is>
      </c>
      <c r="J5720" s="10" t="inlineStr">
        <is>
          <t>chuyên mônKỹ Thuật Sản Xuất - Bảo Trì Cơ Khí - Chế Tạo Máy Vận Hành Máy - Lắp Ráp - Chế Biến Vận Hành - Bảo Trì - Sửa ChữaYêu cầu</t>
        </is>
      </c>
      <c r="K5720" s="10" t="inlineStr">
        <is>
          <t>2 - 3 Năm</t>
        </is>
      </c>
      <c r="L5720" s="11">
        <f>HYPERLINK("https://careerviet.vn/vi/tim-viec-lam/nhan-vien-van-hanh-may-tien-cnc.35C66715.html","Xem chi tiết")</f>
        <v/>
      </c>
      <c r="M5720" s="10" t="n"/>
    </row>
    <row r="5721">
      <c r="B5721" s="7" t="n">
        <v>5719</v>
      </c>
      <c r="C5721" t="inlineStr">
        <is>
          <t>Head of Data Analytics &amp; AI</t>
        </is>
      </c>
      <c r="D5721" t="inlineStr">
        <is>
          <t>LOTTE FINANCE VIETNAM</t>
        </is>
      </c>
      <c r="E5721" t="inlineStr">
        <is>
          <t>Lương:Cạnh tranh</t>
        </is>
      </c>
      <c r="F5721" t="inlineStr">
        <is>
          <t>Hà Nội</t>
        </is>
      </c>
      <c r="G5721" t="inlineStr">
        <is>
          <t>24-03-2026</t>
        </is>
      </c>
      <c r="H5721" t="inlineStr">
        <is>
          <t>24/03/2026</t>
        </is>
      </c>
      <c r="I5721" t="inlineStr">
        <is>
          <t>17/03/2026</t>
        </is>
      </c>
      <c r="J5721" t="inlineStr">
        <is>
          <t>CNTT - Phần mềm, Ngân hàng</t>
        </is>
      </c>
      <c r="K5721" t="inlineStr">
        <is>
          <t>Trên 8 Năm</t>
        </is>
      </c>
      <c r="L5721" s="8">
        <f>HYPERLINK("https://careerviet.vn/vi/tim-viec-lam/head-of-data-analytics-ai.35C667A2.html","Xem chi tiết")</f>
        <v/>
      </c>
    </row>
    <row r="5722">
      <c r="B5722" s="9" t="n">
        <v>5720</v>
      </c>
      <c r="C5722" s="10" t="inlineStr">
        <is>
          <t>Kế Toán Viên</t>
        </is>
      </c>
      <c r="D5722" s="10" t="inlineStr">
        <is>
          <t>CÔNG TY TNHH ĐẦU TƯ THƯƠNG MẠI DỊCH VỤ THIÊN BÌNH</t>
        </is>
      </c>
      <c r="E5722" s="10" t="inlineStr">
        <is>
          <t>Lương:Cạnh tranh</t>
        </is>
      </c>
      <c r="F5722" s="10" t="inlineStr">
        <is>
          <t>Hồ Chí Minh</t>
        </is>
      </c>
      <c r="G5722" s="10" t="inlineStr">
        <is>
          <t>23-03-2026</t>
        </is>
      </c>
      <c r="H5722" s="10" t="inlineStr">
        <is>
          <t>23/03/2026</t>
        </is>
      </c>
      <c r="I5722" s="10" t="inlineStr">
        <is>
          <t>17/03/2026</t>
        </is>
      </c>
      <c r="J5722" s="10" t="inlineStr">
        <is>
          <t>Tài chính / Đầu tư, Luật / Pháp lý, Kế toán / Kiểm toán</t>
        </is>
      </c>
      <c r="K5722" s="10" t="inlineStr">
        <is>
          <t>Trên 2 Năm</t>
        </is>
      </c>
      <c r="L5722" s="11">
        <f>HYPERLINK("https://careerviet.vn/vi/tim-viec-lam/ke-toan-vien.35C6674C.html","Xem chi tiết")</f>
        <v/>
      </c>
      <c r="M5722" s="10" t="n"/>
    </row>
    <row r="5723">
      <c r="B5723" s="7" t="n">
        <v>5721</v>
      </c>
      <c r="C5723" t="inlineStr">
        <is>
          <t>Kỹ Sư Biện Pháp Thi Công</t>
        </is>
      </c>
      <c r="D5723" t="inlineStr">
        <is>
          <t>Công Ty Cổ Phần Đầu Tư Xây Dựng Bcons</t>
        </is>
      </c>
      <c r="E5723" t="inlineStr">
        <is>
          <t>Lương:Cạnh tranh</t>
        </is>
      </c>
      <c r="F5723" t="inlineStr">
        <is>
          <t>Hồ Chí Minh</t>
        </is>
      </c>
      <c r="G5723" t="inlineStr">
        <is>
          <t>24-03-2026</t>
        </is>
      </c>
      <c r="H5723" t="inlineStr">
        <is>
          <t>24/03/2026</t>
        </is>
      </c>
      <c r="I5723" t="inlineStr">
        <is>
          <t>17/03/2026</t>
        </is>
      </c>
      <c r="J5723" t="inlineStr">
        <is>
          <t>Xây dựng, Quản lý điều hành, Bất động sản</t>
        </is>
      </c>
      <c r="K5723" t="inlineStr">
        <is>
          <t>2 - 3 Năm</t>
        </is>
      </c>
      <c r="L5723" s="8">
        <f>HYPERLINK("https://careerviet.vn/vi/tim-viec-lam/ky-su-bien-phap-thi-cong.35C63C00.html","Xem chi tiết")</f>
        <v/>
      </c>
    </row>
    <row r="5724">
      <c r="B5724" s="9" t="n">
        <v>5722</v>
      </c>
      <c r="C5724" s="10" t="inlineStr">
        <is>
          <t>Nhân viên giao nhận - Chi nhánh EMS Hà Nội</t>
        </is>
      </c>
      <c r="D5724" s="10" t="inlineStr">
        <is>
          <t>Tổng Công Ty Chuyển Phát Nhanh Bưu Điện</t>
        </is>
      </c>
      <c r="E5724" s="10" t="inlineStr">
        <is>
          <t>Lương:8 Tr - 10 Tr VND</t>
        </is>
      </c>
      <c r="F5724" s="10" t="inlineStr">
        <is>
          <t>Hà Nội</t>
        </is>
      </c>
      <c r="G5724" s="10" t="inlineStr">
        <is>
          <t>24-03-2026</t>
        </is>
      </c>
      <c r="H5724" s="10" t="inlineStr">
        <is>
          <t>24/03/2026</t>
        </is>
      </c>
      <c r="I5724" s="10" t="inlineStr">
        <is>
          <t>17/03/2026</t>
        </is>
      </c>
      <c r="J5724" s="10" t="inlineStr">
        <is>
          <t>Thương mại điện tử, Bưu chính viễn thông, Vận chuyển / Giao nhận / Kho vận</t>
        </is>
      </c>
      <c r="K5724" s="10" t="inlineStr">
        <is>
          <t>N/A</t>
        </is>
      </c>
      <c r="L5724" s="11">
        <f>HYPERLINK("https://careerviet.vn/vi/tim-viec-lam/nhan-vien-giao-nhan-chi-nhanh-ems-ha-noi.35C6679C.html","Xem chi tiết")</f>
        <v/>
      </c>
      <c r="M5724" s="10" t="n"/>
    </row>
    <row r="5725">
      <c r="B5725" s="7" t="n">
        <v>5723</v>
      </c>
      <c r="C5725" t="inlineStr">
        <is>
          <t>Kế Toán Dự Án</t>
        </is>
      </c>
      <c r="D5725" t="inlineStr">
        <is>
          <t>CareerViet's client</t>
        </is>
      </c>
      <c r="E5725" t="inlineStr">
        <is>
          <t>Lương:15 Tr - 25 Tr VND</t>
        </is>
      </c>
      <c r="F5725" t="inlineStr">
        <is>
          <t>Hồ Chí Minh</t>
        </is>
      </c>
      <c r="G5725" t="inlineStr">
        <is>
          <t>24-03-2026</t>
        </is>
      </c>
      <c r="H5725" t="inlineStr">
        <is>
          <t>24/03/2026</t>
        </is>
      </c>
      <c r="I5725" t="inlineStr">
        <is>
          <t>17/03/2026</t>
        </is>
      </c>
      <c r="J5725" t="inlineStr">
        <is>
          <t>Kế toán / Kiểm toán, Tài chính / Đầu tư</t>
        </is>
      </c>
      <c r="K5725" t="inlineStr">
        <is>
          <t>1 - 3 Năm</t>
        </is>
      </c>
      <c r="L5725" s="8">
        <f>HYPERLINK("https://careerviet.vn/vi/tim-viec-lam/ke-toan-du-an.35C66790.html","Xem chi tiết")</f>
        <v/>
      </c>
    </row>
    <row r="5726">
      <c r="B5726" s="9" t="n">
        <v>5724</v>
      </c>
      <c r="C5726" s="10" t="inlineStr">
        <is>
          <t>GGEC - TUYỂN DỤNG KỸ SƯ IE NHẬN VIỆC NGAY</t>
        </is>
      </c>
      <c r="D5726" s="10" t="inlineStr">
        <is>
          <t>CÔNG TY TNHH ĐIỆN KHÍ QUỐC QUANG (VIỆT NAM)</t>
        </is>
      </c>
      <c r="E5726" s="10" t="inlineStr">
        <is>
          <t>Lương:Cạnh tranh</t>
        </is>
      </c>
      <c r="F5726" s="10" t="inlineStr">
        <is>
          <t>Quảng Nam</t>
        </is>
      </c>
      <c r="G5726" s="10" t="inlineStr">
        <is>
          <t>24-03-2026</t>
        </is>
      </c>
      <c r="H5726" s="10" t="inlineStr">
        <is>
          <t>24/03/2026</t>
        </is>
      </c>
      <c r="I5726" s="10" t="inlineStr">
        <is>
          <t>17/03/2026</t>
        </is>
      </c>
      <c r="J5726" s="10" t="inlineStr">
        <is>
          <t>Điện / Điện tử / Điện lạnh / Điện công nghiệp, Sản xuất / Vận hành sản xuất</t>
        </is>
      </c>
      <c r="K5726" s="10" t="inlineStr">
        <is>
          <t>1 - 3 Năm</t>
        </is>
      </c>
      <c r="L5726" s="11">
        <f>HYPERLINK("https://careerviet.vn/vi/tim-viec-lam/ggec-tuyen-dung-ky-su-ie-nhan-viec-ngay.35C666FA.html","Xem chi tiết")</f>
        <v/>
      </c>
      <c r="M5726" s="10" t="n"/>
    </row>
    <row r="5727">
      <c r="B5727" s="7" t="n">
        <v>5725</v>
      </c>
      <c r="C5727" t="inlineStr">
        <is>
          <t>TRƯỞNG PHÒNG KẾ HOẠCH SẢN XUẤT</t>
        </is>
      </c>
      <c r="D5727" t="inlineStr">
        <is>
          <t>CÔNG TY TNHH DEGO HOLDING</t>
        </is>
      </c>
      <c r="E5727" t="inlineStr">
        <is>
          <t>Lương:Cạnh tranh</t>
        </is>
      </c>
      <c r="F5727" t="inlineStr">
        <is>
          <t>Cần Thơ</t>
        </is>
      </c>
      <c r="G5727" t="inlineStr">
        <is>
          <t>24-03-2026</t>
        </is>
      </c>
      <c r="H5727" t="inlineStr">
        <is>
          <t>24/03/2026</t>
        </is>
      </c>
      <c r="I5727" t="inlineStr">
        <is>
          <t>17/03/2026</t>
        </is>
      </c>
      <c r="J5727" t="inlineStr">
        <is>
          <t>Dược phẩm/ Hóa Mỹ Phẩm, Công nghệ sinh học, Sản xuất / Vận hành sản xuất</t>
        </is>
      </c>
      <c r="K5727" t="inlineStr">
        <is>
          <t>2 - 3 Năm</t>
        </is>
      </c>
      <c r="L5727" s="8">
        <f>HYPERLINK("https://careerviet.vn/vi/tim-viec-lam/truong-phong-ke-hoach-san-xuat.35C63B4F.html","Xem chi tiết")</f>
        <v/>
      </c>
    </row>
    <row r="5728">
      <c r="B5728" s="9" t="n">
        <v>5726</v>
      </c>
      <c r="C5728" s="10" t="inlineStr">
        <is>
          <t>Assistant MEP Quantity Surveyor</t>
        </is>
      </c>
      <c r="D5728" s="10" t="inlineStr">
        <is>
          <t>Công ty TNHH AKT Việt Nam</t>
        </is>
      </c>
      <c r="E5728" s="10" t="inlineStr">
        <is>
          <t>Lương:Cạnh tranh</t>
        </is>
      </c>
      <c r="F5728" s="10" t="inlineStr">
        <is>
          <t>Hồ Chí Minh</t>
        </is>
      </c>
      <c r="G5728" s="10" t="inlineStr">
        <is>
          <t>24-03-2026</t>
        </is>
      </c>
      <c r="H5728" s="10" t="inlineStr">
        <is>
          <t>24/03/2026</t>
        </is>
      </c>
      <c r="I5728" s="10" t="inlineStr">
        <is>
          <t>17/03/2026</t>
        </is>
      </c>
      <c r="J5728" s="10" t="inlineStr">
        <is>
          <t>Hành chính / Thư ký, Điện / Điện tử / Điện lạnh / Điện công nghiệp, Xây dựng</t>
        </is>
      </c>
      <c r="K5728" s="10" t="inlineStr">
        <is>
          <t>1 - 3 Năm</t>
        </is>
      </c>
      <c r="L5728" s="11">
        <f>HYPERLINK("https://careerviet.vn/vi/tim-viec-lam/assistant-mep-quantity-surveyor.35C6669C.html","Xem chi tiết")</f>
        <v/>
      </c>
      <c r="M5728" s="10" t="n"/>
    </row>
    <row r="5729">
      <c r="B5729" s="7" t="n">
        <v>5727</v>
      </c>
      <c r="C5729" t="inlineStr">
        <is>
          <t>Trường phòng kinh doanh khu vực (ASM)</t>
        </is>
      </c>
      <c r="D5729" t="inlineStr">
        <is>
          <t>Công Ty Cổ Phần Đầu Tư K&amp;G Việt Nam</t>
        </is>
      </c>
      <c r="E5729" t="inlineStr">
        <is>
          <t>Lương:20 Tr - 30 Tr VND</t>
        </is>
      </c>
      <c r="F5729" t="inlineStr">
        <is>
          <t>Hồ Chí Minh</t>
        </is>
      </c>
      <c r="G5729" t="inlineStr">
        <is>
          <t>10-04-2026</t>
        </is>
      </c>
      <c r="H5729" t="inlineStr">
        <is>
          <t>10/04/2026</t>
        </is>
      </c>
      <c r="I5729" t="inlineStr">
        <is>
          <t>17/03/2026</t>
        </is>
      </c>
      <c r="J5729" t="inlineStr">
        <is>
          <t>Bán lẻ / Bán sỉ, Bán hàng / Kinh doanh</t>
        </is>
      </c>
      <c r="K5729" t="inlineStr">
        <is>
          <t>3 - 5 Năm</t>
        </is>
      </c>
      <c r="L5729" s="8">
        <f>HYPERLINK("https://careerviet.vn/vi/tim-viec-lam/truong-phong-kinh-doanh-khu-vuc-asm.35C68CFF.html","Xem chi tiết")</f>
        <v/>
      </c>
    </row>
    <row r="5730">
      <c r="B5730" s="9" t="n">
        <v>5728</v>
      </c>
      <c r="C5730" s="10" t="inlineStr">
        <is>
          <t>Chuyên viên Kinh doanh Cụm Công Nghiệp</t>
        </is>
      </c>
      <c r="D5730" s="10" t="inlineStr">
        <is>
          <t>Bảo mật</t>
        </is>
      </c>
      <c r="E5730" s="10" t="inlineStr">
        <is>
          <t>Lương:Cạnh tranh</t>
        </is>
      </c>
      <c r="F5730" s="10" t="inlineStr">
        <is>
          <t>Hồ Chí Minh</t>
        </is>
      </c>
      <c r="G5730" s="10" t="inlineStr">
        <is>
          <t>24-03-2026</t>
        </is>
      </c>
      <c r="H5730" s="10" t="inlineStr">
        <is>
          <t>24/03/2026</t>
        </is>
      </c>
      <c r="I5730" s="10" t="inlineStr">
        <is>
          <t>17/03/2026</t>
        </is>
      </c>
      <c r="J5730" s="10" t="inlineStr">
        <is>
          <t>Bán hàng / Kinh doanh, Bất động sản</t>
        </is>
      </c>
      <c r="K5730" s="10" t="inlineStr">
        <is>
          <t>2 - 3 Năm</t>
        </is>
      </c>
      <c r="L5730" s="11">
        <f>HYPERLINK("https://careerviet.vn/vi/tim-viec-lam/chuyen-vien-kinh-doanh-cum-cong-nghiep.35C63B5F.html","Xem chi tiết")</f>
        <v/>
      </c>
      <c r="M5730" s="10" t="n"/>
    </row>
    <row r="5731">
      <c r="B5731" s="7" t="n">
        <v>5729</v>
      </c>
      <c r="C5731" t="inlineStr">
        <is>
          <t>Chuyên viên Cao cấp Quản lý Quan hệ Khách hàng Ưu tiên  (Bình Dương, Đồng Nai, Bình Phước)</t>
        </is>
      </c>
      <c r="D5731" t="inlineStr">
        <is>
          <t>NGÂN HÀNG TMCP KỸ THƯƠNG VIỆT NAM (TECHCOMBANK)</t>
        </is>
      </c>
      <c r="E5731" t="inlineStr">
        <is>
          <t>Lương:Cạnh tranh</t>
        </is>
      </c>
      <c r="F5731" t="inlineStr">
        <is>
          <t>Đồng NaiBình PhướcBình Dương</t>
        </is>
      </c>
      <c r="G5731" t="inlineStr">
        <is>
          <t>24-03-2026</t>
        </is>
      </c>
      <c r="H5731" t="inlineStr">
        <is>
          <t>24/03/2026</t>
        </is>
      </c>
      <c r="I5731" t="inlineStr">
        <is>
          <t>17/03/2026</t>
        </is>
      </c>
      <c r="J5731" t="inlineStr">
        <is>
          <t>Bán hàng / Kinh doanh, Ngân hàng, Tài chính / Đầu tư</t>
        </is>
      </c>
      <c r="K5731" t="inlineStr">
        <is>
          <t>Trên 5 Năm</t>
        </is>
      </c>
      <c r="L5731" s="8">
        <f>HYPERLINK("https://careerviet.vn/vi/tim-viec-lam/chuyen-vien-cao-cap-quan-ly-quan-he-khach-hang-uu-tien-binh-duong-dong-nai-binh-phuoc.35C63BF0.html","Xem chi tiết")</f>
        <v/>
      </c>
    </row>
    <row r="5732">
      <c r="B5732" s="9" t="n">
        <v>5730</v>
      </c>
      <c r="C5732" s="10" t="inlineStr">
        <is>
          <t>GGEC - TUYỂN DỤNG kỸ SƯ AME Nhận Việc Ngay</t>
        </is>
      </c>
      <c r="D5732" s="10" t="inlineStr">
        <is>
          <t>CÔNG TY TNHH ĐIỆN KHÍ QUỐC QUANG (VIỆT NAM)</t>
        </is>
      </c>
      <c r="E5732" s="10" t="inlineStr">
        <is>
          <t>Lương:Cạnh tranh</t>
        </is>
      </c>
      <c r="F5732" s="10" t="inlineStr">
        <is>
          <t>Đà NẵngQuảng Nam</t>
        </is>
      </c>
      <c r="G5732" s="10" t="inlineStr">
        <is>
          <t>24-03-2026</t>
        </is>
      </c>
      <c r="H5732" s="10" t="inlineStr">
        <is>
          <t>24/03/2026</t>
        </is>
      </c>
      <c r="I5732" s="10" t="inlineStr">
        <is>
          <t>17/03/2026</t>
        </is>
      </c>
      <c r="J5732" s="10" t="inlineStr">
        <is>
          <t>Bảo trì / Sửa chữa, Sản xuất / Vận hành sản xuất</t>
        </is>
      </c>
      <c r="K5732" s="10" t="inlineStr">
        <is>
          <t>1 - 3 Năm</t>
        </is>
      </c>
      <c r="L5732" s="11">
        <f>HYPERLINK("https://careerviet.vn/vi/tim-viec-lam/ggec-tuyen-dung-ky-su-ame-nhan-viec-ngay.35C666E1.html","Xem chi tiết")</f>
        <v/>
      </c>
      <c r="M5732" s="10" t="n"/>
    </row>
    <row r="5733">
      <c r="B5733" s="7" t="n">
        <v>5731</v>
      </c>
      <c r="C5733" t="inlineStr">
        <is>
          <t>Trưởng nhóm Đào tạo Văn hóa</t>
        </is>
      </c>
      <c r="D5733" t="inlineStr">
        <is>
          <t>CÔNG TY CỔ PHẦN CASPER VIỆT NAM</t>
        </is>
      </c>
      <c r="E5733" t="inlineStr">
        <is>
          <t>Lương:15 Tr - 25 Tr VND</t>
        </is>
      </c>
      <c r="F5733" t="inlineStr">
        <is>
          <t>Hà Nội</t>
        </is>
      </c>
      <c r="G5733" t="inlineStr">
        <is>
          <t>24-03-2026</t>
        </is>
      </c>
      <c r="H5733" t="inlineStr">
        <is>
          <t>24/03/2026</t>
        </is>
      </c>
      <c r="I5733" t="inlineStr">
        <is>
          <t>17/03/2026</t>
        </is>
      </c>
      <c r="J5733" t="inlineStr">
        <is>
          <t>Giáo dục / Đào tạo, Nhân sự</t>
        </is>
      </c>
      <c r="K5733" t="inlineStr">
        <is>
          <t>5 - 7 Năm</t>
        </is>
      </c>
      <c r="L5733" s="8">
        <f>HYPERLINK("https://careerviet.vn/vi/tim-viec-lam/truong-nhom-dao-tao-van-hoa.35C63BA3.html","Xem chi tiết")</f>
        <v/>
      </c>
    </row>
    <row r="5734">
      <c r="B5734" s="9" t="n">
        <v>5732</v>
      </c>
      <c r="C5734" s="10" t="inlineStr">
        <is>
          <t>Nhân Viên Kinh Doanh</t>
        </is>
      </c>
      <c r="D5734" s="10" t="inlineStr">
        <is>
          <t>CÔNG TY TNHH THƯƠNG MẠI CƠ ĐIỆN KIÊN THÀNH</t>
        </is>
      </c>
      <c r="E5734" s="10" t="inlineStr">
        <is>
          <t>Lương:9 Tr - 50 Tr VND</t>
        </is>
      </c>
      <c r="F5734" s="10" t="inlineStr">
        <is>
          <t>Hồ Chí Minh</t>
        </is>
      </c>
      <c r="G5734" s="10" t="inlineStr">
        <is>
          <t>23-03-2026</t>
        </is>
      </c>
      <c r="H5734" s="10" t="inlineStr">
        <is>
          <t>23/03/2026</t>
        </is>
      </c>
      <c r="I5734" s="10" t="inlineStr">
        <is>
          <t>17/03/2026</t>
        </is>
      </c>
      <c r="J5734" s="10" t="inlineStr">
        <is>
          <t>Tiếp thị / Marketing, Bán lẻ / Bán sỉ, Bán hàng / Kinh doanh</t>
        </is>
      </c>
      <c r="K5734" s="10" t="inlineStr">
        <is>
          <t>2 - 2 Năm</t>
        </is>
      </c>
      <c r="L5734" s="11">
        <f>HYPERLINK("https://careerviet.vn/vi/tim-viec-lam/nhan-vien-kinh-doanh.35C6668D.html","Xem chi tiết")</f>
        <v/>
      </c>
      <c r="M5734" s="10" t="n"/>
    </row>
    <row r="5735">
      <c r="B5735" s="7" t="n">
        <v>5733</v>
      </c>
      <c r="C5735" t="inlineStr">
        <is>
          <t>Kế Toán Chi Phí</t>
        </is>
      </c>
      <c r="D5735" t="inlineStr">
        <is>
          <t>ATAD Steel Structure Corporation</t>
        </is>
      </c>
      <c r="E5735" t="inlineStr">
        <is>
          <t>Lương:10 Tr - 16 Tr VND</t>
        </is>
      </c>
      <c r="F5735" t="inlineStr">
        <is>
          <t>Hồ Chí Minh</t>
        </is>
      </c>
      <c r="G5735" t="inlineStr">
        <is>
          <t>24-03-2026</t>
        </is>
      </c>
      <c r="H5735" t="inlineStr">
        <is>
          <t>24/03/2026</t>
        </is>
      </c>
      <c r="I5735" t="inlineStr">
        <is>
          <t>17/03/2026</t>
        </is>
      </c>
      <c r="J5735" t="inlineStr">
        <is>
          <t>Kế toán / Kiểm toán, Tài chính / Đầu tư</t>
        </is>
      </c>
      <c r="K5735" t="inlineStr">
        <is>
          <t>2 - 5 Năm</t>
        </is>
      </c>
      <c r="L5735" s="8">
        <f>HYPERLINK("https://careerviet.vn/vi/tim-viec-lam/ke-toan-chi-phi.35C66796.html","Xem chi tiết")</f>
        <v/>
      </c>
    </row>
    <row r="5736">
      <c r="B5736" s="9" t="n">
        <v>5734</v>
      </c>
      <c r="C5736" s="10" t="inlineStr">
        <is>
          <t>K.Thị trường tài chính_CV/CVC Bán sản phẩm Thị trường tài chính KHDN (FX Sales)</t>
        </is>
      </c>
      <c r="D5736" s="10" t="inlineStr">
        <is>
          <t>Ngân Hàng TMCP Phương Đông - OCB</t>
        </is>
      </c>
      <c r="E5736" s="10" t="inlineStr">
        <is>
          <t>Lương:Cạnh tranh</t>
        </is>
      </c>
      <c r="F5736" s="10" t="inlineStr">
        <is>
          <t>Hồ Chí MinhHà Nội</t>
        </is>
      </c>
      <c r="G5736" s="10" t="inlineStr">
        <is>
          <t>24-03-2026</t>
        </is>
      </c>
      <c r="H5736" s="10" t="inlineStr">
        <is>
          <t>24/03/2026</t>
        </is>
      </c>
      <c r="I5736" s="10" t="inlineStr">
        <is>
          <t>17/03/2026</t>
        </is>
      </c>
      <c r="J5736" s="10" t="inlineStr">
        <is>
          <t>Ngân hàng</t>
        </is>
      </c>
      <c r="K5736" s="10" t="inlineStr">
        <is>
          <t>1 - 3 Năm</t>
        </is>
      </c>
      <c r="L5736" s="11">
        <f>HYPERLINK("https://careerviet.vn/vi/tim-viec-lam/k-thi-truong-tai-chinh_cv-cvc-ban-san-pham-thi-truong-tai-chinh-khdn-fx-sales.35C666A9.html","Xem chi tiết")</f>
        <v/>
      </c>
      <c r="M5736" s="10" t="n"/>
    </row>
    <row r="5737">
      <c r="B5737" s="7" t="n">
        <v>5735</v>
      </c>
      <c r="C5737" t="inlineStr">
        <is>
          <t>Giao dịch viên - Khu vực Hải Phòng</t>
        </is>
      </c>
      <c r="D5737" t="inlineStr">
        <is>
          <t>Ngân Hàng Thương Mại Cổ Phần Bảo Việt</t>
        </is>
      </c>
      <c r="E5737" t="inlineStr">
        <is>
          <t>Lương:7 Tr - 9 Tr VND</t>
        </is>
      </c>
      <c r="F5737" t="inlineStr">
        <is>
          <t>Hải Phòng</t>
        </is>
      </c>
      <c r="G5737" t="inlineStr">
        <is>
          <t>24-03-2026</t>
        </is>
      </c>
      <c r="H5737" t="inlineStr">
        <is>
          <t>24/03/2026</t>
        </is>
      </c>
      <c r="I5737" t="inlineStr">
        <is>
          <t>17/03/2026</t>
        </is>
      </c>
      <c r="J5737" t="inlineStr">
        <is>
          <t>Kế toán / Kiểm toán, Ngân hàng, Tài chính / Đầu tư</t>
        </is>
      </c>
      <c r="K5737" t="inlineStr">
        <is>
          <t>N/A</t>
        </is>
      </c>
      <c r="L5737" s="8">
        <f>HYPERLINK("https://careerviet.vn/vi/tim-viec-lam/giao-dich-vien-khu-vuc-hai-phong.35C666FB.html","Xem chi tiết")</f>
        <v/>
      </c>
    </row>
    <row r="5738">
      <c r="B5738" s="9" t="n">
        <v>5736</v>
      </c>
      <c r="C5738" s="10" t="inlineStr">
        <is>
          <t>Trưởng Phòng Kinh Doanh - Phòng Khách Hàng Ưu Tiên</t>
        </is>
      </c>
      <c r="D5738" s="10" t="inlineStr">
        <is>
          <t>Ngân Hàng TMCP Việt Nam Thịnh Vượng - VPBANK</t>
        </is>
      </c>
      <c r="E5738" s="10" t="inlineStr">
        <is>
          <t>Lương:Cạnh tranh</t>
        </is>
      </c>
      <c r="F5738" s="10" t="inlineStr">
        <is>
          <t>Hồ Chí MinhĐà Nẵng</t>
        </is>
      </c>
      <c r="G5738" s="10" t="inlineStr">
        <is>
          <t>24-03-2026</t>
        </is>
      </c>
      <c r="H5738" s="10" t="inlineStr">
        <is>
          <t>24/03/2026</t>
        </is>
      </c>
      <c r="I5738" s="10" t="inlineStr">
        <is>
          <t>17/03/2026</t>
        </is>
      </c>
      <c r="J5738" s="10" t="inlineStr">
        <is>
          <t>Bán hàng / Kinh doanh, Ngân hàng</t>
        </is>
      </c>
      <c r="K5738" s="10" t="inlineStr">
        <is>
          <t>5 - 6 Năm</t>
        </is>
      </c>
      <c r="L5738" s="11">
        <f>HYPERLINK("https://careerviet.vn/vi/tim-viec-lam/truong-phong-kinh-doanh-phong-khach-hang-uu-tien.35C66777.html","Xem chi tiết")</f>
        <v/>
      </c>
      <c r="M5738" s="10" t="n"/>
    </row>
    <row r="5739">
      <c r="B5739" s="7" t="n">
        <v>5737</v>
      </c>
      <c r="C5739" t="inlineStr">
        <is>
          <t>Kế toán Tài sản &amp; Vật tư</t>
        </is>
      </c>
      <c r="D5739" t="inlineStr">
        <is>
          <t>CÔNG TY CỔ PHẦN DI CHUYỂN VÀ THÔNG MINH GSM</t>
        </is>
      </c>
      <c r="E5739" t="inlineStr">
        <is>
          <t>Lương:Cạnh tranh</t>
        </is>
      </c>
      <c r="F5739" t="inlineStr">
        <is>
          <t>Hà Nội</t>
        </is>
      </c>
      <c r="G5739" t="inlineStr">
        <is>
          <t>24-03-2026</t>
        </is>
      </c>
      <c r="H5739" t="inlineStr">
        <is>
          <t>24/03/2026</t>
        </is>
      </c>
      <c r="I5739" t="inlineStr">
        <is>
          <t>17/03/2026</t>
        </is>
      </c>
      <c r="J5739" t="inlineStr">
        <is>
          <t>Kế toán / Kiểm toán, Thống kê, Thu mua / Vật tư</t>
        </is>
      </c>
      <c r="K5739" t="inlineStr">
        <is>
          <t>Trên 2 Năm</t>
        </is>
      </c>
      <c r="L5739" s="8">
        <f>HYPERLINK("https://careerviet.vn/vi/tim-viec-lam/ke-toan-tai-san-vat-tu.35C63B03.html","Xem chi tiết")</f>
        <v/>
      </c>
    </row>
    <row r="5740">
      <c r="B5740" s="9" t="n">
        <v>5738</v>
      </c>
      <c r="C5740" s="10" t="inlineStr">
        <is>
          <t>Nhân Viên Kinh Doanh</t>
        </is>
      </c>
      <c r="D5740" s="10" t="inlineStr">
        <is>
          <t>New Viet Dairy - Công Ty CP Đại Tân Việt</t>
        </is>
      </c>
      <c r="E5740" s="10" t="inlineStr">
        <is>
          <t>Lương:Cạnh tranh</t>
        </is>
      </c>
      <c r="F5740" s="10" t="inlineStr">
        <is>
          <t>Khánh Hòa</t>
        </is>
      </c>
      <c r="G5740" s="10" t="inlineStr">
        <is>
          <t>24-03-2026</t>
        </is>
      </c>
      <c r="H5740" s="10" t="inlineStr">
        <is>
          <t>24/03/2026</t>
        </is>
      </c>
      <c r="I5740" s="10" t="inlineStr">
        <is>
          <t>17/03/2026</t>
        </is>
      </c>
      <c r="J5740" s="10" t="inlineStr">
        <is>
          <t>Tiếp thị / Marketing, Bán lẻ / Bán sỉ, Bán hàng / Kinh doanh</t>
        </is>
      </c>
      <c r="K5740" s="10" t="inlineStr">
        <is>
          <t>Chưa có kinh nghiệm</t>
        </is>
      </c>
      <c r="L5740" s="11">
        <f>HYPERLINK("https://careerviet.vn/vi/tim-viec-lam/nhan-vien-kinh-doanh.35C666C8.html","Xem chi tiết")</f>
        <v/>
      </c>
      <c r="M5740" s="10" t="n"/>
    </row>
    <row r="5741">
      <c r="B5741" s="7" t="n">
        <v>5739</v>
      </c>
      <c r="C5741" t="inlineStr">
        <is>
          <t>Chuyên viên khách hàng ưu tiên - Khu vực Hà Nội</t>
        </is>
      </c>
      <c r="D5741" t="inlineStr">
        <is>
          <t>Ngân hàng Thương mại cổ phần Đông Nam Á (SeABank)</t>
        </is>
      </c>
      <c r="E5741" t="inlineStr">
        <is>
          <t>Lương:10 Tr - 22 Tr VND</t>
        </is>
      </c>
      <c r="F5741" t="inlineStr">
        <is>
          <t>Hà Nội</t>
        </is>
      </c>
      <c r="G5741" t="inlineStr">
        <is>
          <t>24-03-2026</t>
        </is>
      </c>
      <c r="H5741" t="inlineStr">
        <is>
          <t>24/03/2026</t>
        </is>
      </c>
      <c r="I5741" t="inlineStr">
        <is>
          <t>17/03/2026</t>
        </is>
      </c>
      <c r="J5741" t="inlineStr">
        <is>
          <t>Bán hàng / Kinh doanh, Ngân hàng, Tài chính / Đầu tư</t>
        </is>
      </c>
      <c r="K5741" t="inlineStr">
        <is>
          <t>N/A</t>
        </is>
      </c>
      <c r="L5741" s="8">
        <f>HYPERLINK("https://careerviet.vn/vi/tim-viec-lam/chuyen-vien-khach-hang-uu-tien-khu-vuc-ha-noi.35C63B29.html","Xem chi tiết")</f>
        <v/>
      </c>
    </row>
    <row r="5742">
      <c r="B5742" s="9" t="n">
        <v>5740</v>
      </c>
      <c r="C5742" s="10" t="inlineStr">
        <is>
          <t>IE Staff</t>
        </is>
      </c>
      <c r="D5742" s="10" t="inlineStr">
        <is>
          <t>CÔNG TY TNHH B &amp; D LINGERIE VIỆT NAM</t>
        </is>
      </c>
      <c r="E5742" s="10" t="inlineStr">
        <is>
          <t>Lương:Cạnh tranh</t>
        </is>
      </c>
      <c r="F5742" s="10" t="inlineStr">
        <is>
          <t>Bình Định</t>
        </is>
      </c>
      <c r="G5742" s="10" t="inlineStr">
        <is>
          <t>24-03-2026</t>
        </is>
      </c>
      <c r="H5742" s="10" t="inlineStr">
        <is>
          <t>24/03/2026</t>
        </is>
      </c>
      <c r="I5742" s="10" t="inlineStr">
        <is>
          <t>17/03/2026</t>
        </is>
      </c>
      <c r="J5742" s="10" t="inlineStr">
        <is>
          <t>Dệt may / Da giày / Thời trang</t>
        </is>
      </c>
      <c r="K5742" s="10" t="inlineStr">
        <is>
          <t>N/A</t>
        </is>
      </c>
      <c r="L5742" s="11">
        <f>HYPERLINK("https://careerviet.vn/vi/tim-viec-lam/ie-staff.35C63B95.html","Xem chi tiết")</f>
        <v/>
      </c>
      <c r="M5742" s="10" t="n"/>
    </row>
    <row r="5743">
      <c r="B5743" s="7" t="n">
        <v>5741</v>
      </c>
      <c r="C5743" t="inlineStr">
        <is>
          <t>Chuyên gia/CVCC Chiến lược rủi ro tích hợp - ID397</t>
        </is>
      </c>
      <c r="D5743" t="inlineStr">
        <is>
          <t>Ngân Hàng TMCP Việt Nam Thịnh Vượng - VPBANK</t>
        </is>
      </c>
      <c r="E5743" t="inlineStr">
        <is>
          <t>Lương:Cạnh tranh</t>
        </is>
      </c>
      <c r="F5743" t="inlineStr">
        <is>
          <t>Hà Nội</t>
        </is>
      </c>
      <c r="G5743" t="inlineStr">
        <is>
          <t>24-03-2026</t>
        </is>
      </c>
      <c r="H5743" t="inlineStr">
        <is>
          <t>24/03/2026</t>
        </is>
      </c>
      <c r="I5743" t="inlineStr">
        <is>
          <t>17/03/2026</t>
        </is>
      </c>
      <c r="J5743" t="inlineStr">
        <is>
          <t>Ngân hàng</t>
        </is>
      </c>
      <c r="K5743" t="inlineStr">
        <is>
          <t>5 - 6 Năm</t>
        </is>
      </c>
      <c r="L5743" s="8">
        <f>HYPERLINK("https://careerviet.vn/vi/tim-viec-lam/chuyen-gia-cvcc-chien-luoc-rui-ro-tich-hop-id397.35C6678B.html","Xem chi tiết")</f>
        <v/>
      </c>
    </row>
    <row r="5744">
      <c r="B5744" s="9" t="n">
        <v>5742</v>
      </c>
      <c r="C5744" s="10" t="inlineStr">
        <is>
          <t>Trợ lý giám đốc</t>
        </is>
      </c>
      <c r="D5744" s="10" t="inlineStr">
        <is>
          <t>CÔNG TY TNHH XÂY DỰNG QUỐC TẾ CHUANG XING</t>
        </is>
      </c>
      <c r="E5744" s="10" t="inlineStr">
        <is>
          <t>Lương:15 Tr - 20 Tr VND</t>
        </is>
      </c>
      <c r="F5744" s="10" t="inlineStr">
        <is>
          <t>Hà Nam</t>
        </is>
      </c>
      <c r="G5744" s="10" t="inlineStr">
        <is>
          <t>24-03-2026</t>
        </is>
      </c>
      <c r="H5744" s="10" t="inlineStr">
        <is>
          <t>24/03/2026</t>
        </is>
      </c>
      <c r="I5744" s="10" t="inlineStr">
        <is>
          <t>17/03/2026</t>
        </is>
      </c>
      <c r="J5744" s="10" t="inlineStr">
        <is>
          <t>Biên phiên dịch, Xây dựng</t>
        </is>
      </c>
      <c r="K5744" s="10" t="inlineStr">
        <is>
          <t>Chưa có kinh nghiệm</t>
        </is>
      </c>
      <c r="L5744" s="11">
        <f>HYPERLINK("https://careerviet.vn/vi/tim-viec-lam/tro-ly-giam-doc.35C66787.html","Xem chi tiết")</f>
        <v/>
      </c>
      <c r="M5744" s="10" t="n"/>
    </row>
    <row r="5745">
      <c r="B5745" s="7" t="n">
        <v>5743</v>
      </c>
      <c r="C5745" t="inlineStr">
        <is>
          <t>Kỹ Sư Thiết Kế Cơ Điện</t>
        </is>
      </c>
      <c r="D5745" t="inlineStr">
        <is>
          <t>Công Ty Cổ Phần Đầu Tư Xây Dựng Bcons</t>
        </is>
      </c>
      <c r="E5745" t="inlineStr">
        <is>
          <t>Lương:Cạnh tranh</t>
        </is>
      </c>
      <c r="F5745" t="inlineStr">
        <is>
          <t>Hồ Chí Minh</t>
        </is>
      </c>
      <c r="G5745" t="inlineStr">
        <is>
          <t>24-03-2026</t>
        </is>
      </c>
      <c r="H5745" t="inlineStr">
        <is>
          <t>24/03/2026</t>
        </is>
      </c>
      <c r="I5745" t="inlineStr">
        <is>
          <t>17/03/2026</t>
        </is>
      </c>
      <c r="J5745" t="inlineStr">
        <is>
          <t>Mỹ thuật / Nghệ thuật / Thiết kế, Cơ khí / Ô tô / Tự động hóa, Điện / Điện tử / Điện lạnh / Điện công nghiệp</t>
        </is>
      </c>
      <c r="K5745" t="inlineStr">
        <is>
          <t>3 - 5 Năm</t>
        </is>
      </c>
      <c r="L5745" s="8">
        <f>HYPERLINK("https://careerviet.vn/vi/tim-viec-lam/ky-su-thiet-ke-co-dien.35C63C04.html","Xem chi tiết")</f>
        <v/>
      </c>
    </row>
    <row r="5746">
      <c r="B5746" s="9" t="n">
        <v>5744</v>
      </c>
      <c r="C5746" s="10" t="inlineStr">
        <is>
          <t>Project Support - Softlines - HCMC</t>
        </is>
      </c>
      <c r="D5746" s="10" t="inlineStr">
        <is>
          <t>TÜV Rheinland Vietnam</t>
        </is>
      </c>
      <c r="E5746" s="10" t="inlineStr">
        <is>
          <t>Lương:Cạnh tranh</t>
        </is>
      </c>
      <c r="F5746" s="10" t="inlineStr">
        <is>
          <t>Hồ Chí Minh</t>
        </is>
      </c>
      <c r="G5746" s="10" t="inlineStr">
        <is>
          <t>24-03-2026</t>
        </is>
      </c>
      <c r="H5746" s="10" t="inlineStr">
        <is>
          <t>24/03/2026</t>
        </is>
      </c>
      <c r="I5746" s="10" t="inlineStr">
        <is>
          <t>17/03/2026</t>
        </is>
      </c>
      <c r="J5746" s="10" t="inlineStr">
        <is>
          <t>Tư vấn, Dịch vụ khách hàng</t>
        </is>
      </c>
      <c r="K5746" s="10" t="inlineStr">
        <is>
          <t>N/A</t>
        </is>
      </c>
      <c r="L5746" s="11">
        <f>HYPERLINK("https://careerviet.vn/vi/tim-viec-lam/project-support-softlines-hcmc.35C6679F.html","Xem chi tiết")</f>
        <v/>
      </c>
      <c r="M5746" s="10" t="n"/>
    </row>
    <row r="5747">
      <c r="B5747" s="7" t="n">
        <v>5745</v>
      </c>
      <c r="C5747" t="inlineStr">
        <is>
          <t>Chuyên viên Kế toán Bán hàng</t>
        </is>
      </c>
      <c r="D5747" t="inlineStr">
        <is>
          <t>Công Ty Cổ Phần Tập Đoàn Đầu Tư Địa Ốc No Va</t>
        </is>
      </c>
      <c r="E5747" t="inlineStr">
        <is>
          <t>Lương:14 Tr - 20 Tr VND</t>
        </is>
      </c>
      <c r="F5747" t="inlineStr">
        <is>
          <t>Hồ Chí Minh</t>
        </is>
      </c>
      <c r="G5747" t="inlineStr">
        <is>
          <t>24-03-2026</t>
        </is>
      </c>
      <c r="H5747" t="inlineStr">
        <is>
          <t>24/03/2026</t>
        </is>
      </c>
      <c r="I5747" t="inlineStr">
        <is>
          <t>17/03/2026</t>
        </is>
      </c>
      <c r="J5747" t="inlineStr">
        <is>
          <t>Kế toán / Kiểm toán, Tài chính / Đầu tư, Bất động sản</t>
        </is>
      </c>
      <c r="K5747" t="inlineStr">
        <is>
          <t>1 - 2 Năm</t>
        </is>
      </c>
      <c r="L5747" s="8">
        <f>HYPERLINK("https://careerviet.vn/vi/tim-viec-lam/chuyen-vien-ke-toan-ban-hang.35C6672A.html","Xem chi tiết")</f>
        <v/>
      </c>
    </row>
    <row r="5748">
      <c r="B5748" s="9" t="n">
        <v>5746</v>
      </c>
      <c r="C5748" s="10" t="inlineStr">
        <is>
          <t>127164 - Passenger Sales Supervisor - Travel Agency</t>
        </is>
      </c>
      <c r="D5748" s="10" t="inlineStr">
        <is>
          <t>RGF HR Agent Vietnam Co., LTD</t>
        </is>
      </c>
      <c r="E5748" s="10" t="inlineStr">
        <is>
          <t>Lương:Cạnh tranh</t>
        </is>
      </c>
      <c r="F5748" s="10" t="inlineStr">
        <is>
          <t>Hà Nội</t>
        </is>
      </c>
      <c r="G5748" s="10" t="inlineStr">
        <is>
          <t>24-03-2026</t>
        </is>
      </c>
      <c r="H5748" s="10" t="inlineStr">
        <is>
          <t>24/03/2026</t>
        </is>
      </c>
      <c r="I5748" s="10" t="inlineStr">
        <is>
          <t>17/03/2026</t>
        </is>
      </c>
      <c r="J5748" s="10" t="inlineStr">
        <is>
          <t>Bán hàng / Kinh doanh, Du lịch, Hàng không</t>
        </is>
      </c>
      <c r="K5748" s="10" t="inlineStr">
        <is>
          <t>Trên 5 Năm</t>
        </is>
      </c>
      <c r="L5748" s="11">
        <f>HYPERLINK("https://careerviet.vn/vi/tim-viec-lam/127164-passenger-sales-supervisor-travel-agency.35C667A9.html","Xem chi tiết")</f>
        <v/>
      </c>
      <c r="M5748" s="10" t="n"/>
    </row>
    <row r="5749">
      <c r="B5749" s="7" t="n">
        <v>5747</v>
      </c>
      <c r="C5749" t="inlineStr">
        <is>
          <t>Kỹ thuật viên bảo dưỡng máy</t>
        </is>
      </c>
      <c r="D5749" t="inlineStr">
        <is>
          <t>Fushan Technology Vietnam</t>
        </is>
      </c>
      <c r="E5749" t="inlineStr">
        <is>
          <t>Lương:Cạnh tranh</t>
        </is>
      </c>
      <c r="F5749" t="inlineStr">
        <is>
          <t>Bắc Ninh</t>
        </is>
      </c>
      <c r="G5749" t="inlineStr">
        <is>
          <t>24-03-2026</t>
        </is>
      </c>
      <c r="H5749" t="inlineStr">
        <is>
          <t>24/03/2026</t>
        </is>
      </c>
      <c r="I5749" t="inlineStr">
        <is>
          <t>17/03/2026</t>
        </is>
      </c>
      <c r="J5749" t="inlineStr">
        <is>
          <t>Điện / Điện tử / Điện lạnh / Điện công nghiệp</t>
        </is>
      </c>
      <c r="K5749" t="inlineStr">
        <is>
          <t>Trên 1 Năm</t>
        </is>
      </c>
      <c r="L5749" s="8">
        <f>HYPERLINK("https://careerviet.vn/vi/tim-viec-lam/ky-thuat-vien-bao-duong-may.35C63AF2.html","Xem chi tiết")</f>
        <v/>
      </c>
    </row>
    <row r="5750">
      <c r="B5750" s="9" t="n">
        <v>5748</v>
      </c>
      <c r="C5750" s="10" t="inlineStr">
        <is>
          <t>Livestream Operation (Home appliance)</t>
        </is>
      </c>
      <c r="D5750" s="10" t="inlineStr">
        <is>
          <t>Talent Trader Vietnam</t>
        </is>
      </c>
      <c r="E5750" s="10" t="inlineStr">
        <is>
          <t>Lương:1.000 - 1.500 USD</t>
        </is>
      </c>
      <c r="F5750" s="10" t="inlineStr">
        <is>
          <t>Hồ Chí Minh</t>
        </is>
      </c>
      <c r="G5750" s="10" t="inlineStr">
        <is>
          <t>24-03-2026</t>
        </is>
      </c>
      <c r="H5750" s="10" t="inlineStr">
        <is>
          <t>24/03/2026</t>
        </is>
      </c>
      <c r="I5750" s="10" t="inlineStr">
        <is>
          <t>17/03/2026</t>
        </is>
      </c>
      <c r="J5750" s="10" t="inlineStr">
        <is>
          <t>Tiếp thị / Marketing, Thương mại điện tử, Quảng cáo / Đối ngoại / Truyền Thông</t>
        </is>
      </c>
      <c r="K5750" s="10" t="inlineStr">
        <is>
          <t>1 - 3 Năm</t>
        </is>
      </c>
      <c r="L5750" s="11">
        <f>HYPERLINK("https://careerviet.vn/vi/tim-viec-lam/livestream-operation-home-appliance.35C63AF5.html","Xem chi tiết")</f>
        <v/>
      </c>
      <c r="M5750" s="10" t="n"/>
    </row>
    <row r="5751">
      <c r="B5751" s="7" t="n">
        <v>5749</v>
      </c>
      <c r="C5751" t="inlineStr">
        <is>
          <t>Kế Toán Công Nợ</t>
        </is>
      </c>
      <c r="D5751" t="inlineStr">
        <is>
          <t>CÔNG TY TNHH XÂY DỰNG TUẤN LÊ</t>
        </is>
      </c>
      <c r="E5751" t="inlineStr">
        <is>
          <t>Lương:Cạnh tranh</t>
        </is>
      </c>
      <c r="F5751" t="inlineStr">
        <is>
          <t>Hồ Chí Minh</t>
        </is>
      </c>
      <c r="G5751" t="inlineStr">
        <is>
          <t>24-03-2026</t>
        </is>
      </c>
      <c r="H5751" t="inlineStr">
        <is>
          <t>24/03/2026</t>
        </is>
      </c>
      <c r="I5751" t="inlineStr">
        <is>
          <t>17/03/2026</t>
        </is>
      </c>
      <c r="J5751" t="inlineStr">
        <is>
          <t>Kế toán / Kiểm toán, Ngân hàng, Xây dựng</t>
        </is>
      </c>
      <c r="K5751" t="inlineStr">
        <is>
          <t>Trên 2 Năm</t>
        </is>
      </c>
      <c r="L5751" s="8">
        <f>HYPERLINK("https://careerviet.vn/vi/tim-viec-lam/ke-toan-cong-no.35C63BD1.html","Xem chi tiết")</f>
        <v/>
      </c>
    </row>
    <row r="5752">
      <c r="B5752" s="9" t="n">
        <v>5750</v>
      </c>
      <c r="C5752" s="10" t="inlineStr">
        <is>
          <t>NHÂN VIÊN QAQC - LÀM VIỆC TẠI HÀ NỘI -HẠ LONG GẤP</t>
        </is>
      </c>
      <c r="D5752" s="10" t="inlineStr">
        <is>
          <t>Công Ty TNHH Xây Dựng và Nội Thất Cao Cấp Alliance</t>
        </is>
      </c>
      <c r="E5752" s="10" t="inlineStr">
        <is>
          <t>Lương:Cạnh tranh</t>
        </is>
      </c>
      <c r="F5752" s="10" t="inlineStr">
        <is>
          <t>Quảng NinhHà Nội</t>
        </is>
      </c>
      <c r="G5752" s="10" t="inlineStr">
        <is>
          <t>5</t>
        </is>
      </c>
      <c r="H5752" s="10" t="inlineStr">
        <is>
          <t>22/03/2026</t>
        </is>
      </c>
      <c r="I5752" s="10" t="inlineStr">
        <is>
          <t>17/03/2026</t>
        </is>
      </c>
      <c r="J5752" s="10" t="inlineStr">
        <is>
          <t>Kiến trúc, Xây dựng, Nội ngoại thất</t>
        </is>
      </c>
      <c r="K5752" s="10" t="inlineStr">
        <is>
          <t>3 - 10 Năm</t>
        </is>
      </c>
      <c r="L5752" s="11">
        <f>HYPERLINK("https://careerviet.vn/vi/tim-viec-lam/nhan-vien-qaqc-lam-viec-tai-ha-noi-ha-long-gap.35C63796.html","Xem chi tiết")</f>
        <v/>
      </c>
      <c r="M5752" s="10" t="n"/>
    </row>
    <row r="5753">
      <c r="B5753" s="7" t="n">
        <v>5751</v>
      </c>
      <c r="C5753" t="inlineStr">
        <is>
          <t>Kế toán tổng hợp</t>
        </is>
      </c>
      <c r="D5753" t="inlineStr">
        <is>
          <t>CÔNG TY TNHH TRƯỜNG QUỐC TẾ PALFISH SINGAPORE – VIETNAM</t>
        </is>
      </c>
      <c r="E5753" t="inlineStr">
        <is>
          <t>Lương:14 Tr - 18 Tr VND</t>
        </is>
      </c>
      <c r="F5753" t="inlineStr">
        <is>
          <t>Hồ Chí Minh</t>
        </is>
      </c>
      <c r="G5753" t="inlineStr">
        <is>
          <t>24-03-2026</t>
        </is>
      </c>
      <c r="H5753" t="inlineStr">
        <is>
          <t>24/03/2026</t>
        </is>
      </c>
      <c r="I5753" t="inlineStr">
        <is>
          <t>17/03/2026</t>
        </is>
      </c>
      <c r="J5753" t="inlineStr">
        <is>
          <t>Luật / Pháp lý, Kế toán / Kiểm toán, Tài chính / Đầu tư</t>
        </is>
      </c>
      <c r="K5753" t="inlineStr">
        <is>
          <t>Chưa có kinh nghiệm</t>
        </is>
      </c>
      <c r="L5753" s="8">
        <f>HYPERLINK("https://careerviet.vn/vi/tim-viec-lam/ke-toan-tong-hop.35C665A1.html","Xem chi tiết")</f>
        <v/>
      </c>
    </row>
    <row r="5754">
      <c r="B5754" s="9" t="n">
        <v>5752</v>
      </c>
      <c r="C5754" s="10" t="inlineStr">
        <is>
          <t>KỸ SƯ HÀN NHÔM/CHUYÊN GIA HÀN NHÔM</t>
        </is>
      </c>
      <c r="D5754" s="10" t="inlineStr">
        <is>
          <t>VINFAST TRADING AND PRODUCTION JSC</t>
        </is>
      </c>
      <c r="E5754" s="10" t="inlineStr">
        <is>
          <t>Lương:Cạnh tranh</t>
        </is>
      </c>
      <c r="F5754" s="10" t="inlineStr">
        <is>
          <t>Hà Tĩnh</t>
        </is>
      </c>
      <c r="G5754" s="10" t="inlineStr">
        <is>
          <t>5</t>
        </is>
      </c>
      <c r="H5754" s="10" t="inlineStr">
        <is>
          <t>22/03/2026</t>
        </is>
      </c>
      <c r="I5754" s="10" t="inlineStr">
        <is>
          <t>17/03/2026</t>
        </is>
      </c>
      <c r="J5754" s="10" t="inlineStr">
        <is>
          <t>Sản xuất / Vận hành sản xuất</t>
        </is>
      </c>
      <c r="K5754" s="10" t="inlineStr">
        <is>
          <t>N/A</t>
        </is>
      </c>
      <c r="L5754" s="11">
        <f>HYPERLINK("https://careerviet.vn/vi/tim-viec-lam/ky-su-han-nhom-chuyen-gia-han-nhom.35C6632E.html","Xem chi tiết")</f>
        <v/>
      </c>
      <c r="M5754" s="10" t="n"/>
    </row>
    <row r="5755">
      <c r="B5755" s="7" t="n">
        <v>5753</v>
      </c>
      <c r="C5755" t="inlineStr">
        <is>
          <t>Giám Sát Bán Hàng (Dầu Ăn Tường An) - TPHCM(Bình Dương) Kênh GT</t>
        </is>
      </c>
      <c r="D5755" t="inlineStr">
        <is>
          <t>Công Ty Cổ phần Tập Đoàn KIDO</t>
        </is>
      </c>
      <c r="E5755" t="inlineStr">
        <is>
          <t>Lương:Cạnh tranh</t>
        </is>
      </c>
      <c r="F5755" t="inlineStr">
        <is>
          <t>Bình Dương</t>
        </is>
      </c>
      <c r="G5755" t="inlineStr">
        <is>
          <t>5</t>
        </is>
      </c>
      <c r="H5755" t="inlineStr">
        <is>
          <t>22/03/2026</t>
        </is>
      </c>
      <c r="I5755" t="inlineStr">
        <is>
          <t>17/03/2026</t>
        </is>
      </c>
      <c r="J5755" t="inlineStr">
        <is>
          <t>Bán hàng / Kinh doanh, Ngành khác</t>
        </is>
      </c>
      <c r="K5755" t="inlineStr">
        <is>
          <t>3 - 5 Năm</t>
        </is>
      </c>
      <c r="L5755" s="8">
        <f>HYPERLINK("https://careerviet.vn/vi/tim-viec-lam/giam-sat-ban-hang-dau-an-tuong-an-tphcm-binh-duong-kenh-gt.35C66351.html","Xem chi tiết")</f>
        <v/>
      </c>
    </row>
    <row r="5756">
      <c r="B5756" s="9" t="n">
        <v>5754</v>
      </c>
      <c r="C5756" s="10" t="inlineStr">
        <is>
          <t>Nhân viên vận hành máy</t>
        </is>
      </c>
      <c r="D5756" s="10" t="inlineStr">
        <is>
          <t>CÔNG TY TRÁCH NHIỆM HỮU HẠN OJITEX (VIỆT NAM) - CHI NHÁNH LONG THÀNH</t>
        </is>
      </c>
      <c r="E5756" s="10" t="inlineStr">
        <is>
          <t>Lương:7 Tr - 9 Tr VND</t>
        </is>
      </c>
      <c r="F5756" s="10" t="inlineStr">
        <is>
          <t>Đồng Nai</t>
        </is>
      </c>
      <c r="G5756" s="10" t="inlineStr">
        <is>
          <t>5</t>
        </is>
      </c>
      <c r="H5756" s="10" t="inlineStr">
        <is>
          <t>22/03/2026</t>
        </is>
      </c>
      <c r="I5756" s="10" t="inlineStr">
        <is>
          <t>17/03/2026</t>
        </is>
      </c>
      <c r="J5756" s="10" t="inlineStr">
        <is>
          <t>Sản xuất / Vận hành sản xuất, Cơ khí / Ô tô / Tự động hóa, Bảo trì / Sửa chữa</t>
        </is>
      </c>
      <c r="K5756" s="10" t="inlineStr">
        <is>
          <t>1 - 2 Năm</t>
        </is>
      </c>
      <c r="L5756" s="11">
        <f>HYPERLINK("https://careerviet.vn/vi/tim-viec-lam/nhan-vien-van-hanh-may.35C663B0.html","Xem chi tiết")</f>
        <v/>
      </c>
      <c r="M5756" s="10" t="n"/>
    </row>
    <row r="5757">
      <c r="B5757" s="7" t="n">
        <v>5755</v>
      </c>
      <c r="C5757" t="inlineStr">
        <is>
          <t>Trợ lý văn phòng - Tiếng Trung - Làm việc tại Hòa Ân Viên &amp; Chùa Bửu Sơn</t>
        </is>
      </c>
      <c r="D5757" t="inlineStr">
        <is>
          <t>Bảo mật</t>
        </is>
      </c>
      <c r="E5757" t="inlineStr">
        <is>
          <t>Lương:13 Tr - 15 Tr VND</t>
        </is>
      </c>
      <c r="F5757" t="inlineStr">
        <is>
          <t>Hồ Chí Minh</t>
        </is>
      </c>
      <c r="G5757" t="inlineStr">
        <is>
          <t>5</t>
        </is>
      </c>
      <c r="H5757" t="inlineStr">
        <is>
          <t>22/03/2026</t>
        </is>
      </c>
      <c r="I5757" t="inlineStr">
        <is>
          <t>17/03/2026</t>
        </is>
      </c>
      <c r="J5757" t="inlineStr">
        <is>
          <t>Hành chính / Thư ký, Biên phiên dịch, Nhân sự</t>
        </is>
      </c>
      <c r="K5757" t="inlineStr">
        <is>
          <t>1 - 3 Năm</t>
        </is>
      </c>
      <c r="L5757" s="8">
        <f>HYPERLINK("https://careerviet.vn/vi/tim-viec-lam/tro-ly-van-phong-tieng-trung-lam-viec-tai-hoa-an-vien-chua-buu-son.35C637DE.html","Xem chi tiết")</f>
        <v/>
      </c>
    </row>
    <row r="5758">
      <c r="B5758" s="9" t="n">
        <v>5756</v>
      </c>
      <c r="C5758" s="10" t="inlineStr">
        <is>
          <t>Nhân viên kế hoạch tổng hợp bệnh viện 27323 - Văn Giang, Hưng Yên</t>
        </is>
      </c>
      <c r="D5758" s="10" t="inlineStr">
        <is>
          <t>Công Ty TNHH Reeracoen Việt Nam</t>
        </is>
      </c>
      <c r="E5758" s="10" t="inlineStr">
        <is>
          <t>Lương:Cạnh tranh</t>
        </is>
      </c>
      <c r="F5758" s="10" t="inlineStr">
        <is>
          <t>Hưng Yên</t>
        </is>
      </c>
      <c r="G5758" s="10" t="inlineStr">
        <is>
          <t>5</t>
        </is>
      </c>
      <c r="H5758" s="10" t="inlineStr">
        <is>
          <t>22/03/2026</t>
        </is>
      </c>
      <c r="I5758" s="10" t="inlineStr">
        <is>
          <t>17/03/2026</t>
        </is>
      </c>
      <c r="J5758" s="10" t="inlineStr">
        <is>
          <t>Y tế / Chăm sóc sức khỏe / Thẩm mỹ / Làm đẹp, Hành chính / Thư ký, Quản lý điều hành</t>
        </is>
      </c>
      <c r="K5758" s="10" t="inlineStr">
        <is>
          <t>2 - 5 Năm</t>
        </is>
      </c>
      <c r="L5758" s="11">
        <f>HYPERLINK("https://careerviet.vn/vi/tim-viec-lam/nhan-vien-ke-hoach-tong-hop-benh-vien-27323-van-giang-hung-yen.35C6389F.html","Xem chi tiết")</f>
        <v/>
      </c>
      <c r="M5758" s="10" t="n"/>
    </row>
    <row r="5759">
      <c r="B5759" s="7" t="n">
        <v>5757</v>
      </c>
      <c r="C5759" t="inlineStr">
        <is>
          <t>Chuyên Viên Kế Hoạch Và Thẩm Định Mua Sắm</t>
        </is>
      </c>
      <c r="D5759" t="inlineStr">
        <is>
          <t>NGÂN HÀNG TMCP NGOẠI THƯƠNG VIỆT NAM (VIETCOMBANK)</t>
        </is>
      </c>
      <c r="E5759" t="inlineStr">
        <is>
          <t>Lương:Cạnh tranh</t>
        </is>
      </c>
      <c r="F5759" t="inlineStr">
        <is>
          <t>Hà Nội</t>
        </is>
      </c>
      <c r="G5759" t="inlineStr">
        <is>
          <t>5</t>
        </is>
      </c>
      <c r="H5759" t="inlineStr">
        <is>
          <t>22/03/2026</t>
        </is>
      </c>
      <c r="I5759" t="inlineStr">
        <is>
          <t>17/03/2026</t>
        </is>
      </c>
      <c r="J5759" t="inlineStr">
        <is>
          <t>Ngân hàng, Kế toán / Kiểm toán, Thu mua / Vật tư</t>
        </is>
      </c>
      <c r="K5759" t="inlineStr">
        <is>
          <t>Trên 2 Năm</t>
        </is>
      </c>
      <c r="L5759" s="8">
        <f>HYPERLINK("https://careerviet.vn/vi/tim-viec-lam/chuyen-vien-ke-hoach-va-tham-dinh-mua-sam.35C66343.html","Xem chi tiết")</f>
        <v/>
      </c>
    </row>
    <row r="5760">
      <c r="B5760" s="9" t="n">
        <v>5758</v>
      </c>
      <c r="C5760" s="10" t="inlineStr">
        <is>
          <t>Nhân viên ISO có Tiếng Nhật 25787 - KCN Biên Hòa 2, Đồng Nai</t>
        </is>
      </c>
      <c r="D5760" s="10" t="inlineStr">
        <is>
          <t>Công Ty TNHH Reeracoen Việt Nam</t>
        </is>
      </c>
      <c r="E5760" s="10" t="inlineStr">
        <is>
          <t>Lương:15 Tr - 20 Tr VND</t>
        </is>
      </c>
      <c r="F5760" s="10" t="inlineStr">
        <is>
          <t>Đồng Nai</t>
        </is>
      </c>
      <c r="G5760" s="10" t="inlineStr">
        <is>
          <t>5</t>
        </is>
      </c>
      <c r="H5760" s="10" t="inlineStr">
        <is>
          <t>22/03/2026</t>
        </is>
      </c>
      <c r="I5760" s="10" t="inlineStr">
        <is>
          <t>17/03/2026</t>
        </is>
      </c>
      <c r="J5760" s="10" t="inlineStr">
        <is>
          <t>Sản xuất / Vận hành sản xuất, Quản lý chất lượng (QA/QC), Thu mua / Vật tư</t>
        </is>
      </c>
      <c r="K5760" s="10" t="inlineStr">
        <is>
          <t>Trên 3 Năm</t>
        </is>
      </c>
      <c r="L5760" s="11">
        <f>HYPERLINK("https://careerviet.vn/vi/tim-viec-lam/nhan-vien-iso-co-tieng-nhat-25787-kcn-bien-hoa-2-dong-nai.35C638A0.html","Xem chi tiết")</f>
        <v/>
      </c>
      <c r="M5760" s="10" t="n"/>
    </row>
    <row r="5761">
      <c r="B5761" s="7" t="n">
        <v>5759</v>
      </c>
      <c r="C5761" t="inlineStr">
        <is>
          <t>KẾ TOÁN</t>
        </is>
      </c>
      <c r="D5761" t="inlineStr">
        <is>
          <t>TNHH VẬT TƯ KC</t>
        </is>
      </c>
      <c r="E5761" t="inlineStr">
        <is>
          <t>Lương:10 Tr - 15 Tr VND</t>
        </is>
      </c>
      <c r="F5761" t="inlineStr">
        <is>
          <t>Bình Dương</t>
        </is>
      </c>
      <c r="G5761" t="inlineStr">
        <is>
          <t>5</t>
        </is>
      </c>
      <c r="H5761" t="inlineStr">
        <is>
          <t>22/03/2026</t>
        </is>
      </c>
      <c r="I5761" t="inlineStr">
        <is>
          <t>17/03/2026</t>
        </is>
      </c>
      <c r="J5761" t="inlineStr">
        <is>
          <t>Bán hàng / Kinh doanh, Kế toán / Kiểm toán</t>
        </is>
      </c>
      <c r="K5761" t="inlineStr">
        <is>
          <t>N/A</t>
        </is>
      </c>
      <c r="L5761" s="8">
        <f>HYPERLINK("https://careerviet.vn/vi/tim-viec-lam/ke-toan.35C6374E.html","Xem chi tiết")</f>
        <v/>
      </c>
    </row>
    <row r="5762">
      <c r="B5762" s="9" t="n">
        <v>5760</v>
      </c>
      <c r="C5762" s="10" t="inlineStr">
        <is>
          <t>Client Strategy Manager</t>
        </is>
      </c>
      <c r="D5762" s="10" t="inlineStr">
        <is>
          <t>NEW ACE VIỆT NAM</t>
        </is>
      </c>
      <c r="E5762" s="10" t="inlineStr">
        <is>
          <t>Lương:Cạnh tranh</t>
        </is>
      </c>
      <c r="F5762" s="10" t="inlineStr">
        <is>
          <t>Hồ Chí Minh</t>
        </is>
      </c>
      <c r="G5762" s="10" t="inlineStr">
        <is>
          <t>5</t>
        </is>
      </c>
      <c r="H5762" s="10" t="inlineStr">
        <is>
          <t>22/03/2026</t>
        </is>
      </c>
      <c r="I5762" s="10" t="inlineStr">
        <is>
          <t>17/03/2026</t>
        </is>
      </c>
      <c r="J5762" s="10" t="inlineStr">
        <is>
          <t>Bán hàng / Kinh doanh, Tiếp thị trực tuyến, Tư vấn</t>
        </is>
      </c>
      <c r="K5762" s="10" t="inlineStr">
        <is>
          <t>N/A</t>
        </is>
      </c>
      <c r="L5762" s="11">
        <f>HYPERLINK("https://careerviet.vn/vi/tim-viec-lam/client-strategy-manager.35C663A6.html","Xem chi tiết")</f>
        <v/>
      </c>
      <c r="M5762" s="10" t="n"/>
    </row>
    <row r="5763">
      <c r="B5763" s="7" t="n">
        <v>5761</v>
      </c>
      <c r="C5763" t="inlineStr">
        <is>
          <t>[JHC0037247] OPTICAL DESIGN ENGINEER</t>
        </is>
      </c>
      <c r="D5763" t="inlineStr">
        <is>
          <t>Iconic Co.,Ltd</t>
        </is>
      </c>
      <c r="E5763" t="inlineStr">
        <is>
          <t>Lương:40 Tr - 50 Tr VND</t>
        </is>
      </c>
      <c r="F5763" t="inlineStr">
        <is>
          <t>Bình Dương</t>
        </is>
      </c>
      <c r="G5763" t="inlineStr">
        <is>
          <t>5</t>
        </is>
      </c>
      <c r="H5763" t="inlineStr">
        <is>
          <t>22/03/2026</t>
        </is>
      </c>
      <c r="I5763" t="inlineStr">
        <is>
          <t>17/03/2026</t>
        </is>
      </c>
      <c r="J5763" t="inlineStr">
        <is>
          <t>Điện / Điện tử / Điện lạnh / Điện công nghiệp</t>
        </is>
      </c>
      <c r="K5763" t="inlineStr">
        <is>
          <t>5 - 10 Năm</t>
        </is>
      </c>
      <c r="L5763" s="8">
        <f>HYPERLINK("https://careerviet.vn/vi/tim-viec-lam/jhc0037247-optical-design-engineer.35C637E7.html","Xem chi tiết")</f>
        <v/>
      </c>
    </row>
    <row r="5764">
      <c r="B5764" s="9" t="n">
        <v>5762</v>
      </c>
      <c r="C5764" s="10" t="inlineStr">
        <is>
          <t>Kỹ Sư Giao Thông</t>
        </is>
      </c>
      <c r="D5764" s="10" t="inlineStr">
        <is>
          <t>CÔNG TY CỔ PHẦN ĐẦU TƯ HẠ TẦNG DONACOOP</t>
        </is>
      </c>
      <c r="E5764" s="10" t="inlineStr">
        <is>
          <t>Lương:Cạnh tranh</t>
        </is>
      </c>
      <c r="F5764" s="10" t="inlineStr">
        <is>
          <t>Đồng Nai</t>
        </is>
      </c>
      <c r="G5764" s="10" t="inlineStr">
        <is>
          <t>5</t>
        </is>
      </c>
      <c r="H5764" s="10" t="inlineStr">
        <is>
          <t>22/03/2026</t>
        </is>
      </c>
      <c r="I5764" s="10" t="inlineStr">
        <is>
          <t>17/03/2026</t>
        </is>
      </c>
      <c r="J5764" s="10" t="inlineStr">
        <is>
          <t>Vận chuyển / Giao nhận / Kho vận, An toàn lao động, Kiến trúc</t>
        </is>
      </c>
      <c r="K5764" s="10" t="inlineStr">
        <is>
          <t>Trên 5 Năm</t>
        </is>
      </c>
      <c r="L5764" s="11">
        <f>HYPERLINK("https://careerviet.vn/vi/tim-viec-lam/ky-su-giao-thong.35C66412.html","Xem chi tiết")</f>
        <v/>
      </c>
      <c r="M5764" s="10" t="n"/>
    </row>
    <row r="5765">
      <c r="B5765" s="7" t="n">
        <v>5763</v>
      </c>
      <c r="C5765" t="inlineStr">
        <is>
          <t>Nhân Viên Kinh Doanh (Healthcare AI Solutions)</t>
        </is>
      </c>
      <c r="D5765" t="inlineStr">
        <is>
          <t>CÔNG TY CỔ PHẦN VẮC XIN VÀ SINH PHẨM NAM HƯNG VIỆT</t>
        </is>
      </c>
      <c r="E5765" t="inlineStr">
        <is>
          <t>Lương:12 Tr - 30 Tr VND</t>
        </is>
      </c>
      <c r="F5765" t="inlineStr">
        <is>
          <t>Hồ Chí MinhĐà NẵngHà Nội</t>
        </is>
      </c>
      <c r="G5765" t="inlineStr">
        <is>
          <t>5</t>
        </is>
      </c>
      <c r="H5765" t="inlineStr">
        <is>
          <t>22/03/2026</t>
        </is>
      </c>
      <c r="I5765" t="inlineStr">
        <is>
          <t>17/03/2026</t>
        </is>
      </c>
      <c r="J5765" t="inlineStr">
        <is>
          <t>Bán hàng / Kinh doanh, Dược phẩm/ Hóa Mỹ Phẩm, Y tế / Chăm sóc sức khỏe / Thẩm mỹ / Làm đẹp</t>
        </is>
      </c>
      <c r="K5765" t="inlineStr">
        <is>
          <t>Trên 2 Năm</t>
        </is>
      </c>
      <c r="L5765" s="8">
        <f>HYPERLINK("https://careerviet.vn/vi/tim-viec-lam/nhan-vien-kinh-doanh-healthcare-ai-solutions.35C6638B.html","Xem chi tiết")</f>
        <v/>
      </c>
    </row>
    <row r="5766">
      <c r="B5766" s="9" t="n">
        <v>5764</v>
      </c>
      <c r="C5766" s="10" t="inlineStr">
        <is>
          <t>Giáo viên tiếng Trung Part time (Quận 11)</t>
        </is>
      </c>
      <c r="D5766" s="10" t="inlineStr">
        <is>
          <t>TRƯỜNG QUỐC TẾ BLUE RIDGE / BLUE RIDGE INTERNATIONAL SCHOOL (BRIS)</t>
        </is>
      </c>
      <c r="E5766" s="10" t="inlineStr">
        <is>
          <t>Lương:Cạnh tranh</t>
        </is>
      </c>
      <c r="F5766" s="10" t="inlineStr">
        <is>
          <t>Hồ Chí Minh</t>
        </is>
      </c>
      <c r="G5766" s="10" t="inlineStr">
        <is>
          <t>5</t>
        </is>
      </c>
      <c r="H5766" s="10" t="inlineStr">
        <is>
          <t>22/03/2026</t>
        </is>
      </c>
      <c r="I5766" s="10" t="inlineStr">
        <is>
          <t>17/03/2026</t>
        </is>
      </c>
      <c r="J5766" s="10" t="inlineStr">
        <is>
          <t>Giáo dục / Đào tạo</t>
        </is>
      </c>
      <c r="K5766" s="10" t="inlineStr">
        <is>
          <t>1 - 2 Năm</t>
        </is>
      </c>
      <c r="L5766" s="11">
        <f>HYPERLINK("https://careerviet.vn/vi/tim-viec-lam/giao-vien-tieng-trung-part-time-quan-11.35C6370B.html","Xem chi tiết")</f>
        <v/>
      </c>
      <c r="M5766" s="10" t="n"/>
    </row>
    <row r="5767">
      <c r="B5767" s="7" t="n">
        <v>5765</v>
      </c>
      <c r="C5767" t="inlineStr">
        <is>
          <t>KỸ SƯ MEP (GIÁM SÁT THI CÔNG / ĐIỆN)</t>
        </is>
      </c>
      <c r="D5767" t="inlineStr">
        <is>
          <t>CÔNG TY TNHH THIÊN NHẬT MINH</t>
        </is>
      </c>
      <c r="E5767" t="inlineStr">
        <is>
          <t>Lương:Cạnh tranh</t>
        </is>
      </c>
      <c r="F5767" t="inlineStr">
        <is>
          <t>Hồ Chí MinhTây NinhĐồng Nai</t>
        </is>
      </c>
      <c r="G5767" t="inlineStr">
        <is>
          <t>5</t>
        </is>
      </c>
      <c r="H5767" t="inlineStr">
        <is>
          <t>22/03/2026</t>
        </is>
      </c>
      <c r="I5767" t="inlineStr">
        <is>
          <t>17/03/2026</t>
        </is>
      </c>
      <c r="J5767" t="inlineStr">
        <is>
          <t>Cơ khí / Ô tô / Tự động hóa, Điện / Điện tử / Điện lạnh / Điện công nghiệp, Xây dựng</t>
        </is>
      </c>
      <c r="K5767" t="inlineStr">
        <is>
          <t>Trên 1 Năm</t>
        </is>
      </c>
      <c r="L5767" s="8">
        <f>HYPERLINK("https://careerviet.vn/vi/tim-viec-lam/ky-su-mep-giam-sat-thi-cong-dien.35C66335.html","Xem chi tiết")</f>
        <v/>
      </c>
    </row>
    <row r="5768">
      <c r="B5768" s="9" t="n">
        <v>5766</v>
      </c>
      <c r="C5768" s="10" t="inlineStr">
        <is>
          <t>NHÂN VIÊN BẢO TRÌ</t>
        </is>
      </c>
      <c r="D5768" s="10" t="inlineStr">
        <is>
          <t>CÔNG TY TNHH INZI VINA</t>
        </is>
      </c>
      <c r="E5768" s="10" t="inlineStr">
        <is>
          <t>Lương:Cạnh tranh</t>
        </is>
      </c>
      <c r="F5768" s="10" t="inlineStr">
        <is>
          <t>Đồng Nai</t>
        </is>
      </c>
      <c r="G5768" s="10" t="inlineStr">
        <is>
          <t>5</t>
        </is>
      </c>
      <c r="H5768" s="10" t="inlineStr">
        <is>
          <t>22/03/2026</t>
        </is>
      </c>
      <c r="I5768" s="10" t="inlineStr">
        <is>
          <t>17/03/2026</t>
        </is>
      </c>
      <c r="J5768" s="10" t="inlineStr">
        <is>
          <t>Điện / Điện tử / Điện lạnh / Điện công nghiệp, Bảo trì / Sửa chữa</t>
        </is>
      </c>
      <c r="K5768" s="10" t="inlineStr">
        <is>
          <t>N/A</t>
        </is>
      </c>
      <c r="L5768" s="11">
        <f>HYPERLINK("https://careerviet.vn/vi/tim-viec-lam/nhan-vien-bao-tri.35C662E3.html","Xem chi tiết")</f>
        <v/>
      </c>
      <c r="M5768" s="10" t="n"/>
    </row>
    <row r="5769">
      <c r="B5769" s="7" t="n">
        <v>5767</v>
      </c>
      <c r="C5769" t="inlineStr">
        <is>
          <t>Chuyên Viên Quản Lý Bảo Hiểm Y Tế</t>
        </is>
      </c>
      <c r="D5769" t="inlineStr">
        <is>
          <t>Công ty CP Bệnh Viện Đa Khoa Quốc Tế Vinmec</t>
        </is>
      </c>
      <c r="E5769" t="inlineStr">
        <is>
          <t>Lương:Cạnh tranh</t>
        </is>
      </c>
      <c r="F5769" t="inlineStr">
        <is>
          <t>Hà Nội</t>
        </is>
      </c>
      <c r="G5769" t="inlineStr">
        <is>
          <t>5</t>
        </is>
      </c>
      <c r="H5769" t="inlineStr">
        <is>
          <t>22/03/2026</t>
        </is>
      </c>
      <c r="I5769" t="inlineStr">
        <is>
          <t>17/03/2026</t>
        </is>
      </c>
      <c r="J5769" t="inlineStr">
        <is>
          <t>Bảo hiểm</t>
        </is>
      </c>
      <c r="K5769" t="inlineStr">
        <is>
          <t>Trên 2 Năm</t>
        </is>
      </c>
      <c r="L5769" s="8">
        <f>HYPERLINK("https://careerviet.vn/vi/tim-viec-lam/chuyen-vien-quan-ly-bao-hiem-y-te.35C6637F.html","Xem chi tiết")</f>
        <v/>
      </c>
    </row>
    <row r="5770">
      <c r="B5770" s="9" t="n">
        <v>5768</v>
      </c>
      <c r="C5770" s="10" t="inlineStr">
        <is>
          <t>Điều dưỡng viên</t>
        </is>
      </c>
      <c r="D5770" s="10" t="inlineStr">
        <is>
          <t>Hệ thống Y tế Thu Cúc</t>
        </is>
      </c>
      <c r="E5770" s="10" t="inlineStr">
        <is>
          <t>Lương:Cạnh tranh</t>
        </is>
      </c>
      <c r="F5770" s="10" t="inlineStr">
        <is>
          <t>Hà Nội</t>
        </is>
      </c>
      <c r="G5770" s="10" t="inlineStr">
        <is>
          <t>5</t>
        </is>
      </c>
      <c r="H5770" s="10" t="inlineStr">
        <is>
          <t>22/03/2026</t>
        </is>
      </c>
      <c r="I5770" s="10" t="inlineStr">
        <is>
          <t>17/03/2026</t>
        </is>
      </c>
      <c r="J5770" s="10" t="inlineStr">
        <is>
          <t>Bán hàng / Kinh doanh, Y tế / Chăm sóc sức khỏe / Thẩm mỹ / Làm đẹp</t>
        </is>
      </c>
      <c r="K5770" s="10" t="inlineStr">
        <is>
          <t>N/A</t>
        </is>
      </c>
      <c r="L5770" s="11">
        <f>HYPERLINK("https://careerviet.vn/vi/tim-viec-lam/dieu-duong-vien.35C6370E.html","Xem chi tiết")</f>
        <v/>
      </c>
      <c r="M5770" s="10" t="n"/>
    </row>
    <row r="5771">
      <c r="B5771" s="7" t="n">
        <v>5769</v>
      </c>
      <c r="C5771" t="inlineStr">
        <is>
          <t>Chuyên viên Cao cấp Phát triển Kinh doanh Bảo Hiểm</t>
        </is>
      </c>
      <c r="D5771" t="inlineStr">
        <is>
          <t>LOTTE FINANCE VIETNAM</t>
        </is>
      </c>
      <c r="E5771" t="inlineStr">
        <is>
          <t>Lương:Cạnh tranh</t>
        </is>
      </c>
      <c r="F5771" t="inlineStr">
        <is>
          <t>Hà Nội</t>
        </is>
      </c>
      <c r="G5771" t="inlineStr">
        <is>
          <t>5</t>
        </is>
      </c>
      <c r="H5771" t="inlineStr">
        <is>
          <t>22/03/2026</t>
        </is>
      </c>
      <c r="I5771" t="inlineStr">
        <is>
          <t>17/03/2026</t>
        </is>
      </c>
      <c r="J5771" t="inlineStr">
        <is>
          <t>Bảo hiểm, Ngân hàng, Tài chính / Đầu tư</t>
        </is>
      </c>
      <c r="K5771" t="inlineStr">
        <is>
          <t>Trên 3 Năm</t>
        </is>
      </c>
      <c r="L5771" s="8">
        <f>HYPERLINK("https://careerviet.vn/vi/tim-viec-lam/chuyen-vien-cao-cap-phat-trien-kinh-doanh-bao-hiem.35C6630E.html","Xem chi tiết")</f>
        <v/>
      </c>
    </row>
    <row r="5772">
      <c r="B5772" s="9" t="n">
        <v>5770</v>
      </c>
      <c r="C5772" s="10" t="inlineStr">
        <is>
          <t>Phó Tổng Giám đốc - SHB Campuchia</t>
        </is>
      </c>
      <c r="D5772" s="10" t="inlineStr">
        <is>
          <t>Ngân Hàng TMCP Sài Gòn - Hà Nội ( SHB )</t>
        </is>
      </c>
      <c r="E5772" s="10" t="inlineStr">
        <is>
          <t>Lương:Cạnh tranh</t>
        </is>
      </c>
      <c r="F5772" s="10" t="inlineStr">
        <is>
          <t>Phnompenh</t>
        </is>
      </c>
      <c r="G5772" s="10" t="inlineStr">
        <is>
          <t>5</t>
        </is>
      </c>
      <c r="H5772" s="10" t="inlineStr">
        <is>
          <t>22/03/2026</t>
        </is>
      </c>
      <c r="I5772" s="10" t="inlineStr">
        <is>
          <t>17/03/2026</t>
        </is>
      </c>
      <c r="J5772" s="10" t="inlineStr">
        <is>
          <t>Ngân hàng</t>
        </is>
      </c>
      <c r="K5772" s="10" t="inlineStr">
        <is>
          <t>Trên 8 Năm</t>
        </is>
      </c>
      <c r="L5772" s="11">
        <f>HYPERLINK("https://careerviet.vn/vi/tim-viec-lam/pho-tong-giam-doc-shb-campuchia.35C63895.html","Xem chi tiết")</f>
        <v/>
      </c>
      <c r="M5772" s="10" t="n"/>
    </row>
    <row r="5773">
      <c r="B5773" s="7" t="n">
        <v>5771</v>
      </c>
      <c r="C5773" t="inlineStr">
        <is>
          <t>Nhân viên Sales / Chuyên viên kinh doanh</t>
        </is>
      </c>
      <c r="D5773" t="inlineStr">
        <is>
          <t>CÔNG TY TRÁCH NHIỆM HỮU HẠN OJITEX (VIỆT NAM) - CHI NHÁNH LONG THÀNH</t>
        </is>
      </c>
      <c r="E5773" t="inlineStr">
        <is>
          <t>Lương:12 Tr - 25 Tr VND</t>
        </is>
      </c>
      <c r="F5773" t="inlineStr">
        <is>
          <t>Đồng Nai</t>
        </is>
      </c>
      <c r="G5773" t="inlineStr">
        <is>
          <t>5</t>
        </is>
      </c>
      <c r="H5773" t="inlineStr">
        <is>
          <t>22/03/2026</t>
        </is>
      </c>
      <c r="I5773" t="inlineStr">
        <is>
          <t>17/03/2026</t>
        </is>
      </c>
      <c r="J5773" t="inlineStr">
        <is>
          <t>Bán hàng / Kinh doanh</t>
        </is>
      </c>
      <c r="K5773" t="inlineStr">
        <is>
          <t>2 - 5 Năm</t>
        </is>
      </c>
      <c r="L5773" s="8">
        <f>HYPERLINK("https://careerviet.vn/vi/tim-viec-lam/nhan-vien-sales-chuyen-vien-kinh-doanh.35C6638F.html","Xem chi tiết")</f>
        <v/>
      </c>
    </row>
    <row r="5774">
      <c r="B5774" s="9" t="n">
        <v>5772</v>
      </c>
      <c r="C5774" s="10" t="inlineStr">
        <is>
          <t>Nhân Viên Đấu Thầu</t>
        </is>
      </c>
      <c r="D5774" s="10" t="inlineStr">
        <is>
          <t>CÔNG TY TNHH ĐẦU TƯ CHUYỂN GIAO CÔNG NGHỆ TOÀN CẦU</t>
        </is>
      </c>
      <c r="E5774" s="10" t="inlineStr">
        <is>
          <t>Lương:8 Tr - 12 Tr VND</t>
        </is>
      </c>
      <c r="F5774" s="10" t="inlineStr">
        <is>
          <t>Hồ Chí Minh</t>
        </is>
      </c>
      <c r="G5774" s="10" t="inlineStr">
        <is>
          <t>5</t>
        </is>
      </c>
      <c r="H5774" s="10" t="inlineStr">
        <is>
          <t>22/03/2026</t>
        </is>
      </c>
      <c r="I5774" s="10" t="inlineStr">
        <is>
          <t>17/03/2026</t>
        </is>
      </c>
      <c r="J5774" s="10" t="inlineStr">
        <is>
          <t>Luật / Pháp lý, Thu mua / Vật tư, Xây dựng</t>
        </is>
      </c>
      <c r="K5774" s="10" t="inlineStr">
        <is>
          <t>Trên 1 Năm</t>
        </is>
      </c>
      <c r="L5774" s="11">
        <f>HYPERLINK("https://careerviet.vn/vi/tim-viec-lam/nhan-vien-dau-thau.35C663BC.html","Xem chi tiết")</f>
        <v/>
      </c>
      <c r="M5774" s="10" t="n"/>
    </row>
    <row r="5775">
      <c r="B5775" s="7" t="n">
        <v>5773</v>
      </c>
      <c r="C5775" t="inlineStr">
        <is>
          <t>Phiên dịch tiếng Hàn</t>
        </is>
      </c>
      <c r="D5775" t="inlineStr">
        <is>
          <t>AKJ International</t>
        </is>
      </c>
      <c r="E5775" t="inlineStr">
        <is>
          <t>Lương:15 Tr - 25 Tr VND</t>
        </is>
      </c>
      <c r="F5775" t="inlineStr">
        <is>
          <t>Hồ Chí Minh</t>
        </is>
      </c>
      <c r="G5775" t="inlineStr">
        <is>
          <t>31-03-2026</t>
        </is>
      </c>
      <c r="H5775" t="inlineStr">
        <is>
          <t>31/03/2026</t>
        </is>
      </c>
      <c r="I5775" t="inlineStr">
        <is>
          <t>17/03/2026</t>
        </is>
      </c>
      <c r="J5775" t="inlineStr">
        <is>
          <t>Bán hàng / Kinh doanh, Hành chính / Thư ký, Biên phiên dịch</t>
        </is>
      </c>
      <c r="K5775" t="inlineStr">
        <is>
          <t>2 - 10 Năm</t>
        </is>
      </c>
      <c r="L5775" s="8">
        <f>HYPERLINK("https://careerviet.vn/vi/tim-viec-lam/phien-dich-tieng-han.35C663C4.html","Xem chi tiết")</f>
        <v/>
      </c>
    </row>
    <row r="5776">
      <c r="B5776" s="9" t="n">
        <v>5774</v>
      </c>
      <c r="C5776" s="10" t="inlineStr">
        <is>
          <t>Chuyên Viên Định Giá Tài Sản Tại Hưng Yên</t>
        </is>
      </c>
      <c r="D5776" s="10" t="inlineStr">
        <is>
          <t>NGÂN HÀNG TMCP NGOẠI THƯƠNG VIỆT NAM (VIETCOMBANK)</t>
        </is>
      </c>
      <c r="E5776" s="10" t="inlineStr">
        <is>
          <t>Lương:Cạnh tranh</t>
        </is>
      </c>
      <c r="F5776" s="10" t="inlineStr">
        <is>
          <t>Hưng Yên</t>
        </is>
      </c>
      <c r="G5776" s="10" t="inlineStr">
        <is>
          <t>5</t>
        </is>
      </c>
      <c r="H5776" s="10" t="inlineStr">
        <is>
          <t>22/03/2026</t>
        </is>
      </c>
      <c r="I5776" s="10" t="inlineStr">
        <is>
          <t>17/03/2026</t>
        </is>
      </c>
      <c r="J5776" s="10" t="inlineStr">
        <is>
          <t>Luật / Pháp lý, Ngân hàng, Tài chính / Đầu tư</t>
        </is>
      </c>
      <c r="K5776" s="10" t="inlineStr">
        <is>
          <t>2 - 3 Năm</t>
        </is>
      </c>
      <c r="L5776" s="11">
        <f>HYPERLINK("https://careerviet.vn/vi/tim-viec-lam/chuyen-vien-dinh-gia-tai-san-tai-hung-yen.35C6371B.html","Xem chi tiết")</f>
        <v/>
      </c>
      <c r="M5776" s="10" t="n"/>
    </row>
    <row r="5777">
      <c r="B5777" s="7" t="n">
        <v>5775</v>
      </c>
      <c r="C5777" t="inlineStr">
        <is>
          <t>[NovaDreams] Kỹ sư Cao cấp Quản lý Thiết kế Cơ điện</t>
        </is>
      </c>
      <c r="D5777" t="inlineStr">
        <is>
          <t>Bảo mật</t>
        </is>
      </c>
      <c r="E5777" t="inlineStr">
        <is>
          <t>Lương:Cạnh tranh</t>
        </is>
      </c>
      <c r="F5777" t="inlineStr">
        <is>
          <t>Hồ Chí Minh</t>
        </is>
      </c>
      <c r="G5777" t="inlineStr">
        <is>
          <t>5</t>
        </is>
      </c>
      <c r="H5777" t="inlineStr">
        <is>
          <t>22/03/2026</t>
        </is>
      </c>
      <c r="I5777" t="inlineStr">
        <is>
          <t>17/03/2026</t>
        </is>
      </c>
      <c r="J5777" t="inlineStr">
        <is>
          <t>Điện / Điện tử / Điện lạnh / Điện công nghiệp, Bất động sản, Nhà hàng / Khách sạn</t>
        </is>
      </c>
      <c r="K5777" t="inlineStr">
        <is>
          <t>5 - 10 Năm</t>
        </is>
      </c>
      <c r="L5777" s="8">
        <f>HYPERLINK("https://careerviet.vn/vi/tim-viec-lam/novadreams-ky-su-cao-cap-quan-ly-thiet-ke-co-dien.35C63791.html","Xem chi tiết")</f>
        <v/>
      </c>
    </row>
    <row r="5778">
      <c r="B5778" s="9" t="n">
        <v>5776</v>
      </c>
      <c r="C5778" s="10" t="inlineStr">
        <is>
          <t>Giáo viên Toán Tiếng Anh</t>
        </is>
      </c>
      <c r="D5778" s="10" t="inlineStr">
        <is>
          <t>TRƯỜNG PHỔ THÔNG LIÊN CẤP H.A.S</t>
        </is>
      </c>
      <c r="E5778" s="10" t="inlineStr">
        <is>
          <t>Lương:10 Tr - 13 Tr VND</t>
        </is>
      </c>
      <c r="F5778" s="10" t="inlineStr">
        <is>
          <t>Hà Nội</t>
        </is>
      </c>
      <c r="G5778" s="10" t="inlineStr">
        <is>
          <t>5</t>
        </is>
      </c>
      <c r="H5778" s="10" t="inlineStr">
        <is>
          <t>22/03/2026</t>
        </is>
      </c>
      <c r="I5778" s="10" t="inlineStr">
        <is>
          <t>17/03/2026</t>
        </is>
      </c>
      <c r="J5778" s="10" t="inlineStr">
        <is>
          <t>Giáo dục / Đào tạo</t>
        </is>
      </c>
      <c r="K5778" s="10" t="inlineStr">
        <is>
          <t>1 - 5 Năm</t>
        </is>
      </c>
      <c r="L5778" s="11">
        <f>HYPERLINK("https://careerviet.vn/vi/tim-viec-lam/giao-vien-toan-tieng-anh.35C662E1.html","Xem chi tiết")</f>
        <v/>
      </c>
      <c r="M5778" s="10" t="n"/>
    </row>
    <row r="5779">
      <c r="B5779" s="7" t="n">
        <v>5777</v>
      </c>
      <c r="C5779" t="inlineStr">
        <is>
          <t>NHÂN VIÊN VĂN PHÒNG SẢN XUẤT</t>
        </is>
      </c>
      <c r="D5779" t="inlineStr">
        <is>
          <t>Kyungbang Vietnam CO., LTD</t>
        </is>
      </c>
      <c r="E5779" t="inlineStr">
        <is>
          <t>Lương:9 Tr - 10 Tr VND</t>
        </is>
      </c>
      <c r="F5779" t="inlineStr">
        <is>
          <t>Bình Dương</t>
        </is>
      </c>
      <c r="G5779" t="inlineStr">
        <is>
          <t>5</t>
        </is>
      </c>
      <c r="H5779" t="inlineStr">
        <is>
          <t>22/03/2026</t>
        </is>
      </c>
      <c r="I5779" t="inlineStr">
        <is>
          <t>17/03/2026</t>
        </is>
      </c>
      <c r="J5779" t="inlineStr">
        <is>
          <t>Sản xuất / Vận hành sản xuất</t>
        </is>
      </c>
      <c r="K5779" t="inlineStr">
        <is>
          <t>Không yêu cầu kinh nghiệm</t>
        </is>
      </c>
      <c r="L5779" s="8">
        <f>HYPERLINK("https://careerviet.vn/vi/tim-viec-lam/nhan-vien-van-phong-san-xuat.35C66339.html","Xem chi tiết")</f>
        <v/>
      </c>
    </row>
    <row r="5780">
      <c r="B5780" s="9" t="n">
        <v>5778</v>
      </c>
      <c r="C5780" s="10" t="inlineStr">
        <is>
          <t>TRƯỞNG PHÒNG KINH DOANH BẤT ĐỘNG SẢN KHU CÔNG NGHIỆP</t>
        </is>
      </c>
      <c r="D5780" s="10" t="inlineStr">
        <is>
          <t>PeopleWise Vietnam</t>
        </is>
      </c>
      <c r="E5780" s="10" t="inlineStr">
        <is>
          <t>Lương:60 Tr - 80 Tr VND</t>
        </is>
      </c>
      <c r="F5780" s="10" t="inlineStr">
        <is>
          <t>Long An</t>
        </is>
      </c>
      <c r="G5780" s="10" t="inlineStr">
        <is>
          <t>5</t>
        </is>
      </c>
      <c r="H5780" s="10" t="inlineStr">
        <is>
          <t>22/03/2026</t>
        </is>
      </c>
      <c r="I5780" s="10" t="inlineStr">
        <is>
          <t>17/03/2026</t>
        </is>
      </c>
      <c r="J5780" s="10" t="inlineStr">
        <is>
          <t>Xây dựng, Bất động sản</t>
        </is>
      </c>
      <c r="K5780" s="10" t="inlineStr">
        <is>
          <t>Trên 3 Năm</t>
        </is>
      </c>
      <c r="L5780" s="11">
        <f>HYPERLINK("https://careerviet.vn/vi/tim-viec-lam/truong-phong-kinh-doanh-bat-dong-san-khu-cong-nghiep.35C663F4.html","Xem chi tiết")</f>
        <v/>
      </c>
      <c r="M5780" s="10" t="n"/>
    </row>
    <row r="5781">
      <c r="B5781" s="7" t="n">
        <v>5779</v>
      </c>
      <c r="C5781" t="inlineStr">
        <is>
          <t>Trưởng Nhóm Hỗ Trợ Thanh Toán Khoản Vay Qua Điện Thoại (Call Collection Team Leader)</t>
        </is>
      </c>
      <c r="D5781" t="inlineStr">
        <is>
          <t>LOTTE FINANCE VIETNAM</t>
        </is>
      </c>
      <c r="E5781" t="inlineStr">
        <is>
          <t>Lương:Cạnh tranh</t>
        </is>
      </c>
      <c r="F5781" t="inlineStr">
        <is>
          <t>Hà Nội</t>
        </is>
      </c>
      <c r="G5781" t="inlineStr">
        <is>
          <t>5</t>
        </is>
      </c>
      <c r="H5781" t="inlineStr">
        <is>
          <t>22/03/2026</t>
        </is>
      </c>
      <c r="I5781" t="inlineStr">
        <is>
          <t>17/03/2026</t>
        </is>
      </c>
      <c r="J5781" t="inlineStr">
        <is>
          <t>Bảo hiểm, Ngân hàng, Tài chính / Đầu tư</t>
        </is>
      </c>
      <c r="K5781" t="inlineStr">
        <is>
          <t>Trên 2 Năm</t>
        </is>
      </c>
      <c r="L5781" s="8">
        <f>HYPERLINK("https://careerviet.vn/vi/tim-viec-lam/truong-nhom-ho-tro-thanh-toan-khoan-vay-qua-dien-thoai-call-collection-team-leader.35C6641C.html","Xem chi tiết")</f>
        <v/>
      </c>
    </row>
    <row r="5782">
      <c r="B5782" s="9" t="n">
        <v>5780</v>
      </c>
      <c r="C5782" s="10" t="inlineStr">
        <is>
          <t>Kỹ Thuật Viên Cơ Khí</t>
        </is>
      </c>
      <c r="D5782" s="10" t="inlineStr">
        <is>
          <t>Công Ty TNHH Nidec Advanced Motor (Việt Nam)</t>
        </is>
      </c>
      <c r="E5782" s="10" t="inlineStr">
        <is>
          <t>Lương:10 Tr - 12 Tr VND</t>
        </is>
      </c>
      <c r="F5782" s="10" t="inlineStr">
        <is>
          <t>Hồ Chí Minh</t>
        </is>
      </c>
      <c r="G5782" s="10" t="inlineStr">
        <is>
          <t>5</t>
        </is>
      </c>
      <c r="H5782" s="10" t="inlineStr">
        <is>
          <t>22/03/2026</t>
        </is>
      </c>
      <c r="I5782" s="10" t="inlineStr">
        <is>
          <t>17/03/2026</t>
        </is>
      </c>
      <c r="J5782" s="10" t="inlineStr">
        <is>
          <t>Cơ khí / Ô tô / Tự động hóa, Bảo trì / Sửa chữa</t>
        </is>
      </c>
      <c r="K5782" s="10" t="inlineStr">
        <is>
          <t>N/A</t>
        </is>
      </c>
      <c r="L5782" s="11">
        <f>HYPERLINK("https://careerviet.vn/vi/tim-viec-lam/ky-thuat-vien-co-khi.35C6616E.html","Xem chi tiết")</f>
        <v/>
      </c>
      <c r="M5782" s="10" t="n"/>
    </row>
    <row r="5783">
      <c r="B5783" s="7" t="n">
        <v>5781</v>
      </c>
      <c r="C5783" t="inlineStr">
        <is>
          <t>Nhân viên Kinh doanh  (Sales Representative)- Hà Nội</t>
        </is>
      </c>
      <c r="D5783" t="inlineStr">
        <is>
          <t>HEINEKEN Vietnam</t>
        </is>
      </c>
      <c r="E5783" t="inlineStr">
        <is>
          <t>Lương:Cạnh tranh</t>
        </is>
      </c>
      <c r="F5783" t="inlineStr">
        <is>
          <t>Hà Nội</t>
        </is>
      </c>
      <c r="G5783" t="inlineStr">
        <is>
          <t>5</t>
        </is>
      </c>
      <c r="H5783" t="inlineStr">
        <is>
          <t>22/03/2026</t>
        </is>
      </c>
      <c r="I5783" t="inlineStr">
        <is>
          <t>17/03/2026</t>
        </is>
      </c>
      <c r="J5783" t="inlineStr">
        <is>
          <t>Tiếp thị / Marketing, Bán lẻ / Bán sỉ, Bán hàng / Kinh doanh</t>
        </is>
      </c>
      <c r="K5783" t="inlineStr">
        <is>
          <t>1 - 2 Năm</t>
        </is>
      </c>
      <c r="L5783" s="8">
        <f>HYPERLINK("https://careerviet.vn/vi/tim-viec-lam/nhan-vien-kinh-doanh-sales-representative-ha-noi.35C638AB.html","Xem chi tiết")</f>
        <v/>
      </c>
    </row>
    <row r="5784">
      <c r="B5784" s="9" t="n">
        <v>5782</v>
      </c>
      <c r="C5784" s="10" t="inlineStr">
        <is>
          <t>Chuyên Viên Quản Lý Tài Sản</t>
        </is>
      </c>
      <c r="D5784" s="10" t="inlineStr">
        <is>
          <t>NGÂN HÀNG TMCP NGOẠI THƯƠNG VIỆT NAM (VIETCOMBANK)</t>
        </is>
      </c>
      <c r="E5784" s="10" t="inlineStr">
        <is>
          <t>Lương:Cạnh tranh</t>
        </is>
      </c>
      <c r="F5784" s="10" t="inlineStr">
        <is>
          <t>Hà Nội</t>
        </is>
      </c>
      <c r="G5784" s="10" t="inlineStr">
        <is>
          <t>5</t>
        </is>
      </c>
      <c r="H5784" s="10" t="inlineStr">
        <is>
          <t>22/03/2026</t>
        </is>
      </c>
      <c r="I5784" s="10" t="inlineStr">
        <is>
          <t>17/03/2026</t>
        </is>
      </c>
      <c r="J5784" s="10" t="inlineStr">
        <is>
          <t>Ngân hàng, Kế toán / Kiểm toán, Thu mua / Vật tư</t>
        </is>
      </c>
      <c r="K5784" s="10" t="inlineStr">
        <is>
          <t>Trên 2 Năm</t>
        </is>
      </c>
      <c r="L5784" s="11">
        <f>HYPERLINK("https://careerviet.vn/vi/tim-viec-lam/chuyen-vien-quan-ly-tai-san.35C66344.html","Xem chi tiết")</f>
        <v/>
      </c>
      <c r="M5784" s="10" t="n"/>
    </row>
    <row r="5785">
      <c r="B5785" s="7" t="n">
        <v>5783</v>
      </c>
      <c r="C5785" t="inlineStr">
        <is>
          <t>Giám Sát Ban Quản Lý Vận Hành - Vinmec Smart City</t>
        </is>
      </c>
      <c r="D5785" t="inlineStr">
        <is>
          <t>Công ty CP Bệnh Viện Đa Khoa Quốc Tế Vinmec</t>
        </is>
      </c>
      <c r="E5785" t="inlineStr">
        <is>
          <t>Lương:Cạnh tranh</t>
        </is>
      </c>
      <c r="F5785" t="inlineStr">
        <is>
          <t>Hà Nội</t>
        </is>
      </c>
      <c r="G5785" t="inlineStr">
        <is>
          <t>5</t>
        </is>
      </c>
      <c r="H5785" t="inlineStr">
        <is>
          <t>22/03/2026</t>
        </is>
      </c>
      <c r="I5785" t="inlineStr">
        <is>
          <t>17/03/2026</t>
        </is>
      </c>
      <c r="J5785" t="inlineStr">
        <is>
          <t>Y tế / Chăm sóc sức khỏe / Thẩm mỹ / Làm đẹp</t>
        </is>
      </c>
      <c r="K5785" t="inlineStr">
        <is>
          <t>Trên 5 Năm</t>
        </is>
      </c>
      <c r="L5785" s="8">
        <f>HYPERLINK("https://careerviet.vn/vi/tim-viec-lam/giam-sat-ban-quan-ly-van-hanh-vinmec-smart-city.35C663C7.html","Xem chi tiết")</f>
        <v/>
      </c>
    </row>
    <row r="5786">
      <c r="B5786" s="9" t="n">
        <v>5784</v>
      </c>
      <c r="C5786" s="10" t="inlineStr">
        <is>
          <t>Mechanical Engineer - Kỹ sư Cơ khí</t>
        </is>
      </c>
      <c r="D5786" s="10" t="inlineStr">
        <is>
          <t>Saint-Gobain Vietnam</t>
        </is>
      </c>
      <c r="E5786" s="10" t="inlineStr">
        <is>
          <t>Lương:Cạnh tranh</t>
        </is>
      </c>
      <c r="F5786" s="10" t="inlineStr">
        <is>
          <t>Quảng Trị</t>
        </is>
      </c>
      <c r="G5786" s="10" t="inlineStr">
        <is>
          <t>5</t>
        </is>
      </c>
      <c r="H5786" s="10" t="inlineStr">
        <is>
          <t>22/03/2026</t>
        </is>
      </c>
      <c r="I5786" s="10" t="inlineStr">
        <is>
          <t>17/03/2026</t>
        </is>
      </c>
      <c r="J5786" s="10" t="inlineStr">
        <is>
          <t>Cơ khí / Ô tô / Tự động hóa, Bảo trì / Sửa chữa</t>
        </is>
      </c>
      <c r="K5786" s="10" t="inlineStr">
        <is>
          <t>3 - 5 Năm</t>
        </is>
      </c>
      <c r="L5786" s="11">
        <f>HYPERLINK("https://careerviet.vn/vi/tim-viec-lam/mechanical-engineer-ky-su-co-khi.35C6378F.html","Xem chi tiết")</f>
        <v/>
      </c>
      <c r="M5786" s="10" t="n"/>
    </row>
    <row r="5787">
      <c r="B5787" s="7" t="n">
        <v>5785</v>
      </c>
      <c r="C5787" t="inlineStr">
        <is>
          <t>Trưởng phòng kinh doanh</t>
        </is>
      </c>
      <c r="D5787" t="inlineStr">
        <is>
          <t>Công ty TNHH Bất Động Sản Đầu Tư Thương Mại Hiệp hoà</t>
        </is>
      </c>
      <c r="E5787" t="inlineStr">
        <is>
          <t>Lương:20 Tr - 50 Tr VND</t>
        </is>
      </c>
      <c r="F5787" t="inlineStr">
        <is>
          <t>Bắc Giang</t>
        </is>
      </c>
      <c r="G5787" t="inlineStr">
        <is>
          <t>6</t>
        </is>
      </c>
      <c r="H5787" t="inlineStr">
        <is>
          <t>22/03/2026</t>
        </is>
      </c>
      <c r="I5787" t="inlineStr">
        <is>
          <t>17/03/2026</t>
        </is>
      </c>
      <c r="J5787" t="inlineStr">
        <is>
          <t>Bán hàng / Kinh doanh, Nhà hàng / Khách sạn, Tổ chức sự kiện</t>
        </is>
      </c>
      <c r="K5787" t="inlineStr">
        <is>
          <t>Trên 3 Năm</t>
        </is>
      </c>
      <c r="L5787" s="8">
        <f>HYPERLINK("https://careerviet.vn/vi/tim-viec-lam/truong-phong-kinh-doanh.35C66116.html","Xem chi tiết")</f>
        <v/>
      </c>
    </row>
    <row r="5788">
      <c r="B5788" s="9" t="n">
        <v>5786</v>
      </c>
      <c r="C5788" s="10" t="inlineStr">
        <is>
          <t>Phiên dịch viên</t>
        </is>
      </c>
      <c r="D5788" s="10" t="inlineStr">
        <is>
          <t>BỆNH VIỆN ĐA KHOA PHƯƠNG ĐÔNG</t>
        </is>
      </c>
      <c r="E5788" s="10" t="inlineStr">
        <is>
          <t>Lương:10 Tr - 15 Tr VND</t>
        </is>
      </c>
      <c r="F5788" s="10" t="inlineStr">
        <is>
          <t>Hà Nội</t>
        </is>
      </c>
      <c r="G5788" s="10" t="inlineStr">
        <is>
          <t>5</t>
        </is>
      </c>
      <c r="H5788" s="10" t="inlineStr">
        <is>
          <t>22/03/2026</t>
        </is>
      </c>
      <c r="I5788" s="10" t="inlineStr">
        <is>
          <t>17/03/2026</t>
        </is>
      </c>
      <c r="J5788" s="10" t="inlineStr">
        <is>
          <t>Y tế / Chăm sóc sức khỏe / Thẩm mỹ / Làm đẹp, Biên phiên dịch</t>
        </is>
      </c>
      <c r="K5788" s="10" t="inlineStr">
        <is>
          <t>1 - 3 Năm</t>
        </is>
      </c>
      <c r="L5788" s="11">
        <f>HYPERLINK("https://careerviet.vn/vi/tim-viec-lam/phien-dich-vien.35C66290.html","Xem chi tiết")</f>
        <v/>
      </c>
      <c r="M5788" s="10" t="n"/>
    </row>
    <row r="5789">
      <c r="B5789" s="7" t="n">
        <v>5787</v>
      </c>
      <c r="C5789" t="inlineStr">
        <is>
          <t>126948 - Tiếng Nhật - Nhân Viên QA/QC - Ngành Nhựa</t>
        </is>
      </c>
      <c r="D5789" t="inlineStr">
        <is>
          <t>RGF HR Agent Vietnam Co., LTD</t>
        </is>
      </c>
      <c r="E5789" t="inlineStr">
        <is>
          <t>Lương:Trên 20 Tr VND</t>
        </is>
      </c>
      <c r="F5789" t="inlineStr">
        <is>
          <t>Bình Dương</t>
        </is>
      </c>
      <c r="G5789" t="inlineStr">
        <is>
          <t>5</t>
        </is>
      </c>
      <c r="H5789" t="inlineStr">
        <is>
          <t>22/03/2026</t>
        </is>
      </c>
      <c r="I5789" t="inlineStr">
        <is>
          <t>17/03/2026</t>
        </is>
      </c>
      <c r="J5789" t="inlineStr">
        <is>
          <t>Sản xuất / Vận hành sản xuất, Quản lý chất lượng (QA/QC)</t>
        </is>
      </c>
      <c r="K5789" t="inlineStr">
        <is>
          <t>Trên 3 Năm</t>
        </is>
      </c>
      <c r="L5789" s="8">
        <f>HYPERLINK("https://careerviet.vn/vi/tim-viec-lam/126948-tieng-nhat-nhan-vien-qa-qc-nganh-nhua.35C662B3.html","Xem chi tiết")</f>
        <v/>
      </c>
    </row>
    <row r="5790">
      <c r="B5790" s="9" t="n">
        <v>5788</v>
      </c>
      <c r="C5790" s="10" t="inlineStr">
        <is>
          <t>Kỹ Sư Điện</t>
        </is>
      </c>
      <c r="D5790" s="10" t="inlineStr">
        <is>
          <t>CÔNG TY TNHH ĐẦU TƯ CHUYỂN GIAO CÔNG NGHỆ TOÀN CẦU</t>
        </is>
      </c>
      <c r="E5790" s="10" t="inlineStr">
        <is>
          <t>Lương:12 Tr - 18 Tr VND</t>
        </is>
      </c>
      <c r="F5790" s="10" t="inlineStr">
        <is>
          <t>Hồ Chí Minh</t>
        </is>
      </c>
      <c r="G5790" s="10" t="inlineStr">
        <is>
          <t>5</t>
        </is>
      </c>
      <c r="H5790" s="10" t="inlineStr">
        <is>
          <t>22/03/2026</t>
        </is>
      </c>
      <c r="I5790" s="10" t="inlineStr">
        <is>
          <t>17/03/2026</t>
        </is>
      </c>
      <c r="J5790" s="10" t="inlineStr">
        <is>
          <t>Điện / Điện tử / Điện lạnh / Điện công nghiệp, Cơ khí / Ô tô / Tự động hóa, Bưu chính viễn thông</t>
        </is>
      </c>
      <c r="K5790" s="10" t="inlineStr">
        <is>
          <t>1 - 3 Năm</t>
        </is>
      </c>
      <c r="L5790" s="11">
        <f>HYPERLINK("https://careerviet.vn/vi/tim-viec-lam/ky-su-dien.35C663BD.html","Xem chi tiết")</f>
        <v/>
      </c>
      <c r="M5790" s="10" t="n"/>
    </row>
    <row r="5791">
      <c r="B5791" s="7" t="n">
        <v>5789</v>
      </c>
      <c r="C5791" t="inlineStr">
        <is>
          <t>MICE/INDIAN MARKET OPERATOR - Làm việc tại Đà Nẵng</t>
        </is>
      </c>
      <c r="D5791" t="inlineStr">
        <is>
          <t>ASIAN TRAILS - CÔNG TY TNHH DU LỊCH ĐƯỜNG MÒN CHÂU Á</t>
        </is>
      </c>
      <c r="E5791" t="inlineStr">
        <is>
          <t>Lương:Cạnh tranh</t>
        </is>
      </c>
      <c r="F5791" t="inlineStr">
        <is>
          <t>Đà Nẵng</t>
        </is>
      </c>
      <c r="G5791" t="inlineStr">
        <is>
          <t>5</t>
        </is>
      </c>
      <c r="H5791" t="inlineStr">
        <is>
          <t>22/03/2026</t>
        </is>
      </c>
      <c r="I5791" t="inlineStr">
        <is>
          <t>17/03/2026</t>
        </is>
      </c>
      <c r="J5791" t="inlineStr">
        <is>
          <t>Dịch vụ khách hàng, Biên phiên dịch, Du lịch</t>
        </is>
      </c>
      <c r="K5791" t="inlineStr">
        <is>
          <t>1 - 2 Năm</t>
        </is>
      </c>
      <c r="L5791" s="8">
        <f>HYPERLINK("https://careerviet.vn/vi/tim-viec-lam/mice-indian-market-operator-lam-viec-tai-da-nang.35C63808.html","Xem chi tiết")</f>
        <v/>
      </c>
    </row>
    <row r="5792">
      <c r="B5792" s="9" t="n">
        <v>5790</v>
      </c>
      <c r="C5792" s="10" t="inlineStr">
        <is>
          <t>KỸ SƯ BẢO TRÌ CƠ KHÍ</t>
        </is>
      </c>
      <c r="D5792" s="10" t="inlineStr">
        <is>
          <t>CÔNG TY TRÁCH NHIỆM HỮU HẠN SÀI GÒN PRECISION</t>
        </is>
      </c>
      <c r="E5792" s="10" t="inlineStr">
        <is>
          <t>Lương:Cạnh tranh</t>
        </is>
      </c>
      <c r="F5792" s="10" t="inlineStr">
        <is>
          <t>Hồ Chí Minh</t>
        </is>
      </c>
      <c r="G5792" s="10" t="inlineStr">
        <is>
          <t>5</t>
        </is>
      </c>
      <c r="H5792" s="10" t="inlineStr">
        <is>
          <t>22/03/2026</t>
        </is>
      </c>
      <c r="I5792" s="10" t="inlineStr">
        <is>
          <t>17/03/2026</t>
        </is>
      </c>
      <c r="J5792" s="10" t="inlineStr">
        <is>
          <t>Bảo trì / Sửa chữa</t>
        </is>
      </c>
      <c r="K5792" s="10" t="inlineStr">
        <is>
          <t>1 - 5 Năm</t>
        </is>
      </c>
      <c r="L5792" s="11">
        <f>HYPERLINK("https://careerviet.vn/vi/tim-viec-lam/ky-su-bao-tri-co-khi.35C6640E.html","Xem chi tiết")</f>
        <v/>
      </c>
      <c r="M5792" s="10" t="n"/>
    </row>
    <row r="5793">
      <c r="B5793" s="7" t="n">
        <v>5791</v>
      </c>
      <c r="C5793" t="inlineStr">
        <is>
          <t>Tổ Trưởng Sản Xuất (mảng số liệu - logistic)</t>
        </is>
      </c>
      <c r="D5793" t="inlineStr">
        <is>
          <t>CÔNG TY CỔ PHẦN CHẾ BIẾN THỰC PHẨM HOÀNG SƠN</t>
        </is>
      </c>
      <c r="E5793" t="inlineStr">
        <is>
          <t>Lương:12 Tr - 15 Tr VND</t>
        </is>
      </c>
      <c r="F5793" t="inlineStr">
        <is>
          <t>Bình Dương</t>
        </is>
      </c>
      <c r="G5793" t="inlineStr">
        <is>
          <t>5</t>
        </is>
      </c>
      <c r="H5793" t="inlineStr">
        <is>
          <t>22/03/2026</t>
        </is>
      </c>
      <c r="I5793" t="inlineStr">
        <is>
          <t>17/03/2026</t>
        </is>
      </c>
      <c r="J5793" t="inlineStr">
        <is>
          <t>Thực phẩm &amp; Đồ uống, Sản xuất / Vận hành sản xuất, Vận chuyển / Giao nhận / Kho vận</t>
        </is>
      </c>
      <c r="K5793" t="inlineStr">
        <is>
          <t>1 - 3 Năm</t>
        </is>
      </c>
      <c r="L5793" s="8">
        <f>HYPERLINK("https://careerviet.vn/vi/tim-viec-lam/to-truong-san-xuat-mang-so-lieu-logistic.35C653D4.html","Xem chi tiết")</f>
        <v/>
      </c>
    </row>
    <row r="5794">
      <c r="B5794" s="9" t="n">
        <v>5792</v>
      </c>
      <c r="C5794" s="10" t="inlineStr">
        <is>
          <t>Trưởng Nhóm Kinh Doanh</t>
        </is>
      </c>
      <c r="D5794" s="10" t="inlineStr">
        <is>
          <t>Công ty TNHH Chế Tạo Máy Dược Phẩm Tiến Tuấn</t>
        </is>
      </c>
      <c r="E5794" s="10" t="inlineStr">
        <is>
          <t>Lương:20 Tr - 30 Tr VND</t>
        </is>
      </c>
      <c r="F5794" s="10" t="inlineStr">
        <is>
          <t>Hồ Chí Minh</t>
        </is>
      </c>
      <c r="G5794" s="10" t="inlineStr">
        <is>
          <t>5</t>
        </is>
      </c>
      <c r="H5794" s="10" t="inlineStr">
        <is>
          <t>22/03/2026</t>
        </is>
      </c>
      <c r="I5794" s="10" t="inlineStr">
        <is>
          <t>17/03/2026</t>
        </is>
      </c>
      <c r="J5794" s="10" t="inlineStr">
        <is>
          <t>Bán hàng / Kinh doanh, Cơ khí / Ô tô / Tự động hóa, Điện / Điện tử / Điện lạnh / Điện công nghiệp</t>
        </is>
      </c>
      <c r="K5794" s="10" t="inlineStr">
        <is>
          <t>5 - 10 Năm</t>
        </is>
      </c>
      <c r="L5794" s="11">
        <f>HYPERLINK("https://careerviet.vn/vi/tim-viec-lam/truong-nhom-kinh-doanh.35C6380D.html","Xem chi tiết")</f>
        <v/>
      </c>
      <c r="M5794" s="10" t="n"/>
    </row>
    <row r="5795">
      <c r="B5795" s="7" t="n">
        <v>5793</v>
      </c>
      <c r="C5795" t="inlineStr">
        <is>
          <t>Nhân viên kinh doanh</t>
        </is>
      </c>
      <c r="D5795" t="inlineStr">
        <is>
          <t>Công Ty TNHH Perfect Companion Việt Nam</t>
        </is>
      </c>
      <c r="E5795" t="inlineStr">
        <is>
          <t>Lương:Cạnh tranh</t>
        </is>
      </c>
      <c r="F5795" t="inlineStr">
        <is>
          <t>Phú ThọLào CaiLai Châu</t>
        </is>
      </c>
      <c r="G5795" t="inlineStr">
        <is>
          <t>5</t>
        </is>
      </c>
      <c r="H5795" t="inlineStr">
        <is>
          <t>22/03/2026</t>
        </is>
      </c>
      <c r="I5795" t="inlineStr">
        <is>
          <t>17/03/2026</t>
        </is>
      </c>
      <c r="J5795" t="inlineStr">
        <is>
          <t>Bán lẻ / Bán sỉ, Bán hàng / Kinh doanh, Hàng gia dụng / Chăm sóc cá nhân</t>
        </is>
      </c>
      <c r="K5795" t="inlineStr">
        <is>
          <t>1 - 2 Năm</t>
        </is>
      </c>
      <c r="L5795" s="8">
        <f>HYPERLINK("https://careerviet.vn/vi/tim-viec-lam/nhan-vien-kinh-doanh.35C6384F.html","Xem chi tiết")</f>
        <v/>
      </c>
    </row>
    <row r="5796">
      <c r="B5796" s="9" t="n">
        <v>5794</v>
      </c>
      <c r="C5796" s="10" t="inlineStr">
        <is>
          <t>Supplier Quality Engineer (Binh Duong &amp; Dong Nai)</t>
        </is>
      </c>
      <c r="D5796" s="10" t="inlineStr">
        <is>
          <t>Techtronic Industries Vietnam Manufacturing Company Limited</t>
        </is>
      </c>
      <c r="E5796" s="10" t="inlineStr">
        <is>
          <t>Lương:Cạnh tranh</t>
        </is>
      </c>
      <c r="F5796" s="10" t="inlineStr">
        <is>
          <t>Hồ Chí MinhĐồng Nai</t>
        </is>
      </c>
      <c r="G5796" s="10" t="inlineStr">
        <is>
          <t>5</t>
        </is>
      </c>
      <c r="H5796" s="10" t="inlineStr">
        <is>
          <t>22/03/2026</t>
        </is>
      </c>
      <c r="I5796" s="10" t="inlineStr">
        <is>
          <t>17/03/2026</t>
        </is>
      </c>
      <c r="J5796" s="10" t="inlineStr">
        <is>
          <t>Cơ khí / Ô tô / Tự động hóa, Quản lý chất lượng (QA/QC), Điện / Điện tử / Điện lạnh / Điện công nghiệpBằng cấpKhông yêu cầuĐộ tuổiKhông giới hạn tuổi</t>
        </is>
      </c>
      <c r="K5796" s="10" t="inlineStr">
        <is>
          <t>N/A</t>
        </is>
      </c>
      <c r="L5796" s="11">
        <f>HYPERLINK("https://careerviet.vn/vi/tim-viec-lam/supplier-quality-engineer-binh-duong-dong-nai.35C6639B.html","Xem chi tiết")</f>
        <v/>
      </c>
      <c r="M5796" s="10" t="n"/>
    </row>
    <row r="5797">
      <c r="B5797" s="7" t="n">
        <v>5795</v>
      </c>
      <c r="C5797" t="inlineStr">
        <is>
          <t>Nhân viên kế toán kiêm hành chính có Tiếng Nhật 20874 - Tân Mỹ, HCM</t>
        </is>
      </c>
      <c r="D5797" t="inlineStr">
        <is>
          <t>Công Ty TNHH Reeracoen Việt Nam</t>
        </is>
      </c>
      <c r="E5797" t="inlineStr">
        <is>
          <t>Lương:15 Tr - 18 Tr VND</t>
        </is>
      </c>
      <c r="F5797" t="inlineStr">
        <is>
          <t>Hồ Chí Minh</t>
        </is>
      </c>
      <c r="G5797" t="inlineStr">
        <is>
          <t>5</t>
        </is>
      </c>
      <c r="H5797" t="inlineStr">
        <is>
          <t>22/03/2026</t>
        </is>
      </c>
      <c r="I5797" t="inlineStr">
        <is>
          <t>17/03/2026</t>
        </is>
      </c>
      <c r="J5797" t="inlineStr">
        <is>
          <t>Hành chính / Thư ký, Biên phiên dịch, Kế toán / Kiểm toán</t>
        </is>
      </c>
      <c r="K5797" t="inlineStr">
        <is>
          <t>Trên 2 Năm</t>
        </is>
      </c>
      <c r="L5797" s="8">
        <f>HYPERLINK("https://careerviet.vn/vi/tim-viec-lam/nhan-vien-ke-toan-kiem-hanh-chinh-co-tieng-nhat-20874-tan-my-hcm.35C66411.html","Xem chi tiết")</f>
        <v/>
      </c>
    </row>
    <row r="5798">
      <c r="B5798" s="9" t="n">
        <v>5796</v>
      </c>
      <c r="C5798" s="10" t="inlineStr">
        <is>
          <t>Quản Lý Cửa Hàng Thời Trang Levi's Vũng Tàu</t>
        </is>
      </c>
      <c r="D5798" s="10" t="inlineStr">
        <is>
          <t>CÔNG TY TNHH THỜI TRANG VÀ MỸ PHẨM ÂU CHÂU</t>
        </is>
      </c>
      <c r="E5798" s="10" t="inlineStr">
        <is>
          <t>Lương:10 Tr - 15 Tr VND</t>
        </is>
      </c>
      <c r="F5798" s="10" t="inlineStr">
        <is>
          <t>Bà Rịa - Vũng Tàu</t>
        </is>
      </c>
      <c r="G5798" s="10" t="inlineStr">
        <is>
          <t>5</t>
        </is>
      </c>
      <c r="H5798" s="10" t="inlineStr">
        <is>
          <t>22/03/2026</t>
        </is>
      </c>
      <c r="I5798" s="10" t="inlineStr">
        <is>
          <t>17/03/2026</t>
        </is>
      </c>
      <c r="J5798" s="10" t="inlineStr">
        <is>
          <t>Bán hàng / Kinh doanh, Quản lý điều hành, Dệt may / Da giày / Thời trang</t>
        </is>
      </c>
      <c r="K5798" s="10" t="inlineStr">
        <is>
          <t>1 - 2 Năm</t>
        </is>
      </c>
      <c r="L5798" s="11">
        <f>HYPERLINK("https://careerviet.vn/vi/tim-viec-lam/quan-ly-cua-hang-thoi-trang-levi-s-vung-tau.35C637A7.html","Xem chi tiết")</f>
        <v/>
      </c>
      <c r="M5798" s="10" t="n"/>
    </row>
    <row r="5799">
      <c r="B5799" s="7" t="n">
        <v>5797</v>
      </c>
      <c r="C5799" t="inlineStr">
        <is>
          <t>Thủ Kho Vật Tư - Thiết Bị / Spare part control officer</t>
        </is>
      </c>
      <c r="D5799" t="inlineStr">
        <is>
          <t>Saint-Gobain Vietnam</t>
        </is>
      </c>
      <c r="E5799" t="inlineStr">
        <is>
          <t>Lương:Cạnh tranh</t>
        </is>
      </c>
      <c r="F5799" t="inlineStr">
        <is>
          <t>Quảng Trị</t>
        </is>
      </c>
      <c r="G5799" t="inlineStr">
        <is>
          <t>5</t>
        </is>
      </c>
      <c r="H5799" t="inlineStr">
        <is>
          <t>22/03/2026</t>
        </is>
      </c>
      <c r="I5799" t="inlineStr">
        <is>
          <t>17/03/2026</t>
        </is>
      </c>
      <c r="J5799" t="inlineStr">
        <is>
          <t>Cơ khí / Ô tô / Tự động hóa, Điện / Điện tử / Điện lạnh / Điện công nghiệp, Bảo trì / Sửa chữa</t>
        </is>
      </c>
      <c r="K5799" t="inlineStr">
        <is>
          <t>1 - 2 Năm</t>
        </is>
      </c>
      <c r="L5799" s="8">
        <f>HYPERLINK("https://careerviet.vn/vi/tim-viec-lam/thu-kho-vat-tu-thiet-bi-spare-part-control-officer.35C637A5.html","Xem chi tiết")</f>
        <v/>
      </c>
    </row>
    <row r="5800">
      <c r="B5800" s="9" t="n">
        <v>5798</v>
      </c>
      <c r="C5800" s="10" t="inlineStr">
        <is>
          <t>Chuyên viên Vận hành sàn TMĐT Shopee/ TikTokShop (Thu Nhập Từ 20 Triệu +++)</t>
        </is>
      </c>
      <c r="D5800" s="10" t="inlineStr">
        <is>
          <t>Công ty Cổ phân tập đoàn DVN Việt Nam</t>
        </is>
      </c>
      <c r="E5800" s="10" t="inlineStr">
        <is>
          <t>Lương:Trên 20 Tr VND</t>
        </is>
      </c>
      <c r="F5800" s="10" t="inlineStr">
        <is>
          <t>Hà Nội</t>
        </is>
      </c>
      <c r="G5800" s="10" t="inlineStr">
        <is>
          <t>5</t>
        </is>
      </c>
      <c r="H5800" s="10" t="inlineStr">
        <is>
          <t>22/03/2026</t>
        </is>
      </c>
      <c r="I5800" s="10" t="inlineStr">
        <is>
          <t>17/03/2026</t>
        </is>
      </c>
      <c r="J5800" s="10" t="inlineStr">
        <is>
          <t>Tiếp thị / Marketing, Bán lẻ / Bán sỉ, Thương mại điện tử</t>
        </is>
      </c>
      <c r="K5800" s="10" t="inlineStr">
        <is>
          <t>Lên đến 1 Năm</t>
        </is>
      </c>
      <c r="L5800" s="11">
        <f>HYPERLINK("https://careerviet.vn/vi/tim-viec-lam/chuyen-vien-van-hanh-san-tmdt-shopee-tiktokshop-thu-nhap-tu-20-trieu.35C638A9.html","Xem chi tiết")</f>
        <v/>
      </c>
      <c r="M5800" s="10" t="n"/>
    </row>
    <row r="5801">
      <c r="B5801" s="7" t="n">
        <v>5799</v>
      </c>
      <c r="C5801" t="inlineStr">
        <is>
          <t>01 Nhân viên giao hàng bằng xe máy  và 01 nhân viên giao hàng bằng xe tải</t>
        </is>
      </c>
      <c r="D5801" t="inlineStr">
        <is>
          <t>Saf Viet - JV Between French And Vietnam</t>
        </is>
      </c>
      <c r="E5801" t="inlineStr">
        <is>
          <t>Lương:Cạnh tranh</t>
        </is>
      </c>
      <c r="F5801" t="inlineStr">
        <is>
          <t>Hồ Chí Minh</t>
        </is>
      </c>
      <c r="G5801" t="inlineStr">
        <is>
          <t>4</t>
        </is>
      </c>
      <c r="H5801" t="inlineStr">
        <is>
          <t>21/03/2026</t>
        </is>
      </c>
      <c r="I5801" t="inlineStr">
        <is>
          <t>17/03/2026</t>
        </is>
      </c>
      <c r="J5801" t="inlineStr">
        <is>
          <t>Dịch vụ khách hàng, Vận chuyển / Giao nhận / Kho vận</t>
        </is>
      </c>
      <c r="K5801" t="inlineStr">
        <is>
          <t>Chưa có kinh nghiệm</t>
        </is>
      </c>
      <c r="L5801" s="8">
        <f>HYPERLINK("https://careerviet.vn/vi/tim-viec-lam/01-nhan-vien-giao-hang-bang-xe-may-va-01-nhan-vien-giao-hang-bang-xe-tai.35C6619F.html","Xem chi tiết")</f>
        <v/>
      </c>
    </row>
    <row r="5802">
      <c r="B5802" s="9" t="n">
        <v>5800</v>
      </c>
      <c r="C5802" s="10" t="inlineStr">
        <is>
          <t>TRƯỞNG PHÒNG MUA HÀNG NỘI THẤT</t>
        </is>
      </c>
      <c r="D5802" s="10" t="inlineStr">
        <is>
          <t>CÔNG TY TNHH TƯ VẤN KIẾN TRÚC TLI HÀ NỘI</t>
        </is>
      </c>
      <c r="E5802" s="10" t="inlineStr">
        <is>
          <t>Lương:20 Tr - 25 Tr VND</t>
        </is>
      </c>
      <c r="F5802" s="10" t="inlineStr">
        <is>
          <t>Hà Nội</t>
        </is>
      </c>
      <c r="G5802" s="10" t="inlineStr">
        <is>
          <t>5</t>
        </is>
      </c>
      <c r="H5802" s="10" t="inlineStr">
        <is>
          <t>22/03/2026</t>
        </is>
      </c>
      <c r="I5802" s="10" t="inlineStr">
        <is>
          <t>17/03/2026</t>
        </is>
      </c>
      <c r="J5802" s="10" t="inlineStr">
        <is>
          <t>Đồ gỗ, Kiến trúc, Nội ngoại thất</t>
        </is>
      </c>
      <c r="K5802" s="10" t="inlineStr">
        <is>
          <t>2 - 3 Năm</t>
        </is>
      </c>
      <c r="L5802" s="11">
        <f>HYPERLINK("https://careerviet.vn/vi/tim-viec-lam/truong-phong-mua-hang-noi-that.35C6370D.html","Xem chi tiết")</f>
        <v/>
      </c>
      <c r="M5802" s="10" t="n"/>
    </row>
    <row r="5803">
      <c r="B5803" s="7" t="n">
        <v>5801</v>
      </c>
      <c r="C5803" t="inlineStr">
        <is>
          <t>Nhân viên kế toán</t>
        </is>
      </c>
      <c r="D5803" t="inlineStr">
        <is>
          <t>Công Ty TNHH Go-Pak Việt Nam</t>
        </is>
      </c>
      <c r="E5803" t="inlineStr">
        <is>
          <t>Lương:10 Tr - 15 Tr VND</t>
        </is>
      </c>
      <c r="F5803" t="inlineStr">
        <is>
          <t>Bình Dương</t>
        </is>
      </c>
      <c r="G5803" t="inlineStr">
        <is>
          <t>4</t>
        </is>
      </c>
      <c r="H5803" t="inlineStr">
        <is>
          <t>21/03/2026</t>
        </is>
      </c>
      <c r="I5803" t="inlineStr">
        <is>
          <t>17/03/2026</t>
        </is>
      </c>
      <c r="J5803" t="inlineStr">
        <is>
          <t>Kế toán / Kiểm toán</t>
        </is>
      </c>
      <c r="K5803" t="inlineStr">
        <is>
          <t>1 - 5 Năm</t>
        </is>
      </c>
      <c r="L5803" s="8">
        <f>HYPERLINK("https://careerviet.vn/vi/tim-viec-lam/nhan-vien-ke-toan.35C66196.html","Xem chi tiết")</f>
        <v/>
      </c>
    </row>
    <row r="5804">
      <c r="B5804" s="9" t="n">
        <v>5802</v>
      </c>
      <c r="C5804" s="10" t="inlineStr">
        <is>
          <t>Nhân viên kế toán-Thời vụ (7 tháng</t>
        </is>
      </c>
      <c r="D5804" s="10" t="inlineStr">
        <is>
          <t>Công ty TNHH Panel Plus Việt Nam</t>
        </is>
      </c>
      <c r="E5804" s="10" t="inlineStr">
        <is>
          <t>Lương:10 Tr - 15 Tr VND</t>
        </is>
      </c>
      <c r="F5804" s="10" t="inlineStr">
        <is>
          <t>Đồng Nai</t>
        </is>
      </c>
      <c r="G5804" s="10" t="inlineStr">
        <is>
          <t>4</t>
        </is>
      </c>
      <c r="H5804" s="10" t="inlineStr">
        <is>
          <t>21/03/2026</t>
        </is>
      </c>
      <c r="I5804" s="10" t="inlineStr">
        <is>
          <t>17/03/2026</t>
        </is>
      </c>
      <c r="J5804" s="10" t="inlineStr">
        <is>
          <t>Kế toán / Kiểm toán</t>
        </is>
      </c>
      <c r="K5804" s="10" t="inlineStr">
        <is>
          <t>1 - 2 Năm</t>
        </is>
      </c>
      <c r="L5804" s="11">
        <f>HYPERLINK("https://careerviet.vn/vi/tim-viec-lam/nhan-vien-ke-toan-thoi-vu-7-thang.35C661A4.html","Xem chi tiết")</f>
        <v/>
      </c>
      <c r="M5804" s="10" t="n"/>
    </row>
    <row r="5805">
      <c r="B5805" s="7" t="n">
        <v>5803</v>
      </c>
      <c r="C5805" t="inlineStr">
        <is>
          <t>Giám Đốc Sàn Kinh Doanh Bất Động Sản (Công Ty Đã Có Sẵn Sales - Lương Cứng 20 Triệu - Trả Phí Nhanh Trong Tháng)</t>
        </is>
      </c>
      <c r="D5805" t="inlineStr">
        <is>
          <t>CÔNG TY CỔ PHẦN  DKRA VEGA</t>
        </is>
      </c>
      <c r="E5805" t="inlineStr">
        <is>
          <t>Lương:20 Tr - 40 Tr VND</t>
        </is>
      </c>
      <c r="F5805" t="inlineStr">
        <is>
          <t>Hồ Chí Minh</t>
        </is>
      </c>
      <c r="G5805" t="inlineStr">
        <is>
          <t>4</t>
        </is>
      </c>
      <c r="H5805" t="inlineStr">
        <is>
          <t>21/03/2026</t>
        </is>
      </c>
      <c r="I5805" t="inlineStr">
        <is>
          <t>17/03/2026</t>
        </is>
      </c>
      <c r="J5805" t="inlineStr">
        <is>
          <t>Bán hàng / Kinh doanh, Bất động sản, Tiếp thị / Marketing</t>
        </is>
      </c>
      <c r="K5805" t="inlineStr">
        <is>
          <t>Trên 2 Năm</t>
        </is>
      </c>
      <c r="L5805" s="8">
        <f>HYPERLINK("https://careerviet.vn/vi/tim-viec-lam/giam-doc-san-kinh-doanh-bat-dong-san-cong-ty-da-co-san-sales-luong-cung-20-trieu-tra-phi-nhanh-trong-thang.35C6614D.html","Xem chi tiết")</f>
        <v/>
      </c>
    </row>
    <row r="5806">
      <c r="B5806" s="9" t="n">
        <v>5804</v>
      </c>
      <c r="C5806" s="10" t="inlineStr">
        <is>
          <t>KIẾN TRÚC SƯ CÔNG TRÌNH</t>
        </is>
      </c>
      <c r="D5806" s="10" t="inlineStr">
        <is>
          <t>Công ty Cổ phần Đầu tư và Xây dựng số 4</t>
        </is>
      </c>
      <c r="E5806" s="10" t="inlineStr">
        <is>
          <t>Lương:15 Tr - 20 Tr VND</t>
        </is>
      </c>
      <c r="F5806" s="10" t="inlineStr">
        <is>
          <t>Hà Nội</t>
        </is>
      </c>
      <c r="G5806" s="10" t="inlineStr">
        <is>
          <t>4</t>
        </is>
      </c>
      <c r="H5806" s="10" t="inlineStr">
        <is>
          <t>21/03/2026</t>
        </is>
      </c>
      <c r="I5806" s="10" t="inlineStr">
        <is>
          <t>17/03/2026</t>
        </is>
      </c>
      <c r="J5806" s="10" t="inlineStr">
        <is>
          <t>Kiến trúc, Xây dựng</t>
        </is>
      </c>
      <c r="K5806" s="10" t="inlineStr">
        <is>
          <t>5 - 6 Năm</t>
        </is>
      </c>
      <c r="L5806" s="11">
        <f>HYPERLINK("https://careerviet.vn/vi/tim-viec-lam/kien-truc-su-cong-trinh.35C636B1.html","Xem chi tiết")</f>
        <v/>
      </c>
      <c r="M5806" s="10" t="n"/>
    </row>
    <row r="5807">
      <c r="B5807" s="7" t="n">
        <v>5805</v>
      </c>
      <c r="C5807" t="inlineStr">
        <is>
          <t>Chuyên viên Phát triển chương trình</t>
        </is>
      </c>
      <c r="D5807" t="inlineStr">
        <is>
          <t>TRƯỜNG PHỔ THÔNG LIÊN CẤP H.A.S</t>
        </is>
      </c>
      <c r="E5807" t="inlineStr">
        <is>
          <t>Lương:15 Tr - 30 Tr VND</t>
        </is>
      </c>
      <c r="F5807" t="inlineStr">
        <is>
          <t>Hà Nội</t>
        </is>
      </c>
      <c r="G5807" t="inlineStr">
        <is>
          <t>4</t>
        </is>
      </c>
      <c r="H5807" t="inlineStr">
        <is>
          <t>21/03/2026</t>
        </is>
      </c>
      <c r="I5807" t="inlineStr">
        <is>
          <t>17/03/2026</t>
        </is>
      </c>
      <c r="J5807" t="inlineStr">
        <is>
          <t>Giáo dục / Đào tạo</t>
        </is>
      </c>
      <c r="K5807" t="inlineStr">
        <is>
          <t>2 - 5 Năm</t>
        </is>
      </c>
      <c r="L5807" s="8">
        <f>HYPERLINK("https://careerviet.vn/vi/tim-viec-lam/chuyen-vien-phat-trien-chuong-trinh.35C661B7.html","Xem chi tiết")</f>
        <v/>
      </c>
    </row>
    <row r="5808">
      <c r="B5808" s="9" t="n">
        <v>5806</v>
      </c>
      <c r="C5808" s="10" t="inlineStr">
        <is>
          <t>CHUYÊN VIÊN KỸ SƯ CẤP THOÁT NƯỚC</t>
        </is>
      </c>
      <c r="D5808" s="10" t="inlineStr">
        <is>
          <t>Công ty Cổ phần Đầu tư và Xây dựng số 4</t>
        </is>
      </c>
      <c r="E5808" s="10" t="inlineStr">
        <is>
          <t>Lương:Cạnh tranh</t>
        </is>
      </c>
      <c r="F5808" s="10" t="inlineStr">
        <is>
          <t>Hà Nội</t>
        </is>
      </c>
      <c r="G5808" s="10" t="inlineStr">
        <is>
          <t>4</t>
        </is>
      </c>
      <c r="H5808" s="10" t="inlineStr">
        <is>
          <t>21/03/2026</t>
        </is>
      </c>
      <c r="I5808" s="10" t="inlineStr">
        <is>
          <t>17/03/2026</t>
        </is>
      </c>
      <c r="J5808" s="10" t="inlineStr">
        <is>
          <t>Kiến trúc, Xây dựng</t>
        </is>
      </c>
      <c r="K5808" s="10" t="inlineStr">
        <is>
          <t>2 - 3 Năm</t>
        </is>
      </c>
      <c r="L5808" s="11">
        <f>HYPERLINK("https://careerviet.vn/vi/tim-viec-lam/chuyen-vien-ky-su-cap-thoat-nuoc.35C636A9.html","Xem chi tiết")</f>
        <v/>
      </c>
      <c r="M5808" s="10" t="n"/>
    </row>
    <row r="5809">
      <c r="B5809" s="7" t="n">
        <v>5807</v>
      </c>
      <c r="C5809" t="inlineStr">
        <is>
          <t>Senior Data Analyst</t>
        </is>
      </c>
      <c r="D5809" t="inlineStr">
        <is>
          <t>Simpson Strong Tie Viet Nam Company Limited</t>
        </is>
      </c>
      <c r="E5809" t="inlineStr">
        <is>
          <t>Lương:Cạnh tranh</t>
        </is>
      </c>
      <c r="F5809" t="inlineStr">
        <is>
          <t>Hồ Chí Minh</t>
        </is>
      </c>
      <c r="G5809" t="inlineStr">
        <is>
          <t>4</t>
        </is>
      </c>
      <c r="H5809" t="inlineStr">
        <is>
          <t>21/03/2026</t>
        </is>
      </c>
      <c r="I5809" t="inlineStr">
        <is>
          <t>17/03/2026</t>
        </is>
      </c>
      <c r="J5809" t="inlineStr">
        <is>
          <t>Thương mại điện tử, CNTT - Phần mềm, Ngành khác</t>
        </is>
      </c>
      <c r="K5809" t="inlineStr">
        <is>
          <t>3 - 5 Năm</t>
        </is>
      </c>
      <c r="L5809" s="8">
        <f>HYPERLINK("https://careerviet.vn/vi/tim-viec-lam/senior-data-analyst.35C6622F.html","Xem chi tiết")</f>
        <v/>
      </c>
    </row>
    <row r="5810">
      <c r="B5810" s="9" t="n">
        <v>5808</v>
      </c>
      <c r="C5810" s="10" t="inlineStr">
        <is>
          <t>Commission Management Assistant Manager</t>
        </is>
      </c>
      <c r="D5810" s="10" t="inlineStr">
        <is>
          <t>LOTTE VIETNAM SHOPPING JOINT STOCK COMPANY</t>
        </is>
      </c>
      <c r="E5810" s="10" t="inlineStr">
        <is>
          <t>Lương:Cạnh tranh</t>
        </is>
      </c>
      <c r="F5810" s="10" t="inlineStr">
        <is>
          <t>Hồ Chí Minh</t>
        </is>
      </c>
      <c r="G5810" s="10" t="inlineStr">
        <is>
          <t>4</t>
        </is>
      </c>
      <c r="H5810" s="10" t="inlineStr">
        <is>
          <t>21/03/2026</t>
        </is>
      </c>
      <c r="I5810" s="10" t="inlineStr">
        <is>
          <t>17/03/2026</t>
        </is>
      </c>
      <c r="J5810" s="10" t="inlineStr">
        <is>
          <t>Bán lẻ / Bán sỉ, Kế toán / Kiểm toán</t>
        </is>
      </c>
      <c r="K5810" s="10" t="inlineStr">
        <is>
          <t>2 - 5 Năm</t>
        </is>
      </c>
      <c r="L5810" s="11">
        <f>HYPERLINK("https://careerviet.vn/vi/tim-viec-lam/commission-management-assistant-manager.35C661B1.html","Xem chi tiết")</f>
        <v/>
      </c>
      <c r="M5810" s="10" t="n"/>
    </row>
    <row r="5811">
      <c r="B5811" s="7" t="n">
        <v>5809</v>
      </c>
      <c r="C5811" t="inlineStr">
        <is>
          <t>Cộng tác viên Livestream</t>
        </is>
      </c>
      <c r="D5811" t="inlineStr">
        <is>
          <t>Vascara Group</t>
        </is>
      </c>
      <c r="E5811" t="inlineStr">
        <is>
          <t>Lương:Cạnh tranh</t>
        </is>
      </c>
      <c r="F5811" t="inlineStr">
        <is>
          <t>Hồ Chí Minh</t>
        </is>
      </c>
      <c r="G5811" t="inlineStr">
        <is>
          <t>4</t>
        </is>
      </c>
      <c r="H5811" t="inlineStr">
        <is>
          <t>21/03/2026</t>
        </is>
      </c>
      <c r="I5811" t="inlineStr">
        <is>
          <t>17/03/2026</t>
        </is>
      </c>
      <c r="J5811" t="inlineStr">
        <is>
          <t>Tiếp thị trực tuyến, Thương mại điện tử, Ngành khác</t>
        </is>
      </c>
      <c r="K5811" t="inlineStr">
        <is>
          <t>1 - 2 Năm</t>
        </is>
      </c>
      <c r="L5811" s="8">
        <f>HYPERLINK("https://careerviet.vn/vi/tim-viec-lam/cong-tac-vien-livestream.35C66169.html","Xem chi tiết")</f>
        <v/>
      </c>
    </row>
    <row r="5812">
      <c r="B5812" s="9" t="n">
        <v>5810</v>
      </c>
      <c r="C5812" s="10" t="inlineStr">
        <is>
          <t>Kỹ thuật đào tạo chuyền treo</t>
        </is>
      </c>
      <c r="D5812" s="10" t="inlineStr">
        <is>
          <t>VĂN PHÒNG ĐẠI DIỆN JACK TECHNOLOGY CO., LTD. TẠI THÀNH PHỐ HỒ CHÍ MINH</t>
        </is>
      </c>
      <c r="E5812" s="10" t="inlineStr">
        <is>
          <t>Lương:15 Tr - 25 Tr VND</t>
        </is>
      </c>
      <c r="F5812" s="10" t="inlineStr">
        <is>
          <t>Hồ Chí Minh</t>
        </is>
      </c>
      <c r="G5812" s="10" t="inlineStr">
        <is>
          <t>4</t>
        </is>
      </c>
      <c r="H5812" s="10" t="inlineStr">
        <is>
          <t>21/03/2026</t>
        </is>
      </c>
      <c r="I5812" s="10" t="inlineStr">
        <is>
          <t>17/03/2026</t>
        </is>
      </c>
      <c r="J5812" s="10" t="inlineStr">
        <is>
          <t>Bán Hàng Kỹ Thuật, Sản xuất / Vận hành sản xuất, Dệt may / Da giày / Thời trang</t>
        </is>
      </c>
      <c r="K5812" s="10" t="inlineStr">
        <is>
          <t>3 - 5 Năm</t>
        </is>
      </c>
      <c r="L5812" s="11">
        <f>HYPERLINK("https://careerviet.vn/vi/tim-viec-lam/ky-thuat-dao-tao-chuyen-treo.35C661A0.html","Xem chi tiết")</f>
        <v/>
      </c>
      <c r="M5812" s="10" t="n"/>
    </row>
    <row r="5813">
      <c r="B5813" s="7" t="n">
        <v>5811</v>
      </c>
      <c r="C5813" t="inlineStr">
        <is>
          <t>MERCHANDISER/ ASSISTANT MERCHANDISE FOR FRUITS AND VEGETABLE</t>
        </is>
      </c>
      <c r="D5813" t="inlineStr">
        <is>
          <t>CÔNG TY TNHH XUẤT KHẨU MAY (VIỆT NAM)</t>
        </is>
      </c>
      <c r="E5813" t="inlineStr">
        <is>
          <t>Lương:Cạnh tranh</t>
        </is>
      </c>
      <c r="F5813" t="inlineStr">
        <is>
          <t>Hồ Chí Minh</t>
        </is>
      </c>
      <c r="G5813" t="inlineStr">
        <is>
          <t>5</t>
        </is>
      </c>
      <c r="H5813" t="inlineStr">
        <is>
          <t>22/03/2026</t>
        </is>
      </c>
      <c r="I5813" t="inlineStr">
        <is>
          <t>17/03/2026</t>
        </is>
      </c>
      <c r="J5813" t="inlineStr">
        <is>
          <t>Xuất nhập khẩu, Sản xuất / Vận hành sản xuất, Thu mua / Vật tư</t>
        </is>
      </c>
      <c r="K5813" t="inlineStr">
        <is>
          <t>Trên 1 Năm</t>
        </is>
      </c>
      <c r="L5813" s="8">
        <f>HYPERLINK("https://careerviet.vn/vi/tim-viec-lam/merchandiser-assistant-merchandise-for-fruits-and-vegetable.35C66303.html","Xem chi tiết")</f>
        <v/>
      </c>
    </row>
    <row r="5814">
      <c r="B5814" s="9" t="n">
        <v>5812</v>
      </c>
      <c r="C5814" s="10" t="inlineStr">
        <is>
          <t>Kỹ Sư QC (Dự án thi công nhà máy nước)</t>
        </is>
      </c>
      <c r="D5814" s="10" t="inlineStr">
        <is>
          <t>CÔNG TY TNHH ĐẦU TƯ VÀ XÂY DỰNG TNG</t>
        </is>
      </c>
      <c r="E5814" s="10" t="inlineStr">
        <is>
          <t>Lương:17 Tr - 22 Tr VND</t>
        </is>
      </c>
      <c r="F5814" s="10" t="inlineStr">
        <is>
          <t>Hồ Chí MinhTây Ninh</t>
        </is>
      </c>
      <c r="G5814" s="10" t="inlineStr">
        <is>
          <t>4</t>
        </is>
      </c>
      <c r="H5814" s="10" t="inlineStr">
        <is>
          <t>21/03/2026</t>
        </is>
      </c>
      <c r="I5814" s="10" t="inlineStr">
        <is>
          <t>17/03/2026</t>
        </is>
      </c>
      <c r="J5814" s="10" t="inlineStr">
        <is>
          <t>Xây dựng</t>
        </is>
      </c>
      <c r="K5814" s="10" t="inlineStr">
        <is>
          <t>3 - 5 Năm</t>
        </is>
      </c>
      <c r="L5814" s="11">
        <f>HYPERLINK("https://careerviet.vn/vi/tim-viec-lam/ky-su-qc-du-an-thi-cong-nha-may-nuoc.35C6612F.html","Xem chi tiết")</f>
        <v/>
      </c>
      <c r="M5814" s="10" t="n"/>
    </row>
    <row r="5815">
      <c r="B5815" s="7" t="n">
        <v>5813</v>
      </c>
      <c r="C5815" t="inlineStr">
        <is>
          <t>CHUYÊN VIÊN PHÁT TRIỂN DỰ ÁN</t>
        </is>
      </c>
      <c r="D5815" t="inlineStr">
        <is>
          <t>Công ty Cổ phần Đầu tư và Xây dựng số 4</t>
        </is>
      </c>
      <c r="E5815" t="inlineStr">
        <is>
          <t>Lương:15 Tr - 20 Tr VND</t>
        </is>
      </c>
      <c r="F5815" t="inlineStr">
        <is>
          <t>Hà Nội</t>
        </is>
      </c>
      <c r="G5815" t="inlineStr">
        <is>
          <t>4</t>
        </is>
      </c>
      <c r="H5815" t="inlineStr">
        <is>
          <t>21/03/2026</t>
        </is>
      </c>
      <c r="I5815" t="inlineStr">
        <is>
          <t>17/03/2026</t>
        </is>
      </c>
      <c r="J5815" t="inlineStr">
        <is>
          <t>Tiếp thị / Marketing, Bán hàng / Kinh doanh, Xây dựng</t>
        </is>
      </c>
      <c r="K5815" t="inlineStr">
        <is>
          <t>1 - 2 Năm</t>
        </is>
      </c>
      <c r="L5815" s="8">
        <f>HYPERLINK("https://careerviet.vn/vi/tim-viec-lam/chuyen-vien-phat-trien-du-an.35C636AC.html","Xem chi tiết")</f>
        <v/>
      </c>
    </row>
    <row r="5816">
      <c r="B5816" s="9" t="n">
        <v>5814</v>
      </c>
      <c r="C5816" s="10" t="inlineStr">
        <is>
          <t>Giám đốc Nhân sự có Tiếng Trung 27501 - Hà Nội</t>
        </is>
      </c>
      <c r="D5816" s="10" t="inlineStr">
        <is>
          <t>Công Ty TNHH Reeracoen Việt Nam</t>
        </is>
      </c>
      <c r="E5816" s="10" t="inlineStr">
        <is>
          <t>Lương:30 Tr - 50 Tr VND</t>
        </is>
      </c>
      <c r="F5816" s="10" t="inlineStr">
        <is>
          <t>Hà Nội</t>
        </is>
      </c>
      <c r="G5816" s="10" t="inlineStr">
        <is>
          <t>4</t>
        </is>
      </c>
      <c r="H5816" s="10" t="inlineStr">
        <is>
          <t>21/03/2026</t>
        </is>
      </c>
      <c r="I5816" s="10" t="inlineStr">
        <is>
          <t>17/03/2026</t>
        </is>
      </c>
      <c r="J5816" s="10" t="inlineStr">
        <is>
          <t>Quản lý điều hành, Nhân sự, Biên phiên dịch</t>
        </is>
      </c>
      <c r="K5816" s="10" t="inlineStr">
        <is>
          <t>8 - 10 Năm</t>
        </is>
      </c>
      <c r="L5816" s="11">
        <f>HYPERLINK("https://careerviet.vn/vi/tim-viec-lam/giam-doc-nhan-su-co-tieng-trung-27501-ha-noi.35C66252.html","Xem chi tiết")</f>
        <v/>
      </c>
      <c r="M5816" s="10" t="n"/>
    </row>
    <row r="5817">
      <c r="B5817" s="7" t="n">
        <v>5815</v>
      </c>
      <c r="C5817" t="inlineStr">
        <is>
          <t>Kỹ sư QS</t>
        </is>
      </c>
      <c r="D5817" t="inlineStr">
        <is>
          <t>Công ty Cổ phần Đầu tư và Xây dựng số 4</t>
        </is>
      </c>
      <c r="E5817" t="inlineStr">
        <is>
          <t>Lương:Cạnh tranh</t>
        </is>
      </c>
      <c r="F5817" t="inlineStr">
        <is>
          <t>Hà NộiHà Nam</t>
        </is>
      </c>
      <c r="G5817" t="inlineStr">
        <is>
          <t>4</t>
        </is>
      </c>
      <c r="H5817" t="inlineStr">
        <is>
          <t>21/03/2026</t>
        </is>
      </c>
      <c r="I5817" t="inlineStr">
        <is>
          <t>17/03/2026</t>
        </is>
      </c>
      <c r="J5817" t="inlineStr">
        <is>
          <t>Xây dựng, Bất động sản</t>
        </is>
      </c>
      <c r="K5817" t="inlineStr">
        <is>
          <t>3 - 4 Năm</t>
        </is>
      </c>
      <c r="L5817" s="8">
        <f>HYPERLINK("https://careerviet.vn/vi/tim-viec-lam/ky-su-qs.35C636A8.html","Xem chi tiết")</f>
        <v/>
      </c>
    </row>
    <row r="5818">
      <c r="B5818" s="9" t="n">
        <v>5816</v>
      </c>
      <c r="C5818" s="10" t="inlineStr">
        <is>
          <t>Kế toán trưởng có Tiếng Trung 27499 - HCM</t>
        </is>
      </c>
      <c r="D5818" s="10" t="inlineStr">
        <is>
          <t>Công Ty TNHH Reeracoen Việt Nam</t>
        </is>
      </c>
      <c r="E5818" s="10" t="inlineStr">
        <is>
          <t>Lương:30 Tr - 50 Tr VND</t>
        </is>
      </c>
      <c r="F5818" s="10" t="inlineStr">
        <is>
          <t>Hồ Chí Minh</t>
        </is>
      </c>
      <c r="G5818" s="10" t="inlineStr">
        <is>
          <t>4</t>
        </is>
      </c>
      <c r="H5818" s="10" t="inlineStr">
        <is>
          <t>21/03/2026</t>
        </is>
      </c>
      <c r="I5818" s="10" t="inlineStr">
        <is>
          <t>17/03/2026</t>
        </is>
      </c>
      <c r="J5818" s="10" t="inlineStr">
        <is>
          <t>Quản lý điều hành, Kế toán / Kiểm toán, Tài chính / Đầu tư</t>
        </is>
      </c>
      <c r="K5818" s="10" t="inlineStr">
        <is>
          <t>5 - 7 Năm</t>
        </is>
      </c>
      <c r="L5818" s="11">
        <f>HYPERLINK("https://careerviet.vn/vi/tim-viec-lam/ke-toan-truong-co-tieng-trung-27499-hcm.35C6625B.html","Xem chi tiết")</f>
        <v/>
      </c>
      <c r="M5818" s="10" t="n"/>
    </row>
    <row r="5819">
      <c r="B5819" s="7" t="n">
        <v>5817</v>
      </c>
      <c r="C5819" t="inlineStr">
        <is>
          <t>Nhân Viên Xây Dựng Kiêm Bảo Trì Sửa Chữa</t>
        </is>
      </c>
      <c r="D5819" t="inlineStr">
        <is>
          <t>CÔNG TY CỔ PHẦN XÂY DỰNG &amp; THƯƠNG MẠI SÀI GÒN 9</t>
        </is>
      </c>
      <c r="E5819" t="inlineStr">
        <is>
          <t>Lương:14 Tr - 15 Tr VND</t>
        </is>
      </c>
      <c r="F5819" t="inlineStr">
        <is>
          <t>Hồ Chí Minh</t>
        </is>
      </c>
      <c r="G5819" t="inlineStr">
        <is>
          <t>4</t>
        </is>
      </c>
      <c r="H5819" t="inlineStr">
        <is>
          <t>21/03/2026</t>
        </is>
      </c>
      <c r="I5819" t="inlineStr">
        <is>
          <t>17/03/2026</t>
        </is>
      </c>
      <c r="J5819" t="inlineStr">
        <is>
          <t>Bảo trì / Sửa chữa, Xây dựng</t>
        </is>
      </c>
      <c r="K5819" t="inlineStr">
        <is>
          <t>3 - 5 Năm</t>
        </is>
      </c>
      <c r="L5819" s="8">
        <f>HYPERLINK("https://careerviet.vn/vi/tim-viec-lam/nhan-vien-xay-dung-kiem-bao-tri-sua-chua.35C661D1.html","Xem chi tiết")</f>
        <v/>
      </c>
    </row>
    <row r="5820">
      <c r="B5820" s="9" t="n">
        <v>5818</v>
      </c>
      <c r="C5820" s="10" t="inlineStr">
        <is>
          <t>Technical Solution Development Executive</t>
        </is>
      </c>
      <c r="D5820" s="10" t="inlineStr">
        <is>
          <t>Saint-Gobain Vietnam</t>
        </is>
      </c>
      <c r="E5820" s="10" t="inlineStr">
        <is>
          <t>Lương:Cạnh tranh</t>
        </is>
      </c>
      <c r="F5820" s="10" t="inlineStr">
        <is>
          <t>Hồ Chí Minh</t>
        </is>
      </c>
      <c r="G5820" s="10" t="inlineStr">
        <is>
          <t>4</t>
        </is>
      </c>
      <c r="H5820" s="10" t="inlineStr">
        <is>
          <t>21/03/2026</t>
        </is>
      </c>
      <c r="I5820" s="10" t="inlineStr">
        <is>
          <t>17/03/2026</t>
        </is>
      </c>
      <c r="J5820" s="10" t="inlineStr">
        <is>
          <t>Kiến trúc, Xây dựng, Cơ khí / Ô tô / Tự động hóa</t>
        </is>
      </c>
      <c r="K5820" s="10" t="inlineStr">
        <is>
          <t>2 - 4 Năm</t>
        </is>
      </c>
      <c r="L5820" s="11">
        <f>HYPERLINK("https://careerviet.vn/vi/tim-viec-lam/technical-solution-development-executive.35C660D9.html","Xem chi tiết")</f>
        <v/>
      </c>
      <c r="M5820" s="10" t="n"/>
    </row>
    <row r="5821">
      <c r="B5821" s="7" t="n">
        <v>5819</v>
      </c>
      <c r="C5821" t="inlineStr">
        <is>
          <t>Giáo vụ Thực phẩm</t>
        </is>
      </c>
      <c r="D5821" t="inlineStr">
        <is>
          <t>Công ty CP Giáo dục Quốc tế Việt Úc</t>
        </is>
      </c>
      <c r="E5821" t="inlineStr">
        <is>
          <t>Lương:Cạnh tranh</t>
        </is>
      </c>
      <c r="F5821" t="inlineStr">
        <is>
          <t>Hồ Chí Minh</t>
        </is>
      </c>
      <c r="G5821" t="inlineStr">
        <is>
          <t>4</t>
        </is>
      </c>
      <c r="H5821" t="inlineStr">
        <is>
          <t>21/03/2026</t>
        </is>
      </c>
      <c r="I5821" t="inlineStr">
        <is>
          <t>17/03/2026</t>
        </is>
      </c>
      <c r="J5821" t="inlineStr">
        <is>
          <t>Thực phẩm &amp; Đồ uống, Công nghệ thực phẩm / Dinh dưỡng</t>
        </is>
      </c>
      <c r="K5821" t="inlineStr">
        <is>
          <t>1 - 5 Năm</t>
        </is>
      </c>
      <c r="L5821" s="8">
        <f>HYPERLINK("https://careerviet.vn/vi/tim-viec-lam/giao-vu-thuc-pham.35C66227.html","Xem chi tiết")</f>
        <v/>
      </c>
    </row>
    <row r="5822">
      <c r="B5822" s="9" t="n">
        <v>5820</v>
      </c>
      <c r="C5822" s="10" t="inlineStr">
        <is>
          <t>126919 - Accountant (Assistant Manager) - Manufacturing</t>
        </is>
      </c>
      <c r="D5822" s="10" t="inlineStr">
        <is>
          <t>RGF HR Agent Vietnam Co., LTD</t>
        </is>
      </c>
      <c r="E5822" s="10" t="inlineStr">
        <is>
          <t>Lương:25 Tr - 30 Tr VND</t>
        </is>
      </c>
      <c r="F5822" s="10" t="inlineStr">
        <is>
          <t>Đồng Nai</t>
        </is>
      </c>
      <c r="G5822" s="10" t="inlineStr">
        <is>
          <t>4</t>
        </is>
      </c>
      <c r="H5822" s="10" t="inlineStr">
        <is>
          <t>21/03/2026</t>
        </is>
      </c>
      <c r="I5822" s="10" t="inlineStr">
        <is>
          <t>17/03/2026</t>
        </is>
      </c>
      <c r="J5822" s="10" t="inlineStr">
        <is>
          <t>Kế toán / Kiểm toán, Sản xuất / Vận hành sản xuất</t>
        </is>
      </c>
      <c r="K5822" s="10" t="inlineStr">
        <is>
          <t>5 - 10 Năm</t>
        </is>
      </c>
      <c r="L5822" s="11">
        <f>HYPERLINK("https://careerviet.vn/vi/tim-viec-lam/126919-accountant-assistant-manager-manufacturing.35C6623D.html","Xem chi tiết")</f>
        <v/>
      </c>
      <c r="M5822" s="10" t="n"/>
    </row>
    <row r="5823">
      <c r="B5823" s="7" t="n">
        <v>5821</v>
      </c>
      <c r="C5823" t="inlineStr">
        <is>
          <t>KTS Quy Hoạch</t>
        </is>
      </c>
      <c r="D5823" t="inlineStr">
        <is>
          <t>CÔNG TY CỔ PHẦN TƯ VẤN XÂY DỰNG LONG KHANG</t>
        </is>
      </c>
      <c r="E5823" t="inlineStr">
        <is>
          <t>Lương:Cạnh tranh</t>
        </is>
      </c>
      <c r="F5823" t="inlineStr">
        <is>
          <t>Hồ Chí Minh</t>
        </is>
      </c>
      <c r="G5823" t="inlineStr">
        <is>
          <t>4</t>
        </is>
      </c>
      <c r="H5823" t="inlineStr">
        <is>
          <t>21/03/2026</t>
        </is>
      </c>
      <c r="I5823" t="inlineStr">
        <is>
          <t>17/03/2026</t>
        </is>
      </c>
      <c r="J5823" t="inlineStr">
        <is>
          <t>Kiến trúc, Xây dựng, Nội ngoại thất</t>
        </is>
      </c>
      <c r="K5823" t="inlineStr">
        <is>
          <t>Trên 3 Năm</t>
        </is>
      </c>
      <c r="L5823" s="8">
        <f>HYPERLINK("https://careerviet.vn/vi/tim-viec-lam/kts-quy-hoach.35C66058.html","Xem chi tiết")</f>
        <v/>
      </c>
    </row>
    <row r="5824">
      <c r="B5824" s="9" t="n">
        <v>5822</v>
      </c>
      <c r="C5824" s="10" t="inlineStr">
        <is>
          <t>Chuyên viên cao cấp xử lý vi phạm - Khối Pháp chế và Tuân thủ</t>
        </is>
      </c>
      <c r="D5824" s="10" t="inlineStr">
        <is>
          <t>Ngân hàng TMCP Đại Chúng Việt Nam - PVcomBank</t>
        </is>
      </c>
      <c r="E5824" s="10" t="inlineStr">
        <is>
          <t>Lương:Cạnh tranh</t>
        </is>
      </c>
      <c r="F5824" s="10" t="inlineStr">
        <is>
          <t>Hà Nội</t>
        </is>
      </c>
      <c r="G5824" s="10" t="inlineStr">
        <is>
          <t>4</t>
        </is>
      </c>
      <c r="H5824" s="10" t="inlineStr">
        <is>
          <t>21/03/2026</t>
        </is>
      </c>
      <c r="I5824" s="10" t="inlineStr">
        <is>
          <t>17/03/2026</t>
        </is>
      </c>
      <c r="J5824" s="10" t="inlineStr">
        <is>
          <t>Ngân hàng, Tài chính / Đầu tư</t>
        </is>
      </c>
      <c r="K5824" s="10" t="inlineStr">
        <is>
          <t>3 - 10 Năm</t>
        </is>
      </c>
      <c r="L5824" s="11">
        <f>HYPERLINK("https://careerviet.vn/vi/tim-viec-lam/chuyen-vien-cao-cap-xu-ly-vi-pham-khoi-phap-che-va-tuan-thu.35C6613E.html","Xem chi tiết")</f>
        <v/>
      </c>
      <c r="M5824" s="10" t="n"/>
    </row>
    <row r="5825">
      <c r="B5825" s="7" t="n">
        <v>5823</v>
      </c>
      <c r="C5825" t="inlineStr">
        <is>
          <t>Senior KOL/Livestream Operations Expert</t>
        </is>
      </c>
      <c r="D5825" t="inlineStr">
        <is>
          <t>FE CREDIT</t>
        </is>
      </c>
      <c r="E5825" t="inlineStr">
        <is>
          <t>Lương:Cạnh tranh</t>
        </is>
      </c>
      <c r="F5825" t="inlineStr">
        <is>
          <t>Hồ Chí Minh</t>
        </is>
      </c>
      <c r="G5825" t="inlineStr">
        <is>
          <t>4</t>
        </is>
      </c>
      <c r="H5825" t="inlineStr">
        <is>
          <t>21/03/2026</t>
        </is>
      </c>
      <c r="I5825" t="inlineStr">
        <is>
          <t>17/03/2026</t>
        </is>
      </c>
      <c r="J5825" t="inlineStr">
        <is>
          <t>Tiếp thị / Marketing, Tiếp thị trực tuyến, Thương mại điện tử</t>
        </is>
      </c>
      <c r="K5825" t="inlineStr">
        <is>
          <t>5 - 7 Năm</t>
        </is>
      </c>
      <c r="L5825" s="8">
        <f>HYPERLINK("https://careerviet.vn/vi/tim-viec-lam/senior-kol-livestream-operations-expert.35C6618E.html","Xem chi tiết")</f>
        <v/>
      </c>
    </row>
    <row r="5826">
      <c r="B5826" s="9" t="n">
        <v>5824</v>
      </c>
      <c r="C5826" s="10" t="inlineStr">
        <is>
          <t>HO - CVC/CVCC Triển khai sản phẩm số</t>
        </is>
      </c>
      <c r="D5826" s="10" t="inlineStr">
        <is>
          <t>Ngân Hàng TMCP Phương Đông - OCB</t>
        </is>
      </c>
      <c r="E5826" s="10" t="inlineStr">
        <is>
          <t>Lương:Cạnh tranh</t>
        </is>
      </c>
      <c r="F5826" s="10" t="inlineStr">
        <is>
          <t>Hồ Chí Minh</t>
        </is>
      </c>
      <c r="G5826" s="10" t="inlineStr">
        <is>
          <t>4</t>
        </is>
      </c>
      <c r="H5826" s="10" t="inlineStr">
        <is>
          <t>21/03/2026</t>
        </is>
      </c>
      <c r="I5826" s="10" t="inlineStr">
        <is>
          <t>17/03/2026</t>
        </is>
      </c>
      <c r="J5826" s="10" t="inlineStr">
        <is>
          <t>Ngân hàng</t>
        </is>
      </c>
      <c r="K5826" s="10" t="inlineStr">
        <is>
          <t>2 - 4 Năm</t>
        </is>
      </c>
      <c r="L5826" s="11">
        <f>HYPERLINK("https://careerviet.vn/vi/tim-viec-lam/ho-cvc-cvcc-trien-khai-san-pham-so.35C66258.html","Xem chi tiết")</f>
        <v/>
      </c>
      <c r="M5826" s="10" t="n"/>
    </row>
    <row r="5827">
      <c r="B5827" s="7" t="n">
        <v>5825</v>
      </c>
      <c r="C5827" t="inlineStr">
        <is>
          <t>Senior PM Clerk (Quận 9 | HCMC)</t>
        </is>
      </c>
      <c r="D5827" t="inlineStr">
        <is>
          <t>Techtronic Industries Vietnam Manufacturing Company Limited</t>
        </is>
      </c>
      <c r="E5827" t="inlineStr">
        <is>
          <t>Lương:Cạnh tranh</t>
        </is>
      </c>
      <c r="F5827" t="inlineStr">
        <is>
          <t>Hồ Chí Minh</t>
        </is>
      </c>
      <c r="G5827" t="inlineStr">
        <is>
          <t>4</t>
        </is>
      </c>
      <c r="H5827" t="inlineStr">
        <is>
          <t>21/03/2026</t>
        </is>
      </c>
      <c r="I5827" t="inlineStr">
        <is>
          <t>17/03/2026</t>
        </is>
      </c>
      <c r="J5827" t="inlineStr">
        <is>
          <t>Bảo trì / Sửa chữa, Hành chính / Thư ký</t>
        </is>
      </c>
      <c r="K5827" t="inlineStr">
        <is>
          <t>1 - 2 Năm</t>
        </is>
      </c>
      <c r="L5827" s="8">
        <f>HYPERLINK("https://careerviet.vn/vi/tim-viec-lam/senior-pm-clerk-quan-9-hcmc.35C66157.html","Xem chi tiết")</f>
        <v/>
      </c>
    </row>
    <row r="5828">
      <c r="B5828" s="9" t="n">
        <v>5826</v>
      </c>
      <c r="C5828" s="10" t="inlineStr">
        <is>
          <t>[Đông Anh]  Trưởng nhóm Khách hàng cá nhân</t>
        </is>
      </c>
      <c r="D5828" s="10" t="inlineStr">
        <is>
          <t>Ngân Hàng TMCP Tiên Phong (TPBank)</t>
        </is>
      </c>
      <c r="E5828" s="10" t="inlineStr">
        <is>
          <t>Lương:20 Tr - 30 Tr VND</t>
        </is>
      </c>
      <c r="F5828" s="10" t="inlineStr">
        <is>
          <t>Hà Nội</t>
        </is>
      </c>
      <c r="G5828" s="10" t="inlineStr">
        <is>
          <t>3</t>
        </is>
      </c>
      <c r="H5828" s="10" t="inlineStr">
        <is>
          <t>20/03/2026</t>
        </is>
      </c>
      <c r="I5828" s="10" t="inlineStr">
        <is>
          <t>17/03/2026</t>
        </is>
      </c>
      <c r="J5828" s="10" t="inlineStr">
        <is>
          <t>Bán hàng / Kinh doanh, Ngân hàng, Tài chính / Đầu tư</t>
        </is>
      </c>
      <c r="K5828" s="10" t="inlineStr">
        <is>
          <t>2 - 3 Năm</t>
        </is>
      </c>
      <c r="L5828" s="11">
        <f>HYPERLINK("https://careerviet.vn/vi/tim-viec-lam/dong-anh-truong-nhom-khach-hang-ca-nhan.35C65FEA.html","Xem chi tiết")</f>
        <v/>
      </c>
      <c r="M5828" s="10" t="n"/>
    </row>
    <row r="5829">
      <c r="B5829" s="7" t="n">
        <v>5827</v>
      </c>
      <c r="C5829" t="inlineStr">
        <is>
          <t>Chuyên viên tuyển dụng</t>
        </is>
      </c>
      <c r="D5829" t="inlineStr">
        <is>
          <t>Công Ty TNHH TM &amp; XNK Nhất Lâm</t>
        </is>
      </c>
      <c r="E5829" t="inlineStr">
        <is>
          <t>Lương:12 Tr - 15 Tr VND</t>
        </is>
      </c>
      <c r="F5829" t="inlineStr">
        <is>
          <t>Hà Nội</t>
        </is>
      </c>
      <c r="G5829" t="inlineStr">
        <is>
          <t>4</t>
        </is>
      </c>
      <c r="H5829" t="inlineStr">
        <is>
          <t>21/03/2026</t>
        </is>
      </c>
      <c r="I5829" t="inlineStr">
        <is>
          <t>17/03/2026</t>
        </is>
      </c>
      <c r="J5829" t="inlineStr">
        <is>
          <t>Nhân sự</t>
        </is>
      </c>
      <c r="K5829" t="inlineStr">
        <is>
          <t>1 - 3 Năm</t>
        </is>
      </c>
      <c r="L5829" s="8">
        <f>HYPERLINK("https://careerviet.vn/vi/tim-viec-lam/chuyen-vien-tuyen-dung.35C66164.html","Xem chi tiết")</f>
        <v/>
      </c>
    </row>
    <row r="5830">
      <c r="B5830" s="9" t="n">
        <v>5828</v>
      </c>
      <c r="C5830" s="10" t="inlineStr">
        <is>
          <t>DevSecOps/ Security Engineer</t>
        </is>
      </c>
      <c r="D5830" s="10" t="inlineStr">
        <is>
          <t>Công Ty CP Dược Phẩm Pharmacity</t>
        </is>
      </c>
      <c r="E5830" s="10" t="inlineStr">
        <is>
          <t>Lương:Cạnh tranh</t>
        </is>
      </c>
      <c r="F5830" s="10" t="inlineStr">
        <is>
          <t>Hồ Chí Minh</t>
        </is>
      </c>
      <c r="G5830" s="10" t="inlineStr">
        <is>
          <t>3</t>
        </is>
      </c>
      <c r="H5830" s="10" t="inlineStr">
        <is>
          <t>20/03/2026</t>
        </is>
      </c>
      <c r="I5830" s="10" t="inlineStr">
        <is>
          <t>17/03/2026</t>
        </is>
      </c>
      <c r="J5830" s="10" t="inlineStr">
        <is>
          <t>CNTT - Phần mềm</t>
        </is>
      </c>
      <c r="K5830" s="10" t="inlineStr">
        <is>
          <t>3 - 5 Năm</t>
        </is>
      </c>
      <c r="L5830" s="11">
        <f>HYPERLINK("https://careerviet.vn/vi/tim-viec-lam/devsecops-security-engineer.35C68C01.html","Xem chi tiết")</f>
        <v/>
      </c>
      <c r="M5830" s="10" t="n"/>
    </row>
    <row r="5831">
      <c r="B5831" s="7" t="n">
        <v>5829</v>
      </c>
      <c r="C5831" t="inlineStr">
        <is>
          <t>Nhân Viên Kỹ Thuật Cơ Điện</t>
        </is>
      </c>
      <c r="D5831" t="inlineStr">
        <is>
          <t>Công ty Cổ phần Tập đoàn Gỗ Minh Long</t>
        </is>
      </c>
      <c r="E5831" t="inlineStr">
        <is>
          <t>Lương:10 Tr - 15 Tr VND</t>
        </is>
      </c>
      <c r="F5831" t="inlineStr">
        <is>
          <t>Quảng Nam</t>
        </is>
      </c>
      <c r="G5831" t="inlineStr">
        <is>
          <t>3</t>
        </is>
      </c>
      <c r="H5831" t="inlineStr">
        <is>
          <t>20/03/2026</t>
        </is>
      </c>
      <c r="I5831" t="inlineStr">
        <is>
          <t>17/03/2026</t>
        </is>
      </c>
      <c r="J5831" t="inlineStr">
        <is>
          <t>Cơ khí / Ô tô / Tự động hóa, Điện / Điện tử / Điện lạnh / Điện công nghiệp, Bảo trì / Sửa chữa</t>
        </is>
      </c>
      <c r="K5831" t="inlineStr">
        <is>
          <t>Trên 1 Năm</t>
        </is>
      </c>
      <c r="L5831" s="8">
        <f>HYPERLINK("https://careerviet.vn/vi/tim-viec-lam/nhan-vien-ky-thuat-co-dien.35C65FE6.html","Xem chi tiết")</f>
        <v/>
      </c>
    </row>
    <row r="5832">
      <c r="B5832" s="9" t="n">
        <v>5830</v>
      </c>
      <c r="C5832" s="10" t="inlineStr">
        <is>
          <t>Kế toán tổng hợp</t>
        </is>
      </c>
      <c r="D5832" s="10" t="inlineStr">
        <is>
          <t>CÔNG TY TNHH SẢN XUẤT THƯƠNG MẠI VINAFOREST</t>
        </is>
      </c>
      <c r="E5832" s="10" t="inlineStr">
        <is>
          <t>Lương:9 Tr - 15 Tr VND</t>
        </is>
      </c>
      <c r="F5832" s="10" t="inlineStr">
        <is>
          <t>Bình Định</t>
        </is>
      </c>
      <c r="G5832" s="10" t="inlineStr">
        <is>
          <t>31-03-2026</t>
        </is>
      </c>
      <c r="H5832" s="10" t="inlineStr">
        <is>
          <t>31/03/2026</t>
        </is>
      </c>
      <c r="I5832" s="10" t="inlineStr">
        <is>
          <t>17/03/2026</t>
        </is>
      </c>
      <c r="J5832" s="10" t="inlineStr">
        <is>
          <t>Kế toán / Kiểm toán, Sản xuất / Vận hành sản xuất</t>
        </is>
      </c>
      <c r="K5832" s="10" t="inlineStr">
        <is>
          <t>Trên 2 Năm</t>
        </is>
      </c>
      <c r="L5832" s="11">
        <f>HYPERLINK("https://careerviet.vn/vi/tim-viec-lam/ke-toan-tong-hop.35C68B81.html","Xem chi tiết")</f>
        <v/>
      </c>
      <c r="M5832" s="10" t="n"/>
    </row>
    <row r="5833">
      <c r="B5833" s="7" t="n">
        <v>5831</v>
      </c>
      <c r="C5833" t="inlineStr">
        <is>
          <t>Senior Sales Manager (Packaging)</t>
        </is>
      </c>
      <c r="D5833" t="inlineStr">
        <is>
          <t>PeopleWise Vietnam</t>
        </is>
      </c>
      <c r="E5833" t="inlineStr">
        <is>
          <t>Lương:Cạnh tranh</t>
        </is>
      </c>
      <c r="F5833" t="inlineStr">
        <is>
          <t>Bình Dương</t>
        </is>
      </c>
      <c r="G5833" t="inlineStr">
        <is>
          <t>31-03-2026</t>
        </is>
      </c>
      <c r="H5833" t="inlineStr">
        <is>
          <t>31/03/2026</t>
        </is>
      </c>
      <c r="I5833" t="inlineStr">
        <is>
          <t>17/03/2026</t>
        </is>
      </c>
      <c r="J5833" t="inlineStr">
        <is>
          <t>Bán hàng / Kinh doanh</t>
        </is>
      </c>
      <c r="K5833" t="inlineStr">
        <is>
          <t>5 - 20 Năm</t>
        </is>
      </c>
      <c r="L5833" s="8">
        <f>HYPERLINK("https://careerviet.vn/vi/tim-viec-lam/senior-sales-manager-packaging.35C68C00.html","Xem chi tiết")</f>
        <v/>
      </c>
    </row>
    <row r="5834">
      <c r="B5834" s="9" t="n">
        <v>5832</v>
      </c>
      <c r="C5834" s="10" t="inlineStr">
        <is>
          <t>Trưởng Phòng Điều Dưỡng - Vinmec Riverside</t>
        </is>
      </c>
      <c r="D5834" s="10" t="inlineStr">
        <is>
          <t>Công ty CP Bệnh Viện Đa Khoa Quốc Tế Vinmec</t>
        </is>
      </c>
      <c r="E5834" s="10" t="inlineStr">
        <is>
          <t>Lương:40 Tr - 60 Tr VND</t>
        </is>
      </c>
      <c r="F5834" s="10" t="inlineStr">
        <is>
          <t>Hà Nội</t>
        </is>
      </c>
      <c r="G5834" s="10" t="inlineStr">
        <is>
          <t>3</t>
        </is>
      </c>
      <c r="H5834" s="10" t="inlineStr">
        <is>
          <t>20/03/2026</t>
        </is>
      </c>
      <c r="I5834" s="10" t="inlineStr">
        <is>
          <t>17/03/2026</t>
        </is>
      </c>
      <c r="J5834" s="10" t="inlineStr">
        <is>
          <t>Y tế / Chăm sóc sức khỏe / Thẩm mỹ / Làm đẹp</t>
        </is>
      </c>
      <c r="K5834" s="10" t="inlineStr">
        <is>
          <t>7 - 10 Năm</t>
        </is>
      </c>
      <c r="L5834" s="11">
        <f>HYPERLINK("https://careerviet.vn/vi/tim-viec-lam/truong-phong-dieu-duong-vinmec-riverside.35C65EA7.html","Xem chi tiết")</f>
        <v/>
      </c>
      <c r="M5834" s="10" t="n"/>
    </row>
    <row r="5835">
      <c r="B5835" s="7" t="n">
        <v>5833</v>
      </c>
      <c r="C5835" t="inlineStr">
        <is>
          <t>C&amp;B Officer</t>
        </is>
      </c>
      <c r="D5835" t="inlineStr">
        <is>
          <t>Công Ty TNHH Dự Án Hồ Tràm</t>
        </is>
      </c>
      <c r="E5835" t="inlineStr">
        <is>
          <t>Lương:Cạnh tranh</t>
        </is>
      </c>
      <c r="F5835" t="inlineStr">
        <is>
          <t>Hồ Chí Minh</t>
        </is>
      </c>
      <c r="G5835" t="inlineStr">
        <is>
          <t>3</t>
        </is>
      </c>
      <c r="H5835" t="inlineStr">
        <is>
          <t>20/03/2026</t>
        </is>
      </c>
      <c r="I5835" t="inlineStr">
        <is>
          <t>17/03/2026</t>
        </is>
      </c>
      <c r="J5835" t="inlineStr">
        <is>
          <t>Nhân sự</t>
        </is>
      </c>
      <c r="K5835" t="inlineStr">
        <is>
          <t>3 - 5 Năm</t>
        </is>
      </c>
      <c r="L5835" s="8">
        <f>HYPERLINK("https://careerviet.vn/vi/tim-viec-lam/c-b-officer.35C65EE7.html","Xem chi tiết")</f>
        <v/>
      </c>
    </row>
    <row r="5836">
      <c r="B5836" s="9" t="n">
        <v>5834</v>
      </c>
      <c r="C5836" s="10" t="inlineStr">
        <is>
          <t>Kỹ sư xây dựng</t>
        </is>
      </c>
      <c r="D5836" s="10" t="inlineStr">
        <is>
          <t>CÔNG TY CỔ PHẦN ĐẦU TƯ BẤT ĐỘNG SẢN TASECO</t>
        </is>
      </c>
      <c r="E5836" s="10" t="inlineStr">
        <is>
          <t>Lương:Cạnh tranh</t>
        </is>
      </c>
      <c r="F5836" s="10" t="inlineStr">
        <is>
          <t>Hà Nội</t>
        </is>
      </c>
      <c r="G5836" s="10" t="inlineStr">
        <is>
          <t>4</t>
        </is>
      </c>
      <c r="H5836" s="10" t="inlineStr">
        <is>
          <t>21/03/2026</t>
        </is>
      </c>
      <c r="I5836" s="10" t="inlineStr">
        <is>
          <t>17/03/2026</t>
        </is>
      </c>
      <c r="J5836" s="10" t="inlineStr">
        <is>
          <t>Kiến trúc, Xây dựng</t>
        </is>
      </c>
      <c r="K5836" s="10" t="inlineStr">
        <is>
          <t>2 - 5 Năm</t>
        </is>
      </c>
      <c r="L5836" s="11">
        <f>HYPERLINK("https://careerviet.vn/vi/tim-viec-lam/ky-su-xay-dung.35C636AB.html","Xem chi tiết")</f>
        <v/>
      </c>
      <c r="M5836" s="10" t="n"/>
    </row>
    <row r="5837">
      <c r="B5837" s="7" t="n">
        <v>5835</v>
      </c>
      <c r="C5837" t="inlineStr">
        <is>
          <t>Marketing Automation &amp; CRM Executive</t>
        </is>
      </c>
      <c r="D5837" t="inlineStr">
        <is>
          <t>CÔNG TY CỔ PHẦN VUA NỆM</t>
        </is>
      </c>
      <c r="E5837" t="inlineStr">
        <is>
          <t>Lương:15 Tr - 20 Tr VND</t>
        </is>
      </c>
      <c r="F5837" t="inlineStr">
        <is>
          <t>Hà Nội</t>
        </is>
      </c>
      <c r="G5837" t="inlineStr">
        <is>
          <t>3</t>
        </is>
      </c>
      <c r="H5837" t="inlineStr">
        <is>
          <t>20/03/2026</t>
        </is>
      </c>
      <c r="I5837" t="inlineStr">
        <is>
          <t>17/03/2026</t>
        </is>
      </c>
      <c r="J5837" t="inlineStr">
        <is>
          <t>Tiếp thị / Marketing, Bán lẻ / Bán sỉ, Bán hàng / Kinh doanh</t>
        </is>
      </c>
      <c r="K5837" t="inlineStr">
        <is>
          <t>2 - 3 Năm</t>
        </is>
      </c>
      <c r="L5837" s="8">
        <f>HYPERLINK("https://careerviet.vn/vi/tim-viec-lam/marketing-automation-crm-executive.35C66008.html","Xem chi tiết")</f>
        <v/>
      </c>
    </row>
    <row r="5838">
      <c r="B5838" s="9" t="n">
        <v>5836</v>
      </c>
      <c r="C5838" s="10" t="inlineStr">
        <is>
          <t>[Đồng Tháp, Vĩnh Long, Cần Thơ] Nhân Viên Thu Hồi Nợ Địa Bàn Vùng Mekong 2 - Thu Nhập 15-20Tr++</t>
        </is>
      </c>
      <c r="D5838" s="10" t="inlineStr">
        <is>
          <t>Công Ty Tài Chính TNHH MB SHINSEI (MCREDIT)</t>
        </is>
      </c>
      <c r="E5838" s="10" t="inlineStr">
        <is>
          <t>Lương:4,5 Tr - 20 Tr VND</t>
        </is>
      </c>
      <c r="F5838" s="10" t="inlineStr">
        <is>
          <t>Đồng ThápVĩnh LongCần Thơ</t>
        </is>
      </c>
      <c r="G5838" s="10" t="inlineStr">
        <is>
          <t>3</t>
        </is>
      </c>
      <c r="H5838" s="10" t="inlineStr">
        <is>
          <t>20/03/2026</t>
        </is>
      </c>
      <c r="I5838" s="10" t="inlineStr">
        <is>
          <t>17/03/2026</t>
        </is>
      </c>
      <c r="J5838" s="10" t="inlineStr">
        <is>
          <t>Dịch vụ khách hàng, Tài chính / Đầu tư, Tư vấn</t>
        </is>
      </c>
      <c r="K5838" s="10" t="inlineStr">
        <is>
          <t>trong lĩnh vực thu hồi nợ, tài chính, ngân hàng, dịch vụ khách hàng.</t>
        </is>
      </c>
      <c r="L5838" s="11">
        <f>HYPERLINK("https://careerviet.vn/vi/tim-viec-lam/dong-thap-vinh-long-can-tho-nhan-vien-thu-hoi-no-dia-ban-vung-mekong-2-thu-nhap-15-20tr.35C66053.html","Xem chi tiết")</f>
        <v/>
      </c>
      <c r="M5838" s="10" t="n"/>
    </row>
    <row r="5839">
      <c r="B5839" s="7" t="n">
        <v>5837</v>
      </c>
      <c r="C5839" t="inlineStr">
        <is>
          <t>QUẢN LÝ CỬA HÀNG CÀ PHÊ</t>
        </is>
      </c>
      <c r="D5839" t="inlineStr">
        <is>
          <t>Cà phê trứng 3T</t>
        </is>
      </c>
      <c r="E5839" t="inlineStr">
        <is>
          <t>Lương:11 Tr - 15 Tr VND</t>
        </is>
      </c>
      <c r="F5839" t="inlineStr">
        <is>
          <t>Đà Nẵng</t>
        </is>
      </c>
      <c r="G5839" t="inlineStr">
        <is>
          <t>3</t>
        </is>
      </c>
      <c r="H5839" t="inlineStr">
        <is>
          <t>20/03/2026</t>
        </is>
      </c>
      <c r="I5839" t="inlineStr">
        <is>
          <t>17/03/2026</t>
        </is>
      </c>
      <c r="J5839" t="inlineStr">
        <is>
          <t>Thực phẩm &amp; Đồ uống, Nhà hàng / Khách sạn</t>
        </is>
      </c>
      <c r="K5839" t="inlineStr">
        <is>
          <t>1 - 3 Năm</t>
        </is>
      </c>
      <c r="L5839" s="8">
        <f>HYPERLINK("https://careerviet.vn/vi/tim-viec-lam/quan-ly-cua-hang-ca-phe.35C6601E.html","Xem chi tiết")</f>
        <v/>
      </c>
    </row>
    <row r="5840">
      <c r="B5840" s="9" t="n">
        <v>5838</v>
      </c>
      <c r="C5840" s="10" t="inlineStr">
        <is>
          <t>Nhân Viên Thu Hồi Nợ Địa Bàn Vùng Hà Nội, Bắc 1 - Thu Nhập 15-20Tr++</t>
        </is>
      </c>
      <c r="D5840" s="10" t="inlineStr">
        <is>
          <t>Công Ty Tài Chính TNHH MB SHINSEI (MCREDIT)</t>
        </is>
      </c>
      <c r="E5840" s="10" t="inlineStr">
        <is>
          <t>Lương:4,5 Tr - 20 Tr VND</t>
        </is>
      </c>
      <c r="F5840" s="10" t="inlineStr">
        <is>
          <t>Hà NộiBắc NinhLạng Sơn</t>
        </is>
      </c>
      <c r="G5840" s="10" t="inlineStr">
        <is>
          <t>3</t>
        </is>
      </c>
      <c r="H5840" s="10" t="inlineStr">
        <is>
          <t>20/03/2026</t>
        </is>
      </c>
      <c r="I5840" s="10" t="inlineStr">
        <is>
          <t>17/03/2026</t>
        </is>
      </c>
      <c r="J5840" s="10" t="inlineStr">
        <is>
          <t>Tài chính / Đầu tư, Tư vấn, Dịch vụ khách hàng</t>
        </is>
      </c>
      <c r="K5840" s="10" t="inlineStr">
        <is>
          <t>N/A</t>
        </is>
      </c>
      <c r="L5840" s="11">
        <f>HYPERLINK("https://careerviet.vn/vi/tim-viec-lam/nhan-vien-thu-hoi-no-dia-ban-vung-ha-noi-bac-1-thu-nhap-15-20tr.35C66030.html","Xem chi tiết")</f>
        <v/>
      </c>
      <c r="M5840" s="10" t="n"/>
    </row>
    <row r="5841">
      <c r="B5841" s="7" t="n">
        <v>5839</v>
      </c>
      <c r="C5841" t="inlineStr">
        <is>
          <t>CHUYÊN VIÊN KINH DOANH BẤT ĐỘNG SẢN</t>
        </is>
      </c>
      <c r="D5841" t="inlineStr">
        <is>
          <t>CÔNG TY TNHH DỊCH VỤ THƯƠNG MẠI &amp; BẤT ĐỘNG SẢN FLORILAND</t>
        </is>
      </c>
      <c r="E5841" t="inlineStr">
        <is>
          <t>Lương:Cạnh tranh</t>
        </is>
      </c>
      <c r="F5841" t="inlineStr">
        <is>
          <t>Khánh HòaHồ Chí Minh</t>
        </is>
      </c>
      <c r="G5841" t="inlineStr">
        <is>
          <t>3</t>
        </is>
      </c>
      <c r="H5841" t="inlineStr">
        <is>
          <t>20/03/2026</t>
        </is>
      </c>
      <c r="I5841" t="inlineStr">
        <is>
          <t>17/03/2026</t>
        </is>
      </c>
      <c r="J5841" t="inlineStr">
        <is>
          <t>Tiếp thị / Marketing, Bán hàng / Kinh doanh, Bất động sản</t>
        </is>
      </c>
      <c r="K5841" t="inlineStr">
        <is>
          <t>N/A</t>
        </is>
      </c>
      <c r="L5841" s="8">
        <f>HYPERLINK("https://careerviet.vn/vi/tim-viec-lam/chuyen-vien-kinh-doanh-bat-dong-san.35C654CA.html","Xem chi tiết")</f>
        <v/>
      </c>
    </row>
    <row r="5842">
      <c r="B5842" s="9" t="n">
        <v>5840</v>
      </c>
      <c r="C5842" s="10" t="inlineStr">
        <is>
          <t>Learning &amp; Development Trailblazer</t>
        </is>
      </c>
      <c r="D5842" s="10" t="inlineStr">
        <is>
          <t>CÔNG TY ELITE LONG THÀNH</t>
        </is>
      </c>
      <c r="E5842" s="10" t="inlineStr">
        <is>
          <t>Lương:Cạnh tranh</t>
        </is>
      </c>
      <c r="F5842" s="10" t="inlineStr">
        <is>
          <t>Đồng Nai</t>
        </is>
      </c>
      <c r="G5842" s="10" t="inlineStr">
        <is>
          <t>3</t>
        </is>
      </c>
      <c r="H5842" s="10" t="inlineStr">
        <is>
          <t>20/03/2026</t>
        </is>
      </c>
      <c r="I5842" s="10" t="inlineStr">
        <is>
          <t>17/03/2026</t>
        </is>
      </c>
      <c r="J5842" s="10" t="inlineStr">
        <is>
          <t>Giáo dục / Đào tạo, Nhân sự, Dệt may / Da giày / Thời trang</t>
        </is>
      </c>
      <c r="K5842" s="10" t="inlineStr">
        <is>
          <t>2 - 5 Năm</t>
        </is>
      </c>
      <c r="L5842" s="11">
        <f>HYPERLINK("https://careerviet.vn/vi/tim-viec-lam/learning-development-trailblazer.35C65EC4.html","Xem chi tiết")</f>
        <v/>
      </c>
      <c r="M5842" s="10" t="n"/>
    </row>
    <row r="5843">
      <c r="B5843" s="7" t="n">
        <v>5841</v>
      </c>
      <c r="C5843" t="inlineStr">
        <is>
          <t>Nhân Viên Kinh Doanh Xe Máy Điện</t>
        </is>
      </c>
      <c r="D5843" t="inlineStr">
        <is>
          <t>CÔNG TY TNHH UWINFLY VIETNAM INDUSTRIES</t>
        </is>
      </c>
      <c r="E5843" t="inlineStr">
        <is>
          <t>Lương:Cạnh tranh</t>
        </is>
      </c>
      <c r="F5843" t="inlineStr">
        <is>
          <t>Hồ Chí MinhKV Đông Nam BộKV Nam Trung Bộ</t>
        </is>
      </c>
      <c r="G5843" t="inlineStr">
        <is>
          <t>3</t>
        </is>
      </c>
      <c r="H5843" t="inlineStr">
        <is>
          <t>20/03/2026</t>
        </is>
      </c>
      <c r="I5843" t="inlineStr">
        <is>
          <t>17/03/2026</t>
        </is>
      </c>
      <c r="J5843" t="inlineStr">
        <is>
          <t>Bán lẻ / Bán sỉ, Bán hàng / Kinh doanh, Bán Hàng Kỹ Thuật</t>
        </is>
      </c>
      <c r="K5843" t="inlineStr">
        <is>
          <t>2 - 3 Năm</t>
        </is>
      </c>
      <c r="L5843" s="8">
        <f>HYPERLINK("https://careerviet.vn/vi/tim-viec-lam/nhan-vien-kinh-doanh-xe-may-dien.35C65E8B.html","Xem chi tiết")</f>
        <v/>
      </c>
    </row>
    <row r="5844">
      <c r="B5844" s="9" t="n">
        <v>5842</v>
      </c>
      <c r="C5844" s="10" t="inlineStr">
        <is>
          <t>Nhân Viên Thiết Kế Nội Thất</t>
        </is>
      </c>
      <c r="D5844" s="10" t="inlineStr">
        <is>
          <t>PH Design</t>
        </is>
      </c>
      <c r="E5844" s="10" t="inlineStr">
        <is>
          <t>Lương:15 Tr - 30 Tr VND</t>
        </is>
      </c>
      <c r="F5844" s="10" t="inlineStr">
        <is>
          <t>Hồ Chí Minh</t>
        </is>
      </c>
      <c r="G5844" s="10" t="inlineStr">
        <is>
          <t>3</t>
        </is>
      </c>
      <c r="H5844" s="10" t="inlineStr">
        <is>
          <t>20/03/2026</t>
        </is>
      </c>
      <c r="I5844" s="10" t="inlineStr">
        <is>
          <t>17/03/2026</t>
        </is>
      </c>
      <c r="J5844" s="10" t="inlineStr">
        <is>
          <t>Mỹ thuật / Nghệ thuật / Thiết kế, Nội ngoại thất</t>
        </is>
      </c>
      <c r="K5844" s="10" t="inlineStr">
        <is>
          <t>N/A</t>
        </is>
      </c>
      <c r="L5844" s="11">
        <f>HYPERLINK("https://careerviet.vn/vi/tim-viec-lam/nhan-vien-thiet-ke-noi-that.35C65EF4.html","Xem chi tiết")</f>
        <v/>
      </c>
      <c r="M5844" s="10" t="n"/>
    </row>
    <row r="5845">
      <c r="B5845" s="7" t="n">
        <v>5843</v>
      </c>
      <c r="C5845" t="inlineStr">
        <is>
          <t>[Lạng Sơn] - PGD Bắc Sơn - Giao dịch viên</t>
        </is>
      </c>
      <c r="D5845" t="inlineStr">
        <is>
          <t>Ngân hàng TMCP Lộc Phát Việt Nam (LPBank)</t>
        </is>
      </c>
      <c r="E5845" t="inlineStr">
        <is>
          <t>Lương:Cạnh tranh</t>
        </is>
      </c>
      <c r="F5845" t="inlineStr">
        <is>
          <t>Lạng Sơn</t>
        </is>
      </c>
      <c r="G5845" t="inlineStr">
        <is>
          <t>3</t>
        </is>
      </c>
      <c r="H5845" t="inlineStr">
        <is>
          <t>20/03/2026</t>
        </is>
      </c>
      <c r="I5845" t="inlineStr">
        <is>
          <t>17/03/2026</t>
        </is>
      </c>
      <c r="J5845" t="inlineStr">
        <is>
          <t>Bán hàng / Kinh doanh, Bảo hiểm, Dịch vụ khách hàng</t>
        </is>
      </c>
      <c r="K5845" t="inlineStr">
        <is>
          <t>N/A</t>
        </is>
      </c>
      <c r="L5845" s="8">
        <f>HYPERLINK("https://careerviet.vn/vi/tim-viec-lam/lang-son-pgd-bac-son-giao-dich-vien.35C65F18.html","Xem chi tiết")</f>
        <v/>
      </c>
    </row>
    <row r="5846">
      <c r="B5846" s="9" t="n">
        <v>5844</v>
      </c>
      <c r="C5846" s="10" t="inlineStr">
        <is>
          <t>Giám sát sản xuất</t>
        </is>
      </c>
      <c r="D5846" s="10" t="inlineStr">
        <is>
          <t>CÔNG TY CỔ PHẦN CÔNG NGHỆ SINH HỌC R.E.P</t>
        </is>
      </c>
      <c r="E5846" s="10" t="inlineStr">
        <is>
          <t>Lương:Cạnh tranh</t>
        </is>
      </c>
      <c r="F5846" s="10" t="inlineStr">
        <is>
          <t>Đồng Nai</t>
        </is>
      </c>
      <c r="G5846" s="10" t="inlineStr">
        <is>
          <t>3</t>
        </is>
      </c>
      <c r="H5846" s="10" t="inlineStr">
        <is>
          <t>20/03/2026</t>
        </is>
      </c>
      <c r="I5846" s="10" t="inlineStr">
        <is>
          <t>17/03/2026</t>
        </is>
      </c>
      <c r="J5846" s="10" t="inlineStr">
        <is>
          <t>Dược phẩm/ Hóa Mỹ Phẩm, Chăn nuôi / Thú y, Sản xuất / Vận hành sản xuất</t>
        </is>
      </c>
      <c r="K5846" s="10" t="inlineStr">
        <is>
          <t>3 - 4 Năm</t>
        </is>
      </c>
      <c r="L5846" s="11">
        <f>HYPERLINK("https://careerviet.vn/vi/tim-viec-lam/giam-sat-san-xuat.35C65F5B.html","Xem chi tiết")</f>
        <v/>
      </c>
      <c r="M5846" s="10" t="n"/>
    </row>
    <row r="5847">
      <c r="B5847" s="7" t="n">
        <v>5845</v>
      </c>
      <c r="C5847" t="inlineStr">
        <is>
          <t>Chuyên viên kiến trúc quy hoạch</t>
        </is>
      </c>
      <c r="D5847" t="inlineStr">
        <is>
          <t>ERAS GROUP</t>
        </is>
      </c>
      <c r="E5847" t="inlineStr">
        <is>
          <t>Lương:Cạnh tranh</t>
        </is>
      </c>
      <c r="F5847" t="inlineStr">
        <is>
          <t>Hồ Chí Minh</t>
        </is>
      </c>
      <c r="G5847" t="inlineStr">
        <is>
          <t>3</t>
        </is>
      </c>
      <c r="H5847" t="inlineStr">
        <is>
          <t>20/03/2026</t>
        </is>
      </c>
      <c r="I5847" t="inlineStr">
        <is>
          <t>17/03/2026</t>
        </is>
      </c>
      <c r="J5847" t="inlineStr">
        <is>
          <t>Kiến trúc, Xây dựng, Bất động sản</t>
        </is>
      </c>
      <c r="K5847" t="inlineStr">
        <is>
          <t>3 - 5 Năm</t>
        </is>
      </c>
      <c r="L5847" s="8">
        <f>HYPERLINK("https://careerviet.vn/vi/tim-viec-lam/chuyen-vien-kien-truc-quy-hoach.35C6602B.html","Xem chi tiết")</f>
        <v/>
      </c>
    </row>
    <row r="5848">
      <c r="B5848" s="9" t="n">
        <v>5846</v>
      </c>
      <c r="C5848" s="10" t="inlineStr">
        <is>
          <t>Nhân Viên Thu Hồi Nợ Địa Bàn Vùng Bắc 2 - Thu Nhập 15-20Tr++</t>
        </is>
      </c>
      <c r="D5848" s="10" t="inlineStr">
        <is>
          <t>Công Ty Tài Chính TNHH MB SHINSEI (MCREDIT)</t>
        </is>
      </c>
      <c r="E5848" s="10" t="inlineStr">
        <is>
          <t>Lương:4,5 Tr - 20 Tr VND</t>
        </is>
      </c>
      <c r="F5848" s="10" t="inlineStr">
        <is>
          <t>Hải PhòngHưng YênHà Tĩnh</t>
        </is>
      </c>
      <c r="G5848" s="10" t="inlineStr">
        <is>
          <t>3</t>
        </is>
      </c>
      <c r="H5848" s="10" t="inlineStr">
        <is>
          <t>20/03/2026</t>
        </is>
      </c>
      <c r="I5848" s="10" t="inlineStr">
        <is>
          <t>17/03/2026</t>
        </is>
      </c>
      <c r="J5848" s="10" t="inlineStr">
        <is>
          <t>Tư vấn, Dịch vụ khách hàng, Tài chính / Đầu tư</t>
        </is>
      </c>
      <c r="K5848" s="10" t="inlineStr">
        <is>
          <t>trong lĩnh vực thu hồi nợ, tài chính, ngân hàng, dịch vụ khách hàng.</t>
        </is>
      </c>
      <c r="L5848" s="11">
        <f>HYPERLINK("https://careerviet.vn/vi/tim-viec-lam/nhan-vien-thu-hoi-no-dia-ban-vung-bac-2-thu-nhap-15-20tr.35C66051.html","Xem chi tiết")</f>
        <v/>
      </c>
      <c r="M5848" s="10" t="n"/>
    </row>
    <row r="5849">
      <c r="B5849" s="7" t="n">
        <v>5847</v>
      </c>
      <c r="C5849" t="inlineStr">
        <is>
          <t>[Lạng Sơn] - Trụ sở chính - Giao dịch viên</t>
        </is>
      </c>
      <c r="D5849" t="inlineStr">
        <is>
          <t>Ngân hàng TMCP Lộc Phát Việt Nam (LPBank)</t>
        </is>
      </c>
      <c r="E5849" t="inlineStr">
        <is>
          <t>Lương:Cạnh tranh</t>
        </is>
      </c>
      <c r="F5849" t="inlineStr">
        <is>
          <t>Lạng Sơn</t>
        </is>
      </c>
      <c r="G5849" t="inlineStr">
        <is>
          <t>3</t>
        </is>
      </c>
      <c r="H5849" t="inlineStr">
        <is>
          <t>20/03/2026</t>
        </is>
      </c>
      <c r="I5849" t="inlineStr">
        <is>
          <t>17/03/2026</t>
        </is>
      </c>
      <c r="J5849" t="inlineStr">
        <is>
          <t>Bán hàng / Kinh doanh, Bảo hiểm, Dịch vụ khách hàng</t>
        </is>
      </c>
      <c r="K5849" t="inlineStr">
        <is>
          <t>N/A</t>
        </is>
      </c>
      <c r="L5849" s="8">
        <f>HYPERLINK("https://careerviet.vn/vi/tim-viec-lam/lang-son-tru-so-chinh-giao-dich-vien.35C65F17.html","Xem chi tiết")</f>
        <v/>
      </c>
    </row>
    <row r="5850">
      <c r="B5850" s="9" t="n">
        <v>5848</v>
      </c>
      <c r="C5850" s="10" t="inlineStr">
        <is>
          <t>Chuyên Viên Kinh Doanh Dự Án</t>
        </is>
      </c>
      <c r="D5850" s="10" t="inlineStr">
        <is>
          <t>Công Ty Cổ Phần Dây Cáp Điện DAPHACO</t>
        </is>
      </c>
      <c r="E5850" s="10" t="inlineStr">
        <is>
          <t>Lương:Cạnh tranh</t>
        </is>
      </c>
      <c r="F5850" s="10" t="inlineStr">
        <is>
          <t>Hồ Chí Minh</t>
        </is>
      </c>
      <c r="G5850" s="10" t="inlineStr">
        <is>
          <t>4</t>
        </is>
      </c>
      <c r="H5850" s="10" t="inlineStr">
        <is>
          <t>20/03/2026</t>
        </is>
      </c>
      <c r="I5850" s="10" t="inlineStr">
        <is>
          <t>17/03/2026</t>
        </is>
      </c>
      <c r="J5850" s="10" t="inlineStr">
        <is>
          <t>Điện / Điện tử / Điện lạnh / Điện công nghiệp, Bán hàng / Kinh doanh, Sản xuất / Vận hành sản xuất</t>
        </is>
      </c>
      <c r="K5850" s="10" t="inlineStr">
        <is>
          <t>Trên 2 Năm</t>
        </is>
      </c>
      <c r="L5850" s="11">
        <f>HYPERLINK("https://careerviet.vn/vi/tim-viec-lam/chuyen-vien-kinh-doanh-du-an.35C661BB.html","Xem chi tiết")</f>
        <v/>
      </c>
      <c r="M5850" s="10" t="n"/>
    </row>
    <row r="5851">
      <c r="B5851" s="7" t="n">
        <v>5849</v>
      </c>
      <c r="C5851" t="inlineStr">
        <is>
          <t>Kỹ thuật viên ép thổi nhựa</t>
        </is>
      </c>
      <c r="D5851" t="inlineStr">
        <is>
          <t>Công ty Cổ Phần Thảo Mộc Xanh Long An</t>
        </is>
      </c>
      <c r="E5851" t="inlineStr">
        <is>
          <t>Lương:Cạnh tranh</t>
        </is>
      </c>
      <c r="F5851" t="inlineStr">
        <is>
          <t>Long An</t>
        </is>
      </c>
      <c r="G5851" t="inlineStr">
        <is>
          <t>5</t>
        </is>
      </c>
      <c r="H5851" t="inlineStr">
        <is>
          <t>22/03/2026</t>
        </is>
      </c>
      <c r="I5851" t="inlineStr">
        <is>
          <t>17/03/2026</t>
        </is>
      </c>
      <c r="J5851" t="inlineStr">
        <is>
          <t>Cơ khí / Ô tô / Tự động hóa, Sản xuất / Vận hành sản xuất, Điện / Điện tử / Điện lạnh / Điện công nghiệp</t>
        </is>
      </c>
      <c r="K5851" t="inlineStr">
        <is>
          <t>4 - 5 Năm</t>
        </is>
      </c>
      <c r="L5851" s="8">
        <f>HYPERLINK("https://careerviet.vn/vi/tim-viec-lam/ky-thuat-vien-ep-thoi-nhua.35C63744.html","Xem chi tiết")</f>
        <v/>
      </c>
    </row>
    <row r="5852">
      <c r="B5852" s="9" t="n">
        <v>5850</v>
      </c>
      <c r="C5852" s="10" t="inlineStr">
        <is>
          <t>Trưởng Ban Pháp Chế</t>
        </is>
      </c>
      <c r="D5852" s="10" t="inlineStr">
        <is>
          <t>Tổng Công ty Đối Tác Chân Thật</t>
        </is>
      </c>
      <c r="E5852" s="10" t="inlineStr">
        <is>
          <t>Lương:Cạnh tranh</t>
        </is>
      </c>
      <c r="F5852" s="10" t="inlineStr">
        <is>
          <t>Hồ Chí Minh</t>
        </is>
      </c>
      <c r="G5852" s="10" t="inlineStr">
        <is>
          <t>4</t>
        </is>
      </c>
      <c r="H5852" s="10" t="inlineStr">
        <is>
          <t>21/03/2026</t>
        </is>
      </c>
      <c r="I5852" s="10" t="inlineStr">
        <is>
          <t>17/03/2026</t>
        </is>
      </c>
      <c r="J5852" s="10" t="inlineStr">
        <is>
          <t>Luật / Pháp lý, Hành chính / Thư ký, Quản lý điều hành</t>
        </is>
      </c>
      <c r="K5852" s="10" t="inlineStr">
        <is>
          <t>Trên 5 Năm</t>
        </is>
      </c>
      <c r="L5852" s="11">
        <f>HYPERLINK("https://careerviet.vn/vi/tim-viec-lam/truong-ban-phap-che.35C66266.html","Xem chi tiết")</f>
        <v/>
      </c>
      <c r="M5852" s="10" t="n"/>
    </row>
    <row r="5853">
      <c r="B5853" s="7" t="n">
        <v>5851</v>
      </c>
      <c r="C5853" t="inlineStr">
        <is>
          <t>BIM Thi công 27472 - Đống Đa, HN</t>
        </is>
      </c>
      <c r="D5853" t="inlineStr">
        <is>
          <t>Công Ty TNHH Reeracoen Việt Nam</t>
        </is>
      </c>
      <c r="E5853" t="inlineStr">
        <is>
          <t>Lương:13,5 Tr - 15 Tr VND</t>
        </is>
      </c>
      <c r="F5853" t="inlineStr">
        <is>
          <t>Hà Nội</t>
        </is>
      </c>
      <c r="G5853" t="inlineStr">
        <is>
          <t>4</t>
        </is>
      </c>
      <c r="H5853" t="inlineStr">
        <is>
          <t>21/03/2026</t>
        </is>
      </c>
      <c r="I5853" t="inlineStr">
        <is>
          <t>17/03/2026</t>
        </is>
      </c>
      <c r="J5853" t="inlineStr">
        <is>
          <t>Cơ khí / Ô tô / Tự động hóa, Điện / Điện tử / Điện lạnh / Điện công nghiệp, Bảo trì / Sửa chữa</t>
        </is>
      </c>
      <c r="K5853" t="inlineStr">
        <is>
          <t>1 - 2 Năm</t>
        </is>
      </c>
      <c r="L5853" s="8">
        <f>HYPERLINK("https://careerviet.vn/vi/tim-viec-lam/bim-thi-cong-27472-dong-da-hn.35C66260.html","Xem chi tiết")</f>
        <v/>
      </c>
    </row>
    <row r="5854">
      <c r="B5854" s="9" t="n">
        <v>5852</v>
      </c>
      <c r="C5854" s="10" t="inlineStr">
        <is>
          <t>Thư kí Lab (Dầu Giây, Đồng Nai)</t>
        </is>
      </c>
      <c r="D5854" s="10" t="inlineStr">
        <is>
          <t>Techtronic Industries Vietnam Manufacturing Company Limited</t>
        </is>
      </c>
      <c r="E5854" s="10" t="inlineStr">
        <is>
          <t>Lương:Cạnh tranh</t>
        </is>
      </c>
      <c r="F5854" s="10" t="inlineStr">
        <is>
          <t>Đồng Nai</t>
        </is>
      </c>
      <c r="G5854" s="10" t="inlineStr">
        <is>
          <t>4</t>
        </is>
      </c>
      <c r="H5854" s="10" t="inlineStr">
        <is>
          <t>21/03/2026</t>
        </is>
      </c>
      <c r="I5854" s="10" t="inlineStr">
        <is>
          <t>17/03/2026</t>
        </is>
      </c>
      <c r="J5854" s="10" t="inlineStr">
        <is>
          <t>Hành chính / Thư ký</t>
        </is>
      </c>
      <c r="K5854" s="10" t="inlineStr">
        <is>
          <t>1 Năm</t>
        </is>
      </c>
      <c r="L5854" s="11">
        <f>HYPERLINK("https://careerviet.vn/vi/tim-viec-lam/thu-ki-lab-dau-giay-dong-nai.35C660C2.html","Xem chi tiết")</f>
        <v/>
      </c>
      <c r="M5854" s="10" t="n"/>
    </row>
    <row r="5855">
      <c r="B5855" s="7" t="n">
        <v>5853</v>
      </c>
      <c r="C5855" t="inlineStr">
        <is>
          <t>Chuyên viên đảm bảo chất lượng hệ thống</t>
        </is>
      </c>
      <c r="D5855" t="inlineStr">
        <is>
          <t>Công ty Cổ phần FECON</t>
        </is>
      </c>
      <c r="E5855" t="inlineStr">
        <is>
          <t>Lương:Cạnh tranh</t>
        </is>
      </c>
      <c r="F5855" t="inlineStr">
        <is>
          <t>Hà Nội</t>
        </is>
      </c>
      <c r="G5855" t="inlineStr">
        <is>
          <t>4</t>
        </is>
      </c>
      <c r="H5855" t="inlineStr">
        <is>
          <t>21/03/2026</t>
        </is>
      </c>
      <c r="I5855" t="inlineStr">
        <is>
          <t>17/03/2026</t>
        </is>
      </c>
      <c r="J5855" t="inlineStr">
        <is>
          <t>Quản lý chất lượng (QA/QC)</t>
        </is>
      </c>
      <c r="K5855" t="inlineStr">
        <is>
          <t>3 - 5 Năm</t>
        </is>
      </c>
      <c r="L5855" s="8">
        <f>HYPERLINK("https://careerviet.vn/vi/tim-viec-lam/chuyen-vien-dam-bao-chat-luong-he-thong.35C66176.html","Xem chi tiết")</f>
        <v/>
      </c>
    </row>
    <row r="5856">
      <c r="B5856" s="9" t="n">
        <v>5854</v>
      </c>
      <c r="C5856" s="10" t="inlineStr">
        <is>
          <t>Country Head (Recruitment Agency)</t>
        </is>
      </c>
      <c r="D5856" s="10" t="inlineStr">
        <is>
          <t>CÔNG TY TNHH LANGUAGE TALENT SOLUTIONS</t>
        </is>
      </c>
      <c r="E5856" s="10" t="inlineStr">
        <is>
          <t>Lương:Cạnh tranh</t>
        </is>
      </c>
      <c r="F5856" s="10" t="inlineStr">
        <is>
          <t>Hồ Chí MinhHà Nội</t>
        </is>
      </c>
      <c r="G5856" s="10" t="inlineStr">
        <is>
          <t>3</t>
        </is>
      </c>
      <c r="H5856" s="10" t="inlineStr">
        <is>
          <t>20/03/2026</t>
        </is>
      </c>
      <c r="I5856" s="10" t="inlineStr">
        <is>
          <t>17/03/2026</t>
        </is>
      </c>
      <c r="J5856" s="10" t="inlineStr">
        <is>
          <t>Tư vấn, Nhân sự, Dịch vụ khách hàng</t>
        </is>
      </c>
      <c r="K5856" s="10" t="inlineStr">
        <is>
          <t>8 - 12 Năm</t>
        </is>
      </c>
      <c r="L5856" s="11">
        <f>HYPERLINK("https://careerviet.vn/vi/tim-viec-lam/country-head-recruitment-agency.35C68C1B.html","Xem chi tiết")</f>
        <v/>
      </c>
      <c r="M5856" s="10" t="n"/>
    </row>
    <row r="5857">
      <c r="B5857" s="7" t="n">
        <v>5855</v>
      </c>
      <c r="C5857" t="inlineStr">
        <is>
          <t>KỸ SƯ QS CÔNG TRÌNH</t>
        </is>
      </c>
      <c r="D5857" t="inlineStr">
        <is>
          <t>TẬP ĐOÀN ĐẦU TƯ HOÀNG GIA VIỆT NAM</t>
        </is>
      </c>
      <c r="E5857" t="inlineStr">
        <is>
          <t>Lương:Cạnh tranh</t>
        </is>
      </c>
      <c r="F5857" t="inlineStr">
        <is>
          <t>Long An</t>
        </is>
      </c>
      <c r="G5857" t="inlineStr">
        <is>
          <t>3</t>
        </is>
      </c>
      <c r="H5857" t="inlineStr">
        <is>
          <t>20/03/2026</t>
        </is>
      </c>
      <c r="I5857" t="inlineStr">
        <is>
          <t>17/03/2026</t>
        </is>
      </c>
      <c r="J5857" t="inlineStr">
        <is>
          <t>Kiến trúc, Xây dựng, Bất động sản</t>
        </is>
      </c>
      <c r="K5857" t="inlineStr">
        <is>
          <t>Trên 5 Năm</t>
        </is>
      </c>
      <c r="L5857" s="8">
        <f>HYPERLINK("https://careerviet.vn/vi/tim-viec-lam/ky-su-qs-cong-trinh.35C65FBA.html","Xem chi tiết")</f>
        <v/>
      </c>
    </row>
    <row r="5858">
      <c r="B5858" s="9" t="n">
        <v>5856</v>
      </c>
      <c r="C5858" s="10" t="inlineStr">
        <is>
          <t>KẾ TOÁN TỔNG HỢP</t>
        </is>
      </c>
      <c r="D5858" s="10" t="inlineStr">
        <is>
          <t>Công ty Cổ phần UYN (UYN Joint Stock Company)</t>
        </is>
      </c>
      <c r="E5858" s="10" t="inlineStr">
        <is>
          <t>Lương:15 Tr - 17 Tr VND</t>
        </is>
      </c>
      <c r="F5858" s="10" t="inlineStr">
        <is>
          <t>Hồ Chí Minh</t>
        </is>
      </c>
      <c r="G5858" s="10" t="inlineStr">
        <is>
          <t>4</t>
        </is>
      </c>
      <c r="H5858" s="10" t="inlineStr">
        <is>
          <t>20/03/2026</t>
        </is>
      </c>
      <c r="I5858" s="10" t="inlineStr">
        <is>
          <t>17/03/2026</t>
        </is>
      </c>
      <c r="J5858" s="10" t="inlineStr">
        <is>
          <t>Bán hàng / Kinh doanh, Thực phẩm &amp; Đồ uống, Kế toán / Kiểm toán</t>
        </is>
      </c>
      <c r="K5858" s="10" t="inlineStr">
        <is>
          <t>Trên 5 Năm</t>
        </is>
      </c>
      <c r="L5858" s="11">
        <f>HYPERLINK("https://careerviet.vn/vi/tim-viec-lam/ke-toan-tong-hop.35C660F9.html","Xem chi tiết")</f>
        <v/>
      </c>
      <c r="M5858" s="10" t="n"/>
    </row>
    <row r="5859">
      <c r="B5859" s="7" t="n">
        <v>5857</v>
      </c>
      <c r="C5859" t="inlineStr">
        <is>
          <t>[Đồng Nai] Nhân viên kế toán</t>
        </is>
      </c>
      <c r="D5859" t="inlineStr">
        <is>
          <t>Công Ty TNHH CJ Vina Agri</t>
        </is>
      </c>
      <c r="E5859" t="inlineStr">
        <is>
          <t>Lương:Cạnh tranh</t>
        </is>
      </c>
      <c r="F5859" t="inlineStr">
        <is>
          <t>Đồng Nai</t>
        </is>
      </c>
      <c r="G5859" t="inlineStr">
        <is>
          <t>3</t>
        </is>
      </c>
      <c r="H5859" t="inlineStr">
        <is>
          <t>20/03/2026</t>
        </is>
      </c>
      <c r="I5859" t="inlineStr">
        <is>
          <t>17/03/2026</t>
        </is>
      </c>
      <c r="J5859" t="inlineStr">
        <is>
          <t>Kế toán / Kiểm toán</t>
        </is>
      </c>
      <c r="K5859" t="inlineStr">
        <is>
          <t>1 - 3 Năm</t>
        </is>
      </c>
      <c r="L5859" s="8">
        <f>HYPERLINK("https://careerviet.vn/vi/tim-viec-lam/dong-nai-nhan-vien-ke-toan.35C66007.html","Xem chi tiết")</f>
        <v/>
      </c>
    </row>
    <row r="5860">
      <c r="B5860" s="9" t="n">
        <v>5858</v>
      </c>
      <c r="C5860" s="10" t="inlineStr">
        <is>
          <t>General Accountant</t>
        </is>
      </c>
      <c r="D5860" s="10" t="inlineStr">
        <is>
          <t>Công Ty TNHH Dự Án Hồ Tràm</t>
        </is>
      </c>
      <c r="E5860" s="10" t="inlineStr">
        <is>
          <t>Lương:Cạnh tranh</t>
        </is>
      </c>
      <c r="F5860" s="10" t="inlineStr">
        <is>
          <t>Hồ Chí Minh</t>
        </is>
      </c>
      <c r="G5860" s="10" t="inlineStr">
        <is>
          <t>4</t>
        </is>
      </c>
      <c r="H5860" s="10" t="inlineStr">
        <is>
          <t>21/03/2026</t>
        </is>
      </c>
      <c r="I5860" s="10" t="inlineStr">
        <is>
          <t>17/03/2026</t>
        </is>
      </c>
      <c r="J5860" s="10" t="inlineStr">
        <is>
          <t>Kế toán / Kiểm toán</t>
        </is>
      </c>
      <c r="K5860" s="10" t="inlineStr">
        <is>
          <t>Trên 2 Năm</t>
        </is>
      </c>
      <c r="L5860" s="11">
        <f>HYPERLINK("https://careerviet.vn/vi/tim-viec-lam/general-accountant.35C66110.html","Xem chi tiết")</f>
        <v/>
      </c>
      <c r="M5860" s="10" t="n"/>
    </row>
    <row r="5861">
      <c r="B5861" s="7" t="n">
        <v>5859</v>
      </c>
      <c r="C5861" t="inlineStr">
        <is>
          <t>Phó Phòng Quản Trị Rủi Ro Tín Dụng và Quản lý danh mục ( phụ trách mảng Quản trị dữ liệu và phát triển các mô hình đo lường rủi ro TD), Khối QTRRR</t>
        </is>
      </c>
      <c r="D5861" t="inlineStr">
        <is>
          <t>Ngân hàng TMCP Đại Chúng Việt Nam - PVcomBank</t>
        </is>
      </c>
      <c r="E5861" t="inlineStr">
        <is>
          <t>Lương:Cạnh tranh</t>
        </is>
      </c>
      <c r="F5861" t="inlineStr">
        <is>
          <t>Hà Nội</t>
        </is>
      </c>
      <c r="G5861" t="inlineStr">
        <is>
          <t>4</t>
        </is>
      </c>
      <c r="H5861" t="inlineStr">
        <is>
          <t>21/03/2026</t>
        </is>
      </c>
      <c r="I5861" t="inlineStr">
        <is>
          <t>17/03/2026</t>
        </is>
      </c>
      <c r="J5861" t="inlineStr">
        <is>
          <t>Ngân hàng, Tài chính / Đầu tư</t>
        </is>
      </c>
      <c r="K5861" t="inlineStr">
        <is>
          <t>7 - 10 Năm</t>
        </is>
      </c>
      <c r="L5861" s="8">
        <f>HYPERLINK("https://careerviet.vn/vi/tim-viec-lam/pho-phong-quan-tri-rui-ro-tin-dung-va-quan-ly-danh-muc-phu-trach-mang-quan-tri-du-lieu-va-phat-trien-cac-mo-hinh-do-luong-rui-ro-td-khoi-qtrrr.35C6611C.html","Xem chi tiết")</f>
        <v/>
      </c>
    </row>
    <row r="5862">
      <c r="B5862" s="9" t="n">
        <v>5860</v>
      </c>
      <c r="C5862" s="10" t="inlineStr">
        <is>
          <t>Nhân Viên Kinh Doanh (Ngành Thép)</t>
        </is>
      </c>
      <c r="D5862" s="10" t="inlineStr">
        <is>
          <t>Bảo mật</t>
        </is>
      </c>
      <c r="E5862" s="10" t="inlineStr">
        <is>
          <t>Lương:Cạnh tranh</t>
        </is>
      </c>
      <c r="F5862" s="10" t="inlineStr">
        <is>
          <t>Hồ Chí Minh</t>
        </is>
      </c>
      <c r="G5862" s="10" t="inlineStr">
        <is>
          <t>4</t>
        </is>
      </c>
      <c r="H5862" s="10" t="inlineStr">
        <is>
          <t>21/03/2026</t>
        </is>
      </c>
      <c r="I5862" s="10" t="inlineStr">
        <is>
          <t>17/03/2026</t>
        </is>
      </c>
      <c r="J5862" s="10" t="inlineStr">
        <is>
          <t>Bán hàng / Kinh doanh, Bán lẻ / Bán sỉ, Thu mua / Vật tư</t>
        </is>
      </c>
      <c r="K5862" s="10" t="inlineStr">
        <is>
          <t>Lên đến 2 Năm</t>
        </is>
      </c>
      <c r="L5862" s="11">
        <f>HYPERLINK("https://careerviet.vn/vi/tim-viec-lam/nhan-vien-kinh-doanh-nganh-thep.35C660E1.html","Xem chi tiết")</f>
        <v/>
      </c>
      <c r="M5862" s="10" t="n"/>
    </row>
    <row r="5863">
      <c r="B5863" s="7" t="n">
        <v>5861</v>
      </c>
      <c r="C5863" t="inlineStr">
        <is>
          <t>(Leader) Account Executive</t>
        </is>
      </c>
      <c r="D5863" t="inlineStr">
        <is>
          <t>CÔNG TY TNHH THƯƠNG MẠI QUẢNG CÁO BIGCAMP</t>
        </is>
      </c>
      <c r="E5863" t="inlineStr">
        <is>
          <t>Lương:Cạnh tranh</t>
        </is>
      </c>
      <c r="F5863" t="inlineStr">
        <is>
          <t>Hồ Chí Minh</t>
        </is>
      </c>
      <c r="G5863" t="inlineStr">
        <is>
          <t>4</t>
        </is>
      </c>
      <c r="H5863" t="inlineStr">
        <is>
          <t>21/03/2026</t>
        </is>
      </c>
      <c r="I5863" t="inlineStr">
        <is>
          <t>17/03/2026</t>
        </is>
      </c>
      <c r="J5863" t="inlineStr">
        <is>
          <t>Tiếp thị / Marketing, Bán hàng / Kinh doanh, Quảng cáo / Đối ngoại / Truyền Thông</t>
        </is>
      </c>
      <c r="K5863" t="inlineStr">
        <is>
          <t>3 - 4 Năm</t>
        </is>
      </c>
      <c r="L5863" s="8">
        <f>HYPERLINK("https://careerviet.vn/vi/tim-viec-lam/leader-account-executive.35C661D4.html","Xem chi tiết")</f>
        <v/>
      </c>
    </row>
    <row r="5864">
      <c r="B5864" s="9" t="n">
        <v>5862</v>
      </c>
      <c r="C5864" s="10" t="inlineStr">
        <is>
          <t>Trình Dược Viên Bệnh Viện, Phòng Khám Khu Vực TPHCM</t>
        </is>
      </c>
      <c r="D5864" s="10" t="inlineStr">
        <is>
          <t>Công ty Cổ Phần Dược Phẩm Việt Hà</t>
        </is>
      </c>
      <c r="E5864" s="10" t="inlineStr">
        <is>
          <t>Lương:Trên 9 Tr VND</t>
        </is>
      </c>
      <c r="F5864" s="10" t="inlineStr">
        <is>
          <t>Hồ Chí Minh</t>
        </is>
      </c>
      <c r="G5864" s="10" t="inlineStr">
        <is>
          <t>4</t>
        </is>
      </c>
      <c r="H5864" s="10" t="inlineStr">
        <is>
          <t>21/03/2026</t>
        </is>
      </c>
      <c r="I5864" s="10" t="inlineStr">
        <is>
          <t>17/03/2026</t>
        </is>
      </c>
      <c r="J5864" s="10" t="inlineStr">
        <is>
          <t>Bán hàng / Kinh doanh, Y tế / Chăm sóc sức khỏe / Thẩm mỹ / Làm đẹp, Dược phẩm/ Hóa Mỹ Phẩm</t>
        </is>
      </c>
      <c r="K5864" s="10" t="inlineStr">
        <is>
          <t>Trên 1 Năm</t>
        </is>
      </c>
      <c r="L5864" s="11">
        <f>HYPERLINK("https://careerviet.vn/vi/tim-viec-lam/trinh-duoc-vien-benh-vien-phong-kham-khu-vuc-tphcm.35C661CD.html","Xem chi tiết")</f>
        <v/>
      </c>
      <c r="M5864" s="10" t="n"/>
    </row>
    <row r="5865">
      <c r="B5865" s="7" t="n">
        <v>5863</v>
      </c>
      <c r="C5865" t="inlineStr">
        <is>
          <t>Trưởng Phòng Kinh Doanh</t>
        </is>
      </c>
      <c r="D5865" t="inlineStr">
        <is>
          <t>Công ty TNHH Đầu tư và Thương mại Trường Lâm</t>
        </is>
      </c>
      <c r="E5865" t="inlineStr">
        <is>
          <t>Lương:Cạnh tranh</t>
        </is>
      </c>
      <c r="F5865" t="inlineStr">
        <is>
          <t>Hà Nội</t>
        </is>
      </c>
      <c r="G5865" t="inlineStr">
        <is>
          <t>4</t>
        </is>
      </c>
      <c r="H5865" t="inlineStr">
        <is>
          <t>21/03/2026</t>
        </is>
      </c>
      <c r="I5865" t="inlineStr">
        <is>
          <t>17/03/2026</t>
        </is>
      </c>
      <c r="J5865" t="inlineStr">
        <is>
          <t>Bán hàng / Kinh doanh, Tư vấn, Quản lý điều hành</t>
        </is>
      </c>
      <c r="K5865" t="inlineStr">
        <is>
          <t>1 - 2 Năm</t>
        </is>
      </c>
      <c r="L5865" s="8">
        <f>HYPERLINK("https://careerviet.vn/vi/tim-viec-lam/truong-phong-kinh-doanh.35C660D2.html","Xem chi tiết")</f>
        <v/>
      </c>
    </row>
    <row r="5866">
      <c r="B5866" s="9" t="n">
        <v>5864</v>
      </c>
      <c r="C5866" s="10" t="inlineStr">
        <is>
          <t>Giám Sát Cơ Điện (MEP)</t>
        </is>
      </c>
      <c r="D5866" s="10" t="inlineStr">
        <is>
          <t>Công Ty Cổ Phần Xây Dựng Central</t>
        </is>
      </c>
      <c r="E5866" s="10" t="inlineStr">
        <is>
          <t>Lương:15 Tr - 30 Tr VND</t>
        </is>
      </c>
      <c r="F5866" s="10" t="inlineStr">
        <is>
          <t>Hồ Chí MinhHà Nội</t>
        </is>
      </c>
      <c r="G5866" s="10" t="inlineStr">
        <is>
          <t>4</t>
        </is>
      </c>
      <c r="H5866" s="10" t="inlineStr">
        <is>
          <t>21/03/2026</t>
        </is>
      </c>
      <c r="I5866" s="10" t="inlineStr">
        <is>
          <t>17/03/2026</t>
        </is>
      </c>
      <c r="J5866" s="10" t="inlineStr">
        <is>
          <t>Điện / Điện tử / Điện lạnh / Điện công nghiệp, Cơ khí / Ô tô / Tự động hóa</t>
        </is>
      </c>
      <c r="K5866" s="10" t="inlineStr">
        <is>
          <t>N/A</t>
        </is>
      </c>
      <c r="L5866" s="11">
        <f>HYPERLINK("https://careerviet.vn/vi/tim-viec-lam/giam-sat-co-dien-mep.35C661CB.html","Xem chi tiết")</f>
        <v/>
      </c>
      <c r="M5866" s="10" t="n"/>
    </row>
    <row r="5867">
      <c r="B5867" s="7" t="n">
        <v>5865</v>
      </c>
      <c r="C5867" t="inlineStr">
        <is>
          <t>Kế toán tổng hợp - Long Phú Petro</t>
        </is>
      </c>
      <c r="D5867" t="inlineStr">
        <is>
          <t>Công Ty TNHH Smartlog Long Phú</t>
        </is>
      </c>
      <c r="E5867" t="inlineStr">
        <is>
          <t>Lương:Cạnh tranh</t>
        </is>
      </c>
      <c r="F5867" t="inlineStr">
        <is>
          <t>Bà Rịa - Vũng Tàu</t>
        </is>
      </c>
      <c r="G5867" t="inlineStr">
        <is>
          <t>4</t>
        </is>
      </c>
      <c r="H5867" t="inlineStr">
        <is>
          <t>21/03/2026</t>
        </is>
      </c>
      <c r="I5867" t="inlineStr">
        <is>
          <t>17/03/2026</t>
        </is>
      </c>
      <c r="J5867" t="inlineStr">
        <is>
          <t>N/A</t>
        </is>
      </c>
      <c r="K5867" t="inlineStr">
        <is>
          <t>1 - 7 Năm</t>
        </is>
      </c>
      <c r="L5867" s="8">
        <f>HYPERLINK("https://careerviet.vn/vi/tim-viec-lam/ke-toan-tong-hop-long-phu-petro.35C66108.html","Xem chi tiết")</f>
        <v/>
      </c>
    </row>
    <row r="5868">
      <c r="B5868" s="9" t="n">
        <v>5866</v>
      </c>
      <c r="C5868" s="10" t="inlineStr">
        <is>
          <t>[FMCG] Key Account Executive (Minimart &amp; CVS)</t>
        </is>
      </c>
      <c r="D5868" s="10" t="inlineStr">
        <is>
          <t>Viet Thai International</t>
        </is>
      </c>
      <c r="E5868" s="10" t="inlineStr">
        <is>
          <t>Lương:Cạnh tranh</t>
        </is>
      </c>
      <c r="F5868" s="10" t="inlineStr">
        <is>
          <t>Hồ Chí Minh</t>
        </is>
      </c>
      <c r="G5868" s="10" t="inlineStr">
        <is>
          <t>4</t>
        </is>
      </c>
      <c r="H5868" s="10" t="inlineStr">
        <is>
          <t>21/03/2026</t>
        </is>
      </c>
      <c r="I5868" s="10" t="inlineStr">
        <is>
          <t>17/03/2026</t>
        </is>
      </c>
      <c r="J5868" s="10" t="inlineStr">
        <is>
          <t>Bán hàng / Kinh doanh</t>
        </is>
      </c>
      <c r="K5868" s="10" t="inlineStr">
        <is>
          <t>3 - 5 Năm</t>
        </is>
      </c>
      <c r="L5868" s="11">
        <f>HYPERLINK("https://careerviet.vn/vi/tim-viec-lam/fmcg-key-account-executive-minimart-cvs.35C6620D.html","Xem chi tiết")</f>
        <v/>
      </c>
      <c r="M5868" s="10" t="n"/>
    </row>
    <row r="5869">
      <c r="B5869" s="7" t="n">
        <v>5867</v>
      </c>
      <c r="C5869" t="inlineStr">
        <is>
          <t>Nhân Viên Thiết Kế Bao Bì (Offset)</t>
        </is>
      </c>
      <c r="D5869" t="inlineStr">
        <is>
          <t>CÔNG TY TNHH SẢN XUẤT THƯƠNG MẠI XUẤT NHẬP KHẨU PHÚ ĐÌNH</t>
        </is>
      </c>
      <c r="E5869" t="inlineStr">
        <is>
          <t>Lương:15 Tr - 20 Tr VND</t>
        </is>
      </c>
      <c r="F5869" t="inlineStr">
        <is>
          <t>Long An</t>
        </is>
      </c>
      <c r="G5869" t="inlineStr">
        <is>
          <t>4</t>
        </is>
      </c>
      <c r="H5869" t="inlineStr">
        <is>
          <t>21/03/2026</t>
        </is>
      </c>
      <c r="I5869" t="inlineStr">
        <is>
          <t>17/03/2026</t>
        </is>
      </c>
      <c r="J5869" t="inlineStr">
        <is>
          <t>Mỹ thuật / Nghệ thuật / Thiết kế, Sản xuất / Vận hành sản xuất, In ấn / Xuất bản</t>
        </is>
      </c>
      <c r="K5869" t="inlineStr">
        <is>
          <t>N/A</t>
        </is>
      </c>
      <c r="L5869" s="8">
        <f>HYPERLINK("https://careerviet.vn/vi/tim-viec-lam/nhan-vien-thiet-ke-bao-bi-offset.35C66205.html","Xem chi tiết")</f>
        <v/>
      </c>
    </row>
    <row r="5870">
      <c r="B5870" s="9" t="n">
        <v>5868</v>
      </c>
      <c r="C5870" s="10" t="inlineStr">
        <is>
          <t>Giám sát công trình khu vực AN GIANG</t>
        </is>
      </c>
      <c r="D5870" s="10" t="inlineStr">
        <is>
          <t>CHI NHÁNH TỔNG CÔNG TY TƯ VẤN XÂY DỰNG VIỆT NAM - CTCP</t>
        </is>
      </c>
      <c r="E5870" s="10" t="inlineStr">
        <is>
          <t>Lương:18 Tr - 25 Tr VND</t>
        </is>
      </c>
      <c r="F5870" s="10" t="inlineStr">
        <is>
          <t>An Giang</t>
        </is>
      </c>
      <c r="G5870" s="10" t="inlineStr">
        <is>
          <t>4</t>
        </is>
      </c>
      <c r="H5870" s="10" t="inlineStr">
        <is>
          <t>20/03/2026</t>
        </is>
      </c>
      <c r="I5870" s="10" t="inlineStr">
        <is>
          <t>17/03/2026</t>
        </is>
      </c>
      <c r="J5870" s="10" t="inlineStr">
        <is>
          <t>Bất động sản, Quản lý điều hành, Xây dựng</t>
        </is>
      </c>
      <c r="K5870" s="10" t="inlineStr">
        <is>
          <t>Trên 5 Năm</t>
        </is>
      </c>
      <c r="L5870" s="11">
        <f>HYPERLINK("https://careerviet.vn/vi/tim-viec-lam/giam-sat-cong-trinh-khu-vuc-an-giang.35C6610D.html","Xem chi tiết")</f>
        <v/>
      </c>
      <c r="M5870" s="10" t="n"/>
    </row>
    <row r="5871">
      <c r="B5871" s="7" t="n">
        <v>5869</v>
      </c>
      <c r="C5871" t="inlineStr">
        <is>
          <t>English Teacher For Kids - Thu Duc District</t>
        </is>
      </c>
      <c r="D5871" t="inlineStr">
        <is>
          <t>CareerViet's client</t>
        </is>
      </c>
      <c r="E5871" t="inlineStr">
        <is>
          <t>Lương:8 Tr - 13 Tr VND</t>
        </is>
      </c>
      <c r="F5871" t="inlineStr">
        <is>
          <t>Hồ Chí Minh</t>
        </is>
      </c>
      <c r="G5871" t="inlineStr">
        <is>
          <t>4</t>
        </is>
      </c>
      <c r="H5871" t="inlineStr">
        <is>
          <t>21/03/2026</t>
        </is>
      </c>
      <c r="I5871" t="inlineStr">
        <is>
          <t>17/03/2026</t>
        </is>
      </c>
      <c r="J5871" t="inlineStr">
        <is>
          <t>Giáo dục / Đào tạo, Biên phiên dịch, Ngành khác</t>
        </is>
      </c>
      <c r="K5871" t="inlineStr">
        <is>
          <t>1 - 2 Năm</t>
        </is>
      </c>
      <c r="L5871" s="8">
        <f>HYPERLINK("https://careerviet.vn/vi/tim-viec-lam/english-teacher-for-kids-thu-duc-district.35C66114.html","Xem chi tiết")</f>
        <v/>
      </c>
    </row>
    <row r="5872">
      <c r="B5872" s="9" t="n">
        <v>5870</v>
      </c>
      <c r="C5872" s="10" t="inlineStr">
        <is>
          <t>Tổ trưởng sản xuất</t>
        </is>
      </c>
      <c r="D5872" s="10" t="inlineStr">
        <is>
          <t>Công ty TNHH Olam Việt Nam - CN Gia Lai</t>
        </is>
      </c>
      <c r="E5872" s="10" t="inlineStr">
        <is>
          <t>Lương:Cạnh tranh</t>
        </is>
      </c>
      <c r="F5872" s="10" t="inlineStr">
        <is>
          <t>Gia Lai</t>
        </is>
      </c>
      <c r="G5872" s="10" t="inlineStr">
        <is>
          <t>4</t>
        </is>
      </c>
      <c r="H5872" s="10" t="inlineStr">
        <is>
          <t>21/03/2026</t>
        </is>
      </c>
      <c r="I5872" s="10" t="inlineStr">
        <is>
          <t>17/03/2026</t>
        </is>
      </c>
      <c r="J5872" s="10" t="inlineStr">
        <is>
          <t>Thực phẩm &amp; Đồ uống, Sản xuất / Vận hành sản xuất</t>
        </is>
      </c>
      <c r="K5872" s="10" t="inlineStr">
        <is>
          <t>1 Năm</t>
        </is>
      </c>
      <c r="L5872" s="11">
        <f>HYPERLINK("https://careerviet.vn/vi/tim-viec-lam/to-truong-san-xuat.35C660F2.html","Xem chi tiết")</f>
        <v/>
      </c>
      <c r="M5872" s="10" t="n"/>
    </row>
    <row r="5873">
      <c r="B5873" s="7" t="n">
        <v>5871</v>
      </c>
      <c r="C5873" t="inlineStr">
        <is>
          <t>Kỹ sư HSE</t>
        </is>
      </c>
      <c r="D5873" t="inlineStr">
        <is>
          <t>CÔNG TY TNHH CÔNG NGHIỆP CHERVON (VIỆT NAM)</t>
        </is>
      </c>
      <c r="E5873" t="inlineStr">
        <is>
          <t>Lương:15 Tr - 25 Tr VND</t>
        </is>
      </c>
      <c r="F5873" t="inlineStr">
        <is>
          <t>Bình Dương</t>
        </is>
      </c>
      <c r="G5873" t="inlineStr">
        <is>
          <t>4</t>
        </is>
      </c>
      <c r="H5873" t="inlineStr">
        <is>
          <t>21/03/2026</t>
        </is>
      </c>
      <c r="I5873" t="inlineStr">
        <is>
          <t>17/03/2026</t>
        </is>
      </c>
      <c r="J5873" t="inlineStr">
        <is>
          <t>Cơ khí / Ô tô / Tự động hóa, Môi trường, An toàn lao động</t>
        </is>
      </c>
      <c r="K5873" t="inlineStr">
        <is>
          <t>3 - 5 Năm</t>
        </is>
      </c>
      <c r="L5873" s="8">
        <f>HYPERLINK("https://careerviet.vn/vi/tim-viec-lam/ky-su-hse.35C6609B.html","Xem chi tiết")</f>
        <v/>
      </c>
    </row>
    <row r="5874">
      <c r="B5874" s="9" t="n">
        <v>5872</v>
      </c>
      <c r="C5874" s="10" t="inlineStr">
        <is>
          <t>Robotics &amp; Control Developer for Drone Startup</t>
        </is>
      </c>
      <c r="D5874" s="10" t="inlineStr">
        <is>
          <t>Bảo mật</t>
        </is>
      </c>
      <c r="E5874" s="10" t="inlineStr">
        <is>
          <t>Lương:Cạnh tranh</t>
        </is>
      </c>
      <c r="F5874" s="10" t="inlineStr">
        <is>
          <t>Hồ Chí Minh</t>
        </is>
      </c>
      <c r="G5874" s="10" t="inlineStr">
        <is>
          <t>4</t>
        </is>
      </c>
      <c r="H5874" s="10" t="inlineStr">
        <is>
          <t>20/03/2026</t>
        </is>
      </c>
      <c r="I5874" s="10" t="inlineStr">
        <is>
          <t>17/03/2026</t>
        </is>
      </c>
      <c r="J5874" s="10" t="inlineStr">
        <is>
          <t>Điện / Điện tử / Điện lạnh / Điện công nghiệp</t>
        </is>
      </c>
      <c r="K5874" s="10" t="inlineStr">
        <is>
          <t>Chưa có kinh nghiệm</t>
        </is>
      </c>
      <c r="L5874" s="11">
        <f>HYPERLINK("https://careerviet.vn/vi/tim-viec-lam/robotics-control-developer-for-drone-startup.35C6608D.html","Xem chi tiết")</f>
        <v/>
      </c>
      <c r="M5874" s="10" t="n"/>
    </row>
    <row r="5875">
      <c r="B5875" s="7" t="n">
        <v>5873</v>
      </c>
      <c r="C5875" t="inlineStr">
        <is>
          <t>Chuyên gia Quản trị dữ liệu và phát triển các mô hình đo lường rủi ro tín dụng cấp 2, Phòng quản trị rủi ro và quản lý danh mục, Khối Quản trị rủi ro</t>
        </is>
      </c>
      <c r="D5875" t="inlineStr">
        <is>
          <t>Ngân hàng TMCP Đại Chúng Việt Nam - PVcomBank</t>
        </is>
      </c>
      <c r="E5875" t="inlineStr">
        <is>
          <t>Lương:Cạnh tranh</t>
        </is>
      </c>
      <c r="F5875" t="inlineStr">
        <is>
          <t>Hà Nội</t>
        </is>
      </c>
      <c r="G5875" t="inlineStr">
        <is>
          <t>4</t>
        </is>
      </c>
      <c r="H5875" t="inlineStr">
        <is>
          <t>21/03/2026</t>
        </is>
      </c>
      <c r="I5875" t="inlineStr">
        <is>
          <t>17/03/2026</t>
        </is>
      </c>
      <c r="J5875" t="inlineStr">
        <is>
          <t>Ngân hàng</t>
        </is>
      </c>
      <c r="K5875" t="inlineStr">
        <is>
          <t>5 - 7 Năm</t>
        </is>
      </c>
      <c r="L5875" s="8">
        <f>HYPERLINK("https://careerviet.vn/vi/tim-viec-lam/chuyen-gia-quan-tri-du-lieu-va-phat-trien-cac-mo-hinh-do-luong-rui-ro-tin-dung-cap-2-phong-quan-tri-rui-ro-va-quan-ly-danh-muc-khoi-quan-tri-rui-ro.35C660DF.html","Xem chi tiết")</f>
        <v/>
      </c>
    </row>
    <row r="5876">
      <c r="B5876" s="9" t="n">
        <v>5874</v>
      </c>
      <c r="C5876" s="10" t="inlineStr">
        <is>
          <t>Chuyên viên Shop Drawing - Số lượng: 05 người</t>
        </is>
      </c>
      <c r="D5876" s="10" t="inlineStr">
        <is>
          <t>CÔNG TY TRÁCH NHIỆM HỮU HẠN R.P</t>
        </is>
      </c>
      <c r="E5876" s="10" t="inlineStr">
        <is>
          <t>Lương:Cạnh tranh</t>
        </is>
      </c>
      <c r="F5876" s="10" t="inlineStr">
        <is>
          <t>Hồ Chí Minh</t>
        </is>
      </c>
      <c r="G5876" s="10" t="inlineStr">
        <is>
          <t>3</t>
        </is>
      </c>
      <c r="H5876" s="10" t="inlineStr">
        <is>
          <t>20/03/2026</t>
        </is>
      </c>
      <c r="I5876" s="10" t="inlineStr">
        <is>
          <t>17/03/2026</t>
        </is>
      </c>
      <c r="J5876" s="10" t="inlineStr">
        <is>
          <t>Kiến trúc, Xây dựng, Nội ngoại thất</t>
        </is>
      </c>
      <c r="K5876" s="10" t="inlineStr">
        <is>
          <t>Trên 3 Năm</t>
        </is>
      </c>
      <c r="L5876" s="11">
        <f>HYPERLINK("https://careerviet.vn/vi/tim-viec-lam/chuyen-vien-shop-drawing-so-luong-05-nguoi.35C65EFB.html","Xem chi tiết")</f>
        <v/>
      </c>
      <c r="M5876" s="10" t="n"/>
    </row>
    <row r="5877">
      <c r="B5877" s="7" t="n">
        <v>5875</v>
      </c>
      <c r="C5877" t="inlineStr">
        <is>
          <t>Senior Merchandiser</t>
        </is>
      </c>
      <c r="D5877" t="inlineStr">
        <is>
          <t>CÔNG TY TNHH ELITE APPARATECH</t>
        </is>
      </c>
      <c r="E5877" t="inlineStr">
        <is>
          <t>Lương:Cạnh tranh</t>
        </is>
      </c>
      <c r="F5877" t="inlineStr">
        <is>
          <t>Đồng Nai</t>
        </is>
      </c>
      <c r="G5877" t="inlineStr">
        <is>
          <t>4</t>
        </is>
      </c>
      <c r="H5877" t="inlineStr">
        <is>
          <t>21/03/2026</t>
        </is>
      </c>
      <c r="I5877" t="inlineStr">
        <is>
          <t>17/03/2026</t>
        </is>
      </c>
      <c r="J5877" t="inlineStr">
        <is>
          <t>Dệt may / Da giày / Thời trang, Sản xuất / Vận hành sản xuất, Quản lý chất lượng (QA/QC)</t>
        </is>
      </c>
      <c r="K5877" t="inlineStr">
        <is>
          <t>3 - 5 Năm</t>
        </is>
      </c>
      <c r="L5877" s="8">
        <f>HYPERLINK("https://careerviet.vn/vi/tim-viec-lam/senior-merchandiser.35C661D5.html","Xem chi tiết")</f>
        <v/>
      </c>
    </row>
    <row r="5878">
      <c r="B5878" s="9" t="n">
        <v>5876</v>
      </c>
      <c r="C5878" s="10" t="inlineStr">
        <is>
          <t>CHUYÊN VIÊN KỸ SƯ KẾT CẤU</t>
        </is>
      </c>
      <c r="D5878" s="10" t="inlineStr">
        <is>
          <t>CÔNG TY CỔ PHẦN ĐẦU TƯ BẤT ĐỘNG SẢN TASECO</t>
        </is>
      </c>
      <c r="E5878" s="10" t="inlineStr">
        <is>
          <t>Lương:Cạnh tranh</t>
        </is>
      </c>
      <c r="F5878" s="10" t="inlineStr">
        <is>
          <t>Hà Nội</t>
        </is>
      </c>
      <c r="G5878" s="10" t="inlineStr">
        <is>
          <t>4</t>
        </is>
      </c>
      <c r="H5878" s="10" t="inlineStr">
        <is>
          <t>21/03/2026</t>
        </is>
      </c>
      <c r="I5878" s="10" t="inlineStr">
        <is>
          <t>17/03/2026</t>
        </is>
      </c>
      <c r="J5878" s="10" t="inlineStr">
        <is>
          <t>Kiến trúc, Xây dựng</t>
        </is>
      </c>
      <c r="K5878" s="10" t="inlineStr">
        <is>
          <t>2 - 5 Năm</t>
        </is>
      </c>
      <c r="L5878" s="11">
        <f>HYPERLINK("https://careerviet.vn/vi/tim-viec-lam/chuyen-vien-ky-su-ket-cau.35C636B2.html","Xem chi tiết")</f>
        <v/>
      </c>
      <c r="M5878" s="10" t="n"/>
    </row>
    <row r="5879">
      <c r="B5879" s="7" t="n">
        <v>5877</v>
      </c>
      <c r="C5879" t="inlineStr">
        <is>
          <t>Kỹ Sư Xây Dựng</t>
        </is>
      </c>
      <c r="D5879" t="inlineStr">
        <is>
          <t>Công Ty Cổ Phần Đầu Tư Bất Động Sản Hưng Lộc Phát</t>
        </is>
      </c>
      <c r="E5879" t="inlineStr">
        <is>
          <t>Lương:Lên đến 11 Tr VND</t>
        </is>
      </c>
      <c r="F5879" t="inlineStr">
        <is>
          <t>Bình Thuận</t>
        </is>
      </c>
      <c r="G5879" t="inlineStr">
        <is>
          <t>4</t>
        </is>
      </c>
      <c r="H5879" t="inlineStr">
        <is>
          <t>21/03/2026</t>
        </is>
      </c>
      <c r="I5879" t="inlineStr">
        <is>
          <t>17/03/2026</t>
        </is>
      </c>
      <c r="J5879" t="inlineStr">
        <is>
          <t>Xây dựng, Bất động sản, Quản lý chất lượng (QA/QC)</t>
        </is>
      </c>
      <c r="K5879" t="inlineStr">
        <is>
          <t>Trên 5 Năm</t>
        </is>
      </c>
      <c r="L5879" s="8">
        <f>HYPERLINK("https://careerviet.vn/vi/tim-viec-lam/ky-su-xay-dung.35C66237.html","Xem chi tiết")</f>
        <v/>
      </c>
    </row>
    <row r="5880">
      <c r="B5880" s="9" t="n">
        <v>5878</v>
      </c>
      <c r="C5880" s="10" t="inlineStr">
        <is>
          <t>Nhân viên thiết kế điện 27471 - Đống Đa, HN</t>
        </is>
      </c>
      <c r="D5880" s="10" t="inlineStr">
        <is>
          <t>Công Ty TNHH Reeracoen Việt Nam</t>
        </is>
      </c>
      <c r="E5880" s="10" t="inlineStr">
        <is>
          <t>Lương:13,5 Tr - 15 Tr VND</t>
        </is>
      </c>
      <c r="F5880" s="10" t="inlineStr">
        <is>
          <t>Hà Nội</t>
        </is>
      </c>
      <c r="G5880" s="10" t="inlineStr">
        <is>
          <t>4</t>
        </is>
      </c>
      <c r="H5880" s="10" t="inlineStr">
        <is>
          <t>21/03/2026</t>
        </is>
      </c>
      <c r="I5880" s="10" t="inlineStr">
        <is>
          <t>17/03/2026</t>
        </is>
      </c>
      <c r="J5880" s="10" t="inlineStr">
        <is>
          <t>Cơ khí / Ô tô / Tự động hóa, Điện / Điện tử / Điện lạnh / Điện công nghiệp, Bảo trì / Sửa chữa</t>
        </is>
      </c>
      <c r="K5880" s="10" t="inlineStr">
        <is>
          <t>Trên 2 Năm</t>
        </is>
      </c>
      <c r="L5880" s="11">
        <f>HYPERLINK("https://careerviet.vn/vi/tim-viec-lam/nhan-vien-thiet-ke-dien-27471-dong-da-hn.35C6625E.html","Xem chi tiết")</f>
        <v/>
      </c>
      <c r="M5880" s="10" t="n"/>
    </row>
    <row r="5881">
      <c r="B5881" s="7" t="n">
        <v>5879</v>
      </c>
      <c r="C5881" t="inlineStr">
        <is>
          <t>Ban Quản Lý Nhà Hàng</t>
        </is>
      </c>
      <c r="D5881" t="inlineStr">
        <is>
          <t>CÔNG TY TNHH THƯƠNG MẠI SASIN</t>
        </is>
      </c>
      <c r="E5881" t="inlineStr">
        <is>
          <t>Lương:Cạnh tranh</t>
        </is>
      </c>
      <c r="F5881" t="inlineStr">
        <is>
          <t>Toàn quốc</t>
        </is>
      </c>
      <c r="G5881" t="inlineStr">
        <is>
          <t>4</t>
        </is>
      </c>
      <c r="H5881" t="inlineStr">
        <is>
          <t>21/03/2026</t>
        </is>
      </c>
      <c r="I5881" t="inlineStr">
        <is>
          <t>17/03/2026</t>
        </is>
      </c>
      <c r="J5881" t="inlineStr">
        <is>
          <t>Nhân sự, Nhà hàng / Khách sạn, Quản lý điều hành</t>
        </is>
      </c>
      <c r="K5881" t="inlineStr">
        <is>
          <t>Lên đến 1 Năm</t>
        </is>
      </c>
      <c r="L5881" s="8">
        <f>HYPERLINK("https://careerviet.vn/vi/tim-viec-lam/ban-quan-ly-nha-hang.35C661AC.html","Xem chi tiết")</f>
        <v/>
      </c>
    </row>
    <row r="5882">
      <c r="B5882" s="9" t="n">
        <v>5880</v>
      </c>
      <c r="C5882" s="10" t="inlineStr">
        <is>
          <t>Chuyên viên Marketing</t>
        </is>
      </c>
      <c r="D5882" s="10" t="inlineStr">
        <is>
          <t>CareerViet's client</t>
        </is>
      </c>
      <c r="E5882" s="10" t="inlineStr">
        <is>
          <t>Lương:10 Tr - 15 Tr VND</t>
        </is>
      </c>
      <c r="F5882" s="10" t="inlineStr">
        <is>
          <t>Đà NẵngThừa Thiên- Huế</t>
        </is>
      </c>
      <c r="G5882" s="10" t="inlineStr">
        <is>
          <t>4</t>
        </is>
      </c>
      <c r="H5882" s="10" t="inlineStr">
        <is>
          <t>21/03/2026</t>
        </is>
      </c>
      <c r="I5882" s="10" t="inlineStr">
        <is>
          <t>17/03/2026</t>
        </is>
      </c>
      <c r="J5882" s="10" t="inlineStr">
        <is>
          <t>Bán lẻ / Bán sỉ, Xây dựng, Nội ngoại thất</t>
        </is>
      </c>
      <c r="K5882" s="10" t="inlineStr">
        <is>
          <t>2 - 5 Năm</t>
        </is>
      </c>
      <c r="L5882" s="11">
        <f>HYPERLINK("https://careerviet.vn/vi/tim-viec-lam/chuyen-vien-marketing.35C66204.html","Xem chi tiết")</f>
        <v/>
      </c>
      <c r="M5882" s="10" t="n"/>
    </row>
    <row r="5883">
      <c r="B5883" s="7" t="n">
        <v>5881</v>
      </c>
      <c r="C5883" t="inlineStr">
        <is>
          <t>126872 - General Accountant - Energy</t>
        </is>
      </c>
      <c r="D5883" t="inlineStr">
        <is>
          <t>RGF HR Agent Vietnam Co., LTD</t>
        </is>
      </c>
      <c r="E5883" t="inlineStr">
        <is>
          <t>Lương:22 Tr - 25 Tr VND</t>
        </is>
      </c>
      <c r="F5883" t="inlineStr">
        <is>
          <t>Hồ Chí Minh</t>
        </is>
      </c>
      <c r="G5883" t="inlineStr">
        <is>
          <t>4</t>
        </is>
      </c>
      <c r="H5883" t="inlineStr">
        <is>
          <t>21/03/2026</t>
        </is>
      </c>
      <c r="I5883" t="inlineStr">
        <is>
          <t>17/03/2026</t>
        </is>
      </c>
      <c r="J5883" t="inlineStr">
        <is>
          <t>Kế toán / Kiểm toán</t>
        </is>
      </c>
      <c r="K5883" t="inlineStr">
        <is>
          <t>Trên 2 Năm</t>
        </is>
      </c>
      <c r="L5883" s="8">
        <f>HYPERLINK("https://careerviet.vn/vi/tim-viec-lam/126872-general-accountant-energy.35C66239.html","Xem chi tiết")</f>
        <v/>
      </c>
    </row>
    <row r="5884">
      <c r="B5884" s="9" t="n">
        <v>5882</v>
      </c>
      <c r="C5884" s="10" t="inlineStr">
        <is>
          <t>Nhân Viên Tư Vấn Tại Văn Phòng -  Thử Việc 100% Lương (Quận Tân Bình-Thu Nhập Ổn Định Từ 10 triệu/tháng - Nguồn Khách Hàng Có Sẵn)</t>
        </is>
      </c>
      <c r="D5884" s="10" t="inlineStr">
        <is>
          <t>CÔNG TY CỔ PHẦN BPO MẮT BÃO</t>
        </is>
      </c>
      <c r="E5884" s="10" t="inlineStr">
        <is>
          <t>Lương:10 Tr - 25 Tr VND</t>
        </is>
      </c>
      <c r="F5884" s="10" t="inlineStr">
        <is>
          <t>Hồ Chí Minh</t>
        </is>
      </c>
      <c r="G5884" s="10" t="inlineStr">
        <is>
          <t>4</t>
        </is>
      </c>
      <c r="H5884" s="10" t="inlineStr">
        <is>
          <t>20/03/2026</t>
        </is>
      </c>
      <c r="I5884" s="10" t="inlineStr">
        <is>
          <t>17/03/2026</t>
        </is>
      </c>
      <c r="J5884" s="10" t="inlineStr">
        <is>
          <t>Bán hàng / Kinh doanh, Tiếp thị trực tuyến, Tư vấn</t>
        </is>
      </c>
      <c r="K5884" s="10" t="inlineStr">
        <is>
          <t>N/A</t>
        </is>
      </c>
      <c r="L5884" s="11">
        <f>HYPERLINK("https://careerviet.vn/vi/tim-viec-lam/nhan-vien-tu-van-tai-van-phong-thu-viec-100-luong-quan-tan-binh-thu-nhap-on-dinh-tu-10-trieu-thang-nguon-khach-hang-co-san.35C66249.html","Xem chi tiết")</f>
        <v/>
      </c>
      <c r="M5884" s="10" t="n"/>
    </row>
    <row r="5885">
      <c r="B5885" s="7" t="n">
        <v>5883</v>
      </c>
      <c r="C5885" t="inlineStr">
        <is>
          <t>Chuyên gia xử lý vi phạm - Khối Pháp chế và Tuân thủ</t>
        </is>
      </c>
      <c r="D5885" t="inlineStr">
        <is>
          <t>Ngân hàng TMCP Đại Chúng Việt Nam - PVcomBank</t>
        </is>
      </c>
      <c r="E5885" t="inlineStr">
        <is>
          <t>Lương:Cạnh tranh</t>
        </is>
      </c>
      <c r="F5885" t="inlineStr">
        <is>
          <t>Hà Nội</t>
        </is>
      </c>
      <c r="G5885" t="inlineStr">
        <is>
          <t>4</t>
        </is>
      </c>
      <c r="H5885" t="inlineStr">
        <is>
          <t>21/03/2026</t>
        </is>
      </c>
      <c r="I5885" t="inlineStr">
        <is>
          <t>17/03/2026</t>
        </is>
      </c>
      <c r="J5885" t="inlineStr">
        <is>
          <t>Ngân hàng, Tài chính / Đầu tư</t>
        </is>
      </c>
      <c r="K5885" t="inlineStr">
        <is>
          <t>3 - 10 Năm</t>
        </is>
      </c>
      <c r="L5885" s="8">
        <f>HYPERLINK("https://careerviet.vn/vi/tim-viec-lam/chuyen-gia-xu-ly-vi-pham-khoi-phap-che-va-tuan-thu.35C6613A.html","Xem chi tiết")</f>
        <v/>
      </c>
    </row>
    <row r="5886">
      <c r="B5886" s="9" t="n">
        <v>5884</v>
      </c>
      <c r="C5886" s="10" t="inlineStr">
        <is>
          <t>Giám sát Hoàn thiện Nội thất</t>
        </is>
      </c>
      <c r="D5886" s="10" t="inlineStr">
        <is>
          <t>AA Corporation</t>
        </is>
      </c>
      <c r="E5886" s="10" t="inlineStr">
        <is>
          <t>Lương:Cạnh tranh</t>
        </is>
      </c>
      <c r="F5886" s="10" t="inlineStr">
        <is>
          <t>Hà NộiKiên GiangBà Rịa - Vũng Tàu</t>
        </is>
      </c>
      <c r="G5886" s="10" t="inlineStr">
        <is>
          <t>4</t>
        </is>
      </c>
      <c r="H5886" s="10" t="inlineStr">
        <is>
          <t>21/03/2026</t>
        </is>
      </c>
      <c r="I5886" s="10" t="inlineStr">
        <is>
          <t>17/03/2026</t>
        </is>
      </c>
      <c r="J5886" s="10" t="inlineStr">
        <is>
          <t>Kiến trúc, Xây dựng, Nội ngoại thất</t>
        </is>
      </c>
      <c r="K5886" s="10" t="inlineStr">
        <is>
          <t>N/A</t>
        </is>
      </c>
      <c r="L5886" s="11">
        <f>HYPERLINK("https://careerviet.vn/vi/tim-viec-lam/giam-sat-hoan-thien-noi-that.35C6618C.html","Xem chi tiết")</f>
        <v/>
      </c>
      <c r="M5886" s="10" t="n"/>
    </row>
    <row r="5887">
      <c r="B5887" s="7" t="n">
        <v>5885</v>
      </c>
      <c r="C5887" t="inlineStr">
        <is>
          <t>Nhân viên kho</t>
        </is>
      </c>
      <c r="D5887" t="inlineStr">
        <is>
          <t>Công Ty Cổ Phần Tập Đoàn Trung Thủy</t>
        </is>
      </c>
      <c r="E5887" t="inlineStr">
        <is>
          <t>Lương:8 Tr - 12 Tr VND</t>
        </is>
      </c>
      <c r="F5887" t="inlineStr">
        <is>
          <t>Hồ Chí Minh</t>
        </is>
      </c>
      <c r="G5887" t="inlineStr">
        <is>
          <t>4</t>
        </is>
      </c>
      <c r="H5887" t="inlineStr">
        <is>
          <t>21/03/2026</t>
        </is>
      </c>
      <c r="I5887" t="inlineStr">
        <is>
          <t>17/03/2026</t>
        </is>
      </c>
      <c r="J5887" t="inlineStr">
        <is>
          <t>Vận chuyển / Giao nhận / Kho vận, Bất động sản</t>
        </is>
      </c>
      <c r="K5887" t="inlineStr">
        <is>
          <t>N/A</t>
        </is>
      </c>
      <c r="L5887" s="8">
        <f>HYPERLINK("https://careerviet.vn/vi/tim-viec-lam/nhan-vien-kho.35C660F3.html","Xem chi tiết")</f>
        <v/>
      </c>
    </row>
    <row r="5888">
      <c r="B5888" s="9" t="n">
        <v>5886</v>
      </c>
      <c r="C5888" s="10" t="inlineStr">
        <is>
          <t>Trưởng Phòng Đầu Tư Bất Động Sản</t>
        </is>
      </c>
      <c r="D5888" s="10" t="inlineStr">
        <is>
          <t>Tổng Công ty Đối Tác Chân Thật</t>
        </is>
      </c>
      <c r="E5888" s="10" t="inlineStr">
        <is>
          <t>Lương:Cạnh tranh</t>
        </is>
      </c>
      <c r="F5888" s="10" t="inlineStr">
        <is>
          <t>Hồ Chí Minh</t>
        </is>
      </c>
      <c r="G5888" s="10" t="inlineStr">
        <is>
          <t>4</t>
        </is>
      </c>
      <c r="H5888" s="10" t="inlineStr">
        <is>
          <t>21/03/2026</t>
        </is>
      </c>
      <c r="I5888" s="10" t="inlineStr">
        <is>
          <t>17/03/2026</t>
        </is>
      </c>
      <c r="J5888" s="10" t="inlineStr">
        <is>
          <t>Bán hàng / Kinh doanh, Tài chính / Đầu tư, Bất động sản</t>
        </is>
      </c>
      <c r="K5888" s="10" t="inlineStr">
        <is>
          <t>Trên 10 Năm</t>
        </is>
      </c>
      <c r="L5888" s="11">
        <f>HYPERLINK("https://careerviet.vn/vi/tim-viec-lam/truong-phong-dau-tu-bat-dong-san.35C66265.html","Xem chi tiết")</f>
        <v/>
      </c>
      <c r="M5888" s="10" t="n"/>
    </row>
    <row r="5889">
      <c r="B5889" s="7" t="n">
        <v>5887</v>
      </c>
      <c r="C5889" t="inlineStr">
        <is>
          <t>[FMCG] Key Account Executive - On Premise</t>
        </is>
      </c>
      <c r="D5889" t="inlineStr">
        <is>
          <t>Viet Thai International</t>
        </is>
      </c>
      <c r="E5889" t="inlineStr">
        <is>
          <t>Lương:Cạnh tranh</t>
        </is>
      </c>
      <c r="F5889" t="inlineStr">
        <is>
          <t>Hồ Chí Minh</t>
        </is>
      </c>
      <c r="G5889" t="inlineStr">
        <is>
          <t>4</t>
        </is>
      </c>
      <c r="H5889" t="inlineStr">
        <is>
          <t>21/03/2026</t>
        </is>
      </c>
      <c r="I5889" t="inlineStr">
        <is>
          <t>17/03/2026</t>
        </is>
      </c>
      <c r="J5889" t="inlineStr">
        <is>
          <t>Bán hàng / Kinh doanh</t>
        </is>
      </c>
      <c r="K5889" t="inlineStr">
        <is>
          <t>3 - 5 Năm</t>
        </is>
      </c>
      <c r="L5889" s="8">
        <f>HYPERLINK("https://careerviet.vn/vi/tim-viec-lam/fmcg-key-account-executive-on-premise.35C66207.html","Xem chi tiết")</f>
        <v/>
      </c>
    </row>
    <row r="5890">
      <c r="B5890" s="9" t="n">
        <v>5888</v>
      </c>
      <c r="C5890" s="10" t="inlineStr">
        <is>
          <t>Kỹ Sư Cơ Điện Hạ Tầng Kỹ Thuật</t>
        </is>
      </c>
      <c r="D5890" s="10" t="inlineStr">
        <is>
          <t>CÔNG TY CỔ PHẦN TƯ VẤN XÂY DỰNG LONG KHANG</t>
        </is>
      </c>
      <c r="E5890" s="10" t="inlineStr">
        <is>
          <t>Lương:Cạnh tranh</t>
        </is>
      </c>
      <c r="F5890" s="10" t="inlineStr">
        <is>
          <t>Hồ Chí Minh</t>
        </is>
      </c>
      <c r="G5890" s="10" t="inlineStr">
        <is>
          <t>4</t>
        </is>
      </c>
      <c r="H5890" s="10" t="inlineStr">
        <is>
          <t>21/03/2026</t>
        </is>
      </c>
      <c r="I5890" s="10" t="inlineStr">
        <is>
          <t>17/03/2026</t>
        </is>
      </c>
      <c r="J5890" s="10" t="inlineStr">
        <is>
          <t>Điện / Điện tử / Điện lạnh / Điện công nghiệp, Bảo trì / Sửa chữa</t>
        </is>
      </c>
      <c r="K5890" s="10" t="inlineStr">
        <is>
          <t>Trên 3 Năm</t>
        </is>
      </c>
      <c r="L5890" s="11">
        <f>HYPERLINK("https://careerviet.vn/vi/tim-viec-lam/ky-su-co-dien-ha-tang-ky-thuat.35C66056.html","Xem chi tiết")</f>
        <v/>
      </c>
      <c r="M5890" s="10" t="n"/>
    </row>
    <row r="5891">
      <c r="B5891" s="7" t="n">
        <v>5889</v>
      </c>
      <c r="C5891" t="inlineStr">
        <is>
          <t>Marketing &amp; Business Development Coordinator (KOL/KOC)</t>
        </is>
      </c>
      <c r="D5891" t="inlineStr">
        <is>
          <t>Công Ty TNHH Han Fias Việt Nam</t>
        </is>
      </c>
      <c r="E5891" t="inlineStr">
        <is>
          <t>Lương:Trên 18 Tr VND</t>
        </is>
      </c>
      <c r="F5891" t="inlineStr">
        <is>
          <t>Hồ Chí Minh</t>
        </is>
      </c>
      <c r="G5891" t="inlineStr">
        <is>
          <t>4</t>
        </is>
      </c>
      <c r="H5891" t="inlineStr">
        <is>
          <t>21/03/2026</t>
        </is>
      </c>
      <c r="I5891" t="inlineStr">
        <is>
          <t>17/03/2026</t>
        </is>
      </c>
      <c r="J5891" t="inlineStr">
        <is>
          <t>Tiếp thị / Marketing, Dược phẩm/ Hóa Mỹ Phẩm, Quảng cáo / Đối ngoại / Truyền Thông</t>
        </is>
      </c>
      <c r="K5891" t="inlineStr">
        <is>
          <t>2 - 3 Năm</t>
        </is>
      </c>
      <c r="L5891" s="8">
        <f>HYPERLINK("https://careerviet.vn/vi/tim-viec-lam/marketing-business-development-coordinator-kol-koc.35C6615B.html","Xem chi tiết")</f>
        <v/>
      </c>
    </row>
    <row r="5892">
      <c r="B5892" s="9" t="n">
        <v>5890</v>
      </c>
      <c r="C5892" s="10" t="inlineStr">
        <is>
          <t>SOFTLINE MERCHANDISE DEVELOPMENT MANAGER (FASHION)</t>
        </is>
      </c>
      <c r="D5892" s="10" t="inlineStr">
        <is>
          <t>Food Retail</t>
        </is>
      </c>
      <c r="E5892" s="10" t="inlineStr">
        <is>
          <t>Lương:Cạnh tranh</t>
        </is>
      </c>
      <c r="F5892" s="10" t="inlineStr">
        <is>
          <t>Hồ Chí Minh</t>
        </is>
      </c>
      <c r="G5892" s="10" t="inlineStr">
        <is>
          <t>4</t>
        </is>
      </c>
      <c r="H5892" s="10" t="inlineStr">
        <is>
          <t>20/03/2026</t>
        </is>
      </c>
      <c r="I5892" s="10" t="inlineStr">
        <is>
          <t>17/03/2026</t>
        </is>
      </c>
      <c r="J5892" s="10" t="inlineStr">
        <is>
          <t>Thu mua / Vật tư, Dệt may / Da giày / Thời trang, Bán lẻ / Bán sỉ</t>
        </is>
      </c>
      <c r="K5892" s="10" t="inlineStr">
        <is>
          <t>4 - 6 Năm</t>
        </is>
      </c>
      <c r="L5892" s="11">
        <f>HYPERLINK("https://careerviet.vn/vi/tim-viec-lam/softline-merchandise-development-manager-fashion.35C66088.html","Xem chi tiết")</f>
        <v/>
      </c>
      <c r="M5892" s="10" t="n"/>
    </row>
    <row r="5893">
      <c r="B5893" s="7" t="n">
        <v>5891</v>
      </c>
      <c r="C5893" t="inlineStr">
        <is>
          <t>Nhân viên Trading</t>
        </is>
      </c>
      <c r="D5893" t="inlineStr">
        <is>
          <t>CÔNG TY TNHH THƯƠNG MẠI VÀ DỊCH VỤ ECO OIL</t>
        </is>
      </c>
      <c r="E5893" t="inlineStr">
        <is>
          <t>Lương:8 Tr - 10 Tr VND</t>
        </is>
      </c>
      <c r="F5893" t="inlineStr">
        <is>
          <t>Hồ Chí Minh</t>
        </is>
      </c>
      <c r="G5893" t="inlineStr">
        <is>
          <t>4</t>
        </is>
      </c>
      <c r="H5893" t="inlineStr">
        <is>
          <t>21/03/2026</t>
        </is>
      </c>
      <c r="I5893" t="inlineStr">
        <is>
          <t>17/03/2026</t>
        </is>
      </c>
      <c r="J5893" t="inlineStr">
        <is>
          <t>Bán hàng / Kinh doanh, Môi trường, Ngành khác</t>
        </is>
      </c>
      <c r="K5893" t="inlineStr">
        <is>
          <t>Chưa có kinh nghiệm</t>
        </is>
      </c>
      <c r="L5893" s="8">
        <f>HYPERLINK("https://careerviet.vn/vi/tim-viec-lam/nhan-vien-trading.35C6624E.html","Xem chi tiết")</f>
        <v/>
      </c>
    </row>
    <row r="5894">
      <c r="B5894" s="9" t="n">
        <v>5892</v>
      </c>
      <c r="C5894" s="10" t="inlineStr">
        <is>
          <t>Leader Production/ Tổ trưởng sản xuất (KCN Bàu Bàng)</t>
        </is>
      </c>
      <c r="D5894" s="10" t="inlineStr">
        <is>
          <t>RAWLPLUG VIETNAM COMPANY LIMITED</t>
        </is>
      </c>
      <c r="E5894" s="10" t="inlineStr">
        <is>
          <t>Lương:9 Tr - 12 Tr VND</t>
        </is>
      </c>
      <c r="F5894" s="10" t="inlineStr">
        <is>
          <t>Bình Dương</t>
        </is>
      </c>
      <c r="G5894" s="10" t="inlineStr">
        <is>
          <t>4</t>
        </is>
      </c>
      <c r="H5894" s="10" t="inlineStr">
        <is>
          <t>21/03/2026</t>
        </is>
      </c>
      <c r="I5894" s="10" t="inlineStr">
        <is>
          <t>17/03/2026</t>
        </is>
      </c>
      <c r="J5894" s="10" t="inlineStr">
        <is>
          <t>Điện / Điện tử / Điện lạnh / Điện công nghiệp, Sản xuất / Vận hành sản xuất, Quản lý chất lượng (QA/QC)</t>
        </is>
      </c>
      <c r="K5894" s="10" t="inlineStr">
        <is>
          <t>3 - 5 Năm</t>
        </is>
      </c>
      <c r="L5894" s="11">
        <f>HYPERLINK("https://careerviet.vn/vi/tim-viec-lam/leader-production-to-truong-san-xuat-kcn-bau-bang.35C6615D.html","Xem chi tiết")</f>
        <v/>
      </c>
      <c r="M5894" s="10" t="n"/>
    </row>
    <row r="5895">
      <c r="B5895" s="7" t="n">
        <v>5893</v>
      </c>
      <c r="C5895" t="inlineStr">
        <is>
          <t>Trưởng nhóm Tuyển dụng</t>
        </is>
      </c>
      <c r="D5895" t="inlineStr">
        <is>
          <t>Tập Đoàn CT Group Việt Nam</t>
        </is>
      </c>
      <c r="E5895" t="inlineStr">
        <is>
          <t>Lương:32 Tr - 35 Tr VND</t>
        </is>
      </c>
      <c r="F5895" t="inlineStr">
        <is>
          <t>Hồ Chí Minh</t>
        </is>
      </c>
      <c r="G5895" t="inlineStr">
        <is>
          <t>4</t>
        </is>
      </c>
      <c r="H5895" t="inlineStr">
        <is>
          <t>21/03/2026</t>
        </is>
      </c>
      <c r="I5895" t="inlineStr">
        <is>
          <t>17/03/2026</t>
        </is>
      </c>
      <c r="J5895" t="inlineStr">
        <is>
          <t>Nhân sự</t>
        </is>
      </c>
      <c r="K5895" t="inlineStr">
        <is>
          <t>3 - 5 Năm</t>
        </is>
      </c>
      <c r="L5895" s="8">
        <f>HYPERLINK("https://careerviet.vn/vi/tim-viec-lam/truong-nhom-tuyen-dung.35C66229.html","Xem chi tiết")</f>
        <v/>
      </c>
    </row>
    <row r="5896">
      <c r="B5896" s="9" t="n">
        <v>5894</v>
      </c>
      <c r="C5896" s="10" t="inlineStr">
        <is>
          <t>Trưởng Phòng Kinh Doanh (Ngành Cơ Khí Chính Xác)</t>
        </is>
      </c>
      <c r="D5896" s="10" t="inlineStr">
        <is>
          <t>CÔNG TY TNHH ANH NGHĨA ANCL</t>
        </is>
      </c>
      <c r="E5896" s="10" t="inlineStr">
        <is>
          <t>Lương:Cạnh tranh</t>
        </is>
      </c>
      <c r="F5896" s="10" t="inlineStr">
        <is>
          <t>Đồng Nai</t>
        </is>
      </c>
      <c r="G5896" s="10" t="inlineStr">
        <is>
          <t>1</t>
        </is>
      </c>
      <c r="H5896" s="10" t="inlineStr">
        <is>
          <t>18/03/2026</t>
        </is>
      </c>
      <c r="I5896" s="10" t="inlineStr">
        <is>
          <t>17/03/2026</t>
        </is>
      </c>
      <c r="J5896" s="10" t="inlineStr">
        <is>
          <t>Xuất nhập khẩu, Bán hàng / Kinh doanh, Bán Hàng Kỹ Thuật</t>
        </is>
      </c>
      <c r="K5896" s="10" t="inlineStr">
        <is>
          <t>5 - 7 Năm</t>
        </is>
      </c>
      <c r="L5896" s="11">
        <f>HYPERLINK("https://careerviet.vn/vi/tim-viec-lam/truong-phong-kinh-doanh-nganh-co-khi-chinh-xac.35C63183.html","Xem chi tiết")</f>
        <v/>
      </c>
      <c r="M5896" s="10" t="n"/>
    </row>
    <row r="5897">
      <c r="B5897" s="7" t="n">
        <v>5895</v>
      </c>
      <c r="C5897" t="inlineStr">
        <is>
          <t>Senior Finance and Accounting Associate</t>
        </is>
      </c>
      <c r="D5897" t="inlineStr">
        <is>
          <t>Công ty TNHH Olam Việt Nam</t>
        </is>
      </c>
      <c r="E5897" t="inlineStr">
        <is>
          <t>Lương:Cạnh tranh</t>
        </is>
      </c>
      <c r="F5897" t="inlineStr">
        <is>
          <t>Hồ Chí Minh</t>
        </is>
      </c>
      <c r="G5897" t="inlineStr">
        <is>
          <t>1</t>
        </is>
      </c>
      <c r="H5897" t="inlineStr">
        <is>
          <t>18/03/2026</t>
        </is>
      </c>
      <c r="I5897" t="inlineStr">
        <is>
          <t>17/03/2026</t>
        </is>
      </c>
      <c r="J5897" t="inlineStr">
        <is>
          <t>Kế toán / Kiểm toán, Tài chính / Đầu tư, Sản xuất / Vận hành sản xuất</t>
        </is>
      </c>
      <c r="K5897" t="inlineStr">
        <is>
          <t>5 - 8 Năm</t>
        </is>
      </c>
      <c r="L5897" s="8">
        <f>HYPERLINK("https://careerviet.vn/vi/tim-viec-lam/senior-finance-and-accounting-associate.35C632C8.html","Xem chi tiết")</f>
        <v/>
      </c>
    </row>
    <row r="5898">
      <c r="B5898" s="9" t="n">
        <v>5896</v>
      </c>
      <c r="C5898" s="10" t="inlineStr">
        <is>
          <t>[JHC0037454] HR STAFF</t>
        </is>
      </c>
      <c r="D5898" s="10" t="inlineStr">
        <is>
          <t>Iconic Co.,Ltd</t>
        </is>
      </c>
      <c r="E5898" s="10" t="inlineStr">
        <is>
          <t>Lương:17 Tr - 22 Tr VND</t>
        </is>
      </c>
      <c r="F5898" s="10" t="inlineStr">
        <is>
          <t>Hồ Chí Minh</t>
        </is>
      </c>
      <c r="G5898" s="10" t="inlineStr">
        <is>
          <t>4</t>
        </is>
      </c>
      <c r="H5898" s="10" t="inlineStr">
        <is>
          <t>21/03/2026</t>
        </is>
      </c>
      <c r="I5898" s="10" t="inlineStr">
        <is>
          <t>17/03/2026</t>
        </is>
      </c>
      <c r="J5898" s="10" t="inlineStr">
        <is>
          <t>Nhân sự</t>
        </is>
      </c>
      <c r="K5898" s="10" t="inlineStr">
        <is>
          <t>Trên 3 Năm</t>
        </is>
      </c>
      <c r="L5898" s="11">
        <f>HYPERLINK("https://careerviet.vn/vi/tim-viec-lam/jhc0037454-hr-staff.35C661C1.html","Xem chi tiết")</f>
        <v/>
      </c>
      <c r="M5898" s="10" t="n"/>
    </row>
    <row r="5899">
      <c r="B5899" s="7" t="n">
        <v>5897</v>
      </c>
      <c r="C5899" t="inlineStr">
        <is>
          <t>Nhân Viên In Ấn (Xuất Bản/Phát Hành)</t>
        </is>
      </c>
      <c r="D5899" t="inlineStr">
        <is>
          <t>CÔNG TY CỔ PHẦN ZENBOOKS</t>
        </is>
      </c>
      <c r="E5899" t="inlineStr">
        <is>
          <t>Lương:9 Tr - 12 Tr VND</t>
        </is>
      </c>
      <c r="F5899" t="inlineStr">
        <is>
          <t>Hồ Chí Minh</t>
        </is>
      </c>
      <c r="G5899" t="inlineStr">
        <is>
          <t>4</t>
        </is>
      </c>
      <c r="H5899" t="inlineStr">
        <is>
          <t>21/03/2026</t>
        </is>
      </c>
      <c r="I5899" t="inlineStr">
        <is>
          <t>17/03/2026</t>
        </is>
      </c>
      <c r="J5899" t="inlineStr">
        <is>
          <t>Mỹ thuật / Nghệ thuật / Thiết kế, In ấn / Xuất bản</t>
        </is>
      </c>
      <c r="K5899" t="inlineStr">
        <is>
          <t>1 - 2 Năm</t>
        </is>
      </c>
      <c r="L5899" s="8">
        <f>HYPERLINK("https://careerviet.vn/vi/tim-viec-lam/nhan-vien-in-an-xuat-ban-phat-hanh.35C660DB.html","Xem chi tiết")</f>
        <v/>
      </c>
    </row>
    <row r="5900">
      <c r="B5900" s="9" t="n">
        <v>5898</v>
      </c>
      <c r="C5900" s="10" t="inlineStr">
        <is>
          <t>126852 - Account Executive (EC Mall Marketing Position) ｰ EC</t>
        </is>
      </c>
      <c r="D5900" s="10" t="inlineStr">
        <is>
          <t>RGF HR Agent Vietnam Co., LTD</t>
        </is>
      </c>
      <c r="E5900" s="10" t="inlineStr">
        <is>
          <t>Lương:20 Tr - 26 Tr VND</t>
        </is>
      </c>
      <c r="F5900" s="10" t="inlineStr">
        <is>
          <t>Hồ Chí Minh</t>
        </is>
      </c>
      <c r="G5900" s="10" t="inlineStr">
        <is>
          <t>4</t>
        </is>
      </c>
      <c r="H5900" s="10" t="inlineStr">
        <is>
          <t>21/03/2026</t>
        </is>
      </c>
      <c r="I5900" s="10" t="inlineStr">
        <is>
          <t>17/03/2026</t>
        </is>
      </c>
      <c r="J5900" s="10" t="inlineStr">
        <is>
          <t>Kế toán / Kiểm toán, Thương mại điện tử</t>
        </is>
      </c>
      <c r="K5900" s="10" t="inlineStr">
        <is>
          <t>Trên 2 Năm</t>
        </is>
      </c>
      <c r="L5900" s="11">
        <f>HYPERLINK("https://careerviet.vn/vi/tim-viec-lam/126852-account-executive-ec-mall-marketing-position-ec.35C66233.html","Xem chi tiết")</f>
        <v/>
      </c>
      <c r="M5900" s="10" t="n"/>
    </row>
    <row r="5901">
      <c r="B5901" s="7" t="n">
        <v>5899</v>
      </c>
      <c r="C5901" t="inlineStr">
        <is>
          <t>KỸ SƯ PQE</t>
        </is>
      </c>
      <c r="D5901" t="inlineStr">
        <is>
          <t>CÔNG TY TNHH ĐIỆN KHÍ QUỐC QUANG (VIỆT NAM)</t>
        </is>
      </c>
      <c r="E5901" t="inlineStr">
        <is>
          <t>Lương:Cạnh tranh</t>
        </is>
      </c>
      <c r="F5901" t="inlineStr">
        <is>
          <t>Quảng Nam</t>
        </is>
      </c>
      <c r="G5901" t="inlineStr">
        <is>
          <t>1</t>
        </is>
      </c>
      <c r="H5901" t="inlineStr">
        <is>
          <t>18/03/2026</t>
        </is>
      </c>
      <c r="I5901" t="inlineStr">
        <is>
          <t>17/03/2026</t>
        </is>
      </c>
      <c r="J5901" t="inlineStr">
        <is>
          <t>Điện / Điện tử / Điện lạnh / Điện công nghiệp, Sản xuất / Vận hành sản xuất</t>
        </is>
      </c>
      <c r="K5901" t="inlineStr">
        <is>
          <t>3 - 5 Năm</t>
        </is>
      </c>
      <c r="L5901" s="8">
        <f>HYPERLINK("https://careerviet.vn/vi/tim-viec-lam/ky-su-pqe.35C633B8.html","Xem chi tiết")</f>
        <v/>
      </c>
    </row>
    <row r="5902">
      <c r="B5902" s="9" t="n">
        <v>5900</v>
      </c>
      <c r="C5902" s="10" t="inlineStr">
        <is>
          <t>Giám Sát Xây Dựng</t>
        </is>
      </c>
      <c r="D5902" s="10" t="inlineStr">
        <is>
          <t>Công Ty Cổ Phần Xây Dựng Central</t>
        </is>
      </c>
      <c r="E5902" s="10" t="inlineStr">
        <is>
          <t>Lương:Cạnh tranh</t>
        </is>
      </c>
      <c r="F5902" s="10" t="inlineStr">
        <is>
          <t>Hà NộiHồ Chí Minh</t>
        </is>
      </c>
      <c r="G5902" s="10" t="inlineStr">
        <is>
          <t>4</t>
        </is>
      </c>
      <c r="H5902" s="10" t="inlineStr">
        <is>
          <t>21/03/2026</t>
        </is>
      </c>
      <c r="I5902" s="10" t="inlineStr">
        <is>
          <t>17/03/2026</t>
        </is>
      </c>
      <c r="J5902" s="10" t="inlineStr">
        <is>
          <t>Kiến trúc, Xây dựng</t>
        </is>
      </c>
      <c r="K5902" s="10" t="inlineStr">
        <is>
          <t>N/A</t>
        </is>
      </c>
      <c r="L5902" s="11">
        <f>HYPERLINK("https://careerviet.vn/vi/tim-viec-lam/giam-sat-xay-dung.35C661C9.html","Xem chi tiết")</f>
        <v/>
      </c>
      <c r="M5902" s="10" t="n"/>
    </row>
    <row r="5903">
      <c r="B5903" s="7" t="n">
        <v>5901</v>
      </c>
      <c r="C5903" t="inlineStr">
        <is>
          <t>Sales Inbound - MICE/Incentive</t>
        </is>
      </c>
      <c r="D5903" t="inlineStr">
        <is>
          <t>Công ty Easia Travel</t>
        </is>
      </c>
      <c r="E5903" t="inlineStr">
        <is>
          <t>Lương:Cạnh tranh</t>
        </is>
      </c>
      <c r="F5903" t="inlineStr">
        <is>
          <t>Hà Nội</t>
        </is>
      </c>
      <c r="G5903" t="inlineStr">
        <is>
          <t>4</t>
        </is>
      </c>
      <c r="H5903" t="inlineStr">
        <is>
          <t>21/03/2026</t>
        </is>
      </c>
      <c r="I5903" t="inlineStr">
        <is>
          <t>17/03/2026</t>
        </is>
      </c>
      <c r="J5903" t="inlineStr">
        <is>
          <t>Nhà hàng / Khách sạn, Du lịch</t>
        </is>
      </c>
      <c r="K5903" t="inlineStr">
        <is>
          <t>2 - 5 Năm</t>
        </is>
      </c>
      <c r="L5903" s="8">
        <f>HYPERLINK("https://careerviet.vn/vi/tim-viec-lam/sales-inbound-mice-incentive.35C6622D.html","Xem chi tiết")</f>
        <v/>
      </c>
    </row>
    <row r="5904">
      <c r="B5904" s="9" t="n">
        <v>5902</v>
      </c>
      <c r="C5904" s="10" t="inlineStr">
        <is>
          <t>[Hà Nội] Chuyên gia/Chuyên viên cao cấp Thiết kế đồ họa</t>
        </is>
      </c>
      <c r="D5904" s="10" t="inlineStr">
        <is>
          <t>Ngân hàng TMCP Lộc Phát Việt Nam (LPBank)</t>
        </is>
      </c>
      <c r="E5904" s="10" t="inlineStr">
        <is>
          <t>Lương:Cạnh tranh</t>
        </is>
      </c>
      <c r="F5904" s="10" t="inlineStr">
        <is>
          <t>Hà Nội</t>
        </is>
      </c>
      <c r="G5904" s="10" t="inlineStr">
        <is>
          <t>1</t>
        </is>
      </c>
      <c r="H5904" s="10" t="inlineStr">
        <is>
          <t>18/03/2026</t>
        </is>
      </c>
      <c r="I5904" s="10" t="inlineStr">
        <is>
          <t>17/03/2026</t>
        </is>
      </c>
      <c r="J5904" s="10" t="inlineStr">
        <is>
          <t>Ngân hàng, Quảng cáo / Đối ngoại / Truyền Thông, Truyền hình / Báo chí / Biên tập</t>
        </is>
      </c>
      <c r="K5904" s="10" t="inlineStr">
        <is>
          <t>5 - 7 Năm</t>
        </is>
      </c>
      <c r="L5904" s="11">
        <f>HYPERLINK("https://careerviet.vn/vi/tim-viec-lam/ha-noi-chuyen-gia-chuyen-vien-cao-cap-thiet-ke-do-hoa.35C63288.html","Xem chi tiết")</f>
        <v/>
      </c>
      <c r="M5904" s="10" t="n"/>
    </row>
    <row r="5905">
      <c r="B5905" s="7" t="n">
        <v>5903</v>
      </c>
      <c r="C5905" t="inlineStr">
        <is>
          <t>[CN Hoài Nhơn] Chuyên viên Hỗ trợ Vận hành (phân công công việc HTVH thuộc Hub TSBĐ)</t>
        </is>
      </c>
      <c r="D5905" t="inlineStr">
        <is>
          <t>Ngân hàng TMCP Lộc Phát Việt Nam (LPBank)</t>
        </is>
      </c>
      <c r="E5905" t="inlineStr">
        <is>
          <t>Lương:Cạnh tranh</t>
        </is>
      </c>
      <c r="F5905" t="inlineStr">
        <is>
          <t>Gia Lai</t>
        </is>
      </c>
      <c r="G5905" t="inlineStr">
        <is>
          <t>4</t>
        </is>
      </c>
      <c r="H5905" t="inlineStr">
        <is>
          <t>21/03/2026</t>
        </is>
      </c>
      <c r="I5905" t="inlineStr">
        <is>
          <t>17/03/2026</t>
        </is>
      </c>
      <c r="J5905" t="inlineStr">
        <is>
          <t>Ngân hàng</t>
        </is>
      </c>
      <c r="K5905" t="inlineStr">
        <is>
          <t>Trên 1 Năm</t>
        </is>
      </c>
      <c r="L5905" s="8">
        <f>HYPERLINK("https://careerviet.vn/vi/tim-viec-lam/cn-hoai-nhon-chuyen-vien-ho-tro-van-hanh-phan-cong-cong-viec-htvh-thuoc-hub-tsbd.35C6609A.html","Xem chi tiết")</f>
        <v/>
      </c>
    </row>
    <row r="5906">
      <c r="B5906" s="9" t="n">
        <v>5904</v>
      </c>
      <c r="C5906" s="10" t="inlineStr">
        <is>
          <t>CHỈ HUY TRƯỞNG (MẢNG CỌC KHOAN NHỒI)</t>
        </is>
      </c>
      <c r="D5906" s="10" t="inlineStr">
        <is>
          <t>CÔNG TY CỔ PHẦN FECON SOUTH</t>
        </is>
      </c>
      <c r="E5906" s="10" t="inlineStr">
        <is>
          <t>Lương:27 Tr - 35 Tr VND</t>
        </is>
      </c>
      <c r="F5906" s="10" t="inlineStr">
        <is>
          <t>Hồ Chí Minh</t>
        </is>
      </c>
      <c r="G5906" s="10" t="inlineStr">
        <is>
          <t>1</t>
        </is>
      </c>
      <c r="H5906" s="10" t="inlineStr">
        <is>
          <t>18/03/2026</t>
        </is>
      </c>
      <c r="I5906" s="10" t="inlineStr">
        <is>
          <t>17/03/2026</t>
        </is>
      </c>
      <c r="J5906" s="10" t="inlineStr">
        <is>
          <t>Quản lý điều hành, Quản lý chất lượng (QA/QC), Xây dựng</t>
        </is>
      </c>
      <c r="K5906" s="10" t="inlineStr">
        <is>
          <t>4 - 10 Năm</t>
        </is>
      </c>
      <c r="L5906" s="11">
        <f>HYPERLINK("https://careerviet.vn/vi/tim-viec-lam/chi-huy-truong-mang-coc-khoan-nhoi.35C63255.html","Xem chi tiết")</f>
        <v/>
      </c>
      <c r="M5906" s="10" t="n"/>
    </row>
    <row r="5907">
      <c r="B5907" s="7" t="n">
        <v>5905</v>
      </c>
      <c r="C5907" t="inlineStr">
        <is>
          <t>Nhân Viên Kinh Doanh Xăng Dầu</t>
        </is>
      </c>
      <c r="D5907" t="inlineStr">
        <is>
          <t>CÔNG TY CỔ PHẦN ĐẦU TƯ PHÁT TRIỂN CÔNG NGHIỆP - THƯƠNG MẠI CỦ CHI</t>
        </is>
      </c>
      <c r="E5907" t="inlineStr">
        <is>
          <t>Lương:Cạnh tranh</t>
        </is>
      </c>
      <c r="F5907" t="inlineStr">
        <is>
          <t>Hồ Chí Minh</t>
        </is>
      </c>
      <c r="G5907" t="inlineStr">
        <is>
          <t>1</t>
        </is>
      </c>
      <c r="H5907" t="inlineStr">
        <is>
          <t>18/03/2026</t>
        </is>
      </c>
      <c r="I5907" t="inlineStr">
        <is>
          <t>17/03/2026</t>
        </is>
      </c>
      <c r="J5907" t="inlineStr">
        <is>
          <t>Bán hàng / Kinh doanh, Tư vấn, Dầu khí</t>
        </is>
      </c>
      <c r="K5907" t="inlineStr">
        <is>
          <t>Trên 1 Năm</t>
        </is>
      </c>
      <c r="L5907" s="8">
        <f>HYPERLINK("https://careerviet.vn/vi/tim-viec-lam/nhan-vien-kinh-doanh-xang-dau.35C63419.html","Xem chi tiết")</f>
        <v/>
      </c>
    </row>
    <row r="5908">
      <c r="B5908" s="9" t="n">
        <v>5906</v>
      </c>
      <c r="C5908" s="10" t="inlineStr">
        <is>
          <t>Nhân Viên Kế Toán</t>
        </is>
      </c>
      <c r="D5908" s="10" t="inlineStr">
        <is>
          <t>Cty TNHH SX - TM Dược Phẩm Thành Nam</t>
        </is>
      </c>
      <c r="E5908" s="10" t="inlineStr">
        <is>
          <t>Lương:Cạnh tranh</t>
        </is>
      </c>
      <c r="F5908" s="10" t="inlineStr">
        <is>
          <t>Hồ Chí Minh</t>
        </is>
      </c>
      <c r="G5908" s="10" t="inlineStr">
        <is>
          <t>4</t>
        </is>
      </c>
      <c r="H5908" s="10" t="inlineStr">
        <is>
          <t>21/03/2026</t>
        </is>
      </c>
      <c r="I5908" s="10" t="inlineStr">
        <is>
          <t>17/03/2026</t>
        </is>
      </c>
      <c r="J5908" s="10" t="inlineStr">
        <is>
          <t>Hành chính / Thư ký, Nhân sự, Kế toán / Kiểm toán</t>
        </is>
      </c>
      <c r="K5908" s="10" t="inlineStr">
        <is>
          <t>1 - 2 Năm</t>
        </is>
      </c>
      <c r="L5908" s="11">
        <f>HYPERLINK("https://careerviet.vn/vi/tim-viec-lam/nhan-vien-ke-toan.35C66168.html","Xem chi tiết")</f>
        <v/>
      </c>
      <c r="M5908" s="10" t="n"/>
    </row>
    <row r="5909">
      <c r="B5909" s="7" t="n">
        <v>5907</v>
      </c>
      <c r="C5909" t="inlineStr">
        <is>
          <t>Kỹ sư Bảo trì cao cấp</t>
        </is>
      </c>
      <c r="D5909" t="inlineStr">
        <is>
          <t>VINFAST TRADING AND PRODUCTION JSC</t>
        </is>
      </c>
      <c r="E5909" t="inlineStr">
        <is>
          <t>Lương:Cạnh tranh</t>
        </is>
      </c>
      <c r="F5909" t="inlineStr">
        <is>
          <t>Hà Tĩnh</t>
        </is>
      </c>
      <c r="G5909" t="inlineStr">
        <is>
          <t>1</t>
        </is>
      </c>
      <c r="H5909" t="inlineStr">
        <is>
          <t>18/03/2026</t>
        </is>
      </c>
      <c r="I5909" t="inlineStr">
        <is>
          <t>17/03/2026</t>
        </is>
      </c>
      <c r="J5909" t="inlineStr">
        <is>
          <t>Sản xuất / Vận hành sản xuất</t>
        </is>
      </c>
      <c r="K5909" t="inlineStr">
        <is>
          <t>N/A</t>
        </is>
      </c>
      <c r="L5909" s="8">
        <f>HYPERLINK("https://careerviet.vn/vi/tim-viec-lam/ky-su-bao-tri-cao-cap.35C65DFC.html","Xem chi tiết")</f>
        <v/>
      </c>
    </row>
    <row r="5910">
      <c r="B5910" s="9" t="n">
        <v>5908</v>
      </c>
      <c r="C5910" s="10" t="inlineStr">
        <is>
          <t>CAM PROGRAMMING ENGINEER</t>
        </is>
      </c>
      <c r="D5910" s="10" t="inlineStr">
        <is>
          <t>CÔNG TY TNHH CARBORI MOLDS VIỆT NAM</t>
        </is>
      </c>
      <c r="E5910" s="10" t="inlineStr">
        <is>
          <t>Lương:Cạnh tranh</t>
        </is>
      </c>
      <c r="F5910" s="10" t="inlineStr">
        <is>
          <t>Đồng Nai</t>
        </is>
      </c>
      <c r="G5910" s="10" t="inlineStr">
        <is>
          <t>1</t>
        </is>
      </c>
      <c r="H5910" s="10" t="inlineStr">
        <is>
          <t>18/03/2026</t>
        </is>
      </c>
      <c r="I5910" s="10" t="inlineStr">
        <is>
          <t>17/03/2026</t>
        </is>
      </c>
      <c r="J5910" s="10" t="inlineStr">
        <is>
          <t>Cơ khí / Ô tô / Tự động hóa, Điện / Điện tử / Điện lạnh / Điện công nghiệp, Quản lý chất lượng (QA/QC)</t>
        </is>
      </c>
      <c r="K5910" s="10" t="inlineStr">
        <is>
          <t>3 - 5 Năm</t>
        </is>
      </c>
      <c r="L5910" s="11">
        <f>HYPERLINK("https://careerviet.vn/vi/tim-viec-lam/cam-programming-engineer.35C6335B.html","Xem chi tiết")</f>
        <v/>
      </c>
      <c r="M5910" s="10" t="n"/>
    </row>
    <row r="5911">
      <c r="B5911" s="7" t="n">
        <v>5909</v>
      </c>
      <c r="C5911" t="inlineStr">
        <is>
          <t>Nhân viên QA/QC</t>
        </is>
      </c>
      <c r="D5911" t="inlineStr">
        <is>
          <t>Saf Viet - JV Between French And Vietnam</t>
        </is>
      </c>
      <c r="E5911" t="inlineStr">
        <is>
          <t>Lương:Cạnh tranh</t>
        </is>
      </c>
      <c r="F5911" t="inlineStr">
        <is>
          <t>Long An</t>
        </is>
      </c>
      <c r="G5911" t="inlineStr">
        <is>
          <t>1</t>
        </is>
      </c>
      <c r="H5911" t="inlineStr">
        <is>
          <t>18/03/2026</t>
        </is>
      </c>
      <c r="I5911" t="inlineStr">
        <is>
          <t>17/03/2026</t>
        </is>
      </c>
      <c r="J5911" t="inlineStr">
        <is>
          <t>Công nghệ thực phẩm / Dinh dưỡng, Ngành khác</t>
        </is>
      </c>
      <c r="K5911" t="inlineStr">
        <is>
          <t>1 - 5 Năm</t>
        </is>
      </c>
      <c r="L5911" s="8">
        <f>HYPERLINK("https://careerviet.vn/vi/tim-viec-lam/nhan-vien-qa-qc.35C63380.html","Xem chi tiết")</f>
        <v/>
      </c>
    </row>
    <row r="5912">
      <c r="B5912" s="9" t="n">
        <v>5910</v>
      </c>
      <c r="C5912" s="10" t="inlineStr">
        <is>
          <t>Thư Ký Kinh Doanh</t>
        </is>
      </c>
      <c r="D5912" s="10" t="inlineStr">
        <is>
          <t>Công Ty Cổ Phần Kinh Doanh và Đầu Tư Đất Xanh Miền Trung</t>
        </is>
      </c>
      <c r="E5912" s="10" t="inlineStr">
        <is>
          <t>Lương:12 Tr - 18 Tr VND</t>
        </is>
      </c>
      <c r="F5912" s="10" t="inlineStr">
        <is>
          <t>Đà Nẵng</t>
        </is>
      </c>
      <c r="G5912" s="10" t="inlineStr">
        <is>
          <t>1</t>
        </is>
      </c>
      <c r="H5912" s="10" t="inlineStr">
        <is>
          <t>18/03/2026</t>
        </is>
      </c>
      <c r="I5912" s="10" t="inlineStr">
        <is>
          <t>17/03/2026</t>
        </is>
      </c>
      <c r="J5912" s="10" t="inlineStr">
        <is>
          <t>Bất động sản, Hành chính / Thư ký, Bán hàng / Kinh doanh</t>
        </is>
      </c>
      <c r="K5912" s="10" t="inlineStr">
        <is>
          <t>2 - 3 Năm</t>
        </is>
      </c>
      <c r="L5912" s="11">
        <f>HYPERLINK("https://careerviet.vn/vi/tim-viec-lam/thu-ky-kinh-doanh.35C61D6D.html","Xem chi tiết")</f>
        <v/>
      </c>
      <c r="M5912" s="10" t="n"/>
    </row>
    <row r="5913">
      <c r="B5913" s="7" t="n">
        <v>5911</v>
      </c>
      <c r="C5913" t="inlineStr">
        <is>
          <t>Nhân viên chăm sóc khách hàng (Mỹ phẩm)</t>
        </is>
      </c>
      <c r="D5913" t="inlineStr">
        <is>
          <t>ONE GROUP</t>
        </is>
      </c>
      <c r="E5913" t="inlineStr">
        <is>
          <t>Lương:6 Tr - 8 Tr VND</t>
        </is>
      </c>
      <c r="F5913" t="inlineStr">
        <is>
          <t>Hồ Chí Minh</t>
        </is>
      </c>
      <c r="G5913" t="inlineStr">
        <is>
          <t>1</t>
        </is>
      </c>
      <c r="H5913" t="inlineStr">
        <is>
          <t>18/03/2026</t>
        </is>
      </c>
      <c r="I5913" t="inlineStr">
        <is>
          <t>17/03/2026</t>
        </is>
      </c>
      <c r="J5913" t="inlineStr">
        <is>
          <t>Bán lẻ / Bán sỉ, Thương mại điện tử, Dịch vụ khách hàng</t>
        </is>
      </c>
      <c r="K5913" t="inlineStr">
        <is>
          <t>Lên đến 1 Năm</t>
        </is>
      </c>
      <c r="L5913" s="8">
        <f>HYPERLINK("https://careerviet.vn/vi/tim-viec-lam/nhan-vien-cham-soc-khach-hang-my-pham.35C6328D.html","Xem chi tiết")</f>
        <v/>
      </c>
    </row>
    <row r="5914">
      <c r="B5914" s="9" t="n">
        <v>5912</v>
      </c>
      <c r="C5914" s="10" t="inlineStr">
        <is>
          <t>CHUYÊN VIÊN TƯ VẤN DỊCH VỤ</t>
        </is>
      </c>
      <c r="D5914" s="10" t="inlineStr">
        <is>
          <t>Công ty Cổ phần Kim Long Motor Huế</t>
        </is>
      </c>
      <c r="E5914" s="10" t="inlineStr">
        <is>
          <t>Lương:Cạnh tranh</t>
        </is>
      </c>
      <c r="F5914" s="10" t="inlineStr">
        <is>
          <t>Thừa Thiên- Huế</t>
        </is>
      </c>
      <c r="G5914" s="10" t="inlineStr">
        <is>
          <t>1</t>
        </is>
      </c>
      <c r="H5914" s="10" t="inlineStr">
        <is>
          <t>18/03/2026</t>
        </is>
      </c>
      <c r="I5914" s="10" t="inlineStr">
        <is>
          <t>17/03/2026</t>
        </is>
      </c>
      <c r="J5914" s="10" t="inlineStr">
        <is>
          <t>Cơ khí / Ô tô / Tự động hóa</t>
        </is>
      </c>
      <c r="K5914" s="10" t="inlineStr">
        <is>
          <t>Trên 2 Năm</t>
        </is>
      </c>
      <c r="L5914" s="11">
        <f>HYPERLINK("https://careerviet.vn/vi/tim-viec-lam/chuyen-vien-tu-van-dich-vu.35C63239.html","Xem chi tiết")</f>
        <v/>
      </c>
      <c r="M5914" s="10" t="n"/>
    </row>
    <row r="5915">
      <c r="B5915" s="7" t="n">
        <v>5913</v>
      </c>
      <c r="C5915" t="inlineStr">
        <is>
          <t>Kỹ sư Cơ khí</t>
        </is>
      </c>
      <c r="D5915" t="inlineStr">
        <is>
          <t>Phan Bách Refrigeration JSC</t>
        </is>
      </c>
      <c r="E5915" t="inlineStr">
        <is>
          <t>Lương:10 Tr - 20 Tr VND</t>
        </is>
      </c>
      <c r="F5915" t="inlineStr">
        <is>
          <t>Long An</t>
        </is>
      </c>
      <c r="G5915" t="inlineStr">
        <is>
          <t>1</t>
        </is>
      </c>
      <c r="H5915" t="inlineStr">
        <is>
          <t>18/03/2026</t>
        </is>
      </c>
      <c r="I5915" t="inlineStr">
        <is>
          <t>17/03/2026</t>
        </is>
      </c>
      <c r="J5915" t="inlineStr">
        <is>
          <t>Cơ khí / Ô tô / Tự động hóa, Điện / Điện tử / Điện lạnh / Điện công nghiệp, Bảo trì / Sửa chữa</t>
        </is>
      </c>
      <c r="K5915" t="inlineStr">
        <is>
          <t>Lên đến 1 Năm</t>
        </is>
      </c>
      <c r="L5915" s="8">
        <f>HYPERLINK("https://careerviet.vn/vi/tim-viec-lam/ky-su-co-khi.35C633B6.html","Xem chi tiết")</f>
        <v/>
      </c>
    </row>
    <row r="5916">
      <c r="B5916" s="9" t="n">
        <v>5914</v>
      </c>
      <c r="C5916" s="10" t="inlineStr">
        <is>
          <t>Phó Phòng Nhân Sự  (Tiếng Nhật)</t>
        </is>
      </c>
      <c r="D5916" s="10" t="inlineStr">
        <is>
          <t>Công Ty TNHH Nidec Advanced Motor (Việt Nam)</t>
        </is>
      </c>
      <c r="E5916" s="10" t="inlineStr">
        <is>
          <t>Lương:Cạnh tranh</t>
        </is>
      </c>
      <c r="F5916" s="10" t="inlineStr">
        <is>
          <t>Hồ Chí Minh</t>
        </is>
      </c>
      <c r="G5916" s="10" t="inlineStr">
        <is>
          <t>1</t>
        </is>
      </c>
      <c r="H5916" s="10" t="inlineStr">
        <is>
          <t>18/03/2026</t>
        </is>
      </c>
      <c r="I5916" s="10" t="inlineStr">
        <is>
          <t>17/03/2026</t>
        </is>
      </c>
      <c r="J5916" s="10" t="inlineStr">
        <is>
          <t>Sản xuất / Vận hành sản xuất, Nhân sự</t>
        </is>
      </c>
      <c r="K5916" s="10" t="inlineStr">
        <is>
          <t>3 - 5 Năm</t>
        </is>
      </c>
      <c r="L5916" s="11">
        <f>HYPERLINK("https://careerviet.vn/vi/tim-viec-lam/pho-phong-nhan-su-tieng-nhat.35C6325B.html","Xem chi tiết")</f>
        <v/>
      </c>
      <c r="M5916" s="10" t="n"/>
    </row>
    <row r="5917">
      <c r="B5917" s="7" t="n">
        <v>5915</v>
      </c>
      <c r="C5917" t="inlineStr">
        <is>
          <t>MEASUREMENT ENGINEER</t>
        </is>
      </c>
      <c r="D5917" t="inlineStr">
        <is>
          <t>CÔNG TY TNHH CARBORI MOLDS VIỆT NAM</t>
        </is>
      </c>
      <c r="E5917" t="inlineStr">
        <is>
          <t>Lương:Cạnh tranh</t>
        </is>
      </c>
      <c r="F5917" t="inlineStr">
        <is>
          <t>Đồng Nai</t>
        </is>
      </c>
      <c r="G5917" t="inlineStr">
        <is>
          <t>1</t>
        </is>
      </c>
      <c r="H5917" t="inlineStr">
        <is>
          <t>18/03/2026</t>
        </is>
      </c>
      <c r="I5917" t="inlineStr">
        <is>
          <t>17/03/2026</t>
        </is>
      </c>
      <c r="J5917" t="inlineStr">
        <is>
          <t>Cơ khí / Ô tô / Tự động hóa, Điện / Điện tử / Điện lạnh / Điện công nghiệp, Quản lý chất lượng (QA/QC)</t>
        </is>
      </c>
      <c r="K5917" t="inlineStr">
        <is>
          <t>3 - 5 Năm</t>
        </is>
      </c>
      <c r="L5917" s="8">
        <f>HYPERLINK("https://careerviet.vn/vi/tim-viec-lam/measurement-engineer.35C6335A.html","Xem chi tiết")</f>
        <v/>
      </c>
    </row>
    <row r="5918">
      <c r="B5918" s="9" t="n">
        <v>5916</v>
      </c>
      <c r="C5918" s="10" t="inlineStr">
        <is>
          <t>Trưởng Khoa Dược - Vinmec Riverside</t>
        </is>
      </c>
      <c r="D5918" s="10" t="inlineStr">
        <is>
          <t>Công ty CP Bệnh Viện Đa Khoa Quốc Tế Vinmec</t>
        </is>
      </c>
      <c r="E5918" s="10" t="inlineStr">
        <is>
          <t>Lương:30 Tr - 50 Tr VND</t>
        </is>
      </c>
      <c r="F5918" s="10" t="inlineStr">
        <is>
          <t>Hà Nội</t>
        </is>
      </c>
      <c r="G5918" s="10" t="inlineStr">
        <is>
          <t>1</t>
        </is>
      </c>
      <c r="H5918" s="10" t="inlineStr">
        <is>
          <t>18/03/2026</t>
        </is>
      </c>
      <c r="I5918" s="10" t="inlineStr">
        <is>
          <t>17/03/2026</t>
        </is>
      </c>
      <c r="J5918" s="10" t="inlineStr">
        <is>
          <t>Dược phẩm/ Hóa Mỹ Phẩm, Y tế / Chăm sóc sức khỏe / Thẩm mỹ / Làm đẹp</t>
        </is>
      </c>
      <c r="K5918" s="10" t="inlineStr">
        <is>
          <t>5 - 10 Năm</t>
        </is>
      </c>
      <c r="L5918" s="11">
        <f>HYPERLINK("https://careerviet.vn/vi/tim-viec-lam/truong-khoa-duoc-vinmec-riverside.35C65E4A.html","Xem chi tiết")</f>
        <v/>
      </c>
      <c r="M5918" s="10" t="n"/>
    </row>
    <row r="5919">
      <c r="B5919" s="7" t="n">
        <v>5917</v>
      </c>
      <c r="C5919" t="inlineStr">
        <is>
          <t>CHUYÊN VIÊN THIẾT KẾ MARKETING</t>
        </is>
      </c>
      <c r="D5919" t="inlineStr">
        <is>
          <t>TBS Land- Công ty Cổ Phần Đầu Tư Thái Bình</t>
        </is>
      </c>
      <c r="E5919" t="inlineStr">
        <is>
          <t>Lương:Cạnh tranh</t>
        </is>
      </c>
      <c r="F5919" t="inlineStr">
        <is>
          <t>Bình Dương</t>
        </is>
      </c>
      <c r="G5919" t="inlineStr">
        <is>
          <t>1</t>
        </is>
      </c>
      <c r="H5919" t="inlineStr">
        <is>
          <t>18/03/2026</t>
        </is>
      </c>
      <c r="I5919" t="inlineStr">
        <is>
          <t>17/03/2026</t>
        </is>
      </c>
      <c r="J5919" t="inlineStr">
        <is>
          <t>Mỹ thuật / Nghệ thuật / Thiết kế</t>
        </is>
      </c>
      <c r="K5919" t="inlineStr">
        <is>
          <t>1 - 3 Năm</t>
        </is>
      </c>
      <c r="L5919" s="8">
        <f>HYPERLINK("https://careerviet.vn/vi/tim-viec-lam/chuyen-vien-thiet-ke-marketing.35C65E21.html","Xem chi tiết")</f>
        <v/>
      </c>
    </row>
    <row r="5920">
      <c r="B5920" s="9" t="n">
        <v>5918</v>
      </c>
      <c r="C5920" s="10" t="inlineStr">
        <is>
          <t>Trưởng phòng Logistics</t>
        </is>
      </c>
      <c r="D5920" s="10" t="inlineStr">
        <is>
          <t>Tập Đoàn Kim Tín</t>
        </is>
      </c>
      <c r="E5920" s="10" t="inlineStr">
        <is>
          <t>Lương:30 Tr - 35 Tr VND</t>
        </is>
      </c>
      <c r="F5920" s="10" t="inlineStr">
        <is>
          <t>Long An</t>
        </is>
      </c>
      <c r="G5920" s="10" t="inlineStr">
        <is>
          <t>1</t>
        </is>
      </c>
      <c r="H5920" s="10" t="inlineStr">
        <is>
          <t>18/03/2026</t>
        </is>
      </c>
      <c r="I5920" s="10" t="inlineStr">
        <is>
          <t>17/03/2026</t>
        </is>
      </c>
      <c r="J5920" s="10" t="inlineStr">
        <is>
          <t>Cơ khí / Ô tô / Tự động hóa, Sản xuất / Vận hành sản xuất, Tài chính / Đầu tư</t>
        </is>
      </c>
      <c r="K5920" s="10" t="inlineStr">
        <is>
          <t>3 - 5 Năm</t>
        </is>
      </c>
      <c r="L5920" s="11">
        <f>HYPERLINK("https://careerviet.vn/vi/tim-viec-lam/truong-phong-logistics.35C63260.html","Xem chi tiết")</f>
        <v/>
      </c>
      <c r="M5920" s="10" t="n"/>
    </row>
    <row r="5921">
      <c r="B5921" s="7" t="n">
        <v>5919</v>
      </c>
      <c r="C5921" t="inlineStr">
        <is>
          <t>Chuyên viên QS văn phòng</t>
        </is>
      </c>
      <c r="D5921" t="inlineStr">
        <is>
          <t>Công Ty TNHH Đầu Tư Xây Dựng &amp; Công Nghệ Môi Trường Dương Nhật</t>
        </is>
      </c>
      <c r="E5921" t="inlineStr">
        <is>
          <t>Lương:18 Tr - 26 Tr VND</t>
        </is>
      </c>
      <c r="F5921" t="inlineStr">
        <is>
          <t>Hồ Chí Minh</t>
        </is>
      </c>
      <c r="G5921" t="inlineStr">
        <is>
          <t>1</t>
        </is>
      </c>
      <c r="H5921" t="inlineStr">
        <is>
          <t>18/03/2026</t>
        </is>
      </c>
      <c r="I5921" t="inlineStr">
        <is>
          <t>17/03/2026</t>
        </is>
      </c>
      <c r="J5921" t="inlineStr">
        <is>
          <t>Xây dựng, Bất động sản</t>
        </is>
      </c>
      <c r="K5921" t="inlineStr">
        <is>
          <t>4 - 10 Năm</t>
        </is>
      </c>
      <c r="L5921" s="8">
        <f>HYPERLINK("https://careerviet.vn/vi/tim-viec-lam/chuyen-vien-qs-van-phong.35C65DF7.html","Xem chi tiết")</f>
        <v/>
      </c>
    </row>
    <row r="5922">
      <c r="B5922" s="9" t="n">
        <v>5920</v>
      </c>
      <c r="C5922" s="10" t="inlineStr">
        <is>
          <t>Chuyên viên cao cấp Xử lý nợ Ngoại Bảng</t>
        </is>
      </c>
      <c r="D5922" s="10" t="inlineStr">
        <is>
          <t>Ngân Hàng TMCP Quốc Tế Việt Nam</t>
        </is>
      </c>
      <c r="E5922" s="10" t="inlineStr">
        <is>
          <t>Lương:Cạnh tranh</t>
        </is>
      </c>
      <c r="F5922" s="10" t="inlineStr">
        <is>
          <t>Quảng NinhVĩnh PhúcThừa Thiên- Huế</t>
        </is>
      </c>
      <c r="G5922" s="10" t="inlineStr">
        <is>
          <t>1</t>
        </is>
      </c>
      <c r="H5922" s="10" t="inlineStr">
        <is>
          <t>18/03/2026</t>
        </is>
      </c>
      <c r="I5922" s="10" t="inlineStr">
        <is>
          <t>17/03/2026</t>
        </is>
      </c>
      <c r="J5922" s="10" t="inlineStr">
        <is>
          <t>Luật / Pháp lý, Ngân hàng, Tài chính / Đầu tư</t>
        </is>
      </c>
      <c r="K5922" s="10" t="inlineStr">
        <is>
          <t>1 - 20 Năm</t>
        </is>
      </c>
      <c r="L5922" s="11">
        <f>HYPERLINK("https://careerviet.vn/vi/tim-viec-lam/chuyen-vien-cao-cap-xu-ly-no-ngoai-bang.35C65DE5.html","Xem chi tiết")</f>
        <v/>
      </c>
      <c r="M5922" s="10" t="n"/>
    </row>
    <row r="5923">
      <c r="B5923" s="7" t="n">
        <v>5921</v>
      </c>
      <c r="C5923" t="inlineStr">
        <is>
          <t>Trưởng nhóm vận hành Tiktok/Sàn thương mại/Social</t>
        </is>
      </c>
      <c r="D5923" t="inlineStr">
        <is>
          <t>Công ty Cổ phần Thời Trang YODY</t>
        </is>
      </c>
      <c r="E5923" t="inlineStr">
        <is>
          <t>Lương:Cạnh tranh</t>
        </is>
      </c>
      <c r="F5923" t="inlineStr">
        <is>
          <t>Hà Nội</t>
        </is>
      </c>
      <c r="G5923" t="inlineStr">
        <is>
          <t>1</t>
        </is>
      </c>
      <c r="H5923" t="inlineStr">
        <is>
          <t>18/03/2026</t>
        </is>
      </c>
      <c r="I5923" t="inlineStr">
        <is>
          <t>17/03/2026</t>
        </is>
      </c>
      <c r="J5923" t="inlineStr">
        <is>
          <t>Bán hàng / Kinh doanh, Tiếp thị trực tuyến, Thương mại điện tử</t>
        </is>
      </c>
      <c r="K5923" t="inlineStr">
        <is>
          <t>2 - 3 Năm</t>
        </is>
      </c>
      <c r="L5923" s="8">
        <f>HYPERLINK("https://careerviet.vn/vi/tim-viec-lam/truong-nhom-van-hanh-tiktok-san-thuong-mai-social.35C63340.html","Xem chi tiết")</f>
        <v/>
      </c>
    </row>
    <row r="5924">
      <c r="B5924" s="9" t="n">
        <v>5922</v>
      </c>
      <c r="C5924" s="10" t="inlineStr">
        <is>
          <t>nhân viên kinh doanh thủy sản</t>
        </is>
      </c>
      <c r="D5924" s="10" t="inlineStr">
        <is>
          <t>Công Ty TNHH Thương Mại Sản Xuất Hoàng Cầm</t>
        </is>
      </c>
      <c r="E5924" s="10" t="inlineStr">
        <is>
          <t>Lương:15 Tr - 25 Tr VND</t>
        </is>
      </c>
      <c r="F5924" s="10" t="inlineStr">
        <is>
          <t>Hồ Chí Minh</t>
        </is>
      </c>
      <c r="G5924" s="10" t="inlineStr">
        <is>
          <t>1</t>
        </is>
      </c>
      <c r="H5924" s="10" t="inlineStr">
        <is>
          <t>18/03/2026</t>
        </is>
      </c>
      <c r="I5924" s="10" t="inlineStr">
        <is>
          <t>17/03/2026</t>
        </is>
      </c>
      <c r="J5924" s="10" t="inlineStr">
        <is>
          <t>Bán lẻ / Bán sỉ, Bán hàng / Kinh doanh, Thương mại điện tử</t>
        </is>
      </c>
      <c r="K5924" s="10" t="inlineStr">
        <is>
          <t>Trên 1 Năm</t>
        </is>
      </c>
      <c r="L5924" s="11">
        <f>HYPERLINK("https://careerviet.vn/vi/tim-viec-lam/nhan-vien-kinh-doanh-thuy-san.35C64F3C.html","Xem chi tiết")</f>
        <v/>
      </c>
      <c r="M5924" s="10" t="n"/>
    </row>
    <row r="5925">
      <c r="B5925" s="7" t="n">
        <v>5923</v>
      </c>
      <c r="C5925" t="inlineStr">
        <is>
          <t>TRƯỞNG NHÓM KHO NGUYÊN VẬT LIỆU</t>
        </is>
      </c>
      <c r="D5925" t="inlineStr">
        <is>
          <t>VINFAST TRADING AND PRODUCTION JSC</t>
        </is>
      </c>
      <c r="E5925" t="inlineStr">
        <is>
          <t>Lương:Cạnh tranh</t>
        </is>
      </c>
      <c r="F5925" t="inlineStr">
        <is>
          <t>Hà Tĩnh</t>
        </is>
      </c>
      <c r="G5925" t="inlineStr">
        <is>
          <t>1</t>
        </is>
      </c>
      <c r="H5925" t="inlineStr">
        <is>
          <t>18/03/2026</t>
        </is>
      </c>
      <c r="I5925" t="inlineStr">
        <is>
          <t>17/03/2026</t>
        </is>
      </c>
      <c r="J5925" t="inlineStr">
        <is>
          <t>Vận chuyển / Giao nhận / Kho vận, Sản xuất / Vận hành sản xuất</t>
        </is>
      </c>
      <c r="K5925" t="inlineStr">
        <is>
          <t>3 - 5 Năm</t>
        </is>
      </c>
      <c r="L5925" s="8">
        <f>HYPERLINK("https://careerviet.vn/vi/tim-viec-lam/truong-nhom-kho-nguyen-vat-lieu.35C65E31.html","Xem chi tiết")</f>
        <v/>
      </c>
    </row>
    <row r="5926">
      <c r="B5926" s="9" t="n">
        <v>5924</v>
      </c>
      <c r="C5926" s="10" t="inlineStr">
        <is>
          <t>Chuyên Viên Khách Hàng Doanh Nghiệp - Khu Vực Hà Nội, Thái Bình, Quảng Ninh</t>
        </is>
      </c>
      <c r="D5926" s="10" t="inlineStr">
        <is>
          <t>NGÂN HÀNG TRÁCH NHIỆM HỮU HẠN MỘT THÀNH VIÊN VIỆT NAM HIỆN ĐẠI</t>
        </is>
      </c>
      <c r="E5926" s="10" t="inlineStr">
        <is>
          <t>Lương:Cạnh tranh</t>
        </is>
      </c>
      <c r="F5926" s="10" t="inlineStr">
        <is>
          <t>Thái BìnhHà NộiQuảng Ninh</t>
        </is>
      </c>
      <c r="G5926" s="10" t="inlineStr">
        <is>
          <t>1</t>
        </is>
      </c>
      <c r="H5926" s="10" t="inlineStr">
        <is>
          <t>18/03/2026</t>
        </is>
      </c>
      <c r="I5926" s="10" t="inlineStr">
        <is>
          <t>17/03/2026</t>
        </is>
      </c>
      <c r="J5926" s="10" t="inlineStr">
        <is>
          <t>Ngân hàng, Bán hàng / Kinh doanh</t>
        </is>
      </c>
      <c r="K5926" s="10" t="inlineStr">
        <is>
          <t>N/A</t>
        </is>
      </c>
      <c r="L5926" s="11">
        <f>HYPERLINK("https://careerviet.vn/vi/tim-viec-lam/chuyen-vien-khach-hang-doanh-nghiep-khu-vuc-ha-noi-thai-binh-quang-ninh.35C63368.html","Xem chi tiết")</f>
        <v/>
      </c>
      <c r="M5926" s="10" t="n"/>
    </row>
    <row r="5927">
      <c r="B5927" s="7" t="n">
        <v>5925</v>
      </c>
      <c r="C5927" t="inlineStr">
        <is>
          <t>Kỹ sư quy trình</t>
        </is>
      </c>
      <c r="D5927" t="inlineStr">
        <is>
          <t>VINFAST TRADING AND PRODUCTION JSC</t>
        </is>
      </c>
      <c r="E5927" t="inlineStr">
        <is>
          <t>Lương:Cạnh tranh</t>
        </is>
      </c>
      <c r="F5927" t="inlineStr">
        <is>
          <t>Hà Tĩnh</t>
        </is>
      </c>
      <c r="G5927" t="inlineStr">
        <is>
          <t>1</t>
        </is>
      </c>
      <c r="H5927" t="inlineStr">
        <is>
          <t>18/03/2026</t>
        </is>
      </c>
      <c r="I5927" t="inlineStr">
        <is>
          <t>17/03/2026</t>
        </is>
      </c>
      <c r="J5927" t="inlineStr">
        <is>
          <t>Sản xuất / Vận hành sản xuất</t>
        </is>
      </c>
      <c r="K5927" t="inlineStr">
        <is>
          <t>N/A</t>
        </is>
      </c>
      <c r="L5927" s="8">
        <f>HYPERLINK("https://careerviet.vn/vi/tim-viec-lam/ky-su-quy-trinh.35C65DF6.html","Xem chi tiết")</f>
        <v/>
      </c>
    </row>
    <row r="5928">
      <c r="B5928" s="9" t="n">
        <v>5926</v>
      </c>
      <c r="C5928" s="10" t="inlineStr">
        <is>
          <t>NHÂN VIÊN KHAI BÁO HẢI QUAN</t>
        </is>
      </c>
      <c r="D5928" s="10" t="inlineStr">
        <is>
          <t>CÔNG TY TNHH SẢN XUẤT GREAT LOTUS VIỆT NAM</t>
        </is>
      </c>
      <c r="E5928" s="10" t="inlineStr">
        <is>
          <t>Lương:Cạnh tranh</t>
        </is>
      </c>
      <c r="F5928" s="10" t="inlineStr">
        <is>
          <t>Bình Dương</t>
        </is>
      </c>
      <c r="G5928" s="10" t="inlineStr">
        <is>
          <t>1</t>
        </is>
      </c>
      <c r="H5928" s="10" t="inlineStr">
        <is>
          <t>18/03/2026</t>
        </is>
      </c>
      <c r="I5928" s="10" t="inlineStr">
        <is>
          <t>17/03/2026</t>
        </is>
      </c>
      <c r="J5928" s="10" t="inlineStr">
        <is>
          <t>Xuất nhập khẩu</t>
        </is>
      </c>
      <c r="K5928" s="10" t="inlineStr">
        <is>
          <t>3 - 5 Năm</t>
        </is>
      </c>
      <c r="L5928" s="11">
        <f>HYPERLINK("https://careerviet.vn/vi/tim-viec-lam/nhan-vien-khai-bao-hai-quan.35C65D2D.html","Xem chi tiết")</f>
        <v/>
      </c>
      <c r="M5928" s="10" t="n"/>
    </row>
    <row r="5929">
      <c r="B5929" s="7" t="n">
        <v>5927</v>
      </c>
      <c r="C5929" t="inlineStr">
        <is>
          <t>Liobank - CVCC Phát triển sản phẩm thẻ tín dụng</t>
        </is>
      </c>
      <c r="D5929" t="inlineStr">
        <is>
          <t>Ngân Hàng TMCP Phương Đông - OCB</t>
        </is>
      </c>
      <c r="E5929" t="inlineStr">
        <is>
          <t>Lương:Cạnh tranh</t>
        </is>
      </c>
      <c r="F5929" t="inlineStr">
        <is>
          <t>Hồ Chí Minh</t>
        </is>
      </c>
      <c r="G5929" t="inlineStr">
        <is>
          <t>1</t>
        </is>
      </c>
      <c r="H5929" t="inlineStr">
        <is>
          <t>18/03/2026</t>
        </is>
      </c>
      <c r="I5929" t="inlineStr">
        <is>
          <t>17/03/2026</t>
        </is>
      </c>
      <c r="J5929" t="inlineStr">
        <is>
          <t>Kế toán / Kiểm toán, Ngân hàng</t>
        </is>
      </c>
      <c r="K5929" t="inlineStr">
        <is>
          <t>2 - 5 Năm</t>
        </is>
      </c>
      <c r="L5929" s="8">
        <f>HYPERLINK("https://careerviet.vn/vi/tim-viec-lam/liobank-cvcc-phat-trien-san-pham-the-tin-dung.35C6334D.html","Xem chi tiết")</f>
        <v/>
      </c>
    </row>
    <row r="5930">
      <c r="B5930" s="9" t="n">
        <v>5928</v>
      </c>
      <c r="C5930" s="10" t="inlineStr">
        <is>
          <t>Giám đốc dịch vụ khách hàng  - RB - MSB - 1C208</t>
        </is>
      </c>
      <c r="D5930" s="10" t="inlineStr">
        <is>
          <t>Ngân hàng Thương mại Cổ phần Hàng Hải Việt Nam (MSB)</t>
        </is>
      </c>
      <c r="E5930" s="10" t="inlineStr">
        <is>
          <t>Lương:Cạnh tranh</t>
        </is>
      </c>
      <c r="F5930" s="10" t="inlineStr">
        <is>
          <t>Bắc Ninh</t>
        </is>
      </c>
      <c r="G5930" s="10" t="inlineStr">
        <is>
          <t>1</t>
        </is>
      </c>
      <c r="H5930" s="10" t="inlineStr">
        <is>
          <t>18/03/2026</t>
        </is>
      </c>
      <c r="I5930" s="10" t="inlineStr">
        <is>
          <t>17/03/2026</t>
        </is>
      </c>
      <c r="J5930" s="10" t="inlineStr">
        <is>
          <t>Ngân hàng</t>
        </is>
      </c>
      <c r="K5930" s="10" t="inlineStr">
        <is>
          <t>Trên 1 Năm</t>
        </is>
      </c>
      <c r="L5930" s="11">
        <f>HYPERLINK("https://careerviet.vn/vi/tim-viec-lam/giam-doc-dich-vu-khach-hang-rb-msb-1c208.35C63285.html","Xem chi tiết")</f>
        <v/>
      </c>
      <c r="M5930" s="10" t="n"/>
    </row>
    <row r="5931">
      <c r="B5931" s="7" t="n">
        <v>5929</v>
      </c>
      <c r="C5931" t="inlineStr">
        <is>
          <t>Nhân viên nhân sự</t>
        </is>
      </c>
      <c r="D5931" t="inlineStr">
        <is>
          <t>Công ty Cổ phần Nhôm Việt Dũng</t>
        </is>
      </c>
      <c r="E5931" t="inlineStr">
        <is>
          <t>Lương:14 Tr - 15 Tr VND</t>
        </is>
      </c>
      <c r="F5931" t="inlineStr">
        <is>
          <t>Vĩnh PhúcHà Nội</t>
        </is>
      </c>
      <c r="G5931" t="inlineStr">
        <is>
          <t>1</t>
        </is>
      </c>
      <c r="H5931" t="inlineStr">
        <is>
          <t>18/03/2026</t>
        </is>
      </c>
      <c r="I5931" t="inlineStr">
        <is>
          <t>17/03/2026</t>
        </is>
      </c>
      <c r="J5931" t="inlineStr">
        <is>
          <t>Nhân sự, Quản lý điều hành, Hành chính / Thư ký</t>
        </is>
      </c>
      <c r="K5931" t="inlineStr">
        <is>
          <t>1 - 2 Năm</t>
        </is>
      </c>
      <c r="L5931" s="8">
        <f>HYPERLINK("https://careerviet.vn/vi/tim-viec-lam/nhan-vien-nhan-su.35C63248.html","Xem chi tiết")</f>
        <v/>
      </c>
    </row>
    <row r="5932">
      <c r="B5932" s="9" t="n">
        <v>5930</v>
      </c>
      <c r="C5932" s="10" t="inlineStr">
        <is>
          <t>Sales Executive / Nhân Viên Bán Hàng</t>
        </is>
      </c>
      <c r="D5932" s="10" t="inlineStr">
        <is>
          <t>CÔNG TY TNHH MATERIAL WORLD ASIA</t>
        </is>
      </c>
      <c r="E5932" s="10" t="inlineStr">
        <is>
          <t>Lương:Cạnh tranh</t>
        </is>
      </c>
      <c r="F5932" s="10" t="inlineStr">
        <is>
          <t>Hồ Chí Minh</t>
        </is>
      </c>
      <c r="G5932" s="10" t="inlineStr">
        <is>
          <t>31-03-2026</t>
        </is>
      </c>
      <c r="H5932" s="10" t="inlineStr">
        <is>
          <t>31/03/2026</t>
        </is>
      </c>
      <c r="I5932" s="10" t="inlineStr">
        <is>
          <t>17/03/2026</t>
        </is>
      </c>
      <c r="J5932" s="10" t="inlineStr">
        <is>
          <t>Bán hàng / Kinh doanh, Vận chuyển / Giao nhận / Kho vận, Bán Hàng Kỹ Thuật</t>
        </is>
      </c>
      <c r="K5932" s="10" t="inlineStr">
        <is>
          <t>2 Năm</t>
        </is>
      </c>
      <c r="L5932" s="11">
        <f>HYPERLINK("https://careerviet.vn/vi/tim-viec-lam/sales-executive-nhan-vien-ban-hang.35C68B2C.html","Xem chi tiết")</f>
        <v/>
      </c>
      <c r="M5932" s="10" t="n"/>
    </row>
    <row r="5933">
      <c r="B5933" s="7" t="n">
        <v>5931</v>
      </c>
      <c r="C5933" t="inlineStr">
        <is>
          <t>Kỹ sư kinh doanh thiết bị điện tự động hóa</t>
        </is>
      </c>
      <c r="D5933" t="inlineStr">
        <is>
          <t>CÔNG TY CỔ PHẦN TẬP ĐOÀN DAT</t>
        </is>
      </c>
      <c r="E5933" t="inlineStr">
        <is>
          <t>Lương:14 Tr - 17 Tr VND</t>
        </is>
      </c>
      <c r="F5933" t="inlineStr">
        <is>
          <t>Hồ Chí Minh</t>
        </is>
      </c>
      <c r="G5933" t="inlineStr">
        <is>
          <t>1</t>
        </is>
      </c>
      <c r="H5933" t="inlineStr">
        <is>
          <t>18/03/2026</t>
        </is>
      </c>
      <c r="I5933" t="inlineStr">
        <is>
          <t>17/03/2026</t>
        </is>
      </c>
      <c r="J5933" t="inlineStr">
        <is>
          <t>Bán hàng / Kinh doanh, Cơ khí / Ô tô / Tự động hóa, Điện / Điện tử / Điện lạnh / Điện công nghiệp</t>
        </is>
      </c>
      <c r="K5933" t="inlineStr">
        <is>
          <t>1 - 2 Năm</t>
        </is>
      </c>
      <c r="L5933" s="8">
        <f>HYPERLINK("https://careerviet.vn/vi/tim-viec-lam/ky-su-kinh-doanh-thiet-bi-dien-tu-dong-hoa.35C65DE1.html","Xem chi tiết")</f>
        <v/>
      </c>
    </row>
    <row r="5934">
      <c r="B5934" s="9" t="n">
        <v>5932</v>
      </c>
      <c r="C5934" s="10" t="inlineStr">
        <is>
          <t>Kỹ Sư Thiết Kế Kết Cấu</t>
        </is>
      </c>
      <c r="D5934" s="10" t="inlineStr">
        <is>
          <t>Công Ty TNHH Đầu Tư Xây Dựng &amp; Công Nghệ Môi Trường Dương Nhật</t>
        </is>
      </c>
      <c r="E5934" s="10" t="inlineStr">
        <is>
          <t>Lương:20 Tr - 27 Tr VND</t>
        </is>
      </c>
      <c r="F5934" s="10" t="inlineStr">
        <is>
          <t>Hồ Chí Minh</t>
        </is>
      </c>
      <c r="G5934" s="10" t="inlineStr">
        <is>
          <t>1</t>
        </is>
      </c>
      <c r="H5934" s="10" t="inlineStr">
        <is>
          <t>18/03/2026</t>
        </is>
      </c>
      <c r="I5934" s="10" t="inlineStr">
        <is>
          <t>17/03/2026</t>
        </is>
      </c>
      <c r="J5934" s="10" t="inlineStr">
        <is>
          <t>Môi trường, Kiến trúc, Xây dựng</t>
        </is>
      </c>
      <c r="K5934" s="10" t="inlineStr">
        <is>
          <t>3 - 5 Năm</t>
        </is>
      </c>
      <c r="L5934" s="11">
        <f>HYPERLINK("https://careerviet.vn/vi/tim-viec-lam/ky-su-thiet-ke-ket-cau.35C65DFA.html","Xem chi tiết")</f>
        <v/>
      </c>
      <c r="M5934" s="10" t="n"/>
    </row>
    <row r="5935">
      <c r="B5935" s="7" t="n">
        <v>5933</v>
      </c>
      <c r="C5935" t="inlineStr">
        <is>
          <t>(Q2) Sale Admin</t>
        </is>
      </c>
      <c r="D5935" t="inlineStr">
        <is>
          <t>Viet Han Concrete JSC.,</t>
        </is>
      </c>
      <c r="E5935" t="inlineStr">
        <is>
          <t>Lương:10 Tr - 12 Tr VND</t>
        </is>
      </c>
      <c r="F5935" t="inlineStr">
        <is>
          <t>Hồ Chí Minh</t>
        </is>
      </c>
      <c r="G5935" t="inlineStr">
        <is>
          <t>2</t>
        </is>
      </c>
      <c r="H5935" t="inlineStr">
        <is>
          <t>19/03/2026</t>
        </is>
      </c>
      <c r="I5935" t="inlineStr">
        <is>
          <t>17/03/2026</t>
        </is>
      </c>
      <c r="J5935" t="inlineStr">
        <is>
          <t>Bán hàng / Kinh doanh, Hành chính / Thư ký, Xây dựng</t>
        </is>
      </c>
      <c r="K5935" t="inlineStr">
        <is>
          <t>1 - 3 Năm</t>
        </is>
      </c>
      <c r="L5935" s="8">
        <f>HYPERLINK("https://careerviet.vn/vi/tim-viec-lam/q2-sale-admin.35C68B9D.html","Xem chi tiết")</f>
        <v/>
      </c>
    </row>
    <row r="5936">
      <c r="B5936" s="9" t="n">
        <v>5934</v>
      </c>
      <c r="C5936" s="10" t="inlineStr">
        <is>
          <t>Java Developer (Midlevel/Senior/Lead)</t>
        </is>
      </c>
      <c r="D5936" s="10" t="inlineStr">
        <is>
          <t>Tổng Công ty Cổ phần Công trình Viettel</t>
        </is>
      </c>
      <c r="E5936" s="10" t="inlineStr">
        <is>
          <t>Lương:28 Tr - 35 Tr VND</t>
        </is>
      </c>
      <c r="F5936" s="10" t="inlineStr">
        <is>
          <t>Hà Nội</t>
        </is>
      </c>
      <c r="G5936" s="10" t="inlineStr">
        <is>
          <t>Hôm nay</t>
        </is>
      </c>
      <c r="H5936" s="10" t="inlineStr">
        <is>
          <t>17/03/2026</t>
        </is>
      </c>
      <c r="I5936" s="10" t="inlineStr">
        <is>
          <t>17/03/2026</t>
        </is>
      </c>
      <c r="J5936" s="10" t="inlineStr">
        <is>
          <t>Bưu chính viễn thông, CNTT - Phần cứng / Mạng, CNTT - Phần mềm</t>
        </is>
      </c>
      <c r="K5936" s="10" t="inlineStr">
        <is>
          <t>3 - 4 Năm</t>
        </is>
      </c>
      <c r="L5936" s="11">
        <f>HYPERLINK("https://careerviet.vn/vi/tim-viec-lam/java-developer-midlevel-senior-lead.35C6312F.html","Xem chi tiết")</f>
        <v/>
      </c>
      <c r="M5936" s="10" t="n"/>
    </row>
    <row r="5937">
      <c r="B5937" s="7" t="n">
        <v>5935</v>
      </c>
      <c r="C5937" t="inlineStr">
        <is>
          <t>Chuyên viên cao cấp Xử lý nợ Ngoại Bảng - Khu vực Hà Nội</t>
        </is>
      </c>
      <c r="D5937" t="inlineStr">
        <is>
          <t>Ngân Hàng TMCP Quốc Tế Việt Nam</t>
        </is>
      </c>
      <c r="E5937" t="inlineStr">
        <is>
          <t>Lương:Cạnh tranh</t>
        </is>
      </c>
      <c r="F5937" t="inlineStr">
        <is>
          <t>Hà Nội</t>
        </is>
      </c>
      <c r="G5937" t="inlineStr">
        <is>
          <t>1</t>
        </is>
      </c>
      <c r="H5937" t="inlineStr">
        <is>
          <t>18/03/2026</t>
        </is>
      </c>
      <c r="I5937" t="inlineStr">
        <is>
          <t>17/03/2026</t>
        </is>
      </c>
      <c r="J5937" t="inlineStr">
        <is>
          <t>Luật / Pháp lý, Ngân hàng, Tài chính / Đầu tư</t>
        </is>
      </c>
      <c r="K5937" t="inlineStr">
        <is>
          <t>1 - 20 Năm</t>
        </is>
      </c>
      <c r="L5937" s="8">
        <f>HYPERLINK("https://careerviet.vn/vi/tim-viec-lam/chuyen-vien-cao-cap-xu-ly-no-ngoai-bang-khu-vuc-ha-noi.35C65DE6.html","Xem chi tiết")</f>
        <v/>
      </c>
    </row>
    <row r="5938">
      <c r="B5938" s="9" t="n">
        <v>5936</v>
      </c>
      <c r="C5938" s="10" t="inlineStr">
        <is>
          <t>Kỹ thuật viên bảo trì</t>
        </is>
      </c>
      <c r="D5938" s="10" t="inlineStr">
        <is>
          <t>CÔNG TY TNHH ALLIED JOY ENTERPRISES VIỆT NAM</t>
        </is>
      </c>
      <c r="E5938" s="10" t="inlineStr">
        <is>
          <t>Lương:10 Tr - 20 Tr VND</t>
        </is>
      </c>
      <c r="F5938" s="10" t="inlineStr">
        <is>
          <t>Long AnHồ Chí Minh</t>
        </is>
      </c>
      <c r="G5938" s="10" t="inlineStr">
        <is>
          <t>Hôm nay</t>
        </is>
      </c>
      <c r="H5938" s="10" t="inlineStr">
        <is>
          <t>17/03/2026</t>
        </is>
      </c>
      <c r="I5938" s="10" t="inlineStr">
        <is>
          <t>17/03/2026</t>
        </is>
      </c>
      <c r="J5938" s="10" t="inlineStr">
        <is>
          <t>Cơ khí / Ô tô / Tự động hóa, Điện / Điện tử / Điện lạnh / Điện công nghiệp, Bảo trì / Sửa chữa</t>
        </is>
      </c>
      <c r="K5938" s="10" t="inlineStr">
        <is>
          <t>2 - 10 Năm</t>
        </is>
      </c>
      <c r="L5938" s="11">
        <f>HYPERLINK("https://careerviet.vn/vi/tim-viec-lam/ky-thuat-vien-bao-tri.35C630AB.html","Xem chi tiết")</f>
        <v/>
      </c>
      <c r="M5938" s="10" t="n"/>
    </row>
    <row r="5939">
      <c r="B5939" s="7" t="n">
        <v>5937</v>
      </c>
      <c r="C5939" t="inlineStr">
        <is>
          <t>AI Expert - Khối Công nghệ thông tin (HO25.529)</t>
        </is>
      </c>
      <c r="D5939" t="inlineStr">
        <is>
          <t>Ngân Hàng TMCP Quân Đội</t>
        </is>
      </c>
      <c r="E5939" t="inlineStr">
        <is>
          <t>Lương:Cạnh tranh</t>
        </is>
      </c>
      <c r="F5939" t="inlineStr">
        <is>
          <t>Hà Nội</t>
        </is>
      </c>
      <c r="G5939" t="inlineStr">
        <is>
          <t>Hôm nay</t>
        </is>
      </c>
      <c r="H5939" t="inlineStr">
        <is>
          <t>17/03/2026</t>
        </is>
      </c>
      <c r="I5939" t="inlineStr">
        <is>
          <t>17/03/2026</t>
        </is>
      </c>
      <c r="J5939" t="inlineStr">
        <is>
          <t>CNTT - Phần mềm, CNTT - Phần cứng / Mạng</t>
        </is>
      </c>
      <c r="K5939" t="inlineStr">
        <is>
          <t>Trên 3 Năm</t>
        </is>
      </c>
      <c r="L5939" s="8">
        <f>HYPERLINK("https://careerviet.vn/vi/tim-viec-lam/ai-expert-khoi-cong-nghe-thong-tin-ho25-529.35C6322B.html","Xem chi tiết")</f>
        <v/>
      </c>
    </row>
    <row r="5940">
      <c r="B5940" s="9" t="n">
        <v>5938</v>
      </c>
      <c r="C5940" s="10" t="inlineStr">
        <is>
          <t>Kỹ Sư Dự Toán (Shopdrawing)</t>
        </is>
      </c>
      <c r="D5940" s="10" t="inlineStr">
        <is>
          <t>CÔNG TY CP TẬP ĐOÀN VAS NGHI SƠN</t>
        </is>
      </c>
      <c r="E5940" s="10" t="inlineStr">
        <is>
          <t>Lương:Cạnh tranh</t>
        </is>
      </c>
      <c r="F5940" s="10" t="inlineStr">
        <is>
          <t>Hải Phòng</t>
        </is>
      </c>
      <c r="G5940" s="10" t="inlineStr">
        <is>
          <t>Hôm nay</t>
        </is>
      </c>
      <c r="H5940" s="10" t="inlineStr">
        <is>
          <t>16/03/2026</t>
        </is>
      </c>
      <c r="I5940" s="10" t="inlineStr">
        <is>
          <t>17/03/2026</t>
        </is>
      </c>
      <c r="J5940" s="10" t="inlineStr">
        <is>
          <t>Quản lý chất lượng (QA/QC), Xây dựng, Kiến trúc</t>
        </is>
      </c>
      <c r="K5940" s="10" t="inlineStr">
        <is>
          <t>1 - 3 Năm</t>
        </is>
      </c>
      <c r="L5940" s="11">
        <f>HYPERLINK("https://careerviet.vn/vi/tim-viec-lam/ky-su-du-toan-shopdrawing.35C631DF.html","Xem chi tiết")</f>
        <v/>
      </c>
      <c r="M5940" s="10" t="n"/>
    </row>
    <row r="5941">
      <c r="B5941" s="7" t="n">
        <v>5939</v>
      </c>
      <c r="C5941" t="inlineStr">
        <is>
          <t>Trưởng nhóm kiểm soát chất lượng xe thành phẩm</t>
        </is>
      </c>
      <c r="D5941" t="inlineStr">
        <is>
          <t>VINFAST TRADING AND PRODUCTION JSC</t>
        </is>
      </c>
      <c r="E5941" t="inlineStr">
        <is>
          <t>Lương:Cạnh tranh</t>
        </is>
      </c>
      <c r="F5941" t="inlineStr">
        <is>
          <t>Hà Tĩnh</t>
        </is>
      </c>
      <c r="G5941" t="inlineStr">
        <is>
          <t>Hôm nay</t>
        </is>
      </c>
      <c r="H5941" t="inlineStr">
        <is>
          <t>17/03/2026</t>
        </is>
      </c>
      <c r="I5941" t="inlineStr">
        <is>
          <t>17/03/2026</t>
        </is>
      </c>
      <c r="J5941" t="inlineStr">
        <is>
          <t>Sản xuất / Vận hành sản xuất</t>
        </is>
      </c>
      <c r="K5941" t="inlineStr">
        <is>
          <t>3 - 5 Năm</t>
        </is>
      </c>
      <c r="L5941" s="8">
        <f>HYPERLINK("https://careerviet.vn/vi/tim-viec-lam/truong-nhom-kiem-soat-chat-luong-xe-thanh-pham.35C630C9.html","Xem chi tiết")</f>
        <v/>
      </c>
    </row>
    <row r="5942">
      <c r="B5942" s="9" t="n">
        <v>5940</v>
      </c>
      <c r="C5942" s="10" t="inlineStr">
        <is>
          <t>Nhân Viên Kỹ Thuật Điện</t>
        </is>
      </c>
      <c r="D5942" s="10" t="inlineStr">
        <is>
          <t>CÔNG TY CỔ PHẦN THÀNH PHỐ DU LỊCH SINH THÁI SƠN TIÊN</t>
        </is>
      </c>
      <c r="E5942" s="10" t="inlineStr">
        <is>
          <t>Lương:Cạnh tranh</t>
        </is>
      </c>
      <c r="F5942" s="10" t="inlineStr">
        <is>
          <t>Đồng Nai</t>
        </is>
      </c>
      <c r="G5942" s="10" t="inlineStr">
        <is>
          <t>Hôm nay</t>
        </is>
      </c>
      <c r="H5942" s="10" t="inlineStr">
        <is>
          <t>17/03/2026</t>
        </is>
      </c>
      <c r="I5942" s="10" t="inlineStr">
        <is>
          <t>17/03/2026</t>
        </is>
      </c>
      <c r="J5942" s="10" t="inlineStr">
        <is>
          <t>Nhân sự, Điện / Điện tử / Điện lạnh / Điện công nghiệp</t>
        </is>
      </c>
      <c r="K5942" s="10" t="inlineStr">
        <is>
          <t>Trên 2 Năm</t>
        </is>
      </c>
      <c r="L5942" s="11">
        <f>HYPERLINK("https://careerviet.vn/vi/tim-viec-lam/nhan-vien-ky-thuat-dien.35C63072.html","Xem chi tiết")</f>
        <v/>
      </c>
      <c r="M5942" s="10" t="n"/>
    </row>
    <row r="5943">
      <c r="B5943" s="7" t="n">
        <v>5941</v>
      </c>
      <c r="C5943" t="inlineStr">
        <is>
          <t>Phó phòng Khách hàng Doanh nghiệp - CN. Hải Hậu (CN25.316)</t>
        </is>
      </c>
      <c r="D5943" t="inlineStr">
        <is>
          <t>Ngân Hàng TMCP Quân Đội</t>
        </is>
      </c>
      <c r="E5943" t="inlineStr">
        <is>
          <t>Lương:Cạnh tranh</t>
        </is>
      </c>
      <c r="F5943" t="inlineStr">
        <is>
          <t>Nam ĐịnhNinh Bình</t>
        </is>
      </c>
      <c r="G5943" t="inlineStr">
        <is>
          <t>Hôm nay</t>
        </is>
      </c>
      <c r="H5943" t="inlineStr">
        <is>
          <t>17/03/2026</t>
        </is>
      </c>
      <c r="I5943" t="inlineStr">
        <is>
          <t>17/03/2026</t>
        </is>
      </c>
      <c r="J5943" t="inlineStr">
        <is>
          <t>Ngân hàng, Bán hàng / Kinh doanh, Dịch vụ khách hàng</t>
        </is>
      </c>
      <c r="K5943" t="inlineStr">
        <is>
          <t>Trên 3 Năm</t>
        </is>
      </c>
      <c r="L5943" s="8">
        <f>HYPERLINK("https://careerviet.vn/vi/tim-viec-lam/pho-phong-khach-hang-doanh-nghiep-cn-hai-hau-cn25-316.35C63230.html","Xem chi tiết")</f>
        <v/>
      </c>
    </row>
    <row r="5944">
      <c r="B5944" s="9" t="n">
        <v>5942</v>
      </c>
      <c r="C5944" s="10" t="inlineStr">
        <is>
          <t>Quản Lý Cửa Hàng Levi's Hanoi Centre</t>
        </is>
      </c>
      <c r="D5944" s="10" t="inlineStr">
        <is>
          <t>CÔNG TY TNHH THỜI TRANG VÀ MỸ PHẨM ÂU CHÂU</t>
        </is>
      </c>
      <c r="E5944" s="10" t="inlineStr">
        <is>
          <t>Lương:10 Tr - 15 Tr VND</t>
        </is>
      </c>
      <c r="F5944" s="10" t="inlineStr">
        <is>
          <t>Hà Nội</t>
        </is>
      </c>
      <c r="G5944" s="10" t="inlineStr">
        <is>
          <t>Hôm nay</t>
        </is>
      </c>
      <c r="H5944" s="10" t="inlineStr">
        <is>
          <t>17/03/2026</t>
        </is>
      </c>
      <c r="I5944" s="10" t="inlineStr">
        <is>
          <t>17/03/2026</t>
        </is>
      </c>
      <c r="J5944" s="10" t="inlineStr">
        <is>
          <t>Bán hàng / Kinh doanh, Quản lý điều hành, Dệt may / Da giày / Thời trang</t>
        </is>
      </c>
      <c r="K5944" s="10" t="inlineStr">
        <is>
          <t>1 - 2 Năm</t>
        </is>
      </c>
      <c r="L5944" s="11">
        <f>HYPERLINK("https://careerviet.vn/vi/tim-viec-lam/quan-ly-cua-hang-levi-s-hanoi-centre.35C630AC.html","Xem chi tiết")</f>
        <v/>
      </c>
      <c r="M5944" s="10" t="n"/>
    </row>
    <row r="5945">
      <c r="B5945" s="7" t="n">
        <v>5943</v>
      </c>
      <c r="C5945" t="inlineStr">
        <is>
          <t>Chuyên viên phát triển kinh doanh và sản phẩm thẻ - Card Business Product Owner - Khối Ngân hàng số (HO25.523)</t>
        </is>
      </c>
      <c r="D5945" t="inlineStr">
        <is>
          <t>Ngân Hàng TMCP Quân Đội</t>
        </is>
      </c>
      <c r="E5945" t="inlineStr">
        <is>
          <t>Lương:Cạnh tranh</t>
        </is>
      </c>
      <c r="F5945" t="inlineStr">
        <is>
          <t>Hà Nội</t>
        </is>
      </c>
      <c r="G5945" t="inlineStr">
        <is>
          <t>Hôm nay</t>
        </is>
      </c>
      <c r="H5945" t="inlineStr">
        <is>
          <t>17/03/2026</t>
        </is>
      </c>
      <c r="I5945" t="inlineStr">
        <is>
          <t>17/03/2026</t>
        </is>
      </c>
      <c r="J5945" t="inlineStr">
        <is>
          <t>Ngân hàng, Bán hàng / Kinh doanh</t>
        </is>
      </c>
      <c r="K5945" t="inlineStr">
        <is>
          <t>Trên 1 Năm</t>
        </is>
      </c>
      <c r="L5945" s="8">
        <f>HYPERLINK("https://careerviet.vn/vi/tim-viec-lam/chuyen-vien-phat-trien-kinh-doanh-va-san-pham-the-card-business-product-owner-khoi-ngan-hang-so-ho25-523.35C6322F.html","Xem chi tiết")</f>
        <v/>
      </c>
    </row>
    <row r="5946">
      <c r="B5946" s="9" t="n">
        <v>5944</v>
      </c>
      <c r="C5946" s="10" t="inlineStr">
        <is>
          <t>Chuyên Viên Sáng Tạo Nội Dung Và Thiết Kế</t>
        </is>
      </c>
      <c r="D5946" s="10" t="inlineStr">
        <is>
          <t>NGÂN HÀNG TMCP NGOẠI THƯƠNG VIỆT NAM (VIETCOMBANK)</t>
        </is>
      </c>
      <c r="E5946" s="10" t="inlineStr">
        <is>
          <t>Lương:Cạnh tranh</t>
        </is>
      </c>
      <c r="F5946" s="10" t="inlineStr">
        <is>
          <t>Hà Nội</t>
        </is>
      </c>
      <c r="G5946" s="10" t="inlineStr">
        <is>
          <t>Hôm nay</t>
        </is>
      </c>
      <c r="H5946" s="10" t="inlineStr">
        <is>
          <t>17/03/2026</t>
        </is>
      </c>
      <c r="I5946" s="10" t="inlineStr">
        <is>
          <t>17/03/2026</t>
        </is>
      </c>
      <c r="J5946" s="10" t="inlineStr">
        <is>
          <t>Tiếp thị / Marketing, Truyền hình / Báo chí / Biên tập, Quảng cáo / Đối ngoại / Truyền Thông</t>
        </is>
      </c>
      <c r="K5946" s="10" t="inlineStr">
        <is>
          <t>Trên 1 Năm</t>
        </is>
      </c>
      <c r="L5946" s="11">
        <f>HYPERLINK("https://careerviet.vn/vi/tim-viec-lam/chuyen-vien-sang-tao-noi-dung-va-thiet-ke.35C63228.html","Xem chi tiết")</f>
        <v/>
      </c>
      <c r="M5946" s="10" t="n"/>
    </row>
    <row r="5947">
      <c r="B5947" s="7" t="n">
        <v>5945</v>
      </c>
      <c r="C5947" t="inlineStr">
        <is>
          <t>Pre-Costing and Pricing Manager</t>
        </is>
      </c>
      <c r="D5947" t="inlineStr">
        <is>
          <t>Huhtamaki (Vietnam) Ltd.</t>
        </is>
      </c>
      <c r="E5947" t="inlineStr">
        <is>
          <t>Lương:Cạnh tranh</t>
        </is>
      </c>
      <c r="F5947" t="inlineStr">
        <is>
          <t>Bình Dương</t>
        </is>
      </c>
      <c r="G5947" t="inlineStr">
        <is>
          <t>Hôm nay</t>
        </is>
      </c>
      <c r="H5947" t="inlineStr">
        <is>
          <t>17/03/2026</t>
        </is>
      </c>
      <c r="I5947" t="inlineStr">
        <is>
          <t>17/03/2026</t>
        </is>
      </c>
      <c r="J5947" t="inlineStr">
        <is>
          <t>Bán hàng / Kinh doanh, Kế toán / Kiểm toán, Sản xuất / Vận hành sản xuất</t>
        </is>
      </c>
      <c r="K5947" t="inlineStr">
        <is>
          <t>Chưa có kinh nghiệm</t>
        </is>
      </c>
      <c r="L5947" s="8">
        <f>HYPERLINK("https://careerviet.vn/vi/tim-viec-lam/pre-costing-and-pricing-manager.35C6307C.html","Xem chi tiết")</f>
        <v/>
      </c>
    </row>
    <row r="5948">
      <c r="B5948" s="9" t="n">
        <v>5946</v>
      </c>
      <c r="C5948" s="10" t="inlineStr">
        <is>
          <t>Kỹ sư Dự án (công trình hệ thống lưu kho thông minh)</t>
        </is>
      </c>
      <c r="D5948" s="10" t="inlineStr">
        <is>
          <t>CÔNG TY CỔ PHẦN VINATECH SOLUTION</t>
        </is>
      </c>
      <c r="E5948" s="10" t="inlineStr">
        <is>
          <t>Lương:15 Tr - 22 Tr VND</t>
        </is>
      </c>
      <c r="F5948" s="10" t="inlineStr">
        <is>
          <t>Hồ Chí Minh</t>
        </is>
      </c>
      <c r="G5948" s="10" t="inlineStr">
        <is>
          <t>3</t>
        </is>
      </c>
      <c r="H5948" s="10" t="inlineStr">
        <is>
          <t>20/03/2026</t>
        </is>
      </c>
      <c r="I5948" s="10" t="inlineStr">
        <is>
          <t>17/03/2026</t>
        </is>
      </c>
      <c r="J5948" s="10" t="inlineStr">
        <is>
          <t>Cơ khí / Ô tô / Tự động hóa, Điện / Điện tử / Điện lạnh / Điện công nghiệp, Sản xuất / Vận hành sản xuất</t>
        </is>
      </c>
      <c r="K5948" s="10" t="inlineStr">
        <is>
          <t>1 - 3 Năm</t>
        </is>
      </c>
      <c r="L5948" s="11">
        <f>HYPERLINK("https://careerviet.vn/vi/tim-viec-lam/ky-su-du-an-cong-trinh-he-thong-luu-kho-thong-minh.35C63651.html","Xem chi tiết")</f>
        <v/>
      </c>
      <c r="M5948" s="10" t="n"/>
    </row>
    <row r="5949">
      <c r="B5949" s="7" t="n">
        <v>5947</v>
      </c>
      <c r="C5949" t="inlineStr">
        <is>
          <t>Nhân viên ISO_Bình Dương</t>
        </is>
      </c>
      <c r="D5949" t="inlineStr">
        <is>
          <t>CÔNG TY TNHH POLYTEX FAR EASTERN (VIỆT NAM)</t>
        </is>
      </c>
      <c r="E5949" t="inlineStr">
        <is>
          <t>Lương:Cạnh tranh</t>
        </is>
      </c>
      <c r="F5949" t="inlineStr">
        <is>
          <t>Bình Dương</t>
        </is>
      </c>
      <c r="G5949" t="inlineStr">
        <is>
          <t>Hôm nay</t>
        </is>
      </c>
      <c r="H5949" t="inlineStr">
        <is>
          <t>17/03/2026</t>
        </is>
      </c>
      <c r="I5949" t="inlineStr">
        <is>
          <t>17/03/2026</t>
        </is>
      </c>
      <c r="J5949" t="inlineStr">
        <is>
          <t>Quản lý chất lượng (QA/QC)</t>
        </is>
      </c>
      <c r="K5949" t="inlineStr">
        <is>
          <t>1 - 2 Năm</t>
        </is>
      </c>
      <c r="L5949" s="8">
        <f>HYPERLINK("https://careerviet.vn/vi/tim-viec-lam/nhan-vien-iso_binh-duong.35C6303B.html","Xem chi tiết")</f>
        <v/>
      </c>
    </row>
    <row r="5950">
      <c r="B5950" s="9" t="n">
        <v>5948</v>
      </c>
      <c r="C5950" s="10" t="inlineStr">
        <is>
          <t>Kỹ Sư Thiết Kế Xây Dựng</t>
        </is>
      </c>
      <c r="D5950" s="10" t="inlineStr">
        <is>
          <t>CÔNG TY CP TẬP ĐOÀN VAS NGHI SƠN</t>
        </is>
      </c>
      <c r="E5950" s="10" t="inlineStr">
        <is>
          <t>Lương:Cạnh tranh</t>
        </is>
      </c>
      <c r="F5950" s="10" t="inlineStr">
        <is>
          <t>Hải PhòngThanh Hóa</t>
        </is>
      </c>
      <c r="G5950" s="10" t="inlineStr">
        <is>
          <t>Hôm nay</t>
        </is>
      </c>
      <c r="H5950" s="10" t="inlineStr">
        <is>
          <t>17/03/2026</t>
        </is>
      </c>
      <c r="I5950" s="10" t="inlineStr">
        <is>
          <t>17/03/2026</t>
        </is>
      </c>
      <c r="J5950" s="10" t="inlineStr">
        <is>
          <t>Xây dựng, Bất động sản, Mỹ thuật / Nghệ thuật / Thiết kế</t>
        </is>
      </c>
      <c r="K5950" s="10" t="inlineStr">
        <is>
          <t>2 - 3 Năm</t>
        </is>
      </c>
      <c r="L5950" s="11">
        <f>HYPERLINK("https://careerviet.vn/vi/tim-viec-lam/ky-su-thiet-ke-xay-dung.35C631E0.html","Xem chi tiết")</f>
        <v/>
      </c>
      <c r="M5950" s="10" t="n"/>
    </row>
    <row r="5951">
      <c r="B5951" s="7" t="n">
        <v>5949</v>
      </c>
      <c r="C5951" t="inlineStr">
        <is>
          <t>Quality Assurance - Khối Công nghệ thông tin (HO25.527)</t>
        </is>
      </c>
      <c r="D5951" t="inlineStr">
        <is>
          <t>Ngân Hàng TMCP Quân Đội</t>
        </is>
      </c>
      <c r="E5951" t="inlineStr">
        <is>
          <t>Lương:Cạnh tranh</t>
        </is>
      </c>
      <c r="F5951" t="inlineStr">
        <is>
          <t>Hà Nội</t>
        </is>
      </c>
      <c r="G5951" t="inlineStr">
        <is>
          <t>Hôm nay</t>
        </is>
      </c>
      <c r="H5951" t="inlineStr">
        <is>
          <t>17/03/2026</t>
        </is>
      </c>
      <c r="I5951" t="inlineStr">
        <is>
          <t>17/03/2026</t>
        </is>
      </c>
      <c r="J5951" t="inlineStr">
        <is>
          <t>CNTT - Phần mềm, Quản lý chất lượng (QA/QC)</t>
        </is>
      </c>
      <c r="K5951" t="inlineStr">
        <is>
          <t>Trên 3 Năm</t>
        </is>
      </c>
      <c r="L5951" s="8">
        <f>HYPERLINK("https://careerviet.vn/vi/tim-viec-lam/quality-assurance-khoi-cong-nghe-thong-tin-ho25-527.35C63229.html","Xem chi tiết")</f>
        <v/>
      </c>
    </row>
    <row r="5952">
      <c r="B5952" s="9" t="n">
        <v>5950</v>
      </c>
      <c r="C5952" s="10" t="inlineStr">
        <is>
          <t>[CỦ CHI] NHÂN VIÊN -  SẢN XUẤT (Không yêu cầu kinh nghiệm)</t>
        </is>
      </c>
      <c r="D5952" s="10" t="inlineStr">
        <is>
          <t>Công Ty TNHH CJ Vina Agri</t>
        </is>
      </c>
      <c r="E5952" s="10" t="inlineStr">
        <is>
          <t>Lương:9 Tr - 10 Tr VND</t>
        </is>
      </c>
      <c r="F5952" s="10" t="inlineStr">
        <is>
          <t>Hồ Chí Minh</t>
        </is>
      </c>
      <c r="G5952" s="10" t="inlineStr">
        <is>
          <t>3</t>
        </is>
      </c>
      <c r="H5952" s="10" t="inlineStr">
        <is>
          <t>20/03/2026</t>
        </is>
      </c>
      <c r="I5952" s="10" t="inlineStr">
        <is>
          <t>17/03/2026</t>
        </is>
      </c>
      <c r="J5952" s="10" t="inlineStr">
        <is>
          <t>Thực phẩm &amp; Đồ uống, Công nghệ thực phẩm / Dinh dưỡng, Sản xuất / Vận hành sản xuất</t>
        </is>
      </c>
      <c r="K5952" s="10" t="inlineStr">
        <is>
          <t>N/A</t>
        </is>
      </c>
      <c r="L5952" s="11">
        <f>HYPERLINK("https://careerviet.vn/vi/tim-viec-lam/cu-chi-nhan-vien-san-xuat-khong-yeu-cau-kinh-nghiem.35C65D29.html","Xem chi tiết")</f>
        <v/>
      </c>
      <c r="M5952" s="10" t="n"/>
    </row>
    <row r="5953">
      <c r="B5953" s="7" t="n">
        <v>5951</v>
      </c>
      <c r="C5953" t="inlineStr">
        <is>
          <t>Nhân Viên Bán Hàng/ PG (Siêu Thị/ Chuỗi Mỹ Phẩm/ Cửa hàng tiện lợi)</t>
        </is>
      </c>
      <c r="D5953" t="inlineStr">
        <is>
          <t>CÔNG TY TNHH ROHTO-MENTHOLATUM (VIỆT NAM)</t>
        </is>
      </c>
      <c r="E5953" t="inlineStr">
        <is>
          <t>Lương:8 Tr - 12 Tr VND</t>
        </is>
      </c>
      <c r="F5953" t="inlineStr">
        <is>
          <t>Đồng Nai</t>
        </is>
      </c>
      <c r="G5953" t="inlineStr">
        <is>
          <t>Hôm nay</t>
        </is>
      </c>
      <c r="H5953" t="inlineStr">
        <is>
          <t>17/03/2026</t>
        </is>
      </c>
      <c r="I5953" t="inlineStr">
        <is>
          <t>17/03/2026</t>
        </is>
      </c>
      <c r="J5953" t="inlineStr">
        <is>
          <t>Tiếp thị / Marketing, Bán hàng / Kinh doanh, Hàng gia dụng / Chăm sóc cá nhânBằng cấpTrung họcĐộ tuổiKhông giới hạn tuổi</t>
        </is>
      </c>
      <c r="K5953" t="inlineStr">
        <is>
          <t>N/A</t>
        </is>
      </c>
      <c r="L5953" s="8">
        <f>HYPERLINK("https://careerviet.vn/vi/tim-viec-lam/nhan-vien-ban-hang-pg-sieu-thi-chuoi-my-pham-cua-hang-tien-loi.35C65BF6.html","Xem chi tiết")</f>
        <v/>
      </c>
    </row>
    <row r="5954">
      <c r="B5954" s="9" t="n">
        <v>5952</v>
      </c>
      <c r="C5954" s="10" t="inlineStr">
        <is>
          <t>Tuyển dụng Kỹ sư Kinh tế Xây dựng / Kỹ sư Xây dựng mới ra trường (đi công tác được)</t>
        </is>
      </c>
      <c r="D5954" s="10" t="inlineStr">
        <is>
          <t>TTT Corporation</t>
        </is>
      </c>
      <c r="E5954" s="10" t="inlineStr">
        <is>
          <t>Lương:Cạnh tranh</t>
        </is>
      </c>
      <c r="F5954" s="10" t="inlineStr">
        <is>
          <t>Hà NộiHồ Chí Minh</t>
        </is>
      </c>
      <c r="G5954" s="10" t="inlineStr">
        <is>
          <t>3</t>
        </is>
      </c>
      <c r="H5954" s="10" t="inlineStr">
        <is>
          <t>20/03/2026</t>
        </is>
      </c>
      <c r="I5954" s="10" t="inlineStr">
        <is>
          <t>17/03/2026</t>
        </is>
      </c>
      <c r="J5954" s="10" t="inlineStr">
        <is>
          <t>Đồ gỗ, Xây dựng, Nội ngoại thất</t>
        </is>
      </c>
      <c r="K5954" s="10" t="inlineStr">
        <is>
          <t>N/A</t>
        </is>
      </c>
      <c r="L5954" s="11">
        <f>HYPERLINK("https://careerviet.vn/vi/tim-viec-lam/tuyen-dung-ky-su-kinh-te-xay-dung-ky-su-xay-dung-moi-ra-truong-di-cong-tac-duoc.35C65EC8.html","Xem chi tiết")</f>
        <v/>
      </c>
      <c r="M5954" s="10" t="n"/>
    </row>
    <row r="5955">
      <c r="B5955" s="7" t="n">
        <v>5953</v>
      </c>
      <c r="C5955" t="inlineStr">
        <is>
          <t>Chuyên Viên Kế Toán Quản Trị</t>
        </is>
      </c>
      <c r="D5955" t="inlineStr">
        <is>
          <t>CÔNG TY TNHH ĐẦU TƯ MINH NHI</t>
        </is>
      </c>
      <c r="E5955" t="inlineStr">
        <is>
          <t>Lương:18 Tr - 20 Tr VND</t>
        </is>
      </c>
      <c r="F5955" t="inlineStr">
        <is>
          <t>Hồ Chí Minh</t>
        </is>
      </c>
      <c r="G5955" t="inlineStr">
        <is>
          <t>3</t>
        </is>
      </c>
      <c r="H5955" t="inlineStr">
        <is>
          <t>20/03/2026</t>
        </is>
      </c>
      <c r="I5955" t="inlineStr">
        <is>
          <t>17/03/2026</t>
        </is>
      </c>
      <c r="J5955" t="inlineStr">
        <is>
          <t>Luật / Pháp lý, Kế toán / Kiểm toán, Tài chính / Đầu tư</t>
        </is>
      </c>
      <c r="K5955" t="inlineStr">
        <is>
          <t>3 - 5 Năm</t>
        </is>
      </c>
      <c r="L5955" s="8">
        <f>HYPERLINK("https://careerviet.vn/vi/tim-viec-lam/chuyen-vien-ke-toan-quan-tri.35C65E9D.html","Xem chi tiết")</f>
        <v/>
      </c>
    </row>
    <row r="5956">
      <c r="B5956" s="9" t="n">
        <v>5954</v>
      </c>
      <c r="C5956" s="10" t="inlineStr">
        <is>
          <t>Trưởng bộ phận Bảo mật &amp; An toàn thông tin</t>
        </is>
      </c>
      <c r="D5956" s="10" t="inlineStr">
        <is>
          <t>CÔNG TY CỔ PHẦN DÂY CÁP ĐIỆN VIỆT NAM - CADIVI</t>
        </is>
      </c>
      <c r="E5956" s="10" t="inlineStr">
        <is>
          <t>Lương:Cạnh tranh</t>
        </is>
      </c>
      <c r="F5956" s="10" t="inlineStr">
        <is>
          <t>Hồ Chí Minh</t>
        </is>
      </c>
      <c r="G5956" s="10" t="inlineStr">
        <is>
          <t>4</t>
        </is>
      </c>
      <c r="H5956" s="10" t="inlineStr">
        <is>
          <t>20/03/2026</t>
        </is>
      </c>
      <c r="I5956" s="10" t="inlineStr">
        <is>
          <t>17/03/2026</t>
        </is>
      </c>
      <c r="J5956" s="10" t="inlineStr">
        <is>
          <t>CNTT - Phần cứng / Mạng</t>
        </is>
      </c>
      <c r="K5956" s="10" t="inlineStr">
        <is>
          <t>5 - 10 Năm</t>
        </is>
      </c>
      <c r="L5956" s="11">
        <f>HYPERLINK("https://careerviet.vn/vi/tim-viec-lam/truong-bo-phan-bao-mat-an-toan-thong-tin.35C6608B.html","Xem chi tiết")</f>
        <v/>
      </c>
      <c r="M5956" s="10" t="n"/>
    </row>
    <row r="5957">
      <c r="B5957" s="7" t="n">
        <v>5955</v>
      </c>
      <c r="C5957" t="inlineStr">
        <is>
          <t>[Unilever - Bắc Ninh] Kỹ thuật viên Điện và Tự động hóa / Electrical &amp; Automation Technician</t>
        </is>
      </c>
      <c r="D5957" t="inlineStr">
        <is>
          <t>Bảo mật</t>
        </is>
      </c>
      <c r="E5957" t="inlineStr">
        <is>
          <t>Lương:14 Tr - 17 Tr VND</t>
        </is>
      </c>
      <c r="F5957" t="inlineStr">
        <is>
          <t>Bắc Ninh</t>
        </is>
      </c>
      <c r="G5957" t="inlineStr">
        <is>
          <t>3</t>
        </is>
      </c>
      <c r="H5957" t="inlineStr">
        <is>
          <t>20/03/2026</t>
        </is>
      </c>
      <c r="I5957" t="inlineStr">
        <is>
          <t>17/03/2026</t>
        </is>
      </c>
      <c r="J5957" t="inlineStr">
        <is>
          <t>Hàng gia dụng / Chăm sóc cá nhân, Bảo trì / Sửa chữa</t>
        </is>
      </c>
      <c r="K5957" t="inlineStr">
        <is>
          <t>2 - 4 Năm</t>
        </is>
      </c>
      <c r="L5957" s="8">
        <f>HYPERLINK("https://careerviet.vn/vi/tim-viec-lam/unilever-bac-ninh-ky-thuat-vien-dien-va-tu-dong-hoa-electrical-automation-technician.35C6601F.html","Xem chi tiết")</f>
        <v/>
      </c>
    </row>
    <row r="5958">
      <c r="B5958" s="9" t="n">
        <v>5956</v>
      </c>
      <c r="C5958" s="10" t="inlineStr">
        <is>
          <t>[Lạng Sơn] CV/CVC/GĐ Quan hệ Khách hàng Cá nhân</t>
        </is>
      </c>
      <c r="D5958" s="10" t="inlineStr">
        <is>
          <t>Ngân hàng TMCP Lộc Phát Việt Nam (LPBank)</t>
        </is>
      </c>
      <c r="E5958" s="10" t="inlineStr">
        <is>
          <t>Lương:Cạnh tranh</t>
        </is>
      </c>
      <c r="F5958" s="10" t="inlineStr">
        <is>
          <t>Lạng Sơn</t>
        </is>
      </c>
      <c r="G5958" s="10" t="inlineStr">
        <is>
          <t>Hôm nay</t>
        </is>
      </c>
      <c r="H5958" s="10" t="inlineStr">
        <is>
          <t>17/03/2026</t>
        </is>
      </c>
      <c r="I5958" s="10" t="inlineStr">
        <is>
          <t>17/03/2026</t>
        </is>
      </c>
      <c r="J5958" s="10" t="inlineStr">
        <is>
          <t>Bán hàng / Kinh doanh, Kế toán / Kiểm toán, Ngân hàng</t>
        </is>
      </c>
      <c r="K5958" s="10" t="inlineStr">
        <is>
          <t>Trên 1 Năm</t>
        </is>
      </c>
      <c r="L5958" s="11">
        <f>HYPERLINK("https://careerviet.vn/vi/tim-viec-lam/lang-son-cv-cvc-gd-quan-he-khach-hang-ca-nhan.35C63163.html","Xem chi tiết")</f>
        <v/>
      </c>
      <c r="M5958" s="10" t="n"/>
    </row>
    <row r="5959">
      <c r="B5959" s="7" t="n">
        <v>5957</v>
      </c>
      <c r="C5959" t="inlineStr">
        <is>
          <t>Warehouse and Shipping Supervisor</t>
        </is>
      </c>
      <c r="D5959" t="inlineStr">
        <is>
          <t>Công Ty TNHH AM Industries Việt Nam</t>
        </is>
      </c>
      <c r="E5959" t="inlineStr">
        <is>
          <t>Lương:Cạnh tranh</t>
        </is>
      </c>
      <c r="F5959" t="inlineStr">
        <is>
          <t>Đồng Nai</t>
        </is>
      </c>
      <c r="G5959" t="inlineStr">
        <is>
          <t>3</t>
        </is>
      </c>
      <c r="H5959" t="inlineStr">
        <is>
          <t>20/03/2026</t>
        </is>
      </c>
      <c r="I5959" t="inlineStr">
        <is>
          <t>17/03/2026</t>
        </is>
      </c>
      <c r="J5959" t="inlineStr">
        <is>
          <t>Vận chuyển / Giao nhận / Kho vận, Hành chính / Thư ký, Sản xuất / Vận hành sản xuất</t>
        </is>
      </c>
      <c r="K5959" t="inlineStr">
        <is>
          <t>Trên 5 Năm</t>
        </is>
      </c>
      <c r="L5959" s="8">
        <f>HYPERLINK("https://careerviet.vn/vi/tim-viec-lam/warehouse-and-shipping-supervisor.35C66003.html","Xem chi tiết")</f>
        <v/>
      </c>
    </row>
    <row r="5960">
      <c r="B5960" s="9" t="n">
        <v>5958</v>
      </c>
      <c r="C5960" s="10" t="inlineStr">
        <is>
          <t>Chuyên viên Tư vấn và Đầu tư - Phụ trách mảng Phân tích (IB Analyst) - Hội sở Hà Nội</t>
        </is>
      </c>
      <c r="D5960" s="10" t="inlineStr">
        <is>
          <t>Ngân hàng TMCP Việt Á – VietABank</t>
        </is>
      </c>
      <c r="E5960" s="10" t="inlineStr">
        <is>
          <t>Lương:Cạnh tranh</t>
        </is>
      </c>
      <c r="F5960" s="10" t="inlineStr">
        <is>
          <t>Hà Nội</t>
        </is>
      </c>
      <c r="G5960" s="10" t="inlineStr">
        <is>
          <t>3</t>
        </is>
      </c>
      <c r="H5960" s="10" t="inlineStr">
        <is>
          <t>20/03/2026</t>
        </is>
      </c>
      <c r="I5960" s="10" t="inlineStr">
        <is>
          <t>17/03/2026</t>
        </is>
      </c>
      <c r="J5960" s="10" t="inlineStr">
        <is>
          <t>Ngân hàng</t>
        </is>
      </c>
      <c r="K5960" s="10" t="inlineStr">
        <is>
          <t>Trên 1 Năm</t>
        </is>
      </c>
      <c r="L5960" s="11">
        <f>HYPERLINK("https://careerviet.vn/vi/tim-viec-lam/chuyen-vien-tu-van-va-dau-tu-phu-trach-mang-phan-tich-ib-analyst-hoi-so-ha-noi.35C63633.html","Xem chi tiết")</f>
        <v/>
      </c>
      <c r="M5960" s="10" t="n"/>
    </row>
    <row r="5961">
      <c r="B5961" s="7" t="n">
        <v>5959</v>
      </c>
      <c r="C5961" t="inlineStr">
        <is>
          <t>SALES ONLINE MANAGER - QUẢN LÝ KINH DOANH ONLINE</t>
        </is>
      </c>
      <c r="D5961" t="inlineStr">
        <is>
          <t>VINCY - Công Ty TNHH TM - SX Hồ Nguyễn</t>
        </is>
      </c>
      <c r="E5961" t="inlineStr">
        <is>
          <t>Lương:Cạnh tranh</t>
        </is>
      </c>
      <c r="F5961" t="inlineStr">
        <is>
          <t>Hồ Chí Minh</t>
        </is>
      </c>
      <c r="G5961" t="inlineStr">
        <is>
          <t>3</t>
        </is>
      </c>
      <c r="H5961" t="inlineStr">
        <is>
          <t>20/03/2026</t>
        </is>
      </c>
      <c r="I5961" t="inlineStr">
        <is>
          <t>17/03/2026</t>
        </is>
      </c>
      <c r="J5961" t="inlineStr">
        <is>
          <t>Bán lẻ / Bán sỉ, Bán hàng / Kinh doanh, Dệt may / Da giày / Thời trang</t>
        </is>
      </c>
      <c r="K5961" t="inlineStr">
        <is>
          <t>2 - 3 Năm</t>
        </is>
      </c>
      <c r="L5961" s="8">
        <f>HYPERLINK("https://careerviet.vn/vi/tim-viec-lam/sales-online-manager-quan-ly-kinh-doanh-online.35C65F40.html","Xem chi tiết")</f>
        <v/>
      </c>
    </row>
    <row r="5962">
      <c r="B5962" s="9" t="n">
        <v>5960</v>
      </c>
      <c r="C5962" s="10" t="inlineStr">
        <is>
          <t>QUẬN 7- SALES STAFF (CHINESE)</t>
        </is>
      </c>
      <c r="D5962" s="10" t="inlineStr">
        <is>
          <t>CÔNG TY TNHH POLYTEX FAR EASTERN (VIỆT NAM)</t>
        </is>
      </c>
      <c r="E5962" s="10" t="inlineStr">
        <is>
          <t>Lương:14 Tr - 18 Tr VND</t>
        </is>
      </c>
      <c r="F5962" s="10" t="inlineStr">
        <is>
          <t>Hồ Chí Minh</t>
        </is>
      </c>
      <c r="G5962" s="10" t="inlineStr">
        <is>
          <t>3</t>
        </is>
      </c>
      <c r="H5962" s="10" t="inlineStr">
        <is>
          <t>20/03/2026</t>
        </is>
      </c>
      <c r="I5962" s="10" t="inlineStr">
        <is>
          <t>17/03/2026</t>
        </is>
      </c>
      <c r="J5962" s="10" t="inlineStr">
        <is>
          <t>Bán hàng / Kinh doanh, Biên phiên dịch, Xuất nhập khẩu</t>
        </is>
      </c>
      <c r="K5962" s="10" t="inlineStr">
        <is>
          <t>1 - 10 Năm</t>
        </is>
      </c>
      <c r="L5962" s="11">
        <f>HYPERLINK("https://careerviet.vn/vi/tim-viec-lam/quan-7-sales-staff-chinese.35C65EAA.html","Xem chi tiết")</f>
        <v/>
      </c>
      <c r="M5962" s="10" t="n"/>
    </row>
    <row r="5963">
      <c r="B5963" s="7" t="n">
        <v>5961</v>
      </c>
      <c r="C5963" t="inlineStr">
        <is>
          <t>Nhân viên tài chính</t>
        </is>
      </c>
      <c r="D5963" t="inlineStr">
        <is>
          <t>Công Ty TNHH Hoàng Lam</t>
        </is>
      </c>
      <c r="E5963" t="inlineStr">
        <is>
          <t>Lương:13 Tr - 16 Tr VND</t>
        </is>
      </c>
      <c r="F5963" t="inlineStr">
        <is>
          <t>Hồ Chí Minh</t>
        </is>
      </c>
      <c r="G5963" t="inlineStr">
        <is>
          <t>3</t>
        </is>
      </c>
      <c r="H5963" t="inlineStr">
        <is>
          <t>20/03/2026</t>
        </is>
      </c>
      <c r="I5963" t="inlineStr">
        <is>
          <t>17/03/2026</t>
        </is>
      </c>
      <c r="J5963" t="inlineStr">
        <is>
          <t>Kế toán / Kiểm toán, Tài chính / Đầu tư, Xây dựng</t>
        </is>
      </c>
      <c r="K5963" t="inlineStr">
        <is>
          <t>2 - 3 Năm</t>
        </is>
      </c>
      <c r="L5963" s="8">
        <f>HYPERLINK("https://careerviet.vn/vi/tim-viec-lam/nhan-vien-ta-i-chi-nh.35C6600E.html","Xem chi tiết")</f>
        <v/>
      </c>
    </row>
    <row r="5964">
      <c r="B5964" s="9" t="n">
        <v>5962</v>
      </c>
      <c r="C5964" s="10" t="inlineStr">
        <is>
          <t>Trưởng phòng Kinh doanh Ngoại tệ (Head of FX) - Hội sở Hà Nội</t>
        </is>
      </c>
      <c r="D5964" s="10" t="inlineStr">
        <is>
          <t>Ngân hàng TMCP Việt Á – VietABank</t>
        </is>
      </c>
      <c r="E5964" s="10" t="inlineStr">
        <is>
          <t>Lương:Cạnh tranh</t>
        </is>
      </c>
      <c r="F5964" s="10" t="inlineStr">
        <is>
          <t>Hà Nội</t>
        </is>
      </c>
      <c r="G5964" s="10" t="inlineStr">
        <is>
          <t>3</t>
        </is>
      </c>
      <c r="H5964" s="10" t="inlineStr">
        <is>
          <t>20/03/2026</t>
        </is>
      </c>
      <c r="I5964" s="10" t="inlineStr">
        <is>
          <t>17/03/2026</t>
        </is>
      </c>
      <c r="J5964" s="10" t="inlineStr">
        <is>
          <t>Ngân hàng</t>
        </is>
      </c>
      <c r="K5964" s="10" t="inlineStr">
        <is>
          <t>Trên 5 Năm</t>
        </is>
      </c>
      <c r="L5964" s="11">
        <f>HYPERLINK("https://careerviet.vn/vi/tim-viec-lam/truong-phong-kinh-doanh-ngoai-te-head-of-fx-hoi-so-ha-noi.35C6362D.html","Xem chi tiết")</f>
        <v/>
      </c>
      <c r="M5964" s="10" t="n"/>
    </row>
    <row r="5965">
      <c r="B5965" s="7" t="n">
        <v>5963</v>
      </c>
      <c r="C5965" t="inlineStr">
        <is>
          <t>CỬA HÀNG TRƯỞNG/ QUẢN LÝ CỬA HÀNG - CỬA HÀNG TRANG SỨC CN HÀ NỘI</t>
        </is>
      </c>
      <c r="D5965" t="inlineStr">
        <is>
          <t>CÔNG TY TNHH VĨNH CARA DIAMOND JEWELRY</t>
        </is>
      </c>
      <c r="E5965" t="inlineStr">
        <is>
          <t>Lương:Cạnh tranh</t>
        </is>
      </c>
      <c r="F5965" t="inlineStr">
        <is>
          <t>Hà Nội</t>
        </is>
      </c>
      <c r="G5965" t="inlineStr">
        <is>
          <t>3</t>
        </is>
      </c>
      <c r="H5965" t="inlineStr">
        <is>
          <t>20/03/2026</t>
        </is>
      </c>
      <c r="I5965" t="inlineStr">
        <is>
          <t>17/03/2026</t>
        </is>
      </c>
      <c r="J5965" t="inlineStr">
        <is>
          <t>Bán hàng / Kinh doanh, Bán lẻ / Bán sỉ, Quản lý điều hành</t>
        </is>
      </c>
      <c r="K5965" t="inlineStr">
        <is>
          <t>3 - 7 Năm</t>
        </is>
      </c>
      <c r="L5965" s="8">
        <f>HYPERLINK("https://careerviet.vn/vi/tim-viec-lam/cua-hang-truong-quan-ly-cua-hang-cua-hang-trang-suc-cn-ha-noi.35C65E9A.html","Xem chi tiết")</f>
        <v/>
      </c>
    </row>
    <row r="5966">
      <c r="B5966" s="9" t="n">
        <v>5964</v>
      </c>
      <c r="C5966" s="10" t="inlineStr">
        <is>
          <t>Kế Toán Tổng Hợp - General Accountant</t>
        </is>
      </c>
      <c r="D5966" s="10" t="inlineStr">
        <is>
          <t>CÔNG TY TNHH COTG FOOD TECH VIỆT NAM</t>
        </is>
      </c>
      <c r="E5966" s="10" t="inlineStr">
        <is>
          <t>Lương:15 Tr - 20 Tr VND</t>
        </is>
      </c>
      <c r="F5966" s="10" t="inlineStr">
        <is>
          <t>Hồ Chí Minh</t>
        </is>
      </c>
      <c r="G5966" s="10" t="inlineStr">
        <is>
          <t>3</t>
        </is>
      </c>
      <c r="H5966" s="10" t="inlineStr">
        <is>
          <t>20/03/2026</t>
        </is>
      </c>
      <c r="I5966" s="10" t="inlineStr">
        <is>
          <t>17/03/2026</t>
        </is>
      </c>
      <c r="J5966" s="10" t="inlineStr">
        <is>
          <t>Thực phẩm &amp; Đồ uống, Biên phiên dịch, Kế toán / Kiểm toán</t>
        </is>
      </c>
      <c r="K5966" s="10" t="inlineStr">
        <is>
          <t>3 - 5 Năm</t>
        </is>
      </c>
      <c r="L5966" s="11">
        <f>HYPERLINK("https://careerviet.vn/vi/tim-viec-lam/ke-toan-tong-hop-general-accountant.35C08E54.html","Xem chi tiết")</f>
        <v/>
      </c>
      <c r="M5966" s="10" t="n"/>
    </row>
    <row r="5967">
      <c r="B5967" s="7" t="n">
        <v>5965</v>
      </c>
      <c r="C5967" t="inlineStr">
        <is>
          <t>Củ Chi - Nhân viên Thủ kho (Không yêu cầu kinh nghiệm)</t>
        </is>
      </c>
      <c r="D5967" t="inlineStr">
        <is>
          <t>Công Ty TNHH CJ Vina Agri</t>
        </is>
      </c>
      <c r="E5967" t="inlineStr">
        <is>
          <t>Lương:9,5 Tr - 12 Tr VND</t>
        </is>
      </c>
      <c r="F5967" t="inlineStr">
        <is>
          <t>Hồ Chí Minh</t>
        </is>
      </c>
      <c r="G5967" t="inlineStr">
        <is>
          <t>3</t>
        </is>
      </c>
      <c r="H5967" t="inlineStr">
        <is>
          <t>20/03/2026</t>
        </is>
      </c>
      <c r="I5967" t="inlineStr">
        <is>
          <t>17/03/2026</t>
        </is>
      </c>
      <c r="J5967" t="inlineStr">
        <is>
          <t>Vận chuyển / Giao nhận / Kho vận, Thực phẩm &amp; Đồ uống, Sản xuất / Vận hành sản xuất</t>
        </is>
      </c>
      <c r="K5967" t="inlineStr">
        <is>
          <t>N/A</t>
        </is>
      </c>
      <c r="L5967" s="8">
        <f>HYPERLINK("https://careerviet.vn/vi/tim-viec-lam/cu-chi-nhan-vien-thu-kho-khong-yeu-cau-kinh-nghiem.35C66019.html","Xem chi tiết")</f>
        <v/>
      </c>
    </row>
    <row r="5968">
      <c r="B5968" s="9" t="n">
        <v>5966</v>
      </c>
      <c r="C5968" s="10" t="inlineStr">
        <is>
          <t>[HCM, Đông Nam Bộ] Nhân Viên Thu Hồi Nợ Địa Bàn - Thu Nhập 15-20tr++</t>
        </is>
      </c>
      <c r="D5968" s="10" t="inlineStr">
        <is>
          <t>Công Ty Tài Chính TNHH MB SHINSEI (MCREDIT)</t>
        </is>
      </c>
      <c r="E5968" s="10" t="inlineStr">
        <is>
          <t>Lương:4,5 Tr - 20 Tr VND</t>
        </is>
      </c>
      <c r="F5968" s="10" t="inlineStr">
        <is>
          <t>KhácHồ Chí Minh</t>
        </is>
      </c>
      <c r="G5968" s="10" t="inlineStr">
        <is>
          <t>3</t>
        </is>
      </c>
      <c r="H5968" s="10" t="inlineStr">
        <is>
          <t>20/03/2026</t>
        </is>
      </c>
      <c r="I5968" s="10" t="inlineStr">
        <is>
          <t>17/03/2026</t>
        </is>
      </c>
      <c r="J5968" s="10" t="inlineStr">
        <is>
          <t>Dịch vụ khách hàng, Tài chính / Đầu tư, Tư vấn</t>
        </is>
      </c>
      <c r="K5968" s="10" t="inlineStr">
        <is>
          <t>trong lĩnh vực thu hồi nợ, tài chính, ngân hàng, dịch vụ khách hàng.</t>
        </is>
      </c>
      <c r="L5968" s="11">
        <f>HYPERLINK("https://careerviet.vn/vi/tim-viec-lam/hcm-dong-nam-bo-nhan-vien-thu-hoi-no-dia-ban-thu-nhap-15-20tr.35C66057.html","Xem chi tiết")</f>
        <v/>
      </c>
      <c r="M5968" s="10" t="n"/>
    </row>
    <row r="5969">
      <c r="B5969" s="7" t="n">
        <v>5967</v>
      </c>
      <c r="C5969" t="inlineStr">
        <is>
          <t>NHÂN VIÊN QC CƠ ĐIỆN ( Làm việc từ thứ 2 đến thứ 6 hàng tuần)</t>
        </is>
      </c>
      <c r="D5969" t="inlineStr">
        <is>
          <t>CLIMAVENETA CHAT UNION REFRIGERATION EQUIPMENT - CÔNG TY TNHH THIẾT BỊ ĐIỆN LẠNH CLIMAVENETA CHAT UNION VIỆT NAM</t>
        </is>
      </c>
      <c r="E5969" t="inlineStr">
        <is>
          <t>Lương:Cạnh tranh</t>
        </is>
      </c>
      <c r="F5969" t="inlineStr">
        <is>
          <t>Long An</t>
        </is>
      </c>
      <c r="G5969" t="inlineStr">
        <is>
          <t>3</t>
        </is>
      </c>
      <c r="H5969" t="inlineStr">
        <is>
          <t>20/03/2026</t>
        </is>
      </c>
      <c r="I5969" t="inlineStr">
        <is>
          <t>17/03/2026</t>
        </is>
      </c>
      <c r="J5969" t="inlineStr">
        <is>
          <t>Quản lý chất lượng (QA/QC), Điện / Điện tử / Điện lạnh / Điện công nghiệp</t>
        </is>
      </c>
      <c r="K5969" t="inlineStr">
        <is>
          <t>N/A</t>
        </is>
      </c>
      <c r="L5969" s="8">
        <f>HYPERLINK("https://careerviet.vn/vi/tim-viec-lam/nhan-vien-qc-co-dien-lam-viec-tu-thu-2-den-thu-6-hang-tuan.35C65FCA.html","Xem chi tiết")</f>
        <v/>
      </c>
    </row>
    <row r="5970">
      <c r="B5970" s="9" t="n">
        <v>5968</v>
      </c>
      <c r="C5970" s="10" t="inlineStr">
        <is>
          <t>Senior Finance Manager</t>
        </is>
      </c>
      <c r="D5970" s="10" t="inlineStr">
        <is>
          <t>Công ty TNHH Olam Việt Nam</t>
        </is>
      </c>
      <c r="E5970" s="10" t="inlineStr">
        <is>
          <t>Lương:Cạnh tranh</t>
        </is>
      </c>
      <c r="F5970" s="10" t="inlineStr">
        <is>
          <t>Đồng Nai</t>
        </is>
      </c>
      <c r="G5970" s="10" t="inlineStr">
        <is>
          <t>3</t>
        </is>
      </c>
      <c r="H5970" s="10" t="inlineStr">
        <is>
          <t>20/03/2026</t>
        </is>
      </c>
      <c r="I5970" s="10" t="inlineStr">
        <is>
          <t>17/03/2026</t>
        </is>
      </c>
      <c r="J5970" s="10" t="inlineStr">
        <is>
          <t>Tài chính / Đầu tư</t>
        </is>
      </c>
      <c r="K5970" s="10" t="inlineStr">
        <is>
          <t>6 - 10 Năm</t>
        </is>
      </c>
      <c r="L5970" s="11">
        <f>HYPERLINK("https://careerviet.vn/vi/tim-viec-lam/senior-finance-manager.35C6601B.html","Xem chi tiết")</f>
        <v/>
      </c>
      <c r="M5970" s="10" t="n"/>
    </row>
    <row r="5971">
      <c r="B5971" s="7" t="n">
        <v>5969</v>
      </c>
      <c r="C5971" t="inlineStr">
        <is>
          <t>Trưởng phòng Hoạch định và Phân tích Tài chính</t>
        </is>
      </c>
      <c r="D5971" t="inlineStr">
        <is>
          <t>Công Ty Cổ Phần Tập Đoàn Đầu Tư Địa Ốc No Va</t>
        </is>
      </c>
      <c r="E5971" t="inlineStr">
        <is>
          <t>Lương:Cạnh tranh</t>
        </is>
      </c>
      <c r="F5971" t="inlineStr">
        <is>
          <t>Hồ Chí Minh</t>
        </is>
      </c>
      <c r="G5971" t="inlineStr">
        <is>
          <t>3</t>
        </is>
      </c>
      <c r="H5971" t="inlineStr">
        <is>
          <t>20/03/2026</t>
        </is>
      </c>
      <c r="I5971" t="inlineStr">
        <is>
          <t>17/03/2026</t>
        </is>
      </c>
      <c r="J5971" t="inlineStr">
        <is>
          <t>Kế toán / Kiểm toán, Tài chính / Đầu tư, Bất động sản</t>
        </is>
      </c>
      <c r="K5971" t="inlineStr">
        <is>
          <t>5 - 8 Năm</t>
        </is>
      </c>
      <c r="L5971" s="8">
        <f>HYPERLINK("https://careerviet.vn/vi/tim-viec-lam/truong-phong-hoach-dinh-va-phan-tich-tai-chinh.35C65F76.html","Xem chi tiết")</f>
        <v/>
      </c>
    </row>
    <row r="5972">
      <c r="B5972" s="9" t="n">
        <v>5970</v>
      </c>
      <c r="C5972" s="10" t="inlineStr">
        <is>
          <t>PHÓ PHÒNG SÁNG TẠO</t>
        </is>
      </c>
      <c r="D5972" s="10" t="inlineStr">
        <is>
          <t>CÔNG TY TNHH THƯƠNG MẠI &amp; DỊCH VỤ SHEGAN</t>
        </is>
      </c>
      <c r="E5972" s="10" t="inlineStr">
        <is>
          <t>Lương:16 Tr - 18 Tr VND</t>
        </is>
      </c>
      <c r="F5972" s="10" t="inlineStr">
        <is>
          <t>Hồ Chí Minh</t>
        </is>
      </c>
      <c r="G5972" s="10" t="inlineStr">
        <is>
          <t>3</t>
        </is>
      </c>
      <c r="H5972" s="10" t="inlineStr">
        <is>
          <t>20/03/2026</t>
        </is>
      </c>
      <c r="I5972" s="10" t="inlineStr">
        <is>
          <t>17/03/2026</t>
        </is>
      </c>
      <c r="J5972" s="10" t="inlineStr">
        <is>
          <t>Tiếp thị / Marketing, Thương mại điện tử, Quảng cáo / Đối ngoại / Truyền Thông</t>
        </is>
      </c>
      <c r="K5972" s="10" t="inlineStr">
        <is>
          <t>3 - 5 Năm</t>
        </is>
      </c>
      <c r="L5972" s="11">
        <f>HYPERLINK("https://careerviet.vn/vi/tim-viec-lam/pho-phong-sang-tao.35C65F60.html","Xem chi tiết")</f>
        <v/>
      </c>
      <c r="M5972" s="10" t="n"/>
    </row>
    <row r="5973">
      <c r="B5973" s="7" t="n">
        <v>5971</v>
      </c>
      <c r="C5973" t="inlineStr">
        <is>
          <t>[Miền Trung] Nhân Viên Thu Hồi Nợ Địa Bàn - Thu Nhập 15-20tr++</t>
        </is>
      </c>
      <c r="D5973" t="inlineStr">
        <is>
          <t>Công Ty Tài Chính TNHH MB SHINSEI (MCREDIT)</t>
        </is>
      </c>
      <c r="E5973" t="inlineStr">
        <is>
          <t>Lương:4,5 Tr - 20 Tr VND</t>
        </is>
      </c>
      <c r="F5973" t="inlineStr">
        <is>
          <t>Quảng NgãiGia LaiKhánh Hòa</t>
        </is>
      </c>
      <c r="G5973" t="inlineStr">
        <is>
          <t>3</t>
        </is>
      </c>
      <c r="H5973" t="inlineStr">
        <is>
          <t>20/03/2026</t>
        </is>
      </c>
      <c r="I5973" t="inlineStr">
        <is>
          <t>17/03/2026</t>
        </is>
      </c>
      <c r="J5973" t="inlineStr">
        <is>
          <t>Tư vấn, Dịch vụ khách hàng, Tài chính / Đầu tư</t>
        </is>
      </c>
      <c r="K5973" t="inlineStr">
        <is>
          <t>trong lĩnh vực thu hồi nợ, tài chính, ngân hàng, dịch vụ khách hàng.</t>
        </is>
      </c>
      <c r="L5973" s="8">
        <f>HYPERLINK("https://careerviet.vn/vi/tim-viec-lam/mien-trung-nhan-vien-thu-hoi-no-dia-ban-thu-nhap-15-20tr.35C66055.html","Xem chi tiết")</f>
        <v/>
      </c>
    </row>
    <row r="5974">
      <c r="B5974" s="9" t="n">
        <v>5972</v>
      </c>
      <c r="C5974" s="10" t="inlineStr">
        <is>
          <t>Sales Coordinator</t>
        </is>
      </c>
      <c r="D5974" s="10" t="inlineStr">
        <is>
          <t>VĂN PHÒNG ĐẠI DIỆN LP FOODS PTE. LTD. TẠI THÀNH PHỐ HỒ CHÍ MINH</t>
        </is>
      </c>
      <c r="E5974" s="10" t="inlineStr">
        <is>
          <t>Lương:Cạnh tranh</t>
        </is>
      </c>
      <c r="F5974" s="10" t="inlineStr">
        <is>
          <t>Hồ Chí Minh</t>
        </is>
      </c>
      <c r="G5974" s="10" t="inlineStr">
        <is>
          <t>3</t>
        </is>
      </c>
      <c r="H5974" s="10" t="inlineStr">
        <is>
          <t>20/03/2026</t>
        </is>
      </c>
      <c r="I5974" s="10" t="inlineStr">
        <is>
          <t>17/03/2026</t>
        </is>
      </c>
      <c r="J5974" s="10" t="inlineStr">
        <is>
          <t>Bán lẻ / Bán sỉ, Thủy sản / Hải sản, Xuất nhập khẩu</t>
        </is>
      </c>
      <c r="K5974" s="10" t="inlineStr">
        <is>
          <t>N/A</t>
        </is>
      </c>
      <c r="L5974" s="11">
        <f>HYPERLINK("https://careerviet.vn/vi/tim-viec-lam/sales-coordinator.35C65FB1.html","Xem chi tiết")</f>
        <v/>
      </c>
      <c r="M5974" s="10" t="n"/>
    </row>
    <row r="5975">
      <c r="B5975" s="7" t="n">
        <v>5973</v>
      </c>
      <c r="C5975" t="inlineStr">
        <is>
          <t>Nhân viên Kế toán nội bộ</t>
        </is>
      </c>
      <c r="D5975" t="inlineStr">
        <is>
          <t>CÔNG TY TNHH SẢN XUẤT THƯƠNG MẠI PHÚC KHẢI</t>
        </is>
      </c>
      <c r="E5975" t="inlineStr">
        <is>
          <t>Lương:10 Tr - 12 Tr VND</t>
        </is>
      </c>
      <c r="F5975" t="inlineStr">
        <is>
          <t>Hồ Chí Minh</t>
        </is>
      </c>
      <c r="G5975" t="inlineStr">
        <is>
          <t>3</t>
        </is>
      </c>
      <c r="H5975" t="inlineStr">
        <is>
          <t>20/03/2026</t>
        </is>
      </c>
      <c r="I5975" t="inlineStr">
        <is>
          <t>17/03/2026</t>
        </is>
      </c>
      <c r="J5975" t="inlineStr">
        <is>
          <t>Kế toán / Kiểm toán, Tài chính / Đầu tư, Sản xuất / Vận hành sản xuất</t>
        </is>
      </c>
      <c r="K5975" t="inlineStr">
        <is>
          <t>1 - 3 Năm</t>
        </is>
      </c>
      <c r="L5975" s="8">
        <f>HYPERLINK("https://careerviet.vn/vi/tim-viec-lam/nhan-vien-ke-toan-noi-bo.35C63631.html","Xem chi tiết")</f>
        <v/>
      </c>
    </row>
    <row r="5976">
      <c r="B5976" s="9" t="n">
        <v>5974</v>
      </c>
      <c r="C5976" s="10" t="inlineStr">
        <is>
          <t>Giám đốc Ngân hàng bán lẻ - Vùng Đồng bằng Sông Cửu Long</t>
        </is>
      </c>
      <c r="D5976" s="10" t="inlineStr">
        <is>
          <t>Ngân Hàng TMCP Quốc Tế Việt Nam</t>
        </is>
      </c>
      <c r="E5976" s="10" t="inlineStr">
        <is>
          <t>Lương:Cạnh tranh</t>
        </is>
      </c>
      <c r="F5976" s="10" t="inlineStr">
        <is>
          <t>Tiền Giang</t>
        </is>
      </c>
      <c r="G5976" s="10" t="inlineStr">
        <is>
          <t>3</t>
        </is>
      </c>
      <c r="H5976" s="10" t="inlineStr">
        <is>
          <t>20/03/2026</t>
        </is>
      </c>
      <c r="I5976" s="10" t="inlineStr">
        <is>
          <t>17/03/2026</t>
        </is>
      </c>
      <c r="J5976" s="10" t="inlineStr">
        <is>
          <t>Dịch vụ khách hàng, Ngân hàng, Tài chính / Đầu tư</t>
        </is>
      </c>
      <c r="K5976" s="10" t="inlineStr">
        <is>
          <t>5 - 7 Năm</t>
        </is>
      </c>
      <c r="L5976" s="11">
        <f>HYPERLINK("https://careerviet.vn/vi/tim-viec-lam/giam-doc-ngan-hang-ban-le-vung-dong-bang-song-cuu-long.35C66028.html","Xem chi tiết")</f>
        <v/>
      </c>
      <c r="M5976" s="10" t="n"/>
    </row>
    <row r="5977">
      <c r="B5977" s="7" t="n">
        <v>5975</v>
      </c>
      <c r="C5977" t="inlineStr">
        <is>
          <t>CHUYÊN VIÊN HÀNH CHÍNH NHÂN SỰ</t>
        </is>
      </c>
      <c r="D5977" t="inlineStr">
        <is>
          <t>Công ty Cổ phần TKMB</t>
        </is>
      </c>
      <c r="E5977" t="inlineStr">
        <is>
          <t>Lương:Cạnh tranh</t>
        </is>
      </c>
      <c r="F5977" t="inlineStr">
        <is>
          <t>Long An</t>
        </is>
      </c>
      <c r="G5977" t="inlineStr">
        <is>
          <t>3</t>
        </is>
      </c>
      <c r="H5977" t="inlineStr">
        <is>
          <t>20/03/2026</t>
        </is>
      </c>
      <c r="I5977" t="inlineStr">
        <is>
          <t>17/03/2026</t>
        </is>
      </c>
      <c r="J5977" t="inlineStr">
        <is>
          <t>Hành chính / Thư ký, Nhân sự, Sản xuất / Vận hành sản xuất</t>
        </is>
      </c>
      <c r="K5977" t="inlineStr">
        <is>
          <t>3 - 5 Năm</t>
        </is>
      </c>
      <c r="L5977" s="8">
        <f>HYPERLINK("https://careerviet.vn/vi/tim-viec-lam/chuyen-vien-hanh-chinh-nhan-su.35C65FAC.html","Xem chi tiết")</f>
        <v/>
      </c>
    </row>
    <row r="5978">
      <c r="B5978" s="9" t="n">
        <v>5976</v>
      </c>
      <c r="C5978" s="10" t="inlineStr">
        <is>
          <t>LĐPT Nhân Viên Kho - TX Xe Nâng</t>
        </is>
      </c>
      <c r="D5978" s="10" t="inlineStr">
        <is>
          <t>CÔNG TY TNHH DONG MART</t>
        </is>
      </c>
      <c r="E5978" s="10" t="inlineStr">
        <is>
          <t>Lương:Cạnh tranh</t>
        </is>
      </c>
      <c r="F5978" s="10" t="inlineStr">
        <is>
          <t>Cần Thơ</t>
        </is>
      </c>
      <c r="G5978" s="10" t="inlineStr">
        <is>
          <t>3</t>
        </is>
      </c>
      <c r="H5978" s="10" t="inlineStr">
        <is>
          <t>20/03/2026</t>
        </is>
      </c>
      <c r="I5978" s="10" t="inlineStr">
        <is>
          <t>17/03/2026</t>
        </is>
      </c>
      <c r="J5978" s="10" t="inlineStr">
        <is>
          <t>Vận chuyển / Giao nhận / Kho vận, Lao động phổ thông</t>
        </is>
      </c>
      <c r="K5978" s="10" t="inlineStr">
        <is>
          <t>Chưa có kinh nghiệm</t>
        </is>
      </c>
      <c r="L5978" s="11">
        <f>HYPERLINK("https://careerviet.vn/vi/tim-viec-lam/ldpt-nhan-vien-kho-tx-xe-nang.35C63620.html","Xem chi tiết")</f>
        <v/>
      </c>
      <c r="M5978" s="10" t="n"/>
    </row>
    <row r="5979">
      <c r="B5979" s="7" t="n">
        <v>5977</v>
      </c>
      <c r="C5979" t="inlineStr">
        <is>
          <t>Beverage Innovation Assistant Manager/ Manager (R&amp;D Innovation)</t>
        </is>
      </c>
      <c r="D5979" t="inlineStr">
        <is>
          <t>Viet Thai International</t>
        </is>
      </c>
      <c r="E5979" t="inlineStr">
        <is>
          <t>Lương:Cạnh tranh</t>
        </is>
      </c>
      <c r="F5979" t="inlineStr">
        <is>
          <t>Hồ Chí Minh</t>
        </is>
      </c>
      <c r="G5979" t="inlineStr">
        <is>
          <t>3</t>
        </is>
      </c>
      <c r="H5979" t="inlineStr">
        <is>
          <t>20/03/2026</t>
        </is>
      </c>
      <c r="I5979" t="inlineStr">
        <is>
          <t>17/03/2026</t>
        </is>
      </c>
      <c r="J5979" t="inlineStr">
        <is>
          <t>Thực phẩm &amp; Đồ uống, Công nghệ thực phẩm / Dinh dưỡng</t>
        </is>
      </c>
      <c r="K5979" t="inlineStr">
        <is>
          <t>5 - 7 Năm</t>
        </is>
      </c>
      <c r="L5979" s="8">
        <f>HYPERLINK("https://careerviet.vn/vi/tim-viec-lam/beverage-innovation-assistant-manager-manager-r-d-innovation.35C66036.html","Xem chi tiết")</f>
        <v/>
      </c>
    </row>
    <row r="5980">
      <c r="B5980" s="9" t="n">
        <v>5978</v>
      </c>
      <c r="C5980" s="10" t="inlineStr">
        <is>
          <t>Back-end Developer (Cty con Massko)</t>
        </is>
      </c>
      <c r="D5980" s="10" t="inlineStr">
        <is>
          <t>Công ty Cổ phần Masscom Việt Nam</t>
        </is>
      </c>
      <c r="E5980" s="10" t="inlineStr">
        <is>
          <t>Lương:12 Tr - 22 Tr VND</t>
        </is>
      </c>
      <c r="F5980" s="10" t="inlineStr">
        <is>
          <t>Hà Nội</t>
        </is>
      </c>
      <c r="G5980" s="10" t="inlineStr">
        <is>
          <t>3</t>
        </is>
      </c>
      <c r="H5980" s="10" t="inlineStr">
        <is>
          <t>20/03/2026</t>
        </is>
      </c>
      <c r="I5980" s="10" t="inlineStr">
        <is>
          <t>17/03/2026</t>
        </is>
      </c>
      <c r="J5980" s="10" t="inlineStr">
        <is>
          <t>CNTT - Phần mềm</t>
        </is>
      </c>
      <c r="K5980" s="10" t="inlineStr">
        <is>
          <t>1 - 3 Năm</t>
        </is>
      </c>
      <c r="L5980" s="11">
        <f>HYPERLINK("https://careerviet.vn/vi/tim-viec-lam/back-end-developer-cty-con-massko.35C66075.html","Xem chi tiết")</f>
        <v/>
      </c>
      <c r="M5980" s="10" t="n"/>
    </row>
    <row r="5981">
      <c r="B5981" s="7" t="n">
        <v>5979</v>
      </c>
      <c r="C5981" t="inlineStr">
        <is>
          <t>Trưởng bộ phận Phát triển &amp; Vận hành ứng dụng</t>
        </is>
      </c>
      <c r="D5981" t="inlineStr">
        <is>
          <t>CÔNG TY CỔ PHẦN DÂY CÁP ĐIỆN VIỆT NAM - CADIVI</t>
        </is>
      </c>
      <c r="E5981" t="inlineStr">
        <is>
          <t>Lương:Cạnh tranh</t>
        </is>
      </c>
      <c r="F5981" t="inlineStr">
        <is>
          <t>Hồ Chí Minh</t>
        </is>
      </c>
      <c r="G5981" t="inlineStr">
        <is>
          <t>4</t>
        </is>
      </c>
      <c r="H5981" t="inlineStr">
        <is>
          <t>20/03/2026</t>
        </is>
      </c>
      <c r="I5981" t="inlineStr">
        <is>
          <t>17/03/2026</t>
        </is>
      </c>
      <c r="J5981" t="inlineStr">
        <is>
          <t>CNTT - Phần mềm</t>
        </is>
      </c>
      <c r="K5981" t="inlineStr">
        <is>
          <t>7 - 10 Năm</t>
        </is>
      </c>
      <c r="L5981" s="8">
        <f>HYPERLINK("https://careerviet.vn/vi/tim-viec-lam/truong-bo-phan-phat-trien-van-hanh-ung-dung.35C6608C.html","Xem chi tiết")</f>
        <v/>
      </c>
    </row>
    <row r="5982">
      <c r="B5982" s="9" t="n">
        <v>5980</v>
      </c>
      <c r="C5982" s="10" t="inlineStr">
        <is>
          <t>Employer Branding Lead</t>
        </is>
      </c>
      <c r="D5982" s="10" t="inlineStr">
        <is>
          <t>Tập Đoàn CT Group Việt Nam</t>
        </is>
      </c>
      <c r="E5982" s="10" t="inlineStr">
        <is>
          <t>Lương:30 Tr - 33 Tr VND</t>
        </is>
      </c>
      <c r="F5982" s="10" t="inlineStr">
        <is>
          <t>Hồ Chí Minh</t>
        </is>
      </c>
      <c r="G5982" s="10" t="inlineStr">
        <is>
          <t>3</t>
        </is>
      </c>
      <c r="H5982" s="10" t="inlineStr">
        <is>
          <t>20/03/2026</t>
        </is>
      </c>
      <c r="I5982" s="10" t="inlineStr">
        <is>
          <t>17/03/2026</t>
        </is>
      </c>
      <c r="J5982" s="10" t="inlineStr">
        <is>
          <t>Nhân sự, Truyền hình / Báo chí / Biên tập, Quảng cáo / Đối ngoại / Truyền Thông</t>
        </is>
      </c>
      <c r="K5982" s="10" t="inlineStr">
        <is>
          <t>3 - 5 Năm</t>
        </is>
      </c>
      <c r="L5982" s="11">
        <f>HYPERLINK("https://careerviet.vn/vi/tim-viec-lam/employer-branding-lead.35C65FBD.html","Xem chi tiết")</f>
        <v/>
      </c>
      <c r="M5982" s="10" t="n"/>
    </row>
    <row r="5983">
      <c r="B5983" s="7" t="n">
        <v>5981</v>
      </c>
      <c r="C5983" t="inlineStr">
        <is>
          <t>[Tân Bình, HCM] Nhân Viên Thu Hồi Nợ Qua Điện Thoại - Thu Nhập 15-20Tr++</t>
        </is>
      </c>
      <c r="D5983" t="inlineStr">
        <is>
          <t>Công Ty Tài Chính TNHH MB SHINSEI (MCREDIT)</t>
        </is>
      </c>
      <c r="E5983" t="inlineStr">
        <is>
          <t>Lương:6,5 Tr - 20 Tr VND</t>
        </is>
      </c>
      <c r="F5983" t="inlineStr">
        <is>
          <t>Hồ Chí Minh</t>
        </is>
      </c>
      <c r="G5983" t="inlineStr">
        <is>
          <t>3</t>
        </is>
      </c>
      <c r="H5983" t="inlineStr">
        <is>
          <t>20/03/2026</t>
        </is>
      </c>
      <c r="I5983" t="inlineStr">
        <is>
          <t>17/03/2026</t>
        </is>
      </c>
      <c r="J5983" t="inlineStr">
        <is>
          <t>Tài chính / Đầu tư, Tư vấn, Dịch vụ khách hàng</t>
        </is>
      </c>
      <c r="K5983" t="inlineStr">
        <is>
          <t>N/A</t>
        </is>
      </c>
      <c r="L5983" s="8">
        <f>HYPERLINK("https://careerviet.vn/vi/tim-viec-lam/tan-binh-hcm-nhan-vien-thu-hoi-no-qua-dien-thoai-thu-nhap-15-20tr.35C6602C.html","Xem chi tiết")</f>
        <v/>
      </c>
    </row>
    <row r="5984">
      <c r="B5984" s="9" t="n">
        <v>5982</v>
      </c>
      <c r="C5984" s="10" t="inlineStr">
        <is>
          <t>Chuyên viên Cao cấp Kinh doanh Trái phiếu - Khối Nguồn vốn - Hội sở Hà Nội</t>
        </is>
      </c>
      <c r="D5984" s="10" t="inlineStr">
        <is>
          <t>Ngân hàng TMCP Việt Á – VietABank</t>
        </is>
      </c>
      <c r="E5984" s="10" t="inlineStr">
        <is>
          <t>Lương:Cạnh tranh</t>
        </is>
      </c>
      <c r="F5984" s="10" t="inlineStr">
        <is>
          <t>Hà Nội</t>
        </is>
      </c>
      <c r="G5984" s="10" t="inlineStr">
        <is>
          <t>3</t>
        </is>
      </c>
      <c r="H5984" s="10" t="inlineStr">
        <is>
          <t>20/03/2026</t>
        </is>
      </c>
      <c r="I5984" s="10" t="inlineStr">
        <is>
          <t>17/03/2026</t>
        </is>
      </c>
      <c r="J5984" s="10" t="inlineStr">
        <is>
          <t>Ngân hàng</t>
        </is>
      </c>
      <c r="K5984" s="10" t="inlineStr">
        <is>
          <t>Trên 1 Năm</t>
        </is>
      </c>
      <c r="L5984" s="11">
        <f>HYPERLINK("https://careerviet.vn/vi/tim-viec-lam/chuyen-vien-cao-cap-kinh-doanh-trai-phieu-khoi-nguon-von-hoi-so-ha-noi.35C6362B.html","Xem chi tiết")</f>
        <v/>
      </c>
      <c r="M5984" s="10" t="n"/>
    </row>
    <row r="5985">
      <c r="B5985" s="7" t="n">
        <v>5983</v>
      </c>
      <c r="C5985" t="inlineStr">
        <is>
          <t>Trưởng Dự Án Kết Cấu Thép - Project Manager</t>
        </is>
      </c>
      <c r="D5985" t="inlineStr">
        <is>
          <t>ATAD Steel Structure Corporation</t>
        </is>
      </c>
      <c r="E5985" t="inlineStr">
        <is>
          <t>Lương:Cạnh tranh</t>
        </is>
      </c>
      <c r="F5985" t="inlineStr">
        <is>
          <t>Hồ Chí MinhHà Nội</t>
        </is>
      </c>
      <c r="G5985" t="inlineStr">
        <is>
          <t>3</t>
        </is>
      </c>
      <c r="H5985" t="inlineStr">
        <is>
          <t>20/03/2026</t>
        </is>
      </c>
      <c r="I5985" t="inlineStr">
        <is>
          <t>17/03/2026</t>
        </is>
      </c>
      <c r="J5985" t="inlineStr">
        <is>
          <t>Cơ khí / Ô tô / Tự động hóa, Sản xuất / Vận hành sản xuất, Xây dựng</t>
        </is>
      </c>
      <c r="K5985" t="inlineStr">
        <is>
          <t>7 - 10 Năm</t>
        </is>
      </c>
      <c r="L5985" s="8">
        <f>HYPERLINK("https://careerviet.vn/vi/tim-viec-lam/truong-du-an-ket-cau-thep-project-manager.35C65E97.html","Xem chi tiết")</f>
        <v/>
      </c>
    </row>
    <row r="5986">
      <c r="B5986" s="9" t="n">
        <v>5984</v>
      </c>
      <c r="C5986" s="10" t="inlineStr">
        <is>
          <t>Project Engineer - Oversea</t>
        </is>
      </c>
      <c r="D5986" s="10" t="inlineStr">
        <is>
          <t>ATAD Steel Structure Corporation</t>
        </is>
      </c>
      <c r="E5986" s="10" t="inlineStr">
        <is>
          <t>Lương:Cạnh tranh</t>
        </is>
      </c>
      <c r="F5986" s="10" t="inlineStr">
        <is>
          <t>Hồ Chí Minh</t>
        </is>
      </c>
      <c r="G5986" s="10" t="inlineStr">
        <is>
          <t>3</t>
        </is>
      </c>
      <c r="H5986" s="10" t="inlineStr">
        <is>
          <t>20/03/2026</t>
        </is>
      </c>
      <c r="I5986" s="10" t="inlineStr">
        <is>
          <t>17/03/2026</t>
        </is>
      </c>
      <c r="J5986" s="10" t="inlineStr">
        <is>
          <t>Xây dựng, Cơ khí / Ô tô / Tự động hóa, Quản lý chất lượng (QA/QC)</t>
        </is>
      </c>
      <c r="K5986" s="10" t="inlineStr">
        <is>
          <t>2 - 4 Năm</t>
        </is>
      </c>
      <c r="L5986" s="11">
        <f>HYPERLINK("https://careerviet.vn/vi/tim-viec-lam/project-engineer-oversea.35C65E9F.html","Xem chi tiết")</f>
        <v/>
      </c>
      <c r="M5986" s="10" t="n"/>
    </row>
    <row r="5987">
      <c r="B5987" s="7" t="n">
        <v>5985</v>
      </c>
      <c r="C5987" t="inlineStr">
        <is>
          <t>Kỹ Sư Giám Sát Công Trình</t>
        </is>
      </c>
      <c r="D5987" t="inlineStr">
        <is>
          <t>Công ty Xây Dựng Hàng Rào Biệt Thự (Villafences)</t>
        </is>
      </c>
      <c r="E5987" t="inlineStr">
        <is>
          <t>Lương:15 Tr - 20 Tr VND</t>
        </is>
      </c>
      <c r="F5987" t="inlineStr">
        <is>
          <t>Hồ Chí MinhĐồng Nai</t>
        </is>
      </c>
      <c r="G5987" t="inlineStr">
        <is>
          <t>3</t>
        </is>
      </c>
      <c r="H5987" t="inlineStr">
        <is>
          <t>20/03/2026</t>
        </is>
      </c>
      <c r="I5987" t="inlineStr">
        <is>
          <t>17/03/2026</t>
        </is>
      </c>
      <c r="J5987" t="inlineStr">
        <is>
          <t>Cơ khí / Ô tô / Tự động hóa, Xây dựng, Nội ngoại thất</t>
        </is>
      </c>
      <c r="K5987" t="inlineStr">
        <is>
          <t>1 - 5 Năm</t>
        </is>
      </c>
      <c r="L5987" s="8">
        <f>HYPERLINK("https://careerviet.vn/vi/tim-viec-lam/ky-su-giam-sat-cong-trinh.35C6363E.html","Xem chi tiết")</f>
        <v/>
      </c>
    </row>
    <row r="5988">
      <c r="B5988" s="9" t="n">
        <v>5986</v>
      </c>
      <c r="C5988" s="10" t="inlineStr">
        <is>
          <t>[An Giang, Cà Mau] Nhân Viên Thu Hồi Nợ Địa Bàn Vùng Mekong 1 - Thu Nhập 15-20Tr++</t>
        </is>
      </c>
      <c r="D5988" s="10" t="inlineStr">
        <is>
          <t>Công Ty Tài Chính TNHH MB SHINSEI (MCREDIT)</t>
        </is>
      </c>
      <c r="E5988" s="10" t="inlineStr">
        <is>
          <t>Lương:4,5 Tr - 20 Tr VND</t>
        </is>
      </c>
      <c r="F5988" s="10" t="inlineStr">
        <is>
          <t>An GiangCà Mau</t>
        </is>
      </c>
      <c r="G5988" s="10" t="inlineStr">
        <is>
          <t>3</t>
        </is>
      </c>
      <c r="H5988" s="10" t="inlineStr">
        <is>
          <t>20/03/2026</t>
        </is>
      </c>
      <c r="I5988" s="10" t="inlineStr">
        <is>
          <t>17/03/2026</t>
        </is>
      </c>
      <c r="J5988" s="10" t="inlineStr">
        <is>
          <t>Tư vấn, Dịch vụ khách hàng, Tài chính / Đầu tư</t>
        </is>
      </c>
      <c r="K5988" s="10" t="inlineStr">
        <is>
          <t>trong lĩnh vực thu hồi nợ, tài chính, ngân hàng, dịch vụ khách hàng.</t>
        </is>
      </c>
      <c r="L5988" s="11">
        <f>HYPERLINK("https://careerviet.vn/vi/tim-viec-lam/an-giang-ca-mau-nhan-vien-thu-hoi-no-dia-ban-vung-mekong-1-thu-nhap-15-20tr.35C6605A.html","Xem chi tiết")</f>
        <v/>
      </c>
      <c r="M5988" s="10" t="n"/>
    </row>
    <row r="5989">
      <c r="B5989" s="7" t="n">
        <v>5987</v>
      </c>
      <c r="C5989" t="inlineStr">
        <is>
          <t>Assortment Development Specialist</t>
        </is>
      </c>
      <c r="D5989" t="inlineStr">
        <is>
          <t>Công Ty Cổ phần Tập Đoàn KIDO</t>
        </is>
      </c>
      <c r="E5989" t="inlineStr">
        <is>
          <t>Lương:Cạnh tranh</t>
        </is>
      </c>
      <c r="F5989" t="inlineStr">
        <is>
          <t>Hồ Chí Minh</t>
        </is>
      </c>
      <c r="G5989" t="inlineStr">
        <is>
          <t>2</t>
        </is>
      </c>
      <c r="H5989" t="inlineStr">
        <is>
          <t>19/03/2026</t>
        </is>
      </c>
      <c r="I5989" t="inlineStr">
        <is>
          <t>17/03/2026</t>
        </is>
      </c>
      <c r="J5989" t="inlineStr">
        <is>
          <t>Giải trí, Tiếp thị / Marketing, Tiếp thị trực tuyến</t>
        </is>
      </c>
      <c r="K5989" t="inlineStr">
        <is>
          <t>2 - 5 Năm</t>
        </is>
      </c>
      <c r="L5989" s="8">
        <f>HYPERLINK("https://careerviet.vn/vi/tim-viec-lam/assortment-development-specialist.35C63569.html","Xem chi tiết")</f>
        <v/>
      </c>
    </row>
    <row r="5990">
      <c r="B5990" s="9" t="n">
        <v>5988</v>
      </c>
      <c r="C5990" s="10" t="inlineStr">
        <is>
          <t>Nhân Viên Kinh Doanh</t>
        </is>
      </c>
      <c r="D5990" s="10" t="inlineStr">
        <is>
          <t>CÔNG TY CỔ PHẦN LIÊN DOANH GALATEX VIỆT NAM</t>
        </is>
      </c>
      <c r="E5990" s="10" t="inlineStr">
        <is>
          <t>Lương:Trên 15 Tr VND</t>
        </is>
      </c>
      <c r="F5990" s="10" t="inlineStr">
        <is>
          <t>Nghệ AnThái NguyênPhú Thọ</t>
        </is>
      </c>
      <c r="G5990" s="10" t="inlineStr">
        <is>
          <t>2</t>
        </is>
      </c>
      <c r="H5990" s="10" t="inlineStr">
        <is>
          <t>19/03/2026</t>
        </is>
      </c>
      <c r="I5990" s="10" t="inlineStr">
        <is>
          <t>17/03/2026</t>
        </is>
      </c>
      <c r="J5990" s="10" t="inlineStr">
        <is>
          <t>Bán hàng / Kinh doanh, Tư vấn, Quản lý điều hành</t>
        </is>
      </c>
      <c r="K5990" s="10" t="inlineStr">
        <is>
          <t>Trên 2 Năm</t>
        </is>
      </c>
      <c r="L5990" s="11">
        <f>HYPERLINK("https://careerviet.vn/vi/tim-viec-lam/nhan-vien-kinh-doanh.35C635E9.html","Xem chi tiết")</f>
        <v/>
      </c>
      <c r="M5990" s="10" t="n"/>
    </row>
    <row r="5991">
      <c r="B5991" s="7" t="n">
        <v>5989</v>
      </c>
      <c r="C5991" t="inlineStr">
        <is>
          <t>Nhân Viên Hành Chính - Đội Xây Dựng - Dự Án Khu Nghỉ Dưỡng Cao Cấp</t>
        </is>
      </c>
      <c r="D5991" t="inlineStr">
        <is>
          <t>BIM Group Phú Quốc</t>
        </is>
      </c>
      <c r="E5991" t="inlineStr">
        <is>
          <t>Lương:Cạnh tranh</t>
        </is>
      </c>
      <c r="F5991" t="inlineStr">
        <is>
          <t>Kiên Giang</t>
        </is>
      </c>
      <c r="G5991" t="inlineStr">
        <is>
          <t>2</t>
        </is>
      </c>
      <c r="H5991" t="inlineStr">
        <is>
          <t>19/03/2026</t>
        </is>
      </c>
      <c r="I5991" t="inlineStr">
        <is>
          <t>17/03/2026</t>
        </is>
      </c>
      <c r="J5991" t="inlineStr">
        <is>
          <t>Hành chính / Thư ký, Xây dựng, Bất động sản</t>
        </is>
      </c>
      <c r="K5991" t="inlineStr">
        <is>
          <t>1 - 2 Năm</t>
        </is>
      </c>
      <c r="L5991" s="8">
        <f>HYPERLINK("https://careerviet.vn/vi/tim-viec-lam/nhan-vien-hanh-chinh-doi-xay-dung-du-an-khu-nghi-duong-cao-cap.35C634A8.html","Xem chi tiết")</f>
        <v/>
      </c>
    </row>
    <row r="5992">
      <c r="B5992" s="9" t="n">
        <v>5990</v>
      </c>
      <c r="C5992" s="10" t="inlineStr">
        <is>
          <t>Quote Engineer (Kỹ sư Giá thành)</t>
        </is>
      </c>
      <c r="D5992" s="10" t="inlineStr">
        <is>
          <t>CareerViet's client</t>
        </is>
      </c>
      <c r="E5992" s="10" t="inlineStr">
        <is>
          <t>Lương:1.000 - 2.000 USD</t>
        </is>
      </c>
      <c r="F5992" s="10" t="inlineStr">
        <is>
          <t>Hồ Chí Minh</t>
        </is>
      </c>
      <c r="G5992" s="10" t="inlineStr">
        <is>
          <t>1</t>
        </is>
      </c>
      <c r="H5992" s="10" t="inlineStr">
        <is>
          <t>18/03/2026</t>
        </is>
      </c>
      <c r="I5992" s="10" t="inlineStr">
        <is>
          <t>17/03/2026</t>
        </is>
      </c>
      <c r="J5992" s="10" t="inlineStr">
        <is>
          <t>Cơ khí / Ô tô / Tự động hóa, Điện / Điện tử / Điện lạnh / Điện công nghiệp</t>
        </is>
      </c>
      <c r="K5992" s="10" t="inlineStr">
        <is>
          <t>3 - 5 Năm</t>
        </is>
      </c>
      <c r="L5992" s="11">
        <f>HYPERLINK("https://careerviet.vn/vi/tim-viec-lam/quote-engineer-ky-su-gia-thanh.35C68BCA.html","Xem chi tiết")</f>
        <v/>
      </c>
      <c r="M5992" s="10" t="n"/>
    </row>
    <row r="5993">
      <c r="B5993" s="7" t="n">
        <v>5991</v>
      </c>
      <c r="C5993" t="inlineStr">
        <is>
          <t>NSG - Trưởng phòng kinh doanh kênh B2B</t>
        </is>
      </c>
      <c r="D5993" t="inlineStr">
        <is>
          <t>Nova Service Group - Công ty Cổ phần Tập đoàn Nova Services</t>
        </is>
      </c>
      <c r="E5993" t="inlineStr">
        <is>
          <t>Lương:15 Tr - 30 Tr VND</t>
        </is>
      </c>
      <c r="F5993" t="inlineStr">
        <is>
          <t>Hồ Chí Minh</t>
        </is>
      </c>
      <c r="G5993" t="inlineStr">
        <is>
          <t>2</t>
        </is>
      </c>
      <c r="H5993" t="inlineStr">
        <is>
          <t>19/03/2026</t>
        </is>
      </c>
      <c r="I5993" t="inlineStr">
        <is>
          <t>17/03/2026</t>
        </is>
      </c>
      <c r="J5993" t="inlineStr">
        <is>
          <t>Bán hàng / Kinh doanh</t>
        </is>
      </c>
      <c r="K5993" t="inlineStr">
        <is>
          <t>2 - 10 Năm</t>
        </is>
      </c>
      <c r="L5993" s="8">
        <f>HYPERLINK("https://careerviet.vn/vi/tim-viec-lam/nsg-truong-phong-kinh-doanh-kenh-b2b.35C6346B.html","Xem chi tiết")</f>
        <v/>
      </c>
    </row>
    <row r="5994">
      <c r="B5994" s="9" t="n">
        <v>5992</v>
      </c>
      <c r="C5994" s="10" t="inlineStr">
        <is>
          <t>[Cầu Giấy, Hà Nội] Nhân Viên Thu Hồi Nợ Qua Điện Thoại - Thu Nhập 15-20Tr++</t>
        </is>
      </c>
      <c r="D5994" s="10" t="inlineStr">
        <is>
          <t>Công Ty Tài Chính TNHH MB SHINSEI (MCREDIT)</t>
        </is>
      </c>
      <c r="E5994" s="10" t="inlineStr">
        <is>
          <t>Lương:6,5 Tr - 20 Tr VND</t>
        </is>
      </c>
      <c r="F5994" s="10" t="inlineStr">
        <is>
          <t>Hà Nội</t>
        </is>
      </c>
      <c r="G5994" s="10" t="inlineStr">
        <is>
          <t>3</t>
        </is>
      </c>
      <c r="H5994" s="10" t="inlineStr">
        <is>
          <t>20/03/2026</t>
        </is>
      </c>
      <c r="I5994" s="10" t="inlineStr">
        <is>
          <t>17/03/2026</t>
        </is>
      </c>
      <c r="J5994" s="10" t="inlineStr">
        <is>
          <t>Tư vấn, Dịch vụ khách hàng, Tài chính / Đầu tư</t>
        </is>
      </c>
      <c r="K5994" s="10" t="inlineStr">
        <is>
          <t>N/A</t>
        </is>
      </c>
      <c r="L5994" s="11">
        <f>HYPERLINK("https://careerviet.vn/vi/tim-viec-lam/cau-giay-ha-noi-nhan-vien-thu-hoi-no-qua-dien-thoai-thu-nhap-15-20tr.35C66023.html","Xem chi tiết")</f>
        <v/>
      </c>
      <c r="M5994" s="10" t="n"/>
    </row>
    <row r="5995">
      <c r="B5995" s="7" t="n">
        <v>5993</v>
      </c>
      <c r="C5995" t="inlineStr">
        <is>
          <t>Legal IP Manager</t>
        </is>
      </c>
      <c r="D5995" t="inlineStr">
        <is>
          <t>DatVietVAC Group Holdings</t>
        </is>
      </c>
      <c r="E5995" t="inlineStr">
        <is>
          <t>Lương:Cạnh tranh</t>
        </is>
      </c>
      <c r="F5995" t="inlineStr">
        <is>
          <t>Hồ Chí Minh</t>
        </is>
      </c>
      <c r="G5995" t="inlineStr">
        <is>
          <t>2</t>
        </is>
      </c>
      <c r="H5995" t="inlineStr">
        <is>
          <t>19/03/2026</t>
        </is>
      </c>
      <c r="I5995" t="inlineStr">
        <is>
          <t>17/03/2026</t>
        </is>
      </c>
      <c r="J5995" t="inlineStr">
        <is>
          <t>Giải trí, Truyền hình / Báo chí / Biên tập, Quảng cáo / Đối ngoại / Truyền Thông</t>
        </is>
      </c>
      <c r="K5995" t="inlineStr">
        <is>
          <t>Trên 3 Năm</t>
        </is>
      </c>
      <c r="L5995" s="8">
        <f>HYPERLINK("https://careerviet.vn/vi/tim-viec-lam/legal-ip-manager.35C634F8.html","Xem chi tiết")</f>
        <v/>
      </c>
    </row>
    <row r="5996">
      <c r="B5996" s="9" t="n">
        <v>5994</v>
      </c>
      <c r="C5996" s="10" t="inlineStr">
        <is>
          <t>Senior Collection Analyst</t>
        </is>
      </c>
      <c r="D5996" s="10" t="inlineStr">
        <is>
          <t>CÔNG TY CỔ PHẦN KREDIVO VIỆT NAM</t>
        </is>
      </c>
      <c r="E5996" s="10" t="inlineStr">
        <is>
          <t>Lương:Cạnh tranh</t>
        </is>
      </c>
      <c r="F5996" s="10" t="inlineStr">
        <is>
          <t>Hồ Chí Minh</t>
        </is>
      </c>
      <c r="G5996" s="10" t="inlineStr">
        <is>
          <t>2</t>
        </is>
      </c>
      <c r="H5996" s="10" t="inlineStr">
        <is>
          <t>19/03/2026</t>
        </is>
      </c>
      <c r="I5996" s="10" t="inlineStr">
        <is>
          <t>17/03/2026</t>
        </is>
      </c>
      <c r="J5996" s="10" t="inlineStr">
        <is>
          <t>Ngân hàng, Tài chính / Đầu tư</t>
        </is>
      </c>
      <c r="K5996" s="10" t="inlineStr">
        <is>
          <t>4 - 6 Năm</t>
        </is>
      </c>
      <c r="L5996" s="11">
        <f>HYPERLINK("https://careerviet.vn/vi/tim-viec-lam/senior-collection-analyst.35C634D1.html","Xem chi tiết")</f>
        <v/>
      </c>
      <c r="M5996" s="10" t="n"/>
    </row>
    <row r="5997">
      <c r="B5997" s="7" t="n">
        <v>5995</v>
      </c>
      <c r="C5997" t="inlineStr">
        <is>
          <t>Chuyên gia tính toán Bảo hiểm Phi nhân thọ (Actuary Anylist)</t>
        </is>
      </c>
      <c r="D5997" t="inlineStr">
        <is>
          <t>TỔNG CÔNG TY CỔ PHẦN BẢO HIỂM HÙNG VƯƠNG</t>
        </is>
      </c>
      <c r="E5997" t="inlineStr">
        <is>
          <t>Lương:Cạnh tranh</t>
        </is>
      </c>
      <c r="F5997" t="inlineStr">
        <is>
          <t>Hà NộiHồ Chí Minh</t>
        </is>
      </c>
      <c r="G5997" t="inlineStr">
        <is>
          <t>2</t>
        </is>
      </c>
      <c r="H5997" t="inlineStr">
        <is>
          <t>19/03/2026</t>
        </is>
      </c>
      <c r="I5997" t="inlineStr">
        <is>
          <t>17/03/2026</t>
        </is>
      </c>
      <c r="J5997" t="inlineStr">
        <is>
          <t>Bảo hiểm, Quản lý chất lượng (QA/QC)</t>
        </is>
      </c>
      <c r="K5997" t="inlineStr">
        <is>
          <t>Trên 5 Năm</t>
        </is>
      </c>
      <c r="L5997" s="8">
        <f>HYPERLINK("https://careerviet.vn/vi/tim-viec-lam/chuyen-gia-tinh-toan-bao-hiem-phi-nhan-tho-actuary-anylist.35C634AB.html","Xem chi tiết")</f>
        <v/>
      </c>
    </row>
    <row r="5998">
      <c r="B5998" s="9" t="n">
        <v>5996</v>
      </c>
      <c r="C5998" s="10" t="inlineStr">
        <is>
          <t>Cán bộ Kỹ sư QS Xây Dựng</t>
        </is>
      </c>
      <c r="D5998" s="10" t="inlineStr">
        <is>
          <t>Công Ty Cổ Phần Xây Dựng CDC</t>
        </is>
      </c>
      <c r="E5998" s="10" t="inlineStr">
        <is>
          <t>Lương:17 Tr - 25 Tr VND</t>
        </is>
      </c>
      <c r="F5998" s="10" t="inlineStr">
        <is>
          <t>Hà NộiBình DươngNghệ An</t>
        </is>
      </c>
      <c r="G5998" s="10" t="inlineStr">
        <is>
          <t>2</t>
        </is>
      </c>
      <c r="H5998" s="10" t="inlineStr">
        <is>
          <t>19/03/2026</t>
        </is>
      </c>
      <c r="I5998" s="10" t="inlineStr">
        <is>
          <t>17/03/2026</t>
        </is>
      </c>
      <c r="J5998" s="10" t="inlineStr">
        <is>
          <t>Xây dựng</t>
        </is>
      </c>
      <c r="K5998" s="10" t="inlineStr">
        <is>
          <t>1 - 5 Năm</t>
        </is>
      </c>
      <c r="L5998" s="11">
        <f>HYPERLINK("https://careerviet.vn/vi/tim-viec-lam/can-bo-ky-su-qs-xay-dung.35C63433.html","Xem chi tiết")</f>
        <v/>
      </c>
      <c r="M5998" s="10" t="n"/>
    </row>
    <row r="5999">
      <c r="B5999" s="7" t="n">
        <v>5997</v>
      </c>
      <c r="C5999" t="inlineStr">
        <is>
          <t>Nhân Viên Hậu Mãi Kho Thương Mại Điện Tử</t>
        </is>
      </c>
      <c r="D5999" t="inlineStr">
        <is>
          <t>JoyMall - Nhà Phân Phối Locknlock</t>
        </is>
      </c>
      <c r="E5999" t="inlineStr">
        <is>
          <t>Lương:6 Tr - 9 Tr VND</t>
        </is>
      </c>
      <c r="F5999" t="inlineStr">
        <is>
          <t>Hồ Chí Minh</t>
        </is>
      </c>
      <c r="G5999" t="inlineStr">
        <is>
          <t>31-03-2026</t>
        </is>
      </c>
      <c r="H5999" t="inlineStr">
        <is>
          <t>31/03/2026</t>
        </is>
      </c>
      <c r="I5999" t="inlineStr">
        <is>
          <t>17/03/2026</t>
        </is>
      </c>
      <c r="J5999" t="inlineStr">
        <is>
          <t>Vận chuyển / Giao nhận / Kho vận, Thương mại điện tử, Sản xuất / Vận hành sản xuất</t>
        </is>
      </c>
      <c r="K5999" t="inlineStr">
        <is>
          <t>Lên đến 1 Năm</t>
        </is>
      </c>
      <c r="L5999" s="8">
        <f>HYPERLINK("https://careerviet.vn/vi/tim-viec-lam/nhan-vien-hau-mai-kho-thuong-mai-dien-tu.35C6A051.html","Xem chi tiết")</f>
        <v/>
      </c>
    </row>
    <row r="6000">
      <c r="B6000" s="9" t="n">
        <v>5998</v>
      </c>
      <c r="C6000" s="10" t="inlineStr">
        <is>
          <t>Trường phòng pháp chế</t>
        </is>
      </c>
      <c r="D6000" s="10" t="inlineStr">
        <is>
          <t>CÔNG TY CỔ PHẦN CHĂN NUÔI MAVIN</t>
        </is>
      </c>
      <c r="E6000" s="10" t="inlineStr">
        <is>
          <t>Lương:Cạnh tranh</t>
        </is>
      </c>
      <c r="F6000" s="10" t="inlineStr">
        <is>
          <t>Hà Nội</t>
        </is>
      </c>
      <c r="G6000" s="10" t="inlineStr">
        <is>
          <t>2</t>
        </is>
      </c>
      <c r="H6000" s="10" t="inlineStr">
        <is>
          <t>19/03/2026</t>
        </is>
      </c>
      <c r="I6000" s="10" t="inlineStr">
        <is>
          <t>17/03/2026</t>
        </is>
      </c>
      <c r="J6000" s="10" t="inlineStr">
        <is>
          <t>Luật / Pháp lý</t>
        </is>
      </c>
      <c r="K6000" s="10" t="inlineStr">
        <is>
          <t>3 - 5 Năm</t>
        </is>
      </c>
      <c r="L6000" s="11">
        <f>HYPERLINK("https://careerviet.vn/vi/tim-viec-lam/truong-phong-phap-che.35C63487.html","Xem chi tiết")</f>
        <v/>
      </c>
      <c r="M6000" s="10" t="n"/>
    </row>
    <row r="6001">
      <c r="B6001" s="7" t="n">
        <v>5999</v>
      </c>
      <c r="C6001" t="inlineStr">
        <is>
          <t>Kế toán trưởng tổng công ty (Có thể nhận việc sau tết âm lịch)</t>
        </is>
      </c>
      <c r="D6001" t="inlineStr">
        <is>
          <t>CÔNG TY CỔ PHẦN CÔNG NGHIỆP WELDCOM</t>
        </is>
      </c>
      <c r="E6001" t="inlineStr">
        <is>
          <t>Lương:35 Tr - 50 Tr VND</t>
        </is>
      </c>
      <c r="F6001" t="inlineStr">
        <is>
          <t>Hà Nội</t>
        </is>
      </c>
      <c r="G6001" t="inlineStr">
        <is>
          <t>3</t>
        </is>
      </c>
      <c r="H6001" t="inlineStr">
        <is>
          <t>20/03/2026</t>
        </is>
      </c>
      <c r="I6001" t="inlineStr">
        <is>
          <t>17/03/2026</t>
        </is>
      </c>
      <c r="J6001" t="inlineStr">
        <is>
          <t>Kế toán / Kiểm toán, Tài chính / Đầu tư</t>
        </is>
      </c>
      <c r="K6001" t="inlineStr">
        <is>
          <t>3 - 5 Năm</t>
        </is>
      </c>
      <c r="L6001" s="8">
        <f>HYPERLINK("https://careerviet.vn/vi/tim-viec-lam/ke-toan-truong-tong-cong-ty-co-the-nhan-viec-sau-tet-am-lich.35C63619.html","Xem chi tiết")</f>
        <v/>
      </c>
    </row>
    <row r="6002">
      <c r="B6002" s="9" t="n">
        <v>6000</v>
      </c>
      <c r="C6002" s="10" t="inlineStr">
        <is>
          <t>[Sông cầu - Bình Định] BÁC SĨ KHÁM SÀNG LỌC</t>
        </is>
      </c>
      <c r="D6002" s="10" t="inlineStr">
        <is>
          <t>Công Ty Cổ Phần Vacxin Việt Nam</t>
        </is>
      </c>
      <c r="E6002" s="10" t="inlineStr">
        <is>
          <t>Lương:Cạnh tranh</t>
        </is>
      </c>
      <c r="F6002" s="10" t="inlineStr">
        <is>
          <t>Dak LakQuảng NamBình Định</t>
        </is>
      </c>
      <c r="G6002" s="10" t="inlineStr">
        <is>
          <t>2</t>
        </is>
      </c>
      <c r="H6002" s="10" t="inlineStr">
        <is>
          <t>19/03/2026</t>
        </is>
      </c>
      <c r="I6002" s="10" t="inlineStr">
        <is>
          <t>17/03/2026</t>
        </is>
      </c>
      <c r="J6002" s="10" t="inlineStr">
        <is>
          <t>Dược phẩm/ Hóa Mỹ Phẩm, Y tế / Chăm sóc sức khỏe / Thẩm mỹ / Làm đẹp, Dịch vụ khách hàng</t>
        </is>
      </c>
      <c r="K6002" s="10" t="inlineStr">
        <is>
          <t>1 - 2 Năm</t>
        </is>
      </c>
      <c r="L6002" s="11">
        <f>HYPERLINK("https://careerviet.vn/vi/tim-viec-lam/song-cau-binh-dinh-bac-si-kham-sang-loc.35C634B0.html","Xem chi tiết")</f>
        <v/>
      </c>
      <c r="M6002" s="10" t="n"/>
    </row>
    <row r="6003">
      <c r="B6003" s="7" t="n">
        <v>6001</v>
      </c>
      <c r="C6003" t="inlineStr">
        <is>
          <t>Quản lý hỗ trợ kỹ thuật(Mới)</t>
        </is>
      </c>
      <c r="D6003" t="inlineStr">
        <is>
          <t>Công ty Cổ phần thực phẩm và đồ uống Barett</t>
        </is>
      </c>
      <c r="E6003" t="inlineStr">
        <is>
          <t>Lương:20 Tr - 25 Tr VND</t>
        </is>
      </c>
      <c r="F6003" t="inlineStr">
        <is>
          <t>Hưng Yên</t>
        </is>
      </c>
      <c r="G6003" t="inlineStr">
        <is>
          <t>11-04-2026</t>
        </is>
      </c>
      <c r="H6003" t="inlineStr">
        <is>
          <t>11/04/2026</t>
        </is>
      </c>
      <c r="I6003" t="inlineStr">
        <is>
          <t>17/03/2026</t>
        </is>
      </c>
      <c r="J6003" t="inlineStr">
        <is>
          <t>Điện / Điện tử / Điện lạnh / Điện công nghiệp</t>
        </is>
      </c>
      <c r="K6003" t="inlineStr">
        <is>
          <t>2 - 3 Năm</t>
        </is>
      </c>
      <c r="L6003" s="8">
        <f>HYPERLINK("https://careerviet.vn/vi/tim-viec-lam/quan-ly-ho-tro-ky-thuat.35C6D085.html","Xem chi tiết")</f>
        <v/>
      </c>
    </row>
    <row r="6004">
      <c r="B6004" s="9" t="n">
        <v>6002</v>
      </c>
      <c r="C6004" s="10" t="inlineStr">
        <is>
          <t>Trưởng Nhóm Marketing Hà Nội</t>
        </is>
      </c>
      <c r="D6004" s="10" t="inlineStr">
        <is>
          <t>TẬP ĐOÀN Y TẾ VIỆT - NGA</t>
        </is>
      </c>
      <c r="E6004" s="10" t="inlineStr">
        <is>
          <t>Lương:20 Tr - 25 Tr VND</t>
        </is>
      </c>
      <c r="F6004" s="10" t="inlineStr">
        <is>
          <t>Hà Nội</t>
        </is>
      </c>
      <c r="G6004" s="10" t="inlineStr">
        <is>
          <t>2</t>
        </is>
      </c>
      <c r="H6004" s="10" t="inlineStr">
        <is>
          <t>19/03/2026</t>
        </is>
      </c>
      <c r="I6004" s="10" t="inlineStr">
        <is>
          <t>17/03/2026</t>
        </is>
      </c>
      <c r="J6004" s="10" t="inlineStr">
        <is>
          <t>Y tế / Chăm sóc sức khỏe / Thẩm mỹ / Làm đẹp, Quản lý điều hành, Tiếp thị / Marketing</t>
        </is>
      </c>
      <c r="K6004" s="10" t="inlineStr">
        <is>
          <t>Trên 2 Năm</t>
        </is>
      </c>
      <c r="L6004" s="11">
        <f>HYPERLINK("https://careerviet.vn/vi/tim-viec-lam/truong-nhom-marketing-ha-noi.35C6356C.html","Xem chi tiết")</f>
        <v/>
      </c>
      <c r="M6004" s="10" t="n"/>
    </row>
    <row r="6005">
      <c r="B6005" s="7" t="n">
        <v>6003</v>
      </c>
      <c r="C6005" t="inlineStr">
        <is>
          <t>TRƯỞNG PHÒNG KINH DOANH(Mới)</t>
        </is>
      </c>
      <c r="D6005" t="inlineStr">
        <is>
          <t>Tổng Công Ty Cổ Phần Bảo Hiểm Ngân Hàng TMCP Công Thương Việt Nam</t>
        </is>
      </c>
      <c r="E6005" t="inlineStr">
        <is>
          <t>Lương:Cạnh tranh</t>
        </is>
      </c>
      <c r="F6005" t="inlineStr">
        <is>
          <t>Vĩnh Long</t>
        </is>
      </c>
      <c r="G6005" t="inlineStr">
        <is>
          <t>29-04-2026</t>
        </is>
      </c>
      <c r="H6005" t="inlineStr">
        <is>
          <t>29/04/2026</t>
        </is>
      </c>
      <c r="I6005" t="inlineStr">
        <is>
          <t>17/03/2026</t>
        </is>
      </c>
      <c r="J6005" t="inlineStr">
        <is>
          <t>Ngân hàng, Bảo hiểm</t>
        </is>
      </c>
      <c r="K6005" t="inlineStr">
        <is>
          <t>3 - 5 Năm</t>
        </is>
      </c>
      <c r="L6005" s="8">
        <f>HYPERLINK("https://careerviet.vn/vi/tim-viec-lam/truong-phong-kinh-doanh.35C6D08D.html","Xem chi tiết")</f>
        <v/>
      </c>
    </row>
    <row r="6006">
      <c r="B6006" s="9" t="n">
        <v>6004</v>
      </c>
      <c r="C6006" s="10" t="inlineStr">
        <is>
          <t>Chuyên viên tuyển dụng(Mới)</t>
        </is>
      </c>
      <c r="D6006" s="10" t="inlineStr">
        <is>
          <t>Công Ty Cổ Phần Công Nghiệp Và Thương Mại Cường Thịnh</t>
        </is>
      </c>
      <c r="E6006" s="10" t="inlineStr">
        <is>
          <t>Lương:12 Tr - 15 Tr VND</t>
        </is>
      </c>
      <c r="F6006" s="10" t="inlineStr">
        <is>
          <t>Hồ Chí Minh</t>
        </is>
      </c>
      <c r="G6006" s="10" t="inlineStr">
        <is>
          <t>15-04-2026</t>
        </is>
      </c>
      <c r="H6006" s="10" t="inlineStr">
        <is>
          <t>15/04/2026</t>
        </is>
      </c>
      <c r="I6006" s="10" t="inlineStr">
        <is>
          <t>17/03/2026</t>
        </is>
      </c>
      <c r="J6006" s="10" t="inlineStr">
        <is>
          <t>Nhân sự</t>
        </is>
      </c>
      <c r="K6006" s="10" t="inlineStr">
        <is>
          <t>1 - 2 Năm</t>
        </is>
      </c>
      <c r="L6006" s="11">
        <f>HYPERLINK("https://careerviet.vn/vi/tim-viec-lam/chuyen-vien-tuyen-dung.35C6D027.html","Xem chi tiết")</f>
        <v/>
      </c>
      <c r="M6006" s="10" t="n"/>
    </row>
    <row r="6007">
      <c r="B6007" s="7" t="n">
        <v>6005</v>
      </c>
      <c r="C6007" t="inlineStr">
        <is>
          <t>Nhân viên kinh doanh(Mới)</t>
        </is>
      </c>
      <c r="D6007" t="inlineStr">
        <is>
          <t>Tổng Công Ty Cổ Phần Bảo Hiểm Ngân Hàng TMCP Công Thương Việt Nam</t>
        </is>
      </c>
      <c r="E6007" t="inlineStr">
        <is>
          <t>Lương:Cạnh tranh</t>
        </is>
      </c>
      <c r="F6007" t="inlineStr">
        <is>
          <t>Vĩnh Long</t>
        </is>
      </c>
      <c r="G6007" t="inlineStr">
        <is>
          <t>29-04-2026</t>
        </is>
      </c>
      <c r="H6007" t="inlineStr">
        <is>
          <t>29/04/2026</t>
        </is>
      </c>
      <c r="I6007" t="inlineStr">
        <is>
          <t>17/03/2026</t>
        </is>
      </c>
      <c r="J6007" t="inlineStr">
        <is>
          <t>Bảo hiểm</t>
        </is>
      </c>
      <c r="K6007" t="inlineStr">
        <is>
          <t>N/A</t>
        </is>
      </c>
      <c r="L6007" s="8">
        <f>HYPERLINK("https://careerviet.vn/vi/tim-viec-lam/nhan-vien-kinh-doanh.35C6D08A.html","Xem chi tiết")</f>
        <v/>
      </c>
    </row>
    <row r="6008">
      <c r="B6008" s="9" t="n">
        <v>6006</v>
      </c>
      <c r="C6008" s="10" t="inlineStr">
        <is>
          <t>Creative Planner(Mới)</t>
        </is>
      </c>
      <c r="D6008" s="10" t="inlineStr">
        <is>
          <t>Công Ty Cổ Phần TEECOM</t>
        </is>
      </c>
      <c r="E6008" s="10" t="inlineStr">
        <is>
          <t>Lương:Cạnh tranh</t>
        </is>
      </c>
      <c r="F6008" s="10" t="inlineStr">
        <is>
          <t>Hồ Chí Minh</t>
        </is>
      </c>
      <c r="G6008" s="10" t="inlineStr">
        <is>
          <t>17-04-2026</t>
        </is>
      </c>
      <c r="H6008" s="10" t="inlineStr">
        <is>
          <t>17/04/2026</t>
        </is>
      </c>
      <c r="I6008" s="10" t="inlineStr">
        <is>
          <t>17/03/2026</t>
        </is>
      </c>
      <c r="J6008" s="10" t="inlineStr">
        <is>
          <t>Tiếp thị trực tuyến, Thương mại điện tử, Mỹ thuật / Nghệ thuật / Thiết kế</t>
        </is>
      </c>
      <c r="K6008" s="10" t="inlineStr">
        <is>
          <t>2 - 4 Năm</t>
        </is>
      </c>
      <c r="L6008" s="11">
        <f>HYPERLINK("https://careerviet.vn/vi/tim-viec-lam/creative-planner.35C6CFB4.html","Xem chi tiết")</f>
        <v/>
      </c>
      <c r="M6008" s="10" t="n"/>
    </row>
    <row r="6009">
      <c r="B6009" s="7" t="n">
        <v>6007</v>
      </c>
      <c r="C6009" t="inlineStr">
        <is>
          <t>Senior HR Executive</t>
        </is>
      </c>
      <c r="D6009" t="inlineStr">
        <is>
          <t>Bảo mật</t>
        </is>
      </c>
      <c r="E6009" t="inlineStr">
        <is>
          <t>Lương:Cạnh tranh</t>
        </is>
      </c>
      <c r="F6009" t="inlineStr">
        <is>
          <t>Bình Dương</t>
        </is>
      </c>
      <c r="G6009" t="inlineStr">
        <is>
          <t>31-03-2026</t>
        </is>
      </c>
      <c r="H6009" t="inlineStr">
        <is>
          <t>31/03/2026</t>
        </is>
      </c>
      <c r="I6009" t="inlineStr">
        <is>
          <t>17/03/2026</t>
        </is>
      </c>
      <c r="J6009" t="inlineStr">
        <is>
          <t>Nhân sự</t>
        </is>
      </c>
      <c r="K6009" t="inlineStr">
        <is>
          <t>3 - 10 Năm</t>
        </is>
      </c>
      <c r="L6009" s="8">
        <f>HYPERLINK("https://careerviet.vn/vi/tim-viec-lam/senior-hr-executive.35C6A0F3.html","Xem chi tiết")</f>
        <v/>
      </c>
    </row>
    <row r="6010">
      <c r="B6010" s="9" t="n">
        <v>6008</v>
      </c>
      <c r="C6010" s="10" t="inlineStr">
        <is>
          <t>Nhân Viên Sales Admin(Mới)</t>
        </is>
      </c>
      <c r="D6010" s="10" t="inlineStr">
        <is>
          <t>Tập Đoàn Karofi Holding</t>
        </is>
      </c>
      <c r="E6010" s="10" t="inlineStr">
        <is>
          <t>Lương:10 Tr - 12 Tr VND</t>
        </is>
      </c>
      <c r="F6010" s="10" t="inlineStr">
        <is>
          <t>Hà Nội</t>
        </is>
      </c>
      <c r="G6010" s="10" t="inlineStr">
        <is>
          <t>29-04-2026</t>
        </is>
      </c>
      <c r="H6010" s="10" t="inlineStr">
        <is>
          <t>29/04/2026</t>
        </is>
      </c>
      <c r="I6010" s="10" t="inlineStr">
        <is>
          <t>17/03/2026</t>
        </is>
      </c>
      <c r="J6010" s="10" t="inlineStr">
        <is>
          <t>Hành chính / Thư ký, Dịch vụ khách hàng, Bán hàng / Kinh doanh</t>
        </is>
      </c>
      <c r="K6010" s="10" t="inlineStr">
        <is>
          <t>1 - 2 Năm</t>
        </is>
      </c>
      <c r="L6010" s="11">
        <f>HYPERLINK("https://careerviet.vn/vi/tim-viec-lam/nhan-vien-sales-admin.35C6D082.html","Xem chi tiết")</f>
        <v/>
      </c>
      <c r="M6010" s="10" t="n"/>
    </row>
    <row r="6011">
      <c r="B6011" s="7" t="n">
        <v>6009</v>
      </c>
      <c r="C6011" t="inlineStr">
        <is>
          <t>CHUYÊN VIÊN QS VĂN PHÒNG(Mới)</t>
        </is>
      </c>
      <c r="D6011" t="inlineStr">
        <is>
          <t>CÔNG TY TNHH CƠ KHÍ THIẾT KẾ XÂY DỰNG TUẤN HẢO</t>
        </is>
      </c>
      <c r="E6011" t="inlineStr">
        <is>
          <t>Lương:15 Tr - 20 Tr VND</t>
        </is>
      </c>
      <c r="F6011" t="inlineStr">
        <is>
          <t>Hồ Chí Minh</t>
        </is>
      </c>
      <c r="G6011" t="inlineStr">
        <is>
          <t>16-04-2026</t>
        </is>
      </c>
      <c r="H6011" t="inlineStr">
        <is>
          <t>16/04/2026</t>
        </is>
      </c>
      <c r="I6011" t="inlineStr">
        <is>
          <t>17/03/2026</t>
        </is>
      </c>
      <c r="J6011" t="inlineStr">
        <is>
          <t>Xây dựng</t>
        </is>
      </c>
      <c r="K6011" t="inlineStr">
        <is>
          <t>2 - 5 Năm</t>
        </is>
      </c>
      <c r="L6011" s="8">
        <f>HYPERLINK("https://careerviet.vn/vi/tim-viec-lam/chuyen-vien-qs-van-phong.35C6D07D.html","Xem chi tiết")</f>
        <v/>
      </c>
    </row>
    <row r="6012">
      <c r="B6012" s="9" t="n">
        <v>6010</v>
      </c>
      <c r="C6012" s="10" t="inlineStr">
        <is>
          <t>Nhân viên dịch vụ khách hàng/ Customer Service Staff(Mới)</t>
        </is>
      </c>
      <c r="D6012" s="10" t="inlineStr">
        <is>
          <t>Bảo mật</t>
        </is>
      </c>
      <c r="E6012" s="10" t="inlineStr">
        <is>
          <t>Lương:Cạnh tranh</t>
        </is>
      </c>
      <c r="F6012" s="10" t="inlineStr">
        <is>
          <t>Bình Dương</t>
        </is>
      </c>
      <c r="G6012" s="10" t="inlineStr">
        <is>
          <t>04-04-2026</t>
        </is>
      </c>
      <c r="H6012" s="10" t="inlineStr">
        <is>
          <t>04/04/2026</t>
        </is>
      </c>
      <c r="I6012" s="10" t="inlineStr">
        <is>
          <t>17/03/2026</t>
        </is>
      </c>
      <c r="J6012" s="10" t="inlineStr">
        <is>
          <t>Dịch vụ khách hàng</t>
        </is>
      </c>
      <c r="K6012" s="10" t="inlineStr">
        <is>
          <t>2 - 3 Năm</t>
        </is>
      </c>
      <c r="L6012" s="11">
        <f>HYPERLINK("https://careerviet.vn/vi/tim-viec-lam/nhan-vien-dich-vu-khach-hang-customer-service-staff.35C1569D.html","Xem chi tiết")</f>
        <v/>
      </c>
      <c r="M6012" s="10" t="n"/>
    </row>
    <row r="6013">
      <c r="B6013" s="7" t="n">
        <v>6011</v>
      </c>
      <c r="C6013" t="inlineStr">
        <is>
          <t>Điều phối dự án Label Data Tiếng Anh(Mới)</t>
        </is>
      </c>
      <c r="D6013" t="inlineStr">
        <is>
          <t>CÔNG TY CỔ PHẦN CÔNG NGHỆ PREP</t>
        </is>
      </c>
      <c r="E6013" t="inlineStr">
        <is>
          <t>Lương:15 Tr - 18 Tr VND</t>
        </is>
      </c>
      <c r="F6013" t="inlineStr">
        <is>
          <t>Đà Nẵng</t>
        </is>
      </c>
      <c r="G6013" t="inlineStr">
        <is>
          <t>17-04-2026</t>
        </is>
      </c>
      <c r="H6013" t="inlineStr">
        <is>
          <t>17/04/2026</t>
        </is>
      </c>
      <c r="I6013" t="inlineStr">
        <is>
          <t>17/03/2026</t>
        </is>
      </c>
      <c r="J6013" t="inlineStr">
        <is>
          <t>Giáo dục / Đào tạo, CNTT - Phần mềm</t>
        </is>
      </c>
      <c r="K6013" t="inlineStr">
        <is>
          <t>Lên đến 3 Năm</t>
        </is>
      </c>
      <c r="L6013" s="8">
        <f>HYPERLINK("https://careerviet.vn/vi/tim-viec-lam/dieu-phoi-du-an-label-data-tieng-anh.35C6D07F.html","Xem chi tiết")</f>
        <v/>
      </c>
    </row>
    <row r="6014">
      <c r="B6014" s="9" t="n">
        <v>6012</v>
      </c>
      <c r="C6014" s="10" t="inlineStr">
        <is>
          <t>Chuyên Viên Tuyển Dụng(Mới)</t>
        </is>
      </c>
      <c r="D6014" s="10" t="inlineStr">
        <is>
          <t>Công ty cổ phần Anvy</t>
        </is>
      </c>
      <c r="E6014" s="10" t="inlineStr">
        <is>
          <t>Lương:14 Tr - 18 Tr VND</t>
        </is>
      </c>
      <c r="F6014" s="10" t="inlineStr">
        <is>
          <t>Hồ Chí Minh</t>
        </is>
      </c>
      <c r="G6014" s="10" t="inlineStr">
        <is>
          <t>07-04-2026</t>
        </is>
      </c>
      <c r="H6014" s="10" t="inlineStr">
        <is>
          <t>07/04/2026</t>
        </is>
      </c>
      <c r="I6014" s="10" t="inlineStr">
        <is>
          <t>17/03/2026</t>
        </is>
      </c>
      <c r="J6014" s="10" t="inlineStr">
        <is>
          <t>Dược phẩm/ Hóa Mỹ Phẩm, Hành chính / Thư ký, Nhân sự</t>
        </is>
      </c>
      <c r="K6014" s="10" t="inlineStr">
        <is>
          <t>2 - 3 Năm</t>
        </is>
      </c>
      <c r="L6014" s="11">
        <f>HYPERLINK("https://careerviet.vn/vi/tim-viec-lam/chuyen-vien-tuyen-dung.35C6D079.html","Xem chi tiết")</f>
        <v/>
      </c>
      <c r="M6014" s="10" t="n"/>
    </row>
    <row r="6015">
      <c r="B6015" s="7" t="n">
        <v>6013</v>
      </c>
      <c r="C6015" t="inlineStr">
        <is>
          <t>Chuyên Viên Đầu Tư(Mới)</t>
        </is>
      </c>
      <c r="D6015" t="inlineStr">
        <is>
          <t>CÔNG TY CỔ PHẦN ĐẦU TƯ DANCO</t>
        </is>
      </c>
      <c r="E6015" t="inlineStr">
        <is>
          <t>Lương:15 Tr - 25 Tr VND</t>
        </is>
      </c>
      <c r="F6015" t="inlineStr">
        <is>
          <t>Hà Nội</t>
        </is>
      </c>
      <c r="G6015" t="inlineStr">
        <is>
          <t>30-04-2026</t>
        </is>
      </c>
      <c r="H6015" t="inlineStr">
        <is>
          <t>30/04/2026</t>
        </is>
      </c>
      <c r="I6015" t="inlineStr">
        <is>
          <t>17/03/2026</t>
        </is>
      </c>
      <c r="J6015" t="inlineStr">
        <is>
          <t>Tài chính / Đầu tư, Ngân hàng, Xây dựng</t>
        </is>
      </c>
      <c r="K6015" t="inlineStr">
        <is>
          <t>Trên 1 Năm</t>
        </is>
      </c>
      <c r="L6015" s="8">
        <f>HYPERLINK("https://careerviet.vn/vi/tim-viec-lam/chuyen-vien-dau-tu.35C6D071.html","Xem chi tiết")</f>
        <v/>
      </c>
    </row>
    <row r="6016">
      <c r="B6016" s="9" t="n">
        <v>6014</v>
      </c>
      <c r="C6016" s="10" t="inlineStr">
        <is>
          <t>Chuyên Viên Digital Marketing (Google Ads)(Mới)</t>
        </is>
      </c>
      <c r="D6016" s="10" t="inlineStr">
        <is>
          <t>Công Ty TNHH XNK Phát Triển Đông Dương</t>
        </is>
      </c>
      <c r="E6016" s="10" t="inlineStr">
        <is>
          <t>Lương:15 Tr - 25 Tr VND</t>
        </is>
      </c>
      <c r="F6016" s="10" t="inlineStr">
        <is>
          <t>Hồ Chí Minh</t>
        </is>
      </c>
      <c r="G6016" s="10" t="inlineStr">
        <is>
          <t>20-04-2026</t>
        </is>
      </c>
      <c r="H6016" s="10" t="inlineStr">
        <is>
          <t>20/04/2026</t>
        </is>
      </c>
      <c r="I6016" s="10" t="inlineStr">
        <is>
          <t>17/03/2026</t>
        </is>
      </c>
      <c r="J6016" s="10" t="inlineStr">
        <is>
          <t>Tiếp thị / Marketing, Tiếp thị trực tuyến, Quảng cáo / Đối ngoại / Truyền Thông</t>
        </is>
      </c>
      <c r="K6016" s="10" t="inlineStr">
        <is>
          <t>2 - 5 Năm</t>
        </is>
      </c>
      <c r="L6016" s="11">
        <f>HYPERLINK("https://careerviet.vn/vi/tim-viec-lam/chuyen-vien-digital-marketing-google-ads.35C6D073.html","Xem chi tiết")</f>
        <v/>
      </c>
      <c r="M6016" s="10" t="n"/>
    </row>
    <row r="6017">
      <c r="B6017" s="7" t="n">
        <v>6015</v>
      </c>
      <c r="C6017" t="inlineStr">
        <is>
          <t>KẾ TOÁN TRƯỞNG  ( SA PA - LÀO CAI )(Mới)</t>
        </is>
      </c>
      <c r="D6017" t="inlineStr">
        <is>
          <t>Công ty Cổ Phần Sản Xuất Dịch Vụ và Thương Mại Phát Linh</t>
        </is>
      </c>
      <c r="E6017" t="inlineStr">
        <is>
          <t>Lương:15 Tr - 17 Tr VND</t>
        </is>
      </c>
      <c r="F6017" t="inlineStr">
        <is>
          <t>Lào Cai</t>
        </is>
      </c>
      <c r="G6017" t="inlineStr">
        <is>
          <t>30-04-2026</t>
        </is>
      </c>
      <c r="H6017" t="inlineStr">
        <is>
          <t>30/04/2026</t>
        </is>
      </c>
      <c r="I6017" t="inlineStr">
        <is>
          <t>17/03/2026</t>
        </is>
      </c>
      <c r="J6017" t="inlineStr">
        <is>
          <t>Hành chính / Thư ký, Nhân sự, Kế toán / Kiểm toán</t>
        </is>
      </c>
      <c r="K6017" t="inlineStr">
        <is>
          <t>2 - 3 Năm</t>
        </is>
      </c>
      <c r="L6017" s="8">
        <f>HYPERLINK("https://careerviet.vn/vi/tim-viec-lam/ke-toan-truong-sa-pa-lao-cai.35C6D074.html","Xem chi tiết")</f>
        <v/>
      </c>
    </row>
    <row r="6018">
      <c r="B6018" s="9" t="n">
        <v>6016</v>
      </c>
      <c r="C6018" s="10" t="inlineStr">
        <is>
          <t>Marketing Team Leader(Mới)</t>
        </is>
      </c>
      <c r="D6018" s="10" t="inlineStr">
        <is>
          <t>California Wellness Group</t>
        </is>
      </c>
      <c r="E6018" s="10" t="inlineStr">
        <is>
          <t>Lương:Cạnh tranh</t>
        </is>
      </c>
      <c r="F6018" s="10" t="inlineStr">
        <is>
          <t>Hồ Chí Minh</t>
        </is>
      </c>
      <c r="G6018" s="10" t="inlineStr">
        <is>
          <t>30-04-2026</t>
        </is>
      </c>
      <c r="H6018" s="10" t="inlineStr">
        <is>
          <t>30/04/2026</t>
        </is>
      </c>
      <c r="I6018" s="10" t="inlineStr">
        <is>
          <t>17/03/2026</t>
        </is>
      </c>
      <c r="J6018" s="10" t="inlineStr">
        <is>
          <t>Tiếp thị / Marketing</t>
        </is>
      </c>
      <c r="K6018" s="10" t="inlineStr">
        <is>
          <t>2 - 5 Năm</t>
        </is>
      </c>
      <c r="L6018" s="11">
        <f>HYPERLINK("https://careerviet.vn/vi/tim-viec-lam/marketing-team-leader.35C6D06B.html","Xem chi tiết")</f>
        <v/>
      </c>
      <c r="M6018" s="10" t="n"/>
    </row>
    <row r="6019">
      <c r="B6019" s="7" t="n">
        <v>6017</v>
      </c>
      <c r="C6019" t="inlineStr">
        <is>
          <t>Purchasing Intern (6 Months)(Mới)</t>
        </is>
      </c>
      <c r="D6019" t="inlineStr">
        <is>
          <t>MOTIVES VIETNAM CORPORATION</t>
        </is>
      </c>
      <c r="E6019" t="inlineStr">
        <is>
          <t>Lương:Cạnh tranh</t>
        </is>
      </c>
      <c r="F6019" t="inlineStr">
        <is>
          <t>Hồ Chí Minh</t>
        </is>
      </c>
      <c r="G6019" t="inlineStr">
        <is>
          <t>30-04-2026</t>
        </is>
      </c>
      <c r="H6019" t="inlineStr">
        <is>
          <t>30/04/2026</t>
        </is>
      </c>
      <c r="I6019" t="inlineStr">
        <is>
          <t>17/03/2026</t>
        </is>
      </c>
      <c r="J6019" t="inlineStr">
        <is>
          <t>Dệt may / Da giày / Thời trang</t>
        </is>
      </c>
      <c r="K6019" t="inlineStr">
        <is>
          <t>N/A</t>
        </is>
      </c>
      <c r="L6019" s="8">
        <f>HYPERLINK("https://careerviet.vn/vi/tim-viec-lam/purchasing-intern-6-months.35C6D007.html","Xem chi tiết")</f>
        <v/>
      </c>
    </row>
    <row r="6020">
      <c r="B6020" s="9" t="n">
        <v>6018</v>
      </c>
      <c r="C6020" s="10" t="inlineStr">
        <is>
          <t>KỸ THUẬT VIÊN PHÒNG THÍ NGHIỆM(Mới)</t>
        </is>
      </c>
      <c r="D6020" s="10" t="inlineStr">
        <is>
          <t>CÔNG TY TNHH GUNZETAL (VIỆT NAM)</t>
        </is>
      </c>
      <c r="E6020" s="10" t="inlineStr">
        <is>
          <t>Lương:9 Tr - 12 Tr VND</t>
        </is>
      </c>
      <c r="F6020" s="10" t="inlineStr">
        <is>
          <t>Bình Dương</t>
        </is>
      </c>
      <c r="G6020" s="10" t="inlineStr">
        <is>
          <t>17-04-2026</t>
        </is>
      </c>
      <c r="H6020" s="10" t="inlineStr">
        <is>
          <t>17/04/2026</t>
        </is>
      </c>
      <c r="I6020" s="10" t="inlineStr">
        <is>
          <t>17/03/2026</t>
        </is>
      </c>
      <c r="J6020" s="10" t="inlineStr">
        <is>
          <t>Sản xuất / Vận hành sản xuất, Dệt may / Da giày / Thời trang</t>
        </is>
      </c>
      <c r="K6020" s="10" t="inlineStr">
        <is>
          <t>Chưa có kinh nghiệm</t>
        </is>
      </c>
      <c r="L6020" s="11">
        <f>HYPERLINK("https://careerviet.vn/vi/tim-viec-lam/ky-thuat-vien-phong-thi-nghiem.35C6D06A.html","Xem chi tiết")</f>
        <v/>
      </c>
      <c r="M6020" s="10" t="n"/>
    </row>
    <row r="6021">
      <c r="B6021" s="7" t="n">
        <v>6019</v>
      </c>
      <c r="C6021" t="inlineStr">
        <is>
          <t>Sales Manager B2B (Mảng xe điện)(Mới)</t>
        </is>
      </c>
      <c r="D6021" t="inlineStr">
        <is>
          <t>Công Ty TNHH XNK Phát Triển Đông Dương</t>
        </is>
      </c>
      <c r="E6021" t="inlineStr">
        <is>
          <t>Lương:Cạnh tranh</t>
        </is>
      </c>
      <c r="F6021" t="inlineStr">
        <is>
          <t>Hồ Chí Minh</t>
        </is>
      </c>
      <c r="G6021" t="inlineStr">
        <is>
          <t>20-04-2026</t>
        </is>
      </c>
      <c r="H6021" t="inlineStr">
        <is>
          <t>20/04/2026</t>
        </is>
      </c>
      <c r="I6021" t="inlineStr">
        <is>
          <t>17/03/2026</t>
        </is>
      </c>
      <c r="J6021" t="inlineStr">
        <is>
          <t>Bán lẻ / Bán sỉ, Tiếp thị / Marketing, Bán hàng / Kinh doanh</t>
        </is>
      </c>
      <c r="K6021" t="inlineStr">
        <is>
          <t>5 - 7 Năm</t>
        </is>
      </c>
      <c r="L6021" s="8">
        <f>HYPERLINK("https://careerviet.vn/vi/tim-viec-lam/sales-manager-b2b-mang-xe-dien.35C6D076.html","Xem chi tiết")</f>
        <v/>
      </c>
    </row>
    <row r="6022">
      <c r="B6022" s="9" t="n">
        <v>6020</v>
      </c>
      <c r="C6022" s="10" t="inlineStr">
        <is>
          <t>[Quận 7 - HCM] CHUYÊN VIÊN TUYỂN DỤNG - BIẾT TIẾNG KHMER(Mới)</t>
        </is>
      </c>
      <c r="D6022" s="10" t="inlineStr">
        <is>
          <t>Công Ty TNHH XNK Phát Triển Đông Dương</t>
        </is>
      </c>
      <c r="E6022" s="10" t="inlineStr">
        <is>
          <t>Lương:Cạnh tranh</t>
        </is>
      </c>
      <c r="F6022" s="10" t="inlineStr">
        <is>
          <t>Hồ Chí Minh</t>
        </is>
      </c>
      <c r="G6022" s="10" t="inlineStr">
        <is>
          <t>20-04-2026</t>
        </is>
      </c>
      <c r="H6022" s="10" t="inlineStr">
        <is>
          <t>20/04/2026</t>
        </is>
      </c>
      <c r="I6022" s="10" t="inlineStr">
        <is>
          <t>17/03/2026</t>
        </is>
      </c>
      <c r="J6022" s="10" t="inlineStr">
        <is>
          <t>Nhân sự, Hành chính / Thư ký, Biên phiên dịch</t>
        </is>
      </c>
      <c r="K6022" s="10" t="inlineStr">
        <is>
          <t>25 - 35 Năm</t>
        </is>
      </c>
      <c r="L6022" s="11">
        <f>HYPERLINK("https://careerviet.vn/vi/tim-viec-lam/quan-7-hcm-chuyen-vien-tuyen-dung-biet-tieng-khmer.35C6D080.html","Xem chi tiết")</f>
        <v/>
      </c>
      <c r="M6022" s="10" t="n"/>
    </row>
    <row r="6023">
      <c r="B6023" s="7" t="n">
        <v>6021</v>
      </c>
      <c r="C6023" t="inlineStr">
        <is>
          <t>Kế toán chi phí(Mới)</t>
        </is>
      </c>
      <c r="D6023" t="inlineStr">
        <is>
          <t>Công Ty TNHH XNK Phát Triển Đông Dương</t>
        </is>
      </c>
      <c r="E6023" t="inlineStr">
        <is>
          <t>Lương:13 Tr - 16 Tr VND</t>
        </is>
      </c>
      <c r="F6023" t="inlineStr">
        <is>
          <t>Hồ Chí Minh</t>
        </is>
      </c>
      <c r="G6023" t="inlineStr">
        <is>
          <t>20-04-2026</t>
        </is>
      </c>
      <c r="H6023" t="inlineStr">
        <is>
          <t>20/04/2026</t>
        </is>
      </c>
      <c r="I6023" t="inlineStr">
        <is>
          <t>17/03/2026</t>
        </is>
      </c>
      <c r="J6023" t="inlineStr">
        <is>
          <t>Kế toán / Kiểm toán, Ngân hàng, Tài chính / Đầu tư</t>
        </is>
      </c>
      <c r="K6023" t="inlineStr">
        <is>
          <t>24 - 29 Năm</t>
        </is>
      </c>
      <c r="L6023" s="8">
        <f>HYPERLINK("https://careerviet.vn/vi/tim-viec-lam/ke-toan-chi-phi.35C6D072.html","Xem chi tiết")</f>
        <v/>
      </c>
    </row>
    <row r="6024">
      <c r="B6024" s="9" t="n">
        <v>6022</v>
      </c>
      <c r="C6024" s="10" t="inlineStr">
        <is>
          <t>Giám Đốc Kinh Doanh Bất Động Sản(Mới)</t>
        </is>
      </c>
      <c r="D6024" s="10" t="inlineStr">
        <is>
          <t>Công Ty TNHH Gotec Việt Nam</t>
        </is>
      </c>
      <c r="E6024" s="10" t="inlineStr">
        <is>
          <t>Lương:Cạnh tranh</t>
        </is>
      </c>
      <c r="F6024" s="10" t="inlineStr">
        <is>
          <t>Hồ Chí Minh</t>
        </is>
      </c>
      <c r="G6024" s="10" t="inlineStr">
        <is>
          <t>17-04-2026</t>
        </is>
      </c>
      <c r="H6024" s="10" t="inlineStr">
        <is>
          <t>17/04/2026</t>
        </is>
      </c>
      <c r="I6024" s="10" t="inlineStr">
        <is>
          <t>17/03/2026</t>
        </is>
      </c>
      <c r="J6024" s="10" t="inlineStr">
        <is>
          <t>Bất động sản, Bán hàng / Kinh doanh, Quản lý điều hành</t>
        </is>
      </c>
      <c r="K6024" s="10" t="inlineStr">
        <is>
          <t>3 - 5 Năm</t>
        </is>
      </c>
      <c r="L6024" s="11">
        <f>HYPERLINK("https://careerviet.vn/vi/tim-viec-lam/giam-doc-kinh-doanh-bat-dong-san.35C6D03F.html","Xem chi tiết")</f>
        <v/>
      </c>
      <c r="M6024" s="10" t="n"/>
    </row>
    <row r="6025">
      <c r="B6025" s="7" t="n">
        <v>6023</v>
      </c>
      <c r="C6025" t="inlineStr">
        <is>
          <t>Chuyên viên Kế hoạch hàng hóa (Ngành Thời trang)(Mới)</t>
        </is>
      </c>
      <c r="D6025" t="inlineStr">
        <is>
          <t>Công ty cổ phần Nu Việt Nam</t>
        </is>
      </c>
      <c r="E6025" t="inlineStr">
        <is>
          <t>Lương:14 Tr - 16 Tr VND</t>
        </is>
      </c>
      <c r="F6025" t="inlineStr">
        <is>
          <t>Hà Nội</t>
        </is>
      </c>
      <c r="G6025" t="inlineStr">
        <is>
          <t>17-04-2026</t>
        </is>
      </c>
      <c r="H6025" t="inlineStr">
        <is>
          <t>17/04/2026</t>
        </is>
      </c>
      <c r="I6025" t="inlineStr">
        <is>
          <t>17/03/2026</t>
        </is>
      </c>
      <c r="J6025" t="inlineStr">
        <is>
          <t>Sản xuất / Vận hành sản xuất, Dệt may / Da giày / Thời trang, Thu mua / Vật tư</t>
        </is>
      </c>
      <c r="K6025" t="inlineStr">
        <is>
          <t>Trên 3 Năm</t>
        </is>
      </c>
      <c r="L6025" s="8">
        <f>HYPERLINK("https://careerviet.vn/vi/tim-viec-lam/chuyen-vien-ke-hoach-hang-hoa-nganh-thoi-trang.35C6D044.html","Xem chi tiết")</f>
        <v/>
      </c>
    </row>
    <row r="6026">
      <c r="B6026" s="9" t="n">
        <v>6024</v>
      </c>
      <c r="C6026" s="10" t="inlineStr">
        <is>
          <t>Talent Acquisition Manager (TAM) Cum HRBP(Mới)</t>
        </is>
      </c>
      <c r="D6026" s="10" t="inlineStr">
        <is>
          <t>Công Ty TNHH XNK Phát Triển Đông Dương</t>
        </is>
      </c>
      <c r="E6026" s="10" t="inlineStr">
        <is>
          <t>Lương:Cạnh tranh</t>
        </is>
      </c>
      <c r="F6026" s="10" t="inlineStr">
        <is>
          <t>Hồ Chí Minh</t>
        </is>
      </c>
      <c r="G6026" s="10" t="inlineStr">
        <is>
          <t>20-04-2026</t>
        </is>
      </c>
      <c r="H6026" s="10" t="inlineStr">
        <is>
          <t>20/04/2026</t>
        </is>
      </c>
      <c r="I6026" s="10" t="inlineStr">
        <is>
          <t>17/03/2026</t>
        </is>
      </c>
      <c r="J6026" s="10" t="inlineStr">
        <is>
          <t>Nhân sự, Quản lý điều hành, Hành chính / Thư ký</t>
        </is>
      </c>
      <c r="K6026" s="10" t="inlineStr">
        <is>
          <t>5 - 9 Năm</t>
        </is>
      </c>
      <c r="L6026" s="11">
        <f>HYPERLINK("https://careerviet.vn/vi/tim-viec-lam/talent-acquisition-manager-tam-cum-hrbp.35C6D077.html","Xem chi tiết")</f>
        <v/>
      </c>
      <c r="M6026" s="10" t="n"/>
    </row>
    <row r="6027">
      <c r="B6027" s="7" t="n">
        <v>6025</v>
      </c>
      <c r="C6027" t="inlineStr">
        <is>
          <t>Marketing Manager(Mới)</t>
        </is>
      </c>
      <c r="D6027" t="inlineStr">
        <is>
          <t>Bảo mật</t>
        </is>
      </c>
      <c r="E6027" t="inlineStr">
        <is>
          <t>Lương:Cạnh tranh</t>
        </is>
      </c>
      <c r="F6027" t="inlineStr">
        <is>
          <t>Hồ Chí Minh</t>
        </is>
      </c>
      <c r="G6027" t="inlineStr">
        <is>
          <t>17-04-2026</t>
        </is>
      </c>
      <c r="H6027" t="inlineStr">
        <is>
          <t>17/04/2026</t>
        </is>
      </c>
      <c r="I6027" t="inlineStr">
        <is>
          <t>17/03/2026</t>
        </is>
      </c>
      <c r="J6027" t="inlineStr">
        <is>
          <t>Tiếp thị / Marketing</t>
        </is>
      </c>
      <c r="K6027" t="inlineStr">
        <is>
          <t>5 - 6 Năm</t>
        </is>
      </c>
      <c r="L6027" s="8">
        <f>HYPERLINK("https://careerviet.vn/vi/tim-viec-lam/marketing-manager.35C6D089.html","Xem chi tiết")</f>
        <v/>
      </c>
    </row>
    <row r="6028">
      <c r="B6028" s="9" t="n">
        <v>6026</v>
      </c>
      <c r="C6028" s="10" t="inlineStr">
        <is>
          <t>Purchasing Intern (6 Months, Payment)(Mới)</t>
        </is>
      </c>
      <c r="D6028" s="10" t="inlineStr">
        <is>
          <t>MOTIVES VIETNAM CORPORATION</t>
        </is>
      </c>
      <c r="E6028" s="10" t="inlineStr">
        <is>
          <t>Lương:Cạnh tranh</t>
        </is>
      </c>
      <c r="F6028" s="10" t="inlineStr">
        <is>
          <t>Hồ Chí Minh</t>
        </is>
      </c>
      <c r="G6028" s="10" t="inlineStr">
        <is>
          <t>30-04-2026</t>
        </is>
      </c>
      <c r="H6028" s="10" t="inlineStr">
        <is>
          <t>30/04/2026</t>
        </is>
      </c>
      <c r="I6028" s="10" t="inlineStr">
        <is>
          <t>17/03/2026</t>
        </is>
      </c>
      <c r="J6028" s="10" t="inlineStr">
        <is>
          <t>Dệt may / Da giày / Thời trang</t>
        </is>
      </c>
      <c r="K6028" s="10" t="inlineStr">
        <is>
          <t>N/A</t>
        </is>
      </c>
      <c r="L6028" s="11">
        <f>HYPERLINK("https://careerviet.vn/vi/tim-viec-lam/purchasing-intern-6-months-payment.35C6D01D.html","Xem chi tiết")</f>
        <v/>
      </c>
      <c r="M6028" s="10" t="n"/>
    </row>
    <row r="6029">
      <c r="B6029" s="7" t="n">
        <v>6027</v>
      </c>
      <c r="C6029" t="inlineStr">
        <is>
          <t>Chuyên viên Sale &amp; Marketing Sale &amp; Marketing Executive(Mới)</t>
        </is>
      </c>
      <c r="D6029" t="inlineStr">
        <is>
          <t>CÔNG TY TNHH BLUE ELATION</t>
        </is>
      </c>
      <c r="E6029" t="inlineStr">
        <is>
          <t>Lương:10 Tr - 18 Tr VND</t>
        </is>
      </c>
      <c r="F6029" t="inlineStr">
        <is>
          <t>Hồ Chí MinhLâm Đồng</t>
        </is>
      </c>
      <c r="G6029" t="inlineStr">
        <is>
          <t>17-04-2026</t>
        </is>
      </c>
      <c r="H6029" t="inlineStr">
        <is>
          <t>17/04/2026</t>
        </is>
      </c>
      <c r="I6029" t="inlineStr">
        <is>
          <t>17/03/2026</t>
        </is>
      </c>
      <c r="J6029" t="inlineStr">
        <is>
          <t>Tiếp thị / Marketing, Nhà hàng / Khách sạn</t>
        </is>
      </c>
      <c r="K6029" t="inlineStr">
        <is>
          <t>1 - 3 Năm</t>
        </is>
      </c>
      <c r="L6029" s="8">
        <f>HYPERLINK("https://careerviet.vn/vi/tim-viec-lam/chuyen-vien-sale-marketing-sale-marketing-executive.35C6D084.html","Xem chi tiết")</f>
        <v/>
      </c>
    </row>
    <row r="6030">
      <c r="B6030" s="9" t="n">
        <v>6028</v>
      </c>
      <c r="C6030" s="10" t="inlineStr">
        <is>
          <t>Chuyên viên mua hàng (Thuận An - Bình Dương)(Mới)</t>
        </is>
      </c>
      <c r="D6030" s="10" t="inlineStr">
        <is>
          <t>Bảo mật</t>
        </is>
      </c>
      <c r="E6030" s="10" t="inlineStr">
        <is>
          <t>Lương:12 Tr - 16 Tr VND</t>
        </is>
      </c>
      <c r="F6030" s="10" t="inlineStr">
        <is>
          <t>Bình Dương</t>
        </is>
      </c>
      <c r="G6030" s="10" t="inlineStr">
        <is>
          <t>30-04-2026</t>
        </is>
      </c>
      <c r="H6030" s="10" t="inlineStr">
        <is>
          <t>30/04/2026</t>
        </is>
      </c>
      <c r="I6030" s="10" t="inlineStr">
        <is>
          <t>17/03/2026</t>
        </is>
      </c>
      <c r="J6030" s="10" t="inlineStr">
        <is>
          <t>Sản xuất / Vận hành sản xuất</t>
        </is>
      </c>
      <c r="K6030" s="10" t="inlineStr">
        <is>
          <t>2 - 5 Năm</t>
        </is>
      </c>
      <c r="L6030" s="11">
        <f>HYPERLINK("https://careerviet.vn/vi/tim-viec-lam/chuyen-vien-mua-hang-thuan-an-binh-duong.35C6D088.html","Xem chi tiết")</f>
        <v/>
      </c>
      <c r="M6030" s="10" t="n"/>
    </row>
    <row r="6031">
      <c r="B6031" s="7" t="n">
        <v>6029</v>
      </c>
      <c r="C6031" t="inlineStr">
        <is>
          <t>Chuyên viên kinh doanh dự án(Mới)</t>
        </is>
      </c>
      <c r="D6031" t="inlineStr">
        <is>
          <t>Công Ty Cổ Phần Thương Mại Tư Vấn Và Xây Dựng Vĩnh Hưng</t>
        </is>
      </c>
      <c r="E6031" t="inlineStr">
        <is>
          <t>Lương:Cạnh tranh</t>
        </is>
      </c>
      <c r="F6031" t="inlineStr">
        <is>
          <t>Hà NộiHồ Chí Minh</t>
        </is>
      </c>
      <c r="G6031" t="inlineStr">
        <is>
          <t>30-04-2026</t>
        </is>
      </c>
      <c r="H6031" t="inlineStr">
        <is>
          <t>30/04/2026</t>
        </is>
      </c>
      <c r="I6031" t="inlineStr">
        <is>
          <t>17/03/2026</t>
        </is>
      </c>
      <c r="J6031" t="inlineStr">
        <is>
          <t>Xây dựng, Bán hàng / Kinh doanh</t>
        </is>
      </c>
      <c r="K6031" t="inlineStr">
        <is>
          <t>3 - 7 Năm</t>
        </is>
      </c>
      <c r="L6031" s="8">
        <f>HYPERLINK("https://careerviet.vn/vi/tim-viec-lam/chuyen-vien-kinh-doanh-du-an.35C6D07A.html","Xem chi tiết")</f>
        <v/>
      </c>
    </row>
    <row r="6032">
      <c r="B6032" s="9" t="n">
        <v>6030</v>
      </c>
      <c r="C6032" s="10" t="inlineStr">
        <is>
          <t>CS Executive (Chinese Speaking + English Emailing)(Mới)</t>
        </is>
      </c>
      <c r="D6032" s="10" t="inlineStr">
        <is>
          <t>CÔNG TY TNHH BILLION VIETNAM HOLDING</t>
        </is>
      </c>
      <c r="E6032" s="10" t="inlineStr">
        <is>
          <t>Lương:12 Tr - 18 Tr VND</t>
        </is>
      </c>
      <c r="F6032" s="10" t="inlineStr">
        <is>
          <t>Hồ Chí Minh</t>
        </is>
      </c>
      <c r="G6032" s="10" t="inlineStr">
        <is>
          <t>17-04-2026</t>
        </is>
      </c>
      <c r="H6032" s="10" t="inlineStr">
        <is>
          <t>17/04/2026</t>
        </is>
      </c>
      <c r="I6032" s="10" t="inlineStr">
        <is>
          <t>17/03/2026</t>
        </is>
      </c>
      <c r="J6032" s="10" t="inlineStr">
        <is>
          <t>Bán lẻ / Bán sỉ, Sản xuất / Vận hành sản xuất</t>
        </is>
      </c>
      <c r="K6032" s="10" t="inlineStr">
        <is>
          <t>3 - 5 Năm</t>
        </is>
      </c>
      <c r="L6032" s="11">
        <f>HYPERLINK("https://careerviet.vn/vi/tim-viec-lam/cs-executive-chinese-speaking-english-emailing.35C6D068.html","Xem chi tiết")</f>
        <v/>
      </c>
      <c r="M6032" s="10" t="n"/>
    </row>
    <row r="6033">
      <c r="B6033" s="7" t="n">
        <v>6031</v>
      </c>
      <c r="C6033" t="inlineStr">
        <is>
          <t>Chuyên Viên Tuyển Dụng(Mới)</t>
        </is>
      </c>
      <c r="D6033" t="inlineStr">
        <is>
          <t>CÔNG TY CỔ PHẦN PHÁT TRIỂN BĐS ĐẤT VIỆT GROUP</t>
        </is>
      </c>
      <c r="E6033" t="inlineStr">
        <is>
          <t>Lương:Cạnh tranh</t>
        </is>
      </c>
      <c r="F6033" t="inlineStr">
        <is>
          <t>Hà Nội</t>
        </is>
      </c>
      <c r="G6033" t="inlineStr">
        <is>
          <t>17-04-2026</t>
        </is>
      </c>
      <c r="H6033" t="inlineStr">
        <is>
          <t>17/04/2026</t>
        </is>
      </c>
      <c r="I6033" t="inlineStr">
        <is>
          <t>17/03/2026</t>
        </is>
      </c>
      <c r="J6033" t="inlineStr">
        <is>
          <t>Hành chính / Thư ký, Nhân sự, Luật / Pháp lý</t>
        </is>
      </c>
      <c r="K6033" t="inlineStr">
        <is>
          <t>N/A</t>
        </is>
      </c>
      <c r="L6033" s="8">
        <f>HYPERLINK("https://careerviet.vn/vi/tim-viec-lam/chuyen-vien-tuyen-dung.35C6D047.html","Xem chi tiết")</f>
        <v/>
      </c>
    </row>
    <row r="6034">
      <c r="B6034" s="9" t="n">
        <v>6032</v>
      </c>
      <c r="C6034" s="10" t="inlineStr">
        <is>
          <t>[Mỹ Tho - Tiền Giang] Nhân Viên Kỹ Thuật Bảo Hành (Thiết Bị, Máy Móc)(Mới)</t>
        </is>
      </c>
      <c r="D6034" s="10" t="inlineStr">
        <is>
          <t>Công Ty TNHH XNK Phát Triển Đông Dương</t>
        </is>
      </c>
      <c r="E6034" s="10" t="inlineStr">
        <is>
          <t>Lương:9 Tr - 14 Tr VND</t>
        </is>
      </c>
      <c r="F6034" s="10" t="inlineStr">
        <is>
          <t>Tiền Giang</t>
        </is>
      </c>
      <c r="G6034" s="10" t="inlineStr">
        <is>
          <t>20-04-2026</t>
        </is>
      </c>
      <c r="H6034" s="10" t="inlineStr">
        <is>
          <t>20/04/2026</t>
        </is>
      </c>
      <c r="I6034" s="10" t="inlineStr">
        <is>
          <t>17/03/2026</t>
        </is>
      </c>
      <c r="J6034" s="10" t="inlineStr">
        <is>
          <t>Điện / Điện tử / Điện lạnh / Điện công nghiệp, Bảo trì / Sửa chữa, Mới tốt nghiệp / Thực tập</t>
        </is>
      </c>
      <c r="K6034" s="10" t="inlineStr">
        <is>
          <t>1 - 5 Năm</t>
        </is>
      </c>
      <c r="L6034" s="11">
        <f>HYPERLINK("https://careerviet.vn/vi/tim-viec-lam/my-tho-tien-giang-nhan-vien-ky-thuat-bao-hanh-thiet-bi-may-moc.35C6D07C.html","Xem chi tiết")</f>
        <v/>
      </c>
      <c r="M6034" s="10" t="n"/>
    </row>
    <row r="6035">
      <c r="B6035" s="7" t="n">
        <v>6033</v>
      </c>
      <c r="C6035" t="inlineStr">
        <is>
          <t>Kế Toán Tổng Hợp(Mới)</t>
        </is>
      </c>
      <c r="D6035" t="inlineStr">
        <is>
          <t>CÔNG TY CỔ PHẦN JEMMIA</t>
        </is>
      </c>
      <c r="E6035" t="inlineStr">
        <is>
          <t>Lương:18 Tr - 22 Tr VND</t>
        </is>
      </c>
      <c r="F6035" t="inlineStr">
        <is>
          <t>Hồ Chí Minh</t>
        </is>
      </c>
      <c r="G6035" t="inlineStr">
        <is>
          <t>17-04-2026</t>
        </is>
      </c>
      <c r="H6035" t="inlineStr">
        <is>
          <t>17/04/2026</t>
        </is>
      </c>
      <c r="I6035" t="inlineStr">
        <is>
          <t>17/03/2026</t>
        </is>
      </c>
      <c r="J6035" t="inlineStr">
        <is>
          <t>Kế toán / Kiểm toán</t>
        </is>
      </c>
      <c r="K6035" t="inlineStr">
        <is>
          <t>3 - 5 Năm</t>
        </is>
      </c>
      <c r="L6035" s="8">
        <f>HYPERLINK("https://careerviet.vn/vi/tim-viec-lam/ke-toan-tong-hop.35C6D066.html","Xem chi tiết")</f>
        <v/>
      </c>
    </row>
    <row r="6036">
      <c r="B6036" s="9" t="n">
        <v>6034</v>
      </c>
      <c r="C6036" s="10" t="inlineStr">
        <is>
          <t>Kỹ sư QS (Xây Dựng, Nội Thất)(Mới)</t>
        </is>
      </c>
      <c r="D6036" s="10" t="inlineStr">
        <is>
          <t>Công Ty CP SXTM Thiết Kế Bình Minh</t>
        </is>
      </c>
      <c r="E6036" s="10" t="inlineStr">
        <is>
          <t>Lương:20 Tr - 25 Tr VND</t>
        </is>
      </c>
      <c r="F6036" s="10" t="inlineStr">
        <is>
          <t>Hồ Chí Minh</t>
        </is>
      </c>
      <c r="G6036" s="10" t="inlineStr">
        <is>
          <t>15-04-2026</t>
        </is>
      </c>
      <c r="H6036" s="10" t="inlineStr">
        <is>
          <t>15/04/2026</t>
        </is>
      </c>
      <c r="I6036" s="10" t="inlineStr">
        <is>
          <t>17/03/2026</t>
        </is>
      </c>
      <c r="J6036" s="10" t="inlineStr">
        <is>
          <t>Đồ gỗ, Xây dựng</t>
        </is>
      </c>
      <c r="K6036" s="10" t="inlineStr">
        <is>
          <t>3 - 5 Năm</t>
        </is>
      </c>
      <c r="L6036" s="11">
        <f>HYPERLINK("https://careerviet.vn/vi/tim-viec-lam/ky-su-qs-xay-dung-noi-that.35C6D063.html","Xem chi tiết")</f>
        <v/>
      </c>
      <c r="M6036" s="10" t="n"/>
    </row>
    <row r="6037">
      <c r="B6037" s="7" t="n">
        <v>6035</v>
      </c>
      <c r="C6037" t="inlineStr">
        <is>
          <t>Trưởng phòng Marketing(Mới)</t>
        </is>
      </c>
      <c r="D6037" t="inlineStr">
        <is>
          <t>CONA LAND REAL ESTATE - CÔNG TY CỔ PHẦN BẤT ĐỘNG SẢN CONA LAND</t>
        </is>
      </c>
      <c r="E6037" t="inlineStr">
        <is>
          <t>Lương:18 Tr - 35 Tr VND</t>
        </is>
      </c>
      <c r="F6037" t="inlineStr">
        <is>
          <t>Hồ Chí Minh</t>
        </is>
      </c>
      <c r="G6037" t="inlineStr">
        <is>
          <t>17-04-2026</t>
        </is>
      </c>
      <c r="H6037" t="inlineStr">
        <is>
          <t>17/04/2026</t>
        </is>
      </c>
      <c r="I6037" t="inlineStr">
        <is>
          <t>17/03/2026</t>
        </is>
      </c>
      <c r="J6037" t="inlineStr">
        <is>
          <t>Tiếp thị / Marketing, Bất động sản</t>
        </is>
      </c>
      <c r="K6037" t="inlineStr">
        <is>
          <t>3 - 5 Năm</t>
        </is>
      </c>
      <c r="L6037" s="8">
        <f>HYPERLINK("https://careerviet.vn/vi/tim-viec-lam/truong-phong-marketing.35C6D05D.html","Xem chi tiết")</f>
        <v/>
      </c>
    </row>
    <row r="6038">
      <c r="B6038" s="9" t="n">
        <v>6036</v>
      </c>
      <c r="C6038" s="10" t="inlineStr">
        <is>
          <t>Project Sales Executive (KV miền Nam)(Mới)</t>
        </is>
      </c>
      <c r="D6038" s="10" t="inlineStr">
        <is>
          <t>Công Ty TNHH Sơn TOA Việt Nam</t>
        </is>
      </c>
      <c r="E6038" s="10" t="inlineStr">
        <is>
          <t>Lương:Cạnh tranh</t>
        </is>
      </c>
      <c r="F6038" s="10" t="inlineStr">
        <is>
          <t>Hồ Chí Minh</t>
        </is>
      </c>
      <c r="G6038" s="10" t="inlineStr">
        <is>
          <t>09-04-2026</t>
        </is>
      </c>
      <c r="H6038" s="10" t="inlineStr">
        <is>
          <t>09/04/2026</t>
        </is>
      </c>
      <c r="I6038" s="10" t="inlineStr">
        <is>
          <t>17/03/2026</t>
        </is>
      </c>
      <c r="J6038" s="10" t="inlineStr">
        <is>
          <t>Bán hàng / Kinh doanh, Xây dựng, Nội ngoại thất</t>
        </is>
      </c>
      <c r="K6038" s="10" t="inlineStr">
        <is>
          <t>3 - 5 Năm</t>
        </is>
      </c>
      <c r="L6038" s="11">
        <f>HYPERLINK("https://careerviet.vn/vi/tim-viec-lam/project-sales-executive-kv-mien-nam.35C6D05A.html","Xem chi tiết")</f>
        <v/>
      </c>
      <c r="M6038" s="10" t="n"/>
    </row>
    <row r="6039">
      <c r="B6039" s="7" t="n">
        <v>6037</v>
      </c>
      <c r="C6039" t="inlineStr">
        <is>
          <t>Trưởng Phòng Xuất Nhập Khẩu(Mới)</t>
        </is>
      </c>
      <c r="D6039" t="inlineStr">
        <is>
          <t>Công Ty TNHH XNK Phát Triển Đông Dương</t>
        </is>
      </c>
      <c r="E6039" t="inlineStr">
        <is>
          <t>Lương:Cạnh tranh</t>
        </is>
      </c>
      <c r="F6039" t="inlineStr">
        <is>
          <t>Hồ Chí Minh</t>
        </is>
      </c>
      <c r="G6039" t="inlineStr">
        <is>
          <t>20-04-2026</t>
        </is>
      </c>
      <c r="H6039" t="inlineStr">
        <is>
          <t>20/04/2026</t>
        </is>
      </c>
      <c r="I6039" t="inlineStr">
        <is>
          <t>17/03/2026</t>
        </is>
      </c>
      <c r="J6039" t="inlineStr">
        <is>
          <t>Cơ khí / Ô tô / Tự động hóa, Thu mua / Vật tư, Xuất nhập khẩu</t>
        </is>
      </c>
      <c r="K6039" t="inlineStr">
        <is>
          <t>5 - 9 Năm</t>
        </is>
      </c>
      <c r="L6039" s="8">
        <f>HYPERLINK("https://careerviet.vn/vi/tim-viec-lam/truong-phong-xuat-nhap-khau.35C6D078.html","Xem chi tiết")</f>
        <v/>
      </c>
    </row>
    <row r="6040">
      <c r="B6040" s="9" t="n">
        <v>6038</v>
      </c>
      <c r="C6040" s="10" t="inlineStr">
        <is>
          <t>Trưởng phòng dịch vụ khách hàng(Mới)</t>
        </is>
      </c>
      <c r="D6040" s="10" t="inlineStr">
        <is>
          <t>Công Ty Cổ Phần Bất Động Sản Tiến Phước</t>
        </is>
      </c>
      <c r="E6040" s="10" t="inlineStr">
        <is>
          <t>Lương:Cạnh tranh</t>
        </is>
      </c>
      <c r="F6040" s="10" t="inlineStr">
        <is>
          <t>Hồ Chí Minh</t>
        </is>
      </c>
      <c r="G6040" s="10" t="inlineStr">
        <is>
          <t>17-04-2026</t>
        </is>
      </c>
      <c r="H6040" s="10" t="inlineStr">
        <is>
          <t>17/04/2026</t>
        </is>
      </c>
      <c r="I6040" s="10" t="inlineStr">
        <is>
          <t>17/03/2026</t>
        </is>
      </c>
      <c r="J6040" s="10" t="inlineStr">
        <is>
          <t>Bất động sản, Dịch vụ khách hàng, Bán hàng / Kinh doanh</t>
        </is>
      </c>
      <c r="K6040" s="10" t="inlineStr">
        <is>
          <t>5 - 7 Năm</t>
        </is>
      </c>
      <c r="L6040" s="11">
        <f>HYPERLINK("https://careerviet.vn/vi/tim-viec-lam/truong-phong-dich-vu-khach-hang.35C6D061.html","Xem chi tiết")</f>
        <v/>
      </c>
      <c r="M6040" s="10" t="n"/>
    </row>
    <row r="6041">
      <c r="B6041" s="7" t="n">
        <v>6039</v>
      </c>
      <c r="C6041" t="inlineStr">
        <is>
          <t>Nhân viên kinh doanh khách lẻ, Phòng Du lịch Nước ngoài(Mới)</t>
        </is>
      </c>
      <c r="D6041" t="inlineStr">
        <is>
          <t>Công Ty TNHH MTV Dịch Vụ Lữ Hành Saigontourist</t>
        </is>
      </c>
      <c r="E6041" t="inlineStr">
        <is>
          <t>Lương:Trên 6 Tr VND</t>
        </is>
      </c>
      <c r="F6041" t="inlineStr">
        <is>
          <t>Đà Nẵng</t>
        </is>
      </c>
      <c r="G6041" t="inlineStr">
        <is>
          <t>31-03-2026</t>
        </is>
      </c>
      <c r="H6041" t="inlineStr">
        <is>
          <t>31/03/2026</t>
        </is>
      </c>
      <c r="I6041" t="inlineStr">
        <is>
          <t>17/03/2026</t>
        </is>
      </c>
      <c r="J6041" t="inlineStr">
        <is>
          <t>Tiếp thị / Marketing, Du lịch, Bán hàng / Kinh doanh</t>
        </is>
      </c>
      <c r="K6041" t="inlineStr">
        <is>
          <t>N/A</t>
        </is>
      </c>
      <c r="L6041" s="8">
        <f>HYPERLINK("https://careerviet.vn/vi/tim-viec-lam/nhan-vien-kinh-doanh-khach-le-phong-du-lich-nuoc-ngoai.35C6CC68.html","Xem chi tiết")</f>
        <v/>
      </c>
    </row>
    <row r="6042">
      <c r="B6042" s="9" t="n">
        <v>6040</v>
      </c>
      <c r="C6042" s="10" t="inlineStr">
        <is>
          <t>Nhân viên kinh doanh khách đoàn, Phòng Du lịch Nội địa(Mới)</t>
        </is>
      </c>
      <c r="D6042" s="10" t="inlineStr">
        <is>
          <t>Công Ty TNHH MTV Dịch Vụ Lữ Hành Saigontourist</t>
        </is>
      </c>
      <c r="E6042" s="10" t="inlineStr">
        <is>
          <t>Lương:Cạnh tranh</t>
        </is>
      </c>
      <c r="F6042" s="10" t="inlineStr">
        <is>
          <t>Đà Nẵng</t>
        </is>
      </c>
      <c r="G6042" s="10" t="inlineStr">
        <is>
          <t>31-03-2026</t>
        </is>
      </c>
      <c r="H6042" s="10" t="inlineStr">
        <is>
          <t>31/03/2026</t>
        </is>
      </c>
      <c r="I6042" s="10" t="inlineStr">
        <is>
          <t>17/03/2026</t>
        </is>
      </c>
      <c r="J6042" s="10" t="inlineStr">
        <is>
          <t>Bán hàng / Kinh doanh, Du lịch</t>
        </is>
      </c>
      <c r="K6042" s="10" t="inlineStr">
        <is>
          <t>N/A</t>
        </is>
      </c>
      <c r="L6042" s="11">
        <f>HYPERLINK("https://careerviet.vn/vi/tim-viec-lam/nhan-vien-kinh-doanh-khach-doan-phong-du-lich-noi-dia.35C6CC5D.html","Xem chi tiết")</f>
        <v/>
      </c>
      <c r="M6042" s="10" t="n"/>
    </row>
    <row r="6043">
      <c r="B6043" s="7" t="n">
        <v>6041</v>
      </c>
      <c r="C6043" t="inlineStr">
        <is>
          <t>Nhân Viên quản lý vật tư(Mới)</t>
        </is>
      </c>
      <c r="D6043" t="inlineStr">
        <is>
          <t>CÔNG TY CỔ PHẦN NHIỆT ĐIỆN AN KHÁNH - BẮC GIANG</t>
        </is>
      </c>
      <c r="E6043" t="inlineStr">
        <is>
          <t>Lương:12 Tr - 15 Tr VND</t>
        </is>
      </c>
      <c r="F6043" t="inlineStr">
        <is>
          <t>Bắc NinhBắc Giang</t>
        </is>
      </c>
      <c r="G6043" t="inlineStr">
        <is>
          <t>30-04-2026</t>
        </is>
      </c>
      <c r="H6043" t="inlineStr">
        <is>
          <t>30/04/2026</t>
        </is>
      </c>
      <c r="I6043" t="inlineStr">
        <is>
          <t>17/03/2026</t>
        </is>
      </c>
      <c r="J6043" t="inlineStr">
        <is>
          <t>Thu mua / Vật tư, Xây dựng</t>
        </is>
      </c>
      <c r="K6043" t="inlineStr">
        <is>
          <t>Trên 2 Năm</t>
        </is>
      </c>
      <c r="L6043" s="8">
        <f>HYPERLINK("https://careerviet.vn/vi/tim-viec-lam/nhan-vien-quan-ly-vat-tu.35C6D009.html","Xem chi tiết")</f>
        <v/>
      </c>
    </row>
    <row r="6044">
      <c r="B6044" s="9" t="n">
        <v>6042</v>
      </c>
      <c r="C6044" s="10" t="inlineStr">
        <is>
          <t>Chief Accountant(Mới)</t>
        </is>
      </c>
      <c r="D6044" s="10" t="inlineStr">
        <is>
          <t>ARCHES</t>
        </is>
      </c>
      <c r="E6044" s="10" t="inlineStr">
        <is>
          <t>Lương:1.500 - 2.000 USD</t>
        </is>
      </c>
      <c r="F6044" s="10" t="inlineStr">
        <is>
          <t>Hồ Chí Minh</t>
        </is>
      </c>
      <c r="G6044" s="10" t="inlineStr">
        <is>
          <t>11-04-2026</t>
        </is>
      </c>
      <c r="H6044" s="10" t="inlineStr">
        <is>
          <t>11/04/2026</t>
        </is>
      </c>
      <c r="I6044" s="10" t="inlineStr">
        <is>
          <t>17/03/2026</t>
        </is>
      </c>
      <c r="J6044" s="10" t="inlineStr">
        <is>
          <t>Kế toán / Kiểm toán</t>
        </is>
      </c>
      <c r="K6044" s="10" t="inlineStr">
        <is>
          <t>1 - 5 Năm</t>
        </is>
      </c>
      <c r="L6044" s="11">
        <f>HYPERLINK("https://careerviet.vn/vi/tim-viec-lam/chief-accountant.35C6D040.html","Xem chi tiết")</f>
        <v/>
      </c>
      <c r="M6044" s="10" t="n"/>
    </row>
    <row r="6045">
      <c r="B6045" s="7" t="n">
        <v>6043</v>
      </c>
      <c r="C6045" t="inlineStr">
        <is>
          <t>Nhân Viên Dự Toán Nội Thất</t>
        </is>
      </c>
      <c r="D6045" t="inlineStr">
        <is>
          <t>Công ty TNHH Xây Dựng và Nội Thất Nice</t>
        </is>
      </c>
      <c r="E6045" t="inlineStr">
        <is>
          <t>Lương:14 Tr - 18 Tr VND</t>
        </is>
      </c>
      <c r="F6045" t="inlineStr">
        <is>
          <t>Hồ Chí Minh</t>
        </is>
      </c>
      <c r="G6045" t="inlineStr">
        <is>
          <t>Hôm nay</t>
        </is>
      </c>
      <c r="H6045" t="inlineStr">
        <is>
          <t>17/03/2026</t>
        </is>
      </c>
      <c r="I6045" t="inlineStr">
        <is>
          <t>17/03/2026</t>
        </is>
      </c>
      <c r="J6045" t="inlineStr">
        <is>
          <t>Xây dựng, Nội ngoại thất, Kiến trúc</t>
        </is>
      </c>
      <c r="K6045" t="inlineStr">
        <is>
          <t>2 - 3 Năm</t>
        </is>
      </c>
      <c r="L6045" s="8">
        <f>HYPERLINK("https://careerviet.vn/vi/tim-viec-lam/nhan-vien-du-toan-noi-that.35C630C2.html","Xem chi tiết")</f>
        <v/>
      </c>
    </row>
    <row r="6046">
      <c r="B6046" s="9" t="n">
        <v>6044</v>
      </c>
      <c r="C6046" s="10" t="inlineStr">
        <is>
          <t>Nhân Viên Kỹ Thuật/ Điện Tử/ Điện Lạnh(Mới)</t>
        </is>
      </c>
      <c r="D6046" s="10" t="inlineStr">
        <is>
          <t>Charles Wembley (S.E.A.) Co.,Pte.Ltd</t>
        </is>
      </c>
      <c r="E6046" s="10" t="inlineStr">
        <is>
          <t>Lương:9 Tr - 15 Tr VND</t>
        </is>
      </c>
      <c r="F6046" s="10" t="inlineStr">
        <is>
          <t>Hồ Chí Minh</t>
        </is>
      </c>
      <c r="G6046" s="10" t="inlineStr">
        <is>
          <t>30-04-2026</t>
        </is>
      </c>
      <c r="H6046" s="10" t="inlineStr">
        <is>
          <t>30/04/2026</t>
        </is>
      </c>
      <c r="I6046" s="10" t="inlineStr">
        <is>
          <t>17/03/2026</t>
        </is>
      </c>
      <c r="J6046" s="10" t="inlineStr">
        <is>
          <t>Cơ khí / Ô tô / Tự động hóa, Điện / Điện tử / Điện lạnh / Điện công nghiệp, Bảo trì / Sửa chữa</t>
        </is>
      </c>
      <c r="K6046" s="10" t="inlineStr">
        <is>
          <t>1 - 2 Năm</t>
        </is>
      </c>
      <c r="L6046" s="11">
        <f>HYPERLINK("https://careerviet.vn/vi/tim-viec-lam/nhan-vien-ky-thuat-dien-tu-dien-lanh.35C6D04E.html","Xem chi tiết")</f>
        <v/>
      </c>
      <c r="M6046" s="10" t="n"/>
    </row>
    <row r="6047">
      <c r="B6047" s="7" t="n">
        <v>6045</v>
      </c>
      <c r="C6047" t="inlineStr">
        <is>
          <t>CHUYÊN VIÊN NHÂN SỰ(Mới)</t>
        </is>
      </c>
      <c r="D6047" t="inlineStr">
        <is>
          <t>Công Ty Cổ Phần Hóa Chất Kỹ Thuật Kim Phong</t>
        </is>
      </c>
      <c r="E6047" t="inlineStr">
        <is>
          <t>Lương:10 Tr - 15 Tr VND</t>
        </is>
      </c>
      <c r="F6047" t="inlineStr">
        <is>
          <t>Hồ Chí Minh</t>
        </is>
      </c>
      <c r="G6047" t="inlineStr">
        <is>
          <t>31-03-2026</t>
        </is>
      </c>
      <c r="H6047" t="inlineStr">
        <is>
          <t>31/03/2026</t>
        </is>
      </c>
      <c r="I6047" t="inlineStr">
        <is>
          <t>17/03/2026</t>
        </is>
      </c>
      <c r="J6047" t="inlineStr">
        <is>
          <t>Nhân sự, Tiếp thị / Marketing</t>
        </is>
      </c>
      <c r="K6047" t="inlineStr">
        <is>
          <t>3 - 10 Năm</t>
        </is>
      </c>
      <c r="L6047" s="8">
        <f>HYPERLINK("https://careerviet.vn/vi/tim-viec-lam/chuyen-vien-nhan-su.35C6D06E.html","Xem chi tiết")</f>
        <v/>
      </c>
    </row>
    <row r="6048">
      <c r="B6048" s="9" t="n">
        <v>6046</v>
      </c>
      <c r="C6048" s="10" t="inlineStr">
        <is>
          <t>KỸ THUẬT VIÊN PHÒNG THÍ NGHIỆM (HẢI DƯƠNG)(Mới)</t>
        </is>
      </c>
      <c r="D6048" s="10" t="inlineStr">
        <is>
          <t>CÔNG TY TNHH GUNZETAL (VIỆT NAM)</t>
        </is>
      </c>
      <c r="E6048" s="10" t="inlineStr">
        <is>
          <t>Lương:9 Tr - 12 Tr VND</t>
        </is>
      </c>
      <c r="F6048" s="10" t="inlineStr">
        <is>
          <t>Hải Dương</t>
        </is>
      </c>
      <c r="G6048" s="10" t="inlineStr">
        <is>
          <t>17-04-2026</t>
        </is>
      </c>
      <c r="H6048" s="10" t="inlineStr">
        <is>
          <t>17/04/2026</t>
        </is>
      </c>
      <c r="I6048" s="10" t="inlineStr">
        <is>
          <t>17/03/2026</t>
        </is>
      </c>
      <c r="J6048" s="10" t="inlineStr">
        <is>
          <t>Sản xuất / Vận hành sản xuất, Dệt may / Da giày / Thời trang</t>
        </is>
      </c>
      <c r="K6048" s="10" t="inlineStr">
        <is>
          <t>Chưa có kinh nghiệm</t>
        </is>
      </c>
      <c r="L6048" s="11">
        <f>HYPERLINK("https://careerviet.vn/vi/tim-viec-lam/ky-thuat-vien-phong-thi-nghiem-hai-duong.35C6D05F.html","Xem chi tiết")</f>
        <v/>
      </c>
      <c r="M6048" s="10" t="n"/>
    </row>
    <row r="6049">
      <c r="B6049" s="7" t="n">
        <v>6047</v>
      </c>
      <c r="C6049" t="inlineStr">
        <is>
          <t>Trưởng Nhóm Kinh Doanh</t>
        </is>
      </c>
      <c r="D6049" t="inlineStr">
        <is>
          <t>CÔNG TY TNHH SẢN XUẤT XÂY DỰNG ÁNH DƯƠNG XANH</t>
        </is>
      </c>
      <c r="E6049" t="inlineStr">
        <is>
          <t>Lương:Cạnh tranh</t>
        </is>
      </c>
      <c r="F6049" t="inlineStr">
        <is>
          <t>Hồ Chí Minh</t>
        </is>
      </c>
      <c r="G6049" t="inlineStr">
        <is>
          <t>Hôm nay</t>
        </is>
      </c>
      <c r="H6049" t="inlineStr">
        <is>
          <t>17/03/2026</t>
        </is>
      </c>
      <c r="I6049" t="inlineStr">
        <is>
          <t>17/03/2026</t>
        </is>
      </c>
      <c r="J6049" t="inlineStr">
        <is>
          <t>Bán lẻ / Bán sỉ, Quản lý điều hành, Đồ gỗ</t>
        </is>
      </c>
      <c r="K6049" t="inlineStr">
        <is>
          <t>2 - 3 Năm</t>
        </is>
      </c>
      <c r="L6049" s="8">
        <f>HYPERLINK("https://careerviet.vn/vi/tim-viec-lam/truong-nhom-kinh-doanh.35C631D7.html","Xem chi tiết")</f>
        <v/>
      </c>
    </row>
    <row r="6050">
      <c r="B6050" s="9" t="n">
        <v>6048</v>
      </c>
      <c r="C6050" s="10" t="inlineStr">
        <is>
          <t>NHÂN VIÊN THIẾT KẾ KỸ THUẬT (HCM)(Mới)</t>
        </is>
      </c>
      <c r="D6050" s="10" t="inlineStr">
        <is>
          <t>Công Ty TNHH SX Và TM Quân Đạt</t>
        </is>
      </c>
      <c r="E6050" s="10" t="inlineStr">
        <is>
          <t>Lương:Cạnh tranh</t>
        </is>
      </c>
      <c r="F6050" s="10" t="inlineStr">
        <is>
          <t>Hồ Chí Minh</t>
        </is>
      </c>
      <c r="G6050" s="10" t="inlineStr">
        <is>
          <t>17-04-2026</t>
        </is>
      </c>
      <c r="H6050" s="10" t="inlineStr">
        <is>
          <t>17/04/2026</t>
        </is>
      </c>
      <c r="I6050" s="10" t="inlineStr">
        <is>
          <t>17/03/2026</t>
        </is>
      </c>
      <c r="J6050" s="10" t="inlineStr">
        <is>
          <t>Cơ khí / Ô tô / Tự động hóa, Kiến trúc, Xây dựng</t>
        </is>
      </c>
      <c r="K6050" s="10" t="inlineStr">
        <is>
          <t>3 - 5 Năm</t>
        </is>
      </c>
      <c r="L6050" s="11">
        <f>HYPERLINK("https://careerviet.vn/vi/tim-viec-lam/nhan-vien-thiet-ke-ky-thuat-hcm.35C6D067.html","Xem chi tiết")</f>
        <v/>
      </c>
      <c r="M6050" s="10" t="n"/>
    </row>
    <row r="6051">
      <c r="B6051" s="7" t="n">
        <v>6049</v>
      </c>
      <c r="C6051" t="inlineStr">
        <is>
          <t>NHÂN VIÊN BẢO TRÌ ĐIỆN  (LONG THÀNH)(Mới)</t>
        </is>
      </c>
      <c r="D6051" t="inlineStr">
        <is>
          <t>Công ty TNHH Olam Việt Nam</t>
        </is>
      </c>
      <c r="E6051" t="inlineStr">
        <is>
          <t>Lương:Cạnh tranh</t>
        </is>
      </c>
      <c r="F6051" t="inlineStr">
        <is>
          <t>Đồng Nai</t>
        </is>
      </c>
      <c r="G6051" t="inlineStr">
        <is>
          <t>18-04-2026</t>
        </is>
      </c>
      <c r="H6051" t="inlineStr">
        <is>
          <t>18/04/2026</t>
        </is>
      </c>
      <c r="I6051" t="inlineStr">
        <is>
          <t>17/03/2026</t>
        </is>
      </c>
      <c r="J6051" t="inlineStr">
        <is>
          <t>Cơ khí / Ô tô / Tự động hóa, Điện / Điện tử / Điện lạnh / Điện công nghiệp, Bảo trì / Sửa chữa</t>
        </is>
      </c>
      <c r="K6051" t="inlineStr">
        <is>
          <t>Lên đến 1 Năm</t>
        </is>
      </c>
      <c r="L6051" s="8">
        <f>HYPERLINK("https://careerviet.vn/vi/tim-viec-lam/nhan-vien-bao-tri-dien-long-thanh.35C6D055.html","Xem chi tiết")</f>
        <v/>
      </c>
    </row>
    <row r="6052">
      <c r="B6052" s="9" t="n">
        <v>6050</v>
      </c>
      <c r="C6052" s="10" t="inlineStr">
        <is>
          <t>Chuyên viên Kế toán xây dựng(Mới)</t>
        </is>
      </c>
      <c r="D6052" s="10" t="inlineStr">
        <is>
          <t>CÔNG TY CỔ PHẦN NHIỆT ĐIỆN AN KHÁNH - BẮC GIANG</t>
        </is>
      </c>
      <c r="E6052" s="10" t="inlineStr">
        <is>
          <t>Lương:15 Tr - 20 Tr VND</t>
        </is>
      </c>
      <c r="F6052" s="10" t="inlineStr">
        <is>
          <t>Bắc NinhBắc Giang</t>
        </is>
      </c>
      <c r="G6052" s="10" t="inlineStr">
        <is>
          <t>30-04-2026</t>
        </is>
      </c>
      <c r="H6052" s="10" t="inlineStr">
        <is>
          <t>30/04/2026</t>
        </is>
      </c>
      <c r="I6052" s="10" t="inlineStr">
        <is>
          <t>17/03/2026</t>
        </is>
      </c>
      <c r="J6052" s="10" t="inlineStr">
        <is>
          <t>Kế toán / Kiểm toán, Xây dựng</t>
        </is>
      </c>
      <c r="K6052" s="10" t="inlineStr">
        <is>
          <t>Trên 3 Năm</t>
        </is>
      </c>
      <c r="L6052" s="11">
        <f>HYPERLINK("https://careerviet.vn/vi/tim-viec-lam/chuyen-vien-ke-toan-xay-dung.35C6CFE1.html","Xem chi tiết")</f>
        <v/>
      </c>
      <c r="M6052" s="10" t="n"/>
    </row>
    <row r="6053">
      <c r="B6053" s="7" t="n">
        <v>6051</v>
      </c>
      <c r="C6053" t="inlineStr">
        <is>
          <t>Nhân Viên Chuyển Đổi Số(Mới)</t>
        </is>
      </c>
      <c r="D6053" t="inlineStr">
        <is>
          <t>Công Ty Tài Chính TNHH Một Thành Viên Quốc Tế Việt Nam JACCS</t>
        </is>
      </c>
      <c r="E6053" t="inlineStr">
        <is>
          <t>Lương:10 Tr - 11 Tr VND</t>
        </is>
      </c>
      <c r="F6053" t="inlineStr">
        <is>
          <t>Hồ Chí Minh</t>
        </is>
      </c>
      <c r="G6053" t="inlineStr">
        <is>
          <t>17-04-2026</t>
        </is>
      </c>
      <c r="H6053" t="inlineStr">
        <is>
          <t>17/04/2026</t>
        </is>
      </c>
      <c r="I6053" t="inlineStr">
        <is>
          <t>17/03/2026</t>
        </is>
      </c>
      <c r="J6053" t="inlineStr">
        <is>
          <t>Tiếp thị / Marketing, CNTT - Phần cứng / Mạng, Quảng cáo / Đối ngoại / Truyền Thông</t>
        </is>
      </c>
      <c r="K6053" t="inlineStr">
        <is>
          <t>1 - 2 Năm</t>
        </is>
      </c>
      <c r="L6053" s="8">
        <f>HYPERLINK("https://careerviet.vn/vi/tim-viec-lam/nhan-vien-chuyen-doi-so.35C6D026.html","Xem chi tiết")</f>
        <v/>
      </c>
    </row>
    <row r="6054">
      <c r="B6054" s="9" t="n">
        <v>6052</v>
      </c>
      <c r="C6054" s="10" t="inlineStr">
        <is>
          <t>Kế Toán Tổng Hợp(Mới)</t>
        </is>
      </c>
      <c r="D6054" s="10" t="inlineStr">
        <is>
          <t>CÔNG TY CP ĐẦU TƯ KIẾN TRÚC &amp; NỘI THẤT MỘC XINH</t>
        </is>
      </c>
      <c r="E6054" s="10" t="inlineStr">
        <is>
          <t>Lương:15 Tr - 18 Tr VND</t>
        </is>
      </c>
      <c r="F6054" s="10" t="inlineStr">
        <is>
          <t>Hà Nội</t>
        </is>
      </c>
      <c r="G6054" s="10" t="inlineStr">
        <is>
          <t>16-04-2026</t>
        </is>
      </c>
      <c r="H6054" s="10" t="inlineStr">
        <is>
          <t>16/04/2026</t>
        </is>
      </c>
      <c r="I6054" s="10" t="inlineStr">
        <is>
          <t>17/03/2026</t>
        </is>
      </c>
      <c r="J6054" s="10" t="inlineStr">
        <is>
          <t>Luật / Pháp lý, Kế toán / Kiểm toán, Tài chính / Đầu tư</t>
        </is>
      </c>
      <c r="K6054" s="10" t="inlineStr">
        <is>
          <t>2 - 3 Năm</t>
        </is>
      </c>
      <c r="L6054" s="11">
        <f>HYPERLINK("https://careerviet.vn/vi/tim-viec-lam/ke-toan-tong-hop.35C6D056.html","Xem chi tiết")</f>
        <v/>
      </c>
      <c r="M6054" s="10" t="n"/>
    </row>
    <row r="6055">
      <c r="B6055" s="7" t="n">
        <v>6053</v>
      </c>
      <c r="C6055" t="inlineStr">
        <is>
          <t>Digital Product Owner (PO)</t>
        </is>
      </c>
      <c r="D6055" t="inlineStr">
        <is>
          <t>Ngân Hàng TMCP Quốc Tế Việt Nam</t>
        </is>
      </c>
      <c r="E6055" t="inlineStr">
        <is>
          <t>Lương:Cạnh tranh</t>
        </is>
      </c>
      <c r="F6055" t="inlineStr">
        <is>
          <t>Hồ Chí Minh</t>
        </is>
      </c>
      <c r="G6055" t="inlineStr">
        <is>
          <t>Hôm nay</t>
        </is>
      </c>
      <c r="H6055" t="inlineStr">
        <is>
          <t>17/03/2026</t>
        </is>
      </c>
      <c r="I6055" t="inlineStr">
        <is>
          <t>17/03/2026</t>
        </is>
      </c>
      <c r="J6055" t="inlineStr">
        <is>
          <t>CNTT - Phần mềm</t>
        </is>
      </c>
      <c r="K6055" t="inlineStr">
        <is>
          <t>1 - 5 Năm</t>
        </is>
      </c>
      <c r="L6055" s="8">
        <f>HYPERLINK("https://careerviet.vn/vi/tim-viec-lam/digital-product-owner-po.35C65D59.html","Xem chi tiết")</f>
        <v/>
      </c>
    </row>
    <row r="6056">
      <c r="B6056" s="9" t="n">
        <v>6054</v>
      </c>
      <c r="C6056" s="10" t="inlineStr">
        <is>
          <t>Phó phòng Hành chính nhân sự</t>
        </is>
      </c>
      <c r="D6056" s="10" t="inlineStr">
        <is>
          <t>Công ty Cổ phần Việt Chuẩn</t>
        </is>
      </c>
      <c r="E6056" s="10" t="inlineStr">
        <is>
          <t>Lương:17 Tr - 20 Tr VND</t>
        </is>
      </c>
      <c r="F6056" s="10" t="inlineStr">
        <is>
          <t>Hà Nội</t>
        </is>
      </c>
      <c r="G6056" s="10" t="inlineStr">
        <is>
          <t>Hôm nay</t>
        </is>
      </c>
      <c r="H6056" s="10" t="inlineStr">
        <is>
          <t>17/03/2026</t>
        </is>
      </c>
      <c r="I6056" s="10" t="inlineStr">
        <is>
          <t>17/03/2026</t>
        </is>
      </c>
      <c r="J6056" s="10" t="inlineStr">
        <is>
          <t>Hành chính / Thư ký, Nhân sự</t>
        </is>
      </c>
      <c r="K6056" s="10" t="inlineStr">
        <is>
          <t>3 - 5 Năm</t>
        </is>
      </c>
      <c r="L6056" s="11">
        <f>HYPERLINK("https://careerviet.vn/vi/tim-viec-lam/pho-phong-hanh-chinh-nhan-su.35C65BDD.html","Xem chi tiết")</f>
        <v/>
      </c>
      <c r="M6056" s="10" t="n"/>
    </row>
    <row r="6057">
      <c r="B6057" s="7" t="n">
        <v>6055</v>
      </c>
      <c r="C6057" t="inlineStr">
        <is>
          <t>TƯ VẤN GIÁM SÁT TRƯỞNG</t>
        </is>
      </c>
      <c r="D6057" t="inlineStr">
        <is>
          <t>Công ty TNHH tư vấn công trình xây dựng KCIS</t>
        </is>
      </c>
      <c r="E6057" t="inlineStr">
        <is>
          <t>Lương:22 Tr - 25 Tr VND</t>
        </is>
      </c>
      <c r="F6057" t="inlineStr">
        <is>
          <t>Hà Nam</t>
        </is>
      </c>
      <c r="G6057" t="inlineStr">
        <is>
          <t>Hôm nay</t>
        </is>
      </c>
      <c r="H6057" t="inlineStr">
        <is>
          <t>17/03/2026</t>
        </is>
      </c>
      <c r="I6057" t="inlineStr">
        <is>
          <t>17/03/2026</t>
        </is>
      </c>
      <c r="J6057" t="inlineStr">
        <is>
          <t>Kiến trúc, Xây dựng</t>
        </is>
      </c>
      <c r="K6057" t="inlineStr">
        <is>
          <t>3 - 5 Năm</t>
        </is>
      </c>
      <c r="L6057" s="8">
        <f>HYPERLINK("https://careerviet.vn/vi/tim-viec-lam/tu-van-giam-sat-truong.35C65DC6.html","Xem chi tiết")</f>
        <v/>
      </c>
    </row>
    <row r="6058">
      <c r="B6058" s="9" t="n">
        <v>6056</v>
      </c>
      <c r="C6058" s="10" t="inlineStr">
        <is>
          <t>Chuyên viên Nhân sự  (Trung/Anh)</t>
        </is>
      </c>
      <c r="D6058" s="10" t="inlineStr">
        <is>
          <t>CÔNG TY TNHH ĐIỆN KHÍ QUỐC QUANG (VIỆT NAM)</t>
        </is>
      </c>
      <c r="E6058" s="10" t="inlineStr">
        <is>
          <t>Lương:Cạnh tranh</t>
        </is>
      </c>
      <c r="F6058" s="10" t="inlineStr">
        <is>
          <t>Quảng NamĐà Nẵng</t>
        </is>
      </c>
      <c r="G6058" s="10" t="inlineStr">
        <is>
          <t>Hôm nay</t>
        </is>
      </c>
      <c r="H6058" s="10" t="inlineStr">
        <is>
          <t>17/03/2026</t>
        </is>
      </c>
      <c r="I6058" s="10" t="inlineStr">
        <is>
          <t>17/03/2026</t>
        </is>
      </c>
      <c r="J6058" s="10" t="inlineStr">
        <is>
          <t>Nhân sự, Quản lý chất lượng (QA/QC), Luật / Pháp lý</t>
        </is>
      </c>
      <c r="K6058" s="10" t="inlineStr">
        <is>
          <t>Trên 1 Năm</t>
        </is>
      </c>
      <c r="L6058" s="11">
        <f>HYPERLINK("https://careerviet.vn/vi/tim-viec-lam/chuyen-vien-nhan-su-trung-anh.35C630E2.html","Xem chi tiết")</f>
        <v/>
      </c>
      <c r="M6058" s="10" t="n"/>
    </row>
    <row r="6059">
      <c r="B6059" s="7" t="n">
        <v>6057</v>
      </c>
      <c r="C6059" t="inlineStr">
        <is>
          <t>Senior AI Engineer (Computer Vision/NPL/LLM) - Khối Công nghệ thông tin (HO25.528)</t>
        </is>
      </c>
      <c r="D6059" t="inlineStr">
        <is>
          <t>Ngân Hàng TMCP Quân Đội</t>
        </is>
      </c>
      <c r="E6059" t="inlineStr">
        <is>
          <t>Lương:Cạnh tranh</t>
        </is>
      </c>
      <c r="F6059" t="inlineStr">
        <is>
          <t>Hà Nội</t>
        </is>
      </c>
      <c r="G6059" t="inlineStr">
        <is>
          <t>Hôm nay</t>
        </is>
      </c>
      <c r="H6059" t="inlineStr">
        <is>
          <t>17/03/2026</t>
        </is>
      </c>
      <c r="I6059" t="inlineStr">
        <is>
          <t>17/03/2026</t>
        </is>
      </c>
      <c r="J6059" t="inlineStr">
        <is>
          <t>Quản lý chất lượng (QA/QC), CNTT - Phần mềm</t>
        </is>
      </c>
      <c r="K6059" t="inlineStr">
        <is>
          <t>Trên 2 Năm</t>
        </is>
      </c>
      <c r="L6059" s="8">
        <f>HYPERLINK("https://careerviet.vn/vi/tim-viec-lam/senior-ai-engineer-computer-vision-npl-llm-khoi-cong-nghe-thong-tin-ho25-528.35C6322A.html","Xem chi tiết")</f>
        <v/>
      </c>
    </row>
    <row r="6060">
      <c r="B6060" s="9" t="n">
        <v>6058</v>
      </c>
      <c r="C6060" s="10" t="inlineStr">
        <is>
          <t>Kỹ sư bảo dưỡng có Tiếng Nhật hoặc Tiếng Trung 27484 - KCN Tiên Sơn, Bắc Ninh</t>
        </is>
      </c>
      <c r="D6060" s="10" t="inlineStr">
        <is>
          <t>Công Ty TNHH Reeracoen Việt Nam</t>
        </is>
      </c>
      <c r="E6060" s="10" t="inlineStr">
        <is>
          <t>Lương:Cạnh tranh</t>
        </is>
      </c>
      <c r="F6060" s="10" t="inlineStr">
        <is>
          <t>Bắc Ninh</t>
        </is>
      </c>
      <c r="G6060" s="10" t="inlineStr">
        <is>
          <t>Hôm nay</t>
        </is>
      </c>
      <c r="H6060" s="10" t="inlineStr">
        <is>
          <t>17/03/2026</t>
        </is>
      </c>
      <c r="I6060" s="10" t="inlineStr">
        <is>
          <t>17/03/2026</t>
        </is>
      </c>
      <c r="J6060" s="10" t="inlineStr">
        <is>
          <t>Cơ khí / Ô tô / Tự động hóa, Điện / Điện tử / Điện lạnh / Điện công nghiệp, Bảo trì / Sửa chữa</t>
        </is>
      </c>
      <c r="K6060" s="10" t="inlineStr">
        <is>
          <t>Trên 2 Năm</t>
        </is>
      </c>
      <c r="L6060" s="11">
        <f>HYPERLINK("https://careerviet.vn/vi/tim-viec-lam/ky-su-bao-duong-co-tieng-nhat-hoac-tieng-trung-27484-kcn-tien-son-bac-ninh.35C65DB9.html","Xem chi tiết")</f>
        <v/>
      </c>
      <c r="M6060" s="10" t="n"/>
    </row>
    <row r="6061">
      <c r="B6061" s="7" t="n">
        <v>6059</v>
      </c>
      <c r="C6061" t="inlineStr">
        <is>
          <t>BẢO TRÌ ĐIỆN</t>
        </is>
      </c>
      <c r="D6061" t="inlineStr">
        <is>
          <t>CÔNG TY TNHH ROCK WOOL KHẢI HOÀN</t>
        </is>
      </c>
      <c r="E6061" t="inlineStr">
        <is>
          <t>Lương:Cạnh tranh</t>
        </is>
      </c>
      <c r="F6061" t="inlineStr">
        <is>
          <t>Long An</t>
        </is>
      </c>
      <c r="G6061" t="inlineStr">
        <is>
          <t>Hôm nay</t>
        </is>
      </c>
      <c r="H6061" t="inlineStr">
        <is>
          <t>17/03/2026</t>
        </is>
      </c>
      <c r="I6061" t="inlineStr">
        <is>
          <t>17/03/2026</t>
        </is>
      </c>
      <c r="J6061" t="inlineStr">
        <is>
          <t>Điện / Điện tử / Điện lạnh / Điện công nghiệp, Bảo trì / Sửa chữa</t>
        </is>
      </c>
      <c r="K6061" t="inlineStr">
        <is>
          <t>1 - 5 Năm</t>
        </is>
      </c>
      <c r="L6061" s="8">
        <f>HYPERLINK("https://careerviet.vn/vi/tim-viec-lam/bao-tri-dien.35C62F3D.html","Xem chi tiết")</f>
        <v/>
      </c>
    </row>
    <row r="6062">
      <c r="B6062" s="9" t="n">
        <v>6060</v>
      </c>
      <c r="C6062" s="10" t="inlineStr">
        <is>
          <t>Kỹ sư công nghiệp</t>
        </is>
      </c>
      <c r="D6062" s="10" t="inlineStr">
        <is>
          <t>VINFAST TRADING AND PRODUCTION JSC</t>
        </is>
      </c>
      <c r="E6062" s="10" t="inlineStr">
        <is>
          <t>Lương:Cạnh tranh</t>
        </is>
      </c>
      <c r="F6062" s="10" t="inlineStr">
        <is>
          <t>Hà Tĩnh</t>
        </is>
      </c>
      <c r="G6062" s="10" t="inlineStr">
        <is>
          <t>Hôm nay</t>
        </is>
      </c>
      <c r="H6062" s="10" t="inlineStr">
        <is>
          <t>17/03/2026</t>
        </is>
      </c>
      <c r="I6062" s="10" t="inlineStr">
        <is>
          <t>17/03/2026</t>
        </is>
      </c>
      <c r="J6062" s="10" t="inlineStr">
        <is>
          <t>Cơ khí / Ô tô / Tự động hóa, Sản xuất / Vận hành sản xuất, Quản lý chất lượng (QA/QC)</t>
        </is>
      </c>
      <c r="K6062" s="10" t="inlineStr">
        <is>
          <t>N/A</t>
        </is>
      </c>
      <c r="L6062" s="11">
        <f>HYPERLINK("https://careerviet.vn/vi/tim-viec-lam/ky-su-cong-nghiep.35C62EA5.html","Xem chi tiết")</f>
        <v/>
      </c>
      <c r="M6062" s="10" t="n"/>
    </row>
    <row r="6063">
      <c r="B6063" s="7" t="n">
        <v>6061</v>
      </c>
      <c r="C6063" t="inlineStr">
        <is>
          <t>Kỹ sư dịch vụ hệ thống lạnh 27457 - Phú Nhuận, HCM</t>
        </is>
      </c>
      <c r="D6063" t="inlineStr">
        <is>
          <t>Công Ty TNHH Reeracoen Việt Nam</t>
        </is>
      </c>
      <c r="E6063" t="inlineStr">
        <is>
          <t>Lương:20 Tr - 25 Tr VND</t>
        </is>
      </c>
      <c r="F6063" t="inlineStr">
        <is>
          <t>Hồ Chí Minh</t>
        </is>
      </c>
      <c r="G6063" t="inlineStr">
        <is>
          <t>Hôm nay</t>
        </is>
      </c>
      <c r="H6063" t="inlineStr">
        <is>
          <t>17/03/2026</t>
        </is>
      </c>
      <c r="I6063" t="inlineStr">
        <is>
          <t>17/03/2026</t>
        </is>
      </c>
      <c r="J6063" t="inlineStr">
        <is>
          <t>Cơ khí / Ô tô / Tự động hóa, Điện / Điện tử / Điện lạnh / Điện công nghiệp, Bảo trì / Sửa chữa</t>
        </is>
      </c>
      <c r="K6063" t="inlineStr">
        <is>
          <t>1 - 2 Năm</t>
        </is>
      </c>
      <c r="L6063" s="8">
        <f>HYPERLINK("https://careerviet.vn/vi/tim-viec-lam/ky-su-dich-vu-he-thong-lanh-27457-phu-nhuan-hcm.35C65DAF.html","Xem chi tiết")</f>
        <v/>
      </c>
    </row>
    <row r="6064">
      <c r="B6064" s="9" t="n">
        <v>6062</v>
      </c>
      <c r="C6064" s="10" t="inlineStr">
        <is>
          <t>Nhân Viên Vận Hành - Lập Trình Máy Phay CNC</t>
        </is>
      </c>
      <c r="D6064" s="10" t="inlineStr">
        <is>
          <t>CÔNG TY TNHH CƠ KHÍ VÀ DỊCH VỤ KỸ THUẬT LIÊN MINH</t>
        </is>
      </c>
      <c r="E6064" s="10" t="inlineStr">
        <is>
          <t>Lương:10 Tr - 15 Tr VND</t>
        </is>
      </c>
      <c r="F6064" s="10" t="inlineStr">
        <is>
          <t>Bình Dương</t>
        </is>
      </c>
      <c r="G6064" s="10" t="inlineStr">
        <is>
          <t>Hôm nay</t>
        </is>
      </c>
      <c r="H6064" s="10" t="inlineStr">
        <is>
          <t>17/03/2026</t>
        </is>
      </c>
      <c r="I6064" s="10" t="inlineStr">
        <is>
          <t>17/03/2026</t>
        </is>
      </c>
      <c r="J6064" s="10" t="inlineStr">
        <is>
          <t>Cơ khí / Ô tô / Tự động hóa, Bảo trì / Sửa chữa, Sản xuất / Vận hành sản xuất</t>
        </is>
      </c>
      <c r="K6064" s="10" t="inlineStr">
        <is>
          <t>Trên 3 Năm</t>
        </is>
      </c>
      <c r="L6064" s="11">
        <f>HYPERLINK("https://careerviet.vn/vi/tim-viec-lam/nhan-vien-van-hanh-lap-trinh-may-phay-cnc.35C631F2.html","Xem chi tiết")</f>
        <v/>
      </c>
      <c r="M6064" s="10" t="n"/>
    </row>
    <row r="6065">
      <c r="B6065" s="7" t="n">
        <v>6063</v>
      </c>
      <c r="C6065" t="inlineStr">
        <is>
          <t>TƯ VẤN GIÁM SÁT TRƯỞNG</t>
        </is>
      </c>
      <c r="D6065" t="inlineStr">
        <is>
          <t>Công ty TNHH tư vấn công trình xây dựng KCIS</t>
        </is>
      </c>
      <c r="E6065" t="inlineStr">
        <is>
          <t>Lương:20 Tr - 22 Tr VND</t>
        </is>
      </c>
      <c r="F6065" t="inlineStr">
        <is>
          <t>Hà Nội</t>
        </is>
      </c>
      <c r="G6065" t="inlineStr">
        <is>
          <t>Hôm nay</t>
        </is>
      </c>
      <c r="H6065" t="inlineStr">
        <is>
          <t>17/03/2026</t>
        </is>
      </c>
      <c r="I6065" t="inlineStr">
        <is>
          <t>17/03/2026</t>
        </is>
      </c>
      <c r="J6065" t="inlineStr">
        <is>
          <t>Kiến trúc, Xây dựng</t>
        </is>
      </c>
      <c r="K6065" t="inlineStr">
        <is>
          <t>3 - 5 Năm</t>
        </is>
      </c>
      <c r="L6065" s="8">
        <f>HYPERLINK("https://careerviet.vn/vi/tim-viec-lam/tu-van-giam-sat-truong.35C65DC9.html","Xem chi tiết")</f>
        <v/>
      </c>
    </row>
    <row r="6066">
      <c r="B6066" s="9" t="n">
        <v>6064</v>
      </c>
      <c r="C6066" s="10" t="inlineStr">
        <is>
          <t>Kế toán tổng hợp</t>
        </is>
      </c>
      <c r="D6066" s="10" t="inlineStr">
        <is>
          <t>Công Ty TNHH T.M.G</t>
        </is>
      </c>
      <c r="E6066" s="10" t="inlineStr">
        <is>
          <t>Lương:Cạnh tranh</t>
        </is>
      </c>
      <c r="F6066" s="10" t="inlineStr">
        <is>
          <t>Hồ Chí Minh</t>
        </is>
      </c>
      <c r="G6066" s="10" t="inlineStr">
        <is>
          <t>Hôm nay</t>
        </is>
      </c>
      <c r="H6066" s="10" t="inlineStr">
        <is>
          <t>17/03/2026</t>
        </is>
      </c>
      <c r="I6066" s="10" t="inlineStr">
        <is>
          <t>17/03/2026</t>
        </is>
      </c>
      <c r="J6066" s="10" t="inlineStr">
        <is>
          <t>Bán lẻ / Bán sỉ, Bán hàng / Kinh doanh, Kế toán / Kiểm toán</t>
        </is>
      </c>
      <c r="K6066" s="10" t="inlineStr">
        <is>
          <t>2 - 3 Năm</t>
        </is>
      </c>
      <c r="L6066" s="11">
        <f>HYPERLINK("https://careerviet.vn/vi/tim-viec-lam/ke-toan-tong-hop.35C65BF4.html","Xem chi tiết")</f>
        <v/>
      </c>
      <c r="M6066" s="10" t="n"/>
    </row>
    <row r="6067">
      <c r="B6067" s="7" t="n">
        <v>6065</v>
      </c>
      <c r="C6067" t="inlineStr">
        <is>
          <t>Nhân Viên Kỹ Thuật</t>
        </is>
      </c>
      <c r="D6067" t="inlineStr">
        <is>
          <t>Công Ty TNHH Hồng Môn</t>
        </is>
      </c>
      <c r="E6067" t="inlineStr">
        <is>
          <t>Lương:Cạnh tranh</t>
        </is>
      </c>
      <c r="F6067" t="inlineStr">
        <is>
          <t>Hồ Chí Minh</t>
        </is>
      </c>
      <c r="G6067" t="inlineStr">
        <is>
          <t>Hôm nay</t>
        </is>
      </c>
      <c r="H6067" t="inlineStr">
        <is>
          <t>17/03/2026</t>
        </is>
      </c>
      <c r="I6067" t="inlineStr">
        <is>
          <t>17/03/2026</t>
        </is>
      </c>
      <c r="J6067" t="inlineStr">
        <is>
          <t>Cơ khí / Ô tô / Tự động hóa, Điện / Điện tử / Điện lạnh / Điện công nghiệp, Bảo trì / Sửa chữa</t>
        </is>
      </c>
      <c r="K6067" t="inlineStr">
        <is>
          <t>N/A</t>
        </is>
      </c>
      <c r="L6067" s="8">
        <f>HYPERLINK("https://careerviet.vn/vi/tim-viec-lam/nhan-vien-ky-thuat.35C63039.html","Xem chi tiết")</f>
        <v/>
      </c>
    </row>
    <row r="6068">
      <c r="B6068" s="9" t="n">
        <v>6066</v>
      </c>
      <c r="C6068" s="10" t="inlineStr">
        <is>
          <t>Chuyên viên cao cấp Phát triển Giải pháp Ngân hàng số</t>
        </is>
      </c>
      <c r="D6068" s="10" t="inlineStr">
        <is>
          <t>Ngân Hàng TMCP Quốc Tế Việt Nam</t>
        </is>
      </c>
      <c r="E6068" s="10" t="inlineStr">
        <is>
          <t>Lương:Cạnh tranh</t>
        </is>
      </c>
      <c r="F6068" s="10" t="inlineStr">
        <is>
          <t>Hà Nội</t>
        </is>
      </c>
      <c r="G6068" s="10" t="inlineStr">
        <is>
          <t>Hôm nay</t>
        </is>
      </c>
      <c r="H6068" s="10" t="inlineStr">
        <is>
          <t>17/03/2026</t>
        </is>
      </c>
      <c r="I6068" s="10" t="inlineStr">
        <is>
          <t>17/03/2026</t>
        </is>
      </c>
      <c r="J6068" s="10" t="inlineStr">
        <is>
          <t>CNTT - Phần mềm</t>
        </is>
      </c>
      <c r="K6068" s="10" t="inlineStr">
        <is>
          <t>Trên 3 Năm</t>
        </is>
      </c>
      <c r="L6068" s="11">
        <f>HYPERLINK("https://careerviet.vn/vi/tim-viec-lam/chuyen-vien-cao-cap-phat-trien-giai-phap-ngan-hang-so.35C65D6B.html","Xem chi tiết")</f>
        <v/>
      </c>
      <c r="M6068" s="10" t="n"/>
    </row>
    <row r="6069">
      <c r="B6069" s="7" t="n">
        <v>6067</v>
      </c>
      <c r="C6069" t="inlineStr">
        <is>
          <t>Chuyên viên Phát triển khoa học dữ liệu - Data Scientist - Khối Công nghệ thông tin (HO25.532)</t>
        </is>
      </c>
      <c r="D6069" t="inlineStr">
        <is>
          <t>Ngân Hàng TMCP Quân Đội</t>
        </is>
      </c>
      <c r="E6069" t="inlineStr">
        <is>
          <t>Lương:Cạnh tranh</t>
        </is>
      </c>
      <c r="F6069" t="inlineStr">
        <is>
          <t>Hà Nội</t>
        </is>
      </c>
      <c r="G6069" t="inlineStr">
        <is>
          <t>Hôm nay</t>
        </is>
      </c>
      <c r="H6069" t="inlineStr">
        <is>
          <t>17/03/2026</t>
        </is>
      </c>
      <c r="I6069" t="inlineStr">
        <is>
          <t>17/03/2026</t>
        </is>
      </c>
      <c r="J6069" t="inlineStr">
        <is>
          <t>CNTT - Phần mềm, CNTT - Phần cứng / Mạng</t>
        </is>
      </c>
      <c r="K6069" t="inlineStr">
        <is>
          <t>Trên 1 Năm</t>
        </is>
      </c>
      <c r="L6069" s="8">
        <f>HYPERLINK("https://careerviet.vn/vi/tim-viec-lam/chuyen-vien-phat-trien-khoa-hoc-du-lieu-data-scientist-khoi-cong-nghe-thong-tin-ho25-532.35C6322E.html","Xem chi tiết")</f>
        <v/>
      </c>
    </row>
    <row r="6070">
      <c r="B6070" s="9" t="n">
        <v>6068</v>
      </c>
      <c r="C6070" s="10" t="inlineStr">
        <is>
          <t>Nhân Viên Xuất Nhập Khẩu(Mới)</t>
        </is>
      </c>
      <c r="D6070" s="10" t="inlineStr">
        <is>
          <t>CÔNG TY TNHH ASTRO ENGINEERING VN</t>
        </is>
      </c>
      <c r="E6070" s="10" t="inlineStr">
        <is>
          <t>Lương:12 Tr - 15 Tr VND</t>
        </is>
      </c>
      <c r="F6070" s="10" t="inlineStr">
        <is>
          <t>Bình Dương</t>
        </is>
      </c>
      <c r="G6070" s="10" t="inlineStr">
        <is>
          <t>30-04-2026</t>
        </is>
      </c>
      <c r="H6070" s="10" t="inlineStr">
        <is>
          <t>30/04/2026</t>
        </is>
      </c>
      <c r="I6070" s="10" t="inlineStr">
        <is>
          <t>17/03/2026</t>
        </is>
      </c>
      <c r="J6070" s="10" t="inlineStr">
        <is>
          <t>Bán hàng / Kinh doanh, Xuất nhập khẩu, Vận chuyển / Giao nhận / Kho vận</t>
        </is>
      </c>
      <c r="K6070" s="10" t="inlineStr">
        <is>
          <t>2 - 5 Năm</t>
        </is>
      </c>
      <c r="L6070" s="11">
        <f>HYPERLINK("https://careerviet.vn/vi/tim-viec-lam/nhan-vien-xuat-nhap-khau.35C6D0B8.html","Xem chi tiết")</f>
        <v/>
      </c>
      <c r="M6070" s="10" t="n"/>
    </row>
    <row r="6071">
      <c r="B6071" s="7" t="n">
        <v>6069</v>
      </c>
      <c r="C6071" t="inlineStr">
        <is>
          <t>Chuyên Viên Phê Duyệt Tín Dụng Bán Buôn</t>
        </is>
      </c>
      <c r="D6071" t="inlineStr">
        <is>
          <t>NGÂN HÀNG TMCP NGOẠI THƯƠNG VIỆT NAM (VIETCOMBANK)</t>
        </is>
      </c>
      <c r="E6071" t="inlineStr">
        <is>
          <t>Lương:Cạnh tranh</t>
        </is>
      </c>
      <c r="F6071" t="inlineStr">
        <is>
          <t>Hồ Chí Minh</t>
        </is>
      </c>
      <c r="G6071" t="inlineStr">
        <is>
          <t>Hôm nay</t>
        </is>
      </c>
      <c r="H6071" t="inlineStr">
        <is>
          <t>17/03/2026</t>
        </is>
      </c>
      <c r="I6071" t="inlineStr">
        <is>
          <t>17/03/2026</t>
        </is>
      </c>
      <c r="J6071" t="inlineStr">
        <is>
          <t>Ngân hàng, Tài chính / Đầu tư, Kế toán / Kiểm toán</t>
        </is>
      </c>
      <c r="K6071" t="inlineStr">
        <is>
          <t>Trên 2 Năm</t>
        </is>
      </c>
      <c r="L6071" s="8">
        <f>HYPERLINK("https://careerviet.vn/vi/tim-viec-lam/chuyen-vien-phe-duyet-tin-dung-ban-buon.35C65D3E.html","Xem chi tiết")</f>
        <v/>
      </c>
    </row>
    <row r="6072">
      <c r="B6072" s="9" t="n">
        <v>6070</v>
      </c>
      <c r="C6072" s="10" t="inlineStr">
        <is>
          <t>Nhân viên tiền lương</t>
        </is>
      </c>
      <c r="D6072" s="10" t="inlineStr">
        <is>
          <t>Công Ty Cổ Phần Sữa Việt Nam (Vinamilk)</t>
        </is>
      </c>
      <c r="E6072" s="10" t="inlineStr">
        <is>
          <t>Lương:Cạnh tranh</t>
        </is>
      </c>
      <c r="F6072" s="10" t="inlineStr">
        <is>
          <t>Bình Dương</t>
        </is>
      </c>
      <c r="G6072" s="10" t="inlineStr">
        <is>
          <t>15-02-2026</t>
        </is>
      </c>
      <c r="H6072" s="10" t="inlineStr">
        <is>
          <t>12/03/2026</t>
        </is>
      </c>
      <c r="I6072" s="10" t="inlineStr">
        <is>
          <t>17/03/2026</t>
        </is>
      </c>
      <c r="J6072" s="10" t="inlineStr">
        <is>
          <t>Nhân sự</t>
        </is>
      </c>
      <c r="K6072" s="10" t="inlineStr">
        <is>
          <t>1 - 3 Năm</t>
        </is>
      </c>
      <c r="L6072" s="11">
        <f>HYPERLINK("https://careerviet.vn/vi/tim-viec-lam/nhan-vien-tien-luong.35C676E6.html","Xem chi tiết")</f>
        <v/>
      </c>
      <c r="M6072" s="10" t="n"/>
    </row>
    <row r="6073">
      <c r="B6073" s="7" t="n">
        <v>6071</v>
      </c>
      <c r="C6073" t="inlineStr">
        <is>
          <t>Thiết Kế Nội Thất</t>
        </is>
      </c>
      <c r="D6073" t="inlineStr">
        <is>
          <t>CÔNG TY CỔ PHẦN LUXZEN</t>
        </is>
      </c>
      <c r="E6073" t="inlineStr">
        <is>
          <t>Lương:15 Tr - 20 Tr VND</t>
        </is>
      </c>
      <c r="F6073" t="inlineStr">
        <is>
          <t>Hà Nội</t>
        </is>
      </c>
      <c r="G6073" t="inlineStr">
        <is>
          <t>Hôm nay</t>
        </is>
      </c>
      <c r="H6073" t="inlineStr">
        <is>
          <t>17/03/2026</t>
        </is>
      </c>
      <c r="I6073" t="inlineStr">
        <is>
          <t>17/03/2026</t>
        </is>
      </c>
      <c r="J6073" t="inlineStr">
        <is>
          <t>Mỹ thuật / Nghệ thuật / Thiết kế, Kiến trúc, Nội ngoại thất</t>
        </is>
      </c>
      <c r="K6073" t="inlineStr">
        <is>
          <t>Trên 1 Năm</t>
        </is>
      </c>
      <c r="L6073" s="8">
        <f>HYPERLINK("https://careerviet.vn/vi/tim-viec-lam/thiet-ke-noi-that.35C65C03.html","Xem chi tiết")</f>
        <v/>
      </c>
    </row>
    <row r="6074">
      <c r="B6074" s="9" t="n">
        <v>6072</v>
      </c>
      <c r="C6074" s="10" t="inlineStr">
        <is>
          <t>Trình dược viên</t>
        </is>
      </c>
      <c r="D6074" s="10" t="inlineStr">
        <is>
          <t>VPĐD HETERO LABS LIMITED TẠI TP.HCM</t>
        </is>
      </c>
      <c r="E6074" s="10" t="inlineStr">
        <is>
          <t>Lương:10 Tr - 18 Tr VND</t>
        </is>
      </c>
      <c r="F6074" s="10" t="inlineStr">
        <is>
          <t>Hồ Chí Minh</t>
        </is>
      </c>
      <c r="G6074" s="10" t="inlineStr">
        <is>
          <t>15-02-2026</t>
        </is>
      </c>
      <c r="H6074" s="10" t="inlineStr">
        <is>
          <t>28/02/2026</t>
        </is>
      </c>
      <c r="I6074" s="10" t="inlineStr">
        <is>
          <t>17/03/2026</t>
        </is>
      </c>
      <c r="J6074" s="10" t="inlineStr">
        <is>
          <t>Dược phẩm/ Hóa Mỹ Phẩm, Bán hàng / Kinh doanh</t>
        </is>
      </c>
      <c r="K6074" s="10" t="inlineStr">
        <is>
          <t>2 - 5 Năm</t>
        </is>
      </c>
      <c r="L6074" s="11">
        <f>HYPERLINK("https://careerviet.vn/vi/tim-viec-lam/trinh-duoc-vien.35C68B80.html","Xem chi tiết")</f>
        <v/>
      </c>
      <c r="M6074" s="10" t="n"/>
    </row>
    <row r="6075">
      <c r="B6075" s="7" t="n">
        <v>6073</v>
      </c>
      <c r="C6075" t="inlineStr">
        <is>
          <t>Sales Director</t>
        </is>
      </c>
      <c r="D6075" t="inlineStr">
        <is>
          <t>CÔNG TY CỔ PHẦN I GROUP</t>
        </is>
      </c>
      <c r="E6075" t="inlineStr">
        <is>
          <t>Lương:Cạnh tranh</t>
        </is>
      </c>
      <c r="F6075" t="inlineStr">
        <is>
          <t>Hồ Chí Minh</t>
        </is>
      </c>
      <c r="G6075" t="inlineStr">
        <is>
          <t>Hôm nay</t>
        </is>
      </c>
      <c r="H6075" t="inlineStr">
        <is>
          <t>17/03/2026</t>
        </is>
      </c>
      <c r="I6075" t="inlineStr">
        <is>
          <t>17/03/2026</t>
        </is>
      </c>
      <c r="J6075" t="inlineStr">
        <is>
          <t>Bán hàng / Kinh doanh, Thủy sản / Hải sản, Xuất nhập khẩu</t>
        </is>
      </c>
      <c r="K6075" t="inlineStr">
        <is>
          <t>10 - 15 Năm</t>
        </is>
      </c>
      <c r="L6075" s="8">
        <f>HYPERLINK("https://careerviet.vn/vi/tim-viec-lam/sales-director.35C65D97.html","Xem chi tiết")</f>
        <v/>
      </c>
    </row>
    <row r="6076">
      <c r="B6076" s="9" t="n">
        <v>6074</v>
      </c>
      <c r="C6076" s="10" t="inlineStr">
        <is>
          <t>Nhân Viên Tư Vấn Tuyển Sinh / Educational Consultant</t>
        </is>
      </c>
      <c r="D6076" s="10" t="inlineStr">
        <is>
          <t>CÔNG TY CỔ PHẦN CÔNG NGHỆ PREP</t>
        </is>
      </c>
      <c r="E6076" s="10" t="inlineStr">
        <is>
          <t>Lương:18 Tr - 30 Tr VND</t>
        </is>
      </c>
      <c r="F6076" s="10" t="inlineStr">
        <is>
          <t>Hồ Chí Minh</t>
        </is>
      </c>
      <c r="G6076" s="10" t="inlineStr">
        <is>
          <t>Hôm nay</t>
        </is>
      </c>
      <c r="H6076" s="10" t="inlineStr">
        <is>
          <t>17/03/2026</t>
        </is>
      </c>
      <c r="I6076" s="10" t="inlineStr">
        <is>
          <t>17/03/2026</t>
        </is>
      </c>
      <c r="J6076" s="10" t="inlineStr">
        <is>
          <t>Tư vấn, Giáo dục / Đào tạo, Bán hàng / Kinh doanh</t>
        </is>
      </c>
      <c r="K6076" s="10" t="inlineStr">
        <is>
          <t>Lên đến 1 Năm</t>
        </is>
      </c>
      <c r="L6076" s="11">
        <f>HYPERLINK("https://careerviet.vn/vi/tim-viec-lam/nhan-vien-tu-van-tuyen-sinh-educational-consultant.35C65DA4.html","Xem chi tiết")</f>
        <v/>
      </c>
      <c r="M6076" s="10" t="n"/>
    </row>
    <row r="6077">
      <c r="B6077" s="7" t="n">
        <v>6075</v>
      </c>
      <c r="C6077" t="inlineStr">
        <is>
          <t>Nhân Viên Phòng Nhân Sự - Quan Hệ Lao Động / Human Resources - Labour Relation Staff (Experienced)</t>
        </is>
      </c>
      <c r="D6077" t="inlineStr">
        <is>
          <t>Công ty TNHH HS Hyosung Việt Nam</t>
        </is>
      </c>
      <c r="E6077" t="inlineStr">
        <is>
          <t>Lương:Cạnh tranh</t>
        </is>
      </c>
      <c r="F6077" t="inlineStr">
        <is>
          <t>Đồng Nai</t>
        </is>
      </c>
      <c r="G6077" t="inlineStr">
        <is>
          <t>Hôm nay</t>
        </is>
      </c>
      <c r="H6077" t="inlineStr">
        <is>
          <t>17/03/2026</t>
        </is>
      </c>
      <c r="I6077" t="inlineStr">
        <is>
          <t>17/03/2026</t>
        </is>
      </c>
      <c r="J6077" t="inlineStr">
        <is>
          <t>Nhân sự</t>
        </is>
      </c>
      <c r="K6077" t="inlineStr">
        <is>
          <t>2 - 6 Năm</t>
        </is>
      </c>
      <c r="L6077" s="8">
        <f>HYPERLINK("https://careerviet.vn/vi/tim-viec-lam/nhan-vien-phong-nhan-su-quan-he-lao-dong-human-resources-labour-relation-staff-experienced.35C65C99.html","Xem chi tiết")</f>
        <v/>
      </c>
    </row>
    <row r="6078">
      <c r="B6078" s="9" t="n">
        <v>6076</v>
      </c>
      <c r="C6078" s="10" t="inlineStr">
        <is>
          <t>Kỹ Sư Cơ Khí</t>
        </is>
      </c>
      <c r="D6078" s="10" t="inlineStr">
        <is>
          <t>CÔNG TY CỔ PHẦN PHÂN LÂN NUNG CHẢY VĂN ĐIỂN</t>
        </is>
      </c>
      <c r="E6078" s="10" t="inlineStr">
        <is>
          <t>Lương:20 Tr - 22 Tr VND</t>
        </is>
      </c>
      <c r="F6078" s="10" t="inlineStr">
        <is>
          <t>Hà Nội</t>
        </is>
      </c>
      <c r="G6078" s="10" t="inlineStr">
        <is>
          <t>Hôm nay</t>
        </is>
      </c>
      <c r="H6078" s="10" t="inlineStr">
        <is>
          <t>17/03/2026</t>
        </is>
      </c>
      <c r="I6078" s="10" t="inlineStr">
        <is>
          <t>17/03/2026</t>
        </is>
      </c>
      <c r="J6078" s="10" t="inlineStr">
        <is>
          <t>Cơ khí / Ô tô / Tự động hóa, Điện / Điện tử / Điện lạnh / Điện công nghiệp, Bảo trì / Sửa chữa</t>
        </is>
      </c>
      <c r="K6078" s="10" t="inlineStr">
        <is>
          <t>Trên 2 Năm</t>
        </is>
      </c>
      <c r="L6078" s="11">
        <f>HYPERLINK("https://careerviet.vn/vi/tim-viec-lam/ky-su-co-khi.35C6321C.html","Xem chi tiết")</f>
        <v/>
      </c>
      <c r="M6078" s="10" t="n"/>
    </row>
    <row r="6079">
      <c r="B6079" s="7" t="n">
        <v>6077</v>
      </c>
      <c r="C6079" t="inlineStr">
        <is>
          <t>Kỹ sư dự toán kiêm triển khai bản vẽ - Estimator &amp; Drafter</t>
        </is>
      </c>
      <c r="D6079" t="inlineStr">
        <is>
          <t>CÔNG TY TNHH TSARSI</t>
        </is>
      </c>
      <c r="E6079" t="inlineStr">
        <is>
          <t>Lương:Cạnh tranh</t>
        </is>
      </c>
      <c r="F6079" t="inlineStr">
        <is>
          <t>Hồ Chí Minh</t>
        </is>
      </c>
      <c r="G6079" t="inlineStr">
        <is>
          <t>Hôm nay</t>
        </is>
      </c>
      <c r="H6079" t="inlineStr">
        <is>
          <t>17/03/2026</t>
        </is>
      </c>
      <c r="I6079" t="inlineStr">
        <is>
          <t>17/03/2026</t>
        </is>
      </c>
      <c r="J6079" t="inlineStr">
        <is>
          <t>Mỹ thuật / Nghệ thuật / Thiết kế, Kiến trúc, Xây dựng</t>
        </is>
      </c>
      <c r="K6079" t="inlineStr">
        <is>
          <t>N/A</t>
        </is>
      </c>
      <c r="L6079" s="8">
        <f>HYPERLINK("https://careerviet.vn/vi/tim-viec-lam/ky-su-du-toan-kiem-trien-khai-ban-ve-estimator-drafter.35C65CC3.html","Xem chi tiết")</f>
        <v/>
      </c>
    </row>
    <row r="6080">
      <c r="B6080" s="9" t="n">
        <v>6078</v>
      </c>
      <c r="C6080" s="10" t="inlineStr">
        <is>
          <t>NHÂN VIÊN PHỤ TRÁCH AN TOÀN VSLĐ(Mới)</t>
        </is>
      </c>
      <c r="D6080" s="10" t="inlineStr">
        <is>
          <t>CÔNG TY TNHH ASTRO ENGINEERING VN</t>
        </is>
      </c>
      <c r="E6080" s="10" t="inlineStr">
        <is>
          <t>Lương:17 Tr - 20 Tr VND</t>
        </is>
      </c>
      <c r="F6080" s="10" t="inlineStr">
        <is>
          <t>Bình Dương</t>
        </is>
      </c>
      <c r="G6080" s="10" t="inlineStr">
        <is>
          <t>20-04-2026</t>
        </is>
      </c>
      <c r="H6080" s="10" t="inlineStr">
        <is>
          <t>20/04/2026</t>
        </is>
      </c>
      <c r="I6080" s="10" t="inlineStr">
        <is>
          <t>17/03/2026</t>
        </is>
      </c>
      <c r="J6080" s="10" t="inlineStr">
        <is>
          <t>An toàn lao động</t>
        </is>
      </c>
      <c r="K6080" s="10" t="inlineStr">
        <is>
          <t>2 - 5 Năm</t>
        </is>
      </c>
      <c r="L6080" s="11">
        <f>HYPERLINK("https://careerviet.vn/vi/tim-viec-lam/nhan-vien-phu-trach-an-toan-vsld.35C6D0B7.html","Xem chi tiết")</f>
        <v/>
      </c>
      <c r="M6080" s="10" t="n"/>
    </row>
    <row r="6081">
      <c r="B6081" s="7" t="n">
        <v>6079</v>
      </c>
      <c r="C6081" t="inlineStr">
        <is>
          <t>Chuyên Viên Phát Triển Ứng Dụng (Kiểm Thử)(Mới)</t>
        </is>
      </c>
      <c r="D6081" t="inlineStr">
        <is>
          <t>CÔNG TY CỔ PHẦN PHÁT TRIỂN BẤT ĐỘNG SẢN VĂN PHÚ</t>
        </is>
      </c>
      <c r="E6081" t="inlineStr">
        <is>
          <t>Lương:Cạnh tranh</t>
        </is>
      </c>
      <c r="F6081" t="inlineStr">
        <is>
          <t>Hà Nội</t>
        </is>
      </c>
      <c r="G6081" t="inlineStr">
        <is>
          <t>29-04-2026</t>
        </is>
      </c>
      <c r="H6081" t="inlineStr">
        <is>
          <t>29/04/2026</t>
        </is>
      </c>
      <c r="I6081" t="inlineStr">
        <is>
          <t>17/03/2026</t>
        </is>
      </c>
      <c r="J6081" t="inlineStr">
        <is>
          <t>CNTT - Phần mềm, Bất động sản, CNTT - Phần cứng / Mạng</t>
        </is>
      </c>
      <c r="K6081" t="inlineStr">
        <is>
          <t>Trên 2 Năm</t>
        </is>
      </c>
      <c r="L6081" s="8">
        <f>HYPERLINK("https://careerviet.vn/vi/tim-viec-lam/chuyen-vien-phat-trien-ung-dung-kiem-thu.35C6D0B0.html","Xem chi tiết")</f>
        <v/>
      </c>
    </row>
    <row r="6082">
      <c r="B6082" s="9" t="n">
        <v>6080</v>
      </c>
      <c r="C6082" s="10" t="inlineStr">
        <is>
          <t>Chuyên Viên Phát Triển Ứng Dụng (Lập Trình)(Mới)</t>
        </is>
      </c>
      <c r="D6082" s="10" t="inlineStr">
        <is>
          <t>CÔNG TY CỔ PHẦN PHÁT TRIỂN BẤT ĐỘNG SẢN VĂN PHÚ</t>
        </is>
      </c>
      <c r="E6082" s="10" t="inlineStr">
        <is>
          <t>Lương:Cạnh tranh</t>
        </is>
      </c>
      <c r="F6082" s="10" t="inlineStr">
        <is>
          <t>Hà Nội</t>
        </is>
      </c>
      <c r="G6082" s="10" t="inlineStr">
        <is>
          <t>29-04-2026</t>
        </is>
      </c>
      <c r="H6082" s="10" t="inlineStr">
        <is>
          <t>29/04/2026</t>
        </is>
      </c>
      <c r="I6082" s="10" t="inlineStr">
        <is>
          <t>17/03/2026</t>
        </is>
      </c>
      <c r="J6082" s="10" t="inlineStr">
        <is>
          <t>CNTT - Phần mềm, Bất động sản, CNTT - Phần cứng / Mạng</t>
        </is>
      </c>
      <c r="K6082" s="10" t="inlineStr">
        <is>
          <t>Trên 5 Năm</t>
        </is>
      </c>
      <c r="L6082" s="11">
        <f>HYPERLINK("https://careerviet.vn/vi/tim-viec-lam/chuyen-vien-phat-trien-ung-dung-lap-trinh.35C6D0AE.html","Xem chi tiết")</f>
        <v/>
      </c>
      <c r="M6082" s="10" t="n"/>
    </row>
    <row r="6083">
      <c r="B6083" s="7" t="n">
        <v>6081</v>
      </c>
      <c r="C6083" t="inlineStr">
        <is>
          <t>Nhân viên Vận hành lò hơi</t>
        </is>
      </c>
      <c r="D6083" t="inlineStr">
        <is>
          <t>Công ty TNHH TM DV SX VẠN VINH</t>
        </is>
      </c>
      <c r="E6083" t="inlineStr">
        <is>
          <t>Lương:13 Tr - 14,5 Tr VND</t>
        </is>
      </c>
      <c r="F6083" t="inlineStr">
        <is>
          <t>Bình Dương</t>
        </is>
      </c>
      <c r="G6083" t="inlineStr">
        <is>
          <t>Hôm nay</t>
        </is>
      </c>
      <c r="H6083" t="inlineStr">
        <is>
          <t>17/03/2026</t>
        </is>
      </c>
      <c r="I6083" t="inlineStr">
        <is>
          <t>17/03/2026</t>
        </is>
      </c>
      <c r="J6083" t="inlineStr">
        <is>
          <t>Cơ khí / Ô tô / Tự động hóa, Sản xuất / Vận hành sản xuất</t>
        </is>
      </c>
      <c r="K6083" t="inlineStr">
        <is>
          <t>5 - 9 Năm</t>
        </is>
      </c>
      <c r="L6083" s="8">
        <f>HYPERLINK("https://careerviet.vn/vi/tim-viec-lam/nhan-vien-van-hanh-lo-hoi.35C631D1.html","Xem chi tiết")</f>
        <v/>
      </c>
    </row>
    <row r="6084">
      <c r="B6084" s="9" t="n">
        <v>6082</v>
      </c>
      <c r="C6084" s="10" t="inlineStr">
        <is>
          <t>Giám Đốc Ban Quản Trị Nguồn Nhân Lực(Mới)</t>
        </is>
      </c>
      <c r="D6084" s="10" t="inlineStr">
        <is>
          <t>CÔNG TY CỔ PHẦN PHÁT TRIỂN BẤT ĐỘNG SẢN VĂN PHÚ</t>
        </is>
      </c>
      <c r="E6084" s="10" t="inlineStr">
        <is>
          <t>Lương:Cạnh tranh</t>
        </is>
      </c>
      <c r="F6084" s="10" t="inlineStr">
        <is>
          <t>Hà Nội</t>
        </is>
      </c>
      <c r="G6084" s="10" t="inlineStr">
        <is>
          <t>29-04-2026</t>
        </is>
      </c>
      <c r="H6084" s="10" t="inlineStr">
        <is>
          <t>29/04/2026</t>
        </is>
      </c>
      <c r="I6084" s="10" t="inlineStr">
        <is>
          <t>17/03/2026</t>
        </is>
      </c>
      <c r="J6084" s="10" t="inlineStr">
        <is>
          <t>Nhân sự</t>
        </is>
      </c>
      <c r="K6084" s="10" t="inlineStr">
        <is>
          <t>7 - 10 Năm</t>
        </is>
      </c>
      <c r="L6084" s="11">
        <f>HYPERLINK("https://careerviet.vn/vi/tim-viec-lam/giam-doc-ban-quan-tri-nguon-nhan-luc.35C6D0AB.html","Xem chi tiết")</f>
        <v/>
      </c>
      <c r="M6084" s="10" t="n"/>
    </row>
    <row r="6085">
      <c r="B6085" s="7" t="n">
        <v>6083</v>
      </c>
      <c r="C6085" t="inlineStr">
        <is>
          <t>Giám Đốc Ban Quản Lý Khu Đô Thị (Vinh - Nghệ An)(Mới)</t>
        </is>
      </c>
      <c r="D6085" t="inlineStr">
        <is>
          <t>CÔNG TY CỔ PHẦN EUROWINDOW HOLDING</t>
        </is>
      </c>
      <c r="E6085" t="inlineStr">
        <is>
          <t>Lương:Cạnh tranh</t>
        </is>
      </c>
      <c r="F6085" t="inlineStr">
        <is>
          <t>Nghệ An</t>
        </is>
      </c>
      <c r="G6085" t="inlineStr">
        <is>
          <t>23-04-2026</t>
        </is>
      </c>
      <c r="H6085" t="inlineStr">
        <is>
          <t>23/04/2026</t>
        </is>
      </c>
      <c r="I6085" t="inlineStr">
        <is>
          <t>17/03/2026</t>
        </is>
      </c>
      <c r="J6085" t="inlineStr">
        <is>
          <t>Quản lý điều hành, Xây dựng, Bất động sản</t>
        </is>
      </c>
      <c r="K6085" t="inlineStr">
        <is>
          <t>Trên 5 Năm</t>
        </is>
      </c>
      <c r="L6085" s="8">
        <f>HYPERLINK("https://careerviet.vn/vi/tim-viec-lam/giam-doc-ban-quan-ly-khu-do-thi-vinh-nghe-an.35C6D0AC.html","Xem chi tiết")</f>
        <v/>
      </c>
    </row>
    <row r="6086">
      <c r="B6086" s="9" t="n">
        <v>6084</v>
      </c>
      <c r="C6086" s="10" t="inlineStr">
        <is>
          <t>Flutter Developer</t>
        </is>
      </c>
      <c r="D6086" s="10" t="inlineStr">
        <is>
          <t>Chương trình Học viện Công nghệ BKACAD</t>
        </is>
      </c>
      <c r="E6086" s="10" t="inlineStr">
        <is>
          <t>Lương:10 Tr - 20 Tr VND</t>
        </is>
      </c>
      <c r="F6086" s="10" t="inlineStr">
        <is>
          <t>Hà Nội</t>
        </is>
      </c>
      <c r="G6086" s="10" t="inlineStr">
        <is>
          <t>Hôm nay</t>
        </is>
      </c>
      <c r="H6086" s="10" t="inlineStr">
        <is>
          <t>17/03/2026</t>
        </is>
      </c>
      <c r="I6086" s="10" t="inlineStr">
        <is>
          <t>17/03/2026</t>
        </is>
      </c>
      <c r="J6086" s="10" t="inlineStr">
        <is>
          <t>CNTT - Phần mềm, CNTT - Phần cứng / Mạng</t>
        </is>
      </c>
      <c r="K6086" s="10" t="inlineStr">
        <is>
          <t>2 - 3 Năm</t>
        </is>
      </c>
      <c r="L6086" s="11">
        <f>HYPERLINK("https://careerviet.vn/vi/tim-viec-lam/flutter-developer.35C65C6E.html","Xem chi tiết")</f>
        <v/>
      </c>
      <c r="M6086" s="10" t="n"/>
    </row>
    <row r="6087">
      <c r="B6087" s="7" t="n">
        <v>6085</v>
      </c>
      <c r="C6087" t="inlineStr">
        <is>
          <t>NHÂN VIÊN HỖ TRỢ VÀ QUẢN LÝ BÁN HÀNG (BROKER ADMIN)(Mới)</t>
        </is>
      </c>
      <c r="D6087" t="inlineStr">
        <is>
          <t>CÔNG TY TNHH KHAI THÁC THỦY HẢI SẢN THƯƠNG MẠI BIỂN SÁNG</t>
        </is>
      </c>
      <c r="E6087" t="inlineStr">
        <is>
          <t>Lương:12 Tr - 15 Tr VND</t>
        </is>
      </c>
      <c r="F6087" t="inlineStr">
        <is>
          <t>Hồ Chí Minh</t>
        </is>
      </c>
      <c r="G6087" t="inlineStr">
        <is>
          <t>17-04-2026</t>
        </is>
      </c>
      <c r="H6087" t="inlineStr">
        <is>
          <t>17/04/2026</t>
        </is>
      </c>
      <c r="I6087" t="inlineStr">
        <is>
          <t>17/03/2026</t>
        </is>
      </c>
      <c r="J6087" t="inlineStr">
        <is>
          <t>Bán hàng / Kinh doanh, Tư vấn, Bất động sản</t>
        </is>
      </c>
      <c r="K6087" t="inlineStr">
        <is>
          <t>2 - 3 Năm</t>
        </is>
      </c>
      <c r="L6087" s="8">
        <f>HYPERLINK("https://careerviet.vn/vi/tim-viec-lam/nhan-vien-ho-tro-va-quan-ly-ban-hang-broker-admin.35C6D09C.html","Xem chi tiết")</f>
        <v/>
      </c>
    </row>
    <row r="6088">
      <c r="B6088" s="9" t="n">
        <v>6086</v>
      </c>
      <c r="C6088" s="10" t="inlineStr">
        <is>
          <t>Chuyên viên Chính Giải pháp Huy Động và Đầu tư</t>
        </is>
      </c>
      <c r="D6088" s="10" t="inlineStr">
        <is>
          <t>Ngân hàng Thương mại cổ phần Đông Nam Á (SeABank)</t>
        </is>
      </c>
      <c r="E6088" s="10" t="inlineStr">
        <is>
          <t>Lương:Cạnh tranh</t>
        </is>
      </c>
      <c r="F6088" s="10" t="inlineStr">
        <is>
          <t>Hà Nội</t>
        </is>
      </c>
      <c r="G6088" s="10" t="inlineStr">
        <is>
          <t>Hôm nay</t>
        </is>
      </c>
      <c r="H6088" s="10" t="inlineStr">
        <is>
          <t>17/03/2026</t>
        </is>
      </c>
      <c r="I6088" s="10" t="inlineStr">
        <is>
          <t>17/03/2026</t>
        </is>
      </c>
      <c r="J6088" s="10" t="inlineStr">
        <is>
          <t>Ngân hàng, Tài chính / Đầu tư</t>
        </is>
      </c>
      <c r="K6088" s="10" t="inlineStr">
        <is>
          <t>2 - 5 Năm</t>
        </is>
      </c>
      <c r="L6088" s="11">
        <f>HYPERLINK("https://careerviet.vn/vi/tim-viec-lam/chuyen-vien-chinh-giai-phap-huy-dong-va-dau-tu.35C65D0F.html","Xem chi tiết")</f>
        <v/>
      </c>
      <c r="M6088" s="10" t="n"/>
    </row>
    <row r="6089">
      <c r="B6089" s="7" t="n">
        <v>6087</v>
      </c>
      <c r="C6089" t="inlineStr">
        <is>
          <t>NHÂN VIÊN KINH DOANH BẤT ĐỘNG SẢN(Mới)</t>
        </is>
      </c>
      <c r="D6089" t="inlineStr">
        <is>
          <t>CÔNG TY TNHH KHAI THÁC THỦY HẢI SẢN THƯƠNG MẠI BIỂN SÁNG</t>
        </is>
      </c>
      <c r="E6089" t="inlineStr">
        <is>
          <t>Lương:8 Tr - 10 Tr VND</t>
        </is>
      </c>
      <c r="F6089" t="inlineStr">
        <is>
          <t>Hồ Chí Minh</t>
        </is>
      </c>
      <c r="G6089" t="inlineStr">
        <is>
          <t>17-04-2026</t>
        </is>
      </c>
      <c r="H6089" t="inlineStr">
        <is>
          <t>17/04/2026</t>
        </is>
      </c>
      <c r="I6089" t="inlineStr">
        <is>
          <t>17/03/2026</t>
        </is>
      </c>
      <c r="J6089" t="inlineStr">
        <is>
          <t>Bán hàng / Kinh doanh, Bất động sản, Tư vấn</t>
        </is>
      </c>
      <c r="K6089" t="inlineStr">
        <is>
          <t>1 - 2 Năm</t>
        </is>
      </c>
      <c r="L6089" s="8">
        <f>HYPERLINK("https://careerviet.vn/vi/tim-viec-lam/nhan-vien-kinh-doanh-bat-dong-san.35C6D0A0.html","Xem chi tiết")</f>
        <v/>
      </c>
    </row>
    <row r="6090">
      <c r="B6090" s="9" t="n">
        <v>6088</v>
      </c>
      <c r="C6090" s="10" t="inlineStr">
        <is>
          <t>Chuyên Viên Quản Lý Hiệu Quả Dự Án(Mới)</t>
        </is>
      </c>
      <c r="D6090" s="10" t="inlineStr">
        <is>
          <t>CÔNG TY CỔ PHẦN PHÁT TRIỂN BẤT ĐỘNG SẢN VĂN PHÚ</t>
        </is>
      </c>
      <c r="E6090" s="10" t="inlineStr">
        <is>
          <t>Lương:Cạnh tranh</t>
        </is>
      </c>
      <c r="F6090" s="10" t="inlineStr">
        <is>
          <t>Hà Nội</t>
        </is>
      </c>
      <c r="G6090" s="10" t="inlineStr">
        <is>
          <t>29-04-2026</t>
        </is>
      </c>
      <c r="H6090" s="10" t="inlineStr">
        <is>
          <t>29/04/2026</t>
        </is>
      </c>
      <c r="I6090" s="10" t="inlineStr">
        <is>
          <t>17/03/2026</t>
        </is>
      </c>
      <c r="J6090" s="10" t="inlineStr">
        <is>
          <t>Bất động sản, Tài chính / Đầu tư</t>
        </is>
      </c>
      <c r="K6090" s="10" t="inlineStr">
        <is>
          <t>3 - 5 Năm</t>
        </is>
      </c>
      <c r="L6090" s="11">
        <f>HYPERLINK("https://careerviet.vn/vi/tim-viec-lam/chuyen-vien-quan-ly-hieu-qua-du-an.35C6D0A7.html","Xem chi tiết")</f>
        <v/>
      </c>
      <c r="M6090" s="10" t="n"/>
    </row>
    <row r="6091">
      <c r="B6091" s="7" t="n">
        <v>6089</v>
      </c>
      <c r="C6091" t="inlineStr">
        <is>
          <t>Dược sĩ bán hàng(Mới)</t>
        </is>
      </c>
      <c r="D6091" t="inlineStr">
        <is>
          <t>Công ty cổ phần Anvy</t>
        </is>
      </c>
      <c r="E6091" t="inlineStr">
        <is>
          <t>Lương:8 Tr - 12 Tr VND</t>
        </is>
      </c>
      <c r="F6091" t="inlineStr">
        <is>
          <t>Hà Nội</t>
        </is>
      </c>
      <c r="G6091" t="inlineStr">
        <is>
          <t>30-04-2026</t>
        </is>
      </c>
      <c r="H6091" t="inlineStr">
        <is>
          <t>30/04/2026</t>
        </is>
      </c>
      <c r="I6091" t="inlineStr">
        <is>
          <t>17/03/2026</t>
        </is>
      </c>
      <c r="J6091" t="inlineStr">
        <is>
          <t>Dược phẩm/ Hóa Mỹ Phẩm</t>
        </is>
      </c>
      <c r="K6091" t="inlineStr">
        <is>
          <t>Chưa có kinh nghiệm</t>
        </is>
      </c>
      <c r="L6091" s="8">
        <f>HYPERLINK("https://careerviet.vn/vi/tim-viec-lam/duoc-si-ban-hang.35C6D0AD.html","Xem chi tiết")</f>
        <v/>
      </c>
    </row>
    <row r="6092">
      <c r="B6092" s="9" t="n">
        <v>6090</v>
      </c>
      <c r="C6092" s="10" t="inlineStr">
        <is>
          <t>Procurement Senior Assistant(Mới)</t>
        </is>
      </c>
      <c r="D6092" s="10" t="inlineStr">
        <is>
          <t>Công Ty TNHH CJ Foods Việt Nam</t>
        </is>
      </c>
      <c r="E6092" s="10" t="inlineStr">
        <is>
          <t>Lương:Cạnh tranh</t>
        </is>
      </c>
      <c r="F6092" s="10" t="inlineStr">
        <is>
          <t>Hồ Chí Minh</t>
        </is>
      </c>
      <c r="G6092" s="10" t="inlineStr">
        <is>
          <t>15-04-2026</t>
        </is>
      </c>
      <c r="H6092" s="10" t="inlineStr">
        <is>
          <t>15/04/2026</t>
        </is>
      </c>
      <c r="I6092" s="10" t="inlineStr">
        <is>
          <t>17/03/2026</t>
        </is>
      </c>
      <c r="J6092" s="10" t="inlineStr">
        <is>
          <t>Thực phẩm &amp; Đồ uống, Hàng gia dụng / Chăm sóc cá nhân, Sản xuất / Vận hành sản xuất</t>
        </is>
      </c>
      <c r="K6092" s="10" t="inlineStr">
        <is>
          <t>1 - 5 Năm</t>
        </is>
      </c>
      <c r="L6092" s="11">
        <f>HYPERLINK("https://careerviet.vn/vi/tim-viec-lam/procurement-senior-assistant.35C6D0B3.html","Xem chi tiết")</f>
        <v/>
      </c>
      <c r="M6092" s="10" t="n"/>
    </row>
    <row r="6093">
      <c r="B6093" s="7" t="n">
        <v>6091</v>
      </c>
      <c r="C6093" t="inlineStr">
        <is>
          <t>Giám đốc Nhà sách (Giám đốc Siêu thị) khu vực Hà Nội(Mới)</t>
        </is>
      </c>
      <c r="D6093" t="inlineStr">
        <is>
          <t>NHÀ SÁCH TIẾN THỌ</t>
        </is>
      </c>
      <c r="E6093" t="inlineStr">
        <is>
          <t>Lương:25 Tr - 33 Tr VND</t>
        </is>
      </c>
      <c r="F6093" t="inlineStr">
        <is>
          <t>Hà Nội</t>
        </is>
      </c>
      <c r="G6093" t="inlineStr">
        <is>
          <t>16-04-2026</t>
        </is>
      </c>
      <c r="H6093" t="inlineStr">
        <is>
          <t>16/04/2026</t>
        </is>
      </c>
      <c r="I6093" t="inlineStr">
        <is>
          <t>17/03/2026</t>
        </is>
      </c>
      <c r="J6093" t="inlineStr">
        <is>
          <t>Bán lẻ / Bán sỉ, Bán hàng / Kinh doanh</t>
        </is>
      </c>
      <c r="K6093" t="inlineStr">
        <is>
          <t>2 - 3 Năm</t>
        </is>
      </c>
      <c r="L6093" s="8">
        <f>HYPERLINK("https://careerviet.vn/vi/tim-viec-lam/giam-doc-nha-sach-giam-doc-sieu-thi-khu-vuc-ha-noi.35C6D0A5.html","Xem chi tiết")</f>
        <v/>
      </c>
    </row>
    <row r="6094">
      <c r="B6094" s="9" t="n">
        <v>6092</v>
      </c>
      <c r="C6094" s="10" t="inlineStr">
        <is>
          <t>CHỈ HUY TRƯỞNG NỘI THẤT - HÀ NỘI - ĐÀ NẴNG - VĨNH PHÚC - HẠ LONG - GẤP</t>
        </is>
      </c>
      <c r="D6094" s="10" t="inlineStr">
        <is>
          <t>Công Ty TNHH Xây Dựng và Nội Thất Cao Cấp Alliance</t>
        </is>
      </c>
      <c r="E6094" s="10" t="inlineStr">
        <is>
          <t>Lương:Cạnh tranh</t>
        </is>
      </c>
      <c r="F6094" s="10" t="inlineStr">
        <is>
          <t>Đà NẵngHà NộiVĩnh Phúc</t>
        </is>
      </c>
      <c r="G6094" s="10" t="inlineStr">
        <is>
          <t>Hôm nay</t>
        </is>
      </c>
      <c r="H6094" s="10" t="inlineStr">
        <is>
          <t>17/03/2026</t>
        </is>
      </c>
      <c r="I6094" s="10" t="inlineStr">
        <is>
          <t>17/03/2026</t>
        </is>
      </c>
      <c r="J6094" s="10" t="inlineStr">
        <is>
          <t>Kiến trúc, Xây dựng, Nội ngoại thất</t>
        </is>
      </c>
      <c r="K6094" s="10" t="inlineStr">
        <is>
          <t>Trên 5 Năm</t>
        </is>
      </c>
      <c r="L6094" s="11">
        <f>HYPERLINK("https://careerviet.vn/vi/tim-viec-lam/chi-huy-truong-noi-that-ha-noi-da-nang-vinh-phuc-ha-long-gap.35C62FC4.html","Xem chi tiết")</f>
        <v/>
      </c>
      <c r="M6094" s="10" t="n"/>
    </row>
    <row r="6095">
      <c r="B6095" s="7" t="n">
        <v>6093</v>
      </c>
      <c r="C6095" t="inlineStr">
        <is>
          <t>Nhân viên Thiết Kế - Nội Thất Liền Tường Oppein (Có thể đi làm sau Tết)</t>
        </is>
      </c>
      <c r="D6095" t="inlineStr">
        <is>
          <t>CÔNG TY TNHH GRANFORD</t>
        </is>
      </c>
      <c r="E6095" t="inlineStr">
        <is>
          <t>Lương:15 Tr - 18 Tr VND</t>
        </is>
      </c>
      <c r="F6095" t="inlineStr">
        <is>
          <t>Hồ Chí Minh</t>
        </is>
      </c>
      <c r="G6095" t="inlineStr">
        <is>
          <t>5</t>
        </is>
      </c>
      <c r="H6095" t="inlineStr">
        <is>
          <t>22/03/2026</t>
        </is>
      </c>
      <c r="I6095" t="inlineStr">
        <is>
          <t>17/03/2026</t>
        </is>
      </c>
      <c r="J6095" t="inlineStr">
        <is>
          <t>Nội ngoại thất, Mỹ thuật / Nghệ thuật / Thiết kế, Kiến trúc</t>
        </is>
      </c>
      <c r="K6095" t="inlineStr">
        <is>
          <t>5 - 15 Năm</t>
        </is>
      </c>
      <c r="L6095" s="8">
        <f>HYPERLINK("https://careerviet.vn/vi/tim-viec-lam/nhan-vien-thiet-ke-noi-that-lien-tuong-oppein-co-the-di-lam-sau-tet.35C663F5.html","Xem chi tiết")</f>
        <v/>
      </c>
    </row>
    <row r="6096">
      <c r="B6096" s="9" t="n">
        <v>6094</v>
      </c>
      <c r="C6096" s="10" t="inlineStr">
        <is>
          <t>Nhân Viên Chăm Sóc Khách Hàng Kiểm Chứng - Customer Service And Documentation [HCM , HÀ NỘI](Mới)</t>
        </is>
      </c>
      <c r="D6096" s="10" t="inlineStr">
        <is>
          <t>DACO Logistics</t>
        </is>
      </c>
      <c r="E6096" s="10" t="inlineStr">
        <is>
          <t>Lương:Cạnh tranh</t>
        </is>
      </c>
      <c r="F6096" s="10" t="inlineStr">
        <is>
          <t>Hà NộiHồ Chí Minh</t>
        </is>
      </c>
      <c r="G6096" s="10" t="inlineStr">
        <is>
          <t>16-04-2026</t>
        </is>
      </c>
      <c r="H6096" s="10" t="inlineStr">
        <is>
          <t>16/04/2026</t>
        </is>
      </c>
      <c r="I6096" s="10" t="inlineStr">
        <is>
          <t>17/03/2026</t>
        </is>
      </c>
      <c r="J6096" s="10" t="inlineStr">
        <is>
          <t>Vận chuyển / Giao nhận / Kho vận, Xuất nhập khẩu, Hàng hải</t>
        </is>
      </c>
      <c r="K6096" s="10" t="inlineStr">
        <is>
          <t>Trên 3 Năm</t>
        </is>
      </c>
      <c r="L6096" s="11">
        <f>HYPERLINK("https://careerviet.vn/vi/tim-viec-lam/nhan-vien-cham-soc-khach-hang-kiem-chung-customer-service-and-documentation-hcm-ha-noi.35C6CD0A.html","Xem chi tiết")</f>
        <v/>
      </c>
      <c r="M6096" s="10" t="n"/>
    </row>
    <row r="6097">
      <c r="B6097" s="7" t="n">
        <v>6095</v>
      </c>
      <c r="C6097" t="inlineStr">
        <is>
          <t>Nhân Viên Kế Toán Đầu Tư Xây Dựng(Mới)</t>
        </is>
      </c>
      <c r="D6097" t="inlineStr">
        <is>
          <t>CÔNG TY CỔ PHẦN PHÂN LÂN NUNG CHẢY VĂN ĐIỂN</t>
        </is>
      </c>
      <c r="E6097" t="inlineStr">
        <is>
          <t>Lương:17 Tr - 20 Tr VND</t>
        </is>
      </c>
      <c r="F6097" t="inlineStr">
        <is>
          <t>Hà Nội</t>
        </is>
      </c>
      <c r="G6097" t="inlineStr">
        <is>
          <t>16-04-2026</t>
        </is>
      </c>
      <c r="H6097" t="inlineStr">
        <is>
          <t>16/04/2026</t>
        </is>
      </c>
      <c r="I6097" t="inlineStr">
        <is>
          <t>17/03/2026</t>
        </is>
      </c>
      <c r="J6097" t="inlineStr">
        <is>
          <t>Kế toán / Kiểm toán, Xây dựng, Tài chính / Đầu tư</t>
        </is>
      </c>
      <c r="K6097" t="inlineStr">
        <is>
          <t>Trên 2 Năm</t>
        </is>
      </c>
      <c r="L6097" s="8">
        <f>HYPERLINK("https://careerviet.vn/vi/tim-viec-lam/nhan-vien-ke-toan-dau-tu-xay-dung.35C6D09F.html","Xem chi tiết")</f>
        <v/>
      </c>
    </row>
    <row r="6098">
      <c r="B6098" s="9" t="n">
        <v>6096</v>
      </c>
      <c r="C6098" s="10" t="inlineStr">
        <is>
          <t>Giao dịch viên - Khu vực Nguyễn Văn Cừ(Mới)</t>
        </is>
      </c>
      <c r="D6098" s="10" t="inlineStr">
        <is>
          <t>Ngân Hàng TMCP Quốc Dân (NCB)</t>
        </is>
      </c>
      <c r="E6098" s="10" t="inlineStr">
        <is>
          <t>Lương:Cạnh tranh</t>
        </is>
      </c>
      <c r="F6098" s="10" t="inlineStr">
        <is>
          <t>Hà Nội</t>
        </is>
      </c>
      <c r="G6098" s="10" t="inlineStr">
        <is>
          <t>17-04-2026</t>
        </is>
      </c>
      <c r="H6098" s="10" t="inlineStr">
        <is>
          <t>17/04/2026</t>
        </is>
      </c>
      <c r="I6098" s="10" t="inlineStr">
        <is>
          <t>17/03/2026</t>
        </is>
      </c>
      <c r="J6098" s="10" t="inlineStr">
        <is>
          <t>Ngân hàng, Dịch vụ khách hàng</t>
        </is>
      </c>
      <c r="K6098" s="10" t="inlineStr">
        <is>
          <t>Trên 1 Năm</t>
        </is>
      </c>
      <c r="L6098" s="11">
        <f>HYPERLINK("https://careerviet.vn/vi/tim-viec-lam/giao-dich-vien-khu-vuc-nguyen-van-cu.35C6D098.html","Xem chi tiết")</f>
        <v/>
      </c>
      <c r="M6098" s="10" t="n"/>
    </row>
    <row r="6099">
      <c r="B6099" s="7" t="n">
        <v>6097</v>
      </c>
      <c r="C6099" t="inlineStr">
        <is>
          <t>TÀI XẾ XE NÂNG</t>
        </is>
      </c>
      <c r="D6099" t="inlineStr">
        <is>
          <t>Kyungbang Vietnam CO., LTD</t>
        </is>
      </c>
      <c r="E6099" t="inlineStr">
        <is>
          <t>Lương:8,5 Tr - 10 Tr VND</t>
        </is>
      </c>
      <c r="F6099" t="inlineStr">
        <is>
          <t>Bình Dương</t>
        </is>
      </c>
      <c r="G6099" t="inlineStr">
        <is>
          <t>5</t>
        </is>
      </c>
      <c r="H6099" t="inlineStr">
        <is>
          <t>22/03/2026</t>
        </is>
      </c>
      <c r="I6099" t="inlineStr">
        <is>
          <t>17/03/2026</t>
        </is>
      </c>
      <c r="J6099" t="inlineStr">
        <is>
          <t>Vận chuyển / Giao nhận / Kho vậnBằng cấpKhácThời gian làm việc08:00 - 17:00 (Từ Thứ Hai đến Thứ Bảy)Độ tuổi20 - 38</t>
        </is>
      </c>
      <c r="K6099" t="inlineStr">
        <is>
          <t>N/A</t>
        </is>
      </c>
      <c r="L6099" s="8">
        <f>HYPERLINK("https://careerviet.vn/vi/tim-viec-lam/tai-xe-xe-nang.35C66336.html","Xem chi tiết")</f>
        <v/>
      </c>
    </row>
    <row r="6100">
      <c r="B6100" s="9" t="n">
        <v>6098</v>
      </c>
      <c r="C6100" s="10" t="inlineStr">
        <is>
          <t>Procurement (up to Manager)</t>
        </is>
      </c>
      <c r="D6100" s="10" t="inlineStr">
        <is>
          <t>Amkor Technology Việt Nam</t>
        </is>
      </c>
      <c r="E6100" s="10" t="inlineStr">
        <is>
          <t>Lương:Cạnh tranh</t>
        </is>
      </c>
      <c r="F6100" s="10" t="inlineStr">
        <is>
          <t>Bắc Ninh</t>
        </is>
      </c>
      <c r="G6100" s="10" t="inlineStr">
        <is>
          <t>5</t>
        </is>
      </c>
      <c r="H6100" s="10" t="inlineStr">
        <is>
          <t>22/03/2026</t>
        </is>
      </c>
      <c r="I6100" s="10" t="inlineStr">
        <is>
          <t>17/03/2026</t>
        </is>
      </c>
      <c r="J6100" s="10" t="inlineStr">
        <is>
          <t>Thu mua / Vật tư</t>
        </is>
      </c>
      <c r="K6100" s="10" t="inlineStr">
        <is>
          <t>6 - 15 Năm</t>
        </is>
      </c>
      <c r="L6100" s="11">
        <f>HYPERLINK("https://careerviet.vn/vi/tim-viec-lam/procurement-up-to-manager.35C6640B.html","Xem chi tiết")</f>
        <v/>
      </c>
      <c r="M6100" s="10" t="n"/>
    </row>
    <row r="6101">
      <c r="B6101" s="7" t="n">
        <v>6099</v>
      </c>
      <c r="C6101" t="inlineStr">
        <is>
          <t>Human Resources Manager(Mới)</t>
        </is>
      </c>
      <c r="D6101" t="inlineStr">
        <is>
          <t>Công Ty Cổ Phần 25 FIT</t>
        </is>
      </c>
      <c r="E6101" t="inlineStr">
        <is>
          <t>Lương:Cạnh tranh</t>
        </is>
      </c>
      <c r="F6101" t="inlineStr">
        <is>
          <t>Hồ Chí Minh</t>
        </is>
      </c>
      <c r="G6101" t="inlineStr">
        <is>
          <t>17-04-2026</t>
        </is>
      </c>
      <c r="H6101" t="inlineStr">
        <is>
          <t>17/04/2026</t>
        </is>
      </c>
      <c r="I6101" t="inlineStr">
        <is>
          <t>17/03/2026</t>
        </is>
      </c>
      <c r="J6101" t="inlineStr">
        <is>
          <t>Nhân sự, Y tế / Chăm sóc sức khỏe / Thẩm mỹ / Làm đẹp, Thực phẩm &amp; Đồ uống</t>
        </is>
      </c>
      <c r="K6101" t="inlineStr">
        <is>
          <t>3 - 5 Năm</t>
        </is>
      </c>
      <c r="L6101" s="8">
        <f>HYPERLINK("https://careerviet.vn/vi/tim-viec-lam/human-resources-manager.35C6D099.html","Xem chi tiết")</f>
        <v/>
      </c>
    </row>
    <row r="6102">
      <c r="B6102" s="9" t="n">
        <v>6100</v>
      </c>
      <c r="C6102" s="10" t="inlineStr">
        <is>
          <t>Giao dịch viên lưu động(Mới)</t>
        </is>
      </c>
      <c r="D6102" s="10" t="inlineStr">
        <is>
          <t>Ngân Hàng TMCP Quốc Dân (NCB)</t>
        </is>
      </c>
      <c r="E6102" s="10" t="inlineStr">
        <is>
          <t>Lương:Cạnh tranh</t>
        </is>
      </c>
      <c r="F6102" s="10" t="inlineStr">
        <is>
          <t>Hà Nội</t>
        </is>
      </c>
      <c r="G6102" s="10" t="inlineStr">
        <is>
          <t>17-04-2026</t>
        </is>
      </c>
      <c r="H6102" s="10" t="inlineStr">
        <is>
          <t>17/04/2026</t>
        </is>
      </c>
      <c r="I6102" s="10" t="inlineStr">
        <is>
          <t>17/03/2026</t>
        </is>
      </c>
      <c r="J6102" s="10" t="inlineStr">
        <is>
          <t>Ngân hàng, Tài chính / Đầu tư, Dịch vụ khách hàng</t>
        </is>
      </c>
      <c r="K6102" s="10" t="inlineStr">
        <is>
          <t>Trên 1 Năm</t>
        </is>
      </c>
      <c r="L6102" s="11">
        <f>HYPERLINK("https://careerviet.vn/vi/tim-viec-lam/giao-dich-vien-luu-dong.35C6D095.html","Xem chi tiết")</f>
        <v/>
      </c>
      <c r="M6102" s="10" t="n"/>
    </row>
    <row r="6103">
      <c r="B6103" s="7" t="n">
        <v>6101</v>
      </c>
      <c r="C6103" t="inlineStr">
        <is>
          <t>Engineering Data Reviewer</t>
        </is>
      </c>
      <c r="D6103" t="inlineStr">
        <is>
          <t>XP Power  Vietnam</t>
        </is>
      </c>
      <c r="E6103" t="inlineStr">
        <is>
          <t>Lương:Cạnh tranh</t>
        </is>
      </c>
      <c r="F6103" t="inlineStr">
        <is>
          <t>Bình Dương</t>
        </is>
      </c>
      <c r="G6103" t="inlineStr">
        <is>
          <t>5</t>
        </is>
      </c>
      <c r="H6103" t="inlineStr">
        <is>
          <t>22/03/2026</t>
        </is>
      </c>
      <c r="I6103" t="inlineStr">
        <is>
          <t>17/03/2026</t>
        </is>
      </c>
      <c r="J6103" t="inlineStr">
        <is>
          <t>Điện / Điện tử / Điện lạnh / Điện công nghiệp</t>
        </is>
      </c>
      <c r="K6103" t="inlineStr">
        <is>
          <t>3 - 4 Năm</t>
        </is>
      </c>
      <c r="L6103" s="8">
        <f>HYPERLINK("https://careerviet.vn/vi/tim-viec-lam/engineering-data-reviewer.35C66283.html","Xem chi tiết")</f>
        <v/>
      </c>
    </row>
    <row r="6104">
      <c r="B6104" s="9" t="n">
        <v>6102</v>
      </c>
      <c r="C6104" s="10" t="inlineStr">
        <is>
          <t>Chuyên Viên Thiết Kế</t>
        </is>
      </c>
      <c r="D6104" s="10" t="inlineStr">
        <is>
          <t>CÔNG TY TNHH MỘT THÀNH VIÊN SÀN GIAO DỊCH BẤT ĐỘNG SẢN NAM LONG</t>
        </is>
      </c>
      <c r="E6104" s="10" t="inlineStr">
        <is>
          <t>Lương:Cạnh tranh</t>
        </is>
      </c>
      <c r="F6104" s="10" t="inlineStr">
        <is>
          <t>Hồ Chí Minh</t>
        </is>
      </c>
      <c r="G6104" s="10" t="inlineStr">
        <is>
          <t>5</t>
        </is>
      </c>
      <c r="H6104" s="10" t="inlineStr">
        <is>
          <t>22/03/2026</t>
        </is>
      </c>
      <c r="I6104" s="10" t="inlineStr">
        <is>
          <t>17/03/2026</t>
        </is>
      </c>
      <c r="J6104" s="10" t="inlineStr">
        <is>
          <t>Mỹ thuật / Nghệ thuật / Thiết kế, Bất động sản, Quảng cáo / Đối ngoại / Truyền Thông</t>
        </is>
      </c>
      <c r="K6104" s="10" t="inlineStr">
        <is>
          <t>Trên 1 Năm</t>
        </is>
      </c>
      <c r="L6104" s="11">
        <f>HYPERLINK("https://careerviet.vn/vi/tim-viec-lam/chuyen-vien-thiet-ke.35C6632D.html","Xem chi tiết")</f>
        <v/>
      </c>
      <c r="M6104" s="10" t="n"/>
    </row>
    <row r="6105">
      <c r="B6105" s="7" t="n">
        <v>6103</v>
      </c>
      <c r="C6105" t="inlineStr">
        <is>
          <t>[Hải Phòng] Warehouse Supervisor</t>
        </is>
      </c>
      <c r="D6105" t="inlineStr">
        <is>
          <t>Công Ty TNHH LF Logistics (Việt Nam)</t>
        </is>
      </c>
      <c r="E6105" t="inlineStr">
        <is>
          <t>Lương:Cạnh tranh</t>
        </is>
      </c>
      <c r="F6105" t="inlineStr">
        <is>
          <t>Hải Phòng</t>
        </is>
      </c>
      <c r="G6105" t="inlineStr">
        <is>
          <t>5</t>
        </is>
      </c>
      <c r="H6105" t="inlineStr">
        <is>
          <t>22/03/2026</t>
        </is>
      </c>
      <c r="I6105" t="inlineStr">
        <is>
          <t>17/03/2026</t>
        </is>
      </c>
      <c r="J6105" t="inlineStr">
        <is>
          <t>Vận chuyển / Giao nhận / Kho vận, Xuất nhập khẩu, Sản xuất / Vận hành sản xuất</t>
        </is>
      </c>
      <c r="K6105" t="inlineStr">
        <is>
          <t>2 - 5 Năm</t>
        </is>
      </c>
      <c r="L6105" s="8">
        <f>HYPERLINK("https://careerviet.vn/vi/tim-viec-lam/hai-phong-warehouse-supervisor.35C662A9.html","Xem chi tiết")</f>
        <v/>
      </c>
    </row>
    <row r="6106">
      <c r="B6106" s="9" t="n">
        <v>6104</v>
      </c>
      <c r="C6106" s="10" t="inlineStr">
        <is>
          <t>[VCB Tân Định] - Chuyên Viên Bán Sản Phẩm Bảo Hiểm (VIS)</t>
        </is>
      </c>
      <c r="D6106" s="10" t="inlineStr">
        <is>
          <t>NGÂN HÀNG TMCP NGOẠI THƯƠNG VIỆT NAM (VIETCOMBANK)</t>
        </is>
      </c>
      <c r="E6106" s="10" t="inlineStr">
        <is>
          <t>Lương:Cạnh tranh</t>
        </is>
      </c>
      <c r="F6106" s="10" t="inlineStr">
        <is>
          <t>Hồ Chí Minh</t>
        </is>
      </c>
      <c r="G6106" s="10" t="inlineStr">
        <is>
          <t>5</t>
        </is>
      </c>
      <c r="H6106" s="10" t="inlineStr">
        <is>
          <t>22/03/2026</t>
        </is>
      </c>
      <c r="I6106" s="10" t="inlineStr">
        <is>
          <t>17/03/2026</t>
        </is>
      </c>
      <c r="J6106" s="10" t="inlineStr">
        <is>
          <t>Ngân hàng, Bảo hiểm, Bán hàng / Kinh doanh</t>
        </is>
      </c>
      <c r="K6106" s="10" t="inlineStr">
        <is>
          <t>Trên 3 Năm</t>
        </is>
      </c>
      <c r="L6106" s="11">
        <f>HYPERLINK("https://careerviet.vn/vi/tim-viec-lam/vcb-tan-dinh-chuyen-vien-ban-san-pham-bao-hiem-vis.35C663F0.html","Xem chi tiết")</f>
        <v/>
      </c>
      <c r="M6106" s="10" t="n"/>
    </row>
    <row r="6107">
      <c r="B6107" s="7" t="n">
        <v>6105</v>
      </c>
      <c r="C6107" t="inlineStr">
        <is>
          <t>Quản Lý Điều Hành Công Trình Giao Thông Cấp 1</t>
        </is>
      </c>
      <c r="D6107" t="inlineStr">
        <is>
          <t>CÔNG TY CỔ PHẦN ĐẦU TƯ HẠ TẦNG DONACOOP</t>
        </is>
      </c>
      <c r="E6107" t="inlineStr">
        <is>
          <t>Lương:Cạnh tranh</t>
        </is>
      </c>
      <c r="F6107" t="inlineStr">
        <is>
          <t>Đồng Nai</t>
        </is>
      </c>
      <c r="G6107" t="inlineStr">
        <is>
          <t>5</t>
        </is>
      </c>
      <c r="H6107" t="inlineStr">
        <is>
          <t>22/03/2026</t>
        </is>
      </c>
      <c r="I6107" t="inlineStr">
        <is>
          <t>17/03/2026</t>
        </is>
      </c>
      <c r="J6107" t="inlineStr">
        <is>
          <t>Hóa học, Quản lý chất lượng (QA/QC), An toàn lao động</t>
        </is>
      </c>
      <c r="K6107" t="inlineStr">
        <is>
          <t>Trên 5 Năm</t>
        </is>
      </c>
      <c r="L6107" s="8">
        <f>HYPERLINK("https://careerviet.vn/vi/tim-viec-lam/quan-ly-dieu-hanh-cong-trinh-giao-thong-cap-1.35C66417.html","Xem chi tiết")</f>
        <v/>
      </c>
    </row>
    <row r="6108">
      <c r="B6108" s="9" t="n">
        <v>6106</v>
      </c>
      <c r="C6108" s="10" t="inlineStr">
        <is>
          <t>Business Development Executive</t>
        </is>
      </c>
      <c r="D6108" s="10" t="inlineStr">
        <is>
          <t>Payoo - Công ty CP Dịch vụ Trực tuyến Cộng Đồng Việt</t>
        </is>
      </c>
      <c r="E6108" s="10" t="inlineStr">
        <is>
          <t>Lương:10 Tr - 18 Tr VND</t>
        </is>
      </c>
      <c r="F6108" s="10" t="inlineStr">
        <is>
          <t>Hồ Chí MinhHà Nội</t>
        </is>
      </c>
      <c r="G6108" s="10" t="inlineStr">
        <is>
          <t>5</t>
        </is>
      </c>
      <c r="H6108" s="10" t="inlineStr">
        <is>
          <t>22/03/2026</t>
        </is>
      </c>
      <c r="I6108" s="10" t="inlineStr">
        <is>
          <t>17/03/2026</t>
        </is>
      </c>
      <c r="J6108" s="10" t="inlineStr">
        <is>
          <t>Tiếp thị / Marketing, Bán hàng / Kinh doanh, Thương mại điện tử</t>
        </is>
      </c>
      <c r="K6108" s="10" t="inlineStr">
        <is>
          <t>1 - 5 Năm</t>
        </is>
      </c>
      <c r="L6108" s="11">
        <f>HYPERLINK("https://careerviet.vn/vi/tim-viec-lam/business-development-executive.35C662DC.html","Xem chi tiết")</f>
        <v/>
      </c>
      <c r="M6108" s="10" t="n"/>
    </row>
    <row r="6109">
      <c r="B6109" s="7" t="n">
        <v>6107</v>
      </c>
      <c r="C6109" t="inlineStr">
        <is>
          <t>AP Accountant</t>
        </is>
      </c>
      <c r="D6109" t="inlineStr">
        <is>
          <t>TÜV Rheinland Vietnam</t>
        </is>
      </c>
      <c r="E6109" t="inlineStr">
        <is>
          <t>Lương:Cạnh tranh</t>
        </is>
      </c>
      <c r="F6109" t="inlineStr">
        <is>
          <t>Hồ Chí Minh</t>
        </is>
      </c>
      <c r="G6109" t="inlineStr">
        <is>
          <t>5</t>
        </is>
      </c>
      <c r="H6109" t="inlineStr">
        <is>
          <t>22/03/2026</t>
        </is>
      </c>
      <c r="I6109" t="inlineStr">
        <is>
          <t>17/03/2026</t>
        </is>
      </c>
      <c r="J6109" t="inlineStr">
        <is>
          <t>Kế toán / Kiểm toán</t>
        </is>
      </c>
      <c r="K6109" t="inlineStr">
        <is>
          <t>2 - 5 Năm</t>
        </is>
      </c>
      <c r="L6109" s="8">
        <f>HYPERLINK("https://careerviet.vn/vi/tim-viec-lam/ap-accountant.35C663C0.html","Xem chi tiết")</f>
        <v/>
      </c>
    </row>
    <row r="6110">
      <c r="B6110" s="9" t="n">
        <v>6108</v>
      </c>
      <c r="C6110" s="10" t="inlineStr">
        <is>
          <t>NSG- Business Development</t>
        </is>
      </c>
      <c r="D6110" s="10" t="inlineStr">
        <is>
          <t>Nova Service Group - Công ty Cổ phần Tập đoàn Nova Services</t>
        </is>
      </c>
      <c r="E6110" s="10" t="inlineStr">
        <is>
          <t>Lương:Lên đến 12 Tr VND</t>
        </is>
      </c>
      <c r="F6110" s="10" t="inlineStr">
        <is>
          <t>Hồ Chí Minh</t>
        </is>
      </c>
      <c r="G6110" s="10" t="inlineStr">
        <is>
          <t>5</t>
        </is>
      </c>
      <c r="H6110" s="10" t="inlineStr">
        <is>
          <t>22/03/2026</t>
        </is>
      </c>
      <c r="I6110" s="10" t="inlineStr">
        <is>
          <t>17/03/2026</t>
        </is>
      </c>
      <c r="J6110" s="10" t="inlineStr">
        <is>
          <t>Bán hàng / Kinh doanh</t>
        </is>
      </c>
      <c r="K6110" s="10" t="inlineStr">
        <is>
          <t>Chưa có kinh nghiệm</t>
        </is>
      </c>
      <c r="L6110" s="11">
        <f>HYPERLINK("https://careerviet.vn/vi/tim-viec-lam/nsg-business-development.35C6375B.html","Xem chi tiết")</f>
        <v/>
      </c>
      <c r="M6110" s="10" t="n"/>
    </row>
    <row r="6111">
      <c r="B6111" s="7" t="n">
        <v>6109</v>
      </c>
      <c r="C6111" t="inlineStr">
        <is>
          <t>Trợ Lý Văn Hóa &amp; Đối Ngoại [Hà Nội] - Thu Nhập 20-30 Triệu</t>
        </is>
      </c>
      <c r="D6111" t="inlineStr">
        <is>
          <t>Công ty Vàng Bạc Đá Qúy Bảo Tín Minh Châu</t>
        </is>
      </c>
      <c r="E6111" t="inlineStr">
        <is>
          <t>Lương:12 Tr - 20 Tr VND</t>
        </is>
      </c>
      <c r="F6111" t="inlineStr">
        <is>
          <t>Hà Nội</t>
        </is>
      </c>
      <c r="G6111" t="inlineStr">
        <is>
          <t>5</t>
        </is>
      </c>
      <c r="H6111" t="inlineStr">
        <is>
          <t>22/03/2026</t>
        </is>
      </c>
      <c r="I6111" t="inlineStr">
        <is>
          <t>17/03/2026</t>
        </is>
      </c>
      <c r="J6111" t="inlineStr">
        <is>
          <t>Truyền hình / Báo chí / Biên tập, Quảng cáo / Đối ngoại / Truyền Thông</t>
        </is>
      </c>
      <c r="K6111" t="inlineStr">
        <is>
          <t>Trên 1 Năm</t>
        </is>
      </c>
      <c r="L6111" s="8">
        <f>HYPERLINK("https://careerviet.vn/vi/tim-viec-lam/tro-ly-van-hoa-doi-ngoai-ha-noi-thu-nhap-20-30-trieu.35C63759.html","Xem chi tiết")</f>
        <v/>
      </c>
    </row>
    <row r="6112">
      <c r="B6112" s="9" t="n">
        <v>6110</v>
      </c>
      <c r="C6112" s="10" t="inlineStr">
        <is>
          <t>Nhân Viên Phiên Dịch Tiếng Trung (Phòng DEV)(Mới)</t>
        </is>
      </c>
      <c r="D6112" s="10" t="inlineStr">
        <is>
          <t>Công ty Cổ Phần Ánh Dương Building</t>
        </is>
      </c>
      <c r="E6112" s="10" t="inlineStr">
        <is>
          <t>Lương:9 Tr - 15 Tr VND</t>
        </is>
      </c>
      <c r="F6112" s="10" t="inlineStr">
        <is>
          <t>Hồ Chí MinhHà Nội</t>
        </is>
      </c>
      <c r="G6112" s="10" t="inlineStr">
        <is>
          <t>30-04-2026</t>
        </is>
      </c>
      <c r="H6112" s="10" t="inlineStr">
        <is>
          <t>30/04/2026</t>
        </is>
      </c>
      <c r="I6112" s="10" t="inlineStr">
        <is>
          <t>17/03/2026</t>
        </is>
      </c>
      <c r="J6112" s="10" t="inlineStr">
        <is>
          <t>Biên phiên dịch, Xây dựng</t>
        </is>
      </c>
      <c r="K6112" s="10" t="inlineStr">
        <is>
          <t>1 - 2 Năm</t>
        </is>
      </c>
      <c r="L6112" s="11">
        <f>HYPERLINK("https://careerviet.vn/vi/tim-viec-lam/nhan-vien-phien-dich-tieng-trung-phong-dev.35C6D07E.html","Xem chi tiết")</f>
        <v/>
      </c>
      <c r="M6112" s="10" t="n"/>
    </row>
    <row r="6113">
      <c r="B6113" s="7" t="n">
        <v>6111</v>
      </c>
      <c r="C6113" t="inlineStr">
        <is>
          <t>127105 - Field Sales Executive (Softlines)</t>
        </is>
      </c>
      <c r="D6113" t="inlineStr">
        <is>
          <t>RGF HR Agent Vietnam Co., LTD</t>
        </is>
      </c>
      <c r="E6113" t="inlineStr">
        <is>
          <t>Lương:Cạnh tranh</t>
        </is>
      </c>
      <c r="F6113" t="inlineStr">
        <is>
          <t>Hà Nội</t>
        </is>
      </c>
      <c r="G6113" t="inlineStr">
        <is>
          <t>5</t>
        </is>
      </c>
      <c r="H6113" t="inlineStr">
        <is>
          <t>22/03/2026</t>
        </is>
      </c>
      <c r="I6113" t="inlineStr">
        <is>
          <t>17/03/2026</t>
        </is>
      </c>
      <c r="J6113" t="inlineStr">
        <is>
          <t>Bán hàng / Kinh doanh</t>
        </is>
      </c>
      <c r="K6113" t="inlineStr">
        <is>
          <t>Trên 3 Năm</t>
        </is>
      </c>
      <c r="L6113" s="8">
        <f>HYPERLINK("https://careerviet.vn/vi/tim-viec-lam/127105-field-sales-executive-softlines.35C6641E.html","Xem chi tiết")</f>
        <v/>
      </c>
    </row>
    <row r="6114">
      <c r="B6114" s="9" t="n">
        <v>6112</v>
      </c>
      <c r="C6114" s="10" t="inlineStr">
        <is>
          <t>Chuyên gia kế hoạch và phân tích kinh doanh - Phòng Quản lý kinh doanh - Khối KHDN</t>
        </is>
      </c>
      <c r="D6114" s="10" t="inlineStr">
        <is>
          <t>Ngân hàng TMCP Đại Chúng Việt Nam - PVcomBank</t>
        </is>
      </c>
      <c r="E6114" s="10" t="inlineStr">
        <is>
          <t>Lương:Cạnh tranh</t>
        </is>
      </c>
      <c r="F6114" s="10" t="inlineStr">
        <is>
          <t>Hà Nội</t>
        </is>
      </c>
      <c r="G6114" s="10" t="inlineStr">
        <is>
          <t>5</t>
        </is>
      </c>
      <c r="H6114" s="10" t="inlineStr">
        <is>
          <t>22/03/2026</t>
        </is>
      </c>
      <c r="I6114" s="10" t="inlineStr">
        <is>
          <t>17/03/2026</t>
        </is>
      </c>
      <c r="J6114" s="10" t="inlineStr">
        <is>
          <t>Ngân hàng, Tài chính / Đầu tư</t>
        </is>
      </c>
      <c r="K6114" s="10" t="inlineStr">
        <is>
          <t>3 - 8 Năm</t>
        </is>
      </c>
      <c r="L6114" s="11">
        <f>HYPERLINK("https://careerviet.vn/vi/tim-viec-lam/chuyen-gia-ke-hoach-va-phan-tich-kinh-doanh-phong-quan-ly-kinh-doanh-khoi-khdn.35C662C1.html","Xem chi tiết")</f>
        <v/>
      </c>
      <c r="M6114" s="10" t="n"/>
    </row>
    <row r="6115">
      <c r="B6115" s="7" t="n">
        <v>6113</v>
      </c>
      <c r="C6115" t="inlineStr">
        <is>
          <t>Chuyên viên Kinh doanh (Sales Executive – FDI Corporates)</t>
        </is>
      </c>
      <c r="D6115" t="inlineStr">
        <is>
          <t>Công Ty Cổ phần Xây Dựng Thương Mại Du Lịch Hồng Ngọc Hà</t>
        </is>
      </c>
      <c r="E6115" t="inlineStr">
        <is>
          <t>Lương:Cạnh tranh</t>
        </is>
      </c>
      <c r="F6115" t="inlineStr">
        <is>
          <t>Hồ Chí Minh</t>
        </is>
      </c>
      <c r="G6115" t="inlineStr">
        <is>
          <t>5</t>
        </is>
      </c>
      <c r="H6115" t="inlineStr">
        <is>
          <t>22/03/2026</t>
        </is>
      </c>
      <c r="I6115" t="inlineStr">
        <is>
          <t>17/03/2026</t>
        </is>
      </c>
      <c r="J6115" t="inlineStr">
        <is>
          <t>Bán hàng / Kinh doanh, Du lịch, Hàng không</t>
        </is>
      </c>
      <c r="K6115" t="inlineStr">
        <is>
          <t>2 - 3 Năm</t>
        </is>
      </c>
      <c r="L6115" s="8">
        <f>HYPERLINK("https://careerviet.vn/vi/tim-viec-lam/chuyen-vien-kinh-doanh-sales-executive-fdi-corporates.35C63799.html","Xem chi tiết")</f>
        <v/>
      </c>
    </row>
    <row r="6116">
      <c r="B6116" s="9" t="n">
        <v>6114</v>
      </c>
      <c r="C6116" s="10" t="inlineStr">
        <is>
          <t>Giám đốc Nhà sách (Giám đốc Siêu thị) khu vực Nghệ An(Mới)</t>
        </is>
      </c>
      <c r="D6116" s="10" t="inlineStr">
        <is>
          <t>NHÀ SÁCH TIẾN THỌ</t>
        </is>
      </c>
      <c r="E6116" s="10" t="inlineStr">
        <is>
          <t>Lương:25 Tr - 33 Tr VND</t>
        </is>
      </c>
      <c r="F6116" s="10" t="inlineStr">
        <is>
          <t>Nghệ An</t>
        </is>
      </c>
      <c r="G6116" s="10" t="inlineStr">
        <is>
          <t>16-04-2026</t>
        </is>
      </c>
      <c r="H6116" s="10" t="inlineStr">
        <is>
          <t>16/04/2026</t>
        </is>
      </c>
      <c r="I6116" s="10" t="inlineStr">
        <is>
          <t>17/03/2026</t>
        </is>
      </c>
      <c r="J6116" s="10" t="inlineStr">
        <is>
          <t>Bán lẻ / Bán sỉ, Bán hàng / Kinh doanh</t>
        </is>
      </c>
      <c r="K6116" s="10" t="inlineStr">
        <is>
          <t>2 - 3 Năm</t>
        </is>
      </c>
      <c r="L6116" s="11">
        <f>HYPERLINK("https://careerviet.vn/vi/tim-viec-lam/giam-doc-nha-sach-giam-doc-sieu-thi-khu-vuc-nghe-an.35C6D0A3.html","Xem chi tiết")</f>
        <v/>
      </c>
      <c r="M6116" s="10" t="n"/>
    </row>
    <row r="6117">
      <c r="B6117" s="7" t="n">
        <v>6115</v>
      </c>
      <c r="C6117" t="inlineStr">
        <is>
          <t>NHÂN VIÊN KHO</t>
        </is>
      </c>
      <c r="D6117" t="inlineStr">
        <is>
          <t>Kyungbang Vietnam CO., LTD</t>
        </is>
      </c>
      <c r="E6117" t="inlineStr">
        <is>
          <t>Lương:8 Tr - 9,8 Tr VND</t>
        </is>
      </c>
      <c r="F6117" t="inlineStr">
        <is>
          <t>Bình Dương</t>
        </is>
      </c>
      <c r="G6117" t="inlineStr">
        <is>
          <t>5</t>
        </is>
      </c>
      <c r="H6117" t="inlineStr">
        <is>
          <t>22/03/2026</t>
        </is>
      </c>
      <c r="I6117" t="inlineStr">
        <is>
          <t>17/03/2026</t>
        </is>
      </c>
      <c r="J6117" t="inlineStr">
        <is>
          <t>Vận chuyển / Giao nhận / Kho vận</t>
        </is>
      </c>
      <c r="K6117" t="inlineStr">
        <is>
          <t>Không yêu cầu kinh nghiệm</t>
        </is>
      </c>
      <c r="L6117" s="8">
        <f>HYPERLINK("https://careerviet.vn/vi/tim-viec-lam/nhan-vien-kho.35C6633B.html","Xem chi tiết")</f>
        <v/>
      </c>
    </row>
    <row r="6118">
      <c r="B6118" s="9" t="n">
        <v>6116</v>
      </c>
      <c r="C6118" s="10" t="inlineStr">
        <is>
          <t>Legal Executive</t>
        </is>
      </c>
      <c r="D6118" s="10" t="inlineStr">
        <is>
          <t>CÔNG TY CỔ PHẦN THƯƠNG MẠI DỊCH VỤ SẢN XUẤT HƯƠNG THỦY</t>
        </is>
      </c>
      <c r="E6118" s="10" t="inlineStr">
        <is>
          <t>Lương:13 Tr - 15 Tr VND</t>
        </is>
      </c>
      <c r="F6118" s="10" t="inlineStr">
        <is>
          <t>Hồ Chí Minh</t>
        </is>
      </c>
      <c r="G6118" s="10" t="inlineStr">
        <is>
          <t>5</t>
        </is>
      </c>
      <c r="H6118" s="10" t="inlineStr">
        <is>
          <t>22/03/2026</t>
        </is>
      </c>
      <c r="I6118" s="10" t="inlineStr">
        <is>
          <t>17/03/2026</t>
        </is>
      </c>
      <c r="J6118" s="10" t="inlineStr">
        <is>
          <t>Bán lẻ / Bán sỉ, Luật / Pháp lý, Thực phẩm &amp; Đồ uống</t>
        </is>
      </c>
      <c r="K6118" s="10" t="inlineStr">
        <is>
          <t>2 - 3 Năm</t>
        </is>
      </c>
      <c r="L6118" s="11">
        <f>HYPERLINK("https://careerviet.vn/vi/tim-viec-lam/legal-executive.35C663CB.html","Xem chi tiết")</f>
        <v/>
      </c>
      <c r="M6118" s="10" t="n"/>
    </row>
    <row r="6119">
      <c r="B6119" s="7" t="n">
        <v>6117</v>
      </c>
      <c r="C6119" t="inlineStr">
        <is>
          <t>Tổ trưởng hiện trường kho lạnh/WH Supervisor</t>
        </is>
      </c>
      <c r="D6119" t="inlineStr">
        <is>
          <t>CÔNG TY CỔ PHẦN LOGISTICS LONG AN</t>
        </is>
      </c>
      <c r="E6119" t="inlineStr">
        <is>
          <t>Lương:20 Tr - 25 Tr VND</t>
        </is>
      </c>
      <c r="F6119" t="inlineStr">
        <is>
          <t>Long An</t>
        </is>
      </c>
      <c r="G6119" t="inlineStr">
        <is>
          <t>5</t>
        </is>
      </c>
      <c r="H6119" t="inlineStr">
        <is>
          <t>22/03/2026</t>
        </is>
      </c>
      <c r="I6119" t="inlineStr">
        <is>
          <t>17/03/2026</t>
        </is>
      </c>
      <c r="J6119" t="inlineStr">
        <is>
          <t>Dịch vụ khách hàng, Vận chuyển / Giao nhận / Kho vận, Thực phẩm &amp; Đồ uống</t>
        </is>
      </c>
      <c r="K6119" t="inlineStr">
        <is>
          <t>2 - 5 Năm</t>
        </is>
      </c>
      <c r="L6119" s="8">
        <f>HYPERLINK("https://careerviet.vn/vi/tim-viec-lam/to-truong-hien-truong-kho-lanh-wh-supervisor.35C66380.html","Xem chi tiết")</f>
        <v/>
      </c>
    </row>
    <row r="6120">
      <c r="B6120" s="9" t="n">
        <v>6118</v>
      </c>
      <c r="C6120" s="10" t="inlineStr">
        <is>
          <t>Kế toán cửa hàng</t>
        </is>
      </c>
      <c r="D6120" s="10" t="inlineStr">
        <is>
          <t>Công Ty CP Vàng Bạc Đá Quý Phú Nhuận - PNJ</t>
        </is>
      </c>
      <c r="E6120" s="10" t="inlineStr">
        <is>
          <t>Lương:Cạnh tranh</t>
        </is>
      </c>
      <c r="F6120" s="10" t="inlineStr">
        <is>
          <t>Bình DươngBà Rịa - Vũng TàuĐồng Nai</t>
        </is>
      </c>
      <c r="G6120" s="10" t="inlineStr">
        <is>
          <t>5</t>
        </is>
      </c>
      <c r="H6120" s="10" t="inlineStr">
        <is>
          <t>22/03/2026</t>
        </is>
      </c>
      <c r="I6120" s="10" t="inlineStr">
        <is>
          <t>17/03/2026</t>
        </is>
      </c>
      <c r="J6120" s="10" t="inlineStr">
        <is>
          <t>Bán lẻ / Bán sỉ, Kế toán / Kiểm toán, Tài chính / Đầu tư</t>
        </is>
      </c>
      <c r="K6120" s="10" t="inlineStr">
        <is>
          <t>2 - 5 Năm</t>
        </is>
      </c>
      <c r="L6120" s="11">
        <f>HYPERLINK("https://careerviet.vn/vi/tim-viec-lam/ke-toan-cua-hang.35C63734.html","Xem chi tiết")</f>
        <v/>
      </c>
      <c r="M6120" s="10" t="n"/>
    </row>
    <row r="6121">
      <c r="B6121" s="7" t="n">
        <v>6119</v>
      </c>
      <c r="C6121" t="inlineStr">
        <is>
          <t>Nhân viên vận hành nước thải</t>
        </is>
      </c>
      <c r="D6121" t="inlineStr">
        <is>
          <t>Saf Viet - JV Between French And Vietnam</t>
        </is>
      </c>
      <c r="E6121" t="inlineStr">
        <is>
          <t>Lương:Cạnh tranh</t>
        </is>
      </c>
      <c r="F6121" t="inlineStr">
        <is>
          <t>Long An</t>
        </is>
      </c>
      <c r="G6121" t="inlineStr">
        <is>
          <t>5</t>
        </is>
      </c>
      <c r="H6121" t="inlineStr">
        <is>
          <t>22/03/2026</t>
        </is>
      </c>
      <c r="I6121" t="inlineStr">
        <is>
          <t>17/03/2026</t>
        </is>
      </c>
      <c r="J6121" t="inlineStr">
        <is>
          <t>Môi trường, Hóa học</t>
        </is>
      </c>
      <c r="K6121" t="inlineStr">
        <is>
          <t>N/A</t>
        </is>
      </c>
      <c r="L6121" s="8">
        <f>HYPERLINK("https://careerviet.vn/vi/tim-viec-lam/nhan-vien-van-hanh-nuoc-thai.35C635AF.html","Xem chi tiết")</f>
        <v/>
      </c>
    </row>
    <row r="6122">
      <c r="B6122" s="9" t="n">
        <v>6120</v>
      </c>
      <c r="C6122" s="10" t="inlineStr">
        <is>
          <t>Trưởng Phòng Tuyển Dụng Vận Hành (Mass)</t>
        </is>
      </c>
      <c r="D6122" s="10" t="inlineStr">
        <is>
          <t>Vinpearl</t>
        </is>
      </c>
      <c r="E6122" s="10" t="inlineStr">
        <is>
          <t>Lương:Trên 2.000 USD</t>
        </is>
      </c>
      <c r="F6122" s="10" t="inlineStr">
        <is>
          <t>Hà Nội</t>
        </is>
      </c>
      <c r="G6122" s="10" t="inlineStr">
        <is>
          <t>5</t>
        </is>
      </c>
      <c r="H6122" s="10" t="inlineStr">
        <is>
          <t>22/03/2026</t>
        </is>
      </c>
      <c r="I6122" s="10" t="inlineStr">
        <is>
          <t>17/03/2026</t>
        </is>
      </c>
      <c r="J6122" s="10" t="inlineStr">
        <is>
          <t>Nhân sự</t>
        </is>
      </c>
      <c r="K6122" s="10" t="inlineStr">
        <is>
          <t>10 Năm</t>
        </is>
      </c>
      <c r="L6122" s="11">
        <f>HYPERLINK("https://careerviet.vn/vi/tim-viec-lam/truong-phong-tuyen-dung-van-hanh-mass.35C65F90.html","Xem chi tiết")</f>
        <v/>
      </c>
      <c r="M6122" s="10" t="n"/>
    </row>
    <row r="6123">
      <c r="B6123" s="7" t="n">
        <v>6121</v>
      </c>
      <c r="C6123" t="inlineStr">
        <is>
          <t>(Senior) Supplier Quality Engineer (Work at Cu Chi/ Or Dong Nai - Shuttle Bus Provided)</t>
        </is>
      </c>
      <c r="D6123" t="inlineStr">
        <is>
          <t>Techtronic Industries Vietnam Manufacturing Company Limited</t>
        </is>
      </c>
      <c r="E6123" t="inlineStr">
        <is>
          <t>Lương:Cạnh tranh</t>
        </is>
      </c>
      <c r="F6123" t="inlineStr">
        <is>
          <t>Hồ Chí MinhĐồng Nai</t>
        </is>
      </c>
      <c r="G6123" t="inlineStr">
        <is>
          <t>5</t>
        </is>
      </c>
      <c r="H6123" t="inlineStr">
        <is>
          <t>22/03/2026</t>
        </is>
      </c>
      <c r="I6123" t="inlineStr">
        <is>
          <t>17/03/2026</t>
        </is>
      </c>
      <c r="J6123" t="inlineStr">
        <is>
          <t>Quản lý chất lượng (QA/QC), Sản xuất / Vận hành sản xuất, Điện / Điện tử / Điện lạnh / Điện công nghiệp</t>
        </is>
      </c>
      <c r="K6123" t="inlineStr">
        <is>
          <t>1 Năm</t>
        </is>
      </c>
      <c r="L6123" s="8">
        <f>HYPERLINK("https://careerviet.vn/vi/tim-viec-lam/senior-supplier-quality-engineer-work-at-cu-chi-or-dong-nai-shuttle-bus-provided.35C663A7.html","Xem chi tiết")</f>
        <v/>
      </c>
    </row>
    <row r="6124">
      <c r="B6124" s="9" t="n">
        <v>6122</v>
      </c>
      <c r="C6124" s="10" t="inlineStr">
        <is>
          <t>NHÂN VIÊN TỔNG VỤ</t>
        </is>
      </c>
      <c r="D6124" s="10" t="inlineStr">
        <is>
          <t>Kyungbang Vietnam CO., LTD</t>
        </is>
      </c>
      <c r="E6124" s="10" t="inlineStr">
        <is>
          <t>Lương:9,3 Tr - 10 Tr VND</t>
        </is>
      </c>
      <c r="F6124" s="10" t="inlineStr">
        <is>
          <t>Bình Dương</t>
        </is>
      </c>
      <c r="G6124" s="10" t="inlineStr">
        <is>
          <t>5</t>
        </is>
      </c>
      <c r="H6124" s="10" t="inlineStr">
        <is>
          <t>22/03/2026</t>
        </is>
      </c>
      <c r="I6124" s="10" t="inlineStr">
        <is>
          <t>17/03/2026</t>
        </is>
      </c>
      <c r="J6124" s="10" t="inlineStr">
        <is>
          <t>Luật / Pháp lý, Nhân sự, Môi trường</t>
        </is>
      </c>
      <c r="K6124" s="10" t="inlineStr">
        <is>
          <t>Không yêu cầu kinh nghiệm</t>
        </is>
      </c>
      <c r="L6124" s="11">
        <f>HYPERLINK("https://careerviet.vn/vi/tim-viec-lam/nhan-vien-tong-vu.35C6633D.html","Xem chi tiết")</f>
        <v/>
      </c>
      <c r="M6124" s="10" t="n"/>
    </row>
    <row r="6125">
      <c r="B6125" s="7" t="n">
        <v>6123</v>
      </c>
      <c r="C6125" t="inlineStr">
        <is>
          <t>Nhân Viên Giao Nhận Phương Tiện Chuyên Làm Ca Đêm</t>
        </is>
      </c>
      <c r="D6125" t="inlineStr">
        <is>
          <t>CÔNG TY CỔ PHẦN DI CHUYỂN VÀ THÔNG MINH GSM</t>
        </is>
      </c>
      <c r="E6125" t="inlineStr">
        <is>
          <t>Lương:10 Tr - 15 Tr VND</t>
        </is>
      </c>
      <c r="F6125" t="inlineStr">
        <is>
          <t>Hà Nội</t>
        </is>
      </c>
      <c r="G6125" t="inlineStr">
        <is>
          <t>5</t>
        </is>
      </c>
      <c r="H6125" t="inlineStr">
        <is>
          <t>22/03/2026</t>
        </is>
      </c>
      <c r="I6125" t="inlineStr">
        <is>
          <t>17/03/2026</t>
        </is>
      </c>
      <c r="J6125" t="inlineStr">
        <is>
          <t>Cơ khí / Ô tô / Tự động hóa, Vận chuyển / Giao nhận / Kho vận, Bảo trì / Sửa chữa</t>
        </is>
      </c>
      <c r="K6125" t="inlineStr">
        <is>
          <t>1 - 2 Năm</t>
        </is>
      </c>
      <c r="L6125" s="8">
        <f>HYPERLINK("https://careerviet.vn/vi/tim-viec-lam/nhan-vien-giao-nhan-phuong-tien-chuyen-lam-ca-dem.35C63892.html","Xem chi tiết")</f>
        <v/>
      </c>
    </row>
    <row r="6126">
      <c r="B6126" s="9" t="n">
        <v>6124</v>
      </c>
      <c r="C6126" s="10" t="inlineStr">
        <is>
          <t>Quản lý dự án (Project Manager) - Văn phòng quản lý dự án</t>
        </is>
      </c>
      <c r="D6126" s="10" t="inlineStr">
        <is>
          <t>Ngân hàng TMCP Đại Chúng Việt Nam - PVcomBank</t>
        </is>
      </c>
      <c r="E6126" s="10" t="inlineStr">
        <is>
          <t>Lương:Cạnh tranh</t>
        </is>
      </c>
      <c r="F6126" s="10" t="inlineStr">
        <is>
          <t>Hà Nội</t>
        </is>
      </c>
      <c r="G6126" s="10" t="inlineStr">
        <is>
          <t>5</t>
        </is>
      </c>
      <c r="H6126" s="10" t="inlineStr">
        <is>
          <t>22/03/2026</t>
        </is>
      </c>
      <c r="I6126" s="10" t="inlineStr">
        <is>
          <t>17/03/2026</t>
        </is>
      </c>
      <c r="J6126" s="10" t="inlineStr">
        <is>
          <t>Ngân hàng</t>
        </is>
      </c>
      <c r="K6126" s="10" t="inlineStr">
        <is>
          <t>2 - 10 Năm</t>
        </is>
      </c>
      <c r="L6126" s="11">
        <f>HYPERLINK("https://careerviet.vn/vi/tim-viec-lam/quan-ly-du-an-project-manager-van-phong-quan-ly-du-an.35C63839.html","Xem chi tiết")</f>
        <v/>
      </c>
      <c r="M6126" s="10" t="n"/>
    </row>
    <row r="6127">
      <c r="B6127" s="7" t="n">
        <v>6125</v>
      </c>
      <c r="C6127" t="inlineStr">
        <is>
          <t>Chuyên Viên Quản Trị Hệ Thống</t>
        </is>
      </c>
      <c r="D6127" t="inlineStr">
        <is>
          <t>Công ty Cổ phần CANIFA</t>
        </is>
      </c>
      <c r="E6127" t="inlineStr">
        <is>
          <t>Lương:20 Tr - 35 Tr VND</t>
        </is>
      </c>
      <c r="F6127" t="inlineStr">
        <is>
          <t>Hà Nội</t>
        </is>
      </c>
      <c r="G6127" t="inlineStr">
        <is>
          <t>5</t>
        </is>
      </c>
      <c r="H6127" t="inlineStr">
        <is>
          <t>22/03/2026</t>
        </is>
      </c>
      <c r="I6127" t="inlineStr">
        <is>
          <t>17/03/2026</t>
        </is>
      </c>
      <c r="J6127" t="inlineStr">
        <is>
          <t>CNTT - Phần cứng / Mạng</t>
        </is>
      </c>
      <c r="K6127" t="inlineStr">
        <is>
          <t>5 - 10 Năm</t>
        </is>
      </c>
      <c r="L6127" s="8">
        <f>HYPERLINK("https://careerviet.vn/vi/tim-viec-lam/chuyen-vien-quan-tri-he-thong.35C637B0.html","Xem chi tiết")</f>
        <v/>
      </c>
    </row>
    <row r="6128">
      <c r="B6128" s="9" t="n">
        <v>6126</v>
      </c>
      <c r="C6128" s="10" t="inlineStr">
        <is>
          <t>[HCM] Business Development Executive - On Premise</t>
        </is>
      </c>
      <c r="D6128" s="10" t="inlineStr">
        <is>
          <t>Coca-Cola Beverages Vietnam</t>
        </is>
      </c>
      <c r="E6128" s="10" t="inlineStr">
        <is>
          <t>Lương:Cạnh tranh</t>
        </is>
      </c>
      <c r="F6128" s="10" t="inlineStr">
        <is>
          <t>Hồ Chí Minh</t>
        </is>
      </c>
      <c r="G6128" s="10" t="inlineStr">
        <is>
          <t>5</t>
        </is>
      </c>
      <c r="H6128" s="10" t="inlineStr">
        <is>
          <t>22/03/2026</t>
        </is>
      </c>
      <c r="I6128" s="10" t="inlineStr">
        <is>
          <t>17/03/2026</t>
        </is>
      </c>
      <c r="J6128" s="10" t="inlineStr">
        <is>
          <t>Bán hàng / Kinh doanh</t>
        </is>
      </c>
      <c r="K6128" s="10" t="inlineStr">
        <is>
          <t>2 - 10 Năm</t>
        </is>
      </c>
      <c r="L6128" s="11">
        <f>HYPERLINK("https://careerviet.vn/vi/tim-viec-lam/hcm-business-development-executive-on-premise.35C66332.html","Xem chi tiết")</f>
        <v/>
      </c>
      <c r="M6128" s="10" t="n"/>
    </row>
    <row r="6129">
      <c r="B6129" s="7" t="n">
        <v>6127</v>
      </c>
      <c r="C6129" t="inlineStr">
        <is>
          <t>Quản Lý Khu Vực (Area Manager) – Hệ Thống Facial Bar</t>
        </is>
      </c>
      <c r="D6129" t="inlineStr">
        <is>
          <t>Công ty TNHH Thiên Thủy Mộc</t>
        </is>
      </c>
      <c r="E6129" t="inlineStr">
        <is>
          <t>Lương:30 Tr - 50 Tr VND</t>
        </is>
      </c>
      <c r="F6129" t="inlineStr">
        <is>
          <t>Hồ Chí Minh</t>
        </is>
      </c>
      <c r="G6129" t="inlineStr">
        <is>
          <t>Hôm nay</t>
        </is>
      </c>
      <c r="H6129" t="inlineStr">
        <is>
          <t>17/03/2026</t>
        </is>
      </c>
      <c r="I6129" t="inlineStr">
        <is>
          <t>17/03/2026</t>
        </is>
      </c>
      <c r="J6129" t="inlineStr">
        <is>
          <t>Y tế / Chăm sóc sức khỏe / Thẩm mỹ / Làm đẹp</t>
        </is>
      </c>
      <c r="K6129" t="inlineStr">
        <is>
          <t>3 - 5 Năm</t>
        </is>
      </c>
      <c r="L6129" s="8">
        <f>HYPERLINK("https://careerviet.vn/vi/tim-viec-lam/quan-ly-khu-vuc-area-manager-he-thong-facial-bar.35C65D31.html","Xem chi tiết")</f>
        <v/>
      </c>
    </row>
    <row r="6130">
      <c r="B6130" s="9" t="n">
        <v>6128</v>
      </c>
      <c r="C6130" s="10" t="inlineStr">
        <is>
          <t>Giám đốc phòng Khách hàng Cá nhân - Quảng Ninh</t>
        </is>
      </c>
      <c r="D6130" s="10" t="inlineStr">
        <is>
          <t>Ngân hàng TMCP Việt Á – VietABank</t>
        </is>
      </c>
      <c r="E6130" s="10" t="inlineStr">
        <is>
          <t>Lương:Cạnh tranh</t>
        </is>
      </c>
      <c r="F6130" s="10" t="inlineStr">
        <is>
          <t>Quảng Ninh</t>
        </is>
      </c>
      <c r="G6130" s="10" t="inlineStr">
        <is>
          <t>5</t>
        </is>
      </c>
      <c r="H6130" s="10" t="inlineStr">
        <is>
          <t>22/03/2026</t>
        </is>
      </c>
      <c r="I6130" s="10" t="inlineStr">
        <is>
          <t>17/03/2026</t>
        </is>
      </c>
      <c r="J6130" s="10" t="inlineStr">
        <is>
          <t>Ngân hàng, Tài chính / Đầu tư, Bất động sản</t>
        </is>
      </c>
      <c r="K6130" s="10" t="inlineStr">
        <is>
          <t>1 - 3 Năm</t>
        </is>
      </c>
      <c r="L6130" s="11">
        <f>HYPERLINK("https://careerviet.vn/vi/tim-viec-lam/giam-doc-phong-khach-hang-ca-nhan-quang-ninh.35C63810.html","Xem chi tiết")</f>
        <v/>
      </c>
      <c r="M6130" s="10" t="n"/>
    </row>
    <row r="6131">
      <c r="B6131" s="7" t="n">
        <v>6129</v>
      </c>
      <c r="C6131" t="inlineStr">
        <is>
          <t>Chuyên Viên Quản Lý Dịch Vụ Nhân Sự Cao Cấp / Senior HR Services Management Specialist</t>
        </is>
      </c>
      <c r="D6131" t="inlineStr">
        <is>
          <t>FE CREDIT</t>
        </is>
      </c>
      <c r="E6131" t="inlineStr">
        <is>
          <t>Lương:Cạnh tranh</t>
        </is>
      </c>
      <c r="F6131" t="inlineStr">
        <is>
          <t>Hồ Chí Minh</t>
        </is>
      </c>
      <c r="G6131" t="inlineStr">
        <is>
          <t>5</t>
        </is>
      </c>
      <c r="H6131" t="inlineStr">
        <is>
          <t>22/03/2026</t>
        </is>
      </c>
      <c r="I6131" t="inlineStr">
        <is>
          <t>17/03/2026</t>
        </is>
      </c>
      <c r="J6131" t="inlineStr">
        <is>
          <t>Bán lẻ / Bán sỉ, Nhân sự, Ngân hàng</t>
        </is>
      </c>
      <c r="K6131" t="inlineStr">
        <is>
          <t>2 - 3 Năm</t>
        </is>
      </c>
      <c r="L6131" s="8">
        <f>HYPERLINK("https://careerviet.vn/vi/tim-viec-lam/chuyen-vien-quan-ly-dich-vu-nhan-su-cao-cap-senior-hr-services-management-specialist.35C64100.html","Xem chi tiết")</f>
        <v/>
      </c>
    </row>
    <row r="6132">
      <c r="B6132" s="9" t="n">
        <v>6130</v>
      </c>
      <c r="C6132" s="10" t="inlineStr">
        <is>
          <t>IT Sub Leader / Senior Software Engineer</t>
        </is>
      </c>
      <c r="D6132" s="10" t="inlineStr">
        <is>
          <t>CÔNG TY TRÁCH NHIỆM HỮU HẠN SÀI GÒN PRECISION</t>
        </is>
      </c>
      <c r="E6132" s="10" t="inlineStr">
        <is>
          <t>Lương:Cạnh tranh</t>
        </is>
      </c>
      <c r="F6132" s="10" t="inlineStr">
        <is>
          <t>Hồ Chí Minh</t>
        </is>
      </c>
      <c r="G6132" s="10" t="inlineStr">
        <is>
          <t>5</t>
        </is>
      </c>
      <c r="H6132" s="10" t="inlineStr">
        <is>
          <t>22/03/2026</t>
        </is>
      </c>
      <c r="I6132" s="10" t="inlineStr">
        <is>
          <t>17/03/2026</t>
        </is>
      </c>
      <c r="J6132" s="10" t="inlineStr">
        <is>
          <t>CNTT - Phần mềm</t>
        </is>
      </c>
      <c r="K6132" s="10" t="inlineStr">
        <is>
          <t>2 - 3 Năm</t>
        </is>
      </c>
      <c r="L6132" s="11">
        <f>HYPERLINK("https://careerviet.vn/vi/tim-viec-lam/it-sub-leader-senior-software-engineer.35C66350.html","Xem chi tiết")</f>
        <v/>
      </c>
      <c r="M6132" s="10" t="n"/>
    </row>
    <row r="6133">
      <c r="B6133" s="7" t="n">
        <v>6131</v>
      </c>
      <c r="C6133" t="inlineStr">
        <is>
          <t>Nhân Viên Bán Hàng - Showroom Đồ Nội Thất Liền Tường (Có Thể Đi Làm Sau Tết)</t>
        </is>
      </c>
      <c r="D6133" t="inlineStr">
        <is>
          <t>CÔNG TY TNHH GRANFORD</t>
        </is>
      </c>
      <c r="E6133" t="inlineStr">
        <is>
          <t>Lương:8 Tr - 14 Tr VND</t>
        </is>
      </c>
      <c r="F6133" t="inlineStr">
        <is>
          <t>Hồ Chí Minh</t>
        </is>
      </c>
      <c r="G6133" t="inlineStr">
        <is>
          <t>5</t>
        </is>
      </c>
      <c r="H6133" t="inlineStr">
        <is>
          <t>22/03/2026</t>
        </is>
      </c>
      <c r="I6133" t="inlineStr">
        <is>
          <t>17/03/2026</t>
        </is>
      </c>
      <c r="J6133" t="inlineStr">
        <is>
          <t>Bán hàng / Kinh doanh, Nội ngoại thất, Kiến trúc</t>
        </is>
      </c>
      <c r="K6133" t="inlineStr">
        <is>
          <t>1 - 2 Năm</t>
        </is>
      </c>
      <c r="L6133" s="8">
        <f>HYPERLINK("https://careerviet.vn/vi/tim-viec-lam/nhan-vien-ban-hang-showroom-do-noi-that-lien-tuong-co-the-di-lam-sau-tet.35C663E8.html","Xem chi tiết")</f>
        <v/>
      </c>
    </row>
    <row r="6134">
      <c r="B6134" s="9" t="n">
        <v>6132</v>
      </c>
      <c r="C6134" s="10" t="inlineStr">
        <is>
          <t>QUẢN LÍ SẢN XUẤT - DÂY CHUYỀN NHUỘM SỢI</t>
        </is>
      </c>
      <c r="D6134" s="10" t="inlineStr">
        <is>
          <t>Kyungbang Vietnam CO., LTD</t>
        </is>
      </c>
      <c r="E6134" s="10" t="inlineStr">
        <is>
          <t>Lương:10 Tr - 20 Tr VND</t>
        </is>
      </c>
      <c r="F6134" s="10" t="inlineStr">
        <is>
          <t>Bình Dương</t>
        </is>
      </c>
      <c r="G6134" s="10" t="inlineStr">
        <is>
          <t>5</t>
        </is>
      </c>
      <c r="H6134" s="10" t="inlineStr">
        <is>
          <t>22/03/2026</t>
        </is>
      </c>
      <c r="I6134" s="10" t="inlineStr">
        <is>
          <t>17/03/2026</t>
        </is>
      </c>
      <c r="J6134" s="10" t="inlineStr">
        <is>
          <t>Quản lý điều hành</t>
        </is>
      </c>
      <c r="K6134" s="10" t="inlineStr">
        <is>
          <t>Không yêu cầu kinh nghiệm</t>
        </is>
      </c>
      <c r="L6134" s="11">
        <f>HYPERLINK("https://careerviet.vn/vi/tim-viec-lam/quan-li-san-xuat-day-chuyen-nhuom-soi.35C66331.html","Xem chi tiết")</f>
        <v/>
      </c>
      <c r="M6134" s="10" t="n"/>
    </row>
    <row r="6135">
      <c r="B6135" s="7" t="n">
        <v>6133</v>
      </c>
      <c r="C6135" t="inlineStr">
        <is>
          <t>Giám Đốc Tài Chính</t>
        </is>
      </c>
      <c r="D6135" t="inlineStr">
        <is>
          <t>CÔNG TY CỔ PHẦN ĐẦU TƯ HẠ TẦNG DONACOOP</t>
        </is>
      </c>
      <c r="E6135" t="inlineStr">
        <is>
          <t>Lương:Cạnh tranh</t>
        </is>
      </c>
      <c r="F6135" t="inlineStr">
        <is>
          <t>Đồng Nai</t>
        </is>
      </c>
      <c r="G6135" t="inlineStr">
        <is>
          <t>5</t>
        </is>
      </c>
      <c r="H6135" t="inlineStr">
        <is>
          <t>22/03/2026</t>
        </is>
      </c>
      <c r="I6135" t="inlineStr">
        <is>
          <t>17/03/2026</t>
        </is>
      </c>
      <c r="J6135" t="inlineStr">
        <is>
          <t>Luật / Pháp lý, Kế toán / Kiểm toán, Tài chính / Đầu tư</t>
        </is>
      </c>
      <c r="K6135" t="inlineStr">
        <is>
          <t>5 - 7 Năm</t>
        </is>
      </c>
      <c r="L6135" s="8">
        <f>HYPERLINK("https://careerviet.vn/vi/tim-viec-lam/giam-doc-tai-chinh.35C663E6.html","Xem chi tiết")</f>
        <v/>
      </c>
    </row>
    <row r="6136">
      <c r="B6136" s="9" t="n">
        <v>6134</v>
      </c>
      <c r="C6136" s="10" t="inlineStr">
        <is>
          <t>Sales Manager/Sales Director (IT Infrastructure) - Làm dự án trực tiếp với end user - Quận Phú Nhuận, HCM</t>
        </is>
      </c>
      <c r="D6136" s="10" t="inlineStr">
        <is>
          <t>Talent Trader Vietnam</t>
        </is>
      </c>
      <c r="E6136" s="10" t="inlineStr">
        <is>
          <t>Lương:50 Tr - 70 Tr VND</t>
        </is>
      </c>
      <c r="F6136" s="10" t="inlineStr">
        <is>
          <t>Hồ Chí Minh</t>
        </is>
      </c>
      <c r="G6136" s="10" t="inlineStr">
        <is>
          <t>5</t>
        </is>
      </c>
      <c r="H6136" s="10" t="inlineStr">
        <is>
          <t>22/03/2026</t>
        </is>
      </c>
      <c r="I6136" s="10" t="inlineStr">
        <is>
          <t>17/03/2026</t>
        </is>
      </c>
      <c r="J6136" s="10" t="inlineStr">
        <is>
          <t>Bán hàng / Kinh doanh, Bán Hàng Kỹ Thuật, CNTT - Phần cứng / Mạng</t>
        </is>
      </c>
      <c r="K6136" s="10" t="inlineStr">
        <is>
          <t>5 - 10 Năm</t>
        </is>
      </c>
      <c r="L6136" s="11">
        <f>HYPERLINK("https://careerviet.vn/vi/tim-viec-lam/sales-manager-sales-director-it-infrastructure-lam-du-an-truc-tiep-voi-end-user-quan-phu-nhuan-hcm.35C6379E.html","Xem chi tiết")</f>
        <v/>
      </c>
      <c r="M6136" s="10" t="n"/>
    </row>
    <row r="6137">
      <c r="B6137" s="7" t="n">
        <v>6135</v>
      </c>
      <c r="C6137" t="inlineStr">
        <is>
          <t>Core Network Engineer (High-volume Hiring) - Salary Up to 50Mil</t>
        </is>
      </c>
      <c r="D6137" t="inlineStr">
        <is>
          <t>CÔNG TY TNHH CÔNG NGHỆ HUAWEI VIỆT NAM</t>
        </is>
      </c>
      <c r="E6137" t="inlineStr">
        <is>
          <t>Lương:15 Tr - 50 Tr VND</t>
        </is>
      </c>
      <c r="F6137" t="inlineStr">
        <is>
          <t>Hà Nội</t>
        </is>
      </c>
      <c r="G6137" t="inlineStr">
        <is>
          <t>5</t>
        </is>
      </c>
      <c r="H6137" t="inlineStr">
        <is>
          <t>22/03/2026</t>
        </is>
      </c>
      <c r="I6137" t="inlineStr">
        <is>
          <t>17/03/2026</t>
        </is>
      </c>
      <c r="J6137" t="inlineStr">
        <is>
          <t>Bưu chính viễn thông</t>
        </is>
      </c>
      <c r="K6137" t="inlineStr">
        <is>
          <t>2 - 8 Năm</t>
        </is>
      </c>
      <c r="L6137" s="8">
        <f>HYPERLINK("https://careerviet.vn/vi/tim-viec-lam/core-network-engineer-high-volume-hiring-salary-up-to-50mil.35C638B5.html","Xem chi tiết")</f>
        <v/>
      </c>
    </row>
    <row r="6138">
      <c r="B6138" s="9" t="n">
        <v>6136</v>
      </c>
      <c r="C6138" s="10" t="inlineStr">
        <is>
          <t>Chuyên viên Thẩm định tín chấp Khách hàng cá nhân - Khối Phê duyệt Tín dụng</t>
        </is>
      </c>
      <c r="D6138" s="10" t="inlineStr">
        <is>
          <t>Ngân hàng Thương mại cổ phần Đông Nam Á (SeABank)</t>
        </is>
      </c>
      <c r="E6138" s="10" t="inlineStr">
        <is>
          <t>Lương:Cạnh tranh</t>
        </is>
      </c>
      <c r="F6138" s="10" t="inlineStr">
        <is>
          <t>Hà Nội</t>
        </is>
      </c>
      <c r="G6138" s="10" t="inlineStr">
        <is>
          <t>5</t>
        </is>
      </c>
      <c r="H6138" s="10" t="inlineStr">
        <is>
          <t>22/03/2026</t>
        </is>
      </c>
      <c r="I6138" s="10" t="inlineStr">
        <is>
          <t>17/03/2026</t>
        </is>
      </c>
      <c r="J6138" s="10" t="inlineStr">
        <is>
          <t>Ngân hàng</t>
        </is>
      </c>
      <c r="K6138" s="10" t="inlineStr">
        <is>
          <t>3 - 5 Năm</t>
        </is>
      </c>
      <c r="L6138" s="11">
        <f>HYPERLINK("https://careerviet.vn/vi/tim-viec-lam/chuyen-vien-tham-dinh-tin-chap-khach-hang-ca-nhan-khoi-phe-duyet-tin-dung.35C66059.html","Xem chi tiết")</f>
        <v/>
      </c>
      <c r="M6138" s="10" t="n"/>
    </row>
    <row r="6139">
      <c r="B6139" s="7" t="n">
        <v>6137</v>
      </c>
      <c r="C6139" t="inlineStr">
        <is>
          <t>[Hà Nội] Trợ lý HĐQT phụ trách Xử lý nợ</t>
        </is>
      </c>
      <c r="D6139" t="inlineStr">
        <is>
          <t>Ngân hàng TMCP Lộc Phát Việt Nam (LPBank)</t>
        </is>
      </c>
      <c r="E6139" t="inlineStr">
        <is>
          <t>Lương:Cạnh tranh</t>
        </is>
      </c>
      <c r="F6139" t="inlineStr">
        <is>
          <t>Hà Nội</t>
        </is>
      </c>
      <c r="G6139" t="inlineStr">
        <is>
          <t>5</t>
        </is>
      </c>
      <c r="H6139" t="inlineStr">
        <is>
          <t>22/03/2026</t>
        </is>
      </c>
      <c r="I6139" t="inlineStr">
        <is>
          <t>17/03/2026</t>
        </is>
      </c>
      <c r="J6139" t="inlineStr">
        <is>
          <t>Luật / Pháp lý, Ngân hàng, Quản lý chất lượng (QA/QC)</t>
        </is>
      </c>
      <c r="K6139" t="inlineStr">
        <is>
          <t>Trên 5 Năm</t>
        </is>
      </c>
      <c r="L6139" s="8">
        <f>HYPERLINK("https://careerviet.vn/vi/tim-viec-lam/ha-noi-tro-ly-hdqt-phu-trach-xu-ly-no.35C6639C.html","Xem chi tiết")</f>
        <v/>
      </c>
    </row>
    <row r="6140">
      <c r="B6140" s="9" t="n">
        <v>6138</v>
      </c>
      <c r="C6140" s="10" t="inlineStr">
        <is>
          <t>Nhân viên quản lý tài sản (MRO Service Code)</t>
        </is>
      </c>
      <c r="D6140" s="10" t="inlineStr">
        <is>
          <t>Tan Hiep Phat Group</t>
        </is>
      </c>
      <c r="E6140" s="10" t="inlineStr">
        <is>
          <t>Lương:Cạnh tranh</t>
        </is>
      </c>
      <c r="F6140" s="10" t="inlineStr">
        <is>
          <t>Bình Dương</t>
        </is>
      </c>
      <c r="G6140" s="10" t="inlineStr">
        <is>
          <t>5</t>
        </is>
      </c>
      <c r="H6140" s="10" t="inlineStr">
        <is>
          <t>22/03/2026</t>
        </is>
      </c>
      <c r="I6140" s="10" t="inlineStr">
        <is>
          <t>17/03/2026</t>
        </is>
      </c>
      <c r="J6140" s="10" t="inlineStr">
        <is>
          <t>Quản lý điều hành</t>
        </is>
      </c>
      <c r="K6140" s="10" t="inlineStr">
        <is>
          <t>1 - 3 Năm</t>
        </is>
      </c>
      <c r="L6140" s="11">
        <f>HYPERLINK("https://careerviet.vn/vi/tim-viec-lam/nhan-vien-quan-ly-tai-san-mro-service-code.35C63841.html","Xem chi tiết")</f>
        <v/>
      </c>
      <c r="M6140" s="10" t="n"/>
    </row>
    <row r="6141">
      <c r="B6141" s="7" t="n">
        <v>6139</v>
      </c>
      <c r="C6141" t="inlineStr">
        <is>
          <t>Quản Trị Viên Điều Hành</t>
        </is>
      </c>
      <c r="D6141" t="inlineStr">
        <is>
          <t>Công Ty TNHH Fujitrans (Vietnam)</t>
        </is>
      </c>
      <c r="E6141" t="inlineStr">
        <is>
          <t>Lương:12 Tr - 15 Tr VND</t>
        </is>
      </c>
      <c r="F6141" t="inlineStr">
        <is>
          <t>Long An</t>
        </is>
      </c>
      <c r="G6141" t="inlineStr">
        <is>
          <t>5</t>
        </is>
      </c>
      <c r="H6141" t="inlineStr">
        <is>
          <t>22/03/2026</t>
        </is>
      </c>
      <c r="I6141" t="inlineStr">
        <is>
          <t>17/03/2026</t>
        </is>
      </c>
      <c r="J6141" t="inlineStr">
        <is>
          <t>Vận chuyển / Giao nhận / Kho vận, Xuất nhập khẩu, Kế toán / Kiểm toán</t>
        </is>
      </c>
      <c r="K6141" t="inlineStr">
        <is>
          <t>1 - 2 Năm</t>
        </is>
      </c>
      <c r="L6141" s="8">
        <f>HYPERLINK("https://careerviet.vn/vi/tim-viec-lam/quan-tri-vien-dieu-hanh.35C66414.html","Xem chi tiết")</f>
        <v/>
      </c>
    </row>
    <row r="6142">
      <c r="B6142" s="9" t="n">
        <v>6140</v>
      </c>
      <c r="C6142" s="10" t="inlineStr">
        <is>
          <t>Chuyên gia công nghệ sinh học (Sinh vật học)</t>
        </is>
      </c>
      <c r="D6142" s="10" t="inlineStr">
        <is>
          <t>Công ty TNHH ENP BIOTECH (VN)</t>
        </is>
      </c>
      <c r="E6142" s="10" t="inlineStr">
        <is>
          <t>Lương:Cạnh tranh</t>
        </is>
      </c>
      <c r="F6142" s="10" t="inlineStr">
        <is>
          <t>Khánh Hòa</t>
        </is>
      </c>
      <c r="G6142" s="10" t="inlineStr">
        <is>
          <t>5</t>
        </is>
      </c>
      <c r="H6142" s="10" t="inlineStr">
        <is>
          <t>22/03/2026</t>
        </is>
      </c>
      <c r="I6142" s="10" t="inlineStr">
        <is>
          <t>17/03/2026</t>
        </is>
      </c>
      <c r="J6142" s="10" t="inlineStr">
        <is>
          <t>Nông nghiệp, Chăn nuôi / Thú y, Công nghệ sinh học</t>
        </is>
      </c>
      <c r="K6142" s="10" t="inlineStr">
        <is>
          <t>3 - 5 Năm</t>
        </is>
      </c>
      <c r="L6142" s="11">
        <f>HYPERLINK("https://careerviet.vn/vi/tim-viec-lam/chuyen-gia-cong-nghe-sinh-hoc-sinh-vat-hoc.35C662A7.html","Xem chi tiết")</f>
        <v/>
      </c>
      <c r="M6142" s="10" t="n"/>
    </row>
    <row r="6143">
      <c r="B6143" s="7" t="n">
        <v>6141</v>
      </c>
      <c r="C6143" t="inlineStr">
        <is>
          <t>Quản lý kế toán nội bộ</t>
        </is>
      </c>
      <c r="D6143" t="inlineStr">
        <is>
          <t>Tập đoàn Nhựa Bình Thuận</t>
        </is>
      </c>
      <c r="E6143" t="inlineStr">
        <is>
          <t>Lương:18 Tr - 23 Tr VND</t>
        </is>
      </c>
      <c r="F6143" t="inlineStr">
        <is>
          <t>Long An</t>
        </is>
      </c>
      <c r="G6143" t="inlineStr">
        <is>
          <t>5</t>
        </is>
      </c>
      <c r="H6143" t="inlineStr">
        <is>
          <t>22/03/2026</t>
        </is>
      </c>
      <c r="I6143" t="inlineStr">
        <is>
          <t>17/03/2026</t>
        </is>
      </c>
      <c r="J6143" t="inlineStr">
        <is>
          <t>Kế toán / Kiểm toán</t>
        </is>
      </c>
      <c r="K6143" t="inlineStr">
        <is>
          <t>3 - 4 Năm</t>
        </is>
      </c>
      <c r="L6143" s="8">
        <f>HYPERLINK("https://careerviet.vn/vi/tim-viec-lam/quan-ly-ke-toan-noi-bo.35C6381C.html","Xem chi tiết")</f>
        <v/>
      </c>
    </row>
    <row r="6144">
      <c r="B6144" s="9" t="n">
        <v>6142</v>
      </c>
      <c r="C6144" s="10" t="inlineStr">
        <is>
          <t>Bếp chính khách sạn</t>
        </is>
      </c>
      <c r="D6144" s="10" t="inlineStr">
        <is>
          <t>Công Ty Cổ Phần A25 Hotel</t>
        </is>
      </c>
      <c r="E6144" s="10" t="inlineStr">
        <is>
          <t>Lương:15 Tr - 30 Tr VND</t>
        </is>
      </c>
      <c r="F6144" s="10" t="inlineStr">
        <is>
          <t>Hồ Chí MinhHà NộiLào Cai</t>
        </is>
      </c>
      <c r="G6144" s="10" t="inlineStr">
        <is>
          <t>5</t>
        </is>
      </c>
      <c r="H6144" s="10" t="inlineStr">
        <is>
          <t>22/03/2026</t>
        </is>
      </c>
      <c r="I6144" s="10" t="inlineStr">
        <is>
          <t>17/03/2026</t>
        </is>
      </c>
      <c r="J6144" s="10" t="inlineStr">
        <is>
          <t>Dịch vụ khách hàng, Nhà hàng / Khách sạn</t>
        </is>
      </c>
      <c r="K6144" s="10" t="inlineStr">
        <is>
          <t>2 - 3 Năm</t>
        </is>
      </c>
      <c r="L6144" s="11">
        <f>HYPERLINK("https://careerviet.vn/vi/tim-viec-lam/bep-chinh-khach-san.35C663D1.html","Xem chi tiết")</f>
        <v/>
      </c>
      <c r="M6144" s="10" t="n"/>
    </row>
    <row r="6145">
      <c r="B6145" s="7" t="n">
        <v>6143</v>
      </c>
      <c r="C6145" t="inlineStr">
        <is>
          <t>Nhân Viên Thiết Kế Cơ Khí Chế Tạo</t>
        </is>
      </c>
      <c r="D6145" t="inlineStr">
        <is>
          <t>Công Ty TNHH Xây Dựng Thương Mại Dịch Vụ Hừng Sáng</t>
        </is>
      </c>
      <c r="E6145" t="inlineStr">
        <is>
          <t>Lương:Cạnh tranh</t>
        </is>
      </c>
      <c r="F6145" t="inlineStr">
        <is>
          <t>Bình Dương</t>
        </is>
      </c>
      <c r="G6145" t="inlineStr">
        <is>
          <t>25-03-2026</t>
        </is>
      </c>
      <c r="H6145" t="inlineStr">
        <is>
          <t>25/03/2026</t>
        </is>
      </c>
      <c r="I6145" t="inlineStr">
        <is>
          <t>17/03/2026</t>
        </is>
      </c>
      <c r="J6145" t="inlineStr">
        <is>
          <t>Cơ khí / Ô tô / Tự động hóa, Mỹ thuật / Nghệ thuật / Thiết kế, Xây dựng</t>
        </is>
      </c>
      <c r="K6145" t="inlineStr">
        <is>
          <t>Trên 2 Năm</t>
        </is>
      </c>
      <c r="L6145" s="8">
        <f>HYPERLINK("https://careerviet.vn/vi/tim-viec-lam/nhan-vien-thiet-ke-co-khi-che-tao.35C63847.html","Xem chi tiết")</f>
        <v/>
      </c>
    </row>
    <row r="6146">
      <c r="B6146" s="9" t="n">
        <v>6144</v>
      </c>
      <c r="C6146" s="10" t="inlineStr">
        <is>
          <t>NHÂN VIÊN KINH DOANH</t>
        </is>
      </c>
      <c r="D6146" s="10" t="inlineStr">
        <is>
          <t>CÔNG TY TNHH KỸ NGHỆ VIỆT NAM</t>
        </is>
      </c>
      <c r="E6146" s="10" t="inlineStr">
        <is>
          <t>Lương:Cạnh tranh</t>
        </is>
      </c>
      <c r="F6146" s="10" t="inlineStr">
        <is>
          <t>Hồ Chí Minh</t>
        </is>
      </c>
      <c r="G6146" s="10" t="inlineStr">
        <is>
          <t>5</t>
        </is>
      </c>
      <c r="H6146" s="10" t="inlineStr">
        <is>
          <t>22/03/2026</t>
        </is>
      </c>
      <c r="I6146" s="10" t="inlineStr">
        <is>
          <t>17/03/2026</t>
        </is>
      </c>
      <c r="J6146" s="10" t="inlineStr">
        <is>
          <t>Bán hàng / Kinh doanh, Bán Hàng Kỹ Thuật, Xây dựng</t>
        </is>
      </c>
      <c r="K6146" s="10" t="inlineStr">
        <is>
          <t>1 - 5 Năm</t>
        </is>
      </c>
      <c r="L6146" s="11">
        <f>HYPERLINK("https://careerviet.vn/vi/tim-viec-lam/nhan-vien-kinh-doanh.35C66400.html","Xem chi tiết")</f>
        <v/>
      </c>
      <c r="M6146" s="10" t="n"/>
    </row>
    <row r="6147">
      <c r="B6147" s="7" t="n">
        <v>6145</v>
      </c>
      <c r="C6147" t="inlineStr">
        <is>
          <t>Nhân viên QC</t>
        </is>
      </c>
      <c r="D6147" t="inlineStr">
        <is>
          <t>Công Ty TNHH TM &amp; XNK Nhất Lâm</t>
        </is>
      </c>
      <c r="E6147" t="inlineStr">
        <is>
          <t>Lương:11 Tr - 13 Tr VND</t>
        </is>
      </c>
      <c r="F6147" t="inlineStr">
        <is>
          <t>Hà Nội</t>
        </is>
      </c>
      <c r="G6147" t="inlineStr">
        <is>
          <t>5</t>
        </is>
      </c>
      <c r="H6147" t="inlineStr">
        <is>
          <t>22/03/2026</t>
        </is>
      </c>
      <c r="I6147" t="inlineStr">
        <is>
          <t>17/03/2026</t>
        </is>
      </c>
      <c r="J6147" t="inlineStr">
        <is>
          <t>Dược phẩm/ Hóa Mỹ Phẩm, Công nghệ thực phẩm / Dinh dưỡng, Quản lý chất lượng (QA/QC)</t>
        </is>
      </c>
      <c r="K6147" t="inlineStr">
        <is>
          <t>1 - 3 Năm</t>
        </is>
      </c>
      <c r="L6147" s="8">
        <f>HYPERLINK("https://careerviet.vn/vi/tim-viec-lam/nhan-vien-qc.35C662D0.html","Xem chi tiết")</f>
        <v/>
      </c>
    </row>
    <row r="6148">
      <c r="B6148" s="9" t="n">
        <v>6146</v>
      </c>
      <c r="C6148" s="10" t="inlineStr">
        <is>
          <t>HR &amp; Admin Officer (Working in Hanoi)(Mới)</t>
        </is>
      </c>
      <c r="D6148" s="10" t="inlineStr">
        <is>
          <t>Công ty Cho thuê Tài chính TNHH MTV Quốc tế Chailease - CN Hà Nội</t>
        </is>
      </c>
      <c r="E6148" s="10" t="inlineStr">
        <is>
          <t>Lương:Cạnh tranh</t>
        </is>
      </c>
      <c r="F6148" s="10" t="inlineStr">
        <is>
          <t>Hà Nội</t>
        </is>
      </c>
      <c r="G6148" s="10" t="inlineStr">
        <is>
          <t>30-04-2026</t>
        </is>
      </c>
      <c r="H6148" s="10" t="inlineStr">
        <is>
          <t>30/04/2026</t>
        </is>
      </c>
      <c r="I6148" s="10" t="inlineStr">
        <is>
          <t>17/03/2026</t>
        </is>
      </c>
      <c r="J6148" s="10" t="inlineStr">
        <is>
          <t>Hành chính / Thư ký, Nhân sự, Ngân hàng</t>
        </is>
      </c>
      <c r="K6148" s="10" t="inlineStr">
        <is>
          <t>2 - 3 Năm</t>
        </is>
      </c>
      <c r="L6148" s="11">
        <f>HYPERLINK("https://careerviet.vn/vi/tim-viec-lam/hr-admin-officer-working-in-hanoi.35C6CFF1.html","Xem chi tiết")</f>
        <v/>
      </c>
      <c r="M6148" s="10" t="n"/>
    </row>
    <row r="6149">
      <c r="B6149" s="7" t="n">
        <v>6147</v>
      </c>
      <c r="C6149" t="inlineStr">
        <is>
          <t>PR &amp; KOL Supervisor</t>
        </is>
      </c>
      <c r="D6149" t="inlineStr">
        <is>
          <t>Công Ty Cổ Phần Thời Trang &amp; Mỹ Phẩm Duy Anh (DAFC)</t>
        </is>
      </c>
      <c r="E6149" t="inlineStr">
        <is>
          <t>Lương:Cạnh tranh</t>
        </is>
      </c>
      <c r="F6149" t="inlineStr">
        <is>
          <t>Hồ Chí Minh</t>
        </is>
      </c>
      <c r="G6149" t="inlineStr">
        <is>
          <t>5</t>
        </is>
      </c>
      <c r="H6149" t="inlineStr">
        <is>
          <t>22/03/2026</t>
        </is>
      </c>
      <c r="I6149" t="inlineStr">
        <is>
          <t>17/03/2026</t>
        </is>
      </c>
      <c r="J6149" t="inlineStr">
        <is>
          <t>Tiếp thị / Marketing, Truyền hình / Báo chí / Biên tập, Quảng cáo / Đối ngoại / Truyền Thông</t>
        </is>
      </c>
      <c r="K6149" t="inlineStr">
        <is>
          <t>Trên 3 Năm</t>
        </is>
      </c>
      <c r="L6149" s="8">
        <f>HYPERLINK("https://careerviet.vn/vi/tim-viec-lam/pr-kol-supervisor.35C663F8.html","Xem chi tiết")</f>
        <v/>
      </c>
    </row>
    <row r="6150">
      <c r="B6150" s="9" t="n">
        <v>6148</v>
      </c>
      <c r="C6150" s="10" t="inlineStr">
        <is>
          <t>Tập sự tiềm năng(Mới)</t>
        </is>
      </c>
      <c r="D6150" s="10" t="inlineStr">
        <is>
          <t>Ngân Hàng TMCP Tiên Phong (TPBank)</t>
        </is>
      </c>
      <c r="E6150" s="10" t="inlineStr">
        <is>
          <t>Lương:5 Tr - 6 Tr VND</t>
        </is>
      </c>
      <c r="F6150" s="10" t="inlineStr">
        <is>
          <t>Hà Nội</t>
        </is>
      </c>
      <c r="G6150" s="10" t="inlineStr">
        <is>
          <t>30-04-2026</t>
        </is>
      </c>
      <c r="H6150" s="10" t="inlineStr">
        <is>
          <t>30/04/2026</t>
        </is>
      </c>
      <c r="I6150" s="10" t="inlineStr">
        <is>
          <t>17/03/2026</t>
        </is>
      </c>
      <c r="J6150" s="10" t="inlineStr">
        <is>
          <t>Bán hàng / Kinh doanh, Dịch vụ khách hàng, Ngân hàng</t>
        </is>
      </c>
      <c r="K6150" s="10" t="inlineStr">
        <is>
          <t>N/A</t>
        </is>
      </c>
      <c r="L6150" s="11">
        <f>HYPERLINK("https://careerviet.vn/vi/tim-viec-lam/tap-su-tiem-nang.35C6CFEA.html","Xem chi tiết")</f>
        <v/>
      </c>
      <c r="M6150" s="10" t="n"/>
    </row>
    <row r="6151">
      <c r="B6151" s="7" t="n">
        <v>6149</v>
      </c>
      <c r="C6151" t="inlineStr">
        <is>
          <t>Kế Toán Thuế Tại Dĩ An(Mới)</t>
        </is>
      </c>
      <c r="D6151" t="inlineStr">
        <is>
          <t>Công Ty TNHH Tập Đoàn Rita Võ</t>
        </is>
      </c>
      <c r="E6151" t="inlineStr">
        <is>
          <t>Lương:10 Tr - 12 Tr VND</t>
        </is>
      </c>
      <c r="F6151" t="inlineStr">
        <is>
          <t>Bình Dương</t>
        </is>
      </c>
      <c r="G6151" t="inlineStr">
        <is>
          <t>21-04-2026</t>
        </is>
      </c>
      <c r="H6151" t="inlineStr">
        <is>
          <t>21/04/2026</t>
        </is>
      </c>
      <c r="I6151" t="inlineStr">
        <is>
          <t>17/03/2026</t>
        </is>
      </c>
      <c r="J6151" t="inlineStr">
        <is>
          <t>Kế toán / Kiểm toán</t>
        </is>
      </c>
      <c r="K6151" t="inlineStr">
        <is>
          <t>1 - 3 Năm</t>
        </is>
      </c>
      <c r="L6151" s="8">
        <f>HYPERLINK("https://careerviet.vn/vi/tim-viec-lam/ke-toan-thue-tai-di-an.35C6CFEE.html","Xem chi tiết")</f>
        <v/>
      </c>
    </row>
    <row r="6152">
      <c r="B6152" s="9" t="n">
        <v>6150</v>
      </c>
      <c r="C6152" s="10" t="inlineStr">
        <is>
          <t>[Lạng Sơn] - Trưởng nhóm Khách hàng Cá nhân</t>
        </is>
      </c>
      <c r="D6152" s="10" t="inlineStr">
        <is>
          <t>Ngân hàng TMCP Lộc Phát Việt Nam (LPBank)</t>
        </is>
      </c>
      <c r="E6152" s="10" t="inlineStr">
        <is>
          <t>Lương:Cạnh tranh</t>
        </is>
      </c>
      <c r="F6152" s="10" t="inlineStr">
        <is>
          <t>Lạng Sơn</t>
        </is>
      </c>
      <c r="G6152" s="10" t="inlineStr">
        <is>
          <t>5</t>
        </is>
      </c>
      <c r="H6152" s="10" t="inlineStr">
        <is>
          <t>22/03/2026</t>
        </is>
      </c>
      <c r="I6152" s="10" t="inlineStr">
        <is>
          <t>17/03/2026</t>
        </is>
      </c>
      <c r="J6152" s="10" t="inlineStr">
        <is>
          <t>Bán hàng / Kinh doanh, Kế toán / Kiểm toán, Ngân hàng</t>
        </is>
      </c>
      <c r="K6152" s="10" t="inlineStr">
        <is>
          <t>3 - 10 Năm</t>
        </is>
      </c>
      <c r="L6152" s="11">
        <f>HYPERLINK("https://careerviet.vn/vi/tim-viec-lam/lang-son-truong-nhom-khach-hang-ca-nhan.35C637A9.html","Xem chi tiết")</f>
        <v/>
      </c>
      <c r="M6152" s="10" t="n"/>
    </row>
    <row r="6153">
      <c r="B6153" s="7" t="n">
        <v>6151</v>
      </c>
      <c r="C6153" t="inlineStr">
        <is>
          <t>Chuyên viên Quản lý hiệu suất - Phòng Quản lý kinh doanh - Khối KHDN</t>
        </is>
      </c>
      <c r="D6153" t="inlineStr">
        <is>
          <t>Ngân hàng TMCP Đại Chúng Việt Nam - PVcomBank</t>
        </is>
      </c>
      <c r="E6153" t="inlineStr">
        <is>
          <t>Lương:10 Tr - 25 Tr VND</t>
        </is>
      </c>
      <c r="F6153" t="inlineStr">
        <is>
          <t>Hà Nội</t>
        </is>
      </c>
      <c r="G6153" t="inlineStr">
        <is>
          <t>5</t>
        </is>
      </c>
      <c r="H6153" t="inlineStr">
        <is>
          <t>22/03/2026</t>
        </is>
      </c>
      <c r="I6153" t="inlineStr">
        <is>
          <t>17/03/2026</t>
        </is>
      </c>
      <c r="J6153" t="inlineStr">
        <is>
          <t>Ngân hàng, Tài chính / Đầu tư</t>
        </is>
      </c>
      <c r="K6153" t="inlineStr">
        <is>
          <t>1 - 10 Năm</t>
        </is>
      </c>
      <c r="L6153" s="8">
        <f>HYPERLINK("https://careerviet.vn/vi/tim-viec-lam/chuyen-vien-quan-ly-hieu-suat-phong-quan-ly-kinh-doanh-khoi-khdn.35C66352.html","Xem chi tiết")</f>
        <v/>
      </c>
    </row>
    <row r="6154">
      <c r="B6154" s="9" t="n">
        <v>6152</v>
      </c>
      <c r="C6154" s="10" t="inlineStr">
        <is>
          <t>Agency Sales Executive</t>
        </is>
      </c>
      <c r="D6154" s="10" t="inlineStr">
        <is>
          <t>HEADWAY JSC</t>
        </is>
      </c>
      <c r="E6154" s="10" t="inlineStr">
        <is>
          <t>Lương:Cạnh tranh</t>
        </is>
      </c>
      <c r="F6154" s="10" t="inlineStr">
        <is>
          <t>Hồ Chí Minh</t>
        </is>
      </c>
      <c r="G6154" s="10" t="inlineStr">
        <is>
          <t>5</t>
        </is>
      </c>
      <c r="H6154" s="10" t="inlineStr">
        <is>
          <t>22/03/2026</t>
        </is>
      </c>
      <c r="I6154" s="10" t="inlineStr">
        <is>
          <t>17/03/2026</t>
        </is>
      </c>
      <c r="J6154" s="10" t="inlineStr">
        <is>
          <t>Bán hàng / Kinh doanh, Vận chuyển / Giao nhận / Kho vận, Xuất nhập khẩu</t>
        </is>
      </c>
      <c r="K6154" s="10" t="inlineStr">
        <is>
          <t>Trên 2 Năm</t>
        </is>
      </c>
      <c r="L6154" s="11">
        <f>HYPERLINK("https://careerviet.vn/vi/tim-viec-lam/agency-sales-executive.35C66421.html","Xem chi tiết")</f>
        <v/>
      </c>
      <c r="M6154" s="10" t="n"/>
    </row>
    <row r="6155">
      <c r="B6155" s="7" t="n">
        <v>6153</v>
      </c>
      <c r="C6155" t="inlineStr">
        <is>
          <t>Creative Graphic Designer(Mới)</t>
        </is>
      </c>
      <c r="D6155" t="inlineStr">
        <is>
          <t>PPP Laser Clinic Viet Nam</t>
        </is>
      </c>
      <c r="E6155" t="inlineStr">
        <is>
          <t>Lương:Cạnh tranh</t>
        </is>
      </c>
      <c r="F6155" t="inlineStr">
        <is>
          <t>Hồ Chí Minh</t>
        </is>
      </c>
      <c r="G6155" t="inlineStr">
        <is>
          <t>16-04-2026</t>
        </is>
      </c>
      <c r="H6155" t="inlineStr">
        <is>
          <t>16/04/2026</t>
        </is>
      </c>
      <c r="I6155" t="inlineStr">
        <is>
          <t>17/03/2026</t>
        </is>
      </c>
      <c r="J6155" t="inlineStr">
        <is>
          <t>Quảng cáo / Đối ngoại / Truyền Thông, Truyền hình / Báo chí / Biên tập, Mỹ thuật / Nghệ thuật / Thiết kế</t>
        </is>
      </c>
      <c r="K6155" t="inlineStr">
        <is>
          <t>N/A</t>
        </is>
      </c>
      <c r="L6155" s="8">
        <f>HYPERLINK("https://careerviet.vn/vi/tim-viec-lam/creative-graphic-designer.35C6CFF0.html","Xem chi tiết")</f>
        <v/>
      </c>
    </row>
    <row r="6156">
      <c r="B6156" s="9" t="n">
        <v>6154</v>
      </c>
      <c r="C6156" s="10" t="inlineStr">
        <is>
          <t>Nhân viên kế toán tài chính(Mới)</t>
        </is>
      </c>
      <c r="D6156" s="10" t="inlineStr">
        <is>
          <t>CÔNG TY CỔ PHẦN XÂY DỰNG VÀ ĐẦU TƯ TRUNG HẢI</t>
        </is>
      </c>
      <c r="E6156" s="10" t="inlineStr">
        <is>
          <t>Lương:18 Tr - 20 Tr VND</t>
        </is>
      </c>
      <c r="F6156" s="10" t="inlineStr">
        <is>
          <t>Hồ Chí Minh</t>
        </is>
      </c>
      <c r="G6156" s="10" t="inlineStr">
        <is>
          <t>30-04-2026</t>
        </is>
      </c>
      <c r="H6156" s="10" t="inlineStr">
        <is>
          <t>30/04/2026</t>
        </is>
      </c>
      <c r="I6156" s="10" t="inlineStr">
        <is>
          <t>17/03/2026</t>
        </is>
      </c>
      <c r="J6156" s="10" t="inlineStr">
        <is>
          <t>Xây dựng, Kế toán / Kiểm toán, Ngân hàng</t>
        </is>
      </c>
      <c r="K6156" s="10" t="inlineStr">
        <is>
          <t>3 - 5 Năm</t>
        </is>
      </c>
      <c r="L6156" s="11">
        <f>HYPERLINK("https://careerviet.vn/vi/tim-viec-lam/nhan-vien-ke-toan-tai-chinh.35C6CFE9.html","Xem chi tiết")</f>
        <v/>
      </c>
      <c r="M6156" s="10" t="n"/>
    </row>
    <row r="6157">
      <c r="B6157" s="7" t="n">
        <v>6155</v>
      </c>
      <c r="C6157" t="inlineStr">
        <is>
          <t>Quản lý cơ sở Phòng tập Pilates khu vực miền Bắc(Mới)</t>
        </is>
      </c>
      <c r="D6157" t="inlineStr">
        <is>
          <t>CÔNG TY CỔ PHẦN PHÁT TRIỂN DỊCH VỤ VÀ THƯƠNG MẠI QUỐC AN</t>
        </is>
      </c>
      <c r="E6157" t="inlineStr">
        <is>
          <t>Lương:13 Tr - 20 Tr VND</t>
        </is>
      </c>
      <c r="F6157" t="inlineStr">
        <is>
          <t>Hà Nội</t>
        </is>
      </c>
      <c r="G6157" t="inlineStr">
        <is>
          <t>17-04-2026</t>
        </is>
      </c>
      <c r="H6157" t="inlineStr">
        <is>
          <t>17/04/2026</t>
        </is>
      </c>
      <c r="I6157" t="inlineStr">
        <is>
          <t>17/03/2026</t>
        </is>
      </c>
      <c r="J6157" t="inlineStr">
        <is>
          <t>Bán hàng / Kinh doanh, Y tế / Chăm sóc sức khỏe / Thẩm mỹ / Làm đẹp, Quản lý điều hành</t>
        </is>
      </c>
      <c r="K6157" t="inlineStr">
        <is>
          <t>Trên 2 Năm</t>
        </is>
      </c>
      <c r="L6157" s="8">
        <f>HYPERLINK("https://careerviet.vn/vi/tim-viec-lam/quan-ly-co-so-phong-tap-pilates-khu-vuc-mien-bac.35C6CFE8.html","Xem chi tiết")</f>
        <v/>
      </c>
    </row>
    <row r="6158">
      <c r="B6158" s="9" t="n">
        <v>6156</v>
      </c>
      <c r="C6158" s="10" t="inlineStr">
        <is>
          <t>Brand Content Strategist(Mới)</t>
        </is>
      </c>
      <c r="D6158" s="10" t="inlineStr">
        <is>
          <t>PPP Laser Clinic Viet Nam</t>
        </is>
      </c>
      <c r="E6158" s="10" t="inlineStr">
        <is>
          <t>Lương:Cạnh tranh</t>
        </is>
      </c>
      <c r="F6158" s="10" t="inlineStr">
        <is>
          <t>Hồ Chí Minh</t>
        </is>
      </c>
      <c r="G6158" s="10" t="inlineStr">
        <is>
          <t>16-04-2026</t>
        </is>
      </c>
      <c r="H6158" s="10" t="inlineStr">
        <is>
          <t>16/04/2026</t>
        </is>
      </c>
      <c r="I6158" s="10" t="inlineStr">
        <is>
          <t>17/03/2026</t>
        </is>
      </c>
      <c r="J6158" s="10" t="inlineStr">
        <is>
          <t>Tiếp thị / Marketing, Quảng cáo / Đối ngoại / Truyền Thông, Tiếp thị trực tuyến</t>
        </is>
      </c>
      <c r="K6158" s="10" t="inlineStr">
        <is>
          <t>Trên 4 Năm</t>
        </is>
      </c>
      <c r="L6158" s="11">
        <f>HYPERLINK("https://careerviet.vn/vi/tim-viec-lam/brand-content-strategist.35C6CFE3.html","Xem chi tiết")</f>
        <v/>
      </c>
      <c r="M6158" s="10" t="n"/>
    </row>
    <row r="6159">
      <c r="B6159" s="7" t="n">
        <v>6157</v>
      </c>
      <c r="C6159" t="inlineStr">
        <is>
          <t>Thư ký sản xuất (Dầu Giây - Đồng Nai(Mới)</t>
        </is>
      </c>
      <c r="D6159" t="inlineStr">
        <is>
          <t>Techtronic Industries Vietnam Manufacturing Company Limited</t>
        </is>
      </c>
      <c r="E6159" t="inlineStr">
        <is>
          <t>Lương:Cạnh tranh</t>
        </is>
      </c>
      <c r="F6159" t="inlineStr">
        <is>
          <t>Đồng Nai</t>
        </is>
      </c>
      <c r="G6159" t="inlineStr">
        <is>
          <t>16-04-2026</t>
        </is>
      </c>
      <c r="H6159" t="inlineStr">
        <is>
          <t>16/04/2026</t>
        </is>
      </c>
      <c r="I6159" t="inlineStr">
        <is>
          <t>17/03/2026</t>
        </is>
      </c>
      <c r="J6159" t="inlineStr">
        <is>
          <t>Hành chính / Thư ký, Nhân sự, Sản xuất / Vận hành sản xuất</t>
        </is>
      </c>
      <c r="K6159" t="inlineStr">
        <is>
          <t>2 - 3 Năm</t>
        </is>
      </c>
      <c r="L6159" s="8">
        <f>HYPERLINK("https://careerviet.vn/vi/tim-viec-lam/thu-ky-san-xuat-dau-giay-dong-nai.35C6CFE6.html","Xem chi tiết")</f>
        <v/>
      </c>
    </row>
    <row r="6160">
      <c r="B6160" s="9" t="n">
        <v>6158</v>
      </c>
      <c r="C6160" s="10" t="inlineStr">
        <is>
          <t>Digital Marketing Assistant (Intern)(Mới)</t>
        </is>
      </c>
      <c r="D6160" s="10" t="inlineStr">
        <is>
          <t>PPP Laser Clinic Viet Nam</t>
        </is>
      </c>
      <c r="E6160" s="10" t="inlineStr">
        <is>
          <t>Lương:Cạnh tranh</t>
        </is>
      </c>
      <c r="F6160" s="10" t="inlineStr">
        <is>
          <t>Hồ Chí Minh</t>
        </is>
      </c>
      <c r="G6160" s="10" t="inlineStr">
        <is>
          <t>16-04-2026</t>
        </is>
      </c>
      <c r="H6160" s="10" t="inlineStr">
        <is>
          <t>16/04/2026</t>
        </is>
      </c>
      <c r="I6160" s="10" t="inlineStr">
        <is>
          <t>17/03/2026</t>
        </is>
      </c>
      <c r="J6160" s="10" t="inlineStr">
        <is>
          <t>Tiếp thị / Marketing, Quảng cáo / Đối ngoại / Truyền Thông, Tiếp thị trực tuyến</t>
        </is>
      </c>
      <c r="K6160" s="10" t="inlineStr">
        <is>
          <t>N/A</t>
        </is>
      </c>
      <c r="L6160" s="11">
        <f>HYPERLINK("https://careerviet.vn/vi/tim-viec-lam/digital-marketing-assistant-intern.35C6CFDF.html","Xem chi tiết")</f>
        <v/>
      </c>
      <c r="M6160" s="10" t="n"/>
    </row>
    <row r="6161">
      <c r="B6161" s="7" t="n">
        <v>6159</v>
      </c>
      <c r="C6161" t="inlineStr">
        <is>
          <t>NHÂN VIÊN KẾ HOẠCH BẢO TRÌ (VSIP II)(Mới)</t>
        </is>
      </c>
      <c r="D6161" t="inlineStr">
        <is>
          <t>URC Vietnam Co., Ltd.</t>
        </is>
      </c>
      <c r="E6161" t="inlineStr">
        <is>
          <t>Lương:Cạnh tranh</t>
        </is>
      </c>
      <c r="F6161" t="inlineStr">
        <is>
          <t>Bình Dương</t>
        </is>
      </c>
      <c r="G6161" t="inlineStr">
        <is>
          <t>30-04-2026</t>
        </is>
      </c>
      <c r="H6161" t="inlineStr">
        <is>
          <t>30/04/2026</t>
        </is>
      </c>
      <c r="I6161" t="inlineStr">
        <is>
          <t>17/03/2026</t>
        </is>
      </c>
      <c r="J6161" t="inlineStr">
        <is>
          <t>Cơ khí / Ô tô / Tự động hóa, Điện / Điện tử / Điện lạnh / Điện công nghiệp</t>
        </is>
      </c>
      <c r="K6161" t="inlineStr">
        <is>
          <t>2 - 3 Năm</t>
        </is>
      </c>
      <c r="L6161" s="8">
        <f>HYPERLINK("https://careerviet.vn/vi/tim-viec-lam/nhan-vien-ke-hoach-bao-tri-vsip-ii.35C6CFBF.html","Xem chi tiết")</f>
        <v/>
      </c>
    </row>
    <row r="6162">
      <c r="B6162" s="9" t="n">
        <v>6160</v>
      </c>
      <c r="C6162" s="10" t="inlineStr">
        <is>
          <t>Nhân Viên Vận Hành Máy</t>
        </is>
      </c>
      <c r="D6162" s="10" t="inlineStr">
        <is>
          <t>BETRIMEX - Công Ty Cổ Phần Xuất Nhập Khẩu Bến Tre</t>
        </is>
      </c>
      <c r="E6162" s="10" t="inlineStr">
        <is>
          <t>Lương:7 Tr - 9 Tr VND</t>
        </is>
      </c>
      <c r="F6162" s="10" t="inlineStr">
        <is>
          <t>Bến Tre</t>
        </is>
      </c>
      <c r="G6162" s="10" t="inlineStr">
        <is>
          <t>5</t>
        </is>
      </c>
      <c r="H6162" s="10" t="inlineStr">
        <is>
          <t>22/03/2026</t>
        </is>
      </c>
      <c r="I6162" s="10" t="inlineStr">
        <is>
          <t>17/03/2026</t>
        </is>
      </c>
      <c r="J6162" s="10" t="inlineStr">
        <is>
          <t>Cơ khí / Ô tô / Tự động hóa, Điện / Điện tử / Điện lạnh / Điện công nghiệp, Sản xuất / Vận hành sản xuất</t>
        </is>
      </c>
      <c r="K6162" s="10" t="inlineStr">
        <is>
          <t>N/A</t>
        </is>
      </c>
      <c r="L6162" s="11">
        <f>HYPERLINK("https://careerviet.vn/vi/tim-viec-lam/nhan-vien-van-hanh-may.35C66415.html","Xem chi tiết")</f>
        <v/>
      </c>
      <c r="M6162" s="10" t="n"/>
    </row>
    <row r="6163">
      <c r="B6163" s="7" t="n">
        <v>6161</v>
      </c>
      <c r="C6163" t="inlineStr">
        <is>
          <t>Nhân viên Tiếp thị - Vietravel Hà Nội(Mới)</t>
        </is>
      </c>
      <c r="D6163" t="inlineStr">
        <is>
          <t>Công Ty Cổ Phần Du Lịch Vietravel</t>
        </is>
      </c>
      <c r="E6163" t="inlineStr">
        <is>
          <t>Lương:Cạnh tranh</t>
        </is>
      </c>
      <c r="F6163" t="inlineStr">
        <is>
          <t>Hà Nội</t>
        </is>
      </c>
      <c r="G6163" t="inlineStr">
        <is>
          <t>29-04-2026</t>
        </is>
      </c>
      <c r="H6163" t="inlineStr">
        <is>
          <t>29/04/2026</t>
        </is>
      </c>
      <c r="I6163" t="inlineStr">
        <is>
          <t>17/03/2026</t>
        </is>
      </c>
      <c r="J6163" t="inlineStr">
        <is>
          <t>Dịch vụ khách hàng, Du lịch, Quảng cáo / Đối ngoại / Truyền Thông</t>
        </is>
      </c>
      <c r="K6163" t="inlineStr">
        <is>
          <t>Trên 3 Năm</t>
        </is>
      </c>
      <c r="L6163" s="8">
        <f>HYPERLINK("https://careerviet.vn/vi/tim-viec-lam/nhan-vien-tiep-thi-vietravel-ha-noi.35C6CFE7.html","Xem chi tiết")</f>
        <v/>
      </c>
    </row>
    <row r="6164">
      <c r="B6164" s="9" t="n">
        <v>6162</v>
      </c>
      <c r="C6164" s="10" t="inlineStr">
        <is>
          <t>Digital Influencer Marketing (Intern)(Mới)</t>
        </is>
      </c>
      <c r="D6164" s="10" t="inlineStr">
        <is>
          <t>PPP Laser Clinic Viet Nam</t>
        </is>
      </c>
      <c r="E6164" s="10" t="inlineStr">
        <is>
          <t>Lương:Cạnh tranh</t>
        </is>
      </c>
      <c r="F6164" s="10" t="inlineStr">
        <is>
          <t>Hồ Chí Minh</t>
        </is>
      </c>
      <c r="G6164" s="10" t="inlineStr">
        <is>
          <t>16-04-2026</t>
        </is>
      </c>
      <c r="H6164" s="10" t="inlineStr">
        <is>
          <t>16/04/2026</t>
        </is>
      </c>
      <c r="I6164" s="10" t="inlineStr">
        <is>
          <t>17/03/2026</t>
        </is>
      </c>
      <c r="J6164" s="10" t="inlineStr">
        <is>
          <t>Tiếp thị / Marketing, Quảng cáo / Đối ngoại / Truyền Thông, Tiếp thị trực tuyến</t>
        </is>
      </c>
      <c r="K6164" s="10" t="inlineStr">
        <is>
          <t>N/A</t>
        </is>
      </c>
      <c r="L6164" s="11">
        <f>HYPERLINK("https://careerviet.vn/vi/tim-viec-lam/digital-influencer-marketing-intern.35C6CFD6.html","Xem chi tiết")</f>
        <v/>
      </c>
      <c r="M6164" s="10" t="n"/>
    </row>
    <row r="6165">
      <c r="B6165" s="7" t="n">
        <v>6163</v>
      </c>
      <c r="C6165" t="inlineStr">
        <is>
          <t>KẾ TOÁN CÔNG NỢ(Mới)</t>
        </is>
      </c>
      <c r="D6165" t="inlineStr">
        <is>
          <t>CÔNG TY CỔ PHẦN GIẢI PHÁP GENE - GENE SOLUTIONS</t>
        </is>
      </c>
      <c r="E6165" t="inlineStr">
        <is>
          <t>Lương:Cạnh tranh</t>
        </is>
      </c>
      <c r="F6165" t="inlineStr">
        <is>
          <t>Hồ Chí Minh</t>
        </is>
      </c>
      <c r="G6165" t="inlineStr">
        <is>
          <t>16-04-2026</t>
        </is>
      </c>
      <c r="H6165" t="inlineStr">
        <is>
          <t>16/04/2026</t>
        </is>
      </c>
      <c r="I6165" t="inlineStr">
        <is>
          <t>17/03/2026</t>
        </is>
      </c>
      <c r="J6165" t="inlineStr">
        <is>
          <t>Kế toán / Kiểm toán</t>
        </is>
      </c>
      <c r="K6165" t="inlineStr">
        <is>
          <t>1 - 2 Năm</t>
        </is>
      </c>
      <c r="L6165" s="8">
        <f>HYPERLINK("https://careerviet.vn/vi/tim-viec-lam/ke-toan-cong-no.35C6CFE2.html","Xem chi tiết")</f>
        <v/>
      </c>
    </row>
    <row r="6166">
      <c r="B6166" s="9" t="n">
        <v>6164</v>
      </c>
      <c r="C6166" s="10" t="inlineStr">
        <is>
          <t>Nhân Viên Kỹ Thuật (Kỹ Sư Y Sinh) - Đi làm ngay(Mới)</t>
        </is>
      </c>
      <c r="D6166" s="10" t="inlineStr">
        <is>
          <t>CÔNG TY CỔ PHẦN THƯƠNG MẠI &amp; DỊCH VỤ VIỆT CAN</t>
        </is>
      </c>
      <c r="E6166" s="10" t="inlineStr">
        <is>
          <t>Lương:Cạnh tranh</t>
        </is>
      </c>
      <c r="F6166" s="10" t="inlineStr">
        <is>
          <t>Hà Nội</t>
        </is>
      </c>
      <c r="G6166" s="10" t="inlineStr">
        <is>
          <t>17-04-2026</t>
        </is>
      </c>
      <c r="H6166" s="10" t="inlineStr">
        <is>
          <t>17/04/2026</t>
        </is>
      </c>
      <c r="I6166" s="10" t="inlineStr">
        <is>
          <t>17/03/2026</t>
        </is>
      </c>
      <c r="J6166" s="10" t="inlineStr">
        <is>
          <t>Cơ khí / Ô tô / Tự động hóa, Bảo trì / Sửa chữa, Điện / Điện tử / Điện lạnh / Điện công nghiệp</t>
        </is>
      </c>
      <c r="K6166" s="10" t="inlineStr">
        <is>
          <t>2 - 3 Năm</t>
        </is>
      </c>
      <c r="L6166" s="11">
        <f>HYPERLINK("https://careerviet.vn/vi/tim-viec-lam/nhan-vien-ky-thuat-ky-su-y-sinh-di-lam-ngay.35C6CF8D.html","Xem chi tiết")</f>
        <v/>
      </c>
      <c r="M6166" s="10" t="n"/>
    </row>
    <row r="6167">
      <c r="B6167" s="7" t="n">
        <v>6165</v>
      </c>
      <c r="C6167" t="inlineStr">
        <is>
          <t>Marketing Executive(Mới)</t>
        </is>
      </c>
      <c r="D6167" t="inlineStr">
        <is>
          <t>Công ty Cổ phần Công nghiệp &amp; Đầu tư An Phát</t>
        </is>
      </c>
      <c r="E6167" t="inlineStr">
        <is>
          <t>Lương:12 Tr - 15 Tr VND</t>
        </is>
      </c>
      <c r="F6167" t="inlineStr">
        <is>
          <t>Hà Nội</t>
        </is>
      </c>
      <c r="G6167" t="inlineStr">
        <is>
          <t>17-04-2026</t>
        </is>
      </c>
      <c r="H6167" t="inlineStr">
        <is>
          <t>17/04/2026</t>
        </is>
      </c>
      <c r="I6167" t="inlineStr">
        <is>
          <t>17/03/2026</t>
        </is>
      </c>
      <c r="J6167" t="inlineStr">
        <is>
          <t>Tiếp thị / Marketing, Bán Hàng Kỹ Thuật, Cơ khí / Ô tô / Tự động hóa</t>
        </is>
      </c>
      <c r="K6167" t="inlineStr">
        <is>
          <t>1 - 3 Năm</t>
        </is>
      </c>
      <c r="L6167" s="8">
        <f>HYPERLINK("https://careerviet.vn/vi/tim-viec-lam/marketing-executive.35C6CFDE.html","Xem chi tiết")</f>
        <v/>
      </c>
    </row>
    <row r="6168">
      <c r="B6168" s="9" t="n">
        <v>6166</v>
      </c>
      <c r="C6168" s="10" t="inlineStr">
        <is>
          <t>Nhân Viên Xuất Nhập Khẩu và Hành Chính</t>
        </is>
      </c>
      <c r="D6168" s="10" t="inlineStr">
        <is>
          <t>Bảo mật</t>
        </is>
      </c>
      <c r="E6168" s="10" t="inlineStr">
        <is>
          <t>Lương:Trên 13 Tr VND</t>
        </is>
      </c>
      <c r="F6168" s="10" t="inlineStr">
        <is>
          <t>Bà Rịa - Vũng Tàu</t>
        </is>
      </c>
      <c r="G6168" s="10" t="inlineStr">
        <is>
          <t>11-04-2026</t>
        </is>
      </c>
      <c r="H6168" s="10" t="inlineStr">
        <is>
          <t>11/04/2026</t>
        </is>
      </c>
      <c r="I6168" s="10" t="inlineStr">
        <is>
          <t>17/03/2026</t>
        </is>
      </c>
      <c r="J6168" s="10" t="inlineStr">
        <is>
          <t>Vận chuyển / Giao nhận / Kho vận, Xuất nhập khẩu, Hành chính / Thư ký</t>
        </is>
      </c>
      <c r="K6168" s="10" t="inlineStr">
        <is>
          <t>1 - 2 Năm</t>
        </is>
      </c>
      <c r="L6168" s="11">
        <f>HYPERLINK("https://careerviet.vn/vi/tim-viec-lam/nhan-vien-xuat-nhap-khau-va-hanh-chinh.35C6C315.html","Xem chi tiết")</f>
        <v/>
      </c>
      <c r="M6168" s="10" t="n"/>
    </row>
    <row r="6169">
      <c r="B6169" s="7" t="n">
        <v>6167</v>
      </c>
      <c r="C6169" t="inlineStr">
        <is>
          <t>Quản lý cửa hàng(Mới)</t>
        </is>
      </c>
      <c r="D6169" t="inlineStr">
        <is>
          <t>Công ty TNHH PHD</t>
        </is>
      </c>
      <c r="E6169" t="inlineStr">
        <is>
          <t>Lương:10 Tr - 15 Tr VND</t>
        </is>
      </c>
      <c r="F6169" t="inlineStr">
        <is>
          <t>Hà Nội</t>
        </is>
      </c>
      <c r="G6169" t="inlineStr">
        <is>
          <t>30-04-2026</t>
        </is>
      </c>
      <c r="H6169" t="inlineStr">
        <is>
          <t>30/04/2026</t>
        </is>
      </c>
      <c r="I6169" t="inlineStr">
        <is>
          <t>17/03/2026</t>
        </is>
      </c>
      <c r="J6169" t="inlineStr">
        <is>
          <t>Bán lẻ / Bán sỉ, Bán hàng / Kinh doanh, Nhà hàng / Khách sạn</t>
        </is>
      </c>
      <c r="K6169" t="inlineStr">
        <is>
          <t>1 - 2 Năm</t>
        </is>
      </c>
      <c r="L6169" s="8">
        <f>HYPERLINK("https://careerviet.vn/vi/tim-viec-lam/quan-ly-cua-hang.35C6CFD5.html","Xem chi tiết")</f>
        <v/>
      </c>
    </row>
    <row r="6170">
      <c r="B6170" s="9" t="n">
        <v>6168</v>
      </c>
      <c r="C6170" s="10" t="inlineStr">
        <is>
          <t>[HÀ NỘI] Nhân viên Pháp lý Thu hồi công nợ(Mới)</t>
        </is>
      </c>
      <c r="D6170" s="10" t="inlineStr">
        <is>
          <t>Công ty Cho thuê Tài chính TNHH MTV Quốc tế Chailease - CN Hà Nội</t>
        </is>
      </c>
      <c r="E6170" s="10" t="inlineStr">
        <is>
          <t>Lương:Cạnh tranh</t>
        </is>
      </c>
      <c r="F6170" s="10" t="inlineStr">
        <is>
          <t>Hà Nội</t>
        </is>
      </c>
      <c r="G6170" s="10" t="inlineStr">
        <is>
          <t>30-04-2026</t>
        </is>
      </c>
      <c r="H6170" s="10" t="inlineStr">
        <is>
          <t>30/04/2026</t>
        </is>
      </c>
      <c r="I6170" s="10" t="inlineStr">
        <is>
          <t>17/03/2026</t>
        </is>
      </c>
      <c r="J6170" s="10" t="inlineStr">
        <is>
          <t>Luật / Pháp lý, Ngân hàng, Tài chính / Đầu tư</t>
        </is>
      </c>
      <c r="K6170" s="10" t="inlineStr">
        <is>
          <t>1 - 2 Năm</t>
        </is>
      </c>
      <c r="L6170" s="11">
        <f>HYPERLINK("https://careerviet.vn/vi/tim-viec-lam/ha-noi-nhan-vien-phap-ly-thu-hoi-cong-no.35C6CFEB.html","Xem chi tiết")</f>
        <v/>
      </c>
      <c r="M6170" s="10" t="n"/>
    </row>
    <row r="6171">
      <c r="B6171" s="7" t="n">
        <v>6169</v>
      </c>
      <c r="C6171" t="inlineStr">
        <is>
          <t>Nhân viên Thu mua Tiếng Trung(Mới)</t>
        </is>
      </c>
      <c r="D6171" t="inlineStr">
        <is>
          <t>Công ty TNHH Bình Việt Đức (BIVID)</t>
        </is>
      </c>
      <c r="E6171" t="inlineStr">
        <is>
          <t>Lương:10 Tr - 16 Tr VND</t>
        </is>
      </c>
      <c r="F6171" t="inlineStr">
        <is>
          <t>Hồ Chí Minh</t>
        </is>
      </c>
      <c r="G6171" t="inlineStr">
        <is>
          <t>30-04-2026</t>
        </is>
      </c>
      <c r="H6171" t="inlineStr">
        <is>
          <t>30/04/2026</t>
        </is>
      </c>
      <c r="I6171" t="inlineStr">
        <is>
          <t>17/03/2026</t>
        </is>
      </c>
      <c r="J6171" t="inlineStr">
        <is>
          <t>Dược phẩm/ Hóa Mỹ Phẩm, Thu mua / Vật tư, Y tế / Chăm sóc sức khỏe / Thẩm mỹ / Làm đẹp</t>
        </is>
      </c>
      <c r="K6171" t="inlineStr">
        <is>
          <t>2 - 3 Năm</t>
        </is>
      </c>
      <c r="L6171" s="8">
        <f>HYPERLINK("https://careerviet.vn/vi/tim-viec-lam/nhan-vien-thu-mua-tieng-trung.35C6CFD7.html","Xem chi tiết")</f>
        <v/>
      </c>
    </row>
    <row r="6172">
      <c r="B6172" s="9" t="n">
        <v>6170</v>
      </c>
      <c r="C6172" s="10" t="inlineStr">
        <is>
          <t>Nhân viên Kế toán Tổng hợp(Mới)</t>
        </is>
      </c>
      <c r="D6172" s="10" t="inlineStr">
        <is>
          <t>Công Ty Cổ Phần Du Lịch Vietravel</t>
        </is>
      </c>
      <c r="E6172" s="10" t="inlineStr">
        <is>
          <t>Lương:Cạnh tranh</t>
        </is>
      </c>
      <c r="F6172" s="10" t="inlineStr">
        <is>
          <t>Hà Nội</t>
        </is>
      </c>
      <c r="G6172" s="10" t="inlineStr">
        <is>
          <t>29-04-2026</t>
        </is>
      </c>
      <c r="H6172" s="10" t="inlineStr">
        <is>
          <t>29/04/2026</t>
        </is>
      </c>
      <c r="I6172" s="10" t="inlineStr">
        <is>
          <t>17/03/2026</t>
        </is>
      </c>
      <c r="J6172" s="10" t="inlineStr">
        <is>
          <t>Kế toán / Kiểm toán</t>
        </is>
      </c>
      <c r="K6172" s="10" t="inlineStr">
        <is>
          <t>3 - 4 Năm</t>
        </is>
      </c>
      <c r="L6172" s="11">
        <f>HYPERLINK("https://careerviet.vn/vi/tim-viec-lam/nhan-vien-ke-toan-tong-hop.35C6CFEF.html","Xem chi tiết")</f>
        <v/>
      </c>
      <c r="M6172" s="10" t="n"/>
    </row>
    <row r="6173">
      <c r="B6173" s="7" t="n">
        <v>6171</v>
      </c>
      <c r="C6173" t="inlineStr">
        <is>
          <t>Trợ lý Công vụ (QS)(Mới)</t>
        </is>
      </c>
      <c r="D6173" t="inlineStr">
        <is>
          <t>Công ty TNHH tư vấn công trình xây dựng KCIS</t>
        </is>
      </c>
      <c r="E6173" t="inlineStr">
        <is>
          <t>Lương:Cạnh tranh</t>
        </is>
      </c>
      <c r="F6173" t="inlineStr">
        <is>
          <t>Hồ Chí Minh</t>
        </is>
      </c>
      <c r="G6173" t="inlineStr">
        <is>
          <t>12-04-2026</t>
        </is>
      </c>
      <c r="H6173" t="inlineStr">
        <is>
          <t>12/04/2026</t>
        </is>
      </c>
      <c r="I6173" t="inlineStr">
        <is>
          <t>17/03/2026</t>
        </is>
      </c>
      <c r="J6173" t="inlineStr">
        <is>
          <t>Xây dựng, Kiến trúc, Cơ khí / Ô tô / Tự động hóa</t>
        </is>
      </c>
      <c r="K6173" t="inlineStr">
        <is>
          <t>N/A</t>
        </is>
      </c>
      <c r="L6173" s="8">
        <f>HYPERLINK("https://careerviet.vn/vi/tim-viec-lam/tro-ly-cong-vu-qs.35C6C7B5.html","Xem chi tiết")</f>
        <v/>
      </c>
    </row>
    <row r="6174">
      <c r="B6174" s="9" t="n">
        <v>6172</v>
      </c>
      <c r="C6174" s="10" t="inlineStr">
        <is>
          <t>NHÂN VIÊN VĂN PHÒNG SẢN XUẤT [Đi ca ngày đêm](Mới)</t>
        </is>
      </c>
      <c r="D6174" s="10" t="inlineStr">
        <is>
          <t>CÔNG TY TNHH CRYSTAL ELEGANCE TEXTILES VIỆT NAM</t>
        </is>
      </c>
      <c r="E6174" s="10" t="inlineStr">
        <is>
          <t>Lương:7 Tr - 11 Tr VND</t>
        </is>
      </c>
      <c r="F6174" s="10" t="inlineStr">
        <is>
          <t>Bình Dương</t>
        </is>
      </c>
      <c r="G6174" s="10" t="inlineStr">
        <is>
          <t>09-05-2026</t>
        </is>
      </c>
      <c r="H6174" s="10" t="inlineStr">
        <is>
          <t>09/05/2026</t>
        </is>
      </c>
      <c r="I6174" s="10" t="inlineStr">
        <is>
          <t>17/03/2026</t>
        </is>
      </c>
      <c r="J6174" s="10" t="inlineStr">
        <is>
          <t>Thống kê, Hóa học, Sản xuất / Vận hành sản xuất</t>
        </is>
      </c>
      <c r="K6174" s="10" t="inlineStr">
        <is>
          <t>N/A</t>
        </is>
      </c>
      <c r="L6174" s="11">
        <f>HYPERLINK("https://careerviet.vn/vi/tim-viec-lam/nhan-vien-van-phong-san-xuat-di-ca-ngay-dem.35C6CFC5.html","Xem chi tiết")</f>
        <v/>
      </c>
      <c r="M6174" s="10" t="n"/>
    </row>
    <row r="6175">
      <c r="B6175" s="7" t="n">
        <v>6173</v>
      </c>
      <c r="C6175" t="inlineStr">
        <is>
          <t>Production Training Specialist(Mới)</t>
        </is>
      </c>
      <c r="D6175" t="inlineStr">
        <is>
          <t>Techtronic Industries Vietnam Manufacturing Company Limited</t>
        </is>
      </c>
      <c r="E6175" t="inlineStr">
        <is>
          <t>Lương:Cạnh tranh</t>
        </is>
      </c>
      <c r="F6175" t="inlineStr">
        <is>
          <t>Hồ Chí Minh</t>
        </is>
      </c>
      <c r="G6175" t="inlineStr">
        <is>
          <t>27-04-2026</t>
        </is>
      </c>
      <c r="H6175" t="inlineStr">
        <is>
          <t>27/04/2026</t>
        </is>
      </c>
      <c r="I6175" t="inlineStr">
        <is>
          <t>17/03/2026</t>
        </is>
      </c>
      <c r="J6175" t="inlineStr">
        <is>
          <t>Nhân sự, Sản xuất / Vận hành sản xuất</t>
        </is>
      </c>
      <c r="K6175" t="inlineStr">
        <is>
          <t>3 - 5 Năm</t>
        </is>
      </c>
      <c r="L6175" s="8">
        <f>HYPERLINK("https://careerviet.vn/vi/tim-viec-lam/production-training-specialist.35C6CFDB.html","Xem chi tiết")</f>
        <v/>
      </c>
    </row>
    <row r="6176">
      <c r="B6176" s="9" t="n">
        <v>6174</v>
      </c>
      <c r="C6176" s="10" t="inlineStr">
        <is>
          <t>Phó Phòng Pháp Chế(Mới)</t>
        </is>
      </c>
      <c r="D6176" s="10" t="inlineStr">
        <is>
          <t>CÔNG TY CỔ PHẦN GIẢI PHÁP THANH TOÁN VIỆT TÍN</t>
        </is>
      </c>
      <c r="E6176" s="10" t="inlineStr">
        <is>
          <t>Lương:15 Tr - 20 Tr VND</t>
        </is>
      </c>
      <c r="F6176" s="10" t="inlineStr">
        <is>
          <t>Hồ Chí Minh</t>
        </is>
      </c>
      <c r="G6176" s="10" t="inlineStr">
        <is>
          <t>16-04-2026</t>
        </is>
      </c>
      <c r="H6176" s="10" t="inlineStr">
        <is>
          <t>16/04/2026</t>
        </is>
      </c>
      <c r="I6176" s="10" t="inlineStr">
        <is>
          <t>17/03/2026</t>
        </is>
      </c>
      <c r="J6176" s="10" t="inlineStr">
        <is>
          <t>Ngành khác</t>
        </is>
      </c>
      <c r="K6176" s="10" t="inlineStr">
        <is>
          <t>2 - 3 Năm</t>
        </is>
      </c>
      <c r="L6176" s="11">
        <f>HYPERLINK("https://careerviet.vn/vi/tim-viec-lam/pho-phong-phap-che.35C6CFD1.html","Xem chi tiết")</f>
        <v/>
      </c>
      <c r="M6176" s="10" t="n"/>
    </row>
    <row r="6177">
      <c r="B6177" s="7" t="n">
        <v>6175</v>
      </c>
      <c r="C6177" t="inlineStr">
        <is>
          <t>Thợ Gia Công Cơ Khí(Mới)</t>
        </is>
      </c>
      <c r="D6177" t="inlineStr">
        <is>
          <t>CÔNG TY TNHH THƯƠNG MẠI DỊCH VỤ TECHNOJET</t>
        </is>
      </c>
      <c r="E6177" t="inlineStr">
        <is>
          <t>Lương:10 Tr - 25 Tr VND</t>
        </is>
      </c>
      <c r="F6177" t="inlineStr">
        <is>
          <t>Hồ Chí Minh</t>
        </is>
      </c>
      <c r="G6177" t="inlineStr">
        <is>
          <t>16-04-2026</t>
        </is>
      </c>
      <c r="H6177" t="inlineStr">
        <is>
          <t>16/04/2026</t>
        </is>
      </c>
      <c r="I6177" t="inlineStr">
        <is>
          <t>17/03/2026</t>
        </is>
      </c>
      <c r="J6177" t="inlineStr">
        <is>
          <t>Cơ khí / Ô tô / Tự động hóa, Điện / Điện tử / Điện lạnh / Điện công nghiệp, Bảo trì / Sửa chữa</t>
        </is>
      </c>
      <c r="K6177" t="inlineStr">
        <is>
          <t>3 - 5 Năm</t>
        </is>
      </c>
      <c r="L6177" s="8">
        <f>HYPERLINK("https://careerviet.vn/vi/tim-viec-lam/tho-gia-cong-co-khi.35C6B3B3.html","Xem chi tiết")</f>
        <v/>
      </c>
    </row>
    <row r="6178">
      <c r="B6178" s="9" t="n">
        <v>6176</v>
      </c>
      <c r="C6178" s="10" t="inlineStr">
        <is>
          <t>Affiliate Marketing (Intern)(Mới)</t>
        </is>
      </c>
      <c r="D6178" s="10" t="inlineStr">
        <is>
          <t>PPP Laser Clinic Viet Nam</t>
        </is>
      </c>
      <c r="E6178" s="10" t="inlineStr">
        <is>
          <t>Lương:Cạnh tranh</t>
        </is>
      </c>
      <c r="F6178" s="10" t="inlineStr">
        <is>
          <t>Hồ Chí Minh</t>
        </is>
      </c>
      <c r="G6178" s="10" t="inlineStr">
        <is>
          <t>16-04-2026</t>
        </is>
      </c>
      <c r="H6178" s="10" t="inlineStr">
        <is>
          <t>16/04/2026</t>
        </is>
      </c>
      <c r="I6178" s="10" t="inlineStr">
        <is>
          <t>17/03/2026</t>
        </is>
      </c>
      <c r="J6178" s="10" t="inlineStr">
        <is>
          <t>Tiếp thị / Marketing, Tiếp thị trực tuyến, Mới tốt nghiệp / Thực tập</t>
        </is>
      </c>
      <c r="K6178" s="10" t="inlineStr">
        <is>
          <t>N/A</t>
        </is>
      </c>
      <c r="L6178" s="11">
        <f>HYPERLINK("https://careerviet.vn/vi/tim-viec-lam/affiliate-marketing-intern.35C6CFD3.html","Xem chi tiết")</f>
        <v/>
      </c>
      <c r="M6178" s="10" t="n"/>
    </row>
    <row r="6179">
      <c r="B6179" s="7" t="n">
        <v>6177</v>
      </c>
      <c r="C6179" t="inlineStr">
        <is>
          <t>KỸ SƯ GIÁM SÁT CƠ ĐIỆN(Mới)</t>
        </is>
      </c>
      <c r="D6179" t="inlineStr">
        <is>
          <t>Công ty TNHH tư vấn công trình xây dựng KCIS</t>
        </is>
      </c>
      <c r="E6179" t="inlineStr">
        <is>
          <t>Lương:13 Tr - 16 Tr VND</t>
        </is>
      </c>
      <c r="F6179" t="inlineStr">
        <is>
          <t>Hưng Yên</t>
        </is>
      </c>
      <c r="G6179" t="inlineStr">
        <is>
          <t>26-03-2026</t>
        </is>
      </c>
      <c r="H6179" t="inlineStr">
        <is>
          <t>26/03/2026</t>
        </is>
      </c>
      <c r="I6179" t="inlineStr">
        <is>
          <t>17/03/2026</t>
        </is>
      </c>
      <c r="J6179" t="inlineStr">
        <is>
          <t>Xây dựng</t>
        </is>
      </c>
      <c r="K6179" t="inlineStr">
        <is>
          <t>Lên đến 2 Năm</t>
        </is>
      </c>
      <c r="L6179" s="8">
        <f>HYPERLINK("https://careerviet.vn/vi/tim-viec-lam/ky-su-giam-sat-co-dien.35C69BFC.html","Xem chi tiết")</f>
        <v/>
      </c>
    </row>
    <row r="6180">
      <c r="B6180" s="9" t="n">
        <v>6178</v>
      </c>
      <c r="C6180" s="10" t="inlineStr">
        <is>
          <t>[Phú Nhuận, Q.2] Thư ký Y khoa Phòng khám(Mới)</t>
        </is>
      </c>
      <c r="D6180" s="10" t="inlineStr">
        <is>
          <t>CÔNG TY CP PHÁT TRIỂN Y TẾ VICTORIA HEALTHCARE</t>
        </is>
      </c>
      <c r="E6180" s="10" t="inlineStr">
        <is>
          <t>Lương:8 Tr - 9 Tr VND</t>
        </is>
      </c>
      <c r="F6180" s="10" t="inlineStr">
        <is>
          <t>Hồ Chí Minh</t>
        </is>
      </c>
      <c r="G6180" s="10" t="inlineStr">
        <is>
          <t>31-03-2026</t>
        </is>
      </c>
      <c r="H6180" s="10" t="inlineStr">
        <is>
          <t>31/03/2026</t>
        </is>
      </c>
      <c r="I6180" s="10" t="inlineStr">
        <is>
          <t>17/03/2026</t>
        </is>
      </c>
      <c r="J6180" s="10" t="inlineStr">
        <is>
          <t>Y tế / Chăm sóc sức khỏe / Thẩm mỹ / Làm đẹp, Dịch vụ khách hàng</t>
        </is>
      </c>
      <c r="K6180" s="10" t="inlineStr">
        <is>
          <t>1 - 2 Năm</t>
        </is>
      </c>
      <c r="L6180" s="11">
        <f>HYPERLINK("https://careerviet.vn/vi/tim-viec-lam/phu-nhuan-q-2-thu-ky-y-khoa-phong-kham.35C6CFD2.html","Xem chi tiết")</f>
        <v/>
      </c>
      <c r="M6180" s="10" t="n"/>
    </row>
    <row r="6181">
      <c r="B6181" s="7" t="n">
        <v>6179</v>
      </c>
      <c r="C6181" t="inlineStr">
        <is>
          <t>Chuyên viên Pháp chế(Mới)</t>
        </is>
      </c>
      <c r="D6181" t="inlineStr">
        <is>
          <t>CÔNG TY CỔ PHẦN CÔNG NGHIỆP WELDCOM</t>
        </is>
      </c>
      <c r="E6181" t="inlineStr">
        <is>
          <t>Lương:15 Tr - 25 Tr VND</t>
        </is>
      </c>
      <c r="F6181" t="inlineStr">
        <is>
          <t>Hà Nội</t>
        </is>
      </c>
      <c r="G6181" t="inlineStr">
        <is>
          <t>17-04-2026</t>
        </is>
      </c>
      <c r="H6181" t="inlineStr">
        <is>
          <t>17/04/2026</t>
        </is>
      </c>
      <c r="I6181" t="inlineStr">
        <is>
          <t>17/03/2026</t>
        </is>
      </c>
      <c r="J6181" t="inlineStr">
        <is>
          <t>Luật / Pháp lý, Nhân sự</t>
        </is>
      </c>
      <c r="K6181" t="inlineStr">
        <is>
          <t>2 - 5 Năm</t>
        </is>
      </c>
      <c r="L6181" s="8">
        <f>HYPERLINK("https://careerviet.vn/vi/tim-viec-lam/chuyen-vien-phap-che.35C6CFCD.html","Xem chi tiết")</f>
        <v/>
      </c>
    </row>
    <row r="6182">
      <c r="B6182" s="9" t="n">
        <v>6180</v>
      </c>
      <c r="C6182" s="10" t="inlineStr">
        <is>
          <t>Thợ Sửa Chữa Cơ Khí Động Lực(Mới)</t>
        </is>
      </c>
      <c r="D6182" s="10" t="inlineStr">
        <is>
          <t>CÔNG TY TNHH THƯƠNG MẠI DỊCH VỤ TECHNOJET</t>
        </is>
      </c>
      <c r="E6182" s="10" t="inlineStr">
        <is>
          <t>Lương:10 Tr - 25 Tr VND</t>
        </is>
      </c>
      <c r="F6182" s="10" t="inlineStr">
        <is>
          <t>Hồ Chí Minh</t>
        </is>
      </c>
      <c r="G6182" s="10" t="inlineStr">
        <is>
          <t>17-04-2026</t>
        </is>
      </c>
      <c r="H6182" s="10" t="inlineStr">
        <is>
          <t>17/04/2026</t>
        </is>
      </c>
      <c r="I6182" s="10" t="inlineStr">
        <is>
          <t>17/03/2026</t>
        </is>
      </c>
      <c r="J6182" s="10" t="inlineStr">
        <is>
          <t>Cơ khí / Ô tô / Tự động hóa, Điện / Điện tử / Điện lạnh / Điện công nghiệp, Bảo trì / Sửa chữa</t>
        </is>
      </c>
      <c r="K6182" s="10" t="inlineStr">
        <is>
          <t>3 - 5 Năm</t>
        </is>
      </c>
      <c r="L6182" s="11">
        <f>HYPERLINK("https://careerviet.vn/vi/tim-viec-lam/tho-sua-chua-co-khi-dong-luc.35C6B3B0.html","Xem chi tiết")</f>
        <v/>
      </c>
      <c r="M6182" s="10" t="n"/>
    </row>
    <row r="6183">
      <c r="B6183" s="7" t="n">
        <v>6181</v>
      </c>
      <c r="C6183" t="inlineStr">
        <is>
          <t>Nhân viên DCC (Nhân viên văn thư)(Mới)</t>
        </is>
      </c>
      <c r="D6183" t="inlineStr">
        <is>
          <t>CÔNG TY TNHH GRE ALPHA ELECTRONICS ( VIETNAM)</t>
        </is>
      </c>
      <c r="E6183" t="inlineStr">
        <is>
          <t>Lương:Cạnh tranh</t>
        </is>
      </c>
      <c r="F6183" t="inlineStr">
        <is>
          <t>Bình Dương</t>
        </is>
      </c>
      <c r="G6183" t="inlineStr">
        <is>
          <t>17-04-2026</t>
        </is>
      </c>
      <c r="H6183" t="inlineStr">
        <is>
          <t>17/04/2026</t>
        </is>
      </c>
      <c r="I6183" t="inlineStr">
        <is>
          <t>17/03/2026</t>
        </is>
      </c>
      <c r="J6183" t="inlineStr">
        <is>
          <t>Điện / Điện tử / Điện lạnh / Điện công nghiệp</t>
        </is>
      </c>
      <c r="K6183" t="inlineStr">
        <is>
          <t>1 - 2 Năm</t>
        </is>
      </c>
      <c r="L6183" s="8">
        <f>HYPERLINK("https://careerviet.vn/vi/tim-viec-lam/nhan-vien-dcc-nhan-vien-van-thu.35C6AFBB.html","Xem chi tiết")</f>
        <v/>
      </c>
    </row>
    <row r="6184">
      <c r="B6184" s="9" t="n">
        <v>6182</v>
      </c>
      <c r="C6184" s="10" t="inlineStr">
        <is>
          <t>Non-Trade Procurement Specialist(Mới)</t>
        </is>
      </c>
      <c r="D6184" s="10" t="inlineStr">
        <is>
          <t>Concung.com - Con Cung Joint Stock Company</t>
        </is>
      </c>
      <c r="E6184" s="10" t="inlineStr">
        <is>
          <t>Lương:Cạnh tranh</t>
        </is>
      </c>
      <c r="F6184" s="10" t="inlineStr">
        <is>
          <t>Hồ Chí Minh</t>
        </is>
      </c>
      <c r="G6184" s="10" t="inlineStr">
        <is>
          <t>22-04-2026</t>
        </is>
      </c>
      <c r="H6184" s="10" t="inlineStr">
        <is>
          <t>22/04/2026</t>
        </is>
      </c>
      <c r="I6184" s="10" t="inlineStr">
        <is>
          <t>17/03/2026</t>
        </is>
      </c>
      <c r="J6184" s="10" t="inlineStr">
        <is>
          <t>Bán lẻ / Bán sỉ, Thu mua / Vật tư</t>
        </is>
      </c>
      <c r="K6184" s="10" t="inlineStr">
        <is>
          <t>2 - 3 Năm</t>
        </is>
      </c>
      <c r="L6184" s="11">
        <f>HYPERLINK("https://careerviet.vn/vi/tim-viec-lam/non-trade-procurement-specialist.35C6CFB8.html","Xem chi tiết")</f>
        <v/>
      </c>
      <c r="M6184" s="10" t="n"/>
    </row>
    <row r="6185">
      <c r="B6185" s="7" t="n">
        <v>6183</v>
      </c>
      <c r="C6185" t="inlineStr">
        <is>
          <t>Giám Đốc Thiết Kế(Mới)</t>
        </is>
      </c>
      <c r="D6185" t="inlineStr">
        <is>
          <t>Công ty Cổ phần Thiết kế Xây dựng Chính Nam</t>
        </is>
      </c>
      <c r="E6185" t="inlineStr">
        <is>
          <t>Lương:Cạnh tranh</t>
        </is>
      </c>
      <c r="F6185" t="inlineStr">
        <is>
          <t>Đồng Nai</t>
        </is>
      </c>
      <c r="G6185" t="inlineStr">
        <is>
          <t>31-03-2026</t>
        </is>
      </c>
      <c r="H6185" t="inlineStr">
        <is>
          <t>31/03/2026</t>
        </is>
      </c>
      <c r="I6185" t="inlineStr">
        <is>
          <t>17/03/2026</t>
        </is>
      </c>
      <c r="J6185" t="inlineStr">
        <is>
          <t>Kiến trúc, Xây dựng, Nội ngoại thất</t>
        </is>
      </c>
      <c r="K6185" t="inlineStr">
        <is>
          <t>5 - 7 Năm</t>
        </is>
      </c>
      <c r="L6185" s="8">
        <f>HYPERLINK("https://careerviet.vn/vi/tim-viec-lam/giam-doc-thiet-ke.35C6CFCC.html","Xem chi tiết")</f>
        <v/>
      </c>
    </row>
    <row r="6186">
      <c r="B6186" s="9" t="n">
        <v>6184</v>
      </c>
      <c r="C6186" s="10" t="inlineStr">
        <is>
          <t>Chuyên Viên Diễn Họa Nội Thất(Mới)</t>
        </is>
      </c>
      <c r="D6186" s="10" t="inlineStr">
        <is>
          <t>CÔNG TY TNHH NIPPON INTERIA</t>
        </is>
      </c>
      <c r="E6186" s="10" t="inlineStr">
        <is>
          <t>Lương:13 Tr - 18 Tr VND</t>
        </is>
      </c>
      <c r="F6186" s="10" t="inlineStr">
        <is>
          <t>Hồ Chí Minh</t>
        </is>
      </c>
      <c r="G6186" s="10" t="inlineStr">
        <is>
          <t>17-04-2026</t>
        </is>
      </c>
      <c r="H6186" s="10" t="inlineStr">
        <is>
          <t>17/04/2026</t>
        </is>
      </c>
      <c r="I6186" s="10" t="inlineStr">
        <is>
          <t>17/03/2026</t>
        </is>
      </c>
      <c r="J6186" s="10" t="inlineStr">
        <is>
          <t>Mỹ thuật / Nghệ thuật / Thiết kế, Nội ngoại thất, Ngành khác</t>
        </is>
      </c>
      <c r="K6186" s="10" t="inlineStr">
        <is>
          <t>Trên 2 Năm</t>
        </is>
      </c>
      <c r="L6186" s="11">
        <f>HYPERLINK("https://careerviet.vn/vi/tim-viec-lam/chuyen-vien-dien-hoa-noi-that.35C6CFC0.html","Xem chi tiết")</f>
        <v/>
      </c>
      <c r="M6186" s="10" t="n"/>
    </row>
    <row r="6187">
      <c r="B6187" s="7" t="n">
        <v>6185</v>
      </c>
      <c r="C6187" t="inlineStr">
        <is>
          <t>Ad Creative Performance Strategist(Mới)</t>
        </is>
      </c>
      <c r="D6187" t="inlineStr">
        <is>
          <t>PPP Laser Clinic Viet Nam</t>
        </is>
      </c>
      <c r="E6187" t="inlineStr">
        <is>
          <t>Lương:Cạnh tranh</t>
        </is>
      </c>
      <c r="F6187" t="inlineStr">
        <is>
          <t>Hồ Chí Minh</t>
        </is>
      </c>
      <c r="G6187" t="inlineStr">
        <is>
          <t>16-04-2026</t>
        </is>
      </c>
      <c r="H6187" t="inlineStr">
        <is>
          <t>16/04/2026</t>
        </is>
      </c>
      <c r="I6187" t="inlineStr">
        <is>
          <t>17/03/2026</t>
        </is>
      </c>
      <c r="J6187" t="inlineStr">
        <is>
          <t>Tiếp thị / Marketing, Quảng cáo / Đối ngoại / Truyền Thông, Tiếp thị trực tuyến</t>
        </is>
      </c>
      <c r="K6187" t="inlineStr">
        <is>
          <t>Trên 3 Năm</t>
        </is>
      </c>
      <c r="L6187" s="8">
        <f>HYPERLINK("https://careerviet.vn/vi/tim-viec-lam/ad-creative-performance-strategist.35C6CFBE.html","Xem chi tiết")</f>
        <v/>
      </c>
    </row>
    <row r="6188">
      <c r="B6188" s="9" t="n">
        <v>6186</v>
      </c>
      <c r="C6188" s="10" t="inlineStr">
        <is>
          <t>Platform Operation Specialist(Mới)</t>
        </is>
      </c>
      <c r="D6188" s="10" t="inlineStr">
        <is>
          <t>Công ty TNHH Phát triển Phú Mỹ Hưng</t>
        </is>
      </c>
      <c r="E6188" s="10" t="inlineStr">
        <is>
          <t>Lương:Cạnh tranh</t>
        </is>
      </c>
      <c r="F6188" s="10" t="inlineStr">
        <is>
          <t>Hồ Chí Minh</t>
        </is>
      </c>
      <c r="G6188" s="10" t="inlineStr">
        <is>
          <t>15-04-2026</t>
        </is>
      </c>
      <c r="H6188" s="10" t="inlineStr">
        <is>
          <t>15/04/2026</t>
        </is>
      </c>
      <c r="I6188" s="10" t="inlineStr">
        <is>
          <t>17/03/2026</t>
        </is>
      </c>
      <c r="J6188" s="10" t="inlineStr">
        <is>
          <t>Tiếp thị / Marketing, Thương mại điện tử</t>
        </is>
      </c>
      <c r="K6188" s="10" t="inlineStr">
        <is>
          <t>4 - 5 Năm</t>
        </is>
      </c>
      <c r="L6188" s="11">
        <f>HYPERLINK("https://careerviet.vn/vi/tim-viec-lam/platform-operation-specialist.35C6CFC1.html","Xem chi tiết")</f>
        <v/>
      </c>
      <c r="M6188" s="10" t="n"/>
    </row>
    <row r="6189">
      <c r="B6189" s="7" t="n">
        <v>6187</v>
      </c>
      <c r="C6189" t="inlineStr">
        <is>
          <t>Trưởng phòng Kinh doanh Quốc tế(Mới)</t>
        </is>
      </c>
      <c r="D6189" t="inlineStr">
        <is>
          <t>Công ty cổ phần sản xuất và xuất khẩu Quế hồi Việt Nam</t>
        </is>
      </c>
      <c r="E6189" t="inlineStr">
        <is>
          <t>Lương:30 Tr - 40 Tr VND</t>
        </is>
      </c>
      <c r="F6189" t="inlineStr">
        <is>
          <t>Hà Nội</t>
        </is>
      </c>
      <c r="G6189" t="inlineStr">
        <is>
          <t>30-04-2026</t>
        </is>
      </c>
      <c r="H6189" t="inlineStr">
        <is>
          <t>30/04/2026</t>
        </is>
      </c>
      <c r="I6189" t="inlineStr">
        <is>
          <t>17/03/2026</t>
        </is>
      </c>
      <c r="J6189" t="inlineStr">
        <is>
          <t>Bán hàng / Kinh doanh, Nông nghiệp, Xuất nhập khẩu</t>
        </is>
      </c>
      <c r="K6189" t="inlineStr">
        <is>
          <t>2 - 5 Năm</t>
        </is>
      </c>
      <c r="L6189" s="8">
        <f>HYPERLINK("https://careerviet.vn/vi/tim-viec-lam/truong-phong-kinh-doanh-quoc-te.35C6CFBB.html","Xem chi tiết")</f>
        <v/>
      </c>
    </row>
    <row r="6190">
      <c r="B6190" s="9" t="n">
        <v>6188</v>
      </c>
      <c r="C6190" s="10" t="inlineStr">
        <is>
          <t>KĨ THUẬT VIÊN ĐIỆN (VSIP II)(Mới)</t>
        </is>
      </c>
      <c r="D6190" s="10" t="inlineStr">
        <is>
          <t>URC Vietnam Co., Ltd.</t>
        </is>
      </c>
      <c r="E6190" s="10" t="inlineStr">
        <is>
          <t>Lương:Cạnh tranh</t>
        </is>
      </c>
      <c r="F6190" s="10" t="inlineStr">
        <is>
          <t>Bình Dương</t>
        </is>
      </c>
      <c r="G6190" s="10" t="inlineStr">
        <is>
          <t>30-04-2026</t>
        </is>
      </c>
      <c r="H6190" s="10" t="inlineStr">
        <is>
          <t>30/04/2026</t>
        </is>
      </c>
      <c r="I6190" s="10" t="inlineStr">
        <is>
          <t>17/03/2026</t>
        </is>
      </c>
      <c r="J6190" s="10" t="inlineStr">
        <is>
          <t>Bảo trì / Sửa chữa</t>
        </is>
      </c>
      <c r="K6190" s="10" t="inlineStr">
        <is>
          <t>2 - 3 Năm</t>
        </is>
      </c>
      <c r="L6190" s="11">
        <f>HYPERLINK("https://careerviet.vn/vi/tim-viec-lam/ki-thuat-vien-dien-vsip-ii.35C6BC23.html","Xem chi tiết")</f>
        <v/>
      </c>
      <c r="M6190" s="10" t="n"/>
    </row>
    <row r="6191">
      <c r="B6191" s="7" t="n">
        <v>6189</v>
      </c>
      <c r="C6191" t="inlineStr">
        <is>
          <t>Kỹ sư QA cho công ty sản xuất mới thành lập của Nhật(Mới)</t>
        </is>
      </c>
      <c r="D6191" t="inlineStr">
        <is>
          <t>Công ty TNHH AOBA Việt Nam</t>
        </is>
      </c>
      <c r="E6191" t="inlineStr">
        <is>
          <t>Lương:19 Tr - 22 Tr VND</t>
        </is>
      </c>
      <c r="F6191" t="inlineStr">
        <is>
          <t>Đồng Nai</t>
        </is>
      </c>
      <c r="G6191" t="inlineStr">
        <is>
          <t>17-04-2026</t>
        </is>
      </c>
      <c r="H6191" t="inlineStr">
        <is>
          <t>17/04/2026</t>
        </is>
      </c>
      <c r="I6191" t="inlineStr">
        <is>
          <t>17/03/2026</t>
        </is>
      </c>
      <c r="J6191" t="inlineStr">
        <is>
          <t>Quản lý chất lượng (QA/QC)</t>
        </is>
      </c>
      <c r="K6191" t="inlineStr">
        <is>
          <t>2 - 10 Năm</t>
        </is>
      </c>
      <c r="L6191" s="8">
        <f>HYPERLINK("https://careerviet.vn/vi/tim-viec-lam/ky-su-qa-cho-cong-ty-san-xuat-moi-thanh-lap-cua-nhat.35C6CFBD.html","Xem chi tiết")</f>
        <v/>
      </c>
    </row>
    <row r="6192">
      <c r="B6192" s="9" t="n">
        <v>6190</v>
      </c>
      <c r="C6192" s="10" t="inlineStr">
        <is>
          <t>Sale B2B(Mới)</t>
        </is>
      </c>
      <c r="D6192" s="10" t="inlineStr">
        <is>
          <t>CÔNG TY TNHH THƯƠNG MẠI HKK</t>
        </is>
      </c>
      <c r="E6192" s="10" t="inlineStr">
        <is>
          <t>Lương:8 Tr - 12 Tr VND</t>
        </is>
      </c>
      <c r="F6192" s="10" t="inlineStr">
        <is>
          <t>Hồ Chí Minh</t>
        </is>
      </c>
      <c r="G6192" s="10" t="inlineStr">
        <is>
          <t>04-04-2026</t>
        </is>
      </c>
      <c r="H6192" s="10" t="inlineStr">
        <is>
          <t>04/04/2026</t>
        </is>
      </c>
      <c r="I6192" s="10" t="inlineStr">
        <is>
          <t>17/03/2026</t>
        </is>
      </c>
      <c r="J6192" s="10" t="inlineStr">
        <is>
          <t>Dược phẩm/ Hóa Mỹ Phẩm, Tiếp thị trực tuyến, Bán hàng / Kinh doanh</t>
        </is>
      </c>
      <c r="K6192" s="10" t="inlineStr">
        <is>
          <t>Trên 1 Năm</t>
        </is>
      </c>
      <c r="L6192" s="11">
        <f>HYPERLINK("https://careerviet.vn/vi/tim-viec-lam/sale-b2b.35C6CFBC.html","Xem chi tiết")</f>
        <v/>
      </c>
      <c r="M6192" s="10" t="n"/>
    </row>
    <row r="6193">
      <c r="B6193" s="7" t="n">
        <v>6191</v>
      </c>
      <c r="C6193" t="inlineStr">
        <is>
          <t>Sales Assistant(Mới)</t>
        </is>
      </c>
      <c r="D6193" t="inlineStr">
        <is>
          <t>CÔNG TY TNHH MAXIDI VIỆT NAM</t>
        </is>
      </c>
      <c r="E6193" t="inlineStr">
        <is>
          <t>Lương:Cạnh tranh</t>
        </is>
      </c>
      <c r="F6193" t="inlineStr">
        <is>
          <t>Đồng NaiBình Dương</t>
        </is>
      </c>
      <c r="G6193" t="inlineStr">
        <is>
          <t>16-04-2026</t>
        </is>
      </c>
      <c r="H6193" t="inlineStr">
        <is>
          <t>16/04/2026</t>
        </is>
      </c>
      <c r="I6193" t="inlineStr">
        <is>
          <t>17/03/2026</t>
        </is>
      </c>
      <c r="J6193" t="inlineStr">
        <is>
          <t>Bán hàng / Kinh doanh, Hành chính / Thư ký</t>
        </is>
      </c>
      <c r="K6193" t="inlineStr">
        <is>
          <t>Lên đến 1 Năm</t>
        </is>
      </c>
      <c r="L6193" s="8">
        <f>HYPERLINK("https://careerviet.vn/vi/tim-viec-lam/sales-assistant.35C6CFB0.html","Xem chi tiết")</f>
        <v/>
      </c>
    </row>
    <row r="6194">
      <c r="B6194" s="9" t="n">
        <v>6192</v>
      </c>
      <c r="C6194" s="10" t="inlineStr">
        <is>
          <t>Hành chính nhân sự tổng hợp(Mới)</t>
        </is>
      </c>
      <c r="D6194" s="10" t="inlineStr">
        <is>
          <t>CÔNG TY CỔ PHẦN GIẢI PHÁP THANH TOÁN VIỆT TÍN</t>
        </is>
      </c>
      <c r="E6194" s="10" t="inlineStr">
        <is>
          <t>Lương:Cạnh tranh</t>
        </is>
      </c>
      <c r="F6194" s="10" t="inlineStr">
        <is>
          <t>Hồ Chí Minh</t>
        </is>
      </c>
      <c r="G6194" s="10" t="inlineStr">
        <is>
          <t>16-04-2026</t>
        </is>
      </c>
      <c r="H6194" s="10" t="inlineStr">
        <is>
          <t>16/04/2026</t>
        </is>
      </c>
      <c r="I6194" s="10" t="inlineStr">
        <is>
          <t>17/03/2026</t>
        </is>
      </c>
      <c r="J6194" s="10" t="inlineStr">
        <is>
          <t>Nhân sự</t>
        </is>
      </c>
      <c r="K6194" s="10" t="inlineStr">
        <is>
          <t>Trên 2 Năm</t>
        </is>
      </c>
      <c r="L6194" s="11">
        <f>HYPERLINK("https://careerviet.vn/vi/tim-viec-lam/hanh-chinh-nhan-su-tong-hop.35C6CFC4.html","Xem chi tiết")</f>
        <v/>
      </c>
      <c r="M6194" s="10" t="n"/>
    </row>
    <row r="6195">
      <c r="B6195" s="7" t="n">
        <v>6193</v>
      </c>
      <c r="C6195" t="inlineStr">
        <is>
          <t>Kế Toán Giám Sát Kho Hàng Hóa tại Văn Lâm (Hưng Yên)(Mới)</t>
        </is>
      </c>
      <c r="D6195" t="inlineStr">
        <is>
          <t>Công Ty TNHH Tập Đoàn Rita Võ</t>
        </is>
      </c>
      <c r="E6195" t="inlineStr">
        <is>
          <t>Lương:10 Tr - 11 Tr VND</t>
        </is>
      </c>
      <c r="F6195" t="inlineStr">
        <is>
          <t>Hưng Yên</t>
        </is>
      </c>
      <c r="G6195" t="inlineStr">
        <is>
          <t>15-04-2026</t>
        </is>
      </c>
      <c r="H6195" t="inlineStr">
        <is>
          <t>15/04/2026</t>
        </is>
      </c>
      <c r="I6195" t="inlineStr">
        <is>
          <t>17/03/2026</t>
        </is>
      </c>
      <c r="J6195" t="inlineStr">
        <is>
          <t>Kế toán / Kiểm toán, Vận chuyển / Giao nhận / Kho vận</t>
        </is>
      </c>
      <c r="K6195" t="inlineStr">
        <is>
          <t>1 - 2 Năm</t>
        </is>
      </c>
      <c r="L6195" s="8">
        <f>HYPERLINK("https://careerviet.vn/vi/tim-viec-lam/ke-toan-giam-sat-kho-hang-hoa-tai-van-lam-hung-yen.35C6CFB2.html","Xem chi tiết")</f>
        <v/>
      </c>
    </row>
    <row r="6196">
      <c r="B6196" s="9" t="n">
        <v>6194</v>
      </c>
      <c r="C6196" s="10" t="inlineStr">
        <is>
          <t>International Sale Business(Mới)</t>
        </is>
      </c>
      <c r="D6196" s="10" t="inlineStr">
        <is>
          <t>CÔNG TY CỔ PHẦN THỰC PHẨM HÙNG HẬU</t>
        </is>
      </c>
      <c r="E6196" s="10" t="inlineStr">
        <is>
          <t>Lương:15 Tr - 40 Tr VND</t>
        </is>
      </c>
      <c r="F6196" s="10" t="inlineStr">
        <is>
          <t>Hồ Chí Minh</t>
        </is>
      </c>
      <c r="G6196" s="10" t="inlineStr">
        <is>
          <t>30-04-2026</t>
        </is>
      </c>
      <c r="H6196" s="10" t="inlineStr">
        <is>
          <t>30/04/2026</t>
        </is>
      </c>
      <c r="I6196" s="10" t="inlineStr">
        <is>
          <t>17/03/2026</t>
        </is>
      </c>
      <c r="J6196" s="10" t="inlineStr">
        <is>
          <t>Tiếp thị / Marketing, Bán hàng / Kinh doanh, Thực phẩm &amp; Đồ uống</t>
        </is>
      </c>
      <c r="K6196" s="10" t="inlineStr">
        <is>
          <t>1 - 3 Năm</t>
        </is>
      </c>
      <c r="L6196" s="11">
        <f>HYPERLINK("https://careerviet.vn/vi/tim-viec-lam/international-sale-business.35C6CFD0.html","Xem chi tiết")</f>
        <v/>
      </c>
      <c r="M6196" s="10" t="n"/>
    </row>
    <row r="6197">
      <c r="B6197" s="7" t="n">
        <v>6195</v>
      </c>
      <c r="C6197" t="inlineStr">
        <is>
          <t>Chuyên Viên Media(Mới)</t>
        </is>
      </c>
      <c r="D6197" t="inlineStr">
        <is>
          <t>CÔNG TY CỔ PHẦN PHÁT TRIỂN BĐS ĐẤT VIỆT GROUP</t>
        </is>
      </c>
      <c r="E6197" t="inlineStr">
        <is>
          <t>Lương:13 Tr - 16 Tr VND</t>
        </is>
      </c>
      <c r="F6197" t="inlineStr">
        <is>
          <t>Hưng Yên</t>
        </is>
      </c>
      <c r="G6197" t="inlineStr">
        <is>
          <t>17-04-2026</t>
        </is>
      </c>
      <c r="H6197" t="inlineStr">
        <is>
          <t>17/04/2026</t>
        </is>
      </c>
      <c r="I6197" t="inlineStr">
        <is>
          <t>17/03/2026</t>
        </is>
      </c>
      <c r="J6197" t="inlineStr">
        <is>
          <t>Tiếp thị / Marketing, Tiếp thị trực tuyến, Quảng cáo / Đối ngoại / Truyền Thông</t>
        </is>
      </c>
      <c r="K6197" t="inlineStr">
        <is>
          <t>N/A</t>
        </is>
      </c>
      <c r="L6197" s="8">
        <f>HYPERLINK("https://careerviet.vn/vi/tim-viec-lam/chuyen-vien-media.35C6CF67.html","Xem chi tiết")</f>
        <v/>
      </c>
    </row>
    <row r="6198">
      <c r="B6198" s="9" t="n">
        <v>6196</v>
      </c>
      <c r="C6198" s="10" t="inlineStr">
        <is>
          <t>Giám Đốc Phát Triển Đối Tác(Mới)</t>
        </is>
      </c>
      <c r="D6198" s="10" t="inlineStr">
        <is>
          <t>CÔNG TY CỔ PHẦN PHÁT TRIỂN BĐS ĐẤT VIỆT GROUP</t>
        </is>
      </c>
      <c r="E6198" s="10" t="inlineStr">
        <is>
          <t>Lương:Cạnh tranh</t>
        </is>
      </c>
      <c r="F6198" s="10" t="inlineStr">
        <is>
          <t>Hà Nội</t>
        </is>
      </c>
      <c r="G6198" s="10" t="inlineStr">
        <is>
          <t>17-04-2026</t>
        </is>
      </c>
      <c r="H6198" s="10" t="inlineStr">
        <is>
          <t>17/04/2026</t>
        </is>
      </c>
      <c r="I6198" s="10" t="inlineStr">
        <is>
          <t>17/03/2026</t>
        </is>
      </c>
      <c r="J6198" s="10" t="inlineStr">
        <is>
          <t>Bán hàng / Kinh doanh, Dịch vụ khách hàng, Tiếp thị / Marketing</t>
        </is>
      </c>
      <c r="K6198" s="10" t="inlineStr">
        <is>
          <t>Trên 5 Năm</t>
        </is>
      </c>
      <c r="L6198" s="11">
        <f>HYPERLINK("https://careerviet.vn/vi/tim-viec-lam/giam-doc-phat-trien-doi-tac.35C6CF6D.html","Xem chi tiết")</f>
        <v/>
      </c>
      <c r="M6198" s="10" t="n"/>
    </row>
    <row r="6199">
      <c r="B6199" s="7" t="n">
        <v>6197</v>
      </c>
      <c r="C6199" t="inlineStr">
        <is>
          <t>Chuyên Viên Thiết Kế(Mới)</t>
        </is>
      </c>
      <c r="D6199" t="inlineStr">
        <is>
          <t>CÔNG TY CỔ PHẦN PHÁT TRIỂN BĐS ĐẤT VIỆT GROUP</t>
        </is>
      </c>
      <c r="E6199" t="inlineStr">
        <is>
          <t>Lương:10 Tr - 14 Tr VND</t>
        </is>
      </c>
      <c r="F6199" t="inlineStr">
        <is>
          <t>Hưng Yên</t>
        </is>
      </c>
      <c r="G6199" t="inlineStr">
        <is>
          <t>17-04-2026</t>
        </is>
      </c>
      <c r="H6199" t="inlineStr">
        <is>
          <t>17/04/2026</t>
        </is>
      </c>
      <c r="I6199" t="inlineStr">
        <is>
          <t>17/03/2026</t>
        </is>
      </c>
      <c r="J6199" t="inlineStr">
        <is>
          <t>Tiếp thị / Marketing, Quảng cáo / Đối ngoại / Truyền Thông, Mỹ thuật / Nghệ thuật / Thiết kế</t>
        </is>
      </c>
      <c r="K6199" t="inlineStr">
        <is>
          <t>N/A</t>
        </is>
      </c>
      <c r="L6199" s="8">
        <f>HYPERLINK("https://careerviet.vn/vi/tim-viec-lam/chuyen-vien-thiet-ke.35C6CF68.html","Xem chi tiết")</f>
        <v/>
      </c>
    </row>
    <row r="6200">
      <c r="B6200" s="9" t="n">
        <v>6198</v>
      </c>
      <c r="C6200" s="10" t="inlineStr">
        <is>
          <t>Senior Washing Technician Executive Garment</t>
        </is>
      </c>
      <c r="D6200" s="10" t="inlineStr">
        <is>
          <t>Công Ty TNHH Linea Aqua Việt Nam</t>
        </is>
      </c>
      <c r="E6200" s="10" t="inlineStr">
        <is>
          <t>Lương:Cạnh tranh</t>
        </is>
      </c>
      <c r="F6200" s="10" t="inlineStr">
        <is>
          <t>Hưng YênHà NộiHải Dương</t>
        </is>
      </c>
      <c r="G6200" s="10" t="inlineStr">
        <is>
          <t>Hôm nay</t>
        </is>
      </c>
      <c r="H6200" s="10" t="inlineStr">
        <is>
          <t>17/03/2026</t>
        </is>
      </c>
      <c r="I6200" s="10" t="inlineStr">
        <is>
          <t>17/03/2026</t>
        </is>
      </c>
      <c r="J6200" s="10" t="inlineStr">
        <is>
          <t>Dệt may / Da giày / Thời trang, Quản lý chất lượng (QA/QC), Sản xuất / Vận hành sản xuất</t>
        </is>
      </c>
      <c r="K6200" s="10" t="inlineStr">
        <is>
          <t>4 - 5 Năm</t>
        </is>
      </c>
      <c r="L6200" s="11">
        <f>HYPERLINK("https://careerviet.vn/vi/tim-viec-lam/senior-washing-technician-executive-garment.35C31FD0.html","Xem chi tiết")</f>
        <v/>
      </c>
      <c r="M6200" s="10" t="n"/>
    </row>
    <row r="6201">
      <c r="B6201" s="7" t="n">
        <v>6199</v>
      </c>
      <c r="C6201" t="inlineStr">
        <is>
          <t>Nhân viên Mua sắm Tổng hợp(Mới)</t>
        </is>
      </c>
      <c r="D6201" t="inlineStr">
        <is>
          <t>Tập Đoàn Tân Á Đại Thành</t>
        </is>
      </c>
      <c r="E6201" t="inlineStr">
        <is>
          <t>Lương:8,5 Tr - 14 Tr VND</t>
        </is>
      </c>
      <c r="F6201" t="inlineStr">
        <is>
          <t>Hà Nội</t>
        </is>
      </c>
      <c r="G6201" t="inlineStr">
        <is>
          <t>30-04-2026</t>
        </is>
      </c>
      <c r="H6201" t="inlineStr">
        <is>
          <t>30/04/2026</t>
        </is>
      </c>
      <c r="I6201" t="inlineStr">
        <is>
          <t>17/03/2026</t>
        </is>
      </c>
      <c r="J6201" t="inlineStr">
        <is>
          <t>Thu mua / Vật tư</t>
        </is>
      </c>
      <c r="K6201" t="inlineStr">
        <is>
          <t>Lên đến 1 Năm</t>
        </is>
      </c>
      <c r="L6201" s="8">
        <f>HYPERLINK("https://careerviet.vn/vi/tim-viec-lam/nhan-vien-mua-sam-tong-hop.35C6CFAD.html","Xem chi tiết")</f>
        <v/>
      </c>
    </row>
    <row r="6202">
      <c r="B6202" s="9" t="n">
        <v>6200</v>
      </c>
      <c r="C6202" s="10" t="inlineStr">
        <is>
          <t>Kế toán bán hàng(Mới)</t>
        </is>
      </c>
      <c r="D6202" s="10" t="inlineStr">
        <is>
          <t>CÔNG TY CỔ PHẦN CARBON VIỆT NAM</t>
        </is>
      </c>
      <c r="E6202" s="10" t="inlineStr">
        <is>
          <t>Lương:8,9 Tr - 9,3 Tr VND</t>
        </is>
      </c>
      <c r="F6202" s="10" t="inlineStr">
        <is>
          <t>Hà Nội</t>
        </is>
      </c>
      <c r="G6202" s="10" t="inlineStr">
        <is>
          <t>31-03-2026</t>
        </is>
      </c>
      <c r="H6202" s="10" t="inlineStr">
        <is>
          <t>31/03/2026</t>
        </is>
      </c>
      <c r="I6202" s="10" t="inlineStr">
        <is>
          <t>17/03/2026</t>
        </is>
      </c>
      <c r="J6202" s="10" t="inlineStr">
        <is>
          <t>Kế toán / Kiểm toán, Hành chính / Thư ký</t>
        </is>
      </c>
      <c r="K6202" s="10" t="inlineStr">
        <is>
          <t>1 - 2 Năm</t>
        </is>
      </c>
      <c r="L6202" s="11">
        <f>HYPERLINK("https://careerviet.vn/vi/tim-viec-lam/ke-toan-ban-hang.35C6CFA5.html","Xem chi tiết")</f>
        <v/>
      </c>
      <c r="M6202" s="10" t="n"/>
    </row>
    <row r="6203">
      <c r="B6203" s="7" t="n">
        <v>6201</v>
      </c>
      <c r="C6203" t="inlineStr">
        <is>
          <t>Digital Marketing BĐS(Mới)</t>
        </is>
      </c>
      <c r="D6203" t="inlineStr">
        <is>
          <t>CÔNG TY CỔ PHẦN PHÁT TRIỂN BĐS ĐẤT VIỆT GROUP</t>
        </is>
      </c>
      <c r="E6203" t="inlineStr">
        <is>
          <t>Lương:Cạnh tranh</t>
        </is>
      </c>
      <c r="F6203" t="inlineStr">
        <is>
          <t>Hà Nội</t>
        </is>
      </c>
      <c r="G6203" t="inlineStr">
        <is>
          <t>17-04-2026</t>
        </is>
      </c>
      <c r="H6203" t="inlineStr">
        <is>
          <t>17/04/2026</t>
        </is>
      </c>
      <c r="I6203" t="inlineStr">
        <is>
          <t>17/03/2026</t>
        </is>
      </c>
      <c r="J6203" t="inlineStr">
        <is>
          <t>Tiếp thị / Marketing, Bất động sản, Bán hàng / Kinh doanh</t>
        </is>
      </c>
      <c r="K6203" t="inlineStr">
        <is>
          <t>Trên 1 Năm</t>
        </is>
      </c>
      <c r="L6203" s="8">
        <f>HYPERLINK("https://careerviet.vn/vi/tim-viec-lam/digital-marketing-bds.35C6CF71.html","Xem chi tiết")</f>
        <v/>
      </c>
    </row>
    <row r="6204">
      <c r="B6204" s="9" t="n">
        <v>6202</v>
      </c>
      <c r="C6204" s="10" t="inlineStr">
        <is>
          <t>Cutting Pattern Technician - Nhân Viên Thiết Kế Rập</t>
        </is>
      </c>
      <c r="D6204" s="10" t="inlineStr">
        <is>
          <t>Công Ty TNHH MTV Jordan Manufacturing Việt Nam</t>
        </is>
      </c>
      <c r="E6204" s="10" t="inlineStr">
        <is>
          <t>Lương:Cạnh tranh</t>
        </is>
      </c>
      <c r="F6204" s="10" t="inlineStr">
        <is>
          <t>Tây NinhLong An</t>
        </is>
      </c>
      <c r="G6204" s="10" t="inlineStr">
        <is>
          <t>Hôm nay</t>
        </is>
      </c>
      <c r="H6204" s="10" t="inlineStr">
        <is>
          <t>17/03/2026</t>
        </is>
      </c>
      <c r="I6204" s="10" t="inlineStr">
        <is>
          <t>17/03/2026</t>
        </is>
      </c>
      <c r="J6204" s="10" t="inlineStr">
        <is>
          <t>Mỹ thuật / Nghệ thuật / Thiết kế, Sản xuất / Vận hành sản xuất, Dệt may / Da giày / Thời trang</t>
        </is>
      </c>
      <c r="K6204" s="10" t="inlineStr">
        <is>
          <t>Trên 3 Năm</t>
        </is>
      </c>
      <c r="L6204" s="11">
        <f>HYPERLINK("https://careerviet.vn/vi/tim-viec-lam/cutting-pattern-technician-nhan-vien-thiet-ke-rap.35C65BF5.html","Xem chi tiết")</f>
        <v/>
      </c>
      <c r="M6204" s="10" t="n"/>
    </row>
    <row r="6205">
      <c r="B6205" s="7" t="n">
        <v>6203</v>
      </c>
      <c r="C6205" t="inlineStr">
        <is>
          <t>[NRM] TRỢ LÝ THƯƠNG MẠI SIÊU THỊ BÁN LẺ</t>
        </is>
      </c>
      <c r="D6205" t="inlineStr">
        <is>
          <t>Nova Service Group - Công ty Cổ phần Tập đoàn Nova Services</t>
        </is>
      </c>
      <c r="E6205" t="inlineStr">
        <is>
          <t>Lương:Cạnh tranh</t>
        </is>
      </c>
      <c r="F6205" t="inlineStr">
        <is>
          <t>Hồ Chí Minh</t>
        </is>
      </c>
      <c r="G6205" t="inlineStr">
        <is>
          <t>Hôm nay</t>
        </is>
      </c>
      <c r="H6205" t="inlineStr">
        <is>
          <t>17/03/2026</t>
        </is>
      </c>
      <c r="I6205" t="inlineStr">
        <is>
          <t>17/03/2026</t>
        </is>
      </c>
      <c r="J6205" t="inlineStr">
        <is>
          <t>Hành chính / Thư ký</t>
        </is>
      </c>
      <c r="K6205" t="inlineStr">
        <is>
          <t>5 - 15 Năm</t>
        </is>
      </c>
      <c r="L6205" s="8">
        <f>HYPERLINK("https://careerviet.vn/vi/tim-viec-lam/nrm-tro-ly-thuong-mai-sieu-thi-ban-le.35C65CEB.html","Xem chi tiết")</f>
        <v/>
      </c>
    </row>
    <row r="6206">
      <c r="B6206" s="9" t="n">
        <v>6204</v>
      </c>
      <c r="C6206" s="10" t="inlineStr">
        <is>
          <t>BUSINESS DEVELOPMENT DIRECTOR - FRANCHISE</t>
        </is>
      </c>
      <c r="D6206" s="10" t="inlineStr">
        <is>
          <t>PPP Laser Clinic Viet Nam</t>
        </is>
      </c>
      <c r="E6206" s="10" t="inlineStr">
        <is>
          <t>Lương:Cạnh tranh</t>
        </is>
      </c>
      <c r="F6206" s="10" t="inlineStr">
        <is>
          <t>Hồ Chí Minh</t>
        </is>
      </c>
      <c r="G6206" s="10" t="inlineStr">
        <is>
          <t>Hôm nay</t>
        </is>
      </c>
      <c r="H6206" s="10" t="inlineStr">
        <is>
          <t>17/03/2026</t>
        </is>
      </c>
      <c r="I6206" s="10" t="inlineStr">
        <is>
          <t>17/03/2026</t>
        </is>
      </c>
      <c r="J6206" s="10" t="inlineStr">
        <is>
          <t>Tiếp thị / Marketing, Y tế / Chăm sóc sức khỏe / Thẩm mỹ / Làm đẹp, Tài chính / Đầu tư</t>
        </is>
      </c>
      <c r="K6206" s="10" t="inlineStr">
        <is>
          <t>10 - 15 Năm</t>
        </is>
      </c>
      <c r="L6206" s="11">
        <f>HYPERLINK("https://careerviet.vn/vi/tim-viec-lam/business-development-director-franchise.35C65CD6.html","Xem chi tiết")</f>
        <v/>
      </c>
      <c r="M6206" s="10" t="n"/>
    </row>
    <row r="6207">
      <c r="B6207" s="7" t="n">
        <v>6205</v>
      </c>
      <c r="C6207" t="inlineStr">
        <is>
          <t>Chuyên viên/Chuyên viên cao cấp cải tiến quy trình - Khối Vận Hành</t>
        </is>
      </c>
      <c r="D6207" t="inlineStr">
        <is>
          <t>Ngân hàng TMCP Đại Chúng Việt Nam - PVcomBank</t>
        </is>
      </c>
      <c r="E6207" t="inlineStr">
        <is>
          <t>Lương:Cạnh tranh</t>
        </is>
      </c>
      <c r="F6207" t="inlineStr">
        <is>
          <t>Hà Nội</t>
        </is>
      </c>
      <c r="G6207" t="inlineStr">
        <is>
          <t>Hôm nay</t>
        </is>
      </c>
      <c r="H6207" t="inlineStr">
        <is>
          <t>17/03/2026</t>
        </is>
      </c>
      <c r="I6207" t="inlineStr">
        <is>
          <t>17/03/2026</t>
        </is>
      </c>
      <c r="J6207" t="inlineStr">
        <is>
          <t>Ngân hàng</t>
        </is>
      </c>
      <c r="K6207" t="inlineStr">
        <is>
          <t>3 - 5 Năm</t>
        </is>
      </c>
      <c r="L6207" s="8">
        <f>HYPERLINK("https://careerviet.vn/vi/tim-viec-lam/chuyen-vien-chuyen-vien-cao-cap-cai-tien-quy-trinh-khoi-van-hanh.35C65D3B.html","Xem chi tiết")</f>
        <v/>
      </c>
    </row>
    <row r="6208">
      <c r="B6208" s="9" t="n">
        <v>6206</v>
      </c>
      <c r="C6208" s="10" t="inlineStr">
        <is>
          <t>Chuyên Viên Khách Hàng Ngoại Ngữ Tiếng Trung Quốc</t>
        </is>
      </c>
      <c r="D6208" s="10" t="inlineStr">
        <is>
          <t>NGÂN HÀNG TMCP NGOẠI THƯƠNG VIỆT NAM (VIETCOMBANK)</t>
        </is>
      </c>
      <c r="E6208" s="10" t="inlineStr">
        <is>
          <t>Lương:Cạnh tranh</t>
        </is>
      </c>
      <c r="F6208" s="10" t="inlineStr">
        <is>
          <t>Bắc Ninh</t>
        </is>
      </c>
      <c r="G6208" s="10" t="inlineStr">
        <is>
          <t>Hôm nay</t>
        </is>
      </c>
      <c r="H6208" s="10" t="inlineStr">
        <is>
          <t>17/03/2026</t>
        </is>
      </c>
      <c r="I6208" s="10" t="inlineStr">
        <is>
          <t>17/03/2026</t>
        </is>
      </c>
      <c r="J6208" s="10" t="inlineStr">
        <is>
          <t>Ngân hàng, Dịch vụ khách hàng, Biên phiên dịch</t>
        </is>
      </c>
      <c r="K6208" s="10" t="inlineStr">
        <is>
          <t>N/A</t>
        </is>
      </c>
      <c r="L6208" s="11">
        <f>HYPERLINK("https://careerviet.vn/vi/tim-viec-lam/chuyen-vien-khach-hang-ngoai-ngu-tieng-trung-quoc.35C63221.html","Xem chi tiết")</f>
        <v/>
      </c>
      <c r="M6208" s="10" t="n"/>
    </row>
    <row r="6209">
      <c r="B6209" s="7" t="n">
        <v>6207</v>
      </c>
      <c r="C6209" t="inlineStr">
        <is>
          <t>Chuyên Viên Kinh Doanh Bất Động Sản</t>
        </is>
      </c>
      <c r="D6209" t="inlineStr">
        <is>
          <t>CÔNG TY CỔ PHẦN SSQC</t>
        </is>
      </c>
      <c r="E6209" t="inlineStr">
        <is>
          <t>Lương:Cạnh tranh</t>
        </is>
      </c>
      <c r="F6209" t="inlineStr">
        <is>
          <t>Hồ Chí Minh</t>
        </is>
      </c>
      <c r="G6209" t="inlineStr">
        <is>
          <t>Hôm nay</t>
        </is>
      </c>
      <c r="H6209" t="inlineStr">
        <is>
          <t>17/03/2026</t>
        </is>
      </c>
      <c r="I6209" t="inlineStr">
        <is>
          <t>17/03/2026</t>
        </is>
      </c>
      <c r="J6209" t="inlineStr">
        <is>
          <t>Bán hàng / Kinh doanh, Ngân hàng, Bất động sản</t>
        </is>
      </c>
      <c r="K6209" t="inlineStr">
        <is>
          <t>Chưa có kinh nghiệm</t>
        </is>
      </c>
      <c r="L6209" s="8">
        <f>HYPERLINK("https://careerviet.vn/vi/tim-viec-lam/chuyen-vien-kinh-doanh-bat-dong-san.35C630B3.html","Xem chi tiết")</f>
        <v/>
      </c>
    </row>
    <row r="6210">
      <c r="B6210" s="9" t="n">
        <v>6208</v>
      </c>
      <c r="C6210" s="10" t="inlineStr">
        <is>
          <t>Kỹ sư cơ khí</t>
        </is>
      </c>
      <c r="D6210" s="10" t="inlineStr">
        <is>
          <t>CÔNG TY TNHH CÔNG NGHỆ VŨ LÊ</t>
        </is>
      </c>
      <c r="E6210" s="10" t="inlineStr">
        <is>
          <t>Lương:Cạnh tranh</t>
        </is>
      </c>
      <c r="F6210" s="10" t="inlineStr">
        <is>
          <t>Hồ Chí Minh</t>
        </is>
      </c>
      <c r="G6210" s="10" t="inlineStr">
        <is>
          <t>Hôm nay</t>
        </is>
      </c>
      <c r="H6210" s="10" t="inlineStr">
        <is>
          <t>17/03/2026</t>
        </is>
      </c>
      <c r="I6210" s="10" t="inlineStr">
        <is>
          <t>17/03/2026</t>
        </is>
      </c>
      <c r="J6210" s="10" t="inlineStr">
        <is>
          <t>Cơ khí / Ô tô / Tự động hóa</t>
        </is>
      </c>
      <c r="K6210" s="10" t="inlineStr">
        <is>
          <t>3 - 10 Năm</t>
        </is>
      </c>
      <c r="L6210" s="11">
        <f>HYPERLINK("https://careerviet.vn/vi/tim-viec-lam/ky-su-co-khi.35C65C62.html","Xem chi tiết")</f>
        <v/>
      </c>
      <c r="M6210" s="10" t="n"/>
    </row>
    <row r="6211">
      <c r="B6211" s="7" t="n">
        <v>6209</v>
      </c>
      <c r="C6211" t="inlineStr">
        <is>
          <t>Kỹ sư Quang điện tử</t>
        </is>
      </c>
      <c r="D6211" t="inlineStr">
        <is>
          <t>TECOTEC Technology</t>
        </is>
      </c>
      <c r="E6211" t="inlineStr">
        <is>
          <t>Lương:10 Tr - 20 Tr VND</t>
        </is>
      </c>
      <c r="F6211" t="inlineStr">
        <is>
          <t>Hà Nội</t>
        </is>
      </c>
      <c r="G6211" t="inlineStr">
        <is>
          <t>Hôm nay</t>
        </is>
      </c>
      <c r="H6211" t="inlineStr">
        <is>
          <t>17/03/2026</t>
        </is>
      </c>
      <c r="I6211" t="inlineStr">
        <is>
          <t>17/03/2026</t>
        </is>
      </c>
      <c r="J6211" t="inlineStr">
        <is>
          <t>Bán Hàng Kỹ Thuật, Cơ khí / Ô tô / Tự động hóa, Điện / Điện tử / Điện lạnh / Điện công nghiệp</t>
        </is>
      </c>
      <c r="K6211" t="inlineStr">
        <is>
          <t>N/A</t>
        </is>
      </c>
      <c r="L6211" s="8">
        <f>HYPERLINK("https://careerviet.vn/vi/tim-viec-lam/ky-su-quang-dien-tu.35C65CB7.html","Xem chi tiết")</f>
        <v/>
      </c>
    </row>
    <row r="6212">
      <c r="B6212" s="9" t="n">
        <v>6210</v>
      </c>
      <c r="C6212" s="10" t="inlineStr">
        <is>
          <t>Bác sĩ Nội tổng quát/ Nội tiết/ Nội tim mạch/ Nội thận/ Nội dinh dưỡng</t>
        </is>
      </c>
      <c r="D6212" s="10" t="inlineStr">
        <is>
          <t>DIAG</t>
        </is>
      </c>
      <c r="E6212" s="10" t="inlineStr">
        <is>
          <t>Lương:Cạnh tranh</t>
        </is>
      </c>
      <c r="F6212" s="10" t="inlineStr">
        <is>
          <t>Hồ Chí Minh</t>
        </is>
      </c>
      <c r="G6212" s="10" t="inlineStr">
        <is>
          <t>Hôm nay</t>
        </is>
      </c>
      <c r="H6212" s="10" t="inlineStr">
        <is>
          <t>17/03/2026</t>
        </is>
      </c>
      <c r="I6212" s="10" t="inlineStr">
        <is>
          <t>17/03/2026</t>
        </is>
      </c>
      <c r="J6212" s="10" t="inlineStr">
        <is>
          <t>Y tế / Chăm sóc sức khỏe / Thẩm mỹ / Làm đẹp, Dược phẩm/ Hóa Mỹ Phẩm</t>
        </is>
      </c>
      <c r="K6212" s="10" t="inlineStr">
        <is>
          <t>Trên 3 Năm</t>
        </is>
      </c>
      <c r="L6212" s="11">
        <f>HYPERLINK("https://careerviet.vn/vi/tim-viec-lam/bac-si-noi-tong-quat-noi-tiet-noi-tim-mach-noi-than-noi-dinh-duong.35C6314D.html","Xem chi tiết")</f>
        <v/>
      </c>
      <c r="M6212" s="10" t="n"/>
    </row>
    <row r="6213">
      <c r="B6213" s="7" t="n">
        <v>6211</v>
      </c>
      <c r="C6213" t="inlineStr">
        <is>
          <t>Nhân viên kinh doanh xuất khẩu</t>
        </is>
      </c>
      <c r="D6213" t="inlineStr">
        <is>
          <t>Cty TNHH Cánh Đồng Vàng</t>
        </is>
      </c>
      <c r="E6213" t="inlineStr">
        <is>
          <t>Lương:15 Tr - 25 Tr VND</t>
        </is>
      </c>
      <c r="F6213" t="inlineStr">
        <is>
          <t>Hồ Chí Minh</t>
        </is>
      </c>
      <c r="G6213" t="inlineStr">
        <is>
          <t>Hôm nay</t>
        </is>
      </c>
      <c r="H6213" t="inlineStr">
        <is>
          <t>17/03/2026</t>
        </is>
      </c>
      <c r="I6213" t="inlineStr">
        <is>
          <t>17/03/2026</t>
        </is>
      </c>
      <c r="J6213" t="inlineStr">
        <is>
          <t>Bán hàng / Kinh doanh, Thực phẩm &amp; Đồ uống, Xuất nhập khẩu</t>
        </is>
      </c>
      <c r="K6213" t="inlineStr">
        <is>
          <t>2 - 5 Năm</t>
        </is>
      </c>
      <c r="L6213" s="8">
        <f>HYPERLINK("https://careerviet.vn/vi/tim-viec-lam/nhan-vien-kinh-doanh-xuat-khau.35C65BD9.html","Xem chi tiết")</f>
        <v/>
      </c>
    </row>
    <row r="6214">
      <c r="B6214" s="9" t="n">
        <v>6212</v>
      </c>
      <c r="C6214" s="10" t="inlineStr">
        <is>
          <t>Nhân viên phòng quản lý chất lượng ( QA/ QC)</t>
        </is>
      </c>
      <c r="D6214" s="10" t="inlineStr">
        <is>
          <t>CÔNG TY CỔ PHẦN DƯỢC PHẨM YÊN BÁI</t>
        </is>
      </c>
      <c r="E6214" s="10" t="inlineStr">
        <is>
          <t>Lương:7 Tr - 15 Tr VND</t>
        </is>
      </c>
      <c r="F6214" s="10" t="inlineStr">
        <is>
          <t>Yên BáiThái BìnhHà Nội</t>
        </is>
      </c>
      <c r="G6214" s="10" t="inlineStr">
        <is>
          <t>Hôm nay</t>
        </is>
      </c>
      <c r="H6214" s="10" t="inlineStr">
        <is>
          <t>17/03/2026</t>
        </is>
      </c>
      <c r="I6214" s="10" t="inlineStr">
        <is>
          <t>17/03/2026</t>
        </is>
      </c>
      <c r="J6214" s="10" t="inlineStr">
        <is>
          <t>Dược phẩm/ Hóa Mỹ Phẩm, Sản xuất / Vận hành sản xuất, Quản lý chất lượng (QA/QC)</t>
        </is>
      </c>
      <c r="K6214" s="10" t="inlineStr">
        <is>
          <t>N/A</t>
        </is>
      </c>
      <c r="L6214" s="11">
        <f>HYPERLINK("https://careerviet.vn/vi/tim-viec-lam/nhan-vien-phong-quan-ly-chat-luong-qa-qc.35C63131.html","Xem chi tiết")</f>
        <v/>
      </c>
      <c r="M6214" s="10" t="n"/>
    </row>
    <row r="6215">
      <c r="B6215" s="7" t="n">
        <v>6213</v>
      </c>
      <c r="C6215" t="inlineStr">
        <is>
          <t>Kỹ sư dịch vụ kỹ thuật 19121 - Cầu Giấy, HN</t>
        </is>
      </c>
      <c r="D6215" t="inlineStr">
        <is>
          <t>Công Ty TNHH Reeracoen Việt Nam</t>
        </is>
      </c>
      <c r="E6215" t="inlineStr">
        <is>
          <t>Lương:12 Tr - 16 Tr VND</t>
        </is>
      </c>
      <c r="F6215" t="inlineStr">
        <is>
          <t>Hà Nội</t>
        </is>
      </c>
      <c r="G6215" t="inlineStr">
        <is>
          <t>Hôm nay</t>
        </is>
      </c>
      <c r="H6215" t="inlineStr">
        <is>
          <t>17/03/2026</t>
        </is>
      </c>
      <c r="I6215" t="inlineStr">
        <is>
          <t>17/03/2026</t>
        </is>
      </c>
      <c r="J6215" t="inlineStr">
        <is>
          <t>Cơ khí / Ô tô / Tự động hóa, Điện / Điện tử / Điện lạnh / Điện công nghiệp, Bảo trì / Sửa chữa</t>
        </is>
      </c>
      <c r="K6215" t="inlineStr">
        <is>
          <t>1 - 2 Năm</t>
        </is>
      </c>
      <c r="L6215" s="8">
        <f>HYPERLINK("https://careerviet.vn/vi/tim-viec-lam/ky-su-dich-vu-ky-thuat-19121-cau-giay-hn.35C65DB2.html","Xem chi tiết")</f>
        <v/>
      </c>
    </row>
    <row r="6216">
      <c r="B6216" s="9" t="n">
        <v>6214</v>
      </c>
      <c r="C6216" s="10" t="inlineStr">
        <is>
          <t>KẾ TOÁN TRƯỞNG TẠI QUẬN 12 (18-25 TR)</t>
        </is>
      </c>
      <c r="D6216" s="10" t="inlineStr">
        <is>
          <t>CÔNG TY CỔ PHẦN TẬP ĐOÀN DEKKO</t>
        </is>
      </c>
      <c r="E6216" s="10" t="inlineStr">
        <is>
          <t>Lương:18 Tr - 25 Tr VND</t>
        </is>
      </c>
      <c r="F6216" s="10" t="inlineStr">
        <is>
          <t>Hồ Chí Minh</t>
        </is>
      </c>
      <c r="G6216" s="10" t="inlineStr">
        <is>
          <t>Hôm nay</t>
        </is>
      </c>
      <c r="H6216" s="10" t="inlineStr">
        <is>
          <t>17/03/2026</t>
        </is>
      </c>
      <c r="I6216" s="10" t="inlineStr">
        <is>
          <t>17/03/2026</t>
        </is>
      </c>
      <c r="J6216" s="10" t="inlineStr">
        <is>
          <t>Kế toán / Kiểm toán</t>
        </is>
      </c>
      <c r="K6216" s="10" t="inlineStr">
        <is>
          <t>3 - 5 Năm</t>
        </is>
      </c>
      <c r="L6216" s="11">
        <f>HYPERLINK("https://careerviet.vn/vi/tim-viec-lam/ke-toan-truong-tai-quan-12-18-25-tr.35C65C83.html","Xem chi tiết")</f>
        <v/>
      </c>
      <c r="M6216" s="10" t="n"/>
    </row>
    <row r="6217">
      <c r="B6217" s="7" t="n">
        <v>6215</v>
      </c>
      <c r="C6217" t="inlineStr">
        <is>
          <t>Telesales Training Specialist</t>
        </is>
      </c>
      <c r="D6217" t="inlineStr">
        <is>
          <t>FE CREDIT</t>
        </is>
      </c>
      <c r="E6217" t="inlineStr">
        <is>
          <t>Lương:Cạnh tranh</t>
        </is>
      </c>
      <c r="F6217" t="inlineStr">
        <is>
          <t>Hồ Chí Minh</t>
        </is>
      </c>
      <c r="G6217" t="inlineStr">
        <is>
          <t>Hôm nay</t>
        </is>
      </c>
      <c r="H6217" t="inlineStr">
        <is>
          <t>17/03/2026</t>
        </is>
      </c>
      <c r="I6217" t="inlineStr">
        <is>
          <t>17/03/2026</t>
        </is>
      </c>
      <c r="J6217" t="inlineStr">
        <is>
          <t>Giáo dục / Đào tạo, Nhân sự</t>
        </is>
      </c>
      <c r="K6217" t="inlineStr">
        <is>
          <t>1 - 3 Năm</t>
        </is>
      </c>
      <c r="L6217" s="8">
        <f>HYPERLINK("https://careerviet.vn/vi/tim-viec-lam/telesales-training-specialist.35C6320A.html","Xem chi tiết")</f>
        <v/>
      </c>
    </row>
    <row r="6218">
      <c r="B6218" s="9" t="n">
        <v>6216</v>
      </c>
      <c r="C6218" s="10" t="inlineStr">
        <is>
          <t>Research Executive (Market Research Agency)</t>
        </is>
      </c>
      <c r="D6218" s="10" t="inlineStr">
        <is>
          <t>TNHH MTV Cimigo</t>
        </is>
      </c>
      <c r="E6218" s="10" t="inlineStr">
        <is>
          <t>Lương:Cạnh tranh</t>
        </is>
      </c>
      <c r="F6218" s="10" t="inlineStr">
        <is>
          <t>Hồ Chí Minh</t>
        </is>
      </c>
      <c r="G6218" s="10" t="inlineStr">
        <is>
          <t>Hôm nay</t>
        </is>
      </c>
      <c r="H6218" s="10" t="inlineStr">
        <is>
          <t>17/03/2026</t>
        </is>
      </c>
      <c r="I6218" s="10" t="inlineStr">
        <is>
          <t>17/03/2026</t>
        </is>
      </c>
      <c r="J6218" s="10" t="inlineStr">
        <is>
          <t>Tiếp thị / Marketing, Thống kê, Quảng cáo / Đối ngoại / Truyền Thông</t>
        </is>
      </c>
      <c r="K6218" s="10" t="inlineStr">
        <is>
          <t>Trên 2 Năm</t>
        </is>
      </c>
      <c r="L6218" s="11">
        <f>HYPERLINK("https://careerviet.vn/vi/tim-viec-lam/research-executive-market-research-agency.35C65DA6.html","Xem chi tiết")</f>
        <v/>
      </c>
      <c r="M6218" s="10" t="n"/>
    </row>
    <row r="6219">
      <c r="B6219" s="7" t="n">
        <v>6217</v>
      </c>
      <c r="C6219" t="inlineStr">
        <is>
          <t>Kỹ Sư Hóa</t>
        </is>
      </c>
      <c r="D6219" t="inlineStr">
        <is>
          <t>CÔNG TY CỔ PHẦN PHÂN LÂN NUNG CHẢY VĂN ĐIỂN</t>
        </is>
      </c>
      <c r="E6219" t="inlineStr">
        <is>
          <t>Lương:17 Tr - 20 Tr VND</t>
        </is>
      </c>
      <c r="F6219" t="inlineStr">
        <is>
          <t>Hà Nội</t>
        </is>
      </c>
      <c r="G6219" t="inlineStr">
        <is>
          <t>Hôm nay</t>
        </is>
      </c>
      <c r="H6219" t="inlineStr">
        <is>
          <t>17/03/2026</t>
        </is>
      </c>
      <c r="I6219" t="inlineStr">
        <is>
          <t>17/03/2026</t>
        </is>
      </c>
      <c r="J6219" t="inlineStr">
        <is>
          <t>Công nghệ sinh học, Dầu khí, Hóa học</t>
        </is>
      </c>
      <c r="K6219" t="inlineStr">
        <is>
          <t>Trên 2 Năm</t>
        </is>
      </c>
      <c r="L6219" s="8">
        <f>HYPERLINK("https://careerviet.vn/vi/tim-viec-lam/ky-su-hoa.35C63219.html","Xem chi tiết")</f>
        <v/>
      </c>
    </row>
    <row r="6220">
      <c r="B6220" s="9" t="n">
        <v>6218</v>
      </c>
      <c r="C6220" s="10" t="inlineStr">
        <is>
          <t>Giao dịch viên - CN. Hải Dương (CN25.317)</t>
        </is>
      </c>
      <c r="D6220" s="10" t="inlineStr">
        <is>
          <t>Ngân Hàng TMCP Quân Đội</t>
        </is>
      </c>
      <c r="E6220" s="10" t="inlineStr">
        <is>
          <t>Lương:Cạnh tranh</t>
        </is>
      </c>
      <c r="F6220" s="10" t="inlineStr">
        <is>
          <t>Hải DươngHải Phòng</t>
        </is>
      </c>
      <c r="G6220" s="10" t="inlineStr">
        <is>
          <t>Hôm nay</t>
        </is>
      </c>
      <c r="H6220" s="10" t="inlineStr">
        <is>
          <t>17/03/2026</t>
        </is>
      </c>
      <c r="I6220" s="10" t="inlineStr">
        <is>
          <t>17/03/2026</t>
        </is>
      </c>
      <c r="J6220" s="10" t="inlineStr">
        <is>
          <t>Ngân hàng, Bán hàng / Kinh doanh, Dịch vụ khách hàng</t>
        </is>
      </c>
      <c r="K6220" s="10" t="inlineStr">
        <is>
          <t>N/A</t>
        </is>
      </c>
      <c r="L6220" s="11">
        <f>HYPERLINK("https://careerviet.vn/vi/tim-viec-lam/giao-dich-vien-cn-hai-duong-cn25-317.35C63231.html","Xem chi tiết")</f>
        <v/>
      </c>
      <c r="M6220" s="10" t="n"/>
    </row>
    <row r="6221">
      <c r="B6221" s="7" t="n">
        <v>6219</v>
      </c>
      <c r="C6221" t="inlineStr">
        <is>
          <t>Product Design (Mechatronics) Engineer</t>
        </is>
      </c>
      <c r="D6221" t="inlineStr">
        <is>
          <t>CÔNG TY TNHH TSARSI</t>
        </is>
      </c>
      <c r="E6221" t="inlineStr">
        <is>
          <t>Lương:Cạnh tranh</t>
        </is>
      </c>
      <c r="F6221" t="inlineStr">
        <is>
          <t>Hồ Chí Minh</t>
        </is>
      </c>
      <c r="G6221" t="inlineStr">
        <is>
          <t>Hôm nay</t>
        </is>
      </c>
      <c r="H6221" t="inlineStr">
        <is>
          <t>17/03/2026</t>
        </is>
      </c>
      <c r="I6221" t="inlineStr">
        <is>
          <t>17/03/2026</t>
        </is>
      </c>
      <c r="J6221" t="inlineStr">
        <is>
          <t>Cơ khí / Ô tô / Tự động hóa, Bảo trì / Sửa chữa, Điện / Điện tử / Điện lạnh / Điện công nghiệp</t>
        </is>
      </c>
      <c r="K6221" t="inlineStr">
        <is>
          <t>3 Năm</t>
        </is>
      </c>
      <c r="L6221" s="8">
        <f>HYPERLINK("https://careerviet.vn/vi/tim-viec-lam/product-design-mechatronics-engineer.35C65CC1.html","Xem chi tiết")</f>
        <v/>
      </c>
    </row>
    <row r="6222">
      <c r="B6222" s="9" t="n">
        <v>6220</v>
      </c>
      <c r="C6222" s="10" t="inlineStr">
        <is>
          <t>Giám Sát Dự Án Công Trình Lắp Đặt</t>
        </is>
      </c>
      <c r="D6222" s="10" t="inlineStr">
        <is>
          <t>CÔNG TY TNHH CƠ KHÍ VÀ DỊCH VỤ KỸ THUẬT LIÊN MINH</t>
        </is>
      </c>
      <c r="E6222" s="10" t="inlineStr">
        <is>
          <t>Lương:Cạnh tranh</t>
        </is>
      </c>
      <c r="F6222" s="10" t="inlineStr">
        <is>
          <t>Bình Dương</t>
        </is>
      </c>
      <c r="G6222" s="10" t="inlineStr">
        <is>
          <t>Hôm nay</t>
        </is>
      </c>
      <c r="H6222" s="10" t="inlineStr">
        <is>
          <t>17/03/2026</t>
        </is>
      </c>
      <c r="I6222" s="10" t="inlineStr">
        <is>
          <t>17/03/2026</t>
        </is>
      </c>
      <c r="J6222" s="10" t="inlineStr">
        <is>
          <t>Cơ khí / Ô tô / Tự động hóa, Bảo trì / Sửa chữa, Xây dựng</t>
        </is>
      </c>
      <c r="K6222" s="10" t="inlineStr">
        <is>
          <t>Trên 1 Năm</t>
        </is>
      </c>
      <c r="L6222" s="11">
        <f>HYPERLINK("https://careerviet.vn/vi/tim-viec-lam/giam-sat-du-an-cong-trinh-lap-dat.35C631F3.html","Xem chi tiết")</f>
        <v/>
      </c>
      <c r="M6222" s="10" t="n"/>
    </row>
    <row r="6223">
      <c r="B6223" s="7" t="n">
        <v>6221</v>
      </c>
      <c r="C6223" t="inlineStr">
        <is>
          <t>Trưởng phòng Kinh doanh</t>
        </is>
      </c>
      <c r="D6223" t="inlineStr">
        <is>
          <t>Công Ty Sơn Touchstone</t>
        </is>
      </c>
      <c r="E6223" t="inlineStr">
        <is>
          <t>Lương:Trên 18 Tr VND</t>
        </is>
      </c>
      <c r="F6223" t="inlineStr">
        <is>
          <t>Hồ Chí Minh</t>
        </is>
      </c>
      <c r="G6223" t="inlineStr">
        <is>
          <t>Hôm nay</t>
        </is>
      </c>
      <c r="H6223" t="inlineStr">
        <is>
          <t>17/03/2026</t>
        </is>
      </c>
      <c r="I6223" t="inlineStr">
        <is>
          <t>17/03/2026</t>
        </is>
      </c>
      <c r="J6223" t="inlineStr">
        <is>
          <t>Bán hàng / Kinh doanh, Quản lý điều hành, Xây dựng</t>
        </is>
      </c>
      <c r="K6223" t="inlineStr">
        <is>
          <t>Trên 3 Năm</t>
        </is>
      </c>
      <c r="L6223" s="8">
        <f>HYPERLINK("https://careerviet.vn/vi/tim-viec-lam/truong-phong-kinh-doanh.35C65C89.html","Xem chi tiết")</f>
        <v/>
      </c>
    </row>
    <row r="6224">
      <c r="B6224" s="9" t="n">
        <v>6222</v>
      </c>
      <c r="C6224" s="10" t="inlineStr">
        <is>
          <t>NHÂN VIÊN KẾ TOÁN THUẾ</t>
        </is>
      </c>
      <c r="D6224" s="10" t="inlineStr">
        <is>
          <t>CÔNG TY TNHH ĐẦU TƯ MAI TÂM ANH</t>
        </is>
      </c>
      <c r="E6224" s="10" t="inlineStr">
        <is>
          <t>Lương:9 Tr - 12 Tr VND</t>
        </is>
      </c>
      <c r="F6224" s="10" t="inlineStr">
        <is>
          <t>Hồ Chí Minh</t>
        </is>
      </c>
      <c r="G6224" s="10" t="inlineStr">
        <is>
          <t>Hôm nay</t>
        </is>
      </c>
      <c r="H6224" s="10" t="inlineStr">
        <is>
          <t>17/03/2026</t>
        </is>
      </c>
      <c r="I6224" s="10" t="inlineStr">
        <is>
          <t>17/03/2026</t>
        </is>
      </c>
      <c r="J6224" s="10" t="inlineStr">
        <is>
          <t>Bán hàng / Kinh doanh, Kế toán / Kiểm toán, Tài chính / Đầu tư</t>
        </is>
      </c>
      <c r="K6224" s="10" t="inlineStr">
        <is>
          <t>1 - 2 Năm</t>
        </is>
      </c>
      <c r="L6224" s="11">
        <f>HYPERLINK("https://careerviet.vn/vi/tim-viec-lam/nhan-vien-ke-toan-thue.35C6319B.html","Xem chi tiết")</f>
        <v/>
      </c>
      <c r="M6224" s="10" t="n"/>
    </row>
    <row r="6225">
      <c r="B6225" s="7" t="n">
        <v>6223</v>
      </c>
      <c r="C6225" t="inlineStr">
        <is>
          <t>Office Manager (CSR &amp; General Services)</t>
        </is>
      </c>
      <c r="D6225" t="inlineStr">
        <is>
          <t>CÔNG TY TNHH GIVAUDAN VIỆT NAM</t>
        </is>
      </c>
      <c r="E6225" t="inlineStr">
        <is>
          <t>Lương:Cạnh tranh</t>
        </is>
      </c>
      <c r="F6225" t="inlineStr">
        <is>
          <t>Bình Dương</t>
        </is>
      </c>
      <c r="G6225" t="inlineStr">
        <is>
          <t>30-03-2026</t>
        </is>
      </c>
      <c r="H6225" t="inlineStr">
        <is>
          <t>30/03/2026</t>
        </is>
      </c>
      <c r="I6225" t="inlineStr">
        <is>
          <t>17/03/2026</t>
        </is>
      </c>
      <c r="J6225" t="inlineStr">
        <is>
          <t>Hành chính / Thư ký, Quản lý điều hành, Dịch vụ khách hàng</t>
        </is>
      </c>
      <c r="K6225" t="inlineStr">
        <is>
          <t>5 - 10 Năm</t>
        </is>
      </c>
      <c r="L6225" s="8">
        <f>HYPERLINK("https://careerviet.vn/vi/tim-viec-lam/office-manager-csr-general-services.35C65D8C.html","Xem chi tiết")</f>
        <v/>
      </c>
    </row>
    <row r="6226">
      <c r="B6226" s="9" t="n">
        <v>6224</v>
      </c>
      <c r="C6226" s="10" t="inlineStr">
        <is>
          <t>Director of Sales and Marketing</t>
        </is>
      </c>
      <c r="D6226" s="10" t="inlineStr">
        <is>
          <t>Công ty Cổ phần Tập đoàn Minh Anh</t>
        </is>
      </c>
      <c r="E6226" s="10" t="inlineStr">
        <is>
          <t>Lương:Cạnh tranh</t>
        </is>
      </c>
      <c r="F6226" s="10" t="inlineStr">
        <is>
          <t>Hà Nội</t>
        </is>
      </c>
      <c r="G6226" s="10" t="inlineStr">
        <is>
          <t>Hôm nay</t>
        </is>
      </c>
      <c r="H6226" s="10" t="inlineStr">
        <is>
          <t>17/03/2026</t>
        </is>
      </c>
      <c r="I6226" s="10" t="inlineStr">
        <is>
          <t>17/03/2026</t>
        </is>
      </c>
      <c r="J6226" s="10" t="inlineStr">
        <is>
          <t>Dịch vụ khách hàng, Nhà hàng / Khách sạn, Du lịch</t>
        </is>
      </c>
      <c r="K6226" s="10" t="inlineStr">
        <is>
          <t>5 - 10 Năm</t>
        </is>
      </c>
      <c r="L6226" s="11">
        <f>HYPERLINK("https://careerviet.vn/vi/tim-viec-lam/director-of-sales-and-marketing.35C631F4.html","Xem chi tiết")</f>
        <v/>
      </c>
      <c r="M6226" s="10" t="n"/>
    </row>
    <row r="6227">
      <c r="B6227" s="7" t="n">
        <v>6225</v>
      </c>
      <c r="C6227" t="inlineStr">
        <is>
          <t>Nhân Viên Kỹ Thuật Ứng Dụng Phụ Gia (Chăn Nuôi/Thủy Sản)</t>
        </is>
      </c>
      <c r="D6227" t="inlineStr">
        <is>
          <t>Công Ty TNHH TM SX Me Non</t>
        </is>
      </c>
      <c r="E6227" t="inlineStr">
        <is>
          <t>Lương:Trên 15 Tr VND</t>
        </is>
      </c>
      <c r="F6227" t="inlineStr">
        <is>
          <t>Hồ Chí Minh</t>
        </is>
      </c>
      <c r="G6227" t="inlineStr">
        <is>
          <t>Hôm nay</t>
        </is>
      </c>
      <c r="H6227" t="inlineStr">
        <is>
          <t>17/03/2026</t>
        </is>
      </c>
      <c r="I6227" t="inlineStr">
        <is>
          <t>17/03/2026</t>
        </is>
      </c>
      <c r="J6227" t="inlineStr">
        <is>
          <t>Thủy sản / Hải sản, Chăn nuôi / Thú y, Công nghệ thực phẩm / Dinh dưỡng</t>
        </is>
      </c>
      <c r="K6227" t="inlineStr">
        <is>
          <t>N/A</t>
        </is>
      </c>
      <c r="L6227" s="8">
        <f>HYPERLINK("https://careerviet.vn/vi/tim-viec-lam/nhan-vien-ky-thuat-ung-dung-phu-gia-chan-nuoi-thuy-san.35C63115.html","Xem chi tiết")</f>
        <v/>
      </c>
    </row>
    <row r="6228">
      <c r="B6228" s="9" t="n">
        <v>6226</v>
      </c>
      <c r="C6228" s="10" t="inlineStr">
        <is>
          <t>Nhân Viên Kinh Doanh</t>
        </is>
      </c>
      <c r="D6228" s="10" t="inlineStr">
        <is>
          <t>CÔNG TY TNHH BRANDSON VIỆT NAM</t>
        </is>
      </c>
      <c r="E6228" s="10" t="inlineStr">
        <is>
          <t>Lương:10 Tr - 15 Tr VND</t>
        </is>
      </c>
      <c r="F6228" s="10" t="inlineStr">
        <is>
          <t>Hồ Chí Minh</t>
        </is>
      </c>
      <c r="G6228" s="10" t="inlineStr">
        <is>
          <t>Hôm nay</t>
        </is>
      </c>
      <c r="H6228" s="10" t="inlineStr">
        <is>
          <t>17/03/2026</t>
        </is>
      </c>
      <c r="I6228" s="10" t="inlineStr">
        <is>
          <t>17/03/2026</t>
        </is>
      </c>
      <c r="J6228" s="10" t="inlineStr">
        <is>
          <t>Bán hàng / Kinh doanh, Y tế / Chăm sóc sức khỏe / Thẩm mỹ / Làm đẹp, Tiếp thị trực tuyến</t>
        </is>
      </c>
      <c r="K6228" s="10" t="inlineStr">
        <is>
          <t>Trên 1 Năm</t>
        </is>
      </c>
      <c r="L6228" s="11">
        <f>HYPERLINK("https://careerviet.vn/vi/tim-viec-lam/nhan-vien-kinh-doanh.35C65C7F.html","Xem chi tiết")</f>
        <v/>
      </c>
      <c r="M6228" s="10" t="n"/>
    </row>
    <row r="6229">
      <c r="B6229" s="7" t="n">
        <v>6227</v>
      </c>
      <c r="C6229" t="inlineStr">
        <is>
          <t>Trưởng phòng Công nghệ Thị giác Máy tính - Phòng Công nghệ thị giác máy tính - Head of Computer Vision Technology Department  - Khối CNTT (HO25.531)</t>
        </is>
      </c>
      <c r="D6229" t="inlineStr">
        <is>
          <t>Ngân Hàng TMCP Quân Đội</t>
        </is>
      </c>
      <c r="E6229" t="inlineStr">
        <is>
          <t>Lương:Cạnh tranh</t>
        </is>
      </c>
      <c r="F6229" t="inlineStr">
        <is>
          <t>Hà Nội</t>
        </is>
      </c>
      <c r="G6229" t="inlineStr">
        <is>
          <t>Hôm nay</t>
        </is>
      </c>
      <c r="H6229" t="inlineStr">
        <is>
          <t>17/03/2026</t>
        </is>
      </c>
      <c r="I6229" t="inlineStr">
        <is>
          <t>17/03/2026</t>
        </is>
      </c>
      <c r="J6229" t="inlineStr">
        <is>
          <t>CNTT - Phần mềm, CNTT - Phần cứng / Mạng</t>
        </is>
      </c>
      <c r="K6229" t="inlineStr">
        <is>
          <t>Trên 5 Năm</t>
        </is>
      </c>
      <c r="L6229" s="8">
        <f>HYPERLINK("https://careerviet.vn/vi/tim-viec-lam/truong-phong-cong-nghe-thi-giac-may-tinh-phong-cong-nghe-thi-giac-may-tinh-head-of-computer-vision-technology-department-khoi-cntt-ho25-531.35C6322D.html","Xem chi tiết")</f>
        <v/>
      </c>
    </row>
    <row r="6230">
      <c r="B6230" s="9" t="n">
        <v>6228</v>
      </c>
      <c r="C6230" s="10" t="inlineStr">
        <is>
          <t>Environmental Leader (Assistant Manager)</t>
        </is>
      </c>
      <c r="D6230" s="10" t="inlineStr">
        <is>
          <t>Samsung Electronics HCMC CE Complex Co., Ltd</t>
        </is>
      </c>
      <c r="E6230" s="10" t="inlineStr">
        <is>
          <t>Lương:Cạnh tranh</t>
        </is>
      </c>
      <c r="F6230" s="10" t="inlineStr">
        <is>
          <t>Hồ Chí Minh</t>
        </is>
      </c>
      <c r="G6230" s="10" t="inlineStr">
        <is>
          <t>Hôm nay</t>
        </is>
      </c>
      <c r="H6230" s="10" t="inlineStr">
        <is>
          <t>17/03/2026</t>
        </is>
      </c>
      <c r="I6230" s="10" t="inlineStr">
        <is>
          <t>17/03/2026</t>
        </is>
      </c>
      <c r="J6230" s="10" t="inlineStr">
        <is>
          <t>Môi trường</t>
        </is>
      </c>
      <c r="K6230" s="10" t="inlineStr">
        <is>
          <t>4 - 8 Năm</t>
        </is>
      </c>
      <c r="L6230" s="11">
        <f>HYPERLINK("https://careerviet.vn/vi/tim-viec-lam/environmental-leader-assistant-manager.35C65D3D.html","Xem chi tiết")</f>
        <v/>
      </c>
      <c r="M6230" s="10" t="n"/>
    </row>
    <row r="6231">
      <c r="B6231" s="7" t="n">
        <v>6229</v>
      </c>
      <c r="C6231" t="inlineStr">
        <is>
          <t>[Khánh Hòa] Giám Sát Bán Hàng</t>
        </is>
      </c>
      <c r="D6231" t="inlineStr">
        <is>
          <t>Coca-Cola Beverages Vietnam</t>
        </is>
      </c>
      <c r="E6231" t="inlineStr">
        <is>
          <t>Lương:Cạnh tranh</t>
        </is>
      </c>
      <c r="F6231" t="inlineStr">
        <is>
          <t>Khánh Hòa</t>
        </is>
      </c>
      <c r="G6231" t="inlineStr">
        <is>
          <t>Hôm nay</t>
        </is>
      </c>
      <c r="H6231" t="inlineStr">
        <is>
          <t>17/03/2026</t>
        </is>
      </c>
      <c r="I6231" t="inlineStr">
        <is>
          <t>17/03/2026</t>
        </is>
      </c>
      <c r="J6231" t="inlineStr">
        <is>
          <t>Bán hàng / Kinh doanh</t>
        </is>
      </c>
      <c r="K6231" t="inlineStr">
        <is>
          <t>1 - 10 Năm</t>
        </is>
      </c>
      <c r="L6231" s="8">
        <f>HYPERLINK("https://careerviet.vn/vi/tim-viec-lam/khanh-hoa-giam-sat-ban-hang.35C6303D.html","Xem chi tiết")</f>
        <v/>
      </c>
    </row>
    <row r="6232">
      <c r="B6232" s="9" t="n">
        <v>6230</v>
      </c>
      <c r="C6232" s="10" t="inlineStr">
        <is>
          <t>Kỹ sư triển khai bản vẽ Shopdrawing</t>
        </is>
      </c>
      <c r="D6232" s="10" t="inlineStr">
        <is>
          <t>Công Ty Cổ Phần Thương Mại Aqua Stone</t>
        </is>
      </c>
      <c r="E6232" s="10" t="inlineStr">
        <is>
          <t>Lương:13 Tr - 18 Tr VND</t>
        </is>
      </c>
      <c r="F6232" s="10" t="inlineStr">
        <is>
          <t>Hồ Chí Minh</t>
        </is>
      </c>
      <c r="G6232" s="10" t="inlineStr">
        <is>
          <t>Hôm nay</t>
        </is>
      </c>
      <c r="H6232" s="10" t="inlineStr">
        <is>
          <t>17/03/2026</t>
        </is>
      </c>
      <c r="I6232" s="10" t="inlineStr">
        <is>
          <t>17/03/2026</t>
        </is>
      </c>
      <c r="J6232" s="10" t="inlineStr">
        <is>
          <t>Kiến trúc, Xây dựng, Nội ngoại thất</t>
        </is>
      </c>
      <c r="K6232" s="10" t="inlineStr">
        <is>
          <t>N/A</t>
        </is>
      </c>
      <c r="L6232" s="11">
        <f>HYPERLINK("https://careerviet.vn/vi/tim-viec-lam/ky-su-trien-khai-ban-ve-shopdrawing.35C63055.html","Xem chi tiết")</f>
        <v/>
      </c>
      <c r="M6232" s="10" t="n"/>
    </row>
    <row r="6233">
      <c r="B6233" s="7" t="n">
        <v>6231</v>
      </c>
      <c r="C6233" t="inlineStr">
        <is>
          <t>Senior C&amp;B (Outsourcing Services)</t>
        </is>
      </c>
      <c r="D6233" t="inlineStr">
        <is>
          <t>Cổ Phần Kết Nối Nhân Tài - Talentnet Corporation</t>
        </is>
      </c>
      <c r="E6233" t="inlineStr">
        <is>
          <t>Lương:Cạnh tranh</t>
        </is>
      </c>
      <c r="F6233" t="inlineStr">
        <is>
          <t>Hồ Chí Minh</t>
        </is>
      </c>
      <c r="G6233" t="inlineStr">
        <is>
          <t>Hôm nay</t>
        </is>
      </c>
      <c r="H6233" t="inlineStr">
        <is>
          <t>17/03/2026</t>
        </is>
      </c>
      <c r="I6233" t="inlineStr">
        <is>
          <t>17/03/2026</t>
        </is>
      </c>
      <c r="J6233" t="inlineStr">
        <is>
          <t>Nhân sự</t>
        </is>
      </c>
      <c r="K6233" t="inlineStr">
        <is>
          <t>2 - 3 Năm</t>
        </is>
      </c>
      <c r="L6233" s="8">
        <f>HYPERLINK("https://careerviet.vn/vi/tim-viec-lam/senior-c-b-outsourcing-services.35C65D74.html","Xem chi tiết")</f>
        <v/>
      </c>
    </row>
    <row r="6234">
      <c r="B6234" s="9" t="n">
        <v>6232</v>
      </c>
      <c r="C6234" s="10" t="inlineStr">
        <is>
          <t>Chuyên Viên Truyền Thông</t>
        </is>
      </c>
      <c r="D6234" s="10" t="inlineStr">
        <is>
          <t>NGÂN HÀNG TMCP NGOẠI THƯƠNG VIỆT NAM (VIETCOMBANK)</t>
        </is>
      </c>
      <c r="E6234" s="10" t="inlineStr">
        <is>
          <t>Lương:Cạnh tranh</t>
        </is>
      </c>
      <c r="F6234" s="10" t="inlineStr">
        <is>
          <t>Hà Nội</t>
        </is>
      </c>
      <c r="G6234" s="10" t="inlineStr">
        <is>
          <t>Hôm nay</t>
        </is>
      </c>
      <c r="H6234" s="10" t="inlineStr">
        <is>
          <t>17/03/2026</t>
        </is>
      </c>
      <c r="I6234" s="10" t="inlineStr">
        <is>
          <t>17/03/2026</t>
        </is>
      </c>
      <c r="J6234" s="10" t="inlineStr">
        <is>
          <t>Tiếp thị / Marketing, Truyền hình / Báo chí / Biên tập, Quảng cáo / Đối ngoại / Truyền Thông</t>
        </is>
      </c>
      <c r="K6234" s="10" t="inlineStr">
        <is>
          <t>Trên 1 Năm</t>
        </is>
      </c>
      <c r="L6234" s="11">
        <f>HYPERLINK("https://careerviet.vn/vi/tim-viec-lam/chuyen-vien-truyen-thong.35C63225.html","Xem chi tiết")</f>
        <v/>
      </c>
      <c r="M6234" s="10" t="n"/>
    </row>
    <row r="6235">
      <c r="B6235" s="7" t="n">
        <v>6233</v>
      </c>
      <c r="C6235" t="inlineStr">
        <is>
          <t>Kế Toán Doanh Nghiệp Sản Xuất</t>
        </is>
      </c>
      <c r="D6235" t="inlineStr">
        <is>
          <t>CÔNG TY TNHH DTDAUTO</t>
        </is>
      </c>
      <c r="E6235" t="inlineStr">
        <is>
          <t>Lương:16 Tr - 25 Tr VND</t>
        </is>
      </c>
      <c r="F6235" t="inlineStr">
        <is>
          <t>Hà Nội</t>
        </is>
      </c>
      <c r="G6235" t="inlineStr">
        <is>
          <t>Hôm nay</t>
        </is>
      </c>
      <c r="H6235" t="inlineStr">
        <is>
          <t>17/03/2026</t>
        </is>
      </c>
      <c r="I6235" t="inlineStr">
        <is>
          <t>17/03/2026</t>
        </is>
      </c>
      <c r="J6235" t="inlineStr">
        <is>
          <t>Kế toán / Kiểm toán, Sản xuất / Vận hành sản xuất, Tài chính / Đầu tư</t>
        </is>
      </c>
      <c r="K6235" t="inlineStr">
        <is>
          <t>Trên 5 Năm</t>
        </is>
      </c>
      <c r="L6235" s="8">
        <f>HYPERLINK("https://careerviet.vn/vi/tim-viec-lam/ke-toan-doanh-nghiep-san-xuat.35C65D14.html","Xem chi tiết")</f>
        <v/>
      </c>
    </row>
    <row r="6236">
      <c r="B6236" s="9" t="n">
        <v>6234</v>
      </c>
      <c r="C6236" s="10" t="inlineStr">
        <is>
          <t>CHUYÊN VIÊN TƯ VẤN ĐẦU TƯ CHỨNG KHOÁN HCM</t>
        </is>
      </c>
      <c r="D6236" s="10" t="inlineStr">
        <is>
          <t>VDSC - Công ty CP Chứng khoán Rồng Việt</t>
        </is>
      </c>
      <c r="E6236" s="10" t="inlineStr">
        <is>
          <t>Lương:7 Tr - 20 Tr VND</t>
        </is>
      </c>
      <c r="F6236" s="10" t="inlineStr">
        <is>
          <t>Hồ Chí Minh</t>
        </is>
      </c>
      <c r="G6236" s="10" t="inlineStr">
        <is>
          <t>Hôm nay</t>
        </is>
      </c>
      <c r="H6236" s="10" t="inlineStr">
        <is>
          <t>17/03/2026</t>
        </is>
      </c>
      <c r="I6236" s="10" t="inlineStr">
        <is>
          <t>17/03/2026</t>
        </is>
      </c>
      <c r="J6236" s="10" t="inlineStr">
        <is>
          <t>Ngân hàng, Chứng khoán, Tài chính / Đầu tư</t>
        </is>
      </c>
      <c r="K6236" s="10" t="inlineStr">
        <is>
          <t>N/A</t>
        </is>
      </c>
      <c r="L6236" s="11">
        <f>HYPERLINK("https://careerviet.vn/vi/tim-viec-lam/chuyen-vien-tu-van-dau-tu-chung-khoan-hcm.35C63162.html","Xem chi tiết")</f>
        <v/>
      </c>
      <c r="M6236" s="10" t="n"/>
    </row>
    <row r="6237">
      <c r="B6237" s="7" t="n">
        <v>6235</v>
      </c>
      <c r="C6237" t="inlineStr">
        <is>
          <t>Hành Chính Lễ Tân - Receptionist (Ưu Tiên Ca Tối)</t>
        </is>
      </c>
      <c r="D6237" t="inlineStr">
        <is>
          <t>Stay Studio Apartment - Hoàng Long Sơn 2 Hotel</t>
        </is>
      </c>
      <c r="E6237" t="inlineStr">
        <is>
          <t>Lương:9 Tr - 11 Tr VND</t>
        </is>
      </c>
      <c r="F6237" t="inlineStr">
        <is>
          <t>Hồ Chí Minh</t>
        </is>
      </c>
      <c r="G6237" t="inlineStr">
        <is>
          <t>Hôm nay</t>
        </is>
      </c>
      <c r="H6237" t="inlineStr">
        <is>
          <t>17/03/2026</t>
        </is>
      </c>
      <c r="I6237" t="inlineStr">
        <is>
          <t>17/03/2026</t>
        </is>
      </c>
      <c r="J6237" t="inlineStr">
        <is>
          <t>Dịch vụ khách hàng, Hành chính / Thư ký, Nhân sự</t>
        </is>
      </c>
      <c r="K6237" t="inlineStr">
        <is>
          <t>N/A</t>
        </is>
      </c>
      <c r="L6237" s="8">
        <f>HYPERLINK("https://careerviet.vn/vi/tim-viec-lam/hanh-chinh-le-tan-receptionist-uu-tien-ca-toi.35C65D78.html","Xem chi tiết")</f>
        <v/>
      </c>
    </row>
    <row r="6238">
      <c r="B6238" s="9" t="n">
        <v>6236</v>
      </c>
      <c r="C6238" s="10" t="inlineStr">
        <is>
          <t>Kỹ sư tự động hóa</t>
        </is>
      </c>
      <c r="D6238" s="10" t="inlineStr">
        <is>
          <t>CÔNG TY TRÁCH NHIỆM HỮU HẠN SÀI GÒN PRECISION</t>
        </is>
      </c>
      <c r="E6238" s="10" t="inlineStr">
        <is>
          <t>Lương:Cạnh tranh</t>
        </is>
      </c>
      <c r="F6238" s="10" t="inlineStr">
        <is>
          <t>Hồ Chí Minh</t>
        </is>
      </c>
      <c r="G6238" s="10" t="inlineStr">
        <is>
          <t>Hôm nay</t>
        </is>
      </c>
      <c r="H6238" s="10" t="inlineStr">
        <is>
          <t>17/03/2026</t>
        </is>
      </c>
      <c r="I6238" s="10" t="inlineStr">
        <is>
          <t>17/03/2026</t>
        </is>
      </c>
      <c r="J6238" s="10" t="inlineStr">
        <is>
          <t>Cơ khí / Ô tô / Tự động hóa</t>
        </is>
      </c>
      <c r="K6238" s="10" t="inlineStr">
        <is>
          <t>2 - 5 Năm</t>
        </is>
      </c>
      <c r="L6238" s="11">
        <f>HYPERLINK("https://careerviet.vn/vi/tim-viec-lam/ky-su-tu-dong-hoa.35C65C76.html","Xem chi tiết")</f>
        <v/>
      </c>
      <c r="M6238" s="10" t="n"/>
    </row>
    <row r="6239">
      <c r="B6239" s="7" t="n">
        <v>6237</v>
      </c>
      <c r="C6239" t="inlineStr">
        <is>
          <t>Phó Phòng Thiết Kế Nội Thất</t>
        </is>
      </c>
      <c r="D6239" t="inlineStr">
        <is>
          <t>CÔNG TY CỔ PHẦN TƯ VẤN ĐẦU TƯ THIẾT KẾ XÂY DỰNG ĐÔNG CƯỜNG</t>
        </is>
      </c>
      <c r="E6239" t="inlineStr">
        <is>
          <t>Lương:20 Tr - 30 Tr VND</t>
        </is>
      </c>
      <c r="F6239" t="inlineStr">
        <is>
          <t>Hồ Chí Minh</t>
        </is>
      </c>
      <c r="G6239" t="inlineStr">
        <is>
          <t>Hôm nay</t>
        </is>
      </c>
      <c r="H6239" t="inlineStr">
        <is>
          <t>17/03/2026</t>
        </is>
      </c>
      <c r="I6239" t="inlineStr">
        <is>
          <t>17/03/2026</t>
        </is>
      </c>
      <c r="J6239" t="inlineStr">
        <is>
          <t>Xây dựng, Nội ngoại thất, Kiến trúc</t>
        </is>
      </c>
      <c r="K6239" t="inlineStr">
        <is>
          <t>3 - 5 Năm</t>
        </is>
      </c>
      <c r="L6239" s="8">
        <f>HYPERLINK("https://careerviet.vn/vi/tim-viec-lam/pho-phong-thiet-ke-noi-that.35C65DAD.html","Xem chi tiết")</f>
        <v/>
      </c>
    </row>
    <row r="6240">
      <c r="B6240" s="9" t="n">
        <v>6238</v>
      </c>
      <c r="C6240" s="10" t="inlineStr">
        <is>
          <t>Kỹ Sư Giám Sát Xây dựng/M&amp;E</t>
        </is>
      </c>
      <c r="D6240" s="10" t="inlineStr">
        <is>
          <t>Công Ty Cổ Phần NICON</t>
        </is>
      </c>
      <c r="E6240" s="10" t="inlineStr">
        <is>
          <t>Lương:Cạnh tranh</t>
        </is>
      </c>
      <c r="F6240" s="10" t="inlineStr">
        <is>
          <t>Hồ Chí MinhTây Ninh</t>
        </is>
      </c>
      <c r="G6240" s="10" t="inlineStr">
        <is>
          <t>Hôm nay</t>
        </is>
      </c>
      <c r="H6240" s="10" t="inlineStr">
        <is>
          <t>17/03/2026</t>
        </is>
      </c>
      <c r="I6240" s="10" t="inlineStr">
        <is>
          <t>17/03/2026</t>
        </is>
      </c>
      <c r="J6240" s="10" t="inlineStr">
        <is>
          <t>Xây dựng, Kiến trúc</t>
        </is>
      </c>
      <c r="K6240" s="10" t="inlineStr">
        <is>
          <t>N/A</t>
        </is>
      </c>
      <c r="L6240" s="11">
        <f>HYPERLINK("https://careerviet.vn/vi/tim-viec-lam/ky-su-giam-sat-xay-dung-m-e.35C65D18.html","Xem chi tiết")</f>
        <v/>
      </c>
      <c r="M6240" s="10" t="n"/>
    </row>
    <row r="6241">
      <c r="B6241" s="7" t="n">
        <v>6239</v>
      </c>
      <c r="C6241" t="inlineStr">
        <is>
          <t>Nhân viên xử lý đơn hàng</t>
        </is>
      </c>
      <c r="D6241" t="inlineStr">
        <is>
          <t>CÔNG TY TNHH THỰC PHẨM THÁI SƠN</t>
        </is>
      </c>
      <c r="E6241" t="inlineStr">
        <is>
          <t>Lương:7 Tr - 8 Tr VND</t>
        </is>
      </c>
      <c r="F6241" t="inlineStr">
        <is>
          <t>Hồ Chí Minh</t>
        </is>
      </c>
      <c r="G6241" t="inlineStr">
        <is>
          <t>Hôm nay</t>
        </is>
      </c>
      <c r="H6241" t="inlineStr">
        <is>
          <t>17/03/2026</t>
        </is>
      </c>
      <c r="I6241" t="inlineStr">
        <is>
          <t>17/03/2026</t>
        </is>
      </c>
      <c r="J6241" t="inlineStr">
        <is>
          <t>Bán lẻ / Bán sỉ, Bán hàng / Kinh doanh, Thực phẩm &amp; Đồ uống</t>
        </is>
      </c>
      <c r="K6241" t="inlineStr">
        <is>
          <t>Chưa có kinh nghiệm</t>
        </is>
      </c>
      <c r="L6241" s="8">
        <f>HYPERLINK("https://careerviet.vn/vi/tim-viec-lam/nhan-vien-xu-ly-don-hang.35C65BE1.html","Xem chi tiết")</f>
        <v/>
      </c>
    </row>
    <row r="6242">
      <c r="B6242" s="9" t="n">
        <v>6240</v>
      </c>
      <c r="C6242" s="10" t="inlineStr">
        <is>
          <t>Sales Executive (logistics/ freight forwarding)</t>
        </is>
      </c>
      <c r="D6242" s="10" t="inlineStr">
        <is>
          <t>Talent Trader Vietnam</t>
        </is>
      </c>
      <c r="E6242" s="10" t="inlineStr">
        <is>
          <t>Lương:20 Tr - 30 Tr VND</t>
        </is>
      </c>
      <c r="F6242" s="10" t="inlineStr">
        <is>
          <t>Hà Nội</t>
        </is>
      </c>
      <c r="G6242" s="10" t="inlineStr">
        <is>
          <t>Hôm nay</t>
        </is>
      </c>
      <c r="H6242" s="10" t="inlineStr">
        <is>
          <t>17/03/2026</t>
        </is>
      </c>
      <c r="I6242" s="10" t="inlineStr">
        <is>
          <t>17/03/2026</t>
        </is>
      </c>
      <c r="J6242" s="10" t="inlineStr">
        <is>
          <t>Bán hàng / Kinh doanh, Vận chuyển / Giao nhận / Kho vận</t>
        </is>
      </c>
      <c r="K6242" s="10" t="inlineStr">
        <is>
          <t>1 - 3 Năm</t>
        </is>
      </c>
      <c r="L6242" s="11">
        <f>HYPERLINK("https://careerviet.vn/vi/tim-viec-lam/sales-executive-logistics-freight-forwarding.35C65C40.html","Xem chi tiết")</f>
        <v/>
      </c>
      <c r="M6242" s="10" t="n"/>
    </row>
    <row r="6243">
      <c r="B6243" s="7" t="n">
        <v>6241</v>
      </c>
      <c r="C6243" t="inlineStr">
        <is>
          <t>Trưởng nhóm Lập trình Java (tham gia các cuộc thi trong và ngoài nước về lập trình)</t>
        </is>
      </c>
      <c r="D6243" t="inlineStr">
        <is>
          <t>Tổng Công ty Cổ phần Công trình Viettel</t>
        </is>
      </c>
      <c r="E6243" t="inlineStr">
        <is>
          <t>Lương:30 Tr - 40 Tr VND</t>
        </is>
      </c>
      <c r="F6243" t="inlineStr">
        <is>
          <t>Hà Nội</t>
        </is>
      </c>
      <c r="G6243" t="inlineStr">
        <is>
          <t>Hôm nay</t>
        </is>
      </c>
      <c r="H6243" t="inlineStr">
        <is>
          <t>17/03/2026</t>
        </is>
      </c>
      <c r="I6243" t="inlineStr">
        <is>
          <t>17/03/2026</t>
        </is>
      </c>
      <c r="J6243" t="inlineStr">
        <is>
          <t>CNTT - Phần cứng / Mạng, CNTT - Phần mềm</t>
        </is>
      </c>
      <c r="K6243" t="inlineStr">
        <is>
          <t>3 - 4 Năm</t>
        </is>
      </c>
      <c r="L6243" s="8">
        <f>HYPERLINK("https://careerviet.vn/vi/tim-viec-lam/truong-nhom-lap-trinh-java-tham-gia-cac-cuoc-thi-trong-va-ngoai-nuoc-ve-lap-trinh.35C63120.html","Xem chi tiết")</f>
        <v/>
      </c>
    </row>
    <row r="6244">
      <c r="B6244" s="9" t="n">
        <v>6242</v>
      </c>
      <c r="C6244" s="10" t="inlineStr">
        <is>
          <t>Kế Toán Tổng Hợp</t>
        </is>
      </c>
      <c r="D6244" s="10" t="inlineStr">
        <is>
          <t>CÔNG TY CỔ PHẦN BIOPLAS</t>
        </is>
      </c>
      <c r="E6244" s="10" t="inlineStr">
        <is>
          <t>Lương:12 Tr - 14 Tr VND</t>
        </is>
      </c>
      <c r="F6244" s="10" t="inlineStr">
        <is>
          <t>Hồ Chí Minh</t>
        </is>
      </c>
      <c r="G6244" s="10" t="inlineStr">
        <is>
          <t>Hôm nay</t>
        </is>
      </c>
      <c r="H6244" s="10" t="inlineStr">
        <is>
          <t>17/03/2026</t>
        </is>
      </c>
      <c r="I6244" s="10" t="inlineStr">
        <is>
          <t>17/03/2026</t>
        </is>
      </c>
      <c r="J6244" s="10" t="inlineStr">
        <is>
          <t>Hàng gia dụng / Chăm sóc cá nhân, Kế toán / Kiểm toán, Tài chính / Đầu tư</t>
        </is>
      </c>
      <c r="K6244" s="10" t="inlineStr">
        <is>
          <t>Trên 1 Năm</t>
        </is>
      </c>
      <c r="L6244" s="11">
        <f>HYPERLINK("https://careerviet.vn/vi/tim-viec-lam/ke-toan-tong-hop.35C630F0.html","Xem chi tiết")</f>
        <v/>
      </c>
      <c r="M6244" s="10" t="n"/>
    </row>
    <row r="6245">
      <c r="B6245" s="7" t="n">
        <v>6243</v>
      </c>
      <c r="C6245" t="inlineStr">
        <is>
          <t>Chuyên Viên Giám Sát Cơ Điện - Dự Án Khu Nghỉ Dưỡng Cao Cấp</t>
        </is>
      </c>
      <c r="D6245" t="inlineStr">
        <is>
          <t>BIM Group Phú Quốc</t>
        </is>
      </c>
      <c r="E6245" t="inlineStr">
        <is>
          <t>Lương:Cạnh tranh</t>
        </is>
      </c>
      <c r="F6245" t="inlineStr">
        <is>
          <t>Kiên Giang</t>
        </is>
      </c>
      <c r="G6245" t="inlineStr">
        <is>
          <t>2</t>
        </is>
      </c>
      <c r="H6245" t="inlineStr">
        <is>
          <t>19/03/2026</t>
        </is>
      </c>
      <c r="I6245" t="inlineStr">
        <is>
          <t>17/03/2026</t>
        </is>
      </c>
      <c r="J6245" t="inlineStr">
        <is>
          <t>Bất động sản, Xây dựng</t>
        </is>
      </c>
      <c r="K6245" t="inlineStr">
        <is>
          <t>4 - 5 Năm</t>
        </is>
      </c>
      <c r="L6245" s="8">
        <f>HYPERLINK("https://careerviet.vn/vi/tim-viec-lam/chuyen-vien-giam-sat-co-dien-du-an-khu-nghi-duong-cao-cap.35C634BA.html","Xem chi tiết")</f>
        <v/>
      </c>
    </row>
    <row r="6246">
      <c r="B6246" s="9" t="n">
        <v>6244</v>
      </c>
      <c r="C6246" s="10" t="inlineStr">
        <is>
          <t>Chemical Engineer</t>
        </is>
      </c>
      <c r="D6246" s="10" t="inlineStr">
        <is>
          <t>Công Ty TNHH Việt Nam Samho</t>
        </is>
      </c>
      <c r="E6246" s="10" t="inlineStr">
        <is>
          <t>Lương:Cạnh tranh</t>
        </is>
      </c>
      <c r="F6246" s="10" t="inlineStr">
        <is>
          <t>Hồ Chí Minh</t>
        </is>
      </c>
      <c r="G6246" s="10" t="inlineStr">
        <is>
          <t>Hôm nay</t>
        </is>
      </c>
      <c r="H6246" s="10" t="inlineStr">
        <is>
          <t>17/03/2026</t>
        </is>
      </c>
      <c r="I6246" s="10" t="inlineStr">
        <is>
          <t>17/03/2026</t>
        </is>
      </c>
      <c r="J6246" s="10" t="inlineStr">
        <is>
          <t>Dệt may / Da giày / Thời trang</t>
        </is>
      </c>
      <c r="K6246" s="10" t="inlineStr">
        <is>
          <t>N/A</t>
        </is>
      </c>
      <c r="L6246" s="11">
        <f>HYPERLINK("https://careerviet.vn/vi/tim-viec-lam/chemical-engineer.35C65C8F.html","Xem chi tiết")</f>
        <v/>
      </c>
      <c r="M6246" s="10" t="n"/>
    </row>
    <row r="6247">
      <c r="B6247" s="7" t="n">
        <v>6245</v>
      </c>
      <c r="C6247" t="inlineStr">
        <is>
          <t>Nhân viên nhập liệu (Ca đêm)</t>
        </is>
      </c>
      <c r="D6247" t="inlineStr">
        <is>
          <t>SPS Vietnam</t>
        </is>
      </c>
      <c r="E6247" t="inlineStr">
        <is>
          <t>Lương:7 Tr - 8,1 Tr VND</t>
        </is>
      </c>
      <c r="F6247" t="inlineStr">
        <is>
          <t>Hồ Chí Minh</t>
        </is>
      </c>
      <c r="G6247" t="inlineStr">
        <is>
          <t>Hôm nay</t>
        </is>
      </c>
      <c r="H6247" t="inlineStr">
        <is>
          <t>17/03/2026</t>
        </is>
      </c>
      <c r="I6247" t="inlineStr">
        <is>
          <t>17/03/2026</t>
        </is>
      </c>
      <c r="J6247" t="inlineStr">
        <is>
          <t>Thương mại điện tử, Dịch vụ khách hàng, Ngân hàng</t>
        </is>
      </c>
      <c r="K6247" t="inlineStr">
        <is>
          <t>N/A</t>
        </is>
      </c>
      <c r="L6247" s="8">
        <f>HYPERLINK("https://careerviet.vn/vi/tim-viec-lam/nhan-vien-nhap-lieu-ca-dem.35C65C6A.html","Xem chi tiết")</f>
        <v/>
      </c>
    </row>
    <row r="6248">
      <c r="B6248" s="9" t="n">
        <v>6246</v>
      </c>
      <c r="C6248" s="10" t="inlineStr">
        <is>
          <t>Nhân viên kế toán</t>
        </is>
      </c>
      <c r="D6248" s="10" t="inlineStr">
        <is>
          <t>CÔNG TY TNHH DỊCH VỤ VÀ THƯƠNG MẠI XĂNG DẦU AN PHÚ</t>
        </is>
      </c>
      <c r="E6248" s="10" t="inlineStr">
        <is>
          <t>Lương:15 Tr - 17 Tr VND</t>
        </is>
      </c>
      <c r="F6248" s="10" t="inlineStr">
        <is>
          <t>Đồng Nai</t>
        </is>
      </c>
      <c r="G6248" s="10" t="inlineStr">
        <is>
          <t>Hôm nay</t>
        </is>
      </c>
      <c r="H6248" s="10" t="inlineStr">
        <is>
          <t>17/03/2026</t>
        </is>
      </c>
      <c r="I6248" s="10" t="inlineStr">
        <is>
          <t>17/03/2026</t>
        </is>
      </c>
      <c r="J6248" s="10" t="inlineStr">
        <is>
          <t>Kế toán / Kiểm toán</t>
        </is>
      </c>
      <c r="K6248" s="10" t="inlineStr">
        <is>
          <t>Trên 5 Năm</t>
        </is>
      </c>
      <c r="L6248" s="11">
        <f>HYPERLINK("https://careerviet.vn/vi/tim-viec-lam/nhan-vien-ke-toan.35C65C4B.html","Xem chi tiết")</f>
        <v/>
      </c>
      <c r="M6248" s="10" t="n"/>
    </row>
    <row r="6249">
      <c r="B6249" s="7" t="n">
        <v>6247</v>
      </c>
      <c r="C6249" t="inlineStr">
        <is>
          <t>Kỹ sư cơ khí</t>
        </is>
      </c>
      <c r="D6249" t="inlineStr">
        <is>
          <t>Công ty TNHH Cơ Khí Xây Dựng Du Lịch Bách Tùng</t>
        </is>
      </c>
      <c r="E6249" t="inlineStr">
        <is>
          <t>Lương:20 Tr - 30 Tr VND</t>
        </is>
      </c>
      <c r="F6249" t="inlineStr">
        <is>
          <t>Bình Dương</t>
        </is>
      </c>
      <c r="G6249" t="inlineStr">
        <is>
          <t>Hôm nay</t>
        </is>
      </c>
      <c r="H6249" t="inlineStr">
        <is>
          <t>17/03/2026</t>
        </is>
      </c>
      <c r="I6249" t="inlineStr">
        <is>
          <t>17/03/2026</t>
        </is>
      </c>
      <c r="J6249" t="inlineStr">
        <is>
          <t>Cơ khí / Ô tô / Tự động hóa, Ngành khác</t>
        </is>
      </c>
      <c r="K6249" t="inlineStr">
        <is>
          <t>Trên 2 Năm</t>
        </is>
      </c>
      <c r="L6249" s="8">
        <f>HYPERLINK("https://careerviet.vn/vi/tim-viec-lam/ky-su-co-khi.35C65C7A.html","Xem chi tiết")</f>
        <v/>
      </c>
    </row>
    <row r="6250">
      <c r="B6250" s="9" t="n">
        <v>6248</v>
      </c>
      <c r="C6250" s="10" t="inlineStr">
        <is>
          <t>Kỹ Sư Kinh Doanh (Sales Engineer)</t>
        </is>
      </c>
      <c r="D6250" s="10" t="inlineStr">
        <is>
          <t>CÔNG TY TNHH KỸ THUẬT THƯƠNG MẠI THÁI KHƯƠNG</t>
        </is>
      </c>
      <c r="E6250" s="10" t="inlineStr">
        <is>
          <t>Lương:Trên 20 Tr VND</t>
        </is>
      </c>
      <c r="F6250" s="10" t="inlineStr">
        <is>
          <t>Hà NộiĐà NẵngHồ Chí Minh</t>
        </is>
      </c>
      <c r="G6250" s="10" t="inlineStr">
        <is>
          <t>31-03-2026</t>
        </is>
      </c>
      <c r="H6250" s="10" t="inlineStr">
        <is>
          <t>31/03/2026</t>
        </is>
      </c>
      <c r="I6250" s="10" t="inlineStr">
        <is>
          <t>17/03/2026</t>
        </is>
      </c>
      <c r="J6250" s="10" t="inlineStr">
        <is>
          <t>Bán hàng / Kinh doanh, Dầu khí, Hóa học</t>
        </is>
      </c>
      <c r="K6250" s="10" t="inlineStr">
        <is>
          <t>N/A</t>
        </is>
      </c>
      <c r="L6250" s="11">
        <f>HYPERLINK("https://careerviet.vn/vi/tim-viec-lam/ky-su-kinh-doanh-sales-engineer.35C65C61.html","Xem chi tiết")</f>
        <v/>
      </c>
      <c r="M6250" s="10" t="n"/>
    </row>
    <row r="6251">
      <c r="B6251" s="7" t="n">
        <v>6249</v>
      </c>
      <c r="C6251" t="inlineStr">
        <is>
          <t>Senior AI Expert - Khối Công nghệ thông tin (HO25.530)</t>
        </is>
      </c>
      <c r="D6251" t="inlineStr">
        <is>
          <t>Ngân Hàng TMCP Quân Đội</t>
        </is>
      </c>
      <c r="E6251" t="inlineStr">
        <is>
          <t>Lương:Cạnh tranh</t>
        </is>
      </c>
      <c r="F6251" t="inlineStr">
        <is>
          <t>Hà Nội</t>
        </is>
      </c>
      <c r="G6251" t="inlineStr">
        <is>
          <t>Hôm nay</t>
        </is>
      </c>
      <c r="H6251" t="inlineStr">
        <is>
          <t>17/03/2026</t>
        </is>
      </c>
      <c r="I6251" t="inlineStr">
        <is>
          <t>17/03/2026</t>
        </is>
      </c>
      <c r="J6251" t="inlineStr">
        <is>
          <t>CNTT - Phần mềm, CNTT - Phần cứng / Mạng</t>
        </is>
      </c>
      <c r="K6251" t="inlineStr">
        <is>
          <t>Trên 5 Năm</t>
        </is>
      </c>
      <c r="L6251" s="8">
        <f>HYPERLINK("https://careerviet.vn/vi/tim-viec-lam/senior-ai-expert-khoi-cong-nghe-thong-tin-ho25-530.35C6322C.html","Xem chi tiết")</f>
        <v/>
      </c>
    </row>
    <row r="6252">
      <c r="B6252" s="9" t="n">
        <v>6250</v>
      </c>
      <c r="C6252" s="10" t="inlineStr">
        <is>
          <t>TUYỂN NHÂN VIÊN PHỤC VỤ FULLTIME BIẾT TIẾNG ANH</t>
        </is>
      </c>
      <c r="D6252" s="10" t="inlineStr">
        <is>
          <t>CÔNG TY TNHH SHRI</t>
        </is>
      </c>
      <c r="E6252" s="10" t="inlineStr">
        <is>
          <t>Lương:9 Tr - 10 Tr VND</t>
        </is>
      </c>
      <c r="F6252" s="10" t="inlineStr">
        <is>
          <t>Hồ Chí Minh</t>
        </is>
      </c>
      <c r="G6252" s="10" t="inlineStr">
        <is>
          <t>2</t>
        </is>
      </c>
      <c r="H6252" s="10" t="inlineStr">
        <is>
          <t>19/03/2026</t>
        </is>
      </c>
      <c r="I6252" s="10" t="inlineStr">
        <is>
          <t>17/03/2026</t>
        </is>
      </c>
      <c r="J6252" s="10" t="inlineStr">
        <is>
          <t>Dịch vụ khách hàng, Nhà hàng / Khách sạn</t>
        </is>
      </c>
      <c r="K6252" s="10" t="inlineStr">
        <is>
          <t>Trên 1 Năm</t>
        </is>
      </c>
      <c r="L6252" s="11">
        <f>HYPERLINK("https://careerviet.vn/vi/tim-viec-lam/tuyen-nhan-vien-phuc-vu-fulltime-biet-tieng-anh.35C63466.html","Xem chi tiết")</f>
        <v/>
      </c>
      <c r="M6252" s="10" t="n"/>
    </row>
    <row r="6253">
      <c r="B6253" s="7" t="n">
        <v>6251</v>
      </c>
      <c r="C6253" t="inlineStr">
        <is>
          <t>IMPORT EXPORT SUPERVISOR (KCN HỐ NAI, ĐỒNG NAI)</t>
        </is>
      </c>
      <c r="D6253" t="inlineStr">
        <is>
          <t>Công Ty TNHH Mol Logistics</t>
        </is>
      </c>
      <c r="E6253" t="inlineStr">
        <is>
          <t>Lương:Cạnh tranh</t>
        </is>
      </c>
      <c r="F6253" t="inlineStr">
        <is>
          <t>Đồng Nai</t>
        </is>
      </c>
      <c r="G6253" t="inlineStr">
        <is>
          <t>Hôm nay</t>
        </is>
      </c>
      <c r="H6253" t="inlineStr">
        <is>
          <t>17/03/2026</t>
        </is>
      </c>
      <c r="I6253" t="inlineStr">
        <is>
          <t>17/03/2026</t>
        </is>
      </c>
      <c r="J6253" t="inlineStr">
        <is>
          <t>Vận chuyển / Giao nhận / Kho vận, Biên phiên dịch, Xuất nhập khẩu</t>
        </is>
      </c>
      <c r="K6253" t="inlineStr">
        <is>
          <t>Trên 3 Năm</t>
        </is>
      </c>
      <c r="L6253" s="8">
        <f>HYPERLINK("https://careerviet.vn/vi/tim-viec-lam/import-export-supervisor-kcn-ho-nai-dong-nai.35C6315F.html","Xem chi tiết")</f>
        <v/>
      </c>
    </row>
    <row r="6254">
      <c r="B6254" s="9" t="n">
        <v>6252</v>
      </c>
      <c r="C6254" s="10" t="inlineStr">
        <is>
          <t>Kỹ Sư Xây Dựng</t>
        </is>
      </c>
      <c r="D6254" s="10" t="inlineStr">
        <is>
          <t>CÔNG TY CỔ PHẦN TẬP ĐOÀN ĐỊA ỐC &amp; XÂY DỰNG MÔI TRƯỜNG KHANG NAM</t>
        </is>
      </c>
      <c r="E6254" s="10" t="inlineStr">
        <is>
          <t>Lương:16 Tr - 20 Tr VND</t>
        </is>
      </c>
      <c r="F6254" s="10" t="inlineStr">
        <is>
          <t>Đồng Nai</t>
        </is>
      </c>
      <c r="G6254" s="10" t="inlineStr">
        <is>
          <t>2</t>
        </is>
      </c>
      <c r="H6254" s="10" t="inlineStr">
        <is>
          <t>19/03/2026</t>
        </is>
      </c>
      <c r="I6254" s="10" t="inlineStr">
        <is>
          <t>17/03/2026</t>
        </is>
      </c>
      <c r="J6254" s="10" t="inlineStr">
        <is>
          <t>Kiến trúc, Xây dựng, Nội ngoại thất</t>
        </is>
      </c>
      <c r="K6254" s="10" t="inlineStr">
        <is>
          <t>2 - 5 Năm</t>
        </is>
      </c>
      <c r="L6254" s="11">
        <f>HYPERLINK("https://careerviet.vn/vi/tim-viec-lam/ky-su-xay-dung.35C63422.html","Xem chi tiết")</f>
        <v/>
      </c>
      <c r="M6254" s="10" t="n"/>
    </row>
    <row r="6255">
      <c r="B6255" s="7" t="n">
        <v>6253</v>
      </c>
      <c r="C6255" t="inlineStr">
        <is>
          <t>Kỹ sư thiết kế bản vẽ chi tiết (Detailer)</t>
        </is>
      </c>
      <c r="D6255" t="inlineStr">
        <is>
          <t>CÔNG TY TNHH TSARSI</t>
        </is>
      </c>
      <c r="E6255" t="inlineStr">
        <is>
          <t>Lương:Cạnh tranh</t>
        </is>
      </c>
      <c r="F6255" t="inlineStr">
        <is>
          <t>Hồ Chí Minh</t>
        </is>
      </c>
      <c r="G6255" t="inlineStr">
        <is>
          <t>Hôm nay</t>
        </is>
      </c>
      <c r="H6255" t="inlineStr">
        <is>
          <t>17/03/2026</t>
        </is>
      </c>
      <c r="I6255" t="inlineStr">
        <is>
          <t>17/03/2026</t>
        </is>
      </c>
      <c r="J6255" t="inlineStr">
        <is>
          <t>Kiến trúc, Xây dựng, Mỹ thuật / Nghệ thuật / Thiết kế</t>
        </is>
      </c>
      <c r="K6255" t="inlineStr">
        <is>
          <t>1 - 2 Năm</t>
        </is>
      </c>
      <c r="L6255" s="8">
        <f>HYPERLINK("https://careerviet.vn/vi/tim-viec-lam/ky-su-thiet-ke-ban-ve-chi-tiet-detailer.35C65CC2.html","Xem chi tiết")</f>
        <v/>
      </c>
    </row>
    <row r="6256">
      <c r="B6256" s="9" t="n">
        <v>6254</v>
      </c>
      <c r="C6256" s="10" t="inlineStr">
        <is>
          <t>NHÂN VIÊN DỊCH VỤ NHÀ CUNG CẤP/ SUPPLIER SERVICES EXECUTIVE</t>
        </is>
      </c>
      <c r="D6256" s="10" t="inlineStr">
        <is>
          <t>Tan Hiep Phat Group</t>
        </is>
      </c>
      <c r="E6256" s="10" t="inlineStr">
        <is>
          <t>Lương:Cạnh tranh</t>
        </is>
      </c>
      <c r="F6256" s="10" t="inlineStr">
        <is>
          <t>Bình Dương</t>
        </is>
      </c>
      <c r="G6256" s="10" t="inlineStr">
        <is>
          <t>2</t>
        </is>
      </c>
      <c r="H6256" s="10" t="inlineStr">
        <is>
          <t>19/03/2026</t>
        </is>
      </c>
      <c r="I6256" s="10" t="inlineStr">
        <is>
          <t>17/03/2026</t>
        </is>
      </c>
      <c r="J6256" s="10" t="inlineStr">
        <is>
          <t>Dịch vụ khách hàng, Thu mua / Vật tư</t>
        </is>
      </c>
      <c r="K6256" s="10" t="inlineStr">
        <is>
          <t>Không yêu cầu kinh nghiệm</t>
        </is>
      </c>
      <c r="L6256" s="11">
        <f>HYPERLINK("https://careerviet.vn/vi/tim-viec-lam/nhan-vien-dich-vu-nha-cung-cap-supplier-services-executive.35C635C0.html","Xem chi tiết")</f>
        <v/>
      </c>
      <c r="M6256" s="10" t="n"/>
    </row>
    <row r="6257">
      <c r="B6257" s="7" t="n">
        <v>6255</v>
      </c>
      <c r="C6257" t="inlineStr">
        <is>
          <t>Chuyên Viên Vật Tư</t>
        </is>
      </c>
      <c r="D6257" t="inlineStr">
        <is>
          <t>BIM Group Phú Quốc</t>
        </is>
      </c>
      <c r="E6257" t="inlineStr">
        <is>
          <t>Lương:Cạnh tranh</t>
        </is>
      </c>
      <c r="F6257" t="inlineStr">
        <is>
          <t>Kiên Giang</t>
        </is>
      </c>
      <c r="G6257" t="inlineStr">
        <is>
          <t>2</t>
        </is>
      </c>
      <c r="H6257" t="inlineStr">
        <is>
          <t>19/03/2026</t>
        </is>
      </c>
      <c r="I6257" t="inlineStr">
        <is>
          <t>17/03/2026</t>
        </is>
      </c>
      <c r="J6257" t="inlineStr">
        <is>
          <t>Bất động sản, Xây dựng, Thu mua / Vật tư</t>
        </is>
      </c>
      <c r="K6257" t="inlineStr">
        <is>
          <t>1 - 2 Năm</t>
        </is>
      </c>
      <c r="L6257" s="8">
        <f>HYPERLINK("https://careerviet.vn/vi/tim-viec-lam/chuyen-vien-vat-tu.35C634BE.html","Xem chi tiết")</f>
        <v/>
      </c>
    </row>
    <row r="6258">
      <c r="B6258" s="9" t="n">
        <v>6256</v>
      </c>
      <c r="C6258" s="10" t="inlineStr">
        <is>
          <t>Senior Technical Consultant</t>
        </is>
      </c>
      <c r="D6258" s="10" t="inlineStr">
        <is>
          <t>CANDYLIO</t>
        </is>
      </c>
      <c r="E6258" s="10" t="inlineStr">
        <is>
          <t>Lương:Cạnh tranh</t>
        </is>
      </c>
      <c r="F6258" s="10" t="inlineStr">
        <is>
          <t>Hồ Chí Minh</t>
        </is>
      </c>
      <c r="G6258" s="10" t="inlineStr">
        <is>
          <t>2</t>
        </is>
      </c>
      <c r="H6258" s="10" t="inlineStr">
        <is>
          <t>19/03/2026</t>
        </is>
      </c>
      <c r="I6258" s="10" t="inlineStr">
        <is>
          <t>17/03/2026</t>
        </is>
      </c>
      <c r="J6258" s="10" t="inlineStr">
        <is>
          <t>CNTT - Phần mềm, CNTT - Phần cứng / Mạng</t>
        </is>
      </c>
      <c r="K6258" s="10" t="inlineStr">
        <is>
          <t>Trên 2 Năm</t>
        </is>
      </c>
      <c r="L6258" s="11">
        <f>HYPERLINK("https://careerviet.vn/vi/tim-viec-lam/senior-technical-consultant.35C6348E.html","Xem chi tiết")</f>
        <v/>
      </c>
      <c r="M6258" s="10" t="n"/>
    </row>
    <row r="6259">
      <c r="B6259" s="7" t="n">
        <v>6257</v>
      </c>
      <c r="C6259" t="inlineStr">
        <is>
          <t>Chuyên Viên Đào Tạo</t>
        </is>
      </c>
      <c r="D6259" t="inlineStr">
        <is>
          <t>BIM Group Phú Quốc</t>
        </is>
      </c>
      <c r="E6259" t="inlineStr">
        <is>
          <t>Lương:Cạnh tranh</t>
        </is>
      </c>
      <c r="F6259" t="inlineStr">
        <is>
          <t>Kiên Giang</t>
        </is>
      </c>
      <c r="G6259" t="inlineStr">
        <is>
          <t>2</t>
        </is>
      </c>
      <c r="H6259" t="inlineStr">
        <is>
          <t>19/03/2026</t>
        </is>
      </c>
      <c r="I6259" t="inlineStr">
        <is>
          <t>17/03/2026</t>
        </is>
      </c>
      <c r="J6259" t="inlineStr">
        <is>
          <t>Giáo dục / Đào tạo, Nhân sự</t>
        </is>
      </c>
      <c r="K6259" t="inlineStr">
        <is>
          <t>1 - 2 Năm</t>
        </is>
      </c>
      <c r="L6259" s="8">
        <f>HYPERLINK("https://careerviet.vn/vi/tim-viec-lam/chuyen-vien-dao-tao.35C634C6.html","Xem chi tiết")</f>
        <v/>
      </c>
    </row>
    <row r="6260">
      <c r="B6260" s="9" t="n">
        <v>6258</v>
      </c>
      <c r="C6260" s="10" t="inlineStr">
        <is>
          <t>Chuyên Viên Giám Sát Xây Dựng - Dự Án Khu Nghỉ Dưỡng Cao Cấp</t>
        </is>
      </c>
      <c r="D6260" s="10" t="inlineStr">
        <is>
          <t>BIM Group Phú Quốc</t>
        </is>
      </c>
      <c r="E6260" s="10" t="inlineStr">
        <is>
          <t>Lương:Cạnh tranh</t>
        </is>
      </c>
      <c r="F6260" s="10" t="inlineStr">
        <is>
          <t>Kiên Giang</t>
        </is>
      </c>
      <c r="G6260" s="10" t="inlineStr">
        <is>
          <t>2</t>
        </is>
      </c>
      <c r="H6260" s="10" t="inlineStr">
        <is>
          <t>19/03/2026</t>
        </is>
      </c>
      <c r="I6260" s="10" t="inlineStr">
        <is>
          <t>17/03/2026</t>
        </is>
      </c>
      <c r="J6260" s="10" t="inlineStr">
        <is>
          <t>Bất động sản, Xây dựng</t>
        </is>
      </c>
      <c r="K6260" s="10" t="inlineStr">
        <is>
          <t>5 - 7 Năm</t>
        </is>
      </c>
      <c r="L6260" s="11">
        <f>HYPERLINK("https://careerviet.vn/vi/tim-viec-lam/chuyen-vien-giam-sat-xay-dung-du-an-khu-nghi-duong-cao-cap.35C634B5.html","Xem chi tiết")</f>
        <v/>
      </c>
      <c r="M6260" s="10" t="n"/>
    </row>
    <row r="6261">
      <c r="B6261" s="7" t="n">
        <v>6259</v>
      </c>
      <c r="C6261" t="inlineStr">
        <is>
          <t>Senior Merchandising Manager</t>
        </is>
      </c>
      <c r="D6261" t="inlineStr">
        <is>
          <t>Công ty TNHH May Mặc Bowker</t>
        </is>
      </c>
      <c r="E6261" t="inlineStr">
        <is>
          <t>Lương:Cạnh tranh</t>
        </is>
      </c>
      <c r="F6261" t="inlineStr">
        <is>
          <t>Bình Dương</t>
        </is>
      </c>
      <c r="G6261" t="inlineStr">
        <is>
          <t>2</t>
        </is>
      </c>
      <c r="H6261" t="inlineStr">
        <is>
          <t>19/03/2026</t>
        </is>
      </c>
      <c r="I6261" t="inlineStr">
        <is>
          <t>17/03/2026</t>
        </is>
      </c>
      <c r="J6261" t="inlineStr">
        <is>
          <t>Quản lý điều hành, Xuất nhập khẩu, Dệt may / Da giày / Thời trang</t>
        </is>
      </c>
      <c r="K6261" t="inlineStr">
        <is>
          <t>Trên 10 Năm</t>
        </is>
      </c>
      <c r="L6261" s="8">
        <f>HYPERLINK("https://careerviet.vn/vi/tim-viec-lam/senior-merchandising-manager.35C5D6C3.html","Xem chi tiết")</f>
        <v/>
      </c>
    </row>
    <row r="6262">
      <c r="B6262" s="9" t="n">
        <v>6260</v>
      </c>
      <c r="C6262" s="10" t="inlineStr">
        <is>
          <t>Trưởng Nhóm Kinh Doanh B2B (Đồng phục/Hàng may mặc) Phỏng vấn trước Tết - Nhận việc sau Tết</t>
        </is>
      </c>
      <c r="D6262" s="10" t="inlineStr">
        <is>
          <t>Công Ty Cổ Phần Đầu Tư K&amp;G Việt Nam</t>
        </is>
      </c>
      <c r="E6262" s="10" t="inlineStr">
        <is>
          <t>Lương:25 Tr - 40 Tr VND</t>
        </is>
      </c>
      <c r="F6262" s="10" t="inlineStr">
        <is>
          <t>Hà Nội</t>
        </is>
      </c>
      <c r="G6262" s="10" t="inlineStr">
        <is>
          <t>2</t>
        </is>
      </c>
      <c r="H6262" s="10" t="inlineStr">
        <is>
          <t>19/03/2026</t>
        </is>
      </c>
      <c r="I6262" s="10" t="inlineStr">
        <is>
          <t>17/03/2026</t>
        </is>
      </c>
      <c r="J6262" s="10" t="inlineStr">
        <is>
          <t>Bán lẻ / Bán sỉ, Bán hàng / Kinh doanh, Dệt may / Da giày / Thời trang</t>
        </is>
      </c>
      <c r="K6262" s="10" t="inlineStr">
        <is>
          <t>3 - 5 Năm</t>
        </is>
      </c>
      <c r="L6262" s="11">
        <f>HYPERLINK("https://careerviet.vn/vi/tim-viec-lam/truong-nhom-kinh-doanh-b2b-dong-phuc-hang-may-mac-phong-van-truoc-tet-nhan-viec-sau-tet.35C634E0.html","Xem chi tiết")</f>
        <v/>
      </c>
      <c r="M6262" s="10" t="n"/>
    </row>
    <row r="6263">
      <c r="B6263" s="7" t="n">
        <v>6261</v>
      </c>
      <c r="C6263" t="inlineStr">
        <is>
          <t>Chuyên Viên Kiểm Soát Khối Lượng - Thi Công Xây Dựng</t>
        </is>
      </c>
      <c r="D6263" t="inlineStr">
        <is>
          <t>BIM Group Phú Quốc</t>
        </is>
      </c>
      <c r="E6263" t="inlineStr">
        <is>
          <t>Lương:20 Tr - 25 Tr VND</t>
        </is>
      </c>
      <c r="F6263" t="inlineStr">
        <is>
          <t>Kiên Giang</t>
        </is>
      </c>
      <c r="G6263" t="inlineStr">
        <is>
          <t>2</t>
        </is>
      </c>
      <c r="H6263" t="inlineStr">
        <is>
          <t>19/03/2026</t>
        </is>
      </c>
      <c r="I6263" t="inlineStr">
        <is>
          <t>17/03/2026</t>
        </is>
      </c>
      <c r="J6263" t="inlineStr">
        <is>
          <t>Bất động sản, Xây dựng, Quản lý chất lượng (QA/QC)</t>
        </is>
      </c>
      <c r="K6263" t="inlineStr">
        <is>
          <t>5 - 7 Năm</t>
        </is>
      </c>
      <c r="L6263" s="8">
        <f>HYPERLINK("https://careerviet.vn/vi/tim-viec-lam/chuyen-vien-kiem-soat-khoi-luong-thi-cong-xay-dung.35C634AD.html","Xem chi tiết")</f>
        <v/>
      </c>
    </row>
    <row r="6264">
      <c r="B6264" s="9" t="n">
        <v>6262</v>
      </c>
      <c r="C6264" s="10" t="inlineStr">
        <is>
          <t>Project Supervisor</t>
        </is>
      </c>
      <c r="D6264" s="10" t="inlineStr">
        <is>
          <t>Công Ty TNHH Chế Biến Thực Phẩm &amp; Bánh Kẹo Phạm Nguyên</t>
        </is>
      </c>
      <c r="E6264" s="10" t="inlineStr">
        <is>
          <t>Lương:Cạnh tranh</t>
        </is>
      </c>
      <c r="F6264" s="10" t="inlineStr">
        <is>
          <t>Hồ Chí Minh</t>
        </is>
      </c>
      <c r="G6264" s="10" t="inlineStr">
        <is>
          <t>2</t>
        </is>
      </c>
      <c r="H6264" s="10" t="inlineStr">
        <is>
          <t>19/03/2026</t>
        </is>
      </c>
      <c r="I6264" s="10" t="inlineStr">
        <is>
          <t>17/03/2026</t>
        </is>
      </c>
      <c r="J6264" s="10" t="inlineStr">
        <is>
          <t>Cơ khí / Ô tô / Tự động hóa, Điện / Điện tử / Điện lạnh / Điện công nghiệp, Sản xuất / Vận hành sản xuất</t>
        </is>
      </c>
      <c r="K6264" s="10" t="inlineStr">
        <is>
          <t>2 - 3 Năm</t>
        </is>
      </c>
      <c r="L6264" s="11">
        <f>HYPERLINK("https://careerviet.vn/vi/tim-viec-lam/project-supervisor.35C63599.html","Xem chi tiết")</f>
        <v/>
      </c>
      <c r="M6264" s="10" t="n"/>
    </row>
    <row r="6265">
      <c r="B6265" s="7" t="n">
        <v>6263</v>
      </c>
      <c r="C6265" t="inlineStr">
        <is>
          <t>Điều dưỡng viên - Vinmec Central Park</t>
        </is>
      </c>
      <c r="D6265" t="inlineStr">
        <is>
          <t>Công ty CP Bệnh Viện Đa Khoa Quốc Tế Vinmec</t>
        </is>
      </c>
      <c r="E6265" t="inlineStr">
        <is>
          <t>Lương:Cạnh tranh</t>
        </is>
      </c>
      <c r="F6265" t="inlineStr">
        <is>
          <t>Hồ Chí Minh</t>
        </is>
      </c>
      <c r="G6265" t="inlineStr">
        <is>
          <t>2</t>
        </is>
      </c>
      <c r="H6265" t="inlineStr">
        <is>
          <t>19/03/2026</t>
        </is>
      </c>
      <c r="I6265" t="inlineStr">
        <is>
          <t>17/03/2026</t>
        </is>
      </c>
      <c r="J6265" t="inlineStr">
        <is>
          <t>Y tế / Chăm sóc sức khỏe / Thẩm mỹ / Làm đẹp</t>
        </is>
      </c>
      <c r="K6265" t="inlineStr">
        <is>
          <t>1 - 3 Năm</t>
        </is>
      </c>
      <c r="L6265" s="8">
        <f>HYPERLINK("https://careerviet.vn/vi/tim-viec-lam/dieu-duong-vien-vinmec-central-park.35C63534.html","Xem chi tiết")</f>
        <v/>
      </c>
    </row>
    <row r="6266">
      <c r="B6266" s="9" t="n">
        <v>6264</v>
      </c>
      <c r="C6266" s="10" t="inlineStr">
        <is>
          <t>SALE TOUR THỊ TRƯỜNG KHÁCH TÂY BAN NHA</t>
        </is>
      </c>
      <c r="D6266" s="10" t="inlineStr">
        <is>
          <t>Threeland Travel</t>
        </is>
      </c>
      <c r="E6266" s="10" t="inlineStr">
        <is>
          <t>Lương:Lên đến 30 Tr VND</t>
        </is>
      </c>
      <c r="F6266" s="10" t="inlineStr">
        <is>
          <t>Hà Nội</t>
        </is>
      </c>
      <c r="G6266" s="10" t="inlineStr">
        <is>
          <t>2</t>
        </is>
      </c>
      <c r="H6266" s="10" t="inlineStr">
        <is>
          <t>19/03/2026</t>
        </is>
      </c>
      <c r="I6266" s="10" t="inlineStr">
        <is>
          <t>17/03/2026</t>
        </is>
      </c>
      <c r="J6266" s="10" t="inlineStr">
        <is>
          <t>Bán hàng / Kinh doanh, Biên phiên dịch, Du lịch</t>
        </is>
      </c>
      <c r="K6266" s="10" t="inlineStr">
        <is>
          <t>1 - 3 Năm</t>
        </is>
      </c>
      <c r="L6266" s="11">
        <f>HYPERLINK("https://careerviet.vn/vi/tim-viec-lam/sale-tour-thi-truong-khach-tay-ban-nha.35C6350A.html","Xem chi tiết")</f>
        <v/>
      </c>
      <c r="M6266" s="10" t="n"/>
    </row>
    <row r="6267">
      <c r="B6267" s="7" t="n">
        <v>6265</v>
      </c>
      <c r="C6267" t="inlineStr">
        <is>
          <t>Cửa hàng trưởng</t>
        </is>
      </c>
      <c r="D6267" t="inlineStr">
        <is>
          <t>Công ty Cổ phần Dư Kim - Thương hiệu thời trang IVY moda</t>
        </is>
      </c>
      <c r="E6267" t="inlineStr">
        <is>
          <t>Lương:12 Tr - 20 Tr VND</t>
        </is>
      </c>
      <c r="F6267" t="inlineStr">
        <is>
          <t>Hà NộiHồ Chí MinhBắc Ninh</t>
        </is>
      </c>
      <c r="G6267" t="inlineStr">
        <is>
          <t>2</t>
        </is>
      </c>
      <c r="H6267" t="inlineStr">
        <is>
          <t>19/03/2026</t>
        </is>
      </c>
      <c r="I6267" t="inlineStr">
        <is>
          <t>17/03/2026</t>
        </is>
      </c>
      <c r="J6267" t="inlineStr">
        <is>
          <t>Bán lẻ / Bán sỉ, Bán hàng / Kinh doanh</t>
        </is>
      </c>
      <c r="K6267" t="inlineStr">
        <is>
          <t>1 - 2 Năm</t>
        </is>
      </c>
      <c r="L6267" s="8">
        <f>HYPERLINK("https://careerviet.vn/vi/tim-viec-lam/cua-hang-truong.35C635E7.html","Xem chi tiết")</f>
        <v/>
      </c>
    </row>
    <row r="6268">
      <c r="B6268" s="9" t="n">
        <v>6266</v>
      </c>
      <c r="C6268" s="10" t="inlineStr">
        <is>
          <t>Kế toán tổng hợp</t>
        </is>
      </c>
      <c r="D6268" s="10" t="inlineStr">
        <is>
          <t>CÔNG TY TNHH THƯƠNG MẠI ĐIỆN TỬ HOTMAX VIỆT NAM</t>
        </is>
      </c>
      <c r="E6268" s="10" t="inlineStr">
        <is>
          <t>Lương:12 Tr - 20 Tr VND</t>
        </is>
      </c>
      <c r="F6268" s="10" t="inlineStr">
        <is>
          <t>Hà Nội</t>
        </is>
      </c>
      <c r="G6268" s="10" t="inlineStr">
        <is>
          <t>2</t>
        </is>
      </c>
      <c r="H6268" s="10" t="inlineStr">
        <is>
          <t>19/03/2026</t>
        </is>
      </c>
      <c r="I6268" s="10" t="inlineStr">
        <is>
          <t>17/03/2026</t>
        </is>
      </c>
      <c r="J6268" s="10" t="inlineStr">
        <is>
          <t>Kế toán / Kiểm toán</t>
        </is>
      </c>
      <c r="K6268" s="10" t="inlineStr">
        <is>
          <t>1 - 2 Năm</t>
        </is>
      </c>
      <c r="L6268" s="11">
        <f>HYPERLINK("https://careerviet.vn/vi/tim-viec-lam/ke-toan-tong-hop.35C634A1.html","Xem chi tiết")</f>
        <v/>
      </c>
      <c r="M6268" s="10" t="n"/>
    </row>
    <row r="6269">
      <c r="B6269" s="7" t="n">
        <v>6267</v>
      </c>
      <c r="C6269" t="inlineStr">
        <is>
          <t>Nhân Viên Kỹ Thuật Bảo Trì</t>
        </is>
      </c>
      <c r="D6269" t="inlineStr">
        <is>
          <t>Công Ty TNHH Chế Biến Thực Phẩm &amp; Bánh Kẹo Phạm Nguyên</t>
        </is>
      </c>
      <c r="E6269" t="inlineStr">
        <is>
          <t>Lương:Cạnh tranh</t>
        </is>
      </c>
      <c r="F6269" t="inlineStr">
        <is>
          <t>Hồ Chí Minh</t>
        </is>
      </c>
      <c r="G6269" t="inlineStr">
        <is>
          <t>2</t>
        </is>
      </c>
      <c r="H6269" t="inlineStr">
        <is>
          <t>19/03/2026</t>
        </is>
      </c>
      <c r="I6269" t="inlineStr">
        <is>
          <t>17/03/2026</t>
        </is>
      </c>
      <c r="J6269" t="inlineStr">
        <is>
          <t>Điện / Điện tử / Điện lạnh / Điện công nghiệp, Bảo trì / Sửa chữa, Sản xuất / Vận hành sản xuất</t>
        </is>
      </c>
      <c r="K6269" t="inlineStr">
        <is>
          <t>Trên 1 Năm</t>
        </is>
      </c>
      <c r="L6269" s="8">
        <f>HYPERLINK("https://careerviet.vn/vi/tim-viec-lam/nhan-vien-ky-thuat-bao-tri.35C6359F.html","Xem chi tiết")</f>
        <v/>
      </c>
    </row>
    <row r="6270">
      <c r="B6270" s="9" t="n">
        <v>6268</v>
      </c>
      <c r="C6270" s="10" t="inlineStr">
        <is>
          <t>Trợ Lý Kinh Doanh</t>
        </is>
      </c>
      <c r="D6270" s="10" t="inlineStr">
        <is>
          <t>CÔNG TY CỔ PHẦN LIÊN DOANH GALATEX VIỆT NAM</t>
        </is>
      </c>
      <c r="E6270" s="10" t="inlineStr">
        <is>
          <t>Lương:9 Tr - 13 Tr VND</t>
        </is>
      </c>
      <c r="F6270" s="10" t="inlineStr">
        <is>
          <t>Hà Nội</t>
        </is>
      </c>
      <c r="G6270" s="10" t="inlineStr">
        <is>
          <t>2</t>
        </is>
      </c>
      <c r="H6270" s="10" t="inlineStr">
        <is>
          <t>19/03/2026</t>
        </is>
      </c>
      <c r="I6270" s="10" t="inlineStr">
        <is>
          <t>17/03/2026</t>
        </is>
      </c>
      <c r="J6270" s="10" t="inlineStr">
        <is>
          <t>Bán hàng / Kinh doanh, Tư vấn, Hành chính / Thư ký</t>
        </is>
      </c>
      <c r="K6270" s="10" t="inlineStr">
        <is>
          <t>N/A</t>
        </is>
      </c>
      <c r="L6270" s="11">
        <f>HYPERLINK("https://careerviet.vn/vi/tim-viec-lam/tro-ly-kinh-doanh.35C635BE.html","Xem chi tiết")</f>
        <v/>
      </c>
      <c r="M6270" s="10" t="n"/>
    </row>
    <row r="6271">
      <c r="B6271" s="7" t="n">
        <v>6269</v>
      </c>
      <c r="C6271" t="inlineStr">
        <is>
          <t>CHUYÊN VIÊN QA/QC</t>
        </is>
      </c>
      <c r="D6271" t="inlineStr">
        <is>
          <t>TBS Land- Công ty Cổ Phần Đầu Tư Thái Bình</t>
        </is>
      </c>
      <c r="E6271" t="inlineStr">
        <is>
          <t>Lương:Cạnh tranh</t>
        </is>
      </c>
      <c r="F6271" t="inlineStr">
        <is>
          <t>Bình Dương</t>
        </is>
      </c>
      <c r="G6271" t="inlineStr">
        <is>
          <t>2</t>
        </is>
      </c>
      <c r="H6271" t="inlineStr">
        <is>
          <t>19/03/2026</t>
        </is>
      </c>
      <c r="I6271" t="inlineStr">
        <is>
          <t>17/03/2026</t>
        </is>
      </c>
      <c r="J6271" t="inlineStr">
        <is>
          <t>Xây dựng, Bất động sản</t>
        </is>
      </c>
      <c r="K6271" t="inlineStr">
        <is>
          <t>3 - 10 Năm</t>
        </is>
      </c>
      <c r="L6271" s="8">
        <f>HYPERLINK("https://careerviet.vn/vi/tim-viec-lam/chuyen-vien-qa-qc.35C63478.html","Xem chi tiết")</f>
        <v/>
      </c>
    </row>
    <row r="6272">
      <c r="B6272" s="9" t="n">
        <v>6270</v>
      </c>
      <c r="C6272" s="10" t="inlineStr">
        <is>
          <t>NSG - Nhân viên Kinh doanh</t>
        </is>
      </c>
      <c r="D6272" s="10" t="inlineStr">
        <is>
          <t>Nova Service Group - Công ty Cổ phần Tập đoàn Nova Services</t>
        </is>
      </c>
      <c r="E6272" s="10" t="inlineStr">
        <is>
          <t>Lương:6 Tr - 12 Tr VND</t>
        </is>
      </c>
      <c r="F6272" s="10" t="inlineStr">
        <is>
          <t>Hồ Chí Minh</t>
        </is>
      </c>
      <c r="G6272" s="10" t="inlineStr">
        <is>
          <t>2</t>
        </is>
      </c>
      <c r="H6272" s="10" t="inlineStr">
        <is>
          <t>19/03/2026</t>
        </is>
      </c>
      <c r="I6272" s="10" t="inlineStr">
        <is>
          <t>17/03/2026</t>
        </is>
      </c>
      <c r="J6272" s="10" t="inlineStr">
        <is>
          <t>Bán hàng / Kinh doanh</t>
        </is>
      </c>
      <c r="K6272" s="10" t="inlineStr">
        <is>
          <t>Chưa có kinh nghiệm</t>
        </is>
      </c>
      <c r="L6272" s="11">
        <f>HYPERLINK("https://careerviet.vn/vi/tim-viec-lam/nsg-nhan-vien-kinh-doanh.35C63458.html","Xem chi tiết")</f>
        <v/>
      </c>
      <c r="M6272" s="10" t="n"/>
    </row>
    <row r="6273">
      <c r="B6273" s="7" t="n">
        <v>6271</v>
      </c>
      <c r="C6273" t="inlineStr">
        <is>
          <t>Media Marketing</t>
        </is>
      </c>
      <c r="D6273" t="inlineStr">
        <is>
          <t>TẬP ĐOÀN Y TẾ VIỆT - NGA</t>
        </is>
      </c>
      <c r="E6273" t="inlineStr">
        <is>
          <t>Lương:10 Tr - 14 Tr VND</t>
        </is>
      </c>
      <c r="F6273" t="inlineStr">
        <is>
          <t>Quảng Ninh</t>
        </is>
      </c>
      <c r="G6273" t="inlineStr">
        <is>
          <t>2</t>
        </is>
      </c>
      <c r="H6273" t="inlineStr">
        <is>
          <t>19/03/2026</t>
        </is>
      </c>
      <c r="I6273" t="inlineStr">
        <is>
          <t>17/03/2026</t>
        </is>
      </c>
      <c r="J6273" t="inlineStr">
        <is>
          <t>Y tế / Chăm sóc sức khỏe / Thẩm mỹ / Làm đẹp, Quản lý điều hành, Tiếp thị / Marketing</t>
        </is>
      </c>
      <c r="K6273" t="inlineStr">
        <is>
          <t>Trên 2 Năm</t>
        </is>
      </c>
      <c r="L6273" s="8">
        <f>HYPERLINK("https://careerviet.vn/vi/tim-viec-lam/media-marketing.35C63571.html","Xem chi tiết")</f>
        <v/>
      </c>
    </row>
    <row r="6274">
      <c r="B6274" s="9" t="n">
        <v>6272</v>
      </c>
      <c r="C6274" s="10" t="inlineStr">
        <is>
          <t>Chuyên Viên Quản Lý Kế Hoạch Tiến Độ - Dự Án Park Hyatt</t>
        </is>
      </c>
      <c r="D6274" s="10" t="inlineStr">
        <is>
          <t>BIM Group Phú Quốc</t>
        </is>
      </c>
      <c r="E6274" s="10" t="inlineStr">
        <is>
          <t>Lương:Cạnh tranh</t>
        </is>
      </c>
      <c r="F6274" s="10" t="inlineStr">
        <is>
          <t>Kiên Giang</t>
        </is>
      </c>
      <c r="G6274" s="10" t="inlineStr">
        <is>
          <t>2</t>
        </is>
      </c>
      <c r="H6274" s="10" t="inlineStr">
        <is>
          <t>19/03/2026</t>
        </is>
      </c>
      <c r="I6274" s="10" t="inlineStr">
        <is>
          <t>17/03/2026</t>
        </is>
      </c>
      <c r="J6274" s="10" t="inlineStr">
        <is>
          <t>Bất động sản, Xây dựng</t>
        </is>
      </c>
      <c r="K6274" s="10" t="inlineStr">
        <is>
          <t>5 - 7 Năm</t>
        </is>
      </c>
      <c r="L6274" s="11">
        <f>HYPERLINK("https://careerviet.vn/vi/tim-viec-lam/chuyen-vien-quan-ly-ke-hoach-tien-do-du-an-park-hyatt.35C634B2.html","Xem chi tiết")</f>
        <v/>
      </c>
      <c r="M6274" s="10" t="n"/>
    </row>
    <row r="6275">
      <c r="B6275" s="7" t="n">
        <v>6273</v>
      </c>
      <c r="C6275" t="inlineStr">
        <is>
          <t>Thư ký pháp lý</t>
        </is>
      </c>
      <c r="D6275" t="inlineStr">
        <is>
          <t>BỆNH VIỆN ĐA KHOA PHƯƠNG ĐÔNG</t>
        </is>
      </c>
      <c r="E6275" t="inlineStr">
        <is>
          <t>Lương:9 Tr - 13 Tr VND</t>
        </is>
      </c>
      <c r="F6275" t="inlineStr">
        <is>
          <t>Hà Nội</t>
        </is>
      </c>
      <c r="G6275" t="inlineStr">
        <is>
          <t>2</t>
        </is>
      </c>
      <c r="H6275" t="inlineStr">
        <is>
          <t>19/03/2026</t>
        </is>
      </c>
      <c r="I6275" t="inlineStr">
        <is>
          <t>17/03/2026</t>
        </is>
      </c>
      <c r="J6275" t="inlineStr">
        <is>
          <t>Luật / Pháp lý, Hành chính / Thư ký</t>
        </is>
      </c>
      <c r="K6275" t="inlineStr">
        <is>
          <t>1 - 3 Năm</t>
        </is>
      </c>
      <c r="L6275" s="8">
        <f>HYPERLINK("https://careerviet.vn/vi/tim-viec-lam/thu-ky-phap-ly.35C63440.html","Xem chi tiết")</f>
        <v/>
      </c>
    </row>
    <row r="6276">
      <c r="B6276" s="9" t="n">
        <v>6274</v>
      </c>
      <c r="C6276" s="10" t="inlineStr">
        <is>
          <t>Nhân Viên Xuất Nhập Khẩu</t>
        </is>
      </c>
      <c r="D6276" s="10" t="inlineStr">
        <is>
          <t>CÔNG TY TNHH CÔNG NGHỆ ĐIỆN TỬ BVT VIỆT NAM</t>
        </is>
      </c>
      <c r="E6276" s="10" t="inlineStr">
        <is>
          <t>Lương:Cạnh tranh</t>
        </is>
      </c>
      <c r="F6276" s="10" t="inlineStr">
        <is>
          <t>Long An</t>
        </is>
      </c>
      <c r="G6276" s="10" t="inlineStr">
        <is>
          <t>2</t>
        </is>
      </c>
      <c r="H6276" s="10" t="inlineStr">
        <is>
          <t>19/03/2026</t>
        </is>
      </c>
      <c r="I6276" s="10" t="inlineStr">
        <is>
          <t>17/03/2026</t>
        </is>
      </c>
      <c r="J6276" s="10" t="inlineStr">
        <is>
          <t>Vận chuyển / Giao nhận / Kho vận, Hành chính / Thư ký, Xuất nhập khẩu</t>
        </is>
      </c>
      <c r="K6276" s="10" t="inlineStr">
        <is>
          <t>2 Năm</t>
        </is>
      </c>
      <c r="L6276" s="11">
        <f>HYPERLINK("https://careerviet.vn/vi/tim-viec-lam/nhan-vien-xuat-nhap-khau.35C63412.html","Xem chi tiết")</f>
        <v/>
      </c>
      <c r="M6276" s="10" t="n"/>
    </row>
    <row r="6277">
      <c r="B6277" s="7" t="n">
        <v>6275</v>
      </c>
      <c r="C6277" t="inlineStr">
        <is>
          <t>Nhân Viên Thu Mua</t>
        </is>
      </c>
      <c r="D6277" t="inlineStr">
        <is>
          <t>CÔNG TY TNHH CÔNG NGHỆ ĐIỆN TỬ BVT VIỆT NAM</t>
        </is>
      </c>
      <c r="E6277" t="inlineStr">
        <is>
          <t>Lương:Cạnh tranh</t>
        </is>
      </c>
      <c r="F6277" t="inlineStr">
        <is>
          <t>Long An</t>
        </is>
      </c>
      <c r="G6277" t="inlineStr">
        <is>
          <t>2</t>
        </is>
      </c>
      <c r="H6277" t="inlineStr">
        <is>
          <t>19/03/2026</t>
        </is>
      </c>
      <c r="I6277" t="inlineStr">
        <is>
          <t>17/03/2026</t>
        </is>
      </c>
      <c r="J6277" t="inlineStr">
        <is>
          <t>Hành chính / Thư ký, Vận chuyển / Giao nhận / Kho vận, Thu mua / Vật tư</t>
        </is>
      </c>
      <c r="K6277" t="inlineStr">
        <is>
          <t>1 Năm</t>
        </is>
      </c>
      <c r="L6277" s="8">
        <f>HYPERLINK("https://careerviet.vn/vi/tim-viec-lam/nhan-vien-thu-mua.35C634DC.html","Xem chi tiết")</f>
        <v/>
      </c>
    </row>
    <row r="6278">
      <c r="B6278" s="9" t="n">
        <v>6276</v>
      </c>
      <c r="C6278" s="10" t="inlineStr">
        <is>
          <t>Chuyên viên/ CVC/ CVCC Khách hàng cá nhân - Bình Định</t>
        </is>
      </c>
      <c r="D6278" s="10" t="inlineStr">
        <is>
          <t>Ngân hàng Thương mại cổ phần Đông Nam Á (SeABank)</t>
        </is>
      </c>
      <c r="E6278" s="10" t="inlineStr">
        <is>
          <t>Lương:9 Tr - 30 Tr VND</t>
        </is>
      </c>
      <c r="F6278" s="10" t="inlineStr">
        <is>
          <t>Bình Định</t>
        </is>
      </c>
      <c r="G6278" s="10" t="inlineStr">
        <is>
          <t>2</t>
        </is>
      </c>
      <c r="H6278" s="10" t="inlineStr">
        <is>
          <t>19/03/2026</t>
        </is>
      </c>
      <c r="I6278" s="10" t="inlineStr">
        <is>
          <t>17/03/2026</t>
        </is>
      </c>
      <c r="J6278" s="10" t="inlineStr">
        <is>
          <t>Ngân hàng, Bảo hiểm, Tài chính / Đầu tư</t>
        </is>
      </c>
      <c r="K6278" s="10" t="inlineStr">
        <is>
          <t>1 - 5 Năm</t>
        </is>
      </c>
      <c r="L6278" s="11">
        <f>HYPERLINK("https://careerviet.vn/vi/tim-viec-lam/chuyen-vien-cvc-cvcc-khach-hang-ca-nhan-binh-dinh.35C634E9.html","Xem chi tiết")</f>
        <v/>
      </c>
      <c r="M6278" s="10" t="n"/>
    </row>
    <row r="6279">
      <c r="B6279" s="7" t="n">
        <v>6277</v>
      </c>
      <c r="C6279" t="inlineStr">
        <is>
          <t>Franchise Development Manager - Nhượng quyền thương hiệu</t>
        </is>
      </c>
      <c r="D6279" t="inlineStr">
        <is>
          <t>CÔNG TY TNHH CHUỖI THƯƠNG MẠI BUSY MING VIỆT NAM</t>
        </is>
      </c>
      <c r="E6279" t="inlineStr">
        <is>
          <t>Lương:25 Tr - 40 Tr VND</t>
        </is>
      </c>
      <c r="F6279" t="inlineStr">
        <is>
          <t>Hồ Chí Minh</t>
        </is>
      </c>
      <c r="G6279" t="inlineStr">
        <is>
          <t>2</t>
        </is>
      </c>
      <c r="H6279" t="inlineStr">
        <is>
          <t>19/03/2026</t>
        </is>
      </c>
      <c r="I6279" t="inlineStr">
        <is>
          <t>17/03/2026</t>
        </is>
      </c>
      <c r="J6279" t="inlineStr">
        <is>
          <t>Bán lẻ / Bán sỉ</t>
        </is>
      </c>
      <c r="K6279" t="inlineStr">
        <is>
          <t>3 - 5 Năm</t>
        </is>
      </c>
      <c r="L6279" s="8">
        <f>HYPERLINK("https://careerviet.vn/vi/tim-viec-lam/franchise-development-manager-nhuong-quyen-thuong-hieu.35C65E69.html","Xem chi tiết")</f>
        <v/>
      </c>
    </row>
    <row r="6280">
      <c r="B6280" s="9" t="n">
        <v>6278</v>
      </c>
      <c r="C6280" s="10" t="inlineStr">
        <is>
          <t>Nhân viên Vận hành Máy in</t>
        </is>
      </c>
      <c r="D6280" s="10" t="inlineStr">
        <is>
          <t>PeopleWise Vietnam</t>
        </is>
      </c>
      <c r="E6280" s="10" t="inlineStr">
        <is>
          <t>Lương:Cạnh tranh</t>
        </is>
      </c>
      <c r="F6280" s="10" t="inlineStr">
        <is>
          <t>Bình Dương</t>
        </is>
      </c>
      <c r="G6280" s="10" t="inlineStr">
        <is>
          <t>31-03-2026</t>
        </is>
      </c>
      <c r="H6280" s="10" t="inlineStr">
        <is>
          <t>31/03/2026</t>
        </is>
      </c>
      <c r="I6280" s="10" t="inlineStr">
        <is>
          <t>17/03/2026</t>
        </is>
      </c>
      <c r="J6280" s="10" t="inlineStr">
        <is>
          <t>Sản xuất / Vận hành sản xuất</t>
        </is>
      </c>
      <c r="K6280" s="10" t="inlineStr">
        <is>
          <t>1 - 5 Năm</t>
        </is>
      </c>
      <c r="L6280" s="11">
        <f>HYPERLINK("https://careerviet.vn/vi/tim-viec-lam/nhan-vien-van-hanh-may-in.35C68BAE.html","Xem chi tiết")</f>
        <v/>
      </c>
      <c r="M6280" s="10" t="n"/>
    </row>
    <row r="6281">
      <c r="B6281" s="7" t="n">
        <v>6279</v>
      </c>
      <c r="C6281" t="inlineStr">
        <is>
          <t>IFRS and Credit Loss Reporting Expert</t>
        </is>
      </c>
      <c r="D6281" t="inlineStr">
        <is>
          <t>FE CREDIT</t>
        </is>
      </c>
      <c r="E6281" t="inlineStr">
        <is>
          <t>Lương:Cạnh tranh</t>
        </is>
      </c>
      <c r="F6281" t="inlineStr">
        <is>
          <t>Hồ Chí Minh</t>
        </is>
      </c>
      <c r="G6281" t="inlineStr">
        <is>
          <t>2</t>
        </is>
      </c>
      <c r="H6281" t="inlineStr">
        <is>
          <t>19/03/2026</t>
        </is>
      </c>
      <c r="I6281" t="inlineStr">
        <is>
          <t>17/03/2026</t>
        </is>
      </c>
      <c r="J6281" t="inlineStr">
        <is>
          <t>Ngân hàng</t>
        </is>
      </c>
      <c r="K6281" t="inlineStr">
        <is>
          <t>5 - 7 Năm</t>
        </is>
      </c>
      <c r="L6281" s="8">
        <f>HYPERLINK("https://careerviet.vn/vi/tim-viec-lam/ifrs-and-credit-loss-reporting-expert.35C63602.html","Xem chi tiết")</f>
        <v/>
      </c>
    </row>
    <row r="6282">
      <c r="B6282" s="9" t="n">
        <v>6280</v>
      </c>
      <c r="C6282" s="10" t="inlineStr">
        <is>
          <t>Chuyên viên Quản lý nợ, Phòng Cảnh báo và QLN, Khối KHCN</t>
        </is>
      </c>
      <c r="D6282" s="10" t="inlineStr">
        <is>
          <t>Ngân hàng TMCP Đại Chúng Việt Nam - PVcomBank</t>
        </is>
      </c>
      <c r="E6282" s="10" t="inlineStr">
        <is>
          <t>Lương:Cạnh tranh</t>
        </is>
      </c>
      <c r="F6282" s="10" t="inlineStr">
        <is>
          <t>Hà Nội</t>
        </is>
      </c>
      <c r="G6282" s="10" t="inlineStr">
        <is>
          <t>2</t>
        </is>
      </c>
      <c r="H6282" s="10" t="inlineStr">
        <is>
          <t>19/03/2026</t>
        </is>
      </c>
      <c r="I6282" s="10" t="inlineStr">
        <is>
          <t>17/03/2026</t>
        </is>
      </c>
      <c r="J6282" s="10" t="inlineStr">
        <is>
          <t>Ngân hàng</t>
        </is>
      </c>
      <c r="K6282" s="10" t="inlineStr">
        <is>
          <t>1 - 2 Năm</t>
        </is>
      </c>
      <c r="L6282" s="11">
        <f>HYPERLINK("https://careerviet.vn/vi/tim-viec-lam/chuyen-vien-quan-ly-no-phong-canh-bao-va-qln-khoi-khcn.35C634A0.html","Xem chi tiết")</f>
        <v/>
      </c>
      <c r="M6282" s="10" t="n"/>
    </row>
    <row r="6283">
      <c r="B6283" s="7" t="n">
        <v>6281</v>
      </c>
      <c r="C6283" t="inlineStr">
        <is>
          <t>Product Manager/ Senior Specialist</t>
        </is>
      </c>
      <c r="D6283" t="inlineStr">
        <is>
          <t>Công Ty TNHH Thương Mại Dịch Vụ Xuất Nhập Khẩu The Vigo</t>
        </is>
      </c>
      <c r="E6283" t="inlineStr">
        <is>
          <t>Lương:Cạnh tranh</t>
        </is>
      </c>
      <c r="F6283" t="inlineStr">
        <is>
          <t>Hồ Chí MinhHà Nội</t>
        </is>
      </c>
      <c r="G6283" t="inlineStr">
        <is>
          <t>2</t>
        </is>
      </c>
      <c r="H6283" t="inlineStr">
        <is>
          <t>19/03/2026</t>
        </is>
      </c>
      <c r="I6283" t="inlineStr">
        <is>
          <t>17/03/2026</t>
        </is>
      </c>
      <c r="J6283" t="inlineStr">
        <is>
          <t>Dược phẩm/ Hóa Mỹ Phẩm, Y tế / Chăm sóc sức khỏe / Thẩm mỹ / Làm đẹp, Tư vấn</t>
        </is>
      </c>
      <c r="K6283" t="inlineStr">
        <is>
          <t>Chưa có kinh nghiệm</t>
        </is>
      </c>
      <c r="L6283" s="8">
        <f>HYPERLINK("https://careerviet.vn/vi/tim-viec-lam/product-manager-senior-specialist.35C6358E.html","Xem chi tiết")</f>
        <v/>
      </c>
    </row>
    <row r="6284">
      <c r="B6284" s="9" t="n">
        <v>6282</v>
      </c>
      <c r="C6284" s="10" t="inlineStr">
        <is>
          <t>Chuyên viên/ CVC/ CVCC Khách hàng cá nhân - Đà Nẵng</t>
        </is>
      </c>
      <c r="D6284" s="10" t="inlineStr">
        <is>
          <t>Ngân hàng Thương mại cổ phần Đông Nam Á (SeABank)</t>
        </is>
      </c>
      <c r="E6284" s="10" t="inlineStr">
        <is>
          <t>Lương:9 Tr - 30 Tr VND</t>
        </is>
      </c>
      <c r="F6284" s="10" t="inlineStr">
        <is>
          <t>Đà Nẵng</t>
        </is>
      </c>
      <c r="G6284" s="10" t="inlineStr">
        <is>
          <t>1</t>
        </is>
      </c>
      <c r="H6284" s="10" t="inlineStr">
        <is>
          <t>18/03/2026</t>
        </is>
      </c>
      <c r="I6284" s="10" t="inlineStr">
        <is>
          <t>17/03/2026</t>
        </is>
      </c>
      <c r="J6284" s="10" t="inlineStr">
        <is>
          <t>Ngân hàng, Bảo hiểm, Tài chính / Đầu tư</t>
        </is>
      </c>
      <c r="K6284" s="10" t="inlineStr">
        <is>
          <t>1 - 5 Năm</t>
        </is>
      </c>
      <c r="L6284" s="11">
        <f>HYPERLINK("https://careerviet.vn/vi/tim-viec-lam/chuyen-vien-cvc-cvcc-khach-hang-ca-nhan-da-nang.35C63262.html","Xem chi tiết")</f>
        <v/>
      </c>
      <c r="M6284" s="10" t="n"/>
    </row>
    <row r="6285">
      <c r="B6285" s="7" t="n">
        <v>6283</v>
      </c>
      <c r="C6285" t="inlineStr">
        <is>
          <t>[Hà Nội] Chuyên gia/Chuyên viên cao cấp Marketing sản phẩm</t>
        </is>
      </c>
      <c r="D6285" t="inlineStr">
        <is>
          <t>Ngân hàng TMCP Lộc Phát Việt Nam (LPBank)</t>
        </is>
      </c>
      <c r="E6285" t="inlineStr">
        <is>
          <t>Lương:Cạnh tranh</t>
        </is>
      </c>
      <c r="F6285" t="inlineStr">
        <is>
          <t>Hà Nội</t>
        </is>
      </c>
      <c r="G6285" t="inlineStr">
        <is>
          <t>1</t>
        </is>
      </c>
      <c r="H6285" t="inlineStr">
        <is>
          <t>18/03/2026</t>
        </is>
      </c>
      <c r="I6285" t="inlineStr">
        <is>
          <t>17/03/2026</t>
        </is>
      </c>
      <c r="J6285" t="inlineStr">
        <is>
          <t>Ngân hàng, Truyền hình / Báo chí / Biên tập, Quảng cáo / Đối ngoại / Truyền Thông</t>
        </is>
      </c>
      <c r="K6285" t="inlineStr">
        <is>
          <t>3 - 7 Năm</t>
        </is>
      </c>
      <c r="L6285" s="8">
        <f>HYPERLINK("https://careerviet.vn/vi/tim-viec-lam/ha-noi-chuyen-gia-chuyen-vien-cao-cap-marketing-san-pham.35C63243.html","Xem chi tiết")</f>
        <v/>
      </c>
    </row>
    <row r="6286">
      <c r="B6286" s="9" t="n">
        <v>6284</v>
      </c>
      <c r="C6286" s="10" t="inlineStr">
        <is>
          <t>Nhân Viên Kế Toán Thuế</t>
        </is>
      </c>
      <c r="D6286" s="10" t="inlineStr">
        <is>
          <t>CÔNG TY TNHH CÔNG NGHỆ ĐIỆN TỬ BVT VIỆT NAM</t>
        </is>
      </c>
      <c r="E6286" s="10" t="inlineStr">
        <is>
          <t>Lương:Cạnh tranh</t>
        </is>
      </c>
      <c r="F6286" s="10" t="inlineStr">
        <is>
          <t>Long An</t>
        </is>
      </c>
      <c r="G6286" s="10" t="inlineStr">
        <is>
          <t>2</t>
        </is>
      </c>
      <c r="H6286" s="10" t="inlineStr">
        <is>
          <t>19/03/2026</t>
        </is>
      </c>
      <c r="I6286" s="10" t="inlineStr">
        <is>
          <t>17/03/2026</t>
        </is>
      </c>
      <c r="J6286" s="10" t="inlineStr">
        <is>
          <t>Tài chính / Đầu tư, Kế toán / Kiểm toán, Luật / Pháp lý</t>
        </is>
      </c>
      <c r="K6286" s="10" t="inlineStr">
        <is>
          <t>N/A</t>
        </is>
      </c>
      <c r="L6286" s="11">
        <f>HYPERLINK("https://careerviet.vn/vi/tim-viec-lam/nhan-vien-ke-toan-thue.35C634EA.html","Xem chi tiết")</f>
        <v/>
      </c>
      <c r="M6286" s="10" t="n"/>
    </row>
    <row r="6287">
      <c r="B6287" s="7" t="n">
        <v>6285</v>
      </c>
      <c r="C6287" t="inlineStr">
        <is>
          <t>Chuyên Viên Kỹ Thuật Cơ Điện - Dự Án Park Hyatt</t>
        </is>
      </c>
      <c r="D6287" t="inlineStr">
        <is>
          <t>BIM Group Phú Quốc</t>
        </is>
      </c>
      <c r="E6287" t="inlineStr">
        <is>
          <t>Lương:Cạnh tranh</t>
        </is>
      </c>
      <c r="F6287" t="inlineStr">
        <is>
          <t>Kiên Giang</t>
        </is>
      </c>
      <c r="G6287" t="inlineStr">
        <is>
          <t>2</t>
        </is>
      </c>
      <c r="H6287" t="inlineStr">
        <is>
          <t>19/03/2026</t>
        </is>
      </c>
      <c r="I6287" t="inlineStr">
        <is>
          <t>17/03/2026</t>
        </is>
      </c>
      <c r="J6287" t="inlineStr">
        <is>
          <t>Điện / Điện tử / Điện lạnh / Điện công nghiệp</t>
        </is>
      </c>
      <c r="K6287" t="inlineStr">
        <is>
          <t>5 - 6 Năm</t>
        </is>
      </c>
      <c r="L6287" s="8">
        <f>HYPERLINK("https://careerviet.vn/vi/tim-viec-lam/chuyen-vien-ky-thuat-co-dien-du-an-park-hyatt.35C634A6.html","Xem chi tiết")</f>
        <v/>
      </c>
    </row>
    <row r="6288">
      <c r="B6288" s="9" t="n">
        <v>6286</v>
      </c>
      <c r="C6288" s="10" t="inlineStr">
        <is>
          <t>[Hà Nội] Chuyên gia/Chuyên viên cao cấp Thương hiệu (Quản lý hình ảnh)</t>
        </is>
      </c>
      <c r="D6288" s="10" t="inlineStr">
        <is>
          <t>Ngân hàng TMCP Lộc Phát Việt Nam (LPBank)</t>
        </is>
      </c>
      <c r="E6288" s="10" t="inlineStr">
        <is>
          <t>Lương:Cạnh tranh</t>
        </is>
      </c>
      <c r="F6288" s="10" t="inlineStr">
        <is>
          <t>Hà Nội</t>
        </is>
      </c>
      <c r="G6288" s="10" t="inlineStr">
        <is>
          <t>1</t>
        </is>
      </c>
      <c r="H6288" s="10" t="inlineStr">
        <is>
          <t>18/03/2026</t>
        </is>
      </c>
      <c r="I6288" s="10" t="inlineStr">
        <is>
          <t>17/03/2026</t>
        </is>
      </c>
      <c r="J6288" s="10" t="inlineStr">
        <is>
          <t>Ngân hàng, Quảng cáo / Đối ngoại / Truyền Thông, Truyền hình / Báo chí / Biên tập</t>
        </is>
      </c>
      <c r="K6288" s="10" t="inlineStr">
        <is>
          <t>5 - 7 Năm</t>
        </is>
      </c>
      <c r="L6288" s="11">
        <f>HYPERLINK("https://careerviet.vn/vi/tim-viec-lam/ha-noi-chuyen-gia-chuyen-vien-cao-cap-thuong-hieu-quan-ly-hinh-anh.35C63294.html","Xem chi tiết")</f>
        <v/>
      </c>
      <c r="M6288" s="10" t="n"/>
    </row>
    <row r="6289">
      <c r="B6289" s="7" t="n">
        <v>6287</v>
      </c>
      <c r="C6289" t="inlineStr">
        <is>
          <t>KỸ SƯ LẬP TRÌNH CNC</t>
        </is>
      </c>
      <c r="D6289" t="inlineStr">
        <is>
          <t>CÔNG TY TRÁCH NHIỆM HỮU HẠN SÀI GÒN PRECISION</t>
        </is>
      </c>
      <c r="E6289" t="inlineStr">
        <is>
          <t>Lương:Cạnh tranh</t>
        </is>
      </c>
      <c r="F6289" t="inlineStr">
        <is>
          <t>Hồ Chí Minh</t>
        </is>
      </c>
      <c r="G6289" t="inlineStr">
        <is>
          <t>1</t>
        </is>
      </c>
      <c r="H6289" t="inlineStr">
        <is>
          <t>18/03/2026</t>
        </is>
      </c>
      <c r="I6289" t="inlineStr">
        <is>
          <t>17/03/2026</t>
        </is>
      </c>
      <c r="J6289" t="inlineStr">
        <is>
          <t>Sản xuất / Vận hành sản xuất</t>
        </is>
      </c>
      <c r="K6289" t="inlineStr">
        <is>
          <t>1 - 5 Năm</t>
        </is>
      </c>
      <c r="L6289" s="8">
        <f>HYPERLINK("https://careerviet.vn/vi/tim-viec-lam/ky-su-lap-trinh-cnc.35C632C0.html","Xem chi tiết")</f>
        <v/>
      </c>
    </row>
    <row r="6290">
      <c r="B6290" s="9" t="n">
        <v>6288</v>
      </c>
      <c r="C6290" s="10" t="inlineStr">
        <is>
          <t>Chuyên viên Phát triển Kinh doanh (phụ trách dịch vụ Container)</t>
        </is>
      </c>
      <c r="D6290" s="10" t="inlineStr">
        <is>
          <t>Công Ty Cổ Phần Vina Logistics</t>
        </is>
      </c>
      <c r="E6290" s="10" t="inlineStr">
        <is>
          <t>Lương:Cạnh tranh</t>
        </is>
      </c>
      <c r="F6290" s="10" t="inlineStr">
        <is>
          <t>Bà Rịa - Vũng Tàu</t>
        </is>
      </c>
      <c r="G6290" s="10" t="inlineStr">
        <is>
          <t>1</t>
        </is>
      </c>
      <c r="H6290" s="10" t="inlineStr">
        <is>
          <t>18/03/2026</t>
        </is>
      </c>
      <c r="I6290" s="10" t="inlineStr">
        <is>
          <t>17/03/2026</t>
        </is>
      </c>
      <c r="J6290" s="10" t="inlineStr">
        <is>
          <t>Bán hàng / Kinh doanh, Hàng hải</t>
        </is>
      </c>
      <c r="K6290" s="10" t="inlineStr">
        <is>
          <t>Trên 1 Năm</t>
        </is>
      </c>
      <c r="L6290" s="11">
        <f>HYPERLINK("https://careerviet.vn/vi/tim-viec-lam/chuyen-vien-phat-trien-kinh-doanh-phu-trach-dich-vu-container.35C632B4.html","Xem chi tiết")</f>
        <v/>
      </c>
      <c r="M6290" s="10" t="n"/>
    </row>
    <row r="6291">
      <c r="B6291" s="7" t="n">
        <v>6289</v>
      </c>
      <c r="C6291" t="inlineStr">
        <is>
          <t>Nhân viên bán hàng thu ngân</t>
        </is>
      </c>
      <c r="D6291" t="inlineStr">
        <is>
          <t>CÔNG TY TNHH 4GS TEXAS REALTY</t>
        </is>
      </c>
      <c r="E6291" t="inlineStr">
        <is>
          <t>Lương:7 Tr - 8 Tr VND</t>
        </is>
      </c>
      <c r="F6291" t="inlineStr">
        <is>
          <t>Hồ Chí Minh</t>
        </is>
      </c>
      <c r="G6291" t="inlineStr">
        <is>
          <t>1</t>
        </is>
      </c>
      <c r="H6291" t="inlineStr">
        <is>
          <t>18/03/2026</t>
        </is>
      </c>
      <c r="I6291" t="inlineStr">
        <is>
          <t>17/03/2026</t>
        </is>
      </c>
      <c r="J6291" t="inlineStr">
        <is>
          <t>Thực phẩm &amp; Đồ uống</t>
        </is>
      </c>
      <c r="K6291" t="inlineStr">
        <is>
          <t>Chưa có kinh nghiệm</t>
        </is>
      </c>
      <c r="L6291" s="8">
        <f>HYPERLINK("https://careerviet.vn/vi/tim-viec-lam/nhan-vien-ban-hang-thu-ngan.35C632C1.html","Xem chi tiết")</f>
        <v/>
      </c>
    </row>
    <row r="6292">
      <c r="B6292" s="9" t="n">
        <v>6290</v>
      </c>
      <c r="C6292" s="10" t="inlineStr">
        <is>
          <t>Kế toán tổng hợp</t>
        </is>
      </c>
      <c r="D6292" s="10" t="inlineStr">
        <is>
          <t>CÔNG TY CỔ PHẦN TẬP ĐOÀN WON GROUP</t>
        </is>
      </c>
      <c r="E6292" s="10" t="inlineStr">
        <is>
          <t>Lương:18 Tr - 20 Tr VND</t>
        </is>
      </c>
      <c r="F6292" s="10" t="inlineStr">
        <is>
          <t>Hà Nội</t>
        </is>
      </c>
      <c r="G6292" s="10" t="inlineStr">
        <is>
          <t>2</t>
        </is>
      </c>
      <c r="H6292" s="10" t="inlineStr">
        <is>
          <t>19/03/2026</t>
        </is>
      </c>
      <c r="I6292" s="10" t="inlineStr">
        <is>
          <t>17/03/2026</t>
        </is>
      </c>
      <c r="J6292" s="10" t="inlineStr">
        <is>
          <t>Kế toán / Kiểm toán, Bất động sản</t>
        </is>
      </c>
      <c r="K6292" s="10" t="inlineStr">
        <is>
          <t>Trên 1 Năm</t>
        </is>
      </c>
      <c r="L6292" s="11">
        <f>HYPERLINK("https://careerviet.vn/vi/tim-viec-lam/ke-toan-tong-hop.35C6346F.html","Xem chi tiết")</f>
        <v/>
      </c>
      <c r="M6292" s="10" t="n"/>
    </row>
    <row r="6293">
      <c r="B6293" s="7" t="n">
        <v>6291</v>
      </c>
      <c r="C6293" t="inlineStr">
        <is>
          <t>Kỹ sự Tự Động Hóa</t>
        </is>
      </c>
      <c r="D6293" t="inlineStr">
        <is>
          <t>Tập Đoàn Kim Tín</t>
        </is>
      </c>
      <c r="E6293" t="inlineStr">
        <is>
          <t>Lương:Cạnh tranh</t>
        </is>
      </c>
      <c r="F6293" t="inlineStr">
        <is>
          <t>Bình Phước</t>
        </is>
      </c>
      <c r="G6293" t="inlineStr">
        <is>
          <t>1</t>
        </is>
      </c>
      <c r="H6293" t="inlineStr">
        <is>
          <t>18/03/2026</t>
        </is>
      </c>
      <c r="I6293" t="inlineStr">
        <is>
          <t>17/03/2026</t>
        </is>
      </c>
      <c r="J6293" t="inlineStr">
        <is>
          <t>Cơ khí / Ô tô / Tự động hóa, Điện / Điện tử / Điện lạnh / Điện công nghiệp</t>
        </is>
      </c>
      <c r="K6293" t="inlineStr">
        <is>
          <t>13 - 22 Năm</t>
        </is>
      </c>
      <c r="L6293" s="8">
        <f>HYPERLINK("https://careerviet.vn/vi/tim-viec-lam/ky-su-tu-dong-hoa.35C633A9.html","Xem chi tiết")</f>
        <v/>
      </c>
    </row>
    <row r="6294">
      <c r="B6294" s="9" t="n">
        <v>6292</v>
      </c>
      <c r="C6294" s="10" t="inlineStr">
        <is>
          <t>NHÂN VIÊN KINH DOANH BAO BÌ XUẤT KHẨU</t>
        </is>
      </c>
      <c r="D6294" s="10" t="inlineStr">
        <is>
          <t>Công ty TNHH MTV Bao bì quốc tế</t>
        </is>
      </c>
      <c r="E6294" s="10" t="inlineStr">
        <is>
          <t>Lương:12 Tr - 20 Tr VND</t>
        </is>
      </c>
      <c r="F6294" s="10" t="inlineStr">
        <is>
          <t>Hà Nội</t>
        </is>
      </c>
      <c r="G6294" s="10" t="inlineStr">
        <is>
          <t>1</t>
        </is>
      </c>
      <c r="H6294" s="10" t="inlineStr">
        <is>
          <t>18/03/2026</t>
        </is>
      </c>
      <c r="I6294" s="10" t="inlineStr">
        <is>
          <t>17/03/2026</t>
        </is>
      </c>
      <c r="J6294" s="10" t="inlineStr">
        <is>
          <t>Tiếp thị / Marketing, Bán lẻ / Bán sỉ, Bán hàng / Kinh doanh</t>
        </is>
      </c>
      <c r="K6294" s="10" t="inlineStr">
        <is>
          <t>Chưa có kinh nghiệm</t>
        </is>
      </c>
      <c r="L6294" s="11">
        <f>HYPERLINK("https://careerviet.vn/vi/tim-viec-lam/nhan-vien-kinh-doanh-bao-bi-xuat-khau.35C633F1.html","Xem chi tiết")</f>
        <v/>
      </c>
      <c r="M6294" s="10" t="n"/>
    </row>
    <row r="6295">
      <c r="B6295" s="7" t="n">
        <v>6293</v>
      </c>
      <c r="C6295" t="inlineStr">
        <is>
          <t>Account Marketing Executive (US Time)</t>
        </is>
      </c>
      <c r="D6295" t="inlineStr">
        <is>
          <t>Công ty TNHH Levinci</t>
        </is>
      </c>
      <c r="E6295" t="inlineStr">
        <is>
          <t>Lương:10 Tr - 12 Tr VND</t>
        </is>
      </c>
      <c r="F6295" t="inlineStr">
        <is>
          <t>Hồ Chí Minh</t>
        </is>
      </c>
      <c r="G6295" t="inlineStr">
        <is>
          <t>1</t>
        </is>
      </c>
      <c r="H6295" t="inlineStr">
        <is>
          <t>18/03/2026</t>
        </is>
      </c>
      <c r="I6295" t="inlineStr">
        <is>
          <t>17/03/2026</t>
        </is>
      </c>
      <c r="J6295" t="inlineStr">
        <is>
          <t>Tiếp thị trực tuyến, Tư vấn, Dịch vụ khách hàng</t>
        </is>
      </c>
      <c r="K6295" t="inlineStr">
        <is>
          <t>1 - 2 Năm</t>
        </is>
      </c>
      <c r="L6295" s="8">
        <f>HYPERLINK("https://careerviet.vn/vi/tim-viec-lam/account-marketing-executive-us-time.35C6323F.html","Xem chi tiết")</f>
        <v/>
      </c>
    </row>
    <row r="6296">
      <c r="B6296" s="9" t="n">
        <v>6294</v>
      </c>
      <c r="C6296" s="10" t="inlineStr">
        <is>
          <t>SOURCING/CONTRACTING MANAGER</t>
        </is>
      </c>
      <c r="D6296" s="10" t="inlineStr">
        <is>
          <t>ASIAN TRAILS - CÔNG TY TNHH DU LỊCH ĐƯỜNG MÒN CHÂU Á</t>
        </is>
      </c>
      <c r="E6296" s="10" t="inlineStr">
        <is>
          <t>Lương:Cạnh tranh</t>
        </is>
      </c>
      <c r="F6296" s="10" t="inlineStr">
        <is>
          <t>Hồ Chí Minh</t>
        </is>
      </c>
      <c r="G6296" s="10" t="inlineStr">
        <is>
          <t>1</t>
        </is>
      </c>
      <c r="H6296" s="10" t="inlineStr">
        <is>
          <t>18/03/2026</t>
        </is>
      </c>
      <c r="I6296" s="10" t="inlineStr">
        <is>
          <t>17/03/2026</t>
        </is>
      </c>
      <c r="J6296" s="10" t="inlineStr">
        <is>
          <t>Nhà hàng / Khách sạn, Du lịch</t>
        </is>
      </c>
      <c r="K6296" s="10" t="inlineStr">
        <is>
          <t>5 - 6 Năm</t>
        </is>
      </c>
      <c r="L6296" s="11">
        <f>HYPERLINK("https://careerviet.vn/vi/tim-viec-lam/sourcing-contracting-manager.35C62E5D.html","Xem chi tiết")</f>
        <v/>
      </c>
      <c r="M6296" s="10" t="n"/>
    </row>
    <row r="6297">
      <c r="B6297" s="7" t="n">
        <v>6295</v>
      </c>
      <c r="C6297" t="inlineStr">
        <is>
          <t>Chuyên viên Kế toán Tổng hợp Doanh nghiệp nhỏ - Novaland</t>
        </is>
      </c>
      <c r="D6297" t="inlineStr">
        <is>
          <t>Công Ty Cổ Phần Tập Đoàn Đầu Tư Địa Ốc No Va</t>
        </is>
      </c>
      <c r="E6297" t="inlineStr">
        <is>
          <t>Lương:16 Tr - 20 Tr VND</t>
        </is>
      </c>
      <c r="F6297" t="inlineStr">
        <is>
          <t>Hồ Chí Minh</t>
        </is>
      </c>
      <c r="G6297" t="inlineStr">
        <is>
          <t>1</t>
        </is>
      </c>
      <c r="H6297" t="inlineStr">
        <is>
          <t>18/03/2026</t>
        </is>
      </c>
      <c r="I6297" t="inlineStr">
        <is>
          <t>17/03/2026</t>
        </is>
      </c>
      <c r="J6297" t="inlineStr">
        <is>
          <t>Kế toán / Kiểm toán, Tài chính / Đầu tư, Bất động sản</t>
        </is>
      </c>
      <c r="K6297" t="inlineStr">
        <is>
          <t>2 - 3 Năm</t>
        </is>
      </c>
      <c r="L6297" s="8">
        <f>HYPERLINK("https://careerviet.vn/vi/tim-viec-lam/chuyen-vien-ke-toan-tong-hop-doanh-nghiep-nho-novaland.35C63354.html","Xem chi tiết")</f>
        <v/>
      </c>
    </row>
    <row r="6298">
      <c r="B6298" s="9" t="n">
        <v>6296</v>
      </c>
      <c r="C6298" s="10" t="inlineStr">
        <is>
          <t>CHUYÊN VIÊN HÀNH CHÍNH(Mới)</t>
        </is>
      </c>
      <c r="D6298" s="10" t="inlineStr">
        <is>
          <t>CÔNG TY TNHH CRYSTAL ELEGANCE TEXTILES VIỆT NAM</t>
        </is>
      </c>
      <c r="E6298" s="10" t="inlineStr">
        <is>
          <t>Lương:9 Tr - 13 Tr VND</t>
        </is>
      </c>
      <c r="F6298" s="10" t="inlineStr">
        <is>
          <t>Bình Dương</t>
        </is>
      </c>
      <c r="G6298" s="10" t="inlineStr">
        <is>
          <t>09-05-2026</t>
        </is>
      </c>
      <c r="H6298" s="10" t="inlineStr">
        <is>
          <t>09/05/2026</t>
        </is>
      </c>
      <c r="I6298" s="10" t="inlineStr">
        <is>
          <t>17/03/2026</t>
        </is>
      </c>
      <c r="J6298" s="10" t="inlineStr">
        <is>
          <t>Hành chính / Thư ký, Nhân sự, Sản xuất / Vận hành sản xuất</t>
        </is>
      </c>
      <c r="K6298" s="10" t="inlineStr">
        <is>
          <t>1 - 5 Năm</t>
        </is>
      </c>
      <c r="L6298" s="11">
        <f>HYPERLINK("https://careerviet.vn/vi/tim-viec-lam/chuyen-vien-hanh-chinh.35C6CEE4.html","Xem chi tiết")</f>
        <v/>
      </c>
      <c r="M6298" s="10" t="n"/>
    </row>
    <row r="6299">
      <c r="B6299" s="7" t="n">
        <v>6297</v>
      </c>
      <c r="C6299" t="inlineStr">
        <is>
          <t>Nhân Viên Kinh Doanh Thị Trường Khu Vực Hoàng Mai(Mới)</t>
        </is>
      </c>
      <c r="D6299" t="inlineStr">
        <is>
          <t>Công ty TNHH Chế biến thực phẩm Đông Đô</t>
        </is>
      </c>
      <c r="E6299" t="inlineStr">
        <is>
          <t>Lương:13 Tr - 16 Tr VND</t>
        </is>
      </c>
      <c r="F6299" t="inlineStr">
        <is>
          <t>Hà Nội</t>
        </is>
      </c>
      <c r="G6299" t="inlineStr">
        <is>
          <t>20-04-2026</t>
        </is>
      </c>
      <c r="H6299" t="inlineStr">
        <is>
          <t>20/04/2026</t>
        </is>
      </c>
      <c r="I6299" t="inlineStr">
        <is>
          <t>17/03/2026</t>
        </is>
      </c>
      <c r="J6299" t="inlineStr">
        <is>
          <t>Bán lẻ / Bán sỉ, Bán hàng / Kinh doanh, Thực phẩm &amp; Đồ uống</t>
        </is>
      </c>
      <c r="K6299" t="inlineStr">
        <is>
          <t>1 - 2 Năm</t>
        </is>
      </c>
      <c r="L6299" s="8">
        <f>HYPERLINK("https://careerviet.vn/vi/tim-viec-lam/nhan-vien-kinh-doanh-thi-truong-khu-vuc-hoang-mai.35C6CEEB.html","Xem chi tiết")</f>
        <v/>
      </c>
    </row>
    <row r="6300">
      <c r="B6300" s="9" t="n">
        <v>6298</v>
      </c>
      <c r="C6300" s="10" t="inlineStr">
        <is>
          <t>Nhân Viên Tư Vấn Bán Hàng Tại  King Kong Phú Quốc</t>
        </is>
      </c>
      <c r="D6300" s="10" t="inlineStr">
        <is>
          <t>Công Ty Cổ Phần Mỹ Phẩm Sài Gòn</t>
        </is>
      </c>
      <c r="E6300" s="10" t="inlineStr">
        <is>
          <t>Lương:7 Tr - 10 Tr VND</t>
        </is>
      </c>
      <c r="F6300" s="10" t="inlineStr">
        <is>
          <t>Kiên Giang</t>
        </is>
      </c>
      <c r="G6300" s="10" t="inlineStr">
        <is>
          <t>1</t>
        </is>
      </c>
      <c r="H6300" s="10" t="inlineStr">
        <is>
          <t>18/03/2026</t>
        </is>
      </c>
      <c r="I6300" s="10" t="inlineStr">
        <is>
          <t>17/03/2026</t>
        </is>
      </c>
      <c r="J6300" s="10" t="inlineStr">
        <is>
          <t>Biên phiên dịch, Bán lẻ / Bán sỉ, Bán hàng / Kinh doanh</t>
        </is>
      </c>
      <c r="K6300" s="10" t="inlineStr">
        <is>
          <t>1 - 2 Năm</t>
        </is>
      </c>
      <c r="L6300" s="11">
        <f>HYPERLINK("https://careerviet.vn/vi/tim-viec-lam/nhan-vien-tu-van-ban-hang-tai-king-kong-phu-quoc.35C632D1.html","Xem chi tiết")</f>
        <v/>
      </c>
      <c r="M6300" s="10" t="n"/>
    </row>
    <row r="6301">
      <c r="B6301" s="7" t="n">
        <v>6299</v>
      </c>
      <c r="C6301" t="inlineStr">
        <is>
          <t>Nhân Viên An Toàn Lao Động - Long An(Mới)</t>
        </is>
      </c>
      <c r="D6301" t="inlineStr">
        <is>
          <t>CÔNG TY CỔ PHẦN XÂY DỰNG WORLD STEEL</t>
        </is>
      </c>
      <c r="E6301" t="inlineStr">
        <is>
          <t>Lương:15 Tr - 17 Tr VND</t>
        </is>
      </c>
      <c r="F6301" t="inlineStr">
        <is>
          <t>Long An</t>
        </is>
      </c>
      <c r="G6301" t="inlineStr">
        <is>
          <t>17-04-2026</t>
        </is>
      </c>
      <c r="H6301" t="inlineStr">
        <is>
          <t>17/04/2026</t>
        </is>
      </c>
      <c r="I6301" t="inlineStr">
        <is>
          <t>17/03/2026</t>
        </is>
      </c>
      <c r="J6301" t="inlineStr">
        <is>
          <t>Luật / Pháp lý, Hành chính / Thư ký, An toàn lao động</t>
        </is>
      </c>
      <c r="K6301" t="inlineStr">
        <is>
          <t>2 - 5 Năm</t>
        </is>
      </c>
      <c r="L6301" s="8">
        <f>HYPERLINK("https://careerviet.vn/vi/tim-viec-lam/nhan-vien-an-toan-lao-dong-long-an.35C6CED1.html","Xem chi tiết")</f>
        <v/>
      </c>
    </row>
    <row r="6302">
      <c r="B6302" s="9" t="n">
        <v>6300</v>
      </c>
      <c r="C6302" s="10" t="inlineStr">
        <is>
          <t>TRƯỞNG PHÒNG PHÁT TRIỂN ĐẠI LÝ (BẤT ĐỘNG SẢN)(Mới)</t>
        </is>
      </c>
      <c r="D6302" s="10" t="inlineStr">
        <is>
          <t>CÔNG TY CỔ PHẦN SOLIA GROUP</t>
        </is>
      </c>
      <c r="E6302" s="10" t="inlineStr">
        <is>
          <t>Lương:Cạnh tranh</t>
        </is>
      </c>
      <c r="F6302" s="10" t="inlineStr">
        <is>
          <t>Hồ Chí Minh</t>
        </is>
      </c>
      <c r="G6302" s="10" t="inlineStr">
        <is>
          <t>17-04-2026</t>
        </is>
      </c>
      <c r="H6302" s="10" t="inlineStr">
        <is>
          <t>17/04/2026</t>
        </is>
      </c>
      <c r="I6302" s="10" t="inlineStr">
        <is>
          <t>17/03/2026</t>
        </is>
      </c>
      <c r="J6302" s="10" t="inlineStr">
        <is>
          <t>Bất động sản</t>
        </is>
      </c>
      <c r="K6302" s="10" t="inlineStr">
        <is>
          <t>3 - 5 Năm</t>
        </is>
      </c>
      <c r="L6302" s="11">
        <f>HYPERLINK("https://careerviet.vn/vi/tim-viec-lam/truong-phong-phat-trien-dai-ly-bat-dong-san.35C6CEF2.html","Xem chi tiết")</f>
        <v/>
      </c>
      <c r="M6302" s="10" t="n"/>
    </row>
    <row r="6303">
      <c r="B6303" s="7" t="n">
        <v>6301</v>
      </c>
      <c r="C6303" t="inlineStr">
        <is>
          <t>Kỹ Sư Triển Khai Shopdrawing</t>
        </is>
      </c>
      <c r="D6303" t="inlineStr">
        <is>
          <t>CÔNG TY TNHH VIS SOLUTIONS</t>
        </is>
      </c>
      <c r="E6303" t="inlineStr">
        <is>
          <t>Lương:Cạnh tranh</t>
        </is>
      </c>
      <c r="F6303" t="inlineStr">
        <is>
          <t>Hồ Chí Minh</t>
        </is>
      </c>
      <c r="G6303" t="inlineStr">
        <is>
          <t>1</t>
        </is>
      </c>
      <c r="H6303" t="inlineStr">
        <is>
          <t>18/03/2026</t>
        </is>
      </c>
      <c r="I6303" t="inlineStr">
        <is>
          <t>17/03/2026</t>
        </is>
      </c>
      <c r="J6303" t="inlineStr">
        <is>
          <t>Cơ khí / Ô tô / Tự động hóa, Điện / Điện tử / Điện lạnh / Điện công nghiệp, Mỹ thuật / Nghệ thuật / Thiết kế</t>
        </is>
      </c>
      <c r="K6303" t="inlineStr">
        <is>
          <t>1 - 2 Năm</t>
        </is>
      </c>
      <c r="L6303" s="8">
        <f>HYPERLINK("https://careerviet.vn/vi/tim-viec-lam/ky-su-trien-khai-shopdrawing.35C630E7.html","Xem chi tiết")</f>
        <v/>
      </c>
    </row>
    <row r="6304">
      <c r="B6304" s="9" t="n">
        <v>6302</v>
      </c>
      <c r="C6304" s="10" t="inlineStr">
        <is>
          <t>Nhân Viên Telesales</t>
        </is>
      </c>
      <c r="D6304" s="10" t="inlineStr">
        <is>
          <t>CÔNG TY TNHH TƯ VẤN DỊCH VỤ MTC GROUP</t>
        </is>
      </c>
      <c r="E6304" s="10" t="inlineStr">
        <is>
          <t>Lương:6 Tr - 7,3 Tr VND</t>
        </is>
      </c>
      <c r="F6304" s="10" t="inlineStr">
        <is>
          <t>Hồ Chí Minh</t>
        </is>
      </c>
      <c r="G6304" s="10" t="inlineStr">
        <is>
          <t>1</t>
        </is>
      </c>
      <c r="H6304" s="10" t="inlineStr">
        <is>
          <t>18/03/2026</t>
        </is>
      </c>
      <c r="I6304" s="10" t="inlineStr">
        <is>
          <t>17/03/2026</t>
        </is>
      </c>
      <c r="J6304" s="10" t="inlineStr">
        <is>
          <t>Bán hàng / Kinh doanh, Tư vấn, Tài chính / Đầu tư</t>
        </is>
      </c>
      <c r="K6304" s="10" t="inlineStr">
        <is>
          <t>N/A</t>
        </is>
      </c>
      <c r="L6304" s="11">
        <f>HYPERLINK("https://careerviet.vn/vi/tim-viec-lam/nhan-vien-telesales.35C6334B.html","Xem chi tiết")</f>
        <v/>
      </c>
      <c r="M6304" s="10" t="n"/>
    </row>
    <row r="6305">
      <c r="B6305" s="7" t="n">
        <v>6303</v>
      </c>
      <c r="C6305" t="inlineStr">
        <is>
          <t>PHÓ PHÒNG QC</t>
        </is>
      </c>
      <c r="D6305" t="inlineStr">
        <is>
          <t>Công ty TNHH MTV Bao bì quốc tế</t>
        </is>
      </c>
      <c r="E6305" t="inlineStr">
        <is>
          <t>Lương:Cạnh tranh</t>
        </is>
      </c>
      <c r="F6305" t="inlineStr">
        <is>
          <t>Hà Nam</t>
        </is>
      </c>
      <c r="G6305" t="inlineStr">
        <is>
          <t>1</t>
        </is>
      </c>
      <c r="H6305" t="inlineStr">
        <is>
          <t>18/03/2026</t>
        </is>
      </c>
      <c r="I6305" t="inlineStr">
        <is>
          <t>17/03/2026</t>
        </is>
      </c>
      <c r="J6305" t="inlineStr">
        <is>
          <t>Sản xuất / Vận hành sản xuất, Quản lý chất lượng (QA/QC)</t>
        </is>
      </c>
      <c r="K6305" t="inlineStr">
        <is>
          <t>2 - 15 Năm</t>
        </is>
      </c>
      <c r="L6305" s="8">
        <f>HYPERLINK("https://careerviet.vn/vi/tim-viec-lam/pho-phong-qc.35C633F8.html","Xem chi tiết")</f>
        <v/>
      </c>
    </row>
    <row r="6306">
      <c r="B6306" s="9" t="n">
        <v>6304</v>
      </c>
      <c r="C6306" s="10" t="inlineStr">
        <is>
          <t>Component Engineer</t>
        </is>
      </c>
      <c r="D6306" s="10" t="inlineStr">
        <is>
          <t>Jabil Vietnam</t>
        </is>
      </c>
      <c r="E6306" s="10" t="inlineStr">
        <is>
          <t>Lương:Cạnh tranh</t>
        </is>
      </c>
      <c r="F6306" s="10" t="inlineStr">
        <is>
          <t>Hồ Chí Minh</t>
        </is>
      </c>
      <c r="G6306" s="10" t="inlineStr">
        <is>
          <t>1</t>
        </is>
      </c>
      <c r="H6306" s="10" t="inlineStr">
        <is>
          <t>18/03/2026</t>
        </is>
      </c>
      <c r="I6306" s="10" t="inlineStr">
        <is>
          <t>17/03/2026</t>
        </is>
      </c>
      <c r="J6306" s="10" t="inlineStr">
        <is>
          <t>Điện / Điện tử / Điện lạnh / Điện công nghiệp, Sản xuất / Vận hành sản xuất, Thu mua / Vật tư</t>
        </is>
      </c>
      <c r="K6306" s="10" t="inlineStr">
        <is>
          <t>Trên 2 Năm</t>
        </is>
      </c>
      <c r="L6306" s="11">
        <f>HYPERLINK("https://careerviet.vn/vi/tim-viec-lam/component-engineer.35C633EE.html","Xem chi tiết")</f>
        <v/>
      </c>
      <c r="M6306" s="10" t="n"/>
    </row>
    <row r="6307">
      <c r="B6307" s="7" t="n">
        <v>6305</v>
      </c>
      <c r="C6307" t="inlineStr">
        <is>
          <t>Nhân viên Graphic Designer(Mới)</t>
        </is>
      </c>
      <c r="D6307" t="inlineStr">
        <is>
          <t>CÔNG TY TNHH PHÁT TRIỂN ĐỒ UỐNG AN VIỆT SÔNG HỒNG</t>
        </is>
      </c>
      <c r="E6307" t="inlineStr">
        <is>
          <t>Lương:12 Tr - 15 Tr VND</t>
        </is>
      </c>
      <c r="F6307" t="inlineStr">
        <is>
          <t>Hà Nội</t>
        </is>
      </c>
      <c r="G6307" t="inlineStr">
        <is>
          <t>15-04-2026</t>
        </is>
      </c>
      <c r="H6307" t="inlineStr">
        <is>
          <t>15/04/2026</t>
        </is>
      </c>
      <c r="I6307" t="inlineStr">
        <is>
          <t>17/03/2026</t>
        </is>
      </c>
      <c r="J6307" t="inlineStr">
        <is>
          <t>Tiếp thị / Marketing, Mỹ thuật / Nghệ thuật / Thiết kế, Quảng cáo / Đối ngoại / Truyền Thông</t>
        </is>
      </c>
      <c r="K6307" t="inlineStr">
        <is>
          <t>1 - 2 Năm</t>
        </is>
      </c>
      <c r="L6307" s="8">
        <f>HYPERLINK("https://careerviet.vn/vi/tim-viec-lam/nhan-vien-graphic-designer.35C6CEDF.html","Xem chi tiết")</f>
        <v/>
      </c>
    </row>
    <row r="6308">
      <c r="B6308" s="9" t="n">
        <v>6306</v>
      </c>
      <c r="C6308" s="10" t="inlineStr">
        <is>
          <t>Cán bộ an toàn(Mới)</t>
        </is>
      </c>
      <c r="D6308" s="10" t="inlineStr">
        <is>
          <t>CÔNG TY TNHH TẬP ĐOÀN XÂY DỰNG DELTA</t>
        </is>
      </c>
      <c r="E6308" s="10" t="inlineStr">
        <is>
          <t>Lương:Cạnh tranh</t>
        </is>
      </c>
      <c r="F6308" s="10" t="inlineStr">
        <is>
          <t>Bắc GiangĐà NẵngHà Nam</t>
        </is>
      </c>
      <c r="G6308" s="10" t="inlineStr">
        <is>
          <t>31-05-2026</t>
        </is>
      </c>
      <c r="H6308" s="10" t="inlineStr">
        <is>
          <t>31/05/2026</t>
        </is>
      </c>
      <c r="I6308" s="10" t="inlineStr">
        <is>
          <t>17/03/2026</t>
        </is>
      </c>
      <c r="J6308" s="10" t="inlineStr">
        <is>
          <t>An toàn lao động, Xây dựng</t>
        </is>
      </c>
      <c r="K6308" s="10" t="inlineStr">
        <is>
          <t>1 - 3 Năm</t>
        </is>
      </c>
      <c r="L6308" s="11">
        <f>HYPERLINK("https://careerviet.vn/vi/tim-viec-lam/can-bo-an-toan.35C6CEE5.html","Xem chi tiết")</f>
        <v/>
      </c>
      <c r="M6308" s="10" t="n"/>
    </row>
    <row r="6309">
      <c r="B6309" s="7" t="n">
        <v>6307</v>
      </c>
      <c r="C6309" t="inlineStr">
        <is>
          <t>Chuyên viên đo bóc khối lượng M&amp;E(Mới)</t>
        </is>
      </c>
      <c r="D6309" t="inlineStr">
        <is>
          <t>CÔNG TY TNHH TẬP ĐOÀN XÂY DỰNG DELTA</t>
        </is>
      </c>
      <c r="E6309" t="inlineStr">
        <is>
          <t>Lương:Cạnh tranh</t>
        </is>
      </c>
      <c r="F6309" t="inlineStr">
        <is>
          <t>Hà Nội</t>
        </is>
      </c>
      <c r="G6309" t="inlineStr">
        <is>
          <t>31-05-2026</t>
        </is>
      </c>
      <c r="H6309" t="inlineStr">
        <is>
          <t>31/05/2026</t>
        </is>
      </c>
      <c r="I6309" t="inlineStr">
        <is>
          <t>17/03/2026</t>
        </is>
      </c>
      <c r="J6309" t="inlineStr">
        <is>
          <t>Điện / Điện tử / Điện lạnh / Điện công nghiệp, Xây dựng, Bất động sản</t>
        </is>
      </c>
      <c r="K6309" t="inlineStr">
        <is>
          <t>3 - 5 Năm</t>
        </is>
      </c>
      <c r="L6309" s="8">
        <f>HYPERLINK("https://careerviet.vn/vi/tim-viec-lam/chuyen-vien-do-boc-khoi-luong-m-e.35C6CEEC.html","Xem chi tiết")</f>
        <v/>
      </c>
    </row>
    <row r="6310">
      <c r="B6310" s="9" t="n">
        <v>6308</v>
      </c>
      <c r="C6310" s="10" t="inlineStr">
        <is>
          <t>Chuyên viên đo bóc khối lượng(Mới)</t>
        </is>
      </c>
      <c r="D6310" s="10" t="inlineStr">
        <is>
          <t>CÔNG TY TNHH TẬP ĐOÀN XÂY DỰNG DELTA</t>
        </is>
      </c>
      <c r="E6310" s="10" t="inlineStr">
        <is>
          <t>Lương:Cạnh tranh</t>
        </is>
      </c>
      <c r="F6310" s="10" t="inlineStr">
        <is>
          <t>Hà Nội</t>
        </is>
      </c>
      <c r="G6310" s="10" t="inlineStr">
        <is>
          <t>31-05-2026</t>
        </is>
      </c>
      <c r="H6310" s="10" t="inlineStr">
        <is>
          <t>31/05/2026</t>
        </is>
      </c>
      <c r="I6310" s="10" t="inlineStr">
        <is>
          <t>17/03/2026</t>
        </is>
      </c>
      <c r="J6310" s="10" t="inlineStr">
        <is>
          <t>Điện / Điện tử / Điện lạnh / Điện công nghiệp, Xây dựng, Bất động sản</t>
        </is>
      </c>
      <c r="K6310" s="10" t="inlineStr">
        <is>
          <t>3 - 5 Năm</t>
        </is>
      </c>
      <c r="L6310" s="11">
        <f>HYPERLINK("https://careerviet.vn/vi/tim-viec-lam/chuyen-vien-do-boc-khoi-luong.35C6CEE1.html","Xem chi tiết")</f>
        <v/>
      </c>
      <c r="M6310" s="10" t="n"/>
    </row>
    <row r="6311">
      <c r="B6311" s="7" t="n">
        <v>6309</v>
      </c>
      <c r="C6311" t="inlineStr">
        <is>
          <t>Trưởng Phòng Kinh Doanh (Bất Động Sản)(Mới)</t>
        </is>
      </c>
      <c r="D6311" t="inlineStr">
        <is>
          <t>CÔNG TY CỔ PHẦN SOLIA GROUP</t>
        </is>
      </c>
      <c r="E6311" t="inlineStr">
        <is>
          <t>Lương:Cạnh tranh</t>
        </is>
      </c>
      <c r="F6311" t="inlineStr">
        <is>
          <t>Hồ Chí Minh</t>
        </is>
      </c>
      <c r="G6311" t="inlineStr">
        <is>
          <t>17-04-2026</t>
        </is>
      </c>
      <c r="H6311" t="inlineStr">
        <is>
          <t>17/04/2026</t>
        </is>
      </c>
      <c r="I6311" t="inlineStr">
        <is>
          <t>17/03/2026</t>
        </is>
      </c>
      <c r="J6311" t="inlineStr">
        <is>
          <t>Bất động sản</t>
        </is>
      </c>
      <c r="K6311" t="inlineStr">
        <is>
          <t>2 - 5 Năm</t>
        </is>
      </c>
      <c r="L6311" s="8">
        <f>HYPERLINK("https://careerviet.vn/vi/tim-viec-lam/truong-phong-kinh-doanh-bat-dong-san.35C6CEE3.html","Xem chi tiết")</f>
        <v/>
      </c>
    </row>
    <row r="6312">
      <c r="B6312" s="9" t="n">
        <v>6310</v>
      </c>
      <c r="C6312" s="10" t="inlineStr">
        <is>
          <t>AP Accountant(Mới)</t>
        </is>
      </c>
      <c r="D6312" s="10" t="inlineStr">
        <is>
          <t>CÔNG TY TNHH B &amp; D LINGERIE VIỆT NAM</t>
        </is>
      </c>
      <c r="E6312" s="10" t="inlineStr">
        <is>
          <t>Lương:Cạnh tranh</t>
        </is>
      </c>
      <c r="F6312" s="10" t="inlineStr">
        <is>
          <t>Bình Định</t>
        </is>
      </c>
      <c r="G6312" s="10" t="inlineStr">
        <is>
          <t>30-04-2026</t>
        </is>
      </c>
      <c r="H6312" s="10" t="inlineStr">
        <is>
          <t>30/04/2026</t>
        </is>
      </c>
      <c r="I6312" s="10" t="inlineStr">
        <is>
          <t>17/03/2026</t>
        </is>
      </c>
      <c r="J6312" s="10" t="inlineStr">
        <is>
          <t>Kế toán / Kiểm toán</t>
        </is>
      </c>
      <c r="K6312" s="10" t="inlineStr">
        <is>
          <t>1 - 5 Năm</t>
        </is>
      </c>
      <c r="L6312" s="11">
        <f>HYPERLINK("https://careerviet.vn/vi/tim-viec-lam/ap-accountant.35C6CEE7.html","Xem chi tiết")</f>
        <v/>
      </c>
      <c r="M6312" s="10" t="n"/>
    </row>
    <row r="6313">
      <c r="B6313" s="7" t="n">
        <v>6311</v>
      </c>
      <c r="C6313" t="inlineStr">
        <is>
          <t>Chuyên viên Quản lý ngành hàng (PNJ Style)(Mới)</t>
        </is>
      </c>
      <c r="D6313" t="inlineStr">
        <is>
          <t>Công Ty CP Vàng Bạc Đá Quý Phú Nhuận - PNJ</t>
        </is>
      </c>
      <c r="E6313" t="inlineStr">
        <is>
          <t>Lương:Cạnh tranh</t>
        </is>
      </c>
      <c r="F6313" t="inlineStr">
        <is>
          <t>Hồ Chí Minh</t>
        </is>
      </c>
      <c r="G6313" t="inlineStr">
        <is>
          <t>04-05-2026</t>
        </is>
      </c>
      <c r="H6313" t="inlineStr">
        <is>
          <t>04/05/2026</t>
        </is>
      </c>
      <c r="I6313" t="inlineStr">
        <is>
          <t>17/03/2026</t>
        </is>
      </c>
      <c r="J6313" t="inlineStr">
        <is>
          <t>Bán lẻ / Bán sỉ, Thu mua / Vật tư</t>
        </is>
      </c>
      <c r="K6313" t="inlineStr">
        <is>
          <t>2 - 4 Năm</t>
        </is>
      </c>
      <c r="L6313" s="8">
        <f>HYPERLINK("https://careerviet.vn/vi/tim-viec-lam/chuyen-vien-quan-ly-nganh-hang-pnj-style.35C6CEE2.html","Xem chi tiết")</f>
        <v/>
      </c>
    </row>
    <row r="6314">
      <c r="B6314" s="9" t="n">
        <v>6312</v>
      </c>
      <c r="C6314" s="10" t="inlineStr">
        <is>
          <t>[Hà Nội] Chuyên Viên Tuyển Dụng (B0)(Mới)</t>
        </is>
      </c>
      <c r="D6314" s="10" t="inlineStr">
        <is>
          <t>Công Ty TNHH XNK Phát Triển Đông Dương</t>
        </is>
      </c>
      <c r="E6314" s="10" t="inlineStr">
        <is>
          <t>Lương:12 Tr - 20 Tr VND</t>
        </is>
      </c>
      <c r="F6314" s="10" t="inlineStr">
        <is>
          <t>Hà Nội</t>
        </is>
      </c>
      <c r="G6314" s="10" t="inlineStr">
        <is>
          <t>20-04-2026</t>
        </is>
      </c>
      <c r="H6314" s="10" t="inlineStr">
        <is>
          <t>20/04/2026</t>
        </is>
      </c>
      <c r="I6314" s="10" t="inlineStr">
        <is>
          <t>17/03/2026</t>
        </is>
      </c>
      <c r="J6314" s="10" t="inlineStr">
        <is>
          <t>Nhân sự, Hành chính / Thư ký, Bán lẻ / Bán sỉ</t>
        </is>
      </c>
      <c r="K6314" s="10" t="inlineStr">
        <is>
          <t>1 - 3 Năm</t>
        </is>
      </c>
      <c r="L6314" s="11">
        <f>HYPERLINK("https://careerviet.vn/vi/tim-viec-lam/ha-noi-chuyen-vien-tuyen-dung-b0.35C6CED8.html","Xem chi tiết")</f>
        <v/>
      </c>
      <c r="M6314" s="10" t="n"/>
    </row>
    <row r="6315">
      <c r="B6315" s="7" t="n">
        <v>6313</v>
      </c>
      <c r="C6315" t="inlineStr">
        <is>
          <t>Nhân viên QC (Ngành Dược)(Mới)</t>
        </is>
      </c>
      <c r="D6315" t="inlineStr">
        <is>
          <t>Công ty cổ phần Anvy</t>
        </is>
      </c>
      <c r="E6315" t="inlineStr">
        <is>
          <t>Lương:8 Tr - 9 Tr VND</t>
        </is>
      </c>
      <c r="F6315" t="inlineStr">
        <is>
          <t>Hưng Yên</t>
        </is>
      </c>
      <c r="G6315" t="inlineStr">
        <is>
          <t>15-04-2026</t>
        </is>
      </c>
      <c r="H6315" t="inlineStr">
        <is>
          <t>15/04/2026</t>
        </is>
      </c>
      <c r="I6315" t="inlineStr">
        <is>
          <t>17/03/2026</t>
        </is>
      </c>
      <c r="J6315" t="inlineStr">
        <is>
          <t>Dược phẩm/ Hóa Mỹ Phẩm, Y tế / Chăm sóc sức khỏe / Thẩm mỹ / Làm đẹp</t>
        </is>
      </c>
      <c r="K6315" t="inlineStr">
        <is>
          <t>N/A</t>
        </is>
      </c>
      <c r="L6315" s="8">
        <f>HYPERLINK("https://careerviet.vn/vi/tim-viec-lam/nhan-vien-qc-nganh-duoc.35C6CE92.html","Xem chi tiết")</f>
        <v/>
      </c>
    </row>
    <row r="6316">
      <c r="B6316" s="9" t="n">
        <v>6314</v>
      </c>
      <c r="C6316" s="10" t="inlineStr">
        <is>
          <t>Kế toán công trường(Mới)</t>
        </is>
      </c>
      <c r="D6316" s="10" t="inlineStr">
        <is>
          <t>CÔNG TY TNHH TẬP ĐOÀN XÂY DỰNG DELTA</t>
        </is>
      </c>
      <c r="E6316" s="10" t="inlineStr">
        <is>
          <t>Lương:Cạnh tranh</t>
        </is>
      </c>
      <c r="F6316" s="10" t="inlineStr">
        <is>
          <t>Hà NamHà Nội</t>
        </is>
      </c>
      <c r="G6316" s="10" t="inlineStr">
        <is>
          <t>31-05-2026</t>
        </is>
      </c>
      <c r="H6316" s="10" t="inlineStr">
        <is>
          <t>31/05/2026</t>
        </is>
      </c>
      <c r="I6316" s="10" t="inlineStr">
        <is>
          <t>17/03/2026</t>
        </is>
      </c>
      <c r="J6316" s="10" t="inlineStr">
        <is>
          <t>Kế toán / Kiểm toán, Xây dựng</t>
        </is>
      </c>
      <c r="K6316" s="10" t="inlineStr">
        <is>
          <t>1 - 3 Năm</t>
        </is>
      </c>
      <c r="L6316" s="11">
        <f>HYPERLINK("https://careerviet.vn/vi/tim-viec-lam/ke-toan-cong-truong.35C6CEDD.html","Xem chi tiết")</f>
        <v/>
      </c>
      <c r="M6316" s="10" t="n"/>
    </row>
    <row r="6317">
      <c r="B6317" s="7" t="n">
        <v>6315</v>
      </c>
      <c r="C6317" t="inlineStr">
        <is>
          <t>Kế toán tổng hợp (Chủ đầu tư BĐS, làm việc tại Quận 3)</t>
        </is>
      </c>
      <c r="D6317" t="inlineStr">
        <is>
          <t>Công ty Cổ phần Tập đoàn KITA Group</t>
        </is>
      </c>
      <c r="E6317" t="inlineStr">
        <is>
          <t>Lương:23 Tr - 28 Tr VND</t>
        </is>
      </c>
      <c r="F6317" t="inlineStr">
        <is>
          <t>Hồ Chí Minh</t>
        </is>
      </c>
      <c r="G6317" t="inlineStr">
        <is>
          <t>25-03-2026</t>
        </is>
      </c>
      <c r="H6317" t="inlineStr">
        <is>
          <t>25/03/2026</t>
        </is>
      </c>
      <c r="I6317" t="inlineStr">
        <is>
          <t>17/03/2026</t>
        </is>
      </c>
      <c r="J6317" t="inlineStr">
        <is>
          <t>Kế toán / Kiểm toán, Tài chính / Đầu tư, Bất động sản</t>
        </is>
      </c>
      <c r="K6317" t="inlineStr">
        <is>
          <t>2 - 5 Năm</t>
        </is>
      </c>
      <c r="L6317" s="8">
        <f>HYPERLINK("https://careerviet.vn/vi/tim-viec-lam/ke-toan-tong-hop-chu-dau-tu-bds-lam-viec-tai-quan-3.35C6C2A3.html","Xem chi tiết")</f>
        <v/>
      </c>
    </row>
    <row r="6318">
      <c r="B6318" s="9" t="n">
        <v>6316</v>
      </c>
      <c r="C6318" s="10" t="inlineStr">
        <is>
          <t>Chuyên viên Dịch vụ khách hàng (Chủ đầu tư BĐS)</t>
        </is>
      </c>
      <c r="D6318" s="10" t="inlineStr">
        <is>
          <t>Công ty Cổ phần Tập đoàn KITA Group</t>
        </is>
      </c>
      <c r="E6318" s="10" t="inlineStr">
        <is>
          <t>Lương:15 Tr - 18 Tr VND</t>
        </is>
      </c>
      <c r="F6318" s="10" t="inlineStr">
        <is>
          <t>Hồ Chí Minh</t>
        </is>
      </c>
      <c r="G6318" s="10" t="inlineStr">
        <is>
          <t>30-04-2026</t>
        </is>
      </c>
      <c r="H6318" s="10" t="inlineStr">
        <is>
          <t>30/04/2026</t>
        </is>
      </c>
      <c r="I6318" s="10" t="inlineStr">
        <is>
          <t>17/03/2026</t>
        </is>
      </c>
      <c r="J6318" s="10" t="inlineStr">
        <is>
          <t>Bán hàng / Kinh doanh, Dịch vụ khách hàng, Bất động sản</t>
        </is>
      </c>
      <c r="K6318" s="10" t="inlineStr">
        <is>
          <t>2 - 5 Năm</t>
        </is>
      </c>
      <c r="L6318" s="11">
        <f>HYPERLINK("https://careerviet.vn/vi/tim-viec-lam/chuyen-vien-dich-vu-khach-hang-chu-dau-tu-bds.35C6B244.html","Xem chi tiết")</f>
        <v/>
      </c>
      <c r="M6318" s="10" t="n"/>
    </row>
    <row r="6319">
      <c r="B6319" s="7" t="n">
        <v>6317</v>
      </c>
      <c r="C6319" t="inlineStr">
        <is>
          <t>Kỹ sư QS M&amp;E(Mới)</t>
        </is>
      </c>
      <c r="D6319" t="inlineStr">
        <is>
          <t>CÔNG TY TNHH TẬP ĐOÀN XÂY DỰNG DELTA</t>
        </is>
      </c>
      <c r="E6319" t="inlineStr">
        <is>
          <t>Lương:Cạnh tranh</t>
        </is>
      </c>
      <c r="F6319" t="inlineStr">
        <is>
          <t>Quảng NinhHà NamHưng Yên</t>
        </is>
      </c>
      <c r="G6319" t="inlineStr">
        <is>
          <t>31-05-2026</t>
        </is>
      </c>
      <c r="H6319" t="inlineStr">
        <is>
          <t>31/05/2026</t>
        </is>
      </c>
      <c r="I6319" t="inlineStr">
        <is>
          <t>17/03/2026</t>
        </is>
      </c>
      <c r="J6319" t="inlineStr">
        <is>
          <t>Điện / Điện tử / Điện lạnh / Điện công nghiệp, Xây dựng</t>
        </is>
      </c>
      <c r="K6319" t="inlineStr">
        <is>
          <t>2 - 5 Năm</t>
        </is>
      </c>
      <c r="L6319" s="8">
        <f>HYPERLINK("https://careerviet.vn/vi/tim-viec-lam/ky-su-qs-m-e.35C6CEDA.html","Xem chi tiết")</f>
        <v/>
      </c>
    </row>
    <row r="6320">
      <c r="B6320" s="9" t="n">
        <v>6318</v>
      </c>
      <c r="C6320" s="10" t="inlineStr">
        <is>
          <t>Chuyên Viên Thiết Kế Đa Phương Tiện(Mới)</t>
        </is>
      </c>
      <c r="D6320" s="10" t="inlineStr">
        <is>
          <t>CÔNG TY CỔ PHẦN VĨNH QUANG</t>
        </is>
      </c>
      <c r="E6320" s="10" t="inlineStr">
        <is>
          <t>Lương:Cạnh tranh</t>
        </is>
      </c>
      <c r="F6320" s="10" t="inlineStr">
        <is>
          <t>Hồ Chí Minh</t>
        </is>
      </c>
      <c r="G6320" s="10" t="inlineStr">
        <is>
          <t>16-04-2026</t>
        </is>
      </c>
      <c r="H6320" s="10" t="inlineStr">
        <is>
          <t>16/04/2026</t>
        </is>
      </c>
      <c r="I6320" s="10" t="inlineStr">
        <is>
          <t>17/03/2026</t>
        </is>
      </c>
      <c r="J6320" s="10" t="inlineStr">
        <is>
          <t>Xây dựng, Mỹ thuật / Nghệ thuật / Thiết kế, Bất động sản</t>
        </is>
      </c>
      <c r="K6320" s="10" t="inlineStr">
        <is>
          <t>3 - 4 Năm</t>
        </is>
      </c>
      <c r="L6320" s="11">
        <f>HYPERLINK("https://careerviet.vn/vi/tim-viec-lam/chuyen-vien-thiet-ke-da-phuong-tien.35C6CED7.html","Xem chi tiết")</f>
        <v/>
      </c>
      <c r="M6320" s="10" t="n"/>
    </row>
    <row r="6321">
      <c r="B6321" s="7" t="n">
        <v>6319</v>
      </c>
      <c r="C6321" t="inlineStr">
        <is>
          <t>GIÁM SÁT BẢO TRÌ CƠ KHÍ(Mới)</t>
        </is>
      </c>
      <c r="D6321" t="inlineStr">
        <is>
          <t>CÔNG TY TNHH CRYSTAL ELEGANCE TEXTILES VIỆT NAM</t>
        </is>
      </c>
      <c r="E6321" t="inlineStr">
        <is>
          <t>Lương:Cạnh tranh</t>
        </is>
      </c>
      <c r="F6321" t="inlineStr">
        <is>
          <t>Bình Dương</t>
        </is>
      </c>
      <c r="G6321" t="inlineStr">
        <is>
          <t>31-05-2026</t>
        </is>
      </c>
      <c r="H6321" t="inlineStr">
        <is>
          <t>31/05/2026</t>
        </is>
      </c>
      <c r="I6321" t="inlineStr">
        <is>
          <t>17/03/2026</t>
        </is>
      </c>
      <c r="J6321" t="inlineStr">
        <is>
          <t>Cơ khí / Ô tô / Tự động hóa, Bảo trì / Sửa chữa, Sản xuất / Vận hành sản xuất</t>
        </is>
      </c>
      <c r="K6321" t="inlineStr">
        <is>
          <t>5 - 7 Năm</t>
        </is>
      </c>
      <c r="L6321" s="8">
        <f>HYPERLINK("https://careerviet.vn/vi/tim-viec-lam/giam-sat-bao-tri-co-khi.35C6CEA6.html","Xem chi tiết")</f>
        <v/>
      </c>
    </row>
    <row r="6322">
      <c r="B6322" s="9" t="n">
        <v>6320</v>
      </c>
      <c r="C6322" s="10" t="inlineStr">
        <is>
          <t>Kỹ sư QA/QC - Hải Phòng, Lào Cai, Bắc Giang(Mới)</t>
        </is>
      </c>
      <c r="D6322" s="10" t="inlineStr">
        <is>
          <t>CÔNG TY TNHH TẬP ĐOÀN XÂY DỰNG DELTA</t>
        </is>
      </c>
      <c r="E6322" s="10" t="inlineStr">
        <is>
          <t>Lương:Cạnh tranh</t>
        </is>
      </c>
      <c r="F6322" s="10" t="inlineStr">
        <is>
          <t>Hà NộiBắc GiangHải Phòng</t>
        </is>
      </c>
      <c r="G6322" s="10" t="inlineStr">
        <is>
          <t>31-05-2026</t>
        </is>
      </c>
      <c r="H6322" s="10" t="inlineStr">
        <is>
          <t>31/05/2026</t>
        </is>
      </c>
      <c r="I6322" s="10" t="inlineStr">
        <is>
          <t>17/03/2026</t>
        </is>
      </c>
      <c r="J6322" s="10" t="inlineStr">
        <is>
          <t>Quản lý chất lượng (QA/QC), Xây dựng, Bất động sản</t>
        </is>
      </c>
      <c r="K6322" s="10" t="inlineStr">
        <is>
          <t>1 - 3 Năm</t>
        </is>
      </c>
      <c r="L6322" s="11">
        <f>HYPERLINK("https://careerviet.vn/vi/tim-viec-lam/ky-su-qa-qc-hai-phong-lao-cai-bac-giang.35C6CED2.html","Xem chi tiết")</f>
        <v/>
      </c>
      <c r="M6322" s="10" t="n"/>
    </row>
    <row r="6323">
      <c r="B6323" s="7" t="n">
        <v>6321</v>
      </c>
      <c r="C6323" t="inlineStr">
        <is>
          <t>Giám sát hiện trường M&amp;E - Hà Nam, Hưng Yên, Hà Nội(Mới)</t>
        </is>
      </c>
      <c r="D6323" t="inlineStr">
        <is>
          <t>CÔNG TY TNHH TẬP ĐOÀN XÂY DỰNG DELTA</t>
        </is>
      </c>
      <c r="E6323" t="inlineStr">
        <is>
          <t>Lương:Cạnh tranh</t>
        </is>
      </c>
      <c r="F6323" t="inlineStr">
        <is>
          <t>Hà NộiHà NamHưng Yên</t>
        </is>
      </c>
      <c r="G6323" t="inlineStr">
        <is>
          <t>31-05-2026</t>
        </is>
      </c>
      <c r="H6323" t="inlineStr">
        <is>
          <t>31/05/2026</t>
        </is>
      </c>
      <c r="I6323" t="inlineStr">
        <is>
          <t>17/03/2026</t>
        </is>
      </c>
      <c r="J6323" t="inlineStr">
        <is>
          <t>Xây dựng</t>
        </is>
      </c>
      <c r="K6323" t="inlineStr">
        <is>
          <t>1 - 5 Năm</t>
        </is>
      </c>
      <c r="L6323" s="8">
        <f>HYPERLINK("https://careerviet.vn/vi/tim-viec-lam/giam-sat-hien-truong-m-e-ha-nam-hung-yen-ha-noi.35C6CED5.html","Xem chi tiết")</f>
        <v/>
      </c>
    </row>
    <row r="6324">
      <c r="B6324" s="9" t="n">
        <v>6322</v>
      </c>
      <c r="C6324" s="10" t="inlineStr">
        <is>
          <t>Kỹ sư QA/QC - Hưng Yên, Hà Nam, Quảng Ninh(Mới)</t>
        </is>
      </c>
      <c r="D6324" s="10" t="inlineStr">
        <is>
          <t>CÔNG TY TNHH TẬP ĐOÀN XÂY DỰNG DELTA</t>
        </is>
      </c>
      <c r="E6324" s="10" t="inlineStr">
        <is>
          <t>Lương:Cạnh tranh</t>
        </is>
      </c>
      <c r="F6324" s="10" t="inlineStr">
        <is>
          <t>Hà Nội</t>
        </is>
      </c>
      <c r="G6324" s="10" t="inlineStr">
        <is>
          <t>31-05-2026</t>
        </is>
      </c>
      <c r="H6324" s="10" t="inlineStr">
        <is>
          <t>31/05/2026</t>
        </is>
      </c>
      <c r="I6324" s="10" t="inlineStr">
        <is>
          <t>17/03/2026</t>
        </is>
      </c>
      <c r="J6324" s="10" t="inlineStr">
        <is>
          <t>Xây dựng, Bất động sản</t>
        </is>
      </c>
      <c r="K6324" s="10" t="inlineStr">
        <is>
          <t>1 - 3 Năm</t>
        </is>
      </c>
      <c r="L6324" s="11">
        <f>HYPERLINK("https://careerviet.vn/vi/tim-viec-lam/ky-su-qa-qc-hung-yen-ha-nam-quang-ninh.35C6CED0.html","Xem chi tiết")</f>
        <v/>
      </c>
      <c r="M6324" s="10" t="n"/>
    </row>
    <row r="6325">
      <c r="B6325" s="7" t="n">
        <v>6323</v>
      </c>
      <c r="C6325" t="inlineStr">
        <is>
          <t>Nhân viên Kỹ thuật Cơ khí(Mới)</t>
        </is>
      </c>
      <c r="D6325" t="inlineStr">
        <is>
          <t>CÔNG TY TNHH XUẤT NHẬP KHẨU THƯƠNG MẠI SONG HÂN</t>
        </is>
      </c>
      <c r="E6325" t="inlineStr">
        <is>
          <t>Lương:Cạnh tranh</t>
        </is>
      </c>
      <c r="F6325" t="inlineStr">
        <is>
          <t>Hồ Chí Minh</t>
        </is>
      </c>
      <c r="G6325" t="inlineStr">
        <is>
          <t>22-04-2026</t>
        </is>
      </c>
      <c r="H6325" t="inlineStr">
        <is>
          <t>22/04/2026</t>
        </is>
      </c>
      <c r="I6325" t="inlineStr">
        <is>
          <t>17/03/2026</t>
        </is>
      </c>
      <c r="J6325" t="inlineStr">
        <is>
          <t>Cơ khí / Ô tô / Tự động hóa, Bảo trì / Sửa chữa</t>
        </is>
      </c>
      <c r="K6325" t="inlineStr">
        <is>
          <t>2 - 3 Năm</t>
        </is>
      </c>
      <c r="L6325" s="8">
        <f>HYPERLINK("https://careerviet.vn/vi/tim-viec-lam/nhan-vien-ky-thuat-co-khi.35C6CECA.html","Xem chi tiết")</f>
        <v/>
      </c>
    </row>
    <row r="6326">
      <c r="B6326" s="9" t="n">
        <v>6324</v>
      </c>
      <c r="C6326" s="10" t="inlineStr">
        <is>
          <t>Chuyên viên Pháp lý (Chủ đầu tư BĐS, làm việc tại Quận 3)</t>
        </is>
      </c>
      <c r="D6326" s="10" t="inlineStr">
        <is>
          <t>Công ty Cổ phần Tập đoàn KITA Group</t>
        </is>
      </c>
      <c r="E6326" s="10" t="inlineStr">
        <is>
          <t>Lương:20 Tr - 25 Tr VND</t>
        </is>
      </c>
      <c r="F6326" s="10" t="inlineStr">
        <is>
          <t>Hồ Chí Minh</t>
        </is>
      </c>
      <c r="G6326" s="10" t="inlineStr">
        <is>
          <t>25-03-2026</t>
        </is>
      </c>
      <c r="H6326" s="10" t="inlineStr">
        <is>
          <t>25/03/2026</t>
        </is>
      </c>
      <c r="I6326" s="10" t="inlineStr">
        <is>
          <t>17/03/2026</t>
        </is>
      </c>
      <c r="J6326" s="10" t="inlineStr">
        <is>
          <t>Luật / Pháp lý, Bất động sản, Xây dựng</t>
        </is>
      </c>
      <c r="K6326" s="10" t="inlineStr">
        <is>
          <t>2 - 3 Năm</t>
        </is>
      </c>
      <c r="L6326" s="11">
        <f>HYPERLINK("https://careerviet.vn/vi/tim-viec-lam/chuyen-vien-phap-ly-chu-dau-tu-bds-lam-viec-tai-quan-3.35C697AE.html","Xem chi tiết")</f>
        <v/>
      </c>
      <c r="M6326" s="10" t="n"/>
    </row>
    <row r="6327">
      <c r="B6327" s="7" t="n">
        <v>6325</v>
      </c>
      <c r="C6327" t="inlineStr">
        <is>
          <t>Nhân viên R&amp;D (Ngành Dược)(Mới)</t>
        </is>
      </c>
      <c r="D6327" t="inlineStr">
        <is>
          <t>Công ty cổ phần Anvy</t>
        </is>
      </c>
      <c r="E6327" t="inlineStr">
        <is>
          <t>Lương:9 Tr - 12 Tr VND</t>
        </is>
      </c>
      <c r="F6327" t="inlineStr">
        <is>
          <t>Hưng Yên</t>
        </is>
      </c>
      <c r="G6327" t="inlineStr">
        <is>
          <t>15-04-2026</t>
        </is>
      </c>
      <c r="H6327" t="inlineStr">
        <is>
          <t>15/04/2026</t>
        </is>
      </c>
      <c r="I6327" t="inlineStr">
        <is>
          <t>17/03/2026</t>
        </is>
      </c>
      <c r="J6327" t="inlineStr">
        <is>
          <t>Dược phẩm/ Hóa Mỹ Phẩm, Y tế / Chăm sóc sức khỏe / Thẩm mỹ / Làm đẹp</t>
        </is>
      </c>
      <c r="K6327" t="inlineStr">
        <is>
          <t>1 - 2 Năm</t>
        </is>
      </c>
      <c r="L6327" s="8">
        <f>HYPERLINK("https://careerviet.vn/vi/tim-viec-lam/nhan-vien-r-d-nganh-duoc.35C6CEC9.html","Xem chi tiết")</f>
        <v/>
      </c>
    </row>
    <row r="6328">
      <c r="B6328" s="9" t="n">
        <v>6326</v>
      </c>
      <c r="C6328" s="10" t="inlineStr">
        <is>
          <t>Kỹ sư xây dựng(Mới)</t>
        </is>
      </c>
      <c r="D6328" s="10" t="inlineStr">
        <is>
          <t>CÔNG TY CỔ PHẦN THÁI VIỆT CORPORATION</t>
        </is>
      </c>
      <c r="E6328" s="10" t="inlineStr">
        <is>
          <t>Lương:13 Tr - 17 Tr VND</t>
        </is>
      </c>
      <c r="F6328" s="10" t="inlineStr">
        <is>
          <t>Bình Phước</t>
        </is>
      </c>
      <c r="G6328" s="10" t="inlineStr">
        <is>
          <t>16-04-2026</t>
        </is>
      </c>
      <c r="H6328" s="10" t="inlineStr">
        <is>
          <t>16/04/2026</t>
        </is>
      </c>
      <c r="I6328" s="10" t="inlineStr">
        <is>
          <t>17/03/2026</t>
        </is>
      </c>
      <c r="J6328" s="10" t="inlineStr">
        <is>
          <t>Xây dựng</t>
        </is>
      </c>
      <c r="K6328" s="10" t="inlineStr">
        <is>
          <t>3 - 5 Năm</t>
        </is>
      </c>
      <c r="L6328" s="11">
        <f>HYPERLINK("https://careerviet.vn/vi/tim-viec-lam/ky-su-xay-dung.35C6CED4.html","Xem chi tiết")</f>
        <v/>
      </c>
      <c r="M6328" s="10" t="n"/>
    </row>
    <row r="6329">
      <c r="B6329" s="7" t="n">
        <v>6327</v>
      </c>
      <c r="C6329" t="inlineStr">
        <is>
          <t>KẾ TOÁN TỔNG HỢP(Mới)</t>
        </is>
      </c>
      <c r="D6329" t="inlineStr">
        <is>
          <t>CareerViet's client</t>
        </is>
      </c>
      <c r="E6329" t="inlineStr">
        <is>
          <t>Lương:Cạnh tranh</t>
        </is>
      </c>
      <c r="F6329" t="inlineStr">
        <is>
          <t>Hồ Chí Minh</t>
        </is>
      </c>
      <c r="G6329" t="inlineStr">
        <is>
          <t>17-04-2026</t>
        </is>
      </c>
      <c r="H6329" t="inlineStr">
        <is>
          <t>17/04/2026</t>
        </is>
      </c>
      <c r="I6329" t="inlineStr">
        <is>
          <t>17/03/2026</t>
        </is>
      </c>
      <c r="J6329" t="inlineStr">
        <is>
          <t>Kế toán / Kiểm toán, Thực phẩm &amp; Đồ uống, Sản xuất / Vận hành sản xuất</t>
        </is>
      </c>
      <c r="K6329" t="inlineStr">
        <is>
          <t>3 - 10 Năm</t>
        </is>
      </c>
      <c r="L6329" s="8">
        <f>HYPERLINK("https://careerviet.vn/vi/tim-viec-lam/ke-toan-tong-hop.35C6CED3.html","Xem chi tiết")</f>
        <v/>
      </c>
    </row>
    <row r="6330">
      <c r="B6330" s="9" t="n">
        <v>6328</v>
      </c>
      <c r="C6330" s="10" t="inlineStr">
        <is>
          <t>[CITIGYM] Senior Content Creator(Mới)</t>
        </is>
      </c>
      <c r="D6330" s="10" t="inlineStr">
        <is>
          <t>Nova Service Group - Công ty Cổ phần Tập đoàn Nova Services</t>
        </is>
      </c>
      <c r="E6330" s="10" t="inlineStr">
        <is>
          <t>Lương:Cạnh tranh</t>
        </is>
      </c>
      <c r="F6330" s="10" t="inlineStr">
        <is>
          <t>Hồ Chí Minh</t>
        </is>
      </c>
      <c r="G6330" s="10" t="inlineStr">
        <is>
          <t>17-04-2026</t>
        </is>
      </c>
      <c r="H6330" s="10" t="inlineStr">
        <is>
          <t>17/04/2026</t>
        </is>
      </c>
      <c r="I6330" s="10" t="inlineStr">
        <is>
          <t>17/03/2026</t>
        </is>
      </c>
      <c r="J6330" s="10" t="inlineStr">
        <is>
          <t>Tiếp thị / Marketing, Dịch vụ khách hàng, Bán hàng / Kinh doanh</t>
        </is>
      </c>
      <c r="K6330" s="10" t="inlineStr">
        <is>
          <t>3 - 5 Năm</t>
        </is>
      </c>
      <c r="L6330" s="11">
        <f>HYPERLINK("https://careerviet.vn/vi/tim-viec-lam/citigym-senior-content-creator.35C6CEC3.html","Xem chi tiết")</f>
        <v/>
      </c>
      <c r="M6330" s="10" t="n"/>
    </row>
    <row r="6331">
      <c r="B6331" s="7" t="n">
        <v>6329</v>
      </c>
      <c r="C6331" t="inlineStr">
        <is>
          <t>Kỹ sư Shopdrawing - Hưng Yên, Hà Nam, Quảng Ninh(Mới)</t>
        </is>
      </c>
      <c r="D6331" t="inlineStr">
        <is>
          <t>CÔNG TY TNHH TẬP ĐOÀN XÂY DỰNG DELTA</t>
        </is>
      </c>
      <c r="E6331" t="inlineStr">
        <is>
          <t>Lương:Cạnh tranh</t>
        </is>
      </c>
      <c r="F6331" t="inlineStr">
        <is>
          <t>Quảng NinhHà NamHưng Yên</t>
        </is>
      </c>
      <c r="G6331" t="inlineStr">
        <is>
          <t>31-05-2026</t>
        </is>
      </c>
      <c r="H6331" t="inlineStr">
        <is>
          <t>31/05/2026</t>
        </is>
      </c>
      <c r="I6331" t="inlineStr">
        <is>
          <t>17/03/2026</t>
        </is>
      </c>
      <c r="J6331" t="inlineStr">
        <is>
          <t>Bất động sản, Xây dựng</t>
        </is>
      </c>
      <c r="K6331" t="inlineStr">
        <is>
          <t>1 - 3 Năm</t>
        </is>
      </c>
      <c r="L6331" s="8">
        <f>HYPERLINK("https://careerviet.vn/vi/tim-viec-lam/ky-su-shopdrawing-hung-yen-ha-nam-quang-ninh.35C6CECF.html","Xem chi tiết")</f>
        <v/>
      </c>
    </row>
    <row r="6332">
      <c r="B6332" s="9" t="n">
        <v>6330</v>
      </c>
      <c r="C6332" s="10" t="inlineStr">
        <is>
          <t>Kế toán  tổng hợp tại Bắc Từ Liêm (12-17 triệu)(Mới)</t>
        </is>
      </c>
      <c r="D6332" s="10" t="inlineStr">
        <is>
          <t>CÔNG TY CỔ PHẦN TẬP ĐOÀN DEKKO</t>
        </is>
      </c>
      <c r="E6332" s="10" t="inlineStr">
        <is>
          <t>Lương:12 Tr - 18 Tr VND</t>
        </is>
      </c>
      <c r="F6332" s="10" t="inlineStr">
        <is>
          <t>Hà Nội</t>
        </is>
      </c>
      <c r="G6332" s="10" t="inlineStr">
        <is>
          <t>11-04-2026</t>
        </is>
      </c>
      <c r="H6332" s="10" t="inlineStr">
        <is>
          <t>11/04/2026</t>
        </is>
      </c>
      <c r="I6332" s="10" t="inlineStr">
        <is>
          <t>17/03/2026</t>
        </is>
      </c>
      <c r="J6332" s="10" t="inlineStr">
        <is>
          <t>Kế toán / Kiểm toán</t>
        </is>
      </c>
      <c r="K6332" s="10" t="inlineStr">
        <is>
          <t>2 - 3 Năm</t>
        </is>
      </c>
      <c r="L6332" s="11">
        <f>HYPERLINK("https://careerviet.vn/vi/tim-viec-lam/ke-toan-tong-hop-tai-bac-tu-liem-12-17-trieu.35C6CEC6.html","Xem chi tiết")</f>
        <v/>
      </c>
      <c r="M6332" s="10" t="n"/>
    </row>
    <row r="6333">
      <c r="B6333" s="7" t="n">
        <v>6331</v>
      </c>
      <c r="C6333" t="inlineStr">
        <is>
          <t>Chuyên Viên Mua Hàng Nước Ngoài (Tiếng Trung hoặc Tiếng Anh)(Mới)</t>
        </is>
      </c>
      <c r="D6333" t="inlineStr">
        <is>
          <t>Công ty CP Nagakawa</t>
        </is>
      </c>
      <c r="E6333" t="inlineStr">
        <is>
          <t>Lương:Cạnh tranh</t>
        </is>
      </c>
      <c r="F6333" t="inlineStr">
        <is>
          <t>Hà Nội</t>
        </is>
      </c>
      <c r="G6333" t="inlineStr">
        <is>
          <t>30-04-2026</t>
        </is>
      </c>
      <c r="H6333" t="inlineStr">
        <is>
          <t>30/04/2026</t>
        </is>
      </c>
      <c r="I6333" t="inlineStr">
        <is>
          <t>17/03/2026</t>
        </is>
      </c>
      <c r="J6333" t="inlineStr">
        <is>
          <t>Xuất nhập khẩu, Điện / Điện tử / Điện lạnh / Điện công nghiệp, Thu mua / Vật tư</t>
        </is>
      </c>
      <c r="K6333" t="inlineStr">
        <is>
          <t>3 - 5 Năm</t>
        </is>
      </c>
      <c r="L6333" s="8">
        <f>HYPERLINK("https://careerviet.vn/vi/tim-viec-lam/chuyen-vien-mua-hang-nuoc-ngoai-tieng-trung-hoac-tieng-anh.35C6CEC5.html","Xem chi tiết")</f>
        <v/>
      </c>
    </row>
    <row r="6334">
      <c r="B6334" s="9" t="n">
        <v>6332</v>
      </c>
      <c r="C6334" s="10" t="inlineStr">
        <is>
          <t>Kỹ sư QS - Hà Nội, Hưng Yên, Quảng Ninh(Mới)</t>
        </is>
      </c>
      <c r="D6334" s="10" t="inlineStr">
        <is>
          <t>CÔNG TY TNHH TẬP ĐOÀN XÂY DỰNG DELTA</t>
        </is>
      </c>
      <c r="E6334" s="10" t="inlineStr">
        <is>
          <t>Lương:Cạnh tranh</t>
        </is>
      </c>
      <c r="F6334" s="10" t="inlineStr">
        <is>
          <t>Quảng NinhHà NamHưng Yên</t>
        </is>
      </c>
      <c r="G6334" s="10" t="inlineStr">
        <is>
          <t>31-05-2026</t>
        </is>
      </c>
      <c r="H6334" s="10" t="inlineStr">
        <is>
          <t>31/05/2026</t>
        </is>
      </c>
      <c r="I6334" s="10" t="inlineStr">
        <is>
          <t>17/03/2026</t>
        </is>
      </c>
      <c r="J6334" s="10" t="inlineStr">
        <is>
          <t>Bất động sản, Xây dựng</t>
        </is>
      </c>
      <c r="K6334" s="10" t="inlineStr">
        <is>
          <t>1 - 3 Năm</t>
        </is>
      </c>
      <c r="L6334" s="11">
        <f>HYPERLINK("https://careerviet.vn/vi/tim-viec-lam/ky-su-qs-ha-noi-hung-yen-quang-ninh.35C6CEC7.html","Xem chi tiết")</f>
        <v/>
      </c>
      <c r="M6334" s="10" t="n"/>
    </row>
    <row r="6335">
      <c r="B6335" s="7" t="n">
        <v>6333</v>
      </c>
      <c r="C6335" t="inlineStr">
        <is>
          <t>Kỹ sư Shopdrawing - Bắc Giang, Hải Phòng, Đà Nẵng(Mới)</t>
        </is>
      </c>
      <c r="D6335" t="inlineStr">
        <is>
          <t>CÔNG TY TNHH TẬP ĐOÀN XÂY DỰNG DELTA</t>
        </is>
      </c>
      <c r="E6335" t="inlineStr">
        <is>
          <t>Lương:Cạnh tranh</t>
        </is>
      </c>
      <c r="F6335" t="inlineStr">
        <is>
          <t>Hải PhòngĐà NẵngBắc Giang</t>
        </is>
      </c>
      <c r="G6335" t="inlineStr">
        <is>
          <t>31-05-2026</t>
        </is>
      </c>
      <c r="H6335" t="inlineStr">
        <is>
          <t>31/05/2026</t>
        </is>
      </c>
      <c r="I6335" t="inlineStr">
        <is>
          <t>17/03/2026</t>
        </is>
      </c>
      <c r="J6335" t="inlineStr">
        <is>
          <t>Bất động sản, Xây dựng</t>
        </is>
      </c>
      <c r="K6335" t="inlineStr">
        <is>
          <t>1 - 3 Năm</t>
        </is>
      </c>
      <c r="L6335" s="8">
        <f>HYPERLINK("https://careerviet.vn/vi/tim-viec-lam/ky-su-shopdrawing-bac-giang-hai-phong-da-nang.35C6CECD.html","Xem chi tiết")</f>
        <v/>
      </c>
    </row>
    <row r="6336">
      <c r="B6336" s="9" t="n">
        <v>6334</v>
      </c>
      <c r="C6336" s="10" t="inlineStr">
        <is>
          <t>NHÂN VIÊN R&amp;D(Mới)</t>
        </is>
      </c>
      <c r="D6336" s="10" t="inlineStr">
        <is>
          <t>Công Ty TNHH PEROMA Việt Nam</t>
        </is>
      </c>
      <c r="E6336" s="10" t="inlineStr">
        <is>
          <t>Lương:Cạnh tranh</t>
        </is>
      </c>
      <c r="F6336" s="10" t="inlineStr">
        <is>
          <t>Long An</t>
        </is>
      </c>
      <c r="G6336" s="10" t="inlineStr">
        <is>
          <t>04-04-2026</t>
        </is>
      </c>
      <c r="H6336" s="10" t="inlineStr">
        <is>
          <t>04/04/2026</t>
        </is>
      </c>
      <c r="I6336" s="10" t="inlineStr">
        <is>
          <t>17/03/2026</t>
        </is>
      </c>
      <c r="J6336" s="10" t="inlineStr">
        <is>
          <t>Dược phẩm/ Hóa Mỹ Phẩm, Hóa học</t>
        </is>
      </c>
      <c r="K6336" s="10" t="inlineStr">
        <is>
          <t>Trên 1 Năm</t>
        </is>
      </c>
      <c r="L6336" s="11">
        <f>HYPERLINK("https://careerviet.vn/vi/tim-viec-lam/nhan-vien-r-d.35C6CEAA.html","Xem chi tiết")</f>
        <v/>
      </c>
      <c r="M6336" s="10" t="n"/>
    </row>
    <row r="6337">
      <c r="B6337" s="7" t="n">
        <v>6335</v>
      </c>
      <c r="C6337" t="inlineStr">
        <is>
          <t>Giám sát hiện trường - Quảng Ninh, Bắc Giang, Hà Nam(Mới)</t>
        </is>
      </c>
      <c r="D6337" t="inlineStr">
        <is>
          <t>CÔNG TY TNHH TẬP ĐOÀN XÂY DỰNG DELTA</t>
        </is>
      </c>
      <c r="E6337" t="inlineStr">
        <is>
          <t>Lương:Cạnh tranh</t>
        </is>
      </c>
      <c r="F6337" t="inlineStr">
        <is>
          <t>Quảng NinhHà NamBắc Giang</t>
        </is>
      </c>
      <c r="G6337" t="inlineStr">
        <is>
          <t>31-05-2026</t>
        </is>
      </c>
      <c r="H6337" t="inlineStr">
        <is>
          <t>31/05/2026</t>
        </is>
      </c>
      <c r="I6337" t="inlineStr">
        <is>
          <t>17/03/2026</t>
        </is>
      </c>
      <c r="J6337" t="inlineStr">
        <is>
          <t>Bất động sản, Xây dựng, Kiến trúc</t>
        </is>
      </c>
      <c r="K6337" t="inlineStr">
        <is>
          <t>1 - 3 Năm</t>
        </is>
      </c>
      <c r="L6337" s="8">
        <f>HYPERLINK("https://careerviet.vn/vi/tim-viec-lam/giam-sat-hien-truong-quang-ninh-bac-giang-ha-nam.35C6CEBB.html","Xem chi tiết")</f>
        <v/>
      </c>
    </row>
    <row r="6338">
      <c r="B6338" s="9" t="n">
        <v>6336</v>
      </c>
      <c r="C6338" s="10" t="inlineStr">
        <is>
          <t>Nhân viên Kinh doanh Khách lẻ - Văn phòng Bắc Ninh(Mới)</t>
        </is>
      </c>
      <c r="D6338" s="10" t="inlineStr">
        <is>
          <t>Công Ty Cổ Phần Du Lịch Vietravel</t>
        </is>
      </c>
      <c r="E6338" s="10" t="inlineStr">
        <is>
          <t>Lương:Cạnh tranh</t>
        </is>
      </c>
      <c r="F6338" s="10" t="inlineStr">
        <is>
          <t>Bắc Ninh</t>
        </is>
      </c>
      <c r="G6338" s="10" t="inlineStr">
        <is>
          <t>14-05-2026</t>
        </is>
      </c>
      <c r="H6338" s="10" t="inlineStr">
        <is>
          <t>14/05/2026</t>
        </is>
      </c>
      <c r="I6338" s="10" t="inlineStr">
        <is>
          <t>17/03/2026</t>
        </is>
      </c>
      <c r="J6338" s="10" t="inlineStr">
        <is>
          <t>Nhà hàng / Khách sạn, Bán hàng / Kinh doanh, Du lịch</t>
        </is>
      </c>
      <c r="K6338" s="10" t="inlineStr">
        <is>
          <t>1 - 2 Năm</t>
        </is>
      </c>
      <c r="L6338" s="11">
        <f>HYPERLINK("https://careerviet.vn/vi/tim-viec-lam/nhan-vien-kinh-doanh-khach-le-van-phong-bac-ninh.35C6CEC0.html","Xem chi tiết")</f>
        <v/>
      </c>
      <c r="M6338" s="10" t="n"/>
    </row>
    <row r="6339">
      <c r="B6339" s="7" t="n">
        <v>6337</v>
      </c>
      <c r="C6339" t="inlineStr">
        <is>
          <t>Kỹ sư QS - Bắc Giang, Hải Phòng, Hà Nam(Mới)</t>
        </is>
      </c>
      <c r="D6339" t="inlineStr">
        <is>
          <t>CÔNG TY TNHH TẬP ĐOÀN XÂY DỰNG DELTA</t>
        </is>
      </c>
      <c r="E6339" t="inlineStr">
        <is>
          <t>Lương:Cạnh tranh</t>
        </is>
      </c>
      <c r="F6339" t="inlineStr">
        <is>
          <t>Hà NamHải PhòngBắc Giang</t>
        </is>
      </c>
      <c r="G6339" t="inlineStr">
        <is>
          <t>31-05-2026</t>
        </is>
      </c>
      <c r="H6339" t="inlineStr">
        <is>
          <t>31/05/2026</t>
        </is>
      </c>
      <c r="I6339" t="inlineStr">
        <is>
          <t>17/03/2026</t>
        </is>
      </c>
      <c r="J6339" t="inlineStr">
        <is>
          <t>Bất động sản, Xây dựng</t>
        </is>
      </c>
      <c r="K6339" t="inlineStr">
        <is>
          <t>1 - 3 Năm</t>
        </is>
      </c>
      <c r="L6339" s="8">
        <f>HYPERLINK("https://careerviet.vn/vi/tim-viec-lam/ky-su-qs-bac-giang-hai-phong-ha-nam.35C6CEC4.html","Xem chi tiết")</f>
        <v/>
      </c>
    </row>
    <row r="6340">
      <c r="B6340" s="9" t="n">
        <v>6338</v>
      </c>
      <c r="C6340" s="10" t="inlineStr">
        <is>
          <t>Giám sát hiện trường Hạ tầng(Mới)</t>
        </is>
      </c>
      <c r="D6340" s="10" t="inlineStr">
        <is>
          <t>CÔNG TY TNHH TẬP ĐOÀN XÂY DỰNG DELTA</t>
        </is>
      </c>
      <c r="E6340" s="10" t="inlineStr">
        <is>
          <t>Lương:Cạnh tranh</t>
        </is>
      </c>
      <c r="F6340" s="10" t="inlineStr">
        <is>
          <t>Bắc GiangHà Nội</t>
        </is>
      </c>
      <c r="G6340" s="10" t="inlineStr">
        <is>
          <t>31-05-2026</t>
        </is>
      </c>
      <c r="H6340" s="10" t="inlineStr">
        <is>
          <t>31/05/2026</t>
        </is>
      </c>
      <c r="I6340" s="10" t="inlineStr">
        <is>
          <t>17/03/2026</t>
        </is>
      </c>
      <c r="J6340" s="10" t="inlineStr">
        <is>
          <t>Bất động sản, Xây dựng, Kiến trúc</t>
        </is>
      </c>
      <c r="K6340" s="10" t="inlineStr">
        <is>
          <t>1 - 3 Năm</t>
        </is>
      </c>
      <c r="L6340" s="11">
        <f>HYPERLINK("https://careerviet.vn/vi/tim-viec-lam/giam-sat-hien-truong-ha-tang.35C6CEB7.html","Xem chi tiết")</f>
        <v/>
      </c>
      <c r="M6340" s="10" t="n"/>
    </row>
    <row r="6341">
      <c r="B6341" s="7" t="n">
        <v>6339</v>
      </c>
      <c r="C6341" t="inlineStr">
        <is>
          <t>Trưởng phòng mua hàng(Mới)</t>
        </is>
      </c>
      <c r="D6341" t="inlineStr">
        <is>
          <t>CÔNG TY CỔ PHẦN CHĂN NUÔI TAFA VIỆT</t>
        </is>
      </c>
      <c r="E6341" t="inlineStr">
        <is>
          <t>Lương:Cạnh tranh</t>
        </is>
      </c>
      <c r="F6341" t="inlineStr">
        <is>
          <t>Hồ Chí Minh</t>
        </is>
      </c>
      <c r="G6341" t="inlineStr">
        <is>
          <t>30-04-2026</t>
        </is>
      </c>
      <c r="H6341" t="inlineStr">
        <is>
          <t>30/04/2026</t>
        </is>
      </c>
      <c r="I6341" t="inlineStr">
        <is>
          <t>17/03/2026</t>
        </is>
      </c>
      <c r="J6341" t="inlineStr">
        <is>
          <t>Bán lẻ / Bán sỉ, Xuất nhập khẩu</t>
        </is>
      </c>
      <c r="K6341" t="inlineStr">
        <is>
          <t>Trên 3 Năm</t>
        </is>
      </c>
      <c r="L6341" s="8">
        <f>HYPERLINK("https://careerviet.vn/vi/tim-viec-lam/truong-phong-mua-hang.35C6CEB4.html","Xem chi tiết")</f>
        <v/>
      </c>
    </row>
    <row r="6342">
      <c r="B6342" s="9" t="n">
        <v>6340</v>
      </c>
      <c r="C6342" s="10" t="inlineStr">
        <is>
          <t>Giám sát hiện trường - Hà Nội, Hà Nam, Hưng Yên(Mới)</t>
        </is>
      </c>
      <c r="D6342" s="10" t="inlineStr">
        <is>
          <t>CÔNG TY TNHH TẬP ĐOÀN XÂY DỰNG DELTA</t>
        </is>
      </c>
      <c r="E6342" s="10" t="inlineStr">
        <is>
          <t>Lương:Cạnh tranh</t>
        </is>
      </c>
      <c r="F6342" s="10" t="inlineStr">
        <is>
          <t>Hà NộiHà NamHưng Yên</t>
        </is>
      </c>
      <c r="G6342" s="10" t="inlineStr">
        <is>
          <t>31-05-2026</t>
        </is>
      </c>
      <c r="H6342" s="10" t="inlineStr">
        <is>
          <t>31/05/2026</t>
        </is>
      </c>
      <c r="I6342" s="10" t="inlineStr">
        <is>
          <t>17/03/2026</t>
        </is>
      </c>
      <c r="J6342" s="10" t="inlineStr">
        <is>
          <t>Bất động sản, Xây dựng, Kiến trúc</t>
        </is>
      </c>
      <c r="K6342" s="10" t="inlineStr">
        <is>
          <t>1 - 3 Năm</t>
        </is>
      </c>
      <c r="L6342" s="11">
        <f>HYPERLINK("https://careerviet.vn/vi/tim-viec-lam/giam-sat-hien-truong-ha-noi-ha-nam-hung-yen.35C6CEB9.html","Xem chi tiết")</f>
        <v/>
      </c>
      <c r="M6342" s="10" t="n"/>
    </row>
    <row r="6343">
      <c r="B6343" s="7" t="n">
        <v>6341</v>
      </c>
      <c r="C6343" t="inlineStr">
        <is>
          <t>Nhân viên KCS (KCN Long Thành - Đồng Nai)(Mới)</t>
        </is>
      </c>
      <c r="D6343" t="inlineStr">
        <is>
          <t>CÔNG TY CỔ PHẦN DÂY CÁP ĐIỆN VIỆT NAM - CADIVI</t>
        </is>
      </c>
      <c r="E6343" t="inlineStr">
        <is>
          <t>Lương:10 Tr - 12 Tr VND</t>
        </is>
      </c>
      <c r="F6343" t="inlineStr">
        <is>
          <t>Đồng Nai</t>
        </is>
      </c>
      <c r="G6343" t="inlineStr">
        <is>
          <t>30-04-2026</t>
        </is>
      </c>
      <c r="H6343" t="inlineStr">
        <is>
          <t>30/04/2026</t>
        </is>
      </c>
      <c r="I6343" t="inlineStr">
        <is>
          <t>17/03/2026</t>
        </is>
      </c>
      <c r="J6343" t="inlineStr">
        <is>
          <t>Điện / Điện tử / Điện lạnh / Điện công nghiệp, Cơ khí / Ô tô / Tự động hóa</t>
        </is>
      </c>
      <c r="K6343" t="inlineStr">
        <is>
          <t>1 - 5 Năm</t>
        </is>
      </c>
      <c r="L6343" s="8">
        <f>HYPERLINK("https://careerviet.vn/vi/tim-viec-lam/nhan-vien-kcs-kcn-long-thanh-dong-nai.35C6CD6D.html","Xem chi tiết")</f>
        <v/>
      </c>
    </row>
    <row r="6344">
      <c r="B6344" s="9" t="n">
        <v>6342</v>
      </c>
      <c r="C6344" s="10" t="inlineStr">
        <is>
          <t>PHÓ PHÒNG HÀNH CHÍNH NHÂN SỰ (MẠNH TUYỂN DỤNG MẢNG BẤT ĐỘNG SẢN)(Mới)</t>
        </is>
      </c>
      <c r="D6344" s="10" t="inlineStr">
        <is>
          <t>Công ty cổ phần Tập đoàn Tài Tâm (Tài Tâm Group)</t>
        </is>
      </c>
      <c r="E6344" s="10" t="inlineStr">
        <is>
          <t>Lương:16 Tr - 25 Tr VND</t>
        </is>
      </c>
      <c r="F6344" s="10" t="inlineStr">
        <is>
          <t>Hà Nội</t>
        </is>
      </c>
      <c r="G6344" s="10" t="inlineStr">
        <is>
          <t>13-04-2026</t>
        </is>
      </c>
      <c r="H6344" s="10" t="inlineStr">
        <is>
          <t>13/04/2026</t>
        </is>
      </c>
      <c r="I6344" s="10" t="inlineStr">
        <is>
          <t>17/03/2026</t>
        </is>
      </c>
      <c r="J6344" s="10" t="inlineStr">
        <is>
          <t>Nhân sự, Xây dựng</t>
        </is>
      </c>
      <c r="K6344" s="10" t="inlineStr">
        <is>
          <t>3 - 5 Năm</t>
        </is>
      </c>
      <c r="L6344" s="11">
        <f>HYPERLINK("https://careerviet.vn/vi/tim-viec-lam/pho-phong-hanh-chinh-nhan-su-manh-tuyen-dung-mang-bat-dong-san.35C6CEAF.html","Xem chi tiết")</f>
        <v/>
      </c>
      <c r="M6344" s="10" t="n"/>
    </row>
    <row r="6345">
      <c r="B6345" s="7" t="n">
        <v>6343</v>
      </c>
      <c r="C6345" t="inlineStr">
        <is>
          <t>CHUYÊN VIÊN KẾ HOẠCH TỔNG HỢP(Mới)</t>
        </is>
      </c>
      <c r="D6345" t="inlineStr">
        <is>
          <t>Công ty cổ phần Tập đoàn Tài Tâm (Tài Tâm Group)</t>
        </is>
      </c>
      <c r="E6345" t="inlineStr">
        <is>
          <t>Lương:20 Tr - 27 Tr VND</t>
        </is>
      </c>
      <c r="F6345" t="inlineStr">
        <is>
          <t>Hà Nội</t>
        </is>
      </c>
      <c r="G6345" t="inlineStr">
        <is>
          <t>14-04-2026</t>
        </is>
      </c>
      <c r="H6345" t="inlineStr">
        <is>
          <t>14/04/2026</t>
        </is>
      </c>
      <c r="I6345" t="inlineStr">
        <is>
          <t>17/03/2026</t>
        </is>
      </c>
      <c r="J6345" t="inlineStr">
        <is>
          <t>Xây dựng, Bất động sản, Thống kê</t>
        </is>
      </c>
      <c r="K6345" t="inlineStr">
        <is>
          <t>3 - 5 Năm</t>
        </is>
      </c>
      <c r="L6345" s="8">
        <f>HYPERLINK("https://careerviet.vn/vi/tim-viec-lam/chuyen-vien-ke-hoach-tong-hop.35C6CEB1.html","Xem chi tiết")</f>
        <v/>
      </c>
    </row>
    <row r="6346">
      <c r="B6346" s="9" t="n">
        <v>6344</v>
      </c>
      <c r="C6346" s="10" t="inlineStr">
        <is>
          <t>Kỹ sư Shopdrawing Hạ tầng(Mới)</t>
        </is>
      </c>
      <c r="D6346" s="10" t="inlineStr">
        <is>
          <t>CÔNG TY TNHH TẬP ĐOÀN XÂY DỰNG DELTA</t>
        </is>
      </c>
      <c r="E6346" s="10" t="inlineStr">
        <is>
          <t>Lương:Cạnh tranh</t>
        </is>
      </c>
      <c r="F6346" s="10" t="inlineStr">
        <is>
          <t>Hà NộiHà NamBắc Giang</t>
        </is>
      </c>
      <c r="G6346" s="10" t="inlineStr">
        <is>
          <t>30-04-2026</t>
        </is>
      </c>
      <c r="H6346" s="10" t="inlineStr">
        <is>
          <t>30/04/2026</t>
        </is>
      </c>
      <c r="I6346" s="10" t="inlineStr">
        <is>
          <t>17/03/2026</t>
        </is>
      </c>
      <c r="J6346" s="10" t="inlineStr">
        <is>
          <t>Bất động sản, Xây dựng</t>
        </is>
      </c>
      <c r="K6346" s="10" t="inlineStr">
        <is>
          <t>1 - 3 Năm</t>
        </is>
      </c>
      <c r="L6346" s="11">
        <f>HYPERLINK("https://careerviet.vn/vi/tim-viec-lam/ky-su-shopdrawing-ha-tang.35C6CEB8.html","Xem chi tiết")</f>
        <v/>
      </c>
      <c r="M6346" s="10" t="n"/>
    </row>
    <row r="6347">
      <c r="B6347" s="7" t="n">
        <v>6345</v>
      </c>
      <c r="C6347" t="inlineStr">
        <is>
          <t>Giám sát hiện trường - Hải Phòng, Đà Nẵng, Bắc Giang(Mới)</t>
        </is>
      </c>
      <c r="D6347" t="inlineStr">
        <is>
          <t>CÔNG TY TNHH TẬP ĐOÀN XÂY DỰNG DELTA</t>
        </is>
      </c>
      <c r="E6347" t="inlineStr">
        <is>
          <t>Lương:Cạnh tranh</t>
        </is>
      </c>
      <c r="F6347" t="inlineStr">
        <is>
          <t>Hải PhòngĐà NẵngBắc Giang</t>
        </is>
      </c>
      <c r="G6347" t="inlineStr">
        <is>
          <t>31-05-2026</t>
        </is>
      </c>
      <c r="H6347" t="inlineStr">
        <is>
          <t>31/05/2026</t>
        </is>
      </c>
      <c r="I6347" t="inlineStr">
        <is>
          <t>17/03/2026</t>
        </is>
      </c>
      <c r="J6347" t="inlineStr">
        <is>
          <t>Bất động sản, Xây dựng, Kiến trúc</t>
        </is>
      </c>
      <c r="K6347" t="inlineStr">
        <is>
          <t>1 - 3 Năm</t>
        </is>
      </c>
      <c r="L6347" s="8">
        <f>HYPERLINK("https://careerviet.vn/vi/tim-viec-lam/giam-sat-hien-truong-hai-phong-da-nang-bac-giang.35C6CEBA.html","Xem chi tiết")</f>
        <v/>
      </c>
    </row>
    <row r="6348">
      <c r="B6348" s="9" t="n">
        <v>6346</v>
      </c>
      <c r="C6348" s="10" t="inlineStr">
        <is>
          <t>Nhân Viên Kỹ Thuật - Bảo Trì Tòa Nhà(Mới)</t>
        </is>
      </c>
      <c r="D6348" s="10" t="inlineStr">
        <is>
          <t>Công ty Cổ Phần Tập Đoàn Điện Quang</t>
        </is>
      </c>
      <c r="E6348" s="10" t="inlineStr">
        <is>
          <t>Lương:Cạnh tranh</t>
        </is>
      </c>
      <c r="F6348" s="10" t="inlineStr">
        <is>
          <t>Hồ Chí Minh</t>
        </is>
      </c>
      <c r="G6348" s="10" t="inlineStr">
        <is>
          <t>17-04-2026</t>
        </is>
      </c>
      <c r="H6348" s="10" t="inlineStr">
        <is>
          <t>17/04/2026</t>
        </is>
      </c>
      <c r="I6348" s="10" t="inlineStr">
        <is>
          <t>17/03/2026</t>
        </is>
      </c>
      <c r="J6348" s="10" t="inlineStr">
        <is>
          <t>Cơ khí / Ô tô / Tự động hóa, Điện / Điện tử / Điện lạnh / Điện công nghiệp</t>
        </is>
      </c>
      <c r="K6348" s="10" t="inlineStr">
        <is>
          <t>1 - 2 Năm</t>
        </is>
      </c>
      <c r="L6348" s="11">
        <f>HYPERLINK("https://careerviet.vn/vi/tim-viec-lam/nhan-vien-ky-thuat-bao-tri-toa-nha.35C6CEAB.html","Xem chi tiết")</f>
        <v/>
      </c>
      <c r="M6348" s="10" t="n"/>
    </row>
    <row r="6349">
      <c r="B6349" s="7" t="n">
        <v>6347</v>
      </c>
      <c r="C6349" t="inlineStr">
        <is>
          <t>Chuyên Viên Kinh Doanh(Mới)</t>
        </is>
      </c>
      <c r="D6349" t="inlineStr">
        <is>
          <t>CÔNG TY CỔ PHẦN PHÁT TRIỂN BĐS ĐẤT VIỆT GROUP</t>
        </is>
      </c>
      <c r="E6349" t="inlineStr">
        <is>
          <t>Lương:10 Tr - 80 Tr VND</t>
        </is>
      </c>
      <c r="F6349" t="inlineStr">
        <is>
          <t>Hà Nội</t>
        </is>
      </c>
      <c r="G6349" t="inlineStr">
        <is>
          <t>17-04-2026</t>
        </is>
      </c>
      <c r="H6349" t="inlineStr">
        <is>
          <t>17/04/2026</t>
        </is>
      </c>
      <c r="I6349" t="inlineStr">
        <is>
          <t>17/03/2026</t>
        </is>
      </c>
      <c r="J6349" t="inlineStr">
        <is>
          <t>Bán hàng / Kinh doanh, Bán lẻ / Bán sỉ, Bất động sản</t>
        </is>
      </c>
      <c r="K6349" t="inlineStr">
        <is>
          <t>N/A</t>
        </is>
      </c>
      <c r="L6349" s="8">
        <f>HYPERLINK("https://careerviet.vn/vi/tim-viec-lam/chuyen-vien-kinh-doanh.35C6CF7F.html","Xem chi tiết")</f>
        <v/>
      </c>
    </row>
    <row r="6350">
      <c r="B6350" s="9" t="n">
        <v>6348</v>
      </c>
      <c r="C6350" s="10" t="inlineStr">
        <is>
          <t>Giáo viên Vật lý (Thỉnh giảng) - TP.Thủ Đức | Pathway School(Mới)</t>
        </is>
      </c>
      <c r="D6350" s="10" t="inlineStr">
        <is>
          <t>CareerViet's client</t>
        </is>
      </c>
      <c r="E6350" s="10" t="inlineStr">
        <is>
          <t>Lương:Cạnh tranh</t>
        </is>
      </c>
      <c r="F6350" s="10" t="inlineStr">
        <is>
          <t>Hồ Chí Minh</t>
        </is>
      </c>
      <c r="G6350" s="10" t="inlineStr">
        <is>
          <t>18-04-2026</t>
        </is>
      </c>
      <c r="H6350" s="10" t="inlineStr">
        <is>
          <t>18/04/2026</t>
        </is>
      </c>
      <c r="I6350" s="10" t="inlineStr">
        <is>
          <t>17/03/2026</t>
        </is>
      </c>
      <c r="J6350" s="10" t="inlineStr">
        <is>
          <t>Giáo dục / Đào tạo</t>
        </is>
      </c>
      <c r="K6350" s="10" t="inlineStr">
        <is>
          <t>1 - 3 Năm</t>
        </is>
      </c>
      <c r="L6350" s="11">
        <f>HYPERLINK("https://careerviet.vn/vi/tim-viec-lam/giao-vien-vat-ly-thinh-giang-tp-thu-duc-pathway-school.35C6CDEA.html","Xem chi tiết")</f>
        <v/>
      </c>
      <c r="M6350" s="10" t="n"/>
    </row>
    <row r="6351">
      <c r="B6351" s="7" t="n">
        <v>6349</v>
      </c>
      <c r="C6351" t="inlineStr">
        <is>
          <t>Nhân Viên Kỹ Thuật Nhôm Kính(Mới)</t>
        </is>
      </c>
      <c r="D6351" t="inlineStr">
        <is>
          <t>Công ty Cổ Phần Ánh Dương Building</t>
        </is>
      </c>
      <c r="E6351" t="inlineStr">
        <is>
          <t>Lương:18 Tr - 25 Tr VND</t>
        </is>
      </c>
      <c r="F6351" t="inlineStr">
        <is>
          <t>Hồ Chí MinhLong An</t>
        </is>
      </c>
      <c r="G6351" t="inlineStr">
        <is>
          <t>30-04-2026</t>
        </is>
      </c>
      <c r="H6351" t="inlineStr">
        <is>
          <t>30/04/2026</t>
        </is>
      </c>
      <c r="I6351" t="inlineStr">
        <is>
          <t>17/03/2026</t>
        </is>
      </c>
      <c r="J6351" t="inlineStr">
        <is>
          <t>Xây dựng</t>
        </is>
      </c>
      <c r="K6351" t="inlineStr">
        <is>
          <t>2 - 3 Năm</t>
        </is>
      </c>
      <c r="L6351" s="8">
        <f>HYPERLINK("https://careerviet.vn/vi/tim-viec-lam/nhan-vien-ky-thuat-nhom-kinh.35C6CEA0.html","Xem chi tiết")</f>
        <v/>
      </c>
    </row>
    <row r="6352">
      <c r="B6352" s="9" t="n">
        <v>6350</v>
      </c>
      <c r="C6352" s="10" t="inlineStr">
        <is>
          <t>Nhân Viên Vận Hành Máy CNC(Mới)</t>
        </is>
      </c>
      <c r="D6352" s="10" t="inlineStr">
        <is>
          <t>Công Ty TNHH Kindy City</t>
        </is>
      </c>
      <c r="E6352" s="10" t="inlineStr">
        <is>
          <t>Lương:10 Tr - 16 Tr VND</t>
        </is>
      </c>
      <c r="F6352" s="10" t="inlineStr">
        <is>
          <t>Hồ Chí Minh</t>
        </is>
      </c>
      <c r="G6352" s="10" t="inlineStr">
        <is>
          <t>17-04-2026</t>
        </is>
      </c>
      <c r="H6352" s="10" t="inlineStr">
        <is>
          <t>17/04/2026</t>
        </is>
      </c>
      <c r="I6352" s="10" t="inlineStr">
        <is>
          <t>17/03/2026</t>
        </is>
      </c>
      <c r="J6352" s="10" t="inlineStr">
        <is>
          <t>Cơ khí / Ô tô / Tự động hóa, Điện / Điện tử / Điện lạnh / Điện công nghiệp, Bảo trì / Sửa chữa</t>
        </is>
      </c>
      <c r="K6352" s="10" t="inlineStr">
        <is>
          <t>1 - 5 Năm</t>
        </is>
      </c>
      <c r="L6352" s="11">
        <f>HYPERLINK("https://careerviet.vn/vi/tim-viec-lam/nhan-vien-van-hanh-may-cnc.35C6CEAC.html","Xem chi tiết")</f>
        <v/>
      </c>
      <c r="M6352" s="10" t="n"/>
    </row>
    <row r="6353">
      <c r="B6353" s="7" t="n">
        <v>6351</v>
      </c>
      <c r="C6353" t="inlineStr">
        <is>
          <t>Chuyên Viên Phát Triển Dự Án (Tiếng Anh, Tiếng Trung)(Mới)</t>
        </is>
      </c>
      <c r="D6353" t="inlineStr">
        <is>
          <t>Công ty Cổ Phần Ánh Dương Building</t>
        </is>
      </c>
      <c r="E6353" t="inlineStr">
        <is>
          <t>Lương:13 Tr - 25 Tr VND</t>
        </is>
      </c>
      <c r="F6353" t="inlineStr">
        <is>
          <t>Hồ Chí MinhHà Nội</t>
        </is>
      </c>
      <c r="G6353" t="inlineStr">
        <is>
          <t>30-04-2026</t>
        </is>
      </c>
      <c r="H6353" t="inlineStr">
        <is>
          <t>30/04/2026</t>
        </is>
      </c>
      <c r="I6353" t="inlineStr">
        <is>
          <t>17/03/2026</t>
        </is>
      </c>
      <c r="J6353" t="inlineStr">
        <is>
          <t>Biên phiên dịch, Xây dựng</t>
        </is>
      </c>
      <c r="K6353" t="inlineStr">
        <is>
          <t>1 - 2 Năm</t>
        </is>
      </c>
      <c r="L6353" s="8">
        <f>HYPERLINK("https://careerviet.vn/vi/tim-viec-lam/chuyen-vien-phat-trien-du-an-tieng-anh-tieng-trung.35C6CFA6.html","Xem chi tiết")</f>
        <v/>
      </c>
    </row>
    <row r="6354">
      <c r="B6354" s="9" t="n">
        <v>6352</v>
      </c>
      <c r="C6354" s="10" t="inlineStr">
        <is>
          <t>Kế toán tổng hợp(Mới)</t>
        </is>
      </c>
      <c r="D6354" s="10" t="inlineStr">
        <is>
          <t>CÔNG TY CỔ PHẦN GIẢI PHÁP THANH TOÁN VIỆT TÍN</t>
        </is>
      </c>
      <c r="E6354" s="10" t="inlineStr">
        <is>
          <t>Lương:15 Tr - 20 Tr VND</t>
        </is>
      </c>
      <c r="F6354" s="10" t="inlineStr">
        <is>
          <t>Hồ Chí Minh</t>
        </is>
      </c>
      <c r="G6354" s="10" t="inlineStr">
        <is>
          <t>16-04-2026</t>
        </is>
      </c>
      <c r="H6354" s="10" t="inlineStr">
        <is>
          <t>16/04/2026</t>
        </is>
      </c>
      <c r="I6354" s="10" t="inlineStr">
        <is>
          <t>17/03/2026</t>
        </is>
      </c>
      <c r="J6354" s="10" t="inlineStr">
        <is>
          <t>Kế toán / Kiểm toán</t>
        </is>
      </c>
      <c r="K6354" s="10" t="inlineStr">
        <is>
          <t>2 - 3 Năm</t>
        </is>
      </c>
      <c r="L6354" s="11">
        <f>HYPERLINK("https://careerviet.vn/vi/tim-viec-lam/ke-toan-tong-hop.35C6CF9E.html","Xem chi tiết")</f>
        <v/>
      </c>
      <c r="M6354" s="10" t="n"/>
    </row>
    <row r="6355">
      <c r="B6355" s="7" t="n">
        <v>6353</v>
      </c>
      <c r="C6355" t="inlineStr">
        <is>
          <t>Chuyên viên phòng hợp đồng(Mới)</t>
        </is>
      </c>
      <c r="D6355" t="inlineStr">
        <is>
          <t>CÔNG TY TNHH TẬP ĐOÀN XÂY DỰNG DELTA</t>
        </is>
      </c>
      <c r="E6355" t="inlineStr">
        <is>
          <t>Lương:Cạnh tranh</t>
        </is>
      </c>
      <c r="F6355" t="inlineStr">
        <is>
          <t>Hà Nội</t>
        </is>
      </c>
      <c r="G6355" t="inlineStr">
        <is>
          <t>30-05-2026</t>
        </is>
      </c>
      <c r="H6355" t="inlineStr">
        <is>
          <t>30/05/2026</t>
        </is>
      </c>
      <c r="I6355" t="inlineStr">
        <is>
          <t>17/03/2026</t>
        </is>
      </c>
      <c r="J6355" t="inlineStr">
        <is>
          <t>Luật / Pháp lý, Xây dựng</t>
        </is>
      </c>
      <c r="K6355" t="inlineStr">
        <is>
          <t>3 - 5 Năm</t>
        </is>
      </c>
      <c r="L6355" s="8">
        <f>HYPERLINK("https://careerviet.vn/vi/tim-viec-lam/chuyen-vien-phong-hop-dong.35C6CEB5.html","Xem chi tiết")</f>
        <v/>
      </c>
    </row>
    <row r="6356">
      <c r="B6356" s="9" t="n">
        <v>6354</v>
      </c>
      <c r="C6356" s="10" t="inlineStr">
        <is>
          <t>Nhân viên Tổ Trưởng Nhà máy Gỗ(Mới)</t>
        </is>
      </c>
      <c r="D6356" s="10" t="inlineStr">
        <is>
          <t>Công Ty TNHH Tập Đoàn Rita Võ</t>
        </is>
      </c>
      <c r="E6356" s="10" t="inlineStr">
        <is>
          <t>Lương:9 Tr - 10 Tr VND</t>
        </is>
      </c>
      <c r="F6356" s="10" t="inlineStr">
        <is>
          <t>Hồ Chí Minh</t>
        </is>
      </c>
      <c r="G6356" s="10" t="inlineStr">
        <is>
          <t>30-04-2026</t>
        </is>
      </c>
      <c r="H6356" s="10" t="inlineStr">
        <is>
          <t>30/04/2026</t>
        </is>
      </c>
      <c r="I6356" s="10" t="inlineStr">
        <is>
          <t>17/03/2026</t>
        </is>
      </c>
      <c r="J6356" s="10" t="inlineStr">
        <is>
          <t>Quản lý điều hành, Sản xuất / Vận hành sản xuất, Điện / Điện tử / Điện lạnh / Điện công nghiệp</t>
        </is>
      </c>
      <c r="K6356" s="10" t="inlineStr">
        <is>
          <t>2 - 3 Năm</t>
        </is>
      </c>
      <c r="L6356" s="11">
        <f>HYPERLINK("https://careerviet.vn/vi/tim-viec-lam/nhan-vien-to-truong-nha-may-go.35C6CEA9.html","Xem chi tiết")</f>
        <v/>
      </c>
      <c r="M6356" s="10" t="n"/>
    </row>
    <row r="6357">
      <c r="B6357" s="7" t="n">
        <v>6355</v>
      </c>
      <c r="C6357" t="inlineStr">
        <is>
          <t>NHÂN VIÊN KẾ TOÁN TỔNG HỢP(Mới)</t>
        </is>
      </c>
      <c r="D6357" t="inlineStr">
        <is>
          <t>CÔNG TY CỔ PHẦN CƠ ĐIỆN VÀ PCCC THĂNG LONG</t>
        </is>
      </c>
      <c r="E6357" t="inlineStr">
        <is>
          <t>Lương:8 Tr - 15 Tr VND</t>
        </is>
      </c>
      <c r="F6357" t="inlineStr">
        <is>
          <t>Hà Nội</t>
        </is>
      </c>
      <c r="G6357" t="inlineStr">
        <is>
          <t>14-04-2026</t>
        </is>
      </c>
      <c r="H6357" t="inlineStr">
        <is>
          <t>14/04/2026</t>
        </is>
      </c>
      <c r="I6357" t="inlineStr">
        <is>
          <t>17/03/2026</t>
        </is>
      </c>
      <c r="J6357" t="inlineStr">
        <is>
          <t>Xây dựng, Kế toán / Kiểm toán, Tài chính / Đầu tư</t>
        </is>
      </c>
      <c r="K6357" t="inlineStr">
        <is>
          <t>N/A</t>
        </is>
      </c>
      <c r="L6357" s="8">
        <f>HYPERLINK("https://careerviet.vn/vi/tim-viec-lam/nhan-vien-ke-toan-tong-hop.35C6CF15.html","Xem chi tiết")</f>
        <v/>
      </c>
    </row>
    <row r="6358">
      <c r="B6358" s="9" t="n">
        <v>6356</v>
      </c>
      <c r="C6358" s="10" t="inlineStr">
        <is>
          <t>Nhân Viên Kỹ Thuật(Mới)</t>
        </is>
      </c>
      <c r="D6358" s="10" t="inlineStr">
        <is>
          <t>Công Ty TNHH Sản Xuất Thương Mại Dịch Vụ Sơn Hoàng Gia</t>
        </is>
      </c>
      <c r="E6358" s="10" t="inlineStr">
        <is>
          <t>Lương:13 Tr - 16 Tr VND</t>
        </is>
      </c>
      <c r="F6358" s="10" t="inlineStr">
        <is>
          <t>Long An</t>
        </is>
      </c>
      <c r="G6358" s="10" t="inlineStr">
        <is>
          <t>16-04-2026</t>
        </is>
      </c>
      <c r="H6358" s="10" t="inlineStr">
        <is>
          <t>16/04/2026</t>
        </is>
      </c>
      <c r="I6358" s="10" t="inlineStr">
        <is>
          <t>17/03/2026</t>
        </is>
      </c>
      <c r="J6358" s="10" t="inlineStr">
        <is>
          <t>: Sản xuất • Có</t>
        </is>
      </c>
      <c r="K6358" s="10" t="inlineStr">
        <is>
          <t>Trên 1 Năm</t>
        </is>
      </c>
      <c r="L6358" s="11">
        <f>HYPERLINK("https://careerviet.vn/vi/tim-viec-lam/nhan-vien-ky-thuat.35C6CFAB.html","Xem chi tiết")</f>
        <v/>
      </c>
      <c r="M6358" s="10" t="n"/>
    </row>
    <row r="6359">
      <c r="B6359" s="7" t="n">
        <v>6357</v>
      </c>
      <c r="C6359" t="inlineStr">
        <is>
          <t>Chuyên Viên Kinh Tế Xây Dựng(Mới)</t>
        </is>
      </c>
      <c r="D6359" t="inlineStr">
        <is>
          <t>CÔNG TY CỔ PHẦN TẬP ĐOÀN MIK GROUP VIỆT NAM</t>
        </is>
      </c>
      <c r="E6359" t="inlineStr">
        <is>
          <t>Lương:Cạnh tranh</t>
        </is>
      </c>
      <c r="F6359" t="inlineStr">
        <is>
          <t>Hà Nội</t>
        </is>
      </c>
      <c r="G6359" t="inlineStr">
        <is>
          <t>30-04-2026</t>
        </is>
      </c>
      <c r="H6359" t="inlineStr">
        <is>
          <t>30/04/2026</t>
        </is>
      </c>
      <c r="I6359" t="inlineStr">
        <is>
          <t>17/03/2026</t>
        </is>
      </c>
      <c r="J6359" t="inlineStr">
        <is>
          <t>Bất động sản</t>
        </is>
      </c>
      <c r="K6359" t="inlineStr">
        <is>
          <t>Lên đến 5 Năm</t>
        </is>
      </c>
      <c r="L6359" s="8">
        <f>HYPERLINK("https://careerviet.vn/vi/tim-viec-lam/chuyen-vien-kinh-te-xay-dung.35C6CF9B.html","Xem chi tiết")</f>
        <v/>
      </c>
    </row>
    <row r="6360">
      <c r="B6360" s="9" t="n">
        <v>6358</v>
      </c>
      <c r="C6360" s="10" t="inlineStr">
        <is>
          <t>Nhân viên kinh doanh  (Hà Nội)(Mới)</t>
        </is>
      </c>
      <c r="D6360" s="10" t="inlineStr">
        <is>
          <t>Công Ty Cổ Phần Hai Bốn Bảy</t>
        </is>
      </c>
      <c r="E6360" s="10" t="inlineStr">
        <is>
          <t>Lương:15 Tr - 20 Tr VND</t>
        </is>
      </c>
      <c r="F6360" s="10" t="inlineStr">
        <is>
          <t>Hà Nội</t>
        </is>
      </c>
      <c r="G6360" s="10" t="inlineStr">
        <is>
          <t>30-04-2026</t>
        </is>
      </c>
      <c r="H6360" s="10" t="inlineStr">
        <is>
          <t>30/04/2026</t>
        </is>
      </c>
      <c r="I6360" s="10" t="inlineStr">
        <is>
          <t>17/03/2026</t>
        </is>
      </c>
      <c r="J6360" s="10" t="inlineStr">
        <is>
          <t>Bán lẻ / Bán sỉ, Dịch vụ khách hàng, Thực phẩm &amp; Đồ uống</t>
        </is>
      </c>
      <c r="K6360" s="10" t="inlineStr">
        <is>
          <t>1 - 5 Năm</t>
        </is>
      </c>
      <c r="L6360" s="11">
        <f>HYPERLINK("https://careerviet.vn/vi/tim-viec-lam/nhan-vien-kinh-doanh-ha-noi.35C6CFA2.html","Xem chi tiết")</f>
        <v/>
      </c>
      <c r="M6360" s="10" t="n"/>
    </row>
    <row r="6361">
      <c r="B6361" s="7" t="n">
        <v>6359</v>
      </c>
      <c r="C6361" t="inlineStr">
        <is>
          <t>Sale Admin(Mới)</t>
        </is>
      </c>
      <c r="D6361" t="inlineStr">
        <is>
          <t>CÔNG TY TNHH CÔNG NGHỆ NĂNG LƯỢNG CERGY</t>
        </is>
      </c>
      <c r="E6361" t="inlineStr">
        <is>
          <t>Lương:7 Tr - 9 Tr VND</t>
        </is>
      </c>
      <c r="F6361" t="inlineStr">
        <is>
          <t>Hồ Chí Minh</t>
        </is>
      </c>
      <c r="G6361" t="inlineStr">
        <is>
          <t>17-04-2026</t>
        </is>
      </c>
      <c r="H6361" t="inlineStr">
        <is>
          <t>17/04/2026</t>
        </is>
      </c>
      <c r="I6361" t="inlineStr">
        <is>
          <t>17/03/2026</t>
        </is>
      </c>
      <c r="J6361" t="inlineStr">
        <is>
          <t>Bán hàng / Kinh doanh, Hành chính / Thư ký, Dịch vụ khách hàng</t>
        </is>
      </c>
      <c r="K6361" t="inlineStr">
        <is>
          <t>N/A</t>
        </is>
      </c>
      <c r="L6361" s="8">
        <f>HYPERLINK("https://careerviet.vn/vi/tim-viec-lam/sale-admin.35C6CF99.html","Xem chi tiết")</f>
        <v/>
      </c>
    </row>
    <row r="6362">
      <c r="B6362" s="9" t="n">
        <v>6360</v>
      </c>
      <c r="C6362" s="10" t="inlineStr">
        <is>
          <t>Chuyên viên Kinh tế - Kế hoạch CĐT - Alphanam Group(Mới)</t>
        </is>
      </c>
      <c r="D6362" s="10" t="inlineStr">
        <is>
          <t>Alphanam Group</t>
        </is>
      </c>
      <c r="E6362" s="10" t="inlineStr">
        <is>
          <t>Lương:Cạnh tranh</t>
        </is>
      </c>
      <c r="F6362" s="10" t="inlineStr">
        <is>
          <t>Hà Nội</t>
        </is>
      </c>
      <c r="G6362" s="10" t="inlineStr">
        <is>
          <t>Hôm nay</t>
        </is>
      </c>
      <c r="H6362" s="10" t="inlineStr">
        <is>
          <t>16/03/2026</t>
        </is>
      </c>
      <c r="I6362" s="10" t="inlineStr">
        <is>
          <t>17/03/2026</t>
        </is>
      </c>
      <c r="J6362" s="10" t="inlineStr">
        <is>
          <t>Bất động sản</t>
        </is>
      </c>
      <c r="K6362" s="10" t="inlineStr">
        <is>
          <t>3 - 5 Năm</t>
        </is>
      </c>
      <c r="L6362" s="11">
        <f>HYPERLINK("https://careerviet.vn/vi/tim-viec-lam/chuyen-vien-kinh-te-ke-hoach-cdt-alphanam-group.35C6CF97.html","Xem chi tiết")</f>
        <v/>
      </c>
      <c r="M6362" s="10" t="n"/>
    </row>
    <row r="6363">
      <c r="B6363" s="7" t="n">
        <v>6361</v>
      </c>
      <c r="C6363" t="inlineStr">
        <is>
          <t>Sales Admin(Mới)</t>
        </is>
      </c>
      <c r="D6363" t="inlineStr">
        <is>
          <t>Công ty cổ phần Dược phẩm Louis Pharma</t>
        </is>
      </c>
      <c r="E6363" t="inlineStr">
        <is>
          <t>Lương:10 Tr - 15 Tr VND</t>
        </is>
      </c>
      <c r="F6363" t="inlineStr">
        <is>
          <t>Hà Nội</t>
        </is>
      </c>
      <c r="G6363" t="inlineStr">
        <is>
          <t>16-04-2026</t>
        </is>
      </c>
      <c r="H6363" t="inlineStr">
        <is>
          <t>16/04/2026</t>
        </is>
      </c>
      <c r="I6363" t="inlineStr">
        <is>
          <t>17/03/2026</t>
        </is>
      </c>
      <c r="J6363" t="inlineStr">
        <is>
          <t>Bán hàng / Kinh doanh, Hành chính / Thư ký, Kế toán / Kiểm toán</t>
        </is>
      </c>
      <c r="K6363" t="inlineStr">
        <is>
          <t>2 - 5 Năm</t>
        </is>
      </c>
      <c r="L6363" s="8">
        <f>HYPERLINK("https://careerviet.vn/vi/tim-viec-lam/sales-admin.35C6CF89.html","Xem chi tiết")</f>
        <v/>
      </c>
    </row>
    <row r="6364">
      <c r="B6364" s="9" t="n">
        <v>6362</v>
      </c>
      <c r="C6364" s="10" t="inlineStr">
        <is>
          <t>Nhân Viên Kinh Doanh Thị Trường Kênh MT(Mới)</t>
        </is>
      </c>
      <c r="D6364" s="10" t="inlineStr">
        <is>
          <t>Công ty TNHH Chế biến thực phẩm Đông Đô</t>
        </is>
      </c>
      <c r="E6364" s="10" t="inlineStr">
        <is>
          <t>Lương:13 Tr - 17 Tr VND</t>
        </is>
      </c>
      <c r="F6364" s="10" t="inlineStr">
        <is>
          <t>Sóc TrăngBạc LiêuKiên Giang</t>
        </is>
      </c>
      <c r="G6364" s="10" t="inlineStr">
        <is>
          <t>20-04-2026</t>
        </is>
      </c>
      <c r="H6364" s="10" t="inlineStr">
        <is>
          <t>20/04/2026</t>
        </is>
      </c>
      <c r="I6364" s="10" t="inlineStr">
        <is>
          <t>17/03/2026</t>
        </is>
      </c>
      <c r="J6364" s="10" t="inlineStr">
        <is>
          <t>Bán hàng / Kinh doanh, Tư vấn, Thực phẩm &amp; Đồ uống</t>
        </is>
      </c>
      <c r="K6364" s="10" t="inlineStr">
        <is>
          <t>1 - 2 Năm</t>
        </is>
      </c>
      <c r="L6364" s="11">
        <f>HYPERLINK("https://careerviet.vn/vi/tim-viec-lam/nhan-vien-kinh-doanh-thi-truong-kenh-mt.35C6CF76.html","Xem chi tiết")</f>
        <v/>
      </c>
      <c r="M6364" s="10" t="n"/>
    </row>
    <row r="6365">
      <c r="B6365" s="7" t="n">
        <v>6363</v>
      </c>
      <c r="C6365" t="inlineStr">
        <is>
          <t>Trưởng Bộ Phận Truyền Thông- Marketing(Mới)</t>
        </is>
      </c>
      <c r="D6365" t="inlineStr">
        <is>
          <t>Công ty TNHH MTV Sen Vàng Việt Nam</t>
        </is>
      </c>
      <c r="E6365" t="inlineStr">
        <is>
          <t>Lương:20 Tr - 35 Tr VND</t>
        </is>
      </c>
      <c r="F6365" t="inlineStr">
        <is>
          <t>Hồ Chí Minh</t>
        </is>
      </c>
      <c r="G6365" t="inlineStr">
        <is>
          <t>17-04-2026</t>
        </is>
      </c>
      <c r="H6365" t="inlineStr">
        <is>
          <t>17/04/2026</t>
        </is>
      </c>
      <c r="I6365" t="inlineStr">
        <is>
          <t>17/03/2026</t>
        </is>
      </c>
      <c r="J6365" t="inlineStr">
        <is>
          <t>Tiếp thị / Marketing</t>
        </is>
      </c>
      <c r="K6365" t="inlineStr">
        <is>
          <t>3 - 5 Năm</t>
        </is>
      </c>
      <c r="L6365" s="8">
        <f>HYPERLINK("https://careerviet.vn/vi/tim-viec-lam/truong-bo-phan-truyen-thong-marketing.35C6CE5F.html","Xem chi tiết")</f>
        <v/>
      </c>
    </row>
    <row r="6366">
      <c r="B6366" s="9" t="n">
        <v>6364</v>
      </c>
      <c r="C6366" s="10" t="inlineStr">
        <is>
          <t>[Đắk Lắk, Khánh Hòa, Ninh Thuận] Chuyên Viên Tư Vấn Tín Dụng(Mới)</t>
        </is>
      </c>
      <c r="D6366" s="10" t="inlineStr">
        <is>
          <t>Công Ty Tài Chính Mirae Asset (Việt Nam)</t>
        </is>
      </c>
      <c r="E6366" s="10" t="inlineStr">
        <is>
          <t>Lương:Cạnh tranh</t>
        </is>
      </c>
      <c r="F6366" s="10" t="inlineStr">
        <is>
          <t>KV Nam Trung BộDak LakKhánh Hòa</t>
        </is>
      </c>
      <c r="G6366" s="10" t="inlineStr">
        <is>
          <t>26-04-2026</t>
        </is>
      </c>
      <c r="H6366" s="10" t="inlineStr">
        <is>
          <t>26/04/2026</t>
        </is>
      </c>
      <c r="I6366" s="10" t="inlineStr">
        <is>
          <t>17/03/2026</t>
        </is>
      </c>
      <c r="J6366" s="10" t="inlineStr">
        <is>
          <t>Bất động sản, Bán lẻ / Bán sỉ, Bán hàng / Kinh doanh</t>
        </is>
      </c>
      <c r="K6366" s="10" t="inlineStr">
        <is>
          <t>1 - 2 Năm</t>
        </is>
      </c>
      <c r="L6366" s="11">
        <f>HYPERLINK("https://careerviet.vn/vi/tim-viec-lam/dak-lak-khanh-hoa-ninh-thuan-chuyen-vien-tu-van-tin-dung.35C6CF96.html","Xem chi tiết")</f>
        <v/>
      </c>
      <c r="M6366" s="10" t="n"/>
    </row>
    <row r="6367">
      <c r="B6367" s="7" t="n">
        <v>6365</v>
      </c>
      <c r="C6367" t="inlineStr">
        <is>
          <t>Kế Toán Thanh Toán Dự Án Công Trình(Mới)</t>
        </is>
      </c>
      <c r="D6367" t="inlineStr">
        <is>
          <t>Công Ty TNHH J.G</t>
        </is>
      </c>
      <c r="E6367" t="inlineStr">
        <is>
          <t>Lương:Cạnh tranh</t>
        </is>
      </c>
      <c r="F6367" t="inlineStr">
        <is>
          <t>Hồ Chí Minh</t>
        </is>
      </c>
      <c r="G6367" t="inlineStr">
        <is>
          <t>16-04-2026</t>
        </is>
      </c>
      <c r="H6367" t="inlineStr">
        <is>
          <t>16/04/2026</t>
        </is>
      </c>
      <c r="I6367" t="inlineStr">
        <is>
          <t>17/03/2026</t>
        </is>
      </c>
      <c r="J6367" t="inlineStr">
        <is>
          <t>Kế toán / Kiểm toán, Xây dựng, Tài chính / Đầu tư</t>
        </is>
      </c>
      <c r="K6367" t="inlineStr">
        <is>
          <t>Trên 2 Năm</t>
        </is>
      </c>
      <c r="L6367" s="8">
        <f>HYPERLINK("https://careerviet.vn/vi/tim-viec-lam/ke-toan-thanh-toan-du-an-cong-trinh.35C6CF98.html","Xem chi tiết")</f>
        <v/>
      </c>
    </row>
    <row r="6368">
      <c r="B6368" s="9" t="n">
        <v>6366</v>
      </c>
      <c r="C6368" s="10" t="inlineStr">
        <is>
          <t>Chủ nhiệm Quản lý Thiết kế(Mới)</t>
        </is>
      </c>
      <c r="D6368" s="10" t="inlineStr">
        <is>
          <t>CÔNG TY CỔ PHẦN TẬP ĐOÀN MIK GROUP VIỆT NAM</t>
        </is>
      </c>
      <c r="E6368" s="10" t="inlineStr">
        <is>
          <t>Lương:Cạnh tranh</t>
        </is>
      </c>
      <c r="F6368" s="10" t="inlineStr">
        <is>
          <t>Hà NộiHồ Chí Minh</t>
        </is>
      </c>
      <c r="G6368" s="10" t="inlineStr">
        <is>
          <t>31-03-2026</t>
        </is>
      </c>
      <c r="H6368" s="10" t="inlineStr">
        <is>
          <t>31/03/2026</t>
        </is>
      </c>
      <c r="I6368" s="10" t="inlineStr">
        <is>
          <t>17/03/2026</t>
        </is>
      </c>
      <c r="J6368" s="10" t="inlineStr">
        <is>
          <t>Xây dựng, Bất động sản</t>
        </is>
      </c>
      <c r="K6368" s="10" t="inlineStr">
        <is>
          <t>Lên đến 9 Năm</t>
        </is>
      </c>
      <c r="L6368" s="11">
        <f>HYPERLINK("https://careerviet.vn/vi/tim-viec-lam/chu-nhiem-quan-ly-thiet-ke.35C6CF93.html","Xem chi tiết")</f>
        <v/>
      </c>
      <c r="M6368" s="10" t="n"/>
    </row>
    <row r="6369">
      <c r="B6369" s="7" t="n">
        <v>6367</v>
      </c>
      <c r="C6369" t="inlineStr">
        <is>
          <t>[Quảng Ngãi, Bình Định, Phú Yên] Chuyên Viên Tư Vấn Tín Dụng(Mới)</t>
        </is>
      </c>
      <c r="D6369" t="inlineStr">
        <is>
          <t>Công Ty Tài Chính Mirae Asset (Việt Nam)</t>
        </is>
      </c>
      <c r="E6369" t="inlineStr">
        <is>
          <t>Lương:Cạnh tranh</t>
        </is>
      </c>
      <c r="F6369" t="inlineStr">
        <is>
          <t>KV Nam Trung BộQuảng NgãiBình Định</t>
        </is>
      </c>
      <c r="G6369" t="inlineStr">
        <is>
          <t>26-04-2026</t>
        </is>
      </c>
      <c r="H6369" t="inlineStr">
        <is>
          <t>26/04/2026</t>
        </is>
      </c>
      <c r="I6369" t="inlineStr">
        <is>
          <t>17/03/2026</t>
        </is>
      </c>
      <c r="J6369" t="inlineStr">
        <is>
          <t>Bất động sản, Bán lẻ / Bán sỉ, Bán hàng / Kinh doanh</t>
        </is>
      </c>
      <c r="K6369" t="inlineStr">
        <is>
          <t>1 - 2 Năm</t>
        </is>
      </c>
      <c r="L6369" s="8">
        <f>HYPERLINK("https://careerviet.vn/vi/tim-viec-lam/quang-ngai-binh-dinh-phu-yen-chuyen-vien-tu-van-tin-dung.35C6CF9A.html","Xem chi tiết")</f>
        <v/>
      </c>
    </row>
    <row r="6370">
      <c r="B6370" s="9" t="n">
        <v>6368</v>
      </c>
      <c r="C6370" s="10" t="inlineStr">
        <is>
          <t>[Kon Tum, Gia Lai, Lâm Đồng] Chuyên Viên Tư Vấn Tín Dụng(Mới)</t>
        </is>
      </c>
      <c r="D6370" s="10" t="inlineStr">
        <is>
          <t>Công Ty Tài Chính Mirae Asset (Việt Nam)</t>
        </is>
      </c>
      <c r="E6370" s="10" t="inlineStr">
        <is>
          <t>Lương:Cạnh tranh</t>
        </is>
      </c>
      <c r="F6370" s="10" t="inlineStr">
        <is>
          <t>KV Nam Trung BộKon TumGia Lai</t>
        </is>
      </c>
      <c r="G6370" s="10" t="inlineStr">
        <is>
          <t>26-04-2026</t>
        </is>
      </c>
      <c r="H6370" s="10" t="inlineStr">
        <is>
          <t>26/04/2026</t>
        </is>
      </c>
      <c r="I6370" s="10" t="inlineStr">
        <is>
          <t>17/03/2026</t>
        </is>
      </c>
      <c r="J6370" s="10" t="inlineStr">
        <is>
          <t>Bất động sản, Bán lẻ / Bán sỉ, Bán hàng / Kinh doanh</t>
        </is>
      </c>
      <c r="K6370" s="10" t="inlineStr">
        <is>
          <t>1 - 2 Năm</t>
        </is>
      </c>
      <c r="L6370" s="11">
        <f>HYPERLINK("https://careerviet.vn/vi/tim-viec-lam/kon-tum-gia-lai-lam-dong-chuyen-vien-tu-van-tin-dung.35C6CF8F.html","Xem chi tiết")</f>
        <v/>
      </c>
      <c r="M6370" s="10" t="n"/>
    </row>
    <row r="6371">
      <c r="B6371" s="7" t="n">
        <v>6369</v>
      </c>
      <c r="C6371" t="inlineStr">
        <is>
          <t>KẾ TOÁN TỔNG HỢP(Mới)</t>
        </is>
      </c>
      <c r="D6371" t="inlineStr">
        <is>
          <t>Công ty cổ phần Dược phẩm Louis Pharma</t>
        </is>
      </c>
      <c r="E6371" t="inlineStr">
        <is>
          <t>Lương:13 Tr - 16 Tr VND</t>
        </is>
      </c>
      <c r="F6371" t="inlineStr">
        <is>
          <t>Hà Nội</t>
        </is>
      </c>
      <c r="G6371" t="inlineStr">
        <is>
          <t>16-04-2026</t>
        </is>
      </c>
      <c r="H6371" t="inlineStr">
        <is>
          <t>16/04/2026</t>
        </is>
      </c>
      <c r="I6371" t="inlineStr">
        <is>
          <t>17/03/2026</t>
        </is>
      </c>
      <c r="J6371" t="inlineStr">
        <is>
          <t>Bán hàng / Kinh doanh, Dược phẩm/ Hóa Mỹ Phẩm, Kế toán / Kiểm toán</t>
        </is>
      </c>
      <c r="K6371" t="inlineStr">
        <is>
          <t>Chưa có kinh nghiệm</t>
        </is>
      </c>
      <c r="L6371" s="8">
        <f>HYPERLINK("https://careerviet.vn/vi/tim-viec-lam/ke-toan-tong-hop.35C6CF88.html","Xem chi tiết")</f>
        <v/>
      </c>
    </row>
    <row r="6372">
      <c r="B6372" s="9" t="n">
        <v>6370</v>
      </c>
      <c r="C6372" s="10" t="inlineStr">
        <is>
          <t>Administrative Officer(Mới)</t>
        </is>
      </c>
      <c r="D6372" s="10" t="inlineStr">
        <is>
          <t>ACC - American Chiropractic Clinic</t>
        </is>
      </c>
      <c r="E6372" s="10" t="inlineStr">
        <is>
          <t>Lương:Cạnh tranh</t>
        </is>
      </c>
      <c r="F6372" s="10" t="inlineStr">
        <is>
          <t>Hồ Chí Minh</t>
        </is>
      </c>
      <c r="G6372" s="10" t="inlineStr">
        <is>
          <t>17-04-2026</t>
        </is>
      </c>
      <c r="H6372" s="10" t="inlineStr">
        <is>
          <t>17/04/2026</t>
        </is>
      </c>
      <c r="I6372" s="10" t="inlineStr">
        <is>
          <t>17/03/2026</t>
        </is>
      </c>
      <c r="J6372" s="10" t="inlineStr">
        <is>
          <t>Bán hàng / Kinh doanh, Hành chính / Thư ký, Tư vấn</t>
        </is>
      </c>
      <c r="K6372" s="10" t="inlineStr">
        <is>
          <t>N/A</t>
        </is>
      </c>
      <c r="L6372" s="11">
        <f>HYPERLINK("https://careerviet.vn/vi/tim-viec-lam/administrative-officer.35C6CF4C.html","Xem chi tiết")</f>
        <v/>
      </c>
      <c r="M6372" s="10" t="n"/>
    </row>
    <row r="6373">
      <c r="B6373" s="7" t="n">
        <v>6371</v>
      </c>
      <c r="C6373" t="inlineStr">
        <is>
          <t>[Miền Nam] Nhân Viên Tư Vấn Tín Dụng Trực Tiếp(Mới)</t>
        </is>
      </c>
      <c r="D6373" t="inlineStr">
        <is>
          <t>Công Ty Tài Chính Mirae Asset (Việt Nam)</t>
        </is>
      </c>
      <c r="E6373" t="inlineStr">
        <is>
          <t>Lương:Cạnh tranh</t>
        </is>
      </c>
      <c r="F6373" t="inlineStr">
        <is>
          <t>KV Đông Nam BộHồ Chí MinhAn Giang</t>
        </is>
      </c>
      <c r="G6373" t="inlineStr">
        <is>
          <t>26-04-2026</t>
        </is>
      </c>
      <c r="H6373" t="inlineStr">
        <is>
          <t>26/04/2026</t>
        </is>
      </c>
      <c r="I6373" t="inlineStr">
        <is>
          <t>17/03/2026</t>
        </is>
      </c>
      <c r="J6373" t="inlineStr">
        <is>
          <t>Bất động sản, Bán lẻ / Bán sỉ, Bán hàng / Kinh doanh</t>
        </is>
      </c>
      <c r="K6373" t="inlineStr">
        <is>
          <t>N/A</t>
        </is>
      </c>
      <c r="L6373" s="8">
        <f>HYPERLINK("https://careerviet.vn/vi/tim-viec-lam/mien-nam-nhan-vien-tu-van-tin-dung-truc-tiep.35C6CF8B.html","Xem chi tiết")</f>
        <v/>
      </c>
    </row>
    <row r="6374">
      <c r="B6374" s="9" t="n">
        <v>6372</v>
      </c>
      <c r="C6374" s="10" t="inlineStr">
        <is>
          <t>NHÂN VIÊN VẬN HÀNH SÀN THƯƠNG MẠI ĐIỆN TỬ (Khu Vực Quận 9, Thủ Đức - Có Thể Đi Làm Ngay)(Mới)</t>
        </is>
      </c>
      <c r="D6374" s="10" t="inlineStr">
        <is>
          <t>CÔNG TY TNHH ĐẦU TƯ THƯƠNG MẠI DỊCH VỤ LIDO</t>
        </is>
      </c>
      <c r="E6374" s="10" t="inlineStr">
        <is>
          <t>Lương:8 Tr - 10 Tr VND</t>
        </is>
      </c>
      <c r="F6374" s="10" t="inlineStr">
        <is>
          <t>Hồ Chí Minh</t>
        </is>
      </c>
      <c r="G6374" s="10" t="inlineStr">
        <is>
          <t>30-04-2026</t>
        </is>
      </c>
      <c r="H6374" s="10" t="inlineStr">
        <is>
          <t>30/04/2026</t>
        </is>
      </c>
      <c r="I6374" s="10" t="inlineStr">
        <is>
          <t>17/03/2026</t>
        </is>
      </c>
      <c r="J6374" s="10" t="inlineStr">
        <is>
          <t>Tiếp thị / Marketing, Tiếp thị trực tuyến, Truyền hình / Báo chí / Biên tập</t>
        </is>
      </c>
      <c r="K6374" s="10" t="inlineStr">
        <is>
          <t>N/A</t>
        </is>
      </c>
      <c r="L6374" s="11">
        <f>HYPERLINK("https://careerviet.vn/vi/tim-viec-lam/nhan-vien-van-hanh-san-thuong-mai-dien-tu-khu-vuc-quan-9-thu-duc-co-the-di-lam-ngay.35C6CF6C.html","Xem chi tiết")</f>
        <v/>
      </c>
      <c r="M6374" s="10" t="n"/>
    </row>
    <row r="6375">
      <c r="B6375" s="7" t="n">
        <v>6373</v>
      </c>
      <c r="C6375" t="inlineStr">
        <is>
          <t>THƯ KÝ BẢO TRÌ(Mới)</t>
        </is>
      </c>
      <c r="D6375" t="inlineStr">
        <is>
          <t>CÔNG TY TNHH THANG MÁY TOSHIBA VIỆT NAM</t>
        </is>
      </c>
      <c r="E6375" t="inlineStr">
        <is>
          <t>Lương:8,5 Tr - 11 Tr VND</t>
        </is>
      </c>
      <c r="F6375" t="inlineStr">
        <is>
          <t>Hồ Chí Minh</t>
        </is>
      </c>
      <c r="G6375" t="inlineStr">
        <is>
          <t>16-04-2026</t>
        </is>
      </c>
      <c r="H6375" t="inlineStr">
        <is>
          <t>16/04/2026</t>
        </is>
      </c>
      <c r="I6375" t="inlineStr">
        <is>
          <t>17/03/2026</t>
        </is>
      </c>
      <c r="J6375" t="inlineStr">
        <is>
          <t>Hành chính / Thư ký, Nhân sự, Dịch vụ khách hàng</t>
        </is>
      </c>
      <c r="K6375" t="inlineStr">
        <is>
          <t>N/A</t>
        </is>
      </c>
      <c r="L6375" s="8">
        <f>HYPERLINK("https://careerviet.vn/vi/tim-viec-lam/thu-ky-bao-tri.35C6CF02.html","Xem chi tiết")</f>
        <v/>
      </c>
    </row>
    <row r="6376">
      <c r="B6376" s="9" t="n">
        <v>6374</v>
      </c>
      <c r="C6376" s="10" t="inlineStr">
        <is>
          <t>Quản Lý Kho(Mới)</t>
        </is>
      </c>
      <c r="D6376" s="10" t="inlineStr">
        <is>
          <t>CÔNG TY TNHH CÔNG NGHỆ NĂNG LƯỢNG CERGY</t>
        </is>
      </c>
      <c r="E6376" s="10" t="inlineStr">
        <is>
          <t>Lương:9 Tr - 11 Tr VND</t>
        </is>
      </c>
      <c r="F6376" s="10" t="inlineStr">
        <is>
          <t>Hồ Chí Minh</t>
        </is>
      </c>
      <c r="G6376" s="10" t="inlineStr">
        <is>
          <t>17-04-2026</t>
        </is>
      </c>
      <c r="H6376" s="10" t="inlineStr">
        <is>
          <t>17/04/2026</t>
        </is>
      </c>
      <c r="I6376" s="10" t="inlineStr">
        <is>
          <t>17/03/2026</t>
        </is>
      </c>
      <c r="J6376" s="10" t="inlineStr">
        <is>
          <t>Vận chuyển / Giao nhận / Kho vận, Sản xuất / Vận hành sản xuất, Quản lý điều hành</t>
        </is>
      </c>
      <c r="K6376" s="10" t="inlineStr">
        <is>
          <t>Trên 2 Năm</t>
        </is>
      </c>
      <c r="L6376" s="11">
        <f>HYPERLINK("https://careerviet.vn/vi/tim-viec-lam/quan-ly-kho.35C6CE53.html","Xem chi tiết")</f>
        <v/>
      </c>
      <c r="M6376" s="10" t="n"/>
    </row>
    <row r="6377">
      <c r="B6377" s="7" t="n">
        <v>6375</v>
      </c>
      <c r="C6377" t="inlineStr">
        <is>
          <t>[Miền Bắc] Nhân Viên Tư Vấn Tín Dụng Trực Tiếp(Mới)</t>
        </is>
      </c>
      <c r="D6377" t="inlineStr">
        <is>
          <t>Công Ty Tài Chính Mirae Asset (Việt Nam)</t>
        </is>
      </c>
      <c r="E6377" t="inlineStr">
        <is>
          <t>Lương:Cạnh tranh</t>
        </is>
      </c>
      <c r="F6377" t="inlineStr">
        <is>
          <t>KV Bắc Trung BộHà NộiHải Phòng</t>
        </is>
      </c>
      <c r="G6377" t="inlineStr">
        <is>
          <t>26-04-2026</t>
        </is>
      </c>
      <c r="H6377" t="inlineStr">
        <is>
          <t>26/04/2026</t>
        </is>
      </c>
      <c r="I6377" t="inlineStr">
        <is>
          <t>17/03/2026</t>
        </is>
      </c>
      <c r="J6377" t="inlineStr">
        <is>
          <t>Bất động sản, Bán lẻ / Bán sỉ, Bán hàng / Kinh doanh</t>
        </is>
      </c>
      <c r="K6377" t="inlineStr">
        <is>
          <t>N/A</t>
        </is>
      </c>
      <c r="L6377" s="8">
        <f>HYPERLINK("https://careerviet.vn/vi/tim-viec-lam/mien-bac-nhan-vien-tu-van-tin-dung-truc-tiep.35C6CF84.html","Xem chi tiết")</f>
        <v/>
      </c>
    </row>
    <row r="6378">
      <c r="B6378" s="9" t="n">
        <v>6376</v>
      </c>
      <c r="C6378" s="10" t="inlineStr">
        <is>
          <t>[Miền Trung] Nhân Viên Tư Vấn Tín Dụng Trực Tiếp(Mới)</t>
        </is>
      </c>
      <c r="D6378" s="10" t="inlineStr">
        <is>
          <t>Công Ty Tài Chính Mirae Asset (Việt Nam)</t>
        </is>
      </c>
      <c r="E6378" s="10" t="inlineStr">
        <is>
          <t>Lương:Cạnh tranh</t>
        </is>
      </c>
      <c r="F6378" s="10" t="inlineStr">
        <is>
          <t>KV Nam Trung BộKhánh HòaNinh Thuận</t>
        </is>
      </c>
      <c r="G6378" s="10" t="inlineStr">
        <is>
          <t>26-04-2026</t>
        </is>
      </c>
      <c r="H6378" s="10" t="inlineStr">
        <is>
          <t>26/04/2026</t>
        </is>
      </c>
      <c r="I6378" s="10" t="inlineStr">
        <is>
          <t>17/03/2026</t>
        </is>
      </c>
      <c r="J6378" s="10" t="inlineStr">
        <is>
          <t>Bất động sản, Bán lẻ / Bán sỉ, Bán hàng / Kinh doanh</t>
        </is>
      </c>
      <c r="K6378" s="10" t="inlineStr">
        <is>
          <t>N/A</t>
        </is>
      </c>
      <c r="L6378" s="11">
        <f>HYPERLINK("https://careerviet.vn/vi/tim-viec-lam/mien-trung-nhan-vien-tu-van-tin-dung-truc-tiep.35C6CF87.html","Xem chi tiết")</f>
        <v/>
      </c>
      <c r="M6378" s="10" t="n"/>
    </row>
    <row r="6379">
      <c r="B6379" s="7" t="n">
        <v>6377</v>
      </c>
      <c r="C6379" t="inlineStr">
        <is>
          <t>Chuyên Viên Đấu Thầu (Phụ Trách Nội Thất)(Mới)</t>
        </is>
      </c>
      <c r="D6379" t="inlineStr">
        <is>
          <t>CÔNG TY CỔ PHẦN TẬP ĐOÀN ONSEN FUJI</t>
        </is>
      </c>
      <c r="E6379" t="inlineStr">
        <is>
          <t>Lương:22 Tr - 27 Tr VND</t>
        </is>
      </c>
      <c r="F6379" t="inlineStr">
        <is>
          <t>Hà Nội</t>
        </is>
      </c>
      <c r="G6379" t="inlineStr">
        <is>
          <t>16-04-2026</t>
        </is>
      </c>
      <c r="H6379" t="inlineStr">
        <is>
          <t>16/04/2026</t>
        </is>
      </c>
      <c r="I6379" t="inlineStr">
        <is>
          <t>17/03/2026</t>
        </is>
      </c>
      <c r="J6379" t="inlineStr">
        <is>
          <t>Nội ngoại thất, Bất động sản, Thu mua / Vật tư</t>
        </is>
      </c>
      <c r="K6379" t="inlineStr">
        <is>
          <t>2 - 5 Năm</t>
        </is>
      </c>
      <c r="L6379" s="8">
        <f>HYPERLINK("https://careerviet.vn/vi/tim-viec-lam/chuyen-vien-dau-thau-phu-trach-noi-that.35C6CF85.html","Xem chi tiết")</f>
        <v/>
      </c>
    </row>
    <row r="6380">
      <c r="B6380" s="9" t="n">
        <v>6378</v>
      </c>
      <c r="C6380" s="10" t="inlineStr">
        <is>
          <t>Chuyên Viên Kế Toán Tổng Hợp (kinh nghiệm Xây dựng/BĐS)(Mới)</t>
        </is>
      </c>
      <c r="D6380" s="10" t="inlineStr">
        <is>
          <t>Công Ty Cổ Phần Tập Đoàn Đầu Tư Địa Ốc No Va</t>
        </is>
      </c>
      <c r="E6380" s="10" t="inlineStr">
        <is>
          <t>Lương:Cạnh tranh</t>
        </is>
      </c>
      <c r="F6380" s="10" t="inlineStr">
        <is>
          <t>Hồ Chí Minh</t>
        </is>
      </c>
      <c r="G6380" s="10" t="inlineStr">
        <is>
          <t>30-05-2026</t>
        </is>
      </c>
      <c r="H6380" s="10" t="inlineStr">
        <is>
          <t>30/05/2026</t>
        </is>
      </c>
      <c r="I6380" s="10" t="inlineStr">
        <is>
          <t>17/03/2026</t>
        </is>
      </c>
      <c r="J6380" s="10" t="inlineStr">
        <is>
          <t>Kế toán / Kiểm toán, Tài chính / Đầu tư, Bất động sản</t>
        </is>
      </c>
      <c r="K6380" s="10" t="inlineStr">
        <is>
          <t>N/A</t>
        </is>
      </c>
      <c r="L6380" s="11">
        <f>HYPERLINK("https://careerviet.vn/vi/tim-viec-lam/chuyen-vien-ke-toan-tong-hop-kinh-nghiem-xay-dung-bds.35C6CF83.html","Xem chi tiết")</f>
        <v/>
      </c>
      <c r="M6380" s="10" t="n"/>
    </row>
    <row r="6381">
      <c r="B6381" s="7" t="n">
        <v>6379</v>
      </c>
      <c r="C6381" t="inlineStr">
        <is>
          <t>BAF - Chuyên viên pháp chế(Mới)</t>
        </is>
      </c>
      <c r="D6381" t="inlineStr">
        <is>
          <t>Công ty Cổ phần Nông nghiệp BAF Việt Nam</t>
        </is>
      </c>
      <c r="E6381" t="inlineStr">
        <is>
          <t>Lương:18 Tr - 20 Tr VND</t>
        </is>
      </c>
      <c r="F6381" t="inlineStr">
        <is>
          <t>Hồ Chí Minh</t>
        </is>
      </c>
      <c r="G6381" t="inlineStr">
        <is>
          <t>17-04-2026</t>
        </is>
      </c>
      <c r="H6381" t="inlineStr">
        <is>
          <t>17/04/2026</t>
        </is>
      </c>
      <c r="I6381" t="inlineStr">
        <is>
          <t>17/03/2026</t>
        </is>
      </c>
      <c r="J6381" t="inlineStr">
        <is>
          <t>Luật / Pháp lý</t>
        </is>
      </c>
      <c r="K6381" t="inlineStr">
        <is>
          <t>7 - 10 Năm</t>
        </is>
      </c>
      <c r="L6381" s="8">
        <f>HYPERLINK("https://careerviet.vn/vi/tim-viec-lam/baf-chuyen-vien-phap-che.35C6CF86.html","Xem chi tiết")</f>
        <v/>
      </c>
    </row>
    <row r="6382">
      <c r="B6382" s="9" t="n">
        <v>6380</v>
      </c>
      <c r="C6382" s="10" t="inlineStr">
        <is>
          <t>Kỹ thuật điện(Mới)</t>
        </is>
      </c>
      <c r="D6382" s="10" t="inlineStr">
        <is>
          <t>CÔNG TY TNHH THANG MÁY VÀ THIẾT BỊ NÂNG MILANO</t>
        </is>
      </c>
      <c r="E6382" s="10" t="inlineStr">
        <is>
          <t>Lương:10 Tr - 30 Tr VND</t>
        </is>
      </c>
      <c r="F6382" s="10" t="inlineStr">
        <is>
          <t>Hà Nội</t>
        </is>
      </c>
      <c r="G6382" s="10" t="inlineStr">
        <is>
          <t>15-04-2026</t>
        </is>
      </c>
      <c r="H6382" s="10" t="inlineStr">
        <is>
          <t>15/04/2026</t>
        </is>
      </c>
      <c r="I6382" s="10" t="inlineStr">
        <is>
          <t>17/03/2026</t>
        </is>
      </c>
      <c r="J6382" s="10" t="inlineStr">
        <is>
          <t>Điện / Điện tử / Điện lạnh / Điện công nghiệp, Bảo trì / Sửa chữa, Cơ khí / Ô tô / Tự động hóa</t>
        </is>
      </c>
      <c r="K6382" s="10" t="inlineStr">
        <is>
          <t>Trên 1 Năm</t>
        </is>
      </c>
      <c r="L6382" s="11">
        <f>HYPERLINK("https://careerviet.vn/vi/tim-viec-lam/ky-thuat-dien.35C6CF78.html","Xem chi tiết")</f>
        <v/>
      </c>
      <c r="M6382" s="10" t="n"/>
    </row>
    <row r="6383">
      <c r="B6383" s="7" t="n">
        <v>6381</v>
      </c>
      <c r="C6383" t="inlineStr">
        <is>
          <t>Legal Counsel(Mới)</t>
        </is>
      </c>
      <c r="D6383" t="inlineStr">
        <is>
          <t>NINJA MART VIỆT NAM</t>
        </is>
      </c>
      <c r="E6383" t="inlineStr">
        <is>
          <t>Lương:Cạnh tranh</t>
        </is>
      </c>
      <c r="F6383" t="inlineStr">
        <is>
          <t>Hồ Chí Minh</t>
        </is>
      </c>
      <c r="G6383" t="inlineStr">
        <is>
          <t>15-04-2026</t>
        </is>
      </c>
      <c r="H6383" t="inlineStr">
        <is>
          <t>15/04/2026</t>
        </is>
      </c>
      <c r="I6383" t="inlineStr">
        <is>
          <t>17/03/2026</t>
        </is>
      </c>
      <c r="J6383" t="inlineStr">
        <is>
          <t>Luật / Pháp lý, Nhân sự</t>
        </is>
      </c>
      <c r="K6383" t="inlineStr">
        <is>
          <t>Trên 3 Năm</t>
        </is>
      </c>
      <c r="L6383" s="8">
        <f>HYPERLINK("https://careerviet.vn/vi/tim-viec-lam/legal-counsel.35C6CCD0.html","Xem chi tiết")</f>
        <v/>
      </c>
    </row>
    <row r="6384">
      <c r="B6384" s="9" t="n">
        <v>6382</v>
      </c>
      <c r="C6384" s="10" t="inlineStr">
        <is>
          <t>Nhân Viên Tư Vấn Sản Phẩm PG PB Điện Máy Xanh tại TX Hương Thủy, Thừa Thiên Huế(Mới)</t>
        </is>
      </c>
      <c r="D6384" s="10" t="inlineStr">
        <is>
          <t>Tập Đoàn Karofi Holding</t>
        </is>
      </c>
      <c r="E6384" s="10" t="inlineStr">
        <is>
          <t>Lương:8 Tr - 15 Tr VND</t>
        </is>
      </c>
      <c r="F6384" s="10" t="inlineStr">
        <is>
          <t>Thừa Thiên- Huế</t>
        </is>
      </c>
      <c r="G6384" s="10" t="inlineStr">
        <is>
          <t>14-04-2026</t>
        </is>
      </c>
      <c r="H6384" s="10" t="inlineStr">
        <is>
          <t>14/04/2026</t>
        </is>
      </c>
      <c r="I6384" s="10" t="inlineStr">
        <is>
          <t>17/03/2026</t>
        </is>
      </c>
      <c r="J6384" s="10" t="inlineStr">
        <is>
          <t>Hàng gia dụng / Chăm sóc cá nhân, Bán hàng / Kinh doanh, Điện / Điện tử / Điện lạnh / Điện công nghiệp</t>
        </is>
      </c>
      <c r="K6384" s="10" t="inlineStr">
        <is>
          <t>Chưa có kinh nghiệm</t>
        </is>
      </c>
      <c r="L6384" s="11">
        <f>HYPERLINK("https://careerviet.vn/vi/tim-viec-lam/nhan-vien-tu-van-san-pham-pg-pb-dien-may-xanh-tai-tx-huong-thuy-thua-thien-hue.35C6CF77.html","Xem chi tiết")</f>
        <v/>
      </c>
      <c r="M6384" s="10" t="n"/>
    </row>
    <row r="6385">
      <c r="B6385" s="7" t="n">
        <v>6383</v>
      </c>
      <c r="C6385" t="inlineStr">
        <is>
          <t>Chuyên viên Cao cấp Quản trị Giao dịch(Mới)</t>
        </is>
      </c>
      <c r="D6385" t="inlineStr">
        <is>
          <t>BIM Group</t>
        </is>
      </c>
      <c r="E6385" t="inlineStr">
        <is>
          <t>Lương:Cạnh tranh</t>
        </is>
      </c>
      <c r="F6385" t="inlineStr">
        <is>
          <t>Hà Nội</t>
        </is>
      </c>
      <c r="G6385" t="inlineStr">
        <is>
          <t>31-05-2026</t>
        </is>
      </c>
      <c r="H6385" t="inlineStr">
        <is>
          <t>31/05/2026</t>
        </is>
      </c>
      <c r="I6385" t="inlineStr">
        <is>
          <t>17/03/2026</t>
        </is>
      </c>
      <c r="J6385" t="inlineStr">
        <is>
          <t>Bất động sản, Luật / Pháp lý</t>
        </is>
      </c>
      <c r="K6385" t="inlineStr">
        <is>
          <t>Trên 5 Năm</t>
        </is>
      </c>
      <c r="L6385" s="8">
        <f>HYPERLINK("https://careerviet.vn/vi/tim-viec-lam/chuyen-vien-cao-cap-quan-tri-giao-dich.35C6CF7D.html","Xem chi tiết")</f>
        <v/>
      </c>
    </row>
    <row r="6386">
      <c r="B6386" s="9" t="n">
        <v>6384</v>
      </c>
      <c r="C6386" s="10" t="inlineStr">
        <is>
          <t>Industrial Engineering Manager(Mới)</t>
        </is>
      </c>
      <c r="D6386" s="10" t="inlineStr">
        <is>
          <t>Rochdale Spears Co., Ltd.</t>
        </is>
      </c>
      <c r="E6386" s="10" t="inlineStr">
        <is>
          <t>Lương:Cạnh tranh</t>
        </is>
      </c>
      <c r="F6386" s="10" t="inlineStr">
        <is>
          <t>Bình Dương</t>
        </is>
      </c>
      <c r="G6386" s="10" t="inlineStr">
        <is>
          <t>23-04-2026</t>
        </is>
      </c>
      <c r="H6386" s="10" t="inlineStr">
        <is>
          <t>23/04/2026</t>
        </is>
      </c>
      <c r="I6386" s="10" t="inlineStr">
        <is>
          <t>17/03/2026</t>
        </is>
      </c>
      <c r="J6386" s="10" t="inlineStr">
        <is>
          <t>Đồ gỗ, Nội ngoại thất</t>
        </is>
      </c>
      <c r="K6386" s="10" t="inlineStr">
        <is>
          <t>5 - 10 Năm</t>
        </is>
      </c>
      <c r="L6386" s="11">
        <f>HYPERLINK("https://careerviet.vn/vi/tim-viec-lam/industrial-engineering-manager.35C6CF79.html","Xem chi tiết")</f>
        <v/>
      </c>
      <c r="M6386" s="10" t="n"/>
    </row>
    <row r="6387">
      <c r="B6387" s="7" t="n">
        <v>6385</v>
      </c>
      <c r="C6387" t="inlineStr">
        <is>
          <t>Quay dựng phim(Mới)</t>
        </is>
      </c>
      <c r="D6387" t="inlineStr">
        <is>
          <t>Công ty Cổ phần Tập đoàn Gỗ Minh Long</t>
        </is>
      </c>
      <c r="E6387" t="inlineStr">
        <is>
          <t>Lương:15 Tr - 25 Tr VND</t>
        </is>
      </c>
      <c r="F6387" t="inlineStr">
        <is>
          <t>Hà Nội</t>
        </is>
      </c>
      <c r="G6387" t="inlineStr">
        <is>
          <t>31-03-2026</t>
        </is>
      </c>
      <c r="H6387" t="inlineStr">
        <is>
          <t>31/03/2026</t>
        </is>
      </c>
      <c r="I6387" t="inlineStr">
        <is>
          <t>17/03/2026</t>
        </is>
      </c>
      <c r="J6387" t="inlineStr">
        <is>
          <t>Mỹ thuật / Nghệ thuật / Thiết kế, Truyền hình / Báo chí / Biên tập, Quảng cáo / Đối ngoại / Truyền Thông</t>
        </is>
      </c>
      <c r="K6387" t="inlineStr">
        <is>
          <t>Trên 5 Năm</t>
        </is>
      </c>
      <c r="L6387" s="8">
        <f>HYPERLINK("https://careerviet.vn/vi/tim-viec-lam/quay-dung-phim.35C6CF62.html","Xem chi tiết")</f>
        <v/>
      </c>
    </row>
    <row r="6388">
      <c r="B6388" s="9" t="n">
        <v>6386</v>
      </c>
      <c r="C6388" s="10" t="inlineStr">
        <is>
          <t>Nhân Viên Vận Hành Máy (KCN Long Thành - Đồng Nai)(Mới)</t>
        </is>
      </c>
      <c r="D6388" s="10" t="inlineStr">
        <is>
          <t>CÔNG TY CỔ PHẦN DÂY CÁP ĐIỆN VIỆT NAM - CADIVI</t>
        </is>
      </c>
      <c r="E6388" s="10" t="inlineStr">
        <is>
          <t>Lương:9 Tr - 13 Tr VND</t>
        </is>
      </c>
      <c r="F6388" s="10" t="inlineStr">
        <is>
          <t>Đồng Nai</t>
        </is>
      </c>
      <c r="G6388" s="10" t="inlineStr">
        <is>
          <t>30-04-2026</t>
        </is>
      </c>
      <c r="H6388" s="10" t="inlineStr">
        <is>
          <t>30/04/2026</t>
        </is>
      </c>
      <c r="I6388" s="10" t="inlineStr">
        <is>
          <t>17/03/2026</t>
        </is>
      </c>
      <c r="J6388" s="10" t="inlineStr">
        <is>
          <t>Điện / Điện tử / Điện lạnh / Điện công nghiệp</t>
        </is>
      </c>
      <c r="K6388" s="10" t="inlineStr">
        <is>
          <t>N/A</t>
        </is>
      </c>
      <c r="L6388" s="11">
        <f>HYPERLINK("https://careerviet.vn/vi/tim-viec-lam/nhan-vien-van-hanh-may-kcn-long-thanh-dong-nai.35C6CEFE.html","Xem chi tiết")</f>
        <v/>
      </c>
      <c r="M6388" s="10" t="n"/>
    </row>
    <row r="6389">
      <c r="B6389" s="7" t="n">
        <v>6387</v>
      </c>
      <c r="C6389" t="inlineStr">
        <is>
          <t>NHÂN VIÊN KINH DOANH KÊNH GT - PHÂN BÓN(Mới)</t>
        </is>
      </c>
      <c r="D6389" t="inlineStr">
        <is>
          <t>CÔNG TY TNHH SX TM DV ĐẶNG GIA TRANG</t>
        </is>
      </c>
      <c r="E6389" t="inlineStr">
        <is>
          <t>Lương:13 Tr - 18 Tr VND</t>
        </is>
      </c>
      <c r="F6389" t="inlineStr">
        <is>
          <t>Hồ Chí Minh</t>
        </is>
      </c>
      <c r="G6389" t="inlineStr">
        <is>
          <t>30-04-2026</t>
        </is>
      </c>
      <c r="H6389" t="inlineStr">
        <is>
          <t>30/04/2026</t>
        </is>
      </c>
      <c r="I6389" t="inlineStr">
        <is>
          <t>17/03/2026</t>
        </is>
      </c>
      <c r="J6389" t="inlineStr">
        <is>
          <t>Bán hàng / Kinh doanh, Tiếp thị / Marketing, Hàng gia dụng / Chăm sóc cá nhân</t>
        </is>
      </c>
      <c r="K6389" t="inlineStr">
        <is>
          <t>Chưa có kinh nghiệm</t>
        </is>
      </c>
      <c r="L6389" s="8">
        <f>HYPERLINK("https://careerviet.vn/vi/tim-viec-lam/nhan-vien-kinh-doanh-kenh-gt-phan-bon.35C6CF69.html","Xem chi tiết")</f>
        <v/>
      </c>
    </row>
    <row r="6390">
      <c r="B6390" s="9" t="n">
        <v>6388</v>
      </c>
      <c r="C6390" s="10" t="inlineStr">
        <is>
          <t>Chuyên viên Kế Toán (tiếng Trung)</t>
        </is>
      </c>
      <c r="D6390" s="10" t="inlineStr">
        <is>
          <t>CÔNG TY TNHH SEMIR INTERNATIONAL VIỆT NAM</t>
        </is>
      </c>
      <c r="E6390" s="10" t="inlineStr">
        <is>
          <t>Lương:Cạnh tranh</t>
        </is>
      </c>
      <c r="F6390" s="10" t="inlineStr">
        <is>
          <t>Hồ Chí Minh</t>
        </is>
      </c>
      <c r="G6390" s="10" t="inlineStr">
        <is>
          <t>12-04-2026</t>
        </is>
      </c>
      <c r="H6390" s="10" t="inlineStr">
        <is>
          <t>12/04/2026</t>
        </is>
      </c>
      <c r="I6390" s="10" t="inlineStr">
        <is>
          <t>17/03/2026</t>
        </is>
      </c>
      <c r="J6390" s="10" t="inlineStr">
        <is>
          <t>Bán lẻ / Bán sỉ, Thương mại điện tử</t>
        </is>
      </c>
      <c r="K6390" s="10" t="inlineStr">
        <is>
          <t>2 - 5 Năm</t>
        </is>
      </c>
      <c r="L6390" s="11">
        <f>HYPERLINK("https://careerviet.vn/vi/tim-viec-lam/chuyen-vien-ke-toan-tieng-trung.35C653E6.html","Xem chi tiết")</f>
        <v/>
      </c>
      <c r="M6390" s="10" t="n"/>
    </row>
    <row r="6391">
      <c r="B6391" s="7" t="n">
        <v>6389</v>
      </c>
      <c r="C6391" t="inlineStr">
        <is>
          <t>KỸ THUẬT VIÊN BẢO TRÌ(Mới)</t>
        </is>
      </c>
      <c r="D6391" t="inlineStr">
        <is>
          <t>TAVN</t>
        </is>
      </c>
      <c r="E6391" t="inlineStr">
        <is>
          <t>Lương:Cạnh tranh</t>
        </is>
      </c>
      <c r="F6391" t="inlineStr">
        <is>
          <t>Đồng Nai</t>
        </is>
      </c>
      <c r="G6391" t="inlineStr">
        <is>
          <t>30-04-2026</t>
        </is>
      </c>
      <c r="H6391" t="inlineStr">
        <is>
          <t>30/04/2026</t>
        </is>
      </c>
      <c r="I6391" t="inlineStr">
        <is>
          <t>17/03/2026</t>
        </is>
      </c>
      <c r="J6391" t="inlineStr">
        <is>
          <t>Bảo trì / Sửa chữa, Sản xuất / Vận hành sản xuất, Cơ khí / Ô tô / Tự động hóa</t>
        </is>
      </c>
      <c r="K6391" t="inlineStr">
        <is>
          <t>N/A</t>
        </is>
      </c>
      <c r="L6391" s="8">
        <f>HYPERLINK("https://careerviet.vn/vi/tim-viec-lam/ky-thuat-vien-bao-tri.35C6CF61.html","Xem chi tiết")</f>
        <v/>
      </c>
    </row>
    <row r="6392">
      <c r="B6392" s="9" t="n">
        <v>6390</v>
      </c>
      <c r="C6392" s="10" t="inlineStr">
        <is>
          <t>CHUYÊN VIÊN TUYỂN DỤNG - HÀ NỘI(Mới)</t>
        </is>
      </c>
      <c r="D6392" s="10" t="inlineStr">
        <is>
          <t>Công Ty TNHH BEST Logistics Technology (Việt Nam)</t>
        </is>
      </c>
      <c r="E6392" s="10" t="inlineStr">
        <is>
          <t>Lương:12 Tr - 15 Tr VND</t>
        </is>
      </c>
      <c r="F6392" s="10" t="inlineStr">
        <is>
          <t>Hà Nội</t>
        </is>
      </c>
      <c r="G6392" s="10" t="inlineStr">
        <is>
          <t>30-04-2026</t>
        </is>
      </c>
      <c r="H6392" s="10" t="inlineStr">
        <is>
          <t>30/04/2026</t>
        </is>
      </c>
      <c r="I6392" s="10" t="inlineStr">
        <is>
          <t>17/03/2026</t>
        </is>
      </c>
      <c r="J6392" s="10" t="inlineStr">
        <is>
          <t>Vận chuyển / Giao nhận / Kho vận, Nhân sự, Ngành khác</t>
        </is>
      </c>
      <c r="K6392" s="10" t="inlineStr">
        <is>
          <t>1 - 2 Năm</t>
        </is>
      </c>
      <c r="L6392" s="11">
        <f>HYPERLINK("https://careerviet.vn/vi/tim-viec-lam/chuyen-vien-tuyen-dung-ha-noi.35C6CF6F.html","Xem chi tiết")</f>
        <v/>
      </c>
      <c r="M6392" s="10" t="n"/>
    </row>
    <row r="6393">
      <c r="B6393" s="7" t="n">
        <v>6391</v>
      </c>
      <c r="C6393" t="inlineStr">
        <is>
          <t>Chuyên viên quan hệ lao động(Mới)</t>
        </is>
      </c>
      <c r="D6393" t="inlineStr">
        <is>
          <t>Công Ty Cổ Phần Tập Đoàn Sunshine</t>
        </is>
      </c>
      <c r="E6393" t="inlineStr">
        <is>
          <t>Lương:12 Tr - 18 Tr VND</t>
        </is>
      </c>
      <c r="F6393" t="inlineStr">
        <is>
          <t>Hà Nội</t>
        </is>
      </c>
      <c r="G6393" t="inlineStr">
        <is>
          <t>17-04-2026</t>
        </is>
      </c>
      <c r="H6393" t="inlineStr">
        <is>
          <t>17/04/2026</t>
        </is>
      </c>
      <c r="I6393" t="inlineStr">
        <is>
          <t>17/03/2026</t>
        </is>
      </c>
      <c r="J6393" t="inlineStr">
        <is>
          <t>Nhân sự</t>
        </is>
      </c>
      <c r="K6393" t="inlineStr">
        <is>
          <t>Chưa có kinh nghiệm</t>
        </is>
      </c>
      <c r="L6393" s="8">
        <f>HYPERLINK("https://careerviet.vn/vi/tim-viec-lam/chuyen-vien-quan-he-lao-dong.35C6CF5F.html","Xem chi tiết")</f>
        <v/>
      </c>
    </row>
    <row r="6394">
      <c r="B6394" s="9" t="n">
        <v>6392</v>
      </c>
      <c r="C6394" s="10" t="inlineStr">
        <is>
          <t>Kỹ sư Thiết kế Năng lượng mặt trời (Rooftop Solar Engineer)(Mới)</t>
        </is>
      </c>
      <c r="D6394" s="10" t="inlineStr">
        <is>
          <t>Tập Đoàn Karofi Holding</t>
        </is>
      </c>
      <c r="E6394" s="10" t="inlineStr">
        <is>
          <t>Lương:15 Tr - 25 Tr VND</t>
        </is>
      </c>
      <c r="F6394" s="10" t="inlineStr">
        <is>
          <t>Hà Nội</t>
        </is>
      </c>
      <c r="G6394" s="10" t="inlineStr">
        <is>
          <t>29-04-2026</t>
        </is>
      </c>
      <c r="H6394" s="10" t="inlineStr">
        <is>
          <t>29/04/2026</t>
        </is>
      </c>
      <c r="I6394" s="10" t="inlineStr">
        <is>
          <t>17/03/2026</t>
        </is>
      </c>
      <c r="J6394" s="10" t="inlineStr">
        <is>
          <t>Điện / Điện tử / Điện lạnh / Điện công nghiệp</t>
        </is>
      </c>
      <c r="K6394" s="10" t="inlineStr">
        <is>
          <t>Trên 1 Năm</t>
        </is>
      </c>
      <c r="L6394" s="11">
        <f>HYPERLINK("https://careerviet.vn/vi/tim-viec-lam/ky-su-thiet-ke-nang-luong-mat-troi-rooftop-solar-engineer.35C6CF6B.html","Xem chi tiết")</f>
        <v/>
      </c>
      <c r="M6394" s="10" t="n"/>
    </row>
    <row r="6395">
      <c r="B6395" s="7" t="n">
        <v>6393</v>
      </c>
      <c r="C6395" t="inlineStr">
        <is>
          <t>Lái xe cho công ty(Mới)</t>
        </is>
      </c>
      <c r="D6395" t="inlineStr">
        <is>
          <t>CÔNG TY TNHH ĐẦU TƯ Y TẾ QUỐC TẾ DND – SÀI GÒN</t>
        </is>
      </c>
      <c r="E6395" t="inlineStr">
        <is>
          <t>Lương:Cạnh tranh</t>
        </is>
      </c>
      <c r="F6395" t="inlineStr">
        <is>
          <t>Hà Nội</t>
        </is>
      </c>
      <c r="G6395" t="inlineStr">
        <is>
          <t>31-03-2026</t>
        </is>
      </c>
      <c r="H6395" t="inlineStr">
        <is>
          <t>31/03/2026</t>
        </is>
      </c>
      <c r="I6395" t="inlineStr">
        <is>
          <t>17/03/2026</t>
        </is>
      </c>
      <c r="J6395" t="inlineStr">
        <is>
          <t>Vận chuyển / Giao nhận / Kho vận, Lao động phổ thông</t>
        </is>
      </c>
      <c r="K6395" t="inlineStr">
        <is>
          <t>Trên 1 Năm</t>
        </is>
      </c>
      <c r="L6395" s="8">
        <f>HYPERLINK("https://careerviet.vn/vi/tim-viec-lam/lai-xe-cho-cong-ty.35C6CF66.html","Xem chi tiết")</f>
        <v/>
      </c>
    </row>
    <row r="6396">
      <c r="B6396" s="9" t="n">
        <v>6394</v>
      </c>
      <c r="C6396" s="10" t="inlineStr">
        <is>
          <t>PRODUCTION SECTION MANAGER(Mới)</t>
        </is>
      </c>
      <c r="D6396" s="10" t="inlineStr">
        <is>
          <t>Action Composites Hightech Industries</t>
        </is>
      </c>
      <c r="E6396" s="10" t="inlineStr">
        <is>
          <t>Lương:Cạnh tranh</t>
        </is>
      </c>
      <c r="F6396" s="10" t="inlineStr">
        <is>
          <t>Đồng Nai</t>
        </is>
      </c>
      <c r="G6396" s="10" t="inlineStr">
        <is>
          <t>20-04-2026</t>
        </is>
      </c>
      <c r="H6396" s="10" t="inlineStr">
        <is>
          <t>20/04/2026</t>
        </is>
      </c>
      <c r="I6396" s="10" t="inlineStr">
        <is>
          <t>17/03/2026</t>
        </is>
      </c>
      <c r="J6396" s="10" t="inlineStr">
        <is>
          <t>Cơ khí / Ô tô / Tự động hóa, Sản xuất / Vận hành sản xuất, Quản lý chất lượng (QA/QC)</t>
        </is>
      </c>
      <c r="K6396" s="10" t="inlineStr">
        <is>
          <t>5 - 7 Năm</t>
        </is>
      </c>
      <c r="L6396" s="11">
        <f>HYPERLINK("https://careerviet.vn/vi/tim-viec-lam/production-section-manager.35C6CF44.html","Xem chi tiết")</f>
        <v/>
      </c>
      <c r="M6396" s="10" t="n"/>
    </row>
    <row r="6397">
      <c r="B6397" s="7" t="n">
        <v>6395</v>
      </c>
      <c r="C6397" t="inlineStr">
        <is>
          <t>Nhân viên bán hàng kính mắt(Mới)</t>
        </is>
      </c>
      <c r="D6397" t="inlineStr">
        <is>
          <t>CÔNG TY TNHH ĐẦU TƯ Y TẾ QUỐC TẾ DND – SÀI GÒN</t>
        </is>
      </c>
      <c r="E6397" t="inlineStr">
        <is>
          <t>Lương:Cạnh tranh</t>
        </is>
      </c>
      <c r="F6397" t="inlineStr">
        <is>
          <t>Hà Nội</t>
        </is>
      </c>
      <c r="G6397" t="inlineStr">
        <is>
          <t>20-04-2026</t>
        </is>
      </c>
      <c r="H6397" t="inlineStr">
        <is>
          <t>20/04/2026</t>
        </is>
      </c>
      <c r="I6397" t="inlineStr">
        <is>
          <t>17/03/2026</t>
        </is>
      </c>
      <c r="J6397" t="inlineStr">
        <is>
          <t>Bán hàng / Kinh doanh, Nhà hàng / Khách sạn, Hành chính / Thư ký</t>
        </is>
      </c>
      <c r="K6397" t="inlineStr">
        <is>
          <t>Lên đến 1 Năm</t>
        </is>
      </c>
      <c r="L6397" s="8">
        <f>HYPERLINK("https://careerviet.vn/vi/tim-viec-lam/nhan-vien-ban-hang-kinh-mat.35C6CF64.html","Xem chi tiết")</f>
        <v/>
      </c>
    </row>
    <row r="6398">
      <c r="B6398" s="9" t="n">
        <v>6396</v>
      </c>
      <c r="C6398" s="10" t="inlineStr">
        <is>
          <t>QC TEAM LEADER - KẾT CẤU THÉP (English required)(Mới)</t>
        </is>
      </c>
      <c r="D6398" s="10" t="inlineStr">
        <is>
          <t>CÔNG TY CỔ PHẦN KẾT CẤU THÉP QH PLUS (QHPS)</t>
        </is>
      </c>
      <c r="E6398" s="10" t="inlineStr">
        <is>
          <t>Lương:Cạnh tranh</t>
        </is>
      </c>
      <c r="F6398" s="10" t="inlineStr">
        <is>
          <t>Bà Rịa - Vũng Tàu</t>
        </is>
      </c>
      <c r="G6398" s="10" t="inlineStr">
        <is>
          <t>17-04-2026</t>
        </is>
      </c>
      <c r="H6398" s="10" t="inlineStr">
        <is>
          <t>17/04/2026</t>
        </is>
      </c>
      <c r="I6398" s="10" t="inlineStr">
        <is>
          <t>17/03/2026</t>
        </is>
      </c>
      <c r="J6398" s="10" t="inlineStr">
        <is>
          <t>Cơ khí / Ô tô / Tự động hóa, Kiến trúc, Xây dựng</t>
        </is>
      </c>
      <c r="K6398" s="10" t="inlineStr">
        <is>
          <t>2 - 5 Năm</t>
        </is>
      </c>
      <c r="L6398" s="11">
        <f>HYPERLINK("https://careerviet.vn/vi/tim-viec-lam/qc-team-leader-ket-cau-thep-english-required.35C6CF63.html","Xem chi tiết")</f>
        <v/>
      </c>
      <c r="M6398" s="10" t="n"/>
    </row>
    <row r="6399">
      <c r="B6399" s="7" t="n">
        <v>6397</v>
      </c>
      <c r="C6399" t="inlineStr">
        <is>
          <t>Nhân Viên Kế Hoạch - Long An(Mới)</t>
        </is>
      </c>
      <c r="D6399" t="inlineStr">
        <is>
          <t>Công Ty Cổ Phần Sản Xuất Nhựa Duy Tân</t>
        </is>
      </c>
      <c r="E6399" t="inlineStr">
        <is>
          <t>Lương:Cạnh tranh</t>
        </is>
      </c>
      <c r="F6399" t="inlineStr">
        <is>
          <t>Long An</t>
        </is>
      </c>
      <c r="G6399" t="inlineStr">
        <is>
          <t>14-04-2026</t>
        </is>
      </c>
      <c r="H6399" t="inlineStr">
        <is>
          <t>14/04/2026</t>
        </is>
      </c>
      <c r="I6399" t="inlineStr">
        <is>
          <t>17/03/2026</t>
        </is>
      </c>
      <c r="J6399" t="inlineStr">
        <is>
          <t>Sản xuất / Vận hành sản xuất</t>
        </is>
      </c>
      <c r="K6399" t="inlineStr">
        <is>
          <t>Lên đến 1 Năm</t>
        </is>
      </c>
      <c r="L6399" s="8">
        <f>HYPERLINK("https://careerviet.vn/vi/tim-viec-lam/nhan-vien-ke-hoach-long-an.35C6CF5E.html","Xem chi tiết")</f>
        <v/>
      </c>
    </row>
    <row r="6400">
      <c r="B6400" s="9" t="n">
        <v>6398</v>
      </c>
      <c r="C6400" s="10" t="inlineStr">
        <is>
          <t>Marketing Specialist – Product &amp; Branding(Mới)</t>
        </is>
      </c>
      <c r="D6400" s="10" t="inlineStr">
        <is>
          <t>Công Ty TNHH Taisun Việt Nam</t>
        </is>
      </c>
      <c r="E6400" s="10" t="inlineStr">
        <is>
          <t>Lương:Cạnh tranh</t>
        </is>
      </c>
      <c r="F6400" s="10" t="inlineStr">
        <is>
          <t>Hồ Chí Minh</t>
        </is>
      </c>
      <c r="G6400" s="10" t="inlineStr">
        <is>
          <t>15-04-2026</t>
        </is>
      </c>
      <c r="H6400" s="10" t="inlineStr">
        <is>
          <t>15/04/2026</t>
        </is>
      </c>
      <c r="I6400" s="10" t="inlineStr">
        <is>
          <t>17/03/2026</t>
        </is>
      </c>
      <c r="J6400" s="10" t="inlineStr">
        <is>
          <t>Tiếp thị / Marketing, Bán hàng / Kinh doanh, Tiếp thị trực tuyến</t>
        </is>
      </c>
      <c r="K6400" s="10" t="inlineStr">
        <is>
          <t>3 - 5 Năm</t>
        </is>
      </c>
      <c r="L6400" s="11">
        <f>HYPERLINK("https://careerviet.vn/vi/tim-viec-lam/marketing-specialist-product-branding.35C6CF60.html","Xem chi tiết")</f>
        <v/>
      </c>
      <c r="M6400" s="10" t="n"/>
    </row>
    <row r="6401">
      <c r="B6401" s="7" t="n">
        <v>6399</v>
      </c>
      <c r="C6401" t="inlineStr">
        <is>
          <t>Giáo viên Tâm lý Tiểu học - Pathway School(Mới)</t>
        </is>
      </c>
      <c r="D6401" t="inlineStr">
        <is>
          <t>Hệ thống trường Pathway Tuệ Đức</t>
        </is>
      </c>
      <c r="E6401" t="inlineStr">
        <is>
          <t>Lương:Cạnh tranh</t>
        </is>
      </c>
      <c r="F6401" t="inlineStr">
        <is>
          <t>Hồ Chí Minh</t>
        </is>
      </c>
      <c r="G6401" t="inlineStr">
        <is>
          <t>05-04-2026</t>
        </is>
      </c>
      <c r="H6401" t="inlineStr">
        <is>
          <t>05/04/2026</t>
        </is>
      </c>
      <c r="I6401" t="inlineStr">
        <is>
          <t>17/03/2026</t>
        </is>
      </c>
      <c r="J6401" t="inlineStr">
        <is>
          <t>Giáo dục / Đào tạo</t>
        </is>
      </c>
      <c r="K6401" t="inlineStr">
        <is>
          <t>2 - 3 Năm</t>
        </is>
      </c>
      <c r="L6401" s="8">
        <f>HYPERLINK("https://careerviet.vn/vi/tim-viec-lam/giao-vien-tam-ly-tieu-hoc-pathway-school.35C6D04A.html","Xem chi tiết")</f>
        <v/>
      </c>
    </row>
    <row r="6402">
      <c r="B6402" s="9" t="n">
        <v>6400</v>
      </c>
      <c r="C6402" s="10" t="inlineStr">
        <is>
          <t>Kế Toán Nội Bộ(Mới)</t>
        </is>
      </c>
      <c r="D6402" s="10" t="inlineStr">
        <is>
          <t>CÔNG TY CP ĐẦU TƯ KIẾN TRÚC &amp; NỘI THẤT MỘC XINH</t>
        </is>
      </c>
      <c r="E6402" s="10" t="inlineStr">
        <is>
          <t>Lương:8 Tr - 10 Tr VND</t>
        </is>
      </c>
      <c r="F6402" s="10" t="inlineStr">
        <is>
          <t>Hà Nội</t>
        </is>
      </c>
      <c r="G6402" s="10" t="inlineStr">
        <is>
          <t>16-04-2026</t>
        </is>
      </c>
      <c r="H6402" s="10" t="inlineStr">
        <is>
          <t>16/04/2026</t>
        </is>
      </c>
      <c r="I6402" s="10" t="inlineStr">
        <is>
          <t>17/03/2026</t>
        </is>
      </c>
      <c r="J6402" s="10" t="inlineStr">
        <is>
          <t>Luật / Pháp lý, Kế toán / Kiểm toán, Tài chính / Đầu tư</t>
        </is>
      </c>
      <c r="K6402" s="10" t="inlineStr">
        <is>
          <t>1 - 2 Năm</t>
        </is>
      </c>
      <c r="L6402" s="11">
        <f>HYPERLINK("https://careerviet.vn/vi/tim-viec-lam/ke-toan-noi-bo.35C6D053.html","Xem chi tiết")</f>
        <v/>
      </c>
      <c r="M6402" s="10" t="n"/>
    </row>
    <row r="6403">
      <c r="B6403" s="7" t="n">
        <v>6401</v>
      </c>
      <c r="C6403" t="inlineStr">
        <is>
          <t>Giáo viên Bộ môn Ngữ văn | Pathway School(Mới)</t>
        </is>
      </c>
      <c r="D6403" t="inlineStr">
        <is>
          <t>Hệ thống trường Pathway Tuệ Đức</t>
        </is>
      </c>
      <c r="E6403" t="inlineStr">
        <is>
          <t>Lương:Cạnh tranh</t>
        </is>
      </c>
      <c r="F6403" t="inlineStr">
        <is>
          <t>Hồ Chí Minh</t>
        </is>
      </c>
      <c r="G6403" t="inlineStr">
        <is>
          <t>31-03-2026</t>
        </is>
      </c>
      <c r="H6403" t="inlineStr">
        <is>
          <t>31/03/2026</t>
        </is>
      </c>
      <c r="I6403" t="inlineStr">
        <is>
          <t>17/03/2026</t>
        </is>
      </c>
      <c r="J6403" t="inlineStr">
        <is>
          <t>Giáo dục / Đào tạo</t>
        </is>
      </c>
      <c r="K6403" t="inlineStr">
        <is>
          <t>2 - 3 Năm</t>
        </is>
      </c>
      <c r="L6403" s="8">
        <f>HYPERLINK("https://careerviet.vn/vi/tim-viec-lam/giao-vien-bo-mon-ngu-van-pathway-school.35C6D051.html","Xem chi tiết")</f>
        <v/>
      </c>
    </row>
    <row r="6404">
      <c r="B6404" s="9" t="n">
        <v>6402</v>
      </c>
      <c r="C6404" s="10" t="inlineStr">
        <is>
          <t>Kỹ sư QS - Ban quản lý dự án(Mới)</t>
        </is>
      </c>
      <c r="D6404" s="10" t="inlineStr">
        <is>
          <t>CÔNG TY CP ĐẦU TƯ PHÁT TRIỂN TRÍ DƯƠNG</t>
        </is>
      </c>
      <c r="E6404" s="10" t="inlineStr">
        <is>
          <t>Lương:Cạnh tranh</t>
        </is>
      </c>
      <c r="F6404" s="10" t="inlineStr">
        <is>
          <t>Hà NộiNghệ AnHà Tĩnh</t>
        </is>
      </c>
      <c r="G6404" s="10" t="inlineStr">
        <is>
          <t>11-04-2026</t>
        </is>
      </c>
      <c r="H6404" s="10" t="inlineStr">
        <is>
          <t>11/04/2026</t>
        </is>
      </c>
      <c r="I6404" s="10" t="inlineStr">
        <is>
          <t>17/03/2026</t>
        </is>
      </c>
      <c r="J6404" s="10" t="inlineStr">
        <is>
          <t>Bất động sản, Xây dựng</t>
        </is>
      </c>
      <c r="K6404" s="10" t="inlineStr">
        <is>
          <t>4 - 5 Năm</t>
        </is>
      </c>
      <c r="L6404" s="11">
        <f>HYPERLINK("https://careerviet.vn/vi/tim-viec-lam/ky-su-qs-ban-quan-ly-du-an.35C6CF0E.html","Xem chi tiết")</f>
        <v/>
      </c>
      <c r="M6404" s="10" t="n"/>
    </row>
    <row r="6405">
      <c r="B6405" s="7" t="n">
        <v>6403</v>
      </c>
      <c r="C6405" t="inlineStr">
        <is>
          <t>Trưởng phòng Thiết kế nội thất(Mới)</t>
        </is>
      </c>
      <c r="D6405" t="inlineStr">
        <is>
          <t>Công ty TNHH Thiết kế nội thất &amp; Xây dựng SIO</t>
        </is>
      </c>
      <c r="E6405" t="inlineStr">
        <is>
          <t>Lương:18 Tr - 23 Tr VND</t>
        </is>
      </c>
      <c r="F6405" t="inlineStr">
        <is>
          <t>Hồ Chí Minh</t>
        </is>
      </c>
      <c r="G6405" t="inlineStr">
        <is>
          <t>31-08-2026</t>
        </is>
      </c>
      <c r="H6405" t="inlineStr">
        <is>
          <t>31/08/2026</t>
        </is>
      </c>
      <c r="I6405" t="inlineStr">
        <is>
          <t>17/03/2026</t>
        </is>
      </c>
      <c r="J6405" t="inlineStr">
        <is>
          <t>Mỹ thuật / Nghệ thuật / Thiết kế, Nội ngoại thất, Kiến trúc</t>
        </is>
      </c>
      <c r="K6405" t="inlineStr">
        <is>
          <t>3 - 5 Năm</t>
        </is>
      </c>
      <c r="L6405" s="8">
        <f>HYPERLINK("https://careerviet.vn/vi/tim-viec-lam/truong-phong-thiet-ke-noi-that.35C6D04B.html","Xem chi tiết")</f>
        <v/>
      </c>
    </row>
    <row r="6406">
      <c r="B6406" s="9" t="n">
        <v>6404</v>
      </c>
      <c r="C6406" s="10" t="inlineStr">
        <is>
          <t>[HCM] MARKETING EXECUTIVE(Mới)</t>
        </is>
      </c>
      <c r="D6406" s="10" t="inlineStr">
        <is>
          <t>CÔNG TY CỔ PHẦN GIAO DỊCH HÀNG HÓA ĐÔNG NAM Á</t>
        </is>
      </c>
      <c r="E6406" s="10" t="inlineStr">
        <is>
          <t>Lương:8 Tr - 10 Tr VND</t>
        </is>
      </c>
      <c r="F6406" s="10" t="inlineStr">
        <is>
          <t>Hồ Chí Minh</t>
        </is>
      </c>
      <c r="G6406" s="10" t="inlineStr">
        <is>
          <t>31-05-2026</t>
        </is>
      </c>
      <c r="H6406" s="10" t="inlineStr">
        <is>
          <t>31/05/2026</t>
        </is>
      </c>
      <c r="I6406" s="10" t="inlineStr">
        <is>
          <t>17/03/2026</t>
        </is>
      </c>
      <c r="J6406" s="10" t="inlineStr">
        <is>
          <t>Tài chính / Đầu tư</t>
        </is>
      </c>
      <c r="K6406" s="10" t="inlineStr">
        <is>
          <t>Lên đến 1 Năm</t>
        </is>
      </c>
      <c r="L6406" s="11">
        <f>HYPERLINK("https://careerviet.vn/vi/tim-viec-lam/hcm-marketing-executive.35C6CF58.html","Xem chi tiết")</f>
        <v/>
      </c>
      <c r="M6406" s="10" t="n"/>
    </row>
    <row r="6407">
      <c r="B6407" s="7" t="n">
        <v>6405</v>
      </c>
      <c r="C6407" t="inlineStr">
        <is>
          <t>Nhân viên Hành Chính(Mới)</t>
        </is>
      </c>
      <c r="D6407" t="inlineStr">
        <is>
          <t>Công Ty Cổ Phần Xây Dựng Phước Thành</t>
        </is>
      </c>
      <c r="E6407" t="inlineStr">
        <is>
          <t>Lương:Cạnh tranh</t>
        </is>
      </c>
      <c r="F6407" t="inlineStr">
        <is>
          <t>Hồ Chí Minh</t>
        </is>
      </c>
      <c r="G6407" t="inlineStr">
        <is>
          <t>17-04-2026</t>
        </is>
      </c>
      <c r="H6407" t="inlineStr">
        <is>
          <t>17/04/2026</t>
        </is>
      </c>
      <c r="I6407" t="inlineStr">
        <is>
          <t>17/03/2026</t>
        </is>
      </c>
      <c r="J6407" t="inlineStr">
        <is>
          <t>Hành chính / Thư ký</t>
        </is>
      </c>
      <c r="K6407" t="inlineStr">
        <is>
          <t>1 - 2 Năm</t>
        </is>
      </c>
      <c r="L6407" s="8">
        <f>HYPERLINK("https://careerviet.vn/vi/tim-viec-lam/nhan-vien-hanh-chinh.35C6D052.html","Xem chi tiết")</f>
        <v/>
      </c>
    </row>
    <row r="6408">
      <c r="B6408" s="9" t="n">
        <v>6406</v>
      </c>
      <c r="C6408" s="10" t="inlineStr">
        <is>
          <t>Chuyên Viên Mua Hàng Tiếng Trung (Up To 18 Triệu/Tháng)(Mới)</t>
        </is>
      </c>
      <c r="D6408" s="10" t="inlineStr">
        <is>
          <t>NHÀ SÁCH TIẾN THỌ</t>
        </is>
      </c>
      <c r="E6408" s="10" t="inlineStr">
        <is>
          <t>Lương:13 Tr - 18 Tr VND</t>
        </is>
      </c>
      <c r="F6408" s="10" t="inlineStr">
        <is>
          <t>Hà Nội</t>
        </is>
      </c>
      <c r="G6408" s="10" t="inlineStr">
        <is>
          <t>31-03-2026</t>
        </is>
      </c>
      <c r="H6408" s="10" t="inlineStr">
        <is>
          <t>31/03/2026</t>
        </is>
      </c>
      <c r="I6408" s="10" t="inlineStr">
        <is>
          <t>17/03/2026</t>
        </is>
      </c>
      <c r="J6408" s="10" t="inlineStr">
        <is>
          <t>Thu mua / Vật tư</t>
        </is>
      </c>
      <c r="K6408" s="10" t="inlineStr">
        <is>
          <t>2 - 3 Năm</t>
        </is>
      </c>
      <c r="L6408" s="11">
        <f>HYPERLINK("https://careerviet.vn/vi/tim-viec-lam/chuyen-vien-mua-hang-tieng-trung-up-to-18-trieu-thang.35C6D050.html","Xem chi tiết")</f>
        <v/>
      </c>
      <c r="M6408" s="10" t="n"/>
    </row>
    <row r="6409">
      <c r="B6409" s="7" t="n">
        <v>6407</v>
      </c>
      <c r="C6409" t="inlineStr">
        <is>
          <t>A&amp;P Senior Executive(Mới)</t>
        </is>
      </c>
      <c r="D6409" t="inlineStr">
        <is>
          <t>Trung tâm Thương mại SC VivoCity</t>
        </is>
      </c>
      <c r="E6409" t="inlineStr">
        <is>
          <t>Lương:20 Tr - 30 Tr VND</t>
        </is>
      </c>
      <c r="F6409" t="inlineStr">
        <is>
          <t>Hồ Chí Minh</t>
        </is>
      </c>
      <c r="G6409" t="inlineStr">
        <is>
          <t>31-03-2026</t>
        </is>
      </c>
      <c r="H6409" t="inlineStr">
        <is>
          <t>31/03/2026</t>
        </is>
      </c>
      <c r="I6409" t="inlineStr">
        <is>
          <t>17/03/2026</t>
        </is>
      </c>
      <c r="J6409" t="inlineStr">
        <is>
          <t>Tiếp thị / Marketing, Bán lẻ / Bán sỉ, Bất động sản</t>
        </is>
      </c>
      <c r="K6409" t="inlineStr">
        <is>
          <t>3 - 5 Năm</t>
        </is>
      </c>
      <c r="L6409" s="8">
        <f>HYPERLINK("https://careerviet.vn/vi/tim-viec-lam/a-p-senior-executive.35C6D028.html","Xem chi tiết")</f>
        <v/>
      </c>
    </row>
    <row r="6410">
      <c r="B6410" s="9" t="n">
        <v>6408</v>
      </c>
      <c r="C6410" s="10" t="inlineStr">
        <is>
          <t>NHÂN VIÊN VẬN HÀNH SIÊU THỊ(Mới)</t>
        </is>
      </c>
      <c r="D6410" s="10" t="inlineStr">
        <is>
          <t>Công Ty TNHH Thương Mại K&amp;K Toàn Cầu</t>
        </is>
      </c>
      <c r="E6410" s="10" t="inlineStr">
        <is>
          <t>Lương:8 Tr - 12 Tr VND</t>
        </is>
      </c>
      <c r="F6410" s="10" t="inlineStr">
        <is>
          <t>Hà Nội</t>
        </is>
      </c>
      <c r="G6410" s="10" t="inlineStr">
        <is>
          <t>16-04-2026</t>
        </is>
      </c>
      <c r="H6410" s="10" t="inlineStr">
        <is>
          <t>16/04/2026</t>
        </is>
      </c>
      <c r="I6410" s="10" t="inlineStr">
        <is>
          <t>17/03/2026</t>
        </is>
      </c>
      <c r="J6410" s="10" t="inlineStr">
        <is>
          <t>Bán lẻ / Bán sỉ, Bán hàng / Kinh doanh, Thực phẩm &amp; Đồ uống</t>
        </is>
      </c>
      <c r="K6410" s="10" t="inlineStr">
        <is>
          <t>1 - 2 Năm</t>
        </is>
      </c>
      <c r="L6410" s="11">
        <f>HYPERLINK("https://careerviet.vn/vi/tim-viec-lam/nhan-vien-van-hanh-sieu-thi.35C6D048.html","Xem chi tiết")</f>
        <v/>
      </c>
      <c r="M6410" s="10" t="n"/>
    </row>
    <row r="6411">
      <c r="B6411" s="7" t="n">
        <v>6409</v>
      </c>
      <c r="C6411" t="inlineStr">
        <is>
          <t>Ecommerce Team Leader(Mới)</t>
        </is>
      </c>
      <c r="D6411" t="inlineStr">
        <is>
          <t>Công ty TNHH Dược phẩm Lavifa</t>
        </is>
      </c>
      <c r="E6411" t="inlineStr">
        <is>
          <t>Lương:15 Tr - 22 Tr VND</t>
        </is>
      </c>
      <c r="F6411" t="inlineStr">
        <is>
          <t>Hồ Chí Minh</t>
        </is>
      </c>
      <c r="G6411" t="inlineStr">
        <is>
          <t>17-04-2026</t>
        </is>
      </c>
      <c r="H6411" t="inlineStr">
        <is>
          <t>17/04/2026</t>
        </is>
      </c>
      <c r="I6411" t="inlineStr">
        <is>
          <t>17/03/2026</t>
        </is>
      </c>
      <c r="J6411" t="inlineStr">
        <is>
          <t>Bán lẻ / Bán sỉ, Bán hàng / Kinh doanh, Thương mại điện tử</t>
        </is>
      </c>
      <c r="K6411" t="inlineStr">
        <is>
          <t>2 - 5 Năm</t>
        </is>
      </c>
      <c r="L6411" s="8">
        <f>HYPERLINK("https://careerviet.vn/vi/tim-viec-lam/ecommerce-team-leader.35C6D03C.html","Xem chi tiết")</f>
        <v/>
      </c>
    </row>
    <row r="6412">
      <c r="B6412" s="9" t="n">
        <v>6410</v>
      </c>
      <c r="C6412" s="10" t="inlineStr">
        <is>
          <t>Giáo viên Vật lý | Pathway School(Mới)</t>
        </is>
      </c>
      <c r="D6412" s="10" t="inlineStr">
        <is>
          <t>CareerViet's client</t>
        </is>
      </c>
      <c r="E6412" s="10" t="inlineStr">
        <is>
          <t>Lương:Cạnh tranh</t>
        </is>
      </c>
      <c r="F6412" s="10" t="inlineStr">
        <is>
          <t>Hồ Chí Minh</t>
        </is>
      </c>
      <c r="G6412" s="10" t="inlineStr">
        <is>
          <t>18-04-2026</t>
        </is>
      </c>
      <c r="H6412" s="10" t="inlineStr">
        <is>
          <t>18/04/2026</t>
        </is>
      </c>
      <c r="I6412" s="10" t="inlineStr">
        <is>
          <t>17/03/2026</t>
        </is>
      </c>
      <c r="J6412" s="10" t="inlineStr">
        <is>
          <t>Giáo dục / Đào tạo</t>
        </is>
      </c>
      <c r="K6412" s="10" t="inlineStr">
        <is>
          <t>2 - 3 Năm</t>
        </is>
      </c>
      <c r="L6412" s="11">
        <f>HYPERLINK("https://careerviet.vn/vi/tim-viec-lam/giao-vien-vat-ly-pathway-school.35C6D03D.html","Xem chi tiết")</f>
        <v/>
      </c>
      <c r="M6412" s="10" t="n"/>
    </row>
    <row r="6413">
      <c r="B6413" s="7" t="n">
        <v>6411</v>
      </c>
      <c r="C6413" t="inlineStr">
        <is>
          <t>Nhân Viên Bảo Mẫu | Pathway School(Mới)</t>
        </is>
      </c>
      <c r="D6413" t="inlineStr">
        <is>
          <t>Hệ thống trường Pathway Tuệ Đức</t>
        </is>
      </c>
      <c r="E6413" t="inlineStr">
        <is>
          <t>Lương:7 Tr - 8 Tr VND</t>
        </is>
      </c>
      <c r="F6413" t="inlineStr">
        <is>
          <t>Hồ Chí Minh</t>
        </is>
      </c>
      <c r="G6413" t="inlineStr">
        <is>
          <t>31-03-2026</t>
        </is>
      </c>
      <c r="H6413" t="inlineStr">
        <is>
          <t>31/03/2026</t>
        </is>
      </c>
      <c r="I6413" t="inlineStr">
        <is>
          <t>17/03/2026</t>
        </is>
      </c>
      <c r="J6413" t="inlineStr">
        <is>
          <t>Giáo dục / Đào tạo</t>
        </is>
      </c>
      <c r="K6413" t="inlineStr">
        <is>
          <t>1 - 3 Năm</t>
        </is>
      </c>
      <c r="L6413" s="8">
        <f>HYPERLINK("https://careerviet.vn/vi/tim-viec-lam/nhan-vien-bao-mau-pathway-school.35C6D045.html","Xem chi tiết")</f>
        <v/>
      </c>
    </row>
    <row r="6414">
      <c r="B6414" s="9" t="n">
        <v>6412</v>
      </c>
      <c r="C6414" s="10" t="inlineStr">
        <is>
          <t>Kiến trúc sư (Văn phòng)(Mới)</t>
        </is>
      </c>
      <c r="D6414" s="10" t="inlineStr">
        <is>
          <t>Công ty Cổ Phần Ánh Dương Building</t>
        </is>
      </c>
      <c r="E6414" s="10" t="inlineStr">
        <is>
          <t>Lương:18 Tr - 22 Tr VND</t>
        </is>
      </c>
      <c r="F6414" s="10" t="inlineStr">
        <is>
          <t>Hồ Chí Minh</t>
        </is>
      </c>
      <c r="G6414" s="10" t="inlineStr">
        <is>
          <t>30-04-2026</t>
        </is>
      </c>
      <c r="H6414" s="10" t="inlineStr">
        <is>
          <t>30/04/2026</t>
        </is>
      </c>
      <c r="I6414" s="10" t="inlineStr">
        <is>
          <t>17/03/2026</t>
        </is>
      </c>
      <c r="J6414" s="10" t="inlineStr">
        <is>
          <t>Xây dựng</t>
        </is>
      </c>
      <c r="K6414" s="10" t="inlineStr">
        <is>
          <t>1 - 3 Năm</t>
        </is>
      </c>
      <c r="L6414" s="11">
        <f>HYPERLINK("https://careerviet.vn/vi/tim-viec-lam/kien-truc-su-van-phong.35C6CFB5.html","Xem chi tiết")</f>
        <v/>
      </c>
      <c r="M6414" s="10" t="n"/>
    </row>
    <row r="6415">
      <c r="B6415" s="7" t="n">
        <v>6413</v>
      </c>
      <c r="C6415" t="inlineStr">
        <is>
          <t>Giáo viên Giáo dục Công dân - Quận 12 | Pathway school(Mới)</t>
        </is>
      </c>
      <c r="D6415" t="inlineStr">
        <is>
          <t>Hệ thống trường Pathway Tuệ Đức</t>
        </is>
      </c>
      <c r="E6415" t="inlineStr">
        <is>
          <t>Lương:Cạnh tranh</t>
        </is>
      </c>
      <c r="F6415" t="inlineStr">
        <is>
          <t>Hồ Chí Minh</t>
        </is>
      </c>
      <c r="G6415" t="inlineStr">
        <is>
          <t>27-03-2026</t>
        </is>
      </c>
      <c r="H6415" t="inlineStr">
        <is>
          <t>27/03/2026</t>
        </is>
      </c>
      <c r="I6415" t="inlineStr">
        <is>
          <t>17/03/2026</t>
        </is>
      </c>
      <c r="J6415" t="inlineStr">
        <is>
          <t>Giáo dục / Đào tạo</t>
        </is>
      </c>
      <c r="K6415" t="inlineStr">
        <is>
          <t>2 - 3 Năm</t>
        </is>
      </c>
      <c r="L6415" s="8">
        <f>HYPERLINK("https://careerviet.vn/vi/tim-viec-lam/giao-vien-giao-duc-cong-dan-quan-12-pathway-school.35C6D036.html","Xem chi tiết")</f>
        <v/>
      </c>
    </row>
    <row r="6416">
      <c r="B6416" s="9" t="n">
        <v>6414</v>
      </c>
      <c r="C6416" s="10" t="inlineStr">
        <is>
          <t>Lễ tân Phòng tập Pilates (Fulltime/Parttime)(Mới)</t>
        </is>
      </c>
      <c r="D6416" s="10" t="inlineStr">
        <is>
          <t>CÔNG TY CỔ PHẦN PHÁT TRIỂN DỊCH VỤ VÀ THƯƠNG MẠI QUỐC AN</t>
        </is>
      </c>
      <c r="E6416" s="10" t="inlineStr">
        <is>
          <t>Lương:7 Tr - 9 Tr VND</t>
        </is>
      </c>
      <c r="F6416" s="10" t="inlineStr">
        <is>
          <t>Hà Nội</t>
        </is>
      </c>
      <c r="G6416" s="10" t="inlineStr">
        <is>
          <t>18-04-2026</t>
        </is>
      </c>
      <c r="H6416" s="10" t="inlineStr">
        <is>
          <t>18/04/2026</t>
        </is>
      </c>
      <c r="I6416" s="10" t="inlineStr">
        <is>
          <t>17/03/2026</t>
        </is>
      </c>
      <c r="J6416" s="10" t="inlineStr">
        <is>
          <t>Y tế / Chăm sóc sức khỏe / Thẩm mỹ / Làm đẹp, Hành chính / Thư ký</t>
        </is>
      </c>
      <c r="K6416" s="10" t="inlineStr">
        <is>
          <t>N/A</t>
        </is>
      </c>
      <c r="L6416" s="11">
        <f>HYPERLINK("https://careerviet.vn/vi/tim-viec-lam/le-tan-phong-tap-pilates-fulltime-parttime.35C6D031.html","Xem chi tiết")</f>
        <v/>
      </c>
      <c r="M6416" s="10" t="n"/>
    </row>
    <row r="6417">
      <c r="B6417" s="7" t="n">
        <v>6415</v>
      </c>
      <c r="C6417" t="inlineStr">
        <is>
          <t>NHÂN VIÊN KẾ TOÁN(Mới)</t>
        </is>
      </c>
      <c r="D6417" t="inlineStr">
        <is>
          <t>CÔNG TY TNHH KHAI THÁC THỦY HẢI SẢN THƯƠNG MẠI BIỂN SÁNG</t>
        </is>
      </c>
      <c r="E6417" t="inlineStr">
        <is>
          <t>Lương:12 Tr - 15 Tr VND</t>
        </is>
      </c>
      <c r="F6417" t="inlineStr">
        <is>
          <t>Hồ Chí Minh</t>
        </is>
      </c>
      <c r="G6417" t="inlineStr">
        <is>
          <t>17-04-2026</t>
        </is>
      </c>
      <c r="H6417" t="inlineStr">
        <is>
          <t>17/04/2026</t>
        </is>
      </c>
      <c r="I6417" t="inlineStr">
        <is>
          <t>17/03/2026</t>
        </is>
      </c>
      <c r="J6417" t="inlineStr">
        <is>
          <t>Kế toán / Kiểm toán, Tài chính / Đầu tư, Ngân hàng</t>
        </is>
      </c>
      <c r="K6417" t="inlineStr">
        <is>
          <t>Trên 3 Năm</t>
        </is>
      </c>
      <c r="L6417" s="8">
        <f>HYPERLINK("https://careerviet.vn/vi/tim-viec-lam/nhan-vien-ke-toan.35C6D037.html","Xem chi tiết")</f>
        <v/>
      </c>
    </row>
    <row r="6418">
      <c r="B6418" s="9" t="n">
        <v>6416</v>
      </c>
      <c r="C6418" s="10" t="inlineStr">
        <is>
          <t>Lái xe nâng hàng(Mới)</t>
        </is>
      </c>
      <c r="D6418" s="10" t="inlineStr">
        <is>
          <t>Công Ty CP XNK Hóa Chất &amp; Thiết Bị Kim Ngưu</t>
        </is>
      </c>
      <c r="E6418" s="10" t="inlineStr">
        <is>
          <t>Lương:9 Tr - 11 Tr VND</t>
        </is>
      </c>
      <c r="F6418" s="10" t="inlineStr">
        <is>
          <t>Hưng Yên</t>
        </is>
      </c>
      <c r="G6418" s="10" t="inlineStr">
        <is>
          <t>29-04-2026</t>
        </is>
      </c>
      <c r="H6418" s="10" t="inlineStr">
        <is>
          <t>29/04/2026</t>
        </is>
      </c>
      <c r="I6418" s="10" t="inlineStr">
        <is>
          <t>17/03/2026</t>
        </is>
      </c>
      <c r="J6418" s="10" t="inlineStr">
        <is>
          <t>Sản xuất / Vận hành sản xuất</t>
        </is>
      </c>
      <c r="K6418" s="10" t="inlineStr">
        <is>
          <t>1 - 2 Năm</t>
        </is>
      </c>
      <c r="L6418" s="11">
        <f>HYPERLINK("https://careerviet.vn/vi/tim-viec-lam/lai-xe-nang-hang.35C6D032.html","Xem chi tiết")</f>
        <v/>
      </c>
      <c r="M6418" s="10" t="n"/>
    </row>
    <row r="6419">
      <c r="B6419" s="7" t="n">
        <v>6417</v>
      </c>
      <c r="C6419" t="inlineStr">
        <is>
          <t>Partnership &amp; Business Development (Intern)(Mới)</t>
        </is>
      </c>
      <c r="D6419" t="inlineStr">
        <is>
          <t>PPP Laser Clinic Viet Nam</t>
        </is>
      </c>
      <c r="E6419" t="inlineStr">
        <is>
          <t>Lương:Cạnh tranh</t>
        </is>
      </c>
      <c r="F6419" t="inlineStr">
        <is>
          <t>Hồ Chí Minh</t>
        </is>
      </c>
      <c r="G6419" t="inlineStr">
        <is>
          <t>16-04-2026</t>
        </is>
      </c>
      <c r="H6419" t="inlineStr">
        <is>
          <t>16/04/2026</t>
        </is>
      </c>
      <c r="I6419" t="inlineStr">
        <is>
          <t>17/03/2026</t>
        </is>
      </c>
      <c r="J6419" t="inlineStr">
        <is>
          <t>Tiếp thị / Marketing, Bán hàng / Kinh doanh, Tiếp thị trực tuyến</t>
        </is>
      </c>
      <c r="K6419" t="inlineStr">
        <is>
          <t>N/A</t>
        </is>
      </c>
      <c r="L6419" s="8">
        <f>HYPERLINK("https://careerviet.vn/vi/tim-viec-lam/partnership-business-development-intern.35C6D030.html","Xem chi tiết")</f>
        <v/>
      </c>
    </row>
    <row r="6420">
      <c r="B6420" s="9" t="n">
        <v>6418</v>
      </c>
      <c r="C6420" s="10" t="inlineStr">
        <is>
          <t>Thực tập sinh kế toán(Mới)</t>
        </is>
      </c>
      <c r="D6420" s="10" t="inlineStr">
        <is>
          <t>CÔNG TY CỔ PHẦN ĐẦU TƯ BẤT ĐỘNG SẢN LÊ VIN LAND</t>
        </is>
      </c>
      <c r="E6420" s="10" t="inlineStr">
        <is>
          <t>Lương:Cạnh tranh</t>
        </is>
      </c>
      <c r="F6420" s="10" t="inlineStr">
        <is>
          <t>Hồ Chí Minh</t>
        </is>
      </c>
      <c r="G6420" s="10" t="inlineStr">
        <is>
          <t>01-04-2026</t>
        </is>
      </c>
      <c r="H6420" s="10" t="inlineStr">
        <is>
          <t>01/04/2026</t>
        </is>
      </c>
      <c r="I6420" s="10" t="inlineStr">
        <is>
          <t>17/03/2026</t>
        </is>
      </c>
      <c r="J6420" s="10" t="inlineStr">
        <is>
          <t>Kế toán / Kiểm toán</t>
        </is>
      </c>
      <c r="K6420" s="10" t="inlineStr">
        <is>
          <t>N/A</t>
        </is>
      </c>
      <c r="L6420" s="11">
        <f>HYPERLINK("https://careerviet.vn/vi/tim-viec-lam/thuc-tap-sinh-ke-toan.35C6D046.html","Xem chi tiết")</f>
        <v/>
      </c>
      <c r="M6420" s="10" t="n"/>
    </row>
    <row r="6421">
      <c r="B6421" s="7" t="n">
        <v>6419</v>
      </c>
      <c r="C6421" t="inlineStr">
        <is>
          <t>Giáo viên Mỹ thuật - Quận 12 | Pathway School(Mới)</t>
        </is>
      </c>
      <c r="D6421" t="inlineStr">
        <is>
          <t>Hệ thống trường Pathway Tuệ Đức</t>
        </is>
      </c>
      <c r="E6421" t="inlineStr">
        <is>
          <t>Lương:Cạnh tranh</t>
        </is>
      </c>
      <c r="F6421" t="inlineStr">
        <is>
          <t>Hồ Chí Minh</t>
        </is>
      </c>
      <c r="G6421" t="inlineStr">
        <is>
          <t>27-03-2026</t>
        </is>
      </c>
      <c r="H6421" t="inlineStr">
        <is>
          <t>27/03/2026</t>
        </is>
      </c>
      <c r="I6421" t="inlineStr">
        <is>
          <t>17/03/2026</t>
        </is>
      </c>
      <c r="J6421" t="inlineStr">
        <is>
          <t>Giáo dục / Đào tạo, Mỹ thuật / Nghệ thuật / Thiết kế</t>
        </is>
      </c>
      <c r="K6421" t="inlineStr">
        <is>
          <t>1 - 2 Năm</t>
        </is>
      </c>
      <c r="L6421" s="8">
        <f>HYPERLINK("https://careerviet.vn/vi/tim-viec-lam/giao-vien-my-thuat-quan-12-pathway-school.35C6D00A.html","Xem chi tiết")</f>
        <v/>
      </c>
    </row>
    <row r="6422">
      <c r="B6422" s="9" t="n">
        <v>6420</v>
      </c>
      <c r="C6422" s="10" t="inlineStr">
        <is>
          <t>Sales Administrator(Mới)</t>
        </is>
      </c>
      <c r="D6422" s="10" t="inlineStr">
        <is>
          <t>INDOGUNA VINA FOOD SERVICE (INDV)</t>
        </is>
      </c>
      <c r="E6422" s="10" t="inlineStr">
        <is>
          <t>Lương:Cạnh tranh</t>
        </is>
      </c>
      <c r="F6422" s="10" t="inlineStr">
        <is>
          <t>Hà Nội</t>
        </is>
      </c>
      <c r="G6422" s="10" t="inlineStr">
        <is>
          <t>29-04-2026</t>
        </is>
      </c>
      <c r="H6422" s="10" t="inlineStr">
        <is>
          <t>29/04/2026</t>
        </is>
      </c>
      <c r="I6422" s="10" t="inlineStr">
        <is>
          <t>17/03/2026</t>
        </is>
      </c>
      <c r="J6422" s="10" t="inlineStr">
        <is>
          <t>Hành chính / Thư ký, Dịch vụ khách hàng, Bán hàng / Kinh doanh</t>
        </is>
      </c>
      <c r="K6422" s="10" t="inlineStr">
        <is>
          <t>2 - 3 Năm</t>
        </is>
      </c>
      <c r="L6422" s="11">
        <f>HYPERLINK("https://careerviet.vn/vi/tim-viec-lam/sales-administrator.35C6D038.html","Xem chi tiết")</f>
        <v/>
      </c>
      <c r="M6422" s="10" t="n"/>
    </row>
    <row r="6423">
      <c r="B6423" s="7" t="n">
        <v>6421</v>
      </c>
      <c r="C6423" t="inlineStr">
        <is>
          <t>Trợ lý Ban Giám Hiệu Trung học - Pathway School(Mới)</t>
        </is>
      </c>
      <c r="D6423" t="inlineStr">
        <is>
          <t>Hệ thống trường Pathway Tuệ Đức</t>
        </is>
      </c>
      <c r="E6423" t="inlineStr">
        <is>
          <t>Lương:Cạnh tranh</t>
        </is>
      </c>
      <c r="F6423" t="inlineStr">
        <is>
          <t>Hồ Chí Minh</t>
        </is>
      </c>
      <c r="G6423" t="inlineStr">
        <is>
          <t>31-03-2026</t>
        </is>
      </c>
      <c r="H6423" t="inlineStr">
        <is>
          <t>31/03/2026</t>
        </is>
      </c>
      <c r="I6423" t="inlineStr">
        <is>
          <t>17/03/2026</t>
        </is>
      </c>
      <c r="J6423" t="inlineStr">
        <is>
          <t>Giáo dục / Đào tạo, Quản lý điều hành</t>
        </is>
      </c>
      <c r="K6423" t="inlineStr">
        <is>
          <t>3 - 5 Năm</t>
        </is>
      </c>
      <c r="L6423" s="8">
        <f>HYPERLINK("https://careerviet.vn/vi/tim-viec-lam/tro-ly-ban-giam-hieu-trung-hoc-pathway-school.35C6D034.html","Xem chi tiết")</f>
        <v/>
      </c>
    </row>
    <row r="6424">
      <c r="B6424" s="9" t="n">
        <v>6422</v>
      </c>
      <c r="C6424" s="10" t="inlineStr">
        <is>
          <t>Kỹ sư xây dựng(Mới)</t>
        </is>
      </c>
      <c r="D6424" s="10" t="inlineStr">
        <is>
          <t>CÔNG TY CỔ PHẦN SẢN XUẤT VÀ BẢO DƯỠNG THIẾT BỊ HÀNG KHÔNG</t>
        </is>
      </c>
      <c r="E6424" s="10" t="inlineStr">
        <is>
          <t>Lương:Cạnh tranh</t>
        </is>
      </c>
      <c r="F6424" s="10" t="inlineStr">
        <is>
          <t>Hải Phòng</t>
        </is>
      </c>
      <c r="G6424" s="10" t="inlineStr">
        <is>
          <t>25-04-2026</t>
        </is>
      </c>
      <c r="H6424" s="10" t="inlineStr">
        <is>
          <t>25/04/2026</t>
        </is>
      </c>
      <c r="I6424" s="10" t="inlineStr">
        <is>
          <t>17/03/2026</t>
        </is>
      </c>
      <c r="J6424" s="10" t="inlineStr">
        <is>
          <t>Cơ khí / Ô tô / Tự động hóa, Điện / Điện tử / Điện lạnh / Điện công nghiệp, Bảo trì / Sửa chữa</t>
        </is>
      </c>
      <c r="K6424" s="10" t="inlineStr">
        <is>
          <t>Trên 2 Năm</t>
        </is>
      </c>
      <c r="L6424" s="11">
        <f>HYPERLINK("https://careerviet.vn/vi/tim-viec-lam/ky-su-xay-dung.35C6D024.html","Xem chi tiết")</f>
        <v/>
      </c>
      <c r="M6424" s="10" t="n"/>
    </row>
    <row r="6425">
      <c r="B6425" s="7" t="n">
        <v>6423</v>
      </c>
      <c r="C6425" t="inlineStr">
        <is>
          <t>Customer Service Officer(Mới)</t>
        </is>
      </c>
      <c r="D6425" t="inlineStr">
        <is>
          <t>Trung tâm Thương mại SC VivoCity</t>
        </is>
      </c>
      <c r="E6425" t="inlineStr">
        <is>
          <t>Lương:Trên 9 Tr VND</t>
        </is>
      </c>
      <c r="F6425" t="inlineStr">
        <is>
          <t>Hồ Chí Minh</t>
        </is>
      </c>
      <c r="G6425" t="inlineStr">
        <is>
          <t>31-03-2026</t>
        </is>
      </c>
      <c r="H6425" t="inlineStr">
        <is>
          <t>31/03/2026</t>
        </is>
      </c>
      <c r="I6425" t="inlineStr">
        <is>
          <t>17/03/2026</t>
        </is>
      </c>
      <c r="J6425" t="inlineStr">
        <is>
          <t>Dịch vụ khách hàng, Bán lẻ / Bán sỉ, Nhà hàng / Khách sạn</t>
        </is>
      </c>
      <c r="K6425" t="inlineStr">
        <is>
          <t>1 - 2 Năm</t>
        </is>
      </c>
      <c r="L6425" s="8">
        <f>HYPERLINK("https://careerviet.vn/vi/tim-viec-lam/customer-service-officer.35C6D022.html","Xem chi tiết")</f>
        <v/>
      </c>
    </row>
    <row r="6426">
      <c r="B6426" s="9" t="n">
        <v>6424</v>
      </c>
      <c r="C6426" s="10" t="inlineStr">
        <is>
          <t>Lease Management  Executive(Mới)</t>
        </is>
      </c>
      <c r="D6426" s="10" t="inlineStr">
        <is>
          <t>Trung tâm Thương mại SC VivoCity</t>
        </is>
      </c>
      <c r="E6426" s="10" t="inlineStr">
        <is>
          <t>Lương:Cạnh tranh</t>
        </is>
      </c>
      <c r="F6426" s="10" t="inlineStr">
        <is>
          <t>Hồ Chí Minh</t>
        </is>
      </c>
      <c r="G6426" s="10" t="inlineStr">
        <is>
          <t>31-03-2026</t>
        </is>
      </c>
      <c r="H6426" s="10" t="inlineStr">
        <is>
          <t>31/03/2026</t>
        </is>
      </c>
      <c r="I6426" s="10" t="inlineStr">
        <is>
          <t>17/03/2026</t>
        </is>
      </c>
      <c r="J6426" s="10" t="inlineStr">
        <is>
          <t>Bất động sản, Bán lẻ / Bán sỉ</t>
        </is>
      </c>
      <c r="K6426" s="10" t="inlineStr">
        <is>
          <t>1 - 3 Năm</t>
        </is>
      </c>
      <c r="L6426" s="11">
        <f>HYPERLINK("https://careerviet.vn/vi/tim-viec-lam/lease-management-executive.35C6D020.html","Xem chi tiết")</f>
        <v/>
      </c>
      <c r="M6426" s="10" t="n"/>
    </row>
    <row r="6427">
      <c r="B6427" s="7" t="n">
        <v>6425</v>
      </c>
      <c r="C6427" t="inlineStr">
        <is>
          <t>Chuyên viên kinh doanh(Mới)</t>
        </is>
      </c>
      <c r="D6427" t="inlineStr">
        <is>
          <t>Bảo mật</t>
        </is>
      </c>
      <c r="E6427" t="inlineStr">
        <is>
          <t>Lương:Cạnh tranh</t>
        </is>
      </c>
      <c r="F6427" t="inlineStr">
        <is>
          <t>Hồ Chí Minh</t>
        </is>
      </c>
      <c r="G6427" t="inlineStr">
        <is>
          <t>04-04-2026</t>
        </is>
      </c>
      <c r="H6427" t="inlineStr">
        <is>
          <t>04/04/2026</t>
        </is>
      </c>
      <c r="I6427" t="inlineStr">
        <is>
          <t>17/03/2026</t>
        </is>
      </c>
      <c r="J6427" t="inlineStr">
        <is>
          <t>Bán hàng / Kinh doanh</t>
        </is>
      </c>
      <c r="K6427" t="inlineStr">
        <is>
          <t>2 - 6 Năm</t>
        </is>
      </c>
      <c r="L6427" s="8">
        <f>HYPERLINK("https://careerviet.vn/vi/tim-viec-lam/chuyen-vien-kinh-doanh.35C6D02C.html","Xem chi tiết")</f>
        <v/>
      </c>
    </row>
    <row r="6428">
      <c r="B6428" s="9" t="n">
        <v>6426</v>
      </c>
      <c r="C6428" s="10" t="inlineStr">
        <is>
          <t>TRƯỞNG/ PHÓ BỘ PHẬN KỸ THUẬT – THIẾT KẾ KẾT CẤU KIẾN TRÚC &amp; XÂY DỰNG(Mới)</t>
        </is>
      </c>
      <c r="D6428" s="10" t="inlineStr">
        <is>
          <t>CÔNG TY TNHH PCCC TÂN LONG HẢI</t>
        </is>
      </c>
      <c r="E6428" s="10" t="inlineStr">
        <is>
          <t>Lương:30 Tr - 45 Tr VND</t>
        </is>
      </c>
      <c r="F6428" s="10" t="inlineStr">
        <is>
          <t>Hồ Chí Minh</t>
        </is>
      </c>
      <c r="G6428" s="10" t="inlineStr">
        <is>
          <t>16-04-2026</t>
        </is>
      </c>
      <c r="H6428" s="10" t="inlineStr">
        <is>
          <t>16/04/2026</t>
        </is>
      </c>
      <c r="I6428" s="10" t="inlineStr">
        <is>
          <t>17/03/2026</t>
        </is>
      </c>
      <c r="J6428" s="10" t="inlineStr">
        <is>
          <t>Kiến trúc, Xây dựng, Quản lý điều hành</t>
        </is>
      </c>
      <c r="K6428" s="10" t="inlineStr">
        <is>
          <t>Trên 5 Năm</t>
        </is>
      </c>
      <c r="L6428" s="11">
        <f>HYPERLINK("https://careerviet.vn/vi/tim-viec-lam/truong-pho-bo-phan-ky-thuat-thiet-ke-ket-cau-kien-truc-xay-dung.35C6D03B.html","Xem chi tiết")</f>
        <v/>
      </c>
      <c r="M6428" s="10" t="n"/>
    </row>
    <row r="6429">
      <c r="B6429" s="7" t="n">
        <v>6427</v>
      </c>
      <c r="C6429" t="inlineStr">
        <is>
          <t>E-commerce Marketplace Executive(Mới)</t>
        </is>
      </c>
      <c r="D6429" t="inlineStr">
        <is>
          <t>PPP Laser Clinic Viet Nam</t>
        </is>
      </c>
      <c r="E6429" t="inlineStr">
        <is>
          <t>Lương:Cạnh tranh</t>
        </is>
      </c>
      <c r="F6429" t="inlineStr">
        <is>
          <t>Hồ Chí Minh</t>
        </is>
      </c>
      <c r="G6429" t="inlineStr">
        <is>
          <t>16-04-2026</t>
        </is>
      </c>
      <c r="H6429" t="inlineStr">
        <is>
          <t>16/04/2026</t>
        </is>
      </c>
      <c r="I6429" t="inlineStr">
        <is>
          <t>17/03/2026</t>
        </is>
      </c>
      <c r="J6429" t="inlineStr">
        <is>
          <t>Quảng cáo / Đối ngoại / Truyền Thông, Truyền hình / Báo chí / Biên tập, Tiếp thị / Marketing</t>
        </is>
      </c>
      <c r="K6429" t="inlineStr">
        <is>
          <t>Trên 2 Năm</t>
        </is>
      </c>
      <c r="L6429" s="8">
        <f>HYPERLINK("https://careerviet.vn/vi/tim-viec-lam/e-commerce-marketplace-executive.35C6D002.html","Xem chi tiết")</f>
        <v/>
      </c>
    </row>
    <row r="6430">
      <c r="B6430" s="9" t="n">
        <v>6428</v>
      </c>
      <c r="C6430" s="10" t="inlineStr">
        <is>
          <t>Thực tập sinh Kế toán(Mới)</t>
        </is>
      </c>
      <c r="D6430" s="10" t="inlineStr">
        <is>
          <t>Công ty cổ phần Tập đoàn Danko</t>
        </is>
      </c>
      <c r="E6430" s="10" t="inlineStr">
        <is>
          <t>Lương:3 Tr - 4 Tr VND</t>
        </is>
      </c>
      <c r="F6430" s="10" t="inlineStr">
        <is>
          <t>Hà Nội</t>
        </is>
      </c>
      <c r="G6430" s="10" t="inlineStr">
        <is>
          <t>30-04-2026</t>
        </is>
      </c>
      <c r="H6430" s="10" t="inlineStr">
        <is>
          <t>30/04/2026</t>
        </is>
      </c>
      <c r="I6430" s="10" t="inlineStr">
        <is>
          <t>17/03/2026</t>
        </is>
      </c>
      <c r="J6430" s="10" t="inlineStr">
        <is>
          <t>Kế toán / Kiểm toán</t>
        </is>
      </c>
      <c r="K6430" s="10" t="inlineStr">
        <is>
          <t>N/A</t>
        </is>
      </c>
      <c r="L6430" s="11">
        <f>HYPERLINK("https://careerviet.vn/vi/tim-viec-lam/thuc-tap-sinh-ke-toan.35C6D019.html","Xem chi tiết")</f>
        <v/>
      </c>
      <c r="M6430" s="10" t="n"/>
    </row>
    <row r="6431">
      <c r="B6431" s="7" t="n">
        <v>6429</v>
      </c>
      <c r="C6431" t="inlineStr">
        <is>
          <t>Giám sát vận tải(Mới)</t>
        </is>
      </c>
      <c r="D6431" t="inlineStr">
        <is>
          <t>Vietnam Furniture Resources (VFR)</t>
        </is>
      </c>
      <c r="E6431" t="inlineStr">
        <is>
          <t>Lương:Cạnh tranh</t>
        </is>
      </c>
      <c r="F6431" t="inlineStr">
        <is>
          <t>Bình Dương</t>
        </is>
      </c>
      <c r="G6431" t="inlineStr">
        <is>
          <t>30-04-2026</t>
        </is>
      </c>
      <c r="H6431" t="inlineStr">
        <is>
          <t>30/04/2026</t>
        </is>
      </c>
      <c r="I6431" t="inlineStr">
        <is>
          <t>17/03/2026</t>
        </is>
      </c>
      <c r="J6431" t="inlineStr">
        <is>
          <t>Vận chuyển / Giao nhận / Kho vận, Xuất nhập khẩu, Ngành khác</t>
        </is>
      </c>
      <c r="K6431" t="inlineStr">
        <is>
          <t>5 - 10 Năm</t>
        </is>
      </c>
      <c r="L6431" s="8">
        <f>HYPERLINK("https://careerviet.vn/vi/tim-viec-lam/giam-sat-van-tai.35C6D01E.html","Xem chi tiết")</f>
        <v/>
      </c>
    </row>
    <row r="6432">
      <c r="B6432" s="9" t="n">
        <v>6430</v>
      </c>
      <c r="C6432" s="10" t="inlineStr">
        <is>
          <t>KẾ TOÁN TỔNG HỢP (F&amp;B)(Mới)</t>
        </is>
      </c>
      <c r="D6432" s="10" t="inlineStr">
        <is>
          <t>Xuân Cầu Holdings</t>
        </is>
      </c>
      <c r="E6432" s="10" t="inlineStr">
        <is>
          <t>Lương:Cạnh tranh</t>
        </is>
      </c>
      <c r="F6432" s="10" t="inlineStr">
        <is>
          <t>Hà Nội</t>
        </is>
      </c>
      <c r="G6432" s="10" t="inlineStr">
        <is>
          <t>17-04-2026</t>
        </is>
      </c>
      <c r="H6432" s="10" t="inlineStr">
        <is>
          <t>17/04/2026</t>
        </is>
      </c>
      <c r="I6432" s="10" t="inlineStr">
        <is>
          <t>17/03/2026</t>
        </is>
      </c>
      <c r="J6432" s="10" t="inlineStr">
        <is>
          <t>Kế toán / Kiểm toán</t>
        </is>
      </c>
      <c r="K6432" s="10" t="inlineStr">
        <is>
          <t>1 - 5 Năm</t>
        </is>
      </c>
      <c r="L6432" s="11">
        <f>HYPERLINK("https://careerviet.vn/vi/tim-viec-lam/ke-toan-tong-hop-f-b.35C69E85.html","Xem chi tiết")</f>
        <v/>
      </c>
      <c r="M6432" s="10" t="n"/>
    </row>
    <row r="6433">
      <c r="B6433" s="7" t="n">
        <v>6431</v>
      </c>
      <c r="C6433" t="inlineStr">
        <is>
          <t>[HẢI PHÒNG] Nhân Viên Hỗ Trợ Tín Dụng(Mới)</t>
        </is>
      </c>
      <c r="D6433" t="inlineStr">
        <is>
          <t>Công ty Cho thuê Tài chính TNHH MTV Quốc tế Chailease - CN Hà Nội</t>
        </is>
      </c>
      <c r="E6433" t="inlineStr">
        <is>
          <t>Lương:Cạnh tranh</t>
        </is>
      </c>
      <c r="F6433" t="inlineStr">
        <is>
          <t>Hải Phòng</t>
        </is>
      </c>
      <c r="G6433" t="inlineStr">
        <is>
          <t>30-04-2026</t>
        </is>
      </c>
      <c r="H6433" t="inlineStr">
        <is>
          <t>30/04/2026</t>
        </is>
      </c>
      <c r="I6433" t="inlineStr">
        <is>
          <t>17/03/2026</t>
        </is>
      </c>
      <c r="J6433" t="inlineStr">
        <is>
          <t>Ngân hàng, Tài chính / Đầu tư</t>
        </is>
      </c>
      <c r="K6433" t="inlineStr">
        <is>
          <t>1 - 2 Năm</t>
        </is>
      </c>
      <c r="L6433" s="8">
        <f>HYPERLINK("https://careerviet.vn/vi/tim-viec-lam/hai-phong-nhan-vien-ho-tro-tin-dung.35C6D018.html","Xem chi tiết")</f>
        <v/>
      </c>
    </row>
    <row r="6434">
      <c r="B6434" s="9" t="n">
        <v>6432</v>
      </c>
      <c r="C6434" s="10" t="inlineStr">
        <is>
          <t>TRƯỞNG NHÓM KẾ TOÁN (Công Ty Thành Viên)(Mới)</t>
        </is>
      </c>
      <c r="D6434" s="10" t="inlineStr">
        <is>
          <t>Tổng công ty Xây dựng số 1 – CTCP</t>
        </is>
      </c>
      <c r="E6434" s="10" t="inlineStr">
        <is>
          <t>Lương:Cạnh tranh</t>
        </is>
      </c>
      <c r="F6434" s="10" t="inlineStr">
        <is>
          <t>Hồ Chí Minh</t>
        </is>
      </c>
      <c r="G6434" s="10" t="inlineStr">
        <is>
          <t>16-04-2026</t>
        </is>
      </c>
      <c r="H6434" s="10" t="inlineStr">
        <is>
          <t>16/04/2026</t>
        </is>
      </c>
      <c r="I6434" s="10" t="inlineStr">
        <is>
          <t>17/03/2026</t>
        </is>
      </c>
      <c r="J6434" s="10" t="inlineStr">
        <is>
          <t>Kế toán / Kiểm toán</t>
        </is>
      </c>
      <c r="K6434" s="10" t="inlineStr">
        <is>
          <t>7 - 10 Năm</t>
        </is>
      </c>
      <c r="L6434" s="11">
        <f>HYPERLINK("https://careerviet.vn/vi/tim-viec-lam/truong-nhom-ke-toan-cong-ty-thanh-vien.35C6D01F.html","Xem chi tiết")</f>
        <v/>
      </c>
      <c r="M6434" s="10" t="n"/>
    </row>
    <row r="6435">
      <c r="B6435" s="7" t="n">
        <v>6433</v>
      </c>
      <c r="C6435" t="inlineStr">
        <is>
          <t>MarTech &amp; Conversion Experience (CX) Specialist(Mới)</t>
        </is>
      </c>
      <c r="D6435" t="inlineStr">
        <is>
          <t>PPP Laser Clinic Viet Nam</t>
        </is>
      </c>
      <c r="E6435" t="inlineStr">
        <is>
          <t>Lương:Cạnh tranh</t>
        </is>
      </c>
      <c r="F6435" t="inlineStr">
        <is>
          <t>Hồ Chí Minh</t>
        </is>
      </c>
      <c r="G6435" t="inlineStr">
        <is>
          <t>16-04-2026</t>
        </is>
      </c>
      <c r="H6435" t="inlineStr">
        <is>
          <t>16/04/2026</t>
        </is>
      </c>
      <c r="I6435" t="inlineStr">
        <is>
          <t>17/03/2026</t>
        </is>
      </c>
      <c r="J6435" t="inlineStr">
        <is>
          <t>CNTT - Phần mềm, Tiếp thị / Marketing, Thương mại điện tử</t>
        </is>
      </c>
      <c r="K6435" t="inlineStr">
        <is>
          <t>Trên 2 Năm</t>
        </is>
      </c>
      <c r="L6435" s="8">
        <f>HYPERLINK("https://careerviet.vn/vi/tim-viec-lam/martech-conversion-experience-cx-specialist.35C6D023.html","Xem chi tiết")</f>
        <v/>
      </c>
    </row>
    <row r="6436">
      <c r="B6436" s="9" t="n">
        <v>6434</v>
      </c>
      <c r="C6436" s="10" t="inlineStr">
        <is>
          <t>Kế toán tổng hợp tại Sa Pa - Lào Cai(Mới)</t>
        </is>
      </c>
      <c r="D6436" s="10" t="inlineStr">
        <is>
          <t>Công ty Cổ Phần Sản Xuất Dịch Vụ và Thương Mại Phát Linh</t>
        </is>
      </c>
      <c r="E6436" s="10" t="inlineStr">
        <is>
          <t>Lương:10 Tr - 11 Tr VND</t>
        </is>
      </c>
      <c r="F6436" s="10" t="inlineStr">
        <is>
          <t>Lào Cai</t>
        </is>
      </c>
      <c r="G6436" s="10" t="inlineStr">
        <is>
          <t>30-04-2026</t>
        </is>
      </c>
      <c r="H6436" s="10" t="inlineStr">
        <is>
          <t>30/04/2026</t>
        </is>
      </c>
      <c r="I6436" s="10" t="inlineStr">
        <is>
          <t>17/03/2026</t>
        </is>
      </c>
      <c r="J6436" s="10" t="inlineStr">
        <is>
          <t>Hành chính / Thư ký, Nhân sự, Kế toán / Kiểm toán</t>
        </is>
      </c>
      <c r="K6436" s="10" t="inlineStr">
        <is>
          <t>2 - 3 Năm</t>
        </is>
      </c>
      <c r="L6436" s="11">
        <f>HYPERLINK("https://careerviet.vn/vi/tim-viec-lam/ke-toan-tong-hop-tai-sa-pa-lao-cai.35C6D01A.html","Xem chi tiết")</f>
        <v/>
      </c>
      <c r="M6436" s="10" t="n"/>
    </row>
    <row r="6437">
      <c r="B6437" s="7" t="n">
        <v>6435</v>
      </c>
      <c r="C6437" t="inlineStr">
        <is>
          <t>TTS Quan hệ Khách hàng Doanh nghiệp(Mới)</t>
        </is>
      </c>
      <c r="D6437" t="inlineStr">
        <is>
          <t>Công ty Cho thuê Tài chính TNHH MTV Quốc tế Chailease - CN Hà Nội</t>
        </is>
      </c>
      <c r="E6437" t="inlineStr">
        <is>
          <t>Lương:3,5 Tr - 3,5 Tr VND</t>
        </is>
      </c>
      <c r="F6437" t="inlineStr">
        <is>
          <t>Hà NộiHải PhòngĐà Nẵng</t>
        </is>
      </c>
      <c r="G6437" t="inlineStr">
        <is>
          <t>30-04-2026</t>
        </is>
      </c>
      <c r="H6437" t="inlineStr">
        <is>
          <t>30/04/2026</t>
        </is>
      </c>
      <c r="I6437" t="inlineStr">
        <is>
          <t>17/03/2026</t>
        </is>
      </c>
      <c r="J6437" t="inlineStr">
        <is>
          <t>Bán hàng / Kinh doanh, Ngân hàng, Tài chính / Đầu tư</t>
        </is>
      </c>
      <c r="K6437" t="inlineStr">
        <is>
          <t>N/A</t>
        </is>
      </c>
      <c r="L6437" s="8">
        <f>HYPERLINK("https://careerviet.vn/vi/tim-viec-lam/tts-quan-he-khach-hang-doanh-nghiep.35C6D017.html","Xem chi tiết")</f>
        <v/>
      </c>
    </row>
    <row r="6438">
      <c r="B6438" s="9" t="n">
        <v>6436</v>
      </c>
      <c r="C6438" s="10" t="inlineStr">
        <is>
          <t>Công nhân sản xuất(Mới)</t>
        </is>
      </c>
      <c r="D6438" s="10" t="inlineStr">
        <is>
          <t>Công Ty CP XNK Hóa Chất &amp; Thiết Bị Kim Ngưu</t>
        </is>
      </c>
      <c r="E6438" s="10" t="inlineStr">
        <is>
          <t>Lương:8 Tr - 10 Tr VND</t>
        </is>
      </c>
      <c r="F6438" s="10" t="inlineStr">
        <is>
          <t>Hưng Yên</t>
        </is>
      </c>
      <c r="G6438" s="10" t="inlineStr">
        <is>
          <t>29-04-2026</t>
        </is>
      </c>
      <c r="H6438" s="10" t="inlineStr">
        <is>
          <t>29/04/2026</t>
        </is>
      </c>
      <c r="I6438" s="10" t="inlineStr">
        <is>
          <t>17/03/2026</t>
        </is>
      </c>
      <c r="J6438" s="10" t="inlineStr">
        <is>
          <t>Sản xuất / Vận hành sản xuất</t>
        </is>
      </c>
      <c r="K6438" s="10" t="inlineStr">
        <is>
          <t>1 - 2 Năm</t>
        </is>
      </c>
      <c r="L6438" s="11">
        <f>HYPERLINK("https://careerviet.vn/vi/tim-viec-lam/cong-nhan-san-xuat.35C6D029.html","Xem chi tiết")</f>
        <v/>
      </c>
      <c r="M6438" s="10" t="n"/>
    </row>
    <row r="6439">
      <c r="B6439" s="7" t="n">
        <v>6437</v>
      </c>
      <c r="C6439" t="inlineStr">
        <is>
          <t>TTS Thẩm định Tín dụng - Credit Intern (Hà Nội)(Mới)</t>
        </is>
      </c>
      <c r="D6439" t="inlineStr">
        <is>
          <t>Công ty Cho thuê Tài chính TNHH MTV Quốc tế Chailease - CN Hà Nội</t>
        </is>
      </c>
      <c r="E6439" t="inlineStr">
        <is>
          <t>Lương:3,5 Tr - 3,5 Tr VND</t>
        </is>
      </c>
      <c r="F6439" t="inlineStr">
        <is>
          <t>Hà Nội</t>
        </is>
      </c>
      <c r="G6439" t="inlineStr">
        <is>
          <t>30-04-2026</t>
        </is>
      </c>
      <c r="H6439" t="inlineStr">
        <is>
          <t>30/04/2026</t>
        </is>
      </c>
      <c r="I6439" t="inlineStr">
        <is>
          <t>17/03/2026</t>
        </is>
      </c>
      <c r="J6439" t="inlineStr">
        <is>
          <t>Tài chính / Đầu tư</t>
        </is>
      </c>
      <c r="K6439" t="inlineStr">
        <is>
          <t>N/A</t>
        </is>
      </c>
      <c r="L6439" s="8">
        <f>HYPERLINK("https://careerviet.vn/vi/tim-viec-lam/tts-tham-dinh-tin-dung-credit-intern-ha-noi.35C6D014.html","Xem chi tiết")</f>
        <v/>
      </c>
    </row>
    <row r="6440">
      <c r="B6440" s="9" t="n">
        <v>6438</v>
      </c>
      <c r="C6440" s="10" t="inlineStr">
        <is>
          <t>Nhân Viên Content(Mới)</t>
        </is>
      </c>
      <c r="D6440" s="10" t="inlineStr">
        <is>
          <t>CÔNG TY CỔ PHẦN GIẢI PHÁP CƠ KHÍ VNTECH</t>
        </is>
      </c>
      <c r="E6440" s="10" t="inlineStr">
        <is>
          <t>Lương:11 Tr - 15 Tr VND</t>
        </is>
      </c>
      <c r="F6440" s="10" t="inlineStr">
        <is>
          <t>Hà Nội</t>
        </is>
      </c>
      <c r="G6440" s="10" t="inlineStr">
        <is>
          <t>31-03-2026</t>
        </is>
      </c>
      <c r="H6440" s="10" t="inlineStr">
        <is>
          <t>31/03/2026</t>
        </is>
      </c>
      <c r="I6440" s="10" t="inlineStr">
        <is>
          <t>17/03/2026</t>
        </is>
      </c>
      <c r="J6440" s="10" t="inlineStr">
        <is>
          <t>Tiếp thị / Marketing, Mỹ thuật / Nghệ thuật / Thiết kế, Truyền hình / Báo chí / Biên tập</t>
        </is>
      </c>
      <c r="K6440" s="10" t="inlineStr">
        <is>
          <t>N/A</t>
        </is>
      </c>
      <c r="L6440" s="11">
        <f>HYPERLINK("https://careerviet.vn/vi/tim-viec-lam/nhan-vien-content.35C6D004.html","Xem chi tiết")</f>
        <v/>
      </c>
      <c r="M6440" s="10" t="n"/>
    </row>
    <row r="6441">
      <c r="B6441" s="7" t="n">
        <v>6439</v>
      </c>
      <c r="C6441" t="inlineStr">
        <is>
          <t>Sales Executive - Thu Nhập 15 - 30 Triệu (Hệ Thống Khách Sạn 5 Sao)(Mới)</t>
        </is>
      </c>
      <c r="D6441" t="inlineStr">
        <is>
          <t>Công ty Cổ Phần Sản Xuất Dịch Vụ và Thương Mại Phát Linh</t>
        </is>
      </c>
      <c r="E6441" t="inlineStr">
        <is>
          <t>Lương:15 Tr - 30 Tr VND</t>
        </is>
      </c>
      <c r="F6441" t="inlineStr">
        <is>
          <t>Hà Nội</t>
        </is>
      </c>
      <c r="G6441" t="inlineStr">
        <is>
          <t>30-04-2026</t>
        </is>
      </c>
      <c r="H6441" t="inlineStr">
        <is>
          <t>30/04/2026</t>
        </is>
      </c>
      <c r="I6441" t="inlineStr">
        <is>
          <t>17/03/2026</t>
        </is>
      </c>
      <c r="J6441" t="inlineStr">
        <is>
          <t>Bán hàng / Kinh doanh, Tư vấn, Nhà hàng / Khách sạn</t>
        </is>
      </c>
      <c r="K6441" t="inlineStr">
        <is>
          <t>2 - 3 Năm</t>
        </is>
      </c>
      <c r="L6441" s="8">
        <f>HYPERLINK("https://careerviet.vn/vi/tim-viec-lam/sales-executive-thu-nhap-15-30-trieu-he-thong-khach-san-5-sao.35C6D011.html","Xem chi tiết")</f>
        <v/>
      </c>
    </row>
    <row r="6442">
      <c r="B6442" s="9" t="n">
        <v>6440</v>
      </c>
      <c r="C6442" s="10" t="inlineStr">
        <is>
          <t>Chuyên Viên Hành Chính Nhân Sự Tổng Hợp (Sa Pa - Lào Cai)(Mới)</t>
        </is>
      </c>
      <c r="D6442" s="10" t="inlineStr">
        <is>
          <t>Công ty Cổ Phần Sản Xuất Dịch Vụ và Thương Mại Phát Linh</t>
        </is>
      </c>
      <c r="E6442" s="10" t="inlineStr">
        <is>
          <t>Lương:Cạnh tranh</t>
        </is>
      </c>
      <c r="F6442" s="10" t="inlineStr">
        <is>
          <t>Lào Cai</t>
        </is>
      </c>
      <c r="G6442" s="10" t="inlineStr">
        <is>
          <t>17-04-2026</t>
        </is>
      </c>
      <c r="H6442" s="10" t="inlineStr">
        <is>
          <t>17/04/2026</t>
        </is>
      </c>
      <c r="I6442" s="10" t="inlineStr">
        <is>
          <t>17/03/2026</t>
        </is>
      </c>
      <c r="J6442" s="10" t="inlineStr">
        <is>
          <t>Luật / Pháp lý, Hành chính / Thư ký, Nhân sự</t>
        </is>
      </c>
      <c r="K6442" s="10" t="inlineStr">
        <is>
          <t>1 - 2 Năm</t>
        </is>
      </c>
      <c r="L6442" s="11">
        <f>HYPERLINK("https://careerviet.vn/vi/tim-viec-lam/chuyen-vien-hanh-chinh-nhan-su-tong-hop-sa-pa-lao-cai.35C6CFF7.html","Xem chi tiết")</f>
        <v/>
      </c>
      <c r="M6442" s="10" t="n"/>
    </row>
    <row r="6443">
      <c r="B6443" s="7" t="n">
        <v>6441</v>
      </c>
      <c r="C6443" t="inlineStr">
        <is>
          <t>Giám Đốc Tài Chính -  Kế Toán(Mới)</t>
        </is>
      </c>
      <c r="D6443" t="inlineStr">
        <is>
          <t>CÔNG TY CỔ PHẦN ĐẦU TƯ  BẤT ĐỘNG SẢN NHẤT GIA</t>
        </is>
      </c>
      <c r="E6443" t="inlineStr">
        <is>
          <t>Lương:Cạnh tranh</t>
        </is>
      </c>
      <c r="F6443" t="inlineStr">
        <is>
          <t>Hồ Chí Minh</t>
        </is>
      </c>
      <c r="G6443" t="inlineStr">
        <is>
          <t>17-04-2026</t>
        </is>
      </c>
      <c r="H6443" t="inlineStr">
        <is>
          <t>17/04/2026</t>
        </is>
      </c>
      <c r="I6443" t="inlineStr">
        <is>
          <t>17/03/2026</t>
        </is>
      </c>
      <c r="J6443" t="inlineStr">
        <is>
          <t>Tài chính / Đầu tư, Kế toán / Kiểm toán, Quản lý điều hành</t>
        </is>
      </c>
      <c r="K6443" t="inlineStr">
        <is>
          <t>Trên 8 Năm</t>
        </is>
      </c>
      <c r="L6443" s="8">
        <f>HYPERLINK("https://careerviet.vn/vi/tim-viec-lam/giam-doc-tai-chinh-ke-toa-n.35C6D008.html","Xem chi tiết")</f>
        <v/>
      </c>
    </row>
    <row r="6444">
      <c r="B6444" s="9" t="n">
        <v>6442</v>
      </c>
      <c r="C6444" s="10" t="inlineStr">
        <is>
          <t>Nhân viên Hành chính - Vietravel Hà Nội(Mới)</t>
        </is>
      </c>
      <c r="D6444" s="10" t="inlineStr">
        <is>
          <t>Công Ty Cổ Phần Du Lịch Vietravel</t>
        </is>
      </c>
      <c r="E6444" s="10" t="inlineStr">
        <is>
          <t>Lương:Cạnh tranh</t>
        </is>
      </c>
      <c r="F6444" s="10" t="inlineStr">
        <is>
          <t>Hà Nội</t>
        </is>
      </c>
      <c r="G6444" s="10" t="inlineStr">
        <is>
          <t>29-04-2026</t>
        </is>
      </c>
      <c r="H6444" s="10" t="inlineStr">
        <is>
          <t>29/04/2026</t>
        </is>
      </c>
      <c r="I6444" s="10" t="inlineStr">
        <is>
          <t>17/03/2026</t>
        </is>
      </c>
      <c r="J6444" s="10" t="inlineStr">
        <is>
          <t>Hành chính / Thư ký, Du lịch</t>
        </is>
      </c>
      <c r="K6444" s="10" t="inlineStr">
        <is>
          <t>3 - 4 Năm</t>
        </is>
      </c>
      <c r="L6444" s="11">
        <f>HYPERLINK("https://careerviet.vn/vi/tim-viec-lam/nhan-vien-hanh-chinh-vietravel-ha-noi.35C6D001.html","Xem chi tiết")</f>
        <v/>
      </c>
      <c r="M6444" s="10" t="n"/>
    </row>
    <row r="6445">
      <c r="B6445" s="7" t="n">
        <v>6443</v>
      </c>
      <c r="C6445" t="inlineStr">
        <is>
          <t>Chuyên viên Thu mua (Mảng Food)(Mới)</t>
        </is>
      </c>
      <c r="D6445" t="inlineStr">
        <is>
          <t>CÔNG TY CỔ PHẦN THE STREET</t>
        </is>
      </c>
      <c r="E6445" t="inlineStr">
        <is>
          <t>Lương:10 Tr - 12 Tr VND</t>
        </is>
      </c>
      <c r="F6445" t="inlineStr">
        <is>
          <t>Hồ Chí Minh</t>
        </is>
      </c>
      <c r="G6445" t="inlineStr">
        <is>
          <t>15-05-2026</t>
        </is>
      </c>
      <c r="H6445" t="inlineStr">
        <is>
          <t>15/05/2026</t>
        </is>
      </c>
      <c r="I6445" t="inlineStr">
        <is>
          <t>17/03/2026</t>
        </is>
      </c>
      <c r="J6445" t="inlineStr">
        <is>
          <t>Thu mua / Vật tư, Thực phẩm &amp; Đồ uống, Nhà hàng / Khách sạn</t>
        </is>
      </c>
      <c r="K6445" t="inlineStr">
        <is>
          <t>1 - 3 Năm</t>
        </is>
      </c>
      <c r="L6445" s="8">
        <f>HYPERLINK("https://careerviet.vn/vi/tim-viec-lam/chuyen-vien-thu-mua-mang-food.35C6D00E.html","Xem chi tiết")</f>
        <v/>
      </c>
    </row>
    <row r="6446">
      <c r="B6446" s="9" t="n">
        <v>6444</v>
      </c>
      <c r="C6446" s="10" t="inlineStr">
        <is>
          <t>Trợ Lý Cố Vấn Điều Hành (Mảng Tổng Hợp)(Mới)</t>
        </is>
      </c>
      <c r="D6446" s="10" t="inlineStr">
        <is>
          <t>Công ty Cổ phần Tập đoàn Meey Land</t>
        </is>
      </c>
      <c r="E6446" s="10" t="inlineStr">
        <is>
          <t>Lương:20 Tr - 40 Tr VND</t>
        </is>
      </c>
      <c r="F6446" s="10" t="inlineStr">
        <is>
          <t>Hà Nội</t>
        </is>
      </c>
      <c r="G6446" s="10" t="inlineStr">
        <is>
          <t>23-05-2026</t>
        </is>
      </c>
      <c r="H6446" s="10" t="inlineStr">
        <is>
          <t>23/05/2026</t>
        </is>
      </c>
      <c r="I6446" s="10" t="inlineStr">
        <is>
          <t>17/03/2026</t>
        </is>
      </c>
      <c r="J6446" s="10" t="inlineStr">
        <is>
          <t>Hành chính / Thư ký, CNTT - Phần mềm, Bất động sản</t>
        </is>
      </c>
      <c r="K6446" s="10" t="inlineStr">
        <is>
          <t>2 - 3 Năm</t>
        </is>
      </c>
      <c r="L6446" s="11">
        <f>HYPERLINK("https://careerviet.vn/vi/tim-viec-lam/tro-ly-co-van-dieu-hanh-mang-tong-hop.35C6CFFE.html","Xem chi tiết")</f>
        <v/>
      </c>
      <c r="M6446" s="10" t="n"/>
    </row>
    <row r="6447">
      <c r="B6447" s="7" t="n">
        <v>6445</v>
      </c>
      <c r="C6447" t="inlineStr">
        <is>
          <t>Kế Toán Bán Hàng tại Dĩ An(Mới)</t>
        </is>
      </c>
      <c r="D6447" t="inlineStr">
        <is>
          <t>Công Ty TNHH Tập Đoàn Rita Võ</t>
        </is>
      </c>
      <c r="E6447" t="inlineStr">
        <is>
          <t>Lương:7 Tr - 9 Tr VND</t>
        </is>
      </c>
      <c r="F6447" t="inlineStr">
        <is>
          <t>Bình Dương</t>
        </is>
      </c>
      <c r="G6447" t="inlineStr">
        <is>
          <t>21-04-2026</t>
        </is>
      </c>
      <c r="H6447" t="inlineStr">
        <is>
          <t>21/04/2026</t>
        </is>
      </c>
      <c r="I6447" t="inlineStr">
        <is>
          <t>17/03/2026</t>
        </is>
      </c>
      <c r="J6447" t="inlineStr">
        <is>
          <t>Kế toán / Kiểm toán</t>
        </is>
      </c>
      <c r="K6447" t="inlineStr">
        <is>
          <t>N/A</t>
        </is>
      </c>
      <c r="L6447" s="8">
        <f>HYPERLINK("https://careerviet.vn/vi/tim-viec-lam/ke-toan-ban-hang-tai-di-an.35C6CFFD.html","Xem chi tiết")</f>
        <v/>
      </c>
    </row>
    <row r="6448">
      <c r="B6448" s="9" t="n">
        <v>6446</v>
      </c>
      <c r="C6448" s="10" t="inlineStr">
        <is>
          <t>Chuyên Viên Tìm Kiếm và Phát Triển Mặt Bằng (Nam Định)(Mới)</t>
        </is>
      </c>
      <c r="D6448" s="10" t="inlineStr">
        <is>
          <t>Concung.com - Con Cung Joint Stock Company</t>
        </is>
      </c>
      <c r="E6448" s="10" t="inlineStr">
        <is>
          <t>Lương:25 Tr - 30 Tr VND</t>
        </is>
      </c>
      <c r="F6448" s="10" t="inlineStr">
        <is>
          <t>Nam Định</t>
        </is>
      </c>
      <c r="G6448" s="10" t="inlineStr">
        <is>
          <t>30-04-2026</t>
        </is>
      </c>
      <c r="H6448" s="10" t="inlineStr">
        <is>
          <t>30/04/2026</t>
        </is>
      </c>
      <c r="I6448" s="10" t="inlineStr">
        <is>
          <t>17/03/2026</t>
        </is>
      </c>
      <c r="J6448" s="10" t="inlineStr">
        <is>
          <t>Bán hàng / Kinh doanh, Bất động sản, Bán lẻ / Bán sỉ</t>
        </is>
      </c>
      <c r="K6448" s="10" t="inlineStr">
        <is>
          <t>N/A</t>
        </is>
      </c>
      <c r="L6448" s="11">
        <f>HYPERLINK("https://careerviet.vn/vi/tim-viec-lam/chuyen-vien-tim-kiem-va-phat-trien-mat-bang-nam-dinh.35C6D015.html","Xem chi tiết")</f>
        <v/>
      </c>
      <c r="M6448" s="10" t="n"/>
    </row>
    <row r="6449">
      <c r="B6449" s="7" t="n">
        <v>6447</v>
      </c>
      <c r="C6449" t="inlineStr">
        <is>
          <t>Nhân viên Kinh doanh Khách đoàn(Mới)</t>
        </is>
      </c>
      <c r="D6449" t="inlineStr">
        <is>
          <t>Công Ty Cổ Phần Du Lịch Vietravel</t>
        </is>
      </c>
      <c r="E6449" t="inlineStr">
        <is>
          <t>Lương:Cạnh tranh</t>
        </is>
      </c>
      <c r="F6449" t="inlineStr">
        <is>
          <t>Hà Nội</t>
        </is>
      </c>
      <c r="G6449" t="inlineStr">
        <is>
          <t>31-03-2026</t>
        </is>
      </c>
      <c r="H6449" t="inlineStr">
        <is>
          <t>31/03/2026</t>
        </is>
      </c>
      <c r="I6449" t="inlineStr">
        <is>
          <t>17/03/2026</t>
        </is>
      </c>
      <c r="J6449" t="inlineStr">
        <is>
          <t>Bán hàng / Kinh doanh, Du lịch, Hàng không</t>
        </is>
      </c>
      <c r="K6449" t="inlineStr">
        <is>
          <t>1 - 2 Năm</t>
        </is>
      </c>
      <c r="L6449" s="8">
        <f>HYPERLINK("https://careerviet.vn/vi/tim-viec-lam/nhan-vien-kinh-doanh-khach-doan.35C6D006.html","Xem chi tiết")</f>
        <v/>
      </c>
    </row>
    <row r="6450">
      <c r="B6450" s="9" t="n">
        <v>6448</v>
      </c>
      <c r="C6450" s="10" t="inlineStr">
        <is>
          <t>Chuyên viên thiết kế MEP (chủ đầu tư BĐS)(Mới)</t>
        </is>
      </c>
      <c r="D6450" s="10" t="inlineStr">
        <is>
          <t>Tập Đoàn Tân Á Đại Thành</t>
        </is>
      </c>
      <c r="E6450" s="10" t="inlineStr">
        <is>
          <t>Lương:Trên 20 Tr VND</t>
        </is>
      </c>
      <c r="F6450" s="10" t="inlineStr">
        <is>
          <t>Hà Nội</t>
        </is>
      </c>
      <c r="G6450" s="10" t="inlineStr">
        <is>
          <t>16-04-2026</t>
        </is>
      </c>
      <c r="H6450" s="10" t="inlineStr">
        <is>
          <t>16/04/2026</t>
        </is>
      </c>
      <c r="I6450" s="10" t="inlineStr">
        <is>
          <t>17/03/2026</t>
        </is>
      </c>
      <c r="J6450" s="10" t="inlineStr">
        <is>
          <t>Điện / Điện tử / Điện lạnh / Điện công nghiệp, Xây dựng, Bất động sản</t>
        </is>
      </c>
      <c r="K6450" s="10" t="inlineStr">
        <is>
          <t>1 - 3 Năm</t>
        </is>
      </c>
      <c r="L6450" s="11">
        <f>HYPERLINK("https://careerviet.vn/vi/tim-viec-lam/chuyen-vien-thiet-ke-mep-chu-dau-tu-bds.35C6CF5A.html","Xem chi tiết")</f>
        <v/>
      </c>
      <c r="M6450" s="10" t="n"/>
    </row>
    <row r="6451">
      <c r="B6451" s="7" t="n">
        <v>6449</v>
      </c>
      <c r="C6451" t="inlineStr">
        <is>
          <t>Chuyên Viên Tư Vấn Tuyển Sinh - ILA Tân Phú(Mới)</t>
        </is>
      </c>
      <c r="D6451" t="inlineStr">
        <is>
          <t>ILA Việt Nam</t>
        </is>
      </c>
      <c r="E6451" t="inlineStr">
        <is>
          <t>Lương:8 Tr - 30 Tr VND</t>
        </is>
      </c>
      <c r="F6451" t="inlineStr">
        <is>
          <t>Hồ Chí Minh</t>
        </is>
      </c>
      <c r="G6451" t="inlineStr">
        <is>
          <t>13-04-2026</t>
        </is>
      </c>
      <c r="H6451" t="inlineStr">
        <is>
          <t>13/04/2026</t>
        </is>
      </c>
      <c r="I6451" t="inlineStr">
        <is>
          <t>17/03/2026</t>
        </is>
      </c>
      <c r="J6451" t="inlineStr">
        <is>
          <t>Bán hàng / Kinh doanh, Tư vấn, Dịch vụ khách hàng</t>
        </is>
      </c>
      <c r="K6451" t="inlineStr">
        <is>
          <t>1 - 2 Năm</t>
        </is>
      </c>
      <c r="L6451" s="8">
        <f>HYPERLINK("https://careerviet.vn/vi/tim-viec-lam/chuyen-vien-tu-van-tuyen-sinh-ila-tan-phu.35C6CF53.html","Xem chi tiết")</f>
        <v/>
      </c>
    </row>
    <row r="6452">
      <c r="B6452" s="9" t="n">
        <v>6450</v>
      </c>
      <c r="C6452" s="10" t="inlineStr">
        <is>
          <t>Maintenance Engineer(Mới)</t>
        </is>
      </c>
      <c r="D6452" s="10" t="inlineStr">
        <is>
          <t>Thermtrol Co., Ltd.</t>
        </is>
      </c>
      <c r="E6452" s="10" t="inlineStr">
        <is>
          <t>Lương:Cạnh tranh</t>
        </is>
      </c>
      <c r="F6452" s="10" t="inlineStr">
        <is>
          <t>Bình Dương</t>
        </is>
      </c>
      <c r="G6452" s="10" t="inlineStr">
        <is>
          <t>30-03-2026</t>
        </is>
      </c>
      <c r="H6452" s="10" t="inlineStr">
        <is>
          <t>30/03/2026</t>
        </is>
      </c>
      <c r="I6452" s="10" t="inlineStr">
        <is>
          <t>17/03/2026</t>
        </is>
      </c>
      <c r="J6452" s="10" t="inlineStr">
        <is>
          <t>Cơ khí / Ô tô / Tự động hóa, Sản xuất / Vận hành sản xuất, Điện / Điện tử / Điện lạnh / Điện công nghiệp</t>
        </is>
      </c>
      <c r="K6452" s="10" t="inlineStr">
        <is>
          <t>3 - 5 Năm</t>
        </is>
      </c>
      <c r="L6452" s="11">
        <f>HYPERLINK("https://careerviet.vn/vi/tim-viec-lam/maintenance-engineer.35C6D000.html","Xem chi tiết")</f>
        <v/>
      </c>
      <c r="M6452" s="10" t="n"/>
    </row>
    <row r="6453">
      <c r="B6453" s="7" t="n">
        <v>6451</v>
      </c>
      <c r="C6453" t="inlineStr">
        <is>
          <t>Senior Tech Pack Staff (Garment)(Mới)</t>
        </is>
      </c>
      <c r="D6453" t="inlineStr">
        <is>
          <t>MOTIVES VIETNAM CORPORATION</t>
        </is>
      </c>
      <c r="E6453" t="inlineStr">
        <is>
          <t>Lương:Cạnh tranh</t>
        </is>
      </c>
      <c r="F6453" t="inlineStr">
        <is>
          <t>Hồ Chí Minh</t>
        </is>
      </c>
      <c r="G6453" t="inlineStr">
        <is>
          <t>30-04-2026</t>
        </is>
      </c>
      <c r="H6453" t="inlineStr">
        <is>
          <t>30/04/2026</t>
        </is>
      </c>
      <c r="I6453" t="inlineStr">
        <is>
          <t>17/03/2026</t>
        </is>
      </c>
      <c r="J6453" t="inlineStr">
        <is>
          <t>Dệt may / Da giày / Thời trang</t>
        </is>
      </c>
      <c r="K6453" t="inlineStr">
        <is>
          <t>2 - 5 Năm</t>
        </is>
      </c>
      <c r="L6453" s="8">
        <f>HYPERLINK("https://careerviet.vn/vi/tim-viec-lam/senior-tech-pack-staff-garment.35C6D01C.html","Xem chi tiết")</f>
        <v/>
      </c>
    </row>
    <row r="6454">
      <c r="B6454" s="9" t="n">
        <v>6452</v>
      </c>
      <c r="C6454" s="10" t="inlineStr">
        <is>
          <t>Community &amp; Influencer Growth Manager(Mới)</t>
        </is>
      </c>
      <c r="D6454" s="10" t="inlineStr">
        <is>
          <t>PPP Laser Clinic Viet Nam</t>
        </is>
      </c>
      <c r="E6454" s="10" t="inlineStr">
        <is>
          <t>Lương:Cạnh tranh</t>
        </is>
      </c>
      <c r="F6454" s="10" t="inlineStr">
        <is>
          <t>Hồ Chí Minh</t>
        </is>
      </c>
      <c r="G6454" s="10" t="inlineStr">
        <is>
          <t>16-04-2026</t>
        </is>
      </c>
      <c r="H6454" s="10" t="inlineStr">
        <is>
          <t>16/04/2026</t>
        </is>
      </c>
      <c r="I6454" s="10" t="inlineStr">
        <is>
          <t>17/03/2026</t>
        </is>
      </c>
      <c r="J6454" s="10" t="inlineStr">
        <is>
          <t>Quảng cáo / Đối ngoại / Truyền Thông, Truyền hình / Báo chí / Biên tập, Tiếp thị / Marketing</t>
        </is>
      </c>
      <c r="K6454" s="10" t="inlineStr">
        <is>
          <t>Trên 3 Năm</t>
        </is>
      </c>
      <c r="L6454" s="11">
        <f>HYPERLINK("https://careerviet.vn/vi/tim-viec-lam/community-influencer-growth-manager.35C6CFF5.html","Xem chi tiết")</f>
        <v/>
      </c>
      <c r="M6454" s="10" t="n"/>
    </row>
    <row r="6455">
      <c r="B6455" s="7" t="n">
        <v>6453</v>
      </c>
      <c r="C6455" t="inlineStr">
        <is>
          <t>Bác sĩ da liễu - Cơ sở Bình Dương(Mới)</t>
        </is>
      </c>
      <c r="D6455" t="inlineStr">
        <is>
          <t>CÔNG TY TNHH THẨM MỸ QUỐC TẾ LINH ANH</t>
        </is>
      </c>
      <c r="E6455" t="inlineStr">
        <is>
          <t>Lương:45 Tr - 80 Tr VND</t>
        </is>
      </c>
      <c r="F6455" t="inlineStr">
        <is>
          <t>Bình Dương</t>
        </is>
      </c>
      <c r="G6455" t="inlineStr">
        <is>
          <t>18-04-2026</t>
        </is>
      </c>
      <c r="H6455" t="inlineStr">
        <is>
          <t>18/04/2026</t>
        </is>
      </c>
      <c r="I6455" t="inlineStr">
        <is>
          <t>17/03/2026</t>
        </is>
      </c>
      <c r="J6455" t="inlineStr">
        <is>
          <t>Y tế / Chăm sóc sức khỏe / Thẩm mỹ / Làm đẹp</t>
        </is>
      </c>
      <c r="K6455" t="inlineStr">
        <is>
          <t>Trên 3 Năm</t>
        </is>
      </c>
      <c r="L6455" s="8">
        <f>HYPERLINK("https://careerviet.vn/vi/tim-viec-lam/bac-si-da-lieu-co-so-binh-duong.35C6CF33.html","Xem chi tiết")</f>
        <v/>
      </c>
    </row>
    <row r="6456">
      <c r="B6456" s="9" t="n">
        <v>6454</v>
      </c>
      <c r="C6456" s="10" t="inlineStr">
        <is>
          <t>[HCM] NHÂN VIÊN ĐẦU TƯ TÀI CHÍNH(Mới)</t>
        </is>
      </c>
      <c r="D6456" s="10" t="inlineStr">
        <is>
          <t>CÔNG TY CỔ PHẦN GIAO DỊCH HÀNG HÓA ĐÔNG NAM Á</t>
        </is>
      </c>
      <c r="E6456" s="10" t="inlineStr">
        <is>
          <t>Lương:8 Tr - 15 Tr VND</t>
        </is>
      </c>
      <c r="F6456" s="10" t="inlineStr">
        <is>
          <t>Hồ Chí Minh</t>
        </is>
      </c>
      <c r="G6456" s="10" t="inlineStr">
        <is>
          <t>30-04-2026</t>
        </is>
      </c>
      <c r="H6456" s="10" t="inlineStr">
        <is>
          <t>30/04/2026</t>
        </is>
      </c>
      <c r="I6456" s="10" t="inlineStr">
        <is>
          <t>17/03/2026</t>
        </is>
      </c>
      <c r="J6456" s="10" t="inlineStr">
        <is>
          <t>Tài chính / Đầu tư</t>
        </is>
      </c>
      <c r="K6456" s="10" t="inlineStr">
        <is>
          <t>Lên đến 1 Năm</t>
        </is>
      </c>
      <c r="L6456" s="11">
        <f>HYPERLINK("https://careerviet.vn/vi/tim-viec-lam/hcm-nhan-vien-dau-tu-tai-chinh.35C6CF4E.html","Xem chi tiết")</f>
        <v/>
      </c>
      <c r="M6456" s="10" t="n"/>
    </row>
    <row r="6457">
      <c r="B6457" s="7" t="n">
        <v>6455</v>
      </c>
      <c r="C6457" t="inlineStr">
        <is>
          <t>Chuyên viên R&amp;D - Mảng thủy sản(Mới)</t>
        </is>
      </c>
      <c r="D6457" t="inlineStr">
        <is>
          <t>KING ELONG GROUP</t>
        </is>
      </c>
      <c r="E6457" t="inlineStr">
        <is>
          <t>Lương:13 Tr - 18 Tr VND</t>
        </is>
      </c>
      <c r="F6457" t="inlineStr">
        <is>
          <t>Hồ Chí Minh</t>
        </is>
      </c>
      <c r="G6457" t="inlineStr">
        <is>
          <t>17-04-2026</t>
        </is>
      </c>
      <c r="H6457" t="inlineStr">
        <is>
          <t>17/04/2026</t>
        </is>
      </c>
      <c r="I6457" t="inlineStr">
        <is>
          <t>17/03/2026</t>
        </is>
      </c>
      <c r="J6457" t="inlineStr">
        <is>
          <t>Thủy sản / Hải sản</t>
        </is>
      </c>
      <c r="K6457" t="inlineStr">
        <is>
          <t>2 - 5 Năm</t>
        </is>
      </c>
      <c r="L6457" s="8">
        <f>HYPERLINK("https://careerviet.vn/vi/tim-viec-lam/chuyen-vien-r-d-mang-thuy-san.35C6CF21.html","Xem chi tiết")</f>
        <v/>
      </c>
    </row>
    <row r="6458">
      <c r="B6458" s="9" t="n">
        <v>6456</v>
      </c>
      <c r="C6458" s="10" t="inlineStr">
        <is>
          <t>Trưởng Phòng Hành Chính Nhân Sự(Mới)</t>
        </is>
      </c>
      <c r="D6458" s="10" t="inlineStr">
        <is>
          <t>CÔNG TY TNHH SẢN XUẤT VÀ THƯƠNG MẠI THỰC PHẨM LÀNH MẠNH</t>
        </is>
      </c>
      <c r="E6458" s="10" t="inlineStr">
        <is>
          <t>Lương:17 Tr - 25 Tr VND</t>
        </is>
      </c>
      <c r="F6458" s="10" t="inlineStr">
        <is>
          <t>Hà Nội</t>
        </is>
      </c>
      <c r="G6458" s="10" t="inlineStr">
        <is>
          <t>16-04-2026</t>
        </is>
      </c>
      <c r="H6458" s="10" t="inlineStr">
        <is>
          <t>16/04/2026</t>
        </is>
      </c>
      <c r="I6458" s="10" t="inlineStr">
        <is>
          <t>17/03/2026</t>
        </is>
      </c>
      <c r="J6458" s="10" t="inlineStr">
        <is>
          <t>Hành chính / Thư ký, Nhân sự, Bán lẻ / Bán sỉ</t>
        </is>
      </c>
      <c r="K6458" s="10" t="inlineStr">
        <is>
          <t>Trên 3 Năm</t>
        </is>
      </c>
      <c r="L6458" s="11">
        <f>HYPERLINK("https://careerviet.vn/vi/tim-viec-lam/truong-phong-hanh-chinh-nhan-su.35C6CF56.html","Xem chi tiết")</f>
        <v/>
      </c>
      <c r="M6458" s="10" t="n"/>
    </row>
    <row r="6459">
      <c r="B6459" s="7" t="n">
        <v>6457</v>
      </c>
      <c r="C6459" t="inlineStr">
        <is>
          <t>Regional Sales Manager (Mekong Delta)(Mới)</t>
        </is>
      </c>
      <c r="D6459" t="inlineStr">
        <is>
          <t>Công Ty TNHH CJ Foods Việt Nam</t>
        </is>
      </c>
      <c r="E6459" t="inlineStr">
        <is>
          <t>Lương:Cạnh tranh</t>
        </is>
      </c>
      <c r="F6459" t="inlineStr">
        <is>
          <t>Cần Thơ</t>
        </is>
      </c>
      <c r="G6459" t="inlineStr">
        <is>
          <t>30-04-2026</t>
        </is>
      </c>
      <c r="H6459" t="inlineStr">
        <is>
          <t>30/04/2026</t>
        </is>
      </c>
      <c r="I6459" t="inlineStr">
        <is>
          <t>17/03/2026</t>
        </is>
      </c>
      <c r="J6459" t="inlineStr">
        <is>
          <t>Bán lẻ / Bán sỉ, Bán hàng / Kinh doanh, Thực phẩm &amp; Đồ uống</t>
        </is>
      </c>
      <c r="K6459" t="inlineStr">
        <is>
          <t>N/A</t>
        </is>
      </c>
      <c r="L6459" s="8">
        <f>HYPERLINK("https://careerviet.vn/vi/tim-viec-lam/regional-sales-manager-mekong-delta.35C6CECE.html","Xem chi tiết")</f>
        <v/>
      </c>
    </row>
    <row r="6460">
      <c r="B6460" s="9" t="n">
        <v>6458</v>
      </c>
      <c r="C6460" s="10" t="inlineStr">
        <is>
          <t>Trưởng nhóm Sale Online(Mới)</t>
        </is>
      </c>
      <c r="D6460" s="10" t="inlineStr">
        <is>
          <t>CÔNG TY TNHH THƯƠNG MẠI DỊCH VỤ HAPPY PHONE</t>
        </is>
      </c>
      <c r="E6460" s="10" t="inlineStr">
        <is>
          <t>Lương:10 Tr - 15 Tr VND</t>
        </is>
      </c>
      <c r="F6460" s="10" t="inlineStr">
        <is>
          <t>Hồ Chí Minh</t>
        </is>
      </c>
      <c r="G6460" s="10" t="inlineStr">
        <is>
          <t>17-04-2026</t>
        </is>
      </c>
      <c r="H6460" s="10" t="inlineStr">
        <is>
          <t>17/04/2026</t>
        </is>
      </c>
      <c r="I6460" s="10" t="inlineStr">
        <is>
          <t>17/03/2026</t>
        </is>
      </c>
      <c r="J6460" s="10" t="inlineStr">
        <is>
          <t>Tiếp thị / Marketing, Bán hàng / Kinh doanh, Bán lẻ / Bán sỉ</t>
        </is>
      </c>
      <c r="K6460" s="10" t="inlineStr">
        <is>
          <t>Chưa có kinh nghiệm</t>
        </is>
      </c>
      <c r="L6460" s="11">
        <f>HYPERLINK("https://careerviet.vn/vi/tim-viec-lam/truong-nhom-sale-online.35C6CF4B.html","Xem chi tiết")</f>
        <v/>
      </c>
      <c r="M6460" s="10" t="n"/>
    </row>
    <row r="6461">
      <c r="B6461" s="7" t="n">
        <v>6459</v>
      </c>
      <c r="C6461" t="inlineStr">
        <is>
          <t>Cán bộ hồ sơ QS tại Bắc Ninh(Mới)</t>
        </is>
      </c>
      <c r="D6461" t="inlineStr">
        <is>
          <t>CÔNG TY CỔ PHẦN XÂY DỰNG MEGASPACE</t>
        </is>
      </c>
      <c r="E6461" t="inlineStr">
        <is>
          <t>Lương:15 Tr - 25 Tr VND</t>
        </is>
      </c>
      <c r="F6461" t="inlineStr">
        <is>
          <t>Bắc Ninh</t>
        </is>
      </c>
      <c r="G6461" t="inlineStr">
        <is>
          <t>31-03-2026</t>
        </is>
      </c>
      <c r="H6461" t="inlineStr">
        <is>
          <t>31/03/2026</t>
        </is>
      </c>
      <c r="I6461" t="inlineStr">
        <is>
          <t>17/03/2026</t>
        </is>
      </c>
      <c r="J6461" t="inlineStr">
        <is>
          <t>Xây dựng, Điện / Điện tử / Điện lạnh / Điện công nghiệp, Cơ khí / Ô tô / Tự động hóa</t>
        </is>
      </c>
      <c r="K6461" t="inlineStr">
        <is>
          <t>Trên 3 Năm</t>
        </is>
      </c>
      <c r="L6461" s="8">
        <f>HYPERLINK("https://careerviet.vn/vi/tim-viec-lam/can-bo-ho-so-qs-tai-bac-ninh.35C6CF46.html","Xem chi tiết")</f>
        <v/>
      </c>
    </row>
    <row r="6462">
      <c r="B6462" s="9" t="n">
        <v>6460</v>
      </c>
      <c r="C6462" s="10" t="inlineStr">
        <is>
          <t>Trưởng Nhóm Tuyển Sinh (Buôn Ma Thuột - Đắk Lắk)(Mới)</t>
        </is>
      </c>
      <c r="D6462" s="10" t="inlineStr">
        <is>
          <t>Công Ty CP Liên Kết Quốc Tế INTERLINK (Trường Liên Kết Quốc Tế INschool &amp; Ngoại Ngữ Quốc Tế INS ENGLISH &amp; CHINESE)</t>
        </is>
      </c>
      <c r="E6462" s="10" t="inlineStr">
        <is>
          <t>Lương:9 Tr - 12 Tr VND</t>
        </is>
      </c>
      <c r="F6462" s="10" t="inlineStr">
        <is>
          <t>Dak Lak</t>
        </is>
      </c>
      <c r="G6462" s="10" t="inlineStr">
        <is>
          <t>16-04-2026</t>
        </is>
      </c>
      <c r="H6462" s="10" t="inlineStr">
        <is>
          <t>16/04/2026</t>
        </is>
      </c>
      <c r="I6462" s="10" t="inlineStr">
        <is>
          <t>17/03/2026</t>
        </is>
      </c>
      <c r="J6462" s="10" t="inlineStr">
        <is>
          <t>Tiếp thị / Marketing, Bán hàng / Kinh doanh, Tư vấn</t>
        </is>
      </c>
      <c r="K6462" s="10" t="inlineStr">
        <is>
          <t>1 - 2 Năm</t>
        </is>
      </c>
      <c r="L6462" s="11">
        <f>HYPERLINK("https://careerviet.vn/vi/tim-viec-lam/truong-nhom-tuyen-sinh-buon-ma-thuot-dak-lak.35C6CF49.html","Xem chi tiết")</f>
        <v/>
      </c>
      <c r="M6462" s="10" t="n"/>
    </row>
    <row r="6463">
      <c r="B6463" s="7" t="n">
        <v>6461</v>
      </c>
      <c r="C6463" t="inlineStr">
        <is>
          <t>CHUYÊN VIÊN KIỂM TRA CHẤT LƯỢNG (QC)(Mới)</t>
        </is>
      </c>
      <c r="D6463" t="inlineStr">
        <is>
          <t>Orioled Hub</t>
        </is>
      </c>
      <c r="E6463" t="inlineStr">
        <is>
          <t>Lương:15 Tr - 25 Tr VND</t>
        </is>
      </c>
      <c r="F6463" t="inlineStr">
        <is>
          <t>Bà Rịa - Vũng Tàu</t>
        </is>
      </c>
      <c r="G6463" t="inlineStr">
        <is>
          <t>30-04-2026</t>
        </is>
      </c>
      <c r="H6463" t="inlineStr">
        <is>
          <t>30/04/2026</t>
        </is>
      </c>
      <c r="I6463" t="inlineStr">
        <is>
          <t>17/03/2026</t>
        </is>
      </c>
      <c r="J6463" t="inlineStr">
        <is>
          <t>Quản lý chất lượng (QA/QC), Sản xuất / Vận hành sản xuất, Dược phẩm/ Hóa Mỹ Phẩm</t>
        </is>
      </c>
      <c r="K6463" t="inlineStr">
        <is>
          <t>2 - 3 Năm</t>
        </is>
      </c>
      <c r="L6463" s="8">
        <f>HYPERLINK("https://careerviet.vn/vi/tim-viec-lam/chuyen-vien-kiem-tra-chat-luong-qc.35C6CF3F.html","Xem chi tiết")</f>
        <v/>
      </c>
    </row>
    <row r="6464">
      <c r="B6464" s="9" t="n">
        <v>6462</v>
      </c>
      <c r="C6464" s="10" t="inlineStr">
        <is>
          <t>Area Manager (Ho Chi Minh &amp; Binh Duong)(Mới)</t>
        </is>
      </c>
      <c r="D6464" s="10" t="inlineStr">
        <is>
          <t>CÔNG TY TNHH MAXIDI VIỆT NAM</t>
        </is>
      </c>
      <c r="E6464" s="10" t="inlineStr">
        <is>
          <t>Lương:Cạnh tranh</t>
        </is>
      </c>
      <c r="F6464" s="10" t="inlineStr">
        <is>
          <t>Hồ Chí MinhBình Dương</t>
        </is>
      </c>
      <c r="G6464" s="10" t="inlineStr">
        <is>
          <t>17-04-2026</t>
        </is>
      </c>
      <c r="H6464" s="10" t="inlineStr">
        <is>
          <t>17/04/2026</t>
        </is>
      </c>
      <c r="I6464" s="10" t="inlineStr">
        <is>
          <t>17/03/2026</t>
        </is>
      </c>
      <c r="J6464" s="10" t="inlineStr">
        <is>
          <t>Bán lẻ / Bán sỉ, Thực phẩm &amp; Đồ uống, Bán hàng / Kinh doanh</t>
        </is>
      </c>
      <c r="K6464" s="10" t="inlineStr">
        <is>
          <t>3 - 5 Năm</t>
        </is>
      </c>
      <c r="L6464" s="11">
        <f>HYPERLINK("https://careerviet.vn/vi/tim-viec-lam/area-manager-ho-chi-minh-binh-duong.35C6CF37.html","Xem chi tiết")</f>
        <v/>
      </c>
      <c r="M6464" s="10" t="n"/>
    </row>
    <row r="6465">
      <c r="B6465" s="7" t="n">
        <v>6463</v>
      </c>
      <c r="C6465" t="inlineStr">
        <is>
          <t>Chuyên viên trách nhiệm xã hội/CSR compliance(Mới)</t>
        </is>
      </c>
      <c r="D6465" t="inlineStr">
        <is>
          <t>CÔNG TY TNHH EVOLUTION ENTERPRISES</t>
        </is>
      </c>
      <c r="E6465" t="inlineStr">
        <is>
          <t>Lương:12 Tr - 15 Tr VND</t>
        </is>
      </c>
      <c r="F6465" t="inlineStr">
        <is>
          <t>Hồ Chí Minh</t>
        </is>
      </c>
      <c r="G6465" t="inlineStr">
        <is>
          <t>11-04-2026</t>
        </is>
      </c>
      <c r="H6465" t="inlineStr">
        <is>
          <t>11/04/2026</t>
        </is>
      </c>
      <c r="I6465" t="inlineStr">
        <is>
          <t>17/03/2026</t>
        </is>
      </c>
      <c r="J6465" t="inlineStr">
        <is>
          <t>Sản xuất / Vận hành sản xuất, Dệt may / Da giày / Thời trang, An toàn lao động</t>
        </is>
      </c>
      <c r="K6465" t="inlineStr">
        <is>
          <t>2 - 5 Năm</t>
        </is>
      </c>
      <c r="L6465" s="8">
        <f>HYPERLINK("https://careerviet.vn/vi/tim-viec-lam/chuyen-vien-trach-nhiem-xa-hoi-csr-compliance.35C6CF3E.html","Xem chi tiết")</f>
        <v/>
      </c>
    </row>
    <row r="6466">
      <c r="B6466" s="9" t="n">
        <v>6464</v>
      </c>
      <c r="C6466" s="10" t="inlineStr">
        <is>
          <t>Nhân viên Tài chính(Mới)</t>
        </is>
      </c>
      <c r="D6466" s="10" t="inlineStr">
        <is>
          <t>CÔNG TY CỔ PHẦN XÂY DỰNG VILAI VIỆT</t>
        </is>
      </c>
      <c r="E6466" s="10" t="inlineStr">
        <is>
          <t>Lương:Cạnh tranh</t>
        </is>
      </c>
      <c r="F6466" s="10" t="inlineStr">
        <is>
          <t>Hà Nội</t>
        </is>
      </c>
      <c r="G6466" s="10" t="inlineStr">
        <is>
          <t>16-04-2026</t>
        </is>
      </c>
      <c r="H6466" s="10" t="inlineStr">
        <is>
          <t>16/04/2026</t>
        </is>
      </c>
      <c r="I6466" s="10" t="inlineStr">
        <is>
          <t>17/03/2026</t>
        </is>
      </c>
      <c r="J6466" s="10" t="inlineStr">
        <is>
          <t>Kế toán / Kiểm toán, Tài chính / Đầu tư, Xây dựng</t>
        </is>
      </c>
      <c r="K6466" s="10" t="inlineStr">
        <is>
          <t>2 - 5 Năm</t>
        </is>
      </c>
      <c r="L6466" s="11">
        <f>HYPERLINK("https://careerviet.vn/vi/tim-viec-lam/nhan-vien-tai-chinh.35C6CF1F.html","Xem chi tiết")</f>
        <v/>
      </c>
      <c r="M6466" s="10" t="n"/>
    </row>
    <row r="6467">
      <c r="B6467" s="7" t="n">
        <v>6465</v>
      </c>
      <c r="C6467" t="inlineStr">
        <is>
          <t>Repair Maintenance Technician (Kỹ Thuật Viên Bảo Trì)(Mới)</t>
        </is>
      </c>
      <c r="D6467" t="inlineStr">
        <is>
          <t>SAMTEC VIETNAM COMPANY LIMITED</t>
        </is>
      </c>
      <c r="E6467" t="inlineStr">
        <is>
          <t>Lương:Cạnh tranh</t>
        </is>
      </c>
      <c r="F6467" t="inlineStr">
        <is>
          <t>Đồng Nai</t>
        </is>
      </c>
      <c r="G6467" t="inlineStr">
        <is>
          <t>31-05-2026</t>
        </is>
      </c>
      <c r="H6467" t="inlineStr">
        <is>
          <t>31/05/2026</t>
        </is>
      </c>
      <c r="I6467" t="inlineStr">
        <is>
          <t>17/03/2026</t>
        </is>
      </c>
      <c r="J6467" t="inlineStr">
        <is>
          <t>Cơ khí / Ô tô / Tự động hóa, Điện / Điện tử / Điện lạnh / Điện công nghiệp, Sản xuất / Vận hành sản xuất</t>
        </is>
      </c>
      <c r="K6467" t="inlineStr">
        <is>
          <t>2 - 4 Năm</t>
        </is>
      </c>
      <c r="L6467" s="8">
        <f>HYPERLINK("https://careerviet.vn/vi/tim-viec-lam/repair-maintenance-technician-ky-thuat-vien-bao-tri.35C6CF2A.html","Xem chi tiết")</f>
        <v/>
      </c>
    </row>
    <row r="6468">
      <c r="B6468" s="9" t="n">
        <v>6466</v>
      </c>
      <c r="C6468" s="10" t="inlineStr">
        <is>
          <t>Trưởng phòng Rập(Mới)</t>
        </is>
      </c>
      <c r="D6468" s="10" t="inlineStr">
        <is>
          <t>CÔNG TY TNHH EVOLUTION ENTERPRISES</t>
        </is>
      </c>
      <c r="E6468" s="10" t="inlineStr">
        <is>
          <t>Lương:30 Tr - 35 Tr VND</t>
        </is>
      </c>
      <c r="F6468" s="10" t="inlineStr">
        <is>
          <t>Hồ Chí Minh</t>
        </is>
      </c>
      <c r="G6468" s="10" t="inlineStr">
        <is>
          <t>11-04-2026</t>
        </is>
      </c>
      <c r="H6468" s="10" t="inlineStr">
        <is>
          <t>11/04/2026</t>
        </is>
      </c>
      <c r="I6468" s="10" t="inlineStr">
        <is>
          <t>17/03/2026</t>
        </is>
      </c>
      <c r="J6468" s="10" t="inlineStr">
        <is>
          <t>Sản xuất / Vận hành sản xuất, Dệt may / Da giày / Thời trang</t>
        </is>
      </c>
      <c r="K6468" s="10" t="inlineStr">
        <is>
          <t>3 - 5 Năm</t>
        </is>
      </c>
      <c r="L6468" s="11">
        <f>HYPERLINK("https://careerviet.vn/vi/tim-viec-lam/truong-phong-rap.35C6CA5C.html","Xem chi tiết")</f>
        <v/>
      </c>
      <c r="M6468" s="10" t="n"/>
    </row>
    <row r="6469">
      <c r="B6469" s="7" t="n">
        <v>6467</v>
      </c>
      <c r="C6469" t="inlineStr">
        <is>
          <t>3D Pattern Maker(Mới)</t>
        </is>
      </c>
      <c r="D6469" t="inlineStr">
        <is>
          <t>CÔNG TY TNHH EVOLUTION ENTERPRISES</t>
        </is>
      </c>
      <c r="E6469" t="inlineStr">
        <is>
          <t>Lương:18 Tr - 22 Tr VND</t>
        </is>
      </c>
      <c r="F6469" t="inlineStr">
        <is>
          <t>Hồ Chí Minh</t>
        </is>
      </c>
      <c r="G6469" t="inlineStr">
        <is>
          <t>30-04-2026</t>
        </is>
      </c>
      <c r="H6469" t="inlineStr">
        <is>
          <t>30/04/2026</t>
        </is>
      </c>
      <c r="I6469" t="inlineStr">
        <is>
          <t>17/03/2026</t>
        </is>
      </c>
      <c r="J6469" t="inlineStr">
        <is>
          <t>Dệt may / Da giày / Thời trang</t>
        </is>
      </c>
      <c r="K6469" t="inlineStr">
        <is>
          <t>2 - 5 Năm</t>
        </is>
      </c>
      <c r="L6469" s="8">
        <f>HYPERLINK("https://careerviet.vn/vi/tim-viec-lam/3d-pattern-maker.35C6CA57.html","Xem chi tiết")</f>
        <v/>
      </c>
    </row>
    <row r="6470">
      <c r="B6470" s="9" t="n">
        <v>6468</v>
      </c>
      <c r="C6470" s="10" t="inlineStr">
        <is>
          <t>Production Control Specialist(Mới)</t>
        </is>
      </c>
      <c r="D6470" s="10" t="inlineStr">
        <is>
          <t>CÔNG TY TNHH WGR INDUSTRIES</t>
        </is>
      </c>
      <c r="E6470" s="10" t="inlineStr">
        <is>
          <t>Lương:Cạnh tranh</t>
        </is>
      </c>
      <c r="F6470" s="10" t="inlineStr">
        <is>
          <t>Bình Định</t>
        </is>
      </c>
      <c r="G6470" s="10" t="inlineStr">
        <is>
          <t>30-04-2026</t>
        </is>
      </c>
      <c r="H6470" s="10" t="inlineStr">
        <is>
          <t>30/04/2026</t>
        </is>
      </c>
      <c r="I6470" s="10" t="inlineStr">
        <is>
          <t>17/03/2026</t>
        </is>
      </c>
      <c r="J6470" s="10" t="inlineStr">
        <is>
          <t>Sản xuất / Vận hành sản xuất, Đồ gỗ, Nội ngoại thất</t>
        </is>
      </c>
      <c r="K6470" s="10" t="inlineStr">
        <is>
          <t>2 - 5 Năm</t>
        </is>
      </c>
      <c r="L6470" s="11">
        <f>HYPERLINK("https://careerviet.vn/vi/tim-viec-lam/production-control-specialist.35C6CF29.html","Xem chi tiết")</f>
        <v/>
      </c>
      <c r="M6470" s="10" t="n"/>
    </row>
    <row r="6471">
      <c r="B6471" s="7" t="n">
        <v>6469</v>
      </c>
      <c r="C6471" t="inlineStr">
        <is>
          <t>Nhân Viên Hành Chính Nhân Sự(Mới)</t>
        </is>
      </c>
      <c r="D6471" t="inlineStr">
        <is>
          <t>CÔNG TY CỔ PHẦN TRUYỀN THÔNG KIM CƯƠNG</t>
        </is>
      </c>
      <c r="E6471" t="inlineStr">
        <is>
          <t>Lương:11 Tr - 12 Tr VND</t>
        </is>
      </c>
      <c r="F6471" t="inlineStr">
        <is>
          <t>Hà Nội</t>
        </is>
      </c>
      <c r="G6471" t="inlineStr">
        <is>
          <t>11-04-2026</t>
        </is>
      </c>
      <c r="H6471" t="inlineStr">
        <is>
          <t>11/04/2026</t>
        </is>
      </c>
      <c r="I6471" t="inlineStr">
        <is>
          <t>17/03/2026</t>
        </is>
      </c>
      <c r="J6471" t="inlineStr">
        <is>
          <t>Nhân sự, Kế toán / Kiểm toán, Thu mua / Vật tư</t>
        </is>
      </c>
      <c r="K6471" t="inlineStr">
        <is>
          <t>1 - 2 Năm</t>
        </is>
      </c>
      <c r="L6471" s="8">
        <f>HYPERLINK("https://careerviet.vn/vi/tim-viec-lam/nhan-vien-hanh-chinh-nhan-su.35C6CF32.html","Xem chi tiết")</f>
        <v/>
      </c>
    </row>
    <row r="6472">
      <c r="B6472" s="9" t="n">
        <v>6470</v>
      </c>
      <c r="C6472" s="10" t="inlineStr">
        <is>
          <t>Repair Maintenance Technician (Kỹ Thuật Viên Bảo Trì)(Mới)</t>
        </is>
      </c>
      <c r="D6472" s="10" t="inlineStr">
        <is>
          <t>SAMTEC VIETNAM COMPANY LIMITED</t>
        </is>
      </c>
      <c r="E6472" s="10" t="inlineStr">
        <is>
          <t>Lương:Cạnh tranh</t>
        </is>
      </c>
      <c r="F6472" s="10" t="inlineStr">
        <is>
          <t>Đồng Nai</t>
        </is>
      </c>
      <c r="G6472" s="10" t="inlineStr">
        <is>
          <t>30-04-2026</t>
        </is>
      </c>
      <c r="H6472" s="10" t="inlineStr">
        <is>
          <t>30/04/2026</t>
        </is>
      </c>
      <c r="I6472" s="10" t="inlineStr">
        <is>
          <t>17/03/2026</t>
        </is>
      </c>
      <c r="J6472" s="10" t="inlineStr">
        <is>
          <t>Cơ khí / Ô tô / Tự động hóa, Điện / Điện tử / Điện lạnh / Điện công nghiệp, Sản xuất / Vận hành sản xuất</t>
        </is>
      </c>
      <c r="K6472" s="10" t="inlineStr">
        <is>
          <t>2 - 5 Năm</t>
        </is>
      </c>
      <c r="L6472" s="11">
        <f>HYPERLINK("https://careerviet.vn/vi/tim-viec-lam/repair-maintenance-technician-ky-thuat-vien-bao-tri.35C6CEED.html","Xem chi tiết")</f>
        <v/>
      </c>
      <c r="M6472" s="10" t="n"/>
    </row>
    <row r="6473">
      <c r="B6473" s="7" t="n">
        <v>6471</v>
      </c>
      <c r="C6473" t="inlineStr">
        <is>
          <t>Phát triển dự án - Giải phóng mặt bằng(Mới)</t>
        </is>
      </c>
      <c r="D6473" t="inlineStr">
        <is>
          <t>Công Ty Cổ Phần Thương Mại Tư Vấn Và Xây Dựng Vĩnh Hưng</t>
        </is>
      </c>
      <c r="E6473" t="inlineStr">
        <is>
          <t>Lương:25 Tr - 30 Tr VND</t>
        </is>
      </c>
      <c r="F6473" t="inlineStr">
        <is>
          <t>Hà Nội</t>
        </is>
      </c>
      <c r="G6473" t="inlineStr">
        <is>
          <t>30-03-2026</t>
        </is>
      </c>
      <c r="H6473" t="inlineStr">
        <is>
          <t>30/03/2026</t>
        </is>
      </c>
      <c r="I6473" t="inlineStr">
        <is>
          <t>17/03/2026</t>
        </is>
      </c>
      <c r="J6473" t="inlineStr">
        <is>
          <t>Bất động sản</t>
        </is>
      </c>
      <c r="K6473" t="inlineStr">
        <is>
          <t>Chưa có kinh nghiệm</t>
        </is>
      </c>
      <c r="L6473" s="8">
        <f>HYPERLINK("https://careerviet.vn/vi/tim-viec-lam/phat-trien-du-an-giai-phong-mat-bang.35C6CF3A.html","Xem chi tiết")</f>
        <v/>
      </c>
    </row>
    <row r="6474">
      <c r="B6474" s="9" t="n">
        <v>6472</v>
      </c>
      <c r="C6474" s="10" t="inlineStr">
        <is>
          <t>Nhân Viên Hành Chính (Hợp Đồng 1 Năm)(Mới)</t>
        </is>
      </c>
      <c r="D6474" s="10" t="inlineStr">
        <is>
          <t>Công Ty Cổ Phần GreenFeed Việt Nam</t>
        </is>
      </c>
      <c r="E6474" s="10" t="inlineStr">
        <is>
          <t>Lương:11 Tr - 16 Tr VND</t>
        </is>
      </c>
      <c r="F6474" s="10" t="inlineStr">
        <is>
          <t>Hưng YênHà Nội</t>
        </is>
      </c>
      <c r="G6474" s="10" t="inlineStr">
        <is>
          <t>14-04-2026</t>
        </is>
      </c>
      <c r="H6474" s="10" t="inlineStr">
        <is>
          <t>14/04/2026</t>
        </is>
      </c>
      <c r="I6474" s="10" t="inlineStr">
        <is>
          <t>17/03/2026</t>
        </is>
      </c>
      <c r="J6474" s="10" t="inlineStr">
        <is>
          <t>Hành chính / Thư ký</t>
        </is>
      </c>
      <c r="K6474" s="10" t="inlineStr">
        <is>
          <t>Trên 2 Năm</t>
        </is>
      </c>
      <c r="L6474" s="11">
        <f>HYPERLINK("https://careerviet.vn/vi/tim-viec-lam/nhan-vien-hanh-chinh-hop-dong-1-nam.35C6CF3B.html","Xem chi tiết")</f>
        <v/>
      </c>
      <c r="M6474" s="10" t="n"/>
    </row>
    <row r="6475">
      <c r="B6475" s="7" t="n">
        <v>6473</v>
      </c>
      <c r="C6475" t="inlineStr">
        <is>
          <t>Chuyên viên Nghiên cứu thị trường(Mới)</t>
        </is>
      </c>
      <c r="D6475" t="inlineStr">
        <is>
          <t>BIM Group</t>
        </is>
      </c>
      <c r="E6475" t="inlineStr">
        <is>
          <t>Lương:Cạnh tranh</t>
        </is>
      </c>
      <c r="F6475" t="inlineStr">
        <is>
          <t>Hà Nội</t>
        </is>
      </c>
      <c r="G6475" t="inlineStr">
        <is>
          <t>31-05-2026</t>
        </is>
      </c>
      <c r="H6475" t="inlineStr">
        <is>
          <t>31/05/2026</t>
        </is>
      </c>
      <c r="I6475" t="inlineStr">
        <is>
          <t>17/03/2026</t>
        </is>
      </c>
      <c r="J6475" t="inlineStr">
        <is>
          <t>Bán hàng / Kinh doanh, Thực phẩm &amp; Đồ uống, Công nghệ thực phẩm / Dinh dưỡng</t>
        </is>
      </c>
      <c r="K6475" t="inlineStr">
        <is>
          <t>Trên 3 Năm</t>
        </is>
      </c>
      <c r="L6475" s="8">
        <f>HYPERLINK("https://careerviet.vn/vi/tim-viec-lam/chuyen-vien-nghien-cuu-thi-truong.35C6CF2F.html","Xem chi tiết")</f>
        <v/>
      </c>
    </row>
    <row r="6476">
      <c r="B6476" s="9" t="n">
        <v>6474</v>
      </c>
      <c r="C6476" s="10" t="inlineStr">
        <is>
          <t>Trực Tổng Đài, chat page cho Viettel Post tại Hoài Đức(Mới)</t>
        </is>
      </c>
      <c r="D6476" s="10" t="inlineStr">
        <is>
          <t>CÔNG TY CỔ PHẦN TRUYỀN THÔNG KIM CƯƠNG</t>
        </is>
      </c>
      <c r="E6476" s="10" t="inlineStr">
        <is>
          <t>Lương:8 Tr - 12 Tr VND</t>
        </is>
      </c>
      <c r="F6476" s="10" t="inlineStr">
        <is>
          <t>Hà Nội</t>
        </is>
      </c>
      <c r="G6476" s="10" t="inlineStr">
        <is>
          <t>17-04-2026</t>
        </is>
      </c>
      <c r="H6476" s="10" t="inlineStr">
        <is>
          <t>17/04/2026</t>
        </is>
      </c>
      <c r="I6476" s="10" t="inlineStr">
        <is>
          <t>17/03/2026</t>
        </is>
      </c>
      <c r="J6476" s="10" t="inlineStr">
        <is>
          <t>Tư vấn, Dịch vụ khách hàng, Bán hàng / Kinh doanh</t>
        </is>
      </c>
      <c r="K6476" s="10" t="inlineStr">
        <is>
          <t>N/A</t>
        </is>
      </c>
      <c r="L6476" s="11">
        <f>HYPERLINK("https://careerviet.vn/vi/tim-viec-lam/truc-tong-dai-chat-page-cho-viettel-post-tai-hoai-duc.35C6CF23.html","Xem chi tiết")</f>
        <v/>
      </c>
      <c r="M6476" s="10" t="n"/>
    </row>
    <row r="6477">
      <c r="B6477" s="7" t="n">
        <v>6475</v>
      </c>
      <c r="C6477" t="inlineStr">
        <is>
          <t>Nhân viên Bán hàng Kênh GT(Mới)</t>
        </is>
      </c>
      <c r="D6477" t="inlineStr">
        <is>
          <t>Công ty CP Thành Thành Công - Biên Hòa</t>
        </is>
      </c>
      <c r="E6477" t="inlineStr">
        <is>
          <t>Lương:Cạnh tranh</t>
        </is>
      </c>
      <c r="F6477" t="inlineStr">
        <is>
          <t>Hồ Chí Minh</t>
        </is>
      </c>
      <c r="G6477" t="inlineStr">
        <is>
          <t>16-04-2026</t>
        </is>
      </c>
      <c r="H6477" t="inlineStr">
        <is>
          <t>16/04/2026</t>
        </is>
      </c>
      <c r="I6477" t="inlineStr">
        <is>
          <t>17/03/2026</t>
        </is>
      </c>
      <c r="J6477" t="inlineStr">
        <is>
          <t>Bán lẻ / Bán sỉ, Bán hàng / Kinh doanh</t>
        </is>
      </c>
      <c r="K6477" t="inlineStr">
        <is>
          <t>Trên 1 Năm</t>
        </is>
      </c>
      <c r="L6477" s="8">
        <f>HYPERLINK("https://careerviet.vn/vi/tim-viec-lam/nhan-vien-ban-hang-kenh-gt.35C6CF1C.html","Xem chi tiết")</f>
        <v/>
      </c>
    </row>
    <row r="6478">
      <c r="B6478" s="9" t="n">
        <v>6476</v>
      </c>
      <c r="C6478" s="10" t="inlineStr">
        <is>
          <t>Nhân viên tư vấn dịch vụ VAS cho Viettel Nghệ An(Mới)</t>
        </is>
      </c>
      <c r="D6478" s="10" t="inlineStr">
        <is>
          <t>CÔNG TY CỔ PHẦN TRUYỀN THÔNG KIM CƯƠNG</t>
        </is>
      </c>
      <c r="E6478" s="10" t="inlineStr">
        <is>
          <t>Lương:7 Tr - 12 Tr VND</t>
        </is>
      </c>
      <c r="F6478" s="10" t="inlineStr">
        <is>
          <t>Nghệ An</t>
        </is>
      </c>
      <c r="G6478" s="10" t="inlineStr">
        <is>
          <t>30-04-2026</t>
        </is>
      </c>
      <c r="H6478" s="10" t="inlineStr">
        <is>
          <t>30/04/2026</t>
        </is>
      </c>
      <c r="I6478" s="10" t="inlineStr">
        <is>
          <t>17/03/2026</t>
        </is>
      </c>
      <c r="J6478" s="10" t="inlineStr">
        <is>
          <t>Tư vấn, Bán hàng / Kinh doanh, Tiếp thị trực tuyến</t>
        </is>
      </c>
      <c r="K6478" s="10" t="inlineStr">
        <is>
          <t>N/A</t>
        </is>
      </c>
      <c r="L6478" s="11">
        <f>HYPERLINK("https://careerviet.vn/vi/tim-viec-lam/nhan-vien-tu-van-dich-vu-vas-cho-viettel-nghe-an.35C6CF2D.html","Xem chi tiết")</f>
        <v/>
      </c>
      <c r="M6478" s="10" t="n"/>
    </row>
    <row r="6479">
      <c r="B6479" s="7" t="n">
        <v>6477</v>
      </c>
      <c r="C6479" t="inlineStr">
        <is>
          <t>Quản Lý Vận Hành Khối Kinh Doanh(Mới)</t>
        </is>
      </c>
      <c r="D6479" t="inlineStr">
        <is>
          <t>CÔNG TY CỔ PHẦN CÔNG NGHIỆP WELDCOM</t>
        </is>
      </c>
      <c r="E6479" t="inlineStr">
        <is>
          <t>Lương:30 Tr - 45 Tr VND</t>
        </is>
      </c>
      <c r="F6479" t="inlineStr">
        <is>
          <t>Hà Nội</t>
        </is>
      </c>
      <c r="G6479" t="inlineStr">
        <is>
          <t>31-03-2026</t>
        </is>
      </c>
      <c r="H6479" t="inlineStr">
        <is>
          <t>31/03/2026</t>
        </is>
      </c>
      <c r="I6479" t="inlineStr">
        <is>
          <t>17/03/2026</t>
        </is>
      </c>
      <c r="J6479" t="inlineStr">
        <is>
          <t>Bán hàng / Kinh doanh, Kế toán / Kiểm toán, Quản lý điều hành</t>
        </is>
      </c>
      <c r="K6479" t="inlineStr">
        <is>
          <t>3 - 5 Năm</t>
        </is>
      </c>
      <c r="L6479" s="8">
        <f>HYPERLINK("https://careerviet.vn/vi/tim-viec-lam/quan-ly-van-hanh-khoi-kinh-doanh.35C6CF31.html","Xem chi tiết")</f>
        <v/>
      </c>
    </row>
    <row r="6480">
      <c r="B6480" s="9" t="n">
        <v>6478</v>
      </c>
      <c r="C6480" s="10" t="inlineStr">
        <is>
          <t>Sales – Logistics / Freight Forwarding(Mới)</t>
        </is>
      </c>
      <c r="D6480" s="10" t="inlineStr">
        <is>
          <t>CÔNG TY TNHH LOGICALL VIỆT NAM</t>
        </is>
      </c>
      <c r="E6480" s="10" t="inlineStr">
        <is>
          <t>Lương:Cạnh tranh</t>
        </is>
      </c>
      <c r="F6480" s="10" t="inlineStr">
        <is>
          <t>Hồ Chí Minh</t>
        </is>
      </c>
      <c r="G6480" s="10" t="inlineStr">
        <is>
          <t>16-04-2026</t>
        </is>
      </c>
      <c r="H6480" s="10" t="inlineStr">
        <is>
          <t>16/04/2026</t>
        </is>
      </c>
      <c r="I6480" s="10" t="inlineStr">
        <is>
          <t>17/03/2026</t>
        </is>
      </c>
      <c r="J6480" s="10" t="inlineStr">
        <is>
          <t>Xuất nhập khẩu, Bán hàng / Kinh doanh, Bán Hàng Kỹ Thuật</t>
        </is>
      </c>
      <c r="K6480" s="10" t="inlineStr">
        <is>
          <t>Trên 1 Năm</t>
        </is>
      </c>
      <c r="L6480" s="11">
        <f>HYPERLINK("https://careerviet.vn/vi/tim-viec-lam/sales-logistics-freight-forwarding.35C6CF1E.html","Xem chi tiết")</f>
        <v/>
      </c>
      <c r="M6480" s="10" t="n"/>
    </row>
    <row r="6481">
      <c r="B6481" s="7" t="n">
        <v>6479</v>
      </c>
      <c r="C6481" t="inlineStr">
        <is>
          <t>Chuyên Viên Phát triển Sản Phẩm(Mới)</t>
        </is>
      </c>
      <c r="D6481" t="inlineStr">
        <is>
          <t>Fast and Furious</t>
        </is>
      </c>
      <c r="E6481" t="inlineStr">
        <is>
          <t>Lương:Cạnh tranh</t>
        </is>
      </c>
      <c r="F6481" t="inlineStr">
        <is>
          <t>Hồ Chí Minh</t>
        </is>
      </c>
      <c r="G6481" t="inlineStr">
        <is>
          <t>18-04-2026</t>
        </is>
      </c>
      <c r="H6481" t="inlineStr">
        <is>
          <t>18/04/2026</t>
        </is>
      </c>
      <c r="I6481" t="inlineStr">
        <is>
          <t>17/03/2026</t>
        </is>
      </c>
      <c r="J6481" t="inlineStr">
        <is>
          <t>CNTT - Phần cứng / Mạng</t>
        </is>
      </c>
      <c r="K6481" t="inlineStr">
        <is>
          <t>N/A</t>
        </is>
      </c>
      <c r="L6481" s="8">
        <f>HYPERLINK("https://careerviet.vn/vi/tim-viec-lam/chuyen-vien-phat-trien-san-pham.35C6CF1B.html","Xem chi tiết")</f>
        <v/>
      </c>
    </row>
    <row r="6482">
      <c r="B6482" s="9" t="n">
        <v>6480</v>
      </c>
      <c r="C6482" s="10" t="inlineStr">
        <is>
          <t>Trực tổng đài MB bank 247 tại Đống Đa(Mới)</t>
        </is>
      </c>
      <c r="D6482" s="10" t="inlineStr">
        <is>
          <t>CÔNG TY CỔ PHẦN TRUYỀN THÔNG KIM CƯƠNG</t>
        </is>
      </c>
      <c r="E6482" s="10" t="inlineStr">
        <is>
          <t>Lương:8 Tr - 12 Tr VND</t>
        </is>
      </c>
      <c r="F6482" s="10" t="inlineStr">
        <is>
          <t>Hà Nội</t>
        </is>
      </c>
      <c r="G6482" s="10" t="inlineStr">
        <is>
          <t>30-04-2026</t>
        </is>
      </c>
      <c r="H6482" s="10" t="inlineStr">
        <is>
          <t>30/04/2026</t>
        </is>
      </c>
      <c r="I6482" s="10" t="inlineStr">
        <is>
          <t>17/03/2026</t>
        </is>
      </c>
      <c r="J6482" s="10" t="inlineStr">
        <is>
          <t>Tư vấn, Dịch vụ khách hàng, Giáo dục / Đào tạo</t>
        </is>
      </c>
      <c r="K6482" s="10" t="inlineStr">
        <is>
          <t>N/A</t>
        </is>
      </c>
      <c r="L6482" s="11">
        <f>HYPERLINK("https://careerviet.vn/vi/tim-viec-lam/truc-tong-dai-mb-bank-247-tai-dong-da.35C6CF28.html","Xem chi tiết")</f>
        <v/>
      </c>
      <c r="M6482" s="10" t="n"/>
    </row>
    <row r="6483">
      <c r="B6483" s="7" t="n">
        <v>6481</v>
      </c>
      <c r="C6483" t="inlineStr">
        <is>
          <t>BẢO TRÌ THIẾT BỊ TỰ ĐỘNG HÓA(Mới)</t>
        </is>
      </c>
      <c r="D6483" t="inlineStr">
        <is>
          <t>PTSC Offshore Services (POS)</t>
        </is>
      </c>
      <c r="E6483" t="inlineStr">
        <is>
          <t>Lương:Cạnh tranh</t>
        </is>
      </c>
      <c r="F6483" t="inlineStr">
        <is>
          <t>Bà Rịa - Vũng Tàu</t>
        </is>
      </c>
      <c r="G6483" t="inlineStr">
        <is>
          <t>17-04-2026</t>
        </is>
      </c>
      <c r="H6483" t="inlineStr">
        <is>
          <t>17/04/2026</t>
        </is>
      </c>
      <c r="I6483" t="inlineStr">
        <is>
          <t>17/03/2026</t>
        </is>
      </c>
      <c r="J6483" t="inlineStr">
        <is>
          <t>Dầu khí</t>
        </is>
      </c>
      <c r="K6483" t="inlineStr">
        <is>
          <t>Lên đến 2 Năm</t>
        </is>
      </c>
      <c r="L6483" s="8">
        <f>HYPERLINK("https://careerviet.vn/vi/tim-viec-lam/bao-tri-thiet-bi-tu-dong-hoa.35C6CF0C.html","Xem chi tiết")</f>
        <v/>
      </c>
    </row>
    <row r="6484">
      <c r="B6484" s="9" t="n">
        <v>6482</v>
      </c>
      <c r="C6484" s="10" t="inlineStr">
        <is>
          <t>Cán bộ kỹ thuật hiện trường và Cán bộ QA QC tại Đồng Nai(Mới)</t>
        </is>
      </c>
      <c r="D6484" s="10" t="inlineStr">
        <is>
          <t>CÔNG TY CỔ PHẦN XÂY DỰNG MEGASPACE</t>
        </is>
      </c>
      <c r="E6484" s="10" t="inlineStr">
        <is>
          <t>Lương:15 Tr - 25 Tr VND</t>
        </is>
      </c>
      <c r="F6484" s="10" t="inlineStr">
        <is>
          <t>Đồng Nai</t>
        </is>
      </c>
      <c r="G6484" s="10" t="inlineStr">
        <is>
          <t>31-03-2026</t>
        </is>
      </c>
      <c r="H6484" s="10" t="inlineStr">
        <is>
          <t>31/03/2026</t>
        </is>
      </c>
      <c r="I6484" s="10" t="inlineStr">
        <is>
          <t>17/03/2026</t>
        </is>
      </c>
      <c r="J6484" s="10" t="inlineStr">
        <is>
          <t>Xây dựng</t>
        </is>
      </c>
      <c r="K6484" s="10" t="inlineStr">
        <is>
          <t>Trên 3 Năm</t>
        </is>
      </c>
      <c r="L6484" s="11">
        <f>HYPERLINK("https://careerviet.vn/vi/tim-viec-lam/can-bo-ky-thuat-hien-truong-va-can-bo-qa-qc-tai-dong-nai.35C6CF19.html","Xem chi tiết")</f>
        <v/>
      </c>
      <c r="M6484" s="10" t="n"/>
    </row>
    <row r="6485">
      <c r="B6485" s="7" t="n">
        <v>6483</v>
      </c>
      <c r="C6485" t="inlineStr">
        <is>
          <t>Nhân viên chăm sóc khách hàng Viettel kênh gọi ra tại Bắc Từ Liêm(Mới)</t>
        </is>
      </c>
      <c r="D6485" t="inlineStr">
        <is>
          <t>CÔNG TY CỔ PHẦN TRUYỀN THÔNG KIM CƯƠNG</t>
        </is>
      </c>
      <c r="E6485" t="inlineStr">
        <is>
          <t>Lương:7 Tr - 9 Tr VND</t>
        </is>
      </c>
      <c r="F6485" t="inlineStr">
        <is>
          <t>Hà Nội</t>
        </is>
      </c>
      <c r="G6485" t="inlineStr">
        <is>
          <t>30-04-2026</t>
        </is>
      </c>
      <c r="H6485" t="inlineStr">
        <is>
          <t>30/04/2026</t>
        </is>
      </c>
      <c r="I6485" t="inlineStr">
        <is>
          <t>17/03/2026</t>
        </is>
      </c>
      <c r="J6485" t="inlineStr">
        <is>
          <t>Tiếp thị / Marketing, Bán lẻ / Bán sỉ, Bán hàng / Kinh doanh</t>
        </is>
      </c>
      <c r="K6485" t="inlineStr">
        <is>
          <t>Chưa có kinh nghiệm</t>
        </is>
      </c>
      <c r="L6485" s="8">
        <f>HYPERLINK("https://careerviet.vn/vi/tim-viec-lam/nhan-vien-cham-soc-khach-hang-viettel-kenh-goi-ra-tai-bac-tu-liem.35C6CF25.html","Xem chi tiết")</f>
        <v/>
      </c>
    </row>
    <row r="6486">
      <c r="B6486" s="9" t="n">
        <v>6484</v>
      </c>
      <c r="C6486" s="10" t="inlineStr">
        <is>
          <t>Operation Staff(Mới)</t>
        </is>
      </c>
      <c r="D6486" s="10" t="inlineStr">
        <is>
          <t>CÔNG TY TNHH LOGICALL VIỆT NAM</t>
        </is>
      </c>
      <c r="E6486" s="10" t="inlineStr">
        <is>
          <t>Lương:Cạnh tranh</t>
        </is>
      </c>
      <c r="F6486" s="10" t="inlineStr">
        <is>
          <t>Hồ Chí Minh</t>
        </is>
      </c>
      <c r="G6486" s="10" t="inlineStr">
        <is>
          <t>16-04-2026</t>
        </is>
      </c>
      <c r="H6486" s="10" t="inlineStr">
        <is>
          <t>16/04/2026</t>
        </is>
      </c>
      <c r="I6486" s="10" t="inlineStr">
        <is>
          <t>17/03/2026</t>
        </is>
      </c>
      <c r="J6486" s="10" t="inlineStr">
        <is>
          <t>Vận chuyển / Giao nhận / Kho vận, Xuất nhập khẩu</t>
        </is>
      </c>
      <c r="K6486" s="10" t="inlineStr">
        <is>
          <t>N/A</t>
        </is>
      </c>
      <c r="L6486" s="11">
        <f>HYPERLINK("https://careerviet.vn/vi/tim-viec-lam/operation-staff.35C6CF18.html","Xem chi tiết")</f>
        <v/>
      </c>
      <c r="M6486" s="10" t="n"/>
    </row>
    <row r="6487">
      <c r="B6487" s="7" t="n">
        <v>6485</v>
      </c>
      <c r="C6487" t="inlineStr">
        <is>
          <t>Trưởng nhóm QA (Ngành Dược)(Mới)</t>
        </is>
      </c>
      <c r="D6487" t="inlineStr">
        <is>
          <t>Công ty cổ phần Anvy</t>
        </is>
      </c>
      <c r="E6487" t="inlineStr">
        <is>
          <t>Lương:20 Tr - 25 Tr VND</t>
        </is>
      </c>
      <c r="F6487" t="inlineStr">
        <is>
          <t>Hưng Yên</t>
        </is>
      </c>
      <c r="G6487" t="inlineStr">
        <is>
          <t>15-04-2026</t>
        </is>
      </c>
      <c r="H6487" t="inlineStr">
        <is>
          <t>15/04/2026</t>
        </is>
      </c>
      <c r="I6487" t="inlineStr">
        <is>
          <t>17/03/2026</t>
        </is>
      </c>
      <c r="J6487" t="inlineStr">
        <is>
          <t>Dược phẩm/ Hóa Mỹ Phẩm, Y tế / Chăm sóc sức khỏe / Thẩm mỹ / Làm đẹp</t>
        </is>
      </c>
      <c r="K6487" t="inlineStr">
        <is>
          <t>2 - 5 Năm</t>
        </is>
      </c>
      <c r="L6487" s="8">
        <f>HYPERLINK("https://careerviet.vn/vi/tim-viec-lam/truong-nhom-qa-nganh-duoc.35C6CF0A.html","Xem chi tiết")</f>
        <v/>
      </c>
    </row>
    <row r="6488">
      <c r="B6488" s="9" t="n">
        <v>6486</v>
      </c>
      <c r="C6488" s="10" t="inlineStr">
        <is>
          <t>Chuyên viên HCNS Tổng hợp (Mạnh về đánh giá KPI)(Mới)</t>
        </is>
      </c>
      <c r="D6488" s="10" t="inlineStr">
        <is>
          <t>Công Ty CP Đầu Tư IMG</t>
        </is>
      </c>
      <c r="E6488" s="10" t="inlineStr">
        <is>
          <t>Lương:18 Tr - 23 Tr VND</t>
        </is>
      </c>
      <c r="F6488" s="10" t="inlineStr">
        <is>
          <t>Hồ Chí Minh</t>
        </is>
      </c>
      <c r="G6488" s="10" t="inlineStr">
        <is>
          <t>17-04-2026</t>
        </is>
      </c>
      <c r="H6488" s="10" t="inlineStr">
        <is>
          <t>17/04/2026</t>
        </is>
      </c>
      <c r="I6488" s="10" t="inlineStr">
        <is>
          <t>17/03/2026</t>
        </is>
      </c>
      <c r="J6488" s="10" t="inlineStr">
        <is>
          <t>Bất động sản, Xây dựng</t>
        </is>
      </c>
      <c r="K6488" s="10" t="inlineStr">
        <is>
          <t>4 - 6 Năm</t>
        </is>
      </c>
      <c r="L6488" s="11">
        <f>HYPERLINK("https://careerviet.vn/vi/tim-viec-lam/chuyen-vien-hcns-tong-hop-manh-ve-danh-gia-kpi.35C6CF13.html","Xem chi tiết")</f>
        <v/>
      </c>
      <c r="M6488" s="10" t="n"/>
    </row>
    <row r="6489">
      <c r="B6489" s="7" t="n">
        <v>6487</v>
      </c>
      <c r="C6489" t="inlineStr">
        <is>
          <t>Production Manager (Quản lý Sản xuất)(Mới)</t>
        </is>
      </c>
      <c r="D6489" t="inlineStr">
        <is>
          <t>CÔNG TY TNHH BILLION VIETNAM HOLDING</t>
        </is>
      </c>
      <c r="E6489" t="inlineStr">
        <is>
          <t>Lương:30 Tr - 50 Tr VND</t>
        </is>
      </c>
      <c r="F6489" t="inlineStr">
        <is>
          <t>Tây Ninh</t>
        </is>
      </c>
      <c r="G6489" t="inlineStr">
        <is>
          <t>17-04-2026</t>
        </is>
      </c>
      <c r="H6489" t="inlineStr">
        <is>
          <t>17/04/2026</t>
        </is>
      </c>
      <c r="I6489" t="inlineStr">
        <is>
          <t>17/03/2026</t>
        </is>
      </c>
      <c r="J6489" t="inlineStr">
        <is>
          <t>Sản xuất / Vận hành sản xuất</t>
        </is>
      </c>
      <c r="K6489" t="inlineStr">
        <is>
          <t>Trên 5 Năm</t>
        </is>
      </c>
      <c r="L6489" s="8">
        <f>HYPERLINK("https://careerviet.vn/vi/tim-viec-lam/production-manager-quan-ly-san-xuat.35C6CEDC.html","Xem chi tiết")</f>
        <v/>
      </c>
    </row>
    <row r="6490">
      <c r="B6490" s="9" t="n">
        <v>6488</v>
      </c>
      <c r="C6490" s="10" t="inlineStr">
        <is>
          <t>Nhân viên Kế toán quỹ(Mới)</t>
        </is>
      </c>
      <c r="D6490" s="10" t="inlineStr">
        <is>
          <t>Công ty Cổ phần Govi Việt Nam</t>
        </is>
      </c>
      <c r="E6490" s="10" t="inlineStr">
        <is>
          <t>Lương:9 Tr - 11 Tr VND</t>
        </is>
      </c>
      <c r="F6490" s="10" t="inlineStr">
        <is>
          <t>Hà Nội</t>
        </is>
      </c>
      <c r="G6490" s="10" t="inlineStr">
        <is>
          <t>16-04-2026</t>
        </is>
      </c>
      <c r="H6490" s="10" t="inlineStr">
        <is>
          <t>16/04/2026</t>
        </is>
      </c>
      <c r="I6490" s="10" t="inlineStr">
        <is>
          <t>17/03/2026</t>
        </is>
      </c>
      <c r="J6490" s="10" t="inlineStr">
        <is>
          <t>Kế toán / Kiểm toán</t>
        </is>
      </c>
      <c r="K6490" s="10" t="inlineStr">
        <is>
          <t>Trên 2 Năm</t>
        </is>
      </c>
      <c r="L6490" s="11">
        <f>HYPERLINK("https://careerviet.vn/vi/tim-viec-lam/nhan-vien-ke-toan-quy.35C6CF09.html","Xem chi tiết")</f>
        <v/>
      </c>
      <c r="M6490" s="10" t="n"/>
    </row>
    <row r="6491">
      <c r="B6491" s="7" t="n">
        <v>6489</v>
      </c>
      <c r="C6491" t="inlineStr">
        <is>
          <t>NHÂN VIÊN MUA HÀNG  tại CÔNG TY SẢN XUẤT MỚI THÀNH LẬP(Mới)</t>
        </is>
      </c>
      <c r="D6491" t="inlineStr">
        <is>
          <t>Công ty TNHH AOBA Việt Nam</t>
        </is>
      </c>
      <c r="E6491" t="inlineStr">
        <is>
          <t>Lương:19 Tr - 22 Tr VND</t>
        </is>
      </c>
      <c r="F6491" t="inlineStr">
        <is>
          <t>Đồng Nai</t>
        </is>
      </c>
      <c r="G6491" t="inlineStr">
        <is>
          <t>30-04-2026</t>
        </is>
      </c>
      <c r="H6491" t="inlineStr">
        <is>
          <t>30/04/2026</t>
        </is>
      </c>
      <c r="I6491" t="inlineStr">
        <is>
          <t>17/03/2026</t>
        </is>
      </c>
      <c r="J6491" t="inlineStr">
        <is>
          <t>Sản xuất / Vận hành sản xuất, Thu mua / Vật tư</t>
        </is>
      </c>
      <c r="K6491" t="inlineStr">
        <is>
          <t>3 - 15 Năm</t>
        </is>
      </c>
      <c r="L6491" s="8">
        <f>HYPERLINK("https://careerviet.vn/vi/tim-viec-lam/nhan-vien-mua-hang-tai-cong-ty-san-xuat-moi-thanh-lap.35C6CF10.html","Xem chi tiết")</f>
        <v/>
      </c>
    </row>
    <row r="6492">
      <c r="B6492" s="9" t="n">
        <v>6490</v>
      </c>
      <c r="C6492" s="10" t="inlineStr">
        <is>
          <t>Trưởng phòng kỹ thuật(Mới)</t>
        </is>
      </c>
      <c r="D6492" s="10" t="inlineStr">
        <is>
          <t>Công ty TNHH Thương Mại &amp; Dịch Vụ Tri Linh</t>
        </is>
      </c>
      <c r="E6492" s="10" t="inlineStr">
        <is>
          <t>Lương:Cạnh tranh</t>
        </is>
      </c>
      <c r="F6492" s="10" t="inlineStr">
        <is>
          <t>Hồ Chí Minh</t>
        </is>
      </c>
      <c r="G6492" s="10" t="inlineStr">
        <is>
          <t>30-04-2026</t>
        </is>
      </c>
      <c r="H6492" s="10" t="inlineStr">
        <is>
          <t>30/04/2026</t>
        </is>
      </c>
      <c r="I6492" s="10" t="inlineStr">
        <is>
          <t>17/03/2026</t>
        </is>
      </c>
      <c r="J6492" s="10" t="inlineStr">
        <is>
          <t>CNTT - Phần mềm, CNTT - Phần cứng / Mạng, Giáo dục / Đào tạo</t>
        </is>
      </c>
      <c r="K6492" s="10" t="inlineStr">
        <is>
          <t>3 - 5 Năm</t>
        </is>
      </c>
      <c r="L6492" s="11">
        <f>HYPERLINK("https://careerviet.vn/vi/tim-viec-lam/truong-phong-ky-thuat.35C6CF03.html","Xem chi tiết")</f>
        <v/>
      </c>
      <c r="M6492" s="10" t="n"/>
    </row>
    <row r="6493">
      <c r="B6493" s="7" t="n">
        <v>6491</v>
      </c>
      <c r="C6493" t="inlineStr">
        <is>
          <t>Accounting intern(Mới)</t>
        </is>
      </c>
      <c r="D6493" t="inlineStr">
        <is>
          <t>Starbucks Vietnam</t>
        </is>
      </c>
      <c r="E6493" t="inlineStr">
        <is>
          <t>Lương:Cạnh tranh</t>
        </is>
      </c>
      <c r="F6493" t="inlineStr">
        <is>
          <t>Hồ Chí Minh</t>
        </is>
      </c>
      <c r="G6493" t="inlineStr">
        <is>
          <t>28-08-2026</t>
        </is>
      </c>
      <c r="H6493" t="inlineStr">
        <is>
          <t>28/08/2026</t>
        </is>
      </c>
      <c r="I6493" t="inlineStr">
        <is>
          <t>17/03/2026</t>
        </is>
      </c>
      <c r="J6493" t="inlineStr">
        <is>
          <t>Kế toán / Kiểm toán</t>
        </is>
      </c>
      <c r="K6493" t="inlineStr">
        <is>
          <t>N/A</t>
        </is>
      </c>
      <c r="L6493" s="8">
        <f>HYPERLINK("https://careerviet.vn/vi/tim-viec-lam/accounting-intern.35C6CEFC.html","Xem chi tiết")</f>
        <v/>
      </c>
    </row>
    <row r="6494">
      <c r="B6494" s="9" t="n">
        <v>6492</v>
      </c>
      <c r="C6494" s="10" t="inlineStr">
        <is>
          <t>Nhân Viên Kế Toán Nội Bộ(Mới)</t>
        </is>
      </c>
      <c r="D6494" s="10" t="inlineStr">
        <is>
          <t>Công ty Cổ phần Govi Việt Nam</t>
        </is>
      </c>
      <c r="E6494" s="10" t="inlineStr">
        <is>
          <t>Lương:9 Tr - 12 Tr VND</t>
        </is>
      </c>
      <c r="F6494" s="10" t="inlineStr">
        <is>
          <t>Hà Nội</t>
        </is>
      </c>
      <c r="G6494" s="10" t="inlineStr">
        <is>
          <t>16-04-2026</t>
        </is>
      </c>
      <c r="H6494" s="10" t="inlineStr">
        <is>
          <t>16/04/2026</t>
        </is>
      </c>
      <c r="I6494" s="10" t="inlineStr">
        <is>
          <t>17/03/2026</t>
        </is>
      </c>
      <c r="J6494" s="10" t="inlineStr">
        <is>
          <t>Kế toán / Kiểm toán</t>
        </is>
      </c>
      <c r="K6494" s="10" t="inlineStr">
        <is>
          <t>Trên 1 Năm</t>
        </is>
      </c>
      <c r="L6494" s="11">
        <f>HYPERLINK("https://careerviet.vn/vi/tim-viec-lam/nhan-vien-ke-toan-noi-bo.35C6CEF8.html","Xem chi tiết")</f>
        <v/>
      </c>
      <c r="M6494" s="10" t="n"/>
    </row>
    <row r="6495">
      <c r="B6495" s="7" t="n">
        <v>6493</v>
      </c>
      <c r="C6495" t="inlineStr">
        <is>
          <t>MATERIAL MANAGEMENT (PRODUCTION PLANNING)(Mới)</t>
        </is>
      </c>
      <c r="D6495" t="inlineStr">
        <is>
          <t>CÔNG TY TNHH CRYSTAL ELEGANCE TEXTILES VIỆT NAM</t>
        </is>
      </c>
      <c r="E6495" t="inlineStr">
        <is>
          <t>Lương:Cạnh tranh</t>
        </is>
      </c>
      <c r="F6495" t="inlineStr">
        <is>
          <t>Bình Dương</t>
        </is>
      </c>
      <c r="G6495" t="inlineStr">
        <is>
          <t>09-05-2026</t>
        </is>
      </c>
      <c r="H6495" t="inlineStr">
        <is>
          <t>09/05/2026</t>
        </is>
      </c>
      <c r="I6495" t="inlineStr">
        <is>
          <t>17/03/2026</t>
        </is>
      </c>
      <c r="J6495" t="inlineStr">
        <is>
          <t>Thống kê, Dệt may / Da giày / Thời trang, Sản xuất / Vận hành sản xuất</t>
        </is>
      </c>
      <c r="K6495" t="inlineStr">
        <is>
          <t>1 - 3 Năm</t>
        </is>
      </c>
      <c r="L6495" s="8">
        <f>HYPERLINK("https://careerviet.vn/vi/tim-viec-lam/material-management-production-planning.35C6CEFA.html","Xem chi tiết")</f>
        <v/>
      </c>
    </row>
    <row r="6496">
      <c r="B6496" s="9" t="n">
        <v>6494</v>
      </c>
      <c r="C6496" s="10" t="inlineStr">
        <is>
          <t>Trưởng ban an toàn(Mới)</t>
        </is>
      </c>
      <c r="D6496" s="10" t="inlineStr">
        <is>
          <t>CÔNG TY TNHH TẬP ĐOÀN XÂY DỰNG DELTA</t>
        </is>
      </c>
      <c r="E6496" s="10" t="inlineStr">
        <is>
          <t>Lương:Cạnh tranh</t>
        </is>
      </c>
      <c r="F6496" s="10" t="inlineStr">
        <is>
          <t>Bắc GiangHưng YênĐà Nẵng</t>
        </is>
      </c>
      <c r="G6496" s="10" t="inlineStr">
        <is>
          <t>31-05-2026</t>
        </is>
      </c>
      <c r="H6496" s="10" t="inlineStr">
        <is>
          <t>31/05/2026</t>
        </is>
      </c>
      <c r="I6496" s="10" t="inlineStr">
        <is>
          <t>17/03/2026</t>
        </is>
      </c>
      <c r="J6496" s="10" t="inlineStr">
        <is>
          <t>An toàn lao động</t>
        </is>
      </c>
      <c r="K6496" s="10" t="inlineStr">
        <is>
          <t>2 - 3 Năm</t>
        </is>
      </c>
      <c r="L6496" s="11">
        <f>HYPERLINK("https://careerviet.vn/vi/tim-viec-lam/truong-ban-an-toan.35C6CEF3.html","Xem chi tiết")</f>
        <v/>
      </c>
      <c r="M6496" s="10" t="n"/>
    </row>
    <row r="6497">
      <c r="B6497" s="7" t="n">
        <v>6495</v>
      </c>
      <c r="C6497" t="inlineStr">
        <is>
          <t>Nhân viên Điều hành Outbound - Vietravel Hà Nội(Mới)</t>
        </is>
      </c>
      <c r="D6497" t="inlineStr">
        <is>
          <t>Công Ty Cổ Phần Du Lịch Vietravel</t>
        </is>
      </c>
      <c r="E6497" t="inlineStr">
        <is>
          <t>Lương:Cạnh tranh</t>
        </is>
      </c>
      <c r="F6497" t="inlineStr">
        <is>
          <t>Hà Nội</t>
        </is>
      </c>
      <c r="G6497" t="inlineStr">
        <is>
          <t>29-04-2026</t>
        </is>
      </c>
      <c r="H6497" t="inlineStr">
        <is>
          <t>29/04/2026</t>
        </is>
      </c>
      <c r="I6497" t="inlineStr">
        <is>
          <t>17/03/2026</t>
        </is>
      </c>
      <c r="J6497" t="inlineStr">
        <is>
          <t>Nhà hàng / Khách sạn, Du lịch, Hàng không</t>
        </is>
      </c>
      <c r="K6497" t="inlineStr">
        <is>
          <t>2 - 3 Năm</t>
        </is>
      </c>
      <c r="L6497" s="8">
        <f>HYPERLINK("https://careerviet.vn/vi/tim-viec-lam/nhan-vien-dieu-hanh-outbound-vietravel-ha-noi.35C6CF01.html","Xem chi tiết")</f>
        <v/>
      </c>
    </row>
    <row r="6498">
      <c r="B6498" s="9" t="n">
        <v>6496</v>
      </c>
      <c r="C6498" s="10" t="inlineStr">
        <is>
          <t>Thủ kho (Ngành Dược)(Mới)</t>
        </is>
      </c>
      <c r="D6498" s="10" t="inlineStr">
        <is>
          <t>Công ty cổ phần Anvy</t>
        </is>
      </c>
      <c r="E6498" s="10" t="inlineStr">
        <is>
          <t>Lương:9 Tr - 12 Tr VND</t>
        </is>
      </c>
      <c r="F6498" s="10" t="inlineStr">
        <is>
          <t>Hưng Yên</t>
        </is>
      </c>
      <c r="G6498" s="10" t="inlineStr">
        <is>
          <t>15-04-2026</t>
        </is>
      </c>
      <c r="H6498" s="10" t="inlineStr">
        <is>
          <t>15/04/2026</t>
        </is>
      </c>
      <c r="I6498" s="10" t="inlineStr">
        <is>
          <t>17/03/2026</t>
        </is>
      </c>
      <c r="J6498" s="10" t="inlineStr">
        <is>
          <t>Dược phẩm/ Hóa Mỹ Phẩm, Y tế / Chăm sóc sức khỏe / Thẩm mỹ / Làm đẹp</t>
        </is>
      </c>
      <c r="K6498" s="10" t="inlineStr">
        <is>
          <t>1 - 2 Năm</t>
        </is>
      </c>
      <c r="L6498" s="11">
        <f>HYPERLINK("https://careerviet.vn/vi/tim-viec-lam/thu-kho-nganh-duoc.35C6CEF4.html","Xem chi tiết")</f>
        <v/>
      </c>
      <c r="M6498" s="10" t="n"/>
    </row>
    <row r="6499">
      <c r="B6499" s="7" t="n">
        <v>6497</v>
      </c>
      <c r="C6499" t="inlineStr">
        <is>
          <t>GIÁM SÁT HOẠT ĐỘNG RẠP PHIM GALAXY(Mới)</t>
        </is>
      </c>
      <c r="D6499" t="inlineStr">
        <is>
          <t>Công Ty Cổ Phần Phim Thiên Ngân (GALAXY STUDIO)</t>
        </is>
      </c>
      <c r="E6499" t="inlineStr">
        <is>
          <t>Lương:Cạnh tranh</t>
        </is>
      </c>
      <c r="F6499" t="inlineStr">
        <is>
          <t>Đà NẵngThừa Thiên- Huế</t>
        </is>
      </c>
      <c r="G6499" t="inlineStr">
        <is>
          <t>30-04-2026</t>
        </is>
      </c>
      <c r="H6499" t="inlineStr">
        <is>
          <t>30/04/2026</t>
        </is>
      </c>
      <c r="I6499" t="inlineStr">
        <is>
          <t>17/03/2026</t>
        </is>
      </c>
      <c r="J6499" t="inlineStr">
        <is>
          <t>Bán hàng / Kinh doanh, Dịch vụ khách hàng, Thực phẩm &amp; Đồ uống</t>
        </is>
      </c>
      <c r="K6499" t="inlineStr">
        <is>
          <t>Trên 2 Năm</t>
        </is>
      </c>
      <c r="L6499" s="8">
        <f>HYPERLINK("https://careerviet.vn/vi/tim-viec-lam/giam-sat-hoat-dong-rap-phim-galaxy.35C6CEEF.html","Xem chi tiết")</f>
        <v/>
      </c>
    </row>
    <row r="6500">
      <c r="B6500" s="9" t="n">
        <v>6498</v>
      </c>
      <c r="C6500" s="10" t="inlineStr">
        <is>
          <t>Nhân Viên R&amp;D – Vi Sinh Thuỷ Sản(Mới)</t>
        </is>
      </c>
      <c r="D6500" s="10" t="inlineStr">
        <is>
          <t>Công ty TNHH ADC</t>
        </is>
      </c>
      <c r="E6500" s="10" t="inlineStr">
        <is>
          <t>Lương:Cạnh tranh</t>
        </is>
      </c>
      <c r="F6500" s="10" t="inlineStr">
        <is>
          <t>Cần Thơ</t>
        </is>
      </c>
      <c r="G6500" s="10" t="inlineStr">
        <is>
          <t>16-04-2026</t>
        </is>
      </c>
      <c r="H6500" s="10" t="inlineStr">
        <is>
          <t>16/04/2026</t>
        </is>
      </c>
      <c r="I6500" s="10" t="inlineStr">
        <is>
          <t>17/03/2026</t>
        </is>
      </c>
      <c r="J6500" s="10" t="inlineStr">
        <is>
          <t>Thủy sản / Hải sản, Công nghệ sinh học</t>
        </is>
      </c>
      <c r="K6500" s="10" t="inlineStr">
        <is>
          <t>N/A</t>
        </is>
      </c>
      <c r="L6500" s="11">
        <f>HYPERLINK("https://careerviet.vn/vi/tim-viec-lam/nhan-vien-r-d-vi-sinh-thuy-san.35C6CE9D.html","Xem chi tiết")</f>
        <v/>
      </c>
      <c r="M6500" s="10" t="n"/>
    </row>
    <row r="6501">
      <c r="B6501" s="7" t="n">
        <v>6499</v>
      </c>
      <c r="C6501" t="inlineStr">
        <is>
          <t>Nhân Viên Hỗ Trợ Kinh Doanh Miền Bắc(Mới)</t>
        </is>
      </c>
      <c r="D6501" t="inlineStr">
        <is>
          <t>Công Ty Cổ Phần Đầu Tư Nam Long</t>
        </is>
      </c>
      <c r="E6501" t="inlineStr">
        <is>
          <t>Lương:12 Tr - 18 Tr VND</t>
        </is>
      </c>
      <c r="F6501" t="inlineStr">
        <is>
          <t>Hải Phòng</t>
        </is>
      </c>
      <c r="G6501" t="inlineStr">
        <is>
          <t>30-04-2026</t>
        </is>
      </c>
      <c r="H6501" t="inlineStr">
        <is>
          <t>30/04/2026</t>
        </is>
      </c>
      <c r="I6501" t="inlineStr">
        <is>
          <t>17/03/2026</t>
        </is>
      </c>
      <c r="J6501" t="inlineStr">
        <is>
          <t>Bán hàng / Kinh doanh, Bất động sản, Quản lý điều hành</t>
        </is>
      </c>
      <c r="K6501" t="inlineStr">
        <is>
          <t>2 - 4 Năm</t>
        </is>
      </c>
      <c r="L6501" s="8">
        <f>HYPERLINK("https://careerviet.vn/vi/tim-viec-lam/nhan-vien-ho-tro-kinh-doanh-mien-bac.35C6CE8C.html","Xem chi tiết")</f>
        <v/>
      </c>
    </row>
    <row r="6502">
      <c r="B6502" s="9" t="n">
        <v>6500</v>
      </c>
      <c r="C6502" s="10" t="inlineStr">
        <is>
          <t>Chuyên viên thanh quyết toán M&amp;E(Mới)</t>
        </is>
      </c>
      <c r="D6502" s="10" t="inlineStr">
        <is>
          <t>CÔNG TY TNHH TẬP ĐOÀN XÂY DỰNG DELTA</t>
        </is>
      </c>
      <c r="E6502" s="10" t="inlineStr">
        <is>
          <t>Lương:Cạnh tranh</t>
        </is>
      </c>
      <c r="F6502" s="10" t="inlineStr">
        <is>
          <t>Hà Nội</t>
        </is>
      </c>
      <c r="G6502" s="10" t="inlineStr">
        <is>
          <t>31-05-2026</t>
        </is>
      </c>
      <c r="H6502" s="10" t="inlineStr">
        <is>
          <t>31/05/2026</t>
        </is>
      </c>
      <c r="I6502" s="10" t="inlineStr">
        <is>
          <t>17/03/2026</t>
        </is>
      </c>
      <c r="J6502" s="10" t="inlineStr">
        <is>
          <t>Kế toán / Kiểm toán, Thống kê</t>
        </is>
      </c>
      <c r="K6502" s="10" t="inlineStr">
        <is>
          <t>2 - 5 Năm</t>
        </is>
      </c>
      <c r="L6502" s="11">
        <f>HYPERLINK("https://careerviet.vn/vi/tim-viec-lam/chuyen-vien-thanh-quyet-toan-m-e.35C6CEF5.html","Xem chi tiết")</f>
        <v/>
      </c>
      <c r="M6502" s="10" t="n"/>
    </row>
    <row r="6503">
      <c r="B6503" s="7" t="n">
        <v>6501</v>
      </c>
      <c r="C6503" t="inlineStr">
        <is>
          <t>Nhân Viên Tư Vấn Sản Phẩm tại Điện Máy Xanh - Khu Vực Miền Trung(Mới)</t>
        </is>
      </c>
      <c r="D6503" t="inlineStr">
        <is>
          <t>Tập Đoàn Karofi Holding</t>
        </is>
      </c>
      <c r="E6503" t="inlineStr">
        <is>
          <t>Lương:8 Tr - 15 Tr VND</t>
        </is>
      </c>
      <c r="F6503" t="inlineStr">
        <is>
          <t>Thanh HóaĐà NẵngQuảng Ngãi</t>
        </is>
      </c>
      <c r="G6503" t="inlineStr">
        <is>
          <t>14-04-2026</t>
        </is>
      </c>
      <c r="H6503" t="inlineStr">
        <is>
          <t>14/04/2026</t>
        </is>
      </c>
      <c r="I6503" t="inlineStr">
        <is>
          <t>17/03/2026</t>
        </is>
      </c>
      <c r="J6503" t="inlineStr">
        <is>
          <t>Bán lẻ / Bán sỉ, Bán hàng / Kinh doanh</t>
        </is>
      </c>
      <c r="K6503" t="inlineStr">
        <is>
          <t>N/A</t>
        </is>
      </c>
      <c r="L6503" s="8">
        <f>HYPERLINK("https://careerviet.vn/vi/tim-viec-lam/nhan-vien-tu-van-san-pham-tai-dien-may-xanh-khu-vuc-mien-trung.35C6CF12.html","Xem chi tiết")</f>
        <v/>
      </c>
    </row>
    <row r="6504">
      <c r="B6504" s="9" t="n">
        <v>6502</v>
      </c>
      <c r="C6504" s="10" t="inlineStr">
        <is>
          <t>Trưởng nhóm tư vấn sản phẩm - kênh GT(Mới)</t>
        </is>
      </c>
      <c r="D6504" s="10" t="inlineStr">
        <is>
          <t>Tập Đoàn Karofi Holding</t>
        </is>
      </c>
      <c r="E6504" s="10" t="inlineStr">
        <is>
          <t>Lương:20 Tr - 30 Tr VND</t>
        </is>
      </c>
      <c r="F6504" s="10" t="inlineStr">
        <is>
          <t>Hồ Chí Minh</t>
        </is>
      </c>
      <c r="G6504" s="10" t="inlineStr">
        <is>
          <t>29-04-2026</t>
        </is>
      </c>
      <c r="H6504" s="10" t="inlineStr">
        <is>
          <t>29/04/2026</t>
        </is>
      </c>
      <c r="I6504" s="10" t="inlineStr">
        <is>
          <t>17/03/2026</t>
        </is>
      </c>
      <c r="J6504" s="10" t="inlineStr">
        <is>
          <t>Bán hàng / Kinh doanh</t>
        </is>
      </c>
      <c r="K6504" s="10" t="inlineStr">
        <is>
          <t>1 - 2 Năm</t>
        </is>
      </c>
      <c r="L6504" s="11">
        <f>HYPERLINK("https://careerviet.vn/vi/tim-viec-lam/truong-nhom-tu-van-san-pham-kenh-gt.35C6CEA2.html","Xem chi tiết")</f>
        <v/>
      </c>
      <c r="M6504" s="10" t="n"/>
    </row>
    <row r="6505">
      <c r="B6505" s="7" t="n">
        <v>6503</v>
      </c>
      <c r="C6505" t="inlineStr">
        <is>
          <t>Kế Toán Tổng Hợp(Mới)</t>
        </is>
      </c>
      <c r="D6505" t="inlineStr">
        <is>
          <t>Công Ty Cổ Phần NICON</t>
        </is>
      </c>
      <c r="E6505" t="inlineStr">
        <is>
          <t>Lương:Cạnh tranh</t>
        </is>
      </c>
      <c r="F6505" t="inlineStr">
        <is>
          <t>Hồ Chí Minh</t>
        </is>
      </c>
      <c r="G6505" t="inlineStr">
        <is>
          <t>17-04-2026</t>
        </is>
      </c>
      <c r="H6505" t="inlineStr">
        <is>
          <t>17/04/2026</t>
        </is>
      </c>
      <c r="I6505" t="inlineStr">
        <is>
          <t>17/03/2026</t>
        </is>
      </c>
      <c r="J6505" t="inlineStr">
        <is>
          <t>Kế toán / Kiểm toán</t>
        </is>
      </c>
      <c r="K6505" t="inlineStr">
        <is>
          <t>1 - 2 Năm</t>
        </is>
      </c>
      <c r="L6505" s="8">
        <f>HYPERLINK("https://careerviet.vn/vi/tim-viec-lam/ke-toan-tong-hop.35C6CEA1.html","Xem chi tiết")</f>
        <v/>
      </c>
    </row>
    <row r="6506">
      <c r="B6506" s="9" t="n">
        <v>6504</v>
      </c>
      <c r="C6506" s="10" t="inlineStr">
        <is>
          <t>Nhân viên Vận Hành máy (Tân Phú)(Mới)</t>
        </is>
      </c>
      <c r="D6506" s="10" t="inlineStr">
        <is>
          <t>Công Ty TNHH CJ Foods Việt Nam</t>
        </is>
      </c>
      <c r="E6506" s="10" t="inlineStr">
        <is>
          <t>Lương:9 Tr - 14 Tr VND</t>
        </is>
      </c>
      <c r="F6506" s="10" t="inlineStr">
        <is>
          <t>Hồ Chí Minh</t>
        </is>
      </c>
      <c r="G6506" s="10" t="inlineStr">
        <is>
          <t>24-04-2026</t>
        </is>
      </c>
      <c r="H6506" s="10" t="inlineStr">
        <is>
          <t>24/04/2026</t>
        </is>
      </c>
      <c r="I6506" s="10" t="inlineStr">
        <is>
          <t>17/03/2026</t>
        </is>
      </c>
      <c r="J6506" s="10" t="inlineStr">
        <is>
          <t>Sản xuất / Vận hành sản xuất</t>
        </is>
      </c>
      <c r="K6506" s="10" t="inlineStr">
        <is>
          <t>N/A</t>
        </is>
      </c>
      <c r="L6506" s="11">
        <f>HYPERLINK("https://careerviet.vn/vi/tim-viec-lam/nhan-vien-van-hanh-may-tan-phu.35C6CE9B.html","Xem chi tiết")</f>
        <v/>
      </c>
      <c r="M6506" s="10" t="n"/>
    </row>
    <row r="6507">
      <c r="B6507" s="7" t="n">
        <v>6505</v>
      </c>
      <c r="C6507" t="inlineStr">
        <is>
          <t>Compliance &amp; HR Admin Executive / Chuyên viên Tuân thủ &amp; Hành chính Nhân sự (Có xe đưa đón ở TP. HCM)(Mới)</t>
        </is>
      </c>
      <c r="D6507" t="inlineStr">
        <is>
          <t>Công ty TNHH Amphenol Technology Vietnam (Xưởng 3)</t>
        </is>
      </c>
      <c r="E6507" t="inlineStr">
        <is>
          <t>Lương:Cạnh tranh</t>
        </is>
      </c>
      <c r="F6507" t="inlineStr">
        <is>
          <t>Long An</t>
        </is>
      </c>
      <c r="G6507" t="inlineStr">
        <is>
          <t>30-04-2026</t>
        </is>
      </c>
      <c r="H6507" t="inlineStr">
        <is>
          <t>30/04/2026</t>
        </is>
      </c>
      <c r="I6507" t="inlineStr">
        <is>
          <t>17/03/2026</t>
        </is>
      </c>
      <c r="J6507" t="inlineStr">
        <is>
          <t>Nhân sự, Luật / Pháp lý, Hành chính / Thư ký</t>
        </is>
      </c>
      <c r="K6507" t="inlineStr">
        <is>
          <t>2 - 4 Năm</t>
        </is>
      </c>
      <c r="L6507" s="8">
        <f>HYPERLINK("https://careerviet.vn/vi/tim-viec-lam/compliance-hr-admin-executive-chuyen-vien-tuan-thu-hanh-chinh-nhan-su-co-xe-dua-don-o-tp-hcm.35C6CEA4.html","Xem chi tiết")</f>
        <v/>
      </c>
    </row>
    <row r="6508">
      <c r="B6508" s="9" t="n">
        <v>6506</v>
      </c>
      <c r="C6508" s="10" t="inlineStr">
        <is>
          <t>CHUYÊN VIÊN TƯ VẤN M&amp;A(Mới)</t>
        </is>
      </c>
      <c r="D6508" s="10" t="inlineStr">
        <is>
          <t>Công Ty TNHH ONE-VALUE Việt Nam</t>
        </is>
      </c>
      <c r="E6508" s="10" t="inlineStr">
        <is>
          <t>Lương:20 Tr - 100 Tr VND</t>
        </is>
      </c>
      <c r="F6508" s="10" t="inlineStr">
        <is>
          <t>Hồ Chí MinhHà Nội</t>
        </is>
      </c>
      <c r="G6508" s="10" t="inlineStr">
        <is>
          <t>30-04-2026</t>
        </is>
      </c>
      <c r="H6508" s="10" t="inlineStr">
        <is>
          <t>30/04/2026</t>
        </is>
      </c>
      <c r="I6508" s="10" t="inlineStr">
        <is>
          <t>17/03/2026</t>
        </is>
      </c>
      <c r="J6508" s="10" t="inlineStr">
        <is>
          <t>Tư vấn</t>
        </is>
      </c>
      <c r="K6508" s="10" t="inlineStr">
        <is>
          <t>1 - 5 Năm</t>
        </is>
      </c>
      <c r="L6508" s="11">
        <f>HYPERLINK("https://careerviet.vn/vi/tim-viec-lam/chuyen-vien-tu-van-m-a.35C6CE99.html","Xem chi tiết")</f>
        <v/>
      </c>
      <c r="M6508" s="10" t="n"/>
    </row>
    <row r="6509">
      <c r="B6509" s="7" t="n">
        <v>6507</v>
      </c>
      <c r="C6509" t="inlineStr">
        <is>
          <t>Chuyên viên thiết kế biện pháp thi công(Mới)</t>
        </is>
      </c>
      <c r="D6509" t="inlineStr">
        <is>
          <t>CÔNG TY TNHH TẬP ĐOÀN XÂY DỰNG DELTA</t>
        </is>
      </c>
      <c r="E6509" t="inlineStr">
        <is>
          <t>Lương:Cạnh tranh</t>
        </is>
      </c>
      <c r="F6509" t="inlineStr">
        <is>
          <t>Hà Nội</t>
        </is>
      </c>
      <c r="G6509" t="inlineStr">
        <is>
          <t>31-05-2026</t>
        </is>
      </c>
      <c r="H6509" t="inlineStr">
        <is>
          <t>31/05/2026</t>
        </is>
      </c>
      <c r="I6509" t="inlineStr">
        <is>
          <t>17/03/2026</t>
        </is>
      </c>
      <c r="J6509" t="inlineStr">
        <is>
          <t>Bất động sản, Xây dựng, Kiến trúc</t>
        </is>
      </c>
      <c r="K6509" t="inlineStr">
        <is>
          <t>1 - 3 Năm</t>
        </is>
      </c>
      <c r="L6509" s="8">
        <f>HYPERLINK("https://careerviet.vn/vi/tim-viec-lam/chuyen-vien-thiet-ke-bien-phap-thi-cong.35C6CEEE.html","Xem chi tiết")</f>
        <v/>
      </c>
    </row>
    <row r="6510">
      <c r="B6510" s="9" t="n">
        <v>6508</v>
      </c>
      <c r="C6510" s="10" t="inlineStr">
        <is>
          <t>Nhân viên thị trường(Mới)</t>
        </is>
      </c>
      <c r="D6510" s="10" t="inlineStr">
        <is>
          <t>Cty TNHH Một Thành Viên Bảo Vệ Thực Vật Sài Gòn</t>
        </is>
      </c>
      <c r="E6510" s="10" t="inlineStr">
        <is>
          <t>Lương:Cạnh tranh</t>
        </is>
      </c>
      <c r="F6510" s="10" t="inlineStr">
        <is>
          <t>Hà Nội</t>
        </is>
      </c>
      <c r="G6510" s="10" t="inlineStr">
        <is>
          <t>15-04-2026</t>
        </is>
      </c>
      <c r="H6510" s="10" t="inlineStr">
        <is>
          <t>15/04/2026</t>
        </is>
      </c>
      <c r="I6510" s="10" t="inlineStr">
        <is>
          <t>17/03/2026</t>
        </is>
      </c>
      <c r="J6510" s="10" t="inlineStr">
        <is>
          <t>Bán hàng / Kinh doanh, Nông nghiệp, Tiếp thị / Marketing</t>
        </is>
      </c>
      <c r="K6510" s="10" t="inlineStr">
        <is>
          <t>1 - 2 Năm</t>
        </is>
      </c>
      <c r="L6510" s="11">
        <f>HYPERLINK("https://careerviet.vn/vi/tim-viec-lam/nhan-vien-thi-truong.35C6CB22.html","Xem chi tiết")</f>
        <v/>
      </c>
      <c r="M6510" s="10" t="n"/>
    </row>
    <row r="6511">
      <c r="B6511" s="7" t="n">
        <v>6509</v>
      </c>
      <c r="C6511" t="inlineStr">
        <is>
          <t>Nhân viên sản xuất - mẫu(Mới)</t>
        </is>
      </c>
      <c r="D6511" t="inlineStr">
        <is>
          <t>Công Ty Cổ Phần Gỗ An Cường</t>
        </is>
      </c>
      <c r="E6511" t="inlineStr">
        <is>
          <t>Lương:12 Tr - 15 Tr VND</t>
        </is>
      </c>
      <c r="F6511" t="inlineStr">
        <is>
          <t>Bình Dương</t>
        </is>
      </c>
      <c r="G6511" t="inlineStr">
        <is>
          <t>17-04-2026</t>
        </is>
      </c>
      <c r="H6511" t="inlineStr">
        <is>
          <t>17/04/2026</t>
        </is>
      </c>
      <c r="I6511" t="inlineStr">
        <is>
          <t>17/03/2026</t>
        </is>
      </c>
      <c r="J6511" t="inlineStr">
        <is>
          <t>Nội ngoại thất, Sản xuất / Vận hành sản xuất, Kiến trúc</t>
        </is>
      </c>
      <c r="K6511" t="inlineStr">
        <is>
          <t>1 - 2 Năm</t>
        </is>
      </c>
      <c r="L6511" s="8">
        <f>HYPERLINK("https://careerviet.vn/vi/tim-viec-lam/nhan-vien-san-xuat-mau.35C6CE9A.html","Xem chi tiết")</f>
        <v/>
      </c>
    </row>
    <row r="6512">
      <c r="B6512" s="9" t="n">
        <v>6510</v>
      </c>
      <c r="C6512" s="10" t="inlineStr">
        <is>
          <t>Trợ lý thu mua(Mới)</t>
        </is>
      </c>
      <c r="D6512" s="10" t="inlineStr">
        <is>
          <t>CÔNG TY CỔ PHẦN CHĂN NUÔI TAFA VIỆT</t>
        </is>
      </c>
      <c r="E6512" s="10" t="inlineStr">
        <is>
          <t>Lương:8 Tr - 10 Tr VND</t>
        </is>
      </c>
      <c r="F6512" s="10" t="inlineStr">
        <is>
          <t>Hồ Chí Minh</t>
        </is>
      </c>
      <c r="G6512" s="10" t="inlineStr">
        <is>
          <t>30-04-2026</t>
        </is>
      </c>
      <c r="H6512" s="10" t="inlineStr">
        <is>
          <t>30/04/2026</t>
        </is>
      </c>
      <c r="I6512" s="10" t="inlineStr">
        <is>
          <t>17/03/2026</t>
        </is>
      </c>
      <c r="J6512" s="10" t="inlineStr">
        <is>
          <t>Thu mua / Vật tư</t>
        </is>
      </c>
      <c r="K6512" s="10" t="inlineStr">
        <is>
          <t>Trên 1 Năm</t>
        </is>
      </c>
      <c r="L6512" s="11">
        <f>HYPERLINK("https://careerviet.vn/vi/tim-viec-lam/tro-ly-thu-mua.35C6CE9C.html","Xem chi tiết")</f>
        <v/>
      </c>
      <c r="M6512" s="10" t="n"/>
    </row>
    <row r="6513">
      <c r="B6513" s="7" t="n">
        <v>6511</v>
      </c>
      <c r="C6513" t="inlineStr">
        <is>
          <t>Flying Probe Test Programmer (Electrical Engineer) – Kỹ sư lập trình kiểm tra Flying Probe(Mới)</t>
        </is>
      </c>
      <c r="D6513" t="inlineStr">
        <is>
          <t>CÔNG TY TNHH DYNAMIC TEST SOLUTIONS VIỆT NAM</t>
        </is>
      </c>
      <c r="E6513" t="inlineStr">
        <is>
          <t>Lương:30 Tr - 45 Tr VND</t>
        </is>
      </c>
      <c r="F6513" t="inlineStr">
        <is>
          <t>Hồ Chí Minh</t>
        </is>
      </c>
      <c r="G6513" t="inlineStr">
        <is>
          <t>30-04-2026</t>
        </is>
      </c>
      <c r="H6513" t="inlineStr">
        <is>
          <t>30/04/2026</t>
        </is>
      </c>
      <c r="I6513" t="inlineStr">
        <is>
          <t>17/03/2026</t>
        </is>
      </c>
      <c r="J6513" t="inlineStr">
        <is>
          <t>Điện / Điện tử / Điện lạnh / Điện công nghiệp, CNTT - Phần mềm, Sản xuất / Vận hành sản xuất</t>
        </is>
      </c>
      <c r="K6513" t="inlineStr">
        <is>
          <t>Trên 3 Năm</t>
        </is>
      </c>
      <c r="L6513" s="8">
        <f>HYPERLINK("https://careerviet.vn/vi/tim-viec-lam/flying-probe-test-programmer-electrical-engineer-ky-su-lap-trinh-kiem-tra-flying-probe.35C6CE98.html","Xem chi tiết")</f>
        <v/>
      </c>
    </row>
    <row r="6514">
      <c r="B6514" s="9" t="n">
        <v>6512</v>
      </c>
      <c r="C6514" s="10" t="inlineStr">
        <is>
          <t>CHUYÊN VIÊN QUẢN LÍ ĐIỀU PHỐI DỰ ÁN - TIẾNG NHẬT(Mới)</t>
        </is>
      </c>
      <c r="D6514" s="10" t="inlineStr">
        <is>
          <t>Công Ty TNHH ONE-VALUE Việt Nam</t>
        </is>
      </c>
      <c r="E6514" s="10" t="inlineStr">
        <is>
          <t>Lương:20 Tr - 100 Tr VND</t>
        </is>
      </c>
      <c r="F6514" s="10" t="inlineStr">
        <is>
          <t>Hà NộiHồ Chí Minh</t>
        </is>
      </c>
      <c r="G6514" s="10" t="inlineStr">
        <is>
          <t>30-04-2026</t>
        </is>
      </c>
      <c r="H6514" s="10" t="inlineStr">
        <is>
          <t>30/04/2026</t>
        </is>
      </c>
      <c r="I6514" s="10" t="inlineStr">
        <is>
          <t>17/03/2026</t>
        </is>
      </c>
      <c r="J6514" s="10" t="inlineStr">
        <is>
          <t>Tư vấn</t>
        </is>
      </c>
      <c r="K6514" s="10" t="inlineStr">
        <is>
          <t>1 - 5 Năm</t>
        </is>
      </c>
      <c r="L6514" s="11">
        <f>HYPERLINK("https://careerviet.vn/vi/tim-viec-lam/chuyen-vien-quan-li-dieu-phoi-du-an-tieng-nhat.35C6CE8B.html","Xem chi tiết")</f>
        <v/>
      </c>
      <c r="M6514" s="10" t="n"/>
    </row>
    <row r="6515">
      <c r="B6515" s="7" t="n">
        <v>6513</v>
      </c>
      <c r="C6515" t="inlineStr">
        <is>
          <t>TRƯỞNG NHÓM TƯ VẤN M&amp;A(Mới)</t>
        </is>
      </c>
      <c r="D6515" t="inlineStr">
        <is>
          <t>Công Ty TNHH ONE-VALUE Việt Nam</t>
        </is>
      </c>
      <c r="E6515" t="inlineStr">
        <is>
          <t>Lương:20 Tr - 100 Tr VND</t>
        </is>
      </c>
      <c r="F6515" t="inlineStr">
        <is>
          <t>Hồ Chí MinhHà Nội</t>
        </is>
      </c>
      <c r="G6515" t="inlineStr">
        <is>
          <t>30-04-2026</t>
        </is>
      </c>
      <c r="H6515" t="inlineStr">
        <is>
          <t>30/04/2026</t>
        </is>
      </c>
      <c r="I6515" t="inlineStr">
        <is>
          <t>17/03/2026</t>
        </is>
      </c>
      <c r="J6515" t="inlineStr">
        <is>
          <t>Tư vấn, Dịch vụ khách hàng</t>
        </is>
      </c>
      <c r="K6515" t="inlineStr">
        <is>
          <t>1 - 5 Năm</t>
        </is>
      </c>
      <c r="L6515" s="8">
        <f>HYPERLINK("https://careerviet.vn/vi/tim-viec-lam/truong-nhom-tu-van-m-a.35C6CE8D.html","Xem chi tiết")</f>
        <v/>
      </c>
    </row>
    <row r="6516">
      <c r="B6516" s="9" t="n">
        <v>6514</v>
      </c>
      <c r="C6516" s="10" t="inlineStr">
        <is>
          <t>Nhân viên điều phối lấy máu tại nhà/ HBC Administration(Mới)</t>
        </is>
      </c>
      <c r="D6516" s="10" t="inlineStr">
        <is>
          <t>DIAG</t>
        </is>
      </c>
      <c r="E6516" s="10" t="inlineStr">
        <is>
          <t>Lương:Cạnh tranh</t>
        </is>
      </c>
      <c r="F6516" s="10" t="inlineStr">
        <is>
          <t>Hồ Chí Minh</t>
        </is>
      </c>
      <c r="G6516" s="10" t="inlineStr">
        <is>
          <t>11-04-2026</t>
        </is>
      </c>
      <c r="H6516" s="10" t="inlineStr">
        <is>
          <t>11/04/2026</t>
        </is>
      </c>
      <c r="I6516" s="10" t="inlineStr">
        <is>
          <t>17/03/2026</t>
        </is>
      </c>
      <c r="J6516" s="10" t="inlineStr">
        <is>
          <t>Y tế / Chăm sóc sức khỏe / Thẩm mỹ / Làm đẹp, Dịch vụ khách hàng, Hành chính / Thư ký</t>
        </is>
      </c>
      <c r="K6516" s="10" t="inlineStr">
        <is>
          <t>Trên 2 Năm</t>
        </is>
      </c>
      <c r="L6516" s="11">
        <f>HYPERLINK("https://careerviet.vn/vi/tim-viec-lam/nhan-vien-dieu-phoi-lay-mau-tai-nha-hbc-administration.35C6CE63.html","Xem chi tiết")</f>
        <v/>
      </c>
      <c r="M6516" s="10" t="n"/>
    </row>
    <row r="6517">
      <c r="B6517" s="7" t="n">
        <v>6515</v>
      </c>
      <c r="C6517" t="inlineStr">
        <is>
          <t>TRƯỞNG NHÓM QUẢN LÍ ĐIỀU PHỐI DỰ ÁN - TIẾNG NHẬT(Mới)</t>
        </is>
      </c>
      <c r="D6517" t="inlineStr">
        <is>
          <t>Công Ty TNHH ONE-VALUE Việt Nam</t>
        </is>
      </c>
      <c r="E6517" t="inlineStr">
        <is>
          <t>Lương:20 Tr - 100 Tr VND</t>
        </is>
      </c>
      <c r="F6517" t="inlineStr">
        <is>
          <t>Hà NộiHồ Chí Minh</t>
        </is>
      </c>
      <c r="G6517" t="inlineStr">
        <is>
          <t>30-04-2026</t>
        </is>
      </c>
      <c r="H6517" t="inlineStr">
        <is>
          <t>30/04/2026</t>
        </is>
      </c>
      <c r="I6517" t="inlineStr">
        <is>
          <t>17/03/2026</t>
        </is>
      </c>
      <c r="J6517" t="inlineStr">
        <is>
          <t>Tư vấn, Dịch vụ khách hàng</t>
        </is>
      </c>
      <c r="K6517" t="inlineStr">
        <is>
          <t>1 - 5 Năm</t>
        </is>
      </c>
      <c r="L6517" s="8">
        <f>HYPERLINK("https://careerviet.vn/vi/tim-viec-lam/truong-nhom-quan-li-dieu-phoi-du-an-tieng-nhat.35C6CE94.html","Xem chi tiết")</f>
        <v/>
      </c>
    </row>
    <row r="6518">
      <c r="B6518" s="9" t="n">
        <v>6516</v>
      </c>
      <c r="C6518" s="10" t="inlineStr">
        <is>
          <t>Chuyên viên tuyển dụng(Mới)</t>
        </is>
      </c>
      <c r="D6518" s="10" t="inlineStr">
        <is>
          <t>Công ty Cổ phần Nha khoa quốc tế Sing</t>
        </is>
      </c>
      <c r="E6518" s="10" t="inlineStr">
        <is>
          <t>Lương:12 Tr - 18 Tr VND</t>
        </is>
      </c>
      <c r="F6518" s="10" t="inlineStr">
        <is>
          <t>Hà Nội</t>
        </is>
      </c>
      <c r="G6518" s="10" t="inlineStr">
        <is>
          <t>31-05-2026</t>
        </is>
      </c>
      <c r="H6518" s="10" t="inlineStr">
        <is>
          <t>31/05/2026</t>
        </is>
      </c>
      <c r="I6518" s="10" t="inlineStr">
        <is>
          <t>17/03/2026</t>
        </is>
      </c>
      <c r="J6518" s="10" t="inlineStr">
        <is>
          <t>Y tế / Chăm sóc sức khỏe / Thẩm mỹ / Làm đẹp, Bán lẻ / Bán sỉ, Bán hàng / Kinh doanh</t>
        </is>
      </c>
      <c r="K6518" s="10" t="inlineStr">
        <is>
          <t>2 - 5 Năm</t>
        </is>
      </c>
      <c r="L6518" s="11">
        <f>HYPERLINK("https://careerviet.vn/vi/tim-viec-lam/chuyen-vien-tuyen-dung.35C6CE91.html","Xem chi tiết")</f>
        <v/>
      </c>
      <c r="M6518" s="10" t="n"/>
    </row>
    <row r="6519">
      <c r="B6519" s="7" t="n">
        <v>6517</v>
      </c>
      <c r="C6519" t="inlineStr">
        <is>
          <t>Sale Online(Mới)</t>
        </is>
      </c>
      <c r="D6519" t="inlineStr">
        <is>
          <t>CÔNG TY TNHH THƯƠNG MẠI HKK</t>
        </is>
      </c>
      <c r="E6519" t="inlineStr">
        <is>
          <t>Lương:8 Tr - 12 Tr VND</t>
        </is>
      </c>
      <c r="F6519" t="inlineStr">
        <is>
          <t>Hồ Chí Minh</t>
        </is>
      </c>
      <c r="G6519" t="inlineStr">
        <is>
          <t>04-04-2026</t>
        </is>
      </c>
      <c r="H6519" t="inlineStr">
        <is>
          <t>04/04/2026</t>
        </is>
      </c>
      <c r="I6519" t="inlineStr">
        <is>
          <t>17/03/2026</t>
        </is>
      </c>
      <c r="J6519" t="inlineStr">
        <is>
          <t>Dược phẩm/ Hóa Mỹ Phẩm, Tiếp thị trực tuyến, Bán hàng / Kinh doanh</t>
        </is>
      </c>
      <c r="K6519" t="inlineStr">
        <is>
          <t>Trên 1 Năm</t>
        </is>
      </c>
      <c r="L6519" s="8">
        <f>HYPERLINK("https://careerviet.vn/vi/tim-viec-lam/sale-online.35C6CDD6.html","Xem chi tiết")</f>
        <v/>
      </c>
    </row>
    <row r="6520">
      <c r="B6520" s="9" t="n">
        <v>6518</v>
      </c>
      <c r="C6520" s="10" t="inlineStr">
        <is>
          <t>Kỹ sư Kinh tế Kỹ thuật (tổng hợp) (mảng xây dựng, bất động sản và điện gió)(Mới)</t>
        </is>
      </c>
      <c r="D6520" s="10" t="inlineStr">
        <is>
          <t>Công ty cổ phần Tập đoàn Tài Tâm (Tài Tâm Group)</t>
        </is>
      </c>
      <c r="E6520" s="10" t="inlineStr">
        <is>
          <t>Lương:20 Tr - 27 Tr VND</t>
        </is>
      </c>
      <c r="F6520" s="10" t="inlineStr">
        <is>
          <t>Hà Nội</t>
        </is>
      </c>
      <c r="G6520" s="10" t="inlineStr">
        <is>
          <t>14-04-2026</t>
        </is>
      </c>
      <c r="H6520" s="10" t="inlineStr">
        <is>
          <t>14/04/2026</t>
        </is>
      </c>
      <c r="I6520" s="10" t="inlineStr">
        <is>
          <t>17/03/2026</t>
        </is>
      </c>
      <c r="J6520" s="10" t="inlineStr">
        <is>
          <t>Xây dựng, Bất động sản, Ngành khác</t>
        </is>
      </c>
      <c r="K6520" s="10" t="inlineStr">
        <is>
          <t>3 - 5 Năm</t>
        </is>
      </c>
      <c r="L6520" s="11">
        <f>HYPERLINK("https://careerviet.vn/vi/tim-viec-lam/ky-su-kinh-te-ky-thuat-tong-hop-mang-xay-dung-bat-dong-san-va-dien-gio.35C6CE84.html","Xem chi tiết")</f>
        <v/>
      </c>
      <c r="M6520" s="10" t="n"/>
    </row>
    <row r="6521">
      <c r="B6521" s="7" t="n">
        <v>6519</v>
      </c>
      <c r="C6521" t="inlineStr">
        <is>
          <t>Nhân viên thử nghiệm Nhà máy Gỗ ( nhân viên Lab)(Mới)</t>
        </is>
      </c>
      <c r="D6521" t="inlineStr">
        <is>
          <t>Công Ty TNHH Tập Đoàn Rita Võ</t>
        </is>
      </c>
      <c r="E6521" t="inlineStr">
        <is>
          <t>Lương:8 Tr - 10 Tr VND</t>
        </is>
      </c>
      <c r="F6521" t="inlineStr">
        <is>
          <t>Hồ Chí Minh</t>
        </is>
      </c>
      <c r="G6521" t="inlineStr">
        <is>
          <t>30-04-2026</t>
        </is>
      </c>
      <c r="H6521" t="inlineStr">
        <is>
          <t>30/04/2026</t>
        </is>
      </c>
      <c r="I6521" t="inlineStr">
        <is>
          <t>17/03/2026</t>
        </is>
      </c>
      <c r="J6521" t="inlineStr">
        <is>
          <t>Hóa học</t>
        </is>
      </c>
      <c r="K6521" t="inlineStr">
        <is>
          <t>1 - 2 Năm</t>
        </is>
      </c>
      <c r="L6521" s="8">
        <f>HYPERLINK("https://careerviet.vn/vi/tim-viec-lam/nhan-vien-thu-nghiem-nha-may-go-nhan-vien-lab.35C6CE93.html","Xem chi tiết")</f>
        <v/>
      </c>
    </row>
    <row r="6522">
      <c r="B6522" s="9" t="n">
        <v>6520</v>
      </c>
      <c r="C6522" s="10" t="inlineStr">
        <is>
          <t>Nhân viên phòng thí nghiệm (Hưng Yên)(Mới)</t>
        </is>
      </c>
      <c r="D6522" s="10" t="inlineStr">
        <is>
          <t>TÜV Rheinland Vietnam</t>
        </is>
      </c>
      <c r="E6522" s="10" t="inlineStr">
        <is>
          <t>Lương:Cạnh tranh</t>
        </is>
      </c>
      <c r="F6522" s="10" t="inlineStr">
        <is>
          <t>Hưng Yên</t>
        </is>
      </c>
      <c r="G6522" s="10" t="inlineStr">
        <is>
          <t>17-04-2026</t>
        </is>
      </c>
      <c r="H6522" s="10" t="inlineStr">
        <is>
          <t>17/04/2026</t>
        </is>
      </c>
      <c r="I6522" s="10" t="inlineStr">
        <is>
          <t>17/03/2026</t>
        </is>
      </c>
      <c r="J6522" s="10" t="inlineStr">
        <is>
          <t>Ngành khác</t>
        </is>
      </c>
      <c r="K6522" s="10" t="inlineStr">
        <is>
          <t>N/A</t>
        </is>
      </c>
      <c r="L6522" s="11">
        <f>HYPERLINK("https://careerviet.vn/vi/tim-viec-lam/nhan-vien-phong-thi-nghiem-hung-yen.35C6CE8A.html","Xem chi tiết")</f>
        <v/>
      </c>
      <c r="M6522" s="10" t="n"/>
    </row>
    <row r="6523">
      <c r="B6523" s="7" t="n">
        <v>6521</v>
      </c>
      <c r="C6523" t="inlineStr">
        <is>
          <t>Chuyên Viên Kế Toán Tổng Hợp(Mới)</t>
        </is>
      </c>
      <c r="D6523" t="inlineStr">
        <is>
          <t>Công ty Cổ Phần Ánh Dương Building</t>
        </is>
      </c>
      <c r="E6523" t="inlineStr">
        <is>
          <t>Lương:15 Tr - 20 Tr VND</t>
        </is>
      </c>
      <c r="F6523" t="inlineStr">
        <is>
          <t>Hồ Chí MinhLong An</t>
        </is>
      </c>
      <c r="G6523" t="inlineStr">
        <is>
          <t>30-04-2026</t>
        </is>
      </c>
      <c r="H6523" t="inlineStr">
        <is>
          <t>30/04/2026</t>
        </is>
      </c>
      <c r="I6523" t="inlineStr">
        <is>
          <t>17/03/2026</t>
        </is>
      </c>
      <c r="J6523" t="inlineStr">
        <is>
          <t>Kế toán / Kiểm toán, Xây dựng</t>
        </is>
      </c>
      <c r="K6523" t="inlineStr">
        <is>
          <t>2 - 3 Năm</t>
        </is>
      </c>
      <c r="L6523" s="8">
        <f>HYPERLINK("https://careerviet.vn/vi/tim-viec-lam/chuyen-vien-ke-toan-tong-hop.35C6CE87.html","Xem chi tiết")</f>
        <v/>
      </c>
    </row>
    <row r="6524">
      <c r="B6524" s="9" t="n">
        <v>6522</v>
      </c>
      <c r="C6524" s="10" t="inlineStr">
        <is>
          <t>CVCC Truyền thông đối ngoại – Khối Marcom(Mới)</t>
        </is>
      </c>
      <c r="D6524" s="10" t="inlineStr">
        <is>
          <t>Ngân Hàng TMCP Sài Gòn - Hà Nội ( SHB )</t>
        </is>
      </c>
      <c r="E6524" s="10" t="inlineStr">
        <is>
          <t>Lương:Cạnh tranh</t>
        </is>
      </c>
      <c r="F6524" s="10" t="inlineStr">
        <is>
          <t>Hà Nội</t>
        </is>
      </c>
      <c r="G6524" s="10" t="inlineStr">
        <is>
          <t>14-04-2026</t>
        </is>
      </c>
      <c r="H6524" s="10" t="inlineStr">
        <is>
          <t>14/04/2026</t>
        </is>
      </c>
      <c r="I6524" s="10" t="inlineStr">
        <is>
          <t>17/03/2026</t>
        </is>
      </c>
      <c r="J6524" s="10" t="inlineStr">
        <is>
          <t>Ngân hàng, Quảng cáo / Đối ngoại / Truyền Thông</t>
        </is>
      </c>
      <c r="K6524" s="10" t="inlineStr">
        <is>
          <t>Trên 3 Năm</t>
        </is>
      </c>
      <c r="L6524" s="11">
        <f>HYPERLINK("https://careerviet.vn/vi/tim-viec-lam/cvcc-truyen-thong-doi-ngoai-khoi-marcom.35C6CE80.html","Xem chi tiết")</f>
        <v/>
      </c>
      <c r="M6524" s="10" t="n"/>
    </row>
    <row r="6525">
      <c r="B6525" s="7" t="n">
        <v>6523</v>
      </c>
      <c r="C6525" t="inlineStr">
        <is>
          <t>[NSG] Sales Admin(Mới)</t>
        </is>
      </c>
      <c r="D6525" t="inlineStr">
        <is>
          <t>Nova Service Group - Công ty Cổ phần Tập đoàn Nova Services</t>
        </is>
      </c>
      <c r="E6525" t="inlineStr">
        <is>
          <t>Lương:18 Tr - 28 Tr VND</t>
        </is>
      </c>
      <c r="F6525" t="inlineStr">
        <is>
          <t>Hồ Chí Minh</t>
        </is>
      </c>
      <c r="G6525" t="inlineStr">
        <is>
          <t>31-03-2026</t>
        </is>
      </c>
      <c r="H6525" t="inlineStr">
        <is>
          <t>31/03/2026</t>
        </is>
      </c>
      <c r="I6525" t="inlineStr">
        <is>
          <t>17/03/2026</t>
        </is>
      </c>
      <c r="J6525" t="inlineStr">
        <is>
          <t>Nhà hàng / Khách sạn, Du lịch, Bất động sản</t>
        </is>
      </c>
      <c r="K6525" t="inlineStr">
        <is>
          <t>4 - 10 Năm</t>
        </is>
      </c>
      <c r="L6525" s="8">
        <f>HYPERLINK("https://careerviet.vn/vi/tim-viec-lam/nsg-sales-admin.35C6CE7D.html","Xem chi tiết")</f>
        <v/>
      </c>
    </row>
    <row r="6526">
      <c r="B6526" s="9" t="n">
        <v>6524</v>
      </c>
      <c r="C6526" s="10" t="inlineStr">
        <is>
          <t>Nhân viên kinh doanh tại Hà Nội(Mới)</t>
        </is>
      </c>
      <c r="D6526" s="10" t="inlineStr">
        <is>
          <t>Tập Đoàn Tân Á Đại Thành</t>
        </is>
      </c>
      <c r="E6526" s="10" t="inlineStr">
        <is>
          <t>Lương:15 Tr - 25 Tr VND</t>
        </is>
      </c>
      <c r="F6526" s="10" t="inlineStr">
        <is>
          <t>Hà Nội</t>
        </is>
      </c>
      <c r="G6526" s="10" t="inlineStr">
        <is>
          <t>11-04-2026</t>
        </is>
      </c>
      <c r="H6526" s="10" t="inlineStr">
        <is>
          <t>11/04/2026</t>
        </is>
      </c>
      <c r="I6526" s="10" t="inlineStr">
        <is>
          <t>17/03/2026</t>
        </is>
      </c>
      <c r="J6526" s="10" t="inlineStr">
        <is>
          <t>Bán hàng / Kinh doanh</t>
        </is>
      </c>
      <c r="K6526" s="10" t="inlineStr">
        <is>
          <t>N/A</t>
        </is>
      </c>
      <c r="L6526" s="11">
        <f>HYPERLINK("https://careerviet.vn/vi/tim-viec-lam/nhan-vien-kinh-doanh-tai-ha-noi.35C6CE83.html","Xem chi tiết")</f>
        <v/>
      </c>
      <c r="M6526" s="10" t="n"/>
    </row>
    <row r="6527">
      <c r="B6527" s="7" t="n">
        <v>6525</v>
      </c>
      <c r="C6527" t="inlineStr">
        <is>
          <t>Furniture Designer(Mới)</t>
        </is>
      </c>
      <c r="D6527" t="inlineStr">
        <is>
          <t>CÔNG TY TNHH PAIZES TRADING VIỆT NAM</t>
        </is>
      </c>
      <c r="E6527" t="inlineStr">
        <is>
          <t>Lương:Cạnh tranh</t>
        </is>
      </c>
      <c r="F6527" t="inlineStr">
        <is>
          <t>Hồ Chí Minh</t>
        </is>
      </c>
      <c r="G6527" t="inlineStr">
        <is>
          <t>15-04-2026</t>
        </is>
      </c>
      <c r="H6527" t="inlineStr">
        <is>
          <t>15/04/2026</t>
        </is>
      </c>
      <c r="I6527" t="inlineStr">
        <is>
          <t>17/03/2026</t>
        </is>
      </c>
      <c r="J6527" t="inlineStr">
        <is>
          <t>Mỹ thuật / Nghệ thuật / Thiết kế, Kiến trúc, Nội ngoại thất</t>
        </is>
      </c>
      <c r="K6527" t="inlineStr">
        <is>
          <t>1 - 5 Năm</t>
        </is>
      </c>
      <c r="L6527" s="8">
        <f>HYPERLINK("https://careerviet.vn/vi/tim-viec-lam/furniture-designer.35C6CE76.html","Xem chi tiết")</f>
        <v/>
      </c>
    </row>
    <row r="6528">
      <c r="B6528" s="9" t="n">
        <v>6526</v>
      </c>
      <c r="C6528" s="10" t="inlineStr">
        <is>
          <t>Nhân Viên R&amp;D – Vi Sinh Nông Nghiệp(Mới)</t>
        </is>
      </c>
      <c r="D6528" s="10" t="inlineStr">
        <is>
          <t>Công ty TNHH ADC</t>
        </is>
      </c>
      <c r="E6528" s="10" t="inlineStr">
        <is>
          <t>Lương:Cạnh tranh</t>
        </is>
      </c>
      <c r="F6528" s="10" t="inlineStr">
        <is>
          <t>Cần Thơ</t>
        </is>
      </c>
      <c r="G6528" s="10" t="inlineStr">
        <is>
          <t>16-04-2026</t>
        </is>
      </c>
      <c r="H6528" s="10" t="inlineStr">
        <is>
          <t>16/04/2026</t>
        </is>
      </c>
      <c r="I6528" s="10" t="inlineStr">
        <is>
          <t>17/03/2026</t>
        </is>
      </c>
      <c r="J6528" s="10" t="inlineStr">
        <is>
          <t>Nông nghiệp, Công nghệ sinh học</t>
        </is>
      </c>
      <c r="K6528" s="10" t="inlineStr">
        <is>
          <t>N/A</t>
        </is>
      </c>
      <c r="L6528" s="11">
        <f>HYPERLINK("https://careerviet.vn/vi/tim-viec-lam/nhan-vien-r-d-vi-sinh-nong-nghiep.35C6CE7A.html","Xem chi tiết")</f>
        <v/>
      </c>
      <c r="M6528" s="10" t="n"/>
    </row>
    <row r="6529">
      <c r="B6529" s="7" t="n">
        <v>6527</v>
      </c>
      <c r="C6529" t="inlineStr">
        <is>
          <t>Project Manager (Furniture experience is needed)(Mới)</t>
        </is>
      </c>
      <c r="D6529" t="inlineStr">
        <is>
          <t>Vietnam Furniture Resources (VFR)</t>
        </is>
      </c>
      <c r="E6529" t="inlineStr">
        <is>
          <t>Lương:Cạnh tranh</t>
        </is>
      </c>
      <c r="F6529" t="inlineStr">
        <is>
          <t>Bình Dương</t>
        </is>
      </c>
      <c r="G6529" t="inlineStr">
        <is>
          <t>31-05-2026</t>
        </is>
      </c>
      <c r="H6529" t="inlineStr">
        <is>
          <t>31/05/2026</t>
        </is>
      </c>
      <c r="I6529" t="inlineStr">
        <is>
          <t>17/03/2026</t>
        </is>
      </c>
      <c r="J6529" t="inlineStr">
        <is>
          <t>Nội ngoại thất, Đồ gỗ, Mỹ thuật / Nghệ thuật / Thiết kế</t>
        </is>
      </c>
      <c r="K6529" t="inlineStr">
        <is>
          <t>5 - 10 Năm</t>
        </is>
      </c>
      <c r="L6529" s="8">
        <f>HYPERLINK("https://careerviet.vn/vi/tim-viec-lam/project-manager-furniture-experience-is-needed.35C6CE73.html","Xem chi tiết")</f>
        <v/>
      </c>
    </row>
    <row r="6530">
      <c r="B6530" s="9" t="n">
        <v>6528</v>
      </c>
      <c r="C6530" s="10" t="inlineStr">
        <is>
          <t>Nhân viên Video Editor(Mới)</t>
        </is>
      </c>
      <c r="D6530" s="10" t="inlineStr">
        <is>
          <t>CÔNG TY CỔ PHẦN SẢN XUẤT TÓC APOGROUP</t>
        </is>
      </c>
      <c r="E6530" s="10" t="inlineStr">
        <is>
          <t>Lương:11 Tr - 13 Tr VND</t>
        </is>
      </c>
      <c r="F6530" s="10" t="inlineStr">
        <is>
          <t>Hà Nội</t>
        </is>
      </c>
      <c r="G6530" s="10" t="inlineStr">
        <is>
          <t>01-04-2026</t>
        </is>
      </c>
      <c r="H6530" s="10" t="inlineStr">
        <is>
          <t>01/04/2026</t>
        </is>
      </c>
      <c r="I6530" s="10" t="inlineStr">
        <is>
          <t>17/03/2026</t>
        </is>
      </c>
      <c r="J6530" s="10" t="inlineStr">
        <is>
          <t>Xuất nhập khẩu</t>
        </is>
      </c>
      <c r="K6530" s="10" t="inlineStr">
        <is>
          <t>1 - 2 Năm</t>
        </is>
      </c>
      <c r="L6530" s="11">
        <f>HYPERLINK("https://careerviet.vn/vi/tim-viec-lam/nhan-vien-video-editor.35C6CE6A.html","Xem chi tiết")</f>
        <v/>
      </c>
      <c r="M6530" s="10" t="n"/>
    </row>
    <row r="6531">
      <c r="B6531" s="7" t="n">
        <v>6529</v>
      </c>
      <c r="C6531" t="inlineStr">
        <is>
          <t>Chuyên viên Dịch vụ Khách hàng - Mảng thủ tục(Mới)</t>
        </is>
      </c>
      <c r="D6531" t="inlineStr">
        <is>
          <t>Công Ty Cổ Phần Tập Đoàn Sunshine</t>
        </is>
      </c>
      <c r="E6531" t="inlineStr">
        <is>
          <t>Lương:15 Tr - 25 Tr VND</t>
        </is>
      </c>
      <c r="F6531" t="inlineStr">
        <is>
          <t>Hà Nội</t>
        </is>
      </c>
      <c r="G6531" t="inlineStr">
        <is>
          <t>17-04-2026</t>
        </is>
      </c>
      <c r="H6531" t="inlineStr">
        <is>
          <t>17/04/2026</t>
        </is>
      </c>
      <c r="I6531" t="inlineStr">
        <is>
          <t>17/03/2026</t>
        </is>
      </c>
      <c r="J6531" t="inlineStr">
        <is>
          <t>Bất động sản, Dịch vụ khách hàng</t>
        </is>
      </c>
      <c r="K6531" t="inlineStr">
        <is>
          <t>5 - 7 Năm</t>
        </is>
      </c>
      <c r="L6531" s="8">
        <f>HYPERLINK("https://careerviet.vn/vi/tim-viec-lam/chuyen-vien-dich-vu-khach-hang-mang-thu-tuc.35C6CE64.html","Xem chi tiết")</f>
        <v/>
      </c>
    </row>
    <row r="6532">
      <c r="B6532" s="9" t="n">
        <v>6530</v>
      </c>
      <c r="C6532" s="10" t="inlineStr">
        <is>
          <t>Chuyên Viên Xây Dựng &amp; Bảo Trì Chuỗi Siêu Thị (Hà Nội, Thanh Hóa, Nam Định)(Mới)</t>
        </is>
      </c>
      <c r="D6532" s="10" t="inlineStr">
        <is>
          <t>Concung.com - Con Cung Joint Stock Company</t>
        </is>
      </c>
      <c r="E6532" s="10" t="inlineStr">
        <is>
          <t>Lương:20 Tr - 25 Tr VND</t>
        </is>
      </c>
      <c r="F6532" s="10" t="inlineStr">
        <is>
          <t>Hà NộiNam ĐịnhThanh Hóa</t>
        </is>
      </c>
      <c r="G6532" s="10" t="inlineStr">
        <is>
          <t>22-04-2026</t>
        </is>
      </c>
      <c r="H6532" s="10" t="inlineStr">
        <is>
          <t>22/04/2026</t>
        </is>
      </c>
      <c r="I6532" s="10" t="inlineStr">
        <is>
          <t>17/03/2026</t>
        </is>
      </c>
      <c r="J6532" s="10" t="inlineStr">
        <is>
          <t>Bảo trì / Sửa chữa, Kiến trúc, Xây dựng</t>
        </is>
      </c>
      <c r="K6532" s="10" t="inlineStr">
        <is>
          <t>1 - 3 Năm</t>
        </is>
      </c>
      <c r="L6532" s="11">
        <f>HYPERLINK("https://careerviet.vn/vi/tim-viec-lam/chuyen-vien-xay-dung-bao-tri-chuoi-sieu-thi-ha-noi-thanh-hoa-nam-dinh.35C6CDF4.html","Xem chi tiết")</f>
        <v/>
      </c>
      <c r="M6532" s="10" t="n"/>
    </row>
    <row r="6533">
      <c r="B6533" s="7" t="n">
        <v>6531</v>
      </c>
      <c r="C6533" t="inlineStr">
        <is>
          <t>Chuyên viên Thu ngân - Vinmec Riverside(Mới)</t>
        </is>
      </c>
      <c r="D6533" t="inlineStr">
        <is>
          <t>Công ty CP Bệnh Viện Đa Khoa Quốc Tế Vinmec</t>
        </is>
      </c>
      <c r="E6533" t="inlineStr">
        <is>
          <t>Lương:Cạnh tranh</t>
        </is>
      </c>
      <c r="F6533" t="inlineStr">
        <is>
          <t>Hà Nội</t>
        </is>
      </c>
      <c r="G6533" t="inlineStr">
        <is>
          <t>30-04-2026</t>
        </is>
      </c>
      <c r="H6533" t="inlineStr">
        <is>
          <t>30/04/2026</t>
        </is>
      </c>
      <c r="I6533" t="inlineStr">
        <is>
          <t>17/03/2026</t>
        </is>
      </c>
      <c r="J6533" t="inlineStr">
        <is>
          <t>Kế toán / Kiểm toán, Ngân hàng, Tài chính / Đầu tư</t>
        </is>
      </c>
      <c r="K6533" t="inlineStr">
        <is>
          <t>N/A</t>
        </is>
      </c>
      <c r="L6533" s="8">
        <f>HYPERLINK("https://careerviet.vn/vi/tim-viec-lam/chuyen-vien-thu-ngan-vinmec-riverside.35C6CE6B.html","Xem chi tiết")</f>
        <v/>
      </c>
    </row>
    <row r="6534">
      <c r="B6534" s="9" t="n">
        <v>6532</v>
      </c>
      <c r="C6534" s="10" t="inlineStr">
        <is>
          <t>Nhân viên Kiểm tra Chất lượng (Quality Inspector)(Mới)</t>
        </is>
      </c>
      <c r="D6534" s="10" t="inlineStr">
        <is>
          <t>CÔNG TY TNHH DYNAMIC TEST SOLUTIONS VIỆT NAM</t>
        </is>
      </c>
      <c r="E6534" s="10" t="inlineStr">
        <is>
          <t>Lương:12 Tr - 30 Tr VND</t>
        </is>
      </c>
      <c r="F6534" s="10" t="inlineStr">
        <is>
          <t>Hồ Chí Minh</t>
        </is>
      </c>
      <c r="G6534" s="10" t="inlineStr">
        <is>
          <t>30-04-2026</t>
        </is>
      </c>
      <c r="H6534" s="10" t="inlineStr">
        <is>
          <t>30/04/2026</t>
        </is>
      </c>
      <c r="I6534" s="10" t="inlineStr">
        <is>
          <t>17/03/2026</t>
        </is>
      </c>
      <c r="J6534" s="10" t="inlineStr">
        <is>
          <t>Thương mại điện tử, Điện / Điện tử / Điện lạnh / Điện công nghiệp, Sản xuất / Vận hành sản xuất</t>
        </is>
      </c>
      <c r="K6534" s="10" t="inlineStr">
        <is>
          <t>1 - 3 Năm</t>
        </is>
      </c>
      <c r="L6534" s="11">
        <f>HYPERLINK("https://careerviet.vn/vi/tim-viec-lam/nhan-vien-kiem-tra-chat-luong-quality-inspector.35C6CE67.html","Xem chi tiết")</f>
        <v/>
      </c>
      <c r="M6534" s="10" t="n"/>
    </row>
    <row r="6535">
      <c r="B6535" s="7" t="n">
        <v>6533</v>
      </c>
      <c r="C6535" t="inlineStr">
        <is>
          <t>Nhân viên Trợ Livestream(Mới)</t>
        </is>
      </c>
      <c r="D6535" t="inlineStr">
        <is>
          <t>Công Ty TNHH Thương Mại Xuất Nhập Khẩu Fani</t>
        </is>
      </c>
      <c r="E6535" t="inlineStr">
        <is>
          <t>Lương:12 Tr - 25 Tr VND</t>
        </is>
      </c>
      <c r="F6535" t="inlineStr">
        <is>
          <t>Hồ Chí MinhHà Nội</t>
        </is>
      </c>
      <c r="G6535" t="inlineStr">
        <is>
          <t>30-04-2026</t>
        </is>
      </c>
      <c r="H6535" t="inlineStr">
        <is>
          <t>30/04/2026</t>
        </is>
      </c>
      <c r="I6535" t="inlineStr">
        <is>
          <t>17/03/2026</t>
        </is>
      </c>
      <c r="J6535" t="inlineStr">
        <is>
          <t>Thương mại điện tử, Bán hàng / Kinh doanh</t>
        </is>
      </c>
      <c r="K6535" t="inlineStr">
        <is>
          <t>1 - 2 Năm</t>
        </is>
      </c>
      <c r="L6535" s="8">
        <f>HYPERLINK("https://careerviet.vn/vi/tim-viec-lam/nhan-vien-tro-livestream.35C6CE5A.html","Xem chi tiết")</f>
        <v/>
      </c>
    </row>
    <row r="6536">
      <c r="B6536" s="9" t="n">
        <v>6534</v>
      </c>
      <c r="C6536" s="10" t="inlineStr">
        <is>
          <t>Kỹ sư giám sát xây dựng(Mới)</t>
        </is>
      </c>
      <c r="D6536" s="10" t="inlineStr">
        <is>
          <t>CÔNG TY CỔ PHẦN TẬP ĐOÀN GDC</t>
        </is>
      </c>
      <c r="E6536" s="10" t="inlineStr">
        <is>
          <t>Lương:17 Tr - 24 Tr VND</t>
        </is>
      </c>
      <c r="F6536" s="10" t="inlineStr">
        <is>
          <t>Hải PhòngBắc GiangHải Dương</t>
        </is>
      </c>
      <c r="G6536" s="10" t="inlineStr">
        <is>
          <t>17-04-2026</t>
        </is>
      </c>
      <c r="H6536" s="10" t="inlineStr">
        <is>
          <t>17/04/2026</t>
        </is>
      </c>
      <c r="I6536" s="10" t="inlineStr">
        <is>
          <t>17/03/2026</t>
        </is>
      </c>
      <c r="J6536" s="10" t="inlineStr">
        <is>
          <t>Kiến trúc, Xây dựng, Bất động sản</t>
        </is>
      </c>
      <c r="K6536" s="10" t="inlineStr">
        <is>
          <t>1 - 10 Năm</t>
        </is>
      </c>
      <c r="L6536" s="11">
        <f>HYPERLINK("https://careerviet.vn/vi/tim-viec-lam/ky-su-giam-sat-xay-dung.35C6CE68.html","Xem chi tiết")</f>
        <v/>
      </c>
      <c r="M6536" s="10" t="n"/>
    </row>
    <row r="6537">
      <c r="B6537" s="7" t="n">
        <v>6535</v>
      </c>
      <c r="C6537" t="inlineStr">
        <is>
          <t>Chuyên viên Pháp chế Vận hành(Mới)</t>
        </is>
      </c>
      <c r="D6537" t="inlineStr">
        <is>
          <t>Alphanam Group</t>
        </is>
      </c>
      <c r="E6537" t="inlineStr">
        <is>
          <t>Lương:20 Tr - 30 Tr VND</t>
        </is>
      </c>
      <c r="F6537" t="inlineStr">
        <is>
          <t>Hà Nội</t>
        </is>
      </c>
      <c r="G6537" t="inlineStr">
        <is>
          <t>29-04-2026</t>
        </is>
      </c>
      <c r="H6537" t="inlineStr">
        <is>
          <t>29/04/2026</t>
        </is>
      </c>
      <c r="I6537" t="inlineStr">
        <is>
          <t>17/03/2026</t>
        </is>
      </c>
      <c r="J6537" t="inlineStr">
        <is>
          <t>Luật / Pháp lý</t>
        </is>
      </c>
      <c r="K6537" t="inlineStr">
        <is>
          <t>3 - 5 Năm</t>
        </is>
      </c>
      <c r="L6537" s="8">
        <f>HYPERLINK("https://careerviet.vn/vi/tim-viec-lam/chuyen-vien-phap-che-van-hanh.35C6CE65.html","Xem chi tiết")</f>
        <v/>
      </c>
    </row>
    <row r="6538">
      <c r="B6538" s="9" t="n">
        <v>6536</v>
      </c>
      <c r="C6538" s="10" t="inlineStr">
        <is>
          <t>Trợ Lý Vận Hành Sàn Thương Mại Điện Tử(Mới)</t>
        </is>
      </c>
      <c r="D6538" s="10" t="inlineStr">
        <is>
          <t>Công Ty TNHH Thương Mại Xuất Nhập Khẩu Fani</t>
        </is>
      </c>
      <c r="E6538" s="10" t="inlineStr">
        <is>
          <t>Lương:15 Tr - 30 Tr VND</t>
        </is>
      </c>
      <c r="F6538" s="10" t="inlineStr">
        <is>
          <t>Hà Nội</t>
        </is>
      </c>
      <c r="G6538" s="10" t="inlineStr">
        <is>
          <t>30-04-2026</t>
        </is>
      </c>
      <c r="H6538" s="10" t="inlineStr">
        <is>
          <t>30/04/2026</t>
        </is>
      </c>
      <c r="I6538" s="10" t="inlineStr">
        <is>
          <t>17/03/2026</t>
        </is>
      </c>
      <c r="J6538" s="10" t="inlineStr">
        <is>
          <t>Thương mại điện tử, Bán lẻ / Bán sỉ</t>
        </is>
      </c>
      <c r="K6538" s="10" t="inlineStr">
        <is>
          <t>1 - 2 Năm</t>
        </is>
      </c>
      <c r="L6538" s="11">
        <f>HYPERLINK("https://careerviet.vn/vi/tim-viec-lam/tro-ly-van-hanh-san-thuong-mai-dien-tu.35C6CE57.html","Xem chi tiết")</f>
        <v/>
      </c>
      <c r="M6538" s="10" t="n"/>
    </row>
    <row r="6539">
      <c r="B6539" s="7" t="n">
        <v>6537</v>
      </c>
      <c r="C6539" t="inlineStr">
        <is>
          <t>Nhân Viên Hành Chính - Lễ tân(Mới)</t>
        </is>
      </c>
      <c r="D6539" t="inlineStr">
        <is>
          <t>CÔNG TY CỔ PHẦN ĐIỆN VÀ XÂY DỰNG NAM VIỆT</t>
        </is>
      </c>
      <c r="E6539" t="inlineStr">
        <is>
          <t>Lương:Cạnh tranh</t>
        </is>
      </c>
      <c r="F6539" t="inlineStr">
        <is>
          <t>Hồ Chí Minh</t>
        </is>
      </c>
      <c r="G6539" t="inlineStr">
        <is>
          <t>05-04-2026</t>
        </is>
      </c>
      <c r="H6539" t="inlineStr">
        <is>
          <t>05/04/2026</t>
        </is>
      </c>
      <c r="I6539" t="inlineStr">
        <is>
          <t>17/03/2026</t>
        </is>
      </c>
      <c r="J6539" t="inlineStr">
        <is>
          <t>Hành chính / Thư ký, Nhân sự, Mới tốt nghiệp / Thực tập</t>
        </is>
      </c>
      <c r="K6539" t="inlineStr">
        <is>
          <t>Lên đến 2 Năm</t>
        </is>
      </c>
      <c r="L6539" s="8">
        <f>HYPERLINK("https://careerviet.vn/vi/tim-viec-lam/nhan-vien-hanh-chinh-le-tan.35C6CE7B.html","Xem chi tiết")</f>
        <v/>
      </c>
    </row>
    <row r="6540">
      <c r="B6540" s="9" t="n">
        <v>6538</v>
      </c>
      <c r="C6540" s="10" t="inlineStr">
        <is>
          <t>Sales Mỹ Phẩm Hàn Quốc – Bán Sỉ(Mới)</t>
        </is>
      </c>
      <c r="D6540" s="10" t="inlineStr">
        <is>
          <t>CÔNG TY TNHH TAESAM GLOBAL</t>
        </is>
      </c>
      <c r="E6540" s="10" t="inlineStr">
        <is>
          <t>Lương:10 Tr - 20 Tr VND</t>
        </is>
      </c>
      <c r="F6540" s="10" t="inlineStr">
        <is>
          <t>Hồ Chí Minh</t>
        </is>
      </c>
      <c r="G6540" s="10" t="inlineStr">
        <is>
          <t>30-04-2026</t>
        </is>
      </c>
      <c r="H6540" s="10" t="inlineStr">
        <is>
          <t>30/04/2026</t>
        </is>
      </c>
      <c r="I6540" s="10" t="inlineStr">
        <is>
          <t>17/03/2026</t>
        </is>
      </c>
      <c r="J6540" s="10" t="inlineStr">
        <is>
          <t>Bán lẻ / Bán sỉ, Bán hàng / Kinh doanh, Tiếp thị trực tuyến</t>
        </is>
      </c>
      <c r="K6540" s="10" t="inlineStr">
        <is>
          <t>1 - 5 Năm</t>
        </is>
      </c>
      <c r="L6540" s="11">
        <f>HYPERLINK("https://careerviet.vn/vi/tim-viec-lam/sales-my-pham-han-quoc-ban-si.35C6CE5D.html","Xem chi tiết")</f>
        <v/>
      </c>
      <c r="M6540" s="10" t="n"/>
    </row>
    <row r="6541">
      <c r="B6541" s="7" t="n">
        <v>6539</v>
      </c>
      <c r="C6541" t="inlineStr">
        <is>
          <t>Trưởng Nhóm Livestream(Mới)</t>
        </is>
      </c>
      <c r="D6541" t="inlineStr">
        <is>
          <t>Công Ty TNHH Thương Mại Xuất Nhập Khẩu Fani</t>
        </is>
      </c>
      <c r="E6541" t="inlineStr">
        <is>
          <t>Lương:18 Tr - 70 Tr VND</t>
        </is>
      </c>
      <c r="F6541" t="inlineStr">
        <is>
          <t>Hà Nội</t>
        </is>
      </c>
      <c r="G6541" t="inlineStr">
        <is>
          <t>30-04-2026</t>
        </is>
      </c>
      <c r="H6541" t="inlineStr">
        <is>
          <t>30/04/2026</t>
        </is>
      </c>
      <c r="I6541" t="inlineStr">
        <is>
          <t>17/03/2026</t>
        </is>
      </c>
      <c r="J6541" t="inlineStr">
        <is>
          <t>Bán hàng / Kinh doanh, Thương mại điện tử</t>
        </is>
      </c>
      <c r="K6541" t="inlineStr">
        <is>
          <t>1 - 2 Năm</t>
        </is>
      </c>
      <c r="L6541" s="8">
        <f>HYPERLINK("https://careerviet.vn/vi/tim-viec-lam/truong-nhom-livestream.35C6CE52.html","Xem chi tiết")</f>
        <v/>
      </c>
    </row>
    <row r="6542">
      <c r="B6542" s="9" t="n">
        <v>6540</v>
      </c>
      <c r="C6542" s="10" t="inlineStr">
        <is>
          <t>Nhân Viên Kinh Doanh(Mới)</t>
        </is>
      </c>
      <c r="D6542" s="10" t="inlineStr">
        <is>
          <t>CÔNG TY TNHH KHÔNG GIAN A&amp;A</t>
        </is>
      </c>
      <c r="E6542" s="10" t="inlineStr">
        <is>
          <t>Lương:15 Tr - 30 Tr VND</t>
        </is>
      </c>
      <c r="F6542" s="10" t="inlineStr">
        <is>
          <t>Hồ Chí Minh</t>
        </is>
      </c>
      <c r="G6542" s="10" t="inlineStr">
        <is>
          <t>17-04-2026</t>
        </is>
      </c>
      <c r="H6542" s="10" t="inlineStr">
        <is>
          <t>17/04/2026</t>
        </is>
      </c>
      <c r="I6542" s="10" t="inlineStr">
        <is>
          <t>17/03/2026</t>
        </is>
      </c>
      <c r="J6542" s="10" t="inlineStr">
        <is>
          <t>Nội ngoại thất, Xây dựng, Bán hàng / Kinh doanh</t>
        </is>
      </c>
      <c r="K6542" s="10" t="inlineStr">
        <is>
          <t>Lên đến 1 Năm</t>
        </is>
      </c>
      <c r="L6542" s="11">
        <f>HYPERLINK("https://careerviet.vn/vi/tim-viec-lam/nhan-vien-kinh-doanh.35C6CE4B.html","Xem chi tiết")</f>
        <v/>
      </c>
      <c r="M6542" s="10" t="n"/>
    </row>
    <row r="6543">
      <c r="B6543" s="7" t="n">
        <v>6541</v>
      </c>
      <c r="C6543" t="inlineStr">
        <is>
          <t>Chuyên Viên Tư Vấn Tài Chính - Kênh Liên Doanh Ngân Hàng BIDV(Mới)</t>
        </is>
      </c>
      <c r="D6543" t="inlineStr">
        <is>
          <t>Công Ty TNHH Bảo Hiểm Nhân Thọ BIDV MetLife</t>
        </is>
      </c>
      <c r="E6543" t="inlineStr">
        <is>
          <t>Lương:Cạnh tranh</t>
        </is>
      </c>
      <c r="F6543" t="inlineStr">
        <is>
          <t>Lâm ĐồngDak LakKhánh Hòa</t>
        </is>
      </c>
      <c r="G6543" t="inlineStr">
        <is>
          <t>30-04-2026</t>
        </is>
      </c>
      <c r="H6543" t="inlineStr">
        <is>
          <t>30/04/2026</t>
        </is>
      </c>
      <c r="I6543" t="inlineStr">
        <is>
          <t>17/03/2026</t>
        </is>
      </c>
      <c r="J6543" t="inlineStr">
        <is>
          <t>Tư vấn, Ngân hàng, Bán hàng / Kinh doanh</t>
        </is>
      </c>
      <c r="K6543" t="inlineStr">
        <is>
          <t>1 - 3 Năm</t>
        </is>
      </c>
      <c r="L6543" s="8">
        <f>HYPERLINK("https://careerviet.vn/vi/tim-viec-lam/chuyen-vien-tu-van-tai-chinh-kenh-lien-doanh-ngan-hang-bidv.35C6CE60.html","Xem chi tiết")</f>
        <v/>
      </c>
    </row>
    <row r="6544">
      <c r="B6544" s="9" t="n">
        <v>6542</v>
      </c>
      <c r="C6544" s="10" t="inlineStr">
        <is>
          <t>Nhân Viên Content Creator Tiktok(Mới)</t>
        </is>
      </c>
      <c r="D6544" s="10" t="inlineStr">
        <is>
          <t>Công Ty TNHH Thương Mại Xuất Nhập Khẩu Fani</t>
        </is>
      </c>
      <c r="E6544" s="10" t="inlineStr">
        <is>
          <t>Lương:13 Tr - 30 Tr VND</t>
        </is>
      </c>
      <c r="F6544" s="10" t="inlineStr">
        <is>
          <t>Hà Nội</t>
        </is>
      </c>
      <c r="G6544" s="10" t="inlineStr">
        <is>
          <t>30-04-2026</t>
        </is>
      </c>
      <c r="H6544" s="10" t="inlineStr">
        <is>
          <t>30/04/2026</t>
        </is>
      </c>
      <c r="I6544" s="10" t="inlineStr">
        <is>
          <t>17/03/2026</t>
        </is>
      </c>
      <c r="J6544" s="10" t="inlineStr">
        <is>
          <t>Tiếp thị / Marketing, Tiếp thị trực tuyến</t>
        </is>
      </c>
      <c r="K6544" s="10" t="inlineStr">
        <is>
          <t>Lên đến 1 Năm</t>
        </is>
      </c>
      <c r="L6544" s="11">
        <f>HYPERLINK("https://careerviet.vn/vi/tim-viec-lam/nhan-vien-content-creator-tiktok.35C6CE5E.html","Xem chi tiết")</f>
        <v/>
      </c>
      <c r="M6544" s="10" t="n"/>
    </row>
    <row r="6545">
      <c r="B6545" s="7" t="n">
        <v>6543</v>
      </c>
      <c r="C6545" t="inlineStr">
        <is>
          <t>IT SUPPORT [Đi ca ngày đêm](Mới)</t>
        </is>
      </c>
      <c r="D6545" t="inlineStr">
        <is>
          <t>CÔNG TY TNHH CRYSTAL ELEGANCE TEXTILES VIỆT NAM</t>
        </is>
      </c>
      <c r="E6545" t="inlineStr">
        <is>
          <t>Lương:8 Tr - 12 Tr VND</t>
        </is>
      </c>
      <c r="F6545" t="inlineStr">
        <is>
          <t>Bình Dương</t>
        </is>
      </c>
      <c r="G6545" t="inlineStr">
        <is>
          <t>09-05-2026</t>
        </is>
      </c>
      <c r="H6545" t="inlineStr">
        <is>
          <t>09/05/2026</t>
        </is>
      </c>
      <c r="I6545" t="inlineStr">
        <is>
          <t>17/03/2026</t>
        </is>
      </c>
      <c r="J6545" t="inlineStr">
        <is>
          <t>CNTT - Phần mềm, CNTT - Phần cứng / Mạng, Sản xuất / Vận hành sản xuất</t>
        </is>
      </c>
      <c r="K6545" t="inlineStr">
        <is>
          <t>1 - 3 Năm</t>
        </is>
      </c>
      <c r="L6545" s="8">
        <f>HYPERLINK("https://careerviet.vn/vi/tim-viec-lam/it-support-di-ca-ngay-dem.35C6CE09.html","Xem chi tiết")</f>
        <v/>
      </c>
    </row>
    <row r="6546">
      <c r="B6546" s="9" t="n">
        <v>6544</v>
      </c>
      <c r="C6546" s="10" t="inlineStr">
        <is>
          <t>02 KỸ SƯ KINH TẾ XÂY DỰNG TẠI HÀ NỘI(Mới)</t>
        </is>
      </c>
      <c r="D6546" s="10" t="inlineStr">
        <is>
          <t>Công ty cổ phần Tập đoàn Tài Tâm (Tài Tâm Group)</t>
        </is>
      </c>
      <c r="E6546" s="10" t="inlineStr">
        <is>
          <t>Lương:12 Tr - 18 Tr VND</t>
        </is>
      </c>
      <c r="F6546" s="10" t="inlineStr">
        <is>
          <t>Hà Nội</t>
        </is>
      </c>
      <c r="G6546" s="10" t="inlineStr">
        <is>
          <t>16-04-2026</t>
        </is>
      </c>
      <c r="H6546" s="10" t="inlineStr">
        <is>
          <t>16/04/2026</t>
        </is>
      </c>
      <c r="I6546" s="10" t="inlineStr">
        <is>
          <t>17/03/2026</t>
        </is>
      </c>
      <c r="J6546" s="10" t="inlineStr">
        <is>
          <t>Xây dựng, Bất động sản, Ngành khác</t>
        </is>
      </c>
      <c r="K6546" s="10" t="inlineStr">
        <is>
          <t>Trên 1 Năm</t>
        </is>
      </c>
      <c r="L6546" s="11">
        <f>HYPERLINK("https://careerviet.vn/vi/tim-viec-lam/02-ky-su-kinh-te-xay-dung-tai-ha-noi.35C6CE51.html","Xem chi tiết")</f>
        <v/>
      </c>
      <c r="M6546" s="10" t="n"/>
    </row>
    <row r="6547">
      <c r="B6547" s="7" t="n">
        <v>6545</v>
      </c>
      <c r="C6547" t="inlineStr">
        <is>
          <t>Giáo Viên Mầm Non (Quận 10) - Nhận việc ngay(Mới)</t>
        </is>
      </c>
      <c r="D6547" t="inlineStr">
        <is>
          <t>Công ty CP Giáo dục Quốc tế Việt Úc</t>
        </is>
      </c>
      <c r="E6547" t="inlineStr">
        <is>
          <t>Lương:Cạnh tranh</t>
        </is>
      </c>
      <c r="F6547" t="inlineStr">
        <is>
          <t>Hồ Chí Minh</t>
        </is>
      </c>
      <c r="G6547" t="inlineStr">
        <is>
          <t>31-03-2026</t>
        </is>
      </c>
      <c r="H6547" t="inlineStr">
        <is>
          <t>31/03/2026</t>
        </is>
      </c>
      <c r="I6547" t="inlineStr">
        <is>
          <t>17/03/2026</t>
        </is>
      </c>
      <c r="J6547" t="inlineStr">
        <is>
          <t>Giáo dục / Đào tạo</t>
        </is>
      </c>
      <c r="K6547" t="inlineStr">
        <is>
          <t>1 - 8 Năm</t>
        </is>
      </c>
      <c r="L6547" s="8">
        <f>HYPERLINK("https://careerviet.vn/vi/tim-viec-lam/giao-vien-mam-non-quan-10-nhan-viec-ngay.35C6CE50.html","Xem chi tiết")</f>
        <v/>
      </c>
    </row>
    <row r="6548">
      <c r="B6548" s="9" t="n">
        <v>6546</v>
      </c>
      <c r="C6548" s="10" t="inlineStr">
        <is>
          <t>Chuyên Viên Vận Hành Sàn Thương Mại Điện Tử Tiktok(Mới)</t>
        </is>
      </c>
      <c r="D6548" s="10" t="inlineStr">
        <is>
          <t>Công Ty TNHH Thương Mại Xuất Nhập Khẩu Fani</t>
        </is>
      </c>
      <c r="E6548" s="10" t="inlineStr">
        <is>
          <t>Lương:20 Tr - 50 Tr VND</t>
        </is>
      </c>
      <c r="F6548" s="10" t="inlineStr">
        <is>
          <t>Hà Nội</t>
        </is>
      </c>
      <c r="G6548" s="10" t="inlineStr">
        <is>
          <t>30-04-2026</t>
        </is>
      </c>
      <c r="H6548" s="10" t="inlineStr">
        <is>
          <t>30/04/2026</t>
        </is>
      </c>
      <c r="I6548" s="10" t="inlineStr">
        <is>
          <t>17/03/2026</t>
        </is>
      </c>
      <c r="J6548" s="10" t="inlineStr">
        <is>
          <t>Bán lẻ / Bán sỉ, Thương mại điện tử</t>
        </is>
      </c>
      <c r="K6548" s="10" t="inlineStr">
        <is>
          <t>1 - 2 Năm</t>
        </is>
      </c>
      <c r="L6548" s="11">
        <f>HYPERLINK("https://careerviet.vn/vi/tim-viec-lam/chuyen-vien-van-hanh-san-thuong-mai-dien-tu-tiktok.35C6CE55.html","Xem chi tiết")</f>
        <v/>
      </c>
      <c r="M6548" s="10" t="n"/>
    </row>
    <row r="6549">
      <c r="B6549" s="7" t="n">
        <v>6547</v>
      </c>
      <c r="C6549" t="inlineStr">
        <is>
          <t>Giám sát dịch vụ tòa nhà(Mới)</t>
        </is>
      </c>
      <c r="D6549" t="inlineStr">
        <is>
          <t>TỔNG CÔNG TY CỔ PHẦN THƯƠNG MẠI XÂY DỰNG</t>
        </is>
      </c>
      <c r="E6549" t="inlineStr">
        <is>
          <t>Lương:13 Tr - 15 Tr VND</t>
        </is>
      </c>
      <c r="F6549" t="inlineStr">
        <is>
          <t>Hà Nội</t>
        </is>
      </c>
      <c r="G6549" t="inlineStr">
        <is>
          <t>14-04-2026</t>
        </is>
      </c>
      <c r="H6549" t="inlineStr">
        <is>
          <t>14/04/2026</t>
        </is>
      </c>
      <c r="I6549" t="inlineStr">
        <is>
          <t>17/03/2026</t>
        </is>
      </c>
      <c r="J6549" t="inlineStr">
        <is>
          <t>Dịch vụ khách hàng, Xây dựng, Bất động sản</t>
        </is>
      </c>
      <c r="K6549" t="inlineStr">
        <is>
          <t>Trên 3 Năm</t>
        </is>
      </c>
      <c r="L6549" s="8">
        <f>HYPERLINK("https://careerviet.vn/vi/tim-viec-lam/giam-sat-dich-vu-toa-nha.35C6CE4A.html","Xem chi tiết")</f>
        <v/>
      </c>
    </row>
    <row r="6550">
      <c r="B6550" s="9" t="n">
        <v>6548</v>
      </c>
      <c r="C6550" s="10" t="inlineStr">
        <is>
          <t>Nhân Viên Bảo Trì Mạng(Mới)</t>
        </is>
      </c>
      <c r="D6550" s="10" t="inlineStr">
        <is>
          <t>CÔNG TY TNHH KHÔNG GIAN A&amp;A</t>
        </is>
      </c>
      <c r="E6550" s="10" t="inlineStr">
        <is>
          <t>Lương:10 Tr - 12 Tr VND</t>
        </is>
      </c>
      <c r="F6550" s="10" t="inlineStr">
        <is>
          <t>Hồ Chí Minh</t>
        </is>
      </c>
      <c r="G6550" s="10" t="inlineStr">
        <is>
          <t>17-04-2026</t>
        </is>
      </c>
      <c r="H6550" s="10" t="inlineStr">
        <is>
          <t>17/04/2026</t>
        </is>
      </c>
      <c r="I6550" s="10" t="inlineStr">
        <is>
          <t>17/03/2026</t>
        </is>
      </c>
      <c r="J6550" s="10" t="inlineStr">
        <is>
          <t>Bảo trì / Sửa chữa, CNTT - Phần mềm, CNTT - Phần cứng / Mạng</t>
        </is>
      </c>
      <c r="K6550" s="10" t="inlineStr">
        <is>
          <t>Lên đến 1 Năm</t>
        </is>
      </c>
      <c r="L6550" s="11">
        <f>HYPERLINK("https://careerviet.vn/vi/tim-viec-lam/nhan-vien-bao-tri-mang.35C6CE45.html","Xem chi tiết")</f>
        <v/>
      </c>
      <c r="M6550" s="10" t="n"/>
    </row>
    <row r="6551">
      <c r="B6551" s="7" t="n">
        <v>6549</v>
      </c>
      <c r="C6551" t="inlineStr">
        <is>
          <t>Nhân Viên Marketing(Mới)</t>
        </is>
      </c>
      <c r="D6551" t="inlineStr">
        <is>
          <t>CÔNG TY TNHH KHÔNG GIAN A&amp;A</t>
        </is>
      </c>
      <c r="E6551" t="inlineStr">
        <is>
          <t>Lương:10 Tr - 15 Tr VND</t>
        </is>
      </c>
      <c r="F6551" t="inlineStr">
        <is>
          <t>Hồ Chí Minh</t>
        </is>
      </c>
      <c r="G6551" t="inlineStr">
        <is>
          <t>17-04-2026</t>
        </is>
      </c>
      <c r="H6551" t="inlineStr">
        <is>
          <t>17/04/2026</t>
        </is>
      </c>
      <c r="I6551" t="inlineStr">
        <is>
          <t>17/03/2026</t>
        </is>
      </c>
      <c r="J6551" t="inlineStr">
        <is>
          <t>Tiếp thị / Marketing, Xây dựng, Nội ngoại thất</t>
        </is>
      </c>
      <c r="K6551" t="inlineStr">
        <is>
          <t>Lên đến 1 Năm</t>
        </is>
      </c>
      <c r="L6551" s="8">
        <f>HYPERLINK("https://careerviet.vn/vi/tim-viec-lam/nhan-vien-marketing.35C6CE4C.html","Xem chi tiết")</f>
        <v/>
      </c>
    </row>
    <row r="6552">
      <c r="B6552" s="9" t="n">
        <v>6550</v>
      </c>
      <c r="C6552" s="10" t="inlineStr">
        <is>
          <t>Kế Toán Thuế(Mới)</t>
        </is>
      </c>
      <c r="D6552" s="10" t="inlineStr">
        <is>
          <t>Công ty cổ phần  vận tải đường sắt Việt Nam</t>
        </is>
      </c>
      <c r="E6552" s="10" t="inlineStr">
        <is>
          <t>Lương:10 Tr - 15 Tr VND</t>
        </is>
      </c>
      <c r="F6552" s="10" t="inlineStr">
        <is>
          <t>Hà Nội</t>
        </is>
      </c>
      <c r="G6552" s="10" t="inlineStr">
        <is>
          <t>17-04-2026</t>
        </is>
      </c>
      <c r="H6552" s="10" t="inlineStr">
        <is>
          <t>17/04/2026</t>
        </is>
      </c>
      <c r="I6552" s="10" t="inlineStr">
        <is>
          <t>17/03/2026</t>
        </is>
      </c>
      <c r="J6552" s="10" t="inlineStr">
        <is>
          <t>Kế toán / Kiểm toán, Vận chuyển / Giao nhận / Kho vận, Tài chính / Đầu tư</t>
        </is>
      </c>
      <c r="K6552" s="10" t="inlineStr">
        <is>
          <t>Trên 3 Năm</t>
        </is>
      </c>
      <c r="L6552" s="11">
        <f>HYPERLINK("https://careerviet.vn/vi/tim-viec-lam/ke-toan-thue.35C6CE15.html","Xem chi tiết")</f>
        <v/>
      </c>
      <c r="M6552" s="10" t="n"/>
    </row>
    <row r="6553">
      <c r="B6553" s="7" t="n">
        <v>6551</v>
      </c>
      <c r="C6553" t="inlineStr">
        <is>
          <t>ĐIỀU DƯỠNG CHĂM SÓC TRONG NGÀY/ DAYCARE NURSE(Mới)</t>
        </is>
      </c>
      <c r="D6553" t="inlineStr">
        <is>
          <t>American International Hospital (AIH)</t>
        </is>
      </c>
      <c r="E6553" t="inlineStr">
        <is>
          <t>Lương:Cạnh tranh</t>
        </is>
      </c>
      <c r="F6553" t="inlineStr">
        <is>
          <t>Hồ Chí Minh</t>
        </is>
      </c>
      <c r="G6553" t="inlineStr">
        <is>
          <t>31-03-2026</t>
        </is>
      </c>
      <c r="H6553" t="inlineStr">
        <is>
          <t>31/03/2026</t>
        </is>
      </c>
      <c r="I6553" t="inlineStr">
        <is>
          <t>17/03/2026</t>
        </is>
      </c>
      <c r="J6553" t="inlineStr">
        <is>
          <t>Y tế / Chăm sóc sức khỏe / Thẩm mỹ / Làm đẹp</t>
        </is>
      </c>
      <c r="K6553" t="inlineStr">
        <is>
          <t>1 - 2 Năm</t>
        </is>
      </c>
      <c r="L6553" s="8">
        <f>HYPERLINK("https://careerviet.vn/vi/tim-viec-lam/dieu-duong-cham-soc-trong-ngay-daycare-nurse.35C6CE43.html","Xem chi tiết")</f>
        <v/>
      </c>
    </row>
    <row r="6554">
      <c r="B6554" s="9" t="n">
        <v>6552</v>
      </c>
      <c r="C6554" s="10" t="inlineStr">
        <is>
          <t>Quản lý chất lượng cuộc gọi (QA Telesale)(Mới)</t>
        </is>
      </c>
      <c r="D6554" s="10" t="inlineStr">
        <is>
          <t>Vietnam Concentrix Services Company Limited</t>
        </is>
      </c>
      <c r="E6554" s="10" t="inlineStr">
        <is>
          <t>Lương:16 Tr - 18 Tr VND</t>
        </is>
      </c>
      <c r="F6554" s="10" t="inlineStr">
        <is>
          <t>Hồ Chí Minh</t>
        </is>
      </c>
      <c r="G6554" s="10" t="inlineStr">
        <is>
          <t>10-04-2026</t>
        </is>
      </c>
      <c r="H6554" s="10" t="inlineStr">
        <is>
          <t>10/04/2026</t>
        </is>
      </c>
      <c r="I6554" s="10" t="inlineStr">
        <is>
          <t>17/03/2026</t>
        </is>
      </c>
      <c r="J6554" s="10" t="inlineStr">
        <is>
          <t>Dịch vụ khách hàng</t>
        </is>
      </c>
      <c r="K6554" s="10" t="inlineStr">
        <is>
          <t>1 - 2 Năm</t>
        </is>
      </c>
      <c r="L6554" s="11">
        <f>HYPERLINK("https://careerviet.vn/vi/tim-viec-lam/quan-ly-chat-luong-cuoc-goi-qa-telesale.35C6CE40.html","Xem chi tiết")</f>
        <v/>
      </c>
      <c r="M6554" s="10" t="n"/>
    </row>
    <row r="6555">
      <c r="B6555" s="7" t="n">
        <v>6553</v>
      </c>
      <c r="C6555" t="inlineStr">
        <is>
          <t>Chuyên Viên QA(Mới)</t>
        </is>
      </c>
      <c r="D6555" t="inlineStr">
        <is>
          <t>Orioled Hub</t>
        </is>
      </c>
      <c r="E6555" t="inlineStr">
        <is>
          <t>Lương:Cạnh tranh</t>
        </is>
      </c>
      <c r="F6555" t="inlineStr">
        <is>
          <t>Hồ Chí Minh</t>
        </is>
      </c>
      <c r="G6555" t="inlineStr">
        <is>
          <t>30-04-2026</t>
        </is>
      </c>
      <c r="H6555" t="inlineStr">
        <is>
          <t>30/04/2026</t>
        </is>
      </c>
      <c r="I6555" t="inlineStr">
        <is>
          <t>17/03/2026</t>
        </is>
      </c>
      <c r="J6555" t="inlineStr">
        <is>
          <t>Dược phẩm/ Hóa Mỹ Phẩm, Hóa học, Quản lý chất lượng (QA/QC)</t>
        </is>
      </c>
      <c r="K6555" t="inlineStr">
        <is>
          <t>Lên đến 1 Năm</t>
        </is>
      </c>
      <c r="L6555" s="8">
        <f>HYPERLINK("https://careerviet.vn/vi/tim-viec-lam/chuyen-vien-qa.35C6CE26.html","Xem chi tiết")</f>
        <v/>
      </c>
    </row>
    <row r="6556">
      <c r="B6556" s="9" t="n">
        <v>6554</v>
      </c>
      <c r="C6556" s="10" t="inlineStr">
        <is>
          <t>Kỹ thuật viên Lắp ráp / Hàn tay(Mới)</t>
        </is>
      </c>
      <c r="D6556" s="10" t="inlineStr">
        <is>
          <t>CÔNG TY TNHH DYNAMIC TEST SOLUTIONS VIỆT NAM</t>
        </is>
      </c>
      <c r="E6556" s="10" t="inlineStr">
        <is>
          <t>Lương:12 Tr - 18 Tr VND</t>
        </is>
      </c>
      <c r="F6556" s="10" t="inlineStr">
        <is>
          <t>Hồ Chí Minh</t>
        </is>
      </c>
      <c r="G6556" s="10" t="inlineStr">
        <is>
          <t>30-04-2026</t>
        </is>
      </c>
      <c r="H6556" s="10" t="inlineStr">
        <is>
          <t>30/04/2026</t>
        </is>
      </c>
      <c r="I6556" s="10" t="inlineStr">
        <is>
          <t>17/03/2026</t>
        </is>
      </c>
      <c r="J6556" s="10" t="inlineStr">
        <is>
          <t>Điện / Điện tử / Điện lạnh / Điện công nghiệp, Sản xuất / Vận hành sản xuất</t>
        </is>
      </c>
      <c r="K6556" s="10" t="inlineStr">
        <is>
          <t>1 - 2 Năm</t>
        </is>
      </c>
      <c r="L6556" s="11">
        <f>HYPERLINK("https://careerviet.vn/vi/tim-viec-lam/ky-thuat-vien-lap-rap-han-tay.35C6CE46.html","Xem chi tiết")</f>
        <v/>
      </c>
      <c r="M6556" s="10" t="n"/>
    </row>
    <row r="6557">
      <c r="B6557" s="7" t="n">
        <v>6555</v>
      </c>
      <c r="C6557" t="inlineStr">
        <is>
          <t>Nhân viên an toàn môi trường và PCCC, 5S - HSE(Mới)</t>
        </is>
      </c>
      <c r="D6557" t="inlineStr">
        <is>
          <t>GUVI COMPANY LIMITED</t>
        </is>
      </c>
      <c r="E6557" t="inlineStr">
        <is>
          <t>Lương:15 Tr - 20 Tr VND</t>
        </is>
      </c>
      <c r="F6557" t="inlineStr">
        <is>
          <t>Bình Dương</t>
        </is>
      </c>
      <c r="G6557" t="inlineStr">
        <is>
          <t>30-04-2026</t>
        </is>
      </c>
      <c r="H6557" t="inlineStr">
        <is>
          <t>30/04/2026</t>
        </is>
      </c>
      <c r="I6557" t="inlineStr">
        <is>
          <t>17/03/2026</t>
        </is>
      </c>
      <c r="J6557" t="inlineStr">
        <is>
          <t>Môi trường, Nhân sự, Cơ khí / Ô tô / Tự động hóa</t>
        </is>
      </c>
      <c r="K6557" t="inlineStr">
        <is>
          <t>2 - 10 Năm</t>
        </is>
      </c>
      <c r="L6557" s="8">
        <f>HYPERLINK("https://careerviet.vn/vi/tim-viec-lam/nhan-vien-an-toan-moi-truong-va-pccc-5s-hse.35C6CE42.html","Xem chi tiết")</f>
        <v/>
      </c>
    </row>
    <row r="6558">
      <c r="B6558" s="9" t="n">
        <v>6556</v>
      </c>
      <c r="C6558" s="10" t="inlineStr">
        <is>
          <t>Đại Diện Bán Hàng Tại Cần Thơ(Mới)</t>
        </is>
      </c>
      <c r="D6558" s="10" t="inlineStr">
        <is>
          <t>Tập Đoàn Karofi Holding</t>
        </is>
      </c>
      <c r="E6558" s="10" t="inlineStr">
        <is>
          <t>Lương:16 Tr - 22 Tr VND</t>
        </is>
      </c>
      <c r="F6558" s="10" t="inlineStr">
        <is>
          <t>Cần Thơ</t>
        </is>
      </c>
      <c r="G6558" s="10" t="inlineStr">
        <is>
          <t>29-04-2026</t>
        </is>
      </c>
      <c r="H6558" s="10" t="inlineStr">
        <is>
          <t>29/04/2026</t>
        </is>
      </c>
      <c r="I6558" s="10" t="inlineStr">
        <is>
          <t>17/03/2026</t>
        </is>
      </c>
      <c r="J6558" s="10" t="inlineStr">
        <is>
          <t>Hàng gia dụng / Chăm sóc cá nhân, Bán lẻ / Bán sỉ, Bán hàng / Kinh doanh</t>
        </is>
      </c>
      <c r="K6558" s="10" t="inlineStr">
        <is>
          <t>Trên 1 Năm</t>
        </is>
      </c>
      <c r="L6558" s="11">
        <f>HYPERLINK("https://careerviet.vn/vi/tim-viec-lam/dai-dien-ban-hang-tai-can-tho.35C6CE44.html","Xem chi tiết")</f>
        <v/>
      </c>
      <c r="M6558" s="10" t="n"/>
    </row>
    <row r="6559">
      <c r="B6559" s="7" t="n">
        <v>6557</v>
      </c>
      <c r="C6559" t="inlineStr">
        <is>
          <t>Nhân Viên QC (Vi Sinh)(Mới)</t>
        </is>
      </c>
      <c r="D6559" t="inlineStr">
        <is>
          <t>Orioled Hub</t>
        </is>
      </c>
      <c r="E6559" t="inlineStr">
        <is>
          <t>Lương:Cạnh tranh</t>
        </is>
      </c>
      <c r="F6559" t="inlineStr">
        <is>
          <t>Bà Rịa - Vũng Tàu</t>
        </is>
      </c>
      <c r="G6559" t="inlineStr">
        <is>
          <t>30-04-2026</t>
        </is>
      </c>
      <c r="H6559" t="inlineStr">
        <is>
          <t>30/04/2026</t>
        </is>
      </c>
      <c r="I6559" t="inlineStr">
        <is>
          <t>17/03/2026</t>
        </is>
      </c>
      <c r="J6559" t="inlineStr">
        <is>
          <t>Dược phẩm/ Hóa Mỹ Phẩm, Công nghệ sinh học, Quản lý chất lượng (QA/QC)</t>
        </is>
      </c>
      <c r="K6559" t="inlineStr">
        <is>
          <t>Lên đến 1 Năm</t>
        </is>
      </c>
      <c r="L6559" s="8">
        <f>HYPERLINK("https://careerviet.vn/vi/tim-viec-lam/nhan-vien-qc-vi-sinh.35C6CE24.html","Xem chi tiết")</f>
        <v/>
      </c>
    </row>
    <row r="6560">
      <c r="B6560" s="9" t="n">
        <v>6558</v>
      </c>
      <c r="C6560" s="10" t="inlineStr">
        <is>
          <t>Nhân Viên Kinh Doanh(Mới)</t>
        </is>
      </c>
      <c r="D6560" s="10" t="inlineStr">
        <is>
          <t>Công ty cổ phần tập đoàn An Thịnh</t>
        </is>
      </c>
      <c r="E6560" s="10" t="inlineStr">
        <is>
          <t>Lương:Trên 10 Tr VND</t>
        </is>
      </c>
      <c r="F6560" s="10" t="inlineStr">
        <is>
          <t>Hà Nội</t>
        </is>
      </c>
      <c r="G6560" s="10" t="inlineStr">
        <is>
          <t>17-04-2026</t>
        </is>
      </c>
      <c r="H6560" s="10" t="inlineStr">
        <is>
          <t>17/04/2026</t>
        </is>
      </c>
      <c r="I6560" s="10" t="inlineStr">
        <is>
          <t>17/03/2026</t>
        </is>
      </c>
      <c r="J6560" s="10" t="inlineStr">
        <is>
          <t>Bán hàng / Kinh doanh, Bán Hàng Kỹ Thuật, Xây dựng</t>
        </is>
      </c>
      <c r="K6560" s="10" t="inlineStr">
        <is>
          <t>N/A</t>
        </is>
      </c>
      <c r="L6560" s="11">
        <f>HYPERLINK("https://careerviet.vn/vi/tim-viec-lam/nhan-vien-kinh-doanh.35C6CE3C.html","Xem chi tiết")</f>
        <v/>
      </c>
      <c r="M6560" s="10" t="n"/>
    </row>
    <row r="6561">
      <c r="B6561" s="7" t="n">
        <v>6559</v>
      </c>
      <c r="C6561" t="inlineStr">
        <is>
          <t>Business Development Manager(Mới)</t>
        </is>
      </c>
      <c r="D6561" t="inlineStr">
        <is>
          <t>AkzoNobel Vietnam</t>
        </is>
      </c>
      <c r="E6561" t="inlineStr">
        <is>
          <t>Lương:Cạnh tranh</t>
        </is>
      </c>
      <c r="F6561" t="inlineStr">
        <is>
          <t>Đồng Nai</t>
        </is>
      </c>
      <c r="G6561" t="inlineStr">
        <is>
          <t>17-04-2026</t>
        </is>
      </c>
      <c r="H6561" t="inlineStr">
        <is>
          <t>17/04/2026</t>
        </is>
      </c>
      <c r="I6561" t="inlineStr">
        <is>
          <t>17/03/2026</t>
        </is>
      </c>
      <c r="J6561" t="inlineStr">
        <is>
          <t>Bán hàng / Kinh doanh, Hóa học, Bán Hàng Kỹ Thuật</t>
        </is>
      </c>
      <c r="K6561" t="inlineStr">
        <is>
          <t>2 - 5 Năm</t>
        </is>
      </c>
      <c r="L6561" s="8">
        <f>HYPERLINK("https://careerviet.vn/vi/tim-viec-lam/business-development-manager.35C6CE28.html","Xem chi tiết")</f>
        <v/>
      </c>
    </row>
    <row r="6562">
      <c r="B6562" s="9" t="n">
        <v>6560</v>
      </c>
      <c r="C6562" s="10" t="inlineStr">
        <is>
          <t>Đại Diện Bán Hàng Tại Điện Biên(Mới)</t>
        </is>
      </c>
      <c r="D6562" s="10" t="inlineStr">
        <is>
          <t>Tập Đoàn Karofi Holding</t>
        </is>
      </c>
      <c r="E6562" s="10" t="inlineStr">
        <is>
          <t>Lương:16 Tr - 22 Tr VND</t>
        </is>
      </c>
      <c r="F6562" s="10" t="inlineStr">
        <is>
          <t>Điện Biên</t>
        </is>
      </c>
      <c r="G6562" s="10" t="inlineStr">
        <is>
          <t>29-04-2026</t>
        </is>
      </c>
      <c r="H6562" s="10" t="inlineStr">
        <is>
          <t>29/04/2026</t>
        </is>
      </c>
      <c r="I6562" s="10" t="inlineStr">
        <is>
          <t>17/03/2026</t>
        </is>
      </c>
      <c r="J6562" s="10" t="inlineStr">
        <is>
          <t>Hàng gia dụng / Chăm sóc cá nhân, Bán lẻ / Bán sỉ, Bán hàng / Kinh doanh</t>
        </is>
      </c>
      <c r="K6562" s="10" t="inlineStr">
        <is>
          <t>Trên 1 Năm</t>
        </is>
      </c>
      <c r="L6562" s="11">
        <f>HYPERLINK("https://careerviet.vn/vi/tim-viec-lam/dai-dien-ban-hang-tai-dien-bien.35C6CE39.html","Xem chi tiết")</f>
        <v/>
      </c>
      <c r="M6562" s="10" t="n"/>
    </row>
    <row r="6563">
      <c r="B6563" s="7" t="n">
        <v>6561</v>
      </c>
      <c r="C6563" t="inlineStr">
        <is>
          <t>Chuyên viên phát triển kinh doanh</t>
        </is>
      </c>
      <c r="D6563" t="inlineStr">
        <is>
          <t>Công Ty TNHH Sơn Seamaster Việt Nam</t>
        </is>
      </c>
      <c r="E6563" t="inlineStr">
        <is>
          <t>Lương:14 Tr - 18 Tr VND</t>
        </is>
      </c>
      <c r="F6563" t="inlineStr">
        <is>
          <t>Hồ Chí MinhBình Dương</t>
        </is>
      </c>
      <c r="G6563" t="inlineStr">
        <is>
          <t>31-03-2026</t>
        </is>
      </c>
      <c r="H6563" t="inlineStr">
        <is>
          <t>31/03/2026</t>
        </is>
      </c>
      <c r="I6563" t="inlineStr">
        <is>
          <t>17/03/2026</t>
        </is>
      </c>
      <c r="J6563" t="inlineStr">
        <is>
          <t>Bán lẻ / Bán sỉ, Xây dựng, Bán hàng / Kinh doanh</t>
        </is>
      </c>
      <c r="K6563" t="inlineStr">
        <is>
          <t>2 - 5 Năm</t>
        </is>
      </c>
      <c r="L6563" s="8">
        <f>HYPERLINK("https://careerviet.vn/vi/tim-viec-lam/chuyen-vien-phat-trien-kinh-doanh.35C6C3C1.html","Xem chi tiết")</f>
        <v/>
      </c>
    </row>
    <row r="6564">
      <c r="B6564" s="9" t="n">
        <v>6562</v>
      </c>
      <c r="C6564" s="10" t="inlineStr">
        <is>
          <t>Senior Infrastructure Engineer(Mới)</t>
        </is>
      </c>
      <c r="D6564" s="10" t="inlineStr">
        <is>
          <t>CÔNG TY CỔ PHẦN GIẢI PHÁP GENE - GENE SOLUTIONS</t>
        </is>
      </c>
      <c r="E6564" s="10" t="inlineStr">
        <is>
          <t>Lương:Cạnh tranh</t>
        </is>
      </c>
      <c r="F6564" s="10" t="inlineStr">
        <is>
          <t>Hồ Chí Minh</t>
        </is>
      </c>
      <c r="G6564" s="10" t="inlineStr">
        <is>
          <t>10-04-2026</t>
        </is>
      </c>
      <c r="H6564" s="10" t="inlineStr">
        <is>
          <t>10/04/2026</t>
        </is>
      </c>
      <c r="I6564" s="10" t="inlineStr">
        <is>
          <t>17/03/2026</t>
        </is>
      </c>
      <c r="J6564" s="10" t="inlineStr">
        <is>
          <t>CNTT - Phần cứng / Mạng, CNTT - Phần mềm</t>
        </is>
      </c>
      <c r="K6564" s="10" t="inlineStr">
        <is>
          <t>Chưa có kinh nghiệm</t>
        </is>
      </c>
      <c r="L6564" s="11">
        <f>HYPERLINK("https://careerviet.vn/vi/tim-viec-lam/senior-infrastructure-engineer.35C6CE41.html","Xem chi tiết")</f>
        <v/>
      </c>
      <c r="M6564" s="10" t="n"/>
    </row>
    <row r="6565">
      <c r="B6565" s="7" t="n">
        <v>6563</v>
      </c>
      <c r="C6565" t="inlineStr">
        <is>
          <t>Chuyên Viên Nghiên Cứu và Phát Triển(Mới)</t>
        </is>
      </c>
      <c r="D6565" t="inlineStr">
        <is>
          <t>Orioled Hub</t>
        </is>
      </c>
      <c r="E6565" t="inlineStr">
        <is>
          <t>Lương:18 Tr - 30 Tr VND</t>
        </is>
      </c>
      <c r="F6565" t="inlineStr">
        <is>
          <t>Bà Rịa - Vũng Tàu</t>
        </is>
      </c>
      <c r="G6565" t="inlineStr">
        <is>
          <t>30-04-2026</t>
        </is>
      </c>
      <c r="H6565" t="inlineStr">
        <is>
          <t>30/04/2026</t>
        </is>
      </c>
      <c r="I6565" t="inlineStr">
        <is>
          <t>17/03/2026</t>
        </is>
      </c>
      <c r="J6565" t="inlineStr">
        <is>
          <t>Dược phẩm/ Hóa Mỹ Phẩm, Y tế / Chăm sóc sức khỏe / Thẩm mỹ / Làm đẹp, Quản lý chất lượng (QA/QC)</t>
        </is>
      </c>
      <c r="K6565" t="inlineStr">
        <is>
          <t>3 - 4 Năm</t>
        </is>
      </c>
      <c r="L6565" s="8">
        <f>HYPERLINK("https://careerviet.vn/vi/tim-viec-lam/chuyen-vien-nghien-cuu-va-phat-trien.35C6CE25.html","Xem chi tiết")</f>
        <v/>
      </c>
    </row>
    <row r="6566">
      <c r="B6566" s="9" t="n">
        <v>6564</v>
      </c>
      <c r="C6566" s="10" t="inlineStr">
        <is>
          <t>Senior R&amp;D Chemist(Mới)</t>
        </is>
      </c>
      <c r="D6566" s="10" t="inlineStr">
        <is>
          <t>AkzoNobel Vietnam</t>
        </is>
      </c>
      <c r="E6566" s="10" t="inlineStr">
        <is>
          <t>Lương:Cạnh tranh</t>
        </is>
      </c>
      <c r="F6566" s="10" t="inlineStr">
        <is>
          <t>Đồng Nai</t>
        </is>
      </c>
      <c r="G6566" s="10" t="inlineStr">
        <is>
          <t>17-04-2026</t>
        </is>
      </c>
      <c r="H6566" s="10" t="inlineStr">
        <is>
          <t>17/04/2026</t>
        </is>
      </c>
      <c r="I6566" s="10" t="inlineStr">
        <is>
          <t>17/03/2026</t>
        </is>
      </c>
      <c r="J6566" s="10" t="inlineStr">
        <is>
          <t>Hóa học, Đồ gỗ, Quản lý chất lượng (QA/QC)</t>
        </is>
      </c>
      <c r="K6566" s="10" t="inlineStr">
        <is>
          <t>5 - 10 Năm</t>
        </is>
      </c>
      <c r="L6566" s="11">
        <f>HYPERLINK("https://careerviet.vn/vi/tim-viec-lam/senior-r-d-chemist.35C6CE38.html","Xem chi tiết")</f>
        <v/>
      </c>
      <c r="M6566" s="10" t="n"/>
    </row>
    <row r="6567">
      <c r="B6567" s="7" t="n">
        <v>6565</v>
      </c>
      <c r="C6567" t="inlineStr">
        <is>
          <t>Thủ Kho(Mới)</t>
        </is>
      </c>
      <c r="D6567" t="inlineStr">
        <is>
          <t>Orioled Hub</t>
        </is>
      </c>
      <c r="E6567" t="inlineStr">
        <is>
          <t>Lương:Cạnh tranh</t>
        </is>
      </c>
      <c r="F6567" t="inlineStr">
        <is>
          <t>Bà Rịa - Vũng Tàu</t>
        </is>
      </c>
      <c r="G6567" t="inlineStr">
        <is>
          <t>30-04-2026</t>
        </is>
      </c>
      <c r="H6567" t="inlineStr">
        <is>
          <t>30/04/2026</t>
        </is>
      </c>
      <c r="I6567" t="inlineStr">
        <is>
          <t>17/03/2026</t>
        </is>
      </c>
      <c r="J6567" t="inlineStr">
        <is>
          <t>Dược phẩm/ Hóa Mỹ Phẩm, Vận chuyển / Giao nhận / Kho vận, Sản xuất / Vận hành sản xuất</t>
        </is>
      </c>
      <c r="K6567" t="inlineStr">
        <is>
          <t>1 - 2 Năm</t>
        </is>
      </c>
      <c r="L6567" s="8">
        <f>HYPERLINK("https://careerviet.vn/vi/tim-viec-lam/thu-kho.35C6CE27.html","Xem chi tiết")</f>
        <v/>
      </c>
    </row>
    <row r="6568">
      <c r="B6568" s="9" t="n">
        <v>6566</v>
      </c>
      <c r="C6568" s="10" t="inlineStr">
        <is>
          <t>Đại Diện Bán Hàng Tại Quảng Ninh(Mới)</t>
        </is>
      </c>
      <c r="D6568" s="10" t="inlineStr">
        <is>
          <t>Tập Đoàn Karofi Holding</t>
        </is>
      </c>
      <c r="E6568" s="10" t="inlineStr">
        <is>
          <t>Lương:16 Tr - 22 Tr VND</t>
        </is>
      </c>
      <c r="F6568" s="10" t="inlineStr">
        <is>
          <t>Quảng Ninh</t>
        </is>
      </c>
      <c r="G6568" s="10" t="inlineStr">
        <is>
          <t>29-04-2026</t>
        </is>
      </c>
      <c r="H6568" s="10" t="inlineStr">
        <is>
          <t>29/04/2026</t>
        </is>
      </c>
      <c r="I6568" s="10" t="inlineStr">
        <is>
          <t>17/03/2026</t>
        </is>
      </c>
      <c r="J6568" s="10" t="inlineStr">
        <is>
          <t>Hàng gia dụng / Chăm sóc cá nhân, Bán lẻ / Bán sỉ, Bán hàng / Kinh doanh</t>
        </is>
      </c>
      <c r="K6568" s="10" t="inlineStr">
        <is>
          <t>Trên 1 Năm</t>
        </is>
      </c>
      <c r="L6568" s="11">
        <f>HYPERLINK("https://careerviet.vn/vi/tim-viec-lam/dai-dien-ban-hang-tai-quang-ninh.35C6CE37.html","Xem chi tiết")</f>
        <v/>
      </c>
      <c r="M6568" s="10" t="n"/>
    </row>
    <row r="6569">
      <c r="B6569" s="7" t="n">
        <v>6567</v>
      </c>
      <c r="C6569" t="inlineStr">
        <is>
          <t>CHUYÊN VIÊN ĐÁNH GIÁ THIẾT BỊ(Mới)</t>
        </is>
      </c>
      <c r="D6569" t="inlineStr">
        <is>
          <t>Orioled Hub</t>
        </is>
      </c>
      <c r="E6569" t="inlineStr">
        <is>
          <t>Lương:15 Tr - 25 Tr VND</t>
        </is>
      </c>
      <c r="F6569" t="inlineStr">
        <is>
          <t>Hồ Chí Minh</t>
        </is>
      </c>
      <c r="G6569" t="inlineStr">
        <is>
          <t>30-04-2026</t>
        </is>
      </c>
      <c r="H6569" t="inlineStr">
        <is>
          <t>30/04/2026</t>
        </is>
      </c>
      <c r="I6569" t="inlineStr">
        <is>
          <t>17/03/2026</t>
        </is>
      </c>
      <c r="J6569" t="inlineStr">
        <is>
          <t>Cơ khí / Ô tô / Tự động hóa, Quản lý chất lượng (QA/QC), Sản xuất / Vận hành sản xuất</t>
        </is>
      </c>
      <c r="K6569" t="inlineStr">
        <is>
          <t>2 - 3 Năm</t>
        </is>
      </c>
      <c r="L6569" s="8">
        <f>HYPERLINK("https://careerviet.vn/vi/tim-viec-lam/chuyen-vien-danh-gia-thiet-bi.35C6CE2A.html","Xem chi tiết")</f>
        <v/>
      </c>
    </row>
    <row r="6570">
      <c r="B6570" s="9" t="n">
        <v>6568</v>
      </c>
      <c r="C6570" s="10" t="inlineStr">
        <is>
          <t>Giáo Viên Lịch Sử - Địa Lý (Buôn Ma Thuột - Đắk Lắk)(Mới)</t>
        </is>
      </c>
      <c r="D6570" s="10" t="inlineStr">
        <is>
          <t>Công Ty CP Liên Kết Quốc Tế INTERLINK (Trường Liên Kết Quốc Tế INschool &amp; Ngoại Ngữ Quốc Tế INS ENGLISH &amp; CHINESE)</t>
        </is>
      </c>
      <c r="E6570" s="10" t="inlineStr">
        <is>
          <t>Lương:9 Tr - 15 Tr VND</t>
        </is>
      </c>
      <c r="F6570" s="10" t="inlineStr">
        <is>
          <t>Dak Lak</t>
        </is>
      </c>
      <c r="G6570" s="10" t="inlineStr">
        <is>
          <t>15-04-2026</t>
        </is>
      </c>
      <c r="H6570" s="10" t="inlineStr">
        <is>
          <t>15/04/2026</t>
        </is>
      </c>
      <c r="I6570" s="10" t="inlineStr">
        <is>
          <t>17/03/2026</t>
        </is>
      </c>
      <c r="J6570" s="10" t="inlineStr">
        <is>
          <t>Giáo dục / Đào tạo</t>
        </is>
      </c>
      <c r="K6570" s="10" t="inlineStr">
        <is>
          <t>1 - 2 Năm</t>
        </is>
      </c>
      <c r="L6570" s="11">
        <f>HYPERLINK("https://careerviet.vn/vi/tim-viec-lam/giao-vien-lich-su-dia-ly-buon-ma-thuot-dak-lak.35C6CE35.html","Xem chi tiết")</f>
        <v/>
      </c>
      <c r="M6570" s="10" t="n"/>
    </row>
    <row r="6571">
      <c r="B6571" s="7" t="n">
        <v>6569</v>
      </c>
      <c r="C6571" t="inlineStr">
        <is>
          <t>QUẢN ĐỐC PHÂN XƯỞNG/ QUẢN ĐỐC SẢN XUẤT(Mới)</t>
        </is>
      </c>
      <c r="D6571" t="inlineStr">
        <is>
          <t>Orioled Hub</t>
        </is>
      </c>
      <c r="E6571" t="inlineStr">
        <is>
          <t>Lương:20 Tr - 35 Tr VND</t>
        </is>
      </c>
      <c r="F6571" t="inlineStr">
        <is>
          <t>Bà Rịa - Vũng Tàu</t>
        </is>
      </c>
      <c r="G6571" t="inlineStr">
        <is>
          <t>24-04-2026</t>
        </is>
      </c>
      <c r="H6571" t="inlineStr">
        <is>
          <t>24/04/2026</t>
        </is>
      </c>
      <c r="I6571" t="inlineStr">
        <is>
          <t>17/03/2026</t>
        </is>
      </c>
      <c r="J6571" t="inlineStr">
        <is>
          <t>Dược phẩm/ Hóa Mỹ Phẩm, Quản lý chất lượng (QA/QC), Sản xuất / Vận hành sản xuất</t>
        </is>
      </c>
      <c r="K6571" t="inlineStr">
        <is>
          <t>Chưa có kinh nghiệm</t>
        </is>
      </c>
      <c r="L6571" s="8">
        <f>HYPERLINK("https://careerviet.vn/vi/tim-viec-lam/quan-doc-phan-xuong-quan-doc-san-xuat.35C6CE29.html","Xem chi tiết")</f>
        <v/>
      </c>
    </row>
    <row r="6572">
      <c r="B6572" s="9" t="n">
        <v>6570</v>
      </c>
      <c r="C6572" s="10" t="inlineStr">
        <is>
          <t>CHUYÊN VIÊN HÓA LÝ (QC)(Mới)</t>
        </is>
      </c>
      <c r="D6572" s="10" t="inlineStr">
        <is>
          <t>Orioled Hub</t>
        </is>
      </c>
      <c r="E6572" s="10" t="inlineStr">
        <is>
          <t>Lương:Cạnh tranh</t>
        </is>
      </c>
      <c r="F6572" s="10" t="inlineStr">
        <is>
          <t>Bà Rịa - Vũng Tàu</t>
        </is>
      </c>
      <c r="G6572" s="10" t="inlineStr">
        <is>
          <t>30-04-2026</t>
        </is>
      </c>
      <c r="H6572" s="10" t="inlineStr">
        <is>
          <t>30/04/2026</t>
        </is>
      </c>
      <c r="I6572" s="10" t="inlineStr">
        <is>
          <t>17/03/2026</t>
        </is>
      </c>
      <c r="J6572" s="10" t="inlineStr">
        <is>
          <t>Quản lý chất lượng (QA/QC), Sản xuất / Vận hành sản xuất, Dược phẩm/ Hóa Mỹ Phẩm</t>
        </is>
      </c>
      <c r="K6572" s="10" t="inlineStr">
        <is>
          <t>2 - 3 Năm</t>
        </is>
      </c>
      <c r="L6572" s="11">
        <f>HYPERLINK("https://careerviet.vn/vi/tim-viec-lam/chuyen-vien-hoa-ly-qc.35C6CE2D.html","Xem chi tiết")</f>
        <v/>
      </c>
      <c r="M6572" s="10" t="n"/>
    </row>
    <row r="6573">
      <c r="B6573" s="7" t="n">
        <v>6571</v>
      </c>
      <c r="C6573" t="inlineStr">
        <is>
          <t>Nhân Viên Kinh Doanh Nội Thất Cao Cấp  (TP Hải Phòng)(Mới)</t>
        </is>
      </c>
      <c r="D6573" t="inlineStr">
        <is>
          <t>Công Ty TNHH Tập Đoàn Rita Võ</t>
        </is>
      </c>
      <c r="E6573" t="inlineStr">
        <is>
          <t>Lương:15 Tr - 20 Tr VND</t>
        </is>
      </c>
      <c r="F6573" t="inlineStr">
        <is>
          <t>Hải Phòng</t>
        </is>
      </c>
      <c r="G6573" t="inlineStr">
        <is>
          <t>30-04-2026</t>
        </is>
      </c>
      <c r="H6573" t="inlineStr">
        <is>
          <t>30/04/2026</t>
        </is>
      </c>
      <c r="I6573" t="inlineStr">
        <is>
          <t>17/03/2026</t>
        </is>
      </c>
      <c r="J6573" t="inlineStr">
        <is>
          <t>Bán lẻ / Bán sỉ, Bán hàng / Kinh doanh, Bán Hàng Kỹ Thuật</t>
        </is>
      </c>
      <c r="K6573" t="inlineStr">
        <is>
          <t>N/A</t>
        </is>
      </c>
      <c r="L6573" s="8">
        <f>HYPERLINK("https://careerviet.vn/vi/tim-viec-lam/nhan-vien-kinh-doanh-noi-that-cao-cap-tp-hai-phong.35C4D317.html","Xem chi tiết")</f>
        <v/>
      </c>
    </row>
    <row r="6574">
      <c r="B6574" s="9" t="n">
        <v>6572</v>
      </c>
      <c r="C6574" s="10" t="inlineStr">
        <is>
          <t>Trợ lý Kinh doanh Bất Động Sản(Mới)</t>
        </is>
      </c>
      <c r="D6574" s="10" t="inlineStr">
        <is>
          <t>CÔNG TY CỔ PHẦN ĐẦU TƯ PHÁT TRIỂN THỦ THỪA</t>
        </is>
      </c>
      <c r="E6574" s="10" t="inlineStr">
        <is>
          <t>Lương:13 Tr - 18 Tr VND</t>
        </is>
      </c>
      <c r="F6574" s="10" t="inlineStr">
        <is>
          <t>Hồ Chí Minh</t>
        </is>
      </c>
      <c r="G6574" s="10" t="inlineStr">
        <is>
          <t>30-04-2026</t>
        </is>
      </c>
      <c r="H6574" s="10" t="inlineStr">
        <is>
          <t>30/04/2026</t>
        </is>
      </c>
      <c r="I6574" s="10" t="inlineStr">
        <is>
          <t>17/03/2026</t>
        </is>
      </c>
      <c r="J6574" s="10" t="inlineStr">
        <is>
          <t>Bán hàng / Kinh doanh, Bất động sản</t>
        </is>
      </c>
      <c r="K6574" s="10" t="inlineStr">
        <is>
          <t>2 - 3 Năm</t>
        </is>
      </c>
      <c r="L6574" s="11">
        <f>HYPERLINK("https://careerviet.vn/vi/tim-viec-lam/tro-ly-kinh-doanh-bat-dong-san.35C6CE17.html","Xem chi tiết")</f>
        <v/>
      </c>
      <c r="M6574" s="10" t="n"/>
    </row>
    <row r="6575">
      <c r="B6575" s="7" t="n">
        <v>6573</v>
      </c>
      <c r="C6575" t="inlineStr">
        <is>
          <t>Nhân Viên QC (Lấy Mẫu)(Mới)</t>
        </is>
      </c>
      <c r="D6575" t="inlineStr">
        <is>
          <t>Orioled Hub</t>
        </is>
      </c>
      <c r="E6575" t="inlineStr">
        <is>
          <t>Lương:8 Tr - 13 Tr VND</t>
        </is>
      </c>
      <c r="F6575" t="inlineStr">
        <is>
          <t>Bà Rịa - Vũng Tàu</t>
        </is>
      </c>
      <c r="G6575" t="inlineStr">
        <is>
          <t>30-04-2026</t>
        </is>
      </c>
      <c r="H6575" t="inlineStr">
        <is>
          <t>30/04/2026</t>
        </is>
      </c>
      <c r="I6575" t="inlineStr">
        <is>
          <t>17/03/2026</t>
        </is>
      </c>
      <c r="J6575" t="inlineStr">
        <is>
          <t>Công nghệ sinh học, Hóa học, Quản lý chất lượng (QA/QC)</t>
        </is>
      </c>
      <c r="K6575" t="inlineStr">
        <is>
          <t>Lên đến 1 Năm</t>
        </is>
      </c>
      <c r="L6575" s="8">
        <f>HYPERLINK("https://careerviet.vn/vi/tim-viec-lam/nhan-vien-qc-lay-mau.35C6CE2F.html","Xem chi tiết")</f>
        <v/>
      </c>
    </row>
    <row r="6576">
      <c r="B6576" s="9" t="n">
        <v>6574</v>
      </c>
      <c r="C6576" s="10" t="inlineStr">
        <is>
          <t>Sales Trainer(Mới)</t>
        </is>
      </c>
      <c r="D6576" s="10" t="inlineStr">
        <is>
          <t>Vietnam Concentrix Services Company Limited</t>
        </is>
      </c>
      <c r="E6576" s="10" t="inlineStr">
        <is>
          <t>Lương:18 Tr - 22 Tr VND</t>
        </is>
      </c>
      <c r="F6576" s="10" t="inlineStr">
        <is>
          <t>Hồ Chí Minh</t>
        </is>
      </c>
      <c r="G6576" s="10" t="inlineStr">
        <is>
          <t>31-03-2026</t>
        </is>
      </c>
      <c r="H6576" s="10" t="inlineStr">
        <is>
          <t>31/03/2026</t>
        </is>
      </c>
      <c r="I6576" s="10" t="inlineStr">
        <is>
          <t>17/03/2026</t>
        </is>
      </c>
      <c r="J6576" s="10" t="inlineStr">
        <is>
          <t>Giáo dục / Đào tạo</t>
        </is>
      </c>
      <c r="K6576" s="10" t="inlineStr">
        <is>
          <t>1 - 2 Năm</t>
        </is>
      </c>
      <c r="L6576" s="11">
        <f>HYPERLINK("https://careerviet.vn/vi/tim-viec-lam/sales-trainer.35C6CE22.html","Xem chi tiết")</f>
        <v/>
      </c>
      <c r="M6576" s="10" t="n"/>
    </row>
    <row r="6577">
      <c r="B6577" s="7" t="n">
        <v>6575</v>
      </c>
      <c r="C6577" t="inlineStr">
        <is>
          <t>Trợ Lý Booking KOL/KOC(Mới)</t>
        </is>
      </c>
      <c r="D6577" t="inlineStr">
        <is>
          <t>Công Ty TNHH Thương Mại Xuất Nhập Khẩu Fani</t>
        </is>
      </c>
      <c r="E6577" t="inlineStr">
        <is>
          <t>Lương:15 Tr - 30 Tr VND</t>
        </is>
      </c>
      <c r="F6577" t="inlineStr">
        <is>
          <t>Hà Nội</t>
        </is>
      </c>
      <c r="G6577" t="inlineStr">
        <is>
          <t>30-04-2026</t>
        </is>
      </c>
      <c r="H6577" t="inlineStr">
        <is>
          <t>30/04/2026</t>
        </is>
      </c>
      <c r="I6577" t="inlineStr">
        <is>
          <t>17/03/2026</t>
        </is>
      </c>
      <c r="J6577" t="inlineStr">
        <is>
          <t>Thương mại điện tử</t>
        </is>
      </c>
      <c r="K6577" t="inlineStr">
        <is>
          <t>1 - 2 Năm</t>
        </is>
      </c>
      <c r="L6577" s="8">
        <f>HYPERLINK("https://careerviet.vn/vi/tim-viec-lam/tro-ly-booking-kol-koc.35C6CE1C.html","Xem chi tiết")</f>
        <v/>
      </c>
    </row>
    <row r="6578">
      <c r="B6578" s="9" t="n">
        <v>6576</v>
      </c>
      <c r="C6578" s="10" t="inlineStr">
        <is>
          <t>Điều phối viên (Coordinator)(Mới)</t>
        </is>
      </c>
      <c r="D6578" s="10" t="inlineStr">
        <is>
          <t>CÔNG TY TNHH UMBRA VIỆT NAM OPERATIONS</t>
        </is>
      </c>
      <c r="E6578" s="10" t="inlineStr">
        <is>
          <t>Lương:15 Tr - 22 Tr VND</t>
        </is>
      </c>
      <c r="F6578" s="10" t="inlineStr">
        <is>
          <t>Long An</t>
        </is>
      </c>
      <c r="G6578" s="10" t="inlineStr">
        <is>
          <t>31-05-2026</t>
        </is>
      </c>
      <c r="H6578" s="10" t="inlineStr">
        <is>
          <t>31/05/2026</t>
        </is>
      </c>
      <c r="I6578" s="10" t="inlineStr">
        <is>
          <t>17/03/2026</t>
        </is>
      </c>
      <c r="J6578" s="10" t="inlineStr">
        <is>
          <t>Sản xuất / Vận hành sản xuất</t>
        </is>
      </c>
      <c r="K6578" s="10" t="inlineStr">
        <is>
          <t>Chưa có kinh nghiệm</t>
        </is>
      </c>
      <c r="L6578" s="11">
        <f>HYPERLINK("https://careerviet.vn/vi/tim-viec-lam/dieu-phoi-vien-coordinator.35C6CE1B.html","Xem chi tiết")</f>
        <v/>
      </c>
      <c r="M6578" s="10" t="n"/>
    </row>
    <row r="6579">
      <c r="B6579" s="7" t="n">
        <v>6577</v>
      </c>
      <c r="C6579" t="inlineStr">
        <is>
          <t>Business Consultant - Kênh Nhà Thuốc (Thanh Hoá - Nghệ An - Hà Tĩnh)(Mới)</t>
        </is>
      </c>
      <c r="D6579" t="inlineStr">
        <is>
          <t>Zuellig Pharma Viet Nam</t>
        </is>
      </c>
      <c r="E6579" t="inlineStr">
        <is>
          <t>Lương:Cạnh tranh</t>
        </is>
      </c>
      <c r="F6579" t="inlineStr">
        <is>
          <t>Nghệ AnThanh HóaHà Tĩnh</t>
        </is>
      </c>
      <c r="G6579" t="inlineStr">
        <is>
          <t>30-04-2026</t>
        </is>
      </c>
      <c r="H6579" t="inlineStr">
        <is>
          <t>30/04/2026</t>
        </is>
      </c>
      <c r="I6579" t="inlineStr">
        <is>
          <t>17/03/2026</t>
        </is>
      </c>
      <c r="J6579" t="inlineStr">
        <is>
          <t>Dược phẩm/ Hóa Mỹ Phẩm, Y tế / Chăm sóc sức khỏe / Thẩm mỹ / Làm đẹp</t>
        </is>
      </c>
      <c r="K6579" t="inlineStr">
        <is>
          <t>1 - 3 Năm</t>
        </is>
      </c>
      <c r="L6579" s="8">
        <f>HYPERLINK("https://careerviet.vn/vi/tim-viec-lam/business-consultant-kenh-nha-thuoc-thanh-hoa-nghe-an-ha-tinh.35C6CE31.html","Xem chi tiết")</f>
        <v/>
      </c>
    </row>
    <row r="6580">
      <c r="B6580" s="9" t="n">
        <v>6578</v>
      </c>
      <c r="C6580" s="10" t="inlineStr">
        <is>
          <t>Giáo viên Mầm non (Long Khánh - Đồng Nai)(Mới)</t>
        </is>
      </c>
      <c r="D6580" s="10" t="inlineStr">
        <is>
          <t>Công Ty CP Liên Kết Quốc Tế INTERLINK (Trường Liên Kết Quốc Tế INschool &amp; Ngoại Ngữ Quốc Tế INS ENGLISH &amp; CHINESE)</t>
        </is>
      </c>
      <c r="E6580" s="10" t="inlineStr">
        <is>
          <t>Lương:8 Tr - 12 Tr VND</t>
        </is>
      </c>
      <c r="F6580" s="10" t="inlineStr">
        <is>
          <t>Đồng Nai</t>
        </is>
      </c>
      <c r="G6580" s="10" t="inlineStr">
        <is>
          <t>14-04-2026</t>
        </is>
      </c>
      <c r="H6580" s="10" t="inlineStr">
        <is>
          <t>14/04/2026</t>
        </is>
      </c>
      <c r="I6580" s="10" t="inlineStr">
        <is>
          <t>17/03/2026</t>
        </is>
      </c>
      <c r="J6580" s="10" t="inlineStr">
        <is>
          <t>Giáo dục / Đào tạo</t>
        </is>
      </c>
      <c r="K6580" s="10" t="inlineStr">
        <is>
          <t>1 - 2 Năm</t>
        </is>
      </c>
      <c r="L6580" s="11">
        <f>HYPERLINK("https://careerviet.vn/vi/tim-viec-lam/giao-vien-mam-non-long-khanh-dong-nai.35C6CE2C.html","Xem chi tiết")</f>
        <v/>
      </c>
      <c r="M6580" s="10" t="n"/>
    </row>
    <row r="6581">
      <c r="B6581" s="7" t="n">
        <v>6579</v>
      </c>
      <c r="C6581" t="inlineStr">
        <is>
          <t>Kỹ thuật Shopdrawing(Mới)</t>
        </is>
      </c>
      <c r="D6581" t="inlineStr">
        <is>
          <t>Công Ty TNHH Xây Dựng Và Thương Mại An Tâm</t>
        </is>
      </c>
      <c r="E6581" t="inlineStr">
        <is>
          <t>Lương:Cạnh tranh</t>
        </is>
      </c>
      <c r="F6581" t="inlineStr">
        <is>
          <t>Hồ Chí Minh</t>
        </is>
      </c>
      <c r="G6581" t="inlineStr">
        <is>
          <t>16-04-2026</t>
        </is>
      </c>
      <c r="H6581" t="inlineStr">
        <is>
          <t>16/04/2026</t>
        </is>
      </c>
      <c r="I6581" t="inlineStr">
        <is>
          <t>17/03/2026</t>
        </is>
      </c>
      <c r="J6581" t="inlineStr">
        <is>
          <t>Xây dựng</t>
        </is>
      </c>
      <c r="K6581" t="inlineStr">
        <is>
          <t>1 - 5 Năm</t>
        </is>
      </c>
      <c r="L6581" s="8">
        <f>HYPERLINK("https://careerviet.vn/vi/tim-viec-lam/ky-thuat-shopdrawing.35C6CE0B.html","Xem chi tiết")</f>
        <v/>
      </c>
    </row>
    <row r="6582">
      <c r="B6582" s="9" t="n">
        <v>6580</v>
      </c>
      <c r="C6582" s="10" t="inlineStr">
        <is>
          <t>Hiệu phó Mầm non (Long Khánh - Đồng Nai)(Mới)</t>
        </is>
      </c>
      <c r="D6582" s="10" t="inlineStr">
        <is>
          <t>Công Ty CP Liên Kết Quốc Tế INTERLINK (Trường Liên Kết Quốc Tế INschool &amp; Ngoại Ngữ Quốc Tế INS ENGLISH &amp; CHINESE)</t>
        </is>
      </c>
      <c r="E6582" s="10" t="inlineStr">
        <is>
          <t>Lương:13 Tr - 20 Tr VND</t>
        </is>
      </c>
      <c r="F6582" s="10" t="inlineStr">
        <is>
          <t>Đồng Nai</t>
        </is>
      </c>
      <c r="G6582" s="10" t="inlineStr">
        <is>
          <t>15-04-2026</t>
        </is>
      </c>
      <c r="H6582" s="10" t="inlineStr">
        <is>
          <t>15/04/2026</t>
        </is>
      </c>
      <c r="I6582" s="10" t="inlineStr">
        <is>
          <t>17/03/2026</t>
        </is>
      </c>
      <c r="J6582" s="10" t="inlineStr">
        <is>
          <t>Giáo dục / Đào tạo</t>
        </is>
      </c>
      <c r="K6582" s="10" t="inlineStr">
        <is>
          <t>2 - 3 Năm</t>
        </is>
      </c>
      <c r="L6582" s="11">
        <f>HYPERLINK("https://careerviet.vn/vi/tim-viec-lam/hieu-pho-mam-non-long-khanh-dong-nai.35C6CE32.html","Xem chi tiết")</f>
        <v/>
      </c>
      <c r="M6582" s="10" t="n"/>
    </row>
    <row r="6583">
      <c r="B6583" s="7" t="n">
        <v>6581</v>
      </c>
      <c r="C6583" t="inlineStr">
        <is>
          <t>Chuyên Viên C&amp;B(Mới)</t>
        </is>
      </c>
      <c r="D6583" t="inlineStr">
        <is>
          <t>Orioled Hub</t>
        </is>
      </c>
      <c r="E6583" t="inlineStr">
        <is>
          <t>Lương:Cạnh tranh</t>
        </is>
      </c>
      <c r="F6583" t="inlineStr">
        <is>
          <t>Hồ Chí Minh</t>
        </is>
      </c>
      <c r="G6583" t="inlineStr">
        <is>
          <t>30-04-2026</t>
        </is>
      </c>
      <c r="H6583" t="inlineStr">
        <is>
          <t>30/04/2026</t>
        </is>
      </c>
      <c r="I6583" t="inlineStr">
        <is>
          <t>17/03/2026</t>
        </is>
      </c>
      <c r="J6583" t="inlineStr">
        <is>
          <t>Nhân sự</t>
        </is>
      </c>
      <c r="K6583" t="inlineStr">
        <is>
          <t>2 - 3 Năm</t>
        </is>
      </c>
      <c r="L6583" s="8">
        <f>HYPERLINK("https://careerviet.vn/vi/tim-viec-lam/chuyen-vien-c-b.35C6CE2E.html","Xem chi tiết")</f>
        <v/>
      </c>
    </row>
    <row r="6584">
      <c r="B6584" s="9" t="n">
        <v>6582</v>
      </c>
      <c r="C6584" s="10" t="inlineStr">
        <is>
          <t>生产文员(Mới)</t>
        </is>
      </c>
      <c r="D6584" s="10" t="inlineStr">
        <is>
          <t>CÔNG TY TNHH UMBRA VIỆT NAM OPERATIONS</t>
        </is>
      </c>
      <c r="E6584" s="10" t="inlineStr">
        <is>
          <t>Lương:18 Tr - 25 Tr VND</t>
        </is>
      </c>
      <c r="F6584" s="10" t="inlineStr">
        <is>
          <t>Long An</t>
        </is>
      </c>
      <c r="G6584" s="10" t="inlineStr">
        <is>
          <t>30-06-2026</t>
        </is>
      </c>
      <c r="H6584" s="10" t="inlineStr">
        <is>
          <t>30/06/2026</t>
        </is>
      </c>
      <c r="I6584" s="10" t="inlineStr">
        <is>
          <t>17/03/2026</t>
        </is>
      </c>
      <c r="J6584" s="10" t="inlineStr">
        <is>
          <t>Sản xuất / Vận hành sản xuất</t>
        </is>
      </c>
      <c r="K6584" s="10" t="inlineStr">
        <is>
          <t>1 - 5 Năm</t>
        </is>
      </c>
      <c r="L6584" s="11">
        <f>HYPERLINK("https://careerviet.vn/vi/tim-viec-lam/info.35C6CE2B.html","Xem chi tiết")</f>
        <v/>
      </c>
      <c r="M6584" s="10" t="n"/>
    </row>
    <row r="6585">
      <c r="B6585" s="7" t="n">
        <v>6583</v>
      </c>
      <c r="C6585" t="inlineStr">
        <is>
          <t>Chỉ huy phó (Cán bộ giám sát hiện trường)(Mới)</t>
        </is>
      </c>
      <c r="D6585" t="inlineStr">
        <is>
          <t>CÔNG TY CỔ PHẦN DỊCH VỤ VÀ KỸ THUẬT SMC</t>
        </is>
      </c>
      <c r="E6585" t="inlineStr">
        <is>
          <t>Lương:Cạnh tranh</t>
        </is>
      </c>
      <c r="F6585" t="inlineStr">
        <is>
          <t>Quảng Ngãi</t>
        </is>
      </c>
      <c r="G6585" t="inlineStr">
        <is>
          <t>17-04-2026</t>
        </is>
      </c>
      <c r="H6585" t="inlineStr">
        <is>
          <t>17/04/2026</t>
        </is>
      </c>
      <c r="I6585" t="inlineStr">
        <is>
          <t>17/03/2026</t>
        </is>
      </c>
      <c r="J6585" t="inlineStr">
        <is>
          <t>Dầu khí, Điện / Điện tử / Điện lạnh / Điện công nghiệp, Xây dựng</t>
        </is>
      </c>
      <c r="K6585" t="inlineStr">
        <is>
          <t>Trên 5 Năm</t>
        </is>
      </c>
      <c r="L6585" s="8">
        <f>HYPERLINK("https://careerviet.vn/vi/tim-viec-lam/chi-huy-pho-can-bo-giam-sat-hien-truong.35C6CE07.html","Xem chi tiết")</f>
        <v/>
      </c>
    </row>
    <row r="6586">
      <c r="B6586" s="9" t="n">
        <v>6584</v>
      </c>
      <c r="C6586" s="10" t="inlineStr">
        <is>
          <t>Thư ký dự án(Mới)</t>
        </is>
      </c>
      <c r="D6586" s="10" t="inlineStr">
        <is>
          <t>Công Ty Cổ Phần Xây Dựng Phước Thành</t>
        </is>
      </c>
      <c r="E6586" s="10" t="inlineStr">
        <is>
          <t>Lương:10 Tr - 15 Tr VND</t>
        </is>
      </c>
      <c r="F6586" s="10" t="inlineStr">
        <is>
          <t>Bình Dương</t>
        </is>
      </c>
      <c r="G6586" s="10" t="inlineStr">
        <is>
          <t>17-04-2026</t>
        </is>
      </c>
      <c r="H6586" s="10" t="inlineStr">
        <is>
          <t>17/04/2026</t>
        </is>
      </c>
      <c r="I6586" s="10" t="inlineStr">
        <is>
          <t>17/03/2026</t>
        </is>
      </c>
      <c r="J6586" s="10" t="inlineStr">
        <is>
          <t>Xây dựng</t>
        </is>
      </c>
      <c r="K6586" s="10" t="inlineStr">
        <is>
          <t>1 - 5 Năm</t>
        </is>
      </c>
      <c r="L6586" s="11">
        <f>HYPERLINK("https://careerviet.vn/vi/tim-viec-lam/thu-ky-du-an.35C6CE02.html","Xem chi tiết")</f>
        <v/>
      </c>
      <c r="M6586" s="10" t="n"/>
    </row>
    <row r="6587">
      <c r="B6587" s="7" t="n">
        <v>6585</v>
      </c>
      <c r="C6587" t="inlineStr">
        <is>
          <t>Trưởng Nhóm Kho(Mới)</t>
        </is>
      </c>
      <c r="D6587" t="inlineStr">
        <is>
          <t>HỆ THỐNG KÍNH MẮT ANNA</t>
        </is>
      </c>
      <c r="E6587" t="inlineStr">
        <is>
          <t>Lương:9 Tr - 13 Tr VND</t>
        </is>
      </c>
      <c r="F6587" t="inlineStr">
        <is>
          <t>Hà Nội</t>
        </is>
      </c>
      <c r="G6587" t="inlineStr">
        <is>
          <t>16-04-2026</t>
        </is>
      </c>
      <c r="H6587" t="inlineStr">
        <is>
          <t>16/04/2026</t>
        </is>
      </c>
      <c r="I6587" t="inlineStr">
        <is>
          <t>17/03/2026</t>
        </is>
      </c>
      <c r="J6587" t="inlineStr">
        <is>
          <t>Vận chuyển / Giao nhận / Kho vận</t>
        </is>
      </c>
      <c r="K6587" t="inlineStr">
        <is>
          <t>2 - 3 Năm</t>
        </is>
      </c>
      <c r="L6587" s="8">
        <f>HYPERLINK("https://careerviet.vn/vi/tim-viec-lam/truong-nhom-kho.35C6CE03.html","Xem chi tiết")</f>
        <v/>
      </c>
    </row>
    <row r="6588">
      <c r="B6588" s="9" t="n">
        <v>6586</v>
      </c>
      <c r="C6588" s="10" t="inlineStr">
        <is>
          <t>Chuyên Viên Kế Toán Tổng Hợp (Long Khánh - Đồng Nai)(Mới)</t>
        </is>
      </c>
      <c r="D6588" s="10" t="inlineStr">
        <is>
          <t>Công Ty CP Liên Kết Quốc Tế INTERLINK (Trường Liên Kết Quốc Tế INschool &amp; Ngoại Ngữ Quốc Tế INS ENGLISH &amp; CHINESE)</t>
        </is>
      </c>
      <c r="E6588" s="10" t="inlineStr">
        <is>
          <t>Lương:10 Tr - 15 Tr VND</t>
        </is>
      </c>
      <c r="F6588" s="10" t="inlineStr">
        <is>
          <t>Đồng Nai</t>
        </is>
      </c>
      <c r="G6588" s="10" t="inlineStr">
        <is>
          <t>16-04-2026</t>
        </is>
      </c>
      <c r="H6588" s="10" t="inlineStr">
        <is>
          <t>16/04/2026</t>
        </is>
      </c>
      <c r="I6588" s="10" t="inlineStr">
        <is>
          <t>17/03/2026</t>
        </is>
      </c>
      <c r="J6588" s="10" t="inlineStr">
        <is>
          <t>Kế toán / Kiểm toán, Ngân hàng, Tài chính / Đầu tư</t>
        </is>
      </c>
      <c r="K6588" s="10" t="inlineStr">
        <is>
          <t>2 - 3 Năm</t>
        </is>
      </c>
      <c r="L6588" s="11">
        <f>HYPERLINK("https://careerviet.vn/vi/tim-viec-lam/chuyen-vien-ke-toan-tong-hop-long-khanh-dong-nai.35C6CE0C.html","Xem chi tiết")</f>
        <v/>
      </c>
      <c r="M6588" s="10" t="n"/>
    </row>
    <row r="6589">
      <c r="B6589" s="7" t="n">
        <v>6587</v>
      </c>
      <c r="C6589" t="inlineStr">
        <is>
          <t>Đại Diện Bán Hàng Tại Bắc Kạn(Mới)</t>
        </is>
      </c>
      <c r="D6589" t="inlineStr">
        <is>
          <t>Tập Đoàn Karofi Holding</t>
        </is>
      </c>
      <c r="E6589" t="inlineStr">
        <is>
          <t>Lương:16 Tr - 22 Tr VND</t>
        </is>
      </c>
      <c r="F6589" t="inlineStr">
        <is>
          <t>Bắc Cạn</t>
        </is>
      </c>
      <c r="G6589" t="inlineStr">
        <is>
          <t>29-04-2026</t>
        </is>
      </c>
      <c r="H6589" t="inlineStr">
        <is>
          <t>29/04/2026</t>
        </is>
      </c>
      <c r="I6589" t="inlineStr">
        <is>
          <t>17/03/2026</t>
        </is>
      </c>
      <c r="J6589" t="inlineStr">
        <is>
          <t>Hàng gia dụng / Chăm sóc cá nhân, Bán lẻ / Bán sỉ, Bán hàng / Kinh doanh</t>
        </is>
      </c>
      <c r="K6589" t="inlineStr">
        <is>
          <t>Trên 1 Năm</t>
        </is>
      </c>
      <c r="L6589" s="8">
        <f>HYPERLINK("https://careerviet.vn/vi/tim-viec-lam/dai-dien-ban-hang-tai-bac-kan.35C6CE01.html","Xem chi tiết")</f>
        <v/>
      </c>
    </row>
    <row r="6590">
      <c r="B6590" s="9" t="n">
        <v>6588</v>
      </c>
      <c r="C6590" s="10" t="inlineStr">
        <is>
          <t>Giáo viên mầm non (Tân Phú - Chung cư Melody)(Mới)</t>
        </is>
      </c>
      <c r="D6590" s="10" t="inlineStr">
        <is>
          <t>TRƯỜNG QUỐC TẾ BLUE RIDGE / BLUE RIDGE INTERNATIONAL SCHOOL (BRIS)</t>
        </is>
      </c>
      <c r="E6590" s="10" t="inlineStr">
        <is>
          <t>Lương:7 Tr - 9 Tr VND</t>
        </is>
      </c>
      <c r="F6590" s="10" t="inlineStr">
        <is>
          <t>Hồ Chí Minh</t>
        </is>
      </c>
      <c r="G6590" s="10" t="inlineStr">
        <is>
          <t>11-04-2026</t>
        </is>
      </c>
      <c r="H6590" s="10" t="inlineStr">
        <is>
          <t>11/04/2026</t>
        </is>
      </c>
      <c r="I6590" s="10" t="inlineStr">
        <is>
          <t>17/03/2026</t>
        </is>
      </c>
      <c r="J6590" s="10" t="inlineStr">
        <is>
          <t>Giáo dục / Đào tạo</t>
        </is>
      </c>
      <c r="K6590" s="10" t="inlineStr">
        <is>
          <t>N/A</t>
        </is>
      </c>
      <c r="L6590" s="11">
        <f>HYPERLINK("https://careerviet.vn/vi/tim-viec-lam/giao-vien-mam-non-tan-phu-chung-cu-melody.35C6CE20.html","Xem chi tiết")</f>
        <v/>
      </c>
      <c r="M6590" s="10" t="n"/>
    </row>
    <row r="6591">
      <c r="B6591" s="7" t="n">
        <v>6589</v>
      </c>
      <c r="C6591" t="inlineStr">
        <is>
          <t>Nhân viên Telesales(Mới)</t>
        </is>
      </c>
      <c r="D6591" t="inlineStr">
        <is>
          <t>CÔNG TY CỔ PHẦN GIAO DỊCH HÀNG HÓA ĐÔNG NAM Á</t>
        </is>
      </c>
      <c r="E6591" t="inlineStr">
        <is>
          <t>Lương:8 Tr - 14 Tr VND</t>
        </is>
      </c>
      <c r="F6591" t="inlineStr">
        <is>
          <t>Hồ Chí Minh</t>
        </is>
      </c>
      <c r="G6591" t="inlineStr">
        <is>
          <t>30-04-2026</t>
        </is>
      </c>
      <c r="H6591" t="inlineStr">
        <is>
          <t>30/04/2026</t>
        </is>
      </c>
      <c r="I6591" t="inlineStr">
        <is>
          <t>17/03/2026</t>
        </is>
      </c>
      <c r="J6591" t="inlineStr">
        <is>
          <t>Bất động sản</t>
        </is>
      </c>
      <c r="K6591" t="inlineStr">
        <is>
          <t>Chưa có kinh nghiệm</t>
        </is>
      </c>
      <c r="L6591" s="8">
        <f>HYPERLINK("https://careerviet.vn/vi/tim-viec-lam/nhan-vien-telesales.35C6CE05.html","Xem chi tiết")</f>
        <v/>
      </c>
    </row>
    <row r="6592">
      <c r="B6592" s="9" t="n">
        <v>6590</v>
      </c>
      <c r="C6592" s="10" t="inlineStr">
        <is>
          <t>Giáo viên mầm non (Bình Tân - Chung cư Tecco)(Mới)</t>
        </is>
      </c>
      <c r="D6592" s="10" t="inlineStr">
        <is>
          <t>TRƯỜNG QUỐC TẾ BLUE RIDGE / BLUE RIDGE INTERNATIONAL SCHOOL (BRIS)</t>
        </is>
      </c>
      <c r="E6592" s="10" t="inlineStr">
        <is>
          <t>Lương:7 Tr - 9 Tr VND</t>
        </is>
      </c>
      <c r="F6592" s="10" t="inlineStr">
        <is>
          <t>Hồ Chí Minh</t>
        </is>
      </c>
      <c r="G6592" s="10" t="inlineStr">
        <is>
          <t>11-04-2026</t>
        </is>
      </c>
      <c r="H6592" s="10" t="inlineStr">
        <is>
          <t>11/04/2026</t>
        </is>
      </c>
      <c r="I6592" s="10" t="inlineStr">
        <is>
          <t>17/03/2026</t>
        </is>
      </c>
      <c r="J6592" s="10" t="inlineStr">
        <is>
          <t>Giáo dục / Đào tạo</t>
        </is>
      </c>
      <c r="K6592" s="10" t="inlineStr">
        <is>
          <t>N/A</t>
        </is>
      </c>
      <c r="L6592" s="11">
        <f>HYPERLINK("https://careerviet.vn/vi/tim-viec-lam/giao-vien-mam-non-binh-tan-chung-cu-tecco.35C6CDF2.html","Xem chi tiết")</f>
        <v/>
      </c>
      <c r="M6592" s="10" t="n"/>
    </row>
    <row r="6593">
      <c r="B6593" s="7" t="n">
        <v>6591</v>
      </c>
      <c r="C6593" t="inlineStr">
        <is>
          <t>Chuyên viên kế toán thanh toán(Mới)</t>
        </is>
      </c>
      <c r="D6593" t="inlineStr">
        <is>
          <t>Tập Đoàn Karofi Holding</t>
        </is>
      </c>
      <c r="E6593" t="inlineStr">
        <is>
          <t>Lương:14 Tr - 18 Tr VND</t>
        </is>
      </c>
      <c r="F6593" t="inlineStr">
        <is>
          <t>Hà Nội</t>
        </is>
      </c>
      <c r="G6593" t="inlineStr">
        <is>
          <t>29-04-2026</t>
        </is>
      </c>
      <c r="H6593" t="inlineStr">
        <is>
          <t>29/04/2026</t>
        </is>
      </c>
      <c r="I6593" t="inlineStr">
        <is>
          <t>17/03/2026</t>
        </is>
      </c>
      <c r="J6593" t="inlineStr">
        <is>
          <t>Kế toán / Kiểm toán</t>
        </is>
      </c>
      <c r="K6593" t="inlineStr">
        <is>
          <t>2 - 3 Năm</t>
        </is>
      </c>
      <c r="L6593" s="8">
        <f>HYPERLINK("https://careerviet.vn/vi/tim-viec-lam/chuyen-vien-ke-toan-thanh-toan.35C6CE33.html","Xem chi tiết")</f>
        <v/>
      </c>
    </row>
    <row r="6594">
      <c r="B6594" s="9" t="n">
        <v>6592</v>
      </c>
      <c r="C6594" s="10" t="inlineStr">
        <is>
          <t>PTKD thiết bị(Mới)</t>
        </is>
      </c>
      <c r="D6594" s="10" t="inlineStr">
        <is>
          <t>CÔNG TY CỔ PHẦN THƯƠNG MẠI VÀ CÔNG NGHỆ THỰC PHẨM HOÀNG LÂM</t>
        </is>
      </c>
      <c r="E6594" s="10" t="inlineStr">
        <is>
          <t>Lương:18 Tr - 20 Tr VND</t>
        </is>
      </c>
      <c r="F6594" s="10" t="inlineStr">
        <is>
          <t>Hà Nội</t>
        </is>
      </c>
      <c r="G6594" s="10" t="inlineStr">
        <is>
          <t>30-04-2026</t>
        </is>
      </c>
      <c r="H6594" s="10" t="inlineStr">
        <is>
          <t>30/04/2026</t>
        </is>
      </c>
      <c r="I6594" s="10" t="inlineStr">
        <is>
          <t>17/03/2026</t>
        </is>
      </c>
      <c r="J6594" s="10" t="inlineStr">
        <is>
          <t>Bán hàng / Kinh doanh</t>
        </is>
      </c>
      <c r="K6594" s="10" t="inlineStr">
        <is>
          <t>Trên 1 Năm</t>
        </is>
      </c>
      <c r="L6594" s="11">
        <f>HYPERLINK("https://careerviet.vn/vi/tim-viec-lam/ptkd-thiet-bi.35C6CDFB.html","Xem chi tiết")</f>
        <v/>
      </c>
      <c r="M6594" s="10" t="n"/>
    </row>
    <row r="6595">
      <c r="B6595" s="7" t="n">
        <v>6593</v>
      </c>
      <c r="C6595" t="inlineStr">
        <is>
          <t>Chuyên Viên Thanh Tra Thi Công Xây Dựng(Mới)</t>
        </is>
      </c>
      <c r="D6595" t="inlineStr">
        <is>
          <t>CÔNG TY CỔ PHẦN EUROWINDOW HOLDING</t>
        </is>
      </c>
      <c r="E6595" t="inlineStr">
        <is>
          <t>Lương:Cạnh tranh</t>
        </is>
      </c>
      <c r="F6595" t="inlineStr">
        <is>
          <t>Hà Nội</t>
        </is>
      </c>
      <c r="G6595" t="inlineStr">
        <is>
          <t>16-04-2026</t>
        </is>
      </c>
      <c r="H6595" t="inlineStr">
        <is>
          <t>16/04/2026</t>
        </is>
      </c>
      <c r="I6595" t="inlineStr">
        <is>
          <t>17/03/2026</t>
        </is>
      </c>
      <c r="J6595" t="inlineStr">
        <is>
          <t>Xây dựng, Ngành khác, Kiến trúc</t>
        </is>
      </c>
      <c r="K6595" t="inlineStr">
        <is>
          <t>4 - 10 Năm</t>
        </is>
      </c>
      <c r="L6595" s="8">
        <f>HYPERLINK("https://careerviet.vn/vi/tim-viec-lam/chuyen-vien-thanh-tra-thi-cong-xay-dung.35C6CD9E.html","Xem chi tiết")</f>
        <v/>
      </c>
    </row>
    <row r="6596">
      <c r="B6596" s="9" t="n">
        <v>6594</v>
      </c>
      <c r="C6596" s="10" t="inlineStr">
        <is>
          <t>Đại Diện Bán Hàng Tại Hải Dương(Mới)</t>
        </is>
      </c>
      <c r="D6596" s="10" t="inlineStr">
        <is>
          <t>Tập Đoàn Karofi Holding</t>
        </is>
      </c>
      <c r="E6596" s="10" t="inlineStr">
        <is>
          <t>Lương:16 Tr - 22 Tr VND</t>
        </is>
      </c>
      <c r="F6596" s="10" t="inlineStr">
        <is>
          <t>Hải Dương</t>
        </is>
      </c>
      <c r="G6596" s="10" t="inlineStr">
        <is>
          <t>29-04-2026</t>
        </is>
      </c>
      <c r="H6596" s="10" t="inlineStr">
        <is>
          <t>29/04/2026</t>
        </is>
      </c>
      <c r="I6596" s="10" t="inlineStr">
        <is>
          <t>17/03/2026</t>
        </is>
      </c>
      <c r="J6596" s="10" t="inlineStr">
        <is>
          <t>Hàng gia dụng / Chăm sóc cá nhân, Bán lẻ / Bán sỉ, Bán hàng / Kinh doanh</t>
        </is>
      </c>
      <c r="K6596" s="10" t="inlineStr">
        <is>
          <t>Trên 1 Năm</t>
        </is>
      </c>
      <c r="L6596" s="11">
        <f>HYPERLINK("https://careerviet.vn/vi/tim-viec-lam/dai-dien-ban-hang-tai-hai-duong.35C6CDF8.html","Xem chi tiết")</f>
        <v/>
      </c>
      <c r="M6596" s="10" t="n"/>
    </row>
    <row r="6597">
      <c r="B6597" s="7" t="n">
        <v>6595</v>
      </c>
      <c r="C6597" t="inlineStr">
        <is>
          <t>Đại Diện Bán Hàng Tại Lào Cai(Mới)</t>
        </is>
      </c>
      <c r="D6597" t="inlineStr">
        <is>
          <t>Tập Đoàn Karofi Holding</t>
        </is>
      </c>
      <c r="E6597" t="inlineStr">
        <is>
          <t>Lương:16 Tr - 22 Tr VND</t>
        </is>
      </c>
      <c r="F6597" t="inlineStr">
        <is>
          <t>Lào Cai</t>
        </is>
      </c>
      <c r="G6597" t="inlineStr">
        <is>
          <t>29-04-2026</t>
        </is>
      </c>
      <c r="H6597" t="inlineStr">
        <is>
          <t>29/04/2026</t>
        </is>
      </c>
      <c r="I6597" t="inlineStr">
        <is>
          <t>17/03/2026</t>
        </is>
      </c>
      <c r="J6597" t="inlineStr">
        <is>
          <t>Hàng gia dụng / Chăm sóc cá nhân, Bán lẻ / Bán sỉ, Bán hàng / Kinh doanh</t>
        </is>
      </c>
      <c r="K6597" t="inlineStr">
        <is>
          <t>Trên 1 Năm</t>
        </is>
      </c>
      <c r="L6597" s="8">
        <f>HYPERLINK("https://careerviet.vn/vi/tim-viec-lam/dai-dien-ban-hang-tai-lao-cai.35C6CDFD.html","Xem chi tiết")</f>
        <v/>
      </c>
    </row>
    <row r="6598">
      <c r="B6598" s="9" t="n">
        <v>6596</v>
      </c>
      <c r="C6598" s="10" t="inlineStr">
        <is>
          <t>Chuyên viên cao cấp Quản lý Kinh doanh Kênh phân phối - Ngân hàng bán lẻ(Mới)</t>
        </is>
      </c>
      <c r="D6598" s="10" t="inlineStr">
        <is>
          <t>Ngân hàng TMCP Phát triển TP.HCM (HDBank)</t>
        </is>
      </c>
      <c r="E6598" s="10" t="inlineStr">
        <is>
          <t>Lương:Cạnh tranh</t>
        </is>
      </c>
      <c r="F6598" s="10" t="inlineStr">
        <is>
          <t>Hồ Chí Minh</t>
        </is>
      </c>
      <c r="G6598" s="10" t="inlineStr">
        <is>
          <t>31-03-2026</t>
        </is>
      </c>
      <c r="H6598" s="10" t="inlineStr">
        <is>
          <t>31/03/2026</t>
        </is>
      </c>
      <c r="I6598" s="10" t="inlineStr">
        <is>
          <t>17/03/2026</t>
        </is>
      </c>
      <c r="J6598" s="10" t="inlineStr">
        <is>
          <t>Ngân hàng, Bán hàng / Kinh doanh</t>
        </is>
      </c>
      <c r="K6598" s="10" t="inlineStr">
        <is>
          <t>Trên 3 Năm</t>
        </is>
      </c>
      <c r="L6598" s="11">
        <f>HYPERLINK("https://careerviet.vn/vi/tim-viec-lam/chuyen-vien-cao-cap-quan-ly-kinh-doanh-kenh-phan-phoi-ngan-hang-ban-le.35C6CE00.html","Xem chi tiết")</f>
        <v/>
      </c>
      <c r="M6598" s="10" t="n"/>
    </row>
    <row r="6599">
      <c r="B6599" s="7" t="n">
        <v>6597</v>
      </c>
      <c r="C6599" t="inlineStr">
        <is>
          <t>Kế Toán Tổng Hợp(Mới)</t>
        </is>
      </c>
      <c r="D6599" t="inlineStr">
        <is>
          <t>CÔNG TY CỔ PHẦN CHĂN NUÔI TAFA VIỆT</t>
        </is>
      </c>
      <c r="E6599" t="inlineStr">
        <is>
          <t>Lương:18 Tr - 25 Tr VND</t>
        </is>
      </c>
      <c r="F6599" t="inlineStr">
        <is>
          <t>Hồ Chí Minh</t>
        </is>
      </c>
      <c r="G6599" t="inlineStr">
        <is>
          <t>30-04-2026</t>
        </is>
      </c>
      <c r="H6599" t="inlineStr">
        <is>
          <t>30/04/2026</t>
        </is>
      </c>
      <c r="I6599" t="inlineStr">
        <is>
          <t>17/03/2026</t>
        </is>
      </c>
      <c r="J6599" t="inlineStr">
        <is>
          <t>Kế toán / Kiểm toán, Tài chính / Đầu tư, Sản xuất / Vận hành sản xuất</t>
        </is>
      </c>
      <c r="K6599" t="inlineStr">
        <is>
          <t>Trên 2 Năm</t>
        </is>
      </c>
      <c r="L6599" s="8">
        <f>HYPERLINK("https://careerviet.vn/vi/tim-viec-lam/ke-toan-tong-hop.35C6CDF6.html","Xem chi tiết")</f>
        <v/>
      </c>
    </row>
    <row r="6600">
      <c r="B6600" s="9" t="n">
        <v>6598</v>
      </c>
      <c r="C6600" s="10" t="inlineStr">
        <is>
          <t>Nhân Viên Vật Tư Ngành Xây Dựng(Mới)</t>
        </is>
      </c>
      <c r="D6600" s="10" t="inlineStr">
        <is>
          <t>Công Ty TNHH Xây Dựng và Nội Thất Cao Cấp Alliance</t>
        </is>
      </c>
      <c r="E6600" s="10" t="inlineStr">
        <is>
          <t>Lương:Cạnh tranh</t>
        </is>
      </c>
      <c r="F6600" s="10" t="inlineStr">
        <is>
          <t>Hồ Chí Minh</t>
        </is>
      </c>
      <c r="G6600" s="10" t="inlineStr">
        <is>
          <t>18-04-2026</t>
        </is>
      </c>
      <c r="H6600" s="10" t="inlineStr">
        <is>
          <t>18/04/2026</t>
        </is>
      </c>
      <c r="I6600" s="10" t="inlineStr">
        <is>
          <t>17/03/2026</t>
        </is>
      </c>
      <c r="J6600" s="10" t="inlineStr">
        <is>
          <t>Xây dựng, Thu mua / Vật tư, Nội ngoại thất</t>
        </is>
      </c>
      <c r="K6600" s="10" t="inlineStr">
        <is>
          <t>2 - 5 Năm</t>
        </is>
      </c>
      <c r="L6600" s="11">
        <f>HYPERLINK("https://careerviet.vn/vi/tim-viec-lam/nhan-vien-vat-tu-nganh-xay-dung.35C6CDED.html","Xem chi tiết")</f>
        <v/>
      </c>
      <c r="M6600" s="10" t="n"/>
    </row>
    <row r="6601">
      <c r="B6601" s="7" t="n">
        <v>6599</v>
      </c>
      <c r="C6601" t="inlineStr">
        <is>
          <t>Nhân viên KCS - thời trang nam Biluxury(Mới)</t>
        </is>
      </c>
      <c r="D6601" t="inlineStr">
        <is>
          <t>Công Ty Cổ Phần Tập Đoàn Thời Trang Việt Nam</t>
        </is>
      </c>
      <c r="E6601" t="inlineStr">
        <is>
          <t>Lương:10 Tr - 12 Tr VND</t>
        </is>
      </c>
      <c r="F6601" t="inlineStr">
        <is>
          <t>Hà Nội</t>
        </is>
      </c>
      <c r="G6601" t="inlineStr">
        <is>
          <t>17-04-2026</t>
        </is>
      </c>
      <c r="H6601" t="inlineStr">
        <is>
          <t>17/04/2026</t>
        </is>
      </c>
      <c r="I6601" t="inlineStr">
        <is>
          <t>17/03/2026</t>
        </is>
      </c>
      <c r="J6601" t="inlineStr">
        <is>
          <t>Dệt may / Da giày / Thời trang, Quản lý chất lượng (QA/QC)</t>
        </is>
      </c>
      <c r="K6601" t="inlineStr">
        <is>
          <t>1 - 2 Năm</t>
        </is>
      </c>
      <c r="L6601" s="8">
        <f>HYPERLINK("https://careerviet.vn/vi/tim-viec-lam/nhan-vien-kcs-thoi-trang-nam-biluxury.35C6CE10.html","Xem chi tiết")</f>
        <v/>
      </c>
    </row>
    <row r="6602">
      <c r="B6602" s="9" t="n">
        <v>6600</v>
      </c>
      <c r="C6602" s="10" t="inlineStr">
        <is>
          <t>Chuyên viên Thu mua(Mới)</t>
        </is>
      </c>
      <c r="D6602" s="10" t="inlineStr">
        <is>
          <t>Công ty Cổ Phần Đầu tư và Phát triển Tập đoàn Đông Ngô</t>
        </is>
      </c>
      <c r="E6602" s="10" t="inlineStr">
        <is>
          <t>Lương:16 Tr - 20 Tr VND</t>
        </is>
      </c>
      <c r="F6602" s="10" t="inlineStr">
        <is>
          <t>Hồ Chí Minh</t>
        </is>
      </c>
      <c r="G6602" s="10" t="inlineStr">
        <is>
          <t>17-04-2026</t>
        </is>
      </c>
      <c r="H6602" s="10" t="inlineStr">
        <is>
          <t>17/04/2026</t>
        </is>
      </c>
      <c r="I6602" s="10" t="inlineStr">
        <is>
          <t>17/03/2026</t>
        </is>
      </c>
      <c r="J6602" s="10" t="inlineStr">
        <is>
          <t>Thu mua / Vật tư, Kiến trúc, Nội ngoại thất</t>
        </is>
      </c>
      <c r="K6602" s="10" t="inlineStr">
        <is>
          <t>1 - 3 Năm</t>
        </is>
      </c>
      <c r="L6602" s="11">
        <f>HYPERLINK("https://careerviet.vn/vi/tim-viec-lam/chuyen-vien-thu-mua.35C6CD8D.html","Xem chi tiết")</f>
        <v/>
      </c>
      <c r="M6602" s="10" t="n"/>
    </row>
    <row r="6603">
      <c r="B6603" s="7" t="n">
        <v>6601</v>
      </c>
      <c r="C6603" t="inlineStr">
        <is>
          <t>HÀ NỘI - Giám Sát Thi Công (Nội Thất và Hoàn thiện)(Mới)</t>
        </is>
      </c>
      <c r="D6603" t="inlineStr">
        <is>
          <t>CÔNG TY TNHH PT INTERIOR - PT GROUP</t>
        </is>
      </c>
      <c r="E6603" t="inlineStr">
        <is>
          <t>Lương:15 Tr - 18 Tr VND</t>
        </is>
      </c>
      <c r="F6603" t="inlineStr">
        <is>
          <t>Hà Nội</t>
        </is>
      </c>
      <c r="G6603" t="inlineStr">
        <is>
          <t>11-04-2026</t>
        </is>
      </c>
      <c r="H6603" t="inlineStr">
        <is>
          <t>11/04/2026</t>
        </is>
      </c>
      <c r="I6603" t="inlineStr">
        <is>
          <t>17/03/2026</t>
        </is>
      </c>
      <c r="J6603" t="inlineStr">
        <is>
          <t>Kiến trúc, Xây dựng, Nội ngoại thất</t>
        </is>
      </c>
      <c r="K6603" t="inlineStr">
        <is>
          <t>3 - 4 Năm</t>
        </is>
      </c>
      <c r="L6603" s="8">
        <f>HYPERLINK("https://careerviet.vn/vi/tim-viec-lam/ha-noi-giam-sat-thi-cong-noi-that-va-hoan-thien.35C6CDE5.html","Xem chi tiết")</f>
        <v/>
      </c>
    </row>
    <row r="6604">
      <c r="B6604" s="9" t="n">
        <v>6602</v>
      </c>
      <c r="C6604" s="10" t="inlineStr">
        <is>
          <t>Legal Specialist(Mới)</t>
        </is>
      </c>
      <c r="D6604" s="10" t="inlineStr">
        <is>
          <t>CÔNG TY TNHH GALAXY DIGITAL HOLDINGS</t>
        </is>
      </c>
      <c r="E6604" s="10" t="inlineStr">
        <is>
          <t>Lương:Cạnh tranh</t>
        </is>
      </c>
      <c r="F6604" s="10" t="inlineStr">
        <is>
          <t>Hồ Chí Minh</t>
        </is>
      </c>
      <c r="G6604" s="10" t="inlineStr">
        <is>
          <t>17-04-2026</t>
        </is>
      </c>
      <c r="H6604" s="10" t="inlineStr">
        <is>
          <t>17/04/2026</t>
        </is>
      </c>
      <c r="I6604" s="10" t="inlineStr">
        <is>
          <t>17/03/2026</t>
        </is>
      </c>
      <c r="J6604" s="10" t="inlineStr">
        <is>
          <t>Luật / Pháp lý</t>
        </is>
      </c>
      <c r="K6604" s="10" t="inlineStr">
        <is>
          <t>4 - 5 Năm</t>
        </is>
      </c>
      <c r="L6604" s="11">
        <f>HYPERLINK("https://careerviet.vn/vi/tim-viec-lam/legal-specialist.35C6CDEC.html","Xem chi tiết")</f>
        <v/>
      </c>
      <c r="M6604" s="10" t="n"/>
    </row>
    <row r="6605">
      <c r="B6605" s="7" t="n">
        <v>6603</v>
      </c>
      <c r="C6605" t="inlineStr">
        <is>
          <t>Giáo viên mầm non (Bình Tân - Kinh Dương Vương)(Mới)</t>
        </is>
      </c>
      <c r="D6605" t="inlineStr">
        <is>
          <t>TRƯỜNG QUỐC TẾ BLUE RIDGE / BLUE RIDGE INTERNATIONAL SCHOOL (BRIS)</t>
        </is>
      </c>
      <c r="E6605" t="inlineStr">
        <is>
          <t>Lương:7 Tr - 9 Tr VND</t>
        </is>
      </c>
      <c r="F6605" t="inlineStr">
        <is>
          <t>Hồ Chí Minh</t>
        </is>
      </c>
      <c r="G6605" t="inlineStr">
        <is>
          <t>11-04-2026</t>
        </is>
      </c>
      <c r="H6605" t="inlineStr">
        <is>
          <t>11/04/2026</t>
        </is>
      </c>
      <c r="I6605" t="inlineStr">
        <is>
          <t>17/03/2026</t>
        </is>
      </c>
      <c r="J6605" t="inlineStr">
        <is>
          <t>Giáo dục / Đào tạo</t>
        </is>
      </c>
      <c r="K6605" t="inlineStr">
        <is>
          <t>N/A</t>
        </is>
      </c>
      <c r="L6605" s="8">
        <f>HYPERLINK("https://careerviet.vn/vi/tim-viec-lam/giao-vien-mam-non-binh-tan-kinh-duong-vuong.35C6CDF3.html","Xem chi tiết")</f>
        <v/>
      </c>
    </row>
    <row r="6606">
      <c r="B6606" s="9" t="n">
        <v>6604</v>
      </c>
      <c r="C6606" s="10" t="inlineStr">
        <is>
          <t>CHUYÊN VIÊN THƯƠNG MẠI VIỆT – NHẬT (JLPT N2 TRỞ LÊN)(Mới)</t>
        </is>
      </c>
      <c r="D6606" s="10" t="inlineStr">
        <is>
          <t>Công Ty TNHH ONE-VALUE Việt Nam</t>
        </is>
      </c>
      <c r="E6606" s="10" t="inlineStr">
        <is>
          <t>Lương:20 Tr - 100 Tr VND</t>
        </is>
      </c>
      <c r="F6606" s="10" t="inlineStr">
        <is>
          <t>Hà NộiHồ Chí Minh</t>
        </is>
      </c>
      <c r="G6606" s="10" t="inlineStr">
        <is>
          <t>30-04-2026</t>
        </is>
      </c>
      <c r="H6606" s="10" t="inlineStr">
        <is>
          <t>30/04/2026</t>
        </is>
      </c>
      <c r="I6606" s="10" t="inlineStr">
        <is>
          <t>17/03/2026</t>
        </is>
      </c>
      <c r="J6606" s="10" t="inlineStr">
        <is>
          <t>Tư vấn, Dịch vụ khách hàng</t>
        </is>
      </c>
      <c r="K6606" s="10" t="inlineStr">
        <is>
          <t>1 - 5 Năm</t>
        </is>
      </c>
      <c r="L6606" s="11">
        <f>HYPERLINK("https://careerviet.vn/vi/tim-viec-lam/chuyen-vien-thuong-mai-viet-nhat-jlpt-n2-tro-len.35C6CDFA.html","Xem chi tiết")</f>
        <v/>
      </c>
      <c r="M6606" s="10" t="n"/>
    </row>
    <row r="6607">
      <c r="B6607" s="7" t="n">
        <v>6605</v>
      </c>
      <c r="C6607" t="inlineStr">
        <is>
          <t>Nhân Viên Tuyển Sinh (Buôn Ma Thuột - Đắk Lắk)(Mới)</t>
        </is>
      </c>
      <c r="D6607" t="inlineStr">
        <is>
          <t>Công Ty CP Liên Kết Quốc Tế INTERLINK (Trường Liên Kết Quốc Tế INschool &amp; Ngoại Ngữ Quốc Tế INS ENGLISH &amp; CHINESE)</t>
        </is>
      </c>
      <c r="E6607" t="inlineStr">
        <is>
          <t>Lương:7 Tr - 9 Tr VND</t>
        </is>
      </c>
      <c r="F6607" t="inlineStr">
        <is>
          <t>Dak Lak</t>
        </is>
      </c>
      <c r="G6607" t="inlineStr">
        <is>
          <t>15-04-2026</t>
        </is>
      </c>
      <c r="H6607" t="inlineStr">
        <is>
          <t>15/04/2026</t>
        </is>
      </c>
      <c r="I6607" t="inlineStr">
        <is>
          <t>17/03/2026</t>
        </is>
      </c>
      <c r="J6607" t="inlineStr">
        <is>
          <t>Bán lẻ / Bán sỉ, Bán hàng / Kinh doanh, Tư vấn</t>
        </is>
      </c>
      <c r="K6607" t="inlineStr">
        <is>
          <t>1 - 2 Năm</t>
        </is>
      </c>
      <c r="L6607" s="8">
        <f>HYPERLINK("https://careerviet.vn/vi/tim-viec-lam/nhan-vien-tuyen-sinh-buon-ma-thuot-dak-lak.35C6CDE7.html","Xem chi tiết")</f>
        <v/>
      </c>
    </row>
    <row r="6608">
      <c r="B6608" s="9" t="n">
        <v>6606</v>
      </c>
      <c r="C6608" s="10" t="inlineStr">
        <is>
          <t>BRAND LEADER(Mới)</t>
        </is>
      </c>
      <c r="D6608" s="10" t="inlineStr">
        <is>
          <t>CÔNG TY CỔ PHẦN HỌC VIỆN MINH TRÍ THÀNH</t>
        </is>
      </c>
      <c r="E6608" s="10" t="inlineStr">
        <is>
          <t>Lương:18 Tr - 25 Tr VND</t>
        </is>
      </c>
      <c r="F6608" s="10" t="inlineStr">
        <is>
          <t>Hà Nội</t>
        </is>
      </c>
      <c r="G6608" s="10" t="inlineStr">
        <is>
          <t>27-04-2026</t>
        </is>
      </c>
      <c r="H6608" s="10" t="inlineStr">
        <is>
          <t>27/04/2026</t>
        </is>
      </c>
      <c r="I6608" s="10" t="inlineStr">
        <is>
          <t>17/03/2026</t>
        </is>
      </c>
      <c r="J6608" s="10" t="inlineStr">
        <is>
          <t>Tiếp thị / Marketing, Quảng cáo / Đối ngoại / Truyền Thông, Giáo dục / Đào tạo</t>
        </is>
      </c>
      <c r="K6608" s="10" t="inlineStr">
        <is>
          <t>2 - 3 Năm</t>
        </is>
      </c>
      <c r="L6608" s="11">
        <f>HYPERLINK("https://careerviet.vn/vi/tim-viec-lam/brand-leader.35C6CDEE.html","Xem chi tiết")</f>
        <v/>
      </c>
      <c r="M6608" s="10" t="n"/>
    </row>
    <row r="6609">
      <c r="B6609" s="7" t="n">
        <v>6607</v>
      </c>
      <c r="C6609" t="inlineStr">
        <is>
          <t>Sales Area Manager Asia(Mới)</t>
        </is>
      </c>
      <c r="D6609" t="inlineStr">
        <is>
          <t>Công ty TNHH GT Line Á Châu</t>
        </is>
      </c>
      <c r="E6609" t="inlineStr">
        <is>
          <t>Lương:25 Tr - 35 Tr VND</t>
        </is>
      </c>
      <c r="F6609" t="inlineStr">
        <is>
          <t>Bà Rịa - Vũng Tàu</t>
        </is>
      </c>
      <c r="G6609" t="inlineStr">
        <is>
          <t>30-04-2026</t>
        </is>
      </c>
      <c r="H6609" t="inlineStr">
        <is>
          <t>30/04/2026</t>
        </is>
      </c>
      <c r="I6609" t="inlineStr">
        <is>
          <t>17/03/2026</t>
        </is>
      </c>
      <c r="J6609" t="inlineStr">
        <is>
          <t>Dệt may / Da giày / Thời trang</t>
        </is>
      </c>
      <c r="K6609" t="inlineStr">
        <is>
          <t>3 - 5 Năm</t>
        </is>
      </c>
      <c r="L6609" s="8">
        <f>HYPERLINK("https://careerviet.vn/vi/tim-viec-lam/sales-area-manager-asia.35C6CDD9.html","Xem chi tiết")</f>
        <v/>
      </c>
    </row>
    <row r="6610">
      <c r="B6610" s="9" t="n">
        <v>6608</v>
      </c>
      <c r="C6610" s="10" t="inlineStr">
        <is>
          <t>BOM engineer - Sản xuất Nội thất(Mới)</t>
        </is>
      </c>
      <c r="D6610" s="10" t="inlineStr">
        <is>
          <t>Công ty Cổ Phần Đầu tư và Phát triển Tập đoàn Đông Ngô</t>
        </is>
      </c>
      <c r="E6610" s="10" t="inlineStr">
        <is>
          <t>Lương:15 Tr - 20 Tr VND</t>
        </is>
      </c>
      <c r="F6610" s="10" t="inlineStr">
        <is>
          <t>Hồ Chí Minh</t>
        </is>
      </c>
      <c r="G6610" s="10" t="inlineStr">
        <is>
          <t>17-04-2026</t>
        </is>
      </c>
      <c r="H6610" s="10" t="inlineStr">
        <is>
          <t>17/04/2026</t>
        </is>
      </c>
      <c r="I6610" s="10" t="inlineStr">
        <is>
          <t>17/03/2026</t>
        </is>
      </c>
      <c r="J6610" s="10" t="inlineStr">
        <is>
          <t>Nội ngoại thất, Đồ gỗ</t>
        </is>
      </c>
      <c r="K6610" s="10" t="inlineStr">
        <is>
          <t>1 - 3 Năm</t>
        </is>
      </c>
      <c r="L6610" s="11">
        <f>HYPERLINK("https://careerviet.vn/vi/tim-viec-lam/bom-engineer-san-xuat-noi-that.35C6CDCA.html","Xem chi tiết")</f>
        <v/>
      </c>
      <c r="M6610" s="10" t="n"/>
    </row>
    <row r="6611">
      <c r="B6611" s="7" t="n">
        <v>6609</v>
      </c>
      <c r="C6611" t="inlineStr">
        <is>
          <t>Chuyên viên pháp lý quản trị và phi tín dụng - Khối Pháp chế và tuân thủ(Mới)</t>
        </is>
      </c>
      <c r="D6611" t="inlineStr">
        <is>
          <t>Ngân hàng TMCP Đại Chúng Việt Nam - PVcomBank</t>
        </is>
      </c>
      <c r="E6611" t="inlineStr">
        <is>
          <t>Lương:Cạnh tranh</t>
        </is>
      </c>
      <c r="F6611" t="inlineStr">
        <is>
          <t>Hà Nội</t>
        </is>
      </c>
      <c r="G6611" t="inlineStr">
        <is>
          <t>29-04-2026</t>
        </is>
      </c>
      <c r="H6611" t="inlineStr">
        <is>
          <t>29/04/2026</t>
        </is>
      </c>
      <c r="I6611" t="inlineStr">
        <is>
          <t>17/03/2026</t>
        </is>
      </c>
      <c r="J6611" t="inlineStr">
        <is>
          <t>Ngân hàng, Tài chính / Đầu tư</t>
        </is>
      </c>
      <c r="K6611" t="inlineStr">
        <is>
          <t>2 - 5 Năm</t>
        </is>
      </c>
      <c r="L6611" s="8">
        <f>HYPERLINK("https://careerviet.vn/vi/tim-viec-lam/chuyen-vien-phap-ly-quan-tri-va-phi-tin-dung-khoi-phap-che-va-tuan-thu.35C6CDD7.html","Xem chi tiết")</f>
        <v/>
      </c>
    </row>
    <row r="6612">
      <c r="B6612" s="9" t="n">
        <v>6610</v>
      </c>
      <c r="C6612" s="10" t="inlineStr">
        <is>
          <t>Nhân viên Chăm sóc khách hàng-tiếng Trung(Mới)</t>
        </is>
      </c>
      <c r="D6612" s="10" t="inlineStr">
        <is>
          <t>CÔNG TY CỔ PHẦN TGI TRANS</t>
        </is>
      </c>
      <c r="E6612" s="10" t="inlineStr">
        <is>
          <t>Lương:10 Tr - 15 Tr VND</t>
        </is>
      </c>
      <c r="F6612" s="10" t="inlineStr">
        <is>
          <t>Hà Nội</t>
        </is>
      </c>
      <c r="G6612" s="10" t="inlineStr">
        <is>
          <t>30-04-2026</t>
        </is>
      </c>
      <c r="H6612" s="10" t="inlineStr">
        <is>
          <t>30/04/2026</t>
        </is>
      </c>
      <c r="I6612" s="10" t="inlineStr">
        <is>
          <t>17/03/2026</t>
        </is>
      </c>
      <c r="J6612" s="10" t="inlineStr">
        <is>
          <t>Xuất nhập khẩu, Dịch vụ khách hàng</t>
        </is>
      </c>
      <c r="K6612" s="10" t="inlineStr">
        <is>
          <t>Chưa có kinh nghiệm</t>
        </is>
      </c>
      <c r="L6612" s="11">
        <f>HYPERLINK("https://careerviet.vn/vi/tim-viec-lam/nhan-vien-cham-soc-khach-hang-tieng-trung.35C6CDE9.html","Xem chi tiết")</f>
        <v/>
      </c>
      <c r="M6612" s="10" t="n"/>
    </row>
    <row r="6613">
      <c r="B6613" s="7" t="n">
        <v>6611</v>
      </c>
      <c r="C6613" t="inlineStr">
        <is>
          <t>Nhân viên Tổ chức sự kiện (MICE)(Mới)</t>
        </is>
      </c>
      <c r="D6613" t="inlineStr">
        <is>
          <t>CÔNG TY TNHH CÁNH CUNG</t>
        </is>
      </c>
      <c r="E6613" t="inlineStr">
        <is>
          <t>Lương:7 Tr - 10 Tr VND</t>
        </is>
      </c>
      <c r="F6613" t="inlineStr">
        <is>
          <t>Hồ Chí Minh</t>
        </is>
      </c>
      <c r="G6613" t="inlineStr">
        <is>
          <t>16-04-2026</t>
        </is>
      </c>
      <c r="H6613" t="inlineStr">
        <is>
          <t>16/04/2026</t>
        </is>
      </c>
      <c r="I6613" t="inlineStr">
        <is>
          <t>17/03/2026</t>
        </is>
      </c>
      <c r="J6613" t="inlineStr">
        <is>
          <t>Tổ chức sự kiện, Du lịch</t>
        </is>
      </c>
      <c r="K6613" t="inlineStr">
        <is>
          <t>1 - 3 Năm</t>
        </is>
      </c>
      <c r="L6613" s="8">
        <f>HYPERLINK("https://careerviet.vn/vi/tim-viec-lam/nhan-vien-to-chuc-su-kien-mice.35C6CDDE.html","Xem chi tiết")</f>
        <v/>
      </c>
    </row>
    <row r="6614">
      <c r="B6614" s="9" t="n">
        <v>6612</v>
      </c>
      <c r="C6614" s="10" t="inlineStr">
        <is>
          <t>(Hà Nội)_Nhân Viên Kỹ Thuật Bảo trì Tòa Nhà(Mới)</t>
        </is>
      </c>
      <c r="D6614" s="10" t="inlineStr">
        <is>
          <t>CBRE (Vietnam) Co.,ltd</t>
        </is>
      </c>
      <c r="E6614" s="10" t="inlineStr">
        <is>
          <t>Lương:9 Tr - 10 Tr VND</t>
        </is>
      </c>
      <c r="F6614" s="10" t="inlineStr">
        <is>
          <t>Hà Nội</t>
        </is>
      </c>
      <c r="G6614" s="10" t="inlineStr">
        <is>
          <t>16-04-2026</t>
        </is>
      </c>
      <c r="H6614" s="10" t="inlineStr">
        <is>
          <t>16/04/2026</t>
        </is>
      </c>
      <c r="I6614" s="10" t="inlineStr">
        <is>
          <t>17/03/2026</t>
        </is>
      </c>
      <c r="J6614" s="10" t="inlineStr">
        <is>
          <t>Điện / Điện tử / Điện lạnh / Điện công nghiệp, Bảo trì / Sửa chữa, Xây dựng</t>
        </is>
      </c>
      <c r="K6614" s="10" t="inlineStr">
        <is>
          <t>N/A</t>
        </is>
      </c>
      <c r="L6614" s="11">
        <f>HYPERLINK("https://careerviet.vn/vi/tim-viec-lam/ha-noi-_nhan-vien-ky-thuat-bao-tri-toa-nha.35C6CD95.html","Xem chi tiết")</f>
        <v/>
      </c>
      <c r="M6614" s="10" t="n"/>
    </row>
    <row r="6615">
      <c r="B6615" s="7" t="n">
        <v>6613</v>
      </c>
      <c r="C6615" t="inlineStr">
        <is>
          <t>Nhân viên Trade Promotion (planning)(Mới)</t>
        </is>
      </c>
      <c r="D6615" t="inlineStr">
        <is>
          <t>Công ty Cổ phần Sữa VitaDairy Việt Nam</t>
        </is>
      </c>
      <c r="E6615" t="inlineStr">
        <is>
          <t>Lương:Cạnh tranh</t>
        </is>
      </c>
      <c r="F6615" t="inlineStr">
        <is>
          <t>Hồ Chí Minh</t>
        </is>
      </c>
      <c r="G6615" t="inlineStr">
        <is>
          <t>31-03-2026</t>
        </is>
      </c>
      <c r="H6615" t="inlineStr">
        <is>
          <t>31/03/2026</t>
        </is>
      </c>
      <c r="I6615" t="inlineStr">
        <is>
          <t>17/03/2026</t>
        </is>
      </c>
      <c r="J6615" t="inlineStr">
        <is>
          <t>Tiếp thị / Marketing, Bán hàng / Kinh doanh, Tiếp thị trực tuyến</t>
        </is>
      </c>
      <c r="K6615" t="inlineStr">
        <is>
          <t>1 - 2 Năm</t>
        </is>
      </c>
      <c r="L6615" s="8">
        <f>HYPERLINK("https://careerviet.vn/vi/tim-viec-lam/nhan-vien-trade-promotion-planning.35C6CDD1.html","Xem chi tiết")</f>
        <v/>
      </c>
    </row>
    <row r="6616">
      <c r="B6616" s="9" t="n">
        <v>6614</v>
      </c>
      <c r="C6616" s="10" t="inlineStr">
        <is>
          <t>PRODUCTION ENGINEER(Mới)</t>
        </is>
      </c>
      <c r="D6616" s="10" t="inlineStr">
        <is>
          <t>Action Composites Hightech Industries</t>
        </is>
      </c>
      <c r="E6616" s="10" t="inlineStr">
        <is>
          <t>Lương:Cạnh tranh</t>
        </is>
      </c>
      <c r="F6616" s="10" t="inlineStr">
        <is>
          <t>Đồng Nai</t>
        </is>
      </c>
      <c r="G6616" s="10" t="inlineStr">
        <is>
          <t>01-04-2026</t>
        </is>
      </c>
      <c r="H6616" s="10" t="inlineStr">
        <is>
          <t>01/04/2026</t>
        </is>
      </c>
      <c r="I6616" s="10" t="inlineStr">
        <is>
          <t>17/03/2026</t>
        </is>
      </c>
      <c r="J6616" s="10" t="inlineStr">
        <is>
          <t>Cơ khí / Ô tô / Tự động hóa, Bảo trì / Sửa chữa, Quản lý chất lượng (QA/QC)</t>
        </is>
      </c>
      <c r="K6616" s="10" t="inlineStr">
        <is>
          <t>2 - 4 Năm</t>
        </is>
      </c>
      <c r="L6616" s="11">
        <f>HYPERLINK("https://careerviet.vn/vi/tim-viec-lam/production-engineer.35C6CDDC.html","Xem chi tiết")</f>
        <v/>
      </c>
      <c r="M6616" s="10" t="n"/>
    </row>
    <row r="6617">
      <c r="B6617" s="7" t="n">
        <v>6615</v>
      </c>
      <c r="C6617" t="inlineStr">
        <is>
          <t>Chuyên viên Nhân Sự (Mạnh tuyển Dụng)(Mới)</t>
        </is>
      </c>
      <c r="D6617" t="inlineStr">
        <is>
          <t>CÔNG TY TNHH THƯƠNG MẠI DỊCH VỤ TINI OFFICE</t>
        </is>
      </c>
      <c r="E6617" t="inlineStr">
        <is>
          <t>Lương:10 Tr - 13 Tr VND</t>
        </is>
      </c>
      <c r="F6617" t="inlineStr">
        <is>
          <t>Hồ Chí Minh</t>
        </is>
      </c>
      <c r="G6617" t="inlineStr">
        <is>
          <t>30-04-2026</t>
        </is>
      </c>
      <c r="H6617" t="inlineStr">
        <is>
          <t>30/04/2026</t>
        </is>
      </c>
      <c r="I6617" t="inlineStr">
        <is>
          <t>17/03/2026</t>
        </is>
      </c>
      <c r="J6617" t="inlineStr">
        <is>
          <t>Nhân sự, Hành chính / Thư ký, Giáo dục / Đào tạo</t>
        </is>
      </c>
      <c r="K6617" t="inlineStr">
        <is>
          <t>2 - 4 Năm</t>
        </is>
      </c>
      <c r="L6617" s="8">
        <f>HYPERLINK("https://careerviet.vn/vi/tim-viec-lam/chuyen-vien-nhan-su-manh-tuyen-dung.35C6CBEA.html","Xem chi tiết")</f>
        <v/>
      </c>
    </row>
    <row r="6618">
      <c r="B6618" s="9" t="n">
        <v>6616</v>
      </c>
      <c r="C6618" s="10" t="inlineStr">
        <is>
          <t>Shift Production Supervisor(Mới)</t>
        </is>
      </c>
      <c r="D6618" s="10" t="inlineStr">
        <is>
          <t>Sonion Vietnam</t>
        </is>
      </c>
      <c r="E6618" s="10" t="inlineStr">
        <is>
          <t>Lương:Cạnh tranh</t>
        </is>
      </c>
      <c r="F6618" s="10" t="inlineStr">
        <is>
          <t>Hồ Chí Minh</t>
        </is>
      </c>
      <c r="G6618" s="10" t="inlineStr">
        <is>
          <t>16-04-2026</t>
        </is>
      </c>
      <c r="H6618" s="10" t="inlineStr">
        <is>
          <t>16/04/2026</t>
        </is>
      </c>
      <c r="I6618" s="10" t="inlineStr">
        <is>
          <t>17/03/2026</t>
        </is>
      </c>
      <c r="J6618" s="10" t="inlineStr">
        <is>
          <t>Quản lý điều hành, Điện / Điện tử / Điện lạnh / Điện công nghiệp, Sản xuất / Vận hành sản xuất</t>
        </is>
      </c>
      <c r="K6618" s="10" t="inlineStr">
        <is>
          <t>2 - 5 Năm</t>
        </is>
      </c>
      <c r="L6618" s="11">
        <f>HYPERLINK("https://careerviet.vn/vi/tim-viec-lam/shift-production-supervisor.35C6CDD0.html","Xem chi tiết")</f>
        <v/>
      </c>
      <c r="M6618" s="10" t="n"/>
    </row>
    <row r="6619">
      <c r="B6619" s="7" t="n">
        <v>6617</v>
      </c>
      <c r="C6619" t="inlineStr">
        <is>
          <t>KẾ TOÁN TỔNG HỢP - NGÀNH MAY(Mới)</t>
        </is>
      </c>
      <c r="D6619" t="inlineStr">
        <is>
          <t>CÔNG TY TNHH MTV RGM ĐÀ NẴNG</t>
        </is>
      </c>
      <c r="E6619" t="inlineStr">
        <is>
          <t>Lương:Trên 10 Tr VND</t>
        </is>
      </c>
      <c r="F6619" t="inlineStr">
        <is>
          <t>Đà Nẵng</t>
        </is>
      </c>
      <c r="G6619" t="inlineStr">
        <is>
          <t>17-04-2026</t>
        </is>
      </c>
      <c r="H6619" t="inlineStr">
        <is>
          <t>17/04/2026</t>
        </is>
      </c>
      <c r="I6619" t="inlineStr">
        <is>
          <t>17/03/2026</t>
        </is>
      </c>
      <c r="J6619" t="inlineStr">
        <is>
          <t>Dệt may / Da giày / Thời trang</t>
        </is>
      </c>
      <c r="K6619" t="inlineStr">
        <is>
          <t>2 - 5 Năm</t>
        </is>
      </c>
      <c r="L6619" s="8">
        <f>HYPERLINK("https://careerviet.vn/vi/tim-viec-lam/ke-toan-tong-hop-nganh-may.35C6CDC9.html","Xem chi tiết")</f>
        <v/>
      </c>
    </row>
    <row r="6620">
      <c r="B6620" s="9" t="n">
        <v>6618</v>
      </c>
      <c r="C6620" s="10" t="inlineStr">
        <is>
          <t>Content Creator(Mới)</t>
        </is>
      </c>
      <c r="D6620" s="10" t="inlineStr">
        <is>
          <t>CÔNG TY TNHH THƯƠNG MẠI XUẤT NHẬP KHẨU ISU</t>
        </is>
      </c>
      <c r="E6620" s="10" t="inlineStr">
        <is>
          <t>Lương:10 Tr - 15 Tr VND</t>
        </is>
      </c>
      <c r="F6620" s="10" t="inlineStr">
        <is>
          <t>Hà Nội</t>
        </is>
      </c>
      <c r="G6620" s="10" t="inlineStr">
        <is>
          <t>17-04-2026</t>
        </is>
      </c>
      <c r="H6620" s="10" t="inlineStr">
        <is>
          <t>17/04/2026</t>
        </is>
      </c>
      <c r="I6620" s="10" t="inlineStr">
        <is>
          <t>17/03/2026</t>
        </is>
      </c>
      <c r="J6620" s="10" t="inlineStr">
        <is>
          <t>Tiếp thị / Marketing, Bán hàng / Kinh doanh, Y tế / Chăm sóc sức khỏe / Thẩm mỹ / Làm đẹp</t>
        </is>
      </c>
      <c r="K6620" s="10" t="inlineStr">
        <is>
          <t>2 - 3 Năm</t>
        </is>
      </c>
      <c r="L6620" s="11">
        <f>HYPERLINK("https://careerviet.vn/vi/tim-viec-lam/content-creator.35C6CDE3.html","Xem chi tiết")</f>
        <v/>
      </c>
      <c r="M6620" s="10" t="n"/>
    </row>
    <row r="6621">
      <c r="B6621" s="7" t="n">
        <v>6619</v>
      </c>
      <c r="C6621" t="inlineStr">
        <is>
          <t>PHÓ PHÒNG HÀNH CHÍNH NHÂN SỰ(Mới)</t>
        </is>
      </c>
      <c r="D6621" t="inlineStr">
        <is>
          <t>Công Ty  TNHH TM Phổ Bình</t>
        </is>
      </c>
      <c r="E6621" t="inlineStr">
        <is>
          <t>Lương:17 Tr - 25 Tr VND</t>
        </is>
      </c>
      <c r="F6621" t="inlineStr">
        <is>
          <t>Hồ Chí Minh</t>
        </is>
      </c>
      <c r="G6621" t="inlineStr">
        <is>
          <t>17-04-2026</t>
        </is>
      </c>
      <c r="H6621" t="inlineStr">
        <is>
          <t>17/04/2026</t>
        </is>
      </c>
      <c r="I6621" t="inlineStr">
        <is>
          <t>17/03/2026</t>
        </is>
      </c>
      <c r="J6621" t="inlineStr">
        <is>
          <t>Hành chính / Thư ký, Nhân sự, Luật / Pháp lý</t>
        </is>
      </c>
      <c r="K6621" t="inlineStr">
        <is>
          <t>3 - 4 Năm</t>
        </is>
      </c>
      <c r="L6621" s="8">
        <f>HYPERLINK("https://careerviet.vn/vi/tim-viec-lam/pho-phong-hanh-chinh-nhan-su.35C6CDCD.html","Xem chi tiết")</f>
        <v/>
      </c>
    </row>
    <row r="6622">
      <c r="B6622" s="9" t="n">
        <v>6620</v>
      </c>
      <c r="C6622" s="10" t="inlineStr">
        <is>
          <t>Giám Đốc Kinh Doanh(Mới)</t>
        </is>
      </c>
      <c r="D6622" s="10" t="inlineStr">
        <is>
          <t>Công ty Cổ phần Tập đoàn Meey Land</t>
        </is>
      </c>
      <c r="E6622" s="10" t="inlineStr">
        <is>
          <t>Lương:Cạnh tranh</t>
        </is>
      </c>
      <c r="F6622" s="10" t="inlineStr">
        <is>
          <t>Hà Nội</t>
        </is>
      </c>
      <c r="G6622" s="10" t="inlineStr">
        <is>
          <t>16-04-2026</t>
        </is>
      </c>
      <c r="H6622" s="10" t="inlineStr">
        <is>
          <t>16/04/2026</t>
        </is>
      </c>
      <c r="I6622" s="10" t="inlineStr">
        <is>
          <t>17/03/2026</t>
        </is>
      </c>
      <c r="J6622" s="10" t="inlineStr">
        <is>
          <t>Bán hàng / Kinh doanh, Bất động sản, CNTT - Phần mềm</t>
        </is>
      </c>
      <c r="K6622" s="10" t="inlineStr">
        <is>
          <t>5 - 20 Năm</t>
        </is>
      </c>
      <c r="L6622" s="11">
        <f>HYPERLINK("https://careerviet.vn/vi/tim-viec-lam/giam-doc-kinh-doanh.35C6CC6B.html","Xem chi tiết")</f>
        <v/>
      </c>
      <c r="M6622" s="10" t="n"/>
    </row>
    <row r="6623">
      <c r="B6623" s="7" t="n">
        <v>6621</v>
      </c>
      <c r="C6623" t="inlineStr">
        <is>
          <t>DL Supporter (Technical Services)(Mới)</t>
        </is>
      </c>
      <c r="D6623" t="inlineStr">
        <is>
          <t>Sonion Vietnam</t>
        </is>
      </c>
      <c r="E6623" t="inlineStr">
        <is>
          <t>Lương:Cạnh tranh</t>
        </is>
      </c>
      <c r="F6623" t="inlineStr">
        <is>
          <t>Hồ Chí Minh</t>
        </is>
      </c>
      <c r="G6623" t="inlineStr">
        <is>
          <t>16-04-2026</t>
        </is>
      </c>
      <c r="H6623" t="inlineStr">
        <is>
          <t>16/04/2026</t>
        </is>
      </c>
      <c r="I6623" t="inlineStr">
        <is>
          <t>17/03/2026</t>
        </is>
      </c>
      <c r="J6623" t="inlineStr">
        <is>
          <t>Cơ khí / Ô tô / Tự động hóa, Điện / Điện tử / Điện lạnh / Điện công nghiệp, Thu mua / Vật tư</t>
        </is>
      </c>
      <c r="K6623" t="inlineStr">
        <is>
          <t>N/A</t>
        </is>
      </c>
      <c r="L6623" s="8">
        <f>HYPERLINK("https://careerviet.vn/vi/tim-viec-lam/dl-supporter-technical-services.35C6CDCF.html","Xem chi tiết")</f>
        <v/>
      </c>
    </row>
    <row r="6624">
      <c r="B6624" s="9" t="n">
        <v>6622</v>
      </c>
      <c r="C6624" s="10" t="inlineStr">
        <is>
          <t>KẾ TOÁN THANH TOÁN - KHÔNG Yêu cầu kinh nghiệm(Mới)</t>
        </is>
      </c>
      <c r="D6624" s="10" t="inlineStr">
        <is>
          <t>CÔNG TY TNHH THƯƠNG MẠI VÀ DỊCH VỤ GOMCN</t>
        </is>
      </c>
      <c r="E6624" s="10" t="inlineStr">
        <is>
          <t>Lương:8 Tr - 10 Tr VND</t>
        </is>
      </c>
      <c r="F6624" s="10" t="inlineStr">
        <is>
          <t>Hồ Chí Minh</t>
        </is>
      </c>
      <c r="G6624" s="10" t="inlineStr">
        <is>
          <t>16-04-2026</t>
        </is>
      </c>
      <c r="H6624" s="10" t="inlineStr">
        <is>
          <t>16/04/2026</t>
        </is>
      </c>
      <c r="I6624" s="10" t="inlineStr">
        <is>
          <t>17/03/2026</t>
        </is>
      </c>
      <c r="J6624" s="10" t="inlineStr">
        <is>
          <t>Kế toán / Kiểm toán, Tài chính / Đầu tư</t>
        </is>
      </c>
      <c r="K6624" s="10" t="inlineStr">
        <is>
          <t>N/A</t>
        </is>
      </c>
      <c r="L6624" s="11">
        <f>HYPERLINK("https://careerviet.vn/vi/tim-viec-lam/ke-toan-thanh-toan-khong-yeu-cau-kinh-nghiem.35C6CC14.html","Xem chi tiết")</f>
        <v/>
      </c>
      <c r="M6624" s="10" t="n"/>
    </row>
    <row r="6625">
      <c r="B6625" s="7" t="n">
        <v>6623</v>
      </c>
      <c r="C6625" t="inlineStr">
        <is>
          <t>Talent Acquisition Manager (TAM) Cum HRBP</t>
        </is>
      </c>
      <c r="D6625" t="inlineStr">
        <is>
          <t>Công Ty TNHH XNK Phát Triển Đông Dương</t>
        </is>
      </c>
      <c r="E6625" t="inlineStr">
        <is>
          <t>Lương:Cạnh tranh</t>
        </is>
      </c>
      <c r="F6625" t="inlineStr">
        <is>
          <t>Hồ Chí Minh</t>
        </is>
      </c>
      <c r="G6625" t="inlineStr">
        <is>
          <t>10-04-2026</t>
        </is>
      </c>
      <c r="H6625" t="inlineStr">
        <is>
          <t>10/04/2026</t>
        </is>
      </c>
      <c r="I6625" t="inlineStr">
        <is>
          <t>17/03/2026</t>
        </is>
      </c>
      <c r="J6625" t="inlineStr">
        <is>
          <t>Nhân sự, Quản lý điều hành, Hành chính / Thư ký</t>
        </is>
      </c>
      <c r="K6625" t="inlineStr">
        <is>
          <t>5 - 9 Năm</t>
        </is>
      </c>
      <c r="L6625" s="8">
        <f>HYPERLINK("https://careerviet.vn/vi/tim-viec-lam/talent-acquisition-manager-tam-cum-hrbp.35C6C6D2.html","Xem chi tiết")</f>
        <v/>
      </c>
    </row>
    <row r="6626">
      <c r="B6626" s="9" t="n">
        <v>6624</v>
      </c>
      <c r="C6626" s="10" t="inlineStr">
        <is>
          <t>HRBP Manager(Mới)</t>
        </is>
      </c>
      <c r="D6626" s="10" t="inlineStr">
        <is>
          <t>Nova Service Group - Công ty Cổ phần Tập đoàn Nova Services</t>
        </is>
      </c>
      <c r="E6626" s="10" t="inlineStr">
        <is>
          <t>Lương:Cạnh tranh</t>
        </is>
      </c>
      <c r="F6626" s="10" t="inlineStr">
        <is>
          <t>Hồ Chí Minh</t>
        </is>
      </c>
      <c r="G6626" s="10" t="inlineStr">
        <is>
          <t>11-04-2026</t>
        </is>
      </c>
      <c r="H6626" s="10" t="inlineStr">
        <is>
          <t>11/04/2026</t>
        </is>
      </c>
      <c r="I6626" s="10" t="inlineStr">
        <is>
          <t>17/03/2026</t>
        </is>
      </c>
      <c r="J6626" s="10" t="inlineStr">
        <is>
          <t>Nhân sự</t>
        </is>
      </c>
      <c r="K6626" s="10" t="inlineStr">
        <is>
          <t>8 - 18 Năm</t>
        </is>
      </c>
      <c r="L6626" s="11">
        <f>HYPERLINK("https://careerviet.vn/vi/tim-viec-lam/hrbp-manager.35C6CDC8.html","Xem chi tiết")</f>
        <v/>
      </c>
      <c r="M6626" s="10" t="n"/>
    </row>
    <row r="6627">
      <c r="B6627" s="7" t="n">
        <v>6625</v>
      </c>
      <c r="C6627" t="inlineStr">
        <is>
          <t>CHUYÊN VIÊN PHÂN TÍCH VÀ TÌM KIẾM DỰ ÁN BĐS(Mới)</t>
        </is>
      </c>
      <c r="D6627" t="inlineStr">
        <is>
          <t>Công Ty TNHH ONE-VALUE Việt Nam</t>
        </is>
      </c>
      <c r="E6627" t="inlineStr">
        <is>
          <t>Lương:20 Tr - 100 Tr VND</t>
        </is>
      </c>
      <c r="F6627" t="inlineStr">
        <is>
          <t>Hà Nội</t>
        </is>
      </c>
      <c r="G6627" t="inlineStr">
        <is>
          <t>30-04-2026</t>
        </is>
      </c>
      <c r="H6627" t="inlineStr">
        <is>
          <t>30/04/2026</t>
        </is>
      </c>
      <c r="I6627" t="inlineStr">
        <is>
          <t>17/03/2026</t>
        </is>
      </c>
      <c r="J6627" t="inlineStr">
        <is>
          <t>Bất động sản, Tư vấn, Dịch vụ khách hàng</t>
        </is>
      </c>
      <c r="K6627" t="inlineStr">
        <is>
          <t>1 - 2 Năm</t>
        </is>
      </c>
      <c r="L6627" s="8">
        <f>HYPERLINK("https://careerviet.vn/vi/tim-viec-lam/chuyen-vien-phan-tich-va-tim-kiem-du-an-bds.35C6CDCE.html","Xem chi tiết")</f>
        <v/>
      </c>
    </row>
    <row r="6628">
      <c r="B6628" s="9" t="n">
        <v>6626</v>
      </c>
      <c r="C6628" s="10" t="inlineStr">
        <is>
          <t>IT Engineer(Mới)</t>
        </is>
      </c>
      <c r="D6628" s="10" t="inlineStr">
        <is>
          <t>CareerViet</t>
        </is>
      </c>
      <c r="E6628" s="10" t="inlineStr">
        <is>
          <t>Lương:Cạnh tranh</t>
        </is>
      </c>
      <c r="F6628" s="10" t="inlineStr">
        <is>
          <t>Hồ Chí Minh</t>
        </is>
      </c>
      <c r="G6628" s="10" t="inlineStr">
        <is>
          <t>31-03-2026</t>
        </is>
      </c>
      <c r="H6628" s="10" t="inlineStr">
        <is>
          <t>31/03/2026</t>
        </is>
      </c>
      <c r="I6628" s="10" t="inlineStr">
        <is>
          <t>17/03/2026</t>
        </is>
      </c>
      <c r="J6628" s="10" t="inlineStr">
        <is>
          <t>CNTT - Phần mềm, CNTT - Phần cứng / Mạng</t>
        </is>
      </c>
      <c r="K6628" s="10" t="inlineStr">
        <is>
          <t>3 Năm</t>
        </is>
      </c>
      <c r="L6628" s="11">
        <f>HYPERLINK("https://careerviet.vn/vi/tim-viec-lam/it-engineer.35C6CD13.html","Xem chi tiết")</f>
        <v/>
      </c>
      <c r="M6628" s="10" t="n"/>
    </row>
    <row r="6629">
      <c r="B6629" s="7" t="n">
        <v>6627</v>
      </c>
      <c r="C6629" t="inlineStr">
        <is>
          <t>Trưởng phòng kinh doanh (Huế Hoặc Đà Nẵng)(Mới)</t>
        </is>
      </c>
      <c r="D6629" t="inlineStr">
        <is>
          <t>Công ty Cổ Phần Nhựa Thiếu Niên Tiền Phong Phía Nam</t>
        </is>
      </c>
      <c r="E6629" t="inlineStr">
        <is>
          <t>Lương:Cạnh tranh</t>
        </is>
      </c>
      <c r="F6629" t="inlineStr">
        <is>
          <t>Đà NẵngThừa Thiên- Huế</t>
        </is>
      </c>
      <c r="G6629" t="inlineStr">
        <is>
          <t>30-03-2026</t>
        </is>
      </c>
      <c r="H6629" t="inlineStr">
        <is>
          <t>30/03/2026</t>
        </is>
      </c>
      <c r="I6629" t="inlineStr">
        <is>
          <t>17/03/2026</t>
        </is>
      </c>
      <c r="J6629" t="inlineStr">
        <is>
          <t>Bán hàng / Kinh doanh</t>
        </is>
      </c>
      <c r="K6629" t="inlineStr">
        <is>
          <t>N/A</t>
        </is>
      </c>
      <c r="L6629" s="8">
        <f>HYPERLINK("https://careerviet.vn/vi/tim-viec-lam/truong-phong-kinh-doanh-hue-hoac-da-nang.35C6CDC7.html","Xem chi tiết")</f>
        <v/>
      </c>
    </row>
    <row r="6630">
      <c r="B6630" s="9" t="n">
        <v>6628</v>
      </c>
      <c r="C6630" s="10" t="inlineStr">
        <is>
          <t>Nhân viên kế hoạch sản xuất  (đồ gỗ nội thất)(Mới)</t>
        </is>
      </c>
      <c r="D6630" s="10" t="inlineStr">
        <is>
          <t>Công ty Cổ Phần Đầu tư và Phát triển Tập đoàn Đông Ngô</t>
        </is>
      </c>
      <c r="E6630" s="10" t="inlineStr">
        <is>
          <t>Lương:15 Tr - 20 Tr VND</t>
        </is>
      </c>
      <c r="F6630" s="10" t="inlineStr">
        <is>
          <t>Hồ Chí Minh</t>
        </is>
      </c>
      <c r="G6630" s="10" t="inlineStr">
        <is>
          <t>17-04-2026</t>
        </is>
      </c>
      <c r="H6630" s="10" t="inlineStr">
        <is>
          <t>17/04/2026</t>
        </is>
      </c>
      <c r="I6630" s="10" t="inlineStr">
        <is>
          <t>17/03/2026</t>
        </is>
      </c>
      <c r="J6630" s="10" t="inlineStr">
        <is>
          <t>Đồ gỗ, Nội ngoại thất</t>
        </is>
      </c>
      <c r="K6630" s="10" t="inlineStr">
        <is>
          <t>2 - 5 Năm</t>
        </is>
      </c>
      <c r="L6630" s="11">
        <f>HYPERLINK("https://careerviet.vn/vi/tim-viec-lam/nhan-vien-ke-hoach-san-xuat-do-go-noi-that.35C6CD8E.html","Xem chi tiết")</f>
        <v/>
      </c>
      <c r="M6630" s="10" t="n"/>
    </row>
    <row r="6631">
      <c r="B6631" s="7" t="n">
        <v>6629</v>
      </c>
      <c r="C6631" t="inlineStr">
        <is>
          <t>[Hồng Ngự] Kế Toán Bán Hàng(Mới)</t>
        </is>
      </c>
      <c r="D6631" t="inlineStr">
        <is>
          <t>Công Ty TNHH XNK Phát Triển Đông Dương</t>
        </is>
      </c>
      <c r="E6631" t="inlineStr">
        <is>
          <t>Lương:9 Tr - 15 Tr VND</t>
        </is>
      </c>
      <c r="F6631" t="inlineStr">
        <is>
          <t>Đồng Tháp</t>
        </is>
      </c>
      <c r="G6631" t="inlineStr">
        <is>
          <t>20-04-2026</t>
        </is>
      </c>
      <c r="H6631" t="inlineStr">
        <is>
          <t>20/04/2026</t>
        </is>
      </c>
      <c r="I6631" t="inlineStr">
        <is>
          <t>17/03/2026</t>
        </is>
      </c>
      <c r="J6631" t="inlineStr">
        <is>
          <t>Kế toán / Kiểm toán, Bán lẻ / Bán sỉ, Bán hàng / Kinh doanh</t>
        </is>
      </c>
      <c r="K6631" t="inlineStr">
        <is>
          <t>1 - 3 Năm</t>
        </is>
      </c>
      <c r="L6631" s="8">
        <f>HYPERLINK("https://careerviet.vn/vi/tim-viec-lam/hong-ngu-ke-toan-ban-hang.35C6CDC0.html","Xem chi tiết")</f>
        <v/>
      </c>
    </row>
    <row r="6632">
      <c r="B6632" s="9" t="n">
        <v>6630</v>
      </c>
      <c r="C6632" s="10" t="inlineStr">
        <is>
          <t>Nhân Viên Data Analyst(Mới)</t>
        </is>
      </c>
      <c r="D6632" s="10" t="inlineStr">
        <is>
          <t>Công Ty TNHH Việt Mỹ-SSU</t>
        </is>
      </c>
      <c r="E6632" s="10" t="inlineStr">
        <is>
          <t>Lương:11 Tr - 12 Tr VND</t>
        </is>
      </c>
      <c r="F6632" s="10" t="inlineStr">
        <is>
          <t>Hồ Chí Minh</t>
        </is>
      </c>
      <c r="G6632" s="10" t="inlineStr">
        <is>
          <t>17-04-2026</t>
        </is>
      </c>
      <c r="H6632" s="10" t="inlineStr">
        <is>
          <t>17/04/2026</t>
        </is>
      </c>
      <c r="I6632" s="10" t="inlineStr">
        <is>
          <t>17/03/2026</t>
        </is>
      </c>
      <c r="J6632" s="10" t="inlineStr">
        <is>
          <t>CNTT - Phần mềm</t>
        </is>
      </c>
      <c r="K6632" s="10" t="inlineStr">
        <is>
          <t>Lên đến 1 Năm</t>
        </is>
      </c>
      <c r="L6632" s="11">
        <f>HYPERLINK("https://careerviet.vn/vi/tim-viec-lam/nhan-vien-data-analyst.35C6CDC4.html","Xem chi tiết")</f>
        <v/>
      </c>
      <c r="M6632" s="10" t="n"/>
    </row>
    <row r="6633">
      <c r="B6633" s="7" t="n">
        <v>6631</v>
      </c>
      <c r="C6633" t="inlineStr">
        <is>
          <t>Trợ Lý Tổng Giám Đốc (Phụ Trách Kinh Doanh)(Mới)</t>
        </is>
      </c>
      <c r="D6633" t="inlineStr">
        <is>
          <t>Công Ty CP Interlink</t>
        </is>
      </c>
      <c r="E6633" t="inlineStr">
        <is>
          <t>Lương:25 Tr - 30 Tr VND</t>
        </is>
      </c>
      <c r="F6633" t="inlineStr">
        <is>
          <t>Hồ Chí Minh</t>
        </is>
      </c>
      <c r="G6633" t="inlineStr">
        <is>
          <t>30-04-2026</t>
        </is>
      </c>
      <c r="H6633" t="inlineStr">
        <is>
          <t>30/04/2026</t>
        </is>
      </c>
      <c r="I6633" t="inlineStr">
        <is>
          <t>17/03/2026</t>
        </is>
      </c>
      <c r="J6633" t="inlineStr">
        <is>
          <t>Bán hàng / Kinh doanh, Xuất nhập khẩu, Biên phiên dịch</t>
        </is>
      </c>
      <c r="K6633" t="inlineStr">
        <is>
          <t>4 - 5 Năm</t>
        </is>
      </c>
      <c r="L6633" s="8">
        <f>HYPERLINK("https://careerviet.vn/vi/tim-viec-lam/tro-ly-tong-giam-doc-phu-trach-kinh-doanh.35C6CDC1.html","Xem chi tiết")</f>
        <v/>
      </c>
    </row>
    <row r="6634">
      <c r="B6634" s="9" t="n">
        <v>6632</v>
      </c>
      <c r="C6634" s="10" t="inlineStr">
        <is>
          <t>[TP.HCM] Chuyên viên Marketing(Mới)</t>
        </is>
      </c>
      <c r="D6634" s="10" t="inlineStr">
        <is>
          <t>Công Ty Cổ Phần Y Tế Việt Tiến</t>
        </is>
      </c>
      <c r="E6634" s="10" t="inlineStr">
        <is>
          <t>Lương:Cạnh tranh</t>
        </is>
      </c>
      <c r="F6634" s="10" t="inlineStr">
        <is>
          <t>Hồ Chí Minh</t>
        </is>
      </c>
      <c r="G6634" s="10" t="inlineStr">
        <is>
          <t>30-05-2026</t>
        </is>
      </c>
      <c r="H6634" s="10" t="inlineStr">
        <is>
          <t>30/05/2026</t>
        </is>
      </c>
      <c r="I6634" s="10" t="inlineStr">
        <is>
          <t>17/03/2026</t>
        </is>
      </c>
      <c r="J6634" s="10" t="inlineStr">
        <is>
          <t>Tiếp thị / Marketing, Ngành khác, Bán hàng / Kinh doanh</t>
        </is>
      </c>
      <c r="K6634" s="10" t="inlineStr">
        <is>
          <t>Trên 1 Năm</t>
        </is>
      </c>
      <c r="L6634" s="11">
        <f>HYPERLINK("https://careerviet.vn/vi/tim-viec-lam/tp-hcm-chuyen-vien-marketing.35C6CDBC.html","Xem chi tiết")</f>
        <v/>
      </c>
      <c r="M6634" s="10" t="n"/>
    </row>
    <row r="6635">
      <c r="B6635" s="7" t="n">
        <v>6633</v>
      </c>
      <c r="C6635" t="inlineStr">
        <is>
          <t>[Vị Thanh] Kế Toán Bán Hàng(Mới)</t>
        </is>
      </c>
      <c r="D6635" t="inlineStr">
        <is>
          <t>Công Ty TNHH XNK Phát Triển Đông Dương</t>
        </is>
      </c>
      <c r="E6635" t="inlineStr">
        <is>
          <t>Lương:9 Tr - 15 Tr VND</t>
        </is>
      </c>
      <c r="F6635" t="inlineStr">
        <is>
          <t>Sóc Trăng</t>
        </is>
      </c>
      <c r="G6635" t="inlineStr">
        <is>
          <t>20-04-2026</t>
        </is>
      </c>
      <c r="H6635" t="inlineStr">
        <is>
          <t>20/04/2026</t>
        </is>
      </c>
      <c r="I6635" t="inlineStr">
        <is>
          <t>17/03/2026</t>
        </is>
      </c>
      <c r="J6635" t="inlineStr">
        <is>
          <t>Kế toán / Kiểm toán, Bán lẻ / Bán sỉ, Bán hàng / Kinh doanh</t>
        </is>
      </c>
      <c r="K6635" t="inlineStr">
        <is>
          <t>1 - 3 Năm</t>
        </is>
      </c>
      <c r="L6635" s="8">
        <f>HYPERLINK("https://careerviet.vn/vi/tim-viec-lam/vi-thanh-ke-toan-ban-hang.35C6CDC5.html","Xem chi tiết")</f>
        <v/>
      </c>
    </row>
    <row r="6636">
      <c r="B6636" s="9" t="n">
        <v>6634</v>
      </c>
      <c r="C6636" s="10" t="inlineStr">
        <is>
          <t>Supplier Sourcing Specialist(Mới)</t>
        </is>
      </c>
      <c r="D6636" s="10" t="inlineStr">
        <is>
          <t>Công ty Cổ Phần Unity Architects</t>
        </is>
      </c>
      <c r="E6636" s="10" t="inlineStr">
        <is>
          <t>Lương:15 Tr - 20 Tr VND</t>
        </is>
      </c>
      <c r="F6636" s="10" t="inlineStr">
        <is>
          <t>Hồ Chí Minh</t>
        </is>
      </c>
      <c r="G6636" s="10" t="inlineStr">
        <is>
          <t>17-04-2026</t>
        </is>
      </c>
      <c r="H6636" s="10" t="inlineStr">
        <is>
          <t>17/04/2026</t>
        </is>
      </c>
      <c r="I6636" s="10" t="inlineStr">
        <is>
          <t>17/03/2026</t>
        </is>
      </c>
      <c r="J6636" s="10" t="inlineStr">
        <is>
          <t>Thu mua / Vật tư, Nội ngoại thất, Kiến trúc</t>
        </is>
      </c>
      <c r="K6636" s="10" t="inlineStr">
        <is>
          <t>Lên đến 2 Năm</t>
        </is>
      </c>
      <c r="L6636" s="11">
        <f>HYPERLINK("https://careerviet.vn/vi/tim-viec-lam/supplier-sourcing-specialist.35C6CDB4.html","Xem chi tiết")</f>
        <v/>
      </c>
      <c r="M6636" s="10" t="n"/>
    </row>
    <row r="6637">
      <c r="B6637" s="7" t="n">
        <v>6635</v>
      </c>
      <c r="C6637" t="inlineStr">
        <is>
          <t>[Bạc Liêu, Giá Rai] Kế Toán Bán Hàng(Mới)</t>
        </is>
      </c>
      <c r="D6637" t="inlineStr">
        <is>
          <t>Công Ty TNHH XNK Phát Triển Đông Dương</t>
        </is>
      </c>
      <c r="E6637" t="inlineStr">
        <is>
          <t>Lương:9 Tr - 15 Tr VND</t>
        </is>
      </c>
      <c r="F6637" t="inlineStr">
        <is>
          <t>Bạc Liêu</t>
        </is>
      </c>
      <c r="G6637" t="inlineStr">
        <is>
          <t>20-04-2026</t>
        </is>
      </c>
      <c r="H6637" t="inlineStr">
        <is>
          <t>20/04/2026</t>
        </is>
      </c>
      <c r="I6637" t="inlineStr">
        <is>
          <t>17/03/2026</t>
        </is>
      </c>
      <c r="J6637" t="inlineStr">
        <is>
          <t>Kế toán / Kiểm toán, Bán lẻ / Bán sỉ, Bán hàng / Kinh doanh</t>
        </is>
      </c>
      <c r="K6637" t="inlineStr">
        <is>
          <t>1 - 3 Năm</t>
        </is>
      </c>
      <c r="L6637" s="8">
        <f>HYPERLINK("https://careerviet.vn/vi/tim-viec-lam/bac-lieu-gia-rai-ke-toan-ban-hang.35C6CDBE.html","Xem chi tiết")</f>
        <v/>
      </c>
    </row>
    <row r="6638">
      <c r="B6638" s="9" t="n">
        <v>6636</v>
      </c>
      <c r="C6638" s="10" t="inlineStr">
        <is>
          <t>[Sóc Trăng] Kế Toán Bán Hàng(Mới)</t>
        </is>
      </c>
      <c r="D6638" s="10" t="inlineStr">
        <is>
          <t>Công Ty TNHH XNK Phát Triển Đông Dương</t>
        </is>
      </c>
      <c r="E6638" s="10" t="inlineStr">
        <is>
          <t>Lương:9 Tr - 15 Tr VND</t>
        </is>
      </c>
      <c r="F6638" s="10" t="inlineStr">
        <is>
          <t>Sóc Trăng</t>
        </is>
      </c>
      <c r="G6638" s="10" t="inlineStr">
        <is>
          <t>20-04-2026</t>
        </is>
      </c>
      <c r="H6638" s="10" t="inlineStr">
        <is>
          <t>20/04/2026</t>
        </is>
      </c>
      <c r="I6638" s="10" t="inlineStr">
        <is>
          <t>17/03/2026</t>
        </is>
      </c>
      <c r="J6638" s="10" t="inlineStr">
        <is>
          <t>Kế toán / Kiểm toán, Bán lẻ / Bán sỉ, Bán hàng / Kinh doanh</t>
        </is>
      </c>
      <c r="K6638" s="10" t="inlineStr">
        <is>
          <t>1 - 3 Năm</t>
        </is>
      </c>
      <c r="L6638" s="11">
        <f>HYPERLINK("https://careerviet.vn/vi/tim-viec-lam/soc-trang-ke-toan-ban-hang.35C6CDC2.html","Xem chi tiết")</f>
        <v/>
      </c>
      <c r="M6638" s="10" t="n"/>
    </row>
    <row r="6639">
      <c r="B6639" s="7" t="n">
        <v>6637</v>
      </c>
      <c r="C6639" t="inlineStr">
        <is>
          <t>Thực Tập Sinh Hỗ Trợ Sự Kiện và Phát Triển Đối Tác(Mới)</t>
        </is>
      </c>
      <c r="D6639" t="inlineStr">
        <is>
          <t>CareerViet</t>
        </is>
      </c>
      <c r="E6639" t="inlineStr">
        <is>
          <t>Lương:Cạnh tranh</t>
        </is>
      </c>
      <c r="F6639" t="inlineStr">
        <is>
          <t>Hồ Chí Minh</t>
        </is>
      </c>
      <c r="G6639" t="inlineStr">
        <is>
          <t>31-03-2026</t>
        </is>
      </c>
      <c r="H6639" t="inlineStr">
        <is>
          <t>31/03/2026</t>
        </is>
      </c>
      <c r="I6639" t="inlineStr">
        <is>
          <t>17/03/2026</t>
        </is>
      </c>
      <c r="J6639" t="inlineStr">
        <is>
          <t>Tiếp thị / Marketing, Quảng cáo / Đối ngoại / Truyền Thông, Tổ chức sự kiện</t>
        </is>
      </c>
      <c r="K6639" t="inlineStr">
        <is>
          <t>N/A</t>
        </is>
      </c>
      <c r="L6639" s="8">
        <f>HYPERLINK("https://careerviet.vn/vi/tim-viec-lam/thuc-tap-sinh-ho-tro-su-kien-va-phat-trien-doi-tac.35C6CD14.html","Xem chi tiết")</f>
        <v/>
      </c>
    </row>
    <row r="6640">
      <c r="B6640" s="9" t="n">
        <v>6638</v>
      </c>
      <c r="C6640" s="10" t="inlineStr">
        <is>
          <t>[Năm Căn] Kế Toán Bán Hàng(Mới)</t>
        </is>
      </c>
      <c r="D6640" s="10" t="inlineStr">
        <is>
          <t>Công Ty TNHH XNK Phát Triển Đông Dương</t>
        </is>
      </c>
      <c r="E6640" s="10" t="inlineStr">
        <is>
          <t>Lương:9 Tr - 15 Tr VND</t>
        </is>
      </c>
      <c r="F6640" s="10" t="inlineStr">
        <is>
          <t>Cà Mau</t>
        </is>
      </c>
      <c r="G6640" s="10" t="inlineStr">
        <is>
          <t>20-04-2026</t>
        </is>
      </c>
      <c r="H6640" s="10" t="inlineStr">
        <is>
          <t>20/04/2026</t>
        </is>
      </c>
      <c r="I6640" s="10" t="inlineStr">
        <is>
          <t>17/03/2026</t>
        </is>
      </c>
      <c r="J6640" s="10" t="inlineStr">
        <is>
          <t>Kế toán / Kiểm toán, Bán lẻ / Bán sỉ, Bán hàng / Kinh doanh</t>
        </is>
      </c>
      <c r="K6640" s="10" t="inlineStr">
        <is>
          <t>1 - 3 Năm</t>
        </is>
      </c>
      <c r="L6640" s="11">
        <f>HYPERLINK("https://careerviet.vn/vi/tim-viec-lam/nam-can-ke-toan-ban-hang.35C6CDBB.html","Xem chi tiết")</f>
        <v/>
      </c>
      <c r="M6640" s="10" t="n"/>
    </row>
    <row r="6641">
      <c r="B6641" s="7" t="n">
        <v>6639</v>
      </c>
      <c r="C6641" t="inlineStr">
        <is>
          <t>Trưởng phòng QA/QC nội thất gỗ xuất khẩu(Mới)</t>
        </is>
      </c>
      <c r="D6641" t="inlineStr">
        <is>
          <t>Công ty Cổ Phần Đầu tư và Phát triển Tập đoàn Đông Ngô</t>
        </is>
      </c>
      <c r="E6641" t="inlineStr">
        <is>
          <t>Lương:35 Tr - 40 Tr VND</t>
        </is>
      </c>
      <c r="F6641" t="inlineStr">
        <is>
          <t>Hồ Chí Minh</t>
        </is>
      </c>
      <c r="G6641" t="inlineStr">
        <is>
          <t>27-04-2026</t>
        </is>
      </c>
      <c r="H6641" t="inlineStr">
        <is>
          <t>27/04/2026</t>
        </is>
      </c>
      <c r="I6641" t="inlineStr">
        <is>
          <t>17/03/2026</t>
        </is>
      </c>
      <c r="J6641" t="inlineStr">
        <is>
          <t>Quản lý chất lượng (QA/QC), Nội ngoại thất, Đồ gỗ</t>
        </is>
      </c>
      <c r="K6641" t="inlineStr">
        <is>
          <t>7 - 15 Năm</t>
        </is>
      </c>
      <c r="L6641" s="8">
        <f>HYPERLINK("https://careerviet.vn/vi/tim-viec-lam/truong-phong-qa-qc-noi-that-go-xuat-khau.35C6CD94.html","Xem chi tiết")</f>
        <v/>
      </c>
    </row>
    <row r="6642">
      <c r="B6642" s="9" t="n">
        <v>6640</v>
      </c>
      <c r="C6642" s="10" t="inlineStr">
        <is>
          <t>Chuyên Viên Tuyển Dụng (Mass + Back Office)</t>
        </is>
      </c>
      <c r="D6642" s="10" t="inlineStr">
        <is>
          <t>Công Ty TNHH XNK Phát Triển Đông Dương</t>
        </is>
      </c>
      <c r="E6642" s="10" t="inlineStr">
        <is>
          <t>Lương:Cạnh tranh</t>
        </is>
      </c>
      <c r="F6642" s="10" t="inlineStr">
        <is>
          <t>Hồ Chí Minh</t>
        </is>
      </c>
      <c r="G6642" s="10" t="inlineStr">
        <is>
          <t>10-04-2026</t>
        </is>
      </c>
      <c r="H6642" s="10" t="inlineStr">
        <is>
          <t>10/04/2026</t>
        </is>
      </c>
      <c r="I6642" s="10" t="inlineStr">
        <is>
          <t>17/03/2026</t>
        </is>
      </c>
      <c r="J6642" s="10" t="inlineStr">
        <is>
          <t>Nhân sự, Hành chính / Thư ký</t>
        </is>
      </c>
      <c r="K6642" s="10" t="inlineStr">
        <is>
          <t>3 - 5 Năm</t>
        </is>
      </c>
      <c r="L6642" s="11">
        <f>HYPERLINK("https://careerviet.vn/vi/tim-viec-lam/chuyen-vien-tuyen-dung-mass-back-office.35C6C6C7.html","Xem chi tiết")</f>
        <v/>
      </c>
      <c r="M6642" s="10" t="n"/>
    </row>
    <row r="6643">
      <c r="B6643" s="7" t="n">
        <v>6641</v>
      </c>
      <c r="C6643" t="inlineStr">
        <is>
          <t>Nhân Viên Kỹ Thuật Cơ Khí(Mới)</t>
        </is>
      </c>
      <c r="D6643" t="inlineStr">
        <is>
          <t>CÔNG TY TNHH KỸ THUẬT THƯƠNG MẠI THÁI KHƯƠNG</t>
        </is>
      </c>
      <c r="E6643" t="inlineStr">
        <is>
          <t>Lương:Cạnh tranh</t>
        </is>
      </c>
      <c r="F6643" t="inlineStr">
        <is>
          <t>Hồ Chí Minh</t>
        </is>
      </c>
      <c r="G6643" t="inlineStr">
        <is>
          <t>15-04-2026</t>
        </is>
      </c>
      <c r="H6643" t="inlineStr">
        <is>
          <t>15/04/2026</t>
        </is>
      </c>
      <c r="I6643" t="inlineStr">
        <is>
          <t>17/03/2026</t>
        </is>
      </c>
      <c r="J6643" t="inlineStr">
        <is>
          <t>Cơ khí / Ô tô / Tự động hóa</t>
        </is>
      </c>
      <c r="K6643" t="inlineStr">
        <is>
          <t>N/A</t>
        </is>
      </c>
      <c r="L6643" s="8">
        <f>HYPERLINK("https://careerviet.vn/vi/tim-viec-lam/nhan-vien-ky-thuat-co-khi.35C6CDB7.html","Xem chi tiết")</f>
        <v/>
      </c>
    </row>
    <row r="6644">
      <c r="B6644" s="9" t="n">
        <v>6642</v>
      </c>
      <c r="C6644" s="10" t="inlineStr">
        <is>
          <t>[Cần Thơ, Thốt Nốt, Ô Môn] Kế Toán Bán Hàng(Mới)</t>
        </is>
      </c>
      <c r="D6644" s="10" t="inlineStr">
        <is>
          <t>Công Ty TNHH XNK Phát Triển Đông Dương</t>
        </is>
      </c>
      <c r="E6644" s="10" t="inlineStr">
        <is>
          <t>Lương:9 Tr - 15 Tr VND</t>
        </is>
      </c>
      <c r="F6644" s="10" t="inlineStr">
        <is>
          <t>Cần Thơ</t>
        </is>
      </c>
      <c r="G6644" s="10" t="inlineStr">
        <is>
          <t>20-04-2026</t>
        </is>
      </c>
      <c r="H6644" s="10" t="inlineStr">
        <is>
          <t>20/04/2026</t>
        </is>
      </c>
      <c r="I6644" s="10" t="inlineStr">
        <is>
          <t>17/03/2026</t>
        </is>
      </c>
      <c r="J6644" s="10" t="inlineStr">
        <is>
          <t>Kế toán / Kiểm toán, Bán lẻ / Bán sỉ, Bán hàng / Kinh doanh</t>
        </is>
      </c>
      <c r="K6644" s="10" t="inlineStr">
        <is>
          <t>1 - 3 Năm</t>
        </is>
      </c>
      <c r="L6644" s="11">
        <f>HYPERLINK("https://careerviet.vn/vi/tim-viec-lam/can-tho-thot-not-o-mon-ke-toan-ban-hang.35C6CDB8.html","Xem chi tiết")</f>
        <v/>
      </c>
      <c r="M6644" s="10" t="n"/>
    </row>
    <row r="6645">
      <c r="B6645" s="7" t="n">
        <v>6643</v>
      </c>
      <c r="C6645" t="inlineStr">
        <is>
          <t>Chuyên viên cao cấp pháp lý quản trị và phi tín dụng - Khối Pháp chế và tuân thủ(Mới)</t>
        </is>
      </c>
      <c r="D6645" t="inlineStr">
        <is>
          <t>Ngân hàng TMCP Đại Chúng Việt Nam - PVcomBank</t>
        </is>
      </c>
      <c r="E6645" t="inlineStr">
        <is>
          <t>Lương:Cạnh tranh</t>
        </is>
      </c>
      <c r="F6645" t="inlineStr">
        <is>
          <t>Hà Nội</t>
        </is>
      </c>
      <c r="G6645" t="inlineStr">
        <is>
          <t>14-04-2026</t>
        </is>
      </c>
      <c r="H6645" t="inlineStr">
        <is>
          <t>14/04/2026</t>
        </is>
      </c>
      <c r="I6645" t="inlineStr">
        <is>
          <t>17/03/2026</t>
        </is>
      </c>
      <c r="J6645" t="inlineStr">
        <is>
          <t>Ngân hàng, Tài chính / Đầu tư</t>
        </is>
      </c>
      <c r="K6645" t="inlineStr">
        <is>
          <t>4 - 10 Năm</t>
        </is>
      </c>
      <c r="L6645" s="8">
        <f>HYPERLINK("https://careerviet.vn/vi/tim-viec-lam/chuyen-vien-cao-cap-phap-ly-quan-tri-va-phi-tin-dung-khoi-phap-che-va-tuan-thu.35C6CDB3.html","Xem chi tiết")</f>
        <v/>
      </c>
    </row>
    <row r="6646">
      <c r="B6646" s="9" t="n">
        <v>6644</v>
      </c>
      <c r="C6646" s="10" t="inlineStr">
        <is>
          <t>[Rạch Giá, Hà Tiên] Kế Toán Bán Hàng(Mới)</t>
        </is>
      </c>
      <c r="D6646" s="10" t="inlineStr">
        <is>
          <t>Công Ty TNHH XNK Phát Triển Đông Dương</t>
        </is>
      </c>
      <c r="E6646" s="10" t="inlineStr">
        <is>
          <t>Lương:9 Tr - 15 Tr VND</t>
        </is>
      </c>
      <c r="F6646" s="10" t="inlineStr">
        <is>
          <t>Kiên Giang</t>
        </is>
      </c>
      <c r="G6646" s="10" t="inlineStr">
        <is>
          <t>20-04-2026</t>
        </is>
      </c>
      <c r="H6646" s="10" t="inlineStr">
        <is>
          <t>20/04/2026</t>
        </is>
      </c>
      <c r="I6646" s="10" t="inlineStr">
        <is>
          <t>17/03/2026</t>
        </is>
      </c>
      <c r="J6646" s="10" t="inlineStr">
        <is>
          <t>Kế toán / Kiểm toán, Bán lẻ / Bán sỉ, Bán hàng / Kinh doanh</t>
        </is>
      </c>
      <c r="K6646" s="10" t="inlineStr">
        <is>
          <t>1 - 3 Năm</t>
        </is>
      </c>
      <c r="L6646" s="11">
        <f>HYPERLINK("https://careerviet.vn/vi/tim-viec-lam/rach-gia-ha-tien-ke-toan-ban-hang.35C6CDB5.html","Xem chi tiết")</f>
        <v/>
      </c>
      <c r="M6646" s="10" t="n"/>
    </row>
    <row r="6647">
      <c r="B6647" s="7" t="n">
        <v>6645</v>
      </c>
      <c r="C6647" t="inlineStr">
        <is>
          <t>[Bến Tre, Ba Tri, Bình Đại] Kế Toán Bán Hàng(Mới)</t>
        </is>
      </c>
      <c r="D6647" t="inlineStr">
        <is>
          <t>Công Ty TNHH XNK Phát Triển Đông Dương</t>
        </is>
      </c>
      <c r="E6647" t="inlineStr">
        <is>
          <t>Lương:9 Tr - 15 Tr VND</t>
        </is>
      </c>
      <c r="F6647" t="inlineStr">
        <is>
          <t>Bến Tre</t>
        </is>
      </c>
      <c r="G6647" t="inlineStr">
        <is>
          <t>20-04-2026</t>
        </is>
      </c>
      <c r="H6647" t="inlineStr">
        <is>
          <t>20/04/2026</t>
        </is>
      </c>
      <c r="I6647" t="inlineStr">
        <is>
          <t>17/03/2026</t>
        </is>
      </c>
      <c r="J6647" t="inlineStr">
        <is>
          <t>Kế toán / Kiểm toán, Bán lẻ / Bán sỉ, Bán hàng / Kinh doanh</t>
        </is>
      </c>
      <c r="K6647" t="inlineStr">
        <is>
          <t>1 - 3 Năm</t>
        </is>
      </c>
      <c r="L6647" s="8">
        <f>HYPERLINK("https://careerviet.vn/vi/tim-viec-lam/ben-tre-ba-tri-binh-dai-ke-toan-ban-hang.35C6CDAE.html","Xem chi tiết")</f>
        <v/>
      </c>
    </row>
    <row r="6648">
      <c r="B6648" s="9" t="n">
        <v>6646</v>
      </c>
      <c r="C6648" s="10" t="inlineStr">
        <is>
          <t>Nhân viên IT Helpdesk(Mới)</t>
        </is>
      </c>
      <c r="D6648" s="10" t="inlineStr">
        <is>
          <t>BỆNH VIỆN ĐA KHOA PHƯƠNG ĐÔNG</t>
        </is>
      </c>
      <c r="E6648" s="10" t="inlineStr">
        <is>
          <t>Lương:Cạnh tranh</t>
        </is>
      </c>
      <c r="F6648" s="10" t="inlineStr">
        <is>
          <t>Hà Nội</t>
        </is>
      </c>
      <c r="G6648" s="10" t="inlineStr">
        <is>
          <t>30-04-2026</t>
        </is>
      </c>
      <c r="H6648" s="10" t="inlineStr">
        <is>
          <t>30/04/2026</t>
        </is>
      </c>
      <c r="I6648" s="10" t="inlineStr">
        <is>
          <t>17/03/2026</t>
        </is>
      </c>
      <c r="J6648" s="10" t="inlineStr">
        <is>
          <t>CNTT - Phần cứng / Mạng</t>
        </is>
      </c>
      <c r="K6648" s="10" t="inlineStr">
        <is>
          <t>1 - 3 Năm</t>
        </is>
      </c>
      <c r="L6648" s="11">
        <f>HYPERLINK("https://careerviet.vn/vi/tim-viec-lam/nhan-vien-it-helpdesk.35C6CDAF.html","Xem chi tiết")</f>
        <v/>
      </c>
      <c r="M6648" s="10" t="n"/>
    </row>
    <row r="6649">
      <c r="B6649" s="7" t="n">
        <v>6647</v>
      </c>
      <c r="C6649" t="inlineStr">
        <is>
          <t>TRƯỞNG NHÓM KỸ SƯ TRẮC ĐẠC (Dự án TPHCM &amp; vùng lân cận)</t>
        </is>
      </c>
      <c r="D6649" t="inlineStr">
        <is>
          <t>Công ty Cổ phần Tập đoàn Đầu tư Nắng Ban Mai</t>
        </is>
      </c>
      <c r="E6649" t="inlineStr">
        <is>
          <t>Lương:20 Tr - 25 Tr VND</t>
        </is>
      </c>
      <c r="F6649" t="inlineStr">
        <is>
          <t>Hồ Chí Minh</t>
        </is>
      </c>
      <c r="G6649" t="inlineStr">
        <is>
          <t>29-03-2026</t>
        </is>
      </c>
      <c r="H6649" t="inlineStr">
        <is>
          <t>29/03/2026</t>
        </is>
      </c>
      <c r="I6649" t="inlineStr">
        <is>
          <t>17/03/2026</t>
        </is>
      </c>
      <c r="J6649" t="inlineStr">
        <is>
          <t>Kiến trúc, Xây dựng, Bất động sản</t>
        </is>
      </c>
      <c r="K6649" t="inlineStr">
        <is>
          <t>3 - 5 Năm</t>
        </is>
      </c>
      <c r="L6649" s="8">
        <f>HYPERLINK("https://careerviet.vn/vi/tim-viec-lam/truong-nhom-ky-su-trac-dac-du-an-tphcm-vung-lan-can.35C66CAF.html","Xem chi tiết")</f>
        <v/>
      </c>
    </row>
    <row r="6650">
      <c r="B6650" s="9" t="n">
        <v>6648</v>
      </c>
      <c r="C6650" s="10" t="inlineStr">
        <is>
          <t>[Hồ Chí Minh] Kế Toán Bán Hàng(Mới)</t>
        </is>
      </c>
      <c r="D6650" s="10" t="inlineStr">
        <is>
          <t>Công Ty TNHH XNK Phát Triển Đông Dương</t>
        </is>
      </c>
      <c r="E6650" s="10" t="inlineStr">
        <is>
          <t>Lương:9 Tr - 15 Tr VND</t>
        </is>
      </c>
      <c r="F6650" s="10" t="inlineStr">
        <is>
          <t>Hồ Chí Minh</t>
        </is>
      </c>
      <c r="G6650" s="10" t="inlineStr">
        <is>
          <t>20-04-2026</t>
        </is>
      </c>
      <c r="H6650" s="10" t="inlineStr">
        <is>
          <t>20/04/2026</t>
        </is>
      </c>
      <c r="I6650" s="10" t="inlineStr">
        <is>
          <t>17/03/2026</t>
        </is>
      </c>
      <c r="J6650" s="10" t="inlineStr">
        <is>
          <t>Kế toán / Kiểm toán, Bán lẻ / Bán sỉ, Bán hàng / Kinh doanh</t>
        </is>
      </c>
      <c r="K6650" s="10" t="inlineStr">
        <is>
          <t>1 - 3 Năm</t>
        </is>
      </c>
      <c r="L6650" s="11">
        <f>HYPERLINK("https://careerviet.vn/vi/tim-viec-lam/ho-chi-minh-ke-toan-ban-hang.35C6CDB2.html","Xem chi tiết")</f>
        <v/>
      </c>
      <c r="M6650" s="10" t="n"/>
    </row>
    <row r="6651">
      <c r="B6651" s="7" t="n">
        <v>6649</v>
      </c>
      <c r="C6651" t="inlineStr">
        <is>
          <t>[Gò Công, Cái Bè, Cai Lậy] Kế Toán Bán Hàng(Mới)</t>
        </is>
      </c>
      <c r="D6651" t="inlineStr">
        <is>
          <t>Công Ty TNHH XNK Phát Triển Đông Dương</t>
        </is>
      </c>
      <c r="E6651" t="inlineStr">
        <is>
          <t>Lương:9 Tr - 15 Tr VND</t>
        </is>
      </c>
      <c r="F6651" t="inlineStr">
        <is>
          <t>Tiền Giang</t>
        </is>
      </c>
      <c r="G6651" t="inlineStr">
        <is>
          <t>20-04-2026</t>
        </is>
      </c>
      <c r="H6651" t="inlineStr">
        <is>
          <t>20/04/2026</t>
        </is>
      </c>
      <c r="I6651" t="inlineStr">
        <is>
          <t>17/03/2026</t>
        </is>
      </c>
      <c r="J6651" t="inlineStr">
        <is>
          <t>Kế toán / Kiểm toán, Bán lẻ / Bán sỉ, Bán hàng / Kinh doanh</t>
        </is>
      </c>
      <c r="K6651" t="inlineStr">
        <is>
          <t>1 - 3 Năm</t>
        </is>
      </c>
      <c r="L6651" s="8">
        <f>HYPERLINK("https://careerviet.vn/vi/tim-viec-lam/go-cong-cai-be-cai-lay-ke-toan-ban-hang.35C6CDA6.html","Xem chi tiết")</f>
        <v/>
      </c>
    </row>
    <row r="6652">
      <c r="B6652" s="9" t="n">
        <v>6650</v>
      </c>
      <c r="C6652" s="10" t="inlineStr">
        <is>
          <t>Nhân viên Bảo trì Điện nước</t>
        </is>
      </c>
      <c r="D6652" s="10" t="inlineStr">
        <is>
          <t>Công ty Cổ phần Tập đoàn Hoa Sen</t>
        </is>
      </c>
      <c r="E6652" s="10" t="inlineStr">
        <is>
          <t>Lương:Cạnh tranh</t>
        </is>
      </c>
      <c r="F6652" s="10" t="inlineStr">
        <is>
          <t>Lâm Đồng</t>
        </is>
      </c>
      <c r="G6652" s="10" t="inlineStr">
        <is>
          <t>27-03-2026</t>
        </is>
      </c>
      <c r="H6652" s="10" t="inlineStr">
        <is>
          <t>27/03/2026</t>
        </is>
      </c>
      <c r="I6652" s="10" t="inlineStr">
        <is>
          <t>17/03/2026</t>
        </is>
      </c>
      <c r="J6652" s="10" t="inlineStr">
        <is>
          <t>Bảo trì / Sửa chữa, Kiến trúc, Xây dựng</t>
        </is>
      </c>
      <c r="K6652" s="10" t="inlineStr">
        <is>
          <t>2 - 3 Năm</t>
        </is>
      </c>
      <c r="L6652" s="11">
        <f>HYPERLINK("https://careerviet.vn/vi/tim-viec-lam/nhan-vien-bao-tri-dien-nuoc.35C668A0.html","Xem chi tiết")</f>
        <v/>
      </c>
      <c r="M6652" s="10" t="n"/>
    </row>
    <row r="6653">
      <c r="B6653" s="7" t="n">
        <v>6651</v>
      </c>
      <c r="C6653" t="inlineStr">
        <is>
          <t>Kỹ sư Cơ Điện (MEP)</t>
        </is>
      </c>
      <c r="D6653" t="inlineStr">
        <is>
          <t>Công ty Cổ phần Tập đoàn Hoa Sen</t>
        </is>
      </c>
      <c r="E6653" t="inlineStr">
        <is>
          <t>Lương:Cạnh tranh</t>
        </is>
      </c>
      <c r="F6653" t="inlineStr">
        <is>
          <t>Lâm Đồng</t>
        </is>
      </c>
      <c r="G6653" t="inlineStr">
        <is>
          <t>27-03-2026</t>
        </is>
      </c>
      <c r="H6653" t="inlineStr">
        <is>
          <t>27/03/2026</t>
        </is>
      </c>
      <c r="I6653" t="inlineStr">
        <is>
          <t>17/03/2026</t>
        </is>
      </c>
      <c r="J6653" t="inlineStr">
        <is>
          <t>Bất động sản, Kiến trúc, Xây dựng</t>
        </is>
      </c>
      <c r="K6653" t="inlineStr">
        <is>
          <t>3 - 5 Năm</t>
        </is>
      </c>
      <c r="L6653" s="8">
        <f>HYPERLINK("https://careerviet.vn/vi/tim-viec-lam/ky-su-co-dien-mep.35C6687B.html","Xem chi tiết")</f>
        <v/>
      </c>
    </row>
    <row r="6654">
      <c r="B6654" s="9" t="n">
        <v>6652</v>
      </c>
      <c r="C6654" s="10" t="inlineStr">
        <is>
          <t>Nhân viên thủ kho(Mới)</t>
        </is>
      </c>
      <c r="D6654" s="10" t="inlineStr">
        <is>
          <t>Công Ty TNHH XNK Phát Triển Đông Dương</t>
        </is>
      </c>
      <c r="E6654" s="10" t="inlineStr">
        <is>
          <t>Lương:12 Tr - 15 Tr VND</t>
        </is>
      </c>
      <c r="F6654" s="10" t="inlineStr">
        <is>
          <t>Long An</t>
        </is>
      </c>
      <c r="G6654" s="10" t="inlineStr">
        <is>
          <t>18-04-2026</t>
        </is>
      </c>
      <c r="H6654" s="10" t="inlineStr">
        <is>
          <t>18/04/2026</t>
        </is>
      </c>
      <c r="I6654" s="10" t="inlineStr">
        <is>
          <t>17/03/2026</t>
        </is>
      </c>
      <c r="J6654" s="10" t="inlineStr">
        <is>
          <t>Vận chuyển / Giao nhận / Kho vận, Kế toán / Kiểm toán</t>
        </is>
      </c>
      <c r="K6654" s="10" t="inlineStr">
        <is>
          <t>2 - 3 Năm</t>
        </is>
      </c>
      <c r="L6654" s="11">
        <f>HYPERLINK("https://careerviet.vn/vi/tim-viec-lam/nhan-vien-thu-kho.35C6CDB0.html","Xem chi tiết")</f>
        <v/>
      </c>
      <c r="M6654" s="10" t="n"/>
    </row>
    <row r="6655">
      <c r="B6655" s="7" t="n">
        <v>6653</v>
      </c>
      <c r="C6655" t="inlineStr">
        <is>
          <t>TRƯỞNG NHÓM KỸ SƯ DỰ TOÁN (HỒ CHÍ MINH)</t>
        </is>
      </c>
      <c r="D6655" t="inlineStr">
        <is>
          <t>Công ty Cổ phần Tập đoàn Đầu tư Nắng Ban Mai</t>
        </is>
      </c>
      <c r="E6655" t="inlineStr">
        <is>
          <t>Lương:20 Tr - 25 Tr VND</t>
        </is>
      </c>
      <c r="F6655" t="inlineStr">
        <is>
          <t>Hồ Chí Minh</t>
        </is>
      </c>
      <c r="G6655" t="inlineStr">
        <is>
          <t>29-03-2026</t>
        </is>
      </c>
      <c r="H6655" t="inlineStr">
        <is>
          <t>29/03/2026</t>
        </is>
      </c>
      <c r="I6655" t="inlineStr">
        <is>
          <t>17/03/2026</t>
        </is>
      </c>
      <c r="J6655" t="inlineStr">
        <is>
          <t>Kiến trúc, Xây dựng, Bất động sản</t>
        </is>
      </c>
      <c r="K6655" t="inlineStr">
        <is>
          <t>3 - 5 Năm</t>
        </is>
      </c>
      <c r="L6655" s="8">
        <f>HYPERLINK("https://careerviet.vn/vi/tim-viec-lam/truong-nhom-ky-su-du-toan-ho-chi-minh.35C66CB4.html","Xem chi tiết")</f>
        <v/>
      </c>
    </row>
    <row r="6656">
      <c r="B6656" s="9" t="n">
        <v>6654</v>
      </c>
      <c r="C6656" s="10" t="inlineStr">
        <is>
          <t>Trưởng Nhóm Thiết Kế Kết Cấu</t>
        </is>
      </c>
      <c r="D6656" s="10" t="inlineStr">
        <is>
          <t>CÔNG TY TNHH THƯƠNG MẠI XÂY DỰNG ĐOÀN LỰC</t>
        </is>
      </c>
      <c r="E6656" s="10" t="inlineStr">
        <is>
          <t>Lương:Cạnh tranh</t>
        </is>
      </c>
      <c r="F6656" s="10" t="inlineStr">
        <is>
          <t>Hồ Chí Minh</t>
        </is>
      </c>
      <c r="G6656" s="10" t="inlineStr">
        <is>
          <t>12-04-2026</t>
        </is>
      </c>
      <c r="H6656" s="10" t="inlineStr">
        <is>
          <t>12/04/2026</t>
        </is>
      </c>
      <c r="I6656" s="10" t="inlineStr">
        <is>
          <t>17/03/2026</t>
        </is>
      </c>
      <c r="J6656" s="10" t="inlineStr">
        <is>
          <t>Mỹ thuật / Nghệ thuật / Thiết kế, Xây dựng</t>
        </is>
      </c>
      <c r="K6656" s="10" t="inlineStr">
        <is>
          <t>2 - 3 Năm</t>
        </is>
      </c>
      <c r="L6656" s="11">
        <f>HYPERLINK("https://careerviet.vn/vi/tim-viec-lam/truong-nhom-thiet-ke-ket-cau.35C654E8.html","Xem chi tiết")</f>
        <v/>
      </c>
      <c r="M6656" s="10" t="n"/>
    </row>
    <row r="6657">
      <c r="B6657" s="7" t="n">
        <v>6655</v>
      </c>
      <c r="C6657" t="inlineStr">
        <is>
          <t>Cửa Hàng Phó [Bình Thạnh]</t>
        </is>
      </c>
      <c r="D6657" t="inlineStr">
        <is>
          <t>CÔNG TY TNHH SOCIAL BELLA VIỆT NAM</t>
        </is>
      </c>
      <c r="E6657" t="inlineStr">
        <is>
          <t>Lương:Cạnh tranh</t>
        </is>
      </c>
      <c r="F6657" t="inlineStr">
        <is>
          <t>Hồ Chí Minh</t>
        </is>
      </c>
      <c r="G6657" t="inlineStr">
        <is>
          <t>6</t>
        </is>
      </c>
      <c r="H6657" t="inlineStr">
        <is>
          <t>23/03/2026</t>
        </is>
      </c>
      <c r="I6657" t="inlineStr">
        <is>
          <t>17/03/2026</t>
        </is>
      </c>
      <c r="J6657" t="inlineStr">
        <is>
          <t>Bán lẻ / Bán sỉ, Bán hàng / Kinh doanh</t>
        </is>
      </c>
      <c r="K6657" t="inlineStr">
        <is>
          <t>1 - 2 Năm</t>
        </is>
      </c>
      <c r="L6657" s="8">
        <f>HYPERLINK("https://careerviet.vn/vi/tim-viec-lam/cua-hang-pho-binh-thanh.35C66618.html","Xem chi tiết")</f>
        <v/>
      </c>
    </row>
    <row r="6658">
      <c r="B6658" s="9" t="n">
        <v>6656</v>
      </c>
      <c r="C6658" s="10" t="inlineStr">
        <is>
          <t>Senior Designer</t>
        </is>
      </c>
      <c r="D6658" s="10" t="inlineStr">
        <is>
          <t>CÔNG TY CỔ PHẦN OROTECH</t>
        </is>
      </c>
      <c r="E6658" s="10" t="inlineStr">
        <is>
          <t>Lương:Cạnh tranh</t>
        </is>
      </c>
      <c r="F6658" s="10" t="inlineStr">
        <is>
          <t>Hồ Chí Minh</t>
        </is>
      </c>
      <c r="G6658" s="10" t="inlineStr">
        <is>
          <t>15-04-2026</t>
        </is>
      </c>
      <c r="H6658" s="10" t="inlineStr">
        <is>
          <t>15/04/2026</t>
        </is>
      </c>
      <c r="I6658" s="10" t="inlineStr">
        <is>
          <t>17/03/2026</t>
        </is>
      </c>
      <c r="J6658" s="10" t="inlineStr">
        <is>
          <t>Tiếp thị / Marketing, Thương mại điện tử, Mỹ thuật / Nghệ thuật / Thiết kế</t>
        </is>
      </c>
      <c r="K6658" s="10" t="inlineStr">
        <is>
          <t>3 - 4 Năm</t>
        </is>
      </c>
      <c r="L6658" s="11">
        <f>HYPERLINK("https://careerviet.vn/vi/tim-viec-lam/senior-designer.35C65AC1.html","Xem chi tiết")</f>
        <v/>
      </c>
      <c r="M6658" s="10" t="n"/>
    </row>
    <row r="6659">
      <c r="B6659" s="7" t="n">
        <v>6657</v>
      </c>
      <c r="C6659" t="inlineStr">
        <is>
          <t>NHÂN VIÊN QUẢN LÝ NHÀ CUNG CẤP (Mua hàng)</t>
        </is>
      </c>
      <c r="D6659" t="inlineStr">
        <is>
          <t>CÔNG TY CỔ PHẦN OROTECH</t>
        </is>
      </c>
      <c r="E6659" t="inlineStr">
        <is>
          <t>Lương:Cạnh tranh</t>
        </is>
      </c>
      <c r="F6659" t="inlineStr">
        <is>
          <t>Hồ Chí Minh</t>
        </is>
      </c>
      <c r="G6659" t="inlineStr">
        <is>
          <t>15-04-2026</t>
        </is>
      </c>
      <c r="H6659" t="inlineStr">
        <is>
          <t>15/04/2026</t>
        </is>
      </c>
      <c r="I6659" t="inlineStr">
        <is>
          <t>17/03/2026</t>
        </is>
      </c>
      <c r="J6659" t="inlineStr">
        <is>
          <t>Bán hàng / Kinh doanh, Thương mại điện tử, Thu mua / Vật tư</t>
        </is>
      </c>
      <c r="K6659" t="inlineStr">
        <is>
          <t>Trên 3 Năm</t>
        </is>
      </c>
      <c r="L6659" s="8">
        <f>HYPERLINK("https://careerviet.vn/vi/tim-viec-lam/nhan-vien-quan-ly-nha-cung-cap-mua-hang.35C65B0C.html","Xem chi tiết")</f>
        <v/>
      </c>
    </row>
    <row r="6660">
      <c r="B6660" s="9" t="n">
        <v>6658</v>
      </c>
      <c r="C6660" s="10" t="inlineStr">
        <is>
          <t>Kế Toán Tổng Hợp</t>
        </is>
      </c>
      <c r="D6660" s="10" t="inlineStr">
        <is>
          <t>CÔNG TY TNHH HAPPY CORP</t>
        </is>
      </c>
      <c r="E6660" s="10" t="inlineStr">
        <is>
          <t>Lương:Cạnh tranh</t>
        </is>
      </c>
      <c r="F6660" s="10" t="inlineStr">
        <is>
          <t>Hồ Chí Minh</t>
        </is>
      </c>
      <c r="G6660" s="10" t="inlineStr">
        <is>
          <t>13-04-2026</t>
        </is>
      </c>
      <c r="H6660" s="10" t="inlineStr">
        <is>
          <t>13/04/2026</t>
        </is>
      </c>
      <c r="I6660" s="10" t="inlineStr">
        <is>
          <t>17/03/2026</t>
        </is>
      </c>
      <c r="J6660" s="10" t="inlineStr">
        <is>
          <t>Kế toán / Kiểm toán, Ngân hàng, Tài chính / Đầu tư</t>
        </is>
      </c>
      <c r="K6660" s="10" t="inlineStr">
        <is>
          <t>2 - 3 Năm</t>
        </is>
      </c>
      <c r="L6660" s="11">
        <f>HYPERLINK("https://careerviet.vn/vi/tim-viec-lam/ke-toan-tong-hop.35C65685.html","Xem chi tiết")</f>
        <v/>
      </c>
      <c r="M6660" s="10" t="n"/>
    </row>
    <row r="6661">
      <c r="B6661" s="7" t="n">
        <v>6659</v>
      </c>
      <c r="C6661" t="inlineStr">
        <is>
          <t>Dược sĩ tư vấn</t>
        </is>
      </c>
      <c r="D6661" t="inlineStr">
        <is>
          <t>Công ty TNHH TMDV An Khanh Health &amp; Lifestyle</t>
        </is>
      </c>
      <c r="E6661" t="inlineStr">
        <is>
          <t>Lương:Cạnh tranh</t>
        </is>
      </c>
      <c r="F6661" t="inlineStr">
        <is>
          <t>Dak Lak</t>
        </is>
      </c>
      <c r="G6661" t="inlineStr">
        <is>
          <t>07-04-2026</t>
        </is>
      </c>
      <c r="H6661" t="inlineStr">
        <is>
          <t>07/04/2026</t>
        </is>
      </c>
      <c r="I6661" t="inlineStr">
        <is>
          <t>17/03/2026</t>
        </is>
      </c>
      <c r="J6661" t="inlineStr">
        <is>
          <t>Dược phẩm/ Hóa Mỹ Phẩm, Y tế / Chăm sóc sức khỏe / Thẩm mỹ / Làm đẹp, Tư vấn</t>
        </is>
      </c>
      <c r="K6661" t="inlineStr">
        <is>
          <t>Chưa có kinh nghiệm</t>
        </is>
      </c>
      <c r="L6661" s="8">
        <f>HYPERLINK("https://careerviet.vn/vi/tim-viec-lam/duoc-si-tu-van.35C64CCB.html","Xem chi tiết")</f>
        <v/>
      </c>
    </row>
    <row r="6662">
      <c r="B6662" s="9" t="n">
        <v>6660</v>
      </c>
      <c r="C6662" s="10" t="inlineStr">
        <is>
          <t>Nhân viên phiên dịch tiếng Hàn</t>
        </is>
      </c>
      <c r="D6662" s="10" t="inlineStr">
        <is>
          <t>Công Ty TNHH Công Nghiệp Kolon Bình Dương</t>
        </is>
      </c>
      <c r="E6662" s="10" t="inlineStr">
        <is>
          <t>Lương:18 Tr - 20 Tr VND</t>
        </is>
      </c>
      <c r="F6662" s="10" t="inlineStr">
        <is>
          <t>Bình Dương</t>
        </is>
      </c>
      <c r="G6662" s="10" t="inlineStr">
        <is>
          <t>31-03-2026</t>
        </is>
      </c>
      <c r="H6662" s="10" t="inlineStr">
        <is>
          <t>31/03/2026</t>
        </is>
      </c>
      <c r="I6662" s="10" t="inlineStr">
        <is>
          <t>17/03/2026</t>
        </is>
      </c>
      <c r="J6662" s="10" t="inlineStr">
        <is>
          <t>Giáo dục / Đào tạo, Hành chính / Thư ký, Biên phiên dịch</t>
        </is>
      </c>
      <c r="K6662" s="10" t="inlineStr">
        <is>
          <t>1 - 2 Năm</t>
        </is>
      </c>
      <c r="L6662" s="11">
        <f>HYPERLINK("https://careerviet.vn/vi/tim-viec-lam/nhan-vien-phien-dich-tieng-han.35C645E3.html","Xem chi tiết")</f>
        <v/>
      </c>
      <c r="M6662" s="10" t="n"/>
    </row>
    <row r="6663">
      <c r="B6663" s="7" t="n">
        <v>6661</v>
      </c>
      <c r="C6663" t="inlineStr">
        <is>
          <t>KẾ TOÁN CÔNG NỢ</t>
        </is>
      </c>
      <c r="D6663" t="inlineStr">
        <is>
          <t>SANAKY MIỀN BẮC</t>
        </is>
      </c>
      <c r="E6663" t="inlineStr">
        <is>
          <t>Lương:Cạnh tranh</t>
        </is>
      </c>
      <c r="F6663" t="inlineStr">
        <is>
          <t>Hà Nội</t>
        </is>
      </c>
      <c r="G6663" t="inlineStr">
        <is>
          <t>12-04-2026</t>
        </is>
      </c>
      <c r="H6663" t="inlineStr">
        <is>
          <t>12/04/2026</t>
        </is>
      </c>
      <c r="I6663" t="inlineStr">
        <is>
          <t>17/03/2026</t>
        </is>
      </c>
      <c r="J6663" t="inlineStr">
        <is>
          <t>Kế toán / Kiểm toán, Điện / Điện tử / Điện lạnh / Điện công nghiệp, Tài chính / Đầu tư</t>
        </is>
      </c>
      <c r="K6663" t="inlineStr">
        <is>
          <t>1 - 2 Năm</t>
        </is>
      </c>
      <c r="L6663" s="8">
        <f>HYPERLINK("https://careerviet.vn/vi/tim-viec-lam/ke-toan-cong-no.35C65369.html","Xem chi tiết")</f>
        <v/>
      </c>
    </row>
    <row r="6664">
      <c r="B6664" s="9" t="n">
        <v>6662</v>
      </c>
      <c r="C6664" s="10" t="inlineStr">
        <is>
          <t>Debug/Troubleshooting Technician(Mới)</t>
        </is>
      </c>
      <c r="D6664" s="10" t="inlineStr">
        <is>
          <t>XP Power  Vietnam</t>
        </is>
      </c>
      <c r="E6664" s="10" t="inlineStr">
        <is>
          <t>Lương:Cạnh tranh</t>
        </is>
      </c>
      <c r="F6664" s="10" t="inlineStr">
        <is>
          <t>Bình Dương</t>
        </is>
      </c>
      <c r="G6664" s="10" t="inlineStr">
        <is>
          <t>17-04-2026</t>
        </is>
      </c>
      <c r="H6664" s="10" t="inlineStr">
        <is>
          <t>17/04/2026</t>
        </is>
      </c>
      <c r="I6664" s="10" t="inlineStr">
        <is>
          <t>17/03/2026</t>
        </is>
      </c>
      <c r="J6664" s="10" t="inlineStr">
        <is>
          <t>Điện / Điện tử / Điện lạnh / Điện công nghiệp</t>
        </is>
      </c>
      <c r="K6664" s="10" t="inlineStr">
        <is>
          <t>1 - 2 Năm</t>
        </is>
      </c>
      <c r="L6664" s="11">
        <f>HYPERLINK("https://careerviet.vn/vi/tim-viec-lam/debug-troubleshooting-technician.35C6CDBF.html","Xem chi tiết")</f>
        <v/>
      </c>
      <c r="M6664" s="10" t="n"/>
    </row>
    <row r="6665">
      <c r="B6665" s="7" t="n">
        <v>6663</v>
      </c>
      <c r="C6665" t="inlineStr">
        <is>
          <t>Nhân Viên Kinh Doanh</t>
        </is>
      </c>
      <c r="D6665" t="inlineStr">
        <is>
          <t>CÔNG TY TNHH THIẾT BỊ KỸ THUẬT KHỞI MINH</t>
        </is>
      </c>
      <c r="E6665" t="inlineStr">
        <is>
          <t>Lương:7 Tr - 12 Tr VND</t>
        </is>
      </c>
      <c r="F6665" t="inlineStr">
        <is>
          <t>Hồ Chí Minh</t>
        </is>
      </c>
      <c r="G6665" t="inlineStr">
        <is>
          <t>05-04-2026</t>
        </is>
      </c>
      <c r="H6665" t="inlineStr">
        <is>
          <t>05/04/2026</t>
        </is>
      </c>
      <c r="I6665" t="inlineStr">
        <is>
          <t>17/03/2026</t>
        </is>
      </c>
      <c r="J6665" t="inlineStr">
        <is>
          <t>Bán Hàng Kỹ Thuật, Mới tốt nghiệp / Thực tập, Bán hàng / Kinh doanh</t>
        </is>
      </c>
      <c r="K6665" t="inlineStr">
        <is>
          <t>N/A</t>
        </is>
      </c>
      <c r="L6665" s="8">
        <f>HYPERLINK("https://careerviet.vn/vi/tim-viec-lam/nhan-vien-kinh-doanh.35C64BF6.html","Xem chi tiết")</f>
        <v/>
      </c>
    </row>
    <row r="6666">
      <c r="B6666" s="9" t="n">
        <v>6664</v>
      </c>
      <c r="C6666" s="10" t="inlineStr">
        <is>
          <t>Trưởng Phòng Mua Hàng</t>
        </is>
      </c>
      <c r="D6666" s="10" t="inlineStr">
        <is>
          <t>SANAKY MIỀN BẮC</t>
        </is>
      </c>
      <c r="E6666" s="10" t="inlineStr">
        <is>
          <t>Lương:20 Tr - 40 Tr VND</t>
        </is>
      </c>
      <c r="F6666" s="10" t="inlineStr">
        <is>
          <t>Hà Nội</t>
        </is>
      </c>
      <c r="G6666" s="10" t="inlineStr">
        <is>
          <t>12-04-2026</t>
        </is>
      </c>
      <c r="H6666" s="10" t="inlineStr">
        <is>
          <t>12/04/2026</t>
        </is>
      </c>
      <c r="I6666" s="10" t="inlineStr">
        <is>
          <t>17/03/2026</t>
        </is>
      </c>
      <c r="J6666" s="10" t="inlineStr">
        <is>
          <t>Xuất nhập khẩu, Thu mua / Vật tư, Tiếp thị / Marketing</t>
        </is>
      </c>
      <c r="K6666" s="10" t="inlineStr">
        <is>
          <t>5 - 7 Năm</t>
        </is>
      </c>
      <c r="L6666" s="11">
        <f>HYPERLINK("https://careerviet.vn/vi/tim-viec-lam/truong-phong-mua-hang.35C65364.html","Xem chi tiết")</f>
        <v/>
      </c>
      <c r="M6666" s="10" t="n"/>
    </row>
    <row r="6667">
      <c r="B6667" s="7" t="n">
        <v>6665</v>
      </c>
      <c r="C6667" t="inlineStr">
        <is>
          <t>Kế Toán Quản trị Nội Bộ (Y/C Đi Công Tác Nhà Máy Khi Cần)</t>
        </is>
      </c>
      <c r="D6667" t="inlineStr">
        <is>
          <t>SANAKY MIỀN BẮC</t>
        </is>
      </c>
      <c r="E6667" t="inlineStr">
        <is>
          <t>Lương:15 Tr - 20 Tr VND</t>
        </is>
      </c>
      <c r="F6667" t="inlineStr">
        <is>
          <t>Hà Nội</t>
        </is>
      </c>
      <c r="G6667" t="inlineStr">
        <is>
          <t>12-04-2026</t>
        </is>
      </c>
      <c r="H6667" t="inlineStr">
        <is>
          <t>12/04/2026</t>
        </is>
      </c>
      <c r="I6667" t="inlineStr">
        <is>
          <t>17/03/2026</t>
        </is>
      </c>
      <c r="J6667" t="inlineStr">
        <is>
          <t>Kế toán / Kiểm toán, Thống kê, Tài chính / Đầu tư</t>
        </is>
      </c>
      <c r="K6667" t="inlineStr">
        <is>
          <t>3 - 5 Năm</t>
        </is>
      </c>
      <c r="L6667" s="8">
        <f>HYPERLINK("https://careerviet.vn/vi/tim-viec-lam/ke-toan-quan-tri-noi-bo-y-c-di-cong-tac-nha-may-khi-can.35C6536C.html","Xem chi tiết")</f>
        <v/>
      </c>
    </row>
    <row r="6668">
      <c r="B6668" s="9" t="n">
        <v>6666</v>
      </c>
      <c r="C6668" s="10" t="inlineStr">
        <is>
          <t>Nhân Viên Kinh Doanh - Thiết Bị Kỹ Thuật</t>
        </is>
      </c>
      <c r="D6668" s="10" t="inlineStr">
        <is>
          <t>CÔNG TY CỔ PHẦN GIẢI PHÁP VPOWER</t>
        </is>
      </c>
      <c r="E6668" s="10" t="inlineStr">
        <is>
          <t>Lương:Cạnh tranh</t>
        </is>
      </c>
      <c r="F6668" s="10" t="inlineStr">
        <is>
          <t>Hồ Chí Minh</t>
        </is>
      </c>
      <c r="G6668" s="10" t="inlineStr">
        <is>
          <t>09-04-2026</t>
        </is>
      </c>
      <c r="H6668" s="10" t="inlineStr">
        <is>
          <t>09/04/2026</t>
        </is>
      </c>
      <c r="I6668" s="10" t="inlineStr">
        <is>
          <t>17/03/2026</t>
        </is>
      </c>
      <c r="J6668" s="10" t="inlineStr">
        <is>
          <t>Bán hàng / Kinh doanh, Điện / Điện tử / Điện lạnh / Điện công nghiệp, Cơ khí / Ô tô / Tự động hóa</t>
        </is>
      </c>
      <c r="K6668" s="10" t="inlineStr">
        <is>
          <t>N/A</t>
        </is>
      </c>
      <c r="L6668" s="11">
        <f>HYPERLINK("https://careerviet.vn/vi/tim-viec-lam/nhan-vien-kinh-doanh-thiet-bi-ky-thuat.35C650DB.html","Xem chi tiết")</f>
        <v/>
      </c>
      <c r="M6668" s="10" t="n"/>
    </row>
    <row r="6669">
      <c r="B6669" s="7" t="n">
        <v>6667</v>
      </c>
      <c r="C6669" t="inlineStr">
        <is>
          <t>Nhân viên Bán hàng Showroom</t>
        </is>
      </c>
      <c r="D6669" t="inlineStr">
        <is>
          <t>Công ty Cổ phần Tập đoàn Hoa Sen</t>
        </is>
      </c>
      <c r="E6669" t="inlineStr">
        <is>
          <t>Lương:Cạnh tranh</t>
        </is>
      </c>
      <c r="F6669" t="inlineStr">
        <is>
          <t>Hồ Chí Minh</t>
        </is>
      </c>
      <c r="G6669" t="inlineStr">
        <is>
          <t>6</t>
        </is>
      </c>
      <c r="H6669" t="inlineStr">
        <is>
          <t>23/03/2026</t>
        </is>
      </c>
      <c r="I6669" t="inlineStr">
        <is>
          <t>17/03/2026</t>
        </is>
      </c>
      <c r="J6669" t="inlineStr">
        <is>
          <t>Bán hàng / Kinh doanh, Bán lẻ / Bán sỉ, Nội ngoại thất</t>
        </is>
      </c>
      <c r="K6669" t="inlineStr">
        <is>
          <t>1 - 2 Năm</t>
        </is>
      </c>
      <c r="L6669" s="8">
        <f>HYPERLINK("https://careerviet.vn/vi/tim-viec-lam/nhan-vien-ban-hang-showroom.35C664AE.html","Xem chi tiết")</f>
        <v/>
      </c>
    </row>
    <row r="6670">
      <c r="B6670" s="9" t="n">
        <v>6668</v>
      </c>
      <c r="C6670" s="10" t="inlineStr">
        <is>
          <t>Kỹ sư Dự toán Xây dựng (QS)</t>
        </is>
      </c>
      <c r="D6670" s="10" t="inlineStr">
        <is>
          <t>Công ty Cổ phần Tập đoàn Hoa Sen</t>
        </is>
      </c>
      <c r="E6670" s="10" t="inlineStr">
        <is>
          <t>Lương:Cạnh tranh</t>
        </is>
      </c>
      <c r="F6670" s="10" t="inlineStr">
        <is>
          <t>Hồ Chí Minh</t>
        </is>
      </c>
      <c r="G6670" s="10" t="inlineStr">
        <is>
          <t>05-04-2026</t>
        </is>
      </c>
      <c r="H6670" s="10" t="inlineStr">
        <is>
          <t>05/04/2026</t>
        </is>
      </c>
      <c r="I6670" s="10" t="inlineStr">
        <is>
          <t>17/03/2026</t>
        </is>
      </c>
      <c r="J6670" s="10" t="inlineStr">
        <is>
          <t>Kiến trúc, Nội ngoại thất, Xây dựng</t>
        </is>
      </c>
      <c r="K6670" s="10" t="inlineStr">
        <is>
          <t>2 - 5 Năm</t>
        </is>
      </c>
      <c r="L6670" s="11">
        <f>HYPERLINK("https://careerviet.vn/vi/tim-viec-lam/ky-su-du-toan-xay-dung-qs.35C648F5.html","Xem chi tiết")</f>
        <v/>
      </c>
      <c r="M6670" s="10" t="n"/>
    </row>
    <row r="6671">
      <c r="B6671" s="7" t="n">
        <v>6669</v>
      </c>
      <c r="C6671" t="inlineStr">
        <is>
          <t>VJ / Video Content Creator</t>
        </is>
      </c>
      <c r="D6671" t="inlineStr">
        <is>
          <t>Công ty TNHH TMDV An Khanh Health &amp; Lifestyle</t>
        </is>
      </c>
      <c r="E6671" t="inlineStr">
        <is>
          <t>Lương:Cạnh tranh</t>
        </is>
      </c>
      <c r="F6671" t="inlineStr">
        <is>
          <t>Dak Lak</t>
        </is>
      </c>
      <c r="G6671" t="inlineStr">
        <is>
          <t>07-04-2026</t>
        </is>
      </c>
      <c r="H6671" t="inlineStr">
        <is>
          <t>07/04/2026</t>
        </is>
      </c>
      <c r="I6671" t="inlineStr">
        <is>
          <t>17/03/2026</t>
        </is>
      </c>
      <c r="J6671" t="inlineStr">
        <is>
          <t>Tiếp thị / Marketing, Truyền hình / Báo chí / Biên tập, Quảng cáo / Đối ngoại / Truyền Thông</t>
        </is>
      </c>
      <c r="K6671" t="inlineStr">
        <is>
          <t>Chưa có kinh nghiệm</t>
        </is>
      </c>
      <c r="L6671" s="8">
        <f>HYPERLINK("https://careerviet.vn/vi/tim-viec-lam/vj-video-content-creator.35C64CC8.html","Xem chi tiết")</f>
        <v/>
      </c>
    </row>
    <row r="6672">
      <c r="B6672" s="9" t="n">
        <v>6670</v>
      </c>
      <c r="C6672" s="10" t="inlineStr">
        <is>
          <t>Kỹ Sư Thiết Kế Cấp - Thoát Nước ( Dân Dụng)</t>
        </is>
      </c>
      <c r="D6672" s="10" t="inlineStr">
        <is>
          <t>CÔNG TY TNHH KHÔNG GIAN A&amp;A</t>
        </is>
      </c>
      <c r="E6672" s="10" t="inlineStr">
        <is>
          <t>Lương:12 Tr - 18 Tr VND</t>
        </is>
      </c>
      <c r="F6672" s="10" t="inlineStr">
        <is>
          <t>Hồ Chí Minh</t>
        </is>
      </c>
      <c r="G6672" s="10" t="inlineStr">
        <is>
          <t>1</t>
        </is>
      </c>
      <c r="H6672" s="10" t="inlineStr">
        <is>
          <t>18/03/2026</t>
        </is>
      </c>
      <c r="I6672" s="10" t="inlineStr">
        <is>
          <t>17/03/2026</t>
        </is>
      </c>
      <c r="J6672" s="10" t="inlineStr">
        <is>
          <t>Mỹ thuật / Nghệ thuật / Thiết kế, Cơ khí / Ô tô / Tự động hóa, Điện / Điện tử / Điện lạnh / Điện công nghiệp</t>
        </is>
      </c>
      <c r="K6672" s="10" t="inlineStr">
        <is>
          <t>Trên 1 Năm</t>
        </is>
      </c>
      <c r="L6672" s="11">
        <f>HYPERLINK("https://careerviet.vn/vi/tim-viec-lam/ky-su-thiet-ke-cap-thoat-nuoc-dan-dung.35C632CD.html","Xem chi tiết")</f>
        <v/>
      </c>
      <c r="M6672" s="10" t="n"/>
    </row>
    <row r="6673">
      <c r="B6673" s="7" t="n">
        <v>6671</v>
      </c>
      <c r="C6673" t="inlineStr">
        <is>
          <t>KẾ TOÁN  ( Thu ngân &amp; Xuất hóa đơn)</t>
        </is>
      </c>
      <c r="D6673" t="inlineStr">
        <is>
          <t>Vietnam Star Automobile</t>
        </is>
      </c>
      <c r="E6673" t="inlineStr">
        <is>
          <t>Lương:8 Tr - 15 Tr VND</t>
        </is>
      </c>
      <c r="F6673" t="inlineStr">
        <is>
          <t>Hồ Chí Minh</t>
        </is>
      </c>
      <c r="G6673" t="inlineStr">
        <is>
          <t>29-03-2026</t>
        </is>
      </c>
      <c r="H6673" t="inlineStr">
        <is>
          <t>29/03/2026</t>
        </is>
      </c>
      <c r="I6673" t="inlineStr">
        <is>
          <t>17/03/2026</t>
        </is>
      </c>
      <c r="J6673" t="inlineStr">
        <is>
          <t>Bán hàng / Kinh doanh, Kế toán / Kiểm toán, Cơ khí / Ô tô / Tự động hóa</t>
        </is>
      </c>
      <c r="K6673" t="inlineStr">
        <is>
          <t>2 - 3 Năm</t>
        </is>
      </c>
      <c r="L6673" s="8">
        <f>HYPERLINK("https://careerviet.vn/vi/tim-viec-lam/ke-toan-thu-ngan-xuat-hoa-don.35C64279.html","Xem chi tiết")</f>
        <v/>
      </c>
    </row>
    <row r="6674">
      <c r="B6674" s="9" t="n">
        <v>6672</v>
      </c>
      <c r="C6674" s="10" t="inlineStr">
        <is>
          <t>QA Technician (Customer)</t>
        </is>
      </c>
      <c r="D6674" s="10" t="inlineStr">
        <is>
          <t>Công Ty TNHH Công Nghiệp Kolon Bình Dương</t>
        </is>
      </c>
      <c r="E6674" s="10" t="inlineStr">
        <is>
          <t>Lương:10 Tr - 12 Tr VND</t>
        </is>
      </c>
      <c r="F6674" s="10" t="inlineStr">
        <is>
          <t>Bình Dương</t>
        </is>
      </c>
      <c r="G6674" s="10" t="inlineStr">
        <is>
          <t>31-03-2026</t>
        </is>
      </c>
      <c r="H6674" s="10" t="inlineStr">
        <is>
          <t>31/03/2026</t>
        </is>
      </c>
      <c r="I6674" s="10" t="inlineStr">
        <is>
          <t>17/03/2026</t>
        </is>
      </c>
      <c r="J6674" s="10" t="inlineStr">
        <is>
          <t>Công nghệ sinh học, Hóa học, Quản lý chất lượng (QA/QC)</t>
        </is>
      </c>
      <c r="K6674" s="10" t="inlineStr">
        <is>
          <t>2 - 3 Năm</t>
        </is>
      </c>
      <c r="L6674" s="11">
        <f>HYPERLINK("https://careerviet.vn/vi/tim-viec-lam/qa-technician-customer.35C645DC.html","Xem chi tiết")</f>
        <v/>
      </c>
      <c r="M6674" s="10" t="n"/>
    </row>
    <row r="6675">
      <c r="B6675" s="7" t="n">
        <v>6673</v>
      </c>
      <c r="C6675" t="inlineStr">
        <is>
          <t>KỸ SƯ KIẾN TRÚC</t>
        </is>
      </c>
      <c r="D6675" t="inlineStr">
        <is>
          <t>Công Ty TNHH Công Nghiệp Kolon Bình Dương</t>
        </is>
      </c>
      <c r="E6675" t="inlineStr">
        <is>
          <t>Lương:30 Tr - 40 Tr VND</t>
        </is>
      </c>
      <c r="F6675" t="inlineStr">
        <is>
          <t>Bình Dương</t>
        </is>
      </c>
      <c r="G6675" t="inlineStr">
        <is>
          <t>31-03-2026</t>
        </is>
      </c>
      <c r="H6675" t="inlineStr">
        <is>
          <t>31/03/2026</t>
        </is>
      </c>
      <c r="I6675" t="inlineStr">
        <is>
          <t>17/03/2026</t>
        </is>
      </c>
      <c r="J6675" t="inlineStr">
        <is>
          <t>Kiến trúc, Xây dựng, Nội ngoại thất</t>
        </is>
      </c>
      <c r="K6675" t="inlineStr">
        <is>
          <t>3 - 5 Năm</t>
        </is>
      </c>
      <c r="L6675" s="8">
        <f>HYPERLINK("https://careerviet.vn/vi/tim-viec-lam/ky-su-kien-truc.35C645E1.html","Xem chi tiết")</f>
        <v/>
      </c>
    </row>
    <row r="6676">
      <c r="B6676" s="9" t="n">
        <v>6674</v>
      </c>
      <c r="C6676" s="10" t="inlineStr">
        <is>
          <t>CVC/CVCC Tư vấn Tài chính Cá nhân - Thái Bình - TA 187</t>
        </is>
      </c>
      <c r="D6676" s="10" t="inlineStr">
        <is>
          <t>Ngân Hàng TMCP Việt Nam Thịnh Vượng - VPBANK</t>
        </is>
      </c>
      <c r="E6676" s="10" t="inlineStr">
        <is>
          <t>Lương:20 Tr - 30 Tr VND</t>
        </is>
      </c>
      <c r="F6676" s="10" t="inlineStr">
        <is>
          <t>Thái Bình</t>
        </is>
      </c>
      <c r="G6676" s="10" t="inlineStr">
        <is>
          <t>15-04-2026</t>
        </is>
      </c>
      <c r="H6676" s="10" t="inlineStr">
        <is>
          <t>15/04/2026</t>
        </is>
      </c>
      <c r="I6676" s="10" t="inlineStr">
        <is>
          <t>17/03/2026</t>
        </is>
      </c>
      <c r="J6676" s="10" t="inlineStr">
        <is>
          <t>Ngân hàng</t>
        </is>
      </c>
      <c r="K6676" s="10" t="inlineStr">
        <is>
          <t>Trên 2 Năm</t>
        </is>
      </c>
      <c r="L6676" s="11">
        <f>HYPERLINK("https://careerviet.vn/vi/tim-viec-lam/cvc-cvcc-tu-van-tai-chinh-ca-nhan-thai-binh-ta-187.35C65BB8.html","Xem chi tiết")</f>
        <v/>
      </c>
      <c r="M6676" s="10" t="n"/>
    </row>
    <row r="6677">
      <c r="B6677" s="7" t="n">
        <v>6675</v>
      </c>
      <c r="C6677" t="inlineStr">
        <is>
          <t>GIÁM ĐỐC ĐIỀU HÀNH (CEO) - CÔNG TY NIÊM YẾT</t>
        </is>
      </c>
      <c r="D6677" t="inlineStr">
        <is>
          <t>CÔNG TY CỔ PHẦN TẬP ĐOÀN QP</t>
        </is>
      </c>
      <c r="E6677" t="inlineStr">
        <is>
          <t>Lương:Cạnh tranh</t>
        </is>
      </c>
      <c r="F6677" t="inlineStr">
        <is>
          <t>Hồ Chí Minh</t>
        </is>
      </c>
      <c r="G6677" t="inlineStr">
        <is>
          <t>30-04-2026</t>
        </is>
      </c>
      <c r="H6677" t="inlineStr">
        <is>
          <t>30/04/2026</t>
        </is>
      </c>
      <c r="I6677" t="inlineStr">
        <is>
          <t>17/03/2026</t>
        </is>
      </c>
      <c r="J6677" t="inlineStr">
        <is>
          <t>Chứng khoán, Tài chính / Đầu tư, Bất động sảnBằng cấpĐại họcĐộ tuổi38 - 50</t>
        </is>
      </c>
      <c r="K6677" t="inlineStr">
        <is>
          <t>N/A</t>
        </is>
      </c>
      <c r="L6677" s="8">
        <f>HYPERLINK("https://careerviet.vn/vi/tim-viec-lam/giam-doc-dieu-hanh-ceo-cong-ty-niem-yet.35C61C19.html","Xem chi tiết")</f>
        <v/>
      </c>
    </row>
    <row r="6678">
      <c r="B6678" s="9" t="n">
        <v>6676</v>
      </c>
      <c r="C6678" s="10" t="inlineStr">
        <is>
          <t>Sales Support Intern (Hà Nội)(Mới)</t>
        </is>
      </c>
      <c r="D6678" s="10" t="inlineStr">
        <is>
          <t>Công Ty TNHH Một Thành Viên Karcher</t>
        </is>
      </c>
      <c r="E6678" s="10" t="inlineStr">
        <is>
          <t>Lương:3 Tr - 4 Tr VND</t>
        </is>
      </c>
      <c r="F6678" s="10" t="inlineStr">
        <is>
          <t>Hà Nội</t>
        </is>
      </c>
      <c r="G6678" s="10" t="inlineStr">
        <is>
          <t>16-04-2026</t>
        </is>
      </c>
      <c r="H6678" s="10" t="inlineStr">
        <is>
          <t>16/04/2026</t>
        </is>
      </c>
      <c r="I6678" s="10" t="inlineStr">
        <is>
          <t>17/03/2026</t>
        </is>
      </c>
      <c r="J6678" s="10" t="inlineStr">
        <is>
          <t>Dịch vụ khách hàng, Hành chính / Thư ký, Bán hàng / Kinh doanh</t>
        </is>
      </c>
      <c r="K6678" s="10" t="inlineStr">
        <is>
          <t>N/A</t>
        </is>
      </c>
      <c r="L6678" s="11">
        <f>HYPERLINK("https://careerviet.vn/vi/tim-viec-lam/sales-support-intern-ha-noi.35C6CD2E.html","Xem chi tiết")</f>
        <v/>
      </c>
      <c r="M6678" s="10" t="n"/>
    </row>
    <row r="6679">
      <c r="B6679" s="7" t="n">
        <v>6677</v>
      </c>
      <c r="C6679" t="inlineStr">
        <is>
          <t>Nhân viên Kế toán Tài Chính (HCM)</t>
        </is>
      </c>
      <c r="D6679" t="inlineStr">
        <is>
          <t>Công Ty TNHH Sunjin Vina</t>
        </is>
      </c>
      <c r="E6679" t="inlineStr">
        <is>
          <t>Lương:12 Tr - 14 Tr VND</t>
        </is>
      </c>
      <c r="F6679" t="inlineStr">
        <is>
          <t>Hồ Chí Minh</t>
        </is>
      </c>
      <c r="G6679" t="inlineStr">
        <is>
          <t>15-04-2026</t>
        </is>
      </c>
      <c r="H6679" t="inlineStr">
        <is>
          <t>15/04/2026</t>
        </is>
      </c>
      <c r="I6679" t="inlineStr">
        <is>
          <t>17/03/2026</t>
        </is>
      </c>
      <c r="J6679" t="inlineStr">
        <is>
          <t>Kế toán / Kiểm toán</t>
        </is>
      </c>
      <c r="K6679" t="inlineStr">
        <is>
          <t>1 - 2 Năm</t>
        </is>
      </c>
      <c r="L6679" s="8">
        <f>HYPERLINK("https://careerviet.vn/vi/tim-viec-lam/nhan-vien-ke-toan-tai-chinh-hcm.35C65A43.html","Xem chi tiết")</f>
        <v/>
      </c>
    </row>
    <row r="6680">
      <c r="B6680" s="9" t="n">
        <v>6678</v>
      </c>
      <c r="C6680" s="10" t="inlineStr">
        <is>
          <t>NHÂN VIÊN MÔI TRƯỜNG - AN TOÀN LAO ĐỘNG</t>
        </is>
      </c>
      <c r="D6680" s="10" t="inlineStr">
        <is>
          <t>Công ty TNHH SX-TM Thép Tây Nam</t>
        </is>
      </c>
      <c r="E6680" s="10" t="inlineStr">
        <is>
          <t>Lương:8 Tr - 12 Tr VND</t>
        </is>
      </c>
      <c r="F6680" s="10" t="inlineStr">
        <is>
          <t>Long An</t>
        </is>
      </c>
      <c r="G6680" s="10" t="inlineStr">
        <is>
          <t>28-03-2026</t>
        </is>
      </c>
      <c r="H6680" s="10" t="inlineStr">
        <is>
          <t>28/03/2026</t>
        </is>
      </c>
      <c r="I6680" s="10" t="inlineStr">
        <is>
          <t>17/03/2026</t>
        </is>
      </c>
      <c r="J6680" s="10" t="inlineStr">
        <is>
          <t>Môi trường, An toàn lao động</t>
        </is>
      </c>
      <c r="K6680" s="10" t="inlineStr">
        <is>
          <t>N/A</t>
        </is>
      </c>
      <c r="L6680" s="11">
        <f>HYPERLINK("https://careerviet.vn/vi/tim-viec-lam/nhan-vien-moi-truong-an-toan-lao-dong.35C6BDD4.html","Xem chi tiết")</f>
        <v/>
      </c>
      <c r="M6680" s="10" t="n"/>
    </row>
    <row r="6681">
      <c r="B6681" s="7" t="n">
        <v>6679</v>
      </c>
      <c r="C6681" t="inlineStr">
        <is>
          <t>Chuyên Viên Thiết Kế Concept Nội Thất</t>
        </is>
      </c>
      <c r="D6681" t="inlineStr">
        <is>
          <t>CÔNG TY CỔ PHẦN TẬP ĐOÀN ONSEN FUJI</t>
        </is>
      </c>
      <c r="E6681" t="inlineStr">
        <is>
          <t>Lương:22 Tr - 30 Tr VND</t>
        </is>
      </c>
      <c r="F6681" t="inlineStr">
        <is>
          <t>Hà Nội</t>
        </is>
      </c>
      <c r="G6681" t="inlineStr">
        <is>
          <t>15-04-2026</t>
        </is>
      </c>
      <c r="H6681" t="inlineStr">
        <is>
          <t>15/04/2026</t>
        </is>
      </c>
      <c r="I6681" t="inlineStr">
        <is>
          <t>17/03/2026</t>
        </is>
      </c>
      <c r="J6681" t="inlineStr">
        <is>
          <t>Bất động sản, Nội ngoại thất, Kiến trúc</t>
        </is>
      </c>
      <c r="K6681" t="inlineStr">
        <is>
          <t>2 - 3 Năm</t>
        </is>
      </c>
      <c r="L6681" s="8">
        <f>HYPERLINK("https://careerviet.vn/vi/tim-viec-lam/chuyen-vien-thiet-ke-concept-noi-that.35C65AC9.html","Xem chi tiết")</f>
        <v/>
      </c>
    </row>
    <row r="6682">
      <c r="B6682" s="9" t="n">
        <v>6680</v>
      </c>
      <c r="C6682" s="10" t="inlineStr">
        <is>
          <t>Chuyên viên 5S (Làm việc tại Tây Ninh)</t>
        </is>
      </c>
      <c r="D6682" s="10" t="inlineStr">
        <is>
          <t>Công ty CP Thành Thành Công - Biên Hòa</t>
        </is>
      </c>
      <c r="E6682" s="10" t="inlineStr">
        <is>
          <t>Lương:Cạnh tranh</t>
        </is>
      </c>
      <c r="F6682" s="10" t="inlineStr">
        <is>
          <t>Tây Ninh</t>
        </is>
      </c>
      <c r="G6682" s="10" t="inlineStr">
        <is>
          <t>15-04-2026</t>
        </is>
      </c>
      <c r="H6682" s="10" t="inlineStr">
        <is>
          <t>15/04/2026</t>
        </is>
      </c>
      <c r="I6682" s="10" t="inlineStr">
        <is>
          <t>17/03/2026</t>
        </is>
      </c>
      <c r="J6682" s="10" t="inlineStr">
        <is>
          <t>Bảo trì / Sửa chữa, Công nghệ thực phẩm / Dinh dưỡng, Dệt may / Da giày / Thời trang</t>
        </is>
      </c>
      <c r="K6682" s="10" t="inlineStr">
        <is>
          <t>2 - 3 Năm</t>
        </is>
      </c>
      <c r="L6682" s="11">
        <f>HYPERLINK("https://careerviet.vn/vi/tim-viec-lam/chuyen-vien-5s-lam-viec-tai-tay-ninh.35C65B59.html","Xem chi tiết")</f>
        <v/>
      </c>
      <c r="M6682" s="10" t="n"/>
    </row>
    <row r="6683">
      <c r="B6683" s="7" t="n">
        <v>6681</v>
      </c>
      <c r="C6683" t="inlineStr">
        <is>
          <t>IT - QUẢN LÝ HỆ THỐNG SAP</t>
        </is>
      </c>
      <c r="D6683" t="inlineStr">
        <is>
          <t>Công ty TNHH Sài Gòn Stec</t>
        </is>
      </c>
      <c r="E6683" t="inlineStr">
        <is>
          <t>Lương:12 Tr - 20 Tr VND</t>
        </is>
      </c>
      <c r="F6683" t="inlineStr">
        <is>
          <t>Bình Dương</t>
        </is>
      </c>
      <c r="G6683" t="inlineStr">
        <is>
          <t>15-04-2026</t>
        </is>
      </c>
      <c r="H6683" t="inlineStr">
        <is>
          <t>15/04/2026</t>
        </is>
      </c>
      <c r="I6683" t="inlineStr">
        <is>
          <t>17/03/2026</t>
        </is>
      </c>
      <c r="J6683" t="inlineStr">
        <is>
          <t>CNTT - Phần mềm, CNTT - Phần cứng / Mạng</t>
        </is>
      </c>
      <c r="K6683" t="inlineStr">
        <is>
          <t>2 - 4 Năm</t>
        </is>
      </c>
      <c r="L6683" s="8">
        <f>HYPERLINK("https://careerviet.vn/vi/tim-viec-lam/it-quan-ly-he-thong-sap.35C65BD2.html","Xem chi tiết")</f>
        <v/>
      </c>
    </row>
    <row r="6684">
      <c r="B6684" s="9" t="n">
        <v>6682</v>
      </c>
      <c r="C6684" s="10" t="inlineStr">
        <is>
          <t>Nhân viên An toàn lao động (làm việc tại Tây Ninh)</t>
        </is>
      </c>
      <c r="D6684" s="10" t="inlineStr">
        <is>
          <t>Công ty CP Thành Thành Công - Biên Hòa</t>
        </is>
      </c>
      <c r="E6684" s="10" t="inlineStr">
        <is>
          <t>Lương:12 Tr - 15 Tr VND</t>
        </is>
      </c>
      <c r="F6684" s="10" t="inlineStr">
        <is>
          <t>Tây Ninh</t>
        </is>
      </c>
      <c r="G6684" s="10" t="inlineStr">
        <is>
          <t>15-04-2026</t>
        </is>
      </c>
      <c r="H6684" s="10" t="inlineStr">
        <is>
          <t>15/04/2026</t>
        </is>
      </c>
      <c r="I6684" s="10" t="inlineStr">
        <is>
          <t>17/03/2026</t>
        </is>
      </c>
      <c r="J6684" s="10" t="inlineStr">
        <is>
          <t>An toàn lao động, An Ninh / Bảo Vệ, Bảo trì / Sửa chữa</t>
        </is>
      </c>
      <c r="K6684" s="10" t="inlineStr">
        <is>
          <t>1 - 2 Năm</t>
        </is>
      </c>
      <c r="L6684" s="11">
        <f>HYPERLINK("https://careerviet.vn/vi/tim-viec-lam/nhan-vien-an-toan-lao-dong-lam-viec-tai-tay-ninh.35C65B1C.html","Xem chi tiết")</f>
        <v/>
      </c>
      <c r="M6684" s="10" t="n"/>
    </row>
    <row r="6685">
      <c r="B6685" s="7" t="n">
        <v>6683</v>
      </c>
      <c r="C6685" t="inlineStr">
        <is>
          <t>Hành chính nhân sự</t>
        </is>
      </c>
      <c r="D6685" t="inlineStr">
        <is>
          <t>Công ty TNHH XNK Phú Thành Phát</t>
        </is>
      </c>
      <c r="E6685" t="inlineStr">
        <is>
          <t>Lương:11 Tr - 15 Tr VND</t>
        </is>
      </c>
      <c r="F6685" t="inlineStr">
        <is>
          <t>Hồ Chí Minh</t>
        </is>
      </c>
      <c r="G6685" t="inlineStr">
        <is>
          <t>15-04-2026</t>
        </is>
      </c>
      <c r="H6685" t="inlineStr">
        <is>
          <t>15/04/2026</t>
        </is>
      </c>
      <c r="I6685" t="inlineStr">
        <is>
          <t>17/03/2026</t>
        </is>
      </c>
      <c r="J6685" t="inlineStr">
        <is>
          <t>Nhân sự</t>
        </is>
      </c>
      <c r="K6685" t="inlineStr">
        <is>
          <t>2 - 3 Năm</t>
        </is>
      </c>
      <c r="L6685" s="8">
        <f>HYPERLINK("https://careerviet.vn/vi/tim-viec-lam/hanh-chinh-nhan-su.35C65BC3.html","Xem chi tiết")</f>
        <v/>
      </c>
    </row>
    <row r="6686">
      <c r="B6686" s="9" t="n">
        <v>6684</v>
      </c>
      <c r="C6686" s="10" t="inlineStr">
        <is>
          <t>Chuyên viên Quản trị chất lượng</t>
        </is>
      </c>
      <c r="D6686" s="10" t="inlineStr">
        <is>
          <t>Tập Đoàn Kim Tín</t>
        </is>
      </c>
      <c r="E6686" s="10" t="inlineStr">
        <is>
          <t>Lương:Cạnh tranh</t>
        </is>
      </c>
      <c r="F6686" s="10" t="inlineStr">
        <is>
          <t>Hồ Chí Minh</t>
        </is>
      </c>
      <c r="G6686" s="10" t="inlineStr">
        <is>
          <t>15-04-2026</t>
        </is>
      </c>
      <c r="H6686" s="10" t="inlineStr">
        <is>
          <t>15/04/2026</t>
        </is>
      </c>
      <c r="I6686" s="10" t="inlineStr">
        <is>
          <t>17/03/2026</t>
        </is>
      </c>
      <c r="J6686" s="10" t="inlineStr">
        <is>
          <t>Quản lý chất lượng (QA/QC)</t>
        </is>
      </c>
      <c r="K6686" s="10" t="inlineStr">
        <is>
          <t>2 - 3 Năm</t>
        </is>
      </c>
      <c r="L6686" s="11">
        <f>HYPERLINK("https://careerviet.vn/vi/tim-viec-lam/chuyen-vien-quan-tri-chat-luong.35C65B1F.html","Xem chi tiết")</f>
        <v/>
      </c>
      <c r="M6686" s="10" t="n"/>
    </row>
    <row r="6687">
      <c r="B6687" s="7" t="n">
        <v>6685</v>
      </c>
      <c r="C6687" t="inlineStr">
        <is>
          <t>Công nhân cơ khí</t>
        </is>
      </c>
      <c r="D6687" t="inlineStr">
        <is>
          <t>CÔNG TY TNHH KCC (VIỆT NAM NHƠN TRẠCH)</t>
        </is>
      </c>
      <c r="E6687" t="inlineStr">
        <is>
          <t>Lương:11 Tr - 14 Tr VND</t>
        </is>
      </c>
      <c r="F6687" t="inlineStr">
        <is>
          <t>Đồng Nai</t>
        </is>
      </c>
      <c r="G6687" t="inlineStr">
        <is>
          <t>15-04-2026</t>
        </is>
      </c>
      <c r="H6687" t="inlineStr">
        <is>
          <t>15/04/2026</t>
        </is>
      </c>
      <c r="I6687" t="inlineStr">
        <is>
          <t>17/03/2026</t>
        </is>
      </c>
      <c r="J6687" t="inlineStr">
        <is>
          <t>Cơ khí / Ô tô / Tự động hóa, Bảo trì / Sửa chữa</t>
        </is>
      </c>
      <c r="K6687" t="inlineStr">
        <is>
          <t>N/A</t>
        </is>
      </c>
      <c r="L6687" s="8">
        <f>HYPERLINK("https://careerviet.vn/vi/tim-viec-lam/cong-nhan-co-khi.35C65A4B.html","Xem chi tiết")</f>
        <v/>
      </c>
    </row>
    <row r="6688">
      <c r="B6688" s="9" t="n">
        <v>6686</v>
      </c>
      <c r="C6688" s="10" t="inlineStr">
        <is>
          <t>NHÂN VIÊN KINH DOANH PHỤ TRÁCH KÊNH GT</t>
        </is>
      </c>
      <c r="D6688" s="10" t="inlineStr">
        <is>
          <t>CÔNG TY CỔ PHẦN TẬP ĐOÀN KALPEN</t>
        </is>
      </c>
      <c r="E6688" s="10" t="inlineStr">
        <is>
          <t>Lương:18 Tr - 30 Tr VND</t>
        </is>
      </c>
      <c r="F6688" s="10" t="inlineStr">
        <is>
          <t>Hà Nội</t>
        </is>
      </c>
      <c r="G6688" s="10" t="inlineStr">
        <is>
          <t>15-04-2026</t>
        </is>
      </c>
      <c r="H6688" s="10" t="inlineStr">
        <is>
          <t>15/04/2026</t>
        </is>
      </c>
      <c r="I6688" s="10" t="inlineStr">
        <is>
          <t>17/03/2026</t>
        </is>
      </c>
      <c r="J6688" s="10" t="inlineStr">
        <is>
          <t>Bán hàng / Kinh doanh, Hàng gia dụng / Chăm sóc cá nhân</t>
        </is>
      </c>
      <c r="K6688" s="10" t="inlineStr">
        <is>
          <t>1 - 2 Năm</t>
        </is>
      </c>
      <c r="L6688" s="11">
        <f>HYPERLINK("https://careerviet.vn/vi/tim-viec-lam/nhan-vien-kinh-doanh-phu-trach-kenh-gt.35C65AA0.html","Xem chi tiết")</f>
        <v/>
      </c>
      <c r="M6688" s="10" t="n"/>
    </row>
    <row r="6689">
      <c r="B6689" s="7" t="n">
        <v>6687</v>
      </c>
      <c r="C6689" t="inlineStr">
        <is>
          <t>Kế toán Trưởng  (Vận hàng mảng Du lịch)</t>
        </is>
      </c>
      <c r="D6689" t="inlineStr">
        <is>
          <t>CÔNG TY CỔ PHẦN TẬP ĐOÀN ONSEN FUJI</t>
        </is>
      </c>
      <c r="E6689" t="inlineStr">
        <is>
          <t>Lương:30 Tr - 40 Tr VND</t>
        </is>
      </c>
      <c r="F6689" t="inlineStr">
        <is>
          <t>Hà Nội</t>
        </is>
      </c>
      <c r="G6689" t="inlineStr">
        <is>
          <t>15-04-2026</t>
        </is>
      </c>
      <c r="H6689" t="inlineStr">
        <is>
          <t>15/04/2026</t>
        </is>
      </c>
      <c r="I6689" t="inlineStr">
        <is>
          <t>17/03/2026</t>
        </is>
      </c>
      <c r="J6689" t="inlineStr">
        <is>
          <t>Kế toán / Kiểm toán, Nhà hàng / Khách sạn, Du lịch</t>
        </is>
      </c>
      <c r="K6689" t="inlineStr">
        <is>
          <t>Trên 5 Năm</t>
        </is>
      </c>
      <c r="L6689" s="8">
        <f>HYPERLINK("https://careerviet.vn/vi/tim-viec-lam/ke-toan-truong-van-hang-mang-du-lich.35C65AD3.html","Xem chi tiết")</f>
        <v/>
      </c>
    </row>
    <row r="6690">
      <c r="B6690" s="9" t="n">
        <v>6688</v>
      </c>
      <c r="C6690" s="10" t="inlineStr">
        <is>
          <t>Giám Sát Chuyền</t>
        </is>
      </c>
      <c r="D6690" s="10" t="inlineStr">
        <is>
          <t>CÔNG TY TNHH THE SQUARE VINA</t>
        </is>
      </c>
      <c r="E6690" s="10" t="inlineStr">
        <is>
          <t>Lương:Cạnh tranh</t>
        </is>
      </c>
      <c r="F6690" s="10" t="inlineStr">
        <is>
          <t>Bà Rịa - Vũng Tàu</t>
        </is>
      </c>
      <c r="G6690" s="10" t="inlineStr">
        <is>
          <t>15-04-2026</t>
        </is>
      </c>
      <c r="H6690" s="10" t="inlineStr">
        <is>
          <t>15/04/2026</t>
        </is>
      </c>
      <c r="I6690" s="10" t="inlineStr">
        <is>
          <t>17/03/2026</t>
        </is>
      </c>
      <c r="J6690" s="10" t="inlineStr">
        <is>
          <t>Sản xuất / Vận hành sản xuất, Quản lý chất lượng (QA/QC), An toàn lao động</t>
        </is>
      </c>
      <c r="K6690" s="10" t="inlineStr">
        <is>
          <t>Trên 5 Năm</t>
        </is>
      </c>
      <c r="L6690" s="11">
        <f>HYPERLINK("https://careerviet.vn/vi/tim-viec-lam/giam-sat-chuyen.35C65B5D.html","Xem chi tiết")</f>
        <v/>
      </c>
      <c r="M6690" s="10" t="n"/>
    </row>
    <row r="6691">
      <c r="B6691" s="7" t="n">
        <v>6689</v>
      </c>
      <c r="C6691" t="inlineStr">
        <is>
          <t>Nhân Viên Giới Thiệu Sản Phẩm khu vực Hà Nội/Lào Cai/Hoà Bình</t>
        </is>
      </c>
      <c r="D6691" t="inlineStr">
        <is>
          <t>Công ty TNHH Chế biến thực phẩm Đông Đô</t>
        </is>
      </c>
      <c r="E6691" t="inlineStr">
        <is>
          <t>Lương:11 Tr - 14 Tr VND</t>
        </is>
      </c>
      <c r="F6691" t="inlineStr">
        <is>
          <t>Hà NộiLào CaiHòa Bình</t>
        </is>
      </c>
      <c r="G6691" t="inlineStr">
        <is>
          <t>15-04-2026</t>
        </is>
      </c>
      <c r="H6691" t="inlineStr">
        <is>
          <t>15/04/2026</t>
        </is>
      </c>
      <c r="I6691" t="inlineStr">
        <is>
          <t>17/03/2026</t>
        </is>
      </c>
      <c r="J6691" t="inlineStr">
        <is>
          <t>Bán lẻ / Bán sỉ, Bán hàng / Kinh doanh, Thực phẩm &amp; Đồ uống</t>
        </is>
      </c>
      <c r="K6691" t="inlineStr">
        <is>
          <t>Lên đến 1 Năm</t>
        </is>
      </c>
      <c r="L6691" s="8">
        <f>HYPERLINK("https://careerviet.vn/vi/tim-viec-lam/nhan-vien-gioi-thieu-san-pham-khu-vuc-ha-noi-lao-cai-hoa-binh.35C65AF7.html","Xem chi tiết")</f>
        <v/>
      </c>
    </row>
    <row r="6692">
      <c r="B6692" s="9" t="n">
        <v>6690</v>
      </c>
      <c r="C6692" s="10" t="inlineStr">
        <is>
          <t>Chuyên viên Dịch vụ Khách hàng (Giao dịch viên) - TA154 (Bắc Ninh, Bắc Giang, Thái Nguyên)</t>
        </is>
      </c>
      <c r="D6692" s="10" t="inlineStr">
        <is>
          <t>Ngân Hàng TMCP Việt Nam Thịnh Vượng - VPBANK</t>
        </is>
      </c>
      <c r="E6692" s="10" t="inlineStr">
        <is>
          <t>Lương:Cạnh tranh</t>
        </is>
      </c>
      <c r="F6692" s="10" t="inlineStr">
        <is>
          <t>Thái NguyênBắc GiangBắc Ninh</t>
        </is>
      </c>
      <c r="G6692" s="10" t="inlineStr">
        <is>
          <t>15-04-2026</t>
        </is>
      </c>
      <c r="H6692" s="10" t="inlineStr">
        <is>
          <t>15/04/2026</t>
        </is>
      </c>
      <c r="I6692" s="10" t="inlineStr">
        <is>
          <t>17/03/2026</t>
        </is>
      </c>
      <c r="J6692" s="10" t="inlineStr">
        <is>
          <t>Bán hàng / Kinh doanh, Dịch vụ khách hàng, Ngân hàng</t>
        </is>
      </c>
      <c r="K6692" s="10" t="inlineStr">
        <is>
          <t>N/A</t>
        </is>
      </c>
      <c r="L6692" s="11">
        <f>HYPERLINK("https://careerviet.vn/vi/tim-viec-lam/chuyen-vien-dich-vu-khach-hang-giao-dich-vien-ta154-bac-ninh-bac-giang-thai-nguyen.35C65BC7.html","Xem chi tiết")</f>
        <v/>
      </c>
      <c r="M6692" s="10" t="n"/>
    </row>
    <row r="6693">
      <c r="B6693" s="7" t="n">
        <v>6691</v>
      </c>
      <c r="C6693" t="inlineStr">
        <is>
          <t>Nhân Viên Quan Hệ Khách Hàng Doanh Nghiệp Vi Mô - TA154 - Hà Nội</t>
        </is>
      </c>
      <c r="D6693" t="inlineStr">
        <is>
          <t>Ngân Hàng TMCP Việt Nam Thịnh Vượng - VPBANK</t>
        </is>
      </c>
      <c r="E6693" t="inlineStr">
        <is>
          <t>Lương:Cạnh tranh</t>
        </is>
      </c>
      <c r="F6693" t="inlineStr">
        <is>
          <t>Hà Nội</t>
        </is>
      </c>
      <c r="G6693" t="inlineStr">
        <is>
          <t>15-04-2026</t>
        </is>
      </c>
      <c r="H6693" t="inlineStr">
        <is>
          <t>15/04/2026</t>
        </is>
      </c>
      <c r="I6693" t="inlineStr">
        <is>
          <t>17/03/2026</t>
        </is>
      </c>
      <c r="J6693" t="inlineStr">
        <is>
          <t>Bán hàng / Kinh doanh, Ngân hàng</t>
        </is>
      </c>
      <c r="K6693" t="inlineStr">
        <is>
          <t>N/A</t>
        </is>
      </c>
      <c r="L6693" s="8">
        <f>HYPERLINK("https://careerviet.vn/vi/tim-viec-lam/nhan-vien-quan-he-khach-hang-doanh-nghiep-vi-mo-ta154-ha-noi.35C65BC6.html","Xem chi tiết")</f>
        <v/>
      </c>
    </row>
    <row r="6694">
      <c r="B6694" s="9" t="n">
        <v>6692</v>
      </c>
      <c r="C6694" s="10" t="inlineStr">
        <is>
          <t>Trưởng nhóm phần mềm và ứng dụng</t>
        </is>
      </c>
      <c r="D6694" s="10" t="inlineStr">
        <is>
          <t>Công Ty Cổ Phần Tân Vĩnh Cửu (Tavico group)</t>
        </is>
      </c>
      <c r="E6694" s="10" t="inlineStr">
        <is>
          <t>Lương:Cạnh tranh</t>
        </is>
      </c>
      <c r="F6694" s="10" t="inlineStr">
        <is>
          <t>Đồng Nai</t>
        </is>
      </c>
      <c r="G6694" s="10" t="inlineStr">
        <is>
          <t>15-04-2026</t>
        </is>
      </c>
      <c r="H6694" s="10" t="inlineStr">
        <is>
          <t>15/04/2026</t>
        </is>
      </c>
      <c r="I6694" s="10" t="inlineStr">
        <is>
          <t>17/03/2026</t>
        </is>
      </c>
      <c r="J6694" s="10" t="inlineStr">
        <is>
          <t>CNTT - Phần mềm, CNTT - Phần cứng / Mạng</t>
        </is>
      </c>
      <c r="K6694" s="10" t="inlineStr">
        <is>
          <t>2 - 3 Năm</t>
        </is>
      </c>
      <c r="L6694" s="11">
        <f>HYPERLINK("https://careerviet.vn/vi/tim-viec-lam/truong-nhom-phan-mem-va-ung-dung.35C65A05.html","Xem chi tiết")</f>
        <v/>
      </c>
      <c r="M6694" s="10" t="n"/>
    </row>
    <row r="6695">
      <c r="B6695" s="7" t="n">
        <v>6693</v>
      </c>
      <c r="C6695" t="inlineStr">
        <is>
          <t>NHÂN VIÊN LỄ TÂN TẬP ĐOÀN</t>
        </is>
      </c>
      <c r="D6695" t="inlineStr">
        <is>
          <t>Công ty Cổ phần FECON</t>
        </is>
      </c>
      <c r="E6695" t="inlineStr">
        <is>
          <t>Lương:Cạnh tranh</t>
        </is>
      </c>
      <c r="F6695" t="inlineStr">
        <is>
          <t>Hà Nội</t>
        </is>
      </c>
      <c r="G6695" t="inlineStr">
        <is>
          <t>15-04-2026</t>
        </is>
      </c>
      <c r="H6695" t="inlineStr">
        <is>
          <t>15/04/2026</t>
        </is>
      </c>
      <c r="I6695" t="inlineStr">
        <is>
          <t>17/03/2026</t>
        </is>
      </c>
      <c r="J6695" t="inlineStr">
        <is>
          <t>Hành chính / Thư ký, Xây dựng</t>
        </is>
      </c>
      <c r="K6695" t="inlineStr">
        <is>
          <t>1 - 3 Năm</t>
        </is>
      </c>
      <c r="L6695" s="8">
        <f>HYPERLINK("https://careerviet.vn/vi/tim-viec-lam/nhan-vien-le-tan-tap-doan.35C65ADB.html","Xem chi tiết")</f>
        <v/>
      </c>
    </row>
    <row r="6696">
      <c r="B6696" s="9" t="n">
        <v>6694</v>
      </c>
      <c r="C6696" s="10" t="inlineStr">
        <is>
          <t>Admin Tuyển dụng</t>
        </is>
      </c>
      <c r="D6696" s="10" t="inlineStr">
        <is>
          <t>Công Ty Cổ Phần Dịch Vụ Nhà Sạch</t>
        </is>
      </c>
      <c r="E6696" s="10" t="inlineStr">
        <is>
          <t>Lương:7,5 Tr - 8,5 Tr VND</t>
        </is>
      </c>
      <c r="F6696" s="10" t="inlineStr">
        <is>
          <t>Hồ Chí Minh</t>
        </is>
      </c>
      <c r="G6696" s="10" t="inlineStr">
        <is>
          <t>15-04-2026</t>
        </is>
      </c>
      <c r="H6696" s="10" t="inlineStr">
        <is>
          <t>15/04/2026</t>
        </is>
      </c>
      <c r="I6696" s="10" t="inlineStr">
        <is>
          <t>17/03/2026</t>
        </is>
      </c>
      <c r="J6696" s="10" t="inlineStr">
        <is>
          <t>Nhân sự, Mới tốt nghiệp / Thực tập</t>
        </is>
      </c>
      <c r="K6696" s="10" t="inlineStr">
        <is>
          <t>1 - 2 Năm</t>
        </is>
      </c>
      <c r="L6696" s="11">
        <f>HYPERLINK("https://careerviet.vn/vi/tim-viec-lam/admin-tuyen-dung.35C65A74.html","Xem chi tiết")</f>
        <v/>
      </c>
      <c r="M6696" s="10" t="n"/>
    </row>
    <row r="6697">
      <c r="B6697" s="7" t="n">
        <v>6695</v>
      </c>
      <c r="C6697" t="inlineStr">
        <is>
          <t>CVC/CVCC Tư vấn Tài chính Cá nhân - Hải Dương - TA 187</t>
        </is>
      </c>
      <c r="D6697" t="inlineStr">
        <is>
          <t>Ngân Hàng TMCP Việt Nam Thịnh Vượng - VPBANK</t>
        </is>
      </c>
      <c r="E6697" t="inlineStr">
        <is>
          <t>Lương:20 Tr - 30 Tr VND</t>
        </is>
      </c>
      <c r="F6697" t="inlineStr">
        <is>
          <t>Hải Dương</t>
        </is>
      </c>
      <c r="G6697" t="inlineStr">
        <is>
          <t>15-04-2026</t>
        </is>
      </c>
      <c r="H6697" t="inlineStr">
        <is>
          <t>15/04/2026</t>
        </is>
      </c>
      <c r="I6697" t="inlineStr">
        <is>
          <t>17/03/2026</t>
        </is>
      </c>
      <c r="J6697" t="inlineStr">
        <is>
          <t>Ngân hàng</t>
        </is>
      </c>
      <c r="K6697" t="inlineStr">
        <is>
          <t>Trên 2 Năm</t>
        </is>
      </c>
      <c r="L6697" s="8">
        <f>HYPERLINK("https://careerviet.vn/vi/tim-viec-lam/cvc-cvcc-tu-van-tai-chinh-ca-nhan-hai-duong-ta-187.35C65BB4.html","Xem chi tiết")</f>
        <v/>
      </c>
    </row>
    <row r="6698">
      <c r="B6698" s="9" t="n">
        <v>6696</v>
      </c>
      <c r="C6698" s="10" t="inlineStr">
        <is>
          <t>Chuyên Viên Thiết Kế Nội Thất</t>
        </is>
      </c>
      <c r="D6698" s="10" t="inlineStr">
        <is>
          <t>Công Ty TNHH Scansia Pacific</t>
        </is>
      </c>
      <c r="E6698" s="10" t="inlineStr">
        <is>
          <t>Lương:10 Tr - 20 Tr VND</t>
        </is>
      </c>
      <c r="F6698" s="10" t="inlineStr">
        <is>
          <t>Đồng Nai</t>
        </is>
      </c>
      <c r="G6698" s="10" t="inlineStr">
        <is>
          <t>15-04-2026</t>
        </is>
      </c>
      <c r="H6698" s="10" t="inlineStr">
        <is>
          <t>15/04/2026</t>
        </is>
      </c>
      <c r="I6698" s="10" t="inlineStr">
        <is>
          <t>17/03/2026</t>
        </is>
      </c>
      <c r="J6698" s="10" t="inlineStr">
        <is>
          <t>Mỹ thuật / Nghệ thuật / Thiết kế, Đồ gỗ, Nội ngoại thất</t>
        </is>
      </c>
      <c r="K6698" s="10" t="inlineStr">
        <is>
          <t>Chưa có kinh nghiệm</t>
        </is>
      </c>
      <c r="L6698" s="11">
        <f>HYPERLINK("https://careerviet.vn/vi/tim-viec-lam/chuyen-vien-thiet-ke-noi-that.35C65BA2.html","Xem chi tiết")</f>
        <v/>
      </c>
      <c r="M6698" s="10" t="n"/>
    </row>
    <row r="6699">
      <c r="B6699" s="7" t="n">
        <v>6697</v>
      </c>
      <c r="C6699" t="inlineStr">
        <is>
          <t>NHÂN VIÊN DỊCH VỤ DIỆT CÔN TRÙNG_HCM</t>
        </is>
      </c>
      <c r="D6699" t="inlineStr">
        <is>
          <t>CÔNG TY TNHH CESCO VIỆT NAM</t>
        </is>
      </c>
      <c r="E6699" t="inlineStr">
        <is>
          <t>Lương:12 Tr - 15 Tr VND</t>
        </is>
      </c>
      <c r="F6699" t="inlineStr">
        <is>
          <t>Hồ Chí Minh</t>
        </is>
      </c>
      <c r="G6699" t="inlineStr">
        <is>
          <t>15-04-2026</t>
        </is>
      </c>
      <c r="H6699" t="inlineStr">
        <is>
          <t>15/04/2026</t>
        </is>
      </c>
      <c r="I6699" t="inlineStr">
        <is>
          <t>17/03/2026</t>
        </is>
      </c>
      <c r="J6699" t="inlineStr">
        <is>
          <t>Lao động phổ thông, Ngành khác, Mới tốt nghiệp / Thực tập</t>
        </is>
      </c>
      <c r="K6699" t="inlineStr">
        <is>
          <t>N/A</t>
        </is>
      </c>
      <c r="L6699" s="8">
        <f>HYPERLINK("https://careerviet.vn/vi/tim-viec-lam/nhan-vien-dich-vu-diet-con-trung_hcm.35C65AFE.html","Xem chi tiết")</f>
        <v/>
      </c>
    </row>
    <row r="6700">
      <c r="B6700" s="9" t="n">
        <v>6698</v>
      </c>
      <c r="C6700" s="10" t="inlineStr">
        <is>
          <t>CVC/CVCC Tư vấn Tài chính Cá nhân - Quảng Ninh - TA 187</t>
        </is>
      </c>
      <c r="D6700" s="10" t="inlineStr">
        <is>
          <t>Ngân Hàng TMCP Việt Nam Thịnh Vượng - VPBANK</t>
        </is>
      </c>
      <c r="E6700" s="10" t="inlineStr">
        <is>
          <t>Lương:20 Tr - 30 Tr VND</t>
        </is>
      </c>
      <c r="F6700" s="10" t="inlineStr">
        <is>
          <t>Quảng Ninh</t>
        </is>
      </c>
      <c r="G6700" s="10" t="inlineStr">
        <is>
          <t>15-04-2026</t>
        </is>
      </c>
      <c r="H6700" s="10" t="inlineStr">
        <is>
          <t>15/04/2026</t>
        </is>
      </c>
      <c r="I6700" s="10" t="inlineStr">
        <is>
          <t>17/03/2026</t>
        </is>
      </c>
      <c r="J6700" s="10" t="inlineStr">
        <is>
          <t>Ngân hàng</t>
        </is>
      </c>
      <c r="K6700" s="10" t="inlineStr">
        <is>
          <t>Trên 2 Năm</t>
        </is>
      </c>
      <c r="L6700" s="11">
        <f>HYPERLINK("https://careerviet.vn/vi/tim-viec-lam/cvc-cvcc-tu-van-tai-chinh-ca-nhan-quang-ninh-ta-187.35C65BB6.html","Xem chi tiết")</f>
        <v/>
      </c>
      <c r="M6700" s="10" t="n"/>
    </row>
    <row r="6701">
      <c r="B6701" s="7" t="n">
        <v>6699</v>
      </c>
      <c r="C6701" t="inlineStr">
        <is>
          <t>HR Specialist</t>
        </is>
      </c>
      <c r="D6701" t="inlineStr">
        <is>
          <t>PTSC Offshore Services (POS)</t>
        </is>
      </c>
      <c r="E6701" t="inlineStr">
        <is>
          <t>Lương:Cạnh tranh</t>
        </is>
      </c>
      <c r="F6701" t="inlineStr">
        <is>
          <t>Bà Rịa - Vũng Tàu</t>
        </is>
      </c>
      <c r="G6701" t="inlineStr">
        <is>
          <t>15-04-2026</t>
        </is>
      </c>
      <c r="H6701" t="inlineStr">
        <is>
          <t>15/04/2026</t>
        </is>
      </c>
      <c r="I6701" t="inlineStr">
        <is>
          <t>17/03/2026</t>
        </is>
      </c>
      <c r="J6701" t="inlineStr">
        <is>
          <t>Hành chính / Thư ký, Nhân sự, Dầu khí</t>
        </is>
      </c>
      <c r="K6701" t="inlineStr">
        <is>
          <t>Trên 3 Năm</t>
        </is>
      </c>
      <c r="L6701" s="8">
        <f>HYPERLINK("https://careerviet.vn/vi/tim-viec-lam/hr-specialist.35C65BB5.html","Xem chi tiết")</f>
        <v/>
      </c>
    </row>
    <row r="6702">
      <c r="B6702" s="9" t="n">
        <v>6700</v>
      </c>
      <c r="C6702" s="10" t="inlineStr">
        <is>
          <t>Nhân viên Bảo trì Cơ khí (Làm việc tại Tây Ninh)</t>
        </is>
      </c>
      <c r="D6702" s="10" t="inlineStr">
        <is>
          <t>Công ty CP Thành Thành Công - Biên Hòa</t>
        </is>
      </c>
      <c r="E6702" s="10" t="inlineStr">
        <is>
          <t>Lương:8 Tr - 14 Tr VND</t>
        </is>
      </c>
      <c r="F6702" s="10" t="inlineStr">
        <is>
          <t>Tây Ninh</t>
        </is>
      </c>
      <c r="G6702" s="10" t="inlineStr">
        <is>
          <t>15-04-2026</t>
        </is>
      </c>
      <c r="H6702" s="10" t="inlineStr">
        <is>
          <t>15/04/2026</t>
        </is>
      </c>
      <c r="I6702" s="10" t="inlineStr">
        <is>
          <t>17/03/2026</t>
        </is>
      </c>
      <c r="J6702" s="10" t="inlineStr">
        <is>
          <t>Bảo trì / Sửa chữa, Công nghệ thực phẩm / Dinh dưỡng, Cơ khí / Ô tô / Tự động hóa</t>
        </is>
      </c>
      <c r="K6702" s="10" t="inlineStr">
        <is>
          <t>1 - 2 Năm</t>
        </is>
      </c>
      <c r="L6702" s="11">
        <f>HYPERLINK("https://careerviet.vn/vi/tim-viec-lam/nhan-vien-bao-tri-co-khi-lam-viec-tai-tay-ninh.35C65B27.html","Xem chi tiết")</f>
        <v/>
      </c>
      <c r="M6702" s="10" t="n"/>
    </row>
    <row r="6703">
      <c r="B6703" s="7" t="n">
        <v>6701</v>
      </c>
      <c r="C6703" t="inlineStr">
        <is>
          <t>[Bắc Ninh] Nhân viên chứng từ Kho</t>
        </is>
      </c>
      <c r="D6703" t="inlineStr">
        <is>
          <t>CÔNG TY CỔ PHẦN  ITL LOGISTICS</t>
        </is>
      </c>
      <c r="E6703" t="inlineStr">
        <is>
          <t>Lương:Cạnh tranh</t>
        </is>
      </c>
      <c r="F6703" t="inlineStr">
        <is>
          <t>Bắc Ninh</t>
        </is>
      </c>
      <c r="G6703" t="inlineStr">
        <is>
          <t>15-04-2026</t>
        </is>
      </c>
      <c r="H6703" t="inlineStr">
        <is>
          <t>15/04/2026</t>
        </is>
      </c>
      <c r="I6703" t="inlineStr">
        <is>
          <t>17/03/2026</t>
        </is>
      </c>
      <c r="J6703" t="inlineStr">
        <is>
          <t>Vận chuyển / Giao nhận / Kho vận</t>
        </is>
      </c>
      <c r="K6703" t="inlineStr">
        <is>
          <t>1 - 2 Năm</t>
        </is>
      </c>
      <c r="L6703" s="8">
        <f>HYPERLINK("https://careerviet.vn/vi/tim-viec-lam/bac-ninh-nhan-vien-chung-tu-kho.35C65B3A.html","Xem chi tiết")</f>
        <v/>
      </c>
    </row>
    <row r="6704">
      <c r="B6704" s="9" t="n">
        <v>6702</v>
      </c>
      <c r="C6704" s="10" t="inlineStr">
        <is>
          <t>[Nova Service Group] Chuyên viên cao cấp Tổ chức Quản lý Kênh Digital IC-EB</t>
        </is>
      </c>
      <c r="D6704" s="10" t="inlineStr">
        <is>
          <t>Nova Service Group - Công ty Cổ phần Tập đoàn Nova Services</t>
        </is>
      </c>
      <c r="E6704" s="10" t="inlineStr">
        <is>
          <t>Lương:Cạnh tranh</t>
        </is>
      </c>
      <c r="F6704" s="10" t="inlineStr">
        <is>
          <t>Hồ Chí Minh</t>
        </is>
      </c>
      <c r="G6704" s="10" t="inlineStr">
        <is>
          <t>15-04-2026</t>
        </is>
      </c>
      <c r="H6704" s="10" t="inlineStr">
        <is>
          <t>15/04/2026</t>
        </is>
      </c>
      <c r="I6704" s="10" t="inlineStr">
        <is>
          <t>17/03/2026</t>
        </is>
      </c>
      <c r="J6704" s="10" t="inlineStr">
        <is>
          <t>Quảng cáo / Đối ngoại / Truyền Thông</t>
        </is>
      </c>
      <c r="K6704" s="10" t="inlineStr">
        <is>
          <t>5 - 7 Năm</t>
        </is>
      </c>
      <c r="L6704" s="11">
        <f>HYPERLINK("https://careerviet.vn/vi/tim-viec-lam/nova-service-group-chuyen-vien-cao-cap-to-chuc-quan-ly-kenh-digital-ic-eb.35C65AD2.html","Xem chi tiết")</f>
        <v/>
      </c>
      <c r="M6704" s="10" t="n"/>
    </row>
    <row r="6705">
      <c r="B6705" s="7" t="n">
        <v>6703</v>
      </c>
      <c r="C6705" t="inlineStr">
        <is>
          <t>Nhân Viên Kinh Doanh Hàng Thực Phẩm Tại Vĩnh Phúc</t>
        </is>
      </c>
      <c r="D6705" t="inlineStr">
        <is>
          <t>Công ty TNHH Chế biến thực phẩm Đông Đô</t>
        </is>
      </c>
      <c r="E6705" t="inlineStr">
        <is>
          <t>Lương:13 Tr - 16 Tr VND</t>
        </is>
      </c>
      <c r="F6705" t="inlineStr">
        <is>
          <t>Vĩnh Phúc</t>
        </is>
      </c>
      <c r="G6705" t="inlineStr">
        <is>
          <t>15-04-2026</t>
        </is>
      </c>
      <c r="H6705" t="inlineStr">
        <is>
          <t>15/04/2026</t>
        </is>
      </c>
      <c r="I6705" t="inlineStr">
        <is>
          <t>17/03/2026</t>
        </is>
      </c>
      <c r="J6705" t="inlineStr">
        <is>
          <t>Bán lẻ / Bán sỉ, Bán hàng / Kinh doanh, Thực phẩm &amp; Đồ uống</t>
        </is>
      </c>
      <c r="K6705" t="inlineStr">
        <is>
          <t>1 - 2 Năm</t>
        </is>
      </c>
      <c r="L6705" s="8">
        <f>HYPERLINK("https://careerviet.vn/vi/tim-viec-lam/nhan-vien-kinh-doanh-hang-thuc-pham-tai-vinh-phuc.35C65B71.html","Xem chi tiết")</f>
        <v/>
      </c>
    </row>
    <row r="6706">
      <c r="B6706" s="9" t="n">
        <v>6704</v>
      </c>
      <c r="C6706" s="10" t="inlineStr">
        <is>
          <t>Nhân viên sản xuất biết tiếng hàn ( Long An)</t>
        </is>
      </c>
      <c r="D6706" s="10" t="inlineStr">
        <is>
          <t>Công ty TNHH Yura Corporation Vina</t>
        </is>
      </c>
      <c r="E6706" s="10" t="inlineStr">
        <is>
          <t>Lương:Cạnh tranh</t>
        </is>
      </c>
      <c r="F6706" s="10" t="inlineStr">
        <is>
          <t>Long An</t>
        </is>
      </c>
      <c r="G6706" s="10" t="inlineStr">
        <is>
          <t>15-04-2026</t>
        </is>
      </c>
      <c r="H6706" s="10" t="inlineStr">
        <is>
          <t>15/04/2026</t>
        </is>
      </c>
      <c r="I6706" s="10" t="inlineStr">
        <is>
          <t>17/03/2026</t>
        </is>
      </c>
      <c r="J6706" s="10" t="inlineStr">
        <is>
          <t>Biên phiên dịch</t>
        </is>
      </c>
      <c r="K6706" s="10" t="inlineStr">
        <is>
          <t>3 - 10 Năm</t>
        </is>
      </c>
      <c r="L6706" s="11">
        <f>HYPERLINK("https://careerviet.vn/vi/tim-viec-lam/nhan-vien-san-xuat-biet-tieng-han-long-an.35C593A7.html","Xem chi tiết")</f>
        <v/>
      </c>
      <c r="M6706" s="10" t="n"/>
    </row>
    <row r="6707">
      <c r="B6707" s="7" t="n">
        <v>6705</v>
      </c>
      <c r="C6707" t="inlineStr">
        <is>
          <t>Kỹ sư QS QC ( Hồ sơ)</t>
        </is>
      </c>
      <c r="D6707" t="inlineStr">
        <is>
          <t>Công ty cổ phần công nghiệp dân dụng công nghiệp Hà Nội</t>
        </is>
      </c>
      <c r="E6707" t="inlineStr">
        <is>
          <t>Lương:14 Tr - 18 Tr VND</t>
        </is>
      </c>
      <c r="F6707" t="inlineStr">
        <is>
          <t>Hà NộiHà Nam</t>
        </is>
      </c>
      <c r="G6707" t="inlineStr">
        <is>
          <t>15-04-2026</t>
        </is>
      </c>
      <c r="H6707" t="inlineStr">
        <is>
          <t>15/04/2026</t>
        </is>
      </c>
      <c r="I6707" t="inlineStr">
        <is>
          <t>17/03/2026</t>
        </is>
      </c>
      <c r="J6707" t="inlineStr">
        <is>
          <t>Quản lý chất lượng (QA/QC), Kiến trúc, Xây dựng</t>
        </is>
      </c>
      <c r="K6707" t="inlineStr">
        <is>
          <t>Trên 1 Năm</t>
        </is>
      </c>
      <c r="L6707" s="8">
        <f>HYPERLINK("https://careerviet.vn/vi/tim-viec-lam/ky-su-qs-qc-ho-so.35C65B46.html","Xem chi tiết")</f>
        <v/>
      </c>
    </row>
    <row r="6708">
      <c r="B6708" s="9" t="n">
        <v>6706</v>
      </c>
      <c r="C6708" s="10" t="inlineStr">
        <is>
          <t>Merchandise Senior Executive (Beverage)</t>
        </is>
      </c>
      <c r="D6708" s="10" t="inlineStr">
        <is>
          <t>Công ty TNHH GS25 Vietnam</t>
        </is>
      </c>
      <c r="E6708" s="10" t="inlineStr">
        <is>
          <t>Lương:Cạnh tranh</t>
        </is>
      </c>
      <c r="F6708" s="10" t="inlineStr">
        <is>
          <t>Hồ Chí Minh</t>
        </is>
      </c>
      <c r="G6708" s="10" t="inlineStr">
        <is>
          <t>15-04-2026</t>
        </is>
      </c>
      <c r="H6708" s="10" t="inlineStr">
        <is>
          <t>15/04/2026</t>
        </is>
      </c>
      <c r="I6708" s="10" t="inlineStr">
        <is>
          <t>17/03/2026</t>
        </is>
      </c>
      <c r="J6708" s="10" t="inlineStr">
        <is>
          <t>Bán lẻ / Bán sỉ</t>
        </is>
      </c>
      <c r="K6708" s="10" t="inlineStr">
        <is>
          <t>3 - 5 Năm</t>
        </is>
      </c>
      <c r="L6708" s="11">
        <f>HYPERLINK("https://careerviet.vn/vi/tim-viec-lam/merchandise-senior-executive-beverage.35C65B38.html","Xem chi tiết")</f>
        <v/>
      </c>
      <c r="M6708" s="10" t="n"/>
    </row>
    <row r="6709">
      <c r="B6709" s="7" t="n">
        <v>6707</v>
      </c>
      <c r="C6709" t="inlineStr">
        <is>
          <t>Dược sĩ Kho làm việc tại Thủ Đức, HCM (Thời vụ 6 tháng)</t>
        </is>
      </c>
      <c r="D6709" t="inlineStr">
        <is>
          <t>Công Ty Cổ Phần Vacxin Việt Nam</t>
        </is>
      </c>
      <c r="E6709" t="inlineStr">
        <is>
          <t>Lương:7 Tr - 9 Tr VND</t>
        </is>
      </c>
      <c r="F6709" t="inlineStr">
        <is>
          <t>Hồ Chí Minh</t>
        </is>
      </c>
      <c r="G6709" t="inlineStr">
        <is>
          <t>15-04-2026</t>
        </is>
      </c>
      <c r="H6709" t="inlineStr">
        <is>
          <t>15/04/2026</t>
        </is>
      </c>
      <c r="I6709" t="inlineStr">
        <is>
          <t>17/03/2026</t>
        </is>
      </c>
      <c r="J6709" t="inlineStr">
        <is>
          <t>Dược phẩm/ Hóa Mỹ Phẩm, Y tế / Chăm sóc sức khỏe / Thẩm mỹ / Làm đẹp, Vận chuyển / Giao nhận / Kho vận</t>
        </is>
      </c>
      <c r="K6709" t="inlineStr">
        <is>
          <t>Lên đến 1 Năm</t>
        </is>
      </c>
      <c r="L6709" s="8">
        <f>HYPERLINK("https://careerviet.vn/vi/tim-viec-lam/duoc-si-kho-lam-viec-tai-thu-duc-hcm-thoi-vu-6-thang.35C65AE7.html","Xem chi tiết")</f>
        <v/>
      </c>
    </row>
    <row r="6710">
      <c r="B6710" s="9" t="n">
        <v>6708</v>
      </c>
      <c r="C6710" s="10" t="inlineStr">
        <is>
          <t>Quản Lý Vùng ETC (THÁI NGUYÊN, PHÚ THỌ, TUYÊN QUANG, LÀO CAI, SƠN LA - TỈNH MỚI)</t>
        </is>
      </c>
      <c r="D6710" s="10" t="inlineStr">
        <is>
          <t>Công ty cổ phần Anvy</t>
        </is>
      </c>
      <c r="E6710" s="10" t="inlineStr">
        <is>
          <t>Lương:25 Tr - 40 Tr VND</t>
        </is>
      </c>
      <c r="F6710" s="10" t="inlineStr">
        <is>
          <t>Hà Nội</t>
        </is>
      </c>
      <c r="G6710" s="10" t="inlineStr">
        <is>
          <t>15-04-2026</t>
        </is>
      </c>
      <c r="H6710" s="10" t="inlineStr">
        <is>
          <t>15/04/2026</t>
        </is>
      </c>
      <c r="I6710" s="10" t="inlineStr">
        <is>
          <t>17/03/2026</t>
        </is>
      </c>
      <c r="J6710" s="10" t="inlineStr">
        <is>
          <t>Bán lẻ / Bán sỉ, Dược phẩm/ Hóa Mỹ Phẩm, Y tế / Chăm sóc sức khỏe / Thẩm mỹ / Làm đẹp</t>
        </is>
      </c>
      <c r="K6710" s="10" t="inlineStr">
        <is>
          <t>3 - 5 Năm</t>
        </is>
      </c>
      <c r="L6710" s="11">
        <f>HYPERLINK("https://careerviet.vn/vi/tim-viec-lam/quan-ly-vung-etc-thai-nguyen-phu-tho-tuyen-quang-lao-cai-son-la-tinh-moi.35C659FC.html","Xem chi tiết")</f>
        <v/>
      </c>
      <c r="M6710" s="10" t="n"/>
    </row>
    <row r="6711">
      <c r="B6711" s="7" t="n">
        <v>6709</v>
      </c>
      <c r="C6711" t="inlineStr">
        <is>
          <t>Chuyên viên Nhiệt điện (Làm việc tại Tây Ninh)</t>
        </is>
      </c>
      <c r="D6711" t="inlineStr">
        <is>
          <t>Công ty CP Thành Thành Công - Biên Hòa</t>
        </is>
      </c>
      <c r="E6711" t="inlineStr">
        <is>
          <t>Lương:Cạnh tranh</t>
        </is>
      </c>
      <c r="F6711" t="inlineStr">
        <is>
          <t>Tây Ninh</t>
        </is>
      </c>
      <c r="G6711" t="inlineStr">
        <is>
          <t>15-04-2026</t>
        </is>
      </c>
      <c r="H6711" t="inlineStr">
        <is>
          <t>15/04/2026</t>
        </is>
      </c>
      <c r="I6711" t="inlineStr">
        <is>
          <t>17/03/2026</t>
        </is>
      </c>
      <c r="J6711" t="inlineStr">
        <is>
          <t>Bảo trì / Sửa chữa, Công nghệ thực phẩm / Dinh dưỡng, Cơ khí / Ô tô / Tự động hóa</t>
        </is>
      </c>
      <c r="K6711" t="inlineStr">
        <is>
          <t>2 - 3 Năm</t>
        </is>
      </c>
      <c r="L6711" s="8">
        <f>HYPERLINK("https://careerviet.vn/vi/tim-viec-lam/chuyen-vien-nhiet-dien-lam-viec-tai-tay-ninh.35C65B2E.html","Xem chi tiết")</f>
        <v/>
      </c>
    </row>
    <row r="6712">
      <c r="B6712" s="9" t="n">
        <v>6710</v>
      </c>
      <c r="C6712" s="10" t="inlineStr">
        <is>
          <t>Chuyên Viên Tư Vấn Tài Chính Toàn Thời Gian - Thu Nhập từ 20 - 50 triệu</t>
        </is>
      </c>
      <c r="D6712" s="10" t="inlineStr">
        <is>
          <t>Công ty TNHH Bảo hiểm nhân thọ Prudential Việt Nam</t>
        </is>
      </c>
      <c r="E6712" s="10" t="inlineStr">
        <is>
          <t>Lương:20 Tr - 50 Tr VND</t>
        </is>
      </c>
      <c r="F6712" s="10" t="inlineStr">
        <is>
          <t>Hà NộiHồ Chí Minh</t>
        </is>
      </c>
      <c r="G6712" s="10" t="inlineStr">
        <is>
          <t>15-04-2026</t>
        </is>
      </c>
      <c r="H6712" s="10" t="inlineStr">
        <is>
          <t>15/04/2026</t>
        </is>
      </c>
      <c r="I6712" s="10" t="inlineStr">
        <is>
          <t>17/03/2026</t>
        </is>
      </c>
      <c r="J6712" s="10" t="inlineStr">
        <is>
          <t>Tư vấn, Dịch vụ khách hàng, Ngân hàng</t>
        </is>
      </c>
      <c r="K6712" s="10" t="inlineStr">
        <is>
          <t>2 - 5 Năm</t>
        </is>
      </c>
      <c r="L6712" s="11">
        <f>HYPERLINK("https://careerviet.vn/vi/tim-viec-lam/chuyen-vien-tu-van-tai-chinh-toan-thoi-gian-thu-nhap-tu-20-50-trieu.35C641B7.html","Xem chi tiết")</f>
        <v/>
      </c>
      <c r="M6712" s="10" t="n"/>
    </row>
    <row r="6713">
      <c r="B6713" s="7" t="n">
        <v>6711</v>
      </c>
      <c r="C6713" t="inlineStr">
        <is>
          <t>CVC/CVCC Bán hàng trực tiếp - Hà Nội - TA 187</t>
        </is>
      </c>
      <c r="D6713" t="inlineStr">
        <is>
          <t>Ngân Hàng TMCP Việt Nam Thịnh Vượng - VPBANK</t>
        </is>
      </c>
      <c r="E6713" t="inlineStr">
        <is>
          <t>Lương:20 Tr - 50 Tr VND</t>
        </is>
      </c>
      <c r="F6713" t="inlineStr">
        <is>
          <t>Hà Nội</t>
        </is>
      </c>
      <c r="G6713" t="inlineStr">
        <is>
          <t>15-04-2026</t>
        </is>
      </c>
      <c r="H6713" t="inlineStr">
        <is>
          <t>15/04/2026</t>
        </is>
      </c>
      <c r="I6713" t="inlineStr">
        <is>
          <t>17/03/2026</t>
        </is>
      </c>
      <c r="J6713" t="inlineStr">
        <is>
          <t>Ngân hàng</t>
        </is>
      </c>
      <c r="K6713" t="inlineStr">
        <is>
          <t>Trên 2 Năm</t>
        </is>
      </c>
      <c r="L6713" s="8">
        <f>HYPERLINK("https://careerviet.vn/vi/tim-viec-lam/cvc-cvcc-ban-hang-truc-tiep-ha-noi-ta-187.35C65B7F.html","Xem chi tiết")</f>
        <v/>
      </c>
    </row>
    <row r="6714">
      <c r="B6714" s="9" t="n">
        <v>6712</v>
      </c>
      <c r="C6714" s="10" t="inlineStr">
        <is>
          <t>TRƯỞNG BỘ PHẬN THỬ NGHIỆM SẢN PHẨM</t>
        </is>
      </c>
      <c r="D6714" s="10" t="inlineStr">
        <is>
          <t>Công ty TNHH Giày Apache Việt Nam</t>
        </is>
      </c>
      <c r="E6714" s="10" t="inlineStr">
        <is>
          <t>Lương:15 Tr - 22 Tr VND</t>
        </is>
      </c>
      <c r="F6714" s="10" t="inlineStr">
        <is>
          <t>Tiền Giang</t>
        </is>
      </c>
      <c r="G6714" s="10" t="inlineStr">
        <is>
          <t>15-04-2026</t>
        </is>
      </c>
      <c r="H6714" s="10" t="inlineStr">
        <is>
          <t>15/04/2026</t>
        </is>
      </c>
      <c r="I6714" s="10" t="inlineStr">
        <is>
          <t>17/03/2026</t>
        </is>
      </c>
      <c r="J6714" s="10" t="inlineStr">
        <is>
          <t>Dệt may / Da giày / Thời trang</t>
        </is>
      </c>
      <c r="K6714" s="10" t="inlineStr">
        <is>
          <t>1 - 3 Năm</t>
        </is>
      </c>
      <c r="L6714" s="11">
        <f>HYPERLINK("https://careerviet.vn/vi/tim-viec-lam/truong-bo-phan-thu-nghiem-san-pham.35C65B1D.html","Xem chi tiết")</f>
        <v/>
      </c>
      <c r="M6714" s="10" t="n"/>
    </row>
    <row r="6715">
      <c r="B6715" s="7" t="n">
        <v>6713</v>
      </c>
      <c r="C6715" t="inlineStr">
        <is>
          <t>Chuyên viên Tư vấn Tài chính Cá nhân - TA154 (Hòa Bình, Vĩnh Phúc, Bắc Giang)</t>
        </is>
      </c>
      <c r="D6715" t="inlineStr">
        <is>
          <t>Ngân Hàng TMCP Việt Nam Thịnh Vượng - VPBANK</t>
        </is>
      </c>
      <c r="E6715" t="inlineStr">
        <is>
          <t>Lương:Cạnh tranh</t>
        </is>
      </c>
      <c r="F6715" t="inlineStr">
        <is>
          <t>Hòa BìnhVĩnh PhúcBắc Giang</t>
        </is>
      </c>
      <c r="G6715" t="inlineStr">
        <is>
          <t>15-04-2026</t>
        </is>
      </c>
      <c r="H6715" t="inlineStr">
        <is>
          <t>15/04/2026</t>
        </is>
      </c>
      <c r="I6715" t="inlineStr">
        <is>
          <t>17/03/2026</t>
        </is>
      </c>
      <c r="J6715" t="inlineStr">
        <is>
          <t>Bán hàng / Kinh doanh, Dịch vụ khách hàng, Ngân hàng</t>
        </is>
      </c>
      <c r="K6715" t="inlineStr">
        <is>
          <t>Trên 1 Năm</t>
        </is>
      </c>
      <c r="L6715" s="8">
        <f>HYPERLINK("https://careerviet.vn/vi/tim-viec-lam/chuyen-vien-tu-van-tai-chinh-ca-nhan-ta154-hoa-binh-vinh-phuc-bac-giang.35C65BC9.html","Xem chi tiết")</f>
        <v/>
      </c>
    </row>
    <row r="6716">
      <c r="B6716" s="9" t="n">
        <v>6714</v>
      </c>
      <c r="C6716" s="10" t="inlineStr">
        <is>
          <t>HVAC Engineer</t>
        </is>
      </c>
      <c r="D6716" s="10" t="inlineStr">
        <is>
          <t>Công ty TNHH Bình Việt Đức (BIVID)</t>
        </is>
      </c>
      <c r="E6716" s="10" t="inlineStr">
        <is>
          <t>Lương:18 Tr - 30 Tr VND</t>
        </is>
      </c>
      <c r="F6716" s="10" t="inlineStr">
        <is>
          <t>Hồ Chí Minh</t>
        </is>
      </c>
      <c r="G6716" s="10" t="inlineStr">
        <is>
          <t>15-04-2026</t>
        </is>
      </c>
      <c r="H6716" s="10" t="inlineStr">
        <is>
          <t>15/04/2026</t>
        </is>
      </c>
      <c r="I6716" s="10" t="inlineStr">
        <is>
          <t>17/03/2026</t>
        </is>
      </c>
      <c r="J6716" s="10" t="inlineStr">
        <is>
          <t>Bán hàng / Kinh doanh, Dược phẩm/ Hóa Mỹ Phẩm, Điện / Điện tử / Điện lạnh / Điện công nghiệp</t>
        </is>
      </c>
      <c r="K6716" s="10" t="inlineStr">
        <is>
          <t>2 - 3 Năm</t>
        </is>
      </c>
      <c r="L6716" s="11">
        <f>HYPERLINK("https://careerviet.vn/vi/tim-viec-lam/hvac-engineer.35C65A8E.html","Xem chi tiết")</f>
        <v/>
      </c>
      <c r="M6716" s="10" t="n"/>
    </row>
    <row r="6717">
      <c r="B6717" s="7" t="n">
        <v>6715</v>
      </c>
      <c r="C6717" t="inlineStr">
        <is>
          <t>Kỹ sư thực hiện triển khai Shop Drawings (Nhà thầu Xây dựng)</t>
        </is>
      </c>
      <c r="D6717" t="inlineStr">
        <is>
          <t>CÔNG TY CỔ PHẦN IFF HOLDINGS</t>
        </is>
      </c>
      <c r="E6717" t="inlineStr">
        <is>
          <t>Lương:Cạnh tranh</t>
        </is>
      </c>
      <c r="F6717" t="inlineStr">
        <is>
          <t>Đà Nẵng</t>
        </is>
      </c>
      <c r="G6717" t="inlineStr">
        <is>
          <t>15-04-2026</t>
        </is>
      </c>
      <c r="H6717" t="inlineStr">
        <is>
          <t>15/04/2026</t>
        </is>
      </c>
      <c r="I6717" t="inlineStr">
        <is>
          <t>17/03/2026</t>
        </is>
      </c>
      <c r="J6717" t="inlineStr">
        <is>
          <t>Xây dựng</t>
        </is>
      </c>
      <c r="K6717" t="inlineStr">
        <is>
          <t>3 - 5 Năm</t>
        </is>
      </c>
      <c r="L6717" s="8">
        <f>HYPERLINK("https://careerviet.vn/vi/tim-viec-lam/ky-su-thuc-hien-trien-khai-shop-drawings-nha-thau-xay-dung.35C65B4C.html","Xem chi tiết")</f>
        <v/>
      </c>
    </row>
    <row r="6718">
      <c r="B6718" s="9" t="n">
        <v>6716</v>
      </c>
      <c r="C6718" s="10" t="inlineStr">
        <is>
          <t>Chuyên viên Kế toán tổng hợp -thuế</t>
        </is>
      </c>
      <c r="D6718" s="10" t="inlineStr">
        <is>
          <t>S.F. EXPRESS LTD.</t>
        </is>
      </c>
      <c r="E6718" s="10" t="inlineStr">
        <is>
          <t>Lương:Cạnh tranh</t>
        </is>
      </c>
      <c r="F6718" s="10" t="inlineStr">
        <is>
          <t>Hồ Chí Minh</t>
        </is>
      </c>
      <c r="G6718" s="10" t="inlineStr">
        <is>
          <t>15-04-2026</t>
        </is>
      </c>
      <c r="H6718" s="10" t="inlineStr">
        <is>
          <t>15/04/2026</t>
        </is>
      </c>
      <c r="I6718" s="10" t="inlineStr">
        <is>
          <t>17/03/2026</t>
        </is>
      </c>
      <c r="J6718" s="10" t="inlineStr">
        <is>
          <t>Kế toán / Kiểm toán, Tài chính / Đầu tư, Vận chuyển / Giao nhận / Kho vận</t>
        </is>
      </c>
      <c r="K6718" s="10" t="inlineStr">
        <is>
          <t>1 - 3 Năm</t>
        </is>
      </c>
      <c r="L6718" s="11">
        <f>HYPERLINK("https://careerviet.vn/vi/tim-viec-lam/chuyen-vien-ke-toan-tong-hop-thue.35C65B9B.html","Xem chi tiết")</f>
        <v/>
      </c>
      <c r="M6718" s="10" t="n"/>
    </row>
    <row r="6719">
      <c r="B6719" s="7" t="n">
        <v>6717</v>
      </c>
      <c r="C6719" t="inlineStr">
        <is>
          <t>CVC/CVCC Quan hệ khách hàng ưu tiên - Quảng Ninh - TA 187</t>
        </is>
      </c>
      <c r="D6719" t="inlineStr">
        <is>
          <t>Ngân Hàng TMCP Việt Nam Thịnh Vượng - VPBANK</t>
        </is>
      </c>
      <c r="E6719" t="inlineStr">
        <is>
          <t>Lương:20 Tr - 30 Tr VND</t>
        </is>
      </c>
      <c r="F6719" t="inlineStr">
        <is>
          <t>Quảng Ninh</t>
        </is>
      </c>
      <c r="G6719" t="inlineStr">
        <is>
          <t>15-04-2026</t>
        </is>
      </c>
      <c r="H6719" t="inlineStr">
        <is>
          <t>15/04/2026</t>
        </is>
      </c>
      <c r="I6719" t="inlineStr">
        <is>
          <t>17/03/2026</t>
        </is>
      </c>
      <c r="J6719" t="inlineStr">
        <is>
          <t>Ngân hàng</t>
        </is>
      </c>
      <c r="K6719" t="inlineStr">
        <is>
          <t>Trên 2 Năm</t>
        </is>
      </c>
      <c r="L6719" s="8">
        <f>HYPERLINK("https://careerviet.vn/vi/tim-viec-lam/cvc-cvcc-quan-he-khach-hang-uu-tien-quang-ninh-ta-187.35C65BB2.html","Xem chi tiết")</f>
        <v/>
      </c>
    </row>
    <row r="6720">
      <c r="B6720" s="9" t="n">
        <v>6718</v>
      </c>
      <c r="C6720" s="10" t="inlineStr">
        <is>
          <t>NHÂN VIÊN TƯ VẤN ĐỒNG PHỤC-THIẾT KẾ MẪU</t>
        </is>
      </c>
      <c r="D6720" s="10" t="inlineStr">
        <is>
          <t>CÔNG TY CỔ PHẦN THỜI TRANG ĐỒNG PHỤC HOA TAY</t>
        </is>
      </c>
      <c r="E6720" s="10" t="inlineStr">
        <is>
          <t>Lương:9 Tr - 12 Tr VND</t>
        </is>
      </c>
      <c r="F6720" s="10" t="inlineStr">
        <is>
          <t>Hồ Chí Minh</t>
        </is>
      </c>
      <c r="G6720" s="10" t="inlineStr">
        <is>
          <t>15-04-2026</t>
        </is>
      </c>
      <c r="H6720" s="10" t="inlineStr">
        <is>
          <t>15/04/2026</t>
        </is>
      </c>
      <c r="I6720" s="10" t="inlineStr">
        <is>
          <t>17/03/2026</t>
        </is>
      </c>
      <c r="J6720" s="10" t="inlineStr">
        <is>
          <t>Dệt may / Da giày / Thời trang</t>
        </is>
      </c>
      <c r="K6720" s="10" t="inlineStr">
        <is>
          <t>2 - 3 Năm</t>
        </is>
      </c>
      <c r="L6720" s="11">
        <f>HYPERLINK("https://careerviet.vn/vi/tim-viec-lam/nhan-vien-tu-van-dong-phuc-thiet-ke-mau.35C65AA6.html","Xem chi tiết")</f>
        <v/>
      </c>
      <c r="M6720" s="10" t="n"/>
    </row>
    <row r="6721">
      <c r="B6721" s="7" t="n">
        <v>6719</v>
      </c>
      <c r="C6721" t="inlineStr">
        <is>
          <t>Merchandiser</t>
        </is>
      </c>
      <c r="D6721" t="inlineStr">
        <is>
          <t>HR Vietnam’s ESS Client</t>
        </is>
      </c>
      <c r="E6721" t="inlineStr">
        <is>
          <t>Lương:Cạnh tranh</t>
        </is>
      </c>
      <c r="F6721" t="inlineStr">
        <is>
          <t>Bình Dương</t>
        </is>
      </c>
      <c r="G6721" t="inlineStr">
        <is>
          <t>15-04-2026</t>
        </is>
      </c>
      <c r="H6721" t="inlineStr">
        <is>
          <t>15/04/2026</t>
        </is>
      </c>
      <c r="I6721" t="inlineStr">
        <is>
          <t>17/03/2026</t>
        </is>
      </c>
      <c r="J6721" t="inlineStr">
        <is>
          <t>Thu mua / Vật tư, Dệt may / Da giày / Thời trang</t>
        </is>
      </c>
      <c r="K6721" t="inlineStr">
        <is>
          <t>2 - 5 Năm</t>
        </is>
      </c>
      <c r="L6721" s="8">
        <f>HYPERLINK("https://careerviet.vn/vi/tim-viec-lam/merchandiser.35C65AFC.html","Xem chi tiết")</f>
        <v/>
      </c>
    </row>
    <row r="6722">
      <c r="B6722" s="9" t="n">
        <v>6720</v>
      </c>
      <c r="C6722" s="10" t="inlineStr">
        <is>
          <t>Content &amp; Digital Marketing Executive</t>
        </is>
      </c>
      <c r="D6722" s="10" t="inlineStr">
        <is>
          <t>Công Ty TNHH Map Pacific Singapore</t>
        </is>
      </c>
      <c r="E6722" s="10" t="inlineStr">
        <is>
          <t>Lương:Cạnh tranh</t>
        </is>
      </c>
      <c r="F6722" s="10" t="inlineStr">
        <is>
          <t>Đồng Nai</t>
        </is>
      </c>
      <c r="G6722" s="10" t="inlineStr">
        <is>
          <t>15-04-2026</t>
        </is>
      </c>
      <c r="H6722" s="10" t="inlineStr">
        <is>
          <t>15/04/2026</t>
        </is>
      </c>
      <c r="I6722" s="10" t="inlineStr">
        <is>
          <t>17/03/2026</t>
        </is>
      </c>
      <c r="J6722" s="10" t="inlineStr">
        <is>
          <t>Tiếp thị / Marketing, Nông nghiệp</t>
        </is>
      </c>
      <c r="K6722" s="10" t="inlineStr">
        <is>
          <t>1 - 3 Năm</t>
        </is>
      </c>
      <c r="L6722" s="11">
        <f>HYPERLINK("https://careerviet.vn/vi/tim-viec-lam/content-digital-marketing-executive.35C65A72.html","Xem chi tiết")</f>
        <v/>
      </c>
      <c r="M6722" s="10" t="n"/>
    </row>
    <row r="6723">
      <c r="B6723" s="7" t="n">
        <v>6721</v>
      </c>
      <c r="C6723" t="inlineStr">
        <is>
          <t>Trưởng Nhóm Sales Online</t>
        </is>
      </c>
      <c r="D6723" t="inlineStr">
        <is>
          <t>SCI Group</t>
        </is>
      </c>
      <c r="E6723" t="inlineStr">
        <is>
          <t>Lương:25 Tr - 35 Tr VND</t>
        </is>
      </c>
      <c r="F6723" t="inlineStr">
        <is>
          <t>Hà Nội</t>
        </is>
      </c>
      <c r="G6723" t="inlineStr">
        <is>
          <t>15-04-2026</t>
        </is>
      </c>
      <c r="H6723" t="inlineStr">
        <is>
          <t>15/04/2026</t>
        </is>
      </c>
      <c r="I6723" t="inlineStr">
        <is>
          <t>17/03/2026</t>
        </is>
      </c>
      <c r="J6723" t="inlineStr">
        <is>
          <t>Bán hàng / Kinh doanh, Dịch vụ khách hàng, Y tế / Chăm sóc sức khỏe / Thẩm mỹ / Làm đẹp</t>
        </is>
      </c>
      <c r="K6723" t="inlineStr">
        <is>
          <t>2 - 3 Năm</t>
        </is>
      </c>
      <c r="L6723" s="8">
        <f>HYPERLINK("https://careerviet.vn/vi/tim-viec-lam/truong-nhom-sales-online.35C65AF6.html","Xem chi tiết")</f>
        <v/>
      </c>
    </row>
    <row r="6724">
      <c r="B6724" s="9" t="n">
        <v>6722</v>
      </c>
      <c r="C6724" s="10" t="inlineStr">
        <is>
          <t>Chuyên viên Kế toán quản trị (Làm việc tại Lào)</t>
        </is>
      </c>
      <c r="D6724" s="10" t="inlineStr">
        <is>
          <t>Công ty CP Thành Thành Công - Biên Hòa</t>
        </is>
      </c>
      <c r="E6724" s="10" t="inlineStr">
        <is>
          <t>Lương:16 Tr - 20 Tr VND</t>
        </is>
      </c>
      <c r="F6724" s="10" t="inlineStr">
        <is>
          <t>Attapeu</t>
        </is>
      </c>
      <c r="G6724" s="10" t="inlineStr">
        <is>
          <t>15-04-2026</t>
        </is>
      </c>
      <c r="H6724" s="10" t="inlineStr">
        <is>
          <t>15/04/2026</t>
        </is>
      </c>
      <c r="I6724" s="10" t="inlineStr">
        <is>
          <t>17/03/2026</t>
        </is>
      </c>
      <c r="J6724" s="10" t="inlineStr">
        <is>
          <t>Kế toán / Kiểm toán, Luật / Pháp lý, Tài chính / Đầu tư</t>
        </is>
      </c>
      <c r="K6724" s="10" t="inlineStr">
        <is>
          <t>1 - 2 Năm</t>
        </is>
      </c>
      <c r="L6724" s="11">
        <f>HYPERLINK("https://careerviet.vn/vi/tim-viec-lam/chuyen-vien-ke-toan-quan-tri-lam-viec-tai-lao.35C65B32.html","Xem chi tiết")</f>
        <v/>
      </c>
      <c r="M6724" s="10" t="n"/>
    </row>
    <row r="6725">
      <c r="B6725" s="7" t="n">
        <v>6723</v>
      </c>
      <c r="C6725" t="inlineStr">
        <is>
          <t>[Đống Đa] Nhân Viên Hành Chính - CSKH (Thời Vụ 6 Tháng Hoặc Chính Thức)</t>
        </is>
      </c>
      <c r="D6725" t="inlineStr">
        <is>
          <t>CÔNG TY CỔ PHẦN EUROWINDOW HOLDING</t>
        </is>
      </c>
      <c r="E6725" t="inlineStr">
        <is>
          <t>Lương:9 Tr - 10 Tr VND</t>
        </is>
      </c>
      <c r="F6725" t="inlineStr">
        <is>
          <t>Hà Nội</t>
        </is>
      </c>
      <c r="G6725" t="inlineStr">
        <is>
          <t>15-04-2026</t>
        </is>
      </c>
      <c r="H6725" t="inlineStr">
        <is>
          <t>15/04/2026</t>
        </is>
      </c>
      <c r="I6725" t="inlineStr">
        <is>
          <t>17/03/2026</t>
        </is>
      </c>
      <c r="J6725" t="inlineStr">
        <is>
          <t>Dịch vụ khách hàng, Hành chính / Thư ký, Bất động sản</t>
        </is>
      </c>
      <c r="K6725" t="inlineStr">
        <is>
          <t>1 - 2 Năm</t>
        </is>
      </c>
      <c r="L6725" s="8">
        <f>HYPERLINK("https://careerviet.vn/vi/tim-viec-lam/dong-da-nhan-vien-hanh-chinh-cskh-thoi-vu-6-thang-hoac-chinh-thuc.35C65A35.html","Xem chi tiết")</f>
        <v/>
      </c>
    </row>
    <row r="6726">
      <c r="B6726" s="9" t="n">
        <v>6724</v>
      </c>
      <c r="C6726" s="10" t="inlineStr">
        <is>
          <t>Chuyên viên Điều tra gian lận</t>
        </is>
      </c>
      <c r="D6726" s="10" t="inlineStr">
        <is>
          <t>Tổng Công ty Cổ phần Bảo hiểm Quân đội (MIC)</t>
        </is>
      </c>
      <c r="E6726" s="10" t="inlineStr">
        <is>
          <t>Lương:Cạnh tranh</t>
        </is>
      </c>
      <c r="F6726" s="10" t="inlineStr">
        <is>
          <t>Hà Nội</t>
        </is>
      </c>
      <c r="G6726" s="10" t="inlineStr">
        <is>
          <t>15-04-2026</t>
        </is>
      </c>
      <c r="H6726" s="10" t="inlineStr">
        <is>
          <t>15/04/2026</t>
        </is>
      </c>
      <c r="I6726" s="10" t="inlineStr">
        <is>
          <t>17/03/2026</t>
        </is>
      </c>
      <c r="J6726" s="10" t="inlineStr">
        <is>
          <t>Bảo hiểm, Luật / Pháp lý</t>
        </is>
      </c>
      <c r="K6726" s="10" t="inlineStr">
        <is>
          <t>2 - 5 Năm</t>
        </is>
      </c>
      <c r="L6726" s="11">
        <f>HYPERLINK("https://careerviet.vn/vi/tim-viec-lam/chuyen-vien-dieu-tra-gian-lan.35C65B4D.html","Xem chi tiết")</f>
        <v/>
      </c>
      <c r="M6726" s="10" t="n"/>
    </row>
    <row r="6727">
      <c r="B6727" s="7" t="n">
        <v>6725</v>
      </c>
      <c r="C6727" t="inlineStr">
        <is>
          <t>Chuyên viên Phát triển Sản phẩm và Thúc đẩy bán Dịch vụ Ngân hàng qua kênh Điện tử - [BAC A BANK - Khối Ngân hàng Bán lẻ]</t>
        </is>
      </c>
      <c r="D6727" t="inlineStr">
        <is>
          <t>Ngân Hàng Thương mại cổ phần Bắc Á- BAC A BANK</t>
        </is>
      </c>
      <c r="E6727" t="inlineStr">
        <is>
          <t>Lương:Cạnh tranh</t>
        </is>
      </c>
      <c r="F6727" t="inlineStr">
        <is>
          <t>Hà Nội</t>
        </is>
      </c>
      <c r="G6727" t="inlineStr">
        <is>
          <t>15-04-2026</t>
        </is>
      </c>
      <c r="H6727" t="inlineStr">
        <is>
          <t>15/04/2026</t>
        </is>
      </c>
      <c r="I6727" t="inlineStr">
        <is>
          <t>17/03/2026</t>
        </is>
      </c>
      <c r="J6727" t="inlineStr">
        <is>
          <t>Ngân hàng</t>
        </is>
      </c>
      <c r="K6727" t="inlineStr">
        <is>
          <t>5 - 8 Năm</t>
        </is>
      </c>
      <c r="L6727" s="8">
        <f>HYPERLINK("https://careerviet.vn/vi/tim-viec-lam/chuyen-vien-phat-trien-san-pham-va-thuc-day-ban-dich-vu-ngan-hang-qua-kenh-dien-tu-bac-a-bank-khoi-ngan-hang-ban-le.35C65B2D.html","Xem chi tiết")</f>
        <v/>
      </c>
    </row>
    <row r="6728">
      <c r="B6728" s="9" t="n">
        <v>6726</v>
      </c>
      <c r="C6728" s="10" t="inlineStr">
        <is>
          <t>CVC/CVCC Bán sản phẩm cho vay - Hải Dương - TA 187</t>
        </is>
      </c>
      <c r="D6728" s="10" t="inlineStr">
        <is>
          <t>Ngân Hàng TMCP Việt Nam Thịnh Vượng - VPBANK</t>
        </is>
      </c>
      <c r="E6728" s="10" t="inlineStr">
        <is>
          <t>Lương:20 Tr - 50 Tr VND</t>
        </is>
      </c>
      <c r="F6728" s="10" t="inlineStr">
        <is>
          <t>Hải Dương</t>
        </is>
      </c>
      <c r="G6728" s="10" t="inlineStr">
        <is>
          <t>15-04-2026</t>
        </is>
      </c>
      <c r="H6728" s="10" t="inlineStr">
        <is>
          <t>15/04/2026</t>
        </is>
      </c>
      <c r="I6728" s="10" t="inlineStr">
        <is>
          <t>17/03/2026</t>
        </is>
      </c>
      <c r="J6728" s="10" t="inlineStr">
        <is>
          <t>Ngân hàng</t>
        </is>
      </c>
      <c r="K6728" s="10" t="inlineStr">
        <is>
          <t>Trên 2 Năm</t>
        </is>
      </c>
      <c r="L6728" s="11">
        <f>HYPERLINK("https://careerviet.vn/vi/tim-viec-lam/cvc-cvcc-ban-san-pham-cho-vay-hai-duong-ta-187.35C65B84.html","Xem chi tiết")</f>
        <v/>
      </c>
      <c r="M6728" s="10" t="n"/>
    </row>
    <row r="6729">
      <c r="B6729" s="7" t="n">
        <v>6727</v>
      </c>
      <c r="C6729" t="inlineStr">
        <is>
          <t>Trưởng phòng Kinh doanh Tín chấp - Hà Nội - TA 187</t>
        </is>
      </c>
      <c r="D6729" t="inlineStr">
        <is>
          <t>Ngân Hàng TMCP Việt Nam Thịnh Vượng - VPBANK</t>
        </is>
      </c>
      <c r="E6729" t="inlineStr">
        <is>
          <t>Lương:30 Tr - 50 Tr VND</t>
        </is>
      </c>
      <c r="F6729" t="inlineStr">
        <is>
          <t>Hà Nội</t>
        </is>
      </c>
      <c r="G6729" t="inlineStr">
        <is>
          <t>15-04-2026</t>
        </is>
      </c>
      <c r="H6729" t="inlineStr">
        <is>
          <t>15/04/2026</t>
        </is>
      </c>
      <c r="I6729" t="inlineStr">
        <is>
          <t>17/03/2026</t>
        </is>
      </c>
      <c r="J6729" t="inlineStr">
        <is>
          <t>Ngân hàng</t>
        </is>
      </c>
      <c r="K6729" t="inlineStr">
        <is>
          <t>Trên 3 Năm</t>
        </is>
      </c>
      <c r="L6729" s="8">
        <f>HYPERLINK("https://careerviet.vn/vi/tim-viec-lam/truong-phong-kinh-doanh-tin-chap-ha-noi-ta-187.35C65B7D.html","Xem chi tiết")</f>
        <v/>
      </c>
    </row>
    <row r="6730">
      <c r="B6730" s="9" t="n">
        <v>6728</v>
      </c>
      <c r="C6730" s="10" t="inlineStr">
        <is>
          <t>Nhân viên dự thầu</t>
        </is>
      </c>
      <c r="D6730" s="10" t="inlineStr">
        <is>
          <t>TECOTEC Technology</t>
        </is>
      </c>
      <c r="E6730" s="10" t="inlineStr">
        <is>
          <t>Lương:Trên 12 Tr VND</t>
        </is>
      </c>
      <c r="F6730" s="10" t="inlineStr">
        <is>
          <t>Hà Nội</t>
        </is>
      </c>
      <c r="G6730" s="10" t="inlineStr">
        <is>
          <t>15-04-2026</t>
        </is>
      </c>
      <c r="H6730" s="10" t="inlineStr">
        <is>
          <t>15/04/2026</t>
        </is>
      </c>
      <c r="I6730" s="10" t="inlineStr">
        <is>
          <t>17/03/2026</t>
        </is>
      </c>
      <c r="J6730" s="10" t="inlineStr">
        <is>
          <t>CNTT - Phần mềm, CNTT - Phần cứng / Mạng</t>
        </is>
      </c>
      <c r="K6730" s="10" t="inlineStr">
        <is>
          <t>Trên 3 Năm</t>
        </is>
      </c>
      <c r="L6730" s="11">
        <f>HYPERLINK("https://careerviet.vn/vi/tim-viec-lam/nhan-vien-du-thau.35C65AEB.html","Xem chi tiết")</f>
        <v/>
      </c>
      <c r="M6730" s="10" t="n"/>
    </row>
    <row r="6731">
      <c r="B6731" s="7" t="n">
        <v>6729</v>
      </c>
      <c r="C6731" t="inlineStr">
        <is>
          <t>Trưởng phòng QA ( Tiếng Trung)</t>
        </is>
      </c>
      <c r="D6731" t="inlineStr">
        <is>
          <t>CÔNG TY TNHH QISDA VIỆT NAM</t>
        </is>
      </c>
      <c r="E6731" t="inlineStr">
        <is>
          <t>Lương:35 Tr - 40 Tr VND</t>
        </is>
      </c>
      <c r="F6731" t="inlineStr">
        <is>
          <t>Hà Nam</t>
        </is>
      </c>
      <c r="G6731" t="inlineStr">
        <is>
          <t>15-04-2026</t>
        </is>
      </c>
      <c r="H6731" t="inlineStr">
        <is>
          <t>15/04/2026</t>
        </is>
      </c>
      <c r="I6731" t="inlineStr">
        <is>
          <t>17/03/2026</t>
        </is>
      </c>
      <c r="J6731" t="inlineStr">
        <is>
          <t>Quản lý chất lượng (QA/QC)</t>
        </is>
      </c>
      <c r="K6731" t="inlineStr">
        <is>
          <t>4 - 5 Năm</t>
        </is>
      </c>
      <c r="L6731" s="8">
        <f>HYPERLINK("https://careerviet.vn/vi/tim-viec-lam/truong-phong-qa-tieng-trung.35C65A09.html","Xem chi tiết")</f>
        <v/>
      </c>
    </row>
    <row r="6732">
      <c r="B6732" s="9" t="n">
        <v>6730</v>
      </c>
      <c r="C6732" s="10" t="inlineStr">
        <is>
          <t>Network Administrator/ NHÂN VIÊN QUẢN LÝ HỆ THỐNG MẠNG</t>
        </is>
      </c>
      <c r="D6732" s="10" t="inlineStr">
        <is>
          <t>Công ty TNHH Sài Gòn Stec</t>
        </is>
      </c>
      <c r="E6732" s="10" t="inlineStr">
        <is>
          <t>Lương:12 Tr - 20 Tr VND</t>
        </is>
      </c>
      <c r="F6732" s="10" t="inlineStr">
        <is>
          <t>Bình Dương</t>
        </is>
      </c>
      <c r="G6732" s="10" t="inlineStr">
        <is>
          <t>15-04-2026</t>
        </is>
      </c>
      <c r="H6732" s="10" t="inlineStr">
        <is>
          <t>15/04/2026</t>
        </is>
      </c>
      <c r="I6732" s="10" t="inlineStr">
        <is>
          <t>17/03/2026</t>
        </is>
      </c>
      <c r="J6732" s="10" t="inlineStr">
        <is>
          <t>CNTT - Phần mềm, CNTT - Phần cứng / Mạng</t>
        </is>
      </c>
      <c r="K6732" s="10" t="inlineStr">
        <is>
          <t>2 - 4 Năm</t>
        </is>
      </c>
      <c r="L6732" s="11">
        <f>HYPERLINK("https://careerviet.vn/vi/tim-viec-lam/network-administrator-nhan-vien-quan-ly-he-thong-mang.35C65BD0.html","Xem chi tiết")</f>
        <v/>
      </c>
      <c r="M6732" s="10" t="n"/>
    </row>
    <row r="6733">
      <c r="B6733" s="7" t="n">
        <v>6731</v>
      </c>
      <c r="C6733" t="inlineStr">
        <is>
          <t>Chuyên viên Mua hàng (Làm việc tại Tây Ninh)</t>
        </is>
      </c>
      <c r="D6733" t="inlineStr">
        <is>
          <t>Công ty CP Thành Thành Công - Biên Hòa</t>
        </is>
      </c>
      <c r="E6733" t="inlineStr">
        <is>
          <t>Lương:12 Tr - 17 Tr VND</t>
        </is>
      </c>
      <c r="F6733" t="inlineStr">
        <is>
          <t>Tây Ninh</t>
        </is>
      </c>
      <c r="G6733" t="inlineStr">
        <is>
          <t>15-04-2026</t>
        </is>
      </c>
      <c r="H6733" t="inlineStr">
        <is>
          <t>15/04/2026</t>
        </is>
      </c>
      <c r="I6733" t="inlineStr">
        <is>
          <t>17/03/2026</t>
        </is>
      </c>
      <c r="J6733" t="inlineStr">
        <is>
          <t>Bán lẻ / Bán sỉ, Dịch vụ khách hàng, Kế toán / Kiểm toán</t>
        </is>
      </c>
      <c r="K6733" t="inlineStr">
        <is>
          <t>2 - 3 Năm</t>
        </is>
      </c>
      <c r="L6733" s="8">
        <f>HYPERLINK("https://careerviet.vn/vi/tim-viec-lam/chuyen-vien-mua-hang-lam-viec-tai-tay-ninh.35C65B19.html","Xem chi tiết")</f>
        <v/>
      </c>
    </row>
    <row r="6734">
      <c r="B6734" s="9" t="n">
        <v>6732</v>
      </c>
      <c r="C6734" s="10" t="inlineStr">
        <is>
          <t>CVC/CVCC Bán sản phẩm cho vay - Thái Bình - TA 187</t>
        </is>
      </c>
      <c r="D6734" s="10" t="inlineStr">
        <is>
          <t>Ngân Hàng TMCP Việt Nam Thịnh Vượng - VPBANK</t>
        </is>
      </c>
      <c r="E6734" s="10" t="inlineStr">
        <is>
          <t>Lương:20 Tr - 30 Tr VND</t>
        </is>
      </c>
      <c r="F6734" s="10" t="inlineStr">
        <is>
          <t>Thái Bình</t>
        </is>
      </c>
      <c r="G6734" s="10" t="inlineStr">
        <is>
          <t>15-04-2026</t>
        </is>
      </c>
      <c r="H6734" s="10" t="inlineStr">
        <is>
          <t>15/04/2026</t>
        </is>
      </c>
      <c r="I6734" s="10" t="inlineStr">
        <is>
          <t>17/03/2026</t>
        </is>
      </c>
      <c r="J6734" s="10" t="inlineStr">
        <is>
          <t>Ngân hàng</t>
        </is>
      </c>
      <c r="K6734" s="10" t="inlineStr">
        <is>
          <t>Trên 2 Năm</t>
        </is>
      </c>
      <c r="L6734" s="11">
        <f>HYPERLINK("https://careerviet.vn/vi/tim-viec-lam/cvc-cvcc-ban-san-pham-cho-vay-thai-binh-ta-187.35C65B8A.html","Xem chi tiết")</f>
        <v/>
      </c>
      <c r="M6734" s="10" t="n"/>
    </row>
    <row r="6735">
      <c r="B6735" s="7" t="n">
        <v>6733</v>
      </c>
      <c r="C6735" t="inlineStr">
        <is>
          <t>Korean Interpreter (Korean Assistant)</t>
        </is>
      </c>
      <c r="D6735" t="inlineStr">
        <is>
          <t>LOTTE VIETNAM SHOPPING JOINT STOCK COMPANY</t>
        </is>
      </c>
      <c r="E6735" t="inlineStr">
        <is>
          <t>Lương:Cạnh tranh</t>
        </is>
      </c>
      <c r="F6735" t="inlineStr">
        <is>
          <t>Hồ Chí Minh</t>
        </is>
      </c>
      <c r="G6735" t="inlineStr">
        <is>
          <t>15-04-2026</t>
        </is>
      </c>
      <c r="H6735" t="inlineStr">
        <is>
          <t>15/04/2026</t>
        </is>
      </c>
      <c r="I6735" t="inlineStr">
        <is>
          <t>17/03/2026</t>
        </is>
      </c>
      <c r="J6735" t="inlineStr">
        <is>
          <t>Bán lẻ / Bán sỉ, Biên phiên dịch</t>
        </is>
      </c>
      <c r="K6735" t="inlineStr">
        <is>
          <t>2 - 4 Năm</t>
        </is>
      </c>
      <c r="L6735" s="8">
        <f>HYPERLINK("https://careerviet.vn/vi/tim-viec-lam/korean-interpreter-korean-assistant.35C65AF3.html","Xem chi tiết")</f>
        <v/>
      </c>
    </row>
    <row r="6736">
      <c r="B6736" s="9" t="n">
        <v>6734</v>
      </c>
      <c r="C6736" s="10" t="inlineStr">
        <is>
          <t>Chuyên viên Phát triển Kinh doanh  (Business Development Executive)  – Ngành hàng Mẹ &amp; Bé</t>
        </is>
      </c>
      <c r="D6736" s="10" t="inlineStr">
        <is>
          <t>Công Ty TNHH XNK Cầu Nối Việt</t>
        </is>
      </c>
      <c r="E6736" s="10" t="inlineStr">
        <is>
          <t>Lương:15 Tr - 20 Tr VND</t>
        </is>
      </c>
      <c r="F6736" s="10" t="inlineStr">
        <is>
          <t>Hà Nội</t>
        </is>
      </c>
      <c r="G6736" s="10" t="inlineStr">
        <is>
          <t>15-04-2026</t>
        </is>
      </c>
      <c r="H6736" s="10" t="inlineStr">
        <is>
          <t>15/04/2026</t>
        </is>
      </c>
      <c r="I6736" s="10" t="inlineStr">
        <is>
          <t>17/03/2026</t>
        </is>
      </c>
      <c r="J6736" s="10" t="inlineStr">
        <is>
          <t>Tiếp thị / Marketing, Bán hàng / Kinh doanh, Truyền hình / Báo chí / Biên tập</t>
        </is>
      </c>
      <c r="K6736" s="10" t="inlineStr">
        <is>
          <t>1 - 10 Năm</t>
        </is>
      </c>
      <c r="L6736" s="11">
        <f>HYPERLINK("https://careerviet.vn/vi/tim-viec-lam/chuyen-vien-phat-trien-kinh-doanh-business-development-executive-nganh-hang-me-be.35C65BC1.html","Xem chi tiết")</f>
        <v/>
      </c>
      <c r="M6736" s="10" t="n"/>
    </row>
    <row r="6737">
      <c r="B6737" s="7" t="n">
        <v>6735</v>
      </c>
      <c r="C6737" t="inlineStr">
        <is>
          <t>CVC/CVCC Tư vấn Tài chính Cá nhân - Hưng Yên - TA 187</t>
        </is>
      </c>
      <c r="D6737" t="inlineStr">
        <is>
          <t>Ngân Hàng TMCP Việt Nam Thịnh Vượng - VPBANK</t>
        </is>
      </c>
      <c r="E6737" t="inlineStr">
        <is>
          <t>Lương:20 Tr - 30 Tr VND</t>
        </is>
      </c>
      <c r="F6737" t="inlineStr">
        <is>
          <t>Hưng Yên</t>
        </is>
      </c>
      <c r="G6737" t="inlineStr">
        <is>
          <t>15-04-2026</t>
        </is>
      </c>
      <c r="H6737" t="inlineStr">
        <is>
          <t>15/04/2026</t>
        </is>
      </c>
      <c r="I6737" t="inlineStr">
        <is>
          <t>17/03/2026</t>
        </is>
      </c>
      <c r="J6737" t="inlineStr">
        <is>
          <t>Ngân hàng</t>
        </is>
      </c>
      <c r="K6737" t="inlineStr">
        <is>
          <t>Trên 2 Năm</t>
        </is>
      </c>
      <c r="L6737" s="8">
        <f>HYPERLINK("https://careerviet.vn/vi/tim-viec-lam/cvc-cvcc-tu-van-tai-chinh-ca-nhan-hung-yen-ta-187.35C65BB9.html","Xem chi tiết")</f>
        <v/>
      </c>
    </row>
    <row r="6738">
      <c r="B6738" s="9" t="n">
        <v>6736</v>
      </c>
      <c r="C6738" s="10" t="inlineStr">
        <is>
          <t>Nhân Viên Kho</t>
        </is>
      </c>
      <c r="D6738" s="10" t="inlineStr">
        <is>
          <t>CÔNG TY TNHH THE SQUARE VINA</t>
        </is>
      </c>
      <c r="E6738" s="10" t="inlineStr">
        <is>
          <t>Lương:Cạnh tranh</t>
        </is>
      </c>
      <c r="F6738" s="10" t="inlineStr">
        <is>
          <t>Bà Rịa - Vũng Tàu</t>
        </is>
      </c>
      <c r="G6738" s="10" t="inlineStr">
        <is>
          <t>15-04-2026</t>
        </is>
      </c>
      <c r="H6738" s="10" t="inlineStr">
        <is>
          <t>15/04/2026</t>
        </is>
      </c>
      <c r="I6738" s="10" t="inlineStr">
        <is>
          <t>17/03/2026</t>
        </is>
      </c>
      <c r="J6738" s="10" t="inlineStr">
        <is>
          <t>Vận chuyển / Giao nhận / Kho vận, Hành chính / Thư ký, Xuất nhập khẩu</t>
        </is>
      </c>
      <c r="K6738" s="10" t="inlineStr">
        <is>
          <t>1 - 2 Năm</t>
        </is>
      </c>
      <c r="L6738" s="11">
        <f>HYPERLINK("https://careerviet.vn/vi/tim-viec-lam/nhan-vien-kho.35C65B5C.html","Xem chi tiết")</f>
        <v/>
      </c>
      <c r="M6738" s="10" t="n"/>
    </row>
    <row r="6739">
      <c r="B6739" s="7" t="n">
        <v>6737</v>
      </c>
      <c r="C6739" t="inlineStr">
        <is>
          <t>Nhân Viên Hành Chính Lễ Tân</t>
        </is>
      </c>
      <c r="D6739" t="inlineStr">
        <is>
          <t>Công Ty Cổ Phần Xây Lắp Và Thương Mại Trường Lộc</t>
        </is>
      </c>
      <c r="E6739" t="inlineStr">
        <is>
          <t>Lương:7 Tr - 10 Tr VND</t>
        </is>
      </c>
      <c r="F6739" t="inlineStr">
        <is>
          <t>Hà Nội</t>
        </is>
      </c>
      <c r="G6739" t="inlineStr">
        <is>
          <t>15-04-2026</t>
        </is>
      </c>
      <c r="H6739" t="inlineStr">
        <is>
          <t>15/04/2026</t>
        </is>
      </c>
      <c r="I6739" t="inlineStr">
        <is>
          <t>17/03/2026</t>
        </is>
      </c>
      <c r="J6739" t="inlineStr">
        <is>
          <t>Hành chính / Thư ký, Nhân sự, Xây dựng</t>
        </is>
      </c>
      <c r="K6739" t="inlineStr">
        <is>
          <t>Trên 2 Năm</t>
        </is>
      </c>
      <c r="L6739" s="8">
        <f>HYPERLINK("https://careerviet.vn/vi/tim-viec-lam/nhan-vien-hanh-chinh-le-tan.35C65B45.html","Xem chi tiết")</f>
        <v/>
      </c>
    </row>
    <row r="6740">
      <c r="B6740" s="9" t="n">
        <v>6738</v>
      </c>
      <c r="C6740" s="10" t="inlineStr">
        <is>
          <t>Nhân Viên KHDN Vừa Và Nhỏ - Hà Nội - TA154</t>
        </is>
      </c>
      <c r="D6740" s="10" t="inlineStr">
        <is>
          <t>Ngân Hàng TMCP Việt Nam Thịnh Vượng - VPBANK</t>
        </is>
      </c>
      <c r="E6740" s="10" t="inlineStr">
        <is>
          <t>Lương:Cạnh tranh</t>
        </is>
      </c>
      <c r="F6740" s="10" t="inlineStr">
        <is>
          <t>Hà Nội</t>
        </is>
      </c>
      <c r="G6740" s="10" t="inlineStr">
        <is>
          <t>15-04-2026</t>
        </is>
      </c>
      <c r="H6740" s="10" t="inlineStr">
        <is>
          <t>15/04/2026</t>
        </is>
      </c>
      <c r="I6740" s="10" t="inlineStr">
        <is>
          <t>17/03/2026</t>
        </is>
      </c>
      <c r="J6740" s="10" t="inlineStr">
        <is>
          <t>Bán hàng / Kinh doanh, Ngân hàng, Tài chính / Đầu tư</t>
        </is>
      </c>
      <c r="K6740" s="10" t="inlineStr">
        <is>
          <t>N/A</t>
        </is>
      </c>
      <c r="L6740" s="11">
        <f>HYPERLINK("https://careerviet.vn/vi/tim-viec-lam/nhan-vien-khdn-vua-va-nho-ha-noi-ta154.35C65BAC.html","Xem chi tiết")</f>
        <v/>
      </c>
      <c r="M6740" s="10" t="n"/>
    </row>
    <row r="6741">
      <c r="B6741" s="7" t="n">
        <v>6739</v>
      </c>
      <c r="C6741" t="inlineStr">
        <is>
          <t>Khu vực HCM_CV/Giám đốc QHKH Doanh nghiệp CIB</t>
        </is>
      </c>
      <c r="D6741" t="inlineStr">
        <is>
          <t>Ngân Hàng TMCP Phương Đông - OCB</t>
        </is>
      </c>
      <c r="E6741" t="inlineStr">
        <is>
          <t>Lương:Cạnh tranh</t>
        </is>
      </c>
      <c r="F6741" t="inlineStr">
        <is>
          <t>Hồ Chí Minh</t>
        </is>
      </c>
      <c r="G6741" t="inlineStr">
        <is>
          <t>15-04-2026</t>
        </is>
      </c>
      <c r="H6741" t="inlineStr">
        <is>
          <t>15/04/2026</t>
        </is>
      </c>
      <c r="I6741" t="inlineStr">
        <is>
          <t>17/03/2026</t>
        </is>
      </c>
      <c r="J6741" t="inlineStr">
        <is>
          <t>Bán hàng / Kinh doanh, Ngân hàng</t>
        </is>
      </c>
      <c r="K6741" t="inlineStr">
        <is>
          <t>Trên 1 Năm</t>
        </is>
      </c>
      <c r="L6741" s="8">
        <f>HYPERLINK("https://careerviet.vn/vi/tim-viec-lam/khu-vuc-hcm_cv-giam-doc-qhkh-doanh-nghiep-cib.35C65A7C.html","Xem chi tiết")</f>
        <v/>
      </c>
    </row>
    <row r="6742">
      <c r="B6742" s="9" t="n">
        <v>6740</v>
      </c>
      <c r="C6742" s="10" t="inlineStr">
        <is>
          <t>Trưởng phòng Vận hành</t>
        </is>
      </c>
      <c r="D6742" s="10" t="inlineStr">
        <is>
          <t>Công ty Cổ phần Nha khoa quốc tế Sing</t>
        </is>
      </c>
      <c r="E6742" s="10" t="inlineStr">
        <is>
          <t>Lương:Cạnh tranh</t>
        </is>
      </c>
      <c r="F6742" s="10" t="inlineStr">
        <is>
          <t>Hà Nội</t>
        </is>
      </c>
      <c r="G6742" s="10" t="inlineStr">
        <is>
          <t>15-04-2026</t>
        </is>
      </c>
      <c r="H6742" s="10" t="inlineStr">
        <is>
          <t>15/04/2026</t>
        </is>
      </c>
      <c r="I6742" s="10" t="inlineStr">
        <is>
          <t>17/03/2026</t>
        </is>
      </c>
      <c r="J6742" s="10" t="inlineStr">
        <is>
          <t>Bán lẻ / Bán sỉ, Bán hàng / Kinh doanh, Y tế / Chăm sóc sức khỏe / Thẩm mỹ / Làm đẹp</t>
        </is>
      </c>
      <c r="K6742" s="10" t="inlineStr">
        <is>
          <t>4 - 6 Năm</t>
        </is>
      </c>
      <c r="L6742" s="11">
        <f>HYPERLINK("https://careerviet.vn/vi/tim-viec-lam/truong-phong-van-hanh.35C659E3.html","Xem chi tiết")</f>
        <v/>
      </c>
      <c r="M6742" s="10" t="n"/>
    </row>
    <row r="6743">
      <c r="B6743" s="7" t="n">
        <v>6741</v>
      </c>
      <c r="C6743" t="inlineStr">
        <is>
          <t>Trưởng phòng Quản lý chất lượng (Làm việc tại Lào)</t>
        </is>
      </c>
      <c r="D6743" t="inlineStr">
        <is>
          <t>Công ty CP Thành Thành Công - Biên Hòa</t>
        </is>
      </c>
      <c r="E6743" t="inlineStr">
        <is>
          <t>Lương:Cạnh tranh</t>
        </is>
      </c>
      <c r="F6743" t="inlineStr">
        <is>
          <t>Attapeu</t>
        </is>
      </c>
      <c r="G6743" t="inlineStr">
        <is>
          <t>15-04-2026</t>
        </is>
      </c>
      <c r="H6743" t="inlineStr">
        <is>
          <t>15/04/2026</t>
        </is>
      </c>
      <c r="I6743" t="inlineStr">
        <is>
          <t>17/03/2026</t>
        </is>
      </c>
      <c r="J6743" t="inlineStr">
        <is>
          <t>Công nghệ thực phẩm / Dinh dưỡng, Công nghệ sinh học, Hóa học</t>
        </is>
      </c>
      <c r="K6743" t="inlineStr">
        <is>
          <t>2 - 5 Năm</t>
        </is>
      </c>
      <c r="L6743" s="8">
        <f>HYPERLINK("https://careerviet.vn/vi/tim-viec-lam/truong-phong-quan-ly-chat-luong-lam-viec-tai-lao.35C65AA4.html","Xem chi tiết")</f>
        <v/>
      </c>
    </row>
    <row r="6744">
      <c r="B6744" s="9" t="n">
        <v>6742</v>
      </c>
      <c r="C6744" s="10" t="inlineStr">
        <is>
          <t>Chuyên viên R&amp;D công nghệ (Cơ khí)</t>
        </is>
      </c>
      <c r="D6744" s="10" t="inlineStr">
        <is>
          <t>Tập Đoàn Kim Tín</t>
        </is>
      </c>
      <c r="E6744" s="10" t="inlineStr">
        <is>
          <t>Lương:15 Tr - 25 Tr VND</t>
        </is>
      </c>
      <c r="F6744" s="10" t="inlineStr">
        <is>
          <t>Hồ Chí MinhBình Phước</t>
        </is>
      </c>
      <c r="G6744" s="10" t="inlineStr">
        <is>
          <t>15-04-2026</t>
        </is>
      </c>
      <c r="H6744" s="10" t="inlineStr">
        <is>
          <t>15/04/2026</t>
        </is>
      </c>
      <c r="I6744" s="10" t="inlineStr">
        <is>
          <t>17/03/2026</t>
        </is>
      </c>
      <c r="J6744" s="10" t="inlineStr">
        <is>
          <t>Cơ khí / Ô tô / Tự động hóa, Lâm Nghiệp, Sản xuất / Vận hành sản xuất</t>
        </is>
      </c>
      <c r="K6744" s="10" t="inlineStr">
        <is>
          <t>1 - 3 Năm</t>
        </is>
      </c>
      <c r="L6744" s="11">
        <f>HYPERLINK("https://careerviet.vn/vi/tim-viec-lam/chuyen-vien-r-d-cong-nghe-co-khi.35C65A3E.html","Xem chi tiết")</f>
        <v/>
      </c>
      <c r="M6744" s="10" t="n"/>
    </row>
    <row r="6745">
      <c r="B6745" s="7" t="n">
        <v>6743</v>
      </c>
      <c r="C6745" t="inlineStr">
        <is>
          <t>Facility Staff (Nhân Viên Bảo Trì Cơ Sở Vật Chất)</t>
        </is>
      </c>
      <c r="D6745" t="inlineStr">
        <is>
          <t>DP Systems Electronic Mechanical Technology Vietnam Co., Ltd</t>
        </is>
      </c>
      <c r="E6745" t="inlineStr">
        <is>
          <t>Lương:Cạnh tranh</t>
        </is>
      </c>
      <c r="F6745" t="inlineStr">
        <is>
          <t>Bình Dương</t>
        </is>
      </c>
      <c r="G6745" t="inlineStr">
        <is>
          <t>15-04-2026</t>
        </is>
      </c>
      <c r="H6745" t="inlineStr">
        <is>
          <t>15/04/2026</t>
        </is>
      </c>
      <c r="I6745" t="inlineStr">
        <is>
          <t>17/03/2026</t>
        </is>
      </c>
      <c r="J6745" t="inlineStr">
        <is>
          <t>Điện / Điện tử / Điện lạnh / Điện công nghiệp, Bảo trì / Sửa chữa</t>
        </is>
      </c>
      <c r="K6745" t="inlineStr">
        <is>
          <t>1 - 10 Năm</t>
        </is>
      </c>
      <c r="L6745" s="8">
        <f>HYPERLINK("https://careerviet.vn/vi/tim-viec-lam/facility-staff-nhan-vien-bao-tri-co-so-vat-chat.35C65B6A.html","Xem chi tiết")</f>
        <v/>
      </c>
    </row>
    <row r="6746">
      <c r="B6746" s="9" t="n">
        <v>6744</v>
      </c>
      <c r="C6746" s="10" t="inlineStr">
        <is>
          <t>126846 - Tiếng Nhật - Trưởng Bộ Phận Vẽ CG - Ngành Nội Thất</t>
        </is>
      </c>
      <c r="D6746" s="10" t="inlineStr">
        <is>
          <t>RGF HR Agent Vietnam Co., LTD</t>
        </is>
      </c>
      <c r="E6746" s="10" t="inlineStr">
        <is>
          <t>Lương:30 Tr - 40 Tr VND</t>
        </is>
      </c>
      <c r="F6746" s="10" t="inlineStr">
        <is>
          <t>Hồ Chí Minh</t>
        </is>
      </c>
      <c r="G6746" s="10" t="inlineStr">
        <is>
          <t>15-04-2026</t>
        </is>
      </c>
      <c r="H6746" s="10" t="inlineStr">
        <is>
          <t>15/04/2026</t>
        </is>
      </c>
      <c r="I6746" s="10" t="inlineStr">
        <is>
          <t>17/03/2026</t>
        </is>
      </c>
      <c r="J6746" s="10" t="inlineStr">
        <is>
          <t>Mỹ thuật / Nghệ thuật / Thiết kế, Nội ngoại thất</t>
        </is>
      </c>
      <c r="K6746" s="10" t="inlineStr">
        <is>
          <t>Trên 3 Năm</t>
        </is>
      </c>
      <c r="L6746" s="11">
        <f>HYPERLINK("https://careerviet.vn/vi/tim-viec-lam/126846-tieng-nhat-truong-bo-phan-ve-cg-nganh-noi-that.35C65B03.html","Xem chi tiết")</f>
        <v/>
      </c>
      <c r="M6746" s="10" t="n"/>
    </row>
    <row r="6747">
      <c r="B6747" s="7" t="n">
        <v>6745</v>
      </c>
      <c r="C6747" t="inlineStr">
        <is>
          <t>Kế Toán Ngân Hàng(Mới)</t>
        </is>
      </c>
      <c r="D6747" t="inlineStr">
        <is>
          <t>CÔNG TY CỔ PHẦN TẬP ĐOÀN ONSEN FUJI</t>
        </is>
      </c>
      <c r="E6747" t="inlineStr">
        <is>
          <t>Lương:10 Tr - 14 Tr VND</t>
        </is>
      </c>
      <c r="F6747" t="inlineStr">
        <is>
          <t>Hà Nội</t>
        </is>
      </c>
      <c r="G6747" t="inlineStr">
        <is>
          <t>16-04-2026</t>
        </is>
      </c>
      <c r="H6747" t="inlineStr">
        <is>
          <t>16/04/2026</t>
        </is>
      </c>
      <c r="I6747" t="inlineStr">
        <is>
          <t>17/03/2026</t>
        </is>
      </c>
      <c r="J6747" t="inlineStr">
        <is>
          <t>Kế toán / Kiểm toán, Ngân hàng, Bất động sản</t>
        </is>
      </c>
      <c r="K6747" t="inlineStr">
        <is>
          <t>2 - 3 Năm</t>
        </is>
      </c>
      <c r="L6747" s="8">
        <f>HYPERLINK("https://careerviet.vn/vi/tim-viec-lam/ke-toan-ngan-hang.35C6CDA8.html","Xem chi tiết")</f>
        <v/>
      </c>
    </row>
    <row r="6748">
      <c r="B6748" s="9" t="n">
        <v>6746</v>
      </c>
      <c r="C6748" s="10" t="inlineStr">
        <is>
          <t>Video Creator</t>
        </is>
      </c>
      <c r="D6748" s="10" t="inlineStr">
        <is>
          <t>Công ty TNHH Âme Copain</t>
        </is>
      </c>
      <c r="E6748" s="10" t="inlineStr">
        <is>
          <t>Lương:Cạnh tranh</t>
        </is>
      </c>
      <c r="F6748" s="10" t="inlineStr">
        <is>
          <t>Hồ Chí Minh</t>
        </is>
      </c>
      <c r="G6748" s="10" t="inlineStr">
        <is>
          <t>30-04-2026</t>
        </is>
      </c>
      <c r="H6748" s="10" t="inlineStr">
        <is>
          <t>30/04/2026</t>
        </is>
      </c>
      <c r="I6748" s="10" t="inlineStr">
        <is>
          <t>17/03/2026</t>
        </is>
      </c>
      <c r="J6748" s="10" t="inlineStr">
        <is>
          <t>Tiếp thị / Marketing, Tiếp thị trực tuyến, Quảng cáo / Đối ngoại / Truyền Thông</t>
        </is>
      </c>
      <c r="K6748" s="10" t="inlineStr">
        <is>
          <t>N/A</t>
        </is>
      </c>
      <c r="L6748" s="11">
        <f>HYPERLINK("https://careerviet.vn/vi/tim-viec-lam/video-creator.35C66255.html","Xem chi tiết")</f>
        <v/>
      </c>
      <c r="M6748" s="10" t="n"/>
    </row>
    <row r="6749">
      <c r="B6749" s="7" t="n">
        <v>6747</v>
      </c>
      <c r="C6749" t="inlineStr">
        <is>
          <t>Thực tập sinh hành chánh - nhân sự(Mới)</t>
        </is>
      </c>
      <c r="D6749" t="inlineStr">
        <is>
          <t>CÔNG TY CỔ PHẦN ĐẦU TƯ BẤT ĐỘNG SẢN LÊ VIN LAND</t>
        </is>
      </c>
      <c r="E6749" t="inlineStr">
        <is>
          <t>Lương:Cạnh tranh</t>
        </is>
      </c>
      <c r="F6749" t="inlineStr">
        <is>
          <t>Hồ Chí Minh</t>
        </is>
      </c>
      <c r="G6749" t="inlineStr">
        <is>
          <t>01-04-2026</t>
        </is>
      </c>
      <c r="H6749" t="inlineStr">
        <is>
          <t>01/04/2026</t>
        </is>
      </c>
      <c r="I6749" t="inlineStr">
        <is>
          <t>17/03/2026</t>
        </is>
      </c>
      <c r="J6749" t="inlineStr">
        <is>
          <t>Tiếp thị / Marketing, Hành chính / Thư ký, Nhân sự</t>
        </is>
      </c>
      <c r="K6749" t="inlineStr">
        <is>
          <t>N/A</t>
        </is>
      </c>
      <c r="L6749" s="8">
        <f>HYPERLINK("https://careerviet.vn/vi/tim-viec-lam/thuc-tap-sinh-hanh-chanh-nhan-su.35C6CDA3.html","Xem chi tiết")</f>
        <v/>
      </c>
    </row>
    <row r="6750">
      <c r="B6750" s="9" t="n">
        <v>6748</v>
      </c>
      <c r="C6750" s="10" t="inlineStr">
        <is>
          <t>Chuyên Viên Thanh Tra Kiểm Soát Đấu Thầu(Mới)</t>
        </is>
      </c>
      <c r="D6750" s="10" t="inlineStr">
        <is>
          <t>CÔNG TY CỔ PHẦN EUROWINDOW HOLDING</t>
        </is>
      </c>
      <c r="E6750" s="10" t="inlineStr">
        <is>
          <t>Lương:Cạnh tranh</t>
        </is>
      </c>
      <c r="F6750" s="10" t="inlineStr">
        <is>
          <t>Hà Nội</t>
        </is>
      </c>
      <c r="G6750" s="10" t="inlineStr">
        <is>
          <t>16-04-2026</t>
        </is>
      </c>
      <c r="H6750" s="10" t="inlineStr">
        <is>
          <t>16/04/2026</t>
        </is>
      </c>
      <c r="I6750" s="10" t="inlineStr">
        <is>
          <t>17/03/2026</t>
        </is>
      </c>
      <c r="J6750" s="10" t="inlineStr">
        <is>
          <t>Kiến trúc, Xây dựng, Bất động sản</t>
        </is>
      </c>
      <c r="K6750" s="10" t="inlineStr">
        <is>
          <t>3 - 5 Năm</t>
        </is>
      </c>
      <c r="L6750" s="11">
        <f>HYPERLINK("https://careerviet.vn/vi/tim-viec-lam/chuyen-vien-thanh-tra-kiem-soat-dau-thau.35C6CD9B.html","Xem chi tiết")</f>
        <v/>
      </c>
      <c r="M6750" s="10" t="n"/>
    </row>
    <row r="6751">
      <c r="B6751" s="7" t="n">
        <v>6749</v>
      </c>
      <c r="C6751" t="inlineStr">
        <is>
          <t>Chuyên viên phân tích và Quản trị danh mục, Phòng Quản trị rủi ro và quản trị danh mục, Khối Quản trị rủi ro(Mới)</t>
        </is>
      </c>
      <c r="D6751" t="inlineStr">
        <is>
          <t>Ngân hàng TMCP Đại Chúng Việt Nam - PVcomBank</t>
        </is>
      </c>
      <c r="E6751" t="inlineStr">
        <is>
          <t>Lương:Cạnh tranh</t>
        </is>
      </c>
      <c r="F6751" t="inlineStr">
        <is>
          <t>Hà Nội</t>
        </is>
      </c>
      <c r="G6751" t="inlineStr">
        <is>
          <t>19-04-2026</t>
        </is>
      </c>
      <c r="H6751" t="inlineStr">
        <is>
          <t>19/04/2026</t>
        </is>
      </c>
      <c r="I6751" t="inlineStr">
        <is>
          <t>17/03/2026</t>
        </is>
      </c>
      <c r="J6751" t="inlineStr">
        <is>
          <t>Ngân hàng</t>
        </is>
      </c>
      <c r="K6751" t="inlineStr">
        <is>
          <t>1 - 2 Năm</t>
        </is>
      </c>
      <c r="L6751" s="8">
        <f>HYPERLINK("https://careerviet.vn/vi/tim-viec-lam/chuyen-vien-phan-tich-va-quan-tri-danh-muc-phong-quan-tri-rui-ro-va-quan-tri-danh-muc-khoi-quan-tri-rui-ro.35C6CD98.html","Xem chi tiết")</f>
        <v/>
      </c>
    </row>
    <row r="6752">
      <c r="B6752" s="9" t="n">
        <v>6750</v>
      </c>
      <c r="C6752" s="10" t="inlineStr">
        <is>
          <t>NHÂN VIÊN THỐNG KÊ(Mới)</t>
        </is>
      </c>
      <c r="D6752" s="10" t="inlineStr">
        <is>
          <t>CÔNG TY TNHH CHEMTROVINA</t>
        </is>
      </c>
      <c r="E6752" s="10" t="inlineStr">
        <is>
          <t>Lương:Cạnh tranh</t>
        </is>
      </c>
      <c r="F6752" s="10" t="inlineStr">
        <is>
          <t>Đồng Nai</t>
        </is>
      </c>
      <c r="G6752" s="10" t="inlineStr">
        <is>
          <t>16-04-2026</t>
        </is>
      </c>
      <c r="H6752" s="10" t="inlineStr">
        <is>
          <t>16/04/2026</t>
        </is>
      </c>
      <c r="I6752" s="10" t="inlineStr">
        <is>
          <t>17/03/2026</t>
        </is>
      </c>
      <c r="J6752" s="10" t="inlineStr">
        <is>
          <t>Hành chính / Thư ký, Ngân hàng, Thống kê</t>
        </is>
      </c>
      <c r="K6752" s="10" t="inlineStr">
        <is>
          <t>N/A</t>
        </is>
      </c>
      <c r="L6752" s="11">
        <f>HYPERLINK("https://careerviet.vn/vi/tim-viec-lam/nhan-vien-thong-ke.35C6CDA4.html","Xem chi tiết")</f>
        <v/>
      </c>
      <c r="M6752" s="10" t="n"/>
    </row>
    <row r="6753">
      <c r="B6753" s="7" t="n">
        <v>6751</v>
      </c>
      <c r="C6753" t="inlineStr">
        <is>
          <t>NHÂN VIÊN ĐĂNG KIỂM</t>
        </is>
      </c>
      <c r="D6753" t="inlineStr">
        <is>
          <t>HR Vietnam’s ESS Client</t>
        </is>
      </c>
      <c r="E6753" t="inlineStr">
        <is>
          <t>Lương:Cạnh tranh</t>
        </is>
      </c>
      <c r="F6753" t="inlineStr">
        <is>
          <t>Hồ Chí Minh</t>
        </is>
      </c>
      <c r="G6753" t="inlineStr">
        <is>
          <t>15-04-2026</t>
        </is>
      </c>
      <c r="H6753" t="inlineStr">
        <is>
          <t>15/04/2026</t>
        </is>
      </c>
      <c r="I6753" t="inlineStr">
        <is>
          <t>17/03/2026</t>
        </is>
      </c>
      <c r="J6753" t="inlineStr">
        <is>
          <t>Tư vấn, Vận chuyển / Giao nhận / Kho vận, Sản xuất / Vận hành sản xuất</t>
        </is>
      </c>
      <c r="K6753" t="inlineStr">
        <is>
          <t>Trên 2 Năm</t>
        </is>
      </c>
      <c r="L6753" s="8">
        <f>HYPERLINK("https://careerviet.vn/vi/tim-viec-lam/nhan-vien-dang-kiem.35C65ABA.html","Xem chi tiết")</f>
        <v/>
      </c>
    </row>
    <row r="6754">
      <c r="B6754" s="9" t="n">
        <v>6752</v>
      </c>
      <c r="C6754" s="10" t="inlineStr">
        <is>
          <t>Platform Development Manager</t>
        </is>
      </c>
      <c r="D6754" s="10" t="inlineStr">
        <is>
          <t>LOTTE FINANCE VIETNAM</t>
        </is>
      </c>
      <c r="E6754" s="10" t="inlineStr">
        <is>
          <t>Lương:Cạnh tranh</t>
        </is>
      </c>
      <c r="F6754" s="10" t="inlineStr">
        <is>
          <t>Hà Nội</t>
        </is>
      </c>
      <c r="G6754" s="10" t="inlineStr">
        <is>
          <t>15-04-2026</t>
        </is>
      </c>
      <c r="H6754" s="10" t="inlineStr">
        <is>
          <t>15/04/2026</t>
        </is>
      </c>
      <c r="I6754" s="10" t="inlineStr">
        <is>
          <t>17/03/2026</t>
        </is>
      </c>
      <c r="J6754" s="10" t="inlineStr">
        <is>
          <t>CNTT - Phần cứng / Mạng, CNTT - Phần mềm, Tài chính / Đầu tư</t>
        </is>
      </c>
      <c r="K6754" s="10" t="inlineStr">
        <is>
          <t>Trên 3 Năm</t>
        </is>
      </c>
      <c r="L6754" s="11">
        <f>HYPERLINK("https://careerviet.vn/vi/tim-viec-lam/platform-development-manager.35C65B43.html","Xem chi tiết")</f>
        <v/>
      </c>
      <c r="M6754" s="10" t="n"/>
    </row>
    <row r="6755">
      <c r="B6755" s="7" t="n">
        <v>6753</v>
      </c>
      <c r="C6755" t="inlineStr">
        <is>
          <t>Chuyên gia pháp lý quản trị và phi tín dụng - Khối Pháp chế và Tuân thủ(Mới)</t>
        </is>
      </c>
      <c r="D6755" t="inlineStr">
        <is>
          <t>Ngân hàng TMCP Đại Chúng Việt Nam - PVcomBank</t>
        </is>
      </c>
      <c r="E6755" t="inlineStr">
        <is>
          <t>Lương:Cạnh tranh</t>
        </is>
      </c>
      <c r="F6755" t="inlineStr">
        <is>
          <t>Hà Nội</t>
        </is>
      </c>
      <c r="G6755" t="inlineStr">
        <is>
          <t>14-04-2026</t>
        </is>
      </c>
      <c r="H6755" t="inlineStr">
        <is>
          <t>14/04/2026</t>
        </is>
      </c>
      <c r="I6755" t="inlineStr">
        <is>
          <t>17/03/2026</t>
        </is>
      </c>
      <c r="J6755" t="inlineStr">
        <is>
          <t>Ngân hàng, Tài chính / Đầu tư</t>
        </is>
      </c>
      <c r="K6755" t="inlineStr">
        <is>
          <t>3 - 10 Năm</t>
        </is>
      </c>
      <c r="L6755" s="8">
        <f>HYPERLINK("https://careerviet.vn/vi/tim-viec-lam/chuyen-gia-phap-ly-quan-tri-va-phi-tin-dung-khoi-phap-che-va-tuan-thu.35C6CDA9.html","Xem chi tiết")</f>
        <v/>
      </c>
    </row>
    <row r="6756">
      <c r="B6756" s="9" t="n">
        <v>6754</v>
      </c>
      <c r="C6756" s="10" t="inlineStr">
        <is>
          <t>Trưởng phòng Chiến lược - Đầu tư</t>
        </is>
      </c>
      <c r="D6756" s="10" t="inlineStr">
        <is>
          <t>CÔNG TY CỔ PHẦN VĨNH QUANG</t>
        </is>
      </c>
      <c r="E6756" s="10" t="inlineStr">
        <is>
          <t>Lương:Cạnh tranh</t>
        </is>
      </c>
      <c r="F6756" s="10" t="inlineStr">
        <is>
          <t>Hồ Chí Minh</t>
        </is>
      </c>
      <c r="G6756" s="10" t="inlineStr">
        <is>
          <t>15-04-2026</t>
        </is>
      </c>
      <c r="H6756" s="10" t="inlineStr">
        <is>
          <t>15/04/2026</t>
        </is>
      </c>
      <c r="I6756" s="10" t="inlineStr">
        <is>
          <t>17/03/2026</t>
        </is>
      </c>
      <c r="J6756" s="10" t="inlineStr">
        <is>
          <t>Bán hàng / Kinh doanh, Tài chính / Đầu tư, Bất động sản</t>
        </is>
      </c>
      <c r="K6756" s="10" t="inlineStr">
        <is>
          <t>5 - 15 Năm</t>
        </is>
      </c>
      <c r="L6756" s="11">
        <f>HYPERLINK("https://careerviet.vn/vi/tim-viec-lam/truong-phong-chien-luoc-dau-tu.35C65B24.html","Xem chi tiết")</f>
        <v/>
      </c>
      <c r="M6756" s="10" t="n"/>
    </row>
    <row r="6757">
      <c r="B6757" s="7" t="n">
        <v>6755</v>
      </c>
      <c r="C6757" t="inlineStr">
        <is>
          <t>[TUYỂN GẤP] NHÂN VIÊN HÀNH CHÍNH - NHÂN SỰ TỔNG HỢP(Mới)</t>
        </is>
      </c>
      <c r="D6757" t="inlineStr">
        <is>
          <t>CÔNG TY CỔ PHẦN SẢN XUẤT THƯƠNG MẠI XÂY DỰNG TRANG TRÍ NỘI THẤT G.S VIỆT NAM</t>
        </is>
      </c>
      <c r="E6757" t="inlineStr">
        <is>
          <t>Lương:Trên 12 Tr VND</t>
        </is>
      </c>
      <c r="F6757" t="inlineStr">
        <is>
          <t>Bình Dương</t>
        </is>
      </c>
      <c r="G6757" t="inlineStr">
        <is>
          <t>30-04-2026</t>
        </is>
      </c>
      <c r="H6757" t="inlineStr">
        <is>
          <t>30/04/2026</t>
        </is>
      </c>
      <c r="I6757" t="inlineStr">
        <is>
          <t>17/03/2026</t>
        </is>
      </c>
      <c r="J6757" t="inlineStr">
        <is>
          <t>Nhân sự, Hành chính / Thư ký, Sản xuất / Vận hành sản xuất</t>
        </is>
      </c>
      <c r="K6757" t="inlineStr">
        <is>
          <t>1 - 3 Năm</t>
        </is>
      </c>
      <c r="L6757" s="8">
        <f>HYPERLINK("https://careerviet.vn/vi/tim-viec-lam/tuyen-gap-nhan-vien-hanh-chinh-nhan-su-tong-hop.35C6CDA0.html","Xem chi tiết")</f>
        <v/>
      </c>
    </row>
    <row r="6758">
      <c r="B6758" s="9" t="n">
        <v>6756</v>
      </c>
      <c r="C6758" s="10" t="inlineStr">
        <is>
          <t>Kỹ sư QS</t>
        </is>
      </c>
      <c r="D6758" s="10" t="inlineStr">
        <is>
          <t>CÔNG TY CỔ PHẦN TƯ VẤN THIẾT KẾ VÀ XÂY DỰNG GREENHN</t>
        </is>
      </c>
      <c r="E6758" s="10" t="inlineStr">
        <is>
          <t>Lương:15 Tr - 20 Tr VND</t>
        </is>
      </c>
      <c r="F6758" s="10" t="inlineStr">
        <is>
          <t>Hà Nội</t>
        </is>
      </c>
      <c r="G6758" s="10" t="inlineStr">
        <is>
          <t>15-04-2026</t>
        </is>
      </c>
      <c r="H6758" s="10" t="inlineStr">
        <is>
          <t>15/04/2026</t>
        </is>
      </c>
      <c r="I6758" s="10" t="inlineStr">
        <is>
          <t>17/03/2026</t>
        </is>
      </c>
      <c r="J6758" s="10" t="inlineStr">
        <is>
          <t>Xây dựng</t>
        </is>
      </c>
      <c r="K6758" s="10" t="inlineStr">
        <is>
          <t>2 - 3 Năm</t>
        </is>
      </c>
      <c r="L6758" s="11">
        <f>HYPERLINK("https://careerviet.vn/vi/tim-viec-lam/ky-su-qs.35C65A2F.html","Xem chi tiết")</f>
        <v/>
      </c>
      <c r="M6758" s="10" t="n"/>
    </row>
    <row r="6759">
      <c r="B6759" s="7" t="n">
        <v>6757</v>
      </c>
      <c r="C6759" t="inlineStr">
        <is>
          <t>Pricing and Costing Analysis(Mới)</t>
        </is>
      </c>
      <c r="D6759" t="inlineStr">
        <is>
          <t>Bảo mật</t>
        </is>
      </c>
      <c r="E6759" t="inlineStr">
        <is>
          <t>Lương:Cạnh tranh</t>
        </is>
      </c>
      <c r="F6759" t="inlineStr">
        <is>
          <t>Bình Dương</t>
        </is>
      </c>
      <c r="G6759" t="inlineStr">
        <is>
          <t>21-05-2026</t>
        </is>
      </c>
      <c r="H6759" t="inlineStr">
        <is>
          <t>21/05/2026</t>
        </is>
      </c>
      <c r="I6759" t="inlineStr">
        <is>
          <t>17/03/2026</t>
        </is>
      </c>
      <c r="J6759" t="inlineStr">
        <is>
          <t>Kế toán / Kiểm toán, Dệt may / Da giày / Thời trang, In ấn / Xuất bản</t>
        </is>
      </c>
      <c r="K6759" t="inlineStr">
        <is>
          <t>2 - 3 Năm</t>
        </is>
      </c>
      <c r="L6759" s="8">
        <f>HYPERLINK("https://careerviet.vn/vi/tim-viec-lam/pricing-and-costing-analysis.35C6CD92.html","Xem chi tiết")</f>
        <v/>
      </c>
    </row>
    <row r="6760">
      <c r="B6760" s="9" t="n">
        <v>6758</v>
      </c>
      <c r="C6760" s="10" t="inlineStr">
        <is>
          <t>Kế toán trưởng(Mới)</t>
        </is>
      </c>
      <c r="D6760" s="10" t="inlineStr">
        <is>
          <t>Bảo mật</t>
        </is>
      </c>
      <c r="E6760" s="10" t="inlineStr">
        <is>
          <t>Lương:30 Tr - 50 Tr VND</t>
        </is>
      </c>
      <c r="F6760" s="10" t="inlineStr">
        <is>
          <t>Hồ Chí Minh</t>
        </is>
      </c>
      <c r="G6760" s="10" t="inlineStr">
        <is>
          <t>30-04-2026</t>
        </is>
      </c>
      <c r="H6760" s="10" t="inlineStr">
        <is>
          <t>30/04/2026</t>
        </is>
      </c>
      <c r="I6760" s="10" t="inlineStr">
        <is>
          <t>17/03/2026</t>
        </is>
      </c>
      <c r="J6760" s="10" t="inlineStr">
        <is>
          <t>Kế toán / Kiểm toán, Y tế / Chăm sóc sức khỏe / Thẩm mỹ / Làm đẹp, Bán lẻ / Bán sỉ</t>
        </is>
      </c>
      <c r="K6760" s="10" t="inlineStr">
        <is>
          <t>5 - 10 Năm</t>
        </is>
      </c>
      <c r="L6760" s="11">
        <f>HYPERLINK("https://careerviet.vn/vi/tim-viec-lam/ke-toan-truong.35C6CD91.html","Xem chi tiết")</f>
        <v/>
      </c>
      <c r="M6760" s="10" t="n"/>
    </row>
    <row r="6761">
      <c r="B6761" s="7" t="n">
        <v>6759</v>
      </c>
      <c r="C6761" t="inlineStr">
        <is>
          <t>CHUYÊN VIÊN MARKETING(Mới)</t>
        </is>
      </c>
      <c r="D6761" t="inlineStr">
        <is>
          <t>Công Ty TNHH ONE-VALUE Việt Nam</t>
        </is>
      </c>
      <c r="E6761" t="inlineStr">
        <is>
          <t>Lương:Cạnh tranh</t>
        </is>
      </c>
      <c r="F6761" t="inlineStr">
        <is>
          <t>Hà NộiHồ Chí Minh</t>
        </is>
      </c>
      <c r="G6761" t="inlineStr">
        <is>
          <t>30-04-2026</t>
        </is>
      </c>
      <c r="H6761" t="inlineStr">
        <is>
          <t>30/04/2026</t>
        </is>
      </c>
      <c r="I6761" t="inlineStr">
        <is>
          <t>17/03/2026</t>
        </is>
      </c>
      <c r="J6761" t="inlineStr">
        <is>
          <t>Tiếp thị / Marketing, Tiếp thị trực tuyến, Tư vấn</t>
        </is>
      </c>
      <c r="K6761" t="inlineStr">
        <is>
          <t>2 - 5 Năm</t>
        </is>
      </c>
      <c r="L6761" s="8">
        <f>HYPERLINK("https://careerviet.vn/vi/tim-viec-lam/chuyen-vien-marketing.35C6CD96.html","Xem chi tiết")</f>
        <v/>
      </c>
    </row>
    <row r="6762">
      <c r="B6762" s="9" t="n">
        <v>6760</v>
      </c>
      <c r="C6762" s="10" t="inlineStr">
        <is>
          <t>Mechanical Engineer</t>
        </is>
      </c>
      <c r="D6762" s="10" t="inlineStr">
        <is>
          <t>CÔNG TY TNHH DENEAST VIỆT NAM</t>
        </is>
      </c>
      <c r="E6762" s="10" t="inlineStr">
        <is>
          <t>Lương:Cạnh tranh</t>
        </is>
      </c>
      <c r="F6762" s="10" t="inlineStr">
        <is>
          <t>Bình Dương</t>
        </is>
      </c>
      <c r="G6762" s="10" t="inlineStr">
        <is>
          <t>15-04-2026</t>
        </is>
      </c>
      <c r="H6762" s="10" t="inlineStr">
        <is>
          <t>15/04/2026</t>
        </is>
      </c>
      <c r="I6762" s="10" t="inlineStr">
        <is>
          <t>17/03/2026</t>
        </is>
      </c>
      <c r="J6762" s="10" t="inlineStr">
        <is>
          <t>Thực phẩm &amp; Đồ uống, Cơ khí / Ô tô / Tự động hóa, Bảo trì / Sửa chữa</t>
        </is>
      </c>
      <c r="K6762" s="10" t="inlineStr">
        <is>
          <t>Trên 5 Năm</t>
        </is>
      </c>
      <c r="L6762" s="11">
        <f>HYPERLINK("https://careerviet.vn/vi/tim-viec-lam/mechanical-engineer.35C65B33.html","Xem chi tiết")</f>
        <v/>
      </c>
      <c r="M6762" s="10" t="n"/>
    </row>
    <row r="6763">
      <c r="B6763" s="7" t="n">
        <v>6761</v>
      </c>
      <c r="C6763" t="inlineStr">
        <is>
          <t>Nhân viên nhập liệu ERP(Mới)</t>
        </is>
      </c>
      <c r="D6763" t="inlineStr">
        <is>
          <t>CÔNG TY TNHH MUSEM VINA</t>
        </is>
      </c>
      <c r="E6763" t="inlineStr">
        <is>
          <t>Lương:8 Tr - 12 Tr VND</t>
        </is>
      </c>
      <c r="F6763" t="inlineStr">
        <is>
          <t>Long An</t>
        </is>
      </c>
      <c r="G6763" t="inlineStr">
        <is>
          <t>17-04-2026</t>
        </is>
      </c>
      <c r="H6763" t="inlineStr">
        <is>
          <t>17/04/2026</t>
        </is>
      </c>
      <c r="I6763" t="inlineStr">
        <is>
          <t>17/03/2026</t>
        </is>
      </c>
      <c r="J6763" t="inlineStr">
        <is>
          <t>Sản xuất / Vận hành sản xuất</t>
        </is>
      </c>
      <c r="K6763" t="inlineStr">
        <is>
          <t>1 - 2 Năm</t>
        </is>
      </c>
      <c r="L6763" s="8">
        <f>HYPERLINK("https://careerviet.vn/vi/tim-viec-lam/nhan-vien-nhap-lieu-erp.35C6CD8A.html","Xem chi tiết")</f>
        <v/>
      </c>
    </row>
    <row r="6764">
      <c r="B6764" s="9" t="n">
        <v>6762</v>
      </c>
      <c r="C6764" s="10" t="inlineStr">
        <is>
          <t>Kế toán doanh thu (sàn TMĐT)(Mới)</t>
        </is>
      </c>
      <c r="D6764" s="10" t="inlineStr">
        <is>
          <t>CÔNG TY TNHH MĂMMY VIỆT NAM</t>
        </is>
      </c>
      <c r="E6764" s="10" t="inlineStr">
        <is>
          <t>Lương:13 Tr - 15 Tr VND</t>
        </is>
      </c>
      <c r="F6764" s="10" t="inlineStr">
        <is>
          <t>Hồ Chí Minh</t>
        </is>
      </c>
      <c r="G6764" s="10" t="inlineStr">
        <is>
          <t>17-04-2026</t>
        </is>
      </c>
      <c r="H6764" s="10" t="inlineStr">
        <is>
          <t>17/04/2026</t>
        </is>
      </c>
      <c r="I6764" s="10" t="inlineStr">
        <is>
          <t>17/03/2026</t>
        </is>
      </c>
      <c r="J6764" s="10" t="inlineStr">
        <is>
          <t>Kế toán / Kiểm toán</t>
        </is>
      </c>
      <c r="K6764" s="10" t="inlineStr">
        <is>
          <t>1 - 2 Năm</t>
        </is>
      </c>
      <c r="L6764" s="11">
        <f>HYPERLINK("https://careerviet.vn/vi/tim-viec-lam/ke-toan-doanh-thu-san-tmdt.35C6CDAA.html","Xem chi tiết")</f>
        <v/>
      </c>
      <c r="M6764" s="10" t="n"/>
    </row>
    <row r="6765">
      <c r="B6765" s="7" t="n">
        <v>6763</v>
      </c>
      <c r="C6765" t="inlineStr">
        <is>
          <t>SMT Line Technician(Mới)</t>
        </is>
      </c>
      <c r="D6765" t="inlineStr">
        <is>
          <t>CÔNG TY TNHH DYNAMIC TEST SOLUTIONS VIỆT NAM</t>
        </is>
      </c>
      <c r="E6765" t="inlineStr">
        <is>
          <t>Lương:12 Tr - 18 Tr VND</t>
        </is>
      </c>
      <c r="F6765" t="inlineStr">
        <is>
          <t>Hồ Chí Minh</t>
        </is>
      </c>
      <c r="G6765" t="inlineStr">
        <is>
          <t>30-04-2026</t>
        </is>
      </c>
      <c r="H6765" t="inlineStr">
        <is>
          <t>30/04/2026</t>
        </is>
      </c>
      <c r="I6765" t="inlineStr">
        <is>
          <t>17/03/2026</t>
        </is>
      </c>
      <c r="J6765" t="inlineStr">
        <is>
          <t>Điện / Điện tử / Điện lạnh / Điện công nghiệp, Sản xuất / Vận hành sản xuất</t>
        </is>
      </c>
      <c r="K6765" t="inlineStr">
        <is>
          <t>1 - 3 Năm</t>
        </is>
      </c>
      <c r="L6765" s="8">
        <f>HYPERLINK("https://careerviet.vn/vi/tim-viec-lam/smt-line-technician.35C6CD80.html","Xem chi tiết")</f>
        <v/>
      </c>
    </row>
    <row r="6766">
      <c r="B6766" s="9" t="n">
        <v>6764</v>
      </c>
      <c r="C6766" s="10" t="inlineStr">
        <is>
          <t>CHUYÊN VIÊN PHÂN TÍCH HỖ TRỢ DỰ ÁN M&amp;A(Mới)</t>
        </is>
      </c>
      <c r="D6766" s="10" t="inlineStr">
        <is>
          <t>Công Ty TNHH ONE-VALUE Việt Nam</t>
        </is>
      </c>
      <c r="E6766" s="10" t="inlineStr">
        <is>
          <t>Lương:20 Tr - 100 Tr VND</t>
        </is>
      </c>
      <c r="F6766" s="10" t="inlineStr">
        <is>
          <t>Hà NộiHồ Chí Minh</t>
        </is>
      </c>
      <c r="G6766" s="10" t="inlineStr">
        <is>
          <t>30-04-2026</t>
        </is>
      </c>
      <c r="H6766" s="10" t="inlineStr">
        <is>
          <t>30/04/2026</t>
        </is>
      </c>
      <c r="I6766" s="10" t="inlineStr">
        <is>
          <t>17/03/2026</t>
        </is>
      </c>
      <c r="J6766" s="10" t="inlineStr">
        <is>
          <t>Tư vấn, Dịch vụ khách hàng</t>
        </is>
      </c>
      <c r="K6766" s="10" t="inlineStr">
        <is>
          <t>1 - 5 Năm</t>
        </is>
      </c>
      <c r="L6766" s="11">
        <f>HYPERLINK("https://careerviet.vn/vi/tim-viec-lam/chuyen-vien-phan-tich-ho-tro-du-an-m-a.35C6CD82.html","Xem chi tiết")</f>
        <v/>
      </c>
      <c r="M6766" s="10" t="n"/>
    </row>
    <row r="6767">
      <c r="B6767" s="7" t="n">
        <v>6765</v>
      </c>
      <c r="C6767" t="inlineStr">
        <is>
          <t>Nhân viên kinh doanh(Mới)</t>
        </is>
      </c>
      <c r="D6767" t="inlineStr">
        <is>
          <t>CÔNG TY CỔ PHẦN THIẾT BỊ ĐIỆN VINSHINE</t>
        </is>
      </c>
      <c r="E6767" t="inlineStr">
        <is>
          <t>Lương:10 Tr - 20 Tr VND</t>
        </is>
      </c>
      <c r="F6767" t="inlineStr">
        <is>
          <t>Hải Phòng</t>
        </is>
      </c>
      <c r="G6767" t="inlineStr">
        <is>
          <t>31-03-2026</t>
        </is>
      </c>
      <c r="H6767" t="inlineStr">
        <is>
          <t>31/03/2026</t>
        </is>
      </c>
      <c r="I6767" t="inlineStr">
        <is>
          <t>17/03/2026</t>
        </is>
      </c>
      <c r="J6767" t="inlineStr">
        <is>
          <t>Tiếp thị / Marketing, Bán lẻ / Bán sỉ, Bán hàng / Kinh doanh</t>
        </is>
      </c>
      <c r="K6767" t="inlineStr">
        <is>
          <t>N/A</t>
        </is>
      </c>
      <c r="L6767" s="8">
        <f>HYPERLINK("https://careerviet.vn/vi/tim-viec-lam/nhan-vien-kinh-doanh.35C6CD8B.html","Xem chi tiết")</f>
        <v/>
      </c>
    </row>
    <row r="6768">
      <c r="B6768" s="9" t="n">
        <v>6766</v>
      </c>
      <c r="C6768" s="10" t="inlineStr">
        <is>
          <t>Nhân Viên Kỹ Thuật Cơ Khí (14-17 Tháng Lương/Năm)(Mới)</t>
        </is>
      </c>
      <c r="D6768" s="10" t="inlineStr">
        <is>
          <t>CÔNG TY CỔ PHẦN QUỐC TẾ THĂNG LONG P&amp;T</t>
        </is>
      </c>
      <c r="E6768" s="10" t="inlineStr">
        <is>
          <t>Lương:10 Tr - 15 Tr VND</t>
        </is>
      </c>
      <c r="F6768" s="10" t="inlineStr">
        <is>
          <t>Hà Nội</t>
        </is>
      </c>
      <c r="G6768" s="10" t="inlineStr">
        <is>
          <t>20-04-2026</t>
        </is>
      </c>
      <c r="H6768" s="10" t="inlineStr">
        <is>
          <t>20/04/2026</t>
        </is>
      </c>
      <c r="I6768" s="10" t="inlineStr">
        <is>
          <t>17/03/2026</t>
        </is>
      </c>
      <c r="J6768" s="10" t="inlineStr">
        <is>
          <t>Cơ khí / Ô tô / Tự động hóa, Bảo trì / Sửa chữa</t>
        </is>
      </c>
      <c r="K6768" s="10" t="inlineStr">
        <is>
          <t>1 - 3 Năm</t>
        </is>
      </c>
      <c r="L6768" s="11">
        <f>HYPERLINK("https://careerviet.vn/vi/tim-viec-lam/nhan-vien-ky-thuat-co-khi-14-17-thang-luong-nam.35C6CD87.html","Xem chi tiết")</f>
        <v/>
      </c>
      <c r="M6768" s="10" t="n"/>
    </row>
    <row r="6769">
      <c r="B6769" s="7" t="n">
        <v>6767</v>
      </c>
      <c r="C6769" t="inlineStr">
        <is>
          <t>NHÂN VIÊN BẢO TRÌ NHÀ MÁY(Mới)</t>
        </is>
      </c>
      <c r="D6769" t="inlineStr">
        <is>
          <t>CÔNG TY TNHH SYNCMOLD ĐỒNG NAI</t>
        </is>
      </c>
      <c r="E6769" t="inlineStr">
        <is>
          <t>Lương:Cạnh tranh</t>
        </is>
      </c>
      <c r="F6769" t="inlineStr">
        <is>
          <t>Đồng Nai</t>
        </is>
      </c>
      <c r="G6769" t="inlineStr">
        <is>
          <t>25-03-2026</t>
        </is>
      </c>
      <c r="H6769" t="inlineStr">
        <is>
          <t>25/03/2026</t>
        </is>
      </c>
      <c r="I6769" t="inlineStr">
        <is>
          <t>17/03/2026</t>
        </is>
      </c>
      <c r="J6769" t="inlineStr">
        <is>
          <t>Điện / Điện tử / Điện lạnh / Điện công nghiệp, Bảo trì / Sửa chữa</t>
        </is>
      </c>
      <c r="K6769" t="inlineStr">
        <is>
          <t>Trên 1 Năm</t>
        </is>
      </c>
      <c r="L6769" s="8">
        <f>HYPERLINK("https://careerviet.vn/vi/tim-viec-lam/nhan-vien-bao-tri-nha-may.35C6CD8F.html","Xem chi tiết")</f>
        <v/>
      </c>
    </row>
    <row r="6770">
      <c r="B6770" s="9" t="n">
        <v>6768</v>
      </c>
      <c r="C6770" s="10" t="inlineStr">
        <is>
          <t>CHUYÊN VIÊN PHÂN TÍCH HỖ TRỢ KHẢO SÁT VÀ XÂY DỰNG CHIẾN LƯỢC KINH DOANH(Mới)</t>
        </is>
      </c>
      <c r="D6770" s="10" t="inlineStr">
        <is>
          <t>Công Ty TNHH ONE-VALUE Việt Nam</t>
        </is>
      </c>
      <c r="E6770" s="10" t="inlineStr">
        <is>
          <t>Lương:20 Tr - 100 Tr VND</t>
        </is>
      </c>
      <c r="F6770" s="10" t="inlineStr">
        <is>
          <t>Hồ Chí MinhHà Nội</t>
        </is>
      </c>
      <c r="G6770" s="10" t="inlineStr">
        <is>
          <t>30-04-2026</t>
        </is>
      </c>
      <c r="H6770" s="10" t="inlineStr">
        <is>
          <t>30/04/2026</t>
        </is>
      </c>
      <c r="I6770" s="10" t="inlineStr">
        <is>
          <t>17/03/2026</t>
        </is>
      </c>
      <c r="J6770" s="10" t="inlineStr">
        <is>
          <t>Tư vấn, Dịch vụ khách hàng</t>
        </is>
      </c>
      <c r="K6770" s="10" t="inlineStr">
        <is>
          <t>1 - 5 Năm</t>
        </is>
      </c>
      <c r="L6770" s="11">
        <f>HYPERLINK("https://careerviet.vn/vi/tim-viec-lam/chuyen-vien-phan-tich-ho-tro-khao-sat-va-xay-dung-chien-luoc-kinh-doanh.35C6CD88.html","Xem chi tiết")</f>
        <v/>
      </c>
      <c r="M6770" s="10" t="n"/>
    </row>
    <row r="6771">
      <c r="B6771" s="7" t="n">
        <v>6769</v>
      </c>
      <c r="C6771" t="inlineStr">
        <is>
          <t>Data Analyst Trainee</t>
        </is>
      </c>
      <c r="D6771" t="inlineStr">
        <is>
          <t>Bảo mật</t>
        </is>
      </c>
      <c r="E6771" t="inlineStr">
        <is>
          <t>Lương:Cạnh tranh</t>
        </is>
      </c>
      <c r="F6771" t="inlineStr">
        <is>
          <t>Hồ Chí Minh</t>
        </is>
      </c>
      <c r="G6771" t="inlineStr">
        <is>
          <t>17-03-2026</t>
        </is>
      </c>
      <c r="H6771" t="inlineStr">
        <is>
          <t>15/03/2026</t>
        </is>
      </c>
      <c r="I6771" t="inlineStr">
        <is>
          <t>17/03/2026</t>
        </is>
      </c>
      <c r="J6771" t="inlineStr">
        <is>
          <t>Kế toán / Kiểm toán, Tài chính / Đầu tư, Thống kê</t>
        </is>
      </c>
      <c r="K6771" t="inlineStr">
        <is>
          <t>N/A</t>
        </is>
      </c>
      <c r="L6771" s="8">
        <f>HYPERLINK("https://careerviet.vn/vi/tim-viec-lam/data-analyst-trainee.35C6A8C8.html","Xem chi tiết")</f>
        <v/>
      </c>
    </row>
    <row r="6772">
      <c r="B6772" s="9" t="n">
        <v>6770</v>
      </c>
      <c r="C6772" s="10" t="inlineStr">
        <is>
          <t>NHÂN VIÊN BẢO TRÌ ĐIỆN (2 NĂM KINH NGHIỆM)</t>
        </is>
      </c>
      <c r="D6772" s="10" t="inlineStr">
        <is>
          <t>Fuji Seal Việt Nam</t>
        </is>
      </c>
      <c r="E6772" s="10" t="inlineStr">
        <is>
          <t>Lương:10 Tr - 10 Tr VND</t>
        </is>
      </c>
      <c r="F6772" s="10" t="inlineStr">
        <is>
          <t>Bình Dương</t>
        </is>
      </c>
      <c r="G6772" s="10" t="inlineStr">
        <is>
          <t>15-04-2026</t>
        </is>
      </c>
      <c r="H6772" s="10" t="inlineStr">
        <is>
          <t>15/04/2026</t>
        </is>
      </c>
      <c r="I6772" s="10" t="inlineStr">
        <is>
          <t>17/03/2026</t>
        </is>
      </c>
      <c r="J6772" s="10" t="inlineStr">
        <is>
          <t>Điện / Điện tử / Điện lạnh / Điện công nghiệp, Bảo trì / Sửa chữa</t>
        </is>
      </c>
      <c r="K6772" s="10" t="inlineStr">
        <is>
          <t>N/A</t>
        </is>
      </c>
      <c r="L6772" s="11">
        <f>HYPERLINK("https://careerviet.vn/vi/tim-viec-lam/nhan-vien-bao-tri-dien-2-nam-kinh-nghiem.35C65B22.html","Xem chi tiết")</f>
        <v/>
      </c>
      <c r="M6772" s="10" t="n"/>
    </row>
    <row r="6773">
      <c r="B6773" s="7" t="n">
        <v>6771</v>
      </c>
      <c r="C6773" t="inlineStr">
        <is>
          <t>Nhân Viên Kinh Doanh B2B (HCM)</t>
        </is>
      </c>
      <c r="D6773" t="inlineStr">
        <is>
          <t>CareerViet</t>
        </is>
      </c>
      <c r="E6773" t="inlineStr">
        <is>
          <t>Lương:Cạnh tranh</t>
        </is>
      </c>
      <c r="F6773" t="inlineStr">
        <is>
          <t>Hồ Chí Minh</t>
        </is>
      </c>
      <c r="G6773" t="inlineStr">
        <is>
          <t>17-03-2026</t>
        </is>
      </c>
      <c r="H6773" t="inlineStr">
        <is>
          <t>28/02/2026</t>
        </is>
      </c>
      <c r="I6773" t="inlineStr">
        <is>
          <t>17/03/2026</t>
        </is>
      </c>
      <c r="J6773" t="inlineStr">
        <is>
          <t>Tiếp thị / Marketing, Bán hàng / Kinh doanh, Tiếp thị trực tuyến</t>
        </is>
      </c>
      <c r="K6773" t="inlineStr">
        <is>
          <t>2 - 5 Năm</t>
        </is>
      </c>
      <c r="L6773" s="8">
        <f>HYPERLINK("https://careerviet.vn/vi/tim-viec-lam/nhan-vien-kinh-doanh-b2b-hcm.35C69FF1.html","Xem chi tiết")</f>
        <v/>
      </c>
    </row>
    <row r="6774">
      <c r="B6774" s="9" t="n">
        <v>6772</v>
      </c>
      <c r="C6774" s="10" t="inlineStr">
        <is>
          <t>Data Analyst</t>
        </is>
      </c>
      <c r="D6774" s="10" t="inlineStr">
        <is>
          <t>CareerViet</t>
        </is>
      </c>
      <c r="E6774" s="10" t="inlineStr">
        <is>
          <t>Lương:Cạnh tranh</t>
        </is>
      </c>
      <c r="F6774" s="10" t="inlineStr">
        <is>
          <t>Hồ Chí Minh</t>
        </is>
      </c>
      <c r="G6774" s="10" t="inlineStr">
        <is>
          <t>17-03-2026</t>
        </is>
      </c>
      <c r="H6774" s="10" t="inlineStr">
        <is>
          <t>15/03/2026</t>
        </is>
      </c>
      <c r="I6774" s="10" t="inlineStr">
        <is>
          <t>17/03/2026</t>
        </is>
      </c>
      <c r="J6774" s="10" t="inlineStr">
        <is>
          <t>Tài chính / Đầu tư, Kế toán / Kiểm toán, Thống kê</t>
        </is>
      </c>
      <c r="K6774" s="10" t="inlineStr">
        <is>
          <t>1 - 2 Năm</t>
        </is>
      </c>
      <c r="L6774" s="11">
        <f>HYPERLINK("https://careerviet.vn/vi/tim-viec-lam/data-analyst.35C6A997.html","Xem chi tiết")</f>
        <v/>
      </c>
      <c r="M6774" s="10" t="n"/>
    </row>
    <row r="6775">
      <c r="B6775" s="7" t="n">
        <v>6773</v>
      </c>
      <c r="C6775" t="inlineStr">
        <is>
          <t>Business Analyst</t>
        </is>
      </c>
      <c r="D6775" t="inlineStr">
        <is>
          <t>CareerViet</t>
        </is>
      </c>
      <c r="E6775" t="inlineStr">
        <is>
          <t>Lương:Cạnh tranh</t>
        </is>
      </c>
      <c r="F6775" t="inlineStr">
        <is>
          <t>Hồ Chí Minh</t>
        </is>
      </c>
      <c r="G6775" t="inlineStr">
        <is>
          <t>17-03-2026</t>
        </is>
      </c>
      <c r="H6775" t="inlineStr">
        <is>
          <t>15/03/2026</t>
        </is>
      </c>
      <c r="I6775" t="inlineStr">
        <is>
          <t>17/03/2026</t>
        </is>
      </c>
      <c r="J6775" t="inlineStr">
        <is>
          <t>Tài chính / Đầu tư, Kế toán / Kiểm toán, Thống kê</t>
        </is>
      </c>
      <c r="K6775" t="inlineStr">
        <is>
          <t>1 - 2 Năm</t>
        </is>
      </c>
      <c r="L6775" s="8">
        <f>HYPERLINK("https://careerviet.vn/vi/tim-viec-lam/business-analyst.35C6A98B.html","Xem chi tiết")</f>
        <v/>
      </c>
    </row>
    <row r="6776">
      <c r="B6776" s="9" t="n">
        <v>6774</v>
      </c>
      <c r="C6776" s="10" t="inlineStr">
        <is>
          <t>Chuyên Viên Kinh Doanh B2B (Hà Nội)</t>
        </is>
      </c>
      <c r="D6776" s="10" t="inlineStr">
        <is>
          <t>CareerViet</t>
        </is>
      </c>
      <c r="E6776" s="10" t="inlineStr">
        <is>
          <t>Lương:Cạnh tranh</t>
        </is>
      </c>
      <c r="F6776" s="10" t="inlineStr">
        <is>
          <t>Hà Nội</t>
        </is>
      </c>
      <c r="G6776" s="10" t="inlineStr">
        <is>
          <t>17-03-2026</t>
        </is>
      </c>
      <c r="H6776" s="10" t="inlineStr">
        <is>
          <t>15/03/2026</t>
        </is>
      </c>
      <c r="I6776" s="10" t="inlineStr">
        <is>
          <t>17/03/2026</t>
        </is>
      </c>
      <c r="J6776" s="10" t="inlineStr">
        <is>
          <t>Tiếp thị / Marketing, Bán hàng / Kinh doanh, Tiếp thị trực tuyến</t>
        </is>
      </c>
      <c r="K6776" s="10" t="inlineStr">
        <is>
          <t>2 Năm</t>
        </is>
      </c>
      <c r="L6776" s="11">
        <f>HYPERLINK("https://careerviet.vn/vi/tim-viec-lam/chuyen-vien-kinh-doanh-b2b-ha-noi.35C6A008.html","Xem chi tiết")</f>
        <v/>
      </c>
      <c r="M6776" s="10" t="n"/>
    </row>
    <row r="6777">
      <c r="B6777" s="7" t="n">
        <v>6775</v>
      </c>
      <c r="C6777" t="inlineStr">
        <is>
          <t>Kỹ sư cơ điện MEP</t>
        </is>
      </c>
      <c r="D6777" t="inlineStr">
        <is>
          <t>CÔNG TY CỔ PHẦN ĐẦU TƯ VÀ XÂY DỰNG RPC GROUP</t>
        </is>
      </c>
      <c r="E6777" t="inlineStr">
        <is>
          <t>Lương:15 Tr - 30 Tr VND</t>
        </is>
      </c>
      <c r="F6777" t="inlineStr">
        <is>
          <t>Bắc GiangHà NộiBắc Ninh</t>
        </is>
      </c>
      <c r="G6777" t="inlineStr">
        <is>
          <t>14-04-2026</t>
        </is>
      </c>
      <c r="H6777" t="inlineStr">
        <is>
          <t>14/04/2026</t>
        </is>
      </c>
      <c r="I6777" t="inlineStr">
        <is>
          <t>17/03/2026</t>
        </is>
      </c>
      <c r="J6777" t="inlineStr">
        <is>
          <t>Điện / Điện tử / Điện lạnh / Điện công nghiệp, Bán Hàng Kỹ Thuật</t>
        </is>
      </c>
      <c r="K6777" t="inlineStr">
        <is>
          <t>1 - 10 Năm</t>
        </is>
      </c>
      <c r="L6777" s="8">
        <f>HYPERLINK("https://careerviet.vn/vi/tim-viec-lam/ky-su-co-dien-mep.35C5E982.html","Xem chi tiết")</f>
        <v/>
      </c>
    </row>
    <row r="6778">
      <c r="B6778" s="9" t="n">
        <v>6776</v>
      </c>
      <c r="C6778" s="10" t="inlineStr">
        <is>
          <t>HR Internship</t>
        </is>
      </c>
      <c r="D6778" s="10" t="inlineStr">
        <is>
          <t>CareerViet</t>
        </is>
      </c>
      <c r="E6778" s="10" t="inlineStr">
        <is>
          <t>Lương:2 Tr - 4 Tr VND</t>
        </is>
      </c>
      <c r="F6778" s="10" t="inlineStr">
        <is>
          <t>Hồ Chí Minh</t>
        </is>
      </c>
      <c r="G6778" s="10" t="inlineStr">
        <is>
          <t>17-03-2026</t>
        </is>
      </c>
      <c r="H6778" s="10" t="inlineStr">
        <is>
          <t>15/03/2026</t>
        </is>
      </c>
      <c r="I6778" s="10" t="inlineStr">
        <is>
          <t>17/03/2026</t>
        </is>
      </c>
      <c r="J6778" s="10" t="inlineStr">
        <is>
          <t>Hành chính / Thư ký, Nhân sự, Mới tốt nghiệp / Thực tập</t>
        </is>
      </c>
      <c r="K6778" s="10" t="inlineStr">
        <is>
          <t>Không yêu cầu kinh nghiệm</t>
        </is>
      </c>
      <c r="L6778" s="11">
        <f>HYPERLINK("https://careerviet.vn/vi/tim-viec-lam/hr-internship.35C68DCE.html","Xem chi tiết")</f>
        <v/>
      </c>
      <c r="M6778" s="10" t="n"/>
    </row>
    <row r="6779">
      <c r="B6779" s="7" t="n">
        <v>6777</v>
      </c>
      <c r="C6779" t="inlineStr">
        <is>
          <t>(OnOff) Trưởng phòng Marketing(Mới)</t>
        </is>
      </c>
      <c r="D6779" t="inlineStr">
        <is>
          <t>Công ty Cổ phần CANIFA</t>
        </is>
      </c>
      <c r="E6779" t="inlineStr">
        <is>
          <t>Lương:30 Tr - 40 Tr VND</t>
        </is>
      </c>
      <c r="F6779" t="inlineStr">
        <is>
          <t>Hà Nội</t>
        </is>
      </c>
      <c r="G6779" t="inlineStr">
        <is>
          <t>30-04-2026</t>
        </is>
      </c>
      <c r="H6779" t="inlineStr">
        <is>
          <t>30/04/2026</t>
        </is>
      </c>
      <c r="I6779" t="inlineStr">
        <is>
          <t>17/03/2026</t>
        </is>
      </c>
      <c r="J6779" t="inlineStr">
        <is>
          <t>Tiếp thị / Marketing, Bán lẻ / Bán sỉ</t>
        </is>
      </c>
      <c r="K6779" t="inlineStr">
        <is>
          <t>30 - 40 Năm</t>
        </is>
      </c>
      <c r="L6779" s="8">
        <f>HYPERLINK("https://careerviet.vn/vi/tim-viec-lam/onoff-truong-phong-marketing.35C6CD7A.html","Xem chi tiết")</f>
        <v/>
      </c>
    </row>
    <row r="6780">
      <c r="B6780" s="9" t="n">
        <v>6778</v>
      </c>
      <c r="C6780" s="10" t="inlineStr">
        <is>
          <t>Nhân Viên Kinh Doanh B2B (Hà Nội)</t>
        </is>
      </c>
      <c r="D6780" s="10" t="inlineStr">
        <is>
          <t>CareerViet</t>
        </is>
      </c>
      <c r="E6780" s="10" t="inlineStr">
        <is>
          <t>Lương:Cạnh tranh</t>
        </is>
      </c>
      <c r="F6780" s="10" t="inlineStr">
        <is>
          <t>Hà Nội</t>
        </is>
      </c>
      <c r="G6780" s="10" t="inlineStr">
        <is>
          <t>17-03-2026</t>
        </is>
      </c>
      <c r="H6780" s="10" t="inlineStr">
        <is>
          <t>15/03/2026</t>
        </is>
      </c>
      <c r="I6780" s="10" t="inlineStr">
        <is>
          <t>17/03/2026</t>
        </is>
      </c>
      <c r="J6780" s="10" t="inlineStr">
        <is>
          <t>Tiếp thị / Marketing, Bán hàng / Kinh doanh, Tiếp thị trực tuyến</t>
        </is>
      </c>
      <c r="K6780" s="10" t="inlineStr">
        <is>
          <t>2 Năm</t>
        </is>
      </c>
      <c r="L6780" s="11">
        <f>HYPERLINK("https://careerviet.vn/vi/tim-viec-lam/nhan-vien-kinh-doanh-b2b-ha-noi.35C69FFD.html","Xem chi tiết")</f>
        <v/>
      </c>
      <c r="M6780" s="10" t="n"/>
    </row>
    <row r="6781">
      <c r="B6781" s="7" t="n">
        <v>6779</v>
      </c>
      <c r="C6781" t="inlineStr">
        <is>
          <t>Data Analyst Internship</t>
        </is>
      </c>
      <c r="D6781" t="inlineStr">
        <is>
          <t>Bảo mật</t>
        </is>
      </c>
      <c r="E6781" t="inlineStr">
        <is>
          <t>Lương:Cạnh tranh</t>
        </is>
      </c>
      <c r="F6781" t="inlineStr">
        <is>
          <t>Hồ Chí Minh</t>
        </is>
      </c>
      <c r="G6781" t="inlineStr">
        <is>
          <t>17-03-2026</t>
        </is>
      </c>
      <c r="H6781" t="inlineStr">
        <is>
          <t>15/03/2026</t>
        </is>
      </c>
      <c r="I6781" t="inlineStr">
        <is>
          <t>17/03/2026</t>
        </is>
      </c>
      <c r="J6781" t="inlineStr">
        <is>
          <t>Tài chính / Đầu tư, Thống kê, Mới tốt nghiệp / Thực tập</t>
        </is>
      </c>
      <c r="K6781" t="inlineStr">
        <is>
          <t>Không yêu cầu kinh nghiệm</t>
        </is>
      </c>
      <c r="L6781" s="8">
        <f>HYPERLINK("https://careerviet.vn/vi/tim-viec-lam/data-analyst-internship.35C6A9C7.html","Xem chi tiết")</f>
        <v/>
      </c>
    </row>
    <row r="6782">
      <c r="B6782" s="9" t="n">
        <v>6780</v>
      </c>
      <c r="C6782" s="10" t="inlineStr">
        <is>
          <t>CHUYÊN VIÊN HỖ TRỢ DOANH NGHIỆP NHẬT BẢN ĐẦU TƯ VÀO VIỆT NAM(Mới)</t>
        </is>
      </c>
      <c r="D6782" s="10" t="inlineStr">
        <is>
          <t>Công Ty TNHH ONE-VALUE Việt Nam</t>
        </is>
      </c>
      <c r="E6782" s="10" t="inlineStr">
        <is>
          <t>Lương:20 Tr - 100 Tr VND</t>
        </is>
      </c>
      <c r="F6782" s="10" t="inlineStr">
        <is>
          <t>Hà NộiHồ Chí Minh</t>
        </is>
      </c>
      <c r="G6782" s="10" t="inlineStr">
        <is>
          <t>30-04-2026</t>
        </is>
      </c>
      <c r="H6782" s="10" t="inlineStr">
        <is>
          <t>30/04/2026</t>
        </is>
      </c>
      <c r="I6782" s="10" t="inlineStr">
        <is>
          <t>17/03/2026</t>
        </is>
      </c>
      <c r="J6782" s="10" t="inlineStr">
        <is>
          <t>Tư vấn</t>
        </is>
      </c>
      <c r="K6782" s="10" t="inlineStr">
        <is>
          <t>1 - 5 Năm</t>
        </is>
      </c>
      <c r="L6782" s="11">
        <f>HYPERLINK("https://careerviet.vn/vi/tim-viec-lam/chuyen-vien-ho-tro-doanh-nghiep-nhat-ban-dau-tu-vao-viet-nam.35C6CD79.html","Xem chi tiết")</f>
        <v/>
      </c>
      <c r="M6782" s="10" t="n"/>
    </row>
    <row r="6783">
      <c r="B6783" s="7" t="n">
        <v>6781</v>
      </c>
      <c r="C6783" t="inlineStr">
        <is>
          <t>AI Project Manager</t>
        </is>
      </c>
      <c r="D6783" t="inlineStr">
        <is>
          <t>CareerViet</t>
        </is>
      </c>
      <c r="E6783" t="inlineStr">
        <is>
          <t>Lương:Cạnh tranh</t>
        </is>
      </c>
      <c r="F6783" t="inlineStr">
        <is>
          <t>Hồ Chí Minh</t>
        </is>
      </c>
      <c r="G6783" t="inlineStr">
        <is>
          <t>31-03-2026</t>
        </is>
      </c>
      <c r="H6783" t="inlineStr">
        <is>
          <t>31/03/2026</t>
        </is>
      </c>
      <c r="I6783" t="inlineStr">
        <is>
          <t>17/03/2026</t>
        </is>
      </c>
      <c r="J6783" t="inlineStr">
        <is>
          <t>CNTT - Phần mềm, CNTT - Phần cứng / Mạng, Quản lý điều hành</t>
        </is>
      </c>
      <c r="K6783" t="inlineStr">
        <is>
          <t>1 - 3 Năm</t>
        </is>
      </c>
      <c r="L6783" s="8">
        <f>HYPERLINK("https://careerviet.vn/vi/tim-viec-lam/ai-project-manager.35C6BA41.html","Xem chi tiết")</f>
        <v/>
      </c>
    </row>
    <row r="6784">
      <c r="B6784" s="9" t="n">
        <v>6782</v>
      </c>
      <c r="C6784" s="10" t="inlineStr">
        <is>
          <t>Operation Manager</t>
        </is>
      </c>
      <c r="D6784" s="10" t="inlineStr">
        <is>
          <t>CareerViet</t>
        </is>
      </c>
      <c r="E6784" s="10" t="inlineStr">
        <is>
          <t>Lương:Cạnh tranh</t>
        </is>
      </c>
      <c r="F6784" s="10" t="inlineStr">
        <is>
          <t>Hồ Chí Minh</t>
        </is>
      </c>
      <c r="G6784" s="10" t="inlineStr">
        <is>
          <t>17-03-2026</t>
        </is>
      </c>
      <c r="H6784" s="10" t="inlineStr">
        <is>
          <t>15/03/2026</t>
        </is>
      </c>
      <c r="I6784" s="10" t="inlineStr">
        <is>
          <t>17/03/2026</t>
        </is>
      </c>
      <c r="J6784" s="10" t="inlineStr">
        <is>
          <t>Quản lý điều hành, CNTT - Phần mềm, Nhân sự</t>
        </is>
      </c>
      <c r="K6784" s="10" t="inlineStr">
        <is>
          <t>7 Năm</t>
        </is>
      </c>
      <c r="L6784" s="11">
        <f>HYPERLINK("https://careerviet.vn/vi/tim-viec-lam/operation-manager.35C6AA08.html","Xem chi tiết")</f>
        <v/>
      </c>
      <c r="M6784" s="10" t="n"/>
    </row>
    <row r="6785">
      <c r="B6785" s="7" t="n">
        <v>6783</v>
      </c>
      <c r="C6785" t="inlineStr">
        <is>
          <t>Frontend Developer (ReactJS, Next.js) (6 tháng)(Mới)</t>
        </is>
      </c>
      <c r="D6785" t="inlineStr">
        <is>
          <t>CareerViet</t>
        </is>
      </c>
      <c r="E6785" t="inlineStr">
        <is>
          <t>Lương:Cạnh tranh</t>
        </is>
      </c>
      <c r="F6785" t="inlineStr">
        <is>
          <t>Hồ Chí Minh</t>
        </is>
      </c>
      <c r="G6785" t="inlineStr">
        <is>
          <t>31-03-2026</t>
        </is>
      </c>
      <c r="H6785" t="inlineStr">
        <is>
          <t>31/03/2026</t>
        </is>
      </c>
      <c r="I6785" t="inlineStr">
        <is>
          <t>17/03/2026</t>
        </is>
      </c>
      <c r="J6785" t="inlineStr">
        <is>
          <t>CNTT - Phần mềm, CNTT - Phần cứng / Mạng, Nhân sự</t>
        </is>
      </c>
      <c r="K6785" t="inlineStr">
        <is>
          <t>1 - 3 Năm</t>
        </is>
      </c>
      <c r="L6785" s="8">
        <f>HYPERLINK("https://careerviet.vn/vi/tim-viec-lam/frontend-developer-reactjs-next-js-6-thang.35C6CB26.html","Xem chi tiết")</f>
        <v/>
      </c>
    </row>
    <row r="6786">
      <c r="B6786" s="9" t="n">
        <v>6784</v>
      </c>
      <c r="C6786" s="10" t="inlineStr">
        <is>
          <t>BẢO TRÌ CƠ KHÍ(Mới)</t>
        </is>
      </c>
      <c r="D6786" s="10" t="inlineStr">
        <is>
          <t>CÔNG TY TNHH ROCK WOOL KHẢI HOÀN</t>
        </is>
      </c>
      <c r="E6786" s="10" t="inlineStr">
        <is>
          <t>Lương:Cạnh tranh</t>
        </is>
      </c>
      <c r="F6786" s="10" t="inlineStr">
        <is>
          <t>Long An</t>
        </is>
      </c>
      <c r="G6786" s="10" t="inlineStr">
        <is>
          <t>1</t>
        </is>
      </c>
      <c r="H6786" s="10" t="inlineStr">
        <is>
          <t>18/03/2026</t>
        </is>
      </c>
      <c r="I6786" s="10" t="inlineStr">
        <is>
          <t>17/03/2026</t>
        </is>
      </c>
      <c r="J6786" s="10" t="inlineStr">
        <is>
          <t>Cơ khí / Ô tô / Tự động hóa, Bảo trì / Sửa chữa, Sản xuất / Vận hành sản xuất</t>
        </is>
      </c>
      <c r="K6786" s="10" t="inlineStr">
        <is>
          <t>1 - 2 Năm</t>
        </is>
      </c>
      <c r="L6786" s="11">
        <f>HYPERLINK("https://careerviet.vn/vi/tim-viec-lam/bao-tri-co-khi.35C6CD6C.html","Xem chi tiết")</f>
        <v/>
      </c>
      <c r="M6786" s="10" t="n"/>
    </row>
    <row r="6787">
      <c r="B6787" s="7" t="n">
        <v>6785</v>
      </c>
      <c r="C6787" t="inlineStr">
        <is>
          <t>CHUYÊN VIÊN KHÁCH HÀNG DOANH NGHIỆP - CHI NHÁNH TRẢNG BÀNG - KHU VỰC ĐÔNG NAM BỘ(Mới)</t>
        </is>
      </c>
      <c r="D6787" t="inlineStr">
        <is>
          <t>NGÂN HÀNG TMCP SÀI GÒN THƯƠNG TÍN (SACOMBANK)</t>
        </is>
      </c>
      <c r="E6787" t="inlineStr">
        <is>
          <t>Lương:Cạnh tranh</t>
        </is>
      </c>
      <c r="F6787" t="inlineStr">
        <is>
          <t>Bình Phước</t>
        </is>
      </c>
      <c r="G6787" t="inlineStr">
        <is>
          <t>30-04-2026</t>
        </is>
      </c>
      <c r="H6787" t="inlineStr">
        <is>
          <t>30/04/2026</t>
        </is>
      </c>
      <c r="I6787" t="inlineStr">
        <is>
          <t>17/03/2026</t>
        </is>
      </c>
      <c r="J6787" t="inlineStr">
        <is>
          <t>Ngân hàng, Bảo hiểm, Tài chính / Đầu tư</t>
        </is>
      </c>
      <c r="K6787" t="inlineStr">
        <is>
          <t>N/A</t>
        </is>
      </c>
      <c r="L6787" s="8">
        <f>HYPERLINK("https://careerviet.vn/vi/tim-viec-lam/chuyen-vien-khach-hang-doanh-nghiep-chi-nhanh-trang-bang-khu-vuc-dong-nam-bo.35C6BB8C.html","Xem chi tiết")</f>
        <v/>
      </c>
    </row>
    <row r="6788">
      <c r="B6788" s="9" t="n">
        <v>6786</v>
      </c>
      <c r="C6788" s="10" t="inlineStr">
        <is>
          <t>Deputy Customer Service &amp; Autotint Manager(Mới)</t>
        </is>
      </c>
      <c r="D6788" s="10" t="inlineStr">
        <is>
          <t>Công Ty TNHH Sơn TOA Việt Nam</t>
        </is>
      </c>
      <c r="E6788" s="10" t="inlineStr">
        <is>
          <t>Lương:Cạnh tranh</t>
        </is>
      </c>
      <c r="F6788" s="10" t="inlineStr">
        <is>
          <t>Bình Dương</t>
        </is>
      </c>
      <c r="G6788" s="10" t="inlineStr">
        <is>
          <t>30-04-2026</t>
        </is>
      </c>
      <c r="H6788" s="10" t="inlineStr">
        <is>
          <t>30/04/2026</t>
        </is>
      </c>
      <c r="I6788" s="10" t="inlineStr">
        <is>
          <t>17/03/2026</t>
        </is>
      </c>
      <c r="J6788" s="10" t="inlineStr">
        <is>
          <t>Tư vấn, Dịch vụ khách hàng, Sản xuất / Vận hành sản xuất</t>
        </is>
      </c>
      <c r="K6788" s="10" t="inlineStr">
        <is>
          <t>10 - 15 Năm</t>
        </is>
      </c>
      <c r="L6788" s="11">
        <f>HYPERLINK("https://careerviet.vn/vi/tim-viec-lam/deputy-customer-service-autotint-manager.35C6CD6B.html","Xem chi tiết")</f>
        <v/>
      </c>
      <c r="M6788" s="10" t="n"/>
    </row>
    <row r="6789">
      <c r="B6789" s="7" t="n">
        <v>6787</v>
      </c>
      <c r="C6789" t="inlineStr">
        <is>
          <t>CHUYÊN VIÊN THẨM ĐỊNH GIÁ - PHÒNG THẨM ĐỊNH GIÁ - KHỐI QUẢN TRỊ RỦI RO (HỘI SỞ)(Mới)</t>
        </is>
      </c>
      <c r="D6789" t="inlineStr">
        <is>
          <t>NGÂN HÀNG TMCP SÀI GÒN THƯƠNG TÍN (SACOMBANK)</t>
        </is>
      </c>
      <c r="E6789" t="inlineStr">
        <is>
          <t>Lương:Cạnh tranh</t>
        </is>
      </c>
      <c r="F6789" t="inlineStr">
        <is>
          <t>Toàn quốc</t>
        </is>
      </c>
      <c r="G6789" t="inlineStr">
        <is>
          <t>15-05-2026</t>
        </is>
      </c>
      <c r="H6789" t="inlineStr">
        <is>
          <t>15/05/2026</t>
        </is>
      </c>
      <c r="I6789" t="inlineStr">
        <is>
          <t>17/03/2026</t>
        </is>
      </c>
      <c r="J6789" t="inlineStr">
        <is>
          <t>Ngân hàng, Bảo hiểm, Tài chính / Đầu tư</t>
        </is>
      </c>
      <c r="K6789" t="inlineStr">
        <is>
          <t>1 - 3 Năm</t>
        </is>
      </c>
      <c r="L6789" s="8">
        <f>HYPERLINK("https://careerviet.vn/vi/tim-viec-lam/chuyen-vien-tham-dinh-gia-phong-tham-dinh-gia-khoi-quan-tri-rui-ro-hoi-so.35C6C54E.html","Xem chi tiết")</f>
        <v/>
      </c>
    </row>
    <row r="6790">
      <c r="B6790" s="9" t="n">
        <v>6788</v>
      </c>
      <c r="C6790" s="10" t="inlineStr">
        <is>
          <t>CHUYÊN VIÊN KHÁCH HÀNG CÁ NHÂN - CHI NHÁNH LONG KHÁNH - KHU VỰC ĐÔNG NAM BỘ(Mới)</t>
        </is>
      </c>
      <c r="D6790" s="10" t="inlineStr">
        <is>
          <t>NGÂN HÀNG TMCP SÀI GÒN THƯƠNG TÍN (SACOMBANK)</t>
        </is>
      </c>
      <c r="E6790" s="10" t="inlineStr">
        <is>
          <t>Lương:Cạnh tranh</t>
        </is>
      </c>
      <c r="F6790" s="10" t="inlineStr">
        <is>
          <t>Đồng Nai</t>
        </is>
      </c>
      <c r="G6790" s="10" t="inlineStr">
        <is>
          <t>30-06-2026</t>
        </is>
      </c>
      <c r="H6790" s="10" t="inlineStr">
        <is>
          <t>30/06/2026</t>
        </is>
      </c>
      <c r="I6790" s="10" t="inlineStr">
        <is>
          <t>17/03/2026</t>
        </is>
      </c>
      <c r="J6790" s="10" t="inlineStr">
        <is>
          <t>Ngân hàng, Bảo hiểm, Tài chính / Đầu tư</t>
        </is>
      </c>
      <c r="K6790" s="10" t="inlineStr">
        <is>
          <t>N/A</t>
        </is>
      </c>
      <c r="L6790" s="11">
        <f>HYPERLINK("https://careerviet.vn/vi/tim-viec-lam/chuyen-vien-khach-hang-ca-nhan-chi-nhanh-long-khanh-khu-vuc-dong-nam-bo.35C6C72F.html","Xem chi tiết")</f>
        <v/>
      </c>
      <c r="M6790" s="10" t="n"/>
    </row>
    <row r="6791">
      <c r="B6791" s="7" t="n">
        <v>6789</v>
      </c>
      <c r="C6791" t="inlineStr">
        <is>
          <t>Chuyên Viên Mua Hàng Quốc Tế (Tiếng Trung)(Mới)</t>
        </is>
      </c>
      <c r="D6791" t="inlineStr">
        <is>
          <t>Công Ty TNHH Tập Đoàn Rita Võ</t>
        </is>
      </c>
      <c r="E6791" t="inlineStr">
        <is>
          <t>Lương:17 Tr - 20 Tr VND</t>
        </is>
      </c>
      <c r="F6791" t="inlineStr">
        <is>
          <t>Bình DươngHồ Chí Minh</t>
        </is>
      </c>
      <c r="G6791" t="inlineStr">
        <is>
          <t>20-04-2026</t>
        </is>
      </c>
      <c r="H6791" t="inlineStr">
        <is>
          <t>20/04/2026</t>
        </is>
      </c>
      <c r="I6791" t="inlineStr">
        <is>
          <t>17/03/2026</t>
        </is>
      </c>
      <c r="J6791" t="inlineStr">
        <is>
          <t>Xuất nhập khẩu, Thu mua / Vật tư</t>
        </is>
      </c>
      <c r="K6791" t="inlineStr">
        <is>
          <t>Trên 2 Năm</t>
        </is>
      </c>
      <c r="L6791" s="8">
        <f>HYPERLINK("https://careerviet.vn/vi/tim-viec-lam/chuyen-vien-mua-hang-quoc-te-tieng-trung.35C6CD68.html","Xem chi tiết")</f>
        <v/>
      </c>
    </row>
    <row r="6792">
      <c r="B6792" s="9" t="n">
        <v>6790</v>
      </c>
      <c r="C6792" s="10" t="inlineStr">
        <is>
          <t>Telesales Team Leader</t>
        </is>
      </c>
      <c r="D6792" s="10" t="inlineStr">
        <is>
          <t>Vietnam Concentrix Services Company Limited</t>
        </is>
      </c>
      <c r="E6792" s="10" t="inlineStr">
        <is>
          <t>Lương:35 Tr - 45 Tr VND</t>
        </is>
      </c>
      <c r="F6792" s="10" t="inlineStr">
        <is>
          <t>Hồ Chí Minh</t>
        </is>
      </c>
      <c r="G6792" s="10" t="inlineStr">
        <is>
          <t>04-04-2026</t>
        </is>
      </c>
      <c r="H6792" s="10" t="inlineStr">
        <is>
          <t>04/04/2026</t>
        </is>
      </c>
      <c r="I6792" s="10" t="inlineStr">
        <is>
          <t>17/03/2026</t>
        </is>
      </c>
      <c r="J6792" s="10" t="inlineStr">
        <is>
          <t>Bán hàng / Kinh doanh, Tiếp thị trực tuyến, Bán lẻ / Bán sỉ</t>
        </is>
      </c>
      <c r="K6792" s="10" t="inlineStr">
        <is>
          <t>Trên 1 Năm</t>
        </is>
      </c>
      <c r="L6792" s="11">
        <f>HYPERLINK("https://careerviet.vn/vi/tim-viec-lam/telesales-team-leader.35C6AD0E.html","Xem chi tiết")</f>
        <v/>
      </c>
      <c r="M6792" s="10" t="n"/>
    </row>
    <row r="6793">
      <c r="B6793" s="7" t="n">
        <v>6791</v>
      </c>
      <c r="C6793" t="inlineStr">
        <is>
          <t>Nhân Viên Kinh Doanh Cafe Kênh MT/GT(Mới)</t>
        </is>
      </c>
      <c r="D6793" t="inlineStr">
        <is>
          <t>Công Ty TNHH Tập Đoàn Rita Võ</t>
        </is>
      </c>
      <c r="E6793" t="inlineStr">
        <is>
          <t>Lương:9 Tr - 14 Tr VND</t>
        </is>
      </c>
      <c r="F6793" t="inlineStr">
        <is>
          <t>Hồ Chí Minh</t>
        </is>
      </c>
      <c r="G6793" t="inlineStr">
        <is>
          <t>17-04-2026</t>
        </is>
      </c>
      <c r="H6793" t="inlineStr">
        <is>
          <t>17/04/2026</t>
        </is>
      </c>
      <c r="I6793" t="inlineStr">
        <is>
          <t>17/03/2026</t>
        </is>
      </c>
      <c r="J6793" t="inlineStr">
        <is>
          <t>Tiếp thị / Marketing, Bán lẻ / Bán sỉ, Bán hàng / Kinh doanh</t>
        </is>
      </c>
      <c r="K6793" t="inlineStr">
        <is>
          <t>N/A</t>
        </is>
      </c>
      <c r="L6793" s="8">
        <f>HYPERLINK("https://careerviet.vn/vi/tim-viec-lam/nhan-vien-kinh-doanh-cafe-kenh-mt-gt.35C6CD6F.html","Xem chi tiết")</f>
        <v/>
      </c>
    </row>
    <row r="6794">
      <c r="B6794" s="9" t="n">
        <v>6792</v>
      </c>
      <c r="C6794" s="10" t="inlineStr">
        <is>
          <t>Kỹ Sư Xây Dựng</t>
        </is>
      </c>
      <c r="D6794" s="10" t="inlineStr">
        <is>
          <t>CÔNG TY TNHH SUGIKO VIỆT NAM</t>
        </is>
      </c>
      <c r="E6794" s="10" t="inlineStr">
        <is>
          <t>Lương:Lên đến 24 Tr VND</t>
        </is>
      </c>
      <c r="F6794" s="10" t="inlineStr">
        <is>
          <t>Hồ Chí Minh</t>
        </is>
      </c>
      <c r="G6794" s="10" t="inlineStr">
        <is>
          <t>04-04-2026</t>
        </is>
      </c>
      <c r="H6794" s="10" t="inlineStr">
        <is>
          <t>04/04/2026</t>
        </is>
      </c>
      <c r="I6794" s="10" t="inlineStr">
        <is>
          <t>17/03/2026</t>
        </is>
      </c>
      <c r="J6794" s="10" t="inlineStr">
        <is>
          <t>Xây dựng, Bán Hàng Kỹ Thuật, Kiến trúc</t>
        </is>
      </c>
      <c r="K6794" s="10" t="inlineStr">
        <is>
          <t>Không yêu cầu kinh nghiệm</t>
        </is>
      </c>
      <c r="L6794" s="11">
        <f>HYPERLINK("https://careerviet.vn/vi/tim-viec-lam/ky-su-xay-dung.35C6AC05.html","Xem chi tiết")</f>
        <v/>
      </c>
      <c r="M6794" s="10" t="n"/>
    </row>
    <row r="6795">
      <c r="B6795" s="7" t="n">
        <v>6793</v>
      </c>
      <c r="C6795" t="inlineStr">
        <is>
          <t>CHUYÊN VIÊN KHÁCH HÀNG CÁ NHÂN - PGD BÌNH LONG (CN CHƠN THÀNH) - KHU VỰC ĐÔNG NAM BỘ(Mới)</t>
        </is>
      </c>
      <c r="D6795" t="inlineStr">
        <is>
          <t>NGÂN HÀNG TMCP SÀI GÒN THƯƠNG TÍN (SACOMBANK)</t>
        </is>
      </c>
      <c r="E6795" t="inlineStr">
        <is>
          <t>Lương:Cạnh tranh</t>
        </is>
      </c>
      <c r="F6795" t="inlineStr">
        <is>
          <t>Bình Phước</t>
        </is>
      </c>
      <c r="G6795" t="inlineStr">
        <is>
          <t>30-06-2026</t>
        </is>
      </c>
      <c r="H6795" t="inlineStr">
        <is>
          <t>30/06/2026</t>
        </is>
      </c>
      <c r="I6795" t="inlineStr">
        <is>
          <t>17/03/2026</t>
        </is>
      </c>
      <c r="J6795" t="inlineStr">
        <is>
          <t>Ngân hàng, Bảo hiểm, Tài chính / Đầu tư</t>
        </is>
      </c>
      <c r="K6795" t="inlineStr">
        <is>
          <t>N/A</t>
        </is>
      </c>
      <c r="L6795" s="8">
        <f>HYPERLINK("https://careerviet.vn/vi/tim-viec-lam/chuyen-vien-khach-hang-ca-nhan-pgd-binh-long-cn-chon-thanh-khu-vuc-dong-nam-bo.35C6C72E.html","Xem chi tiết")</f>
        <v/>
      </c>
    </row>
    <row r="6796">
      <c r="B6796" s="9" t="n">
        <v>6794</v>
      </c>
      <c r="C6796" s="10" t="inlineStr">
        <is>
          <t>Nhân Viên Thiết Kế 3D/ Graphic Design Tại Thủ Đức(Mới)</t>
        </is>
      </c>
      <c r="D6796" s="10" t="inlineStr">
        <is>
          <t>Công Ty TNHH Tập Đoàn Rita Võ</t>
        </is>
      </c>
      <c r="E6796" s="10" t="inlineStr">
        <is>
          <t>Lương:14 Tr - 19 Tr VND</t>
        </is>
      </c>
      <c r="F6796" s="10" t="inlineStr">
        <is>
          <t>Hồ Chí Minh</t>
        </is>
      </c>
      <c r="G6796" s="10" t="inlineStr">
        <is>
          <t>17-04-2026</t>
        </is>
      </c>
      <c r="H6796" s="10" t="inlineStr">
        <is>
          <t>17/04/2026</t>
        </is>
      </c>
      <c r="I6796" s="10" t="inlineStr">
        <is>
          <t>17/03/2026</t>
        </is>
      </c>
      <c r="J6796" s="10" t="inlineStr">
        <is>
          <t>Mỹ thuật / Nghệ thuật / Thiết kế, Quảng cáo / Đối ngoại / Truyền Thông, Nội ngoại thất</t>
        </is>
      </c>
      <c r="K6796" s="10" t="inlineStr">
        <is>
          <t>2 - 5 Năm</t>
        </is>
      </c>
      <c r="L6796" s="11">
        <f>HYPERLINK("https://careerviet.vn/vi/tim-viec-lam/nhan-vien-thiet-ke-3d-graphic-design-tai-thu-duc.35C6CD6A.html","Xem chi tiết")</f>
        <v/>
      </c>
      <c r="M6796" s="10" t="n"/>
    </row>
    <row r="6797">
      <c r="B6797" s="7" t="n">
        <v>6795</v>
      </c>
      <c r="C6797" t="inlineStr">
        <is>
          <t>Giám đốc Trung tâm Thương mại(Mới)</t>
        </is>
      </c>
      <c r="D6797" t="inlineStr">
        <is>
          <t>Công Ty Cổ Phần Vincom Retail</t>
        </is>
      </c>
      <c r="E6797" t="inlineStr">
        <is>
          <t>Lương:Cạnh tranh</t>
        </is>
      </c>
      <c r="F6797" t="inlineStr">
        <is>
          <t>Hà NộiHà GiangThái Nguyên</t>
        </is>
      </c>
      <c r="G6797" t="inlineStr">
        <is>
          <t>11-04-2026</t>
        </is>
      </c>
      <c r="H6797" t="inlineStr">
        <is>
          <t>11/04/2026</t>
        </is>
      </c>
      <c r="I6797" t="inlineStr">
        <is>
          <t>17/03/2026</t>
        </is>
      </c>
      <c r="J6797" t="inlineStr">
        <is>
          <t>Bán lẻ / Bán sỉ, Bất động sản, Quản lý điều hành</t>
        </is>
      </c>
      <c r="K6797" t="inlineStr">
        <is>
          <t>5 - 7 Năm</t>
        </is>
      </c>
      <c r="L6797" s="8">
        <f>HYPERLINK("https://careerviet.vn/vi/tim-viec-lam/giam-doc-trung-tam-thuong-mai.35C6CD75.html","Xem chi tiết")</f>
        <v/>
      </c>
    </row>
    <row r="6798">
      <c r="B6798" s="9" t="n">
        <v>6796</v>
      </c>
      <c r="C6798" s="10" t="inlineStr">
        <is>
          <t>Trưởng bộ phận sản xuất</t>
        </is>
      </c>
      <c r="D6798" s="10" t="inlineStr">
        <is>
          <t>CÔNG TY CỔ PHẦN PHÁT TRIỂN CƠ ĐIỆN LẠNH HOÀNG ĐẠT</t>
        </is>
      </c>
      <c r="E6798" s="10" t="inlineStr">
        <is>
          <t>Lương:20 Tr - 30 Tr VND</t>
        </is>
      </c>
      <c r="F6798" s="10" t="inlineStr">
        <is>
          <t>Hà Nội</t>
        </is>
      </c>
      <c r="G6798" s="10" t="inlineStr">
        <is>
          <t>15-04-2026</t>
        </is>
      </c>
      <c r="H6798" s="10" t="inlineStr">
        <is>
          <t>15/04/2026</t>
        </is>
      </c>
      <c r="I6798" s="10" t="inlineStr">
        <is>
          <t>17/03/2026</t>
        </is>
      </c>
      <c r="J6798" s="10" t="inlineStr">
        <is>
          <t>Sản xuất / Vận hành sản xuất</t>
        </is>
      </c>
      <c r="K6798" s="10" t="inlineStr">
        <is>
          <t>5 - 6 Năm</t>
        </is>
      </c>
      <c r="L6798" s="11">
        <f>HYPERLINK("https://careerviet.vn/vi/tim-viec-lam/truong-bo-phan-san-xuat.35C65AD1.html","Xem chi tiết")</f>
        <v/>
      </c>
      <c r="M6798" s="10" t="n"/>
    </row>
    <row r="6799">
      <c r="B6799" s="7" t="n">
        <v>6797</v>
      </c>
      <c r="C6799" t="inlineStr">
        <is>
          <t>Sales Manager (Sales Digital)</t>
        </is>
      </c>
      <c r="D6799" t="inlineStr">
        <is>
          <t>Công Ty Cổ phần Blueseed</t>
        </is>
      </c>
      <c r="E6799" t="inlineStr">
        <is>
          <t>Lương:25 Tr - 40 Tr VND</t>
        </is>
      </c>
      <c r="F6799" t="inlineStr">
        <is>
          <t>Hồ Chí Minh</t>
        </is>
      </c>
      <c r="G6799" t="inlineStr">
        <is>
          <t>12-04-2026</t>
        </is>
      </c>
      <c r="H6799" t="inlineStr">
        <is>
          <t>12/04/2026</t>
        </is>
      </c>
      <c r="I6799" t="inlineStr">
        <is>
          <t>17/03/2026</t>
        </is>
      </c>
      <c r="J6799" t="inlineStr">
        <is>
          <t>Bán hàng / Kinh doanh, Tiếp thị trực tuyến, Quảng cáo / Đối ngoại / Truyền Thông</t>
        </is>
      </c>
      <c r="K6799" t="inlineStr">
        <is>
          <t>3 - 4 Năm</t>
        </is>
      </c>
      <c r="L6799" s="8">
        <f>HYPERLINK("https://careerviet.vn/vi/tim-viec-lam/sales-manager-sales-digital.35C6C703.html","Xem chi tiết")</f>
        <v/>
      </c>
    </row>
    <row r="6800">
      <c r="B6800" s="9" t="n">
        <v>6798</v>
      </c>
      <c r="C6800" s="10" t="inlineStr">
        <is>
          <t>SAP SALES EXECUTIVE - HCMC/ HANOI</t>
        </is>
      </c>
      <c r="D6800" s="10" t="inlineStr">
        <is>
          <t>CÔNG TY CỔ PHẦN CÔNG NGHỆ CITEK</t>
        </is>
      </c>
      <c r="E6800" s="10" t="inlineStr">
        <is>
          <t>Lương:1.000 - 3.000 USD</t>
        </is>
      </c>
      <c r="F6800" s="10" t="inlineStr">
        <is>
          <t>Hồ Chí MinhHà Nội</t>
        </is>
      </c>
      <c r="G6800" s="10" t="inlineStr">
        <is>
          <t>11-04-2026</t>
        </is>
      </c>
      <c r="H6800" s="10" t="inlineStr">
        <is>
          <t>11/04/2026</t>
        </is>
      </c>
      <c r="I6800" s="10" t="inlineStr">
        <is>
          <t>17/03/2026</t>
        </is>
      </c>
      <c r="J6800" s="10" t="inlineStr">
        <is>
          <t>N/A</t>
        </is>
      </c>
      <c r="K6800" s="10" t="inlineStr">
        <is>
          <t>N/A</t>
        </is>
      </c>
      <c r="L6800" s="11">
        <f>HYPERLINK("https://careerviet.vn/vi/tim-viec-lam/sap-sales-executive-hcmc-hanoi.35C6C4D5.html","Xem chi tiết")</f>
        <v/>
      </c>
      <c r="M6800" s="10" t="n"/>
    </row>
    <row r="6801">
      <c r="B6801" s="7" t="n">
        <v>6799</v>
      </c>
      <c r="C6801" t="inlineStr">
        <is>
          <t>Trưởng Phòng Quản Lý Chất Lượng</t>
        </is>
      </c>
      <c r="D6801" t="inlineStr">
        <is>
          <t>DAI HOANG KIM GROUP</t>
        </is>
      </c>
      <c r="E6801" t="inlineStr">
        <is>
          <t>Lương:18 Tr - 25 Tr VND</t>
        </is>
      </c>
      <c r="F6801" t="inlineStr">
        <is>
          <t>Bình Phước</t>
        </is>
      </c>
      <c r="G6801" t="inlineStr">
        <is>
          <t>15-04-2026</t>
        </is>
      </c>
      <c r="H6801" t="inlineStr">
        <is>
          <t>15/04/2026</t>
        </is>
      </c>
      <c r="I6801" t="inlineStr">
        <is>
          <t>17/03/2026</t>
        </is>
      </c>
      <c r="J6801" t="inlineStr">
        <is>
          <t>Cơ khí / Ô tô / Tự động hóa, Sản xuất / Vận hành sản xuất, Quản lý chất lượng (QA/QC)</t>
        </is>
      </c>
      <c r="K6801" t="inlineStr">
        <is>
          <t>Trên 3 Năm</t>
        </is>
      </c>
      <c r="L6801" s="8">
        <f>HYPERLINK("https://careerviet.vn/vi/tim-viec-lam/truong-phong-quan-ly-chat-luong.35C64AAE.html","Xem chi tiết")</f>
        <v/>
      </c>
    </row>
    <row r="6802">
      <c r="B6802" s="9" t="n">
        <v>6800</v>
      </c>
      <c r="C6802" s="10" t="inlineStr">
        <is>
          <t>CVC/CVCC Bán sản phẩm cho vay - Quảng Ninh - TA 187</t>
        </is>
      </c>
      <c r="D6802" s="10" t="inlineStr">
        <is>
          <t>Ngân Hàng TMCP Việt Nam Thịnh Vượng - VPBANK</t>
        </is>
      </c>
      <c r="E6802" s="10" t="inlineStr">
        <is>
          <t>Lương:20 Tr - 30 Tr VND</t>
        </is>
      </c>
      <c r="F6802" s="10" t="inlineStr">
        <is>
          <t>Quảng Ninh</t>
        </is>
      </c>
      <c r="G6802" s="10" t="inlineStr">
        <is>
          <t>15-04-2026</t>
        </is>
      </c>
      <c r="H6802" s="10" t="inlineStr">
        <is>
          <t>15/04/2026</t>
        </is>
      </c>
      <c r="I6802" s="10" t="inlineStr">
        <is>
          <t>17/03/2026</t>
        </is>
      </c>
      <c r="J6802" s="10" t="inlineStr">
        <is>
          <t>Ngân hàng</t>
        </is>
      </c>
      <c r="K6802" s="10" t="inlineStr">
        <is>
          <t>Trên 2 Năm</t>
        </is>
      </c>
      <c r="L6802" s="11">
        <f>HYPERLINK("https://careerviet.vn/vi/tim-viec-lam/cvc-cvcc-ban-san-pham-cho-vay-quang-ninh-ta-187.35C65B89.html","Xem chi tiết")</f>
        <v/>
      </c>
      <c r="M6802" s="10" t="n"/>
    </row>
    <row r="6803">
      <c r="B6803" s="7" t="n">
        <v>6801</v>
      </c>
      <c r="C6803" t="inlineStr">
        <is>
          <t>CHUYÊN VIÊN MUA HÀNG [CƠ KHÍ -  CỦ CHI]</t>
        </is>
      </c>
      <c r="D6803" t="inlineStr">
        <is>
          <t>CÔNG TY CP SAIGON AUTO SUPPORTING INDUSTRY</t>
        </is>
      </c>
      <c r="E6803" t="inlineStr">
        <is>
          <t>Lương:Cạnh tranh</t>
        </is>
      </c>
      <c r="F6803" t="inlineStr">
        <is>
          <t>Hồ Chí Minh</t>
        </is>
      </c>
      <c r="G6803" t="inlineStr">
        <is>
          <t>15-04-2026</t>
        </is>
      </c>
      <c r="H6803" t="inlineStr">
        <is>
          <t>15/04/2026</t>
        </is>
      </c>
      <c r="I6803" t="inlineStr">
        <is>
          <t>17/03/2026</t>
        </is>
      </c>
      <c r="J6803" t="inlineStr">
        <is>
          <t>Cơ khí / Ô tô / Tự động hóa, Thu mua / Vật tư, Bán Hàng Kỹ Thuật</t>
        </is>
      </c>
      <c r="K6803" t="inlineStr">
        <is>
          <t>3 - 10 Năm</t>
        </is>
      </c>
      <c r="L6803" s="8">
        <f>HYPERLINK("https://careerviet.vn/vi/tim-viec-lam/chuyen-vien-mua-hang-co-khi-cu-chi.35C65A69.html","Xem chi tiết")</f>
        <v/>
      </c>
    </row>
    <row r="6804">
      <c r="B6804" s="9" t="n">
        <v>6802</v>
      </c>
      <c r="C6804" s="10" t="inlineStr">
        <is>
          <t>Business Development Manager</t>
        </is>
      </c>
      <c r="D6804" s="10" t="inlineStr">
        <is>
          <t>Công Ty Cổ phần Blueseed</t>
        </is>
      </c>
      <c r="E6804" s="10" t="inlineStr">
        <is>
          <t>Lương:20 Tr - 40 Tr VND</t>
        </is>
      </c>
      <c r="F6804" s="10" t="inlineStr">
        <is>
          <t>Hồ Chí Minh</t>
        </is>
      </c>
      <c r="G6804" s="10" t="inlineStr">
        <is>
          <t>12-04-2026</t>
        </is>
      </c>
      <c r="H6804" s="10" t="inlineStr">
        <is>
          <t>12/04/2026</t>
        </is>
      </c>
      <c r="I6804" s="10" t="inlineStr">
        <is>
          <t>17/03/2026</t>
        </is>
      </c>
      <c r="J6804" s="10" t="inlineStr">
        <is>
          <t>Tiếp thị / Marketing, Bán hàng / Kinh doanh, Quảng cáo / Đối ngoại / Truyền Thông</t>
        </is>
      </c>
      <c r="K6804" s="10" t="inlineStr">
        <is>
          <t>3 - 5 Năm</t>
        </is>
      </c>
      <c r="L6804" s="11">
        <f>HYPERLINK("https://careerviet.vn/vi/tim-viec-lam/business-development-manager.35C6C704.html","Xem chi tiết")</f>
        <v/>
      </c>
      <c r="M6804" s="10" t="n"/>
    </row>
    <row r="6805">
      <c r="B6805" s="7" t="n">
        <v>6803</v>
      </c>
      <c r="C6805" t="inlineStr">
        <is>
          <t>Nhân viên Phát triển sản phẩm (Ngành Ống nhựa)</t>
        </is>
      </c>
      <c r="D6805" t="inlineStr">
        <is>
          <t>CÔNG TY CỔ PHẦN NHỰA BÌNH MINH</t>
        </is>
      </c>
      <c r="E6805" t="inlineStr">
        <is>
          <t>Lương:Cạnh tranh</t>
        </is>
      </c>
      <c r="F6805" t="inlineStr">
        <is>
          <t>Hồ Chí Minh</t>
        </is>
      </c>
      <c r="G6805" t="inlineStr">
        <is>
          <t>15-04-2026</t>
        </is>
      </c>
      <c r="H6805" t="inlineStr">
        <is>
          <t>15/04/2026</t>
        </is>
      </c>
      <c r="I6805" t="inlineStr">
        <is>
          <t>17/03/2026</t>
        </is>
      </c>
      <c r="J6805" t="inlineStr">
        <is>
          <t>Bán hàng / Kinh doanh, Xây dựng, Sản xuất / Vận hành sản xuất</t>
        </is>
      </c>
      <c r="K6805" t="inlineStr">
        <is>
          <t>1 - 2 Năm</t>
        </is>
      </c>
      <c r="L6805" s="8">
        <f>HYPERLINK("https://careerviet.vn/vi/tim-viec-lam/nhan-vien-phat-trien-san-pham-nganh-ong-nhua.35C65AB9.html","Xem chi tiết")</f>
        <v/>
      </c>
    </row>
    <row r="6806">
      <c r="B6806" s="9" t="n">
        <v>6804</v>
      </c>
      <c r="C6806" s="10" t="inlineStr">
        <is>
          <t>Kỹ thuật hiện trường</t>
        </is>
      </c>
      <c r="D6806" s="10" t="inlineStr">
        <is>
          <t>Công ty cổ phần công nghiệp dân dụng công nghiệp Hà Nội</t>
        </is>
      </c>
      <c r="E6806" s="10" t="inlineStr">
        <is>
          <t>Lương:14 Tr - 18 Tr VND</t>
        </is>
      </c>
      <c r="F6806" s="10" t="inlineStr">
        <is>
          <t>Hà Nội</t>
        </is>
      </c>
      <c r="G6806" s="10" t="inlineStr">
        <is>
          <t>15-04-2026</t>
        </is>
      </c>
      <c r="H6806" s="10" t="inlineStr">
        <is>
          <t>15/04/2026</t>
        </is>
      </c>
      <c r="I6806" s="10" t="inlineStr">
        <is>
          <t>17/03/2026</t>
        </is>
      </c>
      <c r="J6806" s="10" t="inlineStr">
        <is>
          <t>Trắc địa / Địa Chất, Bảo trì / Sửa chữa, Xây dựng</t>
        </is>
      </c>
      <c r="K6806" s="10" t="inlineStr">
        <is>
          <t>Trên 1 Năm</t>
        </is>
      </c>
      <c r="L6806" s="11">
        <f>HYPERLINK("https://careerviet.vn/vi/tim-viec-lam/ky-thuat-hien-truong.35C65B4B.html","Xem chi tiết")</f>
        <v/>
      </c>
      <c r="M6806" s="10" t="n"/>
    </row>
    <row r="6807">
      <c r="B6807" s="7" t="n">
        <v>6805</v>
      </c>
      <c r="C6807" t="inlineStr">
        <is>
          <t>Kỹ Thuật Viên Bảo Trì Cơ Khí - KCN Long Hậu</t>
        </is>
      </c>
      <c r="D6807" t="inlineStr">
        <is>
          <t>Saint-Gobain Vietnam</t>
        </is>
      </c>
      <c r="E6807" t="inlineStr">
        <is>
          <t>Lương:10 Tr - 15 Tr VND</t>
        </is>
      </c>
      <c r="F6807" t="inlineStr">
        <is>
          <t>Long AnHồ Chí MinhTây Ninh</t>
        </is>
      </c>
      <c r="G6807" t="inlineStr">
        <is>
          <t>03-04-2026</t>
        </is>
      </c>
      <c r="H6807" t="inlineStr">
        <is>
          <t>03/04/2026</t>
        </is>
      </c>
      <c r="I6807" t="inlineStr">
        <is>
          <t>17/03/2026</t>
        </is>
      </c>
      <c r="J6807" t="inlineStr">
        <is>
          <t>Cơ khí / Ô tô / Tự động hóa, Bảo trì / Sửa chữa</t>
        </is>
      </c>
      <c r="K6807" t="inlineStr">
        <is>
          <t>1 - 10 Năm</t>
        </is>
      </c>
      <c r="L6807" s="8">
        <f>HYPERLINK("https://careerviet.vn/vi/tim-viec-lam/ky-thuat-vien-bao-tri-co-khi-kcn-long-hau.35C6ABE4.html","Xem chi tiết")</f>
        <v/>
      </c>
    </row>
    <row r="6808">
      <c r="B6808" s="9" t="n">
        <v>6806</v>
      </c>
      <c r="C6808" s="10" t="inlineStr">
        <is>
          <t>Trưởng Nhóm Xử Lý Tín Dụng Tại Thực Địa</t>
        </is>
      </c>
      <c r="D6808" s="10" t="inlineStr">
        <is>
          <t>FE CREDIT</t>
        </is>
      </c>
      <c r="E6808" s="10" t="inlineStr">
        <is>
          <t>Lương:15 Tr - 30 Tr VND</t>
        </is>
      </c>
      <c r="F6808" s="10" t="inlineStr">
        <is>
          <t>An GiangCần ThơBình Dương</t>
        </is>
      </c>
      <c r="G6808" s="10" t="inlineStr">
        <is>
          <t>31-03-2026</t>
        </is>
      </c>
      <c r="H6808" s="10" t="inlineStr">
        <is>
          <t>31/03/2026</t>
        </is>
      </c>
      <c r="I6808" s="10" t="inlineStr">
        <is>
          <t>17/03/2026</t>
        </is>
      </c>
      <c r="J6808" s="10" t="inlineStr">
        <is>
          <t>Tài chính / Đầu tư, Bán hàng / Kinh doanh, Ngân hàng</t>
        </is>
      </c>
      <c r="K6808" s="10" t="inlineStr">
        <is>
          <t>1 - 2 Năm</t>
        </is>
      </c>
      <c r="L6808" s="11">
        <f>HYPERLINK("https://careerviet.vn/vi/tim-viec-lam/truong-nhom-xu-ly-tin-dung-tai-thuc-dia.35C6ACC2.html","Xem chi tiết")</f>
        <v/>
      </c>
      <c r="M6808" s="10" t="n"/>
    </row>
    <row r="6809">
      <c r="B6809" s="7" t="n">
        <v>6807</v>
      </c>
      <c r="C6809" t="inlineStr">
        <is>
          <t>Chuyên Viên Chính/ Chuyên Viên Cao Cấp Khách Hàng Ưu Tiên - TA126 (ID762)</t>
        </is>
      </c>
      <c r="D6809" t="inlineStr">
        <is>
          <t>Ngân Hàng TMCP Việt Nam Thịnh Vượng - VPBANK</t>
        </is>
      </c>
      <c r="E6809" t="inlineStr">
        <is>
          <t>Lương:20 Tr - 50 Tr VND</t>
        </is>
      </c>
      <c r="F6809" t="inlineStr">
        <is>
          <t>Hà Nội</t>
        </is>
      </c>
      <c r="G6809" t="inlineStr">
        <is>
          <t>15-04-2026</t>
        </is>
      </c>
      <c r="H6809" t="inlineStr">
        <is>
          <t>15/04/2026</t>
        </is>
      </c>
      <c r="I6809" t="inlineStr">
        <is>
          <t>17/03/2026</t>
        </is>
      </c>
      <c r="J6809" t="inlineStr">
        <is>
          <t>Ngân hàng</t>
        </is>
      </c>
      <c r="K6809" t="inlineStr">
        <is>
          <t>Trên 2 Năm</t>
        </is>
      </c>
      <c r="L6809" s="8">
        <f>HYPERLINK("https://careerviet.vn/vi/tim-viec-lam/chuyen-vien-chinh-chuyen-vien-cao-cap-khach-hang-uu-tien-ta126-id762.35C65B7B.html","Xem chi tiết")</f>
        <v/>
      </c>
    </row>
    <row r="6810">
      <c r="B6810" s="9" t="n">
        <v>6808</v>
      </c>
      <c r="C6810" s="10" t="inlineStr">
        <is>
          <t>Chuyên viên Phát triển đối tác</t>
        </is>
      </c>
      <c r="D6810" s="10" t="inlineStr">
        <is>
          <t>Tổng Công Ty Cổ Phần Bảo Hiểm Ngân Hàng TMCP Công Thương Việt Nam</t>
        </is>
      </c>
      <c r="E6810" s="10" t="inlineStr">
        <is>
          <t>Lương:Cạnh tranh</t>
        </is>
      </c>
      <c r="F6810" s="10" t="inlineStr">
        <is>
          <t>Hà Nội</t>
        </is>
      </c>
      <c r="G6810" s="10" t="inlineStr">
        <is>
          <t>15-04-2026</t>
        </is>
      </c>
      <c r="H6810" s="10" t="inlineStr">
        <is>
          <t>15/04/2026</t>
        </is>
      </c>
      <c r="I6810" s="10" t="inlineStr">
        <is>
          <t>17/03/2026</t>
        </is>
      </c>
      <c r="J6810" s="10" t="inlineStr">
        <is>
          <t>Bảo hiểm</t>
        </is>
      </c>
      <c r="K6810" s="10" t="inlineStr">
        <is>
          <t>3 - 5 Năm</t>
        </is>
      </c>
      <c r="L6810" s="11">
        <f>HYPERLINK("https://careerviet.vn/vi/tim-viec-lam/chuyen-vien-phat-trien-doi-tac.35C65AE0.html","Xem chi tiết")</f>
        <v/>
      </c>
      <c r="M6810" s="10" t="n"/>
    </row>
    <row r="6811">
      <c r="B6811" s="7" t="n">
        <v>6809</v>
      </c>
      <c r="C6811" t="inlineStr">
        <is>
          <t>BUSINESS ANALYST (BA)</t>
        </is>
      </c>
      <c r="D6811" t="inlineStr">
        <is>
          <t>Công Ty Cổ Phần Tân Vĩnh Cửu (Tavico group)</t>
        </is>
      </c>
      <c r="E6811" t="inlineStr">
        <is>
          <t>Lương:Cạnh tranh</t>
        </is>
      </c>
      <c r="F6811" t="inlineStr">
        <is>
          <t>Đồng Nai</t>
        </is>
      </c>
      <c r="G6811" t="inlineStr">
        <is>
          <t>15-04-2026</t>
        </is>
      </c>
      <c r="H6811" t="inlineStr">
        <is>
          <t>15/04/2026</t>
        </is>
      </c>
      <c r="I6811" t="inlineStr">
        <is>
          <t>17/03/2026</t>
        </is>
      </c>
      <c r="J6811" t="inlineStr">
        <is>
          <t>CNTT - Phần mềm</t>
        </is>
      </c>
      <c r="K6811" t="inlineStr">
        <is>
          <t>2 - 3 Năm</t>
        </is>
      </c>
      <c r="L6811" s="8">
        <f>HYPERLINK("https://careerviet.vn/vi/tim-viec-lam/business-analyst-ba.35C65A06.html","Xem chi tiết")</f>
        <v/>
      </c>
    </row>
    <row r="6812">
      <c r="B6812" s="9" t="n">
        <v>6810</v>
      </c>
      <c r="C6812" s="10" t="inlineStr">
        <is>
          <t>Chuyên viên Lean (Làm việc tại Tây Ninh)</t>
        </is>
      </c>
      <c r="D6812" s="10" t="inlineStr">
        <is>
          <t>Công ty CP Thành Thành Công - Biên Hòa</t>
        </is>
      </c>
      <c r="E6812" s="10" t="inlineStr">
        <is>
          <t>Lương:Cạnh tranh</t>
        </is>
      </c>
      <c r="F6812" s="10" t="inlineStr">
        <is>
          <t>Tây Ninh</t>
        </is>
      </c>
      <c r="G6812" s="10" t="inlineStr">
        <is>
          <t>15-04-2026</t>
        </is>
      </c>
      <c r="H6812" s="10" t="inlineStr">
        <is>
          <t>15/04/2026</t>
        </is>
      </c>
      <c r="I6812" s="10" t="inlineStr">
        <is>
          <t>17/03/2026</t>
        </is>
      </c>
      <c r="J6812" s="10" t="inlineStr">
        <is>
          <t>An toàn lao động, Bảo trì / Sửa chữa, Công nghệ thực phẩm / Dinh dưỡng</t>
        </is>
      </c>
      <c r="K6812" s="10" t="inlineStr">
        <is>
          <t>2 - 3 Năm</t>
        </is>
      </c>
      <c r="L6812" s="11">
        <f>HYPERLINK("https://careerviet.vn/vi/tim-viec-lam/chuyen-vien-lean-lam-viec-tai-tay-ninh.35C65B54.html","Xem chi tiết")</f>
        <v/>
      </c>
      <c r="M6812" s="10" t="n"/>
    </row>
    <row r="6813">
      <c r="B6813" s="7" t="n">
        <v>6811</v>
      </c>
      <c r="C6813" t="inlineStr">
        <is>
          <t>Illustrator / DTP Designer (Furniture) / Illustrator・DTPデザイナー（ファーニチャー）</t>
        </is>
      </c>
      <c r="D6813" t="inlineStr">
        <is>
          <t>MUJI GLOBAL SOURCING VIETNAM CO.,LTD</t>
        </is>
      </c>
      <c r="E6813" t="inlineStr">
        <is>
          <t>Lương:1.200 - 1.500 USD</t>
        </is>
      </c>
      <c r="F6813" t="inlineStr">
        <is>
          <t>Hồ Chí Minh</t>
        </is>
      </c>
      <c r="G6813" t="inlineStr">
        <is>
          <t>15-04-2026</t>
        </is>
      </c>
      <c r="H6813" t="inlineStr">
        <is>
          <t>15/04/2026</t>
        </is>
      </c>
      <c r="I6813" t="inlineStr">
        <is>
          <t>17/03/2026</t>
        </is>
      </c>
      <c r="J6813" t="inlineStr">
        <is>
          <t>Mỹ thuật / Nghệ thuật / Thiết kế, Đồ gỗ, Nội ngoại thất</t>
        </is>
      </c>
      <c r="K6813" t="inlineStr">
        <is>
          <t>1 - 5 Năm</t>
        </is>
      </c>
      <c r="L6813" s="8">
        <f>HYPERLINK("https://careerviet.vn/vi/tim-viec-lam/illustrator-dtp-designer-furniture-illustrator-dtp.35C65A2B.html","Xem chi tiết")</f>
        <v/>
      </c>
    </row>
    <row r="6814">
      <c r="B6814" s="9" t="n">
        <v>6812</v>
      </c>
      <c r="C6814" s="10" t="inlineStr">
        <is>
          <t>TUYỂN DỤNG BÁC SĨ THẨM MỸ ĐÀ NẴNG - ĐI LÀM NGAY</t>
        </is>
      </c>
      <c r="D6814" s="10" t="inlineStr">
        <is>
          <t>THẨM MỸ VIỆN DR DOHYUN</t>
        </is>
      </c>
      <c r="E6814" s="10" t="inlineStr">
        <is>
          <t>Lương:30 Tr - 80 Tr VND</t>
        </is>
      </c>
      <c r="F6814" s="10" t="inlineStr">
        <is>
          <t>Đà Nẵng</t>
        </is>
      </c>
      <c r="G6814" s="10" t="inlineStr">
        <is>
          <t>15-04-2026</t>
        </is>
      </c>
      <c r="H6814" s="10" t="inlineStr">
        <is>
          <t>15/04/2026</t>
        </is>
      </c>
      <c r="I6814" s="10" t="inlineStr">
        <is>
          <t>17/03/2026</t>
        </is>
      </c>
      <c r="J6814" s="10" t="inlineStr">
        <is>
          <t>Y tế / Chăm sóc sức khỏe / Thẩm mỹ / Làm đẹp, Dược phẩm/ Hóa Mỹ Phẩm</t>
        </is>
      </c>
      <c r="K6814" s="10" t="inlineStr">
        <is>
          <t>3 - 10 Năm</t>
        </is>
      </c>
      <c r="L6814" s="11">
        <f>HYPERLINK("https://careerviet.vn/vi/tim-viec-lam/tuyen-dung-bac-si-tham-my-da-nang-di-lam-ngay.35C659BE.html","Xem chi tiết")</f>
        <v/>
      </c>
      <c r="M6814" s="10" t="n"/>
    </row>
    <row r="6815">
      <c r="B6815" s="7" t="n">
        <v>6813</v>
      </c>
      <c r="C6815" t="inlineStr">
        <is>
          <t>Phó phòng HCNS (Mạnh Tuyển dụng)</t>
        </is>
      </c>
      <c r="D6815" t="inlineStr">
        <is>
          <t>Công Ty Cổ Phần Dịch Vụ Nhà Sạch</t>
        </is>
      </c>
      <c r="E6815" t="inlineStr">
        <is>
          <t>Lương:16 Tr - 18 Tr VND</t>
        </is>
      </c>
      <c r="F6815" t="inlineStr">
        <is>
          <t>Hồ Chí Minh</t>
        </is>
      </c>
      <c r="G6815" t="inlineStr">
        <is>
          <t>15-04-2026</t>
        </is>
      </c>
      <c r="H6815" t="inlineStr">
        <is>
          <t>15/04/2026</t>
        </is>
      </c>
      <c r="I6815" t="inlineStr">
        <is>
          <t>17/03/2026</t>
        </is>
      </c>
      <c r="J6815" t="inlineStr">
        <is>
          <t>Nhân sự</t>
        </is>
      </c>
      <c r="K6815" t="inlineStr">
        <is>
          <t>8 - 9 Năm</t>
        </is>
      </c>
      <c r="L6815" s="8">
        <f>HYPERLINK("https://careerviet.vn/vi/tim-viec-lam/pho-phong-hcns-manh-tuyen-dung.35C65A6F.html","Xem chi tiết")</f>
        <v/>
      </c>
    </row>
    <row r="6816">
      <c r="B6816" s="9" t="n">
        <v>6814</v>
      </c>
      <c r="C6816" s="10" t="inlineStr">
        <is>
          <t>CVC/CVCC Quan hệ khách hàng ưu tiên - Thái Bình - TA 187</t>
        </is>
      </c>
      <c r="D6816" s="10" t="inlineStr">
        <is>
          <t>Ngân Hàng TMCP Việt Nam Thịnh Vượng - VPBANK</t>
        </is>
      </c>
      <c r="E6816" s="10" t="inlineStr">
        <is>
          <t>Lương:20 Tr - 30 Tr VND</t>
        </is>
      </c>
      <c r="F6816" s="10" t="inlineStr">
        <is>
          <t>Thái Bình</t>
        </is>
      </c>
      <c r="G6816" s="10" t="inlineStr">
        <is>
          <t>15-04-2026</t>
        </is>
      </c>
      <c r="H6816" s="10" t="inlineStr">
        <is>
          <t>15/04/2026</t>
        </is>
      </c>
      <c r="I6816" s="10" t="inlineStr">
        <is>
          <t>17/03/2026</t>
        </is>
      </c>
      <c r="J6816" s="10" t="inlineStr">
        <is>
          <t>Ngân hàng</t>
        </is>
      </c>
      <c r="K6816" s="10" t="inlineStr">
        <is>
          <t>Trên 2 Năm</t>
        </is>
      </c>
      <c r="L6816" s="11">
        <f>HYPERLINK("https://careerviet.vn/vi/tim-viec-lam/cvc-cvcc-quan-he-khach-hang-uu-tien-thai-binh-ta-187.35C65B9A.html","Xem chi tiết")</f>
        <v/>
      </c>
      <c r="M6816" s="10" t="n"/>
    </row>
    <row r="6817">
      <c r="B6817" s="7" t="n">
        <v>6815</v>
      </c>
      <c r="C6817" t="inlineStr">
        <is>
          <t>Kỹ sư cao cấp QAQC - Planning</t>
        </is>
      </c>
      <c r="D6817" t="inlineStr">
        <is>
          <t>Công Ty Cổ Phần Tập Đoàn Đầu Tư Địa Ốc No Va</t>
        </is>
      </c>
      <c r="E6817" t="inlineStr">
        <is>
          <t>Lương:Cạnh tranh</t>
        </is>
      </c>
      <c r="F6817" t="inlineStr">
        <is>
          <t>Đồng Nai</t>
        </is>
      </c>
      <c r="G6817" t="inlineStr">
        <is>
          <t>15-04-2026</t>
        </is>
      </c>
      <c r="H6817" t="inlineStr">
        <is>
          <t>15/04/2026</t>
        </is>
      </c>
      <c r="I6817" t="inlineStr">
        <is>
          <t>17/03/2026</t>
        </is>
      </c>
      <c r="J6817" t="inlineStr">
        <is>
          <t>Xây dựng, Bất động sản</t>
        </is>
      </c>
      <c r="K6817" t="inlineStr">
        <is>
          <t>5 - 7 Năm</t>
        </is>
      </c>
      <c r="L6817" s="8">
        <f>HYPERLINK("https://careerviet.vn/vi/tim-viec-lam/ky-su-cao-cap-qaqc-planning.35C65AF0.html","Xem chi tiết")</f>
        <v/>
      </c>
    </row>
    <row r="6818">
      <c r="B6818" s="9" t="n">
        <v>6816</v>
      </c>
      <c r="C6818" s="10" t="inlineStr">
        <is>
          <t>LIVESTREAMER DƯỢC MỸ PHẨM - TIKTOK SHOP &amp; SHOPEE LIVE</t>
        </is>
      </c>
      <c r="D6818" s="10" t="inlineStr">
        <is>
          <t>CÔNG TY CỔ PHẦN TCELL</t>
        </is>
      </c>
      <c r="E6818" s="10" t="inlineStr">
        <is>
          <t>Lương:7 Tr - 15 Tr VND</t>
        </is>
      </c>
      <c r="F6818" s="10" t="inlineStr">
        <is>
          <t>Hồ Chí Minh</t>
        </is>
      </c>
      <c r="G6818" s="10" t="inlineStr">
        <is>
          <t>15-04-2026</t>
        </is>
      </c>
      <c r="H6818" s="10" t="inlineStr">
        <is>
          <t>15/04/2026</t>
        </is>
      </c>
      <c r="I6818" s="10" t="inlineStr">
        <is>
          <t>17/03/2026</t>
        </is>
      </c>
      <c r="J6818" s="10" t="inlineStr">
        <is>
          <t>Bán hàng / Kinh doanh, Dược phẩm/ Hóa Mỹ Phẩm, Y tế / Chăm sóc sức khỏe / Thẩm mỹ / Làm đẹp</t>
        </is>
      </c>
      <c r="K6818" s="10" t="inlineStr">
        <is>
          <t>2 - 5 Năm</t>
        </is>
      </c>
      <c r="L6818" s="11">
        <f>HYPERLINK("https://careerviet.vn/vi/tim-viec-lam/livestreamer-duoc-my-pham-tiktok-shop-shopee-live.35C65A95.html","Xem chi tiết")</f>
        <v/>
      </c>
      <c r="M6818" s="10" t="n"/>
    </row>
    <row r="6819">
      <c r="B6819" s="7" t="n">
        <v>6817</v>
      </c>
      <c r="C6819" t="inlineStr">
        <is>
          <t>Trưởng phòng Marketing (Massko)</t>
        </is>
      </c>
      <c r="D6819" t="inlineStr">
        <is>
          <t>Công ty Cổ phần Masscom Việt Nam</t>
        </is>
      </c>
      <c r="E6819" t="inlineStr">
        <is>
          <t>Lương:20 Tr - 30 Tr VND</t>
        </is>
      </c>
      <c r="F6819" t="inlineStr">
        <is>
          <t>Hà Nội</t>
        </is>
      </c>
      <c r="G6819" t="inlineStr">
        <is>
          <t>15-04-2026</t>
        </is>
      </c>
      <c r="H6819" t="inlineStr">
        <is>
          <t>15/04/2026</t>
        </is>
      </c>
      <c r="I6819" t="inlineStr">
        <is>
          <t>17/03/2026</t>
        </is>
      </c>
      <c r="J6819" t="inlineStr">
        <is>
          <t>Tiếp thị / Marketing, Bán hàng / Kinh doanh, Tiếp thị trực tuyến</t>
        </is>
      </c>
      <c r="K6819" t="inlineStr">
        <is>
          <t>5 - 8 Năm</t>
        </is>
      </c>
      <c r="L6819" s="8">
        <f>HYPERLINK("https://careerviet.vn/vi/tim-viec-lam/truong-phong-marketing-massko.35C65B01.html","Xem chi tiết")</f>
        <v/>
      </c>
    </row>
    <row r="6820">
      <c r="B6820" s="9" t="n">
        <v>6818</v>
      </c>
      <c r="C6820" s="10" t="inlineStr">
        <is>
          <t>Chuyên viên SAP BA phân hệ FICO</t>
        </is>
      </c>
      <c r="D6820" s="10" t="inlineStr">
        <is>
          <t>Công Ty Cổ Phần Quốc Tế Sơn Hà</t>
        </is>
      </c>
      <c r="E6820" s="10" t="inlineStr">
        <is>
          <t>Lương:Cạnh tranh</t>
        </is>
      </c>
      <c r="F6820" s="10" t="inlineStr">
        <is>
          <t>Hà Nội</t>
        </is>
      </c>
      <c r="G6820" s="10" t="inlineStr">
        <is>
          <t>15-04-2026</t>
        </is>
      </c>
      <c r="H6820" s="10" t="inlineStr">
        <is>
          <t>15/04/2026</t>
        </is>
      </c>
      <c r="I6820" s="10" t="inlineStr">
        <is>
          <t>17/03/2026</t>
        </is>
      </c>
      <c r="J6820" s="10" t="inlineStr">
        <is>
          <t>CNTT - Phần mềm</t>
        </is>
      </c>
      <c r="K6820" s="10" t="inlineStr">
        <is>
          <t>2 - 5 Năm</t>
        </is>
      </c>
      <c r="L6820" s="11">
        <f>HYPERLINK("https://careerviet.vn/vi/tim-viec-lam/chuyen-vien-sap-ba-phan-he-fico.35C65B18.html","Xem chi tiết")</f>
        <v/>
      </c>
      <c r="M6820" s="10" t="n"/>
    </row>
    <row r="6821">
      <c r="B6821" s="7" t="n">
        <v>6819</v>
      </c>
      <c r="C6821" t="inlineStr">
        <is>
          <t>Chuyên viên chất lượng (Gạo)</t>
        </is>
      </c>
      <c r="D6821" t="inlineStr">
        <is>
          <t>Công ty CP Thành Thành Công - Biên Hòa</t>
        </is>
      </c>
      <c r="E6821" t="inlineStr">
        <is>
          <t>Lương:Cạnh tranh</t>
        </is>
      </c>
      <c r="F6821" t="inlineStr">
        <is>
          <t>Tây Ninh</t>
        </is>
      </c>
      <c r="G6821" t="inlineStr">
        <is>
          <t>15-04-2026</t>
        </is>
      </c>
      <c r="H6821" t="inlineStr">
        <is>
          <t>15/04/2026</t>
        </is>
      </c>
      <c r="I6821" t="inlineStr">
        <is>
          <t>17/03/2026</t>
        </is>
      </c>
      <c r="J6821" t="inlineStr">
        <is>
          <t>Quản lý chất lượng (QA/QC)</t>
        </is>
      </c>
      <c r="K6821" t="inlineStr">
        <is>
          <t>Trên 1 Năm</t>
        </is>
      </c>
      <c r="L6821" s="8">
        <f>HYPERLINK("https://careerviet.vn/vi/tim-viec-lam/chuyen-vien-chat-luong-gao.35C65A91.html","Xem chi tiết")</f>
        <v/>
      </c>
    </row>
    <row r="6822">
      <c r="B6822" s="9" t="n">
        <v>6820</v>
      </c>
      <c r="C6822" s="10" t="inlineStr">
        <is>
          <t>Dược sĩ Kho làm việc tại Nguyễn Thị Tú (Bình Tân)</t>
        </is>
      </c>
      <c r="D6822" s="10" t="inlineStr">
        <is>
          <t>Công Ty Cổ Phần Vacxin Việt Nam</t>
        </is>
      </c>
      <c r="E6822" s="10" t="inlineStr">
        <is>
          <t>Lương:7 Tr - 9 Tr VND</t>
        </is>
      </c>
      <c r="F6822" s="10" t="inlineStr">
        <is>
          <t>Hồ Chí Minh</t>
        </is>
      </c>
      <c r="G6822" s="10" t="inlineStr">
        <is>
          <t>15-04-2026</t>
        </is>
      </c>
      <c r="H6822" s="10" t="inlineStr">
        <is>
          <t>15/04/2026</t>
        </is>
      </c>
      <c r="I6822" s="10" t="inlineStr">
        <is>
          <t>17/03/2026</t>
        </is>
      </c>
      <c r="J6822" s="10" t="inlineStr">
        <is>
          <t>Dược phẩm/ Hóa Mỹ Phẩm, Y tế / Chăm sóc sức khỏe / Thẩm mỹ / Làm đẹp, Vận chuyển / Giao nhận / Kho vận</t>
        </is>
      </c>
      <c r="K6822" s="10" t="inlineStr">
        <is>
          <t>Lên đến 1 Năm</t>
        </is>
      </c>
      <c r="L6822" s="11">
        <f>HYPERLINK("https://careerviet.vn/vi/tim-viec-lam/duoc-si-kho-lam-viec-tai-nguyen-thi-tu-binh-tan.35C65AF2.html","Xem chi tiết")</f>
        <v/>
      </c>
      <c r="M6822" s="10" t="n"/>
    </row>
    <row r="6823">
      <c r="B6823" s="7" t="n">
        <v>6821</v>
      </c>
      <c r="C6823" t="inlineStr">
        <is>
          <t>CVC/CVCC Quan hệ khách hàng ưu tiên - Hải Phòng - TA 187</t>
        </is>
      </c>
      <c r="D6823" t="inlineStr">
        <is>
          <t>Ngân Hàng TMCP Việt Nam Thịnh Vượng - VPBANK</t>
        </is>
      </c>
      <c r="E6823" t="inlineStr">
        <is>
          <t>Lương:20 Tr - 30 Tr VND</t>
        </is>
      </c>
      <c r="F6823" t="inlineStr">
        <is>
          <t>Hải Phòng</t>
        </is>
      </c>
      <c r="G6823" t="inlineStr">
        <is>
          <t>15-04-2026</t>
        </is>
      </c>
      <c r="H6823" t="inlineStr">
        <is>
          <t>15/04/2026</t>
        </is>
      </c>
      <c r="I6823" t="inlineStr">
        <is>
          <t>17/03/2026</t>
        </is>
      </c>
      <c r="J6823" t="inlineStr">
        <is>
          <t>Ngân hàng</t>
        </is>
      </c>
      <c r="K6823" t="inlineStr">
        <is>
          <t>Trên 2 Năm</t>
        </is>
      </c>
      <c r="L6823" s="8">
        <f>HYPERLINK("https://careerviet.vn/vi/tim-viec-lam/cvc-cvcc-quan-he-khach-hang-uu-tien-hai-phong-ta-187.35C65BAF.html","Xem chi tiết")</f>
        <v/>
      </c>
    </row>
    <row r="6824">
      <c r="B6824" s="9" t="n">
        <v>6822</v>
      </c>
      <c r="C6824" s="10" t="inlineStr">
        <is>
          <t>Nhân viên Marketing</t>
        </is>
      </c>
      <c r="D6824" s="10" t="inlineStr">
        <is>
          <t>CÔNG TY CỔ PHẦN TRANG THIẾT BỊ Y TẾ HẠNH NGUYÊN</t>
        </is>
      </c>
      <c r="E6824" s="10" t="inlineStr">
        <is>
          <t>Lương:Cạnh tranh</t>
        </is>
      </c>
      <c r="F6824" s="10" t="inlineStr">
        <is>
          <t>Hồ Chí Minh</t>
        </is>
      </c>
      <c r="G6824" s="10" t="inlineStr">
        <is>
          <t>15-04-2026</t>
        </is>
      </c>
      <c r="H6824" s="10" t="inlineStr">
        <is>
          <t>15/04/2026</t>
        </is>
      </c>
      <c r="I6824" s="10" t="inlineStr">
        <is>
          <t>17/03/2026</t>
        </is>
      </c>
      <c r="J6824" s="10" t="inlineStr">
        <is>
          <t>Tiếp thị / Marketing, Bán hàng / Kinh doanh, Y tế / Chăm sóc sức khỏe / Thẩm mỹ / Làm đẹp</t>
        </is>
      </c>
      <c r="K6824" s="10" t="inlineStr">
        <is>
          <t>1 - 2 Năm</t>
        </is>
      </c>
      <c r="L6824" s="11">
        <f>HYPERLINK("https://careerviet.vn/vi/tim-viec-lam/nhan-vien-marketing.35C659F5.html","Xem chi tiết")</f>
        <v/>
      </c>
      <c r="M6824" s="10" t="n"/>
    </row>
    <row r="6825">
      <c r="B6825" s="7" t="n">
        <v>6823</v>
      </c>
      <c r="C6825" t="inlineStr">
        <is>
          <t>IPQC Technician (Lab - Củ Chi)</t>
        </is>
      </c>
      <c r="D6825" t="inlineStr">
        <is>
          <t>Techtronic Industries Vietnam Manufacturing Company Limited</t>
        </is>
      </c>
      <c r="E6825" t="inlineStr">
        <is>
          <t>Lương:Cạnh tranh</t>
        </is>
      </c>
      <c r="F6825" t="inlineStr">
        <is>
          <t>Hồ Chí Minh</t>
        </is>
      </c>
      <c r="G6825" t="inlineStr">
        <is>
          <t>15-04-2026</t>
        </is>
      </c>
      <c r="H6825" t="inlineStr">
        <is>
          <t>15/04/2026</t>
        </is>
      </c>
      <c r="I6825" t="inlineStr">
        <is>
          <t>17/03/2026</t>
        </is>
      </c>
      <c r="J6825" t="inlineStr">
        <is>
          <t>Quản lý chất lượng (QA/QC), Sản xuất / Vận hành sản xuất, Điện / Điện tử / Điện lạnh / Điện công nghiệp</t>
        </is>
      </c>
      <c r="K6825" t="inlineStr">
        <is>
          <t>1 - 5 Năm</t>
        </is>
      </c>
      <c r="L6825" s="8">
        <f>HYPERLINK("https://careerviet.vn/vi/tim-viec-lam/ipqc-technician-lab-cu-chi.35C659EB.html","Xem chi tiết")</f>
        <v/>
      </c>
    </row>
    <row r="6826">
      <c r="B6826" s="9" t="n">
        <v>6824</v>
      </c>
      <c r="C6826" s="10" t="inlineStr">
        <is>
          <t>Quản lý Nhãn hàng – Category manager (B2B)</t>
        </is>
      </c>
      <c r="D6826" s="10" t="inlineStr">
        <is>
          <t>Công Ty Cổ Phần TM &amp; DV Phong Vũ</t>
        </is>
      </c>
      <c r="E6826" s="10" t="inlineStr">
        <is>
          <t>Lương:Cạnh tranh</t>
        </is>
      </c>
      <c r="F6826" s="10" t="inlineStr">
        <is>
          <t>Hồ Chí Minh</t>
        </is>
      </c>
      <c r="G6826" s="10" t="inlineStr">
        <is>
          <t>15-04-2026</t>
        </is>
      </c>
      <c r="H6826" s="10" t="inlineStr">
        <is>
          <t>15/04/2026</t>
        </is>
      </c>
      <c r="I6826" s="10" t="inlineStr">
        <is>
          <t>17/03/2026</t>
        </is>
      </c>
      <c r="J6826" s="10" t="inlineStr">
        <is>
          <t>Bán hàng / Kinh doanh, CNTT - Phần cứng / Mạng, Thu mua / Vật tư</t>
        </is>
      </c>
      <c r="K6826" s="10" t="inlineStr">
        <is>
          <t>3 - 5 Năm</t>
        </is>
      </c>
      <c r="L6826" s="11">
        <f>HYPERLINK("https://careerviet.vn/vi/tim-viec-lam/quan-ly-nhan-hang-category-manager-b2b.35C65B49.html","Xem chi tiết")</f>
        <v/>
      </c>
      <c r="M6826" s="10" t="n"/>
    </row>
    <row r="6827">
      <c r="B6827" s="7" t="n">
        <v>6825</v>
      </c>
      <c r="C6827" t="inlineStr">
        <is>
          <t>[Gia Lai] - Chuyên viên/Chuyên viên chính/Giám đốc Quan hệ Khách hàng cá nhân</t>
        </is>
      </c>
      <c r="D6827" t="inlineStr">
        <is>
          <t>Ngân hàng TMCP Lộc Phát Việt Nam (LPBank)</t>
        </is>
      </c>
      <c r="E6827" t="inlineStr">
        <is>
          <t>Lương:Cạnh tranh</t>
        </is>
      </c>
      <c r="F6827" t="inlineStr">
        <is>
          <t>Gia Lai</t>
        </is>
      </c>
      <c r="G6827" t="inlineStr">
        <is>
          <t>15-04-2026</t>
        </is>
      </c>
      <c r="H6827" t="inlineStr">
        <is>
          <t>15/04/2026</t>
        </is>
      </c>
      <c r="I6827" t="inlineStr">
        <is>
          <t>17/03/2026</t>
        </is>
      </c>
      <c r="J6827" t="inlineStr">
        <is>
          <t>Bán hàng / Kinh doanh, Kế toán / Kiểm toán, Ngân hàng</t>
        </is>
      </c>
      <c r="K6827" t="inlineStr">
        <is>
          <t>N/A</t>
        </is>
      </c>
      <c r="L6827" s="8">
        <f>HYPERLINK("https://careerviet.vn/vi/tim-viec-lam/gia-lai-chuyen-vien-chuyen-vien-chinh-giam-doc-quan-he-khach-hang-ca-nhan.35C65A55.html","Xem chi tiết")</f>
        <v/>
      </c>
    </row>
    <row r="6828">
      <c r="B6828" s="9" t="n">
        <v>6826</v>
      </c>
      <c r="C6828" s="10" t="inlineStr">
        <is>
          <t>TRƯỞNG PHÒNG KINH DOANH NHƯỢNG QUYỀN</t>
        </is>
      </c>
      <c r="D6828" s="10" t="inlineStr">
        <is>
          <t>CÔNG TY TNHH BBQ VIỆT NAM</t>
        </is>
      </c>
      <c r="E6828" s="10" t="inlineStr">
        <is>
          <t>Lương:17 Tr - 20 Tr VND</t>
        </is>
      </c>
      <c r="F6828" s="10" t="inlineStr">
        <is>
          <t>Hà Nội</t>
        </is>
      </c>
      <c r="G6828" s="10" t="inlineStr">
        <is>
          <t>15-04-2026</t>
        </is>
      </c>
      <c r="H6828" s="10" t="inlineStr">
        <is>
          <t>15/04/2026</t>
        </is>
      </c>
      <c r="I6828" s="10" t="inlineStr">
        <is>
          <t>17/03/2026</t>
        </is>
      </c>
      <c r="J6828" s="10" t="inlineStr">
        <is>
          <t>Bán hàng / Kinh doanh, Thực phẩm &amp; Đồ uống, Nhà hàng / Khách sạn</t>
        </is>
      </c>
      <c r="K6828" s="10" t="inlineStr">
        <is>
          <t>Trên 2 Năm</t>
        </is>
      </c>
      <c r="L6828" s="11">
        <f>HYPERLINK("https://careerviet.vn/vi/tim-viec-lam/truong-phong-kinh-doanh-nhuong-quyen.35C65A30.html","Xem chi tiết")</f>
        <v/>
      </c>
      <c r="M6828" s="10" t="n"/>
    </row>
    <row r="6829">
      <c r="B6829" s="7" t="n">
        <v>6827</v>
      </c>
      <c r="C6829" t="inlineStr">
        <is>
          <t>CG Quản lý sản phẩm (Phân khúc hộ kinh doanh) - Hà Nội - TA 187</t>
        </is>
      </c>
      <c r="D6829" t="inlineStr">
        <is>
          <t>Ngân Hàng TMCP Việt Nam Thịnh Vượng - VPBANK</t>
        </is>
      </c>
      <c r="E6829" t="inlineStr">
        <is>
          <t>Lương:20 Tr - 50 Tr VND</t>
        </is>
      </c>
      <c r="F6829" t="inlineStr">
        <is>
          <t>Hà Nội</t>
        </is>
      </c>
      <c r="G6829" t="inlineStr">
        <is>
          <t>15-04-2026</t>
        </is>
      </c>
      <c r="H6829" t="inlineStr">
        <is>
          <t>15/04/2026</t>
        </is>
      </c>
      <c r="I6829" t="inlineStr">
        <is>
          <t>17/03/2026</t>
        </is>
      </c>
      <c r="J6829" t="inlineStr">
        <is>
          <t>Ngân hàng</t>
        </is>
      </c>
      <c r="K6829" t="inlineStr">
        <is>
          <t>Trên 3 Năm</t>
        </is>
      </c>
      <c r="L6829" s="8">
        <f>HYPERLINK("https://careerviet.vn/vi/tim-viec-lam/cg-quan-ly-san-pham-phan-khuc-ho-kinh-doanh-ha-noi-ta-187.35C65BBD.html","Xem chi tiết")</f>
        <v/>
      </c>
    </row>
    <row r="6830">
      <c r="B6830" s="9" t="n">
        <v>6828</v>
      </c>
      <c r="C6830" s="10" t="inlineStr">
        <is>
          <t>KẾ TOÁN TỔNG HỢP - ĐI LÀM NGAY</t>
        </is>
      </c>
      <c r="D6830" s="10" t="inlineStr">
        <is>
          <t>THẨM MỸ VIỆN DR DOHYUN</t>
        </is>
      </c>
      <c r="E6830" s="10" t="inlineStr">
        <is>
          <t>Lương:12 Tr - 17 Tr VND</t>
        </is>
      </c>
      <c r="F6830" s="10" t="inlineStr">
        <is>
          <t>Hồ Chí Minh</t>
        </is>
      </c>
      <c r="G6830" s="10" t="inlineStr">
        <is>
          <t>15-04-2026</t>
        </is>
      </c>
      <c r="H6830" s="10" t="inlineStr">
        <is>
          <t>15/04/2026</t>
        </is>
      </c>
      <c r="I6830" s="10" t="inlineStr">
        <is>
          <t>17/03/2026</t>
        </is>
      </c>
      <c r="J6830" s="10" t="inlineStr">
        <is>
          <t>Kế toán / Kiểm toán, Dược phẩm/ Hóa Mỹ Phẩm, Y tế / Chăm sóc sức khỏe / Thẩm mỹ / Làm đẹp</t>
        </is>
      </c>
      <c r="K6830" s="10" t="inlineStr">
        <is>
          <t>2 - 3 Năm</t>
        </is>
      </c>
      <c r="L6830" s="11">
        <f>HYPERLINK("https://careerviet.vn/vi/tim-viec-lam/ke-toan-tong-hop-di-lam-ngay.35C6591F.html","Xem chi tiết")</f>
        <v/>
      </c>
      <c r="M6830" s="10" t="n"/>
    </row>
    <row r="6831">
      <c r="B6831" s="7" t="n">
        <v>6829</v>
      </c>
      <c r="C6831" t="inlineStr">
        <is>
          <t>QUẢN LÝ CHI NHÁNH TMV ĐÀ NẴNG - ĐI LÀM NGAY</t>
        </is>
      </c>
      <c r="D6831" t="inlineStr">
        <is>
          <t>THẨM MỸ VIỆN DR DOHYUN</t>
        </is>
      </c>
      <c r="E6831" t="inlineStr">
        <is>
          <t>Lương:30 Tr - 80 Tr VND</t>
        </is>
      </c>
      <c r="F6831" t="inlineStr">
        <is>
          <t>Đà Nẵng</t>
        </is>
      </c>
      <c r="G6831" t="inlineStr">
        <is>
          <t>15-04-2026</t>
        </is>
      </c>
      <c r="H6831" t="inlineStr">
        <is>
          <t>15/04/2026</t>
        </is>
      </c>
      <c r="I6831" t="inlineStr">
        <is>
          <t>17/03/2026</t>
        </is>
      </c>
      <c r="J6831" t="inlineStr">
        <is>
          <t>Y tế / Chăm sóc sức khỏe / Thẩm mỹ / Làm đẹp</t>
        </is>
      </c>
      <c r="K6831" t="inlineStr">
        <is>
          <t>2 - 10 Năm</t>
        </is>
      </c>
      <c r="L6831" s="8">
        <f>HYPERLINK("https://careerviet.vn/vi/tim-viec-lam/quan-ly-chi-nhanh-tmv-da-nang-di-lam-ngay.35C65A6A.html","Xem chi tiết")</f>
        <v/>
      </c>
    </row>
    <row r="6832">
      <c r="B6832" s="9" t="n">
        <v>6830</v>
      </c>
      <c r="C6832" s="10" t="inlineStr">
        <is>
          <t>Chuyên viên viên Quản lý Bảo trì (Làm việc tại Tây Ninh)</t>
        </is>
      </c>
      <c r="D6832" s="10" t="inlineStr">
        <is>
          <t>Công ty CP Thành Thành Công - Biên Hòa</t>
        </is>
      </c>
      <c r="E6832" s="10" t="inlineStr">
        <is>
          <t>Lương:Cạnh tranh</t>
        </is>
      </c>
      <c r="F6832" s="10" t="inlineStr">
        <is>
          <t>Tây Ninh</t>
        </is>
      </c>
      <c r="G6832" s="10" t="inlineStr">
        <is>
          <t>15-04-2026</t>
        </is>
      </c>
      <c r="H6832" s="10" t="inlineStr">
        <is>
          <t>15/04/2026</t>
        </is>
      </c>
      <c r="I6832" s="10" t="inlineStr">
        <is>
          <t>17/03/2026</t>
        </is>
      </c>
      <c r="J6832" s="10" t="inlineStr">
        <is>
          <t>Bảo trì / Sửa chữa, Công nghệ thực phẩm / Dinh dưỡng, Cơ khí / Ô tô / Tự động hóa</t>
        </is>
      </c>
      <c r="K6832" s="10" t="inlineStr">
        <is>
          <t>3 - 4 Năm</t>
        </is>
      </c>
      <c r="L6832" s="11">
        <f>HYPERLINK("https://careerviet.vn/vi/tim-viec-lam/chuyen-vien-vien-quan-ly-bao-tri-lam-viec-tai-tay-ninh.35C65B31.html","Xem chi tiết")</f>
        <v/>
      </c>
      <c r="M6832" s="10" t="n"/>
    </row>
    <row r="6833">
      <c r="B6833" s="7" t="n">
        <v>6831</v>
      </c>
      <c r="C6833" t="inlineStr">
        <is>
          <t>Chuyên Viên Quản Lý Xây Dựng &amp; PCCC</t>
        </is>
      </c>
      <c r="D6833" t="inlineStr">
        <is>
          <t>CÔNG TY TNHH HWASEUNG VINA</t>
        </is>
      </c>
      <c r="E6833" t="inlineStr">
        <is>
          <t>Lương:Cạnh tranh</t>
        </is>
      </c>
      <c r="F6833" t="inlineStr">
        <is>
          <t>Đồng NaiHồ Chí Minh</t>
        </is>
      </c>
      <c r="G6833" t="inlineStr">
        <is>
          <t>15-04-2026</t>
        </is>
      </c>
      <c r="H6833" t="inlineStr">
        <is>
          <t>15/04/2026</t>
        </is>
      </c>
      <c r="I6833" t="inlineStr">
        <is>
          <t>17/03/2026</t>
        </is>
      </c>
      <c r="J6833" t="inlineStr">
        <is>
          <t>Luật / Pháp lý, An toàn lao động, Xây dựng</t>
        </is>
      </c>
      <c r="K6833" t="inlineStr">
        <is>
          <t>2 - 5 Năm</t>
        </is>
      </c>
      <c r="L6833" s="8">
        <f>HYPERLINK("https://careerviet.vn/vi/tim-viec-lam/chuyen-vien-quan-ly-xay-dung-pccc.35C659E4.html","Xem chi tiết")</f>
        <v/>
      </c>
    </row>
    <row r="6834">
      <c r="B6834" s="9" t="n">
        <v>6832</v>
      </c>
      <c r="C6834" s="10" t="inlineStr">
        <is>
          <t>Chuyên Viên Chính/ Chuyên Viên Cao Cấp Bán Sản Phẩm Cho Vay - KV Hà Nội - TA126 (ID1207)</t>
        </is>
      </c>
      <c r="D6834" s="10" t="inlineStr">
        <is>
          <t>Ngân Hàng TMCP Việt Nam Thịnh Vượng - VPBANK</t>
        </is>
      </c>
      <c r="E6834" s="10" t="inlineStr">
        <is>
          <t>Lương:20 Tr - 50 Tr VND</t>
        </is>
      </c>
      <c r="F6834" s="10" t="inlineStr">
        <is>
          <t>Hà Nội</t>
        </is>
      </c>
      <c r="G6834" s="10" t="inlineStr">
        <is>
          <t>15-04-2026</t>
        </is>
      </c>
      <c r="H6834" s="10" t="inlineStr">
        <is>
          <t>15/04/2026</t>
        </is>
      </c>
      <c r="I6834" s="10" t="inlineStr">
        <is>
          <t>17/03/2026</t>
        </is>
      </c>
      <c r="J6834" s="10" t="inlineStr">
        <is>
          <t>Ngân hàng</t>
        </is>
      </c>
      <c r="K6834" s="10" t="inlineStr">
        <is>
          <t>Trên 2 Năm</t>
        </is>
      </c>
      <c r="L6834" s="11">
        <f>HYPERLINK("https://careerviet.vn/vi/tim-viec-lam/chuyen-vien-chinh-chuyen-vien-cao-cap-ban-san-pham-cho-vay-kv-ha-noi-ta126-id1207.35C65B75.html","Xem chi tiết")</f>
        <v/>
      </c>
      <c r="M6834" s="10" t="n"/>
    </row>
    <row r="6835">
      <c r="B6835" s="7" t="n">
        <v>6833</v>
      </c>
      <c r="C6835" t="inlineStr">
        <is>
          <t>Kỹ Sư Cơ Khí</t>
        </is>
      </c>
      <c r="D6835" t="inlineStr">
        <is>
          <t>CÔNG TY TNHH MTV CƠ KHÍ XNK TRUNG THUẬN PHÁT</t>
        </is>
      </c>
      <c r="E6835" t="inlineStr">
        <is>
          <t>Lương:Cạnh tranh</t>
        </is>
      </c>
      <c r="F6835" t="inlineStr">
        <is>
          <t>Tây Ninh</t>
        </is>
      </c>
      <c r="G6835" t="inlineStr">
        <is>
          <t>15-04-2026</t>
        </is>
      </c>
      <c r="H6835" t="inlineStr">
        <is>
          <t>15/04/2026</t>
        </is>
      </c>
      <c r="I6835" t="inlineStr">
        <is>
          <t>17/03/2026</t>
        </is>
      </c>
      <c r="J6835" t="inlineStr">
        <is>
          <t>Cơ khí / Ô tô / Tự động hóa, Bảo trì / Sửa chữa, Sản xuất / Vận hành sản xuất</t>
        </is>
      </c>
      <c r="K6835" t="inlineStr">
        <is>
          <t>N/A</t>
        </is>
      </c>
      <c r="L6835" s="8">
        <f>HYPERLINK("https://careerviet.vn/vi/tim-viec-lam/ky-su-co-khi.35C65A8B.html","Xem chi tiết")</f>
        <v/>
      </c>
    </row>
    <row r="6836">
      <c r="B6836" s="9" t="n">
        <v>6834</v>
      </c>
      <c r="C6836" s="10" t="inlineStr">
        <is>
          <t>Furniture Merchandiser (Potential) (ファーニチャーポテンシャルMD)</t>
        </is>
      </c>
      <c r="D6836" s="10" t="inlineStr">
        <is>
          <t>MUJI GLOBAL SOURCING VIETNAM CO.,LTD</t>
        </is>
      </c>
      <c r="E6836" s="10" t="inlineStr">
        <is>
          <t>Lương:1.000 - 1.400 USD</t>
        </is>
      </c>
      <c r="F6836" s="10" t="inlineStr">
        <is>
          <t>Hồ Chí Minh</t>
        </is>
      </c>
      <c r="G6836" s="10" t="inlineStr">
        <is>
          <t>15-04-2026</t>
        </is>
      </c>
      <c r="H6836" s="10" t="inlineStr">
        <is>
          <t>15/04/2026</t>
        </is>
      </c>
      <c r="I6836" s="10" t="inlineStr">
        <is>
          <t>17/03/2026</t>
        </is>
      </c>
      <c r="J6836" s="10" t="inlineStr">
        <is>
          <t>Đồ gỗ, Thu mua / Vật tư, Nội ngoại thất</t>
        </is>
      </c>
      <c r="K6836" s="10" t="inlineStr">
        <is>
          <t>N/A</t>
        </is>
      </c>
      <c r="L6836" s="11">
        <f>HYPERLINK("https://careerviet.vn/vi/tim-viec-lam/furniture-merchandiser-potential-md.35C65A16.html","Xem chi tiết")</f>
        <v/>
      </c>
      <c r="M6836" s="10" t="n"/>
    </row>
    <row r="6837">
      <c r="B6837" s="7" t="n">
        <v>6835</v>
      </c>
      <c r="C6837" t="inlineStr">
        <is>
          <t>Nhân viên chất lượng ( Làm việc tại KCN Long Hậu)</t>
        </is>
      </c>
      <c r="D6837" t="inlineStr">
        <is>
          <t>Công ty TNHH Yura Corporation Vina</t>
        </is>
      </c>
      <c r="E6837" t="inlineStr">
        <is>
          <t>Lương:Cạnh tranh</t>
        </is>
      </c>
      <c r="F6837" t="inlineStr">
        <is>
          <t>Long An</t>
        </is>
      </c>
      <c r="G6837" t="inlineStr">
        <is>
          <t>15-04-2026</t>
        </is>
      </c>
      <c r="H6837" t="inlineStr">
        <is>
          <t>15/04/2026</t>
        </is>
      </c>
      <c r="I6837" t="inlineStr">
        <is>
          <t>17/03/2026</t>
        </is>
      </c>
      <c r="J6837" t="inlineStr">
        <is>
          <t>Quản lý chất lượng (QA/QC)</t>
        </is>
      </c>
      <c r="K6837" t="inlineStr">
        <is>
          <t>3 - 5 Năm</t>
        </is>
      </c>
      <c r="L6837" s="8">
        <f>HYPERLINK("https://careerviet.vn/vi/tim-viec-lam/nhan-vien-chat-luong-lam-viec-tai-kcn-long-hau.35C65B72.html","Xem chi tiết")</f>
        <v/>
      </c>
    </row>
    <row r="6838">
      <c r="B6838" s="9" t="n">
        <v>6836</v>
      </c>
      <c r="C6838" s="10" t="inlineStr">
        <is>
          <t>Trưởng Nhóm Quản Lý Dự Án – Kết Cấu Thép</t>
        </is>
      </c>
      <c r="D6838" s="10" t="inlineStr">
        <is>
          <t>CÔNG TY CỔ PHẦN XÂY DỰNG WORLD STEEL</t>
        </is>
      </c>
      <c r="E6838" s="10" t="inlineStr">
        <is>
          <t>Lương:Cạnh tranh</t>
        </is>
      </c>
      <c r="F6838" s="10" t="inlineStr">
        <is>
          <t>Hồ Chí MinhLong An</t>
        </is>
      </c>
      <c r="G6838" s="10" t="inlineStr">
        <is>
          <t>15-04-2026</t>
        </is>
      </c>
      <c r="H6838" s="10" t="inlineStr">
        <is>
          <t>15/04/2026</t>
        </is>
      </c>
      <c r="I6838" s="10" t="inlineStr">
        <is>
          <t>17/03/2026</t>
        </is>
      </c>
      <c r="J6838" s="10" t="inlineStr">
        <is>
          <t>Quản lý điều hành, Kiến trúc, Xây dựng</t>
        </is>
      </c>
      <c r="K6838" s="10" t="inlineStr">
        <is>
          <t>3 - 7 Năm</t>
        </is>
      </c>
      <c r="L6838" s="11">
        <f>HYPERLINK("https://careerviet.vn/vi/tim-viec-lam/truong-nhom-quan-ly-du-an-ket-cau-thep.35C65A1E.html","Xem chi tiết")</f>
        <v/>
      </c>
      <c r="M6838" s="10" t="n"/>
    </row>
    <row r="6839">
      <c r="B6839" s="7" t="n">
        <v>6837</v>
      </c>
      <c r="C6839" t="inlineStr">
        <is>
          <t>Quản lý sản xuất ( Biết Tiếng Hàn)</t>
        </is>
      </c>
      <c r="D6839" t="inlineStr">
        <is>
          <t>Công ty TNHH Yura Corporation Vina</t>
        </is>
      </c>
      <c r="E6839" t="inlineStr">
        <is>
          <t>Lương:Cạnh tranh</t>
        </is>
      </c>
      <c r="F6839" t="inlineStr">
        <is>
          <t>Long An</t>
        </is>
      </c>
      <c r="G6839" t="inlineStr">
        <is>
          <t>15-04-2026</t>
        </is>
      </c>
      <c r="H6839" t="inlineStr">
        <is>
          <t>15/04/2026</t>
        </is>
      </c>
      <c r="I6839" t="inlineStr">
        <is>
          <t>17/03/2026</t>
        </is>
      </c>
      <c r="J6839" t="inlineStr">
        <is>
          <t>Sản xuất / Vận hành sản xuất</t>
        </is>
      </c>
      <c r="K6839" t="inlineStr">
        <is>
          <t>3 - 5 Năm</t>
        </is>
      </c>
      <c r="L6839" s="8">
        <f>HYPERLINK("https://careerviet.vn/vi/tim-viec-lam/quan-ly-san-xuat-biet-tieng-han.35C65B61.html","Xem chi tiết")</f>
        <v/>
      </c>
    </row>
    <row r="6840">
      <c r="B6840" s="9" t="n">
        <v>6838</v>
      </c>
      <c r="C6840" s="10" t="inlineStr">
        <is>
          <t>Chuyên viên phát triển thị trường</t>
        </is>
      </c>
      <c r="D6840" s="10" t="inlineStr">
        <is>
          <t>CÔNG TY CỔ PHẦN TẬP ĐOÀN HTM</t>
        </is>
      </c>
      <c r="E6840" s="10" t="inlineStr">
        <is>
          <t>Lương:Cạnh tranh</t>
        </is>
      </c>
      <c r="F6840" s="10" t="inlineStr">
        <is>
          <t>Hà Nội</t>
        </is>
      </c>
      <c r="G6840" s="10" t="inlineStr">
        <is>
          <t>15-04-2026</t>
        </is>
      </c>
      <c r="H6840" s="10" t="inlineStr">
        <is>
          <t>15/04/2026</t>
        </is>
      </c>
      <c r="I6840" s="10" t="inlineStr">
        <is>
          <t>17/03/2026</t>
        </is>
      </c>
      <c r="J6840" s="10" t="inlineStr">
        <is>
          <t>Tiếp thị / Marketing, Bán hàng / Kinh doanh, Nội ngoại thất</t>
        </is>
      </c>
      <c r="K6840" s="10" t="inlineStr">
        <is>
          <t>1 - 2 Năm</t>
        </is>
      </c>
      <c r="L6840" s="11">
        <f>HYPERLINK("https://careerviet.vn/vi/tim-viec-lam/chuyen-vien-phat-trien-thi-truong.35C659AD.html","Xem chi tiết")</f>
        <v/>
      </c>
      <c r="M6840" s="10" t="n"/>
    </row>
    <row r="6841">
      <c r="B6841" s="7" t="n">
        <v>6839</v>
      </c>
      <c r="C6841" t="inlineStr">
        <is>
          <t>Kế toán tổng hợp (Làm việc tại KCN Long Hậu)</t>
        </is>
      </c>
      <c r="D6841" t="inlineStr">
        <is>
          <t>Công ty TNHH Yura Corporation Vina</t>
        </is>
      </c>
      <c r="E6841" t="inlineStr">
        <is>
          <t>Lương:Cạnh tranh</t>
        </is>
      </c>
      <c r="F6841" t="inlineStr">
        <is>
          <t>Long An</t>
        </is>
      </c>
      <c r="G6841" t="inlineStr">
        <is>
          <t>15-04-2026</t>
        </is>
      </c>
      <c r="H6841" t="inlineStr">
        <is>
          <t>15/04/2026</t>
        </is>
      </c>
      <c r="I6841" t="inlineStr">
        <is>
          <t>17/03/2026</t>
        </is>
      </c>
      <c r="J6841" t="inlineStr">
        <is>
          <t>Kế toán / Kiểm toán</t>
        </is>
      </c>
      <c r="K6841" t="inlineStr">
        <is>
          <t>Chưa có kinh nghiệm</t>
        </is>
      </c>
      <c r="L6841" s="8">
        <f>HYPERLINK("https://careerviet.vn/vi/tim-viec-lam/ke-toan-tong-hop-lam-viec-tai-kcn-long-hau.35C65B63.html","Xem chi tiết")</f>
        <v/>
      </c>
    </row>
    <row r="6842">
      <c r="B6842" s="9" t="n">
        <v>6840</v>
      </c>
      <c r="C6842" s="10" t="inlineStr">
        <is>
          <t>Merchandiser (Product Developer)</t>
        </is>
      </c>
      <c r="D6842" s="10" t="inlineStr">
        <is>
          <t>Công ty TNHH, Liên Doanh Vĩnh Hưng (TMI Việt Nam)</t>
        </is>
      </c>
      <c r="E6842" s="10" t="inlineStr">
        <is>
          <t>Lương:14 Tr - 20 Tr VND</t>
        </is>
      </c>
      <c r="F6842" s="10" t="inlineStr">
        <is>
          <t>Hồ Chí Minh</t>
        </is>
      </c>
      <c r="G6842" s="10" t="inlineStr">
        <is>
          <t>15-04-2026</t>
        </is>
      </c>
      <c r="H6842" s="10" t="inlineStr">
        <is>
          <t>15/04/2026</t>
        </is>
      </c>
      <c r="I6842" s="10" t="inlineStr">
        <is>
          <t>17/03/2026</t>
        </is>
      </c>
      <c r="J6842" s="10" t="inlineStr">
        <is>
          <t>Biên phiên dịch, Dệt may / Da giày / Thời trang, Thu mua / Vật tư</t>
        </is>
      </c>
      <c r="K6842" s="10" t="inlineStr">
        <is>
          <t>2 - 5 Năm</t>
        </is>
      </c>
      <c r="L6842" s="11">
        <f>HYPERLINK("https://careerviet.vn/vi/tim-viec-lam/merchandiser-product-developer.35C65A4C.html","Xem chi tiết")</f>
        <v/>
      </c>
      <c r="M6842" s="10" t="n"/>
    </row>
    <row r="6843">
      <c r="B6843" s="7" t="n">
        <v>6841</v>
      </c>
      <c r="C6843" t="inlineStr">
        <is>
          <t>Trưởng nhóm QC-tiếng Anh, Trung</t>
        </is>
      </c>
      <c r="D6843" t="inlineStr">
        <is>
          <t>CÔNG TY TNHH AUSSCO VIỆT NAM</t>
        </is>
      </c>
      <c r="E6843" t="inlineStr">
        <is>
          <t>Lương:15 Tr - 40 Tr VND</t>
        </is>
      </c>
      <c r="F6843" t="inlineStr">
        <is>
          <t>Bình Dương</t>
        </is>
      </c>
      <c r="G6843" t="inlineStr">
        <is>
          <t>15-04-2026</t>
        </is>
      </c>
      <c r="H6843" t="inlineStr">
        <is>
          <t>15/04/2026</t>
        </is>
      </c>
      <c r="I6843" t="inlineStr">
        <is>
          <t>17/03/2026</t>
        </is>
      </c>
      <c r="J6843" t="inlineStr">
        <is>
          <t>Quản lý chất lượng (QA/QC)</t>
        </is>
      </c>
      <c r="K6843" t="inlineStr">
        <is>
          <t>2 - 5 Năm</t>
        </is>
      </c>
      <c r="L6843" s="8">
        <f>HYPERLINK("https://careerviet.vn/vi/tim-viec-lam/truong-nhom-qc-tieng-anh-trung.35C65B62.html","Xem chi tiết")</f>
        <v/>
      </c>
    </row>
    <row r="6844">
      <c r="B6844" s="9" t="n">
        <v>6842</v>
      </c>
      <c r="C6844" s="10" t="inlineStr">
        <is>
          <t>Chuyên Viên Cao Cấp Quản Lý Dự Án (Phòng Phát triển Sản phẩm)</t>
        </is>
      </c>
      <c r="D6844" s="10" t="inlineStr">
        <is>
          <t>LOTTE FINANCE VIETNAM</t>
        </is>
      </c>
      <c r="E6844" s="10" t="inlineStr">
        <is>
          <t>Lương:Cạnh tranh</t>
        </is>
      </c>
      <c r="F6844" s="10" t="inlineStr">
        <is>
          <t>Hà Nội</t>
        </is>
      </c>
      <c r="G6844" s="10" t="inlineStr">
        <is>
          <t>15-04-2026</t>
        </is>
      </c>
      <c r="H6844" s="10" t="inlineStr">
        <is>
          <t>15/04/2026</t>
        </is>
      </c>
      <c r="I6844" s="10" t="inlineStr">
        <is>
          <t>17/03/2026</t>
        </is>
      </c>
      <c r="J6844" s="10" t="inlineStr">
        <is>
          <t>CNTT - Phần mềm, Ngân hàng, Tài chính / Đầu tư</t>
        </is>
      </c>
      <c r="K6844" s="10" t="inlineStr">
        <is>
          <t>Trên 3 Năm</t>
        </is>
      </c>
      <c r="L6844" s="11">
        <f>HYPERLINK("https://careerviet.vn/vi/tim-viec-lam/chuyen-vien-cao-cap-quan-ly-du-an-phong-phat-trien-san-pham.35C65B29.html","Xem chi tiết")</f>
        <v/>
      </c>
      <c r="M6844" s="10" t="n"/>
    </row>
    <row r="6845">
      <c r="B6845" s="7" t="n">
        <v>6843</v>
      </c>
      <c r="C6845" t="inlineStr">
        <is>
          <t>Import Documentation Staff</t>
        </is>
      </c>
      <c r="D6845" t="inlineStr">
        <is>
          <t>REAL LOGISTICS</t>
        </is>
      </c>
      <c r="E6845" t="inlineStr">
        <is>
          <t>Lương:10 Tr - 15 Tr VND</t>
        </is>
      </c>
      <c r="F6845" t="inlineStr">
        <is>
          <t>Hồ Chí Minh</t>
        </is>
      </c>
      <c r="G6845" t="inlineStr">
        <is>
          <t>15-04-2026</t>
        </is>
      </c>
      <c r="H6845" t="inlineStr">
        <is>
          <t>15/04/2026</t>
        </is>
      </c>
      <c r="I6845" t="inlineStr">
        <is>
          <t>17/03/2026</t>
        </is>
      </c>
      <c r="J6845" t="inlineStr">
        <is>
          <t>Vận chuyển / Giao nhận / Kho vận</t>
        </is>
      </c>
      <c r="K6845" t="inlineStr">
        <is>
          <t>Trên 1 Năm</t>
        </is>
      </c>
      <c r="L6845" s="8">
        <f>HYPERLINK("https://careerviet.vn/vi/tim-viec-lam/import-documentation-staff.35C65A0D.html","Xem chi tiết")</f>
        <v/>
      </c>
    </row>
    <row r="6846">
      <c r="B6846" s="9" t="n">
        <v>6844</v>
      </c>
      <c r="C6846" s="10" t="inlineStr">
        <is>
          <t>Head of Sales</t>
        </is>
      </c>
      <c r="D6846" s="10" t="inlineStr">
        <is>
          <t>HR Vietnam’s ESS Client</t>
        </is>
      </c>
      <c r="E6846" s="10" t="inlineStr">
        <is>
          <t>Lương:Cạnh tranh</t>
        </is>
      </c>
      <c r="F6846" s="10" t="inlineStr">
        <is>
          <t>Hồ Chí Minh</t>
        </is>
      </c>
      <c r="G6846" s="10" t="inlineStr">
        <is>
          <t>15-04-2026</t>
        </is>
      </c>
      <c r="H6846" s="10" t="inlineStr">
        <is>
          <t>15/04/2026</t>
        </is>
      </c>
      <c r="I6846" s="10" t="inlineStr">
        <is>
          <t>17/03/2026</t>
        </is>
      </c>
      <c r="J6846" s="10" t="inlineStr">
        <is>
          <t>Bán lẻ / Bán sỉ, Bán hàng / Kinh doanh</t>
        </is>
      </c>
      <c r="K6846" s="10" t="inlineStr">
        <is>
          <t>Trên 8 Năm</t>
        </is>
      </c>
      <c r="L6846" s="11">
        <f>HYPERLINK("https://careerviet.vn/vi/tim-viec-lam/head-of-sales.35C65AB1.html","Xem chi tiết")</f>
        <v/>
      </c>
      <c r="M6846" s="10" t="n"/>
    </row>
    <row r="6847">
      <c r="B6847" s="7" t="n">
        <v>6845</v>
      </c>
      <c r="C6847" t="inlineStr">
        <is>
          <t>Giám đốc Kỹ thuật Dự án (làm việc tại Tây Ninh)</t>
        </is>
      </c>
      <c r="D6847" t="inlineStr">
        <is>
          <t>Công ty CP Thành Thành Công - Biên Hòa</t>
        </is>
      </c>
      <c r="E6847" t="inlineStr">
        <is>
          <t>Lương:Cạnh tranh</t>
        </is>
      </c>
      <c r="F6847" t="inlineStr">
        <is>
          <t>Tây Ninh</t>
        </is>
      </c>
      <c r="G6847" t="inlineStr">
        <is>
          <t>15-04-2026</t>
        </is>
      </c>
      <c r="H6847" t="inlineStr">
        <is>
          <t>15/04/2026</t>
        </is>
      </c>
      <c r="I6847" t="inlineStr">
        <is>
          <t>17/03/2026</t>
        </is>
      </c>
      <c r="J6847" t="inlineStr">
        <is>
          <t>An toàn lao động, Bảo trì / Sửa chữa, Bất động sản</t>
        </is>
      </c>
      <c r="K6847" t="inlineStr">
        <is>
          <t>7 - 10 Năm</t>
        </is>
      </c>
      <c r="L6847" s="8">
        <f>HYPERLINK("https://careerviet.vn/vi/tim-viec-lam/giam-doc-ky-thuat-du-an-lam-viec-tai-tay-ninh.35C65B2B.html","Xem chi tiết")</f>
        <v/>
      </c>
    </row>
    <row r="6848">
      <c r="B6848" s="9" t="n">
        <v>6846</v>
      </c>
      <c r="C6848" s="10" t="inlineStr">
        <is>
          <t>Chuyên viên tài chính (chủ đầu tư BĐS) - có thể nhận việc sau Tết</t>
        </is>
      </c>
      <c r="D6848" s="10" t="inlineStr">
        <is>
          <t>Tập Đoàn Tân Á Đại Thành</t>
        </is>
      </c>
      <c r="E6848" s="10" t="inlineStr">
        <is>
          <t>Lương:Trên 30 Tr VND</t>
        </is>
      </c>
      <c r="F6848" s="10" t="inlineStr">
        <is>
          <t>Hà Nội</t>
        </is>
      </c>
      <c r="G6848" s="10" t="inlineStr">
        <is>
          <t>15-04-2026</t>
        </is>
      </c>
      <c r="H6848" s="10" t="inlineStr">
        <is>
          <t>15/04/2026</t>
        </is>
      </c>
      <c r="I6848" s="10" t="inlineStr">
        <is>
          <t>17/03/2026</t>
        </is>
      </c>
      <c r="J6848" s="10" t="inlineStr">
        <is>
          <t>Kế toán / Kiểm toán, Ngân hàng, Tài chính / Đầu tư</t>
        </is>
      </c>
      <c r="K6848" s="10" t="inlineStr">
        <is>
          <t>3 - 5 Năm</t>
        </is>
      </c>
      <c r="L6848" s="11">
        <f>HYPERLINK("https://careerviet.vn/vi/tim-viec-lam/chuyen-vien-tai-chinh-chu-dau-tu-bds-co-the-nhan-viec-sau-tet.35C65A9D.html","Xem chi tiết")</f>
        <v/>
      </c>
      <c r="M6848" s="10" t="n"/>
    </row>
    <row r="6849">
      <c r="B6849" s="7" t="n">
        <v>6847</v>
      </c>
      <c r="C6849" t="inlineStr">
        <is>
          <t>CVC/CVCC Bán sản phẩm cho vay - Hải Phòng - TA 187</t>
        </is>
      </c>
      <c r="D6849" t="inlineStr">
        <is>
          <t>Ngân Hàng TMCP Việt Nam Thịnh Vượng - VPBANK</t>
        </is>
      </c>
      <c r="E6849" t="inlineStr">
        <is>
          <t>Lương:Lên đến 30 Tr VND</t>
        </is>
      </c>
      <c r="F6849" t="inlineStr">
        <is>
          <t>Hải Phòng</t>
        </is>
      </c>
      <c r="G6849" t="inlineStr">
        <is>
          <t>15-04-2026</t>
        </is>
      </c>
      <c r="H6849" t="inlineStr">
        <is>
          <t>15/04/2026</t>
        </is>
      </c>
      <c r="I6849" t="inlineStr">
        <is>
          <t>17/03/2026</t>
        </is>
      </c>
      <c r="J6849" t="inlineStr">
        <is>
          <t>Ngân hàng</t>
        </is>
      </c>
      <c r="K6849" t="inlineStr">
        <is>
          <t>Trên 2 Năm</t>
        </is>
      </c>
      <c r="L6849" s="8">
        <f>HYPERLINK("https://careerviet.vn/vi/tim-viec-lam/cvc-cvcc-ban-san-pham-cho-vay-hai-phong-ta-187.35C65B88.html","Xem chi tiết")</f>
        <v/>
      </c>
    </row>
    <row r="6850">
      <c r="B6850" s="9" t="n">
        <v>6848</v>
      </c>
      <c r="C6850" s="10" t="inlineStr">
        <is>
          <t>Nhân Viên Telesales Kênh Phòng Khám</t>
        </is>
      </c>
      <c r="D6850" s="10" t="inlineStr">
        <is>
          <t>Công ty cổ phần Anvy</t>
        </is>
      </c>
      <c r="E6850" s="10" t="inlineStr">
        <is>
          <t>Lương:12 Tr - 15 Tr VND</t>
        </is>
      </c>
      <c r="F6850" s="10" t="inlineStr">
        <is>
          <t>Hồ Chí Minh</t>
        </is>
      </c>
      <c r="G6850" s="10" t="inlineStr">
        <is>
          <t>15-04-2026</t>
        </is>
      </c>
      <c r="H6850" s="10" t="inlineStr">
        <is>
          <t>15/04/2026</t>
        </is>
      </c>
      <c r="I6850" s="10" t="inlineStr">
        <is>
          <t>17/03/2026</t>
        </is>
      </c>
      <c r="J6850" s="10" t="inlineStr">
        <is>
          <t>Bán lẻ / Bán sỉ, Dược phẩm/ Hóa Mỹ Phẩm, Y tế / Chăm sóc sức khỏe / Thẩm mỹ / Làm đẹp</t>
        </is>
      </c>
      <c r="K6850" s="10" t="inlineStr">
        <is>
          <t>1 - 2 Năm</t>
        </is>
      </c>
      <c r="L6850" s="11">
        <f>HYPERLINK("https://careerviet.vn/vi/tim-viec-lam/nhan-vien-telesales-kenh-phong-kham.35C65A31.html","Xem chi tiết")</f>
        <v/>
      </c>
      <c r="M6850" s="10" t="n"/>
    </row>
    <row r="6851">
      <c r="B6851" s="7" t="n">
        <v>6849</v>
      </c>
      <c r="C6851" t="inlineStr">
        <is>
          <t>Chuyên viên Phát triển kinh doanh (Sales B2B)</t>
        </is>
      </c>
      <c r="D6851" t="inlineStr">
        <is>
          <t>CÔNG TY CỔ PHẦN CÔNG NGHỆ PREP</t>
        </is>
      </c>
      <c r="E6851" t="inlineStr">
        <is>
          <t>Lương:13 Tr - 15 Tr VND</t>
        </is>
      </c>
      <c r="F6851" t="inlineStr">
        <is>
          <t>Hà Nội</t>
        </is>
      </c>
      <c r="G6851" t="inlineStr">
        <is>
          <t>04-04-2026</t>
        </is>
      </c>
      <c r="H6851" t="inlineStr">
        <is>
          <t>04/04/2026</t>
        </is>
      </c>
      <c r="I6851" t="inlineStr">
        <is>
          <t>17/03/2026</t>
        </is>
      </c>
      <c r="J6851" t="inlineStr">
        <is>
          <t>Bán hàng / Kinh doanh, Tư vấn, Giáo dục / Đào tạo</t>
        </is>
      </c>
      <c r="K6851" t="inlineStr">
        <is>
          <t>Lên đến 2 Năm</t>
        </is>
      </c>
      <c r="L6851" s="8">
        <f>HYPERLINK("https://careerviet.vn/vi/tim-viec-lam/chuyen-vien-phat-trien-kinh-doanh-sales-b2b.35C6A9F5.html","Xem chi tiết")</f>
        <v/>
      </c>
    </row>
    <row r="6852">
      <c r="B6852" s="9" t="n">
        <v>6850</v>
      </c>
      <c r="C6852" s="10" t="inlineStr">
        <is>
          <t>Nhân viên Kinh doanh - Hué Plaza</t>
        </is>
      </c>
      <c r="D6852" s="10" t="inlineStr">
        <is>
          <t>Công Ty Cổ Phần Du Lịch Vietravel</t>
        </is>
      </c>
      <c r="E6852" s="10" t="inlineStr">
        <is>
          <t>Lương:Cạnh tranh</t>
        </is>
      </c>
      <c r="F6852" s="10" t="inlineStr">
        <is>
          <t>Thừa Thiên- Huế</t>
        </is>
      </c>
      <c r="G6852" s="10" t="inlineStr">
        <is>
          <t>31-03-2026</t>
        </is>
      </c>
      <c r="H6852" s="10" t="inlineStr">
        <is>
          <t>31/03/2026</t>
        </is>
      </c>
      <c r="I6852" s="10" t="inlineStr">
        <is>
          <t>17/03/2026</t>
        </is>
      </c>
      <c r="J6852" s="10" t="inlineStr">
        <is>
          <t>Bán lẻ / Bán sỉ, Bán hàng / Kinh doanh, Du lịch</t>
        </is>
      </c>
      <c r="K6852" s="10" t="inlineStr">
        <is>
          <t>1 - 2 Năm</t>
        </is>
      </c>
      <c r="L6852" s="11">
        <f>HYPERLINK("https://careerviet.vn/vi/tim-viec-lam/nhan-vien-kinh-doanh-hue-plaza.35C6A890.html","Xem chi tiết")</f>
        <v/>
      </c>
      <c r="M6852" s="10" t="n"/>
    </row>
    <row r="6853">
      <c r="B6853" s="7" t="n">
        <v>6851</v>
      </c>
      <c r="C6853" t="inlineStr">
        <is>
          <t>CÔNG NHÂN ĐIỆN</t>
        </is>
      </c>
      <c r="D6853" t="inlineStr">
        <is>
          <t>CN CTY Cp Acecook Việt Nam tại Đà Nẵng</t>
        </is>
      </c>
      <c r="E6853" t="inlineStr">
        <is>
          <t>Lương:6,5 Tr - 7,5 Tr VND</t>
        </is>
      </c>
      <c r="F6853" t="inlineStr">
        <is>
          <t>Đà Nẵng</t>
        </is>
      </c>
      <c r="G6853" t="inlineStr">
        <is>
          <t>15-04-2026</t>
        </is>
      </c>
      <c r="H6853" t="inlineStr">
        <is>
          <t>15/04/2026</t>
        </is>
      </c>
      <c r="I6853" t="inlineStr">
        <is>
          <t>17/03/2026</t>
        </is>
      </c>
      <c r="J6853" t="inlineStr">
        <is>
          <t>Điện / Điện tử / Điện lạnh / Điện công nghiệp</t>
        </is>
      </c>
      <c r="K6853" t="inlineStr">
        <is>
          <t>Chưa có kinh nghiệm</t>
        </is>
      </c>
      <c r="L6853" s="8">
        <f>HYPERLINK("https://careerviet.vn/vi/tim-viec-lam/cong-nhan-dien.35C65AD5.html","Xem chi tiết")</f>
        <v/>
      </c>
    </row>
    <row r="6854">
      <c r="B6854" s="9" t="n">
        <v>6852</v>
      </c>
      <c r="C6854" s="10" t="inlineStr">
        <is>
          <t>CHUYÊN VIÊN QLCL - QA/QC</t>
        </is>
      </c>
      <c r="D6854" s="10" t="inlineStr">
        <is>
          <t>DAI HOANG KIM GROUP</t>
        </is>
      </c>
      <c r="E6854" s="10" t="inlineStr">
        <is>
          <t>Lương:10 Tr - 18 Tr VND</t>
        </is>
      </c>
      <c r="F6854" s="10" t="inlineStr">
        <is>
          <t>Bình Phước</t>
        </is>
      </c>
      <c r="G6854" s="10" t="inlineStr">
        <is>
          <t>15-04-2026</t>
        </is>
      </c>
      <c r="H6854" s="10" t="inlineStr">
        <is>
          <t>15/04/2026</t>
        </is>
      </c>
      <c r="I6854" s="10" t="inlineStr">
        <is>
          <t>17/03/2026</t>
        </is>
      </c>
      <c r="J6854" s="10" t="inlineStr">
        <is>
          <t>Cơ khí / Ô tô / Tự động hóa, Sản xuất / Vận hành sản xuất, Quản lý chất lượng (QA/QC)</t>
        </is>
      </c>
      <c r="K6854" s="10" t="inlineStr">
        <is>
          <t>Trên 1 Năm</t>
        </is>
      </c>
      <c r="L6854" s="11">
        <f>HYPERLINK("https://careerviet.vn/vi/tim-viec-lam/chuyen-vien-qlcl-qa-qc.35C64AAC.html","Xem chi tiết")</f>
        <v/>
      </c>
      <c r="M6854" s="10" t="n"/>
    </row>
    <row r="6855">
      <c r="B6855" s="7" t="n">
        <v>6853</v>
      </c>
      <c r="C6855" t="inlineStr">
        <is>
          <t>Nhân Viên Sales Kho Bãi (Cát Lái)</t>
        </is>
      </c>
      <c r="D6855" t="inlineStr">
        <is>
          <t>Công Ty TNHH Smartlog Long Phú</t>
        </is>
      </c>
      <c r="E6855" t="inlineStr">
        <is>
          <t>Lương:Cạnh tranh</t>
        </is>
      </c>
      <c r="F6855" t="inlineStr">
        <is>
          <t>Hồ Chí Minh</t>
        </is>
      </c>
      <c r="G6855" t="inlineStr">
        <is>
          <t>03-04-2026</t>
        </is>
      </c>
      <c r="H6855" t="inlineStr">
        <is>
          <t>03/04/2026</t>
        </is>
      </c>
      <c r="I6855" t="inlineStr">
        <is>
          <t>17/03/2026</t>
        </is>
      </c>
      <c r="J6855" t="inlineStr">
        <is>
          <t>Bán hàng / Kinh doanh, Vận chuyển / Giao nhận / Kho vận</t>
        </is>
      </c>
      <c r="K6855" t="inlineStr">
        <is>
          <t>1 - 5 Năm</t>
        </is>
      </c>
      <c r="L6855" s="8">
        <f>HYPERLINK("https://careerviet.vn/vi/tim-viec-lam/nhan-vien-sales-kho-bai-cat-lai.35C6A737.html","Xem chi tiết")</f>
        <v/>
      </c>
    </row>
    <row r="6856">
      <c r="B6856" s="9" t="n">
        <v>6854</v>
      </c>
      <c r="C6856" s="10" t="inlineStr">
        <is>
          <t>Nhân Viên Kinh Doanh</t>
        </is>
      </c>
      <c r="D6856" s="10" t="inlineStr">
        <is>
          <t>Công ty Cổ Phần Blue Core Việt Nam</t>
        </is>
      </c>
      <c r="E6856" s="10" t="inlineStr">
        <is>
          <t>Lương:9 Tr - 16 Tr VND</t>
        </is>
      </c>
      <c r="F6856" s="10" t="inlineStr">
        <is>
          <t>Hà Nội</t>
        </is>
      </c>
      <c r="G6856" s="10" t="inlineStr">
        <is>
          <t>02-04-2026</t>
        </is>
      </c>
      <c r="H6856" s="10" t="inlineStr">
        <is>
          <t>02/04/2026</t>
        </is>
      </c>
      <c r="I6856" s="10" t="inlineStr">
        <is>
          <t>17/03/2026</t>
        </is>
      </c>
      <c r="J6856" s="10" t="inlineStr">
        <is>
          <t>Bán hàng / Kinh doanh, Tư vấn, Dịch vụ khách hàng</t>
        </is>
      </c>
      <c r="K6856" s="10" t="inlineStr">
        <is>
          <t>N/A</t>
        </is>
      </c>
      <c r="L6856" s="11">
        <f>HYPERLINK("https://careerviet.vn/vi/tim-viec-lam/nhan-vien-kinh-doanh.35C6AA5C.html","Xem chi tiết")</f>
        <v/>
      </c>
      <c r="M6856" s="10" t="n"/>
    </row>
    <row r="6857">
      <c r="B6857" s="7" t="n">
        <v>6855</v>
      </c>
      <c r="C6857" t="inlineStr">
        <is>
          <t>CHUYÊN VIÊN KHÁCH HÀNG CÁ NHÂN - CHI NHÁNH QUẢNG NGÃI- KHU VỰC MIỀN TRUNG &amp; TÂY NGUYÊN</t>
        </is>
      </c>
      <c r="D6857" t="inlineStr">
        <is>
          <t>NGÂN HÀNG TMCP SÀI GÒN THƯƠNG TÍN (SACOMBANK)</t>
        </is>
      </c>
      <c r="E6857" t="inlineStr">
        <is>
          <t>Lương:Cạnh tranh</t>
        </is>
      </c>
      <c r="F6857" t="inlineStr">
        <is>
          <t>Quảng Ngãi</t>
        </is>
      </c>
      <c r="G6857" t="inlineStr">
        <is>
          <t>28-03-2026</t>
        </is>
      </c>
      <c r="H6857" t="inlineStr">
        <is>
          <t>28/03/2026</t>
        </is>
      </c>
      <c r="I6857" t="inlineStr">
        <is>
          <t>17/03/2026</t>
        </is>
      </c>
      <c r="J6857" t="inlineStr">
        <is>
          <t>Ngân hàng, Bảo hiểm, Tài chính / Đầu tư</t>
        </is>
      </c>
      <c r="K6857" t="inlineStr">
        <is>
          <t>N/A</t>
        </is>
      </c>
      <c r="L6857" s="8">
        <f>HYPERLINK("https://careerviet.vn/vi/tim-viec-lam/chuyen-vien-khach-hang-ca-nhan-chi-nhanh-quang-ngai-khu-vuc-mien-trung-tay-nguyen.35C6A2EE.html","Xem chi tiết")</f>
        <v/>
      </c>
    </row>
    <row r="6858">
      <c r="B6858" s="9" t="n">
        <v>6856</v>
      </c>
      <c r="C6858" s="10" t="inlineStr">
        <is>
          <t>Chuyên viên Content Marketing - Virex</t>
        </is>
      </c>
      <c r="D6858" s="10" t="inlineStr">
        <is>
          <t>Alphanam Group</t>
        </is>
      </c>
      <c r="E6858" s="10" t="inlineStr">
        <is>
          <t>Lương:Cạnh tranh</t>
        </is>
      </c>
      <c r="F6858" s="10" t="inlineStr">
        <is>
          <t>Hà Nội</t>
        </is>
      </c>
      <c r="G6858" s="10" t="inlineStr">
        <is>
          <t>29-04-2026</t>
        </is>
      </c>
      <c r="H6858" s="10" t="inlineStr">
        <is>
          <t>29/04/2026</t>
        </is>
      </c>
      <c r="I6858" s="10" t="inlineStr">
        <is>
          <t>17/03/2026</t>
        </is>
      </c>
      <c r="J6858" s="10" t="inlineStr">
        <is>
          <t>Bất động sản, Truyền hình / Báo chí / Biên tập, Quảng cáo / Đối ngoại / Truyền Thông</t>
        </is>
      </c>
      <c r="K6858" s="10" t="inlineStr">
        <is>
          <t>2 - 5 Năm</t>
        </is>
      </c>
      <c r="L6858" s="11">
        <f>HYPERLINK("https://careerviet.vn/vi/tim-viec-lam/chuyen-vien-content-marketing-virex.35C6A955.html","Xem chi tiết")</f>
        <v/>
      </c>
      <c r="M6858" s="10" t="n"/>
    </row>
    <row r="6859">
      <c r="B6859" s="7" t="n">
        <v>6857</v>
      </c>
      <c r="C6859" t="inlineStr">
        <is>
          <t>Nhân viên hỗ trợ khách hàng (HCM: 5 &amp; HN:5)</t>
        </is>
      </c>
      <c r="D6859" t="inlineStr">
        <is>
          <t>nanoHome</t>
        </is>
      </c>
      <c r="E6859" t="inlineStr">
        <is>
          <t>Lương:Cạnh tranh</t>
        </is>
      </c>
      <c r="F6859" t="inlineStr">
        <is>
          <t>Hồ Chí Minh</t>
        </is>
      </c>
      <c r="G6859" t="inlineStr">
        <is>
          <t>03-04-2026</t>
        </is>
      </c>
      <c r="H6859" t="inlineStr">
        <is>
          <t>03/04/2026</t>
        </is>
      </c>
      <c r="I6859" t="inlineStr">
        <is>
          <t>17/03/2026</t>
        </is>
      </c>
      <c r="J6859" t="inlineStr">
        <is>
          <t>Bán lẻ / Bán sỉ, Bán hàng / Kinh doanh, Dịch vụ khách hàng</t>
        </is>
      </c>
      <c r="K6859" t="inlineStr">
        <is>
          <t>1 - 19 Năm</t>
        </is>
      </c>
      <c r="L6859" s="8">
        <f>HYPERLINK("https://careerviet.vn/vi/tim-viec-lam/nhan-vien-ho-tro-khach-hang-hcm-5-hn-5.35C6A92E.html","Xem chi tiết")</f>
        <v/>
      </c>
    </row>
    <row r="6860">
      <c r="B6860" s="9" t="n">
        <v>6858</v>
      </c>
      <c r="C6860" s="10" t="inlineStr">
        <is>
          <t>CHUYÊN VIÊN KHÁCH HÀNG CÁ NHÂN - CHI NHÁNH KHÁNH HÒA- KHU VỰC MIỀN TRUNG &amp; TÂY NGUYÊN</t>
        </is>
      </c>
      <c r="D6860" s="10" t="inlineStr">
        <is>
          <t>NGÂN HÀNG TMCP SÀI GÒN THƯƠNG TÍN (SACOMBANK)</t>
        </is>
      </c>
      <c r="E6860" s="10" t="inlineStr">
        <is>
          <t>Lương:Cạnh tranh</t>
        </is>
      </c>
      <c r="F6860" s="10" t="inlineStr">
        <is>
          <t>Khánh Hòa</t>
        </is>
      </c>
      <c r="G6860" s="10" t="inlineStr">
        <is>
          <t>28-03-2026</t>
        </is>
      </c>
      <c r="H6860" s="10" t="inlineStr">
        <is>
          <t>28/03/2026</t>
        </is>
      </c>
      <c r="I6860" s="10" t="inlineStr">
        <is>
          <t>17/03/2026</t>
        </is>
      </c>
      <c r="J6860" s="10" t="inlineStr">
        <is>
          <t>Ngân hàng, Bảo hiểm, Tài chính / Đầu tư</t>
        </is>
      </c>
      <c r="K6860" s="10" t="inlineStr">
        <is>
          <t>N/A</t>
        </is>
      </c>
      <c r="L6860" s="11">
        <f>HYPERLINK("https://careerviet.vn/vi/tim-viec-lam/chuyen-vien-khach-hang-ca-nhan-chi-nhanh-khanh-hoa-khu-vuc-mien-trung-tay-nguyen.35C6A2E6.html","Xem chi tiết")</f>
        <v/>
      </c>
      <c r="M6860" s="10" t="n"/>
    </row>
    <row r="6861">
      <c r="B6861" s="7" t="n">
        <v>6859</v>
      </c>
      <c r="C6861" t="inlineStr">
        <is>
          <t>Giám đốc Sản phẩm Khách hàng cá nhân - Retail Product Director - Ban Sản phẩm và Marketing (HO26.66)</t>
        </is>
      </c>
      <c r="D6861" t="inlineStr">
        <is>
          <t>Ngân Hàng TMCP Quân Đội</t>
        </is>
      </c>
      <c r="E6861" t="inlineStr">
        <is>
          <t>Lương:Cạnh tranh</t>
        </is>
      </c>
      <c r="F6861" t="inlineStr">
        <is>
          <t>Hà Nội</t>
        </is>
      </c>
      <c r="G6861" t="inlineStr">
        <is>
          <t>03-04-2026</t>
        </is>
      </c>
      <c r="H6861" t="inlineStr">
        <is>
          <t>03/04/2026</t>
        </is>
      </c>
      <c r="I6861" t="inlineStr">
        <is>
          <t>17/03/2026</t>
        </is>
      </c>
      <c r="J6861" t="inlineStr">
        <is>
          <t>Ngân hàng, Tài chính / Đầu tư, Bán hàng / Kinh doanh</t>
        </is>
      </c>
      <c r="K6861" t="inlineStr">
        <is>
          <t>3 - 5 Năm</t>
        </is>
      </c>
      <c r="L6861" s="8">
        <f>HYPERLINK("https://careerviet.vn/vi/tim-viec-lam/giam-doc-san-pham-khach-hang-ca-nhan-retail-product-director-ban-san-pham-va-marketing-ho26-66.35C6AA26.html","Xem chi tiết")</f>
        <v/>
      </c>
    </row>
    <row r="6862">
      <c r="B6862" s="9" t="n">
        <v>6860</v>
      </c>
      <c r="C6862" s="10" t="inlineStr">
        <is>
          <t>Data &amp; Inventory Staff</t>
        </is>
      </c>
      <c r="D6862" s="10" t="inlineStr">
        <is>
          <t>Linfox Logistics Vietnam</t>
        </is>
      </c>
      <c r="E6862" s="10" t="inlineStr">
        <is>
          <t>Lương:Cạnh tranh</t>
        </is>
      </c>
      <c r="F6862" s="10" t="inlineStr">
        <is>
          <t>Bắc Ninh</t>
        </is>
      </c>
      <c r="G6862" s="10" t="inlineStr">
        <is>
          <t>31-03-2026</t>
        </is>
      </c>
      <c r="H6862" s="10" t="inlineStr">
        <is>
          <t>31/03/2026</t>
        </is>
      </c>
      <c r="I6862" s="10" t="inlineStr">
        <is>
          <t>17/03/2026</t>
        </is>
      </c>
      <c r="J6862" s="10" t="inlineStr">
        <is>
          <t>Vận chuyển / Giao nhận / Kho vận, Xuất nhập khẩu, Sản xuất / Vận hành sản xuất</t>
        </is>
      </c>
      <c r="K6862" s="10" t="inlineStr">
        <is>
          <t>Trên 1 Năm</t>
        </is>
      </c>
      <c r="L6862" s="11">
        <f>HYPERLINK("https://careerviet.vn/vi/tim-viec-lam/data-inventory-staff.35C6A87B.html","Xem chi tiết")</f>
        <v/>
      </c>
      <c r="M6862" s="10" t="n"/>
    </row>
    <row r="6863">
      <c r="B6863" s="7" t="n">
        <v>6861</v>
      </c>
      <c r="C6863" t="inlineStr">
        <is>
          <t>Nhân Viên Thiết Kế PCCC; Điện-Nước; Điều Hòa; Kiến Trúc</t>
        </is>
      </c>
      <c r="D6863" t="inlineStr">
        <is>
          <t>Công ty Cổ Phần Blue Core Việt Nam</t>
        </is>
      </c>
      <c r="E6863" t="inlineStr">
        <is>
          <t>Lương:12 Tr - 25 Tr VND</t>
        </is>
      </c>
      <c r="F6863" t="inlineStr">
        <is>
          <t>Hà Nội</t>
        </is>
      </c>
      <c r="G6863" t="inlineStr">
        <is>
          <t>02-04-2026</t>
        </is>
      </c>
      <c r="H6863" t="inlineStr">
        <is>
          <t>02/04/2026</t>
        </is>
      </c>
      <c r="I6863" t="inlineStr">
        <is>
          <t>17/03/2026</t>
        </is>
      </c>
      <c r="J6863" t="inlineStr">
        <is>
          <t>Điện / Điện tử / Điện lạnh / Điện công nghiệp, Kiến trúc, Mỹ thuật / Nghệ thuật / Thiết kế</t>
        </is>
      </c>
      <c r="K6863" t="inlineStr">
        <is>
          <t>Trên 1 Năm</t>
        </is>
      </c>
      <c r="L6863" s="8">
        <f>HYPERLINK("https://careerviet.vn/vi/tim-viec-lam/nhan-vien-thiet-ke-pccc-dien-nuoc-dieu-hoa-kien-truc.35C6AA6A.html","Xem chi tiết")</f>
        <v/>
      </c>
    </row>
    <row r="6864">
      <c r="B6864" s="9" t="n">
        <v>6862</v>
      </c>
      <c r="C6864" s="10" t="inlineStr">
        <is>
          <t>Chuyên viên Kế hoạch và báo cáo quản trị - Planning &amp; Management Reporting Specialist (Retail Banking) - Khối Khách hàng cá nhân (HO26.64)</t>
        </is>
      </c>
      <c r="D6864" s="10" t="inlineStr">
        <is>
          <t>Ngân Hàng TMCP Quân Đội</t>
        </is>
      </c>
      <c r="E6864" s="10" t="inlineStr">
        <is>
          <t>Lương:Cạnh tranh</t>
        </is>
      </c>
      <c r="F6864" s="10" t="inlineStr">
        <is>
          <t>Hà Nội</t>
        </is>
      </c>
      <c r="G6864" s="10" t="inlineStr">
        <is>
          <t>03-04-2026</t>
        </is>
      </c>
      <c r="H6864" s="10" t="inlineStr">
        <is>
          <t>03/04/2026</t>
        </is>
      </c>
      <c r="I6864" s="10" t="inlineStr">
        <is>
          <t>17/03/2026</t>
        </is>
      </c>
      <c r="J6864" s="10" t="inlineStr">
        <is>
          <t>Ngân hàng, Tài chính / Đầu tư, Kế toán / Kiểm toán</t>
        </is>
      </c>
      <c r="K6864" s="10" t="inlineStr">
        <is>
          <t>Trên 2 Năm</t>
        </is>
      </c>
      <c r="L6864" s="11">
        <f>HYPERLINK("https://careerviet.vn/vi/tim-viec-lam/chuyen-vien-ke-hoach-va-bao-cao-quan-tri-planning-management-reporting-specialist-retail-banking-khoi-khach-hang-ca-nhan-ho26-64.35C6AA1E.html","Xem chi tiết")</f>
        <v/>
      </c>
      <c r="M6864" s="10" t="n"/>
    </row>
    <row r="6865">
      <c r="B6865" s="7" t="n">
        <v>6863</v>
      </c>
      <c r="C6865" t="inlineStr">
        <is>
          <t>Chuyên viên quản trị nợ Khách hàng cá nhân - Retail Debt Management Specialist - Khối Khách hàng cá nhân (HO26.65)</t>
        </is>
      </c>
      <c r="D6865" t="inlineStr">
        <is>
          <t>Ngân Hàng TMCP Quân Đội</t>
        </is>
      </c>
      <c r="E6865" t="inlineStr">
        <is>
          <t>Lương:Cạnh tranh</t>
        </is>
      </c>
      <c r="F6865" t="inlineStr">
        <is>
          <t>Hà Nội</t>
        </is>
      </c>
      <c r="G6865" t="inlineStr">
        <is>
          <t>03-04-2026</t>
        </is>
      </c>
      <c r="H6865" t="inlineStr">
        <is>
          <t>03/04/2026</t>
        </is>
      </c>
      <c r="I6865" t="inlineStr">
        <is>
          <t>17/03/2026</t>
        </is>
      </c>
      <c r="J6865" t="inlineStr">
        <is>
          <t>Ngân hàng, Tài chính / Đầu tư, Dịch vụ khách hàng</t>
        </is>
      </c>
      <c r="K6865" t="inlineStr">
        <is>
          <t>Trên 2 Năm</t>
        </is>
      </c>
      <c r="L6865" s="8">
        <f>HYPERLINK("https://careerviet.vn/vi/tim-viec-lam/chuyen-vien-quan-tri-no-khach-hang-ca-nhan-retail-debt-management-specialist-khoi-khach-hang-ca-nhan-ho26-65.35C6AA22.html","Xem chi tiết")</f>
        <v/>
      </c>
    </row>
    <row r="6866">
      <c r="B6866" s="9" t="n">
        <v>6864</v>
      </c>
      <c r="C6866" s="10" t="inlineStr">
        <is>
          <t>Trưởng nhóm Vận hành</t>
        </is>
      </c>
      <c r="D6866" s="10" t="inlineStr">
        <is>
          <t>CÔNG TY CỔ PHẦN KINH DOANH F88</t>
        </is>
      </c>
      <c r="E6866" s="10" t="inlineStr">
        <is>
          <t>Lương:Cạnh tranh</t>
        </is>
      </c>
      <c r="F6866" s="10" t="inlineStr">
        <is>
          <t>Hồ Chí MinhHà Nội</t>
        </is>
      </c>
      <c r="G6866" s="10" t="inlineStr">
        <is>
          <t>03-04-2026</t>
        </is>
      </c>
      <c r="H6866" s="10" t="inlineStr">
        <is>
          <t>03/04/2026</t>
        </is>
      </c>
      <c r="I6866" s="10" t="inlineStr">
        <is>
          <t>17/03/2026</t>
        </is>
      </c>
      <c r="J6866" s="10" t="inlineStr">
        <is>
          <t>Dịch vụ khách hàng, Tài chính / Đầu tư, Bán Hàng Kỹ Thuật</t>
        </is>
      </c>
      <c r="K6866" s="10" t="inlineStr">
        <is>
          <t>3 - 5 Năm</t>
        </is>
      </c>
      <c r="L6866" s="11">
        <f>HYPERLINK("https://careerviet.vn/vi/tim-viec-lam/truong-nhom-van-hanh.35C6A903.html","Xem chi tiết")</f>
        <v/>
      </c>
      <c r="M6866" s="10" t="n"/>
    </row>
    <row r="6867">
      <c r="B6867" s="7" t="n">
        <v>6865</v>
      </c>
      <c r="C6867" t="inlineStr">
        <is>
          <t>Planning Officer</t>
        </is>
      </c>
      <c r="D6867" t="inlineStr">
        <is>
          <t>MOTIVES VIETNAM CORPORATION</t>
        </is>
      </c>
      <c r="E6867" t="inlineStr">
        <is>
          <t>Lương:Cạnh tranh</t>
        </is>
      </c>
      <c r="F6867" t="inlineStr">
        <is>
          <t>Hồ Chí Minh</t>
        </is>
      </c>
      <c r="G6867" t="inlineStr">
        <is>
          <t>31-03-2026</t>
        </is>
      </c>
      <c r="H6867" t="inlineStr">
        <is>
          <t>31/03/2026</t>
        </is>
      </c>
      <c r="I6867" t="inlineStr">
        <is>
          <t>17/03/2026</t>
        </is>
      </c>
      <c r="J6867" t="inlineStr">
        <is>
          <t>Sản xuất / Vận hành sản xuất, Nội ngoại thất</t>
        </is>
      </c>
      <c r="K6867" t="inlineStr">
        <is>
          <t>Trên 3 Năm</t>
        </is>
      </c>
      <c r="L6867" s="8">
        <f>HYPERLINK("https://careerviet.vn/vi/tim-viec-lam/planning-officer.35C6A8C0.html","Xem chi tiết")</f>
        <v/>
      </c>
    </row>
    <row r="6868">
      <c r="B6868" s="9" t="n">
        <v>6866</v>
      </c>
      <c r="C6868" s="10" t="inlineStr">
        <is>
          <t>Chuyên viên cao cấp phụ trách năng suất lao động - Senior Workforce Productivity Specialist - Retail Banking - Khối Khách hàng cá nhân (HO26.63)</t>
        </is>
      </c>
      <c r="D6868" s="10" t="inlineStr">
        <is>
          <t>Ngân Hàng TMCP Quân Đội</t>
        </is>
      </c>
      <c r="E6868" s="10" t="inlineStr">
        <is>
          <t>Lương:Cạnh tranh</t>
        </is>
      </c>
      <c r="F6868" s="10" t="inlineStr">
        <is>
          <t>Hà Nội</t>
        </is>
      </c>
      <c r="G6868" s="10" t="inlineStr">
        <is>
          <t>03-04-2026</t>
        </is>
      </c>
      <c r="H6868" s="10" t="inlineStr">
        <is>
          <t>03/04/2026</t>
        </is>
      </c>
      <c r="I6868" s="10" t="inlineStr">
        <is>
          <t>17/03/2026</t>
        </is>
      </c>
      <c r="J6868" s="10" t="inlineStr">
        <is>
          <t>Ngân hàng, Nhân sự, Tài chính / Đầu tư</t>
        </is>
      </c>
      <c r="K6868" s="10" t="inlineStr">
        <is>
          <t>Trên 3 Năm</t>
        </is>
      </c>
      <c r="L6868" s="11">
        <f>HYPERLINK("https://careerviet.vn/vi/tim-viec-lam/chuyen-vien-cao-cap-phu-trach-nang-suat-lao-dong-senior-workforce-productivity-specialist-retail-banking-khoi-khach-hang-ca-nhan-ho26-63.35C6A809.html","Xem chi tiết")</f>
        <v/>
      </c>
      <c r="M6868" s="10" t="n"/>
    </row>
    <row r="6869">
      <c r="B6869" s="7" t="n">
        <v>6867</v>
      </c>
      <c r="C6869" t="inlineStr">
        <is>
          <t>Accounts Receivable Executive (Rebate)</t>
        </is>
      </c>
      <c r="D6869" t="inlineStr">
        <is>
          <t>Công ty TNHH GS25 Vietnam</t>
        </is>
      </c>
      <c r="E6869" t="inlineStr">
        <is>
          <t>Lương:Cạnh tranh</t>
        </is>
      </c>
      <c r="F6869" t="inlineStr">
        <is>
          <t>Hồ Chí Minh</t>
        </is>
      </c>
      <c r="G6869" t="inlineStr">
        <is>
          <t>03-04-2026</t>
        </is>
      </c>
      <c r="H6869" t="inlineStr">
        <is>
          <t>03/04/2026</t>
        </is>
      </c>
      <c r="I6869" t="inlineStr">
        <is>
          <t>17/03/2026</t>
        </is>
      </c>
      <c r="J6869" t="inlineStr">
        <is>
          <t>Bán lẻ / Bán sỉ, Kế toán / Kiểm toán, Ngân hàng</t>
        </is>
      </c>
      <c r="K6869" t="inlineStr">
        <is>
          <t>1 - 3 Năm</t>
        </is>
      </c>
      <c r="L6869" s="8">
        <f>HYPERLINK("https://careerviet.vn/vi/tim-viec-lam/accounts-receivable-executive-rebate.35C6A93F.html","Xem chi tiết")</f>
        <v/>
      </c>
    </row>
    <row r="6870">
      <c r="B6870" s="9" t="n">
        <v>6868</v>
      </c>
      <c r="C6870" s="10" t="inlineStr">
        <is>
          <t>Nhân viên thiết kế</t>
        </is>
      </c>
      <c r="D6870" s="10" t="inlineStr">
        <is>
          <t>LIXIL Global Manufacturing Vietnam</t>
        </is>
      </c>
      <c r="E6870" s="10" t="inlineStr">
        <is>
          <t>Lương:Cạnh tranh</t>
        </is>
      </c>
      <c r="F6870" s="10" t="inlineStr">
        <is>
          <t>Đồng Nai</t>
        </is>
      </c>
      <c r="G6870" s="10" t="inlineStr">
        <is>
          <t>03-04-2026</t>
        </is>
      </c>
      <c r="H6870" s="10" t="inlineStr">
        <is>
          <t>03/04/2026</t>
        </is>
      </c>
      <c r="I6870" s="10" t="inlineStr">
        <is>
          <t>17/03/2026</t>
        </is>
      </c>
      <c r="J6870" s="10" t="inlineStr">
        <is>
          <t>Điện / Điện tử / Điện lạnh / Điện công nghiệp, Bảo trì / Sửa chữa, Mỹ thuật / Nghệ thuật / Thiết kế</t>
        </is>
      </c>
      <c r="K6870" s="10" t="inlineStr">
        <is>
          <t>N/A</t>
        </is>
      </c>
      <c r="L6870" s="11">
        <f>HYPERLINK("https://careerviet.vn/vi/tim-viec-lam/nhan-vien-thiet-ke.35C6A724.html","Xem chi tiết")</f>
        <v/>
      </c>
      <c r="M6870" s="10" t="n"/>
    </row>
    <row r="6871">
      <c r="B6871" s="7" t="n">
        <v>6869</v>
      </c>
      <c r="C6871" t="inlineStr">
        <is>
          <t>Giám sát bán hàng kênh MT</t>
        </is>
      </c>
      <c r="D6871" t="inlineStr">
        <is>
          <t>CÔNG TY TNHH THỰC PHẨM CUỘC SỐNG</t>
        </is>
      </c>
      <c r="E6871" t="inlineStr">
        <is>
          <t>Lương:15 Tr - 18 Tr VND</t>
        </is>
      </c>
      <c r="F6871" t="inlineStr">
        <is>
          <t>Hồ Chí Minh</t>
        </is>
      </c>
      <c r="G6871" t="inlineStr">
        <is>
          <t>01-04-2026</t>
        </is>
      </c>
      <c r="H6871" t="inlineStr">
        <is>
          <t>01/04/2026</t>
        </is>
      </c>
      <c r="I6871" t="inlineStr">
        <is>
          <t>17/03/2026</t>
        </is>
      </c>
      <c r="J6871" t="inlineStr">
        <is>
          <t>Bán hàng / Kinh doanh, Thực phẩm &amp; Đồ uống</t>
        </is>
      </c>
      <c r="K6871" t="inlineStr">
        <is>
          <t>Trên 2 Năm</t>
        </is>
      </c>
      <c r="L6871" s="8">
        <f>HYPERLINK("https://careerviet.vn/vi/tim-viec-lam/giam-sat-ban-hang-kenh-mt.35C6A80F.html","Xem chi tiết")</f>
        <v/>
      </c>
    </row>
    <row r="6872">
      <c r="B6872" s="9" t="n">
        <v>6870</v>
      </c>
      <c r="C6872" s="10" t="inlineStr">
        <is>
          <t>CHUYÊN VIÊN TƯ VẤN GIÁO DỤC (OCEAN EDU VIỆT TRÌ 2) - THU NHẬP HẤP DẪN TỪ 15 TRIỆU/THÁNG</t>
        </is>
      </c>
      <c r="D6872" s="10" t="inlineStr">
        <is>
          <t>Công Ty CP Giáo Dục Đại Dương</t>
        </is>
      </c>
      <c r="E6872" s="10" t="inlineStr">
        <is>
          <t>Lương:Cạnh tranh</t>
        </is>
      </c>
      <c r="F6872" s="10" t="inlineStr">
        <is>
          <t>Phú Thọ</t>
        </is>
      </c>
      <c r="G6872" s="10" t="inlineStr">
        <is>
          <t>02-04-2026</t>
        </is>
      </c>
      <c r="H6872" s="10" t="inlineStr">
        <is>
          <t>02/04/2026</t>
        </is>
      </c>
      <c r="I6872" s="10" t="inlineStr">
        <is>
          <t>17/03/2026</t>
        </is>
      </c>
      <c r="J6872" s="10" t="inlineStr">
        <is>
          <t>Dịch vụ khách hàng, Giáo dục / Đào tạo, Bán hàng / Kinh doanh</t>
        </is>
      </c>
      <c r="K6872" s="10" t="inlineStr">
        <is>
          <t>Lên đến 1 Năm</t>
        </is>
      </c>
      <c r="L6872" s="11">
        <f>HYPERLINK("https://careerviet.vn/vi/tim-viec-lam/chuyen-vien-tu-van-giao-duc-ocean-edu-viet-tri-2-thu-nhap-hap-dan-tu-15-trieu-thang.35C6A76B.html","Xem chi tiết")</f>
        <v/>
      </c>
      <c r="M6872" s="10" t="n"/>
    </row>
    <row r="6873">
      <c r="B6873" s="7" t="n">
        <v>6871</v>
      </c>
      <c r="C6873" t="inlineStr">
        <is>
          <t>CHUYÊN VIÊN TƯ VẤN GIÁO DỤC (OCEAN EDU ĐÔNG ANH) - THU NHẬP HẤP DẪN TỪ 15 TRIỆU/THÁNG</t>
        </is>
      </c>
      <c r="D6873" t="inlineStr">
        <is>
          <t>Công Ty CP Giáo Dục Đại Dương</t>
        </is>
      </c>
      <c r="E6873" t="inlineStr">
        <is>
          <t>Lương:Cạnh tranh</t>
        </is>
      </c>
      <c r="F6873" t="inlineStr">
        <is>
          <t>Hà Nội</t>
        </is>
      </c>
      <c r="G6873" t="inlineStr">
        <is>
          <t>02-04-2026</t>
        </is>
      </c>
      <c r="H6873" t="inlineStr">
        <is>
          <t>02/04/2026</t>
        </is>
      </c>
      <c r="I6873" t="inlineStr">
        <is>
          <t>17/03/2026</t>
        </is>
      </c>
      <c r="J6873" t="inlineStr">
        <is>
          <t>Dịch vụ khách hàng, Giáo dục / Đào tạo, Bán hàng / Kinh doanh</t>
        </is>
      </c>
      <c r="K6873" t="inlineStr">
        <is>
          <t>Lên đến 1 Năm</t>
        </is>
      </c>
      <c r="L6873" s="8">
        <f>HYPERLINK("https://careerviet.vn/vi/tim-viec-lam/chuyen-vien-tu-van-giao-duc-ocean-edu-dong-anh-thu-nhap-hap-dan-tu-15-trieu-thang.35C6A77E.html","Xem chi tiết")</f>
        <v/>
      </c>
    </row>
    <row r="6874">
      <c r="B6874" s="9" t="n">
        <v>6872</v>
      </c>
      <c r="C6874" s="10" t="inlineStr">
        <is>
          <t>Fabric / Trim Development Coordinator</t>
        </is>
      </c>
      <c r="D6874" s="10" t="inlineStr">
        <is>
          <t>Văn Phòng Đại Diện The Haddad Organization (Far East) Ltd Tại Thành Phố Hồ Chí Minh</t>
        </is>
      </c>
      <c r="E6874" s="10" t="inlineStr">
        <is>
          <t>Lương:Cạnh tranh</t>
        </is>
      </c>
      <c r="F6874" s="10" t="inlineStr">
        <is>
          <t>Hồ Chí Minh</t>
        </is>
      </c>
      <c r="G6874" s="10" t="inlineStr">
        <is>
          <t>02-04-2026</t>
        </is>
      </c>
      <c r="H6874" s="10" t="inlineStr">
        <is>
          <t>02/04/2026</t>
        </is>
      </c>
      <c r="I6874" s="10" t="inlineStr">
        <is>
          <t>17/03/2026</t>
        </is>
      </c>
      <c r="J6874" s="10" t="inlineStr">
        <is>
          <t>Sản xuất / Vận hành sản xuất, Dệt may / Da giày / Thời trang, Quản lý chất lượng (QA/QC)</t>
        </is>
      </c>
      <c r="K6874" s="10" t="inlineStr">
        <is>
          <t>Trên 1 Năm</t>
        </is>
      </c>
      <c r="L6874" s="11">
        <f>HYPERLINK("https://careerviet.vn/vi/tim-viec-lam/fabric-trim-development-coordinator.35C6A830.html","Xem chi tiết")</f>
        <v/>
      </c>
      <c r="M6874" s="10" t="n"/>
    </row>
    <row r="6875">
      <c r="B6875" s="7" t="n">
        <v>6873</v>
      </c>
      <c r="C6875" t="inlineStr">
        <is>
          <t>Nhân viên Chăm sóc khách hàng (mức lương từ 9-12 triệu)</t>
        </is>
      </c>
      <c r="D6875" t="inlineStr">
        <is>
          <t>Hoàng Huy Group</t>
        </is>
      </c>
      <c r="E6875" t="inlineStr">
        <is>
          <t>Lương:9 Tr - 12 Tr VND</t>
        </is>
      </c>
      <c r="F6875" t="inlineStr">
        <is>
          <t>Hà Nội</t>
        </is>
      </c>
      <c r="G6875" t="inlineStr">
        <is>
          <t>16-03-2026</t>
        </is>
      </c>
      <c r="H6875" t="inlineStr">
        <is>
          <t>15/03/2026</t>
        </is>
      </c>
      <c r="I6875" t="inlineStr">
        <is>
          <t>17/03/2026</t>
        </is>
      </c>
      <c r="J6875" t="inlineStr">
        <is>
          <t>Bán hàng / Kinh doanh, Dịch vụ khách hàng, Cơ khí / Ô tô / Tự động hóa</t>
        </is>
      </c>
      <c r="K6875" t="inlineStr">
        <is>
          <t>2 - 3 Năm</t>
        </is>
      </c>
      <c r="L6875" s="8">
        <f>HYPERLINK("https://careerviet.vn/vi/tim-viec-lam/nhan-vien-cham-soc-khach-hang-muc-luong-tu-9-12-trieu.35C6A7FA.html","Xem chi tiết")</f>
        <v/>
      </c>
    </row>
    <row r="6876">
      <c r="B6876" s="9" t="n">
        <v>6874</v>
      </c>
      <c r="C6876" s="10" t="inlineStr">
        <is>
          <t>Nhân Viên Tư Vấn Bán Hàng Gói Cước Viettel Qua Điện Thoại Tân Bình Hồ Chí Minh</t>
        </is>
      </c>
      <c r="D6876" s="10" t="inlineStr">
        <is>
          <t>CÔNG TY CỔ PHẦN TRUYỀN THÔNG KIM CƯƠNG</t>
        </is>
      </c>
      <c r="E6876" s="10" t="inlineStr">
        <is>
          <t>Lương:8 Tr - 12 Tr VND</t>
        </is>
      </c>
      <c r="F6876" s="10" t="inlineStr">
        <is>
          <t>Hồ Chí Minh</t>
        </is>
      </c>
      <c r="G6876" s="10" t="inlineStr">
        <is>
          <t>27-03-2026</t>
        </is>
      </c>
      <c r="H6876" s="10" t="inlineStr">
        <is>
          <t>27/03/2026</t>
        </is>
      </c>
      <c r="I6876" s="10" t="inlineStr">
        <is>
          <t>17/03/2026</t>
        </is>
      </c>
      <c r="J6876" s="10" t="inlineStr">
        <is>
          <t>Bán hàng / Kinh doanh, Dịch vụ khách hàng, Quảng cáo / Đối ngoại / Truyền Thông</t>
        </is>
      </c>
      <c r="K6876" s="10" t="inlineStr">
        <is>
          <t>N/A</t>
        </is>
      </c>
      <c r="L6876" s="11">
        <f>HYPERLINK("https://careerviet.vn/vi/tim-viec-lam/nhan-vien-tu-van-ban-hang-goi-cuoc-viettel-qua-dien-thoai-tan-binh-ho-chi-minh.35C69EE3.html","Xem chi tiết")</f>
        <v/>
      </c>
      <c r="M6876" s="10" t="n"/>
    </row>
    <row r="6877">
      <c r="B6877" s="7" t="n">
        <v>6875</v>
      </c>
      <c r="C6877" t="inlineStr">
        <is>
          <t>CHUYÊN VIÊN TƯ VẤN GIÁO DỤC (OCEAN EDU THOẠI NGỌC HẦU) - THU NHẬP HẤP DẪN TỪ 15 TRIỆU/THÁNG</t>
        </is>
      </c>
      <c r="D6877" t="inlineStr">
        <is>
          <t>Công Ty CP Giáo Dục Đại Dương</t>
        </is>
      </c>
      <c r="E6877" t="inlineStr">
        <is>
          <t>Lương:Cạnh tranh</t>
        </is>
      </c>
      <c r="F6877" t="inlineStr">
        <is>
          <t>Hồ Chí Minh</t>
        </is>
      </c>
      <c r="G6877" t="inlineStr">
        <is>
          <t>02-04-2026</t>
        </is>
      </c>
      <c r="H6877" t="inlineStr">
        <is>
          <t>02/04/2026</t>
        </is>
      </c>
      <c r="I6877" t="inlineStr">
        <is>
          <t>17/03/2026</t>
        </is>
      </c>
      <c r="J6877" t="inlineStr">
        <is>
          <t>Dịch vụ khách hàng, Giáo dục / Đào tạo, Bán hàng / Kinh doanh</t>
        </is>
      </c>
      <c r="K6877" t="inlineStr">
        <is>
          <t>Lên đến 1 Năm</t>
        </is>
      </c>
      <c r="L6877" s="8">
        <f>HYPERLINK("https://careerviet.vn/vi/tim-viec-lam/chuyen-vien-tu-van-giao-duc-ocean-edu-thoai-ngoc-hau-thu-nhap-hap-dan-tu-15-trieu-thang.35C6AAB7.html","Xem chi tiết")</f>
        <v/>
      </c>
    </row>
    <row r="6878">
      <c r="B6878" s="9" t="n">
        <v>6876</v>
      </c>
      <c r="C6878" s="10" t="inlineStr">
        <is>
          <t>Giáo viên tiếng Trung</t>
        </is>
      </c>
      <c r="D6878" s="10" t="inlineStr">
        <is>
          <t>CÔNG TY CỔ PHẦN CÔNG NGHỆ PREP</t>
        </is>
      </c>
      <c r="E6878" s="10" t="inlineStr">
        <is>
          <t>Lương:Lên đến 20 Tr VND</t>
        </is>
      </c>
      <c r="F6878" s="10" t="inlineStr">
        <is>
          <t>Hà Nội</t>
        </is>
      </c>
      <c r="G6878" s="10" t="inlineStr">
        <is>
          <t>04-04-2026</t>
        </is>
      </c>
      <c r="H6878" s="10" t="inlineStr">
        <is>
          <t>04/04/2026</t>
        </is>
      </c>
      <c r="I6878" s="10" t="inlineStr">
        <is>
          <t>17/03/2026</t>
        </is>
      </c>
      <c r="J6878" s="10" t="inlineStr">
        <is>
          <t>Giáo dục / Đào tạo, Quản lý điều hành, Ngành khác</t>
        </is>
      </c>
      <c r="K6878" s="10" t="inlineStr">
        <is>
          <t>Trên 1 Năm</t>
        </is>
      </c>
      <c r="L6878" s="11">
        <f>HYPERLINK("https://careerviet.vn/vi/tim-viec-lam/giao-vien-tieng-trung.35C6A985.html","Xem chi tiết")</f>
        <v/>
      </c>
      <c r="M6878" s="10" t="n"/>
    </row>
    <row r="6879">
      <c r="B6879" s="7" t="n">
        <v>6877</v>
      </c>
      <c r="C6879" t="inlineStr">
        <is>
          <t>CHUYÊN VIÊN TƯ VẤN GIÁO DỤC (OCEAN EDU QUỐC OAI) - THU NHẬP HẤP DẪN TỪ 15 TRIỆU/THÁNG</t>
        </is>
      </c>
      <c r="D6879" t="inlineStr">
        <is>
          <t>Công Ty CP Giáo Dục Đại Dương</t>
        </is>
      </c>
      <c r="E6879" t="inlineStr">
        <is>
          <t>Lương:Cạnh tranh</t>
        </is>
      </c>
      <c r="F6879" t="inlineStr">
        <is>
          <t>Hà Nội</t>
        </is>
      </c>
      <c r="G6879" t="inlineStr">
        <is>
          <t>02-04-2026</t>
        </is>
      </c>
      <c r="H6879" t="inlineStr">
        <is>
          <t>02/04/2026</t>
        </is>
      </c>
      <c r="I6879" t="inlineStr">
        <is>
          <t>17/03/2026</t>
        </is>
      </c>
      <c r="J6879" t="inlineStr">
        <is>
          <t>Dịch vụ khách hàng, Giáo dục / Đào tạo, Bán hàng / Kinh doanh</t>
        </is>
      </c>
      <c r="K6879" t="inlineStr">
        <is>
          <t>Lên đến 1 Năm</t>
        </is>
      </c>
      <c r="L6879" s="8">
        <f>HYPERLINK("https://careerviet.vn/vi/tim-viec-lam/chuyen-vien-tu-van-giao-duc-ocean-edu-quoc-oai-thu-nhap-hap-dan-tu-15-trieu-thang.35C6AA64.html","Xem chi tiết")</f>
        <v/>
      </c>
    </row>
    <row r="6880">
      <c r="B6880" s="9" t="n">
        <v>6878</v>
      </c>
      <c r="C6880" s="10" t="inlineStr">
        <is>
          <t>Nhân viên hành chính nhân sự</t>
        </is>
      </c>
      <c r="D6880" s="10" t="inlineStr">
        <is>
          <t>CÔNG TY CỔ PHẦN CÔNG NGHỆ SOTATEK VIỆT NAM</t>
        </is>
      </c>
      <c r="E6880" s="10" t="inlineStr">
        <is>
          <t>Lương:Cạnh tranh</t>
        </is>
      </c>
      <c r="F6880" s="10" t="inlineStr">
        <is>
          <t>Hải Dương</t>
        </is>
      </c>
      <c r="G6880" s="10" t="inlineStr">
        <is>
          <t>01-04-2026</t>
        </is>
      </c>
      <c r="H6880" s="10" t="inlineStr">
        <is>
          <t>01/04/2026</t>
        </is>
      </c>
      <c r="I6880" s="10" t="inlineStr">
        <is>
          <t>17/03/2026</t>
        </is>
      </c>
      <c r="J6880" s="10" t="inlineStr">
        <is>
          <t>Hành chính / Thư ký, Nhân sự</t>
        </is>
      </c>
      <c r="K6880" s="10" t="inlineStr">
        <is>
          <t>Chưa có kinh nghiệm</t>
        </is>
      </c>
      <c r="L6880" s="11">
        <f>HYPERLINK("https://careerviet.vn/vi/tim-viec-lam/nhan-vien-hanh-chinh-nhan-su.35C6AAB6.html","Xem chi tiết")</f>
        <v/>
      </c>
      <c r="M6880" s="10" t="n"/>
    </row>
    <row r="6881">
      <c r="B6881" s="7" t="n">
        <v>6879</v>
      </c>
      <c r="C6881" t="inlineStr">
        <is>
          <t>Quản Lý Rạp Chiếu Phim/Cửa Hàng/Nhà Hàng/Siêu Thị (Làm việc tại Bắc Giang, Hà Nam)</t>
        </is>
      </c>
      <c r="D6881" t="inlineStr">
        <is>
          <t>Headhunter HRchannels Group</t>
        </is>
      </c>
      <c r="E6881" t="inlineStr">
        <is>
          <t>Lương:Lên đến 14 Tr VND</t>
        </is>
      </c>
      <c r="F6881" t="inlineStr">
        <is>
          <t>Hà NamBắc NinhBắc Giang</t>
        </is>
      </c>
      <c r="G6881" t="inlineStr">
        <is>
          <t>03-04-2026</t>
        </is>
      </c>
      <c r="H6881" t="inlineStr">
        <is>
          <t>03/04/2026</t>
        </is>
      </c>
      <c r="I6881" t="inlineStr">
        <is>
          <t>17/03/2026</t>
        </is>
      </c>
      <c r="J6881" t="inlineStr">
        <is>
          <t>Nhà hàng / Khách sạn, Giải trí, Bán hàng / Kinh doanh</t>
        </is>
      </c>
      <c r="K6881" t="inlineStr">
        <is>
          <t>2 - 5 Năm</t>
        </is>
      </c>
      <c r="L6881" s="8">
        <f>HYPERLINK("https://careerviet.vn/vi/tim-viec-lam/quan-ly-rap-chieu-phim-cua-hang-nha-hang-sieu-thi-lam-viec-tai-bac-giang-ha-nam.35C6A825.html","Xem chi tiết")</f>
        <v/>
      </c>
    </row>
    <row r="6882">
      <c r="B6882" s="9" t="n">
        <v>6880</v>
      </c>
      <c r="C6882" s="10" t="inlineStr">
        <is>
          <t>Giám Sát Kỹ Thuật Bảo Trì</t>
        </is>
      </c>
      <c r="D6882" s="10" t="inlineStr">
        <is>
          <t>Công ty TNHH Phát triển Phú Mỹ Hưng</t>
        </is>
      </c>
      <c r="E6882" s="10" t="inlineStr">
        <is>
          <t>Lương:10 Tr - 15 Tr VND</t>
        </is>
      </c>
      <c r="F6882" s="10" t="inlineStr">
        <is>
          <t>Hồ Chí Minh</t>
        </is>
      </c>
      <c r="G6882" s="10" t="inlineStr">
        <is>
          <t>02-04-2026</t>
        </is>
      </c>
      <c r="H6882" s="10" t="inlineStr">
        <is>
          <t>02/04/2026</t>
        </is>
      </c>
      <c r="I6882" s="10" t="inlineStr">
        <is>
          <t>17/03/2026</t>
        </is>
      </c>
      <c r="J6882" s="10" t="inlineStr">
        <is>
          <t>Điện / Điện tử / Điện lạnh / Điện công nghiệp, Bảo trì / Sửa chữa</t>
        </is>
      </c>
      <c r="K6882" s="10" t="inlineStr">
        <is>
          <t>2 - 3 Năm</t>
        </is>
      </c>
      <c r="L6882" s="11">
        <f>HYPERLINK("https://careerviet.vn/vi/tim-viec-lam/giam-sat-ky-thuat-bao-tri.35C6A792.html","Xem chi tiết")</f>
        <v/>
      </c>
      <c r="M6882" s="10" t="n"/>
    </row>
    <row r="6883">
      <c r="B6883" s="7" t="n">
        <v>6881</v>
      </c>
      <c r="C6883" t="inlineStr">
        <is>
          <t>CHUYÊN VIÊN TƯ VẤN GIÁO DỤC (OCEAN EDU GANG THÉP) - THU NHẬP HẤP DẪN TỪ 15 TRIỆU/THÁNG</t>
        </is>
      </c>
      <c r="D6883" t="inlineStr">
        <is>
          <t>Công Ty CP Giáo Dục Đại Dương</t>
        </is>
      </c>
      <c r="E6883" t="inlineStr">
        <is>
          <t>Lương:Cạnh tranh</t>
        </is>
      </c>
      <c r="F6883" t="inlineStr">
        <is>
          <t>Thái Nguyên</t>
        </is>
      </c>
      <c r="G6883" t="inlineStr">
        <is>
          <t>02-04-2026</t>
        </is>
      </c>
      <c r="H6883" t="inlineStr">
        <is>
          <t>02/04/2026</t>
        </is>
      </c>
      <c r="I6883" t="inlineStr">
        <is>
          <t>17/03/2026</t>
        </is>
      </c>
      <c r="J6883" t="inlineStr">
        <is>
          <t>Dịch vụ khách hàng, Giáo dục / Đào tạo, Bán hàng / Kinh doanh</t>
        </is>
      </c>
      <c r="K6883" t="inlineStr">
        <is>
          <t>Lên đến 1 Năm</t>
        </is>
      </c>
      <c r="L6883" s="8">
        <f>HYPERLINK("https://careerviet.vn/vi/tim-viec-lam/chuyen-vien-tu-van-giao-duc-ocean-edu-gang-thep-thu-nhap-hap-dan-tu-15-trieu-thang.35C6AA59.html","Xem chi tiết")</f>
        <v/>
      </c>
    </row>
    <row r="6884">
      <c r="B6884" s="9" t="n">
        <v>6882</v>
      </c>
      <c r="C6884" s="10" t="inlineStr">
        <is>
          <t>Trưởng Nhóm Tuyển Sinh (Ocean Edu Thái Bình)</t>
        </is>
      </c>
      <c r="D6884" s="10" t="inlineStr">
        <is>
          <t>Công Ty CP Giáo Dục Đại Dương</t>
        </is>
      </c>
      <c r="E6884" s="10" t="inlineStr">
        <is>
          <t>Lương:Cạnh tranh</t>
        </is>
      </c>
      <c r="F6884" s="10" t="inlineStr">
        <is>
          <t>Thái Bình</t>
        </is>
      </c>
      <c r="G6884" s="10" t="inlineStr">
        <is>
          <t>02-04-2026</t>
        </is>
      </c>
      <c r="H6884" s="10" t="inlineStr">
        <is>
          <t>02/04/2026</t>
        </is>
      </c>
      <c r="I6884" s="10" t="inlineStr">
        <is>
          <t>17/03/2026</t>
        </is>
      </c>
      <c r="J6884" s="10" t="inlineStr">
        <is>
          <t>Tư vấn, Dịch vụ khách hàng, Giáo dục / Đào tạo</t>
        </is>
      </c>
      <c r="K6884" s="10" t="inlineStr">
        <is>
          <t>1 - 2 Năm</t>
        </is>
      </c>
      <c r="L6884" s="11">
        <f>HYPERLINK("https://careerviet.vn/vi/tim-viec-lam/truong-nhom-tuyen-sinh-ocean-edu-thai-binh.35C6AA07.html","Xem chi tiết")</f>
        <v/>
      </c>
      <c r="M6884" s="10" t="n"/>
    </row>
    <row r="6885">
      <c r="B6885" s="7" t="n">
        <v>6883</v>
      </c>
      <c r="C6885" t="inlineStr">
        <is>
          <t>Cán Bộ Kỹ Thuật Hiện Trường</t>
        </is>
      </c>
      <c r="D6885" t="inlineStr">
        <is>
          <t>Công ty Cổ Phần Blue Core Việt Nam</t>
        </is>
      </c>
      <c r="E6885" t="inlineStr">
        <is>
          <t>Lương:12 Tr - 25 Tr VND</t>
        </is>
      </c>
      <c r="F6885" t="inlineStr">
        <is>
          <t>Hà Nội</t>
        </is>
      </c>
      <c r="G6885" t="inlineStr">
        <is>
          <t>02-04-2026</t>
        </is>
      </c>
      <c r="H6885" t="inlineStr">
        <is>
          <t>02/04/2026</t>
        </is>
      </c>
      <c r="I6885" t="inlineStr">
        <is>
          <t>17/03/2026</t>
        </is>
      </c>
      <c r="J6885" t="inlineStr">
        <is>
          <t>Xây dựng, Kiến trúc, Bất động sản</t>
        </is>
      </c>
      <c r="K6885" t="inlineStr">
        <is>
          <t>1 - 2 Năm</t>
        </is>
      </c>
      <c r="L6885" s="8">
        <f>HYPERLINK("https://careerviet.vn/vi/tim-viec-lam/can-bo-ky-thuat-hien-truong.35C6AA61.html","Xem chi tiết")</f>
        <v/>
      </c>
    </row>
    <row r="6886">
      <c r="B6886" s="9" t="n">
        <v>6884</v>
      </c>
      <c r="C6886" s="10" t="inlineStr">
        <is>
          <t>Nhân viên Bảo trì</t>
        </is>
      </c>
      <c r="D6886" s="10" t="inlineStr">
        <is>
          <t>CÔNG TY TNHH CHEMTROVINA</t>
        </is>
      </c>
      <c r="E6886" s="10" t="inlineStr">
        <is>
          <t>Lương:Cạnh tranh</t>
        </is>
      </c>
      <c r="F6886" s="10" t="inlineStr">
        <is>
          <t>Đồng Nai</t>
        </is>
      </c>
      <c r="G6886" s="10" t="inlineStr">
        <is>
          <t>02-04-2026</t>
        </is>
      </c>
      <c r="H6886" s="10" t="inlineStr">
        <is>
          <t>02/04/2026</t>
        </is>
      </c>
      <c r="I6886" s="10" t="inlineStr">
        <is>
          <t>17/03/2026</t>
        </is>
      </c>
      <c r="J6886" s="10" t="inlineStr">
        <is>
          <t>Bảo trì / Sửa chữa, Điện / Điện tử / Điện lạnh / Điện công nghiệp</t>
        </is>
      </c>
      <c r="K6886" s="10" t="inlineStr">
        <is>
          <t>Lên đến 1 Năm</t>
        </is>
      </c>
      <c r="L6886" s="11">
        <f>HYPERLINK("https://careerviet.vn/vi/tim-viec-lam/nhan-vien-bao-tri.35C6A919.html","Xem chi tiết")</f>
        <v/>
      </c>
      <c r="M6886" s="10" t="n"/>
    </row>
    <row r="6887">
      <c r="B6887" s="7" t="n">
        <v>6885</v>
      </c>
      <c r="C6887" t="inlineStr">
        <is>
          <t>[Hà Nội] Chuyên viên kinh doanh Dự Án Ngành Ống Nhựa Cấp Thoát Nước</t>
        </is>
      </c>
      <c r="D6887" t="inlineStr">
        <is>
          <t>Tập Đoàn Tân Á Đại Thành</t>
        </is>
      </c>
      <c r="E6887" t="inlineStr">
        <is>
          <t>Lương:15 Tr - 30 Tr VND</t>
        </is>
      </c>
      <c r="F6887" t="inlineStr">
        <is>
          <t>Hà Nội</t>
        </is>
      </c>
      <c r="G6887" t="inlineStr">
        <is>
          <t>31-03-2026</t>
        </is>
      </c>
      <c r="H6887" t="inlineStr">
        <is>
          <t>31/03/2026</t>
        </is>
      </c>
      <c r="I6887" t="inlineStr">
        <is>
          <t>17/03/2026</t>
        </is>
      </c>
      <c r="J6887" t="inlineStr">
        <is>
          <t>Bán hàng / Kinh doanh</t>
        </is>
      </c>
      <c r="K6887" t="inlineStr">
        <is>
          <t>2 - 5 Năm</t>
        </is>
      </c>
      <c r="L6887" s="8">
        <f>HYPERLINK("https://careerviet.vn/vi/tim-viec-lam/ha-noi-chuyen-vien-kinh-doanh-du-an-nganh-ong-nhua-cap-thoat-nuoc.35C6A88C.html","Xem chi tiết")</f>
        <v/>
      </c>
    </row>
    <row r="6888">
      <c r="B6888" s="9" t="n">
        <v>6886</v>
      </c>
      <c r="C6888" s="10" t="inlineStr">
        <is>
          <t>CHUYÊN VIÊN TƯ VẤN GIÁO DỤC (OCEAN EDU THÁI BÌNH) - THU NHẬP HẤP DẪN TỪ 15 TRIỆU/THÁNG</t>
        </is>
      </c>
      <c r="D6888" s="10" t="inlineStr">
        <is>
          <t>Công Ty CP Giáo Dục Đại Dương</t>
        </is>
      </c>
      <c r="E6888" s="10" t="inlineStr">
        <is>
          <t>Lương:Cạnh tranh</t>
        </is>
      </c>
      <c r="F6888" s="10" t="inlineStr">
        <is>
          <t>Thái Bình</t>
        </is>
      </c>
      <c r="G6888" s="10" t="inlineStr">
        <is>
          <t>02-04-2026</t>
        </is>
      </c>
      <c r="H6888" s="10" t="inlineStr">
        <is>
          <t>02/04/2026</t>
        </is>
      </c>
      <c r="I6888" s="10" t="inlineStr">
        <is>
          <t>17/03/2026</t>
        </is>
      </c>
      <c r="J6888" s="10" t="inlineStr">
        <is>
          <t>Dịch vụ khách hàng, Giáo dục / Đào tạo, Bán hàng / Kinh doanh</t>
        </is>
      </c>
      <c r="K6888" s="10" t="inlineStr">
        <is>
          <t>Lên đến 1 Năm</t>
        </is>
      </c>
      <c r="L6888" s="11">
        <f>HYPERLINK("https://careerviet.vn/vi/tim-viec-lam/chuyen-vien-tu-van-giao-duc-ocean-edu-thai-binh-thu-nhap-hap-dan-tu-15-trieu-thang.35C6A9EB.html","Xem chi tiết")</f>
        <v/>
      </c>
      <c r="M6888" s="10" t="n"/>
    </row>
    <row r="6889">
      <c r="B6889" s="7" t="n">
        <v>6887</v>
      </c>
      <c r="C6889" t="inlineStr">
        <is>
          <t>KẾ TOÁN THANH TOÁN</t>
        </is>
      </c>
      <c r="D6889" t="inlineStr">
        <is>
          <t>CÔNG TY TNHH TÂM LUXURY</t>
        </is>
      </c>
      <c r="E6889" t="inlineStr">
        <is>
          <t>Lương:8 Tr - 10 Tr VND</t>
        </is>
      </c>
      <c r="F6889" t="inlineStr">
        <is>
          <t>Hà NộiHồ Chí Minh</t>
        </is>
      </c>
      <c r="G6889" t="inlineStr">
        <is>
          <t>02-04-2026</t>
        </is>
      </c>
      <c r="H6889" t="inlineStr">
        <is>
          <t>02/04/2026</t>
        </is>
      </c>
      <c r="I6889" t="inlineStr">
        <is>
          <t>17/03/2026</t>
        </is>
      </c>
      <c r="J6889" t="inlineStr">
        <is>
          <t>Kế toán / Kiểm toán, Tài chính / Đầu tư, Luật / Pháp lý</t>
        </is>
      </c>
      <c r="K6889" t="inlineStr">
        <is>
          <t>0 - null Năm</t>
        </is>
      </c>
      <c r="L6889" s="8">
        <f>HYPERLINK("https://careerviet.vn/vi/tim-viec-lam/ke-toan-thanh-toan.35C6AA8A.html","Xem chi tiết")</f>
        <v/>
      </c>
    </row>
    <row r="6890">
      <c r="B6890" s="9" t="n">
        <v>6888</v>
      </c>
      <c r="C6890" s="10" t="inlineStr">
        <is>
          <t>Chuyên viên Digital Marketing</t>
        </is>
      </c>
      <c r="D6890" s="10" t="inlineStr">
        <is>
          <t>Công Ty Cổ Phần Đông Tây Land</t>
        </is>
      </c>
      <c r="E6890" s="10" t="inlineStr">
        <is>
          <t>Lương:13 Tr - 16 Tr VND</t>
        </is>
      </c>
      <c r="F6890" s="10" t="inlineStr">
        <is>
          <t>Hồ Chí Minh</t>
        </is>
      </c>
      <c r="G6890" s="10" t="inlineStr">
        <is>
          <t>03-04-2026</t>
        </is>
      </c>
      <c r="H6890" s="10" t="inlineStr">
        <is>
          <t>03/04/2026</t>
        </is>
      </c>
      <c r="I6890" s="10" t="inlineStr">
        <is>
          <t>17/03/2026</t>
        </is>
      </c>
      <c r="J6890" s="10" t="inlineStr">
        <is>
          <t>Tiếp thị / Marketing, Bất động sản, Quảng cáo / Đối ngoại / Truyền Thông</t>
        </is>
      </c>
      <c r="K6890" s="10" t="inlineStr">
        <is>
          <t>2 - 3 Năm</t>
        </is>
      </c>
      <c r="L6890" s="11">
        <f>HYPERLINK("https://careerviet.vn/vi/tim-viec-lam/chuyen-vien-digital-marketing.35C60420.html","Xem chi tiết")</f>
        <v/>
      </c>
      <c r="M6890" s="10" t="n"/>
    </row>
    <row r="6891">
      <c r="B6891" s="7" t="n">
        <v>6889</v>
      </c>
      <c r="C6891" t="inlineStr">
        <is>
          <t>CHUYÊN VIÊN TƯ VẤN GIÁO DỤC (OCEAN EDU VĨNH TƯỜNG) - THU NHẬP HẤP DẪN TỪ 15 TRIỆU/THÁNG</t>
        </is>
      </c>
      <c r="D6891" t="inlineStr">
        <is>
          <t>Công Ty CP Giáo Dục Đại Dương</t>
        </is>
      </c>
      <c r="E6891" t="inlineStr">
        <is>
          <t>Lương:Cạnh tranh</t>
        </is>
      </c>
      <c r="F6891" t="inlineStr">
        <is>
          <t>Vĩnh Phúc</t>
        </is>
      </c>
      <c r="G6891" t="inlineStr">
        <is>
          <t>02-04-2026</t>
        </is>
      </c>
      <c r="H6891" t="inlineStr">
        <is>
          <t>02/04/2026</t>
        </is>
      </c>
      <c r="I6891" t="inlineStr">
        <is>
          <t>17/03/2026</t>
        </is>
      </c>
      <c r="J6891" t="inlineStr">
        <is>
          <t>Dịch vụ khách hàng, Giáo dục / Đào tạo, Bán hàng / Kinh doanh</t>
        </is>
      </c>
      <c r="K6891" t="inlineStr">
        <is>
          <t>Lên đến 1 Năm</t>
        </is>
      </c>
      <c r="L6891" s="8">
        <f>HYPERLINK("https://careerviet.vn/vi/tim-viec-lam/chuyen-vien-tu-van-giao-duc-ocean-edu-vinh-tuong-thu-nhap-hap-dan-tu-15-trieu-thang.35C6AA54.html","Xem chi tiết")</f>
        <v/>
      </c>
    </row>
    <row r="6892">
      <c r="B6892" s="9" t="n">
        <v>6890</v>
      </c>
      <c r="C6892" s="10" t="inlineStr">
        <is>
          <t>Chuyên Viên/Chuyên viên cao cấp Quan Hệ Khách Hàng Doanh Nghiệp - Miền Tây (An Giang, Cần Thơ, Bạc Liêu)</t>
        </is>
      </c>
      <c r="D6892" s="10" t="inlineStr">
        <is>
          <t>Ngân hàng TMCP Việt Á – VietABank</t>
        </is>
      </c>
      <c r="E6892" s="10" t="inlineStr">
        <is>
          <t>Lương:10 Tr - 36 Tr VND</t>
        </is>
      </c>
      <c r="F6892" s="10" t="inlineStr">
        <is>
          <t>An GiangCần ThơBạc Liêu</t>
        </is>
      </c>
      <c r="G6892" s="10" t="inlineStr">
        <is>
          <t>02-04-2026</t>
        </is>
      </c>
      <c r="H6892" s="10" t="inlineStr">
        <is>
          <t>02/04/2026</t>
        </is>
      </c>
      <c r="I6892" s="10" t="inlineStr">
        <is>
          <t>17/03/2026</t>
        </is>
      </c>
      <c r="J6892" s="10" t="inlineStr">
        <is>
          <t>Ngân hàng, Bảo hiểm, Bất động sản</t>
        </is>
      </c>
      <c r="K6892" s="10" t="inlineStr">
        <is>
          <t>1 - 3 Năm</t>
        </is>
      </c>
      <c r="L6892" s="11">
        <f>HYPERLINK("https://careerviet.vn/vi/tim-viec-lam/chuyen-vien-chuyen-vien-cao-cap-quan-he-khach-hang-doanh-nghiep-mien-tay-an-giang-can-tho-bac-lieu.35C6A72B.html","Xem chi tiết")</f>
        <v/>
      </c>
      <c r="M6892" s="10" t="n"/>
    </row>
    <row r="6893">
      <c r="B6893" s="7" t="n">
        <v>6891</v>
      </c>
      <c r="C6893" t="inlineStr">
        <is>
          <t>Nhân viên bán hàng Vật liệu hàn</t>
        </is>
      </c>
      <c r="D6893" t="inlineStr">
        <is>
          <t>Tập Đoàn Kim Tín</t>
        </is>
      </c>
      <c r="E6893" t="inlineStr">
        <is>
          <t>Lương:Cạnh tranh</t>
        </is>
      </c>
      <c r="F6893" t="inlineStr">
        <is>
          <t>Hồ Chí Minh</t>
        </is>
      </c>
      <c r="G6893" t="inlineStr">
        <is>
          <t>02-04-2026</t>
        </is>
      </c>
      <c r="H6893" t="inlineStr">
        <is>
          <t>02/04/2026</t>
        </is>
      </c>
      <c r="I6893" t="inlineStr">
        <is>
          <t>17/03/2026</t>
        </is>
      </c>
      <c r="J6893" t="inlineStr">
        <is>
          <t>Bán hàng / Kinh doanh</t>
        </is>
      </c>
      <c r="K6893" t="inlineStr">
        <is>
          <t>2 - 3 Năm</t>
        </is>
      </c>
      <c r="L6893" s="8">
        <f>HYPERLINK("https://careerviet.vn/vi/tim-viec-lam/nhan-vien-ban-hang-vat-lieu-han.35C6A8FB.html","Xem chi tiết")</f>
        <v/>
      </c>
    </row>
    <row r="6894">
      <c r="B6894" s="9" t="n">
        <v>6892</v>
      </c>
      <c r="C6894" s="10" t="inlineStr">
        <is>
          <t>Nhân viên Sales Support / Sales Admin</t>
        </is>
      </c>
      <c r="D6894" s="10" t="inlineStr">
        <is>
          <t>Công ty TNHH MTV Sen Vàng Việt Nam</t>
        </is>
      </c>
      <c r="E6894" s="10" t="inlineStr">
        <is>
          <t>Lương:10 Tr - 15 Tr VND</t>
        </is>
      </c>
      <c r="F6894" s="10" t="inlineStr">
        <is>
          <t>Hồ Chí Minh</t>
        </is>
      </c>
      <c r="G6894" s="10" t="inlineStr">
        <is>
          <t>02-04-2026</t>
        </is>
      </c>
      <c r="H6894" s="10" t="inlineStr">
        <is>
          <t>02/04/2026</t>
        </is>
      </c>
      <c r="I6894" s="10" t="inlineStr">
        <is>
          <t>17/03/2026</t>
        </is>
      </c>
      <c r="J6894" s="10" t="inlineStr">
        <is>
          <t>Bán lẻ / Bán sỉ, Bán hàng / Kinh doanh, Dịch vụ khách hàng</t>
        </is>
      </c>
      <c r="K6894" s="10" t="inlineStr">
        <is>
          <t>3 - 5 Năm</t>
        </is>
      </c>
      <c r="L6894" s="11">
        <f>HYPERLINK("https://careerviet.vn/vi/tim-viec-lam/nhan-vien-sales-support-sales-admin.35C6A74C.html","Xem chi tiết")</f>
        <v/>
      </c>
      <c r="M6894" s="10" t="n"/>
    </row>
    <row r="6895">
      <c r="B6895" s="7" t="n">
        <v>6893</v>
      </c>
      <c r="C6895" t="inlineStr">
        <is>
          <t>Mechanical Engineer (Kỹ Sư Cơ Khí)</t>
        </is>
      </c>
      <c r="D6895" t="inlineStr">
        <is>
          <t>Minh Chau Engineering Co.,Ltd - Công Ty TNHH Kỹ Thuật Minh Châu</t>
        </is>
      </c>
      <c r="E6895" t="inlineStr">
        <is>
          <t>Lương:10 Tr - 14 Tr VND</t>
        </is>
      </c>
      <c r="F6895" t="inlineStr">
        <is>
          <t>Hồ Chí Minh</t>
        </is>
      </c>
      <c r="G6895" t="inlineStr">
        <is>
          <t>31-03-2026</t>
        </is>
      </c>
      <c r="H6895" t="inlineStr">
        <is>
          <t>31/03/2026</t>
        </is>
      </c>
      <c r="I6895" t="inlineStr">
        <is>
          <t>17/03/2026</t>
        </is>
      </c>
      <c r="J6895" t="inlineStr">
        <is>
          <t>Cơ khí / Ô tô / Tự động hóa, Mỹ thuật / Nghệ thuật / Thiết kế, Bảo trì / Sửa chữa</t>
        </is>
      </c>
      <c r="K6895" t="inlineStr">
        <is>
          <t>N/A</t>
        </is>
      </c>
      <c r="L6895" s="8">
        <f>HYPERLINK("https://careerviet.vn/vi/tim-viec-lam/mechanical-engineer-ky-su-co-khi.35C6AA9F.html","Xem chi tiết")</f>
        <v/>
      </c>
    </row>
    <row r="6896">
      <c r="B6896" s="9" t="n">
        <v>6894</v>
      </c>
      <c r="C6896" s="10" t="inlineStr">
        <is>
          <t>Nhân viên kho</t>
        </is>
      </c>
      <c r="D6896" s="10" t="inlineStr">
        <is>
          <t>Công ty TNHH Enzo &amp; Leo</t>
        </is>
      </c>
      <c r="E6896" s="10" t="inlineStr">
        <is>
          <t>Lương:8 Tr - 10 Tr VND</t>
        </is>
      </c>
      <c r="F6896" s="10" t="inlineStr">
        <is>
          <t>Hồ Chí Minh</t>
        </is>
      </c>
      <c r="G6896" s="10" t="inlineStr">
        <is>
          <t>04-04-2026</t>
        </is>
      </c>
      <c r="H6896" s="10" t="inlineStr">
        <is>
          <t>04/04/2026</t>
        </is>
      </c>
      <c r="I6896" s="10" t="inlineStr">
        <is>
          <t>17/03/2026</t>
        </is>
      </c>
      <c r="J6896" s="10" t="inlineStr">
        <is>
          <t>Dệt may / Da giày / Thời trang</t>
        </is>
      </c>
      <c r="K6896" s="10" t="inlineStr">
        <is>
          <t>1 - 2 Năm</t>
        </is>
      </c>
      <c r="L6896" s="11">
        <f>HYPERLINK("https://careerviet.vn/vi/tim-viec-lam/nhan-vien-kho.35C6A8A6.html","Xem chi tiết")</f>
        <v/>
      </c>
      <c r="M6896" s="10" t="n"/>
    </row>
    <row r="6897">
      <c r="B6897" s="7" t="n">
        <v>6895</v>
      </c>
      <c r="C6897" t="inlineStr">
        <is>
          <t>Đại Diện Kinh Doanh Khu Vực  - Audio &amp; Technology</t>
        </is>
      </c>
      <c r="D6897" t="inlineStr">
        <is>
          <t>Công Ty TNHH Phúc Giang</t>
        </is>
      </c>
      <c r="E6897" t="inlineStr">
        <is>
          <t>Lương:Cạnh tranh</t>
        </is>
      </c>
      <c r="F6897" t="inlineStr">
        <is>
          <t>Hồ Chí Minh</t>
        </is>
      </c>
      <c r="G6897" t="inlineStr">
        <is>
          <t>30-04-2026</t>
        </is>
      </c>
      <c r="H6897" t="inlineStr">
        <is>
          <t>30/04/2026</t>
        </is>
      </c>
      <c r="I6897" t="inlineStr">
        <is>
          <t>17/03/2026</t>
        </is>
      </c>
      <c r="J6897" t="inlineStr">
        <is>
          <t>Bán hàng / Kinh doanh, Bán lẻ / Bán sỉ</t>
        </is>
      </c>
      <c r="K6897" t="inlineStr">
        <is>
          <t>2 - 3 Năm</t>
        </is>
      </c>
      <c r="L6897" s="8">
        <f>HYPERLINK("https://careerviet.vn/vi/tim-viec-lam/dai-dien-kinh-doanh-khu-vuc-audio-technology.35C6A7D0.html","Xem chi tiết")</f>
        <v/>
      </c>
    </row>
    <row r="6898">
      <c r="B6898" s="9" t="n">
        <v>6896</v>
      </c>
      <c r="C6898" s="10" t="inlineStr">
        <is>
          <t>Nhân viên IT Nội bộ</t>
        </is>
      </c>
      <c r="D6898" s="10" t="inlineStr">
        <is>
          <t>Công ty Cổ Phần Đầu tư và Phát triển Tập đoàn Đông Ngô</t>
        </is>
      </c>
      <c r="E6898" s="10" t="inlineStr">
        <is>
          <t>Lương:9 Tr - 11 Tr VND</t>
        </is>
      </c>
      <c r="F6898" s="10" t="inlineStr">
        <is>
          <t>Hồ Chí Minh</t>
        </is>
      </c>
      <c r="G6898" s="10" t="inlineStr">
        <is>
          <t>31-03-2026</t>
        </is>
      </c>
      <c r="H6898" s="10" t="inlineStr">
        <is>
          <t>31/03/2026</t>
        </is>
      </c>
      <c r="I6898" s="10" t="inlineStr">
        <is>
          <t>17/03/2026</t>
        </is>
      </c>
      <c r="J6898" s="10" t="inlineStr">
        <is>
          <t>Xây dựng, Nội ngoại thất, Đồ gỗ</t>
        </is>
      </c>
      <c r="K6898" s="10" t="inlineStr">
        <is>
          <t>1 - 2 Năm</t>
        </is>
      </c>
      <c r="L6898" s="11">
        <f>HYPERLINK("https://careerviet.vn/vi/tim-viec-lam/nhan-vien-it-noi-bo.35C6A938.html","Xem chi tiết")</f>
        <v/>
      </c>
      <c r="M6898" s="10" t="n"/>
    </row>
    <row r="6899">
      <c r="B6899" s="7" t="n">
        <v>6897</v>
      </c>
      <c r="C6899" t="inlineStr">
        <is>
          <t>Nhân viên admin kho-Đồng Nai</t>
        </is>
      </c>
      <c r="D6899" t="inlineStr">
        <is>
          <t>Công Ty Cổ Phần Thép Việt Xô Hà Nội</t>
        </is>
      </c>
      <c r="E6899" t="inlineStr">
        <is>
          <t>Lương:9 Tr - 10 Tr VND</t>
        </is>
      </c>
      <c r="F6899" t="inlineStr">
        <is>
          <t>Đồng Nai</t>
        </is>
      </c>
      <c r="G6899" t="inlineStr">
        <is>
          <t>03-04-2026</t>
        </is>
      </c>
      <c r="H6899" t="inlineStr">
        <is>
          <t>03/04/2026</t>
        </is>
      </c>
      <c r="I6899" t="inlineStr">
        <is>
          <t>17/03/2026</t>
        </is>
      </c>
      <c r="J6899" t="inlineStr">
        <is>
          <t>Vận chuyển / Giao nhận / Kho vận, Kế toán / Kiểm toán</t>
        </is>
      </c>
      <c r="K6899" t="inlineStr">
        <is>
          <t>Lên đến 1 Năm</t>
        </is>
      </c>
      <c r="L6899" s="8">
        <f>HYPERLINK("https://careerviet.vn/vi/tim-viec-lam/nhan-vien-admin-kho-dong-nai.35C6A917.html","Xem chi tiết")</f>
        <v/>
      </c>
    </row>
    <row r="6900">
      <c r="B6900" s="9" t="n">
        <v>6898</v>
      </c>
      <c r="C6900" s="10" t="inlineStr">
        <is>
          <t>Kỹ Thuật Y Nuôi Cấy Tế Bào</t>
        </is>
      </c>
      <c r="D6900" s="10" t="inlineStr">
        <is>
          <t>CHI NHÁNH CÔNG TY CỔ PHẦN Y HỌC VĨNH THIỆN- BỆNH VIỆN ĐẠI HỌC PHENIKAA</t>
        </is>
      </c>
      <c r="E6900" s="10" t="inlineStr">
        <is>
          <t>Lương:Cạnh tranh</t>
        </is>
      </c>
      <c r="F6900" s="10" t="inlineStr">
        <is>
          <t>Hà Nội</t>
        </is>
      </c>
      <c r="G6900" s="10" t="inlineStr">
        <is>
          <t>03-04-2026</t>
        </is>
      </c>
      <c r="H6900" s="10" t="inlineStr">
        <is>
          <t>03/04/2026</t>
        </is>
      </c>
      <c r="I6900" s="10" t="inlineStr">
        <is>
          <t>17/03/2026</t>
        </is>
      </c>
      <c r="J6900" s="10" t="inlineStr">
        <is>
          <t>Công nghệ sinh học, Y tế / Chăm sóc sức khỏe / Thẩm mỹ / Làm đẹp</t>
        </is>
      </c>
      <c r="K6900" s="10" t="inlineStr">
        <is>
          <t>2 - 5 Năm</t>
        </is>
      </c>
      <c r="L6900" s="11">
        <f>HYPERLINK("https://careerviet.vn/vi/tim-viec-lam/ky-thuat-y-nuoi-cay-te-bao.35C6A8D8.html","Xem chi tiết")</f>
        <v/>
      </c>
      <c r="M6900" s="10" t="n"/>
    </row>
    <row r="6901">
      <c r="B6901" s="7" t="n">
        <v>6899</v>
      </c>
      <c r="C6901" t="inlineStr">
        <is>
          <t>Thợ may ghế da - Đông Anh</t>
        </is>
      </c>
      <c r="D6901" t="inlineStr">
        <is>
          <t>Công ty CP Toshiko Việt Nam</t>
        </is>
      </c>
      <c r="E6901" t="inlineStr">
        <is>
          <t>Lương:8 Tr - 11 Tr VND</t>
        </is>
      </c>
      <c r="F6901" t="inlineStr">
        <is>
          <t>Hà Nội</t>
        </is>
      </c>
      <c r="G6901" t="inlineStr">
        <is>
          <t>18-04-2026</t>
        </is>
      </c>
      <c r="H6901" t="inlineStr">
        <is>
          <t>18/04/2026</t>
        </is>
      </c>
      <c r="I6901" t="inlineStr">
        <is>
          <t>17/03/2026</t>
        </is>
      </c>
      <c r="J6901" t="inlineStr">
        <is>
          <t>Dệt may / Da giày / Thời trang</t>
        </is>
      </c>
      <c r="K6901" t="inlineStr">
        <is>
          <t>1 - 2 Năm</t>
        </is>
      </c>
      <c r="L6901" s="8">
        <f>HYPERLINK("https://careerviet.vn/vi/tim-viec-lam/tho-may-ghe-da-dong-anh.35C6A9BA.html","Xem chi tiết")</f>
        <v/>
      </c>
    </row>
    <row r="6902">
      <c r="B6902" s="9" t="n">
        <v>6900</v>
      </c>
      <c r="C6902" s="10" t="inlineStr">
        <is>
          <t>Sales Logistics</t>
        </is>
      </c>
      <c r="D6902" s="10" t="inlineStr">
        <is>
          <t>CÔNG TY TNHH ATLAS INTER-LOGS GROUP</t>
        </is>
      </c>
      <c r="E6902" s="10" t="inlineStr">
        <is>
          <t>Lương:8 Tr - 15 Tr VND</t>
        </is>
      </c>
      <c r="F6902" s="10" t="inlineStr">
        <is>
          <t>Hồ Chí Minh</t>
        </is>
      </c>
      <c r="G6902" s="10" t="inlineStr">
        <is>
          <t>31-03-2026</t>
        </is>
      </c>
      <c r="H6902" s="10" t="inlineStr">
        <is>
          <t>31/03/2026</t>
        </is>
      </c>
      <c r="I6902" s="10" t="inlineStr">
        <is>
          <t>17/03/2026</t>
        </is>
      </c>
      <c r="J6902" s="10" t="inlineStr">
        <is>
          <t>Vận chuyển / Giao nhận / Kho vận</t>
        </is>
      </c>
      <c r="K6902" s="10" t="inlineStr">
        <is>
          <t>1 - 3 Năm</t>
        </is>
      </c>
      <c r="L6902" s="11">
        <f>HYPERLINK("https://careerviet.vn/vi/tim-viec-lam/sales-logistics.35C52525.html","Xem chi tiết")</f>
        <v/>
      </c>
      <c r="M6902" s="10" t="n"/>
    </row>
    <row r="6903">
      <c r="B6903" s="7" t="n">
        <v>6901</v>
      </c>
      <c r="C6903" t="inlineStr">
        <is>
          <t>Giám Sát Bán Hàng - Hải Phòng - Hải Dương - Bắc Giang - Bắc Ninh - Quảng Ninh</t>
        </is>
      </c>
      <c r="D6903" t="inlineStr">
        <is>
          <t>Công ty Cổ Phần Tập Đoàn Điện Quang</t>
        </is>
      </c>
      <c r="E6903" t="inlineStr">
        <is>
          <t>Lương:Cạnh tranh</t>
        </is>
      </c>
      <c r="F6903" t="inlineStr">
        <is>
          <t>Hải PhòngHải DươngQuảng Ninh</t>
        </is>
      </c>
      <c r="G6903" t="inlineStr">
        <is>
          <t>15-04-2026</t>
        </is>
      </c>
      <c r="H6903" t="inlineStr">
        <is>
          <t>15/04/2026</t>
        </is>
      </c>
      <c r="I6903" t="inlineStr">
        <is>
          <t>17/03/2026</t>
        </is>
      </c>
      <c r="J6903" t="inlineStr">
        <is>
          <t>Bán lẻ / Bán sỉ, Bán hàng / Kinh doanh</t>
        </is>
      </c>
      <c r="K6903" t="inlineStr">
        <is>
          <t>2 - 3 Năm</t>
        </is>
      </c>
      <c r="L6903" s="8">
        <f>HYPERLINK("https://careerviet.vn/vi/tim-viec-lam/giam-sat-ban-hang-hai-phong-hai-duong-bac-giang-bac-ninh-quang-ninh.35C65A1D.html","Xem chi tiết")</f>
        <v/>
      </c>
    </row>
    <row r="6904">
      <c r="B6904" s="9" t="n">
        <v>6902</v>
      </c>
      <c r="C6904" s="10" t="inlineStr">
        <is>
          <t>Nhân viên Khảo nghiệm</t>
        </is>
      </c>
      <c r="D6904" s="10" t="inlineStr">
        <is>
          <t>Công ty TNHH ADC</t>
        </is>
      </c>
      <c r="E6904" s="10" t="inlineStr">
        <is>
          <t>Lương:Cạnh tranh</t>
        </is>
      </c>
      <c r="F6904" s="10" t="inlineStr">
        <is>
          <t>Cần Thơ</t>
        </is>
      </c>
      <c r="G6904" s="10" t="inlineStr">
        <is>
          <t>15-04-2026</t>
        </is>
      </c>
      <c r="H6904" s="10" t="inlineStr">
        <is>
          <t>15/04/2026</t>
        </is>
      </c>
      <c r="I6904" s="10" t="inlineStr">
        <is>
          <t>17/03/2026</t>
        </is>
      </c>
      <c r="J6904" s="10" t="inlineStr">
        <is>
          <t>Nông nghiệp</t>
        </is>
      </c>
      <c r="K6904" s="10" t="inlineStr">
        <is>
          <t>N/A</t>
        </is>
      </c>
      <c r="L6904" s="11">
        <f>HYPERLINK("https://careerviet.vn/vi/tim-viec-lam/nhan-vien-khao-nghiem.35C65ACC.html","Xem chi tiết")</f>
        <v/>
      </c>
      <c r="M6904" s="10" t="n"/>
    </row>
    <row r="6905">
      <c r="B6905" s="7" t="n">
        <v>6903</v>
      </c>
      <c r="C6905" t="inlineStr">
        <is>
          <t>Kỹ sư bảo trì cơ điện (Maintenance Engineer)</t>
        </is>
      </c>
      <c r="D6905" t="inlineStr">
        <is>
          <t>CÔNG TY CỔ PHẦN BMP GROUP</t>
        </is>
      </c>
      <c r="E6905" t="inlineStr">
        <is>
          <t>Lương:Cạnh tranh</t>
        </is>
      </c>
      <c r="F6905" t="inlineStr">
        <is>
          <t>Bình Dương</t>
        </is>
      </c>
      <c r="G6905" t="inlineStr">
        <is>
          <t>15-04-2026</t>
        </is>
      </c>
      <c r="H6905" t="inlineStr">
        <is>
          <t>15/04/2026</t>
        </is>
      </c>
      <c r="I6905" t="inlineStr">
        <is>
          <t>17/03/2026</t>
        </is>
      </c>
      <c r="J6905" t="inlineStr">
        <is>
          <t>Bảo trì / Sửa chữa, Sản xuất / Vận hành sản xuất, In ấn / Xuất bản</t>
        </is>
      </c>
      <c r="K6905" t="inlineStr">
        <is>
          <t>3 - 5 Năm</t>
        </is>
      </c>
      <c r="L6905" s="8">
        <f>HYPERLINK("https://careerviet.vn/vi/tim-viec-lam/ky-su-bao-tri-co-dien-maintenance-engineer.35C65A93.html","Xem chi tiết")</f>
        <v/>
      </c>
    </row>
    <row r="6906">
      <c r="B6906" s="9" t="n">
        <v>6904</v>
      </c>
      <c r="C6906" s="10" t="inlineStr">
        <is>
          <t>Chuyên viên cấp trung Kinh doanh quốc tế (Làm việc tại Tây Ninh)</t>
        </is>
      </c>
      <c r="D6906" s="10" t="inlineStr">
        <is>
          <t>Công ty CP Thành Thành Công - Biên Hòa</t>
        </is>
      </c>
      <c r="E6906" s="10" t="inlineStr">
        <is>
          <t>Lương:Cạnh tranh</t>
        </is>
      </c>
      <c r="F6906" s="10" t="inlineStr">
        <is>
          <t>Tây Ninh</t>
        </is>
      </c>
      <c r="G6906" s="10" t="inlineStr">
        <is>
          <t>15-04-2026</t>
        </is>
      </c>
      <c r="H6906" s="10" t="inlineStr">
        <is>
          <t>15/04/2026</t>
        </is>
      </c>
      <c r="I6906" s="10" t="inlineStr">
        <is>
          <t>17/03/2026</t>
        </is>
      </c>
      <c r="J6906" s="10" t="inlineStr">
        <is>
          <t>Luật / Pháp lý, Bán lẻ / Bán sỉ, Chứng khoán</t>
        </is>
      </c>
      <c r="K6906" s="10" t="inlineStr">
        <is>
          <t>2 - 4 Năm</t>
        </is>
      </c>
      <c r="L6906" s="11">
        <f>HYPERLINK("https://careerviet.vn/vi/tim-viec-lam/chuyen-vien-cap-trung-kinh-doanh-quoc-te-lam-viec-tai-tay-ninh.35C65B5B.html","Xem chi tiết")</f>
        <v/>
      </c>
      <c r="M6906" s="10" t="n"/>
    </row>
    <row r="6907">
      <c r="B6907" s="7" t="n">
        <v>6905</v>
      </c>
      <c r="C6907" t="inlineStr">
        <is>
          <t>Quality Engineer (Kỹ Sư Chất Lượng)</t>
        </is>
      </c>
      <c r="D6907" t="inlineStr">
        <is>
          <t>DP Systems Electronic Mechanical Technology Vietnam Co., Ltd</t>
        </is>
      </c>
      <c r="E6907" t="inlineStr">
        <is>
          <t>Lương:Cạnh tranh</t>
        </is>
      </c>
      <c r="F6907" t="inlineStr">
        <is>
          <t>Bình Dương</t>
        </is>
      </c>
      <c r="G6907" t="inlineStr">
        <is>
          <t>15-04-2026</t>
        </is>
      </c>
      <c r="H6907" t="inlineStr">
        <is>
          <t>15/04/2026</t>
        </is>
      </c>
      <c r="I6907" t="inlineStr">
        <is>
          <t>17/03/2026</t>
        </is>
      </c>
      <c r="J6907" t="inlineStr">
        <is>
          <t>Cơ khí / Ô tô / Tự động hóa, Quản lý chất lượng (QA/QC)</t>
        </is>
      </c>
      <c r="K6907" t="inlineStr">
        <is>
          <t>Chưa có kinh nghiệm</t>
        </is>
      </c>
      <c r="L6907" s="8">
        <f>HYPERLINK("https://careerviet.vn/vi/tim-viec-lam/quality-engineer-ky-su-chat-luong.35C65B6F.html","Xem chi tiết")</f>
        <v/>
      </c>
    </row>
    <row r="6908">
      <c r="B6908" s="9" t="n">
        <v>6906</v>
      </c>
      <c r="C6908" s="10" t="inlineStr">
        <is>
          <t>Trưởng phòng Quản lý chất lượng (Làm việc tại Tây Ninh)</t>
        </is>
      </c>
      <c r="D6908" s="10" t="inlineStr">
        <is>
          <t>Công ty CP Thành Thành Công - Biên Hòa</t>
        </is>
      </c>
      <c r="E6908" s="10" t="inlineStr">
        <is>
          <t>Lương:Cạnh tranh</t>
        </is>
      </c>
      <c r="F6908" s="10" t="inlineStr">
        <is>
          <t>Tây Ninh</t>
        </is>
      </c>
      <c r="G6908" s="10" t="inlineStr">
        <is>
          <t>15-04-2026</t>
        </is>
      </c>
      <c r="H6908" s="10" t="inlineStr">
        <is>
          <t>15/04/2026</t>
        </is>
      </c>
      <c r="I6908" s="10" t="inlineStr">
        <is>
          <t>17/03/2026</t>
        </is>
      </c>
      <c r="J6908" s="10" t="inlineStr">
        <is>
          <t>Công nghệ thực phẩm / Dinh dưỡng, Chăn nuôi / Thú y, Công nghệ sinh học</t>
        </is>
      </c>
      <c r="K6908" s="10" t="inlineStr">
        <is>
          <t>3 - 5 Năm</t>
        </is>
      </c>
      <c r="L6908" s="11">
        <f>HYPERLINK("https://careerviet.vn/vi/tim-viec-lam/truong-phong-quan-ly-chat-luong-lam-viec-tai-tay-ninh.35C65B5A.html","Xem chi tiết")</f>
        <v/>
      </c>
      <c r="M6908" s="10" t="n"/>
    </row>
    <row r="6909">
      <c r="B6909" s="7" t="n">
        <v>6907</v>
      </c>
      <c r="C6909" t="inlineStr">
        <is>
          <t>Chuyên Viên Quan Hệ Khách Hàng Doanh Nghiệp Vi Mô – Hà Nội - TA154</t>
        </is>
      </c>
      <c r="D6909" t="inlineStr">
        <is>
          <t>Ngân Hàng TMCP Việt Nam Thịnh Vượng - VPBANK</t>
        </is>
      </c>
      <c r="E6909" t="inlineStr">
        <is>
          <t>Lương:Cạnh tranh</t>
        </is>
      </c>
      <c r="F6909" t="inlineStr">
        <is>
          <t>Hà Nội</t>
        </is>
      </c>
      <c r="G6909" t="inlineStr">
        <is>
          <t>15-04-2026</t>
        </is>
      </c>
      <c r="H6909" t="inlineStr">
        <is>
          <t>15/04/2026</t>
        </is>
      </c>
      <c r="I6909" t="inlineStr">
        <is>
          <t>17/03/2026</t>
        </is>
      </c>
      <c r="J6909" t="inlineStr">
        <is>
          <t>Bán hàng / Kinh doanh, Ngân hàng, Dịch vụ khách hàng</t>
        </is>
      </c>
      <c r="K6909" t="inlineStr">
        <is>
          <t>Trên 1 Năm</t>
        </is>
      </c>
      <c r="L6909" s="8">
        <f>HYPERLINK("https://careerviet.vn/vi/tim-viec-lam/chuyen-vien-quan-he-khach-hang-doanh-nghiep-vi-mo-ha-noi-ta154.35C65BC5.html","Xem chi tiết")</f>
        <v/>
      </c>
    </row>
    <row r="6910">
      <c r="B6910" s="9" t="n">
        <v>6908</v>
      </c>
      <c r="C6910" s="10" t="inlineStr">
        <is>
          <t>[Factory 1] RA Officer (Pharmacy/ Chemical/ Biotech)</t>
        </is>
      </c>
      <c r="D6910" s="10" t="inlineStr">
        <is>
          <t>CÔNG TY TNHH ROHTO-MENTHOLATUM (VIỆT NAM)</t>
        </is>
      </c>
      <c r="E6910" s="10" t="inlineStr">
        <is>
          <t>Lương:Cạnh tranh</t>
        </is>
      </c>
      <c r="F6910" s="10" t="inlineStr">
        <is>
          <t>Bình Dương</t>
        </is>
      </c>
      <c r="G6910" s="10" t="inlineStr">
        <is>
          <t>15-04-2026</t>
        </is>
      </c>
      <c r="H6910" s="10" t="inlineStr">
        <is>
          <t>15/04/2026</t>
        </is>
      </c>
      <c r="I6910" s="10" t="inlineStr">
        <is>
          <t>17/03/2026</t>
        </is>
      </c>
      <c r="J6910" s="10" t="inlineStr">
        <is>
          <t>Dược phẩm/ Hóa Mỹ Phẩm, Y tế / Chăm sóc sức khỏe / Thẩm mỹ / Làm đẹp</t>
        </is>
      </c>
      <c r="K6910" s="10" t="inlineStr">
        <is>
          <t>N/A</t>
        </is>
      </c>
      <c r="L6910" s="11">
        <f>HYPERLINK("https://careerviet.vn/vi/tim-viec-lam/factory-1-ra-officer-pharmacy-chemical-biotech.35C65A02.html","Xem chi tiết")</f>
        <v/>
      </c>
      <c r="M6910" s="10" t="n"/>
    </row>
    <row r="6911">
      <c r="B6911" s="7" t="n">
        <v>6909</v>
      </c>
      <c r="C6911" t="inlineStr">
        <is>
          <t>Nhân Viên Kinh Doanh (dược mỹ phẩm )</t>
        </is>
      </c>
      <c r="D6911" t="inlineStr">
        <is>
          <t>CareerViet's client</t>
        </is>
      </c>
      <c r="E6911" t="inlineStr">
        <is>
          <t>Lương:Cạnh tranh</t>
        </is>
      </c>
      <c r="F6911" t="inlineStr">
        <is>
          <t>Hồ Chí Minh</t>
        </is>
      </c>
      <c r="G6911" t="inlineStr">
        <is>
          <t>15-04-2026</t>
        </is>
      </c>
      <c r="H6911" t="inlineStr">
        <is>
          <t>15/04/2026</t>
        </is>
      </c>
      <c r="I6911" t="inlineStr">
        <is>
          <t>17/03/2026</t>
        </is>
      </c>
      <c r="J6911" t="inlineStr">
        <is>
          <t>Bán hàng / Kinh doanh, Y tế / Chăm sóc sức khỏe / Thẩm mỹ / Làm đẹp, Bán lẻ / Bán sỉ</t>
        </is>
      </c>
      <c r="K6911" t="inlineStr">
        <is>
          <t>3 - 5 Năm</t>
        </is>
      </c>
      <c r="L6911" s="8">
        <f>HYPERLINK("https://careerviet.vn/vi/tim-viec-lam/nhan-vien-kinh-doanh-duoc-my-pham.35C65AB7.html","Xem chi tiết")</f>
        <v/>
      </c>
    </row>
    <row r="6912">
      <c r="B6912" s="9" t="n">
        <v>6910</v>
      </c>
      <c r="C6912" s="10" t="inlineStr">
        <is>
          <t>Dược sĩ Kho làm việc tại Nam Ô (Đà Nẵng)</t>
        </is>
      </c>
      <c r="D6912" s="10" t="inlineStr">
        <is>
          <t>Công Ty Cổ Phần Vacxin Việt Nam</t>
        </is>
      </c>
      <c r="E6912" s="10" t="inlineStr">
        <is>
          <t>Lương:7 Tr - 9 Tr VND</t>
        </is>
      </c>
      <c r="F6912" s="10" t="inlineStr">
        <is>
          <t>Đà Nẵng</t>
        </is>
      </c>
      <c r="G6912" s="10" t="inlineStr">
        <is>
          <t>15-04-2026</t>
        </is>
      </c>
      <c r="H6912" s="10" t="inlineStr">
        <is>
          <t>15/04/2026</t>
        </is>
      </c>
      <c r="I6912" s="10" t="inlineStr">
        <is>
          <t>17/03/2026</t>
        </is>
      </c>
      <c r="J6912" s="10" t="inlineStr">
        <is>
          <t>Dược phẩm/ Hóa Mỹ Phẩm, Y tế / Chăm sóc sức khỏe / Thẩm mỹ / Làm đẹp, Vận chuyển / Giao nhận / Kho vận</t>
        </is>
      </c>
      <c r="K6912" s="10" t="inlineStr">
        <is>
          <t>Lên đến 1 Năm</t>
        </is>
      </c>
      <c r="L6912" s="11">
        <f>HYPERLINK("https://careerviet.vn/vi/tim-viec-lam/duoc-si-kho-lam-viec-tai-nam-o-da-nang.35C65B15.html","Xem chi tiết")</f>
        <v/>
      </c>
      <c r="M6912" s="10" t="n"/>
    </row>
    <row r="6913">
      <c r="B6913" s="7" t="n">
        <v>6911</v>
      </c>
      <c r="C6913" t="inlineStr">
        <is>
          <t>Chuyên Viên Cao Cấp Quản Lý Sản Phẩm Kiều Hối (FX) - Hà Nội - TA126 (ID876)</t>
        </is>
      </c>
      <c r="D6913" t="inlineStr">
        <is>
          <t>Ngân Hàng TMCP Việt Nam Thịnh Vượng - VPBANK</t>
        </is>
      </c>
      <c r="E6913" t="inlineStr">
        <is>
          <t>Lương:20 Tr - 50 Tr VND</t>
        </is>
      </c>
      <c r="F6913" t="inlineStr">
        <is>
          <t>Hà Nội</t>
        </is>
      </c>
      <c r="G6913" t="inlineStr">
        <is>
          <t>15-04-2026</t>
        </is>
      </c>
      <c r="H6913" t="inlineStr">
        <is>
          <t>15/04/2026</t>
        </is>
      </c>
      <c r="I6913" t="inlineStr">
        <is>
          <t>17/03/2026</t>
        </is>
      </c>
      <c r="J6913" t="inlineStr">
        <is>
          <t>Ngân hàng</t>
        </is>
      </c>
      <c r="K6913" t="inlineStr">
        <is>
          <t>Trên 2 Năm</t>
        </is>
      </c>
      <c r="L6913" s="8">
        <f>HYPERLINK("https://careerviet.vn/vi/tim-viec-lam/chuyen-vien-cao-cap-quan-ly-san-pham-kieu-hoi-fx-ha-noi-ta126-id876.35C65B78.html","Xem chi tiết")</f>
        <v/>
      </c>
    </row>
    <row r="6914">
      <c r="B6914" s="9" t="n">
        <v>6912</v>
      </c>
      <c r="C6914" s="10" t="inlineStr">
        <is>
          <t>TRƯỞNG PHÒNG PHÁP CHẾ</t>
        </is>
      </c>
      <c r="D6914" s="10" t="inlineStr">
        <is>
          <t>HR Vietnam’s ESS Client</t>
        </is>
      </c>
      <c r="E6914" s="10" t="inlineStr">
        <is>
          <t>Lương:Cạnh tranh</t>
        </is>
      </c>
      <c r="F6914" s="10" t="inlineStr">
        <is>
          <t>Thái Bình</t>
        </is>
      </c>
      <c r="G6914" s="10" t="inlineStr">
        <is>
          <t>15-04-2026</t>
        </is>
      </c>
      <c r="H6914" s="10" t="inlineStr">
        <is>
          <t>15/04/2026</t>
        </is>
      </c>
      <c r="I6914" s="10" t="inlineStr">
        <is>
          <t>17/03/2026</t>
        </is>
      </c>
      <c r="J6914" s="10" t="inlineStr">
        <is>
          <t>Xây dựng, Luật / Pháp lý</t>
        </is>
      </c>
      <c r="K6914" s="10" t="inlineStr">
        <is>
          <t>5 - 6 Năm</t>
        </is>
      </c>
      <c r="L6914" s="11">
        <f>HYPERLINK("https://careerviet.vn/vi/tim-viec-lam/truong-phong-phap-che.35C65B44.html","Xem chi tiết")</f>
        <v/>
      </c>
      <c r="M6914" s="10" t="n"/>
    </row>
    <row r="6915">
      <c r="B6915" s="7" t="n">
        <v>6913</v>
      </c>
      <c r="C6915" t="inlineStr">
        <is>
          <t>CVC/CVCC Tư vấn Tài chính Cá nhân - Hải Phòng - TA 187</t>
        </is>
      </c>
      <c r="D6915" t="inlineStr">
        <is>
          <t>Ngân Hàng TMCP Việt Nam Thịnh Vượng - VPBANK</t>
        </is>
      </c>
      <c r="E6915" t="inlineStr">
        <is>
          <t>Lương:20 Tr - 30 Tr VND</t>
        </is>
      </c>
      <c r="F6915" t="inlineStr">
        <is>
          <t>Hải Phòng</t>
        </is>
      </c>
      <c r="G6915" t="inlineStr">
        <is>
          <t>15-04-2026</t>
        </is>
      </c>
      <c r="H6915" t="inlineStr">
        <is>
          <t>15/04/2026</t>
        </is>
      </c>
      <c r="I6915" t="inlineStr">
        <is>
          <t>17/03/2026</t>
        </is>
      </c>
      <c r="J6915" t="inlineStr">
        <is>
          <t>Ngân hàng</t>
        </is>
      </c>
      <c r="K6915" t="inlineStr">
        <is>
          <t>Trên 2 Năm</t>
        </is>
      </c>
      <c r="L6915" s="8">
        <f>HYPERLINK("https://careerviet.vn/vi/tim-viec-lam/cvc-cvcc-tu-van-tai-chinh-ca-nhan-hai-phong-ta-187.35C65BB7.html","Xem chi tiết")</f>
        <v/>
      </c>
    </row>
    <row r="6916">
      <c r="B6916" s="9" t="n">
        <v>6914</v>
      </c>
      <c r="C6916" s="10" t="inlineStr">
        <is>
          <t>CVC/CVCC Quan hệ khách hàng ưu tiên - Hải Dương - TA 187</t>
        </is>
      </c>
      <c r="D6916" s="10" t="inlineStr">
        <is>
          <t>Ngân Hàng TMCP Việt Nam Thịnh Vượng - VPBANK</t>
        </is>
      </c>
      <c r="E6916" s="10" t="inlineStr">
        <is>
          <t>Lương:20 Tr - 30 Tr VND</t>
        </is>
      </c>
      <c r="F6916" s="10" t="inlineStr">
        <is>
          <t>Hải Dương</t>
        </is>
      </c>
      <c r="G6916" s="10" t="inlineStr">
        <is>
          <t>15-04-2026</t>
        </is>
      </c>
      <c r="H6916" s="10" t="inlineStr">
        <is>
          <t>15/04/2026</t>
        </is>
      </c>
      <c r="I6916" s="10" t="inlineStr">
        <is>
          <t>17/03/2026</t>
        </is>
      </c>
      <c r="J6916" s="10" t="inlineStr">
        <is>
          <t>Ngân hàng</t>
        </is>
      </c>
      <c r="K6916" s="10" t="inlineStr">
        <is>
          <t>Trên 2 Năm</t>
        </is>
      </c>
      <c r="L6916" s="11">
        <f>HYPERLINK("https://careerviet.vn/vi/tim-viec-lam/cvc-cvcc-quan-he-khach-hang-uu-tien-hai-duong-ta-187.35C65BBA.html","Xem chi tiết")</f>
        <v/>
      </c>
      <c r="M6916" s="10" t="n"/>
    </row>
    <row r="6917">
      <c r="B6917" s="7" t="n">
        <v>6915</v>
      </c>
      <c r="C6917" t="inlineStr">
        <is>
          <t>Nhân viên Bán SP Cho vay (Thế chấp) - TA154 (Bắc Ninh, Bắc Giang, Lạng Sơn)</t>
        </is>
      </c>
      <c r="D6917" t="inlineStr">
        <is>
          <t>Ngân Hàng TMCP Việt Nam Thịnh Vượng - VPBANK</t>
        </is>
      </c>
      <c r="E6917" t="inlineStr">
        <is>
          <t>Lương:Cạnh tranh</t>
        </is>
      </c>
      <c r="F6917" t="inlineStr">
        <is>
          <t>Bắc GiangBắc NinhLạng Sơn</t>
        </is>
      </c>
      <c r="G6917" t="inlineStr">
        <is>
          <t>15-04-2026</t>
        </is>
      </c>
      <c r="H6917" t="inlineStr">
        <is>
          <t>15/04/2026</t>
        </is>
      </c>
      <c r="I6917" t="inlineStr">
        <is>
          <t>17/03/2026</t>
        </is>
      </c>
      <c r="J6917" t="inlineStr">
        <is>
          <t>Bán hàng / Kinh doanh, Dịch vụ khách hàng, Ngân hàng</t>
        </is>
      </c>
      <c r="K6917" t="inlineStr">
        <is>
          <t>Trên 1 Năm</t>
        </is>
      </c>
      <c r="L6917" s="8">
        <f>HYPERLINK("https://careerviet.vn/vi/tim-viec-lam/nhan-vien-ban-sp-cho-vay-the-chap-ta154-bac-ninh-bac-giang-lang-son.35C65BAD.html","Xem chi tiết")</f>
        <v/>
      </c>
    </row>
    <row r="6918">
      <c r="B6918" s="9" t="n">
        <v>6916</v>
      </c>
      <c r="C6918" s="10" t="inlineStr">
        <is>
          <t>Kỹ sư/Giám sát điện</t>
        </is>
      </c>
      <c r="D6918" s="10" t="inlineStr">
        <is>
          <t>HR Vietnam’s ESS Client</t>
        </is>
      </c>
      <c r="E6918" s="10" t="inlineStr">
        <is>
          <t>Lương:Cạnh tranh</t>
        </is>
      </c>
      <c r="F6918" s="10" t="inlineStr">
        <is>
          <t>Thái BìnhNam Định</t>
        </is>
      </c>
      <c r="G6918" s="10" t="inlineStr">
        <is>
          <t>15-04-2026</t>
        </is>
      </c>
      <c r="H6918" s="10" t="inlineStr">
        <is>
          <t>15/04/2026</t>
        </is>
      </c>
      <c r="I6918" s="10" t="inlineStr">
        <is>
          <t>17/03/2026</t>
        </is>
      </c>
      <c r="J6918" s="10" t="inlineStr">
        <is>
          <t>Xây dựng, Điện / Điện tử / Điện lạnh / Điện công nghiệp</t>
        </is>
      </c>
      <c r="K6918" s="10" t="inlineStr">
        <is>
          <t>3 - 7 Năm</t>
        </is>
      </c>
      <c r="L6918" s="11">
        <f>HYPERLINK("https://careerviet.vn/vi/tim-viec-lam/ky-su-giam-sat-dien.35C65B3F.html","Xem chi tiết")</f>
        <v/>
      </c>
      <c r="M6918" s="10" t="n"/>
    </row>
    <row r="6919">
      <c r="B6919" s="7" t="n">
        <v>6917</v>
      </c>
      <c r="C6919" t="inlineStr">
        <is>
          <t>Nhân viên kế toán tổng hợp</t>
        </is>
      </c>
      <c r="D6919" t="inlineStr">
        <is>
          <t>Bảo mật</t>
        </is>
      </c>
      <c r="E6919" t="inlineStr">
        <is>
          <t>Lương:13 Tr - 16 Tr VND</t>
        </is>
      </c>
      <c r="F6919" t="inlineStr">
        <is>
          <t>Hồ Chí Minh</t>
        </is>
      </c>
      <c r="G6919" t="inlineStr">
        <is>
          <t>15-04-2026</t>
        </is>
      </c>
      <c r="H6919" t="inlineStr">
        <is>
          <t>15/04/2026</t>
        </is>
      </c>
      <c r="I6919" t="inlineStr">
        <is>
          <t>17/03/2026</t>
        </is>
      </c>
      <c r="J6919" t="inlineStr">
        <is>
          <t>Hành chính / Thư ký, Kế toán / Kiểm toán, Bất động sản</t>
        </is>
      </c>
      <c r="K6919" t="inlineStr">
        <is>
          <t>2 - 5 Năm</t>
        </is>
      </c>
      <c r="L6919" s="8">
        <f>HYPERLINK("https://careerviet.vn/vi/tim-viec-lam/nhan-vien-ke-toan-tong-hop.35C65ABC.html","Xem chi tiết")</f>
        <v/>
      </c>
    </row>
    <row r="6920">
      <c r="B6920" s="9" t="n">
        <v>6918</v>
      </c>
      <c r="C6920" s="10" t="inlineStr">
        <is>
          <t>Quản Trị Viên Quản lý doanh nghiệp</t>
        </is>
      </c>
      <c r="D6920" s="10" t="inlineStr">
        <is>
          <t>CÔNG TY TNHH ACTR</t>
        </is>
      </c>
      <c r="E6920" s="10" t="inlineStr">
        <is>
          <t>Lương:10,5 Tr - 15,5 Tr VND</t>
        </is>
      </c>
      <c r="F6920" s="10" t="inlineStr">
        <is>
          <t>Tây Ninh</t>
        </is>
      </c>
      <c r="G6920" s="10" t="inlineStr">
        <is>
          <t>15-04-2026</t>
        </is>
      </c>
      <c r="H6920" s="10" t="inlineStr">
        <is>
          <t>15/04/2026</t>
        </is>
      </c>
      <c r="I6920" s="10" t="inlineStr">
        <is>
          <t>17/03/2026</t>
        </is>
      </c>
      <c r="J6920" s="10" t="inlineStr">
        <is>
          <t>Biên phiên dịch, Mới tốt nghiệp / Thực tập, Nhân sự</t>
        </is>
      </c>
      <c r="K6920" s="10" t="inlineStr">
        <is>
          <t>N/A</t>
        </is>
      </c>
      <c r="L6920" s="11">
        <f>HYPERLINK("https://careerviet.vn/vi/tim-viec-lam/quan-tri-vien-quan-ly-doanh-nghiep.35C65945.html","Xem chi tiết")</f>
        <v/>
      </c>
      <c r="M6920" s="10" t="n"/>
    </row>
    <row r="6921">
      <c r="B6921" s="7" t="n">
        <v>6919</v>
      </c>
      <c r="C6921" t="inlineStr">
        <is>
          <t>Kế toán thuế</t>
        </is>
      </c>
      <c r="D6921" t="inlineStr">
        <is>
          <t>CÔNG TY LIÊN DOANH VẬN CHUYỂN QUỐC TẾ HẢI VÂN</t>
        </is>
      </c>
      <c r="E6921" t="inlineStr">
        <is>
          <t>Lương:17 Tr - 19 Tr VND</t>
        </is>
      </c>
      <c r="F6921" t="inlineStr">
        <is>
          <t>Hà Nội</t>
        </is>
      </c>
      <c r="G6921" t="inlineStr">
        <is>
          <t>15-04-2026</t>
        </is>
      </c>
      <c r="H6921" t="inlineStr">
        <is>
          <t>15/04/2026</t>
        </is>
      </c>
      <c r="I6921" t="inlineStr">
        <is>
          <t>17/03/2026</t>
        </is>
      </c>
      <c r="J6921" t="inlineStr">
        <is>
          <t>Kế toán / Kiểm toán</t>
        </is>
      </c>
      <c r="K6921" t="inlineStr">
        <is>
          <t>3 - 5 Năm</t>
        </is>
      </c>
      <c r="L6921" s="8">
        <f>HYPERLINK("https://careerviet.vn/vi/tim-viec-lam/ke-toan-thue.35C65A9F.html","Xem chi tiết")</f>
        <v/>
      </c>
    </row>
    <row r="6922">
      <c r="B6922" s="9" t="n">
        <v>6920</v>
      </c>
      <c r="C6922" s="10" t="inlineStr">
        <is>
          <t>Nhân viên sản xuất biết tiếng hàn</t>
        </is>
      </c>
      <c r="D6922" s="10" t="inlineStr">
        <is>
          <t>Công ty TNHH Yura Corporation Vina</t>
        </is>
      </c>
      <c r="E6922" s="10" t="inlineStr">
        <is>
          <t>Lương:Cạnh tranh</t>
        </is>
      </c>
      <c r="F6922" s="10" t="inlineStr">
        <is>
          <t>Hưng Yên</t>
        </is>
      </c>
      <c r="G6922" s="10" t="inlineStr">
        <is>
          <t>15-04-2026</t>
        </is>
      </c>
      <c r="H6922" s="10" t="inlineStr">
        <is>
          <t>15/04/2026</t>
        </is>
      </c>
      <c r="I6922" s="10" t="inlineStr">
        <is>
          <t>17/03/2026</t>
        </is>
      </c>
      <c r="J6922" s="10" t="inlineStr">
        <is>
          <t>Sản xuất / Vận hành sản xuất</t>
        </is>
      </c>
      <c r="K6922" s="10" t="inlineStr">
        <is>
          <t>1 - 3 Năm</t>
        </is>
      </c>
      <c r="L6922" s="11">
        <f>HYPERLINK("https://careerviet.vn/vi/tim-viec-lam/nhan-vien-san-xuat-biet-tieng-han.35C29E53.html","Xem chi tiết")</f>
        <v/>
      </c>
      <c r="M6922" s="10" t="n"/>
    </row>
    <row r="6923">
      <c r="B6923" s="7" t="n">
        <v>6921</v>
      </c>
      <c r="C6923" t="inlineStr">
        <is>
          <t>Giám sát Thi công nội thất</t>
        </is>
      </c>
      <c r="D6923" t="inlineStr">
        <is>
          <t>Công ty Cổ Phần Dịch Vụ Hàng Không Sân Bay Tân Sơn Nhất</t>
        </is>
      </c>
      <c r="E6923" t="inlineStr">
        <is>
          <t>Lương:15 Tr - 17 Tr VND</t>
        </is>
      </c>
      <c r="F6923" t="inlineStr">
        <is>
          <t>Hồ Chí Minh</t>
        </is>
      </c>
      <c r="G6923" t="inlineStr">
        <is>
          <t>15-04-2026</t>
        </is>
      </c>
      <c r="H6923" t="inlineStr">
        <is>
          <t>15/04/2026</t>
        </is>
      </c>
      <c r="I6923" t="inlineStr">
        <is>
          <t>17/03/2026</t>
        </is>
      </c>
      <c r="J6923" t="inlineStr">
        <is>
          <t>Xây dựng, Kiến trúc, Điện / Điện tử / Điện lạnh / Điện công nghiệp</t>
        </is>
      </c>
      <c r="K6923" t="inlineStr">
        <is>
          <t>3 - 5 Năm</t>
        </is>
      </c>
      <c r="L6923" s="8">
        <f>HYPERLINK("https://careerviet.vn/vi/tim-viec-lam/giam-sat-thi-cong-noi-that.35C65A5C.html","Xem chi tiết")</f>
        <v/>
      </c>
    </row>
    <row r="6924">
      <c r="B6924" s="9" t="n">
        <v>6922</v>
      </c>
      <c r="C6924" s="10" t="inlineStr">
        <is>
          <t>Trưởng nhóm Bán sản phẩm tín chấp - Hà Nội - TA 187</t>
        </is>
      </c>
      <c r="D6924" s="10" t="inlineStr">
        <is>
          <t>Ngân Hàng TMCP Việt Nam Thịnh Vượng - VPBANK</t>
        </is>
      </c>
      <c r="E6924" s="10" t="inlineStr">
        <is>
          <t>Lương:20 Tr - 70 Tr VND</t>
        </is>
      </c>
      <c r="F6924" s="10" t="inlineStr">
        <is>
          <t>Hà Nội</t>
        </is>
      </c>
      <c r="G6924" s="10" t="inlineStr">
        <is>
          <t>15-04-2026</t>
        </is>
      </c>
      <c r="H6924" s="10" t="inlineStr">
        <is>
          <t>15/04/2026</t>
        </is>
      </c>
      <c r="I6924" s="10" t="inlineStr">
        <is>
          <t>17/03/2026</t>
        </is>
      </c>
      <c r="J6924" s="10" t="inlineStr">
        <is>
          <t>Ngân hàng</t>
        </is>
      </c>
      <c r="K6924" s="10" t="inlineStr">
        <is>
          <t>Trên 3 Năm</t>
        </is>
      </c>
      <c r="L6924" s="11">
        <f>HYPERLINK("https://careerviet.vn/vi/tim-viec-lam/truong-nhom-ban-san-pham-tin-chap-ha-noi-ta-187.35C65B8C.html","Xem chi tiết")</f>
        <v/>
      </c>
      <c r="M6924" s="10" t="n"/>
    </row>
    <row r="6925">
      <c r="B6925" s="7" t="n">
        <v>6923</v>
      </c>
      <c r="C6925" t="inlineStr">
        <is>
          <t>Trưởng ca Sản xuất B2C (Làm việc tại Tây Ninh)</t>
        </is>
      </c>
      <c r="D6925" t="inlineStr">
        <is>
          <t>Công ty CP Thành Thành Công - Biên Hòa</t>
        </is>
      </c>
      <c r="E6925" t="inlineStr">
        <is>
          <t>Lương:Cạnh tranh</t>
        </is>
      </c>
      <c r="F6925" t="inlineStr">
        <is>
          <t>Tây Ninh</t>
        </is>
      </c>
      <c r="G6925" t="inlineStr">
        <is>
          <t>15-04-2026</t>
        </is>
      </c>
      <c r="H6925" t="inlineStr">
        <is>
          <t>15/04/2026</t>
        </is>
      </c>
      <c r="I6925" t="inlineStr">
        <is>
          <t>17/03/2026</t>
        </is>
      </c>
      <c r="J6925" t="inlineStr">
        <is>
          <t>An toàn lao động, Bảo trì / Sửa chữa, Công nghệ thực phẩm / Dinh dưỡng</t>
        </is>
      </c>
      <c r="K6925" t="inlineStr">
        <is>
          <t>2 - 3 Năm</t>
        </is>
      </c>
      <c r="L6925" s="8">
        <f>HYPERLINK("https://careerviet.vn/vi/tim-viec-lam/truong-ca-san-xuat-b2c-lam-viec-tai-tay-ninh.35C65B55.html","Xem chi tiết")</f>
        <v/>
      </c>
    </row>
    <row r="6926">
      <c r="B6926" s="9" t="n">
        <v>6924</v>
      </c>
      <c r="C6926" s="10" t="inlineStr">
        <is>
          <t>[PGDL Thủ Đức] CV/CVC/GĐ Quan hệ Khách hàng Cá nhân</t>
        </is>
      </c>
      <c r="D6926" s="10" t="inlineStr">
        <is>
          <t>Ngân hàng TMCP Lộc Phát Việt Nam (LPBank)</t>
        </is>
      </c>
      <c r="E6926" s="10" t="inlineStr">
        <is>
          <t>Lương:Cạnh tranh</t>
        </is>
      </c>
      <c r="F6926" s="10" t="inlineStr">
        <is>
          <t>Hồ Chí Minh</t>
        </is>
      </c>
      <c r="G6926" s="10" t="inlineStr">
        <is>
          <t>15-04-2026</t>
        </is>
      </c>
      <c r="H6926" s="10" t="inlineStr">
        <is>
          <t>15/04/2026</t>
        </is>
      </c>
      <c r="I6926" s="10" t="inlineStr">
        <is>
          <t>17/03/2026</t>
        </is>
      </c>
      <c r="J6926" s="10" t="inlineStr">
        <is>
          <t>Bán hàng / Kinh doanh, Kế toán / Kiểm toán, Ngân hàng</t>
        </is>
      </c>
      <c r="K6926" s="10" t="inlineStr">
        <is>
          <t>Trên 1 Năm</t>
        </is>
      </c>
      <c r="L6926" s="11">
        <f>HYPERLINK("https://careerviet.vn/vi/tim-viec-lam/pgdl-thu-duc-cv-cvc-gd-quan-he-khach-hang-ca-nhan.35C65B47.html","Xem chi tiết")</f>
        <v/>
      </c>
      <c r="M6926" s="10" t="n"/>
    </row>
    <row r="6927">
      <c r="B6927" s="7" t="n">
        <v>6925</v>
      </c>
      <c r="C6927" t="inlineStr">
        <is>
          <t>Chuyên viên Công nghệ Sản xuất Đường mía</t>
        </is>
      </c>
      <c r="D6927" t="inlineStr">
        <is>
          <t>Công ty CP Thành Thành Công - Biên Hòa</t>
        </is>
      </c>
      <c r="E6927" t="inlineStr">
        <is>
          <t>Lương:Cạnh tranh</t>
        </is>
      </c>
      <c r="F6927" t="inlineStr">
        <is>
          <t>Kratie</t>
        </is>
      </c>
      <c r="G6927" t="inlineStr">
        <is>
          <t>15-04-2026</t>
        </is>
      </c>
      <c r="H6927" t="inlineStr">
        <is>
          <t>15/04/2026</t>
        </is>
      </c>
      <c r="I6927" t="inlineStr">
        <is>
          <t>17/03/2026</t>
        </is>
      </c>
      <c r="J6927" t="inlineStr">
        <is>
          <t>Quản lý chất lượng (QA/QC)</t>
        </is>
      </c>
      <c r="K6927" t="inlineStr">
        <is>
          <t>1 - 2 Năm</t>
        </is>
      </c>
      <c r="L6927" s="8">
        <f>HYPERLINK("https://careerviet.vn/vi/tim-viec-lam/chuyen-vien-cong-nghe-san-xuat-duong-mia.35C65A8F.html","Xem chi tiết")</f>
        <v/>
      </c>
    </row>
    <row r="6928">
      <c r="B6928" s="9" t="n">
        <v>6926</v>
      </c>
      <c r="C6928" s="10" t="inlineStr">
        <is>
          <t>126803 - Nhân Viên Kinh Doanh Tiếng Nhật - Ngành Nhựa</t>
        </is>
      </c>
      <c r="D6928" s="10" t="inlineStr">
        <is>
          <t>RGF HR Agent Vietnam Co., LTD</t>
        </is>
      </c>
      <c r="E6928" s="10" t="inlineStr">
        <is>
          <t>Lương:Cạnh tranh</t>
        </is>
      </c>
      <c r="F6928" s="10" t="inlineStr">
        <is>
          <t>Bình Dương</t>
        </is>
      </c>
      <c r="G6928" s="10" t="inlineStr">
        <is>
          <t>15-04-2026</t>
        </is>
      </c>
      <c r="H6928" s="10" t="inlineStr">
        <is>
          <t>15/04/2026</t>
        </is>
      </c>
      <c r="I6928" s="10" t="inlineStr">
        <is>
          <t>17/03/2026</t>
        </is>
      </c>
      <c r="J6928" s="10" t="inlineStr">
        <is>
          <t>Bán hàng / Kinh doanh</t>
        </is>
      </c>
      <c r="K6928" s="10" t="inlineStr">
        <is>
          <t>Trên 2 Năm</t>
        </is>
      </c>
      <c r="L6928" s="11">
        <f>HYPERLINK("https://careerviet.vn/vi/tim-viec-lam/126803-nhan-vien-kinh-doanh-tieng-nhat-nganh-nhua.35C65AFF.html","Xem chi tiết")</f>
        <v/>
      </c>
      <c r="M6928" s="10" t="n"/>
    </row>
    <row r="6929">
      <c r="B6929" s="7" t="n">
        <v>6927</v>
      </c>
      <c r="C6929" t="inlineStr">
        <is>
          <t>Trưởng Bộ Phận Marketing (Head Of Marketing)</t>
        </is>
      </c>
      <c r="D6929" t="inlineStr">
        <is>
          <t>Công Ty Cổ Phần Tập Đoàn Trần Anh Long An</t>
        </is>
      </c>
      <c r="E6929" t="inlineStr">
        <is>
          <t>Lương:30 Tr - 40 Tr VND</t>
        </is>
      </c>
      <c r="F6929" t="inlineStr">
        <is>
          <t>Long An</t>
        </is>
      </c>
      <c r="G6929" t="inlineStr">
        <is>
          <t>15-04-2026</t>
        </is>
      </c>
      <c r="H6929" t="inlineStr">
        <is>
          <t>15/04/2026</t>
        </is>
      </c>
      <c r="I6929" t="inlineStr">
        <is>
          <t>17/03/2026</t>
        </is>
      </c>
      <c r="J6929" t="inlineStr">
        <is>
          <t>Tiếp thị / Marketing, Tiếp thị trực tuyến, Quản lý điều hành</t>
        </is>
      </c>
      <c r="K6929" t="inlineStr">
        <is>
          <t>7 - 10 Năm</t>
        </is>
      </c>
      <c r="L6929" s="8">
        <f>HYPERLINK("https://careerviet.vn/vi/tim-viec-lam/truong-bo-phan-marketing-head-of-marketing.35C65B8B.html","Xem chi tiết")</f>
        <v/>
      </c>
    </row>
    <row r="6930">
      <c r="B6930" s="9" t="n">
        <v>6928</v>
      </c>
      <c r="C6930" s="10" t="inlineStr">
        <is>
          <t>Dược sĩ Kho làm việc tại Gò Đen (Thời vụ 6 tháng)</t>
        </is>
      </c>
      <c r="D6930" s="10" t="inlineStr">
        <is>
          <t>Công Ty Cổ Phần Vacxin Việt Nam</t>
        </is>
      </c>
      <c r="E6930" s="10" t="inlineStr">
        <is>
          <t>Lương:7 Tr - 9 Tr VND</t>
        </is>
      </c>
      <c r="F6930" s="10" t="inlineStr">
        <is>
          <t>Long An</t>
        </is>
      </c>
      <c r="G6930" s="10" t="inlineStr">
        <is>
          <t>15-04-2026</t>
        </is>
      </c>
      <c r="H6930" s="10" t="inlineStr">
        <is>
          <t>15/04/2026</t>
        </is>
      </c>
      <c r="I6930" s="10" t="inlineStr">
        <is>
          <t>17/03/2026</t>
        </is>
      </c>
      <c r="J6930" s="10" t="inlineStr">
        <is>
          <t>Dược phẩm/ Hóa Mỹ Phẩm, Y tế / Chăm sóc sức khỏe / Thẩm mỹ / Làm đẹp, Vận chuyển / Giao nhận / Kho vận</t>
        </is>
      </c>
      <c r="K6930" s="10" t="inlineStr">
        <is>
          <t>Lên đến 1 Năm</t>
        </is>
      </c>
      <c r="L6930" s="11">
        <f>HYPERLINK("https://careerviet.vn/vi/tim-viec-lam/duoc-si-kho-lam-viec-tai-go-den-thoi-vu-6-thang.35C65AE9.html","Xem chi tiết")</f>
        <v/>
      </c>
      <c r="M6930" s="10" t="n"/>
    </row>
    <row r="6931">
      <c r="B6931" s="7" t="n">
        <v>6929</v>
      </c>
      <c r="C6931" t="inlineStr">
        <is>
          <t>Trợ lý sản xuất/ Production Assistant Staff</t>
        </is>
      </c>
      <c r="D6931" t="inlineStr">
        <is>
          <t>CÔNG TY TRÁCH NHIỆM HỮU HẠN AK VINA</t>
        </is>
      </c>
      <c r="E6931" t="inlineStr">
        <is>
          <t>Lương:Cạnh tranh</t>
        </is>
      </c>
      <c r="F6931" t="inlineStr">
        <is>
          <t>Đồng Nai</t>
        </is>
      </c>
      <c r="G6931" t="inlineStr">
        <is>
          <t>15-04-2026</t>
        </is>
      </c>
      <c r="H6931" t="inlineStr">
        <is>
          <t>15/04/2026</t>
        </is>
      </c>
      <c r="I6931" t="inlineStr">
        <is>
          <t>17/03/2026</t>
        </is>
      </c>
      <c r="J6931" t="inlineStr">
        <is>
          <t>Hóa học, Sản xuất / Vận hành sản xuất, Ngành khác</t>
        </is>
      </c>
      <c r="K6931" t="inlineStr">
        <is>
          <t>1 - 4 Năm</t>
        </is>
      </c>
      <c r="L6931" s="8">
        <f>HYPERLINK("https://careerviet.vn/vi/tim-viec-lam/tro-ly-san-xuat-production-assistant-staff.35C65A46.html","Xem chi tiết")</f>
        <v/>
      </c>
    </row>
    <row r="6932">
      <c r="B6932" s="9" t="n">
        <v>6930</v>
      </c>
      <c r="C6932" s="10" t="inlineStr">
        <is>
          <t>Truck Coordinator - Điều phối vận tải</t>
        </is>
      </c>
      <c r="D6932" s="10" t="inlineStr">
        <is>
          <t>ITL Freight Management</t>
        </is>
      </c>
      <c r="E6932" s="10" t="inlineStr">
        <is>
          <t>Lương:Cạnh tranh</t>
        </is>
      </c>
      <c r="F6932" s="10" t="inlineStr">
        <is>
          <t>Hồ Chí Minh</t>
        </is>
      </c>
      <c r="G6932" s="10" t="inlineStr">
        <is>
          <t>15-04-2026</t>
        </is>
      </c>
      <c r="H6932" s="10" t="inlineStr">
        <is>
          <t>15/04/2026</t>
        </is>
      </c>
      <c r="I6932" s="10" t="inlineStr">
        <is>
          <t>17/03/2026</t>
        </is>
      </c>
      <c r="J6932" s="10" t="inlineStr">
        <is>
          <t>Vận chuyển / Giao nhận / Kho vận</t>
        </is>
      </c>
      <c r="K6932" s="10" t="inlineStr">
        <is>
          <t>Trên 1 Năm</t>
        </is>
      </c>
      <c r="L6932" s="11">
        <f>HYPERLINK("https://careerviet.vn/vi/tim-viec-lam/truck-coordinator-dieu-phoi-van-tai.35C65476.html","Xem chi tiết")</f>
        <v/>
      </c>
      <c r="M6932" s="10" t="n"/>
    </row>
    <row r="6933">
      <c r="B6933" s="7" t="n">
        <v>6931</v>
      </c>
      <c r="C6933" t="inlineStr">
        <is>
          <t>Nhân Viên Kinh Doanh FMCG Khu Vực Hà Nam</t>
        </is>
      </c>
      <c r="D6933" t="inlineStr">
        <is>
          <t>Công ty TNHH Chế biến thực phẩm Đông Đô</t>
        </is>
      </c>
      <c r="E6933" t="inlineStr">
        <is>
          <t>Lương:13 Tr - 16 Tr VND</t>
        </is>
      </c>
      <c r="F6933" t="inlineStr">
        <is>
          <t>Hà Nam</t>
        </is>
      </c>
      <c r="G6933" t="inlineStr">
        <is>
          <t>15-04-2026</t>
        </is>
      </c>
      <c r="H6933" t="inlineStr">
        <is>
          <t>15/04/2026</t>
        </is>
      </c>
      <c r="I6933" t="inlineStr">
        <is>
          <t>17/03/2026</t>
        </is>
      </c>
      <c r="J6933" t="inlineStr">
        <is>
          <t>Bán lẻ / Bán sỉ, Bán hàng / Kinh doanh, Thực phẩm &amp; Đồ uống</t>
        </is>
      </c>
      <c r="K6933" t="inlineStr">
        <is>
          <t>1 - 2 Năm</t>
        </is>
      </c>
      <c r="L6933" s="8">
        <f>HYPERLINK("https://careerviet.vn/vi/tim-viec-lam/nhan-vien-kinh-doanh-fmcg-khu-vuc-ha-nam.35C65B68.html","Xem chi tiết")</f>
        <v/>
      </c>
    </row>
    <row r="6934">
      <c r="B6934" s="9" t="n">
        <v>6932</v>
      </c>
      <c r="C6934" s="10" t="inlineStr">
        <is>
          <t>Phó Giám đốc PGD phụ trách vận hành PGD Thành Đông - [BAC A BANK - Chi nhánh Hải Dương]</t>
        </is>
      </c>
      <c r="D6934" s="10" t="inlineStr">
        <is>
          <t>Ngân Hàng Thương mại cổ phần Bắc Á- BAC A BANK</t>
        </is>
      </c>
      <c r="E6934" s="10" t="inlineStr">
        <is>
          <t>Lương:Cạnh tranh</t>
        </is>
      </c>
      <c r="F6934" s="10" t="inlineStr">
        <is>
          <t>Hải Dương</t>
        </is>
      </c>
      <c r="G6934" s="10" t="inlineStr">
        <is>
          <t>15-04-2026</t>
        </is>
      </c>
      <c r="H6934" s="10" t="inlineStr">
        <is>
          <t>15/04/2026</t>
        </is>
      </c>
      <c r="I6934" s="10" t="inlineStr">
        <is>
          <t>17/03/2026</t>
        </is>
      </c>
      <c r="J6934" s="10" t="inlineStr">
        <is>
          <t>Ngân hàng</t>
        </is>
      </c>
      <c r="K6934" s="10" t="inlineStr">
        <is>
          <t>3 - 5 Năm</t>
        </is>
      </c>
      <c r="L6934" s="11">
        <f>HYPERLINK("https://careerviet.vn/vi/tim-viec-lam/pho-giam-doc-pgd-phu-trach-van-hanh-pgd-thanh-dong-bac-a-bank-chi-nhanh-hai-duong.35C65B1A.html","Xem chi tiết")</f>
        <v/>
      </c>
      <c r="M6934" s="10" t="n"/>
    </row>
    <row r="6935">
      <c r="B6935" s="7" t="n">
        <v>6933</v>
      </c>
      <c r="C6935" t="inlineStr">
        <is>
          <t>GIÁM SÁT BÁN HÀNG KÊNH SIÊU THỊ</t>
        </is>
      </c>
      <c r="D6935" t="inlineStr">
        <is>
          <t>Công Ty TNHH Thương Mại K&amp;K Toàn Cầu</t>
        </is>
      </c>
      <c r="E6935" t="inlineStr">
        <is>
          <t>Lương:10 Tr - 15 Tr VND</t>
        </is>
      </c>
      <c r="F6935" t="inlineStr">
        <is>
          <t>Hà Nội</t>
        </is>
      </c>
      <c r="G6935" t="inlineStr">
        <is>
          <t>15-04-2026</t>
        </is>
      </c>
      <c r="H6935" t="inlineStr">
        <is>
          <t>15/04/2026</t>
        </is>
      </c>
      <c r="I6935" t="inlineStr">
        <is>
          <t>17/03/2026</t>
        </is>
      </c>
      <c r="J6935" t="inlineStr">
        <is>
          <t>Tiếp thị / Marketing, Bán hàng / Kinh doanh, Thực phẩm &amp; Đồ uống</t>
        </is>
      </c>
      <c r="K6935" t="inlineStr">
        <is>
          <t>2 - 3 Năm</t>
        </is>
      </c>
      <c r="L6935" s="8">
        <f>HYPERLINK("https://careerviet.vn/vi/tim-viec-lam/giam-sat-ban-hang-kenh-sieu-thi.35C65ACE.html","Xem chi tiết")</f>
        <v/>
      </c>
    </row>
    <row r="6936">
      <c r="B6936" s="9" t="n">
        <v>6934</v>
      </c>
      <c r="C6936" s="10" t="inlineStr">
        <is>
          <t>Nhân Viên Kế Toán</t>
        </is>
      </c>
      <c r="D6936" s="10" t="inlineStr">
        <is>
          <t>CÔNG TY CỔ PHẦN WEI XERN SIN VIỆT NAM</t>
        </is>
      </c>
      <c r="E6936" s="10" t="inlineStr">
        <is>
          <t>Lương:Cạnh tranh</t>
        </is>
      </c>
      <c r="F6936" s="10" t="inlineStr">
        <is>
          <t>Quảng Nam</t>
        </is>
      </c>
      <c r="G6936" s="10" t="inlineStr">
        <is>
          <t>15-04-2026</t>
        </is>
      </c>
      <c r="H6936" s="10" t="inlineStr">
        <is>
          <t>15/04/2026</t>
        </is>
      </c>
      <c r="I6936" s="10" t="inlineStr">
        <is>
          <t>17/03/2026</t>
        </is>
      </c>
      <c r="J6936" s="10" t="inlineStr">
        <is>
          <t>Kế toán / Kiểm toán, Sản xuất / Vận hành sản xuất, Xây dựng</t>
        </is>
      </c>
      <c r="K6936" s="10" t="inlineStr">
        <is>
          <t>Trên 2 Năm</t>
        </is>
      </c>
      <c r="L6936" s="11">
        <f>HYPERLINK("https://careerviet.vn/vi/tim-viec-lam/nhan-vien-ke-toan.35C65A5A.html","Xem chi tiết")</f>
        <v/>
      </c>
      <c r="M6936" s="10" t="n"/>
    </row>
    <row r="6937">
      <c r="B6937" s="7" t="n">
        <v>6935</v>
      </c>
      <c r="C6937" t="inlineStr">
        <is>
          <t>Nhân Viên Kế Toán Dịch Vụ - Quận 2</t>
        </is>
      </c>
      <c r="D6937" t="inlineStr">
        <is>
          <t>Công ty TNHH Sản xuất Thương mại &amp; Dịch vụ Hoa Xinh</t>
        </is>
      </c>
      <c r="E6937" t="inlineStr">
        <is>
          <t>Lương:15 Tr - 20 Tr VND</t>
        </is>
      </c>
      <c r="F6937" t="inlineStr">
        <is>
          <t>Hồ Chí Minh</t>
        </is>
      </c>
      <c r="G6937" t="inlineStr">
        <is>
          <t>15-04-2026</t>
        </is>
      </c>
      <c r="H6937" t="inlineStr">
        <is>
          <t>15/04/2026</t>
        </is>
      </c>
      <c r="I6937" t="inlineStr">
        <is>
          <t>17/03/2026</t>
        </is>
      </c>
      <c r="J6937" t="inlineStr">
        <is>
          <t>Kế toán / Kiểm toán, Ngân hàng</t>
        </is>
      </c>
      <c r="K6937" t="inlineStr">
        <is>
          <t>1 - 5 Năm</t>
        </is>
      </c>
      <c r="L6937" s="8">
        <f>HYPERLINK("https://careerviet.vn/vi/tim-viec-lam/nhan-vien-ke-toan-dich-vu-quan-2.35C65A0B.html","Xem chi tiết")</f>
        <v/>
      </c>
    </row>
    <row r="6938">
      <c r="B6938" s="9" t="n">
        <v>6936</v>
      </c>
      <c r="C6938" s="10" t="inlineStr">
        <is>
          <t>Trưởng phòng Cung ứng - Đấu thầu</t>
        </is>
      </c>
      <c r="D6938" s="10" t="inlineStr">
        <is>
          <t>CÔNG TY CỔ PHẦN VĨNH QUANG</t>
        </is>
      </c>
      <c r="E6938" s="10" t="inlineStr">
        <is>
          <t>Lương:Cạnh tranh</t>
        </is>
      </c>
      <c r="F6938" s="10" t="inlineStr">
        <is>
          <t>Hồ Chí Minh</t>
        </is>
      </c>
      <c r="G6938" s="10" t="inlineStr">
        <is>
          <t>15-04-2026</t>
        </is>
      </c>
      <c r="H6938" s="10" t="inlineStr">
        <is>
          <t>15/04/2026</t>
        </is>
      </c>
      <c r="I6938" s="10" t="inlineStr">
        <is>
          <t>17/03/2026</t>
        </is>
      </c>
      <c r="J6938" s="10" t="inlineStr">
        <is>
          <t>Bất động sản, Kiến trúc, Xây dựng</t>
        </is>
      </c>
      <c r="K6938" s="10" t="inlineStr">
        <is>
          <t>7 - 15 Năm</t>
        </is>
      </c>
      <c r="L6938" s="11">
        <f>HYPERLINK("https://careerviet.vn/vi/tim-viec-lam/truong-phong-cung-ung-dau-thau.35C65B28.html","Xem chi tiết")</f>
        <v/>
      </c>
      <c r="M6938" s="10" t="n"/>
    </row>
    <row r="6939">
      <c r="B6939" s="7" t="n">
        <v>6937</v>
      </c>
      <c r="C6939" t="inlineStr">
        <is>
          <t>CVC/CVCC Bán hàng trực tiếp - Quảng Ninh - TA 187</t>
        </is>
      </c>
      <c r="D6939" t="inlineStr">
        <is>
          <t>Ngân Hàng TMCP Việt Nam Thịnh Vượng - VPBANK</t>
        </is>
      </c>
      <c r="E6939" t="inlineStr">
        <is>
          <t>Lương:20 Tr - 50 Tr VND</t>
        </is>
      </c>
      <c r="F6939" t="inlineStr">
        <is>
          <t>Quảng Ninh</t>
        </is>
      </c>
      <c r="G6939" t="inlineStr">
        <is>
          <t>15-04-2026</t>
        </is>
      </c>
      <c r="H6939" t="inlineStr">
        <is>
          <t>15/04/2026</t>
        </is>
      </c>
      <c r="I6939" t="inlineStr">
        <is>
          <t>17/03/2026</t>
        </is>
      </c>
      <c r="J6939" t="inlineStr">
        <is>
          <t>Ngân hàng</t>
        </is>
      </c>
      <c r="K6939" t="inlineStr">
        <is>
          <t>Trên 2 Năm</t>
        </is>
      </c>
      <c r="L6939" s="8">
        <f>HYPERLINK("https://careerviet.vn/vi/tim-viec-lam/cvc-cvcc-ban-hang-truc-tiep-quang-ninh-ta-187.35C65B80.html","Xem chi tiết")</f>
        <v/>
      </c>
    </row>
    <row r="6940">
      <c r="B6940" s="9" t="n">
        <v>6938</v>
      </c>
      <c r="C6940" s="10" t="inlineStr">
        <is>
          <t>KỸ SƯ KẾT CẤU CAO CẤP</t>
        </is>
      </c>
      <c r="D6940" s="10" t="inlineStr">
        <is>
          <t>HR Vietnam’s ESS Client</t>
        </is>
      </c>
      <c r="E6940" s="10" t="inlineStr">
        <is>
          <t>Lương:Cạnh tranh</t>
        </is>
      </c>
      <c r="F6940" s="10" t="inlineStr">
        <is>
          <t>Nam ĐịnhNinh Bình</t>
        </is>
      </c>
      <c r="G6940" s="10" t="inlineStr">
        <is>
          <t>15-04-2026</t>
        </is>
      </c>
      <c r="H6940" s="10" t="inlineStr">
        <is>
          <t>15/04/2026</t>
        </is>
      </c>
      <c r="I6940" s="10" t="inlineStr">
        <is>
          <t>17/03/2026</t>
        </is>
      </c>
      <c r="J6940" s="10" t="inlineStr">
        <is>
          <t>Xây dựng</t>
        </is>
      </c>
      <c r="K6940" s="10" t="inlineStr">
        <is>
          <t>5 - 6 Năm</t>
        </is>
      </c>
      <c r="L6940" s="11">
        <f>HYPERLINK("https://careerviet.vn/vi/tim-viec-lam/ky-su-ket-cau-cao-cap.35C65B81.html","Xem chi tiết")</f>
        <v/>
      </c>
      <c r="M6940" s="10" t="n"/>
    </row>
    <row r="6941">
      <c r="B6941" s="7" t="n">
        <v>6939</v>
      </c>
      <c r="C6941" t="inlineStr">
        <is>
          <t>CHUYÊN VIÊN VĂN PHÒNG KHU VỰC (TP. HỒ CHÍ MINH)</t>
        </is>
      </c>
      <c r="D6941" t="inlineStr">
        <is>
          <t>Ngân Hàng Thương Mại Cổ Phần Nam Á (Nam A Bank)</t>
        </is>
      </c>
      <c r="E6941" t="inlineStr">
        <is>
          <t>Lương:Cạnh tranh</t>
        </is>
      </c>
      <c r="F6941" t="inlineStr">
        <is>
          <t>Hồ Chí Minh</t>
        </is>
      </c>
      <c r="G6941" t="inlineStr">
        <is>
          <t>15-04-2026</t>
        </is>
      </c>
      <c r="H6941" t="inlineStr">
        <is>
          <t>15/04/2026</t>
        </is>
      </c>
      <c r="I6941" t="inlineStr">
        <is>
          <t>17/03/2026</t>
        </is>
      </c>
      <c r="J6941" t="inlineStr">
        <is>
          <t>Ngân hàng, Tài chính / Đầu tư, Bán hàng / Kinh doanh</t>
        </is>
      </c>
      <c r="K6941" t="inlineStr">
        <is>
          <t>1 - 2 Năm</t>
        </is>
      </c>
      <c r="L6941" s="8">
        <f>HYPERLINK("https://careerviet.vn/vi/tim-viec-lam/chuyen-vien-van-phong-khu-vuc-tp-ho-chi-minh.35C68B78.html","Xem chi tiết")</f>
        <v/>
      </c>
    </row>
    <row r="6942">
      <c r="B6942" s="9" t="n">
        <v>6940</v>
      </c>
      <c r="C6942" s="10" t="inlineStr">
        <is>
          <t>Kế toán dự án</t>
        </is>
      </c>
      <c r="D6942" s="10" t="inlineStr">
        <is>
          <t>Công Ty Cổ Phần Xây Dựng CDC</t>
        </is>
      </c>
      <c r="E6942" s="10" t="inlineStr">
        <is>
          <t>Lương:Cạnh tranh</t>
        </is>
      </c>
      <c r="F6942" s="10" t="inlineStr">
        <is>
          <t>Quảng Ninh</t>
        </is>
      </c>
      <c r="G6942" s="10" t="inlineStr">
        <is>
          <t>15-04-2026</t>
        </is>
      </c>
      <c r="H6942" s="10" t="inlineStr">
        <is>
          <t>15/04/2026</t>
        </is>
      </c>
      <c r="I6942" s="10" t="inlineStr">
        <is>
          <t>17/03/2026</t>
        </is>
      </c>
      <c r="J6942" s="10" t="inlineStr">
        <is>
          <t>Xây dựng</t>
        </is>
      </c>
      <c r="K6942" s="10" t="inlineStr">
        <is>
          <t>2 - 5 Năm</t>
        </is>
      </c>
      <c r="L6942" s="11">
        <f>HYPERLINK("https://careerviet.vn/vi/tim-viec-lam/ke-toan-du-an.35C68B4F.html","Xem chi tiết")</f>
        <v/>
      </c>
      <c r="M6942" s="10" t="n"/>
    </row>
    <row r="6943">
      <c r="B6943" s="7" t="n">
        <v>6941</v>
      </c>
      <c r="C6943" t="inlineStr">
        <is>
          <t>[Hà Nội] Cộng tác viên - Phòng Sản phẩm Ngân hàng số/Khối Ngân hàng Doanh nghiệp</t>
        </is>
      </c>
      <c r="D6943" t="inlineStr">
        <is>
          <t>Ngân Hàng TMCP Tiên Phong (TPBank)</t>
        </is>
      </c>
      <c r="E6943" t="inlineStr">
        <is>
          <t>Lương:5 Tr - 6 Tr VND</t>
        </is>
      </c>
      <c r="F6943" t="inlineStr">
        <is>
          <t>Hà Nội</t>
        </is>
      </c>
      <c r="G6943" t="inlineStr">
        <is>
          <t>15-04-2026</t>
        </is>
      </c>
      <c r="H6943" t="inlineStr">
        <is>
          <t>15/04/2026</t>
        </is>
      </c>
      <c r="I6943" t="inlineStr">
        <is>
          <t>17/03/2026</t>
        </is>
      </c>
      <c r="J6943" t="inlineStr">
        <is>
          <t>Ngân hàng, Mới tốt nghiệp / Thực tập</t>
        </is>
      </c>
      <c r="K6943" t="inlineStr">
        <is>
          <t>N/A</t>
        </is>
      </c>
      <c r="L6943" s="8">
        <f>HYPERLINK("https://careerviet.vn/vi/tim-viec-lam/ha-noi-cong-tac-vien-phong-san-pham-ngan-hang-so-khoi-ngan-hang-doanh-nghiep.35C65A23.html","Xem chi tiết")</f>
        <v/>
      </c>
    </row>
    <row r="6944">
      <c r="B6944" s="9" t="n">
        <v>6942</v>
      </c>
      <c r="C6944" s="10" t="inlineStr">
        <is>
          <t>Chuyên viên kiểm soát Hồ sơ thanh quyết toán</t>
        </is>
      </c>
      <c r="D6944" s="10" t="inlineStr">
        <is>
          <t>Công Ty Cổ Phần Xây Dựng CDC</t>
        </is>
      </c>
      <c r="E6944" s="10" t="inlineStr">
        <is>
          <t>Lương:Cạnh tranh</t>
        </is>
      </c>
      <c r="F6944" s="10" t="inlineStr">
        <is>
          <t>Hà Nội</t>
        </is>
      </c>
      <c r="G6944" s="10" t="inlineStr">
        <is>
          <t>15-04-2026</t>
        </is>
      </c>
      <c r="H6944" s="10" t="inlineStr">
        <is>
          <t>15/04/2026</t>
        </is>
      </c>
      <c r="I6944" s="10" t="inlineStr">
        <is>
          <t>17/03/2026</t>
        </is>
      </c>
      <c r="J6944" s="10" t="inlineStr">
        <is>
          <t>Xây dựng</t>
        </is>
      </c>
      <c r="K6944" s="10" t="inlineStr">
        <is>
          <t>2 - 5 Năm</t>
        </is>
      </c>
      <c r="L6944" s="11">
        <f>HYPERLINK("https://careerviet.vn/vi/tim-viec-lam/chuyen-vien-kiem-soat-ho-so-thanh-quyet-toan.35C68B51.html","Xem chi tiết")</f>
        <v/>
      </c>
      <c r="M6944" s="10" t="n"/>
    </row>
    <row r="6945">
      <c r="B6945" s="7" t="n">
        <v>6943</v>
      </c>
      <c r="C6945" t="inlineStr">
        <is>
          <t>Specialist - Mechanic/ Chuyên viên - Cơ khí</t>
        </is>
      </c>
      <c r="D6945" t="inlineStr">
        <is>
          <t>Công ty Cổ Phần Giấy Sài Gòn - SAIGON PAPER CORPORATION</t>
        </is>
      </c>
      <c r="E6945" t="inlineStr">
        <is>
          <t>Lương:Cạnh tranh</t>
        </is>
      </c>
      <c r="F6945" t="inlineStr">
        <is>
          <t>Bà Rịa - Vũng Tàu</t>
        </is>
      </c>
      <c r="G6945" t="inlineStr">
        <is>
          <t>15-04-2026</t>
        </is>
      </c>
      <c r="H6945" t="inlineStr">
        <is>
          <t>15/04/2026</t>
        </is>
      </c>
      <c r="I6945" t="inlineStr">
        <is>
          <t>17/03/2026</t>
        </is>
      </c>
      <c r="J6945" t="inlineStr">
        <is>
          <t>Cơ khí / Ô tô / Tự động hóa, Bảo trì / Sửa chữa</t>
        </is>
      </c>
      <c r="K6945" t="inlineStr">
        <is>
          <t>2 - 3 Năm</t>
        </is>
      </c>
      <c r="L6945" s="8">
        <f>HYPERLINK("https://careerviet.vn/vi/tim-viec-lam/specialist-mechanic-chuyen-vien-co-khi.35C68B48.html","Xem chi tiết")</f>
        <v/>
      </c>
    </row>
    <row r="6946">
      <c r="B6946" s="9" t="n">
        <v>6944</v>
      </c>
      <c r="C6946" s="10" t="inlineStr">
        <is>
          <t>Cán bộ kỹ thuật</t>
        </is>
      </c>
      <c r="D6946" s="10" t="inlineStr">
        <is>
          <t>Công Ty Cổ Phần Xây Dựng CDC</t>
        </is>
      </c>
      <c r="E6946" s="10" t="inlineStr">
        <is>
          <t>Lương:15 Tr - 23 Tr VND</t>
        </is>
      </c>
      <c r="F6946" s="10" t="inlineStr">
        <is>
          <t>Quảng NinhNghệ AnThừa Thiên- Huế</t>
        </is>
      </c>
      <c r="G6946" s="10" t="inlineStr">
        <is>
          <t>15-04-2026</t>
        </is>
      </c>
      <c r="H6946" s="10" t="inlineStr">
        <is>
          <t>15/04/2026</t>
        </is>
      </c>
      <c r="I6946" s="10" t="inlineStr">
        <is>
          <t>17/03/2026</t>
        </is>
      </c>
      <c r="J6946" s="10" t="inlineStr">
        <is>
          <t>Xây dựng</t>
        </is>
      </c>
      <c r="K6946" s="10" t="inlineStr">
        <is>
          <t>2 - 5 Năm</t>
        </is>
      </c>
      <c r="L6946" s="11">
        <f>HYPERLINK("https://careerviet.vn/vi/tim-viec-lam/can-bo-ky-thuat.35C68B4E.html","Xem chi tiết")</f>
        <v/>
      </c>
      <c r="M6946" s="10" t="n"/>
    </row>
    <row r="6947">
      <c r="B6947" s="7" t="n">
        <v>6945</v>
      </c>
      <c r="C6947" t="inlineStr">
        <is>
          <t>Trưởng Phòng Kinh Doanh</t>
        </is>
      </c>
      <c r="D6947" t="inlineStr">
        <is>
          <t>Công ty Cổ phần Nha khoa quốc tế Sing</t>
        </is>
      </c>
      <c r="E6947" t="inlineStr">
        <is>
          <t>Lương:Cạnh tranh</t>
        </is>
      </c>
      <c r="F6947" t="inlineStr">
        <is>
          <t>Hà Nội</t>
        </is>
      </c>
      <c r="G6947" t="inlineStr">
        <is>
          <t>15-04-2026</t>
        </is>
      </c>
      <c r="H6947" t="inlineStr">
        <is>
          <t>15/04/2026</t>
        </is>
      </c>
      <c r="I6947" t="inlineStr">
        <is>
          <t>17/03/2026</t>
        </is>
      </c>
      <c r="J6947" t="inlineStr">
        <is>
          <t>Bán hàng / Kinh doanh, Y tế / Chăm sóc sức khỏe / Thẩm mỹ / Làm đẹp, Dịch vụ khách hàng</t>
        </is>
      </c>
      <c r="K6947" t="inlineStr">
        <is>
          <t>Chưa có kinh nghiệm</t>
        </is>
      </c>
      <c r="L6947" s="8">
        <f>HYPERLINK("https://careerviet.vn/vi/tim-viec-lam/truong-phong-kinh-doanh.35C659E2.html","Xem chi tiết")</f>
        <v/>
      </c>
    </row>
    <row r="6948">
      <c r="B6948" s="9" t="n">
        <v>6946</v>
      </c>
      <c r="C6948" s="10" t="inlineStr">
        <is>
          <t>Kỹ sư HSE</t>
        </is>
      </c>
      <c r="D6948" s="10" t="inlineStr">
        <is>
          <t>CÔNG TY CỔ PHẦN TẬP ĐOÀN DAT</t>
        </is>
      </c>
      <c r="E6948" s="10" t="inlineStr">
        <is>
          <t>Lương:15 Tr - 20 Tr VND</t>
        </is>
      </c>
      <c r="F6948" s="10" t="inlineStr">
        <is>
          <t>Hồ Chí Minh</t>
        </is>
      </c>
      <c r="G6948" s="10" t="inlineStr">
        <is>
          <t>03-04-2026</t>
        </is>
      </c>
      <c r="H6948" s="10" t="inlineStr">
        <is>
          <t>03/04/2026</t>
        </is>
      </c>
      <c r="I6948" s="10" t="inlineStr">
        <is>
          <t>17/03/2026</t>
        </is>
      </c>
      <c r="J6948" s="10" t="inlineStr">
        <is>
          <t>An toàn lao động, Điện / Điện tử / Điện lạnh / Điện công nghiệp</t>
        </is>
      </c>
      <c r="K6948" s="10" t="inlineStr">
        <is>
          <t>2 - 3 Năm</t>
        </is>
      </c>
      <c r="L6948" s="11">
        <f>HYPERLINK("https://careerviet.vn/vi/tim-viec-lam/ky-su-hse.35C6AA2B.html","Xem chi tiết")</f>
        <v/>
      </c>
      <c r="M6948" s="10" t="n"/>
    </row>
    <row r="6949">
      <c r="B6949" s="7" t="n">
        <v>6947</v>
      </c>
      <c r="C6949" t="inlineStr">
        <is>
          <t>Trưởng phòng Kinh doanh số</t>
        </is>
      </c>
      <c r="D6949" t="inlineStr">
        <is>
          <t>CÔNG TY CỔ PHẦN KINH DOANH F88</t>
        </is>
      </c>
      <c r="E6949" t="inlineStr">
        <is>
          <t>Lương:Cạnh tranh</t>
        </is>
      </c>
      <c r="F6949" t="inlineStr">
        <is>
          <t>Hồ Chí Minh</t>
        </is>
      </c>
      <c r="G6949" t="inlineStr">
        <is>
          <t>03-04-2026</t>
        </is>
      </c>
      <c r="H6949" t="inlineStr">
        <is>
          <t>03/04/2026</t>
        </is>
      </c>
      <c r="I6949" t="inlineStr">
        <is>
          <t>17/03/2026</t>
        </is>
      </c>
      <c r="J6949" t="inlineStr">
        <is>
          <t>Ngân hàng, Tài chính / Đầu tư, CNTT - Phần mềm</t>
        </is>
      </c>
      <c r="K6949" t="inlineStr">
        <is>
          <t>5 - 7 Năm</t>
        </is>
      </c>
      <c r="L6949" s="8">
        <f>HYPERLINK("https://careerviet.vn/vi/tim-viec-lam/truong-phong-kinh-doanh-so.35BF9F3F.html","Xem chi tiết")</f>
        <v/>
      </c>
    </row>
    <row r="6950">
      <c r="B6950" s="9" t="n">
        <v>6948</v>
      </c>
      <c r="C6950" s="10" t="inlineStr">
        <is>
          <t>Compliance Specialist</t>
        </is>
      </c>
      <c r="D6950" s="10" t="inlineStr">
        <is>
          <t>CÔNG TY TNHH WGR INDUSTRIES</t>
        </is>
      </c>
      <c r="E6950" s="10" t="inlineStr">
        <is>
          <t>Lương:Cạnh tranh</t>
        </is>
      </c>
      <c r="F6950" s="10" t="inlineStr">
        <is>
          <t>Bình Định</t>
        </is>
      </c>
      <c r="G6950" s="10" t="inlineStr">
        <is>
          <t>15-04-2026</t>
        </is>
      </c>
      <c r="H6950" s="10" t="inlineStr">
        <is>
          <t>15/04/2026</t>
        </is>
      </c>
      <c r="I6950" s="10" t="inlineStr">
        <is>
          <t>17/03/2026</t>
        </is>
      </c>
      <c r="J6950" s="10" t="inlineStr">
        <is>
          <t>Luật / Pháp lý, Sản xuất / Vận hành sản xuất, Quản lý chất lượng (QA/QC)</t>
        </is>
      </c>
      <c r="K6950" s="10" t="inlineStr">
        <is>
          <t>1 - 3 Năm</t>
        </is>
      </c>
      <c r="L6950" s="11">
        <f>HYPERLINK("https://careerviet.vn/vi/tim-viec-lam/compliance-specialist.35C65A62.html","Xem chi tiết")</f>
        <v/>
      </c>
      <c r="M6950" s="10" t="n"/>
    </row>
    <row r="6951">
      <c r="B6951" s="7" t="n">
        <v>6949</v>
      </c>
      <c r="C6951" t="inlineStr">
        <is>
          <t>Android Framework Engineer (System/Stability/Reliability)</t>
        </is>
      </c>
      <c r="D6951" t="inlineStr">
        <is>
          <t>Công ty Cổ phần Vietsol</t>
        </is>
      </c>
      <c r="E6951" t="inlineStr">
        <is>
          <t>Lương:15 Tr - 30 Tr VND</t>
        </is>
      </c>
      <c r="F6951" t="inlineStr">
        <is>
          <t>Hà Nội</t>
        </is>
      </c>
      <c r="G6951" t="inlineStr">
        <is>
          <t>31-05-2026</t>
        </is>
      </c>
      <c r="H6951" t="inlineStr">
        <is>
          <t>31/05/2026</t>
        </is>
      </c>
      <c r="I6951" t="inlineStr">
        <is>
          <t>17/03/2026</t>
        </is>
      </c>
      <c r="J6951" t="inlineStr">
        <is>
          <t>CNTT - Phần mềm</t>
        </is>
      </c>
      <c r="K6951" t="inlineStr">
        <is>
          <t>2 - 3 Năm</t>
        </is>
      </c>
      <c r="L6951" s="8">
        <f>HYPERLINK("https://careerviet.vn/vi/tim-viec-lam/android-framework-engineer-system-stability-reliability.35C6AAA3.html","Xem chi tiết")</f>
        <v/>
      </c>
    </row>
    <row r="6952">
      <c r="B6952" s="9" t="n">
        <v>6950</v>
      </c>
      <c r="C6952" s="10" t="inlineStr">
        <is>
          <t>Cán bộ Kỹ sư QS Xây Dựng</t>
        </is>
      </c>
      <c r="D6952" s="10" t="inlineStr">
        <is>
          <t>Công Ty Cổ Phần Xây Dựng CDC</t>
        </is>
      </c>
      <c r="E6952" s="10" t="inlineStr">
        <is>
          <t>Lương:Cạnh tranh</t>
        </is>
      </c>
      <c r="F6952" s="10" t="inlineStr">
        <is>
          <t>Hà NộiBình DươngQuảng Ninh</t>
        </is>
      </c>
      <c r="G6952" s="10" t="inlineStr">
        <is>
          <t>15-04-2026</t>
        </is>
      </c>
      <c r="H6952" s="10" t="inlineStr">
        <is>
          <t>15/04/2026</t>
        </is>
      </c>
      <c r="I6952" s="10" t="inlineStr">
        <is>
          <t>17/03/2026</t>
        </is>
      </c>
      <c r="J6952" s="10" t="inlineStr">
        <is>
          <t>Xây dựng</t>
        </is>
      </c>
      <c r="K6952" s="10" t="inlineStr">
        <is>
          <t>N/A</t>
        </is>
      </c>
      <c r="L6952" s="11">
        <f>HYPERLINK("https://careerviet.vn/vi/tim-viec-lam/can-bo-ky-su-qs-xay-dung.35C68B44.html","Xem chi tiết")</f>
        <v/>
      </c>
      <c r="M6952" s="10" t="n"/>
    </row>
    <row r="6953">
      <c r="B6953" s="7" t="n">
        <v>6951</v>
      </c>
      <c r="C6953" t="inlineStr">
        <is>
          <t>Cán bộ QC</t>
        </is>
      </c>
      <c r="D6953" t="inlineStr">
        <is>
          <t>Công Ty Cổ Phần Xây Dựng CDC</t>
        </is>
      </c>
      <c r="E6953" t="inlineStr">
        <is>
          <t>Lương:Cạnh tranh</t>
        </is>
      </c>
      <c r="F6953" t="inlineStr">
        <is>
          <t>Đà NẵngHồ Chí MinhThừa Thiên- Huế</t>
        </is>
      </c>
      <c r="G6953" t="inlineStr">
        <is>
          <t>15-04-2026</t>
        </is>
      </c>
      <c r="H6953" t="inlineStr">
        <is>
          <t>15/04/2026</t>
        </is>
      </c>
      <c r="I6953" t="inlineStr">
        <is>
          <t>17/03/2026</t>
        </is>
      </c>
      <c r="J6953" t="inlineStr">
        <is>
          <t>Xây dựng</t>
        </is>
      </c>
      <c r="K6953" t="inlineStr">
        <is>
          <t>2 - 5 Năm</t>
        </is>
      </c>
      <c r="L6953" s="8">
        <f>HYPERLINK("https://careerviet.vn/vi/tim-viec-lam/can-bo-qc.35C5E192.html","Xem chi tiết")</f>
        <v/>
      </c>
    </row>
    <row r="6954">
      <c r="B6954" s="9" t="n">
        <v>6952</v>
      </c>
      <c r="C6954" s="10" t="inlineStr">
        <is>
          <t>CHUYÊN VIÊN TƯ VẤN GIÁO DỤC (OCEAN EDU QUẾ VÕ) - THU NHẬP HẤP DẪN TỪ 15 TRIỆU/THÁNG</t>
        </is>
      </c>
      <c r="D6954" s="10" t="inlineStr">
        <is>
          <t>Công Ty CP Giáo Dục Đại Dương</t>
        </is>
      </c>
      <c r="E6954" s="10" t="inlineStr">
        <is>
          <t>Lương:Cạnh tranh</t>
        </is>
      </c>
      <c r="F6954" s="10" t="inlineStr">
        <is>
          <t>Bắc Ninh</t>
        </is>
      </c>
      <c r="G6954" s="10" t="inlineStr">
        <is>
          <t>02-04-2026</t>
        </is>
      </c>
      <c r="H6954" s="10" t="inlineStr">
        <is>
          <t>02/04/2026</t>
        </is>
      </c>
      <c r="I6954" s="10" t="inlineStr">
        <is>
          <t>17/03/2026</t>
        </is>
      </c>
      <c r="J6954" s="10" t="inlineStr">
        <is>
          <t>Dịch vụ khách hàng, Giáo dục / Đào tạo, Bán hàng / Kinh doanh</t>
        </is>
      </c>
      <c r="K6954" s="10" t="inlineStr">
        <is>
          <t>Lên đến 1 Năm</t>
        </is>
      </c>
      <c r="L6954" s="11">
        <f>HYPERLINK("https://careerviet.vn/vi/tim-viec-lam/chuyen-vien-tu-van-giao-duc-ocean-edu-que-vo-thu-nhap-hap-dan-tu-15-trieu-thang.35C6AA71.html","Xem chi tiết")</f>
        <v/>
      </c>
      <c r="M6954" s="10" t="n"/>
    </row>
    <row r="6955">
      <c r="B6955" s="7" t="n">
        <v>6953</v>
      </c>
      <c r="C6955" t="inlineStr">
        <is>
          <t>Trưởng Nhóm Tuyển Sinh (Ocean Edu Hải Hậu)</t>
        </is>
      </c>
      <c r="D6955" t="inlineStr">
        <is>
          <t>Công Ty CP Giáo Dục Đại Dương</t>
        </is>
      </c>
      <c r="E6955" t="inlineStr">
        <is>
          <t>Lương:Cạnh tranh</t>
        </is>
      </c>
      <c r="F6955" t="inlineStr">
        <is>
          <t>Nam Định</t>
        </is>
      </c>
      <c r="G6955" t="inlineStr">
        <is>
          <t>02-04-2026</t>
        </is>
      </c>
      <c r="H6955" t="inlineStr">
        <is>
          <t>02/04/2026</t>
        </is>
      </c>
      <c r="I6955" t="inlineStr">
        <is>
          <t>17/03/2026</t>
        </is>
      </c>
      <c r="J6955" t="inlineStr">
        <is>
          <t>Tư vấn, Dịch vụ khách hàng, Giáo dục / Đào tạo</t>
        </is>
      </c>
      <c r="K6955" t="inlineStr">
        <is>
          <t>1 - 2 Năm</t>
        </is>
      </c>
      <c r="L6955" s="8">
        <f>HYPERLINK("https://careerviet.vn/vi/tim-viec-lam/truong-nhom-tuyen-sinh-ocean-edu-hai-hau.35C6A9FF.html","Xem chi tiết")</f>
        <v/>
      </c>
    </row>
    <row r="6956">
      <c r="B6956" s="9" t="n">
        <v>6954</v>
      </c>
      <c r="C6956" s="10" t="inlineStr">
        <is>
          <t>CHUYÊN VIÊN TƯ VẤN GIÁO DỤC (OCEAN EDU VĂN GIANG) - THU NHẬP HẤP DẪN TỪ 15 TRIỆU/THÁNG</t>
        </is>
      </c>
      <c r="D6956" s="10" t="inlineStr">
        <is>
          <t>Công Ty CP Giáo Dục Đại Dương</t>
        </is>
      </c>
      <c r="E6956" s="10" t="inlineStr">
        <is>
          <t>Lương:Cạnh tranh</t>
        </is>
      </c>
      <c r="F6956" s="10" t="inlineStr">
        <is>
          <t>Hưng Yên</t>
        </is>
      </c>
      <c r="G6956" s="10" t="inlineStr">
        <is>
          <t>02-04-2026</t>
        </is>
      </c>
      <c r="H6956" s="10" t="inlineStr">
        <is>
          <t>02/04/2026</t>
        </is>
      </c>
      <c r="I6956" s="10" t="inlineStr">
        <is>
          <t>17/03/2026</t>
        </is>
      </c>
      <c r="J6956" s="10" t="inlineStr">
        <is>
          <t>Dịch vụ khách hàng, Giáo dục / Đào tạo, Bán hàng / Kinh doanh</t>
        </is>
      </c>
      <c r="K6956" s="10" t="inlineStr">
        <is>
          <t>Lên đến 1 Năm</t>
        </is>
      </c>
      <c r="L6956" s="11">
        <f>HYPERLINK("https://careerviet.vn/vi/tim-viec-lam/chuyen-vien-tu-van-giao-duc-ocean-edu-van-giang-thu-nhap-hap-dan-tu-15-trieu-thang.35C6AA94.html","Xem chi tiết")</f>
        <v/>
      </c>
      <c r="M6956" s="10" t="n"/>
    </row>
    <row r="6957">
      <c r="B6957" s="7" t="n">
        <v>6955</v>
      </c>
      <c r="C6957" t="inlineStr">
        <is>
          <t>[ HO ] - CHUYÊN VIÊN KIỂM SOÁT TUÂN THỦ - COMPLIANCE MONITORING SPECIALIST</t>
        </is>
      </c>
      <c r="D6957" t="inlineStr">
        <is>
          <t>Shinhan Bank Vietnam</t>
        </is>
      </c>
      <c r="E6957" t="inlineStr">
        <is>
          <t>Lương:Cạnh tranh</t>
        </is>
      </c>
      <c r="F6957" t="inlineStr">
        <is>
          <t>Hồ Chí Minh</t>
        </is>
      </c>
      <c r="G6957" t="inlineStr">
        <is>
          <t>02-04-2026</t>
        </is>
      </c>
      <c r="H6957" t="inlineStr">
        <is>
          <t>02/04/2026</t>
        </is>
      </c>
      <c r="I6957" t="inlineStr">
        <is>
          <t>17/03/2026</t>
        </is>
      </c>
      <c r="J6957" t="inlineStr">
        <is>
          <t>Ngân hàng</t>
        </is>
      </c>
      <c r="K6957" t="inlineStr">
        <is>
          <t>Trên 2 Năm</t>
        </is>
      </c>
      <c r="L6957" s="8">
        <f>HYPERLINK("https://careerviet.vn/vi/tim-viec-lam/ho-chuyen-vien-kiem-soat-tuan-thu-compliance-monitoring-specialist.35C6A8A5.html","Xem chi tiết")</f>
        <v/>
      </c>
    </row>
    <row r="6958">
      <c r="B6958" s="9" t="n">
        <v>6956</v>
      </c>
      <c r="C6958" s="10" t="inlineStr">
        <is>
          <t>CHUYÊN VIÊN TƯ VẤN GIÁO DỤC (OCEAN EDU HOÀI ĐỨC) - THU NHẬP HẤP DẪN TỪ 15 TRIỆU/THÁNG</t>
        </is>
      </c>
      <c r="D6958" s="10" t="inlineStr">
        <is>
          <t>Công Ty CP Giáo Dục Đại Dương</t>
        </is>
      </c>
      <c r="E6958" s="10" t="inlineStr">
        <is>
          <t>Lương:Cạnh tranh</t>
        </is>
      </c>
      <c r="F6958" s="10" t="inlineStr">
        <is>
          <t>Hà Nội</t>
        </is>
      </c>
      <c r="G6958" s="10" t="inlineStr">
        <is>
          <t>02-04-2026</t>
        </is>
      </c>
      <c r="H6958" s="10" t="inlineStr">
        <is>
          <t>02/04/2026</t>
        </is>
      </c>
      <c r="I6958" s="10" t="inlineStr">
        <is>
          <t>17/03/2026</t>
        </is>
      </c>
      <c r="J6958" s="10" t="inlineStr">
        <is>
          <t>Dịch vụ khách hàng, Giáo dục / Đào tạo, Bán hàng / Kinh doanh</t>
        </is>
      </c>
      <c r="K6958" s="10" t="inlineStr">
        <is>
          <t>Lên đến 1 Năm</t>
        </is>
      </c>
      <c r="L6958" s="11">
        <f>HYPERLINK("https://careerviet.vn/vi/tim-viec-lam/chuyen-vien-tu-van-giao-duc-ocean-edu-hoai-duc-thu-nhap-hap-dan-tu-15-trieu-thang.35C6AA52.html","Xem chi tiết")</f>
        <v/>
      </c>
      <c r="M6958" s="10" t="n"/>
    </row>
    <row r="6959">
      <c r="B6959" s="7" t="n">
        <v>6957</v>
      </c>
      <c r="C6959" t="inlineStr">
        <is>
          <t>CHUYÊN VIÊN TƯ VẤN GIÁO DỤC (OCEAN EDU THẠCH THẤT) - THU NHẬP HẤP DẪN TỪ 15 TRIỆU/THÁNG</t>
        </is>
      </c>
      <c r="D6959" t="inlineStr">
        <is>
          <t>Công Ty CP Giáo Dục Đại Dương</t>
        </is>
      </c>
      <c r="E6959" t="inlineStr">
        <is>
          <t>Lương:Cạnh tranh</t>
        </is>
      </c>
      <c r="F6959" t="inlineStr">
        <is>
          <t>Hà Nội</t>
        </is>
      </c>
      <c r="G6959" t="inlineStr">
        <is>
          <t>02-04-2026</t>
        </is>
      </c>
      <c r="H6959" t="inlineStr">
        <is>
          <t>02/04/2026</t>
        </is>
      </c>
      <c r="I6959" t="inlineStr">
        <is>
          <t>17/03/2026</t>
        </is>
      </c>
      <c r="J6959" t="inlineStr">
        <is>
          <t>Dịch vụ khách hàng, Giáo dục / Đào tạo, Bán hàng / Kinh doanh</t>
        </is>
      </c>
      <c r="K6959" t="inlineStr">
        <is>
          <t>Lên đến 1 Năm</t>
        </is>
      </c>
      <c r="L6959" s="8">
        <f>HYPERLINK("https://careerviet.vn/vi/tim-viec-lam/chuyen-vien-tu-van-giao-duc-ocean-edu-thach-that-thu-nhap-hap-dan-tu-15-trieu-thang.35C6AA62.html","Xem chi tiết")</f>
        <v/>
      </c>
    </row>
    <row r="6960">
      <c r="B6960" s="9" t="n">
        <v>6958</v>
      </c>
      <c r="C6960" s="10" t="inlineStr">
        <is>
          <t>Chuyên viên cao cấp Vận hành Giải pháp Corebanking</t>
        </is>
      </c>
      <c r="D6960" s="10" t="inlineStr">
        <is>
          <t>Ngân Hàng TMCP Quốc Tế Việt Nam</t>
        </is>
      </c>
      <c r="E6960" s="10" t="inlineStr">
        <is>
          <t>Lương:Cạnh tranh</t>
        </is>
      </c>
      <c r="F6960" s="10" t="inlineStr">
        <is>
          <t>Hà Nội</t>
        </is>
      </c>
      <c r="G6960" s="10" t="inlineStr">
        <is>
          <t>15-04-2026</t>
        </is>
      </c>
      <c r="H6960" s="10" t="inlineStr">
        <is>
          <t>15/04/2026</t>
        </is>
      </c>
      <c r="I6960" s="10" t="inlineStr">
        <is>
          <t>17/03/2026</t>
        </is>
      </c>
      <c r="J6960" s="10" t="inlineStr">
        <is>
          <t>CNTT - Phần mềm</t>
        </is>
      </c>
      <c r="K6960" s="10" t="inlineStr">
        <is>
          <t>Trên 2 Năm</t>
        </is>
      </c>
      <c r="L6960" s="11">
        <f>HYPERLINK("https://careerviet.vn/vi/tim-viec-lam/chuyen-vien-cao-cap-van-hanh-giai-phap-corebanking.35C65A4F.html","Xem chi tiết")</f>
        <v/>
      </c>
      <c r="M6960" s="10" t="n"/>
    </row>
    <row r="6961">
      <c r="B6961" s="7" t="n">
        <v>6959</v>
      </c>
      <c r="C6961" t="inlineStr">
        <is>
          <t>Giáo Viên Chủ Nhiệm (Ocean Edu Nam Trực) - Trúng Tuyển Đi Làm Luôn</t>
        </is>
      </c>
      <c r="D6961" t="inlineStr">
        <is>
          <t>Công Ty CP Giáo Dục Đại Dương</t>
        </is>
      </c>
      <c r="E6961" t="inlineStr">
        <is>
          <t>Lương:Cạnh tranh</t>
        </is>
      </c>
      <c r="F6961" t="inlineStr">
        <is>
          <t>Nam Định</t>
        </is>
      </c>
      <c r="G6961" t="inlineStr">
        <is>
          <t>02-04-2026</t>
        </is>
      </c>
      <c r="H6961" t="inlineStr">
        <is>
          <t>02/04/2026</t>
        </is>
      </c>
      <c r="I6961" t="inlineStr">
        <is>
          <t>17/03/2026</t>
        </is>
      </c>
      <c r="J6961" t="inlineStr">
        <is>
          <t>Giáo dục / Đào tạo, Bán hàng / Kinh doanh, Biên phiên dịch</t>
        </is>
      </c>
      <c r="K6961" t="inlineStr">
        <is>
          <t>Trên 1 Năm</t>
        </is>
      </c>
      <c r="L6961" s="8">
        <f>HYPERLINK("https://careerviet.vn/vi/tim-viec-lam/giao-vien-chu-nhiem-ocean-edu-nam-truc-trung-tuyen-di-lam-luon.35C6A9AE.html","Xem chi tiết")</f>
        <v/>
      </c>
    </row>
    <row r="6962">
      <c r="B6962" s="9" t="n">
        <v>6960</v>
      </c>
      <c r="C6962" s="10" t="inlineStr">
        <is>
          <t>Chuyên Viên Kinh Doanh Thương Mại Điện Tử</t>
        </is>
      </c>
      <c r="D6962" s="10" t="inlineStr">
        <is>
          <t>CÔNG TY CỔ PHẦN ZENBOOKS</t>
        </is>
      </c>
      <c r="E6962" s="10" t="inlineStr">
        <is>
          <t>Lương:10 Tr - 13 Tr VND</t>
        </is>
      </c>
      <c r="F6962" s="10" t="inlineStr">
        <is>
          <t>Hồ Chí Minh</t>
        </is>
      </c>
      <c r="G6962" s="10" t="inlineStr">
        <is>
          <t>03-04-2026</t>
        </is>
      </c>
      <c r="H6962" s="10" t="inlineStr">
        <is>
          <t>03/04/2026</t>
        </is>
      </c>
      <c r="I6962" s="10" t="inlineStr">
        <is>
          <t>17/03/2026</t>
        </is>
      </c>
      <c r="J6962" s="10" t="inlineStr">
        <is>
          <t>Thương mại điện tử, Tiếp thị trực tuyến, Bán hàng / Kinh doanh</t>
        </is>
      </c>
      <c r="K6962" s="10" t="inlineStr">
        <is>
          <t>1 - 2 Năm</t>
        </is>
      </c>
      <c r="L6962" s="11">
        <f>HYPERLINK("https://careerviet.vn/vi/tim-viec-lam/chuyen-vien-kinh-doanh-thuong-mai-dien-tu.35C6A902.html","Xem chi tiết")</f>
        <v/>
      </c>
      <c r="M6962" s="10" t="n"/>
    </row>
    <row r="6963">
      <c r="B6963" s="7" t="n">
        <v>6961</v>
      </c>
      <c r="C6963" t="inlineStr">
        <is>
          <t>Chuyên viên/ CVC/ CVCC Khách hàng cá nhân - Hải Phòng, Quảng Ninh, Bắc Ninh</t>
        </is>
      </c>
      <c r="D6963" t="inlineStr">
        <is>
          <t>Ngân hàng Thương mại cổ phần Đông Nam Á (SeABank)</t>
        </is>
      </c>
      <c r="E6963" t="inlineStr">
        <is>
          <t>Lương:Cạnh tranh</t>
        </is>
      </c>
      <c r="F6963" t="inlineStr">
        <is>
          <t>Bắc NinhHải PhòngQuảng Ninh</t>
        </is>
      </c>
      <c r="G6963" t="inlineStr">
        <is>
          <t>31-03-2026</t>
        </is>
      </c>
      <c r="H6963" t="inlineStr">
        <is>
          <t>31/03/2026</t>
        </is>
      </c>
      <c r="I6963" t="inlineStr">
        <is>
          <t>17/03/2026</t>
        </is>
      </c>
      <c r="J6963" t="inlineStr">
        <is>
          <t>Ngân hàng, Tài chính / Đầu tư, Bảo hiểm</t>
        </is>
      </c>
      <c r="K6963" t="inlineStr">
        <is>
          <t>1 - 5 Năm</t>
        </is>
      </c>
      <c r="L6963" s="8">
        <f>HYPERLINK("https://careerviet.vn/vi/tim-viec-lam/chuyen-vien-cvc-cvcc-khach-hang-ca-nhan-hai-phong-quang-ninh-bac-ninh.35C6AA51.html","Xem chi tiết")</f>
        <v/>
      </c>
    </row>
    <row r="6964">
      <c r="B6964" s="9" t="n">
        <v>6962</v>
      </c>
      <c r="C6964" s="10" t="inlineStr">
        <is>
          <t>CHUYÊN VIÊN TƯ VẤN GIÁO DỤC (OCEAN EDU VINH) - THU NHẬP HẤP DẪN TỪ 15 TRIỆU/THÁNG</t>
        </is>
      </c>
      <c r="D6964" s="10" t="inlineStr">
        <is>
          <t>Công Ty CP Giáo Dục Đại Dương</t>
        </is>
      </c>
      <c r="E6964" s="10" t="inlineStr">
        <is>
          <t>Lương:Cạnh tranh</t>
        </is>
      </c>
      <c r="F6964" s="10" t="inlineStr">
        <is>
          <t>Nghệ An</t>
        </is>
      </c>
      <c r="G6964" s="10" t="inlineStr">
        <is>
          <t>02-04-2026</t>
        </is>
      </c>
      <c r="H6964" s="10" t="inlineStr">
        <is>
          <t>02/04/2026</t>
        </is>
      </c>
      <c r="I6964" s="10" t="inlineStr">
        <is>
          <t>17/03/2026</t>
        </is>
      </c>
      <c r="J6964" s="10" t="inlineStr">
        <is>
          <t>Dịch vụ khách hàng, Giáo dục / Đào tạo, Bán hàng / Kinh doanh</t>
        </is>
      </c>
      <c r="K6964" s="10" t="inlineStr">
        <is>
          <t>Lên đến 1 Năm</t>
        </is>
      </c>
      <c r="L6964" s="11">
        <f>HYPERLINK("https://careerviet.vn/vi/tim-viec-lam/chuyen-vien-tu-van-giao-duc-ocean-edu-vinh-thu-nhap-hap-dan-tu-15-trieu-thang.35C6A9C3.html","Xem chi tiết")</f>
        <v/>
      </c>
      <c r="M6964" s="10" t="n"/>
    </row>
    <row r="6965">
      <c r="B6965" s="7" t="n">
        <v>6963</v>
      </c>
      <c r="C6965" t="inlineStr">
        <is>
          <t>Nhân Viên Customer Service Logistics</t>
        </is>
      </c>
      <c r="D6965" t="inlineStr">
        <is>
          <t>CÔNG TY CỔ PHẦN CUNG ỨNG LẠNH VN</t>
        </is>
      </c>
      <c r="E6965" t="inlineStr">
        <is>
          <t>Lương:18 Tr - 20 Tr VND</t>
        </is>
      </c>
      <c r="F6965" t="inlineStr">
        <is>
          <t>Hà Nội</t>
        </is>
      </c>
      <c r="G6965" t="inlineStr">
        <is>
          <t>02-04-2026</t>
        </is>
      </c>
      <c r="H6965" t="inlineStr">
        <is>
          <t>02/04/2026</t>
        </is>
      </c>
      <c r="I6965" t="inlineStr">
        <is>
          <t>17/03/2026</t>
        </is>
      </c>
      <c r="J6965" t="inlineStr">
        <is>
          <t>Dịch vụ khách hàng, Vận chuyển / Giao nhận / Kho vận, Xuất nhập khẩu</t>
        </is>
      </c>
      <c r="K6965" t="inlineStr">
        <is>
          <t>3 - 5 Năm</t>
        </is>
      </c>
      <c r="L6965" s="8">
        <f>HYPERLINK("https://careerviet.vn/vi/tim-viec-lam/nhan-vien-customer-service-logistics.35C6AA49.html","Xem chi tiết")</f>
        <v/>
      </c>
    </row>
    <row r="6966">
      <c r="B6966" s="9" t="n">
        <v>6964</v>
      </c>
      <c r="C6966" s="10" t="inlineStr">
        <is>
          <t>Chuyên viên chính Tư vấn pháp lý - PLTT - MSB - 1P613</t>
        </is>
      </c>
      <c r="D6966" s="10" t="inlineStr">
        <is>
          <t>Ngân hàng Thương mại Cổ phần Hàng Hải Việt Nam (MSB)</t>
        </is>
      </c>
      <c r="E6966" s="10" t="inlineStr">
        <is>
          <t>Lương:Cạnh tranh</t>
        </is>
      </c>
      <c r="F6966" s="10" t="inlineStr">
        <is>
          <t>Hà Nội</t>
        </is>
      </c>
      <c r="G6966" s="10" t="inlineStr">
        <is>
          <t>03-04-2026</t>
        </is>
      </c>
      <c r="H6966" s="10" t="inlineStr">
        <is>
          <t>03/04/2026</t>
        </is>
      </c>
      <c r="I6966" s="10" t="inlineStr">
        <is>
          <t>17/03/2026</t>
        </is>
      </c>
      <c r="J6966" s="10" t="inlineStr">
        <is>
          <t>Luật / Pháp lý</t>
        </is>
      </c>
      <c r="K6966" s="10" t="inlineStr">
        <is>
          <t>2 - 3 Năm</t>
        </is>
      </c>
      <c r="L6966" s="11">
        <f>HYPERLINK("https://careerviet.vn/vi/tim-viec-lam/chuyen-vien-chinh-tu-van-phap-ly-pltt-msb-1p613.35C6AA3E.html","Xem chi tiết")</f>
        <v/>
      </c>
      <c r="M6966" s="10" t="n"/>
    </row>
    <row r="6967">
      <c r="B6967" s="7" t="n">
        <v>6965</v>
      </c>
      <c r="C6967" t="inlineStr">
        <is>
          <t>Giám Đốc Kinh Doanh ( Mảng công nghệ tích hợp cho người già)</t>
        </is>
      </c>
      <c r="D6967" t="inlineStr">
        <is>
          <t>Công ty Cổ phần Masscom Việt Nam</t>
        </is>
      </c>
      <c r="E6967" t="inlineStr">
        <is>
          <t>Lương:30 Tr - 50 Tr VND</t>
        </is>
      </c>
      <c r="F6967" t="inlineStr">
        <is>
          <t>Hà Nội</t>
        </is>
      </c>
      <c r="G6967" t="inlineStr">
        <is>
          <t>15-04-2026</t>
        </is>
      </c>
      <c r="H6967" t="inlineStr">
        <is>
          <t>15/04/2026</t>
        </is>
      </c>
      <c r="I6967" t="inlineStr">
        <is>
          <t>17/03/2026</t>
        </is>
      </c>
      <c r="J6967" t="inlineStr">
        <is>
          <t>Bán lẻ / Bán sỉ, Bán hàng / Kinh doanh, Hàng gia dụng / Chăm sóc cá nhân</t>
        </is>
      </c>
      <c r="K6967" t="inlineStr">
        <is>
          <t>1 - 2 Năm</t>
        </is>
      </c>
      <c r="L6967" s="8">
        <f>HYPERLINK("https://careerviet.vn/vi/tim-viec-lam/giam-doc-kinh-doanh-mang-cong-nghe-tich-hop-cho-nguoi-gia.35C65B98.html","Xem chi tiết")</f>
        <v/>
      </c>
    </row>
    <row r="6968">
      <c r="B6968" s="9" t="n">
        <v>6966</v>
      </c>
      <c r="C6968" s="10" t="inlineStr">
        <is>
          <t>Sales Executive</t>
        </is>
      </c>
      <c r="D6968" s="10" t="inlineStr">
        <is>
          <t>EVERICH VIETNAM</t>
        </is>
      </c>
      <c r="E6968" s="10" t="inlineStr">
        <is>
          <t>Lương:Cạnh tranh</t>
        </is>
      </c>
      <c r="F6968" s="10" t="inlineStr">
        <is>
          <t>Hải Phòng</t>
        </is>
      </c>
      <c r="G6968" s="10" t="inlineStr">
        <is>
          <t>03-04-2026</t>
        </is>
      </c>
      <c r="H6968" s="10" t="inlineStr">
        <is>
          <t>03/04/2026</t>
        </is>
      </c>
      <c r="I6968" s="10" t="inlineStr">
        <is>
          <t>17/03/2026</t>
        </is>
      </c>
      <c r="J6968" s="10" t="inlineStr">
        <is>
          <t>Bán hàng / Kinh doanh, Xuất nhập khẩu, Vận chuyển / Giao nhận / Kho vận</t>
        </is>
      </c>
      <c r="K6968" s="10" t="inlineStr">
        <is>
          <t>Trên 1 Năm</t>
        </is>
      </c>
      <c r="L6968" s="11">
        <f>HYPERLINK("https://careerviet.vn/vi/tim-viec-lam/sales-executive.35C6A866.html","Xem chi tiết")</f>
        <v/>
      </c>
      <c r="M6968" s="10" t="n"/>
    </row>
    <row r="6969">
      <c r="B6969" s="7" t="n">
        <v>6967</v>
      </c>
      <c r="C6969" t="inlineStr">
        <is>
          <t>CHUYÊN VIÊN TƯ VẤN GIÁO DỤC (OCEAN EDU THÁI THỤY) - THU NHẬP HẤP DẪN TỪ 15 TRIỆU/THÁNG</t>
        </is>
      </c>
      <c r="D6969" t="inlineStr">
        <is>
          <t>Công Ty CP Giáo Dục Đại Dương</t>
        </is>
      </c>
      <c r="E6969" t="inlineStr">
        <is>
          <t>Lương:Cạnh tranh</t>
        </is>
      </c>
      <c r="F6969" t="inlineStr">
        <is>
          <t>Thái Bình</t>
        </is>
      </c>
      <c r="G6969" t="inlineStr">
        <is>
          <t>02-04-2026</t>
        </is>
      </c>
      <c r="H6969" t="inlineStr">
        <is>
          <t>02/04/2026</t>
        </is>
      </c>
      <c r="I6969" t="inlineStr">
        <is>
          <t>17/03/2026</t>
        </is>
      </c>
      <c r="J6969" t="inlineStr">
        <is>
          <t>Dịch vụ khách hàng, Giáo dục / Đào tạo, Bán hàng / Kinh doanh</t>
        </is>
      </c>
      <c r="K6969" t="inlineStr">
        <is>
          <t>Lên đến 1 Năm</t>
        </is>
      </c>
      <c r="L6969" s="8">
        <f>HYPERLINK("https://careerviet.vn/vi/tim-viec-lam/chuyen-vien-tu-van-giao-duc-ocean-edu-thai-thuy-thu-nhap-hap-dan-tu-15-trieu-thang.35C6A9D4.html","Xem chi tiết")</f>
        <v/>
      </c>
    </row>
    <row r="6970">
      <c r="B6970" s="9" t="n">
        <v>6968</v>
      </c>
      <c r="C6970" s="10" t="inlineStr">
        <is>
          <t>[TUYỂN GẤP] NHÂN VIÊN KẾ HOẠCH MUA HÀNG (NGÀNH NỘI THẤT)</t>
        </is>
      </c>
      <c r="D6970" s="10" t="inlineStr">
        <is>
          <t>CÔNG TY CỔ PHẦN SẢN XUẤT THƯƠNG MẠI XÂY DỰNG TRANG TRÍ NỘI THẤT G.S VIỆT NAM</t>
        </is>
      </c>
      <c r="E6970" s="10" t="inlineStr">
        <is>
          <t>Lương:Trên 12 Tr VND</t>
        </is>
      </c>
      <c r="F6970" s="10" t="inlineStr">
        <is>
          <t>Bình Dương</t>
        </is>
      </c>
      <c r="G6970" s="10" t="inlineStr">
        <is>
          <t>30-04-2026</t>
        </is>
      </c>
      <c r="H6970" s="10" t="inlineStr">
        <is>
          <t>30/04/2026</t>
        </is>
      </c>
      <c r="I6970" s="10" t="inlineStr">
        <is>
          <t>17/03/2026</t>
        </is>
      </c>
      <c r="J6970" s="10" t="inlineStr">
        <is>
          <t>Bán hàng / Kinh doanh, Thương mại điện tử, Nội ngoại thất</t>
        </is>
      </c>
      <c r="K6970" s="10" t="inlineStr">
        <is>
          <t>1 - 3 Năm</t>
        </is>
      </c>
      <c r="L6970" s="11">
        <f>HYPERLINK("https://careerviet.vn/vi/tim-viec-lam/tuyen-gap-nhan-vien-ke-hoach-mua-hang-nganh-noi-that.35C6AA8D.html","Xem chi tiết")</f>
        <v/>
      </c>
      <c r="M6970" s="10" t="n"/>
    </row>
    <row r="6971">
      <c r="B6971" s="7" t="n">
        <v>6969</v>
      </c>
      <c r="C6971" t="inlineStr">
        <is>
          <t>Giám Đốc Cung Ứng</t>
        </is>
      </c>
      <c r="D6971" t="inlineStr">
        <is>
          <t>Công Ty TNHH Thương Mại Xuất Nhập Khẩu Fani</t>
        </is>
      </c>
      <c r="E6971" t="inlineStr">
        <is>
          <t>Lương:40 Tr - 60 Tr VND</t>
        </is>
      </c>
      <c r="F6971" t="inlineStr">
        <is>
          <t>Hà Nội</t>
        </is>
      </c>
      <c r="G6971" t="inlineStr">
        <is>
          <t>31-03-2026</t>
        </is>
      </c>
      <c r="H6971" t="inlineStr">
        <is>
          <t>31/03/2026</t>
        </is>
      </c>
      <c r="I6971" t="inlineStr">
        <is>
          <t>17/03/2026</t>
        </is>
      </c>
      <c r="J6971" t="inlineStr">
        <is>
          <t>Xuất nhập khẩu, Sản xuất / Vận hành sản xuất</t>
        </is>
      </c>
      <c r="K6971" t="inlineStr">
        <is>
          <t>10 - 15 Năm</t>
        </is>
      </c>
      <c r="L6971" s="8">
        <f>HYPERLINK("https://careerviet.vn/vi/tim-viec-lam/giam-doc-cung-ung.35C6AA3A.html","Xem chi tiết")</f>
        <v/>
      </c>
    </row>
    <row r="6972">
      <c r="B6972" s="9" t="n">
        <v>6970</v>
      </c>
      <c r="C6972" s="10" t="inlineStr">
        <is>
          <t>Chuyên viên mua hàng</t>
        </is>
      </c>
      <c r="D6972" s="10" t="inlineStr">
        <is>
          <t>CÔNG TY CỔ PHẦN SẢN XUẤT &amp; XUẤT NHẬP KHẨU HAT+</t>
        </is>
      </c>
      <c r="E6972" s="10" t="inlineStr">
        <is>
          <t>Lương:10 Tr - 17 Tr VND</t>
        </is>
      </c>
      <c r="F6972" s="10" t="inlineStr">
        <is>
          <t>Hà Nội</t>
        </is>
      </c>
      <c r="G6972" s="10" t="inlineStr">
        <is>
          <t>31-03-2026</t>
        </is>
      </c>
      <c r="H6972" s="10" t="inlineStr">
        <is>
          <t>31/03/2026</t>
        </is>
      </c>
      <c r="I6972" s="10" t="inlineStr">
        <is>
          <t>17/03/2026</t>
        </is>
      </c>
      <c r="J6972" s="10" t="inlineStr">
        <is>
          <t>Thu mua / Vật tư, Dệt may / Da giày / Thời trang</t>
        </is>
      </c>
      <c r="K6972" s="10" t="inlineStr">
        <is>
          <t>3 - 5 Năm</t>
        </is>
      </c>
      <c r="L6972" s="11">
        <f>HYPERLINK("https://careerviet.vn/vi/tim-viec-lam/chuyen-vien-mua-hang.35C6AA2D.html","Xem chi tiết")</f>
        <v/>
      </c>
      <c r="M6972" s="10" t="n"/>
    </row>
    <row r="6973">
      <c r="B6973" s="7" t="n">
        <v>6971</v>
      </c>
      <c r="C6973" t="inlineStr">
        <is>
          <t>Chuyên Viên Cao Cấp Pháp Chế</t>
        </is>
      </c>
      <c r="D6973" t="inlineStr">
        <is>
          <t>Tập Đoàn An Phát Holdings</t>
        </is>
      </c>
      <c r="E6973" t="inlineStr">
        <is>
          <t>Lương:25 Tr - 30 Tr VND</t>
        </is>
      </c>
      <c r="F6973" t="inlineStr">
        <is>
          <t>Hà Nội</t>
        </is>
      </c>
      <c r="G6973" t="inlineStr">
        <is>
          <t>31-03-2026</t>
        </is>
      </c>
      <c r="H6973" t="inlineStr">
        <is>
          <t>31/03/2026</t>
        </is>
      </c>
      <c r="I6973" t="inlineStr">
        <is>
          <t>17/03/2026</t>
        </is>
      </c>
      <c r="J6973" t="inlineStr">
        <is>
          <t>Luật / Pháp lý</t>
        </is>
      </c>
      <c r="K6973" t="inlineStr">
        <is>
          <t>5 - 7 Năm</t>
        </is>
      </c>
      <c r="L6973" s="8">
        <f>HYPERLINK("https://careerviet.vn/vi/tim-viec-lam/chuyen-vien-cao-cap-phap-che.35C6A912.html","Xem chi tiết")</f>
        <v/>
      </c>
    </row>
    <row r="6974">
      <c r="B6974" s="9" t="n">
        <v>6972</v>
      </c>
      <c r="C6974" s="10" t="inlineStr">
        <is>
          <t>Chuyên viên Marketing</t>
        </is>
      </c>
      <c r="D6974" s="10" t="inlineStr">
        <is>
          <t>Tập đoàn Nhựa Bình Thuận</t>
        </is>
      </c>
      <c r="E6974" s="10" t="inlineStr">
        <is>
          <t>Lương:10 Tr - 15 Tr VND</t>
        </is>
      </c>
      <c r="F6974" s="10" t="inlineStr">
        <is>
          <t>Hà Nội</t>
        </is>
      </c>
      <c r="G6974" s="10" t="inlineStr">
        <is>
          <t>31-03-2026</t>
        </is>
      </c>
      <c r="H6974" s="10" t="inlineStr">
        <is>
          <t>31/03/2026</t>
        </is>
      </c>
      <c r="I6974" s="10" t="inlineStr">
        <is>
          <t>17/03/2026</t>
        </is>
      </c>
      <c r="J6974" s="10" t="inlineStr">
        <is>
          <t>Tiếp thị / Marketing</t>
        </is>
      </c>
      <c r="K6974" s="10" t="inlineStr">
        <is>
          <t>1 - 2 Năm</t>
        </is>
      </c>
      <c r="L6974" s="11">
        <f>HYPERLINK("https://careerviet.vn/vi/tim-viec-lam/chuyen-vien-marketing.35C6A758.html","Xem chi tiết")</f>
        <v/>
      </c>
      <c r="M6974" s="10" t="n"/>
    </row>
    <row r="6975">
      <c r="B6975" s="7" t="n">
        <v>6973</v>
      </c>
      <c r="C6975" t="inlineStr">
        <is>
          <t>Nhân Viên Sale Admin (Ocean Edu Gia Bình) - Thu nhập từ 15 triệu/tháng - Phỏng vấn đi làm ngay</t>
        </is>
      </c>
      <c r="D6975" t="inlineStr">
        <is>
          <t>Công Ty CP Giáo Dục Đại Dương</t>
        </is>
      </c>
      <c r="E6975" t="inlineStr">
        <is>
          <t>Lương:Cạnh tranh</t>
        </is>
      </c>
      <c r="F6975" t="inlineStr">
        <is>
          <t>Bắc Ninh</t>
        </is>
      </c>
      <c r="G6975" t="inlineStr">
        <is>
          <t>02-04-2026</t>
        </is>
      </c>
      <c r="H6975" t="inlineStr">
        <is>
          <t>02/04/2026</t>
        </is>
      </c>
      <c r="I6975" t="inlineStr">
        <is>
          <t>17/03/2026</t>
        </is>
      </c>
      <c r="J6975" t="inlineStr">
        <is>
          <t>Kế toán / Kiểm toán, Giáo dục / Đào tạo, Nhân sự</t>
        </is>
      </c>
      <c r="K6975" t="inlineStr">
        <is>
          <t>Lên đến 1 Năm</t>
        </is>
      </c>
      <c r="L6975" s="8">
        <f>HYPERLINK("https://careerviet.vn/vi/tim-viec-lam/nhan-vien-sale-admin-ocean-edu-gia-binh-thu-nhap-tu-15-trieu-thang-phong-van-di-lam-ngay.35C6A9C4.html","Xem chi tiết")</f>
        <v/>
      </c>
    </row>
    <row r="6976">
      <c r="B6976" s="9" t="n">
        <v>6974</v>
      </c>
      <c r="C6976" s="10" t="inlineStr">
        <is>
          <t>International Business Executive</t>
        </is>
      </c>
      <c r="D6976" s="10" t="inlineStr">
        <is>
          <t>CÔNG TY CỔ PHẦN BMP GROUP</t>
        </is>
      </c>
      <c r="E6976" s="10" t="inlineStr">
        <is>
          <t>Lương:Cạnh tranh</t>
        </is>
      </c>
      <c r="F6976" s="10" t="inlineStr">
        <is>
          <t>Hồ Chí Minh</t>
        </is>
      </c>
      <c r="G6976" s="10" t="inlineStr">
        <is>
          <t>17-04-2026</t>
        </is>
      </c>
      <c r="H6976" s="10" t="inlineStr">
        <is>
          <t>17/04/2026</t>
        </is>
      </c>
      <c r="I6976" s="10" t="inlineStr">
        <is>
          <t>17/03/2026</t>
        </is>
      </c>
      <c r="J6976" s="10" t="inlineStr">
        <is>
          <t>Bán hàng / Kinh doanh, Sản xuất / Vận hành sản xuất, Tiếp thị / Marketing</t>
        </is>
      </c>
      <c r="K6976" s="10" t="inlineStr">
        <is>
          <t>1 - 2 Năm</t>
        </is>
      </c>
      <c r="L6976" s="11">
        <f>HYPERLINK("https://careerviet.vn/vi/tim-viec-lam/international-business-executive.35C6AA1B.html","Xem chi tiết")</f>
        <v/>
      </c>
      <c r="M6976" s="10" t="n"/>
    </row>
    <row r="6977">
      <c r="B6977" s="7" t="n">
        <v>6975</v>
      </c>
      <c r="C6977" t="inlineStr">
        <is>
          <t>IT-Backend Developer (Java/Spring Boot) - Middle to Senior Level</t>
        </is>
      </c>
      <c r="D6977" t="inlineStr">
        <is>
          <t>Ngân Hàng TMCP Phương Đông - OCB</t>
        </is>
      </c>
      <c r="E6977" t="inlineStr">
        <is>
          <t>Lương:Cạnh tranh</t>
        </is>
      </c>
      <c r="F6977" t="inlineStr">
        <is>
          <t>Hồ Chí Minh</t>
        </is>
      </c>
      <c r="G6977" t="inlineStr">
        <is>
          <t>31-03-2026</t>
        </is>
      </c>
      <c r="H6977" t="inlineStr">
        <is>
          <t>31/03/2026</t>
        </is>
      </c>
      <c r="I6977" t="inlineStr">
        <is>
          <t>17/03/2026</t>
        </is>
      </c>
      <c r="J6977" t="inlineStr">
        <is>
          <t>Ngân hàng, Tài chính / Đầu tư</t>
        </is>
      </c>
      <c r="K6977" t="inlineStr">
        <is>
          <t>3 - 5 Năm</t>
        </is>
      </c>
      <c r="L6977" s="8">
        <f>HYPERLINK("https://careerviet.vn/vi/tim-viec-lam/it-backend-developer-java-spring-boot-middle-to-senior-level.35C6AA9C.html","Xem chi tiết")</f>
        <v/>
      </c>
    </row>
    <row r="6978">
      <c r="B6978" s="9" t="n">
        <v>6976</v>
      </c>
      <c r="C6978" s="10" t="inlineStr">
        <is>
          <t>Trưởng Nhóm Tuyển Sinh (Ocean Edu Phù Cừ)</t>
        </is>
      </c>
      <c r="D6978" s="10" t="inlineStr">
        <is>
          <t>Công Ty CP Giáo Dục Đại Dương</t>
        </is>
      </c>
      <c r="E6978" s="10" t="inlineStr">
        <is>
          <t>Lương:Cạnh tranh</t>
        </is>
      </c>
      <c r="F6978" s="10" t="inlineStr">
        <is>
          <t>Hưng Yên</t>
        </is>
      </c>
      <c r="G6978" s="10" t="inlineStr">
        <is>
          <t>02-04-2026</t>
        </is>
      </c>
      <c r="H6978" s="10" t="inlineStr">
        <is>
          <t>02/04/2026</t>
        </is>
      </c>
      <c r="I6978" s="10" t="inlineStr">
        <is>
          <t>17/03/2026</t>
        </is>
      </c>
      <c r="J6978" s="10" t="inlineStr">
        <is>
          <t>Tư vấn, Dịch vụ khách hàng, Giáo dục / Đào tạo</t>
        </is>
      </c>
      <c r="K6978" s="10" t="inlineStr">
        <is>
          <t>1 - 2 Năm</t>
        </is>
      </c>
      <c r="L6978" s="11">
        <f>HYPERLINK("https://careerviet.vn/vi/tim-viec-lam/truong-nhom-tuyen-sinh-ocean-edu-phu-cu.35C6AA0A.html","Xem chi tiết")</f>
        <v/>
      </c>
      <c r="M6978" s="10" t="n"/>
    </row>
    <row r="6979">
      <c r="B6979" s="7" t="n">
        <v>6977</v>
      </c>
      <c r="C6979" t="inlineStr">
        <is>
          <t>Chief Executive Officer (CEO) - ANVIE</t>
        </is>
      </c>
      <c r="D6979" t="inlineStr">
        <is>
          <t>CÔNG TY CỔ PHẦN TẬP ĐOÀN ĐẦU TƯ I.P.A</t>
        </is>
      </c>
      <c r="E6979" t="inlineStr">
        <is>
          <t>Lương:Cạnh tranh</t>
        </is>
      </c>
      <c r="F6979" t="inlineStr">
        <is>
          <t>Hà Nội</t>
        </is>
      </c>
      <c r="G6979" t="inlineStr">
        <is>
          <t>31-03-2026</t>
        </is>
      </c>
      <c r="H6979" t="inlineStr">
        <is>
          <t>31/03/2026</t>
        </is>
      </c>
      <c r="I6979" t="inlineStr">
        <is>
          <t>17/03/2026</t>
        </is>
      </c>
      <c r="J6979" t="inlineStr">
        <is>
          <t>Môi trường, Bán lẻ / Bán sỉ, Thực phẩm &amp; Đồ uống</t>
        </is>
      </c>
      <c r="K6979" t="inlineStr">
        <is>
          <t>Trên 10 Năm</t>
        </is>
      </c>
      <c r="L6979" s="8">
        <f>HYPERLINK("https://careerviet.vn/vi/tim-viec-lam/chief-executive-officer-ceo-anvie.35C6AA35.html","Xem chi tiết")</f>
        <v/>
      </c>
    </row>
    <row r="6980">
      <c r="B6980" s="9" t="n">
        <v>6978</v>
      </c>
      <c r="C6980" s="10" t="inlineStr">
        <is>
          <t>Chuyên viên - Phòng Hỗ trợ tín dụng CIB&amp;FI - Khối Vận hành (HO26.68)</t>
        </is>
      </c>
      <c r="D6980" s="10" t="inlineStr">
        <is>
          <t>Ngân Hàng TMCP Quân Đội</t>
        </is>
      </c>
      <c r="E6980" s="10" t="inlineStr">
        <is>
          <t>Lương:Cạnh tranh</t>
        </is>
      </c>
      <c r="F6980" s="10" t="inlineStr">
        <is>
          <t>Hà Nội</t>
        </is>
      </c>
      <c r="G6980" s="10" t="inlineStr">
        <is>
          <t>03-04-2026</t>
        </is>
      </c>
      <c r="H6980" s="10" t="inlineStr">
        <is>
          <t>03/04/2026</t>
        </is>
      </c>
      <c r="I6980" s="10" t="inlineStr">
        <is>
          <t>17/03/2026</t>
        </is>
      </c>
      <c r="J6980" s="10" t="inlineStr">
        <is>
          <t>Ngân hàng, Tài chính / Đầu tư, Chứng khoán</t>
        </is>
      </c>
      <c r="K6980" s="10" t="inlineStr">
        <is>
          <t>Trên 1 Năm</t>
        </is>
      </c>
      <c r="L6980" s="11">
        <f>HYPERLINK("https://careerviet.vn/vi/tim-viec-lam/chuyen-vien-phong-ho-tro-tin-dung-cib-fi-khoi-van-hanh-ho26-68.35C6AA2A.html","Xem chi tiết")</f>
        <v/>
      </c>
      <c r="M6980" s="10" t="n"/>
    </row>
    <row r="6981">
      <c r="B6981" s="7" t="n">
        <v>6979</v>
      </c>
      <c r="C6981" t="inlineStr">
        <is>
          <t>Trưởng Nhóm Tuyển Sinh (Ocean Edu Vinh 2)</t>
        </is>
      </c>
      <c r="D6981" t="inlineStr">
        <is>
          <t>Công Ty CP Giáo Dục Đại Dương</t>
        </is>
      </c>
      <c r="E6981" t="inlineStr">
        <is>
          <t>Lương:Cạnh tranh</t>
        </is>
      </c>
      <c r="F6981" t="inlineStr">
        <is>
          <t>Nghệ An</t>
        </is>
      </c>
      <c r="G6981" t="inlineStr">
        <is>
          <t>02-04-2026</t>
        </is>
      </c>
      <c r="H6981" t="inlineStr">
        <is>
          <t>02/04/2026</t>
        </is>
      </c>
      <c r="I6981" t="inlineStr">
        <is>
          <t>17/03/2026</t>
        </is>
      </c>
      <c r="J6981" t="inlineStr">
        <is>
          <t>Tư vấn, Dịch vụ khách hàng, Giáo dục / Đào tạo</t>
        </is>
      </c>
      <c r="K6981" t="inlineStr">
        <is>
          <t>1 - 2 Năm</t>
        </is>
      </c>
      <c r="L6981" s="8">
        <f>HYPERLINK("https://careerviet.vn/vi/tim-viec-lam/truong-nhom-tuyen-sinh-ocean-edu-vinh-2.35C6AA10.html","Xem chi tiết")</f>
        <v/>
      </c>
    </row>
    <row r="6982">
      <c r="B6982" s="9" t="n">
        <v>6980</v>
      </c>
      <c r="C6982" s="10" t="inlineStr">
        <is>
          <t>NHÂN VIÊN BẢO TRÌ CƠ KHÍ</t>
        </is>
      </c>
      <c r="D6982" s="10" t="inlineStr">
        <is>
          <t>CÔNG TY TNHH CRYSTAL ELEGANCE TEXTILES VIỆT NAM</t>
        </is>
      </c>
      <c r="E6982" s="10" t="inlineStr">
        <is>
          <t>Lương:9 Tr - 13 Tr VND</t>
        </is>
      </c>
      <c r="F6982" s="10" t="inlineStr">
        <is>
          <t>Bình Dương</t>
        </is>
      </c>
      <c r="G6982" s="10" t="inlineStr">
        <is>
          <t>30-04-2026</t>
        </is>
      </c>
      <c r="H6982" s="10" t="inlineStr">
        <is>
          <t>30/04/2026</t>
        </is>
      </c>
      <c r="I6982" s="10" t="inlineStr">
        <is>
          <t>17/03/2026</t>
        </is>
      </c>
      <c r="J6982" s="10" t="inlineStr">
        <is>
          <t>Cơ khí / Ô tô / Tự động hóa, Bảo trì / Sửa chữa, Sản xuất / Vận hành sản xuất</t>
        </is>
      </c>
      <c r="K6982" s="10" t="inlineStr">
        <is>
          <t>1 - 5 Năm</t>
        </is>
      </c>
      <c r="L6982" s="11">
        <f>HYPERLINK("https://careerviet.vn/vi/tim-viec-lam/nhan-vien-bao-tri-co-khi.35C6A9F4.html","Xem chi tiết")</f>
        <v/>
      </c>
      <c r="M6982" s="10" t="n"/>
    </row>
    <row r="6983">
      <c r="B6983" s="7" t="n">
        <v>6981</v>
      </c>
      <c r="C6983" t="inlineStr">
        <is>
          <t>Nhân viên kỹ thuật ô tô Khu vực Cẩm Phả - Quảng Ninh</t>
        </is>
      </c>
      <c r="D6983" t="inlineStr">
        <is>
          <t>Công Ty TNHH Phát Triển Công Nghệ Điện Tử Bình Anh</t>
        </is>
      </c>
      <c r="E6983" t="inlineStr">
        <is>
          <t>Lương:9 Tr - 11 Tr VND</t>
        </is>
      </c>
      <c r="F6983" t="inlineStr">
        <is>
          <t>Quảng Ninh</t>
        </is>
      </c>
      <c r="G6983" t="inlineStr">
        <is>
          <t>31-03-2026</t>
        </is>
      </c>
      <c r="H6983" t="inlineStr">
        <is>
          <t>31/03/2026</t>
        </is>
      </c>
      <c r="I6983" t="inlineStr">
        <is>
          <t>17/03/2026</t>
        </is>
      </c>
      <c r="J6983" t="inlineStr">
        <is>
          <t>Cơ khí / Ô tô / Tự động hóa, Điện / Điện tử / Điện lạnh / Điện công nghiệp, Bảo trì / Sửa chữa</t>
        </is>
      </c>
      <c r="K6983" t="inlineStr">
        <is>
          <t>N/A</t>
        </is>
      </c>
      <c r="L6983" s="8">
        <f>HYPERLINK("https://careerviet.vn/vi/tim-viec-lam/nhan-vien-ky-thuat-o-to-khu-vuc-cam-pha-quang-ninh.35C6AA15.html","Xem chi tiết")</f>
        <v/>
      </c>
    </row>
    <row r="6984">
      <c r="B6984" s="9" t="n">
        <v>6982</v>
      </c>
      <c r="C6984" s="10" t="inlineStr">
        <is>
          <t>Trưởng Nhóm Tuyển Sinh (Ocean Edu Đô Lương)</t>
        </is>
      </c>
      <c r="D6984" s="10" t="inlineStr">
        <is>
          <t>Công Ty CP Giáo Dục Đại Dương</t>
        </is>
      </c>
      <c r="E6984" s="10" t="inlineStr">
        <is>
          <t>Lương:Cạnh tranh</t>
        </is>
      </c>
      <c r="F6984" s="10" t="inlineStr">
        <is>
          <t>Nghệ An</t>
        </is>
      </c>
      <c r="G6984" s="10" t="inlineStr">
        <is>
          <t>02-04-2026</t>
        </is>
      </c>
      <c r="H6984" s="10" t="inlineStr">
        <is>
          <t>02/04/2026</t>
        </is>
      </c>
      <c r="I6984" s="10" t="inlineStr">
        <is>
          <t>17/03/2026</t>
        </is>
      </c>
      <c r="J6984" s="10" t="inlineStr">
        <is>
          <t>Tư vấn, Dịch vụ khách hàng, Giáo dục / Đào tạo</t>
        </is>
      </c>
      <c r="K6984" s="10" t="inlineStr">
        <is>
          <t>1 - 2 Năm</t>
        </is>
      </c>
      <c r="L6984" s="11">
        <f>HYPERLINK("https://careerviet.vn/vi/tim-viec-lam/truong-nhom-tuyen-sinh-ocean-edu-do-luong.35C6AA14.html","Xem chi tiết")</f>
        <v/>
      </c>
      <c r="M6984" s="10" t="n"/>
    </row>
    <row r="6985">
      <c r="B6985" s="7" t="n">
        <v>6983</v>
      </c>
      <c r="C6985" t="inlineStr">
        <is>
          <t>Trưởng Nhóm Tuyển Sinh (Ocean Edu Xuân Trường)</t>
        </is>
      </c>
      <c r="D6985" t="inlineStr">
        <is>
          <t>Công Ty CP Giáo Dục Đại Dương</t>
        </is>
      </c>
      <c r="E6985" t="inlineStr">
        <is>
          <t>Lương:Cạnh tranh</t>
        </is>
      </c>
      <c r="F6985" t="inlineStr">
        <is>
          <t>Nam Định</t>
        </is>
      </c>
      <c r="G6985" t="inlineStr">
        <is>
          <t>02-04-2026</t>
        </is>
      </c>
      <c r="H6985" t="inlineStr">
        <is>
          <t>02/04/2026</t>
        </is>
      </c>
      <c r="I6985" t="inlineStr">
        <is>
          <t>17/03/2026</t>
        </is>
      </c>
      <c r="J6985" t="inlineStr">
        <is>
          <t>Tư vấn, Dịch vụ khách hàng, Giáo dục / Đào tạo</t>
        </is>
      </c>
      <c r="K6985" t="inlineStr">
        <is>
          <t>1 - 2 Năm</t>
        </is>
      </c>
      <c r="L6985" s="8">
        <f>HYPERLINK("https://careerviet.vn/vi/tim-viec-lam/truong-nhom-tuyen-sinh-ocean-edu-xuan-truong.35C6AA00.html","Xem chi tiết")</f>
        <v/>
      </c>
    </row>
    <row r="6986">
      <c r="B6986" s="9" t="n">
        <v>6984</v>
      </c>
      <c r="C6986" s="10" t="inlineStr">
        <is>
          <t>CHUYÊN VIÊN TƯ VẤN GIÁO DỤC (OCEAN EDU PHÚ THỌ) - THU NHẬP HẤP DẪN TỪ 15 TRIỆU/THÁNG</t>
        </is>
      </c>
      <c r="D6986" s="10" t="inlineStr">
        <is>
          <t>Công Ty CP Giáo Dục Đại Dương</t>
        </is>
      </c>
      <c r="E6986" s="10" t="inlineStr">
        <is>
          <t>Lương:Cạnh tranh</t>
        </is>
      </c>
      <c r="F6986" s="10" t="inlineStr">
        <is>
          <t>Phú Thọ</t>
        </is>
      </c>
      <c r="G6986" s="10" t="inlineStr">
        <is>
          <t>02-04-2026</t>
        </is>
      </c>
      <c r="H6986" s="10" t="inlineStr">
        <is>
          <t>02/04/2026</t>
        </is>
      </c>
      <c r="I6986" s="10" t="inlineStr">
        <is>
          <t>17/03/2026</t>
        </is>
      </c>
      <c r="J6986" s="10" t="inlineStr">
        <is>
          <t>Dịch vụ khách hàng, Giáo dục / Đào tạo, Bán hàng / Kinh doanh</t>
        </is>
      </c>
      <c r="K6986" s="10" t="inlineStr">
        <is>
          <t>Lên đến 1 Năm</t>
        </is>
      </c>
      <c r="L6986" s="11">
        <f>HYPERLINK("https://careerviet.vn/vi/tim-viec-lam/chuyen-vien-tu-van-giao-duc-ocean-edu-phu-tho-thu-nhap-hap-dan-tu-15-trieu-thang.35C6A9CA.html","Xem chi tiết")</f>
        <v/>
      </c>
      <c r="M6986" s="10" t="n"/>
    </row>
    <row r="6987">
      <c r="B6987" s="7" t="n">
        <v>6985</v>
      </c>
      <c r="C6987" t="inlineStr">
        <is>
          <t>CHUYÊN VIÊN TƯ VẤN GIÁO DỤC (OCEAN EDU LÀO CAI) - THU NHẬP HẤP DẪN TỪ 15 TRIỆU/THÁNG</t>
        </is>
      </c>
      <c r="D6987" t="inlineStr">
        <is>
          <t>Công Ty CP Giáo Dục Đại Dương</t>
        </is>
      </c>
      <c r="E6987" t="inlineStr">
        <is>
          <t>Lương:Cạnh tranh</t>
        </is>
      </c>
      <c r="F6987" t="inlineStr">
        <is>
          <t>Lào Cai</t>
        </is>
      </c>
      <c r="G6987" t="inlineStr">
        <is>
          <t>02-04-2026</t>
        </is>
      </c>
      <c r="H6987" t="inlineStr">
        <is>
          <t>02/04/2026</t>
        </is>
      </c>
      <c r="I6987" t="inlineStr">
        <is>
          <t>17/03/2026</t>
        </is>
      </c>
      <c r="J6987" t="inlineStr">
        <is>
          <t>Dịch vụ khách hàng, Giáo dục / Đào tạo, Bán hàng / Kinh doanh</t>
        </is>
      </c>
      <c r="K6987" t="inlineStr">
        <is>
          <t>Lên đến 1 Năm</t>
        </is>
      </c>
      <c r="L6987" s="8">
        <f>HYPERLINK("https://careerviet.vn/vi/tim-viec-lam/chuyen-vien-tu-van-giao-duc-ocean-edu-lao-cai-thu-nhap-hap-dan-tu-15-trieu-thang.35C6A9D7.html","Xem chi tiết")</f>
        <v/>
      </c>
    </row>
    <row r="6988">
      <c r="B6988" s="9" t="n">
        <v>6986</v>
      </c>
      <c r="C6988" s="10" t="inlineStr">
        <is>
          <t>Process Engineer</t>
        </is>
      </c>
      <c r="D6988" s="10" t="inlineStr">
        <is>
          <t>Công ty TNHH AOBA Việt Nam</t>
        </is>
      </c>
      <c r="E6988" s="10" t="inlineStr">
        <is>
          <t>Lương:Cạnh tranh</t>
        </is>
      </c>
      <c r="F6988" s="10" t="inlineStr">
        <is>
          <t>Đồng Nai</t>
        </is>
      </c>
      <c r="G6988" s="10" t="inlineStr">
        <is>
          <t>04-04-2026</t>
        </is>
      </c>
      <c r="H6988" s="10" t="inlineStr">
        <is>
          <t>04/04/2026</t>
        </is>
      </c>
      <c r="I6988" s="10" t="inlineStr">
        <is>
          <t>17/03/2026</t>
        </is>
      </c>
      <c r="J6988" s="10" t="inlineStr">
        <is>
          <t>Sản xuất / Vận hành sản xuất</t>
        </is>
      </c>
      <c r="K6988" s="10" t="inlineStr">
        <is>
          <t>3 - 10 Năm</t>
        </is>
      </c>
      <c r="L6988" s="11">
        <f>HYPERLINK("https://careerviet.vn/vi/tim-viec-lam/process-engineer.35C6A96B.html","Xem chi tiết")</f>
        <v/>
      </c>
      <c r="M6988" s="10" t="n"/>
    </row>
    <row r="6989">
      <c r="B6989" s="7" t="n">
        <v>6987</v>
      </c>
      <c r="C6989" t="inlineStr">
        <is>
          <t>CHUYÊN VIÊN TƯ VẤN GIÁO DỤC (OCEAN EDU PHÙ CỪ) - THU NHẬP HẤP DẪN TỪ 15 TRIỆU/THÁNG</t>
        </is>
      </c>
      <c r="D6989" t="inlineStr">
        <is>
          <t>Công Ty CP Giáo Dục Đại Dương</t>
        </is>
      </c>
      <c r="E6989" t="inlineStr">
        <is>
          <t>Lương:Cạnh tranh</t>
        </is>
      </c>
      <c r="F6989" t="inlineStr">
        <is>
          <t>Hưng Yên</t>
        </is>
      </c>
      <c r="G6989" t="inlineStr">
        <is>
          <t>02-04-2026</t>
        </is>
      </c>
      <c r="H6989" t="inlineStr">
        <is>
          <t>02/04/2026</t>
        </is>
      </c>
      <c r="I6989" t="inlineStr">
        <is>
          <t>17/03/2026</t>
        </is>
      </c>
      <c r="J6989" t="inlineStr">
        <is>
          <t>Dịch vụ khách hàng, Giáo dục / Đào tạo, Bán hàng / Kinh doanh</t>
        </is>
      </c>
      <c r="K6989" t="inlineStr">
        <is>
          <t>Lên đến 1 Năm</t>
        </is>
      </c>
      <c r="L6989" s="8">
        <f>HYPERLINK("https://careerviet.vn/vi/tim-viec-lam/chuyen-vien-tu-van-giao-duc-ocean-edu-phu-cu-thu-nhap-hap-dan-tu-15-trieu-thang.35C6A9F3.html","Xem chi tiết")</f>
        <v/>
      </c>
    </row>
    <row r="6990">
      <c r="B6990" s="9" t="n">
        <v>6988</v>
      </c>
      <c r="C6990" s="10" t="inlineStr">
        <is>
          <t>Giáo Viên Chủ Nhiệm (Ocean Edu Quỳnh Lưu) - Trúng Tuyển Đi Làm Luôn</t>
        </is>
      </c>
      <c r="D6990" s="10" t="inlineStr">
        <is>
          <t>Công Ty CP Giáo Dục Đại Dương</t>
        </is>
      </c>
      <c r="E6990" s="10" t="inlineStr">
        <is>
          <t>Lương:Cạnh tranh</t>
        </is>
      </c>
      <c r="F6990" s="10" t="inlineStr">
        <is>
          <t>Nghệ An</t>
        </is>
      </c>
      <c r="G6990" s="10" t="inlineStr">
        <is>
          <t>02-04-2026</t>
        </is>
      </c>
      <c r="H6990" s="10" t="inlineStr">
        <is>
          <t>02/04/2026</t>
        </is>
      </c>
      <c r="I6990" s="10" t="inlineStr">
        <is>
          <t>17/03/2026</t>
        </is>
      </c>
      <c r="J6990" s="10" t="inlineStr">
        <is>
          <t>Giáo dục / Đào tạo, Bán hàng / Kinh doanh, Biên phiên dịch</t>
        </is>
      </c>
      <c r="K6990" s="10" t="inlineStr">
        <is>
          <t>Trên 1 Năm</t>
        </is>
      </c>
      <c r="L6990" s="11">
        <f>HYPERLINK("https://careerviet.vn/vi/tim-viec-lam/giao-vien-chu-nhiem-ocean-edu-quynh-luu-trung-tuyen-di-lam-luon.35C6A9A3.html","Xem chi tiết")</f>
        <v/>
      </c>
      <c r="M6990" s="10" t="n"/>
    </row>
    <row r="6991">
      <c r="B6991" s="7" t="n">
        <v>6989</v>
      </c>
      <c r="C6991" t="inlineStr">
        <is>
          <t>IE Technician</t>
        </is>
      </c>
      <c r="D6991" t="inlineStr">
        <is>
          <t>Techtronic Industries Vietnam Manufacturing Company Limited</t>
        </is>
      </c>
      <c r="E6991" t="inlineStr">
        <is>
          <t>Lương:Cạnh tranh</t>
        </is>
      </c>
      <c r="F6991" t="inlineStr">
        <is>
          <t>Hồ Chí Minh</t>
        </is>
      </c>
      <c r="G6991" t="inlineStr">
        <is>
          <t>02-04-2026</t>
        </is>
      </c>
      <c r="H6991" t="inlineStr">
        <is>
          <t>02/04/2026</t>
        </is>
      </c>
      <c r="I6991" t="inlineStr">
        <is>
          <t>17/03/2026</t>
        </is>
      </c>
      <c r="J6991" t="inlineStr">
        <is>
          <t>Sản xuất / Vận hành sản xuất, Điện / Điện tử / Điện lạnh / Điện công nghiệp</t>
        </is>
      </c>
      <c r="K6991" t="inlineStr">
        <is>
          <t>Chưa có kinh nghiệm</t>
        </is>
      </c>
      <c r="L6991" s="8">
        <f>HYPERLINK("https://careerviet.vn/vi/tim-viec-lam/ie-technician.35C6A9FC.html","Xem chi tiết")</f>
        <v/>
      </c>
    </row>
    <row r="6992">
      <c r="B6992" s="9" t="n">
        <v>6990</v>
      </c>
      <c r="C6992" s="10" t="inlineStr">
        <is>
          <t>HRBP</t>
        </is>
      </c>
      <c r="D6992" s="10" t="inlineStr">
        <is>
          <t>Jabil Vietnam</t>
        </is>
      </c>
      <c r="E6992" s="10" t="inlineStr">
        <is>
          <t>Lương:Cạnh tranh</t>
        </is>
      </c>
      <c r="F6992" s="10" t="inlineStr">
        <is>
          <t>Hồ Chí Minh</t>
        </is>
      </c>
      <c r="G6992" s="10" t="inlineStr">
        <is>
          <t>01-05-2026</t>
        </is>
      </c>
      <c r="H6992" s="10" t="inlineStr">
        <is>
          <t>01/05/2026</t>
        </is>
      </c>
      <c r="I6992" s="10" t="inlineStr">
        <is>
          <t>17/03/2026</t>
        </is>
      </c>
      <c r="J6992" s="10" t="inlineStr">
        <is>
          <t>Điện / Điện tử / Điện lạnh / Điện công nghiệp</t>
        </is>
      </c>
      <c r="K6992" s="10" t="inlineStr">
        <is>
          <t>7 - 15 Năm</t>
        </is>
      </c>
      <c r="L6992" s="11">
        <f>HYPERLINK("https://careerviet.vn/vi/tim-viec-lam/hrbp.35C6A9B9.html","Xem chi tiết")</f>
        <v/>
      </c>
      <c r="M6992" s="10" t="n"/>
    </row>
    <row r="6993">
      <c r="B6993" s="7" t="n">
        <v>6991</v>
      </c>
      <c r="C6993" t="inlineStr">
        <is>
          <t>Nhân Viên Sale Admin (Ocean Edu Phú Thọ) - Thu nhập từ 15 triệu/tháng - Phỏng vấn đi làm ngay</t>
        </is>
      </c>
      <c r="D6993" t="inlineStr">
        <is>
          <t>Công Ty CP Giáo Dục Đại Dương</t>
        </is>
      </c>
      <c r="E6993" t="inlineStr">
        <is>
          <t>Lương:Cạnh tranh</t>
        </is>
      </c>
      <c r="F6993" t="inlineStr">
        <is>
          <t>Phú Thọ</t>
        </is>
      </c>
      <c r="G6993" t="inlineStr">
        <is>
          <t>02-04-2026</t>
        </is>
      </c>
      <c r="H6993" t="inlineStr">
        <is>
          <t>02/04/2026</t>
        </is>
      </c>
      <c r="I6993" t="inlineStr">
        <is>
          <t>17/03/2026</t>
        </is>
      </c>
      <c r="J6993" t="inlineStr">
        <is>
          <t>Kế toán / Kiểm toán, Giáo dục / Đào tạo, Nhân sự</t>
        </is>
      </c>
      <c r="K6993" t="inlineStr">
        <is>
          <t>Lên đến 1 Năm</t>
        </is>
      </c>
      <c r="L6993" s="8">
        <f>HYPERLINK("https://careerviet.vn/vi/tim-viec-lam/nhan-vien-sale-admin-ocean-edu-phu-tho-thu-nhap-tu-15-trieu-thang-phong-van-di-lam-ngay.35C6A9BD.html","Xem chi tiết")</f>
        <v/>
      </c>
    </row>
    <row r="6994">
      <c r="B6994" s="9" t="n">
        <v>6992</v>
      </c>
      <c r="C6994" s="10" t="inlineStr">
        <is>
          <t>Chuyên viên Phát triển dự án (Xây dựng, Năng lượng tái tạo)</t>
        </is>
      </c>
      <c r="D6994" s="10" t="inlineStr">
        <is>
          <t>Tổng Công ty Cổ phần Công trình Viettel</t>
        </is>
      </c>
      <c r="E6994" s="10" t="inlineStr">
        <is>
          <t>Lương:Cạnh tranh</t>
        </is>
      </c>
      <c r="F6994" s="10" t="inlineStr">
        <is>
          <t>Hà Nội</t>
        </is>
      </c>
      <c r="G6994" s="10" t="inlineStr">
        <is>
          <t>02-04-2026</t>
        </is>
      </c>
      <c r="H6994" s="10" t="inlineStr">
        <is>
          <t>02/04/2026</t>
        </is>
      </c>
      <c r="I6994" s="10" t="inlineStr">
        <is>
          <t>17/03/2026</t>
        </is>
      </c>
      <c r="J6994" s="10" t="inlineStr">
        <is>
          <t>Xây dựng, Bán hàng / Kinh doanh, Điện / Điện tử / Điện lạnh / Điện công nghiệp</t>
        </is>
      </c>
      <c r="K6994" s="10" t="inlineStr">
        <is>
          <t>Trên 2 Năm</t>
        </is>
      </c>
      <c r="L6994" s="11">
        <f>HYPERLINK("https://careerviet.vn/vi/tim-viec-lam/chuyen-vien-phat-trien-du-an-xay-dung-nang-luong-tai-tao.35C6A81A.html","Xem chi tiết")</f>
        <v/>
      </c>
      <c r="M6994" s="10" t="n"/>
    </row>
    <row r="6995">
      <c r="B6995" s="7" t="n">
        <v>6993</v>
      </c>
      <c r="C6995" t="inlineStr">
        <is>
          <t>CHUYÊN VIÊN TƯ VẤN GIÁO DỤC (OCEAN EDU TIÊN DU) - THU NHẬP HẤP DẪN TỪ 15 TRIỆU/THÁNG</t>
        </is>
      </c>
      <c r="D6995" t="inlineStr">
        <is>
          <t>Công Ty CP Giáo Dục Đại Dương</t>
        </is>
      </c>
      <c r="E6995" t="inlineStr">
        <is>
          <t>Lương:Cạnh tranh</t>
        </is>
      </c>
      <c r="F6995" t="inlineStr">
        <is>
          <t>Bắc Ninh</t>
        </is>
      </c>
      <c r="G6995" t="inlineStr">
        <is>
          <t>02-04-2026</t>
        </is>
      </c>
      <c r="H6995" t="inlineStr">
        <is>
          <t>02/04/2026</t>
        </is>
      </c>
      <c r="I6995" t="inlineStr">
        <is>
          <t>17/03/2026</t>
        </is>
      </c>
      <c r="J6995" t="inlineStr">
        <is>
          <t>Dịch vụ khách hàng, Giáo dục / Đào tạo, Bán hàng / Kinh doanh</t>
        </is>
      </c>
      <c r="K6995" t="inlineStr">
        <is>
          <t>Lên đến 1 Năm</t>
        </is>
      </c>
      <c r="L6995" s="8">
        <f>HYPERLINK("https://careerviet.vn/vi/tim-viec-lam/chuyen-vien-tu-van-giao-duc-ocean-edu-tien-du-thu-nhap-hap-dan-tu-15-trieu-thang.35C6A9E2.html","Xem chi tiết")</f>
        <v/>
      </c>
    </row>
    <row r="6996">
      <c r="B6996" s="9" t="n">
        <v>6994</v>
      </c>
      <c r="C6996" s="10" t="inlineStr">
        <is>
          <t>CHUYÊN VIÊN TƯ VẤN GIÁO DỤC (OCEAN EDU VINH 3) - THU NHẬP HẤP DẪN TỪ 15 TRIỆU/THÁNG</t>
        </is>
      </c>
      <c r="D6996" s="10" t="inlineStr">
        <is>
          <t>Công Ty CP Giáo Dục Đại Dương</t>
        </is>
      </c>
      <c r="E6996" s="10" t="inlineStr">
        <is>
          <t>Lương:Cạnh tranh</t>
        </is>
      </c>
      <c r="F6996" s="10" t="inlineStr">
        <is>
          <t>Nghệ An</t>
        </is>
      </c>
      <c r="G6996" s="10" t="inlineStr">
        <is>
          <t>02-04-2026</t>
        </is>
      </c>
      <c r="H6996" s="10" t="inlineStr">
        <is>
          <t>02/04/2026</t>
        </is>
      </c>
      <c r="I6996" s="10" t="inlineStr">
        <is>
          <t>17/03/2026</t>
        </is>
      </c>
      <c r="J6996" s="10" t="inlineStr">
        <is>
          <t>Dịch vụ khách hàng, Giáo dục / Đào tạo, Bán hàng / Kinh doanh</t>
        </is>
      </c>
      <c r="K6996" s="10" t="inlineStr">
        <is>
          <t>Lên đến 1 Năm</t>
        </is>
      </c>
      <c r="L6996" s="11">
        <f>HYPERLINK("https://careerviet.vn/vi/tim-viec-lam/chuyen-vien-tu-van-giao-duc-ocean-edu-vinh-3-thu-nhap-hap-dan-tu-15-trieu-thang.35C6A9C8.html","Xem chi tiết")</f>
        <v/>
      </c>
      <c r="M6996" s="10" t="n"/>
    </row>
    <row r="6997">
      <c r="B6997" s="7" t="n">
        <v>6995</v>
      </c>
      <c r="C6997" t="inlineStr">
        <is>
          <t>CHUYÊN VIÊN TƯ VẤN GIÁO DỤC (OCEAN EDU YÊN BÁI) - THU NHẬP HẤP DẪN TỪ 15 TRIỆU/THÁNG</t>
        </is>
      </c>
      <c r="D6997" t="inlineStr">
        <is>
          <t>Công Ty CP Giáo Dục Đại Dương</t>
        </is>
      </c>
      <c r="E6997" t="inlineStr">
        <is>
          <t>Lương:Cạnh tranh</t>
        </is>
      </c>
      <c r="F6997" t="inlineStr">
        <is>
          <t>Yên Bái</t>
        </is>
      </c>
      <c r="G6997" t="inlineStr">
        <is>
          <t>02-04-2026</t>
        </is>
      </c>
      <c r="H6997" t="inlineStr">
        <is>
          <t>02/04/2026</t>
        </is>
      </c>
      <c r="I6997" t="inlineStr">
        <is>
          <t>17/03/2026</t>
        </is>
      </c>
      <c r="J6997" t="inlineStr">
        <is>
          <t>Dịch vụ khách hàng, Giáo dục / Đào tạo, Bán hàng / Kinh doanh</t>
        </is>
      </c>
      <c r="K6997" t="inlineStr">
        <is>
          <t>Lên đến 1 Năm</t>
        </is>
      </c>
      <c r="L6997" s="8">
        <f>HYPERLINK("https://careerviet.vn/vi/tim-viec-lam/chuyen-vien-tu-van-giao-duc-ocean-edu-yen-bai-thu-nhap-hap-dan-tu-15-trieu-thang.35C6A9CF.html","Xem chi tiết")</f>
        <v/>
      </c>
    </row>
    <row r="6998">
      <c r="B6998" s="9" t="n">
        <v>6996</v>
      </c>
      <c r="C6998" s="10" t="inlineStr">
        <is>
          <t>Nhân viên Kinh doanh</t>
        </is>
      </c>
      <c r="D6998" s="10" t="inlineStr">
        <is>
          <t>CÔNG TY CỔ PHẦN DỊCH VỤ CIRCO</t>
        </is>
      </c>
      <c r="E6998" s="10" t="inlineStr">
        <is>
          <t>Lương:11 Tr - 20 Tr VND</t>
        </is>
      </c>
      <c r="F6998" s="10" t="inlineStr">
        <is>
          <t>Hồ Chí Minh</t>
        </is>
      </c>
      <c r="G6998" s="10" t="inlineStr">
        <is>
          <t>04-04-2026</t>
        </is>
      </c>
      <c r="H6998" s="10" t="inlineStr">
        <is>
          <t>04/04/2026</t>
        </is>
      </c>
      <c r="I6998" s="10" t="inlineStr">
        <is>
          <t>17/03/2026</t>
        </is>
      </c>
      <c r="J6998" s="10" t="inlineStr">
        <is>
          <t>Bán hàng / Kinh doanh, Bất động sản</t>
        </is>
      </c>
      <c r="K6998" s="10" t="inlineStr">
        <is>
          <t>1 - 2 Năm</t>
        </is>
      </c>
      <c r="L6998" s="11">
        <f>HYPERLINK("https://careerviet.vn/vi/tim-viec-lam/nhan-vien-kinh-doanh.35C6A8E5.html","Xem chi tiết")</f>
        <v/>
      </c>
      <c r="M6998" s="10" t="n"/>
    </row>
    <row r="6999">
      <c r="B6999" s="7" t="n">
        <v>6997</v>
      </c>
      <c r="C6999" t="inlineStr">
        <is>
          <t>Giám sát bán hàng kênh MT</t>
        </is>
      </c>
      <c r="D6999" t="inlineStr">
        <is>
          <t>Công ty Cổ phần UYN (UYN Joint Stock Company)</t>
        </is>
      </c>
      <c r="E6999" t="inlineStr">
        <is>
          <t>Lương:13 Tr - 15 Tr VND</t>
        </is>
      </c>
      <c r="F6999" t="inlineStr">
        <is>
          <t>Hà Nội</t>
        </is>
      </c>
      <c r="G6999" t="inlineStr">
        <is>
          <t>14-04-2026</t>
        </is>
      </c>
      <c r="H6999" t="inlineStr">
        <is>
          <t>14/04/2026</t>
        </is>
      </c>
      <c r="I6999" t="inlineStr">
        <is>
          <t>17/03/2026</t>
        </is>
      </c>
      <c r="J6999" t="inlineStr">
        <is>
          <t>Bán hàng / Kinh doanh, Bán lẻ / Bán sỉ, Thực phẩm &amp; Đồ uống</t>
        </is>
      </c>
      <c r="K6999" t="inlineStr">
        <is>
          <t>Trên 2 Năm</t>
        </is>
      </c>
      <c r="L6999" s="8">
        <f>HYPERLINK("https://careerviet.vn/vi/tim-viec-lam/giam-sat-ban-hang-kenh-mt.35C68A8A.html","Xem chi tiết")</f>
        <v/>
      </c>
    </row>
    <row r="7000">
      <c r="B7000" s="9" t="n">
        <v>6998</v>
      </c>
      <c r="C7000" s="10" t="inlineStr">
        <is>
          <t>Nhân Viên Kỹ Thuật Dịch Vụ Khách Hàng (CTS)</t>
        </is>
      </c>
      <c r="D7000" s="10" t="inlineStr">
        <is>
          <t>CÔNG TY TNHH BỘT SƠN TĨNH ĐIỆN KIM THÀNH PHÁT</t>
        </is>
      </c>
      <c r="E7000" s="10" t="inlineStr">
        <is>
          <t>Lương:Cạnh tranh</t>
        </is>
      </c>
      <c r="F7000" s="10" t="inlineStr">
        <is>
          <t>Long AnTây Ninh</t>
        </is>
      </c>
      <c r="G7000" s="10" t="inlineStr">
        <is>
          <t>03-04-2026</t>
        </is>
      </c>
      <c r="H7000" s="10" t="inlineStr">
        <is>
          <t>03/04/2026</t>
        </is>
      </c>
      <c r="I7000" s="10" t="inlineStr">
        <is>
          <t>17/03/2026</t>
        </is>
      </c>
      <c r="J7000" s="10" t="inlineStr">
        <is>
          <t>Hóa học, Dịch vụ khách hàng</t>
        </is>
      </c>
      <c r="K7000" s="10" t="inlineStr">
        <is>
          <t>1 - 3 Năm</t>
        </is>
      </c>
      <c r="L7000" s="11">
        <f>HYPERLINK("https://careerviet.vn/vi/tim-viec-lam/nhan-vien-ky-thuat-dich-vu-khach-hang-cts.35C6A9B4.html","Xem chi tiết")</f>
        <v/>
      </c>
      <c r="M7000" s="10" t="n"/>
    </row>
    <row r="7001">
      <c r="B7001" s="7" t="n">
        <v>6999</v>
      </c>
      <c r="C7001" t="inlineStr">
        <is>
          <t>CHUYÊN VIÊN TƯ VẤN GIÁO DỤC (OCEAN EDU GIAO THỦY) - THU NHẬP HẤP DẪN TỪ 15 TRIỆU/THÁNG</t>
        </is>
      </c>
      <c r="D7001" t="inlineStr">
        <is>
          <t>Công Ty CP Giáo Dục Đại Dương</t>
        </is>
      </c>
      <c r="E7001" t="inlineStr">
        <is>
          <t>Lương:Cạnh tranh</t>
        </is>
      </c>
      <c r="F7001" t="inlineStr">
        <is>
          <t>Nam Định</t>
        </is>
      </c>
      <c r="G7001" t="inlineStr">
        <is>
          <t>02-04-2026</t>
        </is>
      </c>
      <c r="H7001" t="inlineStr">
        <is>
          <t>02/04/2026</t>
        </is>
      </c>
      <c r="I7001" t="inlineStr">
        <is>
          <t>17/03/2026</t>
        </is>
      </c>
      <c r="J7001" t="inlineStr">
        <is>
          <t>Dịch vụ khách hàng, Giáo dục / Đào tạo, Bán hàng / Kinh doanh</t>
        </is>
      </c>
      <c r="K7001" t="inlineStr">
        <is>
          <t>Lên đến 1 Năm</t>
        </is>
      </c>
      <c r="L7001" s="8">
        <f>HYPERLINK("https://careerviet.vn/vi/tim-viec-lam/chuyen-vien-tu-van-giao-duc-ocean-edu-giao-thuy-thu-nhap-hap-dan-tu-15-trieu-thang.35C6A9C9.html","Xem chi tiết")</f>
        <v/>
      </c>
    </row>
    <row r="7002">
      <c r="B7002" s="9" t="n">
        <v>7000</v>
      </c>
      <c r="C7002" s="10" t="inlineStr">
        <is>
          <t>Nhân Viên Điều Phối, Hỗ Trợ</t>
        </is>
      </c>
      <c r="D7002" s="10" t="inlineStr">
        <is>
          <t>CÔNG TY CỔ PHẦN THIẾT BỊ CÔNG NGHIỆP GEIC</t>
        </is>
      </c>
      <c r="E7002" s="10" t="inlineStr">
        <is>
          <t>Lương:Cạnh tranh</t>
        </is>
      </c>
      <c r="F7002" s="10" t="inlineStr">
        <is>
          <t>Hà Nội</t>
        </is>
      </c>
      <c r="G7002" s="10" t="inlineStr">
        <is>
          <t>03-04-2026</t>
        </is>
      </c>
      <c r="H7002" s="10" t="inlineStr">
        <is>
          <t>03/04/2026</t>
        </is>
      </c>
      <c r="I7002" s="10" t="inlineStr">
        <is>
          <t>17/03/2026</t>
        </is>
      </c>
      <c r="J7002" s="10" t="inlineStr">
        <is>
          <t>Bán hàng / Kinh doanh, Tư vấn, Vận chuyển / Giao nhận / Kho vận</t>
        </is>
      </c>
      <c r="K7002" s="10" t="inlineStr">
        <is>
          <t>1 - 4 Năm</t>
        </is>
      </c>
      <c r="L7002" s="11">
        <f>HYPERLINK("https://careerviet.vn/vi/tim-viec-lam/nhan-vien-dieu-phoi-ho-tro.35C6A942.html","Xem chi tiết")</f>
        <v/>
      </c>
      <c r="M7002" s="10" t="n"/>
    </row>
    <row r="7003">
      <c r="B7003" s="7" t="n">
        <v>7001</v>
      </c>
      <c r="C7003" t="inlineStr">
        <is>
          <t>CVC/CVCC Quan hệ khách hàng ưu tiên - Hưng Yên - TA 187</t>
        </is>
      </c>
      <c r="D7003" t="inlineStr">
        <is>
          <t>Ngân Hàng TMCP Việt Nam Thịnh Vượng - VPBANK</t>
        </is>
      </c>
      <c r="E7003" t="inlineStr">
        <is>
          <t>Lương:20 Tr - 30 Tr VND</t>
        </is>
      </c>
      <c r="F7003" t="inlineStr">
        <is>
          <t>Hưng Yên</t>
        </is>
      </c>
      <c r="G7003" t="inlineStr">
        <is>
          <t>15-04-2026</t>
        </is>
      </c>
      <c r="H7003" t="inlineStr">
        <is>
          <t>15/04/2026</t>
        </is>
      </c>
      <c r="I7003" t="inlineStr">
        <is>
          <t>17/03/2026</t>
        </is>
      </c>
      <c r="J7003" t="inlineStr">
        <is>
          <t>Ngân hàng</t>
        </is>
      </c>
      <c r="K7003" t="inlineStr">
        <is>
          <t>Trên 2 Năm</t>
        </is>
      </c>
      <c r="L7003" s="8">
        <f>HYPERLINK("https://careerviet.vn/vi/tim-viec-lam/cvc-cvcc-quan-he-khach-hang-uu-tien-hung-yen-ta-187.35C65BB0.html","Xem chi tiết")</f>
        <v/>
      </c>
    </row>
    <row r="7004">
      <c r="B7004" s="9" t="n">
        <v>7002</v>
      </c>
      <c r="C7004" s="10" t="inlineStr">
        <is>
          <t>CHUYÊN VIÊN KỸ THUẬT BẢO TRÌ (CƠ KHÍ, MÁY CNC,...)</t>
        </is>
      </c>
      <c r="D7004" s="10" t="inlineStr">
        <is>
          <t>CÔNG TY TNHH MTV CHẾ TÁC VÀ KINH DOANH TRANG SỨC PNJ</t>
        </is>
      </c>
      <c r="E7004" s="10" t="inlineStr">
        <is>
          <t>Lương:13 Tr - 16 Tr VND</t>
        </is>
      </c>
      <c r="F7004" s="10" t="inlineStr">
        <is>
          <t>Long An</t>
        </is>
      </c>
      <c r="G7004" s="10" t="inlineStr">
        <is>
          <t>30-04-2026</t>
        </is>
      </c>
      <c r="H7004" s="10" t="inlineStr">
        <is>
          <t>30/04/2026</t>
        </is>
      </c>
      <c r="I7004" s="10" t="inlineStr">
        <is>
          <t>17/03/2026</t>
        </is>
      </c>
      <c r="J7004" s="10" t="inlineStr">
        <is>
          <t>Cơ khí / Ô tô / Tự động hóa, Bảo trì / Sửa chữa, Sản xuất / Vận hành sản xuất</t>
        </is>
      </c>
      <c r="K7004" s="10" t="inlineStr">
        <is>
          <t>3 - 4 Năm</t>
        </is>
      </c>
      <c r="L7004" s="11">
        <f>HYPERLINK("https://careerviet.vn/vi/tim-viec-lam/chuyen-vien-ky-thuat-bao-tri-co-khi-may-cnc.35C6A9DF.html","Xem chi tiết")</f>
        <v/>
      </c>
      <c r="M7004" s="10" t="n"/>
    </row>
    <row r="7005">
      <c r="B7005" s="7" t="n">
        <v>7003</v>
      </c>
      <c r="C7005" t="inlineStr">
        <is>
          <t>Nhân Viên Kế Toán – Thuế</t>
        </is>
      </c>
      <c r="D7005" t="inlineStr">
        <is>
          <t>CÔNG TY TNHH DỊCH VỤ TƯ VẤN BẠN ĐỒNG HÀNH</t>
        </is>
      </c>
      <c r="E7005" t="inlineStr">
        <is>
          <t>Lương:8 Tr - 15 Tr VND</t>
        </is>
      </c>
      <c r="F7005" t="inlineStr">
        <is>
          <t>Hồ Chí Minh</t>
        </is>
      </c>
      <c r="G7005" t="inlineStr">
        <is>
          <t>15-04-2026</t>
        </is>
      </c>
      <c r="H7005" t="inlineStr">
        <is>
          <t>15/04/2026</t>
        </is>
      </c>
      <c r="I7005" t="inlineStr">
        <is>
          <t>17/03/2026</t>
        </is>
      </c>
      <c r="J7005" t="inlineStr">
        <is>
          <t>Kế toán / Kiểm toán, Tài chính / Đầu tư, Luật / Pháp lý</t>
        </is>
      </c>
      <c r="K7005" t="inlineStr">
        <is>
          <t>Lên đến 5 Năm</t>
        </is>
      </c>
      <c r="L7005" s="8">
        <f>HYPERLINK("https://careerviet.vn/vi/tim-viec-lam/nhan-vien-ke-toan-thue.35C68982.html","Xem chi tiết")</f>
        <v/>
      </c>
    </row>
    <row r="7006">
      <c r="B7006" s="9" t="n">
        <v>7004</v>
      </c>
      <c r="C7006" s="10" t="inlineStr">
        <is>
          <t>Nhân Viên Sale Admin (Ocean Edu Giao Thủy) - Thu nhập từ 13 triệu/tháng - Phỏng vấn đi làm ngay</t>
        </is>
      </c>
      <c r="D7006" s="10" t="inlineStr">
        <is>
          <t>Công Ty CP Giáo Dục Đại Dương</t>
        </is>
      </c>
      <c r="E7006" s="10" t="inlineStr">
        <is>
          <t>Lương:Cạnh tranh</t>
        </is>
      </c>
      <c r="F7006" s="10" t="inlineStr">
        <is>
          <t>Nam Định</t>
        </is>
      </c>
      <c r="G7006" s="10" t="inlineStr">
        <is>
          <t>02-04-2026</t>
        </is>
      </c>
      <c r="H7006" s="10" t="inlineStr">
        <is>
          <t>02/04/2026</t>
        </is>
      </c>
      <c r="I7006" s="10" t="inlineStr">
        <is>
          <t>17/03/2026</t>
        </is>
      </c>
      <c r="J7006" s="10" t="inlineStr">
        <is>
          <t>Kế toán / Kiểm toán, Giáo dục / Đào tạo, Nhân sự</t>
        </is>
      </c>
      <c r="K7006" s="10" t="inlineStr">
        <is>
          <t>Lên đến 1 Năm</t>
        </is>
      </c>
      <c r="L7006" s="11">
        <f>HYPERLINK("https://careerviet.vn/vi/tim-viec-lam/nhan-vien-sale-admin-ocean-edu-giao-thuy-thu-nhap-tu-13-trieu-thang-phong-van-di-lam-ngay.35C6A9B8.html","Xem chi tiết")</f>
        <v/>
      </c>
      <c r="M7006" s="10" t="n"/>
    </row>
    <row r="7007">
      <c r="B7007" s="7" t="n">
        <v>7005</v>
      </c>
      <c r="C7007" t="inlineStr">
        <is>
          <t>TRADE MARKETING</t>
        </is>
      </c>
      <c r="D7007" t="inlineStr">
        <is>
          <t>DILIGO</t>
        </is>
      </c>
      <c r="E7007" t="inlineStr">
        <is>
          <t>Lương:10 Tr - 15 Tr VND</t>
        </is>
      </c>
      <c r="F7007" t="inlineStr">
        <is>
          <t>Hồ Chí Minh</t>
        </is>
      </c>
      <c r="G7007" t="inlineStr">
        <is>
          <t>31-03-2026</t>
        </is>
      </c>
      <c r="H7007" t="inlineStr">
        <is>
          <t>31/03/2026</t>
        </is>
      </c>
      <c r="I7007" t="inlineStr">
        <is>
          <t>17/03/2026</t>
        </is>
      </c>
      <c r="J7007" t="inlineStr">
        <is>
          <t>Bán hàng / Kinh doanh, Bán lẻ / Bán sỉ, Tiếp thị / Marketing</t>
        </is>
      </c>
      <c r="K7007" t="inlineStr">
        <is>
          <t>Lên đến 2 Năm</t>
        </is>
      </c>
      <c r="L7007" s="8">
        <f>HYPERLINK("https://careerviet.vn/vi/tim-viec-lam/trade-marketing.35C6A74F.html","Xem chi tiết")</f>
        <v/>
      </c>
    </row>
    <row r="7008">
      <c r="B7008" s="9" t="n">
        <v>7006</v>
      </c>
      <c r="C7008" s="10" t="inlineStr">
        <is>
          <t>NHÂN VIÊN KẾ HOẠCH MUA HÀNG (NGÀNH NỘI THẤT)</t>
        </is>
      </c>
      <c r="D7008" s="10" t="inlineStr">
        <is>
          <t>CÔNG TY CỔ PHẦN SẢN XUẤT THƯƠNG MẠI XÂY DỰNG TRANG TRÍ NỘI THẤT G.S VIỆT NAM</t>
        </is>
      </c>
      <c r="E7008" s="10" t="inlineStr">
        <is>
          <t>Lương:Trên 12 Tr VND</t>
        </is>
      </c>
      <c r="F7008" s="10" t="inlineStr">
        <is>
          <t>Bình Dương</t>
        </is>
      </c>
      <c r="G7008" s="10" t="inlineStr">
        <is>
          <t>30-04-2026</t>
        </is>
      </c>
      <c r="H7008" s="10" t="inlineStr">
        <is>
          <t>30/04/2026</t>
        </is>
      </c>
      <c r="I7008" s="10" t="inlineStr">
        <is>
          <t>17/03/2026</t>
        </is>
      </c>
      <c r="J7008" s="10" t="inlineStr">
        <is>
          <t>Bán hàng / Kinh doanh, Thương mại điện tử, Nội ngoại thất</t>
        </is>
      </c>
      <c r="K7008" s="10" t="inlineStr">
        <is>
          <t>1 - 3 Năm</t>
        </is>
      </c>
      <c r="L7008" s="11">
        <f>HYPERLINK("https://careerviet.vn/vi/tim-viec-lam/nhan-vien-ke-hoach-mua-hang-nganh-noi-that.35C6A8B4.html","Xem chi tiết")</f>
        <v/>
      </c>
      <c r="M7008" s="10" t="n"/>
    </row>
    <row r="7009">
      <c r="B7009" s="7" t="n">
        <v>7007</v>
      </c>
      <c r="C7009" t="inlineStr">
        <is>
          <t>Chuyên viên Phòng Giám định bồi thường Tài sản kỹ thuật làm việc tại Hà Nội - Khối Giám định bồi thường</t>
        </is>
      </c>
      <c r="D7009" t="inlineStr">
        <is>
          <t>Tổng Công ty Cổ phần Bảo hiểm Quân đội (MIC)</t>
        </is>
      </c>
      <c r="E7009" t="inlineStr">
        <is>
          <t>Lương:Cạnh tranh</t>
        </is>
      </c>
      <c r="F7009" t="inlineStr">
        <is>
          <t>Hà Nội</t>
        </is>
      </c>
      <c r="G7009" t="inlineStr">
        <is>
          <t>02-04-2026</t>
        </is>
      </c>
      <c r="H7009" t="inlineStr">
        <is>
          <t>02/04/2026</t>
        </is>
      </c>
      <c r="I7009" t="inlineStr">
        <is>
          <t>17/03/2026</t>
        </is>
      </c>
      <c r="J7009" t="inlineStr">
        <is>
          <t>Kế toán / Kiểm toán, Bảo hiểm</t>
        </is>
      </c>
      <c r="K7009" t="inlineStr">
        <is>
          <t>1 - 10 Năm</t>
        </is>
      </c>
      <c r="L7009" s="8">
        <f>HYPERLINK("https://careerviet.vn/vi/tim-viec-lam/chuyen-vien-phong-giam-dinh-boi-thuong-tai-san-ky-thuat-lam-viec-tai-ha-noi-khoi-giam-dinh-boi-thuong.35C6A8F8.html","Xem chi tiết")</f>
        <v/>
      </c>
    </row>
    <row r="7010">
      <c r="B7010" s="9" t="n">
        <v>7008</v>
      </c>
      <c r="C7010" s="10" t="inlineStr">
        <is>
          <t>Nhân viên cơ điện</t>
        </is>
      </c>
      <c r="D7010" s="10" t="inlineStr">
        <is>
          <t>Tập Đoàn Tân Á Đại Thành</t>
        </is>
      </c>
      <c r="E7010" s="10" t="inlineStr">
        <is>
          <t>Lương:9 Tr - 12 Tr VND</t>
        </is>
      </c>
      <c r="F7010" s="10" t="inlineStr">
        <is>
          <t>Long An</t>
        </is>
      </c>
      <c r="G7010" s="10" t="inlineStr">
        <is>
          <t>31-03-2026</t>
        </is>
      </c>
      <c r="H7010" s="10" t="inlineStr">
        <is>
          <t>31/03/2026</t>
        </is>
      </c>
      <c r="I7010" s="10" t="inlineStr">
        <is>
          <t>17/03/2026</t>
        </is>
      </c>
      <c r="J7010" s="10" t="inlineStr">
        <is>
          <t>Điện / Điện tử / Điện lạnh / Điện công nghiệp</t>
        </is>
      </c>
      <c r="K7010" s="10" t="inlineStr">
        <is>
          <t>Chưa có kinh nghiệm</t>
        </is>
      </c>
      <c r="L7010" s="11">
        <f>HYPERLINK("https://careerviet.vn/vi/tim-viec-lam/nhan-vien-co-dien.35C6A9BF.html","Xem chi tiết")</f>
        <v/>
      </c>
      <c r="M7010" s="10" t="n"/>
    </row>
    <row r="7011">
      <c r="B7011" s="7" t="n">
        <v>7009</v>
      </c>
      <c r="C7011" t="inlineStr">
        <is>
          <t>Nhân viên Marketing</t>
        </is>
      </c>
      <c r="D7011" t="inlineStr">
        <is>
          <t>CÔNG TY TNHH ĐẦU TƯ, THƯƠNG MẠI VÀ DỊCH VỤ QUINN HÀ NỘI</t>
        </is>
      </c>
      <c r="E7011" t="inlineStr">
        <is>
          <t>Lương:15 Tr - 20 Tr VND</t>
        </is>
      </c>
      <c r="F7011" t="inlineStr">
        <is>
          <t>Hà Nội</t>
        </is>
      </c>
      <c r="G7011" t="inlineStr">
        <is>
          <t>30-04-2026</t>
        </is>
      </c>
      <c r="H7011" t="inlineStr">
        <is>
          <t>30/04/2026</t>
        </is>
      </c>
      <c r="I7011" t="inlineStr">
        <is>
          <t>17/03/2026</t>
        </is>
      </c>
      <c r="J7011" t="inlineStr">
        <is>
          <t>Tiếp thị / Marketing, Giải trí, Tổ chức sự kiện</t>
        </is>
      </c>
      <c r="K7011" t="inlineStr">
        <is>
          <t>1 - 3 Năm</t>
        </is>
      </c>
      <c r="L7011" s="8">
        <f>HYPERLINK("https://careerviet.vn/vi/tim-viec-lam/nhan-vien-marketing.35C6A778.html","Xem chi tiết")</f>
        <v/>
      </c>
    </row>
    <row r="7012">
      <c r="B7012" s="9" t="n">
        <v>7010</v>
      </c>
      <c r="C7012" s="10" t="inlineStr">
        <is>
          <t>Chuyên viên Truyền thông</t>
        </is>
      </c>
      <c r="D7012" s="10" t="inlineStr">
        <is>
          <t>Công ty Vàng Bạc Đá Qúy Bảo Tín Minh Châu</t>
        </is>
      </c>
      <c r="E7012" s="10" t="inlineStr">
        <is>
          <t>Lương:30 Tr - 60 Tr VND</t>
        </is>
      </c>
      <c r="F7012" s="10" t="inlineStr">
        <is>
          <t>Hà Nội</t>
        </is>
      </c>
      <c r="G7012" s="10" t="inlineStr">
        <is>
          <t>31-03-2026</t>
        </is>
      </c>
      <c r="H7012" s="10" t="inlineStr">
        <is>
          <t>31/03/2026</t>
        </is>
      </c>
      <c r="I7012" s="10" t="inlineStr">
        <is>
          <t>17/03/2026</t>
        </is>
      </c>
      <c r="J7012" s="10" t="inlineStr">
        <is>
          <t>Quảng cáo / Đối ngoại / Truyền Thông</t>
        </is>
      </c>
      <c r="K7012" s="10" t="inlineStr">
        <is>
          <t>Trên 3 Năm</t>
        </is>
      </c>
      <c r="L7012" s="11">
        <f>HYPERLINK("https://careerviet.vn/vi/tim-viec-lam/chuyen-vien-truyen-thong.35C6A87C.html","Xem chi tiết")</f>
        <v/>
      </c>
      <c r="M7012" s="10" t="n"/>
    </row>
    <row r="7013">
      <c r="B7013" s="7" t="n">
        <v>7011</v>
      </c>
      <c r="C7013" t="inlineStr">
        <is>
          <t>Performance Marketing (All levels accepted)</t>
        </is>
      </c>
      <c r="D7013" t="inlineStr">
        <is>
          <t>CÔNG TY TNHH SCIFATE VN</t>
        </is>
      </c>
      <c r="E7013" t="inlineStr">
        <is>
          <t>Lương:Cạnh tranh</t>
        </is>
      </c>
      <c r="F7013" t="inlineStr">
        <is>
          <t>Hồ Chí Minh</t>
        </is>
      </c>
      <c r="G7013" t="inlineStr">
        <is>
          <t>30-04-2026</t>
        </is>
      </c>
      <c r="H7013" t="inlineStr">
        <is>
          <t>30/04/2026</t>
        </is>
      </c>
      <c r="I7013" t="inlineStr">
        <is>
          <t>17/03/2026</t>
        </is>
      </c>
      <c r="J7013" t="inlineStr">
        <is>
          <t>Tiếp thị / Marketing</t>
        </is>
      </c>
      <c r="K7013" t="inlineStr">
        <is>
          <t>Trên 1 Năm</t>
        </is>
      </c>
      <c r="L7013" s="8">
        <f>HYPERLINK("https://careerviet.vn/vi/tim-viec-lam/performance-marketing-all-levels-accepted.35C6A958.html","Xem chi tiết")</f>
        <v/>
      </c>
    </row>
    <row r="7014">
      <c r="B7014" s="9" t="n">
        <v>7012</v>
      </c>
      <c r="C7014" s="10" t="inlineStr">
        <is>
          <t>CHUYÊN VIÊN TƯ VẤN GIÁO DỤC (OCEAN EDU TUYÊN QUANG) - THU NHẬP HẤP DẪN TỪ 15 TRIỆU/THÁNG</t>
        </is>
      </c>
      <c r="D7014" s="10" t="inlineStr">
        <is>
          <t>Công Ty CP Giáo Dục Đại Dương</t>
        </is>
      </c>
      <c r="E7014" s="10" t="inlineStr">
        <is>
          <t>Lương:Cạnh tranh</t>
        </is>
      </c>
      <c r="F7014" s="10" t="inlineStr">
        <is>
          <t>Tuyên Quang</t>
        </is>
      </c>
      <c r="G7014" s="10" t="inlineStr">
        <is>
          <t>02-04-2026</t>
        </is>
      </c>
      <c r="H7014" s="10" t="inlineStr">
        <is>
          <t>02/04/2026</t>
        </is>
      </c>
      <c r="I7014" s="10" t="inlineStr">
        <is>
          <t>17/03/2026</t>
        </is>
      </c>
      <c r="J7014" s="10" t="inlineStr">
        <is>
          <t>Dịch vụ khách hàng, Giáo dục / Đào tạo, Bán hàng / Kinh doanh</t>
        </is>
      </c>
      <c r="K7014" s="10" t="inlineStr">
        <is>
          <t>Lên đến 1 Năm</t>
        </is>
      </c>
      <c r="L7014" s="11">
        <f>HYPERLINK("https://careerviet.vn/vi/tim-viec-lam/chuyen-vien-tu-van-giao-duc-ocean-edu-tuyen-quang-thu-nhap-hap-dan-tu-15-trieu-thang.35C6A9D2.html","Xem chi tiết")</f>
        <v/>
      </c>
      <c r="M7014" s="10" t="n"/>
    </row>
    <row r="7015">
      <c r="B7015" s="7" t="n">
        <v>7013</v>
      </c>
      <c r="C7015" t="inlineStr">
        <is>
          <t>Chăm Sóc Khách Hàng Shopee (Ca 4 Tiếng) - Thuần Nhắn Tin</t>
        </is>
      </c>
      <c r="D7015" t="inlineStr">
        <is>
          <t>Công Ty TNHH Việt Mỹ-SSU</t>
        </is>
      </c>
      <c r="E7015" t="inlineStr">
        <is>
          <t>Lương:5 Tr - 7,3 Tr VND</t>
        </is>
      </c>
      <c r="F7015" t="inlineStr">
        <is>
          <t>Hồ Chí Minh</t>
        </is>
      </c>
      <c r="G7015" t="inlineStr">
        <is>
          <t>11-04-2026</t>
        </is>
      </c>
      <c r="H7015" t="inlineStr">
        <is>
          <t>11/04/2026</t>
        </is>
      </c>
      <c r="I7015" t="inlineStr">
        <is>
          <t>17/03/2026</t>
        </is>
      </c>
      <c r="J7015" t="inlineStr">
        <is>
          <t>Thương mại điện tử</t>
        </is>
      </c>
      <c r="K7015" t="inlineStr">
        <is>
          <t>Lên đến 1 Năm</t>
        </is>
      </c>
      <c r="L7015" s="8">
        <f>HYPERLINK("https://careerviet.vn/vi/tim-viec-lam/cham-soc-khach-hang-shopee-ca-4-tieng-thuan-nhan-tin.35C6A7A4.html","Xem chi tiết")</f>
        <v/>
      </c>
    </row>
    <row r="7016">
      <c r="B7016" s="9" t="n">
        <v>7014</v>
      </c>
      <c r="C7016" s="10" t="inlineStr">
        <is>
          <t>HỌA VIÊN KẾT CẤU - Structural Drafman - Làm việc tại Hà Nội</t>
        </is>
      </c>
      <c r="D7016" s="10" t="inlineStr">
        <is>
          <t>Công Ty TNHH Enspan (Việt Nam)</t>
        </is>
      </c>
      <c r="E7016" s="10" t="inlineStr">
        <is>
          <t>Lương:Cạnh tranh</t>
        </is>
      </c>
      <c r="F7016" s="10" t="inlineStr">
        <is>
          <t>Hồ Chí MinhHà Nội</t>
        </is>
      </c>
      <c r="G7016" s="10" t="inlineStr">
        <is>
          <t>30-04-2026</t>
        </is>
      </c>
      <c r="H7016" s="10" t="inlineStr">
        <is>
          <t>30/04/2026</t>
        </is>
      </c>
      <c r="I7016" s="10" t="inlineStr">
        <is>
          <t>17/03/2026</t>
        </is>
      </c>
      <c r="J7016" s="10" t="inlineStr">
        <is>
          <t>Xây dựng, Kiến trúc, Mới tốt nghiệp / Thực tập</t>
        </is>
      </c>
      <c r="K7016" s="10" t="inlineStr">
        <is>
          <t>N/A</t>
        </is>
      </c>
      <c r="L7016" s="11">
        <f>HYPERLINK("https://careerviet.vn/vi/tim-viec-lam/hoa-vien-ket-cau-structural-drafman-lam-viec-tai-ha-noi.35C6A7A1.html","Xem chi tiết")</f>
        <v/>
      </c>
      <c r="M7016" s="10" t="n"/>
    </row>
    <row r="7017">
      <c r="B7017" s="7" t="n">
        <v>7015</v>
      </c>
      <c r="C7017" t="inlineStr">
        <is>
          <t>Payable Accountant</t>
        </is>
      </c>
      <c r="D7017" t="inlineStr">
        <is>
          <t>Sonion Vietnam</t>
        </is>
      </c>
      <c r="E7017" t="inlineStr">
        <is>
          <t>Lương:Cạnh tranh</t>
        </is>
      </c>
      <c r="F7017" t="inlineStr">
        <is>
          <t>Hồ Chí Minh</t>
        </is>
      </c>
      <c r="G7017" t="inlineStr">
        <is>
          <t>31-03-2026</t>
        </is>
      </c>
      <c r="H7017" t="inlineStr">
        <is>
          <t>31/03/2026</t>
        </is>
      </c>
      <c r="I7017" t="inlineStr">
        <is>
          <t>17/03/2026</t>
        </is>
      </c>
      <c r="J7017" t="inlineStr">
        <is>
          <t>Kế toán / Kiểm toán, Ngân hàng, Tài chính / Đầu tư</t>
        </is>
      </c>
      <c r="K7017" t="inlineStr">
        <is>
          <t>1 - 2 Năm</t>
        </is>
      </c>
      <c r="L7017" s="8">
        <f>HYPERLINK("https://careerviet.vn/vi/tim-viec-lam/payable-accountant.35C6A9FD.html","Xem chi tiết")</f>
        <v/>
      </c>
    </row>
    <row r="7018">
      <c r="B7018" s="9" t="n">
        <v>7016</v>
      </c>
      <c r="C7018" s="10" t="inlineStr">
        <is>
          <t>CHUYÊN VIÊN TƯ VẤN GIÁO DỤC (OCEAN EDU LƯƠNG SƠN) - THU NHẬP HẤP DẪN TỪ 15 TRIỆU/THÁNG</t>
        </is>
      </c>
      <c r="D7018" s="10" t="inlineStr">
        <is>
          <t>Công Ty CP Giáo Dục Đại Dương</t>
        </is>
      </c>
      <c r="E7018" s="10" t="inlineStr">
        <is>
          <t>Lương:Cạnh tranh</t>
        </is>
      </c>
      <c r="F7018" s="10" t="inlineStr">
        <is>
          <t>Hòa Bình</t>
        </is>
      </c>
      <c r="G7018" s="10" t="inlineStr">
        <is>
          <t>02-04-2026</t>
        </is>
      </c>
      <c r="H7018" s="10" t="inlineStr">
        <is>
          <t>02/04/2026</t>
        </is>
      </c>
      <c r="I7018" s="10" t="inlineStr">
        <is>
          <t>17/03/2026</t>
        </is>
      </c>
      <c r="J7018" s="10" t="inlineStr">
        <is>
          <t>Dịch vụ khách hàng, Giáo dục / Đào tạo, Bán hàng / Kinh doanh</t>
        </is>
      </c>
      <c r="K7018" s="10" t="inlineStr">
        <is>
          <t>Lên đến 1 Năm</t>
        </is>
      </c>
      <c r="L7018" s="11">
        <f>HYPERLINK("https://careerviet.vn/vi/tim-viec-lam/chuyen-vien-tu-van-giao-duc-ocean-edu-luong-son-thu-nhap-hap-dan-tu-15-trieu-thang.35C6AA87.html","Xem chi tiết")</f>
        <v/>
      </c>
      <c r="M7018" s="10" t="n"/>
    </row>
    <row r="7019">
      <c r="B7019" s="7" t="n">
        <v>7017</v>
      </c>
      <c r="C7019" t="inlineStr">
        <is>
          <t>Nhân viên kế toán tổng hợp</t>
        </is>
      </c>
      <c r="D7019" t="inlineStr">
        <is>
          <t>CÔNG TY TNHH NHA KHOA I-DENT</t>
        </is>
      </c>
      <c r="E7019" t="inlineStr">
        <is>
          <t>Lương:16 Tr - 18 Tr VND</t>
        </is>
      </c>
      <c r="F7019" t="inlineStr">
        <is>
          <t>Hồ Chí Minh</t>
        </is>
      </c>
      <c r="G7019" t="inlineStr">
        <is>
          <t>31-03-2026</t>
        </is>
      </c>
      <c r="H7019" t="inlineStr">
        <is>
          <t>31/03/2026</t>
        </is>
      </c>
      <c r="I7019" t="inlineStr">
        <is>
          <t>17/03/2026</t>
        </is>
      </c>
      <c r="J7019" t="inlineStr">
        <is>
          <t>Kế toán / Kiểm toán, Ngân hàng, Hành chính / Thư ký</t>
        </is>
      </c>
      <c r="K7019" t="inlineStr">
        <is>
          <t>1 - 2 Năm</t>
        </is>
      </c>
      <c r="L7019" s="8">
        <f>HYPERLINK("https://careerviet.vn/vi/tim-viec-lam/nhan-vien-ke-toan-tong-hop.35C6A7C9.html","Xem chi tiết")</f>
        <v/>
      </c>
    </row>
    <row r="7020">
      <c r="B7020" s="9" t="n">
        <v>7018</v>
      </c>
      <c r="C7020" s="10" t="inlineStr">
        <is>
          <t>CHUYÊN VIÊN TƯ VẤN GIÁO DỤC (OCEAN EDU VIỆT TRÌ) - THU NHẬP HẤP DẪN TỪ 15 TRIỆU/THÁNG</t>
        </is>
      </c>
      <c r="D7020" s="10" t="inlineStr">
        <is>
          <t>Công Ty CP Giáo Dục Đại Dương</t>
        </is>
      </c>
      <c r="E7020" s="10" t="inlineStr">
        <is>
          <t>Lương:Cạnh tranh</t>
        </is>
      </c>
      <c r="F7020" s="10" t="inlineStr">
        <is>
          <t>Phú Thọ</t>
        </is>
      </c>
      <c r="G7020" s="10" t="inlineStr">
        <is>
          <t>02-04-2026</t>
        </is>
      </c>
      <c r="H7020" s="10" t="inlineStr">
        <is>
          <t>02/04/2026</t>
        </is>
      </c>
      <c r="I7020" s="10" t="inlineStr">
        <is>
          <t>17/03/2026</t>
        </is>
      </c>
      <c r="J7020" s="10" t="inlineStr">
        <is>
          <t>Dịch vụ khách hàng, Giáo dục / Đào tạo, Bán hàng / Kinh doanh</t>
        </is>
      </c>
      <c r="K7020" s="10" t="inlineStr">
        <is>
          <t>Lên đến 1 Năm</t>
        </is>
      </c>
      <c r="L7020" s="11">
        <f>HYPERLINK("https://careerviet.vn/vi/tim-viec-lam/chuyen-vien-tu-van-giao-duc-ocean-edu-viet-tri-thu-nhap-hap-dan-tu-15-trieu-thang.35C6A73F.html","Xem chi tiết")</f>
        <v/>
      </c>
      <c r="M7020" s="10" t="n"/>
    </row>
    <row r="7021">
      <c r="B7021" s="7" t="n">
        <v>7019</v>
      </c>
      <c r="C7021" t="inlineStr">
        <is>
          <t>QA/QC Specialist</t>
        </is>
      </c>
      <c r="D7021" t="inlineStr">
        <is>
          <t>Cổ Phần Kết Nối Nhân Tài - Talentnet Corporation</t>
        </is>
      </c>
      <c r="E7021" t="inlineStr">
        <is>
          <t>Lương:Cạnh tranh</t>
        </is>
      </c>
      <c r="F7021" t="inlineStr">
        <is>
          <t>Hồ Chí Minh</t>
        </is>
      </c>
      <c r="G7021" t="inlineStr">
        <is>
          <t>31-05-2026</t>
        </is>
      </c>
      <c r="H7021" t="inlineStr">
        <is>
          <t>31/05/2026</t>
        </is>
      </c>
      <c r="I7021" t="inlineStr">
        <is>
          <t>17/03/2026</t>
        </is>
      </c>
      <c r="J7021" t="inlineStr">
        <is>
          <t>Nhân sự, Quản lý chất lượng (QA/QC)</t>
        </is>
      </c>
      <c r="K7021" t="inlineStr">
        <is>
          <t>2 - 3 Năm</t>
        </is>
      </c>
      <c r="L7021" s="8">
        <f>HYPERLINK("https://careerviet.vn/vi/tim-viec-lam/qa-qc-specialist.35C6A82D.html","Xem chi tiết")</f>
        <v/>
      </c>
    </row>
    <row r="7022">
      <c r="B7022" s="9" t="n">
        <v>7020</v>
      </c>
      <c r="C7022" s="10" t="inlineStr">
        <is>
          <t>Chuyên Viên Đào Tạo Văn Hóa Doanh Nghiệp</t>
        </is>
      </c>
      <c r="D7022" s="10" t="inlineStr">
        <is>
          <t>CÔNG TY TNHH PHÁT TRIỂN THƯƠNG MẠI BĐS NEWSTARLAND</t>
        </is>
      </c>
      <c r="E7022" s="10" t="inlineStr">
        <is>
          <t>Lương:12 Tr - 15 Tr VND</t>
        </is>
      </c>
      <c r="F7022" s="10" t="inlineStr">
        <is>
          <t>Hà Nội</t>
        </is>
      </c>
      <c r="G7022" s="10" t="inlineStr">
        <is>
          <t>03-04-2026</t>
        </is>
      </c>
      <c r="H7022" s="10" t="inlineStr">
        <is>
          <t>03/04/2026</t>
        </is>
      </c>
      <c r="I7022" s="10" t="inlineStr">
        <is>
          <t>17/03/2026</t>
        </is>
      </c>
      <c r="J7022" s="10" t="inlineStr">
        <is>
          <t>Hành chính / Thư ký, Bất động sản, Giáo dục / Đào tạo</t>
        </is>
      </c>
      <c r="K7022" s="10" t="inlineStr">
        <is>
          <t>N/A</t>
        </is>
      </c>
      <c r="L7022" s="11">
        <f>HYPERLINK("https://careerviet.vn/vi/tim-viec-lam/chuyen-vien-dao-tao-van-hoa-doanh-nghiep.35C6A88A.html","Xem chi tiết")</f>
        <v/>
      </c>
      <c r="M7022" s="10" t="n"/>
    </row>
    <row r="7023">
      <c r="B7023" s="7" t="n">
        <v>7021</v>
      </c>
      <c r="C7023" t="inlineStr">
        <is>
          <t>CHUYÊN VIÊN TƯ VẤN GIÁO DỤC (OCEAN EDU GIA BÌNH) - THU NHẬP HẤP DẪN TỪ 15 TRIỆU/THÁNG</t>
        </is>
      </c>
      <c r="D7023" t="inlineStr">
        <is>
          <t>Công Ty CP Giáo Dục Đại Dương</t>
        </is>
      </c>
      <c r="E7023" t="inlineStr">
        <is>
          <t>Lương:Cạnh tranh</t>
        </is>
      </c>
      <c r="F7023" t="inlineStr">
        <is>
          <t>Bắc Ninh</t>
        </is>
      </c>
      <c r="G7023" t="inlineStr">
        <is>
          <t>02-04-2026</t>
        </is>
      </c>
      <c r="H7023" t="inlineStr">
        <is>
          <t>02/04/2026</t>
        </is>
      </c>
      <c r="I7023" t="inlineStr">
        <is>
          <t>17/03/2026</t>
        </is>
      </c>
      <c r="J7023" t="inlineStr">
        <is>
          <t>Dịch vụ khách hàng, Giáo dục / Đào tạo, Bán hàng / Kinh doanh</t>
        </is>
      </c>
      <c r="K7023" t="inlineStr">
        <is>
          <t>Lên đến 1 Năm</t>
        </is>
      </c>
      <c r="L7023" s="8">
        <f>HYPERLINK("https://careerviet.vn/vi/tim-viec-lam/chuyen-vien-tu-van-giao-duc-ocean-edu-gia-binh-thu-nhap-hap-dan-tu-15-trieu-thang.35C6A9F1.html","Xem chi tiết")</f>
        <v/>
      </c>
    </row>
    <row r="7024">
      <c r="B7024" s="9" t="n">
        <v>7022</v>
      </c>
      <c r="C7024" s="10" t="inlineStr">
        <is>
          <t>CHUYÊN VIÊN TƯ VẤN GIÁO DỤC (OCEAN EDU YÊN PHONG) - THU NHẬP HẤP DẪN TỪ 15 TRIỆU/THÁNG</t>
        </is>
      </c>
      <c r="D7024" s="10" t="inlineStr">
        <is>
          <t>Công Ty CP Giáo Dục Đại Dương</t>
        </is>
      </c>
      <c r="E7024" s="10" t="inlineStr">
        <is>
          <t>Lương:Cạnh tranh</t>
        </is>
      </c>
      <c r="F7024" s="10" t="inlineStr">
        <is>
          <t>Bắc Ninh</t>
        </is>
      </c>
      <c r="G7024" s="10" t="inlineStr">
        <is>
          <t>02-04-2026</t>
        </is>
      </c>
      <c r="H7024" s="10" t="inlineStr">
        <is>
          <t>02/04/2026</t>
        </is>
      </c>
      <c r="I7024" s="10" t="inlineStr">
        <is>
          <t>17/03/2026</t>
        </is>
      </c>
      <c r="J7024" s="10" t="inlineStr">
        <is>
          <t>Dịch vụ khách hàng, Giáo dục / Đào tạo, Bán hàng / Kinh doanh</t>
        </is>
      </c>
      <c r="K7024" s="10" t="inlineStr">
        <is>
          <t>Lên đến 1 Năm</t>
        </is>
      </c>
      <c r="L7024" s="11">
        <f>HYPERLINK("https://careerviet.vn/vi/tim-viec-lam/chuyen-vien-tu-van-giao-duc-ocean-edu-yen-phong-thu-nhap-hap-dan-tu-15-trieu-thang.35C6A9EA.html","Xem chi tiết")</f>
        <v/>
      </c>
      <c r="M7024" s="10" t="n"/>
    </row>
    <row r="7025">
      <c r="B7025" s="7" t="n">
        <v>7023</v>
      </c>
      <c r="C7025" t="inlineStr">
        <is>
          <t>CHUYÊN VIÊN TƯ VẤN ĐẦU TƯ KHÁCH HÀNG CÁ NHÂN (NHA TRANG)</t>
        </is>
      </c>
      <c r="D7025" t="inlineStr">
        <is>
          <t>VDSC - Công ty CP Chứng khoán Rồng Việt</t>
        </is>
      </c>
      <c r="E7025" t="inlineStr">
        <is>
          <t>Lương:7 Tr - 20 Tr VND</t>
        </is>
      </c>
      <c r="F7025" t="inlineStr">
        <is>
          <t>Khánh Hòa</t>
        </is>
      </c>
      <c r="G7025" t="inlineStr">
        <is>
          <t>30-04-2026</t>
        </is>
      </c>
      <c r="H7025" t="inlineStr">
        <is>
          <t>30/04/2026</t>
        </is>
      </c>
      <c r="I7025" t="inlineStr">
        <is>
          <t>17/03/2026</t>
        </is>
      </c>
      <c r="J7025" t="inlineStr">
        <is>
          <t>Ngân hàng, Chứng khoán, Tài chính / Đầu tư</t>
        </is>
      </c>
      <c r="K7025" t="inlineStr">
        <is>
          <t>1 - 2 Năm</t>
        </is>
      </c>
      <c r="L7025" s="8">
        <f>HYPERLINK("https://careerviet.vn/vi/tim-viec-lam/chuyen-vien-tu-van-dau-tu-khach-hang-ca-nhan-nha-trang.35C6A8BC.html","Xem chi tiết")</f>
        <v/>
      </c>
    </row>
    <row r="7026">
      <c r="B7026" s="9" t="n">
        <v>7024</v>
      </c>
      <c r="C7026" s="10" t="inlineStr">
        <is>
          <t>CHUYÊN VIÊN TƯ VẤN GIÁO DỤC (OCEAN EDU THÁI NGUYÊN 2) - THU NHẬP HẤP DẪN TỪ 15 TRIỆU/THÁNG</t>
        </is>
      </c>
      <c r="D7026" s="10" t="inlineStr">
        <is>
          <t>Công Ty CP Giáo Dục Đại Dương</t>
        </is>
      </c>
      <c r="E7026" s="10" t="inlineStr">
        <is>
          <t>Lương:Cạnh tranh</t>
        </is>
      </c>
      <c r="F7026" s="10" t="inlineStr">
        <is>
          <t>Thái Nguyên</t>
        </is>
      </c>
      <c r="G7026" s="10" t="inlineStr">
        <is>
          <t>02-04-2026</t>
        </is>
      </c>
      <c r="H7026" s="10" t="inlineStr">
        <is>
          <t>02/04/2026</t>
        </is>
      </c>
      <c r="I7026" s="10" t="inlineStr">
        <is>
          <t>17/03/2026</t>
        </is>
      </c>
      <c r="J7026" s="10" t="inlineStr">
        <is>
          <t>Dịch vụ khách hàng, Giáo dục / Đào tạo, Bán hàng / Kinh doanh</t>
        </is>
      </c>
      <c r="K7026" s="10" t="inlineStr">
        <is>
          <t>Lên đến 1 Năm</t>
        </is>
      </c>
      <c r="L7026" s="11">
        <f>HYPERLINK("https://careerviet.vn/vi/tim-viec-lam/chuyen-vien-tu-van-giao-duc-ocean-edu-thai-nguyen-2-thu-nhap-hap-dan-tu-15-trieu-thang.35C6AA2F.html","Xem chi tiết")</f>
        <v/>
      </c>
      <c r="M7026" s="10" t="n"/>
    </row>
    <row r="7027">
      <c r="B7027" s="7" t="n">
        <v>7025</v>
      </c>
      <c r="C7027" t="inlineStr">
        <is>
          <t>QC Technican (Kỹ Thuật Viên Quản Lý Chất Lượng)</t>
        </is>
      </c>
      <c r="D7027" t="inlineStr">
        <is>
          <t>TAVN</t>
        </is>
      </c>
      <c r="E7027" t="inlineStr">
        <is>
          <t>Lương:Cạnh tranh</t>
        </is>
      </c>
      <c r="F7027" t="inlineStr">
        <is>
          <t>Đồng Nai</t>
        </is>
      </c>
      <c r="G7027" t="inlineStr">
        <is>
          <t>31-03-2026</t>
        </is>
      </c>
      <c r="H7027" t="inlineStr">
        <is>
          <t>31/03/2026</t>
        </is>
      </c>
      <c r="I7027" t="inlineStr">
        <is>
          <t>17/03/2026</t>
        </is>
      </c>
      <c r="J7027" t="inlineStr">
        <is>
          <t>Quản lý chất lượng (QA/QC), Sản xuất / Vận hành sản xuất, Điện / Điện tử / Điện lạnh / Điện công nghiệp</t>
        </is>
      </c>
      <c r="K7027" t="inlineStr">
        <is>
          <t>Trên 1 Năm</t>
        </is>
      </c>
      <c r="L7027" s="8">
        <f>HYPERLINK("https://careerviet.vn/vi/tim-viec-lam/qc-technican-ky-thuat-vien-quan-ly-chat-luong.35C6A7F7.html","Xem chi tiết")</f>
        <v/>
      </c>
    </row>
    <row r="7028">
      <c r="B7028" s="9" t="n">
        <v>7026</v>
      </c>
      <c r="C7028" s="10" t="inlineStr">
        <is>
          <t>[Tân An - Long An] Sales Supervisor/ Giám Sát Bán Hàng Kênh GT</t>
        </is>
      </c>
      <c r="D7028" s="10" t="inlineStr">
        <is>
          <t>Công Ty Cổ Phần Diana Unicharm</t>
        </is>
      </c>
      <c r="E7028" s="10" t="inlineStr">
        <is>
          <t>Lương:Cạnh tranh</t>
        </is>
      </c>
      <c r="F7028" s="10" t="inlineStr">
        <is>
          <t>Long An</t>
        </is>
      </c>
      <c r="G7028" s="10" t="inlineStr">
        <is>
          <t>16-03-2026</t>
        </is>
      </c>
      <c r="H7028" s="10" t="inlineStr">
        <is>
          <t>08/03/2026</t>
        </is>
      </c>
      <c r="I7028" s="10" t="inlineStr">
        <is>
          <t>17/03/2026</t>
        </is>
      </c>
      <c r="J7028" s="10" t="inlineStr">
        <is>
          <t>Bán lẻ / Bán sỉ, Bán hàng / Kinh doanh, Hàng gia dụng / Chăm sóc cá nhân</t>
        </is>
      </c>
      <c r="K7028" s="10" t="inlineStr">
        <is>
          <t>3 - 5 Năm</t>
        </is>
      </c>
      <c r="L7028" s="11">
        <f>HYPERLINK("https://careerviet.vn/vi/tim-viec-lam/tan-an-long-an-sales-supervisor-giam-sat-ban-hang-kenh-gt.35C6AACD.html","Xem chi tiết")</f>
        <v/>
      </c>
      <c r="M7028" s="10" t="n"/>
    </row>
    <row r="7029">
      <c r="B7029" s="7" t="n">
        <v>7027</v>
      </c>
      <c r="C7029" t="inlineStr">
        <is>
          <t>Cộng tác viên Kiểm tra chứng từ</t>
        </is>
      </c>
      <c r="D7029" t="inlineStr">
        <is>
          <t>CÔNG TY CỔ PHẦN KINH DOANH F88</t>
        </is>
      </c>
      <c r="E7029" t="inlineStr">
        <is>
          <t>Lương:Cạnh tranh</t>
        </is>
      </c>
      <c r="F7029" t="inlineStr">
        <is>
          <t>Hồ Chí Minh</t>
        </is>
      </c>
      <c r="G7029" t="inlineStr">
        <is>
          <t>03-04-2026</t>
        </is>
      </c>
      <c r="H7029" t="inlineStr">
        <is>
          <t>03/04/2026</t>
        </is>
      </c>
      <c r="I7029" t="inlineStr">
        <is>
          <t>17/03/2026</t>
        </is>
      </c>
      <c r="J7029" t="inlineStr">
        <is>
          <t>Kế toán / Kiểm toán, Mới tốt nghiệp / Thực tập, Ngân hàng</t>
        </is>
      </c>
      <c r="K7029" t="inlineStr">
        <is>
          <t>N/A</t>
        </is>
      </c>
      <c r="L7029" s="8">
        <f>HYPERLINK("https://careerviet.vn/vi/tim-viec-lam/cong-tac-vien-kiem-tra-chung-tu.35C6A90B.html","Xem chi tiết")</f>
        <v/>
      </c>
    </row>
    <row r="7030">
      <c r="B7030" s="9" t="n">
        <v>7028</v>
      </c>
      <c r="C7030" s="10" t="inlineStr">
        <is>
          <t>Kế toán viên - Kế toán thuế</t>
        </is>
      </c>
      <c r="D7030" s="10" t="inlineStr">
        <is>
          <t>CÔNG TY CỔ PHẦN ĐIỆN VÀ XÂY DỰNG NAM VIỆT</t>
        </is>
      </c>
      <c r="E7030" s="10" t="inlineStr">
        <is>
          <t>Lương:12 Tr - 18 Tr VND</t>
        </is>
      </c>
      <c r="F7030" s="10" t="inlineStr">
        <is>
          <t>Hồ Chí Minh</t>
        </is>
      </c>
      <c r="G7030" s="10" t="inlineStr">
        <is>
          <t>02-04-2026</t>
        </is>
      </c>
      <c r="H7030" s="10" t="inlineStr">
        <is>
          <t>02/04/2026</t>
        </is>
      </c>
      <c r="I7030" s="10" t="inlineStr">
        <is>
          <t>17/03/2026</t>
        </is>
      </c>
      <c r="J7030" s="10" t="inlineStr">
        <is>
          <t>Kế toán / Kiểm toán, Xây dựng, Điện / Điện tử / Điện lạnh / Điện công nghiệp</t>
        </is>
      </c>
      <c r="K7030" s="10" t="inlineStr">
        <is>
          <t>N/A</t>
        </is>
      </c>
      <c r="L7030" s="11">
        <f>HYPERLINK("https://careerviet.vn/vi/tim-viec-lam/ke-toan-vien-ke-toan-thue.35C6A6A1.html","Xem chi tiết")</f>
        <v/>
      </c>
      <c r="M7030" s="10" t="n"/>
    </row>
    <row r="7031">
      <c r="B7031" s="7" t="n">
        <v>7029</v>
      </c>
      <c r="C7031" t="inlineStr">
        <is>
          <t>Digital Marketing Executive</t>
        </is>
      </c>
      <c r="D7031" t="inlineStr">
        <is>
          <t>Công Ty TNHH Tự Động Hóa Chân Không Việt Nam</t>
        </is>
      </c>
      <c r="E7031" t="inlineStr">
        <is>
          <t>Lương:Cạnh tranh</t>
        </is>
      </c>
      <c r="F7031" t="inlineStr">
        <is>
          <t>Hồ Chí Minh</t>
        </is>
      </c>
      <c r="G7031" t="inlineStr">
        <is>
          <t>02-04-2026</t>
        </is>
      </c>
      <c r="H7031" t="inlineStr">
        <is>
          <t>02/04/2026</t>
        </is>
      </c>
      <c r="I7031" t="inlineStr">
        <is>
          <t>17/03/2026</t>
        </is>
      </c>
      <c r="J7031" t="inlineStr">
        <is>
          <t>Tiếp thị / Marketing, Tiếp thị trực tuyến, Quảng cáo / Đối ngoại / Truyền Thông</t>
        </is>
      </c>
      <c r="K7031" t="inlineStr">
        <is>
          <t>Trên 2 Năm</t>
        </is>
      </c>
      <c r="L7031" s="8">
        <f>HYPERLINK("https://careerviet.vn/vi/tim-viec-lam/digital-marketing-executive.35C6A91E.html","Xem chi tiết")</f>
        <v/>
      </c>
    </row>
    <row r="7032">
      <c r="B7032" s="9" t="n">
        <v>7030</v>
      </c>
      <c r="C7032" s="10" t="inlineStr">
        <is>
          <t>Chuyên viên Cao cấp Kiểm soát Thiết kế – Kết cấu - HO - 4H101</t>
        </is>
      </c>
      <c r="D7032" s="10" t="inlineStr">
        <is>
          <t>Tập đoàn ROX (ROX Group)</t>
        </is>
      </c>
      <c r="E7032" s="10" t="inlineStr">
        <is>
          <t>Lương:Cạnh tranh</t>
        </is>
      </c>
      <c r="F7032" s="10" t="inlineStr">
        <is>
          <t>Hà Nội</t>
        </is>
      </c>
      <c r="G7032" s="10" t="inlineStr">
        <is>
          <t>02-04-2026</t>
        </is>
      </c>
      <c r="H7032" s="10" t="inlineStr">
        <is>
          <t>02/04/2026</t>
        </is>
      </c>
      <c r="I7032" s="10" t="inlineStr">
        <is>
          <t>17/03/2026</t>
        </is>
      </c>
      <c r="J7032" s="10" t="inlineStr">
        <is>
          <t>Xây dựng</t>
        </is>
      </c>
      <c r="K7032" s="10" t="inlineStr">
        <is>
          <t>Trên 4 Năm</t>
        </is>
      </c>
      <c r="L7032" s="11">
        <f>HYPERLINK("https://careerviet.vn/vi/tim-viec-lam/chuyen-vien-cao-cap-kiem-soat-thiet-ke-ket-cau-ho-4h101.35C6A918.html","Xem chi tiết")</f>
        <v/>
      </c>
      <c r="M7032" s="10" t="n"/>
    </row>
    <row r="7033">
      <c r="B7033" s="7" t="n">
        <v>7031</v>
      </c>
      <c r="C7033" t="inlineStr">
        <is>
          <t>LÁI XE BEN</t>
        </is>
      </c>
      <c r="D7033" t="inlineStr">
        <is>
          <t>TỔNG CÔNG TY CỔ PHẦN THƯƠNG MẠI XÂY DỰNG</t>
        </is>
      </c>
      <c r="E7033" t="inlineStr">
        <is>
          <t>Lương:10 Tr - 20 Tr VND</t>
        </is>
      </c>
      <c r="F7033" t="inlineStr">
        <is>
          <t>Hà Nội</t>
        </is>
      </c>
      <c r="G7033" t="inlineStr">
        <is>
          <t>16-03-2026</t>
        </is>
      </c>
      <c r="H7033" t="inlineStr">
        <is>
          <t>14/03/2026</t>
        </is>
      </c>
      <c r="I7033" t="inlineStr">
        <is>
          <t>17/03/2026</t>
        </is>
      </c>
      <c r="J7033" t="inlineStr">
        <is>
          <t>Lao động phổ thông</t>
        </is>
      </c>
      <c r="K7033" t="inlineStr">
        <is>
          <t>2 - 5 Năm</t>
        </is>
      </c>
      <c r="L7033" s="8">
        <f>HYPERLINK("https://careerviet.vn/vi/tim-viec-lam/lai-xe-ben.35C6A7FB.html","Xem chi tiết")</f>
        <v/>
      </c>
    </row>
    <row r="7034">
      <c r="B7034" s="9" t="n">
        <v>7032</v>
      </c>
      <c r="C7034" s="10" t="inlineStr">
        <is>
          <t>Nhân viên VẬN HÀNH SÀN</t>
        </is>
      </c>
      <c r="D7034" s="10" t="inlineStr">
        <is>
          <t>CÔNG TY CỔ PHẦN HỌC VIỆN MINH TRÍ THÀNH</t>
        </is>
      </c>
      <c r="E7034" s="10" t="inlineStr">
        <is>
          <t>Lương:12 Tr - 16 Tr VND</t>
        </is>
      </c>
      <c r="F7034" s="10" t="inlineStr">
        <is>
          <t>Hà Nội</t>
        </is>
      </c>
      <c r="G7034" s="10" t="inlineStr">
        <is>
          <t>27-04-2026</t>
        </is>
      </c>
      <c r="H7034" s="10" t="inlineStr">
        <is>
          <t>27/04/2026</t>
        </is>
      </c>
      <c r="I7034" s="10" t="inlineStr">
        <is>
          <t>17/03/2026</t>
        </is>
      </c>
      <c r="J7034" s="10" t="inlineStr">
        <is>
          <t>Tiếp thị / Marketing, Thương mại điện tử, Bán hàng / Kinh doanh</t>
        </is>
      </c>
      <c r="K7034" s="10" t="inlineStr">
        <is>
          <t>2 - 3 Năm</t>
        </is>
      </c>
      <c r="L7034" s="11">
        <f>HYPERLINK("https://careerviet.vn/vi/tim-viec-lam/nhan-vien-van-hanh-san.35C6A95C.html","Xem chi tiết")</f>
        <v/>
      </c>
      <c r="M7034" s="10" t="n"/>
    </row>
    <row r="7035">
      <c r="B7035" s="7" t="n">
        <v>7033</v>
      </c>
      <c r="C7035" t="inlineStr">
        <is>
          <t>Chuyên viên kinh doanh Thiết bị sửa chữa Ô tô</t>
        </is>
      </c>
      <c r="D7035" t="inlineStr">
        <is>
          <t>Công ty Cổ phần Công nghiệp &amp; Đầu tư An Phát</t>
        </is>
      </c>
      <c r="E7035" t="inlineStr">
        <is>
          <t>Lương:9 Tr - 15 Tr VND</t>
        </is>
      </c>
      <c r="F7035" t="inlineStr">
        <is>
          <t>Hồ Chí Minh</t>
        </is>
      </c>
      <c r="G7035" t="inlineStr">
        <is>
          <t>30-04-2026</t>
        </is>
      </c>
      <c r="H7035" t="inlineStr">
        <is>
          <t>30/04/2026</t>
        </is>
      </c>
      <c r="I7035" t="inlineStr">
        <is>
          <t>17/03/2026</t>
        </is>
      </c>
      <c r="J7035" t="inlineStr">
        <is>
          <t>Bán hàng / Kinh doanh, Bán Hàng Kỹ Thuật, Cơ khí / Ô tô / Tự động hóa</t>
        </is>
      </c>
      <c r="K7035" t="inlineStr">
        <is>
          <t>2 - 3 Năm</t>
        </is>
      </c>
      <c r="L7035" s="8">
        <f>HYPERLINK("https://careerviet.vn/vi/tim-viec-lam/chuyen-vien-kinh-doanh-thiet-bi-sua-chua-o-to.35C6A99A.html","Xem chi tiết")</f>
        <v/>
      </c>
    </row>
    <row r="7036">
      <c r="B7036" s="9" t="n">
        <v>7034</v>
      </c>
      <c r="C7036" s="10" t="inlineStr">
        <is>
          <t>Nhân Viên Trade Marketing (Ngành Dược)</t>
        </is>
      </c>
      <c r="D7036" s="10" t="inlineStr">
        <is>
          <t>CÔNG TY TNHH HMB MIỀN NAM</t>
        </is>
      </c>
      <c r="E7036" s="10" t="inlineStr">
        <is>
          <t>Lương:9 Tr - 15 Tr VND</t>
        </is>
      </c>
      <c r="F7036" s="10" t="inlineStr">
        <is>
          <t>Hồ Chí Minh</t>
        </is>
      </c>
      <c r="G7036" s="10" t="inlineStr">
        <is>
          <t>31-03-2026</t>
        </is>
      </c>
      <c r="H7036" s="10" t="inlineStr">
        <is>
          <t>31/03/2026</t>
        </is>
      </c>
      <c r="I7036" s="10" t="inlineStr">
        <is>
          <t>17/03/2026</t>
        </is>
      </c>
      <c r="J7036" s="10" t="inlineStr">
        <is>
          <t>Dược phẩm/ Hóa Mỹ Phẩm, Y tế / Chăm sóc sức khỏe / Thẩm mỹ / Làm đẹp, Tiếp thị / Marketing</t>
        </is>
      </c>
      <c r="K7036" s="10" t="inlineStr">
        <is>
          <t>1 - 2 Năm</t>
        </is>
      </c>
      <c r="L7036" s="11">
        <f>HYPERLINK("https://careerviet.vn/vi/tim-viec-lam/nhan-vien-trade-marketing-nganh-duoc.35C6AA79.html","Xem chi tiết")</f>
        <v/>
      </c>
      <c r="M7036" s="10" t="n"/>
    </row>
    <row r="7037">
      <c r="B7037" s="7" t="n">
        <v>7035</v>
      </c>
      <c r="C7037" t="inlineStr">
        <is>
          <t>Chuyên viên mua hàng</t>
        </is>
      </c>
      <c r="D7037" t="inlineStr">
        <is>
          <t>Công Ty Cổ Phần Thép Việt Xô Hà Nội</t>
        </is>
      </c>
      <c r="E7037" t="inlineStr">
        <is>
          <t>Lương:Cạnh tranh</t>
        </is>
      </c>
      <c r="F7037" t="inlineStr">
        <is>
          <t>Hà Nội</t>
        </is>
      </c>
      <c r="G7037" t="inlineStr">
        <is>
          <t>03-04-2026</t>
        </is>
      </c>
      <c r="H7037" t="inlineStr">
        <is>
          <t>03/04/2026</t>
        </is>
      </c>
      <c r="I7037" t="inlineStr">
        <is>
          <t>17/03/2026</t>
        </is>
      </c>
      <c r="J7037" t="inlineStr">
        <is>
          <t>Thu mua / Vật tư, Xuất nhập khẩu</t>
        </is>
      </c>
      <c r="K7037" t="inlineStr">
        <is>
          <t>3 - 4 Năm</t>
        </is>
      </c>
      <c r="L7037" s="8">
        <f>HYPERLINK("https://careerviet.vn/vi/tim-viec-lam/chuyen-vien-mua-hang.35C6AAA2.html","Xem chi tiết")</f>
        <v/>
      </c>
    </row>
    <row r="7038">
      <c r="B7038" s="9" t="n">
        <v>7036</v>
      </c>
      <c r="C7038" s="10" t="inlineStr">
        <is>
          <t>CHUYÊN VIÊN TƯ VẤN GIÁO DỤC (OCEAN EDU TÂN TRIỀU) - THU NHẬP HẤP DẪN TỪ 15 TRIỆU/THÁNG</t>
        </is>
      </c>
      <c r="D7038" s="10" t="inlineStr">
        <is>
          <t>Công Ty CP Giáo Dục Đại Dương</t>
        </is>
      </c>
      <c r="E7038" s="10" t="inlineStr">
        <is>
          <t>Lương:Cạnh tranh</t>
        </is>
      </c>
      <c r="F7038" s="10" t="inlineStr">
        <is>
          <t>Hà Nội</t>
        </is>
      </c>
      <c r="G7038" s="10" t="inlineStr">
        <is>
          <t>02-04-2026</t>
        </is>
      </c>
      <c r="H7038" s="10" t="inlineStr">
        <is>
          <t>02/04/2026</t>
        </is>
      </c>
      <c r="I7038" s="10" t="inlineStr">
        <is>
          <t>17/03/2026</t>
        </is>
      </c>
      <c r="J7038" s="10" t="inlineStr">
        <is>
          <t>Dịch vụ khách hàng, Giáo dục / Đào tạo, Bán hàng / Kinh doanh</t>
        </is>
      </c>
      <c r="K7038" s="10" t="inlineStr">
        <is>
          <t>Lên đến 1 Năm</t>
        </is>
      </c>
      <c r="L7038" s="11">
        <f>HYPERLINK("https://careerviet.vn/vi/tim-viec-lam/chuyen-vien-tu-van-giao-duc-ocean-edu-tan-trieu-thu-nhap-hap-dan-tu-15-trieu-thang.35C6AAC1.html","Xem chi tiết")</f>
        <v/>
      </c>
      <c r="M7038" s="10" t="n"/>
    </row>
    <row r="7039">
      <c r="B7039" s="7" t="n">
        <v>7037</v>
      </c>
      <c r="C7039" t="inlineStr">
        <is>
          <t>Chuyên viên Kỹ thuật (Cơ khí chế tạo/ Tự động hóa)</t>
        </is>
      </c>
      <c r="D7039" t="inlineStr">
        <is>
          <t>CÔNG TY TNHH MTV CHẾ TÁC VÀ KINH DOANH TRANG SỨC PNJ</t>
        </is>
      </c>
      <c r="E7039" t="inlineStr">
        <is>
          <t>Lương:15 Tr - 18 Tr VND</t>
        </is>
      </c>
      <c r="F7039" t="inlineStr">
        <is>
          <t>Hồ Chí Minh</t>
        </is>
      </c>
      <c r="G7039" t="inlineStr">
        <is>
          <t>30-04-2026</t>
        </is>
      </c>
      <c r="H7039" t="inlineStr">
        <is>
          <t>30/04/2026</t>
        </is>
      </c>
      <c r="I7039" t="inlineStr">
        <is>
          <t>17/03/2026</t>
        </is>
      </c>
      <c r="J7039" t="inlineStr">
        <is>
          <t>Cơ khí / Ô tô / Tự động hóa, Điện / Điện tử / Điện lạnh / Điện công nghiệp, Bảo trì / Sửa chữa</t>
        </is>
      </c>
      <c r="K7039" t="inlineStr">
        <is>
          <t>3 - 7 Năm</t>
        </is>
      </c>
      <c r="L7039" s="8">
        <f>HYPERLINK("https://careerviet.vn/vi/tim-viec-lam/chuyen-vien-ky-thuat-co-khi-che-tao-tu-dong-hoa.35C6A9E3.html","Xem chi tiết")</f>
        <v/>
      </c>
    </row>
    <row r="7040">
      <c r="B7040" s="9" t="n">
        <v>7038</v>
      </c>
      <c r="C7040" s="10" t="inlineStr">
        <is>
          <t>Senior Sales Engineer</t>
        </is>
      </c>
      <c r="D7040" s="10" t="inlineStr">
        <is>
          <t>Toan Thang Engineering Corporation</t>
        </is>
      </c>
      <c r="E7040" s="10" t="inlineStr">
        <is>
          <t>Lương:15 Tr - 29 Tr VND</t>
        </is>
      </c>
      <c r="F7040" s="10" t="inlineStr">
        <is>
          <t>Hồ Chí Minh</t>
        </is>
      </c>
      <c r="G7040" s="10" t="inlineStr">
        <is>
          <t>02-04-2026</t>
        </is>
      </c>
      <c r="H7040" s="10" t="inlineStr">
        <is>
          <t>02/04/2026</t>
        </is>
      </c>
      <c r="I7040" s="10" t="inlineStr">
        <is>
          <t>17/03/2026</t>
        </is>
      </c>
      <c r="J7040" s="10" t="inlineStr">
        <is>
          <t>Bán Hàng Kỹ Thuật, Cơ khí / Ô tô / Tự động hóa, Dầu khí</t>
        </is>
      </c>
      <c r="K7040" s="10" t="inlineStr">
        <is>
          <t>2 - 7 Năm</t>
        </is>
      </c>
      <c r="L7040" s="11">
        <f>HYPERLINK("https://careerviet.vn/vi/tim-viec-lam/senior-sales-engineer.35C6A92D.html","Xem chi tiết")</f>
        <v/>
      </c>
      <c r="M7040" s="10" t="n"/>
    </row>
    <row r="7041">
      <c r="B7041" s="7" t="n">
        <v>7039</v>
      </c>
      <c r="C7041" t="inlineStr">
        <is>
          <t>CHUYÊN VIÊN TƯ VẤN GIÁO DỤC (OCEAN EDU PHỔ YÊN) - THU NHẬP HẤP DẪN TỪ 15 TRIỆU/THÁNG</t>
        </is>
      </c>
      <c r="D7041" t="inlineStr">
        <is>
          <t>Công Ty CP Giáo Dục Đại Dương</t>
        </is>
      </c>
      <c r="E7041" t="inlineStr">
        <is>
          <t>Lương:Cạnh tranh</t>
        </is>
      </c>
      <c r="F7041" t="inlineStr">
        <is>
          <t>Thái Nguyên</t>
        </is>
      </c>
      <c r="G7041" t="inlineStr">
        <is>
          <t>02-04-2026</t>
        </is>
      </c>
      <c r="H7041" t="inlineStr">
        <is>
          <t>02/04/2026</t>
        </is>
      </c>
      <c r="I7041" t="inlineStr">
        <is>
          <t>17/03/2026</t>
        </is>
      </c>
      <c r="J7041" t="inlineStr">
        <is>
          <t>Dịch vụ khách hàng, Giáo dục / Đào tạo, Bán hàng / Kinh doanh</t>
        </is>
      </c>
      <c r="K7041" t="inlineStr">
        <is>
          <t>Lên đến 1 Năm</t>
        </is>
      </c>
      <c r="L7041" s="8">
        <f>HYPERLINK("https://careerviet.vn/vi/tim-viec-lam/chuyen-vien-tu-van-giao-duc-ocean-edu-pho-yen-thu-nhap-hap-dan-tu-15-trieu-thang.35C6AA1A.html","Xem chi tiết")</f>
        <v/>
      </c>
    </row>
    <row r="7042">
      <c r="B7042" s="9" t="n">
        <v>7040</v>
      </c>
      <c r="C7042" s="10" t="inlineStr">
        <is>
          <t>CHUYÊN VIÊN TƯ VẤN GIÁO DỤC (OCEAN EDU CHÍ LINH) - THU NHẬP HẤP DẪN TỪ 15 TRIỆU/THÁNG</t>
        </is>
      </c>
      <c r="D7042" s="10" t="inlineStr">
        <is>
          <t>Công Ty CP Giáo Dục Đại Dương</t>
        </is>
      </c>
      <c r="E7042" s="10" t="inlineStr">
        <is>
          <t>Lương:Cạnh tranh</t>
        </is>
      </c>
      <c r="F7042" s="10" t="inlineStr">
        <is>
          <t>Hải Dương</t>
        </is>
      </c>
      <c r="G7042" s="10" t="inlineStr">
        <is>
          <t>02-04-2026</t>
        </is>
      </c>
      <c r="H7042" s="10" t="inlineStr">
        <is>
          <t>02/04/2026</t>
        </is>
      </c>
      <c r="I7042" s="10" t="inlineStr">
        <is>
          <t>17/03/2026</t>
        </is>
      </c>
      <c r="J7042" s="10" t="inlineStr">
        <is>
          <t>Dịch vụ khách hàng, Giáo dục / Đào tạo, Bán hàng / Kinh doanh</t>
        </is>
      </c>
      <c r="K7042" s="10" t="inlineStr">
        <is>
          <t>Lên đến 1 Năm</t>
        </is>
      </c>
      <c r="L7042" s="11">
        <f>HYPERLINK("https://careerviet.vn/vi/tim-viec-lam/chuyen-vien-tu-van-giao-duc-ocean-edu-chi-linh-thu-nhap-hap-dan-tu-15-trieu-thang.35C6AA95.html","Xem chi tiết")</f>
        <v/>
      </c>
      <c r="M7042" s="10" t="n"/>
    </row>
    <row r="7043">
      <c r="B7043" s="7" t="n">
        <v>7041</v>
      </c>
      <c r="C7043" t="inlineStr">
        <is>
          <t>CHUYÊN VIÊN TƯ VẤN GIÁO DỤC (OCEAN EDU NAM ĐỊNH) - THU NHẬP HẤP DẪN TỪ 15 TRIỆU/THÁNG</t>
        </is>
      </c>
      <c r="D7043" t="inlineStr">
        <is>
          <t>Công Ty CP Giáo Dục Đại Dương</t>
        </is>
      </c>
      <c r="E7043" t="inlineStr">
        <is>
          <t>Lương:Cạnh tranh</t>
        </is>
      </c>
      <c r="F7043" t="inlineStr">
        <is>
          <t>Nam Định</t>
        </is>
      </c>
      <c r="G7043" t="inlineStr">
        <is>
          <t>02-04-2026</t>
        </is>
      </c>
      <c r="H7043" t="inlineStr">
        <is>
          <t>02/04/2026</t>
        </is>
      </c>
      <c r="I7043" t="inlineStr">
        <is>
          <t>17/03/2026</t>
        </is>
      </c>
      <c r="J7043" t="inlineStr">
        <is>
          <t>Dịch vụ khách hàng, Giáo dục / Đào tạo, Bán hàng / Kinh doanh</t>
        </is>
      </c>
      <c r="K7043" t="inlineStr">
        <is>
          <t>Lên đến 1 Năm</t>
        </is>
      </c>
      <c r="L7043" s="8">
        <f>HYPERLINK("https://careerviet.vn/vi/tim-viec-lam/chuyen-vien-tu-van-giao-duc-ocean-edu-nam-dinh-thu-nhap-hap-dan-tu-15-trieu-thang.35C6A9E5.html","Xem chi tiết")</f>
        <v/>
      </c>
    </row>
    <row r="7044">
      <c r="B7044" s="9" t="n">
        <v>7042</v>
      </c>
      <c r="C7044" s="10" t="inlineStr">
        <is>
          <t>Sales B2B (Phát Triển Kênh Đại Lý)</t>
        </is>
      </c>
      <c r="D7044" s="10" t="inlineStr">
        <is>
          <t>CÔNG TY CỔ PHẦN KỸ THUẬT VÀ XÂY DỰNG VIỆT THIÊN</t>
        </is>
      </c>
      <c r="E7044" s="10" t="inlineStr">
        <is>
          <t>Lương:Cạnh tranh</t>
        </is>
      </c>
      <c r="F7044" s="10" t="inlineStr">
        <is>
          <t>Hồ Chí Minh</t>
        </is>
      </c>
      <c r="G7044" s="10" t="inlineStr">
        <is>
          <t>03-04-2026</t>
        </is>
      </c>
      <c r="H7044" s="10" t="inlineStr">
        <is>
          <t>03/04/2026</t>
        </is>
      </c>
      <c r="I7044" s="10" t="inlineStr">
        <is>
          <t>17/03/2026</t>
        </is>
      </c>
      <c r="J7044" s="10" t="inlineStr">
        <is>
          <t>Bán hàng / Kinh doanh, Bán Hàng Kỹ Thuật, Bán lẻ / Bán sỉ</t>
        </is>
      </c>
      <c r="K7044" s="10" t="inlineStr">
        <is>
          <t>1 - 2 Năm</t>
        </is>
      </c>
      <c r="L7044" s="11">
        <f>HYPERLINK("https://careerviet.vn/vi/tim-viec-lam/sales-b2b-phat-trien-kenh-dai-ly.35C6A881.html","Xem chi tiết")</f>
        <v/>
      </c>
      <c r="M7044" s="10" t="n"/>
    </row>
    <row r="7045">
      <c r="B7045" s="7" t="n">
        <v>7043</v>
      </c>
      <c r="C7045" t="inlineStr">
        <is>
          <t>CHUYÊN VIÊN TƯ VẤN GIÁO DỤC (OCEAN EDU NGUYỄN XÍ) - THU NHẬP HẤP DẪN TỪ 15 TRIỆU/THÁNG</t>
        </is>
      </c>
      <c r="D7045" t="inlineStr">
        <is>
          <t>Công Ty CP Giáo Dục Đại Dương</t>
        </is>
      </c>
      <c r="E7045" t="inlineStr">
        <is>
          <t>Lương:Cạnh tranh</t>
        </is>
      </c>
      <c r="F7045" t="inlineStr">
        <is>
          <t>Hồ Chí Minh</t>
        </is>
      </c>
      <c r="G7045" t="inlineStr">
        <is>
          <t>02-04-2026</t>
        </is>
      </c>
      <c r="H7045" t="inlineStr">
        <is>
          <t>02/04/2026</t>
        </is>
      </c>
      <c r="I7045" t="inlineStr">
        <is>
          <t>17/03/2026</t>
        </is>
      </c>
      <c r="J7045" t="inlineStr">
        <is>
          <t>Dịch vụ khách hàng, Giáo dục / Đào tạo, Bán hàng / Kinh doanh</t>
        </is>
      </c>
      <c r="K7045" t="inlineStr">
        <is>
          <t>Lên đến 1 Năm</t>
        </is>
      </c>
      <c r="L7045" s="8">
        <f>HYPERLINK("https://careerviet.vn/vi/tim-viec-lam/chuyen-vien-tu-van-giao-duc-ocean-edu-nguyen-xi-thu-nhap-hap-dan-tu-15-trieu-thang.35C6AAB9.html","Xem chi tiết")</f>
        <v/>
      </c>
    </row>
    <row r="7046">
      <c r="B7046" s="9" t="n">
        <v>7044</v>
      </c>
      <c r="C7046" s="10" t="inlineStr">
        <is>
          <t>CHUYÊN VIÊN TƯ VẤN GIÁO DỤC (OCEAN EDU PHỔ YÊN 2) - THU NHẬP HẤP DẪN TỪ 15 TRIỆU/THÁNG</t>
        </is>
      </c>
      <c r="D7046" s="10" t="inlineStr">
        <is>
          <t>Công Ty CP Giáo Dục Đại Dương</t>
        </is>
      </c>
      <c r="E7046" s="10" t="inlineStr">
        <is>
          <t>Lương:Cạnh tranh</t>
        </is>
      </c>
      <c r="F7046" s="10" t="inlineStr">
        <is>
          <t>Thái Nguyên</t>
        </is>
      </c>
      <c r="G7046" s="10" t="inlineStr">
        <is>
          <t>02-04-2026</t>
        </is>
      </c>
      <c r="H7046" s="10" t="inlineStr">
        <is>
          <t>02/04/2026</t>
        </is>
      </c>
      <c r="I7046" s="10" t="inlineStr">
        <is>
          <t>17/03/2026</t>
        </is>
      </c>
      <c r="J7046" s="10" t="inlineStr">
        <is>
          <t>Dịch vụ khách hàng, Giáo dục / Đào tạo, Bán hàng / Kinh doanh</t>
        </is>
      </c>
      <c r="K7046" s="10" t="inlineStr">
        <is>
          <t>Lên đến 1 Năm</t>
        </is>
      </c>
      <c r="L7046" s="11">
        <f>HYPERLINK("https://careerviet.vn/vi/tim-viec-lam/chuyen-vien-tu-van-giao-duc-ocean-edu-pho-yen-2-thu-nhap-hap-dan-tu-15-trieu-thang.35C6AA1D.html","Xem chi tiết")</f>
        <v/>
      </c>
      <c r="M7046" s="10" t="n"/>
    </row>
    <row r="7047">
      <c r="B7047" s="7" t="n">
        <v>7045</v>
      </c>
      <c r="C7047" t="inlineStr">
        <is>
          <t>CHUYÊN VIÊN TƯ VẤN GIÁO DỤC (OCEAN EDU KỲ ANH) - THU NHẬP HẤP DẪN TỪ 15 TRIỆU/THÁNG</t>
        </is>
      </c>
      <c r="D7047" t="inlineStr">
        <is>
          <t>Công Ty CP Giáo Dục Đại Dương</t>
        </is>
      </c>
      <c r="E7047" t="inlineStr">
        <is>
          <t>Lương:Cạnh tranh</t>
        </is>
      </c>
      <c r="F7047" t="inlineStr">
        <is>
          <t>Hà Tĩnh</t>
        </is>
      </c>
      <c r="G7047" t="inlineStr">
        <is>
          <t>02-04-2026</t>
        </is>
      </c>
      <c r="H7047" t="inlineStr">
        <is>
          <t>02/04/2026</t>
        </is>
      </c>
      <c r="I7047" t="inlineStr">
        <is>
          <t>17/03/2026</t>
        </is>
      </c>
      <c r="J7047" t="inlineStr">
        <is>
          <t>Dịch vụ khách hàng, Giáo dục / Đào tạo, Bán hàng / Kinh doanh</t>
        </is>
      </c>
      <c r="K7047" t="inlineStr">
        <is>
          <t>Lên đến 1 Năm</t>
        </is>
      </c>
      <c r="L7047" s="8">
        <f>HYPERLINK("https://careerviet.vn/vi/tim-viec-lam/chuyen-vien-tu-van-giao-duc-ocean-edu-ky-anh-thu-nhap-hap-dan-tu-15-trieu-thang.35C6A9BC.html","Xem chi tiết")</f>
        <v/>
      </c>
    </row>
    <row r="7048">
      <c r="B7048" s="9" t="n">
        <v>7046</v>
      </c>
      <c r="C7048" s="10" t="inlineStr">
        <is>
          <t>CHUYÊN VIÊN KHÁCH HÀNG CÁ NHÂN - CHI NHÁNH GIA LAI- KHU VỰC MIỀN TRUNG &amp; TÂY NGUYÊN</t>
        </is>
      </c>
      <c r="D7048" s="10" t="inlineStr">
        <is>
          <t>NGÂN HÀNG TMCP SÀI GÒN THƯƠNG TÍN (SACOMBANK)</t>
        </is>
      </c>
      <c r="E7048" s="10" t="inlineStr">
        <is>
          <t>Lương:Cạnh tranh</t>
        </is>
      </c>
      <c r="F7048" s="10" t="inlineStr">
        <is>
          <t>Gia Lai</t>
        </is>
      </c>
      <c r="G7048" s="10" t="inlineStr">
        <is>
          <t>28-03-2026</t>
        </is>
      </c>
      <c r="H7048" s="10" t="inlineStr">
        <is>
          <t>28/03/2026</t>
        </is>
      </c>
      <c r="I7048" s="10" t="inlineStr">
        <is>
          <t>17/03/2026</t>
        </is>
      </c>
      <c r="J7048" s="10" t="inlineStr">
        <is>
          <t>Ngân hàng, Bảo hiểm, Tài chính / Đầu tư</t>
        </is>
      </c>
      <c r="K7048" s="10" t="inlineStr">
        <is>
          <t>N/A</t>
        </is>
      </c>
      <c r="L7048" s="11">
        <f>HYPERLINK("https://careerviet.vn/vi/tim-viec-lam/chuyen-vien-khach-hang-ca-nhan-chi-nhanh-gia-lai-khu-vuc-mien-trung-tay-nguyen.35C6A2E0.html","Xem chi tiết")</f>
        <v/>
      </c>
      <c r="M7048" s="10" t="n"/>
    </row>
    <row r="7049">
      <c r="B7049" s="7" t="n">
        <v>7047</v>
      </c>
      <c r="C7049" t="inlineStr">
        <is>
          <t>NV. Thiết kế kỹ thuật - Sản xuất Nội thất</t>
        </is>
      </c>
      <c r="D7049" t="inlineStr">
        <is>
          <t>Công ty Cổ Phần Đầu tư và Phát triển Tập đoàn Đông Ngô</t>
        </is>
      </c>
      <c r="E7049" t="inlineStr">
        <is>
          <t>Lương:15 Tr - 20 Tr VND</t>
        </is>
      </c>
      <c r="F7049" t="inlineStr">
        <is>
          <t>Hồ Chí Minh</t>
        </is>
      </c>
      <c r="G7049" t="inlineStr">
        <is>
          <t>31-03-2026</t>
        </is>
      </c>
      <c r="H7049" t="inlineStr">
        <is>
          <t>31/03/2026</t>
        </is>
      </c>
      <c r="I7049" t="inlineStr">
        <is>
          <t>17/03/2026</t>
        </is>
      </c>
      <c r="J7049" t="inlineStr">
        <is>
          <t>Nội ngoại thất, Đồ gỗ</t>
        </is>
      </c>
      <c r="K7049" t="inlineStr">
        <is>
          <t>1 - 3 Năm</t>
        </is>
      </c>
      <c r="L7049" s="8">
        <f>HYPERLINK("https://careerviet.vn/vi/tim-viec-lam/nv-thiet-ke-ky-thuat-san-xuat-noi-that.35C6A957.html","Xem chi tiết")</f>
        <v/>
      </c>
    </row>
    <row r="7050">
      <c r="B7050" s="9" t="n">
        <v>7048</v>
      </c>
      <c r="C7050" s="10" t="inlineStr">
        <is>
          <t>Trưởng phòng Cung ứng</t>
        </is>
      </c>
      <c r="D7050" s="10" t="inlineStr">
        <is>
          <t>Tổng công ty Xây dựng số 1 – CTCP</t>
        </is>
      </c>
      <c r="E7050" s="10" t="inlineStr">
        <is>
          <t>Lương:Cạnh tranh</t>
        </is>
      </c>
      <c r="F7050" s="10" t="inlineStr">
        <is>
          <t>Hồ Chí Minh</t>
        </is>
      </c>
      <c r="G7050" s="10" t="inlineStr">
        <is>
          <t>02-04-2026</t>
        </is>
      </c>
      <c r="H7050" s="10" t="inlineStr">
        <is>
          <t>02/04/2026</t>
        </is>
      </c>
      <c r="I7050" s="10" t="inlineStr">
        <is>
          <t>17/03/2026</t>
        </is>
      </c>
      <c r="J7050" s="10" t="inlineStr">
        <is>
          <t>Xây dựng, Thu mua / Vật tư</t>
        </is>
      </c>
      <c r="K7050" s="10" t="inlineStr">
        <is>
          <t>5 - 10 Năm</t>
        </is>
      </c>
      <c r="L7050" s="11">
        <f>HYPERLINK("https://careerviet.vn/vi/tim-viec-lam/truong-phong-cung-ung.35C6A7D9.html","Xem chi tiết")</f>
        <v/>
      </c>
      <c r="M7050" s="10" t="n"/>
    </row>
    <row r="7051">
      <c r="B7051" s="7" t="n">
        <v>7049</v>
      </c>
      <c r="C7051" t="inlineStr">
        <is>
          <t>Trưởng bộ phận cải tiến quy trình sản xuất</t>
        </is>
      </c>
      <c r="D7051" t="inlineStr">
        <is>
          <t>Triumph International Vietnam Co., Ltd.</t>
        </is>
      </c>
      <c r="E7051" t="inlineStr">
        <is>
          <t>Lương:Cạnh tranh</t>
        </is>
      </c>
      <c r="F7051" t="inlineStr">
        <is>
          <t>Hồ Chí Minh</t>
        </is>
      </c>
      <c r="G7051" t="inlineStr">
        <is>
          <t>31-03-2026</t>
        </is>
      </c>
      <c r="H7051" t="inlineStr">
        <is>
          <t>31/03/2026</t>
        </is>
      </c>
      <c r="I7051" t="inlineStr">
        <is>
          <t>17/03/2026</t>
        </is>
      </c>
      <c r="J7051" t="inlineStr">
        <is>
          <t>Dệt may / Da giày / Thời trang</t>
        </is>
      </c>
      <c r="K7051" t="inlineStr">
        <is>
          <t>4 - 6 Năm</t>
        </is>
      </c>
      <c r="L7051" s="8">
        <f>HYPERLINK("https://careerviet.vn/vi/tim-viec-lam/truong-bo-phan-cai-tien-quy-trinh-san-xuat.35C6A722.html","Xem chi tiết")</f>
        <v/>
      </c>
    </row>
    <row r="7052">
      <c r="B7052" s="9" t="n">
        <v>7050</v>
      </c>
      <c r="C7052" s="10" t="inlineStr">
        <is>
          <t>Biên Phiên Dịch tiếng Trung - Chinese Interpreter</t>
        </is>
      </c>
      <c r="D7052" s="10" t="inlineStr">
        <is>
          <t>Bảo mật</t>
        </is>
      </c>
      <c r="E7052" s="10" t="inlineStr">
        <is>
          <t>Lương:20 Tr - 30 Tr VND</t>
        </is>
      </c>
      <c r="F7052" s="10" t="inlineStr">
        <is>
          <t>Đồng Nai</t>
        </is>
      </c>
      <c r="G7052" s="10" t="inlineStr">
        <is>
          <t>31-03-2026</t>
        </is>
      </c>
      <c r="H7052" s="10" t="inlineStr">
        <is>
          <t>31/03/2026</t>
        </is>
      </c>
      <c r="I7052" s="10" t="inlineStr">
        <is>
          <t>17/03/2026</t>
        </is>
      </c>
      <c r="J7052" s="10" t="inlineStr">
        <is>
          <t>Biên phiên dịch</t>
        </is>
      </c>
      <c r="K7052" s="10" t="inlineStr">
        <is>
          <t>Trên 3 Năm</t>
        </is>
      </c>
      <c r="L7052" s="11">
        <f>HYPERLINK("https://careerviet.vn/vi/tim-viec-lam/bien-phien-dich-tieng-trung-chinese-interpreter.35C6AB0A.html","Xem chi tiết")</f>
        <v/>
      </c>
      <c r="M7052" s="10" t="n"/>
    </row>
    <row r="7053">
      <c r="B7053" s="7" t="n">
        <v>7051</v>
      </c>
      <c r="C7053" t="inlineStr">
        <is>
          <t>HRIS Specialist</t>
        </is>
      </c>
      <c r="D7053" t="inlineStr">
        <is>
          <t>CÔNG TY CỔ PHẦN DÂY CÁP ĐIỆN VIỆT NAM - CADIVI</t>
        </is>
      </c>
      <c r="E7053" t="inlineStr">
        <is>
          <t>Lương:Cạnh tranh</t>
        </is>
      </c>
      <c r="F7053" t="inlineStr">
        <is>
          <t>Hồ Chí Minh</t>
        </is>
      </c>
      <c r="G7053" t="inlineStr">
        <is>
          <t>02-04-2026</t>
        </is>
      </c>
      <c r="H7053" t="inlineStr">
        <is>
          <t>02/04/2026</t>
        </is>
      </c>
      <c r="I7053" t="inlineStr">
        <is>
          <t>17/03/2026</t>
        </is>
      </c>
      <c r="J7053" t="inlineStr">
        <is>
          <t>Nhân sự</t>
        </is>
      </c>
      <c r="K7053" t="inlineStr">
        <is>
          <t>2 - 5 Năm</t>
        </is>
      </c>
      <c r="L7053" s="8">
        <f>HYPERLINK("https://careerviet.vn/vi/tim-viec-lam/hris-specialist.35C6A775.html","Xem chi tiết")</f>
        <v/>
      </c>
    </row>
    <row r="7054">
      <c r="B7054" s="9" t="n">
        <v>7052</v>
      </c>
      <c r="C7054" s="10" t="inlineStr">
        <is>
          <t>Mobile Developer (Flutter, Android, iOS)</t>
        </is>
      </c>
      <c r="D7054" s="10" t="inlineStr">
        <is>
          <t>Tổng Công Ty Cổ Phần Bảo Hiểm Ngân Hàng TMCP Công Thương Việt Nam</t>
        </is>
      </c>
      <c r="E7054" s="10" t="inlineStr">
        <is>
          <t>Lương:Cạnh tranh</t>
        </is>
      </c>
      <c r="F7054" s="10" t="inlineStr">
        <is>
          <t>Hà Nội</t>
        </is>
      </c>
      <c r="G7054" s="10" t="inlineStr">
        <is>
          <t>02-04-2026</t>
        </is>
      </c>
      <c r="H7054" s="10" t="inlineStr">
        <is>
          <t>02/04/2026</t>
        </is>
      </c>
      <c r="I7054" s="10" t="inlineStr">
        <is>
          <t>17/03/2026</t>
        </is>
      </c>
      <c r="J7054" s="10" t="inlineStr">
        <is>
          <t>CNTT - Phần mềm, Bảo hiểm, CNTT - Phần cứng / Mạng</t>
        </is>
      </c>
      <c r="K7054" s="10" t="inlineStr">
        <is>
          <t>1 - 3 Năm</t>
        </is>
      </c>
      <c r="L7054" s="11">
        <f>HYPERLINK("https://careerviet.vn/vi/tim-viec-lam/mobile-developer-flutter-android-ios.35C6A781.html","Xem chi tiết")</f>
        <v/>
      </c>
      <c r="M7054" s="10" t="n"/>
    </row>
    <row r="7055">
      <c r="B7055" s="7" t="n">
        <v>7053</v>
      </c>
      <c r="C7055" t="inlineStr">
        <is>
          <t>[HCM] CV/CVCC Quan hệ Khách hàng Ưu Tiên</t>
        </is>
      </c>
      <c r="D7055" t="inlineStr">
        <is>
          <t>Ngân hàng TMCP Phát triển TP.HCM (HDBank)</t>
        </is>
      </c>
      <c r="E7055" t="inlineStr">
        <is>
          <t>Lương:Cạnh tranh</t>
        </is>
      </c>
      <c r="F7055" t="inlineStr">
        <is>
          <t>Hồ Chí Minh</t>
        </is>
      </c>
      <c r="G7055" t="inlineStr">
        <is>
          <t>31-03-2026</t>
        </is>
      </c>
      <c r="H7055" t="inlineStr">
        <is>
          <t>31/03/2026</t>
        </is>
      </c>
      <c r="I7055" t="inlineStr">
        <is>
          <t>17/03/2026</t>
        </is>
      </c>
      <c r="J7055" t="inlineStr">
        <is>
          <t>Bán hàng / Kinh doanh, Ngân hàng, Tài chính / Đầu tư</t>
        </is>
      </c>
      <c r="K7055" t="inlineStr">
        <is>
          <t>1 - 4 Năm</t>
        </is>
      </c>
      <c r="L7055" s="8">
        <f>HYPERLINK("https://careerviet.vn/vi/tim-viec-lam/hcm-cv-cvcc-quan-he-khach-hang-uu-tien.35C6AA57.html","Xem chi tiết")</f>
        <v/>
      </c>
    </row>
    <row r="7056">
      <c r="B7056" s="9" t="n">
        <v>7054</v>
      </c>
      <c r="C7056" s="10" t="inlineStr">
        <is>
          <t>Nhân Viên Kế Toán</t>
        </is>
      </c>
      <c r="D7056" s="10" t="inlineStr">
        <is>
          <t>Tập đoàn Nhựa Bình Thuận</t>
        </is>
      </c>
      <c r="E7056" s="10" t="inlineStr">
        <is>
          <t>Lương:7 Tr - 8 Tr VND</t>
        </is>
      </c>
      <c r="F7056" s="10" t="inlineStr">
        <is>
          <t>Hà Nội</t>
        </is>
      </c>
      <c r="G7056" s="10" t="inlineStr">
        <is>
          <t>31-03-2026</t>
        </is>
      </c>
      <c r="H7056" s="10" t="inlineStr">
        <is>
          <t>31/03/2026</t>
        </is>
      </c>
      <c r="I7056" s="10" t="inlineStr">
        <is>
          <t>17/03/2026</t>
        </is>
      </c>
      <c r="J7056" s="10" t="inlineStr">
        <is>
          <t>Kế toán / Kiểm toán</t>
        </is>
      </c>
      <c r="K7056" s="10" t="inlineStr">
        <is>
          <t>N/A</t>
        </is>
      </c>
      <c r="L7056" s="11">
        <f>HYPERLINK("https://careerviet.vn/vi/tim-viec-lam/nhan-vien-ke-toan.35C6A74B.html","Xem chi tiết")</f>
        <v/>
      </c>
      <c r="M7056" s="10" t="n"/>
    </row>
    <row r="7057">
      <c r="B7057" s="7" t="n">
        <v>7055</v>
      </c>
      <c r="C7057" t="inlineStr">
        <is>
          <t>Nhân viên xuất nhập khẩu</t>
        </is>
      </c>
      <c r="D7057" t="inlineStr">
        <is>
          <t>CÔNG TY TNHH AMPHENOL TECHNOLOGY VIỆT NAM (AFOV)</t>
        </is>
      </c>
      <c r="E7057" t="inlineStr">
        <is>
          <t>Lương:Cạnh tranh</t>
        </is>
      </c>
      <c r="F7057" t="inlineStr">
        <is>
          <t>Long An</t>
        </is>
      </c>
      <c r="G7057" t="inlineStr">
        <is>
          <t>31-03-2026</t>
        </is>
      </c>
      <c r="H7057" t="inlineStr">
        <is>
          <t>31/03/2026</t>
        </is>
      </c>
      <c r="I7057" t="inlineStr">
        <is>
          <t>17/03/2026</t>
        </is>
      </c>
      <c r="J7057" t="inlineStr">
        <is>
          <t>Xuất nhập khẩu, Sản xuất / Vận hành sản xuất, Thu mua / Vật tư</t>
        </is>
      </c>
      <c r="K7057" t="inlineStr">
        <is>
          <t>1 - 2 Năm</t>
        </is>
      </c>
      <c r="L7057" s="8">
        <f>HYPERLINK("https://careerviet.vn/vi/tim-viec-lam/nhan-vien-xuat-nhap-khau.35C6A8FD.html","Xem chi tiết")</f>
        <v/>
      </c>
    </row>
    <row r="7058">
      <c r="B7058" s="9" t="n">
        <v>7056</v>
      </c>
      <c r="C7058" s="10" t="inlineStr">
        <is>
          <t>Học việc Truyền thông</t>
        </is>
      </c>
      <c r="D7058" s="10" t="inlineStr">
        <is>
          <t>Công Ty Cổ Phần Xây Dựng CDC</t>
        </is>
      </c>
      <c r="E7058" s="10" t="inlineStr">
        <is>
          <t>Lương:5 Tr - 7 Tr VND</t>
        </is>
      </c>
      <c r="F7058" s="10" t="inlineStr">
        <is>
          <t>Hà Nội</t>
        </is>
      </c>
      <c r="G7058" s="10" t="inlineStr">
        <is>
          <t>04-04-2026</t>
        </is>
      </c>
      <c r="H7058" s="10" t="inlineStr">
        <is>
          <t>04/04/2026</t>
        </is>
      </c>
      <c r="I7058" s="10" t="inlineStr">
        <is>
          <t>17/03/2026</t>
        </is>
      </c>
      <c r="J7058" s="10" t="inlineStr">
        <is>
          <t>Truyền hình / Báo chí / Biên tập</t>
        </is>
      </c>
      <c r="K7058" s="10" t="inlineStr">
        <is>
          <t>1 - 2 Năm</t>
        </is>
      </c>
      <c r="L7058" s="11">
        <f>HYPERLINK("https://careerviet.vn/vi/tim-viec-lam/hoc-viec-truyen-thong.35C6AAE0.html","Xem chi tiết")</f>
        <v/>
      </c>
      <c r="M7058" s="10" t="n"/>
    </row>
    <row r="7059">
      <c r="B7059" s="7" t="n">
        <v>7057</v>
      </c>
      <c r="C7059" t="inlineStr">
        <is>
          <t>Nhân viên Hành chính Quản trị</t>
        </is>
      </c>
      <c r="D7059" t="inlineStr">
        <is>
          <t>CÔNG TY TNHH RICEGROWERS VIỆT NAM</t>
        </is>
      </c>
      <c r="E7059" t="inlineStr">
        <is>
          <t>Lương:Cạnh tranh</t>
        </is>
      </c>
      <c r="F7059" t="inlineStr">
        <is>
          <t>Đồng Tháp</t>
        </is>
      </c>
      <c r="G7059" t="inlineStr">
        <is>
          <t>3</t>
        </is>
      </c>
      <c r="H7059" t="inlineStr">
        <is>
          <t>19/03/2026</t>
        </is>
      </c>
      <c r="I7059" t="inlineStr">
        <is>
          <t>17/03/2026</t>
        </is>
      </c>
      <c r="J7059" t="inlineStr">
        <is>
          <t>Nhân sự, Hành chính / Thư ký</t>
        </is>
      </c>
      <c r="K7059" t="inlineStr">
        <is>
          <t>1 - 2 Năm</t>
        </is>
      </c>
      <c r="L7059" s="8">
        <f>HYPERLINK("https://careerviet.vn/vi/tim-viec-lam/nhan-vien-hanh-chinh-quan-tri.35C6A94F.html","Xem chi tiết")</f>
        <v/>
      </c>
    </row>
    <row r="7060">
      <c r="B7060" s="9" t="n">
        <v>7058</v>
      </c>
      <c r="C7060" s="10" t="inlineStr">
        <is>
          <t>Kỹ Thuật Y Tế Bào Miễn Dịch</t>
        </is>
      </c>
      <c r="D7060" s="10" t="inlineStr">
        <is>
          <t>CHI NHÁNH CÔNG TY CỔ PHẦN Y HỌC VĨNH THIỆN- BỆNH VIỆN ĐẠI HỌC PHENIKAA</t>
        </is>
      </c>
      <c r="E7060" s="10" t="inlineStr">
        <is>
          <t>Lương:Cạnh tranh</t>
        </is>
      </c>
      <c r="F7060" s="10" t="inlineStr">
        <is>
          <t>Hà Nội</t>
        </is>
      </c>
      <c r="G7060" s="10" t="inlineStr">
        <is>
          <t>03-04-2026</t>
        </is>
      </c>
      <c r="H7060" s="10" t="inlineStr">
        <is>
          <t>03/04/2026</t>
        </is>
      </c>
      <c r="I7060" s="10" t="inlineStr">
        <is>
          <t>17/03/2026</t>
        </is>
      </c>
      <c r="J7060" s="10" t="inlineStr">
        <is>
          <t>Công nghệ sinh học, Y tế / Chăm sóc sức khỏe / Thẩm mỹ / Làm đẹp</t>
        </is>
      </c>
      <c r="K7060" s="10" t="inlineStr">
        <is>
          <t>2 - 5 Năm</t>
        </is>
      </c>
      <c r="L7060" s="11">
        <f>HYPERLINK("https://careerviet.vn/vi/tim-viec-lam/ky-thuat-y-te-bao-mien-dich.35C6A8C5.html","Xem chi tiết")</f>
        <v/>
      </c>
      <c r="M7060" s="10" t="n"/>
    </row>
    <row r="7061">
      <c r="B7061" s="7" t="n">
        <v>7059</v>
      </c>
      <c r="C7061" t="inlineStr">
        <is>
          <t>Nhân viên kế hoạch sản xuất</t>
        </is>
      </c>
      <c r="D7061" t="inlineStr">
        <is>
          <t>CÔNG TY CỔ PHẦN CÔNG NGHỆ SOTATEK VIỆT NAM</t>
        </is>
      </c>
      <c r="E7061" t="inlineStr">
        <is>
          <t>Lương:Cạnh tranh</t>
        </is>
      </c>
      <c r="F7061" t="inlineStr">
        <is>
          <t>Hải Dương</t>
        </is>
      </c>
      <c r="G7061" t="inlineStr">
        <is>
          <t>31-03-2026</t>
        </is>
      </c>
      <c r="H7061" t="inlineStr">
        <is>
          <t>31/03/2026</t>
        </is>
      </c>
      <c r="I7061" t="inlineStr">
        <is>
          <t>17/03/2026</t>
        </is>
      </c>
      <c r="J7061" t="inlineStr">
        <is>
          <t>Sản xuất / Vận hành sản xuất, Quản lý điều hành, Mới tốt nghiệp / Thực tập</t>
        </is>
      </c>
      <c r="K7061" t="inlineStr">
        <is>
          <t>Chưa có kinh nghiệm</t>
        </is>
      </c>
      <c r="L7061" s="8">
        <f>HYPERLINK("https://careerviet.vn/vi/tim-viec-lam/nhan-vien-ke-hoach-san-xuat.35C6AAD6.html","Xem chi tiết")</f>
        <v/>
      </c>
    </row>
    <row r="7062">
      <c r="B7062" s="9" t="n">
        <v>7060</v>
      </c>
      <c r="C7062" s="10" t="inlineStr">
        <is>
          <t>Nhân viên kinh doanh đấu thầu thi công nội thất gỗ</t>
        </is>
      </c>
      <c r="D7062" s="10" t="inlineStr">
        <is>
          <t>Công ty Cổ Phần Đầu tư và Phát triển Tập đoàn Đông Ngô</t>
        </is>
      </c>
      <c r="E7062" s="10" t="inlineStr">
        <is>
          <t>Lương:18 Tr - 23 Tr VND</t>
        </is>
      </c>
      <c r="F7062" s="10" t="inlineStr">
        <is>
          <t>Hồ Chí Minh</t>
        </is>
      </c>
      <c r="G7062" s="10" t="inlineStr">
        <is>
          <t>31-03-2026</t>
        </is>
      </c>
      <c r="H7062" s="10" t="inlineStr">
        <is>
          <t>31/03/2026</t>
        </is>
      </c>
      <c r="I7062" s="10" t="inlineStr">
        <is>
          <t>17/03/2026</t>
        </is>
      </c>
      <c r="J7062" s="10" t="inlineStr">
        <is>
          <t>Xây dựng, Nội ngoại thất, Bất động sản</t>
        </is>
      </c>
      <c r="K7062" s="10" t="inlineStr">
        <is>
          <t>5 - 7 Năm</t>
        </is>
      </c>
      <c r="L7062" s="11">
        <f>HYPERLINK("https://careerviet.vn/vi/tim-viec-lam/nhan-vien-kinh-doanh-dau-thau-thi-cong-noi-that-go.35C6A93A.html","Xem chi tiết")</f>
        <v/>
      </c>
      <c r="M7062" s="10" t="n"/>
    </row>
    <row r="7063">
      <c r="B7063" s="7" t="n">
        <v>7061</v>
      </c>
      <c r="C7063" t="inlineStr">
        <is>
          <t>Nhóm Trưởng Quản Lý Chất Lượng</t>
        </is>
      </c>
      <c r="D7063" t="inlineStr">
        <is>
          <t>CÔNG TY TNHH DỆT LIÊN CHÂU</t>
        </is>
      </c>
      <c r="E7063" t="inlineStr">
        <is>
          <t>Lương:Cạnh tranh</t>
        </is>
      </c>
      <c r="F7063" t="inlineStr">
        <is>
          <t>Bình Dương</t>
        </is>
      </c>
      <c r="G7063" t="inlineStr">
        <is>
          <t>22-04-2026</t>
        </is>
      </c>
      <c r="H7063" t="inlineStr">
        <is>
          <t>22/04/2026</t>
        </is>
      </c>
      <c r="I7063" t="inlineStr">
        <is>
          <t>17/03/2026</t>
        </is>
      </c>
      <c r="J7063" t="inlineStr">
        <is>
          <t>Quản lý chất lượng (QA/QC), Dệt may / Da giày / Thời trang, Sản xuất / Vận hành sản xuất</t>
        </is>
      </c>
      <c r="K7063" t="inlineStr">
        <is>
          <t>1 - 2 Năm</t>
        </is>
      </c>
      <c r="L7063" s="8">
        <f>HYPERLINK("https://careerviet.vn/vi/tim-viec-lam/nhom-truong-quan-ly-chat-luong.35C6A8EB.html","Xem chi tiết")</f>
        <v/>
      </c>
    </row>
    <row r="7064">
      <c r="B7064" s="9" t="n">
        <v>7062</v>
      </c>
      <c r="C7064" s="10" t="inlineStr">
        <is>
          <t>[TUYỂN GẤP] NHÂN VIÊN KẾ TOÁN NGÂN HÀNG (NGÀNH NỘI THẤT)</t>
        </is>
      </c>
      <c r="D7064" s="10" t="inlineStr">
        <is>
          <t>CÔNG TY CỔ PHẦN SẢN XUẤT THƯƠNG MẠI XÂY DỰNG TRANG TRÍ NỘI THẤT G.S VIỆT NAM</t>
        </is>
      </c>
      <c r="E7064" s="10" t="inlineStr">
        <is>
          <t>Lương:Trên 10 Tr VND</t>
        </is>
      </c>
      <c r="F7064" s="10" t="inlineStr">
        <is>
          <t>Hồ Chí Minh</t>
        </is>
      </c>
      <c r="G7064" s="10" t="inlineStr">
        <is>
          <t>30-04-2026</t>
        </is>
      </c>
      <c r="H7064" s="10" t="inlineStr">
        <is>
          <t>30/04/2026</t>
        </is>
      </c>
      <c r="I7064" s="10" t="inlineStr">
        <is>
          <t>17/03/2026</t>
        </is>
      </c>
      <c r="J7064" s="10" t="inlineStr">
        <is>
          <t>Kế toán / Kiểm toán, Ngân hàng, Nội ngoại thất</t>
        </is>
      </c>
      <c r="K7064" s="10" t="inlineStr">
        <is>
          <t>1 - 2 Năm</t>
        </is>
      </c>
      <c r="L7064" s="11">
        <f>HYPERLINK("https://careerviet.vn/vi/tim-viec-lam/tuyen-gap-nhan-vien-ke-toan-ngan-hang-nganh-noi-that.35C6A8B6.html","Xem chi tiết")</f>
        <v/>
      </c>
      <c r="M7064" s="10" t="n"/>
    </row>
    <row r="7065">
      <c r="B7065" s="7" t="n">
        <v>7063</v>
      </c>
      <c r="C7065" t="inlineStr">
        <is>
          <t>Trưởng nhóm nội dung sức khỏe</t>
        </is>
      </c>
      <c r="D7065" t="inlineStr">
        <is>
          <t>CÔNG TY TNHH BỆNH VIỆN ĐKTN AN SINH - PHÚC TRƯỜNG MINH</t>
        </is>
      </c>
      <c r="E7065" t="inlineStr">
        <is>
          <t>Lương:Cạnh tranh</t>
        </is>
      </c>
      <c r="F7065" t="inlineStr">
        <is>
          <t>Hà Nội</t>
        </is>
      </c>
      <c r="G7065" t="inlineStr">
        <is>
          <t>03-04-2026</t>
        </is>
      </c>
      <c r="H7065" t="inlineStr">
        <is>
          <t>03/04/2026</t>
        </is>
      </c>
      <c r="I7065" t="inlineStr">
        <is>
          <t>17/03/2026</t>
        </is>
      </c>
      <c r="J7065" t="inlineStr">
        <is>
          <t>Tiếp thị / Marketing</t>
        </is>
      </c>
      <c r="K7065" t="inlineStr">
        <is>
          <t>3 - 5 Năm</t>
        </is>
      </c>
      <c r="L7065" s="8">
        <f>HYPERLINK("https://careerviet.vn/vi/tim-viec-lam/truong-nhom-noi-dung-suc-khoe.35C6A721.html","Xem chi tiết")</f>
        <v/>
      </c>
    </row>
    <row r="7066">
      <c r="B7066" s="9" t="n">
        <v>7064</v>
      </c>
      <c r="C7066" s="10" t="inlineStr">
        <is>
          <t>Nhân Viên Chăm Sóc Khách Hàng Ca Đêm - Shopee CS</t>
        </is>
      </c>
      <c r="D7066" s="10" t="inlineStr">
        <is>
          <t>Công Ty TNHH Việt Mỹ-SSU</t>
        </is>
      </c>
      <c r="E7066" s="10" t="inlineStr">
        <is>
          <t>Lương:10 Tr - 11 Tr VND</t>
        </is>
      </c>
      <c r="F7066" s="10" t="inlineStr">
        <is>
          <t>Hồ Chí Minh</t>
        </is>
      </c>
      <c r="G7066" s="10" t="inlineStr">
        <is>
          <t>02-04-2026</t>
        </is>
      </c>
      <c r="H7066" s="10" t="inlineStr">
        <is>
          <t>02/04/2026</t>
        </is>
      </c>
      <c r="I7066" s="10" t="inlineStr">
        <is>
          <t>17/03/2026</t>
        </is>
      </c>
      <c r="J7066" s="10" t="inlineStr">
        <is>
          <t>Thương mại điện tử, Dịch vụ khách hàng, Tư vấn</t>
        </is>
      </c>
      <c r="K7066" s="10" t="inlineStr">
        <is>
          <t>Lên đến 1 Năm</t>
        </is>
      </c>
      <c r="L7066" s="11">
        <f>HYPERLINK("https://careerviet.vn/vi/tim-viec-lam/nhan-vien-cham-soc-khach-hang-ca-dem-shopee-cs.35C6A7AD.html","Xem chi tiết")</f>
        <v/>
      </c>
      <c r="M7066" s="10" t="n"/>
    </row>
    <row r="7067">
      <c r="B7067" s="7" t="n">
        <v>7065</v>
      </c>
      <c r="C7067" t="inlineStr">
        <is>
          <t>NHÂN VIÊN KỸ THUẬT TÒA NHÀ</t>
        </is>
      </c>
      <c r="D7067" t="inlineStr">
        <is>
          <t>Tổng công ty Xây dựng số 1 – CTCP</t>
        </is>
      </c>
      <c r="E7067" t="inlineStr">
        <is>
          <t>Lương:Cạnh tranh</t>
        </is>
      </c>
      <c r="F7067" t="inlineStr">
        <is>
          <t>Hồ Chí Minh</t>
        </is>
      </c>
      <c r="G7067" t="inlineStr">
        <is>
          <t>02-04-2026</t>
        </is>
      </c>
      <c r="H7067" t="inlineStr">
        <is>
          <t>02/04/2026</t>
        </is>
      </c>
      <c r="I7067" t="inlineStr">
        <is>
          <t>17/03/2026</t>
        </is>
      </c>
      <c r="J7067" t="inlineStr">
        <is>
          <t>Bảo trì / Sửa chữa</t>
        </is>
      </c>
      <c r="K7067" t="inlineStr">
        <is>
          <t>1 - 3 Năm</t>
        </is>
      </c>
      <c r="L7067" s="8">
        <f>HYPERLINK("https://careerviet.vn/vi/tim-viec-lam/nhan-vien-ky-thuat-toa-nha.35C6A91D.html","Xem chi tiết")</f>
        <v/>
      </c>
    </row>
    <row r="7068">
      <c r="B7068" s="9" t="n">
        <v>7066</v>
      </c>
      <c r="C7068" s="10" t="inlineStr">
        <is>
          <t>Digital Marketing</t>
        </is>
      </c>
      <c r="D7068" s="10" t="inlineStr">
        <is>
          <t>CÔNG TY CỔ PHẦN KINH DOANH F88</t>
        </is>
      </c>
      <c r="E7068" s="10" t="inlineStr">
        <is>
          <t>Lương:Cạnh tranh</t>
        </is>
      </c>
      <c r="F7068" s="10" t="inlineStr">
        <is>
          <t>Hà Nội</t>
        </is>
      </c>
      <c r="G7068" s="10" t="inlineStr">
        <is>
          <t>03-04-2026</t>
        </is>
      </c>
      <c r="H7068" s="10" t="inlineStr">
        <is>
          <t>03/04/2026</t>
        </is>
      </c>
      <c r="I7068" s="10" t="inlineStr">
        <is>
          <t>17/03/2026</t>
        </is>
      </c>
      <c r="J7068" s="10" t="inlineStr">
        <is>
          <t>Tiếp thị / Marketing, Tiếp thị trực tuyến, Bán hàng / Kinh doanh</t>
        </is>
      </c>
      <c r="K7068" s="10" t="inlineStr">
        <is>
          <t>4 - 5 Năm</t>
        </is>
      </c>
      <c r="L7068" s="11">
        <f>HYPERLINK("https://careerviet.vn/vi/tim-viec-lam/digital-marketing.35C6A906.html","Xem chi tiết")</f>
        <v/>
      </c>
      <c r="M7068" s="10" t="n"/>
    </row>
    <row r="7069">
      <c r="B7069" s="7" t="n">
        <v>7067</v>
      </c>
      <c r="C7069" t="inlineStr">
        <is>
          <t>Kỹ Sư Cơ Điện (MEP) - CHT</t>
        </is>
      </c>
      <c r="D7069" t="inlineStr">
        <is>
          <t>CÔNG TY TNHH ĐẦU TƯ VÀ PHÁT TRIỂN ANCONS</t>
        </is>
      </c>
      <c r="E7069" t="inlineStr">
        <is>
          <t>Lương:20 Tr - 28 Tr VND</t>
        </is>
      </c>
      <c r="F7069" t="inlineStr">
        <is>
          <t>Hà Nội</t>
        </is>
      </c>
      <c r="G7069" t="inlineStr">
        <is>
          <t>04-04-2026</t>
        </is>
      </c>
      <c r="H7069" t="inlineStr">
        <is>
          <t>04/04/2026</t>
        </is>
      </c>
      <c r="I7069" t="inlineStr">
        <is>
          <t>17/03/2026</t>
        </is>
      </c>
      <c r="J7069" t="inlineStr">
        <is>
          <t>Điện / Điện tử / Điện lạnh / Điện công nghiệp, Xây dựng, Kiến trúc</t>
        </is>
      </c>
      <c r="K7069" t="inlineStr">
        <is>
          <t>Trên 3 Năm</t>
        </is>
      </c>
      <c r="L7069" s="8">
        <f>HYPERLINK("https://careerviet.vn/vi/tim-viec-lam/ky-su-co-dien-mep-cht.35C6AAFD.html","Xem chi tiết")</f>
        <v/>
      </c>
    </row>
    <row r="7070">
      <c r="B7070" s="9" t="n">
        <v>7068</v>
      </c>
      <c r="C7070" s="10" t="inlineStr">
        <is>
          <t>CHUYÊN VIÊN TƯ VẤN GIÁO DỤC (OCEAN EDU KON TUM) - THU NHẬP HẤP DẪN TỪ 15 TRIỆU/THÁNG</t>
        </is>
      </c>
      <c r="D7070" s="10" t="inlineStr">
        <is>
          <t>Công Ty CP Giáo Dục Đại Dương</t>
        </is>
      </c>
      <c r="E7070" s="10" t="inlineStr">
        <is>
          <t>Lương:Cạnh tranh</t>
        </is>
      </c>
      <c r="F7070" s="10" t="inlineStr">
        <is>
          <t>Kon Tum</t>
        </is>
      </c>
      <c r="G7070" s="10" t="inlineStr">
        <is>
          <t>02-04-2026</t>
        </is>
      </c>
      <c r="H7070" s="10" t="inlineStr">
        <is>
          <t>02/04/2026</t>
        </is>
      </c>
      <c r="I7070" s="10" t="inlineStr">
        <is>
          <t>17/03/2026</t>
        </is>
      </c>
      <c r="J7070" s="10" t="inlineStr">
        <is>
          <t>Dịch vụ khách hàng, Giáo dục / Đào tạo, Bán hàng / Kinh doanh</t>
        </is>
      </c>
      <c r="K7070" s="10" t="inlineStr">
        <is>
          <t>Lên đến 1 Năm</t>
        </is>
      </c>
      <c r="L7070" s="11">
        <f>HYPERLINK("https://careerviet.vn/vi/tim-viec-lam/chuyen-vien-tu-van-giao-duc-ocean-edu-kon-tum-thu-nhap-hap-dan-tu-15-trieu-thang.35C6AA58.html","Xem chi tiết")</f>
        <v/>
      </c>
      <c r="M7070" s="10" t="n"/>
    </row>
    <row r="7071">
      <c r="B7071" s="7" t="n">
        <v>7069</v>
      </c>
      <c r="C7071" t="inlineStr">
        <is>
          <t>Nhân Viên Kỹ Thuật Sản Xuất - TPHCM</t>
        </is>
      </c>
      <c r="D7071" t="inlineStr">
        <is>
          <t>Công Ty Cổ Phần Sản Xuất Nhựa Duy Tân</t>
        </is>
      </c>
      <c r="E7071" t="inlineStr">
        <is>
          <t>Lương:Cạnh tranh</t>
        </is>
      </c>
      <c r="F7071" t="inlineStr">
        <is>
          <t>Hồ Chí Minh</t>
        </is>
      </c>
      <c r="G7071" t="inlineStr">
        <is>
          <t>02-04-2026</t>
        </is>
      </c>
      <c r="H7071" t="inlineStr">
        <is>
          <t>02/04/2026</t>
        </is>
      </c>
      <c r="I7071" t="inlineStr">
        <is>
          <t>17/03/2026</t>
        </is>
      </c>
      <c r="J7071" t="inlineStr">
        <is>
          <t>Cơ khí / Ô tô / Tự động hóa, Sản xuất / Vận hành sản xuất, Bảo trì / Sửa chữa</t>
        </is>
      </c>
      <c r="K7071" t="inlineStr">
        <is>
          <t>N/A</t>
        </is>
      </c>
      <c r="L7071" s="8">
        <f>HYPERLINK("https://careerviet.vn/vi/tim-viec-lam/nhan-vien-ky-thuat-san-xuat-tphcm.35C6A7C3.html","Xem chi tiết")</f>
        <v/>
      </c>
    </row>
    <row r="7072">
      <c r="B7072" s="9" t="n">
        <v>7070</v>
      </c>
      <c r="C7072" s="10" t="inlineStr">
        <is>
          <t>Bảo Trì Cơ Khí</t>
        </is>
      </c>
      <c r="D7072" s="10" t="inlineStr">
        <is>
          <t>Tập Đoàn Kim Tín</t>
        </is>
      </c>
      <c r="E7072" s="10" t="inlineStr">
        <is>
          <t>Lương:Cạnh tranh</t>
        </is>
      </c>
      <c r="F7072" s="10" t="inlineStr">
        <is>
          <t>Bình Phước</t>
        </is>
      </c>
      <c r="G7072" s="10" t="inlineStr">
        <is>
          <t>02-04-2026</t>
        </is>
      </c>
      <c r="H7072" s="10" t="inlineStr">
        <is>
          <t>02/04/2026</t>
        </is>
      </c>
      <c r="I7072" s="10" t="inlineStr">
        <is>
          <t>17/03/2026</t>
        </is>
      </c>
      <c r="J7072" s="10" t="inlineStr">
        <is>
          <t>Cơ khí / Ô tô / Tự động hóa, Sản xuất / Vận hành sản xuất, Nội ngoại thất</t>
        </is>
      </c>
      <c r="K7072" s="10" t="inlineStr">
        <is>
          <t>Trên 1 Năm</t>
        </is>
      </c>
      <c r="L7072" s="11">
        <f>HYPERLINK("https://careerviet.vn/vi/tim-viec-lam/bao-tri-co-khi.35C6AA46.html","Xem chi tiết")</f>
        <v/>
      </c>
      <c r="M7072" s="10" t="n"/>
    </row>
    <row r="7073">
      <c r="B7073" s="7" t="n">
        <v>7071</v>
      </c>
      <c r="C7073" t="inlineStr">
        <is>
          <t>Furniture Designer (Foreign candidates)</t>
        </is>
      </c>
      <c r="D7073" t="inlineStr">
        <is>
          <t>Công ty TNHH Gardenline International (VN)</t>
        </is>
      </c>
      <c r="E7073" t="inlineStr">
        <is>
          <t>Lương:Cạnh tranh</t>
        </is>
      </c>
      <c r="F7073" t="inlineStr">
        <is>
          <t>Hồ Chí Minh</t>
        </is>
      </c>
      <c r="G7073" t="inlineStr">
        <is>
          <t>30-04-2026</t>
        </is>
      </c>
      <c r="H7073" t="inlineStr">
        <is>
          <t>30/04/2026</t>
        </is>
      </c>
      <c r="I7073" t="inlineStr">
        <is>
          <t>17/03/2026</t>
        </is>
      </c>
      <c r="J7073" t="inlineStr">
        <is>
          <t>Mỹ thuật / Nghệ thuật / Thiết kế</t>
        </is>
      </c>
      <c r="K7073" t="inlineStr">
        <is>
          <t>Lên đến 3 Năm</t>
        </is>
      </c>
      <c r="L7073" s="8">
        <f>HYPERLINK("https://careerviet.vn/vi/tim-viec-lam/furniture-designer-foreign-candidates.35C6AA45.html","Xem chi tiết")</f>
        <v/>
      </c>
    </row>
    <row r="7074">
      <c r="B7074" s="9" t="n">
        <v>7072</v>
      </c>
      <c r="C7074" s="10" t="inlineStr">
        <is>
          <t>CHUYÊN VIÊN TƯ VẤN GIÁO DỤC (OCEAN EDU LẬP THẠCH) - THU NHẬP HẤP DẪN TỪ 15 TRIỆU/THÁNG</t>
        </is>
      </c>
      <c r="D7074" s="10" t="inlineStr">
        <is>
          <t>Công Ty CP Giáo Dục Đại Dương</t>
        </is>
      </c>
      <c r="E7074" s="10" t="inlineStr">
        <is>
          <t>Lương:Cạnh tranh</t>
        </is>
      </c>
      <c r="F7074" s="10" t="inlineStr">
        <is>
          <t>Vĩnh Phúc</t>
        </is>
      </c>
      <c r="G7074" s="10" t="inlineStr">
        <is>
          <t>02-04-2026</t>
        </is>
      </c>
      <c r="H7074" s="10" t="inlineStr">
        <is>
          <t>02/04/2026</t>
        </is>
      </c>
      <c r="I7074" s="10" t="inlineStr">
        <is>
          <t>17/03/2026</t>
        </is>
      </c>
      <c r="J7074" s="10" t="inlineStr">
        <is>
          <t>Dịch vụ khách hàng, Giáo dục / Đào tạo, Bán hàng / Kinh doanh</t>
        </is>
      </c>
      <c r="K7074" s="10" t="inlineStr">
        <is>
          <t>Lên đến 1 Năm</t>
        </is>
      </c>
      <c r="L7074" s="11">
        <f>HYPERLINK("https://careerviet.vn/vi/tim-viec-lam/chuyen-vien-tu-van-giao-duc-ocean-edu-lap-thach-thu-nhap-hap-dan-tu-15-trieu-thang.35C6A7A8.html","Xem chi tiết")</f>
        <v/>
      </c>
      <c r="M7074" s="10" t="n"/>
    </row>
    <row r="7075">
      <c r="B7075" s="7" t="n">
        <v>7073</v>
      </c>
      <c r="C7075" t="inlineStr">
        <is>
          <t>CHUYÊN VIÊN CONTENT MARKETING</t>
        </is>
      </c>
      <c r="D7075" t="inlineStr">
        <is>
          <t>Hoàng Huy Group</t>
        </is>
      </c>
      <c r="E7075" t="inlineStr">
        <is>
          <t>Lương:15 Tr - 18 Tr VND</t>
        </is>
      </c>
      <c r="F7075" t="inlineStr">
        <is>
          <t>Hà Nội</t>
        </is>
      </c>
      <c r="G7075" t="inlineStr">
        <is>
          <t>16-03-2026</t>
        </is>
      </c>
      <c r="H7075" t="inlineStr">
        <is>
          <t>15/03/2026</t>
        </is>
      </c>
      <c r="I7075" t="inlineStr">
        <is>
          <t>17/03/2026</t>
        </is>
      </c>
      <c r="J7075" t="inlineStr">
        <is>
          <t>Tiếp thị / Marketing, Bất động sản</t>
        </is>
      </c>
      <c r="K7075" t="inlineStr">
        <is>
          <t>1 - 2 Năm</t>
        </is>
      </c>
      <c r="L7075" s="8">
        <f>HYPERLINK("https://careerviet.vn/vi/tim-viec-lam/chuyen-vien-content-marketing.35C6A80C.html","Xem chi tiết")</f>
        <v/>
      </c>
    </row>
    <row r="7076">
      <c r="B7076" s="9" t="n">
        <v>7074</v>
      </c>
      <c r="C7076" s="10" t="inlineStr">
        <is>
          <t>Nhân Viên Kinh Doanh Kênh MT</t>
        </is>
      </c>
      <c r="D7076" s="10" t="inlineStr">
        <is>
          <t>Oishi - Công Ty TNHH Công Nghiệp Thực Phẩm Liwayway Sài Gòn</t>
        </is>
      </c>
      <c r="E7076" s="10" t="inlineStr">
        <is>
          <t>Lương:11 Tr - 13 Tr VND</t>
        </is>
      </c>
      <c r="F7076" s="10" t="inlineStr">
        <is>
          <t>Hồ Chí Minh</t>
        </is>
      </c>
      <c r="G7076" s="10" t="inlineStr">
        <is>
          <t>30-04-2026</t>
        </is>
      </c>
      <c r="H7076" s="10" t="inlineStr">
        <is>
          <t>30/04/2026</t>
        </is>
      </c>
      <c r="I7076" s="10" t="inlineStr">
        <is>
          <t>17/03/2026</t>
        </is>
      </c>
      <c r="J7076" s="10" t="inlineStr">
        <is>
          <t>Tiếp thị / Marketing, Bán hàng / Kinh doanh, Thực phẩm &amp; Đồ uống</t>
        </is>
      </c>
      <c r="K7076" s="10" t="inlineStr">
        <is>
          <t>Chưa có kinh nghiệm</t>
        </is>
      </c>
      <c r="L7076" s="11">
        <f>HYPERLINK("https://careerviet.vn/vi/tim-viec-lam/nhan-vien-kinh-doanh-kenh-mt.35C6A9AC.html","Xem chi tiết")</f>
        <v/>
      </c>
      <c r="M7076" s="10" t="n"/>
    </row>
    <row r="7077">
      <c r="B7077" s="7" t="n">
        <v>7075</v>
      </c>
      <c r="C7077" t="inlineStr">
        <is>
          <t>TRƯỞNG CA BẢO TRÌ CƠ KHÍ [Đi ca ngày đêm]</t>
        </is>
      </c>
      <c r="D7077" t="inlineStr">
        <is>
          <t>CÔNG TY TNHH CRYSTAL ELEGANCE TEXTILES VIỆT NAM</t>
        </is>
      </c>
      <c r="E7077" t="inlineStr">
        <is>
          <t>Lương:14 Tr - 18 Tr VND</t>
        </is>
      </c>
      <c r="F7077" t="inlineStr">
        <is>
          <t>Hồ Chí MinhBình Dương</t>
        </is>
      </c>
      <c r="G7077" t="inlineStr">
        <is>
          <t>30-04-2026</t>
        </is>
      </c>
      <c r="H7077" t="inlineStr">
        <is>
          <t>30/04/2026</t>
        </is>
      </c>
      <c r="I7077" t="inlineStr">
        <is>
          <t>17/03/2026</t>
        </is>
      </c>
      <c r="J7077" t="inlineStr">
        <is>
          <t>Cơ khí / Ô tô / Tự động hóa, Bảo trì / Sửa chữa, Sản xuất / Vận hành sản xuất</t>
        </is>
      </c>
      <c r="K7077" t="inlineStr">
        <is>
          <t>3 - 5 Năm</t>
        </is>
      </c>
      <c r="L7077" s="8">
        <f>HYPERLINK("https://careerviet.vn/vi/tim-viec-lam/truong-ca-bao-tri-co-khi-di-ca-ngay-dem.35C6A9F2.html","Xem chi tiết")</f>
        <v/>
      </c>
    </row>
    <row r="7078">
      <c r="B7078" s="9" t="n">
        <v>7076</v>
      </c>
      <c r="C7078" s="10" t="inlineStr">
        <is>
          <t>Kế Toán Tổng Hợp (Bình Dương)</t>
        </is>
      </c>
      <c r="D7078" s="10" t="inlineStr">
        <is>
          <t>Công ty Cổ phần Thiết kế và Quản lý Kỹ thuật IMP</t>
        </is>
      </c>
      <c r="E7078" s="10" t="inlineStr">
        <is>
          <t>Lương:18 Tr - 20 Tr VND</t>
        </is>
      </c>
      <c r="F7078" s="10" t="inlineStr">
        <is>
          <t>Bình Dương</t>
        </is>
      </c>
      <c r="G7078" s="10" t="inlineStr">
        <is>
          <t>31-03-2026</t>
        </is>
      </c>
      <c r="H7078" s="10" t="inlineStr">
        <is>
          <t>31/03/2026</t>
        </is>
      </c>
      <c r="I7078" s="10" t="inlineStr">
        <is>
          <t>17/03/2026</t>
        </is>
      </c>
      <c r="J7078" s="10" t="inlineStr">
        <is>
          <t>Kế toán / Kiểm toán</t>
        </is>
      </c>
      <c r="K7078" s="10" t="inlineStr">
        <is>
          <t>3 - 5 Năm</t>
        </is>
      </c>
      <c r="L7078" s="11">
        <f>HYPERLINK("https://careerviet.vn/vi/tim-viec-lam/ke-toan-tong-hop-binh-duong.35C6A837.html","Xem chi tiết")</f>
        <v/>
      </c>
      <c r="M7078" s="10" t="n"/>
    </row>
    <row r="7079">
      <c r="B7079" s="7" t="n">
        <v>7077</v>
      </c>
      <c r="C7079" t="inlineStr">
        <is>
          <t>CHUYÊN VIÊN TƯ VẤN GIÁO DỤC (OCEAN EDU NAM TRỰC) - THU NHẬP HẤP DẪN TỪ 15 TRIỆU/THÁNG</t>
        </is>
      </c>
      <c r="D7079" t="inlineStr">
        <is>
          <t>Công Ty CP Giáo Dục Đại Dương</t>
        </is>
      </c>
      <c r="E7079" t="inlineStr">
        <is>
          <t>Lương:Cạnh tranh</t>
        </is>
      </c>
      <c r="F7079" t="inlineStr">
        <is>
          <t>Nam Định</t>
        </is>
      </c>
      <c r="G7079" t="inlineStr">
        <is>
          <t>02-04-2026</t>
        </is>
      </c>
      <c r="H7079" t="inlineStr">
        <is>
          <t>02/04/2026</t>
        </is>
      </c>
      <c r="I7079" t="inlineStr">
        <is>
          <t>17/03/2026</t>
        </is>
      </c>
      <c r="J7079" t="inlineStr">
        <is>
          <t>Dịch vụ khách hàng, Giáo dục / Đào tạo, Bán hàng / Kinh doanh</t>
        </is>
      </c>
      <c r="K7079" t="inlineStr">
        <is>
          <t>Lên đến 1 Năm</t>
        </is>
      </c>
      <c r="L7079" s="8">
        <f>HYPERLINK("https://careerviet.vn/vi/tim-viec-lam/chuyen-vien-tu-van-giao-duc-ocean-edu-nam-truc-thu-nhap-hap-dan-tu-15-trieu-thang.35C6A9CE.html","Xem chi tiết")</f>
        <v/>
      </c>
    </row>
    <row r="7080">
      <c r="B7080" s="9" t="n">
        <v>7078</v>
      </c>
      <c r="C7080" s="10" t="inlineStr">
        <is>
          <t>CHUYÊN VIÊN KHÁCH HÀNG CÁ NHÂN - CHI NHÁNH NINH THUẬN - KHU VỰC MIỀN TRUNG &amp; TÂY NGUYÊN</t>
        </is>
      </c>
      <c r="D7080" s="10" t="inlineStr">
        <is>
          <t>NGÂN HÀNG TMCP SÀI GÒN THƯƠNG TÍN (SACOMBANK)</t>
        </is>
      </c>
      <c r="E7080" s="10" t="inlineStr">
        <is>
          <t>Lương:Cạnh tranh</t>
        </is>
      </c>
      <c r="F7080" s="10" t="inlineStr">
        <is>
          <t>Ninh Thuận</t>
        </is>
      </c>
      <c r="G7080" s="10" t="inlineStr">
        <is>
          <t>28-03-2026</t>
        </is>
      </c>
      <c r="H7080" s="10" t="inlineStr">
        <is>
          <t>28/03/2026</t>
        </is>
      </c>
      <c r="I7080" s="10" t="inlineStr">
        <is>
          <t>17/03/2026</t>
        </is>
      </c>
      <c r="J7080" s="10" t="inlineStr">
        <is>
          <t>Ngân hàng, Bảo hiểm, Tài chính / Đầu tư</t>
        </is>
      </c>
      <c r="K7080" s="10" t="inlineStr">
        <is>
          <t>N/A</t>
        </is>
      </c>
      <c r="L7080" s="11">
        <f>HYPERLINK("https://careerviet.vn/vi/tim-viec-lam/chuyen-vien-khach-hang-ca-nhan-chi-nhanh-ninh-thuan-khu-vuc-mien-trung-tay-nguyen.35C6A2F7.html","Xem chi tiết")</f>
        <v/>
      </c>
      <c r="M7080" s="10" t="n"/>
    </row>
    <row r="7081">
      <c r="B7081" s="7" t="n">
        <v>7079</v>
      </c>
      <c r="C7081" t="inlineStr">
        <is>
          <t>Chuyên Viên/Chuyên viên cao cấp Quan Hệ Khách Hàng Doanh Nghiệp - Khu vực Buôn Ma Thuột</t>
        </is>
      </c>
      <c r="D7081" t="inlineStr">
        <is>
          <t>Ngân hàng TMCP Việt Á – VietABank</t>
        </is>
      </c>
      <c r="E7081" t="inlineStr">
        <is>
          <t>Lương:10 Tr - 36 Tr VND</t>
        </is>
      </c>
      <c r="F7081" t="inlineStr">
        <is>
          <t>Dak Lak</t>
        </is>
      </c>
      <c r="G7081" t="inlineStr">
        <is>
          <t>02-04-2026</t>
        </is>
      </c>
      <c r="H7081" t="inlineStr">
        <is>
          <t>02/04/2026</t>
        </is>
      </c>
      <c r="I7081" t="inlineStr">
        <is>
          <t>17/03/2026</t>
        </is>
      </c>
      <c r="J7081" t="inlineStr">
        <is>
          <t>Bảo hiểm, Ngân hàng, Bất động sản</t>
        </is>
      </c>
      <c r="K7081" t="inlineStr">
        <is>
          <t>1 - 3 Năm</t>
        </is>
      </c>
      <c r="L7081" s="8">
        <f>HYPERLINK("https://careerviet.vn/vi/tim-viec-lam/chuyen-vien-chuyen-vien-cao-cap-quan-he-khach-hang-doanh-nghiep-khu-vuc-buon-ma-thuot.35C6A754.html","Xem chi tiết")</f>
        <v/>
      </c>
    </row>
    <row r="7082">
      <c r="B7082" s="9" t="n">
        <v>7080</v>
      </c>
      <c r="C7082" s="10" t="inlineStr">
        <is>
          <t>[Phú Mỹ Hưng] - Nhân viên Kinh doanh BĐS</t>
        </is>
      </c>
      <c r="D7082" s="10" t="inlineStr">
        <is>
          <t>Công ty TNHH Phát triển Phú Mỹ Hưng</t>
        </is>
      </c>
      <c r="E7082" s="10" t="inlineStr">
        <is>
          <t>Lương:Cạnh tranh</t>
        </is>
      </c>
      <c r="F7082" s="10" t="inlineStr">
        <is>
          <t>Bình DươngHồ Chí Minh</t>
        </is>
      </c>
      <c r="G7082" s="10" t="inlineStr">
        <is>
          <t>30-04-2026</t>
        </is>
      </c>
      <c r="H7082" s="10" t="inlineStr">
        <is>
          <t>30/04/2026</t>
        </is>
      </c>
      <c r="I7082" s="10" t="inlineStr">
        <is>
          <t>17/03/2026</t>
        </is>
      </c>
      <c r="J7082" s="10" t="inlineStr">
        <is>
          <t>Bất động sản, Bán hàng / Kinh doanh, Tư vấn</t>
        </is>
      </c>
      <c r="K7082" s="10" t="inlineStr">
        <is>
          <t>1 - 3 Năm</t>
        </is>
      </c>
      <c r="L7082" s="11">
        <f>HYPERLINK("https://careerviet.vn/vi/tim-viec-lam/phu-my-hung-nhan-vien-kinh-doanh-bds.35C6A800.html","Xem chi tiết")</f>
        <v/>
      </c>
      <c r="M7082" s="10" t="n"/>
    </row>
    <row r="7083">
      <c r="B7083" s="7" t="n">
        <v>7081</v>
      </c>
      <c r="C7083" t="inlineStr">
        <is>
          <t>Nhân viên Brand Marketing</t>
        </is>
      </c>
      <c r="D7083" t="inlineStr">
        <is>
          <t>CÔNG TY TNHH TẬP ĐOÀN BÁCH MỘC AN</t>
        </is>
      </c>
      <c r="E7083" t="inlineStr">
        <is>
          <t>Lương:15 Tr - 20 Tr VND</t>
        </is>
      </c>
      <c r="F7083" t="inlineStr">
        <is>
          <t>Hà Nội</t>
        </is>
      </c>
      <c r="G7083" t="inlineStr">
        <is>
          <t>30-04-2026</t>
        </is>
      </c>
      <c r="H7083" t="inlineStr">
        <is>
          <t>30/04/2026</t>
        </is>
      </c>
      <c r="I7083" t="inlineStr">
        <is>
          <t>17/03/2026</t>
        </is>
      </c>
      <c r="J7083" t="inlineStr">
        <is>
          <t>Dịch vụ khách hàng, Bán hàng / Kinh doanh, Tiếp thị / Marketing</t>
        </is>
      </c>
      <c r="K7083" t="inlineStr">
        <is>
          <t>2 - 3 Năm</t>
        </is>
      </c>
      <c r="L7083" s="8">
        <f>HYPERLINK("https://careerviet.vn/vi/tim-viec-lam/nhan-vien-brand-marketing.35C6A964.html","Xem chi tiết")</f>
        <v/>
      </c>
    </row>
    <row r="7084">
      <c r="B7084" s="9" t="n">
        <v>7082</v>
      </c>
      <c r="C7084" s="10" t="inlineStr">
        <is>
          <t>CHUYÊN VIÊN TƯ VẤN GIÁO DỤC (OCEAN EDU HẢI HẬU) - THU NHẬP HẤP DẪN TỪ 15 TRIỆU/THÁNG</t>
        </is>
      </c>
      <c r="D7084" s="10" t="inlineStr">
        <is>
          <t>Công Ty CP Giáo Dục Đại Dương</t>
        </is>
      </c>
      <c r="E7084" s="10" t="inlineStr">
        <is>
          <t>Lương:Cạnh tranh</t>
        </is>
      </c>
      <c r="F7084" s="10" t="inlineStr">
        <is>
          <t>Nam Định</t>
        </is>
      </c>
      <c r="G7084" s="10" t="inlineStr">
        <is>
          <t>02-04-2026</t>
        </is>
      </c>
      <c r="H7084" s="10" t="inlineStr">
        <is>
          <t>02/04/2026</t>
        </is>
      </c>
      <c r="I7084" s="10" t="inlineStr">
        <is>
          <t>17/03/2026</t>
        </is>
      </c>
      <c r="J7084" s="10" t="inlineStr">
        <is>
          <t>Dịch vụ khách hàng, Giáo dục / Đào tạo, Bán hàng / Kinh doanh</t>
        </is>
      </c>
      <c r="K7084" s="10" t="inlineStr">
        <is>
          <t>Lên đến 1 Năm</t>
        </is>
      </c>
      <c r="L7084" s="11">
        <f>HYPERLINK("https://careerviet.vn/vi/tim-viec-lam/chuyen-vien-tu-van-giao-duc-ocean-edu-hai-hau-thu-nhap-hap-dan-tu-15-trieu-thang.35C6A9DB.html","Xem chi tiết")</f>
        <v/>
      </c>
      <c r="M7084" s="10" t="n"/>
    </row>
    <row r="7085">
      <c r="B7085" s="7" t="n">
        <v>7083</v>
      </c>
      <c r="C7085" t="inlineStr">
        <is>
          <t>Chuyên viên Nhân sự tổng hợp</t>
        </is>
      </c>
      <c r="D7085" t="inlineStr">
        <is>
          <t>CÔNG TY TNHH HMB MIỀN NAM</t>
        </is>
      </c>
      <c r="E7085" t="inlineStr">
        <is>
          <t>Lương:12 Tr - 15 Tr VND</t>
        </is>
      </c>
      <c r="F7085" t="inlineStr">
        <is>
          <t>Hồ Chí Minh</t>
        </is>
      </c>
      <c r="G7085" t="inlineStr">
        <is>
          <t>01-04-2026</t>
        </is>
      </c>
      <c r="H7085" t="inlineStr">
        <is>
          <t>01/04/2026</t>
        </is>
      </c>
      <c r="I7085" t="inlineStr">
        <is>
          <t>17/03/2026</t>
        </is>
      </c>
      <c r="J7085" t="inlineStr">
        <is>
          <t>Nhân sự</t>
        </is>
      </c>
      <c r="K7085" t="inlineStr">
        <is>
          <t>2 - 3 Năm</t>
        </is>
      </c>
      <c r="L7085" s="8">
        <f>HYPERLINK("https://careerviet.vn/vi/tim-viec-lam/chuyen-vien-nhan-su-tong-hop.35C6AA73.html","Xem chi tiết")</f>
        <v/>
      </c>
    </row>
    <row r="7086">
      <c r="B7086" s="9" t="n">
        <v>7084</v>
      </c>
      <c r="C7086" s="10" t="inlineStr">
        <is>
          <t>Chuyên viên kinh tế xây dựng_Ban QLDA</t>
        </is>
      </c>
      <c r="D7086" s="10" t="inlineStr">
        <is>
          <t>CÔNG TY CP ĐẦU TƯ PHÁT TRIỂN TRÍ DƯƠNG</t>
        </is>
      </c>
      <c r="E7086" s="10" t="inlineStr">
        <is>
          <t>Lương:Cạnh tranh</t>
        </is>
      </c>
      <c r="F7086" s="10" t="inlineStr">
        <is>
          <t>Hà NộiNghệ AnHà Tĩnh</t>
        </is>
      </c>
      <c r="G7086" s="10" t="inlineStr">
        <is>
          <t>11-04-2026</t>
        </is>
      </c>
      <c r="H7086" s="10" t="inlineStr">
        <is>
          <t>11/04/2026</t>
        </is>
      </c>
      <c r="I7086" s="10" t="inlineStr">
        <is>
          <t>17/03/2026</t>
        </is>
      </c>
      <c r="J7086" s="10" t="inlineStr">
        <is>
          <t>Bất động sản</t>
        </is>
      </c>
      <c r="K7086" s="10" t="inlineStr">
        <is>
          <t>4 - 5 Năm</t>
        </is>
      </c>
      <c r="L7086" s="11">
        <f>HYPERLINK("https://careerviet.vn/vi/tim-viec-lam/chuyen-vien-kinh-te-xay-dung_ban-qlda.35C6AA19.html","Xem chi tiết")</f>
        <v/>
      </c>
      <c r="M7086" s="10" t="n"/>
    </row>
    <row r="7087">
      <c r="B7087" s="7" t="n">
        <v>7085</v>
      </c>
      <c r="C7087" t="inlineStr">
        <is>
          <t>Nhân viên Sale (hóa chất)</t>
        </is>
      </c>
      <c r="D7087" t="inlineStr">
        <is>
          <t>CÔNG TY TNHH BỘT SƠN TĨNH ĐIỆN KIM THÀNH PHÁT</t>
        </is>
      </c>
      <c r="E7087" t="inlineStr">
        <is>
          <t>Lương:12 Tr - 15 Tr VND</t>
        </is>
      </c>
      <c r="F7087" t="inlineStr">
        <is>
          <t>Long AnTây Ninh</t>
        </is>
      </c>
      <c r="G7087" t="inlineStr">
        <is>
          <t>03-04-2026</t>
        </is>
      </c>
      <c r="H7087" t="inlineStr">
        <is>
          <t>03/04/2026</t>
        </is>
      </c>
      <c r="I7087" t="inlineStr">
        <is>
          <t>17/03/2026</t>
        </is>
      </c>
      <c r="J7087" t="inlineStr">
        <is>
          <t>Bán hàng / Kinh doanh, Bán Hàng Kỹ Thuật, Tiếp thị / Marketing</t>
        </is>
      </c>
      <c r="K7087" t="inlineStr">
        <is>
          <t>Chưa có kinh nghiệm</t>
        </is>
      </c>
      <c r="L7087" s="8">
        <f>HYPERLINK("https://careerviet.vn/vi/tim-viec-lam/nhan-vien-sale-hoa-chat.35C6AA38.html","Xem chi tiết")</f>
        <v/>
      </c>
    </row>
    <row r="7088">
      <c r="B7088" s="9" t="n">
        <v>7086</v>
      </c>
      <c r="C7088" s="10" t="inlineStr">
        <is>
          <t>Nhân Viên Kinh Doanh</t>
        </is>
      </c>
      <c r="D7088" s="10" t="inlineStr">
        <is>
          <t>CÔNG TY TNHH CDS</t>
        </is>
      </c>
      <c r="E7088" s="10" t="inlineStr">
        <is>
          <t>Lương:Trên 10 Tr VND</t>
        </is>
      </c>
      <c r="F7088" s="10" t="inlineStr">
        <is>
          <t>Hồ Chí Minh</t>
        </is>
      </c>
      <c r="G7088" s="10" t="inlineStr">
        <is>
          <t>31-03-2026</t>
        </is>
      </c>
      <c r="H7088" s="10" t="inlineStr">
        <is>
          <t>31/03/2026</t>
        </is>
      </c>
      <c r="I7088" s="10" t="inlineStr">
        <is>
          <t>17/03/2026</t>
        </is>
      </c>
      <c r="J7088" s="10" t="inlineStr">
        <is>
          <t>Bán hàng / Kinh doanh</t>
        </is>
      </c>
      <c r="K7088" s="10" t="inlineStr">
        <is>
          <t>1 - 2 Năm</t>
        </is>
      </c>
      <c r="L7088" s="11">
        <f>HYPERLINK("https://careerviet.vn/vi/tim-viec-lam/nhan-vien-kinh-doanh.35C6A91C.html","Xem chi tiết")</f>
        <v/>
      </c>
      <c r="M7088" s="10" t="n"/>
    </row>
    <row r="7089">
      <c r="B7089" s="7" t="n">
        <v>7087</v>
      </c>
      <c r="C7089" t="inlineStr">
        <is>
          <t>Trưởng Nhóm Tuyển Sinh (Ocean Edu Tiền Hải)</t>
        </is>
      </c>
      <c r="D7089" t="inlineStr">
        <is>
          <t>Công Ty CP Giáo Dục Đại Dương</t>
        </is>
      </c>
      <c r="E7089" t="inlineStr">
        <is>
          <t>Lương:Cạnh tranh</t>
        </is>
      </c>
      <c r="F7089" t="inlineStr">
        <is>
          <t>Thái Bình</t>
        </is>
      </c>
      <c r="G7089" t="inlineStr">
        <is>
          <t>02-04-2026</t>
        </is>
      </c>
      <c r="H7089" t="inlineStr">
        <is>
          <t>02/04/2026</t>
        </is>
      </c>
      <c r="I7089" t="inlineStr">
        <is>
          <t>17/03/2026</t>
        </is>
      </c>
      <c r="J7089" t="inlineStr">
        <is>
          <t>Tư vấn, Dịch vụ khách hàng, Giáo dục / Đào tạo</t>
        </is>
      </c>
      <c r="K7089" t="inlineStr">
        <is>
          <t>1 - 2 Năm</t>
        </is>
      </c>
      <c r="L7089" s="8">
        <f>HYPERLINK("https://careerviet.vn/vi/tim-viec-lam/truong-nhom-tuyen-sinh-ocean-edu-tien-hai.35C6AA03.html","Xem chi tiết")</f>
        <v/>
      </c>
    </row>
    <row r="7090">
      <c r="B7090" s="9" t="n">
        <v>7088</v>
      </c>
      <c r="C7090" s="10" t="inlineStr">
        <is>
          <t>Nhân Viên Lễ Tân - Biết Tiếng Anh</t>
        </is>
      </c>
      <c r="D7090" s="10" t="inlineStr">
        <is>
          <t>Nha khoa Dr. Care</t>
        </is>
      </c>
      <c r="E7090" s="10" t="inlineStr">
        <is>
          <t>Lương:8 Tr - 12 Tr VND</t>
        </is>
      </c>
      <c r="F7090" s="10" t="inlineStr">
        <is>
          <t>Hồ Chí Minh</t>
        </is>
      </c>
      <c r="G7090" s="10" t="inlineStr">
        <is>
          <t>31-03-2026</t>
        </is>
      </c>
      <c r="H7090" s="10" t="inlineStr">
        <is>
          <t>31/03/2026</t>
        </is>
      </c>
      <c r="I7090" s="10" t="inlineStr">
        <is>
          <t>17/03/2026</t>
        </is>
      </c>
      <c r="J7090" s="10" t="inlineStr">
        <is>
          <t>Y tế / Chăm sóc sức khỏe / Thẩm mỹ / Làm đẹp, Dịch vụ khách hàng, Hành chính / Thư ký</t>
        </is>
      </c>
      <c r="K7090" s="10" t="inlineStr">
        <is>
          <t>Lên đến 1 Năm</t>
        </is>
      </c>
      <c r="L7090" s="11">
        <f>HYPERLINK("https://careerviet.vn/vi/tim-viec-lam/nhan-vien-le-tan-biet-tieng-anh.35C6A77F.html","Xem chi tiết")</f>
        <v/>
      </c>
      <c r="M7090" s="10" t="n"/>
    </row>
    <row r="7091">
      <c r="B7091" s="7" t="n">
        <v>7089</v>
      </c>
      <c r="C7091" t="inlineStr">
        <is>
          <t>CHUYÊN VIÊN TƯ VẤN GIÁO DỤC (OCEAN EDU ĐAN PHƯỢNG) - THU NHẬP HẤP DẪN TỪ 15 TRIỆU/THÁNG</t>
        </is>
      </c>
      <c r="D7091" t="inlineStr">
        <is>
          <t>Công Ty CP Giáo Dục Đại Dương</t>
        </is>
      </c>
      <c r="E7091" t="inlineStr">
        <is>
          <t>Lương:Cạnh tranh</t>
        </is>
      </c>
      <c r="F7091" t="inlineStr">
        <is>
          <t>Hà Nội</t>
        </is>
      </c>
      <c r="G7091" t="inlineStr">
        <is>
          <t>02-04-2026</t>
        </is>
      </c>
      <c r="H7091" t="inlineStr">
        <is>
          <t>02/04/2026</t>
        </is>
      </c>
      <c r="I7091" t="inlineStr">
        <is>
          <t>17/03/2026</t>
        </is>
      </c>
      <c r="J7091" t="inlineStr">
        <is>
          <t>Dịch vụ khách hàng, Giáo dục / Đào tạo, Bán hàng / Kinh doanh</t>
        </is>
      </c>
      <c r="K7091" t="inlineStr">
        <is>
          <t>Lên đến 1 Năm</t>
        </is>
      </c>
      <c r="L7091" s="8">
        <f>HYPERLINK("https://careerviet.vn/vi/tim-viec-lam/chuyen-vien-tu-van-giao-duc-ocean-edu-dan-phuong-thu-nhap-hap-dan-tu-15-trieu-thang.35C6AAA7.html","Xem chi tiết")</f>
        <v/>
      </c>
    </row>
    <row r="7092">
      <c r="B7092" s="9" t="n">
        <v>7090</v>
      </c>
      <c r="C7092" s="10" t="inlineStr">
        <is>
          <t>CHUYÊN VIÊN TƯ VẤN GIÁO DỤC (OCEAN EDU HÀ GIANG) - THU NHẬP HẤP DẪN TỪ 15 TRIỆU/THÁNG</t>
        </is>
      </c>
      <c r="D7092" s="10" t="inlineStr">
        <is>
          <t>Công Ty CP Giáo Dục Đại Dương</t>
        </is>
      </c>
      <c r="E7092" s="10" t="inlineStr">
        <is>
          <t>Lương:Cạnh tranh</t>
        </is>
      </c>
      <c r="F7092" s="10" t="inlineStr">
        <is>
          <t>Hà Giang</t>
        </is>
      </c>
      <c r="G7092" s="10" t="inlineStr">
        <is>
          <t>02-04-2026</t>
        </is>
      </c>
      <c r="H7092" s="10" t="inlineStr">
        <is>
          <t>02/04/2026</t>
        </is>
      </c>
      <c r="I7092" s="10" t="inlineStr">
        <is>
          <t>17/03/2026</t>
        </is>
      </c>
      <c r="J7092" s="10" t="inlineStr">
        <is>
          <t>Dịch vụ khách hàng, Giáo dục / Đào tạo, Bán hàng / Kinh doanh</t>
        </is>
      </c>
      <c r="K7092" s="10" t="inlineStr">
        <is>
          <t>Lên đến 1 Năm</t>
        </is>
      </c>
      <c r="L7092" s="11">
        <f>HYPERLINK("https://careerviet.vn/vi/tim-viec-lam/chuyen-vien-tu-van-giao-duc-ocean-edu-ha-giang-thu-nhap-hap-dan-tu-15-trieu-thang.35C6A9D6.html","Xem chi tiết")</f>
        <v/>
      </c>
      <c r="M7092" s="10" t="n"/>
    </row>
    <row r="7093">
      <c r="B7093" s="7" t="n">
        <v>7091</v>
      </c>
      <c r="C7093" t="inlineStr">
        <is>
          <t>CHUYÊN VIÊN TƯ VẤN GIÁO DỤC (OCEAN EDU DIỄN CHÂU) - THU NHẬP HẤP DẪN TỪ 15 TRIỆU/THÁNG</t>
        </is>
      </c>
      <c r="D7093" t="inlineStr">
        <is>
          <t>Công Ty CP Giáo Dục Đại Dương</t>
        </is>
      </c>
      <c r="E7093" t="inlineStr">
        <is>
          <t>Lương:Cạnh tranh</t>
        </is>
      </c>
      <c r="F7093" t="inlineStr">
        <is>
          <t>Nghệ An</t>
        </is>
      </c>
      <c r="G7093" t="inlineStr">
        <is>
          <t>02-04-2026</t>
        </is>
      </c>
      <c r="H7093" t="inlineStr">
        <is>
          <t>02/04/2026</t>
        </is>
      </c>
      <c r="I7093" t="inlineStr">
        <is>
          <t>17/03/2026</t>
        </is>
      </c>
      <c r="J7093" t="inlineStr">
        <is>
          <t>Dịch vụ khách hàng, Giáo dục / Đào tạo, Bán hàng / Kinh doanh</t>
        </is>
      </c>
      <c r="K7093" t="inlineStr">
        <is>
          <t>Lên đến 1 Năm</t>
        </is>
      </c>
      <c r="L7093" s="8">
        <f>HYPERLINK("https://careerviet.vn/vi/tim-viec-lam/chuyen-vien-tu-van-giao-duc-ocean-edu-dien-chau-thu-nhap-hap-dan-tu-15-trieu-thang.35C6A9F7.html","Xem chi tiết")</f>
        <v/>
      </c>
    </row>
    <row r="7094">
      <c r="B7094" s="9" t="n">
        <v>7092</v>
      </c>
      <c r="C7094" s="10" t="inlineStr">
        <is>
          <t>CHUYÊN VIÊN TƯ VẤN GIÁO DỤC (OCEAN EDU NGỌC HỒI) - THU NHẬP HẤP DẪN TỪ 15 TRIỆU/THÁNG</t>
        </is>
      </c>
      <c r="D7094" s="10" t="inlineStr">
        <is>
          <t>Công Ty CP Giáo Dục Đại Dương</t>
        </is>
      </c>
      <c r="E7094" s="10" t="inlineStr">
        <is>
          <t>Lương:Cạnh tranh</t>
        </is>
      </c>
      <c r="F7094" s="10" t="inlineStr">
        <is>
          <t>Hà Nội</t>
        </is>
      </c>
      <c r="G7094" s="10" t="inlineStr">
        <is>
          <t>02-04-2026</t>
        </is>
      </c>
      <c r="H7094" s="10" t="inlineStr">
        <is>
          <t>02/04/2026</t>
        </is>
      </c>
      <c r="I7094" s="10" t="inlineStr">
        <is>
          <t>17/03/2026</t>
        </is>
      </c>
      <c r="J7094" s="10" t="inlineStr">
        <is>
          <t>Dịch vụ khách hàng, Giáo dục / Đào tạo, Bán hàng / Kinh doanh</t>
        </is>
      </c>
      <c r="K7094" s="10" t="inlineStr">
        <is>
          <t>Lên đến 1 Năm</t>
        </is>
      </c>
      <c r="L7094" s="11">
        <f>HYPERLINK("https://careerviet.vn/vi/tim-viec-lam/chuyen-vien-tu-van-giao-duc-ocean-edu-ngoc-hoi-thu-nhap-hap-dan-tu-15-trieu-thang.35C6AAAC.html","Xem chi tiết")</f>
        <v/>
      </c>
      <c r="M7094" s="10" t="n"/>
    </row>
    <row r="7095">
      <c r="B7095" s="7" t="n">
        <v>7093</v>
      </c>
      <c r="C7095" t="inlineStr">
        <is>
          <t>CHUYÊN VIÊN TƯ VẤN GIÁO DỤC (OCEAN EDU PHAN VĂN TRỊ) - THU NHẬP HẤP DẪN TỪ 15 TRIỆU/THÁNG</t>
        </is>
      </c>
      <c r="D7095" t="inlineStr">
        <is>
          <t>Công Ty CP Giáo Dục Đại Dương</t>
        </is>
      </c>
      <c r="E7095" t="inlineStr">
        <is>
          <t>Lương:Cạnh tranh</t>
        </is>
      </c>
      <c r="F7095" t="inlineStr">
        <is>
          <t>Hồ Chí Minh</t>
        </is>
      </c>
      <c r="G7095" t="inlineStr">
        <is>
          <t>02-04-2026</t>
        </is>
      </c>
      <c r="H7095" t="inlineStr">
        <is>
          <t>02/04/2026</t>
        </is>
      </c>
      <c r="I7095" t="inlineStr">
        <is>
          <t>17/03/2026</t>
        </is>
      </c>
      <c r="J7095" t="inlineStr">
        <is>
          <t>Dịch vụ khách hàng, Giáo dục / Đào tạo, Bán hàng / Kinh doanh</t>
        </is>
      </c>
      <c r="K7095" t="inlineStr">
        <is>
          <t>Lên đến 1 Năm</t>
        </is>
      </c>
      <c r="L7095" s="8">
        <f>HYPERLINK("https://careerviet.vn/vi/tim-viec-lam/chuyen-vien-tu-van-giao-duc-ocean-edu-phan-van-tri-thu-nhap-hap-dan-tu-15-trieu-thang.35C6AAB3.html","Xem chi tiết")</f>
        <v/>
      </c>
    </row>
    <row r="7096">
      <c r="B7096" s="9" t="n">
        <v>7094</v>
      </c>
      <c r="C7096" s="10" t="inlineStr">
        <is>
          <t>General Accountant</t>
        </is>
      </c>
      <c r="D7096" s="10" t="inlineStr">
        <is>
          <t>Công Ty TNHH Bodynits Tiền Giang</t>
        </is>
      </c>
      <c r="E7096" s="10" t="inlineStr">
        <is>
          <t>Lương:Cạnh tranh</t>
        </is>
      </c>
      <c r="F7096" s="10" t="inlineStr">
        <is>
          <t>Tiền Giang</t>
        </is>
      </c>
      <c r="G7096" s="10" t="inlineStr">
        <is>
          <t>03-04-2026</t>
        </is>
      </c>
      <c r="H7096" s="10" t="inlineStr">
        <is>
          <t>03/04/2026</t>
        </is>
      </c>
      <c r="I7096" s="10" t="inlineStr">
        <is>
          <t>17/03/2026</t>
        </is>
      </c>
      <c r="J7096" s="10" t="inlineStr">
        <is>
          <t>Kế toán / Kiểm toán, Tài chính / Đầu tư, Luật / Pháp lý</t>
        </is>
      </c>
      <c r="K7096" s="10" t="inlineStr">
        <is>
          <t>1 - 2 Năm</t>
        </is>
      </c>
      <c r="L7096" s="11">
        <f>HYPERLINK("https://careerviet.vn/vi/tim-viec-lam/general-accountant.35C6AAE7.html","Xem chi tiết")</f>
        <v/>
      </c>
      <c r="M7096" s="10" t="n"/>
    </row>
    <row r="7097">
      <c r="B7097" s="7" t="n">
        <v>7095</v>
      </c>
      <c r="C7097" t="inlineStr">
        <is>
          <t>Nhân viên kho</t>
        </is>
      </c>
      <c r="D7097" t="inlineStr">
        <is>
          <t>CÔNG TY CỔ PHẦN ULTD THỊNH PHÁT</t>
        </is>
      </c>
      <c r="E7097" t="inlineStr">
        <is>
          <t>Lương:8 Tr - 10 Tr VND</t>
        </is>
      </c>
      <c r="F7097" t="inlineStr">
        <is>
          <t>Hồ Chí Minh</t>
        </is>
      </c>
      <c r="G7097" t="inlineStr">
        <is>
          <t>31-03-2026</t>
        </is>
      </c>
      <c r="H7097" t="inlineStr">
        <is>
          <t>31/03/2026</t>
        </is>
      </c>
      <c r="I7097" t="inlineStr">
        <is>
          <t>17/03/2026</t>
        </is>
      </c>
      <c r="J7097" t="inlineStr">
        <is>
          <t>Y tế / Chăm sóc sức khỏe / Thẩm mỹ / Làm đẹp, Dệt may / Da giày / Thời trang, Bán lẻ / Bán sỉ</t>
        </is>
      </c>
      <c r="K7097" t="inlineStr">
        <is>
          <t>Lên đến 1 Năm</t>
        </is>
      </c>
      <c r="L7097" s="8">
        <f>HYPERLINK("https://careerviet.vn/vi/tim-viec-lam/nhan-vien-kho.35C6A9A9.html","Xem chi tiết")</f>
        <v/>
      </c>
    </row>
    <row r="7098">
      <c r="B7098" s="9" t="n">
        <v>7096</v>
      </c>
      <c r="C7098" s="10" t="inlineStr">
        <is>
          <t>Nhân viên Kinh doanh - Worldtrans</t>
        </is>
      </c>
      <c r="D7098" s="10" t="inlineStr">
        <is>
          <t>Công Ty Cổ Phần Du Lịch Vietravel</t>
        </is>
      </c>
      <c r="E7098" s="10" t="inlineStr">
        <is>
          <t>Lương:Cạnh tranh</t>
        </is>
      </c>
      <c r="F7098" s="10" t="inlineStr">
        <is>
          <t>Đà Nẵng</t>
        </is>
      </c>
      <c r="G7098" s="10" t="inlineStr">
        <is>
          <t>02-04-2026</t>
        </is>
      </c>
      <c r="H7098" s="10" t="inlineStr">
        <is>
          <t>02/04/2026</t>
        </is>
      </c>
      <c r="I7098" s="10" t="inlineStr">
        <is>
          <t>17/03/2026</t>
        </is>
      </c>
      <c r="J7098" s="10" t="inlineStr">
        <is>
          <t>Bán lẻ / Bán sỉ, Bán hàng / Kinh doanh, Du lịch</t>
        </is>
      </c>
      <c r="K7098" s="10" t="inlineStr">
        <is>
          <t>Chưa có kinh nghiệm</t>
        </is>
      </c>
      <c r="L7098" s="11">
        <f>HYPERLINK("https://careerviet.vn/vi/tim-viec-lam/nhan-vien-kinh-doanh-worldtrans.35C6A8C3.html","Xem chi tiết")</f>
        <v/>
      </c>
      <c r="M7098" s="10" t="n"/>
    </row>
    <row r="7099">
      <c r="B7099" s="7" t="n">
        <v>7097</v>
      </c>
      <c r="C7099" t="inlineStr">
        <is>
          <t>NHÂN VIÊN KẾ TOÁN XUẤT HÓA ĐƠN</t>
        </is>
      </c>
      <c r="D7099" t="inlineStr">
        <is>
          <t>Công Ty TNHH Phát Triển Công Nghệ Điện Tử Bình Anh</t>
        </is>
      </c>
      <c r="E7099" t="inlineStr">
        <is>
          <t>Lương:8 Tr - 9,5 Tr VND</t>
        </is>
      </c>
      <c r="F7099" t="inlineStr">
        <is>
          <t>Hà Nội</t>
        </is>
      </c>
      <c r="G7099" t="inlineStr">
        <is>
          <t>31-03-2026</t>
        </is>
      </c>
      <c r="H7099" t="inlineStr">
        <is>
          <t>31/03/2026</t>
        </is>
      </c>
      <c r="I7099" t="inlineStr">
        <is>
          <t>17/03/2026</t>
        </is>
      </c>
      <c r="J7099" t="inlineStr">
        <is>
          <t>Kế toán / Kiểm toán</t>
        </is>
      </c>
      <c r="K7099" t="inlineStr">
        <is>
          <t>N/A</t>
        </is>
      </c>
      <c r="L7099" s="8">
        <f>HYPERLINK("https://careerviet.vn/vi/tim-viec-lam/nhan-vien-ke-toan-xuat-hoa-don.35C6AA04.html","Xem chi tiết")</f>
        <v/>
      </c>
    </row>
    <row r="7100">
      <c r="B7100" s="9" t="n">
        <v>7098</v>
      </c>
      <c r="C7100" s="10" t="inlineStr">
        <is>
          <t>Nhân viên thu mua</t>
        </is>
      </c>
      <c r="D7100" s="10" t="inlineStr">
        <is>
          <t>CÔNG TY CỔ PHẦN CÔNG NGHỆ SOTATEK VIỆT NAM</t>
        </is>
      </c>
      <c r="E7100" s="10" t="inlineStr">
        <is>
          <t>Lương:Cạnh tranh</t>
        </is>
      </c>
      <c r="F7100" s="10" t="inlineStr">
        <is>
          <t>Hải Dương</t>
        </is>
      </c>
      <c r="G7100" s="10" t="inlineStr">
        <is>
          <t>01-04-2026</t>
        </is>
      </c>
      <c r="H7100" s="10" t="inlineStr">
        <is>
          <t>01/04/2026</t>
        </is>
      </c>
      <c r="I7100" s="10" t="inlineStr">
        <is>
          <t>17/03/2026</t>
        </is>
      </c>
      <c r="J7100" s="10" t="inlineStr">
        <is>
          <t>Xuất nhập khẩu, Mới tốt nghiệp / Thực tập, Thu mua / Vật tư</t>
        </is>
      </c>
      <c r="K7100" s="10" t="inlineStr">
        <is>
          <t>Chưa có kinh nghiệm</t>
        </is>
      </c>
      <c r="L7100" s="11">
        <f>HYPERLINK("https://careerviet.vn/vi/tim-viec-lam/nhan-vien-thu-mua.35C6AACA.html","Xem chi tiết")</f>
        <v/>
      </c>
      <c r="M7100" s="10" t="n"/>
    </row>
    <row r="7101">
      <c r="B7101" s="7" t="n">
        <v>7099</v>
      </c>
      <c r="C7101" t="inlineStr">
        <is>
          <t>CHUYÊN VIÊN TƯ VẤN GIÁO DỤC (OCEAN EDU SƠN LA) - THU NHẬP HẤP DẪN TỪ 15 TRIỆU/THÁNG</t>
        </is>
      </c>
      <c r="D7101" t="inlineStr">
        <is>
          <t>Công Ty CP Giáo Dục Đại Dương</t>
        </is>
      </c>
      <c r="E7101" t="inlineStr">
        <is>
          <t>Lương:Cạnh tranh</t>
        </is>
      </c>
      <c r="F7101" t="inlineStr">
        <is>
          <t>Sơn La</t>
        </is>
      </c>
      <c r="G7101" t="inlineStr">
        <is>
          <t>02-04-2026</t>
        </is>
      </c>
      <c r="H7101" t="inlineStr">
        <is>
          <t>02/04/2026</t>
        </is>
      </c>
      <c r="I7101" t="inlineStr">
        <is>
          <t>17/03/2026</t>
        </is>
      </c>
      <c r="J7101" t="inlineStr">
        <is>
          <t>Dịch vụ khách hàng, Giáo dục / Đào tạo, Bán hàng / Kinh doanh</t>
        </is>
      </c>
      <c r="K7101" t="inlineStr">
        <is>
          <t>Lên đến 1 Năm</t>
        </is>
      </c>
      <c r="L7101" s="8">
        <f>HYPERLINK("https://careerviet.vn/vi/tim-viec-lam/chuyen-vien-tu-van-giao-duc-ocean-edu-son-la-thu-nhap-hap-dan-tu-15-trieu-thang.35C6AA8F.html","Xem chi tiết")</f>
        <v/>
      </c>
    </row>
    <row r="7102">
      <c r="B7102" s="9" t="n">
        <v>7100</v>
      </c>
      <c r="C7102" s="10" t="inlineStr">
        <is>
          <t>Chuyên viên Phòng Giám định bồi thường Tài sản kỹ thuật làm việc tại Hà Nội - Khối Giám định bồi thường</t>
        </is>
      </c>
      <c r="D7102" s="10" t="inlineStr">
        <is>
          <t>Tổng Công ty Cổ phần Bảo hiểm Quân đội (MIC)</t>
        </is>
      </c>
      <c r="E7102" s="10" t="inlineStr">
        <is>
          <t>Lương:Cạnh tranh</t>
        </is>
      </c>
      <c r="F7102" s="10" t="inlineStr">
        <is>
          <t>Hà Nội</t>
        </is>
      </c>
      <c r="G7102" s="10" t="inlineStr">
        <is>
          <t>02-04-2026</t>
        </is>
      </c>
      <c r="H7102" s="10" t="inlineStr">
        <is>
          <t>02/04/2026</t>
        </is>
      </c>
      <c r="I7102" s="10" t="inlineStr">
        <is>
          <t>17/03/2026</t>
        </is>
      </c>
      <c r="J7102" s="10" t="inlineStr">
        <is>
          <t>Kế toán / Kiểm toán, Bảo hiểm</t>
        </is>
      </c>
      <c r="K7102" s="10" t="inlineStr">
        <is>
          <t>1 - 10 Năm</t>
        </is>
      </c>
      <c r="L7102" s="11">
        <f>HYPERLINK("https://careerviet.vn/vi/tim-viec-lam/chuyen-vien-phong-giam-dinh-boi-thuong-tai-san-ky-thuat-lam-viec-tai-ha-noi-khoi-giam-dinh-boi-thuong.35C6AAD4.html","Xem chi tiết")</f>
        <v/>
      </c>
      <c r="M7102" s="10" t="n"/>
    </row>
    <row r="7103">
      <c r="B7103" s="7" t="n">
        <v>7101</v>
      </c>
      <c r="C7103" t="inlineStr">
        <is>
          <t>Giám Sát Nhà Hàng/ Restaurant Supervisor</t>
        </is>
      </c>
      <c r="D7103" t="inlineStr">
        <is>
          <t>CÔNG TY TNHH THƯƠNG MẠI VÀ DỊCH VỤ TALAD THAI</t>
        </is>
      </c>
      <c r="E7103" t="inlineStr">
        <is>
          <t>Lương:9 Tr - 12 Tr VND</t>
        </is>
      </c>
      <c r="F7103" t="inlineStr">
        <is>
          <t>Hà Nội</t>
        </is>
      </c>
      <c r="G7103" t="inlineStr">
        <is>
          <t>3</t>
        </is>
      </c>
      <c r="H7103" t="inlineStr">
        <is>
          <t>20/03/2026</t>
        </is>
      </c>
      <c r="I7103" t="inlineStr">
        <is>
          <t>17/03/2026</t>
        </is>
      </c>
      <c r="J7103" t="inlineStr">
        <is>
          <t>Nhà hàng / Khách sạn, Bán hàng / Kinh doanh</t>
        </is>
      </c>
      <c r="K7103" t="inlineStr">
        <is>
          <t>Trên 1 Năm</t>
        </is>
      </c>
      <c r="L7103" s="8">
        <f>HYPERLINK("https://careerviet.vn/vi/tim-viec-lam/giam-sat-nha-hang-restaurant-supervisor.35C6A91B.html","Xem chi tiết")</f>
        <v/>
      </c>
    </row>
    <row r="7104">
      <c r="B7104" s="9" t="n">
        <v>7102</v>
      </c>
      <c r="C7104" s="10" t="inlineStr">
        <is>
          <t>CHUYÊN VIÊN TƯ VẤN GIÁO DỤC (OCEAN EDU VĂN LÂM) - THU NHẬP HẤP DẪN TỪ 15 TRIỆU/THÁNG</t>
        </is>
      </c>
      <c r="D7104" s="10" t="inlineStr">
        <is>
          <t>Công Ty CP Giáo Dục Đại Dương</t>
        </is>
      </c>
      <c r="E7104" s="10" t="inlineStr">
        <is>
          <t>Lương:Cạnh tranh</t>
        </is>
      </c>
      <c r="F7104" s="10" t="inlineStr">
        <is>
          <t>Hưng Yên</t>
        </is>
      </c>
      <c r="G7104" s="10" t="inlineStr">
        <is>
          <t>02-04-2026</t>
        </is>
      </c>
      <c r="H7104" s="10" t="inlineStr">
        <is>
          <t>02/04/2026</t>
        </is>
      </c>
      <c r="I7104" s="10" t="inlineStr">
        <is>
          <t>17/03/2026</t>
        </is>
      </c>
      <c r="J7104" s="10" t="inlineStr">
        <is>
          <t>Dịch vụ khách hàng, Giáo dục / Đào tạo, Bán hàng / Kinh doanh</t>
        </is>
      </c>
      <c r="K7104" s="10" t="inlineStr">
        <is>
          <t>Lên đến 1 Năm</t>
        </is>
      </c>
      <c r="L7104" s="11">
        <f>HYPERLINK("https://careerviet.vn/vi/tim-viec-lam/chuyen-vien-tu-van-giao-duc-ocean-edu-van-lam-thu-nhap-hap-dan-tu-15-trieu-thang.35C6A9FB.html","Xem chi tiết")</f>
        <v/>
      </c>
      <c r="M7104" s="10" t="n"/>
    </row>
    <row r="7105">
      <c r="B7105" s="7" t="n">
        <v>7103</v>
      </c>
      <c r="C7105" t="inlineStr">
        <is>
          <t>Nhân Viên Customer Service Logistics</t>
        </is>
      </c>
      <c r="D7105" t="inlineStr">
        <is>
          <t>CÔNG TY CỔ PHẦN CUNG ỨNG LẠNH VN</t>
        </is>
      </c>
      <c r="E7105" t="inlineStr">
        <is>
          <t>Lương:14 Tr - 15 Tr VND</t>
        </is>
      </c>
      <c r="F7105" t="inlineStr">
        <is>
          <t>Hà Nội</t>
        </is>
      </c>
      <c r="G7105" t="inlineStr">
        <is>
          <t>02-04-2026</t>
        </is>
      </c>
      <c r="H7105" t="inlineStr">
        <is>
          <t>02/04/2026</t>
        </is>
      </c>
      <c r="I7105" t="inlineStr">
        <is>
          <t>17/03/2026</t>
        </is>
      </c>
      <c r="J7105" t="inlineStr">
        <is>
          <t>Dịch vụ khách hàng, Vận chuyển / Giao nhận / Kho vận, Xuất nhập khẩu</t>
        </is>
      </c>
      <c r="K7105" t="inlineStr">
        <is>
          <t>2 - 3 Năm</t>
        </is>
      </c>
      <c r="L7105" s="8">
        <f>HYPERLINK("https://careerviet.vn/vi/tim-viec-lam/nhan-vien-customer-service-logistics.35C6AA4D.html","Xem chi tiết")</f>
        <v/>
      </c>
    </row>
    <row r="7106">
      <c r="B7106" s="9" t="n">
        <v>7104</v>
      </c>
      <c r="C7106" s="10" t="inlineStr">
        <is>
          <t>Chuyên Viên CS (Customer Service) (Nhà Máy Karofi Hưng Yên)</t>
        </is>
      </c>
      <c r="D7106" s="10" t="inlineStr">
        <is>
          <t>Tập Đoàn Karofi Holding</t>
        </is>
      </c>
      <c r="E7106" s="10" t="inlineStr">
        <is>
          <t>Lương:Cạnh tranh</t>
        </is>
      </c>
      <c r="F7106" s="10" t="inlineStr">
        <is>
          <t>Hưng Yên</t>
        </is>
      </c>
      <c r="G7106" s="10" t="inlineStr">
        <is>
          <t>02-04-2026</t>
        </is>
      </c>
      <c r="H7106" s="10" t="inlineStr">
        <is>
          <t>02/04/2026</t>
        </is>
      </c>
      <c r="I7106" s="10" t="inlineStr">
        <is>
          <t>17/03/2026</t>
        </is>
      </c>
      <c r="J7106" s="10" t="inlineStr">
        <is>
          <t>Dịch vụ khách hàng, Quản lý chất lượng (QA/QC), Điện / Điện tử / Điện lạnh / Điện công nghiệp</t>
        </is>
      </c>
      <c r="K7106" s="10" t="inlineStr">
        <is>
          <t>1 - 2 Năm</t>
        </is>
      </c>
      <c r="L7106" s="11">
        <f>HYPERLINK("https://careerviet.vn/vi/tim-viec-lam/chuyen-vien-cs-customer-service-nha-may-karofi-hung-yen.35C6A7F2.html","Xem chi tiết")</f>
        <v/>
      </c>
      <c r="M7106" s="10" t="n"/>
    </row>
    <row r="7107">
      <c r="B7107" s="7" t="n">
        <v>7105</v>
      </c>
      <c r="C7107" t="inlineStr">
        <is>
          <t>Nhân Viên Theo Dõi Đơn Hàng Nghành May</t>
        </is>
      </c>
      <c r="D7107" t="inlineStr">
        <is>
          <t>CT CP Tập Đoàn Thái Tuấn</t>
        </is>
      </c>
      <c r="E7107" t="inlineStr">
        <is>
          <t>Lương:10 Tr - 15 Tr VND</t>
        </is>
      </c>
      <c r="F7107" t="inlineStr">
        <is>
          <t>Hồ Chí Minh</t>
        </is>
      </c>
      <c r="G7107" t="inlineStr">
        <is>
          <t>31-03-2026</t>
        </is>
      </c>
      <c r="H7107" t="inlineStr">
        <is>
          <t>31/03/2026</t>
        </is>
      </c>
      <c r="I7107" t="inlineStr">
        <is>
          <t>17/03/2026</t>
        </is>
      </c>
      <c r="J7107" t="inlineStr">
        <is>
          <t>Sản xuất / Vận hành sản xuất, Dệt may / Da giày / Thời trang, Thu mua / Vật tư</t>
        </is>
      </c>
      <c r="K7107" t="inlineStr">
        <is>
          <t>2 - 3 Năm</t>
        </is>
      </c>
      <c r="L7107" s="8">
        <f>HYPERLINK("https://careerviet.vn/vi/tim-viec-lam/nhan-vien-theo-doi-don-hang-nghanh-may.35C6A93D.html","Xem chi tiết")</f>
        <v/>
      </c>
    </row>
    <row r="7108">
      <c r="B7108" s="9" t="n">
        <v>7106</v>
      </c>
      <c r="C7108" s="10" t="inlineStr">
        <is>
          <t>Giám Sát Bảo Trì</t>
        </is>
      </c>
      <c r="D7108" s="10" t="inlineStr">
        <is>
          <t>CÔNG TY TNHH ARCHER DANIELS MIDLAND VN</t>
        </is>
      </c>
      <c r="E7108" s="10" t="inlineStr">
        <is>
          <t>Lương:Cạnh tranh</t>
        </is>
      </c>
      <c r="F7108" s="10" t="inlineStr">
        <is>
          <t>Đồng Nai</t>
        </is>
      </c>
      <c r="G7108" s="10" t="inlineStr">
        <is>
          <t>15-04-2026</t>
        </is>
      </c>
      <c r="H7108" s="10" t="inlineStr">
        <is>
          <t>15/04/2026</t>
        </is>
      </c>
      <c r="I7108" s="10" t="inlineStr">
        <is>
          <t>17/03/2026</t>
        </is>
      </c>
      <c r="J7108" s="10" t="inlineStr">
        <is>
          <t>Cơ khí / Ô tô / Tự động hóa, Điện / Điện tử / Điện lạnh / Điện công nghiệp, Sản xuất / Vận hành sản xuất</t>
        </is>
      </c>
      <c r="K7108" s="10" t="inlineStr">
        <is>
          <t>3 - 5 Năm</t>
        </is>
      </c>
      <c r="L7108" s="11">
        <f>HYPERLINK("https://careerviet.vn/vi/tim-viec-lam/giam-sat-bao-tri.35C6AAEE.html","Xem chi tiết")</f>
        <v/>
      </c>
      <c r="M7108" s="10" t="n"/>
    </row>
    <row r="7109">
      <c r="B7109" s="7" t="n">
        <v>7107</v>
      </c>
      <c r="C7109" t="inlineStr">
        <is>
          <t>CHUYÊN VIÊN KẾ TOÁN XÂY LẮP</t>
        </is>
      </c>
      <c r="D7109" t="inlineStr">
        <is>
          <t>Tổng công ty Xây dựng số 1 – CTCP</t>
        </is>
      </c>
      <c r="E7109" t="inlineStr">
        <is>
          <t>Lương:Cạnh tranh</t>
        </is>
      </c>
      <c r="F7109" t="inlineStr">
        <is>
          <t>Hồ Chí Minh</t>
        </is>
      </c>
      <c r="G7109" t="inlineStr">
        <is>
          <t>02-04-2026</t>
        </is>
      </c>
      <c r="H7109" t="inlineStr">
        <is>
          <t>02/04/2026</t>
        </is>
      </c>
      <c r="I7109" t="inlineStr">
        <is>
          <t>17/03/2026</t>
        </is>
      </c>
      <c r="J7109" t="inlineStr">
        <is>
          <t>Kế toán / Kiểm toán</t>
        </is>
      </c>
      <c r="K7109" t="inlineStr">
        <is>
          <t>3 - 5 Năm</t>
        </is>
      </c>
      <c r="L7109" s="8">
        <f>HYPERLINK("https://careerviet.vn/vi/tim-viec-lam/chuyen-vien-ke-toan-xay-lap.35C6A941.html","Xem chi tiết")</f>
        <v/>
      </c>
    </row>
    <row r="7110">
      <c r="B7110" s="9" t="n">
        <v>7108</v>
      </c>
      <c r="C7110" s="10" t="inlineStr">
        <is>
          <t>Video Editor</t>
        </is>
      </c>
      <c r="D7110" s="10" t="inlineStr">
        <is>
          <t>DR.BAUMANN VIETNAM - Công Ty TNHH DƯỢC MỸ PHẨM D&amp;D</t>
        </is>
      </c>
      <c r="E7110" s="10" t="inlineStr">
        <is>
          <t>Lương:Cạnh tranh</t>
        </is>
      </c>
      <c r="F7110" s="10" t="inlineStr">
        <is>
          <t>Hồ Chí Minh</t>
        </is>
      </c>
      <c r="G7110" s="10" t="inlineStr">
        <is>
          <t>30-04-2026</t>
        </is>
      </c>
      <c r="H7110" s="10" t="inlineStr">
        <is>
          <t>30/04/2026</t>
        </is>
      </c>
      <c r="I7110" s="10" t="inlineStr">
        <is>
          <t>17/03/2026</t>
        </is>
      </c>
      <c r="J7110" s="10" t="inlineStr">
        <is>
          <t>Truyền hình / Báo chí / Biên tập, Quảng cáo / Đối ngoại / Truyền Thông, Mỹ thuật / Nghệ thuật / Thiết kế</t>
        </is>
      </c>
      <c r="K7110" s="10" t="inlineStr">
        <is>
          <t>2 - 5 Năm</t>
        </is>
      </c>
      <c r="L7110" s="11">
        <f>HYPERLINK("https://careerviet.vn/vi/tim-viec-lam/video-editor.35C6A003.html","Xem chi tiết")</f>
        <v/>
      </c>
      <c r="M7110" s="10" t="n"/>
    </row>
    <row r="7111">
      <c r="B7111" s="7" t="n">
        <v>7109</v>
      </c>
      <c r="C7111" t="inlineStr">
        <is>
          <t>R&amp;D Executive</t>
        </is>
      </c>
      <c r="D7111" t="inlineStr">
        <is>
          <t>Công Ty TNHH Taisun Việt Nam</t>
        </is>
      </c>
      <c r="E7111" t="inlineStr">
        <is>
          <t>Lương:Cạnh tranh</t>
        </is>
      </c>
      <c r="F7111" t="inlineStr">
        <is>
          <t>Hồ Chí Minh</t>
        </is>
      </c>
      <c r="G7111" t="inlineStr">
        <is>
          <t>02-04-2026</t>
        </is>
      </c>
      <c r="H7111" t="inlineStr">
        <is>
          <t>02/04/2026</t>
        </is>
      </c>
      <c r="I7111" t="inlineStr">
        <is>
          <t>17/03/2026</t>
        </is>
      </c>
      <c r="J7111" t="inlineStr">
        <is>
          <t>Ngành khác, Bán hàng / Kinh doanh, Quản lý chất lượng (QA/QC)</t>
        </is>
      </c>
      <c r="K7111" t="inlineStr">
        <is>
          <t>3 - 5 Năm</t>
        </is>
      </c>
      <c r="L7111" s="8">
        <f>HYPERLINK("https://careerviet.vn/vi/tim-viec-lam/r-d-executive.35C6A6E9.html","Xem chi tiết")</f>
        <v/>
      </c>
    </row>
    <row r="7112">
      <c r="B7112" s="9" t="n">
        <v>7110</v>
      </c>
      <c r="C7112" s="10" t="inlineStr">
        <is>
          <t>Kỹ sư xây dựng</t>
        </is>
      </c>
      <c r="D7112" s="10" t="inlineStr">
        <is>
          <t>BỆNH VIỆN ĐA KHOA PHƯƠNG NAM</t>
        </is>
      </c>
      <c r="E7112" s="10" t="inlineStr">
        <is>
          <t>Lương:Cạnh tranh</t>
        </is>
      </c>
      <c r="F7112" s="10" t="inlineStr">
        <is>
          <t>Hồ Chí Minh</t>
        </is>
      </c>
      <c r="G7112" s="10" t="inlineStr">
        <is>
          <t>30-04-2026</t>
        </is>
      </c>
      <c r="H7112" s="10" t="inlineStr">
        <is>
          <t>30/04/2026</t>
        </is>
      </c>
      <c r="I7112" s="10" t="inlineStr">
        <is>
          <t>17/03/2026</t>
        </is>
      </c>
      <c r="J7112" s="10" t="inlineStr">
        <is>
          <t>Y tế / Chăm sóc sức khỏe / Thẩm mỹ / Làm đẹp, Bảo trì / Sửa chữa, Xây dựng</t>
        </is>
      </c>
      <c r="K7112" s="10" t="inlineStr">
        <is>
          <t>1 - 3 Năm</t>
        </is>
      </c>
      <c r="L7112" s="11">
        <f>HYPERLINK("https://careerviet.vn/vi/tim-viec-lam/ky-su-xay-dung.35C6A956.html","Xem chi tiết")</f>
        <v/>
      </c>
      <c r="M7112" s="10" t="n"/>
    </row>
    <row r="7113">
      <c r="B7113" s="7" t="n">
        <v>7111</v>
      </c>
      <c r="C7113" t="inlineStr">
        <is>
          <t>Kỹ Thuật Viên Chất Lượng QA / QC (CNC)</t>
        </is>
      </c>
      <c r="D7113" t="inlineStr">
        <is>
          <t>Coherent Corp.</t>
        </is>
      </c>
      <c r="E7113" t="inlineStr">
        <is>
          <t>Lương:Cạnh tranh</t>
        </is>
      </c>
      <c r="F7113" t="inlineStr">
        <is>
          <t>Đồng Nai</t>
        </is>
      </c>
      <c r="G7113" t="inlineStr">
        <is>
          <t>31-03-2026</t>
        </is>
      </c>
      <c r="H7113" t="inlineStr">
        <is>
          <t>31/03/2026</t>
        </is>
      </c>
      <c r="I7113" t="inlineStr">
        <is>
          <t>17/03/2026</t>
        </is>
      </c>
      <c r="J7113" t="inlineStr">
        <is>
          <t>Cơ khí / Ô tô / Tự động hóa, Sản xuất / Vận hành sản xuất</t>
        </is>
      </c>
      <c r="K7113" t="inlineStr">
        <is>
          <t>Lên đến 3 Năm</t>
        </is>
      </c>
      <c r="L7113" s="8">
        <f>HYPERLINK("https://careerviet.vn/vi/tim-viec-lam/ky-thuat-vien-chat-luong-qa-qc-cnc.35C6A96A.html","Xem chi tiết")</f>
        <v/>
      </c>
    </row>
    <row r="7114">
      <c r="B7114" s="9" t="n">
        <v>7112</v>
      </c>
      <c r="C7114" s="10" t="inlineStr">
        <is>
          <t>CHUYÊN VIÊN TƯ VẤN GIÁO DỤC (OCEAN EDU THÁI NGUYÊN) - THU NHẬP HẤP DẪN TỪ 15 TRIỆU/THÁNG</t>
        </is>
      </c>
      <c r="D7114" s="10" t="inlineStr">
        <is>
          <t>Công Ty CP Giáo Dục Đại Dương</t>
        </is>
      </c>
      <c r="E7114" s="10" t="inlineStr">
        <is>
          <t>Lương:Cạnh tranh</t>
        </is>
      </c>
      <c r="F7114" s="10" t="inlineStr">
        <is>
          <t>Thái Nguyên</t>
        </is>
      </c>
      <c r="G7114" s="10" t="inlineStr">
        <is>
          <t>02-04-2026</t>
        </is>
      </c>
      <c r="H7114" s="10" t="inlineStr">
        <is>
          <t>02/04/2026</t>
        </is>
      </c>
      <c r="I7114" s="10" t="inlineStr">
        <is>
          <t>17/03/2026</t>
        </is>
      </c>
      <c r="J7114" s="10" t="inlineStr">
        <is>
          <t>Dịch vụ khách hàng, Giáo dục / Đào tạo, Bán hàng / Kinh doanh</t>
        </is>
      </c>
      <c r="K7114" s="10" t="inlineStr">
        <is>
          <t>Lên đến 1 Năm</t>
        </is>
      </c>
      <c r="L7114" s="11">
        <f>HYPERLINK("https://careerviet.vn/vi/tim-viec-lam/chuyen-vien-tu-van-giao-duc-ocean-edu-thai-nguyen-thu-nhap-hap-dan-tu-15-trieu-thang.35C6AA20.html","Xem chi tiết")</f>
        <v/>
      </c>
      <c r="M7114" s="10" t="n"/>
    </row>
    <row r="7115">
      <c r="B7115" s="7" t="n">
        <v>7113</v>
      </c>
      <c r="C7115" t="inlineStr">
        <is>
          <t>Trưởng Phòng Kinh Doanh - CĐT Bất Động Sản</t>
        </is>
      </c>
      <c r="D7115" t="inlineStr">
        <is>
          <t>Tập đoàn An Lạc – Anlac Group</t>
        </is>
      </c>
      <c r="E7115" t="inlineStr">
        <is>
          <t>Lương:Cạnh tranh</t>
        </is>
      </c>
      <c r="F7115" t="inlineStr">
        <is>
          <t>Hà Nội</t>
        </is>
      </c>
      <c r="G7115" t="inlineStr">
        <is>
          <t>15-04-2026</t>
        </is>
      </c>
      <c r="H7115" t="inlineStr">
        <is>
          <t>15/04/2026</t>
        </is>
      </c>
      <c r="I7115" t="inlineStr">
        <is>
          <t>17/03/2026</t>
        </is>
      </c>
      <c r="J7115" t="inlineStr">
        <is>
          <t>Bất động sản, Xây dựng, Quản lý điều hành</t>
        </is>
      </c>
      <c r="K7115" t="inlineStr">
        <is>
          <t>5 - 7 Năm</t>
        </is>
      </c>
      <c r="L7115" s="8">
        <f>HYPERLINK("https://careerviet.vn/vi/tim-viec-lam/truong-phong-kinh-doanh-cdt-bat-dong-san.35C6AA69.html","Xem chi tiết")</f>
        <v/>
      </c>
    </row>
    <row r="7116">
      <c r="B7116" s="9" t="n">
        <v>7114</v>
      </c>
      <c r="C7116" s="10" t="inlineStr">
        <is>
          <t>Kiến trúc sư quy hoạch, thiết kế quy hoạch</t>
        </is>
      </c>
      <c r="D7116" s="10" t="inlineStr">
        <is>
          <t>Tổng Công ty Cổ phần Công trình Viettel</t>
        </is>
      </c>
      <c r="E7116" s="10" t="inlineStr">
        <is>
          <t>Lương:Cạnh tranh</t>
        </is>
      </c>
      <c r="F7116" s="10" t="inlineStr">
        <is>
          <t>Hà Nội</t>
        </is>
      </c>
      <c r="G7116" s="10" t="inlineStr">
        <is>
          <t>02-04-2026</t>
        </is>
      </c>
      <c r="H7116" s="10" t="inlineStr">
        <is>
          <t>02/04/2026</t>
        </is>
      </c>
      <c r="I7116" s="10" t="inlineStr">
        <is>
          <t>17/03/2026</t>
        </is>
      </c>
      <c r="J7116" s="10" t="inlineStr">
        <is>
          <t>Kiến trúc, Xây dựng</t>
        </is>
      </c>
      <c r="K7116" s="10" t="inlineStr">
        <is>
          <t>1 - 3 Năm</t>
        </is>
      </c>
      <c r="L7116" s="11">
        <f>HYPERLINK("https://careerviet.vn/vi/tim-viec-lam/kien-truc-su-quy-hoach-thiet-ke-quy-hoach.35C6AAC3.html","Xem chi tiết")</f>
        <v/>
      </c>
      <c r="M7116" s="10" t="n"/>
    </row>
    <row r="7117">
      <c r="B7117" s="7" t="n">
        <v>7115</v>
      </c>
      <c r="C7117" t="inlineStr">
        <is>
          <t>Nhân viên Kinh doanh Thị trường (Bao bì dệt PP – Khách hàng nhà máy) - Làm việc tại Phường Tân Mỹ, TP HCM</t>
        </is>
      </c>
      <c r="D7117" t="inlineStr">
        <is>
          <t>Công Ty Cổ Phần Bao Bì Đạm Phú Mỹ</t>
        </is>
      </c>
      <c r="E7117" t="inlineStr">
        <is>
          <t>Lương:12,8 Tr - 20 Tr VND</t>
        </is>
      </c>
      <c r="F7117" t="inlineStr">
        <is>
          <t>Hồ Chí Minh</t>
        </is>
      </c>
      <c r="G7117" t="inlineStr">
        <is>
          <t>03-04-2026</t>
        </is>
      </c>
      <c r="H7117" t="inlineStr">
        <is>
          <t>03/04/2026</t>
        </is>
      </c>
      <c r="I7117" t="inlineStr">
        <is>
          <t>17/03/2026</t>
        </is>
      </c>
      <c r="J7117" t="inlineStr">
        <is>
          <t>Bán hàng / Kinh doanh, Xuất nhập khẩu, Dệt may / Da giày / Thời trang</t>
        </is>
      </c>
      <c r="K7117" t="inlineStr">
        <is>
          <t>2 - 5 Năm</t>
        </is>
      </c>
      <c r="L7117" s="8">
        <f>HYPERLINK("https://careerviet.vn/vi/tim-viec-lam/nhan-vien-kinh-doanh-thi-truong-bao-bi-det-pp-khach-hang-nha-may-lam-viec-tai-phuong-tan-my-tp-hcm.35C6A843.html","Xem chi tiết")</f>
        <v/>
      </c>
    </row>
    <row r="7118">
      <c r="B7118" s="9" t="n">
        <v>7116</v>
      </c>
      <c r="C7118" s="10" t="inlineStr">
        <is>
          <t>Trưởng Nhóm Tuyển Sinh (Ocean Edu Tuyên Quang)</t>
        </is>
      </c>
      <c r="D7118" s="10" t="inlineStr">
        <is>
          <t>Công Ty CP Giáo Dục Đại Dương</t>
        </is>
      </c>
      <c r="E7118" s="10" t="inlineStr">
        <is>
          <t>Lương:Cạnh tranh</t>
        </is>
      </c>
      <c r="F7118" s="10" t="inlineStr">
        <is>
          <t>Tuyên Quang</t>
        </is>
      </c>
      <c r="G7118" s="10" t="inlineStr">
        <is>
          <t>02-04-2026</t>
        </is>
      </c>
      <c r="H7118" s="10" t="inlineStr">
        <is>
          <t>02/04/2026</t>
        </is>
      </c>
      <c r="I7118" s="10" t="inlineStr">
        <is>
          <t>17/03/2026</t>
        </is>
      </c>
      <c r="J7118" s="10" t="inlineStr">
        <is>
          <t>Tư vấn, Dịch vụ khách hàng, Giáo dục / Đào tạo</t>
        </is>
      </c>
      <c r="K7118" s="10" t="inlineStr">
        <is>
          <t>1 - 2 Năm</t>
        </is>
      </c>
      <c r="L7118" s="11">
        <f>HYPERLINK("https://careerviet.vn/vi/tim-viec-lam/truong-nhom-tuyen-sinh-ocean-edu-tuyen-quang.35C6AA7A.html","Xem chi tiết")</f>
        <v/>
      </c>
      <c r="M7118" s="10" t="n"/>
    </row>
    <row r="7119">
      <c r="B7119" s="7" t="n">
        <v>7117</v>
      </c>
      <c r="C7119" t="inlineStr">
        <is>
          <t>Chuyền viên Kế hoạch đầu tư</t>
        </is>
      </c>
      <c r="D7119" t="inlineStr">
        <is>
          <t>Công ty CP OSI Holdings</t>
        </is>
      </c>
      <c r="E7119" t="inlineStr">
        <is>
          <t>Lương:25 Tr - 35 Tr VND</t>
        </is>
      </c>
      <c r="F7119" t="inlineStr">
        <is>
          <t>Hà Nội</t>
        </is>
      </c>
      <c r="G7119" t="inlineStr">
        <is>
          <t>04-04-2026</t>
        </is>
      </c>
      <c r="H7119" t="inlineStr">
        <is>
          <t>04/04/2026</t>
        </is>
      </c>
      <c r="I7119" t="inlineStr">
        <is>
          <t>17/03/2026</t>
        </is>
      </c>
      <c r="J7119" t="inlineStr">
        <is>
          <t>Xây dựng, Bất động sản, Tài chính / Đầu tư</t>
        </is>
      </c>
      <c r="K7119" t="inlineStr">
        <is>
          <t>Trên 5 Năm</t>
        </is>
      </c>
      <c r="L7119" s="8">
        <f>HYPERLINK("https://careerviet.vn/vi/tim-viec-lam/chuyen-vien-ke-hoach-dau-tu.35C6AAE9.html","Xem chi tiết")</f>
        <v/>
      </c>
    </row>
    <row r="7120">
      <c r="B7120" s="9" t="n">
        <v>7118</v>
      </c>
      <c r="C7120" s="10" t="inlineStr">
        <is>
          <t>CHUYÊN VIÊN TƯ VẤN GIÁO DỤC (OCEAN EDU BA VÌ) - THU NHẬP HẤP DẪN TỪ 15 TRIỆU/THÁNG</t>
        </is>
      </c>
      <c r="D7120" s="10" t="inlineStr">
        <is>
          <t>Công Ty CP Giáo Dục Đại Dương</t>
        </is>
      </c>
      <c r="E7120" s="10" t="inlineStr">
        <is>
          <t>Lương:Cạnh tranh</t>
        </is>
      </c>
      <c r="F7120" s="10" t="inlineStr">
        <is>
          <t>Hà Nội</t>
        </is>
      </c>
      <c r="G7120" s="10" t="inlineStr">
        <is>
          <t>02-04-2026</t>
        </is>
      </c>
      <c r="H7120" s="10" t="inlineStr">
        <is>
          <t>02/04/2026</t>
        </is>
      </c>
      <c r="I7120" s="10" t="inlineStr">
        <is>
          <t>17/03/2026</t>
        </is>
      </c>
      <c r="J7120" s="10" t="inlineStr">
        <is>
          <t>Dịch vụ khách hàng, Giáo dục / Đào tạo, Bán hàng / Kinh doanh</t>
        </is>
      </c>
      <c r="K7120" s="10" t="inlineStr">
        <is>
          <t>Lên đến 1 Năm</t>
        </is>
      </c>
      <c r="L7120" s="11">
        <f>HYPERLINK("https://careerviet.vn/vi/tim-viec-lam/chuyen-vien-tu-van-giao-duc-ocean-edu-ba-vi-thu-nhap-hap-dan-tu-15-trieu-thang.35C6AA8B.html","Xem chi tiết")</f>
        <v/>
      </c>
      <c r="M7120" s="10" t="n"/>
    </row>
    <row r="7121">
      <c r="B7121" s="7" t="n">
        <v>7119</v>
      </c>
      <c r="C7121" t="inlineStr">
        <is>
          <t>Nhân Viên Kinh Doanh Logistics</t>
        </is>
      </c>
      <c r="D7121" t="inlineStr">
        <is>
          <t>CÔNG TY CỔ PHẦN ZTO FREIGHT VIỆT NAM</t>
        </is>
      </c>
      <c r="E7121" t="inlineStr">
        <is>
          <t>Lương:6 Tr - 20 Tr VND</t>
        </is>
      </c>
      <c r="F7121" t="inlineStr">
        <is>
          <t>Hồ Chí MinhHà Nội</t>
        </is>
      </c>
      <c r="G7121" t="inlineStr">
        <is>
          <t>03-04-2026</t>
        </is>
      </c>
      <c r="H7121" t="inlineStr">
        <is>
          <t>03/04/2026</t>
        </is>
      </c>
      <c r="I7121" t="inlineStr">
        <is>
          <t>17/03/2026</t>
        </is>
      </c>
      <c r="J7121" t="inlineStr">
        <is>
          <t>Vận chuyển / Giao nhận / Kho vận</t>
        </is>
      </c>
      <c r="K7121" t="inlineStr">
        <is>
          <t>1 - 2 Năm</t>
        </is>
      </c>
      <c r="L7121" s="8">
        <f>HYPERLINK("https://careerviet.vn/vi/tim-viec-lam/nhan-vien-kinh-doanh-logistics.35C6A9F0.html","Xem chi tiết")</f>
        <v/>
      </c>
    </row>
    <row r="7122">
      <c r="B7122" s="9" t="n">
        <v>7120</v>
      </c>
      <c r="C7122" s="10" t="inlineStr">
        <is>
          <t>CHUYÊN VIÊN TƯ VẤN GIÁO DỤC (OCEAN EDU SƠN TÂY) - THU NHẬP HẤP DẪN TỪ 15 TRIỆU/THÁNG</t>
        </is>
      </c>
      <c r="D7122" s="10" t="inlineStr">
        <is>
          <t>Công Ty CP Giáo Dục Đại Dương</t>
        </is>
      </c>
      <c r="E7122" s="10" t="inlineStr">
        <is>
          <t>Lương:Cạnh tranh</t>
        </is>
      </c>
      <c r="F7122" s="10" t="inlineStr">
        <is>
          <t>Hà Nội</t>
        </is>
      </c>
      <c r="G7122" s="10" t="inlineStr">
        <is>
          <t>02-04-2026</t>
        </is>
      </c>
      <c r="H7122" s="10" t="inlineStr">
        <is>
          <t>02/04/2026</t>
        </is>
      </c>
      <c r="I7122" s="10" t="inlineStr">
        <is>
          <t>17/03/2026</t>
        </is>
      </c>
      <c r="J7122" s="10" t="inlineStr">
        <is>
          <t>Dịch vụ khách hàng, Giáo dục / Đào tạo, Bán hàng / Kinh doanh</t>
        </is>
      </c>
      <c r="K7122" s="10" t="inlineStr">
        <is>
          <t>Lên đến 1 Năm</t>
        </is>
      </c>
      <c r="L7122" s="11">
        <f>HYPERLINK("https://careerviet.vn/vi/tim-viec-lam/chuyen-vien-tu-van-giao-duc-ocean-edu-son-tay-thu-nhap-hap-dan-tu-15-trieu-thang.35C6AA91.html","Xem chi tiết")</f>
        <v/>
      </c>
      <c r="M7122" s="10" t="n"/>
    </row>
    <row r="7123">
      <c r="B7123" s="7" t="n">
        <v>7121</v>
      </c>
      <c r="C7123" t="inlineStr">
        <is>
          <t>CHUYÊN VIÊN TƯ VẤN GIÁO DỤC (OCEAN EDU TIỀN HẢI) - THU NHẬP HẤP DẪN TỪ 15 TRIỆU/THÁNG</t>
        </is>
      </c>
      <c r="D7123" t="inlineStr">
        <is>
          <t>Công Ty CP Giáo Dục Đại Dương</t>
        </is>
      </c>
      <c r="E7123" t="inlineStr">
        <is>
          <t>Lương:Cạnh tranh</t>
        </is>
      </c>
      <c r="F7123" t="inlineStr">
        <is>
          <t>Thái Bình</t>
        </is>
      </c>
      <c r="G7123" t="inlineStr">
        <is>
          <t>02-04-2026</t>
        </is>
      </c>
      <c r="H7123" t="inlineStr">
        <is>
          <t>02/04/2026</t>
        </is>
      </c>
      <c r="I7123" t="inlineStr">
        <is>
          <t>17/03/2026</t>
        </is>
      </c>
      <c r="J7123" t="inlineStr">
        <is>
          <t>Dịch vụ khách hàng, Giáo dục / Đào tạo, Bán hàng / Kinh doanh</t>
        </is>
      </c>
      <c r="K7123" t="inlineStr">
        <is>
          <t>Lên đến 1 Năm</t>
        </is>
      </c>
      <c r="L7123" s="8">
        <f>HYPERLINK("https://careerviet.vn/vi/tim-viec-lam/chuyen-vien-tu-van-giao-duc-ocean-edu-tien-hai-thu-nhap-hap-dan-tu-15-trieu-thang.35C6A9DD.html","Xem chi tiết")</f>
        <v/>
      </c>
    </row>
    <row r="7124">
      <c r="B7124" s="9" t="n">
        <v>7122</v>
      </c>
      <c r="C7124" s="10" t="inlineStr">
        <is>
          <t>Nhân Viên Thanh Quyết Toán Công Trình (QS)</t>
        </is>
      </c>
      <c r="D7124" s="10" t="inlineStr">
        <is>
          <t>CÔNG TY TRÁCH NHIỆM HỮU HẠN R.P</t>
        </is>
      </c>
      <c r="E7124" s="10" t="inlineStr">
        <is>
          <t>Lương:Cạnh tranh</t>
        </is>
      </c>
      <c r="F7124" s="10" t="inlineStr">
        <is>
          <t>Hồ Chí Minh</t>
        </is>
      </c>
      <c r="G7124" s="10" t="inlineStr">
        <is>
          <t>02-04-2026</t>
        </is>
      </c>
      <c r="H7124" s="10" t="inlineStr">
        <is>
          <t>02/04/2026</t>
        </is>
      </c>
      <c r="I7124" s="10" t="inlineStr">
        <is>
          <t>17/03/2026</t>
        </is>
      </c>
      <c r="J7124" s="10" t="inlineStr">
        <is>
          <t>Kiến trúc, Xây dựng, Nội ngoại thất</t>
        </is>
      </c>
      <c r="K7124" s="10" t="inlineStr">
        <is>
          <t>Chưa có kinh nghiệm</t>
        </is>
      </c>
      <c r="L7124" s="11">
        <f>HYPERLINK("https://careerviet.vn/vi/tim-viec-lam/nhan-vien-thanh-quyet-toan-cong-trinh-qs.35C6AACE.html","Xem chi tiết")</f>
        <v/>
      </c>
      <c r="M7124" s="10" t="n"/>
    </row>
    <row r="7125">
      <c r="B7125" s="7" t="n">
        <v>7123</v>
      </c>
      <c r="C7125" t="inlineStr">
        <is>
          <t>Kỹ sư hiện trường, QA-QC, QS</t>
        </is>
      </c>
      <c r="D7125" t="inlineStr">
        <is>
          <t>Công Ty Cổ Phần Xây Dựng Và Kết Cấu Thép Đại Tín</t>
        </is>
      </c>
      <c r="E7125" t="inlineStr">
        <is>
          <t>Lương:15 Tr - 25 Tr VND</t>
        </is>
      </c>
      <c r="F7125" t="inlineStr">
        <is>
          <t>Hồ Chí Minh</t>
        </is>
      </c>
      <c r="G7125" t="inlineStr">
        <is>
          <t>04-04-2026</t>
        </is>
      </c>
      <c r="H7125" t="inlineStr">
        <is>
          <t>04/04/2026</t>
        </is>
      </c>
      <c r="I7125" t="inlineStr">
        <is>
          <t>17/03/2026</t>
        </is>
      </c>
      <c r="J7125" t="inlineStr">
        <is>
          <t>Xây dựng, Bất động sản, Kiến trúc</t>
        </is>
      </c>
      <c r="K7125" t="inlineStr">
        <is>
          <t>1 - 10 Năm</t>
        </is>
      </c>
      <c r="L7125" s="8">
        <f>HYPERLINK("https://careerviet.vn/vi/tim-viec-lam/ky-su-hien-truong-qa-qc-qs.35C6AA6C.html","Xem chi tiết")</f>
        <v/>
      </c>
    </row>
    <row r="7126">
      <c r="B7126" s="9" t="n">
        <v>7124</v>
      </c>
      <c r="C7126" s="10" t="inlineStr">
        <is>
          <t>GIÁM ĐỐC CHUỖI CUNG ỨNG (upto 70 triệu/tháng)</t>
        </is>
      </c>
      <c r="D7126" s="10" t="inlineStr">
        <is>
          <t>ADC PLASTIC,. JSC</t>
        </is>
      </c>
      <c r="E7126" s="10" t="inlineStr">
        <is>
          <t>Lương:40 Tr - 70 Tr VND</t>
        </is>
      </c>
      <c r="F7126" s="10" t="inlineStr">
        <is>
          <t>Hà Nội</t>
        </is>
      </c>
      <c r="G7126" s="10" t="inlineStr">
        <is>
          <t>Hôm nay</t>
        </is>
      </c>
      <c r="H7126" s="10" t="inlineStr">
        <is>
          <t>17/03/2026</t>
        </is>
      </c>
      <c r="I7126" s="10" t="inlineStr">
        <is>
          <t>17/03/2026</t>
        </is>
      </c>
      <c r="J7126" s="10" t="inlineStr">
        <is>
          <t>Vận chuyển / Giao nhận / Kho vận, Thu mua / Vật tư</t>
        </is>
      </c>
      <c r="K7126" s="10" t="inlineStr">
        <is>
          <t>15 - 25 Năm</t>
        </is>
      </c>
      <c r="L7126" s="11">
        <f>HYPERLINK("https://careerviet.vn/vi/tim-viec-lam/giam-doc-chuoi-cung-ung-upto-70-trieu-thang.35C6A8EF.html","Xem chi tiết")</f>
        <v/>
      </c>
      <c r="M7126" s="10" t="n"/>
    </row>
    <row r="7127">
      <c r="B7127" s="7" t="n">
        <v>7125</v>
      </c>
      <c r="C7127" t="inlineStr">
        <is>
          <t>NHÂN VIÊN KẾ HOẠCH SẢN XUẤT _ NHÀ MÁY BẮC NINH</t>
        </is>
      </c>
      <c r="D7127" t="inlineStr">
        <is>
          <t>CÔNG TY CỔ PHẦN THỰC PHẨM FARINA</t>
        </is>
      </c>
      <c r="E7127" t="inlineStr">
        <is>
          <t>Lương:Cạnh tranh</t>
        </is>
      </c>
      <c r="F7127" t="inlineStr">
        <is>
          <t>Bắc Ninh</t>
        </is>
      </c>
      <c r="G7127" t="inlineStr">
        <is>
          <t>02-04-2026</t>
        </is>
      </c>
      <c r="H7127" t="inlineStr">
        <is>
          <t>02/04/2026</t>
        </is>
      </c>
      <c r="I7127" t="inlineStr">
        <is>
          <t>17/03/2026</t>
        </is>
      </c>
      <c r="J7127" t="inlineStr">
        <is>
          <t>Sản xuất / Vận hành sản xuất, Thống kê, Kế toán / Kiểm toán</t>
        </is>
      </c>
      <c r="K7127" t="inlineStr">
        <is>
          <t>1 - 2 Năm</t>
        </is>
      </c>
      <c r="L7127" s="8">
        <f>HYPERLINK("https://careerviet.vn/vi/tim-viec-lam/nhan-vien-ke-hoach-san-xuat-_-nha-may-bac-ninh.35C6A8D1.html","Xem chi tiết")</f>
        <v/>
      </c>
    </row>
    <row r="7128">
      <c r="B7128" s="9" t="n">
        <v>7126</v>
      </c>
      <c r="C7128" s="10" t="inlineStr">
        <is>
          <t>Kỹ Sư Cơ Điện/ Shopdrawing Hệ Điện</t>
        </is>
      </c>
      <c r="D7128" s="10" t="inlineStr">
        <is>
          <t>CÔNG TY TNHH ĐẦU TƯ VÀ PHÁT TRIỂN ANCONS</t>
        </is>
      </c>
      <c r="E7128" s="10" t="inlineStr">
        <is>
          <t>Lương:15 Tr - 20 Tr VND</t>
        </is>
      </c>
      <c r="F7128" s="10" t="inlineStr">
        <is>
          <t>Hà Nội</t>
        </is>
      </c>
      <c r="G7128" s="10" t="inlineStr">
        <is>
          <t>04-04-2026</t>
        </is>
      </c>
      <c r="H7128" s="10" t="inlineStr">
        <is>
          <t>04/04/2026</t>
        </is>
      </c>
      <c r="I7128" s="10" t="inlineStr">
        <is>
          <t>17/03/2026</t>
        </is>
      </c>
      <c r="J7128" s="10" t="inlineStr">
        <is>
          <t>Điện / Điện tử / Điện lạnh / Điện công nghiệp, Xây dựng, Kiến trúc</t>
        </is>
      </c>
      <c r="K7128" s="10" t="inlineStr">
        <is>
          <t>1 - 3 Năm</t>
        </is>
      </c>
      <c r="L7128" s="11">
        <f>HYPERLINK("https://careerviet.vn/vi/tim-viec-lam/ky-su-co-dien-shopdrawing-he-dien.35C6AAFC.html","Xem chi tiết")</f>
        <v/>
      </c>
      <c r="M7128" s="10" t="n"/>
    </row>
    <row r="7129">
      <c r="B7129" s="7" t="n">
        <v>7127</v>
      </c>
      <c r="C7129" t="inlineStr">
        <is>
          <t>Customer Service (focus Marketing Support)</t>
        </is>
      </c>
      <c r="D7129" t="inlineStr">
        <is>
          <t>CÔNG TY CỔ PHẦN MAC MARKETING</t>
        </is>
      </c>
      <c r="E7129" t="inlineStr">
        <is>
          <t>Lương:10 Tr - 13 Tr VND</t>
        </is>
      </c>
      <c r="F7129" t="inlineStr">
        <is>
          <t>Hồ Chí Minh</t>
        </is>
      </c>
      <c r="G7129" t="inlineStr">
        <is>
          <t>31-03-2026</t>
        </is>
      </c>
      <c r="H7129" t="inlineStr">
        <is>
          <t>31/03/2026</t>
        </is>
      </c>
      <c r="I7129" t="inlineStr">
        <is>
          <t>17/03/2026</t>
        </is>
      </c>
      <c r="J7129" t="inlineStr">
        <is>
          <t>Tiếp thị / Marketing, Bán hàng / Kinh doanh, Quảng cáo / Đối ngoại / Truyền Thông</t>
        </is>
      </c>
      <c r="K7129" t="inlineStr">
        <is>
          <t>1 - 3 Năm</t>
        </is>
      </c>
      <c r="L7129" s="8">
        <f>HYPERLINK("https://careerviet.vn/vi/tim-viec-lam/customer-service-focus-marketing-support.35C6AA63.html","Xem chi tiết")</f>
        <v/>
      </c>
    </row>
    <row r="7130">
      <c r="B7130" s="9" t="n">
        <v>7128</v>
      </c>
      <c r="C7130" s="10" t="inlineStr">
        <is>
          <t>Nhân viên kiểm soát chất lượng QA/QC (xây dựng)</t>
        </is>
      </c>
      <c r="D7130" s="10" t="inlineStr">
        <is>
          <t>Tổng Công ty Cổ phần Công trình Viettel</t>
        </is>
      </c>
      <c r="E7130" s="10" t="inlineStr">
        <is>
          <t>Lương:Cạnh tranh</t>
        </is>
      </c>
      <c r="F7130" s="10" t="inlineStr">
        <is>
          <t>Hà Nội</t>
        </is>
      </c>
      <c r="G7130" s="10" t="inlineStr">
        <is>
          <t>02-04-2026</t>
        </is>
      </c>
      <c r="H7130" s="10" t="inlineStr">
        <is>
          <t>02/04/2026</t>
        </is>
      </c>
      <c r="I7130" s="10" t="inlineStr">
        <is>
          <t>17/03/2026</t>
        </is>
      </c>
      <c r="J7130" s="10" t="inlineStr">
        <is>
          <t>Xây dựng</t>
        </is>
      </c>
      <c r="K7130" s="10" t="inlineStr">
        <is>
          <t>1 - 3 Năm</t>
        </is>
      </c>
      <c r="L7130" s="11">
        <f>HYPERLINK("https://careerviet.vn/vi/tim-viec-lam/nhan-vien-kiem-soat-chat-luong-qa-qc-xay-dung.35C6A827.html","Xem chi tiết")</f>
        <v/>
      </c>
      <c r="M7130" s="10" t="n"/>
    </row>
    <row r="7131">
      <c r="B7131" s="7" t="n">
        <v>7129</v>
      </c>
      <c r="C7131" t="inlineStr">
        <is>
          <t>Nhân viên điều hành xây dựng (làm việc tại Văn phòng HN)</t>
        </is>
      </c>
      <c r="D7131" t="inlineStr">
        <is>
          <t>Tổng Công ty Cổ phần Công trình Viettel</t>
        </is>
      </c>
      <c r="E7131" t="inlineStr">
        <is>
          <t>Lương:Cạnh tranh</t>
        </is>
      </c>
      <c r="F7131" t="inlineStr">
        <is>
          <t>Hà Nội</t>
        </is>
      </c>
      <c r="G7131" t="inlineStr">
        <is>
          <t>02-04-2026</t>
        </is>
      </c>
      <c r="H7131" t="inlineStr">
        <is>
          <t>02/04/2026</t>
        </is>
      </c>
      <c r="I7131" t="inlineStr">
        <is>
          <t>17/03/2026</t>
        </is>
      </c>
      <c r="J7131" t="inlineStr">
        <is>
          <t>Kiến trúc, Xây dựng</t>
        </is>
      </c>
      <c r="K7131" t="inlineStr">
        <is>
          <t>2 - 3 Năm</t>
        </is>
      </c>
      <c r="L7131" s="8">
        <f>HYPERLINK("https://careerviet.vn/vi/tim-viec-lam/nhan-vien-dieu-hanh-xay-dung-lam-viec-tai-van-phong-hn.35C6A833.html","Xem chi tiết")</f>
        <v/>
      </c>
    </row>
    <row r="7132">
      <c r="B7132" s="9" t="n">
        <v>7130</v>
      </c>
      <c r="C7132" s="10" t="inlineStr">
        <is>
          <t>Nhân Viên Tổng Đài CSKH</t>
        </is>
      </c>
      <c r="D7132" s="10" t="inlineStr">
        <is>
          <t>CÔNG TY CỔ PHẦN THIẾT BỊ CÔNG NGHIỆP GEIC</t>
        </is>
      </c>
      <c r="E7132" s="10" t="inlineStr">
        <is>
          <t>Lương:10 Tr - 12 Tr VND</t>
        </is>
      </c>
      <c r="F7132" s="10" t="inlineStr">
        <is>
          <t>Hà Nội</t>
        </is>
      </c>
      <c r="G7132" s="10" t="inlineStr">
        <is>
          <t>31-03-2026</t>
        </is>
      </c>
      <c r="H7132" s="10" t="inlineStr">
        <is>
          <t>31/03/2026</t>
        </is>
      </c>
      <c r="I7132" s="10" t="inlineStr">
        <is>
          <t>17/03/2026</t>
        </is>
      </c>
      <c r="J7132" s="10" t="inlineStr">
        <is>
          <t>Dịch vụ khách hàng, Bảo trì / Sửa chữa, Bưu chính viễn thông</t>
        </is>
      </c>
      <c r="K7132" s="10" t="inlineStr">
        <is>
          <t>1 - 2 Năm</t>
        </is>
      </c>
      <c r="L7132" s="11">
        <f>HYPERLINK("https://careerviet.vn/vi/tim-viec-lam/nhan-vien-tong-dai-cskh.35C6A57F.html","Xem chi tiết")</f>
        <v/>
      </c>
      <c r="M7132" s="10" t="n"/>
    </row>
    <row r="7133">
      <c r="B7133" s="7" t="n">
        <v>7131</v>
      </c>
      <c r="C7133" t="inlineStr">
        <is>
          <t>Nhân Viên Kinh Doanh Siêu Thị - MT</t>
        </is>
      </c>
      <c r="D7133" t="inlineStr">
        <is>
          <t>Công ty Cổ Phần Tập Đoàn Điện Quang</t>
        </is>
      </c>
      <c r="E7133" t="inlineStr">
        <is>
          <t>Lương:Cạnh tranh</t>
        </is>
      </c>
      <c r="F7133" t="inlineStr">
        <is>
          <t>Hồ Chí Minh</t>
        </is>
      </c>
      <c r="G7133" t="inlineStr">
        <is>
          <t>02-04-2026</t>
        </is>
      </c>
      <c r="H7133" t="inlineStr">
        <is>
          <t>02/04/2026</t>
        </is>
      </c>
      <c r="I7133" t="inlineStr">
        <is>
          <t>17/03/2026</t>
        </is>
      </c>
      <c r="J7133" t="inlineStr">
        <is>
          <t>Bán lẻ / Bán sỉ, Bán hàng / Kinh doanh</t>
        </is>
      </c>
      <c r="K7133" t="inlineStr">
        <is>
          <t>N/A</t>
        </is>
      </c>
      <c r="L7133" s="8">
        <f>HYPERLINK("https://careerviet.vn/vi/tim-viec-lam/nhan-vien-kinh-doanh-sieu-thi-mt.35C6A8DF.html","Xem chi tiết")</f>
        <v/>
      </c>
    </row>
    <row r="7134">
      <c r="B7134" s="9" t="n">
        <v>7132</v>
      </c>
      <c r="C7134" s="10" t="inlineStr">
        <is>
          <t>Quản lý vùng kinh doanh mảng cám (Bình Phước)</t>
        </is>
      </c>
      <c r="D7134" s="10" t="inlineStr">
        <is>
          <t>CÔNG TY CỔ PHẦN THÁI VIỆT CORPORATION</t>
        </is>
      </c>
      <c r="E7134" s="10" t="inlineStr">
        <is>
          <t>Lương:35 Tr - 50 Tr VND</t>
        </is>
      </c>
      <c r="F7134" s="10" t="inlineStr">
        <is>
          <t>Bình Phước</t>
        </is>
      </c>
      <c r="G7134" s="10" t="inlineStr">
        <is>
          <t>24-03-2026</t>
        </is>
      </c>
      <c r="H7134" s="10" t="inlineStr">
        <is>
          <t>24/03/2026</t>
        </is>
      </c>
      <c r="I7134" s="10" t="inlineStr">
        <is>
          <t>17/03/2026</t>
        </is>
      </c>
      <c r="J7134" s="10" t="inlineStr">
        <is>
          <t>Bán hàng / Kinh doanh, Chăn nuôi / Thú y, Tiếp thị / Marketing</t>
        </is>
      </c>
      <c r="K7134" s="10" t="inlineStr">
        <is>
          <t>1 - 15 Năm</t>
        </is>
      </c>
      <c r="L7134" s="11">
        <f>HYPERLINK("https://careerviet.vn/vi/tim-viec-lam/quan-ly-vung-kinh-doanh-mang-cam-binh-phuoc.35C6AA36.html","Xem chi tiết")</f>
        <v/>
      </c>
      <c r="M7134" s="10" t="n"/>
    </row>
    <row r="7135">
      <c r="B7135" s="7" t="n">
        <v>7133</v>
      </c>
      <c r="C7135" t="inlineStr">
        <is>
          <t>CHUYÊN VIÊN SỐ HÓA BÀI GIẢNG</t>
        </is>
      </c>
      <c r="D7135" t="inlineStr">
        <is>
          <t>Tổng công ty Xây dựng số 1 – CTCP</t>
        </is>
      </c>
      <c r="E7135" t="inlineStr">
        <is>
          <t>Lương:Cạnh tranh</t>
        </is>
      </c>
      <c r="F7135" t="inlineStr">
        <is>
          <t>Hồ Chí Minh</t>
        </is>
      </c>
      <c r="G7135" t="inlineStr">
        <is>
          <t>02-04-2026</t>
        </is>
      </c>
      <c r="H7135" t="inlineStr">
        <is>
          <t>02/04/2026</t>
        </is>
      </c>
      <c r="I7135" t="inlineStr">
        <is>
          <t>17/03/2026</t>
        </is>
      </c>
      <c r="J7135" t="inlineStr">
        <is>
          <t>Giáo dục / Đào tạo</t>
        </is>
      </c>
      <c r="K7135" t="inlineStr">
        <is>
          <t>2 - 3 Năm</t>
        </is>
      </c>
      <c r="L7135" s="8">
        <f>HYPERLINK("https://careerviet.vn/vi/tim-viec-lam/chuyen-vien-so-hoa-bai-giang.35C6A90D.html","Xem chi tiết")</f>
        <v/>
      </c>
    </row>
    <row r="7136">
      <c r="B7136" s="9" t="n">
        <v>7134</v>
      </c>
      <c r="C7136" s="10" t="inlineStr">
        <is>
          <t>Chuyên Viên Tuyển dụng</t>
        </is>
      </c>
      <c r="D7136" s="10" t="inlineStr">
        <is>
          <t>Công Ty Cổ Phần Đông Tây Land</t>
        </is>
      </c>
      <c r="E7136" s="10" t="inlineStr">
        <is>
          <t>Lương:10 Tr - 13 Tr VND</t>
        </is>
      </c>
      <c r="F7136" s="10" t="inlineStr">
        <is>
          <t>Hồ Chí Minh</t>
        </is>
      </c>
      <c r="G7136" s="10" t="inlineStr">
        <is>
          <t>30-03-2026</t>
        </is>
      </c>
      <c r="H7136" s="10" t="inlineStr">
        <is>
          <t>30/03/2026</t>
        </is>
      </c>
      <c r="I7136" s="10" t="inlineStr">
        <is>
          <t>17/03/2026</t>
        </is>
      </c>
      <c r="J7136" s="10" t="inlineStr">
        <is>
          <t>Nhân sự, Bất động sản</t>
        </is>
      </c>
      <c r="K7136" s="10" t="inlineStr">
        <is>
          <t>1 - 2 Năm</t>
        </is>
      </c>
      <c r="L7136" s="11">
        <f>HYPERLINK("https://careerviet.vn/vi/tim-viec-lam/chuyen-vien-tuyen-dung.35C6A8A4.html","Xem chi tiết")</f>
        <v/>
      </c>
      <c r="M7136" s="10" t="n"/>
    </row>
    <row r="7137">
      <c r="B7137" s="7" t="n">
        <v>7135</v>
      </c>
      <c r="C7137" t="inlineStr">
        <is>
          <t>Thợ Vận Hành Máy CNC Lắp Ráp Sản Phẩm</t>
        </is>
      </c>
      <c r="D7137" t="inlineStr">
        <is>
          <t>CÔNG TY CỔ PHẦN DHNTECH VIỆT NAM</t>
        </is>
      </c>
      <c r="E7137" t="inlineStr">
        <is>
          <t>Lương:10 Tr - 20 Tr VND</t>
        </is>
      </c>
      <c r="F7137" t="inlineStr">
        <is>
          <t>Hà Nội</t>
        </is>
      </c>
      <c r="G7137" t="inlineStr">
        <is>
          <t>30-04-2026</t>
        </is>
      </c>
      <c r="H7137" t="inlineStr">
        <is>
          <t>30/04/2026</t>
        </is>
      </c>
      <c r="I7137" t="inlineStr">
        <is>
          <t>17/03/2026</t>
        </is>
      </c>
      <c r="J7137" t="inlineStr">
        <is>
          <t>Cơ khí / Ô tô / Tự động hóa</t>
        </is>
      </c>
      <c r="K7137" t="inlineStr">
        <is>
          <t>Lên đến 1 Năm</t>
        </is>
      </c>
      <c r="L7137" s="8">
        <f>HYPERLINK("https://careerviet.vn/vi/tim-viec-lam/tho-van-hanh-may-cnc-lap-rap-san-pham.35C6A84F.html","Xem chi tiết")</f>
        <v/>
      </c>
    </row>
    <row r="7138">
      <c r="B7138" s="9" t="n">
        <v>7136</v>
      </c>
      <c r="C7138" s="10" t="inlineStr">
        <is>
          <t>CMO (CHIEF MARKETING OFFICER) [ Dự Án Blockchain]</t>
        </is>
      </c>
      <c r="D7138" s="10" t="inlineStr">
        <is>
          <t>Công ty Cổ phần Tập đoàn Meey Land</t>
        </is>
      </c>
      <c r="E7138" s="10" t="inlineStr">
        <is>
          <t>Lương:40 Tr - 60 Tr VND</t>
        </is>
      </c>
      <c r="F7138" s="10" t="inlineStr">
        <is>
          <t>Hà Nội</t>
        </is>
      </c>
      <c r="G7138" s="10" t="inlineStr">
        <is>
          <t>09-05-2026</t>
        </is>
      </c>
      <c r="H7138" s="10" t="inlineStr">
        <is>
          <t>09/05/2026</t>
        </is>
      </c>
      <c r="I7138" s="10" t="inlineStr">
        <is>
          <t>17/03/2026</t>
        </is>
      </c>
      <c r="J7138" s="10" t="inlineStr">
        <is>
          <t>Tiếp thị / Marketing, Chứng khoán, Ngành khác</t>
        </is>
      </c>
      <c r="K7138" s="10" t="inlineStr">
        <is>
          <t>2 - 3 Năm</t>
        </is>
      </c>
      <c r="L7138" s="11">
        <f>HYPERLINK("https://careerviet.vn/vi/tim-viec-lam/cmo-chief-marketing-officer-du-an-blockchain.35C6AAA0.html","Xem chi tiết")</f>
        <v/>
      </c>
      <c r="M7138" s="10" t="n"/>
    </row>
    <row r="7139">
      <c r="B7139" s="7" t="n">
        <v>7137</v>
      </c>
      <c r="C7139" t="inlineStr">
        <is>
          <t>CHUYÊN VIÊN TƯ VẤN GIÁO DỤC (OCEAN EDU GIA LÂM) - THU NHẬP HẤP DẪN TỪ 15 TRIỆU/THÁNG</t>
        </is>
      </c>
      <c r="D7139" t="inlineStr">
        <is>
          <t>Công Ty CP Giáo Dục Đại Dương</t>
        </is>
      </c>
      <c r="E7139" t="inlineStr">
        <is>
          <t>Lương:Cạnh tranh</t>
        </is>
      </c>
      <c r="F7139" t="inlineStr">
        <is>
          <t>Hà Nội</t>
        </is>
      </c>
      <c r="G7139" t="inlineStr">
        <is>
          <t>02-04-2026</t>
        </is>
      </c>
      <c r="H7139" t="inlineStr">
        <is>
          <t>02/04/2026</t>
        </is>
      </c>
      <c r="I7139" t="inlineStr">
        <is>
          <t>17/03/2026</t>
        </is>
      </c>
      <c r="J7139" t="inlineStr">
        <is>
          <t>Dịch vụ khách hàng, Giáo dục / Đào tạo, Bán hàng / Kinh doanh</t>
        </is>
      </c>
      <c r="K7139" t="inlineStr">
        <is>
          <t>Lên đến 1 Năm</t>
        </is>
      </c>
      <c r="L7139" s="8">
        <f>HYPERLINK("https://careerviet.vn/vi/tim-viec-lam/chuyen-vien-tu-van-giao-duc-ocean-edu-gia-lam-thu-nhap-hap-dan-tu-15-trieu-thang.35C6AA0E.html","Xem chi tiết")</f>
        <v/>
      </c>
    </row>
    <row r="7140">
      <c r="B7140" s="9" t="n">
        <v>7138</v>
      </c>
      <c r="C7140" s="10" t="inlineStr">
        <is>
          <t>Nhân Viên Bán Hàng - Lê Văn Lương</t>
        </is>
      </c>
      <c r="D7140" s="10" t="inlineStr">
        <is>
          <t>CT CP Tập Đoàn Thái Tuấn</t>
        </is>
      </c>
      <c r="E7140" s="10" t="inlineStr">
        <is>
          <t>Lương:7 Tr - 9 Tr VND</t>
        </is>
      </c>
      <c r="F7140" s="10" t="inlineStr">
        <is>
          <t>Hà Nội</t>
        </is>
      </c>
      <c r="G7140" s="10" t="inlineStr">
        <is>
          <t>02-04-2026</t>
        </is>
      </c>
      <c r="H7140" s="10" t="inlineStr">
        <is>
          <t>02/04/2026</t>
        </is>
      </c>
      <c r="I7140" s="10" t="inlineStr">
        <is>
          <t>17/03/2026</t>
        </is>
      </c>
      <c r="J7140" s="10" t="inlineStr">
        <is>
          <t>Bán lẻ / Bán sỉ, Bán hàng / Kinh doanh, Dệt may / Da giày / Thời trang</t>
        </is>
      </c>
      <c r="K7140" s="10" t="inlineStr">
        <is>
          <t>N/A</t>
        </is>
      </c>
      <c r="L7140" s="11">
        <f>HYPERLINK("https://careerviet.vn/vi/tim-viec-lam/nhan-vien-ban-hang-le-van-luong.35C6A790.html","Xem chi tiết")</f>
        <v/>
      </c>
      <c r="M7140" s="10" t="n"/>
    </row>
    <row r="7141">
      <c r="B7141" s="7" t="n">
        <v>7139</v>
      </c>
      <c r="C7141" t="inlineStr">
        <is>
          <t>KỸ SƯ MEP</t>
        </is>
      </c>
      <c r="D7141" t="inlineStr">
        <is>
          <t>Công Ty Cổ Phần Xây Dựng Và Kết Cấu Thép Đại Tín</t>
        </is>
      </c>
      <c r="E7141" t="inlineStr">
        <is>
          <t>Lương:15 Tr - 30 Tr VND</t>
        </is>
      </c>
      <c r="F7141" t="inlineStr">
        <is>
          <t>Hồ Chí Minh</t>
        </is>
      </c>
      <c r="G7141" t="inlineStr">
        <is>
          <t>04-04-2026</t>
        </is>
      </c>
      <c r="H7141" t="inlineStr">
        <is>
          <t>04/04/2026</t>
        </is>
      </c>
      <c r="I7141" t="inlineStr">
        <is>
          <t>17/03/2026</t>
        </is>
      </c>
      <c r="J7141" t="inlineStr">
        <is>
          <t>Xây dựng</t>
        </is>
      </c>
      <c r="K7141" t="inlineStr">
        <is>
          <t>2 - 5 Năm</t>
        </is>
      </c>
      <c r="L7141" s="8">
        <f>HYPERLINK("https://careerviet.vn/vi/tim-viec-lam/ky-su-mep.35C6AA6E.html","Xem chi tiết")</f>
        <v/>
      </c>
    </row>
    <row r="7142">
      <c r="B7142" s="9" t="n">
        <v>7140</v>
      </c>
      <c r="C7142" s="10" t="inlineStr">
        <is>
          <t>Nhân Viên Chăm Sóc Khách Hàng Kênh Call - ShopeeCS</t>
        </is>
      </c>
      <c r="D7142" s="10" t="inlineStr">
        <is>
          <t>Công Ty TNHH Việt Mỹ-SSU</t>
        </is>
      </c>
      <c r="E7142" s="10" t="inlineStr">
        <is>
          <t>Lương:7 Tr - 8 Tr VND</t>
        </is>
      </c>
      <c r="F7142" s="10" t="inlineStr">
        <is>
          <t>Hồ Chí Minh</t>
        </is>
      </c>
      <c r="G7142" s="10" t="inlineStr">
        <is>
          <t>02-04-2026</t>
        </is>
      </c>
      <c r="H7142" s="10" t="inlineStr">
        <is>
          <t>02/04/2026</t>
        </is>
      </c>
      <c r="I7142" s="10" t="inlineStr">
        <is>
          <t>17/03/2026</t>
        </is>
      </c>
      <c r="J7142" s="10" t="inlineStr">
        <is>
          <t>Thương mại điện tử, Dịch vụ khách hàng, Tư vấn</t>
        </is>
      </c>
      <c r="K7142" s="10" t="inlineStr">
        <is>
          <t>Chưa có kinh nghiệm</t>
        </is>
      </c>
      <c r="L7142" s="11">
        <f>HYPERLINK("https://careerviet.vn/vi/tim-viec-lam/nhan-vien-cham-soc-khach-hang-kenh-call-shopeecs.35C6A99F.html","Xem chi tiết")</f>
        <v/>
      </c>
      <c r="M7142" s="10" t="n"/>
    </row>
    <row r="7143">
      <c r="B7143" s="7" t="n">
        <v>7141</v>
      </c>
      <c r="C7143" t="inlineStr">
        <is>
          <t>Assistant Brand Manager</t>
        </is>
      </c>
      <c r="D7143" t="inlineStr">
        <is>
          <t>CÔNG TY TNHH XNK CUỘC SỐNG TƯƠI ĐẸP</t>
        </is>
      </c>
      <c r="E7143" t="inlineStr">
        <is>
          <t>Lương:Cạnh tranh</t>
        </is>
      </c>
      <c r="F7143" t="inlineStr">
        <is>
          <t>Hồ Chí Minh</t>
        </is>
      </c>
      <c r="G7143" t="inlineStr">
        <is>
          <t>30-04-2026</t>
        </is>
      </c>
      <c r="H7143" t="inlineStr">
        <is>
          <t>30/04/2026</t>
        </is>
      </c>
      <c r="I7143" t="inlineStr">
        <is>
          <t>17/03/2026</t>
        </is>
      </c>
      <c r="J7143" t="inlineStr">
        <is>
          <t>Tiếp thị / Marketing</t>
        </is>
      </c>
      <c r="K7143" t="inlineStr">
        <is>
          <t>3 - 5 Năm</t>
        </is>
      </c>
      <c r="L7143" s="8">
        <f>HYPERLINK("https://careerviet.vn/vi/tim-viec-lam/assistant-brand-manager.35C45FB8.html","Xem chi tiết")</f>
        <v/>
      </c>
    </row>
    <row r="7144">
      <c r="B7144" s="9" t="n">
        <v>7142</v>
      </c>
      <c r="C7144" s="10" t="inlineStr">
        <is>
          <t>CHUYÊN VIÊN TƯ VẤN GIÁO DỤC (OCEAN EDU XUÂN MAI) - THU NHẬP HẤP DẪN TỪ 15 TRIỆU/THÁNG</t>
        </is>
      </c>
      <c r="D7144" s="10" t="inlineStr">
        <is>
          <t>Công Ty CP Giáo Dục Đại Dương</t>
        </is>
      </c>
      <c r="E7144" s="10" t="inlineStr">
        <is>
          <t>Lương:Cạnh tranh</t>
        </is>
      </c>
      <c r="F7144" s="10" t="inlineStr">
        <is>
          <t>Hà Nội</t>
        </is>
      </c>
      <c r="G7144" s="10" t="inlineStr">
        <is>
          <t>02-04-2026</t>
        </is>
      </c>
      <c r="H7144" s="10" t="inlineStr">
        <is>
          <t>02/04/2026</t>
        </is>
      </c>
      <c r="I7144" s="10" t="inlineStr">
        <is>
          <t>17/03/2026</t>
        </is>
      </c>
      <c r="J7144" s="10" t="inlineStr">
        <is>
          <t>Dịch vụ khách hàng, Giáo dục / Đào tạo, Bán hàng / Kinh doanh</t>
        </is>
      </c>
      <c r="K7144" s="10" t="inlineStr">
        <is>
          <t>Lên đến 1 Năm</t>
        </is>
      </c>
      <c r="L7144" s="11">
        <f>HYPERLINK("https://careerviet.vn/vi/tim-viec-lam/chuyen-vien-tu-van-giao-duc-ocean-edu-xuan-mai-thu-nhap-hap-dan-tu-15-trieu-thang.35C6AA67.html","Xem chi tiết")</f>
        <v/>
      </c>
      <c r="M7144" s="10" t="n"/>
    </row>
    <row r="7145">
      <c r="B7145" s="7" t="n">
        <v>7143</v>
      </c>
      <c r="C7145" t="inlineStr">
        <is>
          <t>Chuyên viên Quản trị rủi ro &amp; Kiểm soát nội bộ</t>
        </is>
      </c>
      <c r="D7145" t="inlineStr">
        <is>
          <t>Tổng Công ty Cổ phần Công trình Viettel</t>
        </is>
      </c>
      <c r="E7145" t="inlineStr">
        <is>
          <t>Lương:Cạnh tranh</t>
        </is>
      </c>
      <c r="F7145" t="inlineStr">
        <is>
          <t>Hà Nội</t>
        </is>
      </c>
      <c r="G7145" t="inlineStr">
        <is>
          <t>02-04-2026</t>
        </is>
      </c>
      <c r="H7145" t="inlineStr">
        <is>
          <t>02/04/2026</t>
        </is>
      </c>
      <c r="I7145" t="inlineStr">
        <is>
          <t>17/03/2026</t>
        </is>
      </c>
      <c r="J7145" t="inlineStr">
        <is>
          <t>Kế toán / Kiểm toán, Luật / Pháp lý, Tài chính / Đầu tư</t>
        </is>
      </c>
      <c r="K7145" t="inlineStr">
        <is>
          <t>2 - 5 Năm</t>
        </is>
      </c>
      <c r="L7145" s="8">
        <f>HYPERLINK("https://careerviet.vn/vi/tim-viec-lam/chuyen-vien-quan-tri-rui-ro-kiem-soat-noi-bo.35C6AAC2.html","Xem chi tiết")</f>
        <v/>
      </c>
    </row>
    <row r="7146">
      <c r="B7146" s="9" t="n">
        <v>7144</v>
      </c>
      <c r="C7146" s="10" t="inlineStr">
        <is>
          <t>Quality Control Officer</t>
        </is>
      </c>
      <c r="D7146" s="10" t="inlineStr">
        <is>
          <t>CÔNG TY TNHH APVN SEALING</t>
        </is>
      </c>
      <c r="E7146" s="10" t="inlineStr">
        <is>
          <t>Lương:12 Tr - 15 Tr VND</t>
        </is>
      </c>
      <c r="F7146" s="10" t="inlineStr">
        <is>
          <t>Đồng Nai</t>
        </is>
      </c>
      <c r="G7146" s="10" t="inlineStr">
        <is>
          <t>28-03-2026</t>
        </is>
      </c>
      <c r="H7146" s="10" t="inlineStr">
        <is>
          <t>28/03/2026</t>
        </is>
      </c>
      <c r="I7146" s="10" t="inlineStr">
        <is>
          <t>17/03/2026</t>
        </is>
      </c>
      <c r="J7146" s="10" t="inlineStr">
        <is>
          <t>Quản lý chất lượng (QA/QC)</t>
        </is>
      </c>
      <c r="K7146" s="10" t="inlineStr">
        <is>
          <t>Trên 1 Năm</t>
        </is>
      </c>
      <c r="L7146" s="11">
        <f>HYPERLINK("https://careerviet.vn/vi/tim-viec-lam/quality-control-officer.35C6A962.html","Xem chi tiết")</f>
        <v/>
      </c>
      <c r="M7146" s="10" t="n"/>
    </row>
    <row r="7147">
      <c r="B7147" s="7" t="n">
        <v>7145</v>
      </c>
      <c r="C7147" t="inlineStr">
        <is>
          <t>Nhân viên an toàn</t>
        </is>
      </c>
      <c r="D7147" t="inlineStr">
        <is>
          <t>CÔNG TY CỔ PHẦN CÔNG NGHỆ SOTATEK VIỆT NAM</t>
        </is>
      </c>
      <c r="E7147" t="inlineStr">
        <is>
          <t>Lương:Cạnh tranh</t>
        </is>
      </c>
      <c r="F7147" t="inlineStr">
        <is>
          <t>Hải Dương</t>
        </is>
      </c>
      <c r="G7147" t="inlineStr">
        <is>
          <t>01-04-2026</t>
        </is>
      </c>
      <c r="H7147" t="inlineStr">
        <is>
          <t>01/04/2026</t>
        </is>
      </c>
      <c r="I7147" t="inlineStr">
        <is>
          <t>17/03/2026</t>
        </is>
      </c>
      <c r="J7147" t="inlineStr">
        <is>
          <t>An toàn lao động, Sản xuất / Vận hành sản xuất</t>
        </is>
      </c>
      <c r="K7147" t="inlineStr">
        <is>
          <t>Chưa có kinh nghiệm</t>
        </is>
      </c>
      <c r="L7147" s="8">
        <f>HYPERLINK("https://careerviet.vn/vi/tim-viec-lam/nhan-vien-an-toan.35C6AADA.html","Xem chi tiết")</f>
        <v/>
      </c>
    </row>
    <row r="7148">
      <c r="B7148" s="9" t="n">
        <v>7146</v>
      </c>
      <c r="C7148" s="10" t="inlineStr">
        <is>
          <t>Nhân Viên Kỹ Thuật</t>
        </is>
      </c>
      <c r="D7148" s="10" t="inlineStr">
        <is>
          <t>CÔNG TY TNHH KỸ THUẬT TVA</t>
        </is>
      </c>
      <c r="E7148" s="10" t="inlineStr">
        <is>
          <t>Lương:Cạnh tranh</t>
        </is>
      </c>
      <c r="F7148" s="10" t="inlineStr">
        <is>
          <t>Hồ Chí Minh</t>
        </is>
      </c>
      <c r="G7148" s="10" t="inlineStr">
        <is>
          <t>02-04-2026</t>
        </is>
      </c>
      <c r="H7148" s="10" t="inlineStr">
        <is>
          <t>02/04/2026</t>
        </is>
      </c>
      <c r="I7148" s="10" t="inlineStr">
        <is>
          <t>17/03/2026</t>
        </is>
      </c>
      <c r="J7148" s="10" t="inlineStr">
        <is>
          <t>Điện / Điện tử / Điện lạnh / Điện công nghiệp, Dịch vụ khách hàng, Tư vấn</t>
        </is>
      </c>
      <c r="K7148" s="10" t="inlineStr">
        <is>
          <t>N/A</t>
        </is>
      </c>
      <c r="L7148" s="11">
        <f>HYPERLINK("https://careerviet.vn/vi/tim-viec-lam/nhan-vien-ky-thuat.35C6AA02.html","Xem chi tiết")</f>
        <v/>
      </c>
      <c r="M7148" s="10" t="n"/>
    </row>
    <row r="7149">
      <c r="B7149" s="7" t="n">
        <v>7147</v>
      </c>
      <c r="C7149" t="inlineStr">
        <is>
          <t>Android Framework Development Engineer (Media/Camera/USB)</t>
        </is>
      </c>
      <c r="D7149" t="inlineStr">
        <is>
          <t>Công ty Cổ phần Vietsol</t>
        </is>
      </c>
      <c r="E7149" t="inlineStr">
        <is>
          <t>Lương:15 Tr - 30 Tr VND</t>
        </is>
      </c>
      <c r="F7149" t="inlineStr">
        <is>
          <t>Hà Nội</t>
        </is>
      </c>
      <c r="G7149" t="inlineStr">
        <is>
          <t>31-05-2026</t>
        </is>
      </c>
      <c r="H7149" t="inlineStr">
        <is>
          <t>31/05/2026</t>
        </is>
      </c>
      <c r="I7149" t="inlineStr">
        <is>
          <t>17/03/2026</t>
        </is>
      </c>
      <c r="J7149" t="inlineStr">
        <is>
          <t>CNTT - Phần mềm</t>
        </is>
      </c>
      <c r="K7149" t="inlineStr">
        <is>
          <t>2 - 3 Năm</t>
        </is>
      </c>
      <c r="L7149" s="8">
        <f>HYPERLINK("https://careerviet.vn/vi/tim-viec-lam/android-framework-development-engineer-media-camera-usb.35C6AAB1.html","Xem chi tiết")</f>
        <v/>
      </c>
    </row>
    <row r="7150">
      <c r="B7150" s="9" t="n">
        <v>7148</v>
      </c>
      <c r="C7150" s="10" t="inlineStr">
        <is>
          <t>Trưởng Nhóm Tuyển Sinh (Ocean Edu Nghi Lộc)</t>
        </is>
      </c>
      <c r="D7150" s="10" t="inlineStr">
        <is>
          <t>Công Ty CP Giáo Dục Đại Dương</t>
        </is>
      </c>
      <c r="E7150" s="10" t="inlineStr">
        <is>
          <t>Lương:Cạnh tranh</t>
        </is>
      </c>
      <c r="F7150" s="10" t="inlineStr">
        <is>
          <t>Nghệ An</t>
        </is>
      </c>
      <c r="G7150" s="10" t="inlineStr">
        <is>
          <t>02-04-2026</t>
        </is>
      </c>
      <c r="H7150" s="10" t="inlineStr">
        <is>
          <t>02/04/2026</t>
        </is>
      </c>
      <c r="I7150" s="10" t="inlineStr">
        <is>
          <t>17/03/2026</t>
        </is>
      </c>
      <c r="J7150" s="10" t="inlineStr">
        <is>
          <t>Tư vấn, Dịch vụ khách hàng, Giáo dục / Đào tạo</t>
        </is>
      </c>
      <c r="K7150" s="10" t="inlineStr">
        <is>
          <t>1 - 2 Năm</t>
        </is>
      </c>
      <c r="L7150" s="11">
        <f>HYPERLINK("https://careerviet.vn/vi/tim-viec-lam/truong-nhom-tuyen-sinh-ocean-edu-nghi-loc.35C6AA0D.html","Xem chi tiết")</f>
        <v/>
      </c>
      <c r="M7150" s="10" t="n"/>
    </row>
    <row r="7151">
      <c r="B7151" s="7" t="n">
        <v>7149</v>
      </c>
      <c r="C7151" t="inlineStr">
        <is>
          <t>Chuyên viên xây dựng cơ bản</t>
        </is>
      </c>
      <c r="D7151" t="inlineStr">
        <is>
          <t>Công ty CP Thành Thành Công - Biên Hòa</t>
        </is>
      </c>
      <c r="E7151" t="inlineStr">
        <is>
          <t>Lương:Cạnh tranh</t>
        </is>
      </c>
      <c r="F7151" t="inlineStr">
        <is>
          <t>Tây Ninh</t>
        </is>
      </c>
      <c r="G7151" t="inlineStr">
        <is>
          <t>02-04-2026</t>
        </is>
      </c>
      <c r="H7151" t="inlineStr">
        <is>
          <t>02/04/2026</t>
        </is>
      </c>
      <c r="I7151" t="inlineStr">
        <is>
          <t>17/03/2026</t>
        </is>
      </c>
      <c r="J7151" t="inlineStr">
        <is>
          <t>Xây dựng</t>
        </is>
      </c>
      <c r="K7151" t="inlineStr">
        <is>
          <t>2 - 5 Năm</t>
        </is>
      </c>
      <c r="L7151" s="8">
        <f>HYPERLINK("https://careerviet.vn/vi/tim-viec-lam/chuyen-vien-xay-dung-co-ban.35C6AA98.html","Xem chi tiết")</f>
        <v/>
      </c>
    </row>
    <row r="7152">
      <c r="B7152" s="9" t="n">
        <v>7150</v>
      </c>
      <c r="C7152" s="10" t="inlineStr">
        <is>
          <t>CHUYÊN VIÊN TƯ VẤN GIÁO DỤC (OCEAN EDU BUÔN MA THUỘT) - THU NHẬP HẤP DẪN TỪ 15 TRIỆU/THÁNG</t>
        </is>
      </c>
      <c r="D7152" s="10" t="inlineStr">
        <is>
          <t>Công Ty CP Giáo Dục Đại Dương</t>
        </is>
      </c>
      <c r="E7152" s="10" t="inlineStr">
        <is>
          <t>Lương:Cạnh tranh</t>
        </is>
      </c>
      <c r="F7152" s="10" t="inlineStr">
        <is>
          <t>Dak Lak</t>
        </is>
      </c>
      <c r="G7152" s="10" t="inlineStr">
        <is>
          <t>02-04-2026</t>
        </is>
      </c>
      <c r="H7152" s="10" t="inlineStr">
        <is>
          <t>02/04/2026</t>
        </is>
      </c>
      <c r="I7152" s="10" t="inlineStr">
        <is>
          <t>17/03/2026</t>
        </is>
      </c>
      <c r="J7152" s="10" t="inlineStr">
        <is>
          <t>Dịch vụ khách hàng, Giáo dục / Đào tạo, Bán hàng / Kinh doanh</t>
        </is>
      </c>
      <c r="K7152" s="10" t="inlineStr">
        <is>
          <t>Lên đến 1 Năm</t>
        </is>
      </c>
      <c r="L7152" s="11">
        <f>HYPERLINK("https://careerviet.vn/vi/tim-viec-lam/chuyen-vien-tu-van-giao-duc-ocean-edu-buon-ma-thuot-thu-nhap-hap-dan-tu-15-trieu-thang.35C6AAA9.html","Xem chi tiết")</f>
        <v/>
      </c>
      <c r="M7152" s="10" t="n"/>
    </row>
    <row r="7153">
      <c r="B7153" s="7" t="n">
        <v>7151</v>
      </c>
      <c r="C7153" t="inlineStr">
        <is>
          <t>GIÁM SÁT XÂY DỰNG</t>
        </is>
      </c>
      <c r="D7153" t="inlineStr">
        <is>
          <t>CÔNG TY CỔ PHẦN LONG SƠN</t>
        </is>
      </c>
      <c r="E7153" t="inlineStr">
        <is>
          <t>Lương:12 Tr - 15 Tr VND</t>
        </is>
      </c>
      <c r="F7153" t="inlineStr">
        <is>
          <t>Hồ Chí Minh</t>
        </is>
      </c>
      <c r="G7153" t="inlineStr">
        <is>
          <t>30-03-2026</t>
        </is>
      </c>
      <c r="H7153" t="inlineStr">
        <is>
          <t>30/03/2026</t>
        </is>
      </c>
      <c r="I7153" t="inlineStr">
        <is>
          <t>17/03/2026</t>
        </is>
      </c>
      <c r="J7153" t="inlineStr">
        <is>
          <t>Xây dựng, Kiến trúc</t>
        </is>
      </c>
      <c r="K7153" t="inlineStr">
        <is>
          <t>Trên 2 Năm</t>
        </is>
      </c>
      <c r="L7153" s="8">
        <f>HYPERLINK("https://careerviet.vn/vi/tim-viec-lam/giam-sat-xay-dung.35C6A3CD.html","Xem chi tiết")</f>
        <v/>
      </c>
    </row>
    <row r="7154">
      <c r="B7154" s="9" t="n">
        <v>7152</v>
      </c>
      <c r="C7154" s="10" t="inlineStr">
        <is>
          <t>Chuyên viên/Chuyên viên cao cấp Quản trị rủi ro</t>
        </is>
      </c>
      <c r="D7154" s="10" t="inlineStr">
        <is>
          <t>Công Ty Quản Lý Nợ Và Khai Thác Tài Sản - Ngân Hàng TMCP Quân Đội</t>
        </is>
      </c>
      <c r="E7154" s="10" t="inlineStr">
        <is>
          <t>Lương:25 Tr - 40 Tr VND</t>
        </is>
      </c>
      <c r="F7154" s="10" t="inlineStr">
        <is>
          <t>Hà Nội</t>
        </is>
      </c>
      <c r="G7154" s="10" t="inlineStr">
        <is>
          <t>5</t>
        </is>
      </c>
      <c r="H7154" s="10" t="inlineStr">
        <is>
          <t>22/03/2026</t>
        </is>
      </c>
      <c r="I7154" s="10" t="inlineStr">
        <is>
          <t>17/03/2026</t>
        </is>
      </c>
      <c r="J7154" s="10" t="inlineStr">
        <is>
          <t>Luật / Pháp lý, Kế toán / Kiểm toán, Ngân hàng</t>
        </is>
      </c>
      <c r="K7154" s="10" t="inlineStr">
        <is>
          <t>3 - 5 Năm</t>
        </is>
      </c>
      <c r="L7154" s="11">
        <f>HYPERLINK("https://careerviet.vn/vi/tim-viec-lam/chuyen-vien-chuyen-vien-cao-cap-quan-tri-rui-ro.35C68E69.html","Xem chi tiết")</f>
        <v/>
      </c>
      <c r="M7154" s="10" t="n"/>
    </row>
    <row r="7155">
      <c r="B7155" s="7" t="n">
        <v>7153</v>
      </c>
      <c r="C7155" t="inlineStr">
        <is>
          <t>Electronic Engineer</t>
        </is>
      </c>
      <c r="D7155" t="inlineStr">
        <is>
          <t>TAVN</t>
        </is>
      </c>
      <c r="E7155" t="inlineStr">
        <is>
          <t>Lương:Cạnh tranh</t>
        </is>
      </c>
      <c r="F7155" t="inlineStr">
        <is>
          <t>Đồng NaiBình DươngHồ Chí Minh</t>
        </is>
      </c>
      <c r="G7155" t="inlineStr">
        <is>
          <t>12-04-2026</t>
        </is>
      </c>
      <c r="H7155" t="inlineStr">
        <is>
          <t>12/04/2026</t>
        </is>
      </c>
      <c r="I7155" t="inlineStr">
        <is>
          <t>17/03/2026</t>
        </is>
      </c>
      <c r="J7155" t="inlineStr">
        <is>
          <t>Cơ khí / Ô tô / Tự động hóa, Điện / Điện tử / Điện lạnh / Điện công nghiệp, Sản xuất / Vận hành sản xuất</t>
        </is>
      </c>
      <c r="K7155" t="inlineStr">
        <is>
          <t>4 - 10 Năm</t>
        </is>
      </c>
      <c r="L7155" s="8">
        <f>HYPERLINK("https://careerviet.vn/vi/tim-viec-lam/electronic-engineer.35C686E9.html","Xem chi tiết")</f>
        <v/>
      </c>
    </row>
    <row r="7156">
      <c r="B7156" s="9" t="n">
        <v>7154</v>
      </c>
      <c r="C7156" s="10" t="inlineStr">
        <is>
          <t>Kiến Trúc Sư</t>
        </is>
      </c>
      <c r="D7156" s="10" t="inlineStr">
        <is>
          <t>Công Ty Cổ Phần Tư Vấn Thiết Kế Xây Dựng Sagen</t>
        </is>
      </c>
      <c r="E7156" s="10" t="inlineStr">
        <is>
          <t>Lương:20 Tr - 25 Tr VND</t>
        </is>
      </c>
      <c r="F7156" s="10" t="inlineStr">
        <is>
          <t>Hồ Chí Minh</t>
        </is>
      </c>
      <c r="G7156" s="10" t="inlineStr">
        <is>
          <t>05-04-2026</t>
        </is>
      </c>
      <c r="H7156" s="10" t="inlineStr">
        <is>
          <t>05/04/2026</t>
        </is>
      </c>
      <c r="I7156" s="10" t="inlineStr">
        <is>
          <t>17/03/2026</t>
        </is>
      </c>
      <c r="J7156" s="10" t="inlineStr">
        <is>
          <t>Kiến trúc, Xây dựng</t>
        </is>
      </c>
      <c r="K7156" s="10" t="inlineStr">
        <is>
          <t>3 - 5 Năm</t>
        </is>
      </c>
      <c r="L7156" s="11">
        <f>HYPERLINK("https://careerviet.vn/vi/tim-viec-lam/kien-truc-su.35C67670.html","Xem chi tiết")</f>
        <v/>
      </c>
      <c r="M7156" s="10" t="n"/>
    </row>
    <row r="7157">
      <c r="B7157" s="7" t="n">
        <v>7155</v>
      </c>
      <c r="C7157" t="inlineStr">
        <is>
          <t>Nhân viên kế toán công nợ - Thuận An</t>
        </is>
      </c>
      <c r="D7157" t="inlineStr">
        <is>
          <t>CÔNG TY TNHH TM DV XỬ LÝ MÔI TRƯỜNG VIỆT KHẢI</t>
        </is>
      </c>
      <c r="E7157" t="inlineStr">
        <is>
          <t>Lương:8 Tr - 12 Tr VND</t>
        </is>
      </c>
      <c r="F7157" t="inlineStr">
        <is>
          <t>Bình Dương</t>
        </is>
      </c>
      <c r="G7157" t="inlineStr">
        <is>
          <t>10-04-2026</t>
        </is>
      </c>
      <c r="H7157" t="inlineStr">
        <is>
          <t>10/04/2026</t>
        </is>
      </c>
      <c r="I7157" t="inlineStr">
        <is>
          <t>17/03/2026</t>
        </is>
      </c>
      <c r="J7157" t="inlineStr">
        <is>
          <t>Hành chính / Thư ký, Kế toán / Kiểm toán, Tài chính / Đầu tư</t>
        </is>
      </c>
      <c r="K7157" t="inlineStr">
        <is>
          <t>1 - 2 Năm</t>
        </is>
      </c>
      <c r="L7157" s="8">
        <f>HYPERLINK("https://careerviet.vn/vi/tim-viec-lam/nhan-vien-ke-toan-cong-no-thuan-an.35C682D8.html","Xem chi tiết")</f>
        <v/>
      </c>
    </row>
    <row r="7158">
      <c r="B7158" s="9" t="n">
        <v>7156</v>
      </c>
      <c r="C7158" s="10" t="inlineStr">
        <is>
          <t>Cửa hàng Trưởng Showroom</t>
        </is>
      </c>
      <c r="D7158" s="10" t="inlineStr">
        <is>
          <t>Công ty Cổ phần Tập đoàn Hoa Sen</t>
        </is>
      </c>
      <c r="E7158" s="10" t="inlineStr">
        <is>
          <t>Lương:Cạnh tranh</t>
        </is>
      </c>
      <c r="F7158" s="10" t="inlineStr">
        <is>
          <t>Hồ Chí Minh</t>
        </is>
      </c>
      <c r="G7158" s="10" t="inlineStr">
        <is>
          <t>6</t>
        </is>
      </c>
      <c r="H7158" s="10" t="inlineStr">
        <is>
          <t>23/03/2026</t>
        </is>
      </c>
      <c r="I7158" s="10" t="inlineStr">
        <is>
          <t>17/03/2026</t>
        </is>
      </c>
      <c r="J7158" s="10" t="inlineStr">
        <is>
          <t>Bán hàng / Kinh doanh, Bán lẻ / Bán sỉ, Nội ngoại thất</t>
        </is>
      </c>
      <c r="K7158" s="10" t="inlineStr">
        <is>
          <t>Trên 3 Năm</t>
        </is>
      </c>
      <c r="L7158" s="11">
        <f>HYPERLINK("https://careerviet.vn/vi/tim-viec-lam/cua-hang-truong-showroom.35C66469.html","Xem chi tiết")</f>
        <v/>
      </c>
      <c r="M7158" s="10" t="n"/>
    </row>
    <row r="7159">
      <c r="B7159" s="7" t="n">
        <v>7157</v>
      </c>
      <c r="C7159" t="inlineStr">
        <is>
          <t>GIÁO VIÊN TIẾNG ANH (BÀ RỊA VŨNG TÀU, HỒ CHÍ MINH, LONG AN, ĐỒNG NAI)</t>
        </is>
      </c>
      <c r="D7159" t="inlineStr">
        <is>
          <t>Công Ty CP Liên Kết Quốc Tế INTERLINK (Trường Liên Kết Quốc Tế INschool &amp; Ngoại Ngữ Quốc Tế INS ENGLISH &amp; CHINESE)</t>
        </is>
      </c>
      <c r="E7159" t="inlineStr">
        <is>
          <t>Lương:10 Tr - 12 Tr VND</t>
        </is>
      </c>
      <c r="F7159" t="inlineStr">
        <is>
          <t>Hồ Chí MinhĐồng NaiBà Rịa - Vũng Tàu</t>
        </is>
      </c>
      <c r="G7159" t="inlineStr">
        <is>
          <t>05-04-2026</t>
        </is>
      </c>
      <c r="H7159" t="inlineStr">
        <is>
          <t>05/04/2026</t>
        </is>
      </c>
      <c r="I7159" t="inlineStr">
        <is>
          <t>17/03/2026</t>
        </is>
      </c>
      <c r="J7159" t="inlineStr">
        <is>
          <t>Giáo dục / Đào tạo</t>
        </is>
      </c>
      <c r="K7159" t="inlineStr">
        <is>
          <t>Trên 1 Năm</t>
        </is>
      </c>
      <c r="L7159" s="8">
        <f>HYPERLINK("https://careerviet.vn/vi/tim-viec-lam/giao-vien-tieng-anh-ba-ria-vung-tau-ho-chi-minh-long-an-dong-nai.35C6769C.html","Xem chi tiết")</f>
        <v/>
      </c>
    </row>
    <row r="7160">
      <c r="B7160" s="9" t="n">
        <v>7158</v>
      </c>
      <c r="C7160" s="10" t="inlineStr">
        <is>
          <t>Digital Marketing (Mảng Thủy sản)</t>
        </is>
      </c>
      <c r="D7160" s="10" t="inlineStr">
        <is>
          <t>Công Ty TNHH Sunjin Vina</t>
        </is>
      </c>
      <c r="E7160" s="10" t="inlineStr">
        <is>
          <t>Lương:Cạnh tranh</t>
        </is>
      </c>
      <c r="F7160" s="10" t="inlineStr">
        <is>
          <t>Đồng Nai</t>
        </is>
      </c>
      <c r="G7160" s="10" t="inlineStr">
        <is>
          <t>15-04-2026</t>
        </is>
      </c>
      <c r="H7160" s="10" t="inlineStr">
        <is>
          <t>15/04/2026</t>
        </is>
      </c>
      <c r="I7160" s="10" t="inlineStr">
        <is>
          <t>17/03/2026</t>
        </is>
      </c>
      <c r="J7160" s="10" t="inlineStr">
        <is>
          <t>Tiếp thị / Marketing, Thủy sản / Hải sản</t>
        </is>
      </c>
      <c r="K7160" s="10" t="inlineStr">
        <is>
          <t>N/A</t>
        </is>
      </c>
      <c r="L7160" s="11">
        <f>HYPERLINK("https://careerviet.vn/vi/tim-viec-lam/digital-marketing-mang-thuy-san.35C65A3A.html","Xem chi tiết")</f>
        <v/>
      </c>
      <c r="M7160" s="10" t="n"/>
    </row>
    <row r="7161">
      <c r="B7161" s="7" t="n">
        <v>7159</v>
      </c>
      <c r="C7161" t="inlineStr">
        <is>
          <t>Nhân Viên Thương Mại - Đấu Thầu</t>
        </is>
      </c>
      <c r="D7161" t="inlineStr">
        <is>
          <t>CÔNG TY CỔ PHẦN KỸ THUẬT NHIỆT MÈO ĐEN</t>
        </is>
      </c>
      <c r="E7161" t="inlineStr">
        <is>
          <t>Lương:12 Tr - 20 Tr VND</t>
        </is>
      </c>
      <c r="F7161" t="inlineStr">
        <is>
          <t>Bà Rịa - Vũng Tàu</t>
        </is>
      </c>
      <c r="G7161" t="inlineStr">
        <is>
          <t>31-03-2026</t>
        </is>
      </c>
      <c r="H7161" t="inlineStr">
        <is>
          <t>31/03/2026</t>
        </is>
      </c>
      <c r="I7161" t="inlineStr">
        <is>
          <t>17/03/2026</t>
        </is>
      </c>
      <c r="J7161" t="inlineStr">
        <is>
          <t>Cơ khí / Ô tô / Tự động hóa, Dầu khí, Xuất nhập khẩu</t>
        </is>
      </c>
      <c r="K7161" t="inlineStr">
        <is>
          <t>1 - 2 Năm</t>
        </is>
      </c>
      <c r="L7161" s="8">
        <f>HYPERLINK("https://careerviet.vn/vi/tim-viec-lam/nhan-vien-thuong-mai-dau-thau.35C6A209.html","Xem chi tiết")</f>
        <v/>
      </c>
    </row>
    <row r="7162">
      <c r="B7162" s="9" t="n">
        <v>7160</v>
      </c>
      <c r="C7162" s="10" t="inlineStr">
        <is>
          <t>Nhân viên Thiết Kế Kết Cấu</t>
        </is>
      </c>
      <c r="D7162" s="10" t="inlineStr">
        <is>
          <t>CÔNG TY TNHH THƯƠNG MẠI XÂY DỰNG ĐOÀN LỰC</t>
        </is>
      </c>
      <c r="E7162" s="10" t="inlineStr">
        <is>
          <t>Lương:Cạnh tranh</t>
        </is>
      </c>
      <c r="F7162" s="10" t="inlineStr">
        <is>
          <t>Hồ Chí Minh</t>
        </is>
      </c>
      <c r="G7162" s="10" t="inlineStr">
        <is>
          <t>12-04-2026</t>
        </is>
      </c>
      <c r="H7162" s="10" t="inlineStr">
        <is>
          <t>12/04/2026</t>
        </is>
      </c>
      <c r="I7162" s="10" t="inlineStr">
        <is>
          <t>17/03/2026</t>
        </is>
      </c>
      <c r="J7162" s="10" t="inlineStr">
        <is>
          <t>Mỹ thuật / Nghệ thuật / Thiết kế, Kiến trúc, Xây dựng</t>
        </is>
      </c>
      <c r="K7162" s="10" t="inlineStr">
        <is>
          <t>2 - 3 Năm</t>
        </is>
      </c>
      <c r="L7162" s="11">
        <f>HYPERLINK("https://careerviet.vn/vi/tim-viec-lam/nhan-vien-thiet-ke-ket-cau.35C654E7.html","Xem chi tiết")</f>
        <v/>
      </c>
      <c r="M7162" s="10" t="n"/>
    </row>
    <row r="7163">
      <c r="B7163" s="7" t="n">
        <v>7161</v>
      </c>
      <c r="C7163" t="inlineStr">
        <is>
          <t>Kế toán tổng hợp</t>
        </is>
      </c>
      <c r="D7163" t="inlineStr">
        <is>
          <t>Công ty Cổ phần Tập đoàn Đầu tư Nắng Ban Mai</t>
        </is>
      </c>
      <c r="E7163" t="inlineStr">
        <is>
          <t>Lương:8 Tr - 12 Tr VND</t>
        </is>
      </c>
      <c r="F7163" t="inlineStr">
        <is>
          <t>Ninh Thuận</t>
        </is>
      </c>
      <c r="G7163" t="inlineStr">
        <is>
          <t>10-04-2026</t>
        </is>
      </c>
      <c r="H7163" t="inlineStr">
        <is>
          <t>10/04/2026</t>
        </is>
      </c>
      <c r="I7163" t="inlineStr">
        <is>
          <t>17/03/2026</t>
        </is>
      </c>
      <c r="J7163" t="inlineStr">
        <is>
          <t>Bán hàng / Kinh doanh, Dịch vụ khách hàng, Kế toán / Kiểm toán</t>
        </is>
      </c>
      <c r="K7163" t="inlineStr">
        <is>
          <t>2 - 10 Năm</t>
        </is>
      </c>
      <c r="L7163" s="8">
        <f>HYPERLINK("https://careerviet.vn/vi/tim-viec-lam/ke-toan-tong-hop.35C652DB.html","Xem chi tiết")</f>
        <v/>
      </c>
    </row>
    <row r="7164">
      <c r="B7164" s="9" t="n">
        <v>7162</v>
      </c>
      <c r="C7164" s="10" t="inlineStr">
        <is>
          <t>Trưởng Phòng/ Phó Phòng Thí Nghiệm</t>
        </is>
      </c>
      <c r="D7164" s="10" t="inlineStr">
        <is>
          <t>Công ty Cổ phần Tập đoàn Đầu tư Nắng Ban Mai</t>
        </is>
      </c>
      <c r="E7164" s="10" t="inlineStr">
        <is>
          <t>Lương:Cạnh tranh</t>
        </is>
      </c>
      <c r="F7164" s="10" t="inlineStr">
        <is>
          <t>Hồ Chí Minh</t>
        </is>
      </c>
      <c r="G7164" s="10" t="inlineStr">
        <is>
          <t>5</t>
        </is>
      </c>
      <c r="H7164" s="10" t="inlineStr">
        <is>
          <t>22/03/2026</t>
        </is>
      </c>
      <c r="I7164" s="10" t="inlineStr">
        <is>
          <t>17/03/2026</t>
        </is>
      </c>
      <c r="J7164" s="10" t="inlineStr">
        <is>
          <t>Hóa học, Sản xuất / Vận hành sản xuất, Xây dựng</t>
        </is>
      </c>
      <c r="K7164" s="10" t="inlineStr">
        <is>
          <t>5 - 10 Năm</t>
        </is>
      </c>
      <c r="L7164" s="11">
        <f>HYPERLINK("https://careerviet.vn/vi/tim-viec-lam/truong-phong-pho-phong-thi-nghiem.35C637D1.html","Xem chi tiết")</f>
        <v/>
      </c>
      <c r="M7164" s="10" t="n"/>
    </row>
    <row r="7165">
      <c r="B7165" s="7" t="n">
        <v>7163</v>
      </c>
      <c r="C7165" t="inlineStr">
        <is>
          <t>NHÂN VIÊN KINH DOANH</t>
        </is>
      </c>
      <c r="D7165" t="inlineStr">
        <is>
          <t>Công ty Cổ phần Mạc Tích (MARTECH)</t>
        </is>
      </c>
      <c r="E7165" t="inlineStr">
        <is>
          <t>Lương:Cạnh tranh</t>
        </is>
      </c>
      <c r="F7165" t="inlineStr">
        <is>
          <t>Hồ Chí Minh</t>
        </is>
      </c>
      <c r="G7165" t="inlineStr">
        <is>
          <t>Hôm nay</t>
        </is>
      </c>
      <c r="H7165" t="inlineStr">
        <is>
          <t>17/03/2026</t>
        </is>
      </c>
      <c r="I7165" t="inlineStr">
        <is>
          <t>17/03/2026</t>
        </is>
      </c>
      <c r="J7165" t="inlineStr">
        <is>
          <t>Bán hàng / Kinh doanh, Bán Hàng Kỹ Thuật, Cơ khí / Ô tô / Tự động hóa</t>
        </is>
      </c>
      <c r="K7165" t="inlineStr">
        <is>
          <t>N/A</t>
        </is>
      </c>
      <c r="L7165" s="8">
        <f>HYPERLINK("https://careerviet.vn/vi/tim-viec-lam/nhan-vien-kinh-doanh.35C65C64.html","Xem chi tiết")</f>
        <v/>
      </c>
    </row>
    <row r="7166">
      <c r="B7166" s="9" t="n">
        <v>7164</v>
      </c>
      <c r="C7166" s="10" t="inlineStr">
        <is>
          <t>Nhân Viên Tổng vụ Nhân Sự Tiếng Nhật</t>
        </is>
      </c>
      <c r="D7166" s="10" t="inlineStr">
        <is>
          <t>CÔNG TY TNHH CÔNG NGHỆ REFLEX VIỆT NAM</t>
        </is>
      </c>
      <c r="E7166" s="10" t="inlineStr">
        <is>
          <t>Lương:Trên 20 Tr VND</t>
        </is>
      </c>
      <c r="F7166" s="10" t="inlineStr">
        <is>
          <t>Hồ Chí Minh</t>
        </is>
      </c>
      <c r="G7166" s="10" t="inlineStr">
        <is>
          <t>Hôm nay</t>
        </is>
      </c>
      <c r="H7166" s="10" t="inlineStr">
        <is>
          <t>17/03/2026</t>
        </is>
      </c>
      <c r="I7166" s="10" t="inlineStr">
        <is>
          <t>17/03/2026</t>
        </is>
      </c>
      <c r="J7166" s="10" t="inlineStr">
        <is>
          <t>Nhân sự</t>
        </is>
      </c>
      <c r="K7166" s="10" t="inlineStr">
        <is>
          <t>2 - 5 Năm</t>
        </is>
      </c>
      <c r="L7166" s="11">
        <f>HYPERLINK("https://careerviet.vn/vi/tim-viec-lam/nhan-vien-tong-vu-nhan-su-tieng-nhat.35C65DC8.html","Xem chi tiết")</f>
        <v/>
      </c>
      <c r="M7166" s="10" t="n"/>
    </row>
    <row r="7167">
      <c r="B7167" s="7" t="n">
        <v>7165</v>
      </c>
      <c r="C7167" t="inlineStr">
        <is>
          <t>[HUẾ] Trưởng phòng kinh doanh</t>
        </is>
      </c>
      <c r="D7167" t="inlineStr">
        <is>
          <t>Công ty TNHH SXTM XNK Minh Hiền</t>
        </is>
      </c>
      <c r="E7167" t="inlineStr">
        <is>
          <t>Lương:Cạnh tranh</t>
        </is>
      </c>
      <c r="F7167" t="inlineStr">
        <is>
          <t>Thừa Thiên- HuếĐà NẵngQuảng Trị</t>
        </is>
      </c>
      <c r="G7167" t="inlineStr">
        <is>
          <t>06-04-2026</t>
        </is>
      </c>
      <c r="H7167" t="inlineStr">
        <is>
          <t>06/04/2026</t>
        </is>
      </c>
      <c r="I7167" t="inlineStr">
        <is>
          <t>17/03/2026</t>
        </is>
      </c>
      <c r="J7167" t="inlineStr">
        <is>
          <t>Bán lẻ / Bán sỉ, Bán hàng / Kinh doanh, Dệt may / Da giày / Thời trang</t>
        </is>
      </c>
      <c r="K7167" t="inlineStr">
        <is>
          <t>3 - 5 Năm</t>
        </is>
      </c>
      <c r="L7167" s="8">
        <f>HYPERLINK("https://careerviet.vn/vi/tim-viec-lam/hue-truong-phong-kinh-doanh.35C64B47.html","Xem chi tiết")</f>
        <v/>
      </c>
    </row>
    <row r="7168">
      <c r="B7168" s="9" t="n">
        <v>7166</v>
      </c>
      <c r="C7168" s="10" t="inlineStr">
        <is>
          <t>Chuyên viên tài chính (FP&amp;A)(Mới)</t>
        </is>
      </c>
      <c r="D7168" s="10" t="inlineStr">
        <is>
          <t>Công ty Cổ phần CANIFA</t>
        </is>
      </c>
      <c r="E7168" s="10" t="inlineStr">
        <is>
          <t>Lương:16 Tr - 30 Tr VND</t>
        </is>
      </c>
      <c r="F7168" s="10" t="inlineStr">
        <is>
          <t>Hà Nội</t>
        </is>
      </c>
      <c r="G7168" s="10" t="inlineStr">
        <is>
          <t>15-04-2026</t>
        </is>
      </c>
      <c r="H7168" s="10" t="inlineStr">
        <is>
          <t>15/04/2026</t>
        </is>
      </c>
      <c r="I7168" s="10" t="inlineStr">
        <is>
          <t>17/03/2026</t>
        </is>
      </c>
      <c r="J7168" s="10" t="inlineStr">
        <is>
          <t>Kế toán / Kiểm toán, Tài chính / Đầu tư</t>
        </is>
      </c>
      <c r="K7168" s="10" t="inlineStr">
        <is>
          <t>3 - 5 Năm</t>
        </is>
      </c>
      <c r="L7168" s="11">
        <f>HYPERLINK("https://careerviet.vn/vi/tim-viec-lam/chuyen-vien-tai-chinh-fp-a.35C6CD61.html","Xem chi tiết")</f>
        <v/>
      </c>
      <c r="M7168" s="10" t="n"/>
    </row>
    <row r="7169">
      <c r="B7169" s="7" t="n">
        <v>7167</v>
      </c>
      <c r="C7169" t="inlineStr">
        <is>
          <t>Kỹ Thuật Điện Nước</t>
        </is>
      </c>
      <c r="D7169" t="inlineStr">
        <is>
          <t>Công ty TNHH Kiến trúc - Xây dựng - Đào tạo</t>
        </is>
      </c>
      <c r="E7169" t="inlineStr">
        <is>
          <t>Lương:Cạnh tranh</t>
        </is>
      </c>
      <c r="F7169" t="inlineStr">
        <is>
          <t>Hồ Chí Minh</t>
        </is>
      </c>
      <c r="G7169" t="inlineStr">
        <is>
          <t>3</t>
        </is>
      </c>
      <c r="H7169" t="inlineStr">
        <is>
          <t>20/03/2026</t>
        </is>
      </c>
      <c r="I7169" t="inlineStr">
        <is>
          <t>17/03/2026</t>
        </is>
      </c>
      <c r="J7169" t="inlineStr">
        <is>
          <t>Cơ khí / Ô tô / Tự động hóa, Điện / Điện tử / Điện lạnh / Điện công nghiệp, Bảo trì / Sửa chữa</t>
        </is>
      </c>
      <c r="K7169" t="inlineStr">
        <is>
          <t>Trên 1 Năm</t>
        </is>
      </c>
      <c r="L7169" s="8">
        <f>HYPERLINK("https://careerviet.vn/vi/tim-viec-lam/ky-thuat-dien-nuoc.35C635C9.html","Xem chi tiết")</f>
        <v/>
      </c>
    </row>
    <row r="7170">
      <c r="B7170" s="9" t="n">
        <v>7168</v>
      </c>
      <c r="C7170" s="10" t="inlineStr">
        <is>
          <t>Nhân viên Host Livestream</t>
        </is>
      </c>
      <c r="D7170" s="10" t="inlineStr">
        <is>
          <t>Công ty TNHH SXTM XNK Minh Hiền</t>
        </is>
      </c>
      <c r="E7170" s="10" t="inlineStr">
        <is>
          <t>Lương:13 Tr - 18 Tr VND</t>
        </is>
      </c>
      <c r="F7170" s="10" t="inlineStr">
        <is>
          <t>Hồ Chí Minh</t>
        </is>
      </c>
      <c r="G7170" s="10" t="inlineStr">
        <is>
          <t>Hôm nay</t>
        </is>
      </c>
      <c r="H7170" s="10" t="inlineStr">
        <is>
          <t>17/03/2026</t>
        </is>
      </c>
      <c r="I7170" s="10" t="inlineStr">
        <is>
          <t>17/03/2026</t>
        </is>
      </c>
      <c r="J7170" s="10" t="inlineStr">
        <is>
          <t>Tiếp thị / Marketing, Tiếp thị trực tuyến, Thương mại điện tử</t>
        </is>
      </c>
      <c r="K7170" s="10" t="inlineStr">
        <is>
          <t>1 - 3 Năm</t>
        </is>
      </c>
      <c r="L7170" s="11">
        <f>HYPERLINK("https://careerviet.vn/vi/tim-viec-lam/nhan-vien-host-livestream.35C63160.html","Xem chi tiết")</f>
        <v/>
      </c>
      <c r="M7170" s="10" t="n"/>
    </row>
    <row r="7171">
      <c r="B7171" s="7" t="n">
        <v>7169</v>
      </c>
      <c r="C7171" t="inlineStr">
        <is>
          <t>Nhân Viên Chăm Sóc Khách Hàng</t>
        </is>
      </c>
      <c r="D7171" t="inlineStr">
        <is>
          <t>FASTCARE - CÔNG TY CP TM DV NHT</t>
        </is>
      </c>
      <c r="E7171" t="inlineStr">
        <is>
          <t>Lương:Cạnh tranh</t>
        </is>
      </c>
      <c r="F7171" t="inlineStr">
        <is>
          <t>Hồ Chí Minh</t>
        </is>
      </c>
      <c r="G7171" t="inlineStr">
        <is>
          <t>26-03-2026</t>
        </is>
      </c>
      <c r="H7171" t="inlineStr">
        <is>
          <t>26/03/2026</t>
        </is>
      </c>
      <c r="I7171" t="inlineStr">
        <is>
          <t>17/03/2026</t>
        </is>
      </c>
      <c r="J7171" t="inlineStr">
        <is>
          <t>Bán hàng / Kinh doanh, Tư vấn, Dịch vụ khách hàng</t>
        </is>
      </c>
      <c r="K7171" t="inlineStr">
        <is>
          <t>N/A</t>
        </is>
      </c>
      <c r="L7171" s="8">
        <f>HYPERLINK("https://careerviet.vn/vi/tim-viec-lam/nhan-vien-cham-so-c-kha-ch-ha-ng.35C63F78.html","Xem chi tiết")</f>
        <v/>
      </c>
    </row>
    <row r="7172">
      <c r="B7172" s="9" t="n">
        <v>7170</v>
      </c>
      <c r="C7172" s="10" t="inlineStr">
        <is>
          <t>Chuyên viên cao cấp Quản trị rủi ro</t>
        </is>
      </c>
      <c r="D7172" s="10" t="inlineStr">
        <is>
          <t>Công Ty Quản Lý Nợ Và Khai Thác Tài Sản - Ngân Hàng TMCP Quân Đội</t>
        </is>
      </c>
      <c r="E7172" s="10" t="inlineStr">
        <is>
          <t>Lương:25 Tr - 40 Tr VND</t>
        </is>
      </c>
      <c r="F7172" s="10" t="inlineStr">
        <is>
          <t>Hà Nội</t>
        </is>
      </c>
      <c r="G7172" s="10" t="inlineStr">
        <is>
          <t>5</t>
        </is>
      </c>
      <c r="H7172" s="10" t="inlineStr">
        <is>
          <t>22/03/2026</t>
        </is>
      </c>
      <c r="I7172" s="10" t="inlineStr">
        <is>
          <t>17/03/2026</t>
        </is>
      </c>
      <c r="J7172" s="10" t="inlineStr">
        <is>
          <t>Luật / Pháp lý, Kế toán / Kiểm toán, Ngân hàng</t>
        </is>
      </c>
      <c r="K7172" s="10" t="inlineStr">
        <is>
          <t>3 - 5 Năm</t>
        </is>
      </c>
      <c r="L7172" s="11">
        <f>HYPERLINK("https://careerviet.vn/vi/tim-viec-lam/chuyen-vien-cao-cap-quan-tri-rui-ro.35C68E64.html","Xem chi tiết")</f>
        <v/>
      </c>
      <c r="M7172" s="10" t="n"/>
    </row>
    <row r="7173">
      <c r="B7173" s="7" t="n">
        <v>7171</v>
      </c>
      <c r="C7173" t="inlineStr">
        <is>
          <t>Thực tập sinh Sales Marketing(Mới)</t>
        </is>
      </c>
      <c r="D7173" t="inlineStr">
        <is>
          <t>CÔNG TY CỔ PHẦN ĐẦU TƯ BẤT ĐỘNG SẢN LÊ VIN LAND</t>
        </is>
      </c>
      <c r="E7173" t="inlineStr">
        <is>
          <t>Lương:Cạnh tranh</t>
        </is>
      </c>
      <c r="F7173" t="inlineStr">
        <is>
          <t>Hồ Chí Minh</t>
        </is>
      </c>
      <c r="G7173" t="inlineStr">
        <is>
          <t>01-04-2026</t>
        </is>
      </c>
      <c r="H7173" t="inlineStr">
        <is>
          <t>01/04/2026</t>
        </is>
      </c>
      <c r="I7173" t="inlineStr">
        <is>
          <t>17/03/2026</t>
        </is>
      </c>
      <c r="J7173" t="inlineStr">
        <is>
          <t>Tiếp thị / Marketing, Bán hàng / Kinh doanh, Tiếp thị trực tuyến</t>
        </is>
      </c>
      <c r="K7173" t="inlineStr">
        <is>
          <t>N/A</t>
        </is>
      </c>
      <c r="L7173" s="8">
        <f>HYPERLINK("https://careerviet.vn/vi/tim-viec-lam/thuc-tap-sinh-sales-marketing.35C6CD5B.html","Xem chi tiết")</f>
        <v/>
      </c>
    </row>
    <row r="7174">
      <c r="B7174" s="9" t="n">
        <v>7172</v>
      </c>
      <c r="C7174" s="10" t="inlineStr">
        <is>
          <t>NHÂN VIÊN TUYỂN SINH (BÀ RỊA VŨNG TÀU, HỒ CHÍ MINH, LONG AN, ĐỒNG NAI)</t>
        </is>
      </c>
      <c r="D7174" s="10" t="inlineStr">
        <is>
          <t>Công Ty CP Liên Kết Quốc Tế INTERLINK (Trường Liên Kết Quốc Tế INschool &amp; Ngoại Ngữ Quốc Tế INS ENGLISH &amp; CHINESE)</t>
        </is>
      </c>
      <c r="E7174" s="10" t="inlineStr">
        <is>
          <t>Lương:7 Tr - 10 Tr VND</t>
        </is>
      </c>
      <c r="F7174" s="10" t="inlineStr">
        <is>
          <t>Đồng NaiLong AnBà Rịa - Vũng Tàu</t>
        </is>
      </c>
      <c r="G7174" s="10" t="inlineStr">
        <is>
          <t>05-04-2026</t>
        </is>
      </c>
      <c r="H7174" s="10" t="inlineStr">
        <is>
          <t>05/04/2026</t>
        </is>
      </c>
      <c r="I7174" s="10" t="inlineStr">
        <is>
          <t>17/03/2026</t>
        </is>
      </c>
      <c r="J7174" s="10" t="inlineStr">
        <is>
          <t>Bán hàng / Kinh doanh, Giáo dục / Đào tạo</t>
        </is>
      </c>
      <c r="K7174" s="10" t="inlineStr">
        <is>
          <t>Chưa có kinh nghiệm</t>
        </is>
      </c>
      <c r="L7174" s="11">
        <f>HYPERLINK("https://careerviet.vn/vi/tim-viec-lam/nhan-vien-tuyen-sinh-ba-ria-vung-tau-ho-chi-minh-long-an-dong-nai.35C676C1.html","Xem chi tiết")</f>
        <v/>
      </c>
      <c r="M7174" s="10" t="n"/>
    </row>
    <row r="7175">
      <c r="B7175" s="7" t="n">
        <v>7173</v>
      </c>
      <c r="C7175" t="inlineStr">
        <is>
          <t>Chuyên Viên Pháp Lý(Mới)</t>
        </is>
      </c>
      <c r="D7175" t="inlineStr">
        <is>
          <t>Công Ty TNHH Tập Đoàn Rita Võ</t>
        </is>
      </c>
      <c r="E7175" t="inlineStr">
        <is>
          <t>Lương:Cạnh tranh</t>
        </is>
      </c>
      <c r="F7175" t="inlineStr">
        <is>
          <t>Hồ Chí Minh</t>
        </is>
      </c>
      <c r="G7175" t="inlineStr">
        <is>
          <t>05-04-2026</t>
        </is>
      </c>
      <c r="H7175" t="inlineStr">
        <is>
          <t>05/04/2026</t>
        </is>
      </c>
      <c r="I7175" t="inlineStr">
        <is>
          <t>17/03/2026</t>
        </is>
      </c>
      <c r="J7175" t="inlineStr">
        <is>
          <t>Luật / Pháp lý</t>
        </is>
      </c>
      <c r="K7175" t="inlineStr">
        <is>
          <t>3 - 4 Năm</t>
        </is>
      </c>
      <c r="L7175" s="8">
        <f>HYPERLINK("https://careerviet.vn/vi/tim-viec-lam/chuyen-vien-phap-ly.35C6CD60.html","Xem chi tiết")</f>
        <v/>
      </c>
    </row>
    <row r="7176">
      <c r="B7176" s="9" t="n">
        <v>7174</v>
      </c>
      <c r="C7176" s="10" t="inlineStr">
        <is>
          <t>Nhân viên Thiết kế sản xuất(Mới)</t>
        </is>
      </c>
      <c r="D7176" s="10" t="inlineStr">
        <is>
          <t>Công Ty Cổ Phần Eurowindow</t>
        </is>
      </c>
      <c r="E7176" s="10" t="inlineStr">
        <is>
          <t>Lương:Cạnh tranh</t>
        </is>
      </c>
      <c r="F7176" s="10" t="inlineStr">
        <is>
          <t>Hồ Chí Minh</t>
        </is>
      </c>
      <c r="G7176" s="10" t="inlineStr">
        <is>
          <t>29-04-2026</t>
        </is>
      </c>
      <c r="H7176" s="10" t="inlineStr">
        <is>
          <t>29/04/2026</t>
        </is>
      </c>
      <c r="I7176" s="10" t="inlineStr">
        <is>
          <t>17/03/2026</t>
        </is>
      </c>
      <c r="J7176" s="10" t="inlineStr">
        <is>
          <t>Kiến trúc, Xây dựng, Mỹ thuật / Nghệ thuật / Thiết kế</t>
        </is>
      </c>
      <c r="K7176" s="10" t="inlineStr">
        <is>
          <t>Lên đến 1 Năm</t>
        </is>
      </c>
      <c r="L7176" s="11">
        <f>HYPERLINK("https://careerviet.vn/vi/tim-viec-lam/nhan-vien-thiet-ke-san-xuat.35C6CD5A.html","Xem chi tiết")</f>
        <v/>
      </c>
      <c r="M7176" s="10" t="n"/>
    </row>
    <row r="7177">
      <c r="B7177" s="7" t="n">
        <v>7175</v>
      </c>
      <c r="C7177" t="inlineStr">
        <is>
          <t>Chuyên viên Truyền thông và Marketing(Mới)</t>
        </is>
      </c>
      <c r="D7177" t="inlineStr">
        <is>
          <t>Công ty TNHH Chứng khoán Ngân hàng TMCP Ngoại thương Việt Nam (VCBS - Vietcombank Securities)</t>
        </is>
      </c>
      <c r="E7177" t="inlineStr">
        <is>
          <t>Lương:Cạnh tranh</t>
        </is>
      </c>
      <c r="F7177" t="inlineStr">
        <is>
          <t>Hà Nội</t>
        </is>
      </c>
      <c r="G7177" t="inlineStr">
        <is>
          <t>29-04-2026</t>
        </is>
      </c>
      <c r="H7177" t="inlineStr">
        <is>
          <t>29/04/2026</t>
        </is>
      </c>
      <c r="I7177" t="inlineStr">
        <is>
          <t>17/03/2026</t>
        </is>
      </c>
      <c r="J7177" t="inlineStr">
        <is>
          <t>Quản lý điều hành, Quảng cáo / Đối ngoại / Truyền Thông</t>
        </is>
      </c>
      <c r="K7177" t="inlineStr">
        <is>
          <t>Trên 2 Năm</t>
        </is>
      </c>
      <c r="L7177" s="8">
        <f>HYPERLINK("https://careerviet.vn/vi/tim-viec-lam/chuyen-vien-truyen-thong-va-marketing.35C6CD58.html","Xem chi tiết")</f>
        <v/>
      </c>
    </row>
    <row r="7178">
      <c r="B7178" s="9" t="n">
        <v>7176</v>
      </c>
      <c r="C7178" s="10" t="inlineStr">
        <is>
          <t>Kỹ sư, Xây dựng (kinh nghiệm Shop Drawing)(Mới)</t>
        </is>
      </c>
      <c r="D7178" s="10" t="inlineStr">
        <is>
          <t>Công ty TNHH MTV Đầu tư Xây dựng Phát triển Nam Khang</t>
        </is>
      </c>
      <c r="E7178" s="10" t="inlineStr">
        <is>
          <t>Lương:Cạnh tranh</t>
        </is>
      </c>
      <c r="F7178" s="10" t="inlineStr">
        <is>
          <t>Đồng NaiCần Thơ</t>
        </is>
      </c>
      <c r="G7178" s="10" t="inlineStr">
        <is>
          <t>01-04-2026</t>
        </is>
      </c>
      <c r="H7178" s="10" t="inlineStr">
        <is>
          <t>01/04/2026</t>
        </is>
      </c>
      <c r="I7178" s="10" t="inlineStr">
        <is>
          <t>17/03/2026</t>
        </is>
      </c>
      <c r="J7178" s="10" t="inlineStr">
        <is>
          <t>Kiến trúc, Xây dựng</t>
        </is>
      </c>
      <c r="K7178" s="10" t="inlineStr">
        <is>
          <t>N/A</t>
        </is>
      </c>
      <c r="L7178" s="11">
        <f>HYPERLINK("https://careerviet.vn/vi/tim-viec-lam/ky-su-xay-dung-kinh-nghiem-shop-drawing.35C6CD51.html","Xem chi tiết")</f>
        <v/>
      </c>
      <c r="M7178" s="10" t="n"/>
    </row>
    <row r="7179">
      <c r="B7179" s="7" t="n">
        <v>7177</v>
      </c>
      <c r="C7179" t="inlineStr">
        <is>
          <t>Chăm sóc khách hàng(Mới)</t>
        </is>
      </c>
      <c r="D7179" t="inlineStr">
        <is>
          <t>CÔNG TY TNHH THƯƠNG MẠI XUẤT NHẬP KHẨU ISU</t>
        </is>
      </c>
      <c r="E7179" t="inlineStr">
        <is>
          <t>Lương:10 Tr - 12 Tr VND</t>
        </is>
      </c>
      <c r="F7179" t="inlineStr">
        <is>
          <t>Hà Nội</t>
        </is>
      </c>
      <c r="G7179" t="inlineStr">
        <is>
          <t>30-04-2026</t>
        </is>
      </c>
      <c r="H7179" t="inlineStr">
        <is>
          <t>30/04/2026</t>
        </is>
      </c>
      <c r="I7179" t="inlineStr">
        <is>
          <t>17/03/2026</t>
        </is>
      </c>
      <c r="J7179" t="inlineStr">
        <is>
          <t>Y tế / Chăm sóc sức khỏe / Thẩm mỹ / Làm đẹp, Bán hàng / Kinh doanh</t>
        </is>
      </c>
      <c r="K7179" t="inlineStr">
        <is>
          <t>1 - 2 Năm</t>
        </is>
      </c>
      <c r="L7179" s="8">
        <f>HYPERLINK("https://careerviet.vn/vi/tim-viec-lam/cham-soc-khach-hang.35C6CD54.html","Xem chi tiết")</f>
        <v/>
      </c>
    </row>
    <row r="7180">
      <c r="B7180" s="9" t="n">
        <v>7178</v>
      </c>
      <c r="C7180" s="10" t="inlineStr">
        <is>
          <t>Nhân viên Điều độ sản xuất(Mới)</t>
        </is>
      </c>
      <c r="D7180" s="10" t="inlineStr">
        <is>
          <t>Công Ty Cổ Phần Eurowindow</t>
        </is>
      </c>
      <c r="E7180" s="10" t="inlineStr">
        <is>
          <t>Lương:Cạnh tranh</t>
        </is>
      </c>
      <c r="F7180" s="10" t="inlineStr">
        <is>
          <t>Bình Dương</t>
        </is>
      </c>
      <c r="G7180" s="10" t="inlineStr">
        <is>
          <t>29-04-2026</t>
        </is>
      </c>
      <c r="H7180" s="10" t="inlineStr">
        <is>
          <t>29/04/2026</t>
        </is>
      </c>
      <c r="I7180" s="10" t="inlineStr">
        <is>
          <t>17/03/2026</t>
        </is>
      </c>
      <c r="J7180" s="10" t="inlineStr">
        <is>
          <t>Quản lý điều hành, Sản xuất / Vận hành sản xuất</t>
        </is>
      </c>
      <c r="K7180" s="10" t="inlineStr">
        <is>
          <t>1 - 2 Năm</t>
        </is>
      </c>
      <c r="L7180" s="11">
        <f>HYPERLINK("https://careerviet.vn/vi/tim-viec-lam/nhan-vien-dieu-do-san-xuat.35C6CD56.html","Xem chi tiết")</f>
        <v/>
      </c>
      <c r="M7180" s="10" t="n"/>
    </row>
    <row r="7181">
      <c r="B7181" s="7" t="n">
        <v>7179</v>
      </c>
      <c r="C7181" t="inlineStr">
        <is>
          <t>Trưởng Bộ phận Giám sát hoàn thiện  - Alphanam Group(Mới)</t>
        </is>
      </c>
      <c r="D7181" t="inlineStr">
        <is>
          <t>Alphanam Group</t>
        </is>
      </c>
      <c r="E7181" t="inlineStr">
        <is>
          <t>Lương:35 Tr - 50 Tr VND</t>
        </is>
      </c>
      <c r="F7181" t="inlineStr">
        <is>
          <t>Lào Cai</t>
        </is>
      </c>
      <c r="G7181" t="inlineStr">
        <is>
          <t>Hôm nay</t>
        </is>
      </c>
      <c r="H7181" t="inlineStr">
        <is>
          <t>16/03/2026</t>
        </is>
      </c>
      <c r="I7181" t="inlineStr">
        <is>
          <t>17/03/2026</t>
        </is>
      </c>
      <c r="J7181" t="inlineStr">
        <is>
          <t>Xây dựng</t>
        </is>
      </c>
      <c r="K7181" t="inlineStr">
        <is>
          <t>5 - 7 Năm</t>
        </is>
      </c>
      <c r="L7181" s="8">
        <f>HYPERLINK("https://careerviet.vn/vi/tim-viec-lam/truong-bo-phan-giam-sat-hoan-thien-alphanam-group.35C6CD5F.html","Xem chi tiết")</f>
        <v/>
      </c>
    </row>
    <row r="7182">
      <c r="B7182" s="9" t="n">
        <v>7180</v>
      </c>
      <c r="C7182" s="10" t="inlineStr">
        <is>
          <t>Nhân viên Chứng từ Xuất Nhập Khẩu(Mới)</t>
        </is>
      </c>
      <c r="D7182" s="10" t="inlineStr">
        <is>
          <t>Voltrans Logistics Co., Ltd</t>
        </is>
      </c>
      <c r="E7182" s="10" t="inlineStr">
        <is>
          <t>Lương:10 Tr - 18 Tr VND</t>
        </is>
      </c>
      <c r="F7182" s="10" t="inlineStr">
        <is>
          <t>Hồ Chí Minh</t>
        </is>
      </c>
      <c r="G7182" s="10" t="inlineStr">
        <is>
          <t>30-04-2026</t>
        </is>
      </c>
      <c r="H7182" s="10" t="inlineStr">
        <is>
          <t>30/04/2026</t>
        </is>
      </c>
      <c r="I7182" s="10" t="inlineStr">
        <is>
          <t>17/03/2026</t>
        </is>
      </c>
      <c r="J7182" s="10" t="inlineStr">
        <is>
          <t>Xuất nhập khẩu</t>
        </is>
      </c>
      <c r="K7182" s="10" t="inlineStr">
        <is>
          <t>1 - 10 Năm</t>
        </is>
      </c>
      <c r="L7182" s="11">
        <f>HYPERLINK("https://careerviet.vn/vi/tim-viec-lam/nhan-vien-chung-tu-xuat-nhap-khau.35C6CD4C.html","Xem chi tiết")</f>
        <v/>
      </c>
      <c r="M7182" s="10" t="n"/>
    </row>
    <row r="7183">
      <c r="B7183" s="7" t="n">
        <v>7181</v>
      </c>
      <c r="C7183" t="inlineStr">
        <is>
          <t>Trưởng phòng cung ứng(Mới)</t>
        </is>
      </c>
      <c r="D7183" t="inlineStr">
        <is>
          <t>Viet Han Concrete JSC.,</t>
        </is>
      </c>
      <c r="E7183" t="inlineStr">
        <is>
          <t>Lương:35 Tr - 40 Tr VND</t>
        </is>
      </c>
      <c r="F7183" t="inlineStr">
        <is>
          <t>Hồ Chí Minh</t>
        </is>
      </c>
      <c r="G7183" t="inlineStr">
        <is>
          <t>31-03-2026</t>
        </is>
      </c>
      <c r="H7183" t="inlineStr">
        <is>
          <t>31/03/2026</t>
        </is>
      </c>
      <c r="I7183" t="inlineStr">
        <is>
          <t>17/03/2026</t>
        </is>
      </c>
      <c r="J7183" t="inlineStr">
        <is>
          <t>Sản xuất / Vận hành sản xuất, Xây dựng</t>
        </is>
      </c>
      <c r="K7183" t="inlineStr">
        <is>
          <t>3 - 5 Năm</t>
        </is>
      </c>
      <c r="L7183" s="8">
        <f>HYPERLINK("https://careerviet.vn/vi/tim-viec-lam/truong-phong-cung-ung.35C6CD52.html","Xem chi tiết")</f>
        <v/>
      </c>
    </row>
    <row r="7184">
      <c r="B7184" s="9" t="n">
        <v>7182</v>
      </c>
      <c r="C7184" s="10" t="inlineStr">
        <is>
          <t>GIÁM ĐỐC KỸ THUẬT (BÊ TÔNG THƯƠNG PHẨM &amp; CẤU KIỆN BÊ TÔNG)(Mới)</t>
        </is>
      </c>
      <c r="D7184" s="10" t="inlineStr">
        <is>
          <t>CÔNG TY CỔ PHẦN XÂY DỰNG TC BÌNH ĐỊNH</t>
        </is>
      </c>
      <c r="E7184" s="10" t="inlineStr">
        <is>
          <t>Lương:Cạnh tranh</t>
        </is>
      </c>
      <c r="F7184" s="10" t="inlineStr">
        <is>
          <t>Bình Định</t>
        </is>
      </c>
      <c r="G7184" s="10" t="inlineStr">
        <is>
          <t>31-05-2026</t>
        </is>
      </c>
      <c r="H7184" s="10" t="inlineStr">
        <is>
          <t>31/05/2026</t>
        </is>
      </c>
      <c r="I7184" s="10" t="inlineStr">
        <is>
          <t>17/03/2026</t>
        </is>
      </c>
      <c r="J7184" s="10" t="inlineStr">
        <is>
          <t>Sản xuất / Vận hành sản xuất, Xây dựng, Môi trường</t>
        </is>
      </c>
      <c r="K7184" s="10" t="inlineStr">
        <is>
          <t>Trên 5 Năm</t>
        </is>
      </c>
      <c r="L7184" s="11">
        <f>HYPERLINK("https://careerviet.vn/vi/tim-viec-lam/giam-doc-ky-thuat-be-tong-thuong-pham-cau-kien-be-tong.35C6CD4F.html","Xem chi tiết")</f>
        <v/>
      </c>
      <c r="M7184" s="10" t="n"/>
    </row>
    <row r="7185">
      <c r="B7185" s="7" t="n">
        <v>7183</v>
      </c>
      <c r="C7185" t="inlineStr">
        <is>
          <t>Nhân viên Đào tạo và quản lý hồ sơ nhân sự(Mới)</t>
        </is>
      </c>
      <c r="D7185" t="inlineStr">
        <is>
          <t>BỆNH VIỆN ĐA KHOA PHƯƠNG NAM</t>
        </is>
      </c>
      <c r="E7185" t="inlineStr">
        <is>
          <t>Lương:10 Tr - 18 Tr VND</t>
        </is>
      </c>
      <c r="F7185" t="inlineStr">
        <is>
          <t>Hồ Chí Minh</t>
        </is>
      </c>
      <c r="G7185" t="inlineStr">
        <is>
          <t>30-05-2026</t>
        </is>
      </c>
      <c r="H7185" t="inlineStr">
        <is>
          <t>30/05/2026</t>
        </is>
      </c>
      <c r="I7185" t="inlineStr">
        <is>
          <t>17/03/2026</t>
        </is>
      </c>
      <c r="J7185" t="inlineStr">
        <is>
          <t>Y tế / Chăm sóc sức khỏe / Thẩm mỹ / Làm đẹp, Hành chính / Thư ký, Nhân sự</t>
        </is>
      </c>
      <c r="K7185" t="inlineStr">
        <is>
          <t>1 - 4 Năm</t>
        </is>
      </c>
      <c r="L7185" s="8">
        <f>HYPERLINK("https://careerviet.vn/vi/tim-viec-lam/nhan-vien-dao-tao-va-quan-ly-ho-so-nhan-su.35C6CD49.html","Xem chi tiết")</f>
        <v/>
      </c>
    </row>
    <row r="7186">
      <c r="B7186" s="9" t="n">
        <v>7184</v>
      </c>
      <c r="C7186" s="10" t="inlineStr">
        <is>
          <t>Nhân viên thiết kế nội thất(Mới)</t>
        </is>
      </c>
      <c r="D7186" s="10" t="inlineStr">
        <is>
          <t>Hoàng Cương Group - Hệ Thống Bếp Hoàng Cương</t>
        </is>
      </c>
      <c r="E7186" s="10" t="inlineStr">
        <is>
          <t>Lương:10 Tr - 20 Tr VND</t>
        </is>
      </c>
      <c r="F7186" s="10" t="inlineStr">
        <is>
          <t>Hà Nội</t>
        </is>
      </c>
      <c r="G7186" s="10" t="inlineStr">
        <is>
          <t>16-04-2026</t>
        </is>
      </c>
      <c r="H7186" s="10" t="inlineStr">
        <is>
          <t>16/04/2026</t>
        </is>
      </c>
      <c r="I7186" s="10" t="inlineStr">
        <is>
          <t>17/03/2026</t>
        </is>
      </c>
      <c r="J7186" s="10" t="inlineStr">
        <is>
          <t>Bán Hàng Kỹ Thuật, Mỹ thuật / Nghệ thuật / Thiết kế, Kiến trúc</t>
        </is>
      </c>
      <c r="K7186" s="10" t="inlineStr">
        <is>
          <t>Chưa có kinh nghiệm</t>
        </is>
      </c>
      <c r="L7186" s="11">
        <f>HYPERLINK("https://careerviet.vn/vi/tim-viec-lam/nhan-vien-thiet-ke-noi-that.35C6CD4E.html","Xem chi tiết")</f>
        <v/>
      </c>
      <c r="M7186" s="10" t="n"/>
    </row>
    <row r="7187">
      <c r="B7187" s="7" t="n">
        <v>7185</v>
      </c>
      <c r="C7187" t="inlineStr">
        <is>
          <t>Content Creater(Mới)</t>
        </is>
      </c>
      <c r="D7187" t="inlineStr">
        <is>
          <t>CÔNG TY TNHH THƯƠNG MẠI XUẤT NHẬP KHẨU ISU</t>
        </is>
      </c>
      <c r="E7187" t="inlineStr">
        <is>
          <t>Lương:11 Tr - 15 Tr VND</t>
        </is>
      </c>
      <c r="F7187" t="inlineStr">
        <is>
          <t>Hà Nội</t>
        </is>
      </c>
      <c r="G7187" t="inlineStr">
        <is>
          <t>30-04-2026</t>
        </is>
      </c>
      <c r="H7187" t="inlineStr">
        <is>
          <t>30/04/2026</t>
        </is>
      </c>
      <c r="I7187" t="inlineStr">
        <is>
          <t>17/03/2026</t>
        </is>
      </c>
      <c r="J7187" t="inlineStr">
        <is>
          <t>Tiếp thị / Marketing, Y tế / Chăm sóc sức khỏe / Thẩm mỹ / Làm đẹp, Bán hàng / Kinh doanh</t>
        </is>
      </c>
      <c r="K7187" t="inlineStr">
        <is>
          <t>1 - 2 Năm</t>
        </is>
      </c>
      <c r="L7187" s="8">
        <f>HYPERLINK("https://careerviet.vn/vi/tim-viec-lam/content-creater.35C6CD50.html","Xem chi tiết")</f>
        <v/>
      </c>
    </row>
    <row r="7188">
      <c r="B7188" s="9" t="n">
        <v>7186</v>
      </c>
      <c r="C7188" s="10" t="inlineStr">
        <is>
          <t>nhân viên kinh doanh (thiết bị và vật tư y tế)(Mới)</t>
        </is>
      </c>
      <c r="D7188" s="10" t="inlineStr">
        <is>
          <t>Công Ty TNHH Thương Mại Và Dịch Vụ Việt Thắng</t>
        </is>
      </c>
      <c r="E7188" s="10" t="inlineStr">
        <is>
          <t>Lương:15 Tr - 20 Tr VND</t>
        </is>
      </c>
      <c r="F7188" s="10" t="inlineStr">
        <is>
          <t>Hồ Chí Minh</t>
        </is>
      </c>
      <c r="G7188" s="10" t="inlineStr">
        <is>
          <t>30-04-2026</t>
        </is>
      </c>
      <c r="H7188" s="10" t="inlineStr">
        <is>
          <t>30/04/2026</t>
        </is>
      </c>
      <c r="I7188" s="10" t="inlineStr">
        <is>
          <t>17/03/2026</t>
        </is>
      </c>
      <c r="J7188" s="10" t="inlineStr">
        <is>
          <t>Bán hàng / Kinh doanh, Y tế / Chăm sóc sức khỏe / Thẩm mỹ / Làm đẹp</t>
        </is>
      </c>
      <c r="K7188" s="10" t="inlineStr">
        <is>
          <t>2 - 3 Năm</t>
        </is>
      </c>
      <c r="L7188" s="11">
        <f>HYPERLINK("https://careerviet.vn/vi/tim-viec-lam/nhan-vien-kinh-doanh-thiet-bi-va-vat-tu-y-te.35C6CD43.html","Xem chi tiết")</f>
        <v/>
      </c>
      <c r="M7188" s="10" t="n"/>
    </row>
    <row r="7189">
      <c r="B7189" s="7" t="n">
        <v>7187</v>
      </c>
      <c r="C7189" t="inlineStr">
        <is>
          <t>Technical Sale Support (Shuttle Bus from TPHCM to Bien Hoa)</t>
        </is>
      </c>
      <c r="D7189" t="inlineStr">
        <is>
          <t>TAVN</t>
        </is>
      </c>
      <c r="E7189" t="inlineStr">
        <is>
          <t>Lương:Cạnh tranh</t>
        </is>
      </c>
      <c r="F7189" t="inlineStr">
        <is>
          <t>Hồ Chí MinhBình DươngĐồng Nai</t>
        </is>
      </c>
      <c r="G7189" t="inlineStr">
        <is>
          <t>03-04-2026</t>
        </is>
      </c>
      <c r="H7189" t="inlineStr">
        <is>
          <t>03/04/2026</t>
        </is>
      </c>
      <c r="I7189" t="inlineStr">
        <is>
          <t>17/03/2026</t>
        </is>
      </c>
      <c r="J7189" t="inlineStr">
        <is>
          <t>Cơ khí / Ô tô / Tự động hóa, Điện / Điện tử / Điện lạnh / Điện công nghiệp, Hành chính / Thư ký</t>
        </is>
      </c>
      <c r="K7189" t="inlineStr">
        <is>
          <t>Trên 1 Năm</t>
        </is>
      </c>
      <c r="L7189" s="8">
        <f>HYPERLINK("https://careerviet.vn/vi/tim-viec-lam/technical-sale-support-shuttle-bus-from-tphcm-to-bien-hoa.35C67223.html","Xem chi tiết")</f>
        <v/>
      </c>
    </row>
    <row r="7190">
      <c r="B7190" s="9" t="n">
        <v>7188</v>
      </c>
      <c r="C7190" s="10" t="inlineStr">
        <is>
          <t>CHUYÊN VIÊN BỒI THƯỜNG BẢO HIỂM XE CƠ GIỚI(Mới)</t>
        </is>
      </c>
      <c r="D7190" s="10" t="inlineStr">
        <is>
          <t>Tổng Công Ty Cổ Phần Bảo Hiểm Ngân Hàng TMCP Công Thương Việt Nam</t>
        </is>
      </c>
      <c r="E7190" s="10" t="inlineStr">
        <is>
          <t>Lương:13 Tr - 20 Tr VND</t>
        </is>
      </c>
      <c r="F7190" s="10" t="inlineStr">
        <is>
          <t>Hà Nội</t>
        </is>
      </c>
      <c r="G7190" s="10" t="inlineStr">
        <is>
          <t>29-04-2026</t>
        </is>
      </c>
      <c r="H7190" s="10" t="inlineStr">
        <is>
          <t>29/04/2026</t>
        </is>
      </c>
      <c r="I7190" s="10" t="inlineStr">
        <is>
          <t>17/03/2026</t>
        </is>
      </c>
      <c r="J7190" s="10" t="inlineStr">
        <is>
          <t>Bảo hiểm</t>
        </is>
      </c>
      <c r="K7190" s="10" t="inlineStr">
        <is>
          <t>3 - 5 Năm</t>
        </is>
      </c>
      <c r="L7190" s="11">
        <f>HYPERLINK("https://careerviet.vn/vi/tim-viec-lam/chuyen-vien-boi-thuong-bao-hiem-xe-co-gioi.35C6CD40.html","Xem chi tiết")</f>
        <v/>
      </c>
      <c r="M7190" s="10" t="n"/>
    </row>
    <row r="7191">
      <c r="B7191" s="7" t="n">
        <v>7189</v>
      </c>
      <c r="C7191" t="inlineStr">
        <is>
          <t>Safety &amp; Security Coordinator(Mới)</t>
        </is>
      </c>
      <c r="D7191" t="inlineStr">
        <is>
          <t>Công Ty TNHH Interflour Việt Nam</t>
        </is>
      </c>
      <c r="E7191" t="inlineStr">
        <is>
          <t>Lương:Cạnh tranh</t>
        </is>
      </c>
      <c r="F7191" t="inlineStr">
        <is>
          <t>Bà Rịa - Vũng Tàu</t>
        </is>
      </c>
      <c r="G7191" t="inlineStr">
        <is>
          <t>16-04-2026</t>
        </is>
      </c>
      <c r="H7191" t="inlineStr">
        <is>
          <t>16/04/2026</t>
        </is>
      </c>
      <c r="I7191" t="inlineStr">
        <is>
          <t>17/03/2026</t>
        </is>
      </c>
      <c r="J7191" t="inlineStr">
        <is>
          <t>An toàn lao động, Môi trường, An Ninh / Bảo Vệ</t>
        </is>
      </c>
      <c r="K7191" t="inlineStr">
        <is>
          <t>2 - 3 Năm</t>
        </is>
      </c>
      <c r="L7191" s="8">
        <f>HYPERLINK("https://careerviet.vn/vi/tim-viec-lam/safety-security-coordinator.35C6CD44.html","Xem chi tiết")</f>
        <v/>
      </c>
    </row>
    <row r="7192">
      <c r="B7192" s="9" t="n">
        <v>7190</v>
      </c>
      <c r="C7192" s="10" t="inlineStr">
        <is>
          <t>Nhân viên kinh doanh(Mới)</t>
        </is>
      </c>
      <c r="D7192" s="10" t="inlineStr">
        <is>
          <t>KHU ĐÔ THỊ &amp; NGHỈ DƯỠNG THE LOTUS CAM RANH - CÔNG TY TNHH KN CAM RANH</t>
        </is>
      </c>
      <c r="E7192" s="10" t="inlineStr">
        <is>
          <t>Lương:Cạnh tranh</t>
        </is>
      </c>
      <c r="F7192" s="10" t="inlineStr">
        <is>
          <t>Bà Rịa - Vũng Tàu</t>
        </is>
      </c>
      <c r="G7192" s="10" t="inlineStr">
        <is>
          <t>17-04-2026</t>
        </is>
      </c>
      <c r="H7192" s="10" t="inlineStr">
        <is>
          <t>17/04/2026</t>
        </is>
      </c>
      <c r="I7192" s="10" t="inlineStr">
        <is>
          <t>17/03/2026</t>
        </is>
      </c>
      <c r="J7192" s="10" t="inlineStr">
        <is>
          <t>Bán hàng / Kinh doanh</t>
        </is>
      </c>
      <c r="K7192" s="10" t="inlineStr">
        <is>
          <t>1 - 2 Năm</t>
        </is>
      </c>
      <c r="L7192" s="11">
        <f>HYPERLINK("https://careerviet.vn/vi/tim-viec-lam/nhan-vien-kinh-doanh.35C6CD3D.html","Xem chi tiết")</f>
        <v/>
      </c>
      <c r="M7192" s="10" t="n"/>
    </row>
    <row r="7193">
      <c r="B7193" s="7" t="n">
        <v>7191</v>
      </c>
      <c r="C7193" t="inlineStr">
        <is>
          <t>CHUYÊN VIÊN MUA HÀNG QUỐC TẾ(Mới)</t>
        </is>
      </c>
      <c r="D7193" t="inlineStr">
        <is>
          <t>Công Ty CP XNK Hóa Chất &amp; Thiết Bị Kim Ngưu</t>
        </is>
      </c>
      <c r="E7193" t="inlineStr">
        <is>
          <t>Lương:12 Tr - 18 Tr VND</t>
        </is>
      </c>
      <c r="F7193" t="inlineStr">
        <is>
          <t>Hà Nội</t>
        </is>
      </c>
      <c r="G7193" t="inlineStr">
        <is>
          <t>29-04-2026</t>
        </is>
      </c>
      <c r="H7193" t="inlineStr">
        <is>
          <t>29/04/2026</t>
        </is>
      </c>
      <c r="I7193" t="inlineStr">
        <is>
          <t>17/03/2026</t>
        </is>
      </c>
      <c r="J7193" t="inlineStr">
        <is>
          <t>Hành chính / Thư ký, Xuất nhập khẩu, Thu mua / Vật tư</t>
        </is>
      </c>
      <c r="K7193" t="inlineStr">
        <is>
          <t>3 - 5 Năm</t>
        </is>
      </c>
      <c r="L7193" s="8">
        <f>HYPERLINK("https://careerviet.vn/vi/tim-viec-lam/chuyen-vien-mua-hang-quoc-te.35C6CD38.html","Xem chi tiết")</f>
        <v/>
      </c>
    </row>
    <row r="7194">
      <c r="B7194" s="9" t="n">
        <v>7192</v>
      </c>
      <c r="C7194" s="10" t="inlineStr">
        <is>
          <t>Kế toán trưởng(Mới)</t>
        </is>
      </c>
      <c r="D7194" s="10" t="inlineStr">
        <is>
          <t>Viet Han Concrete JSC.,</t>
        </is>
      </c>
      <c r="E7194" s="10" t="inlineStr">
        <is>
          <t>Lương:Cạnh tranh</t>
        </is>
      </c>
      <c r="F7194" s="10" t="inlineStr">
        <is>
          <t>Hồ Chí Minh</t>
        </is>
      </c>
      <c r="G7194" s="10" t="inlineStr">
        <is>
          <t>31-03-2026</t>
        </is>
      </c>
      <c r="H7194" s="10" t="inlineStr">
        <is>
          <t>31/03/2026</t>
        </is>
      </c>
      <c r="I7194" s="10" t="inlineStr">
        <is>
          <t>17/03/2026</t>
        </is>
      </c>
      <c r="J7194" s="10" t="inlineStr">
        <is>
          <t>Kế toán / Kiểm toán</t>
        </is>
      </c>
      <c r="K7194" s="10" t="inlineStr">
        <is>
          <t>3 - 5 Năm</t>
        </is>
      </c>
      <c r="L7194" s="11">
        <f>HYPERLINK("https://careerviet.vn/vi/tim-viec-lam/ke-toan-truong.35C6CD47.html","Xem chi tiết")</f>
        <v/>
      </c>
      <c r="M7194" s="10" t="n"/>
    </row>
    <row r="7195">
      <c r="B7195" s="7" t="n">
        <v>7193</v>
      </c>
      <c r="C7195" t="inlineStr">
        <is>
          <t>Giám sát bộ phận làm sạch - tạp vụ bệnh viện(Mới)</t>
        </is>
      </c>
      <c r="D7195" t="inlineStr">
        <is>
          <t>BỆNH VIỆN ĐA KHOA PHƯƠNG NAM</t>
        </is>
      </c>
      <c r="E7195" t="inlineStr">
        <is>
          <t>Lương:Cạnh tranh</t>
        </is>
      </c>
      <c r="F7195" t="inlineStr">
        <is>
          <t>Hồ Chí Minh</t>
        </is>
      </c>
      <c r="G7195" t="inlineStr">
        <is>
          <t>30-04-2026</t>
        </is>
      </c>
      <c r="H7195" t="inlineStr">
        <is>
          <t>30/04/2026</t>
        </is>
      </c>
      <c r="I7195" t="inlineStr">
        <is>
          <t>17/03/2026</t>
        </is>
      </c>
      <c r="J7195" t="inlineStr">
        <is>
          <t>Y tế / Chăm sóc sức khỏe / Thẩm mỹ / Làm đẹp, Lao động phổ thông</t>
        </is>
      </c>
      <c r="K7195" t="inlineStr">
        <is>
          <t>1 - 3 Năm</t>
        </is>
      </c>
      <c r="L7195" s="8">
        <f>HYPERLINK("https://careerviet.vn/vi/tim-viec-lam/giam-sat-bo-phan-lam-sach-tap-vu-benh-vien.35C6CD46.html","Xem chi tiết")</f>
        <v/>
      </c>
    </row>
    <row r="7196">
      <c r="B7196" s="9" t="n">
        <v>7194</v>
      </c>
      <c r="C7196" s="10" t="inlineStr">
        <is>
          <t>Quản Lý Đơn Hàng(Mới)</t>
        </is>
      </c>
      <c r="D7196" s="10" t="inlineStr">
        <is>
          <t>CÔNG TY CỔ PHẦN THỜI TRANG H VÀ A (PANTIO)</t>
        </is>
      </c>
      <c r="E7196" s="10" t="inlineStr">
        <is>
          <t>Lương:12 Tr - 18 Tr VND</t>
        </is>
      </c>
      <c r="F7196" s="10" t="inlineStr">
        <is>
          <t>Hà Nội</t>
        </is>
      </c>
      <c r="G7196" s="10" t="inlineStr">
        <is>
          <t>30-04-2026</t>
        </is>
      </c>
      <c r="H7196" s="10" t="inlineStr">
        <is>
          <t>30/04/2026</t>
        </is>
      </c>
      <c r="I7196" s="10" t="inlineStr">
        <is>
          <t>17/03/2026</t>
        </is>
      </c>
      <c r="J7196" s="10" t="inlineStr">
        <is>
          <t>Dệt may / Da giày / Thời trang</t>
        </is>
      </c>
      <c r="K7196" s="10" t="inlineStr">
        <is>
          <t>1 - 3 Năm</t>
        </is>
      </c>
      <c r="L7196" s="11">
        <f>HYPERLINK("https://careerviet.vn/vi/tim-viec-lam/quan-ly-don-hang.35C6CD3C.html","Xem chi tiết")</f>
        <v/>
      </c>
      <c r="M7196" s="10" t="n"/>
    </row>
    <row r="7197">
      <c r="B7197" s="7" t="n">
        <v>7195</v>
      </c>
      <c r="C7197" t="inlineStr">
        <is>
          <t>THỢ SỬA CHỮA XE CƠ GIỚI(Mới)</t>
        </is>
      </c>
      <c r="D7197" t="inlineStr">
        <is>
          <t>CÔNG TY TNHH BACONCO</t>
        </is>
      </c>
      <c r="E7197" t="inlineStr">
        <is>
          <t>Lương:Cạnh tranh</t>
        </is>
      </c>
      <c r="F7197" t="inlineStr">
        <is>
          <t>Bà Rịa - Vũng Tàu</t>
        </is>
      </c>
      <c r="G7197" t="inlineStr">
        <is>
          <t>17-04-2026</t>
        </is>
      </c>
      <c r="H7197" t="inlineStr">
        <is>
          <t>17/04/2026</t>
        </is>
      </c>
      <c r="I7197" t="inlineStr">
        <is>
          <t>17/03/2026</t>
        </is>
      </c>
      <c r="J7197" t="inlineStr">
        <is>
          <t>Cơ khí / Ô tô / Tự động hóa, Bảo trì / Sửa chữa</t>
        </is>
      </c>
      <c r="K7197" t="inlineStr">
        <is>
          <t>N/A</t>
        </is>
      </c>
      <c r="L7197" s="8">
        <f>HYPERLINK("https://careerviet.vn/vi/tim-viec-lam/tho-sua-chua-xe-co-gioi.35C6CD42.html","Xem chi tiết")</f>
        <v/>
      </c>
    </row>
    <row r="7198">
      <c r="B7198" s="9" t="n">
        <v>7196</v>
      </c>
      <c r="C7198" s="10" t="inlineStr">
        <is>
          <t>Kỹ Sư Thiết Kế Điện- Điện Nhẹ (Electrical Engineer)(Mới)</t>
        </is>
      </c>
      <c r="D7198" s="10" t="inlineStr">
        <is>
          <t>Công Ty Cổ Phần Kiến Trúc Tư Vấn Quản Lý Đông Dương</t>
        </is>
      </c>
      <c r="E7198" s="10" t="inlineStr">
        <is>
          <t>Lương:Cạnh tranh</t>
        </is>
      </c>
      <c r="F7198" s="10" t="inlineStr">
        <is>
          <t>Hồ Chí Minh</t>
        </is>
      </c>
      <c r="G7198" s="10" t="inlineStr">
        <is>
          <t>16-04-2026</t>
        </is>
      </c>
      <c r="H7198" s="10" t="inlineStr">
        <is>
          <t>16/04/2026</t>
        </is>
      </c>
      <c r="I7198" s="10" t="inlineStr">
        <is>
          <t>17/03/2026</t>
        </is>
      </c>
      <c r="J7198" s="10" t="inlineStr">
        <is>
          <t>Xây dựng, Mỹ thuật / Nghệ thuật / Thiết kế, Bất động sản</t>
        </is>
      </c>
      <c r="K7198" s="10" t="inlineStr">
        <is>
          <t>2 - 5 Năm</t>
        </is>
      </c>
      <c r="L7198" s="11">
        <f>HYPERLINK("https://careerviet.vn/vi/tim-viec-lam/ky-su-thiet-ke-dien-dien-nhe-electrical-engineer.35C6CD3B.html","Xem chi tiết")</f>
        <v/>
      </c>
      <c r="M7198" s="10" t="n"/>
    </row>
    <row r="7199">
      <c r="B7199" s="7" t="n">
        <v>7197</v>
      </c>
      <c r="C7199" t="inlineStr">
        <is>
          <t>Nhân viên CSKH Viettel Đà Nẵng(Mới)</t>
        </is>
      </c>
      <c r="D7199" t="inlineStr">
        <is>
          <t>BellSystem24-Việt Nam</t>
        </is>
      </c>
      <c r="E7199" t="inlineStr">
        <is>
          <t>Lương:5 Tr - 8 Tr VND</t>
        </is>
      </c>
      <c r="F7199" t="inlineStr">
        <is>
          <t>Đà Nẵng</t>
        </is>
      </c>
      <c r="G7199" t="inlineStr">
        <is>
          <t>04-04-2026</t>
        </is>
      </c>
      <c r="H7199" t="inlineStr">
        <is>
          <t>04/04/2026</t>
        </is>
      </c>
      <c r="I7199" t="inlineStr">
        <is>
          <t>17/03/2026</t>
        </is>
      </c>
      <c r="J7199" t="inlineStr">
        <is>
          <t>Dịch vụ khách hàng, Lao động phổ thông, Bưu chính viễn thông</t>
        </is>
      </c>
      <c r="K7199" t="inlineStr">
        <is>
          <t>Chưa có kinh nghiệm</t>
        </is>
      </c>
      <c r="L7199" s="8">
        <f>HYPERLINK("https://careerviet.vn/vi/tim-viec-lam/nhan-vien-cskh-viettel-da-nang.35C6CD32.html","Xem chi tiết")</f>
        <v/>
      </c>
    </row>
    <row r="7200">
      <c r="B7200" s="9" t="n">
        <v>7198</v>
      </c>
      <c r="C7200" s="10" t="inlineStr">
        <is>
          <t>Nhân Viên Kỹ Thuật Xử Lý Nước(Mới)</t>
        </is>
      </c>
      <c r="D7200" s="10" t="inlineStr">
        <is>
          <t>Công Ty CP XNK Hóa Chất &amp; Thiết Bị Kim Ngưu</t>
        </is>
      </c>
      <c r="E7200" s="10" t="inlineStr">
        <is>
          <t>Lương:12 Tr - 20 Tr VND</t>
        </is>
      </c>
      <c r="F7200" s="10" t="inlineStr">
        <is>
          <t>Hà Nội</t>
        </is>
      </c>
      <c r="G7200" s="10" t="inlineStr">
        <is>
          <t>29-04-2026</t>
        </is>
      </c>
      <c r="H7200" s="10" t="inlineStr">
        <is>
          <t>29/04/2026</t>
        </is>
      </c>
      <c r="I7200" s="10" t="inlineStr">
        <is>
          <t>17/03/2026</t>
        </is>
      </c>
      <c r="J7200" s="10" t="inlineStr">
        <is>
          <t>Bảo trì / Sửa chữa</t>
        </is>
      </c>
      <c r="K7200" s="10" t="inlineStr">
        <is>
          <t>1 - 2 Năm</t>
        </is>
      </c>
      <c r="L7200" s="11">
        <f>HYPERLINK("https://careerviet.vn/vi/tim-viec-lam/nhan-vien-ky-thuat-xu-ly-nuoc.35C6CD31.html","Xem chi tiết")</f>
        <v/>
      </c>
      <c r="M7200" s="10" t="n"/>
    </row>
    <row r="7201">
      <c r="B7201" s="7" t="n">
        <v>7199</v>
      </c>
      <c r="C7201" t="inlineStr">
        <is>
          <t>Nhân viên sửa chữa bảo dưỡng(Mới)</t>
        </is>
      </c>
      <c r="D7201" t="inlineStr">
        <is>
          <t>Công Ty CP XNK Hóa Chất &amp; Thiết Bị Kim Ngưu</t>
        </is>
      </c>
      <c r="E7201" t="inlineStr">
        <is>
          <t>Lương:9 Tr - 12 Tr VND</t>
        </is>
      </c>
      <c r="F7201" t="inlineStr">
        <is>
          <t>Hưng Yên</t>
        </is>
      </c>
      <c r="G7201" t="inlineStr">
        <is>
          <t>29-04-2026</t>
        </is>
      </c>
      <c r="H7201" t="inlineStr">
        <is>
          <t>29/04/2026</t>
        </is>
      </c>
      <c r="I7201" t="inlineStr">
        <is>
          <t>17/03/2026</t>
        </is>
      </c>
      <c r="J7201" t="inlineStr">
        <is>
          <t>Cơ khí / Ô tô / Tự động hóa, Bảo trì / Sửa chữa</t>
        </is>
      </c>
      <c r="K7201" t="inlineStr">
        <is>
          <t>2 - 5 Năm</t>
        </is>
      </c>
      <c r="L7201" s="8">
        <f>HYPERLINK("https://careerviet.vn/vi/tim-viec-lam/nhan-vien-sua-chua-bao-duong.35C6CD34.html","Xem chi tiết")</f>
        <v/>
      </c>
    </row>
    <row r="7202">
      <c r="B7202" s="9" t="n">
        <v>7200</v>
      </c>
      <c r="C7202" s="10" t="inlineStr">
        <is>
          <t>Nhân viên Sales Admin(Mới)</t>
        </is>
      </c>
      <c r="D7202" s="10" t="inlineStr">
        <is>
          <t>Công Ty CP XNK Hóa Chất &amp; Thiết Bị Kim Ngưu</t>
        </is>
      </c>
      <c r="E7202" s="10" t="inlineStr">
        <is>
          <t>Lương:9 Tr - 12 Tr VND</t>
        </is>
      </c>
      <c r="F7202" s="10" t="inlineStr">
        <is>
          <t>Hồ Chí Minh</t>
        </is>
      </c>
      <c r="G7202" s="10" t="inlineStr">
        <is>
          <t>29-04-2026</t>
        </is>
      </c>
      <c r="H7202" s="10" t="inlineStr">
        <is>
          <t>29/04/2026</t>
        </is>
      </c>
      <c r="I7202" s="10" t="inlineStr">
        <is>
          <t>17/03/2026</t>
        </is>
      </c>
      <c r="J7202" s="10" t="inlineStr">
        <is>
          <t>Bán hàng / Kinh doanh, Hóa học</t>
        </is>
      </c>
      <c r="K7202" s="10" t="inlineStr">
        <is>
          <t>Trên 2 Năm</t>
        </is>
      </c>
      <c r="L7202" s="11">
        <f>HYPERLINK("https://careerviet.vn/vi/tim-viec-lam/nhan-vien-sales-admin.35C6CD33.html","Xem chi tiết")</f>
        <v/>
      </c>
      <c r="M7202" s="10" t="n"/>
    </row>
    <row r="7203">
      <c r="B7203" s="7" t="n">
        <v>7201</v>
      </c>
      <c r="C7203" t="inlineStr">
        <is>
          <t>[TUYỂN GẤP] NHÂN VIÊN HÀNH CHÍNH - NHÂN SỰ (MẢNG TUYỂN DỤNG)</t>
        </is>
      </c>
      <c r="D7203" t="inlineStr">
        <is>
          <t>CÔNG TY CỔ PHẦN SẢN XUẤT THƯƠNG MẠI XÂY DỰNG TRANG TRÍ NỘI THẤT G.S VIỆT NAM</t>
        </is>
      </c>
      <c r="E7203" t="inlineStr">
        <is>
          <t>Lương:10 Tr - 15 Tr VND</t>
        </is>
      </c>
      <c r="F7203" t="inlineStr">
        <is>
          <t>Bình Dương</t>
        </is>
      </c>
      <c r="G7203" t="inlineStr">
        <is>
          <t>30-04-2026</t>
        </is>
      </c>
      <c r="H7203" t="inlineStr">
        <is>
          <t>30/04/2026</t>
        </is>
      </c>
      <c r="I7203" t="inlineStr">
        <is>
          <t>17/03/2026</t>
        </is>
      </c>
      <c r="J7203" t="inlineStr">
        <is>
          <t>Nhân sự, Hành chính / Thư ký, Xây dựng</t>
        </is>
      </c>
      <c r="K7203" t="inlineStr">
        <is>
          <t>1 - 5 Năm</t>
        </is>
      </c>
      <c r="L7203" s="8">
        <f>HYPERLINK("https://careerviet.vn/vi/tim-viec-lam/tuyen-gap-nhan-vien-hanh-chinh-nhan-su-mang-tuyen-dung.35C6A8AF.html","Xem chi tiết")</f>
        <v/>
      </c>
    </row>
    <row r="7204">
      <c r="B7204" s="9" t="n">
        <v>7202</v>
      </c>
      <c r="C7204" s="10" t="inlineStr">
        <is>
          <t>Nhân Viên Kỹ Thuật Hóa Chất và Xử Lý Nước</t>
        </is>
      </c>
      <c r="D7204" s="10" t="inlineStr">
        <is>
          <t>CÔNG TY TNHH THƯƠNG MẠI DỊCH VỤ &amp; SẢN XUẤT NHẬT QUANG</t>
        </is>
      </c>
      <c r="E7204" s="10" t="inlineStr">
        <is>
          <t>Lương:Cạnh tranh</t>
        </is>
      </c>
      <c r="F7204" s="10" t="inlineStr">
        <is>
          <t>Hồ Chí Minh</t>
        </is>
      </c>
      <c r="G7204" s="10" t="inlineStr">
        <is>
          <t>02-04-2026</t>
        </is>
      </c>
      <c r="H7204" s="10" t="inlineStr">
        <is>
          <t>02/04/2026</t>
        </is>
      </c>
      <c r="I7204" s="10" t="inlineStr">
        <is>
          <t>17/03/2026</t>
        </is>
      </c>
      <c r="J7204" s="10" t="inlineStr">
        <is>
          <t>Công nghệ sinh học, Môi trường, Hóa học</t>
        </is>
      </c>
      <c r="K7204" s="10" t="inlineStr">
        <is>
          <t>Trên 3 Năm</t>
        </is>
      </c>
      <c r="L7204" s="11">
        <f>HYPERLINK("https://careerviet.vn/vi/tim-viec-lam/nhan-vien-ky-thuat-hoa-chat-va-xu-ly-nuoc.35C6A8B3.html","Xem chi tiết")</f>
        <v/>
      </c>
      <c r="M7204" s="10" t="n"/>
    </row>
    <row r="7205">
      <c r="B7205" s="7" t="n">
        <v>7203</v>
      </c>
      <c r="C7205" t="inlineStr">
        <is>
          <t>Nhân Viên Trade Marketing</t>
        </is>
      </c>
      <c r="D7205" t="inlineStr">
        <is>
          <t>Công ty TNHH Thực Phẩm &amp; TMDV Lê Gia</t>
        </is>
      </c>
      <c r="E7205" t="inlineStr">
        <is>
          <t>Lương:Cạnh tranh</t>
        </is>
      </c>
      <c r="F7205" t="inlineStr">
        <is>
          <t>Hà Nội</t>
        </is>
      </c>
      <c r="G7205" t="inlineStr">
        <is>
          <t>16-03-2026</t>
        </is>
      </c>
      <c r="H7205" t="inlineStr">
        <is>
          <t>24/02/2026</t>
        </is>
      </c>
      <c r="I7205" t="inlineStr">
        <is>
          <t>17/03/2026</t>
        </is>
      </c>
      <c r="J7205" t="inlineStr">
        <is>
          <t>Bán hàng / Kinh doanh, Thực phẩm &amp; Đồ uống, Tiếp thị / Marketing</t>
        </is>
      </c>
      <c r="K7205" t="inlineStr">
        <is>
          <t>Trên 1 Năm</t>
        </is>
      </c>
      <c r="L7205" s="8">
        <f>HYPERLINK("https://careerviet.vn/vi/tim-viec-lam/nhan-vien-trade-marketing.35C668D9.html","Xem chi tiết")</f>
        <v/>
      </c>
    </row>
    <row r="7206">
      <c r="B7206" s="9" t="n">
        <v>7204</v>
      </c>
      <c r="C7206" s="10" t="inlineStr">
        <is>
          <t>LÁI XE ỦI</t>
        </is>
      </c>
      <c r="D7206" s="10" t="inlineStr">
        <is>
          <t>TỔNG CÔNG TY CỔ PHẦN THƯƠNG MẠI XÂY DỰNG</t>
        </is>
      </c>
      <c r="E7206" s="10" t="inlineStr">
        <is>
          <t>Lương:8 Tr - 15 Tr VND</t>
        </is>
      </c>
      <c r="F7206" s="10" t="inlineStr">
        <is>
          <t>Hà Nội</t>
        </is>
      </c>
      <c r="G7206" s="10" t="inlineStr">
        <is>
          <t>16-03-2026</t>
        </is>
      </c>
      <c r="H7206" s="10" t="inlineStr">
        <is>
          <t>14/03/2026</t>
        </is>
      </c>
      <c r="I7206" s="10" t="inlineStr">
        <is>
          <t>17/03/2026</t>
        </is>
      </c>
      <c r="J7206" s="10" t="inlineStr">
        <is>
          <t>Lao động phổ thông</t>
        </is>
      </c>
      <c r="K7206" s="10" t="inlineStr">
        <is>
          <t>2 - 5 Năm</t>
        </is>
      </c>
      <c r="L7206" s="11">
        <f>HYPERLINK("https://careerviet.vn/vi/tim-viec-lam/lai-xe-ui.35C6A801.html","Xem chi tiết")</f>
        <v/>
      </c>
      <c r="M7206" s="10" t="n"/>
    </row>
    <row r="7207">
      <c r="B7207" s="7" t="n">
        <v>7205</v>
      </c>
      <c r="C7207" t="inlineStr">
        <is>
          <t>Tuyên dụng nhân viên hành chính tổng vụ</t>
        </is>
      </c>
      <c r="D7207" t="inlineStr">
        <is>
          <t>CÔNG TY TNHH GOTOP TEXTILE (VIETNAM)</t>
        </is>
      </c>
      <c r="E7207" t="inlineStr">
        <is>
          <t>Lương:13 Tr - 15 Tr VND</t>
        </is>
      </c>
      <c r="F7207" t="inlineStr">
        <is>
          <t>Long An</t>
        </is>
      </c>
      <c r="G7207" t="inlineStr">
        <is>
          <t>01-04-2026</t>
        </is>
      </c>
      <c r="H7207" t="inlineStr">
        <is>
          <t>01/04/2026</t>
        </is>
      </c>
      <c r="I7207" t="inlineStr">
        <is>
          <t>17/03/2026</t>
        </is>
      </c>
      <c r="J7207" t="inlineStr">
        <is>
          <t>Dệt may / Da giày / Thời trang, Hành chính / Thư ký</t>
        </is>
      </c>
      <c r="K7207" t="inlineStr">
        <is>
          <t>3 - 5 Năm</t>
        </is>
      </c>
      <c r="L7207" s="8">
        <f>HYPERLINK("https://careerviet.vn/vi/tim-viec-lam/tuyen-dung-nhan-vien-hanh-chinh-tong-vu.35C6AA4B.html","Xem chi tiết")</f>
        <v/>
      </c>
    </row>
    <row r="7208">
      <c r="B7208" s="9" t="n">
        <v>7206</v>
      </c>
      <c r="C7208" s="10" t="inlineStr">
        <is>
          <t>Nhân viên kinh doanh</t>
        </is>
      </c>
      <c r="D7208" s="10" t="inlineStr">
        <is>
          <t>CÔNG TY TNHH TAESAM GLOBAL</t>
        </is>
      </c>
      <c r="E7208" s="10" t="inlineStr">
        <is>
          <t>Lương:10 Tr - 20 Tr VND</t>
        </is>
      </c>
      <c r="F7208" s="10" t="inlineStr">
        <is>
          <t>Hồ Chí Minh</t>
        </is>
      </c>
      <c r="G7208" s="10" t="inlineStr">
        <is>
          <t>31-03-2026</t>
        </is>
      </c>
      <c r="H7208" s="10" t="inlineStr">
        <is>
          <t>31/03/2026</t>
        </is>
      </c>
      <c r="I7208" s="10" t="inlineStr">
        <is>
          <t>17/03/2026</t>
        </is>
      </c>
      <c r="J7208" s="10" t="inlineStr">
        <is>
          <t>Thương mại điện tử, Bán lẻ / Bán sỉ, Bán hàng / Kinh doanh</t>
        </is>
      </c>
      <c r="K7208" s="10" t="inlineStr">
        <is>
          <t>1 - 2 Năm</t>
        </is>
      </c>
      <c r="L7208" s="11">
        <f>HYPERLINK("https://careerviet.vn/vi/tim-viec-lam/nhan-vien-kinh-doanh.35C6A734.html","Xem chi tiết")</f>
        <v/>
      </c>
      <c r="M7208" s="10" t="n"/>
    </row>
    <row r="7209">
      <c r="B7209" s="7" t="n">
        <v>7207</v>
      </c>
      <c r="C7209" t="inlineStr">
        <is>
          <t>Nhân Viên Phụ Xe Q12 - HCM</t>
        </is>
      </c>
      <c r="D7209" t="inlineStr">
        <is>
          <t>CÔNG TY CỔ PHẦN VUA NỆM</t>
        </is>
      </c>
      <c r="E7209" t="inlineStr">
        <is>
          <t>Lương:12 Tr - 17 Tr VND</t>
        </is>
      </c>
      <c r="F7209" t="inlineStr">
        <is>
          <t>Hồ Chí Minh</t>
        </is>
      </c>
      <c r="G7209" t="inlineStr">
        <is>
          <t>03-04-2026</t>
        </is>
      </c>
      <c r="H7209" t="inlineStr">
        <is>
          <t>03/04/2026</t>
        </is>
      </c>
      <c r="I7209" t="inlineStr">
        <is>
          <t>17/03/2026</t>
        </is>
      </c>
      <c r="J7209" t="inlineStr">
        <is>
          <t>Vận chuyển / Giao nhận / Kho vận</t>
        </is>
      </c>
      <c r="K7209" t="inlineStr">
        <is>
          <t>N/A</t>
        </is>
      </c>
      <c r="L7209" s="8">
        <f>HYPERLINK("https://careerviet.vn/vi/tim-viec-lam/nhan-vien-phu-xe-q12-hcm.35C6A96E.html","Xem chi tiết")</f>
        <v/>
      </c>
    </row>
    <row r="7210">
      <c r="B7210" s="9" t="n">
        <v>7208</v>
      </c>
      <c r="C7210" s="10" t="inlineStr">
        <is>
          <t>CHUYÊN VIÊN TƯ VẤN GIÁO DỤC (OCEAN EDU NGHĨA HƯNG) - THU NHẬP HẤP DẪN TỪ 15 TRIỆU/THÁNG</t>
        </is>
      </c>
      <c r="D7210" s="10" t="inlineStr">
        <is>
          <t>Công Ty CP Giáo Dục Đại Dương</t>
        </is>
      </c>
      <c r="E7210" s="10" t="inlineStr">
        <is>
          <t>Lương:Cạnh tranh</t>
        </is>
      </c>
      <c r="F7210" s="10" t="inlineStr">
        <is>
          <t>Nam Định</t>
        </is>
      </c>
      <c r="G7210" s="10" t="inlineStr">
        <is>
          <t>02-04-2026</t>
        </is>
      </c>
      <c r="H7210" s="10" t="inlineStr">
        <is>
          <t>02/04/2026</t>
        </is>
      </c>
      <c r="I7210" s="10" t="inlineStr">
        <is>
          <t>17/03/2026</t>
        </is>
      </c>
      <c r="J7210" s="10" t="inlineStr">
        <is>
          <t>Dịch vụ khách hàng, Giáo dục / Đào tạo, Bán hàng / Kinh doanh</t>
        </is>
      </c>
      <c r="K7210" s="10" t="inlineStr">
        <is>
          <t>Lên đến 1 Năm</t>
        </is>
      </c>
      <c r="L7210" s="11">
        <f>HYPERLINK("https://careerviet.vn/vi/tim-viec-lam/chuyen-vien-tu-van-giao-duc-ocean-edu-nghia-hung-thu-nhap-hap-dan-tu-15-trieu-thang.35C6A9E1.html","Xem chi tiết")</f>
        <v/>
      </c>
      <c r="M7210" s="10" t="n"/>
    </row>
    <row r="7211">
      <c r="B7211" s="7" t="n">
        <v>7209</v>
      </c>
      <c r="C7211" t="inlineStr">
        <is>
          <t>Chuyên Gia Tố tụng</t>
        </is>
      </c>
      <c r="D7211" t="inlineStr">
        <is>
          <t>NGÂN HÀNG TMCP KỸ THƯƠNG VIỆT NAM (TECHCOMBANK)</t>
        </is>
      </c>
      <c r="E7211" t="inlineStr">
        <is>
          <t>Lương:Cạnh tranh</t>
        </is>
      </c>
      <c r="F7211" t="inlineStr">
        <is>
          <t>Hồ Chí Minh</t>
        </is>
      </c>
      <c r="G7211" t="inlineStr">
        <is>
          <t>03-04-2026</t>
        </is>
      </c>
      <c r="H7211" t="inlineStr">
        <is>
          <t>03/04/2026</t>
        </is>
      </c>
      <c r="I7211" t="inlineStr">
        <is>
          <t>17/03/2026</t>
        </is>
      </c>
      <c r="J7211" t="inlineStr">
        <is>
          <t>Ngân hàng, Luật / Pháp lý, Tài chính / Đầu tư</t>
        </is>
      </c>
      <c r="K7211" t="inlineStr">
        <is>
          <t>Trên 3 Năm</t>
        </is>
      </c>
      <c r="L7211" s="8">
        <f>HYPERLINK("https://careerviet.vn/vi/tim-viec-lam/chuyen-gia-to-tung.35C6AAED.html","Xem chi tiết")</f>
        <v/>
      </c>
    </row>
    <row r="7212">
      <c r="B7212" s="9" t="n">
        <v>7210</v>
      </c>
      <c r="C7212" s="10" t="inlineStr">
        <is>
          <t>Nhân Viên Dịch Vụ Khách Hàng, Quản Lý Lớp Học</t>
        </is>
      </c>
      <c r="D7212" s="10" t="inlineStr">
        <is>
          <t>Công ty Cổ Phần Giáo Dục German Link</t>
        </is>
      </c>
      <c r="E7212" s="10" t="inlineStr">
        <is>
          <t>Lương:8 Tr - 15 Tr VND</t>
        </is>
      </c>
      <c r="F7212" s="10" t="inlineStr">
        <is>
          <t>Hà Nội</t>
        </is>
      </c>
      <c r="G7212" s="10" t="inlineStr">
        <is>
          <t>31-03-2026</t>
        </is>
      </c>
      <c r="H7212" s="10" t="inlineStr">
        <is>
          <t>31/03/2026</t>
        </is>
      </c>
      <c r="I7212" s="10" t="inlineStr">
        <is>
          <t>17/03/2026</t>
        </is>
      </c>
      <c r="J7212" s="10" t="inlineStr">
        <is>
          <t>Bán hàng / Kinh doanh, Giáo dục / Đào tạo, Dịch vụ khách hàng</t>
        </is>
      </c>
      <c r="K7212" s="10" t="inlineStr">
        <is>
          <t>Lên đến 1 Năm</t>
        </is>
      </c>
      <c r="L7212" s="11">
        <f>HYPERLINK("https://careerviet.vn/vi/tim-viec-lam/nhan-vien-dich-vu-khach-hang-quan-ly-lop-hoc.35C6A7A5.html","Xem chi tiết")</f>
        <v/>
      </c>
      <c r="M7212" s="10" t="n"/>
    </row>
    <row r="7213">
      <c r="B7213" s="7" t="n">
        <v>7211</v>
      </c>
      <c r="C7213" t="inlineStr">
        <is>
          <t>Maintenance Supervisor</t>
        </is>
      </c>
      <c r="D7213" t="inlineStr">
        <is>
          <t>Công ty TNHH Điện Máy Aqua Việt Nam</t>
        </is>
      </c>
      <c r="E7213" t="inlineStr">
        <is>
          <t>Lương:Cạnh tranh</t>
        </is>
      </c>
      <c r="F7213" t="inlineStr">
        <is>
          <t>Đồng Nai</t>
        </is>
      </c>
      <c r="G7213" t="inlineStr">
        <is>
          <t>03-04-2026</t>
        </is>
      </c>
      <c r="H7213" t="inlineStr">
        <is>
          <t>03/04/2026</t>
        </is>
      </c>
      <c r="I7213" t="inlineStr">
        <is>
          <t>17/03/2026</t>
        </is>
      </c>
      <c r="J7213" t="inlineStr">
        <is>
          <t>Bảo trì / Sửa chữa</t>
        </is>
      </c>
      <c r="K7213" t="inlineStr">
        <is>
          <t>3 - 5 NămĐịa điểm</t>
        </is>
      </c>
      <c r="L7213" s="8">
        <f>HYPERLINK("https://careerviet.vn/vi/tim-viec-lam/maintenance-supervisor.35C6A7B8.html","Xem chi tiết")</f>
        <v/>
      </c>
    </row>
    <row r="7214">
      <c r="B7214" s="9" t="n">
        <v>7212</v>
      </c>
      <c r="C7214" s="10" t="inlineStr">
        <is>
          <t>Thực Tâp Sinh (Lab - Chemical)</t>
        </is>
      </c>
      <c r="D7214" s="10" t="inlineStr">
        <is>
          <t>TAVN</t>
        </is>
      </c>
      <c r="E7214" s="10" t="inlineStr">
        <is>
          <t>Lương:7 Tr - 7 Tr VND</t>
        </is>
      </c>
      <c r="F7214" s="10" t="inlineStr">
        <is>
          <t>Hồ Chí MinhBình DươngĐồng Nai</t>
        </is>
      </c>
      <c r="G7214" s="10" t="inlineStr">
        <is>
          <t>31-03-2026</t>
        </is>
      </c>
      <c r="H7214" s="10" t="inlineStr">
        <is>
          <t>31/03/2026</t>
        </is>
      </c>
      <c r="I7214" s="10" t="inlineStr">
        <is>
          <t>17/03/2026</t>
        </is>
      </c>
      <c r="J7214" s="10" t="inlineStr">
        <is>
          <t>Hóa học, Sản xuất / Vận hành sản xuất, Mới tốt nghiệp / Thực tập</t>
        </is>
      </c>
      <c r="K7214" s="10" t="inlineStr">
        <is>
          <t>N/A</t>
        </is>
      </c>
      <c r="L7214" s="11">
        <f>HYPERLINK("https://careerviet.vn/vi/tim-viec-lam/thuc-tap-sinh-lab-chemical.35C6AA3C.html","Xem chi tiết")</f>
        <v/>
      </c>
      <c r="M7214" s="10" t="n"/>
    </row>
    <row r="7215">
      <c r="B7215" s="7" t="n">
        <v>7213</v>
      </c>
      <c r="C7215" t="inlineStr">
        <is>
          <t>Chuyên viên Kế toán Nội bộ</t>
        </is>
      </c>
      <c r="D7215" t="inlineStr">
        <is>
          <t>CÔNG TY CỔ PHẦN THE STREET</t>
        </is>
      </c>
      <c r="E7215" t="inlineStr">
        <is>
          <t>Lương:12 Tr - 15 Tr VND</t>
        </is>
      </c>
      <c r="F7215" t="inlineStr">
        <is>
          <t>Hồ Chí Minh</t>
        </is>
      </c>
      <c r="G7215" t="inlineStr">
        <is>
          <t>03-04-2026</t>
        </is>
      </c>
      <c r="H7215" t="inlineStr">
        <is>
          <t>03/04/2026</t>
        </is>
      </c>
      <c r="I7215" t="inlineStr">
        <is>
          <t>17/03/2026</t>
        </is>
      </c>
      <c r="J7215" t="inlineStr">
        <is>
          <t>Nhà hàng / Khách sạn, Kế toán / Kiểm toán</t>
        </is>
      </c>
      <c r="K7215" t="inlineStr">
        <is>
          <t>1 - 3 Năm</t>
        </is>
      </c>
      <c r="L7215" s="8">
        <f>HYPERLINK("https://careerviet.vn/vi/tim-viec-lam/chuyen-vien-ke-toan-noi-bo.35C6A9C1.html","Xem chi tiết")</f>
        <v/>
      </c>
    </row>
    <row r="7216">
      <c r="B7216" s="9" t="n">
        <v>7214</v>
      </c>
      <c r="C7216" s="10" t="inlineStr">
        <is>
          <t>Nhân viên kinh doanh</t>
        </is>
      </c>
      <c r="D7216" s="10" t="inlineStr">
        <is>
          <t>CÔNG TY CỔ PHẦN TRANG THIẾT BỊ Y TẾ ĐỨC TÍN</t>
        </is>
      </c>
      <c r="E7216" s="10" t="inlineStr">
        <is>
          <t>Lương:8 Tr - 12 Tr VND</t>
        </is>
      </c>
      <c r="F7216" s="10" t="inlineStr">
        <is>
          <t>Hà Nội</t>
        </is>
      </c>
      <c r="G7216" s="10" t="inlineStr">
        <is>
          <t>31-03-2026</t>
        </is>
      </c>
      <c r="H7216" s="10" t="inlineStr">
        <is>
          <t>31/03/2026</t>
        </is>
      </c>
      <c r="I7216" s="10" t="inlineStr">
        <is>
          <t>17/03/2026</t>
        </is>
      </c>
      <c r="J7216" s="10" t="inlineStr">
        <is>
          <t>Y tế / Chăm sóc sức khỏe / Thẩm mỹ / Làm đẹp</t>
        </is>
      </c>
      <c r="K7216" s="10" t="inlineStr">
        <is>
          <t>N/A</t>
        </is>
      </c>
      <c r="L7216" s="11">
        <f>HYPERLINK("https://careerviet.vn/vi/tim-viec-lam/nhan-vien-kinh-doanh.35C6A78E.html","Xem chi tiết")</f>
        <v/>
      </c>
      <c r="M7216" s="10" t="n"/>
    </row>
    <row r="7217">
      <c r="B7217" s="7" t="n">
        <v>7215</v>
      </c>
      <c r="C7217" t="inlineStr">
        <is>
          <t>Nhân Viên Kế Toán Lương Tại Quận 2</t>
        </is>
      </c>
      <c r="D7217" t="inlineStr">
        <is>
          <t>Công Ty TNHH Tập Đoàn Rita Võ</t>
        </is>
      </c>
      <c r="E7217" t="inlineStr">
        <is>
          <t>Lương:9 Tr - 10 Tr VND</t>
        </is>
      </c>
      <c r="F7217" t="inlineStr">
        <is>
          <t>Hồ Chí Minh</t>
        </is>
      </c>
      <c r="G7217" t="inlineStr">
        <is>
          <t>31-03-2026</t>
        </is>
      </c>
      <c r="H7217" t="inlineStr">
        <is>
          <t>31/03/2026</t>
        </is>
      </c>
      <c r="I7217" t="inlineStr">
        <is>
          <t>17/03/2026</t>
        </is>
      </c>
      <c r="J7217" t="inlineStr">
        <is>
          <t>Kế toán / Kiểm toán</t>
        </is>
      </c>
      <c r="K7217" t="inlineStr">
        <is>
          <t>Trên 1 Năm</t>
        </is>
      </c>
      <c r="L7217" s="8">
        <f>HYPERLINK("https://careerviet.vn/vi/tim-viec-lam/nhan-vien-ke-toan-luong-tai-quan-2.35C6A876.html","Xem chi tiết")</f>
        <v/>
      </c>
    </row>
    <row r="7218">
      <c r="B7218" s="9" t="n">
        <v>7216</v>
      </c>
      <c r="C7218" s="10" t="inlineStr">
        <is>
          <t>TRƯỞNG PHÒNG MUA HÀNG (LĨNH VỰC SẢN XUẤT)</t>
        </is>
      </c>
      <c r="D7218" s="10" t="inlineStr">
        <is>
          <t>ADC PLASTIC,. JSC</t>
        </is>
      </c>
      <c r="E7218" s="10" t="inlineStr">
        <is>
          <t>Lương:1.500 - 2.500 USD</t>
        </is>
      </c>
      <c r="F7218" s="10" t="inlineStr">
        <is>
          <t>Hà NộiHưng Yên</t>
        </is>
      </c>
      <c r="G7218" s="10" t="inlineStr">
        <is>
          <t>16-03-2026</t>
        </is>
      </c>
      <c r="H7218" s="10" t="inlineStr">
        <is>
          <t>04/03/2026</t>
        </is>
      </c>
      <c r="I7218" s="10" t="inlineStr">
        <is>
          <t>17/03/2026</t>
        </is>
      </c>
      <c r="J7218" s="10" t="inlineStr">
        <is>
          <t>Xuất nhập khẩu, Thu mua / Vật tư, Khoáng sản</t>
        </is>
      </c>
      <c r="K7218" s="10" t="inlineStr">
        <is>
          <t>10 - 30 Năm</t>
        </is>
      </c>
      <c r="L7218" s="11">
        <f>HYPERLINK("https://careerviet.vn/vi/tim-viec-lam/truong-phong-mua-hang-linh-vuc-san-xuat.35C6A8E8.html","Xem chi tiết")</f>
        <v/>
      </c>
      <c r="M7218" s="10" t="n"/>
    </row>
    <row r="7219">
      <c r="B7219" s="7" t="n">
        <v>7217</v>
      </c>
      <c r="C7219" t="inlineStr">
        <is>
          <t>Senior Engineer of Mechanical Jig</t>
        </is>
      </c>
      <c r="D7219" t="inlineStr">
        <is>
          <t>Công ty TNHH AOBA Việt Nam</t>
        </is>
      </c>
      <c r="E7219" t="inlineStr">
        <is>
          <t>Lương:Cạnh tranh</t>
        </is>
      </c>
      <c r="F7219" t="inlineStr">
        <is>
          <t>Đồng Nai</t>
        </is>
      </c>
      <c r="G7219" t="inlineStr">
        <is>
          <t>11-04-2026</t>
        </is>
      </c>
      <c r="H7219" t="inlineStr">
        <is>
          <t>11/04/2026</t>
        </is>
      </c>
      <c r="I7219" t="inlineStr">
        <is>
          <t>17/03/2026</t>
        </is>
      </c>
      <c r="J7219" t="inlineStr">
        <is>
          <t>Sản xuất / Vận hành sản xuất</t>
        </is>
      </c>
      <c r="K7219" t="inlineStr">
        <is>
          <t>3 - 15 Năm</t>
        </is>
      </c>
      <c r="L7219" s="8">
        <f>HYPERLINK("https://careerviet.vn/vi/tim-viec-lam/senior-engineer-of-mechanical-jig.35C6AB07.html","Xem chi tiết")</f>
        <v/>
      </c>
    </row>
    <row r="7220">
      <c r="B7220" s="9" t="n">
        <v>7218</v>
      </c>
      <c r="C7220" s="10" t="inlineStr">
        <is>
          <t>Nhân viên tiền lương và phúc lợi</t>
        </is>
      </c>
      <c r="D7220" s="10" t="inlineStr">
        <is>
          <t>ONE GROUP</t>
        </is>
      </c>
      <c r="E7220" s="10" t="inlineStr">
        <is>
          <t>Lương:10 Tr - 14 Tr VND</t>
        </is>
      </c>
      <c r="F7220" s="10" t="inlineStr">
        <is>
          <t>Hồ Chí Minh</t>
        </is>
      </c>
      <c r="G7220" s="10" t="inlineStr">
        <is>
          <t>11-04-2026</t>
        </is>
      </c>
      <c r="H7220" s="10" t="inlineStr">
        <is>
          <t>11/04/2026</t>
        </is>
      </c>
      <c r="I7220" s="10" t="inlineStr">
        <is>
          <t>17/03/2026</t>
        </is>
      </c>
      <c r="J7220" s="10" t="inlineStr">
        <is>
          <t>Nhân sự, Kế toán / Kiểm toán, Luật / Pháp lý</t>
        </is>
      </c>
      <c r="K7220" s="10" t="inlineStr">
        <is>
          <t>2 - 7 Năm</t>
        </is>
      </c>
      <c r="L7220" s="11">
        <f>HYPERLINK("https://careerviet.vn/vi/tim-viec-lam/nhan-vien-tien-luong-va-phuc-loi.35C6A744.html","Xem chi tiết")</f>
        <v/>
      </c>
      <c r="M7220" s="10" t="n"/>
    </row>
    <row r="7221">
      <c r="B7221" s="7" t="n">
        <v>7219</v>
      </c>
      <c r="C7221" t="inlineStr">
        <is>
          <t>Chuyên Viên Tuyển Dụng</t>
        </is>
      </c>
      <c r="D7221" t="inlineStr">
        <is>
          <t>CÔNG TY TNHH PHÁT TRIỂN THƯƠNG MẠI BĐS NEWSTARLAND</t>
        </is>
      </c>
      <c r="E7221" t="inlineStr">
        <is>
          <t>Lương:10 Tr - 13 Tr VND</t>
        </is>
      </c>
      <c r="F7221" t="inlineStr">
        <is>
          <t>Hà Nội</t>
        </is>
      </c>
      <c r="G7221" t="inlineStr">
        <is>
          <t>03-04-2026</t>
        </is>
      </c>
      <c r="H7221" t="inlineStr">
        <is>
          <t>03/04/2026</t>
        </is>
      </c>
      <c r="I7221" t="inlineStr">
        <is>
          <t>17/03/2026</t>
        </is>
      </c>
      <c r="J7221" t="inlineStr">
        <is>
          <t>Hành chính / Thư ký, Nhân sự, Bất động sản</t>
        </is>
      </c>
      <c r="K7221" t="inlineStr">
        <is>
          <t>Trên 1 Năm</t>
        </is>
      </c>
      <c r="L7221" s="8">
        <f>HYPERLINK("https://careerviet.vn/vi/tim-viec-lam/chuyen-vien-tuyen-dung.35C6A889.html","Xem chi tiết")</f>
        <v/>
      </c>
    </row>
    <row r="7222">
      <c r="B7222" s="9" t="n">
        <v>7220</v>
      </c>
      <c r="C7222" s="10" t="inlineStr">
        <is>
          <t>Giám Đốc Kinh Doanh Dự Án</t>
        </is>
      </c>
      <c r="D7222" s="10" t="inlineStr">
        <is>
          <t>Công Ty TNHH Tập Đoàn Rita Võ</t>
        </is>
      </c>
      <c r="E7222" s="10" t="inlineStr">
        <is>
          <t>Lương:Cạnh tranh</t>
        </is>
      </c>
      <c r="F7222" s="10" t="inlineStr">
        <is>
          <t>Hà Nội</t>
        </is>
      </c>
      <c r="G7222" s="10" t="inlineStr">
        <is>
          <t>31-03-2026</t>
        </is>
      </c>
      <c r="H7222" s="10" t="inlineStr">
        <is>
          <t>31/03/2026</t>
        </is>
      </c>
      <c r="I7222" s="10" t="inlineStr">
        <is>
          <t>17/03/2026</t>
        </is>
      </c>
      <c r="J7222" s="10" t="inlineStr">
        <is>
          <t>Bán hàng / Kinh doanh, Quản lý điều hành, Nội ngoại thất</t>
        </is>
      </c>
      <c r="K7222" s="10" t="inlineStr">
        <is>
          <t>3 - 5 Năm</t>
        </is>
      </c>
      <c r="L7222" s="11">
        <f>HYPERLINK("https://careerviet.vn/vi/tim-viec-lam/giam-doc-kinh-doanh-du-an.35C6A9A1.html","Xem chi tiết")</f>
        <v/>
      </c>
      <c r="M7222" s="10" t="n"/>
    </row>
    <row r="7223">
      <c r="B7223" s="7" t="n">
        <v>7221</v>
      </c>
      <c r="C7223" t="inlineStr">
        <is>
          <t>Technology Transfer Innovation - Pharma</t>
        </is>
      </c>
      <c r="D7223" t="inlineStr">
        <is>
          <t>CÔNG TY CỔ PHẦN GREEN SPEED</t>
        </is>
      </c>
      <c r="E7223" t="inlineStr">
        <is>
          <t>Lương:15 Tr - 17 Tr VND</t>
        </is>
      </c>
      <c r="F7223" t="inlineStr">
        <is>
          <t>Hồ Chí Minh</t>
        </is>
      </c>
      <c r="G7223" t="inlineStr">
        <is>
          <t>30-04-2026</t>
        </is>
      </c>
      <c r="H7223" t="inlineStr">
        <is>
          <t>30/04/2026</t>
        </is>
      </c>
      <c r="I7223" t="inlineStr">
        <is>
          <t>17/03/2026</t>
        </is>
      </c>
      <c r="J7223" t="inlineStr">
        <is>
          <t>Dược phẩm/ Hóa Mỹ Phẩm</t>
        </is>
      </c>
      <c r="K7223" t="inlineStr">
        <is>
          <t>Lên đến 1 Năm</t>
        </is>
      </c>
      <c r="L7223" s="8">
        <f>HYPERLINK("https://careerviet.vn/vi/tim-viec-lam/technology-transfer-innovation-pharma.35C6A818.html","Xem chi tiết")</f>
        <v/>
      </c>
    </row>
    <row r="7224">
      <c r="B7224" s="9" t="n">
        <v>7222</v>
      </c>
      <c r="C7224" s="10" t="inlineStr">
        <is>
          <t>Nhân viên Kinh Doanh</t>
        </is>
      </c>
      <c r="D7224" s="10" t="inlineStr">
        <is>
          <t>CÔNG TY CỔ PHẦN BMP GROUP</t>
        </is>
      </c>
      <c r="E7224" s="10" t="inlineStr">
        <is>
          <t>Lương:Cạnh tranh</t>
        </is>
      </c>
      <c r="F7224" s="10" t="inlineStr">
        <is>
          <t>Hồ Chí Minh</t>
        </is>
      </c>
      <c r="G7224" s="10" t="inlineStr">
        <is>
          <t>26-04-2026</t>
        </is>
      </c>
      <c r="H7224" s="10" t="inlineStr">
        <is>
          <t>26/04/2026</t>
        </is>
      </c>
      <c r="I7224" s="10" t="inlineStr">
        <is>
          <t>17/03/2026</t>
        </is>
      </c>
      <c r="J7224" s="10" t="inlineStr">
        <is>
          <t>Bán hàng / Kinh doanh, Sản xuất / Vận hành sản xuất</t>
        </is>
      </c>
      <c r="K7224" s="10" t="inlineStr">
        <is>
          <t>1 - 3 Năm</t>
        </is>
      </c>
      <c r="L7224" s="11">
        <f>HYPERLINK("https://careerviet.vn/vi/tim-viec-lam/nhan-vien-kinh-doanh.35C6A764.html","Xem chi tiết")</f>
        <v/>
      </c>
      <c r="M7224" s="10" t="n"/>
    </row>
    <row r="7225">
      <c r="B7225" s="7" t="n">
        <v>7223</v>
      </c>
      <c r="C7225" t="inlineStr">
        <is>
          <t>Nhân viên Kế toán thanh toán</t>
        </is>
      </c>
      <c r="D7225" t="inlineStr">
        <is>
          <t>Công Ty Cổ Phần Quốc Tế Sơn Hà</t>
        </is>
      </c>
      <c r="E7225" t="inlineStr">
        <is>
          <t>Lương:8 Tr - 10 Tr VND</t>
        </is>
      </c>
      <c r="F7225" t="inlineStr">
        <is>
          <t>Nghệ An</t>
        </is>
      </c>
      <c r="G7225" t="inlineStr">
        <is>
          <t>1</t>
        </is>
      </c>
      <c r="H7225" t="inlineStr">
        <is>
          <t>18/03/2026</t>
        </is>
      </c>
      <c r="I7225" t="inlineStr">
        <is>
          <t>17/03/2026</t>
        </is>
      </c>
      <c r="J7225" t="inlineStr">
        <is>
          <t>Sản xuất / Vận hành sản xuất</t>
        </is>
      </c>
      <c r="K7225" t="inlineStr">
        <is>
          <t>1 - 2 Năm</t>
        </is>
      </c>
      <c r="L7225" s="8">
        <f>HYPERLINK("https://careerviet.vn/vi/tim-viec-lam/nhan-vien-ke-toan-thanh-toan.35C6A762.html","Xem chi tiết")</f>
        <v/>
      </c>
    </row>
    <row r="7226">
      <c r="B7226" s="9" t="n">
        <v>7224</v>
      </c>
      <c r="C7226" s="10" t="inlineStr">
        <is>
          <t>CHUYÊN VIÊN TƯ VẤN GIÁO DỤC (OCEAN EDU XUÂN TRƯỜNG) - THU NHẬP HẤP DẪN TỪ 15 TRIỆU/THÁNG</t>
        </is>
      </c>
      <c r="D7226" s="10" t="inlineStr">
        <is>
          <t>Công Ty CP Giáo Dục Đại Dương</t>
        </is>
      </c>
      <c r="E7226" s="10" t="inlineStr">
        <is>
          <t>Lương:Cạnh tranh</t>
        </is>
      </c>
      <c r="F7226" s="10" t="inlineStr">
        <is>
          <t>Nam Định</t>
        </is>
      </c>
      <c r="G7226" s="10" t="inlineStr">
        <is>
          <t>02-04-2026</t>
        </is>
      </c>
      <c r="H7226" s="10" t="inlineStr">
        <is>
          <t>02/04/2026</t>
        </is>
      </c>
      <c r="I7226" s="10" t="inlineStr">
        <is>
          <t>17/03/2026</t>
        </is>
      </c>
      <c r="J7226" s="10" t="inlineStr">
        <is>
          <t>Dịch vụ khách hàng, Giáo dục / Đào tạo, Bán hàng / Kinh doanh</t>
        </is>
      </c>
      <c r="K7226" s="10" t="inlineStr">
        <is>
          <t>Lên đến 1 Năm</t>
        </is>
      </c>
      <c r="L7226" s="11">
        <f>HYPERLINK("https://careerviet.vn/vi/tim-viec-lam/chuyen-vien-tu-van-giao-duc-ocean-edu-xuan-truong-thu-nhap-hap-dan-tu-15-trieu-thang.35C6A9CD.html","Xem chi tiết")</f>
        <v/>
      </c>
      <c r="M7226" s="10" t="n"/>
    </row>
    <row r="7227">
      <c r="B7227" s="7" t="n">
        <v>7225</v>
      </c>
      <c r="C7227" t="inlineStr">
        <is>
          <t>Kỹ sư Cơ điện (Chuyên viên M&amp;E)</t>
        </is>
      </c>
      <c r="D7227" t="inlineStr">
        <is>
          <t>CÔNG TY CỔ PHẦN ĐẦU TƯ BETRIMEX</t>
        </is>
      </c>
      <c r="E7227" t="inlineStr">
        <is>
          <t>Lương:Cạnh tranh</t>
        </is>
      </c>
      <c r="F7227" t="inlineStr">
        <is>
          <t>Hồ Chí Minh</t>
        </is>
      </c>
      <c r="G7227" t="inlineStr">
        <is>
          <t>01-04-2026</t>
        </is>
      </c>
      <c r="H7227" t="inlineStr">
        <is>
          <t>01/04/2026</t>
        </is>
      </c>
      <c r="I7227" t="inlineStr">
        <is>
          <t>17/03/2026</t>
        </is>
      </c>
      <c r="J7227" t="inlineStr">
        <is>
          <t>Xây dựng</t>
        </is>
      </c>
      <c r="K7227" t="inlineStr">
        <is>
          <t>1 - 2 Năm</t>
        </is>
      </c>
      <c r="L7227" s="8">
        <f>HYPERLINK("https://careerviet.vn/vi/tim-viec-lam/ky-su-co-dien-chuyen-vien-m-e.35C6A94D.html","Xem chi tiết")</f>
        <v/>
      </c>
    </row>
    <row r="7228">
      <c r="B7228" s="9" t="n">
        <v>7226</v>
      </c>
      <c r="C7228" s="10" t="inlineStr">
        <is>
          <t>CHUYÊN VIÊN TƯ VẤN GIÁO DỤC (OCEAN EDU ĐẠI TỪ) - THU NHẬP HẤP DẪN TỪ 15 TRIỆU/THÁNG</t>
        </is>
      </c>
      <c r="D7228" s="10" t="inlineStr">
        <is>
          <t>Công Ty CP Giáo Dục Đại Dương</t>
        </is>
      </c>
      <c r="E7228" s="10" t="inlineStr">
        <is>
          <t>Lương:Cạnh tranh</t>
        </is>
      </c>
      <c r="F7228" s="10" t="inlineStr">
        <is>
          <t>Thái Nguyên</t>
        </is>
      </c>
      <c r="G7228" s="10" t="inlineStr">
        <is>
          <t>02-04-2026</t>
        </is>
      </c>
      <c r="H7228" s="10" t="inlineStr">
        <is>
          <t>02/04/2026</t>
        </is>
      </c>
      <c r="I7228" s="10" t="inlineStr">
        <is>
          <t>17/03/2026</t>
        </is>
      </c>
      <c r="J7228" s="10" t="inlineStr">
        <is>
          <t>Dịch vụ khách hàng, Giáo dục / Đào tạo, Bán hàng / Kinh doanh</t>
        </is>
      </c>
      <c r="K7228" s="10" t="inlineStr">
        <is>
          <t>Lên đến 1 Năm</t>
        </is>
      </c>
      <c r="L7228" s="11">
        <f>HYPERLINK("https://careerviet.vn/vi/tim-viec-lam/chuyen-vien-tu-van-giao-duc-ocean-edu-dai-tu-thu-nhap-hap-dan-tu-15-trieu-thang.35C6AA3B.html","Xem chi tiết")</f>
        <v/>
      </c>
      <c r="M7228" s="10" t="n"/>
    </row>
    <row r="7229">
      <c r="B7229" s="7" t="n">
        <v>7227</v>
      </c>
      <c r="C7229" t="inlineStr">
        <is>
          <t>Kỹ Sư Trưởng Nhà Máy Nội Thất</t>
        </is>
      </c>
      <c r="D7229" t="inlineStr">
        <is>
          <t>Công ty TNHH Nesta</t>
        </is>
      </c>
      <c r="E7229" t="inlineStr">
        <is>
          <t>Lương:Cạnh tranh</t>
        </is>
      </c>
      <c r="F7229" t="inlineStr">
        <is>
          <t>Hưng Yên</t>
        </is>
      </c>
      <c r="G7229" t="inlineStr">
        <is>
          <t>03-04-2026</t>
        </is>
      </c>
      <c r="H7229" t="inlineStr">
        <is>
          <t>03/04/2026</t>
        </is>
      </c>
      <c r="I7229" t="inlineStr">
        <is>
          <t>17/03/2026</t>
        </is>
      </c>
      <c r="J7229" t="inlineStr">
        <is>
          <t>Cơ khí / Ô tô / Tự động hóa, Điện / Điện tử / Điện lạnh / Điện công nghiệp, Sản xuất / Vận hành sản xuất</t>
        </is>
      </c>
      <c r="K7229" t="inlineStr">
        <is>
          <t>Trên 5 Năm</t>
        </is>
      </c>
      <c r="L7229" s="8">
        <f>HYPERLINK("https://careerviet.vn/vi/tim-viec-lam/ky-su-truong-nha-may-noi-that.35C6A8C7.html","Xem chi tiết")</f>
        <v/>
      </c>
    </row>
    <row r="7230">
      <c r="B7230" s="9" t="n">
        <v>7228</v>
      </c>
      <c r="C7230" s="10" t="inlineStr">
        <is>
          <t>CHUYÊN VIÊN KỸ THUẬT THI CÔNG (GIAO THÔNG)</t>
        </is>
      </c>
      <c r="D7230" s="10" t="inlineStr">
        <is>
          <t>Tổng công ty Xây dựng số 1 – CTCP</t>
        </is>
      </c>
      <c r="E7230" s="10" t="inlineStr">
        <is>
          <t>Lương:Cạnh tranh</t>
        </is>
      </c>
      <c r="F7230" s="10" t="inlineStr">
        <is>
          <t>Hồ Chí Minh</t>
        </is>
      </c>
      <c r="G7230" s="10" t="inlineStr">
        <is>
          <t>02-04-2026</t>
        </is>
      </c>
      <c r="H7230" s="10" t="inlineStr">
        <is>
          <t>02/04/2026</t>
        </is>
      </c>
      <c r="I7230" s="10" t="inlineStr">
        <is>
          <t>17/03/2026</t>
        </is>
      </c>
      <c r="J7230" s="10" t="inlineStr">
        <is>
          <t>Xây dựng</t>
        </is>
      </c>
      <c r="K7230" s="10" t="inlineStr">
        <is>
          <t>3 - 5 Năm</t>
        </is>
      </c>
      <c r="L7230" s="11">
        <f>HYPERLINK("https://careerviet.vn/vi/tim-viec-lam/chuyen-vien-ky-thuat-thi-cong-giao-thong.35C6A8D6.html","Xem chi tiết")</f>
        <v/>
      </c>
      <c r="M7230" s="10" t="n"/>
    </row>
    <row r="7231">
      <c r="B7231" s="7" t="n">
        <v>7229</v>
      </c>
      <c r="C7231" t="inlineStr">
        <is>
          <t>CHUYÊN VIÊN THIẾT KẾ ĐỒ HỌA</t>
        </is>
      </c>
      <c r="D7231" t="inlineStr">
        <is>
          <t>Hoàng Huy Group</t>
        </is>
      </c>
      <c r="E7231" t="inlineStr">
        <is>
          <t>Lương:15 Tr - 18 Tr VND</t>
        </is>
      </c>
      <c r="F7231" t="inlineStr">
        <is>
          <t>Hà Nội</t>
        </is>
      </c>
      <c r="G7231" t="inlineStr">
        <is>
          <t>16-03-2026</t>
        </is>
      </c>
      <c r="H7231" t="inlineStr">
        <is>
          <t>15/03/2026</t>
        </is>
      </c>
      <c r="I7231" t="inlineStr">
        <is>
          <t>17/03/2026</t>
        </is>
      </c>
      <c r="J7231" t="inlineStr">
        <is>
          <t>Cơ khí / Ô tô / Tự động hóa, Bất động sản</t>
        </is>
      </c>
      <c r="K7231" t="inlineStr">
        <is>
          <t>N/A</t>
        </is>
      </c>
      <c r="L7231" s="8">
        <f>HYPERLINK("https://careerviet.vn/vi/tim-viec-lam/chuyen-vien-thiet-ke-do-hoa.35C6A7F6.html","Xem chi tiết")</f>
        <v/>
      </c>
    </row>
    <row r="7232">
      <c r="B7232" s="9" t="n">
        <v>7230</v>
      </c>
      <c r="C7232" s="10" t="inlineStr">
        <is>
          <t>[TẬP ĐOÀN PHENIKAA] Chuyên viên Quản trị hệ thống</t>
        </is>
      </c>
      <c r="D7232" s="10" t="inlineStr">
        <is>
          <t>ĐẠI HỌC PHENIKAA</t>
        </is>
      </c>
      <c r="E7232" s="10" t="inlineStr">
        <is>
          <t>Lương:15 Tr - 25 Tr VND</t>
        </is>
      </c>
      <c r="F7232" s="10" t="inlineStr">
        <is>
          <t>Hà Nội</t>
        </is>
      </c>
      <c r="G7232" s="10" t="inlineStr">
        <is>
          <t>04-04-2026</t>
        </is>
      </c>
      <c r="H7232" s="10" t="inlineStr">
        <is>
          <t>04/04/2026</t>
        </is>
      </c>
      <c r="I7232" s="10" t="inlineStr">
        <is>
          <t>17/03/2026</t>
        </is>
      </c>
      <c r="J7232" s="10" t="inlineStr">
        <is>
          <t>CNTT - Phần mềm, CNTT - Phần cứng / Mạng, Sản xuất / Vận hành sản xuất</t>
        </is>
      </c>
      <c r="K7232" s="10" t="inlineStr">
        <is>
          <t>2 - 3 Năm</t>
        </is>
      </c>
      <c r="L7232" s="11">
        <f>HYPERLINK("https://careerviet.vn/vi/tim-viec-lam/tap-doan-phenikaa-chuyen-vien-quan-tri-he-thong.35C6A8D4.html","Xem chi tiết")</f>
        <v/>
      </c>
      <c r="M7232" s="10" t="n"/>
    </row>
    <row r="7233">
      <c r="B7233" s="7" t="n">
        <v>7231</v>
      </c>
      <c r="C7233" t="inlineStr">
        <is>
          <t>Chuyên viên chính Điều tra gian lận</t>
        </is>
      </c>
      <c r="D7233" t="inlineStr">
        <is>
          <t>CÔNG TY CỔ PHẦN KINH DOANH F88</t>
        </is>
      </c>
      <c r="E7233" t="inlineStr">
        <is>
          <t>Lương:15 Tr - 20 Tr VND</t>
        </is>
      </c>
      <c r="F7233" t="inlineStr">
        <is>
          <t>Hồ Chí Minh</t>
        </is>
      </c>
      <c r="G7233" t="inlineStr">
        <is>
          <t>24-03-2026</t>
        </is>
      </c>
      <c r="H7233" t="inlineStr">
        <is>
          <t>24/03/2026</t>
        </is>
      </c>
      <c r="I7233" t="inlineStr">
        <is>
          <t>17/03/2026</t>
        </is>
      </c>
      <c r="J7233" t="inlineStr">
        <is>
          <t>Ngân hàng, Luật / Pháp lý, Kế toán / Kiểm toán</t>
        </is>
      </c>
      <c r="K7233" t="inlineStr">
        <is>
          <t>Trên 2 Năm</t>
        </is>
      </c>
      <c r="L7233" s="8">
        <f>HYPERLINK("https://careerviet.vn/vi/tim-viec-lam/chuyen-vien-chinh-dieu-tra-gian-lan.35C64E55.html","Xem chi tiết")</f>
        <v/>
      </c>
    </row>
    <row r="7234">
      <c r="B7234" s="9" t="n">
        <v>7232</v>
      </c>
      <c r="C7234" s="10" t="inlineStr">
        <is>
          <t>NHÂN VIÊN THIẾT KẾ</t>
        </is>
      </c>
      <c r="D7234" s="10" t="inlineStr">
        <is>
          <t>HỆ THỐNG TRƯỜNG MẦM NON - TIỂU HỌC ICS</t>
        </is>
      </c>
      <c r="E7234" s="10" t="inlineStr">
        <is>
          <t>Lương:10 Tr - 14 Tr VND</t>
        </is>
      </c>
      <c r="F7234" s="10" t="inlineStr">
        <is>
          <t>Hồ Chí Minh</t>
        </is>
      </c>
      <c r="G7234" s="10" t="inlineStr">
        <is>
          <t>31-03-2026</t>
        </is>
      </c>
      <c r="H7234" s="10" t="inlineStr">
        <is>
          <t>31/03/2026</t>
        </is>
      </c>
      <c r="I7234" s="10" t="inlineStr">
        <is>
          <t>17/03/2026</t>
        </is>
      </c>
      <c r="J7234" s="10" t="inlineStr">
        <is>
          <t>Tiếp thị / Marketing, Giáo dục / Đào tạo, Mỹ thuật / Nghệ thuật / Thiết kế</t>
        </is>
      </c>
      <c r="K7234" s="10" t="inlineStr">
        <is>
          <t>1 - 2 Năm</t>
        </is>
      </c>
      <c r="L7234" s="11">
        <f>HYPERLINK("https://careerviet.vn/vi/tim-viec-lam/nhan-vien-thiet-ke.35C6A979.html","Xem chi tiết")</f>
        <v/>
      </c>
      <c r="M7234" s="10" t="n"/>
    </row>
    <row r="7235">
      <c r="B7235" s="7" t="n">
        <v>7233</v>
      </c>
      <c r="C7235" t="inlineStr">
        <is>
          <t>Nhân Viên Kinh Doanh -  Hà Nội, Quảng Bình, Quảng Trị</t>
        </is>
      </c>
      <c r="D7235" t="inlineStr">
        <is>
          <t>Công Ty Cổ Phần Eurowindow</t>
        </is>
      </c>
      <c r="E7235" t="inlineStr">
        <is>
          <t>Lương:Cạnh tranh</t>
        </is>
      </c>
      <c r="F7235" t="inlineStr">
        <is>
          <t>Quảng BìnhHà Nội</t>
        </is>
      </c>
      <c r="G7235" t="inlineStr">
        <is>
          <t>02-04-2026</t>
        </is>
      </c>
      <c r="H7235" t="inlineStr">
        <is>
          <t>02/04/2026</t>
        </is>
      </c>
      <c r="I7235" t="inlineStr">
        <is>
          <t>17/03/2026</t>
        </is>
      </c>
      <c r="J7235" t="inlineStr">
        <is>
          <t>Bất động sản, Bán lẻ / Bán sỉ, Bán hàng / Kinh doanh</t>
        </is>
      </c>
      <c r="K7235" t="inlineStr">
        <is>
          <t>N/A</t>
        </is>
      </c>
      <c r="L7235" s="8">
        <f>HYPERLINK("https://careerviet.vn/vi/tim-viec-lam/nhan-vien-kinh-doanh-ha-noi-quang-binh-quang-tri.35C6A7FC.html","Xem chi tiết")</f>
        <v/>
      </c>
    </row>
    <row r="7236">
      <c r="B7236" s="9" t="n">
        <v>7234</v>
      </c>
      <c r="C7236" s="10" t="inlineStr">
        <is>
          <t>Giám Sát Công Trình - Nội Thất</t>
        </is>
      </c>
      <c r="D7236" s="10" t="inlineStr">
        <is>
          <t>CÔNG TY TRÁCH NHIỆM HỮU HẠN R.P</t>
        </is>
      </c>
      <c r="E7236" s="10" t="inlineStr">
        <is>
          <t>Lương:Cạnh tranh</t>
        </is>
      </c>
      <c r="F7236" s="10" t="inlineStr">
        <is>
          <t>Hải PhòngĐà NẵngBà Rịa - Vũng Tàu</t>
        </is>
      </c>
      <c r="G7236" s="10" t="inlineStr">
        <is>
          <t>02-04-2026</t>
        </is>
      </c>
      <c r="H7236" s="10" t="inlineStr">
        <is>
          <t>02/04/2026</t>
        </is>
      </c>
      <c r="I7236" s="10" t="inlineStr">
        <is>
          <t>17/03/2026</t>
        </is>
      </c>
      <c r="J7236" s="10" t="inlineStr">
        <is>
          <t>Kiến trúc, Xây dựng, Nội ngoại thất</t>
        </is>
      </c>
      <c r="K7236" s="10" t="inlineStr">
        <is>
          <t>Chưa có kinh nghiệm</t>
        </is>
      </c>
      <c r="L7236" s="11">
        <f>HYPERLINK("https://careerviet.vn/vi/tim-viec-lam/giam-sat-cong-trinh-noi-that.35C6AAD0.html","Xem chi tiết")</f>
        <v/>
      </c>
      <c r="M7236" s="10" t="n"/>
    </row>
    <row r="7237">
      <c r="B7237" s="7" t="n">
        <v>7235</v>
      </c>
      <c r="C7237" t="inlineStr">
        <is>
          <t>CHUYÊN VIÊN THIẾT KẾ GIAO THÔNG &amp; ĐIỀU PHỐI BIM</t>
        </is>
      </c>
      <c r="D7237" t="inlineStr">
        <is>
          <t>Tổng công ty Xây dựng số 1 – CTCP</t>
        </is>
      </c>
      <c r="E7237" t="inlineStr">
        <is>
          <t>Lương:Cạnh tranh</t>
        </is>
      </c>
      <c r="F7237" t="inlineStr">
        <is>
          <t>Hồ Chí Minh</t>
        </is>
      </c>
      <c r="G7237" t="inlineStr">
        <is>
          <t>02-04-2026</t>
        </is>
      </c>
      <c r="H7237" t="inlineStr">
        <is>
          <t>02/04/2026</t>
        </is>
      </c>
      <c r="I7237" t="inlineStr">
        <is>
          <t>17/03/2026</t>
        </is>
      </c>
      <c r="J7237" t="inlineStr">
        <is>
          <t>Xây dựng</t>
        </is>
      </c>
      <c r="K7237" t="inlineStr">
        <is>
          <t>3 - 5 Năm</t>
        </is>
      </c>
      <c r="L7237" s="8">
        <f>HYPERLINK("https://careerviet.vn/vi/tim-viec-lam/chuyen-vien-thiet-ke-giao-thong-dieu-phoi-bim.35C6A8E0.html","Xem chi tiết")</f>
        <v/>
      </c>
    </row>
    <row r="7238">
      <c r="B7238" s="9" t="n">
        <v>7236</v>
      </c>
      <c r="C7238" s="10" t="inlineStr">
        <is>
          <t>Lễ tân tòa nhà</t>
        </is>
      </c>
      <c r="D7238" s="10" t="inlineStr">
        <is>
          <t>CÔNG TY CỔ PHẦN ĐẦU TƯ INFINITY GROUP</t>
        </is>
      </c>
      <c r="E7238" s="10" t="inlineStr">
        <is>
          <t>Lương:8 Tr - 10 Tr VND</t>
        </is>
      </c>
      <c r="F7238" s="10" t="inlineStr">
        <is>
          <t>Hà Nội</t>
        </is>
      </c>
      <c r="G7238" s="10" t="inlineStr">
        <is>
          <t>31-03-2026</t>
        </is>
      </c>
      <c r="H7238" s="10" t="inlineStr">
        <is>
          <t>31/03/2026</t>
        </is>
      </c>
      <c r="I7238" s="10" t="inlineStr">
        <is>
          <t>17/03/2026</t>
        </is>
      </c>
      <c r="J7238" s="10" t="inlineStr">
        <is>
          <t>Dịch vụ khách hàng, Hành chính / Thư ký, Mới tốt nghiệp / Thực tập</t>
        </is>
      </c>
      <c r="K7238" s="10" t="inlineStr">
        <is>
          <t>Chưa có kinh nghiệm</t>
        </is>
      </c>
      <c r="L7238" s="11">
        <f>HYPERLINK("https://careerviet.vn/vi/tim-viec-lam/le-tan-toa-nha.35C6A817.html","Xem chi tiết")</f>
        <v/>
      </c>
      <c r="M7238" s="10" t="n"/>
    </row>
    <row r="7239">
      <c r="B7239" s="7" t="n">
        <v>7237</v>
      </c>
      <c r="C7239" t="inlineStr">
        <is>
          <t>HR Business Partner (HRBP)</t>
        </is>
      </c>
      <c r="D7239" t="inlineStr">
        <is>
          <t>Tập Đoàn Karofi Holding</t>
        </is>
      </c>
      <c r="E7239" t="inlineStr">
        <is>
          <t>Lương:Cạnh tranh</t>
        </is>
      </c>
      <c r="F7239" t="inlineStr">
        <is>
          <t>Hà Nội</t>
        </is>
      </c>
      <c r="G7239" t="inlineStr">
        <is>
          <t>02-04-2026</t>
        </is>
      </c>
      <c r="H7239" t="inlineStr">
        <is>
          <t>02/04/2026</t>
        </is>
      </c>
      <c r="I7239" t="inlineStr">
        <is>
          <t>17/03/2026</t>
        </is>
      </c>
      <c r="J7239" t="inlineStr">
        <is>
          <t>Hàng gia dụng / Chăm sóc cá nhân, Bán lẻ / Bán sỉ, Bán hàng / Kinh doanh</t>
        </is>
      </c>
      <c r="K7239" t="inlineStr">
        <is>
          <t>3 - 5 Năm</t>
        </is>
      </c>
      <c r="L7239" s="8">
        <f>HYPERLINK("https://careerviet.vn/vi/tim-viec-lam/hr-business-partner-hrbp.35C6A7DE.html","Xem chi tiết")</f>
        <v/>
      </c>
    </row>
    <row r="7240">
      <c r="B7240" s="9" t="n">
        <v>7238</v>
      </c>
      <c r="C7240" s="10" t="inlineStr">
        <is>
          <t>Trưởng Nhóm Sản Xuất ( Giày )</t>
        </is>
      </c>
      <c r="D7240" s="10" t="inlineStr">
        <is>
          <t>Công Ty TNHH Ortholite Việt Nam</t>
        </is>
      </c>
      <c r="E7240" s="10" t="inlineStr">
        <is>
          <t>Lương:Cạnh tranh</t>
        </is>
      </c>
      <c r="F7240" s="10" t="inlineStr">
        <is>
          <t>Bình Dương</t>
        </is>
      </c>
      <c r="G7240" s="10" t="inlineStr">
        <is>
          <t>02-04-2026</t>
        </is>
      </c>
      <c r="H7240" s="10" t="inlineStr">
        <is>
          <t>02/04/2026</t>
        </is>
      </c>
      <c r="I7240" s="10" t="inlineStr">
        <is>
          <t>17/03/2026</t>
        </is>
      </c>
      <c r="J7240" s="10" t="inlineStr">
        <is>
          <t>Sản xuất / Vận hành sản xuất, Dệt may / Da giày / Thời trang, Quản lý chất lượng (QA/QC)</t>
        </is>
      </c>
      <c r="K7240" s="10" t="inlineStr">
        <is>
          <t>Lên đến 5 Năm</t>
        </is>
      </c>
      <c r="L7240" s="11">
        <f>HYPERLINK("https://careerviet.vn/vi/tim-viec-lam/truong-nhom-san-xuat-giay.35C6A7AA.html","Xem chi tiết")</f>
        <v/>
      </c>
      <c r="M7240" s="10" t="n"/>
    </row>
    <row r="7241">
      <c r="B7241" s="7" t="n">
        <v>7239</v>
      </c>
      <c r="C7241" t="inlineStr">
        <is>
          <t>Nhân viên quay dựng</t>
        </is>
      </c>
      <c r="D7241" t="inlineStr">
        <is>
          <t>CÔNG TY TNHH ĐẦU TƯ, THƯƠNG MẠI VÀ DỊCH VỤ QUINN HÀ NỘI</t>
        </is>
      </c>
      <c r="E7241" t="inlineStr">
        <is>
          <t>Lương:15 Tr - 17 Tr VND</t>
        </is>
      </c>
      <c r="F7241" t="inlineStr">
        <is>
          <t>Hà Nội</t>
        </is>
      </c>
      <c r="G7241" t="inlineStr">
        <is>
          <t>30-04-2026</t>
        </is>
      </c>
      <c r="H7241" t="inlineStr">
        <is>
          <t>30/04/2026</t>
        </is>
      </c>
      <c r="I7241" t="inlineStr">
        <is>
          <t>17/03/2026</t>
        </is>
      </c>
      <c r="J7241" t="inlineStr">
        <is>
          <t>Giải trí, Tổ chức sự kiện, Quảng cáo / Đối ngoại / Truyền Thông</t>
        </is>
      </c>
      <c r="K7241" t="inlineStr">
        <is>
          <t>1 - 3 Năm</t>
        </is>
      </c>
      <c r="L7241" s="8">
        <f>HYPERLINK("https://careerviet.vn/vi/tim-viec-lam/nhan-vien-quay-dung.35C6A755.html","Xem chi tiết")</f>
        <v/>
      </c>
    </row>
    <row r="7242">
      <c r="B7242" s="9" t="n">
        <v>7240</v>
      </c>
      <c r="C7242" s="10" t="inlineStr">
        <is>
          <t>Kế toán nội bộ</t>
        </is>
      </c>
      <c r="D7242" s="10" t="inlineStr">
        <is>
          <t>CÔNG TY CỔ PHẦN ĐIỆN VÀ XÂY DỰNG NAM VIỆT</t>
        </is>
      </c>
      <c r="E7242" s="10" t="inlineStr">
        <is>
          <t>Lương:10 Tr - 15 Tr VND</t>
        </is>
      </c>
      <c r="F7242" s="10" t="inlineStr">
        <is>
          <t>Hồ Chí Minh</t>
        </is>
      </c>
      <c r="G7242" s="10" t="inlineStr">
        <is>
          <t>31-03-2026</t>
        </is>
      </c>
      <c r="H7242" s="10" t="inlineStr">
        <is>
          <t>31/03/2026</t>
        </is>
      </c>
      <c r="I7242" s="10" t="inlineStr">
        <is>
          <t>17/03/2026</t>
        </is>
      </c>
      <c r="J7242" s="10" t="inlineStr">
        <is>
          <t>Kế toán / Kiểm toán, Thống kê, Tài chính / Đầu tư</t>
        </is>
      </c>
      <c r="K7242" s="10" t="inlineStr">
        <is>
          <t>1 - 3 Năm</t>
        </is>
      </c>
      <c r="L7242" s="11">
        <f>HYPERLINK("https://careerviet.vn/vi/tim-viec-lam/ke-toan-noi-bo.35C6A7D3.html","Xem chi tiết")</f>
        <v/>
      </c>
      <c r="M7242" s="10" t="n"/>
    </row>
    <row r="7243">
      <c r="B7243" s="7" t="n">
        <v>7241</v>
      </c>
      <c r="C7243" t="inlineStr">
        <is>
          <t>Product Development Specialist</t>
        </is>
      </c>
      <c r="D7243" t="inlineStr">
        <is>
          <t>Công Ty TNHH Bodynits Tiền Giang</t>
        </is>
      </c>
      <c r="E7243" t="inlineStr">
        <is>
          <t>Lương:Cạnh tranh</t>
        </is>
      </c>
      <c r="F7243" t="inlineStr">
        <is>
          <t>Tiền Giang</t>
        </is>
      </c>
      <c r="G7243" t="inlineStr">
        <is>
          <t>03-04-2026</t>
        </is>
      </c>
      <c r="H7243" t="inlineStr">
        <is>
          <t>03/04/2026</t>
        </is>
      </c>
      <c r="I7243" t="inlineStr">
        <is>
          <t>17/03/2026</t>
        </is>
      </c>
      <c r="J7243" t="inlineStr">
        <is>
          <t>Dệt may / Da giày / Thời trang, Sản xuất / Vận hành sản xuất, Thu mua / Vật tư</t>
        </is>
      </c>
      <c r="K7243" t="inlineStr">
        <is>
          <t>2 - 3 Năm</t>
        </is>
      </c>
      <c r="L7243" s="8">
        <f>HYPERLINK("https://careerviet.vn/vi/tim-viec-lam/product-development-specialist.35C6AAB2.html","Xem chi tiết")</f>
        <v/>
      </c>
    </row>
    <row r="7244">
      <c r="B7244" s="9" t="n">
        <v>7242</v>
      </c>
      <c r="C7244" s="10" t="inlineStr">
        <is>
          <t>Nhân viên Livestream - Nhân viên chính thức</t>
        </is>
      </c>
      <c r="D7244" s="10" t="inlineStr">
        <is>
          <t>CT CP Tập Đoàn Thái Tuấn</t>
        </is>
      </c>
      <c r="E7244" s="10" t="inlineStr">
        <is>
          <t>Lương:9 Tr - 13 Tr VND</t>
        </is>
      </c>
      <c r="F7244" s="10" t="inlineStr">
        <is>
          <t>Hồ Chí Minh</t>
        </is>
      </c>
      <c r="G7244" s="10" t="inlineStr">
        <is>
          <t>02-04-2026</t>
        </is>
      </c>
      <c r="H7244" s="10" t="inlineStr">
        <is>
          <t>02/04/2026</t>
        </is>
      </c>
      <c r="I7244" s="10" t="inlineStr">
        <is>
          <t>17/03/2026</t>
        </is>
      </c>
      <c r="J7244" s="10" t="inlineStr">
        <is>
          <t>Tiếp thị / Marketing, Tiếp thị trực tuyến, Quảng cáo / Đối ngoại / Truyền Thông</t>
        </is>
      </c>
      <c r="K7244" s="10" t="inlineStr">
        <is>
          <t>Trên 1 Năm</t>
        </is>
      </c>
      <c r="L7244" s="11">
        <f>HYPERLINK("https://careerviet.vn/vi/tim-viec-lam/nhan-vien-livestream-nhan-vien-chinh-thuc.35C6A793.html","Xem chi tiết")</f>
        <v/>
      </c>
      <c r="M7244" s="10" t="n"/>
    </row>
    <row r="7245">
      <c r="B7245" s="7" t="n">
        <v>7243</v>
      </c>
      <c r="C7245" t="inlineStr">
        <is>
          <t>LÁI XE BEN</t>
        </is>
      </c>
      <c r="D7245" t="inlineStr">
        <is>
          <t>TỔNG CÔNG TY CỔ PHẦN THƯƠNG MẠI XÂY DỰNG</t>
        </is>
      </c>
      <c r="E7245" t="inlineStr">
        <is>
          <t>Lương:10 Tr - 20 Tr VND</t>
        </is>
      </c>
      <c r="F7245" t="inlineStr">
        <is>
          <t>Hà Nội</t>
        </is>
      </c>
      <c r="G7245" t="inlineStr">
        <is>
          <t>16-03-2026</t>
        </is>
      </c>
      <c r="H7245" t="inlineStr">
        <is>
          <t>14/03/2026</t>
        </is>
      </c>
      <c r="I7245" t="inlineStr">
        <is>
          <t>17/03/2026</t>
        </is>
      </c>
      <c r="J7245" t="inlineStr">
        <is>
          <t>Lao động phổ thông</t>
        </is>
      </c>
      <c r="K7245" t="inlineStr">
        <is>
          <t>2 - 5 Năm</t>
        </is>
      </c>
      <c r="L7245" s="8">
        <f>HYPERLINK("https://careerviet.vn/vi/tim-viec-lam/lai-xe-ben.35C6A7FD.html","Xem chi tiết")</f>
        <v/>
      </c>
    </row>
    <row r="7246">
      <c r="B7246" s="9" t="n">
        <v>7244</v>
      </c>
      <c r="C7246" s="10" t="inlineStr">
        <is>
          <t>Quản lý phòng váy</t>
        </is>
      </c>
      <c r="D7246" s="10" t="inlineStr">
        <is>
          <t>CÔNG TY TNHH TRỐNG ĐỒNG VIỆT NAM</t>
        </is>
      </c>
      <c r="E7246" s="10" t="inlineStr">
        <is>
          <t>Lương:14 Tr - 16 Tr VND</t>
        </is>
      </c>
      <c r="F7246" s="10" t="inlineStr">
        <is>
          <t>Hà Nội</t>
        </is>
      </c>
      <c r="G7246" s="10" t="inlineStr">
        <is>
          <t>11-04-2026</t>
        </is>
      </c>
      <c r="H7246" s="10" t="inlineStr">
        <is>
          <t>11/04/2026</t>
        </is>
      </c>
      <c r="I7246" s="10" t="inlineStr">
        <is>
          <t>17/03/2026</t>
        </is>
      </c>
      <c r="J7246" s="10" t="inlineStr">
        <is>
          <t>Dệt may / Da giày / Thời trang</t>
        </is>
      </c>
      <c r="K7246" s="10" t="inlineStr">
        <is>
          <t>1 - 2 Năm</t>
        </is>
      </c>
      <c r="L7246" s="11">
        <f>HYPERLINK("https://careerviet.vn/vi/tim-viec-lam/quan-ly-phong-vay.35C6A811.html","Xem chi tiết")</f>
        <v/>
      </c>
      <c r="M7246" s="10" t="n"/>
    </row>
    <row r="7247">
      <c r="B7247" s="7" t="n">
        <v>7245</v>
      </c>
      <c r="C7247" t="inlineStr">
        <is>
          <t>[GLOBALX-NOVASERVICE] Chuyên Viên Kế Toán Kho</t>
        </is>
      </c>
      <c r="D7247" t="inlineStr">
        <is>
          <t>Nova Service Group - Công ty Cổ phần Tập đoàn Nova Services</t>
        </is>
      </c>
      <c r="E7247" t="inlineStr">
        <is>
          <t>Lương:Cạnh tranh</t>
        </is>
      </c>
      <c r="F7247" t="inlineStr">
        <is>
          <t>Hồ Chí Minh</t>
        </is>
      </c>
      <c r="G7247" t="inlineStr">
        <is>
          <t>03-04-2026</t>
        </is>
      </c>
      <c r="H7247" t="inlineStr">
        <is>
          <t>03/04/2026</t>
        </is>
      </c>
      <c r="I7247" t="inlineStr">
        <is>
          <t>17/03/2026</t>
        </is>
      </c>
      <c r="J7247" t="inlineStr">
        <is>
          <t>Kế toán / Kiểm toán</t>
        </is>
      </c>
      <c r="K7247" t="inlineStr">
        <is>
          <t>2 - 3 Năm</t>
        </is>
      </c>
      <c r="L7247" s="8">
        <f>HYPERLINK("https://careerviet.vn/vi/tim-viec-lam/globalx-novaservice-chuyen-vien-ke-toan-kho.35C6A916.html","Xem chi tiết")</f>
        <v/>
      </c>
    </row>
    <row r="7248">
      <c r="B7248" s="9" t="n">
        <v>7246</v>
      </c>
      <c r="C7248" s="10" t="inlineStr">
        <is>
          <t>Chuyên Viên/Chuyên viên cao cấp Quan Hệ Khách Hàng Doanh Nghiệp - Bình Dương &amp; Đồng Nai</t>
        </is>
      </c>
      <c r="D7248" s="10" t="inlineStr">
        <is>
          <t>Ngân hàng TMCP Việt Á – VietABank</t>
        </is>
      </c>
      <c r="E7248" s="10" t="inlineStr">
        <is>
          <t>Lương:10 Tr - 36 Tr VND</t>
        </is>
      </c>
      <c r="F7248" s="10" t="inlineStr">
        <is>
          <t>Bình DươngĐồng Nai</t>
        </is>
      </c>
      <c r="G7248" s="10" t="inlineStr">
        <is>
          <t>02-04-2026</t>
        </is>
      </c>
      <c r="H7248" s="10" t="inlineStr">
        <is>
          <t>02/04/2026</t>
        </is>
      </c>
      <c r="I7248" s="10" t="inlineStr">
        <is>
          <t>17/03/2026</t>
        </is>
      </c>
      <c r="J7248" s="10" t="inlineStr">
        <is>
          <t>Ngân hàng, Bảo hiểm, Bất động sản</t>
        </is>
      </c>
      <c r="K7248" s="10" t="inlineStr">
        <is>
          <t>1 - 3 Năm</t>
        </is>
      </c>
      <c r="L7248" s="11">
        <f>HYPERLINK("https://careerviet.vn/vi/tim-viec-lam/chuyen-vien-chuyen-vien-cao-cap-quan-he-khach-hang-doanh-nghiep-binh-duong-dong-nai.35C6A77A.html","Xem chi tiết")</f>
        <v/>
      </c>
      <c r="M7248" s="10" t="n"/>
    </row>
    <row r="7249">
      <c r="B7249" s="7" t="n">
        <v>7247</v>
      </c>
      <c r="C7249" t="inlineStr">
        <is>
          <t>Nhân Viên Kinh Doanh Thực Phẩm Chức Năng Nhật Bản</t>
        </is>
      </c>
      <c r="D7249" t="inlineStr">
        <is>
          <t>Công Ty TNHH ONE-VALUE Việt Nam</t>
        </is>
      </c>
      <c r="E7249" t="inlineStr">
        <is>
          <t>Lương:Trên 7 Tr VND</t>
        </is>
      </c>
      <c r="F7249" t="inlineStr">
        <is>
          <t>Hà Nội</t>
        </is>
      </c>
      <c r="G7249" t="inlineStr">
        <is>
          <t>1</t>
        </is>
      </c>
      <c r="H7249" t="inlineStr">
        <is>
          <t>18/03/2026</t>
        </is>
      </c>
      <c r="I7249" t="inlineStr">
        <is>
          <t>17/03/2026</t>
        </is>
      </c>
      <c r="J7249" t="inlineStr">
        <is>
          <t>Bán hàng / Kinh doanh, Dược phẩm/ Hóa Mỹ Phẩm</t>
        </is>
      </c>
      <c r="K7249" t="inlineStr">
        <is>
          <t>1 - 3 Năm</t>
        </is>
      </c>
      <c r="L7249" s="8">
        <f>HYPERLINK("https://careerviet.vn/vi/tim-viec-lam/nhan-vien-kinh-doanh-thuc-pham-chuc-nang-nhat-ban.35C6A75E.html","Xem chi tiết")</f>
        <v/>
      </c>
    </row>
    <row r="7250">
      <c r="B7250" s="9" t="n">
        <v>7248</v>
      </c>
      <c r="C7250" s="10" t="inlineStr">
        <is>
          <t>Nhân Viên Phát Triển Mẫu - Sơn Bột Tĩnh Điện (KCN Quế Võ 1)</t>
        </is>
      </c>
      <c r="D7250" s="10" t="inlineStr">
        <is>
          <t>AkzoNobel Vietnam</t>
        </is>
      </c>
      <c r="E7250" s="10" t="inlineStr">
        <is>
          <t>Lương:Cạnh tranh</t>
        </is>
      </c>
      <c r="F7250" s="10" t="inlineStr">
        <is>
          <t>Bắc Ninh</t>
        </is>
      </c>
      <c r="G7250" s="10" t="inlineStr">
        <is>
          <t>03-04-2026</t>
        </is>
      </c>
      <c r="H7250" s="10" t="inlineStr">
        <is>
          <t>03/04/2026</t>
        </is>
      </c>
      <c r="I7250" s="10" t="inlineStr">
        <is>
          <t>17/03/2026</t>
        </is>
      </c>
      <c r="J7250" s="10" t="inlineStr">
        <is>
          <t>Hóa học, Sản xuất / Vận hành sản xuất, Quản lý chất lượng (QA/QC)</t>
        </is>
      </c>
      <c r="K7250" s="10" t="inlineStr">
        <is>
          <t>1 - 2 Năm</t>
        </is>
      </c>
      <c r="L7250" s="11">
        <f>HYPERLINK("https://careerviet.vn/vi/tim-viec-lam/nhan-vien-phat-trien-mau-son-bot-tinh-dien-kcn-que-vo-1.35C6A867.html","Xem chi tiết")</f>
        <v/>
      </c>
      <c r="M7250" s="10" t="n"/>
    </row>
    <row r="7251">
      <c r="B7251" s="7" t="n">
        <v>7249</v>
      </c>
      <c r="C7251" t="inlineStr">
        <is>
          <t>Lab Technician - Micro Lab</t>
        </is>
      </c>
      <c r="D7251" t="inlineStr">
        <is>
          <t>Cty SGS Việt Nam TNHH</t>
        </is>
      </c>
      <c r="E7251" t="inlineStr">
        <is>
          <t>Lương:10 Tr - 11 Tr VND</t>
        </is>
      </c>
      <c r="F7251" t="inlineStr">
        <is>
          <t>Hồ Chí Minh</t>
        </is>
      </c>
      <c r="G7251" t="inlineStr">
        <is>
          <t>31-03-2026</t>
        </is>
      </c>
      <c r="H7251" t="inlineStr">
        <is>
          <t>31/03/2026</t>
        </is>
      </c>
      <c r="I7251" t="inlineStr">
        <is>
          <t>17/03/2026</t>
        </is>
      </c>
      <c r="J7251" t="inlineStr">
        <is>
          <t>Hóa học</t>
        </is>
      </c>
      <c r="K7251" t="inlineStr">
        <is>
          <t>N/A</t>
        </is>
      </c>
      <c r="L7251" s="8">
        <f>HYPERLINK("https://careerviet.vn/vi/tim-viec-lam/lab-technician-micro-lab.35C6A7C7.html","Xem chi tiết")</f>
        <v/>
      </c>
    </row>
    <row r="7252">
      <c r="B7252" s="9" t="n">
        <v>7250</v>
      </c>
      <c r="C7252" s="10" t="inlineStr">
        <is>
          <t>CHUYÊN VIÊN TƯ VẤN GIÁO DỤC (OCEAN EDU SÔNG CÔNG) - THU NHẬP HẤP DẪN TỪ 15 TRIỆU/THÁNG</t>
        </is>
      </c>
      <c r="D7252" s="10" t="inlineStr">
        <is>
          <t>Công Ty CP Giáo Dục Đại Dương</t>
        </is>
      </c>
      <c r="E7252" s="10" t="inlineStr">
        <is>
          <t>Lương:Cạnh tranh</t>
        </is>
      </c>
      <c r="F7252" s="10" t="inlineStr">
        <is>
          <t>Thái Nguyên</t>
        </is>
      </c>
      <c r="G7252" s="10" t="inlineStr">
        <is>
          <t>02-04-2026</t>
        </is>
      </c>
      <c r="H7252" s="10" t="inlineStr">
        <is>
          <t>02/04/2026</t>
        </is>
      </c>
      <c r="I7252" s="10" t="inlineStr">
        <is>
          <t>17/03/2026</t>
        </is>
      </c>
      <c r="J7252" s="10" t="inlineStr">
        <is>
          <t>Dịch vụ khách hàng, Giáo dục / Đào tạo, Bán hàng / Kinh doanh</t>
        </is>
      </c>
      <c r="K7252" s="10" t="inlineStr">
        <is>
          <t>Lên đến 1 Năm</t>
        </is>
      </c>
      <c r="L7252" s="11">
        <f>HYPERLINK("https://careerviet.vn/vi/tim-viec-lam/chuyen-vien-tu-van-giao-duc-ocean-edu-song-cong-thu-nhap-hap-dan-tu-15-trieu-thang.35C6AA33.html","Xem chi tiết")</f>
        <v/>
      </c>
      <c r="M7252" s="10" t="n"/>
    </row>
    <row r="7253">
      <c r="B7253" s="7" t="n">
        <v>7251</v>
      </c>
      <c r="C7253" t="inlineStr">
        <is>
          <t>CHUYÊN VIÊN TƯ VẤN GIÁO DỤC (OCEAN EDU MÊ LINH) - THU NHẬP HẤP DẪN TỪ 15 TRIỆU/THÁNG</t>
        </is>
      </c>
      <c r="D7253" t="inlineStr">
        <is>
          <t>Công Ty CP Giáo Dục Đại Dương</t>
        </is>
      </c>
      <c r="E7253" t="inlineStr">
        <is>
          <t>Lương:Cạnh tranh</t>
        </is>
      </c>
      <c r="F7253" t="inlineStr">
        <is>
          <t>Hà Nội</t>
        </is>
      </c>
      <c r="G7253" t="inlineStr">
        <is>
          <t>02-04-2026</t>
        </is>
      </c>
      <c r="H7253" t="inlineStr">
        <is>
          <t>02/04/2026</t>
        </is>
      </c>
      <c r="I7253" t="inlineStr">
        <is>
          <t>17/03/2026</t>
        </is>
      </c>
      <c r="J7253" t="inlineStr">
        <is>
          <t>Dịch vụ khách hàng, Giáo dục / Đào tạo, Bán hàng / Kinh doanh</t>
        </is>
      </c>
      <c r="K7253" t="inlineStr">
        <is>
          <t>Lên đến 1 Năm</t>
        </is>
      </c>
      <c r="L7253" s="8">
        <f>HYPERLINK("https://careerviet.vn/vi/tim-viec-lam/chuyen-vien-tu-van-giao-duc-ocean-edu-me-linh-thu-nhap-hap-dan-tu-15-trieu-thang.35C6A7BF.html","Xem chi tiết")</f>
        <v/>
      </c>
    </row>
    <row r="7254">
      <c r="B7254" s="9" t="n">
        <v>7252</v>
      </c>
      <c r="C7254" s="10" t="inlineStr">
        <is>
          <t>CHUYÊN VIÊN TƯ VẤN GIÁO DỤC (OCEAN EDU XUÂN HÒA) - THU NHẬP HẤP DẪN TỪ 15 TRIỆU/THÁNG</t>
        </is>
      </c>
      <c r="D7254" s="10" t="inlineStr">
        <is>
          <t>Công Ty CP Giáo Dục Đại Dương</t>
        </is>
      </c>
      <c r="E7254" s="10" t="inlineStr">
        <is>
          <t>Lương:Cạnh tranh</t>
        </is>
      </c>
      <c r="F7254" s="10" t="inlineStr">
        <is>
          <t>Vĩnh Phúc</t>
        </is>
      </c>
      <c r="G7254" s="10" t="inlineStr">
        <is>
          <t>02-04-2026</t>
        </is>
      </c>
      <c r="H7254" s="10" t="inlineStr">
        <is>
          <t>02/04/2026</t>
        </is>
      </c>
      <c r="I7254" s="10" t="inlineStr">
        <is>
          <t>17/03/2026</t>
        </is>
      </c>
      <c r="J7254" s="10" t="inlineStr">
        <is>
          <t>Dịch vụ khách hàng, Giáo dục / Đào tạo, Bán hàng / Kinh doanh</t>
        </is>
      </c>
      <c r="K7254" s="10" t="inlineStr">
        <is>
          <t>Lên đến 1 Năm</t>
        </is>
      </c>
      <c r="L7254" s="11">
        <f>HYPERLINK("https://careerviet.vn/vi/tim-viec-lam/chuyen-vien-tu-van-giao-duc-ocean-edu-xuan-hoa-thu-nhap-hap-dan-tu-15-trieu-thang.35C6A7BC.html","Xem chi tiết")</f>
        <v/>
      </c>
      <c r="M7254" s="10" t="n"/>
    </row>
    <row r="7255">
      <c r="B7255" s="7" t="n">
        <v>7253</v>
      </c>
      <c r="C7255" t="inlineStr">
        <is>
          <t>Customer Service Staff - Lab Order</t>
        </is>
      </c>
      <c r="D7255" t="inlineStr">
        <is>
          <t>CÔNG TY TNHH GUNZETAL (VIỆT NAM)</t>
        </is>
      </c>
      <c r="E7255" t="inlineStr">
        <is>
          <t>Lương:Cạnh tranh</t>
        </is>
      </c>
      <c r="F7255" t="inlineStr">
        <is>
          <t>Bình Dương</t>
        </is>
      </c>
      <c r="G7255" t="inlineStr">
        <is>
          <t>03-04-2026</t>
        </is>
      </c>
      <c r="H7255" t="inlineStr">
        <is>
          <t>03/04/2026</t>
        </is>
      </c>
      <c r="I7255" t="inlineStr">
        <is>
          <t>17/03/2026</t>
        </is>
      </c>
      <c r="J7255" t="inlineStr">
        <is>
          <t>Dệt may / Da giày / Thời trang, Dịch vụ khách hàng</t>
        </is>
      </c>
      <c r="K7255" t="inlineStr">
        <is>
          <t>Chưa có kinh nghiệm</t>
        </is>
      </c>
      <c r="L7255" s="8">
        <f>HYPERLINK("https://careerviet.vn/vi/tim-viec-lam/customer-service-staff-lab-order.35C6A79F.html","Xem chi tiết")</f>
        <v/>
      </c>
    </row>
    <row r="7256">
      <c r="B7256" s="9" t="n">
        <v>7254</v>
      </c>
      <c r="C7256" s="10" t="inlineStr">
        <is>
          <t>Nhân viên Bảo trì điện</t>
        </is>
      </c>
      <c r="D7256" s="10" t="inlineStr">
        <is>
          <t>Công ty CP Thành Thành Công - Biên Hòa</t>
        </is>
      </c>
      <c r="E7256" s="10" t="inlineStr">
        <is>
          <t>Lương:Cạnh tranh</t>
        </is>
      </c>
      <c r="F7256" s="10" t="inlineStr">
        <is>
          <t>Tây Ninh</t>
        </is>
      </c>
      <c r="G7256" s="10" t="inlineStr">
        <is>
          <t>02-04-2026</t>
        </is>
      </c>
      <c r="H7256" s="10" t="inlineStr">
        <is>
          <t>02/04/2026</t>
        </is>
      </c>
      <c r="I7256" s="10" t="inlineStr">
        <is>
          <t>17/03/2026</t>
        </is>
      </c>
      <c r="J7256" s="10" t="inlineStr">
        <is>
          <t>Điện / Điện tử / Điện lạnh / Điện công nghiệp, Bảo trì / Sửa chữa</t>
        </is>
      </c>
      <c r="K7256" s="10" t="inlineStr">
        <is>
          <t>1 - 3 Năm</t>
        </is>
      </c>
      <c r="L7256" s="11">
        <f>HYPERLINK("https://careerviet.vn/vi/tim-viec-lam/nhan-vien-bao-tri-dien.35C6AA9A.html","Xem chi tiết")</f>
        <v/>
      </c>
      <c r="M7256" s="10" t="n"/>
    </row>
    <row r="7257">
      <c r="B7257" s="7" t="n">
        <v>7255</v>
      </c>
      <c r="C7257" t="inlineStr">
        <is>
          <t>Chuyên viên - Kiểm soát vận hành bán lẻ</t>
        </is>
      </c>
      <c r="D7257" t="inlineStr">
        <is>
          <t>Công Ty CP Vàng Bạc Đá Quý Phú Nhuận - PNJ</t>
        </is>
      </c>
      <c r="E7257" t="inlineStr">
        <is>
          <t>Lương:Cạnh tranh</t>
        </is>
      </c>
      <c r="F7257" t="inlineStr">
        <is>
          <t>Hồ Chí Minh</t>
        </is>
      </c>
      <c r="G7257" t="inlineStr">
        <is>
          <t>02-04-2026</t>
        </is>
      </c>
      <c r="H7257" t="inlineStr">
        <is>
          <t>02/04/2026</t>
        </is>
      </c>
      <c r="I7257" t="inlineStr">
        <is>
          <t>17/03/2026</t>
        </is>
      </c>
      <c r="J7257" t="inlineStr">
        <is>
          <t>Bán lẻ / Bán sỉ, Bán hàng / Kinh doanh</t>
        </is>
      </c>
      <c r="K7257" t="inlineStr">
        <is>
          <t>1 - 3 Năm</t>
        </is>
      </c>
      <c r="L7257" s="8">
        <f>HYPERLINK("https://careerviet.vn/vi/tim-viec-lam/chuyen-vien-kiem-soat-van-hanh-ban-le.35C6A7C5.html","Xem chi tiết")</f>
        <v/>
      </c>
    </row>
    <row r="7258">
      <c r="B7258" s="9" t="n">
        <v>7256</v>
      </c>
      <c r="C7258" s="10" t="inlineStr">
        <is>
          <t>Cửa Hàng Trưởng- Hà Nam</t>
        </is>
      </c>
      <c r="D7258" s="10" t="inlineStr">
        <is>
          <t>CT CP Tập Đoàn Thái Tuấn</t>
        </is>
      </c>
      <c r="E7258" s="10" t="inlineStr">
        <is>
          <t>Lương:9 Tr - 13 Tr VND</t>
        </is>
      </c>
      <c r="F7258" s="10" t="inlineStr">
        <is>
          <t>Hà Nam</t>
        </is>
      </c>
      <c r="G7258" s="10" t="inlineStr">
        <is>
          <t>02-04-2026</t>
        </is>
      </c>
      <c r="H7258" s="10" t="inlineStr">
        <is>
          <t>02/04/2026</t>
        </is>
      </c>
      <c r="I7258" s="10" t="inlineStr">
        <is>
          <t>17/03/2026</t>
        </is>
      </c>
      <c r="J7258" s="10" t="inlineStr">
        <is>
          <t>Bán lẻ / Bán sỉ, Bán hàng / Kinh doanh, Dệt may / Da giày / Thời trang</t>
        </is>
      </c>
      <c r="K7258" s="10" t="inlineStr">
        <is>
          <t>1 - 5 Năm</t>
        </is>
      </c>
      <c r="L7258" s="11">
        <f>HYPERLINK("https://careerviet.vn/vi/tim-viec-lam/cua-hang-truong-ha-nam.35C6A783.html","Xem chi tiết")</f>
        <v/>
      </c>
      <c r="M7258" s="10" t="n"/>
    </row>
    <row r="7259">
      <c r="B7259" s="7" t="n">
        <v>7257</v>
      </c>
      <c r="C7259" t="inlineStr">
        <is>
          <t>CHUYÊN VIÊN TƯ VẤN GIÁO DỤC (OCEAN EDU TỪ SƠN) - THU NHẬP HẤP DẪN TỪ 15 TRIỆU/THÁNG</t>
        </is>
      </c>
      <c r="D7259" t="inlineStr">
        <is>
          <t>Công Ty CP Giáo Dục Đại Dương</t>
        </is>
      </c>
      <c r="E7259" t="inlineStr">
        <is>
          <t>Lương:Cạnh tranh</t>
        </is>
      </c>
      <c r="F7259" t="inlineStr">
        <is>
          <t>Bắc Ninh</t>
        </is>
      </c>
      <c r="G7259" t="inlineStr">
        <is>
          <t>02-04-2026</t>
        </is>
      </c>
      <c r="H7259" t="inlineStr">
        <is>
          <t>02/04/2026</t>
        </is>
      </c>
      <c r="I7259" t="inlineStr">
        <is>
          <t>17/03/2026</t>
        </is>
      </c>
      <c r="J7259" t="inlineStr">
        <is>
          <t>Dịch vụ khách hàng, Giáo dục / Đào tạo, Bán hàng / Kinh doanh</t>
        </is>
      </c>
      <c r="K7259" t="inlineStr">
        <is>
          <t>Lên đến 1 Năm</t>
        </is>
      </c>
      <c r="L7259" s="8">
        <f>HYPERLINK("https://careerviet.vn/vi/tim-viec-lam/chuyen-vien-tu-van-giao-duc-ocean-edu-tu-son-thu-nhap-hap-dan-tu-15-trieu-thang.35C6A9E4.html","Xem chi tiết")</f>
        <v/>
      </c>
    </row>
    <row r="7260">
      <c r="B7260" s="9" t="n">
        <v>7258</v>
      </c>
      <c r="C7260" s="10" t="inlineStr">
        <is>
          <t>[Nữ ] Nhân viên tư vấn bán hàng tại Showroom Hà Nội - lương cứng lên tới 12tr - data nóng từ MKT</t>
        </is>
      </c>
      <c r="D7260" s="10" t="inlineStr">
        <is>
          <t>Công ty Cổ phần Govi Việt Nam</t>
        </is>
      </c>
      <c r="E7260" s="10" t="inlineStr">
        <is>
          <t>Lương:15 Tr - 100 Tr VND</t>
        </is>
      </c>
      <c r="F7260" s="10" t="inlineStr">
        <is>
          <t>Hà Nội</t>
        </is>
      </c>
      <c r="G7260" s="10" t="inlineStr">
        <is>
          <t>04-04-2026</t>
        </is>
      </c>
      <c r="H7260" s="10" t="inlineStr">
        <is>
          <t>04/04/2026</t>
        </is>
      </c>
      <c r="I7260" s="10" t="inlineStr">
        <is>
          <t>17/03/2026</t>
        </is>
      </c>
      <c r="J7260" s="10" t="inlineStr">
        <is>
          <t>Bán lẻ / Bán sỉ, Bán hàng / Kinh doanh, Tư vấn</t>
        </is>
      </c>
      <c r="K7260" s="10" t="inlineStr">
        <is>
          <t>1 - 2 Năm</t>
        </is>
      </c>
      <c r="L7260" s="11">
        <f>HYPERLINK("https://careerviet.vn/vi/tim-viec-lam/nu-nhan-vien-tu-van-ban-hang-tai-showroom-ha-noi-luong-cung-len-toi-12tr-data-nong-tu-mkt.35C6A84C.html","Xem chi tiết")</f>
        <v/>
      </c>
      <c r="M7260" s="10" t="n"/>
    </row>
    <row r="7261">
      <c r="B7261" s="7" t="n">
        <v>7259</v>
      </c>
      <c r="C7261" t="inlineStr">
        <is>
          <t>Tổ Trưởng Sản Xuất (logistic)</t>
        </is>
      </c>
      <c r="D7261" t="inlineStr">
        <is>
          <t>CÔNG TY CỔ PHẦN CHẾ BIẾN THỰC PHẨM HOÀNG SƠN</t>
        </is>
      </c>
      <c r="E7261" t="inlineStr">
        <is>
          <t>Lương:12 Tr - 15 Tr VND</t>
        </is>
      </c>
      <c r="F7261" t="inlineStr">
        <is>
          <t>Bình Dương</t>
        </is>
      </c>
      <c r="G7261" t="inlineStr">
        <is>
          <t>15-04-2026</t>
        </is>
      </c>
      <c r="H7261" t="inlineStr">
        <is>
          <t>15/04/2026</t>
        </is>
      </c>
      <c r="I7261" t="inlineStr">
        <is>
          <t>17/03/2026</t>
        </is>
      </c>
      <c r="J7261" t="inlineStr">
        <is>
          <t>Thực phẩm &amp; Đồ uống, Sản xuất / Vận hành sản xuất, Vận chuyển / Giao nhận / Kho vận</t>
        </is>
      </c>
      <c r="K7261" t="inlineStr">
        <is>
          <t>1 - 3 Năm</t>
        </is>
      </c>
      <c r="L7261" s="8">
        <f>HYPERLINK("https://careerviet.vn/vi/tim-viec-lam/to-truong-san-xuat-logistic.35C6A713.html","Xem chi tiết")</f>
        <v/>
      </c>
    </row>
    <row r="7262">
      <c r="B7262" s="9" t="n">
        <v>7260</v>
      </c>
      <c r="C7262" s="10" t="inlineStr">
        <is>
          <t>[Đà Lạt] Giao dịch viên</t>
        </is>
      </c>
      <c r="D7262" s="10" t="inlineStr">
        <is>
          <t>Ngân hàng TMCP Đại Chúng Việt Nam - PVcomBank</t>
        </is>
      </c>
      <c r="E7262" s="10" t="inlineStr">
        <is>
          <t>Lương:Cạnh tranh</t>
        </is>
      </c>
      <c r="F7262" s="10" t="inlineStr">
        <is>
          <t>Lâm ĐồngKV Nam Trung Bộ</t>
        </is>
      </c>
      <c r="G7262" s="10" t="inlineStr">
        <is>
          <t>02-04-2026</t>
        </is>
      </c>
      <c r="H7262" s="10" t="inlineStr">
        <is>
          <t>02/04/2026</t>
        </is>
      </c>
      <c r="I7262" s="10" t="inlineStr">
        <is>
          <t>17/03/2026</t>
        </is>
      </c>
      <c r="J7262" s="10" t="inlineStr">
        <is>
          <t>Ngân hàng, Bán hàng / Kinh doanh, Tài chính / Đầu tư</t>
        </is>
      </c>
      <c r="K7262" s="10" t="inlineStr">
        <is>
          <t>Trên 1 Năm</t>
        </is>
      </c>
      <c r="L7262" s="11">
        <f>HYPERLINK("https://careerviet.vn/vi/tim-viec-lam/da-lat-giao-dich-vien.35C6A799.html","Xem chi tiết")</f>
        <v/>
      </c>
      <c r="M7262" s="10" t="n"/>
    </row>
    <row r="7263">
      <c r="B7263" s="7" t="n">
        <v>7261</v>
      </c>
      <c r="C7263" t="inlineStr">
        <is>
          <t>Giáo Viên Chủ Nhiệm (Ocean Edu Đông Anh 2) - Trúng Tuyển Đi Làm Luôn</t>
        </is>
      </c>
      <c r="D7263" t="inlineStr">
        <is>
          <t>Công Ty CP Giáo Dục Đại Dương</t>
        </is>
      </c>
      <c r="E7263" t="inlineStr">
        <is>
          <t>Lương:Cạnh tranh</t>
        </is>
      </c>
      <c r="F7263" t="inlineStr">
        <is>
          <t>Hà Nội</t>
        </is>
      </c>
      <c r="G7263" t="inlineStr">
        <is>
          <t>02-04-2026</t>
        </is>
      </c>
      <c r="H7263" t="inlineStr">
        <is>
          <t>02/04/2026</t>
        </is>
      </c>
      <c r="I7263" t="inlineStr">
        <is>
          <t>17/03/2026</t>
        </is>
      </c>
      <c r="J7263" t="inlineStr">
        <is>
          <t>Giáo dục / Đào tạo, Bán hàng / Kinh doanh, Biên phiên dịch</t>
        </is>
      </c>
      <c r="K7263" t="inlineStr">
        <is>
          <t>Trên 1 Năm</t>
        </is>
      </c>
      <c r="L7263" s="8">
        <f>HYPERLINK("https://careerviet.vn/vi/tim-viec-lam/giao-vien-chu-nhiem-ocean-edu-dong-anh-2-trung-tuyen-di-lam-luon.35C6A78C.html","Xem chi tiết")</f>
        <v/>
      </c>
    </row>
    <row r="7264">
      <c r="B7264" s="9" t="n">
        <v>7262</v>
      </c>
      <c r="C7264" s="10" t="inlineStr">
        <is>
          <t>Giám đốc/Chuyên viên Tín dụng KHCN - Hồ Chí Minh</t>
        </is>
      </c>
      <c r="D7264" s="10" t="inlineStr">
        <is>
          <t>Ngân Hàng TMCP Phương Đông - OCB</t>
        </is>
      </c>
      <c r="E7264" s="10" t="inlineStr">
        <is>
          <t>Lương:Cạnh tranh</t>
        </is>
      </c>
      <c r="F7264" s="10" t="inlineStr">
        <is>
          <t>Hồ Chí Minh</t>
        </is>
      </c>
      <c r="G7264" s="10" t="inlineStr">
        <is>
          <t>03-04-2026</t>
        </is>
      </c>
      <c r="H7264" s="10" t="inlineStr">
        <is>
          <t>03/04/2026</t>
        </is>
      </c>
      <c r="I7264" s="10" t="inlineStr">
        <is>
          <t>17/03/2026</t>
        </is>
      </c>
      <c r="J7264" s="10" t="inlineStr">
        <is>
          <t>Dịch vụ khách hàng, Tài chính / Đầu tư, Ngân hàng</t>
        </is>
      </c>
      <c r="K7264" s="10" t="inlineStr">
        <is>
          <t>1 - 2 Năm</t>
        </is>
      </c>
      <c r="L7264" s="11">
        <f>HYPERLINK("https://careerviet.vn/vi/tim-viec-lam/giam-doc-chuyen-vien-tin-dung-khcn-ho-chi-minh.35C6A986.html","Xem chi tiết")</f>
        <v/>
      </c>
      <c r="M7264" s="10" t="n"/>
    </row>
    <row r="7265">
      <c r="B7265" s="7" t="n">
        <v>7263</v>
      </c>
      <c r="C7265" t="inlineStr">
        <is>
          <t>Trưởng Phòng Kinh Doanh Bất Động Sản</t>
        </is>
      </c>
      <c r="D7265" t="inlineStr">
        <is>
          <t>Công ty TNHH Bất động sản Phú Hoàng Land</t>
        </is>
      </c>
      <c r="E7265" t="inlineStr">
        <is>
          <t>Lương:15 Tr - 20 Tr VND</t>
        </is>
      </c>
      <c r="F7265" t="inlineStr">
        <is>
          <t>Hồ Chí Minh</t>
        </is>
      </c>
      <c r="G7265" t="inlineStr">
        <is>
          <t>30-04-2026</t>
        </is>
      </c>
      <c r="H7265" t="inlineStr">
        <is>
          <t>30/04/2026</t>
        </is>
      </c>
      <c r="I7265" t="inlineStr">
        <is>
          <t>17/03/2026</t>
        </is>
      </c>
      <c r="J7265" t="inlineStr">
        <is>
          <t>Bảo hiểm, Tài chính / Đầu tư, Bất động sản</t>
        </is>
      </c>
      <c r="K7265" t="inlineStr">
        <is>
          <t>1 - 2 Năm</t>
        </is>
      </c>
      <c r="L7265" s="8">
        <f>HYPERLINK("https://careerviet.vn/vi/tim-viec-lam/truong-phong-kinh-doanh-bat-dong-san.35C6A995.html","Xem chi tiết")</f>
        <v/>
      </c>
    </row>
    <row r="7266">
      <c r="B7266" s="9" t="n">
        <v>7264</v>
      </c>
      <c r="C7266" s="10" t="inlineStr">
        <is>
          <t>Chuyên viên  Nhân sự Tổng hợp</t>
        </is>
      </c>
      <c r="D7266" s="10" t="inlineStr">
        <is>
          <t>CÔNG TY TNHH MTV KỸ THUẬT TÚ LỘC</t>
        </is>
      </c>
      <c r="E7266" s="10" t="inlineStr">
        <is>
          <t>Lương:12 Tr - 15 Tr VND</t>
        </is>
      </c>
      <c r="F7266" s="10" t="inlineStr">
        <is>
          <t>Hồ Chí Minh</t>
        </is>
      </c>
      <c r="G7266" s="10" t="inlineStr">
        <is>
          <t>26-03-2026</t>
        </is>
      </c>
      <c r="H7266" s="10" t="inlineStr">
        <is>
          <t>26/03/2026</t>
        </is>
      </c>
      <c r="I7266" s="10" t="inlineStr">
        <is>
          <t>17/03/2026</t>
        </is>
      </c>
      <c r="J7266" s="10" t="inlineStr">
        <is>
          <t>Hành chính / Thư ký, Nhân sự</t>
        </is>
      </c>
      <c r="K7266" s="10" t="inlineStr">
        <is>
          <t>2 - 3 Năm</t>
        </is>
      </c>
      <c r="L7266" s="11">
        <f>HYPERLINK("https://careerviet.vn/vi/tim-viec-lam/chuyen-vien-nhan-su-tong-hop.35C6A740.html","Xem chi tiết")</f>
        <v/>
      </c>
      <c r="M7266" s="10" t="n"/>
    </row>
    <row r="7267">
      <c r="B7267" s="7" t="n">
        <v>7265</v>
      </c>
      <c r="C7267" t="inlineStr">
        <is>
          <t>Chuyên Viên Cao Cấp- Kế Hoạch Vận Hành</t>
        </is>
      </c>
      <c r="D7267" t="inlineStr">
        <is>
          <t>Công Ty CP Vàng Bạc Đá Quý Phú Nhuận - PNJ</t>
        </is>
      </c>
      <c r="E7267" t="inlineStr">
        <is>
          <t>Lương:Cạnh tranh</t>
        </is>
      </c>
      <c r="F7267" t="inlineStr">
        <is>
          <t>Hồ Chí Minh</t>
        </is>
      </c>
      <c r="G7267" t="inlineStr">
        <is>
          <t>02-04-2026</t>
        </is>
      </c>
      <c r="H7267" t="inlineStr">
        <is>
          <t>02/04/2026</t>
        </is>
      </c>
      <c r="I7267" t="inlineStr">
        <is>
          <t>17/03/2026</t>
        </is>
      </c>
      <c r="J7267" t="inlineStr">
        <is>
          <t>Kế toán / Kiểm toán, Bán lẻ / Bán sỉ, Tài chính / Đầu tư</t>
        </is>
      </c>
      <c r="K7267" t="inlineStr">
        <is>
          <t>4 - 7 Năm</t>
        </is>
      </c>
      <c r="L7267" s="8">
        <f>HYPERLINK("https://careerviet.vn/vi/tim-viec-lam/chuyen-vien-cao-cap-ke-hoach-van-hanh.35C6A72D.html","Xem chi tiết")</f>
        <v/>
      </c>
    </row>
    <row r="7268">
      <c r="B7268" s="9" t="n">
        <v>7266</v>
      </c>
      <c r="C7268" s="10" t="inlineStr">
        <is>
          <t>Trưởng phòng Kinh doanh tại An Giang</t>
        </is>
      </c>
      <c r="D7268" s="10" t="inlineStr">
        <is>
          <t>Tổng Công Ty Cổ Phần Bảo Hiểm Ngân Hàng TMCP Công Thương Việt Nam</t>
        </is>
      </c>
      <c r="E7268" s="10" t="inlineStr">
        <is>
          <t>Lương:Cạnh tranh</t>
        </is>
      </c>
      <c r="F7268" s="10" t="inlineStr">
        <is>
          <t>An Giang</t>
        </is>
      </c>
      <c r="G7268" s="10" t="inlineStr">
        <is>
          <t>02-04-2026</t>
        </is>
      </c>
      <c r="H7268" s="10" t="inlineStr">
        <is>
          <t>02/04/2026</t>
        </is>
      </c>
      <c r="I7268" s="10" t="inlineStr">
        <is>
          <t>17/03/2026</t>
        </is>
      </c>
      <c r="J7268" s="10" t="inlineStr">
        <is>
          <t>Ngân hàng, Bảo hiểm</t>
        </is>
      </c>
      <c r="K7268" s="10" t="inlineStr">
        <is>
          <t>2 - 10 Năm</t>
        </is>
      </c>
      <c r="L7268" s="11">
        <f>HYPERLINK("https://careerviet.vn/vi/tim-viec-lam/truong-phong-kinh-doanh-tai-an-giang.35C6A765.html","Xem chi tiết")</f>
        <v/>
      </c>
      <c r="M7268" s="10" t="n"/>
    </row>
    <row r="7269">
      <c r="B7269" s="7" t="n">
        <v>7267</v>
      </c>
      <c r="C7269" t="inlineStr">
        <is>
          <t>CHUYÊN VIÊN TƯ VẤN GIÁO DỤC (OCEAN EDU PHÙ LỖ) - THU NHẬP HẤP DẪN TỪ 15 TRIỆU/THÁNG</t>
        </is>
      </c>
      <c r="D7269" t="inlineStr">
        <is>
          <t>Công Ty CP Giáo Dục Đại Dương</t>
        </is>
      </c>
      <c r="E7269" t="inlineStr">
        <is>
          <t>Lương:Cạnh tranh</t>
        </is>
      </c>
      <c r="F7269" t="inlineStr">
        <is>
          <t>Hà Nội</t>
        </is>
      </c>
      <c r="G7269" t="inlineStr">
        <is>
          <t>02-04-2026</t>
        </is>
      </c>
      <c r="H7269" t="inlineStr">
        <is>
          <t>02/04/2026</t>
        </is>
      </c>
      <c r="I7269" t="inlineStr">
        <is>
          <t>17/03/2026</t>
        </is>
      </c>
      <c r="J7269" t="inlineStr">
        <is>
          <t>Dịch vụ khách hàng, Giáo dục / Đào tạo, Bán hàng / Kinh doanh</t>
        </is>
      </c>
      <c r="K7269" t="inlineStr">
        <is>
          <t>Lên đến 1 Năm</t>
        </is>
      </c>
      <c r="L7269" s="8">
        <f>HYPERLINK("https://careerviet.vn/vi/tim-viec-lam/chuyen-vien-tu-van-giao-duc-ocean-edu-phu-lo-thu-nhap-hap-dan-tu-15-trieu-thang.35C6A798.html","Xem chi tiết")</f>
        <v/>
      </c>
    </row>
    <row r="7270">
      <c r="B7270" s="9" t="n">
        <v>7268</v>
      </c>
      <c r="C7270" s="10" t="inlineStr">
        <is>
          <t>CHUYÊN VIÊN TƯ VẤN GIÁO DỤC (OCEAN EDU CẨM KHÊ) - THU NHẬP HẤP DẪN TỪ 15 TRIỆU/THÁNG</t>
        </is>
      </c>
      <c r="D7270" s="10" t="inlineStr">
        <is>
          <t>Công Ty CP Giáo Dục Đại Dương</t>
        </is>
      </c>
      <c r="E7270" s="10" t="inlineStr">
        <is>
          <t>Lương:Cạnh tranh</t>
        </is>
      </c>
      <c r="F7270" s="10" t="inlineStr">
        <is>
          <t>Phú Thọ</t>
        </is>
      </c>
      <c r="G7270" s="10" t="inlineStr">
        <is>
          <t>02-04-2026</t>
        </is>
      </c>
      <c r="H7270" s="10" t="inlineStr">
        <is>
          <t>02/04/2026</t>
        </is>
      </c>
      <c r="I7270" s="10" t="inlineStr">
        <is>
          <t>17/03/2026</t>
        </is>
      </c>
      <c r="J7270" s="10" t="inlineStr">
        <is>
          <t>Dịch vụ khách hàng, Giáo dục / Đào tạo, Bán hàng / Kinh doanh</t>
        </is>
      </c>
      <c r="K7270" s="10" t="inlineStr">
        <is>
          <t>Lên đến 1 Năm</t>
        </is>
      </c>
      <c r="L7270" s="11">
        <f>HYPERLINK("https://careerviet.vn/vi/tim-viec-lam/chuyen-vien-tu-van-giao-duc-ocean-edu-cam-khe-thu-nhap-hap-dan-tu-15-trieu-thang.35C6A71C.html","Xem chi tiết")</f>
        <v/>
      </c>
      <c r="M7270" s="10" t="n"/>
    </row>
    <row r="7271">
      <c r="B7271" s="7" t="n">
        <v>7269</v>
      </c>
      <c r="C7271" t="inlineStr">
        <is>
          <t>SALE THỨC ĂN THỦY SẢN</t>
        </is>
      </c>
      <c r="D7271" t="inlineStr">
        <is>
          <t>CÔNG TY TNHH TONGWEI VIỆT NAM</t>
        </is>
      </c>
      <c r="E7271" t="inlineStr">
        <is>
          <t>Lương:20 Tr - 50 Tr VND</t>
        </is>
      </c>
      <c r="F7271" t="inlineStr">
        <is>
          <t>KV Đông Nam Bộ</t>
        </is>
      </c>
      <c r="G7271" t="inlineStr">
        <is>
          <t>16-03-2026</t>
        </is>
      </c>
      <c r="H7271" t="inlineStr">
        <is>
          <t>30/12/2025</t>
        </is>
      </c>
      <c r="I7271" t="inlineStr">
        <is>
          <t>17/03/2026</t>
        </is>
      </c>
      <c r="J7271" t="inlineStr">
        <is>
          <t>Tiếp thị / Marketing, Thủy sản / Hải sản</t>
        </is>
      </c>
      <c r="K7271" t="inlineStr">
        <is>
          <t>3 - 15 Năm</t>
        </is>
      </c>
      <c r="L7271" s="8">
        <f>HYPERLINK("https://careerviet.vn/vi/tim-viec-lam/sale-thuc-an-thuy-san.35C5D7DC.html","Xem chi tiết")</f>
        <v/>
      </c>
    </row>
    <row r="7272">
      <c r="B7272" s="9" t="n">
        <v>7270</v>
      </c>
      <c r="C7272" s="10" t="inlineStr">
        <is>
          <t>Nhân Viên Phục Vụ Nhà Hàng</t>
        </is>
      </c>
      <c r="D7272" s="10" t="inlineStr">
        <is>
          <t>Công ty TNHH sân golf Palm Sông Bé</t>
        </is>
      </c>
      <c r="E7272" s="10" t="inlineStr">
        <is>
          <t>Lương:8 Tr - 10 Tr VND</t>
        </is>
      </c>
      <c r="F7272" s="10" t="inlineStr">
        <is>
          <t>Bình Dương</t>
        </is>
      </c>
      <c r="G7272" s="10" t="inlineStr">
        <is>
          <t>02-04-2026</t>
        </is>
      </c>
      <c r="H7272" s="10" t="inlineStr">
        <is>
          <t>02/04/2026</t>
        </is>
      </c>
      <c r="I7272" s="10" t="inlineStr">
        <is>
          <t>17/03/2026</t>
        </is>
      </c>
      <c r="J7272" s="10" t="inlineStr">
        <is>
          <t>Thực phẩm &amp; Đồ uống, Nhà hàng / Khách sạn</t>
        </is>
      </c>
      <c r="K7272" s="10" t="inlineStr">
        <is>
          <t>1 - 2 Năm</t>
        </is>
      </c>
      <c r="L7272" s="11">
        <f>HYPERLINK("https://careerviet.vn/vi/tim-viec-lam/nhan-vien-phuc-vu-nha-hang.35C6A887.html","Xem chi tiết")</f>
        <v/>
      </c>
      <c r="M7272" s="10" t="n"/>
    </row>
    <row r="7273">
      <c r="B7273" s="7" t="n">
        <v>7271</v>
      </c>
      <c r="C7273" t="inlineStr">
        <is>
          <t>Giáo Viên Chủ Nhiệm (Ocean Edu Vĩnh Yên) - Trúng Tuyển Đi Làm Luôn</t>
        </is>
      </c>
      <c r="D7273" t="inlineStr">
        <is>
          <t>Công Ty CP Giáo Dục Đại Dương</t>
        </is>
      </c>
      <c r="E7273" t="inlineStr">
        <is>
          <t>Lương:Cạnh tranh</t>
        </is>
      </c>
      <c r="F7273" t="inlineStr">
        <is>
          <t>Vĩnh Phúc</t>
        </is>
      </c>
      <c r="G7273" t="inlineStr">
        <is>
          <t>02-04-2026</t>
        </is>
      </c>
      <c r="H7273" t="inlineStr">
        <is>
          <t>02/04/2026</t>
        </is>
      </c>
      <c r="I7273" t="inlineStr">
        <is>
          <t>17/03/2026</t>
        </is>
      </c>
      <c r="J7273" t="inlineStr">
        <is>
          <t>Giáo dục / Đào tạo, Bán hàng / Kinh doanh, Biên phiên dịch</t>
        </is>
      </c>
      <c r="K7273" t="inlineStr">
        <is>
          <t>Trên 1 Năm</t>
        </is>
      </c>
      <c r="L7273" s="8">
        <f>HYPERLINK("https://careerviet.vn/vi/tim-viec-lam/giao-vien-chu-nhiem-ocean-edu-vinh-yen-trung-tuyen-di-lam-luon.35C6A71A.html","Xem chi tiết")</f>
        <v/>
      </c>
    </row>
    <row r="7274">
      <c r="B7274" s="9" t="n">
        <v>7272</v>
      </c>
      <c r="C7274" s="10" t="inlineStr">
        <is>
          <t>kế toán</t>
        </is>
      </c>
      <c r="D7274" s="10" t="inlineStr">
        <is>
          <t>CÔNG TY TNHH TONGWEI VIỆT NAM</t>
        </is>
      </c>
      <c r="E7274" s="10" t="inlineStr">
        <is>
          <t>Lương:9 Tr - 20 Tr VND</t>
        </is>
      </c>
      <c r="F7274" s="10" t="inlineStr">
        <is>
          <t>Tiền Giang</t>
        </is>
      </c>
      <c r="G7274" s="10" t="inlineStr">
        <is>
          <t>30-04-2026</t>
        </is>
      </c>
      <c r="H7274" s="10" t="inlineStr">
        <is>
          <t>30/04/2026</t>
        </is>
      </c>
      <c r="I7274" s="10" t="inlineStr">
        <is>
          <t>17/03/2026</t>
        </is>
      </c>
      <c r="J7274" s="10" t="inlineStr">
        <is>
          <t>Kế toán / Kiểm toán</t>
        </is>
      </c>
      <c r="K7274" s="10" t="inlineStr">
        <is>
          <t>1 - 3 Năm</t>
        </is>
      </c>
      <c r="L7274" s="11">
        <f>HYPERLINK("https://careerviet.vn/vi/tim-viec-lam/ke-toan.35C6A71D.html","Xem chi tiết")</f>
        <v/>
      </c>
      <c r="M7274" s="10" t="n"/>
    </row>
    <row r="7275">
      <c r="B7275" s="7" t="n">
        <v>7273</v>
      </c>
      <c r="C7275" t="inlineStr">
        <is>
          <t>Nhân viên Bảo trì ( Mảng xây dựng)</t>
        </is>
      </c>
      <c r="D7275" t="inlineStr">
        <is>
          <t>Công ty TNHH Greystone Data Systems Việt Nam</t>
        </is>
      </c>
      <c r="E7275" t="inlineStr">
        <is>
          <t>Lương:8,2 Tr - 10 Tr VND</t>
        </is>
      </c>
      <c r="F7275" t="inlineStr">
        <is>
          <t>Hồ Chí Minh</t>
        </is>
      </c>
      <c r="G7275" t="inlineStr">
        <is>
          <t>03-04-2026</t>
        </is>
      </c>
      <c r="H7275" t="inlineStr">
        <is>
          <t>03/04/2026</t>
        </is>
      </c>
      <c r="I7275" t="inlineStr">
        <is>
          <t>17/03/2026</t>
        </is>
      </c>
      <c r="J7275" t="inlineStr">
        <is>
          <t>Lao động phổ thông, Bảo trì / Sửa chữa, Xây dựng</t>
        </is>
      </c>
      <c r="K7275" t="inlineStr">
        <is>
          <t>1 - 2 Năm</t>
        </is>
      </c>
      <c r="L7275" s="8">
        <f>HYPERLINK("https://careerviet.vn/vi/tim-viec-lam/nhan-vien-bao-tri-mang-xay-dung.35C6A840.html","Xem chi tiết")</f>
        <v/>
      </c>
    </row>
    <row r="7276">
      <c r="B7276" s="9" t="n">
        <v>7274</v>
      </c>
      <c r="C7276" s="10" t="inlineStr">
        <is>
          <t>(Vũng Tàu) Trưởng nhóm Kinh doanh trực tiếp</t>
        </is>
      </c>
      <c r="D7276" s="10" t="inlineStr">
        <is>
          <t>LOTTE FINANCE VIETNAM</t>
        </is>
      </c>
      <c r="E7276" s="10" t="inlineStr">
        <is>
          <t>Lương:Cạnh tranh</t>
        </is>
      </c>
      <c r="F7276" s="10" t="inlineStr">
        <is>
          <t>Bà Rịa - Vũng Tàu</t>
        </is>
      </c>
      <c r="G7276" s="10" t="inlineStr">
        <is>
          <t>02-04-2026</t>
        </is>
      </c>
      <c r="H7276" s="10" t="inlineStr">
        <is>
          <t>02/04/2026</t>
        </is>
      </c>
      <c r="I7276" s="10" t="inlineStr">
        <is>
          <t>17/03/2026</t>
        </is>
      </c>
      <c r="J7276" s="10" t="inlineStr">
        <is>
          <t>Bán hàng / Kinh doanh</t>
        </is>
      </c>
      <c r="K7276" s="10" t="inlineStr">
        <is>
          <t>2 - 4 Năm</t>
        </is>
      </c>
      <c r="L7276" s="11">
        <f>HYPERLINK("https://careerviet.vn/vi/tim-viec-lam/vung-tau-truong-nhom-kinh-doanh-truc-tiep.35C6A735.html","Xem chi tiết")</f>
        <v/>
      </c>
      <c r="M7276" s="10" t="n"/>
    </row>
    <row r="7277">
      <c r="B7277" s="7" t="n">
        <v>7275</v>
      </c>
      <c r="C7277" t="inlineStr">
        <is>
          <t>Nhân Viên Telesale</t>
        </is>
      </c>
      <c r="D7277" t="inlineStr">
        <is>
          <t>CÔNG TY CỔ PHẦN VUA NỆM</t>
        </is>
      </c>
      <c r="E7277" t="inlineStr">
        <is>
          <t>Lương:10 Tr - 15 Tr VND</t>
        </is>
      </c>
      <c r="F7277" t="inlineStr">
        <is>
          <t>Hà Nội</t>
        </is>
      </c>
      <c r="G7277" t="inlineStr">
        <is>
          <t>31-03-2026</t>
        </is>
      </c>
      <c r="H7277" t="inlineStr">
        <is>
          <t>31/03/2026</t>
        </is>
      </c>
      <c r="I7277" t="inlineStr">
        <is>
          <t>17/03/2026</t>
        </is>
      </c>
      <c r="J7277" t="inlineStr">
        <is>
          <t>Bán lẻ / Bán sỉ, Bán hàng / Kinh doanh</t>
        </is>
      </c>
      <c r="K7277" t="inlineStr">
        <is>
          <t>1 - 2 Năm</t>
        </is>
      </c>
      <c r="L7277" s="8">
        <f>HYPERLINK("https://careerviet.vn/vi/tim-viec-lam/nhan-vien-telesale.35C6AAD9.html","Xem chi tiết")</f>
        <v/>
      </c>
    </row>
    <row r="7278">
      <c r="B7278" s="9" t="n">
        <v>7276</v>
      </c>
      <c r="C7278" s="10" t="inlineStr">
        <is>
          <t>[Hà Nội] - NHÂN VIÊN KINH DOANH / NHÂN VIÊN BÁN HÀNG NGUYÊN LIỆU PHA CHẾ</t>
        </is>
      </c>
      <c r="D7278" s="10" t="inlineStr">
        <is>
          <t>Công ty Cổ phần TM-SX-DV Gia Thịnh Phát</t>
        </is>
      </c>
      <c r="E7278" s="10" t="inlineStr">
        <is>
          <t>Lương:15 Tr - 25 Tr VND</t>
        </is>
      </c>
      <c r="F7278" s="10" t="inlineStr">
        <is>
          <t>Hà Nội</t>
        </is>
      </c>
      <c r="G7278" s="10" t="inlineStr">
        <is>
          <t>02-04-2026</t>
        </is>
      </c>
      <c r="H7278" s="10" t="inlineStr">
        <is>
          <t>02/04/2026</t>
        </is>
      </c>
      <c r="I7278" s="10" t="inlineStr">
        <is>
          <t>17/03/2026</t>
        </is>
      </c>
      <c r="J7278" s="10" t="inlineStr">
        <is>
          <t>Bán lẻ / Bán sỉ, Bán hàng / Kinh doanh, Thực phẩm &amp; Đồ uống</t>
        </is>
      </c>
      <c r="K7278" s="10" t="inlineStr">
        <is>
          <t>1 - 3 Năm</t>
        </is>
      </c>
      <c r="L7278" s="11">
        <f>HYPERLINK("https://careerviet.vn/vi/tim-viec-lam/ha-noi-nhan-vien-kinh-doanh-nhan-vien-ban-hang-nguyen-lieu-pha-che.35C6A716.html","Xem chi tiết")</f>
        <v/>
      </c>
      <c r="M7278" s="10" t="n"/>
    </row>
    <row r="7279">
      <c r="B7279" s="7" t="n">
        <v>7277</v>
      </c>
      <c r="C7279" t="inlineStr">
        <is>
          <t>Account Manager</t>
        </is>
      </c>
      <c r="D7279" t="inlineStr">
        <is>
          <t>Công Ty Cổ phần Tập Đoàn KIDO</t>
        </is>
      </c>
      <c r="E7279" t="inlineStr">
        <is>
          <t>Lương:Cạnh tranh</t>
        </is>
      </c>
      <c r="F7279" t="inlineStr">
        <is>
          <t>Hồ Chí Minh</t>
        </is>
      </c>
      <c r="G7279" t="inlineStr">
        <is>
          <t>02-04-2026</t>
        </is>
      </c>
      <c r="H7279" t="inlineStr">
        <is>
          <t>02/04/2026</t>
        </is>
      </c>
      <c r="I7279" t="inlineStr">
        <is>
          <t>17/03/2026</t>
        </is>
      </c>
      <c r="J7279" t="inlineStr">
        <is>
          <t>Giải trí, Tiếp thị trực tuyến, Quảng cáo / Đối ngoại / Truyền Thông</t>
        </is>
      </c>
      <c r="K7279" t="inlineStr">
        <is>
          <t>5 - 10 Năm</t>
        </is>
      </c>
      <c r="L7279" s="8">
        <f>HYPERLINK("https://careerviet.vn/vi/tim-viec-lam/account-manager.35C6A77B.html","Xem chi tiết")</f>
        <v/>
      </c>
    </row>
    <row r="7280">
      <c r="B7280" s="9" t="n">
        <v>7278</v>
      </c>
      <c r="C7280" s="10" t="inlineStr">
        <is>
          <t>Chuyên viên/Nhân Viên Kinh Doanh tại An Giang</t>
        </is>
      </c>
      <c r="D7280" s="10" t="inlineStr">
        <is>
          <t>Tổng Công Ty Cổ Phần Bảo Hiểm Ngân Hàng TMCP Công Thương Việt Nam</t>
        </is>
      </c>
      <c r="E7280" s="10" t="inlineStr">
        <is>
          <t>Lương:Cạnh tranh</t>
        </is>
      </c>
      <c r="F7280" s="10" t="inlineStr">
        <is>
          <t>An Giang</t>
        </is>
      </c>
      <c r="G7280" s="10" t="inlineStr">
        <is>
          <t>02-04-2026</t>
        </is>
      </c>
      <c r="H7280" s="10" t="inlineStr">
        <is>
          <t>02/04/2026</t>
        </is>
      </c>
      <c r="I7280" s="10" t="inlineStr">
        <is>
          <t>17/03/2026</t>
        </is>
      </c>
      <c r="J7280" s="10" t="inlineStr">
        <is>
          <t>Ngân hàng, Bảo hiểm, Bán hàng / Kinh doanh</t>
        </is>
      </c>
      <c r="K7280" s="10" t="inlineStr">
        <is>
          <t>1 - 10 Năm</t>
        </is>
      </c>
      <c r="L7280" s="11">
        <f>HYPERLINK("https://careerviet.vn/vi/tim-viec-lam/chuyen-vien-nhan-vien-kinh-doanh-tai-an-giang.35C6A766.html","Xem chi tiết")</f>
        <v/>
      </c>
      <c r="M7280" s="10" t="n"/>
    </row>
    <row r="7281">
      <c r="B7281" s="7" t="n">
        <v>7279</v>
      </c>
      <c r="C7281" t="inlineStr">
        <is>
          <t>[Bình Dương] Nhân Viên Kinh Doanh</t>
        </is>
      </c>
      <c r="D7281" t="inlineStr">
        <is>
          <t>TRUNG TÂM KIỂM ĐỊNH HIỆU CHUẨN VÙNG 3</t>
        </is>
      </c>
      <c r="E7281" t="inlineStr">
        <is>
          <t>Lương:Cạnh tranh</t>
        </is>
      </c>
      <c r="F7281" t="inlineStr">
        <is>
          <t>Bình Dương</t>
        </is>
      </c>
      <c r="G7281" t="inlineStr">
        <is>
          <t>31-03-2026</t>
        </is>
      </c>
      <c r="H7281" t="inlineStr">
        <is>
          <t>31/03/2026</t>
        </is>
      </c>
      <c r="I7281" t="inlineStr">
        <is>
          <t>17/03/2026</t>
        </is>
      </c>
      <c r="J7281" t="inlineStr">
        <is>
          <t>Bán hàng / Kinh doanh, Hành chính / Thư ký, Bán Hàng Kỹ Thuật</t>
        </is>
      </c>
      <c r="K7281" t="inlineStr">
        <is>
          <t>Trên 2 Năm</t>
        </is>
      </c>
      <c r="L7281" s="8">
        <f>HYPERLINK("https://careerviet.vn/vi/tim-viec-lam/binh-duong-nhan-vien-kinh-doanh.35C6A885.html","Xem chi tiết")</f>
        <v/>
      </c>
    </row>
    <row r="7282">
      <c r="B7282" s="9" t="n">
        <v>7280</v>
      </c>
      <c r="C7282" s="10" t="inlineStr">
        <is>
          <t>CHUYÊN VIÊN TƯ VẤN GIÁO DỤC (OCEAN EDU ĐÔNG TRIỀU) - THU NHẬP HẤP DẪN TỪ 15 TRIỆU/THÁNG</t>
        </is>
      </c>
      <c r="D7282" s="10" t="inlineStr">
        <is>
          <t>Công Ty CP Giáo Dục Đại Dương</t>
        </is>
      </c>
      <c r="E7282" s="10" t="inlineStr">
        <is>
          <t>Lương:Cạnh tranh</t>
        </is>
      </c>
      <c r="F7282" s="10" t="inlineStr">
        <is>
          <t>Quảng Ninh</t>
        </is>
      </c>
      <c r="G7282" s="10" t="inlineStr">
        <is>
          <t>02-04-2026</t>
        </is>
      </c>
      <c r="H7282" s="10" t="inlineStr">
        <is>
          <t>02/04/2026</t>
        </is>
      </c>
      <c r="I7282" s="10" t="inlineStr">
        <is>
          <t>17/03/2026</t>
        </is>
      </c>
      <c r="J7282" s="10" t="inlineStr">
        <is>
          <t>Dịch vụ khách hàng, Giáo dục / Đào tạo, Bán hàng / Kinh doanh</t>
        </is>
      </c>
      <c r="K7282" s="10" t="inlineStr">
        <is>
          <t>Lên đến 1 Năm</t>
        </is>
      </c>
      <c r="L7282" s="11">
        <f>HYPERLINK("https://careerviet.vn/vi/tim-viec-lam/chuyen-vien-tu-van-giao-duc-ocean-edu-dong-trieu-thu-nhap-hap-dan-tu-15-trieu-thang.35C6AA97.html","Xem chi tiết")</f>
        <v/>
      </c>
      <c r="M7282" s="10" t="n"/>
    </row>
    <row r="7283">
      <c r="B7283" s="7" t="n">
        <v>7281</v>
      </c>
      <c r="C7283" t="inlineStr">
        <is>
          <t>Giám Sát Bếp Nhà Hàng</t>
        </is>
      </c>
      <c r="D7283" t="inlineStr">
        <is>
          <t>CÔNG TY TNHH THƯƠNG MẠI VÀ DỊCH VỤ TALAD THAI</t>
        </is>
      </c>
      <c r="E7283" t="inlineStr">
        <is>
          <t>Lương:12 Tr - 15 Tr VND</t>
        </is>
      </c>
      <c r="F7283" t="inlineStr">
        <is>
          <t>Hà Nội</t>
        </is>
      </c>
      <c r="G7283" t="inlineStr">
        <is>
          <t>3</t>
        </is>
      </c>
      <c r="H7283" t="inlineStr">
        <is>
          <t>20/03/2026</t>
        </is>
      </c>
      <c r="I7283" t="inlineStr">
        <is>
          <t>17/03/2026</t>
        </is>
      </c>
      <c r="J7283" t="inlineStr">
        <is>
          <t>Nhà hàng / Khách sạn</t>
        </is>
      </c>
      <c r="K7283" t="inlineStr">
        <is>
          <t>Trên 1 Năm</t>
        </is>
      </c>
      <c r="L7283" s="8">
        <f>HYPERLINK("https://careerviet.vn/vi/tim-viec-lam/giam-sat-bep-nha-hang.35C6A922.html","Xem chi tiết")</f>
        <v/>
      </c>
    </row>
    <row r="7284">
      <c r="B7284" s="9" t="n">
        <v>7282</v>
      </c>
      <c r="C7284" s="10" t="inlineStr">
        <is>
          <t>QUẢN LÝ GIÁ THẦU GIAO THÔNG - HẠ TẦNG KỸ THUẬT</t>
        </is>
      </c>
      <c r="D7284" s="10" t="inlineStr">
        <is>
          <t>Tổng công ty Xây dựng số 1 – CTCP</t>
        </is>
      </c>
      <c r="E7284" s="10" t="inlineStr">
        <is>
          <t>Lương:Cạnh tranh</t>
        </is>
      </c>
      <c r="F7284" s="10" t="inlineStr">
        <is>
          <t>Hồ Chí Minh</t>
        </is>
      </c>
      <c r="G7284" s="10" t="inlineStr">
        <is>
          <t>02-04-2026</t>
        </is>
      </c>
      <c r="H7284" s="10" t="inlineStr">
        <is>
          <t>02/04/2026</t>
        </is>
      </c>
      <c r="I7284" s="10" t="inlineStr">
        <is>
          <t>17/03/2026</t>
        </is>
      </c>
      <c r="J7284" s="10" t="inlineStr">
        <is>
          <t>Xây dựng</t>
        </is>
      </c>
      <c r="K7284" s="10" t="inlineStr">
        <is>
          <t>5 - 10 Năm</t>
        </is>
      </c>
      <c r="L7284" s="11">
        <f>HYPERLINK("https://careerviet.vn/vi/tim-viec-lam/quan-ly-gia-thau-giao-thong-ha-tang-ky-thuat.35C6A8E6.html","Xem chi tiết")</f>
        <v/>
      </c>
      <c r="M7284" s="10" t="n"/>
    </row>
    <row r="7285">
      <c r="B7285" s="7" t="n">
        <v>7283</v>
      </c>
      <c r="C7285" t="inlineStr">
        <is>
          <t>Trợ lí tiếng Trung</t>
        </is>
      </c>
      <c r="D7285" t="inlineStr">
        <is>
          <t>CÔNG TY CỔ PHẦN ZTO FREIGHT VIỆT NAM</t>
        </is>
      </c>
      <c r="E7285" t="inlineStr">
        <is>
          <t>Lương:500 - 800 USD</t>
        </is>
      </c>
      <c r="F7285" t="inlineStr">
        <is>
          <t>Hà NộiHồ Chí Minh</t>
        </is>
      </c>
      <c r="G7285" t="inlineStr">
        <is>
          <t>03-04-2026</t>
        </is>
      </c>
      <c r="H7285" t="inlineStr">
        <is>
          <t>03/04/2026</t>
        </is>
      </c>
      <c r="I7285" t="inlineStr">
        <is>
          <t>17/03/2026</t>
        </is>
      </c>
      <c r="J7285" t="inlineStr">
        <is>
          <t>Vận chuyển / Giao nhận / Kho vận</t>
        </is>
      </c>
      <c r="K7285" t="inlineStr">
        <is>
          <t>Lên đến 2 Năm</t>
        </is>
      </c>
      <c r="L7285" s="8">
        <f>HYPERLINK("https://careerviet.vn/vi/tim-viec-lam/tro-li-tieng-trung.35C6AA86.html","Xem chi tiết")</f>
        <v/>
      </c>
    </row>
    <row r="7286">
      <c r="B7286" s="9" t="n">
        <v>7284</v>
      </c>
      <c r="C7286" s="10" t="inlineStr">
        <is>
          <t>Nhân Viên Tuyển Dụng, Kinh Nghiệm Ngành Xây Dựng</t>
        </is>
      </c>
      <c r="D7286" s="10" t="inlineStr">
        <is>
          <t>Công ty CP Xây Dựng Bông Sen Vàng - Golden Lotus Construction</t>
        </is>
      </c>
      <c r="E7286" s="10" t="inlineStr">
        <is>
          <t>Lương:12 Tr - 15 Tr VND</t>
        </is>
      </c>
      <c r="F7286" s="10" t="inlineStr">
        <is>
          <t>Hồ Chí Minh</t>
        </is>
      </c>
      <c r="G7286" s="10" t="inlineStr">
        <is>
          <t>31-03-2026</t>
        </is>
      </c>
      <c r="H7286" s="10" t="inlineStr">
        <is>
          <t>31/03/2026</t>
        </is>
      </c>
      <c r="I7286" s="10" t="inlineStr">
        <is>
          <t>17/03/2026</t>
        </is>
      </c>
      <c r="J7286" s="10" t="inlineStr">
        <is>
          <t>Nhân sự, Xây dựng</t>
        </is>
      </c>
      <c r="K7286" s="10" t="inlineStr">
        <is>
          <t>N/A</t>
        </is>
      </c>
      <c r="L7286" s="11">
        <f>HYPERLINK("https://careerviet.vn/vi/tim-viec-lam/nhan-vien-tuyen-dung-kinh-nghiem-nganh-xay-dung.35C6A6A6.html","Xem chi tiết")</f>
        <v/>
      </c>
      <c r="M7286" s="10" t="n"/>
    </row>
    <row r="7287">
      <c r="B7287" s="7" t="n">
        <v>7285</v>
      </c>
      <c r="C7287" t="inlineStr">
        <is>
          <t>Chuyên viên Kiểm soát nội bộ (Mảng KTXD)</t>
        </is>
      </c>
      <c r="D7287" t="inlineStr">
        <is>
          <t>Công ty cổ phần Tập đoàn Danko</t>
        </is>
      </c>
      <c r="E7287" t="inlineStr">
        <is>
          <t>Lương:22 Tr - 30 Tr VND</t>
        </is>
      </c>
      <c r="F7287" t="inlineStr">
        <is>
          <t>Hà Nội</t>
        </is>
      </c>
      <c r="G7287" t="inlineStr">
        <is>
          <t>17-04-2026</t>
        </is>
      </c>
      <c r="H7287" t="inlineStr">
        <is>
          <t>17/04/2026</t>
        </is>
      </c>
      <c r="I7287" t="inlineStr">
        <is>
          <t>17/03/2026</t>
        </is>
      </c>
      <c r="J7287" t="inlineStr">
        <is>
          <t>Quản lý chất lượng (QA/QC), Xây dựng, Bất động sản</t>
        </is>
      </c>
      <c r="K7287" t="inlineStr">
        <is>
          <t>Trên 5 Năm</t>
        </is>
      </c>
      <c r="L7287" s="8">
        <f>HYPERLINK("https://careerviet.vn/vi/tim-viec-lam/chuyen-vien-kiem-soat-noi-bo-mang-ktxd.35C6A884.html","Xem chi tiết")</f>
        <v/>
      </c>
    </row>
    <row r="7288">
      <c r="B7288" s="9" t="n">
        <v>7286</v>
      </c>
      <c r="C7288" s="10" t="inlineStr">
        <is>
          <t>Chuyên viên Hành chính quản trị</t>
        </is>
      </c>
      <c r="D7288" s="10" t="inlineStr">
        <is>
          <t>Công Ty Cổ Phần Địa Ốc Phú Long</t>
        </is>
      </c>
      <c r="E7288" s="10" t="inlineStr">
        <is>
          <t>Lương:Cạnh tranh</t>
        </is>
      </c>
      <c r="F7288" s="10" t="inlineStr">
        <is>
          <t>Hồ Chí Minh</t>
        </is>
      </c>
      <c r="G7288" s="10" t="inlineStr">
        <is>
          <t>03-04-2026</t>
        </is>
      </c>
      <c r="H7288" s="10" t="inlineStr">
        <is>
          <t>03/04/2026</t>
        </is>
      </c>
      <c r="I7288" s="10" t="inlineStr">
        <is>
          <t>17/03/2026</t>
        </is>
      </c>
      <c r="J7288" s="10" t="inlineStr">
        <is>
          <t>Hành chính / Thư ký, Bảo trì / Sửa chữa, Bất động sản</t>
        </is>
      </c>
      <c r="K7288" s="10" t="inlineStr">
        <is>
          <t>3 - 10 Năm</t>
        </is>
      </c>
      <c r="L7288" s="11">
        <f>HYPERLINK("https://careerviet.vn/vi/tim-viec-lam/chuyen-vien-hanh-chinh-quan-tri.35C6A68E.html","Xem chi tiết")</f>
        <v/>
      </c>
      <c r="M7288" s="10" t="n"/>
    </row>
    <row r="7289">
      <c r="B7289" s="7" t="n">
        <v>7287</v>
      </c>
      <c r="C7289" t="inlineStr">
        <is>
          <t>Trưởng phòng Phụ trách Tổ chức Vận hành Giám sát Camera</t>
        </is>
      </c>
      <c r="D7289" t="inlineStr">
        <is>
          <t>Nova Service Group - Công ty Cổ phần Tập đoàn Nova Services</t>
        </is>
      </c>
      <c r="E7289" t="inlineStr">
        <is>
          <t>Lương:Cạnh tranh</t>
        </is>
      </c>
      <c r="F7289" t="inlineStr">
        <is>
          <t>Hồ Chí Minh</t>
        </is>
      </c>
      <c r="G7289" t="inlineStr">
        <is>
          <t>30-04-2026</t>
        </is>
      </c>
      <c r="H7289" t="inlineStr">
        <is>
          <t>30/04/2026</t>
        </is>
      </c>
      <c r="I7289" t="inlineStr">
        <is>
          <t>17/03/2026</t>
        </is>
      </c>
      <c r="J7289" t="inlineStr">
        <is>
          <t>An Ninh / Bảo Vệ, Ngành khác</t>
        </is>
      </c>
      <c r="K7289" t="inlineStr">
        <is>
          <t>10 - 12 Năm</t>
        </is>
      </c>
      <c r="L7289" s="8">
        <f>HYPERLINK("https://careerviet.vn/vi/tim-viec-lam/truong-phong-phu-trach-to-chuc-van-hanh-giam-sat-camera.35C6A909.html","Xem chi tiết")</f>
        <v/>
      </c>
    </row>
    <row r="7290">
      <c r="B7290" s="9" t="n">
        <v>7288</v>
      </c>
      <c r="C7290" s="10" t="inlineStr">
        <is>
          <t>[Phú Mỹ Hưng] - Nhân viên Kinh doanh</t>
        </is>
      </c>
      <c r="D7290" s="10" t="inlineStr">
        <is>
          <t>Công ty TNHH Phát triển Phú Mỹ Hưng</t>
        </is>
      </c>
      <c r="E7290" s="10" t="inlineStr">
        <is>
          <t>Lương:Cạnh tranh</t>
        </is>
      </c>
      <c r="F7290" s="10" t="inlineStr">
        <is>
          <t>Hà Nội</t>
        </is>
      </c>
      <c r="G7290" s="10" t="inlineStr">
        <is>
          <t>31-03-2026</t>
        </is>
      </c>
      <c r="H7290" s="10" t="inlineStr">
        <is>
          <t>31/03/2026</t>
        </is>
      </c>
      <c r="I7290" s="10" t="inlineStr">
        <is>
          <t>17/03/2026</t>
        </is>
      </c>
      <c r="J7290" s="10" t="inlineStr">
        <is>
          <t>Bán hàng / Kinh doanh, Bảo hiểm, Bất động sản</t>
        </is>
      </c>
      <c r="K7290" s="10" t="inlineStr">
        <is>
          <t>N/A</t>
        </is>
      </c>
      <c r="L7290" s="11">
        <f>HYPERLINK("https://careerviet.vn/vi/tim-viec-lam/phu-my-hung-nhan-vien-kinh-doanh.35C6A80A.html","Xem chi tiết")</f>
        <v/>
      </c>
      <c r="M7290" s="10" t="n"/>
    </row>
    <row r="7291">
      <c r="B7291" s="7" t="n">
        <v>7289</v>
      </c>
      <c r="C7291" t="inlineStr">
        <is>
          <t>[TUYỂN GẤP] CHUYÊN VIÊN KẾ TOÁN NGÂN HÀNG (NGÀNH NỘI THẤT)</t>
        </is>
      </c>
      <c r="D7291" t="inlineStr">
        <is>
          <t>CÔNG TY CỔ PHẦN SẢN XUẤT THƯƠNG MẠI XÂY DỰNG TRANG TRÍ NỘI THẤT G.S VIỆT NAM</t>
        </is>
      </c>
      <c r="E7291" t="inlineStr">
        <is>
          <t>Lương:Lên đến 15 Tr VND</t>
        </is>
      </c>
      <c r="F7291" t="inlineStr">
        <is>
          <t>Hồ Chí Minh</t>
        </is>
      </c>
      <c r="G7291" t="inlineStr">
        <is>
          <t>30-04-2026</t>
        </is>
      </c>
      <c r="H7291" t="inlineStr">
        <is>
          <t>30/04/2026</t>
        </is>
      </c>
      <c r="I7291" t="inlineStr">
        <is>
          <t>17/03/2026</t>
        </is>
      </c>
      <c r="J7291" t="inlineStr">
        <is>
          <t>Kế toán / Kiểm toán, Ngân hàng, Nội ngoại thất</t>
        </is>
      </c>
      <c r="K7291" t="inlineStr">
        <is>
          <t>3 - 5 Năm</t>
        </is>
      </c>
      <c r="L7291" s="8">
        <f>HYPERLINK("https://careerviet.vn/vi/tim-viec-lam/tuyen-gap-chuyen-vien-ke-toan-ngan-hang-nganh-noi-that.35C6A8B7.html","Xem chi tiết")</f>
        <v/>
      </c>
    </row>
    <row r="7292">
      <c r="B7292" s="9" t="n">
        <v>7290</v>
      </c>
      <c r="C7292" s="10" t="inlineStr">
        <is>
          <t>Nhân Viên Vận Hành Sàn Thương Mại Điện Tử</t>
        </is>
      </c>
      <c r="D7292" s="10" t="inlineStr">
        <is>
          <t>Công ty Cổ phần thời trang quốc tế Glamor</t>
        </is>
      </c>
      <c r="E7292" s="10" t="inlineStr">
        <is>
          <t>Lương:8 Tr - 15 Tr VND</t>
        </is>
      </c>
      <c r="F7292" s="10" t="inlineStr">
        <is>
          <t>Hà Nội</t>
        </is>
      </c>
      <c r="G7292" s="10" t="inlineStr">
        <is>
          <t>10-04-2026</t>
        </is>
      </c>
      <c r="H7292" s="10" t="inlineStr">
        <is>
          <t>10/04/2026</t>
        </is>
      </c>
      <c r="I7292" s="10" t="inlineStr">
        <is>
          <t>17/03/2026</t>
        </is>
      </c>
      <c r="J7292" s="10" t="inlineStr">
        <is>
          <t>Thương mại điện tử, Dệt may / Da giày / Thời trang</t>
        </is>
      </c>
      <c r="K7292" s="10" t="inlineStr">
        <is>
          <t>Trên 1 Năm</t>
        </is>
      </c>
      <c r="L7292" s="11">
        <f>HYPERLINK("https://careerviet.vn/vi/tim-viec-lam/nhan-vien-van-hanh-san-thuong-mai-dien-tu.35C6A853.html","Xem chi tiết")</f>
        <v/>
      </c>
      <c r="M7292" s="10" t="n"/>
    </row>
    <row r="7293">
      <c r="B7293" s="7" t="n">
        <v>7291</v>
      </c>
      <c r="C7293" t="inlineStr">
        <is>
          <t>Chuyên Viên Media Quay Chụp</t>
        </is>
      </c>
      <c r="D7293" t="inlineStr">
        <is>
          <t>CÔNG TY CỔ PHẦN SẢN XUẤT &amp; XUẤT NHẬP KHẨU HAT+</t>
        </is>
      </c>
      <c r="E7293" t="inlineStr">
        <is>
          <t>Lương:13 Tr - 18 Tr VND</t>
        </is>
      </c>
      <c r="F7293" t="inlineStr">
        <is>
          <t>Hà Nội</t>
        </is>
      </c>
      <c r="G7293" t="inlineStr">
        <is>
          <t>31-03-2026</t>
        </is>
      </c>
      <c r="H7293" t="inlineStr">
        <is>
          <t>31/03/2026</t>
        </is>
      </c>
      <c r="I7293" t="inlineStr">
        <is>
          <t>17/03/2026</t>
        </is>
      </c>
      <c r="J7293" t="inlineStr">
        <is>
          <t>Tiếp thị / Marketing, Truyền hình / Báo chí / Biên tập</t>
        </is>
      </c>
      <c r="K7293" t="inlineStr">
        <is>
          <t>2 - 5 Năm</t>
        </is>
      </c>
      <c r="L7293" s="8">
        <f>HYPERLINK("https://careerviet.vn/vi/tim-viec-lam/chuyen-vien-media-quay-chup.35C6AA44.html","Xem chi tiết")</f>
        <v/>
      </c>
    </row>
    <row r="7294">
      <c r="B7294" s="9" t="n">
        <v>7292</v>
      </c>
      <c r="C7294" s="10" t="inlineStr">
        <is>
          <t>Kỹ Thuật Viên Điện Tử  (Hàn và debug board)</t>
        </is>
      </c>
      <c r="D7294" s="10" t="inlineStr">
        <is>
          <t>Công ty TNHH Greystone Data Systems Việt Nam</t>
        </is>
      </c>
      <c r="E7294" s="10" t="inlineStr">
        <is>
          <t>Lương:8,5 Tr - 10 Tr VND</t>
        </is>
      </c>
      <c r="F7294" s="10" t="inlineStr">
        <is>
          <t>Hồ Chí Minh</t>
        </is>
      </c>
      <c r="G7294" s="10" t="inlineStr">
        <is>
          <t>02-04-2026</t>
        </is>
      </c>
      <c r="H7294" s="10" t="inlineStr">
        <is>
          <t>02/04/2026</t>
        </is>
      </c>
      <c r="I7294" s="10" t="inlineStr">
        <is>
          <t>17/03/2026</t>
        </is>
      </c>
      <c r="J7294" s="10" t="inlineStr">
        <is>
          <t>Điện / Điện tử / Điện lạnh / Điện công nghiệp, CNTT - Phần cứng / Mạng</t>
        </is>
      </c>
      <c r="K7294" s="10" t="inlineStr">
        <is>
          <t>N/A</t>
        </is>
      </c>
      <c r="L7294" s="11">
        <f>HYPERLINK("https://careerviet.vn/vi/tim-viec-lam/ky-thuat-vien-dien-tu-han-va-debug-board.35C6A2E4.html","Xem chi tiết")</f>
        <v/>
      </c>
      <c r="M7294" s="10" t="n"/>
    </row>
    <row r="7295">
      <c r="B7295" s="7" t="n">
        <v>7293</v>
      </c>
      <c r="C7295" t="inlineStr">
        <is>
          <t>Senior Operation Executive (B2B)</t>
        </is>
      </c>
      <c r="D7295" t="inlineStr">
        <is>
          <t>CÔNG TY CỔ PHẦN CÔNG NGHỆ PREP</t>
        </is>
      </c>
      <c r="E7295" t="inlineStr">
        <is>
          <t>Lương:15 Tr - 17 Tr VND</t>
        </is>
      </c>
      <c r="F7295" t="inlineStr">
        <is>
          <t>Hà Nội</t>
        </is>
      </c>
      <c r="G7295" t="inlineStr">
        <is>
          <t>04-04-2026</t>
        </is>
      </c>
      <c r="H7295" t="inlineStr">
        <is>
          <t>04/04/2026</t>
        </is>
      </c>
      <c r="I7295" t="inlineStr">
        <is>
          <t>17/03/2026</t>
        </is>
      </c>
      <c r="J7295" t="inlineStr">
        <is>
          <t>Dịch vụ khách hàng, Ngành khác, Bán hàng / Kinh doanh</t>
        </is>
      </c>
      <c r="K7295" t="inlineStr">
        <is>
          <t>2 - 3 Năm</t>
        </is>
      </c>
      <c r="L7295" s="8">
        <f>HYPERLINK("https://careerviet.vn/vi/tim-viec-lam/senior-operation-executive-b2b.35C6AA01.html","Xem chi tiết")</f>
        <v/>
      </c>
    </row>
    <row r="7296">
      <c r="B7296" s="9" t="n">
        <v>7294</v>
      </c>
      <c r="C7296" s="10" t="inlineStr">
        <is>
          <t>Nhân Viên Thủ Kho Hub Đà Nẵng</t>
        </is>
      </c>
      <c r="D7296" s="10" t="inlineStr">
        <is>
          <t>CÔNG TY CỔ PHẦN VUA NỆM</t>
        </is>
      </c>
      <c r="E7296" s="10" t="inlineStr">
        <is>
          <t>Lương:13 Tr - 16 Tr VND</t>
        </is>
      </c>
      <c r="F7296" s="10" t="inlineStr">
        <is>
          <t>Đà Nẵng</t>
        </is>
      </c>
      <c r="G7296" s="10" t="inlineStr">
        <is>
          <t>31-03-2026</t>
        </is>
      </c>
      <c r="H7296" s="10" t="inlineStr">
        <is>
          <t>31/03/2026</t>
        </is>
      </c>
      <c r="I7296" s="10" t="inlineStr">
        <is>
          <t>17/03/2026</t>
        </is>
      </c>
      <c r="J7296" s="10" t="inlineStr">
        <is>
          <t>Vận chuyển / Giao nhận / Kho vận, Bán lẻ / Bán sỉ</t>
        </is>
      </c>
      <c r="K7296" s="10" t="inlineStr">
        <is>
          <t>2 - 3 Năm</t>
        </is>
      </c>
      <c r="L7296" s="11">
        <f>HYPERLINK("https://careerviet.vn/vi/tim-viec-lam/nhan-vien-thu-kho-hub-da-nang.35C6AA76.html","Xem chi tiết")</f>
        <v/>
      </c>
      <c r="M7296" s="10" t="n"/>
    </row>
    <row r="7297">
      <c r="B7297" s="7" t="n">
        <v>7295</v>
      </c>
      <c r="C7297" t="inlineStr">
        <is>
          <t>Nhân Viên Phát Triển Thị Trường</t>
        </is>
      </c>
      <c r="D7297" t="inlineStr">
        <is>
          <t>CÔNG TY TNHH ĐẦU TƯ, THƯƠNG MẠI VÀ DỊCH VỤ QUINN HÀ NỘI</t>
        </is>
      </c>
      <c r="E7297" t="inlineStr">
        <is>
          <t>Lương:10 Tr - 20 Tr VND</t>
        </is>
      </c>
      <c r="F7297" t="inlineStr">
        <is>
          <t>Hà Nội</t>
        </is>
      </c>
      <c r="G7297" t="inlineStr">
        <is>
          <t>2</t>
        </is>
      </c>
      <c r="H7297" t="inlineStr">
        <is>
          <t>19/03/2026</t>
        </is>
      </c>
      <c r="I7297" t="inlineStr">
        <is>
          <t>17/03/2026</t>
        </is>
      </c>
      <c r="J7297" t="inlineStr">
        <is>
          <t>Bán hàng / Kinh doanh, Tiếp thị / Marketing, Biên phiên dịch</t>
        </is>
      </c>
      <c r="K7297" t="inlineStr">
        <is>
          <t>N/A</t>
        </is>
      </c>
      <c r="L7297" s="8">
        <f>HYPERLINK("https://careerviet.vn/vi/tim-viec-lam/nhan-vien-phat-trien-thi-truong.35C6A75C.html","Xem chi tiết")</f>
        <v/>
      </c>
    </row>
    <row r="7298">
      <c r="B7298" s="9" t="n">
        <v>7296</v>
      </c>
      <c r="C7298" s="10" t="inlineStr">
        <is>
          <t>HR Coordinator</t>
        </is>
      </c>
      <c r="D7298" s="10" t="inlineStr">
        <is>
          <t>ShelbyGlobal Vietnam Company Limited</t>
        </is>
      </c>
      <c r="E7298" s="10" t="inlineStr">
        <is>
          <t>Lương:8 Tr - 13 Tr VND</t>
        </is>
      </c>
      <c r="F7298" s="10" t="inlineStr">
        <is>
          <t>Hồ Chí Minh</t>
        </is>
      </c>
      <c r="G7298" s="10" t="inlineStr">
        <is>
          <t>31-03-2026</t>
        </is>
      </c>
      <c r="H7298" s="10" t="inlineStr">
        <is>
          <t>31/03/2026</t>
        </is>
      </c>
      <c r="I7298" s="10" t="inlineStr">
        <is>
          <t>17/03/2026</t>
        </is>
      </c>
      <c r="J7298" s="10" t="inlineStr">
        <is>
          <t>Nhân sự</t>
        </is>
      </c>
      <c r="K7298" s="10" t="inlineStr">
        <is>
          <t>1 - 3 Năm</t>
        </is>
      </c>
      <c r="L7298" s="11">
        <f>HYPERLINK("https://careerviet.vn/vi/tim-viec-lam/hr-coordinator.35C6A328.html","Xem chi tiết")</f>
        <v/>
      </c>
      <c r="M7298" s="10" t="n"/>
    </row>
    <row r="7299">
      <c r="B7299" s="7" t="n">
        <v>7297</v>
      </c>
      <c r="C7299" t="inlineStr">
        <is>
          <t>NHÂN VIÊN KỸ THUẬT SẢN XUẤT</t>
        </is>
      </c>
      <c r="D7299" t="inlineStr">
        <is>
          <t>Công Ty TNHH Công Nghiệp Kolon Bình Dương</t>
        </is>
      </c>
      <c r="E7299" t="inlineStr">
        <is>
          <t>Lương:9 Tr - 12 Tr VND</t>
        </is>
      </c>
      <c r="F7299" t="inlineStr">
        <is>
          <t>Bình Dương</t>
        </is>
      </c>
      <c r="G7299" t="inlineStr">
        <is>
          <t>30-04-2026</t>
        </is>
      </c>
      <c r="H7299" t="inlineStr">
        <is>
          <t>30/04/2026</t>
        </is>
      </c>
      <c r="I7299" t="inlineStr">
        <is>
          <t>17/03/2026</t>
        </is>
      </c>
      <c r="J7299" t="inlineStr">
        <is>
          <t>Sản xuất / Vận hành sản xuất, Hóa học, Bán Hàng Kỹ Thuật</t>
        </is>
      </c>
      <c r="K7299" t="inlineStr">
        <is>
          <t>N/A</t>
        </is>
      </c>
      <c r="L7299" s="8">
        <f>HYPERLINK("https://careerviet.vn/vi/tim-viec-lam/nhan-vien-ky-thuat-san-xuat.35C6A852.html","Xem chi tiết")</f>
        <v/>
      </c>
    </row>
    <row r="7300">
      <c r="B7300" s="9" t="n">
        <v>7298</v>
      </c>
      <c r="C7300" s="10" t="inlineStr">
        <is>
          <t>Chuyên Viên Môi Giới và Tư Vấn Đầu Tư</t>
        </is>
      </c>
      <c r="D7300" s="10" t="inlineStr">
        <is>
          <t>Công ty TNHH Chứng khoán ACB</t>
        </is>
      </c>
      <c r="E7300" s="10" t="inlineStr">
        <is>
          <t>Lương:Cạnh tranh</t>
        </is>
      </c>
      <c r="F7300" s="10" t="inlineStr">
        <is>
          <t>Hồ Chí MinhHà NộiCần Thơ</t>
        </is>
      </c>
      <c r="G7300" s="10" t="inlineStr">
        <is>
          <t>31-03-2026</t>
        </is>
      </c>
      <c r="H7300" s="10" t="inlineStr">
        <is>
          <t>31/03/2026</t>
        </is>
      </c>
      <c r="I7300" s="10" t="inlineStr">
        <is>
          <t>17/03/2026</t>
        </is>
      </c>
      <c r="J7300" s="10" t="inlineStr">
        <is>
          <t>Chứng khoán</t>
        </is>
      </c>
      <c r="K7300" s="10" t="inlineStr">
        <is>
          <t>Lên đến 5 Năm</t>
        </is>
      </c>
      <c r="L7300" s="11">
        <f>HYPERLINK("https://careerviet.vn/vi/tim-viec-lam/chuyen-vien-moi-gioi-va-tu-van-dau-tu.35C6A7DB.html","Xem chi tiết")</f>
        <v/>
      </c>
      <c r="M7300" s="10" t="n"/>
    </row>
    <row r="7301">
      <c r="B7301" s="7" t="n">
        <v>7299</v>
      </c>
      <c r="C7301" t="inlineStr">
        <is>
          <t>CHUYÊN VIÊN TƯ VẤN GIÁO DỤC (OCEAN EDU DƯƠNG NỘI) - THU NHẬP HẤP DẪN TỪ 15 TRIỆU/THÁNG</t>
        </is>
      </c>
      <c r="D7301" t="inlineStr">
        <is>
          <t>Công Ty CP Giáo Dục Đại Dương</t>
        </is>
      </c>
      <c r="E7301" t="inlineStr">
        <is>
          <t>Lương:Cạnh tranh</t>
        </is>
      </c>
      <c r="F7301" t="inlineStr">
        <is>
          <t>Hà Nội</t>
        </is>
      </c>
      <c r="G7301" t="inlineStr">
        <is>
          <t>02-04-2026</t>
        </is>
      </c>
      <c r="H7301" t="inlineStr">
        <is>
          <t>02/04/2026</t>
        </is>
      </c>
      <c r="I7301" t="inlineStr">
        <is>
          <t>17/03/2026</t>
        </is>
      </c>
      <c r="J7301" t="inlineStr">
        <is>
          <t>Dịch vụ khách hàng, Giáo dục / Đào tạo, Bán hàng / Kinh doanh</t>
        </is>
      </c>
      <c r="K7301" t="inlineStr">
        <is>
          <t>Lên đến 1 Năm</t>
        </is>
      </c>
      <c r="L7301" s="8">
        <f>HYPERLINK("https://careerviet.vn/vi/tim-viec-lam/chuyen-vien-tu-van-giao-duc-ocean-edu-duong-noi-thu-nhap-hap-dan-tu-15-trieu-thang.35C6AABC.html","Xem chi tiết")</f>
        <v/>
      </c>
    </row>
    <row r="7302">
      <c r="B7302" s="9" t="n">
        <v>7300</v>
      </c>
      <c r="C7302" s="10" t="inlineStr">
        <is>
          <t>Trưởng Nhóm Tuyển Sinh (Ocean Edu Phổ Yên)</t>
        </is>
      </c>
      <c r="D7302" s="10" t="inlineStr">
        <is>
          <t>Công Ty CP Giáo Dục Đại Dương</t>
        </is>
      </c>
      <c r="E7302" s="10" t="inlineStr">
        <is>
          <t>Lương:Cạnh tranh</t>
        </is>
      </c>
      <c r="F7302" s="10" t="inlineStr">
        <is>
          <t>Thái Nguyên</t>
        </is>
      </c>
      <c r="G7302" s="10" t="inlineStr">
        <is>
          <t>02-04-2026</t>
        </is>
      </c>
      <c r="H7302" s="10" t="inlineStr">
        <is>
          <t>02/04/2026</t>
        </is>
      </c>
      <c r="I7302" s="10" t="inlineStr">
        <is>
          <t>17/03/2026</t>
        </is>
      </c>
      <c r="J7302" s="10" t="inlineStr">
        <is>
          <t>Tư vấn, Dịch vụ khách hàng, Giáo dục / Đào tạo</t>
        </is>
      </c>
      <c r="K7302" s="10" t="inlineStr">
        <is>
          <t>1 - 2 Năm</t>
        </is>
      </c>
      <c r="L7302" s="11">
        <f>HYPERLINK("https://careerviet.vn/vi/tim-viec-lam/truong-nhom-tuyen-sinh-ocean-edu-pho-yen.35C6AACC.html","Xem chi tiết")</f>
        <v/>
      </c>
      <c r="M7302" s="10" t="n"/>
    </row>
    <row r="7303">
      <c r="B7303" s="7" t="n">
        <v>7301</v>
      </c>
      <c r="C7303" t="inlineStr">
        <is>
          <t>Nhân Viên Bán Hàng - Phố Huế</t>
        </is>
      </c>
      <c r="D7303" t="inlineStr">
        <is>
          <t>CT CP Tập Đoàn Thái Tuấn</t>
        </is>
      </c>
      <c r="E7303" t="inlineStr">
        <is>
          <t>Lương:7 Tr - 12 Tr VND</t>
        </is>
      </c>
      <c r="F7303" t="inlineStr">
        <is>
          <t>Hà Nội</t>
        </is>
      </c>
      <c r="G7303" t="inlineStr">
        <is>
          <t>02-04-2026</t>
        </is>
      </c>
      <c r="H7303" t="inlineStr">
        <is>
          <t>02/04/2026</t>
        </is>
      </c>
      <c r="I7303" t="inlineStr">
        <is>
          <t>17/03/2026</t>
        </is>
      </c>
      <c r="J7303" t="inlineStr">
        <is>
          <t>Bán lẻ / Bán sỉ, Bán hàng / Kinh doanh, Dệt may / Da giày / Thời trang</t>
        </is>
      </c>
      <c r="K7303" t="inlineStr">
        <is>
          <t>N/A</t>
        </is>
      </c>
      <c r="L7303" s="8">
        <f>HYPERLINK("https://careerviet.vn/vi/tim-viec-lam/nhan-vien-ban-hang-pho-hue.35C6A7EA.html","Xem chi tiết")</f>
        <v/>
      </c>
    </row>
    <row r="7304">
      <c r="B7304" s="9" t="n">
        <v>7302</v>
      </c>
      <c r="C7304" s="10" t="inlineStr">
        <is>
          <t>International Sale Manager (Based in VietNam)</t>
        </is>
      </c>
      <c r="D7304" s="10" t="inlineStr">
        <is>
          <t>Công ty TNHH Gardenline International (VN)</t>
        </is>
      </c>
      <c r="E7304" s="10" t="inlineStr">
        <is>
          <t>Lương:Cạnh tranh</t>
        </is>
      </c>
      <c r="F7304" s="10" t="inlineStr">
        <is>
          <t>Hồ Chí Minh</t>
        </is>
      </c>
      <c r="G7304" s="10" t="inlineStr">
        <is>
          <t>30-04-2026</t>
        </is>
      </c>
      <c r="H7304" s="10" t="inlineStr">
        <is>
          <t>30/04/2026</t>
        </is>
      </c>
      <c r="I7304" s="10" t="inlineStr">
        <is>
          <t>17/03/2026</t>
        </is>
      </c>
      <c r="J7304" s="10" t="inlineStr">
        <is>
          <t>Bán hàng / Kinh doanh</t>
        </is>
      </c>
      <c r="K7304" s="10" t="inlineStr">
        <is>
          <t>Lên đến 3 Năm</t>
        </is>
      </c>
      <c r="L7304" s="11">
        <f>HYPERLINK("https://careerviet.vn/vi/tim-viec-lam/international-sale-manager-based-in-vietnam.35C6A7E9.html","Xem chi tiết")</f>
        <v/>
      </c>
      <c r="M7304" s="10" t="n"/>
    </row>
    <row r="7305">
      <c r="B7305" s="7" t="n">
        <v>7303</v>
      </c>
      <c r="C7305" t="inlineStr">
        <is>
          <t>Payable Accountant</t>
        </is>
      </c>
      <c r="D7305" t="inlineStr">
        <is>
          <t>Highlands Coffee</t>
        </is>
      </c>
      <c r="E7305" t="inlineStr">
        <is>
          <t>Lương:Cạnh tranh</t>
        </is>
      </c>
      <c r="F7305" t="inlineStr">
        <is>
          <t>Hồ Chí Minh</t>
        </is>
      </c>
      <c r="G7305" t="inlineStr">
        <is>
          <t>24-03-2026</t>
        </is>
      </c>
      <c r="H7305" t="inlineStr">
        <is>
          <t>24/03/2026</t>
        </is>
      </c>
      <c r="I7305" t="inlineStr">
        <is>
          <t>17/03/2026</t>
        </is>
      </c>
      <c r="J7305" t="inlineStr">
        <is>
          <t>Kế toán / Kiểm toán</t>
        </is>
      </c>
      <c r="K7305" t="inlineStr">
        <is>
          <t>1 - 3 Năm</t>
        </is>
      </c>
      <c r="L7305" s="8">
        <f>HYPERLINK("https://careerviet.vn/vi/tim-viec-lam/payable-accountant.35C6A9E8.html","Xem chi tiết")</f>
        <v/>
      </c>
    </row>
    <row r="7306">
      <c r="B7306" s="9" t="n">
        <v>7304</v>
      </c>
      <c r="C7306" s="10" t="inlineStr">
        <is>
          <t>Kế toán trưởng</t>
        </is>
      </c>
      <c r="D7306" s="10" t="inlineStr">
        <is>
          <t>Tập đoàn Nhựa Bình Thuận</t>
        </is>
      </c>
      <c r="E7306" s="10" t="inlineStr">
        <is>
          <t>Lương:18 Tr - 23 Tr VND</t>
        </is>
      </c>
      <c r="F7306" s="10" t="inlineStr">
        <is>
          <t>Bình Dương</t>
        </is>
      </c>
      <c r="G7306" s="10" t="inlineStr">
        <is>
          <t>31-03-2026</t>
        </is>
      </c>
      <c r="H7306" s="10" t="inlineStr">
        <is>
          <t>31/03/2026</t>
        </is>
      </c>
      <c r="I7306" s="10" t="inlineStr">
        <is>
          <t>17/03/2026</t>
        </is>
      </c>
      <c r="J7306" s="10" t="inlineStr">
        <is>
          <t>Kế toán / Kiểm toán</t>
        </is>
      </c>
      <c r="K7306" s="10" t="inlineStr">
        <is>
          <t>3 - 4 Năm</t>
        </is>
      </c>
      <c r="L7306" s="11">
        <f>HYPERLINK("https://careerviet.vn/vi/tim-viec-lam/ke-toan-truong.35C6A749.html","Xem chi tiết")</f>
        <v/>
      </c>
      <c r="M7306" s="10" t="n"/>
    </row>
    <row r="7307">
      <c r="B7307" s="7" t="n">
        <v>7305</v>
      </c>
      <c r="C7307" t="inlineStr">
        <is>
          <t>Chuyên Viên Tài Chính - Không yêu cầu kinh nghiệm</t>
        </is>
      </c>
      <c r="D7307" t="inlineStr">
        <is>
          <t>Tập đoàn Nhựa Bình Thuận</t>
        </is>
      </c>
      <c r="E7307" t="inlineStr">
        <is>
          <t>Lương:8 Tr - 15 Tr VND</t>
        </is>
      </c>
      <c r="F7307" t="inlineStr">
        <is>
          <t>Hà Nội</t>
        </is>
      </c>
      <c r="G7307" t="inlineStr">
        <is>
          <t>31-03-2026</t>
        </is>
      </c>
      <c r="H7307" t="inlineStr">
        <is>
          <t>31/03/2026</t>
        </is>
      </c>
      <c r="I7307" t="inlineStr">
        <is>
          <t>17/03/2026</t>
        </is>
      </c>
      <c r="J7307" t="inlineStr">
        <is>
          <t>Tài chính / Đầu tư</t>
        </is>
      </c>
      <c r="K7307" t="inlineStr">
        <is>
          <t>N/A</t>
        </is>
      </c>
      <c r="L7307" s="8">
        <f>HYPERLINK("https://careerviet.vn/vi/tim-viec-lam/chuyen-vien-tai-chinh-khong-yeu-cau-kinh-nghiem.35C6A79D.html","Xem chi tiết")</f>
        <v/>
      </c>
    </row>
    <row r="7308">
      <c r="B7308" s="9" t="n">
        <v>7306</v>
      </c>
      <c r="C7308" s="10" t="inlineStr">
        <is>
          <t>CVCC/ CVC Đối tác nhân sự</t>
        </is>
      </c>
      <c r="D7308" s="10" t="inlineStr">
        <is>
          <t>CÔNG TY CỔ PHẦN KINH DOANH F88</t>
        </is>
      </c>
      <c r="E7308" s="10" t="inlineStr">
        <is>
          <t>Lương:Cạnh tranh</t>
        </is>
      </c>
      <c r="F7308" s="10" t="inlineStr">
        <is>
          <t>Hồ Chí Minh</t>
        </is>
      </c>
      <c r="G7308" s="10" t="inlineStr">
        <is>
          <t>30-03-2026</t>
        </is>
      </c>
      <c r="H7308" s="10" t="inlineStr">
        <is>
          <t>30/03/2026</t>
        </is>
      </c>
      <c r="I7308" s="10" t="inlineStr">
        <is>
          <t>17/03/2026</t>
        </is>
      </c>
      <c r="J7308" s="10" t="inlineStr">
        <is>
          <t>Nhân sự, Hành chính / Thư ký, Luật / Pháp lý</t>
        </is>
      </c>
      <c r="K7308" s="10" t="inlineStr">
        <is>
          <t>2 - 3 Năm</t>
        </is>
      </c>
      <c r="L7308" s="11">
        <f>HYPERLINK("https://careerviet.vn/vi/tim-viec-lam/cvcc-cvc-doi-tac-nhan-su.35C684AA.html","Xem chi tiết")</f>
        <v/>
      </c>
      <c r="M7308" s="10" t="n"/>
    </row>
    <row r="7309">
      <c r="B7309" s="7" t="n">
        <v>7307</v>
      </c>
      <c r="C7309" t="inlineStr">
        <is>
          <t>Chuyên viên Kiểm thử phần mềm - Tester</t>
        </is>
      </c>
      <c r="D7309" t="inlineStr">
        <is>
          <t>Tổng Công Ty Cổ Phần Bảo Hiểm Ngân Hàng TMCP Công Thương Việt Nam</t>
        </is>
      </c>
      <c r="E7309" t="inlineStr">
        <is>
          <t>Lương:Cạnh tranh</t>
        </is>
      </c>
      <c r="F7309" t="inlineStr">
        <is>
          <t>Hà Nội</t>
        </is>
      </c>
      <c r="G7309" t="inlineStr">
        <is>
          <t>02-04-2026</t>
        </is>
      </c>
      <c r="H7309" t="inlineStr">
        <is>
          <t>02/04/2026</t>
        </is>
      </c>
      <c r="I7309" t="inlineStr">
        <is>
          <t>17/03/2026</t>
        </is>
      </c>
      <c r="J7309" t="inlineStr">
        <is>
          <t>CNTT - Phần mềm, Ngân hàng, Bảo hiểm</t>
        </is>
      </c>
      <c r="K7309" t="inlineStr">
        <is>
          <t>2 - 5 Năm</t>
        </is>
      </c>
      <c r="L7309" s="8">
        <f>HYPERLINK("https://careerviet.vn/vi/tim-viec-lam/chuyen-vien-kiem-thu-phan-mem-tester.35C6A77C.html","Xem chi tiết")</f>
        <v/>
      </c>
    </row>
    <row r="7310">
      <c r="B7310" s="9" t="n">
        <v>7308</v>
      </c>
      <c r="C7310" s="10" t="inlineStr">
        <is>
          <t>[HCM] Giám Sát Nhà Hàng/ Restaurant Supervisor</t>
        </is>
      </c>
      <c r="D7310" s="10" t="inlineStr">
        <is>
          <t>CÔNG TY TNHH THƯƠNG MẠI VÀ DỊCH VỤ TALAD THAI</t>
        </is>
      </c>
      <c r="E7310" s="10" t="inlineStr">
        <is>
          <t>Lương:9 Tr - 11 Tr VND</t>
        </is>
      </c>
      <c r="F7310" s="10" t="inlineStr">
        <is>
          <t>Hồ Chí Minh</t>
        </is>
      </c>
      <c r="G7310" s="10" t="inlineStr">
        <is>
          <t>03-04-2026</t>
        </is>
      </c>
      <c r="H7310" s="10" t="inlineStr">
        <is>
          <t>03/04/2026</t>
        </is>
      </c>
      <c r="I7310" s="10" t="inlineStr">
        <is>
          <t>17/03/2026</t>
        </is>
      </c>
      <c r="J7310" s="10" t="inlineStr">
        <is>
          <t>Nhà hàng / Khách sạn</t>
        </is>
      </c>
      <c r="K7310" s="10" t="inlineStr">
        <is>
          <t>1 - 2 Năm</t>
        </is>
      </c>
      <c r="L7310" s="11">
        <f>HYPERLINK("https://careerviet.vn/vi/tim-viec-lam/hcm-giam-sat-nha-hang-restaurant-supervisor.35C6A934.html","Xem chi tiết")</f>
        <v/>
      </c>
      <c r="M7310" s="10" t="n"/>
    </row>
    <row r="7311">
      <c r="B7311" s="7" t="n">
        <v>7309</v>
      </c>
      <c r="C7311" t="inlineStr">
        <is>
          <t>CHUYÊN VIÊN TƯ VẤN GIÁO DỤC (OCEAN EDU NAM ĐỊNH 2) - THU NHẬP HẤP DẪN TỪ 15 TRIỆU/THÁNG</t>
        </is>
      </c>
      <c r="D7311" t="inlineStr">
        <is>
          <t>Công Ty CP Giáo Dục Đại Dương</t>
        </is>
      </c>
      <c r="E7311" t="inlineStr">
        <is>
          <t>Lương:Cạnh tranh</t>
        </is>
      </c>
      <c r="F7311" t="inlineStr">
        <is>
          <t>Nam Định</t>
        </is>
      </c>
      <c r="G7311" t="inlineStr">
        <is>
          <t>02-04-2026</t>
        </is>
      </c>
      <c r="H7311" t="inlineStr">
        <is>
          <t>02/04/2026</t>
        </is>
      </c>
      <c r="I7311" t="inlineStr">
        <is>
          <t>17/03/2026</t>
        </is>
      </c>
      <c r="J7311" t="inlineStr">
        <is>
          <t>Dịch vụ khách hàng, Giáo dục / Đào tạo, Bán hàng / Kinh doanh</t>
        </is>
      </c>
      <c r="K7311" t="inlineStr">
        <is>
          <t>Lên đến 1 Năm</t>
        </is>
      </c>
      <c r="L7311" s="8">
        <f>HYPERLINK("https://careerviet.vn/vi/tim-viec-lam/chuyen-vien-tu-van-giao-duc-ocean-edu-nam-dinh-2-thu-nhap-hap-dan-tu-15-trieu-thang.35C6A9E7.html","Xem chi tiết")</f>
        <v/>
      </c>
    </row>
    <row r="7312">
      <c r="B7312" s="9" t="n">
        <v>7310</v>
      </c>
      <c r="C7312" s="10" t="inlineStr">
        <is>
          <t>Điều Phối Xe Tải B2B</t>
        </is>
      </c>
      <c r="D7312" s="10" t="inlineStr">
        <is>
          <t>CÔNG TY CỔ PHẦN ZTO FREIGHT VIỆT NAM</t>
        </is>
      </c>
      <c r="E7312" s="10" t="inlineStr">
        <is>
          <t>Lương:12 Tr - 20 Tr VND</t>
        </is>
      </c>
      <c r="F7312" s="10" t="inlineStr">
        <is>
          <t>Hà NộiHồ Chí Minh</t>
        </is>
      </c>
      <c r="G7312" s="10" t="inlineStr">
        <is>
          <t>04-04-2026</t>
        </is>
      </c>
      <c r="H7312" s="10" t="inlineStr">
        <is>
          <t>04/04/2026</t>
        </is>
      </c>
      <c r="I7312" s="10" t="inlineStr">
        <is>
          <t>17/03/2026</t>
        </is>
      </c>
      <c r="J7312" s="10" t="inlineStr">
        <is>
          <t>Vận chuyển / Giao nhận / Kho vận</t>
        </is>
      </c>
      <c r="K7312" s="10" t="inlineStr">
        <is>
          <t>1 - 3 Năm</t>
        </is>
      </c>
      <c r="L7312" s="11">
        <f>HYPERLINK("https://careerviet.vn/vi/tim-viec-lam/dieu-phoi-xe-tai-b2b.35C6AA90.html","Xem chi tiết")</f>
        <v/>
      </c>
      <c r="M7312" s="10" t="n"/>
    </row>
    <row r="7313">
      <c r="B7313" s="7" t="n">
        <v>7311</v>
      </c>
      <c r="C7313" t="inlineStr">
        <is>
          <t>Chuyên viên MEPF  (Chủ đầu tư BĐS)</t>
        </is>
      </c>
      <c r="D7313" t="inlineStr">
        <is>
          <t>Công Ty CP Đầu Tư IMG</t>
        </is>
      </c>
      <c r="E7313" t="inlineStr">
        <is>
          <t>Lương:20 Tr - 25 Tr VND</t>
        </is>
      </c>
      <c r="F7313" t="inlineStr">
        <is>
          <t>Hồ Chí Minh</t>
        </is>
      </c>
      <c r="G7313" t="inlineStr">
        <is>
          <t>05-04-2026</t>
        </is>
      </c>
      <c r="H7313" t="inlineStr">
        <is>
          <t>05/04/2026</t>
        </is>
      </c>
      <c r="I7313" t="inlineStr">
        <is>
          <t>17/03/2026</t>
        </is>
      </c>
      <c r="J7313" t="inlineStr">
        <is>
          <t>Bất động sản, Xây dựng</t>
        </is>
      </c>
      <c r="K7313" t="inlineStr">
        <is>
          <t>5 - 7 Năm</t>
        </is>
      </c>
      <c r="L7313" s="8">
        <f>HYPERLINK("https://careerviet.vn/vi/tim-viec-lam/chuyen-vien-mepf-chu-dau-tu-bds.35C6A855.html","Xem chi tiết")</f>
        <v/>
      </c>
    </row>
    <row r="7314">
      <c r="B7314" s="9" t="n">
        <v>7312</v>
      </c>
      <c r="C7314" s="10" t="inlineStr">
        <is>
          <t>Kỹ Sư Mạng &amp; Bảo Mật</t>
        </is>
      </c>
      <c r="D7314" s="10" t="inlineStr">
        <is>
          <t>GTEL ICT</t>
        </is>
      </c>
      <c r="E7314" s="10" t="inlineStr">
        <is>
          <t>Lương:10 Tr - 35 Tr VND</t>
        </is>
      </c>
      <c r="F7314" s="10" t="inlineStr">
        <is>
          <t>Hà Nội</t>
        </is>
      </c>
      <c r="G7314" s="10" t="inlineStr">
        <is>
          <t>04-04-2026</t>
        </is>
      </c>
      <c r="H7314" s="10" t="inlineStr">
        <is>
          <t>04/04/2026</t>
        </is>
      </c>
      <c r="I7314" s="10" t="inlineStr">
        <is>
          <t>17/03/2026</t>
        </is>
      </c>
      <c r="J7314" s="10" t="inlineStr">
        <is>
          <t>CNTT - Phần mềm, CNTT - Phần cứng / Mạng</t>
        </is>
      </c>
      <c r="K7314" s="10" t="inlineStr">
        <is>
          <t>1 - 5 Năm</t>
        </is>
      </c>
      <c r="L7314" s="11">
        <f>HYPERLINK("https://careerviet.vn/vi/tim-viec-lam/ky-su-mang-bao-mat.35C6AF35.html","Xem chi tiết")</f>
        <v/>
      </c>
      <c r="M7314" s="10" t="n"/>
    </row>
    <row r="7315">
      <c r="B7315" s="7" t="n">
        <v>7313</v>
      </c>
      <c r="C7315" t="inlineStr">
        <is>
          <t>Digital Marketing (Campain)</t>
        </is>
      </c>
      <c r="D7315" t="inlineStr">
        <is>
          <t>Tập Đoàn Karofi Holding</t>
        </is>
      </c>
      <c r="E7315" t="inlineStr">
        <is>
          <t>Lương:Cạnh tranh</t>
        </is>
      </c>
      <c r="F7315" t="inlineStr">
        <is>
          <t>Hồ Chí MinhHà Nội</t>
        </is>
      </c>
      <c r="G7315" t="inlineStr">
        <is>
          <t>14-04-2026</t>
        </is>
      </c>
      <c r="H7315" t="inlineStr">
        <is>
          <t>14/04/2026</t>
        </is>
      </c>
      <c r="I7315" t="inlineStr">
        <is>
          <t>17/03/2026</t>
        </is>
      </c>
      <c r="J7315" t="inlineStr">
        <is>
          <t>Tiếp thị / Marketing, Bán lẻ / Bán sỉ, Quảng cáo / Đối ngoại / Truyền Thông</t>
        </is>
      </c>
      <c r="K7315" t="inlineStr">
        <is>
          <t>1 - 3 Năm</t>
        </is>
      </c>
      <c r="L7315" s="8">
        <f>HYPERLINK("https://careerviet.vn/vi/tim-viec-lam/digital-marketing-campain.35C6BE16.html","Xem chi tiết")</f>
        <v/>
      </c>
    </row>
    <row r="7316">
      <c r="B7316" s="9" t="n">
        <v>7314</v>
      </c>
      <c r="C7316" s="10" t="inlineStr">
        <is>
          <t>Kế toán tổng hợp</t>
        </is>
      </c>
      <c r="D7316" s="10" t="inlineStr">
        <is>
          <t>CÔNG TY CỔ PHẦN ZTO FREIGHT VIỆT NAM</t>
        </is>
      </c>
      <c r="E7316" s="10" t="inlineStr">
        <is>
          <t>Lương:10 Tr - 25 Tr VND</t>
        </is>
      </c>
      <c r="F7316" s="10" t="inlineStr">
        <is>
          <t>Hà NộiHồ Chí Minh</t>
        </is>
      </c>
      <c r="G7316" s="10" t="inlineStr">
        <is>
          <t>04-04-2026</t>
        </is>
      </c>
      <c r="H7316" s="10" t="inlineStr">
        <is>
          <t>04/04/2026</t>
        </is>
      </c>
      <c r="I7316" s="10" t="inlineStr">
        <is>
          <t>17/03/2026</t>
        </is>
      </c>
      <c r="J7316" s="10" t="inlineStr">
        <is>
          <t>Kế toán / Kiểm toán, Vận chuyển / Giao nhận / Kho vận</t>
        </is>
      </c>
      <c r="K7316" s="10" t="inlineStr">
        <is>
          <t>3 - 6 Năm</t>
        </is>
      </c>
      <c r="L7316" s="11">
        <f>HYPERLINK("https://careerviet.vn/vi/tim-viec-lam/ke-toan-tong-hop.35C6AA9D.html","Xem chi tiết")</f>
        <v/>
      </c>
      <c r="M7316" s="10" t="n"/>
    </row>
    <row r="7317">
      <c r="B7317" s="7" t="n">
        <v>7315</v>
      </c>
      <c r="C7317" t="inlineStr">
        <is>
          <t>Nhân viên kỹ thuật tòa nhà</t>
        </is>
      </c>
      <c r="D7317" t="inlineStr">
        <is>
          <t>Press Club</t>
        </is>
      </c>
      <c r="E7317" t="inlineStr">
        <is>
          <t>Lương:10 Tr - 15 Tr VND</t>
        </is>
      </c>
      <c r="F7317" t="inlineStr">
        <is>
          <t>Hà Nội</t>
        </is>
      </c>
      <c r="G7317" t="inlineStr">
        <is>
          <t>31-03-2026</t>
        </is>
      </c>
      <c r="H7317" t="inlineStr">
        <is>
          <t>31/03/2026</t>
        </is>
      </c>
      <c r="I7317" t="inlineStr">
        <is>
          <t>17/03/2026</t>
        </is>
      </c>
      <c r="J7317" t="inlineStr">
        <is>
          <t>Nhà hàng / Khách sạn, Điện / Điện tử / Điện lạnh / Điện công nghiệp, Bảo trì / Sửa chữa</t>
        </is>
      </c>
      <c r="K7317" t="inlineStr">
        <is>
          <t>1 - 3 Năm</t>
        </is>
      </c>
      <c r="L7317" s="8">
        <f>HYPERLINK("https://careerviet.vn/vi/tim-viec-lam/nhan-vien-ky-thuat-toa-nha.35C6A8AE.html","Xem chi tiết")</f>
        <v/>
      </c>
    </row>
    <row r="7318">
      <c r="B7318" s="9" t="n">
        <v>7316</v>
      </c>
      <c r="C7318" s="10" t="inlineStr">
        <is>
          <t>Nhân viên Vận hành Thương mại Điện tử mạnh tiếp thị liên kết</t>
        </is>
      </c>
      <c r="D7318" s="10" t="inlineStr">
        <is>
          <t>Cty CP Kỹ Nghệ Thực Phẩm Việt Nam - VIFON</t>
        </is>
      </c>
      <c r="E7318" s="10" t="inlineStr">
        <is>
          <t>Lương:13 Tr - 15 Tr VND</t>
        </is>
      </c>
      <c r="F7318" s="10" t="inlineStr">
        <is>
          <t>Hồ Chí Minh</t>
        </is>
      </c>
      <c r="G7318" s="10" t="inlineStr">
        <is>
          <t>30-04-2026</t>
        </is>
      </c>
      <c r="H7318" s="10" t="inlineStr">
        <is>
          <t>30/04/2026</t>
        </is>
      </c>
      <c r="I7318" s="10" t="inlineStr">
        <is>
          <t>17/03/2026</t>
        </is>
      </c>
      <c r="J7318" s="10" t="inlineStr">
        <is>
          <t>Thương mại điện tử</t>
        </is>
      </c>
      <c r="K7318" s="10" t="inlineStr">
        <is>
          <t>1 - 2 Năm</t>
        </is>
      </c>
      <c r="L7318" s="11">
        <f>HYPERLINK("https://careerviet.vn/vi/tim-viec-lam/nhan-vien-van-hanh-thuong-mai-dien-tu-manh-tiep-thi-lien-ket.35C6BD95.html","Xem chi tiết")</f>
        <v/>
      </c>
      <c r="M7318" s="10" t="n"/>
    </row>
    <row r="7319">
      <c r="B7319" s="7" t="n">
        <v>7317</v>
      </c>
      <c r="C7319" t="inlineStr">
        <is>
          <t>Performance Marketing/User Acquisition (Remote)</t>
        </is>
      </c>
      <c r="D7319" t="inlineStr">
        <is>
          <t>CÔNG TY TNHH SCIFATE VN</t>
        </is>
      </c>
      <c r="E7319" t="inlineStr">
        <is>
          <t>Lương:Cạnh tranh</t>
        </is>
      </c>
      <c r="F7319" t="inlineStr">
        <is>
          <t>Hà Nội</t>
        </is>
      </c>
      <c r="G7319" t="inlineStr">
        <is>
          <t>31-03-2026</t>
        </is>
      </c>
      <c r="H7319" t="inlineStr">
        <is>
          <t>31/03/2026</t>
        </is>
      </c>
      <c r="I7319" t="inlineStr">
        <is>
          <t>17/03/2026</t>
        </is>
      </c>
      <c r="J7319" t="inlineStr">
        <is>
          <t>Tiếp thị / Marketing</t>
        </is>
      </c>
      <c r="K7319" t="inlineStr">
        <is>
          <t>Trên 1 Năm</t>
        </is>
      </c>
      <c r="L7319" s="8">
        <f>HYPERLINK("https://careerviet.vn/vi/tim-viec-lam/performance-marketing-user-acquisition-remote.35C6BB2C.html","Xem chi tiết")</f>
        <v/>
      </c>
    </row>
    <row r="7320">
      <c r="B7320" s="9" t="n">
        <v>7318</v>
      </c>
      <c r="C7320" s="10" t="inlineStr">
        <is>
          <t>Kế toán tổng hợp</t>
        </is>
      </c>
      <c r="D7320" s="10" t="inlineStr">
        <is>
          <t>CÔNG TY TNHH CÔNG NGHỆ VIỆT</t>
        </is>
      </c>
      <c r="E7320" s="10" t="inlineStr">
        <is>
          <t>Lương:17 Tr - 27 Tr VND</t>
        </is>
      </c>
      <c r="F7320" s="10" t="inlineStr">
        <is>
          <t>Hà Nội</t>
        </is>
      </c>
      <c r="G7320" s="10" t="inlineStr">
        <is>
          <t>01-05-2026</t>
        </is>
      </c>
      <c r="H7320" s="10" t="inlineStr">
        <is>
          <t>01/05/2026</t>
        </is>
      </c>
      <c r="I7320" s="10" t="inlineStr">
        <is>
          <t>17/03/2026</t>
        </is>
      </c>
      <c r="J7320" s="10" t="inlineStr">
        <is>
          <t>Kế toán / Kiểm toán</t>
        </is>
      </c>
      <c r="K7320" s="10" t="inlineStr">
        <is>
          <t>3 - 5 Năm</t>
        </is>
      </c>
      <c r="L7320" s="11">
        <f>HYPERLINK("https://careerviet.vn/vi/tim-viec-lam/ke-toan-tong-hop.35C6B9DD.html","Xem chi tiết")</f>
        <v/>
      </c>
      <c r="M7320" s="10" t="n"/>
    </row>
    <row r="7321">
      <c r="B7321" s="7" t="n">
        <v>7319</v>
      </c>
      <c r="C7321" t="inlineStr">
        <is>
          <t>Cửa hàng trưởng thời trang</t>
        </is>
      </c>
      <c r="D7321" t="inlineStr">
        <is>
          <t>Công Ty Cổ Phần Đầu Tư K&amp;G Việt Nam</t>
        </is>
      </c>
      <c r="E7321" t="inlineStr">
        <is>
          <t>Lương:12 Tr - 16 Tr VND</t>
        </is>
      </c>
      <c r="F7321" t="inlineStr">
        <is>
          <t>Hồ Chí MinhĐồng Nai</t>
        </is>
      </c>
      <c r="G7321" t="inlineStr">
        <is>
          <t>31-03-2026</t>
        </is>
      </c>
      <c r="H7321" t="inlineStr">
        <is>
          <t>31/03/2026</t>
        </is>
      </c>
      <c r="I7321" t="inlineStr">
        <is>
          <t>17/03/2026</t>
        </is>
      </c>
      <c r="J7321" t="inlineStr">
        <is>
          <t>Bán lẻ / Bán sỉ, Bán hàng / Kinh doanh, Tiếp thị / Marketing</t>
        </is>
      </c>
      <c r="K7321" t="inlineStr">
        <is>
          <t>1 - 5 Năm</t>
        </is>
      </c>
      <c r="L7321" s="8">
        <f>HYPERLINK("https://careerviet.vn/vi/tim-viec-lam/cua-hang-truong-thoi-trang.35C6BD87.html","Xem chi tiết")</f>
        <v/>
      </c>
    </row>
    <row r="7322">
      <c r="B7322" s="9" t="n">
        <v>7320</v>
      </c>
      <c r="C7322" s="10" t="inlineStr">
        <is>
          <t>KIỂM TOÁN VIÊN CÔNG NGHỆ THÔNG TIN - KIỂM TOÁN NỘI BỘ - TRỰC THUỘC BAN KIỂM SOÁT</t>
        </is>
      </c>
      <c r="D7322" s="10" t="inlineStr">
        <is>
          <t>Bảo mật</t>
        </is>
      </c>
      <c r="E7322" s="10" t="inlineStr">
        <is>
          <t>Lương:Cạnh tranh</t>
        </is>
      </c>
      <c r="F7322" s="10" t="inlineStr">
        <is>
          <t>Hồ Chí Minh</t>
        </is>
      </c>
      <c r="G7322" s="10" t="inlineStr">
        <is>
          <t>03-04-2026</t>
        </is>
      </c>
      <c r="H7322" s="10" t="inlineStr">
        <is>
          <t>03/04/2026</t>
        </is>
      </c>
      <c r="I7322" s="10" t="inlineStr">
        <is>
          <t>17/03/2026</t>
        </is>
      </c>
      <c r="J7322" s="10" t="inlineStr">
        <is>
          <t>Kế toán / Kiểm toán, Bán Hàng Kỹ Thuật, Thương mại điện tử</t>
        </is>
      </c>
      <c r="K7322" s="10" t="inlineStr">
        <is>
          <t>Trên 2 Năm</t>
        </is>
      </c>
      <c r="L7322" s="11">
        <f>HYPERLINK("https://careerviet.vn/vi/tim-viec-lam/kiem-toan-vien-cong-nghe-thong-tin-kiem-toan-noi-bo-truc-thuoc-ban-kiem-soat.35C6BE1A.html","Xem chi tiết")</f>
        <v/>
      </c>
      <c r="M7322" s="10" t="n"/>
    </row>
    <row r="7323">
      <c r="B7323" s="7" t="n">
        <v>7321</v>
      </c>
      <c r="C7323" t="inlineStr">
        <is>
          <t>NHÂN VIÊN KẾ HOẠCH DỰ ÁN</t>
        </is>
      </c>
      <c r="D7323" t="inlineStr">
        <is>
          <t>CÔNG TY CỔ PHẦN DỊCH VỤ KỸ THUẬT AN PHÁT ĐẠT</t>
        </is>
      </c>
      <c r="E7323" t="inlineStr">
        <is>
          <t>Lương:11 Tr - 13 Tr VND</t>
        </is>
      </c>
      <c r="F7323" t="inlineStr">
        <is>
          <t>Bà Rịa - Vũng Tàu</t>
        </is>
      </c>
      <c r="G7323" t="inlineStr">
        <is>
          <t>10-04-2026</t>
        </is>
      </c>
      <c r="H7323" t="inlineStr">
        <is>
          <t>10/04/2026</t>
        </is>
      </c>
      <c r="I7323" t="inlineStr">
        <is>
          <t>17/03/2026</t>
        </is>
      </c>
      <c r="J7323" t="inlineStr">
        <is>
          <t>Bán Hàng Kỹ Thuật, Bảo trì / Sửa chữa</t>
        </is>
      </c>
      <c r="K7323" t="inlineStr">
        <is>
          <t>Trên 2 Năm</t>
        </is>
      </c>
      <c r="L7323" s="8">
        <f>HYPERLINK("https://careerviet.vn/vi/tim-viec-lam/nhan-vien-ke-hoach-du-an.35C6BD25.html","Xem chi tiết")</f>
        <v/>
      </c>
    </row>
    <row r="7324">
      <c r="B7324" s="9" t="n">
        <v>7322</v>
      </c>
      <c r="C7324" s="10" t="inlineStr">
        <is>
          <t>KỸ SƯ HÓA HỌC</t>
        </is>
      </c>
      <c r="D7324" s="10" t="inlineStr">
        <is>
          <t>Công ty TNHH SX-TM Thép Tây Nam</t>
        </is>
      </c>
      <c r="E7324" s="10" t="inlineStr">
        <is>
          <t>Lương:Cạnh tranh</t>
        </is>
      </c>
      <c r="F7324" s="10" t="inlineStr">
        <is>
          <t>Long An</t>
        </is>
      </c>
      <c r="G7324" s="10" t="inlineStr">
        <is>
          <t>09-04-2026</t>
        </is>
      </c>
      <c r="H7324" s="10" t="inlineStr">
        <is>
          <t>09/04/2026</t>
        </is>
      </c>
      <c r="I7324" s="10" t="inlineStr">
        <is>
          <t>17/03/2026</t>
        </is>
      </c>
      <c r="J7324" s="10" t="inlineStr">
        <is>
          <t>Hóa học, Sản xuất / Vận hành sản xuất, Quản lý chất lượng (QA/QC)</t>
        </is>
      </c>
      <c r="K7324" s="10" t="inlineStr">
        <is>
          <t>1 - 2 Năm</t>
        </is>
      </c>
      <c r="L7324" s="11">
        <f>HYPERLINK("https://careerviet.vn/vi/tim-viec-lam/ky-su-hoa-hoc.35C6BDD3.html","Xem chi tiết")</f>
        <v/>
      </c>
      <c r="M7324" s="10" t="n"/>
    </row>
    <row r="7325">
      <c r="B7325" s="7" t="n">
        <v>7323</v>
      </c>
      <c r="C7325" t="inlineStr">
        <is>
          <t>Operation Executive (Event)</t>
        </is>
      </c>
      <c r="D7325" t="inlineStr">
        <is>
          <t>ONE GROUP</t>
        </is>
      </c>
      <c r="E7325" t="inlineStr">
        <is>
          <t>Lương:13 Tr - 18 Tr VND</t>
        </is>
      </c>
      <c r="F7325" t="inlineStr">
        <is>
          <t>Hồ Chí Minh</t>
        </is>
      </c>
      <c r="G7325" t="inlineStr">
        <is>
          <t>11-04-2026</t>
        </is>
      </c>
      <c r="H7325" t="inlineStr">
        <is>
          <t>11/04/2026</t>
        </is>
      </c>
      <c r="I7325" t="inlineStr">
        <is>
          <t>17/03/2026</t>
        </is>
      </c>
      <c r="J7325" t="inlineStr">
        <is>
          <t>Tổ chức sự kiện, Giải trí, Truyền hình / Báo chí / Biên tập</t>
        </is>
      </c>
      <c r="K7325" t="inlineStr">
        <is>
          <t>1 - 2 Năm</t>
        </is>
      </c>
      <c r="L7325" s="8">
        <f>HYPERLINK("https://careerviet.vn/vi/tim-viec-lam/operation-executive-event.35C6BC57.html","Xem chi tiết")</f>
        <v/>
      </c>
    </row>
    <row r="7326">
      <c r="B7326" s="9" t="n">
        <v>7324</v>
      </c>
      <c r="C7326" s="10" t="inlineStr">
        <is>
          <t>Chuyên viên Kinh Doanh - Vật Tư Y Tế Bệnh Viện (khu vực Đà Nẵng)</t>
        </is>
      </c>
      <c r="D7326" s="10" t="inlineStr">
        <is>
          <t>Công Ty Cổ Phần Y Tế Việt Tiến</t>
        </is>
      </c>
      <c r="E7326" s="10" t="inlineStr">
        <is>
          <t>Lương:Cạnh tranh</t>
        </is>
      </c>
      <c r="F7326" s="10" t="inlineStr">
        <is>
          <t>Đà Nẵng</t>
        </is>
      </c>
      <c r="G7326" s="10" t="inlineStr">
        <is>
          <t>20-04-2026</t>
        </is>
      </c>
      <c r="H7326" s="10" t="inlineStr">
        <is>
          <t>20/04/2026</t>
        </is>
      </c>
      <c r="I7326" s="10" t="inlineStr">
        <is>
          <t>17/03/2026</t>
        </is>
      </c>
      <c r="J7326" s="10" t="inlineStr">
        <is>
          <t>Y tế / Chăm sóc sức khỏe / Thẩm mỹ / Làm đẹp</t>
        </is>
      </c>
      <c r="K7326" s="10" t="inlineStr">
        <is>
          <t>2 - 4 Năm</t>
        </is>
      </c>
      <c r="L7326" s="11">
        <f>HYPERLINK("https://careerviet.vn/vi/tim-viec-lam/chuyen-vien-kinh-doanh-vat-tu-y-te-benh-vien-khu-vuc-da-nang.35C6BD09.html","Xem chi tiết")</f>
        <v/>
      </c>
      <c r="M7326" s="10" t="n"/>
    </row>
    <row r="7327">
      <c r="B7327" s="7" t="n">
        <v>7325</v>
      </c>
      <c r="C7327" t="inlineStr">
        <is>
          <t>[Nova Hotels &amp; Resorts World] Chuyên viên Cao cấp Giám sát Camera</t>
        </is>
      </c>
      <c r="D7327" t="inlineStr">
        <is>
          <t>Nova Service Group - Công ty Cổ phần Tập đoàn Nova Services</t>
        </is>
      </c>
      <c r="E7327" t="inlineStr">
        <is>
          <t>Lương:Cạnh tranh</t>
        </is>
      </c>
      <c r="F7327" t="inlineStr">
        <is>
          <t>Hồ Chí Minh</t>
        </is>
      </c>
      <c r="G7327" t="inlineStr">
        <is>
          <t>11-04-2026</t>
        </is>
      </c>
      <c r="H7327" t="inlineStr">
        <is>
          <t>11/04/2026</t>
        </is>
      </c>
      <c r="I7327" t="inlineStr">
        <is>
          <t>17/03/2026</t>
        </is>
      </c>
      <c r="J7327" t="inlineStr">
        <is>
          <t>Nhà hàng / Khách sạn, An Ninh / Bảo Vệ</t>
        </is>
      </c>
      <c r="K7327" t="inlineStr">
        <is>
          <t>5 - 6 Năm</t>
        </is>
      </c>
      <c r="L7327" s="8">
        <f>HYPERLINK("https://careerviet.vn/vi/tim-viec-lam/nova-hotels-resorts-world-chuyen-vien-cao-cap-giam-sat-camera.35C6BC65.html","Xem chi tiết")</f>
        <v/>
      </c>
    </row>
    <row r="7328">
      <c r="B7328" s="9" t="n">
        <v>7326</v>
      </c>
      <c r="C7328" s="10" t="inlineStr">
        <is>
          <t>TRƯỞNG PHÒNG KỸ THUẬT Ô TÔ (XE ĐẦU KÉO)</t>
        </is>
      </c>
      <c r="D7328" s="10" t="inlineStr">
        <is>
          <t>Công ty Cổ phần Tôn Đông Á</t>
        </is>
      </c>
      <c r="E7328" s="10" t="inlineStr">
        <is>
          <t>Lương:25 Tr - 35 Tr VND</t>
        </is>
      </c>
      <c r="F7328" s="10" t="inlineStr">
        <is>
          <t>Bình Dương</t>
        </is>
      </c>
      <c r="G7328" s="10" t="inlineStr">
        <is>
          <t>10-04-2026</t>
        </is>
      </c>
      <c r="H7328" s="10" t="inlineStr">
        <is>
          <t>10/04/2026</t>
        </is>
      </c>
      <c r="I7328" s="10" t="inlineStr">
        <is>
          <t>17/03/2026</t>
        </is>
      </c>
      <c r="J7328" s="10" t="inlineStr">
        <is>
          <t>Cơ khí / Ô tô / Tự động hóa, Bảo trì / Sửa chữa, Điện / Điện tử / Điện lạnh / Điện công nghiệp</t>
        </is>
      </c>
      <c r="K7328" s="10" t="inlineStr">
        <is>
          <t>2 - 5 Năm</t>
        </is>
      </c>
      <c r="L7328" s="11">
        <f>HYPERLINK("https://careerviet.vn/vi/tim-viec-lam/truong-phong-ky-thuat-o-to-xe-dau-keo.35C6BBD9.html","Xem chi tiết")</f>
        <v/>
      </c>
      <c r="M7328" s="10" t="n"/>
    </row>
    <row r="7329">
      <c r="B7329" s="7" t="n">
        <v>7327</v>
      </c>
      <c r="C7329" t="inlineStr">
        <is>
          <t>Nhân viên hành chính nhân sự tổng hợp</t>
        </is>
      </c>
      <c r="D7329" t="inlineStr">
        <is>
          <t>CÔNG TY TNHH PING SHENG FENG (PING GROUP)</t>
        </is>
      </c>
      <c r="E7329" t="inlineStr">
        <is>
          <t>Lương:7 Tr - 9 Tr VND</t>
        </is>
      </c>
      <c r="F7329" t="inlineStr">
        <is>
          <t>Hồ Chí Minh</t>
        </is>
      </c>
      <c r="G7329" t="inlineStr">
        <is>
          <t>30-04-2026</t>
        </is>
      </c>
      <c r="H7329" t="inlineStr">
        <is>
          <t>30/04/2026</t>
        </is>
      </c>
      <c r="I7329" t="inlineStr">
        <is>
          <t>17/03/2026</t>
        </is>
      </c>
      <c r="J7329" t="inlineStr">
        <is>
          <t>Nhân sự</t>
        </is>
      </c>
      <c r="K7329" t="inlineStr">
        <is>
          <t>Lên đến 1 Năm</t>
        </is>
      </c>
      <c r="L7329" s="8">
        <f>HYPERLINK("https://careerviet.vn/vi/tim-viec-lam/nhan-vien-hanh-chinh-nhan-su-tong-hop.35C6AE06.html","Xem chi tiết")</f>
        <v/>
      </c>
    </row>
    <row r="7330">
      <c r="B7330" s="9" t="n">
        <v>7328</v>
      </c>
      <c r="C7330" s="10" t="inlineStr">
        <is>
          <t>NHÂN VIÊN LÁI XE  TỔNG GIÁM ĐỐC</t>
        </is>
      </c>
      <c r="D7330" s="10" t="inlineStr">
        <is>
          <t>CÔNG TY CỔ PHẦN UNIK XANH</t>
        </is>
      </c>
      <c r="E7330" s="10" t="inlineStr">
        <is>
          <t>Lương:10 Tr - 15 Tr VND</t>
        </is>
      </c>
      <c r="F7330" s="10" t="inlineStr">
        <is>
          <t>Hà Nội</t>
        </is>
      </c>
      <c r="G7330" s="10" t="inlineStr">
        <is>
          <t>10-04-2026</t>
        </is>
      </c>
      <c r="H7330" s="10" t="inlineStr">
        <is>
          <t>10/04/2026</t>
        </is>
      </c>
      <c r="I7330" s="10" t="inlineStr">
        <is>
          <t>17/03/2026</t>
        </is>
      </c>
      <c r="J7330" s="10" t="inlineStr">
        <is>
          <t>Vận chuyển / Giao nhận / Kho vận, Lao động phổ thông, An Ninh / Bảo Vệ</t>
        </is>
      </c>
      <c r="K7330" s="10" t="inlineStr">
        <is>
          <t>3 - 5 Năm</t>
        </is>
      </c>
      <c r="L7330" s="11">
        <f>HYPERLINK("https://careerviet.vn/vi/tim-viec-lam/nhan-vien-lai-xe-tong-giam-doc.35C6BC9D.html","Xem chi tiết")</f>
        <v/>
      </c>
      <c r="M7330" s="10" t="n"/>
    </row>
    <row r="7331">
      <c r="B7331" s="7" t="n">
        <v>7329</v>
      </c>
      <c r="C7331" t="inlineStr">
        <is>
          <t>BIÊN TẬP VIÊN KIÊM MC</t>
        </is>
      </c>
      <c r="D7331" t="inlineStr">
        <is>
          <t>Công ty TNHH SX-TM Thép Tây Nam</t>
        </is>
      </c>
      <c r="E7331" t="inlineStr">
        <is>
          <t>Lương:8 Tr - 12 Tr VND</t>
        </is>
      </c>
      <c r="F7331" t="inlineStr">
        <is>
          <t>Hồ Chí Minh</t>
        </is>
      </c>
      <c r="G7331" t="inlineStr">
        <is>
          <t>28-03-2026</t>
        </is>
      </c>
      <c r="H7331" t="inlineStr">
        <is>
          <t>28/03/2026</t>
        </is>
      </c>
      <c r="I7331" t="inlineStr">
        <is>
          <t>17/03/2026</t>
        </is>
      </c>
      <c r="J7331" t="inlineStr">
        <is>
          <t>Truyền hình / Báo chí / Biên tập</t>
        </is>
      </c>
      <c r="K7331" t="inlineStr">
        <is>
          <t>Lên đến 1 Năm</t>
        </is>
      </c>
      <c r="L7331" s="8">
        <f>HYPERLINK("https://careerviet.vn/vi/tim-viec-lam/bien-tap-vien-kiem-mc.35C6BDDE.html","Xem chi tiết")</f>
        <v/>
      </c>
    </row>
    <row r="7332">
      <c r="B7332" s="9" t="n">
        <v>7330</v>
      </c>
      <c r="C7332" s="10" t="inlineStr">
        <is>
          <t>Chuyên Viên Chăm Sóc Khách Hàng (Ưu Tiên Nữ)</t>
        </is>
      </c>
      <c r="D7332" s="10" t="inlineStr">
        <is>
          <t>CÔNG TY CỔ PHẦN ĐẦU TƯ VÀNG PHÚ QUÝ</t>
        </is>
      </c>
      <c r="E7332" s="10" t="inlineStr">
        <is>
          <t>Lương:10 Tr - 12 Tr VND</t>
        </is>
      </c>
      <c r="F7332" s="10" t="inlineStr">
        <is>
          <t>Hà Nội</t>
        </is>
      </c>
      <c r="G7332" s="10" t="inlineStr">
        <is>
          <t>30-04-2026</t>
        </is>
      </c>
      <c r="H7332" s="10" t="inlineStr">
        <is>
          <t>30/04/2026</t>
        </is>
      </c>
      <c r="I7332" s="10" t="inlineStr">
        <is>
          <t>17/03/2026</t>
        </is>
      </c>
      <c r="J7332" s="10" t="inlineStr">
        <is>
          <t>Dịch vụ khách hàng, Tài chính / Đầu tư</t>
        </is>
      </c>
      <c r="K7332" s="10" t="inlineStr">
        <is>
          <t>Chưa có kinh nghiệm</t>
        </is>
      </c>
      <c r="L7332" s="11">
        <f>HYPERLINK("https://careerviet.vn/vi/tim-viec-lam/chuyen-vien-cham-soc-khach-hang-uu-tien-nu.35C6BAD4.html","Xem chi tiết")</f>
        <v/>
      </c>
      <c r="M7332" s="10" t="n"/>
    </row>
    <row r="7333">
      <c r="B7333" s="7" t="n">
        <v>7331</v>
      </c>
      <c r="C7333" t="inlineStr">
        <is>
          <t>Kế toán tổng hợp (B2B mảng phân bón)</t>
        </is>
      </c>
      <c r="D7333" t="inlineStr">
        <is>
          <t>KING ELONG GROUP</t>
        </is>
      </c>
      <c r="E7333" t="inlineStr">
        <is>
          <t>Lương:16 Tr - 22 Tr VND</t>
        </is>
      </c>
      <c r="F7333" t="inlineStr">
        <is>
          <t>Hồ Chí Minh</t>
        </is>
      </c>
      <c r="G7333" t="inlineStr">
        <is>
          <t>10-04-2026</t>
        </is>
      </c>
      <c r="H7333" t="inlineStr">
        <is>
          <t>10/04/2026</t>
        </is>
      </c>
      <c r="I7333" t="inlineStr">
        <is>
          <t>17/03/2026</t>
        </is>
      </c>
      <c r="J7333" t="inlineStr">
        <is>
          <t>Kế toán / Kiểm toán</t>
        </is>
      </c>
      <c r="K7333" t="inlineStr">
        <is>
          <t>3 - 5 Năm</t>
        </is>
      </c>
      <c r="L7333" s="8">
        <f>HYPERLINK("https://careerviet.vn/vi/tim-viec-lam/ke-toan-tong-hop-b2b-mang-phan-bon.35C6BCDC.html","Xem chi tiết")</f>
        <v/>
      </c>
    </row>
    <row r="7334">
      <c r="B7334" s="9" t="n">
        <v>7332</v>
      </c>
      <c r="C7334" s="10" t="inlineStr">
        <is>
          <t>Sale Admin – Vật tư y tế (kết hợp xương, thay khớp, nội soi khớp)</t>
        </is>
      </c>
      <c r="D7334" s="10" t="inlineStr">
        <is>
          <t>Công ty Cổ phần Dược phẩm Đại Tín</t>
        </is>
      </c>
      <c r="E7334" s="10" t="inlineStr">
        <is>
          <t>Lương:12 Tr - 15 Tr VND</t>
        </is>
      </c>
      <c r="F7334" s="10" t="inlineStr">
        <is>
          <t>Hồ Chí Minh</t>
        </is>
      </c>
      <c r="G7334" s="10" t="inlineStr">
        <is>
          <t>09-04-2026</t>
        </is>
      </c>
      <c r="H7334" s="10" t="inlineStr">
        <is>
          <t>09/04/2026</t>
        </is>
      </c>
      <c r="I7334" s="10" t="inlineStr">
        <is>
          <t>17/03/2026</t>
        </is>
      </c>
      <c r="J7334" s="10" t="inlineStr">
        <is>
          <t>Dược phẩm/ Hóa Mỹ Phẩm</t>
        </is>
      </c>
      <c r="K7334" s="10" t="inlineStr">
        <is>
          <t>Trên 2 Năm</t>
        </is>
      </c>
      <c r="L7334" s="11">
        <f>HYPERLINK("https://careerviet.vn/vi/tim-viec-lam/sale-admin-vat-tu-y-te-ket-hop-xuong-thay-khop-noi-soi-khop.35C6BBBC.html","Xem chi tiết")</f>
        <v/>
      </c>
      <c r="M7334" s="10" t="n"/>
    </row>
    <row r="7335">
      <c r="B7335" s="7" t="n">
        <v>7333</v>
      </c>
      <c r="C7335" t="inlineStr">
        <is>
          <t>Nhân Viên Kinh Doanh Quản lý CTV - Trà Vinh</t>
        </is>
      </c>
      <c r="D7335" t="inlineStr">
        <is>
          <t>Cty TNHH Yakult Việt Nam</t>
        </is>
      </c>
      <c r="E7335" t="inlineStr">
        <is>
          <t>Lương:11 Tr - 15 Tr VND</t>
        </is>
      </c>
      <c r="F7335" t="inlineStr">
        <is>
          <t>Trà Vinh</t>
        </is>
      </c>
      <c r="G7335" t="inlineStr">
        <is>
          <t>10-04-2026</t>
        </is>
      </c>
      <c r="H7335" t="inlineStr">
        <is>
          <t>10/04/2026</t>
        </is>
      </c>
      <c r="I7335" t="inlineStr">
        <is>
          <t>17/03/2026</t>
        </is>
      </c>
      <c r="J7335" t="inlineStr">
        <is>
          <t>Tiếp thị / Marketing, Bán hàng / Kinh doanh, Lao động phổ thông</t>
        </is>
      </c>
      <c r="K7335" t="inlineStr">
        <is>
          <t>N/A</t>
        </is>
      </c>
      <c r="L7335" s="8">
        <f>HYPERLINK("https://careerviet.vn/vi/tim-viec-lam/nhan-vien-kinh-doanh-quan-ly-ctv-tra-vinh.35C6BADA.html","Xem chi tiết")</f>
        <v/>
      </c>
    </row>
    <row r="7336">
      <c r="B7336" s="9" t="n">
        <v>7334</v>
      </c>
      <c r="C7336" s="10" t="inlineStr">
        <is>
          <t>Chuyên viên Thiết kế (2D/3D)</t>
        </is>
      </c>
      <c r="D7336" s="10" t="inlineStr">
        <is>
          <t>Công Ty Cổ Phần Tập Đoàn Trường Hải</t>
        </is>
      </c>
      <c r="E7336" s="10" t="inlineStr">
        <is>
          <t>Lương:Cạnh tranh</t>
        </is>
      </c>
      <c r="F7336" s="10" t="inlineStr">
        <is>
          <t>Hồ Chí Minh</t>
        </is>
      </c>
      <c r="G7336" s="10" t="inlineStr">
        <is>
          <t>09-04-2026</t>
        </is>
      </c>
      <c r="H7336" s="10" t="inlineStr">
        <is>
          <t>09/04/2026</t>
        </is>
      </c>
      <c r="I7336" s="10" t="inlineStr">
        <is>
          <t>17/03/2026</t>
        </is>
      </c>
      <c r="J7336" s="10" t="inlineStr">
        <is>
          <t>Mỹ thuật / Nghệ thuật / Thiết kế</t>
        </is>
      </c>
      <c r="K7336" s="10" t="inlineStr">
        <is>
          <t>Không yêu cầu kinh nghiệm</t>
        </is>
      </c>
      <c r="L7336" s="11">
        <f>HYPERLINK("https://careerviet.vn/vi/tim-viec-lam/chuyen-vien-thiet-ke-2d-3d.35C6BBC2.html","Xem chi tiết")</f>
        <v/>
      </c>
      <c r="M7336" s="10" t="n"/>
    </row>
    <row r="7337">
      <c r="B7337" s="7" t="n">
        <v>7335</v>
      </c>
      <c r="C7337" t="inlineStr">
        <is>
          <t>Trưởng Văn Phòng Đại Diện Hồ Chí Minh</t>
        </is>
      </c>
      <c r="D7337" t="inlineStr">
        <is>
          <t>CÔNG TY CỔ PHẦN VẬN TẢI VÀ XÂY DỰNG CÔNG TRÌNH FTC</t>
        </is>
      </c>
      <c r="E7337" t="inlineStr">
        <is>
          <t>Lương:20 Tr - 25 Tr VND</t>
        </is>
      </c>
      <c r="F7337" t="inlineStr">
        <is>
          <t>Hồ Chí Minh</t>
        </is>
      </c>
      <c r="G7337" t="inlineStr">
        <is>
          <t>10-04-2026</t>
        </is>
      </c>
      <c r="H7337" t="inlineStr">
        <is>
          <t>10/04/2026</t>
        </is>
      </c>
      <c r="I7337" t="inlineStr">
        <is>
          <t>17/03/2026</t>
        </is>
      </c>
      <c r="J7337" t="inlineStr">
        <is>
          <t>Bán hàng / Kinh doanh, Vận chuyển / Giao nhận / Kho vận, Quản lý điều hành</t>
        </is>
      </c>
      <c r="K7337" t="inlineStr">
        <is>
          <t>3 - 5 Năm</t>
        </is>
      </c>
      <c r="L7337" s="8">
        <f>HYPERLINK("https://careerviet.vn/vi/tim-viec-lam/truong-van-phong-dai-dien-ho-chi-minh.35C6BAEF.html","Xem chi tiết")</f>
        <v/>
      </c>
    </row>
    <row r="7338">
      <c r="B7338" s="9" t="n">
        <v>7336</v>
      </c>
      <c r="C7338" s="10" t="inlineStr">
        <is>
          <t>Nhân viên tuyển dụng</t>
        </is>
      </c>
      <c r="D7338" s="10" t="inlineStr">
        <is>
          <t>CÔNG TY CỔ PHẦN TAKAHIRO</t>
        </is>
      </c>
      <c r="E7338" s="10" t="inlineStr">
        <is>
          <t>Lương:Cạnh tranh</t>
        </is>
      </c>
      <c r="F7338" s="10" t="inlineStr">
        <is>
          <t>Hà NộiHồ Chí Minh</t>
        </is>
      </c>
      <c r="G7338" s="10" t="inlineStr">
        <is>
          <t>31-03-2026</t>
        </is>
      </c>
      <c r="H7338" s="10" t="inlineStr">
        <is>
          <t>31/03/2026</t>
        </is>
      </c>
      <c r="I7338" s="10" t="inlineStr">
        <is>
          <t>17/03/2026</t>
        </is>
      </c>
      <c r="J7338" s="10" t="inlineStr">
        <is>
          <t>Nhân sự</t>
        </is>
      </c>
      <c r="K7338" s="10" t="inlineStr">
        <is>
          <t>Trên 1 Năm</t>
        </is>
      </c>
      <c r="L7338" s="11">
        <f>HYPERLINK("https://careerviet.vn/vi/tim-viec-lam/nhan-vien-tuyen-dung.35C6BB50.html","Xem chi tiết")</f>
        <v/>
      </c>
      <c r="M7338" s="10" t="n"/>
    </row>
    <row r="7339">
      <c r="B7339" s="7" t="n">
        <v>7337</v>
      </c>
      <c r="C7339" t="inlineStr">
        <is>
          <t>IE Supervisor</t>
        </is>
      </c>
      <c r="D7339" t="inlineStr">
        <is>
          <t>XP Power  Vietnam</t>
        </is>
      </c>
      <c r="E7339" t="inlineStr">
        <is>
          <t>Lương:Cạnh tranh</t>
        </is>
      </c>
      <c r="F7339" t="inlineStr">
        <is>
          <t>Bình Dương</t>
        </is>
      </c>
      <c r="G7339" t="inlineStr">
        <is>
          <t>10-04-2026</t>
        </is>
      </c>
      <c r="H7339" t="inlineStr">
        <is>
          <t>10/04/2026</t>
        </is>
      </c>
      <c r="I7339" t="inlineStr">
        <is>
          <t>17/03/2026</t>
        </is>
      </c>
      <c r="J7339" t="inlineStr">
        <is>
          <t>Điện / Điện tử / Điện lạnh / Điện công nghiệp</t>
        </is>
      </c>
      <c r="K7339" t="inlineStr">
        <is>
          <t>5 - 7 Năm</t>
        </is>
      </c>
      <c r="L7339" s="8">
        <f>HYPERLINK("https://careerviet.vn/vi/tim-viec-lam/ie-supervisor.35C6BB8A.html","Xem chi tiết")</f>
        <v/>
      </c>
    </row>
    <row r="7340">
      <c r="B7340" s="9" t="n">
        <v>7338</v>
      </c>
      <c r="C7340" s="10" t="inlineStr">
        <is>
          <t>Kế Toán biết Tiếng Trung</t>
        </is>
      </c>
      <c r="D7340" s="10" t="inlineStr">
        <is>
          <t>CÔNG TY CỔ PHẦN WEI XERN SIN VIỆT NAM</t>
        </is>
      </c>
      <c r="E7340" s="10" t="inlineStr">
        <is>
          <t>Lương:Trên 15 Tr VND</t>
        </is>
      </c>
      <c r="F7340" s="10" t="inlineStr">
        <is>
          <t>Đà Nẵng</t>
        </is>
      </c>
      <c r="G7340" s="10" t="inlineStr">
        <is>
          <t>09-04-2026</t>
        </is>
      </c>
      <c r="H7340" s="10" t="inlineStr">
        <is>
          <t>09/04/2026</t>
        </is>
      </c>
      <c r="I7340" s="10" t="inlineStr">
        <is>
          <t>17/03/2026</t>
        </is>
      </c>
      <c r="J7340" s="10" t="inlineStr">
        <is>
          <t>Biên phiên dịch, Kế toán / Kiểm toán, Tài chính / Đầu tư</t>
        </is>
      </c>
      <c r="K7340" s="10" t="inlineStr">
        <is>
          <t>Trên 1 Năm</t>
        </is>
      </c>
      <c r="L7340" s="11">
        <f>HYPERLINK("https://careerviet.vn/vi/tim-viec-lam/ke-toan-biet-tieng-trung.35C6BD22.html","Xem chi tiết")</f>
        <v/>
      </c>
      <c r="M7340" s="10" t="n"/>
    </row>
    <row r="7341">
      <c r="B7341" s="7" t="n">
        <v>7339</v>
      </c>
      <c r="C7341" t="inlineStr">
        <is>
          <t>Giảng Viên Quản Trị Mạng Và Quản Trị Hệ Thống</t>
        </is>
      </c>
      <c r="D7341" t="inlineStr">
        <is>
          <t>Chương trình Học viện Công nghệ BKACAD</t>
        </is>
      </c>
      <c r="E7341" t="inlineStr">
        <is>
          <t>Lương:20 Tr - 60 Tr VND</t>
        </is>
      </c>
      <c r="F7341" t="inlineStr">
        <is>
          <t>Hà Nội</t>
        </is>
      </c>
      <c r="G7341" t="inlineStr">
        <is>
          <t>31-03-2026</t>
        </is>
      </c>
      <c r="H7341" t="inlineStr">
        <is>
          <t>31/03/2026</t>
        </is>
      </c>
      <c r="I7341" t="inlineStr">
        <is>
          <t>17/03/2026</t>
        </is>
      </c>
      <c r="J7341" t="inlineStr">
        <is>
          <t>Giáo dục / Đào tạo, CNTT - Phần mềm, CNTT - Phần cứng / Mạng</t>
        </is>
      </c>
      <c r="K7341" t="inlineStr">
        <is>
          <t>N/A</t>
        </is>
      </c>
      <c r="L7341" s="8">
        <f>HYPERLINK("https://careerviet.vn/vi/tim-viec-lam/giang-vien-quan-tri-mang-va-quan-tri-he-thong.35C6BB58.html","Xem chi tiết")</f>
        <v/>
      </c>
    </row>
    <row r="7342">
      <c r="B7342" s="9" t="n">
        <v>7340</v>
      </c>
      <c r="C7342" s="10" t="inlineStr">
        <is>
          <t>Nhân viên Sale Admin</t>
        </is>
      </c>
      <c r="D7342" s="10" t="inlineStr">
        <is>
          <t>Công ty TNHH TMDV &amp; Kỹ Thuật Đức Phát</t>
        </is>
      </c>
      <c r="E7342" s="10" t="inlineStr">
        <is>
          <t>Lương:10 Tr - 15 Tr VND</t>
        </is>
      </c>
      <c r="F7342" s="10" t="inlineStr">
        <is>
          <t>Hà Nội</t>
        </is>
      </c>
      <c r="G7342" s="10" t="inlineStr">
        <is>
          <t>31-03-2026</t>
        </is>
      </c>
      <c r="H7342" s="10" t="inlineStr">
        <is>
          <t>31/03/2026</t>
        </is>
      </c>
      <c r="I7342" s="10" t="inlineStr">
        <is>
          <t>17/03/2026</t>
        </is>
      </c>
      <c r="J7342" s="10" t="inlineStr">
        <is>
          <t>Bán hàng / Kinh doanh, Dịch vụ khách hàng, Kế toán / Kiểm toán</t>
        </is>
      </c>
      <c r="K7342" s="10" t="inlineStr">
        <is>
          <t>1 - 2 Năm</t>
        </is>
      </c>
      <c r="L7342" s="11">
        <f>HYPERLINK("https://careerviet.vn/vi/tim-viec-lam/nhan-vien-sale-admin.35C6BAFF.html","Xem chi tiết")</f>
        <v/>
      </c>
      <c r="M7342" s="10" t="n"/>
    </row>
    <row r="7343">
      <c r="B7343" s="7" t="n">
        <v>7341</v>
      </c>
      <c r="C7343" t="inlineStr">
        <is>
          <t>Nhân viên Merchandise</t>
        </is>
      </c>
      <c r="D7343" t="inlineStr">
        <is>
          <t>CÔNG TY TNHH AUSSCO VIỆT NAM</t>
        </is>
      </c>
      <c r="E7343" t="inlineStr">
        <is>
          <t>Lương:Cạnh tranh</t>
        </is>
      </c>
      <c r="F7343" t="inlineStr">
        <is>
          <t>Bình Dương</t>
        </is>
      </c>
      <c r="G7343" t="inlineStr">
        <is>
          <t>31-03-2026</t>
        </is>
      </c>
      <c r="H7343" t="inlineStr">
        <is>
          <t>31/03/2026</t>
        </is>
      </c>
      <c r="I7343" t="inlineStr">
        <is>
          <t>17/03/2026</t>
        </is>
      </c>
      <c r="J7343" t="inlineStr">
        <is>
          <t>Sản xuất / Vận hành sản xuất, Dệt may / Da giày / Thời trang, Bán hàng / Kinh doanh</t>
        </is>
      </c>
      <c r="K7343" t="inlineStr">
        <is>
          <t>2 - 4 Năm</t>
        </is>
      </c>
      <c r="L7343" s="8">
        <f>HYPERLINK("https://careerviet.vn/vi/tim-viec-lam/nhan-vien-merchandise.35C6BC36.html","Xem chi tiết")</f>
        <v/>
      </c>
    </row>
    <row r="7344">
      <c r="B7344" s="9" t="n">
        <v>7342</v>
      </c>
      <c r="C7344" s="10" t="inlineStr">
        <is>
          <t>Media Search Analyst - Vietnamese (VN)</t>
        </is>
      </c>
      <c r="D7344" s="10" t="inlineStr">
        <is>
          <t>TELUS Digital</t>
        </is>
      </c>
      <c r="E7344" s="10" t="inlineStr">
        <is>
          <t>Lương:Cạnh tranh</t>
        </is>
      </c>
      <c r="F7344" s="10" t="inlineStr">
        <is>
          <t>Hà Nội</t>
        </is>
      </c>
      <c r="G7344" s="10" t="inlineStr">
        <is>
          <t>09-04-2026</t>
        </is>
      </c>
      <c r="H7344" s="10" t="inlineStr">
        <is>
          <t>09/04/2026</t>
        </is>
      </c>
      <c r="I7344" s="10" t="inlineStr">
        <is>
          <t>17/03/2026</t>
        </is>
      </c>
      <c r="J7344" s="10" t="inlineStr">
        <is>
          <t>N/A</t>
        </is>
      </c>
      <c r="K7344" s="10" t="inlineStr">
        <is>
          <t>Không yêu cầu kinh nghiệm</t>
        </is>
      </c>
      <c r="L7344" s="11">
        <f>HYPERLINK("https://careerviet.vn/vi/tim-viec-lam/media-search-analyst-vietnamese-vn.35C6BD47.html","Xem chi tiết")</f>
        <v/>
      </c>
      <c r="M7344" s="10" t="n"/>
    </row>
    <row r="7345">
      <c r="B7345" s="7" t="n">
        <v>7343</v>
      </c>
      <c r="C7345" t="inlineStr">
        <is>
          <t>NHÂN VIÊN KINH DOANH XUẤT KHẨU</t>
        </is>
      </c>
      <c r="D7345" t="inlineStr">
        <is>
          <t>Công ty TNHH SX-TM Thép Tây Nam</t>
        </is>
      </c>
      <c r="E7345" t="inlineStr">
        <is>
          <t>Lương:400 - 800 USD</t>
        </is>
      </c>
      <c r="F7345" t="inlineStr">
        <is>
          <t>Hồ Chí Minh</t>
        </is>
      </c>
      <c r="G7345" t="inlineStr">
        <is>
          <t>10-04-2026</t>
        </is>
      </c>
      <c r="H7345" t="inlineStr">
        <is>
          <t>10/04/2026</t>
        </is>
      </c>
      <c r="I7345" t="inlineStr">
        <is>
          <t>17/03/2026</t>
        </is>
      </c>
      <c r="J7345" t="inlineStr">
        <is>
          <t>Xuất nhập khẩu, Bán hàng / Kinh doanh, Tiếp thị / Marketing</t>
        </is>
      </c>
      <c r="K7345" t="inlineStr">
        <is>
          <t>1 - 2 Năm</t>
        </is>
      </c>
      <c r="L7345" s="8">
        <f>HYPERLINK("https://careerviet.vn/vi/tim-viec-lam/nhan-vien-kinh-doanh-xuat-khau.35C6BCA0.html","Xem chi tiết")</f>
        <v/>
      </c>
    </row>
    <row r="7346">
      <c r="B7346" s="9" t="n">
        <v>7344</v>
      </c>
      <c r="C7346" s="10" t="inlineStr">
        <is>
          <t>Nhân viên Sales Admin Khu vực</t>
        </is>
      </c>
      <c r="D7346" s="10" t="inlineStr">
        <is>
          <t>Công Ty TNHH Datafa</t>
        </is>
      </c>
      <c r="E7346" s="10" t="inlineStr">
        <is>
          <t>Lương:Cạnh tranh</t>
        </is>
      </c>
      <c r="F7346" s="10" t="inlineStr">
        <is>
          <t>Hồ Chí Minh</t>
        </is>
      </c>
      <c r="G7346" s="10" t="inlineStr">
        <is>
          <t>11-04-2026</t>
        </is>
      </c>
      <c r="H7346" s="10" t="inlineStr">
        <is>
          <t>11/04/2026</t>
        </is>
      </c>
      <c r="I7346" s="10" t="inlineStr">
        <is>
          <t>17/03/2026</t>
        </is>
      </c>
      <c r="J7346" s="10" t="inlineStr">
        <is>
          <t>Bán hàng / Kinh doanh, Hành chính / Thư ký, Thực phẩm &amp; Đồ uống</t>
        </is>
      </c>
      <c r="K7346" s="10" t="inlineStr">
        <is>
          <t>2 - 5 Năm</t>
        </is>
      </c>
      <c r="L7346" s="11">
        <f>HYPERLINK("https://careerviet.vn/vi/tim-viec-lam/nhan-vien-sales-admin-khu-vuc.35C6B28F.html","Xem chi tiết")</f>
        <v/>
      </c>
      <c r="M7346" s="10" t="n"/>
    </row>
    <row r="7347">
      <c r="B7347" s="7" t="n">
        <v>7345</v>
      </c>
      <c r="C7347" t="inlineStr">
        <is>
          <t>Chuyên viên kiểm soát khối lượng (QS)</t>
        </is>
      </c>
      <c r="D7347" t="inlineStr">
        <is>
          <t>Công ty TNHH Hana E&amp;C</t>
        </is>
      </c>
      <c r="E7347" t="inlineStr">
        <is>
          <t>Lương:15 Tr - 25 Tr VND</t>
        </is>
      </c>
      <c r="F7347" t="inlineStr">
        <is>
          <t>Hà Nội</t>
        </is>
      </c>
      <c r="G7347" t="inlineStr">
        <is>
          <t>09-04-2026</t>
        </is>
      </c>
      <c r="H7347" t="inlineStr">
        <is>
          <t>09/04/2026</t>
        </is>
      </c>
      <c r="I7347" t="inlineStr">
        <is>
          <t>17/03/2026</t>
        </is>
      </c>
      <c r="J7347" t="inlineStr">
        <is>
          <t>Kiến trúc, Xây dựng</t>
        </is>
      </c>
      <c r="K7347" t="inlineStr">
        <is>
          <t>Trên 2 Năm</t>
        </is>
      </c>
      <c r="L7347" s="8">
        <f>HYPERLINK("https://careerviet.vn/vi/tim-viec-lam/chuyen-vien-kiem-soat-khoi-luong-qs.35C6BD3B.html","Xem chi tiết")</f>
        <v/>
      </c>
    </row>
    <row r="7348">
      <c r="B7348" s="9" t="n">
        <v>7346</v>
      </c>
      <c r="C7348" s="10" t="inlineStr">
        <is>
          <t>Nhân viên điều phối kho Dược</t>
        </is>
      </c>
      <c r="D7348" s="10" t="inlineStr">
        <is>
          <t>CÔNG TY TNHH Y-MED HEALTHCARE</t>
        </is>
      </c>
      <c r="E7348" s="10" t="inlineStr">
        <is>
          <t>Lương:Trên 9 Tr VND</t>
        </is>
      </c>
      <c r="F7348" s="10" t="inlineStr">
        <is>
          <t>Hồ Chí Minh</t>
        </is>
      </c>
      <c r="G7348" s="10" t="inlineStr">
        <is>
          <t>15-04-2026</t>
        </is>
      </c>
      <c r="H7348" s="10" t="inlineStr">
        <is>
          <t>15/04/2026</t>
        </is>
      </c>
      <c r="I7348" s="10" t="inlineStr">
        <is>
          <t>17/03/2026</t>
        </is>
      </c>
      <c r="J7348" s="10" t="inlineStr">
        <is>
          <t>Dược phẩm/ Hóa Mỹ Phẩm, Vận chuyển / Giao nhận / Kho vận</t>
        </is>
      </c>
      <c r="K7348" s="10" t="inlineStr">
        <is>
          <t>1 - 2 Năm</t>
        </is>
      </c>
      <c r="L7348" s="11">
        <f>HYPERLINK("https://careerviet.vn/vi/tim-viec-lam/nhan-vien-dieu-phoi-kho-duoc.35C6BBE5.html","Xem chi tiết")</f>
        <v/>
      </c>
      <c r="M7348" s="10" t="n"/>
    </row>
    <row r="7349">
      <c r="B7349" s="7" t="n">
        <v>7347</v>
      </c>
      <c r="C7349" t="inlineStr">
        <is>
          <t>Environment Compliance Specialist</t>
        </is>
      </c>
      <c r="D7349" t="inlineStr">
        <is>
          <t>MOTIVES VIETNAM CORPORATION</t>
        </is>
      </c>
      <c r="E7349" t="inlineStr">
        <is>
          <t>Lương:Cạnh tranh</t>
        </is>
      </c>
      <c r="F7349" t="inlineStr">
        <is>
          <t>Hồ Chí Minh</t>
        </is>
      </c>
      <c r="G7349" t="inlineStr">
        <is>
          <t>30-04-2026</t>
        </is>
      </c>
      <c r="H7349" t="inlineStr">
        <is>
          <t>30/04/2026</t>
        </is>
      </c>
      <c r="I7349" t="inlineStr">
        <is>
          <t>17/03/2026</t>
        </is>
      </c>
      <c r="J7349" t="inlineStr">
        <is>
          <t>An toàn lao động, Sản xuất / Vận hành sản xuất, Dệt may / Da giày / Thời trang</t>
        </is>
      </c>
      <c r="K7349" t="inlineStr">
        <is>
          <t>Trên 2 Năm</t>
        </is>
      </c>
      <c r="L7349" s="8">
        <f>HYPERLINK("https://careerviet.vn/vi/tim-viec-lam/environment-compliance-specialist.35C6BDC5.html","Xem chi tiết")</f>
        <v/>
      </c>
    </row>
    <row r="7350">
      <c r="B7350" s="9" t="n">
        <v>7348</v>
      </c>
      <c r="C7350" s="10" t="inlineStr">
        <is>
          <t>Chuyên Viên Truyền Thông Nội Bộ</t>
        </is>
      </c>
      <c r="D7350" s="10" t="inlineStr">
        <is>
          <t>Công Ty Cổ Phần TM &amp; DV Phong Vũ</t>
        </is>
      </c>
      <c r="E7350" s="10" t="inlineStr">
        <is>
          <t>Lương:Cạnh tranh</t>
        </is>
      </c>
      <c r="F7350" s="10" t="inlineStr">
        <is>
          <t>Hồ Chí Minh</t>
        </is>
      </c>
      <c r="G7350" s="10" t="inlineStr">
        <is>
          <t>10-04-2026</t>
        </is>
      </c>
      <c r="H7350" s="10" t="inlineStr">
        <is>
          <t>10/04/2026</t>
        </is>
      </c>
      <c r="I7350" s="10" t="inlineStr">
        <is>
          <t>17/03/2026</t>
        </is>
      </c>
      <c r="J7350" s="10" t="inlineStr">
        <is>
          <t>Nhân sự</t>
        </is>
      </c>
      <c r="K7350" s="10" t="inlineStr">
        <is>
          <t>2 - 5 Năm</t>
        </is>
      </c>
      <c r="L7350" s="11">
        <f>HYPERLINK("https://careerviet.vn/vi/tim-viec-lam/chuyen-vien-truyen-thong-noi-bo.35C6BCB7.html","Xem chi tiết")</f>
        <v/>
      </c>
      <c r="M7350" s="10" t="n"/>
    </row>
    <row r="7351">
      <c r="B7351" s="7" t="n">
        <v>7349</v>
      </c>
      <c r="C7351" t="inlineStr">
        <is>
          <t>Deputy Manager of Partnership Development</t>
        </is>
      </c>
      <c r="D7351" t="inlineStr">
        <is>
          <t>CÔNG TY TNHH BẢO HIỂM NHÂN THỌ MB AGEAS</t>
        </is>
      </c>
      <c r="E7351" t="inlineStr">
        <is>
          <t>Lương:Cạnh tranh</t>
        </is>
      </c>
      <c r="F7351" t="inlineStr">
        <is>
          <t>Hà Nội</t>
        </is>
      </c>
      <c r="G7351" t="inlineStr">
        <is>
          <t>30-05-2026</t>
        </is>
      </c>
      <c r="H7351" t="inlineStr">
        <is>
          <t>30/05/2026</t>
        </is>
      </c>
      <c r="I7351" t="inlineStr">
        <is>
          <t>17/03/2026</t>
        </is>
      </c>
      <c r="J7351" t="inlineStr">
        <is>
          <t>Dịch vụ khách hàng, Bảo hiểm, Bán hàng / Kinh doanh</t>
        </is>
      </c>
      <c r="K7351" t="inlineStr">
        <is>
          <t>Trên 5 Năm</t>
        </is>
      </c>
      <c r="L7351" s="8">
        <f>HYPERLINK("https://careerviet.vn/vi/tim-viec-lam/deputy-manager-of-partnership-development.35C6BB56.html","Xem chi tiết")</f>
        <v/>
      </c>
    </row>
    <row r="7352">
      <c r="B7352" s="9" t="n">
        <v>7350</v>
      </c>
      <c r="C7352" s="10" t="inlineStr">
        <is>
          <t>KẾ TOÁN KHO</t>
        </is>
      </c>
      <c r="D7352" s="10" t="inlineStr">
        <is>
          <t>Công ty TNHH SX-TM Thép Tây Nam</t>
        </is>
      </c>
      <c r="E7352" s="10" t="inlineStr">
        <is>
          <t>Lương:7 Tr - 13 Tr VND</t>
        </is>
      </c>
      <c r="F7352" s="10" t="inlineStr">
        <is>
          <t>Long An</t>
        </is>
      </c>
      <c r="G7352" s="10" t="inlineStr">
        <is>
          <t>27-03-2026</t>
        </is>
      </c>
      <c r="H7352" s="10" t="inlineStr">
        <is>
          <t>27/03/2026</t>
        </is>
      </c>
      <c r="I7352" s="10" t="inlineStr">
        <is>
          <t>17/03/2026</t>
        </is>
      </c>
      <c r="J7352" s="10" t="inlineStr">
        <is>
          <t>Kế toán / Kiểm toán</t>
        </is>
      </c>
      <c r="K7352" s="10" t="inlineStr">
        <is>
          <t>Chưa có kinh nghiệm</t>
        </is>
      </c>
      <c r="L7352" s="11">
        <f>HYPERLINK("https://careerviet.vn/vi/tim-viec-lam/ke-toan-kho.35C6A5EE.html","Xem chi tiết")</f>
        <v/>
      </c>
      <c r="M7352" s="10" t="n"/>
    </row>
    <row r="7353">
      <c r="B7353" s="7" t="n">
        <v>7351</v>
      </c>
      <c r="C7353" t="inlineStr">
        <is>
          <t>NHÂN VIÊN KẾ TOÁN THỐNG KÊ</t>
        </is>
      </c>
      <c r="D7353" t="inlineStr">
        <is>
          <t>Công ty TNHH SX-TM Thép Tây Nam</t>
        </is>
      </c>
      <c r="E7353" t="inlineStr">
        <is>
          <t>Lương:8 Tr - 10 Tr VND</t>
        </is>
      </c>
      <c r="F7353" t="inlineStr">
        <is>
          <t>Long An</t>
        </is>
      </c>
      <c r="G7353" t="inlineStr">
        <is>
          <t>28-03-2026</t>
        </is>
      </c>
      <c r="H7353" t="inlineStr">
        <is>
          <t>28/03/2026</t>
        </is>
      </c>
      <c r="I7353" t="inlineStr">
        <is>
          <t>17/03/2026</t>
        </is>
      </c>
      <c r="J7353" t="inlineStr">
        <is>
          <t>Thống kê</t>
        </is>
      </c>
      <c r="K7353" t="inlineStr">
        <is>
          <t>Chưa có kinh nghiệm</t>
        </is>
      </c>
      <c r="L7353" s="8">
        <f>HYPERLINK("https://careerviet.vn/vi/tim-viec-lam/nhan-vien-ke-toan-thong-ke.35C6BDD6.html","Xem chi tiết")</f>
        <v/>
      </c>
    </row>
    <row r="7354">
      <c r="B7354" s="9" t="n">
        <v>7352</v>
      </c>
      <c r="C7354" s="10" t="inlineStr">
        <is>
          <t>Chuyên viên Phân tích Kiểu dáng Sản phẩm Ô tô</t>
        </is>
      </c>
      <c r="D7354" s="10" t="inlineStr">
        <is>
          <t>Công Ty Cổ Phần Tập Đoàn Trường Hải</t>
        </is>
      </c>
      <c r="E7354" s="10" t="inlineStr">
        <is>
          <t>Lương:Cạnh tranh</t>
        </is>
      </c>
      <c r="F7354" s="10" t="inlineStr">
        <is>
          <t>Hồ Chí Minh</t>
        </is>
      </c>
      <c r="G7354" s="10" t="inlineStr">
        <is>
          <t>09-04-2026</t>
        </is>
      </c>
      <c r="H7354" s="10" t="inlineStr">
        <is>
          <t>09/04/2026</t>
        </is>
      </c>
      <c r="I7354" s="10" t="inlineStr">
        <is>
          <t>17/03/2026</t>
        </is>
      </c>
      <c r="J7354" s="10" t="inlineStr">
        <is>
          <t>Mỹ thuật / Nghệ thuật / Thiết kế</t>
        </is>
      </c>
      <c r="K7354" s="10" t="inlineStr">
        <is>
          <t>N/A</t>
        </is>
      </c>
      <c r="L7354" s="11">
        <f>HYPERLINK("https://careerviet.vn/vi/tim-viec-lam/chuyen-vien-phan-tich-kieu-dang-san-pham-o-to.35C6BBA4.html","Xem chi tiết")</f>
        <v/>
      </c>
      <c r="M7354" s="10" t="n"/>
    </row>
    <row r="7355">
      <c r="B7355" s="7" t="n">
        <v>7353</v>
      </c>
      <c r="C7355" t="inlineStr">
        <is>
          <t>Chuyên viên Marketing - Marketing Executive</t>
        </is>
      </c>
      <c r="D7355" t="inlineStr">
        <is>
          <t>CÔNG TY CỔ PHẦN THƯƠNG MẠI &amp; DỊCH VỤ VIỆT CAN</t>
        </is>
      </c>
      <c r="E7355" t="inlineStr">
        <is>
          <t>Lương:10 Tr - 15 Tr VND</t>
        </is>
      </c>
      <c r="F7355" t="inlineStr">
        <is>
          <t>Hà Nội</t>
        </is>
      </c>
      <c r="G7355" t="inlineStr">
        <is>
          <t>10-04-2026</t>
        </is>
      </c>
      <c r="H7355" t="inlineStr">
        <is>
          <t>10/04/2026</t>
        </is>
      </c>
      <c r="I7355" t="inlineStr">
        <is>
          <t>17/03/2026</t>
        </is>
      </c>
      <c r="J7355" t="inlineStr">
        <is>
          <t>Tiếp thị / Marketing, Dược phẩm/ Hóa Mỹ Phẩm, Y tế / Chăm sóc sức khỏe / Thẩm mỹ / Làm đẹp</t>
        </is>
      </c>
      <c r="K7355" t="inlineStr">
        <is>
          <t>2 - 3 Năm</t>
        </is>
      </c>
      <c r="L7355" s="8">
        <f>HYPERLINK("https://careerviet.vn/vi/tim-viec-lam/chuyen-vien-marketing-marketing-executive.35C6BAD3.html","Xem chi tiết")</f>
        <v/>
      </c>
    </row>
    <row r="7356">
      <c r="B7356" s="9" t="n">
        <v>7354</v>
      </c>
      <c r="C7356" s="10" t="inlineStr">
        <is>
          <t>QC Leader</t>
        </is>
      </c>
      <c r="D7356" s="10" t="inlineStr">
        <is>
          <t>Cà Phê Muối Chú Long</t>
        </is>
      </c>
      <c r="E7356" s="10" t="inlineStr">
        <is>
          <t>Lương:Cạnh tranh</t>
        </is>
      </c>
      <c r="F7356" s="10" t="inlineStr">
        <is>
          <t>Hồ Chí Minh</t>
        </is>
      </c>
      <c r="G7356" s="10" t="inlineStr">
        <is>
          <t>08-04-2026</t>
        </is>
      </c>
      <c r="H7356" s="10" t="inlineStr">
        <is>
          <t>08/04/2026</t>
        </is>
      </c>
      <c r="I7356" s="10" t="inlineStr">
        <is>
          <t>17/03/2026</t>
        </is>
      </c>
      <c r="J7356" s="10" t="inlineStr">
        <is>
          <t>Thực phẩm &amp; Đồ uống, Nhà hàng / Khách sạn, Quản lý chất lượng (QA/QC)</t>
        </is>
      </c>
      <c r="K7356" s="10" t="inlineStr">
        <is>
          <t>3 - 5 Năm</t>
        </is>
      </c>
      <c r="L7356" s="11">
        <f>HYPERLINK("https://careerviet.vn/vi/tim-viec-lam/qc-leader.35C6BAF2.html","Xem chi tiết")</f>
        <v/>
      </c>
      <c r="M7356" s="10" t="n"/>
    </row>
    <row r="7357">
      <c r="B7357" s="7" t="n">
        <v>7355</v>
      </c>
      <c r="C7357" t="inlineStr">
        <is>
          <t>Nhân viên thiết kế</t>
        </is>
      </c>
      <c r="D7357" t="inlineStr">
        <is>
          <t>CÔNG TY CỔ PHẦN DƯỢC PHẨM REVO</t>
        </is>
      </c>
      <c r="E7357" t="inlineStr">
        <is>
          <t>Lương:12 Tr - 17 Tr VND</t>
        </is>
      </c>
      <c r="F7357" t="inlineStr">
        <is>
          <t>Hà Nội</t>
        </is>
      </c>
      <c r="G7357" t="inlineStr">
        <is>
          <t>10-04-2026</t>
        </is>
      </c>
      <c r="H7357" t="inlineStr">
        <is>
          <t>10/04/2026</t>
        </is>
      </c>
      <c r="I7357" t="inlineStr">
        <is>
          <t>17/03/2026</t>
        </is>
      </c>
      <c r="J7357" t="inlineStr">
        <is>
          <t>Mỹ thuật / Nghệ thuật / Thiết kế, Xuất nhập khẩu, Dược phẩm/ Hóa Mỹ Phẩm</t>
        </is>
      </c>
      <c r="K7357" t="inlineStr">
        <is>
          <t>Trên 1 Năm</t>
        </is>
      </c>
      <c r="L7357" s="8">
        <f>HYPERLINK("https://careerviet.vn/vi/tim-viec-lam/nhan-vien-thiet-ke.35C6BB4D.html","Xem chi tiết")</f>
        <v/>
      </c>
    </row>
    <row r="7358">
      <c r="B7358" s="9" t="n">
        <v>7356</v>
      </c>
      <c r="C7358" s="10" t="inlineStr">
        <is>
          <t>Nhân Viên Lễ Tân</t>
        </is>
      </c>
      <c r="D7358" s="10" t="inlineStr">
        <is>
          <t>CÔNG TY TNHH POLY STUDIO &amp; ACADEMY</t>
        </is>
      </c>
      <c r="E7358" s="10" t="inlineStr">
        <is>
          <t>Lương:Cạnh tranh</t>
        </is>
      </c>
      <c r="F7358" s="10" t="inlineStr">
        <is>
          <t>Hồ Chí Minh</t>
        </is>
      </c>
      <c r="G7358" s="10" t="inlineStr">
        <is>
          <t>31-05-2026</t>
        </is>
      </c>
      <c r="H7358" s="10" t="inlineStr">
        <is>
          <t>31/05/2026</t>
        </is>
      </c>
      <c r="I7358" s="10" t="inlineStr">
        <is>
          <t>17/03/2026</t>
        </is>
      </c>
      <c r="J7358" s="10" t="inlineStr">
        <is>
          <t>Y tế / Chăm sóc sức khỏe / Thẩm mỹ / Làm đẹp</t>
        </is>
      </c>
      <c r="K7358" s="10" t="inlineStr">
        <is>
          <t>1 - 2 Năm</t>
        </is>
      </c>
      <c r="L7358" s="11">
        <f>HYPERLINK("https://careerviet.vn/vi/tim-viec-lam/nhan-vien-le-tan.35C6BDAB.html","Xem chi tiết")</f>
        <v/>
      </c>
      <c r="M7358" s="10" t="n"/>
    </row>
    <row r="7359">
      <c r="B7359" s="7" t="n">
        <v>7357</v>
      </c>
      <c r="C7359" t="inlineStr">
        <is>
          <t>HÀ NỘI - CHUYÊN VIÊN ĐÀO TẠO - UP 20M NET</t>
        </is>
      </c>
      <c r="D7359" t="inlineStr">
        <is>
          <t>THỜI TRANG LINING_CÔNG TY TNHH QUỐC TẾ HẢI LONG</t>
        </is>
      </c>
      <c r="E7359" t="inlineStr">
        <is>
          <t>Lương:17 Tr - 20 Tr VND</t>
        </is>
      </c>
      <c r="F7359" t="inlineStr">
        <is>
          <t>Hà Nội</t>
        </is>
      </c>
      <c r="G7359" t="inlineStr">
        <is>
          <t>04-04-2026</t>
        </is>
      </c>
      <c r="H7359" t="inlineStr">
        <is>
          <t>04/04/2026</t>
        </is>
      </c>
      <c r="I7359" t="inlineStr">
        <is>
          <t>17/03/2026</t>
        </is>
      </c>
      <c r="J7359" t="inlineStr">
        <is>
          <t>Bán lẻ / Bán sỉ, Giáo dục / Đào tạo, Hành chính / Thư ký</t>
        </is>
      </c>
      <c r="K7359" t="inlineStr">
        <is>
          <t>3 - 5 Năm</t>
        </is>
      </c>
      <c r="L7359" s="8">
        <f>HYPERLINK("https://careerviet.vn/vi/tim-viec-lam/ha-noi-chuyen-vien-dao-tao-up-20m-net.35C6BC2E.html","Xem chi tiết")</f>
        <v/>
      </c>
    </row>
    <row r="7360">
      <c r="B7360" s="9" t="n">
        <v>7358</v>
      </c>
      <c r="C7360" s="10" t="inlineStr">
        <is>
          <t>Quản lý Thiết kế MEP (Dự án Đại Nam, Bình Dương)</t>
        </is>
      </c>
      <c r="D7360" s="10" t="inlineStr">
        <is>
          <t>CÔNG TY TNHH DK BUILD</t>
        </is>
      </c>
      <c r="E7360" s="10" t="inlineStr">
        <is>
          <t>Lương:Cạnh tranh</t>
        </is>
      </c>
      <c r="F7360" s="10" t="inlineStr">
        <is>
          <t>Bình Dương</t>
        </is>
      </c>
      <c r="G7360" s="10" t="inlineStr">
        <is>
          <t>30-04-2026</t>
        </is>
      </c>
      <c r="H7360" s="10" t="inlineStr">
        <is>
          <t>30/04/2026</t>
        </is>
      </c>
      <c r="I7360" s="10" t="inlineStr">
        <is>
          <t>17/03/2026</t>
        </is>
      </c>
      <c r="J7360" s="10" t="inlineStr">
        <is>
          <t>Xây dựng</t>
        </is>
      </c>
      <c r="K7360" s="10" t="inlineStr">
        <is>
          <t>5 - 7 Năm</t>
        </is>
      </c>
      <c r="L7360" s="11">
        <f>HYPERLINK("https://careerviet.vn/vi/tim-viec-lam/quan-ly-thiet-ke-mep-du-an-dai-nam-binh-duong.35C6BD6C.html","Xem chi tiết")</f>
        <v/>
      </c>
      <c r="M7360" s="10" t="n"/>
    </row>
    <row r="7361">
      <c r="B7361" s="7" t="n">
        <v>7359</v>
      </c>
      <c r="C7361" t="inlineStr">
        <is>
          <t>KTV Vật lý trị liệu/ Physiotherapist</t>
        </is>
      </c>
      <c r="D7361" t="inlineStr">
        <is>
          <t>American International Hospital (AIH)</t>
        </is>
      </c>
      <c r="E7361" t="inlineStr">
        <is>
          <t>Lương:13 Tr - 20 Tr VND</t>
        </is>
      </c>
      <c r="F7361" t="inlineStr">
        <is>
          <t>Hồ Chí Minh</t>
        </is>
      </c>
      <c r="G7361" t="inlineStr">
        <is>
          <t>11-04-2026</t>
        </is>
      </c>
      <c r="H7361" t="inlineStr">
        <is>
          <t>11/04/2026</t>
        </is>
      </c>
      <c r="I7361" t="inlineStr">
        <is>
          <t>17/03/2026</t>
        </is>
      </c>
      <c r="J7361" t="inlineStr">
        <is>
          <t>Y tế / Chăm sóc sức khỏe / Thẩm mỹ / Làm đẹp, Dược phẩm/ Hóa Mỹ Phẩm</t>
        </is>
      </c>
      <c r="K7361" t="inlineStr">
        <is>
          <t>1 - 15 Năm</t>
        </is>
      </c>
      <c r="L7361" s="8">
        <f>HYPERLINK("https://careerviet.vn/vi/tim-viec-lam/ktv-vat-ly-tri-lieu-physiotherapist.35C6BCCC.html","Xem chi tiết")</f>
        <v/>
      </c>
    </row>
    <row r="7362">
      <c r="B7362" s="9" t="n">
        <v>7360</v>
      </c>
      <c r="C7362" s="10" t="inlineStr">
        <is>
          <t>Nhân Viên Kế Toán CCDC - TSCĐ</t>
        </is>
      </c>
      <c r="D7362" s="10" t="inlineStr">
        <is>
          <t>Công ty Cổ phần Nông nghiệp BAF Việt Nam</t>
        </is>
      </c>
      <c r="E7362" s="10" t="inlineStr">
        <is>
          <t>Lương:Cạnh tranh</t>
        </is>
      </c>
      <c r="F7362" s="10" t="inlineStr">
        <is>
          <t>Hồ Chí Minh</t>
        </is>
      </c>
      <c r="G7362" s="10" t="inlineStr">
        <is>
          <t>10-04-2026</t>
        </is>
      </c>
      <c r="H7362" s="10" t="inlineStr">
        <is>
          <t>10/04/2026</t>
        </is>
      </c>
      <c r="I7362" s="10" t="inlineStr">
        <is>
          <t>17/03/2026</t>
        </is>
      </c>
      <c r="J7362" s="10" t="inlineStr">
        <is>
          <t>Kế toán / Kiểm toán</t>
        </is>
      </c>
      <c r="K7362" s="10" t="inlineStr">
        <is>
          <t>3 - 5 Năm</t>
        </is>
      </c>
      <c r="L7362" s="11">
        <f>HYPERLINK("https://careerviet.vn/vi/tim-viec-lam/nhan-vien-ke-toan-ccdc-tscd.35C6BCA9.html","Xem chi tiết")</f>
        <v/>
      </c>
      <c r="M7362" s="10" t="n"/>
    </row>
    <row r="7363">
      <c r="B7363" s="7" t="n">
        <v>7361</v>
      </c>
      <c r="C7363" t="inlineStr">
        <is>
          <t>Nhân viên kinh doanh thị trường - Mảng thủy sản</t>
        </is>
      </c>
      <c r="D7363" t="inlineStr">
        <is>
          <t>KING ELONG GROUP</t>
        </is>
      </c>
      <c r="E7363" t="inlineStr">
        <is>
          <t>Lương:10 Tr - 15 Tr VND</t>
        </is>
      </c>
      <c r="F7363" t="inlineStr">
        <is>
          <t>Cà MauSóc TrăngBạc Liêu</t>
        </is>
      </c>
      <c r="G7363" t="inlineStr">
        <is>
          <t>31-03-2026</t>
        </is>
      </c>
      <c r="H7363" t="inlineStr">
        <is>
          <t>31/03/2026</t>
        </is>
      </c>
      <c r="I7363" t="inlineStr">
        <is>
          <t>17/03/2026</t>
        </is>
      </c>
      <c r="J7363" t="inlineStr">
        <is>
          <t>Thủy sản / Hải sản, Chăn nuôi / Thú y</t>
        </is>
      </c>
      <c r="K7363" t="inlineStr">
        <is>
          <t>Trên 3 Năm</t>
        </is>
      </c>
      <c r="L7363" s="8">
        <f>HYPERLINK("https://careerviet.vn/vi/tim-viec-lam/nhan-vien-kinh-doanh-thi-truong-mang-thuy-san.35C6BC53.html","Xem chi tiết")</f>
        <v/>
      </c>
    </row>
    <row r="7364">
      <c r="B7364" s="9" t="n">
        <v>7362</v>
      </c>
      <c r="C7364" s="10" t="inlineStr">
        <is>
          <t>NHÂN VIÊN THIẾT KẾ ĐỒ HỌA (GRAPHIC DESIGNER)</t>
        </is>
      </c>
      <c r="D7364" s="10" t="inlineStr">
        <is>
          <t>Công ty Cổ phần Govi Việt Nam</t>
        </is>
      </c>
      <c r="E7364" s="10" t="inlineStr">
        <is>
          <t>Lương:10 Tr - 14 Tr VND</t>
        </is>
      </c>
      <c r="F7364" s="10" t="inlineStr">
        <is>
          <t>Hà Nội</t>
        </is>
      </c>
      <c r="G7364" s="10" t="inlineStr">
        <is>
          <t>10-04-2026</t>
        </is>
      </c>
      <c r="H7364" s="10" t="inlineStr">
        <is>
          <t>10/04/2026</t>
        </is>
      </c>
      <c r="I7364" s="10" t="inlineStr">
        <is>
          <t>17/03/2026</t>
        </is>
      </c>
      <c r="J7364" s="10" t="inlineStr">
        <is>
          <t>Mỹ thuật / Nghệ thuật / Thiết kế, Tiếp thị / Marketing, Quảng cáo / Đối ngoại / Truyền Thông</t>
        </is>
      </c>
      <c r="K7364" s="10" t="inlineStr">
        <is>
          <t>1 - 2 Năm</t>
        </is>
      </c>
      <c r="L7364" s="11">
        <f>HYPERLINK("https://careerviet.vn/vi/tim-viec-lam/nhan-vien-thiet-ke-do-hoa-graphic-designer.35C6BB23.html","Xem chi tiết")</f>
        <v/>
      </c>
      <c r="M7364" s="10" t="n"/>
    </row>
    <row r="7365">
      <c r="B7365" s="7" t="n">
        <v>7363</v>
      </c>
      <c r="C7365" t="inlineStr">
        <is>
          <t>Chuyên viên cao cấp Phát triển Đối tác</t>
        </is>
      </c>
      <c r="D7365" t="inlineStr">
        <is>
          <t>CÔNG TY TNHH BẢO HIỂM NHÂN THỌ MB AGEAS</t>
        </is>
      </c>
      <c r="E7365" t="inlineStr">
        <is>
          <t>Lương:Cạnh tranh</t>
        </is>
      </c>
      <c r="F7365" t="inlineStr">
        <is>
          <t>Hà Nội</t>
        </is>
      </c>
      <c r="G7365" t="inlineStr">
        <is>
          <t>30-05-2026</t>
        </is>
      </c>
      <c r="H7365" t="inlineStr">
        <is>
          <t>30/05/2026</t>
        </is>
      </c>
      <c r="I7365" t="inlineStr">
        <is>
          <t>17/03/2026</t>
        </is>
      </c>
      <c r="J7365" t="inlineStr">
        <is>
          <t>Dịch vụ khách hàng, Bảo hiểm, Bán hàng / Kinh doanh</t>
        </is>
      </c>
      <c r="K7365" t="inlineStr">
        <is>
          <t>Trên 2 Năm</t>
        </is>
      </c>
      <c r="L7365" s="8">
        <f>HYPERLINK("https://careerviet.vn/vi/tim-viec-lam/chuyen-vien-cao-cap-phat-trien-doi-tac.35C6BB61.html","Xem chi tiết")</f>
        <v/>
      </c>
    </row>
    <row r="7366">
      <c r="B7366" s="9" t="n">
        <v>7364</v>
      </c>
      <c r="C7366" s="10" t="inlineStr">
        <is>
          <t>Advance Quality Engineer</t>
        </is>
      </c>
      <c r="D7366" s="10" t="inlineStr">
        <is>
          <t>Techtronic Industries Vietnam Manufacturing Company Limited</t>
        </is>
      </c>
      <c r="E7366" s="10" t="inlineStr">
        <is>
          <t>Lương:Cạnh tranh</t>
        </is>
      </c>
      <c r="F7366" s="10" t="inlineStr">
        <is>
          <t>Đồng Nai</t>
        </is>
      </c>
      <c r="G7366" s="10" t="inlineStr">
        <is>
          <t>20-04-2026</t>
        </is>
      </c>
      <c r="H7366" s="10" t="inlineStr">
        <is>
          <t>20/04/2026</t>
        </is>
      </c>
      <c r="I7366" s="10" t="inlineStr">
        <is>
          <t>17/03/2026</t>
        </is>
      </c>
      <c r="J7366" s="10" t="inlineStr">
        <is>
          <t>Cơ khí / Ô tô / Tự động hóa, Quản lý chất lượng (QA/QC), Điện / Điện tử / Điện lạnh / Điện công nghiệp</t>
        </is>
      </c>
      <c r="K7366" s="10" t="inlineStr">
        <is>
          <t>5 - 6 Năm</t>
        </is>
      </c>
      <c r="L7366" s="11">
        <f>HYPERLINK("https://careerviet.vn/vi/tim-viec-lam/advance-quality-engineer.35C6BC2A.html","Xem chi tiết")</f>
        <v/>
      </c>
      <c r="M7366" s="10" t="n"/>
    </row>
    <row r="7367">
      <c r="B7367" s="7" t="n">
        <v>7365</v>
      </c>
      <c r="C7367" t="inlineStr">
        <is>
          <t>Chuyên Viên Thiết Kế Đồ Họa - Alphanam Group</t>
        </is>
      </c>
      <c r="D7367" t="inlineStr">
        <is>
          <t>Alphanam Group</t>
        </is>
      </c>
      <c r="E7367" t="inlineStr">
        <is>
          <t>Lương:18 Tr - 22 Tr VND</t>
        </is>
      </c>
      <c r="F7367" t="inlineStr">
        <is>
          <t>Hà Nội</t>
        </is>
      </c>
      <c r="G7367" t="inlineStr">
        <is>
          <t>29-04-2026</t>
        </is>
      </c>
      <c r="H7367" t="inlineStr">
        <is>
          <t>29/04/2026</t>
        </is>
      </c>
      <c r="I7367" t="inlineStr">
        <is>
          <t>17/03/2026</t>
        </is>
      </c>
      <c r="J7367" t="inlineStr">
        <is>
          <t>Mỹ thuật / Nghệ thuật / Thiết kế</t>
        </is>
      </c>
      <c r="K7367" t="inlineStr">
        <is>
          <t>2 - 3 Năm</t>
        </is>
      </c>
      <c r="L7367" s="8">
        <f>HYPERLINK("https://careerviet.vn/vi/tim-viec-lam/chuyen-vien-thiet-ke-do-hoa-alphanam-group.35C6BD55.html","Xem chi tiết")</f>
        <v/>
      </c>
    </row>
    <row r="7368">
      <c r="B7368" s="9" t="n">
        <v>7366</v>
      </c>
      <c r="C7368" s="10" t="inlineStr">
        <is>
          <t>Chuyên viên R&amp;D Bất động sản (Kiến trúc sư Thiết kế đô thị / Quy hoạch – Kiến trúc cảnh quan)</t>
        </is>
      </c>
      <c r="D7368" s="10" t="inlineStr">
        <is>
          <t>Tập Đoàn Tân Á Đại Thành</t>
        </is>
      </c>
      <c r="E7368" s="10" t="inlineStr">
        <is>
          <t>Lương:16 Tr - 22 Tr VND</t>
        </is>
      </c>
      <c r="F7368" s="10" t="inlineStr">
        <is>
          <t>Hà Nội</t>
        </is>
      </c>
      <c r="G7368" s="10" t="inlineStr">
        <is>
          <t>15-04-2026</t>
        </is>
      </c>
      <c r="H7368" s="10" t="inlineStr">
        <is>
          <t>15/04/2026</t>
        </is>
      </c>
      <c r="I7368" s="10" t="inlineStr">
        <is>
          <t>17/03/2026</t>
        </is>
      </c>
      <c r="J7368" s="10" t="inlineStr">
        <is>
          <t>Kiến trúc, Bất động sản, Xây dựng</t>
        </is>
      </c>
      <c r="K7368" s="10" t="inlineStr">
        <is>
          <t>3 - 5 Năm</t>
        </is>
      </c>
      <c r="L7368" s="11">
        <f>HYPERLINK("https://careerviet.vn/vi/tim-viec-lam/chuyen-vien-r-d-bat-dong-san-kien-truc-su-thiet-ke-do-thi-quy-hoach-kien-truc-canh-quan.35C6BC4B.html","Xem chi tiết")</f>
        <v/>
      </c>
      <c r="M7368" s="10" t="n"/>
    </row>
    <row r="7369">
      <c r="B7369" s="7" t="n">
        <v>7367</v>
      </c>
      <c r="C7369" t="inlineStr">
        <is>
          <t>Nhân Viên Kỹ Thuật Cố Định Băng Rộng - Vũng Tàu</t>
        </is>
      </c>
      <c r="D7369" t="inlineStr">
        <is>
          <t>CÔNG TY CỔ PHẦN GREEN SPEED</t>
        </is>
      </c>
      <c r="E7369" t="inlineStr">
        <is>
          <t>Lương:15 Tr - 16 Tr VND</t>
        </is>
      </c>
      <c r="F7369" t="inlineStr">
        <is>
          <t>Bà Rịa - Vũng Tàu</t>
        </is>
      </c>
      <c r="G7369" t="inlineStr">
        <is>
          <t>10-04-2026</t>
        </is>
      </c>
      <c r="H7369" t="inlineStr">
        <is>
          <t>10/04/2026</t>
        </is>
      </c>
      <c r="I7369" t="inlineStr">
        <is>
          <t>17/03/2026</t>
        </is>
      </c>
      <c r="J7369" t="inlineStr">
        <is>
          <t>Bưu chính viễn thông, Bảo trì / Sửa chữa, Điện / Điện tử / Điện lạnh / Điện công nghiệp</t>
        </is>
      </c>
      <c r="K7369" t="inlineStr">
        <is>
          <t>Không yêu cầu kinh nghiệm</t>
        </is>
      </c>
      <c r="L7369" s="8">
        <f>HYPERLINK("https://careerviet.vn/vi/tim-viec-lam/nhan-vien-ky-thuat-co-dinh-bang-rong-vung-tau.35C6B702.html","Xem chi tiết")</f>
        <v/>
      </c>
    </row>
    <row r="7370">
      <c r="B7370" s="9" t="n">
        <v>7368</v>
      </c>
      <c r="C7370" s="10" t="inlineStr">
        <is>
          <t>Nhân viên Event - Event Staff</t>
        </is>
      </c>
      <c r="D7370" s="10" t="inlineStr">
        <is>
          <t>CÔNG TY CỔ PHẦN THƯƠNG MẠI &amp; DỊCH VỤ VIỆT CAN</t>
        </is>
      </c>
      <c r="E7370" s="10" t="inlineStr">
        <is>
          <t>Lương:9 Tr - 11 Tr VND</t>
        </is>
      </c>
      <c r="F7370" s="10" t="inlineStr">
        <is>
          <t>Hồ Chí Minh</t>
        </is>
      </c>
      <c r="G7370" s="10" t="inlineStr">
        <is>
          <t>10-04-2026</t>
        </is>
      </c>
      <c r="H7370" s="10" t="inlineStr">
        <is>
          <t>10/04/2026</t>
        </is>
      </c>
      <c r="I7370" s="10" t="inlineStr">
        <is>
          <t>17/03/2026</t>
        </is>
      </c>
      <c r="J7370" s="10" t="inlineStr">
        <is>
          <t>Tiếp thị / Marketing, Dược phẩm/ Hóa Mỹ Phẩm, Y tế / Chăm sóc sức khỏe / Thẩm mỹ / Làm đẹp</t>
        </is>
      </c>
      <c r="K7370" s="10" t="inlineStr">
        <is>
          <t>Trên 1 Năm</t>
        </is>
      </c>
      <c r="L7370" s="11">
        <f>HYPERLINK("https://careerviet.vn/vi/tim-viec-lam/nhan-vien-event-event-staff.35C6BB98.html","Xem chi tiết")</f>
        <v/>
      </c>
      <c r="M7370" s="10" t="n"/>
    </row>
    <row r="7371">
      <c r="B7371" s="7" t="n">
        <v>7369</v>
      </c>
      <c r="C7371" t="inlineStr">
        <is>
          <t>Quản Lý Sản Xuất - Tây Ninh (cũ)</t>
        </is>
      </c>
      <c r="D7371" t="inlineStr">
        <is>
          <t>Công ty CP Thành Thành Công - Biên Hòa</t>
        </is>
      </c>
      <c r="E7371" t="inlineStr">
        <is>
          <t>Lương:Cạnh tranh</t>
        </is>
      </c>
      <c r="F7371" t="inlineStr">
        <is>
          <t>Tây NinhHồ Chí Minh</t>
        </is>
      </c>
      <c r="G7371" t="inlineStr">
        <is>
          <t>09-04-2026</t>
        </is>
      </c>
      <c r="H7371" t="inlineStr">
        <is>
          <t>09/04/2026</t>
        </is>
      </c>
      <c r="I7371" t="inlineStr">
        <is>
          <t>17/03/2026</t>
        </is>
      </c>
      <c r="J7371" t="inlineStr">
        <is>
          <t>Quản lý điều hành, Sản xuất / Vận hành sản xuất, Quản lý chất lượng (QA/QC)</t>
        </is>
      </c>
      <c r="K7371" t="inlineStr">
        <is>
          <t>5 - 10 Năm</t>
        </is>
      </c>
      <c r="L7371" s="8">
        <f>HYPERLINK("https://careerviet.vn/vi/tim-viec-lam/quan-ly-san-xuat-tay-ninh-cu.35C6BBAF.html","Xem chi tiết")</f>
        <v/>
      </c>
    </row>
    <row r="7372">
      <c r="B7372" s="9" t="n">
        <v>7370</v>
      </c>
      <c r="C7372" s="10" t="inlineStr">
        <is>
          <t>Cán Bộ Phụ Trách GPMB Các Dự Án Khu Đô Thị, KCN, CCN</t>
        </is>
      </c>
      <c r="D7372" s="10" t="inlineStr">
        <is>
          <t>CÔNG TY CỔ PHẦN HAWEE BẤT ĐỘNG SẢN</t>
        </is>
      </c>
      <c r="E7372" s="10" t="inlineStr">
        <is>
          <t>Lương:Cạnh tranh</t>
        </is>
      </c>
      <c r="F7372" s="10" t="inlineStr">
        <is>
          <t>Hà Nội</t>
        </is>
      </c>
      <c r="G7372" s="10" t="inlineStr">
        <is>
          <t>10-04-2026</t>
        </is>
      </c>
      <c r="H7372" s="10" t="inlineStr">
        <is>
          <t>10/04/2026</t>
        </is>
      </c>
      <c r="I7372" s="10" t="inlineStr">
        <is>
          <t>17/03/2026</t>
        </is>
      </c>
      <c r="J7372" s="10" t="inlineStr">
        <is>
          <t>Bất động sản, Xây dựng, Trắc địa / Địa Chất</t>
        </is>
      </c>
      <c r="K7372" s="10" t="inlineStr">
        <is>
          <t>Trên 3 Năm</t>
        </is>
      </c>
      <c r="L7372" s="11">
        <f>HYPERLINK("https://careerviet.vn/vi/tim-viec-lam/can-bo-phu-trach-gpmb-cac-du-an-khu-do-thi-kcn-ccn.35C6BCED.html","Xem chi tiết")</f>
        <v/>
      </c>
      <c r="M7372" s="10" t="n"/>
    </row>
    <row r="7373">
      <c r="B7373" s="7" t="n">
        <v>7371</v>
      </c>
      <c r="C7373" t="inlineStr">
        <is>
          <t>Hành chính lễ tân (lĩnh vực F&amp;B)</t>
        </is>
      </c>
      <c r="D7373" t="inlineStr">
        <is>
          <t>Công Ty Cổ Phần Đầu Tư Viên Ngọc Mới</t>
        </is>
      </c>
      <c r="E7373" t="inlineStr">
        <is>
          <t>Lương:8 Tr - 9 Tr VND</t>
        </is>
      </c>
      <c r="F7373" t="inlineStr">
        <is>
          <t>Hồ Chí Minh</t>
        </is>
      </c>
      <c r="G7373" t="inlineStr">
        <is>
          <t>30-04-2026</t>
        </is>
      </c>
      <c r="H7373" t="inlineStr">
        <is>
          <t>30/04/2026</t>
        </is>
      </c>
      <c r="I7373" t="inlineStr">
        <is>
          <t>17/03/2026</t>
        </is>
      </c>
      <c r="J7373" t="inlineStr">
        <is>
          <t>Hành chính / Thư ký</t>
        </is>
      </c>
      <c r="K7373" t="inlineStr">
        <is>
          <t>Lên đến 1 Năm</t>
        </is>
      </c>
      <c r="L7373" s="8">
        <f>HYPERLINK("https://careerviet.vn/vi/tim-viec-lam/hanh-chinh-le-tan-linh-vuc-f-b.35C6BC0C.html","Xem chi tiết")</f>
        <v/>
      </c>
    </row>
    <row r="7374">
      <c r="B7374" s="9" t="n">
        <v>7372</v>
      </c>
      <c r="C7374" s="10" t="inlineStr">
        <is>
          <t>Kỹ sư Giám sát MEP ( có xe đưa rước từ TpHCM đi Bình Dương)</t>
        </is>
      </c>
      <c r="D7374" s="10" t="inlineStr">
        <is>
          <t>CÔNG TY TNHH DK BUILD</t>
        </is>
      </c>
      <c r="E7374" s="10" t="inlineStr">
        <is>
          <t>Lương:15 Tr - 25 Tr VND</t>
        </is>
      </c>
      <c r="F7374" s="10" t="inlineStr">
        <is>
          <t>Bình Dương</t>
        </is>
      </c>
      <c r="G7374" s="10" t="inlineStr">
        <is>
          <t>30-04-2026</t>
        </is>
      </c>
      <c r="H7374" s="10" t="inlineStr">
        <is>
          <t>30/04/2026</t>
        </is>
      </c>
      <c r="I7374" s="10" t="inlineStr">
        <is>
          <t>17/03/2026</t>
        </is>
      </c>
      <c r="J7374" s="10" t="inlineStr">
        <is>
          <t>Xây dựng</t>
        </is>
      </c>
      <c r="K7374" s="10" t="inlineStr">
        <is>
          <t>3 - 5 Năm</t>
        </is>
      </c>
      <c r="L7374" s="11">
        <f>HYPERLINK("https://careerviet.vn/vi/tim-viec-lam/ky-su-giam-sat-mep-co-xe-dua-ruoc-tu-tphcm-di-binh-duong.35C6BB0E.html","Xem chi tiết")</f>
        <v/>
      </c>
      <c r="M7374" s="10" t="n"/>
    </row>
    <row r="7375">
      <c r="B7375" s="7" t="n">
        <v>7373</v>
      </c>
      <c r="C7375" t="inlineStr">
        <is>
          <t>Trưởng Nhóm Tuyển Sinh (Ocean Edu Thiên Lộc)</t>
        </is>
      </c>
      <c r="D7375" t="inlineStr">
        <is>
          <t>Công Ty CP Giáo Dục Đại Dương</t>
        </is>
      </c>
      <c r="E7375" t="inlineStr">
        <is>
          <t>Lương:17 Tr - 18 Tr VND</t>
        </is>
      </c>
      <c r="F7375" t="inlineStr">
        <is>
          <t>Hà Nội</t>
        </is>
      </c>
      <c r="G7375" t="inlineStr">
        <is>
          <t>30-03-2026</t>
        </is>
      </c>
      <c r="H7375" t="inlineStr">
        <is>
          <t>30/03/2026</t>
        </is>
      </c>
      <c r="I7375" t="inlineStr">
        <is>
          <t>17/03/2026</t>
        </is>
      </c>
      <c r="J7375" t="inlineStr">
        <is>
          <t>Tư vấn, Dịch vụ khách hàng, Giáo dục / Đào tạo</t>
        </is>
      </c>
      <c r="K7375" t="inlineStr">
        <is>
          <t>1 - 2 Năm</t>
        </is>
      </c>
      <c r="L7375" s="8">
        <f>HYPERLINK("https://careerviet.vn/vi/tim-viec-lam/truong-nhom-tuyen-sinh-ocean-edu-thien-loc.35C6BB47.html","Xem chi tiết")</f>
        <v/>
      </c>
    </row>
    <row r="7376">
      <c r="B7376" s="9" t="n">
        <v>7374</v>
      </c>
      <c r="C7376" s="10" t="inlineStr">
        <is>
          <t>Project engineer</t>
        </is>
      </c>
      <c r="D7376" s="10" t="inlineStr">
        <is>
          <t>XP Power  Vietnam</t>
        </is>
      </c>
      <c r="E7376" s="10" t="inlineStr">
        <is>
          <t>Lương:Cạnh tranh</t>
        </is>
      </c>
      <c r="F7376" s="10" t="inlineStr">
        <is>
          <t>Bình Dương</t>
        </is>
      </c>
      <c r="G7376" s="10" t="inlineStr">
        <is>
          <t>10-04-2026</t>
        </is>
      </c>
      <c r="H7376" s="10" t="inlineStr">
        <is>
          <t>10/04/2026</t>
        </is>
      </c>
      <c r="I7376" s="10" t="inlineStr">
        <is>
          <t>17/03/2026</t>
        </is>
      </c>
      <c r="J7376" s="10" t="inlineStr">
        <is>
          <t>Điện / Điện tử / Điện lạnh / Điện công nghiệp</t>
        </is>
      </c>
      <c r="K7376" s="10" t="inlineStr">
        <is>
          <t>3 - 4 Năm</t>
        </is>
      </c>
      <c r="L7376" s="11">
        <f>HYPERLINK("https://careerviet.vn/vi/tim-viec-lam/project-engineer.35C6BB53.html","Xem chi tiết")</f>
        <v/>
      </c>
      <c r="M7376" s="10" t="n"/>
    </row>
    <row r="7377">
      <c r="B7377" s="7" t="n">
        <v>7375</v>
      </c>
      <c r="C7377" t="inlineStr">
        <is>
          <t>Kỹ sư giám sát thi công cây xanh</t>
        </is>
      </c>
      <c r="D7377" t="inlineStr">
        <is>
          <t>Xuân Cầu Holdings</t>
        </is>
      </c>
      <c r="E7377" t="inlineStr">
        <is>
          <t>Lương:Cạnh tranh</t>
        </is>
      </c>
      <c r="F7377" t="inlineStr">
        <is>
          <t>Hưng Yên</t>
        </is>
      </c>
      <c r="G7377" t="inlineStr">
        <is>
          <t>11-04-2026</t>
        </is>
      </c>
      <c r="H7377" t="inlineStr">
        <is>
          <t>11/04/2026</t>
        </is>
      </c>
      <c r="I7377" t="inlineStr">
        <is>
          <t>17/03/2026</t>
        </is>
      </c>
      <c r="J7377" t="inlineStr">
        <is>
          <t>Mỹ thuật / Nghệ thuật / Thiết kế</t>
        </is>
      </c>
      <c r="K7377" t="inlineStr">
        <is>
          <t>5 - 7 Năm</t>
        </is>
      </c>
      <c r="L7377" s="8">
        <f>HYPERLINK("https://careerviet.vn/vi/tim-viec-lam/ky-su-giam-sat-thi-cong-cay-xanh.35C6BAB3.html","Xem chi tiết")</f>
        <v/>
      </c>
    </row>
    <row r="7378">
      <c r="B7378" s="9" t="n">
        <v>7376</v>
      </c>
      <c r="C7378" s="10" t="inlineStr">
        <is>
          <t>Chuyên viên Tài Chính - Huy Động Vốn (CĐT Bất động sản, làm việc tại Hà Nội)</t>
        </is>
      </c>
      <c r="D7378" s="10" t="inlineStr">
        <is>
          <t>Công ty Cổ phần Tập đoàn KITA Group</t>
        </is>
      </c>
      <c r="E7378" s="10" t="inlineStr">
        <is>
          <t>Lương:25 Tr - 30 Tr VND</t>
        </is>
      </c>
      <c r="F7378" s="10" t="inlineStr">
        <is>
          <t>Hà Nội</t>
        </is>
      </c>
      <c r="G7378" s="10" t="inlineStr">
        <is>
          <t>30-04-2026</t>
        </is>
      </c>
      <c r="H7378" s="10" t="inlineStr">
        <is>
          <t>30/04/2026</t>
        </is>
      </c>
      <c r="I7378" s="10" t="inlineStr">
        <is>
          <t>17/03/2026</t>
        </is>
      </c>
      <c r="J7378" s="10" t="inlineStr">
        <is>
          <t>Tài chính / Đầu tư, Kế toán / Kiểm toán, Bất động sản</t>
        </is>
      </c>
      <c r="K7378" s="10" t="inlineStr">
        <is>
          <t>1 - 2 Năm</t>
        </is>
      </c>
      <c r="L7378" s="11">
        <f>HYPERLINK("https://careerviet.vn/vi/tim-viec-lam/chuyen-vien-tai-chinh-huy-dong-von-cdt-bat-dong-san-lam-viec-tai-ha-noi.35C6BD10.html","Xem chi tiết")</f>
        <v/>
      </c>
      <c r="M7378" s="10" t="n"/>
    </row>
    <row r="7379">
      <c r="B7379" s="7" t="n">
        <v>7377</v>
      </c>
      <c r="C7379" t="inlineStr">
        <is>
          <t>Thủ Kho thành phẩm (Làm việc tại Đức Hoà, Long An cũ)</t>
        </is>
      </c>
      <c r="D7379" t="inlineStr">
        <is>
          <t>Công ty cổ phần Nafoods Group</t>
        </is>
      </c>
      <c r="E7379" t="inlineStr">
        <is>
          <t>Lương:Cạnh tranh</t>
        </is>
      </c>
      <c r="F7379" t="inlineStr">
        <is>
          <t>Long An</t>
        </is>
      </c>
      <c r="G7379" t="inlineStr">
        <is>
          <t>10-04-2026</t>
        </is>
      </c>
      <c r="H7379" t="inlineStr">
        <is>
          <t>10/04/2026</t>
        </is>
      </c>
      <c r="I7379" t="inlineStr">
        <is>
          <t>17/03/2026</t>
        </is>
      </c>
      <c r="J7379" t="inlineStr">
        <is>
          <t>Vận chuyển / Giao nhận / Kho vận, Kế toán / Kiểm toán</t>
        </is>
      </c>
      <c r="K7379" t="inlineStr">
        <is>
          <t>2 - 3 Năm</t>
        </is>
      </c>
      <c r="L7379" s="8">
        <f>HYPERLINK("https://careerviet.vn/vi/tim-viec-lam/thu-kho-thanh-pham-lam-viec-tai-duc-hoa-long-an-cu.35C6BA7B.html","Xem chi tiết")</f>
        <v/>
      </c>
    </row>
    <row r="7380">
      <c r="B7380" s="9" t="n">
        <v>7378</v>
      </c>
      <c r="C7380" s="10" t="inlineStr">
        <is>
          <t>Kế Toán Trưởng Ngành Gỗ tại Bình Định</t>
        </is>
      </c>
      <c r="D7380" s="10" t="inlineStr">
        <is>
          <t>Công Ty TNHH Tập Đoàn Rita Võ</t>
        </is>
      </c>
      <c r="E7380" s="10" t="inlineStr">
        <is>
          <t>Lương:Cạnh tranh</t>
        </is>
      </c>
      <c r="F7380" s="10" t="inlineStr">
        <is>
          <t>Bình Định</t>
        </is>
      </c>
      <c r="G7380" s="10" t="inlineStr">
        <is>
          <t>10-04-2026</t>
        </is>
      </c>
      <c r="H7380" s="10" t="inlineStr">
        <is>
          <t>10/04/2026</t>
        </is>
      </c>
      <c r="I7380" s="10" t="inlineStr">
        <is>
          <t>17/03/2026</t>
        </is>
      </c>
      <c r="J7380" s="10" t="inlineStr">
        <is>
          <t>Kế toán / Kiểm toán</t>
        </is>
      </c>
      <c r="K7380" s="10" t="inlineStr">
        <is>
          <t>3 - 5 Năm</t>
        </is>
      </c>
      <c r="L7380" s="11">
        <f>HYPERLINK("https://careerviet.vn/vi/tim-viec-lam/ke-toan-truong-nganh-go-tai-binh-dinh.35C6BC6B.html","Xem chi tiết")</f>
        <v/>
      </c>
      <c r="M7380" s="10" t="n"/>
    </row>
    <row r="7381">
      <c r="B7381" s="7" t="n">
        <v>7379</v>
      </c>
      <c r="C7381" t="inlineStr">
        <is>
          <t>Safety &amp; Security Executive/Chuyên Viên An Ninh –An Toàn</t>
        </is>
      </c>
      <c r="D7381" t="inlineStr">
        <is>
          <t>Trung tâm Thương mại SC VivoCity</t>
        </is>
      </c>
      <c r="E7381" t="inlineStr">
        <is>
          <t>Lương:Trên 10 Tr VND</t>
        </is>
      </c>
      <c r="F7381" t="inlineStr">
        <is>
          <t>Hồ Chí Minh</t>
        </is>
      </c>
      <c r="G7381" t="inlineStr">
        <is>
          <t>31-03-2026</t>
        </is>
      </c>
      <c r="H7381" t="inlineStr">
        <is>
          <t>31/03/2026</t>
        </is>
      </c>
      <c r="I7381" t="inlineStr">
        <is>
          <t>17/03/2026</t>
        </is>
      </c>
      <c r="J7381" t="inlineStr">
        <is>
          <t>An Ninh / Bảo Vệ</t>
        </is>
      </c>
      <c r="K7381" t="inlineStr">
        <is>
          <t>2 - 3 Năm</t>
        </is>
      </c>
      <c r="L7381" s="8">
        <f>HYPERLINK("https://careerviet.vn/vi/tim-viec-lam/safety-security-executive-chuyen-vien-an-ninh-an-toan.35C6BC10.html","Xem chi tiết")</f>
        <v/>
      </c>
    </row>
    <row r="7382">
      <c r="B7382" s="9" t="n">
        <v>7380</v>
      </c>
      <c r="C7382" s="10" t="inlineStr">
        <is>
          <t>Customer Service (Toys/Furniture Testing) (Chinese Fluent)</t>
        </is>
      </c>
      <c r="D7382" s="10" t="inlineStr">
        <is>
          <t>Cty SGS Việt Nam TNHH</t>
        </is>
      </c>
      <c r="E7382" s="10" t="inlineStr">
        <is>
          <t>Lương:Cạnh tranh</t>
        </is>
      </c>
      <c r="F7382" s="10" t="inlineStr">
        <is>
          <t>Hồ Chí Minh</t>
        </is>
      </c>
      <c r="G7382" s="10" t="inlineStr">
        <is>
          <t>10-04-2026</t>
        </is>
      </c>
      <c r="H7382" s="10" t="inlineStr">
        <is>
          <t>10/04/2026</t>
        </is>
      </c>
      <c r="I7382" s="10" t="inlineStr">
        <is>
          <t>17/03/2026</t>
        </is>
      </c>
      <c r="J7382" s="10" t="inlineStr">
        <is>
          <t>Tư vấn, Dịch vụ khách hàng, Bán Hàng Kỹ Thuật</t>
        </is>
      </c>
      <c r="K7382" s="10" t="inlineStr">
        <is>
          <t>Chưa có kinh nghiệm</t>
        </is>
      </c>
      <c r="L7382" s="11">
        <f>HYPERLINK("https://careerviet.vn/vi/tim-viec-lam/customer-service-toys-furniture-testing-chinese-fluent.35C6BC84.html","Xem chi tiết")</f>
        <v/>
      </c>
      <c r="M7382" s="10" t="n"/>
    </row>
    <row r="7383">
      <c r="B7383" s="7" t="n">
        <v>7381</v>
      </c>
      <c r="C7383" t="inlineStr">
        <is>
          <t>Nhân viên Y tế</t>
        </is>
      </c>
      <c r="D7383" t="inlineStr">
        <is>
          <t>Công Ty Cổ Phần Eurowindow</t>
        </is>
      </c>
      <c r="E7383" t="inlineStr">
        <is>
          <t>Lương:9,5 Tr - 10 Tr VND</t>
        </is>
      </c>
      <c r="F7383" t="inlineStr">
        <is>
          <t>Hà Nội</t>
        </is>
      </c>
      <c r="G7383" t="inlineStr">
        <is>
          <t>29-04-2026</t>
        </is>
      </c>
      <c r="H7383" t="inlineStr">
        <is>
          <t>29/04/2026</t>
        </is>
      </c>
      <c r="I7383" t="inlineStr">
        <is>
          <t>17/03/2026</t>
        </is>
      </c>
      <c r="J7383" t="inlineStr">
        <is>
          <t>Hành chính / Thư ký, Sản xuất / Vận hành sản xuất</t>
        </is>
      </c>
      <c r="K7383" t="inlineStr">
        <is>
          <t>Chưa có kinh nghiệm</t>
        </is>
      </c>
      <c r="L7383" s="8">
        <f>HYPERLINK("https://careerviet.vn/vi/tim-viec-lam/nhan-vien-y-te.35C6BC73.html","Xem chi tiết")</f>
        <v/>
      </c>
    </row>
    <row r="7384">
      <c r="B7384" s="9" t="n">
        <v>7382</v>
      </c>
      <c r="C7384" s="10" t="inlineStr">
        <is>
          <t>Telesale - Chăm sóc khách hàng  (Ưu tiên nhận việc ngay)</t>
        </is>
      </c>
      <c r="D7384" s="10" t="inlineStr">
        <is>
          <t>Công Ty TNHH Muse Medical</t>
        </is>
      </c>
      <c r="E7384" s="10" t="inlineStr">
        <is>
          <t>Lương:15 Tr - 16 Tr VND</t>
        </is>
      </c>
      <c r="F7384" s="10" t="inlineStr">
        <is>
          <t>Hồ Chí Minh</t>
        </is>
      </c>
      <c r="G7384" s="10" t="inlineStr">
        <is>
          <t>10-04-2026</t>
        </is>
      </c>
      <c r="H7384" s="10" t="inlineStr">
        <is>
          <t>10/04/2026</t>
        </is>
      </c>
      <c r="I7384" s="10" t="inlineStr">
        <is>
          <t>17/03/2026</t>
        </is>
      </c>
      <c r="J7384" s="10" t="inlineStr">
        <is>
          <t>Y tế / Chăm sóc sức khỏe / Thẩm mỹ / Làm đẹp, Dược phẩm/ Hóa Mỹ Phẩm, Tư vấn</t>
        </is>
      </c>
      <c r="K7384" s="10" t="inlineStr">
        <is>
          <t>2 - 3 Năm</t>
        </is>
      </c>
      <c r="L7384" s="11">
        <f>HYPERLINK("https://careerviet.vn/vi/tim-viec-lam/telesale-cham-soc-khach-hang-uu-tien-nhan-viec-ngay.35C6BDFB.html","Xem chi tiết")</f>
        <v/>
      </c>
      <c r="M7384" s="10" t="n"/>
    </row>
    <row r="7385">
      <c r="B7385" s="7" t="n">
        <v>7383</v>
      </c>
      <c r="C7385" t="inlineStr">
        <is>
          <t>NHÂN VIÊN KẾ TOÁN GIÁ THÀNH</t>
        </is>
      </c>
      <c r="D7385" t="inlineStr">
        <is>
          <t>CÔNG TY CỔ PHẦN CHẾ BIẾN THỰC PHẨM HOÀNG SƠN</t>
        </is>
      </c>
      <c r="E7385" t="inlineStr">
        <is>
          <t>Lương:Cạnh tranh</t>
        </is>
      </c>
      <c r="F7385" t="inlineStr">
        <is>
          <t>Bình Dương</t>
        </is>
      </c>
      <c r="G7385" t="inlineStr">
        <is>
          <t>15-04-2026</t>
        </is>
      </c>
      <c r="H7385" t="inlineStr">
        <is>
          <t>15/04/2026</t>
        </is>
      </c>
      <c r="I7385" t="inlineStr">
        <is>
          <t>17/03/2026</t>
        </is>
      </c>
      <c r="J7385" t="inlineStr">
        <is>
          <t>Tài chính / Đầu tư, Kế toán / Kiểm toán, Sản xuất / Vận hành sản xuất</t>
        </is>
      </c>
      <c r="K7385" t="inlineStr">
        <is>
          <t>2 - 3 Năm</t>
        </is>
      </c>
      <c r="L7385" s="8">
        <f>HYPERLINK("https://careerviet.vn/vi/tim-viec-lam/nhan-vien-ke-toan-gia-thanh.35C6BCB6.html","Xem chi tiết")</f>
        <v/>
      </c>
    </row>
    <row r="7386">
      <c r="B7386" s="9" t="n">
        <v>7384</v>
      </c>
      <c r="C7386" s="10" t="inlineStr">
        <is>
          <t>Nhân viên hồ sơ khối lượng QS</t>
        </is>
      </c>
      <c r="D7386" s="10" t="inlineStr">
        <is>
          <t>Tổng Công ty Cổ phần Công trình Viettel</t>
        </is>
      </c>
      <c r="E7386" s="10" t="inlineStr">
        <is>
          <t>Lương:15 Tr - 18 Tr VND</t>
        </is>
      </c>
      <c r="F7386" s="10" t="inlineStr">
        <is>
          <t>Hồ Chí Minh</t>
        </is>
      </c>
      <c r="G7386" s="10" t="inlineStr">
        <is>
          <t>30-03-2026</t>
        </is>
      </c>
      <c r="H7386" s="10" t="inlineStr">
        <is>
          <t>30/03/2026</t>
        </is>
      </c>
      <c r="I7386" s="10" t="inlineStr">
        <is>
          <t>17/03/2026</t>
        </is>
      </c>
      <c r="J7386" s="10" t="inlineStr">
        <is>
          <t>Kiến trúc, Xây dựng, Luật / Pháp lý</t>
        </is>
      </c>
      <c r="K7386" s="10" t="inlineStr">
        <is>
          <t>2 - 3 Năm</t>
        </is>
      </c>
      <c r="L7386" s="11">
        <f>HYPERLINK("https://careerviet.vn/vi/tim-viec-lam/nhan-vien-ho-so-khoi-luong-qs.35C6BA96.html","Xem chi tiết")</f>
        <v/>
      </c>
      <c r="M7386" s="10" t="n"/>
    </row>
    <row r="7387">
      <c r="B7387" s="7" t="n">
        <v>7385</v>
      </c>
      <c r="C7387" t="inlineStr">
        <is>
          <t>Nhân Viên Kinh Doanh Dự Án</t>
        </is>
      </c>
      <c r="D7387" t="inlineStr">
        <is>
          <t>CÔNG TY CỔ PHẦN CONSMATE TTP</t>
        </is>
      </c>
      <c r="E7387" t="inlineStr">
        <is>
          <t>Lương:12 Tr - 20 Tr VND</t>
        </is>
      </c>
      <c r="F7387" t="inlineStr">
        <is>
          <t>Hà Nội</t>
        </is>
      </c>
      <c r="G7387" t="inlineStr">
        <is>
          <t>15-04-2026</t>
        </is>
      </c>
      <c r="H7387" t="inlineStr">
        <is>
          <t>15/04/2026</t>
        </is>
      </c>
      <c r="I7387" t="inlineStr">
        <is>
          <t>17/03/2026</t>
        </is>
      </c>
      <c r="J7387" t="inlineStr">
        <is>
          <t>Xây dựng, Bán hàng / Kinh doanh, Điện / Điện tử / Điện lạnh / Điện công nghiệp</t>
        </is>
      </c>
      <c r="K7387" t="inlineStr">
        <is>
          <t>2 - 3 Năm</t>
        </is>
      </c>
      <c r="L7387" s="8">
        <f>HYPERLINK("https://careerviet.vn/vi/tim-viec-lam/nhan-vien-kinh-doanh-du-an.35C6BD9E.html","Xem chi tiết")</f>
        <v/>
      </c>
    </row>
    <row r="7388">
      <c r="B7388" s="9" t="n">
        <v>7386</v>
      </c>
      <c r="C7388" s="10" t="inlineStr">
        <is>
          <t>SMT Process Engineer</t>
        </is>
      </c>
      <c r="D7388" s="10" t="inlineStr">
        <is>
          <t>CÔNG TY TNHH DYNAMIC TEST SOLUTIONS VIỆT NAM</t>
        </is>
      </c>
      <c r="E7388" s="10" t="inlineStr">
        <is>
          <t>Lương:30 Tr - 42 Tr VND</t>
        </is>
      </c>
      <c r="F7388" s="10" t="inlineStr">
        <is>
          <t>Hồ Chí Minh</t>
        </is>
      </c>
      <c r="G7388" s="10" t="inlineStr">
        <is>
          <t>30-04-2026</t>
        </is>
      </c>
      <c r="H7388" s="10" t="inlineStr">
        <is>
          <t>30/04/2026</t>
        </is>
      </c>
      <c r="I7388" s="10" t="inlineStr">
        <is>
          <t>17/03/2026</t>
        </is>
      </c>
      <c r="J7388" s="10" t="inlineStr">
        <is>
          <t>Điện / Điện tử / Điện lạnh / Điện công nghiệp, Sản xuất / Vận hành sản xuất, Quản lý chất lượng (QA/QC)</t>
        </is>
      </c>
      <c r="K7388" s="10" t="inlineStr">
        <is>
          <t>3 - 5 Năm</t>
        </is>
      </c>
      <c r="L7388" s="11">
        <f>HYPERLINK("https://careerviet.vn/vi/tim-viec-lam/smt-process-engineer.35C6BB09.html","Xem chi tiết")</f>
        <v/>
      </c>
      <c r="M7388" s="10" t="n"/>
    </row>
    <row r="7389">
      <c r="B7389" s="7" t="n">
        <v>7387</v>
      </c>
      <c r="C7389" t="inlineStr">
        <is>
          <t>Nhân Viên Kiểm Soát Chất Lượng - KCN Long Hậu</t>
        </is>
      </c>
      <c r="D7389" t="inlineStr">
        <is>
          <t>Saint-Gobain Vietnam</t>
        </is>
      </c>
      <c r="E7389" t="inlineStr">
        <is>
          <t>Lương:8,5 Tr - 10 Tr VND</t>
        </is>
      </c>
      <c r="F7389" t="inlineStr">
        <is>
          <t>Long AnHồ Chí MinhTây Ninh</t>
        </is>
      </c>
      <c r="G7389" t="inlineStr">
        <is>
          <t>09-04-2026</t>
        </is>
      </c>
      <c r="H7389" t="inlineStr">
        <is>
          <t>09/04/2026</t>
        </is>
      </c>
      <c r="I7389" t="inlineStr">
        <is>
          <t>17/03/2026</t>
        </is>
      </c>
      <c r="J7389" t="inlineStr">
        <is>
          <t>Sản xuất / Vận hành sản xuất, Quản lý chất lượng (QA/QC)</t>
        </is>
      </c>
      <c r="K7389" t="inlineStr">
        <is>
          <t>1 - 5 Năm</t>
        </is>
      </c>
      <c r="L7389" s="8">
        <f>HYPERLINK("https://careerviet.vn/vi/tim-viec-lam/nhan-vien-kiem-soat-chat-luong-kcn-long-hau.35C6BE01.html","Xem chi tiết")</f>
        <v/>
      </c>
    </row>
    <row r="7390">
      <c r="B7390" s="9" t="n">
        <v>7388</v>
      </c>
      <c r="C7390" s="10" t="inlineStr">
        <is>
          <t>Nhân Viên Pháp Lý (Phụ Trách Hồ Sơ Visa)</t>
        </is>
      </c>
      <c r="D7390" s="10" t="inlineStr">
        <is>
          <t>Công ty TNHH Minh Long I</t>
        </is>
      </c>
      <c r="E7390" s="10" t="inlineStr">
        <is>
          <t>Lương:12 Tr - 15 Tr VND</t>
        </is>
      </c>
      <c r="F7390" s="10" t="inlineStr">
        <is>
          <t>Bình Dương</t>
        </is>
      </c>
      <c r="G7390" s="10" t="inlineStr">
        <is>
          <t>10-04-2026</t>
        </is>
      </c>
      <c r="H7390" s="10" t="inlineStr">
        <is>
          <t>10/04/2026</t>
        </is>
      </c>
      <c r="I7390" s="10" t="inlineStr">
        <is>
          <t>17/03/2026</t>
        </is>
      </c>
      <c r="J7390" s="10" t="inlineStr">
        <is>
          <t>Luật / Pháp lý</t>
        </is>
      </c>
      <c r="K7390" s="10" t="inlineStr">
        <is>
          <t>2 - 3 Năm</t>
        </is>
      </c>
      <c r="L7390" s="11">
        <f>HYPERLINK("https://careerviet.vn/vi/tim-viec-lam/nhan-vien-phap-ly-phu-trach-ho-so-visa.35C6BA98.html","Xem chi tiết")</f>
        <v/>
      </c>
      <c r="M7390" s="10" t="n"/>
    </row>
    <row r="7391">
      <c r="B7391" s="7" t="n">
        <v>7389</v>
      </c>
      <c r="C7391" t="inlineStr">
        <is>
          <t>NHÂN VIÊN HÀNH CHÍNH NHÂN SỰ - LỄ TÂN</t>
        </is>
      </c>
      <c r="D7391" t="inlineStr">
        <is>
          <t>SEAHORSE SHIPPING CORPORATION</t>
        </is>
      </c>
      <c r="E7391" t="inlineStr">
        <is>
          <t>Lương:10 Tr - 12 Tr VND</t>
        </is>
      </c>
      <c r="F7391" t="inlineStr">
        <is>
          <t>Hà Nội</t>
        </is>
      </c>
      <c r="G7391" t="inlineStr">
        <is>
          <t>15-04-2026</t>
        </is>
      </c>
      <c r="H7391" t="inlineStr">
        <is>
          <t>15/04/2026</t>
        </is>
      </c>
      <c r="I7391" t="inlineStr">
        <is>
          <t>17/03/2026</t>
        </is>
      </c>
      <c r="J7391" t="inlineStr">
        <is>
          <t>Nhân sự</t>
        </is>
      </c>
      <c r="K7391" t="inlineStr">
        <is>
          <t>1 - 2 Năm</t>
        </is>
      </c>
      <c r="L7391" s="8">
        <f>HYPERLINK("https://careerviet.vn/vi/tim-viec-lam/nhan-vien-hanh-chinh-nhan-su-le-tan.35C6BD0E.html","Xem chi tiết")</f>
        <v/>
      </c>
    </row>
    <row r="7392">
      <c r="B7392" s="9" t="n">
        <v>7390</v>
      </c>
      <c r="C7392" s="10" t="inlineStr">
        <is>
          <t>Nhân viên bảo trì cơ/ điện (Worker)</t>
        </is>
      </c>
      <c r="D7392" s="10" t="inlineStr">
        <is>
          <t>CÔNG TY TNHH SEAH M&amp;S VIỆT NAM</t>
        </is>
      </c>
      <c r="E7392" s="10" t="inlineStr">
        <is>
          <t>Lương:10 Tr - 12 Tr VND</t>
        </is>
      </c>
      <c r="F7392" s="10" t="inlineStr">
        <is>
          <t>Bà Rịa - Vũng TàuHồ Chí Minh</t>
        </is>
      </c>
      <c r="G7392" s="10" t="inlineStr">
        <is>
          <t>10-04-2026</t>
        </is>
      </c>
      <c r="H7392" s="10" t="inlineStr">
        <is>
          <t>10/04/2026</t>
        </is>
      </c>
      <c r="I7392" s="10" t="inlineStr">
        <is>
          <t>17/03/2026</t>
        </is>
      </c>
      <c r="J7392" s="10" t="inlineStr">
        <is>
          <t>Sản xuất / Vận hành sản xuất, Cơ khí / Ô tô / Tự động hóa, Điện / Điện tử / Điện lạnh / Điện công nghiệp</t>
        </is>
      </c>
      <c r="K7392" s="10" t="inlineStr">
        <is>
          <t>1 - 3 Năm</t>
        </is>
      </c>
      <c r="L7392" s="11">
        <f>HYPERLINK("https://careerviet.vn/vi/tim-viec-lam/nhan-vien-bao-tri-co-dien-worker.35C6BC48.html","Xem chi tiết")</f>
        <v/>
      </c>
      <c r="M7392" s="10" t="n"/>
    </row>
    <row r="7393">
      <c r="B7393" s="7" t="n">
        <v>7391</v>
      </c>
      <c r="C7393" t="inlineStr">
        <is>
          <t>Chuyên viên Kiểm soát nội bộ (CĐT Bất động sản, làm việc tại Hà Nội)</t>
        </is>
      </c>
      <c r="D7393" t="inlineStr">
        <is>
          <t>Công ty Cổ phần Tập đoàn KITA Group</t>
        </is>
      </c>
      <c r="E7393" t="inlineStr">
        <is>
          <t>Lương:23 Tr - 26 Tr VND</t>
        </is>
      </c>
      <c r="F7393" t="inlineStr">
        <is>
          <t>Hà Nội</t>
        </is>
      </c>
      <c r="G7393" t="inlineStr">
        <is>
          <t>30-04-2026</t>
        </is>
      </c>
      <c r="H7393" t="inlineStr">
        <is>
          <t>30/04/2026</t>
        </is>
      </c>
      <c r="I7393" t="inlineStr">
        <is>
          <t>17/03/2026</t>
        </is>
      </c>
      <c r="J7393" t="inlineStr">
        <is>
          <t>Kế toán / Kiểm toán, Tài chính / Đầu tư, Luật / Pháp lý</t>
        </is>
      </c>
      <c r="K7393" t="inlineStr">
        <is>
          <t>5 - 6 Năm</t>
        </is>
      </c>
      <c r="L7393" s="8">
        <f>HYPERLINK("https://careerviet.vn/vi/tim-viec-lam/chuyen-vien-kiem-soat-noi-bo-cdt-bat-dong-san-lam-viec-tai-ha-noi.35C6BCD8.html","Xem chi tiết")</f>
        <v/>
      </c>
    </row>
    <row r="7394">
      <c r="B7394" s="9" t="n">
        <v>7392</v>
      </c>
      <c r="C7394" s="10" t="inlineStr">
        <is>
          <t>[Hồ Chí Minh] Kế Toán Nội Bộ</t>
        </is>
      </c>
      <c r="D7394" s="10" t="inlineStr">
        <is>
          <t>Bảo mật</t>
        </is>
      </c>
      <c r="E7394" s="10" t="inlineStr">
        <is>
          <t>Lương:8 Tr - 11 Tr VND</t>
        </is>
      </c>
      <c r="F7394" s="10" t="inlineStr">
        <is>
          <t>Hồ Chí Minh</t>
        </is>
      </c>
      <c r="G7394" s="10" t="inlineStr">
        <is>
          <t>31-03-2026</t>
        </is>
      </c>
      <c r="H7394" s="10" t="inlineStr">
        <is>
          <t>31/03/2026</t>
        </is>
      </c>
      <c r="I7394" s="10" t="inlineStr">
        <is>
          <t>17/03/2026</t>
        </is>
      </c>
      <c r="J7394" s="10" t="inlineStr">
        <is>
          <t>Kế toán / Kiểm toán</t>
        </is>
      </c>
      <c r="K7394" s="10" t="inlineStr">
        <is>
          <t>Trên 1 Năm</t>
        </is>
      </c>
      <c r="L7394" s="11">
        <f>HYPERLINK("https://careerviet.vn/vi/tim-viec-lam/ho-chi-minh-ke-toan-noi-bo.35C6BB9D.html","Xem chi tiết")</f>
        <v/>
      </c>
      <c r="M7394" s="10" t="n"/>
    </row>
    <row r="7395">
      <c r="B7395" s="7" t="n">
        <v>7393</v>
      </c>
      <c r="C7395" t="inlineStr">
        <is>
          <t>Trưởng phòng Kinh Doanh Phần Mềm ERP (Thị trường Trung)</t>
        </is>
      </c>
      <c r="D7395" t="inlineStr">
        <is>
          <t>CÔNG TY CỔ PHẦN CÔNG NGHỆ FOXAI</t>
        </is>
      </c>
      <c r="E7395" t="inlineStr">
        <is>
          <t>Lương:25 Tr - 45 Tr VND</t>
        </is>
      </c>
      <c r="F7395" t="inlineStr">
        <is>
          <t>Hà Nội</t>
        </is>
      </c>
      <c r="G7395" t="inlineStr">
        <is>
          <t>10-04-2026</t>
        </is>
      </c>
      <c r="H7395" t="inlineStr">
        <is>
          <t>10/04/2026</t>
        </is>
      </c>
      <c r="I7395" t="inlineStr">
        <is>
          <t>17/03/2026</t>
        </is>
      </c>
      <c r="J7395" t="inlineStr">
        <is>
          <t>Bán hàng / Kinh doanh, CNTT - Phần mềm, Bán Hàng Kỹ Thuật</t>
        </is>
      </c>
      <c r="K7395" t="inlineStr">
        <is>
          <t>Trên 3 Năm</t>
        </is>
      </c>
      <c r="L7395" s="8">
        <f>HYPERLINK("https://careerviet.vn/vi/tim-viec-lam/truong-phong-kinh-doanh-phan-mem-erp-thi-truong-trung.35C6BC94.html","Xem chi tiết")</f>
        <v/>
      </c>
    </row>
    <row r="7396">
      <c r="B7396" s="9" t="n">
        <v>7394</v>
      </c>
      <c r="C7396" s="10" t="inlineStr">
        <is>
          <t>Chuyên viên Quản trị nhãn hiệu/Brand Manager</t>
        </is>
      </c>
      <c r="D7396" s="10" t="inlineStr">
        <is>
          <t>Tổng công ty Cổ phần Bia - Rượu - Nước giải khát Hà Nội (HABECO - Bia Hà Nội)</t>
        </is>
      </c>
      <c r="E7396" s="10" t="inlineStr">
        <is>
          <t>Lương:13 Tr - 25 Tr VND</t>
        </is>
      </c>
      <c r="F7396" s="10" t="inlineStr">
        <is>
          <t>Hà Nội</t>
        </is>
      </c>
      <c r="G7396" s="10" t="inlineStr">
        <is>
          <t>07-04-2026</t>
        </is>
      </c>
      <c r="H7396" s="10" t="inlineStr">
        <is>
          <t>07/04/2026</t>
        </is>
      </c>
      <c r="I7396" s="10" t="inlineStr">
        <is>
          <t>17/03/2026</t>
        </is>
      </c>
      <c r="J7396" s="10" t="inlineStr">
        <is>
          <t>Tiếp thị / Marketing, Quảng cáo / Đối ngoại / Truyền Thông, Tổ chức sự kiện</t>
        </is>
      </c>
      <c r="K7396" s="10" t="inlineStr">
        <is>
          <t>1 - 5 Năm</t>
        </is>
      </c>
      <c r="L7396" s="11">
        <f>HYPERLINK("https://careerviet.vn/vi/tim-viec-lam/chuyen-vien-quan-tri-nhan-hieu-brand-manager.35C6BA8F.html","Xem chi tiết")</f>
        <v/>
      </c>
      <c r="M7396" s="10" t="n"/>
    </row>
    <row r="7397">
      <c r="B7397" s="7" t="n">
        <v>7395</v>
      </c>
      <c r="C7397" t="inlineStr">
        <is>
          <t>Kế Toán Doanh thu</t>
        </is>
      </c>
      <c r="D7397" t="inlineStr">
        <is>
          <t>CÔNG TY TNHH TENTAMUS VIỆT NAM</t>
        </is>
      </c>
      <c r="E7397" t="inlineStr">
        <is>
          <t>Lương:Cạnh tranh</t>
        </is>
      </c>
      <c r="F7397" t="inlineStr">
        <is>
          <t>Cần ThơHồ Chí Minh</t>
        </is>
      </c>
      <c r="G7397" t="inlineStr">
        <is>
          <t>10-04-2026</t>
        </is>
      </c>
      <c r="H7397" t="inlineStr">
        <is>
          <t>10/04/2026</t>
        </is>
      </c>
      <c r="I7397" t="inlineStr">
        <is>
          <t>17/03/2026</t>
        </is>
      </c>
      <c r="J7397" t="inlineStr">
        <is>
          <t>Kế toán / Kiểm toán, Tài chính / Đầu tư</t>
        </is>
      </c>
      <c r="K7397" t="inlineStr">
        <is>
          <t>Lên đến 1 Năm</t>
        </is>
      </c>
      <c r="L7397" s="8">
        <f>HYPERLINK("https://careerviet.vn/vi/tim-viec-lam/ke-toan-doanh-thu.35C6BCBF.html","Xem chi tiết")</f>
        <v/>
      </c>
    </row>
    <row r="7398">
      <c r="B7398" s="9" t="n">
        <v>7396</v>
      </c>
      <c r="C7398" s="10" t="inlineStr">
        <is>
          <t>Kế Toán Thanh Toán &amp; Công Nợ Xây Dựng</t>
        </is>
      </c>
      <c r="D7398" s="10" t="inlineStr">
        <is>
          <t>Huy Thuoc Construction Ltd.,</t>
        </is>
      </c>
      <c r="E7398" s="10" t="inlineStr">
        <is>
          <t>Lương:12 Tr - 18 Tr VND</t>
        </is>
      </c>
      <c r="F7398" s="10" t="inlineStr">
        <is>
          <t>Hồ Chí Minh</t>
        </is>
      </c>
      <c r="G7398" s="10" t="inlineStr">
        <is>
          <t>09-04-2026</t>
        </is>
      </c>
      <c r="H7398" s="10" t="inlineStr">
        <is>
          <t>09/04/2026</t>
        </is>
      </c>
      <c r="I7398" s="10" t="inlineStr">
        <is>
          <t>17/03/2026</t>
        </is>
      </c>
      <c r="J7398" s="10" t="inlineStr">
        <is>
          <t>Kế toán / Kiểm toán, Tài chính / Đầu tư, Ngân hàng</t>
        </is>
      </c>
      <c r="K7398" s="10" t="inlineStr">
        <is>
          <t>2 - 3 Năm</t>
        </is>
      </c>
      <c r="L7398" s="11">
        <f>HYPERLINK("https://careerviet.vn/vi/tim-viec-lam/ke-toan-thanh-toan-cong-no-xay-dung.35C6BB95.html","Xem chi tiết")</f>
        <v/>
      </c>
      <c r="M7398" s="10" t="n"/>
    </row>
    <row r="7399">
      <c r="B7399" s="7" t="n">
        <v>7397</v>
      </c>
      <c r="C7399" t="inlineStr">
        <is>
          <t>[Hà Nội] Nhân viên kế toán</t>
        </is>
      </c>
      <c r="D7399" t="inlineStr">
        <is>
          <t>Tập Đoàn Tân Á Đại Thành</t>
        </is>
      </c>
      <c r="E7399" t="inlineStr">
        <is>
          <t>Lương:10 Tr - 12 Tr VND</t>
        </is>
      </c>
      <c r="F7399" t="inlineStr">
        <is>
          <t>Hà Nội</t>
        </is>
      </c>
      <c r="G7399" t="inlineStr">
        <is>
          <t>31-03-2026</t>
        </is>
      </c>
      <c r="H7399" t="inlineStr">
        <is>
          <t>31/03/2026</t>
        </is>
      </c>
      <c r="I7399" t="inlineStr">
        <is>
          <t>17/03/2026</t>
        </is>
      </c>
      <c r="J7399" t="inlineStr">
        <is>
          <t>Kế toán / Kiểm toán</t>
        </is>
      </c>
      <c r="K7399" t="inlineStr">
        <is>
          <t>1 - 3 Năm</t>
        </is>
      </c>
      <c r="L7399" s="8">
        <f>HYPERLINK("https://careerviet.vn/vi/tim-viec-lam/ha-noi-nhan-vien-ke-toan.35C6A7CC.html","Xem chi tiết")</f>
        <v/>
      </c>
    </row>
    <row r="7400">
      <c r="B7400" s="9" t="n">
        <v>7398</v>
      </c>
      <c r="C7400" s="10" t="inlineStr">
        <is>
          <t>Lab Team Leader (SLL-Colourfastness)</t>
        </is>
      </c>
      <c r="D7400" s="10" t="inlineStr">
        <is>
          <t>Cty SGS Việt Nam TNHH</t>
        </is>
      </c>
      <c r="E7400" s="10" t="inlineStr">
        <is>
          <t>Lương:Cạnh tranh</t>
        </is>
      </c>
      <c r="F7400" s="10" t="inlineStr">
        <is>
          <t>Hồ Chí Minh</t>
        </is>
      </c>
      <c r="G7400" s="10" t="inlineStr">
        <is>
          <t>30-03-2026</t>
        </is>
      </c>
      <c r="H7400" s="10" t="inlineStr">
        <is>
          <t>30/03/2026</t>
        </is>
      </c>
      <c r="I7400" s="10" t="inlineStr">
        <is>
          <t>17/03/2026</t>
        </is>
      </c>
      <c r="J7400" s="10" t="inlineStr">
        <is>
          <t>Dệt may / Da giày / Thời trang, Hóa học, Quản lý chất lượng (QA/QC)</t>
        </is>
      </c>
      <c r="K7400" s="10" t="inlineStr">
        <is>
          <t>Chưa có kinh nghiệm</t>
        </is>
      </c>
      <c r="L7400" s="11">
        <f>HYPERLINK("https://careerviet.vn/vi/tim-viec-lam/lab-team-leader-sll-colourfastness.35C6A97C.html","Xem chi tiết")</f>
        <v/>
      </c>
      <c r="M7400" s="10" t="n"/>
    </row>
    <row r="7401">
      <c r="B7401" s="7" t="n">
        <v>7399</v>
      </c>
      <c r="C7401" t="inlineStr">
        <is>
          <t>CHUYÊN VIÊN TƯ VẤN GIÁO DỤC (OCEAN EDU PLEIKU) - THU NHẬP HẤP DẪN TỪ 15 TRIỆU/THÁNG</t>
        </is>
      </c>
      <c r="D7401" t="inlineStr">
        <is>
          <t>Công Ty CP Giáo Dục Đại Dương</t>
        </is>
      </c>
      <c r="E7401" t="inlineStr">
        <is>
          <t>Lương:Cạnh tranh</t>
        </is>
      </c>
      <c r="F7401" t="inlineStr">
        <is>
          <t>Gia Lai</t>
        </is>
      </c>
      <c r="G7401" t="inlineStr">
        <is>
          <t>02-04-2026</t>
        </is>
      </c>
      <c r="H7401" t="inlineStr">
        <is>
          <t>02/04/2026</t>
        </is>
      </c>
      <c r="I7401" t="inlineStr">
        <is>
          <t>17/03/2026</t>
        </is>
      </c>
      <c r="J7401" t="inlineStr">
        <is>
          <t>Dịch vụ khách hàng, Giáo dục / Đào tạo, Bán hàng / Kinh doanh</t>
        </is>
      </c>
      <c r="K7401" t="inlineStr">
        <is>
          <t>Lên đến 1 Năm</t>
        </is>
      </c>
      <c r="L7401" s="8">
        <f>HYPERLINK("https://careerviet.vn/vi/tim-viec-lam/chuyen-vien-tu-van-giao-duc-ocean-edu-pleiku-thu-nhap-hap-dan-tu-15-trieu-thang.35C6AA5D.html","Xem chi tiết")</f>
        <v/>
      </c>
    </row>
    <row r="7402">
      <c r="B7402" s="9" t="n">
        <v>7400</v>
      </c>
      <c r="C7402" s="10" t="inlineStr">
        <is>
          <t>Site engineer</t>
        </is>
      </c>
      <c r="D7402" s="10" t="inlineStr">
        <is>
          <t>Công ty TNHH Phát triển Phú Mỹ Hưng</t>
        </is>
      </c>
      <c r="E7402" s="10" t="inlineStr">
        <is>
          <t>Lương:Cạnh tranh</t>
        </is>
      </c>
      <c r="F7402" s="10" t="inlineStr">
        <is>
          <t>Hồ Chí MinhHà NộiBắc Ninh</t>
        </is>
      </c>
      <c r="G7402" s="10" t="inlineStr">
        <is>
          <t>31-03-2026</t>
        </is>
      </c>
      <c r="H7402" s="10" t="inlineStr">
        <is>
          <t>31/03/2026</t>
        </is>
      </c>
      <c r="I7402" s="10" t="inlineStr">
        <is>
          <t>17/03/2026</t>
        </is>
      </c>
      <c r="J7402" s="10" t="inlineStr">
        <is>
          <t>Xây dựng</t>
        </is>
      </c>
      <c r="K7402" s="10" t="inlineStr">
        <is>
          <t>2 - 3 Năm</t>
        </is>
      </c>
      <c r="L7402" s="11">
        <f>HYPERLINK("https://careerviet.vn/vi/tim-viec-lam/site-engineer.35C6BBDE.html","Xem chi tiết")</f>
        <v/>
      </c>
      <c r="M7402" s="10" t="n"/>
    </row>
    <row r="7403">
      <c r="B7403" s="7" t="n">
        <v>7401</v>
      </c>
      <c r="C7403" t="inlineStr">
        <is>
          <t>Bảo Mẫu Mầm Non (BRIS Tân Bình)</t>
        </is>
      </c>
      <c r="D7403" t="inlineStr">
        <is>
          <t>TRƯỜNG QUỐC TẾ BLUE RIDGE / BLUE RIDGE INTERNATIONAL SCHOOL (BRIS)</t>
        </is>
      </c>
      <c r="E7403" t="inlineStr">
        <is>
          <t>Lương:7 Tr - 8 Tr VND</t>
        </is>
      </c>
      <c r="F7403" t="inlineStr">
        <is>
          <t>Hồ Chí Minh</t>
        </is>
      </c>
      <c r="G7403" t="inlineStr">
        <is>
          <t>06-04-2026</t>
        </is>
      </c>
      <c r="H7403" t="inlineStr">
        <is>
          <t>06/04/2026</t>
        </is>
      </c>
      <c r="I7403" t="inlineStr">
        <is>
          <t>17/03/2026</t>
        </is>
      </c>
      <c r="J7403" t="inlineStr">
        <is>
          <t>Giáo dục / Đào tạo</t>
        </is>
      </c>
      <c r="K7403" t="inlineStr">
        <is>
          <t>1 - 2 Năm</t>
        </is>
      </c>
      <c r="L7403" s="8">
        <f>HYPERLINK("https://careerviet.vn/vi/tim-viec-lam/bao-mau-mam-non-bris-tan-binh.35C6BACE.html","Xem chi tiết")</f>
        <v/>
      </c>
    </row>
    <row r="7404">
      <c r="B7404" s="9" t="n">
        <v>7402</v>
      </c>
      <c r="C7404" s="10" t="inlineStr">
        <is>
          <t>Trưởng Ban quản lý dự án (Bãi Lữ, Nghệ An)</t>
        </is>
      </c>
      <c r="D7404" s="10" t="inlineStr">
        <is>
          <t>Tập Đoàn Tân Á Đại Thành</t>
        </is>
      </c>
      <c r="E7404" s="10" t="inlineStr">
        <is>
          <t>Lương:Cạnh tranh</t>
        </is>
      </c>
      <c r="F7404" s="10" t="inlineStr">
        <is>
          <t>Nghệ AnHà Nội</t>
        </is>
      </c>
      <c r="G7404" s="10" t="inlineStr">
        <is>
          <t>03-04-2026</t>
        </is>
      </c>
      <c r="H7404" s="10" t="inlineStr">
        <is>
          <t>03/04/2026</t>
        </is>
      </c>
      <c r="I7404" s="10" t="inlineStr">
        <is>
          <t>17/03/2026</t>
        </is>
      </c>
      <c r="J7404" s="10" t="inlineStr">
        <is>
          <t>Kiến trúc, Xây dựng, Bất động sản</t>
        </is>
      </c>
      <c r="K7404" s="10" t="inlineStr">
        <is>
          <t>8 - 10 Năm</t>
        </is>
      </c>
      <c r="L7404" s="11">
        <f>HYPERLINK("https://careerviet.vn/vi/tim-viec-lam/truong-ban-quan-ly-du-an-bai-lu-nghe-an.35C6A743.html","Xem chi tiết")</f>
        <v/>
      </c>
      <c r="M7404" s="10" t="n"/>
    </row>
    <row r="7405">
      <c r="B7405" s="7" t="n">
        <v>7403</v>
      </c>
      <c r="C7405" t="inlineStr">
        <is>
          <t>CHUYÊN VIÊN TƯ VẤN GIÁO DỤC (OCEAN EDU BẮC NINH) - THU NHẬP HẤP DẪN TỪ 15 TRIỆU/THÁNG</t>
        </is>
      </c>
      <c r="D7405" t="inlineStr">
        <is>
          <t>Công Ty CP Giáo Dục Đại Dương</t>
        </is>
      </c>
      <c r="E7405" t="inlineStr">
        <is>
          <t>Lương:Cạnh tranh</t>
        </is>
      </c>
      <c r="F7405" t="inlineStr">
        <is>
          <t>Bắc Ninh</t>
        </is>
      </c>
      <c r="G7405" t="inlineStr">
        <is>
          <t>02-04-2026</t>
        </is>
      </c>
      <c r="H7405" t="inlineStr">
        <is>
          <t>02/04/2026</t>
        </is>
      </c>
      <c r="I7405" t="inlineStr">
        <is>
          <t>17/03/2026</t>
        </is>
      </c>
      <c r="J7405" t="inlineStr">
        <is>
          <t>Dịch vụ khách hàng, Giáo dục / Đào tạo, Bán hàng / Kinh doanh</t>
        </is>
      </c>
      <c r="K7405" t="inlineStr">
        <is>
          <t>Lên đến 1 Năm</t>
        </is>
      </c>
      <c r="L7405" s="8">
        <f>HYPERLINK("https://careerviet.vn/vi/tim-viec-lam/chuyen-vien-tu-van-giao-duc-ocean-edu-bac-ninh-thu-nhap-hap-dan-tu-15-trieu-thang.35C6AA75.html","Xem chi tiết")</f>
        <v/>
      </c>
    </row>
    <row r="7406">
      <c r="B7406" s="9" t="n">
        <v>7404</v>
      </c>
      <c r="C7406" s="10" t="inlineStr">
        <is>
          <t>HỌA VIÊN KẾT CẤU - Structural Drafman</t>
        </is>
      </c>
      <c r="D7406" s="10" t="inlineStr">
        <is>
          <t>Công Ty TNHH Enspan (Việt Nam)</t>
        </is>
      </c>
      <c r="E7406" s="10" t="inlineStr">
        <is>
          <t>Lương:Cạnh tranh</t>
        </is>
      </c>
      <c r="F7406" s="10" t="inlineStr">
        <is>
          <t>Hồ Chí Minh</t>
        </is>
      </c>
      <c r="G7406" s="10" t="inlineStr">
        <is>
          <t>30-04-2026</t>
        </is>
      </c>
      <c r="H7406" s="10" t="inlineStr">
        <is>
          <t>30/04/2026</t>
        </is>
      </c>
      <c r="I7406" s="10" t="inlineStr">
        <is>
          <t>17/03/2026</t>
        </is>
      </c>
      <c r="J7406" s="10" t="inlineStr">
        <is>
          <t>Xây dựng, Kiến trúc, Mới tốt nghiệp / Thực tập</t>
        </is>
      </c>
      <c r="K7406" s="10" t="inlineStr">
        <is>
          <t>N/A</t>
        </is>
      </c>
      <c r="L7406" s="11">
        <f>HYPERLINK("https://careerviet.vn/vi/tim-viec-lam/hoa-vien-ket-cau-structural-drafman.35C6BC47.html","Xem chi tiết")</f>
        <v/>
      </c>
      <c r="M7406" s="10" t="n"/>
    </row>
    <row r="7407">
      <c r="B7407" s="7" t="n">
        <v>7405</v>
      </c>
      <c r="C7407" t="inlineStr">
        <is>
          <t>Trưởng Nhóm Phục Vụ Nhà Hàng (Thành Thạo Tiếng Hoa)</t>
        </is>
      </c>
      <c r="D7407" t="inlineStr">
        <is>
          <t>Công ty TNHH sân golf Palm Sông Bé</t>
        </is>
      </c>
      <c r="E7407" t="inlineStr">
        <is>
          <t>Lương:Cạnh tranh</t>
        </is>
      </c>
      <c r="F7407" t="inlineStr">
        <is>
          <t>Hồ Chí Minh</t>
        </is>
      </c>
      <c r="G7407" t="inlineStr">
        <is>
          <t>09-04-2026</t>
        </is>
      </c>
      <c r="H7407" t="inlineStr">
        <is>
          <t>09/04/2026</t>
        </is>
      </c>
      <c r="I7407" t="inlineStr">
        <is>
          <t>17/03/2026</t>
        </is>
      </c>
      <c r="J7407" t="inlineStr">
        <is>
          <t>Nhà hàng / Khách sạn, Quản lý điều hành, Thực phẩm &amp; Đồ uống</t>
        </is>
      </c>
      <c r="K7407" t="inlineStr">
        <is>
          <t>N/A</t>
        </is>
      </c>
      <c r="L7407" s="8">
        <f>HYPERLINK("https://careerviet.vn/vi/tim-viec-lam/truong-nhom-phuc-vu-nha-hang-thanh-thao-tieng-hoa.35C6BC55.html","Xem chi tiết")</f>
        <v/>
      </c>
    </row>
    <row r="7408">
      <c r="B7408" s="9" t="n">
        <v>7406</v>
      </c>
      <c r="C7408" s="10" t="inlineStr">
        <is>
          <t>Giáo Viên Chủ Nhiệm (Ocean Edu Mê Linh) - Trúng Tuyển Đi Làm Luôn</t>
        </is>
      </c>
      <c r="D7408" s="10" t="inlineStr">
        <is>
          <t>Công Ty CP Giáo Dục Đại Dương</t>
        </is>
      </c>
      <c r="E7408" s="10" t="inlineStr">
        <is>
          <t>Lương:Cạnh tranh</t>
        </is>
      </c>
      <c r="F7408" s="10" t="inlineStr">
        <is>
          <t>Hà Nội</t>
        </is>
      </c>
      <c r="G7408" s="10" t="inlineStr">
        <is>
          <t>02-04-2026</t>
        </is>
      </c>
      <c r="H7408" s="10" t="inlineStr">
        <is>
          <t>02/04/2026</t>
        </is>
      </c>
      <c r="I7408" s="10" t="inlineStr">
        <is>
          <t>17/03/2026</t>
        </is>
      </c>
      <c r="J7408" s="10" t="inlineStr">
        <is>
          <t>Giáo dục / Đào tạo, Bán hàng / Kinh doanh, Biên phiên dịch</t>
        </is>
      </c>
      <c r="K7408" s="10" t="inlineStr">
        <is>
          <t>Trên 1 Năm</t>
        </is>
      </c>
      <c r="L7408" s="11">
        <f>HYPERLINK("https://careerviet.vn/vi/tim-viec-lam/giao-vien-chu-nhiem-ocean-edu-me-linh-trung-tuyen-di-lam-luon.35C6A7C0.html","Xem chi tiết")</f>
        <v/>
      </c>
      <c r="M7408" s="10" t="n"/>
    </row>
    <row r="7409">
      <c r="B7409" s="7" t="n">
        <v>7407</v>
      </c>
      <c r="C7409" t="inlineStr">
        <is>
          <t>Giáo Viên Chủ Nhiệm (Ocean Edu Nghi Lộc) - Trúng Tuyển Đi Làm Luôn</t>
        </is>
      </c>
      <c r="D7409" t="inlineStr">
        <is>
          <t>Công Ty CP Giáo Dục Đại Dương</t>
        </is>
      </c>
      <c r="E7409" t="inlineStr">
        <is>
          <t>Lương:Cạnh tranh</t>
        </is>
      </c>
      <c r="F7409" t="inlineStr">
        <is>
          <t>Nghệ An</t>
        </is>
      </c>
      <c r="G7409" t="inlineStr">
        <is>
          <t>02-04-2026</t>
        </is>
      </c>
      <c r="H7409" t="inlineStr">
        <is>
          <t>02/04/2026</t>
        </is>
      </c>
      <c r="I7409" t="inlineStr">
        <is>
          <t>17/03/2026</t>
        </is>
      </c>
      <c r="J7409" t="inlineStr">
        <is>
          <t>Giáo dục / Đào tạo, Bán hàng / Kinh doanh, Biên phiên dịch</t>
        </is>
      </c>
      <c r="K7409" t="inlineStr">
        <is>
          <t>Trên 1 Năm</t>
        </is>
      </c>
      <c r="L7409" s="8">
        <f>HYPERLINK("https://careerviet.vn/vi/tim-viec-lam/giao-vien-chu-nhiem-ocean-edu-nghi-loc-trung-tuyen-di-lam-luon.35C6A99E.html","Xem chi tiết")</f>
        <v/>
      </c>
    </row>
    <row r="7410">
      <c r="B7410" s="9" t="n">
        <v>7408</v>
      </c>
      <c r="C7410" s="10" t="inlineStr">
        <is>
          <t>Nhân viên Bán hàng Thời trang- Nguyễn Ảnh Thủ</t>
        </is>
      </c>
      <c r="D7410" s="10" t="inlineStr">
        <is>
          <t>CT CP Tập Đoàn Thái Tuấn</t>
        </is>
      </c>
      <c r="E7410" s="10" t="inlineStr">
        <is>
          <t>Lương:7 Tr - 12 Tr VND</t>
        </is>
      </c>
      <c r="F7410" s="10" t="inlineStr">
        <is>
          <t>Hồ Chí Minh</t>
        </is>
      </c>
      <c r="G7410" s="10" t="inlineStr">
        <is>
          <t>02-04-2026</t>
        </is>
      </c>
      <c r="H7410" s="10" t="inlineStr">
        <is>
          <t>02/04/2026</t>
        </is>
      </c>
      <c r="I7410" s="10" t="inlineStr">
        <is>
          <t>17/03/2026</t>
        </is>
      </c>
      <c r="J7410" s="10" t="inlineStr">
        <is>
          <t>Bán lẻ / Bán sỉ, Bán hàng / Kinh doanh, Dệt may / Da giày / Thời trang</t>
        </is>
      </c>
      <c r="K7410" s="10" t="inlineStr">
        <is>
          <t>1 - 2 Năm</t>
        </is>
      </c>
      <c r="L7410" s="11">
        <f>HYPERLINK("https://careerviet.vn/vi/tim-viec-lam/nhan-vien-ban-hang-thoi-trang-nguyen-anh-thu.35C6A7E6.html","Xem chi tiết")</f>
        <v/>
      </c>
      <c r="M7410" s="10" t="n"/>
    </row>
    <row r="7411">
      <c r="B7411" s="7" t="n">
        <v>7409</v>
      </c>
      <c r="C7411" t="inlineStr">
        <is>
          <t>Nhân viên bảo lãnh bảo hiểm</t>
        </is>
      </c>
      <c r="D7411" t="inlineStr">
        <is>
          <t>CÔNG TY TNHH ĐẦU TƯ Y TẾ QUỐC TẾ DND – SÀI GÒN</t>
        </is>
      </c>
      <c r="E7411" t="inlineStr">
        <is>
          <t>Lương:10 Tr - 15 Tr VND</t>
        </is>
      </c>
      <c r="F7411" t="inlineStr">
        <is>
          <t>Hà Nội</t>
        </is>
      </c>
      <c r="G7411" t="inlineStr">
        <is>
          <t>25-03-2026</t>
        </is>
      </c>
      <c r="H7411" t="inlineStr">
        <is>
          <t>25/03/2026</t>
        </is>
      </c>
      <c r="I7411" t="inlineStr">
        <is>
          <t>17/03/2026</t>
        </is>
      </c>
      <c r="J7411" t="inlineStr">
        <is>
          <t>Y tế / Chăm sóc sức khỏe / Thẩm mỹ / Làm đẹp, Tư vấn, Bảo hiểm</t>
        </is>
      </c>
      <c r="K7411" t="inlineStr">
        <is>
          <t>N/A</t>
        </is>
      </c>
      <c r="L7411" s="8">
        <f>HYPERLINK("https://careerviet.vn/vi/tim-viec-lam/nhan-vien-bao-lanh-bao-hiem.35C6AA80.html","Xem chi tiết")</f>
        <v/>
      </c>
    </row>
    <row r="7412">
      <c r="B7412" s="9" t="n">
        <v>7410</v>
      </c>
      <c r="C7412" s="10" t="inlineStr">
        <is>
          <t>CHUYÊN VIÊN KHÁCH HÀNG CÁ NHÂN - CHI NHÁNH KON TUM - KHU VỰC MIỀN TRUNG &amp; TÂY NGUYÊN</t>
        </is>
      </c>
      <c r="D7412" s="10" t="inlineStr">
        <is>
          <t>NGÂN HÀNG TMCP SÀI GÒN THƯƠNG TÍN (SACOMBANK)</t>
        </is>
      </c>
      <c r="E7412" s="10" t="inlineStr">
        <is>
          <t>Lương:Cạnh tranh</t>
        </is>
      </c>
      <c r="F7412" s="10" t="inlineStr">
        <is>
          <t>Kon Tum</t>
        </is>
      </c>
      <c r="G7412" s="10" t="inlineStr">
        <is>
          <t>28-03-2026</t>
        </is>
      </c>
      <c r="H7412" s="10" t="inlineStr">
        <is>
          <t>28/03/2026</t>
        </is>
      </c>
      <c r="I7412" s="10" t="inlineStr">
        <is>
          <t>17/03/2026</t>
        </is>
      </c>
      <c r="J7412" s="10" t="inlineStr">
        <is>
          <t>Ngân hàng, Bảo hiểm, Tài chính / Đầu tư</t>
        </is>
      </c>
      <c r="K7412" s="10" t="inlineStr">
        <is>
          <t>N/A</t>
        </is>
      </c>
      <c r="L7412" s="11">
        <f>HYPERLINK("https://careerviet.vn/vi/tim-viec-lam/chuyen-vien-khach-hang-ca-nhan-chi-nhanh-kon-tum-khu-vuc-mien-trung-tay-nguyen.35C6A2F9.html","Xem chi tiết")</f>
        <v/>
      </c>
      <c r="M7412" s="10" t="n"/>
    </row>
    <row r="7413">
      <c r="B7413" s="7" t="n">
        <v>7411</v>
      </c>
      <c r="C7413" t="inlineStr">
        <is>
          <t>[Đắk Lắk - Gia Lai] BÁC SĨ KHÁM SÀNG LỌC</t>
        </is>
      </c>
      <c r="D7413" t="inlineStr">
        <is>
          <t>Công Ty Cổ Phần Vacxin Việt Nam</t>
        </is>
      </c>
      <c r="E7413" t="inlineStr">
        <is>
          <t>Lương:Cạnh tranh</t>
        </is>
      </c>
      <c r="F7413" t="inlineStr">
        <is>
          <t>Dak LakGia Lai</t>
        </is>
      </c>
      <c r="G7413" t="inlineStr">
        <is>
          <t>31-03-2026</t>
        </is>
      </c>
      <c r="H7413" t="inlineStr">
        <is>
          <t>31/03/2026</t>
        </is>
      </c>
      <c r="I7413" t="inlineStr">
        <is>
          <t>17/03/2026</t>
        </is>
      </c>
      <c r="J7413" t="inlineStr">
        <is>
          <t>Dược phẩm/ Hóa Mỹ Phẩm, Y tế / Chăm sóc sức khỏe / Thẩm mỹ / Làm đẹp, Dịch vụ khách hàng</t>
        </is>
      </c>
      <c r="K7413" t="inlineStr">
        <is>
          <t>1 - 2 Năm</t>
        </is>
      </c>
      <c r="L7413" s="8">
        <f>HYPERLINK("https://careerviet.vn/vi/tim-viec-lam/dak-lak-gia-lai-bac-si-kham-sang-loc.35C6A8F6.html","Xem chi tiết")</f>
        <v/>
      </c>
    </row>
    <row r="7414">
      <c r="B7414" s="9" t="n">
        <v>7412</v>
      </c>
      <c r="C7414" s="10" t="inlineStr">
        <is>
          <t>CHUYÊN VIÊN TƯ VẤN GIÁO DỤC (OCEAN EDU PHÙ ĐỔNG) - THU NHẬP HẤP DẪN TỪ 15 TRIỆU/THÁNG</t>
        </is>
      </c>
      <c r="D7414" s="10" t="inlineStr">
        <is>
          <t>Công Ty CP Giáo Dục Đại Dương</t>
        </is>
      </c>
      <c r="E7414" s="10" t="inlineStr">
        <is>
          <t>Lương:Cạnh tranh</t>
        </is>
      </c>
      <c r="F7414" s="10" t="inlineStr">
        <is>
          <t>Hà Nội</t>
        </is>
      </c>
      <c r="G7414" s="10" t="inlineStr">
        <is>
          <t>02-04-2026</t>
        </is>
      </c>
      <c r="H7414" s="10" t="inlineStr">
        <is>
          <t>02/04/2026</t>
        </is>
      </c>
      <c r="I7414" s="10" t="inlineStr">
        <is>
          <t>17/03/2026</t>
        </is>
      </c>
      <c r="J7414" s="10" t="inlineStr">
        <is>
          <t>Dịch vụ khách hàng, Giáo dục / Đào tạo, Bán hàng / Kinh doanh</t>
        </is>
      </c>
      <c r="K7414" s="10" t="inlineStr">
        <is>
          <t>Lên đến 1 Năm</t>
        </is>
      </c>
      <c r="L7414" s="11">
        <f>HYPERLINK("https://careerviet.vn/vi/tim-viec-lam/chuyen-vien-tu-van-giao-duc-ocean-edu-phu-dong-thu-nhap-hap-dan-tu-15-trieu-thang.35C6AA11.html","Xem chi tiết")</f>
        <v/>
      </c>
      <c r="M7414" s="10" t="n"/>
    </row>
    <row r="7415">
      <c r="B7415" s="7" t="n">
        <v>7413</v>
      </c>
      <c r="C7415" t="inlineStr">
        <is>
          <t>CHUYÊN VIÊN KHÁCH HÀNG CÁ NHÂN - CHI NHÁNH HUẾ - KHU VỰC MIỀN TRUNG &amp; TÂY NGUYÊN</t>
        </is>
      </c>
      <c r="D7415" t="inlineStr">
        <is>
          <t>NGÂN HÀNG TMCP SÀI GÒN THƯƠNG TÍN (SACOMBANK)</t>
        </is>
      </c>
      <c r="E7415" t="inlineStr">
        <is>
          <t>Lương:Cạnh tranh</t>
        </is>
      </c>
      <c r="F7415" t="inlineStr">
        <is>
          <t>Thừa Thiên- Huế</t>
        </is>
      </c>
      <c r="G7415" t="inlineStr">
        <is>
          <t>28-03-2026</t>
        </is>
      </c>
      <c r="H7415" t="inlineStr">
        <is>
          <t>28/03/2026</t>
        </is>
      </c>
      <c r="I7415" t="inlineStr">
        <is>
          <t>17/03/2026</t>
        </is>
      </c>
      <c r="J7415" t="inlineStr">
        <is>
          <t>Ngân hàng, Bảo hiểm, Tài chính / Đầu tư</t>
        </is>
      </c>
      <c r="K7415" t="inlineStr">
        <is>
          <t>N/A</t>
        </is>
      </c>
      <c r="L7415" s="8">
        <f>HYPERLINK("https://careerviet.vn/vi/tim-viec-lam/chuyen-vien-khach-hang-ca-nhan-chi-nhanh-hue-khu-vuc-mien-trung-tay-nguyen.35C6A813.html","Xem chi tiết")</f>
        <v/>
      </c>
    </row>
    <row r="7416">
      <c r="B7416" s="9" t="n">
        <v>7414</v>
      </c>
      <c r="C7416" s="10" t="inlineStr">
        <is>
          <t>Giám Đốc Ban Quản Lý Dự Án Xây Dựng</t>
        </is>
      </c>
      <c r="D7416" s="10" t="inlineStr">
        <is>
          <t>Công ty CP OSI Holdings</t>
        </is>
      </c>
      <c r="E7416" s="10" t="inlineStr">
        <is>
          <t>Lương:3.000 - 5.000 USD</t>
        </is>
      </c>
      <c r="F7416" s="10" t="inlineStr">
        <is>
          <t>Hà Nội</t>
        </is>
      </c>
      <c r="G7416" s="10" t="inlineStr">
        <is>
          <t>31-03-2026</t>
        </is>
      </c>
      <c r="H7416" s="10" t="inlineStr">
        <is>
          <t>31/03/2026</t>
        </is>
      </c>
      <c r="I7416" s="10" t="inlineStr">
        <is>
          <t>17/03/2026</t>
        </is>
      </c>
      <c r="J7416" s="10" t="inlineStr">
        <is>
          <t>Xây dựng, Bất động sản</t>
        </is>
      </c>
      <c r="K7416" s="10" t="inlineStr">
        <is>
          <t>Trên 10 Năm</t>
        </is>
      </c>
      <c r="L7416" s="11">
        <f>HYPERLINK("https://careerviet.vn/vi/tim-viec-lam/giam-doc-ban-quan-ly-du-an-xay-dung.35C6AAF1.html","Xem chi tiết")</f>
        <v/>
      </c>
      <c r="M7416" s="10" t="n"/>
    </row>
    <row r="7417">
      <c r="B7417" s="7" t="n">
        <v>7415</v>
      </c>
      <c r="C7417" t="inlineStr">
        <is>
          <t>[HO - HCM] Chuyên gia/Chuyên viên cao cấp Chính sách sản phẩm Tín dụng Doanh nghiệp</t>
        </is>
      </c>
      <c r="D7417" t="inlineStr">
        <is>
          <t>Ngân hàng TMCP Phát triển TP.HCM (HDBank)</t>
        </is>
      </c>
      <c r="E7417" t="inlineStr">
        <is>
          <t>Lương:18 Tr - 40 Tr VND</t>
        </is>
      </c>
      <c r="F7417" t="inlineStr">
        <is>
          <t>Hồ Chí Minh</t>
        </is>
      </c>
      <c r="G7417" t="inlineStr">
        <is>
          <t>31-03-2026</t>
        </is>
      </c>
      <c r="H7417" t="inlineStr">
        <is>
          <t>31/03/2026</t>
        </is>
      </c>
      <c r="I7417" t="inlineStr">
        <is>
          <t>17/03/2026</t>
        </is>
      </c>
      <c r="J7417" t="inlineStr">
        <is>
          <t>Ngân hàng, Tài chính / Đầu tư, Bảo hiểm</t>
        </is>
      </c>
      <c r="K7417" t="inlineStr">
        <is>
          <t>1 - 10 Năm</t>
        </is>
      </c>
      <c r="L7417" s="8">
        <f>HYPERLINK("https://careerviet.vn/vi/tim-viec-lam/ho-hcm-chuyen-gia-chuyen-vien-cao-cap-chinh-sach-san-pham-tin-dung-doanh-nghiep.35C6AA4F.html","Xem chi tiết")</f>
        <v/>
      </c>
    </row>
    <row r="7418">
      <c r="B7418" s="9" t="n">
        <v>7416</v>
      </c>
      <c r="C7418" s="10" t="inlineStr">
        <is>
          <t>Growth Marketing</t>
        </is>
      </c>
      <c r="D7418" s="10" t="inlineStr">
        <is>
          <t>CÔNG TY CỔ PHẦN KINH DOANH F88</t>
        </is>
      </c>
      <c r="E7418" s="10" t="inlineStr">
        <is>
          <t>Lương:Cạnh tranh</t>
        </is>
      </c>
      <c r="F7418" s="10" t="inlineStr">
        <is>
          <t>Hồ Chí Minh</t>
        </is>
      </c>
      <c r="G7418" s="10" t="inlineStr">
        <is>
          <t>03-04-2026</t>
        </is>
      </c>
      <c r="H7418" s="10" t="inlineStr">
        <is>
          <t>03/04/2026</t>
        </is>
      </c>
      <c r="I7418" s="10" t="inlineStr">
        <is>
          <t>17/03/2026</t>
        </is>
      </c>
      <c r="J7418" s="10" t="inlineStr">
        <is>
          <t>Tiếp thị / Marketing, Tiếp thị trực tuyến, Ngân hàng</t>
        </is>
      </c>
      <c r="K7418" s="10" t="inlineStr">
        <is>
          <t>4 - 5 Năm</t>
        </is>
      </c>
      <c r="L7418" s="11">
        <f>HYPERLINK("https://careerviet.vn/vi/tim-viec-lam/growth-marketing.35C6A905.html","Xem chi tiết")</f>
        <v/>
      </c>
      <c r="M7418" s="10" t="n"/>
    </row>
    <row r="7419">
      <c r="B7419" s="7" t="n">
        <v>7417</v>
      </c>
      <c r="C7419" t="inlineStr">
        <is>
          <t>Chuyên viên cao cấp Kinh doanh ngoại tệ - Khối Nguồn vốn</t>
        </is>
      </c>
      <c r="D7419" t="inlineStr">
        <is>
          <t>Ngân hàng TMCP Việt Á – VietABank</t>
        </is>
      </c>
      <c r="E7419" t="inlineStr">
        <is>
          <t>Lương:Cạnh tranh</t>
        </is>
      </c>
      <c r="F7419" t="inlineStr">
        <is>
          <t>Hà Nội</t>
        </is>
      </c>
      <c r="G7419" t="inlineStr">
        <is>
          <t>31-03-2026</t>
        </is>
      </c>
      <c r="H7419" t="inlineStr">
        <is>
          <t>31/03/2026</t>
        </is>
      </c>
      <c r="I7419" t="inlineStr">
        <is>
          <t>17/03/2026</t>
        </is>
      </c>
      <c r="J7419" t="inlineStr">
        <is>
          <t>Ngân hàng</t>
        </is>
      </c>
      <c r="K7419" t="inlineStr">
        <is>
          <t>2 - 5 Năm</t>
        </is>
      </c>
      <c r="L7419" s="8">
        <f>HYPERLINK("https://careerviet.vn/vi/tim-viec-lam/chuyen-vien-cao-cap-kinh-doanh-ngoai-te-khoi-nguon-von.35C6A7DA.html","Xem chi tiết")</f>
        <v/>
      </c>
    </row>
    <row r="7420">
      <c r="B7420" s="9" t="n">
        <v>7418</v>
      </c>
      <c r="C7420" s="10" t="inlineStr">
        <is>
          <t>Nhân Viên Điều Phối Viên CLB Sức Khỏe</t>
        </is>
      </c>
      <c r="D7420" s="10" t="inlineStr">
        <is>
          <t>Vietnam Furniture Resources (VFR)</t>
        </is>
      </c>
      <c r="E7420" s="10" t="inlineStr">
        <is>
          <t>Lương:Cạnh tranh</t>
        </is>
      </c>
      <c r="F7420" s="10" t="inlineStr">
        <is>
          <t>Bình Dương</t>
        </is>
      </c>
      <c r="G7420" s="10" t="inlineStr">
        <is>
          <t>04-04-2026</t>
        </is>
      </c>
      <c r="H7420" s="10" t="inlineStr">
        <is>
          <t>04/04/2026</t>
        </is>
      </c>
      <c r="I7420" s="10" t="inlineStr">
        <is>
          <t>17/03/2026</t>
        </is>
      </c>
      <c r="J7420" s="10" t="inlineStr">
        <is>
          <t>Tiếp thị / Marketing, Y tế / Chăm sóc sức khỏe / Thẩm mỹ / Làm đẹp</t>
        </is>
      </c>
      <c r="K7420" s="10" t="inlineStr">
        <is>
          <t>2 - 3 Năm</t>
        </is>
      </c>
      <c r="L7420" s="11">
        <f>HYPERLINK("https://careerviet.vn/vi/tim-viec-lam/nhan-vien-dieu-phoi-vien-clb-suc-khoe.35C6AA41.html","Xem chi tiết")</f>
        <v/>
      </c>
      <c r="M7420" s="10" t="n"/>
    </row>
    <row r="7421">
      <c r="B7421" s="7" t="n">
        <v>7419</v>
      </c>
      <c r="C7421" t="inlineStr">
        <is>
          <t>Giao Dịch Viên - Đồng Nai</t>
        </is>
      </c>
      <c r="D7421" t="inlineStr">
        <is>
          <t>Ngân hàng TMCP Việt Á – VietABank</t>
        </is>
      </c>
      <c r="E7421" t="inlineStr">
        <is>
          <t>Lương:7 Tr - 12 Tr VND</t>
        </is>
      </c>
      <c r="F7421" t="inlineStr">
        <is>
          <t>Đồng Nai</t>
        </is>
      </c>
      <c r="G7421" t="inlineStr">
        <is>
          <t>02-04-2026</t>
        </is>
      </c>
      <c r="H7421" t="inlineStr">
        <is>
          <t>02/04/2026</t>
        </is>
      </c>
      <c r="I7421" t="inlineStr">
        <is>
          <t>17/03/2026</t>
        </is>
      </c>
      <c r="J7421" t="inlineStr">
        <is>
          <t>Dịch vụ khách hàng, Ngân hàng, Tài chính / Đầu tư</t>
        </is>
      </c>
      <c r="K7421" t="inlineStr">
        <is>
          <t>Chưa có kinh nghiệm</t>
        </is>
      </c>
      <c r="L7421" s="8">
        <f>HYPERLINK("https://careerviet.vn/vi/tim-viec-lam/giao-dich-vien-dong-nai.35C6A8CA.html","Xem chi tiết")</f>
        <v/>
      </c>
    </row>
    <row r="7422">
      <c r="B7422" s="9" t="n">
        <v>7420</v>
      </c>
      <c r="C7422" s="10" t="inlineStr">
        <is>
          <t>Quản Lý Nhà Hàng/Restaurant Manager</t>
        </is>
      </c>
      <c r="D7422" s="10" t="inlineStr">
        <is>
          <t>CÔNG TY TNHH THƯƠNG MẠI VÀ DỊCH VỤ TALAD THAI</t>
        </is>
      </c>
      <c r="E7422" s="10" t="inlineStr">
        <is>
          <t>Lương:15 Tr - 18 Tr VND</t>
        </is>
      </c>
      <c r="F7422" s="10" t="inlineStr">
        <is>
          <t>Hà Nội</t>
        </is>
      </c>
      <c r="G7422" s="10" t="inlineStr">
        <is>
          <t>3</t>
        </is>
      </c>
      <c r="H7422" s="10" t="inlineStr">
        <is>
          <t>20/03/2026</t>
        </is>
      </c>
      <c r="I7422" s="10" t="inlineStr">
        <is>
          <t>17/03/2026</t>
        </is>
      </c>
      <c r="J7422" s="10" t="inlineStr">
        <is>
          <t>Nhà hàng / Khách sạn, Bán hàng / Kinh doanh</t>
        </is>
      </c>
      <c r="K7422" s="10" t="inlineStr">
        <is>
          <t>Trên 2 Năm</t>
        </is>
      </c>
      <c r="L7422" s="11">
        <f>HYPERLINK("https://careerviet.vn/vi/tim-viec-lam/quan-ly-nha-hang-restaurant-manager.35C6A914.html","Xem chi tiết")</f>
        <v/>
      </c>
      <c r="M7422" s="10" t="n"/>
    </row>
    <row r="7423">
      <c r="B7423" s="7" t="n">
        <v>7421</v>
      </c>
      <c r="C7423" t="inlineStr">
        <is>
          <t>Chuyên Viên/Chuyên viên cao cấp Quan Hệ Khách Hàng Doanh Nghiệp - Khu vực Quy Nhơn</t>
        </is>
      </c>
      <c r="D7423" t="inlineStr">
        <is>
          <t>Ngân hàng TMCP Việt Á – VietABank</t>
        </is>
      </c>
      <c r="E7423" t="inlineStr">
        <is>
          <t>Lương:10 Tr - 36 Tr VND</t>
        </is>
      </c>
      <c r="F7423" t="inlineStr">
        <is>
          <t>Bình Định</t>
        </is>
      </c>
      <c r="G7423" t="inlineStr">
        <is>
          <t>02-04-2026</t>
        </is>
      </c>
      <c r="H7423" t="inlineStr">
        <is>
          <t>02/04/2026</t>
        </is>
      </c>
      <c r="I7423" t="inlineStr">
        <is>
          <t>17/03/2026</t>
        </is>
      </c>
      <c r="J7423" t="inlineStr">
        <is>
          <t>Bảo hiểm, Ngân hàng, Bất động sản</t>
        </is>
      </c>
      <c r="K7423" t="inlineStr">
        <is>
          <t>1 - 3 Năm</t>
        </is>
      </c>
      <c r="L7423" s="8">
        <f>HYPERLINK("https://careerviet.vn/vi/tim-viec-lam/chuyen-vien-chuyen-vien-cao-cap-quan-he-khach-hang-doanh-nghiep-khu-vuc-quy-nhon.35C6A745.html","Xem chi tiết")</f>
        <v/>
      </c>
    </row>
    <row r="7424">
      <c r="B7424" s="9" t="n">
        <v>7422</v>
      </c>
      <c r="C7424" s="10" t="inlineStr">
        <is>
          <t>Nhân viên Kiểm soát hoạt động Kế toán</t>
        </is>
      </c>
      <c r="D7424" s="10" t="inlineStr">
        <is>
          <t>Công Ty TNHH Phát Triển Công Nghệ Điện Tử Bình Anh</t>
        </is>
      </c>
      <c r="E7424" s="10" t="inlineStr">
        <is>
          <t>Lương:14 Tr - 18 Tr VND</t>
        </is>
      </c>
      <c r="F7424" s="10" t="inlineStr">
        <is>
          <t>Hà Nội</t>
        </is>
      </c>
      <c r="G7424" s="10" t="inlineStr">
        <is>
          <t>31-03-2026</t>
        </is>
      </c>
      <c r="H7424" s="10" t="inlineStr">
        <is>
          <t>31/03/2026</t>
        </is>
      </c>
      <c r="I7424" s="10" t="inlineStr">
        <is>
          <t>17/03/2026</t>
        </is>
      </c>
      <c r="J7424" s="10" t="inlineStr">
        <is>
          <t>Kế toán / Kiểm toán</t>
        </is>
      </c>
      <c r="K7424" s="10" t="inlineStr">
        <is>
          <t>3 - 5 Năm</t>
        </is>
      </c>
      <c r="L7424" s="11">
        <f>HYPERLINK("https://careerviet.vn/vi/tim-viec-lam/nhan-vien-kiem-soat-hoat-dong-ke-toan.35C6AA21.html","Xem chi tiết")</f>
        <v/>
      </c>
      <c r="M7424" s="10" t="n"/>
    </row>
    <row r="7425">
      <c r="B7425" s="7" t="n">
        <v>7423</v>
      </c>
      <c r="C7425" t="inlineStr">
        <is>
          <t>CHUYÊN VIÊN TƯ VẤN GIÁO DỤC (OCEAN EDU BA LA) - THU NHẬP HẤP DẪN TỪ 15 TRIỆU/THÁNG</t>
        </is>
      </c>
      <c r="D7425" t="inlineStr">
        <is>
          <t>Công Ty CP Giáo Dục Đại Dương</t>
        </is>
      </c>
      <c r="E7425" t="inlineStr">
        <is>
          <t>Lương:Cạnh tranh</t>
        </is>
      </c>
      <c r="F7425" t="inlineStr">
        <is>
          <t>Hà Nội</t>
        </is>
      </c>
      <c r="G7425" t="inlineStr">
        <is>
          <t>02-04-2026</t>
        </is>
      </c>
      <c r="H7425" t="inlineStr">
        <is>
          <t>02/04/2026</t>
        </is>
      </c>
      <c r="I7425" t="inlineStr">
        <is>
          <t>17/03/2026</t>
        </is>
      </c>
      <c r="J7425" t="inlineStr">
        <is>
          <t>Dịch vụ khách hàng, Giáo dục / Đào tạo, Bán hàng / Kinh doanh</t>
        </is>
      </c>
      <c r="K7425" t="inlineStr">
        <is>
          <t>Lên đến 1 Năm</t>
        </is>
      </c>
      <c r="L7425" s="8">
        <f>HYPERLINK("https://careerviet.vn/vi/tim-viec-lam/chuyen-vien-tu-van-giao-duc-ocean-edu-ba-la-thu-nhap-hap-dan-tu-15-trieu-thang.35C6AAC4.html","Xem chi tiết")</f>
        <v/>
      </c>
    </row>
    <row r="7426">
      <c r="B7426" s="9" t="n">
        <v>7424</v>
      </c>
      <c r="C7426" s="10" t="inlineStr">
        <is>
          <t>Nhân Viên Tổng Đài Chăm Sóc Khách Hàng Viettel Cẩm Lệ Đà Nẵng</t>
        </is>
      </c>
      <c r="D7426" s="10" t="inlineStr">
        <is>
          <t>CÔNG TY CỔ PHẦN TRUYỀN THÔNG KIM CƯƠNG</t>
        </is>
      </c>
      <c r="E7426" s="10" t="inlineStr">
        <is>
          <t>Lương:6 Tr - 8 Tr VND</t>
        </is>
      </c>
      <c r="F7426" s="10" t="inlineStr">
        <is>
          <t>Đà Nẵng</t>
        </is>
      </c>
      <c r="G7426" s="10" t="inlineStr">
        <is>
          <t>27-03-2026</t>
        </is>
      </c>
      <c r="H7426" s="10" t="inlineStr">
        <is>
          <t>27/03/2026</t>
        </is>
      </c>
      <c r="I7426" s="10" t="inlineStr">
        <is>
          <t>17/03/2026</t>
        </is>
      </c>
      <c r="J7426" s="10" t="inlineStr">
        <is>
          <t>Tư vấn, Dịch vụ khách hàng, Bưu chính viễn thông</t>
        </is>
      </c>
      <c r="K7426" s="10" t="inlineStr">
        <is>
          <t>N/A</t>
        </is>
      </c>
      <c r="L7426" s="11">
        <f>HYPERLINK("https://careerviet.vn/vi/tim-viec-lam/nhan-vien-tong-dai-cham-soc-khach-hang-viettel-cam-le-da-nang.35C69EE6.html","Xem chi tiết")</f>
        <v/>
      </c>
      <c r="M7426" s="10" t="n"/>
    </row>
    <row r="7427">
      <c r="B7427" s="7" t="n">
        <v>7425</v>
      </c>
      <c r="C7427" t="inlineStr">
        <is>
          <t>Chuyên viên đào tạo</t>
        </is>
      </c>
      <c r="D7427" t="inlineStr">
        <is>
          <t>CÔNG TY CỔ PHẦN CÔNG NGHỆ SOTATEK VIỆT NAM</t>
        </is>
      </c>
      <c r="E7427" t="inlineStr">
        <is>
          <t>Lương:Cạnh tranh</t>
        </is>
      </c>
      <c r="F7427" t="inlineStr">
        <is>
          <t>Hải Dương</t>
        </is>
      </c>
      <c r="G7427" t="inlineStr">
        <is>
          <t>31-03-2026</t>
        </is>
      </c>
      <c r="H7427" t="inlineStr">
        <is>
          <t>31/03/2026</t>
        </is>
      </c>
      <c r="I7427" t="inlineStr">
        <is>
          <t>17/03/2026</t>
        </is>
      </c>
      <c r="J7427" t="inlineStr">
        <is>
          <t>Hành chính / Thư ký, Giáo dục / Đào tạo, Nhân sự</t>
        </is>
      </c>
      <c r="K7427" t="inlineStr">
        <is>
          <t>Chưa có kinh nghiệm</t>
        </is>
      </c>
      <c r="L7427" s="8">
        <f>HYPERLINK("https://careerviet.vn/vi/tim-viec-lam/chuyen-vien-dao-tao.35C6AAA6.html","Xem chi tiết")</f>
        <v/>
      </c>
    </row>
    <row r="7428">
      <c r="B7428" s="9" t="n">
        <v>7426</v>
      </c>
      <c r="C7428" s="10" t="inlineStr">
        <is>
          <t>Chuyên Viên Quản Trị Rủi Ro (CN Miền Trung)</t>
        </is>
      </c>
      <c r="D7428" s="10" t="inlineStr">
        <is>
          <t>Công Ty CP Vàng Bạc Đá Quý Phú Nhuận - PNJ</t>
        </is>
      </c>
      <c r="E7428" s="10" t="inlineStr">
        <is>
          <t>Lương:Cạnh tranh</t>
        </is>
      </c>
      <c r="F7428" s="10" t="inlineStr">
        <is>
          <t>Đà Nẵng</t>
        </is>
      </c>
      <c r="G7428" s="10" t="inlineStr">
        <is>
          <t>02-04-2026</t>
        </is>
      </c>
      <c r="H7428" s="10" t="inlineStr">
        <is>
          <t>02/04/2026</t>
        </is>
      </c>
      <c r="I7428" s="10" t="inlineStr">
        <is>
          <t>17/03/2026</t>
        </is>
      </c>
      <c r="J7428" s="10" t="inlineStr">
        <is>
          <t>Kế toán / Kiểm toán, Bán lẻ / Bán sỉ, Tài chính / Đầu tư</t>
        </is>
      </c>
      <c r="K7428" s="10" t="inlineStr">
        <is>
          <t>3 - 5 Năm</t>
        </is>
      </c>
      <c r="L7428" s="11">
        <f>HYPERLINK("https://careerviet.vn/vi/tim-viec-lam/chuyen-vien-quan-tri-rui-ro-cn-mien-trung.35C6AB0E.html","Xem chi tiết")</f>
        <v/>
      </c>
      <c r="M7428" s="10" t="n"/>
    </row>
    <row r="7429">
      <c r="B7429" s="7" t="n">
        <v>7427</v>
      </c>
      <c r="C7429" t="inlineStr">
        <is>
          <t>Trợ lý kinh doanh</t>
        </is>
      </c>
      <c r="D7429" t="inlineStr">
        <is>
          <t>CÔNG TY TNHH BỘT SƠN TĨNH ĐIỆN KIM THÀNH PHÁT</t>
        </is>
      </c>
      <c r="E7429" t="inlineStr">
        <is>
          <t>Lương:Cạnh tranh</t>
        </is>
      </c>
      <c r="F7429" t="inlineStr">
        <is>
          <t>Long AnTây Ninh</t>
        </is>
      </c>
      <c r="G7429" t="inlineStr">
        <is>
          <t>03-04-2026</t>
        </is>
      </c>
      <c r="H7429" t="inlineStr">
        <is>
          <t>03/04/2026</t>
        </is>
      </c>
      <c r="I7429" t="inlineStr">
        <is>
          <t>17/03/2026</t>
        </is>
      </c>
      <c r="J7429" t="inlineStr">
        <is>
          <t>Bán hàng / Kinh doanh, Hóa học, Kế toán / Kiểm toán</t>
        </is>
      </c>
      <c r="K7429" t="inlineStr">
        <is>
          <t>2 - 3 Năm</t>
        </is>
      </c>
      <c r="L7429" s="8">
        <f>HYPERLINK("https://careerviet.vn/vi/tim-viec-lam/tro-ly-kinh-doanh.35C6A9ED.html","Xem chi tiết")</f>
        <v/>
      </c>
    </row>
    <row r="7430">
      <c r="B7430" s="9" t="n">
        <v>7428</v>
      </c>
      <c r="C7430" s="10" t="inlineStr">
        <is>
          <t>Kế toán tổng hợp</t>
        </is>
      </c>
      <c r="D7430" s="10" t="inlineStr">
        <is>
          <t>CÔNG TY TNHH ĐẦU TƯ Y TẾ QUỐC TẾ DND – SÀI GÒN</t>
        </is>
      </c>
      <c r="E7430" s="10" t="inlineStr">
        <is>
          <t>Lương:15 Tr - 25 Tr VND</t>
        </is>
      </c>
      <c r="F7430" s="10" t="inlineStr">
        <is>
          <t>Hồ Chí Minh</t>
        </is>
      </c>
      <c r="G7430" s="10" t="inlineStr">
        <is>
          <t>27-03-2026</t>
        </is>
      </c>
      <c r="H7430" s="10" t="inlineStr">
        <is>
          <t>27/03/2026</t>
        </is>
      </c>
      <c r="I7430" s="10" t="inlineStr">
        <is>
          <t>17/03/2026</t>
        </is>
      </c>
      <c r="J7430" s="10" t="inlineStr">
        <is>
          <t>Kế toán / Kiểm toán, Tài chính / Đầu tư, Y tế / Chăm sóc sức khỏe / Thẩm mỹ / Làm đẹp</t>
        </is>
      </c>
      <c r="K7430" s="10" t="inlineStr">
        <is>
          <t>Trên 3 Năm</t>
        </is>
      </c>
      <c r="L7430" s="11">
        <f>HYPERLINK("https://careerviet.vn/vi/tim-viec-lam/ke-toan-tong-hop.35C6AA3D.html","Xem chi tiết")</f>
        <v/>
      </c>
      <c r="M7430" s="10" t="n"/>
    </row>
    <row r="7431">
      <c r="B7431" s="7" t="n">
        <v>7429</v>
      </c>
      <c r="C7431" t="inlineStr">
        <is>
          <t>Kế toán tổng hợp</t>
        </is>
      </c>
      <c r="D7431" t="inlineStr">
        <is>
          <t>Tập đoàn An Lạc – Anlac Group</t>
        </is>
      </c>
      <c r="E7431" t="inlineStr">
        <is>
          <t>Lương:Cạnh tranh</t>
        </is>
      </c>
      <c r="F7431" t="inlineStr">
        <is>
          <t>Hà Nội</t>
        </is>
      </c>
      <c r="G7431" t="inlineStr">
        <is>
          <t>15-04-2026</t>
        </is>
      </c>
      <c r="H7431" t="inlineStr">
        <is>
          <t>15/04/2026</t>
        </is>
      </c>
      <c r="I7431" t="inlineStr">
        <is>
          <t>17/03/2026</t>
        </is>
      </c>
      <c r="J7431" t="inlineStr">
        <is>
          <t>Kế toán / Kiểm toán</t>
        </is>
      </c>
      <c r="K7431" t="inlineStr">
        <is>
          <t>5 - 10 Năm</t>
        </is>
      </c>
      <c r="L7431" s="8">
        <f>HYPERLINK("https://careerviet.vn/vi/tim-viec-lam/ke-toan-tong-hop.35C6AA7F.html","Xem chi tiết")</f>
        <v/>
      </c>
    </row>
    <row r="7432">
      <c r="B7432" s="9" t="n">
        <v>7430</v>
      </c>
      <c r="C7432" s="10" t="inlineStr">
        <is>
          <t>KIỂM SOÁT NỘI BỘ - MẢNG KẾ HOẠCH KỸ THUẬT</t>
        </is>
      </c>
      <c r="D7432" s="10" t="inlineStr">
        <is>
          <t>Công Ty Cổ Phần Tập Đoàn Đèo Cả</t>
        </is>
      </c>
      <c r="E7432" s="10" t="inlineStr">
        <is>
          <t>Lương:15 Tr - 25 Tr VND</t>
        </is>
      </c>
      <c r="F7432" s="10" t="inlineStr">
        <is>
          <t>Hà Nội</t>
        </is>
      </c>
      <c r="G7432" s="10" t="inlineStr">
        <is>
          <t>11-04-2026</t>
        </is>
      </c>
      <c r="H7432" s="10" t="inlineStr">
        <is>
          <t>11/04/2026</t>
        </is>
      </c>
      <c r="I7432" s="10" t="inlineStr">
        <is>
          <t>17/03/2026</t>
        </is>
      </c>
      <c r="J7432" s="10" t="inlineStr">
        <is>
          <t>Kế toán / Kiểm toán</t>
        </is>
      </c>
      <c r="K7432" s="10" t="inlineStr">
        <is>
          <t>1 - 3 Năm</t>
        </is>
      </c>
      <c r="L7432" s="11">
        <f>HYPERLINK("https://careerviet.vn/vi/tim-viec-lam/kiem-soat-noi-bo-mang-ke-hoach-ky-thuat.35C6A83F.html","Xem chi tiết")</f>
        <v/>
      </c>
      <c r="M7432" s="10" t="n"/>
    </row>
    <row r="7433">
      <c r="B7433" s="7" t="n">
        <v>7431</v>
      </c>
      <c r="C7433" t="inlineStr">
        <is>
          <t>Kế Toán Viên</t>
        </is>
      </c>
      <c r="D7433" t="inlineStr">
        <is>
          <t>Công ty Cổ Phần Đầu Tư Kỹ Thuật Thương Mại Nam Trung</t>
        </is>
      </c>
      <c r="E7433" t="inlineStr">
        <is>
          <t>Lương:7 Tr - 10 Tr VND</t>
        </is>
      </c>
      <c r="F7433" t="inlineStr">
        <is>
          <t>Hồ Chí Minh</t>
        </is>
      </c>
      <c r="G7433" t="inlineStr">
        <is>
          <t>03-04-2026</t>
        </is>
      </c>
      <c r="H7433" t="inlineStr">
        <is>
          <t>03/04/2026</t>
        </is>
      </c>
      <c r="I7433" t="inlineStr">
        <is>
          <t>17/03/2026</t>
        </is>
      </c>
      <c r="J7433" t="inlineStr">
        <is>
          <t>Kế toán / Kiểm toán, Bán hàng / Kinh doanh, Ngân hàng</t>
        </is>
      </c>
      <c r="K7433" t="inlineStr">
        <is>
          <t>1 - 2 Năm</t>
        </is>
      </c>
      <c r="L7433" s="8">
        <f>HYPERLINK("https://careerviet.vn/vi/tim-viec-lam/ke-toan-vien.35C6A808.html","Xem chi tiết")</f>
        <v/>
      </c>
    </row>
    <row r="7434">
      <c r="B7434" s="9" t="n">
        <v>7432</v>
      </c>
      <c r="C7434" s="10" t="inlineStr">
        <is>
          <t>Chuyên viên Kế toán tổng hợp</t>
        </is>
      </c>
      <c r="D7434" s="10" t="inlineStr">
        <is>
          <t>Tập Đoàn Karofi Holding</t>
        </is>
      </c>
      <c r="E7434" s="10" t="inlineStr">
        <is>
          <t>Lương:Cạnh tranh</t>
        </is>
      </c>
      <c r="F7434" s="10" t="inlineStr">
        <is>
          <t>Hà Nội</t>
        </is>
      </c>
      <c r="G7434" s="10" t="inlineStr">
        <is>
          <t>02-04-2026</t>
        </is>
      </c>
      <c r="H7434" s="10" t="inlineStr">
        <is>
          <t>02/04/2026</t>
        </is>
      </c>
      <c r="I7434" s="10" t="inlineStr">
        <is>
          <t>17/03/2026</t>
        </is>
      </c>
      <c r="J7434" s="10" t="inlineStr">
        <is>
          <t>Kế toán / Kiểm toán</t>
        </is>
      </c>
      <c r="K7434" s="10" t="inlineStr">
        <is>
          <t>Trên 5 Năm</t>
        </is>
      </c>
      <c r="L7434" s="11">
        <f>HYPERLINK("https://careerviet.vn/vi/tim-viec-lam/chuyen-vien-ke-toan-tong-hop.35C6A728.html","Xem chi tiết")</f>
        <v/>
      </c>
      <c r="M7434" s="10" t="n"/>
    </row>
    <row r="7435">
      <c r="B7435" s="7" t="n">
        <v>7433</v>
      </c>
      <c r="C7435" t="inlineStr">
        <is>
          <t>Nhân viên Chăm sóc khách hàng (Tiếng Anh/ Tiếng Hàn/ tiếng Khmer)</t>
        </is>
      </c>
      <c r="D7435" t="inlineStr">
        <is>
          <t>BỆNH VIỆN ĐA KHOA PHƯƠNG NAM</t>
        </is>
      </c>
      <c r="E7435" t="inlineStr">
        <is>
          <t>Lương:12 Tr - 18 Tr VND</t>
        </is>
      </c>
      <c r="F7435" t="inlineStr">
        <is>
          <t>Hồ Chí Minh</t>
        </is>
      </c>
      <c r="G7435" t="inlineStr">
        <is>
          <t>11-04-2026</t>
        </is>
      </c>
      <c r="H7435" t="inlineStr">
        <is>
          <t>11/04/2026</t>
        </is>
      </c>
      <c r="I7435" t="inlineStr">
        <is>
          <t>17/03/2026</t>
        </is>
      </c>
      <c r="J7435" t="inlineStr">
        <is>
          <t>Y tế / Chăm sóc sức khỏe / Thẩm mỹ / Làm đẹp</t>
        </is>
      </c>
      <c r="K7435" t="inlineStr">
        <is>
          <t>Chưa có kinh nghiệm</t>
        </is>
      </c>
      <c r="L7435" s="8">
        <f>HYPERLINK("https://careerviet.vn/vi/tim-viec-lam/nhan-vien-cham-soc-khach-hang-tieng-anh-tieng-han-tieng-khmer.35C6A933.html","Xem chi tiết")</f>
        <v/>
      </c>
    </row>
    <row r="7436">
      <c r="B7436" s="9" t="n">
        <v>7434</v>
      </c>
      <c r="C7436" s="10" t="inlineStr">
        <is>
          <t>Kế Toán Tổng Hợp (Chủ đầu tư bất động sản)</t>
        </is>
      </c>
      <c r="D7436" s="10" t="inlineStr">
        <is>
          <t>Công Ty Cổ Phần Đầu Tư Địa Ốc Hưng Phú</t>
        </is>
      </c>
      <c r="E7436" s="10" t="inlineStr">
        <is>
          <t>Lương:20 Tr - 30 Tr VND</t>
        </is>
      </c>
      <c r="F7436" s="10" t="inlineStr">
        <is>
          <t>Hồ Chí Minh</t>
        </is>
      </c>
      <c r="G7436" s="10" t="inlineStr">
        <is>
          <t>31-03-2026</t>
        </is>
      </c>
      <c r="H7436" s="10" t="inlineStr">
        <is>
          <t>31/03/2026</t>
        </is>
      </c>
      <c r="I7436" s="10" t="inlineStr">
        <is>
          <t>17/03/2026</t>
        </is>
      </c>
      <c r="J7436" s="10" t="inlineStr">
        <is>
          <t>Kế toán / Kiểm toán, Nhà hàng / Khách sạn, Bất động sản</t>
        </is>
      </c>
      <c r="K7436" s="10" t="inlineStr">
        <is>
          <t>5 - 7 Năm</t>
        </is>
      </c>
      <c r="L7436" s="11">
        <f>HYPERLINK("https://careerviet.vn/vi/tim-viec-lam/ke-toan-tong-hop-chu-dau-tu-bat-dong-san.35C6A73C.html","Xem chi tiết")</f>
        <v/>
      </c>
      <c r="M7436" s="10" t="n"/>
    </row>
    <row r="7437">
      <c r="B7437" s="7" t="n">
        <v>7435</v>
      </c>
      <c r="C7437" t="inlineStr">
        <is>
          <t>Trưởng Nhóm Tuyển Sinh (Ocean Edu Yên Phong)</t>
        </is>
      </c>
      <c r="D7437" t="inlineStr">
        <is>
          <t>Công Ty CP Giáo Dục Đại Dương</t>
        </is>
      </c>
      <c r="E7437" t="inlineStr">
        <is>
          <t>Lương:Cạnh tranh</t>
        </is>
      </c>
      <c r="F7437" t="inlineStr">
        <is>
          <t>Bắc Ninh</t>
        </is>
      </c>
      <c r="G7437" t="inlineStr">
        <is>
          <t>02-04-2026</t>
        </is>
      </c>
      <c r="H7437" t="inlineStr">
        <is>
          <t>02/04/2026</t>
        </is>
      </c>
      <c r="I7437" t="inlineStr">
        <is>
          <t>17/03/2026</t>
        </is>
      </c>
      <c r="J7437" t="inlineStr">
        <is>
          <t>Tư vấn, Dịch vụ khách hàng, Giáo dục / Đào tạo</t>
        </is>
      </c>
      <c r="K7437" t="inlineStr">
        <is>
          <t>1 - 2 Năm</t>
        </is>
      </c>
      <c r="L7437" s="8">
        <f>HYPERLINK("https://careerviet.vn/vi/tim-viec-lam/truong-nhom-tuyen-sinh-ocean-edu-yen-phong.35C6AA7C.html","Xem chi tiết")</f>
        <v/>
      </c>
    </row>
    <row r="7438">
      <c r="B7438" s="9" t="n">
        <v>7436</v>
      </c>
      <c r="C7438" s="10" t="inlineStr">
        <is>
          <t>CHUYÊN VIÊN KẾ TOÁN CHI PHÍ</t>
        </is>
      </c>
      <c r="D7438" s="10" t="inlineStr">
        <is>
          <t>Tổng công ty Xây dựng số 1 – CTCP</t>
        </is>
      </c>
      <c r="E7438" s="10" t="inlineStr">
        <is>
          <t>Lương:Cạnh tranh</t>
        </is>
      </c>
      <c r="F7438" s="10" t="inlineStr">
        <is>
          <t>Hồ Chí Minh</t>
        </is>
      </c>
      <c r="G7438" s="10" t="inlineStr">
        <is>
          <t>02-04-2026</t>
        </is>
      </c>
      <c r="H7438" s="10" t="inlineStr">
        <is>
          <t>02/04/2026</t>
        </is>
      </c>
      <c r="I7438" s="10" t="inlineStr">
        <is>
          <t>17/03/2026</t>
        </is>
      </c>
      <c r="J7438" s="10" t="inlineStr">
        <is>
          <t>Kế toán / Kiểm toán</t>
        </is>
      </c>
      <c r="K7438" s="10" t="inlineStr">
        <is>
          <t>3 - 5 Năm</t>
        </is>
      </c>
      <c r="L7438" s="11">
        <f>HYPERLINK("https://careerviet.vn/vi/tim-viec-lam/chuyen-vien-ke-toan-chi-phi.35C6A931.html","Xem chi tiết")</f>
        <v/>
      </c>
      <c r="M7438" s="10" t="n"/>
    </row>
    <row r="7439">
      <c r="B7439" s="7" t="n">
        <v>7437</v>
      </c>
      <c r="C7439" t="inlineStr">
        <is>
          <t>Production Merchandising Officer (Garment)</t>
        </is>
      </c>
      <c r="D7439" t="inlineStr">
        <is>
          <t>MOTIVES VIETNAM CORPORATION</t>
        </is>
      </c>
      <c r="E7439" t="inlineStr">
        <is>
          <t>Lương:Cạnh tranh</t>
        </is>
      </c>
      <c r="F7439" t="inlineStr">
        <is>
          <t>Hồ Chí Minh</t>
        </is>
      </c>
      <c r="G7439" t="inlineStr">
        <is>
          <t>31-03-2026</t>
        </is>
      </c>
      <c r="H7439" t="inlineStr">
        <is>
          <t>31/03/2026</t>
        </is>
      </c>
      <c r="I7439" t="inlineStr">
        <is>
          <t>17/03/2026</t>
        </is>
      </c>
      <c r="J7439" t="inlineStr">
        <is>
          <t>Dệt may / Da giày / Thời trang</t>
        </is>
      </c>
      <c r="K7439" t="inlineStr">
        <is>
          <t>3 - 5 Năm</t>
        </is>
      </c>
      <c r="L7439" s="8">
        <f>HYPERLINK("https://careerviet.vn/vi/tim-viec-lam/production-merchandising-officer-garment.35C6A8A7.html","Xem chi tiết")</f>
        <v/>
      </c>
    </row>
    <row r="7440">
      <c r="B7440" s="9" t="n">
        <v>7438</v>
      </c>
      <c r="C7440" s="10" t="inlineStr">
        <is>
          <t>Video Editor</t>
        </is>
      </c>
      <c r="D7440" s="10" t="inlineStr">
        <is>
          <t>Công ty TNHH TOM Group Việt Nam</t>
        </is>
      </c>
      <c r="E7440" s="10" t="inlineStr">
        <is>
          <t>Lương:12 Tr - 18 Tr VND</t>
        </is>
      </c>
      <c r="F7440" s="10" t="inlineStr">
        <is>
          <t>Hồ Chí Minh</t>
        </is>
      </c>
      <c r="G7440" s="10" t="inlineStr">
        <is>
          <t>13-05-2026</t>
        </is>
      </c>
      <c r="H7440" s="10" t="inlineStr">
        <is>
          <t>13/05/2026</t>
        </is>
      </c>
      <c r="I7440" s="10" t="inlineStr">
        <is>
          <t>17/03/2026</t>
        </is>
      </c>
      <c r="J7440" s="10" t="inlineStr">
        <is>
          <t>Tiếp thị / Marketing, Tiếp thị trực tuyến</t>
        </is>
      </c>
      <c r="K7440" s="10" t="inlineStr">
        <is>
          <t>1 - 5 Năm</t>
        </is>
      </c>
      <c r="L7440" s="11">
        <f>HYPERLINK("https://careerviet.vn/vi/tim-viec-lam/video-editor.35C6A82C.html","Xem chi tiết")</f>
        <v/>
      </c>
      <c r="M7440" s="10" t="n"/>
    </row>
    <row r="7441">
      <c r="B7441" s="7" t="n">
        <v>7439</v>
      </c>
      <c r="C7441" t="inlineStr">
        <is>
          <t>System Engineer</t>
        </is>
      </c>
      <c r="D7441" t="inlineStr">
        <is>
          <t>TECOTEC Technology</t>
        </is>
      </c>
      <c r="E7441" t="inlineStr">
        <is>
          <t>Lương:8 Tr - 15 Tr VND</t>
        </is>
      </c>
      <c r="F7441" t="inlineStr">
        <is>
          <t>Hà Nội</t>
        </is>
      </c>
      <c r="G7441" t="inlineStr">
        <is>
          <t>01-04-2026</t>
        </is>
      </c>
      <c r="H7441" t="inlineStr">
        <is>
          <t>01/04/2026</t>
        </is>
      </c>
      <c r="I7441" t="inlineStr">
        <is>
          <t>17/03/2026</t>
        </is>
      </c>
      <c r="J7441" t="inlineStr">
        <is>
          <t>Điện / Điện tử / Điện lạnh / Điện công nghiệp, Cơ khí / Ô tô / Tự động hóa</t>
        </is>
      </c>
      <c r="K7441" t="inlineStr">
        <is>
          <t>Lên đến 1 Năm</t>
        </is>
      </c>
      <c r="L7441" s="8">
        <f>HYPERLINK("https://careerviet.vn/vi/tim-viec-lam/system-engineer.35C6A845.html","Xem chi tiết")</f>
        <v/>
      </c>
    </row>
    <row r="7442">
      <c r="B7442" s="9" t="n">
        <v>7440</v>
      </c>
      <c r="C7442" s="10" t="inlineStr">
        <is>
          <t>Trợ lý sản xuất</t>
        </is>
      </c>
      <c r="D7442" s="10" t="inlineStr">
        <is>
          <t>CÔNG TY TNHH BỘT SƠN TĨNH ĐIỆN KIM THÀNH PHÁT</t>
        </is>
      </c>
      <c r="E7442" s="10" t="inlineStr">
        <is>
          <t>Lương:Cạnh tranh</t>
        </is>
      </c>
      <c r="F7442" s="10" t="inlineStr">
        <is>
          <t>Long AnTây Ninh</t>
        </is>
      </c>
      <c r="G7442" s="10" t="inlineStr">
        <is>
          <t>03-04-2026</t>
        </is>
      </c>
      <c r="H7442" s="10" t="inlineStr">
        <is>
          <t>03/04/2026</t>
        </is>
      </c>
      <c r="I7442" s="10" t="inlineStr">
        <is>
          <t>17/03/2026</t>
        </is>
      </c>
      <c r="J7442" s="10" t="inlineStr">
        <is>
          <t>Hóa học, Sản xuất / Vận hành sản xuất, Kế toán / Kiểm toán</t>
        </is>
      </c>
      <c r="K7442" s="10" t="inlineStr">
        <is>
          <t>3 - 5 Năm</t>
        </is>
      </c>
      <c r="L7442" s="11">
        <f>HYPERLINK("https://careerviet.vn/vi/tim-viec-lam/tro-ly-san-xuat.35C6A967.html","Xem chi tiết")</f>
        <v/>
      </c>
      <c r="M7442" s="10" t="n"/>
    </row>
    <row r="7443">
      <c r="B7443" s="7" t="n">
        <v>7441</v>
      </c>
      <c r="C7443" t="inlineStr">
        <is>
          <t>Market &amp; Category Research Specialist (FMCG)</t>
        </is>
      </c>
      <c r="D7443" t="inlineStr">
        <is>
          <t>Concung.com - Con Cung Joint Stock Company</t>
        </is>
      </c>
      <c r="E7443" t="inlineStr">
        <is>
          <t>Lương:Cạnh tranh</t>
        </is>
      </c>
      <c r="F7443" t="inlineStr">
        <is>
          <t>Hồ Chí Minh</t>
        </is>
      </c>
      <c r="G7443" t="inlineStr">
        <is>
          <t>31-03-2026</t>
        </is>
      </c>
      <c r="H7443" t="inlineStr">
        <is>
          <t>31/03/2026</t>
        </is>
      </c>
      <c r="I7443" t="inlineStr">
        <is>
          <t>17/03/2026</t>
        </is>
      </c>
      <c r="J7443" t="inlineStr">
        <is>
          <t>Bán lẻ / Bán sỉ, Hàng gia dụng / Chăm sóc cá nhân, Dược phẩm/ Hóa Mỹ Phẩm</t>
        </is>
      </c>
      <c r="K7443" t="inlineStr">
        <is>
          <t>Trên 4 Năm</t>
        </is>
      </c>
      <c r="L7443" s="8">
        <f>HYPERLINK("https://careerviet.vn/vi/tim-viec-lam/market-category-research-specialist-fmcg.35C6A883.html","Xem chi tiết")</f>
        <v/>
      </c>
    </row>
    <row r="7444">
      <c r="B7444" s="9" t="n">
        <v>7442</v>
      </c>
      <c r="C7444" s="10" t="inlineStr">
        <is>
          <t>Nhân Viên Bán Hàng Showroom Thủ Đức</t>
        </is>
      </c>
      <c r="D7444" s="10" t="inlineStr">
        <is>
          <t>Công ty TNHH Minh Long I</t>
        </is>
      </c>
      <c r="E7444" s="10" t="inlineStr">
        <is>
          <t>Lương:10 Tr - 15 Tr VND</t>
        </is>
      </c>
      <c r="F7444" s="10" t="inlineStr">
        <is>
          <t>Hồ Chí Minh</t>
        </is>
      </c>
      <c r="G7444" s="10" t="inlineStr">
        <is>
          <t>04-04-2026</t>
        </is>
      </c>
      <c r="H7444" s="10" t="inlineStr">
        <is>
          <t>04/04/2026</t>
        </is>
      </c>
      <c r="I7444" s="10" t="inlineStr">
        <is>
          <t>17/03/2026</t>
        </is>
      </c>
      <c r="J7444" s="10" t="inlineStr">
        <is>
          <t>Bán lẻ / Bán sỉ, Bán hàng / Kinh doanh, Tiếp thị / Marketing</t>
        </is>
      </c>
      <c r="K7444" s="10" t="inlineStr">
        <is>
          <t>Chưa có kinh nghiệm</t>
        </is>
      </c>
      <c r="L7444" s="11">
        <f>HYPERLINK("https://careerviet.vn/vi/tim-viec-lam/nhan-vien-ban-hang-showroom-thu-duc.35C6A72E.html","Xem chi tiết")</f>
        <v/>
      </c>
      <c r="M7444" s="10" t="n"/>
    </row>
    <row r="7445">
      <c r="B7445" s="7" t="n">
        <v>7443</v>
      </c>
      <c r="C7445" t="inlineStr">
        <is>
          <t>Trade Marketing Admin</t>
        </is>
      </c>
      <c r="D7445" t="inlineStr">
        <is>
          <t>Công Ty TNHH CJ Foods Việt Nam</t>
        </is>
      </c>
      <c r="E7445" t="inlineStr">
        <is>
          <t>Lương:Cạnh tranh</t>
        </is>
      </c>
      <c r="F7445" t="inlineStr">
        <is>
          <t>Hà Nội</t>
        </is>
      </c>
      <c r="G7445" t="inlineStr">
        <is>
          <t>30-04-2026</t>
        </is>
      </c>
      <c r="H7445" t="inlineStr">
        <is>
          <t>30/04/2026</t>
        </is>
      </c>
      <c r="I7445" t="inlineStr">
        <is>
          <t>17/03/2026</t>
        </is>
      </c>
      <c r="J7445" t="inlineStr">
        <is>
          <t>Tiếp thị / Marketing, Hành chính / Thư ký, Ngành khác</t>
        </is>
      </c>
      <c r="K7445" t="inlineStr">
        <is>
          <t>1 - 2 Năm</t>
        </is>
      </c>
      <c r="L7445" s="8">
        <f>HYPERLINK("https://careerviet.vn/vi/tim-viec-lam/trade-marketing-admin.35C6AAD7.html","Xem chi tiết")</f>
        <v/>
      </c>
    </row>
    <row r="7446">
      <c r="B7446" s="9" t="n">
        <v>7444</v>
      </c>
      <c r="C7446" s="10" t="inlineStr">
        <is>
          <t>Chuyên viên Tổ chức Giám sát Camera</t>
        </is>
      </c>
      <c r="D7446" s="10" t="inlineStr">
        <is>
          <t>Nova Service Group - Công ty Cổ phần Tập đoàn Nova Services</t>
        </is>
      </c>
      <c r="E7446" s="10" t="inlineStr">
        <is>
          <t>Lương:Cạnh tranh</t>
        </is>
      </c>
      <c r="F7446" s="10" t="inlineStr">
        <is>
          <t>Hồ Chí Minh</t>
        </is>
      </c>
      <c r="G7446" s="10" t="inlineStr">
        <is>
          <t>30-04-2026</t>
        </is>
      </c>
      <c r="H7446" s="10" t="inlineStr">
        <is>
          <t>30/04/2026</t>
        </is>
      </c>
      <c r="I7446" s="10" t="inlineStr">
        <is>
          <t>17/03/2026</t>
        </is>
      </c>
      <c r="J7446" s="10" t="inlineStr">
        <is>
          <t>An Ninh / Bảo Vệ</t>
        </is>
      </c>
      <c r="K7446" s="10" t="inlineStr">
        <is>
          <t>3 - 5 Năm</t>
        </is>
      </c>
      <c r="L7446" s="11">
        <f>HYPERLINK("https://careerviet.vn/vi/tim-viec-lam/chuyen-vien-to-chuc-giam-sat-camera.35C6A8FA.html","Xem chi tiết")</f>
        <v/>
      </c>
      <c r="M7446" s="10" t="n"/>
    </row>
    <row r="7447">
      <c r="B7447" s="7" t="n">
        <v>7445</v>
      </c>
      <c r="C7447" t="inlineStr">
        <is>
          <t>Nhân viên Bán hàng - Pleiku</t>
        </is>
      </c>
      <c r="D7447" t="inlineStr">
        <is>
          <t>CT CP Tập Đoàn Thái Tuấn</t>
        </is>
      </c>
      <c r="E7447" t="inlineStr">
        <is>
          <t>Lương:7 Tr - 10 Tr VND</t>
        </is>
      </c>
      <c r="F7447" t="inlineStr">
        <is>
          <t>Gia Lai</t>
        </is>
      </c>
      <c r="G7447" t="inlineStr">
        <is>
          <t>02-04-2026</t>
        </is>
      </c>
      <c r="H7447" t="inlineStr">
        <is>
          <t>02/04/2026</t>
        </is>
      </c>
      <c r="I7447" t="inlineStr">
        <is>
          <t>17/03/2026</t>
        </is>
      </c>
      <c r="J7447" t="inlineStr">
        <is>
          <t>Bán lẻ / Bán sỉ, Bán hàng / Kinh doanh, Dệt may / Da giày / Thời trang</t>
        </is>
      </c>
      <c r="K7447" t="inlineStr">
        <is>
          <t>N/A</t>
        </is>
      </c>
      <c r="L7447" s="8">
        <f>HYPERLINK("https://careerviet.vn/vi/tim-viec-lam/nhan-vien-ban-hang-pleiku.35C6A7B9.html","Xem chi tiết")</f>
        <v/>
      </c>
    </row>
    <row r="7448">
      <c r="B7448" s="9" t="n">
        <v>7446</v>
      </c>
      <c r="C7448" s="10" t="inlineStr">
        <is>
          <t>TRƯỞNG PHÒNG KẾ TOÁN HÀNH CHÍNH</t>
        </is>
      </c>
      <c r="D7448" s="10" t="inlineStr">
        <is>
          <t>VDSC - Công ty CP Chứng khoán Rồng Việt</t>
        </is>
      </c>
      <c r="E7448" s="10" t="inlineStr">
        <is>
          <t>Lương:14 Tr - 18 Tr VND</t>
        </is>
      </c>
      <c r="F7448" s="10" t="inlineStr">
        <is>
          <t>Cần Thơ</t>
        </is>
      </c>
      <c r="G7448" s="10" t="inlineStr">
        <is>
          <t>30-04-2026</t>
        </is>
      </c>
      <c r="H7448" s="10" t="inlineStr">
        <is>
          <t>30/04/2026</t>
        </is>
      </c>
      <c r="I7448" s="10" t="inlineStr">
        <is>
          <t>17/03/2026</t>
        </is>
      </c>
      <c r="J7448" s="10" t="inlineStr">
        <is>
          <t>Kế toán / Kiểm toán, Chứng khoán, Tài chính / Đầu tư</t>
        </is>
      </c>
      <c r="K7448" s="10" t="inlineStr">
        <is>
          <t>3 - 5 Năm</t>
        </is>
      </c>
      <c r="L7448" s="11">
        <f>HYPERLINK("https://careerviet.vn/vi/tim-viec-lam/truong-phong-ke-toan-hanh-chinh.35C6A8EA.html","Xem chi tiết")</f>
        <v/>
      </c>
      <c r="M7448" s="10" t="n"/>
    </row>
    <row r="7449">
      <c r="B7449" s="7" t="n">
        <v>7447</v>
      </c>
      <c r="C7449" t="inlineStr">
        <is>
          <t>KẾ TOÁN KINH DOANH VẬT TƯ</t>
        </is>
      </c>
      <c r="D7449" t="inlineStr">
        <is>
          <t>Tổng công ty Xây dựng số 1 – CTCP</t>
        </is>
      </c>
      <c r="E7449" t="inlineStr">
        <is>
          <t>Lương:Cạnh tranh</t>
        </is>
      </c>
      <c r="F7449" t="inlineStr">
        <is>
          <t>Hồ Chí Minh</t>
        </is>
      </c>
      <c r="G7449" t="inlineStr">
        <is>
          <t>02-04-2026</t>
        </is>
      </c>
      <c r="H7449" t="inlineStr">
        <is>
          <t>02/04/2026</t>
        </is>
      </c>
      <c r="I7449" t="inlineStr">
        <is>
          <t>17/03/2026</t>
        </is>
      </c>
      <c r="J7449" t="inlineStr">
        <is>
          <t>Kế toán / Kiểm toán</t>
        </is>
      </c>
      <c r="K7449" t="inlineStr">
        <is>
          <t>3 - 5 Năm</t>
        </is>
      </c>
      <c r="L7449" s="8">
        <f>HYPERLINK("https://careerviet.vn/vi/tim-viec-lam/ke-toan-kinh-doanh-vat-tu.35C6A92C.html","Xem chi tiết")</f>
        <v/>
      </c>
    </row>
    <row r="7450">
      <c r="B7450" s="9" t="n">
        <v>7448</v>
      </c>
      <c r="C7450" s="10" t="inlineStr">
        <is>
          <t>CHUYÊN VIÊN KẾ TOÁN</t>
        </is>
      </c>
      <c r="D7450" s="10" t="inlineStr">
        <is>
          <t>CÔNG TY CỔ PHẦN IFF HOLDINGS</t>
        </is>
      </c>
      <c r="E7450" s="10" t="inlineStr">
        <is>
          <t>Lương:14 Tr - 17 Tr VND</t>
        </is>
      </c>
      <c r="F7450" s="10" t="inlineStr">
        <is>
          <t>Hồ Chí Minh</t>
        </is>
      </c>
      <c r="G7450" s="10" t="inlineStr">
        <is>
          <t>03-04-2026</t>
        </is>
      </c>
      <c r="H7450" s="10" t="inlineStr">
        <is>
          <t>03/04/2026</t>
        </is>
      </c>
      <c r="I7450" s="10" t="inlineStr">
        <is>
          <t>17/03/2026</t>
        </is>
      </c>
      <c r="J7450" s="10" t="inlineStr">
        <is>
          <t>Kế toán / Kiểm toán</t>
        </is>
      </c>
      <c r="K7450" s="10" t="inlineStr">
        <is>
          <t>2 - 3 Năm</t>
        </is>
      </c>
      <c r="L7450" s="11">
        <f>HYPERLINK("https://careerviet.vn/vi/tim-viec-lam/chuyen-vien-ke-toan.35C6AA42.html","Xem chi tiết")</f>
        <v/>
      </c>
      <c r="M7450" s="10" t="n"/>
    </row>
    <row r="7451">
      <c r="B7451" s="7" t="n">
        <v>7449</v>
      </c>
      <c r="C7451" t="inlineStr">
        <is>
          <t>Giám Sát An Toàn Lao Động</t>
        </is>
      </c>
      <c r="D7451" t="inlineStr">
        <is>
          <t>Công Ty TNHH Kỹ Thuật Và Xây Dựng TAMADA</t>
        </is>
      </c>
      <c r="E7451" t="inlineStr">
        <is>
          <t>Lương:13 Tr - 15 Tr VND</t>
        </is>
      </c>
      <c r="F7451" t="inlineStr">
        <is>
          <t>Hồ Chí Minh</t>
        </is>
      </c>
      <c r="G7451" t="inlineStr">
        <is>
          <t>09-04-2026</t>
        </is>
      </c>
      <c r="H7451" t="inlineStr">
        <is>
          <t>09/04/2026</t>
        </is>
      </c>
      <c r="I7451" t="inlineStr">
        <is>
          <t>17/03/2026</t>
        </is>
      </c>
      <c r="J7451" t="inlineStr">
        <is>
          <t>Điện / Điện tử / Điện lạnh / Điện công nghiệp, An toàn lao động</t>
        </is>
      </c>
      <c r="K7451" t="inlineStr">
        <is>
          <t>Trên 1 Năm</t>
        </is>
      </c>
      <c r="L7451" s="8">
        <f>HYPERLINK("https://careerviet.vn/vi/tim-viec-lam/giam-sat-an-toan-lao-dong.35C6BC89.html","Xem chi tiết")</f>
        <v/>
      </c>
    </row>
    <row r="7452">
      <c r="B7452" s="9" t="n">
        <v>7450</v>
      </c>
      <c r="C7452" s="10" t="inlineStr">
        <is>
          <t>Process Quality Engineer</t>
        </is>
      </c>
      <c r="D7452" s="10" t="inlineStr">
        <is>
          <t>Coherent Corp.</t>
        </is>
      </c>
      <c r="E7452" s="10" t="inlineStr">
        <is>
          <t>Lương:Cạnh tranh</t>
        </is>
      </c>
      <c r="F7452" s="10" t="inlineStr">
        <is>
          <t>Đồng Nai</t>
        </is>
      </c>
      <c r="G7452" s="10" t="inlineStr">
        <is>
          <t>31-03-2026</t>
        </is>
      </c>
      <c r="H7452" s="10" t="inlineStr">
        <is>
          <t>31/03/2026</t>
        </is>
      </c>
      <c r="I7452" s="10" t="inlineStr">
        <is>
          <t>17/03/2026</t>
        </is>
      </c>
      <c r="J7452" s="10" t="inlineStr">
        <is>
          <t>Quản lý chất lượng (QA/QC)</t>
        </is>
      </c>
      <c r="K7452" s="10" t="inlineStr">
        <is>
          <t>Trên 3 Năm</t>
        </is>
      </c>
      <c r="L7452" s="11">
        <f>HYPERLINK("https://careerviet.vn/vi/tim-viec-lam/process-quality-engineer.35C6AB0C.html","Xem chi tiết")</f>
        <v/>
      </c>
      <c r="M7452" s="10" t="n"/>
    </row>
    <row r="7453">
      <c r="B7453" s="7" t="n">
        <v>7451</v>
      </c>
      <c r="C7453" t="inlineStr">
        <is>
          <t>Chuyên viên / Chuyên viên Cao cấp Quản lý Rủi ro Hoạt động - Hội sở HCM</t>
        </is>
      </c>
      <c r="D7453" t="inlineStr">
        <is>
          <t>Ngân hàng TMCP Phát triển TP.HCM (HDBank)</t>
        </is>
      </c>
      <c r="E7453" t="inlineStr">
        <is>
          <t>Lương:15 Tr - 25 Tr VND</t>
        </is>
      </c>
      <c r="F7453" t="inlineStr">
        <is>
          <t>Hồ Chí Minh</t>
        </is>
      </c>
      <c r="G7453" t="inlineStr">
        <is>
          <t>31-03-2026</t>
        </is>
      </c>
      <c r="H7453" t="inlineStr">
        <is>
          <t>31/03/2026</t>
        </is>
      </c>
      <c r="I7453" t="inlineStr">
        <is>
          <t>17/03/2026</t>
        </is>
      </c>
      <c r="J7453" t="inlineStr">
        <is>
          <t>Kế toán / Kiểm toán, Ngân hàng, Tài chính / Đầu tư</t>
        </is>
      </c>
      <c r="K7453" t="inlineStr">
        <is>
          <t>2 - 5 Năm</t>
        </is>
      </c>
      <c r="L7453" s="8">
        <f>HYPERLINK("https://careerviet.vn/vi/tim-viec-lam/chuyen-vien-chuyen-vien-cao-cap-quan-ly-rui-ro-hoat-dong-hoi-so-hcm.35C6A8F2.html","Xem chi tiết")</f>
        <v/>
      </c>
    </row>
    <row r="7454">
      <c r="B7454" s="9" t="n">
        <v>7452</v>
      </c>
      <c r="C7454" s="10" t="inlineStr">
        <is>
          <t>Chuyên Viên Quan Hệ Khách Hàng - [BAC A BANK - Chi Nhánh Hà Nam/Quảng Ninh/ Phú Thọ]</t>
        </is>
      </c>
      <c r="D7454" s="10" t="inlineStr">
        <is>
          <t>Ngân Hàng Thương mại cổ phần Bắc Á- BAC A BANK</t>
        </is>
      </c>
      <c r="E7454" s="10" t="inlineStr">
        <is>
          <t>Lương:Cạnh tranh</t>
        </is>
      </c>
      <c r="F7454" s="10" t="inlineStr">
        <is>
          <t>Hà NamQuảng NinhPhú Thọ</t>
        </is>
      </c>
      <c r="G7454" s="10" t="inlineStr">
        <is>
          <t>07-04-2026</t>
        </is>
      </c>
      <c r="H7454" s="10" t="inlineStr">
        <is>
          <t>07/04/2026</t>
        </is>
      </c>
      <c r="I7454" s="10" t="inlineStr">
        <is>
          <t>17/03/2026</t>
        </is>
      </c>
      <c r="J7454" s="10" t="inlineStr">
        <is>
          <t>Ngân hàng, Bán hàng / Kinh doanh, Mới tốt nghiệp / Thực tập</t>
        </is>
      </c>
      <c r="K7454" s="10" t="inlineStr">
        <is>
          <t>Chưa có kinh nghiệm</t>
        </is>
      </c>
      <c r="L7454" s="11">
        <f>HYPERLINK("https://careerviet.vn/vi/tim-viec-lam/chuyen-vien-quan-he-khach-hang-bac-a-bank-chi-nhanh-ha-nam-quang-ninh-phu-tho.35C6BD59.html","Xem chi tiết")</f>
        <v/>
      </c>
      <c r="M7454" s="10" t="n"/>
    </row>
    <row r="7455">
      <c r="B7455" s="7" t="n">
        <v>7453</v>
      </c>
      <c r="C7455" t="inlineStr">
        <is>
          <t>Chuyên Viên Phát Triển Nhân Hiệu Cơ Sở - Vinmec Times City</t>
        </is>
      </c>
      <c r="D7455" t="inlineStr">
        <is>
          <t>Công ty CP Bệnh Viện Đa Khoa Quốc Tế Vinmec</t>
        </is>
      </c>
      <c r="E7455" t="inlineStr">
        <is>
          <t>Lương:Cạnh tranh</t>
        </is>
      </c>
      <c r="F7455" t="inlineStr">
        <is>
          <t>Hà Nội</t>
        </is>
      </c>
      <c r="G7455" t="inlineStr">
        <is>
          <t>31-03-2026</t>
        </is>
      </c>
      <c r="H7455" t="inlineStr">
        <is>
          <t>31/03/2026</t>
        </is>
      </c>
      <c r="I7455" t="inlineStr">
        <is>
          <t>17/03/2026</t>
        </is>
      </c>
      <c r="J7455" t="inlineStr">
        <is>
          <t>Tiếp thị / Marketing, Y tế / Chăm sóc sức khỏe / Thẩm mỹ / Làm đẹp</t>
        </is>
      </c>
      <c r="K7455" t="inlineStr">
        <is>
          <t>Trên 1 Năm</t>
        </is>
      </c>
      <c r="L7455" s="8">
        <f>HYPERLINK("https://careerviet.vn/vi/tim-viec-lam/chuyen-vien-phat-trien-nhan-hieu-co-so-vinmec-times-city.35C6BD12.html","Xem chi tiết")</f>
        <v/>
      </c>
    </row>
    <row r="7456">
      <c r="B7456" s="9" t="n">
        <v>7454</v>
      </c>
      <c r="C7456" s="10" t="inlineStr">
        <is>
          <t>Chuyên Viên Quan Hệ Khách Hàng - [BAC A BANK - Chi nhánh Hải Phòng/ Hưng Yên/Yên Bái]</t>
        </is>
      </c>
      <c r="D7456" s="10" t="inlineStr">
        <is>
          <t>Ngân Hàng Thương mại cổ phần Bắc Á- BAC A BANK</t>
        </is>
      </c>
      <c r="E7456" s="10" t="inlineStr">
        <is>
          <t>Lương:Cạnh tranh</t>
        </is>
      </c>
      <c r="F7456" s="10" t="inlineStr">
        <is>
          <t>Yên BáiHưng YênHải Phòng</t>
        </is>
      </c>
      <c r="G7456" s="10" t="inlineStr">
        <is>
          <t>08-04-2026</t>
        </is>
      </c>
      <c r="H7456" s="10" t="inlineStr">
        <is>
          <t>08/04/2026</t>
        </is>
      </c>
      <c r="I7456" s="10" t="inlineStr">
        <is>
          <t>17/03/2026</t>
        </is>
      </c>
      <c r="J7456" s="10" t="inlineStr">
        <is>
          <t>Ngân hàng, Bán hàng / Kinh doanh, Mới tốt nghiệp / Thực tập</t>
        </is>
      </c>
      <c r="K7456" s="10" t="inlineStr">
        <is>
          <t>Chưa có kinh nghiệm</t>
        </is>
      </c>
      <c r="L7456" s="11">
        <f>HYPERLINK("https://careerviet.vn/vi/tim-viec-lam/chuyen-vien-quan-he-khach-hang-bac-a-bank-chi-nhanh-hai-phong-hung-yen-yen-bai.35C6BD49.html","Xem chi tiết")</f>
        <v/>
      </c>
      <c r="M7456" s="10" t="n"/>
    </row>
    <row r="7457">
      <c r="B7457" s="7" t="n">
        <v>7455</v>
      </c>
      <c r="C7457" t="inlineStr">
        <is>
          <t>Chuyên viên Quay Dựng Media</t>
        </is>
      </c>
      <c r="D7457" t="inlineStr">
        <is>
          <t>Công Ty Cổ Phần Dịch Vụ Bất Động Sản Danh Khôi</t>
        </is>
      </c>
      <c r="E7457" t="inlineStr">
        <is>
          <t>Lương:17 Tr - 20 Tr VND</t>
        </is>
      </c>
      <c r="F7457" t="inlineStr">
        <is>
          <t>Hồ Chí Minh</t>
        </is>
      </c>
      <c r="G7457" t="inlineStr">
        <is>
          <t>31-03-2026</t>
        </is>
      </c>
      <c r="H7457" t="inlineStr">
        <is>
          <t>31/03/2026</t>
        </is>
      </c>
      <c r="I7457" t="inlineStr">
        <is>
          <t>17/03/2026</t>
        </is>
      </c>
      <c r="J7457" t="inlineStr">
        <is>
          <t>Tổ chức sự kiện, Truyền hình / Báo chí / Biên tập, Bất động sản</t>
        </is>
      </c>
      <c r="K7457" t="inlineStr">
        <is>
          <t>1 - 3 Năm</t>
        </is>
      </c>
      <c r="L7457" s="8">
        <f>HYPERLINK("https://careerviet.vn/vi/tim-viec-lam/chuyen-vien-quay-dung-media.35C6BCE4.html","Xem chi tiết")</f>
        <v/>
      </c>
    </row>
    <row r="7458">
      <c r="B7458" s="9" t="n">
        <v>7456</v>
      </c>
      <c r="C7458" s="10" t="inlineStr">
        <is>
          <t>Kế Toán Doanh Thu Chủ Đầu Tư Bất Động Sản</t>
        </is>
      </c>
      <c r="D7458" s="10" t="inlineStr">
        <is>
          <t>CÔNG TY CỔ PHẦN ĐẦU TƯ ĐÔNG BẮC LAND</t>
        </is>
      </c>
      <c r="E7458" s="10" t="inlineStr">
        <is>
          <t>Lương:15 Tr - 20 Tr VND</t>
        </is>
      </c>
      <c r="F7458" s="10" t="inlineStr">
        <is>
          <t>Hà Nội</t>
        </is>
      </c>
      <c r="G7458" s="10" t="inlineStr">
        <is>
          <t>10-04-2026</t>
        </is>
      </c>
      <c r="H7458" s="10" t="inlineStr">
        <is>
          <t>10/04/2026</t>
        </is>
      </c>
      <c r="I7458" s="10" t="inlineStr">
        <is>
          <t>17/03/2026</t>
        </is>
      </c>
      <c r="J7458" s="10" t="inlineStr">
        <is>
          <t>Bất động sản, Tài chính / Đầu tư, Kế toán / Kiểm toán</t>
        </is>
      </c>
      <c r="K7458" s="10" t="inlineStr">
        <is>
          <t>Trên 3 Năm</t>
        </is>
      </c>
      <c r="L7458" s="11">
        <f>HYPERLINK("https://careerviet.vn/vi/tim-viec-lam/ke-toan-doanh-thu-chu-dau-tu-bat-dong-san.35C6BD44.html","Xem chi tiết")</f>
        <v/>
      </c>
      <c r="M7458" s="10" t="n"/>
    </row>
    <row r="7459">
      <c r="B7459" s="7" t="n">
        <v>7457</v>
      </c>
      <c r="C7459" t="inlineStr">
        <is>
          <t>Trưởng phòng Kế hoạch</t>
        </is>
      </c>
      <c r="D7459" t="inlineStr">
        <is>
          <t>Công Ty Cổ Phần Eurowindow</t>
        </is>
      </c>
      <c r="E7459" t="inlineStr">
        <is>
          <t>Lương:Cạnh tranh</t>
        </is>
      </c>
      <c r="F7459" t="inlineStr">
        <is>
          <t>Hà Nội</t>
        </is>
      </c>
      <c r="G7459" t="inlineStr">
        <is>
          <t>29-04-2026</t>
        </is>
      </c>
      <c r="H7459" t="inlineStr">
        <is>
          <t>29/04/2026</t>
        </is>
      </c>
      <c r="I7459" t="inlineStr">
        <is>
          <t>17/03/2026</t>
        </is>
      </c>
      <c r="J7459" t="inlineStr">
        <is>
          <t>Cơ khí / Ô tô / Tự động hóa, Quản lý điều hành, Sản xuất / Vận hành sản xuất</t>
        </is>
      </c>
      <c r="K7459" t="inlineStr">
        <is>
          <t>2 - 3 Năm</t>
        </is>
      </c>
      <c r="L7459" s="8">
        <f>HYPERLINK("https://careerviet.vn/vi/tim-viec-lam/truong-phong-ke-hoach.35C6BDD5.html","Xem chi tiết")</f>
        <v/>
      </c>
    </row>
    <row r="7460">
      <c r="B7460" s="9" t="n">
        <v>7458</v>
      </c>
      <c r="C7460" s="10" t="inlineStr">
        <is>
          <t>Chuyên viên Vận hành</t>
        </is>
      </c>
      <c r="D7460" s="10" t="inlineStr">
        <is>
          <t>CÔNG TY CỔ PHẦN KINH DOANH F88</t>
        </is>
      </c>
      <c r="E7460" s="10" t="inlineStr">
        <is>
          <t>Lương:11 Tr - 13 Tr VND</t>
        </is>
      </c>
      <c r="F7460" s="10" t="inlineStr">
        <is>
          <t>Hồ Chí Minh</t>
        </is>
      </c>
      <c r="G7460" s="10" t="inlineStr">
        <is>
          <t>09-04-2026</t>
        </is>
      </c>
      <c r="H7460" s="10" t="inlineStr">
        <is>
          <t>09/04/2026</t>
        </is>
      </c>
      <c r="I7460" s="10" t="inlineStr">
        <is>
          <t>17/03/2026</t>
        </is>
      </c>
      <c r="J7460" s="10" t="inlineStr">
        <is>
          <t>Dịch vụ khách hàng, Bán hàng / Kinh doanh, Ngân hàng</t>
        </is>
      </c>
      <c r="K7460" s="10" t="inlineStr">
        <is>
          <t>Lên đến 1 Năm</t>
        </is>
      </c>
      <c r="L7460" s="11">
        <f>HYPERLINK("https://careerviet.vn/vi/tim-viec-lam/chuyen-vien-van-hanh.35C6BB5E.html","Xem chi tiết")</f>
        <v/>
      </c>
      <c r="M7460" s="10" t="n"/>
    </row>
    <row r="7461">
      <c r="B7461" s="7" t="n">
        <v>7459</v>
      </c>
      <c r="C7461" t="inlineStr">
        <is>
          <t>Nhân viên bảo trì</t>
        </is>
      </c>
      <c r="D7461" t="inlineStr">
        <is>
          <t>Công Ty Cổ Phần Gỗ An Cường</t>
        </is>
      </c>
      <c r="E7461" t="inlineStr">
        <is>
          <t>Lương:Cạnh tranh</t>
        </is>
      </c>
      <c r="F7461" t="inlineStr">
        <is>
          <t>Bình Dương</t>
        </is>
      </c>
      <c r="G7461" t="inlineStr">
        <is>
          <t>10-04-2026</t>
        </is>
      </c>
      <c r="H7461" t="inlineStr">
        <is>
          <t>10/04/2026</t>
        </is>
      </c>
      <c r="I7461" t="inlineStr">
        <is>
          <t>17/03/2026</t>
        </is>
      </c>
      <c r="J7461" t="inlineStr">
        <is>
          <t>Bảo trì / Sửa chữa, Điện / Điện tử / Điện lạnh / Điện công nghiệp, Cơ khí / Ô tô / Tự động hóa</t>
        </is>
      </c>
      <c r="K7461" t="inlineStr">
        <is>
          <t>1 - 2 Năm</t>
        </is>
      </c>
      <c r="L7461" s="8">
        <f>HYPERLINK("https://careerviet.vn/vi/tim-viec-lam/nhan-vien-bao-tri.35C6BD76.html","Xem chi tiết")</f>
        <v/>
      </c>
    </row>
    <row r="7462">
      <c r="B7462" s="9" t="n">
        <v>7460</v>
      </c>
      <c r="C7462" s="10" t="inlineStr">
        <is>
          <t>Giám Nhà Hàng F&amp;B ( Tiếng Anh giao tiếp trong công việc )</t>
        </is>
      </c>
      <c r="D7462" s="10" t="inlineStr">
        <is>
          <t>Công ty TNHH Sản xuất Thương mại &amp; Dịch vụ Hoa Xinh</t>
        </is>
      </c>
      <c r="E7462" s="10" t="inlineStr">
        <is>
          <t>Lương:Cạnh tranh</t>
        </is>
      </c>
      <c r="F7462" s="10" t="inlineStr">
        <is>
          <t>Hồ Chí Minh</t>
        </is>
      </c>
      <c r="G7462" s="10" t="inlineStr">
        <is>
          <t>08-04-2026</t>
        </is>
      </c>
      <c r="H7462" s="10" t="inlineStr">
        <is>
          <t>08/04/2026</t>
        </is>
      </c>
      <c r="I7462" s="10" t="inlineStr">
        <is>
          <t>17/03/2026</t>
        </is>
      </c>
      <c r="J7462" s="10" t="inlineStr">
        <is>
          <t>Nhà hàng / Khách sạn, Bán lẻ / Bán sỉ, Bán hàng / Kinh doanh</t>
        </is>
      </c>
      <c r="K7462" s="10" t="inlineStr">
        <is>
          <t>1 - 5 Năm</t>
        </is>
      </c>
      <c r="L7462" s="11">
        <f>HYPERLINK("https://careerviet.vn/vi/tim-viec-lam/giam-nha-hang-f-b-tieng-anh-giao-tiep-trong-cong-viec.35C6BD2C.html","Xem chi tiết")</f>
        <v/>
      </c>
      <c r="M7462" s="10" t="n"/>
    </row>
    <row r="7463">
      <c r="B7463" s="7" t="n">
        <v>7461</v>
      </c>
      <c r="C7463" t="inlineStr">
        <is>
          <t>Hành Chính Nhân Sự</t>
        </is>
      </c>
      <c r="D7463" t="inlineStr">
        <is>
          <t>Công ty Cổ phần thời trang quốc tế Glamor</t>
        </is>
      </c>
      <c r="E7463" t="inlineStr">
        <is>
          <t>Lương:8 Tr - 10 Tr VND</t>
        </is>
      </c>
      <c r="F7463" t="inlineStr">
        <is>
          <t>Hà Nội</t>
        </is>
      </c>
      <c r="G7463" t="inlineStr">
        <is>
          <t>10-04-2026</t>
        </is>
      </c>
      <c r="H7463" t="inlineStr">
        <is>
          <t>10/04/2026</t>
        </is>
      </c>
      <c r="I7463" t="inlineStr">
        <is>
          <t>17/03/2026</t>
        </is>
      </c>
      <c r="J7463" t="inlineStr">
        <is>
          <t>Nhân sự</t>
        </is>
      </c>
      <c r="K7463" t="inlineStr">
        <is>
          <t>Trên 1 Năm</t>
        </is>
      </c>
      <c r="L7463" s="8">
        <f>HYPERLINK("https://careerviet.vn/vi/tim-viec-lam/hanh-chinh-nhan-su.35C6BD48.html","Xem chi tiết")</f>
        <v/>
      </c>
    </row>
    <row r="7464">
      <c r="B7464" s="9" t="n">
        <v>7462</v>
      </c>
      <c r="C7464" s="10" t="inlineStr">
        <is>
          <t>Chuyên viên cao cấp pháp chế  - TNEX - 4Z008</t>
        </is>
      </c>
      <c r="D7464" s="10" t="inlineStr">
        <is>
          <t>Tập đoàn ROX (ROX Group)</t>
        </is>
      </c>
      <c r="E7464" s="10" t="inlineStr">
        <is>
          <t>Lương:Cạnh tranh</t>
        </is>
      </c>
      <c r="F7464" s="10" t="inlineStr">
        <is>
          <t>Hà Nội</t>
        </is>
      </c>
      <c r="G7464" s="10" t="inlineStr">
        <is>
          <t>07-04-2026</t>
        </is>
      </c>
      <c r="H7464" s="10" t="inlineStr">
        <is>
          <t>07/04/2026</t>
        </is>
      </c>
      <c r="I7464" s="10" t="inlineStr">
        <is>
          <t>17/03/2026</t>
        </is>
      </c>
      <c r="J7464" s="10" t="inlineStr">
        <is>
          <t>Luật / Pháp lý, Tài chính / Đầu tư</t>
        </is>
      </c>
      <c r="K7464" s="10" t="inlineStr">
        <is>
          <t>Trên 5 Năm</t>
        </is>
      </c>
      <c r="L7464" s="11">
        <f>HYPERLINK("https://careerviet.vn/vi/tim-viec-lam/chuyen-vien-cao-cap-phap-che-tnex-4z008.35C6BC3A.html","Xem chi tiết")</f>
        <v/>
      </c>
      <c r="M7464" s="10" t="n"/>
    </row>
    <row r="7465">
      <c r="B7465" s="7" t="n">
        <v>7463</v>
      </c>
      <c r="C7465" t="inlineStr">
        <is>
          <t>Phó Giám Đốc kinh doanh  ( Mảng xây dựng dân dụng)</t>
        </is>
      </c>
      <c r="D7465" t="inlineStr">
        <is>
          <t>Tổng Công ty Cổ phần Công trình Viettel</t>
        </is>
      </c>
      <c r="E7465" t="inlineStr">
        <is>
          <t>Lương:40 Tr - 50 Tr VND</t>
        </is>
      </c>
      <c r="F7465" t="inlineStr">
        <is>
          <t>Hà Nội</t>
        </is>
      </c>
      <c r="G7465" t="inlineStr">
        <is>
          <t>30-03-2026</t>
        </is>
      </c>
      <c r="H7465" t="inlineStr">
        <is>
          <t>30/03/2026</t>
        </is>
      </c>
      <c r="I7465" t="inlineStr">
        <is>
          <t>17/03/2026</t>
        </is>
      </c>
      <c r="J7465" t="inlineStr">
        <is>
          <t>Kiến trúc, Quản lý điều hành, Bán hàng / Kinh doanh</t>
        </is>
      </c>
      <c r="K7465" t="inlineStr">
        <is>
          <t>3 - 5 Năm</t>
        </is>
      </c>
      <c r="L7465" s="8">
        <f>HYPERLINK("https://careerviet.vn/vi/tim-viec-lam/pho-giam-doc-kinh-doanh-mang-xay-dung-dan-dung.35C6BA9A.html","Xem chi tiết")</f>
        <v/>
      </c>
    </row>
    <row r="7466">
      <c r="B7466" s="9" t="n">
        <v>7464</v>
      </c>
      <c r="C7466" s="10" t="inlineStr">
        <is>
          <t>Chủ trì thiết kế kiêm kinh doanh [Xhome Việt Nam]</t>
        </is>
      </c>
      <c r="D7466" s="10" t="inlineStr">
        <is>
          <t>Công ty CP XHOME Việt Nam</t>
        </is>
      </c>
      <c r="E7466" s="10" t="inlineStr">
        <is>
          <t>Lương:25 Tr - 35 Tr VND</t>
        </is>
      </c>
      <c r="F7466" s="10" t="inlineStr">
        <is>
          <t>Hà Nội</t>
        </is>
      </c>
      <c r="G7466" s="10" t="inlineStr">
        <is>
          <t>05-04-2026</t>
        </is>
      </c>
      <c r="H7466" s="10" t="inlineStr">
        <is>
          <t>05/04/2026</t>
        </is>
      </c>
      <c r="I7466" s="10" t="inlineStr">
        <is>
          <t>17/03/2026</t>
        </is>
      </c>
      <c r="J7466" s="10" t="inlineStr">
        <is>
          <t>Bán hàng / Kinh doanh</t>
        </is>
      </c>
      <c r="K7466" s="10" t="inlineStr">
        <is>
          <t>2 - 3 Năm</t>
        </is>
      </c>
      <c r="L7466" s="11">
        <f>HYPERLINK("https://careerviet.vn/vi/tim-viec-lam/chu-tri-thiet-ke-kiem-kinh-doanh-xhome-viet-nam.35C6BC78.html","Xem chi tiết")</f>
        <v/>
      </c>
      <c r="M7466" s="10" t="n"/>
    </row>
    <row r="7467">
      <c r="B7467" s="7" t="n">
        <v>7465</v>
      </c>
      <c r="C7467" t="inlineStr">
        <is>
          <t>Kỹ sư Điện</t>
        </is>
      </c>
      <c r="D7467" t="inlineStr">
        <is>
          <t>Công ty TNHH Viettel - CHT</t>
        </is>
      </c>
      <c r="E7467" t="inlineStr">
        <is>
          <t>Lương:20 Tr - 50 Tr VND</t>
        </is>
      </c>
      <c r="F7467" t="inlineStr">
        <is>
          <t>Hồ Chí Minh</t>
        </is>
      </c>
      <c r="G7467" t="inlineStr">
        <is>
          <t>14-04-2026</t>
        </is>
      </c>
      <c r="H7467" t="inlineStr">
        <is>
          <t>14/04/2026</t>
        </is>
      </c>
      <c r="I7467" t="inlineStr">
        <is>
          <t>17/03/2026</t>
        </is>
      </c>
      <c r="J7467" t="inlineStr">
        <is>
          <t>Điện / Điện tử / Điện lạnh / Điện công nghiệp</t>
        </is>
      </c>
      <c r="K7467" t="inlineStr">
        <is>
          <t>Trên 2 Năm</t>
        </is>
      </c>
      <c r="L7467" s="8">
        <f>HYPERLINK("https://careerviet.vn/vi/tim-viec-lam/ky-su-dien.35C6BE02.html","Xem chi tiết")</f>
        <v/>
      </c>
    </row>
    <row r="7468">
      <c r="B7468" s="9" t="n">
        <v>7466</v>
      </c>
      <c r="C7468" s="10" t="inlineStr">
        <is>
          <t>Giám Sát Xây Dựng (xe đưa rước từ Q9 đi Long Thành)</t>
        </is>
      </c>
      <c r="D7468" s="10" t="inlineStr">
        <is>
          <t>CÔNG TY TNHH DK BUILD</t>
        </is>
      </c>
      <c r="E7468" s="10" t="inlineStr">
        <is>
          <t>Lương:15 Tr - 20 Tr VND</t>
        </is>
      </c>
      <c r="F7468" s="10" t="inlineStr">
        <is>
          <t>Hồ Chí MinhĐồng Nai</t>
        </is>
      </c>
      <c r="G7468" s="10" t="inlineStr">
        <is>
          <t>15-04-2026</t>
        </is>
      </c>
      <c r="H7468" s="10" t="inlineStr">
        <is>
          <t>15/04/2026</t>
        </is>
      </c>
      <c r="I7468" s="10" t="inlineStr">
        <is>
          <t>17/03/2026</t>
        </is>
      </c>
      <c r="J7468" s="10" t="inlineStr">
        <is>
          <t>Xây dựng, Quản lý điều hành</t>
        </is>
      </c>
      <c r="K7468" s="10" t="inlineStr">
        <is>
          <t>3 - 5 Năm</t>
        </is>
      </c>
      <c r="L7468" s="11">
        <f>HYPERLINK("https://careerviet.vn/vi/tim-viec-lam/giam-sat-xay-dung-xe-dua-ruoc-tu-q9-di-long-thanh.35C6BB0B.html","Xem chi tiết")</f>
        <v/>
      </c>
      <c r="M7468" s="10" t="n"/>
    </row>
    <row r="7469">
      <c r="B7469" s="7" t="n">
        <v>7467</v>
      </c>
      <c r="C7469" t="inlineStr">
        <is>
          <t>Nhân Viên Bán Hàng Thời Trang (Lục Nam)</t>
        </is>
      </c>
      <c r="D7469" t="inlineStr">
        <is>
          <t>Công Ty Cổ Phần Tập Đoàn Thời Trang Việt Nam</t>
        </is>
      </c>
      <c r="E7469" t="inlineStr">
        <is>
          <t>Lương:Cạnh tranh</t>
        </is>
      </c>
      <c r="F7469" t="inlineStr">
        <is>
          <t>Bắc Giang</t>
        </is>
      </c>
      <c r="G7469" t="inlineStr">
        <is>
          <t>10-04-2026</t>
        </is>
      </c>
      <c r="H7469" t="inlineStr">
        <is>
          <t>10/04/2026</t>
        </is>
      </c>
      <c r="I7469" t="inlineStr">
        <is>
          <t>17/03/2026</t>
        </is>
      </c>
      <c r="J7469" t="inlineStr">
        <is>
          <t>Bán lẻ / Bán sỉ</t>
        </is>
      </c>
      <c r="K7469" t="inlineStr">
        <is>
          <t>N/A</t>
        </is>
      </c>
      <c r="L7469" s="8">
        <f>HYPERLINK("https://careerviet.vn/vi/tim-viec-lam/nhan-vien-ban-hang-thoi-trang-luc-nam.35C6BB6D.html","Xem chi tiết")</f>
        <v/>
      </c>
    </row>
    <row r="7470">
      <c r="B7470" s="9" t="n">
        <v>7468</v>
      </c>
      <c r="C7470" s="10" t="inlineStr">
        <is>
          <t>Chuyên Viên Thiết Kế (Graphic Desinger)</t>
        </is>
      </c>
      <c r="D7470" s="10" t="inlineStr">
        <is>
          <t>CÔNG TY CỔ PHẦN VUA NỆM</t>
        </is>
      </c>
      <c r="E7470" s="10" t="inlineStr">
        <is>
          <t>Lương:14 Tr - 17 Tr VND</t>
        </is>
      </c>
      <c r="F7470" s="10" t="inlineStr">
        <is>
          <t>Hà Nội</t>
        </is>
      </c>
      <c r="G7470" s="10" t="inlineStr">
        <is>
          <t>07-04-2026</t>
        </is>
      </c>
      <c r="H7470" s="10" t="inlineStr">
        <is>
          <t>07/04/2026</t>
        </is>
      </c>
      <c r="I7470" s="10" t="inlineStr">
        <is>
          <t>17/03/2026</t>
        </is>
      </c>
      <c r="J7470" s="10" t="inlineStr">
        <is>
          <t>Tiếp thị / Marketing, Bán lẻ / Bán sỉ, Bán hàng / Kinh doanh</t>
        </is>
      </c>
      <c r="K7470" s="10" t="inlineStr">
        <is>
          <t>2 - 3 Năm</t>
        </is>
      </c>
      <c r="L7470" s="11">
        <f>HYPERLINK("https://careerviet.vn/vi/tim-viec-lam/chuyen-vien-thiet-ke-graphic-desinger.35C6BDF9.html","Xem chi tiết")</f>
        <v/>
      </c>
      <c r="M7470" s="10" t="n"/>
    </row>
    <row r="7471">
      <c r="B7471" s="7" t="n">
        <v>7469</v>
      </c>
      <c r="C7471" t="inlineStr">
        <is>
          <t>Chuyên viên Nhân sự Tổng hợp</t>
        </is>
      </c>
      <c r="D7471" t="inlineStr">
        <is>
          <t>Công ty TNHH SX và TM  BQ</t>
        </is>
      </c>
      <c r="E7471" t="inlineStr">
        <is>
          <t>Lương:9 Tr - 12 Tr VND</t>
        </is>
      </c>
      <c r="F7471" t="inlineStr">
        <is>
          <t>Đà Nẵng</t>
        </is>
      </c>
      <c r="G7471" t="inlineStr">
        <is>
          <t>30-04-2026</t>
        </is>
      </c>
      <c r="H7471" t="inlineStr">
        <is>
          <t>30/04/2026</t>
        </is>
      </c>
      <c r="I7471" t="inlineStr">
        <is>
          <t>17/03/2026</t>
        </is>
      </c>
      <c r="J7471" t="inlineStr">
        <is>
          <t>Nhân sự, Hành chính / Thư ký</t>
        </is>
      </c>
      <c r="K7471" t="inlineStr">
        <is>
          <t>3 - 5 Năm</t>
        </is>
      </c>
      <c r="L7471" s="8">
        <f>HYPERLINK("https://careerviet.vn/vi/tim-viec-lam/chuyen-vien-nhan-su-tong-hop.35C6BD17.html","Xem chi tiết")</f>
        <v/>
      </c>
    </row>
    <row r="7472">
      <c r="B7472" s="9" t="n">
        <v>7470</v>
      </c>
      <c r="C7472" s="10" t="inlineStr">
        <is>
          <t>Cửa Hàng Trưởng - Khu vực TPHCM</t>
        </is>
      </c>
      <c r="D7472" s="10" t="inlineStr">
        <is>
          <t>Cà Phê Muối Chú Long</t>
        </is>
      </c>
      <c r="E7472" s="10" t="inlineStr">
        <is>
          <t>Lương:9 Tr - 11 Tr VND</t>
        </is>
      </c>
      <c r="F7472" s="10" t="inlineStr">
        <is>
          <t>Hồ Chí Minh</t>
        </is>
      </c>
      <c r="G7472" s="10" t="inlineStr">
        <is>
          <t>31-05-2026</t>
        </is>
      </c>
      <c r="H7472" s="10" t="inlineStr">
        <is>
          <t>31/05/2026</t>
        </is>
      </c>
      <c r="I7472" s="10" t="inlineStr">
        <is>
          <t>17/03/2026</t>
        </is>
      </c>
      <c r="J7472" s="10" t="inlineStr">
        <is>
          <t>Thực phẩm &amp; Đồ uống, Nhà hàng / Khách sạn, Quản lý điều hành</t>
        </is>
      </c>
      <c r="K7472" s="10" t="inlineStr">
        <is>
          <t>1 - 2 Năm</t>
        </is>
      </c>
      <c r="L7472" s="11">
        <f>HYPERLINK("https://careerviet.vn/vi/tim-viec-lam/cua-hang-truong-khu-vuc-tphcm.35C6BAF3.html","Xem chi tiết")</f>
        <v/>
      </c>
      <c r="M7472" s="10" t="n"/>
    </row>
    <row r="7473">
      <c r="B7473" s="7" t="n">
        <v>7471</v>
      </c>
      <c r="C7473" t="inlineStr">
        <is>
          <t>Giám đốc Phòng Khách hàng Doanh nghiệp - Bình Dương</t>
        </is>
      </c>
      <c r="D7473" t="inlineStr">
        <is>
          <t>Ngân hàng TMCP Việt Á – VietABank</t>
        </is>
      </c>
      <c r="E7473" t="inlineStr">
        <is>
          <t>Lương:Cạnh tranh</t>
        </is>
      </c>
      <c r="F7473" t="inlineStr">
        <is>
          <t>Bình Dương</t>
        </is>
      </c>
      <c r="G7473" t="inlineStr">
        <is>
          <t>10-04-2026</t>
        </is>
      </c>
      <c r="H7473" t="inlineStr">
        <is>
          <t>10/04/2026</t>
        </is>
      </c>
      <c r="I7473" t="inlineStr">
        <is>
          <t>17/03/2026</t>
        </is>
      </c>
      <c r="J7473" t="inlineStr">
        <is>
          <t>Ngân hàng, Tài chính / Đầu tư</t>
        </is>
      </c>
      <c r="K7473" t="inlineStr">
        <is>
          <t>1 - 3 Năm</t>
        </is>
      </c>
      <c r="L7473" s="8">
        <f>HYPERLINK("https://careerviet.vn/vi/tim-viec-lam/giam-doc-phong-khach-hang-doanh-nghiep-binh-duong.35C6BD31.html","Xem chi tiết")</f>
        <v/>
      </c>
    </row>
    <row r="7474">
      <c r="B7474" s="9" t="n">
        <v>7472</v>
      </c>
      <c r="C7474" s="10" t="inlineStr">
        <is>
          <t>Chuyên Viên Media - Quay Dựng Video</t>
        </is>
      </c>
      <c r="D7474" s="10" t="inlineStr">
        <is>
          <t>Công Ty TNHH Dược Phẩm Healthy Beauty</t>
        </is>
      </c>
      <c r="E7474" s="10" t="inlineStr">
        <is>
          <t>Lương:Cạnh tranh</t>
        </is>
      </c>
      <c r="F7474" s="10" t="inlineStr">
        <is>
          <t>Hồ Chí Minh</t>
        </is>
      </c>
      <c r="G7474" s="10" t="inlineStr">
        <is>
          <t>31-03-2026</t>
        </is>
      </c>
      <c r="H7474" s="10" t="inlineStr">
        <is>
          <t>31/03/2026</t>
        </is>
      </c>
      <c r="I7474" s="10" t="inlineStr">
        <is>
          <t>17/03/2026</t>
        </is>
      </c>
      <c r="J7474" s="10" t="inlineStr">
        <is>
          <t>Tiếp thị / Marketing, Dược phẩm/ Hóa Mỹ Phẩm, Quảng cáo / Đối ngoại / Truyền Thông</t>
        </is>
      </c>
      <c r="K7474" s="10" t="inlineStr">
        <is>
          <t>2 - 3 Năm</t>
        </is>
      </c>
      <c r="L7474" s="11">
        <f>HYPERLINK("https://careerviet.vn/vi/tim-viec-lam/chuyen-vien-media-quay-dung-video.35C6BC1F.html","Xem chi tiết")</f>
        <v/>
      </c>
      <c r="M7474" s="10" t="n"/>
    </row>
    <row r="7475">
      <c r="B7475" s="7" t="n">
        <v>7473</v>
      </c>
      <c r="C7475" t="inlineStr">
        <is>
          <t>QS MEP</t>
        </is>
      </c>
      <c r="D7475" t="inlineStr">
        <is>
          <t>CÔNG TY CỔ PHẦN ĐẦU TƯ PHÁT TRIỂN MINH GLOBAL</t>
        </is>
      </c>
      <c r="E7475" t="inlineStr">
        <is>
          <t>Lương:Cạnh tranh</t>
        </is>
      </c>
      <c r="F7475" t="inlineStr">
        <is>
          <t>Hồ Chí Minh</t>
        </is>
      </c>
      <c r="G7475" t="inlineStr">
        <is>
          <t>10-04-2026</t>
        </is>
      </c>
      <c r="H7475" t="inlineStr">
        <is>
          <t>10/04/2026</t>
        </is>
      </c>
      <c r="I7475" t="inlineStr">
        <is>
          <t>17/03/2026</t>
        </is>
      </c>
      <c r="J7475" t="inlineStr">
        <is>
          <t>Điện / Điện tử / Điện lạnh / Điện công nghiệp, Bảo trì / Sửa chữa, Quản lý chất lượng (QA/QC)</t>
        </is>
      </c>
      <c r="K7475" t="inlineStr">
        <is>
          <t>Trên 3 Năm</t>
        </is>
      </c>
      <c r="L7475" s="8">
        <f>HYPERLINK("https://careerviet.vn/vi/tim-viec-lam/qs-mep.35C6BDBC.html","Xem chi tiết")</f>
        <v/>
      </c>
    </row>
    <row r="7476">
      <c r="B7476" s="9" t="n">
        <v>7474</v>
      </c>
      <c r="C7476" s="10" t="inlineStr">
        <is>
          <t>Trợ Lý Kinh Doanh/ Sale Admin</t>
        </is>
      </c>
      <c r="D7476" s="10" t="inlineStr">
        <is>
          <t>CÔNG TY CỔ PHẦN CÔNG NGHIỆP PSI VIỆT NAM</t>
        </is>
      </c>
      <c r="E7476" s="10" t="inlineStr">
        <is>
          <t>Lương:8 Tr - 10 Tr VND</t>
        </is>
      </c>
      <c r="F7476" s="10" t="inlineStr">
        <is>
          <t>Hà Nội</t>
        </is>
      </c>
      <c r="G7476" s="10" t="inlineStr">
        <is>
          <t>30-04-2026</t>
        </is>
      </c>
      <c r="H7476" s="10" t="inlineStr">
        <is>
          <t>30/04/2026</t>
        </is>
      </c>
      <c r="I7476" s="10" t="inlineStr">
        <is>
          <t>17/03/2026</t>
        </is>
      </c>
      <c r="J7476" s="10" t="inlineStr">
        <is>
          <t>Hành chính / Thư ký, Bán hàng / Kinh doanh, Dịch vụ khách hàng</t>
        </is>
      </c>
      <c r="K7476" s="10" t="inlineStr">
        <is>
          <t>Lên đến 1 Năm</t>
        </is>
      </c>
      <c r="L7476" s="11">
        <f>HYPERLINK("https://careerviet.vn/vi/tim-viec-lam/tro-ly-kinh-doanh-sale-admin.35C6BB14.html","Xem chi tiết")</f>
        <v/>
      </c>
      <c r="M7476" s="10" t="n"/>
    </row>
    <row r="7477">
      <c r="B7477" s="7" t="n">
        <v>7475</v>
      </c>
      <c r="C7477" t="inlineStr">
        <is>
          <t>Phó Giám Đốc Phụ Trách Logistics</t>
        </is>
      </c>
      <c r="D7477" t="inlineStr">
        <is>
          <t>CÔNG TY CỔ PHẦN VẬN TẢI VÀ XÂY DỰNG CÔNG TRÌNH FTC</t>
        </is>
      </c>
      <c r="E7477" t="inlineStr">
        <is>
          <t>Lương:25 Tr - 35 Tr VND</t>
        </is>
      </c>
      <c r="F7477" t="inlineStr">
        <is>
          <t>Hà Nội</t>
        </is>
      </c>
      <c r="G7477" t="inlineStr">
        <is>
          <t>30-04-2026</t>
        </is>
      </c>
      <c r="H7477" t="inlineStr">
        <is>
          <t>30/04/2026</t>
        </is>
      </c>
      <c r="I7477" t="inlineStr">
        <is>
          <t>17/03/2026</t>
        </is>
      </c>
      <c r="J7477" t="inlineStr">
        <is>
          <t>Bán hàng / Kinh doanh, Quản lý điều hành, Nhân sự</t>
        </is>
      </c>
      <c r="K7477" t="inlineStr">
        <is>
          <t>3 - 5 Năm</t>
        </is>
      </c>
      <c r="L7477" s="8">
        <f>HYPERLINK("https://careerviet.vn/vi/tim-viec-lam/pho-giam-doc-phu-trach-logistics.35C6B896.html","Xem chi tiết")</f>
        <v/>
      </c>
    </row>
    <row r="7478">
      <c r="B7478" s="9" t="n">
        <v>7476</v>
      </c>
      <c r="C7478" s="10" t="inlineStr">
        <is>
          <t>CHUYÊN VIÊN KINH DOANH BẢO HIỂM - TRUNG TÂM DỊCH VỤ BẢO HIỂM</t>
        </is>
      </c>
      <c r="D7478" s="10" t="inlineStr">
        <is>
          <t>NGÂN HÀNG TMCP SÀI GÒN THƯƠNG TÍN (SACOMBANK)</t>
        </is>
      </c>
      <c r="E7478" s="10" t="inlineStr">
        <is>
          <t>Lương:Cạnh tranh</t>
        </is>
      </c>
      <c r="F7478" s="10" t="inlineStr">
        <is>
          <t>Hồ Chí Minh</t>
        </is>
      </c>
      <c r="G7478" s="10" t="inlineStr">
        <is>
          <t>11-04-2026</t>
        </is>
      </c>
      <c r="H7478" s="10" t="inlineStr">
        <is>
          <t>11/04/2026</t>
        </is>
      </c>
      <c r="I7478" s="10" t="inlineStr">
        <is>
          <t>17/03/2026</t>
        </is>
      </c>
      <c r="J7478" s="10" t="inlineStr">
        <is>
          <t>Ngân hàng, Bảo hiểm, Tài chính / Đầu tư</t>
        </is>
      </c>
      <c r="K7478" s="10" t="inlineStr">
        <is>
          <t>Chưa có kinh nghiệm</t>
        </is>
      </c>
      <c r="L7478" s="11">
        <f>HYPERLINK("https://careerviet.vn/vi/tim-viec-lam/chuyen-vien-kinh-doanh-bao-hiem-trung-tam-dich-vu-bao-hiem.35C6BB63.html","Xem chi tiết")</f>
        <v/>
      </c>
      <c r="M7478" s="10" t="n"/>
    </row>
    <row r="7479">
      <c r="B7479" s="7" t="n">
        <v>7477</v>
      </c>
      <c r="C7479" t="inlineStr">
        <is>
          <t>CV Nghiên cứu thị trường và sản phẩm (Market Research Analyst)</t>
        </is>
      </c>
      <c r="D7479" t="inlineStr">
        <is>
          <t>Tổng Công ty Cổ phần Công trình Viettel</t>
        </is>
      </c>
      <c r="E7479" t="inlineStr">
        <is>
          <t>Lương:Cạnh tranh</t>
        </is>
      </c>
      <c r="F7479" t="inlineStr">
        <is>
          <t>Hà Nội</t>
        </is>
      </c>
      <c r="G7479" t="inlineStr">
        <is>
          <t>31-03-2026</t>
        </is>
      </c>
      <c r="H7479" t="inlineStr">
        <is>
          <t>31/03/2026</t>
        </is>
      </c>
      <c r="I7479" t="inlineStr">
        <is>
          <t>17/03/2026</t>
        </is>
      </c>
      <c r="J7479" t="inlineStr">
        <is>
          <t>Tư vấn, Thống kê, Quảng cáo / Đối ngoại / Truyền Thông</t>
        </is>
      </c>
      <c r="K7479" t="inlineStr">
        <is>
          <t>2 - 3 Năm</t>
        </is>
      </c>
      <c r="L7479" s="8">
        <f>HYPERLINK("https://careerviet.vn/vi/tim-viec-lam/cv-nghien-cuu-thi-truong-va-san-pham-market-research-analyst.35C6BCE0.html","Xem chi tiết")</f>
        <v/>
      </c>
    </row>
    <row r="7480">
      <c r="B7480" s="9" t="n">
        <v>7478</v>
      </c>
      <c r="C7480" s="10" t="inlineStr">
        <is>
          <t>Trưởng Phòng Sales Logistic</t>
        </is>
      </c>
      <c r="D7480" s="10" t="inlineStr">
        <is>
          <t>CÔNG TY CỔ PHẦN VẬN TẢI VÀ XÂY DỰNG CÔNG TRÌNH FTC</t>
        </is>
      </c>
      <c r="E7480" s="10" t="inlineStr">
        <is>
          <t>Lương:Trên 15 Tr VND</t>
        </is>
      </c>
      <c r="F7480" s="10" t="inlineStr">
        <is>
          <t>Hà Nội</t>
        </is>
      </c>
      <c r="G7480" s="10" t="inlineStr">
        <is>
          <t>30-04-2026</t>
        </is>
      </c>
      <c r="H7480" s="10" t="inlineStr">
        <is>
          <t>30/04/2026</t>
        </is>
      </c>
      <c r="I7480" s="10" t="inlineStr">
        <is>
          <t>17/03/2026</t>
        </is>
      </c>
      <c r="J7480" s="10" t="inlineStr">
        <is>
          <t>Bán hàng / Kinh doanh, Vận chuyển / Giao nhận / Kho vận, Quản lý điều hành</t>
        </is>
      </c>
      <c r="K7480" s="10" t="inlineStr">
        <is>
          <t>3 - 5 Năm</t>
        </is>
      </c>
      <c r="L7480" s="11">
        <f>HYPERLINK("https://careerviet.vn/vi/tim-viec-lam/truong-phong-sales-logistic.35C6B977.html","Xem chi tiết")</f>
        <v/>
      </c>
      <c r="M7480" s="10" t="n"/>
    </row>
    <row r="7481">
      <c r="B7481" s="7" t="n">
        <v>7479</v>
      </c>
      <c r="C7481" t="inlineStr">
        <is>
          <t>Kỹ Sư Mạng &amp; Bảo Mật</t>
        </is>
      </c>
      <c r="D7481" t="inlineStr">
        <is>
          <t>GTEL ICT</t>
        </is>
      </c>
      <c r="E7481" t="inlineStr">
        <is>
          <t>Lương:10 Tr - 35 Tr VND</t>
        </is>
      </c>
      <c r="F7481" t="inlineStr">
        <is>
          <t>Hà Nội</t>
        </is>
      </c>
      <c r="G7481" t="inlineStr">
        <is>
          <t>04-04-2026</t>
        </is>
      </c>
      <c r="H7481" t="inlineStr">
        <is>
          <t>04/04/2026</t>
        </is>
      </c>
      <c r="I7481" t="inlineStr">
        <is>
          <t>17/03/2026</t>
        </is>
      </c>
      <c r="J7481" t="inlineStr">
        <is>
          <t>CNTT - Phần mềm, CNTT - Phần cứng / Mạng</t>
        </is>
      </c>
      <c r="K7481" t="inlineStr">
        <is>
          <t>1 - 5 Năm</t>
        </is>
      </c>
      <c r="L7481" s="8">
        <f>HYPERLINK("https://careerviet.vn/vi/tim-viec-lam/ky-su-mang-bao-mat.35C6BD4E.html","Xem chi tiết")</f>
        <v/>
      </c>
    </row>
    <row r="7482">
      <c r="B7482" s="9" t="n">
        <v>7480</v>
      </c>
      <c r="C7482" s="10" t="inlineStr">
        <is>
          <t>Sales Engineering Manager</t>
        </is>
      </c>
      <c r="D7482" s="10" t="inlineStr">
        <is>
          <t>Công Ty TNHH CJ Foods Việt Nam</t>
        </is>
      </c>
      <c r="E7482" s="10" t="inlineStr">
        <is>
          <t>Lương:Cạnh tranh</t>
        </is>
      </c>
      <c r="F7482" s="10" t="inlineStr">
        <is>
          <t>Hồ Chí Minh</t>
        </is>
      </c>
      <c r="G7482" s="10" t="inlineStr">
        <is>
          <t>30-04-2026</t>
        </is>
      </c>
      <c r="H7482" s="10" t="inlineStr">
        <is>
          <t>30/04/2026</t>
        </is>
      </c>
      <c r="I7482" s="10" t="inlineStr">
        <is>
          <t>17/03/2026</t>
        </is>
      </c>
      <c r="J7482" s="10" t="inlineStr">
        <is>
          <t>Bán hàng / Kinh doanh, Bán lẻ / Bán sỉ, Thực phẩm &amp; Đồ uống</t>
        </is>
      </c>
      <c r="K7482" s="10" t="inlineStr">
        <is>
          <t>N/A</t>
        </is>
      </c>
      <c r="L7482" s="11">
        <f>HYPERLINK("https://careerviet.vn/vi/tim-viec-lam/sales-engineering-manager.35C6BC08.html","Xem chi tiết")</f>
        <v/>
      </c>
      <c r="M7482" s="10" t="n"/>
    </row>
    <row r="7483">
      <c r="B7483" s="7" t="n">
        <v>7481</v>
      </c>
      <c r="C7483" t="inlineStr">
        <is>
          <t>CHUYÊN VIÊN GIẢI PHÓNG MẶT BẰNG</t>
        </is>
      </c>
      <c r="D7483" t="inlineStr">
        <is>
          <t>CÔNG TY CỔ PHẦN ĐẦU TƯ BẤT ĐỘNG SẢN TOÀN CẦU</t>
        </is>
      </c>
      <c r="E7483" t="inlineStr">
        <is>
          <t>Lương:25 Tr - 35 Tr VND</t>
        </is>
      </c>
      <c r="F7483" t="inlineStr">
        <is>
          <t>Hà Nội</t>
        </is>
      </c>
      <c r="G7483" t="inlineStr">
        <is>
          <t>10-04-2026</t>
        </is>
      </c>
      <c r="H7483" t="inlineStr">
        <is>
          <t>10/04/2026</t>
        </is>
      </c>
      <c r="I7483" t="inlineStr">
        <is>
          <t>17/03/2026</t>
        </is>
      </c>
      <c r="J7483" t="inlineStr">
        <is>
          <t>Kiến trúc, Xây dựng, Bất động sản</t>
        </is>
      </c>
      <c r="K7483" t="inlineStr">
        <is>
          <t>1 - 2 Năm</t>
        </is>
      </c>
      <c r="L7483" s="8">
        <f>HYPERLINK("https://careerviet.vn/vi/tim-viec-lam/chuyen-vien-giai-phong-mat-bang.35C6BAA5.html","Xem chi tiết")</f>
        <v/>
      </c>
    </row>
    <row r="7484">
      <c r="B7484" s="9" t="n">
        <v>7482</v>
      </c>
      <c r="C7484" s="10" t="inlineStr">
        <is>
          <t>Giám Sát An Toàn Xây Dựng (HSE)</t>
        </is>
      </c>
      <c r="D7484" s="10" t="inlineStr">
        <is>
          <t>CÔNG TY CỔ PHẦN ĐẦU TƯ PHÁT TRIỂN MINH GLOBAL</t>
        </is>
      </c>
      <c r="E7484" s="10" t="inlineStr">
        <is>
          <t>Lương:Cạnh tranh</t>
        </is>
      </c>
      <c r="F7484" s="10" t="inlineStr">
        <is>
          <t>Hồ Chí Minh</t>
        </is>
      </c>
      <c r="G7484" s="10" t="inlineStr">
        <is>
          <t>10-04-2026</t>
        </is>
      </c>
      <c r="H7484" s="10" t="inlineStr">
        <is>
          <t>10/04/2026</t>
        </is>
      </c>
      <c r="I7484" s="10" t="inlineStr">
        <is>
          <t>17/03/2026</t>
        </is>
      </c>
      <c r="J7484" s="10" t="inlineStr">
        <is>
          <t>Xây dựng, An toàn lao động, Quản lý điều hành</t>
        </is>
      </c>
      <c r="K7484" s="10" t="inlineStr">
        <is>
          <t>1 - 2 Năm</t>
        </is>
      </c>
      <c r="L7484" s="11">
        <f>HYPERLINK("https://careerviet.vn/vi/tim-viec-lam/giam-sat-an-toan-xay-dung-hse.35C6BDBE.html","Xem chi tiết")</f>
        <v/>
      </c>
      <c r="M7484" s="10" t="n"/>
    </row>
    <row r="7485">
      <c r="B7485" s="7" t="n">
        <v>7483</v>
      </c>
      <c r="C7485" t="inlineStr">
        <is>
          <t>Kế toán tổng hợp (B2C - Mảng Phân bón &amp; Thuốc BVTV)</t>
        </is>
      </c>
      <c r="D7485" t="inlineStr">
        <is>
          <t>KING ELONG GROUP</t>
        </is>
      </c>
      <c r="E7485" t="inlineStr">
        <is>
          <t>Lương:16 Tr - 25 Tr VND</t>
        </is>
      </c>
      <c r="F7485" t="inlineStr">
        <is>
          <t>Hồ Chí Minh</t>
        </is>
      </c>
      <c r="G7485" t="inlineStr">
        <is>
          <t>10-04-2026</t>
        </is>
      </c>
      <c r="H7485" t="inlineStr">
        <is>
          <t>10/04/2026</t>
        </is>
      </c>
      <c r="I7485" t="inlineStr">
        <is>
          <t>17/03/2026</t>
        </is>
      </c>
      <c r="J7485" t="inlineStr">
        <is>
          <t>Kế toán / Kiểm toán</t>
        </is>
      </c>
      <c r="K7485" t="inlineStr">
        <is>
          <t>Trên 2 Năm</t>
        </is>
      </c>
      <c r="L7485" s="8">
        <f>HYPERLINK("https://careerviet.vn/vi/tim-viec-lam/ke-toan-tong-hop-b2c-mang-phan-bon-thuoc-bvtv.35C6BD2E.html","Xem chi tiết")</f>
        <v/>
      </c>
    </row>
    <row r="7486">
      <c r="B7486" s="9" t="n">
        <v>7484</v>
      </c>
      <c r="C7486" s="10" t="inlineStr">
        <is>
          <t>Collection Clerk - Nhân viên Thu hồi công nợ</t>
        </is>
      </c>
      <c r="D7486" s="10" t="inlineStr">
        <is>
          <t>Mega Lifesciences (Vietnam)</t>
        </is>
      </c>
      <c r="E7486" s="10" t="inlineStr">
        <is>
          <t>Lương:9 Tr - 11 Tr VND</t>
        </is>
      </c>
      <c r="F7486" s="10" t="inlineStr">
        <is>
          <t>Hồ Chí Minh</t>
        </is>
      </c>
      <c r="G7486" s="10" t="inlineStr">
        <is>
          <t>31-03-2026</t>
        </is>
      </c>
      <c r="H7486" s="10" t="inlineStr">
        <is>
          <t>31/03/2026</t>
        </is>
      </c>
      <c r="I7486" s="10" t="inlineStr">
        <is>
          <t>17/03/2026</t>
        </is>
      </c>
      <c r="J7486" s="10" t="inlineStr">
        <is>
          <t>Dược phẩm/ Hóa Mỹ Phẩm, Bán hàng / Kinh doanh</t>
        </is>
      </c>
      <c r="K7486" s="10" t="inlineStr">
        <is>
          <t>1 - 2 Năm</t>
        </is>
      </c>
      <c r="L7486" s="11">
        <f>HYPERLINK("https://careerviet.vn/vi/tim-viec-lam/collection-clerk-nhan-vien-thu-hoi-cong-no.35C6BB9F.html","Xem chi tiết")</f>
        <v/>
      </c>
      <c r="M7486" s="10" t="n"/>
    </row>
    <row r="7487">
      <c r="B7487" s="7" t="n">
        <v>7485</v>
      </c>
      <c r="C7487" t="inlineStr">
        <is>
          <t>Business Analyst (HR Software)</t>
        </is>
      </c>
      <c r="D7487" t="inlineStr">
        <is>
          <t>Công ty TNHH Cadena Việt Nam</t>
        </is>
      </c>
      <c r="E7487" t="inlineStr">
        <is>
          <t>Lương:Cạnh tranh</t>
        </is>
      </c>
      <c r="F7487" t="inlineStr">
        <is>
          <t>Hồ Chí Minh</t>
        </is>
      </c>
      <c r="G7487" t="inlineStr">
        <is>
          <t>11-04-2026</t>
        </is>
      </c>
      <c r="H7487" t="inlineStr">
        <is>
          <t>11/04/2026</t>
        </is>
      </c>
      <c r="I7487" t="inlineStr">
        <is>
          <t>17/03/2026</t>
        </is>
      </c>
      <c r="J7487" t="inlineStr">
        <is>
          <t>CNTT - Phần mềm, Nhân sự</t>
        </is>
      </c>
      <c r="K7487" t="inlineStr">
        <is>
          <t>3 - 5 Năm</t>
        </is>
      </c>
      <c r="L7487" s="8">
        <f>HYPERLINK("https://careerviet.vn/vi/tim-viec-lam/business-analyst-hr-software.35C6BDC2.html","Xem chi tiết")</f>
        <v/>
      </c>
    </row>
    <row r="7488">
      <c r="B7488" s="9" t="n">
        <v>7486</v>
      </c>
      <c r="C7488" s="10" t="inlineStr">
        <is>
          <t>Nhân Viên Trực Điện Thoại, Chat cho Viettel Post Hoài Đức</t>
        </is>
      </c>
      <c r="D7488" s="10" t="inlineStr">
        <is>
          <t>CÔNG TY CỔ PHẦN TRUYỀN THÔNG KIM CƯƠNG</t>
        </is>
      </c>
      <c r="E7488" s="10" t="inlineStr">
        <is>
          <t>Lương:7 Tr - 10 Tr VND</t>
        </is>
      </c>
      <c r="F7488" s="10" t="inlineStr">
        <is>
          <t>Hà Nội</t>
        </is>
      </c>
      <c r="G7488" s="10" t="inlineStr">
        <is>
          <t>10-04-2026</t>
        </is>
      </c>
      <c r="H7488" s="10" t="inlineStr">
        <is>
          <t>10/04/2026</t>
        </is>
      </c>
      <c r="I7488" s="10" t="inlineStr">
        <is>
          <t>17/03/2026</t>
        </is>
      </c>
      <c r="J7488" s="10" t="inlineStr">
        <is>
          <t>Bán hàng / Kinh doanh, Tiếp thị / Marketing, Bán lẻ / Bán sỉ</t>
        </is>
      </c>
      <c r="K7488" s="10" t="inlineStr">
        <is>
          <t>N/A</t>
        </is>
      </c>
      <c r="L7488" s="11">
        <f>HYPERLINK("https://careerviet.vn/vi/tim-viec-lam/nhan-vien-truc-dien-thoai-chat-cho-viettel-post-hoai-duc.35C6BD37.html","Xem chi tiết")</f>
        <v/>
      </c>
      <c r="M7488" s="10" t="n"/>
    </row>
    <row r="7489">
      <c r="B7489" s="7" t="n">
        <v>7487</v>
      </c>
      <c r="C7489" t="inlineStr">
        <is>
          <t>Trưởng phòng Tài chính  (Lĩnh vực sản xuất, xuất nhập khẩu)</t>
        </is>
      </c>
      <c r="D7489" t="inlineStr">
        <is>
          <t>ADC PLASTIC,. JSC</t>
        </is>
      </c>
      <c r="E7489" t="inlineStr">
        <is>
          <t>Lương:Cạnh tranh</t>
        </is>
      </c>
      <c r="F7489" t="inlineStr">
        <is>
          <t>Hà Nội</t>
        </is>
      </c>
      <c r="G7489" t="inlineStr">
        <is>
          <t>09-04-2026</t>
        </is>
      </c>
      <c r="H7489" t="inlineStr">
        <is>
          <t>09/04/2026</t>
        </is>
      </c>
      <c r="I7489" t="inlineStr">
        <is>
          <t>17/03/2026</t>
        </is>
      </c>
      <c r="J7489" t="inlineStr">
        <is>
          <t>Kế toán / Kiểm toán, Tài chính / Đầu tư, Xuất nhập khẩu</t>
        </is>
      </c>
      <c r="K7489" t="inlineStr">
        <is>
          <t>7 - 20 Năm</t>
        </is>
      </c>
      <c r="L7489" s="8">
        <f>HYPERLINK("https://careerviet.vn/vi/tim-viec-lam/truong-phong-tai-chinh-linh-vuc-san-xuat-xuat-nhap-khau.35C6BB8F.html","Xem chi tiết")</f>
        <v/>
      </c>
    </row>
    <row r="7490">
      <c r="B7490" s="9" t="n">
        <v>7488</v>
      </c>
      <c r="C7490" s="10" t="inlineStr">
        <is>
          <t>Giám sát công trình</t>
        </is>
      </c>
      <c r="D7490" s="10" t="inlineStr">
        <is>
          <t>Công Ty TNHH Sơn Seamaster Việt Nam</t>
        </is>
      </c>
      <c r="E7490" s="10" t="inlineStr">
        <is>
          <t>Lương:14 Tr - 16 Tr VND</t>
        </is>
      </c>
      <c r="F7490" s="10" t="inlineStr">
        <is>
          <t>Bình DươngHồ Chí Minh</t>
        </is>
      </c>
      <c r="G7490" s="10" t="inlineStr">
        <is>
          <t>4</t>
        </is>
      </c>
      <c r="H7490" s="10" t="inlineStr">
        <is>
          <t>21/03/2026</t>
        </is>
      </c>
      <c r="I7490" s="10" t="inlineStr">
        <is>
          <t>17/03/2026</t>
        </is>
      </c>
      <c r="J7490" s="10" t="inlineStr">
        <is>
          <t>Bán lẻ / Bán sỉ, Bán hàng / Kinh doanh, Xây dựng</t>
        </is>
      </c>
      <c r="K7490" s="10" t="inlineStr">
        <is>
          <t>1 - 2 Năm</t>
        </is>
      </c>
      <c r="L7490" s="11">
        <f>HYPERLINK("https://careerviet.vn/vi/tim-viec-lam/giam-sat-cong-trinh.35C6BD5B.html","Xem chi tiết")</f>
        <v/>
      </c>
      <c r="M7490" s="10" t="n"/>
    </row>
    <row r="7491">
      <c r="B7491" s="7" t="n">
        <v>7489</v>
      </c>
      <c r="C7491" t="inlineStr">
        <is>
          <t>Chuyên Viên Nhân Sự</t>
        </is>
      </c>
      <c r="D7491" t="inlineStr">
        <is>
          <t>Công Ty TNHH Dược Phẩm Healthy Beauty</t>
        </is>
      </c>
      <c r="E7491" t="inlineStr">
        <is>
          <t>Lương:12 Tr - 16 Tr VND</t>
        </is>
      </c>
      <c r="F7491" t="inlineStr">
        <is>
          <t>Hồ Chí Minh</t>
        </is>
      </c>
      <c r="G7491" t="inlineStr">
        <is>
          <t>16-03-2026</t>
        </is>
      </c>
      <c r="H7491" t="inlineStr">
        <is>
          <t>14/02/2026</t>
        </is>
      </c>
      <c r="I7491" t="inlineStr">
        <is>
          <t>17/03/2026</t>
        </is>
      </c>
      <c r="J7491" t="inlineStr">
        <is>
          <t>Dược phẩm/ Hóa Mỹ Phẩm, Hành chính / Thư ký, Nhân sự</t>
        </is>
      </c>
      <c r="K7491" t="inlineStr">
        <is>
          <t>Trên 3 Năm</t>
        </is>
      </c>
      <c r="L7491" s="8">
        <f>HYPERLINK("https://careerviet.vn/vi/tim-viec-lam/chuyen-vien-nhan-su.35C65B79.html","Xem chi tiết")</f>
        <v/>
      </c>
    </row>
    <row r="7492">
      <c r="B7492" s="9" t="n">
        <v>7490</v>
      </c>
      <c r="C7492" s="10" t="inlineStr">
        <is>
          <t>Nhân Viên Hành Chính và XNK</t>
        </is>
      </c>
      <c r="D7492" s="10" t="inlineStr">
        <is>
          <t>CÔNGTY TNHH QUALISERV (VIỆT NAM)</t>
        </is>
      </c>
      <c r="E7492" s="10" t="inlineStr">
        <is>
          <t>Lương:400 - 450 USD</t>
        </is>
      </c>
      <c r="F7492" s="10" t="inlineStr">
        <is>
          <t>Hồ Chí Minh</t>
        </is>
      </c>
      <c r="G7492" s="10" t="inlineStr">
        <is>
          <t>09-04-2026</t>
        </is>
      </c>
      <c r="H7492" s="10" t="inlineStr">
        <is>
          <t>09/04/2026</t>
        </is>
      </c>
      <c r="I7492" s="10" t="inlineStr">
        <is>
          <t>17/03/2026</t>
        </is>
      </c>
      <c r="J7492" s="10" t="inlineStr">
        <is>
          <t>Hành chính / Thư ký, Xuất nhập khẩu, Mới tốt nghiệp / Thực tập</t>
        </is>
      </c>
      <c r="K7492" s="10" t="inlineStr">
        <is>
          <t>Trên 1 Năm</t>
        </is>
      </c>
      <c r="L7492" s="11">
        <f>HYPERLINK("https://careerviet.vn/vi/tim-viec-lam/nhan-vien-hanh-chinh-va-xnk.35C6B94A.html","Xem chi tiết")</f>
        <v/>
      </c>
      <c r="M7492" s="10" t="n"/>
    </row>
    <row r="7493">
      <c r="B7493" s="7" t="n">
        <v>7491</v>
      </c>
      <c r="C7493" t="inlineStr">
        <is>
          <t>Kế toán Kho phân phối</t>
        </is>
      </c>
      <c r="D7493" t="inlineStr">
        <is>
          <t>CÔNG TY TNHH BIA NGŨ HÀNH</t>
        </is>
      </c>
      <c r="E7493" t="inlineStr">
        <is>
          <t>Lương:Cạnh tranh</t>
        </is>
      </c>
      <c r="F7493" t="inlineStr">
        <is>
          <t>Đà Nẵng</t>
        </is>
      </c>
      <c r="G7493" t="inlineStr">
        <is>
          <t>09-04-2026</t>
        </is>
      </c>
      <c r="H7493" t="inlineStr">
        <is>
          <t>09/04/2026</t>
        </is>
      </c>
      <c r="I7493" t="inlineStr">
        <is>
          <t>17/03/2026</t>
        </is>
      </c>
      <c r="J7493" t="inlineStr">
        <is>
          <t>Kế toán / Kiểm toán, Vận chuyển / Giao nhận / Kho vận</t>
        </is>
      </c>
      <c r="K7493" t="inlineStr">
        <is>
          <t>1 - 3 Năm</t>
        </is>
      </c>
      <c r="L7493" s="8">
        <f>HYPERLINK("https://careerviet.vn/vi/tim-viec-lam/ke-toan-kho-phan-phoi.35C6BB2F.html","Xem chi tiết")</f>
        <v/>
      </c>
    </row>
    <row r="7494">
      <c r="B7494" s="9" t="n">
        <v>7492</v>
      </c>
      <c r="C7494" s="10" t="inlineStr">
        <is>
          <t>Customer Service Officer</t>
        </is>
      </c>
      <c r="D7494" s="10" t="inlineStr">
        <is>
          <t>Trung tâm Thương mại SC VivoCity</t>
        </is>
      </c>
      <c r="E7494" s="10" t="inlineStr">
        <is>
          <t>Lương:Trên 9 Tr VND</t>
        </is>
      </c>
      <c r="F7494" s="10" t="inlineStr">
        <is>
          <t>Hồ Chí Minh</t>
        </is>
      </c>
      <c r="G7494" s="10" t="inlineStr">
        <is>
          <t>31-03-2026</t>
        </is>
      </c>
      <c r="H7494" s="10" t="inlineStr">
        <is>
          <t>31/03/2026</t>
        </is>
      </c>
      <c r="I7494" s="10" t="inlineStr">
        <is>
          <t>17/03/2026</t>
        </is>
      </c>
      <c r="J7494" s="10" t="inlineStr">
        <is>
          <t>Dịch vụ khách hàng, Bán lẻ / Bán sỉ, Nhà hàng / Khách sạn</t>
        </is>
      </c>
      <c r="K7494" s="10" t="inlineStr">
        <is>
          <t>1 - 2 Năm</t>
        </is>
      </c>
      <c r="L7494" s="11">
        <f>HYPERLINK("https://careerviet.vn/vi/tim-viec-lam/customer-service-officer.35C6BC16.html","Xem chi tiết")</f>
        <v/>
      </c>
      <c r="M7494" s="10" t="n"/>
    </row>
    <row r="7495">
      <c r="B7495" s="7" t="n">
        <v>7493</v>
      </c>
      <c r="C7495" t="inlineStr">
        <is>
          <t>TRƯỞNG NHÓM KINH DOANH</t>
        </is>
      </c>
      <c r="D7495" t="inlineStr">
        <is>
          <t>CÔNG TY PHỤ GIA THỰC PHẨM</t>
        </is>
      </c>
      <c r="E7495" t="inlineStr">
        <is>
          <t>Lương:Cạnh tranh</t>
        </is>
      </c>
      <c r="F7495" t="inlineStr">
        <is>
          <t>Hồ Chí Minh</t>
        </is>
      </c>
      <c r="G7495" t="inlineStr">
        <is>
          <t>15-04-2026</t>
        </is>
      </c>
      <c r="H7495" t="inlineStr">
        <is>
          <t>15/04/2026</t>
        </is>
      </c>
      <c r="I7495" t="inlineStr">
        <is>
          <t>17/03/2026</t>
        </is>
      </c>
      <c r="J7495" t="inlineStr">
        <is>
          <t>Bán hàng / Kinh doanh, Công nghệ thực phẩm / Dinh dưỡng</t>
        </is>
      </c>
      <c r="K7495" t="inlineStr">
        <is>
          <t>2 - 4 Năm</t>
        </is>
      </c>
      <c r="L7495" s="8">
        <f>HYPERLINK("https://careerviet.vn/vi/tim-viec-lam/truong-nhom-kinh-doanh.35C6BB87.html","Xem chi tiết")</f>
        <v/>
      </c>
    </row>
    <row r="7496">
      <c r="B7496" s="9" t="n">
        <v>7494</v>
      </c>
      <c r="C7496" s="10" t="inlineStr">
        <is>
          <t>Process Technician</t>
        </is>
      </c>
      <c r="D7496" s="10" t="inlineStr">
        <is>
          <t>XP Power  Vietnam</t>
        </is>
      </c>
      <c r="E7496" s="10" t="inlineStr">
        <is>
          <t>Lương:Cạnh tranh</t>
        </is>
      </c>
      <c r="F7496" s="10" t="inlineStr">
        <is>
          <t>Bình Dương</t>
        </is>
      </c>
      <c r="G7496" s="10" t="inlineStr">
        <is>
          <t>10-04-2026</t>
        </is>
      </c>
      <c r="H7496" s="10" t="inlineStr">
        <is>
          <t>10/04/2026</t>
        </is>
      </c>
      <c r="I7496" s="10" t="inlineStr">
        <is>
          <t>17/03/2026</t>
        </is>
      </c>
      <c r="J7496" s="10" t="inlineStr">
        <is>
          <t>Điện / Điện tử / Điện lạnh / Điện công nghiệp</t>
        </is>
      </c>
      <c r="K7496" s="10" t="inlineStr">
        <is>
          <t>2 - 3 Năm</t>
        </is>
      </c>
      <c r="L7496" s="11">
        <f>HYPERLINK("https://careerviet.vn/vi/tim-viec-lam/process-technician.35C6BB97.html","Xem chi tiết")</f>
        <v/>
      </c>
      <c r="M7496" s="10" t="n"/>
    </row>
    <row r="7497">
      <c r="B7497" s="7" t="n">
        <v>7495</v>
      </c>
      <c r="C7497" t="inlineStr">
        <is>
          <t>Chuyên viên/Chuyên viên cao cấp quan hệ khách hàng Doanh nghiệp - TP. HCM</t>
        </is>
      </c>
      <c r="D7497" t="inlineStr">
        <is>
          <t>Ngân hàng TMCP Phát triển TP.HCM (HDBank)</t>
        </is>
      </c>
      <c r="E7497" t="inlineStr">
        <is>
          <t>Lương:13 Tr - 30 Tr VND</t>
        </is>
      </c>
      <c r="F7497" t="inlineStr">
        <is>
          <t>Hồ Chí Minh</t>
        </is>
      </c>
      <c r="G7497" t="inlineStr">
        <is>
          <t>30-04-2026</t>
        </is>
      </c>
      <c r="H7497" t="inlineStr">
        <is>
          <t>30/04/2026</t>
        </is>
      </c>
      <c r="I7497" t="inlineStr">
        <is>
          <t>17/03/2026</t>
        </is>
      </c>
      <c r="J7497" t="inlineStr">
        <is>
          <t>Bán hàng / Kinh doanh, Ngân hàng, Tài chính / Đầu tư</t>
        </is>
      </c>
      <c r="K7497" t="inlineStr">
        <is>
          <t>1 - 5 Năm</t>
        </is>
      </c>
      <c r="L7497" s="8">
        <f>HYPERLINK("https://careerviet.vn/vi/tim-viec-lam/chuyen-vien-chuyen-vien-cao-cap-quan-he-khach-hang-doanh-nghiep-tp-hcm.35C6BBF9.html","Xem chi tiết")</f>
        <v/>
      </c>
    </row>
    <row r="7498">
      <c r="B7498" s="9" t="n">
        <v>7496</v>
      </c>
      <c r="C7498" s="10" t="inlineStr">
        <is>
          <t>TECHNICAL ENGINEER – OFFSET, INKJET &amp; DIGITAL</t>
        </is>
      </c>
      <c r="D7498" s="10" t="inlineStr">
        <is>
          <t>CÔNG TY TNHH TM DV KT TOÀN ẤN</t>
        </is>
      </c>
      <c r="E7498" s="10" t="inlineStr">
        <is>
          <t>Lương:Cạnh tranh</t>
        </is>
      </c>
      <c r="F7498" s="10" t="inlineStr">
        <is>
          <t>Hồ Chí MinhHà Nội</t>
        </is>
      </c>
      <c r="G7498" s="10" t="inlineStr">
        <is>
          <t>30-04-2026</t>
        </is>
      </c>
      <c r="H7498" s="10" t="inlineStr">
        <is>
          <t>30/04/2026</t>
        </is>
      </c>
      <c r="I7498" s="10" t="inlineStr">
        <is>
          <t>17/03/2026</t>
        </is>
      </c>
      <c r="J7498" s="10" t="inlineStr">
        <is>
          <t>Điện / Điện tử / Điện lạnh / Điện công nghiệp, Cơ khí / Ô tô / Tự động hóa</t>
        </is>
      </c>
      <c r="K7498" s="10" t="inlineStr">
        <is>
          <t>2 - 3 Năm</t>
        </is>
      </c>
      <c r="L7498" s="11">
        <f>HYPERLINK("https://careerviet.vn/vi/tim-viec-lam/technical-engineer-offset-inkjet-digital.35C6BAA9.html","Xem chi tiết")</f>
        <v/>
      </c>
      <c r="M7498" s="10" t="n"/>
    </row>
    <row r="7499">
      <c r="B7499" s="7" t="n">
        <v>7497</v>
      </c>
      <c r="C7499" t="inlineStr">
        <is>
          <t>[SMART CREDIT] SALES TRAINER</t>
        </is>
      </c>
      <c r="D7499" t="inlineStr">
        <is>
          <t>Shinhan Bank Vietnam</t>
        </is>
      </c>
      <c r="E7499" t="inlineStr">
        <is>
          <t>Lương:Cạnh tranh</t>
        </is>
      </c>
      <c r="F7499" t="inlineStr">
        <is>
          <t>Hồ Chí Minh</t>
        </is>
      </c>
      <c r="G7499" t="inlineStr">
        <is>
          <t>29-04-2026</t>
        </is>
      </c>
      <c r="H7499" t="inlineStr">
        <is>
          <t>29/04/2026</t>
        </is>
      </c>
      <c r="I7499" t="inlineStr">
        <is>
          <t>17/03/2026</t>
        </is>
      </c>
      <c r="J7499" t="inlineStr">
        <is>
          <t>Giáo dục / Đào tạo, Ngân hàng</t>
        </is>
      </c>
      <c r="K7499" t="inlineStr">
        <is>
          <t>Trên 2 Năm</t>
        </is>
      </c>
      <c r="L7499" s="8">
        <f>HYPERLINK("https://careerviet.vn/vi/tim-viec-lam/smart-credit-sales-trainer.35C6BC37.html","Xem chi tiết")</f>
        <v/>
      </c>
    </row>
    <row r="7500">
      <c r="B7500" s="9" t="n">
        <v>7498</v>
      </c>
      <c r="C7500" s="10" t="inlineStr">
        <is>
          <t>Chuyên viên Quản lý hồ sơ (DC)</t>
        </is>
      </c>
      <c r="D7500" s="10" t="inlineStr">
        <is>
          <t>Pacific Corporation</t>
        </is>
      </c>
      <c r="E7500" s="10" t="inlineStr">
        <is>
          <t>Lương:Cạnh tranh</t>
        </is>
      </c>
      <c r="F7500" s="10" t="inlineStr">
        <is>
          <t>Sóc TrăngHà Tĩnh</t>
        </is>
      </c>
      <c r="G7500" s="10" t="inlineStr">
        <is>
          <t>31-03-2026</t>
        </is>
      </c>
      <c r="H7500" s="10" t="inlineStr">
        <is>
          <t>31/03/2026</t>
        </is>
      </c>
      <c r="I7500" s="10" t="inlineStr">
        <is>
          <t>17/03/2026</t>
        </is>
      </c>
      <c r="J7500" s="10" t="inlineStr">
        <is>
          <t>Hành chính / Thư ký</t>
        </is>
      </c>
      <c r="K7500" s="10" t="inlineStr">
        <is>
          <t>2 - 3 Năm</t>
        </is>
      </c>
      <c r="L7500" s="11">
        <f>HYPERLINK("https://careerviet.vn/vi/tim-viec-lam/chuyen-vien-quan-ly-ho-so-dc.35C6B88F.html","Xem chi tiết")</f>
        <v/>
      </c>
      <c r="M7500" s="10" t="n"/>
    </row>
    <row r="7501">
      <c r="B7501" s="7" t="n">
        <v>7499</v>
      </c>
      <c r="C7501" t="inlineStr">
        <is>
          <t>PHÓ GIÁM ĐỐC MARKETING</t>
        </is>
      </c>
      <c r="D7501" t="inlineStr">
        <is>
          <t>Công ty TNHH SX-TM Thép Tây Nam</t>
        </is>
      </c>
      <c r="E7501" t="inlineStr">
        <is>
          <t>Lương:25 Tr - 35 Tr VND</t>
        </is>
      </c>
      <c r="F7501" t="inlineStr">
        <is>
          <t>Hồ Chí Minh</t>
        </is>
      </c>
      <c r="G7501" t="inlineStr">
        <is>
          <t>28-03-2026</t>
        </is>
      </c>
      <c r="H7501" t="inlineStr">
        <is>
          <t>28/03/2026</t>
        </is>
      </c>
      <c r="I7501" t="inlineStr">
        <is>
          <t>17/03/2026</t>
        </is>
      </c>
      <c r="J7501" t="inlineStr">
        <is>
          <t>Tiếp thị / Marketing</t>
        </is>
      </c>
      <c r="K7501" t="inlineStr">
        <is>
          <t>2 - 3 Năm</t>
        </is>
      </c>
      <c r="L7501" s="8">
        <f>HYPERLINK("https://careerviet.vn/vi/tim-viec-lam/pho-giam-doc-marketing.35C6BD82.html","Xem chi tiết")</f>
        <v/>
      </c>
    </row>
    <row r="7502">
      <c r="B7502" s="9" t="n">
        <v>7500</v>
      </c>
      <c r="C7502" s="10" t="inlineStr">
        <is>
          <t>Chuyên Viên Nhân Sự</t>
        </is>
      </c>
      <c r="D7502" s="10" t="inlineStr">
        <is>
          <t>TTT Corporation</t>
        </is>
      </c>
      <c r="E7502" s="10" t="inlineStr">
        <is>
          <t>Lương:Cạnh tranh</t>
        </is>
      </c>
      <c r="F7502" s="10" t="inlineStr">
        <is>
          <t>Hồ Chí Minh</t>
        </is>
      </c>
      <c r="G7502" s="10" t="inlineStr">
        <is>
          <t>10-04-2026</t>
        </is>
      </c>
      <c r="H7502" s="10" t="inlineStr">
        <is>
          <t>10/04/2026</t>
        </is>
      </c>
      <c r="I7502" s="10" t="inlineStr">
        <is>
          <t>17/03/2026</t>
        </is>
      </c>
      <c r="J7502" s="10" t="inlineStr">
        <is>
          <t>Nhân sự, Giáo dục / Đào tạo, Nội ngoại thất</t>
        </is>
      </c>
      <c r="K7502" s="10" t="inlineStr">
        <is>
          <t>3 - 5 Năm</t>
        </is>
      </c>
      <c r="L7502" s="11">
        <f>HYPERLINK("https://careerviet.vn/vi/tim-viec-lam/chuyen-vien-nhan-su.35C6BA90.html","Xem chi tiết")</f>
        <v/>
      </c>
      <c r="M7502" s="10" t="n"/>
    </row>
    <row r="7503">
      <c r="B7503" s="7" t="n">
        <v>7501</v>
      </c>
      <c r="C7503" t="inlineStr">
        <is>
          <t>Trưởng phòng Kiểm soát nội bộ (Kiểm toán nội bộ)</t>
        </is>
      </c>
      <c r="D7503" t="inlineStr">
        <is>
          <t>Công ty CP Phát Triển Hùng Hậu</t>
        </is>
      </c>
      <c r="E7503" t="inlineStr">
        <is>
          <t>Lương:Cạnh tranh</t>
        </is>
      </c>
      <c r="F7503" t="inlineStr">
        <is>
          <t>Hồ Chí Minh</t>
        </is>
      </c>
      <c r="G7503" t="inlineStr">
        <is>
          <t>11-04-2026</t>
        </is>
      </c>
      <c r="H7503" t="inlineStr">
        <is>
          <t>11/04/2026</t>
        </is>
      </c>
      <c r="I7503" t="inlineStr">
        <is>
          <t>17/03/2026</t>
        </is>
      </c>
      <c r="J7503" t="inlineStr">
        <is>
          <t>Kế toán / Kiểm toán, Tài chính / Đầu tư</t>
        </is>
      </c>
      <c r="K7503" t="inlineStr">
        <is>
          <t>3 - 5 Năm</t>
        </is>
      </c>
      <c r="L7503" s="8">
        <f>HYPERLINK("https://careerviet.vn/vi/tim-viec-lam/truong-phong-kiem-soat-noi-bo-kiem-toan-noi-bo.35C6BDE0.html","Xem chi tiết")</f>
        <v/>
      </c>
    </row>
    <row r="7504">
      <c r="B7504" s="9" t="n">
        <v>7502</v>
      </c>
      <c r="C7504" s="10" t="inlineStr">
        <is>
          <t>KỸ SƯ QS CÔNG TRÌNH</t>
        </is>
      </c>
      <c r="D7504" s="10" t="inlineStr">
        <is>
          <t>Công Ty CP Xây Dựng A&amp;C</t>
        </is>
      </c>
      <c r="E7504" s="10" t="inlineStr">
        <is>
          <t>Lương:Cạnh tranh</t>
        </is>
      </c>
      <c r="F7504" s="10" t="inlineStr">
        <is>
          <t>Hồ Chí Minh</t>
        </is>
      </c>
      <c r="G7504" s="10" t="inlineStr">
        <is>
          <t>31-03-2026</t>
        </is>
      </c>
      <c r="H7504" s="10" t="inlineStr">
        <is>
          <t>31/03/2026</t>
        </is>
      </c>
      <c r="I7504" s="10" t="inlineStr">
        <is>
          <t>17/03/2026</t>
        </is>
      </c>
      <c r="J7504" s="10" t="inlineStr">
        <is>
          <t>Xây dựng, Kiến trúc, Bất động sản</t>
        </is>
      </c>
      <c r="K7504" s="10" t="inlineStr">
        <is>
          <t>1 - 3 Năm</t>
        </is>
      </c>
      <c r="L7504" s="11">
        <f>HYPERLINK("https://careerviet.vn/vi/tim-viec-lam/ky-su-qs-cong-trinh.35C6BC9E.html","Xem chi tiết")</f>
        <v/>
      </c>
      <c r="M7504" s="10" t="n"/>
    </row>
    <row r="7505">
      <c r="B7505" s="7" t="n">
        <v>7503</v>
      </c>
      <c r="C7505" t="inlineStr">
        <is>
          <t>Nhân viên Chứng từ Giao nhận hải quan</t>
        </is>
      </c>
      <c r="D7505" t="inlineStr">
        <is>
          <t>CÔNG TY CỔ PHẦN TIẾP VẬN QUỐC TẾ RỒNG XANH</t>
        </is>
      </c>
      <c r="E7505" t="inlineStr">
        <is>
          <t>Lương:8 Tr - 14 Tr VND</t>
        </is>
      </c>
      <c r="F7505" t="inlineStr">
        <is>
          <t>Hồ Chí Minh</t>
        </is>
      </c>
      <c r="G7505" t="inlineStr">
        <is>
          <t>31-03-2026</t>
        </is>
      </c>
      <c r="H7505" t="inlineStr">
        <is>
          <t>31/03/2026</t>
        </is>
      </c>
      <c r="I7505" t="inlineStr">
        <is>
          <t>17/03/2026</t>
        </is>
      </c>
      <c r="J7505" t="inlineStr">
        <is>
          <t>Xuất nhập khẩu, Hàng không, Hàng hải</t>
        </is>
      </c>
      <c r="K7505" t="inlineStr">
        <is>
          <t>1 - 2 Năm</t>
        </is>
      </c>
      <c r="L7505" s="8">
        <f>HYPERLINK("https://careerviet.vn/vi/tim-viec-lam/nhan-vien-chung-tu-giao-nhan-hai-quan.35C6BDDD.html","Xem chi tiết")</f>
        <v/>
      </c>
    </row>
    <row r="7506">
      <c r="B7506" s="9" t="n">
        <v>7504</v>
      </c>
      <c r="C7506" s="10" t="inlineStr">
        <is>
          <t>Nhân Viên Bán Hàng Thời Trang (TP Bắc Ninh)</t>
        </is>
      </c>
      <c r="D7506" s="10" t="inlineStr">
        <is>
          <t>Công Ty Cổ Phần Tập Đoàn Thời Trang Việt Nam</t>
        </is>
      </c>
      <c r="E7506" s="10" t="inlineStr">
        <is>
          <t>Lương:Cạnh tranh</t>
        </is>
      </c>
      <c r="F7506" s="10" t="inlineStr">
        <is>
          <t>Bắc Ninh</t>
        </is>
      </c>
      <c r="G7506" s="10" t="inlineStr">
        <is>
          <t>10-04-2026</t>
        </is>
      </c>
      <c r="H7506" s="10" t="inlineStr">
        <is>
          <t>10/04/2026</t>
        </is>
      </c>
      <c r="I7506" s="10" t="inlineStr">
        <is>
          <t>17/03/2026</t>
        </is>
      </c>
      <c r="J7506" s="10" t="inlineStr">
        <is>
          <t>Bán lẻ / Bán sỉ</t>
        </is>
      </c>
      <c r="K7506" s="10" t="inlineStr">
        <is>
          <t>N/A</t>
        </is>
      </c>
      <c r="L7506" s="11">
        <f>HYPERLINK("https://careerviet.vn/vi/tim-viec-lam/nhan-vien-ban-hang-thoi-trang-tp-bac-ninh.35C6BB78.html","Xem chi tiết")</f>
        <v/>
      </c>
      <c r="M7506" s="10" t="n"/>
    </row>
    <row r="7507">
      <c r="B7507" s="7" t="n">
        <v>7505</v>
      </c>
      <c r="C7507" t="inlineStr">
        <is>
          <t>Nhân Viên Bán Hàng Thời Trang (Hoàng Mai)</t>
        </is>
      </c>
      <c r="D7507" t="inlineStr">
        <is>
          <t>Công Ty Cổ Phần Tập Đoàn Thời Trang Việt Nam</t>
        </is>
      </c>
      <c r="E7507" t="inlineStr">
        <is>
          <t>Lương:Cạnh tranh</t>
        </is>
      </c>
      <c r="F7507" t="inlineStr">
        <is>
          <t>Hà Nội</t>
        </is>
      </c>
      <c r="G7507" t="inlineStr">
        <is>
          <t>10-04-2026</t>
        </is>
      </c>
      <c r="H7507" t="inlineStr">
        <is>
          <t>10/04/2026</t>
        </is>
      </c>
      <c r="I7507" t="inlineStr">
        <is>
          <t>17/03/2026</t>
        </is>
      </c>
      <c r="J7507" t="inlineStr">
        <is>
          <t>Bán lẻ / Bán sỉ</t>
        </is>
      </c>
      <c r="K7507" t="inlineStr">
        <is>
          <t>N/A</t>
        </is>
      </c>
      <c r="L7507" s="8">
        <f>HYPERLINK("https://careerviet.vn/vi/tim-viec-lam/nhan-vien-ban-hang-thoi-trang-hoang-mai.35C6BB90.html","Xem chi tiết")</f>
        <v/>
      </c>
    </row>
    <row r="7508">
      <c r="B7508" s="9" t="n">
        <v>7506</v>
      </c>
      <c r="C7508" s="10" t="inlineStr">
        <is>
          <t>Kế Toán Công Nợ ( Nhà Máy Karofi Hưng Yên )</t>
        </is>
      </c>
      <c r="D7508" s="10" t="inlineStr">
        <is>
          <t>Tập Đoàn Karofi Holding</t>
        </is>
      </c>
      <c r="E7508" s="10" t="inlineStr">
        <is>
          <t>Lương:14 Tr - 16 Tr VND</t>
        </is>
      </c>
      <c r="F7508" s="10" t="inlineStr">
        <is>
          <t>Hưng Yên</t>
        </is>
      </c>
      <c r="G7508" s="10" t="inlineStr">
        <is>
          <t>07-05-2026</t>
        </is>
      </c>
      <c r="H7508" s="10" t="inlineStr">
        <is>
          <t>07/05/2026</t>
        </is>
      </c>
      <c r="I7508" s="10" t="inlineStr">
        <is>
          <t>17/03/2026</t>
        </is>
      </c>
      <c r="J7508" s="10" t="inlineStr">
        <is>
          <t>Kế toán / Kiểm toán, Hành chính / Thư ký, Thống kê</t>
        </is>
      </c>
      <c r="K7508" s="10" t="inlineStr">
        <is>
          <t>2 - 5 Năm</t>
        </is>
      </c>
      <c r="L7508" s="11">
        <f>HYPERLINK("https://careerviet.vn/vi/tim-viec-lam/ke-toan-cong-no-nha-may-karofi-hung-yen.35C6BB3B.html","Xem chi tiết")</f>
        <v/>
      </c>
      <c r="M7508" s="10" t="n"/>
    </row>
    <row r="7509">
      <c r="B7509" s="7" t="n">
        <v>7507</v>
      </c>
      <c r="C7509" t="inlineStr">
        <is>
          <t>THỰC TẬP SINH GIÁM SÁT HIỆN TRƯỜNG - HẢI PHÒNG (có hỗ trợ lương)</t>
        </is>
      </c>
      <c r="D7509" t="inlineStr">
        <is>
          <t>CÔNG TY CỔ PHẦN ĐIỆN VÀ XÂY DỰNG NAM VIỆT</t>
        </is>
      </c>
      <c r="E7509" t="inlineStr">
        <is>
          <t>Lương:3 Tr - 5 Tr VND</t>
        </is>
      </c>
      <c r="F7509" t="inlineStr">
        <is>
          <t>Hải Phòng</t>
        </is>
      </c>
      <c r="G7509" t="inlineStr">
        <is>
          <t>1</t>
        </is>
      </c>
      <c r="H7509" t="inlineStr">
        <is>
          <t>18/03/2026</t>
        </is>
      </c>
      <c r="I7509" t="inlineStr">
        <is>
          <t>17/03/2026</t>
        </is>
      </c>
      <c r="J7509" t="inlineStr">
        <is>
          <t>Xây dựng, Điện / Điện tử / Điện lạnh / Điện công nghiệp, Kiến trúc</t>
        </is>
      </c>
      <c r="K7509" t="inlineStr">
        <is>
          <t>N/A</t>
        </is>
      </c>
      <c r="L7509" s="8">
        <f>HYPERLINK("https://careerviet.vn/vi/tim-viec-lam/thuc-tap-sinh-giam-sat-hien-truong-hai-phong-co-ho-tro-luong.35C69C44.html","Xem chi tiết")</f>
        <v/>
      </c>
    </row>
    <row r="7510">
      <c r="B7510" s="9" t="n">
        <v>7508</v>
      </c>
      <c r="C7510" s="10" t="inlineStr">
        <is>
          <t>Giáo viên Giáo dục đặc biệt</t>
        </is>
      </c>
      <c r="D7510" s="10" t="inlineStr">
        <is>
          <t>BỆNH VIỆN ĐA KHOA PHƯƠNG ĐÔNG</t>
        </is>
      </c>
      <c r="E7510" s="10" t="inlineStr">
        <is>
          <t>Lương:10 Tr - 15 Tr VND</t>
        </is>
      </c>
      <c r="F7510" s="10" t="inlineStr">
        <is>
          <t>Hà Nội</t>
        </is>
      </c>
      <c r="G7510" s="10" t="inlineStr">
        <is>
          <t>31-03-2026</t>
        </is>
      </c>
      <c r="H7510" s="10" t="inlineStr">
        <is>
          <t>31/03/2026</t>
        </is>
      </c>
      <c r="I7510" s="10" t="inlineStr">
        <is>
          <t>17/03/2026</t>
        </is>
      </c>
      <c r="J7510" s="10" t="inlineStr">
        <is>
          <t>Y tế / Chăm sóc sức khỏe / Thẩm mỹ / Làm đẹp</t>
        </is>
      </c>
      <c r="K7510" s="10" t="inlineStr">
        <is>
          <t>3 - 5 Năm</t>
        </is>
      </c>
      <c r="L7510" s="11">
        <f>HYPERLINK("https://careerviet.vn/vi/tim-viec-lam/giao-vien-giao-duc-dac-biet.35C6BCAE.html","Xem chi tiết")</f>
        <v/>
      </c>
      <c r="M7510" s="10" t="n"/>
    </row>
    <row r="7511">
      <c r="B7511" s="7" t="n">
        <v>7509</v>
      </c>
      <c r="C7511" t="inlineStr">
        <is>
          <t>[Q.7] Nhân viên Điều dưỡng</t>
        </is>
      </c>
      <c r="D7511" t="inlineStr">
        <is>
          <t>CÔNG TY CP PHÁT TRIỂN Y TẾ VICTORIA HEALTHCARE</t>
        </is>
      </c>
      <c r="E7511" t="inlineStr">
        <is>
          <t>Lương:13 Tr - 15 Tr VND</t>
        </is>
      </c>
      <c r="F7511" t="inlineStr">
        <is>
          <t>Hồ Chí Minh</t>
        </is>
      </c>
      <c r="G7511" t="inlineStr">
        <is>
          <t>15-04-2026</t>
        </is>
      </c>
      <c r="H7511" t="inlineStr">
        <is>
          <t>15/04/2026</t>
        </is>
      </c>
      <c r="I7511" t="inlineStr">
        <is>
          <t>17/03/2026</t>
        </is>
      </c>
      <c r="J7511" t="inlineStr">
        <is>
          <t>Y tế / Chăm sóc sức khỏe / Thẩm mỹ / Làm đẹp</t>
        </is>
      </c>
      <c r="K7511" t="inlineStr">
        <is>
          <t>2 - 3 Năm</t>
        </is>
      </c>
      <c r="L7511" s="8">
        <f>HYPERLINK("https://careerviet.vn/vi/tim-viec-lam/q-7-nhan-vien-dieu-duong.35C6BC52.html","Xem chi tiết")</f>
        <v/>
      </c>
    </row>
    <row r="7512">
      <c r="B7512" s="9" t="n">
        <v>7510</v>
      </c>
      <c r="C7512" s="10" t="inlineStr">
        <is>
          <t>NHÂN VIÊN DỰ TOÁN NỘI THẤT - QS NỘI THẤT [XHOME SG]</t>
        </is>
      </c>
      <c r="D7512" s="10" t="inlineStr">
        <is>
          <t>Công ty CP XHOME Việt Nam</t>
        </is>
      </c>
      <c r="E7512" s="10" t="inlineStr">
        <is>
          <t>Lương:20 Tr - 30 Tr VND</t>
        </is>
      </c>
      <c r="F7512" s="10" t="inlineStr">
        <is>
          <t>Hồ Chí Minh</t>
        </is>
      </c>
      <c r="G7512" s="10" t="inlineStr">
        <is>
          <t>30-03-2026</t>
        </is>
      </c>
      <c r="H7512" s="10" t="inlineStr">
        <is>
          <t>30/03/2026</t>
        </is>
      </c>
      <c r="I7512" s="10" t="inlineStr">
        <is>
          <t>17/03/2026</t>
        </is>
      </c>
      <c r="J7512" s="10" t="inlineStr">
        <is>
          <t>Xây dựng, Nội ngoại thất, Kiến trúc</t>
        </is>
      </c>
      <c r="K7512" s="10" t="inlineStr">
        <is>
          <t>2 - 3 Năm</t>
        </is>
      </c>
      <c r="L7512" s="11">
        <f>HYPERLINK("https://careerviet.vn/vi/tim-viec-lam/nhan-vien-du-toan-noi-that-qs-noi-that-xhome-sg.35C6BBCD.html","Xem chi tiết")</f>
        <v/>
      </c>
      <c r="M7512" s="10" t="n"/>
    </row>
    <row r="7513">
      <c r="B7513" s="7" t="n">
        <v>7511</v>
      </c>
      <c r="C7513" t="inlineStr">
        <is>
          <t>Nhân Viên Bán Hàng Thời Trang (Đông Hà)</t>
        </is>
      </c>
      <c r="D7513" t="inlineStr">
        <is>
          <t>Công Ty Cổ Phần Tập Đoàn Thời Trang Việt Nam</t>
        </is>
      </c>
      <c r="E7513" t="inlineStr">
        <is>
          <t>Lương:Cạnh tranh</t>
        </is>
      </c>
      <c r="F7513" t="inlineStr">
        <is>
          <t>Quảng Trị</t>
        </is>
      </c>
      <c r="G7513" t="inlineStr">
        <is>
          <t>10-04-2026</t>
        </is>
      </c>
      <c r="H7513" t="inlineStr">
        <is>
          <t>10/04/2026</t>
        </is>
      </c>
      <c r="I7513" t="inlineStr">
        <is>
          <t>17/03/2026</t>
        </is>
      </c>
      <c r="J7513" t="inlineStr">
        <is>
          <t>Bán lẻ / Bán sỉ</t>
        </is>
      </c>
      <c r="K7513" t="inlineStr">
        <is>
          <t>N/A</t>
        </is>
      </c>
      <c r="L7513" s="8">
        <f>HYPERLINK("https://careerviet.vn/vi/tim-viec-lam/nhan-vien-ban-hang-thoi-trang-dong-ha.35C6BB9B.html","Xem chi tiết")</f>
        <v/>
      </c>
    </row>
    <row r="7514">
      <c r="B7514" s="9" t="n">
        <v>7512</v>
      </c>
      <c r="C7514" s="10" t="inlineStr">
        <is>
          <t>Nhân viên kinh doanh B2B</t>
        </is>
      </c>
      <c r="D7514" s="10" t="inlineStr">
        <is>
          <t>CÔNG TY TNHH IN BAO BÌ TOÀN PHÁT</t>
        </is>
      </c>
      <c r="E7514" s="10" t="inlineStr">
        <is>
          <t>Lương:18 Tr - 30 Tr VND</t>
        </is>
      </c>
      <c r="F7514" s="10" t="inlineStr">
        <is>
          <t>Hồ Chí Minh</t>
        </is>
      </c>
      <c r="G7514" s="10" t="inlineStr">
        <is>
          <t>10-04-2026</t>
        </is>
      </c>
      <c r="H7514" s="10" t="inlineStr">
        <is>
          <t>10/04/2026</t>
        </is>
      </c>
      <c r="I7514" s="10" t="inlineStr">
        <is>
          <t>17/03/2026</t>
        </is>
      </c>
      <c r="J7514" s="10" t="inlineStr">
        <is>
          <t>Tiếp thị / Marketing, Bán hàng / Kinh doanh, In ấn / Xuất bản</t>
        </is>
      </c>
      <c r="K7514" s="10" t="inlineStr">
        <is>
          <t>1 - 2 Năm</t>
        </is>
      </c>
      <c r="L7514" s="11">
        <f>HYPERLINK("https://careerviet.vn/vi/tim-viec-lam/nhan-vien-kinh-doanh-b2b.35C6BDDF.html","Xem chi tiết")</f>
        <v/>
      </c>
      <c r="M7514" s="10" t="n"/>
    </row>
    <row r="7515">
      <c r="B7515" s="7" t="n">
        <v>7513</v>
      </c>
      <c r="C7515" t="inlineStr">
        <is>
          <t>Chuyên Viên Thẩm Định - [Bac A Bank - Chi Nhánh Yên Bái/ Quảng Ninh/ Hải Phòng]</t>
        </is>
      </c>
      <c r="D7515" t="inlineStr">
        <is>
          <t>Ngân Hàng Thương mại cổ phần Bắc Á- BAC A BANK</t>
        </is>
      </c>
      <c r="E7515" t="inlineStr">
        <is>
          <t>Lương:Cạnh tranh</t>
        </is>
      </c>
      <c r="F7515" t="inlineStr">
        <is>
          <t>Yên BáiQuảng NinhHải Phòng</t>
        </is>
      </c>
      <c r="G7515" t="inlineStr">
        <is>
          <t>07-04-2026</t>
        </is>
      </c>
      <c r="H7515" t="inlineStr">
        <is>
          <t>07/04/2026</t>
        </is>
      </c>
      <c r="I7515" t="inlineStr">
        <is>
          <t>17/03/2026</t>
        </is>
      </c>
      <c r="J7515" t="inlineStr">
        <is>
          <t>Ngân hàng, Tài chính / Đầu tư</t>
        </is>
      </c>
      <c r="K7515" t="inlineStr">
        <is>
          <t>2 - 3 Năm</t>
        </is>
      </c>
      <c r="L7515" s="8">
        <f>HYPERLINK("https://careerviet.vn/vi/tim-viec-lam/chuyen-vien-tham-dinh-bac-a-bank-chi-nhanh-yen-bai-quang-ninh-hai-phong.35C6BD74.html","Xem chi tiết")</f>
        <v/>
      </c>
    </row>
    <row r="7516">
      <c r="B7516" s="9" t="n">
        <v>7514</v>
      </c>
      <c r="C7516" s="10" t="inlineStr">
        <is>
          <t>SharePoint Administration Manager</t>
        </is>
      </c>
      <c r="D7516" s="10" t="inlineStr">
        <is>
          <t>Rochdale Spears Co., Ltd.</t>
        </is>
      </c>
      <c r="E7516" s="10" t="inlineStr">
        <is>
          <t>Lương:Cạnh tranh</t>
        </is>
      </c>
      <c r="F7516" s="10" t="inlineStr">
        <is>
          <t>Hồ Chí Minh</t>
        </is>
      </c>
      <c r="G7516" s="10" t="inlineStr">
        <is>
          <t>27-03-2026</t>
        </is>
      </c>
      <c r="H7516" s="10" t="inlineStr">
        <is>
          <t>27/03/2026</t>
        </is>
      </c>
      <c r="I7516" s="10" t="inlineStr">
        <is>
          <t>17/03/2026</t>
        </is>
      </c>
      <c r="J7516" s="10" t="inlineStr">
        <is>
          <t>CNTT - Phần cứng / Mạng</t>
        </is>
      </c>
      <c r="K7516" s="10" t="inlineStr">
        <is>
          <t>3 - 5 Năm</t>
        </is>
      </c>
      <c r="L7516" s="11">
        <f>HYPERLINK("https://careerviet.vn/vi/tim-viec-lam/sharepoint-administration-manager.35C6BA7C.html","Xem chi tiết")</f>
        <v/>
      </c>
      <c r="M7516" s="10" t="n"/>
    </row>
    <row r="7517">
      <c r="B7517" s="7" t="n">
        <v>7515</v>
      </c>
      <c r="C7517" t="inlineStr">
        <is>
          <t>Nhân Viên Kỹ Thuật Cố Định Băng Rộng - Cần Thơ</t>
        </is>
      </c>
      <c r="D7517" t="inlineStr">
        <is>
          <t>CÔNG TY CỔ PHẦN GREEN SPEED</t>
        </is>
      </c>
      <c r="E7517" t="inlineStr">
        <is>
          <t>Lương:10 Tr - 11 Tr VND</t>
        </is>
      </c>
      <c r="F7517" t="inlineStr">
        <is>
          <t>Cần Thơ</t>
        </is>
      </c>
      <c r="G7517" t="inlineStr">
        <is>
          <t>10-04-2026</t>
        </is>
      </c>
      <c r="H7517" t="inlineStr">
        <is>
          <t>10/04/2026</t>
        </is>
      </c>
      <c r="I7517" t="inlineStr">
        <is>
          <t>17/03/2026</t>
        </is>
      </c>
      <c r="J7517" t="inlineStr">
        <is>
          <t>Bưu chính viễn thông, Bảo trì / Sửa chữa, Điện / Điện tử / Điện lạnh / Điện công nghiệp</t>
        </is>
      </c>
      <c r="K7517" t="inlineStr">
        <is>
          <t>N/A</t>
        </is>
      </c>
      <c r="L7517" s="8">
        <f>HYPERLINK("https://careerviet.vn/vi/tim-viec-lam/nhan-vien-ky-thuat-co-dinh-bang-rong-can-tho.35C6BA74.html","Xem chi tiết")</f>
        <v/>
      </c>
    </row>
    <row r="7518">
      <c r="B7518" s="9" t="n">
        <v>7516</v>
      </c>
      <c r="C7518" s="10" t="inlineStr">
        <is>
          <t>CHUYÊN VIÊT THIẾT KẾ RẬP</t>
        </is>
      </c>
      <c r="D7518" s="10" t="inlineStr">
        <is>
          <t>CÔNG TY TNHH B &amp; D LINGERIE VIỆT NAM</t>
        </is>
      </c>
      <c r="E7518" s="10" t="inlineStr">
        <is>
          <t>Lương:Cạnh tranh</t>
        </is>
      </c>
      <c r="F7518" s="10" t="inlineStr">
        <is>
          <t>Bình Định</t>
        </is>
      </c>
      <c r="G7518" s="10" t="inlineStr">
        <is>
          <t>30-04-2026</t>
        </is>
      </c>
      <c r="H7518" s="10" t="inlineStr">
        <is>
          <t>30/04/2026</t>
        </is>
      </c>
      <c r="I7518" s="10" t="inlineStr">
        <is>
          <t>17/03/2026</t>
        </is>
      </c>
      <c r="J7518" s="10" t="inlineStr">
        <is>
          <t>Dệt may / Da giày / Thời trang, Mỹ thuật / Nghệ thuật / Thiết kế, Sản xuất / Vận hành sản xuất</t>
        </is>
      </c>
      <c r="K7518" s="10" t="inlineStr">
        <is>
          <t>2 - 5 Năm</t>
        </is>
      </c>
      <c r="L7518" s="11">
        <f>HYPERLINK("https://careerviet.vn/vi/tim-viec-lam/chuyen-viet-thiet-ke-rap.35C6BBC4.html","Xem chi tiết")</f>
        <v/>
      </c>
      <c r="M7518" s="10" t="n"/>
    </row>
    <row r="7519">
      <c r="B7519" s="7" t="n">
        <v>7517</v>
      </c>
      <c r="C7519" t="inlineStr">
        <is>
          <t>Chuyên viên cao cấp truyền thông đối ngoại - Popplife - 2V056</t>
        </is>
      </c>
      <c r="D7519" t="inlineStr">
        <is>
          <t>Tập đoàn ROX (ROX Group)</t>
        </is>
      </c>
      <c r="E7519" t="inlineStr">
        <is>
          <t>Lương:Cạnh tranh</t>
        </is>
      </c>
      <c r="F7519" t="inlineStr">
        <is>
          <t>Hà Nội</t>
        </is>
      </c>
      <c r="G7519" t="inlineStr">
        <is>
          <t>07-04-2026</t>
        </is>
      </c>
      <c r="H7519" t="inlineStr">
        <is>
          <t>07/04/2026</t>
        </is>
      </c>
      <c r="I7519" t="inlineStr">
        <is>
          <t>17/03/2026</t>
        </is>
      </c>
      <c r="J7519" t="inlineStr">
        <is>
          <t>Quảng cáo / Đối ngoại / Truyền Thông</t>
        </is>
      </c>
      <c r="K7519" t="inlineStr">
        <is>
          <t>Trên 5 Năm</t>
        </is>
      </c>
      <c r="L7519" s="8">
        <f>HYPERLINK("https://careerviet.vn/vi/tim-viec-lam/chuyen-vien-cao-cap-truyen-thong-doi-ngoai-popplife-2v056.35C6BC1D.html","Xem chi tiết")</f>
        <v/>
      </c>
    </row>
    <row r="7520">
      <c r="B7520" s="9" t="n">
        <v>7518</v>
      </c>
      <c r="C7520" s="10" t="inlineStr">
        <is>
          <t>Trưởng Nhóm Chăm Sóc Khách Hàng Phòng Khám Da Liễu</t>
        </is>
      </c>
      <c r="D7520" s="10" t="inlineStr">
        <is>
          <t>CÔNG TY CỔ PHẦN CÔNG NGHỆ CAO QUỐC TẾ THT MEDICAL</t>
        </is>
      </c>
      <c r="E7520" s="10" t="inlineStr">
        <is>
          <t>Lương:25 Tr - 40 Tr VND</t>
        </is>
      </c>
      <c r="F7520" s="10" t="inlineStr">
        <is>
          <t>Hồ Chí MinhHà Nội</t>
        </is>
      </c>
      <c r="G7520" s="10" t="inlineStr">
        <is>
          <t>31-03-2026</t>
        </is>
      </c>
      <c r="H7520" s="10" t="inlineStr">
        <is>
          <t>31/03/2026</t>
        </is>
      </c>
      <c r="I7520" s="10" t="inlineStr">
        <is>
          <t>17/03/2026</t>
        </is>
      </c>
      <c r="J7520" s="10" t="inlineStr">
        <is>
          <t>Y tế / Chăm sóc sức khỏe / Thẩm mỹ / Làm đẹp, Hành chính / Thư ký, Dịch vụ khách hàng</t>
        </is>
      </c>
      <c r="K7520" s="10" t="inlineStr">
        <is>
          <t>Trên 2 Năm</t>
        </is>
      </c>
      <c r="L7520" s="11">
        <f>HYPERLINK("https://careerviet.vn/vi/tim-viec-lam/truong-nhom-cham-soc-khach-hang-phong-kham-da-lieu.35C6BAD6.html","Xem chi tiết")</f>
        <v/>
      </c>
      <c r="M7520" s="10" t="n"/>
    </row>
    <row r="7521">
      <c r="B7521" s="7" t="n">
        <v>7519</v>
      </c>
      <c r="C7521" t="inlineStr">
        <is>
          <t>Nhân viên y tế</t>
        </is>
      </c>
      <c r="D7521" t="inlineStr">
        <is>
          <t>CÔNG TY CỔ PHẦN GREEN SPEED</t>
        </is>
      </c>
      <c r="E7521" t="inlineStr">
        <is>
          <t>Lương:9 Tr - 10,5 Tr VND</t>
        </is>
      </c>
      <c r="F7521" t="inlineStr">
        <is>
          <t>Bình Dương</t>
        </is>
      </c>
      <c r="G7521" t="inlineStr">
        <is>
          <t>09-04-2026</t>
        </is>
      </c>
      <c r="H7521" t="inlineStr">
        <is>
          <t>09/04/2026</t>
        </is>
      </c>
      <c r="I7521" t="inlineStr">
        <is>
          <t>17/03/2026</t>
        </is>
      </c>
      <c r="J7521" t="inlineStr">
        <is>
          <t>Y tế / Chăm sóc sức khỏe / Thẩm mỹ / Làm đẹp</t>
        </is>
      </c>
      <c r="K7521" t="inlineStr">
        <is>
          <t>1 - 2 Năm</t>
        </is>
      </c>
      <c r="L7521" s="8">
        <f>HYPERLINK("https://careerviet.vn/vi/tim-viec-lam/nhan-vien-y-te.35C6BCAF.html","Xem chi tiết")</f>
        <v/>
      </c>
    </row>
    <row r="7522">
      <c r="B7522" s="9" t="n">
        <v>7520</v>
      </c>
      <c r="C7522" s="10" t="inlineStr">
        <is>
          <t>Kỹ thuật viên</t>
        </is>
      </c>
      <c r="D7522" s="10" t="inlineStr">
        <is>
          <t>Công ty Cổ phần Giải pháp Tự động hóa ETEK</t>
        </is>
      </c>
      <c r="E7522" s="10" t="inlineStr">
        <is>
          <t>Lương:10 Tr - 15 Tr VND</t>
        </is>
      </c>
      <c r="F7522" s="10" t="inlineStr">
        <is>
          <t>Hồ Chí Minh</t>
        </is>
      </c>
      <c r="G7522" s="10" t="inlineStr">
        <is>
          <t>31-03-2026</t>
        </is>
      </c>
      <c r="H7522" s="10" t="inlineStr">
        <is>
          <t>31/03/2026</t>
        </is>
      </c>
      <c r="I7522" s="10" t="inlineStr">
        <is>
          <t>17/03/2026</t>
        </is>
      </c>
      <c r="J7522" s="10" t="inlineStr">
        <is>
          <t>Xây dựng, Cơ khí / Ô tô / Tự động hóa</t>
        </is>
      </c>
      <c r="K7522" s="10" t="inlineStr">
        <is>
          <t>1 - 3 Năm</t>
        </is>
      </c>
      <c r="L7522" s="11">
        <f>HYPERLINK("https://careerviet.vn/vi/tim-viec-lam/ky-thuat-vien.35C6BB08.html","Xem chi tiết")</f>
        <v/>
      </c>
      <c r="M7522" s="10" t="n"/>
    </row>
    <row r="7523">
      <c r="B7523" s="7" t="n">
        <v>7521</v>
      </c>
      <c r="C7523" t="inlineStr">
        <is>
          <t>GIÁM ĐỐC KINH DOANH DỰ ÁN</t>
        </is>
      </c>
      <c r="D7523" t="inlineStr">
        <is>
          <t>Công ty TNHH SX-TM Thép Tây Nam</t>
        </is>
      </c>
      <c r="E7523" t="inlineStr">
        <is>
          <t>Lương:30 Tr - 50 Tr VND</t>
        </is>
      </c>
      <c r="F7523" t="inlineStr">
        <is>
          <t>Hồ Chí Minh</t>
        </is>
      </c>
      <c r="G7523" t="inlineStr">
        <is>
          <t>28-03-2026</t>
        </is>
      </c>
      <c r="H7523" t="inlineStr">
        <is>
          <t>28/03/2026</t>
        </is>
      </c>
      <c r="I7523" t="inlineStr">
        <is>
          <t>17/03/2026</t>
        </is>
      </c>
      <c r="J7523" t="inlineStr">
        <is>
          <t>Bán lẻ / Bán sỉ, Bán hàng / Kinh doanh</t>
        </is>
      </c>
      <c r="K7523" t="inlineStr">
        <is>
          <t>2 - 3 Năm</t>
        </is>
      </c>
      <c r="L7523" s="8">
        <f>HYPERLINK("https://careerviet.vn/vi/tim-viec-lam/giam-doc-kinh-doanh-du-an.35C6BDD8.html","Xem chi tiết")</f>
        <v/>
      </c>
    </row>
    <row r="7524">
      <c r="B7524" s="9" t="n">
        <v>7522</v>
      </c>
      <c r="C7524" s="10" t="inlineStr">
        <is>
          <t>Họa viên BIM (BIM Modeler)</t>
        </is>
      </c>
      <c r="D7524" s="10" t="inlineStr">
        <is>
          <t>Công Ty TNHH Kỹ Thuật Và Xây Dựng TAMADA</t>
        </is>
      </c>
      <c r="E7524" s="10" t="inlineStr">
        <is>
          <t>Lương:12 Tr - 15 Tr VND</t>
        </is>
      </c>
      <c r="F7524" s="10" t="inlineStr">
        <is>
          <t>Hồ Chí Minh</t>
        </is>
      </c>
      <c r="G7524" s="10" t="inlineStr">
        <is>
          <t>09-04-2026</t>
        </is>
      </c>
      <c r="H7524" s="10" t="inlineStr">
        <is>
          <t>09/04/2026</t>
        </is>
      </c>
      <c r="I7524" s="10" t="inlineStr">
        <is>
          <t>17/03/2026</t>
        </is>
      </c>
      <c r="J7524" s="10" t="inlineStr">
        <is>
          <t>Điện / Điện tử / Điện lạnh / Điện công nghiệp, Mỹ thuật / Nghệ thuật / Thiết kế, Kiến trúc</t>
        </is>
      </c>
      <c r="K7524" s="10" t="inlineStr">
        <is>
          <t>1 - 2 Năm</t>
        </is>
      </c>
      <c r="L7524" s="11">
        <f>HYPERLINK("https://careerviet.vn/vi/tim-viec-lam/hoa-vien-bim-bim-modeler.35C6BC98.html","Xem chi tiết")</f>
        <v/>
      </c>
      <c r="M7524" s="10" t="n"/>
    </row>
    <row r="7525">
      <c r="B7525" s="7" t="n">
        <v>7523</v>
      </c>
      <c r="C7525" t="inlineStr">
        <is>
          <t>NHÂN VIÊN BẢO TRÌ ĐIỆN CÔNG NGHIỆP</t>
        </is>
      </c>
      <c r="D7525" t="inlineStr">
        <is>
          <t>Công ty TNHH SX-TM Thép Tây Nam</t>
        </is>
      </c>
      <c r="E7525" t="inlineStr">
        <is>
          <t>Lương:9 Tr - 15 Tr VND</t>
        </is>
      </c>
      <c r="F7525" t="inlineStr">
        <is>
          <t>Long An</t>
        </is>
      </c>
      <c r="G7525" t="inlineStr">
        <is>
          <t>28-03-2026</t>
        </is>
      </c>
      <c r="H7525" t="inlineStr">
        <is>
          <t>28/03/2026</t>
        </is>
      </c>
      <c r="I7525" t="inlineStr">
        <is>
          <t>17/03/2026</t>
        </is>
      </c>
      <c r="J7525" t="inlineStr">
        <is>
          <t>Điện / Điện tử / Điện lạnh / Điện công nghiệp</t>
        </is>
      </c>
      <c r="K7525" t="inlineStr">
        <is>
          <t>Chưa có kinh nghiệm</t>
        </is>
      </c>
      <c r="L7525" s="8">
        <f>HYPERLINK("https://careerviet.vn/vi/tim-viec-lam/nhan-vien-bao-tri-dien-cong-nghiep.35C6BDBB.html","Xem chi tiết")</f>
        <v/>
      </c>
    </row>
    <row r="7526">
      <c r="B7526" s="9" t="n">
        <v>7524</v>
      </c>
      <c r="C7526" s="10" t="inlineStr">
        <is>
          <t>PERFORMANCE CONTENT</t>
        </is>
      </c>
      <c r="D7526" s="10" t="inlineStr">
        <is>
          <t>Công Ty TNHH Daily Effect</t>
        </is>
      </c>
      <c r="E7526" s="10" t="inlineStr">
        <is>
          <t>Lương:14 Tr - 18 Tr VND</t>
        </is>
      </c>
      <c r="F7526" s="10" t="inlineStr">
        <is>
          <t>Hồ Chí Minh</t>
        </is>
      </c>
      <c r="G7526" s="10" t="inlineStr">
        <is>
          <t>10-04-2026</t>
        </is>
      </c>
      <c r="H7526" s="10" t="inlineStr">
        <is>
          <t>10/04/2026</t>
        </is>
      </c>
      <c r="I7526" s="10" t="inlineStr">
        <is>
          <t>17/03/2026</t>
        </is>
      </c>
      <c r="J7526" s="10" t="inlineStr">
        <is>
          <t>Quảng cáo / Đối ngoại / Truyền Thông, Tổ chức sự kiện, Tiếp thị / Marketing</t>
        </is>
      </c>
      <c r="K7526" s="10" t="inlineStr">
        <is>
          <t>2 - 3 Năm</t>
        </is>
      </c>
      <c r="L7526" s="11">
        <f>HYPERLINK("https://careerviet.vn/vi/tim-viec-lam/performance-content.35C6BD1C.html","Xem chi tiết")</f>
        <v/>
      </c>
      <c r="M7526" s="10" t="n"/>
    </row>
    <row r="7527">
      <c r="B7527" s="7" t="n">
        <v>7525</v>
      </c>
      <c r="C7527" t="inlineStr">
        <is>
          <t>Digital Marketing Specialist</t>
        </is>
      </c>
      <c r="D7527" t="inlineStr">
        <is>
          <t>CÔNG TY CỔ PHẦN TAKAHIRO</t>
        </is>
      </c>
      <c r="E7527" t="inlineStr">
        <is>
          <t>Lương:Cạnh tranh</t>
        </is>
      </c>
      <c r="F7527" t="inlineStr">
        <is>
          <t>Hồ Chí Minh</t>
        </is>
      </c>
      <c r="G7527" t="inlineStr">
        <is>
          <t>30-04-2026</t>
        </is>
      </c>
      <c r="H7527" t="inlineStr">
        <is>
          <t>30/04/2026</t>
        </is>
      </c>
      <c r="I7527" t="inlineStr">
        <is>
          <t>17/03/2026</t>
        </is>
      </c>
      <c r="J7527" t="inlineStr">
        <is>
          <t>Tiếp thị / Marketing</t>
        </is>
      </c>
      <c r="K7527" t="inlineStr">
        <is>
          <t>Trên 2 Năm</t>
        </is>
      </c>
      <c r="L7527" s="8">
        <f>HYPERLINK("https://careerviet.vn/vi/tim-viec-lam/digital-marketing-specialist.35C6BB8B.html","Xem chi tiết")</f>
        <v/>
      </c>
    </row>
    <row r="7528">
      <c r="B7528" s="9" t="n">
        <v>7526</v>
      </c>
      <c r="C7528" s="10" t="inlineStr">
        <is>
          <t>Nhân Viên Kinh Doanh (Kinh Nghiệm Bất Kì Mảng Dịch Vụ Nào)</t>
        </is>
      </c>
      <c r="D7528" s="10" t="inlineStr">
        <is>
          <t>EVERICH VIETNAM</t>
        </is>
      </c>
      <c r="E7528" s="10" t="inlineStr">
        <is>
          <t>Lương:Cạnh tranh</t>
        </is>
      </c>
      <c r="F7528" s="10" t="inlineStr">
        <is>
          <t>Hồ Chí Minh</t>
        </is>
      </c>
      <c r="G7528" s="10" t="inlineStr">
        <is>
          <t>10-04-2026</t>
        </is>
      </c>
      <c r="H7528" s="10" t="inlineStr">
        <is>
          <t>10/04/2026</t>
        </is>
      </c>
      <c r="I7528" s="10" t="inlineStr">
        <is>
          <t>17/03/2026</t>
        </is>
      </c>
      <c r="J7528" s="10" t="inlineStr">
        <is>
          <t>Bán hàng / Kinh doanh, Xuất nhập khẩu, Bán lẻ / Bán sỉ</t>
        </is>
      </c>
      <c r="K7528" s="10" t="inlineStr">
        <is>
          <t>N/A</t>
        </is>
      </c>
      <c r="L7528" s="11">
        <f>HYPERLINK("https://careerviet.vn/vi/tim-viec-lam/nhan-vien-kinh-doanh-kinh-nghiem-bat-ki-mang-dich-vu-nao.35C6BBCB.html","Xem chi tiết")</f>
        <v/>
      </c>
      <c r="M7528" s="10" t="n"/>
    </row>
    <row r="7529">
      <c r="B7529" s="7" t="n">
        <v>7527</v>
      </c>
      <c r="C7529" t="inlineStr">
        <is>
          <t>TECHNICAL FREELANCER</t>
        </is>
      </c>
      <c r="D7529" t="inlineStr">
        <is>
          <t>CÔNG TY TNHH TM DV KT TOÀN ẤN</t>
        </is>
      </c>
      <c r="E7529" t="inlineStr">
        <is>
          <t>Lương:Cạnh tranh</t>
        </is>
      </c>
      <c r="F7529" t="inlineStr">
        <is>
          <t>Hồ Chí MinhHà Nội</t>
        </is>
      </c>
      <c r="G7529" t="inlineStr">
        <is>
          <t>30-04-2026</t>
        </is>
      </c>
      <c r="H7529" t="inlineStr">
        <is>
          <t>30/04/2026</t>
        </is>
      </c>
      <c r="I7529" t="inlineStr">
        <is>
          <t>17/03/2026</t>
        </is>
      </c>
      <c r="J7529" t="inlineStr">
        <is>
          <t>Điện / Điện tử / Điện lạnh / Điện công nghiệp, Cơ khí / Ô tô / Tự động hóa</t>
        </is>
      </c>
      <c r="K7529" t="inlineStr">
        <is>
          <t>3 - 5 Năm</t>
        </is>
      </c>
      <c r="L7529" s="8">
        <f>HYPERLINK("https://careerviet.vn/vi/tim-viec-lam/technical-freelancer.35C6BAAE.html","Xem chi tiết")</f>
        <v/>
      </c>
    </row>
    <row r="7530">
      <c r="B7530" s="9" t="n">
        <v>7528</v>
      </c>
      <c r="C7530" s="10" t="inlineStr">
        <is>
          <t>Chuyên Viên Kiểm Soát Hệ Thống (Kiểm Soát Nội Bộ/Thanh Tra)</t>
        </is>
      </c>
      <c r="D7530" s="10" t="inlineStr">
        <is>
          <t>Công ty CP Phát Triển Hùng Hậu</t>
        </is>
      </c>
      <c r="E7530" s="10" t="inlineStr">
        <is>
          <t>Lương:Cạnh tranh</t>
        </is>
      </c>
      <c r="F7530" s="10" t="inlineStr">
        <is>
          <t>Hồ Chí Minh</t>
        </is>
      </c>
      <c r="G7530" s="10" t="inlineStr">
        <is>
          <t>11-04-2026</t>
        </is>
      </c>
      <c r="H7530" s="10" t="inlineStr">
        <is>
          <t>11/04/2026</t>
        </is>
      </c>
      <c r="I7530" s="10" t="inlineStr">
        <is>
          <t>17/03/2026</t>
        </is>
      </c>
      <c r="J7530" s="10" t="inlineStr">
        <is>
          <t>Kế toán / Kiểm toán, Luật / Pháp lý</t>
        </is>
      </c>
      <c r="K7530" s="10" t="inlineStr">
        <is>
          <t>2 - 5 Năm</t>
        </is>
      </c>
      <c r="L7530" s="11">
        <f>HYPERLINK("https://careerviet.vn/vi/tim-viec-lam/chuyen-vien-kiem-soat-he-thong-kiem-soat-noi-bo-thanh-tra.35C69D0A.html","Xem chi tiết")</f>
        <v/>
      </c>
      <c r="M7530" s="10" t="n"/>
    </row>
    <row r="7531">
      <c r="B7531" s="7" t="n">
        <v>7529</v>
      </c>
      <c r="C7531" t="inlineStr">
        <is>
          <t>Quản Lý Cửa Hàng Thời Trang (TP Hưng Yên)</t>
        </is>
      </c>
      <c r="D7531" t="inlineStr">
        <is>
          <t>Công Ty Cổ Phần Tập Đoàn Thời Trang Việt Nam</t>
        </is>
      </c>
      <c r="E7531" t="inlineStr">
        <is>
          <t>Lương:12 Tr - 15 Tr VND</t>
        </is>
      </c>
      <c r="F7531" t="inlineStr">
        <is>
          <t>Hưng Yên</t>
        </is>
      </c>
      <c r="G7531" t="inlineStr">
        <is>
          <t>04-04-2026</t>
        </is>
      </c>
      <c r="H7531" t="inlineStr">
        <is>
          <t>04/04/2026</t>
        </is>
      </c>
      <c r="I7531" t="inlineStr">
        <is>
          <t>17/03/2026</t>
        </is>
      </c>
      <c r="J7531" t="inlineStr">
        <is>
          <t>Bán hàng / Kinh doanh</t>
        </is>
      </c>
      <c r="K7531" t="inlineStr">
        <is>
          <t>1 - 2 Năm</t>
        </is>
      </c>
      <c r="L7531" s="8">
        <f>HYPERLINK("https://careerviet.vn/vi/tim-viec-lam/quan-ly-cua-hang-thoi-trang-tp-hung-yen.35C6BAE9.html","Xem chi tiết")</f>
        <v/>
      </c>
    </row>
    <row r="7532">
      <c r="B7532" s="9" t="n">
        <v>7530</v>
      </c>
      <c r="C7532" s="10" t="inlineStr">
        <is>
          <t>Kế Toán Trưởng (Truyền Thông)</t>
        </is>
      </c>
      <c r="D7532" s="10" t="inlineStr">
        <is>
          <t>Headhunter HRchannels Group</t>
        </is>
      </c>
      <c r="E7532" s="10" t="inlineStr">
        <is>
          <t>Lương:25 Tr - 27 Tr VND</t>
        </is>
      </c>
      <c r="F7532" s="10" t="inlineStr">
        <is>
          <t>Hồ Chí MinhBình DươngĐồng Nai</t>
        </is>
      </c>
      <c r="G7532" s="10" t="inlineStr">
        <is>
          <t>10-04-2026</t>
        </is>
      </c>
      <c r="H7532" s="10" t="inlineStr">
        <is>
          <t>10/04/2026</t>
        </is>
      </c>
      <c r="I7532" s="10" t="inlineStr">
        <is>
          <t>17/03/2026</t>
        </is>
      </c>
      <c r="J7532" s="10" t="inlineStr">
        <is>
          <t>Kế toán / Kiểm toán, Quảng cáo / Đối ngoại / Truyền Thông</t>
        </is>
      </c>
      <c r="K7532" s="10" t="inlineStr">
        <is>
          <t>2 - 3 Năm</t>
        </is>
      </c>
      <c r="L7532" s="11">
        <f>HYPERLINK("https://careerviet.vn/vi/tim-viec-lam/ke-toan-truong-truyen-thong.35C6BA84.html","Xem chi tiết")</f>
        <v/>
      </c>
      <c r="M7532" s="10" t="n"/>
    </row>
    <row r="7533">
      <c r="B7533" s="7" t="n">
        <v>7531</v>
      </c>
      <c r="C7533" t="inlineStr">
        <is>
          <t>Kỹ sư xây dựng</t>
        </is>
      </c>
      <c r="D7533" t="inlineStr">
        <is>
          <t>Công Ty CP Xây Dựng A&amp;C</t>
        </is>
      </c>
      <c r="E7533" t="inlineStr">
        <is>
          <t>Lương:Cạnh tranh</t>
        </is>
      </c>
      <c r="F7533" t="inlineStr">
        <is>
          <t>Hồ Chí Minh</t>
        </is>
      </c>
      <c r="G7533" t="inlineStr">
        <is>
          <t>31-03-2026</t>
        </is>
      </c>
      <c r="H7533" t="inlineStr">
        <is>
          <t>31/03/2026</t>
        </is>
      </c>
      <c r="I7533" t="inlineStr">
        <is>
          <t>17/03/2026</t>
        </is>
      </c>
      <c r="J7533" t="inlineStr">
        <is>
          <t>Kiến trúc, Xây dựng, Bất động sản</t>
        </is>
      </c>
      <c r="K7533" t="inlineStr">
        <is>
          <t>2 - 3 Năm</t>
        </is>
      </c>
      <c r="L7533" s="8">
        <f>HYPERLINK("https://careerviet.vn/vi/tim-viec-lam/ky-su-xay-dung.35C6BCA2.html","Xem chi tiết")</f>
        <v/>
      </c>
    </row>
    <row r="7534">
      <c r="B7534" s="9" t="n">
        <v>7532</v>
      </c>
      <c r="C7534" s="10" t="inlineStr">
        <is>
          <t>Kế Toán Trưởng</t>
        </is>
      </c>
      <c r="D7534" s="10" t="inlineStr">
        <is>
          <t>CÔNG TY CỔ PHẦN HCT FAMILY FOOD</t>
        </is>
      </c>
      <c r="E7534" s="10" t="inlineStr">
        <is>
          <t>Lương:Cạnh tranh</t>
        </is>
      </c>
      <c r="F7534" s="10" t="inlineStr">
        <is>
          <t>Long AnHồ Chí Minh</t>
        </is>
      </c>
      <c r="G7534" s="10" t="inlineStr">
        <is>
          <t>10-04-2026</t>
        </is>
      </c>
      <c r="H7534" s="10" t="inlineStr">
        <is>
          <t>10/04/2026</t>
        </is>
      </c>
      <c r="I7534" s="10" t="inlineStr">
        <is>
          <t>17/03/2026</t>
        </is>
      </c>
      <c r="J7534" s="10" t="inlineStr">
        <is>
          <t>Kế toán / Kiểm toán, Sản xuất / Vận hành sản xuất</t>
        </is>
      </c>
      <c r="K7534" s="10" t="inlineStr">
        <is>
          <t>3 - 5 Năm</t>
        </is>
      </c>
      <c r="L7534" s="11">
        <f>HYPERLINK("https://careerviet.vn/vi/tim-viec-lam/ke-toan-truong.35C6BE12.html","Xem chi tiết")</f>
        <v/>
      </c>
      <c r="M7534" s="10" t="n"/>
    </row>
    <row r="7535">
      <c r="B7535" s="7" t="n">
        <v>7533</v>
      </c>
      <c r="C7535" t="inlineStr">
        <is>
          <t>Digital Marketing Manager</t>
        </is>
      </c>
      <c r="D7535" t="inlineStr">
        <is>
          <t>Công Ty Cổ Phần Y Tế Việt Tiến</t>
        </is>
      </c>
      <c r="E7535" t="inlineStr">
        <is>
          <t>Lương:Cạnh tranh</t>
        </is>
      </c>
      <c r="F7535" t="inlineStr">
        <is>
          <t>Hồ Chí Minh</t>
        </is>
      </c>
      <c r="G7535" t="inlineStr">
        <is>
          <t>20-04-2026</t>
        </is>
      </c>
      <c r="H7535" t="inlineStr">
        <is>
          <t>20/04/2026</t>
        </is>
      </c>
      <c r="I7535" t="inlineStr">
        <is>
          <t>17/03/2026</t>
        </is>
      </c>
      <c r="J7535" t="inlineStr">
        <is>
          <t>Tiếp thị / Marketing, Tiếp thị trực tuyến, Quảng cáo / Đối ngoại / Truyền Thông</t>
        </is>
      </c>
      <c r="K7535" t="inlineStr">
        <is>
          <t>5 - 7 Năm</t>
        </is>
      </c>
      <c r="L7535" s="8">
        <f>HYPERLINK("https://careerviet.vn/vi/tim-viec-lam/digital-marketing-manager.35C6BD27.html","Xem chi tiết")</f>
        <v/>
      </c>
    </row>
    <row r="7536">
      <c r="B7536" s="9" t="n">
        <v>7534</v>
      </c>
      <c r="C7536" s="10" t="inlineStr">
        <is>
          <t>Export Import Officer</t>
        </is>
      </c>
      <c r="D7536" s="10" t="inlineStr">
        <is>
          <t>Công Ty TNHH Việt Nam Samho</t>
        </is>
      </c>
      <c r="E7536" s="10" t="inlineStr">
        <is>
          <t>Lương:10 Tr - 15 Tr VND</t>
        </is>
      </c>
      <c r="F7536" s="10" t="inlineStr">
        <is>
          <t>Hồ Chí Minh</t>
        </is>
      </c>
      <c r="G7536" s="10" t="inlineStr">
        <is>
          <t>31-12-2026</t>
        </is>
      </c>
      <c r="H7536" s="10" t="inlineStr">
        <is>
          <t>31/12/2026</t>
        </is>
      </c>
      <c r="I7536" s="10" t="inlineStr">
        <is>
          <t>17/03/2026</t>
        </is>
      </c>
      <c r="J7536" s="10" t="inlineStr">
        <is>
          <t>Dệt may / Da giày / Thời trang</t>
        </is>
      </c>
      <c r="K7536" s="10" t="inlineStr">
        <is>
          <t>N/A</t>
        </is>
      </c>
      <c r="L7536" s="11">
        <f>HYPERLINK("https://careerviet.vn/vi/tim-viec-lam/export-import-officer.35C6BBF6.html","Xem chi tiết")</f>
        <v/>
      </c>
      <c r="M7536" s="10" t="n"/>
    </row>
    <row r="7537">
      <c r="B7537" s="7" t="n">
        <v>7535</v>
      </c>
      <c r="C7537" t="inlineStr">
        <is>
          <t>Scrum Master</t>
        </is>
      </c>
      <c r="D7537" t="inlineStr">
        <is>
          <t>Công ty TNHH Viettel - CHT</t>
        </is>
      </c>
      <c r="E7537" t="inlineStr">
        <is>
          <t>Lương:Cạnh tranh</t>
        </is>
      </c>
      <c r="F7537" t="inlineStr">
        <is>
          <t>Hà Nội</t>
        </is>
      </c>
      <c r="G7537" t="inlineStr">
        <is>
          <t>29-04-2026</t>
        </is>
      </c>
      <c r="H7537" t="inlineStr">
        <is>
          <t>29/04/2026</t>
        </is>
      </c>
      <c r="I7537" t="inlineStr">
        <is>
          <t>17/03/2026</t>
        </is>
      </c>
      <c r="J7537" t="inlineStr">
        <is>
          <t>CNTT - Phần mềm, CNTT - Phần cứng / Mạng</t>
        </is>
      </c>
      <c r="K7537" t="inlineStr">
        <is>
          <t>Trên 2 Năm</t>
        </is>
      </c>
      <c r="L7537" s="8">
        <f>HYPERLINK("https://careerviet.vn/vi/tim-viec-lam/scrum-master.35C6BE07.html","Xem chi tiết")</f>
        <v/>
      </c>
    </row>
    <row r="7538">
      <c r="B7538" s="9" t="n">
        <v>7536</v>
      </c>
      <c r="C7538" s="10" t="inlineStr">
        <is>
          <t>Planning And Strategy Deputy Manager</t>
        </is>
      </c>
      <c r="D7538" s="10" t="inlineStr">
        <is>
          <t>Công Ty Tài Chính Mirae Asset (Việt Nam)</t>
        </is>
      </c>
      <c r="E7538" s="10" t="inlineStr">
        <is>
          <t>Lương:Cạnh tranh</t>
        </is>
      </c>
      <c r="F7538" s="10" t="inlineStr">
        <is>
          <t>Hồ Chí Minh</t>
        </is>
      </c>
      <c r="G7538" s="10" t="inlineStr">
        <is>
          <t>19-04-2026</t>
        </is>
      </c>
      <c r="H7538" s="10" t="inlineStr">
        <is>
          <t>19/04/2026</t>
        </is>
      </c>
      <c r="I7538" s="10" t="inlineStr">
        <is>
          <t>17/03/2026</t>
        </is>
      </c>
      <c r="J7538" s="10" t="inlineStr">
        <is>
          <t>Bảo hiểm, Bất động sản, Bán hàng / Kinh doanh</t>
        </is>
      </c>
      <c r="K7538" s="10" t="inlineStr">
        <is>
          <t>4 - 6 Năm</t>
        </is>
      </c>
      <c r="L7538" s="11">
        <f>HYPERLINK("https://careerviet.vn/vi/tim-viec-lam/planning-and-strategy-deputy-manager.35C6BD9B.html","Xem chi tiết")</f>
        <v/>
      </c>
      <c r="M7538" s="10" t="n"/>
    </row>
    <row r="7539">
      <c r="B7539" s="7" t="n">
        <v>7537</v>
      </c>
      <c r="C7539" t="inlineStr">
        <is>
          <t>Trưởng Phòng Thẩm Định - [BAC A BANK -  Chi Nhánh Hà Giang]</t>
        </is>
      </c>
      <c r="D7539" t="inlineStr">
        <is>
          <t>Ngân Hàng Thương mại cổ phần Bắc Á- BAC A BANK</t>
        </is>
      </c>
      <c r="E7539" t="inlineStr">
        <is>
          <t>Lương:Cạnh tranh</t>
        </is>
      </c>
      <c r="F7539" t="inlineStr">
        <is>
          <t>Hà Giang</t>
        </is>
      </c>
      <c r="G7539" t="inlineStr">
        <is>
          <t>08-04-2026</t>
        </is>
      </c>
      <c r="H7539" t="inlineStr">
        <is>
          <t>08/04/2026</t>
        </is>
      </c>
      <c r="I7539" t="inlineStr">
        <is>
          <t>17/03/2026</t>
        </is>
      </c>
      <c r="J7539" t="inlineStr">
        <is>
          <t>Quản lý điều hành, Ngân hàng, Luật / Pháp lý</t>
        </is>
      </c>
      <c r="K7539" t="inlineStr">
        <is>
          <t>4 - 5 Năm</t>
        </is>
      </c>
      <c r="L7539" s="8">
        <f>HYPERLINK("https://careerviet.vn/vi/tim-viec-lam/truong-phong-tham-dinh-bac-a-bank-chi-nhanh-ha-giang.35C6BD52.html","Xem chi tiết")</f>
        <v/>
      </c>
    </row>
    <row r="7540">
      <c r="B7540" s="9" t="n">
        <v>7538</v>
      </c>
      <c r="C7540" s="10" t="inlineStr">
        <is>
          <t>Quản lý Thiết kế Kiến trúc</t>
        </is>
      </c>
      <c r="D7540" s="10" t="inlineStr">
        <is>
          <t>CÔNG TY TNHH DK BUILD</t>
        </is>
      </c>
      <c r="E7540" s="10" t="inlineStr">
        <is>
          <t>Lương:Cạnh tranh</t>
        </is>
      </c>
      <c r="F7540" s="10" t="inlineStr">
        <is>
          <t>Bình Dương</t>
        </is>
      </c>
      <c r="G7540" s="10" t="inlineStr">
        <is>
          <t>30-04-2026</t>
        </is>
      </c>
      <c r="H7540" s="10" t="inlineStr">
        <is>
          <t>30/04/2026</t>
        </is>
      </c>
      <c r="I7540" s="10" t="inlineStr">
        <is>
          <t>17/03/2026</t>
        </is>
      </c>
      <c r="J7540" s="10" t="inlineStr">
        <is>
          <t>Xây dựng</t>
        </is>
      </c>
      <c r="K7540" s="10" t="inlineStr">
        <is>
          <t>5 - 7 Năm</t>
        </is>
      </c>
      <c r="L7540" s="11">
        <f>HYPERLINK("https://careerviet.vn/vi/tim-viec-lam/quan-ly-thiet-ke-kien-truc.35C6BD61.html","Xem chi tiết")</f>
        <v/>
      </c>
      <c r="M7540" s="10" t="n"/>
    </row>
    <row r="7541">
      <c r="B7541" s="7" t="n">
        <v>7539</v>
      </c>
      <c r="C7541" t="inlineStr">
        <is>
          <t>NHÂN VIÊN LỄ TÂN (HÀ NỘI)</t>
        </is>
      </c>
      <c r="D7541" t="inlineStr">
        <is>
          <t>Công Ty Cổ Phần Tập Đoàn Đèo Cả</t>
        </is>
      </c>
      <c r="E7541" t="inlineStr">
        <is>
          <t>Lương:9 Tr - 12 Tr VND</t>
        </is>
      </c>
      <c r="F7541" t="inlineStr">
        <is>
          <t>Hà Nội</t>
        </is>
      </c>
      <c r="G7541" t="inlineStr">
        <is>
          <t>30-04-2026</t>
        </is>
      </c>
      <c r="H7541" t="inlineStr">
        <is>
          <t>30/04/2026</t>
        </is>
      </c>
      <c r="I7541" t="inlineStr">
        <is>
          <t>17/03/2026</t>
        </is>
      </c>
      <c r="J7541" t="inlineStr">
        <is>
          <t>Hành chính / Thư ký</t>
        </is>
      </c>
      <c r="K7541" t="inlineStr">
        <is>
          <t>Chưa có kinh nghiệm</t>
        </is>
      </c>
      <c r="L7541" s="8">
        <f>HYPERLINK("https://careerviet.vn/vi/tim-viec-lam/nhan-vien-le-tan-ha-noi.35C6BAEC.html","Xem chi tiết")</f>
        <v/>
      </c>
    </row>
    <row r="7542">
      <c r="B7542" s="9" t="n">
        <v>7540</v>
      </c>
      <c r="C7542" s="10" t="inlineStr">
        <is>
          <t>IQC Metrology Engineer</t>
        </is>
      </c>
      <c r="D7542" s="10" t="inlineStr">
        <is>
          <t>Techtronic Industries Vietnam Manufacturing Company Limited</t>
        </is>
      </c>
      <c r="E7542" s="10" t="inlineStr">
        <is>
          <t>Lương:Cạnh tranh</t>
        </is>
      </c>
      <c r="F7542" s="10" t="inlineStr">
        <is>
          <t>Đồng Nai</t>
        </is>
      </c>
      <c r="G7542" s="10" t="inlineStr">
        <is>
          <t>20-04-2026</t>
        </is>
      </c>
      <c r="H7542" s="10" t="inlineStr">
        <is>
          <t>20/04/2026</t>
        </is>
      </c>
      <c r="I7542" s="10" t="inlineStr">
        <is>
          <t>17/03/2026</t>
        </is>
      </c>
      <c r="J7542" s="10" t="inlineStr">
        <is>
          <t>Cơ khí / Ô tô / Tự động hóa, Quản lý chất lượng (QA/QC), Điện / Điện tử / Điện lạnh / Điện công nghiệp</t>
        </is>
      </c>
      <c r="K7542" s="10" t="inlineStr">
        <is>
          <t>1 - 2 Năm</t>
        </is>
      </c>
      <c r="L7542" s="11">
        <f>HYPERLINK("https://careerviet.vn/vi/tim-viec-lam/iqc-metrology-engineer.35C6BC1E.html","Xem chi tiết")</f>
        <v/>
      </c>
      <c r="M7542" s="10" t="n"/>
    </row>
    <row r="7543">
      <c r="B7543" s="7" t="n">
        <v>7541</v>
      </c>
      <c r="C7543" t="inlineStr">
        <is>
          <t>Supplier Quality Engineer</t>
        </is>
      </c>
      <c r="D7543" t="inlineStr">
        <is>
          <t>Techtronic Industries Vietnam Manufacturing Company Limited</t>
        </is>
      </c>
      <c r="E7543" t="inlineStr">
        <is>
          <t>Lương:Cạnh tranh</t>
        </is>
      </c>
      <c r="F7543" t="inlineStr">
        <is>
          <t>Đồng Nai</t>
        </is>
      </c>
      <c r="G7543" t="inlineStr">
        <is>
          <t>20-04-2026</t>
        </is>
      </c>
      <c r="H7543" t="inlineStr">
        <is>
          <t>20/04/2026</t>
        </is>
      </c>
      <c r="I7543" t="inlineStr">
        <is>
          <t>17/03/2026</t>
        </is>
      </c>
      <c r="J7543" t="inlineStr">
        <is>
          <t>Cơ khí / Ô tô / Tự động hóa, Quản lý chất lượng (QA/QC), Điện / Điện tử / Điện lạnh / Điện công nghiệp</t>
        </is>
      </c>
      <c r="K7543" t="inlineStr">
        <is>
          <t>1 - 2 Năm</t>
        </is>
      </c>
      <c r="L7543" s="8">
        <f>HYPERLINK("https://careerviet.vn/vi/tim-viec-lam/supplier-quality-engineer.35C6BC12.html","Xem chi tiết")</f>
        <v/>
      </c>
    </row>
    <row r="7544">
      <c r="B7544" s="9" t="n">
        <v>7542</v>
      </c>
      <c r="C7544" s="10" t="inlineStr">
        <is>
          <t>[OP] Claims Officer (Assessor)</t>
        </is>
      </c>
      <c r="D7544" s="10" t="inlineStr">
        <is>
          <t>CÔNG TY TNHH BẢO HIỂM NHÂN THỌ MB AGEAS</t>
        </is>
      </c>
      <c r="E7544" s="10" t="inlineStr">
        <is>
          <t>Lương:Cạnh tranh</t>
        </is>
      </c>
      <c r="F7544" s="10" t="inlineStr">
        <is>
          <t>Hà Nội</t>
        </is>
      </c>
      <c r="G7544" s="10" t="inlineStr">
        <is>
          <t>30-05-2026</t>
        </is>
      </c>
      <c r="H7544" s="10" t="inlineStr">
        <is>
          <t>30/05/2026</t>
        </is>
      </c>
      <c r="I7544" s="10" t="inlineStr">
        <is>
          <t>17/03/2026</t>
        </is>
      </c>
      <c r="J7544" s="10" t="inlineStr">
        <is>
          <t>Ngân hàng, Bảo hiểm</t>
        </is>
      </c>
      <c r="K7544" s="10" t="inlineStr">
        <is>
          <t>Trên 3 Năm</t>
        </is>
      </c>
      <c r="L7544" s="11">
        <f>HYPERLINK("https://careerviet.vn/vi/tim-viec-lam/op-claims-officer-assessor.35C6BB7B.html","Xem chi tiết")</f>
        <v/>
      </c>
      <c r="M7544" s="10" t="n"/>
    </row>
    <row r="7545">
      <c r="B7545" s="7" t="n">
        <v>7543</v>
      </c>
      <c r="C7545" t="inlineStr">
        <is>
          <t>Nhân Viên Livestream - Part time</t>
        </is>
      </c>
      <c r="D7545" t="inlineStr">
        <is>
          <t>CT CP Tập Đoàn Thái Tuấn</t>
        </is>
      </c>
      <c r="E7545" t="inlineStr">
        <is>
          <t>Lương:Cạnh tranh</t>
        </is>
      </c>
      <c r="F7545" t="inlineStr">
        <is>
          <t>Hồ Chí Minh</t>
        </is>
      </c>
      <c r="G7545" t="inlineStr">
        <is>
          <t>09-04-2026</t>
        </is>
      </c>
      <c r="H7545" t="inlineStr">
        <is>
          <t>09/04/2026</t>
        </is>
      </c>
      <c r="I7545" t="inlineStr">
        <is>
          <t>17/03/2026</t>
        </is>
      </c>
      <c r="J7545" t="inlineStr">
        <is>
          <t>Tiếp thị / Marketing</t>
        </is>
      </c>
      <c r="K7545" t="inlineStr">
        <is>
          <t>Trên 1 Năm</t>
        </is>
      </c>
      <c r="L7545" s="8">
        <f>HYPERLINK("https://careerviet.vn/vi/tim-viec-lam/nhan-vien-livestream-part-time.35C6BBCA.html","Xem chi tiết")</f>
        <v/>
      </c>
    </row>
    <row r="7546">
      <c r="B7546" s="9" t="n">
        <v>7544</v>
      </c>
      <c r="C7546" s="10" t="inlineStr">
        <is>
          <t>Nhân Viên Kỹ Thuật Điện (Cơ Sở Vật Chất / Tòa Nhà)</t>
        </is>
      </c>
      <c r="D7546" s="10" t="inlineStr">
        <is>
          <t>CÔNG TY TNHH CRYSTAL ELEGANCE TEXTILES VIỆT NAM</t>
        </is>
      </c>
      <c r="E7546" s="10" t="inlineStr">
        <is>
          <t>Lương:7 Tr - 13 Tr VND</t>
        </is>
      </c>
      <c r="F7546" s="10" t="inlineStr">
        <is>
          <t>Bình Dương</t>
        </is>
      </c>
      <c r="G7546" s="10" t="inlineStr">
        <is>
          <t>30-04-2026</t>
        </is>
      </c>
      <c r="H7546" s="10" t="inlineStr">
        <is>
          <t>30/04/2026</t>
        </is>
      </c>
      <c r="I7546" s="10" t="inlineStr">
        <is>
          <t>17/03/2026</t>
        </is>
      </c>
      <c r="J7546" s="10" t="inlineStr">
        <is>
          <t>Điện / Điện tử / Điện lạnh / Điện công nghiệp, Bảo trì / Sửa chữa, Cơ khí / Ô tô / Tự động hóa</t>
        </is>
      </c>
      <c r="K7546" s="10" t="inlineStr">
        <is>
          <t>1 - 2 Năm</t>
        </is>
      </c>
      <c r="L7546" s="11">
        <f>HYPERLINK("https://careerviet.vn/vi/tim-viec-lam/nhan-vien-ky-thuat-dien-co-so-vat-chat-toa-nha.35C6BCC0.html","Xem chi tiết")</f>
        <v/>
      </c>
      <c r="M7546" s="10" t="n"/>
    </row>
    <row r="7547">
      <c r="B7547" s="7" t="n">
        <v>7545</v>
      </c>
      <c r="C7547" t="inlineStr">
        <is>
          <t>Chuyên viên đào tạo nội bộ F&amp;B</t>
        </is>
      </c>
      <c r="D7547" t="inlineStr">
        <is>
          <t>Công Ty Cổ Phần Đầu Tư Viên Ngọc Mới</t>
        </is>
      </c>
      <c r="E7547" t="inlineStr">
        <is>
          <t>Lương:Cạnh tranh</t>
        </is>
      </c>
      <c r="F7547" t="inlineStr">
        <is>
          <t>Hồ Chí Minh</t>
        </is>
      </c>
      <c r="G7547" t="inlineStr">
        <is>
          <t>30-04-2026</t>
        </is>
      </c>
      <c r="H7547" t="inlineStr">
        <is>
          <t>30/04/2026</t>
        </is>
      </c>
      <c r="I7547" t="inlineStr">
        <is>
          <t>17/03/2026</t>
        </is>
      </c>
      <c r="J7547" t="inlineStr">
        <is>
          <t>Giáo dục / Đào tạo, Nhà hàng / Khách sạn</t>
        </is>
      </c>
      <c r="K7547" t="inlineStr">
        <is>
          <t>2 - 3 Năm</t>
        </is>
      </c>
      <c r="L7547" s="8">
        <f>HYPERLINK("https://careerviet.vn/vi/tim-viec-lam/chuyen-vien-dao-tao-noi-bo-f-b.35C6BCC5.html","Xem chi tiết")</f>
        <v/>
      </c>
    </row>
    <row r="7548">
      <c r="B7548" s="9" t="n">
        <v>7546</v>
      </c>
      <c r="C7548" s="10" t="inlineStr">
        <is>
          <t>Giám đốc Phòng Quan hệ khách hàng Doanh nghiệp - BVBank Khánh Hòa - KV Miền Trung</t>
        </is>
      </c>
      <c r="D7548" s="10" t="inlineStr">
        <is>
          <t>BVBank - Ngân hàng Bản Việt</t>
        </is>
      </c>
      <c r="E7548" s="10" t="inlineStr">
        <is>
          <t>Lương:Cạnh tranh</t>
        </is>
      </c>
      <c r="F7548" s="10" t="inlineStr">
        <is>
          <t>Khánh Hòa</t>
        </is>
      </c>
      <c r="G7548" s="10" t="inlineStr">
        <is>
          <t>08-04-2026</t>
        </is>
      </c>
      <c r="H7548" s="10" t="inlineStr">
        <is>
          <t>08/04/2026</t>
        </is>
      </c>
      <c r="I7548" s="10" t="inlineStr">
        <is>
          <t>17/03/2026</t>
        </is>
      </c>
      <c r="J7548" s="10" t="inlineStr">
        <is>
          <t>Ngân hàng, Tài chính / Đầu tư</t>
        </is>
      </c>
      <c r="K7548" s="10" t="inlineStr">
        <is>
          <t>3 - 4 Năm</t>
        </is>
      </c>
      <c r="L7548" s="11">
        <f>HYPERLINK("https://careerviet.vn/vi/tim-viec-lam/giam-doc-phong-quan-he-khach-hang-doanh-nghiep-bvbank-khanh-hoa-kv-mien-trung.35C6BACD.html","Xem chi tiết")</f>
        <v/>
      </c>
      <c r="M7548" s="10" t="n"/>
    </row>
    <row r="7549">
      <c r="B7549" s="7" t="n">
        <v>7547</v>
      </c>
      <c r="C7549" t="inlineStr">
        <is>
          <t>Giáo Viên Chủ Nhiệm (Ocean Edu Thái Bình 2) - Trúng Tuyển Đi Làm Luôn</t>
        </is>
      </c>
      <c r="D7549" t="inlineStr">
        <is>
          <t>Công Ty CP Giáo Dục Đại Dương</t>
        </is>
      </c>
      <c r="E7549" t="inlineStr">
        <is>
          <t>Lương:Cạnh tranh</t>
        </is>
      </c>
      <c r="F7549" t="inlineStr">
        <is>
          <t>Thái Bình</t>
        </is>
      </c>
      <c r="G7549" t="inlineStr">
        <is>
          <t>02-04-2026</t>
        </is>
      </c>
      <c r="H7549" t="inlineStr">
        <is>
          <t>02/04/2026</t>
        </is>
      </c>
      <c r="I7549" t="inlineStr">
        <is>
          <t>17/03/2026</t>
        </is>
      </c>
      <c r="J7549" t="inlineStr">
        <is>
          <t>Giáo dục / Đào tạo, Bán hàng / Kinh doanh, Biên phiên dịch</t>
        </is>
      </c>
      <c r="K7549" t="inlineStr">
        <is>
          <t>Trên 1 Năm</t>
        </is>
      </c>
      <c r="L7549" s="8">
        <f>HYPERLINK("https://careerviet.vn/vi/tim-viec-lam/giao-vien-chu-nhiem-ocean-edu-thai-binh-2-trung-tuyen-di-lam-luon.35C6A9A5.html","Xem chi tiết")</f>
        <v/>
      </c>
    </row>
    <row r="7550">
      <c r="B7550" s="9" t="n">
        <v>7548</v>
      </c>
      <c r="C7550" s="10" t="inlineStr">
        <is>
          <t>[TUYỂN GẤP] GIÁM SÁT THI CÔNG NỘI THẤT - KHU VỰC BÌNH DƯƠNG</t>
        </is>
      </c>
      <c r="D7550" s="10" t="inlineStr">
        <is>
          <t>CÔNG TY CỔ PHẦN SẢN XUẤT THƯƠNG MẠI XÂY DỰNG TRANG TRÍ NỘI THẤT G.S VIỆT NAM</t>
        </is>
      </c>
      <c r="E7550" s="10" t="inlineStr">
        <is>
          <t>Lương:Trên 12 Tr VND</t>
        </is>
      </c>
      <c r="F7550" s="10" t="inlineStr">
        <is>
          <t>Bình Dương</t>
        </is>
      </c>
      <c r="G7550" s="10" t="inlineStr">
        <is>
          <t>30-04-2026</t>
        </is>
      </c>
      <c r="H7550" s="10" t="inlineStr">
        <is>
          <t>30/04/2026</t>
        </is>
      </c>
      <c r="I7550" s="10" t="inlineStr">
        <is>
          <t>17/03/2026</t>
        </is>
      </c>
      <c r="J7550" s="10" t="inlineStr">
        <is>
          <t>Kiến trúc, Xây dựng, Nội ngoại thất</t>
        </is>
      </c>
      <c r="K7550" s="10" t="inlineStr">
        <is>
          <t>1 - 2 Năm</t>
        </is>
      </c>
      <c r="L7550" s="11">
        <f>HYPERLINK("https://careerviet.vn/vi/tim-viec-lam/tuyen-gap-giam-sat-thi-cong-noi-that-khu-vuc-binh-duong.35C6BCE5.html","Xem chi tiết")</f>
        <v/>
      </c>
      <c r="M7550" s="10" t="n"/>
    </row>
    <row r="7551">
      <c r="B7551" s="7" t="n">
        <v>7549</v>
      </c>
      <c r="C7551" t="inlineStr">
        <is>
          <t>[PHENIKAA GROUP] Chuyên Viên Quản trị rủi ro</t>
        </is>
      </c>
      <c r="D7551" t="inlineStr">
        <is>
          <t>ĐẠI HỌC PHENIKAA</t>
        </is>
      </c>
      <c r="E7551" t="inlineStr">
        <is>
          <t>Lương:18 Tr - 25 Tr VND</t>
        </is>
      </c>
      <c r="F7551" t="inlineStr">
        <is>
          <t>Hà Nội</t>
        </is>
      </c>
      <c r="G7551" t="inlineStr">
        <is>
          <t>30-04-2026</t>
        </is>
      </c>
      <c r="H7551" t="inlineStr">
        <is>
          <t>30/04/2026</t>
        </is>
      </c>
      <c r="I7551" t="inlineStr">
        <is>
          <t>17/03/2026</t>
        </is>
      </c>
      <c r="J7551" t="inlineStr">
        <is>
          <t>Kế toán / Kiểm toán, Sản xuất / Vận hành sản xuất, Bảo hiểm</t>
        </is>
      </c>
      <c r="K7551" t="inlineStr">
        <is>
          <t>1 - 2 Năm</t>
        </is>
      </c>
      <c r="L7551" s="8">
        <f>HYPERLINK("https://careerviet.vn/vi/tim-viec-lam/phenikaa-group-chuyen-vien-quan-tri-rui-ro.35C6A8DD.html","Xem chi tiết")</f>
        <v/>
      </c>
    </row>
    <row r="7552">
      <c r="B7552" s="9" t="n">
        <v>7550</v>
      </c>
      <c r="C7552" s="10" t="inlineStr">
        <is>
          <t>Giáo Viên Chủ Nhiệm (Ocean Edu Giao Thủy) - Trúng Tuyển Đi Làm Luôn</t>
        </is>
      </c>
      <c r="D7552" s="10" t="inlineStr">
        <is>
          <t>Công Ty CP Giáo Dục Đại Dương</t>
        </is>
      </c>
      <c r="E7552" s="10" t="inlineStr">
        <is>
          <t>Lương:Cạnh tranh</t>
        </is>
      </c>
      <c r="F7552" s="10" t="inlineStr">
        <is>
          <t>Nam Định</t>
        </is>
      </c>
      <c r="G7552" s="10" t="inlineStr">
        <is>
          <t>02-04-2026</t>
        </is>
      </c>
      <c r="H7552" s="10" t="inlineStr">
        <is>
          <t>02/04/2026</t>
        </is>
      </c>
      <c r="I7552" s="10" t="inlineStr">
        <is>
          <t>17/03/2026</t>
        </is>
      </c>
      <c r="J7552" s="10" t="inlineStr">
        <is>
          <t>Giáo dục / Đào tạo, Bán hàng / Kinh doanh, Biên phiên dịch</t>
        </is>
      </c>
      <c r="K7552" s="10" t="inlineStr">
        <is>
          <t>Trên 1 Năm</t>
        </is>
      </c>
      <c r="L7552" s="11">
        <f>HYPERLINK("https://careerviet.vn/vi/tim-viec-lam/giao-vien-chu-nhiem-ocean-edu-giao-thuy-trung-tuyen-di-lam-luon.35C6A9A8.html","Xem chi tiết")</f>
        <v/>
      </c>
      <c r="M7552" s="10" t="n"/>
    </row>
    <row r="7553">
      <c r="B7553" s="7" t="n">
        <v>7551</v>
      </c>
      <c r="C7553" t="inlineStr">
        <is>
          <t>[Ha Noi] Accountant Internship - 6 months with Allowance</t>
        </is>
      </c>
      <c r="D7553" t="inlineStr">
        <is>
          <t>EUROFINS VIETNAM</t>
        </is>
      </c>
      <c r="E7553" t="inlineStr">
        <is>
          <t>Lương:Cạnh tranh</t>
        </is>
      </c>
      <c r="F7553" t="inlineStr">
        <is>
          <t>Hà Nội</t>
        </is>
      </c>
      <c r="G7553" t="inlineStr">
        <is>
          <t>31-03-2026</t>
        </is>
      </c>
      <c r="H7553" t="inlineStr">
        <is>
          <t>31/03/2026</t>
        </is>
      </c>
      <c r="I7553" t="inlineStr">
        <is>
          <t>17/03/2026</t>
        </is>
      </c>
      <c r="J7553" t="inlineStr">
        <is>
          <t>Kế toán / Kiểm toán, Mới tốt nghiệp / Thực tập, Hành chính / Thư ký</t>
        </is>
      </c>
      <c r="K7553" t="inlineStr">
        <is>
          <t>N/A</t>
        </is>
      </c>
      <c r="L7553" s="8">
        <f>HYPERLINK("https://careerviet.vn/vi/tim-viec-lam/ha-noi-accountant-internship-6-months-with-allowance.35C6BCBA.html","Xem chi tiết")</f>
        <v/>
      </c>
    </row>
    <row r="7554">
      <c r="B7554" s="9" t="n">
        <v>7552</v>
      </c>
      <c r="C7554" s="10" t="inlineStr">
        <is>
          <t>Nhân viên kế hoạch mua hàng</t>
        </is>
      </c>
      <c r="D7554" s="10" t="inlineStr">
        <is>
          <t>Ocean Coatings (Vietnam) Co. Ltd</t>
        </is>
      </c>
      <c r="E7554" s="10" t="inlineStr">
        <is>
          <t>Lương:Trên 10 Tr VND</t>
        </is>
      </c>
      <c r="F7554" s="10" t="inlineStr">
        <is>
          <t>Đồng Nai</t>
        </is>
      </c>
      <c r="G7554" s="10" t="inlineStr">
        <is>
          <t>30-04-2026</t>
        </is>
      </c>
      <c r="H7554" s="10" t="inlineStr">
        <is>
          <t>30/04/2026</t>
        </is>
      </c>
      <c r="I7554" s="10" t="inlineStr">
        <is>
          <t>17/03/2026</t>
        </is>
      </c>
      <c r="J7554" s="10" t="inlineStr">
        <is>
          <t>Thu mua / Vật tư, Xuất nhập khẩu</t>
        </is>
      </c>
      <c r="K7554" s="10" t="inlineStr">
        <is>
          <t>1 - 2 Năm</t>
        </is>
      </c>
      <c r="L7554" s="11">
        <f>HYPERLINK("https://careerviet.vn/vi/tim-viec-lam/nhan-vien-ke-hoach-mua-hang.35C6AA30.html","Xem chi tiết")</f>
        <v/>
      </c>
      <c r="M7554" s="10" t="n"/>
    </row>
    <row r="7555">
      <c r="B7555" s="7" t="n">
        <v>7553</v>
      </c>
      <c r="C7555" t="inlineStr">
        <is>
          <t>CHUYÊN VIÊN NHÂN SỰ TỔNG HỢP</t>
        </is>
      </c>
      <c r="D7555" t="inlineStr">
        <is>
          <t>Công ty CP XHOME Việt Nam</t>
        </is>
      </c>
      <c r="E7555" t="inlineStr">
        <is>
          <t>Lương:12 Tr - 18 Tr VND</t>
        </is>
      </c>
      <c r="F7555" t="inlineStr">
        <is>
          <t>Hà Nội</t>
        </is>
      </c>
      <c r="G7555" t="inlineStr">
        <is>
          <t>10-04-2026</t>
        </is>
      </c>
      <c r="H7555" t="inlineStr">
        <is>
          <t>10/04/2026</t>
        </is>
      </c>
      <c r="I7555" t="inlineStr">
        <is>
          <t>17/03/2026</t>
        </is>
      </c>
      <c r="J7555" t="inlineStr">
        <is>
          <t>Nhân sự</t>
        </is>
      </c>
      <c r="K7555" t="inlineStr">
        <is>
          <t>2 - 3 Năm</t>
        </is>
      </c>
      <c r="L7555" s="8">
        <f>HYPERLINK("https://careerviet.vn/vi/tim-viec-lam/chuyen-vien-nhan-su-tong-hop.35C6BCE8.html","Xem chi tiết")</f>
        <v/>
      </c>
    </row>
    <row r="7556">
      <c r="B7556" s="9" t="n">
        <v>7554</v>
      </c>
      <c r="C7556" s="10" t="inlineStr">
        <is>
          <t>Chuyên viên kiểm soát nội bộ</t>
        </is>
      </c>
      <c r="D7556" s="10" t="inlineStr">
        <is>
          <t>CÔNG TY CỔ PHẦN ĐẦU TƯ XÂY DỰNG HÀ TIÊN</t>
        </is>
      </c>
      <c r="E7556" s="10" t="inlineStr">
        <is>
          <t>Lương:15 Tr - 25 Tr VND</t>
        </is>
      </c>
      <c r="F7556" s="10" t="inlineStr">
        <is>
          <t>Hồ Chí Minh</t>
        </is>
      </c>
      <c r="G7556" s="10" t="inlineStr">
        <is>
          <t>31-03-2026</t>
        </is>
      </c>
      <c r="H7556" s="10" t="inlineStr">
        <is>
          <t>31/03/2026</t>
        </is>
      </c>
      <c r="I7556" s="10" t="inlineStr">
        <is>
          <t>17/03/2026</t>
        </is>
      </c>
      <c r="J7556" s="10" t="inlineStr">
        <is>
          <t>Xây dựng, Bất động sản, Luật / Pháp lý</t>
        </is>
      </c>
      <c r="K7556" s="10" t="inlineStr">
        <is>
          <t>2 - 3 Năm</t>
        </is>
      </c>
      <c r="L7556" s="11">
        <f>HYPERLINK("https://careerviet.vn/vi/tim-viec-lam/chuyen-vien-kiem-soat-noi-bo.35C6A712.html","Xem chi tiết")</f>
        <v/>
      </c>
      <c r="M7556" s="10" t="n"/>
    </row>
    <row r="7557">
      <c r="B7557" s="7" t="n">
        <v>7555</v>
      </c>
      <c r="C7557" t="inlineStr">
        <is>
          <t>[EA KAR ] TRƯỞNG TRUNG TÂM</t>
        </is>
      </c>
      <c r="D7557" t="inlineStr">
        <is>
          <t>Công Ty Cổ Phần Vacxin Việt Nam</t>
        </is>
      </c>
      <c r="E7557" t="inlineStr">
        <is>
          <t>Lương:Cạnh tranh</t>
        </is>
      </c>
      <c r="F7557" t="inlineStr">
        <is>
          <t>Dak Lak</t>
        </is>
      </c>
      <c r="G7557" t="inlineStr">
        <is>
          <t>30-04-2026</t>
        </is>
      </c>
      <c r="H7557" t="inlineStr">
        <is>
          <t>30/04/2026</t>
        </is>
      </c>
      <c r="I7557" t="inlineStr">
        <is>
          <t>17/03/2026</t>
        </is>
      </c>
      <c r="J7557" t="inlineStr">
        <is>
          <t>Tiếp thị / Marketing, Bán lẻ / Bán sỉ, Bán hàng / Kinh doanh</t>
        </is>
      </c>
      <c r="K7557" t="inlineStr">
        <is>
          <t>3 - 5 Năm</t>
        </is>
      </c>
      <c r="L7557" s="8">
        <f>HYPERLINK("https://careerviet.vn/vi/tim-viec-lam/ea-kar-truong-trung-tam.35C6BD92.html","Xem chi tiết")</f>
        <v/>
      </c>
    </row>
    <row r="7558">
      <c r="B7558" s="9" t="n">
        <v>7556</v>
      </c>
      <c r="C7558" s="10" t="inlineStr">
        <is>
          <t>Thư ký chủ tịch HĐQT</t>
        </is>
      </c>
      <c r="D7558" s="10" t="inlineStr">
        <is>
          <t>Công ty Cổ phần Tập đoàn Meey Land</t>
        </is>
      </c>
      <c r="E7558" s="10" t="inlineStr">
        <is>
          <t>Lương:20 Tr - 30 Tr VND</t>
        </is>
      </c>
      <c r="F7558" s="10" t="inlineStr">
        <is>
          <t>Hà Nội</t>
        </is>
      </c>
      <c r="G7558" s="10" t="inlineStr">
        <is>
          <t>30-04-2026</t>
        </is>
      </c>
      <c r="H7558" s="10" t="inlineStr">
        <is>
          <t>30/04/2026</t>
        </is>
      </c>
      <c r="I7558" s="10" t="inlineStr">
        <is>
          <t>17/03/2026</t>
        </is>
      </c>
      <c r="J7558" s="10" t="inlineStr">
        <is>
          <t>Hành chính / Thư ký, Nhân sự</t>
        </is>
      </c>
      <c r="K7558" s="10" t="inlineStr">
        <is>
          <t>3 - 5 Năm</t>
        </is>
      </c>
      <c r="L7558" s="11">
        <f>HYPERLINK("https://careerviet.vn/vi/tim-viec-lam/thu-ky-chu-tich-hdqt.35C6A871.html","Xem chi tiết")</f>
        <v/>
      </c>
      <c r="M7558" s="10" t="n"/>
    </row>
    <row r="7559">
      <c r="B7559" s="7" t="n">
        <v>7557</v>
      </c>
      <c r="C7559" t="inlineStr">
        <is>
          <t>Chuyên viên Truyền thông</t>
        </is>
      </c>
      <c r="D7559" t="inlineStr">
        <is>
          <t>Công ty cổ phần Dược Phẩm Savi</t>
        </is>
      </c>
      <c r="E7559" t="inlineStr">
        <is>
          <t>Lương:Cạnh tranh</t>
        </is>
      </c>
      <c r="F7559" t="inlineStr">
        <is>
          <t>Hồ Chí Minh</t>
        </is>
      </c>
      <c r="G7559" t="inlineStr">
        <is>
          <t>3</t>
        </is>
      </c>
      <c r="H7559" t="inlineStr">
        <is>
          <t>20/03/2026</t>
        </is>
      </c>
      <c r="I7559" t="inlineStr">
        <is>
          <t>17/03/2026</t>
        </is>
      </c>
      <c r="J7559" t="inlineStr">
        <is>
          <t>Tiếp thị / Marketing, Quảng cáo / Đối ngoại / Truyền Thông, Truyền hình / Báo chí / Biên tập</t>
        </is>
      </c>
      <c r="K7559" t="inlineStr">
        <is>
          <t>3 - 5 Năm</t>
        </is>
      </c>
      <c r="L7559" s="8">
        <f>HYPERLINK("https://careerviet.vn/vi/tim-viec-lam/chuyen-vien-truyen-thong.35C6A95D.html","Xem chi tiết")</f>
        <v/>
      </c>
    </row>
    <row r="7560">
      <c r="B7560" s="9" t="n">
        <v>7558</v>
      </c>
      <c r="C7560" s="10" t="inlineStr">
        <is>
          <t>Giáo Viên Chủ Nhiệm (Ocean Edu Đông Hà) - Trúng Tuyển Đi Làm Luôn</t>
        </is>
      </c>
      <c r="D7560" s="10" t="inlineStr">
        <is>
          <t>Công Ty CP Giáo Dục Đại Dương</t>
        </is>
      </c>
      <c r="E7560" s="10" t="inlineStr">
        <is>
          <t>Lương:Cạnh tranh</t>
        </is>
      </c>
      <c r="F7560" s="10" t="inlineStr">
        <is>
          <t>Quảng Trị</t>
        </is>
      </c>
      <c r="G7560" s="10" t="inlineStr">
        <is>
          <t>02-04-2026</t>
        </is>
      </c>
      <c r="H7560" s="10" t="inlineStr">
        <is>
          <t>02/04/2026</t>
        </is>
      </c>
      <c r="I7560" s="10" t="inlineStr">
        <is>
          <t>17/03/2026</t>
        </is>
      </c>
      <c r="J7560" s="10" t="inlineStr">
        <is>
          <t>Giáo dục / Đào tạo, Bán hàng / Kinh doanh, Biên phiên dịch</t>
        </is>
      </c>
      <c r="K7560" s="10" t="inlineStr">
        <is>
          <t>Trên 1 Năm</t>
        </is>
      </c>
      <c r="L7560" s="11">
        <f>HYPERLINK("https://careerviet.vn/vi/tim-viec-lam/giao-vien-chu-nhiem-ocean-edu-dong-ha-trung-tuyen-di-lam-luon.35C6A99B.html","Xem chi tiết")</f>
        <v/>
      </c>
      <c r="M7560" s="10" t="n"/>
    </row>
    <row r="7561">
      <c r="B7561" s="7" t="n">
        <v>7559</v>
      </c>
      <c r="C7561" t="inlineStr">
        <is>
          <t>Trưởng nhóm Mua hàng (Lĩnh vực sản xuất)</t>
        </is>
      </c>
      <c r="D7561" t="inlineStr">
        <is>
          <t>ADC PLASTIC,. JSC</t>
        </is>
      </c>
      <c r="E7561" t="inlineStr">
        <is>
          <t>Lương:17 Tr - 27 Tr VND</t>
        </is>
      </c>
      <c r="F7561" t="inlineStr">
        <is>
          <t>Hà NộiHưng Yên</t>
        </is>
      </c>
      <c r="G7561" t="inlineStr">
        <is>
          <t>02-04-2026</t>
        </is>
      </c>
      <c r="H7561" t="inlineStr">
        <is>
          <t>02/04/2026</t>
        </is>
      </c>
      <c r="I7561" t="inlineStr">
        <is>
          <t>17/03/2026</t>
        </is>
      </c>
      <c r="J7561" t="inlineStr">
        <is>
          <t>Thu mua / Vật tư</t>
        </is>
      </c>
      <c r="K7561" t="inlineStr">
        <is>
          <t>10 - 20 Năm</t>
        </is>
      </c>
      <c r="L7561" s="8">
        <f>HYPERLINK("https://careerviet.vn/vi/tim-viec-lam/truong-nhom-mua-hang-linh-vuc-san-xuat.35C6A8E3.html","Xem chi tiết")</f>
        <v/>
      </c>
    </row>
    <row r="7562">
      <c r="B7562" s="9" t="n">
        <v>7560</v>
      </c>
      <c r="C7562" s="10" t="inlineStr">
        <is>
          <t>Chuyên Viên Hỗ Trợ Kinh Doanh</t>
        </is>
      </c>
      <c r="D7562" s="10" t="inlineStr">
        <is>
          <t>CÔNG TY CỔ PHẦN THIẾT BỊ CÔNG NGHIỆP GEIC</t>
        </is>
      </c>
      <c r="E7562" s="10" t="inlineStr">
        <is>
          <t>Lương:Cạnh tranh</t>
        </is>
      </c>
      <c r="F7562" s="10" t="inlineStr">
        <is>
          <t>Hà Nội</t>
        </is>
      </c>
      <c r="G7562" s="10" t="inlineStr">
        <is>
          <t>03-04-2026</t>
        </is>
      </c>
      <c r="H7562" s="10" t="inlineStr">
        <is>
          <t>03/04/2026</t>
        </is>
      </c>
      <c r="I7562" s="10" t="inlineStr">
        <is>
          <t>17/03/2026</t>
        </is>
      </c>
      <c r="J7562" s="10" t="inlineStr">
        <is>
          <t>Bán hàng / Kinh doanh, Hành chính / Thư ký, Tư vấn</t>
        </is>
      </c>
      <c r="K7562" s="10" t="inlineStr">
        <is>
          <t>1 - 3 Năm</t>
        </is>
      </c>
      <c r="L7562" s="11">
        <f>HYPERLINK("https://careerviet.vn/vi/tim-viec-lam/chuyen-vien-ho-tro-kinh-doanh.35C6A949.html","Xem chi tiết")</f>
        <v/>
      </c>
      <c r="M7562" s="10" t="n"/>
    </row>
    <row r="7563">
      <c r="B7563" s="7" t="n">
        <v>7561</v>
      </c>
      <c r="C7563" t="inlineStr">
        <is>
          <t>Trưởng Phòng Marketing</t>
        </is>
      </c>
      <c r="D7563" t="inlineStr">
        <is>
          <t>Công ty CP Sữa chua Trân châu Hạ Long</t>
        </is>
      </c>
      <c r="E7563" t="inlineStr">
        <is>
          <t>Lương:25 Tr - 35 Tr VND</t>
        </is>
      </c>
      <c r="F7563" t="inlineStr">
        <is>
          <t>Hà Nội</t>
        </is>
      </c>
      <c r="G7563" t="inlineStr">
        <is>
          <t>02-04-2026</t>
        </is>
      </c>
      <c r="H7563" t="inlineStr">
        <is>
          <t>02/04/2026</t>
        </is>
      </c>
      <c r="I7563" t="inlineStr">
        <is>
          <t>17/03/2026</t>
        </is>
      </c>
      <c r="J7563" t="inlineStr">
        <is>
          <t>Tiếp thị / Marketing, Quảng cáo / Đối ngoại / Truyền Thông, Truyền hình / Báo chí / Biên tập</t>
        </is>
      </c>
      <c r="K7563" t="inlineStr">
        <is>
          <t>Trên 3 Năm</t>
        </is>
      </c>
      <c r="L7563" s="8">
        <f>HYPERLINK("https://careerviet.vn/vi/tim-viec-lam/truong-phong-marketing.35C6A81D.html","Xem chi tiết")</f>
        <v/>
      </c>
    </row>
    <row r="7564">
      <c r="B7564" s="9" t="n">
        <v>7562</v>
      </c>
      <c r="C7564" s="10" t="inlineStr">
        <is>
          <t>Nhân viên kế toán thuế</t>
        </is>
      </c>
      <c r="D7564" s="10" t="inlineStr">
        <is>
          <t>CÔNG TY CỔ PHẦN HIKARI ĐÀ LẠT</t>
        </is>
      </c>
      <c r="E7564" s="10" t="inlineStr">
        <is>
          <t>Lương:8 Tr - 11 Tr VND</t>
        </is>
      </c>
      <c r="F7564" s="10" t="inlineStr">
        <is>
          <t>Lâm Đồng</t>
        </is>
      </c>
      <c r="G7564" s="10" t="inlineStr">
        <is>
          <t>31-05-2026</t>
        </is>
      </c>
      <c r="H7564" s="10" t="inlineStr">
        <is>
          <t>31/05/2026</t>
        </is>
      </c>
      <c r="I7564" s="10" t="inlineStr">
        <is>
          <t>17/03/2026</t>
        </is>
      </c>
      <c r="J7564" s="10" t="inlineStr">
        <is>
          <t>Kế toán / Kiểm toán</t>
        </is>
      </c>
      <c r="K7564" s="10" t="inlineStr">
        <is>
          <t>2 - 5 Năm</t>
        </is>
      </c>
      <c r="L7564" s="11">
        <f>HYPERLINK("https://careerviet.vn/vi/tim-viec-lam/nhan-vien-ke-toan-thue.35C6A8E4.html","Xem chi tiết")</f>
        <v/>
      </c>
      <c r="M7564" s="10" t="n"/>
    </row>
    <row r="7565">
      <c r="B7565" s="7" t="n">
        <v>7563</v>
      </c>
      <c r="C7565" t="inlineStr">
        <is>
          <t>Nhân Viên Thống Kê</t>
        </is>
      </c>
      <c r="D7565" t="inlineStr">
        <is>
          <t>Công Ty TNHH Bodynits Tiền Giang</t>
        </is>
      </c>
      <c r="E7565" t="inlineStr">
        <is>
          <t>Lương:Cạnh tranh</t>
        </is>
      </c>
      <c r="F7565" t="inlineStr">
        <is>
          <t>Tiền Giang</t>
        </is>
      </c>
      <c r="G7565" t="inlineStr">
        <is>
          <t>03-04-2026</t>
        </is>
      </c>
      <c r="H7565" t="inlineStr">
        <is>
          <t>03/04/2026</t>
        </is>
      </c>
      <c r="I7565" t="inlineStr">
        <is>
          <t>17/03/2026</t>
        </is>
      </c>
      <c r="J7565" t="inlineStr">
        <is>
          <t>Dệt may / Da giày / Thời trang, Sản xuất / Vận hành sản xuất, Xuất nhập khẩu</t>
        </is>
      </c>
      <c r="K7565" t="inlineStr">
        <is>
          <t>Trên 1 Năm</t>
        </is>
      </c>
      <c r="L7565" s="8">
        <f>HYPERLINK("https://careerviet.vn/vi/tim-viec-lam/nhan-vien-thong-ke.35C6AADD.html","Xem chi tiết")</f>
        <v/>
      </c>
    </row>
    <row r="7566">
      <c r="B7566" s="9" t="n">
        <v>7564</v>
      </c>
      <c r="C7566" s="10" t="inlineStr">
        <is>
          <t>PHÓ GIÁM ĐỐC KHAI THÁC LOGISTIC TẠI HẢI PHÒNG</t>
        </is>
      </c>
      <c r="D7566" s="10" t="inlineStr">
        <is>
          <t>CÔNG TY CỔ PHẦN DỊCH VỤ BIỂN TÂN CẢNG</t>
        </is>
      </c>
      <c r="E7566" s="10" t="inlineStr">
        <is>
          <t>Lương:Cạnh tranh</t>
        </is>
      </c>
      <c r="F7566" s="10" t="inlineStr">
        <is>
          <t>Hải Phòng</t>
        </is>
      </c>
      <c r="G7566" s="10" t="inlineStr">
        <is>
          <t>30-04-2026</t>
        </is>
      </c>
      <c r="H7566" s="10" t="inlineStr">
        <is>
          <t>30/04/2026</t>
        </is>
      </c>
      <c r="I7566" s="10" t="inlineStr">
        <is>
          <t>17/03/2026</t>
        </is>
      </c>
      <c r="J7566" s="10" t="inlineStr">
        <is>
          <t>Vận chuyển / Giao nhận / Kho vận, Hàng hải, Dầu khí</t>
        </is>
      </c>
      <c r="K7566" s="10" t="inlineStr">
        <is>
          <t>Trên 3 Năm</t>
        </is>
      </c>
      <c r="L7566" s="11">
        <f>HYPERLINK("https://careerviet.vn/vi/tim-viec-lam/pho-giam-doc-khai-thac-logistic-tai-hai-phong.35C6A959.html","Xem chi tiết")</f>
        <v/>
      </c>
      <c r="M7566" s="10" t="n"/>
    </row>
    <row r="7567">
      <c r="B7567" s="7" t="n">
        <v>7565</v>
      </c>
      <c r="C7567" t="inlineStr">
        <is>
          <t>[Đăk Lăk] Trình Dược Viên OTC</t>
        </is>
      </c>
      <c r="D7567" t="inlineStr">
        <is>
          <t>Công ty Cổ phần Dược Hậu Giang</t>
        </is>
      </c>
      <c r="E7567" t="inlineStr">
        <is>
          <t>Lương:8 Tr - 20 Tr VND</t>
        </is>
      </c>
      <c r="F7567" t="inlineStr">
        <is>
          <t>Dak Lak</t>
        </is>
      </c>
      <c r="G7567" t="inlineStr">
        <is>
          <t>31-03-2026</t>
        </is>
      </c>
      <c r="H7567" t="inlineStr">
        <is>
          <t>31/03/2026</t>
        </is>
      </c>
      <c r="I7567" t="inlineStr">
        <is>
          <t>17/03/2026</t>
        </is>
      </c>
      <c r="J7567" t="inlineStr">
        <is>
          <t>Tiếp thị / Marketing, Bán hàng / Kinh doanh, Dược phẩm/ Hóa Mỹ Phẩm</t>
        </is>
      </c>
      <c r="K7567" t="inlineStr">
        <is>
          <t>1 - 2 Năm</t>
        </is>
      </c>
      <c r="L7567" s="8">
        <f>HYPERLINK("https://careerviet.vn/vi/tim-viec-lam/dak-lak-trinh-duoc-vien-otc.35C6A95F.html","Xem chi tiết")</f>
        <v/>
      </c>
    </row>
    <row r="7568">
      <c r="B7568" s="9" t="n">
        <v>7566</v>
      </c>
      <c r="C7568" s="10" t="inlineStr">
        <is>
          <t>Giám sát thi công nội thất</t>
        </is>
      </c>
      <c r="D7568" s="10" t="inlineStr">
        <is>
          <t>Công ty TNHH Frontier Consulting Việt Nam</t>
        </is>
      </c>
      <c r="E7568" s="10" t="inlineStr">
        <is>
          <t>Lương:15 Tr - 22 Tr VND</t>
        </is>
      </c>
      <c r="F7568" s="10" t="inlineStr">
        <is>
          <t>Hồ Chí Minh</t>
        </is>
      </c>
      <c r="G7568" s="10" t="inlineStr">
        <is>
          <t>30-04-2026</t>
        </is>
      </c>
      <c r="H7568" s="10" t="inlineStr">
        <is>
          <t>30/04/2026</t>
        </is>
      </c>
      <c r="I7568" s="10" t="inlineStr">
        <is>
          <t>17/03/2026</t>
        </is>
      </c>
      <c r="J7568" s="10" t="inlineStr">
        <is>
          <t>Nội ngoại thất, Xây dựng, Kiến trúc</t>
        </is>
      </c>
      <c r="K7568" s="10" t="inlineStr">
        <is>
          <t>1 - 3 Năm</t>
        </is>
      </c>
      <c r="L7568" s="11">
        <f>HYPERLINK("https://careerviet.vn/vi/tim-viec-lam/giam-sat-thi-cong-noi-that.35C6A893.html","Xem chi tiết")</f>
        <v/>
      </c>
      <c r="M7568" s="10" t="n"/>
    </row>
    <row r="7569">
      <c r="B7569" s="7" t="n">
        <v>7567</v>
      </c>
      <c r="C7569" t="inlineStr">
        <is>
          <t>[Hà Nội] Nhân viên/Chuyên viên Khách hàng cá nhân</t>
        </is>
      </c>
      <c r="D7569" t="inlineStr">
        <is>
          <t>Ngân Hàng TMCP Tiên Phong (TPBank)</t>
        </is>
      </c>
      <c r="E7569" t="inlineStr">
        <is>
          <t>Lương:Cạnh tranh</t>
        </is>
      </c>
      <c r="F7569" t="inlineStr">
        <is>
          <t>Hà Nội</t>
        </is>
      </c>
      <c r="G7569" t="inlineStr">
        <is>
          <t>02-04-2026</t>
        </is>
      </c>
      <c r="H7569" t="inlineStr">
        <is>
          <t>02/04/2026</t>
        </is>
      </c>
      <c r="I7569" t="inlineStr">
        <is>
          <t>17/03/2026</t>
        </is>
      </c>
      <c r="J7569" t="inlineStr">
        <is>
          <t>Ngân hàng, Bảo hiểm, Dịch vụ khách hàng</t>
        </is>
      </c>
      <c r="K7569" t="inlineStr">
        <is>
          <t>1 - 3 Năm</t>
        </is>
      </c>
      <c r="L7569" s="8">
        <f>HYPERLINK("https://careerviet.vn/vi/tim-viec-lam/ha-noi-nhan-vien-chuyen-vien-khach-hang-ca-nhan.35C6A730.html","Xem chi tiết")</f>
        <v/>
      </c>
    </row>
    <row r="7570">
      <c r="B7570" s="9" t="n">
        <v>7568</v>
      </c>
      <c r="C7570" s="10" t="inlineStr">
        <is>
          <t>Chuyên Viên Kinh Doanh Thiết Bị Lọc Nước Cao Cấp</t>
        </is>
      </c>
      <c r="D7570" s="10" t="inlineStr">
        <is>
          <t>Tập Đoàn Karofi Holding</t>
        </is>
      </c>
      <c r="E7570" s="10" t="inlineStr">
        <is>
          <t>Lương:Cạnh tranh</t>
        </is>
      </c>
      <c r="F7570" s="10" t="inlineStr">
        <is>
          <t>Hà NộiHồ Chí Minh</t>
        </is>
      </c>
      <c r="G7570" s="10" t="inlineStr">
        <is>
          <t>02-04-2026</t>
        </is>
      </c>
      <c r="H7570" s="10" t="inlineStr">
        <is>
          <t>02/04/2026</t>
        </is>
      </c>
      <c r="I7570" s="10" t="inlineStr">
        <is>
          <t>17/03/2026</t>
        </is>
      </c>
      <c r="J7570" s="10" t="inlineStr">
        <is>
          <t>Hàng gia dụng / Chăm sóc cá nhân, Bán lẻ / Bán sỉ, Bán hàng / Kinh doanh</t>
        </is>
      </c>
      <c r="K7570" s="10" t="inlineStr">
        <is>
          <t>Trên 1 Năm</t>
        </is>
      </c>
      <c r="L7570" s="11">
        <f>HYPERLINK("https://careerviet.vn/vi/tim-viec-lam/chuyen-vien-kinh-doanh-thiet-bi-loc-nuoc-cao-cap.35C6A8CC.html","Xem chi tiết")</f>
        <v/>
      </c>
      <c r="M7570" s="10" t="n"/>
    </row>
    <row r="7571">
      <c r="B7571" s="7" t="n">
        <v>7569</v>
      </c>
      <c r="C7571" t="inlineStr">
        <is>
          <t>Nhân Viên Quy Trình Định Mức</t>
        </is>
      </c>
      <c r="D7571" t="inlineStr">
        <is>
          <t>CT CP Tập Đoàn Thái Tuấn</t>
        </is>
      </c>
      <c r="E7571" t="inlineStr">
        <is>
          <t>Lương:Cạnh tranh</t>
        </is>
      </c>
      <c r="F7571" t="inlineStr">
        <is>
          <t>Hồ Chí Minh</t>
        </is>
      </c>
      <c r="G7571" t="inlineStr">
        <is>
          <t>31-03-2026</t>
        </is>
      </c>
      <c r="H7571" t="inlineStr">
        <is>
          <t>31/03/2026</t>
        </is>
      </c>
      <c r="I7571" t="inlineStr">
        <is>
          <t>17/03/2026</t>
        </is>
      </c>
      <c r="J7571" t="inlineStr">
        <is>
          <t>Mỹ thuật / Nghệ thuật / Thiết kế, Sản xuất / Vận hành sản xuất, Dệt may / Da giày / Thời trang</t>
        </is>
      </c>
      <c r="K7571" t="inlineStr">
        <is>
          <t>2 - 3 Năm</t>
        </is>
      </c>
      <c r="L7571" s="8">
        <f>HYPERLINK("https://careerviet.vn/vi/tim-viec-lam/nhan-vien-quy-trinh-dinh-muc.35C6A939.html","Xem chi tiết")</f>
        <v/>
      </c>
    </row>
    <row r="7572">
      <c r="B7572" s="9" t="n">
        <v>7570</v>
      </c>
      <c r="C7572" s="10" t="inlineStr">
        <is>
          <t>Nhân viên Kinh doanh Thiết bị Điện - VLXD Cơ bản</t>
        </is>
      </c>
      <c r="D7572" s="10" t="inlineStr">
        <is>
          <t>CÔNG TY CỔ PHẦN TẬP ĐOÀN HOA SEN</t>
        </is>
      </c>
      <c r="E7572" s="10" t="inlineStr">
        <is>
          <t>Lương:12 Tr - 20 Tr VND</t>
        </is>
      </c>
      <c r="F7572" s="10" t="inlineStr">
        <is>
          <t>Hồ Chí Minh</t>
        </is>
      </c>
      <c r="G7572" s="10" t="inlineStr">
        <is>
          <t>06-04-2026</t>
        </is>
      </c>
      <c r="H7572" s="10" t="inlineStr">
        <is>
          <t>06/04/2026</t>
        </is>
      </c>
      <c r="I7572" s="10" t="inlineStr">
        <is>
          <t>17/03/2026</t>
        </is>
      </c>
      <c r="J7572" s="10" t="inlineStr">
        <is>
          <t>Bán hàng / Kinh doanh, Nội ngoại thất, Xây dựng</t>
        </is>
      </c>
      <c r="K7572" s="10" t="inlineStr">
        <is>
          <t>1 - 3 Năm</t>
        </is>
      </c>
      <c r="L7572" s="11">
        <f>HYPERLINK("https://careerviet.vn/vi/tim-viec-lam/nhan-vien-kinh-doanh-thiet-bi-dien-vlxd-co-ban.35C6A8BE.html","Xem chi tiết")</f>
        <v/>
      </c>
      <c r="M7572" s="10" t="n"/>
    </row>
    <row r="7573">
      <c r="B7573" s="7" t="n">
        <v>7571</v>
      </c>
      <c r="C7573" t="inlineStr">
        <is>
          <t>Nhân viên phục vụ</t>
        </is>
      </c>
      <c r="D7573" t="inlineStr">
        <is>
          <t>BỆNH VIỆN ĐA KHOA PHƯƠNG NAM</t>
        </is>
      </c>
      <c r="E7573" t="inlineStr">
        <is>
          <t>Lương:Cạnh tranh</t>
        </is>
      </c>
      <c r="F7573" t="inlineStr">
        <is>
          <t>Hồ Chí Minh</t>
        </is>
      </c>
      <c r="G7573" t="inlineStr">
        <is>
          <t>24-04-2026</t>
        </is>
      </c>
      <c r="H7573" t="inlineStr">
        <is>
          <t>24/04/2026</t>
        </is>
      </c>
      <c r="I7573" t="inlineStr">
        <is>
          <t>17/03/2026</t>
        </is>
      </c>
      <c r="J7573" t="inlineStr">
        <is>
          <t>Y tế / Chăm sóc sức khỏe / Thẩm mỹ / Làm đẹp, Nhà hàng / Khách sạn</t>
        </is>
      </c>
      <c r="K7573" t="inlineStr">
        <is>
          <t>N/A</t>
        </is>
      </c>
      <c r="L7573" s="8">
        <f>HYPERLINK("https://careerviet.vn/vi/tim-viec-lam/nhan-vien-phuc-vu.35C6A944.html","Xem chi tiết")</f>
        <v/>
      </c>
    </row>
    <row r="7574">
      <c r="B7574" s="9" t="n">
        <v>7572</v>
      </c>
      <c r="C7574" s="10" t="inlineStr">
        <is>
          <t>CHUYÊN VIÊN TƯ VẤN GIÁO DỤC (OCEAN EDU QUỲNH LƯU) - THU NHẬP HẤP DẪN TỪ 15 TRIỆU/THÁNG</t>
        </is>
      </c>
      <c r="D7574" s="10" t="inlineStr">
        <is>
          <t>Công Ty CP Giáo Dục Đại Dương</t>
        </is>
      </c>
      <c r="E7574" s="10" t="inlineStr">
        <is>
          <t>Lương:Cạnh tranh</t>
        </is>
      </c>
      <c r="F7574" s="10" t="inlineStr">
        <is>
          <t>Nghệ An</t>
        </is>
      </c>
      <c r="G7574" s="10" t="inlineStr">
        <is>
          <t>02-04-2026</t>
        </is>
      </c>
      <c r="H7574" s="10" t="inlineStr">
        <is>
          <t>02/04/2026</t>
        </is>
      </c>
      <c r="I7574" s="10" t="inlineStr">
        <is>
          <t>17/03/2026</t>
        </is>
      </c>
      <c r="J7574" s="10" t="inlineStr">
        <is>
          <t>Dịch vụ khách hàng, Giáo dục / Đào tạo, Bán hàng / Kinh doanh</t>
        </is>
      </c>
      <c r="K7574" s="10" t="inlineStr">
        <is>
          <t>Lên đến 1 Năm</t>
        </is>
      </c>
      <c r="L7574" s="11">
        <f>HYPERLINK("https://careerviet.vn/vi/tim-viec-lam/chuyen-vien-tu-van-giao-duc-ocean-edu-quynh-luu-thu-nhap-hap-dan-tu-15-trieu-thang.35C6A9C5.html","Xem chi tiết")</f>
        <v/>
      </c>
      <c r="M7574" s="10" t="n"/>
    </row>
    <row r="7575">
      <c r="B7575" s="7" t="n">
        <v>7573</v>
      </c>
      <c r="C7575" t="inlineStr">
        <is>
          <t>Hộ sinh</t>
        </is>
      </c>
      <c r="D7575" t="inlineStr">
        <is>
          <t>BỆNH VIỆN ĐA KHOA PHƯƠNG NAM</t>
        </is>
      </c>
      <c r="E7575" t="inlineStr">
        <is>
          <t>Lương:12 Tr - 25 Tr VND</t>
        </is>
      </c>
      <c r="F7575" t="inlineStr">
        <is>
          <t>Hồ Chí Minh</t>
        </is>
      </c>
      <c r="G7575" t="inlineStr">
        <is>
          <t>29-03-2026</t>
        </is>
      </c>
      <c r="H7575" t="inlineStr">
        <is>
          <t>29/03/2026</t>
        </is>
      </c>
      <c r="I7575" t="inlineStr">
        <is>
          <t>17/03/2026</t>
        </is>
      </c>
      <c r="J7575" t="inlineStr">
        <is>
          <t>Y tế / Chăm sóc sức khỏe / Thẩm mỹ / Làm đẹp</t>
        </is>
      </c>
      <c r="K7575" t="inlineStr">
        <is>
          <t>1 - 4 Năm</t>
        </is>
      </c>
      <c r="L7575" s="8">
        <f>HYPERLINK("https://careerviet.vn/vi/tim-viec-lam/ho-sinh.35C6A940.html","Xem chi tiết")</f>
        <v/>
      </c>
    </row>
    <row r="7576">
      <c r="B7576" s="9" t="n">
        <v>7574</v>
      </c>
      <c r="C7576" s="10" t="inlineStr">
        <is>
          <t>CHUYÊN VIÊN TƯ VẤN GIÁO DỤC (OCEAN EDU TUYÊN QUANG) - THU NHẬP HẤP DẪN TỪ 15 TRIỆU/THÁNG</t>
        </is>
      </c>
      <c r="D7576" s="10" t="inlineStr">
        <is>
          <t>Công Ty CP Giáo Dục Đại Dương</t>
        </is>
      </c>
      <c r="E7576" s="10" t="inlineStr">
        <is>
          <t>Lương:Cạnh tranh</t>
        </is>
      </c>
      <c r="F7576" s="10" t="inlineStr">
        <is>
          <t>Tuyên Quang</t>
        </is>
      </c>
      <c r="G7576" s="10" t="inlineStr">
        <is>
          <t>02-04-2026</t>
        </is>
      </c>
      <c r="H7576" s="10" t="inlineStr">
        <is>
          <t>02/04/2026</t>
        </is>
      </c>
      <c r="I7576" s="10" t="inlineStr">
        <is>
          <t>17/03/2026</t>
        </is>
      </c>
      <c r="J7576" s="10" t="inlineStr">
        <is>
          <t>Dịch vụ khách hàng, Giáo dục / Đào tạo, Bán hàng / Kinh doanh</t>
        </is>
      </c>
      <c r="K7576" s="10" t="inlineStr">
        <is>
          <t>Lên đến 1 Năm</t>
        </is>
      </c>
      <c r="L7576" s="11">
        <f>HYPERLINK("https://careerviet.vn/vi/tim-viec-lam/chuyen-vien-tu-van-giao-duc-ocean-edu-tuyen-quang-thu-nhap-hap-dan-tu-15-trieu-thang.35C6A9CC.html","Xem chi tiết")</f>
        <v/>
      </c>
      <c r="M7576" s="10" t="n"/>
    </row>
    <row r="7577">
      <c r="B7577" s="7" t="n">
        <v>7575</v>
      </c>
      <c r="C7577" t="inlineStr">
        <is>
          <t>Nhân viên Kinh doanh đại lý cấp 2 - Worldtrans</t>
        </is>
      </c>
      <c r="D7577" t="inlineStr">
        <is>
          <t>Công Ty Cổ Phần Du Lịch Vietravel</t>
        </is>
      </c>
      <c r="E7577" t="inlineStr">
        <is>
          <t>Lương:Cạnh tranh</t>
        </is>
      </c>
      <c r="F7577" t="inlineStr">
        <is>
          <t>Hồ Chí Minh</t>
        </is>
      </c>
      <c r="G7577" t="inlineStr">
        <is>
          <t>02-04-2026</t>
        </is>
      </c>
      <c r="H7577" t="inlineStr">
        <is>
          <t>02/04/2026</t>
        </is>
      </c>
      <c r="I7577" t="inlineStr">
        <is>
          <t>17/03/2026</t>
        </is>
      </c>
      <c r="J7577" t="inlineStr">
        <is>
          <t>Bán lẻ / Bán sỉ, Bán hàng / Kinh doanh, Du lịch</t>
        </is>
      </c>
      <c r="K7577" t="inlineStr">
        <is>
          <t>Chưa có kinh nghiệm</t>
        </is>
      </c>
      <c r="L7577" s="8">
        <f>HYPERLINK("https://careerviet.vn/vi/tim-viec-lam/nhan-vien-kinh-doanh-dai-ly-cap-2-worldtrans.35C6A8C6.html","Xem chi tiết")</f>
        <v/>
      </c>
    </row>
    <row r="7578">
      <c r="B7578" s="9" t="n">
        <v>7576</v>
      </c>
      <c r="C7578" s="10" t="inlineStr">
        <is>
          <t>Cv. Dự toán Báo giá đấu thầu nội thất gỗ</t>
        </is>
      </c>
      <c r="D7578" s="10" t="inlineStr">
        <is>
          <t>Công ty Cổ Phần Đầu tư và Phát triển Tập đoàn Đông Ngô</t>
        </is>
      </c>
      <c r="E7578" s="10" t="inlineStr">
        <is>
          <t>Lương:16 Tr - 18 Tr VND</t>
        </is>
      </c>
      <c r="F7578" s="10" t="inlineStr">
        <is>
          <t>Hồ Chí Minh</t>
        </is>
      </c>
      <c r="G7578" s="10" t="inlineStr">
        <is>
          <t>31-03-2026</t>
        </is>
      </c>
      <c r="H7578" s="10" t="inlineStr">
        <is>
          <t>31/03/2026</t>
        </is>
      </c>
      <c r="I7578" s="10" t="inlineStr">
        <is>
          <t>17/03/2026</t>
        </is>
      </c>
      <c r="J7578" s="10" t="inlineStr">
        <is>
          <t>Nội ngoại thất, Đồ gỗ, Kiến trúc</t>
        </is>
      </c>
      <c r="K7578" s="10" t="inlineStr">
        <is>
          <t>2 - 4 Năm</t>
        </is>
      </c>
      <c r="L7578" s="11">
        <f>HYPERLINK("https://careerviet.vn/vi/tim-viec-lam/cv-du-toan-bao-gia-dau-thau-noi-that-go.35C6A945.html","Xem chi tiết")</f>
        <v/>
      </c>
      <c r="M7578" s="10" t="n"/>
    </row>
    <row r="7579">
      <c r="B7579" s="7" t="n">
        <v>7577</v>
      </c>
      <c r="C7579" t="inlineStr">
        <is>
          <t>Thực Tập Sinh Kế Toán</t>
        </is>
      </c>
      <c r="D7579" t="inlineStr">
        <is>
          <t>Công ty cổ phần I.E.I</t>
        </is>
      </c>
      <c r="E7579" t="inlineStr">
        <is>
          <t>Lương:Cạnh tranh</t>
        </is>
      </c>
      <c r="F7579" t="inlineStr">
        <is>
          <t>Hồ Chí Minh</t>
        </is>
      </c>
      <c r="G7579" t="inlineStr">
        <is>
          <t>02-04-2026</t>
        </is>
      </c>
      <c r="H7579" t="inlineStr">
        <is>
          <t>02/04/2026</t>
        </is>
      </c>
      <c r="I7579" t="inlineStr">
        <is>
          <t>17/03/2026</t>
        </is>
      </c>
      <c r="J7579" t="inlineStr">
        <is>
          <t>Kế toán / Kiểm toán, Mới tốt nghiệp / Thực tập, Tài chính / Đầu tư</t>
        </is>
      </c>
      <c r="K7579" t="inlineStr">
        <is>
          <t>N/A</t>
        </is>
      </c>
      <c r="L7579" s="8">
        <f>HYPERLINK("https://careerviet.vn/vi/tim-viec-lam/thuc-tap-sinh-ke-toan.35C6A910.html","Xem chi tiết")</f>
        <v/>
      </c>
    </row>
    <row r="7580">
      <c r="B7580" s="9" t="n">
        <v>7578</v>
      </c>
      <c r="C7580" s="10" t="inlineStr">
        <is>
          <t>CVCC/CVC Đối tác học tập</t>
        </is>
      </c>
      <c r="D7580" s="10" t="inlineStr">
        <is>
          <t>CÔNG TY CỔ PHẦN KINH DOANH F88</t>
        </is>
      </c>
      <c r="E7580" s="10" t="inlineStr">
        <is>
          <t>Lương:Cạnh tranh</t>
        </is>
      </c>
      <c r="F7580" s="10" t="inlineStr">
        <is>
          <t>Hồ Chí Minh</t>
        </is>
      </c>
      <c r="G7580" s="10" t="inlineStr">
        <is>
          <t>03-04-2026</t>
        </is>
      </c>
      <c r="H7580" s="10" t="inlineStr">
        <is>
          <t>03/04/2026</t>
        </is>
      </c>
      <c r="I7580" s="10" t="inlineStr">
        <is>
          <t>17/03/2026</t>
        </is>
      </c>
      <c r="J7580" s="10" t="inlineStr">
        <is>
          <t>Nhân sự, Giáo dục / Đào tạo, Ngân hàng</t>
        </is>
      </c>
      <c r="K7580" s="10" t="inlineStr">
        <is>
          <t>2 - 3 Năm</t>
        </is>
      </c>
      <c r="L7580" s="11">
        <f>HYPERLINK("https://careerviet.vn/vi/tim-viec-lam/cvcc-cvc-doi-tac-hoc-tap.35C6A911.html","Xem chi tiết")</f>
        <v/>
      </c>
      <c r="M7580" s="10" t="n"/>
    </row>
    <row r="7581">
      <c r="B7581" s="7" t="n">
        <v>7579</v>
      </c>
      <c r="C7581" t="inlineStr">
        <is>
          <t>Android Framework Engineer (Power/STR)</t>
        </is>
      </c>
      <c r="D7581" t="inlineStr">
        <is>
          <t>Công ty Cổ phần Vietsol</t>
        </is>
      </c>
      <c r="E7581" t="inlineStr">
        <is>
          <t>Lương:15 Tr - 25 Tr VND</t>
        </is>
      </c>
      <c r="F7581" t="inlineStr">
        <is>
          <t>Hà Nội</t>
        </is>
      </c>
      <c r="G7581" t="inlineStr">
        <is>
          <t>31-05-2026</t>
        </is>
      </c>
      <c r="H7581" t="inlineStr">
        <is>
          <t>31/05/2026</t>
        </is>
      </c>
      <c r="I7581" t="inlineStr">
        <is>
          <t>17/03/2026</t>
        </is>
      </c>
      <c r="J7581" t="inlineStr">
        <is>
          <t>CNTT - Phần mềm</t>
        </is>
      </c>
      <c r="K7581" t="inlineStr">
        <is>
          <t>2 - 5 Năm</t>
        </is>
      </c>
      <c r="L7581" s="8">
        <f>HYPERLINK("https://careerviet.vn/vi/tim-viec-lam/android-framework-engineer-power-str.35C6AAC5.html","Xem chi tiết")</f>
        <v/>
      </c>
    </row>
    <row r="7582">
      <c r="B7582" s="9" t="n">
        <v>7580</v>
      </c>
      <c r="C7582" s="10" t="inlineStr">
        <is>
          <t>Business Development Senior Executive</t>
        </is>
      </c>
      <c r="D7582" s="10" t="inlineStr">
        <is>
          <t>UrBox - Công ty Cổ phần Tiếp Thị Số Tô Quà</t>
        </is>
      </c>
      <c r="E7582" s="10" t="inlineStr">
        <is>
          <t>Lương:Cạnh tranh</t>
        </is>
      </c>
      <c r="F7582" s="10" t="inlineStr">
        <is>
          <t>Hồ Chí Minh</t>
        </is>
      </c>
      <c r="G7582" s="10" t="inlineStr">
        <is>
          <t>05-04-2026</t>
        </is>
      </c>
      <c r="H7582" s="10" t="inlineStr">
        <is>
          <t>05/04/2026</t>
        </is>
      </c>
      <c r="I7582" s="10" t="inlineStr">
        <is>
          <t>17/03/2026</t>
        </is>
      </c>
      <c r="J7582" s="10" t="inlineStr">
        <is>
          <t>Bán hàng / Kinh doanh</t>
        </is>
      </c>
      <c r="K7582" s="10" t="inlineStr">
        <is>
          <t>3 - 5 Năm</t>
        </is>
      </c>
      <c r="L7582" s="11">
        <f>HYPERLINK("https://careerviet.vn/vi/tim-viec-lam/business-development-senior-executive.35C6A86E.html","Xem chi tiết")</f>
        <v/>
      </c>
      <c r="M7582" s="10" t="n"/>
    </row>
    <row r="7583">
      <c r="B7583" s="7" t="n">
        <v>7581</v>
      </c>
      <c r="C7583" t="inlineStr">
        <is>
          <t>[Fulltime] Chăm sóc khách hàng- Có đào tạo</t>
        </is>
      </c>
      <c r="D7583" t="inlineStr">
        <is>
          <t>Bảo mật</t>
        </is>
      </c>
      <c r="E7583" t="inlineStr">
        <is>
          <t>Lương:9 Tr - 11 Tr VND</t>
        </is>
      </c>
      <c r="F7583" t="inlineStr">
        <is>
          <t>Hồ Chí Minh</t>
        </is>
      </c>
      <c r="G7583" t="inlineStr">
        <is>
          <t>31-03-2026</t>
        </is>
      </c>
      <c r="H7583" t="inlineStr">
        <is>
          <t>31/03/2026</t>
        </is>
      </c>
      <c r="I7583" t="inlineStr">
        <is>
          <t>17/03/2026</t>
        </is>
      </c>
      <c r="J7583" t="inlineStr">
        <is>
          <t>Tiếp thị / Marketing, Bán lẻ / Bán sỉ</t>
        </is>
      </c>
      <c r="K7583" t="inlineStr">
        <is>
          <t>1 - 5 Năm</t>
        </is>
      </c>
      <c r="L7583" s="8">
        <f>HYPERLINK("https://careerviet.vn/vi/tim-viec-lam/fulltime-cham-soc-khach-hang-co-dao-tao.35C6A92A.html","Xem chi tiết")</f>
        <v/>
      </c>
    </row>
    <row r="7584">
      <c r="B7584" s="9" t="n">
        <v>7582</v>
      </c>
      <c r="C7584" s="10" t="inlineStr">
        <is>
          <t>Giáo Viên Mầm Non (Củ Chi)</t>
        </is>
      </c>
      <c r="D7584" s="10" t="inlineStr">
        <is>
          <t>Công Ty CP Liên Kết Quốc Tế INTERLINK (Trường Liên Kết Quốc Tế INschool &amp; Ngoại Ngữ Quốc Tế INS ENGLISH &amp; CHINESE)</t>
        </is>
      </c>
      <c r="E7584" s="10" t="inlineStr">
        <is>
          <t>Lương:9 Tr - 12 Tr VND</t>
        </is>
      </c>
      <c r="F7584" s="10" t="inlineStr">
        <is>
          <t>Hồ Chí Minh</t>
        </is>
      </c>
      <c r="G7584" s="10" t="inlineStr">
        <is>
          <t>31-03-2026</t>
        </is>
      </c>
      <c r="H7584" s="10" t="inlineStr">
        <is>
          <t>31/03/2026</t>
        </is>
      </c>
      <c r="I7584" s="10" t="inlineStr">
        <is>
          <t>17/03/2026</t>
        </is>
      </c>
      <c r="J7584" s="10" t="inlineStr">
        <is>
          <t>Giáo dục / Đào tạo</t>
        </is>
      </c>
      <c r="K7584" s="10" t="inlineStr">
        <is>
          <t>1 - 2 Năm</t>
        </is>
      </c>
      <c r="L7584" s="11">
        <f>HYPERLINK("https://careerviet.vn/vi/tim-viec-lam/giao-vien-mam-non-cu-chi.35C6A89C.html","Xem chi tiết")</f>
        <v/>
      </c>
      <c r="M7584" s="10" t="n"/>
    </row>
    <row r="7585">
      <c r="B7585" s="7" t="n">
        <v>7583</v>
      </c>
      <c r="C7585" t="inlineStr">
        <is>
          <t>Chuyên viên cao cấp Quản trị rủi ro Hoạt động</t>
        </is>
      </c>
      <c r="D7585" t="inlineStr">
        <is>
          <t>CÔNG TY CỔ PHẦN KINH DOANH F88</t>
        </is>
      </c>
      <c r="E7585" t="inlineStr">
        <is>
          <t>Lương:18 Tr - 30 Tr VND</t>
        </is>
      </c>
      <c r="F7585" t="inlineStr">
        <is>
          <t>Hà Nội</t>
        </is>
      </c>
      <c r="G7585" t="inlineStr">
        <is>
          <t>31-03-2026</t>
        </is>
      </c>
      <c r="H7585" t="inlineStr">
        <is>
          <t>31/03/2026</t>
        </is>
      </c>
      <c r="I7585" t="inlineStr">
        <is>
          <t>17/03/2026</t>
        </is>
      </c>
      <c r="J7585" t="inlineStr">
        <is>
          <t>Kế toán / Kiểm toán, Tài chính / Đầu tư, Ngân hàng</t>
        </is>
      </c>
      <c r="K7585" t="inlineStr">
        <is>
          <t>1 - 3 Năm</t>
        </is>
      </c>
      <c r="L7585" s="8">
        <f>HYPERLINK("https://careerviet.vn/vi/tim-viec-lam/chuyen-vien-cao-cap-quan-tri-rui-ro-hoat-dong.35C6A8FE.html","Xem chi tiết")</f>
        <v/>
      </c>
    </row>
    <row r="7586">
      <c r="B7586" s="9" t="n">
        <v>7584</v>
      </c>
      <c r="C7586" s="10" t="inlineStr">
        <is>
          <t>CHUYÊN VIÊN TƯ VẤN GIÁO DỤC (OCEAN EDU ĐIỆN BIÊN) - THU NHẬP HẤP DẪN TỪ 15 TRIỆU/THÁNG</t>
        </is>
      </c>
      <c r="D7586" s="10" t="inlineStr">
        <is>
          <t>Công Ty CP Giáo Dục Đại Dương</t>
        </is>
      </c>
      <c r="E7586" s="10" t="inlineStr">
        <is>
          <t>Lương:Cạnh tranh</t>
        </is>
      </c>
      <c r="F7586" s="10" t="inlineStr">
        <is>
          <t>Điện Biên</t>
        </is>
      </c>
      <c r="G7586" s="10" t="inlineStr">
        <is>
          <t>02-04-2026</t>
        </is>
      </c>
      <c r="H7586" s="10" t="inlineStr">
        <is>
          <t>02/04/2026</t>
        </is>
      </c>
      <c r="I7586" s="10" t="inlineStr">
        <is>
          <t>17/03/2026</t>
        </is>
      </c>
      <c r="J7586" s="10" t="inlineStr">
        <is>
          <t>Dịch vụ khách hàng, Giáo dục / Đào tạo, Bán hàng / Kinh doanh</t>
        </is>
      </c>
      <c r="K7586" s="10" t="inlineStr">
        <is>
          <t>Lên đến 1 Năm</t>
        </is>
      </c>
      <c r="L7586" s="11">
        <f>HYPERLINK("https://careerviet.vn/vi/tim-viec-lam/chuyen-vien-tu-van-giao-duc-ocean-edu-dien-bien-thu-nhap-hap-dan-tu-15-trieu-thang.35C6AAC7.html","Xem chi tiết")</f>
        <v/>
      </c>
      <c r="M7586" s="10" t="n"/>
    </row>
    <row r="7587">
      <c r="B7587" s="7" t="n">
        <v>7585</v>
      </c>
      <c r="C7587" t="inlineStr">
        <is>
          <t>Giám Sát Nội Thất</t>
        </is>
      </c>
      <c r="D7587" t="inlineStr">
        <is>
          <t>Công ty TNHH Kiến tạo và Kiệt tác ( Work &amp; Wondes)</t>
        </is>
      </c>
      <c r="E7587" t="inlineStr">
        <is>
          <t>Lương:15 Tr - 18 Tr VND</t>
        </is>
      </c>
      <c r="F7587" t="inlineStr">
        <is>
          <t>Hà Nội</t>
        </is>
      </c>
      <c r="G7587" t="inlineStr">
        <is>
          <t>02-04-2026</t>
        </is>
      </c>
      <c r="H7587" t="inlineStr">
        <is>
          <t>02/04/2026</t>
        </is>
      </c>
      <c r="I7587" t="inlineStr">
        <is>
          <t>17/03/2026</t>
        </is>
      </c>
      <c r="J7587" t="inlineStr">
        <is>
          <t>Kiến trúc, Xây dựng, Nội ngoại thất</t>
        </is>
      </c>
      <c r="K7587" t="inlineStr">
        <is>
          <t>Trên 2 Năm</t>
        </is>
      </c>
      <c r="L7587" s="8">
        <f>HYPERLINK("https://careerviet.vn/vi/tim-viec-lam/giam-sat-noi-that.35C6A8F3.html","Xem chi tiết")</f>
        <v/>
      </c>
    </row>
    <row r="7588">
      <c r="B7588" s="9" t="n">
        <v>7586</v>
      </c>
      <c r="C7588" s="10" t="inlineStr">
        <is>
          <t>Chuyên viên Cao cấp Quản lý Danh mục Rủi ro Tín dụng - Hội sở HCM</t>
        </is>
      </c>
      <c r="D7588" s="10" t="inlineStr">
        <is>
          <t>Ngân hàng TMCP Phát triển TP.HCM (HDBank)</t>
        </is>
      </c>
      <c r="E7588" s="10" t="inlineStr">
        <is>
          <t>Lương:18 Tr - 25 Tr VND</t>
        </is>
      </c>
      <c r="F7588" s="10" t="inlineStr">
        <is>
          <t>Hồ Chí Minh</t>
        </is>
      </c>
      <c r="G7588" s="10" t="inlineStr">
        <is>
          <t>31-03-2026</t>
        </is>
      </c>
      <c r="H7588" s="10" t="inlineStr">
        <is>
          <t>31/03/2026</t>
        </is>
      </c>
      <c r="I7588" s="10" t="inlineStr">
        <is>
          <t>17/03/2026</t>
        </is>
      </c>
      <c r="J7588" s="10" t="inlineStr">
        <is>
          <t>Kế toán / Kiểm toán, Ngân hàng, Tài chính / Đầu tư</t>
        </is>
      </c>
      <c r="K7588" s="10" t="inlineStr">
        <is>
          <t>2 - 8 Năm</t>
        </is>
      </c>
      <c r="L7588" s="11">
        <f>HYPERLINK("https://careerviet.vn/vi/tim-viec-lam/chuyen-vien-cao-cap-quan-ly-danh-muc-rui-ro-tin-dung-hoi-so-hcm.35C6A8F4.html","Xem chi tiết")</f>
        <v/>
      </c>
      <c r="M7588" s="10" t="n"/>
    </row>
    <row r="7589">
      <c r="B7589" s="7" t="n">
        <v>7587</v>
      </c>
      <c r="C7589" t="inlineStr">
        <is>
          <t>Goverment Relation Manager</t>
        </is>
      </c>
      <c r="D7589" t="inlineStr">
        <is>
          <t>Công Ty TNHH XNK Phát Triển Đông Dương</t>
        </is>
      </c>
      <c r="E7589" t="inlineStr">
        <is>
          <t>Lương:Cạnh tranh</t>
        </is>
      </c>
      <c r="F7589" t="inlineStr">
        <is>
          <t>Hà Nội</t>
        </is>
      </c>
      <c r="G7589" t="inlineStr">
        <is>
          <t>02-04-2026</t>
        </is>
      </c>
      <c r="H7589" t="inlineStr">
        <is>
          <t>02/04/2026</t>
        </is>
      </c>
      <c r="I7589" t="inlineStr">
        <is>
          <t>17/03/2026</t>
        </is>
      </c>
      <c r="J7589" t="inlineStr">
        <is>
          <t>Bán lẻ / Bán sỉ, Bán hàng / Kinh doanh, Phi chính phủ / Phi lợi nhuận</t>
        </is>
      </c>
      <c r="K7589" t="inlineStr">
        <is>
          <t>7 - 10 Năm</t>
        </is>
      </c>
      <c r="L7589" s="8">
        <f>HYPERLINK("https://careerviet.vn/vi/tim-viec-lam/goverment-relation-manager.35C6A868.html","Xem chi tiết")</f>
        <v/>
      </c>
    </row>
    <row r="7590">
      <c r="B7590" s="9" t="n">
        <v>7588</v>
      </c>
      <c r="C7590" s="10" t="inlineStr">
        <is>
          <t>Chuyên viên chính Vận hành</t>
        </is>
      </c>
      <c r="D7590" s="10" t="inlineStr">
        <is>
          <t>CÔNG TY CỔ PHẦN KINH DOANH F88</t>
        </is>
      </c>
      <c r="E7590" s="10" t="inlineStr">
        <is>
          <t>Lương:Cạnh tranh</t>
        </is>
      </c>
      <c r="F7590" s="10" t="inlineStr">
        <is>
          <t>Hồ Chí Minh</t>
        </is>
      </c>
      <c r="G7590" s="10" t="inlineStr">
        <is>
          <t>03-04-2026</t>
        </is>
      </c>
      <c r="H7590" s="10" t="inlineStr">
        <is>
          <t>03/04/2026</t>
        </is>
      </c>
      <c r="I7590" s="10" t="inlineStr">
        <is>
          <t>17/03/2026</t>
        </is>
      </c>
      <c r="J7590" s="10" t="inlineStr">
        <is>
          <t>Ngân hàng, Dịch vụ khách hàng, Tư vấn</t>
        </is>
      </c>
      <c r="K7590" s="10" t="inlineStr">
        <is>
          <t>2 - 3 Năm</t>
        </is>
      </c>
      <c r="L7590" s="11">
        <f>HYPERLINK("https://careerviet.vn/vi/tim-viec-lam/chuyen-vien-chinh-van-hanh.35C6A90C.html","Xem chi tiết")</f>
        <v/>
      </c>
      <c r="M7590" s="10" t="n"/>
    </row>
    <row r="7591">
      <c r="B7591" s="7" t="n">
        <v>7589</v>
      </c>
      <c r="C7591" t="inlineStr">
        <is>
          <t>NHÂN VIÊN VẬN HÀNH LÒ HƠI</t>
        </is>
      </c>
      <c r="D7591" t="inlineStr">
        <is>
          <t>CÔNG TY CỔ PHẦN HIKARI ĐÀ LẠT</t>
        </is>
      </c>
      <c r="E7591" t="inlineStr">
        <is>
          <t>Lương:8 Tr - 10 Tr VND</t>
        </is>
      </c>
      <c r="F7591" t="inlineStr">
        <is>
          <t>Lâm Đồng</t>
        </is>
      </c>
      <c r="G7591" t="inlineStr">
        <is>
          <t>31-05-2026</t>
        </is>
      </c>
      <c r="H7591" t="inlineStr">
        <is>
          <t>31/05/2026</t>
        </is>
      </c>
      <c r="I7591" t="inlineStr">
        <is>
          <t>17/03/2026</t>
        </is>
      </c>
      <c r="J7591" t="inlineStr">
        <is>
          <t>Sản xuất / Vận hành sản xuất</t>
        </is>
      </c>
      <c r="K7591" t="inlineStr">
        <is>
          <t>1 - 2 Năm</t>
        </is>
      </c>
      <c r="L7591" s="8">
        <f>HYPERLINK("https://careerviet.vn/vi/tim-viec-lam/nhan-vien-van-hanh-lo-hoi.35C6A8E7.html","Xem chi tiết")</f>
        <v/>
      </c>
    </row>
    <row r="7592">
      <c r="B7592" s="9" t="n">
        <v>7590</v>
      </c>
      <c r="C7592" s="10" t="inlineStr">
        <is>
          <t>CHUYÊN VIÊN NGHIÊN CỨU &amp; PHÁT TRIỂN (GIAO THÔNG – HẠ TẦNG KỸ THUẬT)</t>
        </is>
      </c>
      <c r="D7592" s="10" t="inlineStr">
        <is>
          <t>Tổng công ty Xây dựng số 1 – CTCP</t>
        </is>
      </c>
      <c r="E7592" s="10" t="inlineStr">
        <is>
          <t>Lương:Cạnh tranh</t>
        </is>
      </c>
      <c r="F7592" s="10" t="inlineStr">
        <is>
          <t>Hồ Chí Minh</t>
        </is>
      </c>
      <c r="G7592" s="10" t="inlineStr">
        <is>
          <t>02-04-2026</t>
        </is>
      </c>
      <c r="H7592" s="10" t="inlineStr">
        <is>
          <t>02/04/2026</t>
        </is>
      </c>
      <c r="I7592" s="10" t="inlineStr">
        <is>
          <t>17/03/2026</t>
        </is>
      </c>
      <c r="J7592" s="10" t="inlineStr">
        <is>
          <t>Xây dựng</t>
        </is>
      </c>
      <c r="K7592" s="10" t="inlineStr">
        <is>
          <t>3 - 5 Năm</t>
        </is>
      </c>
      <c r="L7592" s="11">
        <f>HYPERLINK("https://careerviet.vn/vi/tim-viec-lam/chuyen-vien-nghien-cuu-phat-trien-giao-thong-ha-tang-ky-thuat.35C6A8D9.html","Xem chi tiết")</f>
        <v/>
      </c>
      <c r="M7592" s="10" t="n"/>
    </row>
    <row r="7593">
      <c r="B7593" s="7" t="n">
        <v>7591</v>
      </c>
      <c r="C7593" t="inlineStr">
        <is>
          <t>[Phạm Hùng Quận 8] Admin kiêm CSKH</t>
        </is>
      </c>
      <c r="D7593" t="inlineStr">
        <is>
          <t>Công Ty Cổ Phần Vacxin Việt Nam</t>
        </is>
      </c>
      <c r="E7593" t="inlineStr">
        <is>
          <t>Lương:Cạnh tranh</t>
        </is>
      </c>
      <c r="F7593" t="inlineStr">
        <is>
          <t>Hồ Chí Minh</t>
        </is>
      </c>
      <c r="G7593" t="inlineStr">
        <is>
          <t>16-03-2026</t>
        </is>
      </c>
      <c r="H7593" t="inlineStr">
        <is>
          <t>15/03/2026</t>
        </is>
      </c>
      <c r="I7593" t="inlineStr">
        <is>
          <t>17/03/2026</t>
        </is>
      </c>
      <c r="J7593" t="inlineStr">
        <is>
          <t>Dịch vụ khách hàng, Hành chính / Thư ký, Kế toán / Kiểm toán</t>
        </is>
      </c>
      <c r="K7593" t="inlineStr">
        <is>
          <t>1 - 2 Năm</t>
        </is>
      </c>
      <c r="L7593" s="8">
        <f>HYPERLINK("https://careerviet.vn/vi/tim-viec-lam/pham-hung-quan-8-admin-kiem-cskh.35C6A7CB.html","Xem chi tiết")</f>
        <v/>
      </c>
    </row>
    <row r="7594">
      <c r="B7594" s="9" t="n">
        <v>7592</v>
      </c>
      <c r="C7594" s="10" t="inlineStr">
        <is>
          <t>Nhân viên Kế Toán</t>
        </is>
      </c>
      <c r="D7594" s="10" t="inlineStr">
        <is>
          <t>Công Ty Cổ Phần Y Tế Việt Tiến</t>
        </is>
      </c>
      <c r="E7594" s="10" t="inlineStr">
        <is>
          <t>Lương:Cạnh tranh</t>
        </is>
      </c>
      <c r="F7594" s="10" t="inlineStr">
        <is>
          <t>Hồ Chí Minh</t>
        </is>
      </c>
      <c r="G7594" s="10" t="inlineStr">
        <is>
          <t>02-04-2026</t>
        </is>
      </c>
      <c r="H7594" s="10" t="inlineStr">
        <is>
          <t>02/04/2026</t>
        </is>
      </c>
      <c r="I7594" s="10" t="inlineStr">
        <is>
          <t>17/03/2026</t>
        </is>
      </c>
      <c r="J7594" s="10" t="inlineStr">
        <is>
          <t>Kế toán / Kiểm toán</t>
        </is>
      </c>
      <c r="K7594" s="10" t="inlineStr">
        <is>
          <t>1 - 3 Năm</t>
        </is>
      </c>
      <c r="L7594" s="11">
        <f>HYPERLINK("https://careerviet.vn/vi/tim-viec-lam/nhan-vien-ke-toan.35C6A795.html","Xem chi tiết")</f>
        <v/>
      </c>
      <c r="M7594" s="10" t="n"/>
    </row>
    <row r="7595">
      <c r="B7595" s="7" t="n">
        <v>7593</v>
      </c>
      <c r="C7595" t="inlineStr">
        <is>
          <t>Kỹ Thuật Y Nhóm Máu Dây Rốn</t>
        </is>
      </c>
      <c r="D7595" t="inlineStr">
        <is>
          <t>CHI NHÁNH CÔNG TY CỔ PHẦN Y HỌC VĨNH THIỆN- BỆNH VIỆN ĐẠI HỌC PHENIKAA</t>
        </is>
      </c>
      <c r="E7595" t="inlineStr">
        <is>
          <t>Lương:Cạnh tranh</t>
        </is>
      </c>
      <c r="F7595" t="inlineStr">
        <is>
          <t>Hà Nội</t>
        </is>
      </c>
      <c r="G7595" t="inlineStr">
        <is>
          <t>03-04-2026</t>
        </is>
      </c>
      <c r="H7595" t="inlineStr">
        <is>
          <t>03/04/2026</t>
        </is>
      </c>
      <c r="I7595" t="inlineStr">
        <is>
          <t>17/03/2026</t>
        </is>
      </c>
      <c r="J7595" t="inlineStr">
        <is>
          <t>Công nghệ sinh học, Y tế / Chăm sóc sức khỏe / Thẩm mỹ / Làm đẹp</t>
        </is>
      </c>
      <c r="K7595" t="inlineStr">
        <is>
          <t>2 - 5 Năm</t>
        </is>
      </c>
      <c r="L7595" s="8">
        <f>HYPERLINK("https://careerviet.vn/vi/tim-viec-lam/ky-thuat-y-nhom-mau-day-ron.35C6A8D2.html","Xem chi tiết")</f>
        <v/>
      </c>
    </row>
    <row r="7596">
      <c r="B7596" s="9" t="n">
        <v>7594</v>
      </c>
      <c r="C7596" s="10" t="inlineStr">
        <is>
          <t>Nhân Viên Kiểm Đếm (Kho Cảng)</t>
        </is>
      </c>
      <c r="D7596" s="10" t="inlineStr">
        <is>
          <t>Công Ty TNHH Interflour Việt Nam</t>
        </is>
      </c>
      <c r="E7596" s="10" t="inlineStr">
        <is>
          <t>Lương:Cạnh tranh</t>
        </is>
      </c>
      <c r="F7596" s="10" t="inlineStr">
        <is>
          <t>Bà Rịa - Vũng Tàu</t>
        </is>
      </c>
      <c r="G7596" s="10" t="inlineStr">
        <is>
          <t>31-03-2026</t>
        </is>
      </c>
      <c r="H7596" s="10" t="inlineStr">
        <is>
          <t>31/03/2026</t>
        </is>
      </c>
      <c r="I7596" s="10" t="inlineStr">
        <is>
          <t>17/03/2026</t>
        </is>
      </c>
      <c r="J7596" s="10" t="inlineStr">
        <is>
          <t>Vận chuyển / Giao nhận / Kho vận</t>
        </is>
      </c>
      <c r="K7596" s="10" t="inlineStr">
        <is>
          <t>1 - 3 Năm</t>
        </is>
      </c>
      <c r="L7596" s="11">
        <f>HYPERLINK("https://careerviet.vn/vi/tim-viec-lam/nhan-vien-kiem-dem-kho-cang.35C6A77D.html","Xem chi tiết")</f>
        <v/>
      </c>
      <c r="M7596" s="10" t="n"/>
    </row>
    <row r="7597">
      <c r="B7597" s="7" t="n">
        <v>7595</v>
      </c>
      <c r="C7597" t="inlineStr">
        <is>
          <t>Chuyên viên phân tích nghiệp vụ</t>
        </is>
      </c>
      <c r="D7597" t="inlineStr">
        <is>
          <t>BỆNH VIỆN ĐA KHOA PHƯƠNG NAM</t>
        </is>
      </c>
      <c r="E7597" t="inlineStr">
        <is>
          <t>Lương:Cạnh tranh</t>
        </is>
      </c>
      <c r="F7597" t="inlineStr">
        <is>
          <t>Hồ Chí Minh</t>
        </is>
      </c>
      <c r="G7597" t="inlineStr">
        <is>
          <t>02-05-2026</t>
        </is>
      </c>
      <c r="H7597" t="inlineStr">
        <is>
          <t>02/05/2026</t>
        </is>
      </c>
      <c r="I7597" t="inlineStr">
        <is>
          <t>17/03/2026</t>
        </is>
      </c>
      <c r="J7597" t="inlineStr">
        <is>
          <t>Thương mại điện tử, Bán Hàng Kỹ Thuật, CNTT - Phần mềm</t>
        </is>
      </c>
      <c r="K7597" t="inlineStr">
        <is>
          <t>1 - 2 Năm</t>
        </is>
      </c>
      <c r="L7597" s="8">
        <f>HYPERLINK("https://careerviet.vn/vi/tim-viec-lam/chuyen-vien-phan-tich-nghiep-vu.35C6A989.html","Xem chi tiết")</f>
        <v/>
      </c>
    </row>
    <row r="7598">
      <c r="B7598" s="9" t="n">
        <v>7596</v>
      </c>
      <c r="C7598" s="10" t="inlineStr">
        <is>
          <t>Giáo Viên Chủ Nhiệm (Ocean Edu Phù Lỗ) - Trúng Tuyển Đi Làm Luôn</t>
        </is>
      </c>
      <c r="D7598" s="10" t="inlineStr">
        <is>
          <t>Công Ty CP Giáo Dục Đại Dương</t>
        </is>
      </c>
      <c r="E7598" s="10" t="inlineStr">
        <is>
          <t>Lương:Cạnh tranh</t>
        </is>
      </c>
      <c r="F7598" s="10" t="inlineStr">
        <is>
          <t>Hà Nội</t>
        </is>
      </c>
      <c r="G7598" s="10" t="inlineStr">
        <is>
          <t>02-04-2026</t>
        </is>
      </c>
      <c r="H7598" s="10" t="inlineStr">
        <is>
          <t>02/04/2026</t>
        </is>
      </c>
      <c r="I7598" s="10" t="inlineStr">
        <is>
          <t>17/03/2026</t>
        </is>
      </c>
      <c r="J7598" s="10" t="inlineStr">
        <is>
          <t>Giáo dục / Đào tạo, Bán hàng / Kinh doanh, Biên phiên dịch</t>
        </is>
      </c>
      <c r="K7598" s="10" t="inlineStr">
        <is>
          <t>Trên 1 Năm</t>
        </is>
      </c>
      <c r="L7598" s="11">
        <f>HYPERLINK("https://careerviet.vn/vi/tim-viec-lam/giao-vien-chu-nhiem-ocean-edu-phu-lo-trung-tuyen-di-lam-luon.35C6A79C.html","Xem chi tiết")</f>
        <v/>
      </c>
      <c r="M7598" s="10" t="n"/>
    </row>
    <row r="7599">
      <c r="B7599" s="7" t="n">
        <v>7597</v>
      </c>
      <c r="C7599" t="inlineStr">
        <is>
          <t>PHÁT TRIỂN SẢN PHẨM RND</t>
        </is>
      </c>
      <c r="D7599" t="inlineStr">
        <is>
          <t>CÔNG TY TNHH TOHOGENKAI VIỆT NAM</t>
        </is>
      </c>
      <c r="E7599" t="inlineStr">
        <is>
          <t>Lương:12 Tr - 18 Tr VND</t>
        </is>
      </c>
      <c r="F7599" t="inlineStr">
        <is>
          <t>Long An</t>
        </is>
      </c>
      <c r="G7599" t="inlineStr">
        <is>
          <t>03-04-2026</t>
        </is>
      </c>
      <c r="H7599" t="inlineStr">
        <is>
          <t>03/04/2026</t>
        </is>
      </c>
      <c r="I7599" t="inlineStr">
        <is>
          <t>17/03/2026</t>
        </is>
      </c>
      <c r="J7599" t="inlineStr">
        <is>
          <t>Thực phẩm &amp; Đồ uống, Quản lý điều hành</t>
        </is>
      </c>
      <c r="K7599" t="inlineStr">
        <is>
          <t>3 - 5 Năm</t>
        </is>
      </c>
      <c r="L7599" s="8">
        <f>HYPERLINK("https://careerviet.vn/vi/tim-viec-lam/phat-trien-san-pham-rnd.35C6A886.html","Xem chi tiết")</f>
        <v/>
      </c>
    </row>
    <row r="7600">
      <c r="B7600" s="9" t="n">
        <v>7598</v>
      </c>
      <c r="C7600" s="10" t="inlineStr">
        <is>
          <t>CHUYÊN VIÊN TƯ VẤN GIÁO DỤC (OCEAN EDU ĐÔNG ANH 2) - THU NHẬP HẤP DẪN TỪ 15 TRIỆU/THÁNG</t>
        </is>
      </c>
      <c r="D7600" s="10" t="inlineStr">
        <is>
          <t>Công Ty CP Giáo Dục Đại Dương</t>
        </is>
      </c>
      <c r="E7600" s="10" t="inlineStr">
        <is>
          <t>Lương:Cạnh tranh</t>
        </is>
      </c>
      <c r="F7600" s="10" t="inlineStr">
        <is>
          <t>Hà Nội</t>
        </is>
      </c>
      <c r="G7600" s="10" t="inlineStr">
        <is>
          <t>02-04-2026</t>
        </is>
      </c>
      <c r="H7600" s="10" t="inlineStr">
        <is>
          <t>02/04/2026</t>
        </is>
      </c>
      <c r="I7600" s="10" t="inlineStr">
        <is>
          <t>17/03/2026</t>
        </is>
      </c>
      <c r="J7600" s="10" t="inlineStr">
        <is>
          <t>Dịch vụ khách hàng, Giáo dục / Đào tạo, Bán hàng / Kinh doanh</t>
        </is>
      </c>
      <c r="K7600" s="10" t="inlineStr">
        <is>
          <t>Lên đến 1 Năm</t>
        </is>
      </c>
      <c r="L7600" s="11">
        <f>HYPERLINK("https://careerviet.vn/vi/tim-viec-lam/chuyen-vien-tu-van-giao-duc-ocean-edu-dong-anh-2-thu-nhap-hap-dan-tu-15-trieu-thang.35C6A78A.html","Xem chi tiết")</f>
        <v/>
      </c>
      <c r="M7600" s="10" t="n"/>
    </row>
    <row r="7601">
      <c r="B7601" s="7" t="n">
        <v>7599</v>
      </c>
      <c r="C7601" t="inlineStr">
        <is>
          <t>KỸ SƯ KHỐI LƯỢNG GIAO THÔNG - HTKT</t>
        </is>
      </c>
      <c r="D7601" t="inlineStr">
        <is>
          <t>Tổng công ty Xây dựng số 1 – CTCP</t>
        </is>
      </c>
      <c r="E7601" t="inlineStr">
        <is>
          <t>Lương:Cạnh tranh</t>
        </is>
      </c>
      <c r="F7601" t="inlineStr">
        <is>
          <t>Hồ Chí Minh</t>
        </is>
      </c>
      <c r="G7601" t="inlineStr">
        <is>
          <t>02-04-2026</t>
        </is>
      </c>
      <c r="H7601" t="inlineStr">
        <is>
          <t>02/04/2026</t>
        </is>
      </c>
      <c r="I7601" t="inlineStr">
        <is>
          <t>17/03/2026</t>
        </is>
      </c>
      <c r="J7601" t="inlineStr">
        <is>
          <t>Xây dựng</t>
        </is>
      </c>
      <c r="K7601" t="inlineStr">
        <is>
          <t>1 - 2 Năm</t>
        </is>
      </c>
      <c r="L7601" s="8">
        <f>HYPERLINK("https://careerviet.vn/vi/tim-viec-lam/ky-su-khoi-luong-giao-thong-htkt.35C6A8D5.html","Xem chi tiết")</f>
        <v/>
      </c>
    </row>
    <row r="7602">
      <c r="B7602" s="9" t="n">
        <v>7600</v>
      </c>
      <c r="C7602" s="10" t="inlineStr">
        <is>
          <t>[LÂM ĐỒNG] - NHÂN VIÊN SALE THỊ TRƯỜNG TRÀ SỮA</t>
        </is>
      </c>
      <c r="D7602" s="10" t="inlineStr">
        <is>
          <t>Công ty Cổ phần TM-SX-DV Gia Thịnh Phát</t>
        </is>
      </c>
      <c r="E7602" s="10" t="inlineStr">
        <is>
          <t>Lương:10 Tr - 20 Tr VND</t>
        </is>
      </c>
      <c r="F7602" s="10" t="inlineStr">
        <is>
          <t>Lâm Đồng</t>
        </is>
      </c>
      <c r="G7602" s="10" t="inlineStr">
        <is>
          <t>02-04-2026</t>
        </is>
      </c>
      <c r="H7602" s="10" t="inlineStr">
        <is>
          <t>02/04/2026</t>
        </is>
      </c>
      <c r="I7602" s="10" t="inlineStr">
        <is>
          <t>17/03/2026</t>
        </is>
      </c>
      <c r="J7602" s="10" t="inlineStr">
        <is>
          <t>Bán lẻ / Bán sỉ, Bán hàng / Kinh doanh, Thực phẩm &amp; Đồ uống</t>
        </is>
      </c>
      <c r="K7602" s="10" t="inlineStr">
        <is>
          <t>N/A</t>
        </is>
      </c>
      <c r="L7602" s="11">
        <f>HYPERLINK("https://careerviet.vn/vi/tim-viec-lam/lam-dong-nhan-vien-sale-thi-truong-tra-sua.35C6A714.html","Xem chi tiết")</f>
        <v/>
      </c>
      <c r="M7602" s="10" t="n"/>
    </row>
    <row r="7603">
      <c r="B7603" s="7" t="n">
        <v>7601</v>
      </c>
      <c r="C7603" t="inlineStr">
        <is>
          <t>CHUYÊN VIÊN QA NHÀ MÁY</t>
        </is>
      </c>
      <c r="D7603" t="inlineStr">
        <is>
          <t>CÔNG TY TNHH TOHOGENKAI VIỆT NAM</t>
        </is>
      </c>
      <c r="E7603" t="inlineStr">
        <is>
          <t>Lương:12 Tr - 18 Tr VND</t>
        </is>
      </c>
      <c r="F7603" t="inlineStr">
        <is>
          <t>Long An</t>
        </is>
      </c>
      <c r="G7603" t="inlineStr">
        <is>
          <t>03-04-2026</t>
        </is>
      </c>
      <c r="H7603" t="inlineStr">
        <is>
          <t>03/04/2026</t>
        </is>
      </c>
      <c r="I7603" t="inlineStr">
        <is>
          <t>17/03/2026</t>
        </is>
      </c>
      <c r="J7603" t="inlineStr">
        <is>
          <t>Thực phẩm &amp; Đồ uống, Công nghệ sinh học, Công nghệ thực phẩm / Dinh dưỡng</t>
        </is>
      </c>
      <c r="K7603" t="inlineStr">
        <is>
          <t>3 - 5 Năm</t>
        </is>
      </c>
      <c r="L7603" s="8">
        <f>HYPERLINK("https://careerviet.vn/vi/tim-viec-lam/chuyen-vien-qa-nha-may.35C6A86D.html","Xem chi tiết")</f>
        <v/>
      </c>
    </row>
    <row r="7604">
      <c r="B7604" s="9" t="n">
        <v>7602</v>
      </c>
      <c r="C7604" s="10" t="inlineStr">
        <is>
          <t>Ca Trưởng Vận Hành (Full-Time)</t>
        </is>
      </c>
      <c r="D7604" s="10" t="inlineStr">
        <is>
          <t>Công ty TNHH Jumpo Food</t>
        </is>
      </c>
      <c r="E7604" s="10" t="inlineStr">
        <is>
          <t>Lương:Lên đến 9,5 Tr VND</t>
        </is>
      </c>
      <c r="F7604" s="10" t="inlineStr">
        <is>
          <t>Hồ Chí Minh</t>
        </is>
      </c>
      <c r="G7604" s="10" t="inlineStr">
        <is>
          <t>02-04-2026</t>
        </is>
      </c>
      <c r="H7604" s="10" t="inlineStr">
        <is>
          <t>02/04/2026</t>
        </is>
      </c>
      <c r="I7604" s="10" t="inlineStr">
        <is>
          <t>17/03/2026</t>
        </is>
      </c>
      <c r="J7604" s="10" t="inlineStr">
        <is>
          <t>Thực phẩm &amp; Đồ uống, Nhà hàng / Khách sạn, Quản lý điều hành</t>
        </is>
      </c>
      <c r="K7604" s="10" t="inlineStr">
        <is>
          <t>N/A</t>
        </is>
      </c>
      <c r="L7604" s="11">
        <f>HYPERLINK("https://careerviet.vn/vi/tim-viec-lam/ca-truong-van-hanh-full-time.35C6A83E.html","Xem chi tiết")</f>
        <v/>
      </c>
      <c r="M7604" s="10" t="n"/>
    </row>
    <row r="7605">
      <c r="B7605" s="7" t="n">
        <v>7603</v>
      </c>
      <c r="C7605" t="inlineStr">
        <is>
          <t>Kế toán công nợ</t>
        </is>
      </c>
      <c r="D7605" t="inlineStr">
        <is>
          <t>CÔNG TY CỔ PHẦN DỊCH VỤ VÀ KỸ THUẬT SMC</t>
        </is>
      </c>
      <c r="E7605" t="inlineStr">
        <is>
          <t>Lương:Cạnh tranh</t>
        </is>
      </c>
      <c r="F7605" t="inlineStr">
        <is>
          <t>Hồ Chí Minh</t>
        </is>
      </c>
      <c r="G7605" t="inlineStr">
        <is>
          <t>03-04-2026</t>
        </is>
      </c>
      <c r="H7605" t="inlineStr">
        <is>
          <t>03/04/2026</t>
        </is>
      </c>
      <c r="I7605" t="inlineStr">
        <is>
          <t>17/03/2026</t>
        </is>
      </c>
      <c r="J7605" t="inlineStr">
        <is>
          <t>Kế toán / Kiểm toán, Tài chính / Đầu tư</t>
        </is>
      </c>
      <c r="K7605" t="inlineStr">
        <is>
          <t>Trên 2 Năm</t>
        </is>
      </c>
      <c r="L7605" s="8">
        <f>HYPERLINK("https://careerviet.vn/vi/tim-viec-lam/ke-toan-cong-no.35C6A715.html","Xem chi tiết")</f>
        <v/>
      </c>
    </row>
    <row r="7606">
      <c r="B7606" s="9" t="n">
        <v>7604</v>
      </c>
      <c r="C7606" s="10" t="inlineStr">
        <is>
          <t>Kế Toán Nội Bộ (In-House Accountant)</t>
        </is>
      </c>
      <c r="D7606" s="10" t="inlineStr">
        <is>
          <t>CÔNG TY TNHH THƯƠNG MẠI ORYX</t>
        </is>
      </c>
      <c r="E7606" s="10" t="inlineStr">
        <is>
          <t>Lương:Cạnh tranh</t>
        </is>
      </c>
      <c r="F7606" s="10" t="inlineStr">
        <is>
          <t>Hồ Chí Minh</t>
        </is>
      </c>
      <c r="G7606" s="10" t="inlineStr">
        <is>
          <t>02-04-2026</t>
        </is>
      </c>
      <c r="H7606" s="10" t="inlineStr">
        <is>
          <t>02/04/2026</t>
        </is>
      </c>
      <c r="I7606" s="10" t="inlineStr">
        <is>
          <t>17/03/2026</t>
        </is>
      </c>
      <c r="J7606" s="10" t="inlineStr">
        <is>
          <t>Kế toán / Kiểm toán, Tài chính / Đầu tư, Luật / Pháp lý</t>
        </is>
      </c>
      <c r="K7606" s="10" t="inlineStr">
        <is>
          <t>1 - 2 Năm</t>
        </is>
      </c>
      <c r="L7606" s="11">
        <f>HYPERLINK("https://careerviet.vn/vi/tim-viec-lam/ke-toan-noi-bo-in-house-accountant.35C6A8DE.html","Xem chi tiết")</f>
        <v/>
      </c>
      <c r="M7606" s="10" t="n"/>
    </row>
    <row r="7607">
      <c r="B7607" s="7" t="n">
        <v>7605</v>
      </c>
      <c r="C7607" t="inlineStr">
        <is>
          <t>Chuyên viên chính/Chuyên viên Cấp cao Quan hệ khách hàng ưu tiên - NCB Quảng Ninh</t>
        </is>
      </c>
      <c r="D7607" t="inlineStr">
        <is>
          <t>Ngân Hàng TMCP Quốc Dân (NCB)</t>
        </is>
      </c>
      <c r="E7607" t="inlineStr">
        <is>
          <t>Lương:Cạnh tranh</t>
        </is>
      </c>
      <c r="F7607" t="inlineStr">
        <is>
          <t>Quảng Ninh</t>
        </is>
      </c>
      <c r="G7607" t="inlineStr">
        <is>
          <t>03-04-2026</t>
        </is>
      </c>
      <c r="H7607" t="inlineStr">
        <is>
          <t>03/04/2026</t>
        </is>
      </c>
      <c r="I7607" t="inlineStr">
        <is>
          <t>17/03/2026</t>
        </is>
      </c>
      <c r="J7607" t="inlineStr">
        <is>
          <t>Ngân hàng, Tư vấn, Bán hàng / Kinh doanh</t>
        </is>
      </c>
      <c r="K7607" t="inlineStr">
        <is>
          <t>1 - 3 Năm</t>
        </is>
      </c>
      <c r="L7607" s="8">
        <f>HYPERLINK("https://careerviet.vn/vi/tim-viec-lam/chuyen-vien-chinh-chuyen-vien-cap-cao-quan-he-khach-hang-uu-tien-ncb-quang-ninh.35C6A865.html","Xem chi tiết")</f>
        <v/>
      </c>
    </row>
    <row r="7608">
      <c r="B7608" s="9" t="n">
        <v>7606</v>
      </c>
      <c r="C7608" s="10" t="inlineStr">
        <is>
          <t>Chuyên Viên/Chuyên viên cao cấp Quan Hệ Khách Hàng Doanh Nghiệp - Khu vực Phan Thiết</t>
        </is>
      </c>
      <c r="D7608" s="10" t="inlineStr">
        <is>
          <t>Ngân hàng TMCP Việt Á – VietABank</t>
        </is>
      </c>
      <c r="E7608" s="10" t="inlineStr">
        <is>
          <t>Lương:10 Tr - 36 Tr VND</t>
        </is>
      </c>
      <c r="F7608" s="10" t="inlineStr">
        <is>
          <t>Bình Thuận</t>
        </is>
      </c>
      <c r="G7608" s="10" t="inlineStr">
        <is>
          <t>02-04-2026</t>
        </is>
      </c>
      <c r="H7608" s="10" t="inlineStr">
        <is>
          <t>02/04/2026</t>
        </is>
      </c>
      <c r="I7608" s="10" t="inlineStr">
        <is>
          <t>17/03/2026</t>
        </is>
      </c>
      <c r="J7608" s="10" t="inlineStr">
        <is>
          <t>Bất động sản, Bảo hiểm, Ngân hàng</t>
        </is>
      </c>
      <c r="K7608" s="10" t="inlineStr">
        <is>
          <t>1 - 3 Năm</t>
        </is>
      </c>
      <c r="L7608" s="11">
        <f>HYPERLINK("https://careerviet.vn/vi/tim-viec-lam/chuyen-vien-chuyen-vien-cao-cap-quan-he-khach-hang-doanh-nghiep-khu-vuc-phan-thiet.35C6A767.html","Xem chi tiết")</f>
        <v/>
      </c>
      <c r="M7608" s="10" t="n"/>
    </row>
    <row r="7609">
      <c r="B7609" s="7" t="n">
        <v>7607</v>
      </c>
      <c r="C7609" t="inlineStr">
        <is>
          <t>New Product Development Engineer - (Dong Nai - Shuttle bus provided)</t>
        </is>
      </c>
      <c r="D7609" t="inlineStr">
        <is>
          <t>Techtronic Industries Vietnam Manufacturing Company Limited</t>
        </is>
      </c>
      <c r="E7609" t="inlineStr">
        <is>
          <t>Lương:Cạnh tranh</t>
        </is>
      </c>
      <c r="F7609" t="inlineStr">
        <is>
          <t>Đồng Nai</t>
        </is>
      </c>
      <c r="G7609" t="inlineStr">
        <is>
          <t>02-04-2026</t>
        </is>
      </c>
      <c r="H7609" t="inlineStr">
        <is>
          <t>02/04/2026</t>
        </is>
      </c>
      <c r="I7609" t="inlineStr">
        <is>
          <t>17/03/2026</t>
        </is>
      </c>
      <c r="J7609" t="inlineStr">
        <is>
          <t>Cơ khí / Ô tô / Tự động hóa, Điện / Điện tử / Điện lạnh / Điện công nghiệp</t>
        </is>
      </c>
      <c r="K7609" t="inlineStr">
        <is>
          <t>2 - 5 Năm</t>
        </is>
      </c>
      <c r="L7609" s="8">
        <f>HYPERLINK("https://careerviet.vn/vi/tim-viec-lam/new-product-development-engineer-dong-nai-shuttle-bus-provided.35C6A774.html","Xem chi tiết")</f>
        <v/>
      </c>
    </row>
    <row r="7610">
      <c r="B7610" s="9" t="n">
        <v>7608</v>
      </c>
      <c r="C7610" s="10" t="inlineStr">
        <is>
          <t>Trưởng nhóm thương hiệu (Brand marketing)</t>
        </is>
      </c>
      <c r="D7610" s="10" t="inlineStr">
        <is>
          <t>CÔNG TY TNHH BỆNH VIỆN ĐKTN AN SINH - PHÚC TRƯỜNG MINH</t>
        </is>
      </c>
      <c r="E7610" s="10" t="inlineStr">
        <is>
          <t>Lương:Cạnh tranh</t>
        </is>
      </c>
      <c r="F7610" s="10" t="inlineStr">
        <is>
          <t>Hà Nội</t>
        </is>
      </c>
      <c r="G7610" s="10" t="inlineStr">
        <is>
          <t>03-04-2026</t>
        </is>
      </c>
      <c r="H7610" s="10" t="inlineStr">
        <is>
          <t>03/04/2026</t>
        </is>
      </c>
      <c r="I7610" s="10" t="inlineStr">
        <is>
          <t>17/03/2026</t>
        </is>
      </c>
      <c r="J7610" s="10" t="inlineStr">
        <is>
          <t>Tiếp thị / Marketing</t>
        </is>
      </c>
      <c r="K7610" s="10" t="inlineStr">
        <is>
          <t>3 - 5 Năm</t>
        </is>
      </c>
      <c r="L7610" s="11">
        <f>HYPERLINK("https://careerviet.vn/vi/tim-viec-lam/truong-nhom-thuong-hieu-brand-marketing.35C6A726.html","Xem chi tiết")</f>
        <v/>
      </c>
      <c r="M7610" s="10" t="n"/>
    </row>
    <row r="7611">
      <c r="B7611" s="7" t="n">
        <v>7609</v>
      </c>
      <c r="C7611" t="inlineStr">
        <is>
          <t>NHÂN VIÊN KINH DOANH TẠI HẢI PHÒNG</t>
        </is>
      </c>
      <c r="D7611" t="inlineStr">
        <is>
          <t>Tổng Công Ty Cổ Phần Bảo Hiểm Ngân Hàng TMCP Công Thương Việt Nam</t>
        </is>
      </c>
      <c r="E7611" t="inlineStr">
        <is>
          <t>Lương:Cạnh tranh</t>
        </is>
      </c>
      <c r="F7611" t="inlineStr">
        <is>
          <t>Hải Phòng</t>
        </is>
      </c>
      <c r="G7611" t="inlineStr">
        <is>
          <t>02-04-2026</t>
        </is>
      </c>
      <c r="H7611" t="inlineStr">
        <is>
          <t>02/04/2026</t>
        </is>
      </c>
      <c r="I7611" t="inlineStr">
        <is>
          <t>17/03/2026</t>
        </is>
      </c>
      <c r="J7611" t="inlineStr">
        <is>
          <t>Ngân hàng, Bảo hiểm, Bán hàng / Kinh doanh</t>
        </is>
      </c>
      <c r="K7611" t="inlineStr">
        <is>
          <t>1 - 10 Năm</t>
        </is>
      </c>
      <c r="L7611" s="8">
        <f>HYPERLINK("https://careerviet.vn/vi/tim-viec-lam/nhan-vien-kinh-doanh-tai-hai-phong.35C6A757.html","Xem chi tiết")</f>
        <v/>
      </c>
    </row>
    <row r="7612">
      <c r="B7612" s="9" t="n">
        <v>7610</v>
      </c>
      <c r="C7612" s="10" t="inlineStr">
        <is>
          <t>Giáo Viên Chủ Nhiệm (Ocean Edu Đông Anh) - Trúng Tuyển Đi Làm Luôn</t>
        </is>
      </c>
      <c r="D7612" s="10" t="inlineStr">
        <is>
          <t>Công Ty CP Giáo Dục Đại Dương</t>
        </is>
      </c>
      <c r="E7612" s="10" t="inlineStr">
        <is>
          <t>Lương:Cạnh tranh</t>
        </is>
      </c>
      <c r="F7612" s="10" t="inlineStr">
        <is>
          <t>Hà Nội</t>
        </is>
      </c>
      <c r="G7612" s="10" t="inlineStr">
        <is>
          <t>02-04-2026</t>
        </is>
      </c>
      <c r="H7612" s="10" t="inlineStr">
        <is>
          <t>02/04/2026</t>
        </is>
      </c>
      <c r="I7612" s="10" t="inlineStr">
        <is>
          <t>17/03/2026</t>
        </is>
      </c>
      <c r="J7612" s="10" t="inlineStr">
        <is>
          <t>Giáo dục / Đào tạo, Bán hàng / Kinh doanh, Biên phiên dịch</t>
        </is>
      </c>
      <c r="K7612" s="10" t="inlineStr">
        <is>
          <t>Trên 1 Năm</t>
        </is>
      </c>
      <c r="L7612" s="11">
        <f>HYPERLINK("https://careerviet.vn/vi/tim-viec-lam/giao-vien-chu-nhiem-ocean-edu-dong-anh-trung-tuyen-di-lam-luon.35C6A786.html","Xem chi tiết")</f>
        <v/>
      </c>
      <c r="M7612" s="10" t="n"/>
    </row>
    <row r="7613">
      <c r="B7613" s="7" t="n">
        <v>7611</v>
      </c>
      <c r="C7613" t="inlineStr">
        <is>
          <t>Nhân viên Sales</t>
        </is>
      </c>
      <c r="D7613" t="inlineStr">
        <is>
          <t>Công ty cổ phần Okapi Việt Nam - Thương hiệu thời trang BADASS</t>
        </is>
      </c>
      <c r="E7613" t="inlineStr">
        <is>
          <t>Lương:3 Tr - 9 Tr VND</t>
        </is>
      </c>
      <c r="F7613" t="inlineStr">
        <is>
          <t>Hưng YênPhú ThọThái Nguyên</t>
        </is>
      </c>
      <c r="G7613" t="inlineStr">
        <is>
          <t>04-04-2026</t>
        </is>
      </c>
      <c r="H7613" t="inlineStr">
        <is>
          <t>04/04/2026</t>
        </is>
      </c>
      <c r="I7613" t="inlineStr">
        <is>
          <t>17/03/2026</t>
        </is>
      </c>
      <c r="J7613" t="inlineStr">
        <is>
          <t>Bán hàng / Kinh doanh, Bán lẻ / Bán sỉ, Dệt may / Da giày / Thời trang</t>
        </is>
      </c>
      <c r="K7613" t="inlineStr">
        <is>
          <t>N/A</t>
        </is>
      </c>
      <c r="L7613" s="8">
        <f>HYPERLINK("https://careerviet.vn/vi/tim-viec-lam/nhan-vien-sales.35C6A784.html","Xem chi tiết")</f>
        <v/>
      </c>
    </row>
    <row r="7614">
      <c r="B7614" s="9" t="n">
        <v>7612</v>
      </c>
      <c r="C7614" s="10" t="inlineStr">
        <is>
          <t>Nhân viên bán hàng Quảng Bình</t>
        </is>
      </c>
      <c r="D7614" s="10" t="inlineStr">
        <is>
          <t>CÔNG TY CỔ PHẦN VUA NỆM</t>
        </is>
      </c>
      <c r="E7614" s="10" t="inlineStr">
        <is>
          <t>Lương:8 Tr - 12 Tr VND</t>
        </is>
      </c>
      <c r="F7614" s="10" t="inlineStr">
        <is>
          <t>Quảng Bình</t>
        </is>
      </c>
      <c r="G7614" s="10" t="inlineStr">
        <is>
          <t>16-03-2026</t>
        </is>
      </c>
      <c r="H7614" s="10" t="inlineStr">
        <is>
          <t>15/03/2026</t>
        </is>
      </c>
      <c r="I7614" s="10" t="inlineStr">
        <is>
          <t>17/03/2026</t>
        </is>
      </c>
      <c r="J7614" s="10" t="inlineStr">
        <is>
          <t>Bán hàng / Kinh doanh, Tư vấn, Bán lẻ / Bán sỉ</t>
        </is>
      </c>
      <c r="K7614" s="10" t="inlineStr">
        <is>
          <t>1 - 2 Năm</t>
        </is>
      </c>
      <c r="L7614" s="11">
        <f>HYPERLINK("https://careerviet.vn/vi/tim-viec-lam/nhan-vien-ban-hang-quang-binh.35C6A856.html","Xem chi tiết")</f>
        <v/>
      </c>
      <c r="M7614" s="10" t="n"/>
    </row>
    <row r="7615">
      <c r="B7615" s="7" t="n">
        <v>7613</v>
      </c>
      <c r="C7615" t="inlineStr">
        <is>
          <t>[Miền Tây] Chuyên Viên Tư Vấn Tài Chính - Kênh Liên Doanh Ngân Hàng BIDV</t>
        </is>
      </c>
      <c r="D7615" t="inlineStr">
        <is>
          <t>Công Ty TNHH Bảo Hiểm Nhân Thọ BIDV MetLife</t>
        </is>
      </c>
      <c r="E7615" t="inlineStr">
        <is>
          <t>Lương:Cạnh tranh</t>
        </is>
      </c>
      <c r="F7615" t="inlineStr">
        <is>
          <t>Trà VinhVĩnh LongTiền Giang</t>
        </is>
      </c>
      <c r="G7615" t="inlineStr">
        <is>
          <t>11-04-2026</t>
        </is>
      </c>
      <c r="H7615" t="inlineStr">
        <is>
          <t>11/04/2026</t>
        </is>
      </c>
      <c r="I7615" t="inlineStr">
        <is>
          <t>17/03/2026</t>
        </is>
      </c>
      <c r="J7615" t="inlineStr">
        <is>
          <t>Tư vấn, Ngân hàng, Bán hàng / Kinh doanh</t>
        </is>
      </c>
      <c r="K7615" t="inlineStr">
        <is>
          <t>1 - 3 Năm</t>
        </is>
      </c>
      <c r="L7615" s="8">
        <f>HYPERLINK("https://careerviet.vn/vi/tim-viec-lam/mien-tay-chuyen-vien-tu-van-tai-chinh-kenh-lien-doanh-ngan-hang-bidv.35C6AA13.html","Xem chi tiết")</f>
        <v/>
      </c>
    </row>
    <row r="7616">
      <c r="B7616" s="9" t="n">
        <v>7614</v>
      </c>
      <c r="C7616" s="10" t="inlineStr">
        <is>
          <t>HCM_Telesales/Nhân viên bán hàng qua điện thoại</t>
        </is>
      </c>
      <c r="D7616" s="10" t="inlineStr">
        <is>
          <t>LOTTE FINANCE VIETNAM</t>
        </is>
      </c>
      <c r="E7616" s="10" t="inlineStr">
        <is>
          <t>Lương:Cạnh tranh</t>
        </is>
      </c>
      <c r="F7616" s="10" t="inlineStr">
        <is>
          <t>Hồ Chí Minh</t>
        </is>
      </c>
      <c r="G7616" s="10" t="inlineStr">
        <is>
          <t>02-04-2026</t>
        </is>
      </c>
      <c r="H7616" s="10" t="inlineStr">
        <is>
          <t>02/04/2026</t>
        </is>
      </c>
      <c r="I7616" s="10" t="inlineStr">
        <is>
          <t>17/03/2026</t>
        </is>
      </c>
      <c r="J7616" s="10" t="inlineStr">
        <is>
          <t>Bán hàng / Kinh doanh</t>
        </is>
      </c>
      <c r="K7616" s="10" t="inlineStr">
        <is>
          <t>Trên 1 Năm</t>
        </is>
      </c>
      <c r="L7616" s="11">
        <f>HYPERLINK("https://careerviet.vn/vi/tim-viec-lam/hcm_telesales-nhan-vien-ban-hang-qua-dien-thoai.35C6A88E.html","Xem chi tiết")</f>
        <v/>
      </c>
      <c r="M7616" s="10" t="n"/>
    </row>
    <row r="7617">
      <c r="B7617" s="7" t="n">
        <v>7615</v>
      </c>
      <c r="C7617" t="inlineStr">
        <is>
          <t>Ecommerce Leader</t>
        </is>
      </c>
      <c r="D7617" t="inlineStr">
        <is>
          <t>Công Ty TNHH XNK Phát Triển Đông Dương</t>
        </is>
      </c>
      <c r="E7617" t="inlineStr">
        <is>
          <t>Lương:Cạnh tranh</t>
        </is>
      </c>
      <c r="F7617" t="inlineStr">
        <is>
          <t>Hồ Chí Minh</t>
        </is>
      </c>
      <c r="G7617" t="inlineStr">
        <is>
          <t>02-04-2026</t>
        </is>
      </c>
      <c r="H7617" t="inlineStr">
        <is>
          <t>02/04/2026</t>
        </is>
      </c>
      <c r="I7617" t="inlineStr">
        <is>
          <t>17/03/2026</t>
        </is>
      </c>
      <c r="J7617" t="inlineStr">
        <is>
          <t>Thương mại điện tử, Bán hàng / Kinh doanh, Bán lẻ / Bán sỉ</t>
        </is>
      </c>
      <c r="K7617" t="inlineStr">
        <is>
          <t>3 - 5 Năm</t>
        </is>
      </c>
      <c r="L7617" s="8">
        <f>HYPERLINK("https://careerviet.vn/vi/tim-viec-lam/ecommerce-leader.35C6A874.html","Xem chi tiết")</f>
        <v/>
      </c>
    </row>
    <row r="7618">
      <c r="B7618" s="9" t="n">
        <v>7616</v>
      </c>
      <c r="C7618" s="10" t="inlineStr">
        <is>
          <t>Kế toán kho</t>
        </is>
      </c>
      <c r="D7618" s="10" t="inlineStr">
        <is>
          <t>Công ty TNHH TOM Group Việt Nam</t>
        </is>
      </c>
      <c r="E7618" s="10" t="inlineStr">
        <is>
          <t>Lương:Cạnh tranh</t>
        </is>
      </c>
      <c r="F7618" s="10" t="inlineStr">
        <is>
          <t>Hồ Chí Minh</t>
        </is>
      </c>
      <c r="G7618" s="10" t="inlineStr">
        <is>
          <t>16-04-2026</t>
        </is>
      </c>
      <c r="H7618" s="10" t="inlineStr">
        <is>
          <t>16/04/2026</t>
        </is>
      </c>
      <c r="I7618" s="10" t="inlineStr">
        <is>
          <t>17/03/2026</t>
        </is>
      </c>
      <c r="J7618" s="10" t="inlineStr">
        <is>
          <t>Kế toán / Kiểm toán</t>
        </is>
      </c>
      <c r="K7618" s="10" t="inlineStr">
        <is>
          <t>2 - 4 Năm</t>
        </is>
      </c>
      <c r="L7618" s="11">
        <f>HYPERLINK("https://careerviet.vn/vi/tim-viec-lam/ke-toan-kho.35C6A823.html","Xem chi tiết")</f>
        <v/>
      </c>
      <c r="M7618" s="10" t="n"/>
    </row>
    <row r="7619">
      <c r="B7619" s="7" t="n">
        <v>7617</v>
      </c>
      <c r="C7619" t="inlineStr">
        <is>
          <t>Nhân Viên Kinh Doanh - Thuốc Bảo Vệ Thực Vật</t>
        </is>
      </c>
      <c r="D7619" t="inlineStr">
        <is>
          <t>Công ty TNHH ADC</t>
        </is>
      </c>
      <c r="E7619" t="inlineStr">
        <is>
          <t>Lương:Cạnh tranh</t>
        </is>
      </c>
      <c r="F7619" t="inlineStr">
        <is>
          <t>Long AnTrà VinhTiền Giang</t>
        </is>
      </c>
      <c r="G7619" t="inlineStr">
        <is>
          <t>31-03-2026</t>
        </is>
      </c>
      <c r="H7619" t="inlineStr">
        <is>
          <t>31/03/2026</t>
        </is>
      </c>
      <c r="I7619" t="inlineStr">
        <is>
          <t>17/03/2026</t>
        </is>
      </c>
      <c r="J7619" t="inlineStr">
        <is>
          <t>Bán hàng / Kinh doanh, Nông nghiệp, Tiếp thị / Marketing</t>
        </is>
      </c>
      <c r="K7619" t="inlineStr">
        <is>
          <t>N/A</t>
        </is>
      </c>
      <c r="L7619" s="8">
        <f>HYPERLINK("https://careerviet.vn/vi/tim-viec-lam/nhan-vien-kinh-doanh-thuoc-bao-ve-thuc-vat.35C6A4B1.html","Xem chi tiết")</f>
        <v/>
      </c>
    </row>
    <row r="7620">
      <c r="B7620" s="9" t="n">
        <v>7618</v>
      </c>
      <c r="C7620" s="10" t="inlineStr">
        <is>
          <t>Sales Executive - Kênh GT (Audio &amp; Technology)</t>
        </is>
      </c>
      <c r="D7620" s="10" t="inlineStr">
        <is>
          <t>Công Ty TNHH Phúc Giang</t>
        </is>
      </c>
      <c r="E7620" s="10" t="inlineStr">
        <is>
          <t>Lương:Cạnh tranh</t>
        </is>
      </c>
      <c r="F7620" s="10" t="inlineStr">
        <is>
          <t>Hồ Chí Minh</t>
        </is>
      </c>
      <c r="G7620" s="10" t="inlineStr">
        <is>
          <t>30-04-2026</t>
        </is>
      </c>
      <c r="H7620" s="10" t="inlineStr">
        <is>
          <t>30/04/2026</t>
        </is>
      </c>
      <c r="I7620" s="10" t="inlineStr">
        <is>
          <t>17/03/2026</t>
        </is>
      </c>
      <c r="J7620" s="10" t="inlineStr">
        <is>
          <t>Bán hàng / Kinh doanh, Bán lẻ / Bán sỉ</t>
        </is>
      </c>
      <c r="K7620" s="10" t="inlineStr">
        <is>
          <t>2 - 3 Năm</t>
        </is>
      </c>
      <c r="L7620" s="11">
        <f>HYPERLINK("https://careerviet.vn/vi/tim-viec-lam/sales-executive-kenh-gt-audio-technology.35C6A879.html","Xem chi tiết")</f>
        <v/>
      </c>
      <c r="M7620" s="10" t="n"/>
    </row>
    <row r="7621">
      <c r="B7621" s="7" t="n">
        <v>7619</v>
      </c>
      <c r="C7621" t="inlineStr">
        <is>
          <t>KỸ SƯ ĐIỆN – TỰ ĐỘNG HÓA (NHÀ MÁY BỘT GIẤY) - QUẢNG NGÃI</t>
        </is>
      </c>
      <c r="D7621" t="inlineStr">
        <is>
          <t>TỔNG CÔNG TY CỔ PHẦN THƯƠNG MẠI XÂY DỰNG</t>
        </is>
      </c>
      <c r="E7621" t="inlineStr">
        <is>
          <t>Lương:20 Tr - 30 Tr VND</t>
        </is>
      </c>
      <c r="F7621" t="inlineStr">
        <is>
          <t>Quảng Ngãi</t>
        </is>
      </c>
      <c r="G7621" t="inlineStr">
        <is>
          <t>25-04-2026</t>
        </is>
      </c>
      <c r="H7621" t="inlineStr">
        <is>
          <t>25/04/2026</t>
        </is>
      </c>
      <c r="I7621" t="inlineStr">
        <is>
          <t>17/03/2026</t>
        </is>
      </c>
      <c r="J7621" t="inlineStr">
        <is>
          <t>Điện / Điện tử / Điện lạnh / Điện công nghiệp</t>
        </is>
      </c>
      <c r="K7621" t="inlineStr">
        <is>
          <t>3 - 5 Năm</t>
        </is>
      </c>
      <c r="L7621" s="8">
        <f>HYPERLINK("https://careerviet.vn/vi/tim-viec-lam/ky-su-dien-tu-dong-hoa-nha-may-bot-giay-quang-ngai.35C6A7F8.html","Xem chi tiết")</f>
        <v/>
      </c>
    </row>
    <row r="7622">
      <c r="B7622" s="9" t="n">
        <v>7620</v>
      </c>
      <c r="C7622" s="10" t="inlineStr">
        <is>
          <t>CHUYÊN VIÊN MUA HÀNG (ngành Mỹ Phẩm)</t>
        </is>
      </c>
      <c r="D7622" s="10" t="inlineStr">
        <is>
          <t>CÔNG TY TNHH DEGO HOLDING</t>
        </is>
      </c>
      <c r="E7622" s="10" t="inlineStr">
        <is>
          <t>Lương:Cạnh tranh</t>
        </is>
      </c>
      <c r="F7622" s="10" t="inlineStr">
        <is>
          <t>Hồ Chí Minh</t>
        </is>
      </c>
      <c r="G7622" s="10" t="inlineStr">
        <is>
          <t>03-04-2026</t>
        </is>
      </c>
      <c r="H7622" s="10" t="inlineStr">
        <is>
          <t>03/04/2026</t>
        </is>
      </c>
      <c r="I7622" s="10" t="inlineStr">
        <is>
          <t>17/03/2026</t>
        </is>
      </c>
      <c r="J7622" s="10" t="inlineStr">
        <is>
          <t>Dược phẩm/ Hóa Mỹ Phẩm, Thu mua / Vật tư, Y tế / Chăm sóc sức khỏe / Thẩm mỹ / Làm đẹp</t>
        </is>
      </c>
      <c r="K7622" s="10" t="inlineStr">
        <is>
          <t>2 - 3 Năm</t>
        </is>
      </c>
      <c r="L7622" s="11">
        <f>HYPERLINK("https://careerviet.vn/vi/tim-viec-lam/chuyen-vien-mua-hang-nganh-my-pham.35C6A9B0.html","Xem chi tiết")</f>
        <v/>
      </c>
      <c r="M7622" s="10" t="n"/>
    </row>
    <row r="7623">
      <c r="B7623" s="7" t="n">
        <v>7621</v>
      </c>
      <c r="C7623" t="inlineStr">
        <is>
          <t>Nhân Viên Kế Toán Thuế tại Quận 2</t>
        </is>
      </c>
      <c r="D7623" t="inlineStr">
        <is>
          <t>Công Ty TNHH Tập Đoàn Rita Võ</t>
        </is>
      </c>
      <c r="E7623" t="inlineStr">
        <is>
          <t>Lương:9 Tr - 10 Tr VND</t>
        </is>
      </c>
      <c r="F7623" t="inlineStr">
        <is>
          <t>Hồ Chí Minh</t>
        </is>
      </c>
      <c r="G7623" t="inlineStr">
        <is>
          <t>31-03-2026</t>
        </is>
      </c>
      <c r="H7623" t="inlineStr">
        <is>
          <t>31/03/2026</t>
        </is>
      </c>
      <c r="I7623" t="inlineStr">
        <is>
          <t>17/03/2026</t>
        </is>
      </c>
      <c r="J7623" t="inlineStr">
        <is>
          <t>Kế toán / Kiểm toán</t>
        </is>
      </c>
      <c r="K7623" t="inlineStr">
        <is>
          <t>Trên 1 Năm</t>
        </is>
      </c>
      <c r="L7623" s="8">
        <f>HYPERLINK("https://careerviet.vn/vi/tim-viec-lam/nhan-vien-ke-toan-thue-tai-quan-2.35C6A869.html","Xem chi tiết")</f>
        <v/>
      </c>
    </row>
    <row r="7624">
      <c r="B7624" s="9" t="n">
        <v>7622</v>
      </c>
      <c r="C7624" s="10" t="inlineStr">
        <is>
          <t>[Nguyễn Ảnh Thủ] Admin kiêm CSKH</t>
        </is>
      </c>
      <c r="D7624" s="10" t="inlineStr">
        <is>
          <t>Công Ty Cổ Phần Vacxin Việt Nam</t>
        </is>
      </c>
      <c r="E7624" s="10" t="inlineStr">
        <is>
          <t>Lương:Cạnh tranh</t>
        </is>
      </c>
      <c r="F7624" s="10" t="inlineStr">
        <is>
          <t>Hồ Chí Minh</t>
        </is>
      </c>
      <c r="G7624" s="10" t="inlineStr">
        <is>
          <t>16-03-2026</t>
        </is>
      </c>
      <c r="H7624" s="10" t="inlineStr">
        <is>
          <t>15/03/2026</t>
        </is>
      </c>
      <c r="I7624" s="10" t="inlineStr">
        <is>
          <t>17/03/2026</t>
        </is>
      </c>
      <c r="J7624" s="10" t="inlineStr">
        <is>
          <t>Dịch vụ khách hàng, Hành chính / Thư ký, Kế toán / Kiểm toán</t>
        </is>
      </c>
      <c r="K7624" s="10" t="inlineStr">
        <is>
          <t>1 - 2 Năm</t>
        </is>
      </c>
      <c r="L7624" s="11">
        <f>HYPERLINK("https://careerviet.vn/vi/tim-viec-lam/nguyen-anh-thu-admin-kiem-cskh.35C6A87E.html","Xem chi tiết")</f>
        <v/>
      </c>
      <c r="M7624" s="10" t="n"/>
    </row>
    <row r="7625">
      <c r="B7625" s="7" t="n">
        <v>7623</v>
      </c>
      <c r="C7625" t="inlineStr">
        <is>
          <t>[Agent] Xử Lí Khiếu Nại (Trả Đơn) [GIỜ HÀNH CHÍNH - FULLTIME] - 3/2026</t>
        </is>
      </c>
      <c r="D7625" t="inlineStr">
        <is>
          <t>Công Ty TNHH Việt Mỹ-SSU</t>
        </is>
      </c>
      <c r="E7625" t="inlineStr">
        <is>
          <t>Lương:6 Tr - 9 Tr VND</t>
        </is>
      </c>
      <c r="F7625" t="inlineStr">
        <is>
          <t>Hồ Chí Minh</t>
        </is>
      </c>
      <c r="G7625" t="inlineStr">
        <is>
          <t>04-04-2026</t>
        </is>
      </c>
      <c r="H7625" t="inlineStr">
        <is>
          <t>04/04/2026</t>
        </is>
      </c>
      <c r="I7625" t="inlineStr">
        <is>
          <t>17/03/2026</t>
        </is>
      </c>
      <c r="J7625" t="inlineStr">
        <is>
          <t>Thương mại điện tử, Dịch vụ khách hàng</t>
        </is>
      </c>
      <c r="K7625" t="inlineStr">
        <is>
          <t>1 - 2 Năm</t>
        </is>
      </c>
      <c r="L7625" s="8">
        <f>HYPERLINK("https://careerviet.vn/vi/tim-viec-lam/agent-xu-li-khieu-nai-tra-don-gio-hanh-chinh-fulltime-3-2026.35C6A7A0.html","Xem chi tiết")</f>
        <v/>
      </c>
    </row>
    <row r="7626">
      <c r="B7626" s="9" t="n">
        <v>7624</v>
      </c>
      <c r="C7626" s="10" t="inlineStr">
        <is>
          <t>Logistics Sales Supervisor</t>
        </is>
      </c>
      <c r="D7626" s="10" t="inlineStr">
        <is>
          <t>CÔNG TY CỔ PHẦN ITL FREIGHT MANAGEMENT - CHI NHÁNH MIỀN BẮC</t>
        </is>
      </c>
      <c r="E7626" s="10" t="inlineStr">
        <is>
          <t>Lương:Cạnh tranh</t>
        </is>
      </c>
      <c r="F7626" s="10" t="inlineStr">
        <is>
          <t>Hà Nội</t>
        </is>
      </c>
      <c r="G7626" s="10" t="inlineStr">
        <is>
          <t>31-03-2026</t>
        </is>
      </c>
      <c r="H7626" s="10" t="inlineStr">
        <is>
          <t>31/03/2026</t>
        </is>
      </c>
      <c r="I7626" s="10" t="inlineStr">
        <is>
          <t>17/03/2026</t>
        </is>
      </c>
      <c r="J7626" s="10" t="inlineStr">
        <is>
          <t>Bán hàng / Kinh doanh, Xuất nhập khẩu, Vận chuyển / Giao nhận / Kho vận</t>
        </is>
      </c>
      <c r="K7626" s="10" t="inlineStr">
        <is>
          <t>5 - 7 Năm</t>
        </is>
      </c>
      <c r="L7626" s="11">
        <f>HYPERLINK("https://careerviet.vn/vi/tim-viec-lam/logistics-sales-supervisor.35C6A863.html","Xem chi tiết")</f>
        <v/>
      </c>
      <c r="M7626" s="10" t="n"/>
    </row>
    <row r="7627">
      <c r="B7627" s="7" t="n">
        <v>7625</v>
      </c>
      <c r="C7627" t="inlineStr">
        <is>
          <t>Chuyên viên cấp cao/Chuyên gia Kế toán tổng hợp - Khối Quản trị Tài chính</t>
        </is>
      </c>
      <c r="D7627" t="inlineStr">
        <is>
          <t>Ngân Hàng TMCP Quốc Dân (NCB)</t>
        </is>
      </c>
      <c r="E7627" t="inlineStr">
        <is>
          <t>Lương:Cạnh tranh</t>
        </is>
      </c>
      <c r="F7627" t="inlineStr">
        <is>
          <t>Hà Nội</t>
        </is>
      </c>
      <c r="G7627" t="inlineStr">
        <is>
          <t>03-04-2026</t>
        </is>
      </c>
      <c r="H7627" t="inlineStr">
        <is>
          <t>03/04/2026</t>
        </is>
      </c>
      <c r="I7627" t="inlineStr">
        <is>
          <t>17/03/2026</t>
        </is>
      </c>
      <c r="J7627" t="inlineStr">
        <is>
          <t>Ngân hàng, Kế toán / Kiểm toán</t>
        </is>
      </c>
      <c r="K7627" t="inlineStr">
        <is>
          <t>3 - 4 Năm</t>
        </is>
      </c>
      <c r="L7627" s="8">
        <f>HYPERLINK("https://careerviet.vn/vi/tim-viec-lam/chuyen-vien-cap-cao-chuyen-gia-ke-toan-tong-hop-khoi-quan-tri-tai-chinh.35C6A841.html","Xem chi tiết")</f>
        <v/>
      </c>
    </row>
    <row r="7628">
      <c r="B7628" s="9" t="n">
        <v>7626</v>
      </c>
      <c r="C7628" s="10" t="inlineStr">
        <is>
          <t>Head of Mental Well-being</t>
        </is>
      </c>
      <c r="D7628" s="10" t="inlineStr">
        <is>
          <t>Vietnam Furniture Resources (VFR)</t>
        </is>
      </c>
      <c r="E7628" s="10" t="inlineStr">
        <is>
          <t>Lương:Cạnh tranh</t>
        </is>
      </c>
      <c r="F7628" s="10" t="inlineStr">
        <is>
          <t>Bình Dương</t>
        </is>
      </c>
      <c r="G7628" s="10" t="inlineStr">
        <is>
          <t>31-03-2026</t>
        </is>
      </c>
      <c r="H7628" s="10" t="inlineStr">
        <is>
          <t>31/03/2026</t>
        </is>
      </c>
      <c r="I7628" s="10" t="inlineStr">
        <is>
          <t>17/03/2026</t>
        </is>
      </c>
      <c r="J7628" s="10" t="inlineStr">
        <is>
          <t>Dược phẩm/ Hóa Mỹ Phẩm, Y tế / Chăm sóc sức khỏe / Thẩm mỹ / Làm đẹp, Tư vấn</t>
        </is>
      </c>
      <c r="K7628" s="10" t="inlineStr">
        <is>
          <t>2 - 10 Năm</t>
        </is>
      </c>
      <c r="L7628" s="11">
        <f>HYPERLINK("https://careerviet.vn/vi/tim-viec-lam/head-of-mental-well-being.35C6A85E.html","Xem chi tiết")</f>
        <v/>
      </c>
      <c r="M7628" s="10" t="n"/>
    </row>
    <row r="7629">
      <c r="B7629" s="7" t="n">
        <v>7627</v>
      </c>
      <c r="C7629" t="inlineStr">
        <is>
          <t>Chuyên viên Tư vấn tuyển sinh</t>
        </is>
      </c>
      <c r="D7629" t="inlineStr">
        <is>
          <t>Công ty Cổ Phần Giáo Dục German Link</t>
        </is>
      </c>
      <c r="E7629" t="inlineStr">
        <is>
          <t>Lương:15 Tr - 40 Tr VND</t>
        </is>
      </c>
      <c r="F7629" t="inlineStr">
        <is>
          <t>Hà Nội</t>
        </is>
      </c>
      <c r="G7629" t="inlineStr">
        <is>
          <t>31-03-2026</t>
        </is>
      </c>
      <c r="H7629" t="inlineStr">
        <is>
          <t>31/03/2026</t>
        </is>
      </c>
      <c r="I7629" t="inlineStr">
        <is>
          <t>17/03/2026</t>
        </is>
      </c>
      <c r="J7629" t="inlineStr">
        <is>
          <t>Bán hàng / Kinh doanh, Tư vấn, Giáo dục / Đào tạo</t>
        </is>
      </c>
      <c r="K7629" t="inlineStr">
        <is>
          <t>Lên đến 2 Năm</t>
        </is>
      </c>
      <c r="L7629" s="8">
        <f>HYPERLINK("https://careerviet.vn/vi/tim-viec-lam/chuyen-vien-tu-van-tuyen-sinh.35C6A7A7.html","Xem chi tiết")</f>
        <v/>
      </c>
    </row>
    <row r="7630">
      <c r="B7630" s="9" t="n">
        <v>7628</v>
      </c>
      <c r="C7630" s="10" t="inlineStr">
        <is>
          <t>Kế toán giá thành</t>
        </is>
      </c>
      <c r="D7630" s="10" t="inlineStr">
        <is>
          <t>Công ty TNHH TOM Group Việt Nam</t>
        </is>
      </c>
      <c r="E7630" s="10" t="inlineStr">
        <is>
          <t>Lương:Cạnh tranh</t>
        </is>
      </c>
      <c r="F7630" s="10" t="inlineStr">
        <is>
          <t>Hồ Chí Minh</t>
        </is>
      </c>
      <c r="G7630" s="10" t="inlineStr">
        <is>
          <t>15-04-2026</t>
        </is>
      </c>
      <c r="H7630" s="10" t="inlineStr">
        <is>
          <t>15/04/2026</t>
        </is>
      </c>
      <c r="I7630" s="10" t="inlineStr">
        <is>
          <t>17/03/2026</t>
        </is>
      </c>
      <c r="J7630" s="10" t="inlineStr">
        <is>
          <t>Kế toán / Kiểm toán</t>
        </is>
      </c>
      <c r="K7630" s="10" t="inlineStr">
        <is>
          <t>2 - 4 Năm</t>
        </is>
      </c>
      <c r="L7630" s="11">
        <f>HYPERLINK("https://careerviet.vn/vi/tim-viec-lam/ke-toan-gia-thanh.35C6A82A.html","Xem chi tiết")</f>
        <v/>
      </c>
      <c r="M7630" s="10" t="n"/>
    </row>
    <row r="7631">
      <c r="B7631" s="7" t="n">
        <v>7629</v>
      </c>
      <c r="C7631" t="inlineStr">
        <is>
          <t>Nhân Viên Lễ Tân Tòa Nhà</t>
        </is>
      </c>
      <c r="D7631" t="inlineStr">
        <is>
          <t>Công Ty Cổ Phần Tập Đoàn Trung Thủy</t>
        </is>
      </c>
      <c r="E7631" t="inlineStr">
        <is>
          <t>Lương:8 Tr - 10 Tr VND</t>
        </is>
      </c>
      <c r="F7631" t="inlineStr">
        <is>
          <t>Hà Nội</t>
        </is>
      </c>
      <c r="G7631" t="inlineStr">
        <is>
          <t>03-04-2026</t>
        </is>
      </c>
      <c r="H7631" t="inlineStr">
        <is>
          <t>03/04/2026</t>
        </is>
      </c>
      <c r="I7631" t="inlineStr">
        <is>
          <t>17/03/2026</t>
        </is>
      </c>
      <c r="J7631" t="inlineStr">
        <is>
          <t>Dịch vụ khách hàng, Bất động sản, Nhà hàng / Khách sạn</t>
        </is>
      </c>
      <c r="K7631" t="inlineStr">
        <is>
          <t>Trên 1 Năm</t>
        </is>
      </c>
      <c r="L7631" s="8">
        <f>HYPERLINK("https://careerviet.vn/vi/tim-viec-lam/nhan-vien-le-tan-toa-nha.35C6A779.html","Xem chi tiết")</f>
        <v/>
      </c>
    </row>
    <row r="7632">
      <c r="B7632" s="9" t="n">
        <v>7630</v>
      </c>
      <c r="C7632" s="10" t="inlineStr">
        <is>
          <t>Chuyên viên Kiểm soát Nội bộ</t>
        </is>
      </c>
      <c r="D7632" s="10" t="inlineStr">
        <is>
          <t>Công Ty Cổ Phần Quốc Tế Sơn Hà</t>
        </is>
      </c>
      <c r="E7632" s="10" t="inlineStr">
        <is>
          <t>Lương:Cạnh tranh</t>
        </is>
      </c>
      <c r="F7632" s="10" t="inlineStr">
        <is>
          <t>Hà Nội</t>
        </is>
      </c>
      <c r="G7632" s="10" t="inlineStr">
        <is>
          <t>02-04-2026</t>
        </is>
      </c>
      <c r="H7632" s="10" t="inlineStr">
        <is>
          <t>02/04/2026</t>
        </is>
      </c>
      <c r="I7632" s="10" t="inlineStr">
        <is>
          <t>17/03/2026</t>
        </is>
      </c>
      <c r="J7632" s="10" t="inlineStr">
        <is>
          <t>Kế toán / Kiểm toán</t>
        </is>
      </c>
      <c r="K7632" s="10" t="inlineStr">
        <is>
          <t>2 - 5 Năm</t>
        </is>
      </c>
      <c r="L7632" s="11">
        <f>HYPERLINK("https://careerviet.vn/vi/tim-viec-lam/chuyen-vien-kiem-soat-noi-bo.35C6A84A.html","Xem chi tiết")</f>
        <v/>
      </c>
      <c r="M7632" s="10" t="n"/>
    </row>
    <row r="7633">
      <c r="B7633" s="7" t="n">
        <v>7631</v>
      </c>
      <c r="C7633" t="inlineStr">
        <is>
          <t>Nhân viên Đấu thầu</t>
        </is>
      </c>
      <c r="D7633" t="inlineStr">
        <is>
          <t>Tổng Công ty Cổ phần Công trình Viettel</t>
        </is>
      </c>
      <c r="E7633" t="inlineStr">
        <is>
          <t>Lương:Cạnh tranh</t>
        </is>
      </c>
      <c r="F7633" t="inlineStr">
        <is>
          <t>Hà Nội</t>
        </is>
      </c>
      <c r="G7633" t="inlineStr">
        <is>
          <t>02-04-2026</t>
        </is>
      </c>
      <c r="H7633" t="inlineStr">
        <is>
          <t>02/04/2026</t>
        </is>
      </c>
      <c r="I7633" t="inlineStr">
        <is>
          <t>17/03/2026</t>
        </is>
      </c>
      <c r="J7633" t="inlineStr">
        <is>
          <t>Xây dựng</t>
        </is>
      </c>
      <c r="K7633" t="inlineStr">
        <is>
          <t>Trên 2 Năm</t>
        </is>
      </c>
      <c r="L7633" s="8">
        <f>HYPERLINK("https://careerviet.vn/vi/tim-viec-lam/nhan-vien-dau-thau.35C6A839.html","Xem chi tiết")</f>
        <v/>
      </c>
    </row>
    <row r="7634">
      <c r="B7634" s="9" t="n">
        <v>7632</v>
      </c>
      <c r="C7634" s="10" t="inlineStr">
        <is>
          <t>[Hà Nội] Trợ lý phòng thí nghiệm</t>
        </is>
      </c>
      <c r="D7634" s="10" t="inlineStr">
        <is>
          <t>The University of Sydney Vietnam Institute</t>
        </is>
      </c>
      <c r="E7634" s="10" t="inlineStr">
        <is>
          <t>Lương:Cạnh tranh</t>
        </is>
      </c>
      <c r="F7634" s="10" t="inlineStr">
        <is>
          <t>Hà Nội</t>
        </is>
      </c>
      <c r="G7634" s="10" t="inlineStr">
        <is>
          <t>03-04-2026</t>
        </is>
      </c>
      <c r="H7634" s="10" t="inlineStr">
        <is>
          <t>03/04/2026</t>
        </is>
      </c>
      <c r="I7634" s="10" t="inlineStr">
        <is>
          <t>17/03/2026</t>
        </is>
      </c>
      <c r="J7634" s="10" t="inlineStr">
        <is>
          <t>Y tế / Chăm sóc sức khỏe / Thẩm mỹ / Làm đẹp, Phi chính phủ / Phi lợi nhuận</t>
        </is>
      </c>
      <c r="K7634" s="10" t="inlineStr">
        <is>
          <t>1 - 2 Năm</t>
        </is>
      </c>
      <c r="L7634" s="11">
        <f>HYPERLINK("https://careerviet.vn/vi/tim-viec-lam/ha-noi-tro-ly-phong-thi-nghiem.35C6A60D.html","Xem chi tiết")</f>
        <v/>
      </c>
      <c r="M7634" s="10" t="n"/>
    </row>
    <row r="7635">
      <c r="B7635" s="7" t="n">
        <v>7633</v>
      </c>
      <c r="C7635" t="inlineStr">
        <is>
          <t>LEGAL OFFICER</t>
        </is>
      </c>
      <c r="D7635" t="inlineStr">
        <is>
          <t>CÔNG TY TNHH CRYSTAL ELEGANCE TEXTILES VIỆT NAM</t>
        </is>
      </c>
      <c r="E7635" t="inlineStr">
        <is>
          <t>Lương:Cạnh tranh</t>
        </is>
      </c>
      <c r="F7635" t="inlineStr">
        <is>
          <t>Bình Dương</t>
        </is>
      </c>
      <c r="G7635" t="inlineStr">
        <is>
          <t>30-04-2026</t>
        </is>
      </c>
      <c r="H7635" t="inlineStr">
        <is>
          <t>30/04/2026</t>
        </is>
      </c>
      <c r="I7635" t="inlineStr">
        <is>
          <t>17/03/2026</t>
        </is>
      </c>
      <c r="J7635" t="inlineStr">
        <is>
          <t>Luật / Pháp lý, Xây dựng, Bất động sản</t>
        </is>
      </c>
      <c r="K7635" t="inlineStr">
        <is>
          <t>4 - 5 Năm</t>
        </is>
      </c>
      <c r="L7635" s="8">
        <f>HYPERLINK("https://careerviet.vn/vi/tim-viec-lam/legal-officer.35C6A807.html","Xem chi tiết")</f>
        <v/>
      </c>
    </row>
    <row r="7636">
      <c r="B7636" s="9" t="n">
        <v>7634</v>
      </c>
      <c r="C7636" s="10" t="inlineStr">
        <is>
          <t>Nhân viên kế toán thanh toán</t>
        </is>
      </c>
      <c r="D7636" s="10" t="inlineStr">
        <is>
          <t>Công Ty Cổ Phần Tập Đoàn TH</t>
        </is>
      </c>
      <c r="E7636" s="10" t="inlineStr">
        <is>
          <t>Lương:Cạnh tranh</t>
        </is>
      </c>
      <c r="F7636" s="10" t="inlineStr">
        <is>
          <t>Phú Yên</t>
        </is>
      </c>
      <c r="G7636" s="10" t="inlineStr">
        <is>
          <t>3</t>
        </is>
      </c>
      <c r="H7636" s="10" t="inlineStr">
        <is>
          <t>20/03/2026</t>
        </is>
      </c>
      <c r="I7636" s="10" t="inlineStr">
        <is>
          <t>17/03/2026</t>
        </is>
      </c>
      <c r="J7636" s="10" t="inlineStr">
        <is>
          <t>Kế toán / Kiểm toán, Tài chính / Đầu tư, Ngân hàng</t>
        </is>
      </c>
      <c r="K7636" s="10" t="inlineStr">
        <is>
          <t>Trên 2 Năm</t>
        </is>
      </c>
      <c r="L7636" s="11">
        <f>HYPERLINK("https://careerviet.vn/vi/tim-viec-lam/nhan-vien-ke-toan-thanh-toan.35C6A847.html","Xem chi tiết")</f>
        <v/>
      </c>
      <c r="M7636" s="10" t="n"/>
    </row>
    <row r="7637">
      <c r="B7637" s="7" t="n">
        <v>7635</v>
      </c>
      <c r="C7637" t="inlineStr">
        <is>
          <t>Trợ lý dự án</t>
        </is>
      </c>
      <c r="D7637" t="inlineStr">
        <is>
          <t>Công ty Cổ phần Thiết kế và Quản lý Kỹ thuật IMP</t>
        </is>
      </c>
      <c r="E7637" t="inlineStr">
        <is>
          <t>Lương:10 Tr - 12 Tr VND</t>
        </is>
      </c>
      <c r="F7637" t="inlineStr">
        <is>
          <t>Bình Dương</t>
        </is>
      </c>
      <c r="G7637" t="inlineStr">
        <is>
          <t>31-03-2026</t>
        </is>
      </c>
      <c r="H7637" t="inlineStr">
        <is>
          <t>31/03/2026</t>
        </is>
      </c>
      <c r="I7637" t="inlineStr">
        <is>
          <t>17/03/2026</t>
        </is>
      </c>
      <c r="J7637" t="inlineStr">
        <is>
          <t>Hành chính / Thư ký</t>
        </is>
      </c>
      <c r="K7637" t="inlineStr">
        <is>
          <t>1 - 2 Năm</t>
        </is>
      </c>
      <c r="L7637" s="8">
        <f>HYPERLINK("https://careerviet.vn/vi/tim-viec-lam/tro-ly-du-an.35C6A824.html","Xem chi tiết")</f>
        <v/>
      </c>
    </row>
    <row r="7638">
      <c r="B7638" s="9" t="n">
        <v>7636</v>
      </c>
      <c r="C7638" s="10" t="inlineStr">
        <is>
          <t>Nhân viên Điều phối kho</t>
        </is>
      </c>
      <c r="D7638" s="10" t="inlineStr">
        <is>
          <t>Công ty TNHH Việt Dũng Sài Gòn</t>
        </is>
      </c>
      <c r="E7638" s="10" t="inlineStr">
        <is>
          <t>Lương:8,5 Tr - 10 Tr VND</t>
        </is>
      </c>
      <c r="F7638" s="10" t="inlineStr">
        <is>
          <t>Hồ Chí Minh</t>
        </is>
      </c>
      <c r="G7638" s="10" t="inlineStr">
        <is>
          <t>31-03-2026</t>
        </is>
      </c>
      <c r="H7638" s="10" t="inlineStr">
        <is>
          <t>31/03/2026</t>
        </is>
      </c>
      <c r="I7638" s="10" t="inlineStr">
        <is>
          <t>17/03/2026</t>
        </is>
      </c>
      <c r="J7638" s="10" t="inlineStr">
        <is>
          <t>Vận chuyển / Giao nhận / Kho vận, Lao động phổ thông, Sản xuất / Vận hành sản xuất</t>
        </is>
      </c>
      <c r="K7638" s="10" t="inlineStr">
        <is>
          <t>1 - 2 Năm</t>
        </is>
      </c>
      <c r="L7638" s="11">
        <f>HYPERLINK("https://careerviet.vn/vi/tim-viec-lam/nhan-vien-dieu-phoi-kho.35C6A7EE.html","Xem chi tiết")</f>
        <v/>
      </c>
      <c r="M7638" s="10" t="n"/>
    </row>
    <row r="7639">
      <c r="B7639" s="7" t="n">
        <v>7637</v>
      </c>
      <c r="C7639" t="inlineStr">
        <is>
          <t>Trưởng phòng Kế hoạch và Vận hành</t>
        </is>
      </c>
      <c r="D7639" t="inlineStr">
        <is>
          <t>Công ty TNHH TOM Group Việt Nam</t>
        </is>
      </c>
      <c r="E7639" t="inlineStr">
        <is>
          <t>Lương:Cạnh tranh</t>
        </is>
      </c>
      <c r="F7639" t="inlineStr">
        <is>
          <t>Hồ Chí Minh</t>
        </is>
      </c>
      <c r="G7639" t="inlineStr">
        <is>
          <t>05-05-2026</t>
        </is>
      </c>
      <c r="H7639" t="inlineStr">
        <is>
          <t>05/05/2026</t>
        </is>
      </c>
      <c r="I7639" t="inlineStr">
        <is>
          <t>17/03/2026</t>
        </is>
      </c>
      <c r="J7639" t="inlineStr">
        <is>
          <t>Vận chuyển / Giao nhận / Kho vận, Sản xuất / Vận hành sản xuất, Quản lý chất lượng (QA/QC)</t>
        </is>
      </c>
      <c r="K7639" t="inlineStr">
        <is>
          <t>3 - 7 Năm</t>
        </is>
      </c>
      <c r="L7639" s="8">
        <f>HYPERLINK("https://careerviet.vn/vi/tim-viec-lam/truong-phong-ke-hoach-va-van-hanh.35C6A71F.html","Xem chi tiết")</f>
        <v/>
      </c>
    </row>
    <row r="7640">
      <c r="B7640" s="9" t="n">
        <v>7638</v>
      </c>
      <c r="C7640" s="10" t="inlineStr">
        <is>
          <t>Tài xế lái xe ô tô 7 chỗ</t>
        </is>
      </c>
      <c r="D7640" s="10" t="inlineStr">
        <is>
          <t>Công Ty Cổ Phần Năng Lượng Mặt Trời Nami</t>
        </is>
      </c>
      <c r="E7640" s="10" t="inlineStr">
        <is>
          <t>Lương:15 Tr - 16 Tr VND</t>
        </is>
      </c>
      <c r="F7640" s="10" t="inlineStr">
        <is>
          <t>Hồ Chí Minh</t>
        </is>
      </c>
      <c r="G7640" s="10" t="inlineStr">
        <is>
          <t>01-04-2026</t>
        </is>
      </c>
      <c r="H7640" s="10" t="inlineStr">
        <is>
          <t>01/04/2026</t>
        </is>
      </c>
      <c r="I7640" s="10" t="inlineStr">
        <is>
          <t>17/03/2026</t>
        </is>
      </c>
      <c r="J7640" s="10" t="inlineStr">
        <is>
          <t>Ngành khác</t>
        </is>
      </c>
      <c r="K7640" s="10" t="inlineStr">
        <is>
          <t>5 - 10 Năm</t>
        </is>
      </c>
      <c r="L7640" s="11">
        <f>HYPERLINK("https://careerviet.vn/vi/tim-viec-lam/tai-xe-lai-xe-o-to-7-cho.35C6A759.html","Xem chi tiết")</f>
        <v/>
      </c>
      <c r="M7640" s="10" t="n"/>
    </row>
    <row r="7641">
      <c r="B7641" s="7" t="n">
        <v>7639</v>
      </c>
      <c r="C7641" t="inlineStr">
        <is>
          <t>CHUYÊN VIÊN KHÁCH HÀNG CÁ NHÂN - PGD SÔNG HINH - CHI NHÁNH PHÚ YÊN - KHU VỰC MIỀN TRUNG &amp; TÂY NGUYÊN</t>
        </is>
      </c>
      <c r="D7641" t="inlineStr">
        <is>
          <t>NGÂN HÀNG TMCP SÀI GÒN THƯƠNG TÍN (SACOMBANK)</t>
        </is>
      </c>
      <c r="E7641" t="inlineStr">
        <is>
          <t>Lương:Cạnh tranh</t>
        </is>
      </c>
      <c r="F7641" t="inlineStr">
        <is>
          <t>Phú Yên</t>
        </is>
      </c>
      <c r="G7641" t="inlineStr">
        <is>
          <t>28-03-2026</t>
        </is>
      </c>
      <c r="H7641" t="inlineStr">
        <is>
          <t>28/03/2026</t>
        </is>
      </c>
      <c r="I7641" t="inlineStr">
        <is>
          <t>17/03/2026</t>
        </is>
      </c>
      <c r="J7641" t="inlineStr">
        <is>
          <t>Ngân hàng, Bảo hiểm, Tài chính / Đầu tư</t>
        </is>
      </c>
      <c r="K7641" t="inlineStr">
        <is>
          <t>N/A</t>
        </is>
      </c>
      <c r="L7641" s="8">
        <f>HYPERLINK("https://careerviet.vn/vi/tim-viec-lam/chuyen-vien-khach-hang-ca-nhan-pgd-song-hinh-chi-nhanh-phu-yen-khu-vuc-mien-trung-tay-nguyen.35C6A815.html","Xem chi tiết")</f>
        <v/>
      </c>
    </row>
    <row r="7642">
      <c r="B7642" s="9" t="n">
        <v>7640</v>
      </c>
      <c r="C7642" s="10" t="inlineStr">
        <is>
          <t>CSKH Ví Điện Tử ShopeePay (Sinh viên mới ra trường) - Thu nhập 8tr</t>
        </is>
      </c>
      <c r="D7642" s="10" t="inlineStr">
        <is>
          <t>Công Ty TNHH Việt Mỹ-SSU</t>
        </is>
      </c>
      <c r="E7642" s="10" t="inlineStr">
        <is>
          <t>Lương:6 Tr - 8 Tr VND</t>
        </is>
      </c>
      <c r="F7642" s="10" t="inlineStr">
        <is>
          <t>Hồ Chí Minh</t>
        </is>
      </c>
      <c r="G7642" s="10" t="inlineStr">
        <is>
          <t>11-04-2026</t>
        </is>
      </c>
      <c r="H7642" s="10" t="inlineStr">
        <is>
          <t>11/04/2026</t>
        </is>
      </c>
      <c r="I7642" s="10" t="inlineStr">
        <is>
          <t>17/03/2026</t>
        </is>
      </c>
      <c r="J7642" s="10" t="inlineStr">
        <is>
          <t>Thương mại điện tử</t>
        </is>
      </c>
      <c r="K7642" s="10" t="inlineStr">
        <is>
          <t>N/A</t>
        </is>
      </c>
      <c r="L7642" s="11">
        <f>HYPERLINK("https://careerviet.vn/vi/tim-viec-lam/cskh-vi-dien-tu-shopeepay-sinh-vien-moi-ra-truong-thu-nhap-8tr.35C6BB33.html","Xem chi tiết")</f>
        <v/>
      </c>
      <c r="M7642" s="10" t="n"/>
    </row>
    <row r="7643">
      <c r="B7643" s="7" t="n">
        <v>7641</v>
      </c>
      <c r="C7643" t="inlineStr">
        <is>
          <t>Senior IT Security Officer (mảng Pentest)</t>
        </is>
      </c>
      <c r="D7643" t="inlineStr">
        <is>
          <t>LOTTE FINANCE VIETNAM</t>
        </is>
      </c>
      <c r="E7643" t="inlineStr">
        <is>
          <t>Lương:Cạnh tranh</t>
        </is>
      </c>
      <c r="F7643" t="inlineStr">
        <is>
          <t>Hà Nội</t>
        </is>
      </c>
      <c r="G7643" t="inlineStr">
        <is>
          <t>02-04-2026</t>
        </is>
      </c>
      <c r="H7643" t="inlineStr">
        <is>
          <t>02/04/2026</t>
        </is>
      </c>
      <c r="I7643" t="inlineStr">
        <is>
          <t>17/03/2026</t>
        </is>
      </c>
      <c r="J7643" t="inlineStr">
        <is>
          <t>CNTT - Phần mềm</t>
        </is>
      </c>
      <c r="K7643" t="inlineStr">
        <is>
          <t>2 - 5 Năm</t>
        </is>
      </c>
      <c r="L7643" s="8">
        <f>HYPERLINK("https://careerviet.vn/vi/tim-viec-lam/senior-it-security-officer-mang-pentest.35C6A826.html","Xem chi tiết")</f>
        <v/>
      </c>
    </row>
    <row r="7644">
      <c r="B7644" s="9" t="n">
        <v>7642</v>
      </c>
      <c r="C7644" s="10" t="inlineStr">
        <is>
          <t>Kế toán tổng hợp – Bách hóa</t>
        </is>
      </c>
      <c r="D7644" s="10" t="inlineStr">
        <is>
          <t>Công ty TNHH TOM Group Việt Nam</t>
        </is>
      </c>
      <c r="E7644" s="10" t="inlineStr">
        <is>
          <t>Lương:Cạnh tranh</t>
        </is>
      </c>
      <c r="F7644" s="10" t="inlineStr">
        <is>
          <t>Hồ Chí Minh</t>
        </is>
      </c>
      <c r="G7644" s="10" t="inlineStr">
        <is>
          <t>21-04-2026</t>
        </is>
      </c>
      <c r="H7644" s="10" t="inlineStr">
        <is>
          <t>21/04/2026</t>
        </is>
      </c>
      <c r="I7644" s="10" t="inlineStr">
        <is>
          <t>17/03/2026</t>
        </is>
      </c>
      <c r="J7644" s="10" t="inlineStr">
        <is>
          <t>Kế toán / Kiểm toán</t>
        </is>
      </c>
      <c r="K7644" s="10" t="inlineStr">
        <is>
          <t>2 - 4 Năm</t>
        </is>
      </c>
      <c r="L7644" s="11">
        <f>HYPERLINK("https://careerviet.vn/vi/tim-viec-lam/ke-toan-tong-hop-bach-hoa.35C6A820.html","Xem chi tiết")</f>
        <v/>
      </c>
      <c r="M7644" s="10" t="n"/>
    </row>
    <row r="7645">
      <c r="B7645" s="7" t="n">
        <v>7643</v>
      </c>
      <c r="C7645" t="inlineStr">
        <is>
          <t>Merchandising Officer (Sourcing)</t>
        </is>
      </c>
      <c r="D7645" t="inlineStr">
        <is>
          <t>MOTIVES VIETNAM CORPORATION</t>
        </is>
      </c>
      <c r="E7645" t="inlineStr">
        <is>
          <t>Lương:Cạnh tranh</t>
        </is>
      </c>
      <c r="F7645" t="inlineStr">
        <is>
          <t>Hồ Chí Minh</t>
        </is>
      </c>
      <c r="G7645" t="inlineStr">
        <is>
          <t>30-04-2026</t>
        </is>
      </c>
      <c r="H7645" t="inlineStr">
        <is>
          <t>30/04/2026</t>
        </is>
      </c>
      <c r="I7645" t="inlineStr">
        <is>
          <t>17/03/2026</t>
        </is>
      </c>
      <c r="J7645" t="inlineStr">
        <is>
          <t>Dệt may / Da giày / Thời trang, Thu mua / Vật tư</t>
        </is>
      </c>
      <c r="K7645" t="inlineStr">
        <is>
          <t>2 - 3 Năm</t>
        </is>
      </c>
      <c r="L7645" s="8">
        <f>HYPERLINK("https://careerviet.vn/vi/tim-viec-lam/merchandising-officer-sourcing.35C6BDA4.html","Xem chi tiết")</f>
        <v/>
      </c>
    </row>
    <row r="7646">
      <c r="B7646" s="9" t="n">
        <v>7644</v>
      </c>
      <c r="C7646" s="10" t="inlineStr">
        <is>
          <t>CHUYÊN VIÊN CAO CẤP - QUY HOẠCH VÀ PHÁT TRIỂN DỰ ÁN</t>
        </is>
      </c>
      <c r="D7646" s="10" t="inlineStr">
        <is>
          <t>TỔNG CÔNG TY CỔ PHẦN THƯƠNG MẠI XÂY DỰNG</t>
        </is>
      </c>
      <c r="E7646" s="10" t="inlineStr">
        <is>
          <t>Lương:25 Tr - 35 Tr VND</t>
        </is>
      </c>
      <c r="F7646" s="10" t="inlineStr">
        <is>
          <t>Hà Nội</t>
        </is>
      </c>
      <c r="G7646" s="10" t="inlineStr">
        <is>
          <t>16-03-2026</t>
        </is>
      </c>
      <c r="H7646" s="10" t="inlineStr">
        <is>
          <t>08/03/2026</t>
        </is>
      </c>
      <c r="I7646" s="10" t="inlineStr">
        <is>
          <t>17/03/2026</t>
        </is>
      </c>
      <c r="J7646" s="10" t="inlineStr">
        <is>
          <t>Bất động sản</t>
        </is>
      </c>
      <c r="K7646" s="10" t="inlineStr">
        <is>
          <t>5 - 10 Năm</t>
        </is>
      </c>
      <c r="L7646" s="11">
        <f>HYPERLINK("https://careerviet.vn/vi/tim-viec-lam/chuyen-vien-cao-cap-quy-hoach-va-phat-trien-du-an.35C6A7F5.html","Xem chi tiết")</f>
        <v/>
      </c>
      <c r="M7646" s="10" t="n"/>
    </row>
    <row r="7647">
      <c r="B7647" s="7" t="n">
        <v>7645</v>
      </c>
      <c r="C7647" t="inlineStr">
        <is>
          <t>[Cần Thơ] Chuyên viên Xét nghiệm</t>
        </is>
      </c>
      <c r="D7647" t="inlineStr">
        <is>
          <t>The University of Sydney Vietnam Institute</t>
        </is>
      </c>
      <c r="E7647" t="inlineStr">
        <is>
          <t>Lương:Cạnh tranh</t>
        </is>
      </c>
      <c r="F7647" t="inlineStr">
        <is>
          <t>Cần Thơ</t>
        </is>
      </c>
      <c r="G7647" t="inlineStr">
        <is>
          <t>09-04-2026</t>
        </is>
      </c>
      <c r="H7647" t="inlineStr">
        <is>
          <t>09/04/2026</t>
        </is>
      </c>
      <c r="I7647" t="inlineStr">
        <is>
          <t>17/03/2026</t>
        </is>
      </c>
      <c r="J7647" t="inlineStr">
        <is>
          <t>Y tế / Chăm sóc sức khỏe / Thẩm mỹ / Làm đẹp</t>
        </is>
      </c>
      <c r="K7647" t="inlineStr">
        <is>
          <t>1 - 3 Năm</t>
        </is>
      </c>
      <c r="L7647" s="8">
        <f>HYPERLINK("https://careerviet.vn/vi/tim-viec-lam/can-tho-chuyen-vien-xet-nghiem.35C6BCD0.html","Xem chi tiết")</f>
        <v/>
      </c>
    </row>
    <row r="7648">
      <c r="B7648" s="9" t="n">
        <v>7646</v>
      </c>
      <c r="C7648" s="10" t="inlineStr">
        <is>
          <t>Molding Process Engineer - Nhơn Trạch (đi ca 12 tiếng)</t>
        </is>
      </c>
      <c r="D7648" s="10" t="inlineStr">
        <is>
          <t>Summit Polymers Vietnam Co Ltd.</t>
        </is>
      </c>
      <c r="E7648" s="10" t="inlineStr">
        <is>
          <t>Lương:Cạnh tranh</t>
        </is>
      </c>
      <c r="F7648" s="10" t="inlineStr">
        <is>
          <t>Đồng Nai</t>
        </is>
      </c>
      <c r="G7648" s="10" t="inlineStr">
        <is>
          <t>03-04-2026</t>
        </is>
      </c>
      <c r="H7648" s="10" t="inlineStr">
        <is>
          <t>03/04/2026</t>
        </is>
      </c>
      <c r="I7648" s="10" t="inlineStr">
        <is>
          <t>17/03/2026</t>
        </is>
      </c>
      <c r="J7648" s="10" t="inlineStr">
        <is>
          <t>Cơ khí / Ô tô / Tự động hóa, Điện / Điện tử / Điện lạnh / Điện công nghiệp, Sản xuất / Vận hành sản xuất</t>
        </is>
      </c>
      <c r="K7648" s="10" t="inlineStr">
        <is>
          <t>2 - 3 Năm</t>
        </is>
      </c>
      <c r="L7648" s="11">
        <f>HYPERLINK("https://careerviet.vn/vi/tim-viec-lam/molding-process-engineer-nhon-trach-di-ca-12-tieng.35C6A7D8.html","Xem chi tiết")</f>
        <v/>
      </c>
      <c r="M7648" s="10" t="n"/>
    </row>
    <row r="7649">
      <c r="B7649" s="7" t="n">
        <v>7647</v>
      </c>
      <c r="C7649" t="inlineStr">
        <is>
          <t>TRƯỞNG PHÒNG TÀI CHÍNH</t>
        </is>
      </c>
      <c r="D7649" t="inlineStr">
        <is>
          <t>CÔNG TY TNHH ĐẦU TƯ ITS</t>
        </is>
      </c>
      <c r="E7649" t="inlineStr">
        <is>
          <t>Lương:35 Tr - 45 Tr VND</t>
        </is>
      </c>
      <c r="F7649" t="inlineStr">
        <is>
          <t>Hồ Chí Minh</t>
        </is>
      </c>
      <c r="G7649" t="inlineStr">
        <is>
          <t>30-04-2026</t>
        </is>
      </c>
      <c r="H7649" t="inlineStr">
        <is>
          <t>30/04/2026</t>
        </is>
      </c>
      <c r="I7649" t="inlineStr">
        <is>
          <t>17/03/2026</t>
        </is>
      </c>
      <c r="J7649" t="inlineStr">
        <is>
          <t>Tài chính / Đầu tư</t>
        </is>
      </c>
      <c r="K7649" t="inlineStr">
        <is>
          <t>4 - 8 Năm</t>
        </is>
      </c>
      <c r="L7649" s="8">
        <f>HYPERLINK("https://careerviet.vn/vi/tim-viec-lam/truong-phong-tai-chinh.35C6BB93.html","Xem chi tiết")</f>
        <v/>
      </c>
    </row>
    <row r="7650">
      <c r="B7650" s="9" t="n">
        <v>7648</v>
      </c>
      <c r="C7650" s="10" t="inlineStr">
        <is>
          <t>Chuyên viên Phát triển dự án (CĐT Bất động sản - làm việc tại Hà Nội)</t>
        </is>
      </c>
      <c r="D7650" s="10" t="inlineStr">
        <is>
          <t>Công ty Cổ phần Tập đoàn KITA Group</t>
        </is>
      </c>
      <c r="E7650" s="10" t="inlineStr">
        <is>
          <t>Lương:22 Tr - 28 Tr VND</t>
        </is>
      </c>
      <c r="F7650" s="10" t="inlineStr">
        <is>
          <t>Hà Nội</t>
        </is>
      </c>
      <c r="G7650" s="10" t="inlineStr">
        <is>
          <t>30-04-2026</t>
        </is>
      </c>
      <c r="H7650" s="10" t="inlineStr">
        <is>
          <t>30/04/2026</t>
        </is>
      </c>
      <c r="I7650" s="10" t="inlineStr">
        <is>
          <t>17/03/2026</t>
        </is>
      </c>
      <c r="J7650" s="10" t="inlineStr">
        <is>
          <t>Luật / Pháp lý, Xây dựng, Bất động sản</t>
        </is>
      </c>
      <c r="K7650" s="10" t="inlineStr">
        <is>
          <t>5 - 6 Năm</t>
        </is>
      </c>
      <c r="L7650" s="11">
        <f>HYPERLINK("https://careerviet.vn/vi/tim-viec-lam/chuyen-vien-phat-trien-du-an-cdt-bat-dong-san-lam-viec-tai-ha-noi.35C6BD23.html","Xem chi tiết")</f>
        <v/>
      </c>
      <c r="M7650" s="10" t="n"/>
    </row>
    <row r="7651">
      <c r="B7651" s="7" t="n">
        <v>7649</v>
      </c>
      <c r="C7651" t="inlineStr">
        <is>
          <t>Giáo Viên Chủ Nhiệm (Ocean Edu Cẩm Khê) - Trúng Tuyển Đi Làm Luôn</t>
        </is>
      </c>
      <c r="D7651" t="inlineStr">
        <is>
          <t>Công Ty CP Giáo Dục Đại Dương</t>
        </is>
      </c>
      <c r="E7651" t="inlineStr">
        <is>
          <t>Lương:Cạnh tranh</t>
        </is>
      </c>
      <c r="F7651" t="inlineStr">
        <is>
          <t>Phú Thọ</t>
        </is>
      </c>
      <c r="G7651" t="inlineStr">
        <is>
          <t>02-04-2026</t>
        </is>
      </c>
      <c r="H7651" t="inlineStr">
        <is>
          <t>02/04/2026</t>
        </is>
      </c>
      <c r="I7651" t="inlineStr">
        <is>
          <t>17/03/2026</t>
        </is>
      </c>
      <c r="J7651" t="inlineStr">
        <is>
          <t>Giáo dục / Đào tạo, Bán hàng / Kinh doanh, Biên phiên dịch</t>
        </is>
      </c>
      <c r="K7651" t="inlineStr">
        <is>
          <t>Trên 1 Năm</t>
        </is>
      </c>
      <c r="L7651" s="8">
        <f>HYPERLINK("https://careerviet.vn/vi/tim-viec-lam/giao-vien-chu-nhiem-ocean-edu-cam-khe-trung-tuyen-di-lam-luon.35C6A71E.html","Xem chi tiết")</f>
        <v/>
      </c>
    </row>
    <row r="7652">
      <c r="B7652" s="9" t="n">
        <v>7650</v>
      </c>
      <c r="C7652" s="10" t="inlineStr">
        <is>
          <t>CHỈ HUY PHÓ</t>
        </is>
      </c>
      <c r="D7652" s="10" t="inlineStr">
        <is>
          <t>CÔNG TY TNHH DK BUILD</t>
        </is>
      </c>
      <c r="E7652" s="10" t="inlineStr">
        <is>
          <t>Lương:25 Tr - 30 Tr VND</t>
        </is>
      </c>
      <c r="F7652" s="10" t="inlineStr">
        <is>
          <t>Đồng Nai</t>
        </is>
      </c>
      <c r="G7652" s="10" t="inlineStr">
        <is>
          <t>30-04-2026</t>
        </is>
      </c>
      <c r="H7652" s="10" t="inlineStr">
        <is>
          <t>30/04/2026</t>
        </is>
      </c>
      <c r="I7652" s="10" t="inlineStr">
        <is>
          <t>17/03/2026</t>
        </is>
      </c>
      <c r="J7652" s="10" t="inlineStr">
        <is>
          <t>Xây dựng</t>
        </is>
      </c>
      <c r="K7652" s="10" t="inlineStr">
        <is>
          <t>3 - 5 Năm</t>
        </is>
      </c>
      <c r="L7652" s="11">
        <f>HYPERLINK("https://careerviet.vn/vi/tim-viec-lam/chi-huy-pho.35C6BB1B.html","Xem chi tiết")</f>
        <v/>
      </c>
      <c r="M7652" s="10" t="n"/>
    </row>
    <row r="7653">
      <c r="B7653" s="7" t="n">
        <v>7651</v>
      </c>
      <c r="C7653" t="inlineStr">
        <is>
          <t>Nhân viên kinh doanh B2B mảng phân bón</t>
        </is>
      </c>
      <c r="D7653" t="inlineStr">
        <is>
          <t>KING ELONG GROUP</t>
        </is>
      </c>
      <c r="E7653" t="inlineStr">
        <is>
          <t>Lương:9 Tr - 15 Tr VND</t>
        </is>
      </c>
      <c r="F7653" t="inlineStr">
        <is>
          <t>Hồ Chí Minh</t>
        </is>
      </c>
      <c r="G7653" t="inlineStr">
        <is>
          <t>10-04-2026</t>
        </is>
      </c>
      <c r="H7653" t="inlineStr">
        <is>
          <t>10/04/2026</t>
        </is>
      </c>
      <c r="I7653" t="inlineStr">
        <is>
          <t>17/03/2026</t>
        </is>
      </c>
      <c r="J7653" t="inlineStr">
        <is>
          <t>Bán hàng / Kinh doanh</t>
        </is>
      </c>
      <c r="K7653" t="inlineStr">
        <is>
          <t>1 - 2 Năm</t>
        </is>
      </c>
      <c r="L7653" s="8">
        <f>HYPERLINK("https://careerviet.vn/vi/tim-viec-lam/nhan-vien-kinh-doanh-b2b-mang-phan-bon.35C6BD0D.html","Xem chi tiết")</f>
        <v/>
      </c>
    </row>
    <row r="7654">
      <c r="B7654" s="9" t="n">
        <v>7652</v>
      </c>
      <c r="C7654" s="10" t="inlineStr">
        <is>
          <t>Nhân Viên Quay Dựng Video - Video Editor</t>
        </is>
      </c>
      <c r="D7654" s="10" t="inlineStr">
        <is>
          <t>CÔNG TY TNHH TÂM LUXURY</t>
        </is>
      </c>
      <c r="E7654" s="10" t="inlineStr">
        <is>
          <t>Lương:12 Tr - 18 Tr VND</t>
        </is>
      </c>
      <c r="F7654" s="10" t="inlineStr">
        <is>
          <t>Hà NộiHồ Chí Minh</t>
        </is>
      </c>
      <c r="G7654" s="10" t="inlineStr">
        <is>
          <t>10-04-2026</t>
        </is>
      </c>
      <c r="H7654" s="10" t="inlineStr">
        <is>
          <t>10/04/2026</t>
        </is>
      </c>
      <c r="I7654" s="10" t="inlineStr">
        <is>
          <t>17/03/2026</t>
        </is>
      </c>
      <c r="J7654" s="10" t="inlineStr">
        <is>
          <t>CNTT - Phần mềm, Quảng cáo / Đối ngoại / Truyền Thông, Dệt may / Da giày / Thời trang</t>
        </is>
      </c>
      <c r="K7654" s="10" t="inlineStr">
        <is>
          <t>Trên 3 Năm</t>
        </is>
      </c>
      <c r="L7654" s="11">
        <f>HYPERLINK("https://careerviet.vn/vi/tim-viec-lam/nhan-vien-quay-dung-video-video-editor.35C6BD7C.html","Xem chi tiết")</f>
        <v/>
      </c>
      <c r="M7654" s="10" t="n"/>
    </row>
    <row r="7655">
      <c r="B7655" s="7" t="n">
        <v>7653</v>
      </c>
      <c r="C7655" t="inlineStr">
        <is>
          <t>CHUYÊN VIÊN TƯ VẤN GIÁO DỤC (OCEAN EDU VIỆT TRÌ) - THU NHẬP HẤP DẪN TỪ 15 TRIỆU/THÁNG</t>
        </is>
      </c>
      <c r="D7655" t="inlineStr">
        <is>
          <t>Công Ty CP Giáo Dục Đại Dương</t>
        </is>
      </c>
      <c r="E7655" t="inlineStr">
        <is>
          <t>Lương:Cạnh tranh</t>
        </is>
      </c>
      <c r="F7655" t="inlineStr">
        <is>
          <t>Phú Thọ</t>
        </is>
      </c>
      <c r="G7655" t="inlineStr">
        <is>
          <t>02-04-2026</t>
        </is>
      </c>
      <c r="H7655" t="inlineStr">
        <is>
          <t>02/04/2026</t>
        </is>
      </c>
      <c r="I7655" t="inlineStr">
        <is>
          <t>17/03/2026</t>
        </is>
      </c>
      <c r="J7655" t="inlineStr">
        <is>
          <t>Dịch vụ khách hàng, Giáo dục / Đào tạo, Bán hàng / Kinh doanh</t>
        </is>
      </c>
      <c r="K7655" t="inlineStr">
        <is>
          <t>Lên đến 1 Năm</t>
        </is>
      </c>
      <c r="L7655" s="8">
        <f>HYPERLINK("https://careerviet.vn/vi/tim-viec-lam/chuyen-vien-tu-van-giao-duc-ocean-edu-viet-tri-thu-nhap-hap-dan-tu-15-trieu-thang.35C6A773.html","Xem chi tiết")</f>
        <v/>
      </c>
    </row>
    <row r="7656">
      <c r="B7656" s="9" t="n">
        <v>7654</v>
      </c>
      <c r="C7656" s="10" t="inlineStr">
        <is>
          <t>Chuyên viên Lập trình - Fullstack Developer</t>
        </is>
      </c>
      <c r="D7656" s="10" t="inlineStr">
        <is>
          <t>Tổng Công Ty Cổ Phần Bảo Hiểm Ngân Hàng TMCP Công Thương Việt Nam</t>
        </is>
      </c>
      <c r="E7656" s="10" t="inlineStr">
        <is>
          <t>Lương:Cạnh tranh</t>
        </is>
      </c>
      <c r="F7656" s="10" t="inlineStr">
        <is>
          <t>Hà Nội</t>
        </is>
      </c>
      <c r="G7656" s="10" t="inlineStr">
        <is>
          <t>02-04-2026</t>
        </is>
      </c>
      <c r="H7656" s="10" t="inlineStr">
        <is>
          <t>02/04/2026</t>
        </is>
      </c>
      <c r="I7656" s="10" t="inlineStr">
        <is>
          <t>17/03/2026</t>
        </is>
      </c>
      <c r="J7656" s="10" t="inlineStr">
        <is>
          <t>CNTT - Phần mềm, Ngân hàng, Bảo hiểm</t>
        </is>
      </c>
      <c r="K7656" s="10" t="inlineStr">
        <is>
          <t>2 - 5 Năm</t>
        </is>
      </c>
      <c r="L7656" s="11">
        <f>HYPERLINK("https://careerviet.vn/vi/tim-viec-lam/chuyen-vien-lap-trinh-fullstack-developer.35C6A785.html","Xem chi tiết")</f>
        <v/>
      </c>
      <c r="M7656" s="10" t="n"/>
    </row>
    <row r="7657">
      <c r="B7657" s="7" t="n">
        <v>7655</v>
      </c>
      <c r="C7657" t="inlineStr">
        <is>
          <t>CHUYÊN VIÊN TUYỂN DỤNG &amp; ĐÀO TẠO</t>
        </is>
      </c>
      <c r="D7657" t="inlineStr">
        <is>
          <t>Công Ty TNHH Smartlog Long Phú</t>
        </is>
      </c>
      <c r="E7657" t="inlineStr">
        <is>
          <t>Lương:10 Tr - 13 Tr VND</t>
        </is>
      </c>
      <c r="F7657" t="inlineStr">
        <is>
          <t>Hồ Chí MinhBà Rịa - Vũng Tàu</t>
        </is>
      </c>
      <c r="G7657" t="inlineStr">
        <is>
          <t>03-04-2026</t>
        </is>
      </c>
      <c r="H7657" t="inlineStr">
        <is>
          <t>03/04/2026</t>
        </is>
      </c>
      <c r="I7657" t="inlineStr">
        <is>
          <t>17/03/2026</t>
        </is>
      </c>
      <c r="J7657" t="inlineStr">
        <is>
          <t>Hành chính / Thư ký, Nhân sự, Vận chuyển / Giao nhận / Kho vận</t>
        </is>
      </c>
      <c r="K7657" t="inlineStr">
        <is>
          <t>1 - 5 Năm</t>
        </is>
      </c>
      <c r="L7657" s="8">
        <f>HYPERLINK("https://careerviet.vn/vi/tim-viec-lam/chuyen-vien-tuyen-dung-dao-tao.35C6A73D.html","Xem chi tiết")</f>
        <v/>
      </c>
    </row>
    <row r="7658">
      <c r="B7658" s="9" t="n">
        <v>7656</v>
      </c>
      <c r="C7658" s="10" t="inlineStr">
        <is>
          <t>Kế Toán Công Trường</t>
        </is>
      </c>
      <c r="D7658" s="10" t="inlineStr">
        <is>
          <t>CÔNG TY CỔ PHẦN ĐẦU TƯ TÂN ĐẠI LONG</t>
        </is>
      </c>
      <c r="E7658" s="10" t="inlineStr">
        <is>
          <t>Lương:8 Tr - 15 Tr VND</t>
        </is>
      </c>
      <c r="F7658" s="10" t="inlineStr">
        <is>
          <t>Hà NộiPhú ThọLào Cai</t>
        </is>
      </c>
      <c r="G7658" s="10" t="inlineStr">
        <is>
          <t>15-04-2026</t>
        </is>
      </c>
      <c r="H7658" s="10" t="inlineStr">
        <is>
          <t>15/04/2026</t>
        </is>
      </c>
      <c r="I7658" s="10" t="inlineStr">
        <is>
          <t>17/03/2026</t>
        </is>
      </c>
      <c r="J7658" s="10" t="inlineStr">
        <is>
          <t>Kế toán / Kiểm toán, Nhân sự, Xây dựng</t>
        </is>
      </c>
      <c r="K7658" s="10" t="inlineStr">
        <is>
          <t>Trên 1 Năm</t>
        </is>
      </c>
      <c r="L7658" s="11">
        <f>HYPERLINK("https://careerviet.vn/vi/tim-viec-lam/ke-toan-cong-truong.35C6A7B3.html","Xem chi tiết")</f>
        <v/>
      </c>
      <c r="M7658" s="10" t="n"/>
    </row>
    <row r="7659">
      <c r="B7659" s="7" t="n">
        <v>7657</v>
      </c>
      <c r="C7659" t="inlineStr">
        <is>
          <t>Trưởng phòng kinh doanh - địa bàn Bình Dương, Tây Ninh</t>
        </is>
      </c>
      <c r="D7659" t="inlineStr">
        <is>
          <t>Tổng Công Ty Cổ Phần Bảo Hiểm Ngân Hàng TMCP Công Thương Việt Nam</t>
        </is>
      </c>
      <c r="E7659" t="inlineStr">
        <is>
          <t>Lương:Cạnh tranh</t>
        </is>
      </c>
      <c r="F7659" t="inlineStr">
        <is>
          <t>Bình Dương</t>
        </is>
      </c>
      <c r="G7659" t="inlineStr">
        <is>
          <t>19-04-2026</t>
        </is>
      </c>
      <c r="H7659" t="inlineStr">
        <is>
          <t>19/04/2026</t>
        </is>
      </c>
      <c r="I7659" t="inlineStr">
        <is>
          <t>17/03/2026</t>
        </is>
      </c>
      <c r="J7659" t="inlineStr">
        <is>
          <t>Bảo hiểm</t>
        </is>
      </c>
      <c r="K7659" t="inlineStr">
        <is>
          <t>2 - 5 Năm</t>
        </is>
      </c>
      <c r="L7659" s="8">
        <f>HYPERLINK("https://careerviet.vn/vi/tim-viec-lam/truong-phong-kinh-doanh-dia-ban-binh-duong-tay-ninh.35C6BD29.html","Xem chi tiết")</f>
        <v/>
      </c>
    </row>
    <row r="7660">
      <c r="B7660" s="9" t="n">
        <v>7658</v>
      </c>
      <c r="C7660" s="10" t="inlineStr">
        <is>
          <t>Nhân viên kinh doanh</t>
        </is>
      </c>
      <c r="D7660" s="10" t="inlineStr">
        <is>
          <t>Công Ty Cổ Phần Công Nghệ Năng Lượng Toàn Cầu</t>
        </is>
      </c>
      <c r="E7660" s="10" t="inlineStr">
        <is>
          <t>Lương:7 Tr - 20 Tr VND</t>
        </is>
      </c>
      <c r="F7660" s="10" t="inlineStr">
        <is>
          <t>Bình Dương</t>
        </is>
      </c>
      <c r="G7660" s="10" t="inlineStr">
        <is>
          <t>31-03-2026</t>
        </is>
      </c>
      <c r="H7660" s="10" t="inlineStr">
        <is>
          <t>31/03/2026</t>
        </is>
      </c>
      <c r="I7660" s="10" t="inlineStr">
        <is>
          <t>17/03/2026</t>
        </is>
      </c>
      <c r="J7660" s="10" t="inlineStr">
        <is>
          <t>Bán hàng / Kinh doanh, Bán lẻ / Bán sỉ</t>
        </is>
      </c>
      <c r="K7660" s="10" t="inlineStr">
        <is>
          <t>Lên đến 1 Năm</t>
        </is>
      </c>
      <c r="L7660" s="11">
        <f>HYPERLINK("https://careerviet.vn/vi/tim-viec-lam/nhan-vien-kinh-doanh.35C6A80B.html","Xem chi tiết")</f>
        <v/>
      </c>
      <c r="M7660" s="10" t="n"/>
    </row>
    <row r="7661">
      <c r="B7661" s="7" t="n">
        <v>7659</v>
      </c>
      <c r="C7661" t="inlineStr">
        <is>
          <t>Kỹ Sư Điện</t>
        </is>
      </c>
      <c r="D7661" t="inlineStr">
        <is>
          <t>CÔNG TY CỔ PHẦN TẬP ĐOÀN PC1</t>
        </is>
      </c>
      <c r="E7661" t="inlineStr">
        <is>
          <t>Lương:Cạnh tranh</t>
        </is>
      </c>
      <c r="F7661" t="inlineStr">
        <is>
          <t>Philippines</t>
        </is>
      </c>
      <c r="G7661" t="inlineStr">
        <is>
          <t>01-04-2026</t>
        </is>
      </c>
      <c r="H7661" t="inlineStr">
        <is>
          <t>01/04/2026</t>
        </is>
      </c>
      <c r="I7661" t="inlineStr">
        <is>
          <t>17/03/2026</t>
        </is>
      </c>
      <c r="J7661" t="inlineStr">
        <is>
          <t>Điện / Điện tử / Điện lạnh / Điện công nghiệp, Bảo trì / Sửa chữa</t>
        </is>
      </c>
      <c r="K7661" t="inlineStr">
        <is>
          <t>2 - 5 Năm</t>
        </is>
      </c>
      <c r="L7661" s="8">
        <f>HYPERLINK("https://careerviet.vn/vi/tim-viec-lam/ky-su-dien.35C6A7DD.html","Xem chi tiết")</f>
        <v/>
      </c>
    </row>
    <row r="7662">
      <c r="B7662" s="9" t="n">
        <v>7660</v>
      </c>
      <c r="C7662" s="10" t="inlineStr">
        <is>
          <t>Trưởng phòng Mua hàng</t>
        </is>
      </c>
      <c r="D7662" s="10" t="inlineStr">
        <is>
          <t>CÔNG TY TNHH MĂMMY VIỆT NAM</t>
        </is>
      </c>
      <c r="E7662" s="10" t="inlineStr">
        <is>
          <t>Lương:30 Tr - 40 Tr VND</t>
        </is>
      </c>
      <c r="F7662" s="10" t="inlineStr">
        <is>
          <t>Hồ Chí Minh</t>
        </is>
      </c>
      <c r="G7662" s="10" t="inlineStr">
        <is>
          <t>31-03-2026</t>
        </is>
      </c>
      <c r="H7662" s="10" t="inlineStr">
        <is>
          <t>31/03/2026</t>
        </is>
      </c>
      <c r="I7662" s="10" t="inlineStr">
        <is>
          <t>17/03/2026</t>
        </is>
      </c>
      <c r="J7662" s="10" t="inlineStr">
        <is>
          <t>Vận chuyển / Giao nhận / Kho vận, Sản xuất / Vận hành sản xuất, Thu mua / Vật tư</t>
        </is>
      </c>
      <c r="K7662" s="10" t="inlineStr">
        <is>
          <t>5 - 6 Năm</t>
        </is>
      </c>
      <c r="L7662" s="11">
        <f>HYPERLINK("https://careerviet.vn/vi/tim-viec-lam/truong-phong-mua-hang.35C6BC20.html","Xem chi tiết")</f>
        <v/>
      </c>
      <c r="M7662" s="10" t="n"/>
    </row>
    <row r="7663">
      <c r="B7663" s="7" t="n">
        <v>7661</v>
      </c>
      <c r="C7663" t="inlineStr">
        <is>
          <t>Sales Supervisor - Giám Sát Kinh Doanh (KV Huế)</t>
        </is>
      </c>
      <c r="D7663" t="inlineStr">
        <is>
          <t>Công Ty TNHH Sơn TOA Việt Nam</t>
        </is>
      </c>
      <c r="E7663" t="inlineStr">
        <is>
          <t>Lương:Cạnh tranh</t>
        </is>
      </c>
      <c r="F7663" t="inlineStr">
        <is>
          <t>Thừa Thiên- Huế</t>
        </is>
      </c>
      <c r="G7663" t="inlineStr">
        <is>
          <t>18-04-2026</t>
        </is>
      </c>
      <c r="H7663" t="inlineStr">
        <is>
          <t>18/04/2026</t>
        </is>
      </c>
      <c r="I7663" t="inlineStr">
        <is>
          <t>17/03/2026</t>
        </is>
      </c>
      <c r="J7663" t="inlineStr">
        <is>
          <t>Bán lẻ / Bán sỉ, Bán hàng / Kinh doanh, Xây dựng</t>
        </is>
      </c>
      <c r="K7663" t="inlineStr">
        <is>
          <t>3 - 6 Năm</t>
        </is>
      </c>
      <c r="L7663" s="8">
        <f>HYPERLINK("https://careerviet.vn/vi/tim-viec-lam/sales-supervisor-giam-sat-kinh-doanh-kv-hue.35C6BC42.html","Xem chi tiết")</f>
        <v/>
      </c>
    </row>
    <row r="7664">
      <c r="B7664" s="9" t="n">
        <v>7662</v>
      </c>
      <c r="C7664" s="10" t="inlineStr">
        <is>
          <t>Nhân viên bảo trì</t>
        </is>
      </c>
      <c r="D7664" s="10" t="inlineStr">
        <is>
          <t>Công Ty Cổ Phần Xây Dựng Phước Thành</t>
        </is>
      </c>
      <c r="E7664" s="10" t="inlineStr">
        <is>
          <t>Lương:15 Tr - 18 Tr VND</t>
        </is>
      </c>
      <c r="F7664" s="10" t="inlineStr">
        <is>
          <t>Hồ Chí Minh</t>
        </is>
      </c>
      <c r="G7664" s="10" t="inlineStr">
        <is>
          <t>31-03-2026</t>
        </is>
      </c>
      <c r="H7664" s="10" t="inlineStr">
        <is>
          <t>31/03/2026</t>
        </is>
      </c>
      <c r="I7664" s="10" t="inlineStr">
        <is>
          <t>17/03/2026</t>
        </is>
      </c>
      <c r="J7664" s="10" t="inlineStr">
        <is>
          <t>Điện / Điện tử / Điện lạnh / Điện công nghiệp</t>
        </is>
      </c>
      <c r="K7664" s="10" t="inlineStr">
        <is>
          <t>1 - 2 Năm</t>
        </is>
      </c>
      <c r="L7664" s="11">
        <f>HYPERLINK("https://careerviet.vn/vi/tim-viec-lam/nhan-vien-bao-tri.35C6BC0E.html","Xem chi tiết")</f>
        <v/>
      </c>
      <c r="M7664" s="10" t="n"/>
    </row>
    <row r="7665">
      <c r="B7665" s="7" t="n">
        <v>7663</v>
      </c>
      <c r="C7665" t="inlineStr">
        <is>
          <t>NHÂN VIÊN THIẾT KẾ ĐIỆN</t>
        </is>
      </c>
      <c r="D7665" t="inlineStr">
        <is>
          <t>Công ty Cổ phần Giải pháp Tự động hóa ETEK</t>
        </is>
      </c>
      <c r="E7665" t="inlineStr">
        <is>
          <t>Lương:12 Tr - 25 Tr VND</t>
        </is>
      </c>
      <c r="F7665" t="inlineStr">
        <is>
          <t>Hồ Chí Minh</t>
        </is>
      </c>
      <c r="G7665" t="inlineStr">
        <is>
          <t>31-03-2026</t>
        </is>
      </c>
      <c r="H7665" t="inlineStr">
        <is>
          <t>31/03/2026</t>
        </is>
      </c>
      <c r="I7665" t="inlineStr">
        <is>
          <t>17/03/2026</t>
        </is>
      </c>
      <c r="J7665" t="inlineStr">
        <is>
          <t>Cơ khí / Ô tô / Tự động hóa</t>
        </is>
      </c>
      <c r="K7665" t="inlineStr">
        <is>
          <t>2 - 5 Năm</t>
        </is>
      </c>
      <c r="L7665" s="8">
        <f>HYPERLINK("https://careerviet.vn/vi/tim-viec-lam/nhan-vien-thiet-ke-dien.35C6BB77.html","Xem chi tiết")</f>
        <v/>
      </c>
    </row>
    <row r="7666">
      <c r="B7666" s="9" t="n">
        <v>7664</v>
      </c>
      <c r="C7666" s="10" t="inlineStr">
        <is>
          <t>QE Engineer - PCBA Experience</t>
        </is>
      </c>
      <c r="D7666" s="10" t="inlineStr">
        <is>
          <t>Techtronic Industries Vietnam Manufacturing Company Limited</t>
        </is>
      </c>
      <c r="E7666" s="10" t="inlineStr">
        <is>
          <t>Lương:Cạnh tranh</t>
        </is>
      </c>
      <c r="F7666" s="10" t="inlineStr">
        <is>
          <t>Hồ Chí Minh</t>
        </is>
      </c>
      <c r="G7666" s="10" t="inlineStr">
        <is>
          <t>20-04-2026</t>
        </is>
      </c>
      <c r="H7666" s="10" t="inlineStr">
        <is>
          <t>20/04/2026</t>
        </is>
      </c>
      <c r="I7666" s="10" t="inlineStr">
        <is>
          <t>17/03/2026</t>
        </is>
      </c>
      <c r="J7666" s="10" t="inlineStr">
        <is>
          <t>Cơ khí / Ô tô / Tự động hóa</t>
        </is>
      </c>
      <c r="K7666" s="10" t="inlineStr">
        <is>
          <t>3 - 4 Năm</t>
        </is>
      </c>
      <c r="L7666" s="11">
        <f>HYPERLINK("https://careerviet.vn/vi/tim-viec-lam/qe-engineer-pcba-experience.35C6BC5E.html","Xem chi tiết")</f>
        <v/>
      </c>
      <c r="M7666" s="10" t="n"/>
    </row>
    <row r="7667">
      <c r="B7667" s="7" t="n">
        <v>7665</v>
      </c>
      <c r="C7667" t="inlineStr">
        <is>
          <t>NHÂN VIÊN VĂN PHÒNG-  TƯ VẤN KHÁCH ĐẦU TƯ DỰ ÁN</t>
        </is>
      </c>
      <c r="D7667" t="inlineStr">
        <is>
          <t>Công ty TNHH Kinh doanh và Dịch vụ Bất động sản Realhomes</t>
        </is>
      </c>
      <c r="E7667" t="inlineStr">
        <is>
          <t>Lương:30 Tr - 40 Tr VND</t>
        </is>
      </c>
      <c r="F7667" t="inlineStr">
        <is>
          <t>Hà NộiThanh HóaĐà Nẵng</t>
        </is>
      </c>
      <c r="G7667" t="inlineStr">
        <is>
          <t>30-04-2026</t>
        </is>
      </c>
      <c r="H7667" t="inlineStr">
        <is>
          <t>30/04/2026</t>
        </is>
      </c>
      <c r="I7667" t="inlineStr">
        <is>
          <t>17/03/2026</t>
        </is>
      </c>
      <c r="J7667" t="inlineStr">
        <is>
          <t>Bán hàng / Kinh doanh, Ngân hàng, Bảo hiểm</t>
        </is>
      </c>
      <c r="K7667" t="inlineStr">
        <is>
          <t>Chưa có kinh nghiệm</t>
        </is>
      </c>
      <c r="L7667" s="8">
        <f>HYPERLINK("https://careerviet.vn/vi/tim-viec-lam/nhan-vien-van-phong-tu-van-khach-dau-tu-du-an.35C6BADE.html","Xem chi tiết")</f>
        <v/>
      </c>
    </row>
    <row r="7668">
      <c r="B7668" s="9" t="n">
        <v>7666</v>
      </c>
      <c r="C7668" s="10" t="inlineStr">
        <is>
          <t>Growth Marketing Manager</t>
        </is>
      </c>
      <c r="D7668" s="10" t="inlineStr">
        <is>
          <t>Công Ty Cổ Phần Y Tế Việt Tiến</t>
        </is>
      </c>
      <c r="E7668" s="10" t="inlineStr">
        <is>
          <t>Lương:Cạnh tranh</t>
        </is>
      </c>
      <c r="F7668" s="10" t="inlineStr">
        <is>
          <t>Hồ Chí Minh</t>
        </is>
      </c>
      <c r="G7668" s="10" t="inlineStr">
        <is>
          <t>15-04-2026</t>
        </is>
      </c>
      <c r="H7668" s="10" t="inlineStr">
        <is>
          <t>15/04/2026</t>
        </is>
      </c>
      <c r="I7668" s="10" t="inlineStr">
        <is>
          <t>17/03/2026</t>
        </is>
      </c>
      <c r="J7668" s="10" t="inlineStr">
        <is>
          <t>Tiếp thị / Marketing, Tiếp thị trực tuyến, Quảng cáo / Đối ngoại / Truyền Thông</t>
        </is>
      </c>
      <c r="K7668" s="10" t="inlineStr">
        <is>
          <t>5 - 7 Năm</t>
        </is>
      </c>
      <c r="L7668" s="11">
        <f>HYPERLINK("https://careerviet.vn/vi/tim-viec-lam/growth-marketing-manager.35C6BA8B.html","Xem chi tiết")</f>
        <v/>
      </c>
      <c r="M7668" s="10" t="n"/>
    </row>
    <row r="7669">
      <c r="B7669" s="7" t="n">
        <v>7667</v>
      </c>
      <c r="C7669" t="inlineStr">
        <is>
          <t>NHÂN VIÊN PHIÊN DỊCH VIÊN TIẾNG TRUNG</t>
        </is>
      </c>
      <c r="D7669" t="inlineStr">
        <is>
          <t>Công ty TNHH SX-TM Thép Tây Nam</t>
        </is>
      </c>
      <c r="E7669" t="inlineStr">
        <is>
          <t>Lương:10 Tr - 20 Tr VND</t>
        </is>
      </c>
      <c r="F7669" t="inlineStr">
        <is>
          <t>Long An</t>
        </is>
      </c>
      <c r="G7669" t="inlineStr">
        <is>
          <t>28-03-2026</t>
        </is>
      </c>
      <c r="H7669" t="inlineStr">
        <is>
          <t>28/03/2026</t>
        </is>
      </c>
      <c r="I7669" t="inlineStr">
        <is>
          <t>17/03/2026</t>
        </is>
      </c>
      <c r="J7669" t="inlineStr">
        <is>
          <t>Biên phiên dịch</t>
        </is>
      </c>
      <c r="K7669" t="inlineStr">
        <is>
          <t>Lên đến 1 Năm</t>
        </is>
      </c>
      <c r="L7669" s="8">
        <f>HYPERLINK("https://careerviet.vn/vi/tim-viec-lam/nhan-vien-phien-dich-vien-tieng-trung.35C6BDAD.html","Xem chi tiết")</f>
        <v/>
      </c>
    </row>
    <row r="7670">
      <c r="B7670" s="9" t="n">
        <v>7668</v>
      </c>
      <c r="C7670" s="10" t="inlineStr">
        <is>
          <t>Trưởng Phòng Logistics Import-Export Tại Hồ Chí Minh</t>
        </is>
      </c>
      <c r="D7670" s="10" t="inlineStr">
        <is>
          <t>CÔNG TY CỔ PHẦN VẬN TẢI VÀ XÂY DỰNG CÔNG TRÌNH FTC</t>
        </is>
      </c>
      <c r="E7670" s="10" t="inlineStr">
        <is>
          <t>Lương:20 Tr - 25 Tr VND</t>
        </is>
      </c>
      <c r="F7670" s="10" t="inlineStr">
        <is>
          <t>Hồ Chí Minh</t>
        </is>
      </c>
      <c r="G7670" s="10" t="inlineStr">
        <is>
          <t>30-04-2026</t>
        </is>
      </c>
      <c r="H7670" s="10" t="inlineStr">
        <is>
          <t>30/04/2026</t>
        </is>
      </c>
      <c r="I7670" s="10" t="inlineStr">
        <is>
          <t>17/03/2026</t>
        </is>
      </c>
      <c r="J7670" s="10" t="inlineStr">
        <is>
          <t>Bán hàng / Kinh doanh, Vận chuyển / Giao nhận / Kho vận, Xuất nhập khẩu</t>
        </is>
      </c>
      <c r="K7670" s="10" t="inlineStr">
        <is>
          <t>3 - 5 Năm</t>
        </is>
      </c>
      <c r="L7670" s="11">
        <f>HYPERLINK("https://careerviet.vn/vi/tim-viec-lam/truong-phong-logistics-import-export-tai-ho-chi-minh.35C6B97E.html","Xem chi tiết")</f>
        <v/>
      </c>
      <c r="M7670" s="10" t="n"/>
    </row>
    <row r="7671">
      <c r="B7671" s="7" t="n">
        <v>7669</v>
      </c>
      <c r="C7671" t="inlineStr">
        <is>
          <t>TRỢ LÝ KHO  (TIẾNG TRUNG)</t>
        </is>
      </c>
      <c r="D7671" t="inlineStr">
        <is>
          <t>CÔNG TY TNHH UMBRA VIỆT NAM OPERATIONS</t>
        </is>
      </c>
      <c r="E7671" t="inlineStr">
        <is>
          <t>Lương:15 Tr - 25 Tr VND</t>
        </is>
      </c>
      <c r="F7671" t="inlineStr">
        <is>
          <t>Long An</t>
        </is>
      </c>
      <c r="G7671" t="inlineStr">
        <is>
          <t>09-04-2026</t>
        </is>
      </c>
      <c r="H7671" t="inlineStr">
        <is>
          <t>09/04/2026</t>
        </is>
      </c>
      <c r="I7671" t="inlineStr">
        <is>
          <t>17/03/2026</t>
        </is>
      </c>
      <c r="J7671" t="inlineStr">
        <is>
          <t>Hành chính / Thư ký, Sản xuất / Vận hành sản xuất, Vận chuyển / Giao nhận / Kho vận</t>
        </is>
      </c>
      <c r="K7671" t="inlineStr">
        <is>
          <t>1 - 10 Năm</t>
        </is>
      </c>
      <c r="L7671" s="8">
        <f>HYPERLINK("https://careerviet.vn/vi/tim-viec-lam/tro-ly-kho-tieng-trung.35C6BBF8.html","Xem chi tiết")</f>
        <v/>
      </c>
    </row>
    <row r="7672">
      <c r="B7672" s="9" t="n">
        <v>7670</v>
      </c>
      <c r="C7672" s="10" t="inlineStr">
        <is>
          <t>Store Manager Skechers</t>
        </is>
      </c>
      <c r="D7672" s="10" t="inlineStr">
        <is>
          <t>MAGNA MANAGEMENT ASIA (MMA)</t>
        </is>
      </c>
      <c r="E7672" s="10" t="inlineStr">
        <is>
          <t>Lương:10 Tr - 12 Tr VND</t>
        </is>
      </c>
      <c r="F7672" s="10" t="inlineStr">
        <is>
          <t>Hải Phòng</t>
        </is>
      </c>
      <c r="G7672" s="10" t="inlineStr">
        <is>
          <t>09-04-2026</t>
        </is>
      </c>
      <c r="H7672" s="10" t="inlineStr">
        <is>
          <t>09/04/2026</t>
        </is>
      </c>
      <c r="I7672" s="10" t="inlineStr">
        <is>
          <t>17/03/2026</t>
        </is>
      </c>
      <c r="J7672" s="10" t="inlineStr">
        <is>
          <t>Bán hàng / Kinh doanh, Bán lẻ / Bán sỉ, Quản lý điều hành</t>
        </is>
      </c>
      <c r="K7672" s="10" t="inlineStr">
        <is>
          <t>2 - 5 Năm</t>
        </is>
      </c>
      <c r="L7672" s="11">
        <f>HYPERLINK("https://careerviet.vn/vi/tim-viec-lam/store-manager-skechers.35C6BD2A.html","Xem chi tiết")</f>
        <v/>
      </c>
      <c r="M7672" s="10" t="n"/>
    </row>
    <row r="7673">
      <c r="B7673" s="7" t="n">
        <v>7671</v>
      </c>
      <c r="C7673" t="inlineStr">
        <is>
          <t>Trưởng nhóm kinh doanh Miền Bắc</t>
        </is>
      </c>
      <c r="D7673" t="inlineStr">
        <is>
          <t>Công ty CP Toshiko Việt Nam</t>
        </is>
      </c>
      <c r="E7673" t="inlineStr">
        <is>
          <t>Lương:15 Tr - 30 Tr VND</t>
        </is>
      </c>
      <c r="F7673" t="inlineStr">
        <is>
          <t>Hà Nội</t>
        </is>
      </c>
      <c r="G7673" t="inlineStr">
        <is>
          <t>11-04-2026</t>
        </is>
      </c>
      <c r="H7673" t="inlineStr">
        <is>
          <t>11/04/2026</t>
        </is>
      </c>
      <c r="I7673" t="inlineStr">
        <is>
          <t>17/03/2026</t>
        </is>
      </c>
      <c r="J7673" t="inlineStr">
        <is>
          <t>Bán lẻ / Bán sỉ, Bán hàng / Kinh doanh, Hàng gia dụng / Chăm sóc cá nhân</t>
        </is>
      </c>
      <c r="K7673" t="inlineStr">
        <is>
          <t>2 - 3 Năm</t>
        </is>
      </c>
      <c r="L7673" s="8">
        <f>HYPERLINK("https://careerviet.vn/vi/tim-viec-lam/truong-nhom-kinh-doanh-mien-bac.35C6BC86.html","Xem chi tiết")</f>
        <v/>
      </c>
    </row>
    <row r="7674">
      <c r="B7674" s="9" t="n">
        <v>7672</v>
      </c>
      <c r="C7674" s="10" t="inlineStr">
        <is>
          <t>CHUYÊN VIÊN KINH DOANH NỘI THẤT</t>
        </is>
      </c>
      <c r="D7674" s="10" t="inlineStr">
        <is>
          <t>CÔNG TY TNHH NIPPON INTERIA</t>
        </is>
      </c>
      <c r="E7674" s="10" t="inlineStr">
        <is>
          <t>Lương:12 Tr - 40 Tr VND</t>
        </is>
      </c>
      <c r="F7674" s="10" t="inlineStr">
        <is>
          <t>Hà NộiHồ Chí Minh</t>
        </is>
      </c>
      <c r="G7674" s="10" t="inlineStr">
        <is>
          <t>11-04-2026</t>
        </is>
      </c>
      <c r="H7674" s="10" t="inlineStr">
        <is>
          <t>11/04/2026</t>
        </is>
      </c>
      <c r="I7674" s="10" t="inlineStr">
        <is>
          <t>17/03/2026</t>
        </is>
      </c>
      <c r="J7674" s="10" t="inlineStr">
        <is>
          <t>Bán hàng / Kinh doanh, Nội ngoại thất, Tư vấn</t>
        </is>
      </c>
      <c r="K7674" s="10" t="inlineStr">
        <is>
          <t>1 - 10 Năm</t>
        </is>
      </c>
      <c r="L7674" s="11">
        <f>HYPERLINK("https://careerviet.vn/vi/tim-viec-lam/chuyen-vien-kinh-doanh-noi-that.35C6BA93.html","Xem chi tiết")</f>
        <v/>
      </c>
      <c r="M7674" s="10" t="n"/>
    </row>
    <row r="7675">
      <c r="B7675" s="7" t="n">
        <v>7673</v>
      </c>
      <c r="C7675" t="inlineStr">
        <is>
          <t>Kỹ Sư Shop Drawing</t>
        </is>
      </c>
      <c r="D7675" t="inlineStr">
        <is>
          <t>CÔNG TY CỔ PHẦN ĐẦU TƯ PHÁT TRIỂN MINH GLOBAL</t>
        </is>
      </c>
      <c r="E7675" t="inlineStr">
        <is>
          <t>Lương:Cạnh tranh</t>
        </is>
      </c>
      <c r="F7675" t="inlineStr">
        <is>
          <t>Hồ Chí Minh</t>
        </is>
      </c>
      <c r="G7675" t="inlineStr">
        <is>
          <t>10-04-2026</t>
        </is>
      </c>
      <c r="H7675" t="inlineStr">
        <is>
          <t>10/04/2026</t>
        </is>
      </c>
      <c r="I7675" t="inlineStr">
        <is>
          <t>17/03/2026</t>
        </is>
      </c>
      <c r="J7675" t="inlineStr">
        <is>
          <t>Xây dựng, An toàn lao động, Mỹ thuật / Nghệ thuật / Thiết kế</t>
        </is>
      </c>
      <c r="K7675" t="inlineStr">
        <is>
          <t>Trên 1 Năm</t>
        </is>
      </c>
      <c r="L7675" s="8">
        <f>HYPERLINK("https://careerviet.vn/vi/tim-viec-lam/ky-su-shop-drawing.35C6BDC3.html","Xem chi tiết")</f>
        <v/>
      </c>
    </row>
    <row r="7676">
      <c r="B7676" s="9" t="n">
        <v>7674</v>
      </c>
      <c r="C7676" s="10" t="inlineStr">
        <is>
          <t>QA Technical Leader</t>
        </is>
      </c>
      <c r="D7676" s="10" t="inlineStr">
        <is>
          <t>Công ty TNHH Spartronics Việt Nam</t>
        </is>
      </c>
      <c r="E7676" s="10" t="inlineStr">
        <is>
          <t>Lương:Cạnh tranh</t>
        </is>
      </c>
      <c r="F7676" s="10" t="inlineStr">
        <is>
          <t>Bình Dương</t>
        </is>
      </c>
      <c r="G7676" s="10" t="inlineStr">
        <is>
          <t>10-04-2026</t>
        </is>
      </c>
      <c r="H7676" s="10" t="inlineStr">
        <is>
          <t>10/04/2026</t>
        </is>
      </c>
      <c r="I7676" s="10" t="inlineStr">
        <is>
          <t>17/03/2026</t>
        </is>
      </c>
      <c r="J7676" s="10" t="inlineStr">
        <is>
          <t>Điện / Điện tử / Điện lạnh / Điện công nghiệp, Quản lý chất lượng (QA/QC)</t>
        </is>
      </c>
      <c r="K7676" s="10" t="inlineStr">
        <is>
          <t>5 - 10 Năm</t>
        </is>
      </c>
      <c r="L7676" s="11">
        <f>HYPERLINK("https://careerviet.vn/vi/tim-viec-lam/qa-technical-leader.35C6BB62.html","Xem chi tiết")</f>
        <v/>
      </c>
      <c r="M7676" s="10" t="n"/>
    </row>
    <row r="7677">
      <c r="B7677" s="7" t="n">
        <v>7675</v>
      </c>
      <c r="C7677" t="inlineStr">
        <is>
          <t>Trưởng phòng kinh doanh</t>
        </is>
      </c>
      <c r="D7677" t="inlineStr">
        <is>
          <t>Công ty TNHH Cơ Điện Lạnh EEP Việt Nam</t>
        </is>
      </c>
      <c r="E7677" t="inlineStr">
        <is>
          <t>Lương:20 Tr - 50 Tr VND</t>
        </is>
      </c>
      <c r="F7677" t="inlineStr">
        <is>
          <t>Hà Nội</t>
        </is>
      </c>
      <c r="G7677" t="inlineStr">
        <is>
          <t>31-03-2026</t>
        </is>
      </c>
      <c r="H7677" t="inlineStr">
        <is>
          <t>31/03/2026</t>
        </is>
      </c>
      <c r="I7677" t="inlineStr">
        <is>
          <t>17/03/2026</t>
        </is>
      </c>
      <c r="J7677" t="inlineStr">
        <is>
          <t>Bán hàng / Kinh doanh</t>
        </is>
      </c>
      <c r="K7677" t="inlineStr">
        <is>
          <t>1 - 5 Năm</t>
        </is>
      </c>
      <c r="L7677" s="8">
        <f>HYPERLINK("https://careerviet.vn/vi/tim-viec-lam/truong-phong-kinh-doanh.35C6BE14.html","Xem chi tiết")</f>
        <v/>
      </c>
    </row>
    <row r="7678">
      <c r="B7678" s="9" t="n">
        <v>7676</v>
      </c>
      <c r="C7678" s="10" t="inlineStr">
        <is>
          <t>Kế Toán Bán Hàng Tại Kho Miền Nam</t>
        </is>
      </c>
      <c r="D7678" s="10" t="inlineStr">
        <is>
          <t>Công ty TNHH Chế biến thực phẩm Đông Đô</t>
        </is>
      </c>
      <c r="E7678" s="10" t="inlineStr">
        <is>
          <t>Lương:9 Tr - 11 Tr VND</t>
        </is>
      </c>
      <c r="F7678" s="10" t="inlineStr">
        <is>
          <t>Hồ Chí Minh</t>
        </is>
      </c>
      <c r="G7678" s="10" t="inlineStr">
        <is>
          <t>10-04-2026</t>
        </is>
      </c>
      <c r="H7678" s="10" t="inlineStr">
        <is>
          <t>10/04/2026</t>
        </is>
      </c>
      <c r="I7678" s="10" t="inlineStr">
        <is>
          <t>17/03/2026</t>
        </is>
      </c>
      <c r="J7678" s="10" t="inlineStr">
        <is>
          <t>Kế toán / Kiểm toán, Tài chính / Đầu tư, Thực phẩm &amp; Đồ uống</t>
        </is>
      </c>
      <c r="K7678" s="10" t="inlineStr">
        <is>
          <t>1 - 2 Năm</t>
        </is>
      </c>
      <c r="L7678" s="11">
        <f>HYPERLINK("https://careerviet.vn/vi/tim-viec-lam/ke-toan-ban-hang-tai-kho-mien-nam.35C6BD7B.html","Xem chi tiết")</f>
        <v/>
      </c>
      <c r="M7678" s="10" t="n"/>
    </row>
    <row r="7679">
      <c r="B7679" s="7" t="n">
        <v>7677</v>
      </c>
      <c r="C7679" t="inlineStr">
        <is>
          <t>Trưởng nhóm Thương hiệu</t>
        </is>
      </c>
      <c r="D7679" t="inlineStr">
        <is>
          <t>Công Ty Cổ Phần Địa Ốc Phú Long</t>
        </is>
      </c>
      <c r="E7679" t="inlineStr">
        <is>
          <t>Lương:Cạnh tranh</t>
        </is>
      </c>
      <c r="F7679" t="inlineStr">
        <is>
          <t>Hồ Chí Minh</t>
        </is>
      </c>
      <c r="G7679" t="inlineStr">
        <is>
          <t>10-04-2026</t>
        </is>
      </c>
      <c r="H7679" t="inlineStr">
        <is>
          <t>10/04/2026</t>
        </is>
      </c>
      <c r="I7679" t="inlineStr">
        <is>
          <t>17/03/2026</t>
        </is>
      </c>
      <c r="J7679" t="inlineStr">
        <is>
          <t>Tiếp thị / Marketing, Quảng cáo / Đối ngoại / Truyền Thông, Truyền hình / Báo chí / Biên tập</t>
        </is>
      </c>
      <c r="K7679" t="inlineStr">
        <is>
          <t>3 - 10 Năm</t>
        </is>
      </c>
      <c r="L7679" s="8">
        <f>HYPERLINK("https://careerviet.vn/vi/tim-viec-lam/truong-nhom-thuong-hieu.35C6BDA7.html","Xem chi tiết")</f>
        <v/>
      </c>
    </row>
    <row r="7680">
      <c r="B7680" s="9" t="n">
        <v>7678</v>
      </c>
      <c r="C7680" s="10" t="inlineStr">
        <is>
          <t>[Bắc Ninh] - Nhân viên Bảo vệ giám sát Camera</t>
        </is>
      </c>
      <c r="D7680" s="10" t="inlineStr">
        <is>
          <t>Công ty TNHH Phát triển Phú Mỹ Hưng</t>
        </is>
      </c>
      <c r="E7680" s="10" t="inlineStr">
        <is>
          <t>Lương:7 Tr - 8 Tr VND</t>
        </is>
      </c>
      <c r="F7680" s="10" t="inlineStr">
        <is>
          <t>Bắc Ninh</t>
        </is>
      </c>
      <c r="G7680" s="10" t="inlineStr">
        <is>
          <t>10-04-2026</t>
        </is>
      </c>
      <c r="H7680" s="10" t="inlineStr">
        <is>
          <t>10/04/2026</t>
        </is>
      </c>
      <c r="I7680" s="10" t="inlineStr">
        <is>
          <t>17/03/2026</t>
        </is>
      </c>
      <c r="J7680" s="10" t="inlineStr">
        <is>
          <t>An Ninh / Bảo Vệ</t>
        </is>
      </c>
      <c r="K7680" s="10" t="inlineStr">
        <is>
          <t>Trên 2 Năm</t>
        </is>
      </c>
      <c r="L7680" s="11">
        <f>HYPERLINK("https://careerviet.vn/vi/tim-viec-lam/bac-ninh-nhan-vien-bao-ve-giam-sat-camera.35C6BCCF.html","Xem chi tiết")</f>
        <v/>
      </c>
      <c r="M7680" s="10" t="n"/>
    </row>
    <row r="7681">
      <c r="B7681" s="7" t="n">
        <v>7679</v>
      </c>
      <c r="C7681" t="inlineStr">
        <is>
          <t>Trợ lý chuyên môn tiếng anh</t>
        </is>
      </c>
      <c r="D7681" t="inlineStr">
        <is>
          <t>Công Ty TNHH Kindy City</t>
        </is>
      </c>
      <c r="E7681" t="inlineStr">
        <is>
          <t>Lương:Cạnh tranh</t>
        </is>
      </c>
      <c r="F7681" t="inlineStr">
        <is>
          <t>Hồ Chí Minh</t>
        </is>
      </c>
      <c r="G7681" t="inlineStr">
        <is>
          <t>09-04-2026</t>
        </is>
      </c>
      <c r="H7681" t="inlineStr">
        <is>
          <t>09/04/2026</t>
        </is>
      </c>
      <c r="I7681" t="inlineStr">
        <is>
          <t>17/03/2026</t>
        </is>
      </c>
      <c r="J7681" t="inlineStr">
        <is>
          <t>Giáo dục / Đào tạo</t>
        </is>
      </c>
      <c r="K7681" t="inlineStr">
        <is>
          <t>2 - 4 Năm</t>
        </is>
      </c>
      <c r="L7681" s="8">
        <f>HYPERLINK("https://careerviet.vn/vi/tim-viec-lam/tro-ly-chuyen-mon-tieng-anh.35C6BBB6.html","Xem chi tiết")</f>
        <v/>
      </c>
    </row>
    <row r="7682">
      <c r="B7682" s="9" t="n">
        <v>7680</v>
      </c>
      <c r="C7682" s="10" t="inlineStr">
        <is>
          <t>[HCM] Giám Sát Cửa Hàng (F&amp;B)</t>
        </is>
      </c>
      <c r="D7682" s="10" t="inlineStr">
        <is>
          <t>CÔNG TY TNHH THƯƠNG MẠI VÀ DỊCH VỤ TALAD THAI</t>
        </is>
      </c>
      <c r="E7682" s="10" t="inlineStr">
        <is>
          <t>Lương:9 Tr - 10 Tr VND</t>
        </is>
      </c>
      <c r="F7682" s="10" t="inlineStr">
        <is>
          <t>Hồ Chí Minh</t>
        </is>
      </c>
      <c r="G7682" s="10" t="inlineStr">
        <is>
          <t>09-04-2026</t>
        </is>
      </c>
      <c r="H7682" s="10" t="inlineStr">
        <is>
          <t>09/04/2026</t>
        </is>
      </c>
      <c r="I7682" s="10" t="inlineStr">
        <is>
          <t>17/03/2026</t>
        </is>
      </c>
      <c r="J7682" s="10" t="inlineStr">
        <is>
          <t>Nhà hàng / Khách sạn</t>
        </is>
      </c>
      <c r="K7682" s="10" t="inlineStr">
        <is>
          <t>1 - 2 Năm</t>
        </is>
      </c>
      <c r="L7682" s="11">
        <f>HYPERLINK("https://careerviet.vn/vi/tim-viec-lam/hcm-giam-sat-cua-hang-f-b.35C6BBA0.html","Xem chi tiết")</f>
        <v/>
      </c>
      <c r="M7682" s="10" t="n"/>
    </row>
    <row r="7683">
      <c r="B7683" s="7" t="n">
        <v>7681</v>
      </c>
      <c r="C7683" t="inlineStr">
        <is>
          <t>Nhân viên kế toán</t>
        </is>
      </c>
      <c r="D7683" t="inlineStr">
        <is>
          <t>Công ty TNHH Phân Phối Liên Kết Quốc Tế (ILD)</t>
        </is>
      </c>
      <c r="E7683" t="inlineStr">
        <is>
          <t>Lương:7,5 Tr - 8,5 Tr VND</t>
        </is>
      </c>
      <c r="F7683" t="inlineStr">
        <is>
          <t>Hồ Chí Minh</t>
        </is>
      </c>
      <c r="G7683" t="inlineStr">
        <is>
          <t>10-04-2026</t>
        </is>
      </c>
      <c r="H7683" t="inlineStr">
        <is>
          <t>10/04/2026</t>
        </is>
      </c>
      <c r="I7683" t="inlineStr">
        <is>
          <t>17/03/2026</t>
        </is>
      </c>
      <c r="J7683" t="inlineStr">
        <is>
          <t>Kế toán / Kiểm toán</t>
        </is>
      </c>
      <c r="K7683" t="inlineStr">
        <is>
          <t>Lên đến 1 Năm</t>
        </is>
      </c>
      <c r="L7683" s="8">
        <f>HYPERLINK("https://careerviet.vn/vi/tim-viec-lam/nhan-vien-ke-toan.35C6BC17.html","Xem chi tiết")</f>
        <v/>
      </c>
    </row>
    <row r="7684">
      <c r="B7684" s="9" t="n">
        <v>7682</v>
      </c>
      <c r="C7684" s="10" t="inlineStr">
        <is>
          <t>[QUẬN 7] GENERAL AFFAIRS</t>
        </is>
      </c>
      <c r="D7684" s="10" t="inlineStr">
        <is>
          <t>Shinhan Bank Vietnam</t>
        </is>
      </c>
      <c r="E7684" s="10" t="inlineStr">
        <is>
          <t>Lương:Cạnh tranh</t>
        </is>
      </c>
      <c r="F7684" s="10" t="inlineStr">
        <is>
          <t>Hồ Chí Minh</t>
        </is>
      </c>
      <c r="G7684" s="10" t="inlineStr">
        <is>
          <t>29-04-2026</t>
        </is>
      </c>
      <c r="H7684" s="10" t="inlineStr">
        <is>
          <t>29/04/2026</t>
        </is>
      </c>
      <c r="I7684" s="10" t="inlineStr">
        <is>
          <t>17/03/2026</t>
        </is>
      </c>
      <c r="J7684" s="10" t="inlineStr">
        <is>
          <t>Kế toán / Kiểm toán, Hành chính / Thư ký, Ngân hàng</t>
        </is>
      </c>
      <c r="K7684" s="10" t="inlineStr">
        <is>
          <t>Trên 1 Năm</t>
        </is>
      </c>
      <c r="L7684" s="11">
        <f>HYPERLINK("https://careerviet.vn/vi/tim-viec-lam/quan-7-general-affairs.35C6BC2D.html","Xem chi tiết")</f>
        <v/>
      </c>
      <c r="M7684" s="10" t="n"/>
    </row>
    <row r="7685">
      <c r="B7685" s="7" t="n">
        <v>7683</v>
      </c>
      <c r="C7685" t="inlineStr">
        <is>
          <t>[Nova Service Group] Phó Giám đốc Phòng Kinh doanh Kênh B2B</t>
        </is>
      </c>
      <c r="D7685" t="inlineStr">
        <is>
          <t>Nova Service Group - Công ty Cổ phần Tập đoàn Nova Services</t>
        </is>
      </c>
      <c r="E7685" t="inlineStr">
        <is>
          <t>Lương:Cạnh tranh</t>
        </is>
      </c>
      <c r="F7685" t="inlineStr">
        <is>
          <t>Hồ Chí Minh</t>
        </is>
      </c>
      <c r="G7685" t="inlineStr">
        <is>
          <t>11-04-2026</t>
        </is>
      </c>
      <c r="H7685" t="inlineStr">
        <is>
          <t>11/04/2026</t>
        </is>
      </c>
      <c r="I7685" t="inlineStr">
        <is>
          <t>17/03/2026</t>
        </is>
      </c>
      <c r="J7685" t="inlineStr">
        <is>
          <t>Tiếp thị / Marketing, Bán hàng / Kinh doanh</t>
        </is>
      </c>
      <c r="K7685" t="inlineStr">
        <is>
          <t>8 - 15 Năm</t>
        </is>
      </c>
      <c r="L7685" s="8">
        <f>HYPERLINK("https://careerviet.vn/vi/tim-viec-lam/nova-service-group-pho-giam-doc-phong-kinh-doanh-kenh-b2b.35C6BBAA.html","Xem chi tiết")</f>
        <v/>
      </c>
    </row>
    <row r="7686">
      <c r="B7686" s="9" t="n">
        <v>7684</v>
      </c>
      <c r="C7686" s="10" t="inlineStr">
        <is>
          <t>Kỹ sư xây dựng (Lương cứng 15-17 triệu/tháng)</t>
        </is>
      </c>
      <c r="D7686" s="10" t="inlineStr">
        <is>
          <t>HEXAGON - CÔNG TY CỔ PHẦN THIẾT KẾ LỤC GIÁC</t>
        </is>
      </c>
      <c r="E7686" s="10" t="inlineStr">
        <is>
          <t>Lương:15 Tr - 25 Tr VND</t>
        </is>
      </c>
      <c r="F7686" s="10" t="inlineStr">
        <is>
          <t>Hà Nội</t>
        </is>
      </c>
      <c r="G7686" s="10" t="inlineStr">
        <is>
          <t>10-04-2026</t>
        </is>
      </c>
      <c r="H7686" s="10" t="inlineStr">
        <is>
          <t>10/04/2026</t>
        </is>
      </c>
      <c r="I7686" s="10" t="inlineStr">
        <is>
          <t>17/03/2026</t>
        </is>
      </c>
      <c r="J7686" s="10" t="inlineStr">
        <is>
          <t>Nội ngoại thất, Xây dựng</t>
        </is>
      </c>
      <c r="K7686" s="10" t="inlineStr">
        <is>
          <t>3 - 4 Năm</t>
        </is>
      </c>
      <c r="L7686" s="11">
        <f>HYPERLINK("https://careerviet.vn/vi/tim-viec-lam/ky-su-xay-dung-luong-cung-15-17-trieu-thang.35C6BDE9.html","Xem chi tiết")</f>
        <v/>
      </c>
      <c r="M7686" s="10" t="n"/>
    </row>
    <row r="7687">
      <c r="B7687" s="7" t="n">
        <v>7685</v>
      </c>
      <c r="C7687" t="inlineStr">
        <is>
          <t>Kế Toán Trưởng</t>
        </is>
      </c>
      <c r="D7687" t="inlineStr">
        <is>
          <t>Công Ty Cổ Phần Xây Dựng Phước Thành</t>
        </is>
      </c>
      <c r="E7687" t="inlineStr">
        <is>
          <t>Lương:30 Tr - 35 Tr VND</t>
        </is>
      </c>
      <c r="F7687" t="inlineStr">
        <is>
          <t>Hồ Chí Minh</t>
        </is>
      </c>
      <c r="G7687" t="inlineStr">
        <is>
          <t>31-03-2026</t>
        </is>
      </c>
      <c r="H7687" t="inlineStr">
        <is>
          <t>31/03/2026</t>
        </is>
      </c>
      <c r="I7687" t="inlineStr">
        <is>
          <t>17/03/2026</t>
        </is>
      </c>
      <c r="J7687" t="inlineStr">
        <is>
          <t>Kế toán / Kiểm toán, Xây dựng</t>
        </is>
      </c>
      <c r="K7687" t="inlineStr">
        <is>
          <t>5 - 7 Năm</t>
        </is>
      </c>
      <c r="L7687" s="8">
        <f>HYPERLINK("https://careerviet.vn/vi/tim-viec-lam/ke-toan-truong.35C6BBCF.html","Xem chi tiết")</f>
        <v/>
      </c>
    </row>
    <row r="7688">
      <c r="B7688" s="9" t="n">
        <v>7686</v>
      </c>
      <c r="C7688" s="10" t="inlineStr">
        <is>
          <t>KẾ TOÁN NỘI BỘ</t>
        </is>
      </c>
      <c r="D7688" s="10" t="inlineStr">
        <is>
          <t>CÔNG TY TNHH KINGFISHER LOGISTICS</t>
        </is>
      </c>
      <c r="E7688" s="10" t="inlineStr">
        <is>
          <t>Lương:7 Tr - 12 Tr VND</t>
        </is>
      </c>
      <c r="F7688" s="10" t="inlineStr">
        <is>
          <t>Hồ Chí Minh</t>
        </is>
      </c>
      <c r="G7688" s="10" t="inlineStr">
        <is>
          <t>10-04-2026</t>
        </is>
      </c>
      <c r="H7688" s="10" t="inlineStr">
        <is>
          <t>10/04/2026</t>
        </is>
      </c>
      <c r="I7688" s="10" t="inlineStr">
        <is>
          <t>17/03/2026</t>
        </is>
      </c>
      <c r="J7688" s="10" t="inlineStr">
        <is>
          <t>Kế toán / Kiểm toán, Xuất nhập khẩu, Vận chuyển / Giao nhận / Kho vận</t>
        </is>
      </c>
      <c r="K7688" s="10" t="inlineStr">
        <is>
          <t>Trên 1 Năm</t>
        </is>
      </c>
      <c r="L7688" s="11">
        <f>HYPERLINK("https://careerviet.vn/vi/tim-viec-lam/ke-toan-noi-bo.35C6BAF7.html","Xem chi tiết")</f>
        <v/>
      </c>
      <c r="M7688" s="10" t="n"/>
    </row>
    <row r="7689">
      <c r="B7689" s="7" t="n">
        <v>7687</v>
      </c>
      <c r="C7689" t="inlineStr">
        <is>
          <t>HỌA VIÊN KẾT CẤU - Structural Drafman</t>
        </is>
      </c>
      <c r="D7689" t="inlineStr">
        <is>
          <t>Công Ty TNHH Enspan (Việt Nam)</t>
        </is>
      </c>
      <c r="E7689" t="inlineStr">
        <is>
          <t>Lương:Cạnh tranh</t>
        </is>
      </c>
      <c r="F7689" t="inlineStr">
        <is>
          <t>Hồ Chí Minh</t>
        </is>
      </c>
      <c r="G7689" t="inlineStr">
        <is>
          <t>30-04-2026</t>
        </is>
      </c>
      <c r="H7689" t="inlineStr">
        <is>
          <t>30/04/2026</t>
        </is>
      </c>
      <c r="I7689" t="inlineStr">
        <is>
          <t>17/03/2026</t>
        </is>
      </c>
      <c r="J7689" t="inlineStr">
        <is>
          <t>Xây dựng, Kiến trúc, Mới tốt nghiệp / Thực tập</t>
        </is>
      </c>
      <c r="K7689" t="inlineStr">
        <is>
          <t>N/A</t>
        </is>
      </c>
      <c r="L7689" s="8">
        <f>HYPERLINK("https://careerviet.vn/vi/tim-viec-lam/hoa-vien-ket-cau-structural-drafman.35C6BC3F.html","Xem chi tiết")</f>
        <v/>
      </c>
    </row>
    <row r="7690">
      <c r="B7690" s="9" t="n">
        <v>7688</v>
      </c>
      <c r="C7690" s="10" t="inlineStr">
        <is>
          <t>Nhân Viên Kế Toán Bán Hàng</t>
        </is>
      </c>
      <c r="D7690" s="10" t="inlineStr">
        <is>
          <t>Tập Đoàn An Phát Holdings</t>
        </is>
      </c>
      <c r="E7690" s="10" t="inlineStr">
        <is>
          <t>Lương:8,5 Tr - 13 Tr VND</t>
        </is>
      </c>
      <c r="F7690" s="10" t="inlineStr">
        <is>
          <t>Hải Dương</t>
        </is>
      </c>
      <c r="G7690" s="10" t="inlineStr">
        <is>
          <t>30-03-2026</t>
        </is>
      </c>
      <c r="H7690" s="10" t="inlineStr">
        <is>
          <t>30/03/2026</t>
        </is>
      </c>
      <c r="I7690" s="10" t="inlineStr">
        <is>
          <t>17/03/2026</t>
        </is>
      </c>
      <c r="J7690" s="10" t="inlineStr">
        <is>
          <t>Kế toán / Kiểm toán, Ngân hàng</t>
        </is>
      </c>
      <c r="K7690" s="10" t="inlineStr">
        <is>
          <t>N/A</t>
        </is>
      </c>
      <c r="L7690" s="11">
        <f>HYPERLINK("https://careerviet.vn/vi/tim-viec-lam/nhan-vien-ke-toan-ban-hang.35C6BC22.html","Xem chi tiết")</f>
        <v/>
      </c>
      <c r="M7690" s="10" t="n"/>
    </row>
    <row r="7691">
      <c r="B7691" s="7" t="n">
        <v>7689</v>
      </c>
      <c r="C7691" t="inlineStr">
        <is>
          <t>NHÂN VIÊN KẾ TOÁN</t>
        </is>
      </c>
      <c r="D7691" t="inlineStr">
        <is>
          <t>CÔNG TY TNHH ĐÚC BÌNH ĐƯỜNG</t>
        </is>
      </c>
      <c r="E7691" t="inlineStr">
        <is>
          <t>Lương:Cạnh tranh</t>
        </is>
      </c>
      <c r="F7691" t="inlineStr">
        <is>
          <t>Bình Dương</t>
        </is>
      </c>
      <c r="G7691" t="inlineStr">
        <is>
          <t>6</t>
        </is>
      </c>
      <c r="H7691" t="inlineStr">
        <is>
          <t>23/03/2026</t>
        </is>
      </c>
      <c r="I7691" t="inlineStr">
        <is>
          <t>17/03/2026</t>
        </is>
      </c>
      <c r="J7691" t="inlineStr">
        <is>
          <t>Hành chính / Thư ký, Kế toán / Kiểm toán, Tài chính / Đầu tư</t>
        </is>
      </c>
      <c r="K7691" t="inlineStr">
        <is>
          <t>1 - 2 Năm</t>
        </is>
      </c>
      <c r="L7691" s="8">
        <f>HYPERLINK("https://careerviet.vn/vi/tim-viec-lam/nhan-vien-ke-toan.35C6BA6D.html","Xem chi tiết")</f>
        <v/>
      </c>
    </row>
    <row r="7692">
      <c r="B7692" s="9" t="n">
        <v>7690</v>
      </c>
      <c r="C7692" s="10" t="inlineStr">
        <is>
          <t>Chuyên viên Kế toán</t>
        </is>
      </c>
      <c r="D7692" s="10" t="inlineStr">
        <is>
          <t>Công ty Cổ phần Tập đoàn Meey Land</t>
        </is>
      </c>
      <c r="E7692" s="10" t="inlineStr">
        <is>
          <t>Lương:15 Tr - 22 Tr VND</t>
        </is>
      </c>
      <c r="F7692" s="10" t="inlineStr">
        <is>
          <t>Hà Nội</t>
        </is>
      </c>
      <c r="G7692" s="10" t="inlineStr">
        <is>
          <t>10-04-2026</t>
        </is>
      </c>
      <c r="H7692" s="10" t="inlineStr">
        <is>
          <t>10/04/2026</t>
        </is>
      </c>
      <c r="I7692" s="10" t="inlineStr">
        <is>
          <t>17/03/2026</t>
        </is>
      </c>
      <c r="J7692" s="10" t="inlineStr">
        <is>
          <t>Kế toán / Kiểm toán</t>
        </is>
      </c>
      <c r="K7692" s="10" t="inlineStr">
        <is>
          <t>Trên 4 Năm</t>
        </is>
      </c>
      <c r="L7692" s="11">
        <f>HYPERLINK("https://careerviet.vn/vi/tim-viec-lam/chuyen-vien-ke-toan.35C6BB69.html","Xem chi tiết")</f>
        <v/>
      </c>
      <c r="M7692" s="10" t="n"/>
    </row>
    <row r="7693">
      <c r="B7693" s="7" t="n">
        <v>7691</v>
      </c>
      <c r="C7693" t="inlineStr">
        <is>
          <t>NHÂN VIÊN CƠ KHÍ</t>
        </is>
      </c>
      <c r="D7693" t="inlineStr">
        <is>
          <t>Công ty TNHH SX-TM Thép Tây Nam</t>
        </is>
      </c>
      <c r="E7693" t="inlineStr">
        <is>
          <t>Lương:8 Tr - 14 Tr VND</t>
        </is>
      </c>
      <c r="F7693" t="inlineStr">
        <is>
          <t>Long An</t>
        </is>
      </c>
      <c r="G7693" t="inlineStr">
        <is>
          <t>28-03-2026</t>
        </is>
      </c>
      <c r="H7693" t="inlineStr">
        <is>
          <t>28/03/2026</t>
        </is>
      </c>
      <c r="I7693" t="inlineStr">
        <is>
          <t>17/03/2026</t>
        </is>
      </c>
      <c r="J7693" t="inlineStr">
        <is>
          <t>Cơ khí / Ô tô / Tự động hóa, Điện / Điện tử / Điện lạnh / Điện công nghiệp</t>
        </is>
      </c>
      <c r="K7693" t="inlineStr">
        <is>
          <t>N/A</t>
        </is>
      </c>
      <c r="L7693" s="8">
        <f>HYPERLINK("https://careerviet.vn/vi/tim-viec-lam/nhan-vien-co-khi.35C6BDE3.html","Xem chi tiết")</f>
        <v/>
      </c>
    </row>
    <row r="7694">
      <c r="B7694" s="9" t="n">
        <v>7692</v>
      </c>
      <c r="C7694" s="10" t="inlineStr">
        <is>
          <t>Nhân Viên Kế Toán Kho</t>
        </is>
      </c>
      <c r="D7694" s="10" t="inlineStr">
        <is>
          <t>Công Ty TNHH Tập Đoàn Rita Võ</t>
        </is>
      </c>
      <c r="E7694" s="10" t="inlineStr">
        <is>
          <t>Lương:8 Tr - 10 Tr VND</t>
        </is>
      </c>
      <c r="F7694" s="10" t="inlineStr">
        <is>
          <t>Hải Phòng</t>
        </is>
      </c>
      <c r="G7694" s="10" t="inlineStr">
        <is>
          <t>10-04-2026</t>
        </is>
      </c>
      <c r="H7694" s="10" t="inlineStr">
        <is>
          <t>10/04/2026</t>
        </is>
      </c>
      <c r="I7694" s="10" t="inlineStr">
        <is>
          <t>17/03/2026</t>
        </is>
      </c>
      <c r="J7694" s="10" t="inlineStr">
        <is>
          <t>Kế toán / Kiểm toán</t>
        </is>
      </c>
      <c r="K7694" s="10" t="inlineStr">
        <is>
          <t>Lên đến 1 Năm</t>
        </is>
      </c>
      <c r="L7694" s="11">
        <f>HYPERLINK("https://careerviet.vn/vi/tim-viec-lam/nhan-vien-ke-toan-kho.35C6BA9F.html","Xem chi tiết")</f>
        <v/>
      </c>
      <c r="M7694" s="10" t="n"/>
    </row>
    <row r="7695">
      <c r="B7695" s="7" t="n">
        <v>7693</v>
      </c>
      <c r="C7695" t="inlineStr">
        <is>
          <t>Nhân viên chăm sóc khách hàng MB247 tại Đống Đa H1</t>
        </is>
      </c>
      <c r="D7695" t="inlineStr">
        <is>
          <t>CÔNG TY CỔ PHẦN TRUYỀN THÔNG KIM CƯƠNG</t>
        </is>
      </c>
      <c r="E7695" t="inlineStr">
        <is>
          <t>Lương:8 Tr - 12 Tr VND</t>
        </is>
      </c>
      <c r="F7695" t="inlineStr">
        <is>
          <t>Hà Nội</t>
        </is>
      </c>
      <c r="G7695" t="inlineStr">
        <is>
          <t>30-04-2026</t>
        </is>
      </c>
      <c r="H7695" t="inlineStr">
        <is>
          <t>30/04/2026</t>
        </is>
      </c>
      <c r="I7695" t="inlineStr">
        <is>
          <t>17/03/2026</t>
        </is>
      </c>
      <c r="J7695" t="inlineStr">
        <is>
          <t>Kế toán / Kiểm toán, Giáo dục / Đào tạo, Bán lẻ / Bán sỉ</t>
        </is>
      </c>
      <c r="K7695" t="inlineStr">
        <is>
          <t>N/A</t>
        </is>
      </c>
      <c r="L7695" s="8">
        <f>HYPERLINK("https://careerviet.vn/vi/tim-viec-lam/nhan-vien-cham-soc-khach-hang-mb247-tai-dong-da-h1.35C6BD46.html","Xem chi tiết")</f>
        <v/>
      </c>
    </row>
    <row r="7696">
      <c r="B7696" s="9" t="n">
        <v>7694</v>
      </c>
      <c r="C7696" s="10" t="inlineStr">
        <is>
          <t>NHÂN SỰ NHÀ MÁY</t>
        </is>
      </c>
      <c r="D7696" s="10" t="inlineStr">
        <is>
          <t>Công ty TNHH SX-TM Thép Tây Nam</t>
        </is>
      </c>
      <c r="E7696" s="10" t="inlineStr">
        <is>
          <t>Lương:6 Tr - 9 Tr VND</t>
        </is>
      </c>
      <c r="F7696" s="10" t="inlineStr">
        <is>
          <t>Long An</t>
        </is>
      </c>
      <c r="G7696" s="10" t="inlineStr">
        <is>
          <t>28-03-2026</t>
        </is>
      </c>
      <c r="H7696" s="10" t="inlineStr">
        <is>
          <t>28/03/2026</t>
        </is>
      </c>
      <c r="I7696" s="10" t="inlineStr">
        <is>
          <t>17/03/2026</t>
        </is>
      </c>
      <c r="J7696" s="10" t="inlineStr">
        <is>
          <t>Hành chính / Thư ký, Nhân sự</t>
        </is>
      </c>
      <c r="K7696" s="10" t="inlineStr">
        <is>
          <t>Lên đến 1 Năm</t>
        </is>
      </c>
      <c r="L7696" s="11">
        <f>HYPERLINK("https://careerviet.vn/vi/tim-viec-lam/nhan-su-nha-may.35C6BDC4.html","Xem chi tiết")</f>
        <v/>
      </c>
      <c r="M7696" s="10" t="n"/>
    </row>
    <row r="7697">
      <c r="B7697" s="7" t="n">
        <v>7695</v>
      </c>
      <c r="C7697" t="inlineStr">
        <is>
          <t>[HN] Nhân Viên Kế Toán Thu Ngân (Ca hành chính)</t>
        </is>
      </c>
      <c r="D7697" t="inlineStr">
        <is>
          <t>THỜI TRANG LINING_CÔNG TY TNHH QUỐC TẾ HẢI LONG</t>
        </is>
      </c>
      <c r="E7697" t="inlineStr">
        <is>
          <t>Lương:9 Tr - 13 Tr VND</t>
        </is>
      </c>
      <c r="F7697" t="inlineStr">
        <is>
          <t>Hà Nội</t>
        </is>
      </c>
      <c r="G7697" t="inlineStr">
        <is>
          <t>10-04-2026</t>
        </is>
      </c>
      <c r="H7697" t="inlineStr">
        <is>
          <t>10/04/2026</t>
        </is>
      </c>
      <c r="I7697" t="inlineStr">
        <is>
          <t>17/03/2026</t>
        </is>
      </c>
      <c r="J7697" t="inlineStr">
        <is>
          <t>Kế toán / Kiểm toán</t>
        </is>
      </c>
      <c r="K7697" t="inlineStr">
        <is>
          <t>1 - 2 Năm</t>
        </is>
      </c>
      <c r="L7697" s="8">
        <f>HYPERLINK("https://careerviet.vn/vi/tim-viec-lam/hn-nhan-vien-ke-toan-thu-ngan-ca-hanh-chinh.35C6BC34.html","Xem chi tiết")</f>
        <v/>
      </c>
    </row>
    <row r="7698">
      <c r="B7698" s="9" t="n">
        <v>7696</v>
      </c>
      <c r="C7698" s="10" t="inlineStr">
        <is>
          <t>NHÂN VIÊN THỐNG KÊ CHI PHÍ</t>
        </is>
      </c>
      <c r="D7698" s="10" t="inlineStr">
        <is>
          <t>Công ty TNHH SX-TM Thép Tây Nam</t>
        </is>
      </c>
      <c r="E7698" s="10" t="inlineStr">
        <is>
          <t>Lương:8 Tr - 10 Tr VND</t>
        </is>
      </c>
      <c r="F7698" s="10" t="inlineStr">
        <is>
          <t>Long An</t>
        </is>
      </c>
      <c r="G7698" s="10" t="inlineStr">
        <is>
          <t>28-03-2026</t>
        </is>
      </c>
      <c r="H7698" s="10" t="inlineStr">
        <is>
          <t>28/03/2026</t>
        </is>
      </c>
      <c r="I7698" s="10" t="inlineStr">
        <is>
          <t>17/03/2026</t>
        </is>
      </c>
      <c r="J7698" s="10" t="inlineStr">
        <is>
          <t>Kế toán / Kiểm toán, Thống kê</t>
        </is>
      </c>
      <c r="K7698" s="10" t="inlineStr">
        <is>
          <t>Chưa có kinh nghiệm</t>
        </is>
      </c>
      <c r="L7698" s="11">
        <f>HYPERLINK("https://careerviet.vn/vi/tim-viec-lam/nhan-vien-thong-ke-chi-phi.35C6BCEF.html","Xem chi tiết")</f>
        <v/>
      </c>
      <c r="M7698" s="10" t="n"/>
    </row>
    <row r="7699">
      <c r="B7699" s="7" t="n">
        <v>7697</v>
      </c>
      <c r="C7699" t="inlineStr">
        <is>
          <t>Quản lý khách hàng trọng điểm (Yêu cầu có kinh nghiệm lĩnh vực Vật tư &amp; Thiết bị Y tế)</t>
        </is>
      </c>
      <c r="D7699" t="inlineStr">
        <is>
          <t>Công Ty Cổ Phần Y Tế Việt Tiến</t>
        </is>
      </c>
      <c r="E7699" t="inlineStr">
        <is>
          <t>Lương:Cạnh tranh</t>
        </is>
      </c>
      <c r="F7699" t="inlineStr">
        <is>
          <t>Hồ Chí Minh</t>
        </is>
      </c>
      <c r="G7699" t="inlineStr">
        <is>
          <t>20-04-2026</t>
        </is>
      </c>
      <c r="H7699" t="inlineStr">
        <is>
          <t>20/04/2026</t>
        </is>
      </c>
      <c r="I7699" t="inlineStr">
        <is>
          <t>17/03/2026</t>
        </is>
      </c>
      <c r="J7699" t="inlineStr">
        <is>
          <t>Y tế / Chăm sóc sức khỏe / Thẩm mỹ / Làm đẹp</t>
        </is>
      </c>
      <c r="K7699" t="inlineStr">
        <is>
          <t>N/A</t>
        </is>
      </c>
      <c r="L7699" s="8">
        <f>HYPERLINK("https://careerviet.vn/vi/tim-viec-lam/quan-ly-khach-hang-trong-diem-yeu-cau-co-kinh-nghiem-linh-vuc-vat-tu-thiet-bi-y-te.35C6BD02.html","Xem chi tiết")</f>
        <v/>
      </c>
    </row>
    <row r="7700">
      <c r="B7700" s="9" t="n">
        <v>7698</v>
      </c>
      <c r="C7700" s="10" t="inlineStr">
        <is>
          <t>[Bắc Ninh] Kỹ sư giám sát xây dựng</t>
        </is>
      </c>
      <c r="D7700" s="10" t="inlineStr">
        <is>
          <t>Công ty TNHH tư vấn công trình xây dựng KCIS</t>
        </is>
      </c>
      <c r="E7700" s="10" t="inlineStr">
        <is>
          <t>Lương:15 Tr - 20 Tr VND</t>
        </is>
      </c>
      <c r="F7700" s="10" t="inlineStr">
        <is>
          <t>Bắc Ninh</t>
        </is>
      </c>
      <c r="G7700" s="10" t="inlineStr">
        <is>
          <t>25-03-2026</t>
        </is>
      </c>
      <c r="H7700" s="10" t="inlineStr">
        <is>
          <t>25/03/2026</t>
        </is>
      </c>
      <c r="I7700" s="10" t="inlineStr">
        <is>
          <t>17/03/2026</t>
        </is>
      </c>
      <c r="J7700" s="10" t="inlineStr">
        <is>
          <t>Xây dựng</t>
        </is>
      </c>
      <c r="K7700" s="10" t="inlineStr">
        <is>
          <t>Lên đến 1 Năm</t>
        </is>
      </c>
      <c r="L7700" s="11">
        <f>HYPERLINK("https://careerviet.vn/vi/tim-viec-lam/bac-ninh-ky-su-giam-sat-xay-dung.35C6BD3A.html","Xem chi tiết")</f>
        <v/>
      </c>
      <c r="M7700" s="10" t="n"/>
    </row>
    <row r="7701">
      <c r="B7701" s="7" t="n">
        <v>7699</v>
      </c>
      <c r="C7701" t="inlineStr">
        <is>
          <t>Kỹ Sư Điện</t>
        </is>
      </c>
      <c r="D7701" t="inlineStr">
        <is>
          <t>CÔNG TY TNHH THƯƠNG MẠI DỊCH VỤ KỸ THUẬT NHẬT HẠ</t>
        </is>
      </c>
      <c r="E7701" t="inlineStr">
        <is>
          <t>Lương:Cạnh tranh</t>
        </is>
      </c>
      <c r="F7701" t="inlineStr">
        <is>
          <t>Hồ Chí Minh</t>
        </is>
      </c>
      <c r="G7701" t="inlineStr">
        <is>
          <t>31-03-2026</t>
        </is>
      </c>
      <c r="H7701" t="inlineStr">
        <is>
          <t>31/03/2026</t>
        </is>
      </c>
      <c r="I7701" t="inlineStr">
        <is>
          <t>17/03/2026</t>
        </is>
      </c>
      <c r="J7701" t="inlineStr">
        <is>
          <t>Bảo trì / Sửa chữa, Điện / Điện tử / Điện lạnh / Điện công nghiệp, Cơ khí / Ô tô / Tự động hóa</t>
        </is>
      </c>
      <c r="K7701" t="inlineStr">
        <is>
          <t>1 - 3 Năm</t>
        </is>
      </c>
      <c r="L7701" s="8">
        <f>HYPERLINK("https://careerviet.vn/vi/tim-viec-lam/ky-su-dien.35C6BB92.html","Xem chi tiết")</f>
        <v/>
      </c>
    </row>
    <row r="7702">
      <c r="B7702" s="9" t="n">
        <v>7700</v>
      </c>
      <c r="C7702" s="10" t="inlineStr">
        <is>
          <t>BIM Modeler</t>
        </is>
      </c>
      <c r="D7702" s="10" t="inlineStr">
        <is>
          <t>VINHOMES - Tập đoàn Vingroup</t>
        </is>
      </c>
      <c r="E7702" s="10" t="inlineStr">
        <is>
          <t>Lương:Cạnh tranh</t>
        </is>
      </c>
      <c r="F7702" s="10" t="inlineStr">
        <is>
          <t>Hà Nội</t>
        </is>
      </c>
      <c r="G7702" s="10" t="inlineStr">
        <is>
          <t>10-04-2026</t>
        </is>
      </c>
      <c r="H7702" s="10" t="inlineStr">
        <is>
          <t>10/04/2026</t>
        </is>
      </c>
      <c r="I7702" s="10" t="inlineStr">
        <is>
          <t>17/03/2026</t>
        </is>
      </c>
      <c r="J7702" s="10" t="inlineStr">
        <is>
          <t>Xây dựng</t>
        </is>
      </c>
      <c r="K7702" s="10" t="inlineStr">
        <is>
          <t>2 - 5 Năm</t>
        </is>
      </c>
      <c r="L7702" s="11">
        <f>HYPERLINK("https://careerviet.vn/vi/tim-viec-lam/bim-modeler.35C6BD2D.html","Xem chi tiết")</f>
        <v/>
      </c>
      <c r="M7702" s="10" t="n"/>
    </row>
    <row r="7703">
      <c r="B7703" s="7" t="n">
        <v>7701</v>
      </c>
      <c r="C7703" t="inlineStr">
        <is>
          <t>TRỢ LÝ KẾ TOÁN - TÀI CHÍNH</t>
        </is>
      </c>
      <c r="D7703" t="inlineStr">
        <is>
          <t>Công ty TNHH SX-TM Thép Tây Nam</t>
        </is>
      </c>
      <c r="E7703" t="inlineStr">
        <is>
          <t>Lương:12 Tr - 20 Tr VND</t>
        </is>
      </c>
      <c r="F7703" t="inlineStr">
        <is>
          <t>Long An</t>
        </is>
      </c>
      <c r="G7703" t="inlineStr">
        <is>
          <t>28-03-2026</t>
        </is>
      </c>
      <c r="H7703" t="inlineStr">
        <is>
          <t>28/03/2026</t>
        </is>
      </c>
      <c r="I7703" t="inlineStr">
        <is>
          <t>17/03/2026</t>
        </is>
      </c>
      <c r="J7703" t="inlineStr">
        <is>
          <t>Hành chính / Thư ký, Kế toán / Kiểm toán, Tài chính / Đầu tư</t>
        </is>
      </c>
      <c r="K7703" t="inlineStr">
        <is>
          <t>1 - 2 Năm</t>
        </is>
      </c>
      <c r="L7703" s="8">
        <f>HYPERLINK("https://careerviet.vn/vi/tim-viec-lam/tro-ly-ke-toan-tai-chinh.35C6BDD1.html","Xem chi tiết")</f>
        <v/>
      </c>
    </row>
    <row r="7704">
      <c r="B7704" s="9" t="n">
        <v>7702</v>
      </c>
      <c r="C7704" s="10" t="inlineStr">
        <is>
          <t>NHÂN VIÊN CHĂM SÓC KHÁCH HÀNG MẢNG Ô TÔ (GẤP 9-12TR)</t>
        </is>
      </c>
      <c r="D7704" s="10" t="inlineStr">
        <is>
          <t>Hoàng Huy Group</t>
        </is>
      </c>
      <c r="E7704" s="10" t="inlineStr">
        <is>
          <t>Lương:9 Tr - 12 Tr VND</t>
        </is>
      </c>
      <c r="F7704" s="10" t="inlineStr">
        <is>
          <t>Hà Nội</t>
        </is>
      </c>
      <c r="G7704" s="10" t="inlineStr">
        <is>
          <t>31-03-2026</t>
        </is>
      </c>
      <c r="H7704" s="10" t="inlineStr">
        <is>
          <t>31/03/2026</t>
        </is>
      </c>
      <c r="I7704" s="10" t="inlineStr">
        <is>
          <t>17/03/2026</t>
        </is>
      </c>
      <c r="J7704" s="10" t="inlineStr">
        <is>
          <t>Bán hàng / Kinh doanh, Dịch vụ khách hàng, Cơ khí / Ô tô / Tự động hóa</t>
        </is>
      </c>
      <c r="K7704" s="10" t="inlineStr">
        <is>
          <t>2 - 3 Năm</t>
        </is>
      </c>
      <c r="L7704" s="11">
        <f>HYPERLINK("https://careerviet.vn/vi/tim-viec-lam/nhan-vien-cham-soc-khach-hang-mang-o-to-gap-9-12tr.35C6BCC7.html","Xem chi tiết")</f>
        <v/>
      </c>
      <c r="M7704" s="10" t="n"/>
    </row>
    <row r="7705">
      <c r="B7705" s="7" t="n">
        <v>7703</v>
      </c>
      <c r="C7705" t="inlineStr">
        <is>
          <t>Chuyên viên Cao cấp Tổ chức Đấu thầu</t>
        </is>
      </c>
      <c r="D7705" t="inlineStr">
        <is>
          <t>Nova Service Group - Công ty Cổ phần Tập đoàn Nova Services</t>
        </is>
      </c>
      <c r="E7705" t="inlineStr">
        <is>
          <t>Lương:Cạnh tranh</t>
        </is>
      </c>
      <c r="F7705" t="inlineStr">
        <is>
          <t>Hồ Chí Minh</t>
        </is>
      </c>
      <c r="G7705" t="inlineStr">
        <is>
          <t>30-04-2026</t>
        </is>
      </c>
      <c r="H7705" t="inlineStr">
        <is>
          <t>30/04/2026</t>
        </is>
      </c>
      <c r="I7705" t="inlineStr">
        <is>
          <t>17/03/2026</t>
        </is>
      </c>
      <c r="J7705" t="inlineStr">
        <is>
          <t>Nhà hàng / Khách sạn, Thu mua / Vật tư</t>
        </is>
      </c>
      <c r="K7705" t="inlineStr">
        <is>
          <t>3 - 5 Năm</t>
        </is>
      </c>
      <c r="L7705" s="8">
        <f>HYPERLINK("https://careerviet.vn/vi/tim-viec-lam/chuyen-vien-cao-cap-to-chuc-dau-thau.35C6BD2B.html","Xem chi tiết")</f>
        <v/>
      </c>
    </row>
    <row r="7706">
      <c r="B7706" s="9" t="n">
        <v>7704</v>
      </c>
      <c r="C7706" s="10" t="inlineStr">
        <is>
          <t>Motor Quality Engineer - District 9</t>
        </is>
      </c>
      <c r="D7706" s="10" t="inlineStr">
        <is>
          <t>Techtronic Industries Vietnam Manufacturing Company Limited</t>
        </is>
      </c>
      <c r="E7706" s="10" t="inlineStr">
        <is>
          <t>Lương:Cạnh tranh</t>
        </is>
      </c>
      <c r="F7706" s="10" t="inlineStr">
        <is>
          <t>Hồ Chí Minh</t>
        </is>
      </c>
      <c r="G7706" s="10" t="inlineStr">
        <is>
          <t>20-04-2026</t>
        </is>
      </c>
      <c r="H7706" s="10" t="inlineStr">
        <is>
          <t>20/04/2026</t>
        </is>
      </c>
      <c r="I7706" s="10" t="inlineStr">
        <is>
          <t>17/03/2026</t>
        </is>
      </c>
      <c r="J7706" s="10" t="inlineStr">
        <is>
          <t>Cơ khí / Ô tô / Tự động hóa, Điện / Điện tử / Điện lạnh / Điện công nghiệp</t>
        </is>
      </c>
      <c r="K7706" s="10" t="inlineStr">
        <is>
          <t>3 - 4 Năm</t>
        </is>
      </c>
      <c r="L7706" s="11">
        <f>HYPERLINK("https://careerviet.vn/vi/tim-viec-lam/motor-quality-engineer-district-9.35C6BD1D.html","Xem chi tiết")</f>
        <v/>
      </c>
      <c r="M7706" s="10" t="n"/>
    </row>
    <row r="7707">
      <c r="B7707" s="7" t="n">
        <v>7705</v>
      </c>
      <c r="C7707" t="inlineStr">
        <is>
          <t>Cán bộ cung ứng nguồn lao động đi làm việc ở nước ngoài</t>
        </is>
      </c>
      <c r="D7707" t="inlineStr">
        <is>
          <t>CÔNG TY TNHH ĐẦU TƯ, THƯƠNG MẠI VÀ DỊCH VỤ QUINN HÀ NỘI</t>
        </is>
      </c>
      <c r="E7707" t="inlineStr">
        <is>
          <t>Lương:15 Tr - 40 Tr VND</t>
        </is>
      </c>
      <c r="F7707" t="inlineStr">
        <is>
          <t>Hà Nội</t>
        </is>
      </c>
      <c r="G7707" t="inlineStr">
        <is>
          <t>30-04-2026</t>
        </is>
      </c>
      <c r="H7707" t="inlineStr">
        <is>
          <t>30/04/2026</t>
        </is>
      </c>
      <c r="I7707" t="inlineStr">
        <is>
          <t>17/03/2026</t>
        </is>
      </c>
      <c r="J7707" t="inlineStr">
        <is>
          <t>Bảo hiểm, Nhân sự, Tư vấn</t>
        </is>
      </c>
      <c r="K7707" t="inlineStr">
        <is>
          <t>1 - 3 Năm</t>
        </is>
      </c>
      <c r="L7707" s="8">
        <f>HYPERLINK("https://careerviet.vn/vi/tim-viec-lam/can-bo-cung-ung-nguon-lao-dong-di-lam-viec-o-nuoc-ngoai.35C6BA9E.html","Xem chi tiết")</f>
        <v/>
      </c>
    </row>
    <row r="7708">
      <c r="B7708" s="9" t="n">
        <v>7706</v>
      </c>
      <c r="C7708" s="10" t="inlineStr">
        <is>
          <t>Nhân viên kỹ thuật bảo trì</t>
        </is>
      </c>
      <c r="D7708" s="10" t="inlineStr">
        <is>
          <t>Công ty TNHH PHD</t>
        </is>
      </c>
      <c r="E7708" s="10" t="inlineStr">
        <is>
          <t>Lương:9 Tr - 11 Tr VND</t>
        </is>
      </c>
      <c r="F7708" s="10" t="inlineStr">
        <is>
          <t>Hà Nội</t>
        </is>
      </c>
      <c r="G7708" s="10" t="inlineStr">
        <is>
          <t>10-04-2026</t>
        </is>
      </c>
      <c r="H7708" s="10" t="inlineStr">
        <is>
          <t>10/04/2026</t>
        </is>
      </c>
      <c r="I7708" s="10" t="inlineStr">
        <is>
          <t>17/03/2026</t>
        </is>
      </c>
      <c r="J7708" s="10" t="inlineStr">
        <is>
          <t>Điện / Điện tử / Điện lạnh / Điện công nghiệp</t>
        </is>
      </c>
      <c r="K7708" s="10" t="inlineStr">
        <is>
          <t>Chưa có kinh nghiệm</t>
        </is>
      </c>
      <c r="L7708" s="11">
        <f>HYPERLINK("https://careerviet.vn/vi/tim-viec-lam/nhan-vien-ky-thuat-bao-tri.35C6BB7A.html","Xem chi tiết")</f>
        <v/>
      </c>
      <c r="M7708" s="10" t="n"/>
    </row>
    <row r="7709">
      <c r="B7709" s="7" t="n">
        <v>7707</v>
      </c>
      <c r="C7709" t="inlineStr">
        <is>
          <t>Procurement</t>
        </is>
      </c>
      <c r="D7709" t="inlineStr">
        <is>
          <t>Công ty TNHH Phát triển Phú Mỹ Hưng</t>
        </is>
      </c>
      <c r="E7709" t="inlineStr">
        <is>
          <t>Lương:Cạnh tranh</t>
        </is>
      </c>
      <c r="F7709" t="inlineStr">
        <is>
          <t>Hồ Chí Minh</t>
        </is>
      </c>
      <c r="G7709" t="inlineStr">
        <is>
          <t>31-03-2026</t>
        </is>
      </c>
      <c r="H7709" t="inlineStr">
        <is>
          <t>31/03/2026</t>
        </is>
      </c>
      <c r="I7709" t="inlineStr">
        <is>
          <t>17/03/2026</t>
        </is>
      </c>
      <c r="J7709" t="inlineStr">
        <is>
          <t>Thu mua / Vật tư, Xây dựng, Bất động sản</t>
        </is>
      </c>
      <c r="K7709" t="inlineStr">
        <is>
          <t>3 - 5 Năm</t>
        </is>
      </c>
      <c r="L7709" s="8">
        <f>HYPERLINK("https://careerviet.vn/vi/tim-viec-lam/procurement.35C6BBF1.html","Xem chi tiết")</f>
        <v/>
      </c>
    </row>
    <row r="7710">
      <c r="B7710" s="9" t="n">
        <v>7708</v>
      </c>
      <c r="C7710" s="10" t="inlineStr">
        <is>
          <t>NHÂN VIÊN THIẾT KẾ KẾT CẤU</t>
        </is>
      </c>
      <c r="D7710" s="10" t="inlineStr">
        <is>
          <t>Công Ty CP Xây Dựng A&amp;C</t>
        </is>
      </c>
      <c r="E7710" s="10" t="inlineStr">
        <is>
          <t>Lương:Cạnh tranh</t>
        </is>
      </c>
      <c r="F7710" s="10" t="inlineStr">
        <is>
          <t>Hồ Chí Minh</t>
        </is>
      </c>
      <c r="G7710" s="10" t="inlineStr">
        <is>
          <t>25-03-2026</t>
        </is>
      </c>
      <c r="H7710" s="10" t="inlineStr">
        <is>
          <t>25/03/2026</t>
        </is>
      </c>
      <c r="I7710" s="10" t="inlineStr">
        <is>
          <t>17/03/2026</t>
        </is>
      </c>
      <c r="J7710" s="10" t="inlineStr">
        <is>
          <t>Xây dựng, Kiến trúc</t>
        </is>
      </c>
      <c r="K7710" s="10" t="inlineStr">
        <is>
          <t>3 - 5 Năm</t>
        </is>
      </c>
      <c r="L7710" s="11">
        <f>HYPERLINK("https://careerviet.vn/vi/tim-viec-lam/nhan-vien-thiet-ke-ket-cau.35C6BCA5.html","Xem chi tiết")</f>
        <v/>
      </c>
      <c r="M7710" s="10" t="n"/>
    </row>
    <row r="7711">
      <c r="B7711" s="7" t="n">
        <v>7709</v>
      </c>
      <c r="C7711" t="inlineStr">
        <is>
          <t>Trưởng Phòng Hành Chính Nhân Sự</t>
        </is>
      </c>
      <c r="D7711" t="inlineStr">
        <is>
          <t>Công Ty TNHH Dược Phẩm Healthy Beauty</t>
        </is>
      </c>
      <c r="E7711" t="inlineStr">
        <is>
          <t>Lương:25 Tr - 30 Tr VND</t>
        </is>
      </c>
      <c r="F7711" t="inlineStr">
        <is>
          <t>Hồ Chí Minh</t>
        </is>
      </c>
      <c r="G7711" t="inlineStr">
        <is>
          <t>31-03-2026</t>
        </is>
      </c>
      <c r="H7711" t="inlineStr">
        <is>
          <t>31/03/2026</t>
        </is>
      </c>
      <c r="I7711" t="inlineStr">
        <is>
          <t>17/03/2026</t>
        </is>
      </c>
      <c r="J7711" t="inlineStr">
        <is>
          <t>Dược phẩm/ Hóa Mỹ Phẩm, Nhân sự, Hành chính / Thư ký</t>
        </is>
      </c>
      <c r="K7711" t="inlineStr">
        <is>
          <t>5 - 10 Năm</t>
        </is>
      </c>
      <c r="L7711" s="8">
        <f>HYPERLINK("https://careerviet.vn/vi/tim-viec-lam/truong-phong-hanh-chinh-nhan-su.35C6BC19.html","Xem chi tiết")</f>
        <v/>
      </c>
    </row>
    <row r="7712">
      <c r="B7712" s="9" t="n">
        <v>7710</v>
      </c>
      <c r="C7712" s="10" t="inlineStr">
        <is>
          <t>Chuyên viên tuyển dụng</t>
        </is>
      </c>
      <c r="D7712" s="10" t="inlineStr">
        <is>
          <t>Công Ty CP XNK Hóa Chất &amp; Thiết Bị Kim Ngưu</t>
        </is>
      </c>
      <c r="E7712" s="10" t="inlineStr">
        <is>
          <t>Lương:13 Tr - 17 Tr VND</t>
        </is>
      </c>
      <c r="F7712" s="10" t="inlineStr">
        <is>
          <t>Hà Nội</t>
        </is>
      </c>
      <c r="G7712" s="10" t="inlineStr">
        <is>
          <t>29-04-2026</t>
        </is>
      </c>
      <c r="H7712" s="10" t="inlineStr">
        <is>
          <t>29/04/2026</t>
        </is>
      </c>
      <c r="I7712" s="10" t="inlineStr">
        <is>
          <t>17/03/2026</t>
        </is>
      </c>
      <c r="J7712" s="10" t="inlineStr">
        <is>
          <t>Nhân sự</t>
        </is>
      </c>
      <c r="K7712" s="10" t="inlineStr">
        <is>
          <t>3 - 5 Năm</t>
        </is>
      </c>
      <c r="L7712" s="11">
        <f>HYPERLINK("https://careerviet.vn/vi/tim-viec-lam/chuyen-vien-tuyen-dung.35C6BD03.html","Xem chi tiết")</f>
        <v/>
      </c>
      <c r="M7712" s="10" t="n"/>
    </row>
    <row r="7713">
      <c r="B7713" s="7" t="n">
        <v>7711</v>
      </c>
      <c r="C7713" t="inlineStr">
        <is>
          <t>Nhân viên kế toán</t>
        </is>
      </c>
      <c r="D7713" t="inlineStr">
        <is>
          <t>CÔNG TY TNHH CÔNG NGHỆ VIỆT</t>
        </is>
      </c>
      <c r="E7713" t="inlineStr">
        <is>
          <t>Lương:10 Tr - 15 Tr VND</t>
        </is>
      </c>
      <c r="F7713" t="inlineStr">
        <is>
          <t>Hà Nội</t>
        </is>
      </c>
      <c r="G7713" t="inlineStr">
        <is>
          <t>31-03-2026</t>
        </is>
      </c>
      <c r="H7713" t="inlineStr">
        <is>
          <t>31/03/2026</t>
        </is>
      </c>
      <c r="I7713" t="inlineStr">
        <is>
          <t>17/03/2026</t>
        </is>
      </c>
      <c r="J7713" t="inlineStr">
        <is>
          <t>Kế toán / Kiểm toán, Xây dựng</t>
        </is>
      </c>
      <c r="K7713" t="inlineStr">
        <is>
          <t>1 - 2 Năm</t>
        </is>
      </c>
      <c r="L7713" s="8">
        <f>HYPERLINK("https://careerviet.vn/vi/tim-viec-lam/nhan-vien-ke-toan.35C6BB80.html","Xem chi tiết")</f>
        <v/>
      </c>
    </row>
    <row r="7714">
      <c r="B7714" s="9" t="n">
        <v>7712</v>
      </c>
      <c r="C7714" s="10" t="inlineStr">
        <is>
          <t>Chủ trì thiết kế [Xhome Việt Nam]</t>
        </is>
      </c>
      <c r="D7714" s="10" t="inlineStr">
        <is>
          <t>Công ty CP XHOME Việt Nam</t>
        </is>
      </c>
      <c r="E7714" s="10" t="inlineStr">
        <is>
          <t>Lương:25 Tr - 35 Tr VND</t>
        </is>
      </c>
      <c r="F7714" s="10" t="inlineStr">
        <is>
          <t>Hà Nội</t>
        </is>
      </c>
      <c r="G7714" s="10" t="inlineStr">
        <is>
          <t>03-04-2026</t>
        </is>
      </c>
      <c r="H7714" s="10" t="inlineStr">
        <is>
          <t>03/04/2026</t>
        </is>
      </c>
      <c r="I7714" s="10" t="inlineStr">
        <is>
          <t>17/03/2026</t>
        </is>
      </c>
      <c r="J7714" s="10" t="inlineStr">
        <is>
          <t>Kiến trúc, Nội ngoại thất</t>
        </is>
      </c>
      <c r="K7714" s="10" t="inlineStr">
        <is>
          <t>2 - 3 Năm</t>
        </is>
      </c>
      <c r="L7714" s="11">
        <f>HYPERLINK("https://careerviet.vn/vi/tim-viec-lam/chu-tri-thiet-ke-xhome-viet-nam.35C6BC71.html","Xem chi tiết")</f>
        <v/>
      </c>
      <c r="M7714" s="10" t="n"/>
    </row>
    <row r="7715">
      <c r="B7715" s="7" t="n">
        <v>7713</v>
      </c>
      <c r="C7715" t="inlineStr">
        <is>
          <t>Nhân viên kinh doanh</t>
        </is>
      </c>
      <c r="D7715" t="inlineStr">
        <is>
          <t>CÔNG TY TNHH FISA VIỆT NAM</t>
        </is>
      </c>
      <c r="E7715" t="inlineStr">
        <is>
          <t>Lương:8 Tr - 30 Tr VND</t>
        </is>
      </c>
      <c r="F7715" t="inlineStr">
        <is>
          <t>Hà Nội</t>
        </is>
      </c>
      <c r="G7715" t="inlineStr">
        <is>
          <t>31-03-2026</t>
        </is>
      </c>
      <c r="H7715" t="inlineStr">
        <is>
          <t>31/03/2026</t>
        </is>
      </c>
      <c r="I7715" t="inlineStr">
        <is>
          <t>17/03/2026</t>
        </is>
      </c>
      <c r="J7715" t="inlineStr">
        <is>
          <t>Điện / Điện tử / Điện lạnh / Điện công nghiệp</t>
        </is>
      </c>
      <c r="K7715" t="inlineStr">
        <is>
          <t>Chưa có kinh nghiệm</t>
        </is>
      </c>
      <c r="L7715" s="8">
        <f>HYPERLINK("https://careerviet.vn/vi/tim-viec-lam/nhan-vien-kinh-doanh.35C6B7A2.html","Xem chi tiết")</f>
        <v/>
      </c>
    </row>
    <row r="7716">
      <c r="B7716" s="9" t="n">
        <v>7714</v>
      </c>
      <c r="C7716" s="10" t="inlineStr">
        <is>
          <t>Chuyên gia Tâm lý trị liệu</t>
        </is>
      </c>
      <c r="D7716" s="10" t="inlineStr">
        <is>
          <t>BỆNH VIỆN ĐA KHOA PHƯƠNG ĐÔNG</t>
        </is>
      </c>
      <c r="E7716" s="10" t="inlineStr">
        <is>
          <t>Lương:Cạnh tranh</t>
        </is>
      </c>
      <c r="F7716" s="10" t="inlineStr">
        <is>
          <t>Hà Nội</t>
        </is>
      </c>
      <c r="G7716" s="10" t="inlineStr">
        <is>
          <t>31-03-2026</t>
        </is>
      </c>
      <c r="H7716" s="10" t="inlineStr">
        <is>
          <t>31/03/2026</t>
        </is>
      </c>
      <c r="I7716" s="10" t="inlineStr">
        <is>
          <t>17/03/2026</t>
        </is>
      </c>
      <c r="J7716" s="10" t="inlineStr">
        <is>
          <t>Y tế / Chăm sóc sức khỏe / Thẩm mỹ / Làm đẹp</t>
        </is>
      </c>
      <c r="K7716" s="10" t="inlineStr">
        <is>
          <t>2 - 5 Năm</t>
        </is>
      </c>
      <c r="L7716" s="11">
        <f>HYPERLINK("https://careerviet.vn/vi/tim-viec-lam/chuyen-gia-tam-ly-tri-lieu.35C6BCC1.html","Xem chi tiết")</f>
        <v/>
      </c>
      <c r="M7716" s="10" t="n"/>
    </row>
    <row r="7717">
      <c r="B7717" s="7" t="n">
        <v>7715</v>
      </c>
      <c r="C7717" t="inlineStr">
        <is>
          <t>[Digital] Product Owner</t>
        </is>
      </c>
      <c r="D7717" t="inlineStr">
        <is>
          <t>CÔNG TY TNHH BẢO HIỂM NHÂN THỌ MB AGEAS</t>
        </is>
      </c>
      <c r="E7717" t="inlineStr">
        <is>
          <t>Lương:Cạnh tranh</t>
        </is>
      </c>
      <c r="F7717" t="inlineStr">
        <is>
          <t>Hà Nội</t>
        </is>
      </c>
      <c r="G7717" t="inlineStr">
        <is>
          <t>30-05-2026</t>
        </is>
      </c>
      <c r="H7717" t="inlineStr">
        <is>
          <t>30/05/2026</t>
        </is>
      </c>
      <c r="I7717" t="inlineStr">
        <is>
          <t>17/03/2026</t>
        </is>
      </c>
      <c r="J7717" t="inlineStr">
        <is>
          <t>Ngân hàng, Bảo hiểm, Tài chính / Đầu tư</t>
        </is>
      </c>
      <c r="K7717" t="inlineStr">
        <is>
          <t>Trên 3 Năm</t>
        </is>
      </c>
      <c r="L7717" s="8">
        <f>HYPERLINK("https://careerviet.vn/vi/tim-viec-lam/digital-product-owner.35C6BB6B.html","Xem chi tiết")</f>
        <v/>
      </c>
    </row>
    <row r="7718">
      <c r="B7718" s="9" t="n">
        <v>7716</v>
      </c>
      <c r="C7718" s="10" t="inlineStr">
        <is>
          <t>Nam Nhân Viên Xem Camera</t>
        </is>
      </c>
      <c r="D7718" s="10" t="inlineStr">
        <is>
          <t>CÔNG TY CỔ PHẦN TAKAHIRO</t>
        </is>
      </c>
      <c r="E7718" s="10" t="inlineStr">
        <is>
          <t>Lương:Cạnh tranh</t>
        </is>
      </c>
      <c r="F7718" s="10" t="inlineStr">
        <is>
          <t>Hồ Chí Minh</t>
        </is>
      </c>
      <c r="G7718" s="10" t="inlineStr">
        <is>
          <t>31-03-2026</t>
        </is>
      </c>
      <c r="H7718" s="10" t="inlineStr">
        <is>
          <t>31/03/2026</t>
        </is>
      </c>
      <c r="I7718" s="10" t="inlineStr">
        <is>
          <t>17/03/2026</t>
        </is>
      </c>
      <c r="J7718" s="10" t="inlineStr">
        <is>
          <t>Hành chính / Thư ký, An Ninh / Bảo Vệ, Nhân sự</t>
        </is>
      </c>
      <c r="K7718" s="10" t="inlineStr">
        <is>
          <t>Chưa có kinh nghiệm</t>
        </is>
      </c>
      <c r="L7718" s="11">
        <f>HYPERLINK("https://careerviet.vn/vi/tim-viec-lam/nam-nhan-vien-xem-camera.35C6BB64.html","Xem chi tiết")</f>
        <v/>
      </c>
      <c r="M7718" s="10" t="n"/>
    </row>
    <row r="7719">
      <c r="B7719" s="7" t="n">
        <v>7717</v>
      </c>
      <c r="C7719" t="inlineStr">
        <is>
          <t>Nhân viên kế toán thuế</t>
        </is>
      </c>
      <c r="D7719" t="inlineStr">
        <is>
          <t>Công ty TNHH Mỹ Phục - Eva De Eva</t>
        </is>
      </c>
      <c r="E7719" t="inlineStr">
        <is>
          <t>Lương:12 Tr - 15 Tr VND</t>
        </is>
      </c>
      <c r="F7719" t="inlineStr">
        <is>
          <t>Hà Nội</t>
        </is>
      </c>
      <c r="G7719" t="inlineStr">
        <is>
          <t>10-04-2026</t>
        </is>
      </c>
      <c r="H7719" t="inlineStr">
        <is>
          <t>10/04/2026</t>
        </is>
      </c>
      <c r="I7719" t="inlineStr">
        <is>
          <t>17/03/2026</t>
        </is>
      </c>
      <c r="J7719" t="inlineStr">
        <is>
          <t>Bán hàng / Kinh doanh</t>
        </is>
      </c>
      <c r="K7719" t="inlineStr">
        <is>
          <t>3 - 4 Năm</t>
        </is>
      </c>
      <c r="L7719" s="8">
        <f>HYPERLINK("https://careerviet.vn/vi/tim-viec-lam/nhan-vien-ke-toan-thue.35C6BC9C.html","Xem chi tiết")</f>
        <v/>
      </c>
    </row>
    <row r="7720">
      <c r="B7720" s="9" t="n">
        <v>7718</v>
      </c>
      <c r="C7720" s="10" t="inlineStr">
        <is>
          <t>Chuyên viên Digital Marketing</t>
        </is>
      </c>
      <c r="D7720" s="10" t="inlineStr">
        <is>
          <t>Công ty TNHH SX và TM  BQ</t>
        </is>
      </c>
      <c r="E7720" s="10" t="inlineStr">
        <is>
          <t>Lương:9 Tr - 12 Tr VND</t>
        </is>
      </c>
      <c r="F7720" s="10" t="inlineStr">
        <is>
          <t>Đà Nẵng</t>
        </is>
      </c>
      <c r="G7720" s="10" t="inlineStr">
        <is>
          <t>30-04-2026</t>
        </is>
      </c>
      <c r="H7720" s="10" t="inlineStr">
        <is>
          <t>30/04/2026</t>
        </is>
      </c>
      <c r="I7720" s="10" t="inlineStr">
        <is>
          <t>17/03/2026</t>
        </is>
      </c>
      <c r="J7720" s="10" t="inlineStr">
        <is>
          <t>Tiếp thị / Marketing, Bán hàng / Kinh doanh, Thương mại điện tử</t>
        </is>
      </c>
      <c r="K7720" s="10" t="inlineStr">
        <is>
          <t>2 - 3 Năm</t>
        </is>
      </c>
      <c r="L7720" s="11">
        <f>HYPERLINK("https://careerviet.vn/vi/tim-viec-lam/chuyen-vien-digital-marketing.35C6BD06.html","Xem chi tiết")</f>
        <v/>
      </c>
      <c r="M7720" s="10" t="n"/>
    </row>
    <row r="7721">
      <c r="B7721" s="7" t="n">
        <v>7719</v>
      </c>
      <c r="C7721" t="inlineStr">
        <is>
          <t>Kỹ sư giám sát hiện trường (Chủ đầu tư)</t>
        </is>
      </c>
      <c r="D7721" t="inlineStr">
        <is>
          <t>CÔNG TY CỔ PHẦN ĐỊA ỐC HDMON VILLAS</t>
        </is>
      </c>
      <c r="E7721" t="inlineStr">
        <is>
          <t>Lương:20 Tr - 30 Tr VND</t>
        </is>
      </c>
      <c r="F7721" t="inlineStr">
        <is>
          <t>Hà Nội</t>
        </is>
      </c>
      <c r="G7721" t="inlineStr">
        <is>
          <t>11-04-2026</t>
        </is>
      </c>
      <c r="H7721" t="inlineStr">
        <is>
          <t>11/04/2026</t>
        </is>
      </c>
      <c r="I7721" t="inlineStr">
        <is>
          <t>17/03/2026</t>
        </is>
      </c>
      <c r="J7721" t="inlineStr">
        <is>
          <t>Xây dựng</t>
        </is>
      </c>
      <c r="K7721" t="inlineStr">
        <is>
          <t>5 - 6 Năm</t>
        </is>
      </c>
      <c r="L7721" s="8">
        <f>HYPERLINK("https://careerviet.vn/vi/tim-viec-lam/ky-su-giam-sat-hien-truong-chu-dau-tu.35C6BCF0.html","Xem chi tiết")</f>
        <v/>
      </c>
    </row>
    <row r="7722">
      <c r="B7722" s="9" t="n">
        <v>7720</v>
      </c>
      <c r="C7722" s="10" t="inlineStr">
        <is>
          <t>Key Account Management - Khu vực Hà Nội (Ưu tiên có kinh nghiệm lĩnh vực Vật tư &amp; Trang thiết bị Y tế)</t>
        </is>
      </c>
      <c r="D7722" s="10" t="inlineStr">
        <is>
          <t>Công Ty Cổ Phần Y Tế Việt Tiến</t>
        </is>
      </c>
      <c r="E7722" s="10" t="inlineStr">
        <is>
          <t>Lương:Cạnh tranh</t>
        </is>
      </c>
      <c r="F7722" s="10" t="inlineStr">
        <is>
          <t>Hà Nội</t>
        </is>
      </c>
      <c r="G7722" s="10" t="inlineStr">
        <is>
          <t>20-04-2026</t>
        </is>
      </c>
      <c r="H7722" s="10" t="inlineStr">
        <is>
          <t>20/04/2026</t>
        </is>
      </c>
      <c r="I7722" s="10" t="inlineStr">
        <is>
          <t>17/03/2026</t>
        </is>
      </c>
      <c r="J7722" s="10" t="inlineStr">
        <is>
          <t>Y tế / Chăm sóc sức khỏe / Thẩm mỹ / Làm đẹp</t>
        </is>
      </c>
      <c r="K7722" s="10" t="inlineStr">
        <is>
          <t>N/A</t>
        </is>
      </c>
      <c r="L7722" s="11">
        <f>HYPERLINK("https://careerviet.vn/vi/tim-viec-lam/key-account-management-khu-vuc-ha-noi-uu-tien-co-kinh-nghiem-linh-vuc-vat-tu-trang-thiet-bi-y-te.35C6BD08.html","Xem chi tiết")</f>
        <v/>
      </c>
      <c r="M7722" s="10" t="n"/>
    </row>
    <row r="7723">
      <c r="B7723" s="7" t="n">
        <v>7721</v>
      </c>
      <c r="C7723" t="inlineStr">
        <is>
          <t>(Hội sở Hà Nội) - Chuyên viên cao cấp Kiểm soát tuân thủ Tín dụng</t>
        </is>
      </c>
      <c r="D7723" t="inlineStr">
        <is>
          <t>Ngân hàng TMCP Phát triển TP.HCM (HDBank)</t>
        </is>
      </c>
      <c r="E7723" t="inlineStr">
        <is>
          <t>Lương:Cạnh tranh</t>
        </is>
      </c>
      <c r="F7723" t="inlineStr">
        <is>
          <t>Hà Nội</t>
        </is>
      </c>
      <c r="G7723" t="inlineStr">
        <is>
          <t>09-04-2026</t>
        </is>
      </c>
      <c r="H7723" t="inlineStr">
        <is>
          <t>09/04/2026</t>
        </is>
      </c>
      <c r="I7723" t="inlineStr">
        <is>
          <t>17/03/2026</t>
        </is>
      </c>
      <c r="J7723" t="inlineStr">
        <is>
          <t>Ngân hàng, Tài chính / Đầu tư</t>
        </is>
      </c>
      <c r="K7723" t="inlineStr">
        <is>
          <t>3 - 15 Năm</t>
        </is>
      </c>
      <c r="L7723" s="8">
        <f>HYPERLINK("https://careerviet.vn/vi/tim-viec-lam/hoi-so-ha-noi-chuyen-vien-cao-cap-kiem-soat-tuan-thu-tin-dung.35C6BCE1.html","Xem chi tiết")</f>
        <v/>
      </c>
    </row>
    <row r="7724">
      <c r="B7724" s="9" t="n">
        <v>7722</v>
      </c>
      <c r="C7724" s="10" t="inlineStr">
        <is>
          <t>Kỹ sư xây dựng/QS</t>
        </is>
      </c>
      <c r="D7724" s="10" t="inlineStr">
        <is>
          <t>CÔNG TY CỔ PHẦN ĐẦU TƯ VÀ XÂY DỰNG LAI PHÚC</t>
        </is>
      </c>
      <c r="E7724" s="10" t="inlineStr">
        <is>
          <t>Lương:500 - 2.000 USD</t>
        </is>
      </c>
      <c r="F7724" s="10" t="inlineStr">
        <is>
          <t>Hà Nội</t>
        </is>
      </c>
      <c r="G7724" s="10" t="inlineStr">
        <is>
          <t>30-04-2026</t>
        </is>
      </c>
      <c r="H7724" s="10" t="inlineStr">
        <is>
          <t>30/04/2026</t>
        </is>
      </c>
      <c r="I7724" s="10" t="inlineStr">
        <is>
          <t>17/03/2026</t>
        </is>
      </c>
      <c r="J7724" s="10" t="inlineStr">
        <is>
          <t>Xây dựng</t>
        </is>
      </c>
      <c r="K7724" s="10" t="inlineStr">
        <is>
          <t>2 - 3 Năm</t>
        </is>
      </c>
      <c r="L7724" s="11">
        <f>HYPERLINK("https://careerviet.vn/vi/tim-viec-lam/ky-su-xay-dung-qs.35C6BCF3.html","Xem chi tiết")</f>
        <v/>
      </c>
      <c r="M7724" s="10" t="n"/>
    </row>
    <row r="7725">
      <c r="B7725" s="7" t="n">
        <v>7723</v>
      </c>
      <c r="C7725" t="inlineStr">
        <is>
          <t>Kế Toán Bán Hàng</t>
        </is>
      </c>
      <c r="D7725" t="inlineStr">
        <is>
          <t>Công Ty Cổ Phần Hanotech Việt Nam</t>
        </is>
      </c>
      <c r="E7725" t="inlineStr">
        <is>
          <t>Lương:10 Tr - 13 Tr VND</t>
        </is>
      </c>
      <c r="F7725" t="inlineStr">
        <is>
          <t>Hà Nội</t>
        </is>
      </c>
      <c r="G7725" t="inlineStr">
        <is>
          <t>10-04-2026</t>
        </is>
      </c>
      <c r="H7725" t="inlineStr">
        <is>
          <t>10/04/2026</t>
        </is>
      </c>
      <c r="I7725" t="inlineStr">
        <is>
          <t>17/03/2026</t>
        </is>
      </c>
      <c r="J7725" t="inlineStr">
        <is>
          <t>Kế toán / Kiểm toán, Tài chính / Đầu tư, Ngân hàng</t>
        </is>
      </c>
      <c r="K7725" t="inlineStr">
        <is>
          <t>Trên 1 Năm</t>
        </is>
      </c>
      <c r="L7725" s="8">
        <f>HYPERLINK("https://careerviet.vn/vi/tim-viec-lam/ke-toan-ban-hang.35C6BCD9.html","Xem chi tiết")</f>
        <v/>
      </c>
    </row>
    <row r="7726">
      <c r="B7726" s="9" t="n">
        <v>7724</v>
      </c>
      <c r="C7726" s="10" t="inlineStr">
        <is>
          <t>Nhân viên thiết kế thời trang - Tân Bình</t>
        </is>
      </c>
      <c r="D7726" s="10" t="inlineStr">
        <is>
          <t>CT CP Tập Đoàn Thái Tuấn</t>
        </is>
      </c>
      <c r="E7726" s="10" t="inlineStr">
        <is>
          <t>Lương:10 Tr - 14 Tr VND</t>
        </is>
      </c>
      <c r="F7726" s="10" t="inlineStr">
        <is>
          <t>Hồ Chí Minh</t>
        </is>
      </c>
      <c r="G7726" s="10" t="inlineStr">
        <is>
          <t>10-04-2026</t>
        </is>
      </c>
      <c r="H7726" s="10" t="inlineStr">
        <is>
          <t>10/04/2026</t>
        </is>
      </c>
      <c r="I7726" s="10" t="inlineStr">
        <is>
          <t>17/03/2026</t>
        </is>
      </c>
      <c r="J7726" s="10" t="inlineStr">
        <is>
          <t>Dệt may / Da giày / Thời trang, Mỹ thuật / Nghệ thuật / Thiết kế</t>
        </is>
      </c>
      <c r="K7726" s="10" t="inlineStr">
        <is>
          <t>2 - 5 Năm</t>
        </is>
      </c>
      <c r="L7726" s="11">
        <f>HYPERLINK("https://careerviet.vn/vi/tim-viec-lam/nhan-vien-thie-t-ke-tho-i-trang-tan-bi-nh.35C6BCD6.html","Xem chi tiết")</f>
        <v/>
      </c>
      <c r="M7726" s="10" t="n"/>
    </row>
    <row r="7727">
      <c r="B7727" s="7" t="n">
        <v>7725</v>
      </c>
      <c r="C7727" t="inlineStr">
        <is>
          <t>Chuyên viên Kinh doanh - Giải pháp Ngoại khoa Phòng Mổ (Kỹ thuật viên Phòng Mổ)</t>
        </is>
      </c>
      <c r="D7727" t="inlineStr">
        <is>
          <t>Công Ty Cổ Phần Y Tế Việt Tiến</t>
        </is>
      </c>
      <c r="E7727" t="inlineStr">
        <is>
          <t>Lương:Cạnh tranh</t>
        </is>
      </c>
      <c r="F7727" t="inlineStr">
        <is>
          <t>Hồ Chí Minh</t>
        </is>
      </c>
      <c r="G7727" t="inlineStr">
        <is>
          <t>21-04-2026</t>
        </is>
      </c>
      <c r="H7727" t="inlineStr">
        <is>
          <t>21/04/2026</t>
        </is>
      </c>
      <c r="I7727" t="inlineStr">
        <is>
          <t>17/03/2026</t>
        </is>
      </c>
      <c r="J7727" t="inlineStr">
        <is>
          <t>Bán hàng / Kinh doanh, Y tế / Chăm sóc sức khỏe / Thẩm mỹ / Làm đẹp</t>
        </is>
      </c>
      <c r="K7727" t="inlineStr">
        <is>
          <t>2 - 4 Năm</t>
        </is>
      </c>
      <c r="L7727" s="8">
        <f>HYPERLINK("https://careerviet.vn/vi/tim-viec-lam/chuyen-vien-kinh-doanh-giai-phap-ngoai-khoa-phong-mo-ky-thuat-vien-phong-mo.35C6BC5B.html","Xem chi tiết")</f>
        <v/>
      </c>
    </row>
    <row r="7728">
      <c r="B7728" s="9" t="n">
        <v>7726</v>
      </c>
      <c r="C7728" s="10" t="inlineStr">
        <is>
          <t>Giám Đốc Phát Triển Đại Lý (Bất Động Sản)</t>
        </is>
      </c>
      <c r="D7728" s="10" t="inlineStr">
        <is>
          <t>CÔNG TY CỔ PHẦN ĐẦU TƯ PHÁT TRIỂN THỦ THỪA</t>
        </is>
      </c>
      <c r="E7728" s="10" t="inlineStr">
        <is>
          <t>Lương:15 Tr - 25 Tr VND</t>
        </is>
      </c>
      <c r="F7728" s="10" t="inlineStr">
        <is>
          <t>Hồ Chí Minh</t>
        </is>
      </c>
      <c r="G7728" s="10" t="inlineStr">
        <is>
          <t>30-04-2026</t>
        </is>
      </c>
      <c r="H7728" s="10" t="inlineStr">
        <is>
          <t>30/04/2026</t>
        </is>
      </c>
      <c r="I7728" s="10" t="inlineStr">
        <is>
          <t>17/03/2026</t>
        </is>
      </c>
      <c r="J7728" s="10" t="inlineStr">
        <is>
          <t>Bất động sản, Bán hàng / Kinh doanh</t>
        </is>
      </c>
      <c r="K7728" s="10" t="inlineStr">
        <is>
          <t>3 - 5 Năm</t>
        </is>
      </c>
      <c r="L7728" s="11">
        <f>HYPERLINK("https://careerviet.vn/vi/tim-viec-lam/giam-doc-phat-trien-dai-ly-bat-dong-san.35C6BC76.html","Xem chi tiết")</f>
        <v/>
      </c>
      <c r="M7728" s="10" t="n"/>
    </row>
    <row r="7729">
      <c r="B7729" s="7" t="n">
        <v>7727</v>
      </c>
      <c r="C7729" t="inlineStr">
        <is>
          <t>Nhân viên kinh doanh thị trường - Mảng Phân bón &amp; Thuốc BVTV</t>
        </is>
      </c>
      <c r="D7729" t="inlineStr">
        <is>
          <t>KING ELONG GROUP</t>
        </is>
      </c>
      <c r="E7729" t="inlineStr">
        <is>
          <t>Lương:7 Tr - 12 Tr VND</t>
        </is>
      </c>
      <c r="F7729" t="inlineStr">
        <is>
          <t>Đồng NaiTây NinhLâm Đồng</t>
        </is>
      </c>
      <c r="G7729" t="inlineStr">
        <is>
          <t>10-04-2026</t>
        </is>
      </c>
      <c r="H7729" t="inlineStr">
        <is>
          <t>10/04/2026</t>
        </is>
      </c>
      <c r="I7729" t="inlineStr">
        <is>
          <t>17/03/2026</t>
        </is>
      </c>
      <c r="J7729" t="inlineStr">
        <is>
          <t>Nông nghiệp</t>
        </is>
      </c>
      <c r="K7729" t="inlineStr">
        <is>
          <t>Trên 1 Năm</t>
        </is>
      </c>
      <c r="L7729" s="8">
        <f>HYPERLINK("https://careerviet.vn/vi/tim-viec-lam/nhan-vien-kinh-doanh-thi-truong-mang-phan-bon-thuoc-bvtv.35C6BCC8.html","Xem chi tiết")</f>
        <v/>
      </c>
    </row>
    <row r="7730">
      <c r="B7730" s="9" t="n">
        <v>7728</v>
      </c>
      <c r="C7730" s="10" t="inlineStr">
        <is>
          <t>Nhân viên Trade Marketing</t>
        </is>
      </c>
      <c r="D7730" s="10" t="inlineStr">
        <is>
          <t>Tập Đoàn Kim Tín</t>
        </is>
      </c>
      <c r="E7730" s="10" t="inlineStr">
        <is>
          <t>Lương:Cạnh tranh</t>
        </is>
      </c>
      <c r="F7730" s="10" t="inlineStr">
        <is>
          <t>Hồ Chí MinhHưng Yên</t>
        </is>
      </c>
      <c r="G7730" s="10" t="inlineStr">
        <is>
          <t>08-04-2026</t>
        </is>
      </c>
      <c r="H7730" s="10" t="inlineStr">
        <is>
          <t>08/04/2026</t>
        </is>
      </c>
      <c r="I7730" s="10" t="inlineStr">
        <is>
          <t>17/03/2026</t>
        </is>
      </c>
      <c r="J7730" s="10" t="inlineStr">
        <is>
          <t>Tiếp thị / Marketing, Bán hàng / Kinh doanh, Quảng cáo / Đối ngoại / Truyền Thông</t>
        </is>
      </c>
      <c r="K7730" s="10" t="inlineStr">
        <is>
          <t>1 - 3 Năm</t>
        </is>
      </c>
      <c r="L7730" s="11">
        <f>HYPERLINK("https://careerviet.vn/vi/tim-viec-lam/nhan-vien-trade-marketing.35C6BCAB.html","Xem chi tiết")</f>
        <v/>
      </c>
      <c r="M7730" s="10" t="n"/>
    </row>
    <row r="7731">
      <c r="B7731" s="7" t="n">
        <v>7729</v>
      </c>
      <c r="C7731" t="inlineStr">
        <is>
          <t>Nhân viên kỹ thuật CAD [Xhome Việt Nam]</t>
        </is>
      </c>
      <c r="D7731" t="inlineStr">
        <is>
          <t>Công ty CP XHOME Việt Nam</t>
        </is>
      </c>
      <c r="E7731" t="inlineStr">
        <is>
          <t>Lương:Trên 15 Tr VND</t>
        </is>
      </c>
      <c r="F7731" t="inlineStr">
        <is>
          <t>Hà Nội</t>
        </is>
      </c>
      <c r="G7731" t="inlineStr">
        <is>
          <t>30-03-2026</t>
        </is>
      </c>
      <c r="H7731" t="inlineStr">
        <is>
          <t>30/03/2026</t>
        </is>
      </c>
      <c r="I7731" t="inlineStr">
        <is>
          <t>17/03/2026</t>
        </is>
      </c>
      <c r="J7731" t="inlineStr">
        <is>
          <t>Kiến trúc</t>
        </is>
      </c>
      <c r="K7731" t="inlineStr">
        <is>
          <t>2 - 3 Năm</t>
        </is>
      </c>
      <c r="L7731" s="8">
        <f>HYPERLINK("https://careerviet.vn/vi/tim-viec-lam/nhan-vien-ky-thuat-cad-xhome-viet-nam.35C6BC7C.html","Xem chi tiết")</f>
        <v/>
      </c>
    </row>
    <row r="7732">
      <c r="B7732" s="9" t="n">
        <v>7730</v>
      </c>
      <c r="C7732" s="10" t="inlineStr">
        <is>
          <t>GIÁM ĐỐC DỰ ÁN ĐIỆN GIÓ NGOÀI KHƠI</t>
        </is>
      </c>
      <c r="D7732" s="10" t="inlineStr">
        <is>
          <t>Công ty TNHH Xây Dựng Lê Thy</t>
        </is>
      </c>
      <c r="E7732" s="10" t="inlineStr">
        <is>
          <t>Lương:40 Tr - 50 Tr VND</t>
        </is>
      </c>
      <c r="F7732" s="10" t="inlineStr">
        <is>
          <t>Bến Tre</t>
        </is>
      </c>
      <c r="G7732" s="10" t="inlineStr">
        <is>
          <t>31-03-2026</t>
        </is>
      </c>
      <c r="H7732" s="10" t="inlineStr">
        <is>
          <t>31/03/2026</t>
        </is>
      </c>
      <c r="I7732" s="10" t="inlineStr">
        <is>
          <t>17/03/2026</t>
        </is>
      </c>
      <c r="J7732" s="10" t="inlineStr">
        <is>
          <t>Xây dựng</t>
        </is>
      </c>
      <c r="K7732" s="10" t="inlineStr">
        <is>
          <t>6 - 7 Năm</t>
        </is>
      </c>
      <c r="L7732" s="11">
        <f>HYPERLINK("https://careerviet.vn/vi/tim-viec-lam/giam-doc-du-an-dien-gio-ngoai-khoi.35C6BCBD.html","Xem chi tiết")</f>
        <v/>
      </c>
      <c r="M7732" s="10" t="n"/>
    </row>
    <row r="7733">
      <c r="B7733" s="7" t="n">
        <v>7731</v>
      </c>
      <c r="C7733" t="inlineStr">
        <is>
          <t>Business Unit Manager - Imaging Solution (Giải pháp Chẩn đoán Hình ảnh trong Y tế)</t>
        </is>
      </c>
      <c r="D7733" t="inlineStr">
        <is>
          <t>Công Ty Cổ Phần Y Tế Việt Tiến</t>
        </is>
      </c>
      <c r="E7733" t="inlineStr">
        <is>
          <t>Lương:Cạnh tranh</t>
        </is>
      </c>
      <c r="F7733" t="inlineStr">
        <is>
          <t>Hồ Chí Minh</t>
        </is>
      </c>
      <c r="G7733" t="inlineStr">
        <is>
          <t>20-04-2026</t>
        </is>
      </c>
      <c r="H7733" t="inlineStr">
        <is>
          <t>20/04/2026</t>
        </is>
      </c>
      <c r="I7733" t="inlineStr">
        <is>
          <t>17/03/2026</t>
        </is>
      </c>
      <c r="J7733" t="inlineStr">
        <is>
          <t>Y tế / Chăm sóc sức khỏe / Thẩm mỹ / Làm đẹp</t>
        </is>
      </c>
      <c r="K7733" t="inlineStr">
        <is>
          <t>5 - 10 Năm</t>
        </is>
      </c>
      <c r="L7733" s="8">
        <f>HYPERLINK("https://careerviet.vn/vi/tim-viec-lam/business-unit-manager-imaging-solution-giai-phap-chan-doan-hinh-anh-trong-y-te.35C6BCF9.html","Xem chi tiết")</f>
        <v/>
      </c>
    </row>
    <row r="7734">
      <c r="B7734" s="9" t="n">
        <v>7732</v>
      </c>
      <c r="C7734" s="10" t="inlineStr">
        <is>
          <t>Kỹ sư thiết kế kết cấu</t>
        </is>
      </c>
      <c r="D7734" s="10" t="inlineStr">
        <is>
          <t>CÔNG TY CỔ PHẦN ĐẦU TƯ XÂY DỰNG SỐ 14</t>
        </is>
      </c>
      <c r="E7734" s="10" t="inlineStr">
        <is>
          <t>Lương:Cạnh tranh</t>
        </is>
      </c>
      <c r="F7734" s="10" t="inlineStr">
        <is>
          <t>Hồ Chí Minh</t>
        </is>
      </c>
      <c r="G7734" s="10" t="inlineStr">
        <is>
          <t>31-03-2026</t>
        </is>
      </c>
      <c r="H7734" s="10" t="inlineStr">
        <is>
          <t>31/03/2026</t>
        </is>
      </c>
      <c r="I7734" s="10" t="inlineStr">
        <is>
          <t>17/03/2026</t>
        </is>
      </c>
      <c r="J7734" s="10" t="inlineStr">
        <is>
          <t>Mỹ thuật / Nghệ thuật / Thiết kế, Kiến trúc, Xây dựng</t>
        </is>
      </c>
      <c r="K7734" s="10" t="inlineStr">
        <is>
          <t>7 - 10 Năm</t>
        </is>
      </c>
      <c r="L7734" s="11">
        <f>HYPERLINK("https://careerviet.vn/vi/tim-viec-lam/ky-su-thiet-ke-ket-cau.35C6BA99.html","Xem chi tiết")</f>
        <v/>
      </c>
      <c r="M7734" s="10" t="n"/>
    </row>
    <row r="7735">
      <c r="B7735" s="7" t="n">
        <v>7733</v>
      </c>
      <c r="C7735" t="inlineStr">
        <is>
          <t>Nhân Viên Kỹ Thuật</t>
        </is>
      </c>
      <c r="D7735" t="inlineStr">
        <is>
          <t>CÔNG TY TNHH AMCOTECH VIỆT NAM</t>
        </is>
      </c>
      <c r="E7735" t="inlineStr">
        <is>
          <t>Lương:8 Tr - 10 Tr VND</t>
        </is>
      </c>
      <c r="F7735" t="inlineStr">
        <is>
          <t>Hồ Chí Minh</t>
        </is>
      </c>
      <c r="G7735" t="inlineStr">
        <is>
          <t>31-05-2026</t>
        </is>
      </c>
      <c r="H7735" t="inlineStr">
        <is>
          <t>31/05/2026</t>
        </is>
      </c>
      <c r="I7735" t="inlineStr">
        <is>
          <t>17/03/2026</t>
        </is>
      </c>
      <c r="J7735" t="inlineStr">
        <is>
          <t>Bảo trì / Sửa chữa, Điện / Điện tử / Điện lạnh / Điện công nghiệp</t>
        </is>
      </c>
      <c r="K7735" t="inlineStr">
        <is>
          <t>Chưa có kinh nghiệm</t>
        </is>
      </c>
      <c r="L7735" s="8">
        <f>HYPERLINK("https://careerviet.vn/vi/tim-viec-lam/nhan-vien-ky-thuat.35C6BCB1.html","Xem chi tiết")</f>
        <v/>
      </c>
    </row>
    <row r="7736">
      <c r="B7736" s="9" t="n">
        <v>7734</v>
      </c>
      <c r="C7736" s="10" t="inlineStr">
        <is>
          <t>Quản Lý Dự Án - Upto 35M</t>
        </is>
      </c>
      <c r="D7736" s="10" t="inlineStr">
        <is>
          <t>Công ty Cổ phần Đầu tư Kỹ thuật Số Việt (VDI)</t>
        </is>
      </c>
      <c r="E7736" s="10" t="inlineStr">
        <is>
          <t>Lương:Lên đến 35 Tr VND</t>
        </is>
      </c>
      <c r="F7736" s="10" t="inlineStr">
        <is>
          <t>Hà NộiHồ Chí Minh</t>
        </is>
      </c>
      <c r="G7736" s="10" t="inlineStr">
        <is>
          <t>01-04-2026</t>
        </is>
      </c>
      <c r="H7736" s="10" t="inlineStr">
        <is>
          <t>01/04/2026</t>
        </is>
      </c>
      <c r="I7736" s="10" t="inlineStr">
        <is>
          <t>17/03/2026</t>
        </is>
      </c>
      <c r="J7736" s="10" t="inlineStr">
        <is>
          <t>Bưu chính viễn thông, CNTT - Phần cứng / Mạng</t>
        </is>
      </c>
      <c r="K7736" s="10" t="inlineStr">
        <is>
          <t>Trên 3 Năm</t>
        </is>
      </c>
      <c r="L7736" s="11">
        <f>HYPERLINK("https://careerviet.vn/vi/tim-viec-lam/quan-ly-du-an-upto-35m.35C6BD05.html","Xem chi tiết")</f>
        <v/>
      </c>
      <c r="M7736" s="10" t="n"/>
    </row>
    <row r="7737">
      <c r="B7737" s="7" t="n">
        <v>7735</v>
      </c>
      <c r="C7737" t="inlineStr">
        <is>
          <t>Chuyên Viên Kiểm Soát Tài Chính Kế Toán</t>
        </is>
      </c>
      <c r="D7737" t="inlineStr">
        <is>
          <t>Công ty Cổ phần Devyt</t>
        </is>
      </c>
      <c r="E7737" t="inlineStr">
        <is>
          <t>Lương:17 Tr - 25 Tr VND</t>
        </is>
      </c>
      <c r="F7737" t="inlineStr">
        <is>
          <t>Hà Nội</t>
        </is>
      </c>
      <c r="G7737" t="inlineStr">
        <is>
          <t>11-04-2026</t>
        </is>
      </c>
      <c r="H7737" t="inlineStr">
        <is>
          <t>11/04/2026</t>
        </is>
      </c>
      <c r="I7737" t="inlineStr">
        <is>
          <t>17/03/2026</t>
        </is>
      </c>
      <c r="J7737" t="inlineStr">
        <is>
          <t>Kế toán / Kiểm toán, Tài chính / Đầu tư</t>
        </is>
      </c>
      <c r="K7737" t="inlineStr">
        <is>
          <t>3 - 5 Năm</t>
        </is>
      </c>
      <c r="L7737" s="8">
        <f>HYPERLINK("https://careerviet.vn/vi/tim-viec-lam/chuyen-vien-kiem-soat-tai-chinh-ke-toan.35C6BC4C.html","Xem chi tiết")</f>
        <v/>
      </c>
    </row>
    <row r="7738">
      <c r="B7738" s="9" t="n">
        <v>7736</v>
      </c>
      <c r="C7738" s="10" t="inlineStr">
        <is>
          <t>Chuyên viên Quan hệ Khách hàng Cá nhân - Bình Định</t>
        </is>
      </c>
      <c r="D7738" s="10" t="inlineStr">
        <is>
          <t>Ngân Hàng Thương Mại Cổ Phần Bảo Việt</t>
        </is>
      </c>
      <c r="E7738" s="10" t="inlineStr">
        <is>
          <t>Lương:10 Tr - 18 Tr VND</t>
        </is>
      </c>
      <c r="F7738" s="10" t="inlineStr">
        <is>
          <t>Bình Định</t>
        </is>
      </c>
      <c r="G7738" s="10" t="inlineStr">
        <is>
          <t>30-05-2026</t>
        </is>
      </c>
      <c r="H7738" s="10" t="inlineStr">
        <is>
          <t>30/05/2026</t>
        </is>
      </c>
      <c r="I7738" s="10" t="inlineStr">
        <is>
          <t>17/03/2026</t>
        </is>
      </c>
      <c r="J7738" s="10" t="inlineStr">
        <is>
          <t>Bất động sản, Ngân hàng, Tài chính / Đầu tư</t>
        </is>
      </c>
      <c r="K7738" s="10" t="inlineStr">
        <is>
          <t>1 - 3 Năm</t>
        </is>
      </c>
      <c r="L7738" s="11">
        <f>HYPERLINK("https://careerviet.vn/vi/tim-viec-lam/chuyen-vien-quan-he-khach-hang-ca-nhan-binh-dinh.35C6BC99.html","Xem chi tiết")</f>
        <v/>
      </c>
      <c r="M7738" s="10" t="n"/>
    </row>
    <row r="7739">
      <c r="B7739" s="7" t="n">
        <v>7737</v>
      </c>
      <c r="C7739" t="inlineStr">
        <is>
          <t>Nhân viên quản lý công trình [Xhome Việt Nam]</t>
        </is>
      </c>
      <c r="D7739" t="inlineStr">
        <is>
          <t>Công ty CP XHOME Việt Nam</t>
        </is>
      </c>
      <c r="E7739" t="inlineStr">
        <is>
          <t>Lương:18 Tr - 25 Tr VND</t>
        </is>
      </c>
      <c r="F7739" t="inlineStr">
        <is>
          <t>Hà Nội</t>
        </is>
      </c>
      <c r="G7739" t="inlineStr">
        <is>
          <t>30-03-2026</t>
        </is>
      </c>
      <c r="H7739" t="inlineStr">
        <is>
          <t>30/03/2026</t>
        </is>
      </c>
      <c r="I7739" t="inlineStr">
        <is>
          <t>17/03/2026</t>
        </is>
      </c>
      <c r="J7739" t="inlineStr">
        <is>
          <t>Xây dựng, Nội ngoại thất, Kiến trúc</t>
        </is>
      </c>
      <c r="K7739" t="inlineStr">
        <is>
          <t>5 - 6 Năm</t>
        </is>
      </c>
      <c r="L7739" s="8">
        <f>HYPERLINK("https://careerviet.vn/vi/tim-viec-lam/nhan-vien-quan-ly-cong-trinh-xhome-viet-nam.35C6BC8A.html","Xem chi tiết")</f>
        <v/>
      </c>
    </row>
    <row r="7740">
      <c r="B7740" s="9" t="n">
        <v>7738</v>
      </c>
      <c r="C7740" s="10" t="inlineStr">
        <is>
          <t>Chuyên viên kinh doanh BĐS</t>
        </is>
      </c>
      <c r="D7740" s="10" t="inlineStr">
        <is>
          <t>Bảo mật</t>
        </is>
      </c>
      <c r="E7740" s="10" t="inlineStr">
        <is>
          <t>Lương:10 Tr - 60 Tr VND</t>
        </is>
      </c>
      <c r="F7740" s="10" t="inlineStr">
        <is>
          <t>Hồ Chí Minh</t>
        </is>
      </c>
      <c r="G7740" s="10" t="inlineStr">
        <is>
          <t>31-03-2026</t>
        </is>
      </c>
      <c r="H7740" s="10" t="inlineStr">
        <is>
          <t>31/03/2026</t>
        </is>
      </c>
      <c r="I7740" s="10" t="inlineStr">
        <is>
          <t>17/03/2026</t>
        </is>
      </c>
      <c r="J7740" s="10" t="inlineStr">
        <is>
          <t>Bất động sản</t>
        </is>
      </c>
      <c r="K7740" s="10" t="inlineStr">
        <is>
          <t>2 - 3 Năm</t>
        </is>
      </c>
      <c r="L7740" s="11">
        <f>HYPERLINK("https://careerviet.vn/vi/tim-viec-lam/chuyen-vien-kinh-doanh-bds.35C6BC83.html","Xem chi tiết")</f>
        <v/>
      </c>
      <c r="M7740" s="10" t="n"/>
    </row>
    <row r="7741">
      <c r="B7741" s="7" t="n">
        <v>7739</v>
      </c>
      <c r="C7741" t="inlineStr">
        <is>
          <t>Giám sát công trinh [Xhome Việt Nam]</t>
        </is>
      </c>
      <c r="D7741" t="inlineStr">
        <is>
          <t>Công ty CP XHOME Việt Nam</t>
        </is>
      </c>
      <c r="E7741" t="inlineStr">
        <is>
          <t>Lương:15 Tr - 25 Tr VND</t>
        </is>
      </c>
      <c r="F7741" t="inlineStr">
        <is>
          <t>Hà Nội</t>
        </is>
      </c>
      <c r="G7741" t="inlineStr">
        <is>
          <t>30-03-2026</t>
        </is>
      </c>
      <c r="H7741" t="inlineStr">
        <is>
          <t>30/03/2026</t>
        </is>
      </c>
      <c r="I7741" t="inlineStr">
        <is>
          <t>17/03/2026</t>
        </is>
      </c>
      <c r="J7741" t="inlineStr">
        <is>
          <t>Quản lý chất lượng (QA/QC)</t>
        </is>
      </c>
      <c r="K7741" t="inlineStr">
        <is>
          <t>3 - 4 Năm</t>
        </is>
      </c>
      <c r="L7741" s="8">
        <f>HYPERLINK("https://careerviet.vn/vi/tim-viec-lam/giam-sat-cong-trinh-xhome-viet-nam.35C6BC7F.html","Xem chi tiết")</f>
        <v/>
      </c>
    </row>
    <row r="7742">
      <c r="B7742" s="9" t="n">
        <v>7740</v>
      </c>
      <c r="C7742" s="10" t="inlineStr">
        <is>
          <t>Nhân viên Kinh doanh/Nhân viên Tư vấn</t>
        </is>
      </c>
      <c r="D7742" s="10" t="inlineStr">
        <is>
          <t>CÔNG TY CỔ PHẦN HỌC VIỆN MINH TRÍ THÀNH</t>
        </is>
      </c>
      <c r="E7742" s="10" t="inlineStr">
        <is>
          <t>Lương:10 Tr - 50 Tr VND</t>
        </is>
      </c>
      <c r="F7742" s="10" t="inlineStr">
        <is>
          <t>Hồ Chí Minh</t>
        </is>
      </c>
      <c r="G7742" s="10" t="inlineStr">
        <is>
          <t>30-06-2026</t>
        </is>
      </c>
      <c r="H7742" s="10" t="inlineStr">
        <is>
          <t>30/06/2026</t>
        </is>
      </c>
      <c r="I7742" s="10" t="inlineStr">
        <is>
          <t>17/03/2026</t>
        </is>
      </c>
      <c r="J7742" s="10" t="inlineStr">
        <is>
          <t>Giáo dục / Đào tạo</t>
        </is>
      </c>
      <c r="K7742" s="10" t="inlineStr">
        <is>
          <t>1 - 3 Năm</t>
        </is>
      </c>
      <c r="L7742" s="11">
        <f>HYPERLINK("https://careerviet.vn/vi/tim-viec-lam/nhan-vien-kinh-doanh-nhan-vien-tu-van.35C6BC5C.html","Xem chi tiết")</f>
        <v/>
      </c>
      <c r="M7742" s="10" t="n"/>
    </row>
    <row r="7743">
      <c r="B7743" s="7" t="n">
        <v>7741</v>
      </c>
      <c r="C7743" t="inlineStr">
        <is>
          <t>Merchandising Team Leader (Garment)</t>
        </is>
      </c>
      <c r="D7743" t="inlineStr">
        <is>
          <t>MOTIVES VIETNAM CORPORATION</t>
        </is>
      </c>
      <c r="E7743" t="inlineStr">
        <is>
          <t>Lương:Cạnh tranh</t>
        </is>
      </c>
      <c r="F7743" t="inlineStr">
        <is>
          <t>Hồ Chí Minh</t>
        </is>
      </c>
      <c r="G7743" t="inlineStr">
        <is>
          <t>30-04-2026</t>
        </is>
      </c>
      <c r="H7743" t="inlineStr">
        <is>
          <t>30/04/2026</t>
        </is>
      </c>
      <c r="I7743" t="inlineStr">
        <is>
          <t>17/03/2026</t>
        </is>
      </c>
      <c r="J7743" t="inlineStr">
        <is>
          <t>Dệt may / Da giày / Thời trang</t>
        </is>
      </c>
      <c r="K7743" t="inlineStr">
        <is>
          <t>Trên 5 Năm</t>
        </is>
      </c>
      <c r="L7743" s="8">
        <f>HYPERLINK("https://careerviet.vn/vi/tim-viec-lam/merchandising-team-leader-garment.35C6BC38.html","Xem chi tiết")</f>
        <v/>
      </c>
    </row>
    <row r="7744">
      <c r="B7744" s="9" t="n">
        <v>7742</v>
      </c>
      <c r="C7744" s="10" t="inlineStr">
        <is>
          <t>Nhân viên hỗ trợ kinh doanh</t>
        </is>
      </c>
      <c r="D7744" s="10" t="inlineStr">
        <is>
          <t>Công Ty Cổ Phần Hai Bốn Bảy</t>
        </is>
      </c>
      <c r="E7744" s="10" t="inlineStr">
        <is>
          <t>Lương:8 Tr - 14 Tr VND</t>
        </is>
      </c>
      <c r="F7744" s="10" t="inlineStr">
        <is>
          <t>Hồ Chí Minh</t>
        </is>
      </c>
      <c r="G7744" s="10" t="inlineStr">
        <is>
          <t>10-04-2026</t>
        </is>
      </c>
      <c r="H7744" s="10" t="inlineStr">
        <is>
          <t>10/04/2026</t>
        </is>
      </c>
      <c r="I7744" s="10" t="inlineStr">
        <is>
          <t>17/03/2026</t>
        </is>
      </c>
      <c r="J7744" s="10" t="inlineStr">
        <is>
          <t>Bán hàng / Kinh doanh, Vận chuyển / Giao nhận / Kho vận</t>
        </is>
      </c>
      <c r="K7744" s="10" t="inlineStr">
        <is>
          <t>1 - 2 Năm</t>
        </is>
      </c>
      <c r="L7744" s="11">
        <f>HYPERLINK("https://careerviet.vn/vi/tim-viec-lam/nhan-vien-ho-tro-kinh-doanh.35C6BA83.html","Xem chi tiết")</f>
        <v/>
      </c>
      <c r="M7744" s="10" t="n"/>
    </row>
    <row r="7745">
      <c r="B7745" s="7" t="n">
        <v>7743</v>
      </c>
      <c r="C7745" t="inlineStr">
        <is>
          <t>Nhân viên Media [Xhome Việt Nam]</t>
        </is>
      </c>
      <c r="D7745" t="inlineStr">
        <is>
          <t>Công ty CP XHOME Việt Nam</t>
        </is>
      </c>
      <c r="E7745" t="inlineStr">
        <is>
          <t>Lương:15 Tr - 17 Tr VND</t>
        </is>
      </c>
      <c r="F7745" t="inlineStr">
        <is>
          <t>Hà Nội</t>
        </is>
      </c>
      <c r="G7745" t="inlineStr">
        <is>
          <t>30-03-2026</t>
        </is>
      </c>
      <c r="H7745" t="inlineStr">
        <is>
          <t>30/03/2026</t>
        </is>
      </c>
      <c r="I7745" t="inlineStr">
        <is>
          <t>17/03/2026</t>
        </is>
      </c>
      <c r="J7745" t="inlineStr">
        <is>
          <t>Mỹ thuật / Nghệ thuật / Thiết kế, Quảng cáo / Đối ngoại / Truyền Thông</t>
        </is>
      </c>
      <c r="K7745" t="inlineStr">
        <is>
          <t>1 - 2 Năm</t>
        </is>
      </c>
      <c r="L7745" s="8">
        <f>HYPERLINK("https://careerviet.vn/vi/tim-viec-lam/nhan-vien-media-xhome-viet-nam.35C6BC7E.html","Xem chi tiết")</f>
        <v/>
      </c>
    </row>
    <row r="7746">
      <c r="B7746" s="9" t="n">
        <v>7744</v>
      </c>
      <c r="C7746" s="10" t="inlineStr">
        <is>
          <t>Kế toán tổng hợp - Long An (Đi làm ngay)</t>
        </is>
      </c>
      <c r="D7746" s="10" t="inlineStr">
        <is>
          <t>Công Ty Cổ Phần Thép Việt Xô Hà Nội</t>
        </is>
      </c>
      <c r="E7746" s="10" t="inlineStr">
        <is>
          <t>Lương:15 Tr - 20 Tr VND</t>
        </is>
      </c>
      <c r="F7746" s="10" t="inlineStr">
        <is>
          <t>Long An</t>
        </is>
      </c>
      <c r="G7746" s="10" t="inlineStr">
        <is>
          <t>10-04-2026</t>
        </is>
      </c>
      <c r="H7746" s="10" t="inlineStr">
        <is>
          <t>10/04/2026</t>
        </is>
      </c>
      <c r="I7746" s="10" t="inlineStr">
        <is>
          <t>17/03/2026</t>
        </is>
      </c>
      <c r="J7746" s="10" t="inlineStr">
        <is>
          <t>Tài chính / Đầu tư, Kế toán / Kiểm toán</t>
        </is>
      </c>
      <c r="K7746" s="10" t="inlineStr">
        <is>
          <t>2 - 3 Năm</t>
        </is>
      </c>
      <c r="L7746" s="11">
        <f>HYPERLINK("https://careerviet.vn/vi/tim-viec-lam/ke-toan-tong-hop-long-an-di-lam-ngay.35C6BC3E.html","Xem chi tiết")</f>
        <v/>
      </c>
      <c r="M7746" s="10" t="n"/>
    </row>
    <row r="7747">
      <c r="B7747" s="7" t="n">
        <v>7745</v>
      </c>
      <c r="C7747" t="inlineStr">
        <is>
          <t>Nhân Viên Phục Vụ Omakase - Biết Tiếng Nhật</t>
        </is>
      </c>
      <c r="D7747" t="inlineStr">
        <is>
          <t>CÔNG TY CỔ PHẦN TAKAHIRO</t>
        </is>
      </c>
      <c r="E7747" t="inlineStr">
        <is>
          <t>Lương:11 Tr - 14 Tr VND</t>
        </is>
      </c>
      <c r="F7747" t="inlineStr">
        <is>
          <t>Hồ Chí Minh</t>
        </is>
      </c>
      <c r="G7747" t="inlineStr">
        <is>
          <t>10-04-2026</t>
        </is>
      </c>
      <c r="H7747" t="inlineStr">
        <is>
          <t>10/04/2026</t>
        </is>
      </c>
      <c r="I7747" t="inlineStr">
        <is>
          <t>17/03/2026</t>
        </is>
      </c>
      <c r="J7747" t="inlineStr">
        <is>
          <t>Nhà hàng / Khách sạn, Thực phẩm &amp; Đồ uống, Dịch vụ khách hàng</t>
        </is>
      </c>
      <c r="K7747" t="inlineStr">
        <is>
          <t>1 - 2 Năm</t>
        </is>
      </c>
      <c r="L7747" s="8">
        <f>HYPERLINK("https://careerviet.vn/vi/tim-viec-lam/nhan-vien-phuc-vu-omakase-biet-tieng-nhat.35C6BB18.html","Xem chi tiết")</f>
        <v/>
      </c>
    </row>
    <row r="7748">
      <c r="B7748" s="9" t="n">
        <v>7746</v>
      </c>
      <c r="C7748" s="10" t="inlineStr">
        <is>
          <t>Chuyên viên đấu thầu kinh doanh</t>
        </is>
      </c>
      <c r="D7748" s="10" t="inlineStr">
        <is>
          <t>CÔNG TY TNHH THÉP KHÔNG GỈ VÀ HỢP KIM QUANG MINH</t>
        </is>
      </c>
      <c r="E7748" s="10" t="inlineStr">
        <is>
          <t>Lương:15 Tr - 25 Tr VND</t>
        </is>
      </c>
      <c r="F7748" s="10" t="inlineStr">
        <is>
          <t>Hồ Chí Minh</t>
        </is>
      </c>
      <c r="G7748" s="10" t="inlineStr">
        <is>
          <t>10-04-2026</t>
        </is>
      </c>
      <c r="H7748" s="10" t="inlineStr">
        <is>
          <t>10/04/2026</t>
        </is>
      </c>
      <c r="I7748" s="10" t="inlineStr">
        <is>
          <t>17/03/2026</t>
        </is>
      </c>
      <c r="J7748" s="10" t="inlineStr">
        <is>
          <t>Bán hàng / Kinh doanh, Bán Hàng Kỹ Thuật, Dịch vụ khách hàng</t>
        </is>
      </c>
      <c r="K7748" s="10" t="inlineStr">
        <is>
          <t>3 - 4 Năm</t>
        </is>
      </c>
      <c r="L7748" s="11">
        <f>HYPERLINK("https://careerviet.vn/vi/tim-viec-lam/chuyen-vien-dau-thau-kinh-doanh.35C6BC64.html","Xem chi tiết")</f>
        <v/>
      </c>
      <c r="M7748" s="10" t="n"/>
    </row>
    <row r="7749">
      <c r="B7749" s="7" t="n">
        <v>7747</v>
      </c>
      <c r="C7749" t="inlineStr">
        <is>
          <t>Business Development Manager (Cambodia Market)</t>
        </is>
      </c>
      <c r="D7749" t="inlineStr">
        <is>
          <t>Công Ty Cổ Phần Goody Group</t>
        </is>
      </c>
      <c r="E7749" t="inlineStr">
        <is>
          <t>Lương:Cạnh tranh</t>
        </is>
      </c>
      <c r="F7749" t="inlineStr">
        <is>
          <t>Phnompenh</t>
        </is>
      </c>
      <c r="G7749" t="inlineStr">
        <is>
          <t>10-04-2026</t>
        </is>
      </c>
      <c r="H7749" t="inlineStr">
        <is>
          <t>10/04/2026</t>
        </is>
      </c>
      <c r="I7749" t="inlineStr">
        <is>
          <t>17/03/2026</t>
        </is>
      </c>
      <c r="J7749" t="inlineStr">
        <is>
          <t>Thực phẩm &amp; Đồ uống</t>
        </is>
      </c>
      <c r="K7749" t="inlineStr">
        <is>
          <t>2 - 5 Năm</t>
        </is>
      </c>
      <c r="L7749" s="8">
        <f>HYPERLINK("https://careerviet.vn/vi/tim-viec-lam/business-development-manager-cambodia-market.35C6BC25.html","Xem chi tiết")</f>
        <v/>
      </c>
    </row>
    <row r="7750">
      <c r="B7750" s="9" t="n">
        <v>7748</v>
      </c>
      <c r="C7750" s="10" t="inlineStr">
        <is>
          <t>Post-Tensioning Structural Design Engineer | Kỹ Sư Thiết Kế</t>
        </is>
      </c>
      <c r="D7750" s="10" t="inlineStr">
        <is>
          <t>Công Ty TNHH Enspan (Việt Nam)</t>
        </is>
      </c>
      <c r="E7750" s="10" t="inlineStr">
        <is>
          <t>Lương:Cạnh tranh</t>
        </is>
      </c>
      <c r="F7750" s="10" t="inlineStr">
        <is>
          <t>Hồ Chí Minh</t>
        </is>
      </c>
      <c r="G7750" s="10" t="inlineStr">
        <is>
          <t>30-04-2026</t>
        </is>
      </c>
      <c r="H7750" s="10" t="inlineStr">
        <is>
          <t>30/04/2026</t>
        </is>
      </c>
      <c r="I7750" s="10" t="inlineStr">
        <is>
          <t>17/03/2026</t>
        </is>
      </c>
      <c r="J7750" s="10" t="inlineStr">
        <is>
          <t>Xây dựng</t>
        </is>
      </c>
      <c r="K7750" s="10" t="inlineStr">
        <is>
          <t>1 - 5 Năm</t>
        </is>
      </c>
      <c r="L7750" s="11">
        <f>HYPERLINK("https://careerviet.vn/vi/tim-viec-lam/post-tensioning-structural-design-engineer-ky-su-thiet-ke.35C6BC5D.html","Xem chi tiết")</f>
        <v/>
      </c>
      <c r="M7750" s="10" t="n"/>
    </row>
    <row r="7751">
      <c r="B7751" s="7" t="n">
        <v>7749</v>
      </c>
      <c r="C7751" t="inlineStr">
        <is>
          <t>HO - Khối TT&amp;QTTC - Chuyên viên cao cấp Quản trị tài chính KHDN</t>
        </is>
      </c>
      <c r="D7751" t="inlineStr">
        <is>
          <t>Ngân hàng TMCP Lộc Phát Việt Nam (LPBank)</t>
        </is>
      </c>
      <c r="E7751" t="inlineStr">
        <is>
          <t>Lương:Cạnh tranh</t>
        </is>
      </c>
      <c r="F7751" t="inlineStr">
        <is>
          <t>Hà Nội</t>
        </is>
      </c>
      <c r="G7751" t="inlineStr">
        <is>
          <t>07-04-2026</t>
        </is>
      </c>
      <c r="H7751" t="inlineStr">
        <is>
          <t>07/04/2026</t>
        </is>
      </c>
      <c r="I7751" t="inlineStr">
        <is>
          <t>17/03/2026</t>
        </is>
      </c>
      <c r="J7751" t="inlineStr">
        <is>
          <t>Kế toán / Kiểm toán, Ngân hàng, Tài chính / Đầu tư</t>
        </is>
      </c>
      <c r="K7751" t="inlineStr">
        <is>
          <t>4 - 10 Năm</t>
        </is>
      </c>
      <c r="L7751" s="8">
        <f>HYPERLINK("https://careerviet.vn/vi/tim-viec-lam/ho-khoi-tt-qttc-chuyen-vien-cao-cap-quan-tri-tai-chinh-khdn.35C6BC31.html","Xem chi tiết")</f>
        <v/>
      </c>
    </row>
    <row r="7752">
      <c r="B7752" s="9" t="n">
        <v>7750</v>
      </c>
      <c r="C7752" s="10" t="inlineStr">
        <is>
          <t>NHÂN VIÊN TẬP SỰ BÁN HÀNG (CHUNG CƯ, BIỆT THỰ)</t>
        </is>
      </c>
      <c r="D7752" s="10" t="inlineStr">
        <is>
          <t>Công ty TNHH Kinh doanh và Dịch vụ Bất động sản Realhomes</t>
        </is>
      </c>
      <c r="E7752" s="10" t="inlineStr">
        <is>
          <t>Lương:30 Tr - 50 Tr VND</t>
        </is>
      </c>
      <c r="F7752" s="10" t="inlineStr">
        <is>
          <t>Hà NộiKhánh HòaThanh Hóa</t>
        </is>
      </c>
      <c r="G7752" s="10" t="inlineStr">
        <is>
          <t>31-03-2026</t>
        </is>
      </c>
      <c r="H7752" s="10" t="inlineStr">
        <is>
          <t>31/03/2026</t>
        </is>
      </c>
      <c r="I7752" s="10" t="inlineStr">
        <is>
          <t>17/03/2026</t>
        </is>
      </c>
      <c r="J7752" s="10" t="inlineStr">
        <is>
          <t>Bán hàng / Kinh doanh, Ngân hàng, Mới tốt nghiệp / Thực tập</t>
        </is>
      </c>
      <c r="K7752" s="10" t="inlineStr">
        <is>
          <t>Chưa có kinh nghiệm</t>
        </is>
      </c>
      <c r="L7752" s="11">
        <f>HYPERLINK("https://careerviet.vn/vi/tim-viec-lam/nhan-vien-tap-su-ban-hang-chung-cu-biet-thu.35C6BB2D.html","Xem chi tiết")</f>
        <v/>
      </c>
      <c r="M7752" s="10" t="n"/>
    </row>
    <row r="7753">
      <c r="B7753" s="7" t="n">
        <v>7751</v>
      </c>
      <c r="C7753" t="inlineStr">
        <is>
          <t>Senior Advance Supplier Quality Engineer</t>
        </is>
      </c>
      <c r="D7753" t="inlineStr">
        <is>
          <t>Techtronic Industries Vietnam Manufacturing Company Limited</t>
        </is>
      </c>
      <c r="E7753" t="inlineStr">
        <is>
          <t>Lương:Cạnh tranh</t>
        </is>
      </c>
      <c r="F7753" t="inlineStr">
        <is>
          <t>Hồ Chí Minh</t>
        </is>
      </c>
      <c r="G7753" t="inlineStr">
        <is>
          <t>20-04-2026</t>
        </is>
      </c>
      <c r="H7753" t="inlineStr">
        <is>
          <t>20/04/2026</t>
        </is>
      </c>
      <c r="I7753" t="inlineStr">
        <is>
          <t>17/03/2026</t>
        </is>
      </c>
      <c r="J7753" t="inlineStr">
        <is>
          <t>Cơ khí / Ô tô / Tự động hóa, Điện / Điện tử / Điện lạnh / Điện công nghiệp</t>
        </is>
      </c>
      <c r="K7753" t="inlineStr">
        <is>
          <t>3 - 4 Năm</t>
        </is>
      </c>
      <c r="L7753" s="8">
        <f>HYPERLINK("https://careerviet.vn/vi/tim-viec-lam/senior-advance-supplier-quality-engineer.35C6BDA6.html","Xem chi tiết")</f>
        <v/>
      </c>
    </row>
    <row r="7754">
      <c r="B7754" s="9" t="n">
        <v>7752</v>
      </c>
      <c r="C7754" s="10" t="inlineStr">
        <is>
          <t>Kế Toán Kho (Vật Liệu Xây Dựng)</t>
        </is>
      </c>
      <c r="D7754" s="10" t="inlineStr">
        <is>
          <t>CÔNG TY TNHH THƯƠNG MẠI DỊCH VỤ VÀ XÂY LẮP SƠN NGỌC</t>
        </is>
      </c>
      <c r="E7754" s="10" t="inlineStr">
        <is>
          <t>Lương:Trên 8 Tr VND</t>
        </is>
      </c>
      <c r="F7754" s="10" t="inlineStr">
        <is>
          <t>Nghệ An</t>
        </is>
      </c>
      <c r="G7754" s="10" t="inlineStr">
        <is>
          <t>08-04-2026</t>
        </is>
      </c>
      <c r="H7754" s="10" t="inlineStr">
        <is>
          <t>08/04/2026</t>
        </is>
      </c>
      <c r="I7754" s="10" t="inlineStr">
        <is>
          <t>17/03/2026</t>
        </is>
      </c>
      <c r="J7754" s="10" t="inlineStr">
        <is>
          <t>Vận chuyển / Giao nhận / Kho vận, Kế toán / Kiểm toán, Xây dựng</t>
        </is>
      </c>
      <c r="K7754" s="10" t="inlineStr">
        <is>
          <t>N/A</t>
        </is>
      </c>
      <c r="L7754" s="11">
        <f>HYPERLINK("https://careerviet.vn/vi/tim-viec-lam/ke-toan-kho-vat-lieu-xay-dung.35C6BBB8.html","Xem chi tiết")</f>
        <v/>
      </c>
      <c r="M7754" s="10" t="n"/>
    </row>
    <row r="7755">
      <c r="B7755" s="7" t="n">
        <v>7753</v>
      </c>
      <c r="C7755" t="inlineStr">
        <is>
          <t>Sales Admin</t>
        </is>
      </c>
      <c r="D7755" t="inlineStr">
        <is>
          <t>CÔNG TY CỔ PHẦN CONSMATE TTP</t>
        </is>
      </c>
      <c r="E7755" t="inlineStr">
        <is>
          <t>Lương:10 Tr - 17 Tr VND</t>
        </is>
      </c>
      <c r="F7755" t="inlineStr">
        <is>
          <t>Hà Nội</t>
        </is>
      </c>
      <c r="G7755" t="inlineStr">
        <is>
          <t>15-04-2026</t>
        </is>
      </c>
      <c r="H7755" t="inlineStr">
        <is>
          <t>15/04/2026</t>
        </is>
      </c>
      <c r="I7755" t="inlineStr">
        <is>
          <t>17/03/2026</t>
        </is>
      </c>
      <c r="J7755" t="inlineStr">
        <is>
          <t>Bán hàng / Kinh doanh, Xây dựng, Điện / Điện tử / Điện lạnh / Điện công nghiệp</t>
        </is>
      </c>
      <c r="K7755" t="inlineStr">
        <is>
          <t>1 - 2 Năm</t>
        </is>
      </c>
      <c r="L7755" s="8">
        <f>HYPERLINK("https://careerviet.vn/vi/tim-viec-lam/sales-admin.35C6BDAC.html","Xem chi tiết")</f>
        <v/>
      </c>
    </row>
    <row r="7756">
      <c r="B7756" s="9" t="n">
        <v>7754</v>
      </c>
      <c r="C7756" s="10" t="inlineStr">
        <is>
          <t>Nhân viên kế toán kho</t>
        </is>
      </c>
      <c r="D7756" s="10" t="inlineStr">
        <is>
          <t>Công ty TNHH SX-TM-DV Qui Phúc</t>
        </is>
      </c>
      <c r="E7756" s="10" t="inlineStr">
        <is>
          <t>Lương:9,5 Tr - 11,5 Tr VND</t>
        </is>
      </c>
      <c r="F7756" s="10" t="inlineStr">
        <is>
          <t>Hồ Chí Minh</t>
        </is>
      </c>
      <c r="G7756" s="10" t="inlineStr">
        <is>
          <t>09-04-2026</t>
        </is>
      </c>
      <c r="H7756" s="10" t="inlineStr">
        <is>
          <t>09/04/2026</t>
        </is>
      </c>
      <c r="I7756" s="10" t="inlineStr">
        <is>
          <t>17/03/2026</t>
        </is>
      </c>
      <c r="J7756" s="10" t="inlineStr">
        <is>
          <t>Kế toán / Kiểm toán, Thống kê, Luật / Pháp lý</t>
        </is>
      </c>
      <c r="K7756" s="10" t="inlineStr">
        <is>
          <t>1 - 2 Năm</t>
        </is>
      </c>
      <c r="L7756" s="11">
        <f>HYPERLINK("https://careerviet.vn/vi/tim-viec-lam/nhan-vien-ke-toan-kho.35C6BDBF.html","Xem chi tiết")</f>
        <v/>
      </c>
      <c r="M7756" s="10" t="n"/>
    </row>
    <row r="7757">
      <c r="B7757" s="7" t="n">
        <v>7755</v>
      </c>
      <c r="C7757" t="inlineStr">
        <is>
          <t>Kế Toán Trưởng (Mảng Xây Dựng/ Sản Xuất/ Năng Lượng Môi Trường)</t>
        </is>
      </c>
      <c r="D7757" t="inlineStr">
        <is>
          <t>CÔNG TY TƯ VẤN XÂY DỰNG HÀ NỘI - Thuộc Tập đoàn AMACCAO</t>
        </is>
      </c>
      <c r="E7757" t="inlineStr">
        <is>
          <t>Lương:28 Tr - 35 Tr VND</t>
        </is>
      </c>
      <c r="F7757" t="inlineStr">
        <is>
          <t>Hà Nội</t>
        </is>
      </c>
      <c r="G7757" t="inlineStr">
        <is>
          <t>10-04-2026</t>
        </is>
      </c>
      <c r="H7757" t="inlineStr">
        <is>
          <t>10/04/2026</t>
        </is>
      </c>
      <c r="I7757" t="inlineStr">
        <is>
          <t>17/03/2026</t>
        </is>
      </c>
      <c r="J7757" t="inlineStr">
        <is>
          <t>Kế toán / Kiểm toán, Xây dựng, Môi trường</t>
        </is>
      </c>
      <c r="K7757" t="inlineStr">
        <is>
          <t>3 - 5 Năm</t>
        </is>
      </c>
      <c r="L7757" s="8">
        <f>HYPERLINK("https://careerviet.vn/vi/tim-viec-lam/ke-toan-truong-mang-xay-dung-san-xuat-nang-luong-moi-truong.35C6BD85.html","Xem chi tiết")</f>
        <v/>
      </c>
    </row>
    <row r="7758">
      <c r="B7758" s="9" t="n">
        <v>7756</v>
      </c>
      <c r="C7758" s="10" t="inlineStr">
        <is>
          <t>Kiểm Soát Viên</t>
        </is>
      </c>
      <c r="D7758" s="10" t="inlineStr">
        <is>
          <t>Ngân Hàng TMCP Quốc Tế Việt Nam</t>
        </is>
      </c>
      <c r="E7758" s="10" t="inlineStr">
        <is>
          <t>Lương:Cạnh tranh</t>
        </is>
      </c>
      <c r="F7758" s="10" t="inlineStr">
        <is>
          <t>Bà Rịa - Vũng Tàu</t>
        </is>
      </c>
      <c r="G7758" s="10" t="inlineStr">
        <is>
          <t>20-04-2026</t>
        </is>
      </c>
      <c r="H7758" s="10" t="inlineStr">
        <is>
          <t>20/04/2026</t>
        </is>
      </c>
      <c r="I7758" s="10" t="inlineStr">
        <is>
          <t>17/03/2026</t>
        </is>
      </c>
      <c r="J7758" s="10" t="inlineStr">
        <is>
          <t>Dịch vụ khách hàng, Kế toán / Kiểm toán, Ngân hàng</t>
        </is>
      </c>
      <c r="K7758" s="10" t="inlineStr">
        <is>
          <t>3 - 5 Năm</t>
        </is>
      </c>
      <c r="L7758" s="11">
        <f>HYPERLINK("https://careerviet.vn/vi/tim-viec-lam/kiem-soat-vien.35C6BDA0.html","Xem chi tiết")</f>
        <v/>
      </c>
      <c r="M7758" s="10" t="n"/>
    </row>
    <row r="7759">
      <c r="B7759" s="7" t="n">
        <v>7757</v>
      </c>
      <c r="C7759" t="inlineStr">
        <is>
          <t>Chuyên viên tuyển dụng</t>
        </is>
      </c>
      <c r="D7759" t="inlineStr">
        <is>
          <t>TRƯỜNG PHỔ THÔNG LIÊN CẤP H.A.S</t>
        </is>
      </c>
      <c r="E7759" t="inlineStr">
        <is>
          <t>Lương:13 Tr - 16 Tr VND</t>
        </is>
      </c>
      <c r="F7759" t="inlineStr">
        <is>
          <t>Hà Nội</t>
        </is>
      </c>
      <c r="G7759" t="inlineStr">
        <is>
          <t>30-04-2026</t>
        </is>
      </c>
      <c r="H7759" t="inlineStr">
        <is>
          <t>30/04/2026</t>
        </is>
      </c>
      <c r="I7759" t="inlineStr">
        <is>
          <t>17/03/2026</t>
        </is>
      </c>
      <c r="J7759" t="inlineStr">
        <is>
          <t>Nhân sự, Giáo dục / Đào tạo</t>
        </is>
      </c>
      <c r="K7759" t="inlineStr">
        <is>
          <t>2 - 3 Năm</t>
        </is>
      </c>
      <c r="L7759" s="8">
        <f>HYPERLINK("https://careerviet.vn/vi/tim-viec-lam/chuyen-vien-tuyen-dung.35C6BBD5.html","Xem chi tiết")</f>
        <v/>
      </c>
    </row>
    <row r="7760">
      <c r="B7760" s="9" t="n">
        <v>7758</v>
      </c>
      <c r="C7760" s="10" t="inlineStr">
        <is>
          <t>Trưởng Phòng Hành Chính Nhân Sự</t>
        </is>
      </c>
      <c r="D7760" s="10" t="inlineStr">
        <is>
          <t>Công ty Cổ phần thời trang quốc tế Glamor</t>
        </is>
      </c>
      <c r="E7760" s="10" t="inlineStr">
        <is>
          <t>Lương:20 Tr - 30 Tr VND</t>
        </is>
      </c>
      <c r="F7760" s="10" t="inlineStr">
        <is>
          <t>Hà Nội</t>
        </is>
      </c>
      <c r="G7760" s="10" t="inlineStr">
        <is>
          <t>10-04-2026</t>
        </is>
      </c>
      <c r="H7760" s="10" t="inlineStr">
        <is>
          <t>10/04/2026</t>
        </is>
      </c>
      <c r="I7760" s="10" t="inlineStr">
        <is>
          <t>17/03/2026</t>
        </is>
      </c>
      <c r="J7760" s="10" t="inlineStr">
        <is>
          <t>Nhân sự</t>
        </is>
      </c>
      <c r="K7760" s="10" t="inlineStr">
        <is>
          <t>Trên 2 Năm</t>
        </is>
      </c>
      <c r="L7760" s="11">
        <f>HYPERLINK("https://careerviet.vn/vi/tim-viec-lam/truong-phong-hanh-chinh-nhan-su.35C6BD4F.html","Xem chi tiết")</f>
        <v/>
      </c>
      <c r="M7760" s="10" t="n"/>
    </row>
    <row r="7761">
      <c r="B7761" s="7" t="n">
        <v>7759</v>
      </c>
      <c r="C7761" t="inlineStr">
        <is>
          <t>Nhân viên kỹ thuật</t>
        </is>
      </c>
      <c r="D7761" t="inlineStr">
        <is>
          <t>CÔNG TY CỔ PHẦN CONSMATE TTP</t>
        </is>
      </c>
      <c r="E7761" t="inlineStr">
        <is>
          <t>Lương:12 Tr - 18 Tr VND</t>
        </is>
      </c>
      <c r="F7761" t="inlineStr">
        <is>
          <t>Hà Nội</t>
        </is>
      </c>
      <c r="G7761" t="inlineStr">
        <is>
          <t>15-04-2026</t>
        </is>
      </c>
      <c r="H7761" t="inlineStr">
        <is>
          <t>15/04/2026</t>
        </is>
      </c>
      <c r="I7761" t="inlineStr">
        <is>
          <t>17/03/2026</t>
        </is>
      </c>
      <c r="J7761" t="inlineStr">
        <is>
          <t>Xây dựng, Điện / Điện tử / Điện lạnh / Điện công nghiệp</t>
        </is>
      </c>
      <c r="K7761" t="inlineStr">
        <is>
          <t>2 - 3 Năm</t>
        </is>
      </c>
      <c r="L7761" s="8">
        <f>HYPERLINK("https://careerviet.vn/vi/tim-viec-lam/nhan-vien-ky-thuat.35C6B9F5.html","Xem chi tiết")</f>
        <v/>
      </c>
    </row>
    <row r="7762">
      <c r="B7762" s="9" t="n">
        <v>7760</v>
      </c>
      <c r="C7762" s="10" t="inlineStr">
        <is>
          <t>Nhân Viên Kỹ Thuật Kiểm Soát Chất Lượng (IQC)</t>
        </is>
      </c>
      <c r="D7762" s="10" t="inlineStr">
        <is>
          <t>Công ty TNHH Minh Long I</t>
        </is>
      </c>
      <c r="E7762" s="10" t="inlineStr">
        <is>
          <t>Lương:9 Tr - 11 Tr VND</t>
        </is>
      </c>
      <c r="F7762" s="10" t="inlineStr">
        <is>
          <t>Bình Dương</t>
        </is>
      </c>
      <c r="G7762" s="10" t="inlineStr">
        <is>
          <t>09-04-2026</t>
        </is>
      </c>
      <c r="H7762" s="10" t="inlineStr">
        <is>
          <t>09/04/2026</t>
        </is>
      </c>
      <c r="I7762" s="10" t="inlineStr">
        <is>
          <t>17/03/2026</t>
        </is>
      </c>
      <c r="J7762" s="10" t="inlineStr">
        <is>
          <t>Quản lý chất lượng (QA/QC), Điện / Điện tử / Điện lạnh / Điện công nghiệp, Cơ khí / Ô tô / Tự động hóa</t>
        </is>
      </c>
      <c r="K7762" s="10" t="inlineStr">
        <is>
          <t>1 - 2 Năm</t>
        </is>
      </c>
      <c r="L7762" s="11">
        <f>HYPERLINK("https://careerviet.vn/vi/tim-viec-lam/nhan-vien-ky-thuat-kiem-soat-chat-luong-iqc.35C6BB25.html","Xem chi tiết")</f>
        <v/>
      </c>
      <c r="M7762" s="10" t="n"/>
    </row>
    <row r="7763">
      <c r="B7763" s="7" t="n">
        <v>7761</v>
      </c>
      <c r="C7763" t="inlineStr">
        <is>
          <t>GIÁM ĐỐC NHÂN SỰ</t>
        </is>
      </c>
      <c r="D7763" t="inlineStr">
        <is>
          <t>Công ty TNHH SX-TM Thép Tây Nam</t>
        </is>
      </c>
      <c r="E7763" t="inlineStr">
        <is>
          <t>Lương:20 Tr - 50 Tr VND</t>
        </is>
      </c>
      <c r="F7763" t="inlineStr">
        <is>
          <t>Long An</t>
        </is>
      </c>
      <c r="G7763" t="inlineStr">
        <is>
          <t>31-03-2026</t>
        </is>
      </c>
      <c r="H7763" t="inlineStr">
        <is>
          <t>31/03/2026</t>
        </is>
      </c>
      <c r="I7763" t="inlineStr">
        <is>
          <t>17/03/2026</t>
        </is>
      </c>
      <c r="J7763" t="inlineStr">
        <is>
          <t>Nhân sự, Quản lý điều hành, Luật / Pháp lý</t>
        </is>
      </c>
      <c r="K7763" t="inlineStr">
        <is>
          <t>5 - 10 Năm</t>
        </is>
      </c>
      <c r="L7763" s="8">
        <f>HYPERLINK("https://careerviet.vn/vi/tim-viec-lam/giam-doc-nhan-su.35C6BC05.html","Xem chi tiết")</f>
        <v/>
      </c>
    </row>
    <row r="7764">
      <c r="B7764" s="9" t="n">
        <v>7762</v>
      </c>
      <c r="C7764" s="10" t="inlineStr">
        <is>
          <t>Nhân Viên Kỹ Thuật/Giám Sát Thi Công - Kinh Nghiệm Từ 2 Năm - Làm Việc Tại Hà Nội - Thu Nhập Upto 22tr</t>
        </is>
      </c>
      <c r="D7764" s="10" t="inlineStr">
        <is>
          <t>Công ty TNHH Phòng cháy chữa cháy và cứu nạn cứu hộ Việt Nam</t>
        </is>
      </c>
      <c r="E7764" s="10" t="inlineStr">
        <is>
          <t>Lương:16 Tr - 18 Tr VND</t>
        </is>
      </c>
      <c r="F7764" s="10" t="inlineStr">
        <is>
          <t>Hà Nội</t>
        </is>
      </c>
      <c r="G7764" s="10" t="inlineStr">
        <is>
          <t>10-04-2026</t>
        </is>
      </c>
      <c r="H7764" s="10" t="inlineStr">
        <is>
          <t>10/04/2026</t>
        </is>
      </c>
      <c r="I7764" s="10" t="inlineStr">
        <is>
          <t>17/03/2026</t>
        </is>
      </c>
      <c r="J7764" s="10" t="inlineStr">
        <is>
          <t>Xây dựng, Kiến trúc, Điện / Điện tử / Điện lạnh / Điện công nghiệp</t>
        </is>
      </c>
      <c r="K7764" s="10" t="inlineStr">
        <is>
          <t>N/A</t>
        </is>
      </c>
      <c r="L7764" s="11">
        <f>HYPERLINK("https://careerviet.vn/vi/tim-viec-lam/nhan-vien-ky-thuat-giam-sat-thi-cong-kinh-nghiem-tu-2-nam-lam-viec-tai-ha-noi-thu-nhap-upto-22tr.35C6BD89.html","Xem chi tiết")</f>
        <v/>
      </c>
      <c r="M7764" s="10" t="n"/>
    </row>
    <row r="7765">
      <c r="B7765" s="7" t="n">
        <v>7763</v>
      </c>
      <c r="C7765" t="inlineStr">
        <is>
          <t>Nhân viên Phân tích và Làm giá (Pricing - XNK)</t>
        </is>
      </c>
      <c r="D7765" t="inlineStr">
        <is>
          <t>CÔNG TY CỔ PHẦN TIẾP VẬN QUỐC TẾ RỒNG XANH</t>
        </is>
      </c>
      <c r="E7765" t="inlineStr">
        <is>
          <t>Lương:8 Tr - 15 Tr VND</t>
        </is>
      </c>
      <c r="F7765" t="inlineStr">
        <is>
          <t>Hồ Chí Minh</t>
        </is>
      </c>
      <c r="G7765" t="inlineStr">
        <is>
          <t>10-04-2026</t>
        </is>
      </c>
      <c r="H7765" t="inlineStr">
        <is>
          <t>10/04/2026</t>
        </is>
      </c>
      <c r="I7765" t="inlineStr">
        <is>
          <t>17/03/2026</t>
        </is>
      </c>
      <c r="J7765" t="inlineStr">
        <is>
          <t>Xuất nhập khẩu, Bán hàng / Kinh doanh, Hàng hải</t>
        </is>
      </c>
      <c r="K7765" t="inlineStr">
        <is>
          <t>1 - 2 Năm</t>
        </is>
      </c>
      <c r="L7765" s="8">
        <f>HYPERLINK("https://careerviet.vn/vi/tim-viec-lam/nhan-vien-phan-tich-va-lam-gia-pricing-xnk.35C6BDE8.html","Xem chi tiết")</f>
        <v/>
      </c>
    </row>
    <row r="7766">
      <c r="B7766" s="9" t="n">
        <v>7764</v>
      </c>
      <c r="C7766" s="10" t="inlineStr">
        <is>
          <t>Planning And Strategy Executive/Senior Executive</t>
        </is>
      </c>
      <c r="D7766" s="10" t="inlineStr">
        <is>
          <t>Công Ty Tài Chính Mirae Asset (Việt Nam)</t>
        </is>
      </c>
      <c r="E7766" s="10" t="inlineStr">
        <is>
          <t>Lương:Cạnh tranh</t>
        </is>
      </c>
      <c r="F7766" s="10" t="inlineStr">
        <is>
          <t>Hồ Chí Minh</t>
        </is>
      </c>
      <c r="G7766" s="10" t="inlineStr">
        <is>
          <t>19-04-2026</t>
        </is>
      </c>
      <c r="H7766" s="10" t="inlineStr">
        <is>
          <t>19/04/2026</t>
        </is>
      </c>
      <c r="I7766" s="10" t="inlineStr">
        <is>
          <t>17/03/2026</t>
        </is>
      </c>
      <c r="J7766" s="10" t="inlineStr">
        <is>
          <t>Bảo hiểm, Bất động sản, Bán hàng / Kinh doanh</t>
        </is>
      </c>
      <c r="K7766" s="10" t="inlineStr">
        <is>
          <t>1 - 4 Năm</t>
        </is>
      </c>
      <c r="L7766" s="11">
        <f>HYPERLINK("https://careerviet.vn/vi/tim-viec-lam/planning-and-strategy-executive-senior-executive.35C6BD9D.html","Xem chi tiết")</f>
        <v/>
      </c>
      <c r="M7766" s="10" t="n"/>
    </row>
    <row r="7767">
      <c r="B7767" s="7" t="n">
        <v>7765</v>
      </c>
      <c r="C7767" t="inlineStr">
        <is>
          <t>CHUYÊN VIÊN KẾ HOẠCH KĨ THUẬT</t>
        </is>
      </c>
      <c r="D7767" t="inlineStr">
        <is>
          <t>Công Ty Cổ Phần Tập Đoàn Đèo Cả</t>
        </is>
      </c>
      <c r="E7767" t="inlineStr">
        <is>
          <t>Lương:18 Tr - 24 Tr VND</t>
        </is>
      </c>
      <c r="F7767" t="inlineStr">
        <is>
          <t>Hà Nội</t>
        </is>
      </c>
      <c r="G7767" t="inlineStr">
        <is>
          <t>15-05-2026</t>
        </is>
      </c>
      <c r="H7767" t="inlineStr">
        <is>
          <t>15/05/2026</t>
        </is>
      </c>
      <c r="I7767" t="inlineStr">
        <is>
          <t>17/03/2026</t>
        </is>
      </c>
      <c r="J7767" t="inlineStr">
        <is>
          <t>Kiến trúc, Xây dựng, Ngành khác</t>
        </is>
      </c>
      <c r="K7767" t="inlineStr">
        <is>
          <t>1 - 2 Năm</t>
        </is>
      </c>
      <c r="L7767" s="8">
        <f>HYPERLINK("https://careerviet.vn/vi/tim-viec-lam/chuyen-vien-ke-hoach-ki-thuat.35C6BD77.html","Xem chi tiết")</f>
        <v/>
      </c>
    </row>
    <row r="7768">
      <c r="B7768" s="9" t="n">
        <v>7766</v>
      </c>
      <c r="C7768" s="10" t="inlineStr">
        <is>
          <t>Kế toán kiểm soát</t>
        </is>
      </c>
      <c r="D7768" s="10" t="inlineStr">
        <is>
          <t>Tập Đoàn Tân Á Đại Thành</t>
        </is>
      </c>
      <c r="E7768" s="10" t="inlineStr">
        <is>
          <t>Lương:16 Tr - 19 Tr VND</t>
        </is>
      </c>
      <c r="F7768" s="10" t="inlineStr">
        <is>
          <t>Hà Nội</t>
        </is>
      </c>
      <c r="G7768" s="10" t="inlineStr">
        <is>
          <t>26-03-2026</t>
        </is>
      </c>
      <c r="H7768" s="10" t="inlineStr">
        <is>
          <t>26/03/2026</t>
        </is>
      </c>
      <c r="I7768" s="10" t="inlineStr">
        <is>
          <t>17/03/2026</t>
        </is>
      </c>
      <c r="J7768" s="10" t="inlineStr">
        <is>
          <t>Kế toán / Kiểm toán</t>
        </is>
      </c>
      <c r="K7768" s="10" t="inlineStr">
        <is>
          <t>3 - 5 Năm</t>
        </is>
      </c>
      <c r="L7768" s="11">
        <f>HYPERLINK("https://careerviet.vn/vi/tim-viec-lam/ke-toan-kiem-soat.35C6B208.html","Xem chi tiết")</f>
        <v/>
      </c>
      <c r="M7768" s="10" t="n"/>
    </row>
    <row r="7769">
      <c r="B7769" s="7" t="n">
        <v>7767</v>
      </c>
      <c r="C7769" t="inlineStr">
        <is>
          <t>Kỹ sư thiết kế MEP</t>
        </is>
      </c>
      <c r="D7769" t="inlineStr">
        <is>
          <t>CÔNG TY CỔ PHẦN ĐẦU TƯ XÂY DỰNG SỐ 14</t>
        </is>
      </c>
      <c r="E7769" t="inlineStr">
        <is>
          <t>Lương:Cạnh tranh</t>
        </is>
      </c>
      <c r="F7769" t="inlineStr">
        <is>
          <t>Hồ Chí Minh</t>
        </is>
      </c>
      <c r="G7769" t="inlineStr">
        <is>
          <t>31-03-2026</t>
        </is>
      </c>
      <c r="H7769" t="inlineStr">
        <is>
          <t>31/03/2026</t>
        </is>
      </c>
      <c r="I7769" t="inlineStr">
        <is>
          <t>17/03/2026</t>
        </is>
      </c>
      <c r="J7769" t="inlineStr">
        <is>
          <t>Điện / Điện tử / Điện lạnh / Điện công nghiệp, Xây dựng</t>
        </is>
      </c>
      <c r="K7769" t="inlineStr">
        <is>
          <t>7 - 10 Năm</t>
        </is>
      </c>
      <c r="L7769" s="8">
        <f>HYPERLINK("https://careerviet.vn/vi/tim-viec-lam/ky-su-thiet-ke-mep.35C6BB07.html","Xem chi tiết")</f>
        <v/>
      </c>
    </row>
    <row r="7770">
      <c r="B7770" s="9" t="n">
        <v>7768</v>
      </c>
      <c r="C7770" s="10" t="inlineStr">
        <is>
          <t>Quản lý công trình thang máy - FujiAlpha</t>
        </is>
      </c>
      <c r="D7770" s="10" t="inlineStr">
        <is>
          <t>Alphanam Group</t>
        </is>
      </c>
      <c r="E7770" s="10" t="inlineStr">
        <is>
          <t>Lương:13 Tr - 18 Tr VND</t>
        </is>
      </c>
      <c r="F7770" s="10" t="inlineStr">
        <is>
          <t>Hồ Chí MinhĐà Nẵng</t>
        </is>
      </c>
      <c r="G7770" s="10" t="inlineStr">
        <is>
          <t>29-04-2026</t>
        </is>
      </c>
      <c r="H7770" s="10" t="inlineStr">
        <is>
          <t>29/04/2026</t>
        </is>
      </c>
      <c r="I7770" s="10" t="inlineStr">
        <is>
          <t>17/03/2026</t>
        </is>
      </c>
      <c r="J7770" s="10" t="inlineStr">
        <is>
          <t>Cơ khí / Ô tô / Tự động hóa, Quản lý chất lượng (QA/QC)</t>
        </is>
      </c>
      <c r="K7770" s="10" t="inlineStr">
        <is>
          <t>1 - 2 Năm</t>
        </is>
      </c>
      <c r="L7770" s="11">
        <f>HYPERLINK("https://careerviet.vn/vi/tim-viec-lam/quan-ly-cong-trinh-thang-may-fujialpha.35C6BC6A.html","Xem chi tiết")</f>
        <v/>
      </c>
      <c r="M7770" s="10" t="n"/>
    </row>
    <row r="7771">
      <c r="B7771" s="7" t="n">
        <v>7769</v>
      </c>
      <c r="C7771" t="inlineStr">
        <is>
          <t>Nhân viên Content</t>
        </is>
      </c>
      <c r="D7771" t="inlineStr">
        <is>
          <t>Công ty TNHH TMDV &amp; Kỹ Thuật Đức Phát</t>
        </is>
      </c>
      <c r="E7771" t="inlineStr">
        <is>
          <t>Lương:10 Tr - 15 Tr VND</t>
        </is>
      </c>
      <c r="F7771" t="inlineStr">
        <is>
          <t>Hà Nội</t>
        </is>
      </c>
      <c r="G7771" t="inlineStr">
        <is>
          <t>31-03-2026</t>
        </is>
      </c>
      <c r="H7771" t="inlineStr">
        <is>
          <t>31/03/2026</t>
        </is>
      </c>
      <c r="I7771" t="inlineStr">
        <is>
          <t>17/03/2026</t>
        </is>
      </c>
      <c r="J7771" t="inlineStr">
        <is>
          <t>Tiếp thị / Marketing</t>
        </is>
      </c>
      <c r="K7771" t="inlineStr">
        <is>
          <t>1 - 3 Năm</t>
        </is>
      </c>
      <c r="L7771" s="8">
        <f>HYPERLINK("https://careerviet.vn/vi/tim-viec-lam/nhan-vien-content.35C6BAFD.html","Xem chi tiết")</f>
        <v/>
      </c>
    </row>
    <row r="7772">
      <c r="B7772" s="9" t="n">
        <v>7770</v>
      </c>
      <c r="C7772" s="10" t="inlineStr">
        <is>
          <t>Chuyên Viên Tuyển Dụng (Mass)</t>
        </is>
      </c>
      <c r="D7772" s="10" t="inlineStr">
        <is>
          <t>Công Ty TNHH XNK Phát Triển Đông Dương</t>
        </is>
      </c>
      <c r="E7772" s="10" t="inlineStr">
        <is>
          <t>Lương:12 Tr - 15 Tr VND</t>
        </is>
      </c>
      <c r="F7772" s="10" t="inlineStr">
        <is>
          <t>Hà Nội</t>
        </is>
      </c>
      <c r="G7772" s="10" t="inlineStr">
        <is>
          <t>20-04-2026</t>
        </is>
      </c>
      <c r="H7772" s="10" t="inlineStr">
        <is>
          <t>20/04/2026</t>
        </is>
      </c>
      <c r="I7772" s="10" t="inlineStr">
        <is>
          <t>17/03/2026</t>
        </is>
      </c>
      <c r="J7772" s="10" t="inlineStr">
        <is>
          <t>Tiếp thị / Marketing, Tiếp thị trực tuyến, Quảng cáo / Đối ngoại / Truyền Thông</t>
        </is>
      </c>
      <c r="K7772" s="10" t="inlineStr">
        <is>
          <t>2 - 5 Năm</t>
        </is>
      </c>
      <c r="L7772" s="11">
        <f>HYPERLINK("https://careerviet.vn/vi/tim-viec-lam/chuyen-vien-tuyen-dung-mass.35C6BDA8.html","Xem chi tiết")</f>
        <v/>
      </c>
      <c r="M7772" s="10" t="n"/>
    </row>
    <row r="7773">
      <c r="B7773" s="7" t="n">
        <v>7771</v>
      </c>
      <c r="C7773" t="inlineStr">
        <is>
          <t>Chuyên viên tuyển dụng</t>
        </is>
      </c>
      <c r="D7773" t="inlineStr">
        <is>
          <t>CÔNG TY CỔ PHẦN HỌC VIỆN MINH TRÍ THÀNH</t>
        </is>
      </c>
      <c r="E7773" t="inlineStr">
        <is>
          <t>Lương:12 Tr - 18 Tr VND</t>
        </is>
      </c>
      <c r="F7773" t="inlineStr">
        <is>
          <t>Hồ Chí Minh</t>
        </is>
      </c>
      <c r="G7773" t="inlineStr">
        <is>
          <t>30-04-2026</t>
        </is>
      </c>
      <c r="H7773" t="inlineStr">
        <is>
          <t>30/04/2026</t>
        </is>
      </c>
      <c r="I7773" t="inlineStr">
        <is>
          <t>17/03/2026</t>
        </is>
      </c>
      <c r="J7773" t="inlineStr">
        <is>
          <t>Nhân sự, Giáo dục / Đào tạo, Quản lý điều hành</t>
        </is>
      </c>
      <c r="K7773" t="inlineStr">
        <is>
          <t>4 - 6 Năm</t>
        </is>
      </c>
      <c r="L7773" s="8">
        <f>HYPERLINK("https://careerviet.vn/vi/tim-viec-lam/chuyen-vien-tuyen-dung.35C6BC7D.html","Xem chi tiết")</f>
        <v/>
      </c>
    </row>
    <row r="7774">
      <c r="B7774" s="9" t="n">
        <v>7772</v>
      </c>
      <c r="C7774" s="10" t="inlineStr">
        <is>
          <t>CHUYÊN VIÊN TUYỂN DỤNG (RECRUITMENT SPECIALIST)</t>
        </is>
      </c>
      <c r="D7774" s="10" t="inlineStr">
        <is>
          <t>Medigo Software</t>
        </is>
      </c>
      <c r="E7774" s="10" t="inlineStr">
        <is>
          <t>Lương:15 Tr - 20 Tr VND</t>
        </is>
      </c>
      <c r="F7774" s="10" t="inlineStr">
        <is>
          <t>Hồ Chí Minh</t>
        </is>
      </c>
      <c r="G7774" s="10" t="inlineStr">
        <is>
          <t>10-04-2026</t>
        </is>
      </c>
      <c r="H7774" s="10" t="inlineStr">
        <is>
          <t>10/04/2026</t>
        </is>
      </c>
      <c r="I7774" s="10" t="inlineStr">
        <is>
          <t>17/03/2026</t>
        </is>
      </c>
      <c r="J7774" s="10" t="inlineStr">
        <is>
          <t>Nhân sự, Hành chính / Thư ký, Quản lý điều hành</t>
        </is>
      </c>
      <c r="K7774" s="10" t="inlineStr">
        <is>
          <t>2 - 5 Năm</t>
        </is>
      </c>
      <c r="L7774" s="11">
        <f>HYPERLINK("https://careerviet.vn/vi/tim-viec-lam/chuyen-vien-tuyen-dung-recruitment-specialist.35C6BD5A.html","Xem chi tiết")</f>
        <v/>
      </c>
      <c r="M7774" s="10" t="n"/>
    </row>
    <row r="7775">
      <c r="B7775" s="7" t="n">
        <v>7773</v>
      </c>
      <c r="C7775" t="inlineStr">
        <is>
          <t>Nhân viên QC (Gạo)</t>
        </is>
      </c>
      <c r="D7775" t="inlineStr">
        <is>
          <t>Công ty CP Thành Thành Công - Biên Hòa</t>
        </is>
      </c>
      <c r="E7775" t="inlineStr">
        <is>
          <t>Lương:Cạnh tranh</t>
        </is>
      </c>
      <c r="F7775" t="inlineStr">
        <is>
          <t>Tây Ninh</t>
        </is>
      </c>
      <c r="G7775" t="inlineStr">
        <is>
          <t>09-04-2026</t>
        </is>
      </c>
      <c r="H7775" t="inlineStr">
        <is>
          <t>09/04/2026</t>
        </is>
      </c>
      <c r="I7775" t="inlineStr">
        <is>
          <t>17/03/2026</t>
        </is>
      </c>
      <c r="J7775" t="inlineStr">
        <is>
          <t>Quản lý chất lượng (QA/QC)</t>
        </is>
      </c>
      <c r="K7775" t="inlineStr">
        <is>
          <t>Trên 1 Năm</t>
        </is>
      </c>
      <c r="L7775" s="8">
        <f>HYPERLINK("https://careerviet.vn/vi/tim-viec-lam/nhan-vien-qc-gao.35C6BBF7.html","Xem chi tiết")</f>
        <v/>
      </c>
    </row>
    <row r="7776">
      <c r="B7776" s="9" t="n">
        <v>7774</v>
      </c>
      <c r="C7776" s="10" t="inlineStr">
        <is>
          <t>Quản trị dự án - Upto 30M</t>
        </is>
      </c>
      <c r="D7776" s="10" t="inlineStr">
        <is>
          <t>Công ty Cổ phần Đầu tư Kỹ thuật Số Việt (VDI)</t>
        </is>
      </c>
      <c r="E7776" s="10" t="inlineStr">
        <is>
          <t>Lương:Lên đến 30 Tr VND</t>
        </is>
      </c>
      <c r="F7776" s="10" t="inlineStr">
        <is>
          <t>Hà Nội</t>
        </is>
      </c>
      <c r="G7776" s="10" t="inlineStr">
        <is>
          <t>01-04-2026</t>
        </is>
      </c>
      <c r="H7776" s="10" t="inlineStr">
        <is>
          <t>01/04/2026</t>
        </is>
      </c>
      <c r="I7776" s="10" t="inlineStr">
        <is>
          <t>17/03/2026</t>
        </is>
      </c>
      <c r="J7776" s="10" t="inlineStr">
        <is>
          <t>Bưu chính viễn thông, CNTT - Phần cứng / Mạng</t>
        </is>
      </c>
      <c r="K7776" s="10" t="inlineStr">
        <is>
          <t>Trên 3 Năm</t>
        </is>
      </c>
      <c r="L7776" s="11">
        <f>HYPERLINK("https://careerviet.vn/vi/tim-viec-lam/quan-tri-du-an-upto-30m.35C6BD6B.html","Xem chi tiết")</f>
        <v/>
      </c>
      <c r="M7776" s="10" t="n"/>
    </row>
    <row r="7777">
      <c r="B7777" s="7" t="n">
        <v>7775</v>
      </c>
      <c r="C7777" t="inlineStr">
        <is>
          <t>Nhân Viên Trực Page (thu nhập &gt;8.8tr)</t>
        </is>
      </c>
      <c r="D7777" t="inlineStr">
        <is>
          <t>CÔNG TY TNHH SẢN XUẤT VÀ THƯƠNG MẠI THỦY SẢN THIỆN NHÀ TÔM</t>
        </is>
      </c>
      <c r="E7777" t="inlineStr">
        <is>
          <t>Lương:8,8 Tr - 12 Tr VND</t>
        </is>
      </c>
      <c r="F7777" t="inlineStr">
        <is>
          <t>Hồ Chí Minh</t>
        </is>
      </c>
      <c r="G7777" t="inlineStr">
        <is>
          <t>10-04-2026</t>
        </is>
      </c>
      <c r="H7777" t="inlineStr">
        <is>
          <t>10/04/2026</t>
        </is>
      </c>
      <c r="I7777" t="inlineStr">
        <is>
          <t>17/03/2026</t>
        </is>
      </c>
      <c r="J7777" t="inlineStr">
        <is>
          <t>Tư vấn, Bán hàng / Kinh doanh, Tiếp thị / Marketing</t>
        </is>
      </c>
      <c r="K7777" t="inlineStr">
        <is>
          <t>Lên đến 1 Năm</t>
        </is>
      </c>
      <c r="L7777" s="8">
        <f>HYPERLINK("https://careerviet.vn/vi/tim-viec-lam/nhan-vien-truc-page-thu-nhap-8-8tr.35C6BE0D.html","Xem chi tiết")</f>
        <v/>
      </c>
    </row>
    <row r="7778">
      <c r="B7778" s="9" t="n">
        <v>7776</v>
      </c>
      <c r="C7778" s="10" t="inlineStr">
        <is>
          <t>Đại Diện Bán Hàng</t>
        </is>
      </c>
      <c r="D7778" s="10" t="inlineStr">
        <is>
          <t>Tập Đoàn Karofi Holding</t>
        </is>
      </c>
      <c r="E7778" s="10" t="inlineStr">
        <is>
          <t>Lương:16 Tr - 22 Tr VND</t>
        </is>
      </c>
      <c r="F7778" s="10" t="inlineStr">
        <is>
          <t>Hà GiangBắc CạnLào Cai</t>
        </is>
      </c>
      <c r="G7778" s="10" t="inlineStr">
        <is>
          <t>29-04-2026</t>
        </is>
      </c>
      <c r="H7778" s="10" t="inlineStr">
        <is>
          <t>29/04/2026</t>
        </is>
      </c>
      <c r="I7778" s="10" t="inlineStr">
        <is>
          <t>17/03/2026</t>
        </is>
      </c>
      <c r="J7778" s="10" t="inlineStr">
        <is>
          <t>Hàng gia dụng / Chăm sóc cá nhân, Bán lẻ / Bán sỉ, Bán hàng / Kinh doanh</t>
        </is>
      </c>
      <c r="K7778" s="10" t="inlineStr">
        <is>
          <t>Trên 1 Năm</t>
        </is>
      </c>
      <c r="L7778" s="11">
        <f>HYPERLINK("https://careerviet.vn/vi/tim-viec-lam/dai-dien-ban-hang.35C6BDCD.html","Xem chi tiết")</f>
        <v/>
      </c>
      <c r="M7778" s="10" t="n"/>
    </row>
    <row r="7779">
      <c r="B7779" s="7" t="n">
        <v>7777</v>
      </c>
      <c r="C7779" t="inlineStr">
        <is>
          <t>Planning And Strategy Supervisor</t>
        </is>
      </c>
      <c r="D7779" t="inlineStr">
        <is>
          <t>Công Ty Tài Chính Mirae Asset (Việt Nam)</t>
        </is>
      </c>
      <c r="E7779" t="inlineStr">
        <is>
          <t>Lương:Cạnh tranh</t>
        </is>
      </c>
      <c r="F7779" t="inlineStr">
        <is>
          <t>Hồ Chí Minh</t>
        </is>
      </c>
      <c r="G7779" t="inlineStr">
        <is>
          <t>19-04-2026</t>
        </is>
      </c>
      <c r="H7779" t="inlineStr">
        <is>
          <t>19/04/2026</t>
        </is>
      </c>
      <c r="I7779" t="inlineStr">
        <is>
          <t>17/03/2026</t>
        </is>
      </c>
      <c r="J7779" t="inlineStr">
        <is>
          <t>Bất động sản, Bán lẻ / Bán sỉ, Bán hàng / Kinh doanh</t>
        </is>
      </c>
      <c r="K7779" t="inlineStr">
        <is>
          <t>2 - 5 Năm</t>
        </is>
      </c>
      <c r="L7779" s="8">
        <f>HYPERLINK("https://careerviet.vn/vi/tim-viec-lam/planning-and-strategy-supervisor.35C6BDDB.html","Xem chi tiết")</f>
        <v/>
      </c>
    </row>
    <row r="7780">
      <c r="B7780" s="9" t="n">
        <v>7778</v>
      </c>
      <c r="C7780" s="10" t="inlineStr">
        <is>
          <t>Kế Toán Thanh Toán (F&amp;B)</t>
        </is>
      </c>
      <c r="D7780" s="10" t="inlineStr">
        <is>
          <t>CÔNG TY TNHH QUẢN LÝ TẬP ĐOÀN HYLO</t>
        </is>
      </c>
      <c r="E7780" s="10" t="inlineStr">
        <is>
          <t>Lương:10 Tr - 14 Tr VND</t>
        </is>
      </c>
      <c r="F7780" s="10" t="inlineStr">
        <is>
          <t>Hồ Chí Minh</t>
        </is>
      </c>
      <c r="G7780" s="10" t="inlineStr">
        <is>
          <t>10-04-2026</t>
        </is>
      </c>
      <c r="H7780" s="10" t="inlineStr">
        <is>
          <t>10/04/2026</t>
        </is>
      </c>
      <c r="I7780" s="10" t="inlineStr">
        <is>
          <t>17/03/2026</t>
        </is>
      </c>
      <c r="J7780" s="10" t="inlineStr">
        <is>
          <t>Kế toán / Kiểm toán, Nhà hàng / Khách sạn</t>
        </is>
      </c>
      <c r="K7780" s="10" t="inlineStr">
        <is>
          <t>1 - 2 Năm</t>
        </is>
      </c>
      <c r="L7780" s="11">
        <f>HYPERLINK("https://careerviet.vn/vi/tim-viec-lam/ke-toan-thanh-toan-f-b.35C6BABD.html","Xem chi tiết")</f>
        <v/>
      </c>
      <c r="M7780" s="10" t="n"/>
    </row>
    <row r="7781">
      <c r="B7781" s="7" t="n">
        <v>7779</v>
      </c>
      <c r="C7781" t="inlineStr">
        <is>
          <t>Chuyên viên C&amp;B</t>
        </is>
      </c>
      <c r="D7781" t="inlineStr">
        <is>
          <t>Bệnh viện Đa khoa Hà Nội</t>
        </is>
      </c>
      <c r="E7781" t="inlineStr">
        <is>
          <t>Lương:12 Tr - 16 Tr VND</t>
        </is>
      </c>
      <c r="F7781" t="inlineStr">
        <is>
          <t>Hà Nội</t>
        </is>
      </c>
      <c r="G7781" t="inlineStr">
        <is>
          <t>15-04-2026</t>
        </is>
      </c>
      <c r="H7781" t="inlineStr">
        <is>
          <t>15/04/2026</t>
        </is>
      </c>
      <c r="I7781" t="inlineStr">
        <is>
          <t>17/03/2026</t>
        </is>
      </c>
      <c r="J7781" t="inlineStr">
        <is>
          <t>Y tế / Chăm sóc sức khỏe / Thẩm mỹ / Làm đẹp, Hành chính / Thư ký, Nhân sự</t>
        </is>
      </c>
      <c r="K7781" t="inlineStr">
        <is>
          <t>Trên 2 Năm</t>
        </is>
      </c>
      <c r="L7781" s="8">
        <f>HYPERLINK("https://careerviet.vn/vi/tim-viec-lam/chuyen-vien-c-b.35C6BAC7.html","Xem chi tiết")</f>
        <v/>
      </c>
    </row>
    <row r="7782">
      <c r="B7782" s="9" t="n">
        <v>7780</v>
      </c>
      <c r="C7782" s="10" t="inlineStr">
        <is>
          <t>Thư ký siêu âm Phòng khám Quận 10</t>
        </is>
      </c>
      <c r="D7782" s="10" t="inlineStr">
        <is>
          <t>DIAG</t>
        </is>
      </c>
      <c r="E7782" s="10" t="inlineStr">
        <is>
          <t>Lương:8 Tr - 10 Tr VND</t>
        </is>
      </c>
      <c r="F7782" s="10" t="inlineStr">
        <is>
          <t>Hồ Chí Minh</t>
        </is>
      </c>
      <c r="G7782" s="10" t="inlineStr">
        <is>
          <t>10-04-2026</t>
        </is>
      </c>
      <c r="H7782" s="10" t="inlineStr">
        <is>
          <t>10/04/2026</t>
        </is>
      </c>
      <c r="I7782" s="10" t="inlineStr">
        <is>
          <t>17/03/2026</t>
        </is>
      </c>
      <c r="J7782" s="10" t="inlineStr">
        <is>
          <t>Y tế / Chăm sóc sức khỏe / Thẩm mỹ / Làm đẹp, Dược phẩm/ Hóa Mỹ Phẩm, Dịch vụ khách hàng</t>
        </is>
      </c>
      <c r="K7782" s="10" t="inlineStr">
        <is>
          <t>1 - 2 Năm</t>
        </is>
      </c>
      <c r="L7782" s="11">
        <f>HYPERLINK("https://careerviet.vn/vi/tim-viec-lam/thu-ky-sieu-am-phong-kham-quan-10.35C6BD1B.html","Xem chi tiết")</f>
        <v/>
      </c>
      <c r="M7782" s="10" t="n"/>
    </row>
    <row r="7783">
      <c r="B7783" s="7" t="n">
        <v>7781</v>
      </c>
      <c r="C7783" t="inlineStr">
        <is>
          <t>Chuyên viên chính/Chuyên viên cao cấp Vận hành Nhân sự</t>
        </is>
      </c>
      <c r="D7783" t="inlineStr">
        <is>
          <t>Ngân Hàng TMCP Tiên Phong (TPBank)</t>
        </is>
      </c>
      <c r="E7783" t="inlineStr">
        <is>
          <t>Lương:15 Tr - 30 Tr VND</t>
        </is>
      </c>
      <c r="F7783" t="inlineStr">
        <is>
          <t>Hà Nội</t>
        </is>
      </c>
      <c r="G7783" t="inlineStr">
        <is>
          <t>30-04-2026</t>
        </is>
      </c>
      <c r="H7783" t="inlineStr">
        <is>
          <t>30/04/2026</t>
        </is>
      </c>
      <c r="I7783" t="inlineStr">
        <is>
          <t>17/03/2026</t>
        </is>
      </c>
      <c r="J7783" t="inlineStr">
        <is>
          <t>Nhân sự, Ngân hàng</t>
        </is>
      </c>
      <c r="K7783" t="inlineStr">
        <is>
          <t>Lên đến 2 Năm</t>
        </is>
      </c>
      <c r="L7783" s="8">
        <f>HYPERLINK("https://careerviet.vn/vi/tim-viec-lam/chuyen-vien-chinh-chuyen-vien-cao-cap-van-hanh-nhan-su.35C6BE0C.html","Xem chi tiết")</f>
        <v/>
      </c>
    </row>
    <row r="7784">
      <c r="B7784" s="9" t="n">
        <v>7782</v>
      </c>
      <c r="C7784" s="10" t="inlineStr">
        <is>
          <t>Chuyên Viên Kiểm Soát Vận Hành (Chuỗi Bán Lẻ KINGSPORT)</t>
        </is>
      </c>
      <c r="D7784" s="10" t="inlineStr">
        <is>
          <t>Công Ty TNHH XNK Phát Triển Đông Dương</t>
        </is>
      </c>
      <c r="E7784" s="10" t="inlineStr">
        <is>
          <t>Lương:15 Tr - 20 Tr VND</t>
        </is>
      </c>
      <c r="F7784" s="10" t="inlineStr">
        <is>
          <t>Hồ Chí Minh</t>
        </is>
      </c>
      <c r="G7784" s="10" t="inlineStr">
        <is>
          <t>20-04-2026</t>
        </is>
      </c>
      <c r="H7784" s="10" t="inlineStr">
        <is>
          <t>20/04/2026</t>
        </is>
      </c>
      <c r="I7784" s="10" t="inlineStr">
        <is>
          <t>17/03/2026</t>
        </is>
      </c>
      <c r="J7784" s="10" t="inlineStr">
        <is>
          <t>Bán lẻ / Bán sỉ, Kế toán / Kiểm toán, Quản lý điều hành</t>
        </is>
      </c>
      <c r="K7784" s="10" t="inlineStr">
        <is>
          <t>2 - 5 Năm</t>
        </is>
      </c>
      <c r="L7784" s="11">
        <f>HYPERLINK("https://careerviet.vn/vi/tim-viec-lam/chuyen-vien-kiem-soat-van-hanh-chuoi-ban-le-kingsport.35C6BDA2.html","Xem chi tiết")</f>
        <v/>
      </c>
      <c r="M7784" s="10" t="n"/>
    </row>
    <row r="7785">
      <c r="B7785" s="7" t="n">
        <v>7783</v>
      </c>
      <c r="C7785" t="inlineStr">
        <is>
          <t>Digital Marketing (SEO)</t>
        </is>
      </c>
      <c r="D7785" t="inlineStr">
        <is>
          <t>Tập Đoàn Karofi Holding</t>
        </is>
      </c>
      <c r="E7785" t="inlineStr">
        <is>
          <t>Lương:Cạnh tranh</t>
        </is>
      </c>
      <c r="F7785" t="inlineStr">
        <is>
          <t>Hồ Chí MinhHà Nội</t>
        </is>
      </c>
      <c r="G7785" t="inlineStr">
        <is>
          <t>14-04-2026</t>
        </is>
      </c>
      <c r="H7785" t="inlineStr">
        <is>
          <t>14/04/2026</t>
        </is>
      </c>
      <c r="I7785" t="inlineStr">
        <is>
          <t>17/03/2026</t>
        </is>
      </c>
      <c r="J7785" t="inlineStr">
        <is>
          <t>Bán lẻ / Bán sỉ, Truyền hình / Báo chí / Biên tập, Quảng cáo / Đối ngoại / Truyền Thông</t>
        </is>
      </c>
      <c r="K7785" t="inlineStr">
        <is>
          <t>2 - 5 Năm</t>
        </is>
      </c>
      <c r="L7785" s="8">
        <f>HYPERLINK("https://careerviet.vn/vi/tim-viec-lam/digital-marketing-seo.35C6BE17.html","Xem chi tiết")</f>
        <v/>
      </c>
    </row>
    <row r="7786">
      <c r="B7786" s="9" t="n">
        <v>7784</v>
      </c>
      <c r="C7786" s="10" t="inlineStr">
        <is>
          <t>Chuyên viên Quản lý tài sản</t>
        </is>
      </c>
      <c r="D7786" s="10" t="inlineStr">
        <is>
          <t>LOTTE FINANCE VIETNAM</t>
        </is>
      </c>
      <c r="E7786" s="10" t="inlineStr">
        <is>
          <t>Lương:Cạnh tranh</t>
        </is>
      </c>
      <c r="F7786" s="10" t="inlineStr">
        <is>
          <t>Hà Nội</t>
        </is>
      </c>
      <c r="G7786" s="10" t="inlineStr">
        <is>
          <t>09-04-2026</t>
        </is>
      </c>
      <c r="H7786" s="10" t="inlineStr">
        <is>
          <t>09/04/2026</t>
        </is>
      </c>
      <c r="I7786" s="10" t="inlineStr">
        <is>
          <t>17/03/2026</t>
        </is>
      </c>
      <c r="J7786" s="10" t="inlineStr">
        <is>
          <t>Hành chính / Thư ký, Ngân hàng, Tài chính / Đầu tư</t>
        </is>
      </c>
      <c r="K7786" s="10" t="inlineStr">
        <is>
          <t>Trên 2 Năm</t>
        </is>
      </c>
      <c r="L7786" s="11">
        <f>HYPERLINK("https://careerviet.vn/vi/tim-viec-lam/chuyen-vien-quan-ly-tai-san.35C6BE10.html","Xem chi tiết")</f>
        <v/>
      </c>
      <c r="M7786" s="10" t="n"/>
    </row>
    <row r="7787">
      <c r="B7787" s="7" t="n">
        <v>7785</v>
      </c>
      <c r="C7787" t="inlineStr">
        <is>
          <t>Sales Executive</t>
        </is>
      </c>
      <c r="D7787" t="inlineStr">
        <is>
          <t>Công Ty TNHH Le Nom Việt Nam</t>
        </is>
      </c>
      <c r="E7787" t="inlineStr">
        <is>
          <t>Lương:12 Tr - 18 Tr VND</t>
        </is>
      </c>
      <c r="F7787" t="inlineStr">
        <is>
          <t>Hồ Chí Minh</t>
        </is>
      </c>
      <c r="G7787" t="inlineStr">
        <is>
          <t>15-04-2026</t>
        </is>
      </c>
      <c r="H7787" t="inlineStr">
        <is>
          <t>15/04/2026</t>
        </is>
      </c>
      <c r="I7787" t="inlineStr">
        <is>
          <t>17/03/2026</t>
        </is>
      </c>
      <c r="J7787" t="inlineStr">
        <is>
          <t>Tiếp thị / Marketing, Bán hàng / Kinh doanh, Quảng cáo / Đối ngoại / Truyền Thông</t>
        </is>
      </c>
      <c r="K7787" t="inlineStr">
        <is>
          <t>1 - 3 Năm</t>
        </is>
      </c>
      <c r="L7787" s="8">
        <f>HYPERLINK("https://careerviet.vn/vi/tim-viec-lam/sales-executive.35C6B96E.html","Xem chi tiết")</f>
        <v/>
      </c>
    </row>
    <row r="7788">
      <c r="B7788" s="9" t="n">
        <v>7786</v>
      </c>
      <c r="C7788" s="10" t="inlineStr">
        <is>
          <t>[Quận 7] - Nhân Viên Lễ Tân</t>
        </is>
      </c>
      <c r="D7788" s="10" t="inlineStr">
        <is>
          <t>Công ty TNHH Phát triển Phú Mỹ Hưng</t>
        </is>
      </c>
      <c r="E7788" s="10" t="inlineStr">
        <is>
          <t>Lương:7 Tr - 8 Tr VND</t>
        </is>
      </c>
      <c r="F7788" s="10" t="inlineStr">
        <is>
          <t>Hồ Chí Minh</t>
        </is>
      </c>
      <c r="G7788" s="10" t="inlineStr">
        <is>
          <t>10-04-2026</t>
        </is>
      </c>
      <c r="H7788" s="10" t="inlineStr">
        <is>
          <t>10/04/2026</t>
        </is>
      </c>
      <c r="I7788" s="10" t="inlineStr">
        <is>
          <t>17/03/2026</t>
        </is>
      </c>
      <c r="J7788" s="10" t="inlineStr">
        <is>
          <t>Hành chính / Thư ký, Nhân sự</t>
        </is>
      </c>
      <c r="K7788" s="10" t="inlineStr">
        <is>
          <t>N/A</t>
        </is>
      </c>
      <c r="L7788" s="11">
        <f>HYPERLINK("https://careerviet.vn/vi/tim-viec-lam/quan-7-nhan-vien-le-tan.35C6BACC.html","Xem chi tiết")</f>
        <v/>
      </c>
      <c r="M7788" s="10" t="n"/>
    </row>
    <row r="7789">
      <c r="B7789" s="7" t="n">
        <v>7787</v>
      </c>
      <c r="C7789" t="inlineStr">
        <is>
          <t>Kế Toán Kho Kiêm Thủ Kho</t>
        </is>
      </c>
      <c r="D7789" t="inlineStr">
        <is>
          <t>Công ty Cổ phần Vikings Việt Nam</t>
        </is>
      </c>
      <c r="E7789" t="inlineStr">
        <is>
          <t>Lương:9 Tr - 12 Tr VND</t>
        </is>
      </c>
      <c r="F7789" t="inlineStr">
        <is>
          <t>Hồ Chí MinhHà Nội</t>
        </is>
      </c>
      <c r="G7789" t="inlineStr">
        <is>
          <t>09-04-2026</t>
        </is>
      </c>
      <c r="H7789" t="inlineStr">
        <is>
          <t>09/04/2026</t>
        </is>
      </c>
      <c r="I7789" t="inlineStr">
        <is>
          <t>17/03/2026</t>
        </is>
      </c>
      <c r="J7789" t="inlineStr">
        <is>
          <t>Vận chuyển / Giao nhận / Kho vận, Kế toán / Kiểm toán</t>
        </is>
      </c>
      <c r="K7789" t="inlineStr">
        <is>
          <t>1 - 2 Năm</t>
        </is>
      </c>
      <c r="L7789" s="8">
        <f>HYPERLINK("https://careerviet.vn/vi/tim-viec-lam/ke-toan-kho-kiem-thu-kho.35C6BD50.html","Xem chi tiết")</f>
        <v/>
      </c>
    </row>
    <row r="7790">
      <c r="B7790" s="9" t="n">
        <v>7788</v>
      </c>
      <c r="C7790" s="10" t="inlineStr">
        <is>
          <t>Nhân Viên Thị Trường - Tỉnh nghệ An</t>
        </is>
      </c>
      <c r="D7790" s="10" t="inlineStr">
        <is>
          <t>Công ty TNHH SX-TM Thép Tây Nam</t>
        </is>
      </c>
      <c r="E7790" s="10" t="inlineStr">
        <is>
          <t>Lương:10 Tr - 15 Tr VND</t>
        </is>
      </c>
      <c r="F7790" s="10" t="inlineStr">
        <is>
          <t>Nghệ An</t>
        </is>
      </c>
      <c r="G7790" s="10" t="inlineStr">
        <is>
          <t>28-03-2026</t>
        </is>
      </c>
      <c r="H7790" s="10" t="inlineStr">
        <is>
          <t>28/03/2026</t>
        </is>
      </c>
      <c r="I7790" s="10" t="inlineStr">
        <is>
          <t>17/03/2026</t>
        </is>
      </c>
      <c r="J7790" s="10" t="inlineStr">
        <is>
          <t>Tiếp thị / Marketing, Bán hàng / Kinh doanh, Tiếp thị trực tuyến</t>
        </is>
      </c>
      <c r="K7790" s="10" t="inlineStr">
        <is>
          <t>1 - 2 Năm</t>
        </is>
      </c>
      <c r="L7790" s="11">
        <f>HYPERLINK("https://careerviet.vn/vi/tim-viec-lam/nhan-vien-thi-truong-tinh-nghe-an.35C6BD7F.html","Xem chi tiết")</f>
        <v/>
      </c>
      <c r="M7790" s="10" t="n"/>
    </row>
    <row r="7791">
      <c r="B7791" s="7" t="n">
        <v>7789</v>
      </c>
      <c r="C7791" t="inlineStr">
        <is>
          <t>Cửa Hàng Trưởng</t>
        </is>
      </c>
      <c r="D7791" t="inlineStr">
        <is>
          <t>Công ty TNHH Joyco Retail Operations</t>
        </is>
      </c>
      <c r="E7791" t="inlineStr">
        <is>
          <t>Lương:Trên 12 Tr VND</t>
        </is>
      </c>
      <c r="F7791" t="inlineStr">
        <is>
          <t>Hồ Chí MinhĐồng NaiTây Ninh</t>
        </is>
      </c>
      <c r="G7791" t="inlineStr">
        <is>
          <t>10-04-2026</t>
        </is>
      </c>
      <c r="H7791" t="inlineStr">
        <is>
          <t>10/04/2026</t>
        </is>
      </c>
      <c r="I7791" t="inlineStr">
        <is>
          <t>17/03/2026</t>
        </is>
      </c>
      <c r="J7791" t="inlineStr">
        <is>
          <t>Bán lẻ / Bán sỉ, Bán hàng / Kinh doanh</t>
        </is>
      </c>
      <c r="K7791" t="inlineStr">
        <is>
          <t>3 - 5 Năm</t>
        </is>
      </c>
      <c r="L7791" s="8">
        <f>HYPERLINK("https://careerviet.vn/vi/tim-viec-lam/cua-hang-truong.35C6BD35.html","Xem chi tiết")</f>
        <v/>
      </c>
    </row>
    <row r="7792">
      <c r="B7792" s="9" t="n">
        <v>7790</v>
      </c>
      <c r="C7792" s="10" t="inlineStr">
        <is>
          <t>NHÂN VIÊN PHÁT TRIỂN DỰ ÁN &amp; KHÁCH HÀNG</t>
        </is>
      </c>
      <c r="D7792" s="10" t="inlineStr">
        <is>
          <t>Công ty TNHH Kinh doanh và Dịch vụ Bất động sản Realhomes</t>
        </is>
      </c>
      <c r="E7792" s="10" t="inlineStr">
        <is>
          <t>Lương:30 Tr - 40 Tr VND</t>
        </is>
      </c>
      <c r="F7792" s="10" t="inlineStr">
        <is>
          <t>Hà NộiThanh HóaĐà Nẵng</t>
        </is>
      </c>
      <c r="G7792" s="10" t="inlineStr">
        <is>
          <t>30-04-2026</t>
        </is>
      </c>
      <c r="H7792" s="10" t="inlineStr">
        <is>
          <t>30/04/2026</t>
        </is>
      </c>
      <c r="I7792" s="10" t="inlineStr">
        <is>
          <t>17/03/2026</t>
        </is>
      </c>
      <c r="J7792" s="10" t="inlineStr">
        <is>
          <t>Bán hàng / Kinh doanh, Ngân hàng, Bảo hiểm</t>
        </is>
      </c>
      <c r="K7792" s="10" t="inlineStr">
        <is>
          <t>Chưa có kinh nghiệm</t>
        </is>
      </c>
      <c r="L7792" s="11">
        <f>HYPERLINK("https://careerviet.vn/vi/tim-viec-lam/nhan-vien-phat-trien-du-an-khach-hang.35C6BB32.html","Xem chi tiết")</f>
        <v/>
      </c>
      <c r="M7792" s="10" t="n"/>
    </row>
    <row r="7793">
      <c r="B7793" s="7" t="n">
        <v>7791</v>
      </c>
      <c r="C7793" t="inlineStr">
        <is>
          <t>Thực tập sinh kế toán</t>
        </is>
      </c>
      <c r="D7793" t="inlineStr">
        <is>
          <t>CÔNG TY TNHH ROCK WOOL KHẢI HOÀN</t>
        </is>
      </c>
      <c r="E7793" t="inlineStr">
        <is>
          <t>Lương:3,5 Tr - 4 Tr VND</t>
        </is>
      </c>
      <c r="F7793" t="inlineStr">
        <is>
          <t>Hồ Chí Minh</t>
        </is>
      </c>
      <c r="G7793" t="inlineStr">
        <is>
          <t>30-04-2026</t>
        </is>
      </c>
      <c r="H7793" t="inlineStr">
        <is>
          <t>30/04/2026</t>
        </is>
      </c>
      <c r="I7793" t="inlineStr">
        <is>
          <t>17/03/2026</t>
        </is>
      </c>
      <c r="J7793" t="inlineStr">
        <is>
          <t>Kế toán / Kiểm toán</t>
        </is>
      </c>
      <c r="K7793" t="inlineStr">
        <is>
          <t>N/A</t>
        </is>
      </c>
      <c r="L7793" s="8">
        <f>HYPERLINK("https://careerviet.vn/vi/tim-viec-lam/thuc-tap-sinh-ke-toan.35C6BBEA.html","Xem chi tiết")</f>
        <v/>
      </c>
    </row>
    <row r="7794">
      <c r="B7794" s="9" t="n">
        <v>7792</v>
      </c>
      <c r="C7794" s="10" t="inlineStr">
        <is>
          <t>SALES ADMIN</t>
        </is>
      </c>
      <c r="D7794" s="10" t="inlineStr">
        <is>
          <t>Công ty TNHH SX-TM Thép Tây Nam</t>
        </is>
      </c>
      <c r="E7794" s="10" t="inlineStr">
        <is>
          <t>Lương:Cạnh tranh</t>
        </is>
      </c>
      <c r="F7794" s="10" t="inlineStr">
        <is>
          <t>Hồ Chí Minh</t>
        </is>
      </c>
      <c r="G7794" s="10" t="inlineStr">
        <is>
          <t>28-03-2026</t>
        </is>
      </c>
      <c r="H7794" s="10" t="inlineStr">
        <is>
          <t>28/03/2026</t>
        </is>
      </c>
      <c r="I7794" s="10" t="inlineStr">
        <is>
          <t>17/03/2026</t>
        </is>
      </c>
      <c r="J7794" s="10" t="inlineStr">
        <is>
          <t>Bán hàng / Kinh doanh, Hành chính / Thư ký</t>
        </is>
      </c>
      <c r="K7794" s="10" t="inlineStr">
        <is>
          <t>Lên đến 1 Năm</t>
        </is>
      </c>
      <c r="L7794" s="11">
        <f>HYPERLINK("https://careerviet.vn/vi/tim-viec-lam/sales-admin.35C6BDCB.html","Xem chi tiết")</f>
        <v/>
      </c>
      <c r="M7794" s="10" t="n"/>
    </row>
    <row r="7795">
      <c r="B7795" s="7" t="n">
        <v>7793</v>
      </c>
      <c r="C7795" t="inlineStr">
        <is>
          <t>Nhân Viên Kế Toán Bán Hàng</t>
        </is>
      </c>
      <c r="D7795" t="inlineStr">
        <is>
          <t>Công Ty Cổ Phần GreenFeed Việt Nam</t>
        </is>
      </c>
      <c r="E7795" t="inlineStr">
        <is>
          <t>Lương:Cạnh tranh</t>
        </is>
      </c>
      <c r="F7795" t="inlineStr">
        <is>
          <t>Hồ Chí Minh</t>
        </is>
      </c>
      <c r="G7795" t="inlineStr">
        <is>
          <t>19-04-2026</t>
        </is>
      </c>
      <c r="H7795" t="inlineStr">
        <is>
          <t>19/04/2026</t>
        </is>
      </c>
      <c r="I7795" t="inlineStr">
        <is>
          <t>17/03/2026</t>
        </is>
      </c>
      <c r="J7795" t="inlineStr">
        <is>
          <t>Kế toán / Kiểm toán</t>
        </is>
      </c>
      <c r="K7795" t="inlineStr">
        <is>
          <t>1 - 3 Năm</t>
        </is>
      </c>
      <c r="L7795" s="8">
        <f>HYPERLINK("https://careerviet.vn/vi/tim-viec-lam/nhan-vien-ke-toan-ban-hang.35C6BB46.html","Xem chi tiết")</f>
        <v/>
      </c>
    </row>
    <row r="7796">
      <c r="B7796" s="9" t="n">
        <v>7794</v>
      </c>
      <c r="C7796" s="10" t="inlineStr">
        <is>
          <t>Nhân viên Kiểm thử phần mềm (tester)</t>
        </is>
      </c>
      <c r="D7796" s="10" t="inlineStr">
        <is>
          <t>Công ty TNHH Viettel - CHT</t>
        </is>
      </c>
      <c r="E7796" s="10" t="inlineStr">
        <is>
          <t>Lương:Cạnh tranh</t>
        </is>
      </c>
      <c r="F7796" s="10" t="inlineStr">
        <is>
          <t>Hà Nội</t>
        </is>
      </c>
      <c r="G7796" s="10" t="inlineStr">
        <is>
          <t>30-03-2026</t>
        </is>
      </c>
      <c r="H7796" s="10" t="inlineStr">
        <is>
          <t>30/03/2026</t>
        </is>
      </c>
      <c r="I7796" s="10" t="inlineStr">
        <is>
          <t>17/03/2026</t>
        </is>
      </c>
      <c r="J7796" s="10" t="inlineStr">
        <is>
          <t>CNTT - Phần mềm, Quản lý chất lượng (QA/QC), CNTT - Phần cứng / Mạng</t>
        </is>
      </c>
      <c r="K7796" s="10" t="inlineStr">
        <is>
          <t>Trên 3 Năm</t>
        </is>
      </c>
      <c r="L7796" s="11">
        <f>HYPERLINK("https://careerviet.vn/vi/tim-viec-lam/nhan-vien-kiem-thu-phan-mem-tester.35C6BE03.html","Xem chi tiết")</f>
        <v/>
      </c>
      <c r="M7796" s="10" t="n"/>
    </row>
    <row r="7797">
      <c r="B7797" s="7" t="n">
        <v>7795</v>
      </c>
      <c r="C7797" t="inlineStr">
        <is>
          <t>NHÂN VIÊN THỐNG KÊ</t>
        </is>
      </c>
      <c r="D7797" t="inlineStr">
        <is>
          <t>Visingpack Packing Industries Ltd.</t>
        </is>
      </c>
      <c r="E7797" t="inlineStr">
        <is>
          <t>Lương:Cạnh tranh</t>
        </is>
      </c>
      <c r="F7797" t="inlineStr">
        <is>
          <t>Hồ Chí Minh</t>
        </is>
      </c>
      <c r="G7797" t="inlineStr">
        <is>
          <t>10-04-2026</t>
        </is>
      </c>
      <c r="H7797" t="inlineStr">
        <is>
          <t>10/04/2026</t>
        </is>
      </c>
      <c r="I7797" t="inlineStr">
        <is>
          <t>17/03/2026</t>
        </is>
      </c>
      <c r="J7797" t="inlineStr">
        <is>
          <t>Kế toán / Kiểm toán</t>
        </is>
      </c>
      <c r="K7797" t="inlineStr">
        <is>
          <t>2 - 3 Năm</t>
        </is>
      </c>
      <c r="L7797" s="8">
        <f>HYPERLINK("https://careerviet.vn/vi/tim-viec-lam/nhan-vien-thong-ke.35C6BDF7.html","Xem chi tiết")</f>
        <v/>
      </c>
    </row>
    <row r="7798">
      <c r="B7798" s="9" t="n">
        <v>7796</v>
      </c>
      <c r="C7798" s="10" t="inlineStr">
        <is>
          <t>Nhân viên kinh doanh</t>
        </is>
      </c>
      <c r="D7798" s="10" t="inlineStr">
        <is>
          <t>Công ty TNHH SX-TM Thép Tây Nam</t>
        </is>
      </c>
      <c r="E7798" s="10" t="inlineStr">
        <is>
          <t>Lương:10 Tr - 15 Tr VND</t>
        </is>
      </c>
      <c r="F7798" s="10" t="inlineStr">
        <is>
          <t>Hồ Chí Minh</t>
        </is>
      </c>
      <c r="G7798" s="10" t="inlineStr">
        <is>
          <t>10-04-2026</t>
        </is>
      </c>
      <c r="H7798" s="10" t="inlineStr">
        <is>
          <t>10/04/2026</t>
        </is>
      </c>
      <c r="I7798" s="10" t="inlineStr">
        <is>
          <t>17/03/2026</t>
        </is>
      </c>
      <c r="J7798" s="10" t="inlineStr">
        <is>
          <t>Tư vấn, Bán hàng / Kinh doanh, Xây dựng</t>
        </is>
      </c>
      <c r="K7798" s="10" t="inlineStr">
        <is>
          <t>Lên đến 2 Năm</t>
        </is>
      </c>
      <c r="L7798" s="11">
        <f>HYPERLINK("https://careerviet.vn/vi/tim-viec-lam/nhan-vien-kinh-doanh.35C6BDF2.html","Xem chi tiết")</f>
        <v/>
      </c>
      <c r="M7798" s="10" t="n"/>
    </row>
    <row r="7799">
      <c r="B7799" s="7" t="n">
        <v>7797</v>
      </c>
      <c r="C7799" t="inlineStr">
        <is>
          <t>[Thanh Hóa] Kế Toán Kiêm Chăm Sóc Khách Hàng</t>
        </is>
      </c>
      <c r="D7799" t="inlineStr">
        <is>
          <t>CÔNG TY CỔ PHẦN EUROWINDOW HOLDING</t>
        </is>
      </c>
      <c r="E7799" t="inlineStr">
        <is>
          <t>Lương:Cạnh tranh</t>
        </is>
      </c>
      <c r="F7799" t="inlineStr">
        <is>
          <t>Thanh Hóa</t>
        </is>
      </c>
      <c r="G7799" t="inlineStr">
        <is>
          <t>17-04-2026</t>
        </is>
      </c>
      <c r="H7799" t="inlineStr">
        <is>
          <t>17/04/2026</t>
        </is>
      </c>
      <c r="I7799" t="inlineStr">
        <is>
          <t>17/03/2026</t>
        </is>
      </c>
      <c r="J7799" t="inlineStr">
        <is>
          <t>Kế toán / Kiểm toán, Dịch vụ khách hàng</t>
        </is>
      </c>
      <c r="K7799" t="inlineStr">
        <is>
          <t>Trên 1 Năm</t>
        </is>
      </c>
      <c r="L7799" s="8">
        <f>HYPERLINK("https://careerviet.vn/vi/tim-viec-lam/thanh-hoa-ke-toan-kiem-cham-soc-khach-hang.35C6BDFC.html","Xem chi tiết")</f>
        <v/>
      </c>
    </row>
    <row r="7800">
      <c r="B7800" s="9" t="n">
        <v>7798</v>
      </c>
      <c r="C7800" s="10" t="inlineStr">
        <is>
          <t>Quality Control Inspector — Footwear</t>
        </is>
      </c>
      <c r="D7800" s="10" t="inlineStr">
        <is>
          <t>VĂN PHÒNG ĐẠI DIỆN MERCURI V CORPORATION SL TẠI THÀNH PHỐ HỒ CHÍ MINH</t>
        </is>
      </c>
      <c r="E7800" s="10" t="inlineStr">
        <is>
          <t>Lương:Cạnh tranh</t>
        </is>
      </c>
      <c r="F7800" s="10" t="inlineStr">
        <is>
          <t>Hồ Chí Minh</t>
        </is>
      </c>
      <c r="G7800" s="10" t="inlineStr">
        <is>
          <t>31-05-2026</t>
        </is>
      </c>
      <c r="H7800" s="10" t="inlineStr">
        <is>
          <t>31/05/2026</t>
        </is>
      </c>
      <c r="I7800" s="10" t="inlineStr">
        <is>
          <t>17/03/2026</t>
        </is>
      </c>
      <c r="J7800" s="10" t="inlineStr">
        <is>
          <t>Dệt may / Da giày / Thời trang, Quản lý chất lượng (QA/QC)</t>
        </is>
      </c>
      <c r="K7800" s="10" t="inlineStr">
        <is>
          <t>2 - 4 Năm</t>
        </is>
      </c>
      <c r="L7800" s="11">
        <f>HYPERLINK("https://careerviet.vn/vi/tim-viec-lam/quality-control-inspector-footwear.35C6BD32.html","Xem chi tiết")</f>
        <v/>
      </c>
      <c r="M7800" s="10" t="n"/>
    </row>
    <row r="7801">
      <c r="B7801" s="7" t="n">
        <v>7799</v>
      </c>
      <c r="C7801" t="inlineStr">
        <is>
          <t>Nhân viên truyền thông - Hà Nội</t>
        </is>
      </c>
      <c r="D7801" t="inlineStr">
        <is>
          <t>CÔNG TY CỔ PHẦN GREEN SPEED</t>
        </is>
      </c>
      <c r="E7801" t="inlineStr">
        <is>
          <t>Lương:9,5 Tr - 10 Tr VND</t>
        </is>
      </c>
      <c r="F7801" t="inlineStr">
        <is>
          <t>Hà Nội</t>
        </is>
      </c>
      <c r="G7801" t="inlineStr">
        <is>
          <t>09-04-2026</t>
        </is>
      </c>
      <c r="H7801" t="inlineStr">
        <is>
          <t>09/04/2026</t>
        </is>
      </c>
      <c r="I7801" t="inlineStr">
        <is>
          <t>17/03/2026</t>
        </is>
      </c>
      <c r="J7801" t="inlineStr">
        <is>
          <t>Tiếp thị / Marketing, Thực phẩm &amp; Đồ uống, Mới tốt nghiệp / Thực tập</t>
        </is>
      </c>
      <c r="K7801" t="inlineStr">
        <is>
          <t>N/A</t>
        </is>
      </c>
      <c r="L7801" s="8">
        <f>HYPERLINK("https://careerviet.vn/vi/tim-viec-lam/nhan-vien-truyen-thong-ha-noi.35C6BB5B.html","Xem chi tiết")</f>
        <v/>
      </c>
    </row>
    <row r="7802">
      <c r="B7802" s="9" t="n">
        <v>7800</v>
      </c>
      <c r="C7802" s="10" t="inlineStr">
        <is>
          <t>Nhân viên Kinh doanh Khách đoàn Du lịch Nước ngoài - Lữ hành Saigontourist Buôn Ma Thuột</t>
        </is>
      </c>
      <c r="D7802" s="10" t="inlineStr">
        <is>
          <t>Công Ty TNHH MTV Dịch Vụ Lữ Hành Saigontourist</t>
        </is>
      </c>
      <c r="E7802" s="10" t="inlineStr">
        <is>
          <t>Lương:Cạnh tranh</t>
        </is>
      </c>
      <c r="F7802" s="10" t="inlineStr">
        <is>
          <t>Dak Lak</t>
        </is>
      </c>
      <c r="G7802" s="10" t="inlineStr">
        <is>
          <t>10-04-2026</t>
        </is>
      </c>
      <c r="H7802" s="10" t="inlineStr">
        <is>
          <t>10/04/2026</t>
        </is>
      </c>
      <c r="I7802" s="10" t="inlineStr">
        <is>
          <t>17/03/2026</t>
        </is>
      </c>
      <c r="J7802" s="10" t="inlineStr">
        <is>
          <t>Bán hàng / Kinh doanh</t>
        </is>
      </c>
      <c r="K7802" s="10" t="inlineStr">
        <is>
          <t>1 - 2 Năm</t>
        </is>
      </c>
      <c r="L7802" s="11">
        <f>HYPERLINK("https://careerviet.vn/vi/tim-viec-lam/nhan-vien-kinh-doanh-khach-doan-du-lich-nuoc-ngoai-lu-hanh-saigontourist-buon-ma-thuot.35C6BB2B.html","Xem chi tiết")</f>
        <v/>
      </c>
      <c r="M7802" s="10" t="n"/>
    </row>
    <row r="7803">
      <c r="B7803" s="7" t="n">
        <v>7801</v>
      </c>
      <c r="C7803" t="inlineStr">
        <is>
          <t>Kỹ sư Tư vấn giải pháp ATTT (Presale Security)</t>
        </is>
      </c>
      <c r="D7803" t="inlineStr">
        <is>
          <t>Công ty TNHH Viettel - CHT</t>
        </is>
      </c>
      <c r="E7803" t="inlineStr">
        <is>
          <t>Lương:Cạnh tranh</t>
        </is>
      </c>
      <c r="F7803" t="inlineStr">
        <is>
          <t>Hà NộiHồ Chí Minh</t>
        </is>
      </c>
      <c r="G7803" t="inlineStr">
        <is>
          <t>14-04-2026</t>
        </is>
      </c>
      <c r="H7803" t="inlineStr">
        <is>
          <t>14/04/2026</t>
        </is>
      </c>
      <c r="I7803" t="inlineStr">
        <is>
          <t>17/03/2026</t>
        </is>
      </c>
      <c r="J7803" t="inlineStr">
        <is>
          <t>CNTT - Phần mềm, CNTT - Phần cứng / Mạng</t>
        </is>
      </c>
      <c r="K7803" t="inlineStr">
        <is>
          <t>Trên 3 Năm</t>
        </is>
      </c>
      <c r="L7803" s="8">
        <f>HYPERLINK("https://careerviet.vn/vi/tim-viec-lam/ky-su-tu-van-giai-phap-attt-presale-security.35C6BE08.html","Xem chi tiết")</f>
        <v/>
      </c>
    </row>
    <row r="7804">
      <c r="B7804" s="9" t="n">
        <v>7802</v>
      </c>
      <c r="C7804" s="10" t="inlineStr">
        <is>
          <t>Giám Đốc Chi Nhánh - Ocean Edu Thiên Lộc</t>
        </is>
      </c>
      <c r="D7804" s="10" t="inlineStr">
        <is>
          <t>Công Ty CP Giáo Dục Đại Dương</t>
        </is>
      </c>
      <c r="E7804" s="10" t="inlineStr">
        <is>
          <t>Lương:26 Tr - 30 Tr VND</t>
        </is>
      </c>
      <c r="F7804" s="10" t="inlineStr">
        <is>
          <t>Hà Nội</t>
        </is>
      </c>
      <c r="G7804" s="10" t="inlineStr">
        <is>
          <t>09-04-2026</t>
        </is>
      </c>
      <c r="H7804" s="10" t="inlineStr">
        <is>
          <t>09/04/2026</t>
        </is>
      </c>
      <c r="I7804" s="10" t="inlineStr">
        <is>
          <t>17/03/2026</t>
        </is>
      </c>
      <c r="J7804" s="10" t="inlineStr">
        <is>
          <t>Dịch vụ khách hàng, Giáo dục / Đào tạo, Bán hàng / Kinh doanh</t>
        </is>
      </c>
      <c r="K7804" s="10" t="inlineStr">
        <is>
          <t>3 - 5 Năm</t>
        </is>
      </c>
      <c r="L7804" s="11">
        <f>HYPERLINK("https://careerviet.vn/vi/tim-viec-lam/giam-doc-chi-nhanh-ocean-edu-thien-loc.35C6BB57.html","Xem chi tiết")</f>
        <v/>
      </c>
      <c r="M7804" s="10" t="n"/>
    </row>
    <row r="7805">
      <c r="B7805" s="7" t="n">
        <v>7803</v>
      </c>
      <c r="C7805" t="inlineStr">
        <is>
          <t>Thư Ký Cảnh Quan ( Phú Thọ)</t>
        </is>
      </c>
      <c r="D7805" t="inlineStr">
        <is>
          <t>CÔNG TY CỔ PHẦN TẬP ĐOÀN ONSEN FUJI</t>
        </is>
      </c>
      <c r="E7805" t="inlineStr">
        <is>
          <t>Lương:8 Tr - 10 Tr VND</t>
        </is>
      </c>
      <c r="F7805" t="inlineStr">
        <is>
          <t>Phú Thọ</t>
        </is>
      </c>
      <c r="G7805" t="inlineStr">
        <is>
          <t>10-04-2026</t>
        </is>
      </c>
      <c r="H7805" t="inlineStr">
        <is>
          <t>10/04/2026</t>
        </is>
      </c>
      <c r="I7805" t="inlineStr">
        <is>
          <t>17/03/2026</t>
        </is>
      </c>
      <c r="J7805" t="inlineStr">
        <is>
          <t>Hành chính / Thư ký</t>
        </is>
      </c>
      <c r="K7805" t="inlineStr">
        <is>
          <t>Chưa có kinh nghiệm</t>
        </is>
      </c>
      <c r="L7805" s="8">
        <f>HYPERLINK("https://careerviet.vn/vi/tim-viec-lam/thu-ky-canh-quan-phu-tho.35C6BB24.html","Xem chi tiết")</f>
        <v/>
      </c>
    </row>
    <row r="7806">
      <c r="B7806" s="9" t="n">
        <v>7804</v>
      </c>
      <c r="C7806" s="10" t="inlineStr">
        <is>
          <t>Kỹ sư giám sát MEP</t>
        </is>
      </c>
      <c r="D7806" s="10" t="inlineStr">
        <is>
          <t>CÔNG TY CỔ PHẦN THIẾT KẾ XÂY DỰNG THƯƠNG MẠI PHÚC THỊNH</t>
        </is>
      </c>
      <c r="E7806" s="10" t="inlineStr">
        <is>
          <t>Lương:12 Tr - 17 Tr VND</t>
        </is>
      </c>
      <c r="F7806" s="10" t="inlineStr">
        <is>
          <t>Hồ Chí Minh</t>
        </is>
      </c>
      <c r="G7806" s="10" t="inlineStr">
        <is>
          <t>31-03-2026</t>
        </is>
      </c>
      <c r="H7806" s="10" t="inlineStr">
        <is>
          <t>31/03/2026</t>
        </is>
      </c>
      <c r="I7806" s="10" t="inlineStr">
        <is>
          <t>17/03/2026</t>
        </is>
      </c>
      <c r="J7806" s="10" t="inlineStr">
        <is>
          <t>Xây dựng, Điện / Điện tử / Điện lạnh / Điện công nghiệp, Cơ khí / Ô tô / Tự động hóa</t>
        </is>
      </c>
      <c r="K7806" s="10" t="inlineStr">
        <is>
          <t>2 - 5 Năm</t>
        </is>
      </c>
      <c r="L7806" s="11">
        <f>HYPERLINK("https://careerviet.vn/vi/tim-viec-lam/ky-su-giam-sat-mep.35C6BB3A.html","Xem chi tiết")</f>
        <v/>
      </c>
      <c r="M7806" s="10" t="n"/>
    </row>
    <row r="7807">
      <c r="B7807" s="7" t="n">
        <v>7805</v>
      </c>
      <c r="C7807" t="inlineStr">
        <is>
          <t>KẾ TOÁN TỔNG HỢP</t>
        </is>
      </c>
      <c r="D7807" t="inlineStr">
        <is>
          <t>Bảo mật</t>
        </is>
      </c>
      <c r="E7807" t="inlineStr">
        <is>
          <t>Lương:17 Tr - 20 Tr VND</t>
        </is>
      </c>
      <c r="F7807" t="inlineStr">
        <is>
          <t>Hà Nội</t>
        </is>
      </c>
      <c r="G7807" t="inlineStr">
        <is>
          <t>31-03-2026</t>
        </is>
      </c>
      <c r="H7807" t="inlineStr">
        <is>
          <t>31/03/2026</t>
        </is>
      </c>
      <c r="I7807" t="inlineStr">
        <is>
          <t>17/03/2026</t>
        </is>
      </c>
      <c r="J7807" t="inlineStr">
        <is>
          <t>Xuất nhập khẩu, Xây dựng, Vận chuyển / Giao nhận / Kho vận</t>
        </is>
      </c>
      <c r="K7807" t="inlineStr">
        <is>
          <t>3 - 5 Năm</t>
        </is>
      </c>
      <c r="L7807" s="8">
        <f>HYPERLINK("https://careerviet.vn/vi/tim-viec-lam/ke-toan-tong-hop.35C6B9BB.html","Xem chi tiết")</f>
        <v/>
      </c>
    </row>
    <row r="7808">
      <c r="B7808" s="9" t="n">
        <v>7806</v>
      </c>
      <c r="C7808" s="10" t="inlineStr">
        <is>
          <t>Nhân viên Cung ứng nguyên nhiên liệu &amp; Dịch vụ</t>
        </is>
      </c>
      <c r="D7808" s="10" t="inlineStr">
        <is>
          <t>Công ty cổ phần Xi Măng Thăng Long</t>
        </is>
      </c>
      <c r="E7808" s="10" t="inlineStr">
        <is>
          <t>Lương:Cạnh tranh</t>
        </is>
      </c>
      <c r="F7808" s="10" t="inlineStr">
        <is>
          <t>Quảng Ninh</t>
        </is>
      </c>
      <c r="G7808" s="10" t="inlineStr">
        <is>
          <t>10-04-2026</t>
        </is>
      </c>
      <c r="H7808" s="10" t="inlineStr">
        <is>
          <t>10/04/2026</t>
        </is>
      </c>
      <c r="I7808" s="10" t="inlineStr">
        <is>
          <t>17/03/2026</t>
        </is>
      </c>
      <c r="J7808" s="10" t="inlineStr">
        <is>
          <t>Thu mua / Vật tư, Sản xuất / Vận hành sản xuất, Hành chính / Thư ký</t>
        </is>
      </c>
      <c r="K7808" s="10" t="inlineStr">
        <is>
          <t>1 - 5 Năm</t>
        </is>
      </c>
      <c r="L7808" s="11">
        <f>HYPERLINK("https://careerviet.vn/vi/tim-viec-lam/nhan-vien-cung-ung-nguyen-nhien-lieu-dich-vu.35C6BAF5.html","Xem chi tiết")</f>
        <v/>
      </c>
      <c r="M7808" s="10" t="n"/>
    </row>
    <row r="7809">
      <c r="B7809" s="7" t="n">
        <v>7807</v>
      </c>
      <c r="C7809" t="inlineStr">
        <is>
          <t>Chuyên viên pháp chế</t>
        </is>
      </c>
      <c r="D7809" t="inlineStr">
        <is>
          <t>CÔNG TY CỔ PHẦN THỰC PHẨM THIÊN VƯƠNG</t>
        </is>
      </c>
      <c r="E7809" t="inlineStr">
        <is>
          <t>Lương:15 Tr - 20 Tr VND</t>
        </is>
      </c>
      <c r="F7809" t="inlineStr">
        <is>
          <t>Hà Nội</t>
        </is>
      </c>
      <c r="G7809" t="inlineStr">
        <is>
          <t>31-03-2026</t>
        </is>
      </c>
      <c r="H7809" t="inlineStr">
        <is>
          <t>31/03/2026</t>
        </is>
      </c>
      <c r="I7809" t="inlineStr">
        <is>
          <t>17/03/2026</t>
        </is>
      </c>
      <c r="J7809" t="inlineStr">
        <is>
          <t>Hành chính / Thư ký, Bán hàng / Kinh doanh, Thực phẩm &amp; Đồ uống</t>
        </is>
      </c>
      <c r="K7809" t="inlineStr">
        <is>
          <t>5 - 10 Năm</t>
        </is>
      </c>
      <c r="L7809" s="8">
        <f>HYPERLINK("https://careerviet.vn/vi/tim-viec-lam/chuyen-vien-phap-che.35C6BB4B.html","Xem chi tiết")</f>
        <v/>
      </c>
    </row>
    <row r="7810">
      <c r="B7810" s="9" t="n">
        <v>7808</v>
      </c>
      <c r="C7810" s="10" t="inlineStr">
        <is>
          <t>Nhân Viên Chăm Sóc Đối Tác B2B</t>
        </is>
      </c>
      <c r="D7810" s="10" t="inlineStr">
        <is>
          <t>CÔNG TY CỔ PHẦN CÔNG NGHỆ PREP</t>
        </is>
      </c>
      <c r="E7810" s="10" t="inlineStr">
        <is>
          <t>Lương:15 Tr - 18 Tr VND</t>
        </is>
      </c>
      <c r="F7810" s="10" t="inlineStr">
        <is>
          <t>Hà Nội</t>
        </is>
      </c>
      <c r="G7810" s="10" t="inlineStr">
        <is>
          <t>10-04-2026</t>
        </is>
      </c>
      <c r="H7810" s="10" t="inlineStr">
        <is>
          <t>10/04/2026</t>
        </is>
      </c>
      <c r="I7810" s="10" t="inlineStr">
        <is>
          <t>17/03/2026</t>
        </is>
      </c>
      <c r="J7810" s="10" t="inlineStr">
        <is>
          <t>Bán hàng / Kinh doanh, Giáo dục / Đào tạo</t>
        </is>
      </c>
      <c r="K7810" s="10" t="inlineStr">
        <is>
          <t>Trên 2 Năm</t>
        </is>
      </c>
      <c r="L7810" s="11">
        <f>HYPERLINK("https://careerviet.vn/vi/tim-viec-lam/nhan-vien-cham-soc-doi-tac-b2b.35C6BB4F.html","Xem chi tiết")</f>
        <v/>
      </c>
      <c r="M7810" s="10" t="n"/>
    </row>
    <row r="7811">
      <c r="B7811" s="7" t="n">
        <v>7809</v>
      </c>
      <c r="C7811" t="inlineStr">
        <is>
          <t>Chuyên gia Marcom Thương Mại Dịch Vụ - Popplife - 4Z005</t>
        </is>
      </c>
      <c r="D7811" t="inlineStr">
        <is>
          <t>Tập đoàn ROX (ROX Group)</t>
        </is>
      </c>
      <c r="E7811" t="inlineStr">
        <is>
          <t>Lương:Cạnh tranh</t>
        </is>
      </c>
      <c r="F7811" t="inlineStr">
        <is>
          <t>Hà Nội</t>
        </is>
      </c>
      <c r="G7811" t="inlineStr">
        <is>
          <t>07-04-2026</t>
        </is>
      </c>
      <c r="H7811" t="inlineStr">
        <is>
          <t>07/04/2026</t>
        </is>
      </c>
      <c r="I7811" t="inlineStr">
        <is>
          <t>17/03/2026</t>
        </is>
      </c>
      <c r="J7811" t="inlineStr">
        <is>
          <t>Tiếp thị / Marketing</t>
        </is>
      </c>
      <c r="K7811" t="inlineStr">
        <is>
          <t>Trên 5 Năm</t>
        </is>
      </c>
      <c r="L7811" s="8">
        <f>HYPERLINK("https://careerviet.vn/vi/tim-viec-lam/chuyen-gia-marcom-thuong-mai-dich-vu-popplife-4z005.35C6BB2A.html","Xem chi tiết")</f>
        <v/>
      </c>
    </row>
    <row r="7812">
      <c r="B7812" s="9" t="n">
        <v>7810</v>
      </c>
      <c r="C7812" s="10" t="inlineStr">
        <is>
          <t>Nhân viên Marketing</t>
        </is>
      </c>
      <c r="D7812" s="10" t="inlineStr">
        <is>
          <t>Công ty CP XHOME Việt Nam</t>
        </is>
      </c>
      <c r="E7812" s="10" t="inlineStr">
        <is>
          <t>Lương:20 Tr - 25 Tr VND</t>
        </is>
      </c>
      <c r="F7812" s="10" t="inlineStr">
        <is>
          <t>Hà Nội</t>
        </is>
      </c>
      <c r="G7812" s="10" t="inlineStr">
        <is>
          <t>08-04-2026</t>
        </is>
      </c>
      <c r="H7812" s="10" t="inlineStr">
        <is>
          <t>08/04/2026</t>
        </is>
      </c>
      <c r="I7812" s="10" t="inlineStr">
        <is>
          <t>17/03/2026</t>
        </is>
      </c>
      <c r="J7812" s="10" t="inlineStr">
        <is>
          <t>Tiếp thị / Marketing</t>
        </is>
      </c>
      <c r="K7812" s="10" t="inlineStr">
        <is>
          <t>2 - 3 Năm</t>
        </is>
      </c>
      <c r="L7812" s="11">
        <f>HYPERLINK("https://careerviet.vn/vi/tim-viec-lam/nhan-vien-marketing.35C6BC87.html","Xem chi tiết")</f>
        <v/>
      </c>
      <c r="M7812" s="10" t="n"/>
    </row>
    <row r="7813">
      <c r="B7813" s="7" t="n">
        <v>7811</v>
      </c>
      <c r="C7813" t="inlineStr">
        <is>
          <t>Chuyên viên chính Chăm sóc khách hàng/Kiểm soát hợp đồng bán - Living Global - 4V008</t>
        </is>
      </c>
      <c r="D7813" t="inlineStr">
        <is>
          <t>Tập đoàn ROX (ROX Group)</t>
        </is>
      </c>
      <c r="E7813" t="inlineStr">
        <is>
          <t>Lương:Cạnh tranh</t>
        </is>
      </c>
      <c r="F7813" t="inlineStr">
        <is>
          <t>Kyrgyzstan</t>
        </is>
      </c>
      <c r="G7813" t="inlineStr">
        <is>
          <t>07-04-2026</t>
        </is>
      </c>
      <c r="H7813" t="inlineStr">
        <is>
          <t>07/04/2026</t>
        </is>
      </c>
      <c r="I7813" t="inlineStr">
        <is>
          <t>17/03/2026</t>
        </is>
      </c>
      <c r="J7813" t="inlineStr">
        <is>
          <t>Bất động sản</t>
        </is>
      </c>
      <c r="K7813" t="inlineStr">
        <is>
          <t>Trên 1 Năm</t>
        </is>
      </c>
      <c r="L7813" s="8">
        <f>HYPERLINK("https://careerviet.vn/vi/tim-viec-lam/chuyen-vien-chinh-cham-soc-khach-hang-kiem-soat-hop-dong-ban-living-global-4v008.35C6BB34.html","Xem chi tiết")</f>
        <v/>
      </c>
    </row>
    <row r="7814">
      <c r="B7814" s="9" t="n">
        <v>7812</v>
      </c>
      <c r="C7814" s="10" t="inlineStr">
        <is>
          <t>Kế toán thanh toán</t>
        </is>
      </c>
      <c r="D7814" s="10" t="inlineStr">
        <is>
          <t>Công ty cổ phần Tập đoàn Danko</t>
        </is>
      </c>
      <c r="E7814" s="10" t="inlineStr">
        <is>
          <t>Lương:12 Tr - 25 Tr VND</t>
        </is>
      </c>
      <c r="F7814" s="10" t="inlineStr">
        <is>
          <t>Hà Nội</t>
        </is>
      </c>
      <c r="G7814" s="10" t="inlineStr">
        <is>
          <t>30-04-2026</t>
        </is>
      </c>
      <c r="H7814" s="10" t="inlineStr">
        <is>
          <t>30/04/2026</t>
        </is>
      </c>
      <c r="I7814" s="10" t="inlineStr">
        <is>
          <t>17/03/2026</t>
        </is>
      </c>
      <c r="J7814" s="10" t="inlineStr">
        <is>
          <t>Kế toán / Kiểm toán</t>
        </is>
      </c>
      <c r="K7814" s="10" t="inlineStr">
        <is>
          <t>2 - 8 Năm</t>
        </is>
      </c>
      <c r="L7814" s="11">
        <f>HYPERLINK("https://careerviet.vn/vi/tim-viec-lam/ke-toan-thanh-toan.35C6BB15.html","Xem chi tiết")</f>
        <v/>
      </c>
      <c r="M7814" s="10" t="n"/>
    </row>
    <row r="7815">
      <c r="B7815" s="7" t="n">
        <v>7813</v>
      </c>
      <c r="C7815" t="inlineStr">
        <is>
          <t>[Dĩ An] Admin trung tâm</t>
        </is>
      </c>
      <c r="D7815" t="inlineStr">
        <is>
          <t>Công Ty Cổ Phần Vacxin Việt Nam</t>
        </is>
      </c>
      <c r="E7815" t="inlineStr">
        <is>
          <t>Lương:Cạnh tranh</t>
        </is>
      </c>
      <c r="F7815" t="inlineStr">
        <is>
          <t>Bình Dương</t>
        </is>
      </c>
      <c r="G7815" t="inlineStr">
        <is>
          <t>01-05-2026</t>
        </is>
      </c>
      <c r="H7815" t="inlineStr">
        <is>
          <t>01/05/2026</t>
        </is>
      </c>
      <c r="I7815" t="inlineStr">
        <is>
          <t>17/03/2026</t>
        </is>
      </c>
      <c r="J7815" t="inlineStr">
        <is>
          <t>Dịch vụ khách hàng, Hành chính / Thư ký, Kế toán / Kiểm toán</t>
        </is>
      </c>
      <c r="K7815" t="inlineStr">
        <is>
          <t>1 - 3 Năm</t>
        </is>
      </c>
      <c r="L7815" s="8">
        <f>HYPERLINK("https://careerviet.vn/vi/tim-viec-lam/di-an-admin-trung-tam.35C6BB10.html","Xem chi tiết")</f>
        <v/>
      </c>
    </row>
    <row r="7816">
      <c r="B7816" s="9" t="n">
        <v>7814</v>
      </c>
      <c r="C7816" s="10" t="inlineStr">
        <is>
          <t>CHUYÊN VIÊN VẬN HÀNH TRUNG TÂM ANH NGỮ</t>
        </is>
      </c>
      <c r="D7816" s="10" t="inlineStr">
        <is>
          <t>Công ty TNHH MTV Giáo Dục Việt Mỹ</t>
        </is>
      </c>
      <c r="E7816" s="10" t="inlineStr">
        <is>
          <t>Lương:8 Tr - 12 Tr VND</t>
        </is>
      </c>
      <c r="F7816" s="10" t="inlineStr">
        <is>
          <t>Đồng NaiBình PhướcKiên Giang</t>
        </is>
      </c>
      <c r="G7816" s="10" t="inlineStr">
        <is>
          <t>10-04-2026</t>
        </is>
      </c>
      <c r="H7816" s="10" t="inlineStr">
        <is>
          <t>10/04/2026</t>
        </is>
      </c>
      <c r="I7816" s="10" t="inlineStr">
        <is>
          <t>17/03/2026</t>
        </is>
      </c>
      <c r="J7816" s="10" t="inlineStr">
        <is>
          <t>Hành chính / Thư ký, Nhân sự, Kế toán / Kiểm toán</t>
        </is>
      </c>
      <c r="K7816" s="10" t="inlineStr">
        <is>
          <t>1 - 2 Năm</t>
        </is>
      </c>
      <c r="L7816" s="11">
        <f>HYPERLINK("https://careerviet.vn/vi/tim-viec-lam/chuyen-vien-van-hanh-trung-tam-anh-ngu.35C6BAAB.html","Xem chi tiết")</f>
        <v/>
      </c>
      <c r="M7816" s="10" t="n"/>
    </row>
    <row r="7817">
      <c r="B7817" s="7" t="n">
        <v>7815</v>
      </c>
      <c r="C7817" t="inlineStr">
        <is>
          <t>Bảo Trì Nhà Xưởng ( Điện, Thi Công ME )</t>
        </is>
      </c>
      <c r="D7817" t="inlineStr">
        <is>
          <t>Công Ty TNHH Ortholite Việt Nam</t>
        </is>
      </c>
      <c r="E7817" t="inlineStr">
        <is>
          <t>Lương:Cạnh tranh</t>
        </is>
      </c>
      <c r="F7817" t="inlineStr">
        <is>
          <t>Bình Dương</t>
        </is>
      </c>
      <c r="G7817" t="inlineStr">
        <is>
          <t>29-04-2026</t>
        </is>
      </c>
      <c r="H7817" t="inlineStr">
        <is>
          <t>29/04/2026</t>
        </is>
      </c>
      <c r="I7817" t="inlineStr">
        <is>
          <t>17/03/2026</t>
        </is>
      </c>
      <c r="J7817" t="inlineStr">
        <is>
          <t>Sản xuất / Vận hành sản xuất, Dệt may / Da giày / Thời trang, Điện / Điện tử / Điện lạnh / Điện công nghiệp</t>
        </is>
      </c>
      <c r="K7817" t="inlineStr">
        <is>
          <t>Trên 3 Năm</t>
        </is>
      </c>
      <c r="L7817" s="8">
        <f>HYPERLINK("https://careerviet.vn/vi/tim-viec-lam/bao-tri-nha-xuong-dien-thi-cong-me.35C6BB11.html","Xem chi tiết")</f>
        <v/>
      </c>
    </row>
    <row r="7818">
      <c r="B7818" s="9" t="n">
        <v>7816</v>
      </c>
      <c r="C7818" s="10" t="inlineStr">
        <is>
          <t>Nhân Viên Kinh Doanh</t>
        </is>
      </c>
      <c r="D7818" s="10" t="inlineStr">
        <is>
          <t>CÔNG TY TNHH ĐẦU TƯ PHÁT TRIỂN THƯƠNG MẠI DỊCH VỤ HÀ TRUNG</t>
        </is>
      </c>
      <c r="E7818" s="10" t="inlineStr">
        <is>
          <t>Lương:30 Tr - 40 Tr VND</t>
        </is>
      </c>
      <c r="F7818" s="10" t="inlineStr">
        <is>
          <t>Hà Nội</t>
        </is>
      </c>
      <c r="G7818" s="10" t="inlineStr">
        <is>
          <t>08-04-2026</t>
        </is>
      </c>
      <c r="H7818" s="10" t="inlineStr">
        <is>
          <t>08/04/2026</t>
        </is>
      </c>
      <c r="I7818" s="10" t="inlineStr">
        <is>
          <t>17/03/2026</t>
        </is>
      </c>
      <c r="J7818" s="10" t="inlineStr">
        <is>
          <t>Bán hàng / Kinh doanh, Bán Hàng Kỹ Thuật, Điện / Điện tử / Điện lạnh / Điện công nghiệp</t>
        </is>
      </c>
      <c r="K7818" s="10" t="inlineStr">
        <is>
          <t>Trên 1 Năm</t>
        </is>
      </c>
      <c r="L7818" s="11">
        <f>HYPERLINK("https://careerviet.vn/vi/tim-viec-lam/nhan-vien-kinh-doanh.35C6B908.html","Xem chi tiết")</f>
        <v/>
      </c>
      <c r="M7818" s="10" t="n"/>
    </row>
    <row r="7819">
      <c r="B7819" s="7" t="n">
        <v>7817</v>
      </c>
      <c r="C7819" t="inlineStr">
        <is>
          <t>GIÁM ĐỐC KINH DOANH</t>
        </is>
      </c>
      <c r="D7819" t="inlineStr">
        <is>
          <t>Công ty TNHH Kinh doanh và Dịch vụ Bất động sản Realhomes</t>
        </is>
      </c>
      <c r="E7819" t="inlineStr">
        <is>
          <t>Lương:35 Tr - 70 Tr VND</t>
        </is>
      </c>
      <c r="F7819" t="inlineStr">
        <is>
          <t>Hà NộiThanh HóaĐà Nẵng</t>
        </is>
      </c>
      <c r="G7819" t="inlineStr">
        <is>
          <t>30-04-2026</t>
        </is>
      </c>
      <c r="H7819" t="inlineStr">
        <is>
          <t>30/04/2026</t>
        </is>
      </c>
      <c r="I7819" t="inlineStr">
        <is>
          <t>17/03/2026</t>
        </is>
      </c>
      <c r="J7819" t="inlineStr">
        <is>
          <t>Bán hàng / Kinh doanh, Quản lý điều hành, Bất động sản</t>
        </is>
      </c>
      <c r="K7819" t="inlineStr">
        <is>
          <t>Lên đến 1 Năm</t>
        </is>
      </c>
      <c r="L7819" s="8">
        <f>HYPERLINK("https://careerviet.vn/vi/tim-viec-lam/giam-doc-kinh-doanh.35C6BAFE.html","Xem chi tiết")</f>
        <v/>
      </c>
    </row>
    <row r="7820">
      <c r="B7820" s="9" t="n">
        <v>7818</v>
      </c>
      <c r="C7820" s="10" t="inlineStr">
        <is>
          <t>Trợ lý dự án Năng lượng</t>
        </is>
      </c>
      <c r="D7820" s="10" t="inlineStr">
        <is>
          <t>Công ty cổ phần Tập đoàn Trường Thành Việt Nam</t>
        </is>
      </c>
      <c r="E7820" s="10" t="inlineStr">
        <is>
          <t>Lương:15 Tr - 25 Tr VND</t>
        </is>
      </c>
      <c r="F7820" s="10" t="inlineStr">
        <is>
          <t>Vĩnh Long</t>
        </is>
      </c>
      <c r="G7820" s="10" t="inlineStr">
        <is>
          <t>09-04-2026</t>
        </is>
      </c>
      <c r="H7820" s="10" t="inlineStr">
        <is>
          <t>09/04/2026</t>
        </is>
      </c>
      <c r="I7820" s="10" t="inlineStr">
        <is>
          <t>17/03/2026</t>
        </is>
      </c>
      <c r="J7820" s="10" t="inlineStr">
        <is>
          <t>Hành chính / Thư ký, Biên phiên dịch, Xây dựng</t>
        </is>
      </c>
      <c r="K7820" s="10" t="inlineStr">
        <is>
          <t>1 - 3 Năm</t>
        </is>
      </c>
      <c r="L7820" s="11">
        <f>HYPERLINK("https://careerviet.vn/vi/tim-viec-lam/tro-ly-du-an-nang-luong.35C6BB28.html","Xem chi tiết")</f>
        <v/>
      </c>
      <c r="M7820" s="10" t="n"/>
    </row>
    <row r="7821">
      <c r="B7821" s="7" t="n">
        <v>7819</v>
      </c>
      <c r="C7821" t="inlineStr">
        <is>
          <t>CHUYÊN VIÊN HÓA LÝ (QC)</t>
        </is>
      </c>
      <c r="D7821" t="inlineStr">
        <is>
          <t>Orioled Hub</t>
        </is>
      </c>
      <c r="E7821" t="inlineStr">
        <is>
          <t>Lương:Cạnh tranh</t>
        </is>
      </c>
      <c r="F7821" t="inlineStr">
        <is>
          <t>Bà Rịa - Vũng Tàu</t>
        </is>
      </c>
      <c r="G7821" t="inlineStr">
        <is>
          <t>30-04-2026</t>
        </is>
      </c>
      <c r="H7821" t="inlineStr">
        <is>
          <t>30/04/2026</t>
        </is>
      </c>
      <c r="I7821" t="inlineStr">
        <is>
          <t>17/03/2026</t>
        </is>
      </c>
      <c r="J7821" t="inlineStr">
        <is>
          <t>Quản lý chất lượng (QA/QC), Sản xuất / Vận hành sản xuất, Dược phẩm/ Hóa Mỹ Phẩm</t>
        </is>
      </c>
      <c r="K7821" t="inlineStr">
        <is>
          <t>2 - 3 Năm</t>
        </is>
      </c>
      <c r="L7821" s="8">
        <f>HYPERLINK("https://careerviet.vn/vi/tim-viec-lam/chuyen-vien-hoa-ly-qc.35C6BAD9.html","Xem chi tiết")</f>
        <v/>
      </c>
    </row>
    <row r="7822">
      <c r="B7822" s="9" t="n">
        <v>7820</v>
      </c>
      <c r="C7822" s="10" t="inlineStr">
        <is>
          <t>Nhân viên Logistics</t>
        </is>
      </c>
      <c r="D7822" s="10" t="inlineStr">
        <is>
          <t>CÔNG TY CỔ PHẦN VẬN TẢI VÀ XÂY DỰNG CÔNG TRÌNH FTC</t>
        </is>
      </c>
      <c r="E7822" s="10" t="inlineStr">
        <is>
          <t>Lương:10 Tr - 15 Tr VND</t>
        </is>
      </c>
      <c r="F7822" s="10" t="inlineStr">
        <is>
          <t>Hà Nội</t>
        </is>
      </c>
      <c r="G7822" s="10" t="inlineStr">
        <is>
          <t>10-04-2026</t>
        </is>
      </c>
      <c r="H7822" s="10" t="inlineStr">
        <is>
          <t>10/04/2026</t>
        </is>
      </c>
      <c r="I7822" s="10" t="inlineStr">
        <is>
          <t>17/03/2026</t>
        </is>
      </c>
      <c r="J7822" s="10" t="inlineStr">
        <is>
          <t>Xuất nhập khẩu, Vận chuyển / Giao nhận / Kho vận</t>
        </is>
      </c>
      <c r="K7822" s="10" t="inlineStr">
        <is>
          <t>2 - 5 Năm</t>
        </is>
      </c>
      <c r="L7822" s="11">
        <f>HYPERLINK("https://careerviet.vn/vi/tim-viec-lam/nhan-vien-logistics.35C6B9C3.html","Xem chi tiết")</f>
        <v/>
      </c>
      <c r="M7822" s="10" t="n"/>
    </row>
    <row r="7823">
      <c r="B7823" s="7" t="n">
        <v>7821</v>
      </c>
      <c r="C7823" t="inlineStr">
        <is>
          <t>[Hà Nội] - CV/CVC/CVCC Quản lý hiệu quả làm việc</t>
        </is>
      </c>
      <c r="D7823" t="inlineStr">
        <is>
          <t>Ngân hàng TMCP Lộc Phát Việt Nam (LPBank)</t>
        </is>
      </c>
      <c r="E7823" t="inlineStr">
        <is>
          <t>Lương:Cạnh tranh</t>
        </is>
      </c>
      <c r="F7823" t="inlineStr">
        <is>
          <t>Hà Nội</t>
        </is>
      </c>
      <c r="G7823" t="inlineStr">
        <is>
          <t>07-04-2026</t>
        </is>
      </c>
      <c r="H7823" t="inlineStr">
        <is>
          <t>07/04/2026</t>
        </is>
      </c>
      <c r="I7823" t="inlineStr">
        <is>
          <t>17/03/2026</t>
        </is>
      </c>
      <c r="J7823" t="inlineStr">
        <is>
          <t>CNTT - Phần mềm, Nhân sự, Bất động sản</t>
        </is>
      </c>
      <c r="K7823" t="inlineStr">
        <is>
          <t>Trên 2 Năm</t>
        </is>
      </c>
      <c r="L7823" s="8">
        <f>HYPERLINK("https://careerviet.vn/vi/tim-viec-lam/ha-noi-cv-cvc-cvcc-quan-ly-hieu-qua-lam-viec.35C6BAE2.html","Xem chi tiết")</f>
        <v/>
      </c>
    </row>
    <row r="7824">
      <c r="B7824" s="9" t="n">
        <v>7822</v>
      </c>
      <c r="C7824" s="10" t="inlineStr">
        <is>
          <t>Kế Toán Trưởng</t>
        </is>
      </c>
      <c r="D7824" s="10" t="inlineStr">
        <is>
          <t>CÔNG TY CỔ PHẦN VẬN TẢI VÀ XÂY DỰNG CÔNG TRÌNH FTC</t>
        </is>
      </c>
      <c r="E7824" s="10" t="inlineStr">
        <is>
          <t>Lương:25 Tr - 30 Tr VND</t>
        </is>
      </c>
      <c r="F7824" s="10" t="inlineStr">
        <is>
          <t>Hà Nội</t>
        </is>
      </c>
      <c r="G7824" s="10" t="inlineStr">
        <is>
          <t>30-04-2026</t>
        </is>
      </c>
      <c r="H7824" s="10" t="inlineStr">
        <is>
          <t>30/04/2026</t>
        </is>
      </c>
      <c r="I7824" s="10" t="inlineStr">
        <is>
          <t>17/03/2026</t>
        </is>
      </c>
      <c r="J7824" s="10" t="inlineStr">
        <is>
          <t>Kế toán / Kiểm toán, Ngân hàng, Tài chính / Đầu tư</t>
        </is>
      </c>
      <c r="K7824" s="10" t="inlineStr">
        <is>
          <t>3 - 5 Năm</t>
        </is>
      </c>
      <c r="L7824" s="11">
        <f>HYPERLINK("https://careerviet.vn/vi/tim-viec-lam/ke-toan-truong.35C58734.html","Xem chi tiết")</f>
        <v/>
      </c>
      <c r="M7824" s="10" t="n"/>
    </row>
    <row r="7825">
      <c r="B7825" s="7" t="n">
        <v>7823</v>
      </c>
      <c r="C7825" t="inlineStr">
        <is>
          <t>[MAP] Merchandiser Fob Garment</t>
        </is>
      </c>
      <c r="D7825" t="inlineStr">
        <is>
          <t>Công ty Cổ phần Tập đoàn Minh Anh</t>
        </is>
      </c>
      <c r="E7825" t="inlineStr">
        <is>
          <t>Lương:Cạnh tranh</t>
        </is>
      </c>
      <c r="F7825" t="inlineStr">
        <is>
          <t>Hà Nội</t>
        </is>
      </c>
      <c r="G7825" t="inlineStr">
        <is>
          <t>30-04-2026</t>
        </is>
      </c>
      <c r="H7825" t="inlineStr">
        <is>
          <t>30/04/2026</t>
        </is>
      </c>
      <c r="I7825" t="inlineStr">
        <is>
          <t>17/03/2026</t>
        </is>
      </c>
      <c r="J7825" t="inlineStr">
        <is>
          <t>Dệt may / Da giày / Thời trang, Sản xuất / Vận hành sản xuất, Thu mua / Vật tư</t>
        </is>
      </c>
      <c r="K7825" t="inlineStr">
        <is>
          <t>2 - 10 Năm</t>
        </is>
      </c>
      <c r="L7825" s="8">
        <f>HYPERLINK("https://careerviet.vn/vi/tim-viec-lam/map-merchandiser-fob-garment.35C6B96F.html","Xem chi tiết")</f>
        <v/>
      </c>
    </row>
    <row r="7826">
      <c r="B7826" s="9" t="n">
        <v>7824</v>
      </c>
      <c r="C7826" s="10" t="inlineStr">
        <is>
          <t>CHUYÊN VIÊN TÀI CHÍNH</t>
        </is>
      </c>
      <c r="D7826" s="10" t="inlineStr">
        <is>
          <t>Tổng công ty Xây dựng số 1 – CTCP</t>
        </is>
      </c>
      <c r="E7826" s="10" t="inlineStr">
        <is>
          <t>Lương:Cạnh tranh</t>
        </is>
      </c>
      <c r="F7826" s="10" t="inlineStr">
        <is>
          <t>Hồ Chí Minh</t>
        </is>
      </c>
      <c r="G7826" s="10" t="inlineStr">
        <is>
          <t>30-03-2026</t>
        </is>
      </c>
      <c r="H7826" s="10" t="inlineStr">
        <is>
          <t>30/03/2026</t>
        </is>
      </c>
      <c r="I7826" s="10" t="inlineStr">
        <is>
          <t>17/03/2026</t>
        </is>
      </c>
      <c r="J7826" s="10" t="inlineStr">
        <is>
          <t>Kế toán / Kiểm toán, Ngân hàng, Tài chính / Đầu tư</t>
        </is>
      </c>
      <c r="K7826" s="10" t="inlineStr">
        <is>
          <t>2 - 3 Năm</t>
        </is>
      </c>
      <c r="L7826" s="11">
        <f>HYPERLINK("https://careerviet.vn/vi/tim-viec-lam/chuyen-vien-tai-chinh.35C6BAC9.html","Xem chi tiết")</f>
        <v/>
      </c>
      <c r="M7826" s="10" t="n"/>
    </row>
    <row r="7827">
      <c r="B7827" s="7" t="n">
        <v>7825</v>
      </c>
      <c r="C7827" t="inlineStr">
        <is>
          <t>Nhân Viên Thiết Kế 3D</t>
        </is>
      </c>
      <c r="D7827" t="inlineStr">
        <is>
          <t>Công ty TNHH Minh Long I</t>
        </is>
      </c>
      <c r="E7827" t="inlineStr">
        <is>
          <t>Lương:18 Tr - 25 Tr VND</t>
        </is>
      </c>
      <c r="F7827" t="inlineStr">
        <is>
          <t>Bình Dương</t>
        </is>
      </c>
      <c r="G7827" t="inlineStr">
        <is>
          <t>10-04-2026</t>
        </is>
      </c>
      <c r="H7827" t="inlineStr">
        <is>
          <t>10/04/2026</t>
        </is>
      </c>
      <c r="I7827" t="inlineStr">
        <is>
          <t>17/03/2026</t>
        </is>
      </c>
      <c r="J7827" t="inlineStr">
        <is>
          <t>Mỹ thuật / Nghệ thuật / Thiết kế</t>
        </is>
      </c>
      <c r="K7827" t="inlineStr">
        <is>
          <t>1 - 3 Năm</t>
        </is>
      </c>
      <c r="L7827" s="8">
        <f>HYPERLINK("https://careerviet.vn/vi/tim-viec-lam/nhan-vien-thiet-ke-3d.35C6BA95.html","Xem chi tiết")</f>
        <v/>
      </c>
    </row>
    <row r="7828">
      <c r="B7828" s="9" t="n">
        <v>7826</v>
      </c>
      <c r="C7828" s="10" t="inlineStr">
        <is>
          <t>Nhân viên kế toán công nợ</t>
        </is>
      </c>
      <c r="D7828" s="10" t="inlineStr">
        <is>
          <t>Cty CP Clear Water Metal VN</t>
        </is>
      </c>
      <c r="E7828" s="10" t="inlineStr">
        <is>
          <t>Lương:9 Tr - 12 Tr VND</t>
        </is>
      </c>
      <c r="F7828" s="10" t="inlineStr">
        <is>
          <t>Bình Dương</t>
        </is>
      </c>
      <c r="G7828" s="10" t="inlineStr">
        <is>
          <t>10-04-2026</t>
        </is>
      </c>
      <c r="H7828" s="10" t="inlineStr">
        <is>
          <t>10/04/2026</t>
        </is>
      </c>
      <c r="I7828" s="10" t="inlineStr">
        <is>
          <t>17/03/2026</t>
        </is>
      </c>
      <c r="J7828" s="10" t="inlineStr">
        <is>
          <t>Kế toán / Kiểm toán</t>
        </is>
      </c>
      <c r="K7828" s="10" t="inlineStr">
        <is>
          <t>N/A</t>
        </is>
      </c>
      <c r="L7828" s="11">
        <f>HYPERLINK("https://careerviet.vn/vi/tim-viec-lam/nhan-vien-ke-toan-cong-no.35C6B1C9.html","Xem chi tiết")</f>
        <v/>
      </c>
      <c r="M7828" s="10" t="n"/>
    </row>
    <row r="7829">
      <c r="B7829" s="7" t="n">
        <v>7827</v>
      </c>
      <c r="C7829" t="inlineStr">
        <is>
          <t>Sales Engineer /Kỹ sư Kinh doanh</t>
        </is>
      </c>
      <c r="D7829" t="inlineStr">
        <is>
          <t>CÔNG TY TNHH THÉP KHÔNG GỈ VÀ HỢP KIM QUANG MINH</t>
        </is>
      </c>
      <c r="E7829" t="inlineStr">
        <is>
          <t>Lương:9 Tr - 20 Tr VND</t>
        </is>
      </c>
      <c r="F7829" t="inlineStr">
        <is>
          <t>Hồ Chí Minh</t>
        </is>
      </c>
      <c r="G7829" t="inlineStr">
        <is>
          <t>10-04-2026</t>
        </is>
      </c>
      <c r="H7829" t="inlineStr">
        <is>
          <t>10/04/2026</t>
        </is>
      </c>
      <c r="I7829" t="inlineStr">
        <is>
          <t>17/03/2026</t>
        </is>
      </c>
      <c r="J7829" t="inlineStr">
        <is>
          <t>Bán hàng / Kinh doanh, Bán Hàng Kỹ Thuật</t>
        </is>
      </c>
      <c r="K7829" t="inlineStr">
        <is>
          <t>1 - 3 Năm</t>
        </is>
      </c>
      <c r="L7829" s="8">
        <f>HYPERLINK("https://careerviet.vn/vi/tim-viec-lam/sales-engineer-ky-su-kinh-doanh.35C6BABB.html","Xem chi tiết")</f>
        <v/>
      </c>
    </row>
    <row r="7830">
      <c r="B7830" s="9" t="n">
        <v>7828</v>
      </c>
      <c r="C7830" s="10" t="inlineStr">
        <is>
          <t>Manufacturing Engineering Manager (US)</t>
        </is>
      </c>
      <c r="D7830" s="10" t="inlineStr">
        <is>
          <t>SAMTEC VIETNAM COMPANY LIMITED</t>
        </is>
      </c>
      <c r="E7830" s="10" t="inlineStr">
        <is>
          <t>Lương:Cạnh tranh</t>
        </is>
      </c>
      <c r="F7830" s="10" t="inlineStr">
        <is>
          <t>Đồng Nai</t>
        </is>
      </c>
      <c r="G7830" s="10" t="inlineStr">
        <is>
          <t>30-04-2026</t>
        </is>
      </c>
      <c r="H7830" s="10" t="inlineStr">
        <is>
          <t>30/04/2026</t>
        </is>
      </c>
      <c r="I7830" s="10" t="inlineStr">
        <is>
          <t>17/03/2026</t>
        </is>
      </c>
      <c r="J7830" s="10" t="inlineStr">
        <is>
          <t>Cơ khí / Ô tô / Tự động hóa, Điện / Điện tử / Điện lạnh / Điện công nghiệp, Sản xuất / Vận hành sản xuất</t>
        </is>
      </c>
      <c r="K7830" s="10" t="inlineStr">
        <is>
          <t>5 - 10 Năm</t>
        </is>
      </c>
      <c r="L7830" s="11">
        <f>HYPERLINK("https://careerviet.vn/vi/tim-viec-lam/manufacturing-engineering-manager-us.35C6BA6C.html","Xem chi tiết")</f>
        <v/>
      </c>
      <c r="M7830" s="10" t="n"/>
    </row>
    <row r="7831">
      <c r="B7831" s="7" t="n">
        <v>7829</v>
      </c>
      <c r="C7831" t="inlineStr">
        <is>
          <t>KIẾN TRÚC SƯ (Architect)</t>
        </is>
      </c>
      <c r="D7831" t="inlineStr">
        <is>
          <t>Công Ty Cổ Phần Kiến Trúc Tư Vấn Quản Lý Đông Dương</t>
        </is>
      </c>
      <c r="E7831" t="inlineStr">
        <is>
          <t>Lương:Cạnh tranh</t>
        </is>
      </c>
      <c r="F7831" t="inlineStr">
        <is>
          <t>Hồ Chí Minh</t>
        </is>
      </c>
      <c r="G7831" t="inlineStr">
        <is>
          <t>11-04-2026</t>
        </is>
      </c>
      <c r="H7831" t="inlineStr">
        <is>
          <t>11/04/2026</t>
        </is>
      </c>
      <c r="I7831" t="inlineStr">
        <is>
          <t>17/03/2026</t>
        </is>
      </c>
      <c r="J7831" t="inlineStr">
        <is>
          <t>Xây dựng, Kiến trúc, Bất động sản</t>
        </is>
      </c>
      <c r="K7831" t="inlineStr">
        <is>
          <t>1 - 5 Năm</t>
        </is>
      </c>
      <c r="L7831" s="8">
        <f>HYPERLINK("https://careerviet.vn/vi/tim-viec-lam/kien-truc-su-architect.35C6C1F4.html","Xem chi tiết")</f>
        <v/>
      </c>
    </row>
    <row r="7832">
      <c r="B7832" s="9" t="n">
        <v>7830</v>
      </c>
      <c r="C7832" s="10" t="inlineStr">
        <is>
          <t>Phiên Dịch Viên Tiếng Trung</t>
        </is>
      </c>
      <c r="D7832" s="10" t="inlineStr">
        <is>
          <t>CÔNG TY TNHH ASTRO ENGINEERING VN</t>
        </is>
      </c>
      <c r="E7832" s="10" t="inlineStr">
        <is>
          <t>Lương:12 Tr - 17 Tr VND</t>
        </is>
      </c>
      <c r="F7832" s="10" t="inlineStr">
        <is>
          <t>Bình Dương</t>
        </is>
      </c>
      <c r="G7832" s="10" t="inlineStr">
        <is>
          <t>10-04-2026</t>
        </is>
      </c>
      <c r="H7832" s="10" t="inlineStr">
        <is>
          <t>10/04/2026</t>
        </is>
      </c>
      <c r="I7832" s="10" t="inlineStr">
        <is>
          <t>17/03/2026</t>
        </is>
      </c>
      <c r="J7832" s="10" t="inlineStr">
        <is>
          <t>Hành chính / Thư ký, Biên phiên dịch</t>
        </is>
      </c>
      <c r="K7832" s="10" t="inlineStr">
        <is>
          <t>2 - 5 Năm</t>
        </is>
      </c>
      <c r="L7832" s="11">
        <f>HYPERLINK("https://careerviet.vn/vi/tim-viec-lam/phien-dich-vien-tieng-trung.35C6BAB9.html","Xem chi tiết")</f>
        <v/>
      </c>
      <c r="M7832" s="10" t="n"/>
    </row>
    <row r="7833">
      <c r="B7833" s="7" t="n">
        <v>7831</v>
      </c>
      <c r="C7833" t="inlineStr">
        <is>
          <t>Nhân Viên nhân sự - HR</t>
        </is>
      </c>
      <c r="D7833" t="inlineStr">
        <is>
          <t>Công Ty TNHH Linea Aqua Việt Nam</t>
        </is>
      </c>
      <c r="E7833" t="inlineStr">
        <is>
          <t>Lương:10 Tr - 13 Tr VND</t>
        </is>
      </c>
      <c r="F7833" t="inlineStr">
        <is>
          <t>Hưng Yên</t>
        </is>
      </c>
      <c r="G7833" t="inlineStr">
        <is>
          <t>10-04-2026</t>
        </is>
      </c>
      <c r="H7833" t="inlineStr">
        <is>
          <t>10/04/2026</t>
        </is>
      </c>
      <c r="I7833" t="inlineStr">
        <is>
          <t>17/03/2026</t>
        </is>
      </c>
      <c r="J7833" t="inlineStr">
        <is>
          <t>Dệt may / Da giày / Thời trang, Nhân sự, Sản xuất / Vận hành sản xuất</t>
        </is>
      </c>
      <c r="K7833" t="inlineStr">
        <is>
          <t>2 - 3 Năm</t>
        </is>
      </c>
      <c r="L7833" s="8">
        <f>HYPERLINK("https://careerviet.vn/vi/tim-viec-lam/nhan-vien-nhan-su-hr.35C6BA97.html","Xem chi tiết")</f>
        <v/>
      </c>
    </row>
    <row r="7834">
      <c r="B7834" s="9" t="n">
        <v>7832</v>
      </c>
      <c r="C7834" s="10" t="inlineStr">
        <is>
          <t>Nhân viên Sales Admin</t>
        </is>
      </c>
      <c r="D7834" s="10" t="inlineStr">
        <is>
          <t>CÔNG TY TNHH THÉP KHÔNG GỈ VÀ HỢP KIM QUANG MINH</t>
        </is>
      </c>
      <c r="E7834" s="10" t="inlineStr">
        <is>
          <t>Lương:8 Tr - 15 Tr VND</t>
        </is>
      </c>
      <c r="F7834" s="10" t="inlineStr">
        <is>
          <t>Hồ Chí Minh</t>
        </is>
      </c>
      <c r="G7834" s="10" t="inlineStr">
        <is>
          <t>10-04-2026</t>
        </is>
      </c>
      <c r="H7834" s="10" t="inlineStr">
        <is>
          <t>10/04/2026</t>
        </is>
      </c>
      <c r="I7834" s="10" t="inlineStr">
        <is>
          <t>17/03/2026</t>
        </is>
      </c>
      <c r="J7834" s="10" t="inlineStr">
        <is>
          <t>Bán hàng / Kinh doanh, Bán Hàng Kỹ Thuật, Hành chính / Thư ký</t>
        </is>
      </c>
      <c r="K7834" s="10" t="inlineStr">
        <is>
          <t>1 - 2 Năm</t>
        </is>
      </c>
      <c r="L7834" s="11">
        <f>HYPERLINK("https://careerviet.vn/vi/tim-viec-lam/nhan-vien-sales-admin.35C6BA91.html","Xem chi tiết")</f>
        <v/>
      </c>
      <c r="M7834" s="10" t="n"/>
    </row>
    <row r="7835">
      <c r="B7835" s="7" t="n">
        <v>7833</v>
      </c>
      <c r="C7835" t="inlineStr">
        <is>
          <t>Thư Ký Kho Vận</t>
        </is>
      </c>
      <c r="D7835" t="inlineStr">
        <is>
          <t>Công ty Cổ Phần Tập Đoàn Điện Quang</t>
        </is>
      </c>
      <c r="E7835" t="inlineStr">
        <is>
          <t>Lương:Cạnh tranh</t>
        </is>
      </c>
      <c r="F7835" t="inlineStr">
        <is>
          <t>Hà Nội</t>
        </is>
      </c>
      <c r="G7835" t="inlineStr">
        <is>
          <t>03-04-2026</t>
        </is>
      </c>
      <c r="H7835" t="inlineStr">
        <is>
          <t>03/04/2026</t>
        </is>
      </c>
      <c r="I7835" t="inlineStr">
        <is>
          <t>17/03/2026</t>
        </is>
      </c>
      <c r="J7835" t="inlineStr">
        <is>
          <t>Kế toán / Kiểm toán, Hành chính / Thư ký, Thống kê</t>
        </is>
      </c>
      <c r="K7835" t="inlineStr">
        <is>
          <t>N/A</t>
        </is>
      </c>
      <c r="L7835" s="8">
        <f>HYPERLINK("https://careerviet.vn/vi/tim-viec-lam/thu-ky-kho-van.35C6BA73.html","Xem chi tiết")</f>
        <v/>
      </c>
    </row>
    <row r="7836">
      <c r="B7836" s="9" t="n">
        <v>7834</v>
      </c>
      <c r="C7836" s="10" t="inlineStr">
        <is>
          <t>Nhân Viên Sales Admin - Ocean Edu Kiến Thụy - Thu Nhập Từ 15 Triệu/Đi Làm Ngay</t>
        </is>
      </c>
      <c r="D7836" s="10" t="inlineStr">
        <is>
          <t>Công Ty CP Giáo Dục Đại Dương</t>
        </is>
      </c>
      <c r="E7836" s="10" t="inlineStr">
        <is>
          <t>Lương:14 Tr - 15 Tr VND</t>
        </is>
      </c>
      <c r="F7836" s="10" t="inlineStr">
        <is>
          <t>Hải Phòng</t>
        </is>
      </c>
      <c r="G7836" s="10" t="inlineStr">
        <is>
          <t>30-03-2026</t>
        </is>
      </c>
      <c r="H7836" s="10" t="inlineStr">
        <is>
          <t>30/03/2026</t>
        </is>
      </c>
      <c r="I7836" s="10" t="inlineStr">
        <is>
          <t>17/03/2026</t>
        </is>
      </c>
      <c r="J7836" s="10" t="inlineStr">
        <is>
          <t>Kế toán / Kiểm toán, Giáo dục / Đào tạo</t>
        </is>
      </c>
      <c r="K7836" s="10" t="inlineStr">
        <is>
          <t>1 - 2 Năm</t>
        </is>
      </c>
      <c r="L7836" s="11">
        <f>HYPERLINK("https://careerviet.vn/vi/tim-viec-lam/nhan-vien-sales-admin-ocean-edu-kien-thuy-thu-nhap-tu-15-trieu-di-lam-ngay.35C6BA79.html","Xem chi tiết")</f>
        <v/>
      </c>
      <c r="M7836" s="10" t="n"/>
    </row>
    <row r="7837">
      <c r="B7837" s="7" t="n">
        <v>7835</v>
      </c>
      <c r="C7837" t="inlineStr">
        <is>
          <t>Accounting Manager(Mới)</t>
        </is>
      </c>
      <c r="D7837" t="inlineStr">
        <is>
          <t>Công Ty Hoàng An Nhiên</t>
        </is>
      </c>
      <c r="E7837" t="inlineStr">
        <is>
          <t>Lương:Cạnh tranh</t>
        </is>
      </c>
      <c r="F7837" t="inlineStr">
        <is>
          <t>Hồ Chí Minh</t>
        </is>
      </c>
      <c r="G7837" t="inlineStr">
        <is>
          <t>30-04-2026</t>
        </is>
      </c>
      <c r="H7837" t="inlineStr">
        <is>
          <t>30/04/2026</t>
        </is>
      </c>
      <c r="I7837" t="inlineStr">
        <is>
          <t>17/03/2026</t>
        </is>
      </c>
      <c r="J7837" t="inlineStr">
        <is>
          <t>Kế toán / Kiểm toán</t>
        </is>
      </c>
      <c r="K7837" t="inlineStr">
        <is>
          <t>8 - 10 Năm</t>
        </is>
      </c>
      <c r="L7837" s="8">
        <f>HYPERLINK("https://careerviet.vn/vi/tim-viec-lam/accounting-manager.35C6CCE7.html","Xem chi tiết")</f>
        <v/>
      </c>
    </row>
    <row r="7838">
      <c r="B7838" s="9" t="n">
        <v>7836</v>
      </c>
      <c r="C7838" s="10" t="inlineStr">
        <is>
          <t>Production Planning Leader / Tổ trưởng kế hoạch sản xuất</t>
        </is>
      </c>
      <c r="D7838" s="10" t="inlineStr">
        <is>
          <t>CÔNG TY CỔ PHẦN CHẾ BIẾN THỰC PHẨM HOÀNG SƠN</t>
        </is>
      </c>
      <c r="E7838" s="10" t="inlineStr">
        <is>
          <t>Lương:12 Tr - 15 Tr VND</t>
        </is>
      </c>
      <c r="F7838" s="10" t="inlineStr">
        <is>
          <t>Bình Dương</t>
        </is>
      </c>
      <c r="G7838" s="10" t="inlineStr">
        <is>
          <t>31-03-2026</t>
        </is>
      </c>
      <c r="H7838" s="10" t="inlineStr">
        <is>
          <t>31/03/2026</t>
        </is>
      </c>
      <c r="I7838" s="10" t="inlineStr">
        <is>
          <t>17/03/2026</t>
        </is>
      </c>
      <c r="J7838" s="10" t="inlineStr">
        <is>
          <t>Sản xuất / Vận hành sản xuất, Vận chuyển / Giao nhận / Kho vận, Quản lý điều hành</t>
        </is>
      </c>
      <c r="K7838" s="10" t="inlineStr">
        <is>
          <t>2 - 3 Năm</t>
        </is>
      </c>
      <c r="L7838" s="11">
        <f>HYPERLINK("https://careerviet.vn/vi/tim-viec-lam/production-planning-leader-to-truong-ke-hoach-san-xuat.35C6BA6B.html","Xem chi tiết")</f>
        <v/>
      </c>
      <c r="M7838" s="10" t="n"/>
    </row>
    <row r="7839">
      <c r="B7839" s="7" t="n">
        <v>7837</v>
      </c>
      <c r="C7839" t="inlineStr">
        <is>
          <t>Nhân Viên Lái Xe(Mới)</t>
        </is>
      </c>
      <c r="D7839" t="inlineStr">
        <is>
          <t>CÔNG TY CỔ PHẦN PHÁT TRIỂN BẤT ĐỘNG SẢN VĂN PHÚ</t>
        </is>
      </c>
      <c r="E7839" t="inlineStr">
        <is>
          <t>Lương:Cạnh tranh</t>
        </is>
      </c>
      <c r="F7839" t="inlineStr">
        <is>
          <t>Hà Nội</t>
        </is>
      </c>
      <c r="G7839" t="inlineStr">
        <is>
          <t>29-04-2026</t>
        </is>
      </c>
      <c r="H7839" t="inlineStr">
        <is>
          <t>29/04/2026</t>
        </is>
      </c>
      <c r="I7839" t="inlineStr">
        <is>
          <t>17/03/2026</t>
        </is>
      </c>
      <c r="J7839" t="inlineStr">
        <is>
          <t>Nhân sự, Bất động sản</t>
        </is>
      </c>
      <c r="K7839" t="inlineStr">
        <is>
          <t>1 - 2 Năm</t>
        </is>
      </c>
      <c r="L7839" s="8">
        <f>HYPERLINK("https://careerviet.vn/vi/tim-viec-lam/nhan-vien-lai-xe.35C6CD26.html","Xem chi tiết")</f>
        <v/>
      </c>
    </row>
    <row r="7840">
      <c r="B7840" s="9" t="n">
        <v>7838</v>
      </c>
      <c r="C7840" s="10" t="inlineStr">
        <is>
          <t>[KHU VỰC MIỀN NAM] CHUYÊN VIÊN QUAN HỆ KHÁCH HÀNG ƯU TIÊN - WEALTH RELATIONSHIP MANAGER</t>
        </is>
      </c>
      <c r="D7840" s="10" t="inlineStr">
        <is>
          <t>Shinhan Bank Vietnam</t>
        </is>
      </c>
      <c r="E7840" s="10" t="inlineStr">
        <is>
          <t>Lương:Cạnh tranh</t>
        </is>
      </c>
      <c r="F7840" s="10" t="inlineStr">
        <is>
          <t>Hồ Chí Minh</t>
        </is>
      </c>
      <c r="G7840" s="10" t="inlineStr">
        <is>
          <t>29-04-2026</t>
        </is>
      </c>
      <c r="H7840" s="10" t="inlineStr">
        <is>
          <t>29/04/2026</t>
        </is>
      </c>
      <c r="I7840" s="10" t="inlineStr">
        <is>
          <t>17/03/2026</t>
        </is>
      </c>
      <c r="J7840" s="10" t="inlineStr">
        <is>
          <t>Ngân hàng</t>
        </is>
      </c>
      <c r="K7840" s="10" t="inlineStr">
        <is>
          <t>Trên 2 Năm</t>
        </is>
      </c>
      <c r="L7840" s="11">
        <f>HYPERLINK("https://careerviet.vn/vi/tim-viec-lam/khu-vuc-mien-nam-chuyen-vien-quan-he-khach-hang-uu-tien-wealth-relationship-manager.35C6BC32.html","Xem chi tiết")</f>
        <v/>
      </c>
      <c r="M7840" s="10" t="n"/>
    </row>
    <row r="7841">
      <c r="B7841" s="7" t="n">
        <v>7839</v>
      </c>
      <c r="C7841" t="inlineStr">
        <is>
          <t>Thư Ký Lãnh Đạo(Mới)</t>
        </is>
      </c>
      <c r="D7841" t="inlineStr">
        <is>
          <t>CÔNG TY CỔ PHẦN PHÁT TRIỂN BẤT ĐỘNG SẢN VĂN PHÚ</t>
        </is>
      </c>
      <c r="E7841" t="inlineStr">
        <is>
          <t>Lương:Cạnh tranh</t>
        </is>
      </c>
      <c r="F7841" t="inlineStr">
        <is>
          <t>Hà Nội</t>
        </is>
      </c>
      <c r="G7841" t="inlineStr">
        <is>
          <t>24-03-2026</t>
        </is>
      </c>
      <c r="H7841" t="inlineStr">
        <is>
          <t>24/03/2026</t>
        </is>
      </c>
      <c r="I7841" t="inlineStr">
        <is>
          <t>17/03/2026</t>
        </is>
      </c>
      <c r="J7841" t="inlineStr">
        <is>
          <t>Hành chính / Thư ký, Bất động sản</t>
        </is>
      </c>
      <c r="K7841" t="inlineStr">
        <is>
          <t>2 - 5 Năm</t>
        </is>
      </c>
      <c r="L7841" s="8">
        <f>HYPERLINK("https://careerviet.vn/vi/tim-viec-lam/thu-ky-lanh-dao.35C6CD25.html","Xem chi tiết")</f>
        <v/>
      </c>
    </row>
    <row r="7842">
      <c r="B7842" s="9" t="n">
        <v>7840</v>
      </c>
      <c r="C7842" s="10" t="inlineStr">
        <is>
          <t>Chuyên Viên Quản Lý Tài Sản(Mới)</t>
        </is>
      </c>
      <c r="D7842" s="10" t="inlineStr">
        <is>
          <t>CÔNG TY CỔ PHẦN PHÁT TRIỂN BẤT ĐỘNG SẢN VĂN PHÚ</t>
        </is>
      </c>
      <c r="E7842" s="10" t="inlineStr">
        <is>
          <t>Lương:Cạnh tranh</t>
        </is>
      </c>
      <c r="F7842" s="10" t="inlineStr">
        <is>
          <t>Hà Nội</t>
        </is>
      </c>
      <c r="G7842" s="10" t="inlineStr">
        <is>
          <t>29-04-2026</t>
        </is>
      </c>
      <c r="H7842" s="10" t="inlineStr">
        <is>
          <t>29/04/2026</t>
        </is>
      </c>
      <c r="I7842" s="10" t="inlineStr">
        <is>
          <t>17/03/2026</t>
        </is>
      </c>
      <c r="J7842" s="10" t="inlineStr">
        <is>
          <t>Hành chính / Thư ký, Bất động sản</t>
        </is>
      </c>
      <c r="K7842" s="10" t="inlineStr">
        <is>
          <t>Trên 5 Năm</t>
        </is>
      </c>
      <c r="L7842" s="11">
        <f>HYPERLINK("https://careerviet.vn/vi/tim-viec-lam/chuyen-vien-quan-ly-tai-san.35C6CD27.html","Xem chi tiết")</f>
        <v/>
      </c>
      <c r="M7842" s="10" t="n"/>
    </row>
    <row r="7843">
      <c r="B7843" s="7" t="n">
        <v>7841</v>
      </c>
      <c r="C7843" t="inlineStr">
        <is>
          <t>Chuyên viên cao cấp Cải tiến Quy trình vận hành</t>
        </is>
      </c>
      <c r="D7843" t="inlineStr">
        <is>
          <t>Ngân Hàng TMCP Sài Gòn - Hà Nội ( SHB )</t>
        </is>
      </c>
      <c r="E7843" t="inlineStr">
        <is>
          <t>Lương:Cạnh tranh</t>
        </is>
      </c>
      <c r="F7843" t="inlineStr">
        <is>
          <t>Hà Nội</t>
        </is>
      </c>
      <c r="G7843" t="inlineStr">
        <is>
          <t>07-04-2026</t>
        </is>
      </c>
      <c r="H7843" t="inlineStr">
        <is>
          <t>07/04/2026</t>
        </is>
      </c>
      <c r="I7843" t="inlineStr">
        <is>
          <t>17/03/2026</t>
        </is>
      </c>
      <c r="J7843" t="inlineStr">
        <is>
          <t>Ngân hàng, Quản lý chất lượng (QA/QC)</t>
        </is>
      </c>
      <c r="K7843" t="inlineStr">
        <is>
          <t>Trên 4 Năm</t>
        </is>
      </c>
      <c r="L7843" s="8">
        <f>HYPERLINK("https://careerviet.vn/vi/tim-viec-lam/chuyen-vien-cao-cap-cai-tien-quy-trinh-van-hanh.35C6BA82.html","Xem chi tiết")</f>
        <v/>
      </c>
    </row>
    <row r="7844">
      <c r="B7844" s="9" t="n">
        <v>7842</v>
      </c>
      <c r="C7844" s="10" t="inlineStr">
        <is>
          <t>Trưởng nhóm kế toán</t>
        </is>
      </c>
      <c r="D7844" s="10" t="inlineStr">
        <is>
          <t>Công ty TNHH TMDV &amp; Kỹ Thuật Đức Phát</t>
        </is>
      </c>
      <c r="E7844" s="10" t="inlineStr">
        <is>
          <t>Lương:12 Tr - 18 Tr VND</t>
        </is>
      </c>
      <c r="F7844" s="10" t="inlineStr">
        <is>
          <t>Hà Nội</t>
        </is>
      </c>
      <c r="G7844" s="10" t="inlineStr">
        <is>
          <t>31-03-2026</t>
        </is>
      </c>
      <c r="H7844" s="10" t="inlineStr">
        <is>
          <t>31/03/2026</t>
        </is>
      </c>
      <c r="I7844" s="10" t="inlineStr">
        <is>
          <t>17/03/2026</t>
        </is>
      </c>
      <c r="J7844" s="10" t="inlineStr">
        <is>
          <t>Kế toán / Kiểm toán</t>
        </is>
      </c>
      <c r="K7844" s="10" t="inlineStr">
        <is>
          <t>2 - 3 Năm</t>
        </is>
      </c>
      <c r="L7844" s="11">
        <f>HYPERLINK("https://careerviet.vn/vi/tim-viec-lam/truong-nhom-ke-toan.35C6BA80.html","Xem chi tiết")</f>
        <v/>
      </c>
      <c r="M7844" s="10" t="n"/>
    </row>
    <row r="7845">
      <c r="B7845" s="7" t="n">
        <v>7843</v>
      </c>
      <c r="C7845" t="inlineStr">
        <is>
          <t>Trưởng Nhóm Tuyển Sinh (Ocean Edu Kiến Thụy)</t>
        </is>
      </c>
      <c r="D7845" t="inlineStr">
        <is>
          <t>Công Ty CP Giáo Dục Đại Dương</t>
        </is>
      </c>
      <c r="E7845" t="inlineStr">
        <is>
          <t>Lương:17 Tr - 18 Tr VND</t>
        </is>
      </c>
      <c r="F7845" t="inlineStr">
        <is>
          <t>Hải Phòng</t>
        </is>
      </c>
      <c r="G7845" t="inlineStr">
        <is>
          <t>30-03-2026</t>
        </is>
      </c>
      <c r="H7845" t="inlineStr">
        <is>
          <t>30/03/2026</t>
        </is>
      </c>
      <c r="I7845" t="inlineStr">
        <is>
          <t>17/03/2026</t>
        </is>
      </c>
      <c r="J7845" t="inlineStr">
        <is>
          <t>Tư vấn, Dịch vụ khách hàng, Giáo dục / Đào tạo</t>
        </is>
      </c>
      <c r="K7845" t="inlineStr">
        <is>
          <t>1 - 2 Năm</t>
        </is>
      </c>
      <c r="L7845" s="8">
        <f>HYPERLINK("https://careerviet.vn/vi/tim-viec-lam/truong-nhom-tuyen-sinh-ocean-edu-kien-thuy.35C6BA7D.html","Xem chi tiết")</f>
        <v/>
      </c>
    </row>
    <row r="7846">
      <c r="B7846" s="9" t="n">
        <v>7844</v>
      </c>
      <c r="C7846" s="10" t="inlineStr">
        <is>
          <t>CHUYÊN VIÊN SHOP TEKLA</t>
        </is>
      </c>
      <c r="D7846" s="10" t="inlineStr">
        <is>
          <t>CÔNG TY CỔ PHẦN KẾT CẤU THÉP OMEGA VIỆT NAM</t>
        </is>
      </c>
      <c r="E7846" s="10" t="inlineStr">
        <is>
          <t>Lương:15 Tr - 25 Tr VND</t>
        </is>
      </c>
      <c r="F7846" s="10" t="inlineStr">
        <is>
          <t>Hà NộiHưng Yên</t>
        </is>
      </c>
      <c r="G7846" s="10" t="inlineStr">
        <is>
          <t>10-04-2026</t>
        </is>
      </c>
      <c r="H7846" s="10" t="inlineStr">
        <is>
          <t>10/04/2026</t>
        </is>
      </c>
      <c r="I7846" s="10" t="inlineStr">
        <is>
          <t>17/03/2026</t>
        </is>
      </c>
      <c r="J7846" s="10" t="inlineStr">
        <is>
          <t>Xây dựng, Kiến trúc, Mỹ thuật / Nghệ thuật / Thiết kế</t>
        </is>
      </c>
      <c r="K7846" s="10" t="inlineStr">
        <is>
          <t>N/A</t>
        </is>
      </c>
      <c r="L7846" s="11">
        <f>HYPERLINK("https://careerviet.vn/vi/tim-viec-lam/chuyen-vien-shop-tekla.35C6BAC2.html","Xem chi tiết")</f>
        <v/>
      </c>
      <c r="M7846" s="10" t="n"/>
    </row>
    <row r="7847">
      <c r="B7847" s="7" t="n">
        <v>7845</v>
      </c>
      <c r="C7847" t="inlineStr">
        <is>
          <t>[QUẬN 7] CREDIT ASSESSMENT OFFICER - CHUYÊN VIÊN THẨM ĐỊNH TÍN DỤNG</t>
        </is>
      </c>
      <c r="D7847" t="inlineStr">
        <is>
          <t>Shinhan Bank Vietnam</t>
        </is>
      </c>
      <c r="E7847" t="inlineStr">
        <is>
          <t>Lương:Cạnh tranh</t>
        </is>
      </c>
      <c r="F7847" t="inlineStr">
        <is>
          <t>Hồ Chí Minh</t>
        </is>
      </c>
      <c r="G7847" t="inlineStr">
        <is>
          <t>29-04-2026</t>
        </is>
      </c>
      <c r="H7847" t="inlineStr">
        <is>
          <t>29/04/2026</t>
        </is>
      </c>
      <c r="I7847" t="inlineStr">
        <is>
          <t>17/03/2026</t>
        </is>
      </c>
      <c r="J7847" t="inlineStr">
        <is>
          <t>Kế toán / Kiểm toán, Ngân hàng</t>
        </is>
      </c>
      <c r="K7847" t="inlineStr">
        <is>
          <t>1 - 2 Năm</t>
        </is>
      </c>
      <c r="L7847" s="8">
        <f>HYPERLINK("https://careerviet.vn/vi/tim-viec-lam/quan-7-credit-assessment-officer-chuyen-vien-tham-dinh-tin-dung.35C6BC1A.html","Xem chi tiết")</f>
        <v/>
      </c>
    </row>
    <row r="7848">
      <c r="B7848" s="9" t="n">
        <v>7846</v>
      </c>
      <c r="C7848" s="10" t="inlineStr">
        <is>
          <t>Nhân Viên Sales Admin kiêm CSKH</t>
        </is>
      </c>
      <c r="D7848" s="10" t="inlineStr">
        <is>
          <t>Công Ty TNHH Dược Phẩm Healthy Beauty</t>
        </is>
      </c>
      <c r="E7848" s="10" t="inlineStr">
        <is>
          <t>Lương:9 Tr - 12 Tr VND</t>
        </is>
      </c>
      <c r="F7848" s="10" t="inlineStr">
        <is>
          <t>Hồ Chí Minh</t>
        </is>
      </c>
      <c r="G7848" s="10" t="inlineStr">
        <is>
          <t>31-03-2026</t>
        </is>
      </c>
      <c r="H7848" s="10" t="inlineStr">
        <is>
          <t>31/03/2026</t>
        </is>
      </c>
      <c r="I7848" s="10" t="inlineStr">
        <is>
          <t>17/03/2026</t>
        </is>
      </c>
      <c r="J7848" s="10" t="inlineStr">
        <is>
          <t>Bán hàng / Kinh doanh, Dược phẩm/ Hóa Mỹ Phẩm, Dịch vụ khách hàng</t>
        </is>
      </c>
      <c r="K7848" s="10" t="inlineStr">
        <is>
          <t>2 - 5 Năm</t>
        </is>
      </c>
      <c r="L7848" s="11">
        <f>HYPERLINK("https://careerviet.vn/vi/tim-viec-lam/nhan-vien-sales-admin-kiem-cskh.35C6BC1C.html","Xem chi tiết")</f>
        <v/>
      </c>
      <c r="M7848" s="10" t="n"/>
    </row>
    <row r="7849">
      <c r="B7849" s="7" t="n">
        <v>7847</v>
      </c>
      <c r="C7849" t="inlineStr">
        <is>
          <t>Quản Lý Điều Hành NPP Sỉ Thực Phẩm</t>
        </is>
      </c>
      <c r="D7849" t="inlineStr">
        <is>
          <t>Công ty TNHH Thương Mại City Foods</t>
        </is>
      </c>
      <c r="E7849" t="inlineStr">
        <is>
          <t>Lương:15 Tr - 20 Tr VND</t>
        </is>
      </c>
      <c r="F7849" t="inlineStr">
        <is>
          <t>Hồ Chí Minh</t>
        </is>
      </c>
      <c r="G7849" t="inlineStr">
        <is>
          <t>09-04-2026</t>
        </is>
      </c>
      <c r="H7849" t="inlineStr">
        <is>
          <t>09/04/2026</t>
        </is>
      </c>
      <c r="I7849" t="inlineStr">
        <is>
          <t>17/03/2026</t>
        </is>
      </c>
      <c r="J7849" t="inlineStr">
        <is>
          <t>N/A</t>
        </is>
      </c>
      <c r="K7849" t="inlineStr">
        <is>
          <t>Trên 2 Năm</t>
        </is>
      </c>
      <c r="L7849" s="8">
        <f>HYPERLINK("https://careerviet.vn/vi/tim-viec-lam/quan-ly-dieu-hanh-npp-si-thuc-pham.35C6BB16.html","Xem chi tiết")</f>
        <v/>
      </c>
    </row>
    <row r="7850">
      <c r="B7850" s="9" t="n">
        <v>7848</v>
      </c>
      <c r="C7850" s="10" t="inlineStr">
        <is>
          <t>Trực Tổng Đài Buyer Shopee (Đi làm 3/2026 - Quận Tân Phú) - Không Ca đêm</t>
        </is>
      </c>
      <c r="D7850" s="10" t="inlineStr">
        <is>
          <t>Công Ty TNHH Việt Mỹ-SSU</t>
        </is>
      </c>
      <c r="E7850" s="10" t="inlineStr">
        <is>
          <t>Lương:6 Tr - 8,3 Tr VND</t>
        </is>
      </c>
      <c r="F7850" s="10" t="inlineStr">
        <is>
          <t>Hồ Chí Minh</t>
        </is>
      </c>
      <c r="G7850" s="10" t="inlineStr">
        <is>
          <t>11-04-2026</t>
        </is>
      </c>
      <c r="H7850" s="10" t="inlineStr">
        <is>
          <t>11/04/2026</t>
        </is>
      </c>
      <c r="I7850" s="10" t="inlineStr">
        <is>
          <t>17/03/2026</t>
        </is>
      </c>
      <c r="J7850" s="10" t="inlineStr">
        <is>
          <t>Thương mại điện tử</t>
        </is>
      </c>
      <c r="K7850" s="10" t="inlineStr">
        <is>
          <t>Lên đến 1 Năm</t>
        </is>
      </c>
      <c r="L7850" s="11">
        <f>HYPERLINK("https://careerviet.vn/vi/tim-viec-lam/truc-tong-dai-buyer-shopee-di-lam-3-2026-quan-tan-phu-khong-ca-dem.35C6BB30.html","Xem chi tiết")</f>
        <v/>
      </c>
      <c r="M7850" s="10" t="n"/>
    </row>
    <row r="7851">
      <c r="B7851" s="7" t="n">
        <v>7849</v>
      </c>
      <c r="C7851" t="inlineStr">
        <is>
          <t>Kế toán chi phí</t>
        </is>
      </c>
      <c r="D7851" t="inlineStr">
        <is>
          <t>CÔNG TY TNHH TẬP ĐOÀN XÂY DỰNG DELTA</t>
        </is>
      </c>
      <c r="E7851" t="inlineStr">
        <is>
          <t>Lương:15 Tr - 18 Tr VND</t>
        </is>
      </c>
      <c r="F7851" t="inlineStr">
        <is>
          <t>Hà Nội</t>
        </is>
      </c>
      <c r="G7851" t="inlineStr">
        <is>
          <t>31-05-2026</t>
        </is>
      </c>
      <c r="H7851" t="inlineStr">
        <is>
          <t>31/05/2026</t>
        </is>
      </c>
      <c r="I7851" t="inlineStr">
        <is>
          <t>17/03/2026</t>
        </is>
      </c>
      <c r="J7851" t="inlineStr">
        <is>
          <t>Kế toán / Kiểm toán, Tài chính / Đầu tư, Xây dựng</t>
        </is>
      </c>
      <c r="K7851" t="inlineStr">
        <is>
          <t>2 - 5 Năm</t>
        </is>
      </c>
      <c r="L7851" s="8">
        <f>HYPERLINK("https://careerviet.vn/vi/tim-viec-lam/ke-toan-chi-phi.35C6B29E.html","Xem chi tiết")</f>
        <v/>
      </c>
    </row>
    <row r="7852">
      <c r="B7852" s="9" t="n">
        <v>7850</v>
      </c>
      <c r="C7852" s="10" t="inlineStr">
        <is>
          <t>Giám đốc Phòng Quan hệ khách hàng Cá nhân - BVBank Khánh Hòa - KV Miền Trung</t>
        </is>
      </c>
      <c r="D7852" s="10" t="inlineStr">
        <is>
          <t>BVBank - Ngân hàng Bản Việt</t>
        </is>
      </c>
      <c r="E7852" s="10" t="inlineStr">
        <is>
          <t>Lương:Cạnh tranh</t>
        </is>
      </c>
      <c r="F7852" s="10" t="inlineStr">
        <is>
          <t>Khánh Hòa</t>
        </is>
      </c>
      <c r="G7852" s="10" t="inlineStr">
        <is>
          <t>08-04-2026</t>
        </is>
      </c>
      <c r="H7852" s="10" t="inlineStr">
        <is>
          <t>08/04/2026</t>
        </is>
      </c>
      <c r="I7852" s="10" t="inlineStr">
        <is>
          <t>17/03/2026</t>
        </is>
      </c>
      <c r="J7852" s="10" t="inlineStr">
        <is>
          <t>Ngân hàng, Tài chính / Đầu tư</t>
        </is>
      </c>
      <c r="K7852" s="10" t="inlineStr">
        <is>
          <t>3 - 4 Năm</t>
        </is>
      </c>
      <c r="L7852" s="11">
        <f>HYPERLINK("https://careerviet.vn/vi/tim-viec-lam/giam-doc-phong-quan-he-khach-hang-ca-nhan-bvbank-khanh-hoa-kv-mien-trung.35C6BACA.html","Xem chi tiết")</f>
        <v/>
      </c>
      <c r="M7852" s="10" t="n"/>
    </row>
    <row r="7853">
      <c r="B7853" s="7" t="n">
        <v>7851</v>
      </c>
      <c r="C7853" t="inlineStr">
        <is>
          <t>Chuyên Viên ISO</t>
        </is>
      </c>
      <c r="D7853" t="inlineStr">
        <is>
          <t>CÔNG TY CỔ PHẦN THẾ GIỚI GIẤY</t>
        </is>
      </c>
      <c r="E7853" t="inlineStr">
        <is>
          <t>Lương:12 Tr - 15 Tr VND</t>
        </is>
      </c>
      <c r="F7853" t="inlineStr">
        <is>
          <t>Hồ Chí Minh</t>
        </is>
      </c>
      <c r="G7853" t="inlineStr">
        <is>
          <t>09-04-2026</t>
        </is>
      </c>
      <c r="H7853" t="inlineStr">
        <is>
          <t>09/04/2026</t>
        </is>
      </c>
      <c r="I7853" t="inlineStr">
        <is>
          <t>17/03/2026</t>
        </is>
      </c>
      <c r="J7853" t="inlineStr">
        <is>
          <t>Quản lý chất lượng (QA/QC), An toàn lao động, Luật / Pháp lý</t>
        </is>
      </c>
      <c r="K7853" t="inlineStr">
        <is>
          <t>Trên 2 Năm</t>
        </is>
      </c>
      <c r="L7853" s="8">
        <f>HYPERLINK("https://careerviet.vn/vi/tim-viec-lam/chuyen-vien-iso.35C6B803.html","Xem chi tiết")</f>
        <v/>
      </c>
    </row>
    <row r="7854">
      <c r="B7854" s="9" t="n">
        <v>7852</v>
      </c>
      <c r="C7854" s="10" t="inlineStr">
        <is>
          <t>Giám Sát Bán Hàng</t>
        </is>
      </c>
      <c r="D7854" s="10" t="inlineStr">
        <is>
          <t>CÔNG TY CỔ PHẦN THẾ GIỚI GIẤY</t>
        </is>
      </c>
      <c r="E7854" s="10" t="inlineStr">
        <is>
          <t>Lương:Cạnh tranh</t>
        </is>
      </c>
      <c r="F7854" s="10" t="inlineStr">
        <is>
          <t>Hà Nội</t>
        </is>
      </c>
      <c r="G7854" s="10" t="inlineStr">
        <is>
          <t>15-04-2026</t>
        </is>
      </c>
      <c r="H7854" s="10" t="inlineStr">
        <is>
          <t>15/04/2026</t>
        </is>
      </c>
      <c r="I7854" s="10" t="inlineStr">
        <is>
          <t>17/03/2026</t>
        </is>
      </c>
      <c r="J7854" s="10" t="inlineStr">
        <is>
          <t>Bán hàng / Kinh doanh, Bán lẻ / Bán sỉ, Tiếp thị / Marketing</t>
        </is>
      </c>
      <c r="K7854" s="10" t="inlineStr">
        <is>
          <t>Trên 2 Năm</t>
        </is>
      </c>
      <c r="L7854" s="11">
        <f>HYPERLINK("https://careerviet.vn/vi/tim-viec-lam/giam-sat-ban-hang.35C6B816.html","Xem chi tiết")</f>
        <v/>
      </c>
      <c r="M7854" s="10" t="n"/>
    </row>
    <row r="7855">
      <c r="B7855" s="7" t="n">
        <v>7853</v>
      </c>
      <c r="C7855" t="inlineStr">
        <is>
          <t>Lease Management  Executive</t>
        </is>
      </c>
      <c r="D7855" t="inlineStr">
        <is>
          <t>Trung tâm Thương mại SC VivoCity</t>
        </is>
      </c>
      <c r="E7855" t="inlineStr">
        <is>
          <t>Lương:Cạnh tranh</t>
        </is>
      </c>
      <c r="F7855" t="inlineStr">
        <is>
          <t>Hồ Chí Minh</t>
        </is>
      </c>
      <c r="G7855" t="inlineStr">
        <is>
          <t>31-03-2026</t>
        </is>
      </c>
      <c r="H7855" t="inlineStr">
        <is>
          <t>31/03/2026</t>
        </is>
      </c>
      <c r="I7855" t="inlineStr">
        <is>
          <t>17/03/2026</t>
        </is>
      </c>
      <c r="J7855" t="inlineStr">
        <is>
          <t>Bất động sản, Bán lẻ / Bán sỉ</t>
        </is>
      </c>
      <c r="K7855" t="inlineStr">
        <is>
          <t>1 - 3 Năm</t>
        </is>
      </c>
      <c r="L7855" s="8">
        <f>HYPERLINK("https://careerviet.vn/vi/tim-viec-lam/lease-management-executive.35C6BC14.html","Xem chi tiết")</f>
        <v/>
      </c>
    </row>
    <row r="7856">
      <c r="B7856" s="9" t="n">
        <v>7854</v>
      </c>
      <c r="C7856" s="10" t="inlineStr">
        <is>
          <t>Chuyên viên cao cấp Quản lý và Phát triển kênh Digital Marketing - Popplife - 4Z007</t>
        </is>
      </c>
      <c r="D7856" s="10" t="inlineStr">
        <is>
          <t>Tập đoàn ROX (ROX Group)</t>
        </is>
      </c>
      <c r="E7856" s="10" t="inlineStr">
        <is>
          <t>Lương:Cạnh tranh</t>
        </is>
      </c>
      <c r="F7856" s="10" t="inlineStr">
        <is>
          <t>Hà Nội</t>
        </is>
      </c>
      <c r="G7856" s="10" t="inlineStr">
        <is>
          <t>07-04-2026</t>
        </is>
      </c>
      <c r="H7856" s="10" t="inlineStr">
        <is>
          <t>07/04/2026</t>
        </is>
      </c>
      <c r="I7856" s="10" t="inlineStr">
        <is>
          <t>17/03/2026</t>
        </is>
      </c>
      <c r="J7856" s="10" t="inlineStr">
        <is>
          <t>Quảng cáo / Đối ngoại / Truyền Thông</t>
        </is>
      </c>
      <c r="K7856" s="10" t="inlineStr">
        <is>
          <t>Trên 4 Năm</t>
        </is>
      </c>
      <c r="L7856" s="11">
        <f>HYPERLINK("https://careerviet.vn/vi/tim-viec-lam/chuyen-vien-cao-cap-quan-ly-va-phat-trien-kenh-digital-marketing-popplife-4z007.35C6BC13.html","Xem chi tiết")</f>
        <v/>
      </c>
      <c r="M7856" s="10" t="n"/>
    </row>
    <row r="7857">
      <c r="B7857" s="7" t="n">
        <v>7855</v>
      </c>
      <c r="C7857" t="inlineStr">
        <is>
          <t>Kĩ thuật ứng dụng đồ ăn</t>
        </is>
      </c>
      <c r="D7857" t="inlineStr">
        <is>
          <t>CÔNG TY CỔ PHẦN THƯƠNG MẠI VÀ CÔNG NGHỆ THỰC PHẨM HOÀNG LÂM</t>
        </is>
      </c>
      <c r="E7857" t="inlineStr">
        <is>
          <t>Lương:14 Tr - 17 Tr VND</t>
        </is>
      </c>
      <c r="F7857" t="inlineStr">
        <is>
          <t>Bắc Ninh</t>
        </is>
      </c>
      <c r="G7857" t="inlineStr">
        <is>
          <t>15-04-2026</t>
        </is>
      </c>
      <c r="H7857" t="inlineStr">
        <is>
          <t>15/04/2026</t>
        </is>
      </c>
      <c r="I7857" t="inlineStr">
        <is>
          <t>17/03/2026</t>
        </is>
      </c>
      <c r="J7857" t="inlineStr">
        <is>
          <t>Công nghệ thực phẩm / Dinh dưỡng</t>
        </is>
      </c>
      <c r="K7857" t="inlineStr">
        <is>
          <t>2 - 3 Năm</t>
        </is>
      </c>
      <c r="L7857" s="8">
        <f>HYPERLINK("https://careerviet.vn/vi/tim-viec-lam/ki-thuat-ung-dung-do-an.35C6BAB5.html","Xem chi tiết")</f>
        <v/>
      </c>
    </row>
    <row r="7858">
      <c r="B7858" s="9" t="n">
        <v>7856</v>
      </c>
      <c r="C7858" s="10" t="inlineStr">
        <is>
          <t>Trực Tổng Đài  Viettel Hòa Lạc Hà Nội</t>
        </is>
      </c>
      <c r="D7858" s="10" t="inlineStr">
        <is>
          <t>CÔNG TY CỔ PHẦN TRUYỀN THÔNG KIM CƯƠNG</t>
        </is>
      </c>
      <c r="E7858" s="10" t="inlineStr">
        <is>
          <t>Lương:8 Tr - 12 Tr VND</t>
        </is>
      </c>
      <c r="F7858" s="10" t="inlineStr">
        <is>
          <t>Hà Nội</t>
        </is>
      </c>
      <c r="G7858" s="10" t="inlineStr">
        <is>
          <t>16-03-2026</t>
        </is>
      </c>
      <c r="H7858" s="10" t="inlineStr">
        <is>
          <t>10/03/2026</t>
        </is>
      </c>
      <c r="I7858" s="10" t="inlineStr">
        <is>
          <t>17/03/2026</t>
        </is>
      </c>
      <c r="J7858" s="10" t="inlineStr">
        <is>
          <t>Dịch vụ khách hàng, Tư vấn</t>
        </is>
      </c>
      <c r="K7858" s="10" t="inlineStr">
        <is>
          <t>N/A</t>
        </is>
      </c>
      <c r="L7858" s="11">
        <f>HYPERLINK("https://careerviet.vn/vi/tim-viec-lam/truc-tong-dai-viettel-hoa-lac-ha-noi.35C6BC0B.html","Xem chi tiết")</f>
        <v/>
      </c>
      <c r="M7858" s="10" t="n"/>
    </row>
    <row r="7859">
      <c r="B7859" s="7" t="n">
        <v>7857</v>
      </c>
      <c r="C7859" t="inlineStr">
        <is>
          <t>Thủ Kho</t>
        </is>
      </c>
      <c r="D7859" t="inlineStr">
        <is>
          <t>Orioled Hub</t>
        </is>
      </c>
      <c r="E7859" t="inlineStr">
        <is>
          <t>Lương:Cạnh tranh</t>
        </is>
      </c>
      <c r="F7859" t="inlineStr">
        <is>
          <t>Bà Rịa - Vũng Tàu</t>
        </is>
      </c>
      <c r="G7859" t="inlineStr">
        <is>
          <t>30-04-2026</t>
        </is>
      </c>
      <c r="H7859" t="inlineStr">
        <is>
          <t>30/04/2026</t>
        </is>
      </c>
      <c r="I7859" t="inlineStr">
        <is>
          <t>17/03/2026</t>
        </is>
      </c>
      <c r="J7859" t="inlineStr">
        <is>
          <t>Dược phẩm/ Hóa Mỹ Phẩm, Vận chuyển / Giao nhận / Kho vận, Sản xuất / Vận hành sản xuất</t>
        </is>
      </c>
      <c r="K7859" t="inlineStr">
        <is>
          <t>1 - 2 Năm</t>
        </is>
      </c>
      <c r="L7859" s="8">
        <f>HYPERLINK("https://careerviet.vn/vi/tim-viec-lam/thu-kho.35C6BC2B.html","Xem chi tiết")</f>
        <v/>
      </c>
    </row>
    <row r="7860">
      <c r="B7860" s="9" t="n">
        <v>7858</v>
      </c>
      <c r="C7860" s="10" t="inlineStr">
        <is>
          <t>Trưởng nhóm tuyển dụng đào tạo(Mới)</t>
        </is>
      </c>
      <c r="D7860" s="10" t="inlineStr">
        <is>
          <t>Viet Han Concrete JSC.,</t>
        </is>
      </c>
      <c r="E7860" s="10" t="inlineStr">
        <is>
          <t>Lương:15 Tr - 18 Tr VND</t>
        </is>
      </c>
      <c r="F7860" s="10" t="inlineStr">
        <is>
          <t>Hồ Chí Minh</t>
        </is>
      </c>
      <c r="G7860" s="10" t="inlineStr">
        <is>
          <t>31-03-2026</t>
        </is>
      </c>
      <c r="H7860" s="10" t="inlineStr">
        <is>
          <t>31/03/2026</t>
        </is>
      </c>
      <c r="I7860" s="10" t="inlineStr">
        <is>
          <t>17/03/2026</t>
        </is>
      </c>
      <c r="J7860" s="10" t="inlineStr">
        <is>
          <t>Nhân sự</t>
        </is>
      </c>
      <c r="K7860" s="10" t="inlineStr">
        <is>
          <t>3 - 5 Năm</t>
        </is>
      </c>
      <c r="L7860" s="11">
        <f>HYPERLINK("https://careerviet.vn/vi/tim-viec-lam/truong-nhom-tuyen-dung-dao-tao.35C6CD4B.html","Xem chi tiết")</f>
        <v/>
      </c>
      <c r="M7860" s="10" t="n"/>
    </row>
    <row r="7861">
      <c r="B7861" s="7" t="n">
        <v>7859</v>
      </c>
      <c r="C7861" t="inlineStr">
        <is>
          <t>Chuyên Viên Tài Chính - Nguồn Vốn</t>
        </is>
      </c>
      <c r="D7861" t="inlineStr">
        <is>
          <t>CÔNG TY CỔ PHẦN TẬP ĐOÀN XÂY DỰNG HÒA BÌNH</t>
        </is>
      </c>
      <c r="E7861" t="inlineStr">
        <is>
          <t>Lương:Cạnh tranh</t>
        </is>
      </c>
      <c r="F7861" t="inlineStr">
        <is>
          <t>Hồ Chí Minh</t>
        </is>
      </c>
      <c r="G7861" t="inlineStr">
        <is>
          <t>04-04-2026</t>
        </is>
      </c>
      <c r="H7861" t="inlineStr">
        <is>
          <t>04/04/2026</t>
        </is>
      </c>
      <c r="I7861" t="inlineStr">
        <is>
          <t>17/03/2026</t>
        </is>
      </c>
      <c r="J7861" t="inlineStr">
        <is>
          <t>Xây dựng, Tài chính / Đầu tư, Kế toán / Kiểm toán</t>
        </is>
      </c>
      <c r="K7861" t="inlineStr">
        <is>
          <t>1 - 3 Năm</t>
        </is>
      </c>
      <c r="L7861" s="8">
        <f>HYPERLINK("https://careerviet.vn/vi/tim-viec-lam/chuyen-vien-tai-chinh-nguon-von.35C6AB2F.html","Xem chi tiết")</f>
        <v/>
      </c>
    </row>
    <row r="7862">
      <c r="B7862" s="9" t="n">
        <v>7860</v>
      </c>
      <c r="C7862" s="10" t="inlineStr">
        <is>
          <t>Trực Tổng Đài Videocall Viettel Hòa Lạc Hà Nội</t>
        </is>
      </c>
      <c r="D7862" s="10" t="inlineStr">
        <is>
          <t>CÔNG TY CỔ PHẦN TRUYỀN THÔNG KIM CƯƠNG</t>
        </is>
      </c>
      <c r="E7862" s="10" t="inlineStr">
        <is>
          <t>Lương:8 Tr - 12 Tr VND</t>
        </is>
      </c>
      <c r="F7862" s="10" t="inlineStr">
        <is>
          <t>Hà Nội</t>
        </is>
      </c>
      <c r="G7862" s="10" t="inlineStr">
        <is>
          <t>16-03-2026</t>
        </is>
      </c>
      <c r="H7862" s="10" t="inlineStr">
        <is>
          <t>10/03/2026</t>
        </is>
      </c>
      <c r="I7862" s="10" t="inlineStr">
        <is>
          <t>17/03/2026</t>
        </is>
      </c>
      <c r="J7862" s="10" t="inlineStr">
        <is>
          <t>Dịch vụ khách hàng, Tư vấn</t>
        </is>
      </c>
      <c r="K7862" s="10" t="inlineStr">
        <is>
          <t>N/A</t>
        </is>
      </c>
      <c r="L7862" s="11">
        <f>HYPERLINK("https://careerviet.vn/vi/tim-viec-lam/truc-tong-dai-videocall-viettel-hoa-lac-ha-noi.35C6BC11.html","Xem chi tiết")</f>
        <v/>
      </c>
      <c r="M7862" s="10" t="n"/>
    </row>
    <row r="7863">
      <c r="B7863" s="7" t="n">
        <v>7861</v>
      </c>
      <c r="C7863" t="inlineStr">
        <is>
          <t>KỸ SƯ CƠ KHÍ CHẾ TẠO MÁY</t>
        </is>
      </c>
      <c r="D7863" t="inlineStr">
        <is>
          <t>CÔNG TY TNHH PRECIV</t>
        </is>
      </c>
      <c r="E7863" t="inlineStr">
        <is>
          <t>Lương:12 Tr - 17 Tr VND</t>
        </is>
      </c>
      <c r="F7863" t="inlineStr">
        <is>
          <t>Bình Dương</t>
        </is>
      </c>
      <c r="G7863" t="inlineStr">
        <is>
          <t>30-04-2026</t>
        </is>
      </c>
      <c r="H7863" t="inlineStr">
        <is>
          <t>30/04/2026</t>
        </is>
      </c>
      <c r="I7863" t="inlineStr">
        <is>
          <t>17/03/2026</t>
        </is>
      </c>
      <c r="J7863" t="inlineStr">
        <is>
          <t>Cơ khí / Ô tô / Tự động hóa, Sản xuất / Vận hành sản xuất, Mỹ thuật / Nghệ thuật / Thiết kế</t>
        </is>
      </c>
      <c r="K7863" t="inlineStr">
        <is>
          <t>Chưa có kinh nghiệm</t>
        </is>
      </c>
      <c r="L7863" s="8">
        <f>HYPERLINK("https://careerviet.vn/vi/tim-viec-lam/ky-su-co-khi-che-tao-may.35C6BBD1.html","Xem chi tiết")</f>
        <v/>
      </c>
    </row>
    <row r="7864">
      <c r="B7864" s="9" t="n">
        <v>7862</v>
      </c>
      <c r="C7864" s="10" t="inlineStr">
        <is>
          <t>[Hà Nội] Store Manager - Cửa hàng trưởng - Quận Hà Đông, Tây Hồ</t>
        </is>
      </c>
      <c r="D7864" s="10" t="inlineStr">
        <is>
          <t>Starbucks Vietnam</t>
        </is>
      </c>
      <c r="E7864" s="10" t="inlineStr">
        <is>
          <t>Lương:Cạnh tranh</t>
        </is>
      </c>
      <c r="F7864" s="10" t="inlineStr">
        <is>
          <t>Hà Nội</t>
        </is>
      </c>
      <c r="G7864" s="10" t="inlineStr">
        <is>
          <t>10-04-2026</t>
        </is>
      </c>
      <c r="H7864" s="10" t="inlineStr">
        <is>
          <t>10/04/2026</t>
        </is>
      </c>
      <c r="I7864" s="10" t="inlineStr">
        <is>
          <t>17/03/2026</t>
        </is>
      </c>
      <c r="J7864" s="10" t="inlineStr">
        <is>
          <t>Bán lẻ / Bán sỉ, Thực phẩm &amp; Đồ uống, Nhà hàng / Khách sạn</t>
        </is>
      </c>
      <c r="K7864" s="10" t="inlineStr">
        <is>
          <t>2 - 3 Năm</t>
        </is>
      </c>
      <c r="L7864" s="11">
        <f>HYPERLINK("https://careerviet.vn/vi/tim-viec-lam/ha-noi-store-manager-cua-hang-truong-quan-ha-dong-tay-ho.35C6BBAE.html","Xem chi tiết")</f>
        <v/>
      </c>
      <c r="M7864" s="10" t="n"/>
    </row>
    <row r="7865">
      <c r="B7865" s="7" t="n">
        <v>7863</v>
      </c>
      <c r="C7865" t="inlineStr">
        <is>
          <t>Nhân Viên Kho</t>
        </is>
      </c>
      <c r="D7865" t="inlineStr">
        <is>
          <t>Công ty TNHH Thương mại Dịch vụ và Đầu tư Thế giới phẳng (Flatworld)</t>
        </is>
      </c>
      <c r="E7865" t="inlineStr">
        <is>
          <t>Lương:9 Tr - 12 Tr VND</t>
        </is>
      </c>
      <c r="F7865" t="inlineStr">
        <is>
          <t>Hà Nội</t>
        </is>
      </c>
      <c r="G7865" t="inlineStr">
        <is>
          <t>10-04-2026</t>
        </is>
      </c>
      <c r="H7865" t="inlineStr">
        <is>
          <t>10/04/2026</t>
        </is>
      </c>
      <c r="I7865" t="inlineStr">
        <is>
          <t>17/03/2026</t>
        </is>
      </c>
      <c r="J7865" t="inlineStr">
        <is>
          <t>Vận chuyển / Giao nhận / Kho vận, Hành chính / Thư ký, Lao động phổ thông</t>
        </is>
      </c>
      <c r="K7865" t="inlineStr">
        <is>
          <t>N/A</t>
        </is>
      </c>
      <c r="L7865" s="8">
        <f>HYPERLINK("https://careerviet.vn/vi/tim-viec-lam/nhan-vien-kho.35C6BBB9.html","Xem chi tiết")</f>
        <v/>
      </c>
    </row>
    <row r="7866">
      <c r="B7866" s="9" t="n">
        <v>7864</v>
      </c>
      <c r="C7866" s="10" t="inlineStr">
        <is>
          <t>QC Executive</t>
        </is>
      </c>
      <c r="D7866" s="10" t="inlineStr">
        <is>
          <t>Công Ty Liên Doanh Orana Viet Nam</t>
        </is>
      </c>
      <c r="E7866" s="10" t="inlineStr">
        <is>
          <t>Lương:Cạnh tranh</t>
        </is>
      </c>
      <c r="F7866" s="10" t="inlineStr">
        <is>
          <t>Hồ Chí Minh</t>
        </is>
      </c>
      <c r="G7866" s="10" t="inlineStr">
        <is>
          <t>10-04-2026</t>
        </is>
      </c>
      <c r="H7866" s="10" t="inlineStr">
        <is>
          <t>10/04/2026</t>
        </is>
      </c>
      <c r="I7866" s="10" t="inlineStr">
        <is>
          <t>17/03/2026</t>
        </is>
      </c>
      <c r="J7866" s="10" t="inlineStr">
        <is>
          <t>Quản lý chất lượng (QA/QC)</t>
        </is>
      </c>
      <c r="K7866" s="10" t="inlineStr">
        <is>
          <t>4 - 7 Năm</t>
        </is>
      </c>
      <c r="L7866" s="11">
        <f>HYPERLINK("https://careerviet.vn/vi/tim-viec-lam/qc-executive.35C6BC0D.html","Xem chi tiết")</f>
        <v/>
      </c>
      <c r="M7866" s="10" t="n"/>
    </row>
    <row r="7867">
      <c r="B7867" s="7" t="n">
        <v>7865</v>
      </c>
      <c r="C7867" t="inlineStr">
        <is>
          <t>Trưởng Phòng Hành Chính Nhân Sự (Lĩnh vực Xây dựng)</t>
        </is>
      </c>
      <c r="D7867" t="inlineStr">
        <is>
          <t>CÔNG TY CỔ PHẦN ĐẦU TƯ TÂN ĐẠI LONG</t>
        </is>
      </c>
      <c r="E7867" t="inlineStr">
        <is>
          <t>Lương:30 Tr - 40 Tr VND</t>
        </is>
      </c>
      <c r="F7867" t="inlineStr">
        <is>
          <t>Hà Nội</t>
        </is>
      </c>
      <c r="G7867" t="inlineStr">
        <is>
          <t>15-04-2026</t>
        </is>
      </c>
      <c r="H7867" t="inlineStr">
        <is>
          <t>15/04/2026</t>
        </is>
      </c>
      <c r="I7867" t="inlineStr">
        <is>
          <t>17/03/2026</t>
        </is>
      </c>
      <c r="J7867" t="inlineStr">
        <is>
          <t>Hành chính / Thư ký, Quản lý điều hành, Nhân sự</t>
        </is>
      </c>
      <c r="K7867" t="inlineStr">
        <is>
          <t>Trên 5 Năm</t>
        </is>
      </c>
      <c r="L7867" s="8">
        <f>HYPERLINK("https://careerviet.vn/vi/tim-viec-lam/truong-phong-hanh-chinh-nhan-su-linh-vuc-xay-dung.35C6BBA3.html","Xem chi tiết")</f>
        <v/>
      </c>
    </row>
    <row r="7868">
      <c r="B7868" s="9" t="n">
        <v>7866</v>
      </c>
      <c r="C7868" s="10" t="inlineStr">
        <is>
          <t>Nhân viên kế toán</t>
        </is>
      </c>
      <c r="D7868" s="10" t="inlineStr">
        <is>
          <t>CÔNG TY CỔ PHẦN MILTON</t>
        </is>
      </c>
      <c r="E7868" s="10" t="inlineStr">
        <is>
          <t>Lương:12 Tr - 15 Tr VND</t>
        </is>
      </c>
      <c r="F7868" s="10" t="inlineStr">
        <is>
          <t>Hồ Chí Minh</t>
        </is>
      </c>
      <c r="G7868" s="10" t="inlineStr">
        <is>
          <t>16-03-2026</t>
        </is>
      </c>
      <c r="H7868" s="10" t="inlineStr">
        <is>
          <t>10/03/2026</t>
        </is>
      </c>
      <c r="I7868" s="10" t="inlineStr">
        <is>
          <t>17/03/2026</t>
        </is>
      </c>
      <c r="J7868" s="10" t="inlineStr">
        <is>
          <t>Kế toán / Kiểm toán</t>
        </is>
      </c>
      <c r="K7868" s="10" t="inlineStr">
        <is>
          <t>3 - 10 Năm</t>
        </is>
      </c>
      <c r="L7868" s="11">
        <f>HYPERLINK("https://careerviet.vn/vi/tim-viec-lam/nhan-vien-ke-toan.35C6BBD7.html","Xem chi tiết")</f>
        <v/>
      </c>
      <c r="M7868" s="10" t="n"/>
    </row>
    <row r="7869">
      <c r="B7869" s="7" t="n">
        <v>7867</v>
      </c>
      <c r="C7869" t="inlineStr">
        <is>
          <t>Design Coordination</t>
        </is>
      </c>
      <c r="D7869" t="inlineStr">
        <is>
          <t>Công ty TNHH Phát triển Phú Mỹ Hưng</t>
        </is>
      </c>
      <c r="E7869" t="inlineStr">
        <is>
          <t>Lương:Cạnh tranh</t>
        </is>
      </c>
      <c r="F7869" t="inlineStr">
        <is>
          <t>Hồ Chí Minh</t>
        </is>
      </c>
      <c r="G7869" t="inlineStr">
        <is>
          <t>31-03-2026</t>
        </is>
      </c>
      <c r="H7869" t="inlineStr">
        <is>
          <t>31/03/2026</t>
        </is>
      </c>
      <c r="I7869" t="inlineStr">
        <is>
          <t>17/03/2026</t>
        </is>
      </c>
      <c r="J7869" t="inlineStr">
        <is>
          <t>Kiến trúc</t>
        </is>
      </c>
      <c r="K7869" t="inlineStr">
        <is>
          <t>N/A</t>
        </is>
      </c>
      <c r="L7869" s="8">
        <f>HYPERLINK("https://careerviet.vn/vi/tim-viec-lam/design-coordination.35C6BBD6.html","Xem chi tiết")</f>
        <v/>
      </c>
    </row>
    <row r="7870">
      <c r="B7870" s="9" t="n">
        <v>7868</v>
      </c>
      <c r="C7870" s="10" t="inlineStr">
        <is>
          <t>Kỹ sư điện</t>
        </is>
      </c>
      <c r="D7870" s="10" t="inlineStr">
        <is>
          <t>Công ty cổ phần Tập đoàn Trường Thành Việt Nam</t>
        </is>
      </c>
      <c r="E7870" s="10" t="inlineStr">
        <is>
          <t>Lương:30 Tr - 35 Tr VND</t>
        </is>
      </c>
      <c r="F7870" s="10" t="inlineStr">
        <is>
          <t>Hà Nội</t>
        </is>
      </c>
      <c r="G7870" s="10" t="inlineStr">
        <is>
          <t>09-04-2026</t>
        </is>
      </c>
      <c r="H7870" s="10" t="inlineStr">
        <is>
          <t>09/04/2026</t>
        </is>
      </c>
      <c r="I7870" s="10" t="inlineStr">
        <is>
          <t>17/03/2026</t>
        </is>
      </c>
      <c r="J7870" s="10" t="inlineStr">
        <is>
          <t>Điện / Điện tử / Điện lạnh / Điện công nghiệp, Xây dựng</t>
        </is>
      </c>
      <c r="K7870" s="10" t="inlineStr">
        <is>
          <t>5 - 7 Năm</t>
        </is>
      </c>
      <c r="L7870" s="11">
        <f>HYPERLINK("https://careerviet.vn/vi/tim-viec-lam/ky-su-dien.35C6BBC6.html","Xem chi tiết")</f>
        <v/>
      </c>
      <c r="M7870" s="10" t="n"/>
    </row>
    <row r="7871">
      <c r="B7871" s="7" t="n">
        <v>7869</v>
      </c>
      <c r="C7871" t="inlineStr">
        <is>
          <t>KỸ SƯ HỆ THỐNG (System Engineer)</t>
        </is>
      </c>
      <c r="D7871" t="inlineStr">
        <is>
          <t>CÔNG TY TNHH TÍCH HỢP HỆ THỐNG NHT</t>
        </is>
      </c>
      <c r="E7871" t="inlineStr">
        <is>
          <t>Lương:15 Tr - 25 Tr VND</t>
        </is>
      </c>
      <c r="F7871" t="inlineStr">
        <is>
          <t>Kiên Giang</t>
        </is>
      </c>
      <c r="G7871" t="inlineStr">
        <is>
          <t>13-04-2026</t>
        </is>
      </c>
      <c r="H7871" t="inlineStr">
        <is>
          <t>13/04/2026</t>
        </is>
      </c>
      <c r="I7871" t="inlineStr">
        <is>
          <t>17/03/2026</t>
        </is>
      </c>
      <c r="J7871" t="inlineStr">
        <is>
          <t>Điện / Điện tử / Điện lạnh / Điện công nghiệp, CNTT - Phần mềm, CNTT - Phần cứng / Mạng</t>
        </is>
      </c>
      <c r="K7871" t="inlineStr">
        <is>
          <t>Trên 1 Năm</t>
        </is>
      </c>
      <c r="L7871" s="8">
        <f>HYPERLINK("https://careerviet.vn/vi/tim-viec-lam/ky-su-he-thong-system-engineer.35C6BAF4.html","Xem chi tiết")</f>
        <v/>
      </c>
    </row>
    <row r="7872">
      <c r="B7872" s="9" t="n">
        <v>7870</v>
      </c>
      <c r="C7872" s="10" t="inlineStr">
        <is>
          <t>TRƯỞNG NHÓM DIGITAL MARKETING/ DIGITAL MARKETING TEAM LEADER</t>
        </is>
      </c>
      <c r="D7872" s="10" t="inlineStr">
        <is>
          <t>CÔNG TY TNHH NHA KHOA I-DENT</t>
        </is>
      </c>
      <c r="E7872" s="10" t="inlineStr">
        <is>
          <t>Lương:18 Tr - 30 Tr VND</t>
        </is>
      </c>
      <c r="F7872" s="10" t="inlineStr">
        <is>
          <t>Hồ Chí Minh</t>
        </is>
      </c>
      <c r="G7872" s="10" t="inlineStr">
        <is>
          <t>11-04-2026</t>
        </is>
      </c>
      <c r="H7872" s="10" t="inlineStr">
        <is>
          <t>11/04/2026</t>
        </is>
      </c>
      <c r="I7872" s="10" t="inlineStr">
        <is>
          <t>17/03/2026</t>
        </is>
      </c>
      <c r="J7872" s="10" t="inlineStr">
        <is>
          <t>Tiếp thị / Marketing, Tiếp thị trực tuyến, Bán hàng / Kinh doanh</t>
        </is>
      </c>
      <c r="K7872" s="10" t="inlineStr">
        <is>
          <t>1 - 3 Năm</t>
        </is>
      </c>
      <c r="L7872" s="11">
        <f>HYPERLINK("https://careerviet.vn/vi/tim-viec-lam/truong-nhom-digital-marketing-digital-marketing-team-leader.35C6BA8E.html","Xem chi tiết")</f>
        <v/>
      </c>
      <c r="M7872" s="10" t="n"/>
    </row>
    <row r="7873">
      <c r="B7873" s="7" t="n">
        <v>7871</v>
      </c>
      <c r="C7873" t="inlineStr">
        <is>
          <t>Nhân Viên Bán Hàng Thời Trang (Bắc Giang)</t>
        </is>
      </c>
      <c r="D7873" t="inlineStr">
        <is>
          <t>Công Ty Cổ Phần Tập Đoàn Thời Trang Việt Nam</t>
        </is>
      </c>
      <c r="E7873" t="inlineStr">
        <is>
          <t>Lương:Cạnh tranh</t>
        </is>
      </c>
      <c r="F7873" t="inlineStr">
        <is>
          <t>Bắc Giang</t>
        </is>
      </c>
      <c r="G7873" t="inlineStr">
        <is>
          <t>10-04-2026</t>
        </is>
      </c>
      <c r="H7873" t="inlineStr">
        <is>
          <t>10/04/2026</t>
        </is>
      </c>
      <c r="I7873" t="inlineStr">
        <is>
          <t>17/03/2026</t>
        </is>
      </c>
      <c r="J7873" t="inlineStr">
        <is>
          <t>Bán lẻ / Bán sỉ</t>
        </is>
      </c>
      <c r="K7873" t="inlineStr">
        <is>
          <t>N/A</t>
        </is>
      </c>
      <c r="L7873" s="8">
        <f>HYPERLINK("https://careerviet.vn/vi/tim-viec-lam/nhan-vien-ban-hang-thoi-trang-bac-giang.35C6BB84.html","Xem chi tiết")</f>
        <v/>
      </c>
    </row>
    <row r="7874">
      <c r="B7874" s="9" t="n">
        <v>7872</v>
      </c>
      <c r="C7874" s="10" t="inlineStr">
        <is>
          <t>Chăm sóc khách hàng Ví điện tử ShopeePay</t>
        </is>
      </c>
      <c r="D7874" s="10" t="inlineStr">
        <is>
          <t>Công Ty TNHH Việt Mỹ-SSU</t>
        </is>
      </c>
      <c r="E7874" s="10" t="inlineStr">
        <is>
          <t>Lương:6,9 Tr - 8,7 Tr VND</t>
        </is>
      </c>
      <c r="F7874" s="10" t="inlineStr">
        <is>
          <t>Hồ Chí Minh</t>
        </is>
      </c>
      <c r="G7874" s="10" t="inlineStr">
        <is>
          <t>10-04-2026</t>
        </is>
      </c>
      <c r="H7874" s="10" t="inlineStr">
        <is>
          <t>10/04/2026</t>
        </is>
      </c>
      <c r="I7874" s="10" t="inlineStr">
        <is>
          <t>17/03/2026</t>
        </is>
      </c>
      <c r="J7874" s="10" t="inlineStr">
        <is>
          <t>Tư vấn, Dịch vụ khách hàng, Tiếp thị trực tuyến</t>
        </is>
      </c>
      <c r="K7874" s="10" t="inlineStr">
        <is>
          <t>N/A</t>
        </is>
      </c>
      <c r="L7874" s="11">
        <f>HYPERLINK("https://careerviet.vn/vi/tim-viec-lam/cham-soc-khach-hang-vi-dien-tu-shopeepay.35C6BAEB.html","Xem chi tiết")</f>
        <v/>
      </c>
      <c r="M7874" s="10" t="n"/>
    </row>
    <row r="7875">
      <c r="B7875" s="7" t="n">
        <v>7873</v>
      </c>
      <c r="C7875" t="inlineStr">
        <is>
          <t>Data Governance</t>
        </is>
      </c>
      <c r="D7875" t="inlineStr">
        <is>
          <t>CÔNG TY TNHH BẢO HIỂM NHÂN THỌ MB AGEAS</t>
        </is>
      </c>
      <c r="E7875" t="inlineStr">
        <is>
          <t>Lương:Cạnh tranh</t>
        </is>
      </c>
      <c r="F7875" t="inlineStr">
        <is>
          <t>Hà Nội</t>
        </is>
      </c>
      <c r="G7875" t="inlineStr">
        <is>
          <t>30-05-2026</t>
        </is>
      </c>
      <c r="H7875" t="inlineStr">
        <is>
          <t>30/05/2026</t>
        </is>
      </c>
      <c r="I7875" t="inlineStr">
        <is>
          <t>17/03/2026</t>
        </is>
      </c>
      <c r="J7875" t="inlineStr">
        <is>
          <t>CNTT - Phần mềm, Bảo hiểm, CNTT - Phần cứng / Mạng</t>
        </is>
      </c>
      <c r="K7875" t="inlineStr">
        <is>
          <t>Trên 5 Năm</t>
        </is>
      </c>
      <c r="L7875" s="8">
        <f>HYPERLINK("https://careerviet.vn/vi/tim-viec-lam/data-governance.35C6BB6F.html","Xem chi tiết")</f>
        <v/>
      </c>
    </row>
    <row r="7876">
      <c r="B7876" s="9" t="n">
        <v>7874</v>
      </c>
      <c r="C7876" s="10" t="inlineStr">
        <is>
          <t>NHÂN VIÊN BẢO TRÌ ĐIỆN TỰ ĐỘNG HÓA [Đi ca ngày đêm]</t>
        </is>
      </c>
      <c r="D7876" s="10" t="inlineStr">
        <is>
          <t>CÔNG TY TNHH CRYSTAL ELEGANCE TEXTILES VIỆT NAM</t>
        </is>
      </c>
      <c r="E7876" s="10" t="inlineStr">
        <is>
          <t>Lương:9 Tr - 13 Tr VND</t>
        </is>
      </c>
      <c r="F7876" s="10" t="inlineStr">
        <is>
          <t>Bình Dương</t>
        </is>
      </c>
      <c r="G7876" s="10" t="inlineStr">
        <is>
          <t>30-04-2026</t>
        </is>
      </c>
      <c r="H7876" s="10" t="inlineStr">
        <is>
          <t>30/04/2026</t>
        </is>
      </c>
      <c r="I7876" s="10" t="inlineStr">
        <is>
          <t>17/03/2026</t>
        </is>
      </c>
      <c r="J7876" s="10" t="inlineStr">
        <is>
          <t>Cơ khí / Ô tô / Tự động hóa, Điện / Điện tử / Điện lạnh / Điện công nghiệp, Bảo trì / Sửa chữa</t>
        </is>
      </c>
      <c r="K7876" s="10" t="inlineStr">
        <is>
          <t>1 - 5 Năm</t>
        </is>
      </c>
      <c r="L7876" s="11">
        <f>HYPERLINK("https://careerviet.vn/vi/tim-viec-lam/nhan-vien-bao-tri-dien-tu-dong-hoa-di-ca-ngay-dem.35C6BBC3.html","Xem chi tiết")</f>
        <v/>
      </c>
      <c r="M7876" s="10" t="n"/>
    </row>
    <row r="7877">
      <c r="B7877" s="7" t="n">
        <v>7875</v>
      </c>
      <c r="C7877" t="inlineStr">
        <is>
          <t>Giám Sát Ca / Shift Supervisor - Quận Hà Đông, Tây Hồ, Đống Đa, Hoàn Kiếm, Ba Đình, Cầu Giấy - Hà Nội</t>
        </is>
      </c>
      <c r="D7877" t="inlineStr">
        <is>
          <t>Starbucks Vietnam</t>
        </is>
      </c>
      <c r="E7877" t="inlineStr">
        <is>
          <t>Lương:Cạnh tranh</t>
        </is>
      </c>
      <c r="F7877" t="inlineStr">
        <is>
          <t>Hà Nội</t>
        </is>
      </c>
      <c r="G7877" t="inlineStr">
        <is>
          <t>10-04-2026</t>
        </is>
      </c>
      <c r="H7877" t="inlineStr">
        <is>
          <t>10/04/2026</t>
        </is>
      </c>
      <c r="I7877" t="inlineStr">
        <is>
          <t>17/03/2026</t>
        </is>
      </c>
      <c r="J7877" t="inlineStr">
        <is>
          <t>Bán lẻ / Bán sỉ, Thực phẩm &amp; Đồ uống, Nhà hàng / Khách sạn</t>
        </is>
      </c>
      <c r="K7877" t="inlineStr">
        <is>
          <t>2 - 4 Năm</t>
        </is>
      </c>
      <c r="L7877" s="8">
        <f>HYPERLINK("https://careerviet.vn/vi/tim-viec-lam/giam-sat-ca-shift-supervisor-quan-ha-dong-tay-ho-dong-da-hoan-kiem-ba-dinh-cau-giay-ha-noi.35C6BB99.html","Xem chi tiết")</f>
        <v/>
      </c>
    </row>
    <row r="7878">
      <c r="B7878" s="9" t="n">
        <v>7876</v>
      </c>
      <c r="C7878" s="10" t="inlineStr">
        <is>
          <t>Business Analyst (Data/BI/Big Data)</t>
        </is>
      </c>
      <c r="D7878" s="10" t="inlineStr">
        <is>
          <t>CÔNG TY TNHH BẢO HIỂM NHÂN THỌ MB AGEAS</t>
        </is>
      </c>
      <c r="E7878" s="10" t="inlineStr">
        <is>
          <t>Lương:Cạnh tranh</t>
        </is>
      </c>
      <c r="F7878" s="10" t="inlineStr">
        <is>
          <t>Hà Nội</t>
        </is>
      </c>
      <c r="G7878" s="10" t="inlineStr">
        <is>
          <t>30-05-2026</t>
        </is>
      </c>
      <c r="H7878" s="10" t="inlineStr">
        <is>
          <t>30/05/2026</t>
        </is>
      </c>
      <c r="I7878" s="10" t="inlineStr">
        <is>
          <t>17/03/2026</t>
        </is>
      </c>
      <c r="J7878" s="10" t="inlineStr">
        <is>
          <t>CNTT - Phần mềm, Bảo hiểm, CNTT - Phần cứng / Mạng</t>
        </is>
      </c>
      <c r="K7878" s="10" t="inlineStr">
        <is>
          <t>Trên 5 Năm</t>
        </is>
      </c>
      <c r="L7878" s="11">
        <f>HYPERLINK("https://careerviet.vn/vi/tim-viec-lam/business-analyst-data-bi-big-data.35C6BB73.html","Xem chi tiết")</f>
        <v/>
      </c>
      <c r="M7878" s="10" t="n"/>
    </row>
    <row r="7879">
      <c r="B7879" s="7" t="n">
        <v>7877</v>
      </c>
      <c r="C7879" t="inlineStr">
        <is>
          <t>Giảng Viên Quản Trị Mạng Và Quản Trị Hệ Thống (Full-time)</t>
        </is>
      </c>
      <c r="D7879" t="inlineStr">
        <is>
          <t>Chương trình Học viện Công nghệ BKACAD</t>
        </is>
      </c>
      <c r="E7879" t="inlineStr">
        <is>
          <t>Lương:20 Tr - 60 Tr VND</t>
        </is>
      </c>
      <c r="F7879" t="inlineStr">
        <is>
          <t>Hà Nội</t>
        </is>
      </c>
      <c r="G7879" t="inlineStr">
        <is>
          <t>31-03-2026</t>
        </is>
      </c>
      <c r="H7879" t="inlineStr">
        <is>
          <t>31/03/2026</t>
        </is>
      </c>
      <c r="I7879" t="inlineStr">
        <is>
          <t>17/03/2026</t>
        </is>
      </c>
      <c r="J7879" t="inlineStr">
        <is>
          <t>Giáo dục / Đào tạo, CNTT - Phần mềm, CNTT - Phần cứng / Mạng</t>
        </is>
      </c>
      <c r="K7879" t="inlineStr">
        <is>
          <t>N/A</t>
        </is>
      </c>
      <c r="L7879" s="8">
        <f>HYPERLINK("https://careerviet.vn/vi/tim-viec-lam/giang-vien-quan-tri-mang-va-quan-tri-he-thong-full-time.35C6BB4E.html","Xem chi tiết")</f>
        <v/>
      </c>
    </row>
    <row r="7880">
      <c r="B7880" s="9" t="n">
        <v>7878</v>
      </c>
      <c r="C7880" s="10" t="inlineStr">
        <is>
          <t>Nhân Viên Kỹ Thuật Bảo Trì</t>
        </is>
      </c>
      <c r="D7880" s="10" t="inlineStr">
        <is>
          <t>International Minh Viet Joint Stock Company</t>
        </is>
      </c>
      <c r="E7880" s="10" t="inlineStr">
        <is>
          <t>Lương:Cạnh tranh</t>
        </is>
      </c>
      <c r="F7880" s="10" t="inlineStr">
        <is>
          <t>Hồ Chí Minh</t>
        </is>
      </c>
      <c r="G7880" s="10" t="inlineStr">
        <is>
          <t>25-03-2026</t>
        </is>
      </c>
      <c r="H7880" s="10" t="inlineStr">
        <is>
          <t>25/03/2026</t>
        </is>
      </c>
      <c r="I7880" s="10" t="inlineStr">
        <is>
          <t>17/03/2026</t>
        </is>
      </c>
      <c r="J7880" s="10" t="inlineStr">
        <is>
          <t>Điện / Điện tử / Điện lạnh / Điện công nghiệp, Cơ khí / Ô tô / Tự động hóa</t>
        </is>
      </c>
      <c r="K7880" s="10" t="inlineStr">
        <is>
          <t>Chưa có kinh nghiệm</t>
        </is>
      </c>
      <c r="L7880" s="11">
        <f>HYPERLINK("https://careerviet.vn/vi/tim-viec-lam/nhan-vien-ky-thuat-bao-tri.35C6BBE9.html","Xem chi tiết")</f>
        <v/>
      </c>
      <c r="M7880" s="10" t="n"/>
    </row>
    <row r="7881">
      <c r="B7881" s="7" t="n">
        <v>7879</v>
      </c>
      <c r="C7881" t="inlineStr">
        <is>
          <t>Kỹ sư dệt may</t>
        </is>
      </c>
      <c r="D7881" t="inlineStr">
        <is>
          <t>Công Ty TNHH Nhãn Mác SMT (Việt Nam)</t>
        </is>
      </c>
      <c r="E7881" t="inlineStr">
        <is>
          <t>Lương:9 Tr - 15 Tr VND</t>
        </is>
      </c>
      <c r="F7881" t="inlineStr">
        <is>
          <t>Hồ Chí Minh</t>
        </is>
      </c>
      <c r="G7881" t="inlineStr">
        <is>
          <t>10-04-2026</t>
        </is>
      </c>
      <c r="H7881" t="inlineStr">
        <is>
          <t>10/04/2026</t>
        </is>
      </c>
      <c r="I7881" t="inlineStr">
        <is>
          <t>17/03/2026</t>
        </is>
      </c>
      <c r="J7881" t="inlineStr">
        <is>
          <t>Sản xuất / Vận hành sản xuất, Dệt may / Da giày / Thời trang</t>
        </is>
      </c>
      <c r="K7881" t="inlineStr">
        <is>
          <t>N/A</t>
        </is>
      </c>
      <c r="L7881" s="8">
        <f>HYPERLINK("https://careerviet.vn/vi/tim-viec-lam/ky-su-det-may.35C6BBAC.html","Xem chi tiết")</f>
        <v/>
      </c>
    </row>
    <row r="7882">
      <c r="B7882" s="9" t="n">
        <v>7880</v>
      </c>
      <c r="C7882" s="10" t="inlineStr">
        <is>
          <t>Phó phòng tài chính kế toán</t>
        </is>
      </c>
      <c r="D7882" s="10" t="inlineStr">
        <is>
          <t>CÔNG TY CP GOLDEN CITY</t>
        </is>
      </c>
      <c r="E7882" s="10" t="inlineStr">
        <is>
          <t>Lương:20 Tr - 30 Tr VND</t>
        </is>
      </c>
      <c r="F7882" s="10" t="inlineStr">
        <is>
          <t>Nghệ An</t>
        </is>
      </c>
      <c r="G7882" s="10" t="inlineStr">
        <is>
          <t>30-04-2026</t>
        </is>
      </c>
      <c r="H7882" s="10" t="inlineStr">
        <is>
          <t>30/04/2026</t>
        </is>
      </c>
      <c r="I7882" s="10" t="inlineStr">
        <is>
          <t>17/03/2026</t>
        </is>
      </c>
      <c r="J7882" s="10" t="inlineStr">
        <is>
          <t>Kế toán / Kiểm toán</t>
        </is>
      </c>
      <c r="K7882" s="10" t="inlineStr">
        <is>
          <t>3 - 5 Năm</t>
        </is>
      </c>
      <c r="L7882" s="11">
        <f>HYPERLINK("https://careerviet.vn/vi/tim-viec-lam/pho-phong-tai-chinh-ke-toan.35C6BBE3.html","Xem chi tiết")</f>
        <v/>
      </c>
      <c r="M7882" s="10" t="n"/>
    </row>
    <row r="7883">
      <c r="B7883" s="7" t="n">
        <v>7881</v>
      </c>
      <c r="C7883" t="inlineStr">
        <is>
          <t>Nhân viên kiểm đế</t>
        </is>
      </c>
      <c r="D7883" t="inlineStr">
        <is>
          <t>Công ty TNHH Sao Vàng</t>
        </is>
      </c>
      <c r="E7883" t="inlineStr">
        <is>
          <t>Lương:9 Tr - 13 Tr VND</t>
        </is>
      </c>
      <c r="F7883" t="inlineStr">
        <is>
          <t>Hải Phòng</t>
        </is>
      </c>
      <c r="G7883" t="inlineStr">
        <is>
          <t>10-04-2026</t>
        </is>
      </c>
      <c r="H7883" t="inlineStr">
        <is>
          <t>10/04/2026</t>
        </is>
      </c>
      <c r="I7883" t="inlineStr">
        <is>
          <t>17/03/2026</t>
        </is>
      </c>
      <c r="J7883" t="inlineStr">
        <is>
          <t>Quản lý chất lượng (QA/QC)</t>
        </is>
      </c>
      <c r="K7883" t="inlineStr">
        <is>
          <t>N/A</t>
        </is>
      </c>
      <c r="L7883" s="8">
        <f>HYPERLINK("https://careerviet.vn/vi/tim-viec-lam/nhan-vien-kiem-de.35C6BA67.html","Xem chi tiết")</f>
        <v/>
      </c>
    </row>
    <row r="7884">
      <c r="B7884" s="9" t="n">
        <v>7882</v>
      </c>
      <c r="C7884" s="10" t="inlineStr">
        <is>
          <t>Data Engineer</t>
        </is>
      </c>
      <c r="D7884" s="10" t="inlineStr">
        <is>
          <t>CÔNG TY TNHH BẢO HIỂM NHÂN THỌ MB AGEAS</t>
        </is>
      </c>
      <c r="E7884" s="10" t="inlineStr">
        <is>
          <t>Lương:Cạnh tranh</t>
        </is>
      </c>
      <c r="F7884" s="10" t="inlineStr">
        <is>
          <t>Hà Nội</t>
        </is>
      </c>
      <c r="G7884" s="10" t="inlineStr">
        <is>
          <t>30-05-2026</t>
        </is>
      </c>
      <c r="H7884" s="10" t="inlineStr">
        <is>
          <t>30/05/2026</t>
        </is>
      </c>
      <c r="I7884" s="10" t="inlineStr">
        <is>
          <t>17/03/2026</t>
        </is>
      </c>
      <c r="J7884" s="10" t="inlineStr">
        <is>
          <t>CNTT - Phần mềm, Ngân hàng, Bảo hiểm</t>
        </is>
      </c>
      <c r="K7884" s="10" t="inlineStr">
        <is>
          <t>Trên 5 Năm</t>
        </is>
      </c>
      <c r="L7884" s="11">
        <f>HYPERLINK("https://careerviet.vn/vi/tim-viec-lam/data-engineer.35C6BB72.html","Xem chi tiết")</f>
        <v/>
      </c>
      <c r="M7884" s="10" t="n"/>
    </row>
    <row r="7885">
      <c r="B7885" s="7" t="n">
        <v>7883</v>
      </c>
      <c r="C7885" t="inlineStr">
        <is>
          <t>Nhân Viên Bảo Trì Điện</t>
        </is>
      </c>
      <c r="D7885" t="inlineStr">
        <is>
          <t>Công ty TNHH Minh Long I</t>
        </is>
      </c>
      <c r="E7885" t="inlineStr">
        <is>
          <t>Lương:12 Tr - 13 Tr VND</t>
        </is>
      </c>
      <c r="F7885" t="inlineStr">
        <is>
          <t>Bình Dương</t>
        </is>
      </c>
      <c r="G7885" t="inlineStr">
        <is>
          <t>09-04-2026</t>
        </is>
      </c>
      <c r="H7885" t="inlineStr">
        <is>
          <t>09/04/2026</t>
        </is>
      </c>
      <c r="I7885" t="inlineStr">
        <is>
          <t>17/03/2026</t>
        </is>
      </c>
      <c r="J7885" t="inlineStr">
        <is>
          <t>Cơ khí / Ô tô / Tự động hóa, Điện / Điện tử / Điện lạnh / Điện công nghiệp, Bảo trì / Sửa chữa</t>
        </is>
      </c>
      <c r="K7885" t="inlineStr">
        <is>
          <t>1 - 2 Năm</t>
        </is>
      </c>
      <c r="L7885" s="8">
        <f>HYPERLINK("https://careerviet.vn/vi/tim-viec-lam/nhan-vien-bao-tri-dien.35C6BB49.html","Xem chi tiết")</f>
        <v/>
      </c>
    </row>
    <row r="7886">
      <c r="B7886" s="9" t="n">
        <v>7884</v>
      </c>
      <c r="C7886" s="10" t="inlineStr">
        <is>
          <t>Nhân Viên Kế Toán Nhà Máy</t>
        </is>
      </c>
      <c r="D7886" s="10" t="inlineStr">
        <is>
          <t>Tập Đoàn An Phát Holdings</t>
        </is>
      </c>
      <c r="E7886" s="10" t="inlineStr">
        <is>
          <t>Lương:8 Tr - 12 Tr VND</t>
        </is>
      </c>
      <c r="F7886" s="10" t="inlineStr">
        <is>
          <t>Hải Dương</t>
        </is>
      </c>
      <c r="G7886" s="10" t="inlineStr">
        <is>
          <t>15-04-2026</t>
        </is>
      </c>
      <c r="H7886" s="10" t="inlineStr">
        <is>
          <t>15/04/2026</t>
        </is>
      </c>
      <c r="I7886" s="10" t="inlineStr">
        <is>
          <t>17/03/2026</t>
        </is>
      </c>
      <c r="J7886" s="10" t="inlineStr">
        <is>
          <t>Kế toán / Kiểm toán</t>
        </is>
      </c>
      <c r="K7886" s="10" t="inlineStr">
        <is>
          <t>1 - 3 Năm</t>
        </is>
      </c>
      <c r="L7886" s="11">
        <f>HYPERLINK("https://careerviet.vn/vi/tim-viec-lam/nhan-vien-ke-toan-nha-may.35C6BBC5.html","Xem chi tiết")</f>
        <v/>
      </c>
      <c r="M7886" s="10" t="n"/>
    </row>
    <row r="7887">
      <c r="B7887" s="7" t="n">
        <v>7885</v>
      </c>
      <c r="C7887" t="inlineStr">
        <is>
          <t>Kỹ sư giám sát điện</t>
        </is>
      </c>
      <c r="D7887" t="inlineStr">
        <is>
          <t>Công Ty TNHH Tư Vấn Đầu Tư Và Xây Dựng Quốc Tế (ICIC)</t>
        </is>
      </c>
      <c r="E7887" t="inlineStr">
        <is>
          <t>Lương:Cạnh tranh</t>
        </is>
      </c>
      <c r="F7887" t="inlineStr">
        <is>
          <t>Hồ Chí Minh</t>
        </is>
      </c>
      <c r="G7887" t="inlineStr">
        <is>
          <t>30-05-2026</t>
        </is>
      </c>
      <c r="H7887" t="inlineStr">
        <is>
          <t>30/05/2026</t>
        </is>
      </c>
      <c r="I7887" t="inlineStr">
        <is>
          <t>17/03/2026</t>
        </is>
      </c>
      <c r="J7887" t="inlineStr">
        <is>
          <t>Điện / Điện tử / Điện lạnh / Điện công nghiệp, Xây dựng</t>
        </is>
      </c>
      <c r="K7887" t="inlineStr">
        <is>
          <t>3 - 5 Năm</t>
        </is>
      </c>
      <c r="L7887" s="8">
        <f>HYPERLINK("https://careerviet.vn/vi/tim-viec-lam/ky-su-giam-sat-dien.35C6BAE6.html","Xem chi tiết")</f>
        <v/>
      </c>
    </row>
    <row r="7888">
      <c r="B7888" s="9" t="n">
        <v>7886</v>
      </c>
      <c r="C7888" s="10" t="inlineStr">
        <is>
          <t>Trưởng nhóm Chứng từ Hải Quan</t>
        </is>
      </c>
      <c r="D7888" s="10" t="inlineStr">
        <is>
          <t>Công ty Cổ phần Express Thành Đạt</t>
        </is>
      </c>
      <c r="E7888" s="10" t="inlineStr">
        <is>
          <t>Lương:15 Tr - 20 Tr VND</t>
        </is>
      </c>
      <c r="F7888" s="10" t="inlineStr">
        <is>
          <t>Hà Nội</t>
        </is>
      </c>
      <c r="G7888" s="10" t="inlineStr">
        <is>
          <t>31-03-2026</t>
        </is>
      </c>
      <c r="H7888" s="10" t="inlineStr">
        <is>
          <t>31/03/2026</t>
        </is>
      </c>
      <c r="I7888" s="10" t="inlineStr">
        <is>
          <t>17/03/2026</t>
        </is>
      </c>
      <c r="J7888" s="10" t="inlineStr">
        <is>
          <t>Xuất nhập khẩu, Vận chuyển / Giao nhận / Kho vận</t>
        </is>
      </c>
      <c r="K7888" s="10" t="inlineStr">
        <is>
          <t>1 - 2 Năm</t>
        </is>
      </c>
      <c r="L7888" s="11">
        <f>HYPERLINK("https://careerviet.vn/vi/tim-viec-lam/truong-nhom-chung-tu-hai-quan.35C6B7C0.html","Xem chi tiết")</f>
        <v/>
      </c>
      <c r="M7888" s="10" t="n"/>
    </row>
    <row r="7889">
      <c r="B7889" s="7" t="n">
        <v>7887</v>
      </c>
      <c r="C7889" t="inlineStr">
        <is>
          <t>CHUYÊN VIÊN KINH DOANH BĐS - Thu nhập 40tr++</t>
        </is>
      </c>
      <c r="D7889" t="inlineStr">
        <is>
          <t>Công ty TNHH Kinh doanh và Dịch vụ Bất động sản Realhomes</t>
        </is>
      </c>
      <c r="E7889" t="inlineStr">
        <is>
          <t>Lương:25 Tr - 45 Tr VND</t>
        </is>
      </c>
      <c r="F7889" t="inlineStr">
        <is>
          <t>Đà NẵngThanh HóaHà Nội</t>
        </is>
      </c>
      <c r="G7889" t="inlineStr">
        <is>
          <t>30-04-2026</t>
        </is>
      </c>
      <c r="H7889" t="inlineStr">
        <is>
          <t>30/04/2026</t>
        </is>
      </c>
      <c r="I7889" t="inlineStr">
        <is>
          <t>17/03/2026</t>
        </is>
      </c>
      <c r="J7889" t="inlineStr">
        <is>
          <t>Bán hàng / Kinh doanh, Mới tốt nghiệp / Thực tập, Tài chính / Đầu tư</t>
        </is>
      </c>
      <c r="K7889" t="inlineStr">
        <is>
          <t>N/A</t>
        </is>
      </c>
      <c r="L7889" s="8">
        <f>HYPERLINK("https://careerviet.vn/vi/tim-viec-lam/chuyen-vien-kinh-doanh-bds-thu-nhap-40tr.35C6BB26.html","Xem chi tiết")</f>
        <v/>
      </c>
    </row>
    <row r="7890">
      <c r="B7890" s="9" t="n">
        <v>7888</v>
      </c>
      <c r="C7890" s="10" t="inlineStr">
        <is>
          <t>Nhân Viên Vận Hành CNC</t>
        </is>
      </c>
      <c r="D7890" s="10" t="inlineStr">
        <is>
          <t>LIXIL Global Manufacturing Vietnam</t>
        </is>
      </c>
      <c r="E7890" s="10" t="inlineStr">
        <is>
          <t>Lương:Cạnh tranh</t>
        </is>
      </c>
      <c r="F7890" s="10" t="inlineStr">
        <is>
          <t>Đồng Nai</t>
        </is>
      </c>
      <c r="G7890" s="10" t="inlineStr">
        <is>
          <t>10-04-2026</t>
        </is>
      </c>
      <c r="H7890" s="10" t="inlineStr">
        <is>
          <t>10/04/2026</t>
        </is>
      </c>
      <c r="I7890" s="10" t="inlineStr">
        <is>
          <t>17/03/2026</t>
        </is>
      </c>
      <c r="J7890" s="10" t="inlineStr">
        <is>
          <t>Sản xuất / Vận hành sản xuất</t>
        </is>
      </c>
      <c r="K7890" s="10" t="inlineStr">
        <is>
          <t>N/A</t>
        </is>
      </c>
      <c r="L7890" s="11">
        <f>HYPERLINK("https://careerviet.vn/vi/tim-viec-lam/nhan-vien-van-hanh-cnc.35C6BBF4.html","Xem chi tiết")</f>
        <v/>
      </c>
      <c r="M7890" s="10" t="n"/>
    </row>
    <row r="7891">
      <c r="B7891" s="7" t="n">
        <v>7889</v>
      </c>
      <c r="C7891" t="inlineStr">
        <is>
          <t>Nhân Viên Bán Hàng Thời Trang (Bắc Ninh)</t>
        </is>
      </c>
      <c r="D7891" t="inlineStr">
        <is>
          <t>Công Ty Cổ Phần Tập Đoàn Thời Trang Việt Nam</t>
        </is>
      </c>
      <c r="E7891" t="inlineStr">
        <is>
          <t>Lương:Cạnh tranh</t>
        </is>
      </c>
      <c r="F7891" t="inlineStr">
        <is>
          <t>Bắc Ninh</t>
        </is>
      </c>
      <c r="G7891" t="inlineStr">
        <is>
          <t>10-04-2026</t>
        </is>
      </c>
      <c r="H7891" t="inlineStr">
        <is>
          <t>10/04/2026</t>
        </is>
      </c>
      <c r="I7891" t="inlineStr">
        <is>
          <t>17/03/2026</t>
        </is>
      </c>
      <c r="J7891" t="inlineStr">
        <is>
          <t>Bán lẻ / Bán sỉ</t>
        </is>
      </c>
      <c r="K7891" t="inlineStr">
        <is>
          <t>N/A</t>
        </is>
      </c>
      <c r="L7891" s="8">
        <f>HYPERLINK("https://careerviet.vn/vi/tim-viec-lam/nhan-vien-ban-hang-thoi-trang-bac-ninh.35C6BB88.html","Xem chi tiết")</f>
        <v/>
      </c>
    </row>
    <row r="7892">
      <c r="B7892" s="9" t="n">
        <v>7890</v>
      </c>
      <c r="C7892" s="10" t="inlineStr">
        <is>
          <t>Nhân Viên Sales Admin - Ocean Edu Thiên Lộc - Thu Nhập Từ 15 Triệu/Đi Làm Ngay</t>
        </is>
      </c>
      <c r="D7892" s="10" t="inlineStr">
        <is>
          <t>Công Ty CP Giáo Dục Đại Dương</t>
        </is>
      </c>
      <c r="E7892" s="10" t="inlineStr">
        <is>
          <t>Lương:14 Tr - 15 Tr VND</t>
        </is>
      </c>
      <c r="F7892" s="10" t="inlineStr">
        <is>
          <t>Hà Nội</t>
        </is>
      </c>
      <c r="G7892" s="10" t="inlineStr">
        <is>
          <t>30-03-2026</t>
        </is>
      </c>
      <c r="H7892" s="10" t="inlineStr">
        <is>
          <t>30/03/2026</t>
        </is>
      </c>
      <c r="I7892" s="10" t="inlineStr">
        <is>
          <t>17/03/2026</t>
        </is>
      </c>
      <c r="J7892" s="10" t="inlineStr">
        <is>
          <t>Kế toán / Kiểm toán, Giáo dục / Đào tạo</t>
        </is>
      </c>
      <c r="K7892" s="10" t="inlineStr">
        <is>
          <t>1 - 2 Năm</t>
        </is>
      </c>
      <c r="L7892" s="11">
        <f>HYPERLINK("https://careerviet.vn/vi/tim-viec-lam/nhan-vien-sales-admin-ocean-edu-thien-loc-thu-nhap-tu-15-trieu-di-lam-ngay.35C6BB4A.html","Xem chi tiết")</f>
        <v/>
      </c>
      <c r="M7892" s="10" t="n"/>
    </row>
    <row r="7893">
      <c r="B7893" s="7" t="n">
        <v>7891</v>
      </c>
      <c r="C7893" t="inlineStr">
        <is>
          <t>Thợ trạm trộn bê tông</t>
        </is>
      </c>
      <c r="D7893" t="inlineStr">
        <is>
          <t>Tổng Công ty Vận Tải Thủy</t>
        </is>
      </c>
      <c r="E7893" t="inlineStr">
        <is>
          <t>Lương:18 Tr - 22 Tr VND</t>
        </is>
      </c>
      <c r="F7893" t="inlineStr">
        <is>
          <t>Hà Nội</t>
        </is>
      </c>
      <c r="G7893" t="inlineStr">
        <is>
          <t>30-04-2026</t>
        </is>
      </c>
      <c r="H7893" t="inlineStr">
        <is>
          <t>30/04/2026</t>
        </is>
      </c>
      <c r="I7893" t="inlineStr">
        <is>
          <t>17/03/2026</t>
        </is>
      </c>
      <c r="J7893" t="inlineStr">
        <is>
          <t>Xây dựng</t>
        </is>
      </c>
      <c r="K7893" t="inlineStr">
        <is>
          <t>1 - 2 Năm</t>
        </is>
      </c>
      <c r="L7893" s="8">
        <f>HYPERLINK("https://careerviet.vn/vi/tim-viec-lam/tho-tram-tron-be-tong.35C6BB7D.html","Xem chi tiết")</f>
        <v/>
      </c>
    </row>
    <row r="7894">
      <c r="B7894" s="9" t="n">
        <v>7892</v>
      </c>
      <c r="C7894" s="10" t="inlineStr">
        <is>
          <t>Cashier - Treasury Accountant</t>
        </is>
      </c>
      <c r="D7894" s="10" t="inlineStr">
        <is>
          <t>Công Ty TNHH Taisho Việt Nam</t>
        </is>
      </c>
      <c r="E7894" s="10" t="inlineStr">
        <is>
          <t>Lương:Cạnh tranh</t>
        </is>
      </c>
      <c r="F7894" s="10" t="inlineStr">
        <is>
          <t>Hồ Chí Minh</t>
        </is>
      </c>
      <c r="G7894" s="10" t="inlineStr">
        <is>
          <t>09-04-2026</t>
        </is>
      </c>
      <c r="H7894" s="10" t="inlineStr">
        <is>
          <t>09/04/2026</t>
        </is>
      </c>
      <c r="I7894" s="10" t="inlineStr">
        <is>
          <t>17/03/2026</t>
        </is>
      </c>
      <c r="J7894" s="10" t="inlineStr">
        <is>
          <t>Kế toán / Kiểm toán, Tài chính / Đầu tư, Bán lẻ / Bán sỉ</t>
        </is>
      </c>
      <c r="K7894" s="10" t="inlineStr">
        <is>
          <t>Lên đến 2 Năm</t>
        </is>
      </c>
      <c r="L7894" s="11">
        <f>HYPERLINK("https://careerviet.vn/vi/tim-viec-lam/cashier-treasury-accountant.35C6BB5C.html","Xem chi tiết")</f>
        <v/>
      </c>
      <c r="M7894" s="10" t="n"/>
    </row>
    <row r="7895">
      <c r="B7895" s="7" t="n">
        <v>7893</v>
      </c>
      <c r="C7895" t="inlineStr">
        <is>
          <t>Chuyên viên QC sơn(Mới)</t>
        </is>
      </c>
      <c r="D7895" t="inlineStr">
        <is>
          <t>Công Ty Cổ Phần Sinh Hóa Quốc Tế</t>
        </is>
      </c>
      <c r="E7895" t="inlineStr">
        <is>
          <t>Lương:15 Tr - 20 Tr VND</t>
        </is>
      </c>
      <c r="F7895" t="inlineStr">
        <is>
          <t>Bình Dương</t>
        </is>
      </c>
      <c r="G7895" t="inlineStr">
        <is>
          <t>31-03-2026</t>
        </is>
      </c>
      <c r="H7895" t="inlineStr">
        <is>
          <t>31/03/2026</t>
        </is>
      </c>
      <c r="I7895" t="inlineStr">
        <is>
          <t>17/03/2026</t>
        </is>
      </c>
      <c r="J7895" t="inlineStr">
        <is>
          <t>Hóa học, Quản lý chất lượng (QA/QC)</t>
        </is>
      </c>
      <c r="K7895" t="inlineStr">
        <is>
          <t>3 - 5 Năm</t>
        </is>
      </c>
      <c r="L7895" s="8">
        <f>HYPERLINK("https://careerviet.vn/vi/tim-viec-lam/chuyen-vien-qc-son.35C6CCAA.html","Xem chi tiết")</f>
        <v/>
      </c>
    </row>
    <row r="7896">
      <c r="B7896" s="9" t="n">
        <v>7894</v>
      </c>
      <c r="C7896" s="10" t="inlineStr">
        <is>
          <t>ROUTE TO MARKET STRATEGY EXECUTIVE</t>
        </is>
      </c>
      <c r="D7896" s="10" t="inlineStr">
        <is>
          <t>CÔNG TY TNHH THAI CORP INTERNATIONAL (VIỆT NAM)</t>
        </is>
      </c>
      <c r="E7896" s="10" t="inlineStr">
        <is>
          <t>Lương:10 Tr - 18 Tr VND</t>
        </is>
      </c>
      <c r="F7896" s="10" t="inlineStr">
        <is>
          <t>Hồ Chí Minh</t>
        </is>
      </c>
      <c r="G7896" s="10" t="inlineStr">
        <is>
          <t>10-04-2026</t>
        </is>
      </c>
      <c r="H7896" s="10" t="inlineStr">
        <is>
          <t>10/04/2026</t>
        </is>
      </c>
      <c r="I7896" s="10" t="inlineStr">
        <is>
          <t>17/03/2026</t>
        </is>
      </c>
      <c r="J7896" s="10" t="inlineStr">
        <is>
          <t>Tiếp thị / Marketing, Bán hàng / Kinh doanh</t>
        </is>
      </c>
      <c r="K7896" s="10" t="inlineStr">
        <is>
          <t>1 - 3 Năm</t>
        </is>
      </c>
      <c r="L7896" s="11">
        <f>HYPERLINK("https://careerviet.vn/vi/tim-viec-lam/route-to-market-strategy-executive.35C6BBC8.html","Xem chi tiết")</f>
        <v/>
      </c>
      <c r="M7896" s="10" t="n"/>
    </row>
    <row r="7897">
      <c r="B7897" s="7" t="n">
        <v>7895</v>
      </c>
      <c r="C7897" t="inlineStr">
        <is>
          <t>Chuyên gia kiểm định mô hình, Phòng Quản trị rủi ro  tích hợp, Khối Quản trị rủi ro</t>
        </is>
      </c>
      <c r="D7897" t="inlineStr">
        <is>
          <t>Ngân hàng TMCP Đại Chúng Việt Nam - PVcomBank</t>
        </is>
      </c>
      <c r="E7897" t="inlineStr">
        <is>
          <t>Lương:Cạnh tranh</t>
        </is>
      </c>
      <c r="F7897" t="inlineStr">
        <is>
          <t>Hà Nội</t>
        </is>
      </c>
      <c r="G7897" t="inlineStr">
        <is>
          <t>09-04-2026</t>
        </is>
      </c>
      <c r="H7897" t="inlineStr">
        <is>
          <t>09/04/2026</t>
        </is>
      </c>
      <c r="I7897" t="inlineStr">
        <is>
          <t>17/03/2026</t>
        </is>
      </c>
      <c r="J7897" t="inlineStr">
        <is>
          <t>Kế toán / Kiểm toán, Ngân hàng</t>
        </is>
      </c>
      <c r="K7897" t="inlineStr">
        <is>
          <t>5 - 7 Năm</t>
        </is>
      </c>
      <c r="L7897" s="8">
        <f>HYPERLINK("https://careerviet.vn/vi/tim-viec-lam/chuyen-gia-kiem-dinh-mo-hinh-phong-quan-tri-rui-ro-tich-hop-khoi-quan-tri-rui-ro.35C6BB71.html","Xem chi tiết")</f>
        <v/>
      </c>
    </row>
    <row r="7898">
      <c r="B7898" s="9" t="n">
        <v>7896</v>
      </c>
      <c r="C7898" s="10" t="inlineStr">
        <is>
          <t>Project Coordinator(Mới)</t>
        </is>
      </c>
      <c r="D7898" s="10" t="inlineStr">
        <is>
          <t>PEB STEEL BUILDINGS CO., LTD.</t>
        </is>
      </c>
      <c r="E7898" s="10" t="inlineStr">
        <is>
          <t>Lương:Cạnh tranh</t>
        </is>
      </c>
      <c r="F7898" s="10" t="inlineStr">
        <is>
          <t>Hồ Chí Minh</t>
        </is>
      </c>
      <c r="G7898" s="10" t="inlineStr">
        <is>
          <t>30-04-2026</t>
        </is>
      </c>
      <c r="H7898" s="10" t="inlineStr">
        <is>
          <t>30/04/2026</t>
        </is>
      </c>
      <c r="I7898" s="10" t="inlineStr">
        <is>
          <t>17/03/2026</t>
        </is>
      </c>
      <c r="J7898" s="10" t="inlineStr">
        <is>
          <t>Xây dựng, Hành chính / Thư ký</t>
        </is>
      </c>
      <c r="K7898" s="10" t="inlineStr">
        <is>
          <t>2 - 4 Năm</t>
        </is>
      </c>
      <c r="L7898" s="11">
        <f>HYPERLINK("https://careerviet.vn/vi/tim-viec-lam/project-coordinator.35C6CCBD.html","Xem chi tiết")</f>
        <v/>
      </c>
      <c r="M7898" s="10" t="n"/>
    </row>
    <row r="7899">
      <c r="B7899" s="7" t="n">
        <v>7897</v>
      </c>
      <c r="C7899" t="inlineStr">
        <is>
          <t>Kế Toán Nội Bộ Công Ty Xây Dựng(Mới)</t>
        </is>
      </c>
      <c r="D7899" t="inlineStr">
        <is>
          <t>CÔNG TY TNHH ĐẦU TƯ XÂY DỰNG QUÂN ĐẠT</t>
        </is>
      </c>
      <c r="E7899" t="inlineStr">
        <is>
          <t>Lương:12 Tr - 14 Tr VND</t>
        </is>
      </c>
      <c r="F7899" t="inlineStr">
        <is>
          <t>Hồ Chí Minh</t>
        </is>
      </c>
      <c r="G7899" t="inlineStr">
        <is>
          <t>16-04-2026</t>
        </is>
      </c>
      <c r="H7899" t="inlineStr">
        <is>
          <t>16/04/2026</t>
        </is>
      </c>
      <c r="I7899" t="inlineStr">
        <is>
          <t>17/03/2026</t>
        </is>
      </c>
      <c r="J7899" t="inlineStr">
        <is>
          <t>Kế toán / Kiểm toán, Tài chính / Đầu tư, Xây dựng</t>
        </is>
      </c>
      <c r="K7899" t="inlineStr">
        <is>
          <t>Trên 1 Năm</t>
        </is>
      </c>
      <c r="L7899" s="8">
        <f>HYPERLINK("https://careerviet.vn/vi/tim-viec-lam/ke-toan-noi-bo-cong-ty-xay-dung.35C6CCB8.html","Xem chi tiết")</f>
        <v/>
      </c>
    </row>
    <row r="7900">
      <c r="B7900" s="9" t="n">
        <v>7898</v>
      </c>
      <c r="C7900" s="10" t="inlineStr">
        <is>
          <t>Nhân viên ERP(Mới)</t>
        </is>
      </c>
      <c r="D7900" s="10" t="inlineStr">
        <is>
          <t>CÔNG TY TNHH MUSEM VINA</t>
        </is>
      </c>
      <c r="E7900" s="10" t="inlineStr">
        <is>
          <t>Lương:8 Tr - 12 Tr VND</t>
        </is>
      </c>
      <c r="F7900" s="10" t="inlineStr">
        <is>
          <t>Long An</t>
        </is>
      </c>
      <c r="G7900" s="10" t="inlineStr">
        <is>
          <t>16-04-2026</t>
        </is>
      </c>
      <c r="H7900" s="10" t="inlineStr">
        <is>
          <t>16/04/2026</t>
        </is>
      </c>
      <c r="I7900" s="10" t="inlineStr">
        <is>
          <t>17/03/2026</t>
        </is>
      </c>
      <c r="J7900" s="10" t="inlineStr">
        <is>
          <t>Sản xuất / Vận hành sản xuất</t>
        </is>
      </c>
      <c r="K7900" s="10" t="inlineStr">
        <is>
          <t>1 - 2 Năm</t>
        </is>
      </c>
      <c r="L7900" s="11">
        <f>HYPERLINK("https://careerviet.vn/vi/tim-viec-lam/nhan-vien-erp.35C6CCB9.html","Xem chi tiết")</f>
        <v/>
      </c>
      <c r="M7900" s="10" t="n"/>
    </row>
    <row r="7901">
      <c r="B7901" s="7" t="n">
        <v>7899</v>
      </c>
      <c r="C7901" t="inlineStr">
        <is>
          <t>Kỹ Thuật Mua Hàng Tiếng Trung</t>
        </is>
      </c>
      <c r="D7901" t="inlineStr">
        <is>
          <t>Tập Đoàn An Phát Holdings</t>
        </is>
      </c>
      <c r="E7901" t="inlineStr">
        <is>
          <t>Lương:10 Tr - 20 Tr VND</t>
        </is>
      </c>
      <c r="F7901" t="inlineStr">
        <is>
          <t>Hải Dương</t>
        </is>
      </c>
      <c r="G7901" t="inlineStr">
        <is>
          <t>15-04-2026</t>
        </is>
      </c>
      <c r="H7901" t="inlineStr">
        <is>
          <t>15/04/2026</t>
        </is>
      </c>
      <c r="I7901" t="inlineStr">
        <is>
          <t>17/03/2026</t>
        </is>
      </c>
      <c r="J7901" t="inlineStr">
        <is>
          <t>Cơ khí / Ô tô / Tự động hóa, Điện / Điện tử / Điện lạnh / Điện công nghiệp, Thu mua / Vật tư</t>
        </is>
      </c>
      <c r="K7901" t="inlineStr">
        <is>
          <t>1 - 5 Năm</t>
        </is>
      </c>
      <c r="L7901" s="8">
        <f>HYPERLINK("https://careerviet.vn/vi/tim-viec-lam/ky-thuat-mua-hang-tieng-trung.35C6BA6F.html","Xem chi tiết")</f>
        <v/>
      </c>
    </row>
    <row r="7902">
      <c r="B7902" s="9" t="n">
        <v>7900</v>
      </c>
      <c r="C7902" s="10" t="inlineStr">
        <is>
          <t>Nhân viên SEO</t>
        </is>
      </c>
      <c r="D7902" s="10" t="inlineStr">
        <is>
          <t>Công ty TNHH TMDV &amp; Kỹ Thuật Đức Phát</t>
        </is>
      </c>
      <c r="E7902" s="10" t="inlineStr">
        <is>
          <t>Lương:12 Tr - 18 Tr VND</t>
        </is>
      </c>
      <c r="F7902" s="10" t="inlineStr">
        <is>
          <t>Hà Nội</t>
        </is>
      </c>
      <c r="G7902" s="10" t="inlineStr">
        <is>
          <t>31-03-2026</t>
        </is>
      </c>
      <c r="H7902" s="10" t="inlineStr">
        <is>
          <t>31/03/2026</t>
        </is>
      </c>
      <c r="I7902" s="10" t="inlineStr">
        <is>
          <t>17/03/2026</t>
        </is>
      </c>
      <c r="J7902" s="10" t="inlineStr">
        <is>
          <t>Tiếp thị / Marketing</t>
        </is>
      </c>
      <c r="K7902" s="10" t="inlineStr">
        <is>
          <t>1 - 3 Năm</t>
        </is>
      </c>
      <c r="L7902" s="11">
        <f>HYPERLINK("https://careerviet.vn/vi/tim-viec-lam/nhan-vien-seo.35C6BB45.html","Xem chi tiết")</f>
        <v/>
      </c>
      <c r="M7902" s="10" t="n"/>
    </row>
    <row r="7903">
      <c r="B7903" s="7" t="n">
        <v>7901</v>
      </c>
      <c r="C7903" t="inlineStr">
        <is>
          <t>Legal Counsel</t>
        </is>
      </c>
      <c r="D7903" t="inlineStr">
        <is>
          <t>CÔNG TY TNHH BẢO HIỂM NHÂN THỌ MB AGEAS</t>
        </is>
      </c>
      <c r="E7903" t="inlineStr">
        <is>
          <t>Lương:Cạnh tranh</t>
        </is>
      </c>
      <c r="F7903" t="inlineStr">
        <is>
          <t>Hà Nội</t>
        </is>
      </c>
      <c r="G7903" t="inlineStr">
        <is>
          <t>30-05-2026</t>
        </is>
      </c>
      <c r="H7903" t="inlineStr">
        <is>
          <t>30/05/2026</t>
        </is>
      </c>
      <c r="I7903" t="inlineStr">
        <is>
          <t>17/03/2026</t>
        </is>
      </c>
      <c r="J7903" t="inlineStr">
        <is>
          <t>Luật / Pháp lý</t>
        </is>
      </c>
      <c r="K7903" t="inlineStr">
        <is>
          <t>Trên 5 Năm</t>
        </is>
      </c>
      <c r="L7903" s="8">
        <f>HYPERLINK("https://careerviet.vn/vi/tim-viec-lam/legal-counsel.35C6BB67.html","Xem chi tiết")</f>
        <v/>
      </c>
    </row>
    <row r="7904">
      <c r="B7904" s="9" t="n">
        <v>7902</v>
      </c>
      <c r="C7904" s="10" t="inlineStr">
        <is>
          <t>Giám Sát Hiện Trường(Mới)</t>
        </is>
      </c>
      <c r="D7904" s="10" t="inlineStr">
        <is>
          <t>CÔNG TY CỔ PHẦN ĐẦU TƯ XÂY DỰNG HÀ TIÊN</t>
        </is>
      </c>
      <c r="E7904" s="10" t="inlineStr">
        <is>
          <t>Lương:15 Tr - 18 Tr VND</t>
        </is>
      </c>
      <c r="F7904" s="10" t="inlineStr">
        <is>
          <t>Hồ Chí Minh</t>
        </is>
      </c>
      <c r="G7904" s="10" t="inlineStr">
        <is>
          <t>16-04-2026</t>
        </is>
      </c>
      <c r="H7904" s="10" t="inlineStr">
        <is>
          <t>16/04/2026</t>
        </is>
      </c>
      <c r="I7904" s="10" t="inlineStr">
        <is>
          <t>17/03/2026</t>
        </is>
      </c>
      <c r="J7904" s="10" t="inlineStr">
        <is>
          <t>Xây dựng, Bất động sản, Quản lý chất lượng (QA/QC)</t>
        </is>
      </c>
      <c r="K7904" s="10" t="inlineStr">
        <is>
          <t>1 - 3 Năm</t>
        </is>
      </c>
      <c r="L7904" s="11">
        <f>HYPERLINK("https://careerviet.vn/vi/tim-viec-lam/giam-sat-hien-truong.35C6CCB7.html","Xem chi tiết")</f>
        <v/>
      </c>
      <c r="M7904" s="10" t="n"/>
    </row>
    <row r="7905">
      <c r="B7905" s="7" t="n">
        <v>7903</v>
      </c>
      <c r="C7905" t="inlineStr">
        <is>
          <t>Sales Logistics(Mới)</t>
        </is>
      </c>
      <c r="D7905" t="inlineStr">
        <is>
          <t>CÔNG TY CỔ PHẦN SAS LOGISTICS</t>
        </is>
      </c>
      <c r="E7905" t="inlineStr">
        <is>
          <t>Lương:Cạnh tranh</t>
        </is>
      </c>
      <c r="F7905" t="inlineStr">
        <is>
          <t>Đồng Nai</t>
        </is>
      </c>
      <c r="G7905" t="inlineStr">
        <is>
          <t>15-04-2026</t>
        </is>
      </c>
      <c r="H7905" t="inlineStr">
        <is>
          <t>15/04/2026</t>
        </is>
      </c>
      <c r="I7905" t="inlineStr">
        <is>
          <t>17/03/2026</t>
        </is>
      </c>
      <c r="J7905" t="inlineStr">
        <is>
          <t>Bán hàng / Kinh doanh, Vận chuyển / Giao nhận / Kho vận</t>
        </is>
      </c>
      <c r="K7905" t="inlineStr">
        <is>
          <t>N/A</t>
        </is>
      </c>
      <c r="L7905" s="8">
        <f>HYPERLINK("https://careerviet.vn/vi/tim-viec-lam/sales-logistics.35C6CCBB.html","Xem chi tiết")</f>
        <v/>
      </c>
    </row>
    <row r="7906">
      <c r="B7906" s="9" t="n">
        <v>7904</v>
      </c>
      <c r="C7906" s="10" t="inlineStr">
        <is>
          <t>Kỹ sư Giám sát MEP ( có xe đưa rước từ TPHCM đi Long Thành)</t>
        </is>
      </c>
      <c r="D7906" s="10" t="inlineStr">
        <is>
          <t>CÔNG TY TNHH DK BUILD</t>
        </is>
      </c>
      <c r="E7906" s="10" t="inlineStr">
        <is>
          <t>Lương:15 Tr - 25 Tr VND</t>
        </is>
      </c>
      <c r="F7906" s="10" t="inlineStr">
        <is>
          <t>Đồng Nai</t>
        </is>
      </c>
      <c r="G7906" s="10" t="inlineStr">
        <is>
          <t>30-04-2026</t>
        </is>
      </c>
      <c r="H7906" s="10" t="inlineStr">
        <is>
          <t>30/04/2026</t>
        </is>
      </c>
      <c r="I7906" s="10" t="inlineStr">
        <is>
          <t>17/03/2026</t>
        </is>
      </c>
      <c r="J7906" s="10" t="inlineStr">
        <is>
          <t>Xây dựng</t>
        </is>
      </c>
      <c r="K7906" s="10" t="inlineStr">
        <is>
          <t>3 - 5 Năm</t>
        </is>
      </c>
      <c r="L7906" s="11">
        <f>HYPERLINK("https://careerviet.vn/vi/tim-viec-lam/ky-su-giam-sat-mep-co-xe-dua-ruoc-tu-tphcm-di-long-thanh.35C6BB13.html","Xem chi tiết")</f>
        <v/>
      </c>
      <c r="M7906" s="10" t="n"/>
    </row>
    <row r="7907">
      <c r="B7907" s="7" t="n">
        <v>7905</v>
      </c>
      <c r="C7907" t="inlineStr">
        <is>
          <t>Nhân Viên Bán Hàng Thời Trang (Cầu Giấy)</t>
        </is>
      </c>
      <c r="D7907" t="inlineStr">
        <is>
          <t>Công Ty Cổ Phần Tập Đoàn Thời Trang Việt Nam</t>
        </is>
      </c>
      <c r="E7907" t="inlineStr">
        <is>
          <t>Lương:Cạnh tranh</t>
        </is>
      </c>
      <c r="F7907" t="inlineStr">
        <is>
          <t>Hà Nội</t>
        </is>
      </c>
      <c r="G7907" t="inlineStr">
        <is>
          <t>10-04-2026</t>
        </is>
      </c>
      <c r="H7907" t="inlineStr">
        <is>
          <t>10/04/2026</t>
        </is>
      </c>
      <c r="I7907" t="inlineStr">
        <is>
          <t>17/03/2026</t>
        </is>
      </c>
      <c r="J7907" t="inlineStr">
        <is>
          <t>Bán lẻ / Bán sỉ</t>
        </is>
      </c>
      <c r="K7907" t="inlineStr">
        <is>
          <t>N/A</t>
        </is>
      </c>
      <c r="L7907" s="8">
        <f>HYPERLINK("https://careerviet.vn/vi/tim-viec-lam/nhan-vien-ban-hang-thoi-trang-cau-giay.35C6BBA1.html","Xem chi tiết")</f>
        <v/>
      </c>
    </row>
    <row r="7908">
      <c r="B7908" s="9" t="n">
        <v>7906</v>
      </c>
      <c r="C7908" s="10" t="inlineStr">
        <is>
          <t>TRƯỞNG PHÒNG KINH DOANH</t>
        </is>
      </c>
      <c r="D7908" s="10" t="inlineStr">
        <is>
          <t>Công ty TNHH Kinh doanh và Dịch vụ Bất động sản Realhomes</t>
        </is>
      </c>
      <c r="E7908" s="10" t="inlineStr">
        <is>
          <t>Lương:30 Tr - 40 Tr VND</t>
        </is>
      </c>
      <c r="F7908" s="10" t="inlineStr">
        <is>
          <t>Hà NộiThanh HóaĐà Nẵng</t>
        </is>
      </c>
      <c r="G7908" s="10" t="inlineStr">
        <is>
          <t>30-04-2026</t>
        </is>
      </c>
      <c r="H7908" s="10" t="inlineStr">
        <is>
          <t>30/04/2026</t>
        </is>
      </c>
      <c r="I7908" s="10" t="inlineStr">
        <is>
          <t>17/03/2026</t>
        </is>
      </c>
      <c r="J7908" s="10" t="inlineStr">
        <is>
          <t>Bán hàng / Kinh doanh, Bất động sản, Tiếp thị trực tuyến</t>
        </is>
      </c>
      <c r="K7908" s="10" t="inlineStr">
        <is>
          <t>N/A</t>
        </is>
      </c>
      <c r="L7908" s="11">
        <f>HYPERLINK("https://careerviet.vn/vi/tim-viec-lam/truong-phong-kinh-doanh.35C6BAE3.html","Xem chi tiết")</f>
        <v/>
      </c>
      <c r="M7908" s="10" t="n"/>
    </row>
    <row r="7909">
      <c r="B7909" s="7" t="n">
        <v>7907</v>
      </c>
      <c r="C7909" t="inlineStr">
        <is>
          <t>[Mỹ Tho - Tiền Giang] Kế Toán Kho(Mới)</t>
        </is>
      </c>
      <c r="D7909" t="inlineStr">
        <is>
          <t>Công Ty TNHH XNK Phát Triển Đông Dương</t>
        </is>
      </c>
      <c r="E7909" t="inlineStr">
        <is>
          <t>Lương:9 Tr - 12 Tr VND</t>
        </is>
      </c>
      <c r="F7909" t="inlineStr">
        <is>
          <t>Tiền Giang</t>
        </is>
      </c>
      <c r="G7909" t="inlineStr">
        <is>
          <t>20-04-2026</t>
        </is>
      </c>
      <c r="H7909" t="inlineStr">
        <is>
          <t>20/04/2026</t>
        </is>
      </c>
      <c r="I7909" t="inlineStr">
        <is>
          <t>17/03/2026</t>
        </is>
      </c>
      <c r="J7909" t="inlineStr">
        <is>
          <t>Kế toán / Kiểm toán</t>
        </is>
      </c>
      <c r="K7909" t="inlineStr">
        <is>
          <t>1 - 3 Năm</t>
        </is>
      </c>
      <c r="L7909" s="8">
        <f>HYPERLINK("https://careerviet.vn/vi/tim-viec-lam/my-tho-tien-giang-ke-toan-kho.35C6CCAF.html","Xem chi tiết")</f>
        <v/>
      </c>
    </row>
    <row r="7910">
      <c r="B7910" s="9" t="n">
        <v>7908</v>
      </c>
      <c r="C7910" s="10" t="inlineStr">
        <is>
          <t>Trưởng phòng QC - Hà Nội(Mới)</t>
        </is>
      </c>
      <c r="D7910" s="10" t="inlineStr">
        <is>
          <t>CÔNG TY TNHH MTV KỸ THUẬT TÚ LỘC</t>
        </is>
      </c>
      <c r="E7910" s="10" t="inlineStr">
        <is>
          <t>Lương:20 Tr - 25 Tr VND</t>
        </is>
      </c>
      <c r="F7910" s="10" t="inlineStr">
        <is>
          <t>Hà Nội</t>
        </is>
      </c>
      <c r="G7910" s="10" t="inlineStr">
        <is>
          <t>30-04-2026</t>
        </is>
      </c>
      <c r="H7910" s="10" t="inlineStr">
        <is>
          <t>30/04/2026</t>
        </is>
      </c>
      <c r="I7910" s="10" t="inlineStr">
        <is>
          <t>17/03/2026</t>
        </is>
      </c>
      <c r="J7910" s="10" t="inlineStr">
        <is>
          <t>Cơ khí / Ô tô / Tự động hóa, Sản xuất / Vận hành sản xuất, Quản lý chất lượng (QA/QC)</t>
        </is>
      </c>
      <c r="K7910" s="10" t="inlineStr">
        <is>
          <t>4 - 5 Năm</t>
        </is>
      </c>
      <c r="L7910" s="11">
        <f>HYPERLINK("https://careerviet.vn/vi/tim-viec-lam/truong-phong-qc-ha-noi.35C6CCB2.html","Xem chi tiết")</f>
        <v/>
      </c>
      <c r="M7910" s="10" t="n"/>
    </row>
    <row r="7911">
      <c r="B7911" s="7" t="n">
        <v>7909</v>
      </c>
      <c r="C7911" t="inlineStr">
        <is>
          <t>[HCM] KỸ SƯ QA-QC (QUẢN LÝ CHẤT LƯỢNG)(Mới)</t>
        </is>
      </c>
      <c r="D7911" t="inlineStr">
        <is>
          <t>CÔNG TY CỔ PHẦN FECON SOUTH</t>
        </is>
      </c>
      <c r="E7911" t="inlineStr">
        <is>
          <t>Lương:18 Tr - 25 Tr VND</t>
        </is>
      </c>
      <c r="F7911" t="inlineStr">
        <is>
          <t>Hồ Chí Minh</t>
        </is>
      </c>
      <c r="G7911" t="inlineStr">
        <is>
          <t>31-03-2026</t>
        </is>
      </c>
      <c r="H7911" t="inlineStr">
        <is>
          <t>31/03/2026</t>
        </is>
      </c>
      <c r="I7911" t="inlineStr">
        <is>
          <t>17/03/2026</t>
        </is>
      </c>
      <c r="J7911" t="inlineStr">
        <is>
          <t>Xây dựng, Quản lý chất lượng (QA/QC), Kiến trúc</t>
        </is>
      </c>
      <c r="K7911" t="inlineStr">
        <is>
          <t>2 - 7 Năm</t>
        </is>
      </c>
      <c r="L7911" s="8">
        <f>HYPERLINK("https://careerviet.vn/vi/tim-viec-lam/hcm-ky-su-qa-qc-quan-ly-chat-luong.35C6CCA7.html","Xem chi tiết")</f>
        <v/>
      </c>
    </row>
    <row r="7912">
      <c r="B7912" s="9" t="n">
        <v>7910</v>
      </c>
      <c r="C7912" s="10" t="inlineStr">
        <is>
          <t>Trưởng phòng QC - HCM(Mới)</t>
        </is>
      </c>
      <c r="D7912" s="10" t="inlineStr">
        <is>
          <t>CÔNG TY TNHH MTV KỸ THUẬT TÚ LỘC</t>
        </is>
      </c>
      <c r="E7912" s="10" t="inlineStr">
        <is>
          <t>Lương:20 Tr - 25 Tr VND</t>
        </is>
      </c>
      <c r="F7912" s="10" t="inlineStr">
        <is>
          <t>Hồ Chí Minh</t>
        </is>
      </c>
      <c r="G7912" s="10" t="inlineStr">
        <is>
          <t>30-04-2026</t>
        </is>
      </c>
      <c r="H7912" s="10" t="inlineStr">
        <is>
          <t>30/04/2026</t>
        </is>
      </c>
      <c r="I7912" s="10" t="inlineStr">
        <is>
          <t>17/03/2026</t>
        </is>
      </c>
      <c r="J7912" s="10" t="inlineStr">
        <is>
          <t>Cơ khí / Ô tô / Tự động hóa, Sản xuất / Vận hành sản xuất, Quản lý chất lượng (QA/QC)</t>
        </is>
      </c>
      <c r="K7912" s="10" t="inlineStr">
        <is>
          <t>4 - 5 Năm</t>
        </is>
      </c>
      <c r="L7912" s="11">
        <f>HYPERLINK("https://careerviet.vn/vi/tim-viec-lam/truong-phong-qc-hcm.35C6CCAE.html","Xem chi tiết")</f>
        <v/>
      </c>
      <c r="M7912" s="10" t="n"/>
    </row>
    <row r="7913">
      <c r="B7913" s="7" t="n">
        <v>7911</v>
      </c>
      <c r="C7913" t="inlineStr">
        <is>
          <t>Sales Admin(Mới)</t>
        </is>
      </c>
      <c r="D7913" t="inlineStr">
        <is>
          <t>CareerViet's client</t>
        </is>
      </c>
      <c r="E7913" t="inlineStr">
        <is>
          <t>Lương:8 Tr - 10 Tr VND</t>
        </is>
      </c>
      <c r="F7913" t="inlineStr">
        <is>
          <t>Hồ Chí Minh</t>
        </is>
      </c>
      <c r="G7913" t="inlineStr">
        <is>
          <t>30-04-2026</t>
        </is>
      </c>
      <c r="H7913" t="inlineStr">
        <is>
          <t>30/04/2026</t>
        </is>
      </c>
      <c r="I7913" t="inlineStr">
        <is>
          <t>17/03/2026</t>
        </is>
      </c>
      <c r="J7913" t="inlineStr">
        <is>
          <t>Bất động sản</t>
        </is>
      </c>
      <c r="K7913" t="inlineStr">
        <is>
          <t>N/A</t>
        </is>
      </c>
      <c r="L7913" s="8">
        <f>HYPERLINK("https://careerviet.vn/vi/tim-viec-lam/sales-admin.35C6CCB4.html","Xem chi tiết")</f>
        <v/>
      </c>
    </row>
    <row r="7914">
      <c r="B7914" s="9" t="n">
        <v>7912</v>
      </c>
      <c r="C7914" s="10" t="inlineStr">
        <is>
          <t>Nhân viên kiểm soát quỹ(Mới)</t>
        </is>
      </c>
      <c r="D7914" s="10" t="inlineStr">
        <is>
          <t>Công ty Vàng Bạc Đá Qúy Bảo Tín Minh Châu</t>
        </is>
      </c>
      <c r="E7914" s="10" t="inlineStr">
        <is>
          <t>Lương:13 Tr - 16 Tr VND</t>
        </is>
      </c>
      <c r="F7914" s="10" t="inlineStr">
        <is>
          <t>Hà Nội</t>
        </is>
      </c>
      <c r="G7914" s="10" t="inlineStr">
        <is>
          <t>31-03-2026</t>
        </is>
      </c>
      <c r="H7914" s="10" t="inlineStr">
        <is>
          <t>31/03/2026</t>
        </is>
      </c>
      <c r="I7914" s="10" t="inlineStr">
        <is>
          <t>17/03/2026</t>
        </is>
      </c>
      <c r="J7914" s="10" t="inlineStr">
        <is>
          <t>Kế toán / Kiểm toán</t>
        </is>
      </c>
      <c r="K7914" s="10" t="inlineStr">
        <is>
          <t>1 - 5 Năm</t>
        </is>
      </c>
      <c r="L7914" s="11">
        <f>HYPERLINK("https://careerviet.vn/vi/tim-viec-lam/nhan-vien-kiem-soat-quy.35C6CCAB.html","Xem chi tiết")</f>
        <v/>
      </c>
      <c r="M7914" s="10" t="n"/>
    </row>
    <row r="7915">
      <c r="B7915" s="7" t="n">
        <v>7913</v>
      </c>
      <c r="C7915" t="inlineStr">
        <is>
          <t>Chuyên Viên Kế Toán(Mới)</t>
        </is>
      </c>
      <c r="D7915" t="inlineStr">
        <is>
          <t>CÔNG TY CỔ PHẦN SẢN XUẤT THƯƠNG MẠI AP BEVERAGE</t>
        </is>
      </c>
      <c r="E7915" t="inlineStr">
        <is>
          <t>Lương:14 Tr - 16 Tr VND</t>
        </is>
      </c>
      <c r="F7915" t="inlineStr">
        <is>
          <t>Hồ Chí Minh</t>
        </is>
      </c>
      <c r="G7915" t="inlineStr">
        <is>
          <t>15-04-2026</t>
        </is>
      </c>
      <c r="H7915" t="inlineStr">
        <is>
          <t>15/04/2026</t>
        </is>
      </c>
      <c r="I7915" t="inlineStr">
        <is>
          <t>17/03/2026</t>
        </is>
      </c>
      <c r="J7915" t="inlineStr">
        <is>
          <t>Kế toán / Kiểm toán</t>
        </is>
      </c>
      <c r="K7915" t="inlineStr">
        <is>
          <t>3 - 5 Năm</t>
        </is>
      </c>
      <c r="L7915" s="8">
        <f>HYPERLINK("https://careerviet.vn/vi/tim-viec-lam/chuyen-vien-ke-toan.35C6CCA8.html","Xem chi tiết")</f>
        <v/>
      </c>
    </row>
    <row r="7916">
      <c r="B7916" s="9" t="n">
        <v>7914</v>
      </c>
      <c r="C7916" s="10" t="inlineStr">
        <is>
          <t>Trưởng phòng QC - Hà Nội(Mới)</t>
        </is>
      </c>
      <c r="D7916" s="10" t="inlineStr">
        <is>
          <t>CÔNG TY TNHH MTV KỸ THUẬT TÚ LỘC</t>
        </is>
      </c>
      <c r="E7916" s="10" t="inlineStr">
        <is>
          <t>Lương:20 Tr - 25 Tr VND</t>
        </is>
      </c>
      <c r="F7916" s="10" t="inlineStr">
        <is>
          <t>Hà Nội</t>
        </is>
      </c>
      <c r="G7916" s="10" t="inlineStr">
        <is>
          <t>30-04-2026</t>
        </is>
      </c>
      <c r="H7916" s="10" t="inlineStr">
        <is>
          <t>30/04/2026</t>
        </is>
      </c>
      <c r="I7916" s="10" t="inlineStr">
        <is>
          <t>17/03/2026</t>
        </is>
      </c>
      <c r="J7916" s="10" t="inlineStr">
        <is>
          <t>Cơ khí / Ô tô / Tự động hóa, Sản xuất / Vận hành sản xuất, Quản lý chất lượng (QA/QC)</t>
        </is>
      </c>
      <c r="K7916" s="10" t="inlineStr">
        <is>
          <t>4 - 5 Năm</t>
        </is>
      </c>
      <c r="L7916" s="11">
        <f>HYPERLINK("https://careerviet.vn/vi/tim-viec-lam/truong-phong-qc-ha-noi.35C6CCB0.html","Xem chi tiết")</f>
        <v/>
      </c>
      <c r="M7916" s="10" t="n"/>
    </row>
    <row r="7917">
      <c r="B7917" s="7" t="n">
        <v>7915</v>
      </c>
      <c r="C7917" t="inlineStr">
        <is>
          <t>Kiến Trúc Sư - Nội Thất Sư(Mới)</t>
        </is>
      </c>
      <c r="D7917" t="inlineStr">
        <is>
          <t>CÔNG TY CỔ PHẦN TẬP ĐOÀN LUKLAK VIỆT NAM</t>
        </is>
      </c>
      <c r="E7917" t="inlineStr">
        <is>
          <t>Lương:16 Tr - 30 Tr VND</t>
        </is>
      </c>
      <c r="F7917" t="inlineStr">
        <is>
          <t>Hà Nội</t>
        </is>
      </c>
      <c r="G7917" t="inlineStr">
        <is>
          <t>16-04-2026</t>
        </is>
      </c>
      <c r="H7917" t="inlineStr">
        <is>
          <t>16/04/2026</t>
        </is>
      </c>
      <c r="I7917" t="inlineStr">
        <is>
          <t>17/03/2026</t>
        </is>
      </c>
      <c r="J7917" t="inlineStr">
        <is>
          <t>Kiến trúc, Nội ngoại thất, Mỹ thuật / Nghệ thuật / Thiết kế</t>
        </is>
      </c>
      <c r="K7917" t="inlineStr">
        <is>
          <t>1 - 3 Năm</t>
        </is>
      </c>
      <c r="L7917" s="8">
        <f>HYPERLINK("https://careerviet.vn/vi/tim-viec-lam/kien-truc-su-noi-that-su.35C6CCA5.html","Xem chi tiết")</f>
        <v/>
      </c>
    </row>
    <row r="7918">
      <c r="B7918" s="9" t="n">
        <v>7916</v>
      </c>
      <c r="C7918" s="10" t="inlineStr">
        <is>
          <t>Nhân Viên Thiết Kế 3D Kiến Trúc - Nội Thất(Mới)</t>
        </is>
      </c>
      <c r="D7918" s="10" t="inlineStr">
        <is>
          <t>CÔNG TY CỔ PHẦN TẬP ĐOÀN LUKLAK VIỆT NAM</t>
        </is>
      </c>
      <c r="E7918" s="10" t="inlineStr">
        <is>
          <t>Lương:15 Tr - 25 Tr VND</t>
        </is>
      </c>
      <c r="F7918" s="10" t="inlineStr">
        <is>
          <t>Hà Nội</t>
        </is>
      </c>
      <c r="G7918" s="10" t="inlineStr">
        <is>
          <t>16-04-2026</t>
        </is>
      </c>
      <c r="H7918" s="10" t="inlineStr">
        <is>
          <t>16/04/2026</t>
        </is>
      </c>
      <c r="I7918" s="10" t="inlineStr">
        <is>
          <t>17/03/2026</t>
        </is>
      </c>
      <c r="J7918" s="10" t="inlineStr">
        <is>
          <t>Nội ngoại thất, Kiến trúc</t>
        </is>
      </c>
      <c r="K7918" s="10" t="inlineStr">
        <is>
          <t>1 - 3 Năm</t>
        </is>
      </c>
      <c r="L7918" s="11">
        <f>HYPERLINK("https://careerviet.vn/vi/tim-viec-lam/nhan-vien-thiet-ke-3d-kien-truc-noi-that.35C6CC96.html","Xem chi tiết")</f>
        <v/>
      </c>
      <c r="M7918" s="10" t="n"/>
    </row>
    <row r="7919">
      <c r="B7919" s="7" t="n">
        <v>7917</v>
      </c>
      <c r="C7919" t="inlineStr">
        <is>
          <t>Chuyên Viên Tư Vấn Môi Trường (Environmental Consultant)(Mới)</t>
        </is>
      </c>
      <c r="D7919" t="inlineStr">
        <is>
          <t>CÔNG TY CỔ PHẦN ĐẦU TƯ XÂY DỰNG CÔNG NGHỆ PHÚC ĐỈNH</t>
        </is>
      </c>
      <c r="E7919" t="inlineStr">
        <is>
          <t>Lương:Cạnh tranh</t>
        </is>
      </c>
      <c r="F7919" t="inlineStr">
        <is>
          <t>Bình Dương</t>
        </is>
      </c>
      <c r="G7919" t="inlineStr">
        <is>
          <t>15-04-2026</t>
        </is>
      </c>
      <c r="H7919" t="inlineStr">
        <is>
          <t>15/04/2026</t>
        </is>
      </c>
      <c r="I7919" t="inlineStr">
        <is>
          <t>17/03/2026</t>
        </is>
      </c>
      <c r="J7919" t="inlineStr">
        <is>
          <t>Môi trường, Tư vấn, Xây dựng</t>
        </is>
      </c>
      <c r="K7919" t="inlineStr">
        <is>
          <t>Trên 1 Năm</t>
        </is>
      </c>
      <c r="L7919" s="8">
        <f>HYPERLINK("https://careerviet.vn/vi/tim-viec-lam/chuyen-vien-tu-van-moi-truong-environmental-consultant.35C6CBFD.html","Xem chi tiết")</f>
        <v/>
      </c>
    </row>
    <row r="7920">
      <c r="B7920" s="9" t="n">
        <v>7918</v>
      </c>
      <c r="C7920" s="10" t="inlineStr">
        <is>
          <t>Chuyên viên bán hàng trực tiếp Miền Nam (DSA) - RB - MSB - 3F285(Mới)</t>
        </is>
      </c>
      <c r="D7920" s="10" t="inlineStr">
        <is>
          <t>Ngân hàng Thương mại Cổ phần Hàng Hải Việt Nam (MSB)</t>
        </is>
      </c>
      <c r="E7920" s="10" t="inlineStr">
        <is>
          <t>Lương:Cạnh tranh</t>
        </is>
      </c>
      <c r="F7920" s="10" t="inlineStr">
        <is>
          <t>Hồ Chí Minh</t>
        </is>
      </c>
      <c r="G7920" s="10" t="inlineStr">
        <is>
          <t>30-04-2026</t>
        </is>
      </c>
      <c r="H7920" s="10" t="inlineStr">
        <is>
          <t>30/04/2026</t>
        </is>
      </c>
      <c r="I7920" s="10" t="inlineStr">
        <is>
          <t>17/03/2026</t>
        </is>
      </c>
      <c r="J7920" s="10" t="inlineStr">
        <is>
          <t>Ngân hàng</t>
        </is>
      </c>
      <c r="K7920" s="10" t="inlineStr">
        <is>
          <t>Chưa có kinh nghiệm</t>
        </is>
      </c>
      <c r="L7920" s="11">
        <f>HYPERLINK("https://careerviet.vn/vi/tim-viec-lam/chuyen-vien-ban-hang-truc-tiep-mien-nam-dsa-rb-msb-3f285.35C6CCA0.html","Xem chi tiết")</f>
        <v/>
      </c>
      <c r="M7920" s="10" t="n"/>
    </row>
    <row r="7921">
      <c r="B7921" s="7" t="n">
        <v>7919</v>
      </c>
      <c r="C7921" t="inlineStr">
        <is>
          <t>Nhân Viên Sửa Chữa Board Mạch Điện Tử(Mới)</t>
        </is>
      </c>
      <c r="D7921" t="inlineStr">
        <is>
          <t>Công Ty TNHH XNK Phát Triển Đông Dương</t>
        </is>
      </c>
      <c r="E7921" t="inlineStr">
        <is>
          <t>Lương:12 Tr - 15 Tr VND</t>
        </is>
      </c>
      <c r="F7921" t="inlineStr">
        <is>
          <t>Long An</t>
        </is>
      </c>
      <c r="G7921" t="inlineStr">
        <is>
          <t>15-04-2026</t>
        </is>
      </c>
      <c r="H7921" t="inlineStr">
        <is>
          <t>15/04/2026</t>
        </is>
      </c>
      <c r="I7921" t="inlineStr">
        <is>
          <t>17/03/2026</t>
        </is>
      </c>
      <c r="J7921" t="inlineStr">
        <is>
          <t>Cơ khí / Ô tô / Tự động hóa, Điện / Điện tử / Điện lạnh / Điện công nghiệp, Bảo trì / Sửa chữa</t>
        </is>
      </c>
      <c r="K7921" t="inlineStr">
        <is>
          <t>1 - 5 Năm</t>
        </is>
      </c>
      <c r="L7921" s="8">
        <f>HYPERLINK("https://careerviet.vn/vi/tim-viec-lam/nhan-vien-sua-chua-board-mach-dien-tu.35C6CCA4.html","Xem chi tiết")</f>
        <v/>
      </c>
    </row>
    <row r="7922">
      <c r="B7922" s="9" t="n">
        <v>7920</v>
      </c>
      <c r="C7922" s="10" t="inlineStr">
        <is>
          <t>Chuyên Viên SEO (More Technical)(Mới)</t>
        </is>
      </c>
      <c r="D7922" s="10" t="inlineStr">
        <is>
          <t>Công Ty TNHH XNK Phát Triển Đông Dương</t>
        </is>
      </c>
      <c r="E7922" s="10" t="inlineStr">
        <is>
          <t>Lương:13 Tr - 17 Tr VND</t>
        </is>
      </c>
      <c r="F7922" s="10" t="inlineStr">
        <is>
          <t>Hồ Chí Minh</t>
        </is>
      </c>
      <c r="G7922" s="10" t="inlineStr">
        <is>
          <t>11-04-2026</t>
        </is>
      </c>
      <c r="H7922" s="10" t="inlineStr">
        <is>
          <t>11/04/2026</t>
        </is>
      </c>
      <c r="I7922" s="10" t="inlineStr">
        <is>
          <t>17/03/2026</t>
        </is>
      </c>
      <c r="J7922" s="10" t="inlineStr">
        <is>
          <t>Tiếp thị / Marketing, Quảng cáo / Đối ngoại / Truyền Thông</t>
        </is>
      </c>
      <c r="K7922" s="10" t="inlineStr">
        <is>
          <t>2 - 3 Năm</t>
        </is>
      </c>
      <c r="L7922" s="11">
        <f>HYPERLINK("https://careerviet.vn/vi/tim-viec-lam/chuyen-vien-seo-more-technical.35C6CCA2.html","Xem chi tiết")</f>
        <v/>
      </c>
      <c r="M7922" s="10" t="n"/>
    </row>
    <row r="7923">
      <c r="B7923" s="7" t="n">
        <v>7921</v>
      </c>
      <c r="C7923" t="inlineStr">
        <is>
          <t>Kế toán tổng hợp(Mới)</t>
        </is>
      </c>
      <c r="D7923" t="inlineStr">
        <is>
          <t>Công ty Cổ phần Vietsol</t>
        </is>
      </c>
      <c r="E7923" t="inlineStr">
        <is>
          <t>Lương:15 Tr - 20 Tr VND</t>
        </is>
      </c>
      <c r="F7923" t="inlineStr">
        <is>
          <t>Hà Nội</t>
        </is>
      </c>
      <c r="G7923" t="inlineStr">
        <is>
          <t>31-05-2026</t>
        </is>
      </c>
      <c r="H7923" t="inlineStr">
        <is>
          <t>31/05/2026</t>
        </is>
      </c>
      <c r="I7923" t="inlineStr">
        <is>
          <t>17/03/2026</t>
        </is>
      </c>
      <c r="J7923" t="inlineStr">
        <is>
          <t>Kế toán / Kiểm toán</t>
        </is>
      </c>
      <c r="K7923" t="inlineStr">
        <is>
          <t>3 - 5 Năm</t>
        </is>
      </c>
      <c r="L7923" s="8">
        <f>HYPERLINK("https://careerviet.vn/vi/tim-viec-lam/ke-toan-tong-hop.35C6CC9F.html","Xem chi tiết")</f>
        <v/>
      </c>
    </row>
    <row r="7924">
      <c r="B7924" s="9" t="n">
        <v>7922</v>
      </c>
      <c r="C7924" s="10" t="inlineStr">
        <is>
          <t>Nhân Viên Thiết Kế Triển Khai 2D Nội Thất - Làm Việc Tại HCM(Mới)</t>
        </is>
      </c>
      <c r="D7924" s="10" t="inlineStr">
        <is>
          <t>CÔNG TY TNHH ĐẦU TƯ XÂY DỰNG QUÂN ĐẠT</t>
        </is>
      </c>
      <c r="E7924" s="10" t="inlineStr">
        <is>
          <t>Lương:14 Tr - 18 Tr VND</t>
        </is>
      </c>
      <c r="F7924" s="10" t="inlineStr">
        <is>
          <t>Hồ Chí Minh</t>
        </is>
      </c>
      <c r="G7924" s="10" t="inlineStr">
        <is>
          <t>16-04-2026</t>
        </is>
      </c>
      <c r="H7924" s="10" t="inlineStr">
        <is>
          <t>16/04/2026</t>
        </is>
      </c>
      <c r="I7924" s="10" t="inlineStr">
        <is>
          <t>17/03/2026</t>
        </is>
      </c>
      <c r="J7924" s="10" t="inlineStr">
        <is>
          <t>Xây dựng, Nội ngoại thất, Kiến trúc</t>
        </is>
      </c>
      <c r="K7924" s="10" t="inlineStr">
        <is>
          <t>Trên 1 Năm</t>
        </is>
      </c>
      <c r="L7924" s="11">
        <f>HYPERLINK("https://careerviet.vn/vi/tim-viec-lam/nhan-vien-thiet-ke-trien-khai-2d-noi-that-lam-viec-tai-hcm.35C6CC99.html","Xem chi tiết")</f>
        <v/>
      </c>
      <c r="M7924" s="10" t="n"/>
    </row>
    <row r="7925">
      <c r="B7925" s="7" t="n">
        <v>7923</v>
      </c>
      <c r="C7925" t="inlineStr">
        <is>
          <t>CHUYÊN VIÊN QC  (Ha Noi)(Mới)</t>
        </is>
      </c>
      <c r="D7925" t="inlineStr">
        <is>
          <t>Công Ty TNHH CJ Foods Việt Nam</t>
        </is>
      </c>
      <c r="E7925" t="inlineStr">
        <is>
          <t>Lương:Cạnh tranh</t>
        </is>
      </c>
      <c r="F7925" t="inlineStr">
        <is>
          <t>Hà Nội</t>
        </is>
      </c>
      <c r="G7925" t="inlineStr">
        <is>
          <t>11-04-2026</t>
        </is>
      </c>
      <c r="H7925" t="inlineStr">
        <is>
          <t>11/04/2026</t>
        </is>
      </c>
      <c r="I7925" t="inlineStr">
        <is>
          <t>17/03/2026</t>
        </is>
      </c>
      <c r="J7925" t="inlineStr">
        <is>
          <t>Công nghệ thực phẩm / Dinh dưỡng, Sản xuất / Vận hành sản xuất, Quản lý chất lượng (QA/QC)</t>
        </is>
      </c>
      <c r="K7925" t="inlineStr">
        <is>
          <t>1 - 3 Năm</t>
        </is>
      </c>
      <c r="L7925" s="8">
        <f>HYPERLINK("https://careerviet.vn/vi/tim-viec-lam/chuyen-vien-qc-ha-noi.35C6CC8A.html","Xem chi tiết")</f>
        <v/>
      </c>
    </row>
    <row r="7926">
      <c r="B7926" s="9" t="n">
        <v>7924</v>
      </c>
      <c r="C7926" s="10" t="inlineStr">
        <is>
          <t>Kỹ Sư Điện - Giám Sát Thi Công MEP - Làm Việc Tại TPHCM(Mới)</t>
        </is>
      </c>
      <c r="D7926" s="10" t="inlineStr">
        <is>
          <t>CÔNG TY TNHH ĐẦU TƯ XÂY DỰNG QUÂN ĐẠT</t>
        </is>
      </c>
      <c r="E7926" s="10" t="inlineStr">
        <is>
          <t>Lương:15 Tr - 18 Tr VND</t>
        </is>
      </c>
      <c r="F7926" s="10" t="inlineStr">
        <is>
          <t>Hồ Chí Minh</t>
        </is>
      </c>
      <c r="G7926" s="10" t="inlineStr">
        <is>
          <t>16-04-2026</t>
        </is>
      </c>
      <c r="H7926" s="10" t="inlineStr">
        <is>
          <t>16/04/2026</t>
        </is>
      </c>
      <c r="I7926" s="10" t="inlineStr">
        <is>
          <t>17/03/2026</t>
        </is>
      </c>
      <c r="J7926" s="10" t="inlineStr">
        <is>
          <t>Xây dựng, Điện / Điện tử / Điện lạnh / Điện công nghiệp, Nội ngoại thất</t>
        </is>
      </c>
      <c r="K7926" s="10" t="inlineStr">
        <is>
          <t>Trên 1 Năm</t>
        </is>
      </c>
      <c r="L7926" s="11">
        <f>HYPERLINK("https://careerviet.vn/vi/tim-viec-lam/ky-su-dien-giam-sat-thi-cong-mep-lam-viec-tai-tphcm.35C6CCA3.html","Xem chi tiết")</f>
        <v/>
      </c>
      <c r="M7926" s="10" t="n"/>
    </row>
    <row r="7927">
      <c r="B7927" s="7" t="n">
        <v>7925</v>
      </c>
      <c r="C7927" t="inlineStr">
        <is>
          <t>Quản Lý Thiết Kế Kiến Trúc - Nội Thất(Mới)</t>
        </is>
      </c>
      <c r="D7927" t="inlineStr">
        <is>
          <t>CÔNG TY CỔ PHẦN TẬP ĐOÀN LUKLAK VIỆT NAM</t>
        </is>
      </c>
      <c r="E7927" t="inlineStr">
        <is>
          <t>Lương:18 Tr - 35 Tr VND</t>
        </is>
      </c>
      <c r="F7927" t="inlineStr">
        <is>
          <t>Hà Nội</t>
        </is>
      </c>
      <c r="G7927" t="inlineStr">
        <is>
          <t>16-04-2026</t>
        </is>
      </c>
      <c r="H7927" t="inlineStr">
        <is>
          <t>16/04/2026</t>
        </is>
      </c>
      <c r="I7927" t="inlineStr">
        <is>
          <t>17/03/2026</t>
        </is>
      </c>
      <c r="J7927" t="inlineStr">
        <is>
          <t>Kiến trúc, Nội ngoại thất</t>
        </is>
      </c>
      <c r="K7927" t="inlineStr">
        <is>
          <t>3 - 5 Năm</t>
        </is>
      </c>
      <c r="L7927" s="8">
        <f>HYPERLINK("https://careerviet.vn/vi/tim-viec-lam/quan-ly-thiet-ke-kien-truc-noi-that.35C6CC63.html","Xem chi tiết")</f>
        <v/>
      </c>
    </row>
    <row r="7928">
      <c r="B7928" s="9" t="n">
        <v>7926</v>
      </c>
      <c r="C7928" s="10" t="inlineStr">
        <is>
          <t>Nhân viên Truyền thông thị trường(Mới)</t>
        </is>
      </c>
      <c r="D7928" s="10" t="inlineStr">
        <is>
          <t>Công ty Vàng Bạc Đá Qúy Bảo Tín Minh Châu</t>
        </is>
      </c>
      <c r="E7928" s="10" t="inlineStr">
        <is>
          <t>Lương:12 Tr - 20 Tr VND</t>
        </is>
      </c>
      <c r="F7928" s="10" t="inlineStr">
        <is>
          <t>Hà Nội</t>
        </is>
      </c>
      <c r="G7928" s="10" t="inlineStr">
        <is>
          <t>10-04-2026</t>
        </is>
      </c>
      <c r="H7928" s="10" t="inlineStr">
        <is>
          <t>10/04/2026</t>
        </is>
      </c>
      <c r="I7928" s="10" t="inlineStr">
        <is>
          <t>17/03/2026</t>
        </is>
      </c>
      <c r="J7928" s="10" t="inlineStr">
        <is>
          <t>Tiếp thị / Marketing</t>
        </is>
      </c>
      <c r="K7928" s="10" t="inlineStr">
        <is>
          <t>Chưa có kinh nghiệm</t>
        </is>
      </c>
      <c r="L7928" s="11">
        <f>HYPERLINK("https://careerviet.vn/vi/tim-viec-lam/nhan-vien-truyen-thong-thi-truong.35C6BBAD.html","Xem chi tiết")</f>
        <v/>
      </c>
      <c r="M7928" s="10" t="n"/>
    </row>
    <row r="7929">
      <c r="B7929" s="7" t="n">
        <v>7927</v>
      </c>
      <c r="C7929" t="inlineStr">
        <is>
          <t>Nhân Viên Kinh Doanh(Mới)</t>
        </is>
      </c>
      <c r="D7929" t="inlineStr">
        <is>
          <t>CÔNG TY CỔ PHẦN TẬP ĐOÀN LUKLAK VIỆT NAM</t>
        </is>
      </c>
      <c r="E7929" t="inlineStr">
        <is>
          <t>Lương:10 Tr - 40 Tr VND</t>
        </is>
      </c>
      <c r="F7929" t="inlineStr">
        <is>
          <t>Hà Nội</t>
        </is>
      </c>
      <c r="G7929" t="inlineStr">
        <is>
          <t>16-04-2026</t>
        </is>
      </c>
      <c r="H7929" t="inlineStr">
        <is>
          <t>16/04/2026</t>
        </is>
      </c>
      <c r="I7929" t="inlineStr">
        <is>
          <t>17/03/2026</t>
        </is>
      </c>
      <c r="J7929" t="inlineStr">
        <is>
          <t>Nội ngoại thất, Bán hàng / Kinh doanh, Tư vấn</t>
        </is>
      </c>
      <c r="K7929" t="inlineStr">
        <is>
          <t>N/A</t>
        </is>
      </c>
      <c r="L7929" s="8">
        <f>HYPERLINK("https://careerviet.vn/vi/tim-viec-lam/nhan-vien-kinh-doanh.35C6CC8D.html","Xem chi tiết")</f>
        <v/>
      </c>
    </row>
    <row r="7930">
      <c r="B7930" s="9" t="n">
        <v>7928</v>
      </c>
      <c r="C7930" s="10" t="inlineStr">
        <is>
          <t>Quản Lý Cửa Hàng Thời Trang Mỹ Phẩm - Lương cơ bản 16-21 triệu, chưa bao gồm hoa hồng(Mới)</t>
        </is>
      </c>
      <c r="D7930" s="10" t="inlineStr">
        <is>
          <t>Công ty TNHH Sản xuất Thương mại &amp; Dịch vụ Hoa Xinh</t>
        </is>
      </c>
      <c r="E7930" s="10" t="inlineStr">
        <is>
          <t>Lương:18 Tr - 30 Tr VND</t>
        </is>
      </c>
      <c r="F7930" s="10" t="inlineStr">
        <is>
          <t>Hà Nội</t>
        </is>
      </c>
      <c r="G7930" s="10" t="inlineStr">
        <is>
          <t>3</t>
        </is>
      </c>
      <c r="H7930" s="10" t="inlineStr">
        <is>
          <t>20/03/2026</t>
        </is>
      </c>
      <c r="I7930" s="10" t="inlineStr">
        <is>
          <t>17/03/2026</t>
        </is>
      </c>
      <c r="J7930" s="10" t="inlineStr">
        <is>
          <t>Bán lẻ / Bán sỉ, Dệt may / Da giày / Thời trang, Bán hàng / Kinh doanh</t>
        </is>
      </c>
      <c r="K7930" s="10" t="inlineStr">
        <is>
          <t>1 - 10 Năm</t>
        </is>
      </c>
      <c r="L7930" s="11">
        <f>HYPERLINK("https://careerviet.vn/vi/tim-viec-lam/quan-ly-cua-hang-thoi-trang-my-pham-luong-co-ban-16-21-trieu-chua-bao-gom-hoa-hong.35C6CC87.html","Xem chi tiết")</f>
        <v/>
      </c>
      <c r="M7930" s="10" t="n"/>
    </row>
    <row r="7931">
      <c r="B7931" s="7" t="n">
        <v>7929</v>
      </c>
      <c r="C7931" t="inlineStr">
        <is>
          <t>Trưởng phòng Vận hành Nghiệp vụ Chứng khoán(Mới)</t>
        </is>
      </c>
      <c r="D7931" t="inlineStr">
        <is>
          <t>CÔNG TY CỔ PHẦN CHỨNG KHOÁN HD</t>
        </is>
      </c>
      <c r="E7931" t="inlineStr">
        <is>
          <t>Lương:Cạnh tranh</t>
        </is>
      </c>
      <c r="F7931" t="inlineStr">
        <is>
          <t>Hồ Chí Minh</t>
        </is>
      </c>
      <c r="G7931" t="inlineStr">
        <is>
          <t>30-05-2026</t>
        </is>
      </c>
      <c r="H7931" t="inlineStr">
        <is>
          <t>30/05/2026</t>
        </is>
      </c>
      <c r="I7931" t="inlineStr">
        <is>
          <t>17/03/2026</t>
        </is>
      </c>
      <c r="J7931" t="inlineStr">
        <is>
          <t>Ngân hàng, Chứng khoán, Tài chính / Đầu tư</t>
        </is>
      </c>
      <c r="K7931" t="inlineStr">
        <is>
          <t>Trên 5 Năm</t>
        </is>
      </c>
      <c r="L7931" s="8">
        <f>HYPERLINK("https://careerviet.vn/vi/tim-viec-lam/truong-phong-van-hanh-nghiep-vu-chung-khoan.35C6CC89.html","Xem chi tiết")</f>
        <v/>
      </c>
    </row>
    <row r="7932">
      <c r="B7932" s="9" t="n">
        <v>7930</v>
      </c>
      <c r="C7932" s="10" t="inlineStr">
        <is>
          <t>PROCUREMENT / BUYER(Mới)</t>
        </is>
      </c>
      <c r="D7932" s="10" t="inlineStr">
        <is>
          <t>JINGDONG Company JD.com</t>
        </is>
      </c>
      <c r="E7932" s="10" t="inlineStr">
        <is>
          <t>Lương:2.000 - 5.000 USD</t>
        </is>
      </c>
      <c r="F7932" s="10" t="inlineStr">
        <is>
          <t>Hà NộiHồ Chí Minh</t>
        </is>
      </c>
      <c r="G7932" s="10" t="inlineStr">
        <is>
          <t>31-05-2026</t>
        </is>
      </c>
      <c r="H7932" s="10" t="inlineStr">
        <is>
          <t>31/05/2026</t>
        </is>
      </c>
      <c r="I7932" s="10" t="inlineStr">
        <is>
          <t>17/03/2026</t>
        </is>
      </c>
      <c r="J7932" s="10" t="inlineStr">
        <is>
          <t>Bảo trì / Sửa chữa</t>
        </is>
      </c>
      <c r="K7932" s="10" t="inlineStr">
        <is>
          <t>3 - 10 Năm</t>
        </is>
      </c>
      <c r="L7932" s="11">
        <f>HYPERLINK("https://careerviet.vn/vi/tim-viec-lam/procurement-buyer.35C6CC94.html","Xem chi tiết")</f>
        <v/>
      </c>
      <c r="M7932" s="10" t="n"/>
    </row>
    <row r="7933">
      <c r="B7933" s="7" t="n">
        <v>7931</v>
      </c>
      <c r="C7933" t="inlineStr">
        <is>
          <t>Nhân viên Social Media(Mới)</t>
        </is>
      </c>
      <c r="D7933" t="inlineStr">
        <is>
          <t>Công Ty Cổ Phần Công Nghiệp Và Thương Mại Cường Thịnh</t>
        </is>
      </c>
      <c r="E7933" t="inlineStr">
        <is>
          <t>Lương:12 Tr - 15 Tr VND</t>
        </is>
      </c>
      <c r="F7933" t="inlineStr">
        <is>
          <t>Hồ Chí Minh</t>
        </is>
      </c>
      <c r="G7933" t="inlineStr">
        <is>
          <t>31-03-2026</t>
        </is>
      </c>
      <c r="H7933" t="inlineStr">
        <is>
          <t>31/03/2026</t>
        </is>
      </c>
      <c r="I7933" t="inlineStr">
        <is>
          <t>17/03/2026</t>
        </is>
      </c>
      <c r="J7933" t="inlineStr">
        <is>
          <t>Cơ khí / Ô tô / Tự động hóa, Tiếp thị / Marketing, Thương mại điện tử</t>
        </is>
      </c>
      <c r="K7933" t="inlineStr">
        <is>
          <t>1 - 2 Năm</t>
        </is>
      </c>
      <c r="L7933" s="8">
        <f>HYPERLINK("https://careerviet.vn/vi/tim-viec-lam/nhan-vien-social-media.35C6CC84.html","Xem chi tiết")</f>
        <v/>
      </c>
    </row>
    <row r="7934">
      <c r="B7934" s="9" t="n">
        <v>7932</v>
      </c>
      <c r="C7934" s="10" t="inlineStr">
        <is>
          <t>Nhân viên Kinh doanh Bảo hiểm khu vực Hà Nội(Mới)</t>
        </is>
      </c>
      <c r="D7934" s="10" t="inlineStr">
        <is>
          <t>TỔNG CÔNG TY CỔ PHẦN BẢO HIỂM HÙNG VƯƠNG</t>
        </is>
      </c>
      <c r="E7934" s="10" t="inlineStr">
        <is>
          <t>Lương:Cạnh tranh</t>
        </is>
      </c>
      <c r="F7934" s="10" t="inlineStr">
        <is>
          <t>Hà Nội</t>
        </is>
      </c>
      <c r="G7934" s="10" t="inlineStr">
        <is>
          <t>14-04-2026</t>
        </is>
      </c>
      <c r="H7934" s="10" t="inlineStr">
        <is>
          <t>14/04/2026</t>
        </is>
      </c>
      <c r="I7934" s="10" t="inlineStr">
        <is>
          <t>17/03/2026</t>
        </is>
      </c>
      <c r="J7934" s="10" t="inlineStr">
        <is>
          <t>Bảo hiểm, Bán hàng / Kinh doanh</t>
        </is>
      </c>
      <c r="K7934" s="10" t="inlineStr">
        <is>
          <t>Trên 1 Năm</t>
        </is>
      </c>
      <c r="L7934" s="11">
        <f>HYPERLINK("https://careerviet.vn/vi/tim-viec-lam/nhan-vien-kinh-doanh-bao-hiem-khu-vuc-ha-noi.35C6CC80.html","Xem chi tiết")</f>
        <v/>
      </c>
      <c r="M7934" s="10" t="n"/>
    </row>
    <row r="7935">
      <c r="B7935" s="7" t="n">
        <v>7933</v>
      </c>
      <c r="C7935" t="inlineStr">
        <is>
          <t>Nhân viên Kinh doanh Bảo hiểm khu vực Phú Yên - Bình Định(Mới)</t>
        </is>
      </c>
      <c r="D7935" t="inlineStr">
        <is>
          <t>TỔNG CÔNG TY CỔ PHẦN BẢO HIỂM HÙNG VƯƠNG</t>
        </is>
      </c>
      <c r="E7935" t="inlineStr">
        <is>
          <t>Lương:Cạnh tranh</t>
        </is>
      </c>
      <c r="F7935" t="inlineStr">
        <is>
          <t>Bình Định</t>
        </is>
      </c>
      <c r="G7935" t="inlineStr">
        <is>
          <t>14-04-2026</t>
        </is>
      </c>
      <c r="H7935" t="inlineStr">
        <is>
          <t>14/04/2026</t>
        </is>
      </c>
      <c r="I7935" t="inlineStr">
        <is>
          <t>17/03/2026</t>
        </is>
      </c>
      <c r="J7935" t="inlineStr">
        <is>
          <t>Bảo hiểm, Bán hàng / Kinh doanh</t>
        </is>
      </c>
      <c r="K7935" t="inlineStr">
        <is>
          <t>Trên 1 Năm</t>
        </is>
      </c>
      <c r="L7935" s="8">
        <f>HYPERLINK("https://careerviet.vn/vi/tim-viec-lam/nhan-vien-kinh-doanh-bao-hiem-khu-vuc-phu-yen-binh-dinh.35C6CC85.html","Xem chi tiết")</f>
        <v/>
      </c>
    </row>
    <row r="7936">
      <c r="B7936" s="9" t="n">
        <v>7934</v>
      </c>
      <c r="C7936" s="10" t="inlineStr">
        <is>
          <t>Chuyên viên Content Creator(Mới)</t>
        </is>
      </c>
      <c r="D7936" s="10" t="inlineStr">
        <is>
          <t>CÔNG TY CỔ PHẦN SẢN XUẤT &amp; XUẤT NHẬP KHẨU HAT+</t>
        </is>
      </c>
      <c r="E7936" s="10" t="inlineStr">
        <is>
          <t>Lương:10 Tr - 15 Tr VND</t>
        </is>
      </c>
      <c r="F7936" s="10" t="inlineStr">
        <is>
          <t>Hà Nội</t>
        </is>
      </c>
      <c r="G7936" s="10" t="inlineStr">
        <is>
          <t>15-04-2026</t>
        </is>
      </c>
      <c r="H7936" s="10" t="inlineStr">
        <is>
          <t>15/04/2026</t>
        </is>
      </c>
      <c r="I7936" s="10" t="inlineStr">
        <is>
          <t>17/03/2026</t>
        </is>
      </c>
      <c r="J7936" s="10" t="inlineStr">
        <is>
          <t>Tiếp thị / Marketing, Tiếp thị trực tuyến, Dệt may / Da giày / Thời trang</t>
        </is>
      </c>
      <c r="K7936" s="10" t="inlineStr">
        <is>
          <t>3 - 5 Năm</t>
        </is>
      </c>
      <c r="L7936" s="11">
        <f>HYPERLINK("https://careerviet.vn/vi/tim-viec-lam/chuyen-vien-content-creator.35C6CC8B.html","Xem chi tiết")</f>
        <v/>
      </c>
      <c r="M7936" s="10" t="n"/>
    </row>
    <row r="7937">
      <c r="B7937" s="7" t="n">
        <v>7935</v>
      </c>
      <c r="C7937" t="inlineStr">
        <is>
          <t>Kế Toán Nội Bộ(Mới)</t>
        </is>
      </c>
      <c r="D7937" t="inlineStr">
        <is>
          <t>Công ty cổ phần công nghệ y học tái sinh Việt Nhật</t>
        </is>
      </c>
      <c r="E7937" t="inlineStr">
        <is>
          <t>Lương:8 Tr - 12 Tr VND</t>
        </is>
      </c>
      <c r="F7937" t="inlineStr">
        <is>
          <t>Hà Nội</t>
        </is>
      </c>
      <c r="G7937" t="inlineStr">
        <is>
          <t>16-04-2026</t>
        </is>
      </c>
      <c r="H7937" t="inlineStr">
        <is>
          <t>16/04/2026</t>
        </is>
      </c>
      <c r="I7937" t="inlineStr">
        <is>
          <t>17/03/2026</t>
        </is>
      </c>
      <c r="J7937" t="inlineStr">
        <is>
          <t>Kế toán / Kiểm toán, Dược phẩm/ Hóa Mỹ Phẩm, Y tế / Chăm sóc sức khỏe / Thẩm mỹ / Làm đẹp</t>
        </is>
      </c>
      <c r="K7937" t="inlineStr">
        <is>
          <t>1 - 2 Năm</t>
        </is>
      </c>
      <c r="L7937" s="8">
        <f>HYPERLINK("https://careerviet.vn/vi/tim-viec-lam/ke-toan-noi-bo.35C6CC07.html","Xem chi tiết")</f>
        <v/>
      </c>
    </row>
    <row r="7938">
      <c r="B7938" s="9" t="n">
        <v>7936</v>
      </c>
      <c r="C7938" s="10" t="inlineStr">
        <is>
          <t>Nhân Viên Dự Toán Báo Giá - Làm Việc Tại TPHCM(Mới)</t>
        </is>
      </c>
      <c r="D7938" s="10" t="inlineStr">
        <is>
          <t>CÔNG TY TNHH ĐẦU TƯ XÂY DỰNG QUÂN ĐẠT</t>
        </is>
      </c>
      <c r="E7938" s="10" t="inlineStr">
        <is>
          <t>Lương:15 Tr - 20 Tr VND</t>
        </is>
      </c>
      <c r="F7938" s="10" t="inlineStr">
        <is>
          <t>Hồ Chí Minh</t>
        </is>
      </c>
      <c r="G7938" s="10" t="inlineStr">
        <is>
          <t>16-04-2026</t>
        </is>
      </c>
      <c r="H7938" s="10" t="inlineStr">
        <is>
          <t>16/04/2026</t>
        </is>
      </c>
      <c r="I7938" s="10" t="inlineStr">
        <is>
          <t>17/03/2026</t>
        </is>
      </c>
      <c r="J7938" s="10" t="inlineStr">
        <is>
          <t>Xây dựng, Nội ngoại thất, Kiến trúc</t>
        </is>
      </c>
      <c r="K7938" s="10" t="inlineStr">
        <is>
          <t>Trên 1 Năm</t>
        </is>
      </c>
      <c r="L7938" s="11">
        <f>HYPERLINK("https://careerviet.vn/vi/tim-viec-lam/nhan-vien-du-toan-bao-gia-lam-viec-tai-tphcm.35C6CC83.html","Xem chi tiết")</f>
        <v/>
      </c>
      <c r="M7938" s="10" t="n"/>
    </row>
    <row r="7939">
      <c r="B7939" s="7" t="n">
        <v>7937</v>
      </c>
      <c r="C7939" t="inlineStr">
        <is>
          <t>Chuyên gia tính toán Bảo hiểm Phi nhân thọ (Actuary Anylist)(Mới)</t>
        </is>
      </c>
      <c r="D7939" t="inlineStr">
        <is>
          <t>TỔNG CÔNG TY CỔ PHẦN BẢO HIỂM HÙNG VƯƠNG</t>
        </is>
      </c>
      <c r="E7939" t="inlineStr">
        <is>
          <t>Lương:Cạnh tranh</t>
        </is>
      </c>
      <c r="F7939" t="inlineStr">
        <is>
          <t>Hà NộiHồ Chí Minh</t>
        </is>
      </c>
      <c r="G7939" t="inlineStr">
        <is>
          <t>14-04-2026</t>
        </is>
      </c>
      <c r="H7939" t="inlineStr">
        <is>
          <t>14/04/2026</t>
        </is>
      </c>
      <c r="I7939" t="inlineStr">
        <is>
          <t>17/03/2026</t>
        </is>
      </c>
      <c r="J7939" t="inlineStr">
        <is>
          <t>Bảo hiểm, Quản lý chất lượng (QA/QC)</t>
        </is>
      </c>
      <c r="K7939" t="inlineStr">
        <is>
          <t>Trên 5 Năm</t>
        </is>
      </c>
      <c r="L7939" s="8">
        <f>HYPERLINK("https://careerviet.vn/vi/tim-viec-lam/chuyen-gia-tinh-toan-bao-hiem-phi-nhan-tho-actuary-anylist.35C6CC7E.html","Xem chi tiết")</f>
        <v/>
      </c>
    </row>
    <row r="7940">
      <c r="B7940" s="9" t="n">
        <v>7938</v>
      </c>
      <c r="C7940" s="10" t="inlineStr">
        <is>
          <t>Nhân viên Truyền thông nội bộ (Internal Communication)(Mới)</t>
        </is>
      </c>
      <c r="D7940" s="10" t="inlineStr">
        <is>
          <t>Công ty TNHH PHD</t>
        </is>
      </c>
      <c r="E7940" s="10" t="inlineStr">
        <is>
          <t>Lương:10 Tr - 15 Tr VND</t>
        </is>
      </c>
      <c r="F7940" s="10" t="inlineStr">
        <is>
          <t>Hà Nội</t>
        </is>
      </c>
      <c r="G7940" s="10" t="inlineStr">
        <is>
          <t>16-04-2026</t>
        </is>
      </c>
      <c r="H7940" s="10" t="inlineStr">
        <is>
          <t>16/04/2026</t>
        </is>
      </c>
      <c r="I7940" s="10" t="inlineStr">
        <is>
          <t>17/03/2026</t>
        </is>
      </c>
      <c r="J7940" s="10" t="inlineStr">
        <is>
          <t>Nhân sự</t>
        </is>
      </c>
      <c r="K7940" s="10" t="inlineStr">
        <is>
          <t>2 - 3 Năm</t>
        </is>
      </c>
      <c r="L7940" s="11">
        <f>HYPERLINK("https://careerviet.vn/vi/tim-viec-lam/nhan-vien-truyen-thong-noi-bo-internal-communication.35C6CC78.html","Xem chi tiết")</f>
        <v/>
      </c>
      <c r="M7940" s="10" t="n"/>
    </row>
    <row r="7941">
      <c r="B7941" s="7" t="n">
        <v>7939</v>
      </c>
      <c r="C7941" t="inlineStr">
        <is>
          <t>Performance Marketing Executive(Mới)</t>
        </is>
      </c>
      <c r="D7941" t="inlineStr">
        <is>
          <t>Công ty TNHH TOM Group Việt Nam</t>
        </is>
      </c>
      <c r="E7941" t="inlineStr">
        <is>
          <t>Lương:12 Tr - 16 Tr VND</t>
        </is>
      </c>
      <c r="F7941" t="inlineStr">
        <is>
          <t>Hồ Chí Minh</t>
        </is>
      </c>
      <c r="G7941" t="inlineStr">
        <is>
          <t>16-04-2026</t>
        </is>
      </c>
      <c r="H7941" t="inlineStr">
        <is>
          <t>16/04/2026</t>
        </is>
      </c>
      <c r="I7941" t="inlineStr">
        <is>
          <t>17/03/2026</t>
        </is>
      </c>
      <c r="J7941" t="inlineStr">
        <is>
          <t>Tiếp thị / Marketing</t>
        </is>
      </c>
      <c r="K7941" t="inlineStr">
        <is>
          <t>1 - 3 Năm</t>
        </is>
      </c>
      <c r="L7941" s="8">
        <f>HYPERLINK("https://careerviet.vn/vi/tim-viec-lam/performance-marketing-executive.35C6CC7C.html","Xem chi tiết")</f>
        <v/>
      </c>
    </row>
    <row r="7942">
      <c r="B7942" s="9" t="n">
        <v>7940</v>
      </c>
      <c r="C7942" s="10" t="inlineStr">
        <is>
          <t>Chuyên viên Truyền thông - Marketing lĩnh vực Bảo hiểm Phi nhân thọ(Mới)</t>
        </is>
      </c>
      <c r="D7942" s="10" t="inlineStr">
        <is>
          <t>TỔNG CÔNG TY CỔ PHẦN BẢO HIỂM HÙNG VƯƠNG</t>
        </is>
      </c>
      <c r="E7942" s="10" t="inlineStr">
        <is>
          <t>Lương:Cạnh tranh</t>
        </is>
      </c>
      <c r="F7942" s="10" t="inlineStr">
        <is>
          <t>Hà Nội</t>
        </is>
      </c>
      <c r="G7942" s="10" t="inlineStr">
        <is>
          <t>14-04-2026</t>
        </is>
      </c>
      <c r="H7942" s="10" t="inlineStr">
        <is>
          <t>14/04/2026</t>
        </is>
      </c>
      <c r="I7942" s="10" t="inlineStr">
        <is>
          <t>17/03/2026</t>
        </is>
      </c>
      <c r="J7942" s="10" t="inlineStr">
        <is>
          <t>Mỹ thuật / Nghệ thuật / Thiết kế, Bảo hiểm, Quảng cáo / Đối ngoại / Truyền Thông</t>
        </is>
      </c>
      <c r="K7942" s="10" t="inlineStr">
        <is>
          <t>Trên 2 Năm</t>
        </is>
      </c>
      <c r="L7942" s="11">
        <f>HYPERLINK("https://careerviet.vn/vi/tim-viec-lam/chuyen-vien-truyen-thong-marketing-linh-vuc-bao-hiem-phi-nhan-tho.35C6CC75.html","Xem chi tiết")</f>
        <v/>
      </c>
      <c r="M7942" s="10" t="n"/>
    </row>
    <row r="7943">
      <c r="B7943" s="7" t="n">
        <v>7941</v>
      </c>
      <c r="C7943" t="inlineStr">
        <is>
          <t>Key Account Manager(Mới)</t>
        </is>
      </c>
      <c r="D7943" t="inlineStr">
        <is>
          <t>JINGDONG Company JD.com</t>
        </is>
      </c>
      <c r="E7943" t="inlineStr">
        <is>
          <t>Lương:3.000 - 6.000 USD</t>
        </is>
      </c>
      <c r="F7943" t="inlineStr">
        <is>
          <t>Hà Nội</t>
        </is>
      </c>
      <c r="G7943" t="inlineStr">
        <is>
          <t>31-05-2026</t>
        </is>
      </c>
      <c r="H7943" t="inlineStr">
        <is>
          <t>31/05/2026</t>
        </is>
      </c>
      <c r="I7943" t="inlineStr">
        <is>
          <t>17/03/2026</t>
        </is>
      </c>
      <c r="J7943" t="inlineStr">
        <is>
          <t>Bán hàng / Kinh doanh</t>
        </is>
      </c>
      <c r="K7943" t="inlineStr">
        <is>
          <t>3 - 10 NămĐịa điểm</t>
        </is>
      </c>
      <c r="L7943" s="8">
        <f>HYPERLINK("https://careerviet.vn/vi/tim-viec-lam/key-account-manager.35C6CC7F.html","Xem chi tiết")</f>
        <v/>
      </c>
    </row>
    <row r="7944">
      <c r="B7944" s="9" t="n">
        <v>7942</v>
      </c>
      <c r="C7944" s="10" t="inlineStr">
        <is>
          <t>AUTOMATION TESTER(Mới)</t>
        </is>
      </c>
      <c r="D7944" s="10" t="inlineStr">
        <is>
          <t>CÔNG TY TNHH CÔNG NGHỆ B2B</t>
        </is>
      </c>
      <c r="E7944" s="10" t="inlineStr">
        <is>
          <t>Lương:Cạnh tranh</t>
        </is>
      </c>
      <c r="F7944" s="10" t="inlineStr">
        <is>
          <t>Hồ Chí Minh</t>
        </is>
      </c>
      <c r="G7944" s="10" t="inlineStr">
        <is>
          <t>31-07-2026</t>
        </is>
      </c>
      <c r="H7944" s="10" t="inlineStr">
        <is>
          <t>31/07/2026</t>
        </is>
      </c>
      <c r="I7944" s="10" t="inlineStr">
        <is>
          <t>17/03/2026</t>
        </is>
      </c>
      <c r="J7944" s="10" t="inlineStr">
        <is>
          <t>CNTT - Phần mềm, CNTT - Phần cứng / Mạng</t>
        </is>
      </c>
      <c r="K7944" s="10" t="inlineStr">
        <is>
          <t>2 - 3 Năm</t>
        </is>
      </c>
      <c r="L7944" s="11">
        <f>HYPERLINK("https://careerviet.vn/vi/tim-viec-lam/automation-tester.35C6CC71.html","Xem chi tiết")</f>
        <v/>
      </c>
      <c r="M7944" s="10" t="n"/>
    </row>
    <row r="7945">
      <c r="B7945" s="7" t="n">
        <v>7943</v>
      </c>
      <c r="C7945" t="inlineStr">
        <is>
          <t>Nhân viên Quản lý Nhà cung cấp(Mới)</t>
        </is>
      </c>
      <c r="D7945" t="inlineStr">
        <is>
          <t>Tập Đoàn Kim Tín</t>
        </is>
      </c>
      <c r="E7945" t="inlineStr">
        <is>
          <t>Lương:Cạnh tranh</t>
        </is>
      </c>
      <c r="F7945" t="inlineStr">
        <is>
          <t>Hồ Chí Minh</t>
        </is>
      </c>
      <c r="G7945" t="inlineStr">
        <is>
          <t>17-04-2026</t>
        </is>
      </c>
      <c r="H7945" t="inlineStr">
        <is>
          <t>17/04/2026</t>
        </is>
      </c>
      <c r="I7945" t="inlineStr">
        <is>
          <t>17/03/2026</t>
        </is>
      </c>
      <c r="J7945" t="inlineStr">
        <is>
          <t>Thu mua / Vật tư</t>
        </is>
      </c>
      <c r="K7945" t="inlineStr">
        <is>
          <t>1 - 3 Năm</t>
        </is>
      </c>
      <c r="L7945" s="8">
        <f>HYPERLINK("https://careerviet.vn/vi/tim-viec-lam/nhan-vien-quan-ly-nha-cung-cap.35C6CC7B.html","Xem chi tiết")</f>
        <v/>
      </c>
    </row>
    <row r="7946">
      <c r="B7946" s="9" t="n">
        <v>7944</v>
      </c>
      <c r="C7946" s="10" t="inlineStr">
        <is>
          <t>IT Support Engineer(Mới)</t>
        </is>
      </c>
      <c r="D7946" s="10" t="inlineStr">
        <is>
          <t>Samsung Electronics HCMC CE Complex Co., Ltd</t>
        </is>
      </c>
      <c r="E7946" s="10" t="inlineStr">
        <is>
          <t>Lương:Cạnh tranh</t>
        </is>
      </c>
      <c r="F7946" s="10" t="inlineStr">
        <is>
          <t>Hồ Chí Minh</t>
        </is>
      </c>
      <c r="G7946" s="10" t="inlineStr">
        <is>
          <t>16-04-2026</t>
        </is>
      </c>
      <c r="H7946" s="10" t="inlineStr">
        <is>
          <t>16/04/2026</t>
        </is>
      </c>
      <c r="I7946" s="10" t="inlineStr">
        <is>
          <t>17/03/2026</t>
        </is>
      </c>
      <c r="J7946" s="10" t="inlineStr">
        <is>
          <t>CNTT - Phần mềm, CNTT - Phần cứng / Mạng</t>
        </is>
      </c>
      <c r="K7946" s="10" t="inlineStr">
        <is>
          <t>N/A</t>
        </is>
      </c>
      <c r="L7946" s="11">
        <f>HYPERLINK("https://careerviet.vn/vi/tim-viec-lam/it-support-engineer.35C6CC72.html","Xem chi tiết")</f>
        <v/>
      </c>
      <c r="M7946" s="10" t="n"/>
    </row>
    <row r="7947">
      <c r="B7947" s="7" t="n">
        <v>7945</v>
      </c>
      <c r="C7947" t="inlineStr">
        <is>
          <t>Giám đốc Ban/Trưởng Phòng Pháp chế(Mới)</t>
        </is>
      </c>
      <c r="D7947" t="inlineStr">
        <is>
          <t>TỔNG CÔNG TY CỔ PHẦN BẢO HIỂM HÙNG VƯƠNG</t>
        </is>
      </c>
      <c r="E7947" t="inlineStr">
        <is>
          <t>Lương:Cạnh tranh</t>
        </is>
      </c>
      <c r="F7947" t="inlineStr">
        <is>
          <t>Hà Nội</t>
        </is>
      </c>
      <c r="G7947" t="inlineStr">
        <is>
          <t>14-04-2026</t>
        </is>
      </c>
      <c r="H7947" t="inlineStr">
        <is>
          <t>14/04/2026</t>
        </is>
      </c>
      <c r="I7947" t="inlineStr">
        <is>
          <t>17/03/2026</t>
        </is>
      </c>
      <c r="J7947" t="inlineStr">
        <is>
          <t>Bảo hiểm, Luật / Pháp lý</t>
        </is>
      </c>
      <c r="K7947" t="inlineStr">
        <is>
          <t>Trên 5 Năm</t>
        </is>
      </c>
      <c r="L7947" s="8">
        <f>HYPERLINK("https://careerviet.vn/vi/tim-viec-lam/giam-doc-ban-truong-phong-phap-che.35C6CC7A.html","Xem chi tiết")</f>
        <v/>
      </c>
    </row>
    <row r="7948">
      <c r="B7948" s="9" t="n">
        <v>7946</v>
      </c>
      <c r="C7948" s="10" t="inlineStr">
        <is>
          <t>[HCM] Accountant Payable Intern - 6 months with Allowance</t>
        </is>
      </c>
      <c r="D7948" s="10" t="inlineStr">
        <is>
          <t>EUROFINS VIETNAM</t>
        </is>
      </c>
      <c r="E7948" s="10" t="inlineStr">
        <is>
          <t>Lương:Cạnh tranh</t>
        </is>
      </c>
      <c r="F7948" s="10" t="inlineStr">
        <is>
          <t>Hồ Chí Minh</t>
        </is>
      </c>
      <c r="G7948" s="10" t="inlineStr">
        <is>
          <t>31-03-2026</t>
        </is>
      </c>
      <c r="H7948" s="10" t="inlineStr">
        <is>
          <t>31/03/2026</t>
        </is>
      </c>
      <c r="I7948" s="10" t="inlineStr">
        <is>
          <t>17/03/2026</t>
        </is>
      </c>
      <c r="J7948" s="10" t="inlineStr">
        <is>
          <t>Tài chính / Đầu tư, Kế toán / Kiểm toán, Mới tốt nghiệp / Thực tập</t>
        </is>
      </c>
      <c r="K7948" s="10" t="inlineStr">
        <is>
          <t>N/A</t>
        </is>
      </c>
      <c r="L7948" s="11">
        <f>HYPERLINK("https://careerviet.vn/vi/tim-viec-lam/hcm-accountant-payable-intern-6-months-with-allowance.35C6BCBE.html","Xem chi tiết")</f>
        <v/>
      </c>
      <c r="M7948" s="10" t="n"/>
    </row>
    <row r="7949">
      <c r="B7949" s="7" t="n">
        <v>7947</v>
      </c>
      <c r="C7949" t="inlineStr">
        <is>
          <t>Senior Mobile Developer</t>
        </is>
      </c>
      <c r="D7949" t="inlineStr">
        <is>
          <t>CÔNG TY CỔ PHẦN CÔNG NGHỆ PREP</t>
        </is>
      </c>
      <c r="E7949" t="inlineStr">
        <is>
          <t>Lương:25 Tr - 35 Tr VND</t>
        </is>
      </c>
      <c r="F7949" t="inlineStr">
        <is>
          <t>Hà Nội</t>
        </is>
      </c>
      <c r="G7949" t="inlineStr">
        <is>
          <t>10-04-2026</t>
        </is>
      </c>
      <c r="H7949" t="inlineStr">
        <is>
          <t>10/04/2026</t>
        </is>
      </c>
      <c r="I7949" t="inlineStr">
        <is>
          <t>17/03/2026</t>
        </is>
      </c>
      <c r="J7949" t="inlineStr">
        <is>
          <t>CNTT - Phần mềm</t>
        </is>
      </c>
      <c r="K7949" t="inlineStr">
        <is>
          <t>Trên 3 Năm</t>
        </is>
      </c>
      <c r="L7949" s="8">
        <f>HYPERLINK("https://careerviet.vn/vi/tim-viec-lam/senior-mobile-developer.35C6BBA2.html","Xem chi tiết")</f>
        <v/>
      </c>
    </row>
    <row r="7950">
      <c r="B7950" s="9" t="n">
        <v>7948</v>
      </c>
      <c r="C7950" s="10" t="inlineStr">
        <is>
          <t>Nhân viên Kinh doanh Bảo hiểm khu vực TP. Hồ Chí Minh(Mới)</t>
        </is>
      </c>
      <c r="D7950" s="10" t="inlineStr">
        <is>
          <t>TỔNG CÔNG TY CỔ PHẦN BẢO HIỂM HÙNG VƯƠNG</t>
        </is>
      </c>
      <c r="E7950" s="10" t="inlineStr">
        <is>
          <t>Lương:Cạnh tranh</t>
        </is>
      </c>
      <c r="F7950" s="10" t="inlineStr">
        <is>
          <t>Hồ Chí Minh</t>
        </is>
      </c>
      <c r="G7950" s="10" t="inlineStr">
        <is>
          <t>14-04-2026</t>
        </is>
      </c>
      <c r="H7950" s="10" t="inlineStr">
        <is>
          <t>14/04/2026</t>
        </is>
      </c>
      <c r="I7950" s="10" t="inlineStr">
        <is>
          <t>17/03/2026</t>
        </is>
      </c>
      <c r="J7950" s="10" t="inlineStr">
        <is>
          <t>Bảo hiểm, Bán hàng / Kinh doanh</t>
        </is>
      </c>
      <c r="K7950" s="10" t="inlineStr">
        <is>
          <t>Trên 1 Năm</t>
        </is>
      </c>
      <c r="L7950" s="11">
        <f>HYPERLINK("https://careerviet.vn/vi/tim-viec-lam/nhan-vien-kinh-doanh-bao-hiem-khu-vuc-tp-ho-chi-minh.35C6CC73.html","Xem chi tiết")</f>
        <v/>
      </c>
      <c r="M7950" s="10" t="n"/>
    </row>
    <row r="7951">
      <c r="B7951" s="7" t="n">
        <v>7949</v>
      </c>
      <c r="C7951" t="inlineStr">
        <is>
          <t>Nhân Viên Kỹ Thuật(Mới)</t>
        </is>
      </c>
      <c r="D7951" t="inlineStr">
        <is>
          <t>CÔNG TY TNHH WATANABE PIPE VIỆT NAM</t>
        </is>
      </c>
      <c r="E7951" t="inlineStr">
        <is>
          <t>Lương:11 Tr - 13 Tr VND</t>
        </is>
      </c>
      <c r="F7951" t="inlineStr">
        <is>
          <t>Hưng Yên</t>
        </is>
      </c>
      <c r="G7951" t="inlineStr">
        <is>
          <t>15-04-2026</t>
        </is>
      </c>
      <c r="H7951" t="inlineStr">
        <is>
          <t>15/04/2026</t>
        </is>
      </c>
      <c r="I7951" t="inlineStr">
        <is>
          <t>17/03/2026</t>
        </is>
      </c>
      <c r="J7951" t="inlineStr">
        <is>
          <t>Xây dựng, Nông nghiệp, Cơ khí / Ô tô / Tự động hóa</t>
        </is>
      </c>
      <c r="K7951" t="inlineStr">
        <is>
          <t>N/A</t>
        </is>
      </c>
      <c r="L7951" s="8">
        <f>HYPERLINK("https://careerviet.vn/vi/tim-viec-lam/nhan-vien-ky-thuat.35C6CC6C.html","Xem chi tiết")</f>
        <v/>
      </c>
    </row>
    <row r="7952">
      <c r="B7952" s="9" t="n">
        <v>7950</v>
      </c>
      <c r="C7952" s="10" t="inlineStr">
        <is>
          <t>Nhân viên Kinh doanh Bảo hiểm khu vực Quảng Ninh(Mới)</t>
        </is>
      </c>
      <c r="D7952" s="10" t="inlineStr">
        <is>
          <t>TỔNG CÔNG TY CỔ PHẦN BẢO HIỂM HÙNG VƯƠNG</t>
        </is>
      </c>
      <c r="E7952" s="10" t="inlineStr">
        <is>
          <t>Lương:Cạnh tranh</t>
        </is>
      </c>
      <c r="F7952" s="10" t="inlineStr">
        <is>
          <t>Quảng Ninh</t>
        </is>
      </c>
      <c r="G7952" s="10" t="inlineStr">
        <is>
          <t>14-04-2026</t>
        </is>
      </c>
      <c r="H7952" s="10" t="inlineStr">
        <is>
          <t>14/04/2026</t>
        </is>
      </c>
      <c r="I7952" s="10" t="inlineStr">
        <is>
          <t>17/03/2026</t>
        </is>
      </c>
      <c r="J7952" s="10" t="inlineStr">
        <is>
          <t>Bảo hiểm, Bán hàng / Kinh doanh</t>
        </is>
      </c>
      <c r="K7952" s="10" t="inlineStr">
        <is>
          <t>Trên 1 Năm</t>
        </is>
      </c>
      <c r="L7952" s="11">
        <f>HYPERLINK("https://careerviet.vn/vi/tim-viec-lam/nhan-vien-kinh-doanh-bao-hiem-khu-vuc-quang-ninh.35C6CC70.html","Xem chi tiết")</f>
        <v/>
      </c>
      <c r="M7952" s="10" t="n"/>
    </row>
    <row r="7953">
      <c r="B7953" s="7" t="n">
        <v>7951</v>
      </c>
      <c r="C7953" t="inlineStr">
        <is>
          <t>Back-End Developer</t>
        </is>
      </c>
      <c r="D7953" t="inlineStr">
        <is>
          <t>Nova Service Group - Công ty Cổ phần Tập đoàn Nova Services</t>
        </is>
      </c>
      <c r="E7953" t="inlineStr">
        <is>
          <t>Lương:25 Tr - 35 Tr VND</t>
        </is>
      </c>
      <c r="F7953" t="inlineStr">
        <is>
          <t>Hồ Chí Minh</t>
        </is>
      </c>
      <c r="G7953" t="inlineStr">
        <is>
          <t>30-04-2026</t>
        </is>
      </c>
      <c r="H7953" t="inlineStr">
        <is>
          <t>30/04/2026</t>
        </is>
      </c>
      <c r="I7953" t="inlineStr">
        <is>
          <t>17/03/2026</t>
        </is>
      </c>
      <c r="J7953" t="inlineStr">
        <is>
          <t>CNTT - Phần mềm</t>
        </is>
      </c>
      <c r="K7953" t="inlineStr">
        <is>
          <t>4 - 10 Năm</t>
        </is>
      </c>
      <c r="L7953" s="8">
        <f>HYPERLINK("https://careerviet.vn/vi/tim-viec-lam/back-end-developer.35C6BDF8.html","Xem chi tiết")</f>
        <v/>
      </c>
    </row>
    <row r="7954">
      <c r="B7954" s="9" t="n">
        <v>7952</v>
      </c>
      <c r="C7954" s="10" t="inlineStr">
        <is>
          <t>Admin Fanpage Facebook(Mới)</t>
        </is>
      </c>
      <c r="D7954" s="10" t="inlineStr">
        <is>
          <t>Công Ty Cổ Phần Moli Group</t>
        </is>
      </c>
      <c r="E7954" s="10" t="inlineStr">
        <is>
          <t>Lương:7 Tr - 9 Tr VND</t>
        </is>
      </c>
      <c r="F7954" s="10" t="inlineStr">
        <is>
          <t>Hồ Chí Minh</t>
        </is>
      </c>
      <c r="G7954" s="10" t="inlineStr">
        <is>
          <t>16-04-2026</t>
        </is>
      </c>
      <c r="H7954" s="10" t="inlineStr">
        <is>
          <t>16/04/2026</t>
        </is>
      </c>
      <c r="I7954" s="10" t="inlineStr">
        <is>
          <t>17/03/2026</t>
        </is>
      </c>
      <c r="J7954" s="10" t="inlineStr">
        <is>
          <t>Truyền hình / Báo chí / Biên tập, Quảng cáo / Đối ngoại / Truyền Thông</t>
        </is>
      </c>
      <c r="K7954" s="10" t="inlineStr">
        <is>
          <t>Lên đến 1 Năm</t>
        </is>
      </c>
      <c r="L7954" s="11">
        <f>HYPERLINK("https://careerviet.vn/vi/tim-viec-lam/admin-fanpage-facebook.35C6CC30.html","Xem chi tiết")</f>
        <v/>
      </c>
      <c r="M7954" s="10" t="n"/>
    </row>
    <row r="7955">
      <c r="B7955" s="7" t="n">
        <v>7953</v>
      </c>
      <c r="C7955" t="inlineStr">
        <is>
          <t>Chuyên Viên Nghiên Cứu Thị Trường ( Tiếng Nhật N1)(Mới)</t>
        </is>
      </c>
      <c r="D7955" t="inlineStr">
        <is>
          <t>Công ty Cổ phần Đầu tư Thương mại Kỹ thuật A&amp;T Việt Nam</t>
        </is>
      </c>
      <c r="E7955" t="inlineStr">
        <is>
          <t>Lương:Cạnh tranh</t>
        </is>
      </c>
      <c r="F7955" t="inlineStr">
        <is>
          <t>Hà Nội</t>
        </is>
      </c>
      <c r="G7955" t="inlineStr">
        <is>
          <t>30-04-2026</t>
        </is>
      </c>
      <c r="H7955" t="inlineStr">
        <is>
          <t>30/04/2026</t>
        </is>
      </c>
      <c r="I7955" t="inlineStr">
        <is>
          <t>17/03/2026</t>
        </is>
      </c>
      <c r="J7955" t="inlineStr">
        <is>
          <t>Tiếp thị / Marketing, Bán hàng / Kinh doanh, Dịch vụ khách hàng</t>
        </is>
      </c>
      <c r="K7955" t="inlineStr">
        <is>
          <t>1 - 5 Năm</t>
        </is>
      </c>
      <c r="L7955" s="8">
        <f>HYPERLINK("https://careerviet.vn/vi/tim-viec-lam/chuyen-vien-nghien-cuu-thi-truong-tieng-nhat-n1.35C6CC6F.html","Xem chi tiết")</f>
        <v/>
      </c>
    </row>
    <row r="7956">
      <c r="B7956" s="9" t="n">
        <v>7954</v>
      </c>
      <c r="C7956" s="10" t="inlineStr">
        <is>
          <t>[TUYỂN GẤP] GIÁM SÁT THI CÔNG NỘI THẤT - LÀM VIỆC TẠI NINH THUẬN</t>
        </is>
      </c>
      <c r="D7956" s="10" t="inlineStr">
        <is>
          <t>CÔNG TY CỔ PHẦN SẢN XUẤT THƯƠNG MẠI XÂY DỰNG TRANG TRÍ NỘI THẤT G.S VIỆT NAM</t>
        </is>
      </c>
      <c r="E7956" s="10" t="inlineStr">
        <is>
          <t>Lương:Trên 15 Tr VND</t>
        </is>
      </c>
      <c r="F7956" s="10" t="inlineStr">
        <is>
          <t>Hồ Chí Minh</t>
        </is>
      </c>
      <c r="G7956" s="10" t="inlineStr">
        <is>
          <t>30-04-2026</t>
        </is>
      </c>
      <c r="H7956" s="10" t="inlineStr">
        <is>
          <t>30/04/2026</t>
        </is>
      </c>
      <c r="I7956" s="10" t="inlineStr">
        <is>
          <t>17/03/2026</t>
        </is>
      </c>
      <c r="J7956" s="10" t="inlineStr">
        <is>
          <t>Kiến trúc, Xây dựng, Nội ngoại thất</t>
        </is>
      </c>
      <c r="K7956" s="10" t="inlineStr">
        <is>
          <t>2 - 5 Năm</t>
        </is>
      </c>
      <c r="L7956" s="11">
        <f>HYPERLINK("https://careerviet.vn/vi/tim-viec-lam/tuyen-gap-giam-sat-thi-cong-noi-that-lam-viec-tai-ninh-thuan.35C6BCDF.html","Xem chi tiết")</f>
        <v/>
      </c>
      <c r="M7956" s="10" t="n"/>
    </row>
    <row r="7957">
      <c r="B7957" s="7" t="n">
        <v>7955</v>
      </c>
      <c r="C7957" t="inlineStr">
        <is>
          <t>Tuyển dụng Tổng đài viên</t>
        </is>
      </c>
      <c r="D7957" t="inlineStr">
        <is>
          <t>Tổng Công Ty Cổ Phần Bảo Hiểm Ngân Hàng TMCP Công Thương Việt Nam</t>
        </is>
      </c>
      <c r="E7957" t="inlineStr">
        <is>
          <t>Lương:8 Tr - 10 Tr VND</t>
        </is>
      </c>
      <c r="F7957" t="inlineStr">
        <is>
          <t>Hà Nội</t>
        </is>
      </c>
      <c r="G7957" t="inlineStr">
        <is>
          <t>08-04-2026</t>
        </is>
      </c>
      <c r="H7957" t="inlineStr">
        <is>
          <t>08/04/2026</t>
        </is>
      </c>
      <c r="I7957" t="inlineStr">
        <is>
          <t>17/03/2026</t>
        </is>
      </c>
      <c r="J7957" t="inlineStr">
        <is>
          <t>Tư vấn, Dịch vụ khách hàng, Bảo hiểm</t>
        </is>
      </c>
      <c r="K7957" t="inlineStr">
        <is>
          <t>1 - 3 Năm</t>
        </is>
      </c>
      <c r="L7957" s="8">
        <f>HYPERLINK("https://careerviet.vn/vi/tim-viec-lam/tuyen-dung-tong-dai-vien.35C6BDED.html","Xem chi tiết")</f>
        <v/>
      </c>
    </row>
    <row r="7958">
      <c r="B7958" s="9" t="n">
        <v>7956</v>
      </c>
      <c r="C7958" s="10" t="inlineStr">
        <is>
          <t>Social Media Content Executive</t>
        </is>
      </c>
      <c r="D7958" s="10" t="inlineStr">
        <is>
          <t>CÔNG TY TNHH BLUEMEDIA VIỆT NAM</t>
        </is>
      </c>
      <c r="E7958" s="10" t="inlineStr">
        <is>
          <t>Lương:8 Tr - 20 Tr VND</t>
        </is>
      </c>
      <c r="F7958" s="10" t="inlineStr">
        <is>
          <t>Hồ Chí Minh</t>
        </is>
      </c>
      <c r="G7958" s="10" t="inlineStr">
        <is>
          <t>Hôm nay</t>
        </is>
      </c>
      <c r="H7958" s="10" t="inlineStr">
        <is>
          <t>17/03/2026</t>
        </is>
      </c>
      <c r="I7958" s="10" t="inlineStr">
        <is>
          <t>17/03/2026</t>
        </is>
      </c>
      <c r="J7958" s="10" t="inlineStr">
        <is>
          <t>Tiếp thị / Marketing</t>
        </is>
      </c>
      <c r="K7958" s="10" t="inlineStr">
        <is>
          <t>1 - 5 Năm</t>
        </is>
      </c>
      <c r="L7958" s="11">
        <f>HYPERLINK("https://careerviet.vn/vi/tim-viec-lam/social-media-content-executive.35C6BDEB.html","Xem chi tiết")</f>
        <v/>
      </c>
      <c r="M7958" s="10" t="n"/>
    </row>
    <row r="7959">
      <c r="B7959" s="7" t="n">
        <v>7957</v>
      </c>
      <c r="C7959" t="inlineStr">
        <is>
          <t>Nhân viên phát triển và vận hành Sàn Giao dịch sản phẩm chuyên biệt</t>
        </is>
      </c>
      <c r="D7959" t="inlineStr">
        <is>
          <t>Sở Giao dịch Hàng hóa Việt Nam</t>
        </is>
      </c>
      <c r="E7959" t="inlineStr">
        <is>
          <t>Lương:Cạnh tranh</t>
        </is>
      </c>
      <c r="F7959" t="inlineStr">
        <is>
          <t>Hồ Chí Minh</t>
        </is>
      </c>
      <c r="G7959" t="inlineStr">
        <is>
          <t>30-04-2026</t>
        </is>
      </c>
      <c r="H7959" t="inlineStr">
        <is>
          <t>30/04/2026</t>
        </is>
      </c>
      <c r="I7959" t="inlineStr">
        <is>
          <t>17/03/2026</t>
        </is>
      </c>
      <c r="J7959" t="inlineStr">
        <is>
          <t>Tài chính / Đầu tư</t>
        </is>
      </c>
      <c r="K7959" t="inlineStr">
        <is>
          <t>Trên 1 Năm</t>
        </is>
      </c>
      <c r="L7959" s="8">
        <f>HYPERLINK("https://careerviet.vn/vi/tim-viec-lam/nhan-vien-phat-trien-va-van-hanh-san-giao-dich-san-pham-chuyen-biet.35C6BDE7.html","Xem chi tiết")</f>
        <v/>
      </c>
    </row>
    <row r="7960">
      <c r="B7960" s="9" t="n">
        <v>7958</v>
      </c>
      <c r="C7960" s="10" t="inlineStr">
        <is>
          <t>Trợ lý giám đốc kinh doanh</t>
        </is>
      </c>
      <c r="D7960" s="10" t="inlineStr">
        <is>
          <t>Công ty TNHH Cơ Điện Lạnh EEP Việt Nam</t>
        </is>
      </c>
      <c r="E7960" s="10" t="inlineStr">
        <is>
          <t>Lương:15 Tr - 20 Tr VND</t>
        </is>
      </c>
      <c r="F7960" s="10" t="inlineStr">
        <is>
          <t>Hà Nội</t>
        </is>
      </c>
      <c r="G7960" s="10" t="inlineStr">
        <is>
          <t>31-03-2026</t>
        </is>
      </c>
      <c r="H7960" s="10" t="inlineStr">
        <is>
          <t>31/03/2026</t>
        </is>
      </c>
      <c r="I7960" s="10" t="inlineStr">
        <is>
          <t>17/03/2026</t>
        </is>
      </c>
      <c r="J7960" s="10" t="inlineStr">
        <is>
          <t>Bán hàng / Kinh doanh, Quản lý điều hành, Quảng cáo / Đối ngoại / Truyền Thông</t>
        </is>
      </c>
      <c r="K7960" s="10" t="inlineStr">
        <is>
          <t>1 - 3 Năm</t>
        </is>
      </c>
      <c r="L7960" s="11">
        <f>HYPERLINK("https://careerviet.vn/vi/tim-viec-lam/tro-ly-giam-doc-kinh-doanh.35C6BCFE.html","Xem chi tiết")</f>
        <v/>
      </c>
      <c r="M7960" s="10" t="n"/>
    </row>
    <row r="7961">
      <c r="B7961" s="7" t="n">
        <v>7959</v>
      </c>
      <c r="C7961" t="inlineStr">
        <is>
          <t>Quality Engineer</t>
        </is>
      </c>
      <c r="D7961" t="inlineStr">
        <is>
          <t>Techtronic Industries Vietnam Manufacturing Company Limited</t>
        </is>
      </c>
      <c r="E7961" t="inlineStr">
        <is>
          <t>Lương:Cạnh tranh</t>
        </is>
      </c>
      <c r="F7961" t="inlineStr">
        <is>
          <t>Hồ Chí Minh</t>
        </is>
      </c>
      <c r="G7961" t="inlineStr">
        <is>
          <t>20-04-2026</t>
        </is>
      </c>
      <c r="H7961" t="inlineStr">
        <is>
          <t>20/04/2026</t>
        </is>
      </c>
      <c r="I7961" t="inlineStr">
        <is>
          <t>17/03/2026</t>
        </is>
      </c>
      <c r="J7961" t="inlineStr">
        <is>
          <t>Cơ khí / Ô tô / Tự động hóa, Điện / Điện tử / Điện lạnh / Điện công nghiệp</t>
        </is>
      </c>
      <c r="K7961" t="inlineStr">
        <is>
          <t>4 - 5 Năm</t>
        </is>
      </c>
      <c r="L7961" s="8">
        <f>HYPERLINK("https://careerviet.vn/vi/tim-viec-lam/quality-engineer.35C6BC72.html","Xem chi tiết")</f>
        <v/>
      </c>
    </row>
    <row r="7962">
      <c r="B7962" s="9" t="n">
        <v>7960</v>
      </c>
      <c r="C7962" s="10" t="inlineStr">
        <is>
          <t>KẾ TOÁN TỔNG HỢP</t>
        </is>
      </c>
      <c r="D7962" s="10" t="inlineStr">
        <is>
          <t>Công ty TNHH SX-TM Thép Tây Nam</t>
        </is>
      </c>
      <c r="E7962" s="10" t="inlineStr">
        <is>
          <t>Lương:10 Tr - 18 Tr VND</t>
        </is>
      </c>
      <c r="F7962" s="10" t="inlineStr">
        <is>
          <t>Long An</t>
        </is>
      </c>
      <c r="G7962" s="10" t="inlineStr">
        <is>
          <t>28-03-2026</t>
        </is>
      </c>
      <c r="H7962" s="10" t="inlineStr">
        <is>
          <t>28/03/2026</t>
        </is>
      </c>
      <c r="I7962" s="10" t="inlineStr">
        <is>
          <t>17/03/2026</t>
        </is>
      </c>
      <c r="J7962" s="10" t="inlineStr">
        <is>
          <t>Kế toán / Kiểm toán, Tài chính / Đầu tư</t>
        </is>
      </c>
      <c r="K7962" s="10" t="inlineStr">
        <is>
          <t>1 - 2 Năm</t>
        </is>
      </c>
      <c r="L7962" s="11">
        <f>HYPERLINK("https://careerviet.vn/vi/tim-viec-lam/ke-toan-tong-hop.35C6BDC1.html","Xem chi tiết")</f>
        <v/>
      </c>
      <c r="M7962" s="10" t="n"/>
    </row>
    <row r="7963">
      <c r="B7963" s="7" t="n">
        <v>7961</v>
      </c>
      <c r="C7963" t="inlineStr">
        <is>
          <t>Kế Toán Trưởng</t>
        </is>
      </c>
      <c r="D7963" t="inlineStr">
        <is>
          <t>CÔNG TY CỔ PHẦN D&amp;A VIỆT NAM</t>
        </is>
      </c>
      <c r="E7963" t="inlineStr">
        <is>
          <t>Lương:20 Tr - 28 Tr VND</t>
        </is>
      </c>
      <c r="F7963" t="inlineStr">
        <is>
          <t>Hà Nội</t>
        </is>
      </c>
      <c r="G7963" t="inlineStr">
        <is>
          <t>10-04-2026</t>
        </is>
      </c>
      <c r="H7963" t="inlineStr">
        <is>
          <t>10/04/2026</t>
        </is>
      </c>
      <c r="I7963" t="inlineStr">
        <is>
          <t>17/03/2026</t>
        </is>
      </c>
      <c r="J7963" t="inlineStr">
        <is>
          <t>Kế toán / Kiểm toán, Tài chính / Đầu tư, Ngân hàng</t>
        </is>
      </c>
      <c r="K7963" t="inlineStr">
        <is>
          <t>Trên 5 Năm</t>
        </is>
      </c>
      <c r="L7963" s="8">
        <f>HYPERLINK("https://careerviet.vn/vi/tim-viec-lam/ke-toan-truong.35C6BB94.html","Xem chi tiết")</f>
        <v/>
      </c>
    </row>
    <row r="7964">
      <c r="B7964" s="9" t="n">
        <v>7962</v>
      </c>
      <c r="C7964" s="10" t="inlineStr">
        <is>
          <t>NHÂN VIÊN THIẾT KẾ 3D NỘI THẤT</t>
        </is>
      </c>
      <c r="D7964" s="10" t="inlineStr">
        <is>
          <t>CÔNG TY CỔ PHẦN THIẾT KẾ NỘI THẤT ICON</t>
        </is>
      </c>
      <c r="E7964" s="10" t="inlineStr">
        <is>
          <t>Lương:12 Tr - 18 Tr VND</t>
        </is>
      </c>
      <c r="F7964" s="10" t="inlineStr">
        <is>
          <t>Hồ Chí Minh</t>
        </is>
      </c>
      <c r="G7964" s="10" t="inlineStr">
        <is>
          <t>09-04-2026</t>
        </is>
      </c>
      <c r="H7964" s="10" t="inlineStr">
        <is>
          <t>09/04/2026</t>
        </is>
      </c>
      <c r="I7964" s="10" t="inlineStr">
        <is>
          <t>17/03/2026</t>
        </is>
      </c>
      <c r="J7964" s="10" t="inlineStr">
        <is>
          <t>Mỹ thuật / Nghệ thuật / Thiết kế, Kiến trúc, Nội ngoại thất</t>
        </is>
      </c>
      <c r="K7964" s="10" t="inlineStr">
        <is>
          <t>1 - 5 Năm</t>
        </is>
      </c>
      <c r="L7964" s="11">
        <f>HYPERLINK("https://careerviet.vn/vi/tim-viec-lam/nhan-vien-thiet-ke-3d-noi-that.35C6BDF4.html","Xem chi tiết")</f>
        <v/>
      </c>
      <c r="M7964" s="10" t="n"/>
    </row>
    <row r="7965">
      <c r="B7965" s="7" t="n">
        <v>7963</v>
      </c>
      <c r="C7965" t="inlineStr">
        <is>
          <t>Chuyên viên Kinh doanh - Ngành hàng Chấn thương Chỉnh hình - Khu vực Hồ Chí Minh</t>
        </is>
      </c>
      <c r="D7965" t="inlineStr">
        <is>
          <t>Công Ty Cổ Phần Y Tế Việt Tiến</t>
        </is>
      </c>
      <c r="E7965" t="inlineStr">
        <is>
          <t>Lương:Cạnh tranh</t>
        </is>
      </c>
      <c r="F7965" t="inlineStr">
        <is>
          <t>Hồ Chí Minh</t>
        </is>
      </c>
      <c r="G7965" t="inlineStr">
        <is>
          <t>15-04-2026</t>
        </is>
      </c>
      <c r="H7965" t="inlineStr">
        <is>
          <t>15/04/2026</t>
        </is>
      </c>
      <c r="I7965" t="inlineStr">
        <is>
          <t>17/03/2026</t>
        </is>
      </c>
      <c r="J7965" t="inlineStr">
        <is>
          <t>Dược phẩm/ Hóa Mỹ Phẩm, Bán hàng / Kinh doanh, Y tế / Chăm sóc sức khỏe / Thẩm mỹ / Làm đẹp</t>
        </is>
      </c>
      <c r="K7965" t="inlineStr">
        <is>
          <t>1 - 3 Năm</t>
        </is>
      </c>
      <c r="L7965" s="8">
        <f>HYPERLINK("https://careerviet.vn/vi/tim-viec-lam/chuyen-vien-kinh-doanh-nganh-hang-chan-thuong-chinh-hinh-khu-vuc-ho-chi-minh.35C6BCEA.html","Xem chi tiết")</f>
        <v/>
      </c>
    </row>
    <row r="7966">
      <c r="B7966" s="9" t="n">
        <v>7964</v>
      </c>
      <c r="C7966" s="10" t="inlineStr">
        <is>
          <t>Trợ Lý Tổng Giám Đốc</t>
        </is>
      </c>
      <c r="D7966" s="10" t="inlineStr">
        <is>
          <t>CÔNG TY CỔ PHẦN GIẢI PHÁP CÔNG NGHỆ HCTECH</t>
        </is>
      </c>
      <c r="E7966" s="10" t="inlineStr">
        <is>
          <t>Lương:15 Tr - 25 Tr VND</t>
        </is>
      </c>
      <c r="F7966" s="10" t="inlineStr">
        <is>
          <t>Bình Dương</t>
        </is>
      </c>
      <c r="G7966" s="10" t="inlineStr">
        <is>
          <t>15-04-2026</t>
        </is>
      </c>
      <c r="H7966" s="10" t="inlineStr">
        <is>
          <t>15/04/2026</t>
        </is>
      </c>
      <c r="I7966" s="10" t="inlineStr">
        <is>
          <t>17/03/2026</t>
        </is>
      </c>
      <c r="J7966" s="10" t="inlineStr">
        <is>
          <t>Bán hàng / Kinh doanh</t>
        </is>
      </c>
      <c r="K7966" s="10" t="inlineStr">
        <is>
          <t>1 - 2 Năm</t>
        </is>
      </c>
      <c r="L7966" s="11">
        <f>HYPERLINK("https://careerviet.vn/vi/tim-viec-lam/tro-ly-tong-giam-doc.35C6BAFC.html","Xem chi tiết")</f>
        <v/>
      </c>
      <c r="M7966" s="10" t="n"/>
    </row>
    <row r="7967">
      <c r="B7967" s="7" t="n">
        <v>7965</v>
      </c>
      <c r="C7967" t="inlineStr">
        <is>
          <t>Kỹ sư Nguyên liệu</t>
        </is>
      </c>
      <c r="D7967" t="inlineStr">
        <is>
          <t>Công ty TNHH SX-TM Thép Tây Nam</t>
        </is>
      </c>
      <c r="E7967" t="inlineStr">
        <is>
          <t>Lương:9 Tr - 12 Tr VND</t>
        </is>
      </c>
      <c r="F7967" t="inlineStr">
        <is>
          <t>Long An</t>
        </is>
      </c>
      <c r="G7967" t="inlineStr">
        <is>
          <t>28-03-2026</t>
        </is>
      </c>
      <c r="H7967" t="inlineStr">
        <is>
          <t>28/03/2026</t>
        </is>
      </c>
      <c r="I7967" t="inlineStr">
        <is>
          <t>17/03/2026</t>
        </is>
      </c>
      <c r="J7967" t="inlineStr">
        <is>
          <t>Sản xuất / Vận hành sản xuất</t>
        </is>
      </c>
      <c r="K7967" t="inlineStr">
        <is>
          <t>Chưa có kinh nghiệm</t>
        </is>
      </c>
      <c r="L7967" s="8">
        <f>HYPERLINK("https://careerviet.vn/vi/tim-viec-lam/ky-su-nguyen-lieu.35C6BDDC.html","Xem chi tiết")</f>
        <v/>
      </c>
    </row>
    <row r="7968">
      <c r="B7968" s="9" t="n">
        <v>7966</v>
      </c>
      <c r="C7968" s="10" t="inlineStr">
        <is>
          <t>Chuyên viên Đấu thầu/ Mua hàng</t>
        </is>
      </c>
      <c r="D7968" s="10" t="inlineStr">
        <is>
          <t>Công ty CP Phát Triển Hùng Hậu</t>
        </is>
      </c>
      <c r="E7968" s="10" t="inlineStr">
        <is>
          <t>Lương:Cạnh tranh</t>
        </is>
      </c>
      <c r="F7968" s="10" t="inlineStr">
        <is>
          <t>Hồ Chí Minh</t>
        </is>
      </c>
      <c r="G7968" s="10" t="inlineStr">
        <is>
          <t>11-04-2026</t>
        </is>
      </c>
      <c r="H7968" s="10" t="inlineStr">
        <is>
          <t>11/04/2026</t>
        </is>
      </c>
      <c r="I7968" s="10" t="inlineStr">
        <is>
          <t>17/03/2026</t>
        </is>
      </c>
      <c r="J7968" s="10" t="inlineStr">
        <is>
          <t>Thu mua / Vật tư, Bán hàng / Kinh doanh</t>
        </is>
      </c>
      <c r="K7968" s="10" t="inlineStr">
        <is>
          <t>2 - 3 Năm</t>
        </is>
      </c>
      <c r="L7968" s="11">
        <f>HYPERLINK("https://careerviet.vn/vi/tim-viec-lam/chuyen-vien-dau-thau-mua-hang.35C69CFA.html","Xem chi tiết")</f>
        <v/>
      </c>
      <c r="M7968" s="10" t="n"/>
    </row>
    <row r="7969">
      <c r="B7969" s="7" t="n">
        <v>7967</v>
      </c>
      <c r="C7969" t="inlineStr">
        <is>
          <t>Đại Diện Bán Hàng</t>
        </is>
      </c>
      <c r="D7969" t="inlineStr">
        <is>
          <t>Tập Đoàn Karofi Holding</t>
        </is>
      </c>
      <c r="E7969" t="inlineStr">
        <is>
          <t>Lương:16 Tr - 22 Tr VND</t>
        </is>
      </c>
      <c r="F7969" t="inlineStr">
        <is>
          <t>Hải DươngĐiện BiênQuảng Ninh</t>
        </is>
      </c>
      <c r="G7969" t="inlineStr">
        <is>
          <t>29-04-2026</t>
        </is>
      </c>
      <c r="H7969" t="inlineStr">
        <is>
          <t>29/04/2026</t>
        </is>
      </c>
      <c r="I7969" t="inlineStr">
        <is>
          <t>17/03/2026</t>
        </is>
      </c>
      <c r="J7969" t="inlineStr">
        <is>
          <t>Hàng gia dụng / Chăm sóc cá nhân, Bán lẻ / Bán sỉ, Bán hàng / Kinh doanh</t>
        </is>
      </c>
      <c r="K7969" t="inlineStr">
        <is>
          <t>Trên 1 Năm</t>
        </is>
      </c>
      <c r="L7969" s="8">
        <f>HYPERLINK("https://careerviet.vn/vi/tim-viec-lam/dai-dien-ban-hang.35C6BDD2.html","Xem chi tiết")</f>
        <v/>
      </c>
    </row>
    <row r="7970">
      <c r="B7970" s="9" t="n">
        <v>7968</v>
      </c>
      <c r="C7970" s="10" t="inlineStr">
        <is>
          <t>Nhân Viên Ban Kiểm Soát</t>
        </is>
      </c>
      <c r="D7970" s="10" t="inlineStr">
        <is>
          <t>CÔNG TY TNHH XÂY DỰNG TỰ LẬP</t>
        </is>
      </c>
      <c r="E7970" s="10" t="inlineStr">
        <is>
          <t>Lương:15 Tr - 25 Tr VND</t>
        </is>
      </c>
      <c r="F7970" s="10" t="inlineStr">
        <is>
          <t>Hà Nội</t>
        </is>
      </c>
      <c r="G7970" s="10" t="inlineStr">
        <is>
          <t>09-04-2026</t>
        </is>
      </c>
      <c r="H7970" s="10" t="inlineStr">
        <is>
          <t>09/04/2026</t>
        </is>
      </c>
      <c r="I7970" s="10" t="inlineStr">
        <is>
          <t>17/03/2026</t>
        </is>
      </c>
      <c r="J7970" s="10" t="inlineStr">
        <is>
          <t>Kế toán / Kiểm toán, Tài chính / Đầu tư, Xây dựng</t>
        </is>
      </c>
      <c r="K7970" s="10" t="inlineStr">
        <is>
          <t>Trên 3 Năm</t>
        </is>
      </c>
      <c r="L7970" s="11">
        <f>HYPERLINK("https://careerviet.vn/vi/tim-viec-lam/nhan-vien-ban-kiem-soat.35C6BDC7.html","Xem chi tiết")</f>
        <v/>
      </c>
      <c r="M7970" s="10" t="n"/>
    </row>
    <row r="7971">
      <c r="B7971" s="7" t="n">
        <v>7969</v>
      </c>
      <c r="C7971" t="inlineStr">
        <is>
          <t>NHÂN VIÊN QUẢN LÝ SẢN XUẤT</t>
        </is>
      </c>
      <c r="D7971" t="inlineStr">
        <is>
          <t>Công ty TNHH SX-TM Thép Tây Nam</t>
        </is>
      </c>
      <c r="E7971" t="inlineStr">
        <is>
          <t>Lương:9 Tr - 12 Tr VND</t>
        </is>
      </c>
      <c r="F7971" t="inlineStr">
        <is>
          <t>Long An</t>
        </is>
      </c>
      <c r="G7971" t="inlineStr">
        <is>
          <t>28-03-2026</t>
        </is>
      </c>
      <c r="H7971" t="inlineStr">
        <is>
          <t>28/03/2026</t>
        </is>
      </c>
      <c r="I7971" t="inlineStr">
        <is>
          <t>17/03/2026</t>
        </is>
      </c>
      <c r="J7971" t="inlineStr">
        <is>
          <t>Quản lý điều hành, Sản xuất / Vận hành sản xuất</t>
        </is>
      </c>
      <c r="K7971" t="inlineStr">
        <is>
          <t>Lên đến 1 Năm</t>
        </is>
      </c>
      <c r="L7971" s="8">
        <f>HYPERLINK("https://careerviet.vn/vi/tim-viec-lam/nhan-vien-quan-ly-san-xuat.35C6BDF3.html","Xem chi tiết")</f>
        <v/>
      </c>
    </row>
    <row r="7972">
      <c r="B7972" s="9" t="n">
        <v>7970</v>
      </c>
      <c r="C7972" s="10" t="inlineStr">
        <is>
          <t>Chuyên Viên Quan Hệ Khách Hàng - [BAC A BANK - Chi Nhánh Ninh Bình/ Nam Định/ Hà Giang]</t>
        </is>
      </c>
      <c r="D7972" s="10" t="inlineStr">
        <is>
          <t>Ngân Hàng Thương mại cổ phần Bắc Á- BAC A BANK</t>
        </is>
      </c>
      <c r="E7972" s="10" t="inlineStr">
        <is>
          <t>Lương:Cạnh tranh</t>
        </is>
      </c>
      <c r="F7972" s="10" t="inlineStr">
        <is>
          <t>Ninh BìnhHà GiangNam Định</t>
        </is>
      </c>
      <c r="G7972" s="10" t="inlineStr">
        <is>
          <t>07-04-2026</t>
        </is>
      </c>
      <c r="H7972" s="10" t="inlineStr">
        <is>
          <t>07/04/2026</t>
        </is>
      </c>
      <c r="I7972" s="10" t="inlineStr">
        <is>
          <t>17/03/2026</t>
        </is>
      </c>
      <c r="J7972" s="10" t="inlineStr">
        <is>
          <t>Ngân hàng, Mới tốt nghiệp / Thực tập</t>
        </is>
      </c>
      <c r="K7972" s="10" t="inlineStr">
        <is>
          <t>Chưa có kinh nghiệm</t>
        </is>
      </c>
      <c r="L7972" s="11">
        <f>HYPERLINK("https://careerviet.vn/vi/tim-viec-lam/chuyen-vien-quan-he-khach-hang-bac-a-bank-chi-nhanh-ninh-binh-nam-dinh-ha-giang.35C6BD5F.html","Xem chi tiết")</f>
        <v/>
      </c>
      <c r="M7972" s="10" t="n"/>
    </row>
    <row r="7973">
      <c r="B7973" s="7" t="n">
        <v>7971</v>
      </c>
      <c r="C7973" t="inlineStr">
        <is>
          <t>C&amp;B Operations Specialist (Up To 20 Months Of Annual Salary)</t>
        </is>
      </c>
      <c r="D7973" t="inlineStr">
        <is>
          <t>CÔNG TY TNHH CÔNG NGHỆ VÀ GIẢI PHÁP PHẦN MỀM CROSSIAN VIỆT NAM</t>
        </is>
      </c>
      <c r="E7973" t="inlineStr">
        <is>
          <t>Lương:13 Tr - 17 Tr VND</t>
        </is>
      </c>
      <c r="F7973" t="inlineStr">
        <is>
          <t>Hà Nội</t>
        </is>
      </c>
      <c r="G7973" t="inlineStr">
        <is>
          <t>09-04-2026</t>
        </is>
      </c>
      <c r="H7973" t="inlineStr">
        <is>
          <t>09/04/2026</t>
        </is>
      </c>
      <c r="I7973" t="inlineStr">
        <is>
          <t>17/03/2026</t>
        </is>
      </c>
      <c r="J7973" t="inlineStr">
        <is>
          <t>Hành chính / Thư ký, Nhân sự, Quản lý điều hành</t>
        </is>
      </c>
      <c r="K7973" t="inlineStr">
        <is>
          <t>Trên 2 Năm</t>
        </is>
      </c>
      <c r="L7973" s="8">
        <f>HYPERLINK("https://careerviet.vn/vi/tim-viec-lam/c-b-operations-specialist-up-to-20-months-of-annual-salary.35C6BBAB.html","Xem chi tiết")</f>
        <v/>
      </c>
    </row>
    <row r="7974">
      <c r="B7974" s="9" t="n">
        <v>7972</v>
      </c>
      <c r="C7974" s="10" t="inlineStr">
        <is>
          <t>Nhân Viên QS (Dự Toán - Thanh Quyết Toán) - Làm Việc Tại Hà Nội - Thu Nhập Từ 14 triệu</t>
        </is>
      </c>
      <c r="D7974" s="10" t="inlineStr">
        <is>
          <t>Công ty TNHH Phòng cháy chữa cháy và cứu nạn cứu hộ Việt Nam</t>
        </is>
      </c>
      <c r="E7974" s="10" t="inlineStr">
        <is>
          <t>Lương:14 Tr - 17 Tr VND</t>
        </is>
      </c>
      <c r="F7974" s="10" t="inlineStr">
        <is>
          <t>Hà Nội</t>
        </is>
      </c>
      <c r="G7974" s="10" t="inlineStr">
        <is>
          <t>10-04-2026</t>
        </is>
      </c>
      <c r="H7974" s="10" t="inlineStr">
        <is>
          <t>10/04/2026</t>
        </is>
      </c>
      <c r="I7974" s="10" t="inlineStr">
        <is>
          <t>17/03/2026</t>
        </is>
      </c>
      <c r="J7974" s="10" t="inlineStr">
        <is>
          <t>Kiến trúc, Xây dựng, Bảo trì / Sửa chữa</t>
        </is>
      </c>
      <c r="K7974" s="10" t="inlineStr">
        <is>
          <t>1 - 5 Năm</t>
        </is>
      </c>
      <c r="L7974" s="11">
        <f>HYPERLINK("https://careerviet.vn/vi/tim-viec-lam/nhan-vien-qs-du-toan-thanh-quyet-toan-lam-viec-tai-ha-noi-thu-nhap-tu-14-trieu.35C6BD9A.html","Xem chi tiết")</f>
        <v/>
      </c>
      <c r="M7974" s="10" t="n"/>
    </row>
    <row r="7975">
      <c r="B7975" s="7" t="n">
        <v>7973</v>
      </c>
      <c r="C7975" t="inlineStr">
        <is>
          <t>Kỹ sư hiện trường</t>
        </is>
      </c>
      <c r="D7975" t="inlineStr">
        <is>
          <t>CÔNG TY CỔ PHẦN CONSMATE TTP</t>
        </is>
      </c>
      <c r="E7975" t="inlineStr">
        <is>
          <t>Lương:12 Tr - 18 Tr VND</t>
        </is>
      </c>
      <c r="F7975" t="inlineStr">
        <is>
          <t>Hà Nội</t>
        </is>
      </c>
      <c r="G7975" t="inlineStr">
        <is>
          <t>15-04-2026</t>
        </is>
      </c>
      <c r="H7975" t="inlineStr">
        <is>
          <t>15/04/2026</t>
        </is>
      </c>
      <c r="I7975" t="inlineStr">
        <is>
          <t>17/03/2026</t>
        </is>
      </c>
      <c r="J7975" t="inlineStr">
        <is>
          <t>Xây dựng, Kiến trúc, Điện / Điện tử / Điện lạnh / Điện công nghiệp</t>
        </is>
      </c>
      <c r="K7975" t="inlineStr">
        <is>
          <t>2 - 3 Năm</t>
        </is>
      </c>
      <c r="L7975" s="8">
        <f>HYPERLINK("https://careerviet.vn/vi/tim-viec-lam/ky-su-hien-truong.35C6B9E1.html","Xem chi tiết")</f>
        <v/>
      </c>
    </row>
    <row r="7976">
      <c r="B7976" s="9" t="n">
        <v>7974</v>
      </c>
      <c r="C7976" s="10" t="inlineStr">
        <is>
          <t>[Bình Hòa Thuận An] Nhân Viên Kế Toán</t>
        </is>
      </c>
      <c r="D7976" s="10" t="inlineStr">
        <is>
          <t>Công Ty Cổ Phần Vacxin Việt Nam</t>
        </is>
      </c>
      <c r="E7976" s="10" t="inlineStr">
        <is>
          <t>Lương:Cạnh tranh</t>
        </is>
      </c>
      <c r="F7976" s="10" t="inlineStr">
        <is>
          <t>Bình Dương</t>
        </is>
      </c>
      <c r="G7976" s="10" t="inlineStr">
        <is>
          <t>30-04-2026</t>
        </is>
      </c>
      <c r="H7976" s="10" t="inlineStr">
        <is>
          <t>30/04/2026</t>
        </is>
      </c>
      <c r="I7976" s="10" t="inlineStr">
        <is>
          <t>17/03/2026</t>
        </is>
      </c>
      <c r="J7976" s="10" t="inlineStr">
        <is>
          <t>Kế toán / Kiểm toán</t>
        </is>
      </c>
      <c r="K7976" s="10" t="inlineStr">
        <is>
          <t>1 - 2 Năm</t>
        </is>
      </c>
      <c r="L7976" s="11">
        <f>HYPERLINK("https://careerviet.vn/vi/tim-viec-lam/binh-hoa-thuan-an-nhan-vien-ke-toan.35C6BDB5.html","Xem chi tiết")</f>
        <v/>
      </c>
      <c r="M7976" s="10" t="n"/>
    </row>
    <row r="7977">
      <c r="B7977" s="7" t="n">
        <v>7975</v>
      </c>
      <c r="C7977" t="inlineStr">
        <is>
          <t>Nhân viên R&amp;D/ QC</t>
        </is>
      </c>
      <c r="D7977" t="inlineStr">
        <is>
          <t>CÔNG TY TNHH THỨC ĂN THỦY SẢN FEED ONE</t>
        </is>
      </c>
      <c r="E7977" t="inlineStr">
        <is>
          <t>Lương:8 Tr - 20 Tr VND</t>
        </is>
      </c>
      <c r="F7977" t="inlineStr">
        <is>
          <t>Đồng Tháp</t>
        </is>
      </c>
      <c r="G7977" t="inlineStr">
        <is>
          <t>31-03-2026</t>
        </is>
      </c>
      <c r="H7977" t="inlineStr">
        <is>
          <t>31/03/2026</t>
        </is>
      </c>
      <c r="I7977" t="inlineStr">
        <is>
          <t>17/03/2026</t>
        </is>
      </c>
      <c r="J7977" t="inlineStr">
        <is>
          <t>Công nghệ thực phẩm / Dinh dưỡng, Thủy sản / Hải sản, Chăn nuôi / Thú y</t>
        </is>
      </c>
      <c r="K7977" t="inlineStr">
        <is>
          <t>Chưa có kinh nghiệm</t>
        </is>
      </c>
      <c r="L7977" s="8">
        <f>HYPERLINK("https://careerviet.vn/vi/tim-viec-lam/nhan-vien-r-d-qc.35C6BD71.html","Xem chi tiết")</f>
        <v/>
      </c>
    </row>
    <row r="7978">
      <c r="B7978" s="9" t="n">
        <v>7976</v>
      </c>
      <c r="C7978" s="10" t="inlineStr">
        <is>
          <t>Kỹ Sư Thiết Kế Kết Cấu</t>
        </is>
      </c>
      <c r="D7978" s="10" t="inlineStr">
        <is>
          <t>CÔNG TY TƯ VẤN XÂY DỰNG HÀ NỘI - Thuộc Tập đoàn AMACCAO</t>
        </is>
      </c>
      <c r="E7978" s="10" t="inlineStr">
        <is>
          <t>Lương:15 Tr - 25 Tr VND</t>
        </is>
      </c>
      <c r="F7978" s="10" t="inlineStr">
        <is>
          <t>Hà Nội</t>
        </is>
      </c>
      <c r="G7978" s="10" t="inlineStr">
        <is>
          <t>10-04-2026</t>
        </is>
      </c>
      <c r="H7978" s="10" t="inlineStr">
        <is>
          <t>10/04/2026</t>
        </is>
      </c>
      <c r="I7978" s="10" t="inlineStr">
        <is>
          <t>17/03/2026</t>
        </is>
      </c>
      <c r="J7978" s="10" t="inlineStr">
        <is>
          <t>Xây dựng, Mỹ thuật / Nghệ thuật / Thiết kế, Kiến trúc</t>
        </is>
      </c>
      <c r="K7978" s="10" t="inlineStr">
        <is>
          <t>2 - 5 Năm</t>
        </is>
      </c>
      <c r="L7978" s="11">
        <f>HYPERLINK("https://careerviet.vn/vi/tim-viec-lam/ky-su-thiet-ke-ket-cau.35C6BD86.html","Xem chi tiết")</f>
        <v/>
      </c>
      <c r="M7978" s="10" t="n"/>
    </row>
    <row r="7979">
      <c r="B7979" s="7" t="n">
        <v>7977</v>
      </c>
      <c r="C7979" t="inlineStr">
        <is>
          <t>Chuyên Viên Đầu Tư Dự Án</t>
        </is>
      </c>
      <c r="D7979" t="inlineStr">
        <is>
          <t>Công ty CP Phát Triển Hùng Hậu</t>
        </is>
      </c>
      <c r="E7979" t="inlineStr">
        <is>
          <t>Lương:Cạnh tranh</t>
        </is>
      </c>
      <c r="F7979" t="inlineStr">
        <is>
          <t>Hồ Chí Minh</t>
        </is>
      </c>
      <c r="G7979" t="inlineStr">
        <is>
          <t>11-04-2026</t>
        </is>
      </c>
      <c r="H7979" t="inlineStr">
        <is>
          <t>11/04/2026</t>
        </is>
      </c>
      <c r="I7979" t="inlineStr">
        <is>
          <t>17/03/2026</t>
        </is>
      </c>
      <c r="J7979" t="inlineStr">
        <is>
          <t>Tài chính / Đầu tư</t>
        </is>
      </c>
      <c r="K7979" t="inlineStr">
        <is>
          <t>3 - 5 Năm</t>
        </is>
      </c>
      <c r="L7979" s="8">
        <f>HYPERLINK("https://careerviet.vn/vi/tim-viec-lam/chuyen-vien-dau-tu-du-an.35C69DD7.html","Xem chi tiết")</f>
        <v/>
      </c>
    </row>
    <row r="7980">
      <c r="B7980" s="9" t="n">
        <v>7978</v>
      </c>
      <c r="C7980" s="10" t="inlineStr">
        <is>
          <t>Trưởng nhóm Trade Marketing</t>
        </is>
      </c>
      <c r="D7980" s="10" t="inlineStr">
        <is>
          <t>Công ty TNHH SX và TM  BQ</t>
        </is>
      </c>
      <c r="E7980" s="10" t="inlineStr">
        <is>
          <t>Lương:13 Tr - 16 Tr VND</t>
        </is>
      </c>
      <c r="F7980" s="10" t="inlineStr">
        <is>
          <t>Đà Nẵng</t>
        </is>
      </c>
      <c r="G7980" s="10" t="inlineStr">
        <is>
          <t>30-04-2026</t>
        </is>
      </c>
      <c r="H7980" s="10" t="inlineStr">
        <is>
          <t>30/04/2026</t>
        </is>
      </c>
      <c r="I7980" s="10" t="inlineStr">
        <is>
          <t>17/03/2026</t>
        </is>
      </c>
      <c r="J7980" s="10" t="inlineStr">
        <is>
          <t>Tiếp thị / Marketing, Bán lẻ / Bán sỉ, Bán hàng / Kinh doanh</t>
        </is>
      </c>
      <c r="K7980" s="10" t="inlineStr">
        <is>
          <t>2 - 4 Năm</t>
        </is>
      </c>
      <c r="L7980" s="11">
        <f>HYPERLINK("https://careerviet.vn/vi/tim-viec-lam/truong-nhom-trade-marketing.35C6BD6A.html","Xem chi tiết")</f>
        <v/>
      </c>
      <c r="M7980" s="10" t="n"/>
    </row>
    <row r="7981">
      <c r="B7981" s="7" t="n">
        <v>7979</v>
      </c>
      <c r="C7981" t="inlineStr">
        <is>
          <t>KỸ SƯ QS NHÀ THÉP (TẠI VĂN PHÒNG)</t>
        </is>
      </c>
      <c r="D7981" t="inlineStr">
        <is>
          <t>CÔNG TY TRÁCH NHIỆM HỮU HẠN THÉP QSB</t>
        </is>
      </c>
      <c r="E7981" t="inlineStr">
        <is>
          <t>Lương:Cạnh tranh</t>
        </is>
      </c>
      <c r="F7981" t="inlineStr">
        <is>
          <t>Hồ Chí Minh</t>
        </is>
      </c>
      <c r="G7981" t="inlineStr">
        <is>
          <t>31-03-2026</t>
        </is>
      </c>
      <c r="H7981" t="inlineStr">
        <is>
          <t>31/03/2026</t>
        </is>
      </c>
      <c r="I7981" t="inlineStr">
        <is>
          <t>17/03/2026</t>
        </is>
      </c>
      <c r="J7981" t="inlineStr">
        <is>
          <t>Cơ khí / Ô tô / Tự động hóa, Kiến trúc, Xây dựng</t>
        </is>
      </c>
      <c r="K7981" t="inlineStr">
        <is>
          <t>1 - 5 Năm</t>
        </is>
      </c>
      <c r="L7981" s="8">
        <f>HYPERLINK("https://careerviet.vn/vi/tim-viec-lam/ky-su-qs-nha-thep-tai-van-phong.35C6BBE2.html","Xem chi tiết")</f>
        <v/>
      </c>
    </row>
    <row r="7982">
      <c r="B7982" s="9" t="n">
        <v>7980</v>
      </c>
      <c r="C7982" s="10" t="inlineStr">
        <is>
          <t>Kỹ Sư QC Công trình</t>
        </is>
      </c>
      <c r="D7982" s="10" t="inlineStr">
        <is>
          <t>CÔNG TY TRÁCH NHIỆM HỮU HẠN THÉP QSB</t>
        </is>
      </c>
      <c r="E7982" s="10" t="inlineStr">
        <is>
          <t>Lương:13 Tr - 17 Tr VND</t>
        </is>
      </c>
      <c r="F7982" s="10" t="inlineStr">
        <is>
          <t>Hồ Chí Minh</t>
        </is>
      </c>
      <c r="G7982" s="10" t="inlineStr">
        <is>
          <t>31-03-2026</t>
        </is>
      </c>
      <c r="H7982" s="10" t="inlineStr">
        <is>
          <t>31/03/2026</t>
        </is>
      </c>
      <c r="I7982" s="10" t="inlineStr">
        <is>
          <t>17/03/2026</t>
        </is>
      </c>
      <c r="J7982" s="10" t="inlineStr">
        <is>
          <t>Kiến trúc, Xây dựng, Cơ khí / Ô tô / Tự động hóa</t>
        </is>
      </c>
      <c r="K7982" s="10" t="inlineStr">
        <is>
          <t>1 - 2 Năm</t>
        </is>
      </c>
      <c r="L7982" s="11">
        <f>HYPERLINK("https://careerviet.vn/vi/tim-viec-lam/ky-su-qc-cong-trinh.35C6BDB3.html","Xem chi tiết")</f>
        <v/>
      </c>
      <c r="M7982" s="10" t="n"/>
    </row>
    <row r="7983">
      <c r="B7983" s="7" t="n">
        <v>7981</v>
      </c>
      <c r="C7983" t="inlineStr">
        <is>
          <t>Chuyên viên C&amp;B</t>
        </is>
      </c>
      <c r="D7983" t="inlineStr">
        <is>
          <t>Công ty Cổ phần CANIFA</t>
        </is>
      </c>
      <c r="E7983" t="inlineStr">
        <is>
          <t>Lương:15 Tr - 20 Tr VND</t>
        </is>
      </c>
      <c r="F7983" t="inlineStr">
        <is>
          <t>Hà Nội</t>
        </is>
      </c>
      <c r="G7983" t="inlineStr">
        <is>
          <t>11-04-2026</t>
        </is>
      </c>
      <c r="H7983" t="inlineStr">
        <is>
          <t>11/04/2026</t>
        </is>
      </c>
      <c r="I7983" t="inlineStr">
        <is>
          <t>17/03/2026</t>
        </is>
      </c>
      <c r="J7983" t="inlineStr">
        <is>
          <t>Nhân sự</t>
        </is>
      </c>
      <c r="K7983" t="inlineStr">
        <is>
          <t>3 - 7 Năm</t>
        </is>
      </c>
      <c r="L7983" s="8">
        <f>HYPERLINK("https://careerviet.vn/vi/tim-viec-lam/chuyen-vien-c-b.35C6BD8F.html","Xem chi tiết")</f>
        <v/>
      </c>
    </row>
    <row r="7984">
      <c r="B7984" s="9" t="n">
        <v>7982</v>
      </c>
      <c r="C7984" s="10" t="inlineStr">
        <is>
          <t>Chuyên viên Phát triển Sản phẩm (Outbound / Nội địa).</t>
        </is>
      </c>
      <c r="D7984" s="10" t="inlineStr">
        <is>
          <t>Công Ty Cổ Phần Du Lịch Vietravel</t>
        </is>
      </c>
      <c r="E7984" s="10" t="inlineStr">
        <is>
          <t>Lương:Cạnh tranh</t>
        </is>
      </c>
      <c r="F7984" s="10" t="inlineStr">
        <is>
          <t>Hồ Chí Minh</t>
        </is>
      </c>
      <c r="G7984" s="10" t="inlineStr">
        <is>
          <t>07-04-2026</t>
        </is>
      </c>
      <c r="H7984" s="10" t="inlineStr">
        <is>
          <t>07/04/2026</t>
        </is>
      </c>
      <c r="I7984" s="10" t="inlineStr">
        <is>
          <t>17/03/2026</t>
        </is>
      </c>
      <c r="J7984" s="10" t="inlineStr">
        <is>
          <t>Bán hàng / Kinh doanh, Du lịch, Quảng cáo / Đối ngoại / Truyền Thông</t>
        </is>
      </c>
      <c r="K7984" s="10" t="inlineStr">
        <is>
          <t>2 - 4 Năm</t>
        </is>
      </c>
      <c r="L7984" s="11">
        <f>HYPERLINK("https://careerviet.vn/vi/tim-viec-lam/chuyen-vien-phat-trien-san-pham-outbound-noi-dia.35C6BDA1.html","Xem chi tiết")</f>
        <v/>
      </c>
      <c r="M7984" s="10" t="n"/>
    </row>
    <row r="7985">
      <c r="B7985" s="7" t="n">
        <v>7983</v>
      </c>
      <c r="C7985" t="inlineStr">
        <is>
          <t>Quản lý cửa hàng ( Cửa Hàng Trưởng- Làm việc tại Sân Bay Tân Sơn Nhất)</t>
        </is>
      </c>
      <c r="D7985" t="inlineStr">
        <is>
          <t>Công ty Cổ phần Đầu tư Thương mại Kỹ thuật A&amp;T Việt Nam</t>
        </is>
      </c>
      <c r="E7985" t="inlineStr">
        <is>
          <t>Lương:15 Tr - 20 Tr VND</t>
        </is>
      </c>
      <c r="F7985" t="inlineStr">
        <is>
          <t>Hồ Chí Minh</t>
        </is>
      </c>
      <c r="G7985" t="inlineStr">
        <is>
          <t>15-04-2026</t>
        </is>
      </c>
      <c r="H7985" t="inlineStr">
        <is>
          <t>15/04/2026</t>
        </is>
      </c>
      <c r="I7985" t="inlineStr">
        <is>
          <t>17/03/2026</t>
        </is>
      </c>
      <c r="J7985" t="inlineStr">
        <is>
          <t>Bán hàng / Kinh doanh, Hàng không</t>
        </is>
      </c>
      <c r="K7985" t="inlineStr">
        <is>
          <t>2 - 5 Năm</t>
        </is>
      </c>
      <c r="L7985" s="8">
        <f>HYPERLINK("https://careerviet.vn/vi/tim-viec-lam/quan-ly-cua-hang-cua-hang-truong-lam-viec-tai-san-bay-tan-son-nhat.35C6BAA6.html","Xem chi tiết")</f>
        <v/>
      </c>
    </row>
    <row r="7986">
      <c r="B7986" s="9" t="n">
        <v>7984</v>
      </c>
      <c r="C7986" s="10" t="inlineStr">
        <is>
          <t>Kế Toán Bán Hàng</t>
        </is>
      </c>
      <c r="D7986" s="10" t="inlineStr">
        <is>
          <t>Công Ty Cổ Phần Tập Đoàn Trung Thủy</t>
        </is>
      </c>
      <c r="E7986" s="10" t="inlineStr">
        <is>
          <t>Lương:14 Tr - 16 Tr VND</t>
        </is>
      </c>
      <c r="F7986" s="10" t="inlineStr">
        <is>
          <t>Hồ Chí Minh</t>
        </is>
      </c>
      <c r="G7986" s="10" t="inlineStr">
        <is>
          <t>10-04-2026</t>
        </is>
      </c>
      <c r="H7986" s="10" t="inlineStr">
        <is>
          <t>10/04/2026</t>
        </is>
      </c>
      <c r="I7986" s="10" t="inlineStr">
        <is>
          <t>17/03/2026</t>
        </is>
      </c>
      <c r="J7986" s="10" t="inlineStr">
        <is>
          <t>Kế toán / Kiểm toán, Bất động sản</t>
        </is>
      </c>
      <c r="K7986" s="10" t="inlineStr">
        <is>
          <t>2 - 5 Năm</t>
        </is>
      </c>
      <c r="L7986" s="11">
        <f>HYPERLINK("https://careerviet.vn/vi/tim-viec-lam/ke-toan-ban-hang.35C6BD70.html","Xem chi tiết")</f>
        <v/>
      </c>
      <c r="M7986" s="10" t="n"/>
    </row>
    <row r="7987">
      <c r="B7987" s="7" t="n">
        <v>7985</v>
      </c>
      <c r="C7987" t="inlineStr">
        <is>
          <t>Trưởng nhóm Kinh doanh Thiết bị trang trại &amp; Thiết bị ngành gạo</t>
        </is>
      </c>
      <c r="D7987" t="inlineStr">
        <is>
          <t>CÔNG TY CỔ PHẦN TẬP ĐOÀN CƠ KHÍ CÔNG NGHỆ CAO SIBA</t>
        </is>
      </c>
      <c r="E7987" t="inlineStr">
        <is>
          <t>Lương:Cạnh tranh</t>
        </is>
      </c>
      <c r="F7987" t="inlineStr">
        <is>
          <t>Hồ Chí Minh</t>
        </is>
      </c>
      <c r="G7987" t="inlineStr">
        <is>
          <t>30-04-2026</t>
        </is>
      </c>
      <c r="H7987" t="inlineStr">
        <is>
          <t>30/04/2026</t>
        </is>
      </c>
      <c r="I7987" t="inlineStr">
        <is>
          <t>17/03/2026</t>
        </is>
      </c>
      <c r="J7987" t="inlineStr">
        <is>
          <t>Cơ khí / Ô tô / Tự động hóa, Tiếp thị / Marketing, Bán Hàng Kỹ Thuật</t>
        </is>
      </c>
      <c r="K7987" t="inlineStr">
        <is>
          <t>Chưa có kinh nghiệm</t>
        </is>
      </c>
      <c r="L7987" s="8">
        <f>HYPERLINK("https://careerviet.vn/vi/tim-viec-lam/truong-nhom-kinh-doanh-thiet-bi-trang-trai-thiet-bi-nganh-gao.35C6BCEC.html","Xem chi tiết")</f>
        <v/>
      </c>
    </row>
    <row r="7988">
      <c r="B7988" s="9" t="n">
        <v>7986</v>
      </c>
      <c r="C7988" s="10" t="inlineStr">
        <is>
          <t>TRƯỞNG BỘ PHẬN PHÁP LÝ - DỰ ÁN</t>
        </is>
      </c>
      <c r="D7988" s="10" t="inlineStr">
        <is>
          <t>Công ty TNHH SX-TM Thép Tây Nam</t>
        </is>
      </c>
      <c r="E7988" s="10" t="inlineStr">
        <is>
          <t>Lương:15 Tr - 25 Tr VND</t>
        </is>
      </c>
      <c r="F7988" s="10" t="inlineStr">
        <is>
          <t>Long An</t>
        </is>
      </c>
      <c r="G7988" s="10" t="inlineStr">
        <is>
          <t>28-03-2026</t>
        </is>
      </c>
      <c r="H7988" s="10" t="inlineStr">
        <is>
          <t>28/03/2026</t>
        </is>
      </c>
      <c r="I7988" s="10" t="inlineStr">
        <is>
          <t>17/03/2026</t>
        </is>
      </c>
      <c r="J7988" s="10" t="inlineStr">
        <is>
          <t>Luật / Pháp lý, Bất động sản</t>
        </is>
      </c>
      <c r="K7988" s="10" t="inlineStr">
        <is>
          <t>3 - 5 Năm</t>
        </is>
      </c>
      <c r="L7988" s="11">
        <f>HYPERLINK("https://careerviet.vn/vi/tim-viec-lam/truong-bo-phan-phap-ly-du-an.35C6BD67.html","Xem chi tiết")</f>
        <v/>
      </c>
      <c r="M7988" s="10" t="n"/>
    </row>
    <row r="7989">
      <c r="B7989" s="7" t="n">
        <v>7987</v>
      </c>
      <c r="C7989" t="inlineStr">
        <is>
          <t>Chuyên viên quan hệ khách hàng Doanh nghiệp - [BAC A BANK - Chi nhánh Hà Nam/ Hưng Yên/ Hà Giang]</t>
        </is>
      </c>
      <c r="D7989" t="inlineStr">
        <is>
          <t>Ngân Hàng Thương mại cổ phần Bắc Á- BAC A BANK</t>
        </is>
      </c>
      <c r="E7989" t="inlineStr">
        <is>
          <t>Lương:Cạnh tranh</t>
        </is>
      </c>
      <c r="F7989" t="inlineStr">
        <is>
          <t>Hà GiangHà NamHưng Yên</t>
        </is>
      </c>
      <c r="G7989" t="inlineStr">
        <is>
          <t>07-04-2026</t>
        </is>
      </c>
      <c r="H7989" t="inlineStr">
        <is>
          <t>07/04/2026</t>
        </is>
      </c>
      <c r="I7989" t="inlineStr">
        <is>
          <t>17/03/2026</t>
        </is>
      </c>
      <c r="J7989" t="inlineStr">
        <is>
          <t>Ngân hàng, Bán hàng / Kinh doanh, Tài chính / Đầu tư</t>
        </is>
      </c>
      <c r="K7989" t="inlineStr">
        <is>
          <t>2 - 5 Năm</t>
        </is>
      </c>
      <c r="L7989" s="8">
        <f>HYPERLINK("https://careerviet.vn/vi/tim-viec-lam/chuyen-vien-quan-he-khach-hang-doanh-nghiep-bac-a-bank-chi-nhanh-ha-nam-hung-yen-ha-giang.35C6BD54.html","Xem chi tiết")</f>
        <v/>
      </c>
    </row>
    <row r="7990">
      <c r="B7990" s="9" t="n">
        <v>7988</v>
      </c>
      <c r="C7990" s="10" t="inlineStr">
        <is>
          <t>Nhân viên kho</t>
        </is>
      </c>
      <c r="D7990" s="10" t="inlineStr">
        <is>
          <t>Công Ty Cổ Phần Gỗ An Cường</t>
        </is>
      </c>
      <c r="E7990" s="10" t="inlineStr">
        <is>
          <t>Lương:10 Tr - 15 Tr VND</t>
        </is>
      </c>
      <c r="F7990" s="10" t="inlineStr">
        <is>
          <t>Bình Dương</t>
        </is>
      </c>
      <c r="G7990" s="10" t="inlineStr">
        <is>
          <t>10-04-2026</t>
        </is>
      </c>
      <c r="H7990" s="10" t="inlineStr">
        <is>
          <t>10/04/2026</t>
        </is>
      </c>
      <c r="I7990" s="10" t="inlineStr">
        <is>
          <t>17/03/2026</t>
        </is>
      </c>
      <c r="J7990" s="10" t="inlineStr">
        <is>
          <t>Sản xuất / Vận hành sản xuất, Nội ngoại thất, Điện / Điện tử / Điện lạnh / Điện công nghiệp</t>
        </is>
      </c>
      <c r="K7990" s="10" t="inlineStr">
        <is>
          <t>Chưa có kinh nghiệm</t>
        </is>
      </c>
      <c r="L7990" s="11">
        <f>HYPERLINK("https://careerviet.vn/vi/tim-viec-lam/nhan-vien-kho.35C6BD83.html","Xem chi tiết")</f>
        <v/>
      </c>
      <c r="M7990" s="10" t="n"/>
    </row>
    <row r="7991">
      <c r="B7991" s="7" t="n">
        <v>7989</v>
      </c>
      <c r="C7991" t="inlineStr">
        <is>
          <t>Kế toán tổng hợp (Chủ đầu tư BĐS, làm việc tại Hà Nội)</t>
        </is>
      </c>
      <c r="D7991" t="inlineStr">
        <is>
          <t>Công ty Cổ phần Tập đoàn KITA Group</t>
        </is>
      </c>
      <c r="E7991" t="inlineStr">
        <is>
          <t>Lương:17 Tr - 23 Tr VND</t>
        </is>
      </c>
      <c r="F7991" t="inlineStr">
        <is>
          <t>Hà Nội</t>
        </is>
      </c>
      <c r="G7991" t="inlineStr">
        <is>
          <t>30-04-2026</t>
        </is>
      </c>
      <c r="H7991" t="inlineStr">
        <is>
          <t>30/04/2026</t>
        </is>
      </c>
      <c r="I7991" t="inlineStr">
        <is>
          <t>17/03/2026</t>
        </is>
      </c>
      <c r="J7991" t="inlineStr">
        <is>
          <t>Kế toán / Kiểm toán, Tài chính / Đầu tư, Bất động sản</t>
        </is>
      </c>
      <c r="K7991" t="inlineStr">
        <is>
          <t>4 - 5 Năm</t>
        </is>
      </c>
      <c r="L7991" s="8">
        <f>HYPERLINK("https://careerviet.vn/vi/tim-viec-lam/ke-toan-tong-hop-chu-dau-tu-bds-lam-viec-tai-ha-noi.35C6BD28.html","Xem chi tiết")</f>
        <v/>
      </c>
    </row>
    <row r="7992">
      <c r="B7992" s="9" t="n">
        <v>7990</v>
      </c>
      <c r="C7992" s="10" t="inlineStr">
        <is>
          <t>NHÂN VIÊN KINH DOANH (Mảng Tôn Thép)</t>
        </is>
      </c>
      <c r="D7992" s="10" t="inlineStr">
        <is>
          <t>Công ty TNHH SX-TM Thép Tây Nam</t>
        </is>
      </c>
      <c r="E7992" s="10" t="inlineStr">
        <is>
          <t>Lương:10 Tr - 15 Tr VND</t>
        </is>
      </c>
      <c r="F7992" s="10" t="inlineStr">
        <is>
          <t>Hồ Chí Minh</t>
        </is>
      </c>
      <c r="G7992" s="10" t="inlineStr">
        <is>
          <t>28-03-2026</t>
        </is>
      </c>
      <c r="H7992" s="10" t="inlineStr">
        <is>
          <t>28/03/2026</t>
        </is>
      </c>
      <c r="I7992" s="10" t="inlineStr">
        <is>
          <t>17/03/2026</t>
        </is>
      </c>
      <c r="J7992" s="10" t="inlineStr">
        <is>
          <t>Bán lẻ / Bán sỉ, Bán hàng / Kinh doanh, Tiếp thị trực tuyến</t>
        </is>
      </c>
      <c r="K7992" s="10" t="inlineStr">
        <is>
          <t>1 - 2 Năm</t>
        </is>
      </c>
      <c r="L7992" s="11">
        <f>HYPERLINK("https://careerviet.vn/vi/tim-viec-lam/nhan-vien-kinh-doanh-mang-ton-thep.35C6BD66.html","Xem chi tiết")</f>
        <v/>
      </c>
      <c r="M7992" s="10" t="n"/>
    </row>
    <row r="7993">
      <c r="B7993" s="7" t="n">
        <v>7991</v>
      </c>
      <c r="C7993" t="inlineStr">
        <is>
          <t>Trợ lý điều hành (trực thuộc Tổng Công Ty)</t>
        </is>
      </c>
      <c r="D7993" t="inlineStr">
        <is>
          <t>KING ELONG GROUP</t>
        </is>
      </c>
      <c r="E7993" t="inlineStr">
        <is>
          <t>Lương:16 Tr - 22 Tr VND</t>
        </is>
      </c>
      <c r="F7993" t="inlineStr">
        <is>
          <t>Hồ Chí Minh</t>
        </is>
      </c>
      <c r="G7993" t="inlineStr">
        <is>
          <t>10-04-2026</t>
        </is>
      </c>
      <c r="H7993" t="inlineStr">
        <is>
          <t>10/04/2026</t>
        </is>
      </c>
      <c r="I7993" t="inlineStr">
        <is>
          <t>17/03/2026</t>
        </is>
      </c>
      <c r="J7993" t="inlineStr">
        <is>
          <t>Hành chính / Thư ký, Quản lý điều hành, Kế toán / Kiểm toán</t>
        </is>
      </c>
      <c r="K7993" t="inlineStr">
        <is>
          <t>2 - 3 Năm</t>
        </is>
      </c>
      <c r="L7993" s="8">
        <f>HYPERLINK("https://careerviet.vn/vi/tim-viec-lam/tro-ly-dieu-hanh-truc-thuoc-tong-cong-ty.35C6BD34.html","Xem chi tiết")</f>
        <v/>
      </c>
    </row>
    <row r="7994">
      <c r="B7994" s="9" t="n">
        <v>7992</v>
      </c>
      <c r="C7994" s="10" t="inlineStr">
        <is>
          <t>[HO - HCM] Chuyên gia/Chuyên viên cao cấp Quản lý hiệu suất bán - mảng chương trình</t>
        </is>
      </c>
      <c r="D7994" s="10" t="inlineStr">
        <is>
          <t>Ngân hàng TMCP Phát triển TP.HCM (HDBank)</t>
        </is>
      </c>
      <c r="E7994" s="10" t="inlineStr">
        <is>
          <t>Lương:18 Tr - 40 Tr VND</t>
        </is>
      </c>
      <c r="F7994" s="10" t="inlineStr">
        <is>
          <t>Hồ Chí Minh</t>
        </is>
      </c>
      <c r="G7994" s="10" t="inlineStr">
        <is>
          <t>07-04-2026</t>
        </is>
      </c>
      <c r="H7994" s="10" t="inlineStr">
        <is>
          <t>07/04/2026</t>
        </is>
      </c>
      <c r="I7994" s="10" t="inlineStr">
        <is>
          <t>17/03/2026</t>
        </is>
      </c>
      <c r="J7994" s="10" t="inlineStr">
        <is>
          <t>Ngân hàng, Tài chính / Đầu tư, Bảo hiểm</t>
        </is>
      </c>
      <c r="K7994" s="10" t="inlineStr">
        <is>
          <t>2 - 15 Năm</t>
        </is>
      </c>
      <c r="L7994" s="11">
        <f>HYPERLINK("https://careerviet.vn/vi/tim-viec-lam/ho-hcm-chuyen-gia-chuyen-vien-cao-cap-quan-ly-hieu-suat-ban-mang-chuong-trinh.35C6BB65.html","Xem chi tiết")</f>
        <v/>
      </c>
      <c r="M7994" s="10" t="n"/>
    </row>
    <row r="7995">
      <c r="B7995" s="7" t="n">
        <v>7993</v>
      </c>
      <c r="C7995" t="inlineStr">
        <is>
          <t>QC MANAGER / SUPERVISOR (SPORTSWEAR)</t>
        </is>
      </c>
      <c r="D7995" t="inlineStr">
        <is>
          <t>MOTIVES VIETNAM CORPORATION</t>
        </is>
      </c>
      <c r="E7995" t="inlineStr">
        <is>
          <t>Lương:Cạnh tranh</t>
        </is>
      </c>
      <c r="F7995" t="inlineStr">
        <is>
          <t>Hồ Chí Minh</t>
        </is>
      </c>
      <c r="G7995" t="inlineStr">
        <is>
          <t>30-04-2026</t>
        </is>
      </c>
      <c r="H7995" t="inlineStr">
        <is>
          <t>30/04/2026</t>
        </is>
      </c>
      <c r="I7995" t="inlineStr">
        <is>
          <t>17/03/2026</t>
        </is>
      </c>
      <c r="J7995" t="inlineStr">
        <is>
          <t>Dệt may / Da giày / Thời trang, Quản lý chất lượng (QA/QC)</t>
        </is>
      </c>
      <c r="K7995" t="inlineStr">
        <is>
          <t>Trên 5 Năm</t>
        </is>
      </c>
      <c r="L7995" s="8">
        <f>HYPERLINK("https://careerviet.vn/vi/tim-viec-lam/qc-manager-supervisor-sportswear.35C6BD36.html","Xem chi tiết")</f>
        <v/>
      </c>
    </row>
    <row r="7996">
      <c r="B7996" s="9" t="n">
        <v>7994</v>
      </c>
      <c r="C7996" s="10" t="inlineStr">
        <is>
          <t>Chuyên Viên Tuyển Dụng</t>
        </is>
      </c>
      <c r="D7996" s="10" t="inlineStr">
        <is>
          <t>Công Ty Cổ Phần Tập Đoàn Việt Ba</t>
        </is>
      </c>
      <c r="E7996" s="10" t="inlineStr">
        <is>
          <t>Lương:10 Tr - 15 Tr VND</t>
        </is>
      </c>
      <c r="F7996" s="10" t="inlineStr">
        <is>
          <t>Hà Nội</t>
        </is>
      </c>
      <c r="G7996" s="10" t="inlineStr">
        <is>
          <t>09-04-2026</t>
        </is>
      </c>
      <c r="H7996" s="10" t="inlineStr">
        <is>
          <t>09/04/2026</t>
        </is>
      </c>
      <c r="I7996" s="10" t="inlineStr">
        <is>
          <t>17/03/2026</t>
        </is>
      </c>
      <c r="J7996" s="10" t="inlineStr">
        <is>
          <t>Nhân sự, Hành chính / Thư ký, Luật / Pháp lý</t>
        </is>
      </c>
      <c r="K7996" s="10" t="inlineStr">
        <is>
          <t>2 - 4 Năm</t>
        </is>
      </c>
      <c r="L7996" s="11">
        <f>HYPERLINK("https://careerviet.vn/vi/tim-viec-lam/chuyen-vien-tuyen-dung.35C6BD53.html","Xem chi tiết")</f>
        <v/>
      </c>
      <c r="M7996" s="10" t="n"/>
    </row>
    <row r="7997">
      <c r="B7997" s="7" t="n">
        <v>7995</v>
      </c>
      <c r="C7997" t="inlineStr">
        <is>
          <t>Kỹ sư kinh tế xây dựng</t>
        </is>
      </c>
      <c r="D7997" t="inlineStr">
        <is>
          <t>TỔNG CÔNG TY CỔ PHẦN THƯƠNG MẠI XÂY DỰNG</t>
        </is>
      </c>
      <c r="E7997" t="inlineStr">
        <is>
          <t>Lương:Cạnh tranh</t>
        </is>
      </c>
      <c r="F7997" t="inlineStr">
        <is>
          <t>Hà Nội</t>
        </is>
      </c>
      <c r="G7997" t="inlineStr">
        <is>
          <t>31-03-2026</t>
        </is>
      </c>
      <c r="H7997" t="inlineStr">
        <is>
          <t>31/03/2026</t>
        </is>
      </c>
      <c r="I7997" t="inlineStr">
        <is>
          <t>17/03/2026</t>
        </is>
      </c>
      <c r="J7997" t="inlineStr">
        <is>
          <t>Xây dựng, Bất động sản</t>
        </is>
      </c>
      <c r="K7997" t="inlineStr">
        <is>
          <t>Lên đến 3 Năm</t>
        </is>
      </c>
      <c r="L7997" s="8">
        <f>HYPERLINK("https://careerviet.vn/vi/tim-viec-lam/ky-su-kinh-te-xay-dung.35C6BD41.html","Xem chi tiết")</f>
        <v/>
      </c>
    </row>
    <row r="7998">
      <c r="B7998" s="9" t="n">
        <v>7996</v>
      </c>
      <c r="C7998" s="10" t="inlineStr">
        <is>
          <t>Content SEO Website(Mới)</t>
        </is>
      </c>
      <c r="D7998" s="10" t="inlineStr">
        <is>
          <t>Top Ten Travel</t>
        </is>
      </c>
      <c r="E7998" s="10" t="inlineStr">
        <is>
          <t>Lương:7 Tr - 9 Tr VND</t>
        </is>
      </c>
      <c r="F7998" s="10" t="inlineStr">
        <is>
          <t>Hồ Chí Minh</t>
        </is>
      </c>
      <c r="G7998" s="10" t="inlineStr">
        <is>
          <t>31-05-2026</t>
        </is>
      </c>
      <c r="H7998" s="10" t="inlineStr">
        <is>
          <t>31/05/2026</t>
        </is>
      </c>
      <c r="I7998" s="10" t="inlineStr">
        <is>
          <t>17/03/2026</t>
        </is>
      </c>
      <c r="J7998" s="10" t="inlineStr">
        <is>
          <t>Truyền hình / Báo chí / Biên tập, Tiếp thị / Marketing, Du lịch</t>
        </is>
      </c>
      <c r="K7998" s="10" t="inlineStr">
        <is>
          <t>Chưa có kinh nghiệm</t>
        </is>
      </c>
      <c r="L7998" s="11">
        <f>HYPERLINK("https://careerviet.vn/vi/tim-viec-lam/content-seo-website.35C6CB87.html","Xem chi tiết")</f>
        <v/>
      </c>
      <c r="M7998" s="10" t="n"/>
    </row>
    <row r="7999">
      <c r="B7999" s="7" t="n">
        <v>7997</v>
      </c>
      <c r="C7999" t="inlineStr">
        <is>
          <t>Chuyên viên quan hệ khách hàng Doanh nghiệp - [BAC A BANK - Chi nhánh Hải Phòng/ Ninh Bình/Quảng Ninh]</t>
        </is>
      </c>
      <c r="D7999" t="inlineStr">
        <is>
          <t>Ngân Hàng Thương mại cổ phần Bắc Á- BAC A BANK</t>
        </is>
      </c>
      <c r="E7999" t="inlineStr">
        <is>
          <t>Lương:Cạnh tranh</t>
        </is>
      </c>
      <c r="F7999" t="inlineStr">
        <is>
          <t>Hải PhòngNinh BìnhQuảng Ninh</t>
        </is>
      </c>
      <c r="G7999" t="inlineStr">
        <is>
          <t>08-04-2026</t>
        </is>
      </c>
      <c r="H7999" t="inlineStr">
        <is>
          <t>08/04/2026</t>
        </is>
      </c>
      <c r="I7999" t="inlineStr">
        <is>
          <t>17/03/2026</t>
        </is>
      </c>
      <c r="J7999" t="inlineStr">
        <is>
          <t>Ngân hàng, Bán hàng / Kinh doanh, Tài chính / Đầu tư</t>
        </is>
      </c>
      <c r="K7999" t="inlineStr">
        <is>
          <t>2 - 5 Năm</t>
        </is>
      </c>
      <c r="L7999" s="8">
        <f>HYPERLINK("https://careerviet.vn/vi/tim-viec-lam/chuyen-vien-quan-he-khach-hang-doanh-nghiep-bac-a-bank-chi-nhanh-hai-phong-ninh-binh-quang-ninh.35C6BD4D.html","Xem chi tiết")</f>
        <v/>
      </c>
    </row>
    <row r="8000">
      <c r="B8000" s="9" t="n">
        <v>7998</v>
      </c>
      <c r="C8000" s="10" t="inlineStr">
        <is>
          <t>Nhân viên kế toán kho</t>
        </is>
      </c>
      <c r="D8000" s="10" t="inlineStr">
        <is>
          <t>Công Ty Cổ Phần Tập Đoàn Thời Trang Việt Nam</t>
        </is>
      </c>
      <c r="E8000" s="10" t="inlineStr">
        <is>
          <t>Lương:9 Tr - 11 Tr VND</t>
        </is>
      </c>
      <c r="F8000" s="10" t="inlineStr">
        <is>
          <t>Hà Nội</t>
        </is>
      </c>
      <c r="G8000" s="10" t="inlineStr">
        <is>
          <t>10-04-2026</t>
        </is>
      </c>
      <c r="H8000" s="10" t="inlineStr">
        <is>
          <t>10/04/2026</t>
        </is>
      </c>
      <c r="I8000" s="10" t="inlineStr">
        <is>
          <t>17/03/2026</t>
        </is>
      </c>
      <c r="J8000" s="10" t="inlineStr">
        <is>
          <t>Kế toán / Kiểm toán</t>
        </is>
      </c>
      <c r="K8000" s="10" t="inlineStr">
        <is>
          <t>1 - 2 Năm</t>
        </is>
      </c>
      <c r="L8000" s="11">
        <f>HYPERLINK("https://careerviet.vn/vi/tim-viec-lam/nhan-vien-ke-toan-kho.35C6BD45.html","Xem chi tiết")</f>
        <v/>
      </c>
      <c r="M8000" s="10" t="n"/>
    </row>
    <row r="8001">
      <c r="B8001" s="7" t="n">
        <v>7999</v>
      </c>
      <c r="C8001" t="inlineStr">
        <is>
          <t>Chief Accountant</t>
        </is>
      </c>
      <c r="D8001" t="inlineStr">
        <is>
          <t>CÔNG TY TNHH DYNAMIC TEST SOLUTIONS VIỆT NAM</t>
        </is>
      </c>
      <c r="E8001" t="inlineStr">
        <is>
          <t>Lương:Cạnh tranh</t>
        </is>
      </c>
      <c r="F8001" t="inlineStr">
        <is>
          <t>Hồ Chí Minh</t>
        </is>
      </c>
      <c r="G8001" t="inlineStr">
        <is>
          <t>30-04-2026</t>
        </is>
      </c>
      <c r="H8001" t="inlineStr">
        <is>
          <t>30/04/2026</t>
        </is>
      </c>
      <c r="I8001" t="inlineStr">
        <is>
          <t>17/03/2026</t>
        </is>
      </c>
      <c r="J8001" t="inlineStr">
        <is>
          <t>Kế toán / Kiểm toán</t>
        </is>
      </c>
      <c r="K8001" t="inlineStr">
        <is>
          <t>5 - 10 Năm</t>
        </is>
      </c>
      <c r="L8001" s="8">
        <f>HYPERLINK("https://careerviet.vn/vi/tim-viec-lam/chief-accountant.35C6BAA4.html","Xem chi tiết")</f>
        <v/>
      </c>
    </row>
    <row r="8002">
      <c r="B8002" s="9" t="n">
        <v>8000</v>
      </c>
      <c r="C8002" s="10" t="inlineStr">
        <is>
          <t>TRƯỞNG BỘ PHẬN HÀNH CHÁNH NHÂN SỰ(Mới)</t>
        </is>
      </c>
      <c r="D8002" s="10" t="inlineStr">
        <is>
          <t>Công Ty TNHH SX -TM Dây Và Cáp Điện Tài Trường Thành</t>
        </is>
      </c>
      <c r="E8002" s="10" t="inlineStr">
        <is>
          <t>Lương:13 Tr - 15 Tr VND</t>
        </is>
      </c>
      <c r="F8002" s="10" t="inlineStr">
        <is>
          <t>Long An</t>
        </is>
      </c>
      <c r="G8002" s="10" t="inlineStr">
        <is>
          <t>15-04-2026</t>
        </is>
      </c>
      <c r="H8002" s="10" t="inlineStr">
        <is>
          <t>15/04/2026</t>
        </is>
      </c>
      <c r="I8002" s="10" t="inlineStr">
        <is>
          <t>17/03/2026</t>
        </is>
      </c>
      <c r="J8002" s="10" t="inlineStr">
        <is>
          <t>Nhân sự, Quản lý điều hành, Hành chính / Thư ký</t>
        </is>
      </c>
      <c r="K8002" s="10" t="inlineStr">
        <is>
          <t>3 - 5 Năm</t>
        </is>
      </c>
      <c r="L8002" s="11">
        <f>HYPERLINK("https://careerviet.vn/vi/tim-viec-lam/truong-bo-phan-hanh-chanh-nhan-su.35C6CB15.html","Xem chi tiết")</f>
        <v/>
      </c>
      <c r="M8002" s="10" t="n"/>
    </row>
    <row r="8003">
      <c r="B8003" s="7" t="n">
        <v>8001</v>
      </c>
      <c r="C8003" t="inlineStr">
        <is>
          <t>Content Marketing(Mới)</t>
        </is>
      </c>
      <c r="D8003" t="inlineStr">
        <is>
          <t>Top Ten Travel</t>
        </is>
      </c>
      <c r="E8003" t="inlineStr">
        <is>
          <t>Lương:7 Tr - 9 Tr VND</t>
        </is>
      </c>
      <c r="F8003" t="inlineStr">
        <is>
          <t>Hồ Chí Minh</t>
        </is>
      </c>
      <c r="G8003" t="inlineStr">
        <is>
          <t>31-05-2026</t>
        </is>
      </c>
      <c r="H8003" t="inlineStr">
        <is>
          <t>31/05/2026</t>
        </is>
      </c>
      <c r="I8003" t="inlineStr">
        <is>
          <t>17/03/2026</t>
        </is>
      </c>
      <c r="J8003" t="inlineStr">
        <is>
          <t>Truyền hình / Báo chí / Biên tập, Quảng cáo / Đối ngoại / Truyền Thông, Du lịch</t>
        </is>
      </c>
      <c r="K8003" t="inlineStr">
        <is>
          <t>Chưa có kinh nghiệm</t>
        </is>
      </c>
      <c r="L8003" s="8">
        <f>HYPERLINK("https://careerviet.vn/vi/tim-viec-lam/content-marketing.35C6CB86.html","Xem chi tiết")</f>
        <v/>
      </c>
    </row>
    <row r="8004">
      <c r="B8004" s="9" t="n">
        <v>8002</v>
      </c>
      <c r="C8004" s="10" t="inlineStr">
        <is>
          <t>TRỢ LÝ GIÁM ĐỐC(Mới)</t>
        </is>
      </c>
      <c r="D8004" s="10" t="inlineStr">
        <is>
          <t>CÔNG TY TNHH CÔNG NGHỆ NĂNG LƯỢNG CERGY</t>
        </is>
      </c>
      <c r="E8004" s="10" t="inlineStr">
        <is>
          <t>Lương:13 Tr - 18 Tr VND</t>
        </is>
      </c>
      <c r="F8004" s="10" t="inlineStr">
        <is>
          <t>Hồ Chí Minh</t>
        </is>
      </c>
      <c r="G8004" s="10" t="inlineStr">
        <is>
          <t>16-04-2026</t>
        </is>
      </c>
      <c r="H8004" s="10" t="inlineStr">
        <is>
          <t>16/04/2026</t>
        </is>
      </c>
      <c r="I8004" s="10" t="inlineStr">
        <is>
          <t>17/03/2026</t>
        </is>
      </c>
      <c r="J8004" s="10" t="inlineStr">
        <is>
          <t>Hành chính / Thư ký, Biên phiên dịch, Điện / Điện tử / Điện lạnh / Điện công nghiệp</t>
        </is>
      </c>
      <c r="K8004" s="10" t="inlineStr">
        <is>
          <t>Trên 1 Năm</t>
        </is>
      </c>
      <c r="L8004" s="11">
        <f>HYPERLINK("https://careerviet.vn/vi/tim-viec-lam/tro-ly-giam-doc.35C6CAD7.html","Xem chi tiết")</f>
        <v/>
      </c>
      <c r="M8004" s="10" t="n"/>
    </row>
    <row r="8005">
      <c r="B8005" s="7" t="n">
        <v>8003</v>
      </c>
      <c r="C8005" t="inlineStr">
        <is>
          <t>Nhân viên chăm sóc khách hàng(Mới)</t>
        </is>
      </c>
      <c r="D8005" t="inlineStr">
        <is>
          <t>CÔNG TY CỔ PHẦN TRANG SỨC ĐÁ QUÝ INFINITY</t>
        </is>
      </c>
      <c r="E8005" t="inlineStr">
        <is>
          <t>Lương:6 Tr - 9 Tr VND</t>
        </is>
      </c>
      <c r="F8005" t="inlineStr">
        <is>
          <t>Hồ Chí Minh</t>
        </is>
      </c>
      <c r="G8005" t="inlineStr">
        <is>
          <t>13-04-2026</t>
        </is>
      </c>
      <c r="H8005" t="inlineStr">
        <is>
          <t>13/04/2026</t>
        </is>
      </c>
      <c r="I8005" t="inlineStr">
        <is>
          <t>17/03/2026</t>
        </is>
      </c>
      <c r="J8005" t="inlineStr">
        <is>
          <t>Tiếp thị / Marketing, Bán lẻ / Bán sỉ, Bán hàng / Kinh doanh</t>
        </is>
      </c>
      <c r="K8005" t="inlineStr">
        <is>
          <t>1 - 2 Năm</t>
        </is>
      </c>
      <c r="L8005" s="8">
        <f>HYPERLINK("https://careerviet.vn/vi/tim-viec-lam/nhan-vien-cham-soc-khach-hang.35C6CB85.html","Xem chi tiết")</f>
        <v/>
      </c>
    </row>
    <row r="8006">
      <c r="B8006" s="9" t="n">
        <v>8004</v>
      </c>
      <c r="C8006" s="10" t="inlineStr">
        <is>
          <t>Thợ Phụ Điện Nước (MEP)(Mới)</t>
        </is>
      </c>
      <c r="D8006" s="10" t="inlineStr">
        <is>
          <t>Công Ty TNHH Nội Thất Thái Việt</t>
        </is>
      </c>
      <c r="E8006" s="10" t="inlineStr">
        <is>
          <t>Lương:Cạnh tranh</t>
        </is>
      </c>
      <c r="F8006" s="10" t="inlineStr">
        <is>
          <t>Hồ Chí Minh</t>
        </is>
      </c>
      <c r="G8006" s="10" t="inlineStr">
        <is>
          <t>16-04-2026</t>
        </is>
      </c>
      <c r="H8006" s="10" t="inlineStr">
        <is>
          <t>16/04/2026</t>
        </is>
      </c>
      <c r="I8006" s="10" t="inlineStr">
        <is>
          <t>17/03/2026</t>
        </is>
      </c>
      <c r="J8006" s="10" t="inlineStr">
        <is>
          <t>Điện / Điện tử / Điện lạnh / Điện công nghiệp, Cơ khí / Ô tô / Tự động hóa, Lao động phổ thông</t>
        </is>
      </c>
      <c r="K8006" s="10" t="inlineStr">
        <is>
          <t>N/A</t>
        </is>
      </c>
      <c r="L8006" s="11">
        <f>HYPERLINK("https://careerviet.vn/vi/tim-viec-lam/tho-phu-dien-nuoc-mep.35C6CB70.html","Xem chi tiết")</f>
        <v/>
      </c>
      <c r="M8006" s="10" t="n"/>
    </row>
    <row r="8007">
      <c r="B8007" s="7" t="n">
        <v>8005</v>
      </c>
      <c r="C8007" t="inlineStr">
        <is>
          <t>TRƯỞNG PHÒNG PHÁT TRIỂN CỘNG ĐỒNG(Mới)</t>
        </is>
      </c>
      <c r="D8007" t="inlineStr">
        <is>
          <t>Công Ty Cổ Phần Đầu Tư Nam Long</t>
        </is>
      </c>
      <c r="E8007" t="inlineStr">
        <is>
          <t>Lương:Cạnh tranh</t>
        </is>
      </c>
      <c r="F8007" t="inlineStr">
        <is>
          <t>Hồ Chí Minh</t>
        </is>
      </c>
      <c r="G8007" t="inlineStr">
        <is>
          <t>30-04-2026</t>
        </is>
      </c>
      <c r="H8007" t="inlineStr">
        <is>
          <t>30/04/2026</t>
        </is>
      </c>
      <c r="I8007" t="inlineStr">
        <is>
          <t>17/03/2026</t>
        </is>
      </c>
      <c r="J8007" t="inlineStr">
        <is>
          <t>Dịch vụ khách hàng</t>
        </is>
      </c>
      <c r="K8007" t="inlineStr">
        <is>
          <t>3 - 5 Năm</t>
        </is>
      </c>
      <c r="L8007" s="8">
        <f>HYPERLINK("https://careerviet.vn/vi/tim-viec-lam/truong-phong-phat-trien-cong-dong.35C6CB8C.html","Xem chi tiết")</f>
        <v/>
      </c>
    </row>
    <row r="8008">
      <c r="B8008" s="9" t="n">
        <v>8006</v>
      </c>
      <c r="C8008" s="10" t="inlineStr">
        <is>
          <t>Sales Support / Sales Admin / Hỗ trợ bán hàng(Mới)</t>
        </is>
      </c>
      <c r="D8008" s="10" t="inlineStr">
        <is>
          <t>CÔNG TY CỔ PHẦN THIẾT BỊ VÀ KỸ THUẬT KHÁNH LINH</t>
        </is>
      </c>
      <c r="E8008" s="10" t="inlineStr">
        <is>
          <t>Lương:10 Tr - 20 Tr VND</t>
        </is>
      </c>
      <c r="F8008" s="10" t="inlineStr">
        <is>
          <t>Hà Nội</t>
        </is>
      </c>
      <c r="G8008" s="10" t="inlineStr">
        <is>
          <t>16-04-2026</t>
        </is>
      </c>
      <c r="H8008" s="10" t="inlineStr">
        <is>
          <t>16/04/2026</t>
        </is>
      </c>
      <c r="I8008" s="10" t="inlineStr">
        <is>
          <t>17/03/2026</t>
        </is>
      </c>
      <c r="J8008" s="10" t="inlineStr">
        <is>
          <t>Bán hàng / Kinh doanh, Dịch vụ khách hàng, Cơ khí / Ô tô / Tự động hóa</t>
        </is>
      </c>
      <c r="K8008" s="10" t="inlineStr">
        <is>
          <t>Lên đến 1 Năm</t>
        </is>
      </c>
      <c r="L8008" s="11">
        <f>HYPERLINK("https://careerviet.vn/vi/tim-viec-lam/sales-support-sales-admin-ho-tro-ban-hang.35C6CB7C.html","Xem chi tiết")</f>
        <v/>
      </c>
      <c r="M8008" s="10" t="n"/>
    </row>
    <row r="8009">
      <c r="B8009" s="7" t="n">
        <v>8007</v>
      </c>
      <c r="C8009" t="inlineStr">
        <is>
          <t>Nhân viên trực chat, điện thoại cho Viettel Post tại Hoài Đức H1</t>
        </is>
      </c>
      <c r="D8009" t="inlineStr">
        <is>
          <t>CÔNG TY CỔ PHẦN TRUYỀN THÔNG KIM CƯƠNG</t>
        </is>
      </c>
      <c r="E8009" t="inlineStr">
        <is>
          <t>Lương:7 Tr - 10 Tr VND</t>
        </is>
      </c>
      <c r="F8009" t="inlineStr">
        <is>
          <t>Hà Nội</t>
        </is>
      </c>
      <c r="G8009" t="inlineStr">
        <is>
          <t>30-04-2026</t>
        </is>
      </c>
      <c r="H8009" t="inlineStr">
        <is>
          <t>30/04/2026</t>
        </is>
      </c>
      <c r="I8009" t="inlineStr">
        <is>
          <t>17/03/2026</t>
        </is>
      </c>
      <c r="J8009" t="inlineStr">
        <is>
          <t>Bán hàng / Kinh doanh, Tư vấn, Dịch vụ khách hàng</t>
        </is>
      </c>
      <c r="K8009" t="inlineStr">
        <is>
          <t>N/A</t>
        </is>
      </c>
      <c r="L8009" s="8">
        <f>HYPERLINK("https://careerviet.vn/vi/tim-viec-lam/nhan-vien-truc-chat-dien-thoai-cho-viettel-post-tai-hoai-duc-h1.35C6BD43.html","Xem chi tiết")</f>
        <v/>
      </c>
    </row>
    <row r="8010">
      <c r="B8010" s="9" t="n">
        <v>8008</v>
      </c>
      <c r="C8010" s="10" t="inlineStr">
        <is>
          <t>GIÁM SÁT CÔNG TRÌNH NỘI THẤT(Mới)</t>
        </is>
      </c>
      <c r="D8010" s="10" t="inlineStr">
        <is>
          <t>CÔNG TY CP ĐẦU TƯ KIẾN TRÚC &amp; NỘI THẤT MỘC XINH</t>
        </is>
      </c>
      <c r="E8010" s="10" t="inlineStr">
        <is>
          <t>Lương:10 Tr - 18 Tr VND</t>
        </is>
      </c>
      <c r="F8010" s="10" t="inlineStr">
        <is>
          <t>Hà Nội</t>
        </is>
      </c>
      <c r="G8010" s="10" t="inlineStr">
        <is>
          <t>15-04-2026</t>
        </is>
      </c>
      <c r="H8010" s="10" t="inlineStr">
        <is>
          <t>15/04/2026</t>
        </is>
      </c>
      <c r="I8010" s="10" t="inlineStr">
        <is>
          <t>17/03/2026</t>
        </is>
      </c>
      <c r="J8010" s="10" t="inlineStr">
        <is>
          <t>Nội ngoại thất, Kiến trúc, Xây dựng</t>
        </is>
      </c>
      <c r="K8010" s="10" t="inlineStr">
        <is>
          <t>Lên đến 2 Năm</t>
        </is>
      </c>
      <c r="L8010" s="11">
        <f>HYPERLINK("https://careerviet.vn/vi/tim-viec-lam/giam-sat-cong-trinh-noi-that.35C6CB7D.html","Xem chi tiết")</f>
        <v/>
      </c>
      <c r="M8010" s="10" t="n"/>
    </row>
    <row r="8011">
      <c r="B8011" s="7" t="n">
        <v>8009</v>
      </c>
      <c r="C8011" t="inlineStr">
        <is>
          <t>Sales Administrator (Pharmaceuticals)(Mới)</t>
        </is>
      </c>
      <c r="D8011" t="inlineStr">
        <is>
          <t>CÔNG TY TNHH DƯỢC PHẨM VÀ TRANG THIẾT BỊ Y TẾ HD</t>
        </is>
      </c>
      <c r="E8011" t="inlineStr">
        <is>
          <t>Lương:Cạnh tranh</t>
        </is>
      </c>
      <c r="F8011" t="inlineStr">
        <is>
          <t>Hồ Chí Minh</t>
        </is>
      </c>
      <c r="G8011" t="inlineStr">
        <is>
          <t>31-03-2026</t>
        </is>
      </c>
      <c r="H8011" t="inlineStr">
        <is>
          <t>31/03/2026</t>
        </is>
      </c>
      <c r="I8011" t="inlineStr">
        <is>
          <t>17/03/2026</t>
        </is>
      </c>
      <c r="J8011" t="inlineStr">
        <is>
          <t>Bán hàng / Kinh doanh, Hành chính / Thư ký, Dược phẩm/ Hóa Mỹ Phẩm</t>
        </is>
      </c>
      <c r="K8011" t="inlineStr">
        <is>
          <t>3 - 7 Năm</t>
        </is>
      </c>
      <c r="L8011" s="8">
        <f>HYPERLINK("https://careerviet.vn/vi/tim-viec-lam/sales-administrator-pharmaceuticals.35C6CB82.html","Xem chi tiết")</f>
        <v/>
      </c>
    </row>
    <row r="8012">
      <c r="B8012" s="9" t="n">
        <v>8010</v>
      </c>
      <c r="C8012" s="10" t="inlineStr">
        <is>
          <t>Nhân Viên Giao Hàng (Dược Phẩm)(Mới)</t>
        </is>
      </c>
      <c r="D8012" s="10" t="inlineStr">
        <is>
          <t>Công ty TNHH Thương mại NTB Pharma New</t>
        </is>
      </c>
      <c r="E8012" s="10" t="inlineStr">
        <is>
          <t>Lương:9 Tr - 11 Tr VND</t>
        </is>
      </c>
      <c r="F8012" s="10" t="inlineStr">
        <is>
          <t>Hà Nội</t>
        </is>
      </c>
      <c r="G8012" s="10" t="inlineStr">
        <is>
          <t>16-04-2026</t>
        </is>
      </c>
      <c r="H8012" s="10" t="inlineStr">
        <is>
          <t>16/04/2026</t>
        </is>
      </c>
      <c r="I8012" s="10" t="inlineStr">
        <is>
          <t>17/03/2026</t>
        </is>
      </c>
      <c r="J8012" s="10" t="inlineStr">
        <is>
          <t>Vận chuyển / Giao nhận / Kho vận, Dược phẩm/ Hóa Mỹ Phẩm, Y tế / Chăm sóc sức khỏe / Thẩm mỹ / Làm đẹp</t>
        </is>
      </c>
      <c r="K8012" s="10" t="inlineStr">
        <is>
          <t>N/A</t>
        </is>
      </c>
      <c r="L8012" s="11">
        <f>HYPERLINK("https://careerviet.vn/vi/tim-viec-lam/nhan-vien-giao-hang-duoc-pham.35C6CB55.html","Xem chi tiết")</f>
        <v/>
      </c>
      <c r="M8012" s="10" t="n"/>
    </row>
    <row r="8013">
      <c r="B8013" s="7" t="n">
        <v>8011</v>
      </c>
      <c r="C8013" t="inlineStr">
        <is>
          <t>Nhân Viên Hành Chính Nhân Sự(Mới)</t>
        </is>
      </c>
      <c r="D8013" t="inlineStr">
        <is>
          <t>CÔNG TY TNHH THƯƠNG MẠI HKK</t>
        </is>
      </c>
      <c r="E8013" t="inlineStr">
        <is>
          <t>Lương:8 Tr - 12 Tr VND</t>
        </is>
      </c>
      <c r="F8013" t="inlineStr">
        <is>
          <t>Hồ Chí Minh</t>
        </is>
      </c>
      <c r="G8013" t="inlineStr">
        <is>
          <t>16-04-2026</t>
        </is>
      </c>
      <c r="H8013" t="inlineStr">
        <is>
          <t>16/04/2026</t>
        </is>
      </c>
      <c r="I8013" t="inlineStr">
        <is>
          <t>17/03/2026</t>
        </is>
      </c>
      <c r="J8013" t="inlineStr">
        <is>
          <t>Hành chính / Thư ký, Nhân sự, Y tế / Chăm sóc sức khỏe / Thẩm mỹ / Làm đẹp</t>
        </is>
      </c>
      <c r="K8013" t="inlineStr">
        <is>
          <t>Trên 2 Năm</t>
        </is>
      </c>
      <c r="L8013" s="8">
        <f>HYPERLINK("https://careerviet.vn/vi/tim-viec-lam/nhan-vien-hanh-chinh-nhan-su.35C6CB60.html","Xem chi tiết")</f>
        <v/>
      </c>
    </row>
    <row r="8014">
      <c r="B8014" s="9" t="n">
        <v>8012</v>
      </c>
      <c r="C8014" s="10" t="inlineStr">
        <is>
          <t>Admin Manager(Mới)</t>
        </is>
      </c>
      <c r="D8014" s="10" t="inlineStr">
        <is>
          <t>HR Vietnam’s ESS Client</t>
        </is>
      </c>
      <c r="E8014" s="10" t="inlineStr">
        <is>
          <t>Lương:Cạnh tranh</t>
        </is>
      </c>
      <c r="F8014" s="10" t="inlineStr">
        <is>
          <t>Bà Rịa - Vũng Tàu</t>
        </is>
      </c>
      <c r="G8014" s="10" t="inlineStr">
        <is>
          <t>15-04-2026</t>
        </is>
      </c>
      <c r="H8014" s="10" t="inlineStr">
        <is>
          <t>15/04/2026</t>
        </is>
      </c>
      <c r="I8014" s="10" t="inlineStr">
        <is>
          <t>17/03/2026</t>
        </is>
      </c>
      <c r="J8014" s="10" t="inlineStr">
        <is>
          <t>Hành chính / Thư ký, Nhân sự</t>
        </is>
      </c>
      <c r="K8014" s="10" t="inlineStr">
        <is>
          <t>10 - 20 Năm</t>
        </is>
      </c>
      <c r="L8014" s="11">
        <f>HYPERLINK("https://careerviet.vn/vi/tim-viec-lam/admin-manager.35C6CB7E.html","Xem chi tiết")</f>
        <v/>
      </c>
      <c r="M8014" s="10" t="n"/>
    </row>
    <row r="8015">
      <c r="B8015" s="7" t="n">
        <v>8013</v>
      </c>
      <c r="C8015" t="inlineStr">
        <is>
          <t>Nhân viên Mua Hàng(Mới)</t>
        </is>
      </c>
      <c r="D8015" t="inlineStr">
        <is>
          <t>Công Ty TNHH PEROMA Việt Nam</t>
        </is>
      </c>
      <c r="E8015" t="inlineStr">
        <is>
          <t>Lương:8 Tr - 15 Tr VND</t>
        </is>
      </c>
      <c r="F8015" t="inlineStr">
        <is>
          <t>Hồ Chí Minh</t>
        </is>
      </c>
      <c r="G8015" t="inlineStr">
        <is>
          <t>30-04-2026</t>
        </is>
      </c>
      <c r="H8015" t="inlineStr">
        <is>
          <t>30/04/2026</t>
        </is>
      </c>
      <c r="I8015" t="inlineStr">
        <is>
          <t>17/03/2026</t>
        </is>
      </c>
      <c r="J8015" t="inlineStr">
        <is>
          <t>Hóa học, Công nghệ thực phẩm / Dinh dưỡng, Công nghệ sinh học</t>
        </is>
      </c>
      <c r="K8015" t="inlineStr">
        <is>
          <t>1 - 2 Năm</t>
        </is>
      </c>
      <c r="L8015" s="8">
        <f>HYPERLINK("https://careerviet.vn/vi/tim-viec-lam/nhan-vien-mua-hang.35C6CB78.html","Xem chi tiết")</f>
        <v/>
      </c>
    </row>
    <row r="8016">
      <c r="B8016" s="9" t="n">
        <v>8014</v>
      </c>
      <c r="C8016" s="10" t="inlineStr">
        <is>
          <t>Technical Support Engineer (Helpdesk / IT Operations Support)(Mới)</t>
        </is>
      </c>
      <c r="D8016" s="10" t="inlineStr">
        <is>
          <t>DIAG</t>
        </is>
      </c>
      <c r="E8016" s="10" t="inlineStr">
        <is>
          <t>Lương:19 Tr - 22 Tr VND</t>
        </is>
      </c>
      <c r="F8016" s="10" t="inlineStr">
        <is>
          <t>Hồ Chí Minh</t>
        </is>
      </c>
      <c r="G8016" s="10" t="inlineStr">
        <is>
          <t>13-04-2026</t>
        </is>
      </c>
      <c r="H8016" s="10" t="inlineStr">
        <is>
          <t>13/04/2026</t>
        </is>
      </c>
      <c r="I8016" s="10" t="inlineStr">
        <is>
          <t>17/03/2026</t>
        </is>
      </c>
      <c r="J8016" s="10" t="inlineStr">
        <is>
          <t>Y tế / Chăm sóc sức khỏe / Thẩm mỹ / Làm đẹp</t>
        </is>
      </c>
      <c r="K8016" s="10" t="inlineStr">
        <is>
          <t>2 - 3 Năm</t>
        </is>
      </c>
      <c r="L8016" s="11">
        <f>HYPERLINK("https://careerviet.vn/vi/tim-viec-lam/technical-support-engineer-helpdesk-it-operations-support.35C6CB75.html","Xem chi tiết")</f>
        <v/>
      </c>
      <c r="M8016" s="10" t="n"/>
    </row>
    <row r="8017">
      <c r="B8017" s="7" t="n">
        <v>8015</v>
      </c>
      <c r="C8017" t="inlineStr">
        <is>
          <t>LEADER BOOKING KOL/KOC</t>
        </is>
      </c>
      <c r="D8017" t="inlineStr">
        <is>
          <t>Công Ty TNHH Daily Effect</t>
        </is>
      </c>
      <c r="E8017" t="inlineStr">
        <is>
          <t>Lương:Cạnh tranh</t>
        </is>
      </c>
      <c r="F8017" t="inlineStr">
        <is>
          <t>Hồ Chí Minh</t>
        </is>
      </c>
      <c r="G8017" t="inlineStr">
        <is>
          <t>10-04-2026</t>
        </is>
      </c>
      <c r="H8017" t="inlineStr">
        <is>
          <t>10/04/2026</t>
        </is>
      </c>
      <c r="I8017" t="inlineStr">
        <is>
          <t>17/03/2026</t>
        </is>
      </c>
      <c r="J8017" t="inlineStr">
        <is>
          <t>Quảng cáo / Đối ngoại / Truyền Thông, Truyền hình / Báo chí / Biên tập, Quản lý điều hành</t>
        </is>
      </c>
      <c r="K8017" t="inlineStr">
        <is>
          <t>3 - 5 Năm</t>
        </is>
      </c>
      <c r="L8017" s="8">
        <f>HYPERLINK("https://careerviet.vn/vi/tim-viec-lam/leader-booking-kol-koc.35C6BD19.html","Xem chi tiết")</f>
        <v/>
      </c>
    </row>
    <row r="8018">
      <c r="B8018" s="9" t="n">
        <v>8016</v>
      </c>
      <c r="C8018" s="10" t="inlineStr">
        <is>
          <t>NV/CV PHÒNG THÍ NGHIỆM (NGÀNH NHUỘM)(Mới)</t>
        </is>
      </c>
      <c r="D8018" s="10" t="inlineStr">
        <is>
          <t>CT CP Tập Đoàn Thái Tuấn</t>
        </is>
      </c>
      <c r="E8018" s="10" t="inlineStr">
        <is>
          <t>Lương:Cạnh tranh</t>
        </is>
      </c>
      <c r="F8018" s="10" t="inlineStr">
        <is>
          <t>Long An</t>
        </is>
      </c>
      <c r="G8018" s="10" t="inlineStr">
        <is>
          <t>16-04-2026</t>
        </is>
      </c>
      <c r="H8018" s="10" t="inlineStr">
        <is>
          <t>16/04/2026</t>
        </is>
      </c>
      <c r="I8018" s="10" t="inlineStr">
        <is>
          <t>17/03/2026</t>
        </is>
      </c>
      <c r="J8018" s="10" t="inlineStr">
        <is>
          <t>Hóa học</t>
        </is>
      </c>
      <c r="K8018" s="10" t="inlineStr">
        <is>
          <t>Chưa có kinh nghiệm</t>
        </is>
      </c>
      <c r="L8018" s="11">
        <f>HYPERLINK("https://careerviet.vn/vi/tim-viec-lam/nv-cv-phong-thi-nghiem-nganh-nhuom.35C6CB7B.html","Xem chi tiết")</f>
        <v/>
      </c>
      <c r="M8018" s="10" t="n"/>
    </row>
    <row r="8019">
      <c r="B8019" s="7" t="n">
        <v>8017</v>
      </c>
      <c r="C8019" t="inlineStr">
        <is>
          <t>Giám đốc nhân sự(Mới)</t>
        </is>
      </c>
      <c r="D8019" t="inlineStr">
        <is>
          <t>CÔNG TY CỔ PHẦN CHĂN NUÔI TAFA VIỆT</t>
        </is>
      </c>
      <c r="E8019" t="inlineStr">
        <is>
          <t>Lương:Cạnh tranh</t>
        </is>
      </c>
      <c r="F8019" t="inlineStr">
        <is>
          <t>Hồ Chí Minh</t>
        </is>
      </c>
      <c r="G8019" t="inlineStr">
        <is>
          <t>30-04-2026</t>
        </is>
      </c>
      <c r="H8019" t="inlineStr">
        <is>
          <t>30/04/2026</t>
        </is>
      </c>
      <c r="I8019" t="inlineStr">
        <is>
          <t>17/03/2026</t>
        </is>
      </c>
      <c r="J8019" t="inlineStr">
        <is>
          <t>Nhân sự</t>
        </is>
      </c>
      <c r="K8019" t="inlineStr">
        <is>
          <t>Trên 5 Năm</t>
        </is>
      </c>
      <c r="L8019" s="8">
        <f>HYPERLINK("https://careerviet.vn/vi/tim-viec-lam/giam-doc-nhan-su.35C6CB73.html","Xem chi tiết")</f>
        <v/>
      </c>
    </row>
    <row r="8020">
      <c r="B8020" s="9" t="n">
        <v>8018</v>
      </c>
      <c r="C8020" s="10" t="inlineStr">
        <is>
          <t>Nhân Viên Booking KOL, KOC(Mới)</t>
        </is>
      </c>
      <c r="D8020" s="10" t="inlineStr">
        <is>
          <t>ONE GROUP</t>
        </is>
      </c>
      <c r="E8020" s="10" t="inlineStr">
        <is>
          <t>Lương:9 Tr - 12 Tr VND</t>
        </is>
      </c>
      <c r="F8020" s="10" t="inlineStr">
        <is>
          <t>Hồ Chí Minh</t>
        </is>
      </c>
      <c r="G8020" s="10" t="inlineStr">
        <is>
          <t>11-04-2026</t>
        </is>
      </c>
      <c r="H8020" s="10" t="inlineStr">
        <is>
          <t>11/04/2026</t>
        </is>
      </c>
      <c r="I8020" s="10" t="inlineStr">
        <is>
          <t>17/03/2026</t>
        </is>
      </c>
      <c r="J8020" s="10" t="inlineStr">
        <is>
          <t>Dược phẩm/ Hóa Mỹ Phẩm</t>
        </is>
      </c>
      <c r="K8020" s="10" t="inlineStr">
        <is>
          <t>1 - 3 Năm</t>
        </is>
      </c>
      <c r="L8020" s="11">
        <f>HYPERLINK("https://careerviet.vn/vi/tim-viec-lam/nhan-vien-booking-kol-koc.35C6CB6D.html","Xem chi tiết")</f>
        <v/>
      </c>
      <c r="M8020" s="10" t="n"/>
    </row>
    <row r="8021">
      <c r="B8021" s="7" t="n">
        <v>8019</v>
      </c>
      <c r="C8021" t="inlineStr">
        <is>
          <t>Customer Support Executive (Domestics)(Mới)</t>
        </is>
      </c>
      <c r="D8021" t="inlineStr">
        <is>
          <t>UNIEXPORT CO., LTD</t>
        </is>
      </c>
      <c r="E8021" t="inlineStr">
        <is>
          <t>Lương:Cạnh tranh</t>
        </is>
      </c>
      <c r="F8021" t="inlineStr">
        <is>
          <t>Hồ Chí Minh</t>
        </is>
      </c>
      <c r="G8021" t="inlineStr">
        <is>
          <t>31-03-2026</t>
        </is>
      </c>
      <c r="H8021" t="inlineStr">
        <is>
          <t>31/03/2026</t>
        </is>
      </c>
      <c r="I8021" t="inlineStr">
        <is>
          <t>17/03/2026</t>
        </is>
      </c>
      <c r="J8021" t="inlineStr">
        <is>
          <t>Dịch vụ khách hàng, Xuất nhập khẩu, Sản xuất / Vận hành sản xuất</t>
        </is>
      </c>
      <c r="K8021" t="inlineStr">
        <is>
          <t>1 - 2 Năm</t>
        </is>
      </c>
      <c r="L8021" s="8">
        <f>HYPERLINK("https://careerviet.vn/vi/tim-viec-lam/customer-support-executive-domestics.35C6CB76.html","Xem chi tiết")</f>
        <v/>
      </c>
    </row>
    <row r="8022">
      <c r="B8022" s="9" t="n">
        <v>8020</v>
      </c>
      <c r="C8022" s="10" t="inlineStr">
        <is>
          <t>Giám Đốc Phát Triển Dự Án Khu vực Cần Thơ - ALPHANAM GROUP(Mới)</t>
        </is>
      </c>
      <c r="D8022" s="10" t="inlineStr">
        <is>
          <t>Alphanam Group</t>
        </is>
      </c>
      <c r="E8022" s="10" t="inlineStr">
        <is>
          <t>Lương:Cạnh tranh</t>
        </is>
      </c>
      <c r="F8022" s="10" t="inlineStr">
        <is>
          <t>Cần Thơ</t>
        </is>
      </c>
      <c r="G8022" s="10" t="inlineStr">
        <is>
          <t>14-04-2026</t>
        </is>
      </c>
      <c r="H8022" s="10" t="inlineStr">
        <is>
          <t>14/04/2026</t>
        </is>
      </c>
      <c r="I8022" s="10" t="inlineStr">
        <is>
          <t>17/03/2026</t>
        </is>
      </c>
      <c r="J8022" s="10" t="inlineStr">
        <is>
          <t>Luật / Pháp lý, Bất động sản, Tài chính / Đầu tư</t>
        </is>
      </c>
      <c r="K8022" s="10" t="inlineStr">
        <is>
          <t>10 - 15 Năm</t>
        </is>
      </c>
      <c r="L8022" s="11">
        <f>HYPERLINK("https://careerviet.vn/vi/tim-viec-lam/giam-doc-phat-trien-du-an-khu-vuc-can-tho-alphanam-group.35C6CB6B.html","Xem chi tiết")</f>
        <v/>
      </c>
      <c r="M8022" s="10" t="n"/>
    </row>
    <row r="8023">
      <c r="B8023" s="7" t="n">
        <v>8021</v>
      </c>
      <c r="C8023" t="inlineStr">
        <is>
          <t>Trưởng ca bán hàng - TokyoLife TT Như Quỳnh, Hưng Yên(Mới)</t>
        </is>
      </c>
      <c r="D8023" t="inlineStr">
        <is>
          <t>Công ty Cổ phần IntelLife</t>
        </is>
      </c>
      <c r="E8023" t="inlineStr">
        <is>
          <t>Lương:8 Tr - 12 Tr VND</t>
        </is>
      </c>
      <c r="F8023" t="inlineStr">
        <is>
          <t>Hưng Yên</t>
        </is>
      </c>
      <c r="G8023" t="inlineStr">
        <is>
          <t>15-04-2026</t>
        </is>
      </c>
      <c r="H8023" t="inlineStr">
        <is>
          <t>15/04/2026</t>
        </is>
      </c>
      <c r="I8023" t="inlineStr">
        <is>
          <t>17/03/2026</t>
        </is>
      </c>
      <c r="J8023" t="inlineStr">
        <is>
          <t>Bán lẻ / Bán sỉ</t>
        </is>
      </c>
      <c r="K8023" t="inlineStr">
        <is>
          <t>1 - 2 Năm</t>
        </is>
      </c>
      <c r="L8023" s="8">
        <f>HYPERLINK("https://careerviet.vn/vi/tim-viec-lam/truong-ca-ban-hang-tokyolife-tt-nhu-quynh-hung-yen.35C6CB64.html","Xem chi tiết")</f>
        <v/>
      </c>
    </row>
    <row r="8024">
      <c r="B8024" s="9" t="n">
        <v>8022</v>
      </c>
      <c r="C8024" s="10" t="inlineStr">
        <is>
          <t>Nhân Viên Mua Hàng Nhập Khẩu(Mới)</t>
        </is>
      </c>
      <c r="D8024" s="10" t="inlineStr">
        <is>
          <t>Công ty Cổ Phần Tập Đoàn Điện Quang</t>
        </is>
      </c>
      <c r="E8024" s="10" t="inlineStr">
        <is>
          <t>Lương:Cạnh tranh</t>
        </is>
      </c>
      <c r="F8024" s="10" t="inlineStr">
        <is>
          <t>Hồ Chí Minh</t>
        </is>
      </c>
      <c r="G8024" s="10" t="inlineStr">
        <is>
          <t>17-04-2026</t>
        </is>
      </c>
      <c r="H8024" s="10" t="inlineStr">
        <is>
          <t>17/04/2026</t>
        </is>
      </c>
      <c r="I8024" s="10" t="inlineStr">
        <is>
          <t>17/03/2026</t>
        </is>
      </c>
      <c r="J8024" s="10" t="inlineStr">
        <is>
          <t>Kế toán / Kiểm toán, Xuất nhập khẩu, Thu mua / Vật tư</t>
        </is>
      </c>
      <c r="K8024" s="10" t="inlineStr">
        <is>
          <t>3 - 4 Năm</t>
        </is>
      </c>
      <c r="L8024" s="11">
        <f>HYPERLINK("https://careerviet.vn/vi/tim-viec-lam/nhan-vien-mua-hang-nhap-khau.35C6CB71.html","Xem chi tiết")</f>
        <v/>
      </c>
      <c r="M8024" s="10" t="n"/>
    </row>
    <row r="8025">
      <c r="B8025" s="7" t="n">
        <v>8023</v>
      </c>
      <c r="C8025" t="inlineStr">
        <is>
          <t>Cửa hàng trưởng(Mới)</t>
        </is>
      </c>
      <c r="D8025" t="inlineStr">
        <is>
          <t>CÔNG TY TNHH BLUE ELATION</t>
        </is>
      </c>
      <c r="E8025" t="inlineStr">
        <is>
          <t>Lương:Cạnh tranh</t>
        </is>
      </c>
      <c r="F8025" t="inlineStr">
        <is>
          <t>Hồ Chí Minh</t>
        </is>
      </c>
      <c r="G8025" t="inlineStr">
        <is>
          <t>10-04-2026</t>
        </is>
      </c>
      <c r="H8025" t="inlineStr">
        <is>
          <t>10/04/2026</t>
        </is>
      </c>
      <c r="I8025" t="inlineStr">
        <is>
          <t>17/03/2026</t>
        </is>
      </c>
      <c r="J8025" t="inlineStr">
        <is>
          <t>Bán lẻ / Bán sỉ, Nhà hàng / Khách sạn, Thực phẩm &amp; Đồ uống</t>
        </is>
      </c>
      <c r="K8025" t="inlineStr">
        <is>
          <t>3 - 20 Năm</t>
        </is>
      </c>
      <c r="L8025" s="8">
        <f>HYPERLINK("https://careerviet.vn/vi/tim-viec-lam/cua-hang-truong.35C6CB6E.html","Xem chi tiết")</f>
        <v/>
      </c>
    </row>
    <row r="8026">
      <c r="B8026" s="9" t="n">
        <v>8024</v>
      </c>
      <c r="C8026" s="10" t="inlineStr">
        <is>
          <t>CHUYÊN VIÊN QS - XÂY DỰNG (Làm việc site tại Đà Nẵng)(Mới)</t>
        </is>
      </c>
      <c r="D8026" s="10" t="inlineStr">
        <is>
          <t>CÔNG TY CỔ PHẦN IFF HOLDINGS</t>
        </is>
      </c>
      <c r="E8026" s="10" t="inlineStr">
        <is>
          <t>Lương:20 Tr - 25 Tr VND</t>
        </is>
      </c>
      <c r="F8026" s="10" t="inlineStr">
        <is>
          <t>Đà Nẵng</t>
        </is>
      </c>
      <c r="G8026" s="10" t="inlineStr">
        <is>
          <t>16-04-2026</t>
        </is>
      </c>
      <c r="H8026" s="10" t="inlineStr">
        <is>
          <t>16/04/2026</t>
        </is>
      </c>
      <c r="I8026" s="10" t="inlineStr">
        <is>
          <t>17/03/2026</t>
        </is>
      </c>
      <c r="J8026" s="10" t="inlineStr">
        <is>
          <t>Xây dựng</t>
        </is>
      </c>
      <c r="K8026" s="10" t="inlineStr">
        <is>
          <t>4 - 7 Năm</t>
        </is>
      </c>
      <c r="L8026" s="11">
        <f>HYPERLINK("https://careerviet.vn/vi/tim-viec-lam/chuyen-vien-qs-xay-dung-lam-viec-site-tai-da-nang.35C6CB65.html","Xem chi tiết")</f>
        <v/>
      </c>
      <c r="M8026" s="10" t="n"/>
    </row>
    <row r="8027">
      <c r="B8027" s="7" t="n">
        <v>8025</v>
      </c>
      <c r="C8027" t="inlineStr">
        <is>
          <t>Kế toán trưởng(Mới)</t>
        </is>
      </c>
      <c r="D8027" t="inlineStr">
        <is>
          <t>CÔNG TY TNHH XÂY DỰNG QUỐC TẾ CHUANG XING</t>
        </is>
      </c>
      <c r="E8027" t="inlineStr">
        <is>
          <t>Lương:22 Tr - 28 Tr VND</t>
        </is>
      </c>
      <c r="F8027" t="inlineStr">
        <is>
          <t>Bắc Ninh</t>
        </is>
      </c>
      <c r="G8027" t="inlineStr">
        <is>
          <t>15-04-2026</t>
        </is>
      </c>
      <c r="H8027" t="inlineStr">
        <is>
          <t>15/04/2026</t>
        </is>
      </c>
      <c r="I8027" t="inlineStr">
        <is>
          <t>17/03/2026</t>
        </is>
      </c>
      <c r="J8027" t="inlineStr">
        <is>
          <t>Kế toán / Kiểm toán, Xây dựng</t>
        </is>
      </c>
      <c r="K8027" t="inlineStr">
        <is>
          <t>Trên 3 Năm</t>
        </is>
      </c>
      <c r="L8027" s="8">
        <f>HYPERLINK("https://careerviet.vn/vi/tim-viec-lam/ke-toan-truong.35C6CB5F.html","Xem chi tiết")</f>
        <v/>
      </c>
    </row>
    <row r="8028">
      <c r="B8028" s="9" t="n">
        <v>8026</v>
      </c>
      <c r="C8028" s="10" t="inlineStr">
        <is>
          <t>NHÂN VIÊN KẾ TOÁN TỔNG HỢP (MẢNG SẢN XUẤT)(Mới)</t>
        </is>
      </c>
      <c r="D8028" s="10" t="inlineStr">
        <is>
          <t>CÔNG TY TNHH SX TM DV ĐẶNG GIA TRANG</t>
        </is>
      </c>
      <c r="E8028" s="10" t="inlineStr">
        <is>
          <t>Lương:15 Tr - 17 Tr VND</t>
        </is>
      </c>
      <c r="F8028" s="10" t="inlineStr">
        <is>
          <t>Hồ Chí Minh</t>
        </is>
      </c>
      <c r="G8028" s="10" t="inlineStr">
        <is>
          <t>25-04-2026</t>
        </is>
      </c>
      <c r="H8028" s="10" t="inlineStr">
        <is>
          <t>25/04/2026</t>
        </is>
      </c>
      <c r="I8028" s="10" t="inlineStr">
        <is>
          <t>17/03/2026</t>
        </is>
      </c>
      <c r="J8028" s="10" t="inlineStr">
        <is>
          <t>Tài chính / Đầu tư, Bán lẻ / Bán sỉ, Kế toán / Kiểm toán</t>
        </is>
      </c>
      <c r="K8028" s="10" t="inlineStr">
        <is>
          <t>Trên 2 Năm</t>
        </is>
      </c>
      <c r="L8028" s="11">
        <f>HYPERLINK("https://careerviet.vn/vi/tim-viec-lam/nhan-vien-ke-toan-tong-hop-mang-san-xuat.35C6CB4A.html","Xem chi tiết")</f>
        <v/>
      </c>
      <c r="M8028" s="10" t="n"/>
    </row>
    <row r="8029">
      <c r="B8029" s="7" t="n">
        <v>8027</v>
      </c>
      <c r="C8029" t="inlineStr">
        <is>
          <t>Trưởng Ca Bán Hàng TokyoLife TP Hưng Yên(Mới)</t>
        </is>
      </c>
      <c r="D8029" t="inlineStr">
        <is>
          <t>Công ty Cổ phần IntelLife</t>
        </is>
      </c>
      <c r="E8029" t="inlineStr">
        <is>
          <t>Lương:8 Tr - 12 Tr VND</t>
        </is>
      </c>
      <c r="F8029" t="inlineStr">
        <is>
          <t>Hưng Yên</t>
        </is>
      </c>
      <c r="G8029" t="inlineStr">
        <is>
          <t>15-04-2026</t>
        </is>
      </c>
      <c r="H8029" t="inlineStr">
        <is>
          <t>15/04/2026</t>
        </is>
      </c>
      <c r="I8029" t="inlineStr">
        <is>
          <t>17/03/2026</t>
        </is>
      </c>
      <c r="J8029" t="inlineStr">
        <is>
          <t>Bán hàng / Kinh doanh</t>
        </is>
      </c>
      <c r="K8029" t="inlineStr">
        <is>
          <t>1 - 2 Năm</t>
        </is>
      </c>
      <c r="L8029" s="8">
        <f>HYPERLINK("https://careerviet.vn/vi/tim-viec-lam/truong-ca-ban-hang-tokyolife-tp-hung-yen.35C6CB61.html","Xem chi tiết")</f>
        <v/>
      </c>
    </row>
    <row r="8030">
      <c r="B8030" s="9" t="n">
        <v>8028</v>
      </c>
      <c r="C8030" s="10" t="inlineStr">
        <is>
          <t>DevOps Engineer(Mới)</t>
        </is>
      </c>
      <c r="D8030" s="10" t="inlineStr">
        <is>
          <t>Concung.com - Con Cung Joint Stock Company</t>
        </is>
      </c>
      <c r="E8030" s="10" t="inlineStr">
        <is>
          <t>Lương:Cạnh tranh</t>
        </is>
      </c>
      <c r="F8030" s="10" t="inlineStr">
        <is>
          <t>Hồ Chí Minh</t>
        </is>
      </c>
      <c r="G8030" s="10" t="inlineStr">
        <is>
          <t>16-04-2026</t>
        </is>
      </c>
      <c r="H8030" s="10" t="inlineStr">
        <is>
          <t>16/04/2026</t>
        </is>
      </c>
      <c r="I8030" s="10" t="inlineStr">
        <is>
          <t>17/03/2026</t>
        </is>
      </c>
      <c r="J8030" s="10" t="inlineStr">
        <is>
          <t>CNTT - Phần mềm, CNTT - Phần cứng / Mạng, Bán lẻ / Bán sỉ</t>
        </is>
      </c>
      <c r="K8030" s="10" t="inlineStr">
        <is>
          <t>2 - 5 Năm</t>
        </is>
      </c>
      <c r="L8030" s="11">
        <f>HYPERLINK("https://careerviet.vn/vi/tim-viec-lam/devops-engineer.35C6CB50.html","Xem chi tiết")</f>
        <v/>
      </c>
      <c r="M8030" s="10" t="n"/>
    </row>
    <row r="8031">
      <c r="B8031" s="7" t="n">
        <v>8029</v>
      </c>
      <c r="C8031" t="inlineStr">
        <is>
          <t>Nhân Viên Kế Hoạch(Mới)</t>
        </is>
      </c>
      <c r="D8031" t="inlineStr">
        <is>
          <t>Công Ty Cổ Phần Sản Xuất Nhựa Duy Tân</t>
        </is>
      </c>
      <c r="E8031" t="inlineStr">
        <is>
          <t>Lương:Cạnh tranh</t>
        </is>
      </c>
      <c r="F8031" t="inlineStr">
        <is>
          <t>Bình Dương</t>
        </is>
      </c>
      <c r="G8031" t="inlineStr">
        <is>
          <t>15-04-2026</t>
        </is>
      </c>
      <c r="H8031" t="inlineStr">
        <is>
          <t>15/04/2026</t>
        </is>
      </c>
      <c r="I8031" t="inlineStr">
        <is>
          <t>17/03/2026</t>
        </is>
      </c>
      <c r="J8031" t="inlineStr">
        <is>
          <t>Sản xuất / Vận hành sản xuất</t>
        </is>
      </c>
      <c r="K8031" t="inlineStr">
        <is>
          <t>2 - 3 Năm</t>
        </is>
      </c>
      <c r="L8031" s="8">
        <f>HYPERLINK("https://careerviet.vn/vi/tim-viec-lam/nhan-vien-ke-hoach.35C6CB4D.html","Xem chi tiết")</f>
        <v/>
      </c>
    </row>
    <row r="8032">
      <c r="B8032" s="9" t="n">
        <v>8030</v>
      </c>
      <c r="C8032" s="10" t="inlineStr">
        <is>
          <t>Chuyên Viên Đảm Bảo Chất Lượng (QA)(Mới)</t>
        </is>
      </c>
      <c r="D8032" s="10" t="inlineStr">
        <is>
          <t>Orioled Hub</t>
        </is>
      </c>
      <c r="E8032" s="10" t="inlineStr">
        <is>
          <t>Lương:15 Tr - 20 Tr VND</t>
        </is>
      </c>
      <c r="F8032" s="10" t="inlineStr">
        <is>
          <t>Bà Rịa - Vũng Tàu</t>
        </is>
      </c>
      <c r="G8032" s="10" t="inlineStr">
        <is>
          <t>01-05-2026</t>
        </is>
      </c>
      <c r="H8032" s="10" t="inlineStr">
        <is>
          <t>01/05/2026</t>
        </is>
      </c>
      <c r="I8032" s="10" t="inlineStr">
        <is>
          <t>17/03/2026</t>
        </is>
      </c>
      <c r="J8032" s="10" t="inlineStr">
        <is>
          <t>Quản lý chất lượng (QA/QC), Sản xuất / Vận hành sản xuất, Dược phẩm/ Hóa Mỹ Phẩm</t>
        </is>
      </c>
      <c r="K8032" s="10" t="inlineStr">
        <is>
          <t>2 - 3 Năm</t>
        </is>
      </c>
      <c r="L8032" s="11">
        <f>HYPERLINK("https://careerviet.vn/vi/tim-viec-lam/chuyen-vien-dam-bao-chat-luong-qa.35C6CB57.html","Xem chi tiết")</f>
        <v/>
      </c>
      <c r="M8032" s="10" t="n"/>
    </row>
    <row r="8033">
      <c r="B8033" s="7" t="n">
        <v>8031</v>
      </c>
      <c r="C8033" t="inlineStr">
        <is>
          <t>Sales Admin (không KPI, lương cứng 6-8tr)(Mới)</t>
        </is>
      </c>
      <c r="D8033" t="inlineStr">
        <is>
          <t>Công ty Cổ phần Thuận Thiên Naturalis</t>
        </is>
      </c>
      <c r="E8033" t="inlineStr">
        <is>
          <t>Lương:6 Tr - 8 Tr VND</t>
        </is>
      </c>
      <c r="F8033" t="inlineStr">
        <is>
          <t>Hà Nội</t>
        </is>
      </c>
      <c r="G8033" t="inlineStr">
        <is>
          <t>16-04-2026</t>
        </is>
      </c>
      <c r="H8033" t="inlineStr">
        <is>
          <t>16/04/2026</t>
        </is>
      </c>
      <c r="I8033" t="inlineStr">
        <is>
          <t>17/03/2026</t>
        </is>
      </c>
      <c r="J8033" t="inlineStr">
        <is>
          <t>Bán hàng / Kinh doanh</t>
        </is>
      </c>
      <c r="K8033" t="inlineStr">
        <is>
          <t>Lên đến 2 Năm</t>
        </is>
      </c>
      <c r="L8033" s="8">
        <f>HYPERLINK("https://careerviet.vn/vi/tim-viec-lam/sales-admin-khong-kpi-luong-cung-6-8tr.35C6CB41.html","Xem chi tiết")</f>
        <v/>
      </c>
    </row>
    <row r="8034">
      <c r="B8034" s="9" t="n">
        <v>8032</v>
      </c>
      <c r="C8034" s="10" t="inlineStr">
        <is>
          <t>Chuyên viên Quản lý Thiết kế(Mới)</t>
        </is>
      </c>
      <c r="D8034" s="10" t="inlineStr">
        <is>
          <t>Công Ty Cổ Phần Địa Ốc Phú Long</t>
        </is>
      </c>
      <c r="E8034" s="10" t="inlineStr">
        <is>
          <t>Lương:Cạnh tranh</t>
        </is>
      </c>
      <c r="F8034" s="10" t="inlineStr">
        <is>
          <t>Hồ Chí Minh</t>
        </is>
      </c>
      <c r="G8034" s="10" t="inlineStr">
        <is>
          <t>16-04-2026</t>
        </is>
      </c>
      <c r="H8034" s="10" t="inlineStr">
        <is>
          <t>16/04/2026</t>
        </is>
      </c>
      <c r="I8034" s="10" t="inlineStr">
        <is>
          <t>17/03/2026</t>
        </is>
      </c>
      <c r="J8034" s="10" t="inlineStr">
        <is>
          <t>Bất động sản, Xây dựng, Kiến trúc</t>
        </is>
      </c>
      <c r="K8034" s="10" t="inlineStr">
        <is>
          <t>5 - 15 Năm</t>
        </is>
      </c>
      <c r="L8034" s="11">
        <f>HYPERLINK("https://careerviet.vn/vi/tim-viec-lam/chuyen-vien-quan-ly-thiet-ke.35C6CB4B.html","Xem chi tiết")</f>
        <v/>
      </c>
      <c r="M8034" s="10" t="n"/>
    </row>
    <row r="8035">
      <c r="B8035" s="7" t="n">
        <v>8033</v>
      </c>
      <c r="C8035" t="inlineStr">
        <is>
          <t>(Tuyển gấp) Chuyên viên tuyển dụng(Mới)</t>
        </is>
      </c>
      <c r="D8035" t="inlineStr">
        <is>
          <t>CÔNG TY CỔ PHẦN ĐẦU TƯ VÀNG PHÚ QUÝ</t>
        </is>
      </c>
      <c r="E8035" t="inlineStr">
        <is>
          <t>Lương:10 Tr - 15 Tr VND</t>
        </is>
      </c>
      <c r="F8035" t="inlineStr">
        <is>
          <t>Hà Nội</t>
        </is>
      </c>
      <c r="G8035" t="inlineStr">
        <is>
          <t>30-04-2026</t>
        </is>
      </c>
      <c r="H8035" t="inlineStr">
        <is>
          <t>30/04/2026</t>
        </is>
      </c>
      <c r="I8035" t="inlineStr">
        <is>
          <t>17/03/2026</t>
        </is>
      </c>
      <c r="J8035" t="inlineStr">
        <is>
          <t>Nhân sự</t>
        </is>
      </c>
      <c r="K8035" t="inlineStr">
        <is>
          <t>1 - 2 Năm</t>
        </is>
      </c>
      <c r="L8035" s="8">
        <f>HYPERLINK("https://careerviet.vn/vi/tim-viec-lam/tuyen-gap-chuyen-vien-tuyen-dung.35C6CB46.html","Xem chi tiết")</f>
        <v/>
      </c>
    </row>
    <row r="8036">
      <c r="B8036" s="9" t="n">
        <v>8034</v>
      </c>
      <c r="C8036" s="10" t="inlineStr">
        <is>
          <t>Cộng Tác Viên Khai Thuế Cho Thuê Tài Sản(Mới)</t>
        </is>
      </c>
      <c r="D8036" s="10" t="inlineStr">
        <is>
          <t>Concung.com - Con Cung Joint Stock Company</t>
        </is>
      </c>
      <c r="E8036" s="10" t="inlineStr">
        <is>
          <t>Lương:Cạnh tranh</t>
        </is>
      </c>
      <c r="F8036" s="10" t="inlineStr">
        <is>
          <t>Hồ Chí Minh</t>
        </is>
      </c>
      <c r="G8036" s="10" t="inlineStr">
        <is>
          <t>16-04-2026</t>
        </is>
      </c>
      <c r="H8036" s="10" t="inlineStr">
        <is>
          <t>16/04/2026</t>
        </is>
      </c>
      <c r="I8036" s="10" t="inlineStr">
        <is>
          <t>17/03/2026</t>
        </is>
      </c>
      <c r="J8036" s="10" t="inlineStr">
        <is>
          <t>Kế toán / Kiểm toán, Tài chính / Đầu tư, Ngân hàng</t>
        </is>
      </c>
      <c r="K8036" s="10" t="inlineStr">
        <is>
          <t>Chưa có kinh nghiệm</t>
        </is>
      </c>
      <c r="L8036" s="11">
        <f>HYPERLINK("https://careerviet.vn/vi/tim-viec-lam/cong-tac-vien-khai-thue-cho-thue-tai-san.35C6CB3A.html","Xem chi tiết")</f>
        <v/>
      </c>
      <c r="M8036" s="10" t="n"/>
    </row>
    <row r="8037">
      <c r="B8037" s="7" t="n">
        <v>8035</v>
      </c>
      <c r="C8037" t="inlineStr">
        <is>
          <t>Thực tập sinh Kế toán nội bộ (TTS/ Học việc)(Mới)</t>
        </is>
      </c>
      <c r="D8037" t="inlineStr">
        <is>
          <t>Công ty TNHH Khải Minh Group</t>
        </is>
      </c>
      <c r="E8037" t="inlineStr">
        <is>
          <t>Lương:1,5 Tr - 3 Tr VND</t>
        </is>
      </c>
      <c r="F8037" t="inlineStr">
        <is>
          <t>Hà Nội</t>
        </is>
      </c>
      <c r="G8037" t="inlineStr">
        <is>
          <t>30-04-2026</t>
        </is>
      </c>
      <c r="H8037" t="inlineStr">
        <is>
          <t>30/04/2026</t>
        </is>
      </c>
      <c r="I8037" t="inlineStr">
        <is>
          <t>17/03/2026</t>
        </is>
      </c>
      <c r="J8037" t="inlineStr">
        <is>
          <t>Kế toán / Kiểm toán</t>
        </is>
      </c>
      <c r="K8037" t="inlineStr">
        <is>
          <t>N/A</t>
        </is>
      </c>
      <c r="L8037" s="8">
        <f>HYPERLINK("https://careerviet.vn/vi/tim-viec-lam/thuc-tap-sinh-ke-toan-noi-bo-tts-hoc-viec.35C6CB43.html","Xem chi tiết")</f>
        <v/>
      </c>
    </row>
    <row r="8038">
      <c r="B8038" s="9" t="n">
        <v>8036</v>
      </c>
      <c r="C8038" s="10" t="inlineStr">
        <is>
          <t>Kế Toán Tổng Hợp(Mới)</t>
        </is>
      </c>
      <c r="D8038" s="10" t="inlineStr">
        <is>
          <t>CÔNG TY CỔ PHẦN TẬP ĐOÀN KKS</t>
        </is>
      </c>
      <c r="E8038" s="10" t="inlineStr">
        <is>
          <t>Lương:10 Tr - 20 Tr VND</t>
        </is>
      </c>
      <c r="F8038" s="10" t="inlineStr">
        <is>
          <t>Hồ Chí Minh</t>
        </is>
      </c>
      <c r="G8038" s="10" t="inlineStr">
        <is>
          <t>30-03-2026</t>
        </is>
      </c>
      <c r="H8038" s="10" t="inlineStr">
        <is>
          <t>30/03/2026</t>
        </is>
      </c>
      <c r="I8038" s="10" t="inlineStr">
        <is>
          <t>17/03/2026</t>
        </is>
      </c>
      <c r="J8038" s="10" t="inlineStr">
        <is>
          <t>Kế toán / Kiểm toán, Xây dựng, Tài chính / Đầu tư</t>
        </is>
      </c>
      <c r="K8038" s="10" t="inlineStr">
        <is>
          <t>2 - 5 Năm</t>
        </is>
      </c>
      <c r="L8038" s="11">
        <f>HYPERLINK("https://careerviet.vn/vi/tim-viec-lam/ke-toan-tong-hop.35C6CB36.html","Xem chi tiết")</f>
        <v/>
      </c>
      <c r="M8038" s="10" t="n"/>
    </row>
    <row r="8039">
      <c r="B8039" s="7" t="n">
        <v>8037</v>
      </c>
      <c r="C8039" t="inlineStr">
        <is>
          <t>QUẢN LÝ CHẤT LƯỢNG QA(Mới)</t>
        </is>
      </c>
      <c r="D8039" t="inlineStr">
        <is>
          <t>CÔNG TY TNHH CHEMTROVINA</t>
        </is>
      </c>
      <c r="E8039" t="inlineStr">
        <is>
          <t>Lương:Cạnh tranh</t>
        </is>
      </c>
      <c r="F8039" t="inlineStr">
        <is>
          <t>Đồng Nai</t>
        </is>
      </c>
      <c r="G8039" t="inlineStr">
        <is>
          <t>15-04-2026</t>
        </is>
      </c>
      <c r="H8039" t="inlineStr">
        <is>
          <t>15/04/2026</t>
        </is>
      </c>
      <c r="I8039" t="inlineStr">
        <is>
          <t>17/03/2026</t>
        </is>
      </c>
      <c r="J8039" t="inlineStr">
        <is>
          <t>Điện / Điện tử / Điện lạnh / Điện công nghiệp, Sản xuất / Vận hành sản xuất, Quản lý chất lượng (QA/QC)</t>
        </is>
      </c>
      <c r="K8039" t="inlineStr">
        <is>
          <t>1 - 2 Năm</t>
        </is>
      </c>
      <c r="L8039" s="8">
        <f>HYPERLINK("https://careerviet.vn/vi/tim-viec-lam/quan-ly-chat-luong-qa.35C6CB33.html","Xem chi tiết")</f>
        <v/>
      </c>
    </row>
    <row r="8040">
      <c r="B8040" s="9" t="n">
        <v>8038</v>
      </c>
      <c r="C8040" s="10" t="inlineStr">
        <is>
          <t>Trưởng Phòng Mua Hàng(Mới)</t>
        </is>
      </c>
      <c r="D8040" s="10" t="inlineStr">
        <is>
          <t>CÔNG TY CỔ PHẦN BỆNH VIỆN ĐỒNG NAI -2</t>
        </is>
      </c>
      <c r="E8040" s="10" t="inlineStr">
        <is>
          <t>Lương:Cạnh tranh</t>
        </is>
      </c>
      <c r="F8040" s="10" t="inlineStr">
        <is>
          <t>Đồng Nai</t>
        </is>
      </c>
      <c r="G8040" s="10" t="inlineStr">
        <is>
          <t>15-04-2026</t>
        </is>
      </c>
      <c r="H8040" s="10" t="inlineStr">
        <is>
          <t>15/04/2026</t>
        </is>
      </c>
      <c r="I8040" s="10" t="inlineStr">
        <is>
          <t>17/03/2026</t>
        </is>
      </c>
      <c r="J8040" s="10" t="inlineStr">
        <is>
          <t>Thu mua / Vật tư, Quản lý điều hành</t>
        </is>
      </c>
      <c r="K8040" s="10" t="inlineStr">
        <is>
          <t>3 - 5 Năm</t>
        </is>
      </c>
      <c r="L8040" s="11">
        <f>HYPERLINK("https://careerviet.vn/vi/tim-viec-lam/truong-phong-mua-hang.35C6CB4C.html","Xem chi tiết")</f>
        <v/>
      </c>
      <c r="M8040" s="10" t="n"/>
    </row>
    <row r="8041">
      <c r="B8041" s="7" t="n">
        <v>8039</v>
      </c>
      <c r="C8041" t="inlineStr">
        <is>
          <t>[GIA KIỆM - ĐỒNG NAI] Nhân viên hành chính kế toán(Mới)</t>
        </is>
      </c>
      <c r="D8041" t="inlineStr">
        <is>
          <t>Công Ty CP Liên Kết Quốc Tế INTERLINK (Trường Liên Kết Quốc Tế INschool &amp; Ngoại Ngữ Quốc Tế INS ENGLISH &amp; CHINESE)</t>
        </is>
      </c>
      <c r="E8041" t="inlineStr">
        <is>
          <t>Lương:7 Tr - 8 Tr VND</t>
        </is>
      </c>
      <c r="F8041" t="inlineStr">
        <is>
          <t>Đồng Nai</t>
        </is>
      </c>
      <c r="G8041" t="inlineStr">
        <is>
          <t>11-04-2026</t>
        </is>
      </c>
      <c r="H8041" t="inlineStr">
        <is>
          <t>11/04/2026</t>
        </is>
      </c>
      <c r="I8041" t="inlineStr">
        <is>
          <t>17/03/2026</t>
        </is>
      </c>
      <c r="J8041" t="inlineStr">
        <is>
          <t>Dịch vụ khách hàng, Giáo dục / Đào tạo, Kế toán / Kiểm toán</t>
        </is>
      </c>
      <c r="K8041" t="inlineStr">
        <is>
          <t>N/A</t>
        </is>
      </c>
      <c r="L8041" s="8">
        <f>HYPERLINK("https://careerviet.vn/vi/tim-viec-lam/gia-kiem-dong-nai-nhan-vien-hanh-chinh-ke-toan.35C6CB48.html","Xem chi tiết")</f>
        <v/>
      </c>
    </row>
    <row r="8042">
      <c r="B8042" s="9" t="n">
        <v>8040</v>
      </c>
      <c r="C8042" s="10" t="inlineStr">
        <is>
          <t>Điều phối kỹ thuật Máy phát điện(Mới)</t>
        </is>
      </c>
      <c r="D8042" s="10" t="inlineStr">
        <is>
          <t>CÔNG TY TNHH THIẾT BỊ CÔNG NGHỆ MAKAWA</t>
        </is>
      </c>
      <c r="E8042" s="10" t="inlineStr">
        <is>
          <t>Lương:15 Tr - 18 Tr VND</t>
        </is>
      </c>
      <c r="F8042" s="10" t="inlineStr">
        <is>
          <t>Hà Nội</t>
        </is>
      </c>
      <c r="G8042" s="10" t="inlineStr">
        <is>
          <t>16-04-2026</t>
        </is>
      </c>
      <c r="H8042" s="10" t="inlineStr">
        <is>
          <t>16/04/2026</t>
        </is>
      </c>
      <c r="I8042" s="10" t="inlineStr">
        <is>
          <t>17/03/2026</t>
        </is>
      </c>
      <c r="J8042" s="10" t="inlineStr">
        <is>
          <t>Điện / Điện tử / Điện lạnh / Điện công nghiệp, Cơ khí / Ô tô / Tự động hóa, Bảo trì / Sửa chữa</t>
        </is>
      </c>
      <c r="K8042" s="10" t="inlineStr">
        <is>
          <t>Trên 3 Năm</t>
        </is>
      </c>
      <c r="L8042" s="11">
        <f>HYPERLINK("https://careerviet.vn/vi/tim-viec-lam/dieu-phoi-ky-thuat-may-phat-dien.35C6CB38.html","Xem chi tiết")</f>
        <v/>
      </c>
      <c r="M8042" s="10" t="n"/>
    </row>
    <row r="8043">
      <c r="B8043" s="7" t="n">
        <v>8041</v>
      </c>
      <c r="C8043" t="inlineStr">
        <is>
          <t>Giám Sát Hiện Trường(Mới)</t>
        </is>
      </c>
      <c r="D8043" t="inlineStr">
        <is>
          <t>CÔNG TY TNHH PCCC TÂN LONG HẢI</t>
        </is>
      </c>
      <c r="E8043" t="inlineStr">
        <is>
          <t>Lương:13 Tr - 18 Tr VND</t>
        </is>
      </c>
      <c r="F8043" t="inlineStr">
        <is>
          <t>Hồ Chí Minh</t>
        </is>
      </c>
      <c r="G8043" t="inlineStr">
        <is>
          <t>30-04-2026</t>
        </is>
      </c>
      <c r="H8043" t="inlineStr">
        <is>
          <t>30/04/2026</t>
        </is>
      </c>
      <c r="I8043" t="inlineStr">
        <is>
          <t>17/03/2026</t>
        </is>
      </c>
      <c r="J8043" t="inlineStr">
        <is>
          <t>Xây dựng, Kiến trúc, Quản lý điều hành</t>
        </is>
      </c>
      <c r="K8043" t="inlineStr">
        <is>
          <t>Trên 1 Năm</t>
        </is>
      </c>
      <c r="L8043" s="8">
        <f>HYPERLINK("https://careerviet.vn/vi/tim-viec-lam/giam-sat-hien-truong.35C6C71E.html","Xem chi tiết")</f>
        <v/>
      </c>
    </row>
    <row r="8044">
      <c r="B8044" s="9" t="n">
        <v>8042</v>
      </c>
      <c r="C8044" s="10" t="inlineStr">
        <is>
          <t>Chuyên viên Chính Trị(Mới)</t>
        </is>
      </c>
      <c r="D8044" s="10" t="inlineStr">
        <is>
          <t>Công Ty Quản Lý Nợ Và Khai Thác Tài Sản - Ngân Hàng TMCP Quân Đội</t>
        </is>
      </c>
      <c r="E8044" s="10" t="inlineStr">
        <is>
          <t>Lương:15 Tr - 20 Tr VND</t>
        </is>
      </c>
      <c r="F8044" s="10" t="inlineStr">
        <is>
          <t>Hà Nội</t>
        </is>
      </c>
      <c r="G8044" s="10" t="inlineStr">
        <is>
          <t>31-03-2026</t>
        </is>
      </c>
      <c r="H8044" s="10" t="inlineStr">
        <is>
          <t>31/03/2026</t>
        </is>
      </c>
      <c r="I8044" s="10" t="inlineStr">
        <is>
          <t>17/03/2026</t>
        </is>
      </c>
      <c r="J8044" s="10" t="inlineStr">
        <is>
          <t>Nhân sự, Hành chính / Thư ký, Ngân hàng</t>
        </is>
      </c>
      <c r="K8044" s="10" t="inlineStr">
        <is>
          <t>1 - 5 Năm</t>
        </is>
      </c>
      <c r="L8044" s="11">
        <f>HYPERLINK("https://careerviet.vn/vi/tim-viec-lam/chuyen-vien-chinh-tri.35C6CB2B.html","Xem chi tiết")</f>
        <v/>
      </c>
      <c r="M8044" s="10" t="n"/>
    </row>
    <row r="8045">
      <c r="B8045" s="7" t="n">
        <v>8043</v>
      </c>
      <c r="C8045" t="inlineStr">
        <is>
          <t>CHUYÊN VIÊN KẾ TOÁN(Mới)</t>
        </is>
      </c>
      <c r="D8045" t="inlineStr">
        <is>
          <t>CÔNG TY CỔ PHẦN HỢP TÁC ĐẦU TƯ &amp; CÔNG NGHỆ TECHCOOP</t>
        </is>
      </c>
      <c r="E8045" t="inlineStr">
        <is>
          <t>Lương:Cạnh tranh</t>
        </is>
      </c>
      <c r="F8045" t="inlineStr">
        <is>
          <t>Hồ Chí Minh</t>
        </is>
      </c>
      <c r="G8045" t="inlineStr">
        <is>
          <t>31-03-2026</t>
        </is>
      </c>
      <c r="H8045" t="inlineStr">
        <is>
          <t>31/03/2026</t>
        </is>
      </c>
      <c r="I8045" t="inlineStr">
        <is>
          <t>17/03/2026</t>
        </is>
      </c>
      <c r="J8045" t="inlineStr">
        <is>
          <t>Kế toán / Kiểm toán, Ngân hàng, Tài chính / Đầu tư</t>
        </is>
      </c>
      <c r="K8045" t="inlineStr">
        <is>
          <t>1 - 3 Năm</t>
        </is>
      </c>
      <c r="L8045" s="8">
        <f>HYPERLINK("https://careerviet.vn/vi/tim-viec-lam/chuyen-vien-ke-toa-n.35C6CB31.html","Xem chi tiết")</f>
        <v/>
      </c>
    </row>
    <row r="8046">
      <c r="B8046" s="9" t="n">
        <v>8044</v>
      </c>
      <c r="C8046" s="10" t="inlineStr">
        <is>
          <t>Kế toán tổng hợp(Mới)</t>
        </is>
      </c>
      <c r="D8046" s="10" t="inlineStr">
        <is>
          <t>CÔNG TY CỔ PHẦN SALE PLUS</t>
        </is>
      </c>
      <c r="E8046" s="10" t="inlineStr">
        <is>
          <t>Lương:20 Tr - 25 Tr VND</t>
        </is>
      </c>
      <c r="F8046" s="10" t="inlineStr">
        <is>
          <t>Hà Nội</t>
        </is>
      </c>
      <c r="G8046" s="10" t="inlineStr">
        <is>
          <t>17-04-2026</t>
        </is>
      </c>
      <c r="H8046" s="10" t="inlineStr">
        <is>
          <t>17/04/2026</t>
        </is>
      </c>
      <c r="I8046" s="10" t="inlineStr">
        <is>
          <t>17/03/2026</t>
        </is>
      </c>
      <c r="J8046" s="10" t="inlineStr">
        <is>
          <t>Kế toán / Kiểm toán</t>
        </is>
      </c>
      <c r="K8046" s="10" t="inlineStr">
        <is>
          <t>3 - 4 Năm</t>
        </is>
      </c>
      <c r="L8046" s="11">
        <f>HYPERLINK("https://careerviet.vn/vi/tim-viec-lam/ke-toan-tong-hop.35C6CB1F.html","Xem chi tiết")</f>
        <v/>
      </c>
      <c r="M8046" s="10" t="n"/>
    </row>
    <row r="8047">
      <c r="B8047" s="7" t="n">
        <v>8045</v>
      </c>
      <c r="C8047" t="inlineStr">
        <is>
          <t>Nhân viên Y tế(Mới)</t>
        </is>
      </c>
      <c r="D8047" t="inlineStr">
        <is>
          <t>Công ty CP Thành Thành Công - Biên Hòa</t>
        </is>
      </c>
      <c r="E8047" t="inlineStr">
        <is>
          <t>Lương:Cạnh tranh</t>
        </is>
      </c>
      <c r="F8047" t="inlineStr">
        <is>
          <t>Tây Ninh</t>
        </is>
      </c>
      <c r="G8047" t="inlineStr">
        <is>
          <t>15-04-2026</t>
        </is>
      </c>
      <c r="H8047" t="inlineStr">
        <is>
          <t>15/04/2026</t>
        </is>
      </c>
      <c r="I8047" t="inlineStr">
        <is>
          <t>17/03/2026</t>
        </is>
      </c>
      <c r="J8047" t="inlineStr">
        <is>
          <t>Y tế / Chăm sóc sức khỏe / Thẩm mỹ / Làm đẹp</t>
        </is>
      </c>
      <c r="K8047" t="inlineStr">
        <is>
          <t>1 - 2 Năm</t>
        </is>
      </c>
      <c r="L8047" s="8">
        <f>HYPERLINK("https://careerviet.vn/vi/tim-viec-lam/nhan-vien-y-te.35C6CB28.html","Xem chi tiết")</f>
        <v/>
      </c>
    </row>
    <row r="8048">
      <c r="B8048" s="9" t="n">
        <v>8046</v>
      </c>
      <c r="C8048" s="10" t="inlineStr">
        <is>
          <t>Giám Sát Bán Hàng kênh GT Yên Bái(Mới)</t>
        </is>
      </c>
      <c r="D8048" s="10" t="inlineStr">
        <is>
          <t>CÔNG TY CỔ PHẦN MORINAGA NUTRITIONAL FOODS VIỆT NAM</t>
        </is>
      </c>
      <c r="E8048" s="10" t="inlineStr">
        <is>
          <t>Lương:12 Tr - 22 Tr VND</t>
        </is>
      </c>
      <c r="F8048" s="10" t="inlineStr">
        <is>
          <t>Yên Bái</t>
        </is>
      </c>
      <c r="G8048" s="10" t="inlineStr">
        <is>
          <t>31-03-2026</t>
        </is>
      </c>
      <c r="H8048" s="10" t="inlineStr">
        <is>
          <t>31/03/2026</t>
        </is>
      </c>
      <c r="I8048" s="10" t="inlineStr">
        <is>
          <t>17/03/2026</t>
        </is>
      </c>
      <c r="J8048" s="10" t="inlineStr">
        <is>
          <t>Bán lẻ / Bán sỉ, Bán hàng / Kinh doanh, Quản lý điều hành</t>
        </is>
      </c>
      <c r="K8048" s="10" t="inlineStr">
        <is>
          <t>2 - 5 Năm</t>
        </is>
      </c>
      <c r="L8048" s="11">
        <f>HYPERLINK("https://careerviet.vn/vi/tim-viec-lam/giam-sat-ban-hang-kenh-gt-yen-bai.35C6CD24.html","Xem chi tiết")</f>
        <v/>
      </c>
      <c r="M8048" s="10" t="n"/>
    </row>
    <row r="8049">
      <c r="B8049" s="7" t="n">
        <v>8047</v>
      </c>
      <c r="C8049" t="inlineStr">
        <is>
          <t>Financial Consultant_Thu Nhập hấp dẫn(Mới)</t>
        </is>
      </c>
      <c r="D8049" t="inlineStr">
        <is>
          <t>Công ty TNHH Bảo hiểm nhân thọ Prudential Việt Nam</t>
        </is>
      </c>
      <c r="E8049" t="inlineStr">
        <is>
          <t>Lương:20 Tr - 50 Tr VND</t>
        </is>
      </c>
      <c r="F8049" t="inlineStr">
        <is>
          <t>Hà NộiHồ Chí Minh</t>
        </is>
      </c>
      <c r="G8049" t="inlineStr">
        <is>
          <t>16-03-2026</t>
        </is>
      </c>
      <c r="H8049" t="inlineStr">
        <is>
          <t>16/03/2026</t>
        </is>
      </c>
      <c r="I8049" t="inlineStr">
        <is>
          <t>17/03/2026</t>
        </is>
      </c>
      <c r="J8049" t="inlineStr">
        <is>
          <t>Tư vấn, Bán hàng / Kinh doanh, Bảo hiểm</t>
        </is>
      </c>
      <c r="K8049" t="inlineStr">
        <is>
          <t>2 - 4 Năm</t>
        </is>
      </c>
      <c r="L8049" s="8">
        <f>HYPERLINK("https://careerviet.vn/vi/tim-viec-lam/financial-consultant_thu-nhap-hap-dan.35C6CB1E.html","Xem chi tiết")</f>
        <v/>
      </c>
    </row>
    <row r="8050">
      <c r="B8050" s="9" t="n">
        <v>8048</v>
      </c>
      <c r="C8050" s="10" t="inlineStr">
        <is>
          <t>Chuyên gia bán hàng(Mới)</t>
        </is>
      </c>
      <c r="D8050" s="10" t="inlineStr">
        <is>
          <t>Công ty TNHH Bất động sản Phú Hoàng Land</t>
        </is>
      </c>
      <c r="E8050" s="10" t="inlineStr">
        <is>
          <t>Lương:Cạnh tranh</t>
        </is>
      </c>
      <c r="F8050" s="10" t="inlineStr">
        <is>
          <t>Hồ Chí Minh</t>
        </is>
      </c>
      <c r="G8050" s="10" t="inlineStr">
        <is>
          <t>30-04-2026</t>
        </is>
      </c>
      <c r="H8050" s="10" t="inlineStr">
        <is>
          <t>30/04/2026</t>
        </is>
      </c>
      <c r="I8050" s="10" t="inlineStr">
        <is>
          <t>17/03/2026</t>
        </is>
      </c>
      <c r="J8050" s="10" t="inlineStr">
        <is>
          <t>Bất động sản, Bán hàng / Kinh doanh, Tài chính / Đầu tư</t>
        </is>
      </c>
      <c r="K8050" s="10" t="inlineStr">
        <is>
          <t>1 - 2 Năm</t>
        </is>
      </c>
      <c r="L8050" s="11">
        <f>HYPERLINK("https://careerviet.vn/vi/tim-viec-lam/chuyen-gia-ban-hang.35C6B7AD.html","Xem chi tiết")</f>
        <v/>
      </c>
      <c r="M8050" s="10" t="n"/>
    </row>
    <row r="8051">
      <c r="B8051" s="7" t="n">
        <v>8049</v>
      </c>
      <c r="C8051" t="inlineStr">
        <is>
          <t>Specification Advisor(Mới)</t>
        </is>
      </c>
      <c r="D8051" t="inlineStr">
        <is>
          <t>AkzoNobel Vietnam</t>
        </is>
      </c>
      <c r="E8051" t="inlineStr">
        <is>
          <t>Lương:Cạnh tranh</t>
        </is>
      </c>
      <c r="F8051" t="inlineStr">
        <is>
          <t>Hồ Chí Minh</t>
        </is>
      </c>
      <c r="G8051" t="inlineStr">
        <is>
          <t>16-04-2026</t>
        </is>
      </c>
      <c r="H8051" t="inlineStr">
        <is>
          <t>16/04/2026</t>
        </is>
      </c>
      <c r="I8051" t="inlineStr">
        <is>
          <t>17/03/2026</t>
        </is>
      </c>
      <c r="J8051" t="inlineStr">
        <is>
          <t>Bán hàng / Kinh doanh, Bán Hàng Kỹ Thuật, Hóa học</t>
        </is>
      </c>
      <c r="K8051" t="inlineStr">
        <is>
          <t>5 - 8 Năm</t>
        </is>
      </c>
      <c r="L8051" s="8">
        <f>HYPERLINK("https://careerviet.vn/vi/tim-viec-lam/specification-advisor.35C6CD1C.html","Xem chi tiết")</f>
        <v/>
      </c>
    </row>
    <row r="8052">
      <c r="B8052" s="9" t="n">
        <v>8050</v>
      </c>
      <c r="C8052" s="10" t="inlineStr">
        <is>
          <t>Executive Assistant – US Case(Mới)</t>
        </is>
      </c>
      <c r="D8052" s="10" t="inlineStr">
        <is>
          <t>Công ty TNHH TOM Group Việt Nam</t>
        </is>
      </c>
      <c r="E8052" s="10" t="inlineStr">
        <is>
          <t>Lương:Cạnh tranh</t>
        </is>
      </c>
      <c r="F8052" s="10" t="inlineStr">
        <is>
          <t>Hồ Chí Minh</t>
        </is>
      </c>
      <c r="G8052" s="10" t="inlineStr">
        <is>
          <t>16-04-2026</t>
        </is>
      </c>
      <c r="H8052" s="10" t="inlineStr">
        <is>
          <t>16/04/2026</t>
        </is>
      </c>
      <c r="I8052" s="10" t="inlineStr">
        <is>
          <t>17/03/2026</t>
        </is>
      </c>
      <c r="J8052" s="10" t="inlineStr">
        <is>
          <t>Bán hàng / Kinh doanh, Hành chính / Thư ký</t>
        </is>
      </c>
      <c r="K8052" s="10" t="inlineStr">
        <is>
          <t>2 - 5 Năm</t>
        </is>
      </c>
      <c r="L8052" s="11">
        <f>HYPERLINK("https://careerviet.vn/vi/tim-viec-lam/executive-assistant-us-case.35C6CD1A.html","Xem chi tiết")</f>
        <v/>
      </c>
      <c r="M8052" s="10" t="n"/>
    </row>
    <row r="8053">
      <c r="B8053" s="7" t="n">
        <v>8051</v>
      </c>
      <c r="C8053" t="inlineStr">
        <is>
          <t>Kế Toán Trưởng (lĩnh vực Resort/ Nhà hàng- Khách sạn)(Mới)</t>
        </is>
      </c>
      <c r="D8053" t="inlineStr">
        <is>
          <t>Công Ty Cổ Phần Đầu Tư Địa Ốc Hưng Phú</t>
        </is>
      </c>
      <c r="E8053" t="inlineStr">
        <is>
          <t>Lương:25 Tr - 30 Tr VND</t>
        </is>
      </c>
      <c r="F8053" t="inlineStr">
        <is>
          <t>Hồ Chí Minh</t>
        </is>
      </c>
      <c r="G8053" t="inlineStr">
        <is>
          <t>16-04-2026</t>
        </is>
      </c>
      <c r="H8053" t="inlineStr">
        <is>
          <t>16/04/2026</t>
        </is>
      </c>
      <c r="I8053" t="inlineStr">
        <is>
          <t>17/03/2026</t>
        </is>
      </c>
      <c r="J8053" t="inlineStr">
        <is>
          <t>Kế toán / Kiểm toán, Nhà hàng / Khách sạn, Du lịch</t>
        </is>
      </c>
      <c r="K8053" t="inlineStr">
        <is>
          <t>5 - 7 Năm</t>
        </is>
      </c>
      <c r="L8053" s="8">
        <f>HYPERLINK("https://careerviet.vn/vi/tim-viec-lam/ke-toan-truong-linh-vuc-resort-nha-hang-khach-san.35C6CB2E.html","Xem chi tiết")</f>
        <v/>
      </c>
    </row>
    <row r="8054">
      <c r="B8054" s="9" t="n">
        <v>8052</v>
      </c>
      <c r="C8054" s="10" t="inlineStr">
        <is>
          <t>Nhân viên sale admin(Mới)</t>
        </is>
      </c>
      <c r="D8054" s="10" t="inlineStr">
        <is>
          <t>Công ty Cổ phần ĐẠI ĐỒNG TIẾN</t>
        </is>
      </c>
      <c r="E8054" s="10" t="inlineStr">
        <is>
          <t>Lương:9 Tr - 12 Tr VND</t>
        </is>
      </c>
      <c r="F8054" s="10" t="inlineStr">
        <is>
          <t>Hồ Chí Minh</t>
        </is>
      </c>
      <c r="G8054" s="10" t="inlineStr">
        <is>
          <t>15-04-2026</t>
        </is>
      </c>
      <c r="H8054" s="10" t="inlineStr">
        <is>
          <t>15/04/2026</t>
        </is>
      </c>
      <c r="I8054" s="10" t="inlineStr">
        <is>
          <t>17/03/2026</t>
        </is>
      </c>
      <c r="J8054" s="10" t="inlineStr">
        <is>
          <t>Bán hàng / Kinh doanh, Tiếp thị / Marketing, Vận chuyển / Giao nhận / Kho vận</t>
        </is>
      </c>
      <c r="K8054" s="10" t="inlineStr">
        <is>
          <t>1 - 2 Năm</t>
        </is>
      </c>
      <c r="L8054" s="11">
        <f>HYPERLINK("https://careerviet.vn/vi/tim-viec-lam/nhan-vien-sale-admin.35C6CD1B.html","Xem chi tiết")</f>
        <v/>
      </c>
      <c r="M8054" s="10" t="n"/>
    </row>
    <row r="8055">
      <c r="B8055" s="7" t="n">
        <v>8053</v>
      </c>
      <c r="C8055" t="inlineStr">
        <is>
          <t>KẾ TOÁN TỔNG HỢP (GENERAL ACCOUNTANT)(Mới)</t>
        </is>
      </c>
      <c r="D8055" t="inlineStr">
        <is>
          <t>CÔNG TY TNHH PHÁT TRIỂN KIẾN TRÚC CHU YU YI</t>
        </is>
      </c>
      <c r="E8055" t="inlineStr">
        <is>
          <t>Lương:15 Tr - 18 Tr VND</t>
        </is>
      </c>
      <c r="F8055" t="inlineStr">
        <is>
          <t>Hồ Chí Minh</t>
        </is>
      </c>
      <c r="G8055" t="inlineStr">
        <is>
          <t>15-04-2026</t>
        </is>
      </c>
      <c r="H8055" t="inlineStr">
        <is>
          <t>15/04/2026</t>
        </is>
      </c>
      <c r="I8055" t="inlineStr">
        <is>
          <t>17/03/2026</t>
        </is>
      </c>
      <c r="J8055" t="inlineStr">
        <is>
          <t>Nhân sự, Kế toán / Kiểm toán, Tài chính / Đầu tư</t>
        </is>
      </c>
      <c r="K8055" t="inlineStr">
        <is>
          <t>2 - 5 Năm</t>
        </is>
      </c>
      <c r="L8055" s="8">
        <f>HYPERLINK("https://careerviet.vn/vi/tim-viec-lam/ke-toan-tong-hop-general-accountant.35C6C934.html","Xem chi tiết")</f>
        <v/>
      </c>
    </row>
    <row r="8056">
      <c r="B8056" s="9" t="n">
        <v>8054</v>
      </c>
      <c r="C8056" s="10" t="inlineStr">
        <is>
          <t>Non-Trade Procurement Intern(Mới)</t>
        </is>
      </c>
      <c r="D8056" s="10" t="inlineStr">
        <is>
          <t>Concung.com - Con Cung Joint Stock Company</t>
        </is>
      </c>
      <c r="E8056" s="10" t="inlineStr">
        <is>
          <t>Lương:Cạnh tranh</t>
        </is>
      </c>
      <c r="F8056" s="10" t="inlineStr">
        <is>
          <t>Hồ Chí Minh</t>
        </is>
      </c>
      <c r="G8056" s="10" t="inlineStr">
        <is>
          <t>30-04-2026</t>
        </is>
      </c>
      <c r="H8056" s="10" t="inlineStr">
        <is>
          <t>30/04/2026</t>
        </is>
      </c>
      <c r="I8056" s="10" t="inlineStr">
        <is>
          <t>17/03/2026</t>
        </is>
      </c>
      <c r="J8056" s="10" t="inlineStr">
        <is>
          <t>Bán lẻ / Bán sỉ, Thu mua / Vật tư</t>
        </is>
      </c>
      <c r="K8056" s="10" t="inlineStr">
        <is>
          <t>N/A</t>
        </is>
      </c>
      <c r="L8056" s="11">
        <f>HYPERLINK("https://careerviet.vn/vi/tim-viec-lam/non-trade-procurement-intern.35C6CD1D.html","Xem chi tiết")</f>
        <v/>
      </c>
      <c r="M8056" s="10" t="n"/>
    </row>
    <row r="8057">
      <c r="B8057" s="7" t="n">
        <v>8055</v>
      </c>
      <c r="C8057" t="inlineStr">
        <is>
          <t>Trưởng Phòng R&amp;D(Mới)</t>
        </is>
      </c>
      <c r="D8057" t="inlineStr">
        <is>
          <t>CÔNG TY TNHH SẢN XUẤT MAY PHI LOAN</t>
        </is>
      </c>
      <c r="E8057" t="inlineStr">
        <is>
          <t>Lương:20 Tr - 25 Tr VND</t>
        </is>
      </c>
      <c r="F8057" t="inlineStr">
        <is>
          <t>Hồ Chí Minh</t>
        </is>
      </c>
      <c r="G8057" t="inlineStr">
        <is>
          <t>16-04-2026</t>
        </is>
      </c>
      <c r="H8057" t="inlineStr">
        <is>
          <t>16/04/2026</t>
        </is>
      </c>
      <c r="I8057" t="inlineStr">
        <is>
          <t>17/03/2026</t>
        </is>
      </c>
      <c r="J8057" t="inlineStr">
        <is>
          <t>Dệt may / Da giày / Thời trang, Mỹ thuật / Nghệ thuật / Thiết kế, Quản lý điều hành</t>
        </is>
      </c>
      <c r="K8057" t="inlineStr">
        <is>
          <t>3 - 5 Năm</t>
        </is>
      </c>
      <c r="L8057" s="8">
        <f>HYPERLINK("https://careerviet.vn/vi/tim-viec-lam/truong-phong-r-d.35C6CCE4.html","Xem chi tiết")</f>
        <v/>
      </c>
    </row>
    <row r="8058">
      <c r="B8058" s="9" t="n">
        <v>8056</v>
      </c>
      <c r="C8058" s="10" t="inlineStr">
        <is>
          <t>Quản Đốc Xưởng May(Mới)</t>
        </is>
      </c>
      <c r="D8058" s="10" t="inlineStr">
        <is>
          <t>CÔNG TY TNHH SẢN XUẤT MAY PHI LOAN</t>
        </is>
      </c>
      <c r="E8058" s="10" t="inlineStr">
        <is>
          <t>Lương:20 Tr - 25 Tr VND</t>
        </is>
      </c>
      <c r="F8058" s="10" t="inlineStr">
        <is>
          <t>Hồ Chí Minh</t>
        </is>
      </c>
      <c r="G8058" s="10" t="inlineStr">
        <is>
          <t>16-04-2026</t>
        </is>
      </c>
      <c r="H8058" s="10" t="inlineStr">
        <is>
          <t>16/04/2026</t>
        </is>
      </c>
      <c r="I8058" s="10" t="inlineStr">
        <is>
          <t>17/03/2026</t>
        </is>
      </c>
      <c r="J8058" s="10" t="inlineStr">
        <is>
          <t>Quản lý điều hành, Dệt may / Da giày / Thời trang, Mỹ thuật / Nghệ thuật / Thiết kế</t>
        </is>
      </c>
      <c r="K8058" s="10" t="inlineStr">
        <is>
          <t>Trên 3 Năm</t>
        </is>
      </c>
      <c r="L8058" s="11">
        <f>HYPERLINK("https://careerviet.vn/vi/tim-viec-lam/quan-doc-xuong-may.35C6CCD7.html","Xem chi tiết")</f>
        <v/>
      </c>
      <c r="M8058" s="10" t="n"/>
    </row>
    <row r="8059">
      <c r="B8059" s="7" t="n">
        <v>8057</v>
      </c>
      <c r="C8059" t="inlineStr">
        <is>
          <t>HR Officer (Recruitment, Training, Communications) Working at Song Than 3, Binh Duong(Mới)</t>
        </is>
      </c>
      <c r="D8059" t="inlineStr">
        <is>
          <t>Công Ty TNHH IGB Automotive Việt Nam</t>
        </is>
      </c>
      <c r="E8059" t="inlineStr">
        <is>
          <t>Lương:Cạnh tranh</t>
        </is>
      </c>
      <c r="F8059" t="inlineStr">
        <is>
          <t>Bình Dương</t>
        </is>
      </c>
      <c r="G8059" t="inlineStr">
        <is>
          <t>16-03-2026</t>
        </is>
      </c>
      <c r="H8059" t="inlineStr">
        <is>
          <t>16/03/2026</t>
        </is>
      </c>
      <c r="I8059" t="inlineStr">
        <is>
          <t>17/03/2026</t>
        </is>
      </c>
      <c r="J8059" t="inlineStr">
        <is>
          <t>Nhân sự</t>
        </is>
      </c>
      <c r="K8059" t="inlineStr">
        <is>
          <t>2 - 5 Năm</t>
        </is>
      </c>
      <c r="L8059" s="8">
        <f>HYPERLINK("https://careerviet.vn/vi/tim-viec-lam/hr-officer-recruitment-training-communications-working-at-song-than-3-binh-duong.35C6CAF8.html","Xem chi tiết")</f>
        <v/>
      </c>
    </row>
    <row r="8060">
      <c r="B8060" s="9" t="n">
        <v>8058</v>
      </c>
      <c r="C8060" s="10" t="inlineStr">
        <is>
          <t>Leader Content Creator(Mới)</t>
        </is>
      </c>
      <c r="D8060" s="10" t="inlineStr">
        <is>
          <t>CÔNG TY TNHH SẢN XUẤT MAY PHI LOAN</t>
        </is>
      </c>
      <c r="E8060" s="10" t="inlineStr">
        <is>
          <t>Lương:15 Tr - 20 Tr VND</t>
        </is>
      </c>
      <c r="F8060" s="10" t="inlineStr">
        <is>
          <t>Hồ Chí Minh</t>
        </is>
      </c>
      <c r="G8060" s="10" t="inlineStr">
        <is>
          <t>16-04-2026</t>
        </is>
      </c>
      <c r="H8060" s="10" t="inlineStr">
        <is>
          <t>16/04/2026</t>
        </is>
      </c>
      <c r="I8060" s="10" t="inlineStr">
        <is>
          <t>17/03/2026</t>
        </is>
      </c>
      <c r="J8060" s="10" t="inlineStr">
        <is>
          <t>Dệt may / Da giày / Thời trang, Mỹ thuật / Nghệ thuật / Thiết kế, Tiếp thị / Marketing</t>
        </is>
      </c>
      <c r="K8060" s="10" t="inlineStr">
        <is>
          <t>2 - 3 Năm</t>
        </is>
      </c>
      <c r="L8060" s="11">
        <f>HYPERLINK("https://careerviet.vn/vi/tim-viec-lam/leader-content-creator.35C6CCEE.html","Xem chi tiết")</f>
        <v/>
      </c>
      <c r="M8060" s="10" t="n"/>
    </row>
    <row r="8061">
      <c r="B8061" s="7" t="n">
        <v>8059</v>
      </c>
      <c r="C8061" t="inlineStr">
        <is>
          <t>Nhân Viên Vận Hành Shopee(Mới)</t>
        </is>
      </c>
      <c r="D8061" t="inlineStr">
        <is>
          <t>CÔNG TY TNHH SẢN XUẤT MAY PHI LOAN</t>
        </is>
      </c>
      <c r="E8061" t="inlineStr">
        <is>
          <t>Lương:10 Tr - 15 Tr VND</t>
        </is>
      </c>
      <c r="F8061" t="inlineStr">
        <is>
          <t>Hồ Chí Minh</t>
        </is>
      </c>
      <c r="G8061" t="inlineStr">
        <is>
          <t>16-04-2026</t>
        </is>
      </c>
      <c r="H8061" t="inlineStr">
        <is>
          <t>16/04/2026</t>
        </is>
      </c>
      <c r="I8061" t="inlineStr">
        <is>
          <t>17/03/2026</t>
        </is>
      </c>
      <c r="J8061" t="inlineStr">
        <is>
          <t>Bán hàng / Kinh doanh, Thương mại điện tử, Tiếp thị / Marketing</t>
        </is>
      </c>
      <c r="K8061" t="inlineStr">
        <is>
          <t>1 - 2 Năm</t>
        </is>
      </c>
      <c r="L8061" s="8">
        <f>HYPERLINK("https://careerviet.vn/vi/tim-viec-lam/nhan-vien-van-hanh-shopee.35C6CCF8.html","Xem chi tiết")</f>
        <v/>
      </c>
    </row>
    <row r="8062">
      <c r="B8062" s="9" t="n">
        <v>8060</v>
      </c>
      <c r="C8062" s="10" t="inlineStr">
        <is>
          <t>Nhân Viên Admin Sales(Mới)</t>
        </is>
      </c>
      <c r="D8062" s="10" t="inlineStr">
        <is>
          <t>CÔNG TY TNHH SẢN XUẤT MAY PHI LOAN</t>
        </is>
      </c>
      <c r="E8062" s="10" t="inlineStr">
        <is>
          <t>Lương:8 Tr - 12 Tr VND</t>
        </is>
      </c>
      <c r="F8062" s="10" t="inlineStr">
        <is>
          <t>Hồ Chí Minh</t>
        </is>
      </c>
      <c r="G8062" s="10" t="inlineStr">
        <is>
          <t>16-04-2026</t>
        </is>
      </c>
      <c r="H8062" s="10" t="inlineStr">
        <is>
          <t>16/04/2026</t>
        </is>
      </c>
      <c r="I8062" s="10" t="inlineStr">
        <is>
          <t>17/03/2026</t>
        </is>
      </c>
      <c r="J8062" s="10" t="inlineStr">
        <is>
          <t>Bán hàng / Kinh doanh, Tư vấn, Tiếp thị / Marketing</t>
        </is>
      </c>
      <c r="K8062" s="10" t="inlineStr">
        <is>
          <t>N/A</t>
        </is>
      </c>
      <c r="L8062" s="11">
        <f>HYPERLINK("https://careerviet.vn/vi/tim-viec-lam/nhan-vien-admin-sales.35C6CD00.html","Xem chi tiết")</f>
        <v/>
      </c>
      <c r="M8062" s="10" t="n"/>
    </row>
    <row r="8063">
      <c r="B8063" s="7" t="n">
        <v>8061</v>
      </c>
      <c r="C8063" t="inlineStr">
        <is>
          <t>Trưởng Phòng Marketing(Mới)</t>
        </is>
      </c>
      <c r="D8063" t="inlineStr">
        <is>
          <t>CÔNG TY TNHH SẢN XUẤT MAY PHI LOAN</t>
        </is>
      </c>
      <c r="E8063" t="inlineStr">
        <is>
          <t>Lương:20 Tr - 25 Tr VND</t>
        </is>
      </c>
      <c r="F8063" t="inlineStr">
        <is>
          <t>Hồ Chí Minh</t>
        </is>
      </c>
      <c r="G8063" t="inlineStr">
        <is>
          <t>16-04-2026</t>
        </is>
      </c>
      <c r="H8063" t="inlineStr">
        <is>
          <t>16/04/2026</t>
        </is>
      </c>
      <c r="I8063" t="inlineStr">
        <is>
          <t>17/03/2026</t>
        </is>
      </c>
      <c r="J8063" t="inlineStr">
        <is>
          <t>Dệt may / Da giày / Thời trang, Mỹ thuật / Nghệ thuật / Thiết kế, Tiếp thị / Marketing</t>
        </is>
      </c>
      <c r="K8063" t="inlineStr">
        <is>
          <t>Trên 5 Năm</t>
        </is>
      </c>
      <c r="L8063" s="8">
        <f>HYPERLINK("https://careerviet.vn/vi/tim-viec-lam/truong-phong-marketing.35C6CCE8.html","Xem chi tiết")</f>
        <v/>
      </c>
    </row>
    <row r="8064">
      <c r="B8064" s="9" t="n">
        <v>8062</v>
      </c>
      <c r="C8064" s="10" t="inlineStr">
        <is>
          <t>Nhân Viên Thiết Kế Mẫu(Mới)</t>
        </is>
      </c>
      <c r="D8064" s="10" t="inlineStr">
        <is>
          <t>CÔNG TY TNHH SẢN XUẤT MAY PHI LOAN</t>
        </is>
      </c>
      <c r="E8064" s="10" t="inlineStr">
        <is>
          <t>Lương:12 Tr - 16 Tr VND</t>
        </is>
      </c>
      <c r="F8064" s="10" t="inlineStr">
        <is>
          <t>Hồ Chí Minh</t>
        </is>
      </c>
      <c r="G8064" s="10" t="inlineStr">
        <is>
          <t>16-04-2026</t>
        </is>
      </c>
      <c r="H8064" s="10" t="inlineStr">
        <is>
          <t>16/04/2026</t>
        </is>
      </c>
      <c r="I8064" s="10" t="inlineStr">
        <is>
          <t>17/03/2026</t>
        </is>
      </c>
      <c r="J8064" s="10" t="inlineStr">
        <is>
          <t>Dệt may / Da giày / Thời trang, Mỹ thuật / Nghệ thuật / Thiết kế, Tiếp thị / Marketing</t>
        </is>
      </c>
      <c r="K8064" s="10" t="inlineStr">
        <is>
          <t>Trên 2 Năm</t>
        </is>
      </c>
      <c r="L8064" s="11">
        <f>HYPERLINK("https://careerviet.vn/vi/tim-viec-lam/nhan-vien-thiet-ke-mau.35C6CCDE.html","Xem chi tiết")</f>
        <v/>
      </c>
      <c r="M8064" s="10" t="n"/>
    </row>
    <row r="8065">
      <c r="B8065" s="7" t="n">
        <v>8063</v>
      </c>
      <c r="C8065" t="inlineStr">
        <is>
          <t>Nhân Viên Sale B2B(Mới)</t>
        </is>
      </c>
      <c r="D8065" t="inlineStr">
        <is>
          <t>CÔNG TY TNHH SẢN XUẤT MAY PHI LOAN</t>
        </is>
      </c>
      <c r="E8065" t="inlineStr">
        <is>
          <t>Lương:10 Tr - 12 Tr VND</t>
        </is>
      </c>
      <c r="F8065" t="inlineStr">
        <is>
          <t>Hồ Chí Minh</t>
        </is>
      </c>
      <c r="G8065" t="inlineStr">
        <is>
          <t>16-04-2026</t>
        </is>
      </c>
      <c r="H8065" t="inlineStr">
        <is>
          <t>16/04/2026</t>
        </is>
      </c>
      <c r="I8065" t="inlineStr">
        <is>
          <t>17/03/2026</t>
        </is>
      </c>
      <c r="J8065" t="inlineStr">
        <is>
          <t>Bán hàng / Kinh doanh, Tư vấn, Tiếp thị / Marketing</t>
        </is>
      </c>
      <c r="K8065" t="inlineStr">
        <is>
          <t>N/A</t>
        </is>
      </c>
      <c r="L8065" s="8">
        <f>HYPERLINK("https://careerviet.vn/vi/tim-viec-lam/nhan-vien-sale-b2b.35C6CD02.html","Xem chi tiết")</f>
        <v/>
      </c>
    </row>
    <row r="8066">
      <c r="B8066" s="9" t="n">
        <v>8064</v>
      </c>
      <c r="C8066" s="10" t="inlineStr">
        <is>
          <t>Chuyên viên Thiết kế chuỗi cửa hàng(Mới)</t>
        </is>
      </c>
      <c r="D8066" s="10" t="inlineStr">
        <is>
          <t>Công ty Cổ phần CANIFA</t>
        </is>
      </c>
      <c r="E8066" s="10" t="inlineStr">
        <is>
          <t>Lương:18 Tr - 25 Tr VND</t>
        </is>
      </c>
      <c r="F8066" s="10" t="inlineStr">
        <is>
          <t>Hà Nội</t>
        </is>
      </c>
      <c r="G8066" s="10" t="inlineStr">
        <is>
          <t>30-04-2026</t>
        </is>
      </c>
      <c r="H8066" s="10" t="inlineStr">
        <is>
          <t>30/04/2026</t>
        </is>
      </c>
      <c r="I8066" s="10" t="inlineStr">
        <is>
          <t>17/03/2026</t>
        </is>
      </c>
      <c r="J8066" s="10" t="inlineStr">
        <is>
          <t>Kiến trúc, Xây dựng, Nội ngoại thất</t>
        </is>
      </c>
      <c r="K8066" s="10" t="inlineStr">
        <is>
          <t>2 - 5 Năm</t>
        </is>
      </c>
      <c r="L8066" s="11">
        <f>HYPERLINK("https://careerviet.vn/vi/tim-viec-lam/chuyen-vien-thiet-ke-chuoi-cua-hang.35C6CD17.html","Xem chi tiết")</f>
        <v/>
      </c>
      <c r="M8066" s="10" t="n"/>
    </row>
    <row r="8067">
      <c r="B8067" s="7" t="n">
        <v>8065</v>
      </c>
      <c r="C8067" t="inlineStr">
        <is>
          <t>R&amp;D Specialist, UV &amp; Waterborne Coatings(Mới)</t>
        </is>
      </c>
      <c r="D8067" t="inlineStr">
        <is>
          <t>AkzoNobel Vietnam</t>
        </is>
      </c>
      <c r="E8067" t="inlineStr">
        <is>
          <t>Lương:Cạnh tranh</t>
        </is>
      </c>
      <c r="F8067" t="inlineStr">
        <is>
          <t>Đồng Nai</t>
        </is>
      </c>
      <c r="G8067" t="inlineStr">
        <is>
          <t>16-04-2026</t>
        </is>
      </c>
      <c r="H8067" t="inlineStr">
        <is>
          <t>16/04/2026</t>
        </is>
      </c>
      <c r="I8067" t="inlineStr">
        <is>
          <t>17/03/2026</t>
        </is>
      </c>
      <c r="J8067" t="inlineStr">
        <is>
          <t>Hóa học, Đồ gỗ, Quản lý chất lượng (QA/QC)</t>
        </is>
      </c>
      <c r="K8067" t="inlineStr">
        <is>
          <t>8 - 12 Năm</t>
        </is>
      </c>
      <c r="L8067" s="8">
        <f>HYPERLINK("https://careerviet.vn/vi/tim-viec-lam/r-d-specialist-uv-waterborne-coatings.35C6CCDB.html","Xem chi tiết")</f>
        <v/>
      </c>
    </row>
    <row r="8068">
      <c r="B8068" s="9" t="n">
        <v>8066</v>
      </c>
      <c r="C8068" s="10" t="inlineStr">
        <is>
          <t>Giám đốc Phòng giao dịch - Khu vực Hồ Chí Minh (CN26.33)(Mới)</t>
        </is>
      </c>
      <c r="D8068" s="10" t="inlineStr">
        <is>
          <t>Ngân Hàng TMCP Quân Đội</t>
        </is>
      </c>
      <c r="E8068" s="10" t="inlineStr">
        <is>
          <t>Lương:Cạnh tranh</t>
        </is>
      </c>
      <c r="F8068" s="10" t="inlineStr">
        <is>
          <t>Hồ Chí Minh</t>
        </is>
      </c>
      <c r="G8068" s="10" t="inlineStr">
        <is>
          <t>16-04-2026</t>
        </is>
      </c>
      <c r="H8068" s="10" t="inlineStr">
        <is>
          <t>16/04/2026</t>
        </is>
      </c>
      <c r="I8068" s="10" t="inlineStr">
        <is>
          <t>17/03/2026</t>
        </is>
      </c>
      <c r="J8068" s="10" t="inlineStr">
        <is>
          <t>Ngân hàng, Quản lý điều hành, Tài chính / Đầu tư</t>
        </is>
      </c>
      <c r="K8068" s="10" t="inlineStr">
        <is>
          <t>Trên 3 Năm</t>
        </is>
      </c>
      <c r="L8068" s="11">
        <f>HYPERLINK("https://careerviet.vn/vi/tim-viec-lam/giam-doc-phong-giao-dich-khu-vuc-ho-chi-minh-cn26-33.35C6CD11.html","Xem chi tiết")</f>
        <v/>
      </c>
      <c r="M8068" s="10" t="n"/>
    </row>
    <row r="8069">
      <c r="B8069" s="7" t="n">
        <v>8067</v>
      </c>
      <c r="C8069" t="inlineStr">
        <is>
          <t>Receivable Accountant(Mới)</t>
        </is>
      </c>
      <c r="D8069" t="inlineStr">
        <is>
          <t>MAGNA MANAGEMENT ASIA (MMA)</t>
        </is>
      </c>
      <c r="E8069" t="inlineStr">
        <is>
          <t>Lương:8 Tr - 12 Tr VND</t>
        </is>
      </c>
      <c r="F8069" t="inlineStr">
        <is>
          <t>Hồ Chí Minh</t>
        </is>
      </c>
      <c r="G8069" t="inlineStr">
        <is>
          <t>31-03-2026</t>
        </is>
      </c>
      <c r="H8069" t="inlineStr">
        <is>
          <t>31/03/2026</t>
        </is>
      </c>
      <c r="I8069" t="inlineStr">
        <is>
          <t>17/03/2026</t>
        </is>
      </c>
      <c r="J8069" t="inlineStr">
        <is>
          <t>Kế toán / Kiểm toán</t>
        </is>
      </c>
      <c r="K8069" t="inlineStr">
        <is>
          <t>1 - 2 Năm</t>
        </is>
      </c>
      <c r="L8069" s="8">
        <f>HYPERLINK("https://careerviet.vn/vi/tim-viec-lam/receivable-accountant.35C6CD06.html","Xem chi tiết")</f>
        <v/>
      </c>
    </row>
    <row r="8070">
      <c r="B8070" s="9" t="n">
        <v>8068</v>
      </c>
      <c r="C8070" s="10" t="inlineStr">
        <is>
          <t>Nhân Viên Kế Toán(Mới)</t>
        </is>
      </c>
      <c r="D8070" s="10" t="inlineStr">
        <is>
          <t>Công Ty TNHH Quốc Tế Chutex</t>
        </is>
      </c>
      <c r="E8070" s="10" t="inlineStr">
        <is>
          <t>Lương:Cạnh tranh</t>
        </is>
      </c>
      <c r="F8070" s="10" t="inlineStr">
        <is>
          <t>Hồ Chí Minh</t>
        </is>
      </c>
      <c r="G8070" s="10" t="inlineStr">
        <is>
          <t>15-04-2026</t>
        </is>
      </c>
      <c r="H8070" s="10" t="inlineStr">
        <is>
          <t>15/04/2026</t>
        </is>
      </c>
      <c r="I8070" s="10" t="inlineStr">
        <is>
          <t>17/03/2026</t>
        </is>
      </c>
      <c r="J8070" s="10" t="inlineStr">
        <is>
          <t>Kế toán / Kiểm toán, Tài chính / Đầu tư, Luật / Pháp lý</t>
        </is>
      </c>
      <c r="K8070" s="10" t="inlineStr">
        <is>
          <t>2 - 3 Năm</t>
        </is>
      </c>
      <c r="L8070" s="11">
        <f>HYPERLINK("https://careerviet.vn/vi/tim-viec-lam/nhan-vien-ke-toan.35C6CD05.html","Xem chi tiết")</f>
        <v/>
      </c>
      <c r="M8070" s="10" t="n"/>
    </row>
    <row r="8071">
      <c r="B8071" s="7" t="n">
        <v>8069</v>
      </c>
      <c r="C8071" t="inlineStr">
        <is>
          <t>Trưởng phòng Mua sắm(Mới)</t>
        </is>
      </c>
      <c r="D8071" t="inlineStr">
        <is>
          <t>CÔNG TY TNHH BẢO HIỂM NHÂN THỌ MB AGEAS</t>
        </is>
      </c>
      <c r="E8071" t="inlineStr">
        <is>
          <t>Lương:Cạnh tranh</t>
        </is>
      </c>
      <c r="F8071" t="inlineStr">
        <is>
          <t>Hà Nội</t>
        </is>
      </c>
      <c r="G8071" t="inlineStr">
        <is>
          <t>29-04-2026</t>
        </is>
      </c>
      <c r="H8071" t="inlineStr">
        <is>
          <t>29/04/2026</t>
        </is>
      </c>
      <c r="I8071" t="inlineStr">
        <is>
          <t>17/03/2026</t>
        </is>
      </c>
      <c r="J8071" t="inlineStr">
        <is>
          <t>Bảo hiểm</t>
        </is>
      </c>
      <c r="K8071" t="inlineStr">
        <is>
          <t>Trên 5 Năm</t>
        </is>
      </c>
      <c r="L8071" s="8">
        <f>HYPERLINK("https://careerviet.vn/vi/tim-viec-lam/truong-phong-mua-sam.35C6CD18.html","Xem chi tiết")</f>
        <v/>
      </c>
    </row>
    <row r="8072">
      <c r="B8072" s="9" t="n">
        <v>8070</v>
      </c>
      <c r="C8072" s="10" t="inlineStr">
        <is>
          <t>Chuyên viên Quản lý Cổ đông(Mới)</t>
        </is>
      </c>
      <c r="D8072" s="10" t="inlineStr">
        <is>
          <t>Xuân Cầu Holdings</t>
        </is>
      </c>
      <c r="E8072" s="10" t="inlineStr">
        <is>
          <t>Lương:30 Tr - 45 Tr VND</t>
        </is>
      </c>
      <c r="F8072" s="10" t="inlineStr">
        <is>
          <t>Hà Nội</t>
        </is>
      </c>
      <c r="G8072" s="10" t="inlineStr">
        <is>
          <t>30-04-2026</t>
        </is>
      </c>
      <c r="H8072" s="10" t="inlineStr">
        <is>
          <t>30/04/2026</t>
        </is>
      </c>
      <c r="I8072" s="10" t="inlineStr">
        <is>
          <t>17/03/2026</t>
        </is>
      </c>
      <c r="J8072" s="10" t="inlineStr">
        <is>
          <t>Tài chính / Đầu tư, Chứng khoán</t>
        </is>
      </c>
      <c r="K8072" s="10" t="inlineStr">
        <is>
          <t>3 - 10 Năm</t>
        </is>
      </c>
      <c r="L8072" s="11">
        <f>HYPERLINK("https://careerviet.vn/vi/tim-viec-lam/chuyen-vien-quan-ly-co-dong.35C6C5AE.html","Xem chi tiết")</f>
        <v/>
      </c>
      <c r="M8072" s="10" t="n"/>
    </row>
    <row r="8073">
      <c r="B8073" s="7" t="n">
        <v>8071</v>
      </c>
      <c r="C8073" t="inlineStr">
        <is>
          <t>Kế Toán Tổng Hợp(Mới)</t>
        </is>
      </c>
      <c r="D8073" t="inlineStr">
        <is>
          <t>CÔNG TY TNHH SẢN XUẤT MAY PHI LOAN</t>
        </is>
      </c>
      <c r="E8073" t="inlineStr">
        <is>
          <t>Lương:14 Tr - 15 Tr VND</t>
        </is>
      </c>
      <c r="F8073" t="inlineStr">
        <is>
          <t>Hồ Chí Minh</t>
        </is>
      </c>
      <c r="G8073" t="inlineStr">
        <is>
          <t>16-04-2026</t>
        </is>
      </c>
      <c r="H8073" t="inlineStr">
        <is>
          <t>16/04/2026</t>
        </is>
      </c>
      <c r="I8073" t="inlineStr">
        <is>
          <t>17/03/2026</t>
        </is>
      </c>
      <c r="J8073" t="inlineStr">
        <is>
          <t>Sản xuất / Vận hành sản xuất, Kế toán / Kiểm toán, Dệt may / Da giày / Thời trang</t>
        </is>
      </c>
      <c r="K8073" t="inlineStr">
        <is>
          <t>Trên 3 Năm</t>
        </is>
      </c>
      <c r="L8073" s="8">
        <f>HYPERLINK("https://careerviet.vn/vi/tim-viec-lam/ke-toan-tong-hop.35C6CCFB.html","Xem chi tiết")</f>
        <v/>
      </c>
    </row>
    <row r="8074">
      <c r="B8074" s="9" t="n">
        <v>8072</v>
      </c>
      <c r="C8074" s="10" t="inlineStr">
        <is>
          <t>Cán Bộ Kỹ Thuật Hiện Trường(Mới)</t>
        </is>
      </c>
      <c r="D8074" s="10" t="inlineStr">
        <is>
          <t>TRUNG TÂM TƯ VẤN ĐẦU TƯ VÀ XÂY DỰNG UDIC - CHI NHÁNH TỔNG CÔNG TY ĐẦU TƯ PHÁT TRIỂN HẠ TẦNG ĐÔ THỊ UDIC - CÔNG TY TNHH MỘT THÀNH VIÊN</t>
        </is>
      </c>
      <c r="E8074" s="10" t="inlineStr">
        <is>
          <t>Lương:Cạnh tranh</t>
        </is>
      </c>
      <c r="F8074" s="10" t="inlineStr">
        <is>
          <t>Hà Nội</t>
        </is>
      </c>
      <c r="G8074" s="10" t="inlineStr">
        <is>
          <t>15-04-2026</t>
        </is>
      </c>
      <c r="H8074" s="10" t="inlineStr">
        <is>
          <t>15/04/2026</t>
        </is>
      </c>
      <c r="I8074" s="10" t="inlineStr">
        <is>
          <t>17/03/2026</t>
        </is>
      </c>
      <c r="J8074" s="10" t="inlineStr">
        <is>
          <t>Bán hàng / Kinh doanh, Xây dựng</t>
        </is>
      </c>
      <c r="K8074" s="10" t="inlineStr">
        <is>
          <t>N/A</t>
        </is>
      </c>
      <c r="L8074" s="11">
        <f>HYPERLINK("https://careerviet.vn/vi/tim-viec-lam/can-bo-ky-thuat-hien-truong.35C6CCF6.html","Xem chi tiết")</f>
        <v/>
      </c>
      <c r="M8074" s="10" t="n"/>
    </row>
    <row r="8075">
      <c r="B8075" s="7" t="n">
        <v>8073</v>
      </c>
      <c r="C8075" t="inlineStr">
        <is>
          <t>Kế Toán Trưởng(Mới)</t>
        </is>
      </c>
      <c r="D8075" t="inlineStr">
        <is>
          <t>CÔNG TY TNHH SẢN XUẤT MAY PHI LOAN</t>
        </is>
      </c>
      <c r="E8075" t="inlineStr">
        <is>
          <t>Lương:20 Tr - 25 Tr VND</t>
        </is>
      </c>
      <c r="F8075" t="inlineStr">
        <is>
          <t>Hồ Chí Minh</t>
        </is>
      </c>
      <c r="G8075" t="inlineStr">
        <is>
          <t>16-04-2026</t>
        </is>
      </c>
      <c r="H8075" t="inlineStr">
        <is>
          <t>16/04/2026</t>
        </is>
      </c>
      <c r="I8075" t="inlineStr">
        <is>
          <t>17/03/2026</t>
        </is>
      </c>
      <c r="J8075" t="inlineStr">
        <is>
          <t>Kế toán / Kiểm toán, Tài chính / Đầu tư, Luật / Pháp lý</t>
        </is>
      </c>
      <c r="K8075" t="inlineStr">
        <is>
          <t>Trên 5 Năm</t>
        </is>
      </c>
      <c r="L8075" s="8">
        <f>HYPERLINK("https://careerviet.vn/vi/tim-viec-lam/ke-toan-truong.35C6CD07.html","Xem chi tiết")</f>
        <v/>
      </c>
    </row>
    <row r="8076">
      <c r="B8076" s="9" t="n">
        <v>8074</v>
      </c>
      <c r="C8076" s="10" t="inlineStr">
        <is>
          <t>Account Manager (Ecommerce)(Mới)</t>
        </is>
      </c>
      <c r="D8076" s="10" t="inlineStr">
        <is>
          <t>N-SQUARED ECOMMERCE VIETNAM</t>
        </is>
      </c>
      <c r="E8076" s="10" t="inlineStr">
        <is>
          <t>Lương:Cạnh tranh</t>
        </is>
      </c>
      <c r="F8076" s="10" t="inlineStr">
        <is>
          <t>Hồ Chí Minh</t>
        </is>
      </c>
      <c r="G8076" s="10" t="inlineStr">
        <is>
          <t>30-04-2026</t>
        </is>
      </c>
      <c r="H8076" s="10" t="inlineStr">
        <is>
          <t>30/04/2026</t>
        </is>
      </c>
      <c r="I8076" s="10" t="inlineStr">
        <is>
          <t>17/03/2026</t>
        </is>
      </c>
      <c r="J8076" s="10" t="inlineStr">
        <is>
          <t>Thương mại điện tử, Tiếp thị trực tuyến, Tiếp thị / Marketing</t>
        </is>
      </c>
      <c r="K8076" s="10" t="inlineStr">
        <is>
          <t>2 - 3 Năm</t>
        </is>
      </c>
      <c r="L8076" s="11">
        <f>HYPERLINK("https://careerviet.vn/vi/tim-viec-lam/account-manager-ecommerce.35C6CCFD.html","Xem chi tiết")</f>
        <v/>
      </c>
      <c r="M8076" s="10" t="n"/>
    </row>
    <row r="8077">
      <c r="B8077" s="7" t="n">
        <v>8075</v>
      </c>
      <c r="C8077" t="inlineStr">
        <is>
          <t>Senior Marketing Insights Executive(Mới)</t>
        </is>
      </c>
      <c r="D8077" t="inlineStr">
        <is>
          <t>CÔNG TY CP CHẾ BIẾN DỪA Á CHÂU</t>
        </is>
      </c>
      <c r="E8077" t="inlineStr">
        <is>
          <t>Lương:Cạnh tranh</t>
        </is>
      </c>
      <c r="F8077" t="inlineStr">
        <is>
          <t>Hồ Chí Minh</t>
        </is>
      </c>
      <c r="G8077" t="inlineStr">
        <is>
          <t>01-04-2026</t>
        </is>
      </c>
      <c r="H8077" t="inlineStr">
        <is>
          <t>01/04/2026</t>
        </is>
      </c>
      <c r="I8077" t="inlineStr">
        <is>
          <t>17/03/2026</t>
        </is>
      </c>
      <c r="J8077" t="inlineStr">
        <is>
          <t>Tiếp thị / Marketing</t>
        </is>
      </c>
      <c r="K8077" t="inlineStr">
        <is>
          <t>2 - 7 Năm</t>
        </is>
      </c>
      <c r="L8077" s="8">
        <f>HYPERLINK("https://careerviet.vn/vi/tim-viec-lam/senior-marketing-insights-executive.35C6CCE6.html","Xem chi tiết")</f>
        <v/>
      </c>
    </row>
    <row r="8078">
      <c r="B8078" s="9" t="n">
        <v>8076</v>
      </c>
      <c r="C8078" s="10" t="inlineStr">
        <is>
          <t>Kế Toán(Mới)</t>
        </is>
      </c>
      <c r="D8078" s="10" t="inlineStr">
        <is>
          <t>TRUNG TÂM TƯ VẤN ĐẦU TƯ VÀ XÂY DỰNG UDIC - CHI NHÁNH TỔNG CÔNG TY ĐẦU TƯ PHÁT TRIỂN HẠ TẦNG ĐÔ THỊ UDIC - CÔNG TY TNHH MỘT THÀNH VIÊN</t>
        </is>
      </c>
      <c r="E8078" s="10" t="inlineStr">
        <is>
          <t>Lương:12 Tr - 16 Tr VND</t>
        </is>
      </c>
      <c r="F8078" s="10" t="inlineStr">
        <is>
          <t>Hà Nội</t>
        </is>
      </c>
      <c r="G8078" s="10" t="inlineStr">
        <is>
          <t>15-04-2026</t>
        </is>
      </c>
      <c r="H8078" s="10" t="inlineStr">
        <is>
          <t>15/04/2026</t>
        </is>
      </c>
      <c r="I8078" s="10" t="inlineStr">
        <is>
          <t>17/03/2026</t>
        </is>
      </c>
      <c r="J8078" s="10" t="inlineStr">
        <is>
          <t>Xây dựng, Kế toán / Kiểm toán, Tài chính / Đầu tư</t>
        </is>
      </c>
      <c r="K8078" s="10" t="inlineStr">
        <is>
          <t>Trên 1 Năm</t>
        </is>
      </c>
      <c r="L8078" s="11">
        <f>HYPERLINK("https://careerviet.vn/vi/tim-viec-lam/ke-toan.35C6CCFA.html","Xem chi tiết")</f>
        <v/>
      </c>
      <c r="M8078" s="10" t="n"/>
    </row>
    <row r="8079">
      <c r="B8079" s="7" t="n">
        <v>8077</v>
      </c>
      <c r="C8079" t="inlineStr">
        <is>
          <t>Chuyên viên thiết kế họa tiết – Graphic Designer(Mới)</t>
        </is>
      </c>
      <c r="D8079" t="inlineStr">
        <is>
          <t>Công Ty Cổ Phần TEECOM</t>
        </is>
      </c>
      <c r="E8079" t="inlineStr">
        <is>
          <t>Lương:Cạnh tranh</t>
        </is>
      </c>
      <c r="F8079" t="inlineStr">
        <is>
          <t>Hồ Chí Minh</t>
        </is>
      </c>
      <c r="G8079" t="inlineStr">
        <is>
          <t>11-04-2026</t>
        </is>
      </c>
      <c r="H8079" t="inlineStr">
        <is>
          <t>11/04/2026</t>
        </is>
      </c>
      <c r="I8079" t="inlineStr">
        <is>
          <t>17/03/2026</t>
        </is>
      </c>
      <c r="J8079" t="inlineStr">
        <is>
          <t>Mỹ thuật / Nghệ thuật / Thiết kế, In ấn / Xuất bản</t>
        </is>
      </c>
      <c r="K8079" t="inlineStr">
        <is>
          <t>4 - 6 Năm</t>
        </is>
      </c>
      <c r="L8079" s="8">
        <f>HYPERLINK("https://careerviet.vn/vi/tim-viec-lam/chuyen-vien-thiet-ke-hoa-tiet-graphic-designer.35C6CCE2.html","Xem chi tiết")</f>
        <v/>
      </c>
    </row>
    <row r="8080">
      <c r="B8080" s="9" t="n">
        <v>8078</v>
      </c>
      <c r="C8080" s="10" t="inlineStr">
        <is>
          <t>Procurement Executive(Mới)</t>
        </is>
      </c>
      <c r="D8080" s="10" t="inlineStr">
        <is>
          <t>Công Ty Hoàng An Nhiên</t>
        </is>
      </c>
      <c r="E8080" s="10" t="inlineStr">
        <is>
          <t>Lương:10 Tr - 12 Tr VND</t>
        </is>
      </c>
      <c r="F8080" s="10" t="inlineStr">
        <is>
          <t>Hồ Chí Minh</t>
        </is>
      </c>
      <c r="G8080" s="10" t="inlineStr">
        <is>
          <t>15-04-2026</t>
        </is>
      </c>
      <c r="H8080" s="10" t="inlineStr">
        <is>
          <t>15/04/2026</t>
        </is>
      </c>
      <c r="I8080" s="10" t="inlineStr">
        <is>
          <t>17/03/2026</t>
        </is>
      </c>
      <c r="J8080" s="10" t="inlineStr">
        <is>
          <t>Thu mua / Vật tư, Nhà hàng / Khách sạn, Thực phẩm &amp; Đồ uống</t>
        </is>
      </c>
      <c r="K8080" s="10" t="inlineStr">
        <is>
          <t>Lên đến 1 Năm</t>
        </is>
      </c>
      <c r="L8080" s="11">
        <f>HYPERLINK("https://careerviet.vn/vi/tim-viec-lam/procurement-executive.35C6CCED.html","Xem chi tiết")</f>
        <v/>
      </c>
      <c r="M8080" s="10" t="n"/>
    </row>
    <row r="8081">
      <c r="B8081" s="7" t="n">
        <v>8079</v>
      </c>
      <c r="C8081" t="inlineStr">
        <is>
          <t>CVCC Quản trị Chi phí Giải phóng Mặt bằng - HO - 4H109(Mới)</t>
        </is>
      </c>
      <c r="D8081" t="inlineStr">
        <is>
          <t>Tập đoàn ROX (ROX Group)</t>
        </is>
      </c>
      <c r="E8081" t="inlineStr">
        <is>
          <t>Lương:Cạnh tranh</t>
        </is>
      </c>
      <c r="F8081" t="inlineStr">
        <is>
          <t>Hà Nội</t>
        </is>
      </c>
      <c r="G8081" t="inlineStr">
        <is>
          <t>19-04-2026</t>
        </is>
      </c>
      <c r="H8081" t="inlineStr">
        <is>
          <t>19/04/2026</t>
        </is>
      </c>
      <c r="I8081" t="inlineStr">
        <is>
          <t>17/03/2026</t>
        </is>
      </c>
      <c r="J8081" t="inlineStr">
        <is>
          <t>Xây dựng</t>
        </is>
      </c>
      <c r="K8081" t="inlineStr">
        <is>
          <t>Trên 3 Năm</t>
        </is>
      </c>
      <c r="L8081" s="8">
        <f>HYPERLINK("https://careerviet.vn/vi/tim-viec-lam/cvcc-quan-tri-chi-phi-giai-phong-mat-bang-ho-4h109.35C6CD0B.html","Xem chi tiết")</f>
        <v/>
      </c>
    </row>
    <row r="8082">
      <c r="B8082" s="9" t="n">
        <v>8080</v>
      </c>
      <c r="C8082" s="10" t="inlineStr">
        <is>
          <t>Nhân viên hỗ trợ DMS(Mới)</t>
        </is>
      </c>
      <c r="D8082" s="10" t="inlineStr">
        <is>
          <t>Công ty TNHH Mayora Việt Nam</t>
        </is>
      </c>
      <c r="E8082" s="10" t="inlineStr">
        <is>
          <t>Lương:Cạnh tranh</t>
        </is>
      </c>
      <c r="F8082" s="10" t="inlineStr">
        <is>
          <t>Hồ Chí Minh</t>
        </is>
      </c>
      <c r="G8082" s="10" t="inlineStr">
        <is>
          <t>30-04-2026</t>
        </is>
      </c>
      <c r="H8082" s="10" t="inlineStr">
        <is>
          <t>30/04/2026</t>
        </is>
      </c>
      <c r="I8082" s="10" t="inlineStr">
        <is>
          <t>17/03/2026</t>
        </is>
      </c>
      <c r="J8082" s="10" t="inlineStr">
        <is>
          <t>CNTT - Phần mềm, Bán hàng / Kinh doanh, Ngành khác</t>
        </is>
      </c>
      <c r="K8082" s="10" t="inlineStr">
        <is>
          <t>1 - 3 Năm</t>
        </is>
      </c>
      <c r="L8082" s="11">
        <f>HYPERLINK("https://careerviet.vn/vi/tim-viec-lam/nhan-vien-ho-tro-dms.35C6CCF0.html","Xem chi tiết")</f>
        <v/>
      </c>
      <c r="M8082" s="10" t="n"/>
    </row>
    <row r="8083">
      <c r="B8083" s="7" t="n">
        <v>8081</v>
      </c>
      <c r="C8083" t="inlineStr">
        <is>
          <t>Finance &amp; Accounting Intern(Mới)</t>
        </is>
      </c>
      <c r="D8083" t="inlineStr">
        <is>
          <t>Công ty TNHH Olam Việt Nam</t>
        </is>
      </c>
      <c r="E8083" t="inlineStr">
        <is>
          <t>Lương:Cạnh tranh</t>
        </is>
      </c>
      <c r="F8083" t="inlineStr">
        <is>
          <t>Đồng Nai</t>
        </is>
      </c>
      <c r="G8083" t="inlineStr">
        <is>
          <t>13-04-2026</t>
        </is>
      </c>
      <c r="H8083" t="inlineStr">
        <is>
          <t>13/04/2026</t>
        </is>
      </c>
      <c r="I8083" t="inlineStr">
        <is>
          <t>17/03/2026</t>
        </is>
      </c>
      <c r="J8083" t="inlineStr">
        <is>
          <t>Tài chính / Đầu tư, Kế toán / Kiểm toán, Mới tốt nghiệp / Thực tập</t>
        </is>
      </c>
      <c r="K8083" t="inlineStr">
        <is>
          <t>N/A</t>
        </is>
      </c>
      <c r="L8083" s="8">
        <f>HYPERLINK("https://careerviet.vn/vi/tim-viec-lam/finance-accounting-intern.35C6CCF1.html","Xem chi tiết")</f>
        <v/>
      </c>
    </row>
    <row r="8084">
      <c r="B8084" s="9" t="n">
        <v>8082</v>
      </c>
      <c r="C8084" s="10" t="inlineStr">
        <is>
          <t>Chuyên viên bán hàng trực tiếp (DSA) - Hà Nội - RB - MSB - 1C215(Mới)</t>
        </is>
      </c>
      <c r="D8084" s="10" t="inlineStr">
        <is>
          <t>Ngân hàng Thương mại Cổ phần Hàng Hải Việt Nam (MSB)</t>
        </is>
      </c>
      <c r="E8084" s="10" t="inlineStr">
        <is>
          <t>Lương:Cạnh tranh</t>
        </is>
      </c>
      <c r="F8084" s="10" t="inlineStr">
        <is>
          <t>Hà Nội</t>
        </is>
      </c>
      <c r="G8084" s="10" t="inlineStr">
        <is>
          <t>30-04-2026</t>
        </is>
      </c>
      <c r="H8084" s="10" t="inlineStr">
        <is>
          <t>30/04/2026</t>
        </is>
      </c>
      <c r="I8084" s="10" t="inlineStr">
        <is>
          <t>17/03/2026</t>
        </is>
      </c>
      <c r="J8084" s="10" t="inlineStr">
        <is>
          <t>Ngân hàng</t>
        </is>
      </c>
      <c r="K8084" s="10" t="inlineStr">
        <is>
          <t>Chưa có kinh nghiệm</t>
        </is>
      </c>
      <c r="L8084" s="11">
        <f>HYPERLINK("https://careerviet.vn/vi/tim-viec-lam/chuyen-vien-ban-hang-truc-tiep-dsa-ha-noi-rb-msb-1c215.35C6CCEA.html","Xem chi tiết")</f>
        <v/>
      </c>
      <c r="M8084" s="10" t="n"/>
    </row>
    <row r="8085">
      <c r="B8085" s="7" t="n">
        <v>8083</v>
      </c>
      <c r="C8085" t="inlineStr">
        <is>
          <t>Họa Viên Triển Khai(Mới)</t>
        </is>
      </c>
      <c r="D8085" t="inlineStr">
        <is>
          <t>CÔNG TY TNHH KHÔNG GIAN A&amp;A</t>
        </is>
      </c>
      <c r="E8085" t="inlineStr">
        <is>
          <t>Lương:7 Tr - 10 Tr VND</t>
        </is>
      </c>
      <c r="F8085" t="inlineStr">
        <is>
          <t>Hồ Chí Minh</t>
        </is>
      </c>
      <c r="G8085" t="inlineStr">
        <is>
          <t>15-04-2026</t>
        </is>
      </c>
      <c r="H8085" t="inlineStr">
        <is>
          <t>15/04/2026</t>
        </is>
      </c>
      <c r="I8085" t="inlineStr">
        <is>
          <t>17/03/2026</t>
        </is>
      </c>
      <c r="J8085" t="inlineStr">
        <is>
          <t>Kiến trúc, Nội ngoại thất, Xây dựng</t>
        </is>
      </c>
      <c r="K8085" t="inlineStr">
        <is>
          <t>1 - 3 Năm</t>
        </is>
      </c>
      <c r="L8085" s="8">
        <f>HYPERLINK("https://careerviet.vn/vi/tim-viec-lam/hoa-vien-trien-khai.35C6CD01.html","Xem chi tiết")</f>
        <v/>
      </c>
    </row>
    <row r="8086">
      <c r="B8086" s="9" t="n">
        <v>8084</v>
      </c>
      <c r="C8086" s="10" t="inlineStr">
        <is>
          <t>Nhân Viên Xuất Nhập Khẩu(Mới)</t>
        </is>
      </c>
      <c r="D8086" s="10" t="inlineStr">
        <is>
          <t>CÔNG TY CP CHẾ BIẾN DỪA Á CHÂU</t>
        </is>
      </c>
      <c r="E8086" s="10" t="inlineStr">
        <is>
          <t>Lương:Cạnh tranh</t>
        </is>
      </c>
      <c r="F8086" s="10" t="inlineStr">
        <is>
          <t>Hồ Chí Minh</t>
        </is>
      </c>
      <c r="G8086" s="10" t="inlineStr">
        <is>
          <t>01-04-2026</t>
        </is>
      </c>
      <c r="H8086" s="10" t="inlineStr">
        <is>
          <t>01/04/2026</t>
        </is>
      </c>
      <c r="I8086" s="10" t="inlineStr">
        <is>
          <t>17/03/2026</t>
        </is>
      </c>
      <c r="J8086" s="10" t="inlineStr">
        <is>
          <t>Xuất nhập khẩu</t>
        </is>
      </c>
      <c r="K8086" s="10" t="inlineStr">
        <is>
          <t>2 - 7 Năm</t>
        </is>
      </c>
      <c r="L8086" s="11">
        <f>HYPERLINK("https://careerviet.vn/vi/tim-viec-lam/nhan-vien-xuat-nhap-khau.35C6CCE5.html","Xem chi tiết")</f>
        <v/>
      </c>
      <c r="M8086" s="10" t="n"/>
    </row>
    <row r="8087">
      <c r="B8087" s="7" t="n">
        <v>8085</v>
      </c>
      <c r="C8087" t="inlineStr">
        <is>
          <t>IT Infrastructure &amp; Security Executive(Mới)</t>
        </is>
      </c>
      <c r="D8087" t="inlineStr">
        <is>
          <t>CÔNG TY CP CHẾ BIẾN DỪA Á CHÂU</t>
        </is>
      </c>
      <c r="E8087" t="inlineStr">
        <is>
          <t>Lương:Cạnh tranh</t>
        </is>
      </c>
      <c r="F8087" t="inlineStr">
        <is>
          <t>Hồ Chí Minh</t>
        </is>
      </c>
      <c r="G8087" t="inlineStr">
        <is>
          <t>01-04-2026</t>
        </is>
      </c>
      <c r="H8087" t="inlineStr">
        <is>
          <t>01/04/2026</t>
        </is>
      </c>
      <c r="I8087" t="inlineStr">
        <is>
          <t>17/03/2026</t>
        </is>
      </c>
      <c r="J8087" t="inlineStr">
        <is>
          <t>CNTT - Phần mềm</t>
        </is>
      </c>
      <c r="K8087" t="inlineStr">
        <is>
          <t>2 - 7 Năm</t>
        </is>
      </c>
      <c r="L8087" s="8">
        <f>HYPERLINK("https://careerviet.vn/vi/tim-viec-lam/it-infrastructure-security-executive.35C6CCDD.html","Xem chi tiết")</f>
        <v/>
      </c>
    </row>
    <row r="8088">
      <c r="B8088" s="9" t="n">
        <v>8086</v>
      </c>
      <c r="C8088" s="10" t="inlineStr">
        <is>
          <t>Material Engineer for the Camera Module(Mới)</t>
        </is>
      </c>
      <c r="D8088" s="10" t="inlineStr">
        <is>
          <t>Công ty TNHH Sài Gòn Stec</t>
        </is>
      </c>
      <c r="E8088" s="10" t="inlineStr">
        <is>
          <t>Lương:15 Tr - 23 Tr VND</t>
        </is>
      </c>
      <c r="F8088" s="10" t="inlineStr">
        <is>
          <t>Bình Dương</t>
        </is>
      </c>
      <c r="G8088" s="10" t="inlineStr">
        <is>
          <t>16-04-2026</t>
        </is>
      </c>
      <c r="H8088" s="10" t="inlineStr">
        <is>
          <t>16/04/2026</t>
        </is>
      </c>
      <c r="I8088" s="10" t="inlineStr">
        <is>
          <t>17/03/2026</t>
        </is>
      </c>
      <c r="J8088" s="10" t="inlineStr">
        <is>
          <t>Điện / Điện tử / Điện lạnh / Điện công nghiệp, Cơ khí / Ô tô / Tự động hóa, Bảo trì / Sửa chữa</t>
        </is>
      </c>
      <c r="K8088" s="10" t="inlineStr">
        <is>
          <t>1 - 2 Năm</t>
        </is>
      </c>
      <c r="L8088" s="11">
        <f>HYPERLINK("https://careerviet.vn/vi/tim-viec-lam/material-engineer-for-the-camera-module.35C6CCE3.html","Xem chi tiết")</f>
        <v/>
      </c>
      <c r="M8088" s="10" t="n"/>
    </row>
    <row r="8089">
      <c r="B8089" s="7" t="n">
        <v>8087</v>
      </c>
      <c r="C8089" t="inlineStr">
        <is>
          <t>Kỹ Sư Hỗ Trợ Kỹ Thuật Dịch vụ Applied (Chiller,AHU,FCU)(Mới)</t>
        </is>
      </c>
      <c r="D8089" t="inlineStr">
        <is>
          <t>Daikin Air Conditioning (Vietnam) Joint Stock Company</t>
        </is>
      </c>
      <c r="E8089" t="inlineStr">
        <is>
          <t>Lương:Cạnh tranh</t>
        </is>
      </c>
      <c r="F8089" t="inlineStr">
        <is>
          <t>Hồ Chí Minh</t>
        </is>
      </c>
      <c r="G8089" t="inlineStr">
        <is>
          <t>30-05-2026</t>
        </is>
      </c>
      <c r="H8089" t="inlineStr">
        <is>
          <t>30/05/2026</t>
        </is>
      </c>
      <c r="I8089" t="inlineStr">
        <is>
          <t>17/03/2026</t>
        </is>
      </c>
      <c r="J8089" t="inlineStr">
        <is>
          <t>Cơ khí / Ô tô / Tự động hóa, Điện / Điện tử / Điện lạnh / Điện công nghiệp</t>
        </is>
      </c>
      <c r="K8089" t="inlineStr">
        <is>
          <t>Trên 2 Năm</t>
        </is>
      </c>
      <c r="L8089" s="8">
        <f>HYPERLINK("https://careerviet.vn/vi/tim-viec-lam/ky-su-ho-tro-ky-thuat-dich-vu-applied-chiller-ahu-fcu.35C6CCCF.html","Xem chi tiết")</f>
        <v/>
      </c>
    </row>
    <row r="8090">
      <c r="B8090" s="9" t="n">
        <v>8088</v>
      </c>
      <c r="C8090" s="10" t="inlineStr">
        <is>
          <t>Trưởng Nhóm Branding(Mới)</t>
        </is>
      </c>
      <c r="D8090" s="10" t="inlineStr">
        <is>
          <t>CÔNG TY TNHH XÂY DỰNG TUẤN LÊ</t>
        </is>
      </c>
      <c r="E8090" s="10" t="inlineStr">
        <is>
          <t>Lương:Cạnh tranh</t>
        </is>
      </c>
      <c r="F8090" s="10" t="inlineStr">
        <is>
          <t>Hồ Chí Minh</t>
        </is>
      </c>
      <c r="G8090" s="10" t="inlineStr">
        <is>
          <t>30-04-2026</t>
        </is>
      </c>
      <c r="H8090" s="10" t="inlineStr">
        <is>
          <t>30/04/2026</t>
        </is>
      </c>
      <c r="I8090" s="10" t="inlineStr">
        <is>
          <t>17/03/2026</t>
        </is>
      </c>
      <c r="J8090" s="10" t="inlineStr">
        <is>
          <t>Xây dựng, Quảng cáo / Đối ngoại / Truyền Thông</t>
        </is>
      </c>
      <c r="K8090" s="10" t="inlineStr">
        <is>
          <t>Trên 2 Năm</t>
        </is>
      </c>
      <c r="L8090" s="11">
        <f>HYPERLINK("https://careerviet.vn/vi/tim-viec-lam/truong-nhom-branding.35C6CCC5.html","Xem chi tiết")</f>
        <v/>
      </c>
      <c r="M8090" s="10" t="n"/>
    </row>
    <row r="8091">
      <c r="B8091" s="7" t="n">
        <v>8089</v>
      </c>
      <c r="C8091" t="inlineStr">
        <is>
          <t>Optical Design Engineer(Mới)</t>
        </is>
      </c>
      <c r="D8091" t="inlineStr">
        <is>
          <t>Công ty TNHH Sài Gòn Stec</t>
        </is>
      </c>
      <c r="E8091" t="inlineStr">
        <is>
          <t>Lương:15 Tr - 23 Tr VND</t>
        </is>
      </c>
      <c r="F8091" t="inlineStr">
        <is>
          <t>Bình Dương</t>
        </is>
      </c>
      <c r="G8091" t="inlineStr">
        <is>
          <t>16-04-2026</t>
        </is>
      </c>
      <c r="H8091" t="inlineStr">
        <is>
          <t>16/04/2026</t>
        </is>
      </c>
      <c r="I8091" t="inlineStr">
        <is>
          <t>17/03/2026</t>
        </is>
      </c>
      <c r="J8091" t="inlineStr">
        <is>
          <t>Điện / Điện tử / Điện lạnh / Điện công nghiệp, Bảo trì / Sửa chữa, Cơ khí / Ô tô / Tự động hóa</t>
        </is>
      </c>
      <c r="K8091" t="inlineStr">
        <is>
          <t>1 - 3 Năm</t>
        </is>
      </c>
      <c r="L8091" s="8">
        <f>HYPERLINK("https://careerviet.vn/vi/tim-viec-lam/optical-design-engineer.35C6CCE1.html","Xem chi tiết")</f>
        <v/>
      </c>
    </row>
    <row r="8092">
      <c r="B8092" s="9" t="n">
        <v>8090</v>
      </c>
      <c r="C8092" s="10" t="inlineStr">
        <is>
          <t>Chánh Văn Phòng Công Ty(Mới)</t>
        </is>
      </c>
      <c r="D8092" s="10" t="inlineStr">
        <is>
          <t>CÔNG TY CỔ PHẦN PHÁT TRIỂN BẤT ĐỘNG SẢN VĂN PHÚ</t>
        </is>
      </c>
      <c r="E8092" s="10" t="inlineStr">
        <is>
          <t>Lương:Cạnh tranh</t>
        </is>
      </c>
      <c r="F8092" s="10" t="inlineStr">
        <is>
          <t>Hà Nội</t>
        </is>
      </c>
      <c r="G8092" s="10" t="inlineStr">
        <is>
          <t>29-04-2026</t>
        </is>
      </c>
      <c r="H8092" s="10" t="inlineStr">
        <is>
          <t>29/04/2026</t>
        </is>
      </c>
      <c r="I8092" s="10" t="inlineStr">
        <is>
          <t>17/03/2026</t>
        </is>
      </c>
      <c r="J8092" s="10" t="inlineStr">
        <is>
          <t>Hành chính / Thư ký, Quản lý điều hành</t>
        </is>
      </c>
      <c r="K8092" s="10" t="inlineStr">
        <is>
          <t>5 - 7 Năm</t>
        </is>
      </c>
      <c r="L8092" s="11">
        <f>HYPERLINK("https://careerviet.vn/vi/tim-viec-lam/chanh-van-phong-cong-ty.35C6CCCE.html","Xem chi tiết")</f>
        <v/>
      </c>
      <c r="M8092" s="10" t="n"/>
    </row>
    <row r="8093">
      <c r="B8093" s="7" t="n">
        <v>8091</v>
      </c>
      <c r="C8093" t="inlineStr">
        <is>
          <t>Phiên dịch viên tiếng Trung(Mới)</t>
        </is>
      </c>
      <c r="D8093" t="inlineStr">
        <is>
          <t>CÔNG TY TNHH PHÁT TRIỂN THƯƠNG HIỆU VÀ DỊCH VỤ KẾT NỐI BÁN LẺ CHÂU Á</t>
        </is>
      </c>
      <c r="E8093" t="inlineStr">
        <is>
          <t>Lương:10 Tr - 15 Tr VND</t>
        </is>
      </c>
      <c r="F8093" t="inlineStr">
        <is>
          <t>Hồ Chí Minh</t>
        </is>
      </c>
      <c r="G8093" t="inlineStr">
        <is>
          <t>11-04-2026</t>
        </is>
      </c>
      <c r="H8093" t="inlineStr">
        <is>
          <t>11/04/2026</t>
        </is>
      </c>
      <c r="I8093" t="inlineStr">
        <is>
          <t>17/03/2026</t>
        </is>
      </c>
      <c r="J8093" t="inlineStr">
        <is>
          <t>Biên phiên dịch, Hành chính / Thư ký</t>
        </is>
      </c>
      <c r="K8093" t="inlineStr">
        <is>
          <t>Trên 2 Năm</t>
        </is>
      </c>
      <c r="L8093" s="8">
        <f>HYPERLINK("https://careerviet.vn/vi/tim-viec-lam/phien-dich-vien-tieng-trung.35C6CCC8.html","Xem chi tiết")</f>
        <v/>
      </c>
    </row>
    <row r="8094">
      <c r="B8094" s="9" t="n">
        <v>8092</v>
      </c>
      <c r="C8094" s="10" t="inlineStr">
        <is>
          <t>Chuyên viên Cao cấp Kiểm soát Hồ sơ - HO - 4H110(Mới)</t>
        </is>
      </c>
      <c r="D8094" s="10" t="inlineStr">
        <is>
          <t>Tập đoàn ROX (ROX Group)</t>
        </is>
      </c>
      <c r="E8094" s="10" t="inlineStr">
        <is>
          <t>Lương:Cạnh tranh</t>
        </is>
      </c>
      <c r="F8094" s="10" t="inlineStr">
        <is>
          <t>Hà Nội</t>
        </is>
      </c>
      <c r="G8094" s="10" t="inlineStr">
        <is>
          <t>19-04-2026</t>
        </is>
      </c>
      <c r="H8094" s="10" t="inlineStr">
        <is>
          <t>19/04/2026</t>
        </is>
      </c>
      <c r="I8094" s="10" t="inlineStr">
        <is>
          <t>17/03/2026</t>
        </is>
      </c>
      <c r="J8094" s="10" t="inlineStr">
        <is>
          <t>Xây dựng</t>
        </is>
      </c>
      <c r="K8094" s="10" t="inlineStr">
        <is>
          <t>Trên 3 Năm</t>
        </is>
      </c>
      <c r="L8094" s="11">
        <f>HYPERLINK("https://careerviet.vn/vi/tim-viec-lam/chuyen-vien-cao-cap-kiem-soat-ho-so-ho-4h110.35C6CCDF.html","Xem chi tiết")</f>
        <v/>
      </c>
      <c r="M8094" s="10" t="n"/>
    </row>
    <row r="8095">
      <c r="B8095" s="7" t="n">
        <v>8093</v>
      </c>
      <c r="C8095" t="inlineStr">
        <is>
          <t>Nhân viên kinh doanh(Mới)</t>
        </is>
      </c>
      <c r="D8095" t="inlineStr">
        <is>
          <t>Công ty TNHH Bệnh Viện Gia An 115</t>
        </is>
      </c>
      <c r="E8095" t="inlineStr">
        <is>
          <t>Lương:Cạnh tranh</t>
        </is>
      </c>
      <c r="F8095" t="inlineStr">
        <is>
          <t>Hồ Chí Minh</t>
        </is>
      </c>
      <c r="G8095" t="inlineStr">
        <is>
          <t>16-04-2026</t>
        </is>
      </c>
      <c r="H8095" t="inlineStr">
        <is>
          <t>16/04/2026</t>
        </is>
      </c>
      <c r="I8095" t="inlineStr">
        <is>
          <t>17/03/2026</t>
        </is>
      </c>
      <c r="J8095" t="inlineStr">
        <is>
          <t>Y tế / Chăm sóc sức khỏe / Thẩm mỹ / Làm đẹp</t>
        </is>
      </c>
      <c r="K8095" t="inlineStr">
        <is>
          <t>3 - 5 Năm</t>
        </is>
      </c>
      <c r="L8095" s="8">
        <f>HYPERLINK("https://careerviet.vn/vi/tim-viec-lam/nhan-vien-kinh-doanh.35C6CCD6.html","Xem chi tiết")</f>
        <v/>
      </c>
    </row>
    <row r="8096">
      <c r="B8096" s="9" t="n">
        <v>8094</v>
      </c>
      <c r="C8096" s="10" t="inlineStr">
        <is>
          <t>Trưởng phòng Kinh doanh xuất khẩu(Mới)</t>
        </is>
      </c>
      <c r="D8096" s="10" t="inlineStr">
        <is>
          <t>CÔNG TY TNHH MĂMMY VIỆT NAM</t>
        </is>
      </c>
      <c r="E8096" s="10" t="inlineStr">
        <is>
          <t>Lương:Cạnh tranh</t>
        </is>
      </c>
      <c r="F8096" s="10" t="inlineStr">
        <is>
          <t>Hồ Chí Minh</t>
        </is>
      </c>
      <c r="G8096" s="10" t="inlineStr">
        <is>
          <t>16-04-2026</t>
        </is>
      </c>
      <c r="H8096" s="10" t="inlineStr">
        <is>
          <t>16/04/2026</t>
        </is>
      </c>
      <c r="I8096" s="10" t="inlineStr">
        <is>
          <t>17/03/2026</t>
        </is>
      </c>
      <c r="J8096" s="10" t="inlineStr">
        <is>
          <t>Bán hàng / Kinh doanh</t>
        </is>
      </c>
      <c r="K8096" s="10" t="inlineStr">
        <is>
          <t>5 - 7 Năm</t>
        </is>
      </c>
      <c r="L8096" s="11">
        <f>HYPERLINK("https://careerviet.vn/vi/tim-viec-lam/truong-phong-kinh-doanh-xuat-khau.35C6CCD8.html","Xem chi tiết")</f>
        <v/>
      </c>
      <c r="M8096" s="10" t="n"/>
    </row>
    <row r="8097">
      <c r="B8097" s="7" t="n">
        <v>8095</v>
      </c>
      <c r="C8097" t="inlineStr">
        <is>
          <t>Brand &amp; Partnerships Associate(Mới)</t>
        </is>
      </c>
      <c r="D8097" t="inlineStr">
        <is>
          <t>CÔNG TY CỔ PHẦN UPPINGHAM SCHOOL VIỆT NAM - HƯNG YÊN</t>
        </is>
      </c>
      <c r="E8097" t="inlineStr">
        <is>
          <t>Lương:Cạnh tranh</t>
        </is>
      </c>
      <c r="F8097" t="inlineStr">
        <is>
          <t>Hồ Chí Minh</t>
        </is>
      </c>
      <c r="G8097" t="inlineStr">
        <is>
          <t>11-04-2026</t>
        </is>
      </c>
      <c r="H8097" t="inlineStr">
        <is>
          <t>11/04/2026</t>
        </is>
      </c>
      <c r="I8097" t="inlineStr">
        <is>
          <t>17/03/2026</t>
        </is>
      </c>
      <c r="J8097" t="inlineStr">
        <is>
          <t>Tiếp thị / Marketing, Quảng cáo / Đối ngoại / Truyền Thông</t>
        </is>
      </c>
      <c r="K8097" t="inlineStr">
        <is>
          <t>3 - 5 Năm</t>
        </is>
      </c>
      <c r="L8097" s="8">
        <f>HYPERLINK("https://careerviet.vn/vi/tim-viec-lam/brand-partnerships-associate.35C6CCCC.html","Xem chi tiết")</f>
        <v/>
      </c>
    </row>
    <row r="8098">
      <c r="B8098" s="9" t="n">
        <v>8096</v>
      </c>
      <c r="C8098" s="10" t="inlineStr">
        <is>
          <t>Nhân Viên Tổng Đài Di Động Viettel Cẩm Lệ Đà Nẵng(Mới)</t>
        </is>
      </c>
      <c r="D8098" s="10" t="inlineStr">
        <is>
          <t>CÔNG TY CỔ PHẦN TRUYỀN THÔNG KIM CƯƠNG</t>
        </is>
      </c>
      <c r="E8098" s="10" t="inlineStr">
        <is>
          <t>Lương:6 Tr - 8 Tr VND</t>
        </is>
      </c>
      <c r="F8098" s="10" t="inlineStr">
        <is>
          <t>Đà Nẵng</t>
        </is>
      </c>
      <c r="G8098" s="10" t="inlineStr">
        <is>
          <t>16-04-2026</t>
        </is>
      </c>
      <c r="H8098" s="10" t="inlineStr">
        <is>
          <t>16/04/2026</t>
        </is>
      </c>
      <c r="I8098" s="10" t="inlineStr">
        <is>
          <t>17/03/2026</t>
        </is>
      </c>
      <c r="J8098" s="10" t="inlineStr">
        <is>
          <t>Tiếp thị trực tuyến, Dịch vụ khách hàng, Tư vấn</t>
        </is>
      </c>
      <c r="K8098" s="10" t="inlineStr">
        <is>
          <t>N/A</t>
        </is>
      </c>
      <c r="L8098" s="11">
        <f>HYPERLINK("https://careerviet.vn/vi/tim-viec-lam/nhan-vien-tong-dai-di-dong-viettel-cam-le-da-nang.35C6CA4D.html","Xem chi tiết")</f>
        <v/>
      </c>
      <c r="M8098" s="10" t="n"/>
    </row>
    <row r="8099">
      <c r="B8099" s="7" t="n">
        <v>8097</v>
      </c>
      <c r="C8099" t="inlineStr">
        <is>
          <t>Nhân viên Tuyển dụng (Mass Recruitment)(Mới)</t>
        </is>
      </c>
      <c r="D8099" t="inlineStr">
        <is>
          <t>Công Ty TNHH Việt Mỹ-SSU</t>
        </is>
      </c>
      <c r="E8099" t="inlineStr">
        <is>
          <t>Lương:8 Tr - 13 Tr VND</t>
        </is>
      </c>
      <c r="F8099" t="inlineStr">
        <is>
          <t>Hồ Chí Minh</t>
        </is>
      </c>
      <c r="G8099" t="inlineStr">
        <is>
          <t>16-04-2026</t>
        </is>
      </c>
      <c r="H8099" t="inlineStr">
        <is>
          <t>16/04/2026</t>
        </is>
      </c>
      <c r="I8099" t="inlineStr">
        <is>
          <t>17/03/2026</t>
        </is>
      </c>
      <c r="J8099" t="inlineStr">
        <is>
          <t>Nhân sự, Ngành khác</t>
        </is>
      </c>
      <c r="K8099" t="inlineStr">
        <is>
          <t>1 - 4 Năm</t>
        </is>
      </c>
      <c r="L8099" s="8">
        <f>HYPERLINK("https://careerviet.vn/vi/tim-viec-lam/nhan-vien-tuyen-dung-mass-recruitment.35C6CCC6.html","Xem chi tiết")</f>
        <v/>
      </c>
    </row>
    <row r="8100">
      <c r="B8100" s="9" t="n">
        <v>8098</v>
      </c>
      <c r="C8100" s="10" t="inlineStr">
        <is>
          <t>Kế Toán Tổng Hợp (Đồng Nai)(Mới)</t>
        </is>
      </c>
      <c r="D8100" s="10" t="inlineStr">
        <is>
          <t>CÔNG TY CỔ PHẦN TẬP ĐOÀN UNIS</t>
        </is>
      </c>
      <c r="E8100" s="10" t="inlineStr">
        <is>
          <t>Lương:8 Tr - 10 Tr VND</t>
        </is>
      </c>
      <c r="F8100" s="10" t="inlineStr">
        <is>
          <t>Đồng Nai</t>
        </is>
      </c>
      <c r="G8100" s="10" t="inlineStr">
        <is>
          <t>31-03-2026</t>
        </is>
      </c>
      <c r="H8100" s="10" t="inlineStr">
        <is>
          <t>31/03/2026</t>
        </is>
      </c>
      <c r="I8100" s="10" t="inlineStr">
        <is>
          <t>17/03/2026</t>
        </is>
      </c>
      <c r="J8100" s="10" t="inlineStr">
        <is>
          <t>Bán hàng / Kinh doanh, Kế toán / Kiểm toán</t>
        </is>
      </c>
      <c r="K8100" s="10" t="inlineStr">
        <is>
          <t>1 - 2 Năm</t>
        </is>
      </c>
      <c r="L8100" s="11">
        <f>HYPERLINK("https://careerviet.vn/vi/tim-viec-lam/ke-toan-tong-hop-dong-nai.35C6CCB1.html","Xem chi tiết")</f>
        <v/>
      </c>
      <c r="M8100" s="10" t="n"/>
    </row>
    <row r="8101">
      <c r="B8101" s="7" t="n">
        <v>8099</v>
      </c>
      <c r="C8101" t="inlineStr">
        <is>
          <t>Chuyên viên Phân tích Nghiệp vụ (Business Analyst)(Mới)</t>
        </is>
      </c>
      <c r="D8101" t="inlineStr">
        <is>
          <t>KDI EDUCATION</t>
        </is>
      </c>
      <c r="E8101" t="inlineStr">
        <is>
          <t>Lương:16 Tr - 18 Tr VND</t>
        </is>
      </c>
      <c r="F8101" t="inlineStr">
        <is>
          <t>Hồ Chí Minh</t>
        </is>
      </c>
      <c r="G8101" t="inlineStr">
        <is>
          <t>16-04-2026</t>
        </is>
      </c>
      <c r="H8101" t="inlineStr">
        <is>
          <t>16/04/2026</t>
        </is>
      </c>
      <c r="I8101" t="inlineStr">
        <is>
          <t>17/03/2026</t>
        </is>
      </c>
      <c r="J8101" t="inlineStr">
        <is>
          <t>Giáo dục / Đào tạo, CNTT - Phần mềm</t>
        </is>
      </c>
      <c r="K8101" t="inlineStr">
        <is>
          <t>1 - 2 Năm</t>
        </is>
      </c>
      <c r="L8101" s="8">
        <f>HYPERLINK("https://careerviet.vn/vi/tim-viec-lam/chuyen-vien-phan-tich-nghiep-vu-business-analyst.35C6CACE.html","Xem chi tiết")</f>
        <v/>
      </c>
    </row>
    <row r="8102">
      <c r="B8102" s="9" t="n">
        <v>8100</v>
      </c>
      <c r="C8102" s="10" t="inlineStr">
        <is>
          <t>Nhân Viên Bán Hàng Gói Cước Sản Phẩm Viettel Qua Điện Thoại Tân Bình Hồ Chí Minh(Mới)</t>
        </is>
      </c>
      <c r="D8102" s="10" t="inlineStr">
        <is>
          <t>CÔNG TY CỔ PHẦN TRUYỀN THÔNG KIM CƯƠNG</t>
        </is>
      </c>
      <c r="E8102" s="10" t="inlineStr">
        <is>
          <t>Lương:8 Tr - 12 Tr VND</t>
        </is>
      </c>
      <c r="F8102" s="10" t="inlineStr">
        <is>
          <t>Hồ Chí Minh</t>
        </is>
      </c>
      <c r="G8102" s="10" t="inlineStr">
        <is>
          <t>16-04-2026</t>
        </is>
      </c>
      <c r="H8102" s="10" t="inlineStr">
        <is>
          <t>16/04/2026</t>
        </is>
      </c>
      <c r="I8102" s="10" t="inlineStr">
        <is>
          <t>17/03/2026</t>
        </is>
      </c>
      <c r="J8102" s="10" t="inlineStr">
        <is>
          <t>Bán hàng / Kinh doanh, Tư vấn, Bưu chính viễn thông</t>
        </is>
      </c>
      <c r="K8102" s="10" t="inlineStr">
        <is>
          <t>N/A</t>
        </is>
      </c>
      <c r="L8102" s="11">
        <f>HYPERLINK("https://careerviet.vn/vi/tim-viec-lam/nhan-vien-ban-hang-goi-cuoc-san-pham-viettel-qua-dien-thoai-tan-binh-ho-chi-minh.35C6CA4E.html","Xem chi tiết")</f>
        <v/>
      </c>
      <c r="M8102" s="10" t="n"/>
    </row>
    <row r="8103">
      <c r="B8103" s="7" t="n">
        <v>8101</v>
      </c>
      <c r="C8103" t="inlineStr">
        <is>
          <t>Kỹ sư cơ điện (Giám sát MEP)(Mới)</t>
        </is>
      </c>
      <c r="D8103" t="inlineStr">
        <is>
          <t>CÔNG TY CỔ PHẨN ỨNG DỤNG VÀ CHUYỂN GIAO CÔNG NGHỆ XÂY DỰNG (CJSC)</t>
        </is>
      </c>
      <c r="E8103" t="inlineStr">
        <is>
          <t>Lương:Cạnh tranh</t>
        </is>
      </c>
      <c r="F8103" t="inlineStr">
        <is>
          <t>Hồ Chí Minh</t>
        </is>
      </c>
      <c r="G8103" t="inlineStr">
        <is>
          <t>16-04-2026</t>
        </is>
      </c>
      <c r="H8103" t="inlineStr">
        <is>
          <t>16/04/2026</t>
        </is>
      </c>
      <c r="I8103" t="inlineStr">
        <is>
          <t>17/03/2026</t>
        </is>
      </c>
      <c r="J8103" t="inlineStr">
        <is>
          <t>Xây dựng, Điện / Điện tử / Điện lạnh / Điện công nghiệp</t>
        </is>
      </c>
      <c r="K8103" t="inlineStr">
        <is>
          <t>3 - 5 Năm</t>
        </is>
      </c>
      <c r="L8103" s="8">
        <f>HYPERLINK("https://careerviet.vn/vi/tim-viec-lam/ky-su-co-dien-giam-sat-mep.35C6CCC3.html","Xem chi tiết")</f>
        <v/>
      </c>
    </row>
    <row r="8104">
      <c r="B8104" s="9" t="n">
        <v>8102</v>
      </c>
      <c r="C8104" s="10" t="inlineStr">
        <is>
          <t>Sales Admin(Mới)</t>
        </is>
      </c>
      <c r="D8104" s="10" t="inlineStr">
        <is>
          <t>CÔNG TY TNHH SẢN XUẤT THƯƠNG MẠI DỊCH VỤ VẠN ĐỒNG PHÁT</t>
        </is>
      </c>
      <c r="E8104" s="10" t="inlineStr">
        <is>
          <t>Lương:Cạnh tranh</t>
        </is>
      </c>
      <c r="F8104" s="10" t="inlineStr">
        <is>
          <t>Đồng Nai</t>
        </is>
      </c>
      <c r="G8104" s="10" t="inlineStr">
        <is>
          <t>15-04-2026</t>
        </is>
      </c>
      <c r="H8104" s="10" t="inlineStr">
        <is>
          <t>15/04/2026</t>
        </is>
      </c>
      <c r="I8104" s="10" t="inlineStr">
        <is>
          <t>17/03/2026</t>
        </is>
      </c>
      <c r="J8104" s="10" t="inlineStr">
        <is>
          <t>Hành chính / Thư ký, Bán hàng / Kinh doanh, Sản xuất / Vận hành sản xuất</t>
        </is>
      </c>
      <c r="K8104" s="10" t="inlineStr">
        <is>
          <t>N/A</t>
        </is>
      </c>
      <c r="L8104" s="11">
        <f>HYPERLINK("https://careerviet.vn/vi/tim-viec-lam/sales-admin.35C6CACC.html","Xem chi tiết")</f>
        <v/>
      </c>
      <c r="M8104" s="10" t="n"/>
    </row>
    <row r="8105">
      <c r="B8105" s="7" t="n">
        <v>8103</v>
      </c>
      <c r="C8105" t="inlineStr">
        <is>
          <t>Chuyên Viên Tuyển Dụng - Đào tạo (Tuyển Gấp)(Mới)</t>
        </is>
      </c>
      <c r="D8105" t="inlineStr">
        <is>
          <t>Công ty Cổ Phần Ánh Dương Building</t>
        </is>
      </c>
      <c r="E8105" t="inlineStr">
        <is>
          <t>Lương:13 Tr - 15 Tr VND</t>
        </is>
      </c>
      <c r="F8105" t="inlineStr">
        <is>
          <t>Hồ Chí Minh</t>
        </is>
      </c>
      <c r="G8105" t="inlineStr">
        <is>
          <t>16-04-2026</t>
        </is>
      </c>
      <c r="H8105" t="inlineStr">
        <is>
          <t>16/04/2026</t>
        </is>
      </c>
      <c r="I8105" t="inlineStr">
        <is>
          <t>17/03/2026</t>
        </is>
      </c>
      <c r="J8105" t="inlineStr">
        <is>
          <t>Nhân sự, Xây dựng</t>
        </is>
      </c>
      <c r="K8105" t="inlineStr">
        <is>
          <t>2 - 3 Năm</t>
        </is>
      </c>
      <c r="L8105" s="8">
        <f>HYPERLINK("https://careerviet.vn/vi/tim-viec-lam/chuyen-vien-tuyen-dung-dao-tao-tuyen-gap.35C6CAC7.html","Xem chi tiết")</f>
        <v/>
      </c>
    </row>
    <row r="8106">
      <c r="B8106" s="9" t="n">
        <v>8104</v>
      </c>
      <c r="C8106" s="10" t="inlineStr">
        <is>
          <t>[Quận 8] Admin kiêm CSKH(Mới)</t>
        </is>
      </c>
      <c r="D8106" s="10" t="inlineStr">
        <is>
          <t>Công Ty Cổ Phần Vacxin Việt Nam</t>
        </is>
      </c>
      <c r="E8106" s="10" t="inlineStr">
        <is>
          <t>Lương:Cạnh tranh</t>
        </is>
      </c>
      <c r="F8106" s="10" t="inlineStr">
        <is>
          <t>Hồ Chí Minh</t>
        </is>
      </c>
      <c r="G8106" s="10" t="inlineStr">
        <is>
          <t>30-05-2026</t>
        </is>
      </c>
      <c r="H8106" s="10" t="inlineStr">
        <is>
          <t>30/05/2026</t>
        </is>
      </c>
      <c r="I8106" s="10" t="inlineStr">
        <is>
          <t>17/03/2026</t>
        </is>
      </c>
      <c r="J8106" s="10" t="inlineStr">
        <is>
          <t>Dịch vụ khách hàng, Hành chính / Thư ký, Kế toán / Kiểm toán</t>
        </is>
      </c>
      <c r="K8106" s="10" t="inlineStr">
        <is>
          <t>1 - 2 Năm</t>
        </is>
      </c>
      <c r="L8106" s="11">
        <f>HYPERLINK("https://careerviet.vn/vi/tim-viec-lam/quan-8-admin-kiem-cskh.35C6CABE.html","Xem chi tiết")</f>
        <v/>
      </c>
      <c r="M8106" s="10" t="n"/>
    </row>
    <row r="8107">
      <c r="B8107" s="7" t="n">
        <v>8105</v>
      </c>
      <c r="C8107" t="inlineStr">
        <is>
          <t>Nhân viên tổng đài CSKH MB Bank tại Cát Linh, Đống Đa, Hà Nội .H1(Mới)</t>
        </is>
      </c>
      <c r="D8107" t="inlineStr">
        <is>
          <t>CÔNG TY CỔ PHẦN TRUYỀN THÔNG KIM CƯƠNG</t>
        </is>
      </c>
      <c r="E8107" t="inlineStr">
        <is>
          <t>Lương:8 Tr - 12 Tr VND</t>
        </is>
      </c>
      <c r="F8107" t="inlineStr">
        <is>
          <t>Hà Nội</t>
        </is>
      </c>
      <c r="G8107" t="inlineStr">
        <is>
          <t>30-04-2026</t>
        </is>
      </c>
      <c r="H8107" t="inlineStr">
        <is>
          <t>30/04/2026</t>
        </is>
      </c>
      <c r="I8107" t="inlineStr">
        <is>
          <t>17/03/2026</t>
        </is>
      </c>
      <c r="J8107" t="inlineStr">
        <is>
          <t>Tư vấn, Bưu chính viễn thông, Dịch vụ khách hàng</t>
        </is>
      </c>
      <c r="K8107" t="inlineStr">
        <is>
          <t>N/A</t>
        </is>
      </c>
      <c r="L8107" s="8">
        <f>HYPERLINK("https://careerviet.vn/vi/tim-viec-lam/nhan-vien-tong-dai-cskh-mb-bank-tai-cat-linh-dong-da-ha-noi-h1.35C6CACB.html","Xem chi tiết")</f>
        <v/>
      </c>
    </row>
    <row r="8108">
      <c r="B8108" s="9" t="n">
        <v>8106</v>
      </c>
      <c r="C8108" s="10" t="inlineStr">
        <is>
          <t>Chuyên viên Đào tạo(Mới)</t>
        </is>
      </c>
      <c r="D8108" s="10" t="inlineStr">
        <is>
          <t>KDI EDUCATION</t>
        </is>
      </c>
      <c r="E8108" s="10" t="inlineStr">
        <is>
          <t>Lương:14 Tr - 16 Tr VND</t>
        </is>
      </c>
      <c r="F8108" s="10" t="inlineStr">
        <is>
          <t>Hồ Chí Minh</t>
        </is>
      </c>
      <c r="G8108" s="10" t="inlineStr">
        <is>
          <t>16-04-2026</t>
        </is>
      </c>
      <c r="H8108" s="10" t="inlineStr">
        <is>
          <t>16/04/2026</t>
        </is>
      </c>
      <c r="I8108" s="10" t="inlineStr">
        <is>
          <t>17/03/2026</t>
        </is>
      </c>
      <c r="J8108" s="10" t="inlineStr">
        <is>
          <t>Giáo dục / Đào tạo</t>
        </is>
      </c>
      <c r="K8108" s="10" t="inlineStr">
        <is>
          <t>2 - 3 Năm</t>
        </is>
      </c>
      <c r="L8108" s="11">
        <f>HYPERLINK("https://careerviet.vn/vi/tim-viec-lam/chuyen-vien-dao-tao.35C6CAC8.html","Xem chi tiết")</f>
        <v/>
      </c>
      <c r="M8108" s="10" t="n"/>
    </row>
    <row r="8109">
      <c r="B8109" s="7" t="n">
        <v>8107</v>
      </c>
      <c r="C8109" t="inlineStr">
        <is>
          <t>[Cần Thơ] Thực tập sinh hỗ trợ giấy tờ (Bộ phận dịch vụ)(Mới)</t>
        </is>
      </c>
      <c r="D8109" t="inlineStr">
        <is>
          <t>Daikin Air Conditioning (Vietnam) Joint Stock Company</t>
        </is>
      </c>
      <c r="E8109" t="inlineStr">
        <is>
          <t>Lương:Cạnh tranh</t>
        </is>
      </c>
      <c r="F8109" t="inlineStr">
        <is>
          <t>Cần Thơ</t>
        </is>
      </c>
      <c r="G8109" t="inlineStr">
        <is>
          <t>29-04-2026</t>
        </is>
      </c>
      <c r="H8109" t="inlineStr">
        <is>
          <t>29/04/2026</t>
        </is>
      </c>
      <c r="I8109" t="inlineStr">
        <is>
          <t>17/03/2026</t>
        </is>
      </c>
      <c r="J8109" t="inlineStr">
        <is>
          <t>Bán lẻ / Bán sỉ, Bán hàng / Kinh doanh, Bảo trì / Sửa chữa</t>
        </is>
      </c>
      <c r="K8109" t="inlineStr">
        <is>
          <t>N/A</t>
        </is>
      </c>
      <c r="L8109" s="8">
        <f>HYPERLINK("https://careerviet.vn/vi/tim-viec-lam/can-tho-thuc-tap-sinh-ho-tro-giay-to-bo-phan-dich-vu.35C6CACA.html","Xem chi tiết")</f>
        <v/>
      </c>
    </row>
    <row r="8110">
      <c r="B8110" s="9" t="n">
        <v>8108</v>
      </c>
      <c r="C8110" s="10" t="inlineStr">
        <is>
          <t>Financial Planning and Analyst(Mới)</t>
        </is>
      </c>
      <c r="D8110" s="10" t="inlineStr">
        <is>
          <t>KDI EDUCATION</t>
        </is>
      </c>
      <c r="E8110" s="10" t="inlineStr">
        <is>
          <t>Lương:12 Tr - 16 Tr VND</t>
        </is>
      </c>
      <c r="F8110" s="10" t="inlineStr">
        <is>
          <t>Hồ Chí Minh</t>
        </is>
      </c>
      <c r="G8110" s="10" t="inlineStr">
        <is>
          <t>16-04-2026</t>
        </is>
      </c>
      <c r="H8110" s="10" t="inlineStr">
        <is>
          <t>16/04/2026</t>
        </is>
      </c>
      <c r="I8110" s="10" t="inlineStr">
        <is>
          <t>17/03/2026</t>
        </is>
      </c>
      <c r="J8110" s="10" t="inlineStr">
        <is>
          <t>Giáo dục / Đào tạo, Tài chính / Đầu tư</t>
        </is>
      </c>
      <c r="K8110" s="10" t="inlineStr">
        <is>
          <t>1 - 2 Năm</t>
        </is>
      </c>
      <c r="L8110" s="11">
        <f>HYPERLINK("https://careerviet.vn/vi/tim-viec-lam/financial-planning-and-analyst.35C6CAC5.html","Xem chi tiết")</f>
        <v/>
      </c>
      <c r="M8110" s="10" t="n"/>
    </row>
    <row r="8111">
      <c r="B8111" s="7" t="n">
        <v>8109</v>
      </c>
      <c r="C8111" t="inlineStr">
        <is>
          <t>Chuyên viên Phân tích dữ liệu (Data Analyst)(Mới)</t>
        </is>
      </c>
      <c r="D8111" t="inlineStr">
        <is>
          <t>KDI EDUCATION</t>
        </is>
      </c>
      <c r="E8111" t="inlineStr">
        <is>
          <t>Lương:20 Tr - 25 Tr VND</t>
        </is>
      </c>
      <c r="F8111" t="inlineStr">
        <is>
          <t>Hồ Chí Minh</t>
        </is>
      </c>
      <c r="G8111" t="inlineStr">
        <is>
          <t>31-03-2026</t>
        </is>
      </c>
      <c r="H8111" t="inlineStr">
        <is>
          <t>31/03/2026</t>
        </is>
      </c>
      <c r="I8111" t="inlineStr">
        <is>
          <t>17/03/2026</t>
        </is>
      </c>
      <c r="J8111" t="inlineStr">
        <is>
          <t>Giáo dục / Đào tạo, CNTT - Phần mềm</t>
        </is>
      </c>
      <c r="K8111" t="inlineStr">
        <is>
          <t>1 - 2 Năm</t>
        </is>
      </c>
      <c r="L8111" s="8">
        <f>HYPERLINK("https://careerviet.vn/vi/tim-viec-lam/chuyen-vien-phan-tich-du-lieu-data-analyst.35C6CABD.html","Xem chi tiết")</f>
        <v/>
      </c>
    </row>
    <row r="8112">
      <c r="B8112" s="9" t="n">
        <v>8110</v>
      </c>
      <c r="C8112" s="10" t="inlineStr">
        <is>
          <t>NHÂN VIÊN KINH DOANH TIẾNG TRUNG(Mới)</t>
        </is>
      </c>
      <c r="D8112" s="10" t="inlineStr">
        <is>
          <t>Công ty Cổ phần Mạc Tích (MARTECH)</t>
        </is>
      </c>
      <c r="E8112" s="10" t="inlineStr">
        <is>
          <t>Lương:Cạnh tranh</t>
        </is>
      </c>
      <c r="F8112" s="10" t="inlineStr">
        <is>
          <t>Hồ Chí Minh</t>
        </is>
      </c>
      <c r="G8112" s="10" t="inlineStr">
        <is>
          <t>30-04-2026</t>
        </is>
      </c>
      <c r="H8112" s="10" t="inlineStr">
        <is>
          <t>30/04/2026</t>
        </is>
      </c>
      <c r="I8112" s="10" t="inlineStr">
        <is>
          <t>17/03/2026</t>
        </is>
      </c>
      <c r="J8112" s="10" t="inlineStr">
        <is>
          <t>Bán hàng / Kinh doanh, Cơ khí / Ô tô / Tự động hóa, Điện / Điện tử / Điện lạnh / Điện công nghiệp</t>
        </is>
      </c>
      <c r="K8112" s="10" t="inlineStr">
        <is>
          <t>N/A</t>
        </is>
      </c>
      <c r="L8112" s="11">
        <f>HYPERLINK("https://careerviet.vn/vi/tim-viec-lam/nhan-vien-kinh-doanh-tieng-trung.35C6CAC2.html","Xem chi tiết")</f>
        <v/>
      </c>
      <c r="M8112" s="10" t="n"/>
    </row>
    <row r="8113">
      <c r="B8113" s="7" t="n">
        <v>8111</v>
      </c>
      <c r="C8113" t="inlineStr">
        <is>
          <t>Nhân Viên QC(Mới)</t>
        </is>
      </c>
      <c r="D8113" t="inlineStr">
        <is>
          <t>Công ty TNHH Minh Long I</t>
        </is>
      </c>
      <c r="E8113" t="inlineStr">
        <is>
          <t>Lương:9 Tr - 11 Tr VND</t>
        </is>
      </c>
      <c r="F8113" t="inlineStr">
        <is>
          <t>Bình Dương</t>
        </is>
      </c>
      <c r="G8113" t="inlineStr">
        <is>
          <t>15-04-2026</t>
        </is>
      </c>
      <c r="H8113" t="inlineStr">
        <is>
          <t>15/04/2026</t>
        </is>
      </c>
      <c r="I8113" t="inlineStr">
        <is>
          <t>17/03/2026</t>
        </is>
      </c>
      <c r="J8113" t="inlineStr">
        <is>
          <t>Quản lý chất lượng (QA/QC), Điện / Điện tử / Điện lạnh / Điện công nghiệp, Cơ khí / Ô tô / Tự động hóa</t>
        </is>
      </c>
      <c r="K8113" t="inlineStr">
        <is>
          <t>1 - 2 Năm</t>
        </is>
      </c>
      <c r="L8113" s="8">
        <f>HYPERLINK("https://careerviet.vn/vi/tim-viec-lam/nhan-vien-qc.35C6CAB7.html","Xem chi tiết")</f>
        <v/>
      </c>
    </row>
    <row r="8114">
      <c r="B8114" s="9" t="n">
        <v>8112</v>
      </c>
      <c r="C8114" s="10" t="inlineStr">
        <is>
          <t>Tổng Đài Videocall Viettel Hòa Lạc Hà Nội(Mới)</t>
        </is>
      </c>
      <c r="D8114" s="10" t="inlineStr">
        <is>
          <t>CÔNG TY CỔ PHẦN TRUYỀN THÔNG KIM CƯƠNG</t>
        </is>
      </c>
      <c r="E8114" s="10" t="inlineStr">
        <is>
          <t>Lương:8 Tr - 12 Tr VND</t>
        </is>
      </c>
      <c r="F8114" s="10" t="inlineStr">
        <is>
          <t>Hà Nội</t>
        </is>
      </c>
      <c r="G8114" s="10" t="inlineStr">
        <is>
          <t>16-03-2026</t>
        </is>
      </c>
      <c r="H8114" s="10" t="inlineStr">
        <is>
          <t>16/03/2026</t>
        </is>
      </c>
      <c r="I8114" s="10" t="inlineStr">
        <is>
          <t>17/03/2026</t>
        </is>
      </c>
      <c r="J8114" s="10" t="inlineStr">
        <is>
          <t>Dịch vụ khách hàng, Tư vấn</t>
        </is>
      </c>
      <c r="K8114" s="10" t="inlineStr">
        <is>
          <t>N/A</t>
        </is>
      </c>
      <c r="L8114" s="11">
        <f>HYPERLINK("https://careerviet.vn/vi/tim-viec-lam/tong-dai-videocall-viettel-hoa-lac-ha-noi.35C6CABA.html","Xem chi tiết")</f>
        <v/>
      </c>
      <c r="M8114" s="10" t="n"/>
    </row>
    <row r="8115">
      <c r="B8115" s="7" t="n">
        <v>8113</v>
      </c>
      <c r="C8115" t="inlineStr">
        <is>
          <t>Nhân viên Tổng đài Viettel Post tại Hoài Đức H1(Mới)</t>
        </is>
      </c>
      <c r="D8115" t="inlineStr">
        <is>
          <t>CÔNG TY CỔ PHẦN TRUYỀN THÔNG KIM CƯƠNG</t>
        </is>
      </c>
      <c r="E8115" t="inlineStr">
        <is>
          <t>Lương:7 Tr - 10 Tr VND</t>
        </is>
      </c>
      <c r="F8115" t="inlineStr">
        <is>
          <t>Hà Nội</t>
        </is>
      </c>
      <c r="G8115" t="inlineStr">
        <is>
          <t>30-04-2026</t>
        </is>
      </c>
      <c r="H8115" t="inlineStr">
        <is>
          <t>30/04/2026</t>
        </is>
      </c>
      <c r="I8115" t="inlineStr">
        <is>
          <t>17/03/2026</t>
        </is>
      </c>
      <c r="J8115" t="inlineStr">
        <is>
          <t>Tư vấn, Thương mại điện tử, Dược phẩm/ Hóa Mỹ Phẩm</t>
        </is>
      </c>
      <c r="K8115" t="inlineStr">
        <is>
          <t>N/A</t>
        </is>
      </c>
      <c r="L8115" s="8">
        <f>HYPERLINK("https://careerviet.vn/vi/tim-viec-lam/nhan-vien-tong-dai-viettel-post-tai-hoai-duc-h1.35C6CAC3.html","Xem chi tiết")</f>
        <v/>
      </c>
    </row>
    <row r="8116">
      <c r="B8116" s="9" t="n">
        <v>8114</v>
      </c>
      <c r="C8116" s="10" t="inlineStr">
        <is>
          <t>Nhân viên mua hàng Tiếng Trung(Mới)</t>
        </is>
      </c>
      <c r="D8116" s="10" t="inlineStr">
        <is>
          <t>CÔNG TY TNHH TRỐNG ĐỒNG VIỆT NAM</t>
        </is>
      </c>
      <c r="E8116" s="10" t="inlineStr">
        <is>
          <t>Lương:13 Tr - 15 Tr VND</t>
        </is>
      </c>
      <c r="F8116" s="10" t="inlineStr">
        <is>
          <t>Hà Nội</t>
        </is>
      </c>
      <c r="G8116" s="10" t="inlineStr">
        <is>
          <t>30-04-2026</t>
        </is>
      </c>
      <c r="H8116" s="10" t="inlineStr">
        <is>
          <t>30/04/2026</t>
        </is>
      </c>
      <c r="I8116" s="10" t="inlineStr">
        <is>
          <t>17/03/2026</t>
        </is>
      </c>
      <c r="J8116" s="10" t="inlineStr">
        <is>
          <t>Thu mua / Vật tư, Vận chuyển / Giao nhận / Kho vận</t>
        </is>
      </c>
      <c r="K8116" s="10" t="inlineStr">
        <is>
          <t>1 - 2 Năm</t>
        </is>
      </c>
      <c r="L8116" s="11">
        <f>HYPERLINK("https://careerviet.vn/vi/tim-viec-lam/nhan-vien-mua-hang-tieng-trung.35C6CAB6.html","Xem chi tiết")</f>
        <v/>
      </c>
      <c r="M8116" s="10" t="n"/>
    </row>
    <row r="8117">
      <c r="B8117" s="7" t="n">
        <v>8115</v>
      </c>
      <c r="C8117" t="inlineStr">
        <is>
          <t>PHÓ PHÒNG QC(Mới)</t>
        </is>
      </c>
      <c r="D8117" t="inlineStr">
        <is>
          <t>Công ty Cổ phần Mạc Tích (MARTECH)</t>
        </is>
      </c>
      <c r="E8117" t="inlineStr">
        <is>
          <t>Lương:Cạnh tranh</t>
        </is>
      </c>
      <c r="F8117" t="inlineStr">
        <is>
          <t>Đồng Nai</t>
        </is>
      </c>
      <c r="G8117" t="inlineStr">
        <is>
          <t>30-04-2026</t>
        </is>
      </c>
      <c r="H8117" t="inlineStr">
        <is>
          <t>30/04/2026</t>
        </is>
      </c>
      <c r="I8117" t="inlineStr">
        <is>
          <t>17/03/2026</t>
        </is>
      </c>
      <c r="J8117" t="inlineStr">
        <is>
          <t>Quản lý chất lượng (QA/QC), Cơ khí / Ô tô / Tự động hóa, Quản lý điều hành</t>
        </is>
      </c>
      <c r="K8117" t="inlineStr">
        <is>
          <t>2 - 5 Năm</t>
        </is>
      </c>
      <c r="L8117" s="8">
        <f>HYPERLINK("https://careerviet.vn/vi/tim-viec-lam/pho-phong-qc.35C6CABC.html","Xem chi tiết")</f>
        <v/>
      </c>
    </row>
    <row r="8118">
      <c r="B8118" s="9" t="n">
        <v>8116</v>
      </c>
      <c r="C8118" s="10" t="inlineStr">
        <is>
          <t>Sales Engineer (HCM)(Mới)</t>
        </is>
      </c>
      <c r="D8118" s="10" t="inlineStr">
        <is>
          <t>Công ty TNHH 3D Smart Solutions</t>
        </is>
      </c>
      <c r="E8118" s="10" t="inlineStr">
        <is>
          <t>Lương:12 Tr - 30 Tr VND</t>
        </is>
      </c>
      <c r="F8118" s="10" t="inlineStr">
        <is>
          <t>Hồ Chí Minh</t>
        </is>
      </c>
      <c r="G8118" s="10" t="inlineStr">
        <is>
          <t>31-03-2026</t>
        </is>
      </c>
      <c r="H8118" s="10" t="inlineStr">
        <is>
          <t>31/03/2026</t>
        </is>
      </c>
      <c r="I8118" s="10" t="inlineStr">
        <is>
          <t>17/03/2026</t>
        </is>
      </c>
      <c r="J8118" s="10" t="inlineStr">
        <is>
          <t>Bán hàng / Kinh doanh, Bán Hàng Kỹ Thuật, Cơ khí / Ô tô / Tự động hóa</t>
        </is>
      </c>
      <c r="K8118" s="10" t="inlineStr">
        <is>
          <t>1 - 7 Năm</t>
        </is>
      </c>
      <c r="L8118" s="11">
        <f>HYPERLINK("https://careerviet.vn/vi/tim-viec-lam/sales-engineer-hcm.35C6CA9E.html","Xem chi tiết")</f>
        <v/>
      </c>
      <c r="M8118" s="10" t="n"/>
    </row>
    <row r="8119">
      <c r="B8119" s="7" t="n">
        <v>8117</v>
      </c>
      <c r="C8119" t="inlineStr">
        <is>
          <t>Nhân viên kinh doanh (B2B)(Mới)</t>
        </is>
      </c>
      <c r="D8119" t="inlineStr">
        <is>
          <t>Công ty TNHH 3D Smart Solutions</t>
        </is>
      </c>
      <c r="E8119" t="inlineStr">
        <is>
          <t>Lương:12 Tr - 30 Tr VND</t>
        </is>
      </c>
      <c r="F8119" t="inlineStr">
        <is>
          <t>Hồ Chí Minh</t>
        </is>
      </c>
      <c r="G8119" t="inlineStr">
        <is>
          <t>31-03-2026</t>
        </is>
      </c>
      <c r="H8119" t="inlineStr">
        <is>
          <t>31/03/2026</t>
        </is>
      </c>
      <c r="I8119" t="inlineStr">
        <is>
          <t>17/03/2026</t>
        </is>
      </c>
      <c r="J8119" t="inlineStr">
        <is>
          <t>Bán hàng / Kinh doanh, Bán Hàng Kỹ Thuật, Cơ khí / Ô tô / Tự động hóa</t>
        </is>
      </c>
      <c r="K8119" t="inlineStr">
        <is>
          <t>1 - 7 Năm</t>
        </is>
      </c>
      <c r="L8119" s="8">
        <f>HYPERLINK("https://careerviet.vn/vi/tim-viec-lam/nhan-vien-kinh-doanh-b2b.35C6CA9F.html","Xem chi tiết")</f>
        <v/>
      </c>
    </row>
    <row r="8120">
      <c r="B8120" s="9" t="n">
        <v>8118</v>
      </c>
      <c r="C8120" s="10" t="inlineStr">
        <is>
          <t>Nhân viên kinh doanh (Đà Nẵng)(Mới)</t>
        </is>
      </c>
      <c r="D8120" s="10" t="inlineStr">
        <is>
          <t>Công ty TNHH 3D Smart Solutions</t>
        </is>
      </c>
      <c r="E8120" s="10" t="inlineStr">
        <is>
          <t>Lương:14 Tr - 30 Tr VND</t>
        </is>
      </c>
      <c r="F8120" s="10" t="inlineStr">
        <is>
          <t>Đà Nẵng</t>
        </is>
      </c>
      <c r="G8120" s="10" t="inlineStr">
        <is>
          <t>31-03-2026</t>
        </is>
      </c>
      <c r="H8120" s="10" t="inlineStr">
        <is>
          <t>31/03/2026</t>
        </is>
      </c>
      <c r="I8120" s="10" t="inlineStr">
        <is>
          <t>17/03/2026</t>
        </is>
      </c>
      <c r="J8120" s="10" t="inlineStr">
        <is>
          <t>Bán hàng / Kinh doanh, Bán Hàng Kỹ Thuật, Cơ khí / Ô tô / Tự động hóa</t>
        </is>
      </c>
      <c r="K8120" s="10" t="inlineStr">
        <is>
          <t>1 - 7 Năm</t>
        </is>
      </c>
      <c r="L8120" s="11">
        <f>HYPERLINK("https://careerviet.vn/vi/tim-viec-lam/nhan-vien-kinh-doanh-da-nang.35C6CAA0.html","Xem chi tiết")</f>
        <v/>
      </c>
      <c r="M8120" s="10" t="n"/>
    </row>
    <row r="8121">
      <c r="B8121" s="7" t="n">
        <v>8119</v>
      </c>
      <c r="C8121" t="inlineStr">
        <is>
          <t>Chuyên viên Kinh doanh B2B (Hà Nội)(Mới)</t>
        </is>
      </c>
      <c r="D8121" t="inlineStr">
        <is>
          <t>KDI EDUCATION</t>
        </is>
      </c>
      <c r="E8121" t="inlineStr">
        <is>
          <t>Lương:10 Tr - 20 Tr VND</t>
        </is>
      </c>
      <c r="F8121" t="inlineStr">
        <is>
          <t>Hà Nội</t>
        </is>
      </c>
      <c r="G8121" t="inlineStr">
        <is>
          <t>30-05-2026</t>
        </is>
      </c>
      <c r="H8121" t="inlineStr">
        <is>
          <t>30/05/2026</t>
        </is>
      </c>
      <c r="I8121" t="inlineStr">
        <is>
          <t>17/03/2026</t>
        </is>
      </c>
      <c r="J8121" t="inlineStr">
        <is>
          <t>Tiếp thị / Marketing, Bán hàng / Kinh doanh, Giáo dục / Đào tạo</t>
        </is>
      </c>
      <c r="K8121" t="inlineStr">
        <is>
          <t>N/A</t>
        </is>
      </c>
      <c r="L8121" s="8">
        <f>HYPERLINK("https://careerviet.vn/vi/tim-viec-lam/chuyen-vien-kinh-doanh-b2b-ha-noi.35C6CAAE.html","Xem chi tiết")</f>
        <v/>
      </c>
    </row>
    <row r="8122">
      <c r="B8122" s="9" t="n">
        <v>8120</v>
      </c>
      <c r="C8122" s="10" t="inlineStr">
        <is>
          <t>Chuyên viên L&amp;D(Mới)</t>
        </is>
      </c>
      <c r="D8122" s="10" t="inlineStr">
        <is>
          <t>KDI EDUCATION</t>
        </is>
      </c>
      <c r="E8122" s="10" t="inlineStr">
        <is>
          <t>Lương:16 Tr - 18 Tr VND</t>
        </is>
      </c>
      <c r="F8122" s="10" t="inlineStr">
        <is>
          <t>Hồ Chí Minh</t>
        </is>
      </c>
      <c r="G8122" s="10" t="inlineStr">
        <is>
          <t>16-04-2026</t>
        </is>
      </c>
      <c r="H8122" s="10" t="inlineStr">
        <is>
          <t>16/04/2026</t>
        </is>
      </c>
      <c r="I8122" s="10" t="inlineStr">
        <is>
          <t>17/03/2026</t>
        </is>
      </c>
      <c r="J8122" s="10" t="inlineStr">
        <is>
          <t>Giáo dục / Đào tạo</t>
        </is>
      </c>
      <c r="K8122" s="10" t="inlineStr">
        <is>
          <t>2 - 3 Năm</t>
        </is>
      </c>
      <c r="L8122" s="11">
        <f>HYPERLINK("https://careerviet.vn/vi/tim-viec-lam/chuyen-vien-l-d.35C6CAD0.html","Xem chi tiết")</f>
        <v/>
      </c>
      <c r="M8122" s="10" t="n"/>
    </row>
    <row r="8123">
      <c r="B8123" s="7" t="n">
        <v>8121</v>
      </c>
      <c r="C8123" t="inlineStr">
        <is>
          <t>Kỹ sư ứng dụng (Application Engineer)(Mới)</t>
        </is>
      </c>
      <c r="D8123" t="inlineStr">
        <is>
          <t>Công ty TNHH 3D Smart Solutions</t>
        </is>
      </c>
      <c r="E8123" t="inlineStr">
        <is>
          <t>Lương:Cạnh tranh</t>
        </is>
      </c>
      <c r="F8123" t="inlineStr">
        <is>
          <t>Hồ Chí Minh</t>
        </is>
      </c>
      <c r="G8123" t="inlineStr">
        <is>
          <t>15-04-2026</t>
        </is>
      </c>
      <c r="H8123" t="inlineStr">
        <is>
          <t>15/04/2026</t>
        </is>
      </c>
      <c r="I8123" t="inlineStr">
        <is>
          <t>17/03/2026</t>
        </is>
      </c>
      <c r="J8123" t="inlineStr">
        <is>
          <t>Cơ khí / Ô tô / Tự động hóa, Mỹ thuật / Nghệ thuật / Thiết kế, Điện / Điện tử / Điện lạnh / Điện công nghiệp</t>
        </is>
      </c>
      <c r="K8123" t="inlineStr">
        <is>
          <t>1 - 5 Năm</t>
        </is>
      </c>
      <c r="L8123" s="8">
        <f>HYPERLINK("https://careerviet.vn/vi/tim-viec-lam/ky-su-ung-dung-application-engineer.35C6CA9D.html","Xem chi tiết")</f>
        <v/>
      </c>
    </row>
    <row r="8124">
      <c r="B8124" s="9" t="n">
        <v>8122</v>
      </c>
      <c r="C8124" s="10" t="inlineStr">
        <is>
          <t>Trưởng nhóm Kế toán quản trị &amp; kế hoạch(Mới)</t>
        </is>
      </c>
      <c r="D8124" s="10" t="inlineStr">
        <is>
          <t>KDI EDUCATION</t>
        </is>
      </c>
      <c r="E8124" s="10" t="inlineStr">
        <is>
          <t>Lương:Cạnh tranh</t>
        </is>
      </c>
      <c r="F8124" s="10" t="inlineStr">
        <is>
          <t>Hồ Chí Minh</t>
        </is>
      </c>
      <c r="G8124" s="10" t="inlineStr">
        <is>
          <t>16-04-2026</t>
        </is>
      </c>
      <c r="H8124" s="10" t="inlineStr">
        <is>
          <t>16/04/2026</t>
        </is>
      </c>
      <c r="I8124" s="10" t="inlineStr">
        <is>
          <t>17/03/2026</t>
        </is>
      </c>
      <c r="J8124" s="10" t="inlineStr">
        <is>
          <t>Giáo dục / Đào tạo, Tài chính / Đầu tư</t>
        </is>
      </c>
      <c r="K8124" s="10" t="inlineStr">
        <is>
          <t>2 - 3 Năm</t>
        </is>
      </c>
      <c r="L8124" s="11">
        <f>HYPERLINK("https://careerviet.vn/vi/tim-viec-lam/truong-nhom-ke-toan-quan-tri-ke-hoach.35C6CAAD.html","Xem chi tiết")</f>
        <v/>
      </c>
      <c r="M8124" s="10" t="n"/>
    </row>
    <row r="8125">
      <c r="B8125" s="7" t="n">
        <v>8123</v>
      </c>
      <c r="C8125" t="inlineStr">
        <is>
          <t>Sales Engineer (Đà Nẵng)(Mới)</t>
        </is>
      </c>
      <c r="D8125" t="inlineStr">
        <is>
          <t>Công ty TNHH 3D Smart Solutions</t>
        </is>
      </c>
      <c r="E8125" t="inlineStr">
        <is>
          <t>Lương:14 Tr - 30 Tr VND</t>
        </is>
      </c>
      <c r="F8125" t="inlineStr">
        <is>
          <t>Đà Nẵng</t>
        </is>
      </c>
      <c r="G8125" t="inlineStr">
        <is>
          <t>31-03-2026</t>
        </is>
      </c>
      <c r="H8125" t="inlineStr">
        <is>
          <t>31/03/2026</t>
        </is>
      </c>
      <c r="I8125" t="inlineStr">
        <is>
          <t>17/03/2026</t>
        </is>
      </c>
      <c r="J8125" t="inlineStr">
        <is>
          <t>Bán hàng / Kinh doanh, Bán Hàng Kỹ Thuật, Cơ khí / Ô tô / Tự động hóa</t>
        </is>
      </c>
      <c r="K8125" t="inlineStr">
        <is>
          <t>1 - 7 Năm</t>
        </is>
      </c>
      <c r="L8125" s="8">
        <f>HYPERLINK("https://careerviet.vn/vi/tim-viec-lam/sales-engineer-da-nang.35C6CAA1.html","Xem chi tiết")</f>
        <v/>
      </c>
    </row>
    <row r="8126">
      <c r="B8126" s="9" t="n">
        <v>8124</v>
      </c>
      <c r="C8126" s="10" t="inlineStr">
        <is>
          <t>Chuyên viên Kế toán(Mới)</t>
        </is>
      </c>
      <c r="D8126" s="10" t="inlineStr">
        <is>
          <t>KDI EDUCATION</t>
        </is>
      </c>
      <c r="E8126" s="10" t="inlineStr">
        <is>
          <t>Lương:13 Tr - 15 Tr VND</t>
        </is>
      </c>
      <c r="F8126" s="10" t="inlineStr">
        <is>
          <t>Hồ Chí Minh</t>
        </is>
      </c>
      <c r="G8126" s="10" t="inlineStr">
        <is>
          <t>16-04-2026</t>
        </is>
      </c>
      <c r="H8126" s="10" t="inlineStr">
        <is>
          <t>16/04/2026</t>
        </is>
      </c>
      <c r="I8126" s="10" t="inlineStr">
        <is>
          <t>17/03/2026</t>
        </is>
      </c>
      <c r="J8126" s="10" t="inlineStr">
        <is>
          <t>Giáo dục / Đào tạo, Kế toán / Kiểm toán</t>
        </is>
      </c>
      <c r="K8126" s="10" t="inlineStr">
        <is>
          <t>2 - 3 Năm</t>
        </is>
      </c>
      <c r="L8126" s="11">
        <f>HYPERLINK("https://careerviet.vn/vi/tim-viec-lam/chuyen-vien-ke-toan.35C6CAAB.html","Xem chi tiết")</f>
        <v/>
      </c>
      <c r="M8126" s="10" t="n"/>
    </row>
    <row r="8127">
      <c r="B8127" s="7" t="n">
        <v>8125</v>
      </c>
      <c r="C8127" t="inlineStr">
        <is>
          <t>Nhân viên hành chính tổng hợp (Admin)(Mới)</t>
        </is>
      </c>
      <c r="D8127" t="inlineStr">
        <is>
          <t>Công ty Cổ Phần Giáo Dục German Link</t>
        </is>
      </c>
      <c r="E8127" t="inlineStr">
        <is>
          <t>Lương:9 Tr - 11 Tr VND</t>
        </is>
      </c>
      <c r="F8127" t="inlineStr">
        <is>
          <t>Hà Nội</t>
        </is>
      </c>
      <c r="G8127" t="inlineStr">
        <is>
          <t>16-04-2026</t>
        </is>
      </c>
      <c r="H8127" t="inlineStr">
        <is>
          <t>16/04/2026</t>
        </is>
      </c>
      <c r="I8127" t="inlineStr">
        <is>
          <t>17/03/2026</t>
        </is>
      </c>
      <c r="J8127" t="inlineStr">
        <is>
          <t>Hành chính / Thư ký, Nhân sự, Giáo dục / Đào tạo</t>
        </is>
      </c>
      <c r="K8127" t="inlineStr">
        <is>
          <t>Lên đến 2 Năm</t>
        </is>
      </c>
      <c r="L8127" s="8">
        <f>HYPERLINK("https://careerviet.vn/vi/tim-viec-lam/nhan-vien-hanh-chinh-tong-hop-admin.35C6CAA8.html","Xem chi tiết")</f>
        <v/>
      </c>
    </row>
    <row r="8128">
      <c r="B8128" s="9" t="n">
        <v>8126</v>
      </c>
      <c r="C8128" s="10" t="inlineStr">
        <is>
          <t>Manufacturing Engineer Manager (working at Song Than 3)(Mới)</t>
        </is>
      </c>
      <c r="D8128" s="10" t="inlineStr">
        <is>
          <t>Công Ty TNHH IGB Automotive Việt Nam</t>
        </is>
      </c>
      <c r="E8128" s="10" t="inlineStr">
        <is>
          <t>Lương:Cạnh tranh</t>
        </is>
      </c>
      <c r="F8128" s="10" t="inlineStr">
        <is>
          <t>Bình Dương</t>
        </is>
      </c>
      <c r="G8128" s="10" t="inlineStr">
        <is>
          <t>16-04-2026</t>
        </is>
      </c>
      <c r="H8128" s="10" t="inlineStr">
        <is>
          <t>16/04/2026</t>
        </is>
      </c>
      <c r="I8128" s="10" t="inlineStr">
        <is>
          <t>17/03/2026</t>
        </is>
      </c>
      <c r="J8128" s="10" t="inlineStr">
        <is>
          <t>Cơ khí / Ô tô / Tự động hóa, Điện / Điện tử / Điện lạnh / Điện công nghiệp</t>
        </is>
      </c>
      <c r="K8128" s="10" t="inlineStr">
        <is>
          <t>5 - 8 Năm</t>
        </is>
      </c>
      <c r="L8128" s="11">
        <f>HYPERLINK("https://careerviet.vn/vi/tim-viec-lam/manufacturing-engineer-manager-working-at-song-than-3.35C6CA6E.html","Xem chi tiết")</f>
        <v/>
      </c>
      <c r="M8128" s="10" t="n"/>
    </row>
    <row r="8129">
      <c r="B8129" s="7" t="n">
        <v>8127</v>
      </c>
      <c r="C8129" t="inlineStr">
        <is>
          <t>Nhân Viên Tuyển Dụng - Tân Bình(Mới)</t>
        </is>
      </c>
      <c r="D8129" t="inlineStr">
        <is>
          <t>Công ty CP Toshiko Việt Nam</t>
        </is>
      </c>
      <c r="E8129" t="inlineStr">
        <is>
          <t>Lương:8 Tr - 11 Tr VND</t>
        </is>
      </c>
      <c r="F8129" t="inlineStr">
        <is>
          <t>Hồ Chí Minh</t>
        </is>
      </c>
      <c r="G8129" t="inlineStr">
        <is>
          <t>16-04-2026</t>
        </is>
      </c>
      <c r="H8129" t="inlineStr">
        <is>
          <t>16/04/2026</t>
        </is>
      </c>
      <c r="I8129" t="inlineStr">
        <is>
          <t>17/03/2026</t>
        </is>
      </c>
      <c r="J8129" t="inlineStr">
        <is>
          <t>Nhân sự</t>
        </is>
      </c>
      <c r="K8129" t="inlineStr">
        <is>
          <t>1 - 2 Năm</t>
        </is>
      </c>
      <c r="L8129" s="8">
        <f>HYPERLINK("https://careerviet.vn/vi/tim-viec-lam/nhan-vien-tuyen-dung-tan-binh.35C6CA93.html","Xem chi tiết")</f>
        <v/>
      </c>
    </row>
    <row r="8130">
      <c r="B8130" s="9" t="n">
        <v>8128</v>
      </c>
      <c r="C8130" s="10" t="inlineStr">
        <is>
          <t>NHÂN VIÊN KỸ THUẬT – BÓC TÁCH BẢN VẼ GỖ NỘI THẤT(Mới)</t>
        </is>
      </c>
      <c r="D8130" s="10" t="inlineStr">
        <is>
          <t>Công Ty Cổ Phần Gỗ An Cường</t>
        </is>
      </c>
      <c r="E8130" s="10" t="inlineStr">
        <is>
          <t>Lương:12 Tr - 22 Tr VND</t>
        </is>
      </c>
      <c r="F8130" s="10" t="inlineStr">
        <is>
          <t>Bình Dương</t>
        </is>
      </c>
      <c r="G8130" s="10" t="inlineStr">
        <is>
          <t>16-04-2026</t>
        </is>
      </c>
      <c r="H8130" s="10" t="inlineStr">
        <is>
          <t>16/04/2026</t>
        </is>
      </c>
      <c r="I8130" s="10" t="inlineStr">
        <is>
          <t>17/03/2026</t>
        </is>
      </c>
      <c r="J8130" s="10" t="inlineStr">
        <is>
          <t>Sản xuất / Vận hành sản xuất, Kiến trúc, Nội ngoại thất</t>
        </is>
      </c>
      <c r="K8130" s="10" t="inlineStr">
        <is>
          <t>1 - 2 Năm</t>
        </is>
      </c>
      <c r="L8130" s="11">
        <f>HYPERLINK("https://careerviet.vn/vi/tim-viec-lam/nhan-vien-ky-thuat-boc-tach-ban-ve-go-noi-that.35C6CAA4.html","Xem chi tiết")</f>
        <v/>
      </c>
      <c r="M8130" s="10" t="n"/>
    </row>
    <row r="8131">
      <c r="B8131" s="7" t="n">
        <v>8129</v>
      </c>
      <c r="C8131" t="inlineStr">
        <is>
          <t>Nhân Viên QC (Biên Hòa)(Mới)</t>
        </is>
      </c>
      <c r="D8131" t="inlineStr">
        <is>
          <t>AkzoNobel Vietnam</t>
        </is>
      </c>
      <c r="E8131" t="inlineStr">
        <is>
          <t>Lương:Cạnh tranh</t>
        </is>
      </c>
      <c r="F8131" t="inlineStr">
        <is>
          <t>Đồng Nai</t>
        </is>
      </c>
      <c r="G8131" t="inlineStr">
        <is>
          <t>16-04-2026</t>
        </is>
      </c>
      <c r="H8131" t="inlineStr">
        <is>
          <t>16/04/2026</t>
        </is>
      </c>
      <c r="I8131" t="inlineStr">
        <is>
          <t>17/03/2026</t>
        </is>
      </c>
      <c r="J8131" t="inlineStr">
        <is>
          <t>Hóa học, Đồ gỗ, Quản lý chất lượng (QA/QC)</t>
        </is>
      </c>
      <c r="K8131" t="inlineStr">
        <is>
          <t>1 - 2 Năm</t>
        </is>
      </c>
      <c r="L8131" s="8">
        <f>HYPERLINK("https://careerviet.vn/vi/tim-viec-lam/nhan-vien-qc-bien-hoa.35C6CA97.html","Xem chi tiết")</f>
        <v/>
      </c>
    </row>
    <row r="8132">
      <c r="B8132" s="9" t="n">
        <v>8130</v>
      </c>
      <c r="C8132" s="10" t="inlineStr">
        <is>
          <t>Nhân sự tổng đài 247 - MB bank tại Đống Đa H1(Mới)</t>
        </is>
      </c>
      <c r="D8132" s="10" t="inlineStr">
        <is>
          <t>CÔNG TY CỔ PHẦN TRUYỀN THÔNG KIM CƯƠNG</t>
        </is>
      </c>
      <c r="E8132" s="10" t="inlineStr">
        <is>
          <t>Lương:8 Tr - 12 Tr VND</t>
        </is>
      </c>
      <c r="F8132" s="10" t="inlineStr">
        <is>
          <t>Hà Nội</t>
        </is>
      </c>
      <c r="G8132" s="10" t="inlineStr">
        <is>
          <t>30-04-2026</t>
        </is>
      </c>
      <c r="H8132" s="10" t="inlineStr">
        <is>
          <t>30/04/2026</t>
        </is>
      </c>
      <c r="I8132" s="10" t="inlineStr">
        <is>
          <t>17/03/2026</t>
        </is>
      </c>
      <c r="J8132" s="10" t="inlineStr">
        <is>
          <t>Giáo dục / Đào tạo, Hành chính / Thư ký, Ngân hàng</t>
        </is>
      </c>
      <c r="K8132" s="10" t="inlineStr">
        <is>
          <t>N/A</t>
        </is>
      </c>
      <c r="L8132" s="11">
        <f>HYPERLINK("https://careerviet.vn/vi/tim-viec-lam/nhan-su-tong-dai-247-mb-bank-tai-dong-da-h1.35C6CA98.html","Xem chi tiết")</f>
        <v/>
      </c>
      <c r="M8132" s="10" t="n"/>
    </row>
    <row r="8133">
      <c r="B8133" s="7" t="n">
        <v>8131</v>
      </c>
      <c r="C8133" t="inlineStr">
        <is>
          <t>NHÂN VIÊN TRỢ LÝ BIẾT TIẾNG TRUNG(Mới)</t>
        </is>
      </c>
      <c r="D8133" t="inlineStr">
        <is>
          <t>CÔNG TY TNHH JASON FURNITURE VIỆT NAM  (KUKA HOME VIỆT NAM)</t>
        </is>
      </c>
      <c r="E8133" t="inlineStr">
        <is>
          <t>Lương:11 Tr - 18 Tr VND</t>
        </is>
      </c>
      <c r="F8133" t="inlineStr">
        <is>
          <t>Bình Phước</t>
        </is>
      </c>
      <c r="G8133" t="inlineStr">
        <is>
          <t>31-05-2026</t>
        </is>
      </c>
      <c r="H8133" t="inlineStr">
        <is>
          <t>31/05/2026</t>
        </is>
      </c>
      <c r="I8133" t="inlineStr">
        <is>
          <t>17/03/2026</t>
        </is>
      </c>
      <c r="J8133" t="inlineStr">
        <is>
          <t>Sản xuất / Vận hành sản xuất</t>
        </is>
      </c>
      <c r="K8133" t="inlineStr">
        <is>
          <t>N/A</t>
        </is>
      </c>
      <c r="L8133" s="8">
        <f>HYPERLINK("https://careerviet.vn/vi/tim-viec-lam/nhan-vien-tro-ly-biet-tieng-trung.35C6CA9C.html","Xem chi tiết")</f>
        <v/>
      </c>
    </row>
    <row r="8134">
      <c r="B8134" s="9" t="n">
        <v>8132</v>
      </c>
      <c r="C8134" s="10" t="inlineStr">
        <is>
          <t>Phó Ban quản lý các dự án(Mới)</t>
        </is>
      </c>
      <c r="D8134" s="10" t="inlineStr">
        <is>
          <t>CÔNG TY CP ĐẦU TƯ PHÁT TRIỂN TRÍ DƯƠNG</t>
        </is>
      </c>
      <c r="E8134" s="10" t="inlineStr">
        <is>
          <t>Lương:Cạnh tranh</t>
        </is>
      </c>
      <c r="F8134" s="10" t="inlineStr">
        <is>
          <t>Nghệ An</t>
        </is>
      </c>
      <c r="G8134" s="10" t="inlineStr">
        <is>
          <t>31-03-2026</t>
        </is>
      </c>
      <c r="H8134" s="10" t="inlineStr">
        <is>
          <t>31/03/2026</t>
        </is>
      </c>
      <c r="I8134" s="10" t="inlineStr">
        <is>
          <t>17/03/2026</t>
        </is>
      </c>
      <c r="J8134" s="10" t="inlineStr">
        <is>
          <t>Bất động sản</t>
        </is>
      </c>
      <c r="K8134" s="10" t="inlineStr">
        <is>
          <t>5 - 10 Năm</t>
        </is>
      </c>
      <c r="L8134" s="11">
        <f>HYPERLINK("https://careerviet.vn/vi/tim-viec-lam/pho-ban-quan-ly-cac-du-an.35C6CAA6.html","Xem chi tiết")</f>
        <v/>
      </c>
      <c r="M8134" s="10" t="n"/>
    </row>
    <row r="8135">
      <c r="B8135" s="7" t="n">
        <v>8133</v>
      </c>
      <c r="C8135" t="inlineStr">
        <is>
          <t>Chuyên viên Kế toán tổng hợp(Mới)</t>
        </is>
      </c>
      <c r="D8135" t="inlineStr">
        <is>
          <t>CÔNG TY CỔ PHẦN ĐẦU TƯ XÂY DỰNG - FACCO</t>
        </is>
      </c>
      <c r="E8135" t="inlineStr">
        <is>
          <t>Lương:Cạnh tranh</t>
        </is>
      </c>
      <c r="F8135" t="inlineStr">
        <is>
          <t>Hà Nội</t>
        </is>
      </c>
      <c r="G8135" t="inlineStr">
        <is>
          <t>08-04-2026</t>
        </is>
      </c>
      <c r="H8135" t="inlineStr">
        <is>
          <t>08/04/2026</t>
        </is>
      </c>
      <c r="I8135" t="inlineStr">
        <is>
          <t>17/03/2026</t>
        </is>
      </c>
      <c r="J8135" t="inlineStr">
        <is>
          <t>Kế toán / Kiểm toán</t>
        </is>
      </c>
      <c r="K8135" t="inlineStr">
        <is>
          <t>3 - 5 Năm</t>
        </is>
      </c>
      <c r="L8135" s="8">
        <f>HYPERLINK("https://careerviet.vn/vi/tim-viec-lam/chuyen-vien-ke-toan-tong-hop.35C6CA96.html","Xem chi tiết")</f>
        <v/>
      </c>
    </row>
    <row r="8136">
      <c r="B8136" s="9" t="n">
        <v>8134</v>
      </c>
      <c r="C8136" s="10" t="inlineStr">
        <is>
          <t>SENIOR SALES CHEMICAL(Mới)</t>
        </is>
      </c>
      <c r="D8136" s="10" t="inlineStr">
        <is>
          <t>Công Ty Cổ Phần Hóa Chất Kỹ Thuật Kim Phong</t>
        </is>
      </c>
      <c r="E8136" s="10" t="inlineStr">
        <is>
          <t>Lương:Cạnh tranh</t>
        </is>
      </c>
      <c r="F8136" s="10" t="inlineStr">
        <is>
          <t>Hồ Chí Minh</t>
        </is>
      </c>
      <c r="G8136" s="10" t="inlineStr">
        <is>
          <t>31-03-2026</t>
        </is>
      </c>
      <c r="H8136" s="10" t="inlineStr">
        <is>
          <t>31/03/2026</t>
        </is>
      </c>
      <c r="I8136" s="10" t="inlineStr">
        <is>
          <t>17/03/2026</t>
        </is>
      </c>
      <c r="J8136" s="10" t="inlineStr">
        <is>
          <t>Bán hàng / Kinh doanh, Hóa học</t>
        </is>
      </c>
      <c r="K8136" s="10" t="inlineStr">
        <is>
          <t>3 - 5 Năm</t>
        </is>
      </c>
      <c r="L8136" s="11">
        <f>HYPERLINK("https://careerviet.vn/vi/tim-viec-lam/senior-sales-chemical.35C6CA8D.html","Xem chi tiết")</f>
        <v/>
      </c>
      <c r="M8136" s="10" t="n"/>
    </row>
    <row r="8137">
      <c r="B8137" s="7" t="n">
        <v>8135</v>
      </c>
      <c r="C8137" t="inlineStr">
        <is>
          <t>Nhân Viên Khảo Sát Khách Hàng Viettel Post, Bắc Từ Liêm H1(Mới)</t>
        </is>
      </c>
      <c r="D8137" t="inlineStr">
        <is>
          <t>CÔNG TY CỔ PHẦN TRUYỀN THÔNG KIM CƯƠNG</t>
        </is>
      </c>
      <c r="E8137" t="inlineStr">
        <is>
          <t>Lương:7 Tr - 9 Tr VND</t>
        </is>
      </c>
      <c r="F8137" t="inlineStr">
        <is>
          <t>Hà Nội</t>
        </is>
      </c>
      <c r="G8137" t="inlineStr">
        <is>
          <t>30-04-2026</t>
        </is>
      </c>
      <c r="H8137" t="inlineStr">
        <is>
          <t>30/04/2026</t>
        </is>
      </c>
      <c r="I8137" t="inlineStr">
        <is>
          <t>17/03/2026</t>
        </is>
      </c>
      <c r="J8137" t="inlineStr">
        <is>
          <t>Giáo dục / Đào tạo, Nhà hàng / Khách sạn, Bán lẻ / Bán sỉ</t>
        </is>
      </c>
      <c r="K8137" t="inlineStr">
        <is>
          <t>Chưa có kinh nghiệm</t>
        </is>
      </c>
      <c r="L8137" s="8">
        <f>HYPERLINK("https://careerviet.vn/vi/tim-viec-lam/nhan-vien-khao-sat-khach-hang-viettel-post-bac-tu-liem-h1.35C6B74B.html","Xem chi tiết")</f>
        <v/>
      </c>
    </row>
    <row r="8138">
      <c r="B8138" s="9" t="n">
        <v>8136</v>
      </c>
      <c r="C8138" s="10" t="inlineStr">
        <is>
          <t>Sales Logistics Manager(Mới)</t>
        </is>
      </c>
      <c r="D8138" s="10" t="inlineStr">
        <is>
          <t>Voltrans Logistics Co., Ltd</t>
        </is>
      </c>
      <c r="E8138" s="10" t="inlineStr">
        <is>
          <t>Lương:15 Tr - 30 Tr VND</t>
        </is>
      </c>
      <c r="F8138" s="10" t="inlineStr">
        <is>
          <t>Hồ Chí Minh</t>
        </is>
      </c>
      <c r="G8138" s="10" t="inlineStr">
        <is>
          <t>30-04-2026</t>
        </is>
      </c>
      <c r="H8138" s="10" t="inlineStr">
        <is>
          <t>30/04/2026</t>
        </is>
      </c>
      <c r="I8138" s="10" t="inlineStr">
        <is>
          <t>17/03/2026</t>
        </is>
      </c>
      <c r="J8138" s="10" t="inlineStr">
        <is>
          <t>Vận chuyển / Giao nhận / Kho vận, Xuất nhập khẩu</t>
        </is>
      </c>
      <c r="K8138" s="10" t="inlineStr">
        <is>
          <t>2 - 5 Năm</t>
        </is>
      </c>
      <c r="L8138" s="11">
        <f>HYPERLINK("https://careerviet.vn/vi/tim-viec-lam/sales-logistics-manager.35C6CA8B.html","Xem chi tiết")</f>
        <v/>
      </c>
      <c r="M8138" s="10" t="n"/>
    </row>
    <row r="8139">
      <c r="B8139" s="7" t="n">
        <v>8137</v>
      </c>
      <c r="C8139" t="inlineStr">
        <is>
          <t>Nhân Viên Phòng Lab(Mới)</t>
        </is>
      </c>
      <c r="D8139" t="inlineStr">
        <is>
          <t>Công Ty TNHH Coronet Việt Nam</t>
        </is>
      </c>
      <c r="E8139" t="inlineStr">
        <is>
          <t>Lương:Cạnh tranh</t>
        </is>
      </c>
      <c r="F8139" t="inlineStr">
        <is>
          <t>Bến Tre</t>
        </is>
      </c>
      <c r="G8139" t="inlineStr">
        <is>
          <t>31-03-2026</t>
        </is>
      </c>
      <c r="H8139" t="inlineStr">
        <is>
          <t>31/03/2026</t>
        </is>
      </c>
      <c r="I8139" t="inlineStr">
        <is>
          <t>17/03/2026</t>
        </is>
      </c>
      <c r="J8139" t="inlineStr">
        <is>
          <t>Hóa học, Dệt may / Da giày / Thời trang</t>
        </is>
      </c>
      <c r="K8139" t="inlineStr">
        <is>
          <t>1 - 2 Năm</t>
        </is>
      </c>
      <c r="L8139" s="8">
        <f>HYPERLINK("https://careerviet.vn/vi/tim-viec-lam/nhan-vien-phong-lab.35C6CAA5.html","Xem chi tiết")</f>
        <v/>
      </c>
    </row>
    <row r="8140">
      <c r="B8140" s="9" t="n">
        <v>8138</v>
      </c>
      <c r="C8140" s="10" t="inlineStr">
        <is>
          <t>Production Planning  Supervisor(Mới)</t>
        </is>
      </c>
      <c r="D8140" s="10" t="inlineStr">
        <is>
          <t>Công ty Omron Healthcare Manufacturing Việt Nam</t>
        </is>
      </c>
      <c r="E8140" s="10" t="inlineStr">
        <is>
          <t>Lương:Cạnh tranh</t>
        </is>
      </c>
      <c r="F8140" s="10" t="inlineStr">
        <is>
          <t>Bình Dương</t>
        </is>
      </c>
      <c r="G8140" s="10" t="inlineStr">
        <is>
          <t>30-04-2026</t>
        </is>
      </c>
      <c r="H8140" s="10" t="inlineStr">
        <is>
          <t>30/04/2026</t>
        </is>
      </c>
      <c r="I8140" s="10" t="inlineStr">
        <is>
          <t>17/03/2026</t>
        </is>
      </c>
      <c r="J8140" s="10" t="inlineStr">
        <is>
          <t>Sản xuất / Vận hành sản xuất, Vận chuyển / Giao nhận / Kho vận, Quản lý điều hành</t>
        </is>
      </c>
      <c r="K8140" s="10" t="inlineStr">
        <is>
          <t>2 - 5 Năm</t>
        </is>
      </c>
      <c r="L8140" s="11">
        <f>HYPERLINK("https://careerviet.vn/vi/tim-viec-lam/production-planning-supervisor.35C6CA8E.html","Xem chi tiết")</f>
        <v/>
      </c>
      <c r="M8140" s="10" t="n"/>
    </row>
    <row r="8141">
      <c r="B8141" s="7" t="n">
        <v>8139</v>
      </c>
      <c r="C8141" t="inlineStr">
        <is>
          <t>GIÁM ĐỐC NHÂN SỰ(Mới)</t>
        </is>
      </c>
      <c r="D8141" t="inlineStr">
        <is>
          <t>HR Vietnam’s ESS Client</t>
        </is>
      </c>
      <c r="E8141" t="inlineStr">
        <is>
          <t>Lương:Cạnh tranh</t>
        </is>
      </c>
      <c r="F8141" t="inlineStr">
        <is>
          <t>Hồ Chí Minh</t>
        </is>
      </c>
      <c r="G8141" t="inlineStr">
        <is>
          <t>29-04-2026</t>
        </is>
      </c>
      <c r="H8141" t="inlineStr">
        <is>
          <t>29/04/2026</t>
        </is>
      </c>
      <c r="I8141" t="inlineStr">
        <is>
          <t>17/03/2026</t>
        </is>
      </c>
      <c r="J8141" t="inlineStr">
        <is>
          <t>Xây dựng, Nhân sự</t>
        </is>
      </c>
      <c r="K8141" t="inlineStr">
        <is>
          <t>Trên 5 Năm</t>
        </is>
      </c>
      <c r="L8141" s="8">
        <f>HYPERLINK("https://careerviet.vn/vi/tim-viec-lam/giam-doc-nhan-su.35C6CA9B.html","Xem chi tiết")</f>
        <v/>
      </c>
    </row>
    <row r="8142">
      <c r="B8142" s="9" t="n">
        <v>8140</v>
      </c>
      <c r="C8142" s="10" t="inlineStr">
        <is>
          <t>Kỹ sư bảo trì - Đi ca(Mới)</t>
        </is>
      </c>
      <c r="D8142" s="10" t="inlineStr">
        <is>
          <t>Công ty Omron Healthcare Manufacturing Việt Nam</t>
        </is>
      </c>
      <c r="E8142" s="10" t="inlineStr">
        <is>
          <t>Lương:Cạnh tranh</t>
        </is>
      </c>
      <c r="F8142" s="10" t="inlineStr">
        <is>
          <t>Bình Dương</t>
        </is>
      </c>
      <c r="G8142" s="10" t="inlineStr">
        <is>
          <t>30-04-2026</t>
        </is>
      </c>
      <c r="H8142" s="10" t="inlineStr">
        <is>
          <t>30/04/2026</t>
        </is>
      </c>
      <c r="I8142" s="10" t="inlineStr">
        <is>
          <t>17/03/2026</t>
        </is>
      </c>
      <c r="J8142" s="10" t="inlineStr">
        <is>
          <t>Điện / Điện tử / Điện lạnh / Điện công nghiệp, Bảo trì / Sửa chữa, Sản xuất / Vận hành sản xuất</t>
        </is>
      </c>
      <c r="K8142" s="10" t="inlineStr">
        <is>
          <t>1 - 2 Năm</t>
        </is>
      </c>
      <c r="L8142" s="11">
        <f>HYPERLINK("https://careerviet.vn/vi/tim-viec-lam/ky-su-bao-tri-di-ca.35C6CA79.html","Xem chi tiết")</f>
        <v/>
      </c>
      <c r="M8142" s="10" t="n"/>
    </row>
    <row r="8143">
      <c r="B8143" s="7" t="n">
        <v>8141</v>
      </c>
      <c r="C8143" t="inlineStr">
        <is>
          <t>Warehouse Assistant Manager(Mới)</t>
        </is>
      </c>
      <c r="D8143" t="inlineStr">
        <is>
          <t>Công Ty TNHH LF Logistics (Việt Nam)</t>
        </is>
      </c>
      <c r="E8143" t="inlineStr">
        <is>
          <t>Lương:Cạnh tranh</t>
        </is>
      </c>
      <c r="F8143" t="inlineStr">
        <is>
          <t>Bình Dương</t>
        </is>
      </c>
      <c r="G8143" t="inlineStr">
        <is>
          <t>30-04-2026</t>
        </is>
      </c>
      <c r="H8143" t="inlineStr">
        <is>
          <t>30/04/2026</t>
        </is>
      </c>
      <c r="I8143" t="inlineStr">
        <is>
          <t>17/03/2026</t>
        </is>
      </c>
      <c r="J8143" t="inlineStr">
        <is>
          <t>Vận chuyển / Giao nhận / Kho vận, Xuất nhập khẩu, Sản xuất / Vận hành sản xuất</t>
        </is>
      </c>
      <c r="K8143" t="inlineStr">
        <is>
          <t>3 - 5 Năm</t>
        </is>
      </c>
      <c r="L8143" s="8">
        <f>HYPERLINK("https://careerviet.vn/vi/tim-viec-lam/warehouse-assistant-manager.35C6CA90.html","Xem chi tiết")</f>
        <v/>
      </c>
    </row>
    <row r="8144">
      <c r="B8144" s="9" t="n">
        <v>8142</v>
      </c>
      <c r="C8144" s="10" t="inlineStr">
        <is>
          <t>Nhân Viên Vận Hành Sản Xuất(Mới)</t>
        </is>
      </c>
      <c r="D8144" s="10" t="inlineStr">
        <is>
          <t>Công Ty TNHH Interflour Việt Nam</t>
        </is>
      </c>
      <c r="E8144" s="10" t="inlineStr">
        <is>
          <t>Lương:Cạnh tranh</t>
        </is>
      </c>
      <c r="F8144" s="10" t="inlineStr">
        <is>
          <t>Bà Rịa - Vũng Tàu</t>
        </is>
      </c>
      <c r="G8144" s="10" t="inlineStr">
        <is>
          <t>15-04-2026</t>
        </is>
      </c>
      <c r="H8144" s="10" t="inlineStr">
        <is>
          <t>15/04/2026</t>
        </is>
      </c>
      <c r="I8144" s="10" t="inlineStr">
        <is>
          <t>17/03/2026</t>
        </is>
      </c>
      <c r="J8144" s="10" t="inlineStr">
        <is>
          <t>Sản xuất / Vận hành sản xuất, Điện / Điện tử / Điện lạnh / Điện công nghiệp, Cơ khí / Ô tô / Tự động hóa</t>
        </is>
      </c>
      <c r="K8144" s="10" t="inlineStr">
        <is>
          <t>N/A</t>
        </is>
      </c>
      <c r="L8144" s="11">
        <f>HYPERLINK("https://careerviet.vn/vi/tim-viec-lam/nhan-vien-van-hanh-san-xuat.35C6CA8A.html","Xem chi tiết")</f>
        <v/>
      </c>
      <c r="M8144" s="10" t="n"/>
    </row>
    <row r="8145">
      <c r="B8145" s="7" t="n">
        <v>8143</v>
      </c>
      <c r="C8145" t="inlineStr">
        <is>
          <t>Thủ Kho(Mới)</t>
        </is>
      </c>
      <c r="D8145" t="inlineStr">
        <is>
          <t>CÔNG TY CỔ PHẦN GIẢI PHÁP CƠ KHÍ VNTECH</t>
        </is>
      </c>
      <c r="E8145" t="inlineStr">
        <is>
          <t>Lương:10 Tr - 15 Tr VND</t>
        </is>
      </c>
      <c r="F8145" t="inlineStr">
        <is>
          <t>Hưng Yên</t>
        </is>
      </c>
      <c r="G8145" t="inlineStr">
        <is>
          <t>15-04-2026</t>
        </is>
      </c>
      <c r="H8145" t="inlineStr">
        <is>
          <t>15/04/2026</t>
        </is>
      </c>
      <c r="I8145" t="inlineStr">
        <is>
          <t>17/03/2026</t>
        </is>
      </c>
      <c r="J8145" t="inlineStr">
        <is>
          <t>Vận chuyển / Giao nhận / Kho vận, Hành chính / Thư ký, Cơ khí / Ô tô / Tự động hóa</t>
        </is>
      </c>
      <c r="K8145" t="inlineStr">
        <is>
          <t>Lên đến 1 Năm</t>
        </is>
      </c>
      <c r="L8145" s="8">
        <f>HYPERLINK("https://careerviet.vn/vi/tim-viec-lam/thu-kho.35C6CA82.html","Xem chi tiết")</f>
        <v/>
      </c>
    </row>
    <row r="8146">
      <c r="B8146" s="9" t="n">
        <v>8144</v>
      </c>
      <c r="C8146" s="10" t="inlineStr">
        <is>
          <t>Chuyên viên Hạ tầng &amp; Bảo mật CNTT(Mới)</t>
        </is>
      </c>
      <c r="D8146" s="10" t="inlineStr">
        <is>
          <t>CÔNG TY CỔ PHẦN DÂY CÁP ĐIỆN VIỆT NAM - CADIVI</t>
        </is>
      </c>
      <c r="E8146" s="10" t="inlineStr">
        <is>
          <t>Lương:Cạnh tranh</t>
        </is>
      </c>
      <c r="F8146" s="10" t="inlineStr">
        <is>
          <t>Hồ Chí Minh</t>
        </is>
      </c>
      <c r="G8146" s="10" t="inlineStr">
        <is>
          <t>15-04-2026</t>
        </is>
      </c>
      <c r="H8146" s="10" t="inlineStr">
        <is>
          <t>15/04/2026</t>
        </is>
      </c>
      <c r="I8146" s="10" t="inlineStr">
        <is>
          <t>17/03/2026</t>
        </is>
      </c>
      <c r="J8146" s="10" t="inlineStr">
        <is>
          <t>CNTT - Phần cứng / Mạng</t>
        </is>
      </c>
      <c r="K8146" s="10" t="inlineStr">
        <is>
          <t>3 - 5 Năm</t>
        </is>
      </c>
      <c r="L8146" s="11">
        <f>HYPERLINK("https://careerviet.vn/vi/tim-viec-lam/chuyen-vien-ha-tang-bao-mat-cntt.35C6CA80.html","Xem chi tiết")</f>
        <v/>
      </c>
      <c r="M8146" s="10" t="n"/>
    </row>
    <row r="8147">
      <c r="B8147" s="7" t="n">
        <v>8145</v>
      </c>
      <c r="C8147" t="inlineStr">
        <is>
          <t>Công Nhân Xây Dựng &amp; Điện Nước(Mới)</t>
        </is>
      </c>
      <c r="D8147" t="inlineStr">
        <is>
          <t>Công ty Cổ phần D&amp;D Engineering Construction</t>
        </is>
      </c>
      <c r="E8147" t="inlineStr">
        <is>
          <t>Lương:9 Tr - 15 Tr VND</t>
        </is>
      </c>
      <c r="F8147" t="inlineStr">
        <is>
          <t>Hồ Chí Minh</t>
        </is>
      </c>
      <c r="G8147" t="inlineStr">
        <is>
          <t>15-04-2026</t>
        </is>
      </c>
      <c r="H8147" t="inlineStr">
        <is>
          <t>15/04/2026</t>
        </is>
      </c>
      <c r="I8147" t="inlineStr">
        <is>
          <t>17/03/2026</t>
        </is>
      </c>
      <c r="J8147" t="inlineStr">
        <is>
          <t>Xây dựng, Lao động phổ thông</t>
        </is>
      </c>
      <c r="K8147" t="inlineStr">
        <is>
          <t>Trên 1 Năm</t>
        </is>
      </c>
      <c r="L8147" s="8">
        <f>HYPERLINK("https://careerviet.vn/vi/tim-viec-lam/cong-nhan-xay-dung-dien-nuoc.35C6CC09.html","Xem chi tiết")</f>
        <v/>
      </c>
    </row>
    <row r="8148">
      <c r="B8148" s="9" t="n">
        <v>8146</v>
      </c>
      <c r="C8148" s="10" t="inlineStr">
        <is>
          <t>Chỉ Huy Phó - Quảng Bình(Mới)</t>
        </is>
      </c>
      <c r="D8148" s="10" t="inlineStr">
        <is>
          <t>Công ty Cổ phần D&amp;D Engineering Construction</t>
        </is>
      </c>
      <c r="E8148" s="10" t="inlineStr">
        <is>
          <t>Lương:Cạnh tranh</t>
        </is>
      </c>
      <c r="F8148" s="10" t="inlineStr">
        <is>
          <t>Quảng Bình</t>
        </is>
      </c>
      <c r="G8148" s="10" t="inlineStr">
        <is>
          <t>15-04-2026</t>
        </is>
      </c>
      <c r="H8148" s="10" t="inlineStr">
        <is>
          <t>15/04/2026</t>
        </is>
      </c>
      <c r="I8148" s="10" t="inlineStr">
        <is>
          <t>17/03/2026</t>
        </is>
      </c>
      <c r="J8148" s="10" t="inlineStr">
        <is>
          <t>Xây dựng, Kiến trúc</t>
        </is>
      </c>
      <c r="K8148" s="10" t="inlineStr">
        <is>
          <t>Trên 4 Năm</t>
        </is>
      </c>
      <c r="L8148" s="11">
        <f>HYPERLINK("https://careerviet.vn/vi/tim-viec-lam/chi-huy-pho-quang-binh.35C6CC06.html","Xem chi tiết")</f>
        <v/>
      </c>
      <c r="M8148" s="10" t="n"/>
    </row>
    <row r="8149">
      <c r="B8149" s="7" t="n">
        <v>8147</v>
      </c>
      <c r="C8149" t="inlineStr">
        <is>
          <t>Kế Toán Nội Bộ - Quận 7  (Đào Tạo Nghiệp Vụ)(Mới)</t>
        </is>
      </c>
      <c r="D8149" t="inlineStr">
        <is>
          <t>Công ty TNHH Sản xuất Thương mại &amp; Dịch vụ Hoa Xinh</t>
        </is>
      </c>
      <c r="E8149" t="inlineStr">
        <is>
          <t>Lương:7 Tr - 9 Tr VND</t>
        </is>
      </c>
      <c r="F8149" t="inlineStr">
        <is>
          <t>Hồ Chí Minh</t>
        </is>
      </c>
      <c r="G8149" t="inlineStr">
        <is>
          <t>30-04-2026</t>
        </is>
      </c>
      <c r="H8149" t="inlineStr">
        <is>
          <t>30/04/2026</t>
        </is>
      </c>
      <c r="I8149" t="inlineStr">
        <is>
          <t>17/03/2026</t>
        </is>
      </c>
      <c r="J8149" t="inlineStr">
        <is>
          <t>Kế toán / Kiểm toán, Tài chính / Đầu tư, Mới tốt nghiệp / Thực tập</t>
        </is>
      </c>
      <c r="K8149" t="inlineStr">
        <is>
          <t>N/A</t>
        </is>
      </c>
      <c r="L8149" s="8">
        <f>HYPERLINK("https://careerviet.vn/vi/tim-viec-lam/ke-toan-noi-bo-quan-7-dao-tao-nghiep-vu.35C6CC02.html","Xem chi tiết")</f>
        <v/>
      </c>
    </row>
    <row r="8150">
      <c r="B8150" s="9" t="n">
        <v>8148</v>
      </c>
      <c r="C8150" s="10" t="inlineStr">
        <is>
          <t>Nhân viên Kinh doanh dự án Điện mặt trời(Mới)</t>
        </is>
      </c>
      <c r="D8150" s="10" t="inlineStr">
        <is>
          <t>Công ty cổ phần Xây dựng Công trình IPC</t>
        </is>
      </c>
      <c r="E8150" s="10" t="inlineStr">
        <is>
          <t>Lương:25 Tr - 30 Tr VND</t>
        </is>
      </c>
      <c r="F8150" s="10" t="inlineStr">
        <is>
          <t>Hồ Chí Minh</t>
        </is>
      </c>
      <c r="G8150" s="10" t="inlineStr">
        <is>
          <t>05-04-2026</t>
        </is>
      </c>
      <c r="H8150" s="10" t="inlineStr">
        <is>
          <t>05/04/2026</t>
        </is>
      </c>
      <c r="I8150" s="10" t="inlineStr">
        <is>
          <t>17/03/2026</t>
        </is>
      </c>
      <c r="J8150" s="10" t="inlineStr">
        <is>
          <t>Bán hàng / Kinh doanh, Điện / Điện tử / Điện lạnh / Điện công nghiệp, Biên phiên dịch</t>
        </is>
      </c>
      <c r="K8150" s="10" t="inlineStr">
        <is>
          <t>2 - 4 Năm</t>
        </is>
      </c>
      <c r="L8150" s="11">
        <f>HYPERLINK("https://careerviet.vn/vi/tim-viec-lam/nhan-vien-kinh-doanh-du-an-dien-mat-troi.35C6CA7C.html","Xem chi tiết")</f>
        <v/>
      </c>
      <c r="M8150" s="10" t="n"/>
    </row>
    <row r="8151">
      <c r="B8151" s="7" t="n">
        <v>8149</v>
      </c>
      <c r="C8151" t="inlineStr">
        <is>
          <t>Phó Giám đốc Chi nhánh - BVBank Gia Lai - KV Tây Nguyên(Mới)</t>
        </is>
      </c>
      <c r="D8151" t="inlineStr">
        <is>
          <t>BVBank - Ngân hàng Bản Việt</t>
        </is>
      </c>
      <c r="E8151" t="inlineStr">
        <is>
          <t>Lương:Cạnh tranh</t>
        </is>
      </c>
      <c r="F8151" t="inlineStr">
        <is>
          <t>Gia Lai</t>
        </is>
      </c>
      <c r="G8151" t="inlineStr">
        <is>
          <t>15-04-2026</t>
        </is>
      </c>
      <c r="H8151" t="inlineStr">
        <is>
          <t>15/04/2026</t>
        </is>
      </c>
      <c r="I8151" t="inlineStr">
        <is>
          <t>17/03/2026</t>
        </is>
      </c>
      <c r="J8151" t="inlineStr">
        <is>
          <t>Ngân hàng, Tài chính / Đầu tư, Bán hàng / Kinh doanh</t>
        </is>
      </c>
      <c r="K8151" t="inlineStr">
        <is>
          <t>5 - 6 Năm</t>
        </is>
      </c>
      <c r="L8151" s="8">
        <f>HYPERLINK("https://careerviet.vn/vi/tim-viec-lam/pho-giam-doc-chi-nhanh-bvbank-gia-lai-kv-tay-nguyen.35C6CA84.html","Xem chi tiết")</f>
        <v/>
      </c>
    </row>
    <row r="8152">
      <c r="B8152" s="9" t="n">
        <v>8150</v>
      </c>
      <c r="C8152" s="10" t="inlineStr">
        <is>
          <t>(Tuyển gấp) Chỉ huy trưởng(Mới)</t>
        </is>
      </c>
      <c r="D8152" s="10" t="inlineStr">
        <is>
          <t>CÔNG TY CỔ PHẦN KÍNH LÊ GIANG</t>
        </is>
      </c>
      <c r="E8152" s="10" t="inlineStr">
        <is>
          <t>Lương:18 Tr - 25 Tr VND</t>
        </is>
      </c>
      <c r="F8152" s="10" t="inlineStr">
        <is>
          <t>Hà NộiHồ Chí MinhQuảng Ninh</t>
        </is>
      </c>
      <c r="G8152" s="10" t="inlineStr">
        <is>
          <t>15-04-2026</t>
        </is>
      </c>
      <c r="H8152" s="10" t="inlineStr">
        <is>
          <t>15/04/2026</t>
        </is>
      </c>
      <c r="I8152" s="10" t="inlineStr">
        <is>
          <t>17/03/2026</t>
        </is>
      </c>
      <c r="J8152" s="10" t="inlineStr">
        <is>
          <t>Xây dựng, Kiến trúc, Cơ khí / Ô tô / Tự động hóa</t>
        </is>
      </c>
      <c r="K8152" s="10" t="inlineStr">
        <is>
          <t>Trên 2 Năm</t>
        </is>
      </c>
      <c r="L8152" s="11">
        <f>HYPERLINK("https://careerviet.vn/vi/tim-viec-lam/tuyen-gap-chi-huy-truong.35C6CA81.html","Xem chi tiết")</f>
        <v/>
      </c>
      <c r="M8152" s="10" t="n"/>
    </row>
    <row r="8153">
      <c r="B8153" s="7" t="n">
        <v>8151</v>
      </c>
      <c r="C8153" t="inlineStr">
        <is>
          <t>Director of Quantity Surveying (Director of QS) / Giám đốc QS - Living Global - 1U015(Mới)</t>
        </is>
      </c>
      <c r="D8153" t="inlineStr">
        <is>
          <t>Tập đoàn ROX (ROX Group)</t>
        </is>
      </c>
      <c r="E8153" t="inlineStr">
        <is>
          <t>Lương:Cạnh tranh</t>
        </is>
      </c>
      <c r="F8153" t="inlineStr">
        <is>
          <t>Hà Nội</t>
        </is>
      </c>
      <c r="G8153" t="inlineStr">
        <is>
          <t>13-04-2026</t>
        </is>
      </c>
      <c r="H8153" t="inlineStr">
        <is>
          <t>13/04/2026</t>
        </is>
      </c>
      <c r="I8153" t="inlineStr">
        <is>
          <t>17/03/2026</t>
        </is>
      </c>
      <c r="J8153" t="inlineStr">
        <is>
          <t>Xây dựng</t>
        </is>
      </c>
      <c r="K8153" t="inlineStr">
        <is>
          <t>Trên 10 Năm</t>
        </is>
      </c>
      <c r="L8153" s="8">
        <f>HYPERLINK("https://careerviet.vn/vi/tim-viec-lam/director-of-quantity-surveying-director-of-qs-giam-doc-qs-living-global-1u015.35C6CA7F.html","Xem chi tiết")</f>
        <v/>
      </c>
    </row>
    <row r="8154">
      <c r="B8154" s="9" t="n">
        <v>8152</v>
      </c>
      <c r="C8154" s="10" t="inlineStr">
        <is>
          <t>Nhân Viên Bán Hàng(Mới)</t>
        </is>
      </c>
      <c r="D8154" s="10" t="inlineStr">
        <is>
          <t>Hoàng Cương Group - Hệ Thống Bếp Hoàng Cương</t>
        </is>
      </c>
      <c r="E8154" s="10" t="inlineStr">
        <is>
          <t>Lương:9 Tr - 15 Tr VND</t>
        </is>
      </c>
      <c r="F8154" s="10" t="inlineStr">
        <is>
          <t>Hồ Chí MinhĐà NẵngNghệ An</t>
        </is>
      </c>
      <c r="G8154" s="10" t="inlineStr">
        <is>
          <t>15-04-2026</t>
        </is>
      </c>
      <c r="H8154" s="10" t="inlineStr">
        <is>
          <t>15/04/2026</t>
        </is>
      </c>
      <c r="I8154" s="10" t="inlineStr">
        <is>
          <t>17/03/2026</t>
        </is>
      </c>
      <c r="J8154" s="10" t="inlineStr">
        <is>
          <t>Bán hàng / Kinh doanh, Tư vấn, Hàng gia dụng / Chăm sóc cá nhân</t>
        </is>
      </c>
      <c r="K8154" s="10" t="inlineStr">
        <is>
          <t>N/A</t>
        </is>
      </c>
      <c r="L8154" s="11">
        <f>HYPERLINK("https://careerviet.vn/vi/tim-viec-lam/nhan-vien-ban-hang.35C6CA92.html","Xem chi tiết")</f>
        <v/>
      </c>
      <c r="M8154" s="10" t="n"/>
    </row>
    <row r="8155">
      <c r="B8155" s="7" t="n">
        <v>8153</v>
      </c>
      <c r="C8155" t="inlineStr">
        <is>
          <t>TRƯỞNG PHÒNG KẾ TOÁN(Mới)</t>
        </is>
      </c>
      <c r="D8155" t="inlineStr">
        <is>
          <t>HR Vietnam’s ESS Client</t>
        </is>
      </c>
      <c r="E8155" t="inlineStr">
        <is>
          <t>Lương:Cạnh tranh</t>
        </is>
      </c>
      <c r="F8155" t="inlineStr">
        <is>
          <t>Thái Bình</t>
        </is>
      </c>
      <c r="G8155" t="inlineStr">
        <is>
          <t>30-03-2026</t>
        </is>
      </c>
      <c r="H8155" t="inlineStr">
        <is>
          <t>30/03/2026</t>
        </is>
      </c>
      <c r="I8155" t="inlineStr">
        <is>
          <t>17/03/2026</t>
        </is>
      </c>
      <c r="J8155" t="inlineStr">
        <is>
          <t>Kế toán / Kiểm toán, Bất động sản</t>
        </is>
      </c>
      <c r="K8155" t="inlineStr">
        <is>
          <t>3 - 4 Năm</t>
        </is>
      </c>
      <c r="L8155" s="8">
        <f>HYPERLINK("https://careerviet.vn/vi/tim-viec-lam/truong-phong-ke-toan.35C6CA83.html","Xem chi tiết")</f>
        <v/>
      </c>
    </row>
    <row r="8156">
      <c r="B8156" s="9" t="n">
        <v>8154</v>
      </c>
      <c r="C8156" s="10" t="inlineStr">
        <is>
          <t>Lập Trình Viên(Mới)</t>
        </is>
      </c>
      <c r="D8156" s="10" t="inlineStr">
        <is>
          <t>Tập Đoàn An Phát Holdings</t>
        </is>
      </c>
      <c r="E8156" s="10" t="inlineStr">
        <is>
          <t>Lương:13 Tr - 22 Tr VND</t>
        </is>
      </c>
      <c r="F8156" s="10" t="inlineStr">
        <is>
          <t>Hà NộiHải Dương</t>
        </is>
      </c>
      <c r="G8156" s="10" t="inlineStr">
        <is>
          <t>16-04-2026</t>
        </is>
      </c>
      <c r="H8156" s="10" t="inlineStr">
        <is>
          <t>16/04/2026</t>
        </is>
      </c>
      <c r="I8156" s="10" t="inlineStr">
        <is>
          <t>17/03/2026</t>
        </is>
      </c>
      <c r="J8156" s="10" t="inlineStr">
        <is>
          <t>CNTT - Phần mềm, Sản xuất / Vận hành sản xuất, Bán hàng / Kinh doanh</t>
        </is>
      </c>
      <c r="K8156" s="10" t="inlineStr">
        <is>
          <t>2 - 3 Năm</t>
        </is>
      </c>
      <c r="L8156" s="11">
        <f>HYPERLINK("https://careerviet.vn/vi/tim-viec-lam/lap-trinh-vien.35C6CC0A.html","Xem chi tiết")</f>
        <v/>
      </c>
      <c r="M8156" s="10" t="n"/>
    </row>
    <row r="8157">
      <c r="B8157" s="7" t="n">
        <v>8155</v>
      </c>
      <c r="C8157" t="inlineStr">
        <is>
          <t>Kế Toán Nội Bộ - Quận 7  (Không Yêu Cầu Kinh Nghiệm)(Mới)</t>
        </is>
      </c>
      <c r="D8157" t="inlineStr">
        <is>
          <t>Công ty TNHH Sản xuất Thương mại &amp; Dịch vụ Hoa Xinh</t>
        </is>
      </c>
      <c r="E8157" t="inlineStr">
        <is>
          <t>Lương:8 Tr - 9 Tr VND</t>
        </is>
      </c>
      <c r="F8157" t="inlineStr">
        <is>
          <t>Hồ Chí Minh</t>
        </is>
      </c>
      <c r="G8157" t="inlineStr">
        <is>
          <t>30-04-2026</t>
        </is>
      </c>
      <c r="H8157" t="inlineStr">
        <is>
          <t>30/04/2026</t>
        </is>
      </c>
      <c r="I8157" t="inlineStr">
        <is>
          <t>17/03/2026</t>
        </is>
      </c>
      <c r="J8157" t="inlineStr">
        <is>
          <t>Kế toán / Kiểm toán, Tài chính / Đầu tư, Mới tốt nghiệp / Thực tập</t>
        </is>
      </c>
      <c r="K8157" t="inlineStr">
        <is>
          <t>N/A</t>
        </is>
      </c>
      <c r="L8157" s="8">
        <f>HYPERLINK("https://careerviet.vn/vi/tim-viec-lam/ke-toan-noi-bo-quan-7-khong-yeu-cau-kinh-nghiem.35C6CC04.html","Xem chi tiết")</f>
        <v/>
      </c>
    </row>
    <row r="8158">
      <c r="B8158" s="9" t="n">
        <v>8156</v>
      </c>
      <c r="C8158" s="10" t="inlineStr">
        <is>
          <t>Sale Supervisor(Mới)</t>
        </is>
      </c>
      <c r="D8158" s="10" t="inlineStr">
        <is>
          <t>Công ty Cổ phần Đầu tư Thương mại Bách Tường Phát</t>
        </is>
      </c>
      <c r="E8158" s="10" t="inlineStr">
        <is>
          <t>Lương:10 Tr - 17 Tr VND</t>
        </is>
      </c>
      <c r="F8158" s="10" t="inlineStr">
        <is>
          <t>Đà NẵngGia Lai</t>
        </is>
      </c>
      <c r="G8158" s="10" t="inlineStr">
        <is>
          <t>30-04-2026</t>
        </is>
      </c>
      <c r="H8158" s="10" t="inlineStr">
        <is>
          <t>30/04/2026</t>
        </is>
      </c>
      <c r="I8158" s="10" t="inlineStr">
        <is>
          <t>17/03/2026</t>
        </is>
      </c>
      <c r="J8158" s="10" t="inlineStr">
        <is>
          <t>Tiếp thị / Marketing, Bán lẻ / Bán sỉ, Bán hàng / Kinh doanh</t>
        </is>
      </c>
      <c r="K8158" s="10" t="inlineStr">
        <is>
          <t>1 - 3 Năm</t>
        </is>
      </c>
      <c r="L8158" s="11">
        <f>HYPERLINK("https://careerviet.vn/vi/tim-viec-lam/sale-supervisor.35C6CBF9.html","Xem chi tiết")</f>
        <v/>
      </c>
      <c r="M8158" s="10" t="n"/>
    </row>
    <row r="8159">
      <c r="B8159" s="7" t="n">
        <v>8157</v>
      </c>
      <c r="C8159" t="inlineStr">
        <is>
          <t>KẾ TOÁN VIÊN(Mới)</t>
        </is>
      </c>
      <c r="D8159" t="inlineStr">
        <is>
          <t>Công ty Cổ phần D&amp;D Engineering Construction</t>
        </is>
      </c>
      <c r="E8159" t="inlineStr">
        <is>
          <t>Lương:12 Tr - 16 Tr VND</t>
        </is>
      </c>
      <c r="F8159" t="inlineStr">
        <is>
          <t>Hồ Chí Minh</t>
        </is>
      </c>
      <c r="G8159" t="inlineStr">
        <is>
          <t>16-04-2026</t>
        </is>
      </c>
      <c r="H8159" t="inlineStr">
        <is>
          <t>16/04/2026</t>
        </is>
      </c>
      <c r="I8159" t="inlineStr">
        <is>
          <t>17/03/2026</t>
        </is>
      </c>
      <c r="J8159" t="inlineStr">
        <is>
          <t>Kế toán / Kiểm toán, Xây dựng, Bất động sản</t>
        </is>
      </c>
      <c r="K8159" t="inlineStr">
        <is>
          <t>Trên 2 Năm</t>
        </is>
      </c>
      <c r="L8159" s="8">
        <f>HYPERLINK("https://careerviet.vn/vi/tim-viec-lam/ke-toan-vien.35C6CBFE.html","Xem chi tiết")</f>
        <v/>
      </c>
    </row>
    <row r="8160">
      <c r="B8160" s="9" t="n">
        <v>8158</v>
      </c>
      <c r="C8160" s="10" t="inlineStr">
        <is>
          <t>Kế Toán Sản Xuất - Giá Thành(Mới)</t>
        </is>
      </c>
      <c r="D8160" s="10" t="inlineStr">
        <is>
          <t>Tập Đoàn Karofi Holding</t>
        </is>
      </c>
      <c r="E8160" s="10" t="inlineStr">
        <is>
          <t>Lương:16 Tr - 25 Tr VND</t>
        </is>
      </c>
      <c r="F8160" s="10" t="inlineStr">
        <is>
          <t>Hưng Yên</t>
        </is>
      </c>
      <c r="G8160" s="10" t="inlineStr">
        <is>
          <t>29-04-2026</t>
        </is>
      </c>
      <c r="H8160" s="10" t="inlineStr">
        <is>
          <t>29/04/2026</t>
        </is>
      </c>
      <c r="I8160" s="10" t="inlineStr">
        <is>
          <t>17/03/2026</t>
        </is>
      </c>
      <c r="J8160" s="10" t="inlineStr">
        <is>
          <t>Kế toán / Kiểm toán</t>
        </is>
      </c>
      <c r="K8160" s="10" t="inlineStr">
        <is>
          <t>1 - 3 Năm</t>
        </is>
      </c>
      <c r="L8160" s="11">
        <f>HYPERLINK("https://careerviet.vn/vi/tim-viec-lam/ke-toan-san-xuat-gia-thanh.35C6CBFA.html","Xem chi tiết")</f>
        <v/>
      </c>
      <c r="M8160" s="10" t="n"/>
    </row>
    <row r="8161">
      <c r="B8161" s="7" t="n">
        <v>8159</v>
      </c>
      <c r="C8161" t="inlineStr">
        <is>
          <t>Sourcing Specialist - Facilities &amp; Construction(Mới)</t>
        </is>
      </c>
      <c r="D8161" t="inlineStr">
        <is>
          <t>Techtronic Industries Vietnam Manufacturing Company Limited</t>
        </is>
      </c>
      <c r="E8161" t="inlineStr">
        <is>
          <t>Lương:Cạnh tranh</t>
        </is>
      </c>
      <c r="F8161" t="inlineStr">
        <is>
          <t>Hồ Chí Minh</t>
        </is>
      </c>
      <c r="G8161" t="inlineStr">
        <is>
          <t>15-04-2026</t>
        </is>
      </c>
      <c r="H8161" t="inlineStr">
        <is>
          <t>15/04/2026</t>
        </is>
      </c>
      <c r="I8161" t="inlineStr">
        <is>
          <t>17/03/2026</t>
        </is>
      </c>
      <c r="J8161" t="inlineStr">
        <is>
          <t>Xây dựng, Cơ khí / Ô tô / Tự động hóa, Thu mua / Vật tư</t>
        </is>
      </c>
      <c r="K8161" t="inlineStr">
        <is>
          <t>2 - 5 Năm</t>
        </is>
      </c>
      <c r="L8161" s="8">
        <f>HYPERLINK("https://careerviet.vn/vi/tim-viec-lam/sourcing-specialist-facilities-construction.35C6CC03.html","Xem chi tiết")</f>
        <v/>
      </c>
    </row>
    <row r="8162">
      <c r="B8162" s="9" t="n">
        <v>8160</v>
      </c>
      <c r="C8162" s="10" t="inlineStr">
        <is>
          <t>Product Marketing Assistant/Trợ lý Tiếp thị Sản phẩm</t>
        </is>
      </c>
      <c r="D8162" s="10" t="inlineStr">
        <is>
          <t>CJ Foodville Việt Nam</t>
        </is>
      </c>
      <c r="E8162" s="10" t="inlineStr">
        <is>
          <t>Lương:Cạnh tranh</t>
        </is>
      </c>
      <c r="F8162" s="10" t="inlineStr">
        <is>
          <t>Hồ Chí Minh</t>
        </is>
      </c>
      <c r="G8162" s="10" t="inlineStr">
        <is>
          <t>4</t>
        </is>
      </c>
      <c r="H8162" s="10" t="inlineStr">
        <is>
          <t>21/03/2026</t>
        </is>
      </c>
      <c r="I8162" s="10" t="inlineStr">
        <is>
          <t>17/03/2026</t>
        </is>
      </c>
      <c r="J8162" s="10" t="inlineStr">
        <is>
          <t>Quảng cáo / Đối ngoại / Truyền Thông</t>
        </is>
      </c>
      <c r="K8162" s="10" t="inlineStr">
        <is>
          <t>Trên 2 Năm</t>
        </is>
      </c>
      <c r="L8162" s="11">
        <f>HYPERLINK("https://careerviet.vn/vi/tim-viec-lam/product-marketing-assistant-tro-ly-tiep-thi-san-pham.35C66137.html","Xem chi tiết")</f>
        <v/>
      </c>
      <c r="M8162" s="10" t="n"/>
    </row>
    <row r="8163">
      <c r="B8163" s="7" t="n">
        <v>8161</v>
      </c>
      <c r="C8163" t="inlineStr">
        <is>
          <t>Nhân Viên Kho(Mới)</t>
        </is>
      </c>
      <c r="D8163" t="inlineStr">
        <is>
          <t>Orioled Hub</t>
        </is>
      </c>
      <c r="E8163" t="inlineStr">
        <is>
          <t>Lương:Cạnh tranh</t>
        </is>
      </c>
      <c r="F8163" t="inlineStr">
        <is>
          <t>Bà Rịa - Vũng Tàu</t>
        </is>
      </c>
      <c r="G8163" t="inlineStr">
        <is>
          <t>31-03-2026</t>
        </is>
      </c>
      <c r="H8163" t="inlineStr">
        <is>
          <t>31/03/2026</t>
        </is>
      </c>
      <c r="I8163" t="inlineStr">
        <is>
          <t>17/03/2026</t>
        </is>
      </c>
      <c r="J8163" t="inlineStr">
        <is>
          <t>Dược phẩm/ Hóa Mỹ Phẩm, Vận chuyển / Giao nhận / Kho vận</t>
        </is>
      </c>
      <c r="K8163" t="inlineStr">
        <is>
          <t>Lên đến 1 Năm</t>
        </is>
      </c>
      <c r="L8163" s="8">
        <f>HYPERLINK("https://careerviet.vn/vi/tim-viec-lam/nhan-vien-kho.35C6CBF3.html","Xem chi tiết")</f>
        <v/>
      </c>
    </row>
    <row r="8164">
      <c r="B8164" s="9" t="n">
        <v>8162</v>
      </c>
      <c r="C8164" s="10" t="inlineStr">
        <is>
          <t>[HCM] Quản Lý Nhà Hàng/Restaurant Manager(Mới)</t>
        </is>
      </c>
      <c r="D8164" s="10" t="inlineStr">
        <is>
          <t>CÔNG TY TNHH THƯƠNG MẠI VÀ DỊCH VỤ TALAD THAI</t>
        </is>
      </c>
      <c r="E8164" s="10" t="inlineStr">
        <is>
          <t>Lương:15 Tr - 17 Tr VND</t>
        </is>
      </c>
      <c r="F8164" s="10" t="inlineStr">
        <is>
          <t>Hồ Chí Minh</t>
        </is>
      </c>
      <c r="G8164" s="10" t="inlineStr">
        <is>
          <t>15-04-2026</t>
        </is>
      </c>
      <c r="H8164" s="10" t="inlineStr">
        <is>
          <t>15/04/2026</t>
        </is>
      </c>
      <c r="I8164" s="10" t="inlineStr">
        <is>
          <t>17/03/2026</t>
        </is>
      </c>
      <c r="J8164" s="10" t="inlineStr">
        <is>
          <t>Nhà hàng / Khách sạn, Bán hàng / Kinh doanh</t>
        </is>
      </c>
      <c r="K8164" s="10" t="inlineStr">
        <is>
          <t>Trên 2 Năm</t>
        </is>
      </c>
      <c r="L8164" s="11">
        <f>HYPERLINK("https://careerviet.vn/vi/tim-viec-lam/hcm-quan-ly-nha-hang-restaurant-manager.35C6CBE3.html","Xem chi tiết")</f>
        <v/>
      </c>
      <c r="M8164" s="10" t="n"/>
    </row>
    <row r="8165">
      <c r="B8165" s="7" t="n">
        <v>8163</v>
      </c>
      <c r="C8165" t="inlineStr">
        <is>
          <t>Nhân Viên Thiết Kế Điện(Mới)</t>
        </is>
      </c>
      <c r="D8165" t="inlineStr">
        <is>
          <t>CÔNG TY TNHH RORZE ROBOTECH</t>
        </is>
      </c>
      <c r="E8165" t="inlineStr">
        <is>
          <t>Lương:Cạnh tranh</t>
        </is>
      </c>
      <c r="F8165" t="inlineStr">
        <is>
          <t>Hải Phòng</t>
        </is>
      </c>
      <c r="G8165" t="inlineStr">
        <is>
          <t>16-04-2026</t>
        </is>
      </c>
      <c r="H8165" t="inlineStr">
        <is>
          <t>16/04/2026</t>
        </is>
      </c>
      <c r="I8165" t="inlineStr">
        <is>
          <t>17/03/2026</t>
        </is>
      </c>
      <c r="J8165" t="inlineStr">
        <is>
          <t>Điện / Điện tử / Điện lạnh / Điện công nghiệp, Cơ khí / Ô tô / Tự động hóa, Bảo trì / Sửa chữa</t>
        </is>
      </c>
      <c r="K8165" t="inlineStr">
        <is>
          <t>N/A</t>
        </is>
      </c>
      <c r="L8165" s="8">
        <f>HYPERLINK("https://careerviet.vn/vi/tim-viec-lam/nhan-vien-thiet-ke-dien.35C6CBA4.html","Xem chi tiết")</f>
        <v/>
      </c>
    </row>
    <row r="8166">
      <c r="B8166" s="9" t="n">
        <v>8164</v>
      </c>
      <c r="C8166" s="10" t="inlineStr">
        <is>
          <t>Nhân Viên Sản Xuất(Mới)</t>
        </is>
      </c>
      <c r="D8166" s="10" t="inlineStr">
        <is>
          <t>Orioled Hub</t>
        </is>
      </c>
      <c r="E8166" s="10" t="inlineStr">
        <is>
          <t>Lương:Cạnh tranh</t>
        </is>
      </c>
      <c r="F8166" s="10" t="inlineStr">
        <is>
          <t>Bà Rịa - Vũng Tàu</t>
        </is>
      </c>
      <c r="G8166" s="10" t="inlineStr">
        <is>
          <t>11-04-2026</t>
        </is>
      </c>
      <c r="H8166" s="10" t="inlineStr">
        <is>
          <t>11/04/2026</t>
        </is>
      </c>
      <c r="I8166" s="10" t="inlineStr">
        <is>
          <t>17/03/2026</t>
        </is>
      </c>
      <c r="J8166" s="10" t="inlineStr">
        <is>
          <t>Dược phẩm/ Hóa Mỹ Phẩm, Cơ khí / Ô tô / Tự động hóa, Sản xuất / Vận hành sản xuất</t>
        </is>
      </c>
      <c r="K8166" s="10" t="inlineStr">
        <is>
          <t>N/A</t>
        </is>
      </c>
      <c r="L8166" s="11">
        <f>HYPERLINK("https://careerviet.vn/vi/tim-viec-lam/nhan-vien-san-xuat.35C6CBED.html","Xem chi tiết")</f>
        <v/>
      </c>
      <c r="M8166" s="10" t="n"/>
    </row>
    <row r="8167">
      <c r="B8167" s="7" t="n">
        <v>8165</v>
      </c>
      <c r="C8167" t="inlineStr">
        <is>
          <t>Nhân Viên Kỹ Thuật Lắp Ráp(Mới)</t>
        </is>
      </c>
      <c r="D8167" t="inlineStr">
        <is>
          <t>CÔNG TY TNHH RORZE ROBOTECH</t>
        </is>
      </c>
      <c r="E8167" t="inlineStr">
        <is>
          <t>Lương:Cạnh tranh</t>
        </is>
      </c>
      <c r="F8167" t="inlineStr">
        <is>
          <t>Hải Phòng</t>
        </is>
      </c>
      <c r="G8167" t="inlineStr">
        <is>
          <t>16-04-2026</t>
        </is>
      </c>
      <c r="H8167" t="inlineStr">
        <is>
          <t>16/04/2026</t>
        </is>
      </c>
      <c r="I8167" t="inlineStr">
        <is>
          <t>17/03/2026</t>
        </is>
      </c>
      <c r="J8167" t="inlineStr">
        <is>
          <t>Cơ khí / Ô tô / Tự động hóa, Bảo trì / Sửa chữa, Điện / Điện tử / Điện lạnh / Điện công nghiệp</t>
        </is>
      </c>
      <c r="K8167" t="inlineStr">
        <is>
          <t>N/A</t>
        </is>
      </c>
      <c r="L8167" s="8">
        <f>HYPERLINK("https://careerviet.vn/vi/tim-viec-lam/nhan-vien-ky-thuat-lap-rap.35C6CB98.html","Xem chi tiết")</f>
        <v/>
      </c>
    </row>
    <row r="8168">
      <c r="B8168" s="9" t="n">
        <v>8166</v>
      </c>
      <c r="C8168" s="10" t="inlineStr">
        <is>
          <t>Trưởng Nhóm Thẩm Định(Mới)</t>
        </is>
      </c>
      <c r="D8168" s="10" t="inlineStr">
        <is>
          <t>Orioled Hub</t>
        </is>
      </c>
      <c r="E8168" s="10" t="inlineStr">
        <is>
          <t>Lương:18 Tr - 30 Tr VND</t>
        </is>
      </c>
      <c r="F8168" s="10" t="inlineStr">
        <is>
          <t>Bà Rịa - Vũng TàuHồ Chí Minh</t>
        </is>
      </c>
      <c r="G8168" s="10" t="inlineStr">
        <is>
          <t>11-04-2026</t>
        </is>
      </c>
      <c r="H8168" s="10" t="inlineStr">
        <is>
          <t>11/04/2026</t>
        </is>
      </c>
      <c r="I8168" s="10" t="inlineStr">
        <is>
          <t>17/03/2026</t>
        </is>
      </c>
      <c r="J8168" s="10" t="inlineStr">
        <is>
          <t>Dược phẩm/ Hóa Mỹ Phẩm, Sản xuất / Vận hành sản xuất, Quản lý chất lượng (QA/QC)</t>
        </is>
      </c>
      <c r="K8168" s="10" t="inlineStr">
        <is>
          <t>Lên đến 3 Năm</t>
        </is>
      </c>
      <c r="L8168" s="11">
        <f>HYPERLINK("https://careerviet.vn/vi/tim-viec-lam/truong-nhom-tham-dinh.35C6CBF0.html","Xem chi tiết")</f>
        <v/>
      </c>
      <c r="M8168" s="10" t="n"/>
    </row>
    <row r="8169">
      <c r="B8169" s="7" t="n">
        <v>8167</v>
      </c>
      <c r="C8169" t="inlineStr">
        <is>
          <t>Nhân Viên Kiểm Soát Rủi Ro(Mới)</t>
        </is>
      </c>
      <c r="D8169" t="inlineStr">
        <is>
          <t>Orioled Hub</t>
        </is>
      </c>
      <c r="E8169" t="inlineStr">
        <is>
          <t>Lương:Cạnh tranh</t>
        </is>
      </c>
      <c r="F8169" t="inlineStr">
        <is>
          <t>Bà Rịa - Vũng Tàu</t>
        </is>
      </c>
      <c r="G8169" t="inlineStr">
        <is>
          <t>30-04-2026</t>
        </is>
      </c>
      <c r="H8169" t="inlineStr">
        <is>
          <t>30/04/2026</t>
        </is>
      </c>
      <c r="I8169" t="inlineStr">
        <is>
          <t>17/03/2026</t>
        </is>
      </c>
      <c r="J8169" t="inlineStr">
        <is>
          <t>Dược phẩm/ Hóa Mỹ Phẩm, Sản xuất / Vận hành sản xuất</t>
        </is>
      </c>
      <c r="K8169" t="inlineStr">
        <is>
          <t>Lên đến 1 Năm</t>
        </is>
      </c>
      <c r="L8169" s="8">
        <f>HYPERLINK("https://careerviet.vn/vi/tim-viec-lam/nhan-vien-kiem-soat-rui-ro.35C6CBEC.html","Xem chi tiết")</f>
        <v/>
      </c>
    </row>
    <row r="8170">
      <c r="B8170" s="9" t="n">
        <v>8168</v>
      </c>
      <c r="C8170" s="10" t="inlineStr">
        <is>
          <t>Nhân Viên Đánh Giá Thiết Bị(Mới)</t>
        </is>
      </c>
      <c r="D8170" s="10" t="inlineStr">
        <is>
          <t>Orioled Hub</t>
        </is>
      </c>
      <c r="E8170" s="10" t="inlineStr">
        <is>
          <t>Lương:Cạnh tranh</t>
        </is>
      </c>
      <c r="F8170" s="10" t="inlineStr">
        <is>
          <t>Bà Rịa - Vũng Tàu</t>
        </is>
      </c>
      <c r="G8170" s="10" t="inlineStr">
        <is>
          <t>23-04-2026</t>
        </is>
      </c>
      <c r="H8170" s="10" t="inlineStr">
        <is>
          <t>23/04/2026</t>
        </is>
      </c>
      <c r="I8170" s="10" t="inlineStr">
        <is>
          <t>17/03/2026</t>
        </is>
      </c>
      <c r="J8170" s="10" t="inlineStr">
        <is>
          <t>Dược phẩm/ Hóa Mỹ Phẩm, Sản xuất / Vận hành sản xuất, Quản lý chất lượng (QA/QC)</t>
        </is>
      </c>
      <c r="K8170" s="10" t="inlineStr">
        <is>
          <t>Lên đến 1 Năm</t>
        </is>
      </c>
      <c r="L8170" s="11">
        <f>HYPERLINK("https://careerviet.vn/vi/tim-viec-lam/nhan-vien-danh-gia-thiet-bi.35C6CBEB.html","Xem chi tiết")</f>
        <v/>
      </c>
      <c r="M8170" s="10" t="n"/>
    </row>
    <row r="8171">
      <c r="B8171" s="7" t="n">
        <v>8169</v>
      </c>
      <c r="C8171" t="inlineStr">
        <is>
          <t>Tuyển dụng 5 nhân viên tư vấn dự án nhà ở xã hội làm việc tại Đà Nẵng(Mới)</t>
        </is>
      </c>
      <c r="D8171" t="inlineStr">
        <is>
          <t>Công Ty Cổ Phần Đức Mạnh</t>
        </is>
      </c>
      <c r="E8171" t="inlineStr">
        <is>
          <t>Lương:8 Tr - 10 Tr VND</t>
        </is>
      </c>
      <c r="F8171" t="inlineStr">
        <is>
          <t>Đà Nẵng</t>
        </is>
      </c>
      <c r="G8171" t="inlineStr">
        <is>
          <t>16-04-2026</t>
        </is>
      </c>
      <c r="H8171" t="inlineStr">
        <is>
          <t>16/04/2026</t>
        </is>
      </c>
      <c r="I8171" t="inlineStr">
        <is>
          <t>17/03/2026</t>
        </is>
      </c>
      <c r="J8171" t="inlineStr">
        <is>
          <t>Luật / Pháp lý, Bất động sản</t>
        </is>
      </c>
      <c r="K8171" t="inlineStr">
        <is>
          <t>3 - 5 Năm</t>
        </is>
      </c>
      <c r="L8171" s="8">
        <f>HYPERLINK("https://careerviet.vn/vi/tim-viec-lam/tuyen-dung-5-nhan-vien-tu-van-du-an-nha-o-xa-hoi-lam-viec-tai-da-nang.35C6CBF5.html","Xem chi tiết")</f>
        <v/>
      </c>
    </row>
    <row r="8172">
      <c r="B8172" s="9" t="n">
        <v>8170</v>
      </c>
      <c r="C8172" s="10" t="inlineStr">
        <is>
          <t>Thực tập sinh Nhân sự tuyển dụng(Mới)</t>
        </is>
      </c>
      <c r="D8172" s="10" t="inlineStr">
        <is>
          <t>Tổng Công ty Cổ phần Công trình Viettel</t>
        </is>
      </c>
      <c r="E8172" s="10" t="inlineStr">
        <is>
          <t>Lương:2 Tr - 3 Tr VND</t>
        </is>
      </c>
      <c r="F8172" s="10" t="inlineStr">
        <is>
          <t>Hà Nội</t>
        </is>
      </c>
      <c r="G8172" s="10" t="inlineStr">
        <is>
          <t>07-04-2026</t>
        </is>
      </c>
      <c r="H8172" s="10" t="inlineStr">
        <is>
          <t>07/04/2026</t>
        </is>
      </c>
      <c r="I8172" s="10" t="inlineStr">
        <is>
          <t>17/03/2026</t>
        </is>
      </c>
      <c r="J8172" s="10" t="inlineStr">
        <is>
          <t>Nhân sự, Quảng cáo / Đối ngoại / Truyền Thông</t>
        </is>
      </c>
      <c r="K8172" s="10" t="inlineStr">
        <is>
          <t>Chưa có kinh nghiệm</t>
        </is>
      </c>
      <c r="L8172" s="11">
        <f>HYPERLINK("https://careerviet.vn/vi/tim-viec-lam/thuc-tap-sinh-nhan-su-tuyen-dung.35C6CBE9.html","Xem chi tiết")</f>
        <v/>
      </c>
      <c r="M8172" s="10" t="n"/>
    </row>
    <row r="8173">
      <c r="B8173" s="7" t="n">
        <v>8171</v>
      </c>
      <c r="C8173" t="inlineStr">
        <is>
          <t>TẬP SỰ TƯ VẤN ĐẦU TƯ CHỨNG KHOÁN (CẦN THƠ )(Mới)</t>
        </is>
      </c>
      <c r="D8173" t="inlineStr">
        <is>
          <t>VDSC - Công ty CP Chứng khoán Rồng Việt</t>
        </is>
      </c>
      <c r="E8173" t="inlineStr">
        <is>
          <t>Lương:3 Tr - 5 Tr VND</t>
        </is>
      </c>
      <c r="F8173" t="inlineStr">
        <is>
          <t>Cần Thơ</t>
        </is>
      </c>
      <c r="G8173" t="inlineStr">
        <is>
          <t>30-04-2026</t>
        </is>
      </c>
      <c r="H8173" t="inlineStr">
        <is>
          <t>30/04/2026</t>
        </is>
      </c>
      <c r="I8173" t="inlineStr">
        <is>
          <t>17/03/2026</t>
        </is>
      </c>
      <c r="J8173" t="inlineStr">
        <is>
          <t>Ngân hàng, Chứng khoán, Tài chính / Đầu tư</t>
        </is>
      </c>
      <c r="K8173" t="inlineStr">
        <is>
          <t>N/A</t>
        </is>
      </c>
      <c r="L8173" s="8">
        <f>HYPERLINK("https://careerviet.vn/vi/tim-viec-lam/tap-su-tu-van-dau-tu-chung-khoan-can-tho.35C6CBE0.html","Xem chi tiết")</f>
        <v/>
      </c>
    </row>
    <row r="8174">
      <c r="B8174" s="9" t="n">
        <v>8172</v>
      </c>
      <c r="C8174" s="10" t="inlineStr">
        <is>
          <t>Nhân Viên Kho(Mới)</t>
        </is>
      </c>
      <c r="D8174" s="10" t="inlineStr">
        <is>
          <t>Orioled Hub</t>
        </is>
      </c>
      <c r="E8174" s="10" t="inlineStr">
        <is>
          <t>Lương:Cạnh tranh</t>
        </is>
      </c>
      <c r="F8174" s="10" t="inlineStr">
        <is>
          <t>Hồ Chí Minh</t>
        </is>
      </c>
      <c r="G8174" s="10" t="inlineStr">
        <is>
          <t>30-04-2026</t>
        </is>
      </c>
      <c r="H8174" s="10" t="inlineStr">
        <is>
          <t>30/04/2026</t>
        </is>
      </c>
      <c r="I8174" s="10" t="inlineStr">
        <is>
          <t>17/03/2026</t>
        </is>
      </c>
      <c r="J8174" s="10" t="inlineStr">
        <is>
          <t>Dược phẩm/ Hóa Mỹ Phẩm, Vận chuyển / Giao nhận / Kho vận, Xuất nhập khẩu</t>
        </is>
      </c>
      <c r="K8174" s="10" t="inlineStr">
        <is>
          <t>N/A</t>
        </is>
      </c>
      <c r="L8174" s="11">
        <f>HYPERLINK("https://careerviet.vn/vi/tim-viec-lam/nhan-vien-kho.35C6CBE8.html","Xem chi tiết")</f>
        <v/>
      </c>
      <c r="M8174" s="10" t="n"/>
    </row>
    <row r="8175">
      <c r="B8175" s="7" t="n">
        <v>8173</v>
      </c>
      <c r="C8175" t="inlineStr">
        <is>
          <t>Nhân viên hành chính nhân sự(Mới)</t>
        </is>
      </c>
      <c r="D8175" t="inlineStr">
        <is>
          <t>CÔNG TY CỔ PHẦN SẢN XUẤT TÓC APOGROUP</t>
        </is>
      </c>
      <c r="E8175" t="inlineStr">
        <is>
          <t>Lương:6 Tr - 12 Tr VND</t>
        </is>
      </c>
      <c r="F8175" t="inlineStr">
        <is>
          <t>Hà Nội</t>
        </is>
      </c>
      <c r="G8175" t="inlineStr">
        <is>
          <t>15-04-2026</t>
        </is>
      </c>
      <c r="H8175" t="inlineStr">
        <is>
          <t>15/04/2026</t>
        </is>
      </c>
      <c r="I8175" t="inlineStr">
        <is>
          <t>17/03/2026</t>
        </is>
      </c>
      <c r="J8175" t="inlineStr">
        <is>
          <t>Xuất nhập khẩu, Hành chính / Thư ký, Nhân sự</t>
        </is>
      </c>
      <c r="K8175" t="inlineStr">
        <is>
          <t>Chưa có kinh nghiệm</t>
        </is>
      </c>
      <c r="L8175" s="8">
        <f>HYPERLINK("https://careerviet.vn/vi/tim-viec-lam/nhan-vien-hanh-chinh-nhan-su.35C6CB5C.html","Xem chi tiết")</f>
        <v/>
      </c>
    </row>
    <row r="8176">
      <c r="B8176" s="9" t="n">
        <v>8174</v>
      </c>
      <c r="C8176" s="10" t="inlineStr">
        <is>
          <t>Kế toán tổng hợp(Mới)</t>
        </is>
      </c>
      <c r="D8176" s="10" t="inlineStr">
        <is>
          <t>Công Ty TNHH Thương Mại và Dịch Vụ Hân Bảo</t>
        </is>
      </c>
      <c r="E8176" s="10" t="inlineStr">
        <is>
          <t>Lương:Cạnh tranh</t>
        </is>
      </c>
      <c r="F8176" s="10" t="inlineStr">
        <is>
          <t>Khánh Hòa</t>
        </is>
      </c>
      <c r="G8176" s="10" t="inlineStr">
        <is>
          <t>30-03-2026</t>
        </is>
      </c>
      <c r="H8176" s="10" t="inlineStr">
        <is>
          <t>30/03/2026</t>
        </is>
      </c>
      <c r="I8176" s="10" t="inlineStr">
        <is>
          <t>17/03/2026</t>
        </is>
      </c>
      <c r="J8176" s="10" t="inlineStr">
        <is>
          <t>Kế toán / Kiểm toán</t>
        </is>
      </c>
      <c r="K8176" s="10" t="inlineStr">
        <is>
          <t>2 - 5 Năm</t>
        </is>
      </c>
      <c r="L8176" s="11">
        <f>HYPERLINK("https://careerviet.vn/vi/tim-viec-lam/ke-toan-tong-hop.35C6C9DB.html","Xem chi tiết")</f>
        <v/>
      </c>
      <c r="M8176" s="10" t="n"/>
    </row>
    <row r="8177">
      <c r="B8177" s="7" t="n">
        <v>8175</v>
      </c>
      <c r="C8177" t="inlineStr">
        <is>
          <t>Chuyên Viên Tuyển Dụng (Ngành F&amp;B)(Mới)</t>
        </is>
      </c>
      <c r="D8177" t="inlineStr">
        <is>
          <t>Nova Service Group - Công ty Cổ phần Tập đoàn Nova Services</t>
        </is>
      </c>
      <c r="E8177" t="inlineStr">
        <is>
          <t>Lương:18 Tr - 25 Tr VND</t>
        </is>
      </c>
      <c r="F8177" t="inlineStr">
        <is>
          <t>Hồ Chí Minh</t>
        </is>
      </c>
      <c r="G8177" t="inlineStr">
        <is>
          <t>30-04-2026</t>
        </is>
      </c>
      <c r="H8177" t="inlineStr">
        <is>
          <t>30/04/2026</t>
        </is>
      </c>
      <c r="I8177" t="inlineStr">
        <is>
          <t>17/03/2026</t>
        </is>
      </c>
      <c r="J8177" t="inlineStr">
        <is>
          <t>Nhân sự, Nhà hàng / Khách sạn, Thực phẩm &amp; Đồ uống</t>
        </is>
      </c>
      <c r="K8177" t="inlineStr">
        <is>
          <t>1 - 3 Năm</t>
        </is>
      </c>
      <c r="L8177" s="8">
        <f>HYPERLINK("https://careerviet.vn/vi/tim-viec-lam/chuyen-vien-tuyen-dung-nganh-f-b.35C6CBDC.html","Xem chi tiết")</f>
        <v/>
      </c>
    </row>
    <row r="8178">
      <c r="B8178" s="9" t="n">
        <v>8176</v>
      </c>
      <c r="C8178" s="10" t="inlineStr">
        <is>
          <t>CHUYÊN VIÊN TƯ VẤN ĐẦU TƯ KHCN (BÌNH DƯƠNG)(Mới)</t>
        </is>
      </c>
      <c r="D8178" s="10" t="inlineStr">
        <is>
          <t>VDSC - Công ty CP Chứng khoán Rồng Việt</t>
        </is>
      </c>
      <c r="E8178" s="10" t="inlineStr">
        <is>
          <t>Lương:7 Tr - 20 Tr VND</t>
        </is>
      </c>
      <c r="F8178" s="10" t="inlineStr">
        <is>
          <t>Bình Dương</t>
        </is>
      </c>
      <c r="G8178" s="10" t="inlineStr">
        <is>
          <t>30-04-2026</t>
        </is>
      </c>
      <c r="H8178" s="10" t="inlineStr">
        <is>
          <t>30/04/2026</t>
        </is>
      </c>
      <c r="I8178" s="10" t="inlineStr">
        <is>
          <t>17/03/2026</t>
        </is>
      </c>
      <c r="J8178" s="10" t="inlineStr">
        <is>
          <t>Ngân hàng, Chứng khoán, Tài chính / Đầu tư</t>
        </is>
      </c>
      <c r="K8178" s="10" t="inlineStr">
        <is>
          <t>Trên 1 Năm</t>
        </is>
      </c>
      <c r="L8178" s="11">
        <f>HYPERLINK("https://careerviet.vn/vi/tim-viec-lam/chuyen-vien-tu-van-dau-tu-khcn-binh-duong.35C69C73.html","Xem chi tiết")</f>
        <v/>
      </c>
      <c r="M8178" s="10" t="n"/>
    </row>
    <row r="8179">
      <c r="B8179" s="7" t="n">
        <v>8177</v>
      </c>
      <c r="C8179" t="inlineStr">
        <is>
          <t>KẾ TOÁN NỘI BỘ(Mới)</t>
        </is>
      </c>
      <c r="D8179" t="inlineStr">
        <is>
          <t>Top Ten Travel</t>
        </is>
      </c>
      <c r="E8179" t="inlineStr">
        <is>
          <t>Lương:7 Tr - 9 Tr VND</t>
        </is>
      </c>
      <c r="F8179" t="inlineStr">
        <is>
          <t>Hồ Chí Minh</t>
        </is>
      </c>
      <c r="G8179" t="inlineStr">
        <is>
          <t>31-05-2026</t>
        </is>
      </c>
      <c r="H8179" t="inlineStr">
        <is>
          <t>31/05/2026</t>
        </is>
      </c>
      <c r="I8179" t="inlineStr">
        <is>
          <t>17/03/2026</t>
        </is>
      </c>
      <c r="J8179" t="inlineStr">
        <is>
          <t>Kế toán / Kiểm toán, Du lịch, Hành chính / Thư ký</t>
        </is>
      </c>
      <c r="K8179" t="inlineStr">
        <is>
          <t>Chưa có kinh nghiệm</t>
        </is>
      </c>
      <c r="L8179" s="8">
        <f>HYPERLINK("https://careerviet.vn/vi/tim-viec-lam/ke-toan-noi-bo.35C6CB9E.html","Xem chi tiết")</f>
        <v/>
      </c>
    </row>
    <row r="8180">
      <c r="B8180" s="9" t="n">
        <v>8178</v>
      </c>
      <c r="C8180" s="10" t="inlineStr">
        <is>
          <t>Chuyên viên Chăm sóc khách hàng chủ động - Phòng Phát triển khách hàng Trụ sở chính(Mới)</t>
        </is>
      </c>
      <c r="D8180" s="10" t="inlineStr">
        <is>
          <t>Công ty TNHH Chứng khoán Ngân hàng TMCP Ngoại thương Việt Nam (VCBS - Vietcombank Securities)</t>
        </is>
      </c>
      <c r="E8180" s="10" t="inlineStr">
        <is>
          <t>Lương:Cạnh tranh</t>
        </is>
      </c>
      <c r="F8180" s="10" t="inlineStr">
        <is>
          <t>Hà Nội</t>
        </is>
      </c>
      <c r="G8180" s="10" t="inlineStr">
        <is>
          <t>29-04-2026</t>
        </is>
      </c>
      <c r="H8180" s="10" t="inlineStr">
        <is>
          <t>29/04/2026</t>
        </is>
      </c>
      <c r="I8180" s="10" t="inlineStr">
        <is>
          <t>17/03/2026</t>
        </is>
      </c>
      <c r="J8180" s="10" t="inlineStr">
        <is>
          <t>Tư vấn, Chứng khoán, Tài chính / Đầu tư</t>
        </is>
      </c>
      <c r="K8180" s="10" t="inlineStr">
        <is>
          <t>Lên đến 3 Năm</t>
        </is>
      </c>
      <c r="L8180" s="11">
        <f>HYPERLINK("https://careerviet.vn/vi/tim-viec-lam/chuyen-vien-cham-soc-khach-hang-chu-dong-phong-phat-trien-khach-hang-tru-so-chinh.35C6CBCB.html","Xem chi tiết")</f>
        <v/>
      </c>
      <c r="M8180" s="10" t="n"/>
    </row>
    <row r="8181">
      <c r="B8181" s="7" t="n">
        <v>8179</v>
      </c>
      <c r="C8181" t="inlineStr">
        <is>
          <t>[PART-TIME] Nhân viên hành chính - Trợ lý Giám đốc(Mới)</t>
        </is>
      </c>
      <c r="D8181" t="inlineStr">
        <is>
          <t>Công ty TNHH Giải pháp Data V Tech</t>
        </is>
      </c>
      <c r="E8181" t="inlineStr">
        <is>
          <t>Lương:1,8 Tr - 2 Tr VND</t>
        </is>
      </c>
      <c r="F8181" t="inlineStr">
        <is>
          <t>Hồ Chí Minh</t>
        </is>
      </c>
      <c r="G8181" t="inlineStr">
        <is>
          <t>16-04-2026</t>
        </is>
      </c>
      <c r="H8181" t="inlineStr">
        <is>
          <t>16/04/2026</t>
        </is>
      </c>
      <c r="I8181" t="inlineStr">
        <is>
          <t>17/03/2026</t>
        </is>
      </c>
      <c r="J8181" t="inlineStr">
        <is>
          <t>Hành chính / Thư ký</t>
        </is>
      </c>
      <c r="K8181" t="inlineStr">
        <is>
          <t>N/A</t>
        </is>
      </c>
      <c r="L8181" s="8">
        <f>HYPERLINK("https://careerviet.vn/vi/tim-viec-lam/part-time-nhan-vien-hanh-chinh-tro-ly-giam-doc.35C6CBD2.html","Xem chi tiết")</f>
        <v/>
      </c>
    </row>
    <row r="8182">
      <c r="B8182" s="9" t="n">
        <v>8180</v>
      </c>
      <c r="C8182" s="10" t="inlineStr">
        <is>
          <t>TẬP SỰ TƯ VẤN ĐẦU TƯ CHỨNG KHOÁN  (Bình Dương)(Mới)</t>
        </is>
      </c>
      <c r="D8182" s="10" t="inlineStr">
        <is>
          <t>VDSC - Công ty CP Chứng khoán Rồng Việt</t>
        </is>
      </c>
      <c r="E8182" s="10" t="inlineStr">
        <is>
          <t>Lương:3 Tr - 5 Tr VND</t>
        </is>
      </c>
      <c r="F8182" s="10" t="inlineStr">
        <is>
          <t>Bình Dương</t>
        </is>
      </c>
      <c r="G8182" s="10" t="inlineStr">
        <is>
          <t>13-04-2026</t>
        </is>
      </c>
      <c r="H8182" s="10" t="inlineStr">
        <is>
          <t>13/04/2026</t>
        </is>
      </c>
      <c r="I8182" s="10" t="inlineStr">
        <is>
          <t>17/03/2026</t>
        </is>
      </c>
      <c r="J8182" s="10" t="inlineStr">
        <is>
          <t>Chứng khoán, Tài chính / Đầu tư, Ngân hàng</t>
        </is>
      </c>
      <c r="K8182" s="10" t="inlineStr">
        <is>
          <t>N/A</t>
        </is>
      </c>
      <c r="L8182" s="11">
        <f>HYPERLINK("https://careerviet.vn/vi/tim-viec-lam/tap-su-tu-van-dau-tu-chung-khoan-binh-duong.35C6CBCF.html","Xem chi tiết")</f>
        <v/>
      </c>
      <c r="M8182" s="10" t="n"/>
    </row>
    <row r="8183">
      <c r="B8183" s="7" t="n">
        <v>8181</v>
      </c>
      <c r="C8183" t="inlineStr">
        <is>
          <t>Giáo Viên Mầm Non- Quận 7(Mới)</t>
        </is>
      </c>
      <c r="D8183" t="inlineStr">
        <is>
          <t>Công Ty TNHH Kindy City</t>
        </is>
      </c>
      <c r="E8183" t="inlineStr">
        <is>
          <t>Lương:9 Tr - 12 Tr VND</t>
        </is>
      </c>
      <c r="F8183" t="inlineStr">
        <is>
          <t>Hồ Chí Minh</t>
        </is>
      </c>
      <c r="G8183" t="inlineStr">
        <is>
          <t>04-04-2026</t>
        </is>
      </c>
      <c r="H8183" t="inlineStr">
        <is>
          <t>04/04/2026</t>
        </is>
      </c>
      <c r="I8183" t="inlineStr">
        <is>
          <t>17/03/2026</t>
        </is>
      </c>
      <c r="J8183" t="inlineStr">
        <is>
          <t>Giáo dục / Đào tạo, Mới tốt nghiệp / Thực tập</t>
        </is>
      </c>
      <c r="K8183" t="inlineStr">
        <is>
          <t>1 - 4 Năm</t>
        </is>
      </c>
      <c r="L8183" s="8">
        <f>HYPERLINK("https://careerviet.vn/vi/tim-viec-lam/giao-vien-mam-non-quan-7.35C6CBD3.html","Xem chi tiết")</f>
        <v/>
      </c>
    </row>
    <row r="8184">
      <c r="B8184" s="9" t="n">
        <v>8182</v>
      </c>
      <c r="C8184" s="10" t="inlineStr">
        <is>
          <t>Kế toán trưởng(Mới)</t>
        </is>
      </c>
      <c r="D8184" s="10" t="inlineStr">
        <is>
          <t>Công ty cổ phần  vận tải đường sắt Việt Nam</t>
        </is>
      </c>
      <c r="E8184" s="10" t="inlineStr">
        <is>
          <t>Lương:20 Tr - 30 Tr VND</t>
        </is>
      </c>
      <c r="F8184" s="10" t="inlineStr">
        <is>
          <t>Hà Nội</t>
        </is>
      </c>
      <c r="G8184" s="10" t="inlineStr">
        <is>
          <t>21-04-2026</t>
        </is>
      </c>
      <c r="H8184" s="10" t="inlineStr">
        <is>
          <t>21/04/2026</t>
        </is>
      </c>
      <c r="I8184" s="10" t="inlineStr">
        <is>
          <t>17/03/2026</t>
        </is>
      </c>
      <c r="J8184" s="10" t="inlineStr">
        <is>
          <t>Kế toán / Kiểm toán</t>
        </is>
      </c>
      <c r="K8184" s="10" t="inlineStr">
        <is>
          <t>Trên 3 Năm</t>
        </is>
      </c>
      <c r="L8184" s="11">
        <f>HYPERLINK("https://careerviet.vn/vi/tim-viec-lam/ke-toan-truong.35C6CBBF.html","Xem chi tiết")</f>
        <v/>
      </c>
      <c r="M8184" s="10" t="n"/>
    </row>
    <row r="8185">
      <c r="B8185" s="7" t="n">
        <v>8183</v>
      </c>
      <c r="C8185" t="inlineStr">
        <is>
          <t>Purchasing Executive (Food)(Mới)</t>
        </is>
      </c>
      <c r="D8185" t="inlineStr">
        <is>
          <t>Công Ty Cổ Phần Dịch Vụ và Cung Cấp Thực Phẩm Quốc Tế-IFSS</t>
        </is>
      </c>
      <c r="E8185" t="inlineStr">
        <is>
          <t>Lương:18 Tr - 25 Tr VND</t>
        </is>
      </c>
      <c r="F8185" t="inlineStr">
        <is>
          <t>Hồ Chí Minh</t>
        </is>
      </c>
      <c r="G8185" t="inlineStr">
        <is>
          <t>16-04-2026</t>
        </is>
      </c>
      <c r="H8185" t="inlineStr">
        <is>
          <t>16/04/2026</t>
        </is>
      </c>
      <c r="I8185" t="inlineStr">
        <is>
          <t>17/03/2026</t>
        </is>
      </c>
      <c r="J8185" t="inlineStr">
        <is>
          <t>Thực phẩm &amp; Đồ uống, Xuất nhập khẩu, Thu mua / Vật tư</t>
        </is>
      </c>
      <c r="K8185" t="inlineStr">
        <is>
          <t>Trên 5 Năm</t>
        </is>
      </c>
      <c r="L8185" s="8">
        <f>HYPERLINK("https://careerviet.vn/vi/tim-viec-lam/purchasing-executive-food.35C6CB2A.html","Xem chi tiết")</f>
        <v/>
      </c>
    </row>
    <row r="8186">
      <c r="B8186" s="9" t="n">
        <v>8184</v>
      </c>
      <c r="C8186" s="10" t="inlineStr">
        <is>
          <t>Nhân Viên Kinh Doanh Nội Địa(Mới)</t>
        </is>
      </c>
      <c r="D8186" s="10" t="inlineStr">
        <is>
          <t>Antesco</t>
        </is>
      </c>
      <c r="E8186" s="10" t="inlineStr">
        <is>
          <t>Lương:Cạnh tranh</t>
        </is>
      </c>
      <c r="F8186" s="10" t="inlineStr">
        <is>
          <t>Hồ Chí MinhAn Giang</t>
        </is>
      </c>
      <c r="G8186" s="10" t="inlineStr">
        <is>
          <t>15-04-2026</t>
        </is>
      </c>
      <c r="H8186" s="10" t="inlineStr">
        <is>
          <t>15/04/2026</t>
        </is>
      </c>
      <c r="I8186" s="10" t="inlineStr">
        <is>
          <t>17/03/2026</t>
        </is>
      </c>
      <c r="J8186" s="10" t="inlineStr">
        <is>
          <t>Tiếp thị / Marketing, Thực phẩm &amp; Đồ uống, Bán hàng / Kinh doanh</t>
        </is>
      </c>
      <c r="K8186" s="10" t="inlineStr">
        <is>
          <t>1 - 2 Năm</t>
        </is>
      </c>
      <c r="L8186" s="11">
        <f>HYPERLINK("https://careerviet.vn/vi/tim-viec-lam/nhan-vien-kinh-doanh-noi-dia.35C6CBB2.html","Xem chi tiết")</f>
        <v/>
      </c>
      <c r="M8186" s="10" t="n"/>
    </row>
    <row r="8187">
      <c r="B8187" s="7" t="n">
        <v>8185</v>
      </c>
      <c r="C8187" t="inlineStr">
        <is>
          <t>Chuyên Viên Phát Triển Đối Tác(Mới)</t>
        </is>
      </c>
      <c r="D8187" t="inlineStr">
        <is>
          <t>CÔNG TY CỔ PHẦN TM VÀ DV AN VƯỢNG LAND</t>
        </is>
      </c>
      <c r="E8187" t="inlineStr">
        <is>
          <t>Lương:Cạnh tranh</t>
        </is>
      </c>
      <c r="F8187" t="inlineStr">
        <is>
          <t>Hà Nội</t>
        </is>
      </c>
      <c r="G8187" t="inlineStr">
        <is>
          <t>15-04-2026</t>
        </is>
      </c>
      <c r="H8187" t="inlineStr">
        <is>
          <t>15/04/2026</t>
        </is>
      </c>
      <c r="I8187" t="inlineStr">
        <is>
          <t>17/03/2026</t>
        </is>
      </c>
      <c r="J8187" t="inlineStr">
        <is>
          <t>Bán hàng / Kinh doanh, Bất động sản, Tư vấn</t>
        </is>
      </c>
      <c r="K8187" t="inlineStr">
        <is>
          <t>Trên 1 Năm</t>
        </is>
      </c>
      <c r="L8187" s="8">
        <f>HYPERLINK("https://careerviet.vn/vi/tim-viec-lam/chuyen-vien-phat-trien-doi-tac.35C6CBB8.html","Xem chi tiết")</f>
        <v/>
      </c>
    </row>
    <row r="8188">
      <c r="B8188" s="9" t="n">
        <v>8186</v>
      </c>
      <c r="C8188" s="10" t="inlineStr">
        <is>
          <t>Chuyên viên tuyển dụng đào tạo(Mới)</t>
        </is>
      </c>
      <c r="D8188" s="10" t="inlineStr">
        <is>
          <t>CÔNG TY CỔ PHẦN CHĂN NUÔI TAFA VIỆT</t>
        </is>
      </c>
      <c r="E8188" s="10" t="inlineStr">
        <is>
          <t>Lương:10 Tr - 15 Tr VND</t>
        </is>
      </c>
      <c r="F8188" s="10" t="inlineStr">
        <is>
          <t>Hồ Chí Minh</t>
        </is>
      </c>
      <c r="G8188" s="10" t="inlineStr">
        <is>
          <t>30-04-2026</t>
        </is>
      </c>
      <c r="H8188" s="10" t="inlineStr">
        <is>
          <t>30/04/2026</t>
        </is>
      </c>
      <c r="I8188" s="10" t="inlineStr">
        <is>
          <t>17/03/2026</t>
        </is>
      </c>
      <c r="J8188" s="10" t="inlineStr">
        <is>
          <t>Nhân sự</t>
        </is>
      </c>
      <c r="K8188" s="10" t="inlineStr">
        <is>
          <t>Trên 2 Năm</t>
        </is>
      </c>
      <c r="L8188" s="11">
        <f>HYPERLINK("https://careerviet.vn/vi/tim-viec-lam/chuyen-vien-tuyen-dung-dao-tao.35C6CBA5.html","Xem chi tiết")</f>
        <v/>
      </c>
      <c r="M8188" s="10" t="n"/>
    </row>
    <row r="8189">
      <c r="B8189" s="7" t="n">
        <v>8187</v>
      </c>
      <c r="C8189" t="inlineStr">
        <is>
          <t>Sales Admin  Staff(Mới)</t>
        </is>
      </c>
      <c r="D8189" t="inlineStr">
        <is>
          <t>Công Ty TNHH CJ Foods Việt Nam</t>
        </is>
      </c>
      <c r="E8189" t="inlineStr">
        <is>
          <t>Lương:Cạnh tranh</t>
        </is>
      </c>
      <c r="F8189" t="inlineStr">
        <is>
          <t>Hà Nội</t>
        </is>
      </c>
      <c r="G8189" t="inlineStr">
        <is>
          <t>30-04-2026</t>
        </is>
      </c>
      <c r="H8189" t="inlineStr">
        <is>
          <t>30/04/2026</t>
        </is>
      </c>
      <c r="I8189" t="inlineStr">
        <is>
          <t>17/03/2026</t>
        </is>
      </c>
      <c r="J8189" t="inlineStr">
        <is>
          <t>Bán hàng / Kinh doanh, Dịch vụ khách hàng, Hành chính / Thư ký</t>
        </is>
      </c>
      <c r="K8189" t="inlineStr">
        <is>
          <t>1 - 2 Năm</t>
        </is>
      </c>
      <c r="L8189" s="8">
        <f>HYPERLINK("https://careerviet.vn/vi/tim-viec-lam/sales-admin-staff.35C6CBAB.html","Xem chi tiết")</f>
        <v/>
      </c>
    </row>
    <row r="8190">
      <c r="B8190" s="9" t="n">
        <v>8188</v>
      </c>
      <c r="C8190" s="10" t="inlineStr">
        <is>
          <t>Telesale(Mới)</t>
        </is>
      </c>
      <c r="D8190" s="10" t="inlineStr">
        <is>
          <t>Công ty CP Toshiko Việt Nam</t>
        </is>
      </c>
      <c r="E8190" s="10" t="inlineStr">
        <is>
          <t>Lương:15 Tr - 25 Tr VND</t>
        </is>
      </c>
      <c r="F8190" s="10" t="inlineStr">
        <is>
          <t>Hà Nội</t>
        </is>
      </c>
      <c r="G8190" s="10" t="inlineStr">
        <is>
          <t>11-04-2026</t>
        </is>
      </c>
      <c r="H8190" s="10" t="inlineStr">
        <is>
          <t>11/04/2026</t>
        </is>
      </c>
      <c r="I8190" s="10" t="inlineStr">
        <is>
          <t>17/03/2026</t>
        </is>
      </c>
      <c r="J8190" s="10" t="inlineStr">
        <is>
          <t>Bán lẻ / Bán sỉ, Bán hàng / Kinh doanh, Tư vấn</t>
        </is>
      </c>
      <c r="K8190" s="10" t="inlineStr">
        <is>
          <t>1 - 2 Năm</t>
        </is>
      </c>
      <c r="L8190" s="11">
        <f>HYPERLINK("https://careerviet.vn/vi/tim-viec-lam/telesale.35C6CB9B.html","Xem chi tiết")</f>
        <v/>
      </c>
      <c r="M8190" s="10" t="n"/>
    </row>
    <row r="8191">
      <c r="B8191" s="7" t="n">
        <v>8189</v>
      </c>
      <c r="C8191" t="inlineStr">
        <is>
          <t>Scrum Master Specialist(Mới)</t>
        </is>
      </c>
      <c r="D8191" t="inlineStr">
        <is>
          <t>Công ty Cổ phần Tập đoàn Meey Land</t>
        </is>
      </c>
      <c r="E8191" t="inlineStr">
        <is>
          <t>Lương:20 Tr - 30 Tr VND</t>
        </is>
      </c>
      <c r="F8191" t="inlineStr">
        <is>
          <t>Hà Nội</t>
        </is>
      </c>
      <c r="G8191" t="inlineStr">
        <is>
          <t>31-03-2026</t>
        </is>
      </c>
      <c r="H8191" t="inlineStr">
        <is>
          <t>31/03/2026</t>
        </is>
      </c>
      <c r="I8191" t="inlineStr">
        <is>
          <t>17/03/2026</t>
        </is>
      </c>
      <c r="J8191" t="inlineStr">
        <is>
          <t>CNTT - Phần mềm</t>
        </is>
      </c>
      <c r="K8191" t="inlineStr">
        <is>
          <t>2 - 3 Năm</t>
        </is>
      </c>
      <c r="L8191" s="8">
        <f>HYPERLINK("https://careerviet.vn/vi/tim-viec-lam/scrum-master-specialist.35C6CBAC.html","Xem chi tiết")</f>
        <v/>
      </c>
    </row>
    <row r="8192">
      <c r="B8192" s="9" t="n">
        <v>8190</v>
      </c>
      <c r="C8192" s="10" t="inlineStr">
        <is>
          <t>BOM Clerk(Mới)</t>
        </is>
      </c>
      <c r="D8192" s="10" t="inlineStr">
        <is>
          <t>Wanek Furniture</t>
        </is>
      </c>
      <c r="E8192" s="10" t="inlineStr">
        <is>
          <t>Lương:Cạnh tranh</t>
        </is>
      </c>
      <c r="F8192" s="10" t="inlineStr">
        <is>
          <t>Bình Dương</t>
        </is>
      </c>
      <c r="G8192" s="10" t="inlineStr">
        <is>
          <t>1</t>
        </is>
      </c>
      <c r="H8192" s="10" t="inlineStr">
        <is>
          <t>18/03/2026</t>
        </is>
      </c>
      <c r="I8192" s="10" t="inlineStr">
        <is>
          <t>17/03/2026</t>
        </is>
      </c>
      <c r="J8192" s="10" t="inlineStr">
        <is>
          <t>Sản xuất / Vận hành sản xuất, Đồ gỗ, Nội ngoại thất</t>
        </is>
      </c>
      <c r="K8192" s="10" t="inlineStr">
        <is>
          <t>1 - 3 Năm</t>
        </is>
      </c>
      <c r="L8192" s="11">
        <f>HYPERLINK("https://careerviet.vn/vi/tim-viec-lam/bom-clerk.35C6CB9A.html","Xem chi tiết")</f>
        <v/>
      </c>
      <c r="M8192" s="10" t="n"/>
    </row>
    <row r="8193">
      <c r="B8193" s="7" t="n">
        <v>8191</v>
      </c>
      <c r="C8193" t="inlineStr">
        <is>
          <t>KẾ TOÁN KHO(Mới)</t>
        </is>
      </c>
      <c r="D8193" t="inlineStr">
        <is>
          <t>CÔNG TY CỔ PHẦN CHẾ BIẾN THỰC PHẨM HOÀNG SƠN</t>
        </is>
      </c>
      <c r="E8193" t="inlineStr">
        <is>
          <t>Lương:13 Tr - 15 Tr VND</t>
        </is>
      </c>
      <c r="F8193" t="inlineStr">
        <is>
          <t>Bình Dương</t>
        </is>
      </c>
      <c r="G8193" t="inlineStr">
        <is>
          <t>30-04-2026</t>
        </is>
      </c>
      <c r="H8193" t="inlineStr">
        <is>
          <t>30/04/2026</t>
        </is>
      </c>
      <c r="I8193" t="inlineStr">
        <is>
          <t>17/03/2026</t>
        </is>
      </c>
      <c r="J8193" t="inlineStr">
        <is>
          <t>Vận chuyển / Giao nhận / Kho vận, Sản xuất / Vận hành sản xuất, Kế toán / Kiểm toán</t>
        </is>
      </c>
      <c r="K8193" t="inlineStr">
        <is>
          <t>1 - 3 Năm</t>
        </is>
      </c>
      <c r="L8193" s="8">
        <f>HYPERLINK("https://careerviet.vn/vi/tim-viec-lam/ke-toan-kho.35C6CBA7.html","Xem chi tiết")</f>
        <v/>
      </c>
    </row>
    <row r="8194">
      <c r="B8194" s="9" t="n">
        <v>8192</v>
      </c>
      <c r="C8194" s="10" t="inlineStr">
        <is>
          <t>NHÂN VIÊN QC GIÁM SÁT(Mới)</t>
        </is>
      </c>
      <c r="D8194" s="10" t="inlineStr">
        <is>
          <t>Công ty cổ phần Nafoods Group</t>
        </is>
      </c>
      <c r="E8194" s="10" t="inlineStr">
        <is>
          <t>Lương:8 Tr - 14 Tr VND</t>
        </is>
      </c>
      <c r="F8194" s="10" t="inlineStr">
        <is>
          <t>Bình Thuận</t>
        </is>
      </c>
      <c r="G8194" s="10" t="inlineStr">
        <is>
          <t>31-03-2026</t>
        </is>
      </c>
      <c r="H8194" s="10" t="inlineStr">
        <is>
          <t>31/03/2026</t>
        </is>
      </c>
      <c r="I8194" s="10" t="inlineStr">
        <is>
          <t>17/03/2026</t>
        </is>
      </c>
      <c r="J8194" s="10" t="inlineStr">
        <is>
          <t>Quản lý chất lượng (QA/QC)</t>
        </is>
      </c>
      <c r="K8194" s="10" t="inlineStr">
        <is>
          <t>1 - 3 Năm</t>
        </is>
      </c>
      <c r="L8194" s="11">
        <f>HYPERLINK("https://careerviet.vn/vi/tim-viec-lam/nhan-vien-qc-giam-sat.35C6CB8E.html","Xem chi tiết")</f>
        <v/>
      </c>
      <c r="M8194" s="10" t="n"/>
    </row>
    <row r="8195">
      <c r="B8195" s="7" t="n">
        <v>8193</v>
      </c>
      <c r="C8195" t="inlineStr">
        <is>
          <t>Nhân viên Facebook Ads(Mới)</t>
        </is>
      </c>
      <c r="D8195" t="inlineStr">
        <is>
          <t>CÔNG TY CỔ PHẦN DƯỢC MỸ PHẨM CAFUNÉ</t>
        </is>
      </c>
      <c r="E8195" t="inlineStr">
        <is>
          <t>Lương:9 Tr - 15 Tr VND</t>
        </is>
      </c>
      <c r="F8195" t="inlineStr">
        <is>
          <t>Hồ Chí Minh</t>
        </is>
      </c>
      <c r="G8195" t="inlineStr">
        <is>
          <t>20-04-2026</t>
        </is>
      </c>
      <c r="H8195" t="inlineStr">
        <is>
          <t>20/04/2026</t>
        </is>
      </c>
      <c r="I8195" t="inlineStr">
        <is>
          <t>17/03/2026</t>
        </is>
      </c>
      <c r="J8195" t="inlineStr">
        <is>
          <t>Tiếp thị trực tuyến, Tiếp thị / Marketing, Quảng cáo / Đối ngoại / Truyền Thông</t>
        </is>
      </c>
      <c r="K8195" t="inlineStr">
        <is>
          <t>1 - 2 Năm</t>
        </is>
      </c>
      <c r="L8195" s="8">
        <f>HYPERLINK("https://careerviet.vn/vi/tim-viec-lam/nhan-vien-facebook-ads.35C6CBB9.html","Xem chi tiết")</f>
        <v/>
      </c>
    </row>
    <row r="8196">
      <c r="B8196" s="9" t="n">
        <v>8194</v>
      </c>
      <c r="C8196" s="10" t="inlineStr">
        <is>
          <t>Quality Assurance Specialist(Mới)</t>
        </is>
      </c>
      <c r="D8196" s="10" t="inlineStr">
        <is>
          <t>Công ty Cổ phần Tập đoàn Meey Land</t>
        </is>
      </c>
      <c r="E8196" s="10" t="inlineStr">
        <is>
          <t>Lương:15 Tr - 22 Tr VND</t>
        </is>
      </c>
      <c r="F8196" s="10" t="inlineStr">
        <is>
          <t>Hà Nội</t>
        </is>
      </c>
      <c r="G8196" s="10" t="inlineStr">
        <is>
          <t>31-03-2026</t>
        </is>
      </c>
      <c r="H8196" s="10" t="inlineStr">
        <is>
          <t>31/03/2026</t>
        </is>
      </c>
      <c r="I8196" s="10" t="inlineStr">
        <is>
          <t>17/03/2026</t>
        </is>
      </c>
      <c r="J8196" s="10" t="inlineStr">
        <is>
          <t>CNTT - Phần mềm</t>
        </is>
      </c>
      <c r="K8196" s="10" t="inlineStr">
        <is>
          <t>2 - 3 Năm</t>
        </is>
      </c>
      <c r="L8196" s="11">
        <f>HYPERLINK("https://careerviet.vn/vi/tim-viec-lam/quality-assurance-specialist.35C6CBA8.html","Xem chi tiết")</f>
        <v/>
      </c>
      <c r="M8196" s="10" t="n"/>
    </row>
    <row r="8197">
      <c r="B8197" s="7" t="n">
        <v>8195</v>
      </c>
      <c r="C8197" t="inlineStr">
        <is>
          <t>Kế toán tổng hợp(Mới)</t>
        </is>
      </c>
      <c r="D8197" t="inlineStr">
        <is>
          <t>Công ty TNHH MTV Công nghệ Tin học Viễn Sơn</t>
        </is>
      </c>
      <c r="E8197" t="inlineStr">
        <is>
          <t>Lương:8 Tr - 12 Tr VND</t>
        </is>
      </c>
      <c r="F8197" t="inlineStr">
        <is>
          <t>Hồ Chí Minh</t>
        </is>
      </c>
      <c r="G8197" t="inlineStr">
        <is>
          <t>16-04-2026</t>
        </is>
      </c>
      <c r="H8197" t="inlineStr">
        <is>
          <t>16/04/2026</t>
        </is>
      </c>
      <c r="I8197" t="inlineStr">
        <is>
          <t>17/03/2026</t>
        </is>
      </c>
      <c r="J8197" t="inlineStr">
        <is>
          <t>Kế toán / Kiểm toán</t>
        </is>
      </c>
      <c r="K8197" t="inlineStr">
        <is>
          <t>1 - 2 Năm</t>
        </is>
      </c>
      <c r="L8197" s="8">
        <f>HYPERLINK("https://careerviet.vn/vi/tim-viec-lam/ke-toan-tong-hop.35C6CB90.html","Xem chi tiết")</f>
        <v/>
      </c>
    </row>
    <row r="8198">
      <c r="B8198" s="9" t="n">
        <v>8196</v>
      </c>
      <c r="C8198" s="10" t="inlineStr">
        <is>
          <t>Nhân Viên Thủ Kho(Mới)</t>
        </is>
      </c>
      <c r="D8198" s="10" t="inlineStr">
        <is>
          <t>Tập Đoàn An Phát Holdings</t>
        </is>
      </c>
      <c r="E8198" s="10" t="inlineStr">
        <is>
          <t>Lương:8 Tr - 10 Tr VND</t>
        </is>
      </c>
      <c r="F8198" s="10" t="inlineStr">
        <is>
          <t>Hải Dương</t>
        </is>
      </c>
      <c r="G8198" s="10" t="inlineStr">
        <is>
          <t>30-03-2026</t>
        </is>
      </c>
      <c r="H8198" s="10" t="inlineStr">
        <is>
          <t>30/03/2026</t>
        </is>
      </c>
      <c r="I8198" s="10" t="inlineStr">
        <is>
          <t>17/03/2026</t>
        </is>
      </c>
      <c r="J8198" s="10" t="inlineStr">
        <is>
          <t>Vận chuyển / Giao nhận / Kho vận, Sản xuất / Vận hành sản xuất</t>
        </is>
      </c>
      <c r="K8198" s="10" t="inlineStr">
        <is>
          <t>1 - 2 Năm</t>
        </is>
      </c>
      <c r="L8198" s="11">
        <f>HYPERLINK("https://careerviet.vn/vi/tim-viec-lam/nhan-vien-thu-kho.35C6CBD0.html","Xem chi tiết")</f>
        <v/>
      </c>
      <c r="M8198" s="10" t="n"/>
    </row>
    <row r="8199">
      <c r="B8199" s="7" t="n">
        <v>8197</v>
      </c>
      <c r="C8199" t="inlineStr">
        <is>
          <t>Kế Toán Tổng Hợp(Mới)</t>
        </is>
      </c>
      <c r="D8199" t="inlineStr">
        <is>
          <t>CÔNG TY CỔ PHẦN SÔNG ĐÀ - HOÀNG LONG</t>
        </is>
      </c>
      <c r="E8199" t="inlineStr">
        <is>
          <t>Lương:Cạnh tranh</t>
        </is>
      </c>
      <c r="F8199" t="inlineStr">
        <is>
          <t>Hà Nội</t>
        </is>
      </c>
      <c r="G8199" t="inlineStr">
        <is>
          <t>15-04-2026</t>
        </is>
      </c>
      <c r="H8199" t="inlineStr">
        <is>
          <t>15/04/2026</t>
        </is>
      </c>
      <c r="I8199" t="inlineStr">
        <is>
          <t>17/03/2026</t>
        </is>
      </c>
      <c r="J8199" t="inlineStr">
        <is>
          <t>Kế toán / Kiểm toán, Tài chính / Đầu tư, Sản xuất / Vận hành sản xuất</t>
        </is>
      </c>
      <c r="K8199" t="inlineStr">
        <is>
          <t>Trên 3 Năm</t>
        </is>
      </c>
      <c r="L8199" s="8">
        <f>HYPERLINK("https://careerviet.vn/vi/tim-viec-lam/ke-toan-tong-hop.35C6CB93.html","Xem chi tiết")</f>
        <v/>
      </c>
    </row>
    <row r="8200">
      <c r="B8200" s="9" t="n">
        <v>8198</v>
      </c>
      <c r="C8200" s="10" t="inlineStr">
        <is>
          <t>Sourcing Manager (Ecommerce)(Mới)</t>
        </is>
      </c>
      <c r="D8200" s="10" t="inlineStr">
        <is>
          <t>Công Ty Cổ Phần TEECOM</t>
        </is>
      </c>
      <c r="E8200" s="10" t="inlineStr">
        <is>
          <t>Lương:Cạnh tranh</t>
        </is>
      </c>
      <c r="F8200" s="10" t="inlineStr">
        <is>
          <t>Hồ Chí Minh</t>
        </is>
      </c>
      <c r="G8200" s="10" t="inlineStr">
        <is>
          <t>10-04-2026</t>
        </is>
      </c>
      <c r="H8200" s="10" t="inlineStr">
        <is>
          <t>10/04/2026</t>
        </is>
      </c>
      <c r="I8200" s="10" t="inlineStr">
        <is>
          <t>17/03/2026</t>
        </is>
      </c>
      <c r="J8200" s="10" t="inlineStr">
        <is>
          <t>Bán lẻ / Bán sỉ, Bán hàng / Kinh doanh, Thương mại điện tử</t>
        </is>
      </c>
      <c r="K8200" s="10" t="inlineStr">
        <is>
          <t>Lên đến 5 Năm</t>
        </is>
      </c>
      <c r="L8200" s="11">
        <f>HYPERLINK("https://careerviet.vn/vi/tim-viec-lam/sourcing-manager-ecommerce.35C6CB24.html","Xem chi tiết")</f>
        <v/>
      </c>
      <c r="M8200" s="10" t="n"/>
    </row>
    <row r="8201">
      <c r="B8201" s="7" t="n">
        <v>8199</v>
      </c>
      <c r="C8201" t="inlineStr">
        <is>
          <t>Trưởng phòng Cảnh quan - Cây xanh(Mới)</t>
        </is>
      </c>
      <c r="D8201" t="inlineStr">
        <is>
          <t>Công Ty Cổ Phần Đầu Tư Nam Long</t>
        </is>
      </c>
      <c r="E8201" t="inlineStr">
        <is>
          <t>Lương:Cạnh tranh</t>
        </is>
      </c>
      <c r="F8201" t="inlineStr">
        <is>
          <t>Hồ Chí Minh</t>
        </is>
      </c>
      <c r="G8201" t="inlineStr">
        <is>
          <t>30-04-2026</t>
        </is>
      </c>
      <c r="H8201" t="inlineStr">
        <is>
          <t>30/04/2026</t>
        </is>
      </c>
      <c r="I8201" t="inlineStr">
        <is>
          <t>17/03/2026</t>
        </is>
      </c>
      <c r="J8201" t="inlineStr">
        <is>
          <t>Môi trường</t>
        </is>
      </c>
      <c r="K8201" t="inlineStr">
        <is>
          <t>3 - 5 Năm</t>
        </is>
      </c>
      <c r="L8201" s="8">
        <f>HYPERLINK("https://careerviet.vn/vi/tim-viec-lam/truong-phong-canh-quan-cay-xanh.35C6CBAA.html","Xem chi tiết")</f>
        <v/>
      </c>
    </row>
    <row r="8202">
      <c r="B8202" s="9" t="n">
        <v>8200</v>
      </c>
      <c r="C8202" s="10" t="inlineStr">
        <is>
          <t>IT Senior Supervisor(Mới)</t>
        </is>
      </c>
      <c r="D8202" s="10" t="inlineStr">
        <is>
          <t>Công ty Omron Healthcare Manufacturing Việt Nam</t>
        </is>
      </c>
      <c r="E8202" s="10" t="inlineStr">
        <is>
          <t>Lương:Cạnh tranh</t>
        </is>
      </c>
      <c r="F8202" s="10" t="inlineStr">
        <is>
          <t>Bình Dương</t>
        </is>
      </c>
      <c r="G8202" s="10" t="inlineStr">
        <is>
          <t>30-04-2026</t>
        </is>
      </c>
      <c r="H8202" s="10" t="inlineStr">
        <is>
          <t>30/04/2026</t>
        </is>
      </c>
      <c r="I8202" s="10" t="inlineStr">
        <is>
          <t>17/03/2026</t>
        </is>
      </c>
      <c r="J8202" s="10" t="inlineStr">
        <is>
          <t>CNTT - Phần mềm, CNTT - Phần cứng / Mạng</t>
        </is>
      </c>
      <c r="K8202" s="10" t="inlineStr">
        <is>
          <t>3 - 5 Năm</t>
        </is>
      </c>
      <c r="L8202" s="11">
        <f>HYPERLINK("https://careerviet.vn/vi/tim-viec-lam/it-senior-supervisor.35C6CB91.html","Xem chi tiết")</f>
        <v/>
      </c>
      <c r="M8202" s="10" t="n"/>
    </row>
    <row r="8203">
      <c r="B8203" s="7" t="n">
        <v>8201</v>
      </c>
      <c r="C8203" t="inlineStr">
        <is>
          <t>Giám Sát QA(Mới)</t>
        </is>
      </c>
      <c r="D8203" t="inlineStr">
        <is>
          <t>CÔNG TY CỔ PHẦN CHẾ BIẾN THỰC PHẨM HOÀNG SƠN</t>
        </is>
      </c>
      <c r="E8203" t="inlineStr">
        <is>
          <t>Lương:Cạnh tranh</t>
        </is>
      </c>
      <c r="F8203" t="inlineStr">
        <is>
          <t>Bình Dương</t>
        </is>
      </c>
      <c r="G8203" t="inlineStr">
        <is>
          <t>30-04-2026</t>
        </is>
      </c>
      <c r="H8203" t="inlineStr">
        <is>
          <t>30/04/2026</t>
        </is>
      </c>
      <c r="I8203" t="inlineStr">
        <is>
          <t>17/03/2026</t>
        </is>
      </c>
      <c r="J8203" t="inlineStr">
        <is>
          <t>Công nghệ thực phẩm / Dinh dưỡng, Sản xuất / Vận hành sản xuất, Quản lý chất lượng (QA/QC)</t>
        </is>
      </c>
      <c r="K8203" t="inlineStr">
        <is>
          <t>2 - 5 Năm</t>
        </is>
      </c>
      <c r="L8203" s="8">
        <f>HYPERLINK("https://careerviet.vn/vi/tim-viec-lam/giam-sat-qa.35C6CB27.html","Xem chi tiết")</f>
        <v/>
      </c>
    </row>
    <row r="8204">
      <c r="B8204" s="9" t="n">
        <v>8202</v>
      </c>
      <c r="C8204" s="10" t="inlineStr">
        <is>
          <t>Chuyên viên tài chính(Mới)</t>
        </is>
      </c>
      <c r="D8204" s="10" t="inlineStr">
        <is>
          <t>CÔNG TY CỔ PHẦN CHĂN NUÔI TAFA VIỆT</t>
        </is>
      </c>
      <c r="E8204" s="10" t="inlineStr">
        <is>
          <t>Lương:15 Tr - 25 Tr VND</t>
        </is>
      </c>
      <c r="F8204" s="10" t="inlineStr">
        <is>
          <t>Hồ Chí Minh</t>
        </is>
      </c>
      <c r="G8204" s="10" t="inlineStr">
        <is>
          <t>30-04-2026</t>
        </is>
      </c>
      <c r="H8204" s="10" t="inlineStr">
        <is>
          <t>30/04/2026</t>
        </is>
      </c>
      <c r="I8204" s="10" t="inlineStr">
        <is>
          <t>17/03/2026</t>
        </is>
      </c>
      <c r="J8204" s="10" t="inlineStr">
        <is>
          <t>Kế toán / Kiểm toán, Tài chính / Đầu tư, Chăn nuôi / Thú y</t>
        </is>
      </c>
      <c r="K8204" s="10" t="inlineStr">
        <is>
          <t>2 - 3 Năm</t>
        </is>
      </c>
      <c r="L8204" s="11">
        <f>HYPERLINK("https://careerviet.vn/vi/tim-viec-lam/chuyen-vien-tai-chinh.35C54D4D.html","Xem chi tiết")</f>
        <v/>
      </c>
      <c r="M8204" s="10" t="n"/>
    </row>
    <row r="8205">
      <c r="B8205" s="7" t="n">
        <v>8203</v>
      </c>
      <c r="C8205" t="inlineStr">
        <is>
          <t>Trưởng bộ phận Mua hàng (Làm việc tại Attapue, Lào)(Mới)</t>
        </is>
      </c>
      <c r="D8205" t="inlineStr">
        <is>
          <t>Công ty CP Thành Thành Công - Biên Hòa</t>
        </is>
      </c>
      <c r="E8205" t="inlineStr">
        <is>
          <t>Lương:Cạnh tranh</t>
        </is>
      </c>
      <c r="F8205" t="inlineStr">
        <is>
          <t>Attapeu</t>
        </is>
      </c>
      <c r="G8205" t="inlineStr">
        <is>
          <t>15-04-2026</t>
        </is>
      </c>
      <c r="H8205" t="inlineStr">
        <is>
          <t>15/04/2026</t>
        </is>
      </c>
      <c r="I8205" t="inlineStr">
        <is>
          <t>17/03/2026</t>
        </is>
      </c>
      <c r="J8205" t="inlineStr">
        <is>
          <t>Kế toán / Kiểm toán, Ngành khác, Thu mua / Vật tư</t>
        </is>
      </c>
      <c r="K8205" t="inlineStr">
        <is>
          <t>3 - 7 Năm</t>
        </is>
      </c>
      <c r="L8205" s="8">
        <f>HYPERLINK("https://careerviet.vn/vi/tim-viec-lam/truong-bo-phan-mua-hang-lam-viec-tai-attapue-lao.35C6CB1C.html","Xem chi tiết")</f>
        <v/>
      </c>
    </row>
    <row r="8206">
      <c r="B8206" s="9" t="n">
        <v>8204</v>
      </c>
      <c r="C8206" s="10" t="inlineStr">
        <is>
          <t>Lễ Tân - Hành Chính(Mới)</t>
        </is>
      </c>
      <c r="D8206" s="10" t="inlineStr">
        <is>
          <t>Careerbuilders' Client</t>
        </is>
      </c>
      <c r="E8206" s="10" t="inlineStr">
        <is>
          <t>Lương:Cạnh tranh</t>
        </is>
      </c>
      <c r="F8206" s="10" t="inlineStr">
        <is>
          <t>Hồ Chí Minh</t>
        </is>
      </c>
      <c r="G8206" s="10" t="inlineStr">
        <is>
          <t>16-04-2026</t>
        </is>
      </c>
      <c r="H8206" s="10" t="inlineStr">
        <is>
          <t>16/04/2026</t>
        </is>
      </c>
      <c r="I8206" s="10" t="inlineStr">
        <is>
          <t>17/03/2026</t>
        </is>
      </c>
      <c r="J8206" s="10" t="inlineStr">
        <is>
          <t>Hành chính / Thư ký</t>
        </is>
      </c>
      <c r="K8206" s="10" t="inlineStr">
        <is>
          <t>N/A</t>
        </is>
      </c>
      <c r="L8206" s="11">
        <f>HYPERLINK("https://careerviet.vn/vi/tim-viec-lam/le-tan-hanh-chinh.35C6CBDD.html","Xem chi tiết")</f>
        <v/>
      </c>
      <c r="M8206" s="10" t="n"/>
    </row>
    <row r="8207">
      <c r="B8207" s="7" t="n">
        <v>8205</v>
      </c>
      <c r="C8207" t="inlineStr">
        <is>
          <t>Phiên Dịch Viên Tiếng Trung  (Không Yêu Cầu Kinh Nghiệm)(Mới)</t>
        </is>
      </c>
      <c r="D8207" t="inlineStr">
        <is>
          <t>Công Ty TNHH Tập Đoàn Rita Võ</t>
        </is>
      </c>
      <c r="E8207" t="inlineStr">
        <is>
          <t>Lương:10 Tr - 15 Tr VND</t>
        </is>
      </c>
      <c r="F8207" t="inlineStr">
        <is>
          <t>Hà Nội</t>
        </is>
      </c>
      <c r="G8207" t="inlineStr">
        <is>
          <t>11-04-2026</t>
        </is>
      </c>
      <c r="H8207" t="inlineStr">
        <is>
          <t>11/04/2026</t>
        </is>
      </c>
      <c r="I8207" t="inlineStr">
        <is>
          <t>17/03/2026</t>
        </is>
      </c>
      <c r="J8207" t="inlineStr">
        <is>
          <t>Hành chính / Thư ký, Biên phiên dịch, Ngành khác</t>
        </is>
      </c>
      <c r="K8207" t="inlineStr">
        <is>
          <t>N/A</t>
        </is>
      </c>
      <c r="L8207" s="8">
        <f>HYPERLINK("https://careerviet.vn/vi/tim-viec-lam/phien-dich-vien-tieng-trung-khong-yeu-cau-kinh-nghiem.35C6CB14.html","Xem chi tiết")</f>
        <v/>
      </c>
    </row>
    <row r="8208">
      <c r="B8208" s="9" t="n">
        <v>8206</v>
      </c>
      <c r="C8208" s="10" t="inlineStr">
        <is>
          <t>NHÂN VIÊN BẢO TRÌ- TỰ ĐỘNG HÓA, ĐIỆN CÔNG NGHIỆP(Mới)</t>
        </is>
      </c>
      <c r="D8208" s="10" t="inlineStr">
        <is>
          <t>Công Ty Cổ Phần Gỗ An Cường</t>
        </is>
      </c>
      <c r="E8208" s="10" t="inlineStr">
        <is>
          <t>Lương:11 Tr - 15 Tr VND</t>
        </is>
      </c>
      <c r="F8208" s="10" t="inlineStr">
        <is>
          <t>Bình Dương</t>
        </is>
      </c>
      <c r="G8208" s="10" t="inlineStr">
        <is>
          <t>16-04-2026</t>
        </is>
      </c>
      <c r="H8208" s="10" t="inlineStr">
        <is>
          <t>16/04/2026</t>
        </is>
      </c>
      <c r="I8208" s="10" t="inlineStr">
        <is>
          <t>17/03/2026</t>
        </is>
      </c>
      <c r="J8208" s="10" t="inlineStr">
        <is>
          <t>Bảo trì / Sửa chữa, Điện / Điện tử / Điện lạnh / Điện công nghiệp, Cơ khí / Ô tô / Tự động hóa</t>
        </is>
      </c>
      <c r="K8208" s="10" t="inlineStr">
        <is>
          <t>1 - 2 Năm</t>
        </is>
      </c>
      <c r="L8208" s="11">
        <f>HYPERLINK("https://careerviet.vn/vi/tim-viec-lam/nhan-vien-bao-tri-tu-dong-hoa-dien-cong-nghiep.35C6CB17.html","Xem chi tiết")</f>
        <v/>
      </c>
      <c r="M8208" s="10" t="n"/>
    </row>
    <row r="8209">
      <c r="B8209" s="7" t="n">
        <v>8207</v>
      </c>
      <c r="C8209" t="inlineStr">
        <is>
          <t>Chuyên Viên Hành Chính Nhân Sự(Mới)</t>
        </is>
      </c>
      <c r="D8209" t="inlineStr">
        <is>
          <t>CÔNG TY TNHH KỸ THUẬT ASG VIỆT NAM</t>
        </is>
      </c>
      <c r="E8209" t="inlineStr">
        <is>
          <t>Lương:15 Tr - 20 Tr VND</t>
        </is>
      </c>
      <c r="F8209" t="inlineStr">
        <is>
          <t>Hà Nội</t>
        </is>
      </c>
      <c r="G8209" t="inlineStr">
        <is>
          <t>15-04-2026</t>
        </is>
      </c>
      <c r="H8209" t="inlineStr">
        <is>
          <t>15/04/2026</t>
        </is>
      </c>
      <c r="I8209" t="inlineStr">
        <is>
          <t>17/03/2026</t>
        </is>
      </c>
      <c r="J8209" t="inlineStr">
        <is>
          <t>Hành chính / Thư ký, Nhân sự, Quản lý điều hành</t>
        </is>
      </c>
      <c r="K8209" t="inlineStr">
        <is>
          <t>Trên 2 Năm</t>
        </is>
      </c>
      <c r="L8209" s="8">
        <f>HYPERLINK("https://careerviet.vn/vi/tim-viec-lam/chuyen-vien-hanh-chinh-nhan-su.35C6CB11.html","Xem chi tiết")</f>
        <v/>
      </c>
    </row>
    <row r="8210">
      <c r="B8210" s="9" t="n">
        <v>8208</v>
      </c>
      <c r="C8210" s="10" t="inlineStr">
        <is>
          <t>NHÂN VIÊN KẾ TOÁN THANH TOÁN(Mới)</t>
        </is>
      </c>
      <c r="D8210" s="10" t="inlineStr">
        <is>
          <t>J&amp;T Express</t>
        </is>
      </c>
      <c r="E8210" s="10" t="inlineStr">
        <is>
          <t>Lương:Cạnh tranh</t>
        </is>
      </c>
      <c r="F8210" s="10" t="inlineStr">
        <is>
          <t>Hồ Chí Minh</t>
        </is>
      </c>
      <c r="G8210" s="10" t="inlineStr">
        <is>
          <t>30-04-2026</t>
        </is>
      </c>
      <c r="H8210" s="10" t="inlineStr">
        <is>
          <t>30/04/2026</t>
        </is>
      </c>
      <c r="I8210" s="10" t="inlineStr">
        <is>
          <t>17/03/2026</t>
        </is>
      </c>
      <c r="J8210" s="10" t="inlineStr">
        <is>
          <t>Kế toán / Kiểm toán, Tài chính / Đầu tư, Ngân hàng</t>
        </is>
      </c>
      <c r="K8210" s="10" t="inlineStr">
        <is>
          <t>2 - 5 Năm</t>
        </is>
      </c>
      <c r="L8210" s="11">
        <f>HYPERLINK("https://careerviet.vn/vi/tim-viec-lam/nhan-vien-ke-toan-thanh-toan.35C6CB19.html","Xem chi tiết")</f>
        <v/>
      </c>
      <c r="M8210" s="10" t="n"/>
    </row>
    <row r="8211">
      <c r="B8211" s="7" t="n">
        <v>8209</v>
      </c>
      <c r="C8211" t="inlineStr">
        <is>
          <t>Junior Logistics Officer(Mới)</t>
        </is>
      </c>
      <c r="D8211" t="inlineStr">
        <is>
          <t>Nextern Vietnam Co.</t>
        </is>
      </c>
      <c r="E8211" t="inlineStr">
        <is>
          <t>Lương:Cạnh tranh</t>
        </is>
      </c>
      <c r="F8211" t="inlineStr">
        <is>
          <t>Bình Dương</t>
        </is>
      </c>
      <c r="G8211" t="inlineStr">
        <is>
          <t>16-04-2026</t>
        </is>
      </c>
      <c r="H8211" t="inlineStr">
        <is>
          <t>16/04/2026</t>
        </is>
      </c>
      <c r="I8211" t="inlineStr">
        <is>
          <t>17/03/2026</t>
        </is>
      </c>
      <c r="J8211" t="inlineStr">
        <is>
          <t>Vận chuyển / Giao nhận / Kho vận, Mới tốt nghiệp / Thực tập, Quản lý điều hành</t>
        </is>
      </c>
      <c r="K8211" t="inlineStr">
        <is>
          <t>N/A</t>
        </is>
      </c>
      <c r="L8211" s="8">
        <f>HYPERLINK("https://careerviet.vn/vi/tim-viec-lam/junior-logistics-officer.35C6CB0F.html","Xem chi tiết")</f>
        <v/>
      </c>
    </row>
    <row r="8212">
      <c r="B8212" s="9" t="n">
        <v>8210</v>
      </c>
      <c r="C8212" s="10" t="inlineStr">
        <is>
          <t>Trợ lý Tổng giám đốc(Mới)</t>
        </is>
      </c>
      <c r="D8212" s="10" t="inlineStr">
        <is>
          <t>CÔNG TY CỔ PHẦN CHĂN NUÔI TAFA VIỆT</t>
        </is>
      </c>
      <c r="E8212" s="10" t="inlineStr">
        <is>
          <t>Lương:Cạnh tranh</t>
        </is>
      </c>
      <c r="F8212" s="10" t="inlineStr">
        <is>
          <t>Hồ Chí Minh</t>
        </is>
      </c>
      <c r="G8212" s="10" t="inlineStr">
        <is>
          <t>30-04-2026</t>
        </is>
      </c>
      <c r="H8212" s="10" t="inlineStr">
        <is>
          <t>30/04/2026</t>
        </is>
      </c>
      <c r="I8212" s="10" t="inlineStr">
        <is>
          <t>17/03/2026</t>
        </is>
      </c>
      <c r="J8212" s="10" t="inlineStr">
        <is>
          <t>Hành chính / Thư ký</t>
        </is>
      </c>
      <c r="K8212" s="10" t="inlineStr">
        <is>
          <t>Trên 3 Năm</t>
        </is>
      </c>
      <c r="L8212" s="11">
        <f>HYPERLINK("https://careerviet.vn/vi/tim-viec-lam/tro-ly-tong-giam-doc.35C5FF1D.html","Xem chi tiết")</f>
        <v/>
      </c>
      <c r="M8212" s="10" t="n"/>
    </row>
    <row r="8213">
      <c r="B8213" s="7" t="n">
        <v>8211</v>
      </c>
      <c r="C8213" t="inlineStr">
        <is>
          <t>Senior Social Marketing(Mới)</t>
        </is>
      </c>
      <c r="D8213" t="inlineStr">
        <is>
          <t>Công Ty Cổ Phần TEECOM</t>
        </is>
      </c>
      <c r="E8213" t="inlineStr">
        <is>
          <t>Lương:Cạnh tranh</t>
        </is>
      </c>
      <c r="F8213" t="inlineStr">
        <is>
          <t>Hồ Chí Minh</t>
        </is>
      </c>
      <c r="G8213" t="inlineStr">
        <is>
          <t>10-04-2026</t>
        </is>
      </c>
      <c r="H8213" t="inlineStr">
        <is>
          <t>10/04/2026</t>
        </is>
      </c>
      <c r="I8213" t="inlineStr">
        <is>
          <t>17/03/2026</t>
        </is>
      </c>
      <c r="J8213" t="inlineStr">
        <is>
          <t>Bán lẻ / Bán sỉ, Thương mại điện tử, Tiếp thị / Marketing</t>
        </is>
      </c>
      <c r="K8213" t="inlineStr">
        <is>
          <t>3 - 4 Năm</t>
        </is>
      </c>
      <c r="L8213" s="8">
        <f>HYPERLINK("https://careerviet.vn/vi/tim-viec-lam/senior-social-marketing.35C6CB0D.html","Xem chi tiết")</f>
        <v/>
      </c>
    </row>
    <row r="8214">
      <c r="B8214" s="9" t="n">
        <v>8212</v>
      </c>
      <c r="C8214" s="10" t="inlineStr">
        <is>
          <t>Chuyên viên Vận hành lớp học trực tuyến(Mới)</t>
        </is>
      </c>
      <c r="D8214" s="10" t="inlineStr">
        <is>
          <t>Công ty CP Công nghệ giáo dục Trường học trực tuyến (ONSCHOOL)</t>
        </is>
      </c>
      <c r="E8214" s="10" t="inlineStr">
        <is>
          <t>Lương:10 Tr - 15 Tr VND</t>
        </is>
      </c>
      <c r="F8214" s="10" t="inlineStr">
        <is>
          <t>Hà Nội</t>
        </is>
      </c>
      <c r="G8214" s="10" t="inlineStr">
        <is>
          <t>31-03-2026</t>
        </is>
      </c>
      <c r="H8214" s="10" t="inlineStr">
        <is>
          <t>31/03/2026</t>
        </is>
      </c>
      <c r="I8214" s="10" t="inlineStr">
        <is>
          <t>17/03/2026</t>
        </is>
      </c>
      <c r="J8214" s="10" t="inlineStr">
        <is>
          <t>Dịch vụ khách hàng, Giáo dục / Đào tạo</t>
        </is>
      </c>
      <c r="K8214" s="10" t="inlineStr">
        <is>
          <t>1 - 3 Năm</t>
        </is>
      </c>
      <c r="L8214" s="11">
        <f>HYPERLINK("https://careerviet.vn/vi/tim-viec-lam/chuyen-vien-van-hanh-lop-hoc-truc-tuyen.35C6CB0A.html","Xem chi tiết")</f>
        <v/>
      </c>
      <c r="M8214" s="10" t="n"/>
    </row>
    <row r="8215">
      <c r="B8215" s="7" t="n">
        <v>8213</v>
      </c>
      <c r="C8215" t="inlineStr">
        <is>
          <t>Nhân viên Phục dựng Thiết bị (Vintage Audio Restorer)(Mới)</t>
        </is>
      </c>
      <c r="D8215" t="inlineStr">
        <is>
          <t>Công ty TNHH TOM Group Việt Nam</t>
        </is>
      </c>
      <c r="E8215" t="inlineStr">
        <is>
          <t>Lương:10 Tr - 15 Tr VND</t>
        </is>
      </c>
      <c r="F8215" t="inlineStr">
        <is>
          <t>Hồ Chí Minh</t>
        </is>
      </c>
      <c r="G8215" t="inlineStr">
        <is>
          <t>30-04-2026</t>
        </is>
      </c>
      <c r="H8215" t="inlineStr">
        <is>
          <t>30/04/2026</t>
        </is>
      </c>
      <c r="I8215" t="inlineStr">
        <is>
          <t>17/03/2026</t>
        </is>
      </c>
      <c r="J8215" t="inlineStr">
        <is>
          <t>Bán hàng / Kinh doanh, Bán Hàng Kỹ Thuật</t>
        </is>
      </c>
      <c r="K8215" t="inlineStr">
        <is>
          <t>1 - 2 Năm</t>
        </is>
      </c>
      <c r="L8215" s="8">
        <f>HYPERLINK("https://careerviet.vn/vi/tim-viec-lam/nhan-vien-phuc-dung-thiet-bi-vintage-audio-restorer.35C6CB10.html","Xem chi tiết")</f>
        <v/>
      </c>
    </row>
    <row r="8216">
      <c r="B8216" s="9" t="n">
        <v>8214</v>
      </c>
      <c r="C8216" s="10" t="inlineStr">
        <is>
          <t>[CITIGYM] Chuyên Viên Tiếp Thị Qua Điện Thoại(Mới)</t>
        </is>
      </c>
      <c r="D8216" s="10" t="inlineStr">
        <is>
          <t>Nova Service Group - Công ty Cổ phần Tập đoàn Nova Services</t>
        </is>
      </c>
      <c r="E8216" s="10" t="inlineStr">
        <is>
          <t>Lương:15 Tr - 20 Tr VND</t>
        </is>
      </c>
      <c r="F8216" s="10" t="inlineStr">
        <is>
          <t>Hồ Chí Minh</t>
        </is>
      </c>
      <c r="G8216" s="10" t="inlineStr">
        <is>
          <t>30-04-2026</t>
        </is>
      </c>
      <c r="H8216" s="10" t="inlineStr">
        <is>
          <t>30/04/2026</t>
        </is>
      </c>
      <c r="I8216" s="10" t="inlineStr">
        <is>
          <t>17/03/2026</t>
        </is>
      </c>
      <c r="J8216" s="10" t="inlineStr">
        <is>
          <t>Tiếp thị trực tuyến, Y tế / Chăm sóc sức khỏe / Thẩm mỹ / Làm đẹp, Tư vấn</t>
        </is>
      </c>
      <c r="K8216" s="10" t="inlineStr">
        <is>
          <t>1 - 2 Năm</t>
        </is>
      </c>
      <c r="L8216" s="11">
        <f>HYPERLINK("https://careerviet.vn/vi/tim-viec-lam/citigym-chuyen-vien-tiep-thi-qua-dien-thoai.35C6CB01.html","Xem chi tiết")</f>
        <v/>
      </c>
      <c r="M8216" s="10" t="n"/>
    </row>
    <row r="8217">
      <c r="B8217" s="7" t="n">
        <v>8215</v>
      </c>
      <c r="C8217" t="inlineStr">
        <is>
          <t>Kế Toán Kho(Mới)</t>
        </is>
      </c>
      <c r="D8217" t="inlineStr">
        <is>
          <t>CÔNG TY TNHH KỸ THUẬT ASG VIỆT NAM</t>
        </is>
      </c>
      <c r="E8217" t="inlineStr">
        <is>
          <t>Lương:10 Tr - 15 Tr VND</t>
        </is>
      </c>
      <c r="F8217" t="inlineStr">
        <is>
          <t>Hà Nội</t>
        </is>
      </c>
      <c r="G8217" t="inlineStr">
        <is>
          <t>15-04-2026</t>
        </is>
      </c>
      <c r="H8217" t="inlineStr">
        <is>
          <t>15/04/2026</t>
        </is>
      </c>
      <c r="I8217" t="inlineStr">
        <is>
          <t>17/03/2026</t>
        </is>
      </c>
      <c r="J8217" t="inlineStr">
        <is>
          <t>Kế toán / Kiểm toán, Vận chuyển / Giao nhận / Kho vận, Tài chính / Đầu tư</t>
        </is>
      </c>
      <c r="K8217" t="inlineStr">
        <is>
          <t>Trên 1 Năm</t>
        </is>
      </c>
      <c r="L8217" s="8">
        <f>HYPERLINK("https://careerviet.vn/vi/tim-viec-lam/ke-toan-kho.35C6CB07.html","Xem chi tiết")</f>
        <v/>
      </c>
    </row>
    <row r="8218">
      <c r="B8218" s="9" t="n">
        <v>8216</v>
      </c>
      <c r="C8218" s="10" t="inlineStr">
        <is>
          <t>Sales Executive(Mới)</t>
        </is>
      </c>
      <c r="D8218" s="10" t="inlineStr">
        <is>
          <t>CÔNG TY TNHH SOLUM VINA HCMC</t>
        </is>
      </c>
      <c r="E8218" s="10" t="inlineStr">
        <is>
          <t>Lương:Cạnh tranh</t>
        </is>
      </c>
      <c r="F8218" s="10" t="inlineStr">
        <is>
          <t>Hồ Chí Minh</t>
        </is>
      </c>
      <c r="G8218" s="10" t="inlineStr">
        <is>
          <t>17-04-2026</t>
        </is>
      </c>
      <c r="H8218" s="10" t="inlineStr">
        <is>
          <t>17/04/2026</t>
        </is>
      </c>
      <c r="I8218" s="10" t="inlineStr">
        <is>
          <t>17/03/2026</t>
        </is>
      </c>
      <c r="J8218" s="10" t="inlineStr">
        <is>
          <t>Tiếp thị / Marketing, Bán hàng / Kinh doanh, Bán Hàng Kỹ Thuật</t>
        </is>
      </c>
      <c r="K8218" s="10" t="inlineStr">
        <is>
          <t>N/A</t>
        </is>
      </c>
      <c r="L8218" s="11">
        <f>HYPERLINK("https://careerviet.vn/vi/tim-viec-lam/sales-executive.35C6CB12.html","Xem chi tiết")</f>
        <v/>
      </c>
      <c r="M8218" s="10" t="n"/>
    </row>
    <row r="8219">
      <c r="B8219" s="7" t="n">
        <v>8217</v>
      </c>
      <c r="C8219" t="inlineStr">
        <is>
          <t>Nhân Viên Giáo Vụ(Mới)</t>
        </is>
      </c>
      <c r="D8219" t="inlineStr">
        <is>
          <t>Công ty CP Công nghệ giáo dục Trường học trực tuyến (ONSCHOOL)</t>
        </is>
      </c>
      <c r="E8219" t="inlineStr">
        <is>
          <t>Lương:9 Tr - 12 Tr VND</t>
        </is>
      </c>
      <c r="F8219" t="inlineStr">
        <is>
          <t>Hà Nội</t>
        </is>
      </c>
      <c r="G8219" t="inlineStr">
        <is>
          <t>31-03-2026</t>
        </is>
      </c>
      <c r="H8219" t="inlineStr">
        <is>
          <t>31/03/2026</t>
        </is>
      </c>
      <c r="I8219" t="inlineStr">
        <is>
          <t>17/03/2026</t>
        </is>
      </c>
      <c r="J8219" t="inlineStr">
        <is>
          <t>Giáo dục / Đào tạo</t>
        </is>
      </c>
      <c r="K8219" t="inlineStr">
        <is>
          <t>1 - 3 Năm</t>
        </is>
      </c>
      <c r="L8219" s="8">
        <f>HYPERLINK("https://careerviet.vn/vi/tim-viec-lam/nhan-vien-giao-vu.35C6CB03.html","Xem chi tiết")</f>
        <v/>
      </c>
    </row>
    <row r="8220">
      <c r="B8220" s="9" t="n">
        <v>8218</v>
      </c>
      <c r="C8220" s="10" t="inlineStr">
        <is>
          <t>SCM Inventory Control Senior staff(Mới)</t>
        </is>
      </c>
      <c r="D8220" s="10" t="inlineStr">
        <is>
          <t>CÔNG TY TNHH SEAH M&amp;S VIỆT NAM</t>
        </is>
      </c>
      <c r="E8220" s="10" t="inlineStr">
        <is>
          <t>Lương:Cạnh tranh</t>
        </is>
      </c>
      <c r="F8220" s="10" t="inlineStr">
        <is>
          <t>Bà Rịa - Vũng TàuHồ Chí Minh</t>
        </is>
      </c>
      <c r="G8220" s="10" t="inlineStr">
        <is>
          <t>15-04-2026</t>
        </is>
      </c>
      <c r="H8220" s="10" t="inlineStr">
        <is>
          <t>15/04/2026</t>
        </is>
      </c>
      <c r="I8220" s="10" t="inlineStr">
        <is>
          <t>17/03/2026</t>
        </is>
      </c>
      <c r="J8220" s="10" t="inlineStr">
        <is>
          <t>Sản xuất / Vận hành sản xuất, Vận chuyển / Giao nhận / Kho vận</t>
        </is>
      </c>
      <c r="K8220" s="10" t="inlineStr">
        <is>
          <t>1 - 3 Năm</t>
        </is>
      </c>
      <c r="L8220" s="11">
        <f>HYPERLINK("https://careerviet.vn/vi/tim-viec-lam/scm-inventory-control-senior-staff.35C6CB0C.html","Xem chi tiết")</f>
        <v/>
      </c>
      <c r="M8220" s="10" t="n"/>
    </row>
    <row r="8221">
      <c r="B8221" s="7" t="n">
        <v>8219</v>
      </c>
      <c r="C8221" t="inlineStr">
        <is>
          <t>Giám đốc mua hàng(Mới)</t>
        </is>
      </c>
      <c r="D8221" t="inlineStr">
        <is>
          <t>CÔNG TY CỔ PHẦN CHĂN NUÔI TAFA VIỆT</t>
        </is>
      </c>
      <c r="E8221" t="inlineStr">
        <is>
          <t>Lương:Cạnh tranh</t>
        </is>
      </c>
      <c r="F8221" t="inlineStr">
        <is>
          <t>Hồ Chí Minh</t>
        </is>
      </c>
      <c r="G8221" t="inlineStr">
        <is>
          <t>30-04-2026</t>
        </is>
      </c>
      <c r="H8221" t="inlineStr">
        <is>
          <t>30/04/2026</t>
        </is>
      </c>
      <c r="I8221" t="inlineStr">
        <is>
          <t>17/03/2026</t>
        </is>
      </c>
      <c r="J8221" t="inlineStr">
        <is>
          <t>Bán lẻ / Bán sỉ, Chăn nuôi / Thú y, Xuất nhập khẩu</t>
        </is>
      </c>
      <c r="K8221" t="inlineStr">
        <is>
          <t>Trên 5 Năm</t>
        </is>
      </c>
      <c r="L8221" s="8">
        <f>HYPERLINK("https://careerviet.vn/vi/tim-viec-lam/giam-doc-mua-hang.35C62CBC.html","Xem chi tiết")</f>
        <v/>
      </c>
    </row>
    <row r="8222">
      <c r="B8222" s="9" t="n">
        <v>8220</v>
      </c>
      <c r="C8222" s="10" t="inlineStr">
        <is>
          <t>Chuyên Viên Vận Hành NPP Vinamilk(Mới)</t>
        </is>
      </c>
      <c r="D8222" s="10" t="inlineStr">
        <is>
          <t>Công Ty Cổ Phần Sữa Việt Nam (Vinamilk)</t>
        </is>
      </c>
      <c r="E8222" s="10" t="inlineStr">
        <is>
          <t>Lương:30 Tr - 45 Tr VND</t>
        </is>
      </c>
      <c r="F8222" s="10" t="inlineStr">
        <is>
          <t>Hồ Chí Minh</t>
        </is>
      </c>
      <c r="G8222" s="10" t="inlineStr">
        <is>
          <t>30-04-2026</t>
        </is>
      </c>
      <c r="H8222" s="10" t="inlineStr">
        <is>
          <t>30/04/2026</t>
        </is>
      </c>
      <c r="I8222" s="10" t="inlineStr">
        <is>
          <t>17/03/2026</t>
        </is>
      </c>
      <c r="J8222" s="10" t="inlineStr">
        <is>
          <t>Bán hàng / Kinh doanh</t>
        </is>
      </c>
      <c r="K8222" s="10" t="inlineStr">
        <is>
          <t>3 - 5 Năm</t>
        </is>
      </c>
      <c r="L8222" s="11">
        <f>HYPERLINK("https://careerviet.vn/vi/tim-viec-lam/chuyen-vien-van-hanh-npp-vinamilk.35C6CAFE.html","Xem chi tiết")</f>
        <v/>
      </c>
      <c r="M8222" s="10" t="n"/>
    </row>
    <row r="8223">
      <c r="B8223" s="7" t="n">
        <v>8221</v>
      </c>
      <c r="C8223" t="inlineStr">
        <is>
          <t>Chuyên viên Tài chính(Mới)</t>
        </is>
      </c>
      <c r="D8223" t="inlineStr">
        <is>
          <t>Công ty CP Công nghệ giáo dục Trường học trực tuyến (ONSCHOOL)</t>
        </is>
      </c>
      <c r="E8223" t="inlineStr">
        <is>
          <t>Lương:12 Tr - 15 Tr VND</t>
        </is>
      </c>
      <c r="F8223" t="inlineStr">
        <is>
          <t>Hà Nội</t>
        </is>
      </c>
      <c r="G8223" t="inlineStr">
        <is>
          <t>31-03-2026</t>
        </is>
      </c>
      <c r="H8223" t="inlineStr">
        <is>
          <t>31/03/2026</t>
        </is>
      </c>
      <c r="I8223" t="inlineStr">
        <is>
          <t>17/03/2026</t>
        </is>
      </c>
      <c r="J8223" t="inlineStr">
        <is>
          <t>Tài chính / Đầu tư</t>
        </is>
      </c>
      <c r="K8223" t="inlineStr">
        <is>
          <t>Trên 1 Năm</t>
        </is>
      </c>
      <c r="L8223" s="8">
        <f>HYPERLINK("https://careerviet.vn/vi/tim-viec-lam/chuyen-vien-tai-chinh.35C6CAFF.html","Xem chi tiết")</f>
        <v/>
      </c>
    </row>
    <row r="8224">
      <c r="B8224" s="9" t="n">
        <v>8222</v>
      </c>
      <c r="C8224" s="10" t="inlineStr">
        <is>
          <t>Chuyên viên chăm sóc khách hàng(Mới)</t>
        </is>
      </c>
      <c r="D8224" s="10" t="inlineStr">
        <is>
          <t>Công ty CP Công nghệ giáo dục Trường học trực tuyến (ONSCHOOL)</t>
        </is>
      </c>
      <c r="E8224" s="10" t="inlineStr">
        <is>
          <t>Lương:13 Tr - 20 Tr VND</t>
        </is>
      </c>
      <c r="F8224" s="10" t="inlineStr">
        <is>
          <t>Hồ Chí Minh</t>
        </is>
      </c>
      <c r="G8224" s="10" t="inlineStr">
        <is>
          <t>3</t>
        </is>
      </c>
      <c r="H8224" s="10" t="inlineStr">
        <is>
          <t>20/03/2026</t>
        </is>
      </c>
      <c r="I8224" s="10" t="inlineStr">
        <is>
          <t>17/03/2026</t>
        </is>
      </c>
      <c r="J8224" s="10" t="inlineStr">
        <is>
          <t>Dịch vụ khách hàng, Giáo dục / Đào tạo</t>
        </is>
      </c>
      <c r="K8224" s="10" t="inlineStr">
        <is>
          <t>2 - 3 Năm</t>
        </is>
      </c>
      <c r="L8224" s="11">
        <f>HYPERLINK("https://careerviet.vn/vi/tim-viec-lam/chuyen-vien-cham-soc-khach-hang.35C6CAF6.html","Xem chi tiết")</f>
        <v/>
      </c>
      <c r="M8224" s="10" t="n"/>
    </row>
    <row r="8225">
      <c r="B8225" s="7" t="n">
        <v>8223</v>
      </c>
      <c r="C8225" t="inlineStr">
        <is>
          <t>Trưởng phòng kế hoạch sản xuất(Mới)</t>
        </is>
      </c>
      <c r="D8225" t="inlineStr">
        <is>
          <t>CÔNG TY CỔ PHẦN CHĂN NUÔI TAFA VIỆT</t>
        </is>
      </c>
      <c r="E8225" t="inlineStr">
        <is>
          <t>Lương:Cạnh tranh</t>
        </is>
      </c>
      <c r="F8225" t="inlineStr">
        <is>
          <t>Bình Thuận</t>
        </is>
      </c>
      <c r="G8225" t="inlineStr">
        <is>
          <t>30-04-2026</t>
        </is>
      </c>
      <c r="H8225" t="inlineStr">
        <is>
          <t>30/04/2026</t>
        </is>
      </c>
      <c r="I8225" t="inlineStr">
        <is>
          <t>17/03/2026</t>
        </is>
      </c>
      <c r="J8225" t="inlineStr">
        <is>
          <t>Quản lý điều hành, Xuất nhập khẩu, Sản xuất / Vận hành sản xuất</t>
        </is>
      </c>
      <c r="K8225" t="inlineStr">
        <is>
          <t>Trên 5 Năm</t>
        </is>
      </c>
      <c r="L8225" s="8">
        <f>HYPERLINK("https://careerviet.vn/vi/tim-viec-lam/truong-phong-ke-hoach-san-xuat.35C656D6.html","Xem chi tiết")</f>
        <v/>
      </c>
    </row>
    <row r="8226">
      <c r="B8226" s="9" t="n">
        <v>8224</v>
      </c>
      <c r="C8226" s="10" t="inlineStr">
        <is>
          <t>Kỹ sư Giám sát xây dựng hiện trường (Nhà thầu xây dựng)(Mới)</t>
        </is>
      </c>
      <c r="D8226" s="10" t="inlineStr">
        <is>
          <t>CÔNG TY CỔ PHẦN IFF HOLDINGS</t>
        </is>
      </c>
      <c r="E8226" s="10" t="inlineStr">
        <is>
          <t>Lương:Cạnh tranh</t>
        </is>
      </c>
      <c r="F8226" s="10" t="inlineStr">
        <is>
          <t>Hồ Chí Minh</t>
        </is>
      </c>
      <c r="G8226" s="10" t="inlineStr">
        <is>
          <t>16-04-2026</t>
        </is>
      </c>
      <c r="H8226" s="10" t="inlineStr">
        <is>
          <t>16/04/2026</t>
        </is>
      </c>
      <c r="I8226" s="10" t="inlineStr">
        <is>
          <t>17/03/2026</t>
        </is>
      </c>
      <c r="J8226" s="10" t="inlineStr">
        <is>
          <t>Xây dựng, Bất động sản</t>
        </is>
      </c>
      <c r="K8226" s="10" t="inlineStr">
        <is>
          <t>3 - 5 Năm</t>
        </is>
      </c>
      <c r="L8226" s="11">
        <f>HYPERLINK("https://careerviet.vn/vi/tim-viec-lam/ky-su-giam-sat-xay-dung-hien-truong-nha-thau-xay-dung.35C6CAF3.html","Xem chi tiết")</f>
        <v/>
      </c>
      <c r="M8226" s="10" t="n"/>
    </row>
    <row r="8227">
      <c r="B8227" s="7" t="n">
        <v>8225</v>
      </c>
      <c r="C8227" t="inlineStr">
        <is>
          <t>Trưởng Bán Hàng Vùng (Area Sales Manager)(Mới)</t>
        </is>
      </c>
      <c r="D8227" t="inlineStr">
        <is>
          <t>Công Ty Cổ Phần Sữa Việt Nam (Vinamilk)</t>
        </is>
      </c>
      <c r="E8227" t="inlineStr">
        <is>
          <t>Lương:Cạnh tranh</t>
        </is>
      </c>
      <c r="F8227" t="inlineStr">
        <is>
          <t>Hồ Chí Minh</t>
        </is>
      </c>
      <c r="G8227" t="inlineStr">
        <is>
          <t>30-04-2026</t>
        </is>
      </c>
      <c r="H8227" t="inlineStr">
        <is>
          <t>30/04/2026</t>
        </is>
      </c>
      <c r="I8227" t="inlineStr">
        <is>
          <t>17/03/2026</t>
        </is>
      </c>
      <c r="J8227" t="inlineStr">
        <is>
          <t>Bán hàng / Kinh doanh</t>
        </is>
      </c>
      <c r="K8227" t="inlineStr">
        <is>
          <t>4 - 6 Năm</t>
        </is>
      </c>
      <c r="L8227" s="8">
        <f>HYPERLINK("https://careerviet.vn/vi/tim-viec-lam/truong-ban-hang-vung-area-sales-manager.35C6CAEC.html","Xem chi tiết")</f>
        <v/>
      </c>
    </row>
    <row r="8228">
      <c r="B8228" s="9" t="n">
        <v>8226</v>
      </c>
      <c r="C8228" s="10" t="inlineStr">
        <is>
          <t>BIM/ CAD Operator for Structural(Mới)</t>
        </is>
      </c>
      <c r="D8228" s="10" t="inlineStr">
        <is>
          <t>Công Ty TNHH Thương Mại và Kỹ Thuật Loup</t>
        </is>
      </c>
      <c r="E8228" s="10" t="inlineStr">
        <is>
          <t>Lương:Cạnh tranh</t>
        </is>
      </c>
      <c r="F8228" s="10" t="inlineStr">
        <is>
          <t>Hồ Chí Minh</t>
        </is>
      </c>
      <c r="G8228" s="10" t="inlineStr">
        <is>
          <t>30-04-2026</t>
        </is>
      </c>
      <c r="H8228" s="10" t="inlineStr">
        <is>
          <t>30/04/2026</t>
        </is>
      </c>
      <c r="I8228" s="10" t="inlineStr">
        <is>
          <t>17/03/2026</t>
        </is>
      </c>
      <c r="J8228" s="10" t="inlineStr">
        <is>
          <t>Xây dựng, Kiến trúc, Mới tốt nghiệp / Thực tập</t>
        </is>
      </c>
      <c r="K8228" s="10" t="inlineStr">
        <is>
          <t>N/A</t>
        </is>
      </c>
      <c r="L8228" s="11">
        <f>HYPERLINK("https://careerviet.vn/vi/tim-viec-lam/bim-cad-operator-for-structural.35C6B0AF.html","Xem chi tiết")</f>
        <v/>
      </c>
      <c r="M8228" s="10" t="n"/>
    </row>
    <row r="8229">
      <c r="B8229" s="7" t="n">
        <v>8227</v>
      </c>
      <c r="C8229" t="inlineStr">
        <is>
          <t>Chuyên viên Phát triển thị trường và Đối tác (Site Expansion)(Mới)</t>
        </is>
      </c>
      <c r="D8229" t="inlineStr">
        <is>
          <t>Công Ty Cổ Phần Sữa Việt Nam (Vinamilk)</t>
        </is>
      </c>
      <c r="E8229" t="inlineStr">
        <is>
          <t>Lương:22 Tr - 30 Tr VND</t>
        </is>
      </c>
      <c r="F8229" t="inlineStr">
        <is>
          <t>Hồ Chí MinhHà Nội</t>
        </is>
      </c>
      <c r="G8229" t="inlineStr">
        <is>
          <t>30-04-2026</t>
        </is>
      </c>
      <c r="H8229" t="inlineStr">
        <is>
          <t>30/04/2026</t>
        </is>
      </c>
      <c r="I8229" t="inlineStr">
        <is>
          <t>17/03/2026</t>
        </is>
      </c>
      <c r="J8229" t="inlineStr">
        <is>
          <t>Bất động sản</t>
        </is>
      </c>
      <c r="K8229" t="inlineStr">
        <is>
          <t>5 - 8 Năm</t>
        </is>
      </c>
      <c r="L8229" s="8">
        <f>HYPERLINK("https://careerviet.vn/vi/tim-viec-lam/chuyen-vien-phat-trien-thi-truong-va-doi-tac-site-expansion.35C6CAEE.html","Xem chi tiết")</f>
        <v/>
      </c>
    </row>
    <row r="8230">
      <c r="B8230" s="9" t="n">
        <v>8228</v>
      </c>
      <c r="C8230" s="10" t="inlineStr">
        <is>
          <t>Giáo viên Bộ môn Lịch sử - Pathway School(Mới)</t>
        </is>
      </c>
      <c r="D8230" s="10" t="inlineStr">
        <is>
          <t>Hệ thống trường Pathway Tuệ Đức</t>
        </is>
      </c>
      <c r="E8230" s="10" t="inlineStr">
        <is>
          <t>Lương:10 Tr - 15 Tr VND</t>
        </is>
      </c>
      <c r="F8230" s="10" t="inlineStr">
        <is>
          <t>Hồ Chí Minh</t>
        </is>
      </c>
      <c r="G8230" s="10" t="inlineStr">
        <is>
          <t>16-04-2026</t>
        </is>
      </c>
      <c r="H8230" s="10" t="inlineStr">
        <is>
          <t>16/04/2026</t>
        </is>
      </c>
      <c r="I8230" s="10" t="inlineStr">
        <is>
          <t>17/03/2026</t>
        </is>
      </c>
      <c r="J8230" s="10" t="inlineStr">
        <is>
          <t>Giáo dục / Đào tạo</t>
        </is>
      </c>
      <c r="K8230" s="10" t="inlineStr">
        <is>
          <t>1 - 3 Năm</t>
        </is>
      </c>
      <c r="L8230" s="11">
        <f>HYPERLINK("https://careerviet.vn/vi/tim-viec-lam/giao-vien-bo-mon-lich-su-pathway-school.35C6CAEA.html","Xem chi tiết")</f>
        <v/>
      </c>
      <c r="M8230" s="10" t="n"/>
    </row>
    <row r="8231">
      <c r="B8231" s="7" t="n">
        <v>8229</v>
      </c>
      <c r="C8231" t="inlineStr">
        <is>
          <t>Chuyên viên Tài chính - Kế hoạch(Mới)</t>
        </is>
      </c>
      <c r="D8231" t="inlineStr">
        <is>
          <t>KDI EDUCATION</t>
        </is>
      </c>
      <c r="E8231" t="inlineStr">
        <is>
          <t>Lương:18 Tr - 20 Tr VND</t>
        </is>
      </c>
      <c r="F8231" t="inlineStr">
        <is>
          <t>Hồ Chí Minh</t>
        </is>
      </c>
      <c r="G8231" t="inlineStr">
        <is>
          <t>16-04-2026</t>
        </is>
      </c>
      <c r="H8231" t="inlineStr">
        <is>
          <t>16/04/2026</t>
        </is>
      </c>
      <c r="I8231" t="inlineStr">
        <is>
          <t>17/03/2026</t>
        </is>
      </c>
      <c r="J8231" t="inlineStr">
        <is>
          <t>Giáo dục / Đào tạo, Tài chính / Đầu tư</t>
        </is>
      </c>
      <c r="K8231" t="inlineStr">
        <is>
          <t>3 - 5 Năm</t>
        </is>
      </c>
      <c r="L8231" s="8">
        <f>HYPERLINK("https://careerviet.vn/vi/tim-viec-lam/chuyen-vien-tai-chinh-ke-hoach.35C6CAE9.html","Xem chi tiết")</f>
        <v/>
      </c>
    </row>
    <row r="8232">
      <c r="B8232" s="9" t="n">
        <v>8230</v>
      </c>
      <c r="C8232" s="10" t="inlineStr">
        <is>
          <t>Chuyên viên Chăm sóc học viên(Mới)</t>
        </is>
      </c>
      <c r="D8232" s="10" t="inlineStr">
        <is>
          <t>Công ty CP Công nghệ giáo dục Trường học trực tuyến (ONSCHOOL)</t>
        </is>
      </c>
      <c r="E8232" s="10" t="inlineStr">
        <is>
          <t>Lương:13 Tr - 20 Tr VND</t>
        </is>
      </c>
      <c r="F8232" s="10" t="inlineStr">
        <is>
          <t>Hồ Chí Minh</t>
        </is>
      </c>
      <c r="G8232" s="10" t="inlineStr">
        <is>
          <t>3</t>
        </is>
      </c>
      <c r="H8232" s="10" t="inlineStr">
        <is>
          <t>20/03/2026</t>
        </is>
      </c>
      <c r="I8232" s="10" t="inlineStr">
        <is>
          <t>17/03/2026</t>
        </is>
      </c>
      <c r="J8232" s="10" t="inlineStr">
        <is>
          <t>Dịch vụ khách hàng, Giáo dục / Đào tạo</t>
        </is>
      </c>
      <c r="K8232" s="10" t="inlineStr">
        <is>
          <t>2 - 3 Năm</t>
        </is>
      </c>
      <c r="L8232" s="11">
        <f>HYPERLINK("https://careerviet.vn/vi/tim-viec-lam/chuyen-vien-cham-soc-hoc-vien.35C6CAFA.html","Xem chi tiết")</f>
        <v/>
      </c>
      <c r="M8232" s="10" t="n"/>
    </row>
    <row r="8233">
      <c r="B8233" s="7" t="n">
        <v>8231</v>
      </c>
      <c r="C8233" t="inlineStr">
        <is>
          <t>Chief Accountant(Mới)</t>
        </is>
      </c>
      <c r="D8233" t="inlineStr">
        <is>
          <t>CÔNG TY TNHH SEAH M&amp;S VIỆT NAM</t>
        </is>
      </c>
      <c r="E8233" t="inlineStr">
        <is>
          <t>Lương:Cạnh tranh</t>
        </is>
      </c>
      <c r="F8233" t="inlineStr">
        <is>
          <t>Bà Rịa - Vũng TàuHồ Chí Minh</t>
        </is>
      </c>
      <c r="G8233" t="inlineStr">
        <is>
          <t>15-04-2026</t>
        </is>
      </c>
      <c r="H8233" t="inlineStr">
        <is>
          <t>15/04/2026</t>
        </is>
      </c>
      <c r="I8233" t="inlineStr">
        <is>
          <t>17/03/2026</t>
        </is>
      </c>
      <c r="J8233" t="inlineStr">
        <is>
          <t>Sản xuất / Vận hành sản xuất, Kế toán / Kiểm toán, Tài chính / Đầu tư</t>
        </is>
      </c>
      <c r="K8233" t="inlineStr">
        <is>
          <t>5 - 10 Năm</t>
        </is>
      </c>
      <c r="L8233" s="8">
        <f>HYPERLINK("https://careerviet.vn/vi/tim-viec-lam/chief-accountant.35C6CAEF.html","Xem chi tiết")</f>
        <v/>
      </c>
    </row>
    <row r="8234">
      <c r="B8234" s="9" t="n">
        <v>8232</v>
      </c>
      <c r="C8234" s="10" t="inlineStr">
        <is>
          <t>Trưởng nhóm Tài chính(Mới)</t>
        </is>
      </c>
      <c r="D8234" s="10" t="inlineStr">
        <is>
          <t>KDI EDUCATION</t>
        </is>
      </c>
      <c r="E8234" s="10" t="inlineStr">
        <is>
          <t>Lương:Cạnh tranh</t>
        </is>
      </c>
      <c r="F8234" s="10" t="inlineStr">
        <is>
          <t>Hồ Chí Minh</t>
        </is>
      </c>
      <c r="G8234" s="10" t="inlineStr">
        <is>
          <t>15-04-2026</t>
        </is>
      </c>
      <c r="H8234" s="10" t="inlineStr">
        <is>
          <t>15/04/2026</t>
        </is>
      </c>
      <c r="I8234" s="10" t="inlineStr">
        <is>
          <t>17/03/2026</t>
        </is>
      </c>
      <c r="J8234" s="10" t="inlineStr">
        <is>
          <t>Giáo dục / Đào tạo, Tài chính / Đầu tư</t>
        </is>
      </c>
      <c r="K8234" s="10" t="inlineStr">
        <is>
          <t>4 - 5 Năm</t>
        </is>
      </c>
      <c r="L8234" s="11">
        <f>HYPERLINK("https://careerviet.vn/vi/tim-viec-lam/truong-nhom-tai-chinh.35C6CAE0.html","Xem chi tiết")</f>
        <v/>
      </c>
      <c r="M8234" s="10" t="n"/>
    </row>
    <row r="8235">
      <c r="B8235" s="7" t="n">
        <v>8233</v>
      </c>
      <c r="C8235" t="inlineStr">
        <is>
          <t>Chuyên viên Tư vấn Tuyển sinh (STEM)(Mới)</t>
        </is>
      </c>
      <c r="D8235" t="inlineStr">
        <is>
          <t>KDI EDUCATION</t>
        </is>
      </c>
      <c r="E8235" t="inlineStr">
        <is>
          <t>Lương:15 Tr - 20 Tr VND</t>
        </is>
      </c>
      <c r="F8235" t="inlineStr">
        <is>
          <t>Hồ Chí Minh</t>
        </is>
      </c>
      <c r="G8235" t="inlineStr">
        <is>
          <t>15-04-2026</t>
        </is>
      </c>
      <c r="H8235" t="inlineStr">
        <is>
          <t>15/04/2026</t>
        </is>
      </c>
      <c r="I8235" t="inlineStr">
        <is>
          <t>17/03/2026</t>
        </is>
      </c>
      <c r="J8235" t="inlineStr">
        <is>
          <t>Giáo dục / Đào tạo</t>
        </is>
      </c>
      <c r="K8235" t="inlineStr">
        <is>
          <t>1 - 2 Năm</t>
        </is>
      </c>
      <c r="L8235" s="8">
        <f>HYPERLINK("https://careerviet.vn/vi/tim-viec-lam/chuyen-vien-tu-van-tuyen-sinh-stem.35C6CAE5.html","Xem chi tiết")</f>
        <v/>
      </c>
    </row>
    <row r="8236">
      <c r="B8236" s="9" t="n">
        <v>8234</v>
      </c>
      <c r="C8236" s="10" t="inlineStr">
        <is>
          <t>Finance Team leader (Korean)(Mới)</t>
        </is>
      </c>
      <c r="D8236" s="10" t="inlineStr">
        <is>
          <t>Công Ty TNHH POSCO - Việt Nam</t>
        </is>
      </c>
      <c r="E8236" s="10" t="inlineStr">
        <is>
          <t>Lương:Cạnh tranh</t>
        </is>
      </c>
      <c r="F8236" s="10" t="inlineStr">
        <is>
          <t>Bà Rịa - Vũng TàuHồ Chí Minh</t>
        </is>
      </c>
      <c r="G8236" s="10" t="inlineStr">
        <is>
          <t>16-04-2026</t>
        </is>
      </c>
      <c r="H8236" s="10" t="inlineStr">
        <is>
          <t>16/04/2026</t>
        </is>
      </c>
      <c r="I8236" s="10" t="inlineStr">
        <is>
          <t>17/03/2026</t>
        </is>
      </c>
      <c r="J8236" s="10" t="inlineStr">
        <is>
          <t>Kế toán / Kiểm toán, Ngân hàng, Tài chính / Đầu tư</t>
        </is>
      </c>
      <c r="K8236" s="10" t="inlineStr">
        <is>
          <t>Trên 5 Năm</t>
        </is>
      </c>
      <c r="L8236" s="11">
        <f>HYPERLINK("https://careerviet.vn/vi/tim-viec-lam/finance-team-leader-korean.35C6CA72.html","Xem chi tiết")</f>
        <v/>
      </c>
      <c r="M8236" s="10" t="n"/>
    </row>
    <row r="8237">
      <c r="B8237" s="7" t="n">
        <v>8235</v>
      </c>
      <c r="C8237" t="inlineStr">
        <is>
          <t>Giám đốc Trung tâm(Mới)</t>
        </is>
      </c>
      <c r="D8237" t="inlineStr">
        <is>
          <t>Bảo mật</t>
        </is>
      </c>
      <c r="E8237" t="inlineStr">
        <is>
          <t>Lương:Cạnh tranh</t>
        </is>
      </c>
      <c r="F8237" t="inlineStr">
        <is>
          <t>Hồ Chí Minh</t>
        </is>
      </c>
      <c r="G8237" t="inlineStr">
        <is>
          <t>16-04-2026</t>
        </is>
      </c>
      <c r="H8237" t="inlineStr">
        <is>
          <t>16/04/2026</t>
        </is>
      </c>
      <c r="I8237" t="inlineStr">
        <is>
          <t>17/03/2026</t>
        </is>
      </c>
      <c r="J8237" t="inlineStr">
        <is>
          <t>Bán hàng / Kinh doanh, Giáo dục / Đào tạo, Quảng cáo / Đối ngoại / Truyền Thông</t>
        </is>
      </c>
      <c r="K8237" t="inlineStr">
        <is>
          <t>5 - 6 Năm</t>
        </is>
      </c>
      <c r="L8237" s="8">
        <f>HYPERLINK("https://careerviet.vn/vi/tim-viec-lam/giam-doc-trung-tam.35C6CADB.html","Xem chi tiết")</f>
        <v/>
      </c>
    </row>
    <row r="8238">
      <c r="B8238" s="9" t="n">
        <v>8236</v>
      </c>
      <c r="C8238" s="10" t="inlineStr">
        <is>
          <t>Kỹ Sư Xây Dựng(Mới)</t>
        </is>
      </c>
      <c r="D8238" s="10" t="inlineStr">
        <is>
          <t>Huy Thuoc Construction Ltd.,</t>
        </is>
      </c>
      <c r="E8238" s="10" t="inlineStr">
        <is>
          <t>Lương:10 Tr - 20 Tr VND</t>
        </is>
      </c>
      <c r="F8238" s="10" t="inlineStr">
        <is>
          <t>Hồ Chí Minh</t>
        </is>
      </c>
      <c r="G8238" s="10" t="inlineStr">
        <is>
          <t>16-04-2026</t>
        </is>
      </c>
      <c r="H8238" s="10" t="inlineStr">
        <is>
          <t>16/04/2026</t>
        </is>
      </c>
      <c r="I8238" s="10" t="inlineStr">
        <is>
          <t>17/03/2026</t>
        </is>
      </c>
      <c r="J8238" s="10" t="inlineStr">
        <is>
          <t>Xây dựng, Kiến trúc, Nội ngoại thất</t>
        </is>
      </c>
      <c r="K8238" s="10" t="inlineStr">
        <is>
          <t>3 - 5 Năm</t>
        </is>
      </c>
      <c r="L8238" s="11">
        <f>HYPERLINK("https://careerviet.vn/vi/tim-viec-lam/ky-su-xay-dung.35C6CA3C.html","Xem chi tiết")</f>
        <v/>
      </c>
      <c r="M8238" s="10" t="n"/>
    </row>
    <row r="8239">
      <c r="B8239" s="7" t="n">
        <v>8237</v>
      </c>
      <c r="C8239" t="inlineStr">
        <is>
          <t>SCM Import Export Senior staff(Mới)</t>
        </is>
      </c>
      <c r="D8239" t="inlineStr">
        <is>
          <t>CÔNG TY TNHH SEAH M&amp;S VIỆT NAM</t>
        </is>
      </c>
      <c r="E8239" t="inlineStr">
        <is>
          <t>Lương:800 - 900 USD</t>
        </is>
      </c>
      <c r="F8239" t="inlineStr">
        <is>
          <t>Bà Rịa - Vũng TàuHồ Chí Minh</t>
        </is>
      </c>
      <c r="G8239" t="inlineStr">
        <is>
          <t>15-04-2026</t>
        </is>
      </c>
      <c r="H8239" t="inlineStr">
        <is>
          <t>15/04/2026</t>
        </is>
      </c>
      <c r="I8239" t="inlineStr">
        <is>
          <t>17/03/2026</t>
        </is>
      </c>
      <c r="J8239" t="inlineStr">
        <is>
          <t>Sản xuất / Vận hành sản xuất, Xuất nhập khẩu</t>
        </is>
      </c>
      <c r="K8239" t="inlineStr">
        <is>
          <t>3 - 5 Năm</t>
        </is>
      </c>
      <c r="L8239" s="8">
        <f>HYPERLINK("https://careerviet.vn/vi/tim-viec-lam/scm-import-export-senior-staff.35C6CAF9.html","Xem chi tiết")</f>
        <v/>
      </c>
    </row>
    <row r="8240">
      <c r="B8240" s="9" t="n">
        <v>8238</v>
      </c>
      <c r="C8240" s="10" t="inlineStr">
        <is>
          <t>Kỹ sư/ Kiến trúc sư Hoàn thiện(Mới)</t>
        </is>
      </c>
      <c r="D8240" s="10" t="inlineStr">
        <is>
          <t>Công ty Cổ phần Đầu tư Thương mại Kỹ thuật A&amp;T Việt Nam</t>
        </is>
      </c>
      <c r="E8240" s="10" t="inlineStr">
        <is>
          <t>Lương:19 Tr - 22 Tr VND</t>
        </is>
      </c>
      <c r="F8240" s="10" t="inlineStr">
        <is>
          <t>Bình Dương</t>
        </is>
      </c>
      <c r="G8240" s="10" t="inlineStr">
        <is>
          <t>31-03-2026</t>
        </is>
      </c>
      <c r="H8240" s="10" t="inlineStr">
        <is>
          <t>31/03/2026</t>
        </is>
      </c>
      <c r="I8240" s="10" t="inlineStr">
        <is>
          <t>17/03/2026</t>
        </is>
      </c>
      <c r="J8240" s="10" t="inlineStr">
        <is>
          <t>Kiến trúc, Xây dựng, Bất động sản</t>
        </is>
      </c>
      <c r="K8240" s="10" t="inlineStr">
        <is>
          <t>8 - 10 Năm</t>
        </is>
      </c>
      <c r="L8240" s="11">
        <f>HYPERLINK("https://careerviet.vn/vi/tim-viec-lam/ky-su-kien-truc-su-hoan-thien.35C6CAE8.html","Xem chi tiết")</f>
        <v/>
      </c>
      <c r="M8240" s="10" t="n"/>
    </row>
    <row r="8241">
      <c r="B8241" s="7" t="n">
        <v>8239</v>
      </c>
      <c r="C8241" t="inlineStr">
        <is>
          <t>Nhân viên Xuất Nhập Khẩu(Mới)</t>
        </is>
      </c>
      <c r="D8241" t="inlineStr">
        <is>
          <t>Công Ty CP XNK Hóa Chất &amp; Thiết Bị Kim Ngưu</t>
        </is>
      </c>
      <c r="E8241" t="inlineStr">
        <is>
          <t>Lương:10 Tr - 15 Tr VND</t>
        </is>
      </c>
      <c r="F8241" t="inlineStr">
        <is>
          <t>Hà Nội</t>
        </is>
      </c>
      <c r="G8241" t="inlineStr">
        <is>
          <t>30-03-2026</t>
        </is>
      </c>
      <c r="H8241" t="inlineStr">
        <is>
          <t>30/03/2026</t>
        </is>
      </c>
      <c r="I8241" t="inlineStr">
        <is>
          <t>17/03/2026</t>
        </is>
      </c>
      <c r="J8241" t="inlineStr">
        <is>
          <t>Xuất nhập khẩu, Vận chuyển / Giao nhận / Kho vận</t>
        </is>
      </c>
      <c r="K8241" t="inlineStr">
        <is>
          <t>2 - 3 Năm</t>
        </is>
      </c>
      <c r="L8241" s="8">
        <f>HYPERLINK("https://careerviet.vn/vi/tim-viec-lam/nhan-vien-xuat-nhap-khau.35C6CAEB.html","Xem chi tiết")</f>
        <v/>
      </c>
    </row>
    <row r="8242">
      <c r="B8242" s="9" t="n">
        <v>8240</v>
      </c>
      <c r="C8242" s="10" t="inlineStr">
        <is>
          <t>NHÂN VIÊN KHO VẬN (Làm việc tại Hà Nội)(Mới)</t>
        </is>
      </c>
      <c r="D8242" s="10" t="inlineStr">
        <is>
          <t>Công ty CP Thương mại Dịch vụ An Biên</t>
        </is>
      </c>
      <c r="E8242" s="10" t="inlineStr">
        <is>
          <t>Lương:11 Tr - 12 Tr VND</t>
        </is>
      </c>
      <c r="F8242" s="10" t="inlineStr">
        <is>
          <t>Hà Nội</t>
        </is>
      </c>
      <c r="G8242" s="10" t="inlineStr">
        <is>
          <t>15-04-2026</t>
        </is>
      </c>
      <c r="H8242" s="10" t="inlineStr">
        <is>
          <t>15/04/2026</t>
        </is>
      </c>
      <c r="I8242" s="10" t="inlineStr">
        <is>
          <t>17/03/2026</t>
        </is>
      </c>
      <c r="J8242" s="10" t="inlineStr">
        <is>
          <t>Vận chuyển / Giao nhận / Kho vận, Lao động phổ thông, Dịch vụ khách hàng</t>
        </is>
      </c>
      <c r="K8242" s="10" t="inlineStr">
        <is>
          <t>1 - 2 Năm</t>
        </is>
      </c>
      <c r="L8242" s="11">
        <f>HYPERLINK("https://careerviet.vn/vi/tim-viec-lam/nhan-vien-kho-van-lam-viec-tai-ha-noi.35C6CAE4.html","Xem chi tiết")</f>
        <v/>
      </c>
      <c r="M8242" s="10" t="n"/>
    </row>
    <row r="8243">
      <c r="B8243" s="7" t="n">
        <v>8241</v>
      </c>
      <c r="C8243" t="inlineStr">
        <is>
          <t>Sales Supervisor(Mới)</t>
        </is>
      </c>
      <c r="D8243" t="inlineStr">
        <is>
          <t>Công Ty Cổ Phần Sữa Việt Nam (Vinamilk)</t>
        </is>
      </c>
      <c r="E8243" t="inlineStr">
        <is>
          <t>Lương:22 Tr - 30 Tr VND</t>
        </is>
      </c>
      <c r="F8243" t="inlineStr">
        <is>
          <t>Hồ Chí MinhĐồng NaiBạc Liêu</t>
        </is>
      </c>
      <c r="G8243" t="inlineStr">
        <is>
          <t>30-04-2026</t>
        </is>
      </c>
      <c r="H8243" t="inlineStr">
        <is>
          <t>30/04/2026</t>
        </is>
      </c>
      <c r="I8243" t="inlineStr">
        <is>
          <t>17/03/2026</t>
        </is>
      </c>
      <c r="J8243" t="inlineStr">
        <is>
          <t>Tiếp thị / Marketing, Bán lẻ / Bán sỉ, Bán hàng / Kinh doanh</t>
        </is>
      </c>
      <c r="K8243" t="inlineStr">
        <is>
          <t>2 - 5 Năm</t>
        </is>
      </c>
      <c r="L8243" s="8">
        <f>HYPERLINK("https://careerviet.vn/vi/tim-viec-lam/sales-supervisor.35C6CAE2.html","Xem chi tiết")</f>
        <v/>
      </c>
    </row>
    <row r="8244">
      <c r="B8244" s="9" t="n">
        <v>8242</v>
      </c>
      <c r="C8244" s="10" t="inlineStr">
        <is>
          <t>Giáo viên STEM - Nghệ An(Mới)</t>
        </is>
      </c>
      <c r="D8244" s="10" t="inlineStr">
        <is>
          <t>KDI EDUCATION</t>
        </is>
      </c>
      <c r="E8244" s="10" t="inlineStr">
        <is>
          <t>Lương:7 Tr - 8,5 Tr VND</t>
        </is>
      </c>
      <c r="F8244" s="10" t="inlineStr">
        <is>
          <t>Nghệ An</t>
        </is>
      </c>
      <c r="G8244" s="10" t="inlineStr">
        <is>
          <t>15-04-2026</t>
        </is>
      </c>
      <c r="H8244" s="10" t="inlineStr">
        <is>
          <t>15/04/2026</t>
        </is>
      </c>
      <c r="I8244" s="10" t="inlineStr">
        <is>
          <t>17/03/2026</t>
        </is>
      </c>
      <c r="J8244" s="10" t="inlineStr">
        <is>
          <t>Giáo dục / Đào tạo</t>
        </is>
      </c>
      <c r="K8244" s="10" t="inlineStr">
        <is>
          <t>1 - 2 Năm</t>
        </is>
      </c>
      <c r="L8244" s="11">
        <f>HYPERLINK("https://careerviet.vn/vi/tim-viec-lam/giao-vien-stem-nghe-an.35C6CAD9.html","Xem chi tiết")</f>
        <v/>
      </c>
      <c r="M8244" s="10" t="n"/>
    </row>
    <row r="8245">
      <c r="B8245" s="7" t="n">
        <v>8243</v>
      </c>
      <c r="C8245" t="inlineStr">
        <is>
          <t>Head of Marketing(Mới)</t>
        </is>
      </c>
      <c r="D8245" t="inlineStr">
        <is>
          <t>Bảo mật</t>
        </is>
      </c>
      <c r="E8245" t="inlineStr">
        <is>
          <t>Lương:Cạnh tranh</t>
        </is>
      </c>
      <c r="F8245" t="inlineStr">
        <is>
          <t>Hồ Chí Minh</t>
        </is>
      </c>
      <c r="G8245" t="inlineStr">
        <is>
          <t>15-04-2026</t>
        </is>
      </c>
      <c r="H8245" t="inlineStr">
        <is>
          <t>15/04/2026</t>
        </is>
      </c>
      <c r="I8245" t="inlineStr">
        <is>
          <t>17/03/2026</t>
        </is>
      </c>
      <c r="J8245" t="inlineStr">
        <is>
          <t>Tiếp thị / Marketing, Giáo dục / Đào tạo</t>
        </is>
      </c>
      <c r="K8245" t="inlineStr">
        <is>
          <t>3 - 4 Năm</t>
        </is>
      </c>
      <c r="L8245" s="8">
        <f>HYPERLINK("https://careerviet.vn/vi/tim-viec-lam/head-of-marketing.35C6CADE.html","Xem chi tiết")</f>
        <v/>
      </c>
    </row>
    <row r="8246">
      <c r="B8246" s="9" t="n">
        <v>8244</v>
      </c>
      <c r="C8246" s="10" t="inlineStr">
        <is>
          <t>Thư ký Ban Giám đốc - Vinmec Riverside(Mới)</t>
        </is>
      </c>
      <c r="D8246" s="10" t="inlineStr">
        <is>
          <t>Công ty CP Bệnh Viện Đa Khoa Quốc Tế Vinmec</t>
        </is>
      </c>
      <c r="E8246" s="10" t="inlineStr">
        <is>
          <t>Lương:Cạnh tranh</t>
        </is>
      </c>
      <c r="F8246" s="10" t="inlineStr">
        <is>
          <t>Hà Nội</t>
        </is>
      </c>
      <c r="G8246" s="10" t="inlineStr">
        <is>
          <t>30-04-2026</t>
        </is>
      </c>
      <c r="H8246" s="10" t="inlineStr">
        <is>
          <t>30/04/2026</t>
        </is>
      </c>
      <c r="I8246" s="10" t="inlineStr">
        <is>
          <t>17/03/2026</t>
        </is>
      </c>
      <c r="J8246" s="10" t="inlineStr">
        <is>
          <t>Y tế / Chăm sóc sức khỏe / Thẩm mỹ / Làm đẹp</t>
        </is>
      </c>
      <c r="K8246" s="10" t="inlineStr">
        <is>
          <t>Lên đến 2 Năm</t>
        </is>
      </c>
      <c r="L8246" s="11">
        <f>HYPERLINK("https://careerviet.vn/vi/tim-viec-lam/thu-ky-ban-giam-doc-vinmec-riverside.35C6CAD3.html","Xem chi tiết")</f>
        <v/>
      </c>
      <c r="M8246" s="10" t="n"/>
    </row>
    <row r="8247">
      <c r="B8247" s="7" t="n">
        <v>8245</v>
      </c>
      <c r="C8247" t="inlineStr">
        <is>
          <t>Kỹ Sư Kết Cấu, BIM Engineer(Mới)</t>
        </is>
      </c>
      <c r="D8247" t="inlineStr">
        <is>
          <t>Công Ty TNHH Thương Mại và Kỹ Thuật Loup</t>
        </is>
      </c>
      <c r="E8247" t="inlineStr">
        <is>
          <t>Lương:Cạnh tranh</t>
        </is>
      </c>
      <c r="F8247" t="inlineStr">
        <is>
          <t>Hồ Chí Minh</t>
        </is>
      </c>
      <c r="G8247" t="inlineStr">
        <is>
          <t>30-04-2026</t>
        </is>
      </c>
      <c r="H8247" t="inlineStr">
        <is>
          <t>30/04/2026</t>
        </is>
      </c>
      <c r="I8247" t="inlineStr">
        <is>
          <t>17/03/2026</t>
        </is>
      </c>
      <c r="J8247" t="inlineStr">
        <is>
          <t>Xây dựng, Mới tốt nghiệp / Thực tập</t>
        </is>
      </c>
      <c r="K8247" t="inlineStr">
        <is>
          <t>N/A</t>
        </is>
      </c>
      <c r="L8247" s="8">
        <f>HYPERLINK("https://careerviet.vn/vi/tim-viec-lam/ky-su-ket-cau-bim-engineer.35C6B0AE.html","Xem chi tiết")</f>
        <v/>
      </c>
    </row>
    <row r="8248">
      <c r="B8248" s="9" t="n">
        <v>8246</v>
      </c>
      <c r="C8248" s="10" t="inlineStr">
        <is>
          <t>Nhân viên kinh doanh - Tây Bắc(Mới)</t>
        </is>
      </c>
      <c r="D8248" s="10" t="inlineStr">
        <is>
          <t>Công ty CP Toshiko Việt Nam</t>
        </is>
      </c>
      <c r="E8248" s="10" t="inlineStr">
        <is>
          <t>Lương:15 Tr - 25 Tr VND</t>
        </is>
      </c>
      <c r="F8248" s="10" t="inlineStr">
        <is>
          <t>Lào Cai</t>
        </is>
      </c>
      <c r="G8248" s="10" t="inlineStr">
        <is>
          <t>18-04-2026</t>
        </is>
      </c>
      <c r="H8248" s="10" t="inlineStr">
        <is>
          <t>18/04/2026</t>
        </is>
      </c>
      <c r="I8248" s="10" t="inlineStr">
        <is>
          <t>17/03/2026</t>
        </is>
      </c>
      <c r="J8248" s="10" t="inlineStr">
        <is>
          <t>Tiếp thị / Marketing, Bán lẻ / Bán sỉ, Bán hàng / Kinh doanh</t>
        </is>
      </c>
      <c r="K8248" s="10" t="inlineStr">
        <is>
          <t>2 - 3 Năm</t>
        </is>
      </c>
      <c r="L8248" s="11">
        <f>HYPERLINK("https://careerviet.vn/vi/tim-viec-lam/nhan-vien-kinh-doanh-tay-bac.35C6CC6E.html","Xem chi tiết")</f>
        <v/>
      </c>
      <c r="M8248" s="10" t="n"/>
    </row>
    <row r="8249">
      <c r="B8249" s="7" t="n">
        <v>8247</v>
      </c>
      <c r="C8249" t="inlineStr">
        <is>
          <t>Nhân viên dịch vụ khách hàng</t>
        </is>
      </c>
      <c r="D8249" t="inlineStr">
        <is>
          <t>CÔNG TY CỔ PHẦN BỆNH VIỆN QUỐC TẾ BERNARD 1</t>
        </is>
      </c>
      <c r="E8249" t="inlineStr">
        <is>
          <t>Lương:Cạnh tranh</t>
        </is>
      </c>
      <c r="F8249" t="inlineStr">
        <is>
          <t>Hồ Chí Minh</t>
        </is>
      </c>
      <c r="G8249" t="inlineStr">
        <is>
          <t>31-03-2026</t>
        </is>
      </c>
      <c r="H8249" t="inlineStr">
        <is>
          <t>31/03/2026</t>
        </is>
      </c>
      <c r="I8249" t="inlineStr">
        <is>
          <t>17/03/2026</t>
        </is>
      </c>
      <c r="J8249" t="inlineStr">
        <is>
          <t>Y tế / Chăm sóc sức khỏe / Thẩm mỹ / Làm đẹp, Dược phẩm/ Hóa Mỹ Phẩm, Dịch vụ khách hàng</t>
        </is>
      </c>
      <c r="K8249" t="inlineStr">
        <is>
          <t>1 - 3 Năm</t>
        </is>
      </c>
      <c r="L8249" s="8">
        <f>HYPERLINK("https://careerviet.vn/vi/tim-viec-lam/nhan-vien-dich-vu-khach-hang.35C69E2C.html","Xem chi tiết")</f>
        <v/>
      </c>
    </row>
    <row r="8250">
      <c r="B8250" s="9" t="n">
        <v>8248</v>
      </c>
      <c r="C8250" s="10" t="inlineStr">
        <is>
          <t>Kế toán ngân hàng(Mới)</t>
        </is>
      </c>
      <c r="D8250" s="10" t="inlineStr">
        <is>
          <t>CÔNG TY CỔ PHẦN MIDOMAX VIỆT NAM</t>
        </is>
      </c>
      <c r="E8250" s="10" t="inlineStr">
        <is>
          <t>Lương:10 Tr - 13 Tr VND</t>
        </is>
      </c>
      <c r="F8250" s="10" t="inlineStr">
        <is>
          <t>Hà Nội</t>
        </is>
      </c>
      <c r="G8250" s="10" t="inlineStr">
        <is>
          <t>30-04-2026</t>
        </is>
      </c>
      <c r="H8250" s="10" t="inlineStr">
        <is>
          <t>30/04/2026</t>
        </is>
      </c>
      <c r="I8250" s="10" t="inlineStr">
        <is>
          <t>17/03/2026</t>
        </is>
      </c>
      <c r="J8250" s="10" t="inlineStr">
        <is>
          <t>Kế toán / Kiểm toán</t>
        </is>
      </c>
      <c r="K8250" s="10" t="inlineStr">
        <is>
          <t>1 - 3 Năm</t>
        </is>
      </c>
      <c r="L8250" s="11">
        <f>HYPERLINK("https://careerviet.vn/vi/tim-viec-lam/ke-toan-ngan-hang.35C6CC66.html","Xem chi tiết")</f>
        <v/>
      </c>
      <c r="M8250" s="10" t="n"/>
    </row>
    <row r="8251">
      <c r="B8251" s="7" t="n">
        <v>8249</v>
      </c>
      <c r="C8251" t="inlineStr">
        <is>
          <t>Nhân viên Telesale Viettel tại  Vinh, Nghệ An - Làm Hành Chính .H2(Mới)</t>
        </is>
      </c>
      <c r="D8251" t="inlineStr">
        <is>
          <t>CÔNG TY CỔ PHẦN TRUYỀN THÔNG KIM CƯƠNG</t>
        </is>
      </c>
      <c r="E8251" t="inlineStr">
        <is>
          <t>Lương:7 Tr - 12 Tr VND</t>
        </is>
      </c>
      <c r="F8251" t="inlineStr">
        <is>
          <t>Nghệ An</t>
        </is>
      </c>
      <c r="G8251" t="inlineStr">
        <is>
          <t>30-04-2026</t>
        </is>
      </c>
      <c r="H8251" t="inlineStr">
        <is>
          <t>30/04/2026</t>
        </is>
      </c>
      <c r="I8251" t="inlineStr">
        <is>
          <t>17/03/2026</t>
        </is>
      </c>
      <c r="J8251" t="inlineStr">
        <is>
          <t>Tiếp thị / Marketing, Tiếp thị trực tuyến, Tư vấn</t>
        </is>
      </c>
      <c r="K8251" t="inlineStr">
        <is>
          <t>N/A</t>
        </is>
      </c>
      <c r="L8251" s="8">
        <f>HYPERLINK("https://careerviet.vn/vi/tim-viec-lam/nhan-vien-telesale-viettel-tai-vinh-nghe-an-lam-hanh-chinh-h2.35C6CADC.html","Xem chi tiết")</f>
        <v/>
      </c>
    </row>
    <row r="8252">
      <c r="B8252" s="9" t="n">
        <v>8250</v>
      </c>
      <c r="C8252" s="10" t="inlineStr">
        <is>
          <t>Giáo viên Kỹ năng công dân số(Mới)</t>
        </is>
      </c>
      <c r="D8252" s="10" t="inlineStr">
        <is>
          <t>KDI EDUCATION</t>
        </is>
      </c>
      <c r="E8252" s="10" t="inlineStr">
        <is>
          <t>Lương:8 Tr - 10 Tr VND</t>
        </is>
      </c>
      <c r="F8252" s="10" t="inlineStr">
        <is>
          <t>Hồ Chí Minh</t>
        </is>
      </c>
      <c r="G8252" s="10" t="inlineStr">
        <is>
          <t>16-04-2026</t>
        </is>
      </c>
      <c r="H8252" s="10" t="inlineStr">
        <is>
          <t>16/04/2026</t>
        </is>
      </c>
      <c r="I8252" s="10" t="inlineStr">
        <is>
          <t>17/03/2026</t>
        </is>
      </c>
      <c r="J8252" s="10" t="inlineStr">
        <is>
          <t>Giáo dục / Đào tạo</t>
        </is>
      </c>
      <c r="K8252" s="10" t="inlineStr">
        <is>
          <t>1 - 2 Năm</t>
        </is>
      </c>
      <c r="L8252" s="11">
        <f>HYPERLINK("https://careerviet.vn/vi/tim-viec-lam/giao-vien-ky-nang-cong-dan-so.35C6CAD4.html","Xem chi tiết")</f>
        <v/>
      </c>
      <c r="M8252" s="10" t="n"/>
    </row>
    <row r="8253">
      <c r="B8253" s="7" t="n">
        <v>8251</v>
      </c>
      <c r="C8253" t="inlineStr">
        <is>
          <t>TRADE MARKETING EXECUTIVES(Mới)</t>
        </is>
      </c>
      <c r="D8253" t="inlineStr">
        <is>
          <t>CÔNG TY TNHH ĐẦU TƯ XNK TÍN VIỆT</t>
        </is>
      </c>
      <c r="E8253" t="inlineStr">
        <is>
          <t>Lương:13 Tr - 16 Tr VND</t>
        </is>
      </c>
      <c r="F8253" t="inlineStr">
        <is>
          <t>Hồ Chí Minh</t>
        </is>
      </c>
      <c r="G8253" t="inlineStr">
        <is>
          <t>31-05-2026</t>
        </is>
      </c>
      <c r="H8253" t="inlineStr">
        <is>
          <t>31/05/2026</t>
        </is>
      </c>
      <c r="I8253" t="inlineStr">
        <is>
          <t>17/03/2026</t>
        </is>
      </c>
      <c r="J8253" t="inlineStr">
        <is>
          <t>Tiếp thị / Marketing, Y tế / Chăm sóc sức khỏe / Thẩm mỹ / Làm đẹp, Bán hàng / Kinh doanh</t>
        </is>
      </c>
      <c r="K8253" t="inlineStr">
        <is>
          <t>1 - 3 Năm</t>
        </is>
      </c>
      <c r="L8253" s="8">
        <f>HYPERLINK("https://careerviet.vn/vi/tim-viec-lam/trade-marketing-executives.35C6CAD1.html","Xem chi tiết")</f>
        <v/>
      </c>
    </row>
    <row r="8254">
      <c r="B8254" s="9" t="n">
        <v>8252</v>
      </c>
      <c r="C8254" s="10" t="inlineStr">
        <is>
          <t>Giáo viên STEM - Hồ Chí Minh(Mới)</t>
        </is>
      </c>
      <c r="D8254" s="10" t="inlineStr">
        <is>
          <t>KDI EDUCATION</t>
        </is>
      </c>
      <c r="E8254" s="10" t="inlineStr">
        <is>
          <t>Lương:13 Tr - 15 Tr VND</t>
        </is>
      </c>
      <c r="F8254" s="10" t="inlineStr">
        <is>
          <t>Hồ Chí Minh</t>
        </is>
      </c>
      <c r="G8254" s="10" t="inlineStr">
        <is>
          <t>16-04-2026</t>
        </is>
      </c>
      <c r="H8254" s="10" t="inlineStr">
        <is>
          <t>16/04/2026</t>
        </is>
      </c>
      <c r="I8254" s="10" t="inlineStr">
        <is>
          <t>17/03/2026</t>
        </is>
      </c>
      <c r="J8254" s="10" t="inlineStr">
        <is>
          <t>Giáo dục / Đào tạo</t>
        </is>
      </c>
      <c r="K8254" s="10" t="inlineStr">
        <is>
          <t>1 - 2 Năm</t>
        </is>
      </c>
      <c r="L8254" s="11">
        <f>HYPERLINK("https://careerviet.vn/vi/tim-viec-lam/giao-vien-stem-ho-chi-minh.35C6CAD2.html","Xem chi tiết")</f>
        <v/>
      </c>
      <c r="M8254" s="10" t="n"/>
    </row>
    <row r="8255">
      <c r="B8255" s="7" t="n">
        <v>8253</v>
      </c>
      <c r="C8255" t="inlineStr">
        <is>
          <t>Chỉ Huy trưởng(Mới)</t>
        </is>
      </c>
      <c r="D8255" t="inlineStr">
        <is>
          <t>CÔNG TY CỔ PHẦN THƯƠNG MẠI DỊCH VỤ XÂY DỰNG E&amp;C</t>
        </is>
      </c>
      <c r="E8255" t="inlineStr">
        <is>
          <t>Lương:40 Tr - 50 Tr VND</t>
        </is>
      </c>
      <c r="F8255" t="inlineStr">
        <is>
          <t>Đồng Nai</t>
        </is>
      </c>
      <c r="G8255" t="inlineStr">
        <is>
          <t>16-03-2026</t>
        </is>
      </c>
      <c r="H8255" t="inlineStr">
        <is>
          <t>16/03/2026</t>
        </is>
      </c>
      <c r="I8255" t="inlineStr">
        <is>
          <t>17/03/2026</t>
        </is>
      </c>
      <c r="J8255" t="inlineStr">
        <is>
          <t>Xây dựng, Kiến trúc, Bất động sản</t>
        </is>
      </c>
      <c r="K8255" t="inlineStr">
        <is>
          <t>5 - 7 Năm</t>
        </is>
      </c>
      <c r="L8255" s="8">
        <f>HYPERLINK("https://careerviet.vn/vi/tim-viec-lam/chi-huy-truong.35C6CC67.html","Xem chi tiết")</f>
        <v/>
      </c>
    </row>
    <row r="8256">
      <c r="B8256" s="9" t="n">
        <v>8254</v>
      </c>
      <c r="C8256" s="10" t="inlineStr">
        <is>
          <t>Nhân viên kinh doanh quốc tế(Mới)</t>
        </is>
      </c>
      <c r="D8256" s="10" t="inlineStr">
        <is>
          <t>Công Ty Cổ Phần Quốc Tế Sơn Hà</t>
        </is>
      </c>
      <c r="E8256" s="10" t="inlineStr">
        <is>
          <t>Lương:10 Tr - 14 Tr VND</t>
        </is>
      </c>
      <c r="F8256" s="10" t="inlineStr">
        <is>
          <t>Hà Nội</t>
        </is>
      </c>
      <c r="G8256" s="10" t="inlineStr">
        <is>
          <t>15-04-2026</t>
        </is>
      </c>
      <c r="H8256" s="10" t="inlineStr">
        <is>
          <t>15/04/2026</t>
        </is>
      </c>
      <c r="I8256" s="10" t="inlineStr">
        <is>
          <t>17/03/2026</t>
        </is>
      </c>
      <c r="J8256" s="10" t="inlineStr">
        <is>
          <t>Hàng gia dụng / Chăm sóc cá nhân, Bán hàng / Kinh doanh, Điện / Điện tử / Điện lạnh / Điện công nghiệp</t>
        </is>
      </c>
      <c r="K8256" s="10" t="inlineStr">
        <is>
          <t>1 - 2 Năm</t>
        </is>
      </c>
      <c r="L8256" s="11">
        <f>HYPERLINK("https://careerviet.vn/vi/tim-viec-lam/nhan-vien-kinh-doanh-quoc-te.35C6CC65.html","Xem chi tiết")</f>
        <v/>
      </c>
      <c r="M8256" s="10" t="n"/>
    </row>
    <row r="8257">
      <c r="B8257" s="7" t="n">
        <v>8255</v>
      </c>
      <c r="C8257" t="inlineStr">
        <is>
          <t>HR Admin / Recruitment(Mới)</t>
        </is>
      </c>
      <c r="D8257" t="inlineStr">
        <is>
          <t>CÔNG TY TNHH CÔNG NGHỆ B2B</t>
        </is>
      </c>
      <c r="E8257" t="inlineStr">
        <is>
          <t>Lương:Cạnh tranh</t>
        </is>
      </c>
      <c r="F8257" t="inlineStr">
        <is>
          <t>Hồ Chí Minh</t>
        </is>
      </c>
      <c r="G8257" t="inlineStr">
        <is>
          <t>30-06-2026</t>
        </is>
      </c>
      <c r="H8257" t="inlineStr">
        <is>
          <t>30/06/2026</t>
        </is>
      </c>
      <c r="I8257" t="inlineStr">
        <is>
          <t>17/03/2026</t>
        </is>
      </c>
      <c r="J8257" t="inlineStr">
        <is>
          <t>CNTT - Phần mềm</t>
        </is>
      </c>
      <c r="K8257" t="inlineStr">
        <is>
          <t>1 - 2 Năm</t>
        </is>
      </c>
      <c r="L8257" s="8">
        <f>HYPERLINK("https://careerviet.vn/vi/tim-viec-lam/hr-admin-recruitment.35C6CC69.html","Xem chi tiết")</f>
        <v/>
      </c>
    </row>
    <row r="8258">
      <c r="B8258" s="9" t="n">
        <v>8256</v>
      </c>
      <c r="C8258" s="10" t="inlineStr">
        <is>
          <t>Kế toán kho(Mới)</t>
        </is>
      </c>
      <c r="D8258" s="10" t="inlineStr">
        <is>
          <t>Công ty TNHH PHD</t>
        </is>
      </c>
      <c r="E8258" s="10" t="inlineStr">
        <is>
          <t>Lương:10 Tr - 12 Tr VND</t>
        </is>
      </c>
      <c r="F8258" s="10" t="inlineStr">
        <is>
          <t>Hà Nội</t>
        </is>
      </c>
      <c r="G8258" s="10" t="inlineStr">
        <is>
          <t>30-04-2026</t>
        </is>
      </c>
      <c r="H8258" s="10" t="inlineStr">
        <is>
          <t>30/04/2026</t>
        </is>
      </c>
      <c r="I8258" s="10" t="inlineStr">
        <is>
          <t>17/03/2026</t>
        </is>
      </c>
      <c r="J8258" s="10" t="inlineStr">
        <is>
          <t>Kế toán / Kiểm toán</t>
        </is>
      </c>
      <c r="K8258" s="10" t="inlineStr">
        <is>
          <t>1 - 2 Năm</t>
        </is>
      </c>
      <c r="L8258" s="11">
        <f>HYPERLINK("https://careerviet.vn/vi/tim-viec-lam/ke-toan-kho.35C6CC56.html","Xem chi tiết")</f>
        <v/>
      </c>
      <c r="M8258" s="10" t="n"/>
    </row>
    <row r="8259">
      <c r="B8259" s="7" t="n">
        <v>8257</v>
      </c>
      <c r="C8259" t="inlineStr">
        <is>
          <t>Management Trainee(Mới)</t>
        </is>
      </c>
      <c r="D8259" t="inlineStr">
        <is>
          <t>TCL (Vietnam) Corporation Limited</t>
        </is>
      </c>
      <c r="E8259" t="inlineStr">
        <is>
          <t>Lương:Cạnh tranh</t>
        </is>
      </c>
      <c r="F8259" t="inlineStr">
        <is>
          <t>Hà Nội</t>
        </is>
      </c>
      <c r="G8259" t="inlineStr">
        <is>
          <t>30-03-2026</t>
        </is>
      </c>
      <c r="H8259" t="inlineStr">
        <is>
          <t>30/03/2026</t>
        </is>
      </c>
      <c r="I8259" t="inlineStr">
        <is>
          <t>17/03/2026</t>
        </is>
      </c>
      <c r="J8259" t="inlineStr">
        <is>
          <t>Bán lẻ / Bán sỉ, Bán hàng / Kinh doanh, Điện / Điện tử / Điện lạnh / Điện công nghiệp</t>
        </is>
      </c>
      <c r="K8259" t="inlineStr">
        <is>
          <t>Chưa có kinh nghiệm</t>
        </is>
      </c>
      <c r="L8259" s="8">
        <f>HYPERLINK("https://careerviet.vn/vi/tim-viec-lam/management-trainee.35C69CC1.html","Xem chi tiết")</f>
        <v/>
      </c>
    </row>
    <row r="8260">
      <c r="B8260" s="9" t="n">
        <v>8258</v>
      </c>
      <c r="C8260" s="10" t="inlineStr">
        <is>
          <t>(Hà Nội/Hồ Chí Minh) Kế Toán Nội Bộ(Mới)</t>
        </is>
      </c>
      <c r="D8260" s="10" t="inlineStr">
        <is>
          <t>CÔNG TY CỔ PHẦN TẬP ĐOÀN LUKLAK VIỆT NAM</t>
        </is>
      </c>
      <c r="E8260" s="10" t="inlineStr">
        <is>
          <t>Lương:10 Tr - 15 Tr VND</t>
        </is>
      </c>
      <c r="F8260" s="10" t="inlineStr">
        <is>
          <t>Hà NộiHồ Chí Minh</t>
        </is>
      </c>
      <c r="G8260" s="10" t="inlineStr">
        <is>
          <t>16-04-2026</t>
        </is>
      </c>
      <c r="H8260" s="10" t="inlineStr">
        <is>
          <t>16/04/2026</t>
        </is>
      </c>
      <c r="I8260" s="10" t="inlineStr">
        <is>
          <t>17/03/2026</t>
        </is>
      </c>
      <c r="J8260" s="10" t="inlineStr">
        <is>
          <t>Kế toán / Kiểm toán</t>
        </is>
      </c>
      <c r="K8260" s="10" t="inlineStr">
        <is>
          <t>2 - 3 Năm</t>
        </is>
      </c>
      <c r="L8260" s="11">
        <f>HYPERLINK("https://careerviet.vn/vi/tim-viec-lam/ha-noi-ho-chi-minh-ke-toan-noi-bo.35C6CC59.html","Xem chi tiết")</f>
        <v/>
      </c>
      <c r="M8260" s="10" t="n"/>
    </row>
    <row r="8261">
      <c r="B8261" s="7" t="n">
        <v>8259</v>
      </c>
      <c r="C8261" t="inlineStr">
        <is>
          <t>Kiến Trúc Sư – Thiết Kế Nội Thất(Mới)</t>
        </is>
      </c>
      <c r="D8261" t="inlineStr">
        <is>
          <t>CÔNG TY TNHH PT INTERIOR - PT GROUP</t>
        </is>
      </c>
      <c r="E8261" t="inlineStr">
        <is>
          <t>Lương:15 Tr - 25 Tr VND</t>
        </is>
      </c>
      <c r="F8261" t="inlineStr">
        <is>
          <t>Hồ Chí Minh</t>
        </is>
      </c>
      <c r="G8261" t="inlineStr">
        <is>
          <t>30-04-2026</t>
        </is>
      </c>
      <c r="H8261" t="inlineStr">
        <is>
          <t>30/04/2026</t>
        </is>
      </c>
      <c r="I8261" t="inlineStr">
        <is>
          <t>17/03/2026</t>
        </is>
      </c>
      <c r="J8261" t="inlineStr">
        <is>
          <t>Nội ngoại thất, Xây dựng, Kiến trúc</t>
        </is>
      </c>
      <c r="K8261" t="inlineStr">
        <is>
          <t>Trên 3 Năm</t>
        </is>
      </c>
      <c r="L8261" s="8">
        <f>HYPERLINK("https://careerviet.vn/vi/tim-viec-lam/kien-truc-su-thiet-ke-noi-that.35C6CC51.html","Xem chi tiết")</f>
        <v/>
      </c>
    </row>
    <row r="8262">
      <c r="B8262" s="9" t="n">
        <v>8260</v>
      </c>
      <c r="C8262" s="10" t="inlineStr">
        <is>
          <t>TRƯỞNG PHÒNG SẢN XUẤT - HÀ NỘI(Mới)</t>
        </is>
      </c>
      <c r="D8262" s="10" t="inlineStr">
        <is>
          <t>CÔNG TY TNHH MTV KỸ THUẬT TÚ LỘC</t>
        </is>
      </c>
      <c r="E8262" s="10" t="inlineStr">
        <is>
          <t>Lương:20 Tr - 30 Tr VND</t>
        </is>
      </c>
      <c r="F8262" s="10" t="inlineStr">
        <is>
          <t>Hà Nội</t>
        </is>
      </c>
      <c r="G8262" s="10" t="inlineStr">
        <is>
          <t>30-04-2026</t>
        </is>
      </c>
      <c r="H8262" s="10" t="inlineStr">
        <is>
          <t>30/04/2026</t>
        </is>
      </c>
      <c r="I8262" s="10" t="inlineStr">
        <is>
          <t>17/03/2026</t>
        </is>
      </c>
      <c r="J8262" s="10" t="inlineStr">
        <is>
          <t>Cơ khí / Ô tô / Tự động hóa, Xuất nhập khẩu, Sản xuất / Vận hành sản xuất</t>
        </is>
      </c>
      <c r="K8262" s="10" t="inlineStr">
        <is>
          <t>2 - 3 Năm</t>
        </is>
      </c>
      <c r="L8262" s="11">
        <f>HYPERLINK("https://careerviet.vn/vi/tim-viec-lam/truong-phong-san-xuat-ha-noi.35C6CC4B.html","Xem chi tiết")</f>
        <v/>
      </c>
      <c r="M8262" s="10" t="n"/>
    </row>
    <row r="8263">
      <c r="B8263" s="7" t="n">
        <v>8261</v>
      </c>
      <c r="C8263" t="inlineStr">
        <is>
          <t>ShopDrawing (Họa Viên Kiến Trúc)(Mới)</t>
        </is>
      </c>
      <c r="D8263" t="inlineStr">
        <is>
          <t>CÔNG TY TNHH PT INTERIOR - PT GROUP</t>
        </is>
      </c>
      <c r="E8263" t="inlineStr">
        <is>
          <t>Lương:Cạnh tranh</t>
        </is>
      </c>
      <c r="F8263" t="inlineStr">
        <is>
          <t>Hồ Chí Minh</t>
        </is>
      </c>
      <c r="G8263" t="inlineStr">
        <is>
          <t>30-04-2026</t>
        </is>
      </c>
      <c r="H8263" t="inlineStr">
        <is>
          <t>30/04/2026</t>
        </is>
      </c>
      <c r="I8263" t="inlineStr">
        <is>
          <t>17/03/2026</t>
        </is>
      </c>
      <c r="J8263" t="inlineStr">
        <is>
          <t>Kiến trúc, Xây dựng, Nội ngoại thất</t>
        </is>
      </c>
      <c r="K8263" t="inlineStr">
        <is>
          <t>3 - 5 Năm</t>
        </is>
      </c>
      <c r="L8263" s="8">
        <f>HYPERLINK("https://careerviet.vn/vi/tim-viec-lam/shopdrawing-hoa-vien-kien-truc.35C6CC52.html","Xem chi tiết")</f>
        <v/>
      </c>
    </row>
    <row r="8264">
      <c r="B8264" s="9" t="n">
        <v>8262</v>
      </c>
      <c r="C8264" s="10" t="inlineStr">
        <is>
          <t>Nhân viên QS MEP(Mới)</t>
        </is>
      </c>
      <c r="D8264" s="10" t="inlineStr">
        <is>
          <t>Công Ty Cổ Phần Xây Dựng Phước Thành</t>
        </is>
      </c>
      <c r="E8264" s="10" t="inlineStr">
        <is>
          <t>Lương:15 Tr - 18 Tr VND</t>
        </is>
      </c>
      <c r="F8264" s="10" t="inlineStr">
        <is>
          <t>Hồ Chí Minh</t>
        </is>
      </c>
      <c r="G8264" s="10" t="inlineStr">
        <is>
          <t>31-03-2026</t>
        </is>
      </c>
      <c r="H8264" s="10" t="inlineStr">
        <is>
          <t>31/03/2026</t>
        </is>
      </c>
      <c r="I8264" s="10" t="inlineStr">
        <is>
          <t>17/03/2026</t>
        </is>
      </c>
      <c r="J8264" s="10" t="inlineStr">
        <is>
          <t>Xây dựng, Điện / Điện tử / Điện lạnh / Điện công nghiệp</t>
        </is>
      </c>
      <c r="K8264" s="10" t="inlineStr">
        <is>
          <t>1 - 2 Năm</t>
        </is>
      </c>
      <c r="L8264" s="11">
        <f>HYPERLINK("https://careerviet.vn/vi/tim-viec-lam/nhan-vien-qs-mep.35C6CC4A.html","Xem chi tiết")</f>
        <v/>
      </c>
      <c r="M8264" s="10" t="n"/>
    </row>
    <row r="8265">
      <c r="B8265" s="7" t="n">
        <v>8263</v>
      </c>
      <c r="C8265" t="inlineStr">
        <is>
          <t>Key Account Manager(Mới)</t>
        </is>
      </c>
      <c r="D8265" t="inlineStr">
        <is>
          <t>JINGDONG Company JD.com</t>
        </is>
      </c>
      <c r="E8265" t="inlineStr">
        <is>
          <t>Lương:3.000 - 6.000 USD</t>
        </is>
      </c>
      <c r="F8265" t="inlineStr">
        <is>
          <t>Hồ Chí Minh</t>
        </is>
      </c>
      <c r="G8265" t="inlineStr">
        <is>
          <t>31-05-2026</t>
        </is>
      </c>
      <c r="H8265" t="inlineStr">
        <is>
          <t>31/05/2026</t>
        </is>
      </c>
      <c r="I8265" t="inlineStr">
        <is>
          <t>17/03/2026</t>
        </is>
      </c>
      <c r="J8265" t="inlineStr">
        <is>
          <t>Bán hàng / Kinh doanhBằng cấpCao đẳngĐộ tuổi27 - 40</t>
        </is>
      </c>
      <c r="K8265" t="inlineStr">
        <is>
          <t>N/A</t>
        </is>
      </c>
      <c r="L8265" s="8">
        <f>HYPERLINK("https://careerviet.vn/vi/tim-viec-lam/key-account-manager.35C6CC62.html","Xem chi tiết")</f>
        <v/>
      </c>
    </row>
    <row r="8266">
      <c r="B8266" s="9" t="n">
        <v>8264</v>
      </c>
      <c r="C8266" s="10" t="inlineStr">
        <is>
          <t>TRƯỞNG PHÒNG SẢN XUẤT - HÀ NỘI(Mới)</t>
        </is>
      </c>
      <c r="D8266" s="10" t="inlineStr">
        <is>
          <t>CÔNG TY TNHH MTV KỸ THUẬT TÚ LỘC</t>
        </is>
      </c>
      <c r="E8266" s="10" t="inlineStr">
        <is>
          <t>Lương:20 Tr - 30 Tr VND</t>
        </is>
      </c>
      <c r="F8266" s="10" t="inlineStr">
        <is>
          <t>Hà Nội</t>
        </is>
      </c>
      <c r="G8266" s="10" t="inlineStr">
        <is>
          <t>30-04-2026</t>
        </is>
      </c>
      <c r="H8266" s="10" t="inlineStr">
        <is>
          <t>30/04/2026</t>
        </is>
      </c>
      <c r="I8266" s="10" t="inlineStr">
        <is>
          <t>17/03/2026</t>
        </is>
      </c>
      <c r="J8266" s="10" t="inlineStr">
        <is>
          <t>Cơ khí / Ô tô / Tự động hóa, Xuất nhập khẩu, Sản xuất / Vận hành sản xuất</t>
        </is>
      </c>
      <c r="K8266" s="10" t="inlineStr">
        <is>
          <t>2 - 3 Năm</t>
        </is>
      </c>
      <c r="L8266" s="11">
        <f>HYPERLINK("https://careerviet.vn/vi/tim-viec-lam/truong-phong-san-xuat-ha-noi.35C6CC49.html","Xem chi tiết")</f>
        <v/>
      </c>
      <c r="M8266" s="10" t="n"/>
    </row>
    <row r="8267">
      <c r="B8267" s="7" t="n">
        <v>8265</v>
      </c>
      <c r="C8267" t="inlineStr">
        <is>
          <t>TRƯỞNG PHÒNG SẢN XUẤT - HCM(Mới)</t>
        </is>
      </c>
      <c r="D8267" t="inlineStr">
        <is>
          <t>CÔNG TY TNHH MTV KỸ THUẬT TÚ LỘC</t>
        </is>
      </c>
      <c r="E8267" t="inlineStr">
        <is>
          <t>Lương:20 Tr - 30 Tr VND</t>
        </is>
      </c>
      <c r="F8267" t="inlineStr">
        <is>
          <t>Hồ Chí Minh</t>
        </is>
      </c>
      <c r="G8267" t="inlineStr">
        <is>
          <t>30-04-2026</t>
        </is>
      </c>
      <c r="H8267" t="inlineStr">
        <is>
          <t>30/04/2026</t>
        </is>
      </c>
      <c r="I8267" t="inlineStr">
        <is>
          <t>17/03/2026</t>
        </is>
      </c>
      <c r="J8267" t="inlineStr">
        <is>
          <t>Cơ khí / Ô tô / Tự động hóa, Xuất nhập khẩu, Sản xuất / Vận hành sản xuất</t>
        </is>
      </c>
      <c r="K8267" t="inlineStr">
        <is>
          <t>2 - 3 Năm</t>
        </is>
      </c>
      <c r="L8267" s="8">
        <f>HYPERLINK("https://careerviet.vn/vi/tim-viec-lam/truong-phong-san-xuat-hcm.35C6CC4F.html","Xem chi tiết")</f>
        <v/>
      </c>
    </row>
    <row r="8268">
      <c r="B8268" s="9" t="n">
        <v>8266</v>
      </c>
      <c r="C8268" s="10" t="inlineStr">
        <is>
          <t>Nhân viên Kế toán kiêm HCNS Admin(Mới)</t>
        </is>
      </c>
      <c r="D8268" s="10" t="inlineStr">
        <is>
          <t>Công Ty Cổ Phần Quốc Tế Sơn Hà</t>
        </is>
      </c>
      <c r="E8268" s="10" t="inlineStr">
        <is>
          <t>Lương:13 Tr - 14 Tr VND</t>
        </is>
      </c>
      <c r="F8268" s="10" t="inlineStr">
        <is>
          <t>Hà Nội</t>
        </is>
      </c>
      <c r="G8268" s="10" t="inlineStr">
        <is>
          <t>15-04-2026</t>
        </is>
      </c>
      <c r="H8268" s="10" t="inlineStr">
        <is>
          <t>15/04/2026</t>
        </is>
      </c>
      <c r="I8268" s="10" t="inlineStr">
        <is>
          <t>17/03/2026</t>
        </is>
      </c>
      <c r="J8268" s="10" t="inlineStr">
        <is>
          <t>Kế toán / Kiểm toán, Hành chính / Thư ký</t>
        </is>
      </c>
      <c r="K8268" s="10" t="inlineStr">
        <is>
          <t>1 - 2 Năm</t>
        </is>
      </c>
      <c r="L8268" s="11">
        <f>HYPERLINK("https://careerviet.vn/vi/tim-viec-lam/nhan-vien-ke-toan-kiem-hcns-admin.35C6CC47.html","Xem chi tiết")</f>
        <v/>
      </c>
      <c r="M8268" s="10" t="n"/>
    </row>
    <row r="8269">
      <c r="B8269" s="7" t="n">
        <v>8267</v>
      </c>
      <c r="C8269" t="inlineStr">
        <is>
          <t>Nhân Viên Sales Admin (Tổ Kế Hoạch)(Mới)</t>
        </is>
      </c>
      <c r="D8269" t="inlineStr">
        <is>
          <t>Công ty cổ phần Dược Phẩm Savi</t>
        </is>
      </c>
      <c r="E8269" t="inlineStr">
        <is>
          <t>Lương:Cạnh tranh</t>
        </is>
      </c>
      <c r="F8269" t="inlineStr">
        <is>
          <t>Hồ Chí Minh</t>
        </is>
      </c>
      <c r="G8269" t="inlineStr">
        <is>
          <t>15-04-2026</t>
        </is>
      </c>
      <c r="H8269" t="inlineStr">
        <is>
          <t>15/04/2026</t>
        </is>
      </c>
      <c r="I8269" t="inlineStr">
        <is>
          <t>17/03/2026</t>
        </is>
      </c>
      <c r="J8269" t="inlineStr">
        <is>
          <t>Bán hàng / Kinh doanh, Dược phẩm/ Hóa Mỹ Phẩm, Hành chính / Thư ký</t>
        </is>
      </c>
      <c r="K8269" t="inlineStr">
        <is>
          <t>1 - 3 Năm</t>
        </is>
      </c>
      <c r="L8269" s="8">
        <f>HYPERLINK("https://careerviet.vn/vi/tim-viec-lam/nhan-vien-sales-admin-to-ke-hoach.35C6CC45.html","Xem chi tiết")</f>
        <v/>
      </c>
    </row>
    <row r="8270">
      <c r="B8270" s="9" t="n">
        <v>8268</v>
      </c>
      <c r="C8270" s="10" t="inlineStr">
        <is>
          <t>Nhân viên Bốc khối lượng hệ thống lạnh HVAC (MEP)(Mới)</t>
        </is>
      </c>
      <c r="D8270" s="10" t="inlineStr">
        <is>
          <t>Công Ty Cổ Phần Xây Dựng Phước Thành</t>
        </is>
      </c>
      <c r="E8270" s="10" t="inlineStr">
        <is>
          <t>Lương:15 Tr - 18 Tr VND</t>
        </is>
      </c>
      <c r="F8270" s="10" t="inlineStr">
        <is>
          <t>Hồ Chí Minh</t>
        </is>
      </c>
      <c r="G8270" s="10" t="inlineStr">
        <is>
          <t>31-03-2026</t>
        </is>
      </c>
      <c r="H8270" s="10" t="inlineStr">
        <is>
          <t>31/03/2026</t>
        </is>
      </c>
      <c r="I8270" s="10" t="inlineStr">
        <is>
          <t>17/03/2026</t>
        </is>
      </c>
      <c r="J8270" s="10" t="inlineStr">
        <is>
          <t>Xây dựng, Điện / Điện tử / Điện lạnh / Điện công nghiệp</t>
        </is>
      </c>
      <c r="K8270" s="10" t="inlineStr">
        <is>
          <t>2 - 3 Năm</t>
        </is>
      </c>
      <c r="L8270" s="11">
        <f>HYPERLINK("https://careerviet.vn/vi/tim-viec-lam/nhan-vien-boc-khoi-luong-he-thong-lanh-hvac-mep.35C6CC5B.html","Xem chi tiết")</f>
        <v/>
      </c>
      <c r="M8270" s="10" t="n"/>
    </row>
    <row r="8271">
      <c r="B8271" s="7" t="n">
        <v>8269</v>
      </c>
      <c r="C8271" t="inlineStr">
        <is>
          <t>Kế toán giá thành(Mới)</t>
        </is>
      </c>
      <c r="D8271" t="inlineStr">
        <is>
          <t>Công ty TNHH PHD</t>
        </is>
      </c>
      <c r="E8271" t="inlineStr">
        <is>
          <t>Lương:15 Tr - 18 Tr VND</t>
        </is>
      </c>
      <c r="F8271" t="inlineStr">
        <is>
          <t>Hà Nội</t>
        </is>
      </c>
      <c r="G8271" t="inlineStr">
        <is>
          <t>30-04-2026</t>
        </is>
      </c>
      <c r="H8271" t="inlineStr">
        <is>
          <t>30/04/2026</t>
        </is>
      </c>
      <c r="I8271" t="inlineStr">
        <is>
          <t>17/03/2026</t>
        </is>
      </c>
      <c r="J8271" t="inlineStr">
        <is>
          <t>Kế toán / Kiểm toán</t>
        </is>
      </c>
      <c r="K8271" t="inlineStr">
        <is>
          <t>1 - 3 Năm</t>
        </is>
      </c>
      <c r="L8271" s="8">
        <f>HYPERLINK("https://careerviet.vn/vi/tim-viec-lam/ke-toan-gia-thanh.35C6CC4C.html","Xem chi tiết")</f>
        <v/>
      </c>
    </row>
    <row r="8272">
      <c r="B8272" s="9" t="n">
        <v>8270</v>
      </c>
      <c r="C8272" s="10" t="inlineStr">
        <is>
          <t>Nhân viên Nhân sự(Mới)</t>
        </is>
      </c>
      <c r="D8272" s="10" t="inlineStr">
        <is>
          <t>Công ty TNHH ADC</t>
        </is>
      </c>
      <c r="E8272" s="10" t="inlineStr">
        <is>
          <t>Lương:9 Tr - 10 Tr VND</t>
        </is>
      </c>
      <c r="F8272" s="10" t="inlineStr">
        <is>
          <t>Hồ Chí Minh</t>
        </is>
      </c>
      <c r="G8272" s="10" t="inlineStr">
        <is>
          <t>16-04-2026</t>
        </is>
      </c>
      <c r="H8272" s="10" t="inlineStr">
        <is>
          <t>16/04/2026</t>
        </is>
      </c>
      <c r="I8272" s="10" t="inlineStr">
        <is>
          <t>17/03/2026</t>
        </is>
      </c>
      <c r="J8272" s="10" t="inlineStr">
        <is>
          <t>Nhân sự, Hành chính / Thư ký, Quản lý điều hành</t>
        </is>
      </c>
      <c r="K8272" s="10" t="inlineStr">
        <is>
          <t>1 - 2 Năm</t>
        </is>
      </c>
      <c r="L8272" s="11">
        <f>HYPERLINK("https://careerviet.vn/vi/tim-viec-lam/nhan-vien-nhan-su.35C6CC40.html","Xem chi tiết")</f>
        <v/>
      </c>
      <c r="M8272" s="10" t="n"/>
    </row>
    <row r="8273">
      <c r="B8273" s="7" t="n">
        <v>8271</v>
      </c>
      <c r="C8273" t="inlineStr">
        <is>
          <t>Chuyên Viên Vận Hành Hệ Thống Nước Thải(Mới)</t>
        </is>
      </c>
      <c r="D8273" t="inlineStr">
        <is>
          <t>TẬP ĐOÀN ĐẦU TƯ KINH ĐÔ</t>
        </is>
      </c>
      <c r="E8273" t="inlineStr">
        <is>
          <t>Lương:13 Tr - 15 Tr VND</t>
        </is>
      </c>
      <c r="F8273" t="inlineStr">
        <is>
          <t>Hà Nội</t>
        </is>
      </c>
      <c r="G8273" t="inlineStr">
        <is>
          <t>30-04-2026</t>
        </is>
      </c>
      <c r="H8273" t="inlineStr">
        <is>
          <t>30/04/2026</t>
        </is>
      </c>
      <c r="I8273" t="inlineStr">
        <is>
          <t>17/03/2026</t>
        </is>
      </c>
      <c r="J8273" t="inlineStr">
        <is>
          <t>Hóa học, Điện / Điện tử / Điện lạnh / Điện công nghiệp, Bảo trì / Sửa chữa</t>
        </is>
      </c>
      <c r="K8273" t="inlineStr">
        <is>
          <t>3 - 5 Năm</t>
        </is>
      </c>
      <c r="L8273" s="8">
        <f>HYPERLINK("https://careerviet.vn/vi/tim-viec-lam/chuyen-vien-van-hanh-he-thong-nuoc-thai.35C6CC4D.html","Xem chi tiết")</f>
        <v/>
      </c>
    </row>
    <row r="8274">
      <c r="B8274" s="9" t="n">
        <v>8272</v>
      </c>
      <c r="C8274" s="10" t="inlineStr">
        <is>
          <t>[HÀ NỘI] - Nhân Viên Hành Chính Nhân sự Tổng Hợp(Mới)</t>
        </is>
      </c>
      <c r="D8274" s="10" t="inlineStr">
        <is>
          <t>CÔNG TY CỔ PHẦN MATSUMOTO KIYOSHI VIỆT NAM</t>
        </is>
      </c>
      <c r="E8274" s="10" t="inlineStr">
        <is>
          <t>Lương:10 Tr - 12 Tr VND</t>
        </is>
      </c>
      <c r="F8274" s="10" t="inlineStr">
        <is>
          <t>Hà Nội</t>
        </is>
      </c>
      <c r="G8274" s="10" t="inlineStr">
        <is>
          <t>16-04-2026</t>
        </is>
      </c>
      <c r="H8274" s="10" t="inlineStr">
        <is>
          <t>16/04/2026</t>
        </is>
      </c>
      <c r="I8274" s="10" t="inlineStr">
        <is>
          <t>17/03/2026</t>
        </is>
      </c>
      <c r="J8274" s="10" t="inlineStr">
        <is>
          <t>Nhân sự, Hành chính / Thư ký, Bán lẻ / Bán sỉ</t>
        </is>
      </c>
      <c r="K8274" s="10" t="inlineStr">
        <is>
          <t>2 - 3 Năm</t>
        </is>
      </c>
      <c r="L8274" s="11">
        <f>HYPERLINK("https://careerviet.vn/vi/tim-viec-lam/ha-noi-nhan-vien-hanh-chinh-nhan-su-tong-hop.35C6CC3E.html","Xem chi tiết")</f>
        <v/>
      </c>
      <c r="M8274" s="10" t="n"/>
    </row>
    <row r="8275">
      <c r="B8275" s="7" t="n">
        <v>8273</v>
      </c>
      <c r="C8275" t="inlineStr">
        <is>
          <t>Nhân Viên Tư Vấn Sản Phẩm tại Cao Phong Thới An - Quận 12(Mới)</t>
        </is>
      </c>
      <c r="D8275" t="inlineStr">
        <is>
          <t>Tập Đoàn Karofi Holding</t>
        </is>
      </c>
      <c r="E8275" t="inlineStr">
        <is>
          <t>Lương:8 Tr - 15 Tr VND</t>
        </is>
      </c>
      <c r="F8275" t="inlineStr">
        <is>
          <t>Sóc Trăng</t>
        </is>
      </c>
      <c r="G8275" t="inlineStr">
        <is>
          <t>14-04-2026</t>
        </is>
      </c>
      <c r="H8275" t="inlineStr">
        <is>
          <t>14/04/2026</t>
        </is>
      </c>
      <c r="I8275" t="inlineStr">
        <is>
          <t>17/03/2026</t>
        </is>
      </c>
      <c r="J8275" t="inlineStr">
        <is>
          <t>Bán lẻ / Bán sỉ, Bán hàng / Kinh doanh</t>
        </is>
      </c>
      <c r="K8275" t="inlineStr">
        <is>
          <t>Lên đến 1 Năm</t>
        </is>
      </c>
      <c r="L8275" s="8">
        <f>HYPERLINK("https://careerviet.vn/vi/tim-viec-lam/nhan-vien-tu-van-san-pham-tai-cao-phong-thoi-an-quan-12.35C6CC44.html","Xem chi tiết")</f>
        <v/>
      </c>
    </row>
    <row r="8276">
      <c r="B8276" s="9" t="n">
        <v>8274</v>
      </c>
      <c r="C8276" s="10" t="inlineStr">
        <is>
          <t>Nhân viên IT Helpdesk(Mới)</t>
        </is>
      </c>
      <c r="D8276" s="10" t="inlineStr">
        <is>
          <t>HEXAGON - CÔNG TY CỔ PHẦN THIẾT KẾ LỤC GIÁC</t>
        </is>
      </c>
      <c r="E8276" s="10" t="inlineStr">
        <is>
          <t>Lương:10 Tr - 15 Tr VND</t>
        </is>
      </c>
      <c r="F8276" s="10" t="inlineStr">
        <is>
          <t>Hà Nội</t>
        </is>
      </c>
      <c r="G8276" s="10" t="inlineStr">
        <is>
          <t>30-04-2026</t>
        </is>
      </c>
      <c r="H8276" s="10" t="inlineStr">
        <is>
          <t>30/04/2026</t>
        </is>
      </c>
      <c r="I8276" s="10" t="inlineStr">
        <is>
          <t>17/03/2026</t>
        </is>
      </c>
      <c r="J8276" s="10" t="inlineStr">
        <is>
          <t>CNTT - Phần cứng / Mạng</t>
        </is>
      </c>
      <c r="K8276" s="10" t="inlineStr">
        <is>
          <t>1 - 2 Năm</t>
        </is>
      </c>
      <c r="L8276" s="11">
        <f>HYPERLINK("https://careerviet.vn/vi/tim-viec-lam/nhan-vien-it-helpdesk.35C6CC48.html","Xem chi tiết")</f>
        <v/>
      </c>
      <c r="M8276" s="10" t="n"/>
    </row>
    <row r="8277">
      <c r="B8277" s="7" t="n">
        <v>8275</v>
      </c>
      <c r="C8277" t="inlineStr">
        <is>
          <t>NHÂN VIÊN BẢO DƯỠNG NỘI THẤT (HẬU MÃI)(Mới)</t>
        </is>
      </c>
      <c r="D8277" t="inlineStr">
        <is>
          <t>Công Ty TNHH Fursys VN</t>
        </is>
      </c>
      <c r="E8277" t="inlineStr">
        <is>
          <t>Lương:Cạnh tranh</t>
        </is>
      </c>
      <c r="F8277" t="inlineStr">
        <is>
          <t>Đồng Nai</t>
        </is>
      </c>
      <c r="G8277" t="inlineStr">
        <is>
          <t>17-04-2026</t>
        </is>
      </c>
      <c r="H8277" t="inlineStr">
        <is>
          <t>17/04/2026</t>
        </is>
      </c>
      <c r="I8277" t="inlineStr">
        <is>
          <t>17/03/2026</t>
        </is>
      </c>
      <c r="J8277" t="inlineStr">
        <is>
          <t>Bảo trì / Sửa chữa, Đồ gỗ, Nội ngoại thất</t>
        </is>
      </c>
      <c r="K8277" t="inlineStr">
        <is>
          <t>Lên đến 1 Năm</t>
        </is>
      </c>
      <c r="L8277" s="8">
        <f>HYPERLINK("https://careerviet.vn/vi/tim-viec-lam/nhan-vien-bao-duong-noi-that-hau-mai.35C6CC38.html","Xem chi tiết")</f>
        <v/>
      </c>
    </row>
    <row r="8278">
      <c r="B8278" s="9" t="n">
        <v>8276</v>
      </c>
      <c r="C8278" s="10" t="inlineStr">
        <is>
          <t>Employer Branding Team Leader(Mới)</t>
        </is>
      </c>
      <c r="D8278" s="10" t="inlineStr">
        <is>
          <t>Công ty TNHH GS25 Vietnam</t>
        </is>
      </c>
      <c r="E8278" s="10" t="inlineStr">
        <is>
          <t>Lương:Cạnh tranh</t>
        </is>
      </c>
      <c r="F8278" s="10" t="inlineStr">
        <is>
          <t>Hồ Chí Minh</t>
        </is>
      </c>
      <c r="G8278" s="10" t="inlineStr">
        <is>
          <t>17-04-2026</t>
        </is>
      </c>
      <c r="H8278" s="10" t="inlineStr">
        <is>
          <t>17/04/2026</t>
        </is>
      </c>
      <c r="I8278" s="10" t="inlineStr">
        <is>
          <t>17/03/2026</t>
        </is>
      </c>
      <c r="J8278" s="10" t="inlineStr">
        <is>
          <t>Tiếp thị / Marketing, Bán lẻ / Bán sỉ, Nhân sự</t>
        </is>
      </c>
      <c r="K8278" s="10" t="inlineStr">
        <is>
          <t>5 - 8 Năm</t>
        </is>
      </c>
      <c r="L8278" s="11">
        <f>HYPERLINK("https://careerviet.vn/vi/tim-viec-lam/employer-branding-team-leader.35C6CC3F.html","Xem chi tiết")</f>
        <v/>
      </c>
      <c r="M8278" s="10" t="n"/>
    </row>
    <row r="8279">
      <c r="B8279" s="7" t="n">
        <v>8277</v>
      </c>
      <c r="C8279" t="inlineStr">
        <is>
          <t>Nhân viên Media(Mới)</t>
        </is>
      </c>
      <c r="D8279" t="inlineStr">
        <is>
          <t>Công ty Cổ phần Đầu tư Thương mại Bách Tường Phát</t>
        </is>
      </c>
      <c r="E8279" t="inlineStr">
        <is>
          <t>Lương:Cạnh tranh</t>
        </is>
      </c>
      <c r="F8279" t="inlineStr">
        <is>
          <t>Hồ Chí Minh</t>
        </is>
      </c>
      <c r="G8279" t="inlineStr">
        <is>
          <t>30-04-2026</t>
        </is>
      </c>
      <c r="H8279" t="inlineStr">
        <is>
          <t>30/04/2026</t>
        </is>
      </c>
      <c r="I8279" t="inlineStr">
        <is>
          <t>17/03/2026</t>
        </is>
      </c>
      <c r="J8279" t="inlineStr">
        <is>
          <t>Truyền hình / Báo chí / Biên tập, Quảng cáo / Đối ngoại / Truyền Thông, Tổ chức sự kiện</t>
        </is>
      </c>
      <c r="K8279" t="inlineStr">
        <is>
          <t>1 - 2 Năm</t>
        </is>
      </c>
      <c r="L8279" s="8">
        <f>HYPERLINK("https://careerviet.vn/vi/tim-viec-lam/nhan-vien-media.35C6CC3D.html","Xem chi tiết")</f>
        <v/>
      </c>
    </row>
    <row r="8280">
      <c r="B8280" s="9" t="n">
        <v>8278</v>
      </c>
      <c r="C8280" s="10" t="inlineStr">
        <is>
          <t>Trưởng Phòng Nhân Sự - Hành Chính(Mới)</t>
        </is>
      </c>
      <c r="D8280" s="10" t="inlineStr">
        <is>
          <t>CÔNG TY CỔ PHẦN DỊCH VỤ HÀNG KHÔNG TASECO SÀI GÒN</t>
        </is>
      </c>
      <c r="E8280" s="10" t="inlineStr">
        <is>
          <t>Lương:25 Tr - 30 Tr VND</t>
        </is>
      </c>
      <c r="F8280" s="10" t="inlineStr">
        <is>
          <t>Hồ Chí Minh</t>
        </is>
      </c>
      <c r="G8280" s="10" t="inlineStr">
        <is>
          <t>16-04-2026</t>
        </is>
      </c>
      <c r="H8280" s="10" t="inlineStr">
        <is>
          <t>16/04/2026</t>
        </is>
      </c>
      <c r="I8280" s="10" t="inlineStr">
        <is>
          <t>17/03/2026</t>
        </is>
      </c>
      <c r="J8280" s="10" t="inlineStr">
        <is>
          <t>Hành chính / Thư ký, Quản lý điều hành, Nhân sự</t>
        </is>
      </c>
      <c r="K8280" s="10" t="inlineStr">
        <is>
          <t>3 - 5 Năm</t>
        </is>
      </c>
      <c r="L8280" s="11">
        <f>HYPERLINK("https://careerviet.vn/vi/tim-viec-lam/truong-phong-nhan-su-hanh-chinh.35C6CC3B.html","Xem chi tiết")</f>
        <v/>
      </c>
      <c r="M8280" s="10" t="n"/>
    </row>
    <row r="8281">
      <c r="B8281" s="7" t="n">
        <v>8279</v>
      </c>
      <c r="C8281" t="inlineStr">
        <is>
          <t>CHUYÊN VIÊN KINH DOANH DỰ ÁN(Mới)</t>
        </is>
      </c>
      <c r="D8281" t="inlineStr">
        <is>
          <t>Công ty CP Thương mại Dịch vụ An Biên</t>
        </is>
      </c>
      <c r="E8281" t="inlineStr">
        <is>
          <t>Lương:25 Tr - 37 Tr VND</t>
        </is>
      </c>
      <c r="F8281" t="inlineStr">
        <is>
          <t>Hồ Chí Minh</t>
        </is>
      </c>
      <c r="G8281" t="inlineStr">
        <is>
          <t>15-04-2026</t>
        </is>
      </c>
      <c r="H8281" t="inlineStr">
        <is>
          <t>15/04/2026</t>
        </is>
      </c>
      <c r="I8281" t="inlineStr">
        <is>
          <t>17/03/2026</t>
        </is>
      </c>
      <c r="J8281" t="inlineStr">
        <is>
          <t>Bán lẻ / Bán sỉ, Bán hàng / Kinh doanh, Nội ngoại thất</t>
        </is>
      </c>
      <c r="K8281" t="inlineStr">
        <is>
          <t>2 - 3 Năm</t>
        </is>
      </c>
      <c r="L8281" s="8">
        <f>HYPERLINK("https://careerviet.vn/vi/tim-viec-lam/chuyen-vien-kinh-doanh-du-an.35C6CC37.html","Xem chi tiết")</f>
        <v/>
      </c>
    </row>
    <row r="8282">
      <c r="B8282" s="9" t="n">
        <v>8280</v>
      </c>
      <c r="C8282" s="10" t="inlineStr">
        <is>
          <t>(Hồ Chí Minh) Nhân Viên Hành Chính Nhân Sự(Mới)</t>
        </is>
      </c>
      <c r="D8282" s="10" t="inlineStr">
        <is>
          <t>CÔNG TY CỔ PHẦN TẬP ĐOÀN LUKLAK VIỆT NAM</t>
        </is>
      </c>
      <c r="E8282" s="10" t="inlineStr">
        <is>
          <t>Lương:10 Tr - 13 Tr VND</t>
        </is>
      </c>
      <c r="F8282" s="10" t="inlineStr">
        <is>
          <t>Hồ Chí Minh</t>
        </is>
      </c>
      <c r="G8282" s="10" t="inlineStr">
        <is>
          <t>16-04-2026</t>
        </is>
      </c>
      <c r="H8282" s="10" t="inlineStr">
        <is>
          <t>16/04/2026</t>
        </is>
      </c>
      <c r="I8282" s="10" t="inlineStr">
        <is>
          <t>17/03/2026</t>
        </is>
      </c>
      <c r="J8282" s="10" t="inlineStr">
        <is>
          <t>Hành chính / Thư ký, Quản lý điều hành, Nhân sự</t>
        </is>
      </c>
      <c r="K8282" s="10" t="inlineStr">
        <is>
          <t>2 - 1 Năm</t>
        </is>
      </c>
      <c r="L8282" s="11">
        <f>HYPERLINK("https://careerviet.vn/vi/tim-viec-lam/ho-chi-minh-nhan-vien-hanh-chinh-nhan-su.35C6CC2E.html","Xem chi tiết")</f>
        <v/>
      </c>
      <c r="M8282" s="10" t="n"/>
    </row>
    <row r="8283">
      <c r="B8283" s="7" t="n">
        <v>8281</v>
      </c>
      <c r="C8283" t="inlineStr">
        <is>
          <t>Nhân viên Kỹ thuật ra File(Mới)</t>
        </is>
      </c>
      <c r="D8283" t="inlineStr">
        <is>
          <t>CÔNG TY CỔ PHẦN VẬT LIỆU VĨNH TÂN</t>
        </is>
      </c>
      <c r="E8283" t="inlineStr">
        <is>
          <t>Lương:15 Tr - 25 Tr VND</t>
        </is>
      </c>
      <c r="F8283" t="inlineStr">
        <is>
          <t>Bắc Ninh</t>
        </is>
      </c>
      <c r="G8283" t="inlineStr">
        <is>
          <t>16-04-2026</t>
        </is>
      </c>
      <c r="H8283" t="inlineStr">
        <is>
          <t>16/04/2026</t>
        </is>
      </c>
      <c r="I8283" t="inlineStr">
        <is>
          <t>17/03/2026</t>
        </is>
      </c>
      <c r="J8283" t="inlineStr">
        <is>
          <t>Kiến trúc, Xây dựng, Nội ngoại thất</t>
        </is>
      </c>
      <c r="K8283" t="inlineStr">
        <is>
          <t>2 - 5 Năm</t>
        </is>
      </c>
      <c r="L8283" s="8">
        <f>HYPERLINK("https://careerviet.vn/vi/tim-viec-lam/nhan-vien-ky-thuat-ra-file.35C6CC31.html","Xem chi tiết")</f>
        <v/>
      </c>
    </row>
    <row r="8284">
      <c r="B8284" s="9" t="n">
        <v>8282</v>
      </c>
      <c r="C8284" s="10" t="inlineStr">
        <is>
          <t>Nhân Viên Tổ Chức Sự Kiện(Mới)</t>
        </is>
      </c>
      <c r="D8284" s="10" t="inlineStr">
        <is>
          <t>CHI NHÁNH CÔNG TY CỔ PHẦN Y HỌC VĨNH THIỆN- BỆNH VIỆN ĐẠI HỌC PHENIKAA</t>
        </is>
      </c>
      <c r="E8284" s="10" t="inlineStr">
        <is>
          <t>Lương:13 Tr - 17 Tr VND</t>
        </is>
      </c>
      <c r="F8284" s="10" t="inlineStr">
        <is>
          <t>Hà Nội</t>
        </is>
      </c>
      <c r="G8284" s="10" t="inlineStr">
        <is>
          <t>16-04-2026</t>
        </is>
      </c>
      <c r="H8284" s="10" t="inlineStr">
        <is>
          <t>16/04/2026</t>
        </is>
      </c>
      <c r="I8284" s="10" t="inlineStr">
        <is>
          <t>17/03/2026</t>
        </is>
      </c>
      <c r="J8284" s="10" t="inlineStr">
        <is>
          <t>Truyền hình / Báo chí / Biên tập, Quảng cáo / Đối ngoại / Truyền Thông, Y tế / Chăm sóc sức khỏe / Thẩm mỹ / Làm đẹp</t>
        </is>
      </c>
      <c r="K8284" s="10" t="inlineStr">
        <is>
          <t>2 - 5 Năm</t>
        </is>
      </c>
      <c r="L8284" s="11">
        <f>HYPERLINK("https://careerviet.vn/vi/tim-viec-lam/nhan-vien-to-chuc-su-kien.35C6CC3C.html","Xem chi tiết")</f>
        <v/>
      </c>
      <c r="M8284" s="10" t="n"/>
    </row>
    <row r="8285">
      <c r="B8285" s="7" t="n">
        <v>8283</v>
      </c>
      <c r="C8285" t="inlineStr">
        <is>
          <t>TRƯỞNG PHÒNG KINH DOANH - NGÀNH CƠ KHÍ - Hà Nội(Mới)</t>
        </is>
      </c>
      <c r="D8285" t="inlineStr">
        <is>
          <t>CÔNG TY TNHH MTV KỸ THUẬT TÚ LỘC</t>
        </is>
      </c>
      <c r="E8285" t="inlineStr">
        <is>
          <t>Lương:20 Tr - 30 Tr VND</t>
        </is>
      </c>
      <c r="F8285" t="inlineStr">
        <is>
          <t>Hà Nội</t>
        </is>
      </c>
      <c r="G8285" t="inlineStr">
        <is>
          <t>30-04-2026</t>
        </is>
      </c>
      <c r="H8285" t="inlineStr">
        <is>
          <t>30/04/2026</t>
        </is>
      </c>
      <c r="I8285" t="inlineStr">
        <is>
          <t>17/03/2026</t>
        </is>
      </c>
      <c r="J8285" t="inlineStr">
        <is>
          <t>N/A</t>
        </is>
      </c>
      <c r="K8285" t="inlineStr">
        <is>
          <t>2 - 3 Năm</t>
        </is>
      </c>
      <c r="L8285" s="8">
        <f>HYPERLINK("https://careerviet.vn/vi/tim-viec-lam/truong-phong-kinh-doanh-nganh-co-khi-ha-noi.35C6CC25.html","Xem chi tiết")</f>
        <v/>
      </c>
    </row>
    <row r="8286">
      <c r="B8286" s="9" t="n">
        <v>8284</v>
      </c>
      <c r="C8286" s="10" t="inlineStr">
        <is>
          <t>TUYỂN GẤP NHÂN VIÊN CHĂM SÓC KHÁCH HÀNG  - HÀ NỘI(Mới)</t>
        </is>
      </c>
      <c r="D8286" s="10" t="inlineStr">
        <is>
          <t>Hoàng Huy Group</t>
        </is>
      </c>
      <c r="E8286" s="10" t="inlineStr">
        <is>
          <t>Lương:9 Tr - 12 Tr VND</t>
        </is>
      </c>
      <c r="F8286" s="10" t="inlineStr">
        <is>
          <t>Hà Nội</t>
        </is>
      </c>
      <c r="G8286" s="10" t="inlineStr">
        <is>
          <t>31-03-2026</t>
        </is>
      </c>
      <c r="H8286" s="10" t="inlineStr">
        <is>
          <t>31/03/2026</t>
        </is>
      </c>
      <c r="I8286" s="10" t="inlineStr">
        <is>
          <t>17/03/2026</t>
        </is>
      </c>
      <c r="J8286" s="10" t="inlineStr">
        <is>
          <t>Bán hàng / Kinh doanh, Dịch vụ khách hàng, Cơ khí / Ô tô / Tự động hóa</t>
        </is>
      </c>
      <c r="K8286" s="10" t="inlineStr">
        <is>
          <t>1 - 2 Năm</t>
        </is>
      </c>
      <c r="L8286" s="11">
        <f>HYPERLINK("https://careerviet.vn/vi/tim-viec-lam/tuyen-gap-nhan-vien-cham-soc-khach-hang-ha-noi.35C6CC3A.html","Xem chi tiết")</f>
        <v/>
      </c>
      <c r="M8286" s="10" t="n"/>
    </row>
    <row r="8287">
      <c r="B8287" s="7" t="n">
        <v>8285</v>
      </c>
      <c r="C8287" t="inlineStr">
        <is>
          <t>Tuyển Dụng Nhân Viên Thuần Chăm Sóc Khách Hàng 198 - Được Đào Tạo Miễn Phí [G1] [BSV](Mới)</t>
        </is>
      </c>
      <c r="D8287" t="inlineStr">
        <is>
          <t>BellSystem24-Việt Nam</t>
        </is>
      </c>
      <c r="E8287" t="inlineStr">
        <is>
          <t>Lương:7 Tr - 10 Tr VND</t>
        </is>
      </c>
      <c r="F8287" t="inlineStr">
        <is>
          <t>Hồ Chí Minh</t>
        </is>
      </c>
      <c r="G8287" t="inlineStr">
        <is>
          <t>03-04-2026</t>
        </is>
      </c>
      <c r="H8287" t="inlineStr">
        <is>
          <t>03/04/2026</t>
        </is>
      </c>
      <c r="I8287" t="inlineStr">
        <is>
          <t>17/03/2026</t>
        </is>
      </c>
      <c r="J8287" t="inlineStr">
        <is>
          <t>Bưu chính viễn thông, Dịch vụ khách hàng, Mới tốt nghiệp / Thực tập</t>
        </is>
      </c>
      <c r="K8287" t="inlineStr">
        <is>
          <t>N/A</t>
        </is>
      </c>
      <c r="L8287" s="8">
        <f>HYPERLINK("https://careerviet.vn/vi/tim-viec-lam/tuyen-dung-nhan-vien-thuan-cham-soc-khach-hang-198-duoc-dao-tao-mien-phi-g1-bsv.35C6CC21.html","Xem chi tiết")</f>
        <v/>
      </c>
    </row>
    <row r="8288">
      <c r="B8288" s="9" t="n">
        <v>8286</v>
      </c>
      <c r="C8288" s="10" t="inlineStr">
        <is>
          <t>Nhân Viên Phát Triển Thương Hiệu (Tiktok)(Mới)</t>
        </is>
      </c>
      <c r="D8288" s="10" t="inlineStr">
        <is>
          <t>CHI NHÁNH CÔNG TY CỔ PHẦN Y HỌC VĨNH THIỆN- BỆNH VIỆN ĐẠI HỌC PHENIKAA</t>
        </is>
      </c>
      <c r="E8288" s="10" t="inlineStr">
        <is>
          <t>Lương:13 Tr - 17 Tr VND</t>
        </is>
      </c>
      <c r="F8288" s="10" t="inlineStr">
        <is>
          <t>Hà Nội</t>
        </is>
      </c>
      <c r="G8288" s="10" t="inlineStr">
        <is>
          <t>16-04-2026</t>
        </is>
      </c>
      <c r="H8288" s="10" t="inlineStr">
        <is>
          <t>16/04/2026</t>
        </is>
      </c>
      <c r="I8288" s="10" t="inlineStr">
        <is>
          <t>17/03/2026</t>
        </is>
      </c>
      <c r="J8288" s="10" t="inlineStr">
        <is>
          <t>Truyền hình / Báo chí / Biên tập, Quảng cáo / Đối ngoại / Truyền Thông, Y tế / Chăm sóc sức khỏe / Thẩm mỹ / Làm đẹp</t>
        </is>
      </c>
      <c r="K8288" s="10" t="inlineStr">
        <is>
          <t>2 - 5 Năm</t>
        </is>
      </c>
      <c r="L8288" s="11">
        <f>HYPERLINK("https://careerviet.vn/vi/tim-viec-lam/nhan-vien-phat-trien-thuong-hieu-tiktok.35C6CC2B.html","Xem chi tiết")</f>
        <v/>
      </c>
      <c r="M8288" s="10" t="n"/>
    </row>
    <row r="8289">
      <c r="B8289" s="7" t="n">
        <v>8287</v>
      </c>
      <c r="C8289" t="inlineStr">
        <is>
          <t>TRƯỞNG PHÒNG KINH DOANH - NGÀNH CƠ KHÍ - HCM(Mới)</t>
        </is>
      </c>
      <c r="D8289" t="inlineStr">
        <is>
          <t>CÔNG TY TNHH MTV KỸ THUẬT TÚ LỘC</t>
        </is>
      </c>
      <c r="E8289" t="inlineStr">
        <is>
          <t>Lương:20 Tr - 35 Tr VND</t>
        </is>
      </c>
      <c r="F8289" t="inlineStr">
        <is>
          <t>Hồ Chí Minh</t>
        </is>
      </c>
      <c r="G8289" t="inlineStr">
        <is>
          <t>30-04-2026</t>
        </is>
      </c>
      <c r="H8289" t="inlineStr">
        <is>
          <t>30/04/2026</t>
        </is>
      </c>
      <c r="I8289" t="inlineStr">
        <is>
          <t>17/03/2026</t>
        </is>
      </c>
      <c r="J8289" t="inlineStr">
        <is>
          <t>N/A</t>
        </is>
      </c>
      <c r="K8289" t="inlineStr">
        <is>
          <t>2 - 3 Năm</t>
        </is>
      </c>
      <c r="L8289" s="8">
        <f>HYPERLINK("https://careerviet.vn/vi/tim-viec-lam/truong-phong-kinh-doanh-nganh-co-khi-hcm.35C6CC1F.html","Xem chi tiết")</f>
        <v/>
      </c>
    </row>
    <row r="8290">
      <c r="B8290" s="9" t="n">
        <v>8288</v>
      </c>
      <c r="C8290" s="10" t="inlineStr">
        <is>
          <t>(Khánh Hòa) Trình Dược Viên (Kênh Bệnh Viện ETC) - Ngành Hàng Dược Phẩm(Mới)</t>
        </is>
      </c>
      <c r="D8290" s="10" t="inlineStr">
        <is>
          <t>Abbott</t>
        </is>
      </c>
      <c r="E8290" s="10" t="inlineStr">
        <is>
          <t>Lương:Cạnh tranh</t>
        </is>
      </c>
      <c r="F8290" s="10" t="inlineStr">
        <is>
          <t>Khánh Hòa</t>
        </is>
      </c>
      <c r="G8290" s="10" t="inlineStr">
        <is>
          <t>16-04-2026</t>
        </is>
      </c>
      <c r="H8290" s="10" t="inlineStr">
        <is>
          <t>16/04/2026</t>
        </is>
      </c>
      <c r="I8290" s="10" t="inlineStr">
        <is>
          <t>17/03/2026</t>
        </is>
      </c>
      <c r="J8290" s="10" t="inlineStr">
        <is>
          <t>Bán hàng / Kinh doanh</t>
        </is>
      </c>
      <c r="K8290" s="10" t="inlineStr">
        <is>
          <t>1 - 3 Năm</t>
        </is>
      </c>
      <c r="L8290" s="11">
        <f>HYPERLINK("https://careerviet.vn/vi/tim-viec-lam/khanh-hoa-trinh-duoc-vien-kenh-benh-vien-etc-nganh-hang-duoc-pham.35C6CC2C.html","Xem chi tiết")</f>
        <v/>
      </c>
      <c r="M8290" s="10" t="n"/>
    </row>
    <row r="8291">
      <c r="B8291" s="7" t="n">
        <v>8289</v>
      </c>
      <c r="C8291" t="inlineStr">
        <is>
          <t>NHÂN VIÊN QUẢN LÝ VẬN HÀNH DỰ ÁN(Mới)</t>
        </is>
      </c>
      <c r="D8291" t="inlineStr">
        <is>
          <t>Công Ty TNHH Fursys VN</t>
        </is>
      </c>
      <c r="E8291" t="inlineStr">
        <is>
          <t>Lương:Cạnh tranh</t>
        </is>
      </c>
      <c r="F8291" t="inlineStr">
        <is>
          <t>Đồng Nai</t>
        </is>
      </c>
      <c r="G8291" t="inlineStr">
        <is>
          <t>17-04-2026</t>
        </is>
      </c>
      <c r="H8291" t="inlineStr">
        <is>
          <t>17/04/2026</t>
        </is>
      </c>
      <c r="I8291" t="inlineStr">
        <is>
          <t>17/03/2026</t>
        </is>
      </c>
      <c r="J8291" t="inlineStr">
        <is>
          <t>Vận chuyển / Giao nhận / Kho vận, Nội ngoại thất</t>
        </is>
      </c>
      <c r="K8291" t="inlineStr">
        <is>
          <t>Lên đến 1 Năm</t>
        </is>
      </c>
      <c r="L8291" s="8">
        <f>HYPERLINK("https://careerviet.vn/vi/tim-viec-lam/nhan-vien-quan-ly-van-hanh-du-an.35C6CC32.html","Xem chi tiết")</f>
        <v/>
      </c>
    </row>
    <row r="8292">
      <c r="B8292" s="9" t="n">
        <v>8290</v>
      </c>
      <c r="C8292" s="10" t="inlineStr">
        <is>
          <t>CHUYÊN VIÊN KIỂM SOÁT CHẤT LƯỢNG(Mới)</t>
        </is>
      </c>
      <c r="D8292" s="10" t="inlineStr">
        <is>
          <t>Tổng công ty Xây dựng số 1 – CTCP</t>
        </is>
      </c>
      <c r="E8292" s="10" t="inlineStr">
        <is>
          <t>Lương:Cạnh tranh</t>
        </is>
      </c>
      <c r="F8292" s="10" t="inlineStr">
        <is>
          <t>Hồ Chí Minh</t>
        </is>
      </c>
      <c r="G8292" s="10" t="inlineStr">
        <is>
          <t>27-04-2026</t>
        </is>
      </c>
      <c r="H8292" s="10" t="inlineStr">
        <is>
          <t>27/04/2026</t>
        </is>
      </c>
      <c r="I8292" s="10" t="inlineStr">
        <is>
          <t>17/03/2026</t>
        </is>
      </c>
      <c r="J8292" s="10" t="inlineStr">
        <is>
          <t>Xây dựng</t>
        </is>
      </c>
      <c r="K8292" s="10" t="inlineStr">
        <is>
          <t>3 - 5 Năm</t>
        </is>
      </c>
      <c r="L8292" s="11">
        <f>HYPERLINK("https://careerviet.vn/vi/tim-viec-lam/chuyen-vien-kiem-soat-chat-luong.35C6CC23.html","Xem chi tiết")</f>
        <v/>
      </c>
      <c r="M8292" s="10" t="n"/>
    </row>
    <row r="8293">
      <c r="B8293" s="7" t="n">
        <v>8291</v>
      </c>
      <c r="C8293" t="inlineStr">
        <is>
          <t>Trưởng phòng QA/QC(Mới)</t>
        </is>
      </c>
      <c r="D8293" t="inlineStr">
        <is>
          <t>Công Ty Cổ Phần Gỗ An Cường</t>
        </is>
      </c>
      <c r="E8293" t="inlineStr">
        <is>
          <t>Lương:Cạnh tranh</t>
        </is>
      </c>
      <c r="F8293" t="inlineStr">
        <is>
          <t>Bình Dương</t>
        </is>
      </c>
      <c r="G8293" t="inlineStr">
        <is>
          <t>16-04-2026</t>
        </is>
      </c>
      <c r="H8293" t="inlineStr">
        <is>
          <t>16/04/2026</t>
        </is>
      </c>
      <c r="I8293" t="inlineStr">
        <is>
          <t>17/03/2026</t>
        </is>
      </c>
      <c r="J8293" t="inlineStr">
        <is>
          <t>Nội ngoại thất, Quản lý chất lượng (QA/QC), Sản xuất / Vận hành sản xuất</t>
        </is>
      </c>
      <c r="K8293" t="inlineStr">
        <is>
          <t>3 - 5 Năm</t>
        </is>
      </c>
      <c r="L8293" s="8">
        <f>HYPERLINK("https://careerviet.vn/vi/tim-viec-lam/truong-phong-qa-qc.35C6CC1E.html","Xem chi tiết")</f>
        <v/>
      </c>
    </row>
    <row r="8294">
      <c r="B8294" s="9" t="n">
        <v>8292</v>
      </c>
      <c r="C8294" s="10" t="inlineStr">
        <is>
          <t>Chuyên Viên Hành Chính(Mới)</t>
        </is>
      </c>
      <c r="D8294" s="10" t="inlineStr">
        <is>
          <t>Tập Đoàn Karofi Holding</t>
        </is>
      </c>
      <c r="E8294" s="10" t="inlineStr">
        <is>
          <t>Lương:12 Tr - 15 Tr VND</t>
        </is>
      </c>
      <c r="F8294" s="10" t="inlineStr">
        <is>
          <t>Hồ Chí Minh</t>
        </is>
      </c>
      <c r="G8294" s="10" t="inlineStr">
        <is>
          <t>14-04-2026</t>
        </is>
      </c>
      <c r="H8294" s="10" t="inlineStr">
        <is>
          <t>14/04/2026</t>
        </is>
      </c>
      <c r="I8294" s="10" t="inlineStr">
        <is>
          <t>17/03/2026</t>
        </is>
      </c>
      <c r="J8294" s="10" t="inlineStr">
        <is>
          <t>Hành chính / Thư ký, Nhân sự</t>
        </is>
      </c>
      <c r="K8294" s="10" t="inlineStr">
        <is>
          <t>1 - 2 Năm</t>
        </is>
      </c>
      <c r="L8294" s="11">
        <f>HYPERLINK("https://careerviet.vn/vi/tim-viec-lam/chuyen-vien-hanh-chinh.35C6CC20.html","Xem chi tiết")</f>
        <v/>
      </c>
      <c r="M8294" s="10" t="n"/>
    </row>
    <row r="8295">
      <c r="B8295" s="7" t="n">
        <v>8293</v>
      </c>
      <c r="C8295" t="inlineStr">
        <is>
          <t>Chuyên Viên Kinh Doanh/ Kinh Doanh Nội Thất(Mới)</t>
        </is>
      </c>
      <c r="D8295" t="inlineStr">
        <is>
          <t>CÔNG TY CỔ PHẦN GOKI VIỆT NAM</t>
        </is>
      </c>
      <c r="E8295" t="inlineStr">
        <is>
          <t>Lương:15 Tr - 50 Tr VND</t>
        </is>
      </c>
      <c r="F8295" t="inlineStr">
        <is>
          <t>Hà Nội</t>
        </is>
      </c>
      <c r="G8295" t="inlineStr">
        <is>
          <t>28-04-2026</t>
        </is>
      </c>
      <c r="H8295" t="inlineStr">
        <is>
          <t>28/04/2026</t>
        </is>
      </c>
      <c r="I8295" t="inlineStr">
        <is>
          <t>17/03/2026</t>
        </is>
      </c>
      <c r="J8295" t="inlineStr">
        <is>
          <t>Bán hàng / Kinh doanh, Tư vấn, Nội ngoại thất</t>
        </is>
      </c>
      <c r="K8295" t="inlineStr">
        <is>
          <t>Trên 1 Năm</t>
        </is>
      </c>
      <c r="L8295" s="8">
        <f>HYPERLINK("https://careerviet.vn/vi/tim-viec-lam/chuyen-vien-kinh-doanh-kinh-doanh-noi-that.35C6CC18.html","Xem chi tiết")</f>
        <v/>
      </c>
    </row>
    <row r="8296">
      <c r="B8296" s="9" t="n">
        <v>8294</v>
      </c>
      <c r="C8296" s="10" t="inlineStr">
        <is>
          <t>Chuyên Viên Chính Quản Lý Thiết Kế Quy Hoạch(Mới)</t>
        </is>
      </c>
      <c r="D8296" s="10" t="inlineStr">
        <is>
          <t>CÔNG TY CỔ PHẦN PHÁT TRIỂN BẤT ĐỘNG SẢN VĂN PHÚ</t>
        </is>
      </c>
      <c r="E8296" s="10" t="inlineStr">
        <is>
          <t>Lương:Cạnh tranh</t>
        </is>
      </c>
      <c r="F8296" s="10" t="inlineStr">
        <is>
          <t>Hà Nội</t>
        </is>
      </c>
      <c r="G8296" s="10" t="inlineStr">
        <is>
          <t>29-04-2026</t>
        </is>
      </c>
      <c r="H8296" s="10" t="inlineStr">
        <is>
          <t>29/04/2026</t>
        </is>
      </c>
      <c r="I8296" s="10" t="inlineStr">
        <is>
          <t>17/03/2026</t>
        </is>
      </c>
      <c r="J8296" s="10" t="inlineStr">
        <is>
          <t>Mỹ thuật / Nghệ thuật / Thiết kế, Bất động sản</t>
        </is>
      </c>
      <c r="K8296" s="10" t="inlineStr">
        <is>
          <t>5 - 7 Năm</t>
        </is>
      </c>
      <c r="L8296" s="11">
        <f>HYPERLINK("https://careerviet.vn/vi/tim-viec-lam/chuyen-vien-chinh-quan-ly-thiet-ke-quy-hoach.35C6CC36.html","Xem chi tiết")</f>
        <v/>
      </c>
      <c r="M8296" s="10" t="n"/>
    </row>
    <row r="8297">
      <c r="B8297" s="7" t="n">
        <v>8295</v>
      </c>
      <c r="C8297" t="inlineStr">
        <is>
          <t>Kỹ Sư Trắc Đạc - Quảng Bình(Mới)</t>
        </is>
      </c>
      <c r="D8297" t="inlineStr">
        <is>
          <t>Công ty Cổ phần D&amp;D Engineering Construction</t>
        </is>
      </c>
      <c r="E8297" t="inlineStr">
        <is>
          <t>Lương:18 Tr - 25 Tr VND</t>
        </is>
      </c>
      <c r="F8297" t="inlineStr">
        <is>
          <t>Quảng Bình</t>
        </is>
      </c>
      <c r="G8297" t="inlineStr">
        <is>
          <t>15-04-2026</t>
        </is>
      </c>
      <c r="H8297" t="inlineStr">
        <is>
          <t>15/04/2026</t>
        </is>
      </c>
      <c r="I8297" t="inlineStr">
        <is>
          <t>17/03/2026</t>
        </is>
      </c>
      <c r="J8297" t="inlineStr">
        <is>
          <t>Xây dựng, Kiến trúc</t>
        </is>
      </c>
      <c r="K8297" t="inlineStr">
        <is>
          <t>Trên 2 Năm</t>
        </is>
      </c>
      <c r="L8297" s="8">
        <f>HYPERLINK("https://careerviet.vn/vi/tim-viec-lam/ky-su-trac-dac-quang-binh.35C6CC13.html","Xem chi tiết")</f>
        <v/>
      </c>
    </row>
    <row r="8298">
      <c r="B8298" s="9" t="n">
        <v>8296</v>
      </c>
      <c r="C8298" s="10" t="inlineStr">
        <is>
          <t>Điều Dưỡng Trưởng Chi Nhánh (Trưởng tua - Chi nhánh Bình Tân)(Mới)</t>
        </is>
      </c>
      <c r="D8298" s="10" t="inlineStr">
        <is>
          <t>DIAG</t>
        </is>
      </c>
      <c r="E8298" s="10" t="inlineStr">
        <is>
          <t>Lương:20 Tr - 24 Tr VND</t>
        </is>
      </c>
      <c r="F8298" s="10" t="inlineStr">
        <is>
          <t>Hồ Chí Minh</t>
        </is>
      </c>
      <c r="G8298" s="10" t="inlineStr">
        <is>
          <t>16-04-2026</t>
        </is>
      </c>
      <c r="H8298" s="10" t="inlineStr">
        <is>
          <t>16/04/2026</t>
        </is>
      </c>
      <c r="I8298" s="10" t="inlineStr">
        <is>
          <t>17/03/2026</t>
        </is>
      </c>
      <c r="J8298" s="10" t="inlineStr">
        <is>
          <t>Y tế / Chăm sóc sức khỏe / Thẩm mỹ / Làm đẹp, Tư vấn, Dịch vụ khách hàng</t>
        </is>
      </c>
      <c r="K8298" s="10" t="inlineStr">
        <is>
          <t>3 - 6 Năm</t>
        </is>
      </c>
      <c r="L8298" s="11">
        <f>HYPERLINK("https://careerviet.vn/vi/tim-viec-lam/dieu-duong-truong-chi-nhanh-truong-tua-chi-nhanh-binh-tan.35C6CC15.html","Xem chi tiết")</f>
        <v/>
      </c>
      <c r="M8298" s="10" t="n"/>
    </row>
    <row r="8299">
      <c r="B8299" s="7" t="n">
        <v>8297</v>
      </c>
      <c r="C8299" t="inlineStr">
        <is>
          <t>[Hà Nội] Nhân viên Xuất Nhập khẩu(Mới)</t>
        </is>
      </c>
      <c r="D8299" t="inlineStr">
        <is>
          <t>CÔNG TY TNHH DAESANG VIỆT NAM</t>
        </is>
      </c>
      <c r="E8299" t="inlineStr">
        <is>
          <t>Lương:11 Tr - 13 Tr VND</t>
        </is>
      </c>
      <c r="F8299" t="inlineStr">
        <is>
          <t>Hà Nội</t>
        </is>
      </c>
      <c r="G8299" t="inlineStr">
        <is>
          <t>30-03-2026</t>
        </is>
      </c>
      <c r="H8299" t="inlineStr">
        <is>
          <t>30/03/2026</t>
        </is>
      </c>
      <c r="I8299" t="inlineStr">
        <is>
          <t>17/03/2026</t>
        </is>
      </c>
      <c r="J8299" t="inlineStr">
        <is>
          <t>Bán lẻ / Bán sỉ, Bán hàng / Kinh doanh</t>
        </is>
      </c>
      <c r="K8299" t="inlineStr">
        <is>
          <t>1 - 2 Năm</t>
        </is>
      </c>
      <c r="L8299" s="8">
        <f>HYPERLINK("https://careerviet.vn/vi/tim-viec-lam/ha-noi-nhan-vien-xuat-nhap-khau.35C6CC12.html","Xem chi tiết")</f>
        <v/>
      </c>
    </row>
    <row r="8300">
      <c r="B8300" s="9" t="n">
        <v>8298</v>
      </c>
      <c r="C8300" s="10" t="inlineStr">
        <is>
          <t>Nhân viên chính thức trực Tổng đài nhà mạng Viettel Đà Nẵng</t>
        </is>
      </c>
      <c r="D8300" s="10" t="inlineStr">
        <is>
          <t>BellSystem24-Việt Nam</t>
        </is>
      </c>
      <c r="E8300" s="10" t="inlineStr">
        <is>
          <t>Lương:5 Tr - 8 Tr VND</t>
        </is>
      </c>
      <c r="F8300" s="10" t="inlineStr">
        <is>
          <t>Đà Nẵng</t>
        </is>
      </c>
      <c r="G8300" s="10" t="inlineStr">
        <is>
          <t>14-04-2026</t>
        </is>
      </c>
      <c r="H8300" s="10" t="inlineStr">
        <is>
          <t>14/04/2026</t>
        </is>
      </c>
      <c r="I8300" s="10" t="inlineStr">
        <is>
          <t>17/03/2026</t>
        </is>
      </c>
      <c r="J8300" s="10" t="inlineStr">
        <is>
          <t>Tư vấn, Dịch vụ khách hàng, Lao động phổ thông</t>
        </is>
      </c>
      <c r="K8300" s="10" t="inlineStr">
        <is>
          <t>N/A</t>
        </is>
      </c>
      <c r="L8300" s="11">
        <f>HYPERLINK("https://careerviet.vn/vi/tim-viec-lam/nhan-vien-chinh-thuc-truc-tong-dai-nha-mang-viettel-da-nang.35C658EB.html","Xem chi tiết")</f>
        <v/>
      </c>
      <c r="M8300" s="10" t="n"/>
    </row>
    <row r="8301">
      <c r="B8301" s="7" t="n">
        <v>8299</v>
      </c>
      <c r="C8301" t="inlineStr">
        <is>
          <t>126827 - Ground Operation Staff - Airline Service</t>
        </is>
      </c>
      <c r="D8301" t="inlineStr">
        <is>
          <t>RGF HR Agent Vietnam Co., LTD</t>
        </is>
      </c>
      <c r="E8301" t="inlineStr">
        <is>
          <t>Lương:Cạnh tranh</t>
        </is>
      </c>
      <c r="F8301" t="inlineStr">
        <is>
          <t>Hà Nội</t>
        </is>
      </c>
      <c r="G8301" t="inlineStr">
        <is>
          <t>14-04-2026</t>
        </is>
      </c>
      <c r="H8301" t="inlineStr">
        <is>
          <t>14/04/2026</t>
        </is>
      </c>
      <c r="I8301" t="inlineStr">
        <is>
          <t>17/03/2026</t>
        </is>
      </c>
      <c r="J8301" t="inlineStr">
        <is>
          <t>Dịch vụ khách hàng, Ngành khác</t>
        </is>
      </c>
      <c r="K8301" t="inlineStr">
        <is>
          <t>N/A</t>
        </is>
      </c>
      <c r="L8301" s="8">
        <f>HYPERLINK("https://careerviet.vn/vi/tim-viec-lam/126827-ground-operation-staff-airline-service.35C65843.html","Xem chi tiết")</f>
        <v/>
      </c>
    </row>
    <row r="8302">
      <c r="B8302" s="9" t="n">
        <v>8300</v>
      </c>
      <c r="C8302" s="10" t="inlineStr">
        <is>
          <t>Quản lý nhà hàng Bbq Chicken</t>
        </is>
      </c>
      <c r="D8302" s="10" t="inlineStr">
        <is>
          <t>CÔNG TY TNHH BBQ VIỆT NAM</t>
        </is>
      </c>
      <c r="E8302" s="10" t="inlineStr">
        <is>
          <t>Lương:14 Tr - 16 Tr VND</t>
        </is>
      </c>
      <c r="F8302" s="10" t="inlineStr">
        <is>
          <t>Hà Nội</t>
        </is>
      </c>
      <c r="G8302" s="10" t="inlineStr">
        <is>
          <t>14-04-2026</t>
        </is>
      </c>
      <c r="H8302" s="10" t="inlineStr">
        <is>
          <t>14/04/2026</t>
        </is>
      </c>
      <c r="I8302" s="10" t="inlineStr">
        <is>
          <t>17/03/2026</t>
        </is>
      </c>
      <c r="J8302" s="10" t="inlineStr">
        <is>
          <t>Nhà hàng / Khách sạn</t>
        </is>
      </c>
      <c r="K8302" s="10" t="inlineStr">
        <is>
          <t>2 - 3 Năm</t>
        </is>
      </c>
      <c r="L8302" s="11">
        <f>HYPERLINK("https://careerviet.vn/vi/tim-viec-lam/quan-ly-nha-hang-bbq-chicken.35C65803.html","Xem chi tiết")</f>
        <v/>
      </c>
      <c r="M8302" s="10" t="n"/>
    </row>
    <row r="8303">
      <c r="B8303" s="7" t="n">
        <v>8301</v>
      </c>
      <c r="C8303" t="inlineStr">
        <is>
          <t>HCM - Live-stream Sales Associate</t>
        </is>
      </c>
      <c r="D8303" t="inlineStr">
        <is>
          <t>CÔNG TY CỔ PHẦN MAISON RETAIL MANAGEMENT INTERNATIONAL</t>
        </is>
      </c>
      <c r="E8303" t="inlineStr">
        <is>
          <t>Lương:7 Tr - 9 Tr VND</t>
        </is>
      </c>
      <c r="F8303" t="inlineStr">
        <is>
          <t>Hồ Chí Minh</t>
        </is>
      </c>
      <c r="G8303" t="inlineStr">
        <is>
          <t>14-04-2026</t>
        </is>
      </c>
      <c r="H8303" t="inlineStr">
        <is>
          <t>14/04/2026</t>
        </is>
      </c>
      <c r="I8303" t="inlineStr">
        <is>
          <t>17/03/2026</t>
        </is>
      </c>
      <c r="J8303" t="inlineStr">
        <is>
          <t>Bán lẻ / Bán sỉ, Bán hàng / Kinh doanh, Dệt may / Da giày / Thời trang</t>
        </is>
      </c>
      <c r="K8303" t="inlineStr">
        <is>
          <t>N/A</t>
        </is>
      </c>
      <c r="L8303" s="8">
        <f>HYPERLINK("https://careerviet.vn/vi/tim-viec-lam/hcm-live-stream-sales-associate.35C65878.html","Xem chi tiết")</f>
        <v/>
      </c>
    </row>
    <row r="8304">
      <c r="B8304" s="9" t="n">
        <v>8302</v>
      </c>
      <c r="C8304" s="10" t="inlineStr">
        <is>
          <t>Senior Digital Marketing Manager</t>
        </is>
      </c>
      <c r="D8304" s="10" t="inlineStr">
        <is>
          <t>Công Ty TNHH Trang Thiết Bị Nha Khoa</t>
        </is>
      </c>
      <c r="E8304" s="10" t="inlineStr">
        <is>
          <t>Lương:18 Tr - 25 Tr VND</t>
        </is>
      </c>
      <c r="F8304" s="10" t="inlineStr">
        <is>
          <t>Hồ Chí Minh</t>
        </is>
      </c>
      <c r="G8304" s="10" t="inlineStr">
        <is>
          <t>14-04-2026</t>
        </is>
      </c>
      <c r="H8304" s="10" t="inlineStr">
        <is>
          <t>14/04/2026</t>
        </is>
      </c>
      <c r="I8304" s="10" t="inlineStr">
        <is>
          <t>17/03/2026</t>
        </is>
      </c>
      <c r="J8304" s="10" t="inlineStr">
        <is>
          <t>Tiếp thị / Marketing, Tiếp thị trực tuyến, Quảng cáo / Đối ngoại / Truyền Thông</t>
        </is>
      </c>
      <c r="K8304" s="10" t="inlineStr">
        <is>
          <t>5 - 10 Năm</t>
        </is>
      </c>
      <c r="L8304" s="11">
        <f>HYPERLINK("https://careerviet.vn/vi/tim-viec-lam/senior-digital-marketing-manager.35C659D3.html","Xem chi tiết")</f>
        <v/>
      </c>
      <c r="M8304" s="10" t="n"/>
    </row>
    <row r="8305">
      <c r="B8305" s="7" t="n">
        <v>8303</v>
      </c>
      <c r="C8305" t="inlineStr">
        <is>
          <t>Nhân viên tư vấn giáo dục</t>
        </is>
      </c>
      <c r="D8305" t="inlineStr">
        <is>
          <t>CÔNG TY CỔ PHẦN HỌC VIỆN MINH TRÍ THÀNH</t>
        </is>
      </c>
      <c r="E8305" t="inlineStr">
        <is>
          <t>Lương:15 Tr - 50 Tr VND</t>
        </is>
      </c>
      <c r="F8305" t="inlineStr">
        <is>
          <t>Hồ Chí Minh</t>
        </is>
      </c>
      <c r="G8305" t="inlineStr">
        <is>
          <t>14-04-2026</t>
        </is>
      </c>
      <c r="H8305" t="inlineStr">
        <is>
          <t>14/04/2026</t>
        </is>
      </c>
      <c r="I8305" t="inlineStr">
        <is>
          <t>17/03/2026</t>
        </is>
      </c>
      <c r="J8305" t="inlineStr">
        <is>
          <t>Bán hàng / Kinh doanh, Tư vấn, Bảo hiểm</t>
        </is>
      </c>
      <c r="K8305" t="inlineStr">
        <is>
          <t>Chưa có kinh nghiệm</t>
        </is>
      </c>
      <c r="L8305" s="8">
        <f>HYPERLINK("https://careerviet.vn/vi/tim-viec-lam/nhan-vien-tu-van-giao-duc.35C5B033.html","Xem chi tiết")</f>
        <v/>
      </c>
    </row>
    <row r="8306">
      <c r="B8306" s="9" t="n">
        <v>8304</v>
      </c>
      <c r="C8306" s="10" t="inlineStr">
        <is>
          <t>Tooling Assistant (Trợ lý Bộ phận Khuôn - Tiếng Trung)(Mới)</t>
        </is>
      </c>
      <c r="D8306" s="10" t="inlineStr">
        <is>
          <t>GOOD VIEW PLASTICS (VIETNAM) COMPANY LIMITED</t>
        </is>
      </c>
      <c r="E8306" s="10" t="inlineStr">
        <is>
          <t>Lương:Cạnh tranh</t>
        </is>
      </c>
      <c r="F8306" s="10" t="inlineStr">
        <is>
          <t>Đồng Nai</t>
        </is>
      </c>
      <c r="G8306" s="10" t="inlineStr">
        <is>
          <t>16-04-2026</t>
        </is>
      </c>
      <c r="H8306" s="10" t="inlineStr">
        <is>
          <t>16/04/2026</t>
        </is>
      </c>
      <c r="I8306" s="10" t="inlineStr">
        <is>
          <t>17/03/2026</t>
        </is>
      </c>
      <c r="J8306" s="10" t="inlineStr">
        <is>
          <t>Biên phiên dịch, Sản xuất / Vận hành sản xuất</t>
        </is>
      </c>
      <c r="K8306" s="10" t="inlineStr">
        <is>
          <t>2 - 5 Năm</t>
        </is>
      </c>
      <c r="L8306" s="11">
        <f>HYPERLINK("https://careerviet.vn/vi/tim-viec-lam/tooling-assistant-tro-ly-bo-phan-khuon-tieng-trung.35C6CC1A.html","Xem chi tiết")</f>
        <v/>
      </c>
      <c r="M8306" s="10" t="n"/>
    </row>
    <row r="8307">
      <c r="B8307" s="7" t="n">
        <v>8305</v>
      </c>
      <c r="C8307" t="inlineStr">
        <is>
          <t>Kỹ Sư BIM</t>
        </is>
      </c>
      <c r="D8307" t="inlineStr">
        <is>
          <t>CÔNG TY CỔ PHẦN SEAREFICO</t>
        </is>
      </c>
      <c r="E8307" t="inlineStr">
        <is>
          <t>Lương:18 Tr - 30 Tr VND</t>
        </is>
      </c>
      <c r="F8307" t="inlineStr">
        <is>
          <t>Hồ Chí MinhHà Nội</t>
        </is>
      </c>
      <c r="G8307" t="inlineStr">
        <is>
          <t>14-04-2026</t>
        </is>
      </c>
      <c r="H8307" t="inlineStr">
        <is>
          <t>14/04/2026</t>
        </is>
      </c>
      <c r="I8307" t="inlineStr">
        <is>
          <t>17/03/2026</t>
        </is>
      </c>
      <c r="J8307" t="inlineStr">
        <is>
          <t>Điện / Điện tử / Điện lạnh / Điện công nghiệp</t>
        </is>
      </c>
      <c r="K8307" t="inlineStr">
        <is>
          <t>2 - 5 Năm</t>
        </is>
      </c>
      <c r="L8307" s="8">
        <f>HYPERLINK("https://careerviet.vn/vi/tim-viec-lam/ky-su-bim.35C6582B.html","Xem chi tiết")</f>
        <v/>
      </c>
    </row>
    <row r="8308">
      <c r="B8308" s="9" t="n">
        <v>8306</v>
      </c>
      <c r="C8308" s="10" t="inlineStr">
        <is>
          <t>Nhân viên Kỹ thuật Nhà máy</t>
        </is>
      </c>
      <c r="D8308" s="10" t="inlineStr">
        <is>
          <t>TỔNG CÔNG TY CỔ PHẦN THƯƠNG MẠI XÂY DỰNG</t>
        </is>
      </c>
      <c r="E8308" s="10" t="inlineStr">
        <is>
          <t>Lương:10 Tr - 12 Tr VND</t>
        </is>
      </c>
      <c r="F8308" s="10" t="inlineStr">
        <is>
          <t>Nghệ An</t>
        </is>
      </c>
      <c r="G8308" s="10" t="inlineStr">
        <is>
          <t>14-04-2026</t>
        </is>
      </c>
      <c r="H8308" s="10" t="inlineStr">
        <is>
          <t>14/04/2026</t>
        </is>
      </c>
      <c r="I8308" s="10" t="inlineStr">
        <is>
          <t>17/03/2026</t>
        </is>
      </c>
      <c r="J8308" s="10" t="inlineStr">
        <is>
          <t>Bán Hàng Kỹ Thuật, Cơ khí / Ô tô / Tự động hóa, Điện / Điện tử / Điện lạnh / Điện công nghiệp</t>
        </is>
      </c>
      <c r="K8308" s="10" t="inlineStr">
        <is>
          <t>Trên 1 Năm</t>
        </is>
      </c>
      <c r="L8308" s="11">
        <f>HYPERLINK("https://careerviet.vn/vi/tim-viec-lam/nhan-vien-ky-thuat-nha-may.35C65977.html","Xem chi tiết")</f>
        <v/>
      </c>
      <c r="M8308" s="10" t="n"/>
    </row>
    <row r="8309">
      <c r="B8309" s="7" t="n">
        <v>8307</v>
      </c>
      <c r="C8309" t="inlineStr">
        <is>
          <t>SMT Process Engineer</t>
        </is>
      </c>
      <c r="D8309" t="inlineStr">
        <is>
          <t>Công ty TNHH Sài Gòn Stec</t>
        </is>
      </c>
      <c r="E8309" t="inlineStr">
        <is>
          <t>Lương:15 Tr - 23 Tr VND</t>
        </is>
      </c>
      <c r="F8309" t="inlineStr">
        <is>
          <t>Bình Dương</t>
        </is>
      </c>
      <c r="G8309" t="inlineStr">
        <is>
          <t>14-04-2026</t>
        </is>
      </c>
      <c r="H8309" t="inlineStr">
        <is>
          <t>14/04/2026</t>
        </is>
      </c>
      <c r="I8309" t="inlineStr">
        <is>
          <t>17/03/2026</t>
        </is>
      </c>
      <c r="J8309" t="inlineStr">
        <is>
          <t>Cơ khí / Ô tô / Tự động hóa, Điện / Điện tử / Điện lạnh / Điện công nghiệp, Bảo trì / Sửa chữa</t>
        </is>
      </c>
      <c r="K8309" t="inlineStr">
        <is>
          <t>1 - 3 Năm</t>
        </is>
      </c>
      <c r="L8309" s="8">
        <f>HYPERLINK("https://careerviet.vn/vi/tim-viec-lam/smt-process-engineer.35C65806.html","Xem chi tiết")</f>
        <v/>
      </c>
    </row>
    <row r="8310">
      <c r="B8310" s="9" t="n">
        <v>8308</v>
      </c>
      <c r="C8310" s="10" t="inlineStr">
        <is>
          <t>Trợ lý kinh doanh cấp cao - Thu nhập upto 35tr/tháng - Làm việc trực tiếp với Giám đốc</t>
        </is>
      </c>
      <c r="D8310" s="10" t="inlineStr">
        <is>
          <t>Công ty Cổ phần thực phẩm và đồ uống Barett</t>
        </is>
      </c>
      <c r="E8310" s="10" t="inlineStr">
        <is>
          <t>Lương:28 Tr - 35 Tr VND</t>
        </is>
      </c>
      <c r="F8310" s="10" t="inlineStr">
        <is>
          <t>Hà Nội</t>
        </is>
      </c>
      <c r="G8310" s="10" t="inlineStr">
        <is>
          <t>14-04-2026</t>
        </is>
      </c>
      <c r="H8310" s="10" t="inlineStr">
        <is>
          <t>14/04/2026</t>
        </is>
      </c>
      <c r="I8310" s="10" t="inlineStr">
        <is>
          <t>17/03/2026</t>
        </is>
      </c>
      <c r="J8310" s="10" t="inlineStr">
        <is>
          <t>Bán hàng / Kinh doanh, Thực phẩm &amp; Đồ uống, Bất động sản</t>
        </is>
      </c>
      <c r="K8310" s="10" t="inlineStr">
        <is>
          <t>3 - 5 Năm</t>
        </is>
      </c>
      <c r="L8310" s="11">
        <f>HYPERLINK("https://careerviet.vn/vi/tim-viec-lam/tro-ly-kinh-doanh-cap-cao-thu-nhap-upto-35tr-thang-lam-viec-truc-tiep-voi-giam-doc.35C65826.html","Xem chi tiết")</f>
        <v/>
      </c>
      <c r="M8310" s="10" t="n"/>
    </row>
    <row r="8311">
      <c r="B8311" s="7" t="n">
        <v>8309</v>
      </c>
      <c r="C8311" t="inlineStr">
        <is>
          <t>SALES MANAGER (Ho Chi Minh Office)</t>
        </is>
      </c>
      <c r="D8311" t="inlineStr">
        <is>
          <t>Công Ty TNHH Mol Logistics</t>
        </is>
      </c>
      <c r="E8311" t="inlineStr">
        <is>
          <t>Lương:Cạnh tranh</t>
        </is>
      </c>
      <c r="F8311" t="inlineStr">
        <is>
          <t>Hồ Chí Minh</t>
        </is>
      </c>
      <c r="G8311" t="inlineStr">
        <is>
          <t>14-04-2026</t>
        </is>
      </c>
      <c r="H8311" t="inlineStr">
        <is>
          <t>14/04/2026</t>
        </is>
      </c>
      <c r="I8311" t="inlineStr">
        <is>
          <t>17/03/2026</t>
        </is>
      </c>
      <c r="J8311" t="inlineStr">
        <is>
          <t>Tiếp thị / Marketing, Bán hàng / Kinh doanh, Xuất nhập khẩu</t>
        </is>
      </c>
      <c r="K8311" t="inlineStr">
        <is>
          <t>2 - 5 Năm</t>
        </is>
      </c>
      <c r="L8311" s="8">
        <f>HYPERLINK("https://careerviet.vn/vi/tim-viec-lam/sales-manager-ho-chi-minh-office.35C65922.html","Xem chi tiết")</f>
        <v/>
      </c>
    </row>
    <row r="8312">
      <c r="B8312" s="9" t="n">
        <v>8310</v>
      </c>
      <c r="C8312" s="10" t="inlineStr">
        <is>
          <t>Tuyển Dụng Nhân Viên Trực Line 198 - Được Hưởng Tiền Lương+Hoa Hồng_[G6]_[BSV](Mới)</t>
        </is>
      </c>
      <c r="D8312" s="10" t="inlineStr">
        <is>
          <t>BellSystem24-Việt Nam</t>
        </is>
      </c>
      <c r="E8312" s="10" t="inlineStr">
        <is>
          <t>Lương:7 Tr - 10 Tr VND</t>
        </is>
      </c>
      <c r="F8312" s="10" t="inlineStr">
        <is>
          <t>Hồ Chí Minh</t>
        </is>
      </c>
      <c r="G8312" s="10" t="inlineStr">
        <is>
          <t>03-04-2026</t>
        </is>
      </c>
      <c r="H8312" s="10" t="inlineStr">
        <is>
          <t>03/04/2026</t>
        </is>
      </c>
      <c r="I8312" s="10" t="inlineStr">
        <is>
          <t>17/03/2026</t>
        </is>
      </c>
      <c r="J8312" s="10" t="inlineStr">
        <is>
          <t>Bưu chính viễn thông, Dịch vụ khách hàng, Mới tốt nghiệp / Thực tập</t>
        </is>
      </c>
      <c r="K8312" s="10" t="inlineStr">
        <is>
          <t>N/A</t>
        </is>
      </c>
      <c r="L8312" s="11">
        <f>HYPERLINK("https://careerviet.vn/vi/tim-viec-lam/tuyen-dung-nhan-vien-truc-line-198-duoc-huong-tien-luong-hoa-hong_-g6-_-bsv.35C6CC1D.html","Xem chi tiết")</f>
        <v/>
      </c>
      <c r="M8312" s="10" t="n"/>
    </row>
    <row r="8313">
      <c r="B8313" s="7" t="n">
        <v>8311</v>
      </c>
      <c r="C8313" t="inlineStr">
        <is>
          <t>KẾ TOÁN NỘI BỘ</t>
        </is>
      </c>
      <c r="D8313" t="inlineStr">
        <is>
          <t>CÔNG TY TNHH ARV TRADING AND SERVICES</t>
        </is>
      </c>
      <c r="E8313" t="inlineStr">
        <is>
          <t>Lương:12 Tr - 16 Tr VND</t>
        </is>
      </c>
      <c r="F8313" t="inlineStr">
        <is>
          <t>Hồ Chí Minh</t>
        </is>
      </c>
      <c r="G8313" t="inlineStr">
        <is>
          <t>14-04-2026</t>
        </is>
      </c>
      <c r="H8313" t="inlineStr">
        <is>
          <t>14/04/2026</t>
        </is>
      </c>
      <c r="I8313" t="inlineStr">
        <is>
          <t>17/03/2026</t>
        </is>
      </c>
      <c r="J8313" t="inlineStr">
        <is>
          <t>Kế toán / Kiểm toán</t>
        </is>
      </c>
      <c r="K8313" t="inlineStr">
        <is>
          <t>1 - 3 Năm</t>
        </is>
      </c>
      <c r="L8313" s="8">
        <f>HYPERLINK("https://careerviet.vn/vi/tim-viec-lam/ke-toan-noi-bo.35C659B8.html","Xem chi tiết")</f>
        <v/>
      </c>
    </row>
    <row r="8314">
      <c r="B8314" s="9" t="n">
        <v>8312</v>
      </c>
      <c r="C8314" s="10" t="inlineStr">
        <is>
          <t>Kế Toán Chi Phí(Mới)</t>
        </is>
      </c>
      <c r="D8314" s="10" t="inlineStr">
        <is>
          <t>PRECIOUS PRESTIGE TRADING AND LOGISTICS</t>
        </is>
      </c>
      <c r="E8314" s="10" t="inlineStr">
        <is>
          <t>Lương:Cạnh tranh</t>
        </is>
      </c>
      <c r="F8314" s="10" t="inlineStr">
        <is>
          <t>Hồ Chí Minh</t>
        </is>
      </c>
      <c r="G8314" s="10" t="inlineStr">
        <is>
          <t>16-04-2026</t>
        </is>
      </c>
      <c r="H8314" s="10" t="inlineStr">
        <is>
          <t>16/04/2026</t>
        </is>
      </c>
      <c r="I8314" s="10" t="inlineStr">
        <is>
          <t>17/03/2026</t>
        </is>
      </c>
      <c r="J8314" s="10" t="inlineStr">
        <is>
          <t>Thống kê, Bán hàng / Kinh doanh, Xuất nhập khẩu</t>
        </is>
      </c>
      <c r="K8314" s="10" t="inlineStr">
        <is>
          <t>Trên 1 Năm</t>
        </is>
      </c>
      <c r="L8314" s="11">
        <f>HYPERLINK("https://careerviet.vn/vi/tim-viec-lam/ke-toan-chi-phi.35C6CBCA.html","Xem chi tiết")</f>
        <v/>
      </c>
      <c r="M8314" s="10" t="n"/>
    </row>
    <row r="8315">
      <c r="B8315" s="7" t="n">
        <v>8313</v>
      </c>
      <c r="C8315" t="inlineStr">
        <is>
          <t>Nhân viên phòng mẫu</t>
        </is>
      </c>
      <c r="D8315" t="inlineStr">
        <is>
          <t>CHI NHÁNH CÔNG TY TNHH MỘT THÀNH VIÊN FRAMIS VIỆT NAM TẠI ĐỒNG NAI</t>
        </is>
      </c>
      <c r="E8315" t="inlineStr">
        <is>
          <t>Lương:10 Tr - 14 Tr VND</t>
        </is>
      </c>
      <c r="F8315" t="inlineStr">
        <is>
          <t>Đồng Nai</t>
        </is>
      </c>
      <c r="G8315" t="inlineStr">
        <is>
          <t>14-04-2026</t>
        </is>
      </c>
      <c r="H8315" t="inlineStr">
        <is>
          <t>14/04/2026</t>
        </is>
      </c>
      <c r="I8315" t="inlineStr">
        <is>
          <t>17/03/2026</t>
        </is>
      </c>
      <c r="J8315" t="inlineStr">
        <is>
          <t>Dệt may / Da giày / Thời trang</t>
        </is>
      </c>
      <c r="K8315" t="inlineStr">
        <is>
          <t>1 - 3 Năm</t>
        </is>
      </c>
      <c r="L8315" s="8">
        <f>HYPERLINK("https://careerviet.vn/vi/tim-viec-lam/nhan-vien-phong-mau.35C65908.html","Xem chi tiết")</f>
        <v/>
      </c>
    </row>
    <row r="8316">
      <c r="B8316" s="9" t="n">
        <v>8314</v>
      </c>
      <c r="C8316" s="10" t="inlineStr">
        <is>
          <t>Nhân viên Vận hành Máy</t>
        </is>
      </c>
      <c r="D8316" s="10" t="inlineStr">
        <is>
          <t>Huhtamaki (Vietnam) Ltd.</t>
        </is>
      </c>
      <c r="E8316" s="10" t="inlineStr">
        <is>
          <t>Lương:7 Tr - 15 Tr VND</t>
        </is>
      </c>
      <c r="F8316" s="10" t="inlineStr">
        <is>
          <t>Bình Dương</t>
        </is>
      </c>
      <c r="G8316" s="10" t="inlineStr">
        <is>
          <t>14-04-2026</t>
        </is>
      </c>
      <c r="H8316" s="10" t="inlineStr">
        <is>
          <t>14/04/2026</t>
        </is>
      </c>
      <c r="I8316" s="10" t="inlineStr">
        <is>
          <t>17/03/2026</t>
        </is>
      </c>
      <c r="J8316" s="10" t="inlineStr">
        <is>
          <t>Lao động phổ thông, Sản xuất / Vận hành sản xuất, Cơ khí / Ô tô / Tự động hóa</t>
        </is>
      </c>
      <c r="K8316" s="10" t="inlineStr">
        <is>
          <t>N/A</t>
        </is>
      </c>
      <c r="L8316" s="11">
        <f>HYPERLINK("https://careerviet.vn/vi/tim-viec-lam/nhan-vien-van-hanh-may.35C65899.html","Xem chi tiết")</f>
        <v/>
      </c>
      <c r="M8316" s="10" t="n"/>
    </row>
    <row r="8317">
      <c r="B8317" s="7" t="n">
        <v>8315</v>
      </c>
      <c r="C8317" t="inlineStr">
        <is>
          <t>Trưởng phòng hành chính nhân sự</t>
        </is>
      </c>
      <c r="D8317" t="inlineStr">
        <is>
          <t>CÔNG TY TNHH BBQ VIỆT NAM</t>
        </is>
      </c>
      <c r="E8317" t="inlineStr">
        <is>
          <t>Lương:27 Tr - 30 Tr VND</t>
        </is>
      </c>
      <c r="F8317" t="inlineStr">
        <is>
          <t>Hà Nội</t>
        </is>
      </c>
      <c r="G8317" t="inlineStr">
        <is>
          <t>14-04-2026</t>
        </is>
      </c>
      <c r="H8317" t="inlineStr">
        <is>
          <t>14/04/2026</t>
        </is>
      </c>
      <c r="I8317" t="inlineStr">
        <is>
          <t>17/03/2026</t>
        </is>
      </c>
      <c r="J8317" t="inlineStr">
        <is>
          <t>Thực phẩm &amp; Đồ uống, Nhân sự, Nhà hàng / Khách sạn</t>
        </is>
      </c>
      <c r="K8317" t="inlineStr">
        <is>
          <t>4 - 5 Năm</t>
        </is>
      </c>
      <c r="L8317" s="8">
        <f>HYPERLINK("https://careerviet.vn/vi/tim-viec-lam/truong-phong-hanh-chinh-nhan-su.35C6591B.html","Xem chi tiết")</f>
        <v/>
      </c>
    </row>
    <row r="8318">
      <c r="B8318" s="9" t="n">
        <v>8316</v>
      </c>
      <c r="C8318" s="10" t="inlineStr">
        <is>
          <t>Giám Sát Bán Hàng - Cà Mau</t>
        </is>
      </c>
      <c r="D8318" s="10" t="inlineStr">
        <is>
          <t>Suntory PepsiCo</t>
        </is>
      </c>
      <c r="E8318" s="10" t="inlineStr">
        <is>
          <t>Lương:Cạnh tranh</t>
        </is>
      </c>
      <c r="F8318" s="10" t="inlineStr">
        <is>
          <t>Cà Mau</t>
        </is>
      </c>
      <c r="G8318" s="10" t="inlineStr">
        <is>
          <t>14-04-2026</t>
        </is>
      </c>
      <c r="H8318" s="10" t="inlineStr">
        <is>
          <t>14/04/2026</t>
        </is>
      </c>
      <c r="I8318" s="10" t="inlineStr">
        <is>
          <t>17/03/2026</t>
        </is>
      </c>
      <c r="J8318" s="10" t="inlineStr">
        <is>
          <t>Bán hàng / Kinh doanh, Thực phẩm &amp; Đồ uống, Bán lẻ / Bán sỉ</t>
        </is>
      </c>
      <c r="K8318" s="10" t="inlineStr">
        <is>
          <t>2 - 5 Năm</t>
        </is>
      </c>
      <c r="L8318" s="11">
        <f>HYPERLINK("https://careerviet.vn/vi/tim-viec-lam/giam-sat-ban-hang-ca-mau.35C6590C.html","Xem chi tiết")</f>
        <v/>
      </c>
      <c r="M8318" s="10" t="n"/>
    </row>
    <row r="8319">
      <c r="B8319" s="7" t="n">
        <v>8317</v>
      </c>
      <c r="C8319" t="inlineStr">
        <is>
          <t>Kỹ sư Thiết kế Phát triển Sản phẩm R&amp;D</t>
        </is>
      </c>
      <c r="D8319" t="inlineStr">
        <is>
          <t>Mida Precision Mold - Công Ty Cổ phần Khuôn Chính Xác Minh Đạt</t>
        </is>
      </c>
      <c r="E8319" t="inlineStr">
        <is>
          <t>Lương:12 Tr - 20 Tr VND</t>
        </is>
      </c>
      <c r="F8319" t="inlineStr">
        <is>
          <t>Long An</t>
        </is>
      </c>
      <c r="G8319" t="inlineStr">
        <is>
          <t>14-04-2026</t>
        </is>
      </c>
      <c r="H8319" t="inlineStr">
        <is>
          <t>14/04/2026</t>
        </is>
      </c>
      <c r="I8319" t="inlineStr">
        <is>
          <t>17/03/2026</t>
        </is>
      </c>
      <c r="J8319" t="inlineStr">
        <is>
          <t>Cơ khí / Ô tô / Tự động hóa, Điện / Điện tử / Điện lạnh / Điện công nghiệp, Sản xuất / Vận hành sản xuất</t>
        </is>
      </c>
      <c r="K8319" t="inlineStr">
        <is>
          <t>3 - 10 Năm</t>
        </is>
      </c>
      <c r="L8319" s="8">
        <f>HYPERLINK("https://careerviet.vn/vi/tim-viec-lam/ky-su-thiet-ke-phat-trien-san-pham-r-d.35C658D2.html","Xem chi tiết")</f>
        <v/>
      </c>
    </row>
    <row r="8320">
      <c r="B8320" s="9" t="n">
        <v>8318</v>
      </c>
      <c r="C8320" s="10" t="inlineStr">
        <is>
          <t>Trade Marketing Executive  (GT Channel) - FMCG</t>
        </is>
      </c>
      <c r="D8320" s="10" t="inlineStr">
        <is>
          <t>CÔNG TY CỔ PHẦN GREEN SPEED</t>
        </is>
      </c>
      <c r="E8320" s="10" t="inlineStr">
        <is>
          <t>Lương:13 Tr - 15 Tr VND</t>
        </is>
      </c>
      <c r="F8320" s="10" t="inlineStr">
        <is>
          <t>Hồ Chí Minh</t>
        </is>
      </c>
      <c r="G8320" s="10" t="inlineStr">
        <is>
          <t>14-04-2026</t>
        </is>
      </c>
      <c r="H8320" s="10" t="inlineStr">
        <is>
          <t>14/04/2026</t>
        </is>
      </c>
      <c r="I8320" s="10" t="inlineStr">
        <is>
          <t>17/03/2026</t>
        </is>
      </c>
      <c r="J8320" s="10" t="inlineStr">
        <is>
          <t>Tiếp thị / Marketing, Thực phẩm &amp; Đồ uống</t>
        </is>
      </c>
      <c r="K8320" s="10" t="inlineStr">
        <is>
          <t>2 - 3 Năm</t>
        </is>
      </c>
      <c r="L8320" s="11">
        <f>HYPERLINK("https://careerviet.vn/vi/tim-viec-lam/trade-marketing-executive-gt-channel-fmcg.35C65933.html","Xem chi tiết")</f>
        <v/>
      </c>
      <c r="M8320" s="10" t="n"/>
    </row>
    <row r="8321">
      <c r="B8321" s="7" t="n">
        <v>8319</v>
      </c>
      <c r="C8321" t="inlineStr">
        <is>
          <t>Trưởng vùng Kinh doanh kênh Food Service</t>
        </is>
      </c>
      <c r="D8321" t="inlineStr">
        <is>
          <t>CÔNG TY CỔ PHẦN MORINAGA NUTRITIONAL FOODS VIỆT NAM</t>
        </is>
      </c>
      <c r="E8321" t="inlineStr">
        <is>
          <t>Lương:35 Tr - 40 Tr VND</t>
        </is>
      </c>
      <c r="F8321" t="inlineStr">
        <is>
          <t>Hà Nội</t>
        </is>
      </c>
      <c r="G8321" t="inlineStr">
        <is>
          <t>14-04-2026</t>
        </is>
      </c>
      <c r="H8321" t="inlineStr">
        <is>
          <t>14/04/2026</t>
        </is>
      </c>
      <c r="I8321" t="inlineStr">
        <is>
          <t>17/03/2026</t>
        </is>
      </c>
      <c r="J8321" t="inlineStr">
        <is>
          <t>Bán hàng / Kinh doanh</t>
        </is>
      </c>
      <c r="K8321" t="inlineStr">
        <is>
          <t>1 - 5 Năm</t>
        </is>
      </c>
      <c r="L8321" s="8">
        <f>HYPERLINK("https://careerviet.vn/vi/tim-viec-lam/truong-vung-kinh-doanh-kenh-food-service.35C658E3.html","Xem chi tiết")</f>
        <v/>
      </c>
    </row>
    <row r="8322">
      <c r="B8322" s="9" t="n">
        <v>8320</v>
      </c>
      <c r="C8322" s="10" t="inlineStr">
        <is>
          <t>Tài Xế Lái Xe Cho Giám Đốc</t>
        </is>
      </c>
      <c r="D8322" s="10" t="inlineStr">
        <is>
          <t>Huy Thuoc Construction Ltd.,</t>
        </is>
      </c>
      <c r="E8322" s="10" t="inlineStr">
        <is>
          <t>Lương:10 Tr - 15 Tr VND</t>
        </is>
      </c>
      <c r="F8322" s="10" t="inlineStr">
        <is>
          <t>Hồ Chí Minh</t>
        </is>
      </c>
      <c r="G8322" s="10" t="inlineStr">
        <is>
          <t>14-04-2026</t>
        </is>
      </c>
      <c r="H8322" s="10" t="inlineStr">
        <is>
          <t>14/04/2026</t>
        </is>
      </c>
      <c r="I8322" s="10" t="inlineStr">
        <is>
          <t>17/03/2026</t>
        </is>
      </c>
      <c r="J8322" s="10" t="inlineStr">
        <is>
          <t>Vận chuyển / Giao nhận / Kho vận, Lao động phổ thông, An Ninh / Bảo Vệ</t>
        </is>
      </c>
      <c r="K8322" s="10" t="inlineStr">
        <is>
          <t>2 - 3 Năm</t>
        </is>
      </c>
      <c r="L8322" s="11">
        <f>HYPERLINK("https://careerviet.vn/vi/tim-viec-lam/tai-xe-lai-xe-cho-giam-doc.35C65893.html","Xem chi tiết")</f>
        <v/>
      </c>
      <c r="M8322" s="10" t="n"/>
    </row>
    <row r="8323">
      <c r="B8323" s="7" t="n">
        <v>8321</v>
      </c>
      <c r="C8323" t="inlineStr">
        <is>
          <t>Chuyên Viên Quản Lý Dự Án</t>
        </is>
      </c>
      <c r="D8323" t="inlineStr">
        <is>
          <t>Công Ty Cổ Phần Mỹ Phẩm Sài Gòn</t>
        </is>
      </c>
      <c r="E8323" t="inlineStr">
        <is>
          <t>Lương:Cạnh tranh</t>
        </is>
      </c>
      <c r="F8323" t="inlineStr">
        <is>
          <t>Hồ Chí Minh</t>
        </is>
      </c>
      <c r="G8323" t="inlineStr">
        <is>
          <t>14-04-2026</t>
        </is>
      </c>
      <c r="H8323" t="inlineStr">
        <is>
          <t>14/04/2026</t>
        </is>
      </c>
      <c r="I8323" t="inlineStr">
        <is>
          <t>17/03/2026</t>
        </is>
      </c>
      <c r="J8323" t="inlineStr">
        <is>
          <t>Bán lẻ / Bán sỉ, Bán hàng / Kinh doanh, Tiếp thị / Marketing</t>
        </is>
      </c>
      <c r="K8323" t="inlineStr">
        <is>
          <t>2 - 5 Năm</t>
        </is>
      </c>
      <c r="L8323" s="8">
        <f>HYPERLINK("https://careerviet.vn/vi/tim-viec-lam/chuyen-vien-quan-ly-du-an.35C658C7.html","Xem chi tiết")</f>
        <v/>
      </c>
    </row>
    <row r="8324">
      <c r="B8324" s="9" t="n">
        <v>8322</v>
      </c>
      <c r="C8324" s="10" t="inlineStr">
        <is>
          <t>English Speaking Tour guide</t>
        </is>
      </c>
      <c r="D8324" s="10" t="inlineStr">
        <is>
          <t>ASIAN TRAILS - CÔNG TY TNHH DU LỊCH ĐƯỜNG MÒN CHÂU Á</t>
        </is>
      </c>
      <c r="E8324" s="10" t="inlineStr">
        <is>
          <t>Lương:Trên 6 Tr VND</t>
        </is>
      </c>
      <c r="F8324" s="10" t="inlineStr">
        <is>
          <t>Đà Nẵng</t>
        </is>
      </c>
      <c r="G8324" s="10" t="inlineStr">
        <is>
          <t>14-04-2026</t>
        </is>
      </c>
      <c r="H8324" s="10" t="inlineStr">
        <is>
          <t>14/04/2026</t>
        </is>
      </c>
      <c r="I8324" s="10" t="inlineStr">
        <is>
          <t>17/03/2026</t>
        </is>
      </c>
      <c r="J8324" s="10" t="inlineStr">
        <is>
          <t>Biên phiên dịch, Du lịch</t>
        </is>
      </c>
      <c r="K8324" s="10" t="inlineStr">
        <is>
          <t>Trên 1 Năm</t>
        </is>
      </c>
      <c r="L8324" s="11">
        <f>HYPERLINK("https://careerviet.vn/vi/tim-viec-lam/english-speaking-tour-guide.35C65480.html","Xem chi tiết")</f>
        <v/>
      </c>
      <c r="M8324" s="10" t="n"/>
    </row>
    <row r="8325">
      <c r="B8325" s="7" t="n">
        <v>8323</v>
      </c>
      <c r="C8325" t="inlineStr">
        <is>
          <t>Kỹ Thuật Khuôn Ép Nhựa</t>
        </is>
      </c>
      <c r="D8325" t="inlineStr">
        <is>
          <t>CHI NHÁNH CÔNG TY TNHH DAEYOUNG EP VINA TẠI BÀ RỊA - VŨNG TÀU</t>
        </is>
      </c>
      <c r="E8325" t="inlineStr">
        <is>
          <t>Lương:8 Tr - 15 Tr VND</t>
        </is>
      </c>
      <c r="F8325" t="inlineStr">
        <is>
          <t>Bà Rịa - Vũng Tàu</t>
        </is>
      </c>
      <c r="G8325" t="inlineStr">
        <is>
          <t>14-04-2026</t>
        </is>
      </c>
      <c r="H8325" t="inlineStr">
        <is>
          <t>14/04/2026</t>
        </is>
      </c>
      <c r="I8325" t="inlineStr">
        <is>
          <t>17/03/2026</t>
        </is>
      </c>
      <c r="J8325" t="inlineStr">
        <is>
          <t>Cơ khí / Ô tô / Tự động hóa</t>
        </is>
      </c>
      <c r="K8325" t="inlineStr">
        <is>
          <t>1 - 3 Năm</t>
        </is>
      </c>
      <c r="L8325" s="8">
        <f>HYPERLINK("https://careerviet.vn/vi/tim-viec-lam/ky-thuat-khuon-ep-nhua.35C65844.html","Xem chi tiết")</f>
        <v/>
      </c>
    </row>
    <row r="8326">
      <c r="B8326" s="9" t="n">
        <v>8324</v>
      </c>
      <c r="C8326" s="10" t="inlineStr">
        <is>
          <t>Chuyên viên Cao cấp Marketing (Bất động sản)</t>
        </is>
      </c>
      <c r="D8326" s="10" t="inlineStr">
        <is>
          <t>BIM Group</t>
        </is>
      </c>
      <c r="E8326" s="10" t="inlineStr">
        <is>
          <t>Lương:Cạnh tranh</t>
        </is>
      </c>
      <c r="F8326" s="10" t="inlineStr">
        <is>
          <t>Hồ Chí Minh</t>
        </is>
      </c>
      <c r="G8326" s="10" t="inlineStr">
        <is>
          <t>14-04-2026</t>
        </is>
      </c>
      <c r="H8326" s="10" t="inlineStr">
        <is>
          <t>14/04/2026</t>
        </is>
      </c>
      <c r="I8326" s="10" t="inlineStr">
        <is>
          <t>17/03/2026</t>
        </is>
      </c>
      <c r="J8326" s="10" t="inlineStr">
        <is>
          <t>Bất động sản, Tiếp thị / Marketing</t>
        </is>
      </c>
      <c r="K8326" s="10" t="inlineStr">
        <is>
          <t>5 - 10 Năm</t>
        </is>
      </c>
      <c r="L8326" s="11">
        <f>HYPERLINK("https://careerviet.vn/vi/tim-viec-lam/chuyen-vien-cao-cap-marketing-bat-dong-san.35C65829.html","Xem chi tiết")</f>
        <v/>
      </c>
      <c r="M8326" s="10" t="n"/>
    </row>
    <row r="8327">
      <c r="B8327" s="7" t="n">
        <v>8325</v>
      </c>
      <c r="C8327" t="inlineStr">
        <is>
          <t>CHUYÊN VIÊN KẾ TOÁN (Q7, HCM)</t>
        </is>
      </c>
      <c r="D8327" t="inlineStr">
        <is>
          <t>CÔNG TY CỔ PHẦN TMĐT XUẤT - NHẬP KHẨU TRÁI CÂY CHÁNH THU</t>
        </is>
      </c>
      <c r="E8327" t="inlineStr">
        <is>
          <t>Lương:Cạnh tranh</t>
        </is>
      </c>
      <c r="F8327" t="inlineStr">
        <is>
          <t>Hồ Chí Minh</t>
        </is>
      </c>
      <c r="G8327" t="inlineStr">
        <is>
          <t>14-04-2026</t>
        </is>
      </c>
      <c r="H8327" t="inlineStr">
        <is>
          <t>14/04/2026</t>
        </is>
      </c>
      <c r="I8327" t="inlineStr">
        <is>
          <t>17/03/2026</t>
        </is>
      </c>
      <c r="J8327" t="inlineStr">
        <is>
          <t>Kế toán / Kiểm toán, Xuất nhập khẩu, Sản xuất / Vận hành sản xuất</t>
        </is>
      </c>
      <c r="K8327" t="inlineStr">
        <is>
          <t>1 - 2 Năm</t>
        </is>
      </c>
      <c r="L8327" s="8">
        <f>HYPERLINK("https://careerviet.vn/vi/tim-viec-lam/chuyen-vien-ke-toan-q7-hcm.35C65953.html","Xem chi tiết")</f>
        <v/>
      </c>
    </row>
    <row r="8328">
      <c r="B8328" s="9" t="n">
        <v>8326</v>
      </c>
      <c r="C8328" s="10" t="inlineStr">
        <is>
          <t>Nhân viên quản lý chất lượng (Công ty sản xuất Hạt màu)</t>
        </is>
      </c>
      <c r="D8328" s="10" t="inlineStr">
        <is>
          <t>Công Ty Cổ Phần Sản Xuất Nhựa Duy Tân</t>
        </is>
      </c>
      <c r="E8328" s="10" t="inlineStr">
        <is>
          <t>Lương:Cạnh tranh</t>
        </is>
      </c>
      <c r="F8328" s="10" t="inlineStr">
        <is>
          <t>Hồ Chí Minh</t>
        </is>
      </c>
      <c r="G8328" s="10" t="inlineStr">
        <is>
          <t>14-04-2026</t>
        </is>
      </c>
      <c r="H8328" s="10" t="inlineStr">
        <is>
          <t>14/04/2026</t>
        </is>
      </c>
      <c r="I8328" s="10" t="inlineStr">
        <is>
          <t>17/03/2026</t>
        </is>
      </c>
      <c r="J8328" s="10" t="inlineStr">
        <is>
          <t>Sản xuất / Vận hành sản xuất</t>
        </is>
      </c>
      <c r="K8328" s="10" t="inlineStr">
        <is>
          <t>2 - 3 Năm</t>
        </is>
      </c>
      <c r="L8328" s="11">
        <f>HYPERLINK("https://careerviet.vn/vi/tim-viec-lam/nhan-vien-quan-ly-chat-luong-cong-ty-san-xuat-hat-mau.35C659AF.html","Xem chi tiết")</f>
        <v/>
      </c>
      <c r="M8328" s="10" t="n"/>
    </row>
    <row r="8329">
      <c r="B8329" s="7" t="n">
        <v>8327</v>
      </c>
      <c r="C8329" t="inlineStr">
        <is>
          <t>Chỉ huy trưởng</t>
        </is>
      </c>
      <c r="D8329" t="inlineStr">
        <is>
          <t>CÔNG TY CỔ PHẦN XÂY DỰNG VILAI VIỆT</t>
        </is>
      </c>
      <c r="E8329" t="inlineStr">
        <is>
          <t>Lương:30 Tr - 40 Tr VND</t>
        </is>
      </c>
      <c r="F8329" t="inlineStr">
        <is>
          <t>Hà NộiBắc GiangHải Phòng</t>
        </is>
      </c>
      <c r="G8329" t="inlineStr">
        <is>
          <t>14-04-2026</t>
        </is>
      </c>
      <c r="H8329" t="inlineStr">
        <is>
          <t>14/04/2026</t>
        </is>
      </c>
      <c r="I8329" t="inlineStr">
        <is>
          <t>17/03/2026</t>
        </is>
      </c>
      <c r="J8329" t="inlineStr">
        <is>
          <t>Kiến trúc, Xây dựng</t>
        </is>
      </c>
      <c r="K8329" t="inlineStr">
        <is>
          <t>7 - 15 Năm</t>
        </is>
      </c>
      <c r="L8329" s="8">
        <f>HYPERLINK("https://careerviet.vn/vi/tim-viec-lam/chi-huy-truong.35C65885.html","Xem chi tiết")</f>
        <v/>
      </c>
    </row>
    <row r="8330">
      <c r="B8330" s="9" t="n">
        <v>8328</v>
      </c>
      <c r="C8330" s="10" t="inlineStr">
        <is>
          <t>Quản lý chất lượng</t>
        </is>
      </c>
      <c r="D8330" s="10" t="inlineStr">
        <is>
          <t>CÔNG TY TNHH MUSEM VINA</t>
        </is>
      </c>
      <c r="E8330" s="10" t="inlineStr">
        <is>
          <t>Lương:15 Tr - 20 Tr VND</t>
        </is>
      </c>
      <c r="F8330" s="10" t="inlineStr">
        <is>
          <t>Long An</t>
        </is>
      </c>
      <c r="G8330" s="10" t="inlineStr">
        <is>
          <t>14-04-2026</t>
        </is>
      </c>
      <c r="H8330" s="10" t="inlineStr">
        <is>
          <t>14/04/2026</t>
        </is>
      </c>
      <c r="I8330" s="10" t="inlineStr">
        <is>
          <t>17/03/2026</t>
        </is>
      </c>
      <c r="J8330" s="10" t="inlineStr">
        <is>
          <t>Sản xuất / Vận hành sản xuất</t>
        </is>
      </c>
      <c r="K8330" s="10" t="inlineStr">
        <is>
          <t>1 - 2 Năm</t>
        </is>
      </c>
      <c r="L8330" s="11">
        <f>HYPERLINK("https://careerviet.vn/vi/tim-viec-lam/quan-ly-chat-luong.35C65998.html","Xem chi tiết")</f>
        <v/>
      </c>
      <c r="M8330" s="10" t="n"/>
    </row>
    <row r="8331">
      <c r="B8331" s="7" t="n">
        <v>8329</v>
      </c>
      <c r="C8331" t="inlineStr">
        <is>
          <t>Nhân Viên Kế Toán - Hà Nội</t>
        </is>
      </c>
      <c r="D8331" t="inlineStr">
        <is>
          <t>Công Ty Cổ Phần Sản Xuất Nhựa Duy Tân</t>
        </is>
      </c>
      <c r="E8331" t="inlineStr">
        <is>
          <t>Lương:14 Tr - 16 Tr VND</t>
        </is>
      </c>
      <c r="F8331" t="inlineStr">
        <is>
          <t>Hà Nội</t>
        </is>
      </c>
      <c r="G8331" t="inlineStr">
        <is>
          <t>14-04-2026</t>
        </is>
      </c>
      <c r="H8331" t="inlineStr">
        <is>
          <t>14/04/2026</t>
        </is>
      </c>
      <c r="I8331" t="inlineStr">
        <is>
          <t>17/03/2026</t>
        </is>
      </c>
      <c r="J8331" t="inlineStr">
        <is>
          <t>Kế toán / Kiểm toán, Tài chính / Đầu tư</t>
        </is>
      </c>
      <c r="K8331" t="inlineStr">
        <is>
          <t>2 - 3 Năm</t>
        </is>
      </c>
      <c r="L8331" s="8">
        <f>HYPERLINK("https://careerviet.vn/vi/tim-viec-lam/nhan-vien-ke-toan-ha-noi.35C658A8.html","Xem chi tiết")</f>
        <v/>
      </c>
    </row>
    <row r="8332">
      <c r="B8332" s="9" t="n">
        <v>8330</v>
      </c>
      <c r="C8332" s="10" t="inlineStr">
        <is>
          <t>HO - CVC/CVCC Phát Triển Sản Phẩm CASA</t>
        </is>
      </c>
      <c r="D8332" s="10" t="inlineStr">
        <is>
          <t>Ngân Hàng TMCP Phương Đông - OCB</t>
        </is>
      </c>
      <c r="E8332" s="10" t="inlineStr">
        <is>
          <t>Lương:Cạnh tranh</t>
        </is>
      </c>
      <c r="F8332" s="10" t="inlineStr">
        <is>
          <t>Hồ Chí Minh</t>
        </is>
      </c>
      <c r="G8332" s="10" t="inlineStr">
        <is>
          <t>14-04-2026</t>
        </is>
      </c>
      <c r="H8332" s="10" t="inlineStr">
        <is>
          <t>14/04/2026</t>
        </is>
      </c>
      <c r="I8332" s="10" t="inlineStr">
        <is>
          <t>17/03/2026</t>
        </is>
      </c>
      <c r="J8332" s="10" t="inlineStr">
        <is>
          <t>Ngân hàng</t>
        </is>
      </c>
      <c r="K8332" s="10" t="inlineStr">
        <is>
          <t>2 - 5 Năm</t>
        </is>
      </c>
      <c r="L8332" s="11">
        <f>HYPERLINK("https://careerviet.vn/vi/tim-viec-lam/ho-cvc-cvcc-phat-trien-san-pham-casa.35C6588D.html","Xem chi tiết")</f>
        <v/>
      </c>
      <c r="M8332" s="10" t="n"/>
    </row>
    <row r="8333">
      <c r="B8333" s="7" t="n">
        <v>8331</v>
      </c>
      <c r="C8333" t="inlineStr">
        <is>
          <t>Nhân viên thu mua nguyên vật liệu</t>
        </is>
      </c>
      <c r="D8333" t="inlineStr">
        <is>
          <t>CÔNG TY TNHH MGENTECH</t>
        </is>
      </c>
      <c r="E8333" t="inlineStr">
        <is>
          <t>Lương:8 Tr - 13 Tr VND</t>
        </is>
      </c>
      <c r="F8333" t="inlineStr">
        <is>
          <t>Long An</t>
        </is>
      </c>
      <c r="G8333" t="inlineStr">
        <is>
          <t>14-04-2026</t>
        </is>
      </c>
      <c r="H8333" t="inlineStr">
        <is>
          <t>14/04/2026</t>
        </is>
      </c>
      <c r="I8333" t="inlineStr">
        <is>
          <t>17/03/2026</t>
        </is>
      </c>
      <c r="J8333" t="inlineStr">
        <is>
          <t>Sản xuất / Vận hành sản xuất</t>
        </is>
      </c>
      <c r="K8333" t="inlineStr">
        <is>
          <t>1 - 2 Năm</t>
        </is>
      </c>
      <c r="L8333" s="8">
        <f>HYPERLINK("https://careerviet.vn/vi/tim-viec-lam/nhan-vien-thu-mua-nguyen-vat-lieu.35C6599D.html","Xem chi tiết")</f>
        <v/>
      </c>
    </row>
    <row r="8334">
      <c r="B8334" s="9" t="n">
        <v>8332</v>
      </c>
      <c r="C8334" s="10" t="inlineStr">
        <is>
          <t>Nhân viên Vận hành máy</t>
        </is>
      </c>
      <c r="D8334" s="10" t="inlineStr">
        <is>
          <t>Công ty TNHH Chế biến Thực phẩm Olam Việt Nam</t>
        </is>
      </c>
      <c r="E8334" s="10" t="inlineStr">
        <is>
          <t>Lương:10 Tr - 15 Tr VND</t>
        </is>
      </c>
      <c r="F8334" s="10" t="inlineStr">
        <is>
          <t>Đồng Nai</t>
        </is>
      </c>
      <c r="G8334" s="10" t="inlineStr">
        <is>
          <t>14-04-2026</t>
        </is>
      </c>
      <c r="H8334" s="10" t="inlineStr">
        <is>
          <t>14/04/2026</t>
        </is>
      </c>
      <c r="I8334" s="10" t="inlineStr">
        <is>
          <t>17/03/2026</t>
        </is>
      </c>
      <c r="J8334" s="10" t="inlineStr">
        <is>
          <t>Thực phẩm &amp; Đồ uống, Cơ khí / Ô tô / Tự động hóa, Điện / Điện tử / Điện lạnh / Điện công nghiệp</t>
        </is>
      </c>
      <c r="K8334" s="10" t="inlineStr">
        <is>
          <t>N/A</t>
        </is>
      </c>
      <c r="L8334" s="11">
        <f>HYPERLINK("https://careerviet.vn/vi/tim-viec-lam/nhan-vien-van-hanh-may.35C65987.html","Xem chi tiết")</f>
        <v/>
      </c>
      <c r="M8334" s="10" t="n"/>
    </row>
    <row r="8335">
      <c r="B8335" s="7" t="n">
        <v>8333</v>
      </c>
      <c r="C8335" t="inlineStr">
        <is>
          <t>Chuyên Viên Sáng Tạo Nội Dung (Video Content Creator)</t>
        </is>
      </c>
      <c r="D8335" t="inlineStr">
        <is>
          <t>Công Ty CP Chứng Khoán VNDIRECT</t>
        </is>
      </c>
      <c r="E8335" t="inlineStr">
        <is>
          <t>Lương:Cạnh tranh</t>
        </is>
      </c>
      <c r="F8335" t="inlineStr">
        <is>
          <t>Hà Nội</t>
        </is>
      </c>
      <c r="G8335" t="inlineStr">
        <is>
          <t>14-04-2026</t>
        </is>
      </c>
      <c r="H8335" t="inlineStr">
        <is>
          <t>14/04/2026</t>
        </is>
      </c>
      <c r="I8335" t="inlineStr">
        <is>
          <t>17/03/2026</t>
        </is>
      </c>
      <c r="J8335" t="inlineStr">
        <is>
          <t>Quảng cáo / Đối ngoại / Truyền Thông, Truyền hình / Báo chí / Biên tập</t>
        </is>
      </c>
      <c r="K8335" t="inlineStr">
        <is>
          <t>1 - 2 Năm</t>
        </is>
      </c>
      <c r="L8335" s="8">
        <f>HYPERLINK("https://careerviet.vn/vi/tim-viec-lam/chuyen-vien-sang-tao-noi-dung-video-content-creator.35C65954.html","Xem chi tiết")</f>
        <v/>
      </c>
    </row>
    <row r="8336">
      <c r="B8336" s="9" t="n">
        <v>8334</v>
      </c>
      <c r="C8336" s="10" t="inlineStr">
        <is>
          <t>Nhân viên thiết kế</t>
        </is>
      </c>
      <c r="D8336" s="10" t="inlineStr">
        <is>
          <t>Công Ty Cổ Phần Nhựa Hà Nội</t>
        </is>
      </c>
      <c r="E8336" s="10" t="inlineStr">
        <is>
          <t>Lương:12 Tr - 17 Tr VND</t>
        </is>
      </c>
      <c r="F8336" s="10" t="inlineStr">
        <is>
          <t>Hà Nội</t>
        </is>
      </c>
      <c r="G8336" s="10" t="inlineStr">
        <is>
          <t>14-04-2026</t>
        </is>
      </c>
      <c r="H8336" s="10" t="inlineStr">
        <is>
          <t>14/04/2026</t>
        </is>
      </c>
      <c r="I8336" s="10" t="inlineStr">
        <is>
          <t>17/03/2026</t>
        </is>
      </c>
      <c r="J8336" s="10" t="inlineStr">
        <is>
          <t>Cơ khí / Ô tô / Tự động hóa, Sản xuất / Vận hành sản xuất</t>
        </is>
      </c>
      <c r="K8336" s="10" t="inlineStr">
        <is>
          <t>1 - 5 Năm</t>
        </is>
      </c>
      <c r="L8336" s="11">
        <f>HYPERLINK("https://careerviet.vn/vi/tim-viec-lam/nhan-vien-thiet-ke.35C65962.html","Xem chi tiết")</f>
        <v/>
      </c>
      <c r="M8336" s="10" t="n"/>
    </row>
    <row r="8337">
      <c r="B8337" s="7" t="n">
        <v>8335</v>
      </c>
      <c r="C8337" t="inlineStr">
        <is>
          <t>Chuyên gia Phát triển năng lực</t>
        </is>
      </c>
      <c r="D8337" t="inlineStr">
        <is>
          <t>Ngân hàng TMCP Đại Chúng Việt Nam - PVcomBank</t>
        </is>
      </c>
      <c r="E8337" t="inlineStr">
        <is>
          <t>Lương:Cạnh tranh</t>
        </is>
      </c>
      <c r="F8337" t="inlineStr">
        <is>
          <t>Hà Nội</t>
        </is>
      </c>
      <c r="G8337" t="inlineStr">
        <is>
          <t>14-04-2026</t>
        </is>
      </c>
      <c r="H8337" t="inlineStr">
        <is>
          <t>14/04/2026</t>
        </is>
      </c>
      <c r="I8337" t="inlineStr">
        <is>
          <t>17/03/2026</t>
        </is>
      </c>
      <c r="J8337" t="inlineStr">
        <is>
          <t>Nhân sự, Ngân hàng</t>
        </is>
      </c>
      <c r="K8337" t="inlineStr">
        <is>
          <t>4 - 6 Năm</t>
        </is>
      </c>
      <c r="L8337" s="8">
        <f>HYPERLINK("https://careerviet.vn/vi/tim-viec-lam/chuyen-gia-phat-trien-nang-luc.35C65830.html","Xem chi tiết")</f>
        <v/>
      </c>
    </row>
    <row r="8338">
      <c r="B8338" s="9" t="n">
        <v>8336</v>
      </c>
      <c r="C8338" s="10" t="inlineStr">
        <is>
          <t>Nhân viên Thiết kế nội thất (Chuyên mảng Gỗ/Nhà gỗ)</t>
        </is>
      </c>
      <c r="D8338" s="10" t="inlineStr">
        <is>
          <t>Công Ty Cổ Phần Tân Vĩnh Cửu (Tavico group)</t>
        </is>
      </c>
      <c r="E8338" s="10" t="inlineStr">
        <is>
          <t>Lương:Cạnh tranh</t>
        </is>
      </c>
      <c r="F8338" s="10" t="inlineStr">
        <is>
          <t>Đồng Nai</t>
        </is>
      </c>
      <c r="G8338" s="10" t="inlineStr">
        <is>
          <t>14-04-2026</t>
        </is>
      </c>
      <c r="H8338" s="10" t="inlineStr">
        <is>
          <t>14/04/2026</t>
        </is>
      </c>
      <c r="I8338" s="10" t="inlineStr">
        <is>
          <t>17/03/2026</t>
        </is>
      </c>
      <c r="J8338" s="10" t="inlineStr">
        <is>
          <t>Mỹ thuật / Nghệ thuật / Thiết kế, Đồ gỗ, Kiến trúc</t>
        </is>
      </c>
      <c r="K8338" s="10" t="inlineStr">
        <is>
          <t>1 - 2 Năm</t>
        </is>
      </c>
      <c r="L8338" s="11">
        <f>HYPERLINK("https://careerviet.vn/vi/tim-viec-lam/nhan-vien-thiet-ke-noi-that-chuyen-mang-go-nha-go.35C6591C.html","Xem chi tiết")</f>
        <v/>
      </c>
      <c r="M8338" s="10" t="n"/>
    </row>
    <row r="8339">
      <c r="B8339" s="7" t="n">
        <v>8337</v>
      </c>
      <c r="C8339" t="inlineStr">
        <is>
          <t>Kỹ Sư Kỹ Thuật Thi Công</t>
        </is>
      </c>
      <c r="D8339" t="inlineStr">
        <is>
          <t>CÔNG TY CỔ PHẦN SEAREFICO</t>
        </is>
      </c>
      <c r="E8339" t="inlineStr">
        <is>
          <t>Lương:14 Tr - 19 Tr VND</t>
        </is>
      </c>
      <c r="F8339" t="inlineStr">
        <is>
          <t>Khánh HòaHồ Chí Minh</t>
        </is>
      </c>
      <c r="G8339" t="inlineStr">
        <is>
          <t>14-04-2026</t>
        </is>
      </c>
      <c r="H8339" t="inlineStr">
        <is>
          <t>14/04/2026</t>
        </is>
      </c>
      <c r="I8339" t="inlineStr">
        <is>
          <t>17/03/2026</t>
        </is>
      </c>
      <c r="J8339" t="inlineStr">
        <is>
          <t>Điện / Điện tử / Điện lạnh / Điện công nghiệp</t>
        </is>
      </c>
      <c r="K8339" t="inlineStr">
        <is>
          <t>1 - 5 Năm</t>
        </is>
      </c>
      <c r="L8339" s="8">
        <f>HYPERLINK("https://careerviet.vn/vi/tim-viec-lam/ky-su-ky-thuat-thi-cong.35C65865.html","Xem chi tiết")</f>
        <v/>
      </c>
    </row>
    <row r="8340">
      <c r="B8340" s="9" t="n">
        <v>8338</v>
      </c>
      <c r="C8340" s="10" t="inlineStr">
        <is>
          <t>General Accountant</t>
        </is>
      </c>
      <c r="D8340" s="10" t="inlineStr">
        <is>
          <t>Công Ty Avanti - Group</t>
        </is>
      </c>
      <c r="E8340" s="10" t="inlineStr">
        <is>
          <t>Lương:Cạnh tranh</t>
        </is>
      </c>
      <c r="F8340" s="10" t="inlineStr">
        <is>
          <t>Hồ Chí Minh</t>
        </is>
      </c>
      <c r="G8340" s="10" t="inlineStr">
        <is>
          <t>14-04-2026</t>
        </is>
      </c>
      <c r="H8340" s="10" t="inlineStr">
        <is>
          <t>14/04/2026</t>
        </is>
      </c>
      <c r="I8340" s="10" t="inlineStr">
        <is>
          <t>17/03/2026</t>
        </is>
      </c>
      <c r="J8340" s="10" t="inlineStr">
        <is>
          <t>Kế toán / Kiểm toán</t>
        </is>
      </c>
      <c r="K8340" s="10" t="inlineStr">
        <is>
          <t>6 - 10 Năm</t>
        </is>
      </c>
      <c r="L8340" s="11">
        <f>HYPERLINK("https://careerviet.vn/vi/tim-viec-lam/general-accountant.35C65928.html","Xem chi tiết")</f>
        <v/>
      </c>
      <c r="M8340" s="10" t="n"/>
    </row>
    <row r="8341">
      <c r="B8341" s="7" t="n">
        <v>8339</v>
      </c>
      <c r="C8341" t="inlineStr">
        <is>
          <t>Chuyên Viên Phát Triển Kinh Doanh (B2B – Quà Tặng Doanh Nghiệp)</t>
        </is>
      </c>
      <c r="D8341" t="inlineStr">
        <is>
          <t>CÔNG TY TNHH SẢN XUẤT VÀ THƯƠNG MẠI INOVINA</t>
        </is>
      </c>
      <c r="E8341" t="inlineStr">
        <is>
          <t>Lương:10 Tr - 30 Tr VND</t>
        </is>
      </c>
      <c r="F8341" t="inlineStr">
        <is>
          <t>Hồ Chí Minh</t>
        </is>
      </c>
      <c r="G8341" t="inlineStr">
        <is>
          <t>14-04-2026</t>
        </is>
      </c>
      <c r="H8341" t="inlineStr">
        <is>
          <t>14/04/2026</t>
        </is>
      </c>
      <c r="I8341" t="inlineStr">
        <is>
          <t>17/03/2026</t>
        </is>
      </c>
      <c r="J8341" t="inlineStr">
        <is>
          <t>Tiếp thị / Marketing, Bán lẻ / Bán sỉ, Bán hàng / Kinh doanh</t>
        </is>
      </c>
      <c r="K8341" t="inlineStr">
        <is>
          <t>Trên 2 Năm</t>
        </is>
      </c>
      <c r="L8341" s="8">
        <f>HYPERLINK("https://careerviet.vn/vi/tim-viec-lam/chuyen-vien-phat-trien-kinh-doanh-b2b-qua-tang-doanh-nghiep.35C6580E.html","Xem chi tiết")</f>
        <v/>
      </c>
    </row>
    <row r="8342">
      <c r="B8342" s="9" t="n">
        <v>8340</v>
      </c>
      <c r="C8342" s="10" t="inlineStr">
        <is>
          <t>Mẫu livestream - Tân Bình</t>
        </is>
      </c>
      <c r="D8342" s="10" t="inlineStr">
        <is>
          <t>Công ty CP Toshiko Việt Nam</t>
        </is>
      </c>
      <c r="E8342" s="10" t="inlineStr">
        <is>
          <t>Lương:10 Tr - 25 Tr VND</t>
        </is>
      </c>
      <c r="F8342" s="10" t="inlineStr">
        <is>
          <t>Hồ Chí Minh</t>
        </is>
      </c>
      <c r="G8342" s="10" t="inlineStr">
        <is>
          <t>14-04-2026</t>
        </is>
      </c>
      <c r="H8342" s="10" t="inlineStr">
        <is>
          <t>14/04/2026</t>
        </is>
      </c>
      <c r="I8342" s="10" t="inlineStr">
        <is>
          <t>17/03/2026</t>
        </is>
      </c>
      <c r="J8342" s="10" t="inlineStr">
        <is>
          <t>Tiếp thị / Marketing</t>
        </is>
      </c>
      <c r="K8342" s="10" t="inlineStr">
        <is>
          <t>N/A</t>
        </is>
      </c>
      <c r="L8342" s="11">
        <f>HYPERLINK("https://careerviet.vn/vi/tim-viec-lam/mau-livestream-tan-binh.35C6592F.html","Xem chi tiết")</f>
        <v/>
      </c>
      <c r="M8342" s="10" t="n"/>
    </row>
    <row r="8343">
      <c r="B8343" s="7" t="n">
        <v>8341</v>
      </c>
      <c r="C8343" t="inlineStr">
        <is>
          <t>Production Supervisor (Nhà máy Hà Nam/Ninh Bình)</t>
        </is>
      </c>
      <c r="D8343" t="inlineStr">
        <is>
          <t>PepsiCo Foods Vietnam Company</t>
        </is>
      </c>
      <c r="E8343" t="inlineStr">
        <is>
          <t>Lương:Cạnh tranh</t>
        </is>
      </c>
      <c r="F8343" t="inlineStr">
        <is>
          <t>Hà NamHà NộiHưng Yên</t>
        </is>
      </c>
      <c r="G8343" t="inlineStr">
        <is>
          <t>14-04-2026</t>
        </is>
      </c>
      <c r="H8343" t="inlineStr">
        <is>
          <t>14/04/2026</t>
        </is>
      </c>
      <c r="I8343" t="inlineStr">
        <is>
          <t>17/03/2026</t>
        </is>
      </c>
      <c r="J8343" t="inlineStr">
        <is>
          <t>Thực phẩm &amp; Đồ uống</t>
        </is>
      </c>
      <c r="K8343" t="inlineStr">
        <is>
          <t>2 - 5 Năm</t>
        </is>
      </c>
      <c r="L8343" s="8">
        <f>HYPERLINK("https://careerviet.vn/vi/tim-viec-lam/production-supervisor-nha-may-ha-nam-ninh-binh.35C658F5.html","Xem chi tiết")</f>
        <v/>
      </c>
    </row>
    <row r="8344">
      <c r="B8344" s="9" t="n">
        <v>8342</v>
      </c>
      <c r="C8344" s="10" t="inlineStr">
        <is>
          <t>NHÂN VIÊN KỸ THUẬT THI CÔNG HIỆN TRƯỜNG</t>
        </is>
      </c>
      <c r="D8344" s="10" t="inlineStr">
        <is>
          <t>CÔNG TY TNHH THIẾT BỊ HT VIỆT NAM</t>
        </is>
      </c>
      <c r="E8344" s="10" t="inlineStr">
        <is>
          <t>Lương:15 Tr - 20 Tr VND</t>
        </is>
      </c>
      <c r="F8344" s="10" t="inlineStr">
        <is>
          <t>Hà Nội</t>
        </is>
      </c>
      <c r="G8344" s="10" t="inlineStr">
        <is>
          <t>14-04-2026</t>
        </is>
      </c>
      <c r="H8344" s="10" t="inlineStr">
        <is>
          <t>14/04/2026</t>
        </is>
      </c>
      <c r="I8344" s="10" t="inlineStr">
        <is>
          <t>17/03/2026</t>
        </is>
      </c>
      <c r="J8344" s="10" t="inlineStr">
        <is>
          <t>Cơ khí / Ô tô / Tự động hóa, Điện / Điện tử / Điện lạnh / Điện công nghiệp, Bảo trì / Sửa chữa</t>
        </is>
      </c>
      <c r="K8344" s="10" t="inlineStr">
        <is>
          <t>1 - 2 Năm</t>
        </is>
      </c>
      <c r="L8344" s="11">
        <f>HYPERLINK("https://careerviet.vn/vi/tim-viec-lam/nhan-vien-ky-thuat-thi-cong-hien-truong.35C657FD.html","Xem chi tiết")</f>
        <v/>
      </c>
      <c r="M8344" s="10" t="n"/>
    </row>
    <row r="8345">
      <c r="B8345" s="7" t="n">
        <v>8343</v>
      </c>
      <c r="C8345" t="inlineStr">
        <is>
          <t>Chuyên Viên Quan Hệ Khách Hàng Doanh Nghiệp - Toàn Quốc (Thu nhập hấp dẫn)</t>
        </is>
      </c>
      <c r="D8345" t="inlineStr">
        <is>
          <t>Ngân hàng TMCP Việt Á – VietABank</t>
        </is>
      </c>
      <c r="E8345" t="inlineStr">
        <is>
          <t>Lương:10 Tr - 30 Tr VND</t>
        </is>
      </c>
      <c r="F8345" t="inlineStr">
        <is>
          <t>Hồ Chí MinhCần ThơHà Nội</t>
        </is>
      </c>
      <c r="G8345" t="inlineStr">
        <is>
          <t>14-04-2026</t>
        </is>
      </c>
      <c r="H8345" t="inlineStr">
        <is>
          <t>14/04/2026</t>
        </is>
      </c>
      <c r="I8345" t="inlineStr">
        <is>
          <t>17/03/2026</t>
        </is>
      </c>
      <c r="J8345" t="inlineStr">
        <is>
          <t>Ngân hàng, Bảo hiểm, Bất động sản</t>
        </is>
      </c>
      <c r="K8345" t="inlineStr">
        <is>
          <t>Trên 1 Năm</t>
        </is>
      </c>
      <c r="L8345" s="8">
        <f>HYPERLINK("https://careerviet.vn/vi/tim-viec-lam/chuyen-vien-quan-he-khach-hang-doanh-nghiep-toan-quoc-thu-nhap-hap-dan.35C65949.html","Xem chi tiết")</f>
        <v/>
      </c>
    </row>
    <row r="8346">
      <c r="B8346" s="9" t="n">
        <v>8344</v>
      </c>
      <c r="C8346" s="10" t="inlineStr">
        <is>
          <t>BẾP TRƯỞNG</t>
        </is>
      </c>
      <c r="D8346" s="10" t="inlineStr">
        <is>
          <t>TỔNG CÔNG TY CỔ PHẦN THƯƠNG MẠI XÂY DỰNG</t>
        </is>
      </c>
      <c r="E8346" s="10" t="inlineStr">
        <is>
          <t>Lương:20 Tr - 25 Tr VND</t>
        </is>
      </c>
      <c r="F8346" s="10" t="inlineStr">
        <is>
          <t>Hà Nội</t>
        </is>
      </c>
      <c r="G8346" s="10" t="inlineStr">
        <is>
          <t>14-04-2026</t>
        </is>
      </c>
      <c r="H8346" s="10" t="inlineStr">
        <is>
          <t>14/04/2026</t>
        </is>
      </c>
      <c r="I8346" s="10" t="inlineStr">
        <is>
          <t>17/03/2026</t>
        </is>
      </c>
      <c r="J8346" s="10" t="inlineStr">
        <is>
          <t>Công nghệ thực phẩm / Dinh dưỡng</t>
        </is>
      </c>
      <c r="K8346" s="10" t="inlineStr">
        <is>
          <t>3 - 5 Năm</t>
        </is>
      </c>
      <c r="L8346" s="11">
        <f>HYPERLINK("https://careerviet.vn/vi/tim-viec-lam/bep-truong.35C6596C.html","Xem chi tiết")</f>
        <v/>
      </c>
      <c r="M8346" s="10" t="n"/>
    </row>
    <row r="8347">
      <c r="B8347" s="7" t="n">
        <v>8345</v>
      </c>
      <c r="C8347" t="inlineStr">
        <is>
          <t>NHÂN VIÊN KINH DOANH THỊ TRƯỜNG</t>
        </is>
      </c>
      <c r="D8347" t="inlineStr">
        <is>
          <t>CÔNG TY TNHH NHẤT LỘ PHÁT 168</t>
        </is>
      </c>
      <c r="E8347" t="inlineStr">
        <is>
          <t>Lương:12 Tr - 20 Tr VND</t>
        </is>
      </c>
      <c r="F8347" t="inlineStr">
        <is>
          <t>Bình Dương</t>
        </is>
      </c>
      <c r="G8347" t="inlineStr">
        <is>
          <t>14-04-2026</t>
        </is>
      </c>
      <c r="H8347" t="inlineStr">
        <is>
          <t>14/04/2026</t>
        </is>
      </c>
      <c r="I8347" t="inlineStr">
        <is>
          <t>17/03/2026</t>
        </is>
      </c>
      <c r="J8347" t="inlineStr">
        <is>
          <t>Bán lẻ / Bán sỉ, Bán hàng / Kinh doanh, Bán Hàng Kỹ Thuật</t>
        </is>
      </c>
      <c r="K8347" t="inlineStr">
        <is>
          <t>Trên 1 Năm</t>
        </is>
      </c>
      <c r="L8347" s="8">
        <f>HYPERLINK("https://careerviet.vn/vi/tim-viec-lam/nhan-vien-kinh-doanh-thi-truong.35C659A8.html","Xem chi tiết")</f>
        <v/>
      </c>
    </row>
    <row r="8348">
      <c r="B8348" s="9" t="n">
        <v>8346</v>
      </c>
      <c r="C8348" s="10" t="inlineStr">
        <is>
          <t>Nhân Viên sữa chữa khuôn</t>
        </is>
      </c>
      <c r="D8348" s="10" t="inlineStr">
        <is>
          <t>Công Ty Cổ Phần Nhựa Hà Nội</t>
        </is>
      </c>
      <c r="E8348" s="10" t="inlineStr">
        <is>
          <t>Lương:14 Tr - 18 Tr VND</t>
        </is>
      </c>
      <c r="F8348" s="10" t="inlineStr">
        <is>
          <t>Hà Nội</t>
        </is>
      </c>
      <c r="G8348" s="10" t="inlineStr">
        <is>
          <t>14-04-2026</t>
        </is>
      </c>
      <c r="H8348" s="10" t="inlineStr">
        <is>
          <t>14/04/2026</t>
        </is>
      </c>
      <c r="I8348" s="10" t="inlineStr">
        <is>
          <t>17/03/2026</t>
        </is>
      </c>
      <c r="J8348" s="10" t="inlineStr">
        <is>
          <t>Bảo trì / Sửa chữa, Sản xuất / Vận hành sản xuất</t>
        </is>
      </c>
      <c r="K8348" s="10" t="inlineStr">
        <is>
          <t>1 - 5 Năm</t>
        </is>
      </c>
      <c r="L8348" s="11">
        <f>HYPERLINK("https://careerviet.vn/vi/tim-viec-lam/nhan-vien-sua-chua-khuon.35C6595F.html","Xem chi tiết")</f>
        <v/>
      </c>
      <c r="M8348" s="10" t="n"/>
    </row>
    <row r="8349">
      <c r="B8349" s="7" t="n">
        <v>8347</v>
      </c>
      <c r="C8349" t="inlineStr">
        <is>
          <t>TRỢ LÝ TỔNG GIÁM ĐỐC – PHIÊN DỊCH TIẾNG TRUNG</t>
        </is>
      </c>
      <c r="D8349" t="inlineStr">
        <is>
          <t>Công Ty Cổ Phần Tân Vĩnh Cửu (Tavico group)</t>
        </is>
      </c>
      <c r="E8349" t="inlineStr">
        <is>
          <t>Lương:Cạnh tranh</t>
        </is>
      </c>
      <c r="F8349" t="inlineStr">
        <is>
          <t>Đồng Nai</t>
        </is>
      </c>
      <c r="G8349" t="inlineStr">
        <is>
          <t>14-04-2026</t>
        </is>
      </c>
      <c r="H8349" t="inlineStr">
        <is>
          <t>14/04/2026</t>
        </is>
      </c>
      <c r="I8349" t="inlineStr">
        <is>
          <t>17/03/2026</t>
        </is>
      </c>
      <c r="J8349" t="inlineStr">
        <is>
          <t>Quản lý điều hành, Biên phiên dịch</t>
        </is>
      </c>
      <c r="K8349" t="inlineStr">
        <is>
          <t>3 - 5 Năm</t>
        </is>
      </c>
      <c r="L8349" s="8">
        <f>HYPERLINK("https://careerviet.vn/vi/tim-viec-lam/tro-ly-tong-giam-doc-phien-dich-tieng-trung.35C65991.html","Xem chi tiết")</f>
        <v/>
      </c>
    </row>
    <row r="8350">
      <c r="B8350" s="9" t="n">
        <v>8348</v>
      </c>
      <c r="C8350" s="10" t="inlineStr">
        <is>
          <t>SALES ENGINEER</t>
        </is>
      </c>
      <c r="D8350" s="10" t="inlineStr">
        <is>
          <t>CÔNG TY TNHH THIỀN</t>
        </is>
      </c>
      <c r="E8350" s="10" t="inlineStr">
        <is>
          <t>Lương:15 Tr - 25 Tr VND</t>
        </is>
      </c>
      <c r="F8350" s="10" t="inlineStr">
        <is>
          <t>Hà Nội</t>
        </is>
      </c>
      <c r="G8350" s="10" t="inlineStr">
        <is>
          <t>14-04-2026</t>
        </is>
      </c>
      <c r="H8350" s="10" t="inlineStr">
        <is>
          <t>14/04/2026</t>
        </is>
      </c>
      <c r="I8350" s="10" t="inlineStr">
        <is>
          <t>17/03/2026</t>
        </is>
      </c>
      <c r="J8350" s="10" t="inlineStr">
        <is>
          <t>Bán Hàng Kỹ Thuật</t>
        </is>
      </c>
      <c r="K8350" s="10" t="inlineStr">
        <is>
          <t>1 - 3 Năm</t>
        </is>
      </c>
      <c r="L8350" s="11">
        <f>HYPERLINK("https://careerviet.vn/vi/tim-viec-lam/sales-engineer.35C657FF.html","Xem chi tiết")</f>
        <v/>
      </c>
      <c r="M8350" s="10" t="n"/>
    </row>
    <row r="8351">
      <c r="B8351" s="7" t="n">
        <v>8349</v>
      </c>
      <c r="C8351" t="inlineStr">
        <is>
          <t>Tài xế lái xe container</t>
        </is>
      </c>
      <c r="D8351" t="inlineStr">
        <is>
          <t>S.F. EXPRESS LTD.</t>
        </is>
      </c>
      <c r="E8351" t="inlineStr">
        <is>
          <t>Lương:15 Tr - 20 Tr VND</t>
        </is>
      </c>
      <c r="F8351" t="inlineStr">
        <is>
          <t>Bình Dương</t>
        </is>
      </c>
      <c r="G8351" t="inlineStr">
        <is>
          <t>14-04-2026</t>
        </is>
      </c>
      <c r="H8351" t="inlineStr">
        <is>
          <t>14/04/2026</t>
        </is>
      </c>
      <c r="I8351" t="inlineStr">
        <is>
          <t>17/03/2026</t>
        </is>
      </c>
      <c r="J8351" t="inlineStr">
        <is>
          <t>Vận chuyển / Giao nhận / Kho vận, Xuất nhập khẩu, Dịch vụ khách hàng</t>
        </is>
      </c>
      <c r="K8351" t="inlineStr">
        <is>
          <t>2 - 3 Năm</t>
        </is>
      </c>
      <c r="L8351" s="8">
        <f>HYPERLINK("https://careerviet.vn/vi/tim-viec-lam/tai-xe-lai-xe-container.35C659DC.html","Xem chi tiết")</f>
        <v/>
      </c>
    </row>
    <row r="8352">
      <c r="B8352" s="9" t="n">
        <v>8350</v>
      </c>
      <c r="C8352" s="10" t="inlineStr">
        <is>
          <t>Kỹ Sư Công Nghệ Vật Liệu</t>
        </is>
      </c>
      <c r="D8352" s="10" t="inlineStr">
        <is>
          <t>Tổng Công ty Sản xuất thiết bị Viettel - Tập đoàn Công nghiệp -  Viễn thông Quân đội (VIETTEL)</t>
        </is>
      </c>
      <c r="E8352" s="10" t="inlineStr">
        <is>
          <t>Lương:15 Tr - 30 Tr VND</t>
        </is>
      </c>
      <c r="F8352" s="10" t="inlineStr">
        <is>
          <t>Hà Nội</t>
        </is>
      </c>
      <c r="G8352" s="10" t="inlineStr">
        <is>
          <t>14-04-2026</t>
        </is>
      </c>
      <c r="H8352" s="10" t="inlineStr">
        <is>
          <t>14/04/2026</t>
        </is>
      </c>
      <c r="I8352" s="10" t="inlineStr">
        <is>
          <t>17/03/2026</t>
        </is>
      </c>
      <c r="J8352" s="10" t="inlineStr">
        <is>
          <t>Cơ khí / Ô tô / Tự động hóa</t>
        </is>
      </c>
      <c r="K8352" s="10" t="inlineStr">
        <is>
          <t>Lên đến 3 Năm</t>
        </is>
      </c>
      <c r="L8352" s="11">
        <f>HYPERLINK("https://careerviet.vn/vi/tim-viec-lam/ky-su-cong-nghe-vat-lieu.35C65605.html","Xem chi tiết")</f>
        <v/>
      </c>
      <c r="M8352" s="10" t="n"/>
    </row>
    <row r="8353">
      <c r="B8353" s="7" t="n">
        <v>8351</v>
      </c>
      <c r="C8353" t="inlineStr">
        <is>
          <t>Trưởng Phòng Thiết Kế Nội Thất</t>
        </is>
      </c>
      <c r="D8353" t="inlineStr">
        <is>
          <t>CÔNG TY CỔ PHẦN TẬP ĐOÀN HAMIER VIỆT NAM - LG CLINIC</t>
        </is>
      </c>
      <c r="E8353" t="inlineStr">
        <is>
          <t>Lương:Cạnh tranh</t>
        </is>
      </c>
      <c r="F8353" t="inlineStr">
        <is>
          <t>Hồ Chí Minh</t>
        </is>
      </c>
      <c r="G8353" t="inlineStr">
        <is>
          <t>14-04-2026</t>
        </is>
      </c>
      <c r="H8353" t="inlineStr">
        <is>
          <t>14/04/2026</t>
        </is>
      </c>
      <c r="I8353" t="inlineStr">
        <is>
          <t>17/03/2026</t>
        </is>
      </c>
      <c r="J8353" t="inlineStr">
        <is>
          <t>Kiến trúc, Nội ngoại thất</t>
        </is>
      </c>
      <c r="K8353" t="inlineStr">
        <is>
          <t>3 - 5 Năm</t>
        </is>
      </c>
      <c r="L8353" s="8">
        <f>HYPERLINK("https://careerviet.vn/vi/tim-viec-lam/truong-phong-thiet-ke-noi-that.35C65914.html","Xem chi tiết")</f>
        <v/>
      </c>
    </row>
    <row r="8354">
      <c r="B8354" s="9" t="n">
        <v>8352</v>
      </c>
      <c r="C8354" s="10" t="inlineStr">
        <is>
          <t>Kỹ Sư Shop Drawing</t>
        </is>
      </c>
      <c r="D8354" s="10" t="inlineStr">
        <is>
          <t>CÔNG TY CỔ PHẦN SEAREFICO</t>
        </is>
      </c>
      <c r="E8354" s="10" t="inlineStr">
        <is>
          <t>Lương:12 Tr - 20 Tr VND</t>
        </is>
      </c>
      <c r="F8354" s="10" t="inlineStr">
        <is>
          <t>Hồ Chí MinhHưng YênQuảng Ninh</t>
        </is>
      </c>
      <c r="G8354" s="10" t="inlineStr">
        <is>
          <t>14-04-2026</t>
        </is>
      </c>
      <c r="H8354" s="10" t="inlineStr">
        <is>
          <t>14/04/2026</t>
        </is>
      </c>
      <c r="I8354" s="10" t="inlineStr">
        <is>
          <t>17/03/2026</t>
        </is>
      </c>
      <c r="J8354" s="10" t="inlineStr">
        <is>
          <t>Xây dựng, Điện / Điện tử / Điện lạnh / Điện công nghiệp</t>
        </is>
      </c>
      <c r="K8354" s="10" t="inlineStr">
        <is>
          <t>1 - 5 Năm</t>
        </is>
      </c>
      <c r="L8354" s="11">
        <f>HYPERLINK("https://careerviet.vn/vi/tim-viec-lam/ky-su-shop-drawing.35C65835.html","Xem chi tiết")</f>
        <v/>
      </c>
      <c r="M8354" s="10" t="n"/>
    </row>
    <row r="8355">
      <c r="B8355" s="7" t="n">
        <v>8353</v>
      </c>
      <c r="C8355" t="inlineStr">
        <is>
          <t>Nhân viên phát triển kinh doanh thu nhập lên tới 40 triệu/tháng</t>
        </is>
      </c>
      <c r="D8355" t="inlineStr">
        <is>
          <t>Chương trình Học viện Công nghệ BKACAD</t>
        </is>
      </c>
      <c r="E8355" t="inlineStr">
        <is>
          <t>Lương:20 Tr - 40 Tr VND</t>
        </is>
      </c>
      <c r="F8355" t="inlineStr">
        <is>
          <t>Hà Nội</t>
        </is>
      </c>
      <c r="G8355" t="inlineStr">
        <is>
          <t>14-04-2026</t>
        </is>
      </c>
      <c r="H8355" t="inlineStr">
        <is>
          <t>14/04/2026</t>
        </is>
      </c>
      <c r="I8355" t="inlineStr">
        <is>
          <t>17/03/2026</t>
        </is>
      </c>
      <c r="J8355" t="inlineStr">
        <is>
          <t>Bán hàng / Kinh doanh, Tư vấn, Giáo dục / Đào tạo</t>
        </is>
      </c>
      <c r="K8355" t="inlineStr">
        <is>
          <t>1 - 3 Năm</t>
        </is>
      </c>
      <c r="L8355" s="8">
        <f>HYPERLINK("https://careerviet.vn/vi/tim-viec-lam/nhan-vien-phat-trien-kinh-doanh-thu-nhap-len-toi-40-trieu-thang.35C658AF.html","Xem chi tiết")</f>
        <v/>
      </c>
    </row>
    <row r="8356">
      <c r="B8356" s="9" t="n">
        <v>8354</v>
      </c>
      <c r="C8356" s="10" t="inlineStr">
        <is>
          <t>Chuyên Viên Quan Hệ Khách Hàng Cá Nhân - Khu vực miền Bắc</t>
        </is>
      </c>
      <c r="D8356" s="10" t="inlineStr">
        <is>
          <t>Ngân hàng TMCP Phát triển TP.HCM (HDBank)</t>
        </is>
      </c>
      <c r="E8356" s="10" t="inlineStr">
        <is>
          <t>Lương:Cạnh tranh</t>
        </is>
      </c>
      <c r="F8356" s="10" t="inlineStr">
        <is>
          <t>Cao BằngLào CaiLạng Sơn</t>
        </is>
      </c>
      <c r="G8356" s="10" t="inlineStr">
        <is>
          <t>14-04-2026</t>
        </is>
      </c>
      <c r="H8356" s="10" t="inlineStr">
        <is>
          <t>14/04/2026</t>
        </is>
      </c>
      <c r="I8356" s="10" t="inlineStr">
        <is>
          <t>17/03/2026</t>
        </is>
      </c>
      <c r="J8356" s="10" t="inlineStr">
        <is>
          <t>Bán hàng / Kinh doanh, Ngân hàng, Tài chính / Đầu tư</t>
        </is>
      </c>
      <c r="K8356" s="10" t="inlineStr">
        <is>
          <t>Chưa có kinh nghiệm</t>
        </is>
      </c>
      <c r="L8356" s="11">
        <f>HYPERLINK("https://careerviet.vn/vi/tim-viec-lam/chuyen-vien-quan-he-khach-hang-ca-nhan-khu-vuc-mien-bac.35C65410.html","Xem chi tiết")</f>
        <v/>
      </c>
      <c r="M8356" s="10" t="n"/>
    </row>
    <row r="8357">
      <c r="B8357" s="7" t="n">
        <v>8355</v>
      </c>
      <c r="C8357" t="inlineStr">
        <is>
          <t>Coworking Sales Executive ( Thu nhập từ 12 - 20 Triệu )</t>
        </is>
      </c>
      <c r="D8357" t="inlineStr">
        <is>
          <t>CÔNG TY TNHH THƯƠNG MẠI DỊCH VỤ TINI OFFICE</t>
        </is>
      </c>
      <c r="E8357" t="inlineStr">
        <is>
          <t>Lương:12 Tr - 20 Tr VND</t>
        </is>
      </c>
      <c r="F8357" t="inlineStr">
        <is>
          <t>Hồ Chí Minh</t>
        </is>
      </c>
      <c r="G8357" t="inlineStr">
        <is>
          <t>14-04-2026</t>
        </is>
      </c>
      <c r="H8357" t="inlineStr">
        <is>
          <t>14/04/2026</t>
        </is>
      </c>
      <c r="I8357" t="inlineStr">
        <is>
          <t>17/03/2026</t>
        </is>
      </c>
      <c r="J8357" t="inlineStr">
        <is>
          <t>Bán hàng / Kinh doanh, Dịch vụ khách hàng, Bất động sản</t>
        </is>
      </c>
      <c r="K8357" t="inlineStr">
        <is>
          <t>1 - 2 Năm</t>
        </is>
      </c>
      <c r="L8357" s="8">
        <f>HYPERLINK("https://careerviet.vn/vi/tim-viec-lam/coworking-sales-executive-thu-nhap-tu-12-20-trieu.35C65934.html","Xem chi tiết")</f>
        <v/>
      </c>
    </row>
    <row r="8358">
      <c r="B8358" s="9" t="n">
        <v>8356</v>
      </c>
      <c r="C8358" s="10" t="inlineStr">
        <is>
          <t>BIM Leader</t>
        </is>
      </c>
      <c r="D8358" s="10" t="inlineStr">
        <is>
          <t>CÔNG TY TNHH THIỀN</t>
        </is>
      </c>
      <c r="E8358" s="10" t="inlineStr">
        <is>
          <t>Lương:25 Tr - 35 Tr VND</t>
        </is>
      </c>
      <c r="F8358" s="10" t="inlineStr">
        <is>
          <t>Hà Nội</t>
        </is>
      </c>
      <c r="G8358" s="10" t="inlineStr">
        <is>
          <t>14-04-2026</t>
        </is>
      </c>
      <c r="H8358" s="10" t="inlineStr">
        <is>
          <t>14/04/2026</t>
        </is>
      </c>
      <c r="I8358" s="10" t="inlineStr">
        <is>
          <t>17/03/2026</t>
        </is>
      </c>
      <c r="J8358" s="10" t="inlineStr">
        <is>
          <t>Kiến trúc</t>
        </is>
      </c>
      <c r="K8358" s="10" t="inlineStr">
        <is>
          <t>3 - 5 Năm</t>
        </is>
      </c>
      <c r="L8358" s="11">
        <f>HYPERLINK("https://careerviet.vn/vi/tim-viec-lam/bim-leader.35C65808.html","Xem chi tiết")</f>
        <v/>
      </c>
      <c r="M8358" s="10" t="n"/>
    </row>
    <row r="8359">
      <c r="B8359" s="7" t="n">
        <v>8357</v>
      </c>
      <c r="C8359" t="inlineStr">
        <is>
          <t>Chuyên Viên Cao Cấp/Giám Đốc Quan Hệ Khách Hàng Ưu Tiên (Toàn Quốc)</t>
        </is>
      </c>
      <c r="D8359" t="inlineStr">
        <is>
          <t>Ngân Hàng TMCP Phương Đông - OCB</t>
        </is>
      </c>
      <c r="E8359" t="inlineStr">
        <is>
          <t>Lương:Cạnh tranh</t>
        </is>
      </c>
      <c r="F8359" t="inlineStr">
        <is>
          <t>Hồ Chí Minh</t>
        </is>
      </c>
      <c r="G8359" t="inlineStr">
        <is>
          <t>14-04-2026</t>
        </is>
      </c>
      <c r="H8359" t="inlineStr">
        <is>
          <t>14/04/2026</t>
        </is>
      </c>
      <c r="I8359" t="inlineStr">
        <is>
          <t>17/03/2026</t>
        </is>
      </c>
      <c r="J8359" t="inlineStr">
        <is>
          <t>Ngân hàng</t>
        </is>
      </c>
      <c r="K8359" t="inlineStr">
        <is>
          <t>2 - 5 Năm</t>
        </is>
      </c>
      <c r="L8359" s="8">
        <f>HYPERLINK("https://careerviet.vn/vi/tim-viec-lam/chuyen-vien-cao-cap-giam-doc-quan-he-khach-hang-uu-tien-toan-quoc.35C65887.html","Xem chi tiết")</f>
        <v/>
      </c>
    </row>
    <row r="8360">
      <c r="B8360" s="9" t="n">
        <v>8358</v>
      </c>
      <c r="C8360" s="10" t="inlineStr">
        <is>
          <t>Lao động kĩ thuật- Giám đốc phát triển sản phẩm</t>
        </is>
      </c>
      <c r="D8360" s="10" t="inlineStr">
        <is>
          <t>Công ty TNHH GIVI VIỆT NAM</t>
        </is>
      </c>
      <c r="E8360" s="10" t="inlineStr">
        <is>
          <t>Lương:Cạnh tranh</t>
        </is>
      </c>
      <c r="F8360" s="10" t="inlineStr">
        <is>
          <t>Long An</t>
        </is>
      </c>
      <c r="G8360" s="10" t="inlineStr">
        <is>
          <t>14-04-2026</t>
        </is>
      </c>
      <c r="H8360" s="10" t="inlineStr">
        <is>
          <t>14/04/2026</t>
        </is>
      </c>
      <c r="I8360" s="10" t="inlineStr">
        <is>
          <t>17/03/2026</t>
        </is>
      </c>
      <c r="J8360" s="10" t="inlineStr">
        <is>
          <t>Dệt may / Da giày / Thời trang</t>
        </is>
      </c>
      <c r="K8360" s="10" t="inlineStr">
        <is>
          <t>Trên 2 Năm</t>
        </is>
      </c>
      <c r="L8360" s="11">
        <f>HYPERLINK("https://careerviet.vn/vi/tim-viec-lam/lao-dong-ki-thuat-giam-doc-phat-trien-san-pham.35C65833.html","Xem chi tiết")</f>
        <v/>
      </c>
      <c r="M8360" s="10" t="n"/>
    </row>
    <row r="8361">
      <c r="B8361" s="7" t="n">
        <v>8359</v>
      </c>
      <c r="C8361" t="inlineStr">
        <is>
          <t>VMD Design Assistant Manager</t>
        </is>
      </c>
      <c r="D8361" t="inlineStr">
        <is>
          <t>LOTTE VIETNAM SHOPPING JOINT STOCK COMPANY</t>
        </is>
      </c>
      <c r="E8361" t="inlineStr">
        <is>
          <t>Lương:Cạnh tranh</t>
        </is>
      </c>
      <c r="F8361" t="inlineStr">
        <is>
          <t>Hồ Chí Minh</t>
        </is>
      </c>
      <c r="G8361" t="inlineStr">
        <is>
          <t>14-04-2026</t>
        </is>
      </c>
      <c r="H8361" t="inlineStr">
        <is>
          <t>14/04/2026</t>
        </is>
      </c>
      <c r="I8361" t="inlineStr">
        <is>
          <t>17/03/2026</t>
        </is>
      </c>
      <c r="J8361" t="inlineStr">
        <is>
          <t>Bán lẻ / Bán sỉ, Mỹ thuật / Nghệ thuật / Thiết kế</t>
        </is>
      </c>
      <c r="K8361" t="inlineStr">
        <is>
          <t>3 - 5 Năm</t>
        </is>
      </c>
      <c r="L8361" s="8">
        <f>HYPERLINK("https://careerviet.vn/vi/tim-viec-lam/vmd-design-assistant-manager.35C658BC.html","Xem chi tiết")</f>
        <v/>
      </c>
    </row>
    <row r="8362">
      <c r="B8362" s="9" t="n">
        <v>8360</v>
      </c>
      <c r="C8362" s="10" t="inlineStr">
        <is>
          <t>Nhân viên kinh doanh bánh</t>
        </is>
      </c>
      <c r="D8362" s="10" t="inlineStr">
        <is>
          <t>Công ty TNHH Cobi One</t>
        </is>
      </c>
      <c r="E8362" s="10" t="inlineStr">
        <is>
          <t>Lương:15 Tr - 20 Tr VND</t>
        </is>
      </c>
      <c r="F8362" s="10" t="inlineStr">
        <is>
          <t>Hồ Chí Minh</t>
        </is>
      </c>
      <c r="G8362" s="10" t="inlineStr">
        <is>
          <t>14-04-2026</t>
        </is>
      </c>
      <c r="H8362" s="10" t="inlineStr">
        <is>
          <t>14/04/2026</t>
        </is>
      </c>
      <c r="I8362" s="10" t="inlineStr">
        <is>
          <t>17/03/2026</t>
        </is>
      </c>
      <c r="J8362" s="10" t="inlineStr">
        <is>
          <t>Bán hàng / Kinh doanh</t>
        </is>
      </c>
      <c r="K8362" s="10" t="inlineStr">
        <is>
          <t>2 - 4 Năm</t>
        </is>
      </c>
      <c r="L8362" s="11">
        <f>HYPERLINK("https://careerviet.vn/vi/tim-viec-lam/nhan-vien-kinh-doanh-banh.35C65871.html","Xem chi tiết")</f>
        <v/>
      </c>
      <c r="M8362" s="10" t="n"/>
    </row>
    <row r="8363">
      <c r="B8363" s="7" t="n">
        <v>8361</v>
      </c>
      <c r="C8363" t="inlineStr">
        <is>
          <t>Chuyên Viên Bất Động Sản Tìm Kiếm Mặt Bằng (Miền Nam)</t>
        </is>
      </c>
      <c r="D8363" t="inlineStr">
        <is>
          <t>Công Ty CP Dược Phẩm Pharmacity</t>
        </is>
      </c>
      <c r="E8363" t="inlineStr">
        <is>
          <t>Lương:20 Tr - 25 Tr VND</t>
        </is>
      </c>
      <c r="F8363" t="inlineStr">
        <is>
          <t>Hồ Chí Minh</t>
        </is>
      </c>
      <c r="G8363" t="inlineStr">
        <is>
          <t>14-04-2026</t>
        </is>
      </c>
      <c r="H8363" t="inlineStr">
        <is>
          <t>14/04/2026</t>
        </is>
      </c>
      <c r="I8363" t="inlineStr">
        <is>
          <t>17/03/2026</t>
        </is>
      </c>
      <c r="J8363" t="inlineStr">
        <is>
          <t>Hàng gia dụng / Chăm sóc cá nhân, Thực phẩm &amp; Đồ uống, Bất động sản</t>
        </is>
      </c>
      <c r="K8363" t="inlineStr">
        <is>
          <t>1 - 10 Năm</t>
        </is>
      </c>
      <c r="L8363" s="8">
        <f>HYPERLINK("https://careerviet.vn/vi/tim-viec-lam/chuyen-vien-bat-dong-san-tim-kiem-mat-bang-mien-nam.35C65939.html","Xem chi tiết")</f>
        <v/>
      </c>
    </row>
    <row r="8364">
      <c r="B8364" s="9" t="n">
        <v>8362</v>
      </c>
      <c r="C8364" s="10" t="inlineStr">
        <is>
          <t>Operation Staff (Export LCL)</t>
        </is>
      </c>
      <c r="D8364" s="10" t="inlineStr">
        <is>
          <t>Công Ty TNHH Honour Lane Logistics</t>
        </is>
      </c>
      <c r="E8364" s="10" t="inlineStr">
        <is>
          <t>Lương:11 Tr - 16 Tr VND</t>
        </is>
      </c>
      <c r="F8364" s="10" t="inlineStr">
        <is>
          <t>Hồ Chí Minh</t>
        </is>
      </c>
      <c r="G8364" s="10" t="inlineStr">
        <is>
          <t>14-04-2026</t>
        </is>
      </c>
      <c r="H8364" s="10" t="inlineStr">
        <is>
          <t>14/04/2026</t>
        </is>
      </c>
      <c r="I8364" s="10" t="inlineStr">
        <is>
          <t>17/03/2026</t>
        </is>
      </c>
      <c r="J8364" s="10" t="inlineStr">
        <is>
          <t>Vận chuyển / Giao nhận / Kho vận, Hàng hải, Xuất nhập khẩu</t>
        </is>
      </c>
      <c r="K8364" s="10" t="inlineStr">
        <is>
          <t>1 - 5 Năm</t>
        </is>
      </c>
      <c r="L8364" s="11">
        <f>HYPERLINK("https://careerviet.vn/vi/tim-viec-lam/operation-staff-export-lcl.35C659D7.html","Xem chi tiết")</f>
        <v/>
      </c>
      <c r="M8364" s="10" t="n"/>
    </row>
    <row r="8365">
      <c r="B8365" s="7" t="n">
        <v>8363</v>
      </c>
      <c r="C8365" t="inlineStr">
        <is>
          <t>Nhân viên kinh doanh Logistics - Chi nhánh Hà Nội</t>
        </is>
      </c>
      <c r="D8365" t="inlineStr">
        <is>
          <t>Tổng Công Ty Chuyển Phát Nhanh Bưu Điện</t>
        </is>
      </c>
      <c r="E8365" t="inlineStr">
        <is>
          <t>Lương:Cạnh tranh</t>
        </is>
      </c>
      <c r="F8365" t="inlineStr">
        <is>
          <t>Hà Nội</t>
        </is>
      </c>
      <c r="G8365" t="inlineStr">
        <is>
          <t>14-04-2026</t>
        </is>
      </c>
      <c r="H8365" t="inlineStr">
        <is>
          <t>14/04/2026</t>
        </is>
      </c>
      <c r="I8365" t="inlineStr">
        <is>
          <t>17/03/2026</t>
        </is>
      </c>
      <c r="J8365" t="inlineStr">
        <is>
          <t>Tiếp thị / Marketing, Bán hàng / Kinh doanh, Xuất nhập khẩu</t>
        </is>
      </c>
      <c r="K8365" t="inlineStr">
        <is>
          <t>N/A</t>
        </is>
      </c>
      <c r="L8365" s="8">
        <f>HYPERLINK("https://careerviet.vn/vi/tim-viec-lam/nhan-vien-kinh-doanh-logistics-chi-nhanh-ha-noi.35C65853.html","Xem chi tiết")</f>
        <v/>
      </c>
    </row>
    <row r="8366">
      <c r="B8366" s="9" t="n">
        <v>8364</v>
      </c>
      <c r="C8366" s="10" t="inlineStr">
        <is>
          <t>TRƯỞNG NHÓM PHÂN TÍCH NGHIỆP VỤ ERP (LEVEL: SENIOR/LEAD)</t>
        </is>
      </c>
      <c r="D8366" s="10" t="inlineStr">
        <is>
          <t>Chương trình Học viện Công nghệ BKACAD</t>
        </is>
      </c>
      <c r="E8366" s="10" t="inlineStr">
        <is>
          <t>Lương:18 Tr - 25 Tr VND</t>
        </is>
      </c>
      <c r="F8366" s="10" t="inlineStr">
        <is>
          <t>Hà Nội</t>
        </is>
      </c>
      <c r="G8366" s="10" t="inlineStr">
        <is>
          <t>14-04-2026</t>
        </is>
      </c>
      <c r="H8366" s="10" t="inlineStr">
        <is>
          <t>14/04/2026</t>
        </is>
      </c>
      <c r="I8366" s="10" t="inlineStr">
        <is>
          <t>17/03/2026</t>
        </is>
      </c>
      <c r="J8366" s="10" t="inlineStr">
        <is>
          <t>Bán hàng / Kinh doanh, Tài chính / Đầu tư, CNTT - Phần mềm</t>
        </is>
      </c>
      <c r="K8366" s="10" t="inlineStr">
        <is>
          <t>3 - 5 Năm</t>
        </is>
      </c>
      <c r="L8366" s="11">
        <f>HYPERLINK("https://careerviet.vn/vi/tim-viec-lam/truong-nhom-phan-tich-nghiep-vu-erp-level-senior-lead.35C658AC.html","Xem chi tiết")</f>
        <v/>
      </c>
      <c r="M8366" s="10" t="n"/>
    </row>
    <row r="8367">
      <c r="B8367" s="7" t="n">
        <v>8365</v>
      </c>
      <c r="C8367" t="inlineStr">
        <is>
          <t>Nhân viên kiểm soát chất lượng ( QC)</t>
        </is>
      </c>
      <c r="D8367" t="inlineStr">
        <is>
          <t>CÔNG TY CỔ PHẦN NHỰA TÁI CHẾ DUY TÂN</t>
        </is>
      </c>
      <c r="E8367" t="inlineStr">
        <is>
          <t>Lương:13 Tr - 14 Tr VND</t>
        </is>
      </c>
      <c r="F8367" t="inlineStr">
        <is>
          <t>Long An</t>
        </is>
      </c>
      <c r="G8367" t="inlineStr">
        <is>
          <t>14-04-2026</t>
        </is>
      </c>
      <c r="H8367" t="inlineStr">
        <is>
          <t>14/04/2026</t>
        </is>
      </c>
      <c r="I8367" t="inlineStr">
        <is>
          <t>17/03/2026</t>
        </is>
      </c>
      <c r="J8367" t="inlineStr">
        <is>
          <t>Công nghệ thực phẩm / Dinh dưỡng, Hóa học, Quản lý chất lượng (QA/QC)</t>
        </is>
      </c>
      <c r="K8367" t="inlineStr">
        <is>
          <t>1 - 2 Năm</t>
        </is>
      </c>
      <c r="L8367" s="8">
        <f>HYPERLINK("https://careerviet.vn/vi/tim-viec-lam/nhan-vien-kiem-soat-chat-luong-qc.35C658C4.html","Xem chi tiết")</f>
        <v/>
      </c>
    </row>
    <row r="8368">
      <c r="B8368" s="9" t="n">
        <v>8366</v>
      </c>
      <c r="C8368" s="10" t="inlineStr">
        <is>
          <t>Kỹ sư thiết kế (Cơ khí)</t>
        </is>
      </c>
      <c r="D8368" s="10" t="inlineStr">
        <is>
          <t>CÔNG TY TNHH ĐẦU TƯ ITS</t>
        </is>
      </c>
      <c r="E8368" s="10" t="inlineStr">
        <is>
          <t>Lương:12 Tr - 15 Tr VND</t>
        </is>
      </c>
      <c r="F8368" s="10" t="inlineStr">
        <is>
          <t>Hồ Chí Minh</t>
        </is>
      </c>
      <c r="G8368" s="10" t="inlineStr">
        <is>
          <t>14-04-2026</t>
        </is>
      </c>
      <c r="H8368" s="10" t="inlineStr">
        <is>
          <t>14/04/2026</t>
        </is>
      </c>
      <c r="I8368" s="10" t="inlineStr">
        <is>
          <t>17/03/2026</t>
        </is>
      </c>
      <c r="J8368" s="10" t="inlineStr">
        <is>
          <t>Cơ khí / Ô tô / Tự động hóa</t>
        </is>
      </c>
      <c r="K8368" s="10" t="inlineStr">
        <is>
          <t>1 - 4 Năm</t>
        </is>
      </c>
      <c r="L8368" s="11">
        <f>HYPERLINK("https://careerviet.vn/vi/tim-viec-lam/ky-su-thiet-ke-co-khi.35C65937.html","Xem chi tiết")</f>
        <v/>
      </c>
      <c r="M8368" s="10" t="n"/>
    </row>
    <row r="8369">
      <c r="B8369" s="7" t="n">
        <v>8367</v>
      </c>
      <c r="C8369" t="inlineStr">
        <is>
          <t>Trưởng Bộ phận/Chuyên gia Phát triển sản phẩm KHDN</t>
        </is>
      </c>
      <c r="D8369" t="inlineStr">
        <is>
          <t>BVBank - Ngân hàng Bản Việt</t>
        </is>
      </c>
      <c r="E8369" t="inlineStr">
        <is>
          <t>Lương:Cạnh tranh</t>
        </is>
      </c>
      <c r="F8369" t="inlineStr">
        <is>
          <t>Hồ Chí Minh</t>
        </is>
      </c>
      <c r="G8369" t="inlineStr">
        <is>
          <t>14-04-2026</t>
        </is>
      </c>
      <c r="H8369" t="inlineStr">
        <is>
          <t>14/04/2026</t>
        </is>
      </c>
      <c r="I8369" t="inlineStr">
        <is>
          <t>17/03/2026</t>
        </is>
      </c>
      <c r="J8369" t="inlineStr">
        <is>
          <t>Ngân hàng, Tài chính / Đầu tư</t>
        </is>
      </c>
      <c r="K8369" t="inlineStr">
        <is>
          <t>3 - 4 Năm</t>
        </is>
      </c>
      <c r="L8369" s="8">
        <f>HYPERLINK("https://careerviet.vn/vi/tim-viec-lam/truong-bo-phan-chuyen-gia-phat-trien-san-pham-khdn.35C6596F.html","Xem chi tiết")</f>
        <v/>
      </c>
    </row>
    <row r="8370">
      <c r="B8370" s="9" t="n">
        <v>8368</v>
      </c>
      <c r="C8370" s="10" t="inlineStr">
        <is>
          <t>SOURCING/CONTRACTING MANAGER</t>
        </is>
      </c>
      <c r="D8370" s="10" t="inlineStr">
        <is>
          <t>ASIAN TRAILS - CÔNG TY TNHH DU LỊCH ĐƯỜNG MÒN CHÂU Á</t>
        </is>
      </c>
      <c r="E8370" s="10" t="inlineStr">
        <is>
          <t>Lương:Cạnh tranh</t>
        </is>
      </c>
      <c r="F8370" s="10" t="inlineStr">
        <is>
          <t>Hồ Chí Minh</t>
        </is>
      </c>
      <c r="G8370" s="10" t="inlineStr">
        <is>
          <t>14-04-2026</t>
        </is>
      </c>
      <c r="H8370" s="10" t="inlineStr">
        <is>
          <t>14/04/2026</t>
        </is>
      </c>
      <c r="I8370" s="10" t="inlineStr">
        <is>
          <t>17/03/2026</t>
        </is>
      </c>
      <c r="J8370" s="10" t="inlineStr">
        <is>
          <t>Quản lý điều hành, Nhà hàng / Khách sạn, Du lịch</t>
        </is>
      </c>
      <c r="K8370" s="10" t="inlineStr">
        <is>
          <t>5 - 6 Năm</t>
        </is>
      </c>
      <c r="L8370" s="11">
        <f>HYPERLINK("https://careerviet.vn/vi/tim-viec-lam/sourcing-contracting-manager.35C654C5.html","Xem chi tiết")</f>
        <v/>
      </c>
      <c r="M8370" s="10" t="n"/>
    </row>
    <row r="8371">
      <c r="B8371" s="7" t="n">
        <v>8369</v>
      </c>
      <c r="C8371" t="inlineStr">
        <is>
          <t>Nhân viên sản xuất</t>
        </is>
      </c>
      <c r="D8371" t="inlineStr">
        <is>
          <t>Highlands Coffee Roastery</t>
        </is>
      </c>
      <c r="E8371" t="inlineStr">
        <is>
          <t>Lương:Cạnh tranh</t>
        </is>
      </c>
      <c r="F8371" t="inlineStr">
        <is>
          <t>Bà Rịa - Vũng Tàu</t>
        </is>
      </c>
      <c r="G8371" t="inlineStr">
        <is>
          <t>14-04-2026</t>
        </is>
      </c>
      <c r="H8371" t="inlineStr">
        <is>
          <t>14/04/2026</t>
        </is>
      </c>
      <c r="I8371" t="inlineStr">
        <is>
          <t>17/03/2026</t>
        </is>
      </c>
      <c r="J8371" t="inlineStr">
        <is>
          <t>Thực phẩm &amp; Đồ uống, Sản xuất / Vận hành sản xuất, Mới tốt nghiệp / Thực tập</t>
        </is>
      </c>
      <c r="K8371" t="inlineStr">
        <is>
          <t>N/A</t>
        </is>
      </c>
      <c r="L8371" s="8">
        <f>HYPERLINK("https://careerviet.vn/vi/tim-viec-lam/nhan-vien-san-xuat.35C65867.html","Xem chi tiết")</f>
        <v/>
      </c>
    </row>
    <row r="8372">
      <c r="B8372" s="9" t="n">
        <v>8370</v>
      </c>
      <c r="C8372" s="10" t="inlineStr">
        <is>
          <t>Chuyên viên tuyển dụng</t>
        </is>
      </c>
      <c r="D8372" s="10" t="inlineStr">
        <is>
          <t>CÔNG TY CỔ PHẦN SẢN XUẤT TÓC APOGROUP</t>
        </is>
      </c>
      <c r="E8372" s="10" t="inlineStr">
        <is>
          <t>Lương:Cạnh tranh</t>
        </is>
      </c>
      <c r="F8372" s="10" t="inlineStr">
        <is>
          <t>Hà Nội</t>
        </is>
      </c>
      <c r="G8372" s="10" t="inlineStr">
        <is>
          <t>14-04-2026</t>
        </is>
      </c>
      <c r="H8372" s="10" t="inlineStr">
        <is>
          <t>14/04/2026</t>
        </is>
      </c>
      <c r="I8372" s="10" t="inlineStr">
        <is>
          <t>17/03/2026</t>
        </is>
      </c>
      <c r="J8372" s="10" t="inlineStr">
        <is>
          <t>Bán hàng / Kinh doanh, Xuất nhập khẩu</t>
        </is>
      </c>
      <c r="K8372" s="10" t="inlineStr">
        <is>
          <t>3 - 5 Năm</t>
        </is>
      </c>
      <c r="L8372" s="11">
        <f>HYPERLINK("https://careerviet.vn/vi/tim-viec-lam/chuyen-vien-tuyen-dung.35C68A9C.html","Xem chi tiết")</f>
        <v/>
      </c>
      <c r="M8372" s="10" t="n"/>
    </row>
    <row r="8373">
      <c r="B8373" s="7" t="n">
        <v>8371</v>
      </c>
      <c r="C8373" t="inlineStr">
        <is>
          <t>Nhân Viên Mua Hàng</t>
        </is>
      </c>
      <c r="D8373" t="inlineStr">
        <is>
          <t>CÔNG TY CỔ PHẦN GIẢI PHÁP CƠ KHÍ VNTECH</t>
        </is>
      </c>
      <c r="E8373" t="inlineStr">
        <is>
          <t>Lương:11 Tr - 15 Tr VND</t>
        </is>
      </c>
      <c r="F8373" t="inlineStr">
        <is>
          <t>Hà Nội</t>
        </is>
      </c>
      <c r="G8373" t="inlineStr">
        <is>
          <t>14-04-2026</t>
        </is>
      </c>
      <c r="H8373" t="inlineStr">
        <is>
          <t>14/04/2026</t>
        </is>
      </c>
      <c r="I8373" t="inlineStr">
        <is>
          <t>17/03/2026</t>
        </is>
      </c>
      <c r="J8373" t="inlineStr">
        <is>
          <t>Thu mua / Vật tư, Cơ khí / Ô tô / Tự động hóa, Xuất nhập khẩu</t>
        </is>
      </c>
      <c r="K8373" t="inlineStr">
        <is>
          <t>N/A</t>
        </is>
      </c>
      <c r="L8373" s="8">
        <f>HYPERLINK("https://careerviet.vn/vi/tim-viec-lam/nhan-vien-mua-hang.35C68AAC.html","Xem chi tiết")</f>
        <v/>
      </c>
    </row>
    <row r="8374">
      <c r="B8374" s="9" t="n">
        <v>8372</v>
      </c>
      <c r="C8374" s="10" t="inlineStr">
        <is>
          <t>Nhân viên thu mua</t>
        </is>
      </c>
      <c r="D8374" s="10" t="inlineStr">
        <is>
          <t>CÔNG TY TNHH MUSEM VINA</t>
        </is>
      </c>
      <c r="E8374" s="10" t="inlineStr">
        <is>
          <t>Lương:8 Tr - 12 Tr VND</t>
        </is>
      </c>
      <c r="F8374" s="10" t="inlineStr">
        <is>
          <t>Long An</t>
        </is>
      </c>
      <c r="G8374" s="10" t="inlineStr">
        <is>
          <t>14-04-2026</t>
        </is>
      </c>
      <c r="H8374" s="10" t="inlineStr">
        <is>
          <t>14/04/2026</t>
        </is>
      </c>
      <c r="I8374" s="10" t="inlineStr">
        <is>
          <t>17/03/2026</t>
        </is>
      </c>
      <c r="J8374" s="10" t="inlineStr">
        <is>
          <t>Sản xuất / Vận hành sản xuất</t>
        </is>
      </c>
      <c r="K8374" s="10" t="inlineStr">
        <is>
          <t>1 - 2 Năm</t>
        </is>
      </c>
      <c r="L8374" s="11">
        <f>HYPERLINK("https://careerviet.vn/vi/tim-viec-lam/nhan-vien-thu-mua.35C689AA.html","Xem chi tiết")</f>
        <v/>
      </c>
      <c r="M8374" s="10" t="n"/>
    </row>
    <row r="8375">
      <c r="B8375" s="7" t="n">
        <v>8373</v>
      </c>
      <c r="C8375" t="inlineStr">
        <is>
          <t>Giám Sát An Toàn Lao Động</t>
        </is>
      </c>
      <c r="D8375" t="inlineStr">
        <is>
          <t>CÔNG TY CỔ PHẦN SEAREFICO</t>
        </is>
      </c>
      <c r="E8375" t="inlineStr">
        <is>
          <t>Lương:14 Tr - 20 Tr VND</t>
        </is>
      </c>
      <c r="F8375" t="inlineStr">
        <is>
          <t>Khánh Hòa</t>
        </is>
      </c>
      <c r="G8375" t="inlineStr">
        <is>
          <t>14-04-2026</t>
        </is>
      </c>
      <c r="H8375" t="inlineStr">
        <is>
          <t>14/04/2026</t>
        </is>
      </c>
      <c r="I8375" t="inlineStr">
        <is>
          <t>17/03/2026</t>
        </is>
      </c>
      <c r="J8375" t="inlineStr">
        <is>
          <t>Môi trường, Xây dựng, Điện / Điện tử / Điện lạnh / Điện công nghiệp</t>
        </is>
      </c>
      <c r="K8375" t="inlineStr">
        <is>
          <t>1 - 5 Năm</t>
        </is>
      </c>
      <c r="L8375" s="8">
        <f>HYPERLINK("https://careerviet.vn/vi/tim-viec-lam/giam-sat-an-toan-lao-dong.35C6584B.html","Xem chi tiết")</f>
        <v/>
      </c>
    </row>
    <row r="8376">
      <c r="B8376" s="9" t="n">
        <v>8374</v>
      </c>
      <c r="C8376" s="10" t="inlineStr">
        <is>
          <t>Chuyên viên Trắc đạc</t>
        </is>
      </c>
      <c r="D8376" s="10" t="inlineStr">
        <is>
          <t>Bảo mật</t>
        </is>
      </c>
      <c r="E8376" s="10" t="inlineStr">
        <is>
          <t>Lương:Cạnh tranh</t>
        </is>
      </c>
      <c r="F8376" s="10" t="inlineStr">
        <is>
          <t>Hồ Chí Minh</t>
        </is>
      </c>
      <c r="G8376" s="10" t="inlineStr">
        <is>
          <t>14-04-2026</t>
        </is>
      </c>
      <c r="H8376" s="10" t="inlineStr">
        <is>
          <t>14/04/2026</t>
        </is>
      </c>
      <c r="I8376" s="10" t="inlineStr">
        <is>
          <t>17/03/2026</t>
        </is>
      </c>
      <c r="J8376" s="10" t="inlineStr">
        <is>
          <t>Xây dựng, Kiến trúc, Quản lý chất lượng (QA/QC)</t>
        </is>
      </c>
      <c r="K8376" s="10" t="inlineStr">
        <is>
          <t>3 - 15 Năm</t>
        </is>
      </c>
      <c r="L8376" s="11">
        <f>HYPERLINK("https://careerviet.vn/vi/tim-viec-lam/chuyen-vien-trac-dac.35C6897E.html","Xem chi tiết")</f>
        <v/>
      </c>
      <c r="M8376" s="10" t="n"/>
    </row>
    <row r="8377">
      <c r="B8377" s="7" t="n">
        <v>8375</v>
      </c>
      <c r="C8377" t="inlineStr">
        <is>
          <t>Thực Tập Sinh Học Thuật (Academic Intern)</t>
        </is>
      </c>
      <c r="D8377" t="inlineStr">
        <is>
          <t>Công ty CP IIG Việt Nam</t>
        </is>
      </c>
      <c r="E8377" t="inlineStr">
        <is>
          <t>Lương:Lên đến 2 Tr VND</t>
        </is>
      </c>
      <c r="F8377" t="inlineStr">
        <is>
          <t>Hà Nội</t>
        </is>
      </c>
      <c r="G8377" t="inlineStr">
        <is>
          <t>14-04-2026</t>
        </is>
      </c>
      <c r="H8377" t="inlineStr">
        <is>
          <t>14/04/2026</t>
        </is>
      </c>
      <c r="I8377" t="inlineStr">
        <is>
          <t>17/03/2026</t>
        </is>
      </c>
      <c r="J8377" t="inlineStr">
        <is>
          <t>Giáo dục / Đào tạo</t>
        </is>
      </c>
      <c r="K8377" t="inlineStr">
        <is>
          <t>N/A</t>
        </is>
      </c>
      <c r="L8377" s="8">
        <f>HYPERLINK("https://careerviet.vn/vi/tim-viec-lam/thuc-tap-sinh-hoc-thuat-academic-intern.35C6597C.html","Xem chi tiết")</f>
        <v/>
      </c>
    </row>
    <row r="8378">
      <c r="B8378" s="9" t="n">
        <v>8376</v>
      </c>
      <c r="C8378" s="10" t="inlineStr">
        <is>
          <t>Giám Sát Điều Phối Vận Tải/ Transport Supervisor</t>
        </is>
      </c>
      <c r="D8378" s="10" t="inlineStr">
        <is>
          <t>RHENUS LOGISTICS LTD,.</t>
        </is>
      </c>
      <c r="E8378" s="10" t="inlineStr">
        <is>
          <t>Lương:Cạnh tranh</t>
        </is>
      </c>
      <c r="F8378" s="10" t="inlineStr">
        <is>
          <t>Bình Dương</t>
        </is>
      </c>
      <c r="G8378" s="10" t="inlineStr">
        <is>
          <t>13-04-2026</t>
        </is>
      </c>
      <c r="H8378" s="10" t="inlineStr">
        <is>
          <t>13/04/2026</t>
        </is>
      </c>
      <c r="I8378" s="10" t="inlineStr">
        <is>
          <t>17/03/2026</t>
        </is>
      </c>
      <c r="J8378" s="10" t="inlineStr">
        <is>
          <t>Vận chuyển / Giao nhận / Kho vận, Quản lý điều hành</t>
        </is>
      </c>
      <c r="K8378" s="10" t="inlineStr">
        <is>
          <t>2 - 5 Năm</t>
        </is>
      </c>
      <c r="L8378" s="11">
        <f>HYPERLINK("https://careerviet.vn/vi/tim-viec-lam/giam-sat-dieu-phoi-van-tai-transport-supervisor.35C68960.html","Xem chi tiết")</f>
        <v/>
      </c>
      <c r="M8378" s="10" t="n"/>
    </row>
    <row r="8379">
      <c r="B8379" s="7" t="n">
        <v>8377</v>
      </c>
      <c r="C8379" t="inlineStr">
        <is>
          <t>KỸ SƯ TRẮC ĐẠC</t>
        </is>
      </c>
      <c r="D8379" t="inlineStr">
        <is>
          <t>CÔNG TY TNHH CÔNG NGHỆ VIỆT</t>
        </is>
      </c>
      <c r="E8379" t="inlineStr">
        <is>
          <t>Lương:16 Tr - 25 Tr VND</t>
        </is>
      </c>
      <c r="F8379" t="inlineStr">
        <is>
          <t>Hà Nội</t>
        </is>
      </c>
      <c r="G8379" t="inlineStr">
        <is>
          <t>14-04-2026</t>
        </is>
      </c>
      <c r="H8379" t="inlineStr">
        <is>
          <t>14/04/2026</t>
        </is>
      </c>
      <c r="I8379" t="inlineStr">
        <is>
          <t>17/03/2026</t>
        </is>
      </c>
      <c r="J8379" t="inlineStr">
        <is>
          <t>Trắc địa / Địa Chất, Kiến trúc, Xây dựng</t>
        </is>
      </c>
      <c r="K8379" t="inlineStr">
        <is>
          <t>3 - 4 Năm</t>
        </is>
      </c>
      <c r="L8379" s="8">
        <f>HYPERLINK("https://careerviet.vn/vi/tim-viec-lam/ky-su-trac-dac.35C68964.html","Xem chi tiết")</f>
        <v/>
      </c>
    </row>
    <row r="8380">
      <c r="B8380" s="9" t="n">
        <v>8378</v>
      </c>
      <c r="C8380" s="10" t="inlineStr">
        <is>
          <t>KỸ SƯ CƠ ĐIỆN MEP (Shop drawing, QS MEP - NINH THUẬN )</t>
        </is>
      </c>
      <c r="D8380" s="10" t="inlineStr">
        <is>
          <t>Công TY TNHH Xây Dựng Cơ Điện Trí Trung</t>
        </is>
      </c>
      <c r="E8380" s="10" t="inlineStr">
        <is>
          <t>Lương:16 Tr - 25 Tr VND</t>
        </is>
      </c>
      <c r="F8380" s="10" t="inlineStr">
        <is>
          <t>Hồ Chí MinhNinh Thuận</t>
        </is>
      </c>
      <c r="G8380" s="10" t="inlineStr">
        <is>
          <t>14-04-2026</t>
        </is>
      </c>
      <c r="H8380" s="10" t="inlineStr">
        <is>
          <t>14/04/2026</t>
        </is>
      </c>
      <c r="I8380" s="10" t="inlineStr">
        <is>
          <t>17/03/2026</t>
        </is>
      </c>
      <c r="J8380" s="10" t="inlineStr">
        <is>
          <t>Môi trường, Điện / Điện tử / Điện lạnh / Điện công nghiệp, Xây dựng</t>
        </is>
      </c>
      <c r="K8380" s="10" t="inlineStr">
        <is>
          <t>3 - 5 Năm</t>
        </is>
      </c>
      <c r="L8380" s="11">
        <f>HYPERLINK("https://careerviet.vn/vi/tim-viec-lam/ky-su-co-dien-mep-shop-drawing-qs-mep-ninh-thuan.35C65952.html","Xem chi tiết")</f>
        <v/>
      </c>
      <c r="M8380" s="10" t="n"/>
    </row>
    <row r="8381">
      <c r="B8381" s="7" t="n">
        <v>8379</v>
      </c>
      <c r="C8381" t="inlineStr">
        <is>
          <t>Chuyên viên triển khai kĩ thuật 2D- nội thất</t>
        </is>
      </c>
      <c r="D8381" t="inlineStr">
        <is>
          <t>CÔNG TY CỔ PHẦN ABT HOMES</t>
        </is>
      </c>
      <c r="E8381" t="inlineStr">
        <is>
          <t>Lương:14 Tr - 16 Tr VND</t>
        </is>
      </c>
      <c r="F8381" t="inlineStr">
        <is>
          <t>Hà Nội</t>
        </is>
      </c>
      <c r="G8381" t="inlineStr">
        <is>
          <t>14-04-2026</t>
        </is>
      </c>
      <c r="H8381" t="inlineStr">
        <is>
          <t>14/04/2026</t>
        </is>
      </c>
      <c r="I8381" t="inlineStr">
        <is>
          <t>17/03/2026</t>
        </is>
      </c>
      <c r="J8381" t="inlineStr">
        <is>
          <t>Kiến trúc, Xây dựng, Nội ngoại thất</t>
        </is>
      </c>
      <c r="K8381" t="inlineStr">
        <is>
          <t>2 - 3 Năm</t>
        </is>
      </c>
      <c r="L8381" s="8">
        <f>HYPERLINK("https://careerviet.vn/vi/tim-viec-lam/chuyen-vien-trien-khai-ki-thuat-2d-noi-that.35C6897C.html","Xem chi tiết")</f>
        <v/>
      </c>
    </row>
    <row r="8382">
      <c r="B8382" s="9" t="n">
        <v>8380</v>
      </c>
      <c r="C8382" s="10" t="inlineStr">
        <is>
          <t>QUẢN LÝ CHUYỀN SƠN</t>
        </is>
      </c>
      <c r="D8382" s="10" t="inlineStr">
        <is>
          <t>CÔNG TY TNHH INZI VINA</t>
        </is>
      </c>
      <c r="E8382" s="10" t="inlineStr">
        <is>
          <t>Lương:Cạnh tranh</t>
        </is>
      </c>
      <c r="F8382" s="10" t="inlineStr">
        <is>
          <t>Đồng Nai</t>
        </is>
      </c>
      <c r="G8382" s="10" t="inlineStr">
        <is>
          <t>14-04-2026</t>
        </is>
      </c>
      <c r="H8382" s="10" t="inlineStr">
        <is>
          <t>14/04/2026</t>
        </is>
      </c>
      <c r="I8382" s="10" t="inlineStr">
        <is>
          <t>17/03/2026</t>
        </is>
      </c>
      <c r="J8382" s="10" t="inlineStr">
        <is>
          <t>Điện / Điện tử / Điện lạnh / Điện công nghiệp, Sản xuất / Vận hành sản xuất</t>
        </is>
      </c>
      <c r="K8382" s="10" t="inlineStr">
        <is>
          <t>5 - 10 Năm</t>
        </is>
      </c>
      <c r="L8382" s="11">
        <f>HYPERLINK("https://careerviet.vn/vi/tim-viec-lam/quan-ly-chuyen-son.35C658AB.html","Xem chi tiết")</f>
        <v/>
      </c>
      <c r="M8382" s="10" t="n"/>
    </row>
    <row r="8383">
      <c r="B8383" s="7" t="n">
        <v>8381</v>
      </c>
      <c r="C8383" t="inlineStr">
        <is>
          <t>Hà Nội - Chuyên viên kế hoạch sản xuất</t>
        </is>
      </c>
      <c r="D8383" t="inlineStr">
        <is>
          <t>Công Ty Cổ Phần Thép Việt Xô Hà Nội</t>
        </is>
      </c>
      <c r="E8383" t="inlineStr">
        <is>
          <t>Lương:13 Tr - 17 Tr VND</t>
        </is>
      </c>
      <c r="F8383" t="inlineStr">
        <is>
          <t>Hà Nội</t>
        </is>
      </c>
      <c r="G8383" t="inlineStr">
        <is>
          <t>14-04-2026</t>
        </is>
      </c>
      <c r="H8383" t="inlineStr">
        <is>
          <t>14/04/2026</t>
        </is>
      </c>
      <c r="I8383" t="inlineStr">
        <is>
          <t>17/03/2026</t>
        </is>
      </c>
      <c r="J8383" t="inlineStr">
        <is>
          <t>Sản xuất / Vận hành sản xuất</t>
        </is>
      </c>
      <c r="K8383" t="inlineStr">
        <is>
          <t>2 - 3 Năm</t>
        </is>
      </c>
      <c r="L8383" s="8">
        <f>HYPERLINK("https://careerviet.vn/vi/tim-viec-lam/ha-noi-chuyen-vien-ke-hoach-san-xuat.35C68996.html","Xem chi tiết")</f>
        <v/>
      </c>
    </row>
    <row r="8384">
      <c r="B8384" s="9" t="n">
        <v>8382</v>
      </c>
      <c r="C8384" s="10" t="inlineStr">
        <is>
          <t>[Bình Tâni] Nhân viên Kế toán</t>
        </is>
      </c>
      <c r="D8384" s="10" t="inlineStr">
        <is>
          <t>Công Ty Cổ Phần Vacxin Việt Nam</t>
        </is>
      </c>
      <c r="E8384" s="10" t="inlineStr">
        <is>
          <t>Lương:Cạnh tranh</t>
        </is>
      </c>
      <c r="F8384" s="10" t="inlineStr">
        <is>
          <t>Hồ Chí Minh</t>
        </is>
      </c>
      <c r="G8384" s="10" t="inlineStr">
        <is>
          <t>14-04-2026</t>
        </is>
      </c>
      <c r="H8384" s="10" t="inlineStr">
        <is>
          <t>14/04/2026</t>
        </is>
      </c>
      <c r="I8384" s="10" t="inlineStr">
        <is>
          <t>17/03/2026</t>
        </is>
      </c>
      <c r="J8384" s="10" t="inlineStr">
        <is>
          <t>Y tế / Chăm sóc sức khỏe / Thẩm mỹ / Làm đẹp</t>
        </is>
      </c>
      <c r="K8384" s="10" t="inlineStr">
        <is>
          <t>2 - 4 Năm</t>
        </is>
      </c>
      <c r="L8384" s="11">
        <f>HYPERLINK("https://careerviet.vn/vi/tim-viec-lam/binh-tani-nhan-vien-ke-toan.35C65972.html","Xem chi tiết")</f>
        <v/>
      </c>
      <c r="M8384" s="10" t="n"/>
    </row>
    <row r="8385">
      <c r="B8385" s="7" t="n">
        <v>8383</v>
      </c>
      <c r="C8385" t="inlineStr">
        <is>
          <t>TRƯỞNG NHÓM QUẢN LÝ CHẤT LƯỢNG [CỦ CHI]</t>
        </is>
      </c>
      <c r="D8385" t="inlineStr">
        <is>
          <t>CÔNG TY CP SAIGON AUTO SUPPORTING INDUSTRY</t>
        </is>
      </c>
      <c r="E8385" t="inlineStr">
        <is>
          <t>Lương:Cạnh tranh</t>
        </is>
      </c>
      <c r="F8385" t="inlineStr">
        <is>
          <t>Hồ Chí Minh</t>
        </is>
      </c>
      <c r="G8385" t="inlineStr">
        <is>
          <t>14-04-2026</t>
        </is>
      </c>
      <c r="H8385" t="inlineStr">
        <is>
          <t>14/04/2026</t>
        </is>
      </c>
      <c r="I8385" t="inlineStr">
        <is>
          <t>17/03/2026</t>
        </is>
      </c>
      <c r="J8385" t="inlineStr">
        <is>
          <t>Cơ khí / Ô tô / Tự động hóa, Quản lý chất lượng (QA/QC)</t>
        </is>
      </c>
      <c r="K8385" t="inlineStr">
        <is>
          <t>3 - 5 Năm</t>
        </is>
      </c>
      <c r="L8385" s="8">
        <f>HYPERLINK("https://careerviet.vn/vi/tim-viec-lam/truong-nhom-quan-ly-chat-luong-cu-chi.35C68B0A.html","Xem chi tiết")</f>
        <v/>
      </c>
    </row>
    <row r="8386">
      <c r="B8386" s="9" t="n">
        <v>8384</v>
      </c>
      <c r="C8386" s="10" t="inlineStr">
        <is>
          <t>Kỹ sư thiết kế và kiểm soát thiết kế Điện</t>
        </is>
      </c>
      <c r="D8386" s="10" t="inlineStr">
        <is>
          <t>Công ty cổ phần Xây dựng Công trình IPC</t>
        </is>
      </c>
      <c r="E8386" s="10" t="inlineStr">
        <is>
          <t>Lương:30 Tr - 40 Tr VND</t>
        </is>
      </c>
      <c r="F8386" s="10" t="inlineStr">
        <is>
          <t>Hà Nội</t>
        </is>
      </c>
      <c r="G8386" s="10" t="inlineStr">
        <is>
          <t>14-04-2026</t>
        </is>
      </c>
      <c r="H8386" s="10" t="inlineStr">
        <is>
          <t>14/04/2026</t>
        </is>
      </c>
      <c r="I8386" s="10" t="inlineStr">
        <is>
          <t>17/03/2026</t>
        </is>
      </c>
      <c r="J8386" s="10" t="inlineStr">
        <is>
          <t>Điện / Điện tử / Điện lạnh / Điện công nghiệp</t>
        </is>
      </c>
      <c r="K8386" s="10" t="inlineStr">
        <is>
          <t>Trên 3 Năm</t>
        </is>
      </c>
      <c r="L8386" s="11">
        <f>HYPERLINK("https://careerviet.vn/vi/tim-viec-lam/ky-su-thiet-ke-va-kiem-soat-thiet-ke-dien.35C6591E.html","Xem chi tiết")</f>
        <v/>
      </c>
      <c r="M8386" s="10" t="n"/>
    </row>
    <row r="8387">
      <c r="B8387" s="7" t="n">
        <v>8385</v>
      </c>
      <c r="C8387" t="inlineStr">
        <is>
          <t>Nhân Viên Quản Trị Hệ Thống</t>
        </is>
      </c>
      <c r="D8387" t="inlineStr">
        <is>
          <t>Tập Đoàn Kim Tín</t>
        </is>
      </c>
      <c r="E8387" t="inlineStr">
        <is>
          <t>Lương:Cạnh tranh</t>
        </is>
      </c>
      <c r="F8387" t="inlineStr">
        <is>
          <t>Hồ Chí Minh</t>
        </is>
      </c>
      <c r="G8387" t="inlineStr">
        <is>
          <t>14-04-2026</t>
        </is>
      </c>
      <c r="H8387" t="inlineStr">
        <is>
          <t>14/04/2026</t>
        </is>
      </c>
      <c r="I8387" t="inlineStr">
        <is>
          <t>17/03/2026</t>
        </is>
      </c>
      <c r="J8387" t="inlineStr">
        <is>
          <t>Kế toán / Kiểm toán</t>
        </is>
      </c>
      <c r="K8387" t="inlineStr">
        <is>
          <t>N/A</t>
        </is>
      </c>
      <c r="L8387" s="8">
        <f>HYPERLINK("https://careerviet.vn/vi/tim-viec-lam/nhan-vien-quan-tri-he-thong.35C658DC.html","Xem chi tiết")</f>
        <v/>
      </c>
    </row>
    <row r="8388">
      <c r="B8388" s="9" t="n">
        <v>8386</v>
      </c>
      <c r="C8388" s="10" t="inlineStr">
        <is>
          <t>Thủ kho</t>
        </is>
      </c>
      <c r="D8388" s="10" t="inlineStr">
        <is>
          <t>Công ty Cổ phần FECON</t>
        </is>
      </c>
      <c r="E8388" s="10" t="inlineStr">
        <is>
          <t>Lương:Cạnh tranh</t>
        </is>
      </c>
      <c r="F8388" s="10" t="inlineStr">
        <is>
          <t>Hồ Chí Minh</t>
        </is>
      </c>
      <c r="G8388" s="10" t="inlineStr">
        <is>
          <t>14-04-2026</t>
        </is>
      </c>
      <c r="H8388" s="10" t="inlineStr">
        <is>
          <t>14/04/2026</t>
        </is>
      </c>
      <c r="I8388" s="10" t="inlineStr">
        <is>
          <t>17/03/2026</t>
        </is>
      </c>
      <c r="J8388" s="10" t="inlineStr">
        <is>
          <t>Xây dựng</t>
        </is>
      </c>
      <c r="K8388" s="10" t="inlineStr">
        <is>
          <t>null - null Năm</t>
        </is>
      </c>
      <c r="L8388" s="11">
        <f>HYPERLINK("https://careerviet.vn/vi/tim-viec-lam/thu-kho.35C68AD6.html","Xem chi tiết")</f>
        <v/>
      </c>
      <c r="M8388" s="10" t="n"/>
    </row>
    <row r="8389">
      <c r="B8389" s="7" t="n">
        <v>8387</v>
      </c>
      <c r="C8389" t="inlineStr">
        <is>
          <t>Trưởng nhóm Khách hàng cá nhân - KV Hồ Chí Minh - RB - MSB - 4W005</t>
        </is>
      </c>
      <c r="D8389" t="inlineStr">
        <is>
          <t>Ngân hàng Thương mại Cổ phần Hàng Hải Việt Nam (MSB)</t>
        </is>
      </c>
      <c r="E8389" t="inlineStr">
        <is>
          <t>Lương:Cạnh tranh</t>
        </is>
      </c>
      <c r="F8389" t="inlineStr">
        <is>
          <t>Hồ Chí Minh</t>
        </is>
      </c>
      <c r="G8389" t="inlineStr">
        <is>
          <t>14-04-2026</t>
        </is>
      </c>
      <c r="H8389" t="inlineStr">
        <is>
          <t>14/04/2026</t>
        </is>
      </c>
      <c r="I8389" t="inlineStr">
        <is>
          <t>17/03/2026</t>
        </is>
      </c>
      <c r="J8389" t="inlineStr">
        <is>
          <t>Ngân hàng</t>
        </is>
      </c>
      <c r="K8389" t="inlineStr">
        <is>
          <t>Trên 3 Năm</t>
        </is>
      </c>
      <c r="L8389" s="8">
        <f>HYPERLINK("https://careerviet.vn/vi/tim-viec-lam/truong-nhom-khach-hang-ca-nhan-kv-ho-chi-minh-rb-msb-4w005.35C65851.html","Xem chi tiết")</f>
        <v/>
      </c>
    </row>
    <row r="8390">
      <c r="B8390" s="9" t="n">
        <v>8388</v>
      </c>
      <c r="C8390" s="10" t="inlineStr">
        <is>
          <t>Trưởng nhóm Hành chính</t>
        </is>
      </c>
      <c r="D8390" s="10" t="inlineStr">
        <is>
          <t>Công ty CP Công nghệ giáo dục Trường học trực tuyến (ONSCHOOL)</t>
        </is>
      </c>
      <c r="E8390" s="10" t="inlineStr">
        <is>
          <t>Lương:13 Tr - 17 Tr VND</t>
        </is>
      </c>
      <c r="F8390" s="10" t="inlineStr">
        <is>
          <t>Hà Nội</t>
        </is>
      </c>
      <c r="G8390" s="10" t="inlineStr">
        <is>
          <t>14-04-2026</t>
        </is>
      </c>
      <c r="H8390" s="10" t="inlineStr">
        <is>
          <t>14/04/2026</t>
        </is>
      </c>
      <c r="I8390" s="10" t="inlineStr">
        <is>
          <t>17/03/2026</t>
        </is>
      </c>
      <c r="J8390" s="10" t="inlineStr">
        <is>
          <t>Hành chính / Thư ký, Nhân sự</t>
        </is>
      </c>
      <c r="K8390" s="10" t="inlineStr">
        <is>
          <t>Trên 5 Năm</t>
        </is>
      </c>
      <c r="L8390" s="11">
        <f>HYPERLINK("https://careerviet.vn/vi/tim-viec-lam/truong-nhom-hanh-chinh.35C68A1B.html","Xem chi tiết")</f>
        <v/>
      </c>
      <c r="M8390" s="10" t="n"/>
    </row>
    <row r="8391">
      <c r="B8391" s="7" t="n">
        <v>8389</v>
      </c>
      <c r="C8391" t="inlineStr">
        <is>
          <t>Kế toán kiểm soát thanh toán</t>
        </is>
      </c>
      <c r="D8391" t="inlineStr">
        <is>
          <t>Công Ty Cổ Phần Thép Việt Xô Hà Nội</t>
        </is>
      </c>
      <c r="E8391" t="inlineStr">
        <is>
          <t>Lương:13 Tr - 16 Tr VND</t>
        </is>
      </c>
      <c r="F8391" t="inlineStr">
        <is>
          <t>Hà Nội</t>
        </is>
      </c>
      <c r="G8391" t="inlineStr">
        <is>
          <t>14-04-2026</t>
        </is>
      </c>
      <c r="H8391" t="inlineStr">
        <is>
          <t>14/04/2026</t>
        </is>
      </c>
      <c r="I8391" t="inlineStr">
        <is>
          <t>17/03/2026</t>
        </is>
      </c>
      <c r="J8391" t="inlineStr">
        <is>
          <t>Kế toán / Kiểm toán, Tài chính / Đầu tư</t>
        </is>
      </c>
      <c r="K8391" t="inlineStr">
        <is>
          <t>2 - 3 Năm</t>
        </is>
      </c>
      <c r="L8391" s="8">
        <f>HYPERLINK("https://careerviet.vn/vi/tim-viec-lam/ke-toan-kiem-soat-thanh-toan.35C68A20.html","Xem chi tiết")</f>
        <v/>
      </c>
    </row>
    <row r="8392">
      <c r="B8392" s="9" t="n">
        <v>8390</v>
      </c>
      <c r="C8392" s="10" t="inlineStr">
        <is>
          <t>NHÂN VIÊN KINH DOANH - CƠ HỘI VIỆC LÀM SAU TẾT</t>
        </is>
      </c>
      <c r="D8392" s="10" t="inlineStr">
        <is>
          <t>CÔNG TY CỔ PHẦN TRANG THIẾT BỊ Y TẾ ĐỨC TÍN</t>
        </is>
      </c>
      <c r="E8392" s="10" t="inlineStr">
        <is>
          <t>Lương:Cạnh tranh</t>
        </is>
      </c>
      <c r="F8392" s="10" t="inlineStr">
        <is>
          <t>Hồ Chí Minh</t>
        </is>
      </c>
      <c r="G8392" s="10" t="inlineStr">
        <is>
          <t>14-04-2026</t>
        </is>
      </c>
      <c r="H8392" s="10" t="inlineStr">
        <is>
          <t>14/04/2026</t>
        </is>
      </c>
      <c r="I8392" s="10" t="inlineStr">
        <is>
          <t>17/03/2026</t>
        </is>
      </c>
      <c r="J8392" s="10" t="inlineStr">
        <is>
          <t>Dược phẩm/ Hóa Mỹ Phẩm, Y tế / Chăm sóc sức khỏe / Thẩm mỹ / Làm đẹp</t>
        </is>
      </c>
      <c r="K8392" s="10" t="inlineStr">
        <is>
          <t>Chưa có kinh nghiệm</t>
        </is>
      </c>
      <c r="L8392" s="11">
        <f>HYPERLINK("https://careerviet.vn/vi/tim-viec-lam/nhan-vien-kinh-doanh-co-hoi-viec-lam-sau-tet.35C68A97.html","Xem chi tiết")</f>
        <v/>
      </c>
      <c r="M8392" s="10" t="n"/>
    </row>
    <row r="8393">
      <c r="B8393" s="7" t="n">
        <v>8391</v>
      </c>
      <c r="C8393" t="inlineStr">
        <is>
          <t>Receptionist Cum Administrative Staff</t>
        </is>
      </c>
      <c r="D8393" t="inlineStr">
        <is>
          <t>CÔNG TY TNHH XÂY DỰNG TUẤN LÊ</t>
        </is>
      </c>
      <c r="E8393" t="inlineStr">
        <is>
          <t>Lương:Cạnh tranh</t>
        </is>
      </c>
      <c r="F8393" t="inlineStr">
        <is>
          <t>Hồ Chí Minh</t>
        </is>
      </c>
      <c r="G8393" t="inlineStr">
        <is>
          <t>14-04-2026</t>
        </is>
      </c>
      <c r="H8393" t="inlineStr">
        <is>
          <t>14/04/2026</t>
        </is>
      </c>
      <c r="I8393" t="inlineStr">
        <is>
          <t>17/03/2026</t>
        </is>
      </c>
      <c r="J8393" t="inlineStr">
        <is>
          <t>Hành chính / Thư ký, Xây dựng, Biên phiên dịch</t>
        </is>
      </c>
      <c r="K8393" t="inlineStr">
        <is>
          <t>N/A</t>
        </is>
      </c>
      <c r="L8393" s="8">
        <f>HYPERLINK("https://careerviet.vn/vi/tim-viec-lam/receptionist-cum-administrative-staff.35C6595A.html","Xem chi tiết")</f>
        <v/>
      </c>
    </row>
    <row r="8394">
      <c r="B8394" s="9" t="n">
        <v>8392</v>
      </c>
      <c r="C8394" s="10" t="inlineStr">
        <is>
          <t>Chuyên viên đối ngoại nhà máy 2 ( Tiếng Trung )</t>
        </is>
      </c>
      <c r="D8394" s="10" t="inlineStr">
        <is>
          <t>Công ty TNHH Midea Consumer Electric Vietnam</t>
        </is>
      </c>
      <c r="E8394" s="10" t="inlineStr">
        <is>
          <t>Lương:Cạnh tranh</t>
        </is>
      </c>
      <c r="F8394" s="10" t="inlineStr">
        <is>
          <t>Bình Dương</t>
        </is>
      </c>
      <c r="G8394" s="10" t="inlineStr">
        <is>
          <t>14-04-2026</t>
        </is>
      </c>
      <c r="H8394" s="10" t="inlineStr">
        <is>
          <t>14/04/2026</t>
        </is>
      </c>
      <c r="I8394" s="10" t="inlineStr">
        <is>
          <t>17/03/2026</t>
        </is>
      </c>
      <c r="J8394" s="10" t="inlineStr">
        <is>
          <t>Quảng cáo / Đối ngoại / Truyền Thông, Hành chính / Thư ký</t>
        </is>
      </c>
      <c r="K8394" s="10" t="inlineStr">
        <is>
          <t>1 - 3 Năm</t>
        </is>
      </c>
      <c r="L8394" s="11">
        <f>HYPERLINK("https://careerviet.vn/vi/tim-viec-lam/chuyen-vien-doi-ngoai-nha-may-2-tieng-trung.35C6896A.html","Xem chi tiết")</f>
        <v/>
      </c>
      <c r="M8394" s="10" t="n"/>
    </row>
    <row r="8395">
      <c r="B8395" s="7" t="n">
        <v>8393</v>
      </c>
      <c r="C8395" t="inlineStr">
        <is>
          <t>Nhân viên QC nhà máy</t>
        </is>
      </c>
      <c r="D8395" t="inlineStr">
        <is>
          <t>Công Ty Cổ Phần Thép Việt Xô Hà Nội</t>
        </is>
      </c>
      <c r="E8395" t="inlineStr">
        <is>
          <t>Lương:9 Tr - 11 Tr VND</t>
        </is>
      </c>
      <c r="F8395" t="inlineStr">
        <is>
          <t>Hà NộiVĩnh PhúcBắc Giang</t>
        </is>
      </c>
      <c r="G8395" t="inlineStr">
        <is>
          <t>14-04-2026</t>
        </is>
      </c>
      <c r="H8395" t="inlineStr">
        <is>
          <t>14/04/2026</t>
        </is>
      </c>
      <c r="I8395" t="inlineStr">
        <is>
          <t>17/03/2026</t>
        </is>
      </c>
      <c r="J8395" t="inlineStr">
        <is>
          <t>Quản lý chất lượng (QA/QC)</t>
        </is>
      </c>
      <c r="K8395" t="inlineStr">
        <is>
          <t>2 - 3 Năm</t>
        </is>
      </c>
      <c r="L8395" s="8">
        <f>HYPERLINK("https://careerviet.vn/vi/tim-viec-lam/nhan-vien-qc-nha-may.35C68A1D.html","Xem chi tiết")</f>
        <v/>
      </c>
    </row>
    <row r="8396">
      <c r="B8396" s="9" t="n">
        <v>8394</v>
      </c>
      <c r="C8396" s="10" t="inlineStr">
        <is>
          <t>Phó Trưởng Phòng Kiểm Soát Nội Bộ</t>
        </is>
      </c>
      <c r="D8396" s="10" t="inlineStr">
        <is>
          <t>Công Ty Cổ Phần Tập Đoàn Trần Anh Long An</t>
        </is>
      </c>
      <c r="E8396" s="10" t="inlineStr">
        <is>
          <t>Lương:Cạnh tranh</t>
        </is>
      </c>
      <c r="F8396" s="10" t="inlineStr">
        <is>
          <t>Long An</t>
        </is>
      </c>
      <c r="G8396" s="10" t="inlineStr">
        <is>
          <t>14-04-2026</t>
        </is>
      </c>
      <c r="H8396" s="10" t="inlineStr">
        <is>
          <t>14/04/2026</t>
        </is>
      </c>
      <c r="I8396" s="10" t="inlineStr">
        <is>
          <t>17/03/2026</t>
        </is>
      </c>
      <c r="J8396" s="10" t="inlineStr">
        <is>
          <t>Xây dựng, Quản lý điều hành, Nhân sự</t>
        </is>
      </c>
      <c r="K8396" s="10" t="inlineStr">
        <is>
          <t>5 - 10 Năm</t>
        </is>
      </c>
      <c r="L8396" s="11">
        <f>HYPERLINK("https://careerviet.vn/vi/tim-viec-lam/pho-truong-phong-kiem-soat-noi-bo.35C659B6.html","Xem chi tiết")</f>
        <v/>
      </c>
      <c r="M8396" s="10" t="n"/>
    </row>
    <row r="8397">
      <c r="B8397" s="7" t="n">
        <v>8395</v>
      </c>
      <c r="C8397" t="inlineStr">
        <is>
          <t>Nhân viên kế toán</t>
        </is>
      </c>
      <c r="D8397" t="inlineStr">
        <is>
          <t>CÔNG TY TNHH LIÊN DOANH QUỐC TẾ PETS CHOICE</t>
        </is>
      </c>
      <c r="E8397" t="inlineStr">
        <is>
          <t>Lương:8 Tr - 11 Tr VND</t>
        </is>
      </c>
      <c r="F8397" t="inlineStr">
        <is>
          <t>Hà Nội</t>
        </is>
      </c>
      <c r="G8397" t="inlineStr">
        <is>
          <t>14-04-2026</t>
        </is>
      </c>
      <c r="H8397" t="inlineStr">
        <is>
          <t>14/04/2026</t>
        </is>
      </c>
      <c r="I8397" t="inlineStr">
        <is>
          <t>17/03/2026</t>
        </is>
      </c>
      <c r="J8397" t="inlineStr">
        <is>
          <t>Kế toán / Kiểm toán</t>
        </is>
      </c>
      <c r="K8397" t="inlineStr">
        <is>
          <t>Chưa có kinh nghiệm</t>
        </is>
      </c>
      <c r="L8397" s="8">
        <f>HYPERLINK("https://careerviet.vn/vi/tim-viec-lam/nhan-vien-ke-toan.35C65702.html","Xem chi tiết")</f>
        <v/>
      </c>
    </row>
    <row r="8398">
      <c r="B8398" s="9" t="n">
        <v>8396</v>
      </c>
      <c r="C8398" s="10" t="inlineStr">
        <is>
          <t>Penetration Testing Engineer (mobile)</t>
        </is>
      </c>
      <c r="D8398" s="10" t="inlineStr">
        <is>
          <t>Công ty TNHH Viettel - CHT</t>
        </is>
      </c>
      <c r="E8398" s="10" t="inlineStr">
        <is>
          <t>Lương:Cạnh tranh</t>
        </is>
      </c>
      <c r="F8398" s="10" t="inlineStr">
        <is>
          <t>Hà Nội</t>
        </is>
      </c>
      <c r="G8398" s="10" t="inlineStr">
        <is>
          <t>01-04-2026</t>
        </is>
      </c>
      <c r="H8398" s="10" t="inlineStr">
        <is>
          <t>01/04/2026</t>
        </is>
      </c>
      <c r="I8398" s="10" t="inlineStr">
        <is>
          <t>17/03/2026</t>
        </is>
      </c>
      <c r="J8398" s="10" t="inlineStr">
        <is>
          <t>CNTT - Phần mềm, CNTT - Phần cứng / Mạng</t>
        </is>
      </c>
      <c r="K8398" s="10" t="inlineStr">
        <is>
          <t>Trên 2 Năm</t>
        </is>
      </c>
      <c r="L8398" s="11">
        <f>HYPERLINK("https://careerviet.vn/vi/tim-viec-lam/penetration-testing-engineer-mobile.35C6A5D7.html","Xem chi tiết")</f>
        <v/>
      </c>
      <c r="M8398" s="10" t="n"/>
    </row>
    <row r="8399">
      <c r="B8399" s="7" t="n">
        <v>8397</v>
      </c>
      <c r="C8399" t="inlineStr">
        <is>
          <t>Chuyên viên Kinh doanh Vật tư Nha khoa</t>
        </is>
      </c>
      <c r="D8399" t="inlineStr">
        <is>
          <t>CÔNG TY TNHH THIẾT BỊ Y TẾ KHẢI VINH</t>
        </is>
      </c>
      <c r="E8399" t="inlineStr">
        <is>
          <t>Lương:12 Tr - 20 Tr VND</t>
        </is>
      </c>
      <c r="F8399" t="inlineStr">
        <is>
          <t>Hồ Chí Minh</t>
        </is>
      </c>
      <c r="G8399" t="inlineStr">
        <is>
          <t>14-04-2026</t>
        </is>
      </c>
      <c r="H8399" t="inlineStr">
        <is>
          <t>14/04/2026</t>
        </is>
      </c>
      <c r="I8399" t="inlineStr">
        <is>
          <t>17/03/2026</t>
        </is>
      </c>
      <c r="J8399" t="inlineStr">
        <is>
          <t>Bán lẻ / Bán sỉ, Bán hàng / Kinh doanh, Y tế / Chăm sóc sức khỏe / Thẩm mỹ / Làm đẹp</t>
        </is>
      </c>
      <c r="K8399" t="inlineStr">
        <is>
          <t>N/A</t>
        </is>
      </c>
      <c r="L8399" s="8">
        <f>HYPERLINK("https://careerviet.vn/vi/tim-viec-lam/chuyen-vien-kinh-doanh-vat-tu-nha-khoa.35C68B38.html","Xem chi tiết")</f>
        <v/>
      </c>
    </row>
    <row r="8400">
      <c r="B8400" s="9" t="n">
        <v>8398</v>
      </c>
      <c r="C8400" s="10" t="inlineStr">
        <is>
          <t>CHUYÊN VIÊN KINH DOANH DỰ ÁN/B2B</t>
        </is>
      </c>
      <c r="D8400" s="10" t="inlineStr">
        <is>
          <t>CHI NHÁNH CÔNG TY TNHH CHUNGHO VINA HEALTH SOLUTION TẠI THÀNH PHỐ HỒ CHÍ MINH</t>
        </is>
      </c>
      <c r="E8400" s="10" t="inlineStr">
        <is>
          <t>Lương:17 Tr - 20 Tr VND</t>
        </is>
      </c>
      <c r="F8400" s="10" t="inlineStr">
        <is>
          <t>Hồ Chí Minh</t>
        </is>
      </c>
      <c r="G8400" s="10" t="inlineStr">
        <is>
          <t>14-04-2026</t>
        </is>
      </c>
      <c r="H8400" s="10" t="inlineStr">
        <is>
          <t>14/04/2026</t>
        </is>
      </c>
      <c r="I8400" s="10" t="inlineStr">
        <is>
          <t>17/03/2026</t>
        </is>
      </c>
      <c r="J8400" s="10" t="inlineStr">
        <is>
          <t>Bán hàng / Kinh doanh</t>
        </is>
      </c>
      <c r="K8400" s="10" t="inlineStr">
        <is>
          <t>2 - 4 Năm</t>
        </is>
      </c>
      <c r="L8400" s="11">
        <f>HYPERLINK("https://careerviet.vn/vi/tim-viec-lam/chuyen-vien-kinh-doanh-du-an-b2b.35C68B2F.html","Xem chi tiết")</f>
        <v/>
      </c>
      <c r="M8400" s="10" t="n"/>
    </row>
    <row r="8401">
      <c r="B8401" s="7" t="n">
        <v>8399</v>
      </c>
      <c r="C8401" t="inlineStr">
        <is>
          <t>Chuyên viên Tuyển dụng - Chi nhánh Hồ Chí Minh</t>
        </is>
      </c>
      <c r="D8401" t="inlineStr">
        <is>
          <t>Công Ty Cổ Phần Thép Việt Xô Hà Nội</t>
        </is>
      </c>
      <c r="E8401" t="inlineStr">
        <is>
          <t>Lương:13 Tr - 16 Tr VND</t>
        </is>
      </c>
      <c r="F8401" t="inlineStr">
        <is>
          <t>Hồ Chí MinhĐồng Nai</t>
        </is>
      </c>
      <c r="G8401" t="inlineStr">
        <is>
          <t>14-04-2026</t>
        </is>
      </c>
      <c r="H8401" t="inlineStr">
        <is>
          <t>14/04/2026</t>
        </is>
      </c>
      <c r="I8401" t="inlineStr">
        <is>
          <t>17/03/2026</t>
        </is>
      </c>
      <c r="J8401" t="inlineStr">
        <is>
          <t>Nhân sự</t>
        </is>
      </c>
      <c r="K8401" t="inlineStr">
        <is>
          <t>2 - 3 Năm</t>
        </is>
      </c>
      <c r="L8401" s="8">
        <f>HYPERLINK("https://careerviet.vn/vi/tim-viec-lam/chuyen-vien-tuyen-dung-chi-nhanh-ho-chi-minh.35C6899C.html","Xem chi tiết")</f>
        <v/>
      </c>
    </row>
    <row r="8402">
      <c r="B8402" s="9" t="n">
        <v>8400</v>
      </c>
      <c r="C8402" s="10" t="inlineStr">
        <is>
          <t>[HCM] Trưởng nhóm Kinh doanh Quốc tế - International sales Team Leader</t>
        </is>
      </c>
      <c r="D8402" s="10" t="inlineStr">
        <is>
          <t>CÔNG TY TNHH DAESANG VIỆT NAM</t>
        </is>
      </c>
      <c r="E8402" s="10" t="inlineStr">
        <is>
          <t>Lương:20 Tr - 30 Tr VND</t>
        </is>
      </c>
      <c r="F8402" s="10" t="inlineStr">
        <is>
          <t>Hồ Chí Minh</t>
        </is>
      </c>
      <c r="G8402" s="10" t="inlineStr">
        <is>
          <t>31-03-2026</t>
        </is>
      </c>
      <c r="H8402" s="10" t="inlineStr">
        <is>
          <t>31/03/2026</t>
        </is>
      </c>
      <c r="I8402" s="10" t="inlineStr">
        <is>
          <t>17/03/2026</t>
        </is>
      </c>
      <c r="J8402" s="10" t="inlineStr">
        <is>
          <t>Bán lẻ / Bán sỉ, Bán hàng / Kinh doanh, Xuất nhập khẩu</t>
        </is>
      </c>
      <c r="K8402" s="10" t="inlineStr">
        <is>
          <t>2 - 5 Năm</t>
        </is>
      </c>
      <c r="L8402" s="11">
        <f>HYPERLINK("https://careerviet.vn/vi/tim-viec-lam/hcm-truong-nhom-kinh-doanh-quoc-te-international-sales-team-leader.35C6A446.html","Xem chi tiết")</f>
        <v/>
      </c>
      <c r="M8402" s="10" t="n"/>
    </row>
    <row r="8403">
      <c r="B8403" s="7" t="n">
        <v>8401</v>
      </c>
      <c r="C8403" t="inlineStr">
        <is>
          <t>Senior Sales Engineer/Product Manager (Measuring Equipment)</t>
        </is>
      </c>
      <c r="D8403" t="inlineStr">
        <is>
          <t>Headhunter HRchannels Group</t>
        </is>
      </c>
      <c r="E8403" t="inlineStr">
        <is>
          <t>Lương:30 Tr - 40 Tr VND</t>
        </is>
      </c>
      <c r="F8403" t="inlineStr">
        <is>
          <t>Hà NộiBắc NinhHồ Chí Minh</t>
        </is>
      </c>
      <c r="G8403" t="inlineStr">
        <is>
          <t>14-04-2026</t>
        </is>
      </c>
      <c r="H8403" t="inlineStr">
        <is>
          <t>14/04/2026</t>
        </is>
      </c>
      <c r="I8403" t="inlineStr">
        <is>
          <t>17/03/2026</t>
        </is>
      </c>
      <c r="J8403" t="inlineStr">
        <is>
          <t>Bán hàng / Kinh doanh, Bán Hàng Kỹ Thuật, Y tế / Chăm sóc sức khỏe / Thẩm mỹ / Làm đẹp</t>
        </is>
      </c>
      <c r="K8403" t="inlineStr">
        <is>
          <t>3 - 11 Năm</t>
        </is>
      </c>
      <c r="L8403" s="8">
        <f>HYPERLINK("https://careerviet.vn/vi/tim-viec-lam/senior-sales-engineer-product-manager-measuring-equipment.35C689CC.html","Xem chi tiết")</f>
        <v/>
      </c>
    </row>
    <row r="8404">
      <c r="B8404" s="9" t="n">
        <v>8402</v>
      </c>
      <c r="C8404" s="10" t="inlineStr">
        <is>
          <t>Vĩnh Phúc - Quản lý Kho</t>
        </is>
      </c>
      <c r="D8404" s="10" t="inlineStr">
        <is>
          <t>Công Ty Cổ Phần Thép Việt Xô Hà Nội</t>
        </is>
      </c>
      <c r="E8404" s="10" t="inlineStr">
        <is>
          <t>Lương:13 Tr - 15 Tr VND</t>
        </is>
      </c>
      <c r="F8404" s="10" t="inlineStr">
        <is>
          <t>Vĩnh Phúc</t>
        </is>
      </c>
      <c r="G8404" s="10" t="inlineStr">
        <is>
          <t>14-04-2026</t>
        </is>
      </c>
      <c r="H8404" s="10" t="inlineStr">
        <is>
          <t>14/04/2026</t>
        </is>
      </c>
      <c r="I8404" s="10" t="inlineStr">
        <is>
          <t>17/03/2026</t>
        </is>
      </c>
      <c r="J8404" s="10" t="inlineStr">
        <is>
          <t>Vận chuyển / Giao nhận / Kho vận</t>
        </is>
      </c>
      <c r="K8404" s="10" t="inlineStr">
        <is>
          <t>2 - 3 Năm</t>
        </is>
      </c>
      <c r="L8404" s="11">
        <f>HYPERLINK("https://careerviet.vn/vi/tim-viec-lam/vinh-phuc-quan-ly-kho.35C68A13.html","Xem chi tiết")</f>
        <v/>
      </c>
      <c r="M8404" s="10" t="n"/>
    </row>
    <row r="8405">
      <c r="B8405" s="7" t="n">
        <v>8403</v>
      </c>
      <c r="C8405" t="inlineStr">
        <is>
          <t>CHUYÊN VIÊN TƯ VẤN GIÁO DỤC (OCEAN EDU PHỐ NỐI) - THU NHẬP HẤP DẪN TỪ 15 TRIỆU/THÁNG</t>
        </is>
      </c>
      <c r="D8405" t="inlineStr">
        <is>
          <t>Công Ty CP Giáo Dục Đại Dương</t>
        </is>
      </c>
      <c r="E8405" t="inlineStr">
        <is>
          <t>Lương:Cạnh tranh</t>
        </is>
      </c>
      <c r="F8405" t="inlineStr">
        <is>
          <t>Hưng Yên</t>
        </is>
      </c>
      <c r="G8405" t="inlineStr">
        <is>
          <t>01-04-2026</t>
        </is>
      </c>
      <c r="H8405" t="inlineStr">
        <is>
          <t>01/04/2026</t>
        </is>
      </c>
      <c r="I8405" t="inlineStr">
        <is>
          <t>17/03/2026</t>
        </is>
      </c>
      <c r="J8405" t="inlineStr">
        <is>
          <t>Dịch vụ khách hàng, Giáo dục / Đào tạo, Bán hàng / Kinh doanh</t>
        </is>
      </c>
      <c r="K8405" t="inlineStr">
        <is>
          <t>Lên đến 1 Năm</t>
        </is>
      </c>
      <c r="L8405" s="8">
        <f>HYPERLINK("https://careerviet.vn/vi/tim-viec-lam/chuyen-vien-tu-van-giao-duc-ocean-edu-pho-noi-thu-nhap-hap-dan-tu-15-trieu-thang.35C6A5CC.html","Xem chi tiết")</f>
        <v/>
      </c>
    </row>
    <row r="8406">
      <c r="B8406" s="9" t="n">
        <v>8404</v>
      </c>
      <c r="C8406" s="10" t="inlineStr">
        <is>
          <t>Key Account Manager (Chuyên viên Kinh doanh)</t>
        </is>
      </c>
      <c r="D8406" s="10" t="inlineStr">
        <is>
          <t>TTT Corporation</t>
        </is>
      </c>
      <c r="E8406" s="10" t="inlineStr">
        <is>
          <t>Lương:Cạnh tranh</t>
        </is>
      </c>
      <c r="F8406" s="10" t="inlineStr">
        <is>
          <t>Hồ Chí Minh</t>
        </is>
      </c>
      <c r="G8406" s="10" t="inlineStr">
        <is>
          <t>06-04-2026</t>
        </is>
      </c>
      <c r="H8406" s="10" t="inlineStr">
        <is>
          <t>06/04/2026</t>
        </is>
      </c>
      <c r="I8406" s="10" t="inlineStr">
        <is>
          <t>17/03/2026</t>
        </is>
      </c>
      <c r="J8406" s="10" t="inlineStr">
        <is>
          <t>Kiến trúc, Nội ngoại thất, Bất động sản</t>
        </is>
      </c>
      <c r="K8406" s="10" t="inlineStr">
        <is>
          <t>3 - 5 Năm</t>
        </is>
      </c>
      <c r="L8406" s="11">
        <f>HYPERLINK("https://careerviet.vn/vi/tim-viec-lam/key-account-manager-chuyen-vien-kinh-doanh.35C6A577.html","Xem chi tiết")</f>
        <v/>
      </c>
      <c r="M8406" s="10" t="n"/>
    </row>
    <row r="8407">
      <c r="B8407" s="7" t="n">
        <v>8405</v>
      </c>
      <c r="C8407" t="inlineStr">
        <is>
          <t>Giám sát Kỹ thuật Kiểm thử (PCBA)</t>
        </is>
      </c>
      <c r="D8407" t="inlineStr">
        <is>
          <t>Công ty TNHH Cicor Việt Nam</t>
        </is>
      </c>
      <c r="E8407" t="inlineStr">
        <is>
          <t>Lương:Cạnh tranh</t>
        </is>
      </c>
      <c r="F8407" t="inlineStr">
        <is>
          <t>Bình DươngHồ Chí Minh</t>
        </is>
      </c>
      <c r="G8407" t="inlineStr">
        <is>
          <t>01-04-2026</t>
        </is>
      </c>
      <c r="H8407" t="inlineStr">
        <is>
          <t>01/04/2026</t>
        </is>
      </c>
      <c r="I8407" t="inlineStr">
        <is>
          <t>17/03/2026</t>
        </is>
      </c>
      <c r="J8407" t="inlineStr">
        <is>
          <t>Điện / Điện tử / Điện lạnh / Điện công nghiệp, Sản xuất / Vận hành sản xuất</t>
        </is>
      </c>
      <c r="K8407" t="inlineStr">
        <is>
          <t>Trên 3 Năm</t>
        </is>
      </c>
      <c r="L8407" s="8">
        <f>HYPERLINK("https://careerviet.vn/vi/tim-viec-lam/giam-sat-ky-thuat-kiem-thu-pcba.35C6A520.html","Xem chi tiết")</f>
        <v/>
      </c>
    </row>
    <row r="8408">
      <c r="B8408" s="9" t="n">
        <v>8406</v>
      </c>
      <c r="C8408" s="10" t="inlineStr">
        <is>
          <t>ASM MIỀN BẮC (KHU VỰC ĐÔNG - TÂY BẮC)</t>
        </is>
      </c>
      <c r="D8408" s="10" t="inlineStr">
        <is>
          <t>Công ty Cổ phần TM-SX-DV Gia Thịnh Phát</t>
        </is>
      </c>
      <c r="E8408" s="10" t="inlineStr">
        <is>
          <t>Lương:30 Tr - 40 Tr VND</t>
        </is>
      </c>
      <c r="F8408" s="10" t="inlineStr">
        <is>
          <t>Hải PhòngPhú ThọQuảng Ninh</t>
        </is>
      </c>
      <c r="G8408" s="10" t="inlineStr">
        <is>
          <t>02-04-2026</t>
        </is>
      </c>
      <c r="H8408" s="10" t="inlineStr">
        <is>
          <t>02/04/2026</t>
        </is>
      </c>
      <c r="I8408" s="10" t="inlineStr">
        <is>
          <t>17/03/2026</t>
        </is>
      </c>
      <c r="J8408" s="10" t="inlineStr">
        <is>
          <t>Bán hàng / Kinh doanh, Thực phẩm &amp; Đồ uống, Quản lý điều hành</t>
        </is>
      </c>
      <c r="K8408" s="10" t="inlineStr">
        <is>
          <t>3 - 5 Năm</t>
        </is>
      </c>
      <c r="L8408" s="11">
        <f>HYPERLINK("https://careerviet.vn/vi/tim-viec-lam/asm-mien-bac-khu-vuc-dong-tay-bac.35C6A5A4.html","Xem chi tiết")</f>
        <v/>
      </c>
      <c r="M8408" s="10" t="n"/>
    </row>
    <row r="8409">
      <c r="B8409" s="7" t="n">
        <v>8407</v>
      </c>
      <c r="C8409" t="inlineStr">
        <is>
          <t>Nhân viên Nghiệp Vụ Đào Tạo</t>
        </is>
      </c>
      <c r="D8409" t="inlineStr">
        <is>
          <t>CÔNG TY TNHH THƯƠNG MẠI DỊCH VỤ ẨM THỰC ICOOL</t>
        </is>
      </c>
      <c r="E8409" t="inlineStr">
        <is>
          <t>Lương:9 Tr - 11 Tr VND</t>
        </is>
      </c>
      <c r="F8409" t="inlineStr">
        <is>
          <t>Hồ Chí Minh</t>
        </is>
      </c>
      <c r="G8409" t="inlineStr">
        <is>
          <t>31-03-2026</t>
        </is>
      </c>
      <c r="H8409" t="inlineStr">
        <is>
          <t>31/03/2026</t>
        </is>
      </c>
      <c r="I8409" t="inlineStr">
        <is>
          <t>17/03/2026</t>
        </is>
      </c>
      <c r="J8409" t="inlineStr">
        <is>
          <t>Giáo dục / Đào tạo</t>
        </is>
      </c>
      <c r="K8409" t="inlineStr">
        <is>
          <t>1 - 2 Năm</t>
        </is>
      </c>
      <c r="L8409" s="8">
        <f>HYPERLINK("https://careerviet.vn/vi/tim-viec-lam/nhan-vien-nghiep-vu-dao-tao.35C6A5CB.html","Xem chi tiết")</f>
        <v/>
      </c>
    </row>
    <row r="8410">
      <c r="B8410" s="9" t="n">
        <v>8408</v>
      </c>
      <c r="C8410" s="10" t="inlineStr">
        <is>
          <t>Giáo Viên Chủ Nhiệm (Ocean Edu Ân Thi) - Trúng Tuyển Đi Làm Luôn</t>
        </is>
      </c>
      <c r="D8410" s="10" t="inlineStr">
        <is>
          <t>Công Ty CP Giáo Dục Đại Dương</t>
        </is>
      </c>
      <c r="E8410" s="10" t="inlineStr">
        <is>
          <t>Lương:Cạnh tranh</t>
        </is>
      </c>
      <c r="F8410" s="10" t="inlineStr">
        <is>
          <t>Hưng Yên</t>
        </is>
      </c>
      <c r="G8410" s="10" t="inlineStr">
        <is>
          <t>01-04-2026</t>
        </is>
      </c>
      <c r="H8410" s="10" t="inlineStr">
        <is>
          <t>01/04/2026</t>
        </is>
      </c>
      <c r="I8410" s="10" t="inlineStr">
        <is>
          <t>17/03/2026</t>
        </is>
      </c>
      <c r="J8410" s="10" t="inlineStr">
        <is>
          <t>Giáo dục / Đào tạo, Bán hàng / Kinh doanh, Biên phiên dịch</t>
        </is>
      </c>
      <c r="K8410" s="10" t="inlineStr">
        <is>
          <t>Trên 1 Năm</t>
        </is>
      </c>
      <c r="L8410" s="11">
        <f>HYPERLINK("https://careerviet.vn/vi/tim-viec-lam/giao-vien-chu-nhiem-ocean-edu-an-thi-trung-tuyen-di-lam-luon.35C6A545.html","Xem chi tiết")</f>
        <v/>
      </c>
      <c r="M8410" s="10" t="n"/>
    </row>
    <row r="8411">
      <c r="B8411" s="7" t="n">
        <v>8409</v>
      </c>
      <c r="C8411" t="inlineStr">
        <is>
          <t>Customer Service - Good at English</t>
        </is>
      </c>
      <c r="D8411" t="inlineStr">
        <is>
          <t>Cty SGS Việt Nam TNHH</t>
        </is>
      </c>
      <c r="E8411" t="inlineStr">
        <is>
          <t>Lương:Cạnh tranh</t>
        </is>
      </c>
      <c r="F8411" t="inlineStr">
        <is>
          <t>Hồ Chí Minh</t>
        </is>
      </c>
      <c r="G8411" t="inlineStr">
        <is>
          <t>31-03-2026</t>
        </is>
      </c>
      <c r="H8411" t="inlineStr">
        <is>
          <t>31/03/2026</t>
        </is>
      </c>
      <c r="I8411" t="inlineStr">
        <is>
          <t>17/03/2026</t>
        </is>
      </c>
      <c r="J8411" t="inlineStr">
        <is>
          <t>Hóa học</t>
        </is>
      </c>
      <c r="K8411" t="inlineStr">
        <is>
          <t>N/A</t>
        </is>
      </c>
      <c r="L8411" s="8">
        <f>HYPERLINK("https://careerviet.vn/vi/tim-viec-lam/customer-service-good-at-english.35C6A5CA.html","Xem chi tiết")</f>
        <v/>
      </c>
    </row>
    <row r="8412">
      <c r="B8412" s="9" t="n">
        <v>8410</v>
      </c>
      <c r="C8412" s="10" t="inlineStr">
        <is>
          <t>Chuyên Viên Kỹ Thuật</t>
        </is>
      </c>
      <c r="D8412" s="10" t="inlineStr">
        <is>
          <t>Công Ty TNHH Thương Mại &amp; Công Nghệ Vinatoken</t>
        </is>
      </c>
      <c r="E8412" s="10" t="inlineStr">
        <is>
          <t>Lương:12 Tr - 17 Tr VND</t>
        </is>
      </c>
      <c r="F8412" s="10" t="inlineStr">
        <is>
          <t>Long An</t>
        </is>
      </c>
      <c r="G8412" s="10" t="inlineStr">
        <is>
          <t>25-03-2026</t>
        </is>
      </c>
      <c r="H8412" s="10" t="inlineStr">
        <is>
          <t>25/03/2026</t>
        </is>
      </c>
      <c r="I8412" s="10" t="inlineStr">
        <is>
          <t>17/03/2026</t>
        </is>
      </c>
      <c r="J8412" s="10" t="inlineStr">
        <is>
          <t>Bảo trì / Sửa chữa, Cơ khí / Ô tô / Tự động hóa, Điện / Điện tử / Điện lạnh / Điện công nghiệp</t>
        </is>
      </c>
      <c r="K8412" s="10" t="inlineStr">
        <is>
          <t>1 - 2 Năm</t>
        </is>
      </c>
      <c r="L8412" s="11">
        <f>HYPERLINK("https://careerviet.vn/vi/tim-viec-lam/chuyen-vien-ky-thuat.35C69C92.html","Xem chi tiết")</f>
        <v/>
      </c>
      <c r="M8412" s="10" t="n"/>
    </row>
    <row r="8413">
      <c r="B8413" s="7" t="n">
        <v>8411</v>
      </c>
      <c r="C8413" t="inlineStr">
        <is>
          <t>Payable Accountant - Kế Toán Thanh Toán Mảng Chi Phí</t>
        </is>
      </c>
      <c r="D8413" t="inlineStr">
        <is>
          <t>Concung.com - Con Cung Joint Stock Company</t>
        </is>
      </c>
      <c r="E8413" t="inlineStr">
        <is>
          <t>Lương:Cạnh tranh</t>
        </is>
      </c>
      <c r="F8413" t="inlineStr">
        <is>
          <t>Hồ Chí Minh</t>
        </is>
      </c>
      <c r="G8413" t="inlineStr">
        <is>
          <t>02-04-2026</t>
        </is>
      </c>
      <c r="H8413" t="inlineStr">
        <is>
          <t>02/04/2026</t>
        </is>
      </c>
      <c r="I8413" t="inlineStr">
        <is>
          <t>17/03/2026</t>
        </is>
      </c>
      <c r="J8413" t="inlineStr">
        <is>
          <t>Bán lẻ / Bán sỉ, Kế toán / Kiểm toán, Tài chính / Đầu tư</t>
        </is>
      </c>
      <c r="K8413" t="inlineStr">
        <is>
          <t>Trên 2 Năm</t>
        </is>
      </c>
      <c r="L8413" s="8">
        <f>HYPERLINK("https://careerviet.vn/vi/tim-viec-lam/payable-accountant-ke-toan-thanh-toan-mang-chi-phi.35C6A5D3.html","Xem chi tiết")</f>
        <v/>
      </c>
    </row>
    <row r="8414">
      <c r="B8414" s="9" t="n">
        <v>8412</v>
      </c>
      <c r="C8414" s="10" t="inlineStr">
        <is>
          <t>Quản lý kỹ thuật Thang máy</t>
        </is>
      </c>
      <c r="D8414" s="10" t="inlineStr">
        <is>
          <t>CÔNG TY CỔ PHẦN TẬP ĐOÀN DAT</t>
        </is>
      </c>
      <c r="E8414" s="10" t="inlineStr">
        <is>
          <t>Lương:20 Tr - 30 Tr VND</t>
        </is>
      </c>
      <c r="F8414" s="10" t="inlineStr">
        <is>
          <t>Hồ Chí Minh</t>
        </is>
      </c>
      <c r="G8414" s="10" t="inlineStr">
        <is>
          <t>31-03-2026</t>
        </is>
      </c>
      <c r="H8414" s="10" t="inlineStr">
        <is>
          <t>31/03/2026</t>
        </is>
      </c>
      <c r="I8414" s="10" t="inlineStr">
        <is>
          <t>17/03/2026</t>
        </is>
      </c>
      <c r="J8414" s="10" t="inlineStr">
        <is>
          <t>Bán Hàng Kỹ Thuật, Cơ khí / Ô tô / Tự động hóa, Bảo trì / Sửa chữa</t>
        </is>
      </c>
      <c r="K8414" s="10" t="inlineStr">
        <is>
          <t>3 - 5 Năm</t>
        </is>
      </c>
      <c r="L8414" s="11">
        <f>HYPERLINK("https://careerviet.vn/vi/tim-viec-lam/quan-ly-ky-thuat-thang-may.35C6A459.html","Xem chi tiết")</f>
        <v/>
      </c>
      <c r="M8414" s="10" t="n"/>
    </row>
    <row r="8415">
      <c r="B8415" s="7" t="n">
        <v>8413</v>
      </c>
      <c r="C8415" t="inlineStr">
        <is>
          <t>Amazon Store Operations &amp; Advertising Specialist</t>
        </is>
      </c>
      <c r="D8415" t="inlineStr">
        <is>
          <t>Công Ty TNHH TaeYang Việt Nam Chi Nhánh Đồng Nai</t>
        </is>
      </c>
      <c r="E8415" t="inlineStr">
        <is>
          <t>Lương:Trên 30 Tr VND</t>
        </is>
      </c>
      <c r="F8415" t="inlineStr">
        <is>
          <t>Hồ Chí Minh</t>
        </is>
      </c>
      <c r="G8415" t="inlineStr">
        <is>
          <t>02-04-2026</t>
        </is>
      </c>
      <c r="H8415" t="inlineStr">
        <is>
          <t>02/04/2026</t>
        </is>
      </c>
      <c r="I8415" t="inlineStr">
        <is>
          <t>17/03/2026</t>
        </is>
      </c>
      <c r="J8415" t="inlineStr">
        <is>
          <t>Bán hàng / Kinh doanh, Quản lý điều hành, Quảng cáo / Đối ngoại / Truyền Thông</t>
        </is>
      </c>
      <c r="K8415" t="inlineStr">
        <is>
          <t>Trên 4 Năm</t>
        </is>
      </c>
      <c r="L8415" s="8">
        <f>HYPERLINK("https://careerviet.vn/vi/tim-viec-lam/amazon-store-operations-advertising-specialist.35C6A497.html","Xem chi tiết")</f>
        <v/>
      </c>
    </row>
    <row r="8416">
      <c r="B8416" s="9" t="n">
        <v>8414</v>
      </c>
      <c r="C8416" s="10" t="inlineStr">
        <is>
          <t>Kế Toán Thuế</t>
        </is>
      </c>
      <c r="D8416" s="10" t="inlineStr">
        <is>
          <t>CÔNG TY TNHH TẬP ĐOÀN GTG</t>
        </is>
      </c>
      <c r="E8416" s="10" t="inlineStr">
        <is>
          <t>Lương:20 Tr - 25 Tr VND</t>
        </is>
      </c>
      <c r="F8416" s="10" t="inlineStr">
        <is>
          <t>Hà Nội</t>
        </is>
      </c>
      <c r="G8416" s="10" t="inlineStr">
        <is>
          <t>01-04-2026</t>
        </is>
      </c>
      <c r="H8416" s="10" t="inlineStr">
        <is>
          <t>01/04/2026</t>
        </is>
      </c>
      <c r="I8416" s="10" t="inlineStr">
        <is>
          <t>17/03/2026</t>
        </is>
      </c>
      <c r="J8416" s="10" t="inlineStr">
        <is>
          <t>Kế toán / Kiểm toán, Tài chính / Đầu tư</t>
        </is>
      </c>
      <c r="K8416" s="10" t="inlineStr">
        <is>
          <t>2 - 3 Năm</t>
        </is>
      </c>
      <c r="L8416" s="11">
        <f>HYPERLINK("https://careerviet.vn/vi/tim-viec-lam/ke-toan-thue.35C6A546.html","Xem chi tiết")</f>
        <v/>
      </c>
      <c r="M8416" s="10" t="n"/>
    </row>
    <row r="8417">
      <c r="B8417" s="7" t="n">
        <v>8415</v>
      </c>
      <c r="C8417" t="inlineStr">
        <is>
          <t>Giáo Viên Chủ Nhiệm (Ocean Edu Hòa Mạc) - Trúng Tuyển Đi Làm Luôn</t>
        </is>
      </c>
      <c r="D8417" t="inlineStr">
        <is>
          <t>Công Ty CP Giáo Dục Đại Dương</t>
        </is>
      </c>
      <c r="E8417" t="inlineStr">
        <is>
          <t>Lương:Cạnh tranh</t>
        </is>
      </c>
      <c r="F8417" t="inlineStr">
        <is>
          <t>Hà Nam</t>
        </is>
      </c>
      <c r="G8417" t="inlineStr">
        <is>
          <t>01-04-2026</t>
        </is>
      </c>
      <c r="H8417" t="inlineStr">
        <is>
          <t>01/04/2026</t>
        </is>
      </c>
      <c r="I8417" t="inlineStr">
        <is>
          <t>17/03/2026</t>
        </is>
      </c>
      <c r="J8417" t="inlineStr">
        <is>
          <t>Giáo dục / Đào tạo, Bán hàng / Kinh doanh, Biên phiên dịch</t>
        </is>
      </c>
      <c r="K8417" t="inlineStr">
        <is>
          <t>Trên 1 Năm</t>
        </is>
      </c>
      <c r="L8417" s="8">
        <f>HYPERLINK("https://careerviet.vn/vi/tim-viec-lam/giao-vien-chu-nhiem-ocean-edu-hoa-mac-trung-tuyen-di-lam-luon.35C6A5A8.html","Xem chi tiết")</f>
        <v/>
      </c>
    </row>
    <row r="8418">
      <c r="B8418" s="9" t="n">
        <v>8416</v>
      </c>
      <c r="C8418" s="10" t="inlineStr">
        <is>
          <t>Purchasing Executive (Sourcing Specialist)</t>
        </is>
      </c>
      <c r="D8418" s="10" t="inlineStr">
        <is>
          <t>CÔNG TY TNHH ĐIỆN TỬ MAKIPOS</t>
        </is>
      </c>
      <c r="E8418" s="10" t="inlineStr">
        <is>
          <t>Lương:Cạnh tranh</t>
        </is>
      </c>
      <c r="F8418" s="10" t="inlineStr">
        <is>
          <t>Hà Nội</t>
        </is>
      </c>
      <c r="G8418" s="10" t="inlineStr">
        <is>
          <t>02-04-2026</t>
        </is>
      </c>
      <c r="H8418" s="10" t="inlineStr">
        <is>
          <t>02/04/2026</t>
        </is>
      </c>
      <c r="I8418" s="10" t="inlineStr">
        <is>
          <t>17/03/2026</t>
        </is>
      </c>
      <c r="J8418" s="10" t="inlineStr">
        <is>
          <t>Điện / Điện tử / Điện lạnh / Điện công nghiệp, Cơ khí / Ô tô / Tự động hóa, Bảo trì / Sửa chữa</t>
        </is>
      </c>
      <c r="K8418" s="10" t="inlineStr">
        <is>
          <t>Trên 1 Năm</t>
        </is>
      </c>
      <c r="L8418" s="11">
        <f>HYPERLINK("https://careerviet.vn/vi/tim-viec-lam/purchasing-executive-sourcing-specialist.35C6A4A1.html","Xem chi tiết")</f>
        <v/>
      </c>
      <c r="M8418" s="10" t="n"/>
    </row>
    <row r="8419">
      <c r="B8419" s="7" t="n">
        <v>8417</v>
      </c>
      <c r="C8419" t="inlineStr">
        <is>
          <t>Finance and Back Office Manager</t>
        </is>
      </c>
      <c r="D8419" t="inlineStr">
        <is>
          <t>Công Ty TNHH TaeYang Việt Nam Chi Nhánh Đồng Nai</t>
        </is>
      </c>
      <c r="E8419" t="inlineStr">
        <is>
          <t>Lương:Trên 50 Tr VND</t>
        </is>
      </c>
      <c r="F8419" t="inlineStr">
        <is>
          <t>Hồ Chí Minh</t>
        </is>
      </c>
      <c r="G8419" t="inlineStr">
        <is>
          <t>02-04-2026</t>
        </is>
      </c>
      <c r="H8419" t="inlineStr">
        <is>
          <t>02/04/2026</t>
        </is>
      </c>
      <c r="I8419" t="inlineStr">
        <is>
          <t>17/03/2026</t>
        </is>
      </c>
      <c r="J8419" t="inlineStr">
        <is>
          <t>Tài chính / Đầu tư, Kế toán / Kiểm toán, Hành chính / Thư ký</t>
        </is>
      </c>
      <c r="K8419" t="inlineStr">
        <is>
          <t>Trên 5 Năm</t>
        </is>
      </c>
      <c r="L8419" s="8">
        <f>HYPERLINK("https://careerviet.vn/vi/tim-viec-lam/finance-and-back-office-manager.35C6A494.html","Xem chi tiết")</f>
        <v/>
      </c>
    </row>
    <row r="8420">
      <c r="B8420" s="9" t="n">
        <v>8418</v>
      </c>
      <c r="C8420" s="10" t="inlineStr">
        <is>
          <t>CHUYÊN VIÊN TƯ VẤN GIÁO DỤC (OCEAN EDU HÒA MẠC) - THU NHẬP HẤP DẪN TỪ 15 TRIỆU/THÁNG</t>
        </is>
      </c>
      <c r="D8420" s="10" t="inlineStr">
        <is>
          <t>Công Ty CP Giáo Dục Đại Dương</t>
        </is>
      </c>
      <c r="E8420" s="10" t="inlineStr">
        <is>
          <t>Lương:Cạnh tranh</t>
        </is>
      </c>
      <c r="F8420" s="10" t="inlineStr">
        <is>
          <t>Hà Nam</t>
        </is>
      </c>
      <c r="G8420" s="10" t="inlineStr">
        <is>
          <t>01-04-2026</t>
        </is>
      </c>
      <c r="H8420" s="10" t="inlineStr">
        <is>
          <t>01/04/2026</t>
        </is>
      </c>
      <c r="I8420" s="10" t="inlineStr">
        <is>
          <t>17/03/2026</t>
        </is>
      </c>
      <c r="J8420" s="10" t="inlineStr">
        <is>
          <t>Dịch vụ khách hàng, Giáo dục / Đào tạo, Bán hàng / Kinh doanh</t>
        </is>
      </c>
      <c r="K8420" s="10" t="inlineStr">
        <is>
          <t>Lên đến 1 Năm</t>
        </is>
      </c>
      <c r="L8420" s="11">
        <f>HYPERLINK("https://careerviet.vn/vi/tim-viec-lam/chuyen-vien-tu-van-giao-duc-ocean-edu-hoa-mac-thu-nhap-hap-dan-tu-15-trieu-thang.35C6A5A6.html","Xem chi tiết")</f>
        <v/>
      </c>
      <c r="M8420" s="10" t="n"/>
    </row>
    <row r="8421">
      <c r="B8421" s="7" t="n">
        <v>8419</v>
      </c>
      <c r="C8421" t="inlineStr">
        <is>
          <t>Employer Branding &amp; Sourcing Officer</t>
        </is>
      </c>
      <c r="D8421" t="inlineStr">
        <is>
          <t>HD SAISON Finance Co., Ltd</t>
        </is>
      </c>
      <c r="E8421" t="inlineStr">
        <is>
          <t>Lương:Cạnh tranh</t>
        </is>
      </c>
      <c r="F8421" t="inlineStr">
        <is>
          <t>Hồ Chí Minh</t>
        </is>
      </c>
      <c r="G8421" t="inlineStr">
        <is>
          <t>01-04-2026</t>
        </is>
      </c>
      <c r="H8421" t="inlineStr">
        <is>
          <t>01/04/2026</t>
        </is>
      </c>
      <c r="I8421" t="inlineStr">
        <is>
          <t>17/03/2026</t>
        </is>
      </c>
      <c r="J8421" t="inlineStr">
        <is>
          <t>Nhân sự, Quảng cáo / Đối ngoại / Truyền Thông</t>
        </is>
      </c>
      <c r="K8421" t="inlineStr">
        <is>
          <t>1 - 2 Năm</t>
        </is>
      </c>
      <c r="L8421" s="8">
        <f>HYPERLINK("https://careerviet.vn/vi/tim-viec-lam/employer-branding-sourcing-officer.35C6A677.html","Xem chi tiết")</f>
        <v/>
      </c>
    </row>
    <row r="8422">
      <c r="B8422" s="9" t="n">
        <v>8420</v>
      </c>
      <c r="C8422" s="10" t="inlineStr">
        <is>
          <t>Kế Toán Kiêm Hành Chính Nhân Sự</t>
        </is>
      </c>
      <c r="D8422" s="10" t="inlineStr">
        <is>
          <t>CÔNG TY TNHH THỰC PHẨM CUỘC SỐNG</t>
        </is>
      </c>
      <c r="E8422" s="10" t="inlineStr">
        <is>
          <t>Lương:10 Tr - 12 Tr VND</t>
        </is>
      </c>
      <c r="F8422" s="10" t="inlineStr">
        <is>
          <t>Hồ Chí Minh</t>
        </is>
      </c>
      <c r="G8422" s="10" t="inlineStr">
        <is>
          <t>01-04-2026</t>
        </is>
      </c>
      <c r="H8422" s="10" t="inlineStr">
        <is>
          <t>01/04/2026</t>
        </is>
      </c>
      <c r="I8422" s="10" t="inlineStr">
        <is>
          <t>17/03/2026</t>
        </is>
      </c>
      <c r="J8422" s="10" t="inlineStr">
        <is>
          <t>Hành chính / Thư ký, Nhân sự, Kế toán / Kiểm toán</t>
        </is>
      </c>
      <c r="K8422" s="10" t="inlineStr">
        <is>
          <t>Trên 1 Năm</t>
        </is>
      </c>
      <c r="L8422" s="11">
        <f>HYPERLINK("https://careerviet.vn/vi/tim-viec-lam/ke-toan-kiem-hanh-chinh-nhan-su.35C6A3BF.html","Xem chi tiết")</f>
        <v/>
      </c>
      <c r="M8422" s="10" t="n"/>
    </row>
    <row r="8423">
      <c r="B8423" s="7" t="n">
        <v>8421</v>
      </c>
      <c r="C8423" t="inlineStr">
        <is>
          <t>Nhân viên Sale Admin (Ocean Edu Bình Giang) - Phỏng vấn đi làm ngay</t>
        </is>
      </c>
      <c r="D8423" t="inlineStr">
        <is>
          <t>Công Ty CP Giáo Dục Đại Dương</t>
        </is>
      </c>
      <c r="E8423" t="inlineStr">
        <is>
          <t>Lương:Cạnh tranh</t>
        </is>
      </c>
      <c r="F8423" t="inlineStr">
        <is>
          <t>Hải Dương</t>
        </is>
      </c>
      <c r="G8423" t="inlineStr">
        <is>
          <t>01-04-2026</t>
        </is>
      </c>
      <c r="H8423" t="inlineStr">
        <is>
          <t>01/04/2026</t>
        </is>
      </c>
      <c r="I8423" t="inlineStr">
        <is>
          <t>17/03/2026</t>
        </is>
      </c>
      <c r="J8423" t="inlineStr">
        <is>
          <t>Kế toán / Kiểm toán, Giáo dục / Đào tạo, Nhân sự</t>
        </is>
      </c>
      <c r="K8423" t="inlineStr">
        <is>
          <t>Lên đến 1 Năm</t>
        </is>
      </c>
      <c r="L8423" s="8">
        <f>HYPERLINK("https://careerviet.vn/vi/tim-viec-lam/nhan-vien-sale-admin-ocean-edu-binh-giang-phong-van-di-lam-ngay.35C6A599.html","Xem chi tiết")</f>
        <v/>
      </c>
    </row>
    <row r="8424">
      <c r="B8424" s="9" t="n">
        <v>8422</v>
      </c>
      <c r="C8424" s="10" t="inlineStr">
        <is>
          <t>CHUYÊN VIÊN TƯ VẤN GIÁO DỤC (OCEAN EDU THANH HÓA) - THU NHẬP HẤP DẪN TỪ 15 TRIỆU/THÁNG</t>
        </is>
      </c>
      <c r="D8424" s="10" t="inlineStr">
        <is>
          <t>Công Ty CP Giáo Dục Đại Dương</t>
        </is>
      </c>
      <c r="E8424" s="10" t="inlineStr">
        <is>
          <t>Lương:Cạnh tranh</t>
        </is>
      </c>
      <c r="F8424" s="10" t="inlineStr">
        <is>
          <t>Thanh Hóa</t>
        </is>
      </c>
      <c r="G8424" s="10" t="inlineStr">
        <is>
          <t>01-04-2026</t>
        </is>
      </c>
      <c r="H8424" s="10" t="inlineStr">
        <is>
          <t>01/04/2026</t>
        </is>
      </c>
      <c r="I8424" s="10" t="inlineStr">
        <is>
          <t>17/03/2026</t>
        </is>
      </c>
      <c r="J8424" s="10" t="inlineStr">
        <is>
          <t>Dịch vụ khách hàng, Giáo dục / Đào tạo, Bán hàng / Kinh doanh</t>
        </is>
      </c>
      <c r="K8424" s="10" t="inlineStr">
        <is>
          <t>Lên đến 1 Năm</t>
        </is>
      </c>
      <c r="L8424" s="11">
        <f>HYPERLINK("https://careerviet.vn/vi/tim-viec-lam/chuyen-vien-tu-van-giao-duc-ocean-edu-thanh-hoa-thu-nhap-hap-dan-tu-15-trieu-thang.35C6A4FE.html","Xem chi tiết")</f>
        <v/>
      </c>
      <c r="M8424" s="10" t="n"/>
    </row>
    <row r="8425">
      <c r="B8425" s="7" t="n">
        <v>8423</v>
      </c>
      <c r="C8425" t="inlineStr">
        <is>
          <t>NHÂN VIÊN VẬN HÀNH CNC</t>
        </is>
      </c>
      <c r="D8425" t="inlineStr">
        <is>
          <t>Công ty Cổ phần ĐẠI ĐỒNG TIẾN</t>
        </is>
      </c>
      <c r="E8425" t="inlineStr">
        <is>
          <t>Lương:9 Tr - 15 Tr VND</t>
        </is>
      </c>
      <c r="F8425" t="inlineStr">
        <is>
          <t>Hồ Chí Minh</t>
        </is>
      </c>
      <c r="G8425" t="inlineStr">
        <is>
          <t>01-04-2026</t>
        </is>
      </c>
      <c r="H8425" t="inlineStr">
        <is>
          <t>01/04/2026</t>
        </is>
      </c>
      <c r="I8425" t="inlineStr">
        <is>
          <t>17/03/2026</t>
        </is>
      </c>
      <c r="J8425" t="inlineStr">
        <is>
          <t>Cơ khí / Ô tô / Tự động hóa, Điện / Điện tử / Điện lạnh / Điện công nghiệp, Bảo trì / Sửa chữa</t>
        </is>
      </c>
      <c r="K8425" t="inlineStr">
        <is>
          <t>1 - 2 Năm</t>
        </is>
      </c>
      <c r="L8425" s="8">
        <f>HYPERLINK("https://careerviet.vn/vi/tim-viec-lam/nhan-vien-van-hanh-cnc.35C6A2C5.html","Xem chi tiết")</f>
        <v/>
      </c>
    </row>
    <row r="8426">
      <c r="B8426" s="9" t="n">
        <v>8424</v>
      </c>
      <c r="C8426" s="10" t="inlineStr">
        <is>
          <t>Giáo Viên Chủ Nhiệm (Ocean Edu Vĩnh Lộc) - Trúng Tuyển Đi Làm Luôn</t>
        </is>
      </c>
      <c r="D8426" s="10" t="inlineStr">
        <is>
          <t>Công Ty CP Giáo Dục Đại Dương</t>
        </is>
      </c>
      <c r="E8426" s="10" t="inlineStr">
        <is>
          <t>Lương:Cạnh tranh</t>
        </is>
      </c>
      <c r="F8426" s="10" t="inlineStr">
        <is>
          <t>Thanh Hóa</t>
        </is>
      </c>
      <c r="G8426" s="10" t="inlineStr">
        <is>
          <t>01-04-2026</t>
        </is>
      </c>
      <c r="H8426" s="10" t="inlineStr">
        <is>
          <t>01/04/2026</t>
        </is>
      </c>
      <c r="I8426" s="10" t="inlineStr">
        <is>
          <t>17/03/2026</t>
        </is>
      </c>
      <c r="J8426" s="10" t="inlineStr">
        <is>
          <t>Giáo dục / Đào tạo, Bán hàng / Kinh doanh, Biên phiên dịch</t>
        </is>
      </c>
      <c r="K8426" s="10" t="inlineStr">
        <is>
          <t>Trên 1 Năm</t>
        </is>
      </c>
      <c r="L8426" s="11">
        <f>HYPERLINK("https://careerviet.vn/vi/tim-viec-lam/giao-vien-chu-nhiem-ocean-edu-vinh-loc-trung-tuyen-di-lam-luon.35C6A515.html","Xem chi tiết")</f>
        <v/>
      </c>
      <c r="M8426" s="10" t="n"/>
    </row>
    <row r="8427">
      <c r="B8427" s="7" t="n">
        <v>8425</v>
      </c>
      <c r="C8427" t="inlineStr">
        <is>
          <t>[HCM] Senior Lab Technician (Ngành Hàng Khoáng Sản)</t>
        </is>
      </c>
      <c r="D8427" t="inlineStr">
        <is>
          <t>Cty SGS Việt Nam TNHH</t>
        </is>
      </c>
      <c r="E8427" t="inlineStr">
        <is>
          <t>Lương:Cạnh tranh</t>
        </is>
      </c>
      <c r="F8427" t="inlineStr">
        <is>
          <t>Hồ Chí Minh</t>
        </is>
      </c>
      <c r="G8427" t="inlineStr">
        <is>
          <t>02-04-2026</t>
        </is>
      </c>
      <c r="H8427" t="inlineStr">
        <is>
          <t>02/04/2026</t>
        </is>
      </c>
      <c r="I8427" t="inlineStr">
        <is>
          <t>17/03/2026</t>
        </is>
      </c>
      <c r="J8427" t="inlineStr">
        <is>
          <t>Khoáng sản, Hóa học, Quản lý chất lượng (QA/QC)</t>
        </is>
      </c>
      <c r="K8427" t="inlineStr">
        <is>
          <t>2 - 3 Năm</t>
        </is>
      </c>
      <c r="L8427" s="8">
        <f>HYPERLINK("https://careerviet.vn/vi/tim-viec-lam/hcm-senior-lab-technician-nganh-hang-khoang-san.35C6A4BC.html","Xem chi tiết")</f>
        <v/>
      </c>
    </row>
    <row r="8428">
      <c r="B8428" s="9" t="n">
        <v>8426</v>
      </c>
      <c r="C8428" s="10" t="inlineStr">
        <is>
          <t>[Quy Nhơn] Chuyên Viên Khách Hàng Cá Nhân</t>
        </is>
      </c>
      <c r="D8428" s="10" t="inlineStr">
        <is>
          <t>Ngân hàng TMCP Đại Chúng Việt Nam - PVcomBank</t>
        </is>
      </c>
      <c r="E8428" s="10" t="inlineStr">
        <is>
          <t>Lương:Cạnh tranh</t>
        </is>
      </c>
      <c r="F8428" s="10" t="inlineStr">
        <is>
          <t>Cần Thơ</t>
        </is>
      </c>
      <c r="G8428" s="10" t="inlineStr">
        <is>
          <t>01-04-2026</t>
        </is>
      </c>
      <c r="H8428" s="10" t="inlineStr">
        <is>
          <t>01/04/2026</t>
        </is>
      </c>
      <c r="I8428" s="10" t="inlineStr">
        <is>
          <t>17/03/2026</t>
        </is>
      </c>
      <c r="J8428" s="10" t="inlineStr">
        <is>
          <t>Ngân hàng, Tài chính / Đầu tư</t>
        </is>
      </c>
      <c r="K8428" s="10" t="inlineStr">
        <is>
          <t>Trên 1 Năm</t>
        </is>
      </c>
      <c r="L8428" s="11">
        <f>HYPERLINK("https://careerviet.vn/vi/tim-viec-lam/quy-nhon-chuyen-vien-khach-hang-ca-nhan.35C6A39E.html","Xem chi tiết")</f>
        <v/>
      </c>
      <c r="M8428" s="10" t="n"/>
    </row>
    <row r="8429">
      <c r="B8429" s="7" t="n">
        <v>8427</v>
      </c>
      <c r="C8429" t="inlineStr">
        <is>
          <t>Air Cargo Reservation &amp; Customer Services (Hà Nội)</t>
        </is>
      </c>
      <c r="D8429" t="inlineStr">
        <is>
          <t>CÔNG TY CỔ PHẦN ITL AVIATION LOGISTICS</t>
        </is>
      </c>
      <c r="E8429" t="inlineStr">
        <is>
          <t>Lương:Cạnh tranh</t>
        </is>
      </c>
      <c r="F8429" t="inlineStr">
        <is>
          <t>Hà Nội</t>
        </is>
      </c>
      <c r="G8429" t="inlineStr">
        <is>
          <t>01-04-2026</t>
        </is>
      </c>
      <c r="H8429" t="inlineStr">
        <is>
          <t>01/04/2026</t>
        </is>
      </c>
      <c r="I8429" t="inlineStr">
        <is>
          <t>17/03/2026</t>
        </is>
      </c>
      <c r="J8429" t="inlineStr">
        <is>
          <t>Hàng không, Vận chuyển / Giao nhận / Kho vận, Bán hàng / Kinh doanh</t>
        </is>
      </c>
      <c r="K8429" t="inlineStr">
        <is>
          <t>2 - 3 Năm</t>
        </is>
      </c>
      <c r="L8429" s="8">
        <f>HYPERLINK("https://careerviet.vn/vi/tim-viec-lam/air-cargo-reservation-customer-services-ha-noi.35C6A432.html","Xem chi tiết")</f>
        <v/>
      </c>
    </row>
    <row r="8430">
      <c r="B8430" s="9" t="n">
        <v>8428</v>
      </c>
      <c r="C8430" s="10" t="inlineStr">
        <is>
          <t>Livestream Host - Thời Trang (Full-Time)</t>
        </is>
      </c>
      <c r="D8430" s="10" t="inlineStr">
        <is>
          <t>Vascara Group</t>
        </is>
      </c>
      <c r="E8430" s="10" t="inlineStr">
        <is>
          <t>Lương:Cạnh tranh</t>
        </is>
      </c>
      <c r="F8430" s="10" t="inlineStr">
        <is>
          <t>Hồ Chí Minh</t>
        </is>
      </c>
      <c r="G8430" s="10" t="inlineStr">
        <is>
          <t>02-04-2026</t>
        </is>
      </c>
      <c r="H8430" s="10" t="inlineStr">
        <is>
          <t>02/04/2026</t>
        </is>
      </c>
      <c r="I8430" s="10" t="inlineStr">
        <is>
          <t>17/03/2026</t>
        </is>
      </c>
      <c r="J8430" s="10" t="inlineStr">
        <is>
          <t>Tiếp thị / Marketing, Tiếp thị trực tuyến, Quảng cáo / Đối ngoại / Truyền Thông</t>
        </is>
      </c>
      <c r="K8430" s="10" t="inlineStr">
        <is>
          <t>1 - 2 Năm</t>
        </is>
      </c>
      <c r="L8430" s="11">
        <f>HYPERLINK("https://careerviet.vn/vi/tim-viec-lam/livestream-host-thoi-trang-full-time.35C6A604.html","Xem chi tiết")</f>
        <v/>
      </c>
      <c r="M8430" s="10" t="n"/>
    </row>
    <row r="8431">
      <c r="B8431" s="7" t="n">
        <v>8429</v>
      </c>
      <c r="C8431" t="inlineStr">
        <is>
          <t>Nhân Viên Tài Chính Kế Toán</t>
        </is>
      </c>
      <c r="D8431" t="inlineStr">
        <is>
          <t>CÔNG TY CỔ PHẦN ĐẦU TƯ TÂN ĐẠI LONG</t>
        </is>
      </c>
      <c r="E8431" t="inlineStr">
        <is>
          <t>Lương:Cạnh tranh</t>
        </is>
      </c>
      <c r="F8431" t="inlineStr">
        <is>
          <t>Hà Nội</t>
        </is>
      </c>
      <c r="G8431" t="inlineStr">
        <is>
          <t>15-04-2026</t>
        </is>
      </c>
      <c r="H8431" t="inlineStr">
        <is>
          <t>15/04/2026</t>
        </is>
      </c>
      <c r="I8431" t="inlineStr">
        <is>
          <t>17/03/2026</t>
        </is>
      </c>
      <c r="J8431" t="inlineStr">
        <is>
          <t>Tài chính / Đầu tư, Kế toán / Kiểm toán, Xây dựng</t>
        </is>
      </c>
      <c r="K8431" t="inlineStr">
        <is>
          <t>N/A</t>
        </is>
      </c>
      <c r="L8431" s="8">
        <f>HYPERLINK("https://careerviet.vn/vi/tim-viec-lam/nhan-vien-tai-chinh-ke-toan.35C6A580.html","Xem chi tiết")</f>
        <v/>
      </c>
    </row>
    <row r="8432">
      <c r="B8432" s="9" t="n">
        <v>8430</v>
      </c>
      <c r="C8432" s="10" t="inlineStr">
        <is>
          <t>PHÓ PHÒNG KẾ TOÁN / KẾ TOÁN TRƯỞNG</t>
        </is>
      </c>
      <c r="D8432" s="10" t="inlineStr">
        <is>
          <t>Công ty cổ phần Nafoods Group</t>
        </is>
      </c>
      <c r="E8432" s="10" t="inlineStr">
        <is>
          <t>Lương:13 Tr - 25 Tr VND</t>
        </is>
      </c>
      <c r="F8432" s="10" t="inlineStr">
        <is>
          <t>Bình Thuận</t>
        </is>
      </c>
      <c r="G8432" s="10" t="inlineStr">
        <is>
          <t>31-03-2026</t>
        </is>
      </c>
      <c r="H8432" s="10" t="inlineStr">
        <is>
          <t>31/03/2026</t>
        </is>
      </c>
      <c r="I8432" s="10" t="inlineStr">
        <is>
          <t>17/03/2026</t>
        </is>
      </c>
      <c r="J8432" s="10" t="inlineStr">
        <is>
          <t>Sản xuất / Vận hành sản xuất</t>
        </is>
      </c>
      <c r="K8432" s="10" t="inlineStr">
        <is>
          <t>3 - 7 Năm</t>
        </is>
      </c>
      <c r="L8432" s="11">
        <f>HYPERLINK("https://careerviet.vn/vi/tim-viec-lam/pho-phong-ke-toan-ke-toan-truong.35C6A57D.html","Xem chi tiết")</f>
        <v/>
      </c>
      <c r="M8432" s="10" t="n"/>
    </row>
    <row r="8433">
      <c r="B8433" s="7" t="n">
        <v>8431</v>
      </c>
      <c r="C8433" t="inlineStr">
        <is>
          <t>Kế toán thanh toán</t>
        </is>
      </c>
      <c r="D8433" t="inlineStr">
        <is>
          <t>CÔNG TY TNHH MĂMMY VIỆT NAM</t>
        </is>
      </c>
      <c r="E8433" t="inlineStr">
        <is>
          <t>Lương:10 Tr - 12 Tr VND</t>
        </is>
      </c>
      <c r="F8433" t="inlineStr">
        <is>
          <t>Hồ Chí Minh</t>
        </is>
      </c>
      <c r="G8433" t="inlineStr">
        <is>
          <t>31-03-2026</t>
        </is>
      </c>
      <c r="H8433" t="inlineStr">
        <is>
          <t>31/03/2026</t>
        </is>
      </c>
      <c r="I8433" t="inlineStr">
        <is>
          <t>17/03/2026</t>
        </is>
      </c>
      <c r="J8433" t="inlineStr">
        <is>
          <t>Kế toán / Kiểm toán</t>
        </is>
      </c>
      <c r="K8433" t="inlineStr">
        <is>
          <t>1 - 2 Năm</t>
        </is>
      </c>
      <c r="L8433" s="8">
        <f>HYPERLINK("https://careerviet.vn/vi/tim-viec-lam/ke-toan-thanh-toan.35C6A574.html","Xem chi tiết")</f>
        <v/>
      </c>
    </row>
    <row r="8434">
      <c r="B8434" s="9" t="n">
        <v>8432</v>
      </c>
      <c r="C8434" s="10" t="inlineStr">
        <is>
          <t>Nhân viên Xay mẫu - Lao động phổ thông</t>
        </is>
      </c>
      <c r="D8434" s="10" t="inlineStr">
        <is>
          <t>Cty SGS Việt Nam TNHH</t>
        </is>
      </c>
      <c r="E8434" s="10" t="inlineStr">
        <is>
          <t>Lương:7,3 Tr - 8 Tr VND</t>
        </is>
      </c>
      <c r="F8434" s="10" t="inlineStr">
        <is>
          <t>Hồ Chí Minh</t>
        </is>
      </c>
      <c r="G8434" s="10" t="inlineStr">
        <is>
          <t>31-03-2026</t>
        </is>
      </c>
      <c r="H8434" s="10" t="inlineStr">
        <is>
          <t>31/03/2026</t>
        </is>
      </c>
      <c r="I8434" s="10" t="inlineStr">
        <is>
          <t>17/03/2026</t>
        </is>
      </c>
      <c r="J8434" s="10" t="inlineStr">
        <is>
          <t>Lao động phổ thông</t>
        </is>
      </c>
      <c r="K8434" s="10" t="inlineStr">
        <is>
          <t>Chưa có kinh nghiệm</t>
        </is>
      </c>
      <c r="L8434" s="11">
        <f>HYPERLINK("https://careerviet.vn/vi/tim-viec-lam/nhan-vien-xay-mau-lao-dong-pho-thong.35C6A484.html","Xem chi tiết")</f>
        <v/>
      </c>
      <c r="M8434" s="10" t="n"/>
    </row>
    <row r="8435">
      <c r="B8435" s="7" t="n">
        <v>8433</v>
      </c>
      <c r="C8435" t="inlineStr">
        <is>
          <t>CHUYÊN VIÊN TƯ VẤN GIÁO DỤC (OCEAN EDU THANH HÓA 2) - THU NHẬP HẤP DẪN TỪ 15 TRIỆU/THÁNG</t>
        </is>
      </c>
      <c r="D8435" t="inlineStr">
        <is>
          <t>Công Ty CP Giáo Dục Đại Dương</t>
        </is>
      </c>
      <c r="E8435" t="inlineStr">
        <is>
          <t>Lương:Cạnh tranh</t>
        </is>
      </c>
      <c r="F8435" t="inlineStr">
        <is>
          <t>Thanh Hóa</t>
        </is>
      </c>
      <c r="G8435" t="inlineStr">
        <is>
          <t>01-04-2026</t>
        </is>
      </c>
      <c r="H8435" t="inlineStr">
        <is>
          <t>01/04/2026</t>
        </is>
      </c>
      <c r="I8435" t="inlineStr">
        <is>
          <t>17/03/2026</t>
        </is>
      </c>
      <c r="J8435" t="inlineStr">
        <is>
          <t>Dịch vụ khách hàng, Giáo dục / Đào tạo, Bán hàng / Kinh doanh</t>
        </is>
      </c>
      <c r="K8435" t="inlineStr">
        <is>
          <t>Lên đến 1 Năm</t>
        </is>
      </c>
      <c r="L8435" s="8">
        <f>HYPERLINK("https://careerviet.vn/vi/tim-viec-lam/chuyen-vien-tu-van-giao-duc-ocean-edu-thanh-hoa-2-thu-nhap-hap-dan-tu-15-trieu-thang.35C6A508.html","Xem chi tiết")</f>
        <v/>
      </c>
    </row>
    <row r="8436">
      <c r="B8436" s="9" t="n">
        <v>8434</v>
      </c>
      <c r="C8436" s="10" t="inlineStr">
        <is>
          <t>Chuyên viên QLTK Quy hoạch - Concept R&amp;D</t>
        </is>
      </c>
      <c r="D8436" s="10" t="inlineStr">
        <is>
          <t>CÔNG TY CỔ PHẦN CLOUD PROPERTY</t>
        </is>
      </c>
      <c r="E8436" s="10" t="inlineStr">
        <is>
          <t>Lương:25 Tr - 30 Tr VND</t>
        </is>
      </c>
      <c r="F8436" s="10" t="inlineStr">
        <is>
          <t>Hà Nội</t>
        </is>
      </c>
      <c r="G8436" s="10" t="inlineStr">
        <is>
          <t>30-04-2026</t>
        </is>
      </c>
      <c r="H8436" s="10" t="inlineStr">
        <is>
          <t>30/04/2026</t>
        </is>
      </c>
      <c r="I8436" s="10" t="inlineStr">
        <is>
          <t>17/03/2026</t>
        </is>
      </c>
      <c r="J8436" s="10" t="inlineStr">
        <is>
          <t>Kiến trúc, Bất động sản, Xây dựng</t>
        </is>
      </c>
      <c r="K8436" s="10" t="inlineStr">
        <is>
          <t>5 - 10 Năm</t>
        </is>
      </c>
      <c r="L8436" s="11">
        <f>HYPERLINK("https://careerviet.vn/vi/tim-viec-lam/chuyen-vien-qltk-quy-hoach-concept-r-d.35C6A583.html","Xem chi tiết")</f>
        <v/>
      </c>
      <c r="M8436" s="10" t="n"/>
    </row>
    <row r="8437">
      <c r="B8437" s="7" t="n">
        <v>8435</v>
      </c>
      <c r="C8437" t="inlineStr">
        <is>
          <t>Kế Toán Kiểm Soát Công Nợ Phải Thu</t>
        </is>
      </c>
      <c r="D8437" t="inlineStr">
        <is>
          <t>Tập Đoàn Tân Á Đại Thành</t>
        </is>
      </c>
      <c r="E8437" t="inlineStr">
        <is>
          <t>Lương:10 Tr - 11 Tr VND</t>
        </is>
      </c>
      <c r="F8437" t="inlineStr">
        <is>
          <t>Hà Nội</t>
        </is>
      </c>
      <c r="G8437" t="inlineStr">
        <is>
          <t>01-04-2026</t>
        </is>
      </c>
      <c r="H8437" t="inlineStr">
        <is>
          <t>01/04/2026</t>
        </is>
      </c>
      <c r="I8437" t="inlineStr">
        <is>
          <t>17/03/2026</t>
        </is>
      </c>
      <c r="J8437" t="inlineStr">
        <is>
          <t>Kế toán / Kiểm toán</t>
        </is>
      </c>
      <c r="K8437" t="inlineStr">
        <is>
          <t>1 - 3 Năm</t>
        </is>
      </c>
      <c r="L8437" s="8">
        <f>HYPERLINK("https://careerviet.vn/vi/tim-viec-lam/ke-toan-kiem-soat-cong-no-phai-thu.35C6A416.html","Xem chi tiết")</f>
        <v/>
      </c>
    </row>
    <row r="8438">
      <c r="B8438" s="9" t="n">
        <v>8436</v>
      </c>
      <c r="C8438" s="10" t="inlineStr">
        <is>
          <t>Kỹ sư thiết kế CAD (Khuôn mẫu)</t>
        </is>
      </c>
      <c r="D8438" s="10" t="inlineStr">
        <is>
          <t>Công ty Cổ phần Việt Chuẩn</t>
        </is>
      </c>
      <c r="E8438" s="10" t="inlineStr">
        <is>
          <t>Lương:Trên 10 Tr VND</t>
        </is>
      </c>
      <c r="F8438" s="10" t="inlineStr">
        <is>
          <t>Hà Nội</t>
        </is>
      </c>
      <c r="G8438" s="10" t="inlineStr">
        <is>
          <t>03-04-2026</t>
        </is>
      </c>
      <c r="H8438" s="10" t="inlineStr">
        <is>
          <t>03/04/2026</t>
        </is>
      </c>
      <c r="I8438" s="10" t="inlineStr">
        <is>
          <t>17/03/2026</t>
        </is>
      </c>
      <c r="J8438" s="10" t="inlineStr">
        <is>
          <t>Cơ khí / Ô tô / Tự động hóa, Sản xuất / Vận hành sản xuất</t>
        </is>
      </c>
      <c r="K8438" s="10" t="inlineStr">
        <is>
          <t>Trên 1 Năm</t>
        </is>
      </c>
      <c r="L8438" s="11">
        <f>HYPERLINK("https://careerviet.vn/vi/tim-viec-lam/ky-su-thiet-ke-cad-khuon-mau.35C6A4D6.html","Xem chi tiết")</f>
        <v/>
      </c>
      <c r="M8438" s="10" t="n"/>
    </row>
    <row r="8439">
      <c r="B8439" s="7" t="n">
        <v>8437</v>
      </c>
      <c r="C8439" t="inlineStr">
        <is>
          <t>Giám đốc Dịch vụ - Ban Giám đốc, CN. Phước Long (CN26.23)</t>
        </is>
      </c>
      <c r="D8439" t="inlineStr">
        <is>
          <t>Ngân Hàng TMCP Quân Đội</t>
        </is>
      </c>
      <c r="E8439" t="inlineStr">
        <is>
          <t>Lương:Cạnh tranh</t>
        </is>
      </c>
      <c r="F8439" t="inlineStr">
        <is>
          <t>Đồng Nai</t>
        </is>
      </c>
      <c r="G8439" t="inlineStr">
        <is>
          <t>02-04-2026</t>
        </is>
      </c>
      <c r="H8439" t="inlineStr">
        <is>
          <t>02/04/2026</t>
        </is>
      </c>
      <c r="I8439" t="inlineStr">
        <is>
          <t>17/03/2026</t>
        </is>
      </c>
      <c r="J8439" t="inlineStr">
        <is>
          <t>Ngân hàng, Quản lý điều hành, Tài chính / Đầu tư</t>
        </is>
      </c>
      <c r="K8439" t="inlineStr">
        <is>
          <t>Trên 3 Năm</t>
        </is>
      </c>
      <c r="L8439" s="8">
        <f>HYPERLINK("https://careerviet.vn/vi/tim-viec-lam/giam-doc-dich-vu-ban-giam-doc-cn-phuoc-long-cn26-23.35C6A53B.html","Xem chi tiết")</f>
        <v/>
      </c>
    </row>
    <row r="8440">
      <c r="B8440" s="9" t="n">
        <v>8438</v>
      </c>
      <c r="C8440" s="10" t="inlineStr">
        <is>
          <t>Nhân viên Sale Online</t>
        </is>
      </c>
      <c r="D8440" s="10" t="inlineStr">
        <is>
          <t>Công ty TNHH SXTM XNK Minh Hiền</t>
        </is>
      </c>
      <c r="E8440" s="10" t="inlineStr">
        <is>
          <t>Lương:11 Tr - 15 Tr VND</t>
        </is>
      </c>
      <c r="F8440" s="10" t="inlineStr">
        <is>
          <t>Hồ Chí Minh</t>
        </is>
      </c>
      <c r="G8440" s="10" t="inlineStr">
        <is>
          <t>30-04-2026</t>
        </is>
      </c>
      <c r="H8440" s="10" t="inlineStr">
        <is>
          <t>30/04/2026</t>
        </is>
      </c>
      <c r="I8440" s="10" t="inlineStr">
        <is>
          <t>17/03/2026</t>
        </is>
      </c>
      <c r="J8440" s="10" t="inlineStr">
        <is>
          <t>Tiếp thị trực tuyến, Thương mại điện tử</t>
        </is>
      </c>
      <c r="K8440" s="10" t="inlineStr">
        <is>
          <t>Chưa có kinh nghiệm</t>
        </is>
      </c>
      <c r="L8440" s="11">
        <f>HYPERLINK("https://careerviet.vn/vi/tim-viec-lam/nhan-vien-sale-online.35C6A49E.html","Xem chi tiết")</f>
        <v/>
      </c>
      <c r="M8440" s="10" t="n"/>
    </row>
    <row r="8441">
      <c r="B8441" s="7" t="n">
        <v>8439</v>
      </c>
      <c r="C8441" t="inlineStr">
        <is>
          <t>TRƯỞNG PHÒNG HÀNH CHÍNH</t>
        </is>
      </c>
      <c r="D8441" t="inlineStr">
        <is>
          <t>CÔNG TY TNHH ĐẦU TƯ Y TẾ QUỐC TẾ DND – SÀI GÒN</t>
        </is>
      </c>
      <c r="E8441" t="inlineStr">
        <is>
          <t>Lương:Cạnh tranh</t>
        </is>
      </c>
      <c r="F8441" t="inlineStr">
        <is>
          <t>Hà Nội</t>
        </is>
      </c>
      <c r="G8441" t="inlineStr">
        <is>
          <t>02-04-2026</t>
        </is>
      </c>
      <c r="H8441" t="inlineStr">
        <is>
          <t>02/04/2026</t>
        </is>
      </c>
      <c r="I8441" t="inlineStr">
        <is>
          <t>17/03/2026</t>
        </is>
      </c>
      <c r="J8441" t="inlineStr">
        <is>
          <t>Y tế / Chăm sóc sức khỏe / Thẩm mỹ / Làm đẹp</t>
        </is>
      </c>
      <c r="K8441" t="inlineStr">
        <is>
          <t>3 - 5 Năm</t>
        </is>
      </c>
      <c r="L8441" s="8">
        <f>HYPERLINK("https://careerviet.vn/vi/tim-viec-lam/truong-phong-hanh-chinh.35C6A4EA.html","Xem chi tiết")</f>
        <v/>
      </c>
    </row>
    <row r="8442">
      <c r="B8442" s="9" t="n">
        <v>8440</v>
      </c>
      <c r="C8442" s="10" t="inlineStr">
        <is>
          <t>Nhân Viên Dinh Dưỡng</t>
        </is>
      </c>
      <c r="D8442" s="10" t="inlineStr">
        <is>
          <t>Tập Đoàn An Phát Holdings</t>
        </is>
      </c>
      <c r="E8442" s="10" t="inlineStr">
        <is>
          <t>Lương:8,5 Tr - 13 Tr VND</t>
        </is>
      </c>
      <c r="F8442" s="10" t="inlineStr">
        <is>
          <t>Hải Dương</t>
        </is>
      </c>
      <c r="G8442" s="10" t="inlineStr">
        <is>
          <t>30-03-2026</t>
        </is>
      </c>
      <c r="H8442" s="10" t="inlineStr">
        <is>
          <t>30/03/2026</t>
        </is>
      </c>
      <c r="I8442" s="10" t="inlineStr">
        <is>
          <t>17/03/2026</t>
        </is>
      </c>
      <c r="J8442" s="10" t="inlineStr">
        <is>
          <t>Sản xuất / Vận hành sản xuất</t>
        </is>
      </c>
      <c r="K8442" s="10" t="inlineStr">
        <is>
          <t>1 - 2 Năm</t>
        </is>
      </c>
      <c r="L8442" s="11">
        <f>HYPERLINK("https://careerviet.vn/vi/tim-viec-lam/nhan-vien-dinh-duong.35C6A522.html","Xem chi tiết")</f>
        <v/>
      </c>
      <c r="M8442" s="10" t="n"/>
    </row>
    <row r="8443">
      <c r="B8443" s="7" t="n">
        <v>8441</v>
      </c>
      <c r="C8443" t="inlineStr">
        <is>
          <t>Nhân Viên Khảo Sát Khách Hàng Viettel Post tại Phạm Văn Đồng - Làm giờ hành chính</t>
        </is>
      </c>
      <c r="D8443" t="inlineStr">
        <is>
          <t>CÔNG TY CỔ PHẦN TRUYỀN THÔNG KIM CƯƠNG</t>
        </is>
      </c>
      <c r="E8443" t="inlineStr">
        <is>
          <t>Lương:7 Tr - 9 Tr VND</t>
        </is>
      </c>
      <c r="F8443" t="inlineStr">
        <is>
          <t>Hà Nội</t>
        </is>
      </c>
      <c r="G8443" t="inlineStr">
        <is>
          <t>31-03-2026</t>
        </is>
      </c>
      <c r="H8443" t="inlineStr">
        <is>
          <t>31/03/2026</t>
        </is>
      </c>
      <c r="I8443" t="inlineStr">
        <is>
          <t>17/03/2026</t>
        </is>
      </c>
      <c r="J8443" t="inlineStr">
        <is>
          <t>Dịch vụ khách hàng, Tư vấn, Vận chuyển / Giao nhận / Kho vận</t>
        </is>
      </c>
      <c r="K8443" t="inlineStr">
        <is>
          <t>Chưa có kinh nghiệm</t>
        </is>
      </c>
      <c r="L8443" s="8">
        <f>HYPERLINK("https://careerviet.vn/vi/tim-viec-lam/nhan-vien-khao-sat-khach-hang-viettel-post-tai-pham-van-dong-lam-gio-hanh-chinh.35C6A51E.html","Xem chi tiết")</f>
        <v/>
      </c>
    </row>
    <row r="8444">
      <c r="B8444" s="9" t="n">
        <v>8442</v>
      </c>
      <c r="C8444" s="10" t="inlineStr">
        <is>
          <t>THỰC TẬP SINH TƯ VẤN ĐẦU TƯ KHCN (CN ĐỒNG NAI )</t>
        </is>
      </c>
      <c r="D8444" s="10" t="inlineStr">
        <is>
          <t>VDSC - Công ty CP Chứng khoán Rồng Việt</t>
        </is>
      </c>
      <c r="E8444" s="10" t="inlineStr">
        <is>
          <t>Lương:3 Tr - 5 Tr VND</t>
        </is>
      </c>
      <c r="F8444" s="10" t="inlineStr">
        <is>
          <t>Đồng Nai</t>
        </is>
      </c>
      <c r="G8444" s="10" t="inlineStr">
        <is>
          <t>30-04-2026</t>
        </is>
      </c>
      <c r="H8444" s="10" t="inlineStr">
        <is>
          <t>30/04/2026</t>
        </is>
      </c>
      <c r="I8444" s="10" t="inlineStr">
        <is>
          <t>17/03/2026</t>
        </is>
      </c>
      <c r="J8444" s="10" t="inlineStr">
        <is>
          <t>Ngân hàng, Chứng khoán, Tài chính / Đầu tư</t>
        </is>
      </c>
      <c r="K8444" s="10" t="inlineStr">
        <is>
          <t>N/A</t>
        </is>
      </c>
      <c r="L8444" s="11">
        <f>HYPERLINK("https://careerviet.vn/vi/tim-viec-lam/thuc-tap-sinh-tu-van-dau-tu-khcn-cn-dong-nai.35C6A4D0.html","Xem chi tiết")</f>
        <v/>
      </c>
      <c r="M8444" s="10" t="n"/>
    </row>
    <row r="8445">
      <c r="B8445" s="7" t="n">
        <v>8443</v>
      </c>
      <c r="C8445" t="inlineStr">
        <is>
          <t>Chuyên viên Quản lý giao dịch</t>
        </is>
      </c>
      <c r="D8445" t="inlineStr">
        <is>
          <t>Công ty Cổ phần Chứng khoán DNSE</t>
        </is>
      </c>
      <c r="E8445" t="inlineStr">
        <is>
          <t>Lương:800 - 1.000 USD</t>
        </is>
      </c>
      <c r="F8445" t="inlineStr">
        <is>
          <t>Hà Nội</t>
        </is>
      </c>
      <c r="G8445" t="inlineStr">
        <is>
          <t>02-04-2026</t>
        </is>
      </c>
      <c r="H8445" t="inlineStr">
        <is>
          <t>02/04/2026</t>
        </is>
      </c>
      <c r="I8445" t="inlineStr">
        <is>
          <t>17/03/2026</t>
        </is>
      </c>
      <c r="J8445" t="inlineStr">
        <is>
          <t>Chứng khoán, Tài chính / Đầu tư</t>
        </is>
      </c>
      <c r="K8445" t="inlineStr">
        <is>
          <t>Trên 4 Năm</t>
        </is>
      </c>
      <c r="L8445" s="8">
        <f>HYPERLINK("https://careerviet.vn/vi/tim-viec-lam/chuyen-vien-quan-ly-giao-dich.35C6A530.html","Xem chi tiết")</f>
        <v/>
      </c>
    </row>
    <row r="8446">
      <c r="B8446" s="9" t="n">
        <v>8444</v>
      </c>
      <c r="C8446" s="10" t="inlineStr">
        <is>
          <t>Nhân viên Chăm sóc Khách hàng Ca đêm Dự án TMĐT</t>
        </is>
      </c>
      <c r="D8446" s="10" t="inlineStr">
        <is>
          <t>Công Ty TNHH Việt Mỹ-SSU</t>
        </is>
      </c>
      <c r="E8446" s="10" t="inlineStr">
        <is>
          <t>Lương:9 Tr - 11 Tr VND</t>
        </is>
      </c>
      <c r="F8446" s="10" t="inlineStr">
        <is>
          <t>Hồ Chí Minh</t>
        </is>
      </c>
      <c r="G8446" s="10" t="inlineStr">
        <is>
          <t>02-04-2026</t>
        </is>
      </c>
      <c r="H8446" s="10" t="inlineStr">
        <is>
          <t>02/04/2026</t>
        </is>
      </c>
      <c r="I8446" s="10" t="inlineStr">
        <is>
          <t>17/03/2026</t>
        </is>
      </c>
      <c r="J8446" s="10" t="inlineStr">
        <is>
          <t>Thương mại điện tử, Dịch vụ khách hàng, Mới tốt nghiệp / Thực tập</t>
        </is>
      </c>
      <c r="K8446" s="10" t="inlineStr">
        <is>
          <t>N/A</t>
        </is>
      </c>
      <c r="L8446" s="11">
        <f>HYPERLINK("https://careerviet.vn/vi/tim-viec-lam/nhan-vien-cham-soc-khach-hang-ca-dem-du-an-tmdt.35C618D6.html","Xem chi tiết")</f>
        <v/>
      </c>
      <c r="M8446" s="10" t="n"/>
    </row>
    <row r="8447">
      <c r="B8447" s="7" t="n">
        <v>8445</v>
      </c>
      <c r="C8447" t="inlineStr">
        <is>
          <t>[Hà Nội]Nhân viên kế toán công nợ</t>
        </is>
      </c>
      <c r="D8447" t="inlineStr">
        <is>
          <t>Tập Đoàn Tân Á Đại Thành</t>
        </is>
      </c>
      <c r="E8447" t="inlineStr">
        <is>
          <t>Lương:10 Tr - 11 Tr VND</t>
        </is>
      </c>
      <c r="F8447" t="inlineStr">
        <is>
          <t>Hà Nội</t>
        </is>
      </c>
      <c r="G8447" t="inlineStr">
        <is>
          <t>31-03-2026</t>
        </is>
      </c>
      <c r="H8447" t="inlineStr">
        <is>
          <t>31/03/2026</t>
        </is>
      </c>
      <c r="I8447" t="inlineStr">
        <is>
          <t>17/03/2026</t>
        </is>
      </c>
      <c r="J8447" t="inlineStr">
        <is>
          <t>Kế toán / Kiểm toán</t>
        </is>
      </c>
      <c r="K8447" t="inlineStr">
        <is>
          <t>1 - 3 Năm</t>
        </is>
      </c>
      <c r="L8447" s="8">
        <f>HYPERLINK("https://careerviet.vn/vi/tim-viec-lam/ha-noi-nhan-vien-ke-toan-cong-no.35C6A501.html","Xem chi tiết")</f>
        <v/>
      </c>
    </row>
    <row r="8448">
      <c r="B8448" s="9" t="n">
        <v>8446</v>
      </c>
      <c r="C8448" s="10" t="inlineStr">
        <is>
          <t>CHUYÊN VIÊN TƯ VẤN GIÁO DỤC (OCEAN EDU SẦM SƠN) - THU NHẬP HẤP DẪN TỪ 15 TRIỆU/THÁNG</t>
        </is>
      </c>
      <c r="D8448" s="10" t="inlineStr">
        <is>
          <t>Công Ty CP Giáo Dục Đại Dương</t>
        </is>
      </c>
      <c r="E8448" s="10" t="inlineStr">
        <is>
          <t>Lương:Cạnh tranh</t>
        </is>
      </c>
      <c r="F8448" s="10" t="inlineStr">
        <is>
          <t>Thanh Hóa</t>
        </is>
      </c>
      <c r="G8448" s="10" t="inlineStr">
        <is>
          <t>01-04-2026</t>
        </is>
      </c>
      <c r="H8448" s="10" t="inlineStr">
        <is>
          <t>01/04/2026</t>
        </is>
      </c>
      <c r="I8448" s="10" t="inlineStr">
        <is>
          <t>17/03/2026</t>
        </is>
      </c>
      <c r="J8448" s="10" t="inlineStr">
        <is>
          <t>Dịch vụ khách hàng, Giáo dục / Đào tạo, Bán hàng / Kinh doanh</t>
        </is>
      </c>
      <c r="K8448" s="10" t="inlineStr">
        <is>
          <t>Lên đến 1 Năm</t>
        </is>
      </c>
      <c r="L8448" s="11">
        <f>HYPERLINK("https://careerviet.vn/vi/tim-viec-lam/chuyen-vien-tu-van-giao-duc-ocean-edu-sam-son-thu-nhap-hap-dan-tu-15-trieu-thang.35C6A4F6.html","Xem chi tiết")</f>
        <v/>
      </c>
      <c r="M8448" s="10" t="n"/>
    </row>
    <row r="8449">
      <c r="B8449" s="7" t="n">
        <v>8447</v>
      </c>
      <c r="C8449" t="inlineStr">
        <is>
          <t>Giáo Viên Chủ Nhiệm (Ocean Edu Sầm Sơn) - Trúng Tuyển Đi Làm Luôn</t>
        </is>
      </c>
      <c r="D8449" t="inlineStr">
        <is>
          <t>Công Ty CP Giáo Dục Đại Dương</t>
        </is>
      </c>
      <c r="E8449" t="inlineStr">
        <is>
          <t>Lương:Cạnh tranh</t>
        </is>
      </c>
      <c r="F8449" t="inlineStr">
        <is>
          <t>Thanh Hóa</t>
        </is>
      </c>
      <c r="G8449" t="inlineStr">
        <is>
          <t>01-04-2026</t>
        </is>
      </c>
      <c r="H8449" t="inlineStr">
        <is>
          <t>01/04/2026</t>
        </is>
      </c>
      <c r="I8449" t="inlineStr">
        <is>
          <t>17/03/2026</t>
        </is>
      </c>
      <c r="J8449" t="inlineStr">
        <is>
          <t>Giáo dục / Đào tạo, Bán hàng / Kinh doanh, Biên phiên dịch</t>
        </is>
      </c>
      <c r="K8449" t="inlineStr">
        <is>
          <t>Trên 1 Năm</t>
        </is>
      </c>
      <c r="L8449" s="8">
        <f>HYPERLINK("https://careerviet.vn/vi/tim-viec-lam/giao-vien-chu-nhiem-ocean-edu-sam-son-trung-tuyen-di-lam-luon.35C6A4F9.html","Xem chi tiết")</f>
        <v/>
      </c>
    </row>
    <row r="8450">
      <c r="B8450" s="9" t="n">
        <v>8448</v>
      </c>
      <c r="C8450" s="10" t="inlineStr">
        <is>
          <t>Nhân viên Chăm sóc Khách hàng Kênh Chat Sàn TMĐT (Part-time)</t>
        </is>
      </c>
      <c r="D8450" s="10" t="inlineStr">
        <is>
          <t>Công Ty TNHH Việt Mỹ-SSU</t>
        </is>
      </c>
      <c r="E8450" s="10" t="inlineStr">
        <is>
          <t>Lương:4 Tr - 7 Tr VND</t>
        </is>
      </c>
      <c r="F8450" s="10" t="inlineStr">
        <is>
          <t>Hồ Chí Minh</t>
        </is>
      </c>
      <c r="G8450" s="10" t="inlineStr">
        <is>
          <t>31-03-2026</t>
        </is>
      </c>
      <c r="H8450" s="10" t="inlineStr">
        <is>
          <t>31/03/2026</t>
        </is>
      </c>
      <c r="I8450" s="10" t="inlineStr">
        <is>
          <t>17/03/2026</t>
        </is>
      </c>
      <c r="J8450" s="10" t="inlineStr">
        <is>
          <t>Thương mại điện tử, Tư vấn, Dịch vụ khách hàng</t>
        </is>
      </c>
      <c r="K8450" s="10" t="inlineStr">
        <is>
          <t>N/A</t>
        </is>
      </c>
      <c r="L8450" s="11">
        <f>HYPERLINK("https://careerviet.vn/vi/tim-viec-lam/nhan-vien-cham-soc-khach-hang-kenh-chat-san-tmdt-part-time.35C6162F.html","Xem chi tiết")</f>
        <v/>
      </c>
      <c r="M8450" s="10" t="n"/>
    </row>
    <row r="8451">
      <c r="B8451" s="7" t="n">
        <v>8449</v>
      </c>
      <c r="C8451" t="inlineStr">
        <is>
          <t>Giáo Viên Chủ Nhiệm (Ocean Edu Nghi Sơnng) - Trúng Tuyển Đi Làm Luôn</t>
        </is>
      </c>
      <c r="D8451" t="inlineStr">
        <is>
          <t>Công Ty CP Giáo Dục Đại Dương</t>
        </is>
      </c>
      <c r="E8451" t="inlineStr">
        <is>
          <t>Lương:Cạnh tranh</t>
        </is>
      </c>
      <c r="F8451" t="inlineStr">
        <is>
          <t>Thanh Hóa</t>
        </is>
      </c>
      <c r="G8451" t="inlineStr">
        <is>
          <t>01-04-2026</t>
        </is>
      </c>
      <c r="H8451" t="inlineStr">
        <is>
          <t>01/04/2026</t>
        </is>
      </c>
      <c r="I8451" t="inlineStr">
        <is>
          <t>17/03/2026</t>
        </is>
      </c>
      <c r="J8451" t="inlineStr">
        <is>
          <t>Giáo dục / Đào tạo, Bán hàng / Kinh doanh, Biên phiên dịch</t>
        </is>
      </c>
      <c r="K8451" t="inlineStr">
        <is>
          <t>Trên 1 Năm</t>
        </is>
      </c>
      <c r="L8451" s="8">
        <f>HYPERLINK("https://careerviet.vn/vi/tim-viec-lam/giao-vien-chu-nhiem-ocean-edu-nghi-sonng-trung-tuyen-di-lam-luon.35C6A4F2.html","Xem chi tiết")</f>
        <v/>
      </c>
    </row>
    <row r="8452">
      <c r="B8452" s="9" t="n">
        <v>8450</v>
      </c>
      <c r="C8452" s="10" t="inlineStr">
        <is>
          <t>Nhân Viên Chăm Sóc Khách Hàng Sàn TMĐT (Ca Đêm)</t>
        </is>
      </c>
      <c r="D8452" s="10" t="inlineStr">
        <is>
          <t>Công Ty TNHH Việt Mỹ-SSU</t>
        </is>
      </c>
      <c r="E8452" s="10" t="inlineStr">
        <is>
          <t>Lương:9 Tr - 11 Tr VND</t>
        </is>
      </c>
      <c r="F8452" s="10" t="inlineStr">
        <is>
          <t>Hồ Chí Minh</t>
        </is>
      </c>
      <c r="G8452" s="10" t="inlineStr">
        <is>
          <t>11-04-2026</t>
        </is>
      </c>
      <c r="H8452" s="10" t="inlineStr">
        <is>
          <t>11/04/2026</t>
        </is>
      </c>
      <c r="I8452" s="10" t="inlineStr">
        <is>
          <t>17/03/2026</t>
        </is>
      </c>
      <c r="J8452" s="10" t="inlineStr">
        <is>
          <t>Thương mại điện tử</t>
        </is>
      </c>
      <c r="K8452" s="10" t="inlineStr">
        <is>
          <t>N/A</t>
        </is>
      </c>
      <c r="L8452" s="11">
        <f>HYPERLINK("https://careerviet.vn/vi/tim-viec-lam/nhan-vien-cham-soc-khach-hang-san-tmdt-ca-dem.35C6A5B6.html","Xem chi tiết")</f>
        <v/>
      </c>
      <c r="M8452" s="10" t="n"/>
    </row>
    <row r="8453">
      <c r="B8453" s="7" t="n">
        <v>8451</v>
      </c>
      <c r="C8453" t="inlineStr">
        <is>
          <t>NHÂN VIÊN THIẾT KẾ ĐIỆN</t>
        </is>
      </c>
      <c r="D8453" t="inlineStr">
        <is>
          <t>Công ty Cổ phần Giải pháp Tự động hóa ETEK</t>
        </is>
      </c>
      <c r="E8453" t="inlineStr">
        <is>
          <t>Lương:9,1 Tr - 15 Tr VND</t>
        </is>
      </c>
      <c r="F8453" t="inlineStr">
        <is>
          <t>Hà Nội</t>
        </is>
      </c>
      <c r="G8453" t="inlineStr">
        <is>
          <t>31-03-2026</t>
        </is>
      </c>
      <c r="H8453" t="inlineStr">
        <is>
          <t>31/03/2026</t>
        </is>
      </c>
      <c r="I8453" t="inlineStr">
        <is>
          <t>17/03/2026</t>
        </is>
      </c>
      <c r="J8453" t="inlineStr">
        <is>
          <t>Điện / Điện tử / Điện lạnh / Điện công nghiệp</t>
        </is>
      </c>
      <c r="K8453" t="inlineStr">
        <is>
          <t>Chưa có kinh nghiệm</t>
        </is>
      </c>
      <c r="L8453" s="8">
        <f>HYPERLINK("https://careerviet.vn/vi/tim-viec-lam/nhan-vien-thiet-ke-dien.35C6A4D4.html","Xem chi tiết")</f>
        <v/>
      </c>
    </row>
    <row r="8454">
      <c r="B8454" s="9" t="n">
        <v>8452</v>
      </c>
      <c r="C8454" s="10" t="inlineStr">
        <is>
          <t>Chuyên viên Pháp chế</t>
        </is>
      </c>
      <c r="D8454" s="10" t="inlineStr">
        <is>
          <t>CÔNG TY CỔ PHẦN HỌC VIỆN MINH TRÍ THÀNH</t>
        </is>
      </c>
      <c r="E8454" s="10" t="inlineStr">
        <is>
          <t>Lương:Cạnh tranh</t>
        </is>
      </c>
      <c r="F8454" s="10" t="inlineStr">
        <is>
          <t>Hà Nội</t>
        </is>
      </c>
      <c r="G8454" s="10" t="inlineStr">
        <is>
          <t>27-04-2026</t>
        </is>
      </c>
      <c r="H8454" s="10" t="inlineStr">
        <is>
          <t>27/04/2026</t>
        </is>
      </c>
      <c r="I8454" s="10" t="inlineStr">
        <is>
          <t>17/03/2026</t>
        </is>
      </c>
      <c r="J8454" s="10" t="inlineStr">
        <is>
          <t>Luật / Pháp lý, Giáo dục / Đào tạo</t>
        </is>
      </c>
      <c r="K8454" s="10" t="inlineStr">
        <is>
          <t>4 - 5 Năm</t>
        </is>
      </c>
      <c r="L8454" s="11">
        <f>HYPERLINK("https://careerviet.vn/vi/tim-viec-lam/chuyen-vien-phap-che.35C6A2C1.html","Xem chi tiết")</f>
        <v/>
      </c>
      <c r="M8454" s="10" t="n"/>
    </row>
    <row r="8455">
      <c r="B8455" s="7" t="n">
        <v>8453</v>
      </c>
      <c r="C8455" t="inlineStr">
        <is>
          <t>Nhân Viên Thiết Kế In Ấn</t>
        </is>
      </c>
      <c r="D8455" t="inlineStr">
        <is>
          <t>CÔNG TY TNHH IN ẤN KỸ THUẬT MỚI TÂN HOA MAI</t>
        </is>
      </c>
      <c r="E8455" t="inlineStr">
        <is>
          <t>Lương:9 Tr - 12 Tr VND</t>
        </is>
      </c>
      <c r="F8455" t="inlineStr">
        <is>
          <t>Hồ Chí Minh</t>
        </is>
      </c>
      <c r="G8455" t="inlineStr">
        <is>
          <t>30-04-2026</t>
        </is>
      </c>
      <c r="H8455" t="inlineStr">
        <is>
          <t>30/04/2026</t>
        </is>
      </c>
      <c r="I8455" t="inlineStr">
        <is>
          <t>17/03/2026</t>
        </is>
      </c>
      <c r="J8455" t="inlineStr">
        <is>
          <t>In ấn / Xuất bản, Mỹ thuật / Nghệ thuật / Thiết kế</t>
        </is>
      </c>
      <c r="K8455" t="inlineStr">
        <is>
          <t>Trên 1 Năm</t>
        </is>
      </c>
      <c r="L8455" s="8">
        <f>HYPERLINK("https://careerviet.vn/vi/tim-viec-lam/nhan-vien-thiet-ke-in-an.35C6A4CD.html","Xem chi tiết")</f>
        <v/>
      </c>
    </row>
    <row r="8456">
      <c r="B8456" s="9" t="n">
        <v>8454</v>
      </c>
      <c r="C8456" s="10" t="inlineStr">
        <is>
          <t>Trưởng phòng Pháp chế</t>
        </is>
      </c>
      <c r="D8456" s="10" t="inlineStr">
        <is>
          <t>CÔNG TY TNHH ANTA SPORTS VIỆT NAM</t>
        </is>
      </c>
      <c r="E8456" s="10" t="inlineStr">
        <is>
          <t>Lương:35 Tr - 45 Tr VND</t>
        </is>
      </c>
      <c r="F8456" s="10" t="inlineStr">
        <is>
          <t>Hà Nội</t>
        </is>
      </c>
      <c r="G8456" s="10" t="inlineStr">
        <is>
          <t>31-03-2026</t>
        </is>
      </c>
      <c r="H8456" s="10" t="inlineStr">
        <is>
          <t>31/03/2026</t>
        </is>
      </c>
      <c r="I8456" s="10" t="inlineStr">
        <is>
          <t>17/03/2026</t>
        </is>
      </c>
      <c r="J8456" s="10" t="inlineStr">
        <is>
          <t>Nhân sự, Luật / Pháp lý, Ngành khác</t>
        </is>
      </c>
      <c r="K8456" s="10" t="inlineStr">
        <is>
          <t>Trên 3 Năm</t>
        </is>
      </c>
      <c r="L8456" s="11">
        <f>HYPERLINK("https://careerviet.vn/vi/tim-viec-lam/truong-phong-phap-che.35C6A449.html","Xem chi tiết")</f>
        <v/>
      </c>
      <c r="M8456" s="10" t="n"/>
    </row>
    <row r="8457">
      <c r="B8457" s="7" t="n">
        <v>8455</v>
      </c>
      <c r="C8457" t="inlineStr">
        <is>
          <t>[Ha Noi] Sale Support and Operations Specialist</t>
        </is>
      </c>
      <c r="D8457" t="inlineStr">
        <is>
          <t>CÔNG TY TNHH GALAXY DIGITAL HOLDINGS</t>
        </is>
      </c>
      <c r="E8457" t="inlineStr">
        <is>
          <t>Lương:Cạnh tranh</t>
        </is>
      </c>
      <c r="F8457" t="inlineStr">
        <is>
          <t>Hà Nội</t>
        </is>
      </c>
      <c r="G8457" t="inlineStr">
        <is>
          <t>31-03-2026</t>
        </is>
      </c>
      <c r="H8457" t="inlineStr">
        <is>
          <t>31/03/2026</t>
        </is>
      </c>
      <c r="I8457" t="inlineStr">
        <is>
          <t>17/03/2026</t>
        </is>
      </c>
      <c r="J8457" t="inlineStr">
        <is>
          <t>Bán hàng / Kinh doanh, CNTT - Phần mềm</t>
        </is>
      </c>
      <c r="K8457" t="inlineStr">
        <is>
          <t>2 - 5 Năm</t>
        </is>
      </c>
      <c r="L8457" s="8">
        <f>HYPERLINK("https://careerviet.vn/vi/tim-viec-lam/ha-noi-sale-support-and-operations-specialist.35C6A29C.html","Xem chi tiết")</f>
        <v/>
      </c>
    </row>
    <row r="8458">
      <c r="B8458" s="9" t="n">
        <v>8456</v>
      </c>
      <c r="C8458" s="10" t="inlineStr">
        <is>
          <t>CHUYÊN VIÊN KIỂM SOÁT VẬT TƯ</t>
        </is>
      </c>
      <c r="D8458" s="10" t="inlineStr">
        <is>
          <t>Công Ty Cổ Phần Kiến Trúc Tư Vấn Quản Lý Đông Dương</t>
        </is>
      </c>
      <c r="E8458" s="10" t="inlineStr">
        <is>
          <t>Lương:Cạnh tranh</t>
        </is>
      </c>
      <c r="F8458" s="10" t="inlineStr">
        <is>
          <t>Hồ Chí Minh</t>
        </is>
      </c>
      <c r="G8458" s="10" t="inlineStr">
        <is>
          <t>07-04-2026</t>
        </is>
      </c>
      <c r="H8458" s="10" t="inlineStr">
        <is>
          <t>07/04/2026</t>
        </is>
      </c>
      <c r="I8458" s="10" t="inlineStr">
        <is>
          <t>17/03/2026</t>
        </is>
      </c>
      <c r="J8458" s="10" t="inlineStr">
        <is>
          <t>Thu mua / Vật tư, Xây dựng, Bất động sản</t>
        </is>
      </c>
      <c r="K8458" s="10" t="inlineStr">
        <is>
          <t>2 - 10 Năm</t>
        </is>
      </c>
      <c r="L8458" s="11">
        <f>HYPERLINK("https://careerviet.vn/vi/tim-viec-lam/chuyen-vien-kiem-soat-vat-tu.35C6A6B6.html","Xem chi tiết")</f>
        <v/>
      </c>
      <c r="M8458" s="10" t="n"/>
    </row>
    <row r="8459">
      <c r="B8459" s="7" t="n">
        <v>8457</v>
      </c>
      <c r="C8459" t="inlineStr">
        <is>
          <t>QA Officer - Maternity Replacement</t>
        </is>
      </c>
      <c r="D8459" t="inlineStr">
        <is>
          <t>Cty SGS Việt Nam TNHH</t>
        </is>
      </c>
      <c r="E8459" t="inlineStr">
        <is>
          <t>Lương:Cạnh tranh</t>
        </is>
      </c>
      <c r="F8459" t="inlineStr">
        <is>
          <t>Hồ Chí Minh</t>
        </is>
      </c>
      <c r="G8459" t="inlineStr">
        <is>
          <t>11-04-2026</t>
        </is>
      </c>
      <c r="H8459" t="inlineStr">
        <is>
          <t>11/04/2026</t>
        </is>
      </c>
      <c r="I8459" t="inlineStr">
        <is>
          <t>17/03/2026</t>
        </is>
      </c>
      <c r="J8459" t="inlineStr">
        <is>
          <t>Quản lý chất lượng (QA/QC), Thực phẩm &amp; Đồ uống, Công nghệ sinh học</t>
        </is>
      </c>
      <c r="K8459" t="inlineStr">
        <is>
          <t>1 - 3 Năm</t>
        </is>
      </c>
      <c r="L8459" s="8">
        <f>HYPERLINK("https://careerviet.vn/vi/tim-viec-lam/qa-officer-maternity-replacement.35C6A6F5.html","Xem chi tiết")</f>
        <v/>
      </c>
    </row>
    <row r="8460">
      <c r="B8460" s="9" t="n">
        <v>8458</v>
      </c>
      <c r="C8460" s="10" t="inlineStr">
        <is>
          <t>Nhân Viên Nghiền Mẫu / LĐPT (ca: 13h-21h)</t>
        </is>
      </c>
      <c r="D8460" s="10" t="inlineStr">
        <is>
          <t>Cty SGS Việt Nam TNHH</t>
        </is>
      </c>
      <c r="E8460" s="10" t="inlineStr">
        <is>
          <t>Lương:Cạnh tranh</t>
        </is>
      </c>
      <c r="F8460" s="10" t="inlineStr">
        <is>
          <t>Hồ Chí Minh</t>
        </is>
      </c>
      <c r="G8460" s="10" t="inlineStr">
        <is>
          <t>11-04-2026</t>
        </is>
      </c>
      <c r="H8460" s="10" t="inlineStr">
        <is>
          <t>11/04/2026</t>
        </is>
      </c>
      <c r="I8460" s="10" t="inlineStr">
        <is>
          <t>17/03/2026</t>
        </is>
      </c>
      <c r="J8460" s="10" t="inlineStr">
        <is>
          <t>Lao động phổ thông, An toàn lao động</t>
        </is>
      </c>
      <c r="K8460" s="10" t="inlineStr">
        <is>
          <t>Chưa có kinh nghiệm</t>
        </is>
      </c>
      <c r="L8460" s="11">
        <f>HYPERLINK("https://careerviet.vn/vi/tim-viec-lam/nhan-vien-nghien-mau-ldpt-ca-13h-21h.35C6A6DE.html","Xem chi tiết")</f>
        <v/>
      </c>
      <c r="M8460" s="10" t="n"/>
    </row>
    <row r="8461">
      <c r="B8461" s="7" t="n">
        <v>8459</v>
      </c>
      <c r="C8461" t="inlineStr">
        <is>
          <t>Air Cargo Reservation &amp; Customer Services (HCM)</t>
        </is>
      </c>
      <c r="D8461" t="inlineStr">
        <is>
          <t>CÔNG TY CỔ PHẦN ITL AVIATION LOGISTICS</t>
        </is>
      </c>
      <c r="E8461" t="inlineStr">
        <is>
          <t>Lương:Cạnh tranh</t>
        </is>
      </c>
      <c r="F8461" t="inlineStr">
        <is>
          <t>Hồ Chí Minh</t>
        </is>
      </c>
      <c r="G8461" t="inlineStr">
        <is>
          <t>01-04-2026</t>
        </is>
      </c>
      <c r="H8461" t="inlineStr">
        <is>
          <t>01/04/2026</t>
        </is>
      </c>
      <c r="I8461" t="inlineStr">
        <is>
          <t>17/03/2026</t>
        </is>
      </c>
      <c r="J8461" t="inlineStr">
        <is>
          <t>Dịch vụ khách hàng, Vận chuyển / Giao nhận / Kho vận, Hàng không</t>
        </is>
      </c>
      <c r="K8461" t="inlineStr">
        <is>
          <t>2 - 3 Năm</t>
        </is>
      </c>
      <c r="L8461" s="8">
        <f>HYPERLINK("https://careerviet.vn/vi/tim-viec-lam/air-cargo-reservation-customer-services-hcm.35C6A444.html","Xem chi tiết")</f>
        <v/>
      </c>
    </row>
    <row r="8462">
      <c r="B8462" s="9" t="n">
        <v>8460</v>
      </c>
      <c r="C8462" s="10" t="inlineStr">
        <is>
          <t>Nhân viên lái xe nâng</t>
        </is>
      </c>
      <c r="D8462" s="10" t="inlineStr">
        <is>
          <t>Công ty Cổ phần thực phẩm và đồ uống Barett</t>
        </is>
      </c>
      <c r="E8462" s="10" t="inlineStr">
        <is>
          <t>Lương:10 Tr - 13 Tr VND</t>
        </is>
      </c>
      <c r="F8462" s="10" t="inlineStr">
        <is>
          <t>Hưng Yên</t>
        </is>
      </c>
      <c r="G8462" s="10" t="inlineStr">
        <is>
          <t>31-03-2026</t>
        </is>
      </c>
      <c r="H8462" s="10" t="inlineStr">
        <is>
          <t>31/03/2026</t>
        </is>
      </c>
      <c r="I8462" s="10" t="inlineStr">
        <is>
          <t>17/03/2026</t>
        </is>
      </c>
      <c r="J8462" s="10" t="inlineStr">
        <is>
          <t>Vận chuyển / Giao nhận / Kho vận, Thực phẩm &amp; Đồ uống, Sản xuất / Vận hành sản xuất</t>
        </is>
      </c>
      <c r="K8462" s="10" t="inlineStr">
        <is>
          <t>1 - 2 Năm</t>
        </is>
      </c>
      <c r="L8462" s="11">
        <f>HYPERLINK("https://careerviet.vn/vi/tim-viec-lam/nhan-vien-lai-xe-nang.35C6A644.html","Xem chi tiết")</f>
        <v/>
      </c>
      <c r="M8462" s="10" t="n"/>
    </row>
    <row r="8463">
      <c r="B8463" s="7" t="n">
        <v>8461</v>
      </c>
      <c r="C8463" t="inlineStr">
        <is>
          <t>Chuyên viên quản lý quan hệ khách hàng</t>
        </is>
      </c>
      <c r="D8463" t="inlineStr">
        <is>
          <t>Công ty TNHH MMS VIETNAM</t>
        </is>
      </c>
      <c r="E8463" t="inlineStr">
        <is>
          <t>Lương:Cạnh tranh</t>
        </is>
      </c>
      <c r="F8463" t="inlineStr">
        <is>
          <t>Hồ Chí Minh</t>
        </is>
      </c>
      <c r="G8463" t="inlineStr">
        <is>
          <t>15-03-2026</t>
        </is>
      </c>
      <c r="H8463" t="inlineStr">
        <is>
          <t>15/03/2026</t>
        </is>
      </c>
      <c r="I8463" t="inlineStr">
        <is>
          <t>17/03/2026</t>
        </is>
      </c>
      <c r="J8463" t="inlineStr">
        <is>
          <t>Tiếp thị / Marketing, Bán hàng / Kinh doanh, Dịch vụ khách hàng</t>
        </is>
      </c>
      <c r="K8463" t="inlineStr">
        <is>
          <t>1 - 3 Năm</t>
        </is>
      </c>
      <c r="L8463" s="8">
        <f>HYPERLINK("https://careerviet.vn/vi/tim-viec-lam/chuyen-vien-quan-ly-quan-he-khach-hang.35C6A40D.html","Xem chi tiết")</f>
        <v/>
      </c>
    </row>
    <row r="8464">
      <c r="B8464" s="9" t="n">
        <v>8462</v>
      </c>
      <c r="C8464" s="10" t="inlineStr">
        <is>
          <t>Product Manager - Chuyên Công Nghệ AI</t>
        </is>
      </c>
      <c r="D8464" s="10" t="inlineStr">
        <is>
          <t>CÔNG TY CP THỰC PHẨM VÀ NƯỚC GIẢI KHÁT NAM VIỆT</t>
        </is>
      </c>
      <c r="E8464" s="10" t="inlineStr">
        <is>
          <t>Lương:20 Tr - 50 Tr VND</t>
        </is>
      </c>
      <c r="F8464" s="10" t="inlineStr">
        <is>
          <t>Bình Dương</t>
        </is>
      </c>
      <c r="G8464" s="10" t="inlineStr">
        <is>
          <t>31-03-2026</t>
        </is>
      </c>
      <c r="H8464" s="10" t="inlineStr">
        <is>
          <t>31/03/2026</t>
        </is>
      </c>
      <c r="I8464" s="10" t="inlineStr">
        <is>
          <t>17/03/2026</t>
        </is>
      </c>
      <c r="J8464" s="10" t="inlineStr">
        <is>
          <t>Tiếp thị / Marketing, Thương mại điện tử, CNTT - Phần mềm</t>
        </is>
      </c>
      <c r="K8464" s="10" t="inlineStr">
        <is>
          <t>3 - 5 Năm</t>
        </is>
      </c>
      <c r="L8464" s="11">
        <f>HYPERLINK("https://careerviet.vn/vi/tim-viec-lam/product-manager-chuyen-cong-nghe-ai.35C6A6F9.html","Xem chi tiết")</f>
        <v/>
      </c>
      <c r="M8464" s="10" t="n"/>
    </row>
    <row r="8465">
      <c r="B8465" s="7" t="n">
        <v>8463</v>
      </c>
      <c r="C8465" t="inlineStr">
        <is>
          <t>Nhân Viên Hồ Sơ Thầu</t>
        </is>
      </c>
      <c r="D8465" t="inlineStr">
        <is>
          <t>CÔNG TY TNHH THIẾT BỊ GIÁO DỤC TẦM NHÌN MỚI</t>
        </is>
      </c>
      <c r="E8465" t="inlineStr">
        <is>
          <t>Lương:10 Tr - 20 Tr VND</t>
        </is>
      </c>
      <c r="F8465" t="inlineStr">
        <is>
          <t>Hồ Chí Minh</t>
        </is>
      </c>
      <c r="G8465" t="inlineStr">
        <is>
          <t>02-04-2026</t>
        </is>
      </c>
      <c r="H8465" t="inlineStr">
        <is>
          <t>02/04/2026</t>
        </is>
      </c>
      <c r="I8465" t="inlineStr">
        <is>
          <t>17/03/2026</t>
        </is>
      </c>
      <c r="J8465" t="inlineStr">
        <is>
          <t>Luật / Pháp lý, Tài chính / Đầu tư, Ngân hàng</t>
        </is>
      </c>
      <c r="K8465" t="inlineStr">
        <is>
          <t>Trên 1 Năm</t>
        </is>
      </c>
      <c r="L8465" s="8">
        <f>HYPERLINK("https://careerviet.vn/vi/tim-viec-lam/nhan-vien-ho-so-thau.35C6A3C2.html","Xem chi tiết")</f>
        <v/>
      </c>
    </row>
    <row r="8466">
      <c r="B8466" s="9" t="n">
        <v>8464</v>
      </c>
      <c r="C8466" s="10" t="inlineStr">
        <is>
          <t>CHỦ QUẢN XE NÂNG (FORKLIFT SUPERVISOR)</t>
        </is>
      </c>
      <c r="D8466" s="10" t="inlineStr">
        <is>
          <t>Công ty TNHH San Lim Furniture Việt Nam</t>
        </is>
      </c>
      <c r="E8466" s="10" t="inlineStr">
        <is>
          <t>Lương:Cạnh tranh</t>
        </is>
      </c>
      <c r="F8466" s="10" t="inlineStr">
        <is>
          <t>Đồng Nai</t>
        </is>
      </c>
      <c r="G8466" s="10" t="inlineStr">
        <is>
          <t>30-04-2026</t>
        </is>
      </c>
      <c r="H8466" s="10" t="inlineStr">
        <is>
          <t>30/04/2026</t>
        </is>
      </c>
      <c r="I8466" s="10" t="inlineStr">
        <is>
          <t>17/03/2026</t>
        </is>
      </c>
      <c r="J8466" s="10" t="inlineStr">
        <is>
          <t>Vận chuyển / Giao nhận / Kho vận, Sản xuất / Vận hành sản xuất, An toàn lao động</t>
        </is>
      </c>
      <c r="K8466" s="10" t="inlineStr">
        <is>
          <t>2 - 3 Năm</t>
        </is>
      </c>
      <c r="L8466" s="11">
        <f>HYPERLINK("https://careerviet.vn/vi/tim-viec-lam/chu-quan-xe-nang-forklift-supervisor.35C6A5F2.html","Xem chi tiết")</f>
        <v/>
      </c>
      <c r="M8466" s="10" t="n"/>
    </row>
    <row r="8467">
      <c r="B8467" s="7" t="n">
        <v>8465</v>
      </c>
      <c r="C8467" t="inlineStr">
        <is>
          <t>Trưởng Phòng Khách hàng Cá nhân</t>
        </is>
      </c>
      <c r="D8467" t="inlineStr">
        <is>
          <t>Ngân Hàng TMCP Sài Gòn - Hà Nội ( SHB )</t>
        </is>
      </c>
      <c r="E8467" t="inlineStr">
        <is>
          <t>Lương:Cạnh tranh</t>
        </is>
      </c>
      <c r="F8467" t="inlineStr">
        <is>
          <t>Đà NẵngCà MauĐồng Tháp</t>
        </is>
      </c>
      <c r="G8467" t="inlineStr">
        <is>
          <t>30-03-2026</t>
        </is>
      </c>
      <c r="H8467" t="inlineStr">
        <is>
          <t>30/03/2026</t>
        </is>
      </c>
      <c r="I8467" t="inlineStr">
        <is>
          <t>17/03/2026</t>
        </is>
      </c>
      <c r="J8467" t="inlineStr">
        <is>
          <t>Quản lý điều hành, Ngân hàng, Tài chính / Đầu tư</t>
        </is>
      </c>
      <c r="K8467" t="inlineStr">
        <is>
          <t>Trên 3 Năm</t>
        </is>
      </c>
      <c r="L8467" s="8">
        <f>HYPERLINK("https://careerviet.vn/vi/tim-viec-lam/truong-phong-khach-hang-ca-nhan.35C6A346.html","Xem chi tiết")</f>
        <v/>
      </c>
    </row>
    <row r="8468">
      <c r="B8468" s="9" t="n">
        <v>8466</v>
      </c>
      <c r="C8468" s="10" t="inlineStr">
        <is>
          <t>Chuyên Viên Kỹ Thuật (Thi Công Móng Cọc)</t>
        </is>
      </c>
      <c r="D8468" s="10" t="inlineStr">
        <is>
          <t>Công ty TNHH Xây Dựng Lê Thy</t>
        </is>
      </c>
      <c r="E8468" s="10" t="inlineStr">
        <is>
          <t>Lương:Cạnh tranh</t>
        </is>
      </c>
      <c r="F8468" s="10" t="inlineStr">
        <is>
          <t>Hồ Chí Minh</t>
        </is>
      </c>
      <c r="G8468" s="10" t="inlineStr">
        <is>
          <t>26-03-2026</t>
        </is>
      </c>
      <c r="H8468" s="10" t="inlineStr">
        <is>
          <t>26/03/2026</t>
        </is>
      </c>
      <c r="I8468" s="10" t="inlineStr">
        <is>
          <t>17/03/2026</t>
        </is>
      </c>
      <c r="J8468" s="10" t="inlineStr">
        <is>
          <t>Xây dựng, Kiến trúc, Bất động sản</t>
        </is>
      </c>
      <c r="K8468" s="10" t="inlineStr">
        <is>
          <t>3 - 5 Năm</t>
        </is>
      </c>
      <c r="L8468" s="11">
        <f>HYPERLINK("https://careerviet.vn/vi/tim-viec-lam/chuyen-vien-ky-thuat-thi-cong-mong-coc.35C69C93.html","Xem chi tiết")</f>
        <v/>
      </c>
      <c r="M8468" s="10" t="n"/>
    </row>
    <row r="8469">
      <c r="B8469" s="7" t="n">
        <v>8467</v>
      </c>
      <c r="C8469" t="inlineStr">
        <is>
          <t>[Long An] Nhân viên kỹ thuật pha màu và bảo hành</t>
        </is>
      </c>
      <c r="D8469" t="inlineStr">
        <is>
          <t>Tập Đoàn Tân Á Đại Thành</t>
        </is>
      </c>
      <c r="E8469" t="inlineStr">
        <is>
          <t>Lương:13 Tr - 15 Tr VND</t>
        </is>
      </c>
      <c r="F8469" t="inlineStr">
        <is>
          <t>Long An</t>
        </is>
      </c>
      <c r="G8469" t="inlineStr">
        <is>
          <t>31-03-2026</t>
        </is>
      </c>
      <c r="H8469" t="inlineStr">
        <is>
          <t>31/03/2026</t>
        </is>
      </c>
      <c r="I8469" t="inlineStr">
        <is>
          <t>17/03/2026</t>
        </is>
      </c>
      <c r="J8469" t="inlineStr">
        <is>
          <t>Bán Hàng Kỹ Thuật</t>
        </is>
      </c>
      <c r="K8469" t="inlineStr">
        <is>
          <t>2 - 3 Năm</t>
        </is>
      </c>
      <c r="L8469" s="8">
        <f>HYPERLINK("https://careerviet.vn/vi/tim-viec-lam/long-an-nhan-vien-ky-thuat-pha-mau-va-bao-hanh.35C6A4FD.html","Xem chi tiết")</f>
        <v/>
      </c>
    </row>
    <row r="8470">
      <c r="B8470" s="9" t="n">
        <v>8468</v>
      </c>
      <c r="C8470" s="10" t="inlineStr">
        <is>
          <t>Nhân viên kinh doanh tại Vĩnh Phúc</t>
        </is>
      </c>
      <c r="D8470" s="10" t="inlineStr">
        <is>
          <t>Tổng Công Ty Cổ Phần Bảo Hiểm Ngân Hàng TMCP Công Thương Việt Nam</t>
        </is>
      </c>
      <c r="E8470" s="10" t="inlineStr">
        <is>
          <t>Lương:Cạnh tranh</t>
        </is>
      </c>
      <c r="F8470" s="10" t="inlineStr">
        <is>
          <t>Vĩnh Phúc</t>
        </is>
      </c>
      <c r="G8470" s="10" t="inlineStr">
        <is>
          <t>01-04-2026</t>
        </is>
      </c>
      <c r="H8470" s="10" t="inlineStr">
        <is>
          <t>01/04/2026</t>
        </is>
      </c>
      <c r="I8470" s="10" t="inlineStr">
        <is>
          <t>17/03/2026</t>
        </is>
      </c>
      <c r="J8470" s="10" t="inlineStr">
        <is>
          <t>Bảo hiểm, Bán hàng / Kinh doanh</t>
        </is>
      </c>
      <c r="K8470" s="10" t="inlineStr">
        <is>
          <t>1 - 3 Năm</t>
        </is>
      </c>
      <c r="L8470" s="11">
        <f>HYPERLINK("https://careerviet.vn/vi/tim-viec-lam/nhan-vien-kinh-doanh-tai-vinh-phuc.35C6A6F1.html","Xem chi tiết")</f>
        <v/>
      </c>
      <c r="M8470" s="10" t="n"/>
    </row>
    <row r="8471">
      <c r="B8471" s="7" t="n">
        <v>8469</v>
      </c>
      <c r="C8471" t="inlineStr">
        <is>
          <t>Trưởng Phòng Kinh Doanh</t>
        </is>
      </c>
      <c r="D8471" t="inlineStr">
        <is>
          <t>Công ty Cổ phần Đầu tư Ngôi sao Châu á</t>
        </is>
      </c>
      <c r="E8471" t="inlineStr">
        <is>
          <t>Lương:20 Tr - 25 Tr VND</t>
        </is>
      </c>
      <c r="F8471" t="inlineStr">
        <is>
          <t>Đà Nẵng</t>
        </is>
      </c>
      <c r="G8471" t="inlineStr">
        <is>
          <t>31-03-2026</t>
        </is>
      </c>
      <c r="H8471" t="inlineStr">
        <is>
          <t>31/03/2026</t>
        </is>
      </c>
      <c r="I8471" t="inlineStr">
        <is>
          <t>17/03/2026</t>
        </is>
      </c>
      <c r="J8471" t="inlineStr">
        <is>
          <t>Bán hàng / Kinh doanh, Sản xuất / Vận hành sản xuất, Dịch vụ khách hàng</t>
        </is>
      </c>
      <c r="K8471" t="inlineStr">
        <is>
          <t>5 - 7 Năm</t>
        </is>
      </c>
      <c r="L8471" s="8">
        <f>HYPERLINK("https://careerviet.vn/vi/tim-viec-lam/truong-phong-kinh-doanh.35C6A2D5.html","Xem chi tiết")</f>
        <v/>
      </c>
    </row>
    <row r="8472">
      <c r="B8472" s="9" t="n">
        <v>8470</v>
      </c>
      <c r="C8472" s="10" t="inlineStr">
        <is>
          <t>Nhân viên hành chính - tuyển dụng &amp; đào tạo</t>
        </is>
      </c>
      <c r="D8472" s="10" t="inlineStr">
        <is>
          <t>Công ty cổ phần Nafoods Group</t>
        </is>
      </c>
      <c r="E8472" s="10" t="inlineStr">
        <is>
          <t>Lương:8 Tr - 11 Tr VND</t>
        </is>
      </c>
      <c r="F8472" s="10" t="inlineStr">
        <is>
          <t>Long An</t>
        </is>
      </c>
      <c r="G8472" s="10" t="inlineStr">
        <is>
          <t>30-04-2026</t>
        </is>
      </c>
      <c r="H8472" s="10" t="inlineStr">
        <is>
          <t>30/04/2026</t>
        </is>
      </c>
      <c r="I8472" s="10" t="inlineStr">
        <is>
          <t>17/03/2026</t>
        </is>
      </c>
      <c r="J8472" s="10" t="inlineStr">
        <is>
          <t>Nhân sự, Hành chính / Thư ký, Kế toán / Kiểm toán</t>
        </is>
      </c>
      <c r="K8472" s="10" t="inlineStr">
        <is>
          <t>1 - 2 Năm</t>
        </is>
      </c>
      <c r="L8472" s="11">
        <f>HYPERLINK("https://careerviet.vn/vi/tim-viec-lam/nhan-vien-hanh-chinh-tuyen-dung-dao-tao.35C6A4F1.html","Xem chi tiết")</f>
        <v/>
      </c>
      <c r="M8472" s="10" t="n"/>
    </row>
    <row r="8473">
      <c r="B8473" s="7" t="n">
        <v>8471</v>
      </c>
      <c r="C8473" t="inlineStr">
        <is>
          <t>Nhân viên kế toán</t>
        </is>
      </c>
      <c r="D8473" t="inlineStr">
        <is>
          <t>CÔNG TY CỔ PHẦN ĐẦU TƯ XÂY DỰNG WEALTHCONS</t>
        </is>
      </c>
      <c r="E8473" t="inlineStr">
        <is>
          <t>Lương:Cạnh tranh</t>
        </is>
      </c>
      <c r="F8473" t="inlineStr">
        <is>
          <t>Hồ Chí Minh</t>
        </is>
      </c>
      <c r="G8473" t="inlineStr">
        <is>
          <t>31-03-2026</t>
        </is>
      </c>
      <c r="H8473" t="inlineStr">
        <is>
          <t>31/03/2026</t>
        </is>
      </c>
      <c r="I8473" t="inlineStr">
        <is>
          <t>17/03/2026</t>
        </is>
      </c>
      <c r="J8473" t="inlineStr">
        <is>
          <t>Kế toán / Kiểm toán</t>
        </is>
      </c>
      <c r="K8473" t="inlineStr">
        <is>
          <t>N/A</t>
        </is>
      </c>
      <c r="L8473" s="8">
        <f>HYPERLINK("https://careerviet.vn/vi/tim-viec-lam/nhan-vien-ke-toan.35C6A547.html","Xem chi tiết")</f>
        <v/>
      </c>
    </row>
    <row r="8474">
      <c r="B8474" s="9" t="n">
        <v>8472</v>
      </c>
      <c r="C8474" s="10" t="inlineStr">
        <is>
          <t>Sales Support Administrator (Night shift)</t>
        </is>
      </c>
      <c r="D8474" s="10" t="inlineStr">
        <is>
          <t>Công Ty Hoàng An Nhiên</t>
        </is>
      </c>
      <c r="E8474" s="10" t="inlineStr">
        <is>
          <t>Lương:11,5 Tr - 12,5 Tr VND</t>
        </is>
      </c>
      <c r="F8474" s="10" t="inlineStr">
        <is>
          <t>Hồ Chí Minh</t>
        </is>
      </c>
      <c r="G8474" s="10" t="inlineStr">
        <is>
          <t>03-04-2026</t>
        </is>
      </c>
      <c r="H8474" s="10" t="inlineStr">
        <is>
          <t>03/04/2026</t>
        </is>
      </c>
      <c r="I8474" s="10" t="inlineStr">
        <is>
          <t>17/03/2026</t>
        </is>
      </c>
      <c r="J8474" s="10" t="inlineStr">
        <is>
          <t>Hành chính / Thư ký, Bán hàng / Kinh doanh</t>
        </is>
      </c>
      <c r="K8474" s="10" t="inlineStr">
        <is>
          <t>1 - 2 Năm</t>
        </is>
      </c>
      <c r="L8474" s="11">
        <f>HYPERLINK("https://careerviet.vn/vi/tim-viec-lam/sales-support-administrator-night-shift.35C6A6EA.html","Xem chi tiết")</f>
        <v/>
      </c>
      <c r="M8474" s="10" t="n"/>
    </row>
    <row r="8475">
      <c r="B8475" s="7" t="n">
        <v>8473</v>
      </c>
      <c r="C8475" t="inlineStr">
        <is>
          <t>Giáo Viên Chủ Nhiệm (Ocean Edu Bình Giang) - Trúng Tuyển Đi Làm Luôn</t>
        </is>
      </c>
      <c r="D8475" t="inlineStr">
        <is>
          <t>Công Ty CP Giáo Dục Đại Dương</t>
        </is>
      </c>
      <c r="E8475" t="inlineStr">
        <is>
          <t>Lương:Cạnh tranh</t>
        </is>
      </c>
      <c r="F8475" t="inlineStr">
        <is>
          <t>Hải Dương</t>
        </is>
      </c>
      <c r="G8475" t="inlineStr">
        <is>
          <t>01-04-2026</t>
        </is>
      </c>
      <c r="H8475" t="inlineStr">
        <is>
          <t>01/04/2026</t>
        </is>
      </c>
      <c r="I8475" t="inlineStr">
        <is>
          <t>17/03/2026</t>
        </is>
      </c>
      <c r="J8475" t="inlineStr">
        <is>
          <t>Giáo dục / Đào tạo, Bán hàng / Kinh doanh, Biên phiên dịch</t>
        </is>
      </c>
      <c r="K8475" t="inlineStr">
        <is>
          <t>Trên 1 Năm</t>
        </is>
      </c>
      <c r="L8475" s="8">
        <f>HYPERLINK("https://careerviet.vn/vi/tim-viec-lam/giao-vien-chu-nhiem-ocean-edu-binh-giang-trung-tuyen-di-lam-luon.35C6A55F.html","Xem chi tiết")</f>
        <v/>
      </c>
    </row>
    <row r="8476">
      <c r="B8476" s="9" t="n">
        <v>8474</v>
      </c>
      <c r="C8476" s="10" t="inlineStr">
        <is>
          <t>Nhân viên kho</t>
        </is>
      </c>
      <c r="D8476" s="10" t="inlineStr">
        <is>
          <t>CÔNG TY TNHH SẢN XUẤT GREAT LOTUS VIỆT NAM</t>
        </is>
      </c>
      <c r="E8476" s="10" t="inlineStr">
        <is>
          <t>Lương:8 Tr - 10 Tr VND</t>
        </is>
      </c>
      <c r="F8476" s="10" t="inlineStr">
        <is>
          <t>Bình Dương</t>
        </is>
      </c>
      <c r="G8476" s="10" t="inlineStr">
        <is>
          <t>15-03-2026</t>
        </is>
      </c>
      <c r="H8476" s="10" t="inlineStr">
        <is>
          <t>02/03/2026</t>
        </is>
      </c>
      <c r="I8476" s="10" t="inlineStr">
        <is>
          <t>17/03/2026</t>
        </is>
      </c>
      <c r="J8476" s="10" t="inlineStr">
        <is>
          <t>Vận chuyển / Giao nhận / Kho vận, Quản lý điều hành</t>
        </is>
      </c>
      <c r="K8476" s="10" t="inlineStr">
        <is>
          <t>1 - 2 Năm</t>
        </is>
      </c>
      <c r="L8476" s="11">
        <f>HYPERLINK("https://careerviet.vn/vi/tim-viec-lam/nhan-vien-kho.35C6A3A8.html","Xem chi tiết")</f>
        <v/>
      </c>
      <c r="M8476" s="10" t="n"/>
    </row>
    <row r="8477">
      <c r="B8477" s="7" t="n">
        <v>8475</v>
      </c>
      <c r="C8477" t="inlineStr">
        <is>
          <t>Nhân viên tư vấn bán hàng - Hạ Long/Quảng Ninh</t>
        </is>
      </c>
      <c r="D8477" t="inlineStr">
        <is>
          <t>CÔNG TY CỔ PHẦN TẬP ĐOÀN GIOVANNI VIỆT NAM</t>
        </is>
      </c>
      <c r="E8477" t="inlineStr">
        <is>
          <t>Lương:8 Tr - 15 Tr VND</t>
        </is>
      </c>
      <c r="F8477" t="inlineStr">
        <is>
          <t>Quảng Ninh</t>
        </is>
      </c>
      <c r="G8477" t="inlineStr">
        <is>
          <t>01-04-2026</t>
        </is>
      </c>
      <c r="H8477" t="inlineStr">
        <is>
          <t>01/04/2026</t>
        </is>
      </c>
      <c r="I8477" t="inlineStr">
        <is>
          <t>17/03/2026</t>
        </is>
      </c>
      <c r="J8477" t="inlineStr">
        <is>
          <t>Bán hàng / Kinh doanh, Bán lẻ / Bán sỉ, Tư vấn</t>
        </is>
      </c>
      <c r="K8477" t="inlineStr">
        <is>
          <t>N/A</t>
        </is>
      </c>
      <c r="L8477" s="8">
        <f>HYPERLINK("https://careerviet.vn/vi/tim-viec-lam/nhan-vien-tu-van-ban-hang-ha-long-quang-ninh.35C6A303.html","Xem chi tiết")</f>
        <v/>
      </c>
    </row>
    <row r="8478">
      <c r="B8478" s="9" t="n">
        <v>8476</v>
      </c>
      <c r="C8478" s="10" t="inlineStr">
        <is>
          <t>Trợ Lý Phó Chủ Tịch Hội Đồng Quản Trị</t>
        </is>
      </c>
      <c r="D8478" s="10" t="inlineStr">
        <is>
          <t>CÔNG TY CỔ PHẦN UNIK XANH</t>
        </is>
      </c>
      <c r="E8478" s="10" t="inlineStr">
        <is>
          <t>Lương:Cạnh tranh</t>
        </is>
      </c>
      <c r="F8478" s="10" t="inlineStr">
        <is>
          <t>Hà Nội</t>
        </is>
      </c>
      <c r="G8478" s="10" t="inlineStr">
        <is>
          <t>02-04-2026</t>
        </is>
      </c>
      <c r="H8478" s="10" t="inlineStr">
        <is>
          <t>02/04/2026</t>
        </is>
      </c>
      <c r="I8478" s="10" t="inlineStr">
        <is>
          <t>17/03/2026</t>
        </is>
      </c>
      <c r="J8478" s="10" t="inlineStr">
        <is>
          <t>Quản lý điều hành, Hành chính / Thư ký, Tài chính / Đầu tư</t>
        </is>
      </c>
      <c r="K8478" s="10" t="inlineStr">
        <is>
          <t>N/A</t>
        </is>
      </c>
      <c r="L8478" s="11">
        <f>HYPERLINK("https://careerviet.vn/vi/tim-viec-lam/tro-ly-pho-chu-tich-hoi-dong-quan-tri.35C6A620.html","Xem chi tiết")</f>
        <v/>
      </c>
      <c r="M8478" s="10" t="n"/>
    </row>
    <row r="8479">
      <c r="B8479" s="7" t="n">
        <v>8477</v>
      </c>
      <c r="C8479" t="inlineStr">
        <is>
          <t>FINANCE INTERN</t>
        </is>
      </c>
      <c r="D8479" t="inlineStr">
        <is>
          <t>Công ty TNHH Olam Việt Nam</t>
        </is>
      </c>
      <c r="E8479" t="inlineStr">
        <is>
          <t>Lương:5 Tr - 5,3 Tr VND</t>
        </is>
      </c>
      <c r="F8479" t="inlineStr">
        <is>
          <t>Đồng Nai</t>
        </is>
      </c>
      <c r="G8479" t="inlineStr">
        <is>
          <t>04-04-2026</t>
        </is>
      </c>
      <c r="H8479" t="inlineStr">
        <is>
          <t>04/04/2026</t>
        </is>
      </c>
      <c r="I8479" t="inlineStr">
        <is>
          <t>17/03/2026</t>
        </is>
      </c>
      <c r="J8479" t="inlineStr">
        <is>
          <t>Tài chính / Đầu tư, Kế toán / Kiểm toán, Thống kê</t>
        </is>
      </c>
      <c r="K8479" t="inlineStr">
        <is>
          <t>N/A</t>
        </is>
      </c>
      <c r="L8479" s="8">
        <f>HYPERLINK("https://careerviet.vn/vi/tim-viec-lam/finance-intern.35C6A39C.html","Xem chi tiết")</f>
        <v/>
      </c>
    </row>
    <row r="8480">
      <c r="B8480" s="9" t="n">
        <v>8478</v>
      </c>
      <c r="C8480" s="10" t="inlineStr">
        <is>
          <t>[Đồng Nai] - Sales Admin Officer/Chuyên viên hỗ trợ kinh doanh</t>
        </is>
      </c>
      <c r="D8480" s="10" t="inlineStr">
        <is>
          <t>LOTTE FINANCE VIETNAM</t>
        </is>
      </c>
      <c r="E8480" s="10" t="inlineStr">
        <is>
          <t>Lương:Cạnh tranh</t>
        </is>
      </c>
      <c r="F8480" s="10" t="inlineStr">
        <is>
          <t>Đồng Nai</t>
        </is>
      </c>
      <c r="G8480" s="10" t="inlineStr">
        <is>
          <t>01-04-2026</t>
        </is>
      </c>
      <c r="H8480" s="10" t="inlineStr">
        <is>
          <t>01/04/2026</t>
        </is>
      </c>
      <c r="I8480" s="10" t="inlineStr">
        <is>
          <t>17/03/2026</t>
        </is>
      </c>
      <c r="J8480" s="10" t="inlineStr">
        <is>
          <t>Kế toán / Kiểm toán, Hành chính / Thư ký, Bán hàng / Kinh doanh</t>
        </is>
      </c>
      <c r="K8480" s="10" t="inlineStr">
        <is>
          <t>1 - 2 Năm</t>
        </is>
      </c>
      <c r="L8480" s="11">
        <f>HYPERLINK("https://careerviet.vn/vi/tim-viec-lam/dong-nai-sales-admin-officer-chuyen-vien-ho-tro-kinh-doanh.35C6A52E.html","Xem chi tiết")</f>
        <v/>
      </c>
      <c r="M8480" s="10" t="n"/>
    </row>
    <row r="8481">
      <c r="B8481" s="7" t="n">
        <v>8479</v>
      </c>
      <c r="C8481" t="inlineStr">
        <is>
          <t>[Cần Thơ] Lab Technician - Chrom</t>
        </is>
      </c>
      <c r="D8481" t="inlineStr">
        <is>
          <t>Cty SGS Việt Nam TNHH</t>
        </is>
      </c>
      <c r="E8481" t="inlineStr">
        <is>
          <t>Lương:Cạnh tranh</t>
        </is>
      </c>
      <c r="F8481" t="inlineStr">
        <is>
          <t>Cần Thơ</t>
        </is>
      </c>
      <c r="G8481" t="inlineStr">
        <is>
          <t>04-04-2026</t>
        </is>
      </c>
      <c r="H8481" t="inlineStr">
        <is>
          <t>04/04/2026</t>
        </is>
      </c>
      <c r="I8481" t="inlineStr">
        <is>
          <t>17/03/2026</t>
        </is>
      </c>
      <c r="J8481" t="inlineStr">
        <is>
          <t>Hóa học</t>
        </is>
      </c>
      <c r="K8481" t="inlineStr">
        <is>
          <t>Chưa có kinh nghiệm</t>
        </is>
      </c>
      <c r="L8481" s="8">
        <f>HYPERLINK("https://careerviet.vn/vi/tim-viec-lam/can-tho-lab-technician-chrom.35C6A6DB.html","Xem chi tiết")</f>
        <v/>
      </c>
    </row>
    <row r="8482">
      <c r="B8482" s="9" t="n">
        <v>8480</v>
      </c>
      <c r="C8482" s="10" t="inlineStr">
        <is>
          <t>CONTENT MARKETING</t>
        </is>
      </c>
      <c r="D8482" s="10" t="inlineStr">
        <is>
          <t>CÔNG TY CỔ PHẦN BMP GROUP</t>
        </is>
      </c>
      <c r="E8482" s="10" t="inlineStr">
        <is>
          <t>Lương:Cạnh tranh</t>
        </is>
      </c>
      <c r="F8482" s="10" t="inlineStr">
        <is>
          <t>Hồ Chí Minh</t>
        </is>
      </c>
      <c r="G8482" s="10" t="inlineStr">
        <is>
          <t>31-03-2026</t>
        </is>
      </c>
      <c r="H8482" s="10" t="inlineStr">
        <is>
          <t>31/03/2026</t>
        </is>
      </c>
      <c r="I8482" s="10" t="inlineStr">
        <is>
          <t>17/03/2026</t>
        </is>
      </c>
      <c r="J8482" s="10" t="inlineStr">
        <is>
          <t>Tiếp thị / Marketing</t>
        </is>
      </c>
      <c r="K8482" s="10" t="inlineStr">
        <is>
          <t>1 - 3 Năm</t>
        </is>
      </c>
      <c r="L8482" s="11">
        <f>HYPERLINK("https://careerviet.vn/vi/tim-viec-lam/content-marketing.35C6A625.html","Xem chi tiết")</f>
        <v/>
      </c>
      <c r="M8482" s="10" t="n"/>
    </row>
    <row r="8483">
      <c r="B8483" s="7" t="n">
        <v>8481</v>
      </c>
      <c r="C8483" t="inlineStr">
        <is>
          <t>Customer Service - Food Testing</t>
        </is>
      </c>
      <c r="D8483" t="inlineStr">
        <is>
          <t>Cty SGS Việt Nam TNHH</t>
        </is>
      </c>
      <c r="E8483" t="inlineStr">
        <is>
          <t>Lương:Cạnh tranh</t>
        </is>
      </c>
      <c r="F8483" t="inlineStr">
        <is>
          <t>Hồ Chí Minh</t>
        </is>
      </c>
      <c r="G8483" t="inlineStr">
        <is>
          <t>31-03-2026</t>
        </is>
      </c>
      <c r="H8483" t="inlineStr">
        <is>
          <t>31/03/2026</t>
        </is>
      </c>
      <c r="I8483" t="inlineStr">
        <is>
          <t>17/03/2026</t>
        </is>
      </c>
      <c r="J8483" t="inlineStr">
        <is>
          <t>Hóa học</t>
        </is>
      </c>
      <c r="K8483" t="inlineStr">
        <is>
          <t>N/A</t>
        </is>
      </c>
      <c r="L8483" s="8">
        <f>HYPERLINK("https://careerviet.vn/vi/tim-viec-lam/customer-service-food-testing.35C6A47A.html","Xem chi tiết")</f>
        <v/>
      </c>
    </row>
    <row r="8484">
      <c r="B8484" s="9" t="n">
        <v>8482</v>
      </c>
      <c r="C8484" s="10" t="inlineStr">
        <is>
          <t>Giám đốc Phòng giao dịch</t>
        </is>
      </c>
      <c r="D8484" s="10" t="inlineStr">
        <is>
          <t>Ngân Hàng TMCP Sài Gòn - Hà Nội ( SHB )</t>
        </is>
      </c>
      <c r="E8484" s="10" t="inlineStr">
        <is>
          <t>Lương:Cạnh tranh</t>
        </is>
      </c>
      <c r="F8484" s="10" t="inlineStr">
        <is>
          <t>Vĩnh Phúc</t>
        </is>
      </c>
      <c r="G8484" s="10" t="inlineStr">
        <is>
          <t>01-04-2026</t>
        </is>
      </c>
      <c r="H8484" s="10" t="inlineStr">
        <is>
          <t>01/04/2026</t>
        </is>
      </c>
      <c r="I8484" s="10" t="inlineStr">
        <is>
          <t>17/03/2026</t>
        </is>
      </c>
      <c r="J8484" s="10" t="inlineStr">
        <is>
          <t>Quản lý điều hành, Ngân hàng, Tài chính / Đầu tư</t>
        </is>
      </c>
      <c r="K8484" s="10" t="inlineStr">
        <is>
          <t>Trên 5 Năm</t>
        </is>
      </c>
      <c r="L8484" s="11">
        <f>HYPERLINK("https://careerviet.vn/vi/tim-viec-lam/giam-doc-phong-giao-dich.35C6A348.html","Xem chi tiết")</f>
        <v/>
      </c>
      <c r="M8484" s="10" t="n"/>
    </row>
    <row r="8485">
      <c r="B8485" s="7" t="n">
        <v>8483</v>
      </c>
      <c r="C8485" t="inlineStr">
        <is>
          <t>Nhân Viên Tư Vấn Môi Trường và Tiết Kiệm Năng Lượng</t>
        </is>
      </c>
      <c r="D8485" t="inlineStr">
        <is>
          <t>Công Ty Cổ Phần Tư Vấn Xây Dựng Năng Lượng Và Môi Trường VN</t>
        </is>
      </c>
      <c r="E8485" t="inlineStr">
        <is>
          <t>Lương:15 Tr - 30 Tr VND</t>
        </is>
      </c>
      <c r="F8485" t="inlineStr">
        <is>
          <t>Hồ Chí Minh</t>
        </is>
      </c>
      <c r="G8485" t="inlineStr">
        <is>
          <t>02-04-2026</t>
        </is>
      </c>
      <c r="H8485" t="inlineStr">
        <is>
          <t>02/04/2026</t>
        </is>
      </c>
      <c r="I8485" t="inlineStr">
        <is>
          <t>17/03/2026</t>
        </is>
      </c>
      <c r="J8485" t="inlineStr">
        <is>
          <t>Tư vấn, Môi trường, Hóa học</t>
        </is>
      </c>
      <c r="K8485" t="inlineStr">
        <is>
          <t>1 - 2 Năm</t>
        </is>
      </c>
      <c r="L8485" s="8">
        <f>HYPERLINK("https://careerviet.vn/vi/tim-viec-lam/nhan-vien-tu-van-moi-truong-va-tiet-kiem-nang-luong.35C6A696.html","Xem chi tiết")</f>
        <v/>
      </c>
    </row>
    <row r="8486">
      <c r="B8486" s="9" t="n">
        <v>8484</v>
      </c>
      <c r="C8486" s="10" t="inlineStr">
        <is>
          <t>TRƯỞNG BỘ PHẬN PHÁP LÝ</t>
        </is>
      </c>
      <c r="D8486" s="10" t="inlineStr">
        <is>
          <t>CÔNG TY TNHH ĐẦU TƯ ITS</t>
        </is>
      </c>
      <c r="E8486" s="10" t="inlineStr">
        <is>
          <t>Lương:25 Tr - 30 Tr VND</t>
        </is>
      </c>
      <c r="F8486" s="10" t="inlineStr">
        <is>
          <t>Hồ Chí Minh</t>
        </is>
      </c>
      <c r="G8486" s="10" t="inlineStr">
        <is>
          <t>31-03-2026</t>
        </is>
      </c>
      <c r="H8486" s="10" t="inlineStr">
        <is>
          <t>31/03/2026</t>
        </is>
      </c>
      <c r="I8486" s="10" t="inlineStr">
        <is>
          <t>17/03/2026</t>
        </is>
      </c>
      <c r="J8486" s="10" t="inlineStr">
        <is>
          <t>Kế toán / Kiểm toán, Sản xuất / Vận hành sản xuất, Luật / Pháp lý</t>
        </is>
      </c>
      <c r="K8486" s="10" t="inlineStr">
        <is>
          <t>5 - 10 Năm</t>
        </is>
      </c>
      <c r="L8486" s="11">
        <f>HYPERLINK("https://careerviet.vn/vi/tim-viec-lam/truong-bo-phan-phap-ly.35C6A2E5.html","Xem chi tiết")</f>
        <v/>
      </c>
      <c r="M8486" s="10" t="n"/>
    </row>
    <row r="8487">
      <c r="B8487" s="7" t="n">
        <v>8485</v>
      </c>
      <c r="C8487" t="inlineStr">
        <is>
          <t>Nhân viên mua hàng nước ngoài/ Purchasing Staff</t>
        </is>
      </c>
      <c r="D8487" t="inlineStr">
        <is>
          <t>Công Ty TNHH Đầu Tư Quốc Tế Tường Ngọc</t>
        </is>
      </c>
      <c r="E8487" t="inlineStr">
        <is>
          <t>Lương:Cạnh tranh</t>
        </is>
      </c>
      <c r="F8487" t="inlineStr">
        <is>
          <t>Hồ Chí Minh</t>
        </is>
      </c>
      <c r="G8487" t="inlineStr">
        <is>
          <t>30-03-2026</t>
        </is>
      </c>
      <c r="H8487" t="inlineStr">
        <is>
          <t>30/03/2026</t>
        </is>
      </c>
      <c r="I8487" t="inlineStr">
        <is>
          <t>17/03/2026</t>
        </is>
      </c>
      <c r="J8487" t="inlineStr">
        <is>
          <t>Xuất nhập khẩu, Thu mua / Vật tư</t>
        </is>
      </c>
      <c r="K8487" t="inlineStr">
        <is>
          <t>2 - 3 Năm</t>
        </is>
      </c>
      <c r="L8487" s="8">
        <f>HYPERLINK("https://careerviet.vn/vi/tim-viec-lam/nhan-vien-mua-hang-nuoc-ngoai-purchasing-staff.35C6A49A.html","Xem chi tiết")</f>
        <v/>
      </c>
    </row>
    <row r="8488">
      <c r="B8488" s="9" t="n">
        <v>8486</v>
      </c>
      <c r="C8488" s="10" t="inlineStr">
        <is>
          <t>Chuyên viên truyền thông nội bộ</t>
        </is>
      </c>
      <c r="D8488" s="10" t="inlineStr">
        <is>
          <t>Công Ty Cổ Phần Thép Việt Xô Hà Nội</t>
        </is>
      </c>
      <c r="E8488" s="10" t="inlineStr">
        <is>
          <t>Lương:Cạnh tranh</t>
        </is>
      </c>
      <c r="F8488" s="10" t="inlineStr">
        <is>
          <t>Hà Nội</t>
        </is>
      </c>
      <c r="G8488" s="10" t="inlineStr">
        <is>
          <t>03-04-2026</t>
        </is>
      </c>
      <c r="H8488" s="10" t="inlineStr">
        <is>
          <t>03/04/2026</t>
        </is>
      </c>
      <c r="I8488" s="10" t="inlineStr">
        <is>
          <t>17/03/2026</t>
        </is>
      </c>
      <c r="J8488" s="10" t="inlineStr">
        <is>
          <t>Tiếp thị / Marketing, Truyền hình / Báo chí / Biên tập, Quảng cáo / Đối ngoại / Truyền Thông</t>
        </is>
      </c>
      <c r="K8488" s="10" t="inlineStr">
        <is>
          <t>2 - 3 Năm</t>
        </is>
      </c>
      <c r="L8488" s="11">
        <f>HYPERLINK("https://careerviet.vn/vi/tim-viec-lam/chuyen-vien-truyen-thong-noi-bo.35C6A540.html","Xem chi tiết")</f>
        <v/>
      </c>
      <c r="M8488" s="10" t="n"/>
    </row>
    <row r="8489">
      <c r="B8489" s="7" t="n">
        <v>8487</v>
      </c>
      <c r="C8489" t="inlineStr">
        <is>
          <t>Quản Lý Cửa Hàng Tây Hồ Hà Nội</t>
        </is>
      </c>
      <c r="D8489" t="inlineStr">
        <is>
          <t>CÔNG TY CỔ PHẦN VUA NỆM</t>
        </is>
      </c>
      <c r="E8489" t="inlineStr">
        <is>
          <t>Lương:12 Tr - 15 Tr VND</t>
        </is>
      </c>
      <c r="F8489" t="inlineStr">
        <is>
          <t>Hà Nội</t>
        </is>
      </c>
      <c r="G8489" t="inlineStr">
        <is>
          <t>01-04-2026</t>
        </is>
      </c>
      <c r="H8489" t="inlineStr">
        <is>
          <t>01/04/2026</t>
        </is>
      </c>
      <c r="I8489" t="inlineStr">
        <is>
          <t>17/03/2026</t>
        </is>
      </c>
      <c r="J8489" t="inlineStr">
        <is>
          <t>Bán lẻ / Bán sỉ, Bán hàng / Kinh doanh, Tư vấn</t>
        </is>
      </c>
      <c r="K8489" t="inlineStr">
        <is>
          <t>1 - 10 Năm</t>
        </is>
      </c>
      <c r="L8489" s="8">
        <f>HYPERLINK("https://careerviet.vn/vi/tim-viec-lam/quan-ly-cua-hang-tay-ho-ha-noi.35C6A6A0.html","Xem chi tiết")</f>
        <v/>
      </c>
    </row>
    <row r="8490">
      <c r="B8490" s="9" t="n">
        <v>8488</v>
      </c>
      <c r="C8490" s="10" t="inlineStr">
        <is>
          <t>Nhân Viên Kinh Doanh Quốc Tế (Thu Nhập 10–50Tr - Nhận Việc Ngay)</t>
        </is>
      </c>
      <c r="D8490" s="10" t="inlineStr">
        <is>
          <t>CÔNG TY CP THỰC PHẨM VÀ NƯỚC GIẢI KHÁT NAM VIỆT</t>
        </is>
      </c>
      <c r="E8490" s="10" t="inlineStr">
        <is>
          <t>Lương:10 Tr - 50 Tr VND</t>
        </is>
      </c>
      <c r="F8490" s="10" t="inlineStr">
        <is>
          <t>Bình Dương</t>
        </is>
      </c>
      <c r="G8490" s="10" t="inlineStr">
        <is>
          <t>31-03-2026</t>
        </is>
      </c>
      <c r="H8490" s="10" t="inlineStr">
        <is>
          <t>31/03/2026</t>
        </is>
      </c>
      <c r="I8490" s="10" t="inlineStr">
        <is>
          <t>17/03/2026</t>
        </is>
      </c>
      <c r="J8490" s="10" t="inlineStr">
        <is>
          <t>Bán hàng / Kinh doanh</t>
        </is>
      </c>
      <c r="K8490" s="10" t="inlineStr">
        <is>
          <t>N/A</t>
        </is>
      </c>
      <c r="L8490" s="11">
        <f>HYPERLINK("https://careerviet.vn/vi/tim-viec-lam/nhan-vien-kinh-doanh-quoc-te-thu-nhap-10-50tr-nhan-viec-ngay.35C6A556.html","Xem chi tiết")</f>
        <v/>
      </c>
      <c r="M8490" s="10" t="n"/>
    </row>
    <row r="8491">
      <c r="B8491" s="7" t="n">
        <v>8489</v>
      </c>
      <c r="C8491" t="inlineStr">
        <is>
          <t>Nhân Viên Pha Chế Dầu Gội, Sữa Tắm (Phòng Sản Xuất)</t>
        </is>
      </c>
      <c r="D8491" t="inlineStr">
        <is>
          <t>Công Ty Cổ Phần Mỹ Phẩm Sài Gòn</t>
        </is>
      </c>
      <c r="E8491" t="inlineStr">
        <is>
          <t>Lương:Cạnh tranh</t>
        </is>
      </c>
      <c r="F8491" t="inlineStr">
        <is>
          <t>Hồ Chí Minh</t>
        </is>
      </c>
      <c r="G8491" t="inlineStr">
        <is>
          <t>01-04-2026</t>
        </is>
      </c>
      <c r="H8491" t="inlineStr">
        <is>
          <t>01/04/2026</t>
        </is>
      </c>
      <c r="I8491" t="inlineStr">
        <is>
          <t>17/03/2026</t>
        </is>
      </c>
      <c r="J8491" t="inlineStr">
        <is>
          <t>Dược phẩm/ Hóa Mỹ Phẩm, Hàng gia dụng / Chăm sóc cá nhân, Hóa học</t>
        </is>
      </c>
      <c r="K8491" t="inlineStr">
        <is>
          <t>1 - 2 Năm</t>
        </is>
      </c>
      <c r="L8491" s="8">
        <f>HYPERLINK("https://careerviet.vn/vi/tim-viec-lam/nhan-vien-pha-che-dau-goi-sua-tam-phong-san-xuat.35C6A504.html","Xem chi tiết")</f>
        <v/>
      </c>
    </row>
    <row r="8492">
      <c r="B8492" s="9" t="n">
        <v>8490</v>
      </c>
      <c r="C8492" s="10" t="inlineStr">
        <is>
          <t>Chuyên viên Hải Quan ( Customs Specialist)</t>
        </is>
      </c>
      <c r="D8492" s="10" t="inlineStr">
        <is>
          <t>MN SHIPPING CO., LTD</t>
        </is>
      </c>
      <c r="E8492" s="10" t="inlineStr">
        <is>
          <t>Lương:Cạnh tranh</t>
        </is>
      </c>
      <c r="F8492" s="10" t="inlineStr">
        <is>
          <t>Hồ Chí Minh</t>
        </is>
      </c>
      <c r="G8492" s="10" t="inlineStr">
        <is>
          <t>31-03-2026</t>
        </is>
      </c>
      <c r="H8492" s="10" t="inlineStr">
        <is>
          <t>31/03/2026</t>
        </is>
      </c>
      <c r="I8492" s="10" t="inlineStr">
        <is>
          <t>17/03/2026</t>
        </is>
      </c>
      <c r="J8492" s="10" t="inlineStr">
        <is>
          <t>Xuất nhập khẩu, Vận chuyển / Giao nhận / Kho vận</t>
        </is>
      </c>
      <c r="K8492" s="10" t="inlineStr">
        <is>
          <t>3 - 6 Năm</t>
        </is>
      </c>
      <c r="L8492" s="11">
        <f>HYPERLINK("https://careerviet.vn/vi/tim-viec-lam/chuyen-vien-hai-quan-customs-specialist.35C6A627.html","Xem chi tiết")</f>
        <v/>
      </c>
      <c r="M8492" s="10" t="n"/>
    </row>
    <row r="8493">
      <c r="B8493" s="7" t="n">
        <v>8491</v>
      </c>
      <c r="C8493" t="inlineStr">
        <is>
          <t>Kế toán Bán hàng/Kế toán Doanh thu</t>
        </is>
      </c>
      <c r="D8493" t="inlineStr">
        <is>
          <t>HỘ KINH DOANH MONO TALK</t>
        </is>
      </c>
      <c r="E8493" t="inlineStr">
        <is>
          <t>Lương:9 Tr - 11 Tr VND</t>
        </is>
      </c>
      <c r="F8493" t="inlineStr">
        <is>
          <t>Hà Nội</t>
        </is>
      </c>
      <c r="G8493" t="inlineStr">
        <is>
          <t>10-04-2026</t>
        </is>
      </c>
      <c r="H8493" t="inlineStr">
        <is>
          <t>10/04/2026</t>
        </is>
      </c>
      <c r="I8493" t="inlineStr">
        <is>
          <t>17/03/2026</t>
        </is>
      </c>
      <c r="J8493" t="inlineStr">
        <is>
          <t>Kế toán / Kiểm toán</t>
        </is>
      </c>
      <c r="K8493" t="inlineStr">
        <is>
          <t>1 - 2 Năm</t>
        </is>
      </c>
      <c r="L8493" s="8">
        <f>HYPERLINK("https://careerviet.vn/vi/tim-viec-lam/ke-toa-n-ba-n-ha-ng-ke-toa-n-doanh-thu.35C6A49B.html","Xem chi tiết")</f>
        <v/>
      </c>
    </row>
    <row r="8494">
      <c r="B8494" s="9" t="n">
        <v>8492</v>
      </c>
      <c r="C8494" s="10" t="inlineStr">
        <is>
          <t>Chuyên viên pháp chế</t>
        </is>
      </c>
      <c r="D8494" s="10" t="inlineStr">
        <is>
          <t>CÔNG TY CỔ PHẦN TẬP ĐOÀN MIK GROUP VIỆT NAM</t>
        </is>
      </c>
      <c r="E8494" s="10" t="inlineStr">
        <is>
          <t>Lương:Cạnh tranh</t>
        </is>
      </c>
      <c r="F8494" s="10" t="inlineStr">
        <is>
          <t>Hà Nội</t>
        </is>
      </c>
      <c r="G8494" s="10" t="inlineStr">
        <is>
          <t>02-04-2026</t>
        </is>
      </c>
      <c r="H8494" s="10" t="inlineStr">
        <is>
          <t>02/04/2026</t>
        </is>
      </c>
      <c r="I8494" s="10" t="inlineStr">
        <is>
          <t>17/03/2026</t>
        </is>
      </c>
      <c r="J8494" s="10" t="inlineStr">
        <is>
          <t>Luật / Pháp lý</t>
        </is>
      </c>
      <c r="K8494" s="10" t="inlineStr">
        <is>
          <t>Trên 6 Năm</t>
        </is>
      </c>
      <c r="L8494" s="11">
        <f>HYPERLINK("https://careerviet.vn/vi/tim-viec-lam/chuyen-vien-phap-che.35C6A54A.html","Xem chi tiết")</f>
        <v/>
      </c>
      <c r="M8494" s="10" t="n"/>
    </row>
    <row r="8495">
      <c r="B8495" s="7" t="n">
        <v>8493</v>
      </c>
      <c r="C8495" t="inlineStr">
        <is>
          <t>Chuyên viên PC ( Plan control)</t>
        </is>
      </c>
      <c r="D8495" t="inlineStr">
        <is>
          <t>CÔNG TY TNHH ĐIỆN KHÍ QUỐC QUANG (VIỆT NAM)</t>
        </is>
      </c>
      <c r="E8495" t="inlineStr">
        <is>
          <t>Lương:Cạnh tranh</t>
        </is>
      </c>
      <c r="F8495" t="inlineStr">
        <is>
          <t>Quảng Nam</t>
        </is>
      </c>
      <c r="G8495" t="inlineStr">
        <is>
          <t>30-04-2026</t>
        </is>
      </c>
      <c r="H8495" t="inlineStr">
        <is>
          <t>30/04/2026</t>
        </is>
      </c>
      <c r="I8495" t="inlineStr">
        <is>
          <t>17/03/2026</t>
        </is>
      </c>
      <c r="J8495" t="inlineStr">
        <is>
          <t>Thương mại điện tử, Vận chuyển / Giao nhận / Kho vận, Kế toán / Kiểm toán</t>
        </is>
      </c>
      <c r="K8495" t="inlineStr">
        <is>
          <t>1 - 3 Năm</t>
        </is>
      </c>
      <c r="L8495" s="8">
        <f>HYPERLINK("https://careerviet.vn/vi/tim-viec-lam/chuyen-vien-pc-plan-control.35C6A50B.html","Xem chi tiết")</f>
        <v/>
      </c>
    </row>
    <row r="8496">
      <c r="B8496" s="9" t="n">
        <v>8494</v>
      </c>
      <c r="C8496" s="10" t="inlineStr">
        <is>
          <t>Senior Social Auditor - CSCA</t>
        </is>
      </c>
      <c r="D8496" s="10" t="inlineStr">
        <is>
          <t>Cty SGS Việt Nam TNHH</t>
        </is>
      </c>
      <c r="E8496" s="10" t="inlineStr">
        <is>
          <t>Lương:Cạnh tranh</t>
        </is>
      </c>
      <c r="F8496" s="10" t="inlineStr">
        <is>
          <t>Hồ Chí Minh</t>
        </is>
      </c>
      <c r="G8496" s="10" t="inlineStr">
        <is>
          <t>11-04-2026</t>
        </is>
      </c>
      <c r="H8496" s="10" t="inlineStr">
        <is>
          <t>11/04/2026</t>
        </is>
      </c>
      <c r="I8496" s="10" t="inlineStr">
        <is>
          <t>17/03/2026</t>
        </is>
      </c>
      <c r="J8496" s="10" t="inlineStr">
        <is>
          <t>Môi trường, Dệt may / Da giày / Thời trang, Quản lý chất lượng (QA/QC)</t>
        </is>
      </c>
      <c r="K8496" s="10" t="inlineStr">
        <is>
          <t>5 - 20 Năm</t>
        </is>
      </c>
      <c r="L8496" s="11">
        <f>HYPERLINK("https://careerviet.vn/vi/tim-viec-lam/senior-social-auditor-csca.35C6A6E8.html","Xem chi tiết")</f>
        <v/>
      </c>
      <c r="M8496" s="10" t="n"/>
    </row>
    <row r="8497">
      <c r="B8497" s="7" t="n">
        <v>8495</v>
      </c>
      <c r="C8497" t="inlineStr">
        <is>
          <t>Phó Phòng Quản Lý Thiết Kế</t>
        </is>
      </c>
      <c r="D8497" t="inlineStr">
        <is>
          <t>CÔNG TY CỔ PHẦN TẬP ĐOÀN ONSEN FUJI</t>
        </is>
      </c>
      <c r="E8497" t="inlineStr">
        <is>
          <t>Lương:Cạnh tranh</t>
        </is>
      </c>
      <c r="F8497" t="inlineStr">
        <is>
          <t>Hà Nội</t>
        </is>
      </c>
      <c r="G8497" t="inlineStr">
        <is>
          <t>31-03-2026</t>
        </is>
      </c>
      <c r="H8497" t="inlineStr">
        <is>
          <t>31/03/2026</t>
        </is>
      </c>
      <c r="I8497" t="inlineStr">
        <is>
          <t>17/03/2026</t>
        </is>
      </c>
      <c r="J8497" t="inlineStr">
        <is>
          <t>Kiến trúc, Xây dựng, Bất động sản</t>
        </is>
      </c>
      <c r="K8497" t="inlineStr">
        <is>
          <t>10 - 12 Năm</t>
        </is>
      </c>
      <c r="L8497" s="8">
        <f>HYPERLINK("https://careerviet.vn/vi/tim-viec-lam/pho-phong-quan-ly-thiet-ke.35C6A43C.html","Xem chi tiết")</f>
        <v/>
      </c>
    </row>
    <row r="8498">
      <c r="B8498" s="9" t="n">
        <v>8496</v>
      </c>
      <c r="C8498" s="10" t="inlineStr">
        <is>
          <t>Nhân viên kế toán tổng hợp</t>
        </is>
      </c>
      <c r="D8498" s="10" t="inlineStr">
        <is>
          <t>Viện Thẩm mỹ y khoa Dr Hải Lê</t>
        </is>
      </c>
      <c r="E8498" s="10" t="inlineStr">
        <is>
          <t>Lương:15 Tr - 25 Tr VND</t>
        </is>
      </c>
      <c r="F8498" s="10" t="inlineStr">
        <is>
          <t>Hà Nội</t>
        </is>
      </c>
      <c r="G8498" s="10" t="inlineStr">
        <is>
          <t>14-04-2026</t>
        </is>
      </c>
      <c r="H8498" s="10" t="inlineStr">
        <is>
          <t>14/04/2026</t>
        </is>
      </c>
      <c r="I8498" s="10" t="inlineStr">
        <is>
          <t>17/03/2026</t>
        </is>
      </c>
      <c r="J8498" s="10" t="inlineStr">
        <is>
          <t>Y tế / Chăm sóc sức khỏe / Thẩm mỹ / Làm đẹp, Kế toán / Kiểm toán, Tài chính / Đầu tư</t>
        </is>
      </c>
      <c r="K8498" s="10" t="inlineStr">
        <is>
          <t>1 - 3 Năm</t>
        </is>
      </c>
      <c r="L8498" s="11">
        <f>HYPERLINK("https://careerviet.vn/vi/tim-viec-lam/nhan-vien-ke-toan-tong-hop.35C68AAF.html","Xem chi tiết")</f>
        <v/>
      </c>
      <c r="M8498" s="10" t="n"/>
    </row>
    <row r="8499">
      <c r="B8499" s="7" t="n">
        <v>8497</v>
      </c>
      <c r="C8499" t="inlineStr">
        <is>
          <t>Chuyên viên Quan hệ Khách hàng Doanh nghiệp (Toàn quốc)</t>
        </is>
      </c>
      <c r="D8499" t="inlineStr">
        <is>
          <t>Ngân Hàng TMCP Sài Gòn - Hà Nội ( SHB )</t>
        </is>
      </c>
      <c r="E8499" t="inlineStr">
        <is>
          <t>Lương:Cạnh tranh</t>
        </is>
      </c>
      <c r="F8499" t="inlineStr">
        <is>
          <t>Bình DươngBình ThuậnBình Định</t>
        </is>
      </c>
      <c r="G8499" t="inlineStr">
        <is>
          <t>01-04-2026</t>
        </is>
      </c>
      <c r="H8499" t="inlineStr">
        <is>
          <t>01/04/2026</t>
        </is>
      </c>
      <c r="I8499" t="inlineStr">
        <is>
          <t>17/03/2026</t>
        </is>
      </c>
      <c r="J8499" t="inlineStr">
        <is>
          <t>Ngân hàng, Bán hàng / Kinh doanh</t>
        </is>
      </c>
      <c r="K8499" t="inlineStr">
        <is>
          <t>Chưa có kinh nghiệm</t>
        </is>
      </c>
      <c r="L8499" s="8">
        <f>HYPERLINK("https://careerviet.vn/vi/tim-viec-lam/chuyen-vien-quan-he-khach-hang-doanh-nghiep-toan-quoc.35C6A35F.html","Xem chi tiết")</f>
        <v/>
      </c>
    </row>
    <row r="8500">
      <c r="B8500" s="9" t="n">
        <v>8498</v>
      </c>
      <c r="C8500" s="10" t="inlineStr">
        <is>
          <t>Trưởng Ca Vận Hành Lò TAPM</t>
        </is>
      </c>
      <c r="D8500" s="10" t="inlineStr">
        <is>
          <t>CÔNG TY TNHH TẬP ĐOÀN DIVI</t>
        </is>
      </c>
      <c r="E8500" s="10" t="inlineStr">
        <is>
          <t>Lương:14 Tr - 16 Tr VND</t>
        </is>
      </c>
      <c r="F8500" s="10" t="inlineStr">
        <is>
          <t>Bà Rịa - Vũng Tàu</t>
        </is>
      </c>
      <c r="G8500" s="10" t="inlineStr">
        <is>
          <t>02-04-2026</t>
        </is>
      </c>
      <c r="H8500" s="10" t="inlineStr">
        <is>
          <t>02/04/2026</t>
        </is>
      </c>
      <c r="I8500" s="10" t="inlineStr">
        <is>
          <t>17/03/2026</t>
        </is>
      </c>
      <c r="J8500" s="10" t="inlineStr">
        <is>
          <t>Quản lý điều hành, Bảo trì / Sửa chữa, Điện / Điện tử / Điện lạnh / Điện công nghiệp</t>
        </is>
      </c>
      <c r="K8500" s="10" t="inlineStr">
        <is>
          <t>Trên 3 Năm</t>
        </is>
      </c>
      <c r="L8500" s="11">
        <f>HYPERLINK("https://careerviet.vn/vi/tim-viec-lam/truong-ca-van-hanh-lo-tapm.35C6A6BD.html","Xem chi tiết")</f>
        <v/>
      </c>
      <c r="M8500" s="10" t="n"/>
    </row>
    <row r="8501">
      <c r="B8501" s="7" t="n">
        <v>8499</v>
      </c>
      <c r="C8501" t="inlineStr">
        <is>
          <t>Nhân viên R&amp;D</t>
        </is>
      </c>
      <c r="D8501" t="inlineStr">
        <is>
          <t>CHI NHÁNH CÔNG TY TNHH SHIN HEUNG ĐỒNG NAI TẠI HẢI DƯƠNG</t>
        </is>
      </c>
      <c r="E8501" t="inlineStr">
        <is>
          <t>Lương:10 Tr - 25 Tr VND</t>
        </is>
      </c>
      <c r="F8501" t="inlineStr">
        <is>
          <t>Hải Dương</t>
        </is>
      </c>
      <c r="G8501" t="inlineStr">
        <is>
          <t>14-04-2026</t>
        </is>
      </c>
      <c r="H8501" t="inlineStr">
        <is>
          <t>14/04/2026</t>
        </is>
      </c>
      <c r="I8501" t="inlineStr">
        <is>
          <t>17/03/2026</t>
        </is>
      </c>
      <c r="J8501" t="inlineStr">
        <is>
          <t>Sản xuất / Vận hành sản xuất, Cơ khí / Ô tô / Tự động hóa, Bán Hàng Kỹ Thuật</t>
        </is>
      </c>
      <c r="K8501" t="inlineStr">
        <is>
          <t>Chưa có kinh nghiệm</t>
        </is>
      </c>
      <c r="L8501" s="8">
        <f>HYPERLINK("https://careerviet.vn/vi/tim-viec-lam/nhan-vien-r-d.35C68AA7.html","Xem chi tiết")</f>
        <v/>
      </c>
    </row>
    <row r="8502">
      <c r="B8502" s="9" t="n">
        <v>8500</v>
      </c>
      <c r="C8502" s="10" t="inlineStr">
        <is>
          <t>Chuyên Viên Cấp Cao Kế Toán Thẻ</t>
        </is>
      </c>
      <c r="D8502" s="10" t="inlineStr">
        <is>
          <t>HD SAISON Finance Co., Ltd</t>
        </is>
      </c>
      <c r="E8502" s="10" t="inlineStr">
        <is>
          <t>Lương:Cạnh tranh</t>
        </is>
      </c>
      <c r="F8502" s="10" t="inlineStr">
        <is>
          <t>Hồ Chí Minh</t>
        </is>
      </c>
      <c r="G8502" s="10" t="inlineStr">
        <is>
          <t>10-04-2026</t>
        </is>
      </c>
      <c r="H8502" s="10" t="inlineStr">
        <is>
          <t>10/04/2026</t>
        </is>
      </c>
      <c r="I8502" s="10" t="inlineStr">
        <is>
          <t>17/03/2026</t>
        </is>
      </c>
      <c r="J8502" s="10" t="inlineStr">
        <is>
          <t>Kế toán / Kiểm toán, Ngân hàng, Tài chính / Đầu tư</t>
        </is>
      </c>
      <c r="K8502" s="10" t="inlineStr">
        <is>
          <t>2 - 3 Năm</t>
        </is>
      </c>
      <c r="L8502" s="11">
        <f>HYPERLINK("https://careerviet.vn/vi/tim-viec-lam/chuyen-vien-cap-cao-ke-toan-the.35C6A67E.html","Xem chi tiết")</f>
        <v/>
      </c>
      <c r="M8502" s="10" t="n"/>
    </row>
    <row r="8503">
      <c r="B8503" s="7" t="n">
        <v>8501</v>
      </c>
      <c r="C8503" t="inlineStr">
        <is>
          <t>Heat Setting &amp; Coating Process Technical Engineer</t>
        </is>
      </c>
      <c r="D8503" t="inlineStr">
        <is>
          <t>CÔNG TY TNHH WGR INDUSTRIES</t>
        </is>
      </c>
      <c r="E8503" t="inlineStr">
        <is>
          <t>Lương:Cạnh tranh</t>
        </is>
      </c>
      <c r="F8503" t="inlineStr">
        <is>
          <t>Bình Định</t>
        </is>
      </c>
      <c r="G8503" t="inlineStr">
        <is>
          <t>31-03-2026</t>
        </is>
      </c>
      <c r="H8503" t="inlineStr">
        <is>
          <t>31/03/2026</t>
        </is>
      </c>
      <c r="I8503" t="inlineStr">
        <is>
          <t>17/03/2026</t>
        </is>
      </c>
      <c r="J8503" t="inlineStr">
        <is>
          <t>Dệt may / Da giày / Thời trang, Sản xuất / Vận hành sản xuất</t>
        </is>
      </c>
      <c r="K8503" t="inlineStr">
        <is>
          <t>1 - 3 Năm</t>
        </is>
      </c>
      <c r="L8503" s="8">
        <f>HYPERLINK("https://careerviet.vn/vi/tim-viec-lam/heat-setting-coating-process-technical-engineer.35C6A503.html","Xem chi tiết")</f>
        <v/>
      </c>
    </row>
    <row r="8504">
      <c r="B8504" s="9" t="n">
        <v>8502</v>
      </c>
      <c r="C8504" s="10" t="inlineStr">
        <is>
          <t>HO - Trưởng Bộ Phận Kiểm Soát Giao Dịch Thẻ</t>
        </is>
      </c>
      <c r="D8504" s="10" t="inlineStr">
        <is>
          <t>Ngân Hàng TMCP Phương Đông - OCB</t>
        </is>
      </c>
      <c r="E8504" s="10" t="inlineStr">
        <is>
          <t>Lương:Cạnh tranh</t>
        </is>
      </c>
      <c r="F8504" s="10" t="inlineStr">
        <is>
          <t>Hồ Chí Minh</t>
        </is>
      </c>
      <c r="G8504" s="10" t="inlineStr">
        <is>
          <t>14-04-2026</t>
        </is>
      </c>
      <c r="H8504" s="10" t="inlineStr">
        <is>
          <t>14/04/2026</t>
        </is>
      </c>
      <c r="I8504" s="10" t="inlineStr">
        <is>
          <t>17/03/2026</t>
        </is>
      </c>
      <c r="J8504" s="10" t="inlineStr">
        <is>
          <t>Ngân hàng</t>
        </is>
      </c>
      <c r="K8504" s="10" t="inlineStr">
        <is>
          <t>3 - 5 Năm</t>
        </is>
      </c>
      <c r="L8504" s="11">
        <f>HYPERLINK("https://careerviet.vn/vi/tim-viec-lam/ho-truong-bo-phan-kiem-soat-giao-dich-the.35C65897.html","Xem chi tiết")</f>
        <v/>
      </c>
      <c r="M8504" s="10" t="n"/>
    </row>
    <row r="8505">
      <c r="B8505" s="7" t="n">
        <v>8503</v>
      </c>
      <c r="C8505" t="inlineStr">
        <is>
          <t>[Lào Cai] Chuyên viên Giám Sát Hoàn Thiện (Ban QLDA) - Alphanam Group</t>
        </is>
      </c>
      <c r="D8505" t="inlineStr">
        <is>
          <t>Alphanam Group</t>
        </is>
      </c>
      <c r="E8505" t="inlineStr">
        <is>
          <t>Lương:Cạnh tranh</t>
        </is>
      </c>
      <c r="F8505" t="inlineStr">
        <is>
          <t>Lào Cai</t>
        </is>
      </c>
      <c r="G8505" t="inlineStr">
        <is>
          <t>01-04-2026</t>
        </is>
      </c>
      <c r="H8505" t="inlineStr">
        <is>
          <t>01/04/2026</t>
        </is>
      </c>
      <c r="I8505" t="inlineStr">
        <is>
          <t>17/03/2026</t>
        </is>
      </c>
      <c r="J8505" t="inlineStr">
        <is>
          <t>Xây dựng, Bất động sản, Nội ngoại thất</t>
        </is>
      </c>
      <c r="K8505" t="inlineStr">
        <is>
          <t>5 - 7 Năm</t>
        </is>
      </c>
      <c r="L8505" s="8">
        <f>HYPERLINK("https://careerviet.vn/vi/tim-viec-lam/lao-cai-chuyen-vien-giam-sat-hoan-thien-ban-qlda-alphanam-group.35C6A4AF.html","Xem chi tiết")</f>
        <v/>
      </c>
    </row>
    <row r="8506">
      <c r="B8506" s="9" t="n">
        <v>8504</v>
      </c>
      <c r="C8506" s="10" t="inlineStr">
        <is>
          <t>HO - CVC/CVCC Phát Triển Chính Sách</t>
        </is>
      </c>
      <c r="D8506" s="10" t="inlineStr">
        <is>
          <t>Ngân Hàng TMCP Phương Đông - OCB</t>
        </is>
      </c>
      <c r="E8506" s="10" t="inlineStr">
        <is>
          <t>Lương:Cạnh tranh</t>
        </is>
      </c>
      <c r="F8506" s="10" t="inlineStr">
        <is>
          <t>Hồ Chí Minh</t>
        </is>
      </c>
      <c r="G8506" s="10" t="inlineStr">
        <is>
          <t>14-04-2026</t>
        </is>
      </c>
      <c r="H8506" s="10" t="inlineStr">
        <is>
          <t>14/04/2026</t>
        </is>
      </c>
      <c r="I8506" s="10" t="inlineStr">
        <is>
          <t>17/03/2026</t>
        </is>
      </c>
      <c r="J8506" s="10" t="inlineStr">
        <is>
          <t>Ngân hàng</t>
        </is>
      </c>
      <c r="K8506" s="10" t="inlineStr">
        <is>
          <t>2 - 5 Năm</t>
        </is>
      </c>
      <c r="L8506" s="11">
        <f>HYPERLINK("https://careerviet.vn/vi/tim-viec-lam/ho-cvc-cvcc-phat-trien-chinh-sach.35C6588F.html","Xem chi tiết")</f>
        <v/>
      </c>
      <c r="M8506" s="10" t="n"/>
    </row>
    <row r="8507">
      <c r="B8507" s="7" t="n">
        <v>8505</v>
      </c>
      <c r="C8507" t="inlineStr">
        <is>
          <t>Quảng Ninh - Dự Án Điện Mặt Trời Đầm Hà - Chuyên Viên Thủ Tục Pháp Lý</t>
        </is>
      </c>
      <c r="D8507" t="inlineStr">
        <is>
          <t>BIM Group</t>
        </is>
      </c>
      <c r="E8507" t="inlineStr">
        <is>
          <t>Lương:Cạnh tranh</t>
        </is>
      </c>
      <c r="F8507" t="inlineStr">
        <is>
          <t>Quảng Ninh</t>
        </is>
      </c>
      <c r="G8507" t="inlineStr">
        <is>
          <t>14-04-2026</t>
        </is>
      </c>
      <c r="H8507" t="inlineStr">
        <is>
          <t>14/04/2026</t>
        </is>
      </c>
      <c r="I8507" t="inlineStr">
        <is>
          <t>17/03/2026</t>
        </is>
      </c>
      <c r="J8507" t="inlineStr">
        <is>
          <t>Luật / Pháp lý, Điện / Điện tử / Điện lạnh / Điện công nghiệp</t>
        </is>
      </c>
      <c r="K8507" t="inlineStr">
        <is>
          <t>1 - 2 Năm</t>
        </is>
      </c>
      <c r="L8507" s="8">
        <f>HYPERLINK("https://careerviet.vn/vi/tim-viec-lam/quang-ninh-du-an-dien-mat-troi-dam-ha-chuyen-vien-thu-tuc-phap-ly.35C689CB.html","Xem chi tiết")</f>
        <v/>
      </c>
    </row>
    <row r="8508">
      <c r="B8508" s="9" t="n">
        <v>8506</v>
      </c>
      <c r="C8508" s="10" t="inlineStr">
        <is>
          <t>Marketing Executive</t>
        </is>
      </c>
      <c r="D8508" s="10" t="inlineStr">
        <is>
          <t>CÔNG TY TNHH SUUNTO ADVENTURE (VIETNAM)</t>
        </is>
      </c>
      <c r="E8508" s="10" t="inlineStr">
        <is>
          <t>Lương:7 Tr - 10 Tr VND</t>
        </is>
      </c>
      <c r="F8508" s="10" t="inlineStr">
        <is>
          <t>Hồ Chí Minh</t>
        </is>
      </c>
      <c r="G8508" s="10" t="inlineStr">
        <is>
          <t>14-04-2026</t>
        </is>
      </c>
      <c r="H8508" s="10" t="inlineStr">
        <is>
          <t>14/04/2026</t>
        </is>
      </c>
      <c r="I8508" s="10" t="inlineStr">
        <is>
          <t>17/03/2026</t>
        </is>
      </c>
      <c r="J8508" s="10" t="inlineStr">
        <is>
          <t>Tiếp thị / Marketing, Tiếp thị trực tuyến, Quảng cáo / Đối ngoại / Truyền Thông</t>
        </is>
      </c>
      <c r="K8508" s="10" t="inlineStr">
        <is>
          <t>N/A</t>
        </is>
      </c>
      <c r="L8508" s="11">
        <f>HYPERLINK("https://careerviet.vn/vi/tim-viec-lam/marketing-executive.35C68A72.html","Xem chi tiết")</f>
        <v/>
      </c>
      <c r="M8508" s="10" t="n"/>
    </row>
    <row r="8509">
      <c r="B8509" s="7" t="n">
        <v>8507</v>
      </c>
      <c r="C8509" t="inlineStr">
        <is>
          <t>Trưởng nhóm thiết kế (nội thất/ xây dựng)</t>
        </is>
      </c>
      <c r="D8509" t="inlineStr">
        <is>
          <t>CÔNG TY CỔ PHẦN ABT HOMES</t>
        </is>
      </c>
      <c r="E8509" t="inlineStr">
        <is>
          <t>Lương:22 Tr - 28 Tr VND</t>
        </is>
      </c>
      <c r="F8509" t="inlineStr">
        <is>
          <t>Hà Nội</t>
        </is>
      </c>
      <c r="G8509" t="inlineStr">
        <is>
          <t>14-04-2026</t>
        </is>
      </c>
      <c r="H8509" t="inlineStr">
        <is>
          <t>14/04/2026</t>
        </is>
      </c>
      <c r="I8509" t="inlineStr">
        <is>
          <t>17/03/2026</t>
        </is>
      </c>
      <c r="J8509" t="inlineStr">
        <is>
          <t>Kiến trúc, Xây dựng, Nội ngoại thất</t>
        </is>
      </c>
      <c r="K8509" t="inlineStr">
        <is>
          <t>4 - 5 Năm</t>
        </is>
      </c>
      <c r="L8509" s="8">
        <f>HYPERLINK("https://careerviet.vn/vi/tim-viec-lam/truong-nhom-thiet-ke-noi-that-xay-dung.35C689C6.html","Xem chi tiết")</f>
        <v/>
      </c>
    </row>
    <row r="8510">
      <c r="B8510" s="9" t="n">
        <v>8508</v>
      </c>
      <c r="C8510" s="10" t="inlineStr">
        <is>
          <t>Nhân viên Marketing</t>
        </is>
      </c>
      <c r="D8510" s="10" t="inlineStr">
        <is>
          <t>CÔNG TY TNHH NHẤT LỘ PHÁT 168</t>
        </is>
      </c>
      <c r="E8510" s="10" t="inlineStr">
        <is>
          <t>Lương:9 Tr - 12 Tr VND</t>
        </is>
      </c>
      <c r="F8510" s="10" t="inlineStr">
        <is>
          <t>Bình Dương</t>
        </is>
      </c>
      <c r="G8510" s="10" t="inlineStr">
        <is>
          <t>14-04-2026</t>
        </is>
      </c>
      <c r="H8510" s="10" t="inlineStr">
        <is>
          <t>14/04/2026</t>
        </is>
      </c>
      <c r="I8510" s="10" t="inlineStr">
        <is>
          <t>17/03/2026</t>
        </is>
      </c>
      <c r="J8510" s="10" t="inlineStr">
        <is>
          <t>Tiếp thị / Marketing, Quảng cáo / Đối ngoại / Truyền Thông, Thương mại điện tử</t>
        </is>
      </c>
      <c r="K8510" s="10" t="inlineStr">
        <is>
          <t>1 - 3 Năm</t>
        </is>
      </c>
      <c r="L8510" s="11">
        <f>HYPERLINK("https://careerviet.vn/vi/tim-viec-lam/nhan-vien-marketing.35C656FE.html","Xem chi tiết")</f>
        <v/>
      </c>
      <c r="M8510" s="10" t="n"/>
    </row>
    <row r="8511">
      <c r="B8511" s="7" t="n">
        <v>8509</v>
      </c>
      <c r="C8511" t="inlineStr">
        <is>
          <t>Sales Admin</t>
        </is>
      </c>
      <c r="D8511" t="inlineStr">
        <is>
          <t>DAEYOUNG ELECTRONICS VINA</t>
        </is>
      </c>
      <c r="E8511" t="inlineStr">
        <is>
          <t>Lương:Cạnh tranh</t>
        </is>
      </c>
      <c r="F8511" t="inlineStr">
        <is>
          <t>Hồ Chí Minh</t>
        </is>
      </c>
      <c r="G8511" t="inlineStr">
        <is>
          <t>14-04-2026</t>
        </is>
      </c>
      <c r="H8511" t="inlineStr">
        <is>
          <t>14/04/2026</t>
        </is>
      </c>
      <c r="I8511" t="inlineStr">
        <is>
          <t>17/03/2026</t>
        </is>
      </c>
      <c r="J8511" t="inlineStr">
        <is>
          <t>Hành chính / Thư ký, Dịch vụ khách hàng, Điện / Điện tử / Điện lạnh / Điện công nghiệp</t>
        </is>
      </c>
      <c r="K8511" t="inlineStr">
        <is>
          <t>Lên đến 1 Năm</t>
        </is>
      </c>
      <c r="L8511" s="8">
        <f>HYPERLINK("https://careerviet.vn/vi/tim-viec-lam/sales-admin.35C6882A.html","Xem chi tiết")</f>
        <v/>
      </c>
    </row>
    <row r="8512">
      <c r="B8512" s="9" t="n">
        <v>8510</v>
      </c>
      <c r="C8512" s="10" t="inlineStr">
        <is>
          <t>BD Internal Control Specialist</t>
        </is>
      </c>
      <c r="D8512" s="10" t="inlineStr">
        <is>
          <t>UrBox - Công ty Cổ phần Tiếp Thị Số Tô Quà</t>
        </is>
      </c>
      <c r="E8512" s="10" t="inlineStr">
        <is>
          <t>Lương:Cạnh tranh</t>
        </is>
      </c>
      <c r="F8512" s="10" t="inlineStr">
        <is>
          <t>Hồ Chí Minh</t>
        </is>
      </c>
      <c r="G8512" s="10" t="inlineStr">
        <is>
          <t>14-04-2026</t>
        </is>
      </c>
      <c r="H8512" s="10" t="inlineStr">
        <is>
          <t>14/04/2026</t>
        </is>
      </c>
      <c r="I8512" s="10" t="inlineStr">
        <is>
          <t>17/03/2026</t>
        </is>
      </c>
      <c r="J8512" s="10" t="inlineStr">
        <is>
          <t>Luật / Pháp lý, Tài chính / Đầu tư, Kế toán / Kiểm toán</t>
        </is>
      </c>
      <c r="K8512" s="10" t="inlineStr">
        <is>
          <t>1 - 2 Năm</t>
        </is>
      </c>
      <c r="L8512" s="11">
        <f>HYPERLINK("https://careerviet.vn/vi/tim-viec-lam/bd-internal-control-specialist.35C68A64.html","Xem chi tiết")</f>
        <v/>
      </c>
      <c r="M8512" s="10" t="n"/>
    </row>
    <row r="8513">
      <c r="B8513" s="7" t="n">
        <v>8511</v>
      </c>
      <c r="C8513" t="inlineStr">
        <is>
          <t>Nhân viên bảo trì cơ điện</t>
        </is>
      </c>
      <c r="D8513" t="inlineStr">
        <is>
          <t>Công Ty TNHH SML Trims &amp; Packaging Việt Nam</t>
        </is>
      </c>
      <c r="E8513" t="inlineStr">
        <is>
          <t>Lương:Cạnh tranh</t>
        </is>
      </c>
      <c r="F8513" t="inlineStr">
        <is>
          <t>Hưng Yên</t>
        </is>
      </c>
      <c r="G8513" t="inlineStr">
        <is>
          <t>14-04-2026</t>
        </is>
      </c>
      <c r="H8513" t="inlineStr">
        <is>
          <t>14/04/2026</t>
        </is>
      </c>
      <c r="I8513" t="inlineStr">
        <is>
          <t>17/03/2026</t>
        </is>
      </c>
      <c r="J8513" t="inlineStr">
        <is>
          <t>Cơ khí / Ô tô / Tự động hóa, Bảo trì / Sửa chữa, Sản xuất / Vận hành sản xuất</t>
        </is>
      </c>
      <c r="K8513" t="inlineStr">
        <is>
          <t>Trên 3 Năm</t>
        </is>
      </c>
      <c r="L8513" s="8">
        <f>HYPERLINK("https://careerviet.vn/vi/tim-viec-lam/nhan-vien-bao-tri-co-dien.35C658BE.html","Xem chi tiết")</f>
        <v/>
      </c>
    </row>
    <row r="8514">
      <c r="B8514" s="9" t="n">
        <v>8512</v>
      </c>
      <c r="C8514" s="10" t="inlineStr">
        <is>
          <t>Chuyên viên Tổ chức Cung ứng - Base Phan Thiết</t>
        </is>
      </c>
      <c r="D8514" s="10" t="inlineStr">
        <is>
          <t>Nova Service Group - Công ty Cổ phần Tập đoàn Nova Services</t>
        </is>
      </c>
      <c r="E8514" s="10" t="inlineStr">
        <is>
          <t>Lương:Cạnh tranh</t>
        </is>
      </c>
      <c r="F8514" s="10" t="inlineStr">
        <is>
          <t>Bình Thuận</t>
        </is>
      </c>
      <c r="G8514" s="10" t="inlineStr">
        <is>
          <t>14-04-2026</t>
        </is>
      </c>
      <c r="H8514" s="10" t="inlineStr">
        <is>
          <t>14/04/2026</t>
        </is>
      </c>
      <c r="I8514" s="10" t="inlineStr">
        <is>
          <t>17/03/2026</t>
        </is>
      </c>
      <c r="J8514" s="10" t="inlineStr">
        <is>
          <t>Nhà hàng / Khách sạn, Thu mua / Vật tư</t>
        </is>
      </c>
      <c r="K8514" s="10" t="inlineStr">
        <is>
          <t>2 - 5 Năm</t>
        </is>
      </c>
      <c r="L8514" s="11">
        <f>HYPERLINK("https://careerviet.vn/vi/tim-viec-lam/chuyen-vien-to-chuc-cung-ung-base-phan-thiet.35C658FD.html","Xem chi tiết")</f>
        <v/>
      </c>
      <c r="M8514" s="10" t="n"/>
    </row>
    <row r="8515">
      <c r="B8515" s="7" t="n">
        <v>8513</v>
      </c>
      <c r="C8515" t="inlineStr">
        <is>
          <t>Senior Technical Manager (Garment )</t>
        </is>
      </c>
      <c r="D8515" t="inlineStr">
        <is>
          <t>Headhunter HRchannels Group</t>
        </is>
      </c>
      <c r="E8515" t="inlineStr">
        <is>
          <t>Lương:5.000 - 6.000 USD</t>
        </is>
      </c>
      <c r="F8515" t="inlineStr">
        <is>
          <t>Thái Bình</t>
        </is>
      </c>
      <c r="G8515" t="inlineStr">
        <is>
          <t>14-04-2026</t>
        </is>
      </c>
      <c r="H8515" t="inlineStr">
        <is>
          <t>14/04/2026</t>
        </is>
      </c>
      <c r="I8515" t="inlineStr">
        <is>
          <t>17/03/2026</t>
        </is>
      </c>
      <c r="J8515" t="inlineStr">
        <is>
          <t>Dệt may / Da giày / Thời trang</t>
        </is>
      </c>
      <c r="K8515" t="inlineStr">
        <is>
          <t>5 - 10 Năm</t>
        </is>
      </c>
      <c r="L8515" s="8">
        <f>HYPERLINK("https://careerviet.vn/vi/tim-viec-lam/senior-technical-manager-garment.35C68A3B.html","Xem chi tiết")</f>
        <v/>
      </c>
    </row>
    <row r="8516">
      <c r="B8516" s="9" t="n">
        <v>8514</v>
      </c>
      <c r="C8516" s="10" t="inlineStr">
        <is>
          <t>Chuyên Viên Tư Vấn Tuyển Sinh Mầm Non - ILO Preschool Bình Dương</t>
        </is>
      </c>
      <c r="D8516" s="10" t="inlineStr">
        <is>
          <t>ILA Việt Nam</t>
        </is>
      </c>
      <c r="E8516" s="10" t="inlineStr">
        <is>
          <t>Lương:8 Tr - 20 Tr VND</t>
        </is>
      </c>
      <c r="F8516" s="10" t="inlineStr">
        <is>
          <t>Bình Dương</t>
        </is>
      </c>
      <c r="G8516" s="10" t="inlineStr">
        <is>
          <t>14-04-2026</t>
        </is>
      </c>
      <c r="H8516" s="10" t="inlineStr">
        <is>
          <t>14/04/2026</t>
        </is>
      </c>
      <c r="I8516" s="10" t="inlineStr">
        <is>
          <t>17/03/2026</t>
        </is>
      </c>
      <c r="J8516" s="10" t="inlineStr">
        <is>
          <t>Bán hàng / Kinh doanh, Tư vấn, Giáo dục / Đào tạo</t>
        </is>
      </c>
      <c r="K8516" s="10" t="inlineStr">
        <is>
          <t>1 - 2 Năm</t>
        </is>
      </c>
      <c r="L8516" s="11">
        <f>HYPERLINK("https://careerviet.vn/vi/tim-viec-lam/chuyen-vien-tu-van-tuyen-sinh-mam-non-ilo-preschool-binh-duong.35C6599B.html","Xem chi tiết")</f>
        <v/>
      </c>
      <c r="M8516" s="10" t="n"/>
    </row>
    <row r="8517">
      <c r="B8517" s="7" t="n">
        <v>8515</v>
      </c>
      <c r="C8517" t="inlineStr">
        <is>
          <t>Quảng Ninh - Chuyên viên kỹ thuật cơ điện</t>
        </is>
      </c>
      <c r="D8517" t="inlineStr">
        <is>
          <t>BIM Group</t>
        </is>
      </c>
      <c r="E8517" t="inlineStr">
        <is>
          <t>Lương:Cạnh tranh</t>
        </is>
      </c>
      <c r="F8517" t="inlineStr">
        <is>
          <t>Quảng Ninh</t>
        </is>
      </c>
      <c r="G8517" t="inlineStr">
        <is>
          <t>14-04-2026</t>
        </is>
      </c>
      <c r="H8517" t="inlineStr">
        <is>
          <t>14/04/2026</t>
        </is>
      </c>
      <c r="I8517" t="inlineStr">
        <is>
          <t>17/03/2026</t>
        </is>
      </c>
      <c r="J8517" t="inlineStr">
        <is>
          <t>Điện / Điện tử / Điện lạnh / Điện công nghiệp</t>
        </is>
      </c>
      <c r="K8517" t="inlineStr">
        <is>
          <t>1 - 2 Năm</t>
        </is>
      </c>
      <c r="L8517" s="8">
        <f>HYPERLINK("https://careerviet.vn/vi/tim-viec-lam/quang-ninh-chuyen-vien-ky-thuat-co-dien.35C689B6.html","Xem chi tiết")</f>
        <v/>
      </c>
    </row>
    <row r="8518">
      <c r="B8518" s="9" t="n">
        <v>8516</v>
      </c>
      <c r="C8518" s="10" t="inlineStr">
        <is>
          <t>Nhân Viên Vận Hành Máy Phay</t>
        </is>
      </c>
      <c r="D8518" s="10" t="inlineStr">
        <is>
          <t>Công ty TNHH Uchida Việt Nam</t>
        </is>
      </c>
      <c r="E8518" s="10" t="inlineStr">
        <is>
          <t>Lương:12 Tr - 15 Tr VND</t>
        </is>
      </c>
      <c r="F8518" s="10" t="inlineStr">
        <is>
          <t>Đồng Nai</t>
        </is>
      </c>
      <c r="G8518" s="10" t="inlineStr">
        <is>
          <t>14-04-2026</t>
        </is>
      </c>
      <c r="H8518" s="10" t="inlineStr">
        <is>
          <t>14/04/2026</t>
        </is>
      </c>
      <c r="I8518" s="10" t="inlineStr">
        <is>
          <t>17/03/2026</t>
        </is>
      </c>
      <c r="J8518" s="10" t="inlineStr">
        <is>
          <t>Ngành khác, Sản xuất / Vận hành sản xuất, Cơ khí / Ô tô / Tự động hóa</t>
        </is>
      </c>
      <c r="K8518" s="10" t="inlineStr">
        <is>
          <t>1 - 2 Năm</t>
        </is>
      </c>
      <c r="L8518" s="11">
        <f>HYPERLINK("https://careerviet.vn/vi/tim-viec-lam/nhan-vien-van-hanh-may-phay.35C658FC.html","Xem chi tiết")</f>
        <v/>
      </c>
      <c r="M8518" s="10" t="n"/>
    </row>
    <row r="8519">
      <c r="B8519" s="7" t="n">
        <v>8517</v>
      </c>
      <c r="C8519" t="inlineStr">
        <is>
          <t>NHÂN VIÊN KINH DOANH (SALES B2B)</t>
        </is>
      </c>
      <c r="D8519" t="inlineStr">
        <is>
          <t>Srithai Viet Nam Co., Ltd</t>
        </is>
      </c>
      <c r="E8519" t="inlineStr">
        <is>
          <t>Lương:15 Tr - 25 Tr VND</t>
        </is>
      </c>
      <c r="F8519" t="inlineStr">
        <is>
          <t>Bình Dương</t>
        </is>
      </c>
      <c r="G8519" t="inlineStr">
        <is>
          <t>14-04-2026</t>
        </is>
      </c>
      <c r="H8519" t="inlineStr">
        <is>
          <t>14/04/2026</t>
        </is>
      </c>
      <c r="I8519" t="inlineStr">
        <is>
          <t>17/03/2026</t>
        </is>
      </c>
      <c r="J8519" t="inlineStr">
        <is>
          <t>Bán lẻ / Bán sỉ, Bán hàng / Kinh doanh, Sản xuất / Vận hành sản xuất</t>
        </is>
      </c>
      <c r="K8519" t="inlineStr">
        <is>
          <t>1 - 2 Năm</t>
        </is>
      </c>
      <c r="L8519" s="8">
        <f>HYPERLINK("https://careerviet.vn/vi/tim-viec-lam/nhan-vien-kinh-doanh-sales-b2b.35C68991.html","Xem chi tiết")</f>
        <v/>
      </c>
    </row>
    <row r="8520">
      <c r="B8520" s="9" t="n">
        <v>8518</v>
      </c>
      <c r="C8520" s="10" t="inlineStr">
        <is>
          <t>Chuyên viên Phát triển năng lực</t>
        </is>
      </c>
      <c r="D8520" s="10" t="inlineStr">
        <is>
          <t>Ngân hàng TMCP Đại Chúng Việt Nam - PVcomBank</t>
        </is>
      </c>
      <c r="E8520" s="10" t="inlineStr">
        <is>
          <t>Lương:Cạnh tranh</t>
        </is>
      </c>
      <c r="F8520" s="10" t="inlineStr">
        <is>
          <t>Hà Nội</t>
        </is>
      </c>
      <c r="G8520" s="10" t="inlineStr">
        <is>
          <t>14-04-2026</t>
        </is>
      </c>
      <c r="H8520" s="10" t="inlineStr">
        <is>
          <t>14/04/2026</t>
        </is>
      </c>
      <c r="I8520" s="10" t="inlineStr">
        <is>
          <t>17/03/2026</t>
        </is>
      </c>
      <c r="J8520" s="10" t="inlineStr">
        <is>
          <t>Nhân sự, Ngân hàng</t>
        </is>
      </c>
      <c r="K8520" s="10" t="inlineStr">
        <is>
          <t>1 - 2 Năm</t>
        </is>
      </c>
      <c r="L8520" s="11">
        <f>HYPERLINK("https://careerviet.vn/vi/tim-viec-lam/chuyen-vien-phat-trien-nang-luc.35C6582E.html","Xem chi tiết")</f>
        <v/>
      </c>
      <c r="M8520" s="10" t="n"/>
    </row>
    <row r="8521">
      <c r="B8521" s="7" t="n">
        <v>8519</v>
      </c>
      <c r="C8521" t="inlineStr">
        <is>
          <t>Thiết Kế Đồ Họa Game Tại Đà Nẵng</t>
        </is>
      </c>
      <c r="D8521" t="inlineStr">
        <is>
          <t>Koei Tecmo Software Vietnam</t>
        </is>
      </c>
      <c r="E8521" t="inlineStr">
        <is>
          <t>Lương:Cạnh tranh</t>
        </is>
      </c>
      <c r="F8521" t="inlineStr">
        <is>
          <t>Đà Nẵng</t>
        </is>
      </c>
      <c r="G8521" t="inlineStr">
        <is>
          <t>14-04-2026</t>
        </is>
      </c>
      <c r="H8521" t="inlineStr">
        <is>
          <t>14/04/2026</t>
        </is>
      </c>
      <c r="I8521" t="inlineStr">
        <is>
          <t>17/03/2026</t>
        </is>
      </c>
      <c r="J8521" t="inlineStr">
        <is>
          <t>Mỹ thuật / Nghệ thuật / Thiết kế</t>
        </is>
      </c>
      <c r="K8521" t="inlineStr">
        <is>
          <t>null - null Năm</t>
        </is>
      </c>
      <c r="L8521" s="8">
        <f>HYPERLINK("https://careerviet.vn/vi/tim-viec-lam/thiet-ke-do-hoa-game-tai-da-nang.35C689BC.html","Xem chi tiết")</f>
        <v/>
      </c>
    </row>
    <row r="8522">
      <c r="B8522" s="9" t="n">
        <v>8520</v>
      </c>
      <c r="C8522" s="10" t="inlineStr">
        <is>
          <t>TUYỂN DỤNG ỨNG VIÊN BIẾT TIẾNG NHẬT (N3 / N2 / N1)</t>
        </is>
      </c>
      <c r="D8522" s="10" t="inlineStr">
        <is>
          <t>KOKORO HR CO.,LTD</t>
        </is>
      </c>
      <c r="E8522" s="10" t="inlineStr">
        <is>
          <t>Lương:9 Tr - 39 Tr VND</t>
        </is>
      </c>
      <c r="F8522" s="10" t="inlineStr">
        <is>
          <t>Đồng NaiBình DươngBà Rịa - Vũng Tàu</t>
        </is>
      </c>
      <c r="G8522" s="10" t="inlineStr">
        <is>
          <t>14-04-2026</t>
        </is>
      </c>
      <c r="H8522" s="10" t="inlineStr">
        <is>
          <t>14/04/2026</t>
        </is>
      </c>
      <c r="I8522" s="10" t="inlineStr">
        <is>
          <t>17/03/2026</t>
        </is>
      </c>
      <c r="J8522" s="10" t="inlineStr">
        <is>
          <t>Biên phiên dịch, Hành chính / Thư ký, Quản lý điều hành</t>
        </is>
      </c>
      <c r="K8522" s="10" t="inlineStr">
        <is>
          <t>Chưa có kinh nghiệm</t>
        </is>
      </c>
      <c r="L8522" s="11">
        <f>HYPERLINK("https://careerviet.vn/vi/tim-viec-lam/tuyen-dung-ung-vien-biet-tieng-nhat-n3-n2-n1.35C689A2.html","Xem chi tiết")</f>
        <v/>
      </c>
      <c r="M8522" s="10" t="n"/>
    </row>
    <row r="8523">
      <c r="B8523" s="7" t="n">
        <v>8521</v>
      </c>
      <c r="C8523" t="inlineStr">
        <is>
          <t>GIÁM SÁT CÔNG TRÌNH  (HÀ NỘI)</t>
        </is>
      </c>
      <c r="D8523" t="inlineStr">
        <is>
          <t>Công Ty Cổ Phần Kiến Trúc Tư Vấn Quản Lý Đông Dương</t>
        </is>
      </c>
      <c r="E8523" t="inlineStr">
        <is>
          <t>Lương:Cạnh tranh</t>
        </is>
      </c>
      <c r="F8523" t="inlineStr">
        <is>
          <t>Hà Nội</t>
        </is>
      </c>
      <c r="G8523" t="inlineStr">
        <is>
          <t>14-04-2026</t>
        </is>
      </c>
      <c r="H8523" t="inlineStr">
        <is>
          <t>14/04/2026</t>
        </is>
      </c>
      <c r="I8523" t="inlineStr">
        <is>
          <t>17/03/2026</t>
        </is>
      </c>
      <c r="J8523" t="inlineStr">
        <is>
          <t>Kiến trúc, Xây dựng, Bất động sản</t>
        </is>
      </c>
      <c r="K8523" t="inlineStr">
        <is>
          <t>3 - 20 Năm</t>
        </is>
      </c>
      <c r="L8523" s="8">
        <f>HYPERLINK("https://careerviet.vn/vi/tim-viec-lam/giam-sat-cong-trinh-ha-noi.35C68AB0.html","Xem chi tiết")</f>
        <v/>
      </c>
    </row>
    <row r="8524">
      <c r="B8524" s="9" t="n">
        <v>8522</v>
      </c>
      <c r="C8524" s="10" t="inlineStr">
        <is>
          <t>Thiết Kế Đồ Họa Game Tại Hà Nội</t>
        </is>
      </c>
      <c r="D8524" s="10" t="inlineStr">
        <is>
          <t>Koei Tecmo Software Vietnam</t>
        </is>
      </c>
      <c r="E8524" s="10" t="inlineStr">
        <is>
          <t>Lương:Cạnh tranh</t>
        </is>
      </c>
      <c r="F8524" s="10" t="inlineStr">
        <is>
          <t>Hà Nội</t>
        </is>
      </c>
      <c r="G8524" s="10" t="inlineStr">
        <is>
          <t>14-04-2026</t>
        </is>
      </c>
      <c r="H8524" s="10" t="inlineStr">
        <is>
          <t>14/04/2026</t>
        </is>
      </c>
      <c r="I8524" s="10" t="inlineStr">
        <is>
          <t>17/03/2026</t>
        </is>
      </c>
      <c r="J8524" s="10" t="inlineStr">
        <is>
          <t>Mỹ thuật / Nghệ thuật / Thiết kế</t>
        </is>
      </c>
      <c r="K8524" s="10" t="inlineStr">
        <is>
          <t>null - null Năm</t>
        </is>
      </c>
      <c r="L8524" s="11">
        <f>HYPERLINK("https://careerviet.vn/vi/tim-viec-lam/thiet-ke-do-hoa-game-tai-ha-noi.35C689BF.html","Xem chi tiết")</f>
        <v/>
      </c>
      <c r="M8524" s="10" t="n"/>
    </row>
    <row r="8525">
      <c r="B8525" s="7" t="n">
        <v>8523</v>
      </c>
      <c r="C8525" t="inlineStr">
        <is>
          <t>PHÓ PHÒNG PHÁT TRIỂN DỰ ÁN</t>
        </is>
      </c>
      <c r="D8525" t="inlineStr">
        <is>
          <t>HR Vietnam’s ESS Client</t>
        </is>
      </c>
      <c r="E8525" t="inlineStr">
        <is>
          <t>Lương:Cạnh tranh</t>
        </is>
      </c>
      <c r="F8525" t="inlineStr">
        <is>
          <t>Hưng Yên</t>
        </is>
      </c>
      <c r="G8525" t="inlineStr">
        <is>
          <t>14-04-2026</t>
        </is>
      </c>
      <c r="H8525" t="inlineStr">
        <is>
          <t>14/04/2026</t>
        </is>
      </c>
      <c r="I8525" t="inlineStr">
        <is>
          <t>17/03/2026</t>
        </is>
      </c>
      <c r="J8525" t="inlineStr">
        <is>
          <t>Xây dựng, Quản lý điều hành, Bất động sản</t>
        </is>
      </c>
      <c r="K8525" t="inlineStr">
        <is>
          <t>3 - 7 Năm</t>
        </is>
      </c>
      <c r="L8525" s="8">
        <f>HYPERLINK("https://careerviet.vn/vi/tim-viec-lam/pho-phong-phat-trien-du-an.35C65981.html","Xem chi tiết")</f>
        <v/>
      </c>
    </row>
    <row r="8526">
      <c r="B8526" s="9" t="n">
        <v>8524</v>
      </c>
      <c r="C8526" s="10" t="inlineStr">
        <is>
          <t>Trưởng phòng pháp chế và tuân thủ</t>
        </is>
      </c>
      <c r="D8526" s="10" t="inlineStr">
        <is>
          <t>CÔNG TY TNHH CÔNG NGHỆ VIỆT</t>
        </is>
      </c>
      <c r="E8526" s="10" t="inlineStr">
        <is>
          <t>Lương:25 Tr - 40 Tr VND</t>
        </is>
      </c>
      <c r="F8526" s="10" t="inlineStr">
        <is>
          <t>Hà Nội</t>
        </is>
      </c>
      <c r="G8526" s="10" t="inlineStr">
        <is>
          <t>14-04-2026</t>
        </is>
      </c>
      <c r="H8526" s="10" t="inlineStr">
        <is>
          <t>14/04/2026</t>
        </is>
      </c>
      <c r="I8526" s="10" t="inlineStr">
        <is>
          <t>17/03/2026</t>
        </is>
      </c>
      <c r="J8526" s="10" t="inlineStr">
        <is>
          <t>Luật / Pháp lý, Xây dựng, Bất động sản</t>
        </is>
      </c>
      <c r="K8526" s="10" t="inlineStr">
        <is>
          <t>3 - 5 Năm</t>
        </is>
      </c>
      <c r="L8526" s="11">
        <f>HYPERLINK("https://careerviet.vn/vi/tim-viec-lam/truong-phong-phap-che-va-tuan-thu.35C68962.html","Xem chi tiết")</f>
        <v/>
      </c>
      <c r="M8526" s="10" t="n"/>
    </row>
    <row r="8527">
      <c r="B8527" s="7" t="n">
        <v>8525</v>
      </c>
      <c r="C8527" t="inlineStr">
        <is>
          <t>CHUYÊN VIÊN TƯ VẤN ĐẦU TƯ CHỨNG KHOÁN (BÌNH DƯƠNG)</t>
        </is>
      </c>
      <c r="D8527" t="inlineStr">
        <is>
          <t>VDSC - Công ty CP Chứng khoán Rồng Việt</t>
        </is>
      </c>
      <c r="E8527" t="inlineStr">
        <is>
          <t>Lương:7 Tr - 20 Tr VND</t>
        </is>
      </c>
      <c r="F8527" t="inlineStr">
        <is>
          <t>Bình Dương</t>
        </is>
      </c>
      <c r="G8527" t="inlineStr">
        <is>
          <t>14-04-2026</t>
        </is>
      </c>
      <c r="H8527" t="inlineStr">
        <is>
          <t>14/04/2026</t>
        </is>
      </c>
      <c r="I8527" t="inlineStr">
        <is>
          <t>17/03/2026</t>
        </is>
      </c>
      <c r="J8527" t="inlineStr">
        <is>
          <t>Ngân hàng, Chứng khoán, Tài chính / Đầu tư</t>
        </is>
      </c>
      <c r="K8527" t="inlineStr">
        <is>
          <t>Trên 1 Năm</t>
        </is>
      </c>
      <c r="L8527" s="8">
        <f>HYPERLINK("https://careerviet.vn/vi/tim-viec-lam/chuyen-vien-tu-van-dau-tu-chung-khoan-binh-duong.35C6598B.html","Xem chi tiết")</f>
        <v/>
      </c>
    </row>
    <row r="8528">
      <c r="B8528" s="9" t="n">
        <v>8526</v>
      </c>
      <c r="C8528" s="10" t="inlineStr">
        <is>
          <t>Chuyên viên tuyển dụng phòng nhân sự</t>
        </is>
      </c>
      <c r="D8528" s="10" t="inlineStr">
        <is>
          <t>Viện Thẩm mỹ y khoa Dr Hải Lê</t>
        </is>
      </c>
      <c r="E8528" s="10" t="inlineStr">
        <is>
          <t>Lương:12 Tr - 15 Tr VND</t>
        </is>
      </c>
      <c r="F8528" s="10" t="inlineStr">
        <is>
          <t>Hà Nội</t>
        </is>
      </c>
      <c r="G8528" s="10" t="inlineStr">
        <is>
          <t>14-04-2026</t>
        </is>
      </c>
      <c r="H8528" s="10" t="inlineStr">
        <is>
          <t>14/04/2026</t>
        </is>
      </c>
      <c r="I8528" s="10" t="inlineStr">
        <is>
          <t>17/03/2026</t>
        </is>
      </c>
      <c r="J8528" s="10" t="inlineStr">
        <is>
          <t>Y tế / Chăm sóc sức khỏe / Thẩm mỹ / Làm đẹp, Hành chính / Thư ký, Nhân sự</t>
        </is>
      </c>
      <c r="K8528" s="10" t="inlineStr">
        <is>
          <t>1 - 3 Năm</t>
        </is>
      </c>
      <c r="L8528" s="11">
        <f>HYPERLINK("https://careerviet.vn/vi/tim-viec-lam/chuyen-vien-tuyen-dung-phong-nhan-su.35C68AB1.html","Xem chi tiết")</f>
        <v/>
      </c>
      <c r="M8528" s="10" t="n"/>
    </row>
    <row r="8529">
      <c r="B8529" s="7" t="n">
        <v>8527</v>
      </c>
      <c r="C8529" t="inlineStr">
        <is>
          <t>Chuyên Viên Xây Dựng (Công Trình Thủy Điện)</t>
        </is>
      </c>
      <c r="D8529" t="inlineStr">
        <is>
          <t>Công ty cổ phần Tư vấn xây dựng điện 3</t>
        </is>
      </c>
      <c r="E8529" t="inlineStr">
        <is>
          <t>Lương:Cạnh tranh</t>
        </is>
      </c>
      <c r="F8529" t="inlineStr">
        <is>
          <t>Hồ Chí Minh</t>
        </is>
      </c>
      <c r="G8529" t="inlineStr">
        <is>
          <t>14-04-2026</t>
        </is>
      </c>
      <c r="H8529" t="inlineStr">
        <is>
          <t>14/04/2026</t>
        </is>
      </c>
      <c r="I8529" t="inlineStr">
        <is>
          <t>17/03/2026</t>
        </is>
      </c>
      <c r="J8529" t="inlineStr">
        <is>
          <t>Xây dựng, Kiến trúc, Nội ngoại thất</t>
        </is>
      </c>
      <c r="K8529" t="inlineStr">
        <is>
          <t>1 - 3 Năm</t>
        </is>
      </c>
      <c r="L8529" s="8">
        <f>HYPERLINK("https://careerviet.vn/vi/tim-viec-lam/chuyen-vien-xay-dung-cong-trinh-thuy-dien.35C68AC8.html","Xem chi tiết")</f>
        <v/>
      </c>
    </row>
    <row r="8530">
      <c r="B8530" s="9" t="n">
        <v>8528</v>
      </c>
      <c r="C8530" s="10" t="inlineStr">
        <is>
          <t>Trưởng nhóm Kỹ sư Khối lượng</t>
        </is>
      </c>
      <c r="D8530" s="10" t="inlineStr">
        <is>
          <t>Công ty Cổ phần FECON</t>
        </is>
      </c>
      <c r="E8530" s="10" t="inlineStr">
        <is>
          <t>Lương:Cạnh tranh</t>
        </is>
      </c>
      <c r="F8530" s="10" t="inlineStr">
        <is>
          <t>Hà NộiHồ Chí MinhCần Thơ</t>
        </is>
      </c>
      <c r="G8530" s="10" t="inlineStr">
        <is>
          <t>14-04-2026</t>
        </is>
      </c>
      <c r="H8530" s="10" t="inlineStr">
        <is>
          <t>14/04/2026</t>
        </is>
      </c>
      <c r="I8530" s="10" t="inlineStr">
        <is>
          <t>17/03/2026</t>
        </is>
      </c>
      <c r="J8530" s="10" t="inlineStr">
        <is>
          <t>Xây dựng</t>
        </is>
      </c>
      <c r="K8530" s="10" t="inlineStr">
        <is>
          <t>null - null Năm</t>
        </is>
      </c>
      <c r="L8530" s="11">
        <f>HYPERLINK("https://careerviet.vn/vi/tim-viec-lam/truong-nhom-ky-su-khoi-luong.35C68A8D.html","Xem chi tiết")</f>
        <v/>
      </c>
      <c r="M8530" s="10" t="n"/>
    </row>
    <row r="8531">
      <c r="B8531" s="7" t="n">
        <v>8529</v>
      </c>
      <c r="C8531" t="inlineStr">
        <is>
          <t>Nhân Viên Brand Marketing - Lương Lên Đến 15 Triệu</t>
        </is>
      </c>
      <c r="D8531" t="inlineStr">
        <is>
          <t>Công Ty TNHH XNK Cầu Nối Việt</t>
        </is>
      </c>
      <c r="E8531" t="inlineStr">
        <is>
          <t>Lương:11 Tr - 15 Tr VND</t>
        </is>
      </c>
      <c r="F8531" t="inlineStr">
        <is>
          <t>Hà Nội</t>
        </is>
      </c>
      <c r="G8531" t="inlineStr">
        <is>
          <t>14-04-2026</t>
        </is>
      </c>
      <c r="H8531" t="inlineStr">
        <is>
          <t>14/04/2026</t>
        </is>
      </c>
      <c r="I8531" t="inlineStr">
        <is>
          <t>17/03/2026</t>
        </is>
      </c>
      <c r="J8531" t="inlineStr">
        <is>
          <t>Tiếp thị / Marketing, Truyền hình / Báo chí / Biên tập, Quảng cáo / Đối ngoại / Truyền Thông</t>
        </is>
      </c>
      <c r="K8531" t="inlineStr">
        <is>
          <t>2 - 5 Năm</t>
        </is>
      </c>
      <c r="L8531" s="8">
        <f>HYPERLINK("https://careerviet.vn/vi/tim-viec-lam/nhan-vien-brand-marketing-luong-len-den-15-trieu.35C659DA.html","Xem chi tiết")</f>
        <v/>
      </c>
    </row>
    <row r="8532">
      <c r="B8532" s="9" t="n">
        <v>8530</v>
      </c>
      <c r="C8532" s="10" t="inlineStr">
        <is>
          <t>Merchandiser - Mian Apparel</t>
        </is>
      </c>
      <c r="D8532" s="10" t="inlineStr">
        <is>
          <t>Công ty Cổ phần Tập đoàn Minh Anh</t>
        </is>
      </c>
      <c r="E8532" s="10" t="inlineStr">
        <is>
          <t>Lương:12 Tr - 22 Tr VND</t>
        </is>
      </c>
      <c r="F8532" s="10" t="inlineStr">
        <is>
          <t>Nghệ An</t>
        </is>
      </c>
      <c r="G8532" s="10" t="inlineStr">
        <is>
          <t>14-04-2026</t>
        </is>
      </c>
      <c r="H8532" s="10" t="inlineStr">
        <is>
          <t>14/04/2026</t>
        </is>
      </c>
      <c r="I8532" s="10" t="inlineStr">
        <is>
          <t>17/03/2026</t>
        </is>
      </c>
      <c r="J8532" s="10" t="inlineStr">
        <is>
          <t>Dệt may / Da giày / Thời trang</t>
        </is>
      </c>
      <c r="K8532" s="10" t="inlineStr">
        <is>
          <t>2 - 15 Năm</t>
        </is>
      </c>
      <c r="L8532" s="11">
        <f>HYPERLINK("https://careerviet.vn/vi/tim-viec-lam/merchandiser-mian-apparel.35C6587A.html","Xem chi tiết")</f>
        <v/>
      </c>
      <c r="M8532" s="10" t="n"/>
    </row>
    <row r="8533">
      <c r="B8533" s="7" t="n">
        <v>8531</v>
      </c>
      <c r="C8533" t="inlineStr">
        <is>
          <t>Kỹ thuật viên máy - Long An</t>
        </is>
      </c>
      <c r="D8533" t="inlineStr">
        <is>
          <t>Công Ty Cổ Phần Thép Việt Xô Hà Nội</t>
        </is>
      </c>
      <c r="E8533" t="inlineStr">
        <is>
          <t>Lương:18 Tr - 21 Tr VND</t>
        </is>
      </c>
      <c r="F8533" t="inlineStr">
        <is>
          <t>Long An</t>
        </is>
      </c>
      <c r="G8533" t="inlineStr">
        <is>
          <t>14-04-2026</t>
        </is>
      </c>
      <c r="H8533" t="inlineStr">
        <is>
          <t>14/04/2026</t>
        </is>
      </c>
      <c r="I8533" t="inlineStr">
        <is>
          <t>17/03/2026</t>
        </is>
      </c>
      <c r="J8533" t="inlineStr">
        <is>
          <t>Sản xuất / Vận hành sản xuất</t>
        </is>
      </c>
      <c r="K8533" t="inlineStr">
        <is>
          <t>2 - 3 Năm</t>
        </is>
      </c>
      <c r="L8533" s="8">
        <f>HYPERLINK("https://careerviet.vn/vi/tim-viec-lam/ky-thuat-vien-may-long-an.35C689BE.html","Xem chi tiết")</f>
        <v/>
      </c>
    </row>
    <row r="8534">
      <c r="B8534" s="9" t="n">
        <v>8532</v>
      </c>
      <c r="C8534" s="10" t="inlineStr">
        <is>
          <t>Nhân Viên Kinh Doanh Sản Phẩm PCCC/ Sales Executive</t>
        </is>
      </c>
      <c r="D8534" s="10" t="inlineStr">
        <is>
          <t>CÔNG TY TNHH MTV BCA - THĂNG LONG</t>
        </is>
      </c>
      <c r="E8534" s="10" t="inlineStr">
        <is>
          <t>Lương:15 Tr - 25 Tr VND</t>
        </is>
      </c>
      <c r="F8534" s="10" t="inlineStr">
        <is>
          <t>Hồ Chí Minh</t>
        </is>
      </c>
      <c r="G8534" s="10" t="inlineStr">
        <is>
          <t>14-04-2026</t>
        </is>
      </c>
      <c r="H8534" s="10" t="inlineStr">
        <is>
          <t>14/04/2026</t>
        </is>
      </c>
      <c r="I8534" s="10" t="inlineStr">
        <is>
          <t>17/03/2026</t>
        </is>
      </c>
      <c r="J8534" s="10" t="inlineStr">
        <is>
          <t>Tư vấn, Bán hàng / Kinh doanh, Tiếp thị trực tuyến</t>
        </is>
      </c>
      <c r="K8534" s="10" t="inlineStr">
        <is>
          <t>1 - 2 Năm</t>
        </is>
      </c>
      <c r="L8534" s="11">
        <f>HYPERLINK("https://careerviet.vn/vi/tim-viec-lam/nhan-vien-kinh-doanh-san-pham-pccc-sales-executive.35C658C5.html","Xem chi tiết")</f>
        <v/>
      </c>
      <c r="M8534" s="10" t="n"/>
    </row>
    <row r="8535">
      <c r="B8535" s="7" t="n">
        <v>8533</v>
      </c>
      <c r="C8535" t="inlineStr">
        <is>
          <t>Reservation Executive (Japan)</t>
        </is>
      </c>
      <c r="D8535" t="inlineStr">
        <is>
          <t>Công ty Easia Travel</t>
        </is>
      </c>
      <c r="E8535" t="inlineStr">
        <is>
          <t>Lương:Cạnh tranh</t>
        </is>
      </c>
      <c r="F8535" t="inlineStr">
        <is>
          <t>Hà Nội</t>
        </is>
      </c>
      <c r="G8535" t="inlineStr">
        <is>
          <t>14-04-2026</t>
        </is>
      </c>
      <c r="H8535" t="inlineStr">
        <is>
          <t>14/04/2026</t>
        </is>
      </c>
      <c r="I8535" t="inlineStr">
        <is>
          <t>17/03/2026</t>
        </is>
      </c>
      <c r="J8535" t="inlineStr">
        <is>
          <t>Nhà hàng / Khách sạn, Du lịch</t>
        </is>
      </c>
      <c r="K8535" t="inlineStr">
        <is>
          <t>1 - 2 Năm</t>
        </is>
      </c>
      <c r="L8535" s="8">
        <f>HYPERLINK("https://careerviet.vn/vi/tim-viec-lam/reservation-executive-japan.35C65935.html","Xem chi tiết")</f>
        <v/>
      </c>
    </row>
    <row r="8536">
      <c r="B8536" s="9" t="n">
        <v>8534</v>
      </c>
      <c r="C8536" s="10" t="inlineStr">
        <is>
          <t>Nhân viên Lễ tân Văn phòng Bán hàng (HCM)</t>
        </is>
      </c>
      <c r="D8536" s="10" t="inlineStr">
        <is>
          <t>CÔNG TY CỔ PHẦN PHÁT TRIỂN BẤT ĐỘNG SẢN VĂN PHÚ</t>
        </is>
      </c>
      <c r="E8536" s="10" t="inlineStr">
        <is>
          <t>Lương:Cạnh tranh</t>
        </is>
      </c>
      <c r="F8536" s="10" t="inlineStr">
        <is>
          <t>Hồ Chí Minh</t>
        </is>
      </c>
      <c r="G8536" s="10" t="inlineStr">
        <is>
          <t>14-04-2026</t>
        </is>
      </c>
      <c r="H8536" s="10" t="inlineStr">
        <is>
          <t>14/04/2026</t>
        </is>
      </c>
      <c r="I8536" s="10" t="inlineStr">
        <is>
          <t>17/03/2026</t>
        </is>
      </c>
      <c r="J8536" s="10" t="inlineStr">
        <is>
          <t>Dịch vụ khách hàng, Bất động sản</t>
        </is>
      </c>
      <c r="K8536" s="10" t="inlineStr">
        <is>
          <t>null - null Năm</t>
        </is>
      </c>
      <c r="L8536" s="11">
        <f>HYPERLINK("https://careerviet.vn/vi/tim-viec-lam/nhan-vien-le-tan-van-phong-ban-hang-hcm.35C68B2A.html","Xem chi tiết")</f>
        <v/>
      </c>
      <c r="M8536" s="10" t="n"/>
    </row>
    <row r="8537">
      <c r="B8537" s="7" t="n">
        <v>8535</v>
      </c>
      <c r="C8537" t="inlineStr">
        <is>
          <t>NHÂN VIÊN QA - CƠ KHÍ [CỦ CHI]</t>
        </is>
      </c>
      <c r="D8537" t="inlineStr">
        <is>
          <t>CÔNG TY CP SAIGON AUTO SUPPORTING INDUSTRY</t>
        </is>
      </c>
      <c r="E8537" t="inlineStr">
        <is>
          <t>Lương:Cạnh tranh</t>
        </is>
      </c>
      <c r="F8537" t="inlineStr">
        <is>
          <t>Hồ Chí Minh</t>
        </is>
      </c>
      <c r="G8537" t="inlineStr">
        <is>
          <t>14-04-2026</t>
        </is>
      </c>
      <c r="H8537" t="inlineStr">
        <is>
          <t>14/04/2026</t>
        </is>
      </c>
      <c r="I8537" t="inlineStr">
        <is>
          <t>17/03/2026</t>
        </is>
      </c>
      <c r="J8537" t="inlineStr">
        <is>
          <t>Cơ khí / Ô tô / Tự động hóa, Quản lý chất lượng (QA/QC)</t>
        </is>
      </c>
      <c r="K8537" t="inlineStr">
        <is>
          <t>1 - 5 Năm</t>
        </is>
      </c>
      <c r="L8537" s="8">
        <f>HYPERLINK("https://careerviet.vn/vi/tim-viec-lam/nhan-vien-qa-co-khi-cu-chi.35C68AED.html","Xem chi tiết")</f>
        <v/>
      </c>
    </row>
    <row r="8538">
      <c r="B8538" s="9" t="n">
        <v>8536</v>
      </c>
      <c r="C8538" s="10" t="inlineStr">
        <is>
          <t>Nhân viên Thị trường -  Khu vực Hồ Chí Minh</t>
        </is>
      </c>
      <c r="D8538" s="10" t="inlineStr">
        <is>
          <t>CÔNG TY CỔ PHẦN DÂY CÁP ĐIỆN VIỆT NAM - CADIVI</t>
        </is>
      </c>
      <c r="E8538" s="10" t="inlineStr">
        <is>
          <t>Lương:Cạnh tranh</t>
        </is>
      </c>
      <c r="F8538" s="10" t="inlineStr">
        <is>
          <t>Hồ Chí Minh</t>
        </is>
      </c>
      <c r="G8538" s="10" t="inlineStr">
        <is>
          <t>14-04-2026</t>
        </is>
      </c>
      <c r="H8538" s="10" t="inlineStr">
        <is>
          <t>14/04/2026</t>
        </is>
      </c>
      <c r="I8538" s="10" t="inlineStr">
        <is>
          <t>17/03/2026</t>
        </is>
      </c>
      <c r="J8538" s="10" t="inlineStr">
        <is>
          <t>Tiếp thị / Marketing, Bán hàng / Kinh doanh</t>
        </is>
      </c>
      <c r="K8538" s="10" t="inlineStr">
        <is>
          <t>5 - 6 Năm</t>
        </is>
      </c>
      <c r="L8538" s="11">
        <f>HYPERLINK("https://careerviet.vn/vi/tim-viec-lam/nhan-vien-thi-truong-khu-vuc-ho-chi-minh.35C689F1.html","Xem chi tiết")</f>
        <v/>
      </c>
      <c r="M8538" s="10" t="n"/>
    </row>
    <row r="8539">
      <c r="B8539" s="7" t="n">
        <v>8537</v>
      </c>
      <c r="C8539" t="inlineStr">
        <is>
          <t>[Hà Nội] Chuyên viên Dự án cấp cao</t>
        </is>
      </c>
      <c r="D8539" t="inlineStr">
        <is>
          <t>The University of Sydney Vietnam Institute</t>
        </is>
      </c>
      <c r="E8539" t="inlineStr">
        <is>
          <t>Lương:Cạnh tranh</t>
        </is>
      </c>
      <c r="F8539" t="inlineStr">
        <is>
          <t>Hà Nội</t>
        </is>
      </c>
      <c r="G8539" t="inlineStr">
        <is>
          <t>14-04-2026</t>
        </is>
      </c>
      <c r="H8539" t="inlineStr">
        <is>
          <t>14/04/2026</t>
        </is>
      </c>
      <c r="I8539" t="inlineStr">
        <is>
          <t>17/03/2026</t>
        </is>
      </c>
      <c r="J8539" t="inlineStr">
        <is>
          <t>Y tế / Chăm sóc sức khỏe / Thẩm mỹ / Làm đẹp</t>
        </is>
      </c>
      <c r="K8539" t="inlineStr">
        <is>
          <t>5 - 7 Năm</t>
        </is>
      </c>
      <c r="L8539" s="8">
        <f>HYPERLINK("https://careerviet.vn/vi/tim-viec-lam/ha-noi-chuyen-vien-du-an-cap-cao.35C68984.html","Xem chi tiết")</f>
        <v/>
      </c>
    </row>
    <row r="8540">
      <c r="B8540" s="9" t="n">
        <v>8538</v>
      </c>
      <c r="C8540" s="10" t="inlineStr">
        <is>
          <t>Nhân viên Thị trường -  Khu vực Long An &amp; Tiền Giang</t>
        </is>
      </c>
      <c r="D8540" s="10" t="inlineStr">
        <is>
          <t>CÔNG TY CỔ PHẦN DÂY CÁP ĐIỆN VIỆT NAM - CADIVI</t>
        </is>
      </c>
      <c r="E8540" s="10" t="inlineStr">
        <is>
          <t>Lương:Cạnh tranh</t>
        </is>
      </c>
      <c r="F8540" s="10" t="inlineStr">
        <is>
          <t>Long AnTiền Giang</t>
        </is>
      </c>
      <c r="G8540" s="10" t="inlineStr">
        <is>
          <t>14-04-2026</t>
        </is>
      </c>
      <c r="H8540" s="10" t="inlineStr">
        <is>
          <t>14/04/2026</t>
        </is>
      </c>
      <c r="I8540" s="10" t="inlineStr">
        <is>
          <t>17/03/2026</t>
        </is>
      </c>
      <c r="J8540" s="10" t="inlineStr">
        <is>
          <t>Tiếp thị / Marketing, Bán hàng / Kinh doanh</t>
        </is>
      </c>
      <c r="K8540" s="10" t="inlineStr">
        <is>
          <t>5 - 6 Năm</t>
        </is>
      </c>
      <c r="L8540" s="11">
        <f>HYPERLINK("https://careerviet.vn/vi/tim-viec-lam/nhan-vien-thi-truong-khu-vuc-long-an-tien-giang.35C68A05.html","Xem chi tiết")</f>
        <v/>
      </c>
      <c r="M8540" s="10" t="n"/>
    </row>
    <row r="8541">
      <c r="B8541" s="7" t="n">
        <v>8539</v>
      </c>
      <c r="C8541" t="inlineStr">
        <is>
          <t>Chuyên Viên Kinh Doanh</t>
        </is>
      </c>
      <c r="D8541" t="inlineStr">
        <is>
          <t>Tổng công ty Xây dựng số 1 – CTCP</t>
        </is>
      </c>
      <c r="E8541" t="inlineStr">
        <is>
          <t>Lương:Cạnh tranh</t>
        </is>
      </c>
      <c r="F8541" t="inlineStr">
        <is>
          <t>Hồ Chí Minh</t>
        </is>
      </c>
      <c r="G8541" t="inlineStr">
        <is>
          <t>14-04-2026</t>
        </is>
      </c>
      <c r="H8541" t="inlineStr">
        <is>
          <t>14/04/2026</t>
        </is>
      </c>
      <c r="I8541" t="inlineStr">
        <is>
          <t>17/03/2026</t>
        </is>
      </c>
      <c r="J8541" t="inlineStr">
        <is>
          <t>Bán hàng / Kinh doanh, Thu mua / Vật tư</t>
        </is>
      </c>
      <c r="K8541" t="inlineStr">
        <is>
          <t>null - null Năm</t>
        </is>
      </c>
      <c r="L8541" s="8">
        <f>HYPERLINK("https://careerviet.vn/vi/tim-viec-lam/chuyen-vien-kinh-doanh.35C68AA2.html","Xem chi tiết")</f>
        <v/>
      </c>
    </row>
    <row r="8542">
      <c r="B8542" s="9" t="n">
        <v>8540</v>
      </c>
      <c r="C8542" s="10" t="inlineStr">
        <is>
          <t>Đồng Nai - Nhân viên QC nhà máy</t>
        </is>
      </c>
      <c r="D8542" s="10" t="inlineStr">
        <is>
          <t>Công Ty Cổ Phần Thép Việt Xô Hà Nội</t>
        </is>
      </c>
      <c r="E8542" s="10" t="inlineStr">
        <is>
          <t>Lương:9 Tr - 12 Tr VND</t>
        </is>
      </c>
      <c r="F8542" s="10" t="inlineStr">
        <is>
          <t>Đồng Nai</t>
        </is>
      </c>
      <c r="G8542" s="10" t="inlineStr">
        <is>
          <t>14-04-2026</t>
        </is>
      </c>
      <c r="H8542" s="10" t="inlineStr">
        <is>
          <t>14/04/2026</t>
        </is>
      </c>
      <c r="I8542" s="10" t="inlineStr">
        <is>
          <t>17/03/2026</t>
        </is>
      </c>
      <c r="J8542" s="10" t="inlineStr">
        <is>
          <t>Quản lý chất lượng (QA/QC)</t>
        </is>
      </c>
      <c r="K8542" s="10" t="inlineStr">
        <is>
          <t>2 - 3 Năm</t>
        </is>
      </c>
      <c r="L8542" s="11">
        <f>HYPERLINK("https://careerviet.vn/vi/tim-viec-lam/dong-nai-nhan-vien-qc-nha-may.35C68A16.html","Xem chi tiết")</f>
        <v/>
      </c>
      <c r="M8542" s="10" t="n"/>
    </row>
    <row r="8543">
      <c r="B8543" s="7" t="n">
        <v>8541</v>
      </c>
      <c r="C8543" t="inlineStr">
        <is>
          <t>Trợ lý Ban Giám Đốc</t>
        </is>
      </c>
      <c r="D8543" t="inlineStr">
        <is>
          <t>Công Ty TNHH Sản Xuất Thương Mại Dịch Vụ Cuộc Sống Xanh &amp; Công Ty TNHH Barentz Vietnam</t>
        </is>
      </c>
      <c r="E8543" t="inlineStr">
        <is>
          <t>Lương:Cạnh tranh</t>
        </is>
      </c>
      <c r="F8543" t="inlineStr">
        <is>
          <t>Hồ Chí Minh</t>
        </is>
      </c>
      <c r="G8543" t="inlineStr">
        <is>
          <t>14-04-2026</t>
        </is>
      </c>
      <c r="H8543" t="inlineStr">
        <is>
          <t>14/04/2026</t>
        </is>
      </c>
      <c r="I8543" t="inlineStr">
        <is>
          <t>17/03/2026</t>
        </is>
      </c>
      <c r="J8543" t="inlineStr">
        <is>
          <t>Bán lẻ / Bán sỉ, Thực phẩm &amp; Đồ uống, Hành chính / Thư ký</t>
        </is>
      </c>
      <c r="K8543" t="inlineStr">
        <is>
          <t>2 - 4 Năm</t>
        </is>
      </c>
      <c r="L8543" s="8">
        <f>HYPERLINK("https://careerviet.vn/vi/tim-viec-lam/tro-ly-ban-giam-doc.35C659A7.html","Xem chi tiết")</f>
        <v/>
      </c>
    </row>
    <row r="8544">
      <c r="B8544" s="9" t="n">
        <v>8542</v>
      </c>
      <c r="C8544" s="10" t="inlineStr">
        <is>
          <t>Chuyên viên kiểm soát khối lượng (QS)</t>
        </is>
      </c>
      <c r="D8544" s="10" t="inlineStr">
        <is>
          <t>CÔNG TY CỔ PHẦN SEAREFICO</t>
        </is>
      </c>
      <c r="E8544" s="10" t="inlineStr">
        <is>
          <t>Lương:14 Tr - 22 Tr VND</t>
        </is>
      </c>
      <c r="F8544" s="10" t="inlineStr">
        <is>
          <t>Hồ Chí MinhHà NộiĐà Nẵng</t>
        </is>
      </c>
      <c r="G8544" s="10" t="inlineStr">
        <is>
          <t>14-04-2026</t>
        </is>
      </c>
      <c r="H8544" s="10" t="inlineStr">
        <is>
          <t>14/04/2026</t>
        </is>
      </c>
      <c r="I8544" s="10" t="inlineStr">
        <is>
          <t>17/03/2026</t>
        </is>
      </c>
      <c r="J8544" s="10" t="inlineStr">
        <is>
          <t>Cơ khí / Ô tô / Tự động hóa, Xây dựng, Điện / Điện tử / Điện lạnh / Điện công nghiệp</t>
        </is>
      </c>
      <c r="K8544" s="10" t="inlineStr">
        <is>
          <t>1 - 5 Năm</t>
        </is>
      </c>
      <c r="L8544" s="11">
        <f>HYPERLINK("https://careerviet.vn/vi/tim-viec-lam/chuyen-vien-kiem-soat-khoi-luong-qs.35C65842.html","Xem chi tiết")</f>
        <v/>
      </c>
      <c r="M8544" s="10" t="n"/>
    </row>
    <row r="8545">
      <c r="B8545" s="7" t="n">
        <v>8543</v>
      </c>
      <c r="C8545" t="inlineStr">
        <is>
          <t>Cán bộ Hợp tác doanh nghiệp</t>
        </is>
      </c>
      <c r="D8545" t="inlineStr">
        <is>
          <t>Trường Đại Học Đông Á - Đà Nẵng</t>
        </is>
      </c>
      <c r="E8545" t="inlineStr">
        <is>
          <t>Lương:10 Tr - 15 Tr VND</t>
        </is>
      </c>
      <c r="F8545" t="inlineStr">
        <is>
          <t>Đà Nẵng</t>
        </is>
      </c>
      <c r="G8545" t="inlineStr">
        <is>
          <t>14-04-2026</t>
        </is>
      </c>
      <c r="H8545" t="inlineStr">
        <is>
          <t>14/04/2026</t>
        </is>
      </c>
      <c r="I8545" t="inlineStr">
        <is>
          <t>17/03/2026</t>
        </is>
      </c>
      <c r="J8545" t="inlineStr">
        <is>
          <t>Giáo dục / Đào tạo, Tổ chức sự kiện</t>
        </is>
      </c>
      <c r="K8545" t="inlineStr">
        <is>
          <t>2 - 3 Năm</t>
        </is>
      </c>
      <c r="L8545" s="8">
        <f>HYPERLINK("https://careerviet.vn/vi/tim-viec-lam/can-bo-hop-tac-doanh-nghiep.35C68AE1.html","Xem chi tiết")</f>
        <v/>
      </c>
    </row>
    <row r="8546">
      <c r="B8546" s="9" t="n">
        <v>8544</v>
      </c>
      <c r="C8546" s="10" t="inlineStr">
        <is>
          <t>Chuyên viên kế toán (Công Nợ)</t>
        </is>
      </c>
      <c r="D8546" s="10" t="inlineStr">
        <is>
          <t>Tổng công ty Xây dựng số 1 – CTCP</t>
        </is>
      </c>
      <c r="E8546" s="10" t="inlineStr">
        <is>
          <t>Lương:Cạnh tranh</t>
        </is>
      </c>
      <c r="F8546" s="10" t="inlineStr">
        <is>
          <t>Hồ Chí Minh</t>
        </is>
      </c>
      <c r="G8546" s="10" t="inlineStr">
        <is>
          <t>14-04-2026</t>
        </is>
      </c>
      <c r="H8546" s="10" t="inlineStr">
        <is>
          <t>14/04/2026</t>
        </is>
      </c>
      <c r="I8546" s="10" t="inlineStr">
        <is>
          <t>17/03/2026</t>
        </is>
      </c>
      <c r="J8546" s="10" t="inlineStr">
        <is>
          <t>Kế toán / Kiểm toán, Tài chính / Đầu tư</t>
        </is>
      </c>
      <c r="K8546" s="10" t="inlineStr">
        <is>
          <t>null - null Năm</t>
        </is>
      </c>
      <c r="L8546" s="11">
        <f>HYPERLINK("https://careerviet.vn/vi/tim-viec-lam/chuyen-vien-ke-toan-cong-no.35C68A85.html","Xem chi tiết")</f>
        <v/>
      </c>
      <c r="M8546" s="10" t="n"/>
    </row>
    <row r="8547">
      <c r="B8547" s="7" t="n">
        <v>8545</v>
      </c>
      <c r="C8547" t="inlineStr">
        <is>
          <t>Nhân viên kế hoạch tổng thể</t>
        </is>
      </c>
      <c r="D8547" t="inlineStr">
        <is>
          <t>Công Ty Cổ Phần Nhựa Hà Nội</t>
        </is>
      </c>
      <c r="E8547" t="inlineStr">
        <is>
          <t>Lương:10 Tr - 16 Tr VND</t>
        </is>
      </c>
      <c r="F8547" t="inlineStr">
        <is>
          <t>Hà Nội</t>
        </is>
      </c>
      <c r="G8547" t="inlineStr">
        <is>
          <t>14-04-2026</t>
        </is>
      </c>
      <c r="H8547" t="inlineStr">
        <is>
          <t>14/04/2026</t>
        </is>
      </c>
      <c r="I8547" t="inlineStr">
        <is>
          <t>17/03/2026</t>
        </is>
      </c>
      <c r="J8547" t="inlineStr">
        <is>
          <t>Bán Hàng Kỹ Thuật, Dịch vụ khách hàng, Kế toán / Kiểm toán</t>
        </is>
      </c>
      <c r="K8547" t="inlineStr">
        <is>
          <t>1 - 5 Năm</t>
        </is>
      </c>
      <c r="L8547" s="8">
        <f>HYPERLINK("https://careerviet.vn/vi/tim-viec-lam/nhan-vien-ke-hoach-tong-the.35C6596D.html","Xem chi tiết")</f>
        <v/>
      </c>
    </row>
    <row r="8548">
      <c r="B8548" s="9" t="n">
        <v>8546</v>
      </c>
      <c r="C8548" s="10" t="inlineStr">
        <is>
          <t>Chuyên Viên Nhân Sự Tổng Hợp</t>
        </is>
      </c>
      <c r="D8548" s="10" t="inlineStr">
        <is>
          <t>Công Ty Cổ Phần Tập Đoàn Trần Anh Long An</t>
        </is>
      </c>
      <c r="E8548" s="10" t="inlineStr">
        <is>
          <t>Lương:Cạnh tranh</t>
        </is>
      </c>
      <c r="F8548" s="10" t="inlineStr">
        <is>
          <t>Long An</t>
        </is>
      </c>
      <c r="G8548" s="10" t="inlineStr">
        <is>
          <t>14-04-2026</t>
        </is>
      </c>
      <c r="H8548" s="10" t="inlineStr">
        <is>
          <t>14/04/2026</t>
        </is>
      </c>
      <c r="I8548" s="10" t="inlineStr">
        <is>
          <t>17/03/2026</t>
        </is>
      </c>
      <c r="J8548" s="10" t="inlineStr">
        <is>
          <t>Hành chính / Thư ký, Quản lý điều hành, Nhân sự</t>
        </is>
      </c>
      <c r="K8548" s="10" t="inlineStr">
        <is>
          <t>3 - 5 Năm</t>
        </is>
      </c>
      <c r="L8548" s="11">
        <f>HYPERLINK("https://careerviet.vn/vi/tim-viec-lam/chuyen-vien-nhan-su-tong-hop.35C659B3.html","Xem chi tiết")</f>
        <v/>
      </c>
      <c r="M8548" s="10" t="n"/>
    </row>
    <row r="8549">
      <c r="B8549" s="7" t="n">
        <v>8547</v>
      </c>
      <c r="C8549" t="inlineStr">
        <is>
          <t>Nhân viên C&amp;B(Mới)</t>
        </is>
      </c>
      <c r="D8549" t="inlineStr">
        <is>
          <t>CÔNG TY CỔ PHẦN THÁI VIỆT CORPORATION</t>
        </is>
      </c>
      <c r="E8549" t="inlineStr">
        <is>
          <t>Lương:10 Tr - 13 Tr VND</t>
        </is>
      </c>
      <c r="F8549" t="inlineStr">
        <is>
          <t>Bình Phước</t>
        </is>
      </c>
      <c r="G8549" t="inlineStr">
        <is>
          <t>16-05-2026</t>
        </is>
      </c>
      <c r="H8549" t="inlineStr">
        <is>
          <t>16/05/2026</t>
        </is>
      </c>
      <c r="I8549" t="inlineStr">
        <is>
          <t>17/03/2026</t>
        </is>
      </c>
      <c r="J8549" t="inlineStr">
        <is>
          <t>Nhân sự</t>
        </is>
      </c>
      <c r="K8549" t="inlineStr">
        <is>
          <t>1 - 2 Năm</t>
        </is>
      </c>
      <c r="L8549" s="8">
        <f>HYPERLINK("https://careerviet.vn/vi/tim-viec-lam/nhan-vien-c-b.35C6CA77.html","Xem chi tiết")</f>
        <v/>
      </c>
    </row>
    <row r="8550">
      <c r="B8550" s="9" t="n">
        <v>8548</v>
      </c>
      <c r="C8550" s="10" t="inlineStr">
        <is>
          <t>NHÂN VIÊN KỸ THUẬT ĐIỆN (CHỢ LÁCH - BẾN TRE)(Mới)</t>
        </is>
      </c>
      <c r="D8550" s="10" t="inlineStr">
        <is>
          <t>CÔNG TY CỔ PHẦN TẬP ĐOÀN XUẤT - NHẬP KHẨU TRÁI CÂY CHÁNH THU</t>
        </is>
      </c>
      <c r="E8550" s="10" t="inlineStr">
        <is>
          <t>Lương:Cạnh tranh</t>
        </is>
      </c>
      <c r="F8550" s="10" t="inlineStr">
        <is>
          <t>Bến Tre</t>
        </is>
      </c>
      <c r="G8550" s="10" t="inlineStr">
        <is>
          <t>16-04-2026</t>
        </is>
      </c>
      <c r="H8550" s="10" t="inlineStr">
        <is>
          <t>16/04/2026</t>
        </is>
      </c>
      <c r="I8550" s="10" t="inlineStr">
        <is>
          <t>17/03/2026</t>
        </is>
      </c>
      <c r="J8550" s="10" t="inlineStr">
        <is>
          <t>Cơ khí / Ô tô / Tự động hóa, Điện / Điện tử / Điện lạnh / Điện công nghiệp, Bảo trì / Sửa chữa</t>
        </is>
      </c>
      <c r="K8550" s="10" t="inlineStr">
        <is>
          <t>N/A</t>
        </is>
      </c>
      <c r="L8550" s="11">
        <f>HYPERLINK("https://careerviet.vn/vi/tim-viec-lam/nhan-vien-ky-thuat-dien-cho-lach-ben-tre.35C6CA7B.html","Xem chi tiết")</f>
        <v/>
      </c>
      <c r="M8550" s="10" t="n"/>
    </row>
    <row r="8551">
      <c r="B8551" s="7" t="n">
        <v>8549</v>
      </c>
      <c r="C8551" t="inlineStr">
        <is>
          <t>Post-sales Cyber Security</t>
        </is>
      </c>
      <c r="D8551" t="inlineStr">
        <is>
          <t>CÔNG TY CỔ PHẦN TƯ VẤN VÀ DỊCH VỤ CÔNG NGHỆ ASIC</t>
        </is>
      </c>
      <c r="E8551" t="inlineStr">
        <is>
          <t>Lương:700 - 1.500 USD</t>
        </is>
      </c>
      <c r="F8551" t="inlineStr">
        <is>
          <t>Hà Nội</t>
        </is>
      </c>
      <c r="G8551" t="inlineStr">
        <is>
          <t>14-04-2026</t>
        </is>
      </c>
      <c r="H8551" t="inlineStr">
        <is>
          <t>14/04/2026</t>
        </is>
      </c>
      <c r="I8551" t="inlineStr">
        <is>
          <t>17/03/2026</t>
        </is>
      </c>
      <c r="J8551" t="inlineStr">
        <is>
          <t>Bán Hàng Kỹ Thuật, Bưu chính viễn thông, CNTT - Phần mềm</t>
        </is>
      </c>
      <c r="K8551" t="inlineStr">
        <is>
          <t>2 - 4 Năm</t>
        </is>
      </c>
      <c r="L8551" s="8">
        <f>HYPERLINK("https://careerviet.vn/vi/tim-viec-lam/post-sales-cyber-security.35C68A09.html","Xem chi tiết")</f>
        <v/>
      </c>
    </row>
    <row r="8552">
      <c r="B8552" s="9" t="n">
        <v>8550</v>
      </c>
      <c r="C8552" s="10" t="inlineStr">
        <is>
          <t>TRƯỞNG PHÒNG TÀI CHÍNH KẾ TOÁN(Mới)</t>
        </is>
      </c>
      <c r="D8552" s="10" t="inlineStr">
        <is>
          <t>Bảo mật</t>
        </is>
      </c>
      <c r="E8552" s="10" t="inlineStr">
        <is>
          <t>Lương:1.000 - 1.500 USD</t>
        </is>
      </c>
      <c r="F8552" s="10" t="inlineStr">
        <is>
          <t>Hồ Chí Minh</t>
        </is>
      </c>
      <c r="G8552" s="10" t="inlineStr">
        <is>
          <t>15-04-2026</t>
        </is>
      </c>
      <c r="H8552" s="10" t="inlineStr">
        <is>
          <t>15/04/2026</t>
        </is>
      </c>
      <c r="I8552" s="10" t="inlineStr">
        <is>
          <t>17/03/2026</t>
        </is>
      </c>
      <c r="J8552" s="10" t="inlineStr">
        <is>
          <t>Kế toán / Kiểm toán, Tài chính / Đầu tư</t>
        </is>
      </c>
      <c r="K8552" s="10" t="inlineStr">
        <is>
          <t>8 - 15 Năm</t>
        </is>
      </c>
      <c r="L8552" s="11">
        <f>HYPERLINK("https://careerviet.vn/vi/tim-viec-lam/truong-phong-tai-chinh-ke-toan.35C52016.html","Xem chi tiết")</f>
        <v/>
      </c>
      <c r="M8552" s="10" t="n"/>
    </row>
    <row r="8553">
      <c r="B8553" s="7" t="n">
        <v>8551</v>
      </c>
      <c r="C8553" t="inlineStr">
        <is>
          <t>Chuyên Viên Marketing ( Từ 1 Năm Kinh Nghiệm trở lên)</t>
        </is>
      </c>
      <c r="D8553" t="inlineStr">
        <is>
          <t>Công Ty TNHH XNK Cầu Nối Việt</t>
        </is>
      </c>
      <c r="E8553" t="inlineStr">
        <is>
          <t>Lương:13 Tr - 15 Tr VND</t>
        </is>
      </c>
      <c r="F8553" t="inlineStr">
        <is>
          <t>Hà Nội</t>
        </is>
      </c>
      <c r="G8553" t="inlineStr">
        <is>
          <t>14-04-2026</t>
        </is>
      </c>
      <c r="H8553" t="inlineStr">
        <is>
          <t>14/04/2026</t>
        </is>
      </c>
      <c r="I8553" t="inlineStr">
        <is>
          <t>17/03/2026</t>
        </is>
      </c>
      <c r="J8553" t="inlineStr">
        <is>
          <t>Tiếp thị / Marketing, Truyền hình / Báo chí / Biên tập, Quảng cáo / Đối ngoại / Truyền Thông</t>
        </is>
      </c>
      <c r="K8553" t="inlineStr">
        <is>
          <t>N/A</t>
        </is>
      </c>
      <c r="L8553" s="8">
        <f>HYPERLINK("https://careerviet.vn/vi/tim-viec-lam/chuyen-vien-marketing-tu-1-nam-kinh-nghiem-tro-len.35C68B08.html","Xem chi tiết")</f>
        <v/>
      </c>
    </row>
    <row r="8554">
      <c r="B8554" s="9" t="n">
        <v>8552</v>
      </c>
      <c r="C8554" s="10" t="inlineStr">
        <is>
          <t>Customer Service Manager(Mới)</t>
        </is>
      </c>
      <c r="D8554" s="10" t="inlineStr">
        <is>
          <t>Công ty TNHH Gardenline International (VN)</t>
        </is>
      </c>
      <c r="E8554" s="10" t="inlineStr">
        <is>
          <t>Lương:Cạnh tranh</t>
        </is>
      </c>
      <c r="F8554" s="10" t="inlineStr">
        <is>
          <t>Bình Định</t>
        </is>
      </c>
      <c r="G8554" s="10" t="inlineStr">
        <is>
          <t>15-04-2026</t>
        </is>
      </c>
      <c r="H8554" s="10" t="inlineStr">
        <is>
          <t>15/04/2026</t>
        </is>
      </c>
      <c r="I8554" s="10" t="inlineStr">
        <is>
          <t>17/03/2026</t>
        </is>
      </c>
      <c r="J8554" s="10" t="inlineStr">
        <is>
          <t>Dịch vụ khách hàng</t>
        </is>
      </c>
      <c r="K8554" s="10" t="inlineStr">
        <is>
          <t>Lên đến 5 Năm</t>
        </is>
      </c>
      <c r="L8554" s="11">
        <f>HYPERLINK("https://careerviet.vn/vi/tim-viec-lam/customer-service-manager.35C6CA78.html","Xem chi tiết")</f>
        <v/>
      </c>
      <c r="M8554" s="10" t="n"/>
    </row>
    <row r="8555">
      <c r="B8555" s="7" t="n">
        <v>8553</v>
      </c>
      <c r="C8555" t="inlineStr">
        <is>
          <t>THƯ KÝ KINH DOANH (Sale Admin)(Mới)</t>
        </is>
      </c>
      <c r="D8555" t="inlineStr">
        <is>
          <t>CÔNG TY TNHH PHÁT TRIỂN THƯƠNG MẠI BĐS NEWSTARLAND</t>
        </is>
      </c>
      <c r="E8555" t="inlineStr">
        <is>
          <t>Lương:9 Tr - 12 Tr VND</t>
        </is>
      </c>
      <c r="F8555" t="inlineStr">
        <is>
          <t>Quảng Ninh</t>
        </is>
      </c>
      <c r="G8555" t="inlineStr">
        <is>
          <t>30-03-2026</t>
        </is>
      </c>
      <c r="H8555" t="inlineStr">
        <is>
          <t>30/03/2026</t>
        </is>
      </c>
      <c r="I8555" t="inlineStr">
        <is>
          <t>17/03/2026</t>
        </is>
      </c>
      <c r="J8555" t="inlineStr">
        <is>
          <t>Hành chính / Thư ký, Nhân sự</t>
        </is>
      </c>
      <c r="K8555" t="inlineStr">
        <is>
          <t>1 - 2 Năm</t>
        </is>
      </c>
      <c r="L8555" s="8">
        <f>HYPERLINK("https://careerviet.vn/vi/tim-viec-lam/thu-ky-kinh-doanh-sale-admin.35C6CA76.html","Xem chi tiết")</f>
        <v/>
      </c>
    </row>
    <row r="8556">
      <c r="B8556" s="9" t="n">
        <v>8554</v>
      </c>
      <c r="C8556" s="10" t="inlineStr">
        <is>
          <t>Chuyên viên C&amp;B(Mới)</t>
        </is>
      </c>
      <c r="D8556" s="10" t="inlineStr">
        <is>
          <t>Công ty Cổ Phần Ánh Dương Building</t>
        </is>
      </c>
      <c r="E8556" s="10" t="inlineStr">
        <is>
          <t>Lương:13 Tr - 15 Tr VND</t>
        </is>
      </c>
      <c r="F8556" s="10" t="inlineStr">
        <is>
          <t>Hồ Chí Minh</t>
        </is>
      </c>
      <c r="G8556" s="10" t="inlineStr">
        <is>
          <t>16-04-2026</t>
        </is>
      </c>
      <c r="H8556" s="10" t="inlineStr">
        <is>
          <t>16/04/2026</t>
        </is>
      </c>
      <c r="I8556" s="10" t="inlineStr">
        <is>
          <t>17/03/2026</t>
        </is>
      </c>
      <c r="J8556" s="10" t="inlineStr">
        <is>
          <t>Nhân sự, Xây dựng</t>
        </is>
      </c>
      <c r="K8556" s="10" t="inlineStr">
        <is>
          <t>2 - 3 Năm</t>
        </is>
      </c>
      <c r="L8556" s="11">
        <f>HYPERLINK("https://careerviet.vn/vi/tim-viec-lam/chuyen-vien-c-b.35C6CA58.html","Xem chi tiết")</f>
        <v/>
      </c>
      <c r="M8556" s="10" t="n"/>
    </row>
    <row r="8557">
      <c r="B8557" s="7" t="n">
        <v>8555</v>
      </c>
      <c r="C8557" t="inlineStr">
        <is>
          <t>Chuyên viên Thẩm định tín dụng Cá nhân(Mới)</t>
        </is>
      </c>
      <c r="D8557" t="inlineStr">
        <is>
          <t>BVBank - Ngân hàng Bản Việt</t>
        </is>
      </c>
      <c r="E8557" t="inlineStr">
        <is>
          <t>Lương:Cạnh tranh</t>
        </is>
      </c>
      <c r="F8557" t="inlineStr">
        <is>
          <t>Cần ThơĐà Nẵng</t>
        </is>
      </c>
      <c r="G8557" t="inlineStr">
        <is>
          <t>15-04-2026</t>
        </is>
      </c>
      <c r="H8557" t="inlineStr">
        <is>
          <t>15/04/2026</t>
        </is>
      </c>
      <c r="I8557" t="inlineStr">
        <is>
          <t>17/03/2026</t>
        </is>
      </c>
      <c r="J8557" t="inlineStr">
        <is>
          <t>Ngân hàng, Tài chính / Đầu tư</t>
        </is>
      </c>
      <c r="K8557" t="inlineStr">
        <is>
          <t>2 - 3 Năm</t>
        </is>
      </c>
      <c r="L8557" s="8">
        <f>HYPERLINK("https://careerviet.vn/vi/tim-viec-lam/chuyen-vien-tham-dinh-tin-dung-ca-nhan.35C6C255.html","Xem chi tiết")</f>
        <v/>
      </c>
    </row>
    <row r="8558">
      <c r="B8558" s="9" t="n">
        <v>8556</v>
      </c>
      <c r="C8558" s="10" t="inlineStr">
        <is>
          <t>NHÂN VIÊN VẬN HÀNH MÁY CNC GỖ(Mới)</t>
        </is>
      </c>
      <c r="D8558" s="10" t="inlineStr">
        <is>
          <t>CÔNG TY CỔ PHẦN DEWOO VIỆT NAM</t>
        </is>
      </c>
      <c r="E8558" s="10" t="inlineStr">
        <is>
          <t>Lương:8 Tr - 12 Tr VND</t>
        </is>
      </c>
      <c r="F8558" s="10" t="inlineStr">
        <is>
          <t>Bình Dương</t>
        </is>
      </c>
      <c r="G8558" s="10" t="inlineStr">
        <is>
          <t>15-04-2026</t>
        </is>
      </c>
      <c r="H8558" s="10" t="inlineStr">
        <is>
          <t>15/04/2026</t>
        </is>
      </c>
      <c r="I8558" s="10" t="inlineStr">
        <is>
          <t>17/03/2026</t>
        </is>
      </c>
      <c r="J8558" s="10" t="inlineStr">
        <is>
          <t>Đồ gỗ, Sản xuất / Vận hành sản xuất, Cơ khí / Ô tô / Tự động hóa</t>
        </is>
      </c>
      <c r="K8558" s="10" t="inlineStr">
        <is>
          <t>Trên 1 Năm</t>
        </is>
      </c>
      <c r="L8558" s="11">
        <f>HYPERLINK("https://careerviet.vn/vi/tim-viec-lam/nhan-vien-van-hanh-may-cnc-go.35C6CA66.html","Xem chi tiết")</f>
        <v/>
      </c>
      <c r="M8558" s="10" t="n"/>
    </row>
    <row r="8559">
      <c r="B8559" s="7" t="n">
        <v>8557</v>
      </c>
      <c r="C8559" t="inlineStr">
        <is>
          <t>Kế Toán Tổng Hợp(Mới)</t>
        </is>
      </c>
      <c r="D8559" t="inlineStr">
        <is>
          <t>CÔNG TY CỔ PHẦN DEWOO VIỆT NAM</t>
        </is>
      </c>
      <c r="E8559" t="inlineStr">
        <is>
          <t>Lương:Cạnh tranh</t>
        </is>
      </c>
      <c r="F8559" t="inlineStr">
        <is>
          <t>Bình Dương</t>
        </is>
      </c>
      <c r="G8559" t="inlineStr">
        <is>
          <t>15-04-2026</t>
        </is>
      </c>
      <c r="H8559" t="inlineStr">
        <is>
          <t>15/04/2026</t>
        </is>
      </c>
      <c r="I8559" t="inlineStr">
        <is>
          <t>17/03/2026</t>
        </is>
      </c>
      <c r="J8559" t="inlineStr">
        <is>
          <t>Kế toán / Kiểm toán, Tài chính / Đầu tư, Hành chính / Thư ký</t>
        </is>
      </c>
      <c r="K8559" t="inlineStr">
        <is>
          <t>2 - 5 Năm</t>
        </is>
      </c>
      <c r="L8559" s="8">
        <f>HYPERLINK("https://careerviet.vn/vi/tim-viec-lam/ke-toan-tong-hop.35C6CA68.html","Xem chi tiết")</f>
        <v/>
      </c>
    </row>
    <row r="8560">
      <c r="B8560" s="9" t="n">
        <v>8558</v>
      </c>
      <c r="C8560" s="10" t="inlineStr">
        <is>
          <t>Nhân Sự Tổng Vụ(Mới)</t>
        </is>
      </c>
      <c r="D8560" s="10" t="inlineStr">
        <is>
          <t>Công ty TNHH Cobi One</t>
        </is>
      </c>
      <c r="E8560" s="10" t="inlineStr">
        <is>
          <t>Lương:16 Tr - 18 Tr VND</t>
        </is>
      </c>
      <c r="F8560" s="10" t="inlineStr">
        <is>
          <t>Hồ Chí Minh</t>
        </is>
      </c>
      <c r="G8560" s="10" t="inlineStr">
        <is>
          <t>30-04-2026</t>
        </is>
      </c>
      <c r="H8560" s="10" t="inlineStr">
        <is>
          <t>30/04/2026</t>
        </is>
      </c>
      <c r="I8560" s="10" t="inlineStr">
        <is>
          <t>17/03/2026</t>
        </is>
      </c>
      <c r="J8560" s="10" t="inlineStr">
        <is>
          <t>Nhân sự, Hành chính / Thư ký</t>
        </is>
      </c>
      <c r="K8560" s="10" t="inlineStr">
        <is>
          <t>3 - 5 Năm</t>
        </is>
      </c>
      <c r="L8560" s="11">
        <f>HYPERLINK("https://careerviet.vn/vi/tim-viec-lam/nhan-su-tong-vu.35C6CA71.html","Xem chi tiết")</f>
        <v/>
      </c>
      <c r="M8560" s="10" t="n"/>
    </row>
    <row r="8561">
      <c r="B8561" s="7" t="n">
        <v>8559</v>
      </c>
      <c r="C8561" t="inlineStr">
        <is>
          <t>Chuyên viên Hành Chính Nhân sự Hà Nội(Mới)</t>
        </is>
      </c>
      <c r="D8561" t="inlineStr">
        <is>
          <t>Công ty cổ phần Anvy</t>
        </is>
      </c>
      <c r="E8561" t="inlineStr">
        <is>
          <t>Lương:15 Tr - 18 Tr VND</t>
        </is>
      </c>
      <c r="F8561" t="inlineStr">
        <is>
          <t>Hà Nội</t>
        </is>
      </c>
      <c r="G8561" t="inlineStr">
        <is>
          <t>14-04-2026</t>
        </is>
      </c>
      <c r="H8561" t="inlineStr">
        <is>
          <t>14/04/2026</t>
        </is>
      </c>
      <c r="I8561" t="inlineStr">
        <is>
          <t>17/03/2026</t>
        </is>
      </c>
      <c r="J8561" t="inlineStr">
        <is>
          <t>Nhân sự</t>
        </is>
      </c>
      <c r="K8561" t="inlineStr">
        <is>
          <t>3 - 5 Năm</t>
        </is>
      </c>
      <c r="L8561" s="8">
        <f>HYPERLINK("https://careerviet.vn/vi/tim-viec-lam/chuyen-vien-hanh-chinh-nhan-su-ha-noi.35C6CA5D.html","Xem chi tiết")</f>
        <v/>
      </c>
    </row>
    <row r="8562">
      <c r="B8562" s="9" t="n">
        <v>8560</v>
      </c>
      <c r="C8562" s="10" t="inlineStr">
        <is>
          <t>Thực Tập Sinh Kế Toán(Mới)</t>
        </is>
      </c>
      <c r="D8562" s="10" t="inlineStr">
        <is>
          <t>CÔNG TY CỔ PHẦN DEWOO VIỆT NAM</t>
        </is>
      </c>
      <c r="E8562" s="10" t="inlineStr">
        <is>
          <t>Lương:Cạnh tranh</t>
        </is>
      </c>
      <c r="F8562" s="10" t="inlineStr">
        <is>
          <t>Bình Dương</t>
        </is>
      </c>
      <c r="G8562" s="10" t="inlineStr">
        <is>
          <t>15-04-2026</t>
        </is>
      </c>
      <c r="H8562" s="10" t="inlineStr">
        <is>
          <t>15/04/2026</t>
        </is>
      </c>
      <c r="I8562" s="10" t="inlineStr">
        <is>
          <t>17/03/2026</t>
        </is>
      </c>
      <c r="J8562" s="10" t="inlineStr">
        <is>
          <t>Kế toán / Kiểm toán, Mới tốt nghiệp / Thực tập, Tài chính / Đầu tư</t>
        </is>
      </c>
      <c r="K8562" s="10" t="inlineStr">
        <is>
          <t>N/A</t>
        </is>
      </c>
      <c r="L8562" s="11">
        <f>HYPERLINK("https://careerviet.vn/vi/tim-viec-lam/thuc-tap-sinh-ke-toan.35C6CA69.html","Xem chi tiết")</f>
        <v/>
      </c>
      <c r="M8562" s="10" t="n"/>
    </row>
    <row r="8563">
      <c r="B8563" s="7" t="n">
        <v>8561</v>
      </c>
      <c r="C8563" t="inlineStr">
        <is>
          <t>Chuyên Viên/Chuyên viên cao cấp Quan Hệ Khách Hàng Cá Nhân - Khu vực Bình Dương(Mới)</t>
        </is>
      </c>
      <c r="D8563" t="inlineStr">
        <is>
          <t>Ngân hàng TMCP Việt Á – VietABank</t>
        </is>
      </c>
      <c r="E8563" t="inlineStr">
        <is>
          <t>Lương:8 Tr - 25 Tr VND</t>
        </is>
      </c>
      <c r="F8563" t="inlineStr">
        <is>
          <t>Bình Dương</t>
        </is>
      </c>
      <c r="G8563" t="inlineStr">
        <is>
          <t>16-04-2026</t>
        </is>
      </c>
      <c r="H8563" t="inlineStr">
        <is>
          <t>16/04/2026</t>
        </is>
      </c>
      <c r="I8563" t="inlineStr">
        <is>
          <t>17/03/2026</t>
        </is>
      </c>
      <c r="J8563" t="inlineStr">
        <is>
          <t>Bảo hiểm, Bất động sản, Ngân hàng</t>
        </is>
      </c>
      <c r="K8563" t="inlineStr">
        <is>
          <t>1 - 3 Năm</t>
        </is>
      </c>
      <c r="L8563" s="8">
        <f>HYPERLINK("https://careerviet.vn/vi/tim-viec-lam/chuyen-vien-chuyen-vien-cao-cap-quan-he-khach-hang-ca-nhan-khu-vuc-binh-duong.35C6CA63.html","Xem chi tiết")</f>
        <v/>
      </c>
    </row>
    <row r="8564">
      <c r="B8564" s="9" t="n">
        <v>8562</v>
      </c>
      <c r="C8564" s="10" t="inlineStr">
        <is>
          <t>KẾ TOÁN GIÁ THÀNH(Mới)</t>
        </is>
      </c>
      <c r="D8564" s="10" t="inlineStr">
        <is>
          <t>CÔNG TY CỔ PHẦN DEWOO VIỆT NAM</t>
        </is>
      </c>
      <c r="E8564" s="10" t="inlineStr">
        <is>
          <t>Lương:Cạnh tranh</t>
        </is>
      </c>
      <c r="F8564" s="10" t="inlineStr">
        <is>
          <t>Bình Dương</t>
        </is>
      </c>
      <c r="G8564" s="10" t="inlineStr">
        <is>
          <t>15-04-2026</t>
        </is>
      </c>
      <c r="H8564" s="10" t="inlineStr">
        <is>
          <t>15/04/2026</t>
        </is>
      </c>
      <c r="I8564" s="10" t="inlineStr">
        <is>
          <t>17/03/2026</t>
        </is>
      </c>
      <c r="J8564" s="10" t="inlineStr">
        <is>
          <t>Kế toán / Kiểm toán, Tài chính / Đầu tư, Hành chính / Thư ký</t>
        </is>
      </c>
      <c r="K8564" s="10" t="inlineStr">
        <is>
          <t>2 - 5 Năm</t>
        </is>
      </c>
      <c r="L8564" s="11">
        <f>HYPERLINK("https://careerviet.vn/vi/tim-viec-lam/ke-toan-gia-thanh.35C6CA6C.html","Xem chi tiết")</f>
        <v/>
      </c>
      <c r="M8564" s="10" t="n"/>
    </row>
    <row r="8565">
      <c r="B8565" s="7" t="n">
        <v>8563</v>
      </c>
      <c r="C8565" t="inlineStr">
        <is>
          <t>Giao Dịch Viên - Khu vực Bạc Liêu(Mới)</t>
        </is>
      </c>
      <c r="D8565" t="inlineStr">
        <is>
          <t>Ngân hàng TMCP Việt Á – VietABank</t>
        </is>
      </c>
      <c r="E8565" t="inlineStr">
        <is>
          <t>Lương:7 Tr - 12 Tr VND</t>
        </is>
      </c>
      <c r="F8565" t="inlineStr">
        <is>
          <t>Bạc Liêu</t>
        </is>
      </c>
      <c r="G8565" t="inlineStr">
        <is>
          <t>16-04-2026</t>
        </is>
      </c>
      <c r="H8565" t="inlineStr">
        <is>
          <t>16/04/2026</t>
        </is>
      </c>
      <c r="I8565" t="inlineStr">
        <is>
          <t>17/03/2026</t>
        </is>
      </c>
      <c r="J8565" t="inlineStr">
        <is>
          <t>Dịch vụ khách hàng, Ngân hàng, Tài chính / Đầu tư</t>
        </is>
      </c>
      <c r="K8565" t="inlineStr">
        <is>
          <t>Chưa có kinh nghiệm</t>
        </is>
      </c>
      <c r="L8565" s="8">
        <f>HYPERLINK("https://careerviet.vn/vi/tim-viec-lam/giao-dich-vien-khu-vuc-bac-lieu.35C6CA53.html","Xem chi tiết")</f>
        <v/>
      </c>
    </row>
    <row r="8566">
      <c r="B8566" s="9" t="n">
        <v>8564</v>
      </c>
      <c r="C8566" s="10" t="inlineStr">
        <is>
          <t>Nhân Viên Kinh Doanh Dự Án</t>
        </is>
      </c>
      <c r="D8566" s="10" t="inlineStr">
        <is>
          <t>Công Ty TNHH Thương Mại Rồng Phương Bắc</t>
        </is>
      </c>
      <c r="E8566" s="10" t="inlineStr">
        <is>
          <t>Lương:10 Tr - 16 Tr VND</t>
        </is>
      </c>
      <c r="F8566" s="10" t="inlineStr">
        <is>
          <t>Hồ Chí MinhHà Nội</t>
        </is>
      </c>
      <c r="G8566" s="10" t="inlineStr">
        <is>
          <t>5</t>
        </is>
      </c>
      <c r="H8566" s="10" t="inlineStr">
        <is>
          <t>22/03/2026</t>
        </is>
      </c>
      <c r="I8566" s="10" t="inlineStr">
        <is>
          <t>17/03/2026</t>
        </is>
      </c>
      <c r="J8566" s="10" t="inlineStr">
        <is>
          <t>Nội ngoại thất, Bán hàng / Kinh doanh, Đồ gỗ</t>
        </is>
      </c>
      <c r="K8566" s="10" t="inlineStr">
        <is>
          <t>1 - 5 Năm</t>
        </is>
      </c>
      <c r="L8566" s="11">
        <f>HYPERLINK("https://careerviet.vn/vi/tim-viec-lam/nhan-vien-kinh-doanh-du-an.35C68DE1.html","Xem chi tiết")</f>
        <v/>
      </c>
      <c r="M8566" s="10" t="n"/>
    </row>
    <row r="8567">
      <c r="B8567" s="7" t="n">
        <v>8565</v>
      </c>
      <c r="C8567" t="inlineStr">
        <is>
          <t>Chuyên Viên/Chuyên viên cao cấp Quan Hệ Khách Hàng Cá Nhân - Khu vực Quy Nhơn(Mới)</t>
        </is>
      </c>
      <c r="D8567" t="inlineStr">
        <is>
          <t>Ngân hàng TMCP Việt Á – VietABank</t>
        </is>
      </c>
      <c r="E8567" t="inlineStr">
        <is>
          <t>Lương:8 Tr - 25 Tr VND</t>
        </is>
      </c>
      <c r="F8567" t="inlineStr">
        <is>
          <t>Bình Định</t>
        </is>
      </c>
      <c r="G8567" t="inlineStr">
        <is>
          <t>16-04-2026</t>
        </is>
      </c>
      <c r="H8567" t="inlineStr">
        <is>
          <t>16/04/2026</t>
        </is>
      </c>
      <c r="I8567" t="inlineStr">
        <is>
          <t>17/03/2026</t>
        </is>
      </c>
      <c r="J8567" t="inlineStr">
        <is>
          <t>Bảo hiểm, Bất động sản, Ngân hàng</t>
        </is>
      </c>
      <c r="K8567" t="inlineStr">
        <is>
          <t>1 - 3 Năm</t>
        </is>
      </c>
      <c r="L8567" s="8">
        <f>HYPERLINK("https://careerviet.vn/vi/tim-viec-lam/chuyen-vien-chuyen-vien-cao-cap-quan-he-khach-hang-ca-nhan-khu-vuc-quy-nhon.35C6CA4A.html","Xem chi tiết")</f>
        <v/>
      </c>
    </row>
    <row r="8568">
      <c r="B8568" s="9" t="n">
        <v>8566</v>
      </c>
      <c r="C8568" s="10" t="inlineStr">
        <is>
          <t>Kỹ sư Tự động hóa (Làm việc tại KCN Thái Hà, Hà Nam)(Mới)</t>
        </is>
      </c>
      <c r="D8568" s="10" t="inlineStr">
        <is>
          <t>Công ty Cổ phần Casla</t>
        </is>
      </c>
      <c r="E8568" s="10" t="inlineStr">
        <is>
          <t>Lương:18 Tr - 24 Tr VND</t>
        </is>
      </c>
      <c r="F8568" s="10" t="inlineStr">
        <is>
          <t>Hà NộiHà Nam</t>
        </is>
      </c>
      <c r="G8568" s="10" t="inlineStr">
        <is>
          <t>30-04-2026</t>
        </is>
      </c>
      <c r="H8568" s="10" t="inlineStr">
        <is>
          <t>30/04/2026</t>
        </is>
      </c>
      <c r="I8568" s="10" t="inlineStr">
        <is>
          <t>17/03/2026</t>
        </is>
      </c>
      <c r="J8568" s="10" t="inlineStr">
        <is>
          <t>Cơ khí / Ô tô / Tự động hóa, Điện / Điện tử / Điện lạnh / Điện công nghiệp, Sản xuất / Vận hành sản xuất</t>
        </is>
      </c>
      <c r="K8568" s="10" t="inlineStr">
        <is>
          <t>2 - 15 Năm</t>
        </is>
      </c>
      <c r="L8568" s="11">
        <f>HYPERLINK("https://careerviet.vn/vi/tim-viec-lam/ky-su-tu-dong-hoa-lam-viec-tai-kcn-thai-ha-ha-nam.35C6B9A3.html","Xem chi tiết")</f>
        <v/>
      </c>
      <c r="M8568" s="10" t="n"/>
    </row>
    <row r="8569">
      <c r="B8569" s="7" t="n">
        <v>8567</v>
      </c>
      <c r="C8569" t="inlineStr">
        <is>
          <t>Customer Service Staff (Freight forwarder)(Mới)</t>
        </is>
      </c>
      <c r="D8569" t="inlineStr">
        <is>
          <t>Công Ty TNHH Honour Lane Logistics</t>
        </is>
      </c>
      <c r="E8569" t="inlineStr">
        <is>
          <t>Lương:Cạnh tranh</t>
        </is>
      </c>
      <c r="F8569" t="inlineStr">
        <is>
          <t>Hồ Chí MinhHải Phòng</t>
        </is>
      </c>
      <c r="G8569" t="inlineStr">
        <is>
          <t>17-04-2026</t>
        </is>
      </c>
      <c r="H8569" t="inlineStr">
        <is>
          <t>17/04/2026</t>
        </is>
      </c>
      <c r="I8569" t="inlineStr">
        <is>
          <t>17/03/2026</t>
        </is>
      </c>
      <c r="J8569" t="inlineStr">
        <is>
          <t>Vận chuyển / Giao nhận / Kho vận, Hàng hải, Xuất nhập khẩu</t>
        </is>
      </c>
      <c r="K8569" t="inlineStr">
        <is>
          <t>2 - 5 Năm</t>
        </is>
      </c>
      <c r="L8569" s="8">
        <f>HYPERLINK("https://careerviet.vn/vi/tim-viec-lam/customer-service-staff-freight-forwarder.35C6CA4F.html","Xem chi tiết")</f>
        <v/>
      </c>
    </row>
    <row r="8570">
      <c r="B8570" s="9" t="n">
        <v>8568</v>
      </c>
      <c r="C8570" s="10" t="inlineStr">
        <is>
          <t>IE Engineer(Mới)</t>
        </is>
      </c>
      <c r="D8570" s="10" t="inlineStr">
        <is>
          <t>Techtronic Industries Vietnam Manufacturing Company Limited</t>
        </is>
      </c>
      <c r="E8570" s="10" t="inlineStr">
        <is>
          <t>Lương:Cạnh tranh</t>
        </is>
      </c>
      <c r="F8570" s="10" t="inlineStr">
        <is>
          <t>Đồng Nai</t>
        </is>
      </c>
      <c r="G8570" s="10" t="inlineStr">
        <is>
          <t>15-04-2026</t>
        </is>
      </c>
      <c r="H8570" s="10" t="inlineStr">
        <is>
          <t>15/04/2026</t>
        </is>
      </c>
      <c r="I8570" s="10" t="inlineStr">
        <is>
          <t>17/03/2026</t>
        </is>
      </c>
      <c r="J8570" s="10" t="inlineStr">
        <is>
          <t>Điện / Điện tử / Điện lạnh / Điện công nghiệp, Cơ khí / Ô tô / Tự động hóa, Sản xuất / Vận hành sản xuất</t>
        </is>
      </c>
      <c r="K8570" s="10" t="inlineStr">
        <is>
          <t>2 - 5 Năm</t>
        </is>
      </c>
      <c r="L8570" s="11">
        <f>HYPERLINK("https://careerviet.vn/vi/tim-viec-lam/ie-engineer.35C6CA51.html","Xem chi tiết")</f>
        <v/>
      </c>
      <c r="M8570" s="10" t="n"/>
    </row>
    <row r="8571">
      <c r="B8571" s="7" t="n">
        <v>8569</v>
      </c>
      <c r="C8571" t="inlineStr">
        <is>
          <t>Chuyên viên cao cấp Điều chuyển vốn nội bộ - Ban ALM(Mới)</t>
        </is>
      </c>
      <c r="D8571" t="inlineStr">
        <is>
          <t>Ngân Hàng TMCP Sài Gòn - Hà Nội ( SHB )</t>
        </is>
      </c>
      <c r="E8571" t="inlineStr">
        <is>
          <t>Lương:Cạnh tranh</t>
        </is>
      </c>
      <c r="F8571" t="inlineStr">
        <is>
          <t>Hà Nội</t>
        </is>
      </c>
      <c r="G8571" t="inlineStr">
        <is>
          <t>13-04-2026</t>
        </is>
      </c>
      <c r="H8571" t="inlineStr">
        <is>
          <t>13/04/2026</t>
        </is>
      </c>
      <c r="I8571" t="inlineStr">
        <is>
          <t>17/03/2026</t>
        </is>
      </c>
      <c r="J8571" t="inlineStr">
        <is>
          <t>Kế toán / Kiểm toán, Ngân hàng, Tài chính / Đầu tư</t>
        </is>
      </c>
      <c r="K8571" t="inlineStr">
        <is>
          <t>Trên 4 Năm</t>
        </is>
      </c>
      <c r="L8571" s="8">
        <f>HYPERLINK("https://careerviet.vn/vi/tim-viec-lam/chuyen-vien-cao-cap-dieu-chuyen-von-noi-bo-ban-alm.35C6CA47.html","Xem chi tiết")</f>
        <v/>
      </c>
    </row>
    <row r="8572">
      <c r="B8572" s="9" t="n">
        <v>8570</v>
      </c>
      <c r="C8572" s="10" t="inlineStr">
        <is>
          <t>Cán bộ thúc đẩy bán - Ban Bancassurance (ưu tiên Nam)</t>
        </is>
      </c>
      <c r="D8572" s="10" t="inlineStr">
        <is>
          <t>Tổng Công ty Cổ phần Bảo hiểm Ngân hàng Đầu tư và Phát triển Việt Nam (BIC)</t>
        </is>
      </c>
      <c r="E8572" s="10" t="inlineStr">
        <is>
          <t>Lương:Cạnh tranh</t>
        </is>
      </c>
      <c r="F8572" s="10" t="inlineStr">
        <is>
          <t>Hà Nội</t>
        </is>
      </c>
      <c r="G8572" s="10" t="inlineStr">
        <is>
          <t>14-04-2026</t>
        </is>
      </c>
      <c r="H8572" s="10" t="inlineStr">
        <is>
          <t>14/04/2026</t>
        </is>
      </c>
      <c r="I8572" s="10" t="inlineStr">
        <is>
          <t>17/03/2026</t>
        </is>
      </c>
      <c r="J8572" s="10" t="inlineStr">
        <is>
          <t>Ngân hàng, Bảo hiểm, Tài chính / Đầu tư</t>
        </is>
      </c>
      <c r="K8572" s="10" t="inlineStr">
        <is>
          <t>null - null Năm</t>
        </is>
      </c>
      <c r="L8572" s="11">
        <f>HYPERLINK("https://careerviet.vn/vi/tim-viec-lam/can-bo-thuc-day-ban-ban-bancassurance-uu-tien-nam.35C689DC.html","Xem chi tiết")</f>
        <v/>
      </c>
      <c r="M8572" s="10" t="n"/>
    </row>
    <row r="8573">
      <c r="B8573" s="7" t="n">
        <v>8571</v>
      </c>
      <c r="C8573" t="inlineStr">
        <is>
          <t>Nhân viên kinh doanh dự án cửa thép chống cháy(Mới)</t>
        </is>
      </c>
      <c r="D8573" t="inlineStr">
        <is>
          <t>Công Ty TNHH Cơ Khí Xây Dựng Hoàng Tâm</t>
        </is>
      </c>
      <c r="E8573" t="inlineStr">
        <is>
          <t>Lương:10 Tr - 50 Tr VND</t>
        </is>
      </c>
      <c r="F8573" t="inlineStr">
        <is>
          <t>Hồ Chí Minh</t>
        </is>
      </c>
      <c r="G8573" t="inlineStr">
        <is>
          <t>31-10-2026</t>
        </is>
      </c>
      <c r="H8573" t="inlineStr">
        <is>
          <t>31/10/2026</t>
        </is>
      </c>
      <c r="I8573" t="inlineStr">
        <is>
          <t>17/03/2026</t>
        </is>
      </c>
      <c r="J8573" t="inlineStr">
        <is>
          <t>Xây dựng, Bán hàng / Kinh doanh, Nội ngoại thất</t>
        </is>
      </c>
      <c r="K8573" t="inlineStr">
        <is>
          <t>1 - 3 Năm</t>
        </is>
      </c>
      <c r="L8573" s="8">
        <f>HYPERLINK("https://careerviet.vn/vi/tim-viec-lam/nhan-vien-kinh-doanh-du-an-cua-thep-chong-chay.35C6C9BD.html","Xem chi tiết")</f>
        <v/>
      </c>
    </row>
    <row r="8574">
      <c r="B8574" s="9" t="n">
        <v>8572</v>
      </c>
      <c r="C8574" s="10" t="inlineStr">
        <is>
          <t>Chuyên viên thu mua vật tư(Mới)</t>
        </is>
      </c>
      <c r="D8574" s="10" t="inlineStr">
        <is>
          <t>Công ty TNHH Hòa Kiến Nhân</t>
        </is>
      </c>
      <c r="E8574" s="10" t="inlineStr">
        <is>
          <t>Lương:Cạnh tranh</t>
        </is>
      </c>
      <c r="F8574" s="10" t="inlineStr">
        <is>
          <t>Hồ Chí Minh</t>
        </is>
      </c>
      <c r="G8574" s="10" t="inlineStr">
        <is>
          <t>16-04-2026</t>
        </is>
      </c>
      <c r="H8574" s="10" t="inlineStr">
        <is>
          <t>16/04/2026</t>
        </is>
      </c>
      <c r="I8574" s="10" t="inlineStr">
        <is>
          <t>17/03/2026</t>
        </is>
      </c>
      <c r="J8574" s="10" t="inlineStr">
        <is>
          <t>Thu mua / Vật tư, Cơ khí / Ô tô / Tự động hóa, Xuất nhập khẩu</t>
        </is>
      </c>
      <c r="K8574" s="10" t="inlineStr">
        <is>
          <t>2 - 10 Năm</t>
        </is>
      </c>
      <c r="L8574" s="11">
        <f>HYPERLINK("https://careerviet.vn/vi/tim-viec-lam/chuyen-vien-thu-mua-vat-tu.35C6CA49.html","Xem chi tiết")</f>
        <v/>
      </c>
      <c r="M8574" s="10" t="n"/>
    </row>
    <row r="8575">
      <c r="B8575" s="7" t="n">
        <v>8573</v>
      </c>
      <c r="C8575" t="inlineStr">
        <is>
          <t>Trưởng phòng kế toán tài chính(Mới)</t>
        </is>
      </c>
      <c r="D8575" t="inlineStr">
        <is>
          <t>Bảo mật</t>
        </is>
      </c>
      <c r="E8575" t="inlineStr">
        <is>
          <t>Lương:Cạnh tranh</t>
        </is>
      </c>
      <c r="F8575" t="inlineStr">
        <is>
          <t>Hồ Chí Minh</t>
        </is>
      </c>
      <c r="G8575" t="inlineStr">
        <is>
          <t>16-04-2026</t>
        </is>
      </c>
      <c r="H8575" t="inlineStr">
        <is>
          <t>16/04/2026</t>
        </is>
      </c>
      <c r="I8575" t="inlineStr">
        <is>
          <t>17/03/2026</t>
        </is>
      </c>
      <c r="J8575" t="inlineStr">
        <is>
          <t>Kế toán / Kiểm toán, Tài chính / Đầu tư, Sản xuất / Vận hành sản xuất</t>
        </is>
      </c>
      <c r="K8575" t="inlineStr">
        <is>
          <t>5 - 10 Năm</t>
        </is>
      </c>
      <c r="L8575" s="8">
        <f>HYPERLINK("https://careerviet.vn/vi/tim-viec-lam/truong-phong-ke-toan-tai-chinh.35C6CA44.html","Xem chi tiết")</f>
        <v/>
      </c>
    </row>
    <row r="8576">
      <c r="B8576" s="9" t="n">
        <v>8574</v>
      </c>
      <c r="C8576" s="10" t="inlineStr">
        <is>
          <t>Quảng Ninh - Dự Án Điện Mặt Trời Đầm Hà - Chuyên Viên Kỹ Thuật Cơ Điện</t>
        </is>
      </c>
      <c r="D8576" s="10" t="inlineStr">
        <is>
          <t>BIM Group</t>
        </is>
      </c>
      <c r="E8576" s="10" t="inlineStr">
        <is>
          <t>Lương:Cạnh tranh</t>
        </is>
      </c>
      <c r="F8576" s="10" t="inlineStr">
        <is>
          <t>Quảng Ninh</t>
        </is>
      </c>
      <c r="G8576" s="10" t="inlineStr">
        <is>
          <t>14-04-2026</t>
        </is>
      </c>
      <c r="H8576" s="10" t="inlineStr">
        <is>
          <t>14/04/2026</t>
        </is>
      </c>
      <c r="I8576" s="10" t="inlineStr">
        <is>
          <t>17/03/2026</t>
        </is>
      </c>
      <c r="J8576" s="10" t="inlineStr">
        <is>
          <t>Điện / Điện tử / Điện lạnh / Điện công nghiệp</t>
        </is>
      </c>
      <c r="K8576" s="10" t="inlineStr">
        <is>
          <t>1 - 2 Năm</t>
        </is>
      </c>
      <c r="L8576" s="11">
        <f>HYPERLINK("https://careerviet.vn/vi/tim-viec-lam/quang-ninh-du-an-dien-mat-troi-dam-ha-chuyen-vien-ky-thuat-co-dien.35C689D5.html","Xem chi tiết")</f>
        <v/>
      </c>
      <c r="M8576" s="10" t="n"/>
    </row>
    <row r="8577">
      <c r="B8577" s="7" t="n">
        <v>8575</v>
      </c>
      <c r="C8577" t="inlineStr">
        <is>
          <t>NHÂN VIÊN BẢO DƯỠNG KHUÔN(Mới)</t>
        </is>
      </c>
      <c r="D8577" t="inlineStr">
        <is>
          <t>Tập đoàn Nhựa Bình Thuận</t>
        </is>
      </c>
      <c r="E8577" t="inlineStr">
        <is>
          <t>Lương:Cạnh tranh</t>
        </is>
      </c>
      <c r="F8577" t="inlineStr">
        <is>
          <t>Bình Dương</t>
        </is>
      </c>
      <c r="G8577" t="inlineStr">
        <is>
          <t>16-04-2026</t>
        </is>
      </c>
      <c r="H8577" t="inlineStr">
        <is>
          <t>16/04/2026</t>
        </is>
      </c>
      <c r="I8577" t="inlineStr">
        <is>
          <t>17/03/2026</t>
        </is>
      </c>
      <c r="J8577" t="inlineStr">
        <is>
          <t>Cơ khí / Ô tô / Tự động hóa, Bảo trì / Sửa chữa, Sản xuất / Vận hành sản xuất</t>
        </is>
      </c>
      <c r="K8577" t="inlineStr">
        <is>
          <t>1 - 3 Năm</t>
        </is>
      </c>
      <c r="L8577" s="8">
        <f>HYPERLINK("https://careerviet.vn/vi/tim-viec-lam/nhan-vien-bao-duong-khuon.35C6CA42.html","Xem chi tiết")</f>
        <v/>
      </c>
    </row>
    <row r="8578">
      <c r="B8578" s="9" t="n">
        <v>8576</v>
      </c>
      <c r="C8578" s="10" t="inlineStr">
        <is>
          <t>HÀNH CHÍNH NHÂN SỰ TỔNG HỢP(Mới)</t>
        </is>
      </c>
      <c r="D8578" s="10" t="inlineStr">
        <is>
          <t>CÔNG TY CỔ PHẦN TẬP ĐOÀN VIHAMARK</t>
        </is>
      </c>
      <c r="E8578" s="10" t="inlineStr">
        <is>
          <t>Lương:10 Tr - 14 Tr VND</t>
        </is>
      </c>
      <c r="F8578" s="10" t="inlineStr">
        <is>
          <t>Hà Nam</t>
        </is>
      </c>
      <c r="G8578" s="10" t="inlineStr">
        <is>
          <t>15-04-2026</t>
        </is>
      </c>
      <c r="H8578" s="10" t="inlineStr">
        <is>
          <t>15/04/2026</t>
        </is>
      </c>
      <c r="I8578" s="10" t="inlineStr">
        <is>
          <t>17/03/2026</t>
        </is>
      </c>
      <c r="J8578" s="10" t="inlineStr">
        <is>
          <t>Nhân sự</t>
        </is>
      </c>
      <c r="K8578" s="10" t="inlineStr">
        <is>
          <t>3 - 5 Năm</t>
        </is>
      </c>
      <c r="L8578" s="11">
        <f>HYPERLINK("https://careerviet.vn/vi/tim-viec-lam/hanh-chinh-nhan-su-tong-hop.35C6C93B.html","Xem chi tiết")</f>
        <v/>
      </c>
      <c r="M8578" s="10" t="n"/>
    </row>
    <row r="8579">
      <c r="B8579" s="7" t="n">
        <v>8577</v>
      </c>
      <c r="C8579" t="inlineStr">
        <is>
          <t>Nhân viên thu ngân</t>
        </is>
      </c>
      <c r="D8579" t="inlineStr">
        <is>
          <t>CÔNG TY LIÊN DOANH VẬN CHUYỂN QUỐC TẾ HẢI VÂN</t>
        </is>
      </c>
      <c r="E8579" t="inlineStr">
        <is>
          <t>Lương:9 Tr - 11 Tr VND</t>
        </is>
      </c>
      <c r="F8579" t="inlineStr">
        <is>
          <t>Hà Nội</t>
        </is>
      </c>
      <c r="G8579" t="inlineStr">
        <is>
          <t>14-04-2026</t>
        </is>
      </c>
      <c r="H8579" t="inlineStr">
        <is>
          <t>14/04/2026</t>
        </is>
      </c>
      <c r="I8579" t="inlineStr">
        <is>
          <t>17/03/2026</t>
        </is>
      </c>
      <c r="J8579" t="inlineStr">
        <is>
          <t>Kế toán / Kiểm toán</t>
        </is>
      </c>
      <c r="K8579" t="inlineStr">
        <is>
          <t>Chưa có kinh nghiệm</t>
        </is>
      </c>
      <c r="L8579" s="8">
        <f>HYPERLINK("https://careerviet.vn/vi/tim-viec-lam/nhan-vien-thu-ngan.35C659E0.html","Xem chi tiết")</f>
        <v/>
      </c>
    </row>
    <row r="8580">
      <c r="B8580" s="9" t="n">
        <v>8578</v>
      </c>
      <c r="C8580" s="10" t="inlineStr">
        <is>
          <t>Nhân viên kinh doanh khối văn phòng cho thuê(Mới)</t>
        </is>
      </c>
      <c r="D8580" s="10" t="inlineStr">
        <is>
          <t>Công Ty Cổ Phần Đức Mạnh</t>
        </is>
      </c>
      <c r="E8580" s="10" t="inlineStr">
        <is>
          <t>Lương:9 Tr - 12 Tr VND</t>
        </is>
      </c>
      <c r="F8580" s="10" t="inlineStr">
        <is>
          <t>Đà Nẵng</t>
        </is>
      </c>
      <c r="G8580" s="10" t="inlineStr">
        <is>
          <t>16-04-2026</t>
        </is>
      </c>
      <c r="H8580" s="10" t="inlineStr">
        <is>
          <t>16/04/2026</t>
        </is>
      </c>
      <c r="I8580" s="10" t="inlineStr">
        <is>
          <t>17/03/2026</t>
        </is>
      </c>
      <c r="J8580" s="10" t="inlineStr">
        <is>
          <t>Bán hàng / Kinh doanh, Bất động sản</t>
        </is>
      </c>
      <c r="K8580" s="10" t="inlineStr">
        <is>
          <t>5 - 7 Năm</t>
        </is>
      </c>
      <c r="L8580" s="11">
        <f>HYPERLINK("https://careerviet.vn/vi/tim-viec-lam/nhan-vien-kinh-doanh-khoi-van-phong-cho-thue.35C6CA46.html","Xem chi tiết")</f>
        <v/>
      </c>
      <c r="M8580" s="10" t="n"/>
    </row>
    <row r="8581">
      <c r="B8581" s="7" t="n">
        <v>8579</v>
      </c>
      <c r="C8581" t="inlineStr">
        <is>
          <t>Chuyên Viên Kinh Doanh Bất Động Sản</t>
        </is>
      </c>
      <c r="D8581" t="inlineStr">
        <is>
          <t>Công Ty Cổ Phần Tập Đoàn Trần Anh Long An</t>
        </is>
      </c>
      <c r="E8581" t="inlineStr">
        <is>
          <t>Lương:5 Tr - 16 Tr VND</t>
        </is>
      </c>
      <c r="F8581" t="inlineStr">
        <is>
          <t>An Giang</t>
        </is>
      </c>
      <c r="G8581" t="inlineStr">
        <is>
          <t>14-04-2026</t>
        </is>
      </c>
      <c r="H8581" t="inlineStr">
        <is>
          <t>14/04/2026</t>
        </is>
      </c>
      <c r="I8581" t="inlineStr">
        <is>
          <t>17/03/2026</t>
        </is>
      </c>
      <c r="J8581" t="inlineStr">
        <is>
          <t>Bất động sản, Bán lẻ / Bán sỉ, Bán hàng / Kinh doanh</t>
        </is>
      </c>
      <c r="K8581" t="inlineStr">
        <is>
          <t>N/A</t>
        </is>
      </c>
      <c r="L8581" s="8">
        <f>HYPERLINK("https://careerviet.vn/vi/tim-viec-lam/chuyen-vien-kinh-doanh-bat-dong-san.35C659AE.html","Xem chi tiết")</f>
        <v/>
      </c>
    </row>
    <row r="8582">
      <c r="B8582" s="9" t="n">
        <v>8580</v>
      </c>
      <c r="C8582" s="10" t="inlineStr">
        <is>
          <t>Kế toán tổng hợp (Long An)(Mới)</t>
        </is>
      </c>
      <c r="D8582" s="10" t="inlineStr">
        <is>
          <t>Công ty TNHH Starry Việt Nam</t>
        </is>
      </c>
      <c r="E8582" s="10" t="inlineStr">
        <is>
          <t>Lương:20 Tr - 28 Tr VND</t>
        </is>
      </c>
      <c r="F8582" s="10" t="inlineStr">
        <is>
          <t>Long An</t>
        </is>
      </c>
      <c r="G8582" s="10" t="inlineStr">
        <is>
          <t>31-03-2026</t>
        </is>
      </c>
      <c r="H8582" s="10" t="inlineStr">
        <is>
          <t>31/03/2026</t>
        </is>
      </c>
      <c r="I8582" s="10" t="inlineStr">
        <is>
          <t>17/03/2026</t>
        </is>
      </c>
      <c r="J8582" s="10" t="inlineStr">
        <is>
          <t>Kế toán / Kiểm toán, Dệt may / Da giày / Thời trang</t>
        </is>
      </c>
      <c r="K8582" s="10" t="inlineStr">
        <is>
          <t>3 - 5 Năm</t>
        </is>
      </c>
      <c r="L8582" s="11">
        <f>HYPERLINK("https://careerviet.vn/vi/tim-viec-lam/ke-toan-tong-hop-long-an.35C6CA3D.html","Xem chi tiết")</f>
        <v/>
      </c>
      <c r="M8582" s="10" t="n"/>
    </row>
    <row r="8583">
      <c r="B8583" s="7" t="n">
        <v>8581</v>
      </c>
      <c r="C8583" t="inlineStr">
        <is>
          <t>Nhân viên Hoàn thiện Khuôn</t>
        </is>
      </c>
      <c r="D8583" t="inlineStr">
        <is>
          <t>Mida Precision Mold - Công Ty Cổ phần Khuôn Chính Xác Minh Đạt</t>
        </is>
      </c>
      <c r="E8583" t="inlineStr">
        <is>
          <t>Lương:8 Tr - 14 Tr VND</t>
        </is>
      </c>
      <c r="F8583" t="inlineStr">
        <is>
          <t>Long An</t>
        </is>
      </c>
      <c r="G8583" t="inlineStr">
        <is>
          <t>14-04-2026</t>
        </is>
      </c>
      <c r="H8583" t="inlineStr">
        <is>
          <t>14/04/2026</t>
        </is>
      </c>
      <c r="I8583" t="inlineStr">
        <is>
          <t>17/03/2026</t>
        </is>
      </c>
      <c r="J8583" t="inlineStr">
        <is>
          <t>Cơ khí / Ô tô / Tự động hóa</t>
        </is>
      </c>
      <c r="K8583" t="inlineStr">
        <is>
          <t>N/A</t>
        </is>
      </c>
      <c r="L8583" s="8">
        <f>HYPERLINK("https://careerviet.vn/vi/tim-viec-lam/nhan-vien-hoan-thien-khuon.35C658D6.html","Xem chi tiết")</f>
        <v/>
      </c>
    </row>
    <row r="8584">
      <c r="B8584" s="9" t="n">
        <v>8582</v>
      </c>
      <c r="C8584" s="10" t="inlineStr">
        <is>
          <t>Kế toán viên(Mới)</t>
        </is>
      </c>
      <c r="D8584" s="10" t="inlineStr">
        <is>
          <t>Công ty TNHH Starry Việt Nam</t>
        </is>
      </c>
      <c r="E8584" s="10" t="inlineStr">
        <is>
          <t>Lương:10 Tr - 12 Tr VND</t>
        </is>
      </c>
      <c r="F8584" s="10" t="inlineStr">
        <is>
          <t>Long An</t>
        </is>
      </c>
      <c r="G8584" s="10" t="inlineStr">
        <is>
          <t>31-03-2026</t>
        </is>
      </c>
      <c r="H8584" s="10" t="inlineStr">
        <is>
          <t>31/03/2026</t>
        </is>
      </c>
      <c r="I8584" s="10" t="inlineStr">
        <is>
          <t>17/03/2026</t>
        </is>
      </c>
      <c r="J8584" s="10" t="inlineStr">
        <is>
          <t>Kế toán / Kiểm toán, Thống kê, Dệt may / Da giày / Thời trang</t>
        </is>
      </c>
      <c r="K8584" s="10" t="inlineStr">
        <is>
          <t>1 - 2 Năm</t>
        </is>
      </c>
      <c r="L8584" s="11">
        <f>HYPERLINK("https://careerviet.vn/vi/tim-viec-lam/ke-toan-vien.35C6CA3E.html","Xem chi tiết")</f>
        <v/>
      </c>
      <c r="M8584" s="10" t="n"/>
    </row>
    <row r="8585">
      <c r="B8585" s="7" t="n">
        <v>8583</v>
      </c>
      <c r="C8585" t="inlineStr">
        <is>
          <t>Senior Quality Engineer</t>
        </is>
      </c>
      <c r="D8585" t="inlineStr">
        <is>
          <t>Công ty TNHH Spartronics Việt Nam</t>
        </is>
      </c>
      <c r="E8585" t="inlineStr">
        <is>
          <t>Lương:Cạnh tranh</t>
        </is>
      </c>
      <c r="F8585" t="inlineStr">
        <is>
          <t>Bình Dương</t>
        </is>
      </c>
      <c r="G8585" t="inlineStr">
        <is>
          <t>14-04-2026</t>
        </is>
      </c>
      <c r="H8585" t="inlineStr">
        <is>
          <t>14/04/2026</t>
        </is>
      </c>
      <c r="I8585" t="inlineStr">
        <is>
          <t>17/03/2026</t>
        </is>
      </c>
      <c r="J8585" t="inlineStr">
        <is>
          <t>Điện / Điện tử / Điện lạnh / Điện công nghiệp, Quản lý chất lượng (QA/QC)</t>
        </is>
      </c>
      <c r="K8585" t="inlineStr">
        <is>
          <t>5 - 9 Năm</t>
        </is>
      </c>
      <c r="L8585" s="8">
        <f>HYPERLINK("https://careerviet.vn/vi/tim-viec-lam/senior-quality-engineer.35C65874.html","Xem chi tiết")</f>
        <v/>
      </c>
    </row>
    <row r="8586">
      <c r="B8586" s="9" t="n">
        <v>8584</v>
      </c>
      <c r="C8586" s="10" t="inlineStr">
        <is>
          <t>Chuyên viên Kinh doanh  (Hạt nhựa)(Mới)</t>
        </is>
      </c>
      <c r="D8586" s="10" t="inlineStr">
        <is>
          <t>ADC PLASTIC,. JSC</t>
        </is>
      </c>
      <c r="E8586" s="10" t="inlineStr">
        <is>
          <t>Lương:15 Tr - 35 Tr VND</t>
        </is>
      </c>
      <c r="F8586" s="10" t="inlineStr">
        <is>
          <t>Hồ Chí Minh</t>
        </is>
      </c>
      <c r="G8586" s="10" t="inlineStr">
        <is>
          <t>30-04-2026</t>
        </is>
      </c>
      <c r="H8586" s="10" t="inlineStr">
        <is>
          <t>30/04/2026</t>
        </is>
      </c>
      <c r="I8586" s="10" t="inlineStr">
        <is>
          <t>17/03/2026</t>
        </is>
      </c>
      <c r="J8586" s="10" t="inlineStr">
        <is>
          <t>Bán lẻ / Bán sỉ, Bán hàng / Kinh doanh</t>
        </is>
      </c>
      <c r="K8586" s="10" t="inlineStr">
        <is>
          <t>3 - 20 Năm</t>
        </is>
      </c>
      <c r="L8586" s="11">
        <f>HYPERLINK("https://careerviet.vn/vi/tim-viec-lam/chuyen-vien-kinh-doanh-hat-nhua.35C6CA41.html","Xem chi tiết")</f>
        <v/>
      </c>
      <c r="M8586" s="10" t="n"/>
    </row>
    <row r="8587">
      <c r="B8587" s="7" t="n">
        <v>8585</v>
      </c>
      <c r="C8587" t="inlineStr">
        <is>
          <t>KẾ TOÁN TỔNG HỢP</t>
        </is>
      </c>
      <c r="D8587" t="inlineStr">
        <is>
          <t>Công Ty Cổ Phần Nhà Hoà Bình</t>
        </is>
      </c>
      <c r="E8587" t="inlineStr">
        <is>
          <t>Lương:20 Tr - 30 Tr VND</t>
        </is>
      </c>
      <c r="F8587" t="inlineStr">
        <is>
          <t>Hồ Chí Minh</t>
        </is>
      </c>
      <c r="G8587" t="inlineStr">
        <is>
          <t>14-04-2026</t>
        </is>
      </c>
      <c r="H8587" t="inlineStr">
        <is>
          <t>14/04/2026</t>
        </is>
      </c>
      <c r="I8587" t="inlineStr">
        <is>
          <t>17/03/2026</t>
        </is>
      </c>
      <c r="J8587" t="inlineStr">
        <is>
          <t>Kế toán / Kiểm toán, Bất động sản, Xây dựng</t>
        </is>
      </c>
      <c r="K8587" t="inlineStr">
        <is>
          <t>2 - 3 Năm</t>
        </is>
      </c>
      <c r="L8587" s="8">
        <f>HYPERLINK("https://careerviet.vn/vi/tim-viec-lam/ke-toan-tong-hop.35C6587F.html","Xem chi tiết")</f>
        <v/>
      </c>
    </row>
    <row r="8588">
      <c r="B8588" s="9" t="n">
        <v>8586</v>
      </c>
      <c r="C8588" s="10" t="inlineStr">
        <is>
          <t>Trưởng phòng kỹ thuật</t>
        </is>
      </c>
      <c r="D8588" s="10" t="inlineStr">
        <is>
          <t>Công ty TNHH Yura Corporation Vina</t>
        </is>
      </c>
      <c r="E8588" s="10" t="inlineStr">
        <is>
          <t>Lương:Cạnh tranh</t>
        </is>
      </c>
      <c r="F8588" s="10" t="inlineStr">
        <is>
          <t>Hưng Yên</t>
        </is>
      </c>
      <c r="G8588" s="10" t="inlineStr">
        <is>
          <t>14-04-2026</t>
        </is>
      </c>
      <c r="H8588" s="10" t="inlineStr">
        <is>
          <t>14/04/2026</t>
        </is>
      </c>
      <c r="I8588" s="10" t="inlineStr">
        <is>
          <t>17/03/2026</t>
        </is>
      </c>
      <c r="J8588" s="10" t="inlineStr">
        <is>
          <t>Cơ khí / Ô tô / Tự động hóa</t>
        </is>
      </c>
      <c r="K8588" s="10" t="inlineStr">
        <is>
          <t>Chưa có kinh nghiệm</t>
        </is>
      </c>
      <c r="L8588" s="11">
        <f>HYPERLINK("https://careerviet.vn/vi/tim-viec-lam/truong-phong-ky-thuat.35C659B0.html","Xem chi tiết")</f>
        <v/>
      </c>
      <c r="M8588" s="10" t="n"/>
    </row>
    <row r="8589">
      <c r="B8589" s="7" t="n">
        <v>8587</v>
      </c>
      <c r="C8589" t="inlineStr">
        <is>
          <t>Chuyên viên kinh doanh (Mảng cho thuê)</t>
        </is>
      </c>
      <c r="D8589" t="inlineStr">
        <is>
          <t>Công Ty CP Đầu Tư IMG</t>
        </is>
      </c>
      <c r="E8589" t="inlineStr">
        <is>
          <t>Lương:15 Tr - 18 Tr VND</t>
        </is>
      </c>
      <c r="F8589" t="inlineStr">
        <is>
          <t>Hà Nội</t>
        </is>
      </c>
      <c r="G8589" t="inlineStr">
        <is>
          <t>14-04-2026</t>
        </is>
      </c>
      <c r="H8589" t="inlineStr">
        <is>
          <t>14/04/2026</t>
        </is>
      </c>
      <c r="I8589" t="inlineStr">
        <is>
          <t>17/03/2026</t>
        </is>
      </c>
      <c r="J8589" t="inlineStr">
        <is>
          <t>Tiếp thị / Marketing, Bán hàng / Kinh doanh, Bất động sản</t>
        </is>
      </c>
      <c r="K8589" t="inlineStr">
        <is>
          <t>Trên 3 Năm</t>
        </is>
      </c>
      <c r="L8589" s="8">
        <f>HYPERLINK("https://careerviet.vn/vi/tim-viec-lam/chuyen-vien-kinh-doanh-mang-cho-thue.35C65909.html","Xem chi tiết")</f>
        <v/>
      </c>
    </row>
    <row r="8590">
      <c r="B8590" s="9" t="n">
        <v>8588</v>
      </c>
      <c r="C8590" s="10" t="inlineStr">
        <is>
          <t>Nhân viên bán hàng tại Đà Nẵng</t>
        </is>
      </c>
      <c r="D8590" s="10" t="inlineStr">
        <is>
          <t>HMK Eyewear</t>
        </is>
      </c>
      <c r="E8590" s="10" t="inlineStr">
        <is>
          <t>Lương:8 Tr - 15 Tr VND</t>
        </is>
      </c>
      <c r="F8590" s="10" t="inlineStr">
        <is>
          <t>Đà Nẵng</t>
        </is>
      </c>
      <c r="G8590" s="10" t="inlineStr">
        <is>
          <t>14-04-2026</t>
        </is>
      </c>
      <c r="H8590" s="10" t="inlineStr">
        <is>
          <t>14/04/2026</t>
        </is>
      </c>
      <c r="I8590" s="10" t="inlineStr">
        <is>
          <t>17/03/2026</t>
        </is>
      </c>
      <c r="J8590" s="10" t="inlineStr">
        <is>
          <t>Tiếp thị / Marketing, Bán lẻ / Bán sỉ, Bán hàng / Kinh doanh</t>
        </is>
      </c>
      <c r="K8590" s="10" t="inlineStr">
        <is>
          <t>Chưa có kinh nghiệm</t>
        </is>
      </c>
      <c r="L8590" s="11">
        <f>HYPERLINK("https://careerviet.vn/vi/tim-viec-lam/nhan-vien-ban-hang-tai-da-nang.35C65875.html","Xem chi tiết")</f>
        <v/>
      </c>
      <c r="M8590" s="10" t="n"/>
    </row>
    <row r="8591">
      <c r="B8591" s="7" t="n">
        <v>8589</v>
      </c>
      <c r="C8591" t="inlineStr">
        <is>
          <t>Trưởng phòng nhân sự</t>
        </is>
      </c>
      <c r="D8591" t="inlineStr">
        <is>
          <t>CÔNG TY CỔ PHẦN ĐIỆN TỬ  SOJI</t>
        </is>
      </c>
      <c r="E8591" t="inlineStr">
        <is>
          <t>Lương:Cạnh tranh</t>
        </is>
      </c>
      <c r="F8591" t="inlineStr">
        <is>
          <t>Hà Nội</t>
        </is>
      </c>
      <c r="G8591" t="inlineStr">
        <is>
          <t>14-04-2026</t>
        </is>
      </c>
      <c r="H8591" t="inlineStr">
        <is>
          <t>14/04/2026</t>
        </is>
      </c>
      <c r="I8591" t="inlineStr">
        <is>
          <t>17/03/2026</t>
        </is>
      </c>
      <c r="J8591" t="inlineStr">
        <is>
          <t>Quản lý điều hành, Nhân sự</t>
        </is>
      </c>
      <c r="K8591" t="inlineStr">
        <is>
          <t>3 - 5 Năm</t>
        </is>
      </c>
      <c r="L8591" s="8">
        <f>HYPERLINK("https://careerviet.vn/vi/tim-viec-lam/truong-phong-nhan-su.35C65978.html","Xem chi tiết")</f>
        <v/>
      </c>
    </row>
    <row r="8592">
      <c r="B8592" s="9" t="n">
        <v>8590</v>
      </c>
      <c r="C8592" s="10" t="inlineStr">
        <is>
          <t>Nhân viên hỗ trợ khối Doanh nghiệp</t>
        </is>
      </c>
      <c r="D8592" s="10" t="inlineStr">
        <is>
          <t>Chương trình Học viện Công nghệ BKACAD</t>
        </is>
      </c>
      <c r="E8592" s="10" t="inlineStr">
        <is>
          <t>Lương:10 Tr - 15 Tr VND</t>
        </is>
      </c>
      <c r="F8592" s="10" t="inlineStr">
        <is>
          <t>Hà Nội</t>
        </is>
      </c>
      <c r="G8592" s="10" t="inlineStr">
        <is>
          <t>14-04-2026</t>
        </is>
      </c>
      <c r="H8592" s="10" t="inlineStr">
        <is>
          <t>14/04/2026</t>
        </is>
      </c>
      <c r="I8592" s="10" t="inlineStr">
        <is>
          <t>17/03/2026</t>
        </is>
      </c>
      <c r="J8592" s="10" t="inlineStr">
        <is>
          <t>Dịch vụ khách hàng, Hành chính / Thư ký, Giáo dục / Đào tạo</t>
        </is>
      </c>
      <c r="K8592" s="10" t="inlineStr">
        <is>
          <t>1 - 3 Năm</t>
        </is>
      </c>
      <c r="L8592" s="11">
        <f>HYPERLINK("https://careerviet.vn/vi/tim-viec-lam/nhan-vien-ho-tro-khoi-doanh-nghiep.35C658B2.html","Xem chi tiết")</f>
        <v/>
      </c>
      <c r="M8592" s="10" t="n"/>
    </row>
    <row r="8593">
      <c r="B8593" s="7" t="n">
        <v>8591</v>
      </c>
      <c r="C8593" t="inlineStr">
        <is>
          <t>Kỹ sư PE (tiếng Trung)(Mới)</t>
        </is>
      </c>
      <c r="D8593" t="inlineStr">
        <is>
          <t>CÔNG TY TNHH QISDA VIỆT NAM</t>
        </is>
      </c>
      <c r="E8593" t="inlineStr">
        <is>
          <t>Lương:Cạnh tranh</t>
        </is>
      </c>
      <c r="F8593" t="inlineStr">
        <is>
          <t>Hà Nam</t>
        </is>
      </c>
      <c r="G8593" t="inlineStr">
        <is>
          <t>17-04-2026</t>
        </is>
      </c>
      <c r="H8593" t="inlineStr">
        <is>
          <t>17/04/2026</t>
        </is>
      </c>
      <c r="I8593" t="inlineStr">
        <is>
          <t>17/03/2026</t>
        </is>
      </c>
      <c r="J8593" t="inlineStr">
        <is>
          <t>Điện / Điện tử / Điện lạnh / Điện công nghiệp</t>
        </is>
      </c>
      <c r="K8593" t="inlineStr">
        <is>
          <t>2 - 3 Năm</t>
        </is>
      </c>
      <c r="L8593" s="8">
        <f>HYPERLINK("https://careerviet.vn/vi/tim-viec-lam/ky-su-pe-tieng-trung.35C6CA3F.html","Xem chi tiết")</f>
        <v/>
      </c>
    </row>
    <row r="8594">
      <c r="B8594" s="9" t="n">
        <v>8592</v>
      </c>
      <c r="C8594" s="10" t="inlineStr">
        <is>
          <t>[Bình Hòa Bình Dương] Admin kiêm CSKH</t>
        </is>
      </c>
      <c r="D8594" s="10" t="inlineStr">
        <is>
          <t>Công Ty Cổ Phần Vacxin Việt Nam</t>
        </is>
      </c>
      <c r="E8594" s="10" t="inlineStr">
        <is>
          <t>Lương:Cạnh tranh</t>
        </is>
      </c>
      <c r="F8594" s="10" t="inlineStr">
        <is>
          <t>Bình Dương</t>
        </is>
      </c>
      <c r="G8594" s="10" t="inlineStr">
        <is>
          <t>14-04-2026</t>
        </is>
      </c>
      <c r="H8594" s="10" t="inlineStr">
        <is>
          <t>14/04/2026</t>
        </is>
      </c>
      <c r="I8594" s="10" t="inlineStr">
        <is>
          <t>17/03/2026</t>
        </is>
      </c>
      <c r="J8594" s="10" t="inlineStr">
        <is>
          <t>Dịch vụ khách hàng, Hành chính / Thư ký, Kế toán / Kiểm toán</t>
        </is>
      </c>
      <c r="K8594" s="10" t="inlineStr">
        <is>
          <t>1 - 3 Năm</t>
        </is>
      </c>
      <c r="L8594" s="11">
        <f>HYPERLINK("https://careerviet.vn/vi/tim-viec-lam/binh-hoa-binh-duong-admin-kiem-cskh.35C6587E.html","Xem chi tiết")</f>
        <v/>
      </c>
      <c r="M8594" s="10" t="n"/>
    </row>
    <row r="8595">
      <c r="B8595" s="7" t="n">
        <v>8593</v>
      </c>
      <c r="C8595" t="inlineStr">
        <is>
          <t>Kỹ Sư Dự Toán Đấu Thầu MEP</t>
        </is>
      </c>
      <c r="D8595" t="inlineStr">
        <is>
          <t>CÔNG TY CỔ PHẦN SEAREFICO</t>
        </is>
      </c>
      <c r="E8595" t="inlineStr">
        <is>
          <t>Lương:15 Tr - 20 Tr VND</t>
        </is>
      </c>
      <c r="F8595" t="inlineStr">
        <is>
          <t>Hồ Chí MinhHà Nội</t>
        </is>
      </c>
      <c r="G8595" t="inlineStr">
        <is>
          <t>14-04-2026</t>
        </is>
      </c>
      <c r="H8595" t="inlineStr">
        <is>
          <t>14/04/2026</t>
        </is>
      </c>
      <c r="I8595" t="inlineStr">
        <is>
          <t>17/03/2026</t>
        </is>
      </c>
      <c r="J8595" t="inlineStr">
        <is>
          <t>Điện / Điện tử / Điện lạnh / Điện công nghiệp</t>
        </is>
      </c>
      <c r="K8595" t="inlineStr">
        <is>
          <t>2 - 5 Năm</t>
        </is>
      </c>
      <c r="L8595" s="8">
        <f>HYPERLINK("https://careerviet.vn/vi/tim-viec-lam/ky-su-du-toan-dau-thau-mep.35C6586C.html","Xem chi tiết")</f>
        <v/>
      </c>
    </row>
    <row r="8596">
      <c r="B8596" s="9" t="n">
        <v>8594</v>
      </c>
      <c r="C8596" s="10" t="inlineStr">
        <is>
          <t>Phó quản lý nhà hàng Bbq Chicken</t>
        </is>
      </c>
      <c r="D8596" s="10" t="inlineStr">
        <is>
          <t>CÔNG TY TNHH BBQ VIỆT NAM</t>
        </is>
      </c>
      <c r="E8596" s="10" t="inlineStr">
        <is>
          <t>Lương:13 Tr - 14 Tr VND</t>
        </is>
      </c>
      <c r="F8596" s="10" t="inlineStr">
        <is>
          <t>Hà Nội</t>
        </is>
      </c>
      <c r="G8596" s="10" t="inlineStr">
        <is>
          <t>14-04-2026</t>
        </is>
      </c>
      <c r="H8596" s="10" t="inlineStr">
        <is>
          <t>14/04/2026</t>
        </is>
      </c>
      <c r="I8596" s="10" t="inlineStr">
        <is>
          <t>17/03/2026</t>
        </is>
      </c>
      <c r="J8596" s="10" t="inlineStr">
        <is>
          <t>Nhà hàng / Khách sạn</t>
        </is>
      </c>
      <c r="K8596" s="10" t="inlineStr">
        <is>
          <t>1 - 2 Năm</t>
        </is>
      </c>
      <c r="L8596" s="11">
        <f>HYPERLINK("https://careerviet.vn/vi/tim-viec-lam/pho-quan-ly-nha-hang-bbq-chicken.35C6580A.html","Xem chi tiết")</f>
        <v/>
      </c>
      <c r="M8596" s="10" t="n"/>
    </row>
    <row r="8597">
      <c r="B8597" s="7" t="n">
        <v>8595</v>
      </c>
      <c r="C8597" t="inlineStr">
        <is>
          <t>Phó Giám Đốc Nhà Máy Dược(Mới)</t>
        </is>
      </c>
      <c r="D8597" t="inlineStr">
        <is>
          <t>Công ty TNHH Bình Việt Đức (BIVID)</t>
        </is>
      </c>
      <c r="E8597" t="inlineStr">
        <is>
          <t>Lương:Cạnh tranh</t>
        </is>
      </c>
      <c r="F8597" t="inlineStr">
        <is>
          <t>Hồ Chí Minh</t>
        </is>
      </c>
      <c r="G8597" t="inlineStr">
        <is>
          <t>15-04-2026</t>
        </is>
      </c>
      <c r="H8597" t="inlineStr">
        <is>
          <t>15/04/2026</t>
        </is>
      </c>
      <c r="I8597" t="inlineStr">
        <is>
          <t>17/03/2026</t>
        </is>
      </c>
      <c r="J8597" t="inlineStr">
        <is>
          <t>Dược phẩm/ Hóa Mỹ Phẩm</t>
        </is>
      </c>
      <c r="K8597" t="inlineStr">
        <is>
          <t>Trên 5 Năm</t>
        </is>
      </c>
      <c r="L8597" s="8">
        <f>HYPERLINK("https://careerviet.vn/vi/tim-viec-lam/pho-giam-doc-nha-may-duoc.35C6CA40.html","Xem chi tiết")</f>
        <v/>
      </c>
    </row>
    <row r="8598">
      <c r="B8598" s="9" t="n">
        <v>8596</v>
      </c>
      <c r="C8598" s="10" t="inlineStr">
        <is>
          <t>Quản lý dự án tiếng Nhật upto 3500 USD</t>
        </is>
      </c>
      <c r="D8598" s="10" t="inlineStr">
        <is>
          <t>CÔNG TY TNHH JOB HOUSE</t>
        </is>
      </c>
      <c r="E8598" s="10" t="inlineStr">
        <is>
          <t>Lương:2.500 - 3.500 USD</t>
        </is>
      </c>
      <c r="F8598" s="10" t="inlineStr">
        <is>
          <t>Đồng Nai</t>
        </is>
      </c>
      <c r="G8598" s="10" t="inlineStr">
        <is>
          <t>14-04-2026</t>
        </is>
      </c>
      <c r="H8598" s="10" t="inlineStr">
        <is>
          <t>14/04/2026</t>
        </is>
      </c>
      <c r="I8598" s="10" t="inlineStr">
        <is>
          <t>17/03/2026</t>
        </is>
      </c>
      <c r="J8598" s="10" t="inlineStr">
        <is>
          <t>Cơ khí / Ô tô / Tự động hóa, Sản xuất / Vận hành sản xuất</t>
        </is>
      </c>
      <c r="K8598" s="10" t="inlineStr">
        <is>
          <t>Trên 3 Năm</t>
        </is>
      </c>
      <c r="L8598" s="11">
        <f>HYPERLINK("https://careerviet.vn/vi/tim-viec-lam/quan-ly-du-an-tieng-nhat-upto-3500-usd.35C65862.html","Xem chi tiết")</f>
        <v/>
      </c>
      <c r="M8598" s="10" t="n"/>
    </row>
    <row r="8599">
      <c r="B8599" s="7" t="n">
        <v>8597</v>
      </c>
      <c r="C8599" t="inlineStr">
        <is>
          <t>Trưởng Nhóm Concept Kiến Trúc</t>
        </is>
      </c>
      <c r="D8599" t="inlineStr">
        <is>
          <t>CÔNG TY CỔ PHẦN THIẾT KẾ &amp; XÂY DỰNG BISCONS VIỆT NAM</t>
        </is>
      </c>
      <c r="E8599" t="inlineStr">
        <is>
          <t>Lương:25 Tr - 40 Tr VND</t>
        </is>
      </c>
      <c r="F8599" t="inlineStr">
        <is>
          <t>Hà NộiHồ Chí Minh</t>
        </is>
      </c>
      <c r="G8599" t="inlineStr">
        <is>
          <t>14-04-2026</t>
        </is>
      </c>
      <c r="H8599" t="inlineStr">
        <is>
          <t>14/04/2026</t>
        </is>
      </c>
      <c r="I8599" t="inlineStr">
        <is>
          <t>17/03/2026</t>
        </is>
      </c>
      <c r="J8599" t="inlineStr">
        <is>
          <t>Mỹ thuật / Nghệ thuật / Thiết kế, Kiến trúc, Xây dựng</t>
        </is>
      </c>
      <c r="K8599" t="inlineStr">
        <is>
          <t>2 - 5 Năm</t>
        </is>
      </c>
      <c r="L8599" s="8">
        <f>HYPERLINK("https://careerviet.vn/vi/tim-viec-lam/truong-nhom-concept-kien-truc.35C6583D.html","Xem chi tiết")</f>
        <v/>
      </c>
    </row>
    <row r="8600">
      <c r="B8600" s="9" t="n">
        <v>8598</v>
      </c>
      <c r="C8600" s="10" t="inlineStr">
        <is>
          <t>Nhân viên Telesales Kênh Nhà máy, OEM</t>
        </is>
      </c>
      <c r="D8600" s="10" t="inlineStr">
        <is>
          <t>CÔNG TY CỔ PHẦN PHÁT TRIỂN CƠ ĐIỆN LẠNH HOÀNG ĐẠT</t>
        </is>
      </c>
      <c r="E8600" s="10" t="inlineStr">
        <is>
          <t>Lương:15 Tr - 25 Tr VND</t>
        </is>
      </c>
      <c r="F8600" s="10" t="inlineStr">
        <is>
          <t>Hà Nội</t>
        </is>
      </c>
      <c r="G8600" s="10" t="inlineStr">
        <is>
          <t>14-04-2026</t>
        </is>
      </c>
      <c r="H8600" s="10" t="inlineStr">
        <is>
          <t>14/04/2026</t>
        </is>
      </c>
      <c r="I8600" s="10" t="inlineStr">
        <is>
          <t>17/03/2026</t>
        </is>
      </c>
      <c r="J8600" s="10" t="inlineStr">
        <is>
          <t>Bán hàng / Kinh doanh</t>
        </is>
      </c>
      <c r="K8600" s="10" t="inlineStr">
        <is>
          <t>2 - 3 Năm</t>
        </is>
      </c>
      <c r="L8600" s="11">
        <f>HYPERLINK("https://careerviet.vn/vi/tim-viec-lam/nhan-vien-telesales-kenh-nha-may-oem.35C658D0.html","Xem chi tiết")</f>
        <v/>
      </c>
      <c r="M8600" s="10" t="n"/>
    </row>
    <row r="8601">
      <c r="B8601" s="7" t="n">
        <v>8599</v>
      </c>
      <c r="C8601" t="inlineStr">
        <is>
          <t>Nhân viên Thị trường -  Khu vực Tây Ninh</t>
        </is>
      </c>
      <c r="D8601" t="inlineStr">
        <is>
          <t>CÔNG TY CỔ PHẦN DÂY CÁP ĐIỆN VIỆT NAM - CADIVI</t>
        </is>
      </c>
      <c r="E8601" t="inlineStr">
        <is>
          <t>Lương:Cạnh tranh</t>
        </is>
      </c>
      <c r="F8601" t="inlineStr">
        <is>
          <t>Tây Ninh</t>
        </is>
      </c>
      <c r="G8601" t="inlineStr">
        <is>
          <t>14-04-2026</t>
        </is>
      </c>
      <c r="H8601" t="inlineStr">
        <is>
          <t>14/04/2026</t>
        </is>
      </c>
      <c r="I8601" t="inlineStr">
        <is>
          <t>17/03/2026</t>
        </is>
      </c>
      <c r="J8601" t="inlineStr">
        <is>
          <t>Tiếp thị / Marketing, Bán hàng / Kinh doanh</t>
        </is>
      </c>
      <c r="K8601" t="inlineStr">
        <is>
          <t>5 - 6 Năm</t>
        </is>
      </c>
      <c r="L8601" s="8">
        <f>HYPERLINK("https://careerviet.vn/vi/tim-viec-lam/nhan-vien-thi-truong-khu-vuc-tay-ninh.35C68A0A.html","Xem chi tiết")</f>
        <v/>
      </c>
    </row>
    <row r="8602">
      <c r="B8602" s="9" t="n">
        <v>8600</v>
      </c>
      <c r="C8602" s="10" t="inlineStr">
        <is>
          <t>Marketing Executive – Trade &amp; Event</t>
        </is>
      </c>
      <c r="D8602" s="10" t="inlineStr">
        <is>
          <t>Trung tâm Thương mại SC VivoCity</t>
        </is>
      </c>
      <c r="E8602" s="10" t="inlineStr">
        <is>
          <t>Lương:Trên 18 Tr VND</t>
        </is>
      </c>
      <c r="F8602" s="10" t="inlineStr">
        <is>
          <t>Hồ Chí Minh</t>
        </is>
      </c>
      <c r="G8602" s="10" t="inlineStr">
        <is>
          <t>14-04-2026</t>
        </is>
      </c>
      <c r="H8602" s="10" t="inlineStr">
        <is>
          <t>14/04/2026</t>
        </is>
      </c>
      <c r="I8602" s="10" t="inlineStr">
        <is>
          <t>17/03/2026</t>
        </is>
      </c>
      <c r="J8602" s="10" t="inlineStr">
        <is>
          <t>Tiếp thị / Marketing, Bán lẻ / Bán sỉ, Tổ chức sự kiện</t>
        </is>
      </c>
      <c r="K8602" s="10" t="inlineStr">
        <is>
          <t>4 - 5 Năm</t>
        </is>
      </c>
      <c r="L8602" s="11">
        <f>HYPERLINK("https://careerviet.vn/vi/tim-viec-lam/marketing-executive-trade-event.35C659D5.html","Xem chi tiết")</f>
        <v/>
      </c>
      <c r="M8602" s="10" t="n"/>
    </row>
    <row r="8603">
      <c r="B8603" s="7" t="n">
        <v>8601</v>
      </c>
      <c r="C8603" t="inlineStr">
        <is>
          <t>Kỹ sư thiết kế Điện (không yc kinh nghiệm)</t>
        </is>
      </c>
      <c r="D8603" t="inlineStr">
        <is>
          <t>Công ty cổ phần Xây dựng Công trình IPC</t>
        </is>
      </c>
      <c r="E8603" t="inlineStr">
        <is>
          <t>Lương:12 Tr - 25 Tr VND</t>
        </is>
      </c>
      <c r="F8603" t="inlineStr">
        <is>
          <t>Hà Nội</t>
        </is>
      </c>
      <c r="G8603" t="inlineStr">
        <is>
          <t>14-04-2026</t>
        </is>
      </c>
      <c r="H8603" t="inlineStr">
        <is>
          <t>14/04/2026</t>
        </is>
      </c>
      <c r="I8603" t="inlineStr">
        <is>
          <t>17/03/2026</t>
        </is>
      </c>
      <c r="J8603" t="inlineStr">
        <is>
          <t>Cơ khí / Ô tô / Tự động hóa, Điện / Điện tử / Điện lạnh / Điện công nghiệp, Xây dựng</t>
        </is>
      </c>
      <c r="K8603" t="inlineStr">
        <is>
          <t>N/A</t>
        </is>
      </c>
      <c r="L8603" s="8">
        <f>HYPERLINK("https://careerviet.vn/vi/tim-viec-lam/ky-su-thiet-ke-dien-khong-yc-kinh-nghiem.35C65913.html","Xem chi tiết")</f>
        <v/>
      </c>
    </row>
    <row r="8604">
      <c r="B8604" s="9" t="n">
        <v>8602</v>
      </c>
      <c r="C8604" s="10" t="inlineStr">
        <is>
          <t>Chuyên viên kinh doanh</t>
        </is>
      </c>
      <c r="D8604" s="10" t="inlineStr">
        <is>
          <t>Công ty Cổ phần FECON</t>
        </is>
      </c>
      <c r="E8604" s="10" t="inlineStr">
        <is>
          <t>Lương:Cạnh tranh</t>
        </is>
      </c>
      <c r="F8604" s="10" t="inlineStr">
        <is>
          <t>Hà Nội</t>
        </is>
      </c>
      <c r="G8604" s="10" t="inlineStr">
        <is>
          <t>14-04-2026</t>
        </is>
      </c>
      <c r="H8604" s="10" t="inlineStr">
        <is>
          <t>14/04/2026</t>
        </is>
      </c>
      <c r="I8604" s="10" t="inlineStr">
        <is>
          <t>17/03/2026</t>
        </is>
      </c>
      <c r="J8604" s="10" t="inlineStr">
        <is>
          <t>Xây dựng</t>
        </is>
      </c>
      <c r="K8604" s="10" t="inlineStr">
        <is>
          <t>null - null Năm</t>
        </is>
      </c>
      <c r="L8604" s="11">
        <f>HYPERLINK("https://careerviet.vn/vi/tim-viec-lam/chuyen-vien-kinh-doanh.35C68ADD.html","Xem chi tiết")</f>
        <v/>
      </c>
      <c r="M8604" s="10" t="n"/>
    </row>
    <row r="8605">
      <c r="B8605" s="7" t="n">
        <v>8603</v>
      </c>
      <c r="C8605" t="inlineStr">
        <is>
          <t>Merchandiser (Quản lý đơn hàng bán)</t>
        </is>
      </c>
      <c r="D8605" t="inlineStr">
        <is>
          <t>CÔNG TY TNHH THƯƠNG MẠI - DỊCH VỤ - SẢN XUẤT THỜI TRANG THANH HÀ H.A</t>
        </is>
      </c>
      <c r="E8605" t="inlineStr">
        <is>
          <t>Lương:10 Tr - 20 Tr VND</t>
        </is>
      </c>
      <c r="F8605" t="inlineStr">
        <is>
          <t>Hà Nội</t>
        </is>
      </c>
      <c r="G8605" t="inlineStr">
        <is>
          <t>14-04-2026</t>
        </is>
      </c>
      <c r="H8605" t="inlineStr">
        <is>
          <t>14/04/2026</t>
        </is>
      </c>
      <c r="I8605" t="inlineStr">
        <is>
          <t>17/03/2026</t>
        </is>
      </c>
      <c r="J8605" t="inlineStr">
        <is>
          <t>Dệt may / Da giày / Thời trang</t>
        </is>
      </c>
      <c r="K8605" t="inlineStr">
        <is>
          <t>1 - 2 Năm</t>
        </is>
      </c>
      <c r="L8605" s="8">
        <f>HYPERLINK("https://careerviet.vn/vi/tim-viec-lam/merchandiser-quan-ly-don-hang-ban.35C68B28.html","Xem chi tiết")</f>
        <v/>
      </c>
    </row>
    <row r="8606">
      <c r="B8606" s="9" t="n">
        <v>8604</v>
      </c>
      <c r="C8606" s="10" t="inlineStr">
        <is>
          <t>Nhân viên Maketing Support (Night Shift)</t>
        </is>
      </c>
      <c r="D8606" s="10" t="inlineStr">
        <is>
          <t>CÔNG TY TNHH RICH PAY TEK</t>
        </is>
      </c>
      <c r="E8606" s="10" t="inlineStr">
        <is>
          <t>Lương:10 Tr - 14 Tr VND</t>
        </is>
      </c>
      <c r="F8606" s="10" t="inlineStr">
        <is>
          <t>Hồ Chí Minh</t>
        </is>
      </c>
      <c r="G8606" s="10" t="inlineStr">
        <is>
          <t>14-04-2026</t>
        </is>
      </c>
      <c r="H8606" s="10" t="inlineStr">
        <is>
          <t>14/04/2026</t>
        </is>
      </c>
      <c r="I8606" s="10" t="inlineStr">
        <is>
          <t>17/03/2026</t>
        </is>
      </c>
      <c r="J8606" s="10" t="inlineStr">
        <is>
          <t>Tiếp thị / Marketing</t>
        </is>
      </c>
      <c r="K8606" s="10" t="inlineStr">
        <is>
          <t>1 - 2 Năm</t>
        </is>
      </c>
      <c r="L8606" s="11">
        <f>HYPERLINK("https://careerviet.vn/vi/tim-viec-lam/nhan-vien-maketing-support-night-shift.35C65886.html","Xem chi tiết")</f>
        <v/>
      </c>
      <c r="M8606" s="10" t="n"/>
    </row>
    <row r="8607">
      <c r="B8607" s="7" t="n">
        <v>8605</v>
      </c>
      <c r="C8607" t="inlineStr">
        <is>
          <t>TRƯỞNG NHÓM KINH DOANH - SÀNG LỌC SƠ SINH</t>
        </is>
      </c>
      <c r="D8607" t="inlineStr">
        <is>
          <t>Công ty TNHH Thiết bị Khoa học Kỹ thuật Việt Huy</t>
        </is>
      </c>
      <c r="E8607" t="inlineStr">
        <is>
          <t>Lương:Cạnh tranh</t>
        </is>
      </c>
      <c r="F8607" t="inlineStr">
        <is>
          <t>Hồ Chí MinhHà Nội</t>
        </is>
      </c>
      <c r="G8607" t="inlineStr">
        <is>
          <t>14-04-2026</t>
        </is>
      </c>
      <c r="H8607" t="inlineStr">
        <is>
          <t>14/04/2026</t>
        </is>
      </c>
      <c r="I8607" t="inlineStr">
        <is>
          <t>17/03/2026</t>
        </is>
      </c>
      <c r="J8607" t="inlineStr">
        <is>
          <t>Bán hàng / Kinh doanh, Y tế / Chăm sóc sức khỏe / Thẩm mỹ / Làm đẹp, Công nghệ sinh học</t>
        </is>
      </c>
      <c r="K8607" t="inlineStr">
        <is>
          <t>3 - 5 Năm</t>
        </is>
      </c>
      <c r="L8607" s="8">
        <f>HYPERLINK("https://careerviet.vn/vi/tim-viec-lam/truong-nhom-kinh-doanh-sang-loc-so-sinh.35C68A56.html","Xem chi tiết")</f>
        <v/>
      </c>
    </row>
    <row r="8608">
      <c r="B8608" s="9" t="n">
        <v>8606</v>
      </c>
      <c r="C8608" s="10" t="inlineStr">
        <is>
          <t>Nhân viên kinh doanh</t>
        </is>
      </c>
      <c r="D8608" s="10" t="inlineStr">
        <is>
          <t>Srithai Viet Nam Co., Ltd</t>
        </is>
      </c>
      <c r="E8608" s="10" t="inlineStr">
        <is>
          <t>Lương:20 Tr - 50 Tr VND</t>
        </is>
      </c>
      <c r="F8608" s="10" t="inlineStr">
        <is>
          <t>Bình DươngHồ Chí Minh</t>
        </is>
      </c>
      <c r="G8608" s="10" t="inlineStr">
        <is>
          <t>14-04-2026</t>
        </is>
      </c>
      <c r="H8608" s="10" t="inlineStr">
        <is>
          <t>14/04/2026</t>
        </is>
      </c>
      <c r="I8608" s="10" t="inlineStr">
        <is>
          <t>17/03/2026</t>
        </is>
      </c>
      <c r="J8608" s="10" t="inlineStr">
        <is>
          <t>Bán lẻ / Bán sỉ, Bán hàng / Kinh doanh, Thương mại điện tử</t>
        </is>
      </c>
      <c r="K8608" s="10" t="inlineStr">
        <is>
          <t>1 - 2 Năm</t>
        </is>
      </c>
      <c r="L8608" s="11">
        <f>HYPERLINK("https://careerviet.vn/vi/tim-viec-lam/nhan-vien-kinh-doanh.35C689A0.html","Xem chi tiết")</f>
        <v/>
      </c>
      <c r="M8608" s="10" t="n"/>
    </row>
    <row r="8609">
      <c r="B8609" s="7" t="n">
        <v>8607</v>
      </c>
      <c r="C8609" t="inlineStr">
        <is>
          <t>Giám đốc phòng Khách hàng Cá nhân - Khu vực Hóc Môn, TP. HCM</t>
        </is>
      </c>
      <c r="D8609" t="inlineStr">
        <is>
          <t>Ngân hàng TMCP Việt Á – VietABank</t>
        </is>
      </c>
      <c r="E8609" t="inlineStr">
        <is>
          <t>Lương:Cạnh tranh</t>
        </is>
      </c>
      <c r="F8609" t="inlineStr">
        <is>
          <t>Hồ Chí Minh</t>
        </is>
      </c>
      <c r="G8609" t="inlineStr">
        <is>
          <t>14-04-2026</t>
        </is>
      </c>
      <c r="H8609" t="inlineStr">
        <is>
          <t>14/04/2026</t>
        </is>
      </c>
      <c r="I8609" t="inlineStr">
        <is>
          <t>17/03/2026</t>
        </is>
      </c>
      <c r="J8609" t="inlineStr">
        <is>
          <t>Ngân hàng, Tài chính / Đầu tư, Bất động sản</t>
        </is>
      </c>
      <c r="K8609" t="inlineStr">
        <is>
          <t>1 - 3 Năm</t>
        </is>
      </c>
      <c r="L8609" s="8">
        <f>HYPERLINK("https://careerviet.vn/vi/tim-viec-lam/giam-doc-phong-khach-hang-ca-nhan-khu-vuc-hoc-mon-tp-hcm.35C68970.html","Xem chi tiết")</f>
        <v/>
      </c>
    </row>
    <row r="8610">
      <c r="B8610" s="9" t="n">
        <v>8608</v>
      </c>
      <c r="C8610" s="10" t="inlineStr">
        <is>
          <t>Chuyên Viên Điện (Công Trình Nhiệt Điện &amp; Năng Lượng Tái Tạo)</t>
        </is>
      </c>
      <c r="D8610" s="10" t="inlineStr">
        <is>
          <t>Công ty cổ phần Tư vấn xây dựng điện 3</t>
        </is>
      </c>
      <c r="E8610" s="10" t="inlineStr">
        <is>
          <t>Lương:Cạnh tranh</t>
        </is>
      </c>
      <c r="F8610" s="10" t="inlineStr">
        <is>
          <t>Hồ Chí Minh</t>
        </is>
      </c>
      <c r="G8610" s="10" t="inlineStr">
        <is>
          <t>14-04-2026</t>
        </is>
      </c>
      <c r="H8610" s="10" t="inlineStr">
        <is>
          <t>14/04/2026</t>
        </is>
      </c>
      <c r="I8610" s="10" t="inlineStr">
        <is>
          <t>17/03/2026</t>
        </is>
      </c>
      <c r="J8610" s="10" t="inlineStr">
        <is>
          <t>Điện / Điện tử / Điện lạnh / Điện công nghiệp</t>
        </is>
      </c>
      <c r="K8610" s="10" t="inlineStr">
        <is>
          <t>1 - 3 Năm</t>
        </is>
      </c>
      <c r="L8610" s="11">
        <f>HYPERLINK("https://careerviet.vn/vi/tim-viec-lam/chuyen-vien-dien-cong-trinh-nhiet-dien-nang-luong-tai-tao.35C68AC5.html","Xem chi tiết")</f>
        <v/>
      </c>
      <c r="M8610" s="10" t="n"/>
    </row>
    <row r="8611">
      <c r="B8611" s="7" t="n">
        <v>8609</v>
      </c>
      <c r="C8611" t="inlineStr">
        <is>
          <t>Kế Toán Công Nợ</t>
        </is>
      </c>
      <c r="D8611" t="inlineStr">
        <is>
          <t>Công Ty TNHH Trang Thiết Bị Nha Khoa</t>
        </is>
      </c>
      <c r="E8611" t="inlineStr">
        <is>
          <t>Lương:8 Tr - 14 Tr VND</t>
        </is>
      </c>
      <c r="F8611" t="inlineStr">
        <is>
          <t>Hồ Chí Minh</t>
        </is>
      </c>
      <c r="G8611" t="inlineStr">
        <is>
          <t>14-04-2026</t>
        </is>
      </c>
      <c r="H8611" t="inlineStr">
        <is>
          <t>14/04/2026</t>
        </is>
      </c>
      <c r="I8611" t="inlineStr">
        <is>
          <t>17/03/2026</t>
        </is>
      </c>
      <c r="J8611" t="inlineStr">
        <is>
          <t>Kế toán / Kiểm toán, Ngân hàng, Tài chính / Đầu tư</t>
        </is>
      </c>
      <c r="K8611" t="inlineStr">
        <is>
          <t>1 - 2 Năm</t>
        </is>
      </c>
      <c r="L8611" s="8">
        <f>HYPERLINK("https://careerviet.vn/vi/tim-viec-lam/ke-toan-cong-no.35C659D1.html","Xem chi tiết")</f>
        <v/>
      </c>
    </row>
    <row r="8612">
      <c r="B8612" s="9" t="n">
        <v>8610</v>
      </c>
      <c r="C8612" s="10" t="inlineStr">
        <is>
          <t>Marketing Supervisor / Giám Sát Marketing</t>
        </is>
      </c>
      <c r="D8612" s="10" t="inlineStr">
        <is>
          <t>CÔNG TY CỔ PHẦN GREEN SPEED</t>
        </is>
      </c>
      <c r="E8612" s="10" t="inlineStr">
        <is>
          <t>Lương:18 Tr - 20 Tr VND</t>
        </is>
      </c>
      <c r="F8612" s="10" t="inlineStr">
        <is>
          <t>Hồ Chí Minh</t>
        </is>
      </c>
      <c r="G8612" s="10" t="inlineStr">
        <is>
          <t>14-04-2026</t>
        </is>
      </c>
      <c r="H8612" s="10" t="inlineStr">
        <is>
          <t>14/04/2026</t>
        </is>
      </c>
      <c r="I8612" s="10" t="inlineStr">
        <is>
          <t>17/03/2026</t>
        </is>
      </c>
      <c r="J8612" s="10" t="inlineStr">
        <is>
          <t>Tiếp thị / Marketing, Bán hàng / Kinh doanh, Thương mại điện tử</t>
        </is>
      </c>
      <c r="K8612" s="10" t="inlineStr">
        <is>
          <t>3 - 5 Năm</t>
        </is>
      </c>
      <c r="L8612" s="11">
        <f>HYPERLINK("https://careerviet.vn/vi/tim-viec-lam/marketing-supervisor-giam-sat-marketing.35C6595E.html","Xem chi tiết")</f>
        <v/>
      </c>
      <c r="M8612" s="10" t="n"/>
    </row>
    <row r="8613">
      <c r="B8613" s="7" t="n">
        <v>8611</v>
      </c>
      <c r="C8613" t="inlineStr">
        <is>
          <t>Chuyên viên Đấu thầu MEP</t>
        </is>
      </c>
      <c r="D8613" t="inlineStr">
        <is>
          <t>CÔNG TY CỔ PHẦN TẬP ĐOÀN ONSEN FUJI</t>
        </is>
      </c>
      <c r="E8613" t="inlineStr">
        <is>
          <t>Lương:22 Tr - 30 Tr VND</t>
        </is>
      </c>
      <c r="F8613" t="inlineStr">
        <is>
          <t>Hà Nội</t>
        </is>
      </c>
      <c r="G8613" t="inlineStr">
        <is>
          <t>14-04-2026</t>
        </is>
      </c>
      <c r="H8613" t="inlineStr">
        <is>
          <t>14/04/2026</t>
        </is>
      </c>
      <c r="I8613" t="inlineStr">
        <is>
          <t>17/03/2026</t>
        </is>
      </c>
      <c r="J8613" t="inlineStr">
        <is>
          <t>Điện / Điện tử / Điện lạnh / Điện công nghiệp, Bất động sản, Xây dựng</t>
        </is>
      </c>
      <c r="K8613" t="inlineStr">
        <is>
          <t>3 - 5 Năm</t>
        </is>
      </c>
      <c r="L8613" s="8">
        <f>HYPERLINK("https://careerviet.vn/vi/tim-viec-lam/chuyen-vien-dau-thau-mep.35C68974.html","Xem chi tiết")</f>
        <v/>
      </c>
    </row>
    <row r="8614">
      <c r="B8614" s="9" t="n">
        <v>8612</v>
      </c>
      <c r="C8614" s="10" t="inlineStr">
        <is>
          <t>KỸ THUẬT VIÊN  BẢO TRÌ [CỦ CHI]</t>
        </is>
      </c>
      <c r="D8614" s="10" t="inlineStr">
        <is>
          <t>CÔNG TY CP SAIGON AUTO SUPPORTING INDUSTRY</t>
        </is>
      </c>
      <c r="E8614" s="10" t="inlineStr">
        <is>
          <t>Lương:Cạnh tranh</t>
        </is>
      </c>
      <c r="F8614" s="10" t="inlineStr">
        <is>
          <t>Hồ Chí Minh</t>
        </is>
      </c>
      <c r="G8614" s="10" t="inlineStr">
        <is>
          <t>14-04-2026</t>
        </is>
      </c>
      <c r="H8614" s="10" t="inlineStr">
        <is>
          <t>14/04/2026</t>
        </is>
      </c>
      <c r="I8614" s="10" t="inlineStr">
        <is>
          <t>17/03/2026</t>
        </is>
      </c>
      <c r="J8614" s="10" t="inlineStr">
        <is>
          <t>Bảo trì / Sửa chữa, Cơ khí / Ô tô / Tự động hóa</t>
        </is>
      </c>
      <c r="K8614" s="10" t="inlineStr">
        <is>
          <t>0 - 0 Năm</t>
        </is>
      </c>
      <c r="L8614" s="11">
        <f>HYPERLINK("https://careerviet.vn/vi/tim-viec-lam/ky-thuat-vien-bao-tri-cu-chi.35C53417.html","Xem chi tiết")</f>
        <v/>
      </c>
      <c r="M8614" s="10" t="n"/>
    </row>
    <row r="8615">
      <c r="B8615" s="7" t="n">
        <v>8613</v>
      </c>
      <c r="C8615" t="inlineStr">
        <is>
          <t>PHIÊN DỊCH TIẾNG TRUNG - NHẬT (hoặc TRUNG - ANH)</t>
        </is>
      </c>
      <c r="D8615" t="inlineStr">
        <is>
          <t>Công ty TNHH Sài Gòn Stec</t>
        </is>
      </c>
      <c r="E8615" t="inlineStr">
        <is>
          <t>Lương:15 Tr - 20 Tr VND</t>
        </is>
      </c>
      <c r="F8615" t="inlineStr">
        <is>
          <t>Bình Dương</t>
        </is>
      </c>
      <c r="G8615" t="inlineStr">
        <is>
          <t>14-04-2026</t>
        </is>
      </c>
      <c r="H8615" t="inlineStr">
        <is>
          <t>14/04/2026</t>
        </is>
      </c>
      <c r="I8615" t="inlineStr">
        <is>
          <t>17/03/2026</t>
        </is>
      </c>
      <c r="J8615" t="inlineStr">
        <is>
          <t>Hành chính / Thư ký, Nhân sự, Biên phiên dịch</t>
        </is>
      </c>
      <c r="K8615" t="inlineStr">
        <is>
          <t>1 - 3 Năm</t>
        </is>
      </c>
      <c r="L8615" s="8">
        <f>HYPERLINK("https://careerviet.vn/vi/tim-viec-lam/phien-dich-tieng-trung-nhat-hoac-trung-anh.35C657F7.html","Xem chi tiết")</f>
        <v/>
      </c>
    </row>
    <row r="8616">
      <c r="B8616" s="9" t="n">
        <v>8614</v>
      </c>
      <c r="C8616" s="10" t="inlineStr">
        <is>
          <t>Chuyên Viên Đấu Thầu (Mảng Xây Dựng)</t>
        </is>
      </c>
      <c r="D8616" s="10" t="inlineStr">
        <is>
          <t>CÔNG TY CỔ PHẦN TẬP ĐOÀN ONSEN FUJI</t>
        </is>
      </c>
      <c r="E8616" s="10" t="inlineStr">
        <is>
          <t>Lương:22 Tr - 30 Tr VND</t>
        </is>
      </c>
      <c r="F8616" s="10" t="inlineStr">
        <is>
          <t>Hà Nội</t>
        </is>
      </c>
      <c r="G8616" s="10" t="inlineStr">
        <is>
          <t>14-04-2026</t>
        </is>
      </c>
      <c r="H8616" s="10" t="inlineStr">
        <is>
          <t>14/04/2026</t>
        </is>
      </c>
      <c r="I8616" s="10" t="inlineStr">
        <is>
          <t>17/03/2026</t>
        </is>
      </c>
      <c r="J8616" s="10" t="inlineStr">
        <is>
          <t>Xây dựng, Bất động sản, Ngành khác</t>
        </is>
      </c>
      <c r="K8616" s="10" t="inlineStr">
        <is>
          <t>2 - 3 Năm</t>
        </is>
      </c>
      <c r="L8616" s="11">
        <f>HYPERLINK("https://careerviet.vn/vi/tim-viec-lam/chuyen-vien-dau-thau-mang-xay-dung.35C68972.html","Xem chi tiết")</f>
        <v/>
      </c>
      <c r="M8616" s="10" t="n"/>
    </row>
    <row r="8617">
      <c r="B8617" s="7" t="n">
        <v>8615</v>
      </c>
      <c r="C8617" t="inlineStr">
        <is>
          <t>Chuyên Viên Tìm Kiếm và Phát Triển Mặt Bằng (Yên Bái)</t>
        </is>
      </c>
      <c r="D8617" t="inlineStr">
        <is>
          <t>Concung.com - Con Cung Joint Stock Company</t>
        </is>
      </c>
      <c r="E8617" t="inlineStr">
        <is>
          <t>Lương:25 Tr - 30 Tr VND</t>
        </is>
      </c>
      <c r="F8617" t="inlineStr">
        <is>
          <t>Sơn La</t>
        </is>
      </c>
      <c r="G8617" t="inlineStr">
        <is>
          <t>14-04-2026</t>
        </is>
      </c>
      <c r="H8617" t="inlineStr">
        <is>
          <t>14/04/2026</t>
        </is>
      </c>
      <c r="I8617" t="inlineStr">
        <is>
          <t>17/03/2026</t>
        </is>
      </c>
      <c r="J8617" t="inlineStr">
        <is>
          <t>Bán hàng / Kinh doanh, Bất động sản, Bán lẻ / Bán sỉ</t>
        </is>
      </c>
      <c r="K8617" t="inlineStr">
        <is>
          <t>N/A</t>
        </is>
      </c>
      <c r="L8617" s="8">
        <f>HYPERLINK("https://careerviet.vn/vi/tim-viec-lam/chuyen-vien-tim-kiem-va-phat-trien-mat-bang-yen-bai.35C6598C.html","Xem chi tiết")</f>
        <v/>
      </c>
    </row>
    <row r="8618">
      <c r="B8618" s="9" t="n">
        <v>8616</v>
      </c>
      <c r="C8618" s="10" t="inlineStr">
        <is>
          <t>Nhân Viên Content - Media Kênh Livestream Tiktok (Lương từ 8 - 12tr/tháng)</t>
        </is>
      </c>
      <c r="D8618" s="10" t="inlineStr">
        <is>
          <t>Công Ty TNHH XNK Cầu Nối Việt</t>
        </is>
      </c>
      <c r="E8618" s="10" t="inlineStr">
        <is>
          <t>Lương:8 Tr - 12 Tr VND</t>
        </is>
      </c>
      <c r="F8618" s="10" t="inlineStr">
        <is>
          <t>Hà Nội</t>
        </is>
      </c>
      <c r="G8618" s="10" t="inlineStr">
        <is>
          <t>14-04-2026</t>
        </is>
      </c>
      <c r="H8618" s="10" t="inlineStr">
        <is>
          <t>14/04/2026</t>
        </is>
      </c>
      <c r="I8618" s="10" t="inlineStr">
        <is>
          <t>17/03/2026</t>
        </is>
      </c>
      <c r="J8618" s="10" t="inlineStr">
        <is>
          <t>Tiếp thị trực tuyến, Tiếp thị / Marketing, Truyền hình / Báo chí / Biên tập</t>
        </is>
      </c>
      <c r="K8618" s="10" t="inlineStr">
        <is>
          <t>Chưa có kinh nghiệm</t>
        </is>
      </c>
      <c r="L8618" s="11">
        <f>HYPERLINK("https://careerviet.vn/vi/tim-viec-lam/nhan-vien-content-media-kenh-livestream-tiktok-luong-tu-8-12tr-thang.35C68AFA.html","Xem chi tiết")</f>
        <v/>
      </c>
      <c r="M8618" s="10" t="n"/>
    </row>
    <row r="8619">
      <c r="B8619" s="7" t="n">
        <v>8617</v>
      </c>
      <c r="C8619" t="inlineStr">
        <is>
          <t>Hồ Chí Minh - Trưởng Nhóm Bán Hàng Qua Điện Thoại</t>
        </is>
      </c>
      <c r="D8619" t="inlineStr">
        <is>
          <t>LOTTE FINANCE VIETNAM</t>
        </is>
      </c>
      <c r="E8619" t="inlineStr">
        <is>
          <t>Lương:Cạnh tranh</t>
        </is>
      </c>
      <c r="F8619" t="inlineStr">
        <is>
          <t>Hồ Chí Minh</t>
        </is>
      </c>
      <c r="G8619" t="inlineStr">
        <is>
          <t>14-04-2026</t>
        </is>
      </c>
      <c r="H8619" t="inlineStr">
        <is>
          <t>14/04/2026</t>
        </is>
      </c>
      <c r="I8619" t="inlineStr">
        <is>
          <t>17/03/2026</t>
        </is>
      </c>
      <c r="J8619" t="inlineStr">
        <is>
          <t>Ngân hàng, Bán hàng / Kinh doanh, Tài chính / Đầu tư</t>
        </is>
      </c>
      <c r="K8619" t="inlineStr">
        <is>
          <t>null - null Năm</t>
        </is>
      </c>
      <c r="L8619" s="8">
        <f>HYPERLINK("https://careerviet.vn/vi/tim-viec-lam/ho-chi-minh-truong-nhom-ban-hang-qua-dien-thoai.35C689C8.html","Xem chi tiết")</f>
        <v/>
      </c>
    </row>
    <row r="8620">
      <c r="B8620" s="9" t="n">
        <v>8618</v>
      </c>
      <c r="C8620" s="10" t="inlineStr">
        <is>
          <t>Chuyên Viên Pháp Chế</t>
        </is>
      </c>
      <c r="D8620" s="10" t="inlineStr">
        <is>
          <t>CÔNG TY CỔ PHẦN TẬP ĐOÀN ONSEN FUJI</t>
        </is>
      </c>
      <c r="E8620" s="10" t="inlineStr">
        <is>
          <t>Lương:15 Tr - 25 Tr VND</t>
        </is>
      </c>
      <c r="F8620" s="10" t="inlineStr">
        <is>
          <t>Hà Nội</t>
        </is>
      </c>
      <c r="G8620" s="10" t="inlineStr">
        <is>
          <t>14-04-2026</t>
        </is>
      </c>
      <c r="H8620" s="10" t="inlineStr">
        <is>
          <t>14/04/2026</t>
        </is>
      </c>
      <c r="I8620" s="10" t="inlineStr">
        <is>
          <t>17/03/2026</t>
        </is>
      </c>
      <c r="J8620" s="10" t="inlineStr">
        <is>
          <t>Luật / Pháp lý, Ngành khác, Bất động sản</t>
        </is>
      </c>
      <c r="K8620" s="10" t="inlineStr">
        <is>
          <t>3 - 5 Năm</t>
        </is>
      </c>
      <c r="L8620" s="11">
        <f>HYPERLINK("https://careerviet.vn/vi/tim-viec-lam/chuyen-vien-phap-che.35C6589A.html","Xem chi tiết")</f>
        <v/>
      </c>
      <c r="M8620" s="10" t="n"/>
    </row>
    <row r="8621">
      <c r="B8621" s="7" t="n">
        <v>8619</v>
      </c>
      <c r="C8621" t="inlineStr">
        <is>
          <t>[Gò Dầu] Admin kiêm CSKH</t>
        </is>
      </c>
      <c r="D8621" t="inlineStr">
        <is>
          <t>Công Ty Cổ Phần Vacxin Việt Nam</t>
        </is>
      </c>
      <c r="E8621" t="inlineStr">
        <is>
          <t>Lương:Cạnh tranh</t>
        </is>
      </c>
      <c r="F8621" t="inlineStr">
        <is>
          <t>Tây Ninh</t>
        </is>
      </c>
      <c r="G8621" t="inlineStr">
        <is>
          <t>14-04-2026</t>
        </is>
      </c>
      <c r="H8621" t="inlineStr">
        <is>
          <t>14/04/2026</t>
        </is>
      </c>
      <c r="I8621" t="inlineStr">
        <is>
          <t>17/03/2026</t>
        </is>
      </c>
      <c r="J8621" t="inlineStr">
        <is>
          <t>Dịch vụ khách hàng, Hành chính / Thư ký, Kế toán / Kiểm toán</t>
        </is>
      </c>
      <c r="K8621" t="inlineStr">
        <is>
          <t>1 - 3 Năm</t>
        </is>
      </c>
      <c r="L8621" s="8">
        <f>HYPERLINK("https://careerviet.vn/vi/tim-viec-lam/go-dau-admin-kiem-cskh.35C65857.html","Xem chi tiết")</f>
        <v/>
      </c>
    </row>
    <row r="8622">
      <c r="B8622" s="9" t="n">
        <v>8620</v>
      </c>
      <c r="C8622" s="10" t="inlineStr">
        <is>
          <t>Naval Architect - Chuyên viên thiết kế thi công hàng hải</t>
        </is>
      </c>
      <c r="D8622" s="10" t="inlineStr">
        <is>
          <t>PTSC Offshore Services (POS)</t>
        </is>
      </c>
      <c r="E8622" s="10" t="inlineStr">
        <is>
          <t>Lương:Cạnh tranh</t>
        </is>
      </c>
      <c r="F8622" s="10" t="inlineStr">
        <is>
          <t>Bà Rịa - Vũng Tàu</t>
        </is>
      </c>
      <c r="G8622" s="10" t="inlineStr">
        <is>
          <t>14-04-2026</t>
        </is>
      </c>
      <c r="H8622" s="10" t="inlineStr">
        <is>
          <t>14/04/2026</t>
        </is>
      </c>
      <c r="I8622" s="10" t="inlineStr">
        <is>
          <t>17/03/2026</t>
        </is>
      </c>
      <c r="J8622" s="10" t="inlineStr">
        <is>
          <t>Hàng hải, Dầu khí, Mỹ thuật / Nghệ thuật / Thiết kế</t>
        </is>
      </c>
      <c r="K8622" s="10" t="inlineStr">
        <is>
          <t>Trên 3 Năm</t>
        </is>
      </c>
      <c r="L8622" s="11">
        <f>HYPERLINK("https://careerviet.vn/vi/tim-viec-lam/naval-architect-chuyen-vien-thiet-ke-thi-cong-hang-hai.35C659B2.html","Xem chi tiết")</f>
        <v/>
      </c>
      <c r="M8622" s="10" t="n"/>
    </row>
    <row r="8623">
      <c r="B8623" s="7" t="n">
        <v>8621</v>
      </c>
      <c r="C8623" t="inlineStr">
        <is>
          <t>Thực Tập Nhân Sự</t>
        </is>
      </c>
      <c r="D8623" t="inlineStr">
        <is>
          <t>Công ty TNHH Sản xuất Thương mại &amp; Dịch vụ Hoa Xinh</t>
        </is>
      </c>
      <c r="E8623" t="inlineStr">
        <is>
          <t>Lương:3 Tr - 4 Tr VND</t>
        </is>
      </c>
      <c r="F8623" t="inlineStr">
        <is>
          <t>Hồ Chí Minh</t>
        </is>
      </c>
      <c r="G8623" t="inlineStr">
        <is>
          <t>14-04-2026</t>
        </is>
      </c>
      <c r="H8623" t="inlineStr">
        <is>
          <t>14/04/2026</t>
        </is>
      </c>
      <c r="I8623" t="inlineStr">
        <is>
          <t>17/03/2026</t>
        </is>
      </c>
      <c r="J8623" t="inlineStr">
        <is>
          <t>Hành chính / Thư ký, Nhân sự, Mới tốt nghiệp / Thực tập</t>
        </is>
      </c>
      <c r="K8623" t="inlineStr">
        <is>
          <t>N/A</t>
        </is>
      </c>
      <c r="L8623" s="8">
        <f>HYPERLINK("https://careerviet.vn/vi/tim-viec-lam/thuc-tap-nhan-su.35C65911.html","Xem chi tiết")</f>
        <v/>
      </c>
    </row>
    <row r="8624">
      <c r="B8624" s="9" t="n">
        <v>8622</v>
      </c>
      <c r="C8624" s="10" t="inlineStr">
        <is>
          <t>Nhân viên Kinh doanh</t>
        </is>
      </c>
      <c r="D8624" s="10" t="inlineStr">
        <is>
          <t>CÔNG TY TNHH MHI ENGINE SYSTEM VIỆT NAM</t>
        </is>
      </c>
      <c r="E8624" s="10" t="inlineStr">
        <is>
          <t>Lương:20 Tr - 22 Tr VND</t>
        </is>
      </c>
      <c r="F8624" s="10" t="inlineStr">
        <is>
          <t>Bình Dương</t>
        </is>
      </c>
      <c r="G8624" s="10" t="inlineStr">
        <is>
          <t>14-04-2026</t>
        </is>
      </c>
      <c r="H8624" s="10" t="inlineStr">
        <is>
          <t>14/04/2026</t>
        </is>
      </c>
      <c r="I8624" s="10" t="inlineStr">
        <is>
          <t>17/03/2026</t>
        </is>
      </c>
      <c r="J8624" s="10" t="inlineStr">
        <is>
          <t>Bán hàng / Kinh doanh, Bán Hàng Kỹ Thuật, Tiếp thị / Marketing</t>
        </is>
      </c>
      <c r="K8624" s="10" t="inlineStr">
        <is>
          <t>2 - 5 Năm</t>
        </is>
      </c>
      <c r="L8624" s="11">
        <f>HYPERLINK("https://careerviet.vn/vi/tim-viec-lam/nhan-vien-kinh-doanh.35C68986.html","Xem chi tiết")</f>
        <v/>
      </c>
      <c r="M8624" s="10" t="n"/>
    </row>
    <row r="8625">
      <c r="B8625" s="7" t="n">
        <v>8623</v>
      </c>
      <c r="C8625" t="inlineStr">
        <is>
          <t>Chuyên gia An ninh công nghệ (Pentest)</t>
        </is>
      </c>
      <c r="D8625" t="inlineStr">
        <is>
          <t>CÔNG TY TÀI CHÍNH TÍN DỤNG TIÊU DÙNG TNHH MTV AEON</t>
        </is>
      </c>
      <c r="E8625" t="inlineStr">
        <is>
          <t>Lương:Cạnh tranh</t>
        </is>
      </c>
      <c r="F8625" t="inlineStr">
        <is>
          <t>Hà Nội</t>
        </is>
      </c>
      <c r="G8625" t="inlineStr">
        <is>
          <t>14-04-2026</t>
        </is>
      </c>
      <c r="H8625" t="inlineStr">
        <is>
          <t>14/04/2026</t>
        </is>
      </c>
      <c r="I8625" t="inlineStr">
        <is>
          <t>17/03/2026</t>
        </is>
      </c>
      <c r="J8625" t="inlineStr">
        <is>
          <t>CNTT - Phần cứng / Mạng</t>
        </is>
      </c>
      <c r="K8625" t="inlineStr">
        <is>
          <t>Trên 5 Năm</t>
        </is>
      </c>
      <c r="L8625" s="8">
        <f>HYPERLINK("https://careerviet.vn/vi/tim-viec-lam/chuyen-gia-an-ninh-cong-nghe-pentest.35C65822.html","Xem chi tiết")</f>
        <v/>
      </c>
    </row>
    <row r="8626">
      <c r="B8626" s="9" t="n">
        <v>8624</v>
      </c>
      <c r="C8626" s="10" t="inlineStr">
        <is>
          <t>[HO] CARD ACQUISITION SPECIALIST</t>
        </is>
      </c>
      <c r="D8626" s="10" t="inlineStr">
        <is>
          <t>Shinhan Bank Vietnam</t>
        </is>
      </c>
      <c r="E8626" s="10" t="inlineStr">
        <is>
          <t>Lương:Cạnh tranh</t>
        </is>
      </c>
      <c r="F8626" s="10" t="inlineStr">
        <is>
          <t>Hồ Chí Minh</t>
        </is>
      </c>
      <c r="G8626" s="10" t="inlineStr">
        <is>
          <t>14-04-2026</t>
        </is>
      </c>
      <c r="H8626" s="10" t="inlineStr">
        <is>
          <t>14/04/2026</t>
        </is>
      </c>
      <c r="I8626" s="10" t="inlineStr">
        <is>
          <t>17/03/2026</t>
        </is>
      </c>
      <c r="J8626" s="10" t="inlineStr">
        <is>
          <t>Ngân hàng, Kế toán / Kiểm toán</t>
        </is>
      </c>
      <c r="K8626" s="10" t="inlineStr">
        <is>
          <t>Trên 3 Năm</t>
        </is>
      </c>
      <c r="L8626" s="11">
        <f>HYPERLINK("https://careerviet.vn/vi/tim-viec-lam/ho-card-acquisition-specialist.35C6585D.html","Xem chi tiết")</f>
        <v/>
      </c>
      <c r="M8626" s="10" t="n"/>
    </row>
    <row r="8627">
      <c r="B8627" s="7" t="n">
        <v>8625</v>
      </c>
      <c r="C8627" t="inlineStr">
        <is>
          <t>Nhân viên Kinh doanh Trực tuyến</t>
        </is>
      </c>
      <c r="D8627" t="inlineStr">
        <is>
          <t>CHI NHÁNH BÌNH DƯƠNG - CÔNG TY TNHH TODA (THAILAND)</t>
        </is>
      </c>
      <c r="E8627" t="inlineStr">
        <is>
          <t>Lương:12 Tr - 18 Tr VND</t>
        </is>
      </c>
      <c r="F8627" t="inlineStr">
        <is>
          <t>Hồ Chí Minh</t>
        </is>
      </c>
      <c r="G8627" t="inlineStr">
        <is>
          <t>14-04-2026</t>
        </is>
      </c>
      <c r="H8627" t="inlineStr">
        <is>
          <t>14/04/2026</t>
        </is>
      </c>
      <c r="I8627" t="inlineStr">
        <is>
          <t>17/03/2026</t>
        </is>
      </c>
      <c r="J8627" t="inlineStr">
        <is>
          <t>Bán hàng / Kinh doanh, Thương mại điện tử, Tiếp thị / Marketing</t>
        </is>
      </c>
      <c r="K8627" t="inlineStr">
        <is>
          <t>Trên 1 Năm</t>
        </is>
      </c>
      <c r="L8627" s="8">
        <f>HYPERLINK("https://careerviet.vn/vi/tim-viec-lam/nhan-vien-kinh-doanh-truc-tuyen.35C68A9F.html","Xem chi tiết")</f>
        <v/>
      </c>
    </row>
    <row r="8628">
      <c r="B8628" s="9" t="n">
        <v>8626</v>
      </c>
      <c r="C8628" s="10" t="inlineStr">
        <is>
          <t>Pre-sales &amp; Post-sales Cyber Security tại HCM</t>
        </is>
      </c>
      <c r="D8628" s="10" t="inlineStr">
        <is>
          <t>CÔNG TY CỔ PHẦN TƯ VẤN VÀ DỊCH VỤ CÔNG NGHỆ ASIC</t>
        </is>
      </c>
      <c r="E8628" s="10" t="inlineStr">
        <is>
          <t>Lương:1.000 - 2.000 USD</t>
        </is>
      </c>
      <c r="F8628" s="10" t="inlineStr">
        <is>
          <t>Hồ Chí Minh</t>
        </is>
      </c>
      <c r="G8628" s="10" t="inlineStr">
        <is>
          <t>14-04-2026</t>
        </is>
      </c>
      <c r="H8628" s="10" t="inlineStr">
        <is>
          <t>14/04/2026</t>
        </is>
      </c>
      <c r="I8628" s="10" t="inlineStr">
        <is>
          <t>17/03/2026</t>
        </is>
      </c>
      <c r="J8628" s="10" t="inlineStr">
        <is>
          <t>Bán Hàng Kỹ Thuật, CNTT - Phần mềm, Bưu chính viễn thông</t>
        </is>
      </c>
      <c r="K8628" s="10" t="inlineStr">
        <is>
          <t>3 - 5 Năm</t>
        </is>
      </c>
      <c r="L8628" s="11">
        <f>HYPERLINK("https://careerviet.vn/vi/tim-viec-lam/pre-sales-post-sales-cyber-security-tai-hcm.35C68A2A.html","Xem chi tiết")</f>
        <v/>
      </c>
      <c r="M8628" s="10" t="n"/>
    </row>
    <row r="8629">
      <c r="B8629" s="7" t="n">
        <v>8627</v>
      </c>
      <c r="C8629" t="inlineStr">
        <is>
          <t>Sales Admin</t>
        </is>
      </c>
      <c r="D8629" t="inlineStr">
        <is>
          <t>Công Ty TNHH TaeYang Việt Nam Chi Nhánh Đồng Nai</t>
        </is>
      </c>
      <c r="E8629" t="inlineStr">
        <is>
          <t>Lương:Trên 10 Tr VND</t>
        </is>
      </c>
      <c r="F8629" t="inlineStr">
        <is>
          <t>Hồ Chí Minh</t>
        </is>
      </c>
      <c r="G8629" t="inlineStr">
        <is>
          <t>14-04-2026</t>
        </is>
      </c>
      <c r="H8629" t="inlineStr">
        <is>
          <t>14/04/2026</t>
        </is>
      </c>
      <c r="I8629" t="inlineStr">
        <is>
          <t>17/03/2026</t>
        </is>
      </c>
      <c r="J8629" t="inlineStr">
        <is>
          <t>Tiếp thị / Marketing, Bán hàng / Kinh doanh, Thương mại điện tử</t>
        </is>
      </c>
      <c r="K8629" t="inlineStr">
        <is>
          <t>1 - 2 Năm</t>
        </is>
      </c>
      <c r="L8629" s="8">
        <f>HYPERLINK("https://careerviet.vn/vi/tim-viec-lam/sales-admin.35C68988.html","Xem chi tiết")</f>
        <v/>
      </c>
    </row>
    <row r="8630">
      <c r="B8630" s="9" t="n">
        <v>8628</v>
      </c>
      <c r="C8630" s="10" t="inlineStr">
        <is>
          <t>Giám Sát Thi Công</t>
        </is>
      </c>
      <c r="D8630" s="10" t="inlineStr">
        <is>
          <t>CÔNG TY CỔ PHẦN SEAREFICO</t>
        </is>
      </c>
      <c r="E8630" s="10" t="inlineStr">
        <is>
          <t>Lương:14 Tr - 25 Tr VND</t>
        </is>
      </c>
      <c r="F8630" s="10" t="inlineStr">
        <is>
          <t>Bình DươngKhánh HòaHà Nội</t>
        </is>
      </c>
      <c r="G8630" s="10" t="inlineStr">
        <is>
          <t>14-04-2026</t>
        </is>
      </c>
      <c r="H8630" s="10" t="inlineStr">
        <is>
          <t>14/04/2026</t>
        </is>
      </c>
      <c r="I8630" s="10" t="inlineStr">
        <is>
          <t>17/03/2026</t>
        </is>
      </c>
      <c r="J8630" s="10" t="inlineStr">
        <is>
          <t>Điện / Điện tử / Điện lạnh / Điện công nghiệp</t>
        </is>
      </c>
      <c r="K8630" s="10" t="inlineStr">
        <is>
          <t>N/A</t>
        </is>
      </c>
      <c r="L8630" s="11">
        <f>HYPERLINK("https://careerviet.vn/vi/tim-viec-lam/giam-sat-thi-cong.35C65855.html","Xem chi tiết")</f>
        <v/>
      </c>
      <c r="M8630" s="10" t="n"/>
    </row>
    <row r="8631">
      <c r="B8631" s="7" t="n">
        <v>8629</v>
      </c>
      <c r="C8631" t="inlineStr">
        <is>
          <t>Quảng Ninh - Dự Án Điện Mặt Trời Đầm Hà - Trưởng Nhóm Điện</t>
        </is>
      </c>
      <c r="D8631" t="inlineStr">
        <is>
          <t>BIM Group</t>
        </is>
      </c>
      <c r="E8631" t="inlineStr">
        <is>
          <t>Lương:Cạnh tranh</t>
        </is>
      </c>
      <c r="F8631" t="inlineStr">
        <is>
          <t>Quảng Ninh</t>
        </is>
      </c>
      <c r="G8631" t="inlineStr">
        <is>
          <t>14-04-2026</t>
        </is>
      </c>
      <c r="H8631" t="inlineStr">
        <is>
          <t>14/04/2026</t>
        </is>
      </c>
      <c r="I8631" t="inlineStr">
        <is>
          <t>17/03/2026</t>
        </is>
      </c>
      <c r="J8631" t="inlineStr">
        <is>
          <t>Điện / Điện tử / Điện lạnh / Điện công nghiệp</t>
        </is>
      </c>
      <c r="K8631" t="inlineStr">
        <is>
          <t>Chưa có kinh nghiệm</t>
        </is>
      </c>
      <c r="L8631" s="8">
        <f>HYPERLINK("https://careerviet.vn/vi/tim-viec-lam/quang-ninh-du-an-dien-mat-troi-dam-ha-truong-nhom-dien.35C689C3.html","Xem chi tiết")</f>
        <v/>
      </c>
    </row>
    <row r="8632">
      <c r="B8632" s="9" t="n">
        <v>8630</v>
      </c>
      <c r="C8632" s="10" t="inlineStr">
        <is>
          <t>Trưởng phòng Kinh doanh Phát Triển Đại lý</t>
        </is>
      </c>
      <c r="D8632" s="10" t="inlineStr">
        <is>
          <t>Công Ty Cổ Phần Tập Đoàn Đầu Tư Địa Ốc No Va</t>
        </is>
      </c>
      <c r="E8632" s="10" t="inlineStr">
        <is>
          <t>Lương:30 Tr - 50 Tr VND</t>
        </is>
      </c>
      <c r="F8632" s="10" t="inlineStr">
        <is>
          <t>Hồ Chí Minh</t>
        </is>
      </c>
      <c r="G8632" s="10" t="inlineStr">
        <is>
          <t>14-04-2026</t>
        </is>
      </c>
      <c r="H8632" s="10" t="inlineStr">
        <is>
          <t>14/04/2026</t>
        </is>
      </c>
      <c r="I8632" s="10" t="inlineStr">
        <is>
          <t>17/03/2026</t>
        </is>
      </c>
      <c r="J8632" s="10" t="inlineStr">
        <is>
          <t>Bán hàng / Kinh doanh, Bất động sản, Dịch vụ khách hàng</t>
        </is>
      </c>
      <c r="K8632" s="10" t="inlineStr">
        <is>
          <t>3 - 5 Năm</t>
        </is>
      </c>
      <c r="L8632" s="11">
        <f>HYPERLINK("https://careerviet.vn/vi/tim-viec-lam/truong-phong-kinh-doanh-phat-trien-dai-ly.35C689C4.html","Xem chi tiết")</f>
        <v/>
      </c>
      <c r="M8632" s="10" t="n"/>
    </row>
    <row r="8633">
      <c r="B8633" s="7" t="n">
        <v>8631</v>
      </c>
      <c r="C8633" t="inlineStr">
        <is>
          <t>Nhân viên Thị trường -  Khu vực Kiên Giang</t>
        </is>
      </c>
      <c r="D8633" t="inlineStr">
        <is>
          <t>CÔNG TY CỔ PHẦN DÂY CÁP ĐIỆN VIỆT NAM - CADIVI</t>
        </is>
      </c>
      <c r="E8633" t="inlineStr">
        <is>
          <t>Lương:Cạnh tranh</t>
        </is>
      </c>
      <c r="F8633" t="inlineStr">
        <is>
          <t>Kiên Giang</t>
        </is>
      </c>
      <c r="G8633" t="inlineStr">
        <is>
          <t>14-04-2026</t>
        </is>
      </c>
      <c r="H8633" t="inlineStr">
        <is>
          <t>14/04/2026</t>
        </is>
      </c>
      <c r="I8633" t="inlineStr">
        <is>
          <t>17/03/2026</t>
        </is>
      </c>
      <c r="J8633" t="inlineStr">
        <is>
          <t>Tiếp thị / Marketing, Bán hàng / Kinh doanh</t>
        </is>
      </c>
      <c r="K8633" t="inlineStr">
        <is>
          <t>5 - 6 Năm</t>
        </is>
      </c>
      <c r="L8633" s="8">
        <f>HYPERLINK("https://careerviet.vn/vi/tim-viec-lam/nhan-vien-thi-truong-khu-vuc-kien-giang.35C68A08.html","Xem chi tiết")</f>
        <v/>
      </c>
    </row>
    <row r="8634">
      <c r="B8634" s="9" t="n">
        <v>8632</v>
      </c>
      <c r="C8634" s="10" t="inlineStr">
        <is>
          <t>Trưởng phòng Kinh doanh Bất Động Sản</t>
        </is>
      </c>
      <c r="D8634" s="10" t="inlineStr">
        <is>
          <t>Công Ty Cổ Phần Tập Đoàn Đầu Tư Địa Ốc No Va</t>
        </is>
      </c>
      <c r="E8634" s="10" t="inlineStr">
        <is>
          <t>Lương:25 Tr - 30 Tr VND</t>
        </is>
      </c>
      <c r="F8634" s="10" t="inlineStr">
        <is>
          <t>Hồ Chí Minh</t>
        </is>
      </c>
      <c r="G8634" s="10" t="inlineStr">
        <is>
          <t>14-04-2026</t>
        </is>
      </c>
      <c r="H8634" s="10" t="inlineStr">
        <is>
          <t>14/04/2026</t>
        </is>
      </c>
      <c r="I8634" s="10" t="inlineStr">
        <is>
          <t>17/03/2026</t>
        </is>
      </c>
      <c r="J8634" s="10" t="inlineStr">
        <is>
          <t>Bán hàng / Kinh doanh, Bất động sản</t>
        </is>
      </c>
      <c r="K8634" s="10" t="inlineStr">
        <is>
          <t>3 - 5 Năm</t>
        </is>
      </c>
      <c r="L8634" s="11">
        <f>HYPERLINK("https://careerviet.vn/vi/tim-viec-lam/truong-phong-kinh-doanh-bat-dong-san.35C689C2.html","Xem chi tiết")</f>
        <v/>
      </c>
      <c r="M8634" s="10" t="n"/>
    </row>
    <row r="8635">
      <c r="B8635" s="7" t="n">
        <v>8633</v>
      </c>
      <c r="C8635" t="inlineStr">
        <is>
          <t>Kế Toán Tổng Hợp</t>
        </is>
      </c>
      <c r="D8635" t="inlineStr">
        <is>
          <t>Công Ty Hoàng An Nhiên</t>
        </is>
      </c>
      <c r="E8635" t="inlineStr">
        <is>
          <t>Lương:25 Tr - 30 Tr VND</t>
        </is>
      </c>
      <c r="F8635" t="inlineStr">
        <is>
          <t>Hồ Chí MinhHà Nội</t>
        </is>
      </c>
      <c r="G8635" t="inlineStr">
        <is>
          <t>14-04-2026</t>
        </is>
      </c>
      <c r="H8635" t="inlineStr">
        <is>
          <t>14/04/2026</t>
        </is>
      </c>
      <c r="I8635" t="inlineStr">
        <is>
          <t>17/03/2026</t>
        </is>
      </c>
      <c r="J8635" t="inlineStr">
        <is>
          <t>Thực phẩm &amp; Đồ uống, Kế toán / Kiểm toán</t>
        </is>
      </c>
      <c r="K8635" t="inlineStr">
        <is>
          <t>4 - 5 Năm</t>
        </is>
      </c>
      <c r="L8635" s="8">
        <f>HYPERLINK("https://careerviet.vn/vi/tim-viec-lam/ke-toan-tong-hop.35C658E9.html","Xem chi tiết")</f>
        <v/>
      </c>
    </row>
    <row r="8636">
      <c r="B8636" s="9" t="n">
        <v>8634</v>
      </c>
      <c r="C8636" s="10" t="inlineStr">
        <is>
          <t>Kỹ sư xây dựng (Làm việc ở Nước ngoài)</t>
        </is>
      </c>
      <c r="D8636" s="10" t="inlineStr">
        <is>
          <t>CÔNG TY TNHH CÔNG NGHỆ VIỆT</t>
        </is>
      </c>
      <c r="E8636" s="10" t="inlineStr">
        <is>
          <t>Lương:40 Tr - 55 Tr VND</t>
        </is>
      </c>
      <c r="F8636" s="10" t="inlineStr">
        <is>
          <t>Quốc tế</t>
        </is>
      </c>
      <c r="G8636" s="10" t="inlineStr">
        <is>
          <t>14-04-2026</t>
        </is>
      </c>
      <c r="H8636" s="10" t="inlineStr">
        <is>
          <t>14/04/2026</t>
        </is>
      </c>
      <c r="I8636" s="10" t="inlineStr">
        <is>
          <t>17/03/2026</t>
        </is>
      </c>
      <c r="J8636" s="10" t="inlineStr">
        <is>
          <t>Điện / Điện tử / Điện lạnh / Điện công nghiệp, Xây dựng, Kiến trúc</t>
        </is>
      </c>
      <c r="K8636" s="10" t="inlineStr">
        <is>
          <t>3 - 5 Năm</t>
        </is>
      </c>
      <c r="L8636" s="11">
        <f>HYPERLINK("https://careerviet.vn/vi/tim-viec-lam/ky-su-xay-dung-lam-viec-o-nuoc-ngoai.35C6896E.html","Xem chi tiết")</f>
        <v/>
      </c>
      <c r="M8636" s="10" t="n"/>
    </row>
    <row r="8637">
      <c r="B8637" s="7" t="n">
        <v>8635</v>
      </c>
      <c r="C8637" t="inlineStr">
        <is>
          <t>Nhân viên QA/QC</t>
        </is>
      </c>
      <c r="D8637" t="inlineStr">
        <is>
          <t>Srithai Viet Nam Co., Ltd</t>
        </is>
      </c>
      <c r="E8637" t="inlineStr">
        <is>
          <t>Lương:7 Tr - 8 Tr VND</t>
        </is>
      </c>
      <c r="F8637" t="inlineStr">
        <is>
          <t>Bình Dương</t>
        </is>
      </c>
      <c r="G8637" t="inlineStr">
        <is>
          <t>14-04-2026</t>
        </is>
      </c>
      <c r="H8637" t="inlineStr">
        <is>
          <t>14/04/2026</t>
        </is>
      </c>
      <c r="I8637" t="inlineStr">
        <is>
          <t>17/03/2026</t>
        </is>
      </c>
      <c r="J8637" t="inlineStr">
        <is>
          <t>Công nghệ sinh học, Công nghệ thực phẩm / Dinh dưỡng, Quản lý chất lượng (QA/QC)</t>
        </is>
      </c>
      <c r="K8637" t="inlineStr">
        <is>
          <t>N/A</t>
        </is>
      </c>
      <c r="L8637" s="8">
        <f>HYPERLINK("https://careerviet.vn/vi/tim-viec-lam/nhan-vien-qa-qc.35C68963.html","Xem chi tiết")</f>
        <v/>
      </c>
    </row>
    <row r="8638">
      <c r="B8638" s="9" t="n">
        <v>8636</v>
      </c>
      <c r="C8638" s="10" t="inlineStr">
        <is>
          <t>Chuyên viên Phát triển Đại lý</t>
        </is>
      </c>
      <c r="D8638" s="10" t="inlineStr">
        <is>
          <t>Công Ty Cổ Phần Tập Đoàn Đầu Tư Địa Ốc No Va</t>
        </is>
      </c>
      <c r="E8638" s="10" t="inlineStr">
        <is>
          <t>Lương:12 Tr - 20 Tr VND</t>
        </is>
      </c>
      <c r="F8638" s="10" t="inlineStr">
        <is>
          <t>Hồ Chí Minh</t>
        </is>
      </c>
      <c r="G8638" s="10" t="inlineStr">
        <is>
          <t>14-04-2026</t>
        </is>
      </c>
      <c r="H8638" s="10" t="inlineStr">
        <is>
          <t>14/04/2026</t>
        </is>
      </c>
      <c r="I8638" s="10" t="inlineStr">
        <is>
          <t>17/03/2026</t>
        </is>
      </c>
      <c r="J8638" s="10" t="inlineStr">
        <is>
          <t>Bán hàng / Kinh doanh, Bất động sản</t>
        </is>
      </c>
      <c r="K8638" s="10" t="inlineStr">
        <is>
          <t>2 - 5 Năm</t>
        </is>
      </c>
      <c r="L8638" s="11">
        <f>HYPERLINK("https://careerviet.vn/vi/tim-viec-lam/chuyen-vien-phat-trien-dai-ly.35C689C7.html","Xem chi tiết")</f>
        <v/>
      </c>
      <c r="M8638" s="10" t="n"/>
    </row>
    <row r="8639">
      <c r="B8639" s="7" t="n">
        <v>8637</v>
      </c>
      <c r="C8639" t="inlineStr">
        <is>
          <t>HCM - Project Coordination Specialist</t>
        </is>
      </c>
      <c r="D8639" t="inlineStr">
        <is>
          <t>CÔNG TY CỔ PHẦN MAISON RETAIL MANAGEMENT INTERNATIONAL</t>
        </is>
      </c>
      <c r="E8639" t="inlineStr">
        <is>
          <t>Lương:Cạnh tranh</t>
        </is>
      </c>
      <c r="F8639" t="inlineStr">
        <is>
          <t>Hồ Chí Minh</t>
        </is>
      </c>
      <c r="G8639" t="inlineStr">
        <is>
          <t>14-04-2026</t>
        </is>
      </c>
      <c r="H8639" t="inlineStr">
        <is>
          <t>14/04/2026</t>
        </is>
      </c>
      <c r="I8639" t="inlineStr">
        <is>
          <t>17/03/2026</t>
        </is>
      </c>
      <c r="J8639" t="inlineStr">
        <is>
          <t>Bán lẻ / Bán sỉ, Xây dựng, Nội ngoại thất</t>
        </is>
      </c>
      <c r="K8639" t="inlineStr">
        <is>
          <t>3 - 5 Năm</t>
        </is>
      </c>
      <c r="L8639" s="8">
        <f>HYPERLINK("https://careerviet.vn/vi/tim-viec-lam/hcm-project-coordination-specialist.35C657AC.html","Xem chi tiết")</f>
        <v/>
      </c>
    </row>
    <row r="8640">
      <c r="B8640" s="9" t="n">
        <v>8638</v>
      </c>
      <c r="C8640" s="10" t="inlineStr">
        <is>
          <t>Tổng đài viên - Call Center Officer</t>
        </is>
      </c>
      <c r="D8640" s="10" t="inlineStr">
        <is>
          <t>American International Hospital (AIH)</t>
        </is>
      </c>
      <c r="E8640" s="10" t="inlineStr">
        <is>
          <t>Lương:10 Tr - 12 Tr VND</t>
        </is>
      </c>
      <c r="F8640" s="10" t="inlineStr">
        <is>
          <t>Hồ Chí Minh</t>
        </is>
      </c>
      <c r="G8640" s="10" t="inlineStr">
        <is>
          <t>14-04-2026</t>
        </is>
      </c>
      <c r="H8640" s="10" t="inlineStr">
        <is>
          <t>14/04/2026</t>
        </is>
      </c>
      <c r="I8640" s="10" t="inlineStr">
        <is>
          <t>17/03/2026</t>
        </is>
      </c>
      <c r="J8640" s="10" t="inlineStr">
        <is>
          <t>Dịch vụ khách hàng</t>
        </is>
      </c>
      <c r="K8640" s="10" t="inlineStr">
        <is>
          <t>1 - 2 Năm</t>
        </is>
      </c>
      <c r="L8640" s="11">
        <f>HYPERLINK("https://careerviet.vn/vi/tim-viec-lam/tong-dai-vien-call-center-officer.35C68AFC.html","Xem chi tiết")</f>
        <v/>
      </c>
      <c r="M8640" s="10" t="n"/>
    </row>
    <row r="8641">
      <c r="B8641" s="7" t="n">
        <v>8639</v>
      </c>
      <c r="C8641" t="inlineStr">
        <is>
          <t>Kế toán thanh toán</t>
        </is>
      </c>
      <c r="D8641" t="inlineStr">
        <is>
          <t>BIM Group</t>
        </is>
      </c>
      <c r="E8641" t="inlineStr">
        <is>
          <t>Lương:Cạnh tranh</t>
        </is>
      </c>
      <c r="F8641" t="inlineStr">
        <is>
          <t>Hà Nội</t>
        </is>
      </c>
      <c r="G8641" t="inlineStr">
        <is>
          <t>14-04-2026</t>
        </is>
      </c>
      <c r="H8641" t="inlineStr">
        <is>
          <t>14/04/2026</t>
        </is>
      </c>
      <c r="I8641" t="inlineStr">
        <is>
          <t>17/03/2026</t>
        </is>
      </c>
      <c r="J8641" t="inlineStr">
        <is>
          <t>Kế toán / Kiểm toán, Bất động sản</t>
        </is>
      </c>
      <c r="K8641" t="inlineStr">
        <is>
          <t>Trên 5 Năm</t>
        </is>
      </c>
      <c r="L8641" s="8">
        <f>HYPERLINK("https://careerviet.vn/vi/tim-viec-lam/ke-toan-thanh-toan.35C65831.html","Xem chi tiết")</f>
        <v/>
      </c>
    </row>
    <row r="8642">
      <c r="B8642" s="9" t="n">
        <v>8640</v>
      </c>
      <c r="C8642" s="10" t="inlineStr">
        <is>
          <t>Project Engineer Intern (Kỹ Sư Thực Tập) - Nhơn Trạch (Có xe đưa rước Biên Hòa - Sài Gòn)</t>
        </is>
      </c>
      <c r="D8642" s="10" t="inlineStr">
        <is>
          <t>Summit Polymers Vietnam Co Ltd.</t>
        </is>
      </c>
      <c r="E8642" s="10" t="inlineStr">
        <is>
          <t>Lương:Cạnh tranh</t>
        </is>
      </c>
      <c r="F8642" s="10" t="inlineStr">
        <is>
          <t>Đồng Nai</t>
        </is>
      </c>
      <c r="G8642" s="10" t="inlineStr">
        <is>
          <t>14-04-2026</t>
        </is>
      </c>
      <c r="H8642" s="10" t="inlineStr">
        <is>
          <t>14/04/2026</t>
        </is>
      </c>
      <c r="I8642" s="10" t="inlineStr">
        <is>
          <t>17/03/2026</t>
        </is>
      </c>
      <c r="J8642" s="10" t="inlineStr">
        <is>
          <t>Cơ khí / Ô tô / Tự động hóa, Sản xuất / Vận hành sản xuất, Mới tốt nghiệp / Thực tập</t>
        </is>
      </c>
      <c r="K8642" s="10" t="inlineStr">
        <is>
          <t>N/A</t>
        </is>
      </c>
      <c r="L8642" s="11">
        <f>HYPERLINK("https://careerviet.vn/vi/tim-viec-lam/project-engineer-intern-ky-su-thuc-tap-nhon-trach-co-xe-dua-ruoc-bien-hoa-sai-gon.35C658C3.html","Xem chi tiết")</f>
        <v/>
      </c>
      <c r="M8642" s="10" t="n"/>
    </row>
    <row r="8643">
      <c r="B8643" s="7" t="n">
        <v>8641</v>
      </c>
      <c r="C8643" t="inlineStr">
        <is>
          <t>Chuyên viên mua hàng cấp cao</t>
        </is>
      </c>
      <c r="D8643" t="inlineStr">
        <is>
          <t>Công ty TNHH Calofic</t>
        </is>
      </c>
      <c r="E8643" t="inlineStr">
        <is>
          <t>Lương:19 Tr - 20 Tr VND</t>
        </is>
      </c>
      <c r="F8643" t="inlineStr">
        <is>
          <t>Quảng Ninh</t>
        </is>
      </c>
      <c r="G8643" t="inlineStr">
        <is>
          <t>14-04-2026</t>
        </is>
      </c>
      <c r="H8643" t="inlineStr">
        <is>
          <t>14/04/2026</t>
        </is>
      </c>
      <c r="I8643" t="inlineStr">
        <is>
          <t>17/03/2026</t>
        </is>
      </c>
      <c r="J8643" t="inlineStr">
        <is>
          <t>Thu mua / Vật tư</t>
        </is>
      </c>
      <c r="K8643" t="inlineStr">
        <is>
          <t>3 - 5 Năm</t>
        </is>
      </c>
      <c r="L8643" s="8">
        <f>HYPERLINK("https://careerviet.vn/vi/tim-viec-lam/chuyen-vien-mua-hang-cap-cao.35C65863.html","Xem chi tiết")</f>
        <v/>
      </c>
    </row>
    <row r="8644">
      <c r="B8644" s="9" t="n">
        <v>8642</v>
      </c>
      <c r="C8644" s="10" t="inlineStr">
        <is>
          <t>Kỹ Sư Qa/QC</t>
        </is>
      </c>
      <c r="D8644" s="10" t="inlineStr">
        <is>
          <t>DECOFI - Công Ty CP Xây Dựng &amp; Thiết Kế Số 1</t>
        </is>
      </c>
      <c r="E8644" s="10" t="inlineStr">
        <is>
          <t>Lương:Cạnh tranh</t>
        </is>
      </c>
      <c r="F8644" s="10" t="inlineStr">
        <is>
          <t>Hồ Chí Minh</t>
        </is>
      </c>
      <c r="G8644" s="10" t="inlineStr">
        <is>
          <t>14-04-2026</t>
        </is>
      </c>
      <c r="H8644" s="10" t="inlineStr">
        <is>
          <t>14/04/2026</t>
        </is>
      </c>
      <c r="I8644" s="10" t="inlineStr">
        <is>
          <t>17/03/2026</t>
        </is>
      </c>
      <c r="J8644" s="10" t="inlineStr">
        <is>
          <t>Xây dựng</t>
        </is>
      </c>
      <c r="K8644" s="10" t="inlineStr">
        <is>
          <t>null - null Năm</t>
        </is>
      </c>
      <c r="L8644" s="11">
        <f>HYPERLINK("https://careerviet.vn/vi/tim-viec-lam/ky-su-qa-qc.35C68AEA.html","Xem chi tiết")</f>
        <v/>
      </c>
      <c r="M8644" s="10" t="n"/>
    </row>
    <row r="8645">
      <c r="B8645" s="7" t="n">
        <v>8643</v>
      </c>
      <c r="C8645" t="inlineStr">
        <is>
          <t>Kỹ Sư/ Kỹ Thuật Giám Sát</t>
        </is>
      </c>
      <c r="D8645" t="inlineStr">
        <is>
          <t>DECOFI - Công Ty CP Xây Dựng &amp; Thiết Kế Số 1</t>
        </is>
      </c>
      <c r="E8645" t="inlineStr">
        <is>
          <t>Lương:Cạnh tranh</t>
        </is>
      </c>
      <c r="F8645" t="inlineStr">
        <is>
          <t>Hồ Chí Minh</t>
        </is>
      </c>
      <c r="G8645" t="inlineStr">
        <is>
          <t>14-04-2026</t>
        </is>
      </c>
      <c r="H8645" t="inlineStr">
        <is>
          <t>14/04/2026</t>
        </is>
      </c>
      <c r="I8645" t="inlineStr">
        <is>
          <t>17/03/2026</t>
        </is>
      </c>
      <c r="J8645" t="inlineStr">
        <is>
          <t>Kiến trúc, Xây dựng</t>
        </is>
      </c>
      <c r="K8645" t="inlineStr">
        <is>
          <t>null - null Năm</t>
        </is>
      </c>
      <c r="L8645" s="8">
        <f>HYPERLINK("https://careerviet.vn/vi/tim-viec-lam/ky-su-ky-thuat-giam-sat.35C68AE9.html","Xem chi tiết")</f>
        <v/>
      </c>
    </row>
    <row r="8646">
      <c r="B8646" s="9" t="n">
        <v>8644</v>
      </c>
      <c r="C8646" s="10" t="inlineStr">
        <is>
          <t>Nhân viên Lễ tân tập đoàn</t>
        </is>
      </c>
      <c r="D8646" s="10" t="inlineStr">
        <is>
          <t>Công ty Cổ phần FECON</t>
        </is>
      </c>
      <c r="E8646" s="10" t="inlineStr">
        <is>
          <t>Lương:Cạnh tranh</t>
        </is>
      </c>
      <c r="F8646" s="10" t="inlineStr">
        <is>
          <t>Hà Nội</t>
        </is>
      </c>
      <c r="G8646" s="10" t="inlineStr">
        <is>
          <t>14-04-2026</t>
        </is>
      </c>
      <c r="H8646" s="10" t="inlineStr">
        <is>
          <t>14/04/2026</t>
        </is>
      </c>
      <c r="I8646" s="10" t="inlineStr">
        <is>
          <t>17/03/2026</t>
        </is>
      </c>
      <c r="J8646" s="10" t="inlineStr">
        <is>
          <t>Xây dựng</t>
        </is>
      </c>
      <c r="K8646" s="10" t="inlineStr">
        <is>
          <t>null - null Năm</t>
        </is>
      </c>
      <c r="L8646" s="11">
        <f>HYPERLINK("https://careerviet.vn/vi/tim-viec-lam/nhan-vien-le-tan-tap-doan.35C68A98.html","Xem chi tiết")</f>
        <v/>
      </c>
      <c r="M8646" s="10" t="n"/>
    </row>
    <row r="8647">
      <c r="B8647" s="7" t="n">
        <v>8645</v>
      </c>
      <c r="C8647" t="inlineStr">
        <is>
          <t>Nhân viên KD thiết bị y tế - CƠ HỘI NHẬN VIỆC SAU TẾT</t>
        </is>
      </c>
      <c r="D8647" t="inlineStr">
        <is>
          <t>CÔNG TY CỔ PHẦN TRANG THIẾT BỊ Y TẾ ĐỨC TÍN</t>
        </is>
      </c>
      <c r="E8647" t="inlineStr">
        <is>
          <t>Lương:Cạnh tranh</t>
        </is>
      </c>
      <c r="F8647" t="inlineStr">
        <is>
          <t>Hồ Chí Minh</t>
        </is>
      </c>
      <c r="G8647" t="inlineStr">
        <is>
          <t>14-04-2026</t>
        </is>
      </c>
      <c r="H8647" t="inlineStr">
        <is>
          <t>14/04/2026</t>
        </is>
      </c>
      <c r="I8647" t="inlineStr">
        <is>
          <t>17/03/2026</t>
        </is>
      </c>
      <c r="J8647" t="inlineStr">
        <is>
          <t>Dược phẩm/ Hóa Mỹ Phẩm</t>
        </is>
      </c>
      <c r="K8647" t="inlineStr">
        <is>
          <t>Chưa có kinh nghiệm</t>
        </is>
      </c>
      <c r="L8647" s="8">
        <f>HYPERLINK("https://careerviet.vn/vi/tim-viec-lam/nhan-vien-kd-thiet-bi-y-te-co-hoi-nhan-viec-sau-tet.35C68A90.html","Xem chi tiết")</f>
        <v/>
      </c>
    </row>
    <row r="8648">
      <c r="B8648" s="9" t="n">
        <v>8646</v>
      </c>
      <c r="C8648" s="10" t="inlineStr">
        <is>
          <t>Brand Commercial Executive</t>
        </is>
      </c>
      <c r="D8648" s="10" t="inlineStr">
        <is>
          <t>Công ty Di Động Việt</t>
        </is>
      </c>
      <c r="E8648" s="10" t="inlineStr">
        <is>
          <t>Lương:Cạnh tranh</t>
        </is>
      </c>
      <c r="F8648" s="10" t="inlineStr">
        <is>
          <t>Hồ Chí Minh</t>
        </is>
      </c>
      <c r="G8648" s="10" t="inlineStr">
        <is>
          <t>14-04-2026</t>
        </is>
      </c>
      <c r="H8648" s="10" t="inlineStr">
        <is>
          <t>14/04/2026</t>
        </is>
      </c>
      <c r="I8648" s="10" t="inlineStr">
        <is>
          <t>17/03/2026</t>
        </is>
      </c>
      <c r="J8648" s="10" t="inlineStr">
        <is>
          <t>Tiếp thị / Marketing, Quảng cáo / Đối ngoại / Truyền Thông, Thương mại điện tử</t>
        </is>
      </c>
      <c r="K8648" s="10" t="inlineStr">
        <is>
          <t>2 - 4 Năm</t>
        </is>
      </c>
      <c r="L8648" s="11">
        <f>HYPERLINK("https://careerviet.vn/vi/tim-viec-lam/brand-commercial-executive.35C64D5E.html","Xem chi tiết")</f>
        <v/>
      </c>
      <c r="M8648" s="10" t="n"/>
    </row>
    <row r="8649">
      <c r="B8649" s="7" t="n">
        <v>8647</v>
      </c>
      <c r="C8649" t="inlineStr">
        <is>
          <t>Trưởng Phòng Dự án (Project Manager) Làm việc tại Tây Ninh</t>
        </is>
      </c>
      <c r="D8649" t="inlineStr">
        <is>
          <t>Công ty CP Thành Thành Công - Biên Hòa</t>
        </is>
      </c>
      <c r="E8649" t="inlineStr">
        <is>
          <t>Lương:Cạnh tranh</t>
        </is>
      </c>
      <c r="F8649" t="inlineStr">
        <is>
          <t>Tây Ninh</t>
        </is>
      </c>
      <c r="G8649" t="inlineStr">
        <is>
          <t>14-04-2026</t>
        </is>
      </c>
      <c r="H8649" t="inlineStr">
        <is>
          <t>14/04/2026</t>
        </is>
      </c>
      <c r="I8649" t="inlineStr">
        <is>
          <t>17/03/2026</t>
        </is>
      </c>
      <c r="J8649" t="inlineStr">
        <is>
          <t>Cơ khí / Ô tô / Tự động hóa, Ngành khác, Xây dựng</t>
        </is>
      </c>
      <c r="K8649" t="inlineStr">
        <is>
          <t>5 - 7 Năm</t>
        </is>
      </c>
      <c r="L8649" s="8">
        <f>HYPERLINK("https://careerviet.vn/vi/tim-viec-lam/truong-phong-du-an-project-manager-lam-viec-tai-tay-ninh.35C65876.html","Xem chi tiết")</f>
        <v/>
      </c>
    </row>
    <row r="8650">
      <c r="B8650" s="9" t="n">
        <v>8648</v>
      </c>
      <c r="C8650" s="10" t="inlineStr">
        <is>
          <t>TRƯỞNG PHÒNG TÀI CHÍNH - KẾ TOÁN  [CỦ CHI]</t>
        </is>
      </c>
      <c r="D8650" s="10" t="inlineStr">
        <is>
          <t>CÔNG TY CP SAIGON AUTO SUPPORTING INDUSTRY</t>
        </is>
      </c>
      <c r="E8650" s="10" t="inlineStr">
        <is>
          <t>Lương:Cạnh tranh</t>
        </is>
      </c>
      <c r="F8650" s="10" t="inlineStr">
        <is>
          <t>Hồ Chí Minh</t>
        </is>
      </c>
      <c r="G8650" s="10" t="inlineStr">
        <is>
          <t>14-04-2026</t>
        </is>
      </c>
      <c r="H8650" s="10" t="inlineStr">
        <is>
          <t>14/04/2026</t>
        </is>
      </c>
      <c r="I8650" s="10" t="inlineStr">
        <is>
          <t>17/03/2026</t>
        </is>
      </c>
      <c r="J8650" s="10" t="inlineStr">
        <is>
          <t>Kế toán / Kiểm toán, Ngân hàng</t>
        </is>
      </c>
      <c r="K8650" s="10" t="inlineStr">
        <is>
          <t>5 - 20 Năm</t>
        </is>
      </c>
      <c r="L8650" s="11">
        <f>HYPERLINK("https://careerviet.vn/vi/tim-viec-lam/truong-phong-tai-chinh-ke-toan-cu-chi.35C68AF0.html","Xem chi tiết")</f>
        <v/>
      </c>
      <c r="M8650" s="10" t="n"/>
    </row>
    <row r="8651">
      <c r="B8651" s="7" t="n">
        <v>8649</v>
      </c>
      <c r="C8651" t="inlineStr">
        <is>
          <t>[Part-Time] Nhân Viên Chăm Sóc Khách Hàng Sàn TMĐT Kênh Chat (6 Tháng)</t>
        </is>
      </c>
      <c r="D8651" t="inlineStr">
        <is>
          <t>CÔNG TY CỔ PHẦN ALTIUS LINK VIỆT NAM</t>
        </is>
      </c>
      <c r="E8651" t="inlineStr">
        <is>
          <t>Lương:4 Tr - 4,1 Tr VND</t>
        </is>
      </c>
      <c r="F8651" t="inlineStr">
        <is>
          <t>Hồ Chí Minh</t>
        </is>
      </c>
      <c r="G8651" t="inlineStr">
        <is>
          <t>14-04-2026</t>
        </is>
      </c>
      <c r="H8651" t="inlineStr">
        <is>
          <t>14/04/2026</t>
        </is>
      </c>
      <c r="I8651" t="inlineStr">
        <is>
          <t>17/03/2026</t>
        </is>
      </c>
      <c r="J8651" t="inlineStr">
        <is>
          <t>Thương mại điện tử, Tư vấn, Dịch vụ khách hàng</t>
        </is>
      </c>
      <c r="K8651" t="inlineStr">
        <is>
          <t>N/A</t>
        </is>
      </c>
      <c r="L8651" s="8">
        <f>HYPERLINK("https://careerviet.vn/vi/tim-viec-lam/part-time-nhan-vien-cham-soc-khach-hang-san-tmdt-kenh-chat-6-thang.35C65859.html","Xem chi tiết")</f>
        <v/>
      </c>
    </row>
    <row r="8652">
      <c r="B8652" s="9" t="n">
        <v>8650</v>
      </c>
      <c r="C8652" s="10" t="inlineStr">
        <is>
          <t>Nhân viên vận hành máy tại Long An</t>
        </is>
      </c>
      <c r="D8652" s="10" t="inlineStr">
        <is>
          <t>Công Ty Cổ Phần Thép Việt Xô Hà Nội</t>
        </is>
      </c>
      <c r="E8652" s="10" t="inlineStr">
        <is>
          <t>Lương:12 Tr - 14 Tr VND</t>
        </is>
      </c>
      <c r="F8652" s="10" t="inlineStr">
        <is>
          <t>Long An</t>
        </is>
      </c>
      <c r="G8652" s="10" t="inlineStr">
        <is>
          <t>14-04-2026</t>
        </is>
      </c>
      <c r="H8652" s="10" t="inlineStr">
        <is>
          <t>14/04/2026</t>
        </is>
      </c>
      <c r="I8652" s="10" t="inlineStr">
        <is>
          <t>17/03/2026</t>
        </is>
      </c>
      <c r="J8652" s="10" t="inlineStr">
        <is>
          <t>Sản xuất / Vận hành sản xuất</t>
        </is>
      </c>
      <c r="K8652" s="10" t="inlineStr">
        <is>
          <t>Lên đến 1 Năm</t>
        </is>
      </c>
      <c r="L8652" s="11">
        <f>HYPERLINK("https://careerviet.vn/vi/tim-viec-lam/nhan-vien-van-hanh-may-tai-long-an.35C689AC.html","Xem chi tiết")</f>
        <v/>
      </c>
      <c r="M8652" s="10" t="n"/>
    </row>
    <row r="8653">
      <c r="B8653" s="7" t="n">
        <v>8651</v>
      </c>
      <c r="C8653" t="inlineStr">
        <is>
          <t>Kế toán kho</t>
        </is>
      </c>
      <c r="D8653" t="inlineStr">
        <is>
          <t>CÔNG TY TNHH ĐẦU TƯ ITS</t>
        </is>
      </c>
      <c r="E8653" t="inlineStr">
        <is>
          <t>Lương:9 Tr - 15 Tr VND</t>
        </is>
      </c>
      <c r="F8653" t="inlineStr">
        <is>
          <t>Hồ Chí Minh</t>
        </is>
      </c>
      <c r="G8653" t="inlineStr">
        <is>
          <t>14-04-2026</t>
        </is>
      </c>
      <c r="H8653" t="inlineStr">
        <is>
          <t>14/04/2026</t>
        </is>
      </c>
      <c r="I8653" t="inlineStr">
        <is>
          <t>17/03/2026</t>
        </is>
      </c>
      <c r="J8653" t="inlineStr">
        <is>
          <t>Kế toán / Kiểm toán</t>
        </is>
      </c>
      <c r="K8653" t="inlineStr">
        <is>
          <t>2 - 3 Năm</t>
        </is>
      </c>
      <c r="L8653" s="8">
        <f>HYPERLINK("https://careerviet.vn/vi/tim-viec-lam/ke-toan-kho.35C68AE7.html","Xem chi tiết")</f>
        <v/>
      </c>
    </row>
    <row r="8654">
      <c r="B8654" s="9" t="n">
        <v>8652</v>
      </c>
      <c r="C8654" s="10" t="inlineStr">
        <is>
          <t>TRỢ LÝ HÀNH CHÍNH TIẾNG ANH</t>
        </is>
      </c>
      <c r="D8654" s="10" t="inlineStr">
        <is>
          <t>Công ty TNHH Giày Apache Việt Nam</t>
        </is>
      </c>
      <c r="E8654" s="10" t="inlineStr">
        <is>
          <t>Lương:Cạnh tranh</t>
        </is>
      </c>
      <c r="F8654" s="10" t="inlineStr">
        <is>
          <t>Tiền Giang</t>
        </is>
      </c>
      <c r="G8654" s="10" t="inlineStr">
        <is>
          <t>14-04-2026</t>
        </is>
      </c>
      <c r="H8654" s="10" t="inlineStr">
        <is>
          <t>14/04/2026</t>
        </is>
      </c>
      <c r="I8654" s="10" t="inlineStr">
        <is>
          <t>17/03/2026</t>
        </is>
      </c>
      <c r="J8654" s="10" t="inlineStr">
        <is>
          <t>Dệt may / Da giày / Thời trang</t>
        </is>
      </c>
      <c r="K8654" s="10" t="inlineStr">
        <is>
          <t>1 - 2 Năm</t>
        </is>
      </c>
      <c r="L8654" s="11">
        <f>HYPERLINK("https://careerviet.vn/vi/tim-viec-lam/tro-ly-hanh-chinh-tieng-anh.35C6591A.html","Xem chi tiết")</f>
        <v/>
      </c>
      <c r="M8654" s="10" t="n"/>
    </row>
    <row r="8655">
      <c r="B8655" s="7" t="n">
        <v>8653</v>
      </c>
      <c r="C8655" t="inlineStr">
        <is>
          <t>Business Support Manager</t>
        </is>
      </c>
      <c r="D8655" t="inlineStr">
        <is>
          <t>CÔNG TY TNHH THIỀN</t>
        </is>
      </c>
      <c r="E8655" t="inlineStr">
        <is>
          <t>Lương:30 Tr - 45 Tr VND</t>
        </is>
      </c>
      <c r="F8655" t="inlineStr">
        <is>
          <t>Hồ Chí Minh</t>
        </is>
      </c>
      <c r="G8655" t="inlineStr">
        <is>
          <t>14-04-2026</t>
        </is>
      </c>
      <c r="H8655" t="inlineStr">
        <is>
          <t>14/04/2026</t>
        </is>
      </c>
      <c r="I8655" t="inlineStr">
        <is>
          <t>17/03/2026</t>
        </is>
      </c>
      <c r="J8655" t="inlineStr">
        <is>
          <t>Quản lý điều hành, Tài chính / Đầu tư, Ngành khác</t>
        </is>
      </c>
      <c r="K8655" t="inlineStr">
        <is>
          <t>5 - 10 Năm</t>
        </is>
      </c>
      <c r="L8655" s="8">
        <f>HYPERLINK("https://careerviet.vn/vi/tim-viec-lam/business-support-manager.35C657FC.html","Xem chi tiết")</f>
        <v/>
      </c>
    </row>
    <row r="8656">
      <c r="B8656" s="9" t="n">
        <v>8654</v>
      </c>
      <c r="C8656" s="10" t="inlineStr">
        <is>
          <t>Nhân viên vận hành máy in Logo</t>
        </is>
      </c>
      <c r="D8656" s="10" t="inlineStr">
        <is>
          <t>Công Ty TNHH Ortholite Việt Nam</t>
        </is>
      </c>
      <c r="E8656" s="10" t="inlineStr">
        <is>
          <t>Lương:Cạnh tranh</t>
        </is>
      </c>
      <c r="F8656" s="10" t="inlineStr">
        <is>
          <t>Bình Dương</t>
        </is>
      </c>
      <c r="G8656" s="10" t="inlineStr">
        <is>
          <t>14-04-2026</t>
        </is>
      </c>
      <c r="H8656" s="10" t="inlineStr">
        <is>
          <t>14/04/2026</t>
        </is>
      </c>
      <c r="I8656" s="10" t="inlineStr">
        <is>
          <t>17/03/2026</t>
        </is>
      </c>
      <c r="J8656" s="10" t="inlineStr">
        <is>
          <t>Dệt may / Da giày / Thời trang, Lao động phổ thông, Sản xuất / Vận hành sản xuất</t>
        </is>
      </c>
      <c r="K8656" s="10" t="inlineStr">
        <is>
          <t>1 - 2 Năm</t>
        </is>
      </c>
      <c r="L8656" s="11">
        <f>HYPERLINK("https://careerviet.vn/vi/tim-viec-lam/nhan-vien-van-hanh-may-in-logo.35C65805.html","Xem chi tiết")</f>
        <v/>
      </c>
      <c r="M8656" s="10" t="n"/>
    </row>
    <row r="8657">
      <c r="B8657" s="7" t="n">
        <v>8655</v>
      </c>
      <c r="C8657" t="inlineStr">
        <is>
          <t>Chuyên Viên Kinh Doanh (Tiếng Nhật/Tiếng Trung)</t>
        </is>
      </c>
      <c r="D8657" t="inlineStr">
        <is>
          <t>Headhunter HRchannels Group</t>
        </is>
      </c>
      <c r="E8657" t="inlineStr">
        <is>
          <t>Lương:20 Tr - 25 Tr VND</t>
        </is>
      </c>
      <c r="F8657" t="inlineStr">
        <is>
          <t>Bắc NinhBắc GiangHà Nội</t>
        </is>
      </c>
      <c r="G8657" t="inlineStr">
        <is>
          <t>14-04-2026</t>
        </is>
      </c>
      <c r="H8657" t="inlineStr">
        <is>
          <t>14/04/2026</t>
        </is>
      </c>
      <c r="I8657" t="inlineStr">
        <is>
          <t>17/03/2026</t>
        </is>
      </c>
      <c r="J8657" t="inlineStr">
        <is>
          <t>Bán hàng / Kinh doanh, Dịch vụ khách hàng, Bán Hàng Kỹ Thuật</t>
        </is>
      </c>
      <c r="K8657" t="inlineStr">
        <is>
          <t>1 - 8 Năm</t>
        </is>
      </c>
      <c r="L8657" s="8">
        <f>HYPERLINK("https://careerviet.vn/vi/tim-viec-lam/chuyen-vien-kinh-doanh-tieng-nhat-tieng-trung.35C689D0.html","Xem chi tiết")</f>
        <v/>
      </c>
    </row>
    <row r="8658">
      <c r="B8658" s="9" t="n">
        <v>8656</v>
      </c>
      <c r="C8658" s="10" t="inlineStr">
        <is>
          <t>Kế toán tổng hợp</t>
        </is>
      </c>
      <c r="D8658" s="10" t="inlineStr">
        <is>
          <t>CÔNG TY LIÊN DOANH VẬN CHUYỂN QUỐC TẾ HẢI VÂN</t>
        </is>
      </c>
      <c r="E8658" s="10" t="inlineStr">
        <is>
          <t>Lương:16 Tr - 19 Tr VND</t>
        </is>
      </c>
      <c r="F8658" s="10" t="inlineStr">
        <is>
          <t>Hà Nội</t>
        </is>
      </c>
      <c r="G8658" s="10" t="inlineStr">
        <is>
          <t>14-04-2026</t>
        </is>
      </c>
      <c r="H8658" s="10" t="inlineStr">
        <is>
          <t>14/04/2026</t>
        </is>
      </c>
      <c r="I8658" s="10" t="inlineStr">
        <is>
          <t>17/03/2026</t>
        </is>
      </c>
      <c r="J8658" s="10" t="inlineStr">
        <is>
          <t>Kế toán / Kiểm toán</t>
        </is>
      </c>
      <c r="K8658" s="10" t="inlineStr">
        <is>
          <t>2 - 5 Năm</t>
        </is>
      </c>
      <c r="L8658" s="11">
        <f>HYPERLINK("https://careerviet.vn/vi/tim-viec-lam/ke-toan-tong-hop.35C659DE.html","Xem chi tiết")</f>
        <v/>
      </c>
      <c r="M8658" s="10" t="n"/>
    </row>
    <row r="8659">
      <c r="B8659" s="7" t="n">
        <v>8657</v>
      </c>
      <c r="C8659" t="inlineStr">
        <is>
          <t>Nhân Viên Liên Kết Tiếp Thị</t>
        </is>
      </c>
      <c r="D8659" t="inlineStr">
        <is>
          <t>CÔNG TY TNHH HEBE STYLE</t>
        </is>
      </c>
      <c r="E8659" t="inlineStr">
        <is>
          <t>Lương:10 Tr - 18 Tr VND</t>
        </is>
      </c>
      <c r="F8659" t="inlineStr">
        <is>
          <t>Hồ Chí Minh</t>
        </is>
      </c>
      <c r="G8659" t="inlineStr">
        <is>
          <t>14-04-2026</t>
        </is>
      </c>
      <c r="H8659" t="inlineStr">
        <is>
          <t>14/04/2026</t>
        </is>
      </c>
      <c r="I8659" t="inlineStr">
        <is>
          <t>17/03/2026</t>
        </is>
      </c>
      <c r="J8659" t="inlineStr">
        <is>
          <t>Tiếp thị / Marketing, Tiếp thị trực tuyến</t>
        </is>
      </c>
      <c r="K8659" t="inlineStr">
        <is>
          <t>Trên 1 Năm</t>
        </is>
      </c>
      <c r="L8659" s="8">
        <f>HYPERLINK("https://careerviet.vn/vi/tim-viec-lam/nhan-vien-lien-ket-tiep-thi.35C68B23.html","Xem chi tiết")</f>
        <v/>
      </c>
    </row>
    <row r="8660">
      <c r="B8660" s="9" t="n">
        <v>8658</v>
      </c>
      <c r="C8660" s="10" t="inlineStr">
        <is>
          <t>Quảng Ninh - Chuyên viên kế hoạch tiến độ</t>
        </is>
      </c>
      <c r="D8660" s="10" t="inlineStr">
        <is>
          <t>BIM Group</t>
        </is>
      </c>
      <c r="E8660" s="10" t="inlineStr">
        <is>
          <t>Lương:Cạnh tranh</t>
        </is>
      </c>
      <c r="F8660" s="10" t="inlineStr">
        <is>
          <t>Quảng Ninh</t>
        </is>
      </c>
      <c r="G8660" s="10" t="inlineStr">
        <is>
          <t>14-04-2026</t>
        </is>
      </c>
      <c r="H8660" s="10" t="inlineStr">
        <is>
          <t>14/04/2026</t>
        </is>
      </c>
      <c r="I8660" s="10" t="inlineStr">
        <is>
          <t>17/03/2026</t>
        </is>
      </c>
      <c r="J8660" s="10" t="inlineStr">
        <is>
          <t>Xây dựng, Điện / Điện tử / Điện lạnh / Điện công nghiệp</t>
        </is>
      </c>
      <c r="K8660" s="10" t="inlineStr">
        <is>
          <t>1 - 2 Năm</t>
        </is>
      </c>
      <c r="L8660" s="11">
        <f>HYPERLINK("https://careerviet.vn/vi/tim-viec-lam/quang-ninh-chuyen-vien-ke-hoach-tien-do.35C689AE.html","Xem chi tiết")</f>
        <v/>
      </c>
      <c r="M8660" s="10" t="n"/>
    </row>
    <row r="8661">
      <c r="B8661" s="7" t="n">
        <v>8659</v>
      </c>
      <c r="C8661" t="inlineStr">
        <is>
          <t>Kỹ sư Môi trường - Quản lý Hệ thống EHS</t>
        </is>
      </c>
      <c r="D8661" t="inlineStr">
        <is>
          <t>CÔNG TY TNHH ELECTRONIC TRIPOD VIỆT NAM (CHÂU ĐỨC)</t>
        </is>
      </c>
      <c r="E8661" t="inlineStr">
        <is>
          <t>Lương:Cạnh tranh</t>
        </is>
      </c>
      <c r="F8661" t="inlineStr">
        <is>
          <t>Bà Rịa - Vũng Tàu</t>
        </is>
      </c>
      <c r="G8661" t="inlineStr">
        <is>
          <t>14-04-2026</t>
        </is>
      </c>
      <c r="H8661" t="inlineStr">
        <is>
          <t>14/04/2026</t>
        </is>
      </c>
      <c r="I8661" t="inlineStr">
        <is>
          <t>17/03/2026</t>
        </is>
      </c>
      <c r="J8661" t="inlineStr">
        <is>
          <t>Môi trường, Sản xuất / Vận hành sản xuất, Hóa học</t>
        </is>
      </c>
      <c r="K8661" t="inlineStr">
        <is>
          <t>Lên đến 1 Năm</t>
        </is>
      </c>
      <c r="L8661" s="8">
        <f>HYPERLINK("https://careerviet.vn/vi/tim-viec-lam/ky-su-moi-truong-quan-ly-he-thong-ehs.35C689F2.html","Xem chi tiết")</f>
        <v/>
      </c>
    </row>
    <row r="8662">
      <c r="B8662" s="9" t="n">
        <v>8660</v>
      </c>
      <c r="C8662" s="10" t="inlineStr">
        <is>
          <t>Nhân Viên Marketing Đối Ngoại/ Hợp Tác</t>
        </is>
      </c>
      <c r="D8662" s="10" t="inlineStr">
        <is>
          <t>Công Ty TNHH XNK Cầu Nối Việt</t>
        </is>
      </c>
      <c r="E8662" s="10" t="inlineStr">
        <is>
          <t>Lương:13 Tr - 15 Tr VND</t>
        </is>
      </c>
      <c r="F8662" s="10" t="inlineStr">
        <is>
          <t>Hà Nội</t>
        </is>
      </c>
      <c r="G8662" s="10" t="inlineStr">
        <is>
          <t>14-04-2026</t>
        </is>
      </c>
      <c r="H8662" s="10" t="inlineStr">
        <is>
          <t>14/04/2026</t>
        </is>
      </c>
      <c r="I8662" s="10" t="inlineStr">
        <is>
          <t>17/03/2026</t>
        </is>
      </c>
      <c r="J8662" s="10" t="inlineStr">
        <is>
          <t>Tiếp thị / Marketing, Quảng cáo / Đối ngoại / Truyền Thông</t>
        </is>
      </c>
      <c r="K8662" s="10" t="inlineStr">
        <is>
          <t>1 - 5 Năm</t>
        </is>
      </c>
      <c r="L8662" s="11">
        <f>HYPERLINK("https://careerviet.vn/vi/tim-viec-lam/nhan-vien-marketing-doi-ngoai-hop-tac.35C68AFD.html","Xem chi tiết")</f>
        <v/>
      </c>
      <c r="M8662" s="10" t="n"/>
    </row>
    <row r="8663">
      <c r="B8663" s="7" t="n">
        <v>8661</v>
      </c>
      <c r="C8663" t="inlineStr">
        <is>
          <t>Warehouse Executive</t>
        </is>
      </c>
      <c r="D8663" t="inlineStr">
        <is>
          <t>CÔNG TY TNHH BESI VIỆT NAM</t>
        </is>
      </c>
      <c r="E8663" t="inlineStr">
        <is>
          <t>Lương:Cạnh tranh</t>
        </is>
      </c>
      <c r="F8663" t="inlineStr">
        <is>
          <t>Hồ Chí Minh</t>
        </is>
      </c>
      <c r="G8663" t="inlineStr">
        <is>
          <t>30-04-2026</t>
        </is>
      </c>
      <c r="H8663" t="inlineStr">
        <is>
          <t>30/04/2026</t>
        </is>
      </c>
      <c r="I8663" t="inlineStr">
        <is>
          <t>17/03/2026</t>
        </is>
      </c>
      <c r="J8663" t="inlineStr">
        <is>
          <t>Vận chuyển / Giao nhận / Kho vận, Sản xuất / Vận hành sản xuất</t>
        </is>
      </c>
      <c r="K8663" t="inlineStr">
        <is>
          <t>2 - 3 Năm</t>
        </is>
      </c>
      <c r="L8663" s="8">
        <f>HYPERLINK("https://careerviet.vn/vi/tim-viec-lam/warehouse-executive.35C6A4D8.html","Xem chi tiết")</f>
        <v/>
      </c>
    </row>
    <row r="8664">
      <c r="B8664" s="9" t="n">
        <v>8662</v>
      </c>
      <c r="C8664" s="10" t="inlineStr">
        <is>
          <t>Weaving Process Technical Engineer</t>
        </is>
      </c>
      <c r="D8664" s="10" t="inlineStr">
        <is>
          <t>CÔNG TY TNHH WGR INDUSTRIES</t>
        </is>
      </c>
      <c r="E8664" s="10" t="inlineStr">
        <is>
          <t>Lương:Cạnh tranh</t>
        </is>
      </c>
      <c r="F8664" s="10" t="inlineStr">
        <is>
          <t>Bình Định</t>
        </is>
      </c>
      <c r="G8664" s="10" t="inlineStr">
        <is>
          <t>31-03-2026</t>
        </is>
      </c>
      <c r="H8664" s="10" t="inlineStr">
        <is>
          <t>31/03/2026</t>
        </is>
      </c>
      <c r="I8664" s="10" t="inlineStr">
        <is>
          <t>17/03/2026</t>
        </is>
      </c>
      <c r="J8664" s="10" t="inlineStr">
        <is>
          <t>Dệt may / Da giày / Thời trang, Sản xuất / Vận hành sản xuất</t>
        </is>
      </c>
      <c r="K8664" s="10" t="inlineStr">
        <is>
          <t>1 - 3 Năm</t>
        </is>
      </c>
      <c r="L8664" s="11">
        <f>HYPERLINK("https://careerviet.vn/vi/tim-viec-lam/weaving-process-technical-engineer.35C6A4D7.html","Xem chi tiết")</f>
        <v/>
      </c>
      <c r="M8664" s="10" t="n"/>
    </row>
    <row r="8665">
      <c r="B8665" s="7" t="n">
        <v>8663</v>
      </c>
      <c r="C8665" t="inlineStr">
        <is>
          <t>Kế toán Kiểm soát nội bộ</t>
        </is>
      </c>
      <c r="D8665" t="inlineStr">
        <is>
          <t>UNIEXPORT CO., LTD</t>
        </is>
      </c>
      <c r="E8665" t="inlineStr">
        <is>
          <t>Lương:Cạnh tranh</t>
        </is>
      </c>
      <c r="F8665" t="inlineStr">
        <is>
          <t>Hồ Chí Minh</t>
        </is>
      </c>
      <c r="G8665" t="inlineStr">
        <is>
          <t>31-03-2026</t>
        </is>
      </c>
      <c r="H8665" t="inlineStr">
        <is>
          <t>31/03/2026</t>
        </is>
      </c>
      <c r="I8665" t="inlineStr">
        <is>
          <t>17/03/2026</t>
        </is>
      </c>
      <c r="J8665" t="inlineStr">
        <is>
          <t>Bán hàng / Kinh doanh, Kế toán / Kiểm toán, Xuất nhập khẩu</t>
        </is>
      </c>
      <c r="K8665" t="inlineStr">
        <is>
          <t>2 - 3 Năm</t>
        </is>
      </c>
      <c r="L8665" s="8">
        <f>HYPERLINK("https://careerviet.vn/vi/tim-viec-lam/ke-toan-kiem-soat-noi-bo.35C694A9.html","Xem chi tiết")</f>
        <v/>
      </c>
    </row>
    <row r="8666">
      <c r="B8666" s="9" t="n">
        <v>8664</v>
      </c>
      <c r="C8666" s="10" t="inlineStr">
        <is>
          <t>Thiết kế Cầu Đường</t>
        </is>
      </c>
      <c r="D8666" s="10" t="inlineStr">
        <is>
          <t>Công Ty Cổ Phần Thương Mại Tư Vấn Và Xây Dựng Vĩnh Hưng</t>
        </is>
      </c>
      <c r="E8666" s="10" t="inlineStr">
        <is>
          <t>Lương:Cạnh tranh</t>
        </is>
      </c>
      <c r="F8666" s="10" t="inlineStr">
        <is>
          <t>Hà Nội</t>
        </is>
      </c>
      <c r="G8666" s="10" t="inlineStr">
        <is>
          <t>15-03-2026</t>
        </is>
      </c>
      <c r="H8666" s="10" t="inlineStr">
        <is>
          <t>15/03/2026</t>
        </is>
      </c>
      <c r="I8666" s="10" t="inlineStr">
        <is>
          <t>17/03/2026</t>
        </is>
      </c>
      <c r="J8666" s="10" t="inlineStr">
        <is>
          <t>Xây dựng</t>
        </is>
      </c>
      <c r="K8666" s="10" t="inlineStr">
        <is>
          <t>1 - 2 Năm</t>
        </is>
      </c>
      <c r="L8666" s="11">
        <f>HYPERLINK("https://careerviet.vn/vi/tim-viec-lam/thiet-ke-cau-duong.35C6A398.html","Xem chi tiết")</f>
        <v/>
      </c>
      <c r="M8666" s="10" t="n"/>
    </row>
    <row r="8667">
      <c r="B8667" s="7" t="n">
        <v>8665</v>
      </c>
      <c r="C8667" t="inlineStr">
        <is>
          <t>TUYỂN DỤNG NHÂN VIÊN KINH DOANH TIẾNG NHẬT</t>
        </is>
      </c>
      <c r="D8667" t="inlineStr">
        <is>
          <t>KOKORO HR CO.,LTD</t>
        </is>
      </c>
      <c r="E8667" t="inlineStr">
        <is>
          <t>Lương:9 Tr - 29 Tr VND</t>
        </is>
      </c>
      <c r="F8667" t="inlineStr">
        <is>
          <t>Hồ Chí MinhĐồng NaiBình Dương</t>
        </is>
      </c>
      <c r="G8667" t="inlineStr">
        <is>
          <t>14-04-2026</t>
        </is>
      </c>
      <c r="H8667" t="inlineStr">
        <is>
          <t>14/04/2026</t>
        </is>
      </c>
      <c r="I8667" t="inlineStr">
        <is>
          <t>17/03/2026</t>
        </is>
      </c>
      <c r="J8667" t="inlineStr">
        <is>
          <t>Biên phiên dịch, Bán hàng / Kinh doanh, Tiếp thị / Marketing</t>
        </is>
      </c>
      <c r="K8667" t="inlineStr">
        <is>
          <t>Chưa có kinh nghiệm</t>
        </is>
      </c>
      <c r="L8667" s="8">
        <f>HYPERLINK("https://careerviet.vn/vi/tim-viec-lam/tuyen-dung-nhan-vien-kinh-doanh-tieng-nhat.35C689A7.html","Xem chi tiết")</f>
        <v/>
      </c>
    </row>
    <row r="8668">
      <c r="B8668" s="9" t="n">
        <v>8666</v>
      </c>
      <c r="C8668" s="10" t="inlineStr">
        <is>
          <t>Chuyên viên Quản lý kỹ thuật/ Shopdrawing Văn phòng</t>
        </is>
      </c>
      <c r="D8668" s="10" t="inlineStr">
        <is>
          <t>Công Ty Cổ Phần VictoryCons</t>
        </is>
      </c>
      <c r="E8668" s="10" t="inlineStr">
        <is>
          <t>Lương:Cạnh tranh</t>
        </is>
      </c>
      <c r="F8668" s="10" t="inlineStr">
        <is>
          <t>Hồ Chí Minh</t>
        </is>
      </c>
      <c r="G8668" s="10" t="inlineStr">
        <is>
          <t>14-04-2026</t>
        </is>
      </c>
      <c r="H8668" s="10" t="inlineStr">
        <is>
          <t>14/04/2026</t>
        </is>
      </c>
      <c r="I8668" s="10" t="inlineStr">
        <is>
          <t>17/03/2026</t>
        </is>
      </c>
      <c r="J8668" s="10" t="inlineStr">
        <is>
          <t>Kiến trúc, Xây dựng, Bất động sản</t>
        </is>
      </c>
      <c r="K8668" s="10" t="inlineStr">
        <is>
          <t>1 - 5 Năm</t>
        </is>
      </c>
      <c r="L8668" s="11">
        <f>HYPERLINK("https://careerviet.vn/vi/tim-viec-lam/chuyen-vien-quan-ly-ky-thuat-shopdrawing-van-phong.35C65812.html","Xem chi tiết")</f>
        <v/>
      </c>
      <c r="M8668" s="10" t="n"/>
    </row>
    <row r="8669">
      <c r="B8669" s="7" t="n">
        <v>8667</v>
      </c>
      <c r="C8669" t="inlineStr">
        <is>
          <t>Nhân viên Social Media thương hiệu Mẹ và bé tại Ngoại giao đoàn</t>
        </is>
      </c>
      <c r="D8669" t="inlineStr">
        <is>
          <t>Công Ty TNHH XNK Cầu Nối Việt</t>
        </is>
      </c>
      <c r="E8669" t="inlineStr">
        <is>
          <t>Lương:8 Tr - 12 Tr VND</t>
        </is>
      </c>
      <c r="F8669" t="inlineStr">
        <is>
          <t>Hà Nội</t>
        </is>
      </c>
      <c r="G8669" t="inlineStr">
        <is>
          <t>14-04-2026</t>
        </is>
      </c>
      <c r="H8669" t="inlineStr">
        <is>
          <t>14/04/2026</t>
        </is>
      </c>
      <c r="I8669" t="inlineStr">
        <is>
          <t>17/03/2026</t>
        </is>
      </c>
      <c r="J8669" t="inlineStr">
        <is>
          <t>Tiếp thị / Marketing, Truyền hình / Báo chí / Biên tập</t>
        </is>
      </c>
      <c r="K8669" t="inlineStr">
        <is>
          <t>1 - 5 Năm</t>
        </is>
      </c>
      <c r="L8669" s="8">
        <f>HYPERLINK("https://careerviet.vn/vi/tim-viec-lam/nhan-vien-social-media-thuong-hieu-me-va-be-tai-ngoai-giao-doan.35C68B0D.html","Xem chi tiết")</f>
        <v/>
      </c>
    </row>
    <row r="8670">
      <c r="B8670" s="9" t="n">
        <v>8668</v>
      </c>
      <c r="C8670" s="10" t="inlineStr">
        <is>
          <t>CHUYÊN VIÊN TƯ VẤN GIÁO DỤC (OCEAN EDU BỈM SƠN) - THU NHẬP HẤP DẪN TỪ 15 TRIỆU/THÁNG</t>
        </is>
      </c>
      <c r="D8670" s="10" t="inlineStr">
        <is>
          <t>Công Ty CP Giáo Dục Đại Dương</t>
        </is>
      </c>
      <c r="E8670" s="10" t="inlineStr">
        <is>
          <t>Lương:Cạnh tranh</t>
        </is>
      </c>
      <c r="F8670" s="10" t="inlineStr">
        <is>
          <t>Thanh Hóa</t>
        </is>
      </c>
      <c r="G8670" s="10" t="inlineStr">
        <is>
          <t>01-04-2026</t>
        </is>
      </c>
      <c r="H8670" s="10" t="inlineStr">
        <is>
          <t>01/04/2026</t>
        </is>
      </c>
      <c r="I8670" s="10" t="inlineStr">
        <is>
          <t>17/03/2026</t>
        </is>
      </c>
      <c r="J8670" s="10" t="inlineStr">
        <is>
          <t>Dịch vụ khách hàng, Giáo dục / Đào tạo, Bán hàng / Kinh doanh</t>
        </is>
      </c>
      <c r="K8670" s="10" t="inlineStr">
        <is>
          <t>Lên đến 1 Năm</t>
        </is>
      </c>
      <c r="L8670" s="11">
        <f>HYPERLINK("https://careerviet.vn/vi/tim-viec-lam/chuyen-vien-tu-van-giao-duc-ocean-edu-bim-son-thu-nhap-hap-dan-tu-15-trieu-thang.35C6A42E.html","Xem chi tiết")</f>
        <v/>
      </c>
      <c r="M8670" s="10" t="n"/>
    </row>
    <row r="8671">
      <c r="B8671" s="7" t="n">
        <v>8669</v>
      </c>
      <c r="C8671" t="inlineStr">
        <is>
          <t>Chuyên viên Quan hệ Khách hàng Doanh nghiệp (Toàn quốc)</t>
        </is>
      </c>
      <c r="D8671" t="inlineStr">
        <is>
          <t>Ngân Hàng TMCP Sài Gòn - Hà Nội ( SHB )</t>
        </is>
      </c>
      <c r="E8671" t="inlineStr">
        <is>
          <t>Lương:Cạnh tranh</t>
        </is>
      </c>
      <c r="F8671" t="inlineStr">
        <is>
          <t>Thái NguyênBắc GiangSơn La</t>
        </is>
      </c>
      <c r="G8671" t="inlineStr">
        <is>
          <t>01-04-2026</t>
        </is>
      </c>
      <c r="H8671" t="inlineStr">
        <is>
          <t>01/04/2026</t>
        </is>
      </c>
      <c r="I8671" t="inlineStr">
        <is>
          <t>17/03/2026</t>
        </is>
      </c>
      <c r="J8671" t="inlineStr">
        <is>
          <t>Ngân hàng, Bán hàng / Kinh doanh</t>
        </is>
      </c>
      <c r="K8671" t="inlineStr">
        <is>
          <t>Chưa có kinh nghiệm</t>
        </is>
      </c>
      <c r="L8671" s="8">
        <f>HYPERLINK("https://careerviet.vn/vi/tim-viec-lam/chuyen-vien-quan-he-khach-hang-doanh-nghiep-toan-quoc.35C6A366.html","Xem chi tiết")</f>
        <v/>
      </c>
    </row>
    <row r="8672">
      <c r="B8672" s="9" t="n">
        <v>8670</v>
      </c>
      <c r="C8672" s="10" t="inlineStr">
        <is>
          <t>Chuyên Viên Dự Toán (Công Trình Nguồn Điện)</t>
        </is>
      </c>
      <c r="D8672" s="10" t="inlineStr">
        <is>
          <t>Công ty cổ phần Tư vấn xây dựng điện 3</t>
        </is>
      </c>
      <c r="E8672" s="10" t="inlineStr">
        <is>
          <t>Lương:Cạnh tranh</t>
        </is>
      </c>
      <c r="F8672" s="10" t="inlineStr">
        <is>
          <t>Hồ Chí Minh</t>
        </is>
      </c>
      <c r="G8672" s="10" t="inlineStr">
        <is>
          <t>14-04-2026</t>
        </is>
      </c>
      <c r="H8672" s="10" t="inlineStr">
        <is>
          <t>14/04/2026</t>
        </is>
      </c>
      <c r="I8672" s="10" t="inlineStr">
        <is>
          <t>17/03/2026</t>
        </is>
      </c>
      <c r="J8672" s="10" t="inlineStr">
        <is>
          <t>Xây dựng, Kiến trúc, Nội ngoại thất</t>
        </is>
      </c>
      <c r="K8672" s="10" t="inlineStr">
        <is>
          <t>Trên 1 Năm</t>
        </is>
      </c>
      <c r="L8672" s="11">
        <f>HYPERLINK("https://careerviet.vn/vi/tim-viec-lam/chuyen-vien-du-toan-cong-trinh-nguon-dien.35C68AC7.html","Xem chi tiết")</f>
        <v/>
      </c>
      <c r="M8672" s="10" t="n"/>
    </row>
    <row r="8673">
      <c r="B8673" s="7" t="n">
        <v>8671</v>
      </c>
      <c r="C8673" t="inlineStr">
        <is>
          <t>Trưởng Nhóm Tuyển Sinh - Toàn Quốc - Lương Từ 18 Đến 22 Triệu/Tháng</t>
        </is>
      </c>
      <c r="D8673" t="inlineStr">
        <is>
          <t>Công Ty CP Giáo Dục Đại Dương</t>
        </is>
      </c>
      <c r="E8673" t="inlineStr">
        <is>
          <t>Lương:Cạnh tranh</t>
        </is>
      </c>
      <c r="F8673" t="inlineStr">
        <is>
          <t>Bắc NinhPhú ThọBắc Giang</t>
        </is>
      </c>
      <c r="G8673" t="inlineStr">
        <is>
          <t>01-04-2026</t>
        </is>
      </c>
      <c r="H8673" t="inlineStr">
        <is>
          <t>01/04/2026</t>
        </is>
      </c>
      <c r="I8673" t="inlineStr">
        <is>
          <t>17/03/2026</t>
        </is>
      </c>
      <c r="J8673" t="inlineStr">
        <is>
          <t>Giáo dục / Đào tạo, Bán lẻ / Bán sỉ, Bán hàng / Kinh doanh</t>
        </is>
      </c>
      <c r="K8673" t="inlineStr">
        <is>
          <t>N/A</t>
        </is>
      </c>
      <c r="L8673" s="8">
        <f>HYPERLINK("https://careerviet.vn/vi/tim-viec-lam/truong-nhom-tuyen-sinh-toan-quoc-luong-tu-18-den-22-trieu-thang.35C6A700.html","Xem chi tiết")</f>
        <v/>
      </c>
    </row>
    <row r="8674">
      <c r="B8674" s="9" t="n">
        <v>8672</v>
      </c>
      <c r="C8674" s="10" t="inlineStr">
        <is>
          <t>GROWTH CONTENT + SEO HYBRID</t>
        </is>
      </c>
      <c r="D8674" s="10" t="inlineStr">
        <is>
          <t>Công ty TNHH TOM Group Việt Nam</t>
        </is>
      </c>
      <c r="E8674" s="10" t="inlineStr">
        <is>
          <t>Lương:Cạnh tranh</t>
        </is>
      </c>
      <c r="F8674" s="10" t="inlineStr">
        <is>
          <t>Hồ Chí Minh</t>
        </is>
      </c>
      <c r="G8674" s="10" t="inlineStr">
        <is>
          <t>17-04-2026</t>
        </is>
      </c>
      <c r="H8674" s="10" t="inlineStr">
        <is>
          <t>17/04/2026</t>
        </is>
      </c>
      <c r="I8674" s="10" t="inlineStr">
        <is>
          <t>17/03/2026</t>
        </is>
      </c>
      <c r="J8674" s="10" t="inlineStr">
        <is>
          <t>Tiếp thị / Marketing, Bán hàng / Kinh doanh</t>
        </is>
      </c>
      <c r="K8674" s="10" t="inlineStr">
        <is>
          <t>2 - 4 Năm</t>
        </is>
      </c>
      <c r="L8674" s="11">
        <f>HYPERLINK("https://careerviet.vn/vi/tim-viec-lam/growth-content-seo-hybrid.35C6A3E8.html","Xem chi tiết")</f>
        <v/>
      </c>
      <c r="M8674" s="10" t="n"/>
    </row>
    <row r="8675">
      <c r="B8675" s="7" t="n">
        <v>8673</v>
      </c>
      <c r="C8675" t="inlineStr">
        <is>
          <t>Nhân viên Sự kiện (Bến Cát - Bình Dương)</t>
        </is>
      </c>
      <c r="D8675" t="inlineStr">
        <is>
          <t>Công Ty CP Liên Kết Quốc Tế INTERLINK (Trường Liên Kết Quốc Tế INschool &amp; Ngoại Ngữ Quốc Tế INS ENGLISH &amp; CHINESE)</t>
        </is>
      </c>
      <c r="E8675" t="inlineStr">
        <is>
          <t>Lương:8 Tr - 12 Tr VND</t>
        </is>
      </c>
      <c r="F8675" t="inlineStr">
        <is>
          <t>Bình Dương</t>
        </is>
      </c>
      <c r="G8675" t="inlineStr">
        <is>
          <t>01-04-2026</t>
        </is>
      </c>
      <c r="H8675" t="inlineStr">
        <is>
          <t>01/04/2026</t>
        </is>
      </c>
      <c r="I8675" t="inlineStr">
        <is>
          <t>17/03/2026</t>
        </is>
      </c>
      <c r="J8675" t="inlineStr">
        <is>
          <t>Tổ chức sự kiện</t>
        </is>
      </c>
      <c r="K8675" t="inlineStr">
        <is>
          <t>1 - 2 Năm</t>
        </is>
      </c>
      <c r="L8675" s="8">
        <f>HYPERLINK("https://careerviet.vn/vi/tim-viec-lam/nhan-vien-su-kien-ben-cat-binh-duong.35C6A64A.html","Xem chi tiết")</f>
        <v/>
      </c>
    </row>
    <row r="8676">
      <c r="B8676" s="9" t="n">
        <v>8674</v>
      </c>
      <c r="C8676" s="10" t="inlineStr">
        <is>
          <t>Nhân viên định mức nguyên vật liệu (BOM)</t>
        </is>
      </c>
      <c r="D8676" s="10" t="inlineStr">
        <is>
          <t>Công ty TNHH San Lim Furniture Việt Nam</t>
        </is>
      </c>
      <c r="E8676" s="10" t="inlineStr">
        <is>
          <t>Lương:Cạnh tranh</t>
        </is>
      </c>
      <c r="F8676" s="10" t="inlineStr">
        <is>
          <t>Đồng Nai</t>
        </is>
      </c>
      <c r="G8676" s="10" t="inlineStr">
        <is>
          <t>03-04-2026</t>
        </is>
      </c>
      <c r="H8676" s="10" t="inlineStr">
        <is>
          <t>03/04/2026</t>
        </is>
      </c>
      <c r="I8676" s="10" t="inlineStr">
        <is>
          <t>17/03/2026</t>
        </is>
      </c>
      <c r="J8676" s="10" t="inlineStr">
        <is>
          <t>Kế toán / Kiểm toán, Mỹ thuật / Nghệ thuật / Thiết kế, Đồ gỗ</t>
        </is>
      </c>
      <c r="K8676" s="10" t="inlineStr">
        <is>
          <t>1 - 2 Năm</t>
        </is>
      </c>
      <c r="L8676" s="11">
        <f>HYPERLINK("https://careerviet.vn/vi/tim-viec-lam/nhan-vien-dinh-muc-nguyen-vat-lieu-bom.35C6A5E8.html","Xem chi tiết")</f>
        <v/>
      </c>
      <c r="M8676" s="10" t="n"/>
    </row>
    <row r="8677">
      <c r="B8677" s="7" t="n">
        <v>8675</v>
      </c>
      <c r="C8677" t="inlineStr">
        <is>
          <t>Trưởng Nhóm QA-QC Công trường</t>
        </is>
      </c>
      <c r="D8677" t="inlineStr">
        <is>
          <t>CÔNG TY CỔ PHẦN TẬP ĐOÀN XÂY DỰNG HÒA BÌNH</t>
        </is>
      </c>
      <c r="E8677" t="inlineStr">
        <is>
          <t>Lương:Cạnh tranh</t>
        </is>
      </c>
      <c r="F8677" t="inlineStr">
        <is>
          <t>Hồ Chí MinhLong AnKiên Giang</t>
        </is>
      </c>
      <c r="G8677" t="inlineStr">
        <is>
          <t>02-04-2026</t>
        </is>
      </c>
      <c r="H8677" t="inlineStr">
        <is>
          <t>02/04/2026</t>
        </is>
      </c>
      <c r="I8677" t="inlineStr">
        <is>
          <t>17/03/2026</t>
        </is>
      </c>
      <c r="J8677" t="inlineStr">
        <is>
          <t>Xây dựng</t>
        </is>
      </c>
      <c r="K8677" t="inlineStr">
        <is>
          <t>2 - 5 Năm</t>
        </is>
      </c>
      <c r="L8677" s="8">
        <f>HYPERLINK("https://careerviet.vn/vi/tim-viec-lam/truong-nhom-qa-qc-cong-truong.35C6A4DF.html","Xem chi tiết")</f>
        <v/>
      </c>
    </row>
    <row r="8678">
      <c r="B8678" s="9" t="n">
        <v>8676</v>
      </c>
      <c r="C8678" s="10" t="inlineStr">
        <is>
          <t>NHÂN VIÊN QA CHỨNG NHẬN</t>
        </is>
      </c>
      <c r="D8678" s="10" t="inlineStr">
        <is>
          <t>Công ty cổ phần Nafoods Group</t>
        </is>
      </c>
      <c r="E8678" s="10" t="inlineStr">
        <is>
          <t>Lương:8 Tr - 14 Tr VND</t>
        </is>
      </c>
      <c r="F8678" s="10" t="inlineStr">
        <is>
          <t>Bình Thuận</t>
        </is>
      </c>
      <c r="G8678" s="10" t="inlineStr">
        <is>
          <t>31-03-2026</t>
        </is>
      </c>
      <c r="H8678" s="10" t="inlineStr">
        <is>
          <t>31/03/2026</t>
        </is>
      </c>
      <c r="I8678" s="10" t="inlineStr">
        <is>
          <t>17/03/2026</t>
        </is>
      </c>
      <c r="J8678" s="10" t="inlineStr">
        <is>
          <t>Sản xuất / Vận hành sản xuất</t>
        </is>
      </c>
      <c r="K8678" s="10" t="inlineStr">
        <is>
          <t>1 - 5 Năm</t>
        </is>
      </c>
      <c r="L8678" s="11">
        <f>HYPERLINK("https://careerviet.vn/vi/tim-viec-lam/nhan-vien-qa-chung-nhan.35C6A54F.html","Xem chi tiết")</f>
        <v/>
      </c>
      <c r="M8678" s="10" t="n"/>
    </row>
    <row r="8679">
      <c r="B8679" s="7" t="n">
        <v>8677</v>
      </c>
      <c r="C8679" t="inlineStr">
        <is>
          <t>NHÂN VIÊN QUẢN LÝ HỆ THỐNG CHẤT LƯỢNG</t>
        </is>
      </c>
      <c r="D8679" t="inlineStr">
        <is>
          <t>CÔNG TY CP CHẾ BIẾN DỪA Á CHÂU</t>
        </is>
      </c>
      <c r="E8679" t="inlineStr">
        <is>
          <t>Lương:Cạnh tranh</t>
        </is>
      </c>
      <c r="F8679" t="inlineStr">
        <is>
          <t>Bến Tre</t>
        </is>
      </c>
      <c r="G8679" t="inlineStr">
        <is>
          <t>31-03-2026</t>
        </is>
      </c>
      <c r="H8679" t="inlineStr">
        <is>
          <t>31/03/2026</t>
        </is>
      </c>
      <c r="I8679" t="inlineStr">
        <is>
          <t>17/03/2026</t>
        </is>
      </c>
      <c r="J8679" t="inlineStr">
        <is>
          <t>Quản lý chất lượng (QA/QC), Công nghệ thực phẩm / Dinh dưỡng, Công nghệ sinh học</t>
        </is>
      </c>
      <c r="K8679" t="inlineStr">
        <is>
          <t>1 - 3 Năm</t>
        </is>
      </c>
      <c r="L8679" s="8">
        <f>HYPERLINK("https://careerviet.vn/vi/tim-viec-lam/nhan-vien-quan-ly-he-thong-chat-luong.35C6A70E.html","Xem chi tiết")</f>
        <v/>
      </c>
    </row>
    <row r="8680">
      <c r="B8680" s="9" t="n">
        <v>8678</v>
      </c>
      <c r="C8680" s="10" t="inlineStr">
        <is>
          <t>CHUYÊN VIÊN TƯ VẤN GIÁO DỤC (OCEAN EDU ÂN THI) - THU NHẬP HẤP DẪN TỪ 15 TRIỆU/THÁNG</t>
        </is>
      </c>
      <c r="D8680" s="10" t="inlineStr">
        <is>
          <t>Công Ty CP Giáo Dục Đại Dương</t>
        </is>
      </c>
      <c r="E8680" s="10" t="inlineStr">
        <is>
          <t>Lương:Cạnh tranh</t>
        </is>
      </c>
      <c r="F8680" s="10" t="inlineStr">
        <is>
          <t>Hưng Yên</t>
        </is>
      </c>
      <c r="G8680" s="10" t="inlineStr">
        <is>
          <t>01-04-2026</t>
        </is>
      </c>
      <c r="H8680" s="10" t="inlineStr">
        <is>
          <t>01/04/2026</t>
        </is>
      </c>
      <c r="I8680" s="10" t="inlineStr">
        <is>
          <t>17/03/2026</t>
        </is>
      </c>
      <c r="J8680" s="10" t="inlineStr">
        <is>
          <t>Dịch vụ khách hàng, Giáo dục / Đào tạo, Bán hàng / Kinh doanh</t>
        </is>
      </c>
      <c r="K8680" s="10" t="inlineStr">
        <is>
          <t>Lên đến 1 Năm</t>
        </is>
      </c>
      <c r="L8680" s="11">
        <f>HYPERLINK("https://careerviet.vn/vi/tim-viec-lam/chuyen-vien-tu-van-giao-duc-ocean-edu-an-thi-thu-nhap-hap-dan-tu-15-trieu-thang.35C6A53D.html","Xem chi tiết")</f>
        <v/>
      </c>
      <c r="M8680" s="10" t="n"/>
    </row>
    <row r="8681">
      <c r="B8681" s="7" t="n">
        <v>8679</v>
      </c>
      <c r="C8681" t="inlineStr">
        <is>
          <t>NHÂN VIÊN MUA HÀNG</t>
        </is>
      </c>
      <c r="D8681" t="inlineStr">
        <is>
          <t>Công Ty CP XNK Hóa Chất &amp; Thiết Bị Kim Ngưu</t>
        </is>
      </c>
      <c r="E8681" t="inlineStr">
        <is>
          <t>Lương:Cạnh tranh</t>
        </is>
      </c>
      <c r="F8681" t="inlineStr">
        <is>
          <t>Hồ Chí Minh</t>
        </is>
      </c>
      <c r="G8681" t="inlineStr">
        <is>
          <t>29-04-2026</t>
        </is>
      </c>
      <c r="H8681" t="inlineStr">
        <is>
          <t>29/04/2026</t>
        </is>
      </c>
      <c r="I8681" t="inlineStr">
        <is>
          <t>17/03/2026</t>
        </is>
      </c>
      <c r="J8681" t="inlineStr">
        <is>
          <t>Hành chính / Thư ký, Xuất nhập khẩu, Thu mua / Vật tư</t>
        </is>
      </c>
      <c r="K8681" t="inlineStr">
        <is>
          <t>3 - 5 Năm</t>
        </is>
      </c>
      <c r="L8681" s="8">
        <f>HYPERLINK("https://careerviet.vn/vi/tim-viec-lam/nhan-vien-mua-hang.35C6A619.html","Xem chi tiết")</f>
        <v/>
      </c>
    </row>
    <row r="8682">
      <c r="B8682" s="9" t="n">
        <v>8680</v>
      </c>
      <c r="C8682" s="10" t="inlineStr">
        <is>
          <t>Cán Bộ Kiểm Soát Thiết Kế - Ban Quản Lý Dự Án</t>
        </is>
      </c>
      <c r="D8682" s="10" t="inlineStr">
        <is>
          <t>CÔNG TY CỔ PHẦN ĐẦU TƯ DANCO</t>
        </is>
      </c>
      <c r="E8682" s="10" t="inlineStr">
        <is>
          <t>Lương:28 Tr - 35 Tr VND</t>
        </is>
      </c>
      <c r="F8682" s="10" t="inlineStr">
        <is>
          <t>Hà Nội</t>
        </is>
      </c>
      <c r="G8682" s="10" t="inlineStr">
        <is>
          <t>30-04-2026</t>
        </is>
      </c>
      <c r="H8682" s="10" t="inlineStr">
        <is>
          <t>30/04/2026</t>
        </is>
      </c>
      <c r="I8682" s="10" t="inlineStr">
        <is>
          <t>17/03/2026</t>
        </is>
      </c>
      <c r="J8682" s="10" t="inlineStr">
        <is>
          <t>Kiến trúc, Xây dựng, Bất động sản</t>
        </is>
      </c>
      <c r="K8682" s="10" t="inlineStr">
        <is>
          <t>3 - 5 Năm</t>
        </is>
      </c>
      <c r="L8682" s="11">
        <f>HYPERLINK("https://careerviet.vn/vi/tim-viec-lam/can-bo-kiem-soat-thiet-ke-ban-quan-ly-du-an.35C6A2B9.html","Xem chi tiết")</f>
        <v/>
      </c>
      <c r="M8682" s="10" t="n"/>
    </row>
    <row r="8683">
      <c r="B8683" s="7" t="n">
        <v>8681</v>
      </c>
      <c r="C8683" t="inlineStr">
        <is>
          <t>Chuyên viên cao cấp Quản lý Kết quả Năng suất bán - Khối NHBL</t>
        </is>
      </c>
      <c r="D8683" t="inlineStr">
        <is>
          <t>Ngân Hàng TMCP Sài Gòn - Hà Nội ( SHB )</t>
        </is>
      </c>
      <c r="E8683" t="inlineStr">
        <is>
          <t>Lương:Cạnh tranh</t>
        </is>
      </c>
      <c r="F8683" t="inlineStr">
        <is>
          <t>Hà Nội</t>
        </is>
      </c>
      <c r="G8683" t="inlineStr">
        <is>
          <t>01-04-2026</t>
        </is>
      </c>
      <c r="H8683" t="inlineStr">
        <is>
          <t>01/04/2026</t>
        </is>
      </c>
      <c r="I8683" t="inlineStr">
        <is>
          <t>17/03/2026</t>
        </is>
      </c>
      <c r="J8683" t="inlineStr">
        <is>
          <t>Ngân hàng, Nhân sự, Tài chính / Đầu tư</t>
        </is>
      </c>
      <c r="K8683" t="inlineStr">
        <is>
          <t>Trên 4 Năm</t>
        </is>
      </c>
      <c r="L8683" s="8">
        <f>HYPERLINK("https://careerviet.vn/vi/tim-viec-lam/chuyen-vien-cao-cap-quan-ly-ket-qua-nang-suat-ban-khoi-nhbl.35C6A342.html","Xem chi tiết")</f>
        <v/>
      </c>
    </row>
    <row r="8684">
      <c r="B8684" s="9" t="n">
        <v>8682</v>
      </c>
      <c r="C8684" s="10" t="inlineStr">
        <is>
          <t>Nhân Viên Mua Hàng</t>
        </is>
      </c>
      <c r="D8684" s="10" t="inlineStr">
        <is>
          <t>CÔNG TY CỔ PHẦN GIẢI PHÁP CHIẾU SÁNG NAVITEK</t>
        </is>
      </c>
      <c r="E8684" s="10" t="inlineStr">
        <is>
          <t>Lương:10 Tr - 15 Tr VND</t>
        </is>
      </c>
      <c r="F8684" s="10" t="inlineStr">
        <is>
          <t>Hồ Chí Minh</t>
        </is>
      </c>
      <c r="G8684" s="10" t="inlineStr">
        <is>
          <t>27-03-2026</t>
        </is>
      </c>
      <c r="H8684" s="10" t="inlineStr">
        <is>
          <t>27/03/2026</t>
        </is>
      </c>
      <c r="I8684" s="10" t="inlineStr">
        <is>
          <t>17/03/2026</t>
        </is>
      </c>
      <c r="J8684" s="10" t="inlineStr">
        <is>
          <t>Thu mua / Vật tư, Xuất nhập khẩu, Bán Hàng Kỹ Thuật</t>
        </is>
      </c>
      <c r="K8684" s="10" t="inlineStr">
        <is>
          <t>1 - 2 Năm</t>
        </is>
      </c>
      <c r="L8684" s="11">
        <f>HYPERLINK("https://careerviet.vn/vi/tim-viec-lam/nhan-vien-mua-hang.35C6A04E.html","Xem chi tiết")</f>
        <v/>
      </c>
      <c r="M8684" s="10" t="n"/>
    </row>
    <row r="8685">
      <c r="B8685" s="7" t="n">
        <v>8683</v>
      </c>
      <c r="C8685" t="inlineStr">
        <is>
          <t>Chuyên Viên Chạy Ads Google, Facebook, Tiktok</t>
        </is>
      </c>
      <c r="D8685" t="inlineStr">
        <is>
          <t>Bệnh viện Đa khoa Hà Nội</t>
        </is>
      </c>
      <c r="E8685" t="inlineStr">
        <is>
          <t>Lương:15 Tr - 40 Tr VND</t>
        </is>
      </c>
      <c r="F8685" t="inlineStr">
        <is>
          <t>Hà Nội</t>
        </is>
      </c>
      <c r="G8685" t="inlineStr">
        <is>
          <t>01-04-2026</t>
        </is>
      </c>
      <c r="H8685" t="inlineStr">
        <is>
          <t>01/04/2026</t>
        </is>
      </c>
      <c r="I8685" t="inlineStr">
        <is>
          <t>17/03/2026</t>
        </is>
      </c>
      <c r="J8685" t="inlineStr">
        <is>
          <t>Tiếp thị / Marketing, Truyền hình / Báo chí / Biên tập, Quảng cáo / Đối ngoại / Truyền Thông</t>
        </is>
      </c>
      <c r="K8685" t="inlineStr">
        <is>
          <t>Trên 2 Năm</t>
        </is>
      </c>
      <c r="L8685" s="8">
        <f>HYPERLINK("https://careerviet.vn/vi/tim-viec-lam/chuyen-vien-chay-ads-google-facebook-tiktok.35C63A22.html","Xem chi tiết")</f>
        <v/>
      </c>
    </row>
    <row r="8686">
      <c r="B8686" s="9" t="n">
        <v>8684</v>
      </c>
      <c r="C8686" s="10" t="inlineStr">
        <is>
          <t>Điều Dưỡng Nhi Sơ Sinh/ Pediatrics &amp; NICU Nurse</t>
        </is>
      </c>
      <c r="D8686" s="10" t="inlineStr">
        <is>
          <t>American International Hospital (AIH)</t>
        </is>
      </c>
      <c r="E8686" s="10" t="inlineStr">
        <is>
          <t>Lương:Cạnh tranh</t>
        </is>
      </c>
      <c r="F8686" s="10" t="inlineStr">
        <is>
          <t>Hồ Chí Minh</t>
        </is>
      </c>
      <c r="G8686" s="10" t="inlineStr">
        <is>
          <t>30-04-2026</t>
        </is>
      </c>
      <c r="H8686" s="10" t="inlineStr">
        <is>
          <t>30/04/2026</t>
        </is>
      </c>
      <c r="I8686" s="10" t="inlineStr">
        <is>
          <t>17/03/2026</t>
        </is>
      </c>
      <c r="J8686" s="10" t="inlineStr">
        <is>
          <t>Y tế / Chăm sóc sức khỏe / Thẩm mỹ / Làm đẹp</t>
        </is>
      </c>
      <c r="K8686" s="10" t="inlineStr">
        <is>
          <t>2 - 3 Năm</t>
        </is>
      </c>
      <c r="L8686" s="11">
        <f>HYPERLINK("https://careerviet.vn/vi/tim-viec-lam/dieu-duong-nhi-so-sinh-pediatrics-nicu-nurse.35C6A41C.html","Xem chi tiết")</f>
        <v/>
      </c>
      <c r="M8686" s="10" t="n"/>
    </row>
    <row r="8687">
      <c r="B8687" s="7" t="n">
        <v>8685</v>
      </c>
      <c r="C8687" t="inlineStr">
        <is>
          <t>Senior Frontend Developer</t>
        </is>
      </c>
      <c r="D8687" t="inlineStr">
        <is>
          <t>HD SAISON Finance Co., Ltd</t>
        </is>
      </c>
      <c r="E8687" t="inlineStr">
        <is>
          <t>Lương:Cạnh tranh</t>
        </is>
      </c>
      <c r="F8687" t="inlineStr">
        <is>
          <t>Hồ Chí Minh</t>
        </is>
      </c>
      <c r="G8687" t="inlineStr">
        <is>
          <t>01-04-2026</t>
        </is>
      </c>
      <c r="H8687" t="inlineStr">
        <is>
          <t>01/04/2026</t>
        </is>
      </c>
      <c r="I8687" t="inlineStr">
        <is>
          <t>17/03/2026</t>
        </is>
      </c>
      <c r="J8687" t="inlineStr">
        <is>
          <t>Ngân hàng, Tài chính / Đầu tư, CNTT - Phần mềm</t>
        </is>
      </c>
      <c r="K8687" t="inlineStr">
        <is>
          <t>3 - 4 Năm</t>
        </is>
      </c>
      <c r="L8687" s="8">
        <f>HYPERLINK("https://careerviet.vn/vi/tim-viec-lam/senior-frontend-developer.35C6A671.html","Xem chi tiết")</f>
        <v/>
      </c>
    </row>
    <row r="8688">
      <c r="B8688" s="9" t="n">
        <v>8686</v>
      </c>
      <c r="C8688" s="10" t="inlineStr">
        <is>
          <t>Senior System Engineer</t>
        </is>
      </c>
      <c r="D8688" s="10" t="inlineStr">
        <is>
          <t>Công ty TNHH Viettel - CHT</t>
        </is>
      </c>
      <c r="E8688" s="10" t="inlineStr">
        <is>
          <t>Lương:Cạnh tranh</t>
        </is>
      </c>
      <c r="F8688" s="10" t="inlineStr">
        <is>
          <t>Hà Nội</t>
        </is>
      </c>
      <c r="G8688" s="10" t="inlineStr">
        <is>
          <t>01-04-2026</t>
        </is>
      </c>
      <c r="H8688" s="10" t="inlineStr">
        <is>
          <t>01/04/2026</t>
        </is>
      </c>
      <c r="I8688" s="10" t="inlineStr">
        <is>
          <t>17/03/2026</t>
        </is>
      </c>
      <c r="J8688" s="10" t="inlineStr">
        <is>
          <t>CNTT - Phần mềm, CNTT - Phần cứng / Mạng</t>
        </is>
      </c>
      <c r="K8688" s="10" t="inlineStr">
        <is>
          <t>Trên 3 Năm</t>
        </is>
      </c>
      <c r="L8688" s="11">
        <f>HYPERLINK("https://careerviet.vn/vi/tim-viec-lam/senior-system-engineer.35C6A5DC.html","Xem chi tiết")</f>
        <v/>
      </c>
      <c r="M8688" s="10" t="n"/>
    </row>
    <row r="8689">
      <c r="B8689" s="7" t="n">
        <v>8687</v>
      </c>
      <c r="C8689" t="inlineStr">
        <is>
          <t>Kế toán xưởng giặt là</t>
        </is>
      </c>
      <c r="D8689" t="inlineStr">
        <is>
          <t>Công Ty Cổ Phần A25 Hotel</t>
        </is>
      </c>
      <c r="E8689" t="inlineStr">
        <is>
          <t>Lương:18 Tr - 36 Tr VND</t>
        </is>
      </c>
      <c r="F8689" t="inlineStr">
        <is>
          <t>Hồ Chí Minh</t>
        </is>
      </c>
      <c r="G8689" t="inlineStr">
        <is>
          <t>31-03-2026</t>
        </is>
      </c>
      <c r="H8689" t="inlineStr">
        <is>
          <t>31/03/2026</t>
        </is>
      </c>
      <c r="I8689" t="inlineStr">
        <is>
          <t>17/03/2026</t>
        </is>
      </c>
      <c r="J8689" t="inlineStr">
        <is>
          <t>Kế toán / Kiểm toán</t>
        </is>
      </c>
      <c r="K8689" t="inlineStr">
        <is>
          <t>2 - 3 Năm</t>
        </is>
      </c>
      <c r="L8689" s="8">
        <f>HYPERLINK("https://careerviet.vn/vi/tim-viec-lam/ke-toan-xuong-giat-la.35C6A4E0.html","Xem chi tiết")</f>
        <v/>
      </c>
    </row>
    <row r="8690">
      <c r="B8690" s="9" t="n">
        <v>8688</v>
      </c>
      <c r="C8690" s="10" t="inlineStr">
        <is>
          <t>Tài xế cho Giám đốc</t>
        </is>
      </c>
      <c r="D8690" s="10" t="inlineStr">
        <is>
          <t>Bảo mật</t>
        </is>
      </c>
      <c r="E8690" s="10" t="inlineStr">
        <is>
          <t>Lương:9 Tr - 11 Tr VND</t>
        </is>
      </c>
      <c r="F8690" s="10" t="inlineStr">
        <is>
          <t>Hồ Chí Minh</t>
        </is>
      </c>
      <c r="G8690" s="10" t="inlineStr">
        <is>
          <t>06-04-2026</t>
        </is>
      </c>
      <c r="H8690" s="10" t="inlineStr">
        <is>
          <t>06/04/2026</t>
        </is>
      </c>
      <c r="I8690" s="10" t="inlineStr">
        <is>
          <t>17/03/2026</t>
        </is>
      </c>
      <c r="J8690" s="10" t="inlineStr">
        <is>
          <t>Vận chuyển / Giao nhận / Kho vận, Ngành khác, Lao động phổ thông</t>
        </is>
      </c>
      <c r="K8690" s="10" t="inlineStr">
        <is>
          <t>2 - 5 Năm</t>
        </is>
      </c>
      <c r="L8690" s="11">
        <f>HYPERLINK("https://careerviet.vn/vi/tim-viec-lam/tai-xe-cho-giam-doc.35C6A320.html","Xem chi tiết")</f>
        <v/>
      </c>
      <c r="M8690" s="10" t="n"/>
    </row>
    <row r="8691">
      <c r="B8691" s="7" t="n">
        <v>8689</v>
      </c>
      <c r="C8691" t="inlineStr">
        <is>
          <t>[HCM] Chuyên Viên Kinh Doanh - Telesales</t>
        </is>
      </c>
      <c r="D8691" t="inlineStr">
        <is>
          <t>Công Ty TNHH Bảo Hiểm Liberty</t>
        </is>
      </c>
      <c r="E8691" t="inlineStr">
        <is>
          <t>Lương:Cạnh tranh</t>
        </is>
      </c>
      <c r="F8691" t="inlineStr">
        <is>
          <t>Hồ Chí Minh</t>
        </is>
      </c>
      <c r="G8691" t="inlineStr">
        <is>
          <t>03-04-2026</t>
        </is>
      </c>
      <c r="H8691" t="inlineStr">
        <is>
          <t>03/04/2026</t>
        </is>
      </c>
      <c r="I8691" t="inlineStr">
        <is>
          <t>17/03/2026</t>
        </is>
      </c>
      <c r="J8691" t="inlineStr">
        <is>
          <t>Bán hàng / Kinh doanh, Bảo hiểm, Tài chính / Đầu tư</t>
        </is>
      </c>
      <c r="K8691" t="inlineStr">
        <is>
          <t>2 - 3 Năm</t>
        </is>
      </c>
      <c r="L8691" s="8">
        <f>HYPERLINK("https://careerviet.vn/vi/tim-viec-lam/hcm-chuyen-vien-kinh-doanh-telesales.35C6A4C4.html","Xem chi tiết")</f>
        <v/>
      </c>
    </row>
    <row r="8692">
      <c r="B8692" s="9" t="n">
        <v>8690</v>
      </c>
      <c r="C8692" s="10" t="inlineStr">
        <is>
          <t>Chuyên viên tuyển dụng</t>
        </is>
      </c>
      <c r="D8692" s="10" t="inlineStr">
        <is>
          <t>Công ty TNHH PNK</t>
        </is>
      </c>
      <c r="E8692" s="10" t="inlineStr">
        <is>
          <t>Lương:20 Tr - 25 Tr VND</t>
        </is>
      </c>
      <c r="F8692" s="10" t="inlineStr">
        <is>
          <t>Hà Nội</t>
        </is>
      </c>
      <c r="G8692" s="10" t="inlineStr">
        <is>
          <t>31-03-2026</t>
        </is>
      </c>
      <c r="H8692" s="10" t="inlineStr">
        <is>
          <t>31/03/2026</t>
        </is>
      </c>
      <c r="I8692" s="10" t="inlineStr">
        <is>
          <t>17/03/2026</t>
        </is>
      </c>
      <c r="J8692" s="10" t="inlineStr">
        <is>
          <t>Bán Hàng Kỹ Thuật, Bưu chính viễn thông</t>
        </is>
      </c>
      <c r="K8692" s="10" t="inlineStr">
        <is>
          <t>3 - 5 Năm</t>
        </is>
      </c>
      <c r="L8692" s="11">
        <f>HYPERLINK("https://careerviet.vn/vi/tim-viec-lam/chuyen-vien-tuyen-dung.35C6A678.html","Xem chi tiết")</f>
        <v/>
      </c>
      <c r="M8692" s="10" t="n"/>
    </row>
    <row r="8693">
      <c r="B8693" s="7" t="n">
        <v>8691</v>
      </c>
      <c r="C8693" t="inlineStr">
        <is>
          <t>Thực tập sinh nhân sự</t>
        </is>
      </c>
      <c r="D8693" t="inlineStr">
        <is>
          <t>RAWLPLUG VIETNAM COMPANY LIMITED</t>
        </is>
      </c>
      <c r="E8693" t="inlineStr">
        <is>
          <t>Lương:Lên đến 2 Tr VND</t>
        </is>
      </c>
      <c r="F8693" t="inlineStr">
        <is>
          <t>Bình Dương</t>
        </is>
      </c>
      <c r="G8693" t="inlineStr">
        <is>
          <t>02-04-2026</t>
        </is>
      </c>
      <c r="H8693" t="inlineStr">
        <is>
          <t>02/04/2026</t>
        </is>
      </c>
      <c r="I8693" t="inlineStr">
        <is>
          <t>17/03/2026</t>
        </is>
      </c>
      <c r="J8693" t="inlineStr">
        <is>
          <t>Hành chính / Thư ký, Nhân sự, Mới tốt nghiệp / Thực tập</t>
        </is>
      </c>
      <c r="K8693" t="inlineStr">
        <is>
          <t>N/A</t>
        </is>
      </c>
      <c r="L8693" s="8">
        <f>HYPERLINK("https://careerviet.vn/vi/tim-viec-lam/thuc-tap-sinh-nhan-su.35C6A66F.html","Xem chi tiết")</f>
        <v/>
      </c>
    </row>
    <row r="8694">
      <c r="B8694" s="9" t="n">
        <v>8692</v>
      </c>
      <c r="C8694" s="10" t="inlineStr">
        <is>
          <t>ĐIỀU HÀNH TOUR-SENIOR OPERATOR TOUR INBOUND</t>
        </is>
      </c>
      <c r="D8694" s="10" t="inlineStr">
        <is>
          <t>Threeland Travel</t>
        </is>
      </c>
      <c r="E8694" s="10" t="inlineStr">
        <is>
          <t>Lương:10 Tr - 15 Tr VND</t>
        </is>
      </c>
      <c r="F8694" s="10" t="inlineStr">
        <is>
          <t>Hà Nội</t>
        </is>
      </c>
      <c r="G8694" s="10" t="inlineStr">
        <is>
          <t>01-04-2026</t>
        </is>
      </c>
      <c r="H8694" s="10" t="inlineStr">
        <is>
          <t>01/04/2026</t>
        </is>
      </c>
      <c r="I8694" s="10" t="inlineStr">
        <is>
          <t>17/03/2026</t>
        </is>
      </c>
      <c r="J8694" s="10" t="inlineStr">
        <is>
          <t>Du lịch</t>
        </is>
      </c>
      <c r="K8694" s="10" t="inlineStr">
        <is>
          <t>2 - 3 Năm</t>
        </is>
      </c>
      <c r="L8694" s="11">
        <f>HYPERLINK("https://careerviet.vn/vi/tim-viec-lam/dieu-hanh-tour-senior-operator-tour-inbound.35C6A325.html","Xem chi tiết")</f>
        <v/>
      </c>
      <c r="M8694" s="10" t="n"/>
    </row>
    <row r="8695">
      <c r="B8695" s="7" t="n">
        <v>8693</v>
      </c>
      <c r="C8695" t="inlineStr">
        <is>
          <t>Đại Diện Bán Hàng</t>
        </is>
      </c>
      <c r="D8695" t="inlineStr">
        <is>
          <t>Tập Đoàn Karofi Holding</t>
        </is>
      </c>
      <c r="E8695" t="inlineStr">
        <is>
          <t>Lương:Cạnh tranh</t>
        </is>
      </c>
      <c r="F8695" t="inlineStr">
        <is>
          <t>Hậu GiangNinh ThuậnBình Thuận</t>
        </is>
      </c>
      <c r="G8695" t="inlineStr">
        <is>
          <t>01-04-2026</t>
        </is>
      </c>
      <c r="H8695" t="inlineStr">
        <is>
          <t>01/04/2026</t>
        </is>
      </c>
      <c r="I8695" t="inlineStr">
        <is>
          <t>17/03/2026</t>
        </is>
      </c>
      <c r="J8695" t="inlineStr">
        <is>
          <t>Hàng gia dụng / Chăm sóc cá nhân, Bán lẻ / Bán sỉ, Bán hàng / Kinh doanh</t>
        </is>
      </c>
      <c r="K8695" t="inlineStr">
        <is>
          <t>Trên 1 Năm</t>
        </is>
      </c>
      <c r="L8695" s="8">
        <f>HYPERLINK("https://careerviet.vn/vi/tim-viec-lam/dai-dien-ban-hang.35C6A70B.html","Xem chi tiết")</f>
        <v/>
      </c>
    </row>
    <row r="8696">
      <c r="B8696" s="9" t="n">
        <v>8694</v>
      </c>
      <c r="C8696" s="10" t="inlineStr">
        <is>
          <t>Nhân Viên Biết Tiếng Trung/ Quảng Đông - Làm Việc Tại Macau (Gấp)</t>
        </is>
      </c>
      <c r="D8696" s="10" t="inlineStr">
        <is>
          <t>Công ty Cổ phần đầu tư và phát triển nguồn nhân lực quốc tế Hùng Vương</t>
        </is>
      </c>
      <c r="E8696" s="10" t="inlineStr">
        <is>
          <t>Lương:1.500 - 3.300 USD</t>
        </is>
      </c>
      <c r="F8696" s="10" t="inlineStr">
        <is>
          <t>Quốc tếHà NộiHồ Chí Minh</t>
        </is>
      </c>
      <c r="G8696" s="10" t="inlineStr">
        <is>
          <t>15-03-2026</t>
        </is>
      </c>
      <c r="H8696" s="10" t="inlineStr">
        <is>
          <t>03/03/2026</t>
        </is>
      </c>
      <c r="I8696" s="10" t="inlineStr">
        <is>
          <t>17/03/2026</t>
        </is>
      </c>
      <c r="J8696" s="10" t="inlineStr">
        <is>
          <t>Biên phiên dịch, Hàng không, Quảng cáo / Đối ngoại / Truyền Thông</t>
        </is>
      </c>
      <c r="K8696" s="10" t="inlineStr">
        <is>
          <t>N/A</t>
        </is>
      </c>
      <c r="L8696" s="11">
        <f>HYPERLINK("https://careerviet.vn/vi/tim-viec-lam/nhan-vien-biet-tieng-trung-quang-dong-lam-viec-tai-macau-gap.35C6A511.html","Xem chi tiết")</f>
        <v/>
      </c>
      <c r="M8696" s="10" t="n"/>
    </row>
    <row r="8697">
      <c r="B8697" s="7" t="n">
        <v>8695</v>
      </c>
      <c r="C8697" t="inlineStr">
        <is>
          <t>Chuyên Viên/Chuyên viên cao cấp Quan Hệ Khách Hàng Cá Nhân - Khu vực Đồng Nai</t>
        </is>
      </c>
      <c r="D8697" t="inlineStr">
        <is>
          <t>Ngân hàng TMCP Việt Á – VietABank</t>
        </is>
      </c>
      <c r="E8697" t="inlineStr">
        <is>
          <t>Lương:8 Tr - 25 Tr VND</t>
        </is>
      </c>
      <c r="F8697" t="inlineStr">
        <is>
          <t>Đồng Nai</t>
        </is>
      </c>
      <c r="G8697" t="inlineStr">
        <is>
          <t>01-04-2026</t>
        </is>
      </c>
      <c r="H8697" t="inlineStr">
        <is>
          <t>01/04/2026</t>
        </is>
      </c>
      <c r="I8697" t="inlineStr">
        <is>
          <t>17/03/2026</t>
        </is>
      </c>
      <c r="J8697" t="inlineStr">
        <is>
          <t>Bảo hiểm, Ngân hàng, Bất động sản</t>
        </is>
      </c>
      <c r="K8697" t="inlineStr">
        <is>
          <t>1 - 3 Năm</t>
        </is>
      </c>
      <c r="L8697" s="8">
        <f>HYPERLINK("https://careerviet.vn/vi/tim-viec-lam/chuyen-vien-chuyen-vien-cao-cap-quan-he-khach-hang-ca-nhan-khu-vuc-dong-nai.35C6A66B.html","Xem chi tiết")</f>
        <v/>
      </c>
    </row>
    <row r="8698">
      <c r="B8698" s="9" t="n">
        <v>8696</v>
      </c>
      <c r="C8698" s="10" t="inlineStr">
        <is>
          <t>Chuyên viên Bàn giao sản phẩm Nhà thấp tầng</t>
        </is>
      </c>
      <c r="D8698" s="10" t="inlineStr">
        <is>
          <t>Công Ty Cổ Phần Tập Đoàn Đầu Tư Địa Ốc No Va</t>
        </is>
      </c>
      <c r="E8698" s="10" t="inlineStr">
        <is>
          <t>Lương:Cạnh tranh</t>
        </is>
      </c>
      <c r="F8698" s="10" t="inlineStr">
        <is>
          <t>Đồng Nai</t>
        </is>
      </c>
      <c r="G8698" s="10" t="inlineStr">
        <is>
          <t>01-04-2026</t>
        </is>
      </c>
      <c r="H8698" s="10" t="inlineStr">
        <is>
          <t>01/04/2026</t>
        </is>
      </c>
      <c r="I8698" s="10" t="inlineStr">
        <is>
          <t>17/03/2026</t>
        </is>
      </c>
      <c r="J8698" s="10" t="inlineStr">
        <is>
          <t>Bất động sản, Dịch vụ khách hàng, Điện / Điện tử / Điện lạnh / Điện công nghiệp</t>
        </is>
      </c>
      <c r="K8698" s="10" t="inlineStr">
        <is>
          <t>2 - 5 Năm</t>
        </is>
      </c>
      <c r="L8698" s="11">
        <f>HYPERLINK("https://careerviet.vn/vi/tim-viec-lam/chuyen-vien-ban-giao-san-pham-nha-thap-tang.35C6A38D.html","Xem chi tiết")</f>
        <v/>
      </c>
      <c r="M8698" s="10" t="n"/>
    </row>
    <row r="8699">
      <c r="B8699" s="7" t="n">
        <v>8697</v>
      </c>
      <c r="C8699" t="inlineStr">
        <is>
          <t>Phiên Dịch Viên Tiếng Hàn</t>
        </is>
      </c>
      <c r="D8699" t="inlineStr">
        <is>
          <t>CT CP Tập Đoàn Thái Tuấn</t>
        </is>
      </c>
      <c r="E8699" t="inlineStr">
        <is>
          <t>Lương:Cạnh tranh</t>
        </is>
      </c>
      <c r="F8699" t="inlineStr">
        <is>
          <t>Long An</t>
        </is>
      </c>
      <c r="G8699" t="inlineStr">
        <is>
          <t>01-04-2026</t>
        </is>
      </c>
      <c r="H8699" t="inlineStr">
        <is>
          <t>01/04/2026</t>
        </is>
      </c>
      <c r="I8699" t="inlineStr">
        <is>
          <t>17/03/2026</t>
        </is>
      </c>
      <c r="J8699" t="inlineStr">
        <is>
          <t>Biên phiên dịch, Nhân sự, Dệt may / Da giày / Thời trang</t>
        </is>
      </c>
      <c r="K8699" t="inlineStr">
        <is>
          <t>1 - 2 Năm</t>
        </is>
      </c>
      <c r="L8699" s="8">
        <f>HYPERLINK("https://careerviet.vn/vi/tim-viec-lam/phien-dich-vien-tieng-han.35C6A2C7.html","Xem chi tiết")</f>
        <v/>
      </c>
    </row>
    <row r="8700">
      <c r="B8700" s="9" t="n">
        <v>8698</v>
      </c>
      <c r="C8700" s="10" t="inlineStr">
        <is>
          <t>Giao dịch viên</t>
        </is>
      </c>
      <c r="D8700" s="10" t="inlineStr">
        <is>
          <t>Ngân Hàng TMCP Sài Gòn - Hà Nội ( SHB )</t>
        </is>
      </c>
      <c r="E8700" s="10" t="inlineStr">
        <is>
          <t>Lương:Cạnh tranh</t>
        </is>
      </c>
      <c r="F8700" s="10" t="inlineStr">
        <is>
          <t>An GiangLâm ĐồngCà Mau</t>
        </is>
      </c>
      <c r="G8700" s="10" t="inlineStr">
        <is>
          <t>01-04-2026</t>
        </is>
      </c>
      <c r="H8700" s="10" t="inlineStr">
        <is>
          <t>01/04/2026</t>
        </is>
      </c>
      <c r="I8700" s="10" t="inlineStr">
        <is>
          <t>17/03/2026</t>
        </is>
      </c>
      <c r="J8700" s="10" t="inlineStr">
        <is>
          <t>Dịch vụ khách hàng, Ngân hàng, Bán hàng / Kinh doanh</t>
        </is>
      </c>
      <c r="K8700" s="10" t="inlineStr">
        <is>
          <t>N/A</t>
        </is>
      </c>
      <c r="L8700" s="11">
        <f>HYPERLINK("https://careerviet.vn/vi/tim-viec-lam/giao-dich-vien.35C6A35A.html","Xem chi tiết")</f>
        <v/>
      </c>
      <c r="M8700" s="10" t="n"/>
    </row>
    <row r="8701">
      <c r="B8701" s="7" t="n">
        <v>8699</v>
      </c>
      <c r="C8701" t="inlineStr">
        <is>
          <t>Senior Lab Technician - Hardlines Lab (2 Year-Experiences in Testing)</t>
        </is>
      </c>
      <c r="D8701" t="inlineStr">
        <is>
          <t>Cty SGS Việt Nam TNHH</t>
        </is>
      </c>
      <c r="E8701" t="inlineStr">
        <is>
          <t>Lương:Cạnh tranh</t>
        </is>
      </c>
      <c r="F8701" t="inlineStr">
        <is>
          <t>Hồ Chí Minh</t>
        </is>
      </c>
      <c r="G8701" t="inlineStr">
        <is>
          <t>02-04-2026</t>
        </is>
      </c>
      <c r="H8701" t="inlineStr">
        <is>
          <t>02/04/2026</t>
        </is>
      </c>
      <c r="I8701" t="inlineStr">
        <is>
          <t>17/03/2026</t>
        </is>
      </c>
      <c r="J8701" t="inlineStr">
        <is>
          <t>Cơ khí / Ô tô / Tự động hóa, Quản lý chất lượng (QA/QC), Nội ngoại thất</t>
        </is>
      </c>
      <c r="K8701" t="inlineStr">
        <is>
          <t>2 - 3 Năm</t>
        </is>
      </c>
      <c r="L8701" s="8">
        <f>HYPERLINK("https://careerviet.vn/vi/tim-viec-lam/senior-lab-technician-hardlines-lab-2-year-experiences-in-testing.35C6A4B4.html","Xem chi tiết")</f>
        <v/>
      </c>
    </row>
    <row r="8702">
      <c r="B8702" s="9" t="n">
        <v>8700</v>
      </c>
      <c r="C8702" s="10" t="inlineStr">
        <is>
          <t>Senior QC (Automation)</t>
        </is>
      </c>
      <c r="D8702" s="10" t="inlineStr">
        <is>
          <t>Công Ty CP Vàng Bạc Đá Quý Phú Nhuận - PNJ</t>
        </is>
      </c>
      <c r="E8702" s="10" t="inlineStr">
        <is>
          <t>Lương:Cạnh tranh</t>
        </is>
      </c>
      <c r="F8702" s="10" t="inlineStr">
        <is>
          <t>Hồ Chí Minh</t>
        </is>
      </c>
      <c r="G8702" s="10" t="inlineStr">
        <is>
          <t>01-04-2026</t>
        </is>
      </c>
      <c r="H8702" s="10" t="inlineStr">
        <is>
          <t>01/04/2026</t>
        </is>
      </c>
      <c r="I8702" s="10" t="inlineStr">
        <is>
          <t>17/03/2026</t>
        </is>
      </c>
      <c r="J8702" s="10" t="inlineStr">
        <is>
          <t>CNTT - Phần mềm, Bán lẻ / Bán sỉ</t>
        </is>
      </c>
      <c r="K8702" s="10" t="inlineStr">
        <is>
          <t>2 - 3 Năm</t>
        </is>
      </c>
      <c r="L8702" s="11">
        <f>HYPERLINK("https://careerviet.vn/vi/tim-viec-lam/senior-qc-automation.35C6A65E.html","Xem chi tiết")</f>
        <v/>
      </c>
      <c r="M8702" s="10" t="n"/>
    </row>
    <row r="8703">
      <c r="B8703" s="7" t="n">
        <v>8701</v>
      </c>
      <c r="C8703" t="inlineStr">
        <is>
          <t>KẾ TOÁN VIÊN</t>
        </is>
      </c>
      <c r="D8703" t="inlineStr">
        <is>
          <t>Tập Đoàn Kim Tín</t>
        </is>
      </c>
      <c r="E8703" t="inlineStr">
        <is>
          <t>Lương:Cạnh tranh</t>
        </is>
      </c>
      <c r="F8703" t="inlineStr">
        <is>
          <t>Bình Phước</t>
        </is>
      </c>
      <c r="G8703" t="inlineStr">
        <is>
          <t>01-04-2026</t>
        </is>
      </c>
      <c r="H8703" t="inlineStr">
        <is>
          <t>01/04/2026</t>
        </is>
      </c>
      <c r="I8703" t="inlineStr">
        <is>
          <t>17/03/2026</t>
        </is>
      </c>
      <c r="J8703" t="inlineStr">
        <is>
          <t>Kế toán / Kiểm toán, Vận chuyển / Giao nhận / Kho vận</t>
        </is>
      </c>
      <c r="K8703" t="inlineStr">
        <is>
          <t>Lên đến 3 Năm</t>
        </is>
      </c>
      <c r="L8703" s="8">
        <f>HYPERLINK("https://careerviet.vn/vi/tim-viec-lam/ke-toan-vien.35C6A490.html","Xem chi tiết")</f>
        <v/>
      </c>
    </row>
    <row r="8704">
      <c r="B8704" s="9" t="n">
        <v>8702</v>
      </c>
      <c r="C8704" s="10" t="inlineStr">
        <is>
          <t>Thủ kho - Đồng Nai</t>
        </is>
      </c>
      <c r="D8704" s="10" t="inlineStr">
        <is>
          <t>Công Ty Cổ Phần Thép Việt Xô Hà Nội</t>
        </is>
      </c>
      <c r="E8704" s="10" t="inlineStr">
        <is>
          <t>Lương:9,5 Tr - 11 Tr VND</t>
        </is>
      </c>
      <c r="F8704" s="10" t="inlineStr">
        <is>
          <t>Đồng Nai</t>
        </is>
      </c>
      <c r="G8704" s="10" t="inlineStr">
        <is>
          <t>03-04-2026</t>
        </is>
      </c>
      <c r="H8704" s="10" t="inlineStr">
        <is>
          <t>03/04/2026</t>
        </is>
      </c>
      <c r="I8704" s="10" t="inlineStr">
        <is>
          <t>17/03/2026</t>
        </is>
      </c>
      <c r="J8704" s="10" t="inlineStr">
        <is>
          <t>Vận chuyển / Giao nhận / Kho vận</t>
        </is>
      </c>
      <c r="K8704" s="10" t="inlineStr">
        <is>
          <t>1 - 2 Năm</t>
        </is>
      </c>
      <c r="L8704" s="11">
        <f>HYPERLINK("https://careerviet.vn/vi/tim-viec-lam/thu-kho-dong-nai.35C6A48C.html","Xem chi tiết")</f>
        <v/>
      </c>
      <c r="M8704" s="10" t="n"/>
    </row>
    <row r="8705">
      <c r="B8705" s="7" t="n">
        <v>8703</v>
      </c>
      <c r="C8705" t="inlineStr">
        <is>
          <t>Nhân Viên Phụ Kho Quận 12 TP.HCM</t>
        </is>
      </c>
      <c r="D8705" t="inlineStr">
        <is>
          <t>CÔNG TY CỔ PHẦN VUA NỆM</t>
        </is>
      </c>
      <c r="E8705" t="inlineStr">
        <is>
          <t>Lương:9 Tr - 14 Tr VND</t>
        </is>
      </c>
      <c r="F8705" t="inlineStr">
        <is>
          <t>Hồ Chí Minh</t>
        </is>
      </c>
      <c r="G8705" t="inlineStr">
        <is>
          <t>02-04-2026</t>
        </is>
      </c>
      <c r="H8705" t="inlineStr">
        <is>
          <t>02/04/2026</t>
        </is>
      </c>
      <c r="I8705" t="inlineStr">
        <is>
          <t>17/03/2026</t>
        </is>
      </c>
      <c r="J8705" t="inlineStr">
        <is>
          <t>Vận chuyển / Giao nhận / Kho vận, Ngành khác, Hàng gia dụng / Chăm sóc cá nhân</t>
        </is>
      </c>
      <c r="K8705" t="inlineStr">
        <is>
          <t>1 - 5 Năm</t>
        </is>
      </c>
      <c r="L8705" s="8">
        <f>HYPERLINK("https://careerviet.vn/vi/tim-viec-lam/nhan-vien-phu-kho-quan-12-tp-hcm.35C6A3A3.html","Xem chi tiết")</f>
        <v/>
      </c>
    </row>
    <row r="8706">
      <c r="B8706" s="9" t="n">
        <v>8704</v>
      </c>
      <c r="C8706" s="10" t="inlineStr">
        <is>
          <t>Giáo Viên Chủ Nhiệm (Ocean Edu Thanh Hóa 2) - Trúng Tuyển Đi Làm Luôn</t>
        </is>
      </c>
      <c r="D8706" s="10" t="inlineStr">
        <is>
          <t>Công Ty CP Giáo Dục Đại Dương</t>
        </is>
      </c>
      <c r="E8706" s="10" t="inlineStr">
        <is>
          <t>Lương:Cạnh tranh</t>
        </is>
      </c>
      <c r="F8706" s="10" t="inlineStr">
        <is>
          <t>Thanh Hóa</t>
        </is>
      </c>
      <c r="G8706" s="10" t="inlineStr">
        <is>
          <t>01-04-2026</t>
        </is>
      </c>
      <c r="H8706" s="10" t="inlineStr">
        <is>
          <t>01/04/2026</t>
        </is>
      </c>
      <c r="I8706" s="10" t="inlineStr">
        <is>
          <t>17/03/2026</t>
        </is>
      </c>
      <c r="J8706" s="10" t="inlineStr">
        <is>
          <t>Giáo dục / Đào tạo, Bán hàng / Kinh doanh, Biên phiên dịch</t>
        </is>
      </c>
      <c r="K8706" s="10" t="inlineStr">
        <is>
          <t>Trên 1 Năm</t>
        </is>
      </c>
      <c r="L8706" s="11">
        <f>HYPERLINK("https://careerviet.vn/vi/tim-viec-lam/giao-vien-chu-nhiem-ocean-edu-thanh-hoa-2-trung-tuyen-di-lam-luon.35C6A50C.html","Xem chi tiết")</f>
        <v/>
      </c>
      <c r="M8706" s="10" t="n"/>
    </row>
    <row r="8707">
      <c r="B8707" s="7" t="n">
        <v>8705</v>
      </c>
      <c r="C8707" t="inlineStr">
        <is>
          <t>Nhân viên HSE</t>
        </is>
      </c>
      <c r="D8707" t="inlineStr">
        <is>
          <t>Tập Đoàn Tân Á Đại Thành</t>
        </is>
      </c>
      <c r="E8707" t="inlineStr">
        <is>
          <t>Lương:12 Tr - 14 Tr VND</t>
        </is>
      </c>
      <c r="F8707" t="inlineStr">
        <is>
          <t>Long An</t>
        </is>
      </c>
      <c r="G8707" t="inlineStr">
        <is>
          <t>3</t>
        </is>
      </c>
      <c r="H8707" t="inlineStr">
        <is>
          <t>20/03/2026</t>
        </is>
      </c>
      <c r="I8707" t="inlineStr">
        <is>
          <t>17/03/2026</t>
        </is>
      </c>
      <c r="J8707" t="inlineStr">
        <is>
          <t>Môi trường, An toàn lao động</t>
        </is>
      </c>
      <c r="K8707" t="inlineStr">
        <is>
          <t>1 - 3 Năm</t>
        </is>
      </c>
      <c r="L8707" s="8">
        <f>HYPERLINK("https://careerviet.vn/vi/tim-viec-lam/nhan-vien-hse.35C6A1ED.html","Xem chi tiết")</f>
        <v/>
      </c>
    </row>
    <row r="8708">
      <c r="B8708" s="9" t="n">
        <v>8706</v>
      </c>
      <c r="C8708" s="10" t="inlineStr">
        <is>
          <t>Technical Specialist (SLL-Physical Tests)</t>
        </is>
      </c>
      <c r="D8708" s="10" t="inlineStr">
        <is>
          <t>Cty SGS Việt Nam TNHH</t>
        </is>
      </c>
      <c r="E8708" s="10" t="inlineStr">
        <is>
          <t>Lương:Cạnh tranh</t>
        </is>
      </c>
      <c r="F8708" s="10" t="inlineStr">
        <is>
          <t>Hồ Chí Minh</t>
        </is>
      </c>
      <c r="G8708" s="10" t="inlineStr">
        <is>
          <t>30-03-2026</t>
        </is>
      </c>
      <c r="H8708" s="10" t="inlineStr">
        <is>
          <t>30/03/2026</t>
        </is>
      </c>
      <c r="I8708" s="10" t="inlineStr">
        <is>
          <t>17/03/2026</t>
        </is>
      </c>
      <c r="J8708" s="10" t="inlineStr">
        <is>
          <t>Dệt may / Da giày / Thời trang, Hóa học, Quản lý chất lượng (QA/QC)</t>
        </is>
      </c>
      <c r="K8708" s="10" t="inlineStr">
        <is>
          <t>3 - 5 Năm</t>
        </is>
      </c>
      <c r="L8708" s="11">
        <f>HYPERLINK("https://careerviet.vn/vi/tim-viec-lam/technical-specialist-sll-physical-tests.35C6A598.html","Xem chi tiết")</f>
        <v/>
      </c>
      <c r="M8708" s="10" t="n"/>
    </row>
    <row r="8709">
      <c r="B8709" s="7" t="n">
        <v>8707</v>
      </c>
      <c r="C8709" t="inlineStr">
        <is>
          <t>[Vĩnh Long] Chuyên viên Khách hàng ưu tiên</t>
        </is>
      </c>
      <c r="D8709" t="inlineStr">
        <is>
          <t>Ngân hàng TMCP Đại Chúng Việt Nam - PVcomBank</t>
        </is>
      </c>
      <c r="E8709" t="inlineStr">
        <is>
          <t>Lương:Cạnh tranh</t>
        </is>
      </c>
      <c r="F8709" t="inlineStr">
        <is>
          <t>Vĩnh LongKV Đông Nam Bộ</t>
        </is>
      </c>
      <c r="G8709" t="inlineStr">
        <is>
          <t>01-04-2026</t>
        </is>
      </c>
      <c r="H8709" t="inlineStr">
        <is>
          <t>01/04/2026</t>
        </is>
      </c>
      <c r="I8709" t="inlineStr">
        <is>
          <t>17/03/2026</t>
        </is>
      </c>
      <c r="J8709" t="inlineStr">
        <is>
          <t>Ngân hàng, Bán hàng / Kinh doanh</t>
        </is>
      </c>
      <c r="K8709" t="inlineStr">
        <is>
          <t>Trên 1 Năm</t>
        </is>
      </c>
      <c r="L8709" s="8">
        <f>HYPERLINK("https://careerviet.vn/vi/tim-viec-lam/vinh-long-chuyen-vien-khach-hang-uu-tien.35C6A331.html","Xem chi tiết")</f>
        <v/>
      </c>
    </row>
    <row r="8710">
      <c r="B8710" s="9" t="n">
        <v>8708</v>
      </c>
      <c r="C8710" s="10" t="inlineStr">
        <is>
          <t>CHUYÊN VIÊN TƯ VẤN GIÁO DỤC (OCEAN EDU VĨNH YÊN 3) - THU NHẬP HẤP DẪN TỪ 15 TRIỆU/THÁNG</t>
        </is>
      </c>
      <c r="D8710" s="10" t="inlineStr">
        <is>
          <t>Công Ty CP Giáo Dục Đại Dương</t>
        </is>
      </c>
      <c r="E8710" s="10" t="inlineStr">
        <is>
          <t>Lương:Cạnh tranh</t>
        </is>
      </c>
      <c r="F8710" s="10" t="inlineStr">
        <is>
          <t>Vĩnh Phúc</t>
        </is>
      </c>
      <c r="G8710" s="10" t="inlineStr">
        <is>
          <t>01-04-2026</t>
        </is>
      </c>
      <c r="H8710" s="10" t="inlineStr">
        <is>
          <t>01/04/2026</t>
        </is>
      </c>
      <c r="I8710" s="10" t="inlineStr">
        <is>
          <t>17/03/2026</t>
        </is>
      </c>
      <c r="J8710" s="10" t="inlineStr">
        <is>
          <t>Dịch vụ khách hàng, Giáo dục / Đào tạo, Bán hàng / Kinh doanh</t>
        </is>
      </c>
      <c r="K8710" s="10" t="inlineStr">
        <is>
          <t>Lên đến 1 Năm</t>
        </is>
      </c>
      <c r="L8710" s="11">
        <f>HYPERLINK("https://careerviet.vn/vi/tim-viec-lam/chuyen-vien-tu-van-giao-duc-ocean-edu-vinh-yen-3-thu-nhap-hap-dan-tu-15-trieu-thang.35C6A65B.html","Xem chi tiết")</f>
        <v/>
      </c>
      <c r="M8710" s="10" t="n"/>
    </row>
    <row r="8711">
      <c r="B8711" s="7" t="n">
        <v>8709</v>
      </c>
      <c r="C8711" t="inlineStr">
        <is>
          <t>Chuyên viên chính/Chuyên viên cao cấp Thẩm định tài sản</t>
        </is>
      </c>
      <c r="D8711" t="inlineStr">
        <is>
          <t>Ngân Hàng TMCP Sài Gòn - Hà Nội ( SHB )</t>
        </is>
      </c>
      <c r="E8711" t="inlineStr">
        <is>
          <t>Lương:Cạnh tranh</t>
        </is>
      </c>
      <c r="F8711" t="inlineStr">
        <is>
          <t>Quảng NgãiBình ĐịnhKhánh Hòa</t>
        </is>
      </c>
      <c r="G8711" t="inlineStr">
        <is>
          <t>01-04-2026</t>
        </is>
      </c>
      <c r="H8711" t="inlineStr">
        <is>
          <t>01/04/2026</t>
        </is>
      </c>
      <c r="I8711" t="inlineStr">
        <is>
          <t>17/03/2026</t>
        </is>
      </c>
      <c r="J8711" t="inlineStr">
        <is>
          <t>Ngân hàng, Bất động sản, Bán lẻ / Bán sỉ</t>
        </is>
      </c>
      <c r="K8711" t="inlineStr">
        <is>
          <t>Trên 2 Năm</t>
        </is>
      </c>
      <c r="L8711" s="8">
        <f>HYPERLINK("https://careerviet.vn/vi/tim-viec-lam/chuyen-vien-chinh-chuyen-vien-cao-cap-tham-dinh-tai-san.35C6A354.html","Xem chi tiết")</f>
        <v/>
      </c>
    </row>
    <row r="8712">
      <c r="B8712" s="9" t="n">
        <v>8710</v>
      </c>
      <c r="C8712" s="10" t="inlineStr">
        <is>
          <t>NHÂN VIÊN PHÒNG QA/QC - HẢI PHÒNG</t>
        </is>
      </c>
      <c r="D8712" s="10" t="inlineStr">
        <is>
          <t>CÔNG TY CỔ PHẦN THIẾT BỊ ĐIỆN VINSHINE</t>
        </is>
      </c>
      <c r="E8712" s="10" t="inlineStr">
        <is>
          <t>Lương:12 Tr - 20 Tr VND</t>
        </is>
      </c>
      <c r="F8712" s="10" t="inlineStr">
        <is>
          <t>Hải Phòng</t>
        </is>
      </c>
      <c r="G8712" s="10" t="inlineStr">
        <is>
          <t>31-03-2026</t>
        </is>
      </c>
      <c r="H8712" s="10" t="inlineStr">
        <is>
          <t>31/03/2026</t>
        </is>
      </c>
      <c r="I8712" s="10" t="inlineStr">
        <is>
          <t>17/03/2026</t>
        </is>
      </c>
      <c r="J8712" s="10" t="inlineStr">
        <is>
          <t>Điện / Điện tử / Điện lạnh / Điện công nghiệp</t>
        </is>
      </c>
      <c r="K8712" s="10" t="inlineStr">
        <is>
          <t>2 - 10 Năm</t>
        </is>
      </c>
      <c r="L8712" s="11">
        <f>HYPERLINK("https://careerviet.vn/vi/tim-viec-lam/nhan-vien-phong-qa-qc-hai-phong.35C6A53A.html","Xem chi tiết")</f>
        <v/>
      </c>
      <c r="M8712" s="10" t="n"/>
    </row>
    <row r="8713">
      <c r="B8713" s="7" t="n">
        <v>8711</v>
      </c>
      <c r="C8713" t="inlineStr">
        <is>
          <t>Thủ kho nguyên liệu (Làm việc tại Đức Hoà, Long An cũ)</t>
        </is>
      </c>
      <c r="D8713" t="inlineStr">
        <is>
          <t>Công ty cổ phần Nafoods Group</t>
        </is>
      </c>
      <c r="E8713" t="inlineStr">
        <is>
          <t>Lương:8 Tr - 11 Tr VND</t>
        </is>
      </c>
      <c r="F8713" t="inlineStr">
        <is>
          <t>Long An</t>
        </is>
      </c>
      <c r="G8713" t="inlineStr">
        <is>
          <t>02-04-2026</t>
        </is>
      </c>
      <c r="H8713" t="inlineStr">
        <is>
          <t>02/04/2026</t>
        </is>
      </c>
      <c r="I8713" t="inlineStr">
        <is>
          <t>17/03/2026</t>
        </is>
      </c>
      <c r="J8713" t="inlineStr">
        <is>
          <t>Kế toán / Kiểm toán, Quản lý chất lượng (QA/QC), Bán hàng / Kinh doanh</t>
        </is>
      </c>
      <c r="K8713" t="inlineStr">
        <is>
          <t>1 - 2 Năm</t>
        </is>
      </c>
      <c r="L8713" s="8">
        <f>HYPERLINK("https://careerviet.vn/vi/tim-viec-lam/thu-kho-nguyen-lieu-lam-viec-tai-duc-hoa-long-an-cu.35C6A4BA.html","Xem chi tiết")</f>
        <v/>
      </c>
    </row>
    <row r="8714">
      <c r="B8714" s="9" t="n">
        <v>8712</v>
      </c>
      <c r="C8714" s="10" t="inlineStr">
        <is>
          <t>Marketing Executive</t>
        </is>
      </c>
      <c r="D8714" s="10" t="inlineStr">
        <is>
          <t>Công Ty TNHH Tập Đoàn Rita Võ</t>
        </is>
      </c>
      <c r="E8714" s="10" t="inlineStr">
        <is>
          <t>Lương:13 Tr - 16 Tr VND</t>
        </is>
      </c>
      <c r="F8714" s="10" t="inlineStr">
        <is>
          <t>Hồ Chí Minh</t>
        </is>
      </c>
      <c r="G8714" s="10" t="inlineStr">
        <is>
          <t>02-04-2026</t>
        </is>
      </c>
      <c r="H8714" s="10" t="inlineStr">
        <is>
          <t>02/04/2026</t>
        </is>
      </c>
      <c r="I8714" s="10" t="inlineStr">
        <is>
          <t>17/03/2026</t>
        </is>
      </c>
      <c r="J8714" s="10" t="inlineStr">
        <is>
          <t>Tiếp thị / Marketing, Tổ chức sự kiện, Truyền hình / Báo chí / Biên tập</t>
        </is>
      </c>
      <c r="K8714" s="10" t="inlineStr">
        <is>
          <t>3 - 5 Năm</t>
        </is>
      </c>
      <c r="L8714" s="11">
        <f>HYPERLINK("https://careerviet.vn/vi/tim-viec-lam/marketing-executive.35C6A45F.html","Xem chi tiết")</f>
        <v/>
      </c>
      <c r="M8714" s="10" t="n"/>
    </row>
    <row r="8715">
      <c r="B8715" s="7" t="n">
        <v>8713</v>
      </c>
      <c r="C8715" t="inlineStr">
        <is>
          <t>Trưởng phòng Quản lý kênh Vùng / Chi nhánh - Khu vực miền Trung</t>
        </is>
      </c>
      <c r="D8715" t="inlineStr">
        <is>
          <t>Ngân Hàng TMCP Sài Gòn - Hà Nội ( SHB )</t>
        </is>
      </c>
      <c r="E8715" t="inlineStr">
        <is>
          <t>Lương:Cạnh tranh</t>
        </is>
      </c>
      <c r="F8715" t="inlineStr">
        <is>
          <t>KV Nam Trung Bộ</t>
        </is>
      </c>
      <c r="G8715" t="inlineStr">
        <is>
          <t>30-03-2026</t>
        </is>
      </c>
      <c r="H8715" t="inlineStr">
        <is>
          <t>30/03/2026</t>
        </is>
      </c>
      <c r="I8715" t="inlineStr">
        <is>
          <t>17/03/2026</t>
        </is>
      </c>
      <c r="J8715" t="inlineStr">
        <is>
          <t>Ngân hàng, Tài chính / Đầu tư</t>
        </is>
      </c>
      <c r="K8715" t="inlineStr">
        <is>
          <t>Trên 8 Năm</t>
        </is>
      </c>
      <c r="L8715" s="8">
        <f>HYPERLINK("https://careerviet.vn/vi/tim-viec-lam/truong-phong-quan-ly-kenh-vung-chi-nhanh-khu-vuc-mien-trung.35C6A2BB.html","Xem chi tiết")</f>
        <v/>
      </c>
    </row>
    <row r="8716">
      <c r="B8716" s="9" t="n">
        <v>8714</v>
      </c>
      <c r="C8716" s="10" t="inlineStr">
        <is>
          <t>(HCM - Bình Tân) Nhân Viên Kinh Doanh Ván Gỗ/Nội Thất Gỗ</t>
        </is>
      </c>
      <c r="D8716" s="10" t="inlineStr">
        <is>
          <t>Công Ty TNHH Tập Đoàn Rita Võ</t>
        </is>
      </c>
      <c r="E8716" s="10" t="inlineStr">
        <is>
          <t>Lương:12 Tr - 16 Tr VND</t>
        </is>
      </c>
      <c r="F8716" s="10" t="inlineStr">
        <is>
          <t>Hồ Chí Minh</t>
        </is>
      </c>
      <c r="G8716" s="10" t="inlineStr">
        <is>
          <t>02-04-2026</t>
        </is>
      </c>
      <c r="H8716" s="10" t="inlineStr">
        <is>
          <t>02/04/2026</t>
        </is>
      </c>
      <c r="I8716" s="10" t="inlineStr">
        <is>
          <t>17/03/2026</t>
        </is>
      </c>
      <c r="J8716" s="10" t="inlineStr">
        <is>
          <t>Bán lẻ / Bán sỉ, Bán hàng / Kinh doanh</t>
        </is>
      </c>
      <c r="K8716" s="10" t="inlineStr">
        <is>
          <t>1 - 2 Năm</t>
        </is>
      </c>
      <c r="L8716" s="11">
        <f>HYPERLINK("https://careerviet.vn/vi/tim-viec-lam/hcm-binh-tan-nhan-vien-kinh-doanh-van-go-noi-that-go.35C6A4A9.html","Xem chi tiết")</f>
        <v/>
      </c>
      <c r="M8716" s="10" t="n"/>
    </row>
    <row r="8717">
      <c r="B8717" s="7" t="n">
        <v>8715</v>
      </c>
      <c r="C8717" t="inlineStr">
        <is>
          <t>Technical Specialist - Food Testing</t>
        </is>
      </c>
      <c r="D8717" t="inlineStr">
        <is>
          <t>Cty SGS Việt Nam TNHH</t>
        </is>
      </c>
      <c r="E8717" t="inlineStr">
        <is>
          <t>Lương:Cạnh tranh</t>
        </is>
      </c>
      <c r="F8717" t="inlineStr">
        <is>
          <t>Hồ Chí Minh</t>
        </is>
      </c>
      <c r="G8717" t="inlineStr">
        <is>
          <t>11-04-2026</t>
        </is>
      </c>
      <c r="H8717" t="inlineStr">
        <is>
          <t>11/04/2026</t>
        </is>
      </c>
      <c r="I8717" t="inlineStr">
        <is>
          <t>17/03/2026</t>
        </is>
      </c>
      <c r="J8717" t="inlineStr">
        <is>
          <t>Dược phẩm/ Hóa Mỹ Phẩm, Hóa học, Công nghệ sinh học</t>
        </is>
      </c>
      <c r="K8717" t="inlineStr">
        <is>
          <t>3 - 5 Năm</t>
        </is>
      </c>
      <c r="L8717" s="8">
        <f>HYPERLINK("https://careerviet.vn/vi/tim-viec-lam/technical-specialist-food-testing.35C6A6B4.html","Xem chi tiết")</f>
        <v/>
      </c>
    </row>
    <row r="8718">
      <c r="B8718" s="9" t="n">
        <v>8716</v>
      </c>
      <c r="C8718" s="10" t="inlineStr">
        <is>
          <t>(HCM - Quận 2 cũ) Nhân Viên Kinh Doanh Nội Thất</t>
        </is>
      </c>
      <c r="D8718" s="10" t="inlineStr">
        <is>
          <t>Công Ty TNHH Tập Đoàn Rita Võ</t>
        </is>
      </c>
      <c r="E8718" s="10" t="inlineStr">
        <is>
          <t>Lương:15 Tr - 20 Tr VND</t>
        </is>
      </c>
      <c r="F8718" s="10" t="inlineStr">
        <is>
          <t>Hồ Chí Minh</t>
        </is>
      </c>
      <c r="G8718" s="10" t="inlineStr">
        <is>
          <t>02-04-2026</t>
        </is>
      </c>
      <c r="H8718" s="10" t="inlineStr">
        <is>
          <t>02/04/2026</t>
        </is>
      </c>
      <c r="I8718" s="10" t="inlineStr">
        <is>
          <t>17/03/2026</t>
        </is>
      </c>
      <c r="J8718" s="10" t="inlineStr">
        <is>
          <t>Bán lẻ / Bán sỉ, Bán hàng / Kinh doanh, Tiếp thị trực tuyến</t>
        </is>
      </c>
      <c r="K8718" s="10" t="inlineStr">
        <is>
          <t>1 - 2 Năm</t>
        </is>
      </c>
      <c r="L8718" s="11">
        <f>HYPERLINK("https://careerviet.vn/vi/tim-viec-lam/hcm-quan-2-cu-nhan-vien-kinh-doanh-noi-that.35C6A4AD.html","Xem chi tiết")</f>
        <v/>
      </c>
      <c r="M8718" s="10" t="n"/>
    </row>
    <row r="8719">
      <c r="B8719" s="7" t="n">
        <v>8717</v>
      </c>
      <c r="C8719" t="inlineStr">
        <is>
          <t>Nhân Viên Hành Chính</t>
        </is>
      </c>
      <c r="D8719" t="inlineStr">
        <is>
          <t>Công ty TNHH Khải Minh Group</t>
        </is>
      </c>
      <c r="E8719" t="inlineStr">
        <is>
          <t>Lương:9 Tr - 12 Tr VND</t>
        </is>
      </c>
      <c r="F8719" t="inlineStr">
        <is>
          <t>Hà Nội</t>
        </is>
      </c>
      <c r="G8719" t="inlineStr">
        <is>
          <t>31-03-2026</t>
        </is>
      </c>
      <c r="H8719" t="inlineStr">
        <is>
          <t>31/03/2026</t>
        </is>
      </c>
      <c r="I8719" t="inlineStr">
        <is>
          <t>17/03/2026</t>
        </is>
      </c>
      <c r="J8719" t="inlineStr">
        <is>
          <t>Dịch vụ khách hàng, Hành chính / Thư ký, Vận chuyển / Giao nhận / Kho vận</t>
        </is>
      </c>
      <c r="K8719" t="inlineStr">
        <is>
          <t>N/A</t>
        </is>
      </c>
      <c r="L8719" s="8">
        <f>HYPERLINK("https://careerviet.vn/vi/tim-viec-lam/nhan-vien-hanh-chinh.35C6A2DD.html","Xem chi tiết")</f>
        <v/>
      </c>
    </row>
    <row r="8720">
      <c r="B8720" s="9" t="n">
        <v>8718</v>
      </c>
      <c r="C8720" s="10" t="inlineStr">
        <is>
          <t>Chuyên viên Quản lý Hạ tầng Trung tâm dữ liệu  - IT Infrastructure Management - Khối Công nghệ thông tin (HO26.61)</t>
        </is>
      </c>
      <c r="D8720" s="10" t="inlineStr">
        <is>
          <t>Ngân Hàng TMCP Quân Đội</t>
        </is>
      </c>
      <c r="E8720" s="10" t="inlineStr">
        <is>
          <t>Lương:Cạnh tranh</t>
        </is>
      </c>
      <c r="F8720" s="10" t="inlineStr">
        <is>
          <t>Hà Nội</t>
        </is>
      </c>
      <c r="G8720" s="10" t="inlineStr">
        <is>
          <t>02-04-2026</t>
        </is>
      </c>
      <c r="H8720" s="10" t="inlineStr">
        <is>
          <t>02/04/2026</t>
        </is>
      </c>
      <c r="I8720" s="10" t="inlineStr">
        <is>
          <t>17/03/2026</t>
        </is>
      </c>
      <c r="J8720" s="10" t="inlineStr">
        <is>
          <t>Ngân hàng, CNTT - Phần cứng / Mạng, Điện / Điện tử / Điện lạnh / Điện công nghiệp</t>
        </is>
      </c>
      <c r="K8720" s="10" t="inlineStr">
        <is>
          <t>N/A</t>
        </is>
      </c>
      <c r="L8720" s="11">
        <f>HYPERLINK("https://careerviet.vn/vi/tim-viec-lam/chuyen-vien-quan-ly-ha-tang-trung-tam-du-lieu-it-infrastructure-management-khoi-cong-nghe-thong-tin-ho26-61.35C6A6DD.html","Xem chi tiết")</f>
        <v/>
      </c>
      <c r="M8720" s="10" t="n"/>
    </row>
    <row r="8721">
      <c r="B8721" s="7" t="n">
        <v>8719</v>
      </c>
      <c r="C8721" t="inlineStr">
        <is>
          <t>Nhân Viên Hunt Merchant (6 Tháng)</t>
        </is>
      </c>
      <c r="D8721" t="inlineStr">
        <is>
          <t>Công Ty TNHH Việt Mỹ-SSU</t>
        </is>
      </c>
      <c r="E8721" t="inlineStr">
        <is>
          <t>Lương:6 Tr - 9 Tr VND</t>
        </is>
      </c>
      <c r="F8721" t="inlineStr">
        <is>
          <t>Hồ Chí Minh</t>
        </is>
      </c>
      <c r="G8721" t="inlineStr">
        <is>
          <t>02-04-2026</t>
        </is>
      </c>
      <c r="H8721" t="inlineStr">
        <is>
          <t>02/04/2026</t>
        </is>
      </c>
      <c r="I8721" t="inlineStr">
        <is>
          <t>17/03/2026</t>
        </is>
      </c>
      <c r="J8721" t="inlineStr">
        <is>
          <t>Thương mại điện tử, Dịch vụ khách hàng, Tư vấn</t>
        </is>
      </c>
      <c r="K8721" t="inlineStr">
        <is>
          <t>Lên đến 1 Năm</t>
        </is>
      </c>
      <c r="L8721" s="8">
        <f>HYPERLINK("https://careerviet.vn/vi/tim-viec-lam/nhan-vien-hunt-merchant-6-thang.35C6A321.html","Xem chi tiết")</f>
        <v/>
      </c>
    </row>
    <row r="8722">
      <c r="B8722" s="9" t="n">
        <v>8720</v>
      </c>
      <c r="C8722" s="10" t="inlineStr">
        <is>
          <t>Nhân viên lái xe thị trường</t>
        </is>
      </c>
      <c r="D8722" s="10" t="inlineStr">
        <is>
          <t>Tập Đoàn Tân Á Đại Thành</t>
        </is>
      </c>
      <c r="E8722" s="10" t="inlineStr">
        <is>
          <t>Lương:10 Tr - 12 Tr VND</t>
        </is>
      </c>
      <c r="F8722" s="10" t="inlineStr">
        <is>
          <t>Bắc Giang</t>
        </is>
      </c>
      <c r="G8722" s="10" t="inlineStr">
        <is>
          <t>31-03-2026</t>
        </is>
      </c>
      <c r="H8722" s="10" t="inlineStr">
        <is>
          <t>31/03/2026</t>
        </is>
      </c>
      <c r="I8722" s="10" t="inlineStr">
        <is>
          <t>17/03/2026</t>
        </is>
      </c>
      <c r="J8722" s="10" t="inlineStr">
        <is>
          <t>Vận chuyển / Giao nhận / Kho vận, Lao động phổ thông, Cơ khí / Ô tô / Tự động hóa</t>
        </is>
      </c>
      <c r="K8722" s="10" t="inlineStr">
        <is>
          <t>1 - 2 Năm</t>
        </is>
      </c>
      <c r="L8722" s="11">
        <f>HYPERLINK("https://careerviet.vn/vi/tim-viec-lam/nhan-vien-lai-xe-thi-truong.35C6A448.html","Xem chi tiết")</f>
        <v/>
      </c>
      <c r="M8722" s="10" t="n"/>
    </row>
    <row r="8723">
      <c r="B8723" s="7" t="n">
        <v>8721</v>
      </c>
      <c r="C8723" t="inlineStr">
        <is>
          <t>Kỹ sư giám sát (Công trình ME)</t>
        </is>
      </c>
      <c r="D8723" t="inlineStr">
        <is>
          <t>CÔNG TY CỔ PHẦN GREEN I-PARK</t>
        </is>
      </c>
      <c r="E8723" t="inlineStr">
        <is>
          <t>Lương:15 Tr - 20 Tr VND</t>
        </is>
      </c>
      <c r="F8723" t="inlineStr">
        <is>
          <t>Thái BìnhToàn quốcHà Nội</t>
        </is>
      </c>
      <c r="G8723" t="inlineStr">
        <is>
          <t>31-03-2026</t>
        </is>
      </c>
      <c r="H8723" t="inlineStr">
        <is>
          <t>31/03/2026</t>
        </is>
      </c>
      <c r="I8723" t="inlineStr">
        <is>
          <t>17/03/2026</t>
        </is>
      </c>
      <c r="J8723" t="inlineStr">
        <is>
          <t>Xây dựng, Bất động sản, Ngành khác</t>
        </is>
      </c>
      <c r="K8723" t="inlineStr">
        <is>
          <t>2 - 5 Năm</t>
        </is>
      </c>
      <c r="L8723" s="8">
        <f>HYPERLINK("https://careerviet.vn/vi/tim-viec-lam/ky-su-giam-sat-cong-trinh-me.35C6A305.html","Xem chi tiết")</f>
        <v/>
      </c>
    </row>
    <row r="8724">
      <c r="B8724" s="9" t="n">
        <v>8722</v>
      </c>
      <c r="C8724" s="10" t="inlineStr">
        <is>
          <t>IT Business Analyst - Domain Real Estate - TNTech - 2V054</t>
        </is>
      </c>
      <c r="D8724" s="10" t="inlineStr">
        <is>
          <t>Tập đoàn ROX (ROX Group)</t>
        </is>
      </c>
      <c r="E8724" s="10" t="inlineStr">
        <is>
          <t>Lương:Cạnh tranh</t>
        </is>
      </c>
      <c r="F8724" s="10" t="inlineStr">
        <is>
          <t>Hà Nội</t>
        </is>
      </c>
      <c r="G8724" s="10" t="inlineStr">
        <is>
          <t>01-04-2026</t>
        </is>
      </c>
      <c r="H8724" s="10" t="inlineStr">
        <is>
          <t>01/04/2026</t>
        </is>
      </c>
      <c r="I8724" s="10" t="inlineStr">
        <is>
          <t>17/03/2026</t>
        </is>
      </c>
      <c r="J8724" s="10" t="inlineStr">
        <is>
          <t>CNTT - Phần mềm</t>
        </is>
      </c>
      <c r="K8724" s="10" t="inlineStr">
        <is>
          <t>Trên 2 Năm</t>
        </is>
      </c>
      <c r="L8724" s="11">
        <f>HYPERLINK("https://careerviet.vn/vi/tim-viec-lam/it-business-analyst-domain-real-estate-tntech-2v054.35C6A312.html","Xem chi tiết")</f>
        <v/>
      </c>
      <c r="M8724" s="10" t="n"/>
    </row>
    <row r="8725">
      <c r="B8725" s="7" t="n">
        <v>8723</v>
      </c>
      <c r="C8725" t="inlineStr">
        <is>
          <t>Nhân Viên Quan Trắc Môi Trường</t>
        </is>
      </c>
      <c r="D8725" t="inlineStr">
        <is>
          <t>CÔNG TY CỔ PHẦN ĐẦU TƯ PHÁT TRIỂN MÔI TRƯỜNG ĐẠI VIỆT</t>
        </is>
      </c>
      <c r="E8725" t="inlineStr">
        <is>
          <t>Lương:Cạnh tranh</t>
        </is>
      </c>
      <c r="F8725" t="inlineStr">
        <is>
          <t>Hồ Chí Minh</t>
        </is>
      </c>
      <c r="G8725" t="inlineStr">
        <is>
          <t>02-04-2026</t>
        </is>
      </c>
      <c r="H8725" t="inlineStr">
        <is>
          <t>02/04/2026</t>
        </is>
      </c>
      <c r="I8725" t="inlineStr">
        <is>
          <t>17/03/2026</t>
        </is>
      </c>
      <c r="J8725" t="inlineStr">
        <is>
          <t>Môi trường, Trắc địa / Địa Chất, Xây dựng</t>
        </is>
      </c>
      <c r="K8725" t="inlineStr">
        <is>
          <t>N/A</t>
        </is>
      </c>
      <c r="L8725" s="8">
        <f>HYPERLINK("https://careerviet.vn/vi/tim-viec-lam/nhan-vien-quan-trac-moi-truong.35C6A3D3.html","Xem chi tiết")</f>
        <v/>
      </c>
    </row>
    <row r="8726">
      <c r="B8726" s="9" t="n">
        <v>8724</v>
      </c>
      <c r="C8726" s="10" t="inlineStr">
        <is>
          <t>Kỹ Sư Giám Sát Hiện Trường</t>
        </is>
      </c>
      <c r="D8726" s="10" t="inlineStr">
        <is>
          <t>Công Ty Cổ Phần Xây Dựng Công Trình Tây Hồ</t>
        </is>
      </c>
      <c r="E8726" s="10" t="inlineStr">
        <is>
          <t>Lương:Cạnh tranh</t>
        </is>
      </c>
      <c r="F8726" s="10" t="inlineStr">
        <is>
          <t>Hồ Chí MinhĐồng NaiBình Dương</t>
        </is>
      </c>
      <c r="G8726" s="10" t="inlineStr">
        <is>
          <t>02-04-2026</t>
        </is>
      </c>
      <c r="H8726" s="10" t="inlineStr">
        <is>
          <t>02/04/2026</t>
        </is>
      </c>
      <c r="I8726" s="10" t="inlineStr">
        <is>
          <t>17/03/2026</t>
        </is>
      </c>
      <c r="J8726" s="10" t="inlineStr">
        <is>
          <t>Xây dựng, Kiến trúc, Bất động sản</t>
        </is>
      </c>
      <c r="K8726" s="10" t="inlineStr">
        <is>
          <t>Trên 3 Năm</t>
        </is>
      </c>
      <c r="L8726" s="11">
        <f>HYPERLINK("https://careerviet.vn/vi/tim-viec-lam/ky-su-giam-sat-hien-truong.35C6A3CB.html","Xem chi tiết")</f>
        <v/>
      </c>
      <c r="M8726" s="10" t="n"/>
    </row>
    <row r="8727">
      <c r="B8727" s="7" t="n">
        <v>8725</v>
      </c>
      <c r="C8727" t="inlineStr">
        <is>
          <t>QA Officer - Food Lab 8 MONTHS</t>
        </is>
      </c>
      <c r="D8727" t="inlineStr">
        <is>
          <t>Cty SGS Việt Nam TNHH</t>
        </is>
      </c>
      <c r="E8727" t="inlineStr">
        <is>
          <t>Lương:Cạnh tranh</t>
        </is>
      </c>
      <c r="F8727" t="inlineStr">
        <is>
          <t>Hồ Chí Minh</t>
        </is>
      </c>
      <c r="G8727" t="inlineStr">
        <is>
          <t>11-04-2026</t>
        </is>
      </c>
      <c r="H8727" t="inlineStr">
        <is>
          <t>11/04/2026</t>
        </is>
      </c>
      <c r="I8727" t="inlineStr">
        <is>
          <t>17/03/2026</t>
        </is>
      </c>
      <c r="J8727" t="inlineStr">
        <is>
          <t>Quản lý chất lượng (QA/QC), Thực phẩm &amp; Đồ uống, Công nghệ sinh học</t>
        </is>
      </c>
      <c r="K8727" t="inlineStr">
        <is>
          <t>1 - 3 Năm</t>
        </is>
      </c>
      <c r="L8727" s="8">
        <f>HYPERLINK("https://careerviet.vn/vi/tim-viec-lam/qa-officer-food-lab-8-months.35C6A6F3.html","Xem chi tiết")</f>
        <v/>
      </c>
    </row>
    <row r="8728">
      <c r="B8728" s="9" t="n">
        <v>8726</v>
      </c>
      <c r="C8728" s="10" t="inlineStr">
        <is>
          <t>Customer Service Supervisor</t>
        </is>
      </c>
      <c r="D8728" s="10" t="inlineStr">
        <is>
          <t>Cty SGS Việt Nam TNHH</t>
        </is>
      </c>
      <c r="E8728" s="10" t="inlineStr">
        <is>
          <t>Lương:Cạnh tranh</t>
        </is>
      </c>
      <c r="F8728" s="10" t="inlineStr">
        <is>
          <t>Hải Phòng</t>
        </is>
      </c>
      <c r="G8728" s="10" t="inlineStr">
        <is>
          <t>07-04-2026</t>
        </is>
      </c>
      <c r="H8728" s="10" t="inlineStr">
        <is>
          <t>07/04/2026</t>
        </is>
      </c>
      <c r="I8728" s="10" t="inlineStr">
        <is>
          <t>17/03/2026</t>
        </is>
      </c>
      <c r="J8728" s="10" t="inlineStr">
        <is>
          <t>Công nghệ thực phẩm / Dinh dưỡng</t>
        </is>
      </c>
      <c r="K8728" s="10" t="inlineStr">
        <is>
          <t>3 - 5 Năm</t>
        </is>
      </c>
      <c r="L8728" s="11">
        <f>HYPERLINK("https://careerviet.vn/vi/tim-viec-lam/customer-service-supervisor.35C6A489.html","Xem chi tiết")</f>
        <v/>
      </c>
      <c r="M8728" s="10" t="n"/>
    </row>
    <row r="8729">
      <c r="B8729" s="7" t="n">
        <v>8727</v>
      </c>
      <c r="C8729" t="inlineStr">
        <is>
          <t>Nhân Viên Sales VISA</t>
        </is>
      </c>
      <c r="D8729" t="inlineStr">
        <is>
          <t>Top Ten Travel</t>
        </is>
      </c>
      <c r="E8729" t="inlineStr">
        <is>
          <t>Lương:Trên 7 Tr VND</t>
        </is>
      </c>
      <c r="F8729" t="inlineStr">
        <is>
          <t>Hồ Chí Minh</t>
        </is>
      </c>
      <c r="G8729" t="inlineStr">
        <is>
          <t>01-04-2026</t>
        </is>
      </c>
      <c r="H8729" t="inlineStr">
        <is>
          <t>01/04/2026</t>
        </is>
      </c>
      <c r="I8729" t="inlineStr">
        <is>
          <t>17/03/2026</t>
        </is>
      </c>
      <c r="J8729" t="inlineStr">
        <is>
          <t>Bán hàng / Kinh doanh, Du lịch</t>
        </is>
      </c>
      <c r="K8729" t="inlineStr">
        <is>
          <t>Trên 1 Năm</t>
        </is>
      </c>
      <c r="L8729" s="8">
        <f>HYPERLINK("https://careerviet.vn/vi/tim-viec-lam/nhan-vien-sales-visa.35C6A479.html","Xem chi tiết")</f>
        <v/>
      </c>
    </row>
    <row r="8730">
      <c r="B8730" s="9" t="n">
        <v>8728</v>
      </c>
      <c r="C8730" s="10" t="inlineStr">
        <is>
          <t>Kế toán tổng hợp</t>
        </is>
      </c>
      <c r="D8730" s="10" t="inlineStr">
        <is>
          <t>Công ty Cổ phần ĐẠI ĐỒNG TIẾN</t>
        </is>
      </c>
      <c r="E8730" s="10" t="inlineStr">
        <is>
          <t>Lương:18 Tr - 25 Tr VND</t>
        </is>
      </c>
      <c r="F8730" s="10" t="inlineStr">
        <is>
          <t>Hồ Chí Minh</t>
        </is>
      </c>
      <c r="G8730" s="10" t="inlineStr">
        <is>
          <t>30-03-2026</t>
        </is>
      </c>
      <c r="H8730" s="10" t="inlineStr">
        <is>
          <t>30/03/2026</t>
        </is>
      </c>
      <c r="I8730" s="10" t="inlineStr">
        <is>
          <t>17/03/2026</t>
        </is>
      </c>
      <c r="J8730" s="10" t="inlineStr">
        <is>
          <t>Kế toán / Kiểm toán, Tài chính / Đầu tư, Sản xuất / Vận hành sản xuất</t>
        </is>
      </c>
      <c r="K8730" s="10" t="inlineStr">
        <is>
          <t>3 - 5 Năm</t>
        </is>
      </c>
      <c r="L8730" s="11">
        <f>HYPERLINK("https://careerviet.vn/vi/tim-viec-lam/ke-toan-tong-hop.35C6A562.html","Xem chi tiết")</f>
        <v/>
      </c>
      <c r="M8730" s="10" t="n"/>
    </row>
    <row r="8731">
      <c r="B8731" s="7" t="n">
        <v>8729</v>
      </c>
      <c r="C8731" t="inlineStr">
        <is>
          <t>Kế toán nội bộ</t>
        </is>
      </c>
      <c r="D8731" t="inlineStr">
        <is>
          <t>CÔNG TY TNHH XNK CUỘC SỐNG TƯƠI ĐẸP</t>
        </is>
      </c>
      <c r="E8731" t="inlineStr">
        <is>
          <t>Lương:15 Tr - 17 Tr VND</t>
        </is>
      </c>
      <c r="F8731" t="inlineStr">
        <is>
          <t>Hồ Chí Minh</t>
        </is>
      </c>
      <c r="G8731" t="inlineStr">
        <is>
          <t>31-03-2026</t>
        </is>
      </c>
      <c r="H8731" t="inlineStr">
        <is>
          <t>31/03/2026</t>
        </is>
      </c>
      <c r="I8731" t="inlineStr">
        <is>
          <t>17/03/2026</t>
        </is>
      </c>
      <c r="J8731" t="inlineStr">
        <is>
          <t>Kế toán / Kiểm toán</t>
        </is>
      </c>
      <c r="K8731" t="inlineStr">
        <is>
          <t>3 - 4 Năm</t>
        </is>
      </c>
      <c r="L8731" s="8">
        <f>HYPERLINK("https://careerviet.vn/vi/tim-viec-lam/ke-toan-noi-bo.35C6A52C.html","Xem chi tiết")</f>
        <v/>
      </c>
    </row>
    <row r="8732">
      <c r="B8732" s="9" t="n">
        <v>8730</v>
      </c>
      <c r="C8732" s="10" t="inlineStr">
        <is>
          <t>Senior Brand Manager</t>
        </is>
      </c>
      <c r="D8732" s="10" t="inlineStr">
        <is>
          <t>Công Ty Cổ Phần TEECOM</t>
        </is>
      </c>
      <c r="E8732" s="10" t="inlineStr">
        <is>
          <t>Lương:Cạnh tranh</t>
        </is>
      </c>
      <c r="F8732" s="10" t="inlineStr">
        <is>
          <t>Hồ Chí Minh</t>
        </is>
      </c>
      <c r="G8732" s="10" t="inlineStr">
        <is>
          <t>31-03-2026</t>
        </is>
      </c>
      <c r="H8732" s="10" t="inlineStr">
        <is>
          <t>31/03/2026</t>
        </is>
      </c>
      <c r="I8732" s="10" t="inlineStr">
        <is>
          <t>17/03/2026</t>
        </is>
      </c>
      <c r="J8732" s="10" t="inlineStr">
        <is>
          <t>Tiếp thị / Marketing, Thương mại điện tử, Quảng cáo / Đối ngoại / Truyền Thông</t>
        </is>
      </c>
      <c r="K8732" s="10" t="inlineStr">
        <is>
          <t>4 - 6 Năm</t>
        </is>
      </c>
      <c r="L8732" s="11">
        <f>HYPERLINK("https://careerviet.vn/vi/tim-viec-lam/senior-brand-manager.35C6A565.html","Xem chi tiết")</f>
        <v/>
      </c>
      <c r="M8732" s="10" t="n"/>
    </row>
    <row r="8733">
      <c r="B8733" s="7" t="n">
        <v>8731</v>
      </c>
      <c r="C8733" t="inlineStr">
        <is>
          <t>Chuyên viên Kiểm soát thiết kế</t>
        </is>
      </c>
      <c r="D8733" t="inlineStr">
        <is>
          <t>Công Ty Cổ Phần Quốc Tế Sơn Hà</t>
        </is>
      </c>
      <c r="E8733" t="inlineStr">
        <is>
          <t>Lương:Cạnh tranh</t>
        </is>
      </c>
      <c r="F8733" t="inlineStr">
        <is>
          <t>Hà Nội</t>
        </is>
      </c>
      <c r="G8733" t="inlineStr">
        <is>
          <t>01-04-2026</t>
        </is>
      </c>
      <c r="H8733" t="inlineStr">
        <is>
          <t>01/04/2026</t>
        </is>
      </c>
      <c r="I8733" t="inlineStr">
        <is>
          <t>17/03/2026</t>
        </is>
      </c>
      <c r="J8733" t="inlineStr">
        <is>
          <t>Xây dựng</t>
        </is>
      </c>
      <c r="K8733" t="inlineStr">
        <is>
          <t>5 - 7 Năm</t>
        </is>
      </c>
      <c r="L8733" s="8">
        <f>HYPERLINK("https://careerviet.vn/vi/tim-viec-lam/chuyen-vien-kiem-soat-thiet-ke.35C6A6B1.html","Xem chi tiết")</f>
        <v/>
      </c>
    </row>
    <row r="8734">
      <c r="B8734" s="9" t="n">
        <v>8732</v>
      </c>
      <c r="C8734" s="10" t="inlineStr">
        <is>
          <t>Lab Supervisor - Chromatography</t>
        </is>
      </c>
      <c r="D8734" s="10" t="inlineStr">
        <is>
          <t>Cty SGS Việt Nam TNHH</t>
        </is>
      </c>
      <c r="E8734" s="10" t="inlineStr">
        <is>
          <t>Lương:Cạnh tranh</t>
        </is>
      </c>
      <c r="F8734" s="10" t="inlineStr">
        <is>
          <t>Hồ Chí Minh</t>
        </is>
      </c>
      <c r="G8734" s="10" t="inlineStr">
        <is>
          <t>11-04-2026</t>
        </is>
      </c>
      <c r="H8734" s="10" t="inlineStr">
        <is>
          <t>11/04/2026</t>
        </is>
      </c>
      <c r="I8734" s="10" t="inlineStr">
        <is>
          <t>17/03/2026</t>
        </is>
      </c>
      <c r="J8734" s="10" t="inlineStr">
        <is>
          <t>Hóa học</t>
        </is>
      </c>
      <c r="K8734" s="10" t="inlineStr">
        <is>
          <t>4 - 10 Năm</t>
        </is>
      </c>
      <c r="L8734" s="11">
        <f>HYPERLINK("https://careerviet.vn/vi/tim-viec-lam/lab-supervisor-chromatography.35C6A6C3.html","Xem chi tiết")</f>
        <v/>
      </c>
      <c r="M8734" s="10" t="n"/>
    </row>
    <row r="8735">
      <c r="B8735" s="7" t="n">
        <v>8733</v>
      </c>
      <c r="C8735" t="inlineStr">
        <is>
          <t>Kế Toán Bán Hàng/ Kế Toán Công</t>
        </is>
      </c>
      <c r="D8735" t="inlineStr">
        <is>
          <t>ADC PLASTIC,. JSC</t>
        </is>
      </c>
      <c r="E8735" t="inlineStr">
        <is>
          <t>Lương:Cạnh tranh</t>
        </is>
      </c>
      <c r="F8735" t="inlineStr">
        <is>
          <t>Hà Nội</t>
        </is>
      </c>
      <c r="G8735" t="inlineStr">
        <is>
          <t>02-04-2026</t>
        </is>
      </c>
      <c r="H8735" t="inlineStr">
        <is>
          <t>02/04/2026</t>
        </is>
      </c>
      <c r="I8735" t="inlineStr">
        <is>
          <t>17/03/2026</t>
        </is>
      </c>
      <c r="J8735" t="inlineStr">
        <is>
          <t>Kế toán / Kiểm toán, Tài chính / Đầu tư</t>
        </is>
      </c>
      <c r="K8735" t="inlineStr">
        <is>
          <t>5 - 10 Năm</t>
        </is>
      </c>
      <c r="L8735" s="8">
        <f>HYPERLINK("https://careerviet.vn/vi/tim-viec-lam/ke-toan-ban-hang-ke-toan-cong.35C6A687.html","Xem chi tiết")</f>
        <v/>
      </c>
    </row>
    <row r="8736">
      <c r="B8736" s="9" t="n">
        <v>8734</v>
      </c>
      <c r="C8736" s="10" t="inlineStr">
        <is>
          <t>[Hà Nội] Nhân viên Tổ chức thi - Bài thi tiếng Anh</t>
        </is>
      </c>
      <c r="D8736" s="10" t="inlineStr">
        <is>
          <t>Công ty CP IIG Việt Nam</t>
        </is>
      </c>
      <c r="E8736" s="10" t="inlineStr">
        <is>
          <t>Lương:9 Tr - 10 Tr VND</t>
        </is>
      </c>
      <c r="F8736" s="10" t="inlineStr">
        <is>
          <t>Hà Nội</t>
        </is>
      </c>
      <c r="G8736" s="10" t="inlineStr">
        <is>
          <t>02-04-2026</t>
        </is>
      </c>
      <c r="H8736" s="10" t="inlineStr">
        <is>
          <t>02/04/2026</t>
        </is>
      </c>
      <c r="I8736" s="10" t="inlineStr">
        <is>
          <t>17/03/2026</t>
        </is>
      </c>
      <c r="J8736" s="10" t="inlineStr">
        <is>
          <t>Giáo dục / Đào tạo, Ngành khác, Dịch vụ khách hàng</t>
        </is>
      </c>
      <c r="K8736" s="10" t="inlineStr">
        <is>
          <t>1 - 2 Năm</t>
        </is>
      </c>
      <c r="L8736" s="11">
        <f>HYPERLINK("https://careerviet.vn/vi/tim-viec-lam/ha-noi-nhan-vien-to-chuc-thi-bai-thi-tieng-anh.35C6A702.html","Xem chi tiết")</f>
        <v/>
      </c>
      <c r="M8736" s="10" t="n"/>
    </row>
    <row r="8737">
      <c r="B8737" s="7" t="n">
        <v>8735</v>
      </c>
      <c r="C8737" t="inlineStr">
        <is>
          <t>Kỹ thuật viên thú y</t>
        </is>
      </c>
      <c r="D8737" t="inlineStr">
        <is>
          <t>Công ty TNHH ENP BIOTECH (VN)</t>
        </is>
      </c>
      <c r="E8737" t="inlineStr">
        <is>
          <t>Lương:9 Tr - 12 Tr VND</t>
        </is>
      </c>
      <c r="F8737" t="inlineStr">
        <is>
          <t>Khánh Hòa</t>
        </is>
      </c>
      <c r="G8737" t="inlineStr">
        <is>
          <t>03-04-2026</t>
        </is>
      </c>
      <c r="H8737" t="inlineStr">
        <is>
          <t>03/04/2026</t>
        </is>
      </c>
      <c r="I8737" t="inlineStr">
        <is>
          <t>17/03/2026</t>
        </is>
      </c>
      <c r="J8737" t="inlineStr">
        <is>
          <t>Chăn nuôi / Thú y, Nông nghiệp</t>
        </is>
      </c>
      <c r="K8737" t="inlineStr">
        <is>
          <t>N/A</t>
        </is>
      </c>
      <c r="L8737" s="8">
        <f>HYPERLINK("https://careerviet.vn/vi/tim-viec-lam/ky-thuat-vien-thu-y.35C6A498.html","Xem chi tiết")</f>
        <v/>
      </c>
    </row>
    <row r="8738">
      <c r="B8738" s="9" t="n">
        <v>8736</v>
      </c>
      <c r="C8738" s="10" t="inlineStr">
        <is>
          <t>Nhân viên kiểm soát chất lượng (GẤP)</t>
        </is>
      </c>
      <c r="D8738" s="10" t="inlineStr">
        <is>
          <t>GOOD VIEW PLASTICS (VIETNAM) COMPANY LIMITED</t>
        </is>
      </c>
      <c r="E8738" s="10" t="inlineStr">
        <is>
          <t>Lương:Cạnh tranh</t>
        </is>
      </c>
      <c r="F8738" s="10" t="inlineStr">
        <is>
          <t>Đồng Nai</t>
        </is>
      </c>
      <c r="G8738" s="10" t="inlineStr">
        <is>
          <t>03-04-2026</t>
        </is>
      </c>
      <c r="H8738" s="10" t="inlineStr">
        <is>
          <t>03/04/2026</t>
        </is>
      </c>
      <c r="I8738" s="10" t="inlineStr">
        <is>
          <t>17/03/2026</t>
        </is>
      </c>
      <c r="J8738" s="10" t="inlineStr">
        <is>
          <t>Sản xuất / Vận hành sản xuất, Quản lý chất lượng (QA/QC)</t>
        </is>
      </c>
      <c r="K8738" s="10" t="inlineStr">
        <is>
          <t>1 - 3 Năm</t>
        </is>
      </c>
      <c r="L8738" s="11">
        <f>HYPERLINK("https://careerviet.vn/vi/tim-viec-lam/nhan-vien-kiem-soat-chat-luong-gap.35C6A66C.html","Xem chi tiết")</f>
        <v/>
      </c>
      <c r="M8738" s="10" t="n"/>
    </row>
    <row r="8739">
      <c r="B8739" s="7" t="n">
        <v>8737</v>
      </c>
      <c r="C8739" t="inlineStr">
        <is>
          <t>Administrator (Toys/Furniture Testing)</t>
        </is>
      </c>
      <c r="D8739" t="inlineStr">
        <is>
          <t>Cty SGS Việt Nam TNHH</t>
        </is>
      </c>
      <c r="E8739" t="inlineStr">
        <is>
          <t>Lương:Cạnh tranh</t>
        </is>
      </c>
      <c r="F8739" t="inlineStr">
        <is>
          <t>Hồ Chí Minh</t>
        </is>
      </c>
      <c r="G8739" t="inlineStr">
        <is>
          <t>02-04-2026</t>
        </is>
      </c>
      <c r="H8739" t="inlineStr">
        <is>
          <t>02/04/2026</t>
        </is>
      </c>
      <c r="I8739" t="inlineStr">
        <is>
          <t>17/03/2026</t>
        </is>
      </c>
      <c r="J8739" t="inlineStr">
        <is>
          <t>Hành chính / Thư ký, Bán hàng / Kinh doanh, Cơ khí / Ô tô / Tự động hóa</t>
        </is>
      </c>
      <c r="K8739" t="inlineStr">
        <is>
          <t>Chưa có kinh nghiệm</t>
        </is>
      </c>
      <c r="L8739" s="8">
        <f>HYPERLINK("https://careerviet.vn/vi/tim-viec-lam/administrator-toys-furniture-testing.35C6A56A.html","Xem chi tiết")</f>
        <v/>
      </c>
    </row>
    <row r="8740">
      <c r="B8740" s="9" t="n">
        <v>8738</v>
      </c>
      <c r="C8740" s="10" t="inlineStr">
        <is>
          <t>Hành Chính Nhân Sự (Ngành Thẩm Mỹ - Y Tế)</t>
        </is>
      </c>
      <c r="D8740" s="10" t="inlineStr">
        <is>
          <t>The Imperial Group</t>
        </is>
      </c>
      <c r="E8740" s="10" t="inlineStr">
        <is>
          <t>Lương:12 Tr - 20 Tr VND</t>
        </is>
      </c>
      <c r="F8740" s="10" t="inlineStr">
        <is>
          <t>Hồ Chí Minh</t>
        </is>
      </c>
      <c r="G8740" s="10" t="inlineStr">
        <is>
          <t>02-04-2026</t>
        </is>
      </c>
      <c r="H8740" s="10" t="inlineStr">
        <is>
          <t>02/04/2026</t>
        </is>
      </c>
      <c r="I8740" s="10" t="inlineStr">
        <is>
          <t>17/03/2026</t>
        </is>
      </c>
      <c r="J8740" s="10" t="inlineStr">
        <is>
          <t>Nhân sự, Nhà hàng / Khách sạn, Y tế / Chăm sóc sức khỏe / Thẩm mỹ / Làm đẹp</t>
        </is>
      </c>
      <c r="K8740" s="10" t="inlineStr">
        <is>
          <t>3 - 7 Năm</t>
        </is>
      </c>
      <c r="L8740" s="11">
        <f>HYPERLINK("https://careerviet.vn/vi/tim-viec-lam/hanh-chinh-nhan-su-nganh-tham-my-y-te.35C6A455.html","Xem chi tiết")</f>
        <v/>
      </c>
      <c r="M8740" s="10" t="n"/>
    </row>
    <row r="8741">
      <c r="B8741" s="7" t="n">
        <v>8739</v>
      </c>
      <c r="C8741" t="inlineStr">
        <is>
          <t>Nhân Viên Kinh Doanh Đông Nam Bộ</t>
        </is>
      </c>
      <c r="D8741" t="inlineStr">
        <is>
          <t>Công Ty TNHH Sơn Seamaster Việt Nam</t>
        </is>
      </c>
      <c r="E8741" t="inlineStr">
        <is>
          <t>Lương:10 Tr - 20 Tr VND</t>
        </is>
      </c>
      <c r="F8741" t="inlineStr">
        <is>
          <t>Lâm ĐồngHồ Chí MinhBình Thuận</t>
        </is>
      </c>
      <c r="G8741" t="inlineStr">
        <is>
          <t>2</t>
        </is>
      </c>
      <c r="H8741" t="inlineStr">
        <is>
          <t>19/03/2026</t>
        </is>
      </c>
      <c r="I8741" t="inlineStr">
        <is>
          <t>17/03/2026</t>
        </is>
      </c>
      <c r="J8741" t="inlineStr">
        <is>
          <t>Bán lẻ / Bán sỉ, Bán hàng / Kinh doanh, Xây dựng</t>
        </is>
      </c>
      <c r="K8741" t="inlineStr">
        <is>
          <t>1 - 2 Năm</t>
        </is>
      </c>
      <c r="L8741" s="8">
        <f>HYPERLINK("https://careerviet.vn/vi/tim-viec-lam/nhan-vien-kinh-doanh-dong-nam-bo.35C6A2CD.html","Xem chi tiết")</f>
        <v/>
      </c>
    </row>
    <row r="8742">
      <c r="B8742" s="9" t="n">
        <v>8740</v>
      </c>
      <c r="C8742" s="10" t="inlineStr">
        <is>
          <t>Kỹ Sư Thiết Kế Layout Nhà Xưởng</t>
        </is>
      </c>
      <c r="D8742" s="10" t="inlineStr">
        <is>
          <t>CÔNG TY CP THỰC PHẨM VÀ NƯỚC GIẢI KHÁT NAM VIỆT</t>
        </is>
      </c>
      <c r="E8742" s="10" t="inlineStr">
        <is>
          <t>Lương:15 Tr - 30 Tr VND</t>
        </is>
      </c>
      <c r="F8742" s="10" t="inlineStr">
        <is>
          <t>Bình Dương</t>
        </is>
      </c>
      <c r="G8742" s="10" t="inlineStr">
        <is>
          <t>31-03-2026</t>
        </is>
      </c>
      <c r="H8742" s="10" t="inlineStr">
        <is>
          <t>31/03/2026</t>
        </is>
      </c>
      <c r="I8742" s="10" t="inlineStr">
        <is>
          <t>17/03/2026</t>
        </is>
      </c>
      <c r="J8742" s="10" t="inlineStr">
        <is>
          <t>Kiến trúc, Xây dựng, Cơ khí / Ô tô / Tự động hóa</t>
        </is>
      </c>
      <c r="K8742" s="10" t="inlineStr">
        <is>
          <t>3 - 5 Năm</t>
        </is>
      </c>
      <c r="L8742" s="11">
        <f>HYPERLINK("https://careerviet.vn/vi/tim-viec-lam/ky-su-thiet-ke-layout-nha-xuong.35C6A6F7.html","Xem chi tiết")</f>
        <v/>
      </c>
      <c r="M8742" s="10" t="n"/>
    </row>
    <row r="8743">
      <c r="B8743" s="7" t="n">
        <v>8741</v>
      </c>
      <c r="C8743" t="inlineStr">
        <is>
          <t>Giáo Viên Mầm Non (BRIS GÒ VẤP)</t>
        </is>
      </c>
      <c r="D8743" t="inlineStr">
        <is>
          <t>TRƯỜNG QUỐC TẾ BLUE RIDGE / BLUE RIDGE INTERNATIONAL SCHOOL (BRIS)</t>
        </is>
      </c>
      <c r="E8743" t="inlineStr">
        <is>
          <t>Lương:8 Tr - 9 Tr VND</t>
        </is>
      </c>
      <c r="F8743" t="inlineStr">
        <is>
          <t>Hồ Chí Minh</t>
        </is>
      </c>
      <c r="G8743" t="inlineStr">
        <is>
          <t>31-03-2026</t>
        </is>
      </c>
      <c r="H8743" t="inlineStr">
        <is>
          <t>31/03/2026</t>
        </is>
      </c>
      <c r="I8743" t="inlineStr">
        <is>
          <t>17/03/2026</t>
        </is>
      </c>
      <c r="J8743" t="inlineStr">
        <is>
          <t>Giáo dục / Đào tạo</t>
        </is>
      </c>
      <c r="K8743" t="inlineStr">
        <is>
          <t>1 - 2 Năm</t>
        </is>
      </c>
      <c r="L8743" s="8">
        <f>HYPERLINK("https://careerviet.vn/vi/tim-viec-lam/giao-vien-mam-non-bris-go-vap.35C6A38C.html","Xem chi tiết")</f>
        <v/>
      </c>
    </row>
    <row r="8744">
      <c r="B8744" s="9" t="n">
        <v>8742</v>
      </c>
      <c r="C8744" s="10" t="inlineStr">
        <is>
          <t>CHUYÊN VIÊN KINH DOANH</t>
        </is>
      </c>
      <c r="D8744" s="10" t="inlineStr">
        <is>
          <t>Tổng công ty Xây dựng số 1 – CTCP</t>
        </is>
      </c>
      <c r="E8744" s="10" t="inlineStr">
        <is>
          <t>Lương:Cạnh tranh</t>
        </is>
      </c>
      <c r="F8744" s="10" t="inlineStr">
        <is>
          <t>Hà Nội</t>
        </is>
      </c>
      <c r="G8744" s="10" t="inlineStr">
        <is>
          <t>30-03-2026</t>
        </is>
      </c>
      <c r="H8744" s="10" t="inlineStr">
        <is>
          <t>30/03/2026</t>
        </is>
      </c>
      <c r="I8744" s="10" t="inlineStr">
        <is>
          <t>17/03/2026</t>
        </is>
      </c>
      <c r="J8744" s="10" t="inlineStr">
        <is>
          <t>Bán hàng / Kinh doanh</t>
        </is>
      </c>
      <c r="K8744" s="10" t="inlineStr">
        <is>
          <t>1 - 2 Năm</t>
        </is>
      </c>
      <c r="L8744" s="11">
        <f>HYPERLINK("https://careerviet.vn/vi/tim-viec-lam/chuyen-vien-kinh-doanh.35C6A3BE.html","Xem chi tiết")</f>
        <v/>
      </c>
      <c r="M8744" s="10" t="n"/>
    </row>
    <row r="8745">
      <c r="B8745" s="7" t="n">
        <v>8743</v>
      </c>
      <c r="C8745" t="inlineStr">
        <is>
          <t>Thủ kho hàng hóa (sàn TMĐT)</t>
        </is>
      </c>
      <c r="D8745" t="inlineStr">
        <is>
          <t>THỜI TRANG LINING_CÔNG TY TNHH QUỐC TẾ HẢI LONG</t>
        </is>
      </c>
      <c r="E8745" t="inlineStr">
        <is>
          <t>Lương:12 Tr - 15 Tr VND</t>
        </is>
      </c>
      <c r="F8745" t="inlineStr">
        <is>
          <t>Hà Nội</t>
        </is>
      </c>
      <c r="G8745" t="inlineStr">
        <is>
          <t>02-04-2026</t>
        </is>
      </c>
      <c r="H8745" t="inlineStr">
        <is>
          <t>02/04/2026</t>
        </is>
      </c>
      <c r="I8745" t="inlineStr">
        <is>
          <t>17/03/2026</t>
        </is>
      </c>
      <c r="J8745" t="inlineStr">
        <is>
          <t>Kế toán / Kiểm toán</t>
        </is>
      </c>
      <c r="K8745" t="inlineStr">
        <is>
          <t>2 - 3 Năm</t>
        </is>
      </c>
      <c r="L8745" s="8">
        <f>HYPERLINK("https://careerviet.vn/vi/tim-viec-lam/thu-kho-hang-hoa-san-tmdt.35C6A4AB.html","Xem chi tiết")</f>
        <v/>
      </c>
    </row>
    <row r="8746">
      <c r="B8746" s="9" t="n">
        <v>8744</v>
      </c>
      <c r="C8746" s="10" t="inlineStr">
        <is>
          <t>Trưởng nhóm Đào tạo Bán hàng</t>
        </is>
      </c>
      <c r="D8746" s="10" t="inlineStr">
        <is>
          <t>Công ty cổ phần Liên Doanh ô tô Hyundai Thành Công Việt Nam</t>
        </is>
      </c>
      <c r="E8746" s="10" t="inlineStr">
        <is>
          <t>Lương:Cạnh tranh</t>
        </is>
      </c>
      <c r="F8746" s="10" t="inlineStr">
        <is>
          <t>Hà Nội</t>
        </is>
      </c>
      <c r="G8746" s="10" t="inlineStr">
        <is>
          <t>01-04-2026</t>
        </is>
      </c>
      <c r="H8746" s="10" t="inlineStr">
        <is>
          <t>01/04/2026</t>
        </is>
      </c>
      <c r="I8746" s="10" t="inlineStr">
        <is>
          <t>17/03/2026</t>
        </is>
      </c>
      <c r="J8746" s="10" t="inlineStr">
        <is>
          <t>Giáo dục / Đào tạo, Cơ khí / Ô tô / Tự động hóa, Bán hàng / Kinh doanh</t>
        </is>
      </c>
      <c r="K8746" s="10" t="inlineStr">
        <is>
          <t>Trên 3 Năm</t>
        </is>
      </c>
      <c r="L8746" s="11">
        <f>HYPERLINK("https://careerviet.vn/vi/tim-viec-lam/truong-nhom-dao-tao-ban-hang.35C6A5D2.html","Xem chi tiết")</f>
        <v/>
      </c>
      <c r="M8746" s="10" t="n"/>
    </row>
    <row r="8747">
      <c r="B8747" s="7" t="n">
        <v>8745</v>
      </c>
      <c r="C8747" t="inlineStr">
        <is>
          <t>Animator (Học viện Bò và Gấu)</t>
        </is>
      </c>
      <c r="D8747" t="inlineStr">
        <is>
          <t>Công ty Cổ phần Chứng khoán DNSE</t>
        </is>
      </c>
      <c r="E8747" t="inlineStr">
        <is>
          <t>Lương:1.000 - 1.500 USD</t>
        </is>
      </c>
      <c r="F8747" t="inlineStr">
        <is>
          <t>Hà Nội</t>
        </is>
      </c>
      <c r="G8747" t="inlineStr">
        <is>
          <t>02-04-2026</t>
        </is>
      </c>
      <c r="H8747" t="inlineStr">
        <is>
          <t>02/04/2026</t>
        </is>
      </c>
      <c r="I8747" t="inlineStr">
        <is>
          <t>17/03/2026</t>
        </is>
      </c>
      <c r="J8747" t="inlineStr">
        <is>
          <t>Mỹ thuật / Nghệ thuật / Thiết kế</t>
        </is>
      </c>
      <c r="K8747" t="inlineStr">
        <is>
          <t>Trên 2 Năm</t>
        </is>
      </c>
      <c r="L8747" s="8">
        <f>HYPERLINK("https://careerviet.vn/vi/tim-viec-lam/animator-hoc-vien-bo-va-gau.35C6A50F.html","Xem chi tiết")</f>
        <v/>
      </c>
    </row>
    <row r="8748">
      <c r="B8748" s="9" t="n">
        <v>8746</v>
      </c>
      <c r="C8748" s="10" t="inlineStr">
        <is>
          <t>Senior Merchandise Specialist</t>
        </is>
      </c>
      <c r="D8748" s="10" t="inlineStr">
        <is>
          <t>Công Ty CP Vàng Bạc Đá Quý Phú Nhuận - PNJ</t>
        </is>
      </c>
      <c r="E8748" s="10" t="inlineStr">
        <is>
          <t>Lương:Cạnh tranh</t>
        </is>
      </c>
      <c r="F8748" s="10" t="inlineStr">
        <is>
          <t>Hồ Chí Minh</t>
        </is>
      </c>
      <c r="G8748" s="10" t="inlineStr">
        <is>
          <t>01-04-2026</t>
        </is>
      </c>
      <c r="H8748" s="10" t="inlineStr">
        <is>
          <t>01/04/2026</t>
        </is>
      </c>
      <c r="I8748" s="10" t="inlineStr">
        <is>
          <t>17/03/2026</t>
        </is>
      </c>
      <c r="J8748" s="10" t="inlineStr">
        <is>
          <t>Bán lẻ / Bán sỉ, Dệt may / Da giày / Thời trang, Thu mua / Vật tư</t>
        </is>
      </c>
      <c r="K8748" s="10" t="inlineStr">
        <is>
          <t>4 - 7 Năm</t>
        </is>
      </c>
      <c r="L8748" s="11">
        <f>HYPERLINK("https://careerviet.vn/vi/tim-viec-lam/senior-merchandise-specialist.35C6A708.html","Xem chi tiết")</f>
        <v/>
      </c>
      <c r="M8748" s="10" t="n"/>
    </row>
    <row r="8749">
      <c r="B8749" s="7" t="n">
        <v>8747</v>
      </c>
      <c r="C8749" t="inlineStr">
        <is>
          <t>Trưởng phòng Cung ứng</t>
        </is>
      </c>
      <c r="D8749" t="inlineStr">
        <is>
          <t>Tổng công ty Xây dựng số 1 – CTCP</t>
        </is>
      </c>
      <c r="E8749" t="inlineStr">
        <is>
          <t>Lương:Cạnh tranh</t>
        </is>
      </c>
      <c r="F8749" t="inlineStr">
        <is>
          <t>Hồ Chí Minh</t>
        </is>
      </c>
      <c r="G8749" t="inlineStr">
        <is>
          <t>01-04-2026</t>
        </is>
      </c>
      <c r="H8749" t="inlineStr">
        <is>
          <t>01/04/2026</t>
        </is>
      </c>
      <c r="I8749" t="inlineStr">
        <is>
          <t>17/03/2026</t>
        </is>
      </c>
      <c r="J8749" t="inlineStr">
        <is>
          <t>Xây dựng, Thu mua / Vật tư</t>
        </is>
      </c>
      <c r="K8749" t="inlineStr">
        <is>
          <t>5 - 10 Năm</t>
        </is>
      </c>
      <c r="L8749" s="8">
        <f>HYPERLINK("https://careerviet.vn/vi/tim-viec-lam/truong-phong-cung-ung.35C6A3B7.html","Xem chi tiết")</f>
        <v/>
      </c>
    </row>
    <row r="8750">
      <c r="B8750" s="9" t="n">
        <v>8748</v>
      </c>
      <c r="C8750" s="10" t="inlineStr">
        <is>
          <t>Chuyên viên Nhân sự - đào tạo (Thu nhập upto 15tr)</t>
        </is>
      </c>
      <c r="D8750" s="10" t="inlineStr">
        <is>
          <t>Công ty CP IIG Việt Nam</t>
        </is>
      </c>
      <c r="E8750" s="10" t="inlineStr">
        <is>
          <t>Lương:14 Tr - 15 Tr VND</t>
        </is>
      </c>
      <c r="F8750" s="10" t="inlineStr">
        <is>
          <t>Hà Nội</t>
        </is>
      </c>
      <c r="G8750" s="10" t="inlineStr">
        <is>
          <t>05-04-2026</t>
        </is>
      </c>
      <c r="H8750" s="10" t="inlineStr">
        <is>
          <t>05/04/2026</t>
        </is>
      </c>
      <c r="I8750" s="10" t="inlineStr">
        <is>
          <t>17/03/2026</t>
        </is>
      </c>
      <c r="J8750" s="10" t="inlineStr">
        <is>
          <t>Nhân sự, Giáo dục / Đào tạo, Hành chính / Thư ký</t>
        </is>
      </c>
      <c r="K8750" s="10" t="inlineStr">
        <is>
          <t>2 - 3 Năm</t>
        </is>
      </c>
      <c r="L8750" s="11">
        <f>HYPERLINK("https://careerviet.vn/vi/tim-viec-lam/chuyen-vien-nhan-su-dao-tao-thu-nhap-upto-15tr.35C6A650.html","Xem chi tiết")</f>
        <v/>
      </c>
      <c r="M8750" s="10" t="n"/>
    </row>
    <row r="8751">
      <c r="B8751" s="7" t="n">
        <v>8749</v>
      </c>
      <c r="C8751" t="inlineStr">
        <is>
          <t>Quản lý hợp đồng và khối lượng</t>
        </is>
      </c>
      <c r="D8751" t="inlineStr">
        <is>
          <t>Công ty Cổ phần FECON</t>
        </is>
      </c>
      <c r="E8751" t="inlineStr">
        <is>
          <t>Lương:Cạnh tranh</t>
        </is>
      </c>
      <c r="F8751" t="inlineStr">
        <is>
          <t>Hà Nội</t>
        </is>
      </c>
      <c r="G8751" t="inlineStr">
        <is>
          <t>14-04-2026</t>
        </is>
      </c>
      <c r="H8751" t="inlineStr">
        <is>
          <t>14/04/2026</t>
        </is>
      </c>
      <c r="I8751" t="inlineStr">
        <is>
          <t>17/03/2026</t>
        </is>
      </c>
      <c r="J8751" t="inlineStr">
        <is>
          <t>Xây dựng</t>
        </is>
      </c>
      <c r="K8751" t="inlineStr">
        <is>
          <t>null - null Năm</t>
        </is>
      </c>
      <c r="L8751" s="8">
        <f>HYPERLINK("https://careerviet.vn/vi/tim-viec-lam/quan-ly-hop-dong-va-khoi-luong.35C68AE2.html","Xem chi tiết")</f>
        <v/>
      </c>
    </row>
    <row r="8752">
      <c r="B8752" s="9" t="n">
        <v>8750</v>
      </c>
      <c r="C8752" s="10" t="inlineStr">
        <is>
          <t>Nhân Viên Kinh Doanh Thiết Bị Y Tế</t>
        </is>
      </c>
      <c r="D8752" s="10" t="inlineStr">
        <is>
          <t>CÔNG TY TNHH THƯƠNG MẠI VẬT TƯ KHOA HỌC KỸ THUẬT</t>
        </is>
      </c>
      <c r="E8752" s="10" t="inlineStr">
        <is>
          <t>Lương:15 Tr - 22 Tr VND</t>
        </is>
      </c>
      <c r="F8752" s="10" t="inlineStr">
        <is>
          <t>Hà Nội</t>
        </is>
      </c>
      <c r="G8752" s="10" t="inlineStr">
        <is>
          <t>14-04-2026</t>
        </is>
      </c>
      <c r="H8752" s="10" t="inlineStr">
        <is>
          <t>14/04/2026</t>
        </is>
      </c>
      <c r="I8752" s="10" t="inlineStr">
        <is>
          <t>17/03/2026</t>
        </is>
      </c>
      <c r="J8752" s="10" t="inlineStr">
        <is>
          <t>Bán hàng / Kinh doanh, Y tế / Chăm sóc sức khỏe / Thẩm mỹ / Làm đẹp, Dược phẩm/ Hóa Mỹ Phẩm</t>
        </is>
      </c>
      <c r="K8752" s="10" t="inlineStr">
        <is>
          <t>N/A</t>
        </is>
      </c>
      <c r="L8752" s="11">
        <f>HYPERLINK("https://careerviet.vn/vi/tim-viec-lam/nhan-vien-kinh-doanh-thiet-bi-y-te.35C68A2C.html","Xem chi tiết")</f>
        <v/>
      </c>
      <c r="M8752" s="10" t="n"/>
    </row>
    <row r="8753">
      <c r="B8753" s="7" t="n">
        <v>8751</v>
      </c>
      <c r="C8753" t="inlineStr">
        <is>
          <t>Hà Nội - Kế toán tổng hợp</t>
        </is>
      </c>
      <c r="D8753" t="inlineStr">
        <is>
          <t>Công Ty Cổ Phần Thép Việt Xô Hà Nội</t>
        </is>
      </c>
      <c r="E8753" t="inlineStr">
        <is>
          <t>Lương:18 Tr - 22 Tr VND</t>
        </is>
      </c>
      <c r="F8753" t="inlineStr">
        <is>
          <t>Hà Nội</t>
        </is>
      </c>
      <c r="G8753" t="inlineStr">
        <is>
          <t>14-04-2026</t>
        </is>
      </c>
      <c r="H8753" t="inlineStr">
        <is>
          <t>14/04/2026</t>
        </is>
      </c>
      <c r="I8753" t="inlineStr">
        <is>
          <t>17/03/2026</t>
        </is>
      </c>
      <c r="J8753" t="inlineStr">
        <is>
          <t>Bán hàng / Kinh doanh, Bán lẻ / Bán sỉ, Sản xuất / Vận hành sản xuất</t>
        </is>
      </c>
      <c r="K8753" t="inlineStr">
        <is>
          <t>2 - 3 Năm</t>
        </is>
      </c>
      <c r="L8753" s="8">
        <f>HYPERLINK("https://careerviet.vn/vi/tim-viec-lam/ha-noi-ke-toan-tong-hop.35C68A25.html","Xem chi tiết")</f>
        <v/>
      </c>
    </row>
    <row r="8754">
      <c r="B8754" s="9" t="n">
        <v>8752</v>
      </c>
      <c r="C8754" s="10" t="inlineStr">
        <is>
          <t>Chuyên viên Kế toán Khách hàng</t>
        </is>
      </c>
      <c r="D8754" s="10" t="inlineStr">
        <is>
          <t>Công ty CP Công nghệ giáo dục Trường học trực tuyến (ONSCHOOL)</t>
        </is>
      </c>
      <c r="E8754" s="10" t="inlineStr">
        <is>
          <t>Lương:8 Tr - 12 Tr VND</t>
        </is>
      </c>
      <c r="F8754" s="10" t="inlineStr">
        <is>
          <t>Hà Nội</t>
        </is>
      </c>
      <c r="G8754" s="10" t="inlineStr">
        <is>
          <t>14-04-2026</t>
        </is>
      </c>
      <c r="H8754" s="10" t="inlineStr">
        <is>
          <t>14/04/2026</t>
        </is>
      </c>
      <c r="I8754" s="10" t="inlineStr">
        <is>
          <t>17/03/2026</t>
        </is>
      </c>
      <c r="J8754" s="10" t="inlineStr">
        <is>
          <t>Kế toán / Kiểm toán</t>
        </is>
      </c>
      <c r="K8754" s="10" t="inlineStr">
        <is>
          <t>Trên 1 Năm</t>
        </is>
      </c>
      <c r="L8754" s="11">
        <f>HYPERLINK("https://careerviet.vn/vi/tim-viec-lam/chuyen-vien-ke-toan-khach-hang.35C68A35.html","Xem chi tiết")</f>
        <v/>
      </c>
      <c r="M8754" s="10" t="n"/>
    </row>
    <row r="8755">
      <c r="B8755" s="7" t="n">
        <v>8753</v>
      </c>
      <c r="C8755" t="inlineStr">
        <is>
          <t>Quản đốc nhà máy</t>
        </is>
      </c>
      <c r="D8755" t="inlineStr">
        <is>
          <t>CÔNG TY CỔ PHẦN ĐẦU TƯ BeNK</t>
        </is>
      </c>
      <c r="E8755" t="inlineStr">
        <is>
          <t>Lương:25 Tr - 30 Tr VND</t>
        </is>
      </c>
      <c r="F8755" t="inlineStr">
        <is>
          <t>Hòa Bình</t>
        </is>
      </c>
      <c r="G8755" t="inlineStr">
        <is>
          <t>30-04-2026</t>
        </is>
      </c>
      <c r="H8755" t="inlineStr">
        <is>
          <t>30/04/2026</t>
        </is>
      </c>
      <c r="I8755" t="inlineStr">
        <is>
          <t>17/03/2026</t>
        </is>
      </c>
      <c r="J8755" t="inlineStr">
        <is>
          <t>Sản xuất / Vận hành sản xuất</t>
        </is>
      </c>
      <c r="K8755" t="inlineStr">
        <is>
          <t>Trên 5 Năm</t>
        </is>
      </c>
      <c r="L8755" s="8">
        <f>HYPERLINK("https://careerviet.vn/vi/tim-viec-lam/quan-doc-nha-may.35C6A3D2.html","Xem chi tiết")</f>
        <v/>
      </c>
    </row>
    <row r="8756">
      <c r="B8756" s="9" t="n">
        <v>8754</v>
      </c>
      <c r="C8756" s="10" t="inlineStr">
        <is>
          <t>Kỹ sư cấp thoát nước</t>
        </is>
      </c>
      <c r="D8756" s="10" t="inlineStr">
        <is>
          <t>CÔNG TY CỔ PHẨN ỨNG DỤNG VÀ CHUYỂN GIAO CÔNG NGHỆ XÂY DỰNG (CJSC)</t>
        </is>
      </c>
      <c r="E8756" s="10" t="inlineStr">
        <is>
          <t>Lương:15 Tr - 22 Tr VND</t>
        </is>
      </c>
      <c r="F8756" s="10" t="inlineStr">
        <is>
          <t>Hà Nội</t>
        </is>
      </c>
      <c r="G8756" s="10" t="inlineStr">
        <is>
          <t>14-04-2026</t>
        </is>
      </c>
      <c r="H8756" s="10" t="inlineStr">
        <is>
          <t>14/04/2026</t>
        </is>
      </c>
      <c r="I8756" s="10" t="inlineStr">
        <is>
          <t>17/03/2026</t>
        </is>
      </c>
      <c r="J8756" s="10" t="inlineStr">
        <is>
          <t>Điện / Điện tử / Điện lạnh / Điện công nghiệp, Xây dựng</t>
        </is>
      </c>
      <c r="K8756" s="10" t="inlineStr">
        <is>
          <t>3 - 5 Năm</t>
        </is>
      </c>
      <c r="L8756" s="11">
        <f>HYPERLINK("https://careerviet.vn/vi/tim-viec-lam/ky-su-cap-thoat-nuoc.35C68A22.html","Xem chi tiết")</f>
        <v/>
      </c>
      <c r="M8756" s="10" t="n"/>
    </row>
    <row r="8757">
      <c r="B8757" s="7" t="n">
        <v>8755</v>
      </c>
      <c r="C8757" t="inlineStr">
        <is>
          <t>Nhân viên bán hàng tại Bình Phước</t>
        </is>
      </c>
      <c r="D8757" t="inlineStr">
        <is>
          <t>HMK Eyewear</t>
        </is>
      </c>
      <c r="E8757" t="inlineStr">
        <is>
          <t>Lương:8 Tr - 15 Tr VND</t>
        </is>
      </c>
      <c r="F8757" t="inlineStr">
        <is>
          <t>Bình Phước</t>
        </is>
      </c>
      <c r="G8757" t="inlineStr">
        <is>
          <t>14-04-2026</t>
        </is>
      </c>
      <c r="H8757" t="inlineStr">
        <is>
          <t>14/04/2026</t>
        </is>
      </c>
      <c r="I8757" t="inlineStr">
        <is>
          <t>17/03/2026</t>
        </is>
      </c>
      <c r="J8757" t="inlineStr">
        <is>
          <t>Tiếp thị / Marketing, Bán lẻ / Bán sỉ, Bán hàng / Kinh doanh</t>
        </is>
      </c>
      <c r="K8757" t="inlineStr">
        <is>
          <t>Chưa có kinh nghiệm</t>
        </is>
      </c>
      <c r="L8757" s="8">
        <f>HYPERLINK("https://careerviet.vn/vi/tim-viec-lam/nhan-vien-ban-hang-tai-binh-phuoc.35C65873.html","Xem chi tiết")</f>
        <v/>
      </c>
    </row>
    <row r="8758">
      <c r="B8758" s="9" t="n">
        <v>8756</v>
      </c>
      <c r="C8758" s="10" t="inlineStr">
        <is>
          <t>Nhân viên bán hàng DDBS</t>
        </is>
      </c>
      <c r="D8758" s="10" t="inlineStr">
        <is>
          <t>Công ty Vàng Bạc Đá Qúy Bảo Tín Minh Châu</t>
        </is>
      </c>
      <c r="E8758" s="10" t="inlineStr">
        <is>
          <t>Lương:8 Tr - 12 Tr VND</t>
        </is>
      </c>
      <c r="F8758" s="10" t="inlineStr">
        <is>
          <t>Hà Nội</t>
        </is>
      </c>
      <c r="G8758" s="10" t="inlineStr">
        <is>
          <t>14-04-2026</t>
        </is>
      </c>
      <c r="H8758" s="10" t="inlineStr">
        <is>
          <t>14/04/2026</t>
        </is>
      </c>
      <c r="I8758" s="10" t="inlineStr">
        <is>
          <t>17/03/2026</t>
        </is>
      </c>
      <c r="J8758" s="10" t="inlineStr">
        <is>
          <t>Bán hàng / Kinh doanh</t>
        </is>
      </c>
      <c r="K8758" s="10" t="inlineStr">
        <is>
          <t>Chưa có kinh nghiệm</t>
        </is>
      </c>
      <c r="L8758" s="11">
        <f>HYPERLINK("https://careerviet.vn/vi/tim-viec-lam/nhan-vien-ban-hang-ddbs.35C68AAB.html","Xem chi tiết")</f>
        <v/>
      </c>
      <c r="M8758" s="10" t="n"/>
    </row>
    <row r="8759">
      <c r="B8759" s="7" t="n">
        <v>8757</v>
      </c>
      <c r="C8759" t="inlineStr">
        <is>
          <t>[An Giang] Sales Supervisor/ Giám Sát Bán Hàng Kênh GT</t>
        </is>
      </c>
      <c r="D8759" t="inlineStr">
        <is>
          <t>Công Ty Cổ Phần Diana Unicharm</t>
        </is>
      </c>
      <c r="E8759" t="inlineStr">
        <is>
          <t>Lương:Cạnh tranh</t>
        </is>
      </c>
      <c r="F8759" t="inlineStr">
        <is>
          <t>An Giang</t>
        </is>
      </c>
      <c r="G8759" t="inlineStr">
        <is>
          <t>14-04-2026</t>
        </is>
      </c>
      <c r="H8759" t="inlineStr">
        <is>
          <t>14/04/2026</t>
        </is>
      </c>
      <c r="I8759" t="inlineStr">
        <is>
          <t>17/03/2026</t>
        </is>
      </c>
      <c r="J8759" t="inlineStr">
        <is>
          <t>Bán lẻ / Bán sỉ, Bán hàng / Kinh doanh, Hàng gia dụng / Chăm sóc cá nhân</t>
        </is>
      </c>
      <c r="K8759" t="inlineStr">
        <is>
          <t>3 - 5 Năm</t>
        </is>
      </c>
      <c r="L8759" s="8">
        <f>HYPERLINK("https://careerviet.vn/vi/tim-viec-lam/an-giang-sales-supervisor-giam-sat-ban-hang-kenh-gt.35C68A67.html","Xem chi tiết")</f>
        <v/>
      </c>
    </row>
    <row r="8760">
      <c r="B8760" s="9" t="n">
        <v>8758</v>
      </c>
      <c r="C8760" s="10" t="inlineStr">
        <is>
          <t>NHÂN VIÊN PHÁT TRIỂN KINH DOANH  [CƠ KHÍ -  CỦ CHI]</t>
        </is>
      </c>
      <c r="D8760" s="10" t="inlineStr">
        <is>
          <t>CÔNG TY CP SAIGON AUTO SUPPORTING INDUSTRY</t>
        </is>
      </c>
      <c r="E8760" s="10" t="inlineStr">
        <is>
          <t>Lương:Cạnh tranh</t>
        </is>
      </c>
      <c r="F8760" s="10" t="inlineStr">
        <is>
          <t>Hồ Chí Minh</t>
        </is>
      </c>
      <c r="G8760" s="10" t="inlineStr">
        <is>
          <t>14-04-2026</t>
        </is>
      </c>
      <c r="H8760" s="10" t="inlineStr">
        <is>
          <t>14/04/2026</t>
        </is>
      </c>
      <c r="I8760" s="10" t="inlineStr">
        <is>
          <t>17/03/2026</t>
        </is>
      </c>
      <c r="J8760" s="10" t="inlineStr">
        <is>
          <t>Cơ khí / Ô tô / Tự động hóa, Thu mua / Vật tư, Bán Hàng Kỹ Thuật</t>
        </is>
      </c>
      <c r="K8760" s="10" t="inlineStr">
        <is>
          <t>N/A</t>
        </is>
      </c>
      <c r="L8760" s="11">
        <f>HYPERLINK("https://careerviet.vn/vi/tim-viec-lam/nhan-vien-phat-trien-kinh-doanh-co-khi-cu-chi.35C68ADC.html","Xem chi tiết")</f>
        <v/>
      </c>
      <c r="M8760" s="10" t="n"/>
    </row>
    <row r="8761">
      <c r="B8761" s="7" t="n">
        <v>8759</v>
      </c>
      <c r="C8761" t="inlineStr">
        <is>
          <t>Chuyên viên tuyển dụng</t>
        </is>
      </c>
      <c r="D8761" t="inlineStr">
        <is>
          <t>Công ty TNHH Nesta</t>
        </is>
      </c>
      <c r="E8761" t="inlineStr">
        <is>
          <t>Lương:9 Tr - 13 Tr VND</t>
        </is>
      </c>
      <c r="F8761" t="inlineStr">
        <is>
          <t>Hưng Yên</t>
        </is>
      </c>
      <c r="G8761" t="inlineStr">
        <is>
          <t>14-04-2026</t>
        </is>
      </c>
      <c r="H8761" t="inlineStr">
        <is>
          <t>14/04/2026</t>
        </is>
      </c>
      <c r="I8761" t="inlineStr">
        <is>
          <t>17/03/2026</t>
        </is>
      </c>
      <c r="J8761" t="inlineStr">
        <is>
          <t>Nhân sự, Hành chính / Thư ký</t>
        </is>
      </c>
      <c r="K8761" t="inlineStr">
        <is>
          <t>2 - 10 Năm</t>
        </is>
      </c>
      <c r="L8761" s="8">
        <f>HYPERLINK("https://careerviet.vn/vi/tim-viec-lam/chuyen-vien-tuyen-dung.35C68B1A.html","Xem chi tiết")</f>
        <v/>
      </c>
    </row>
    <row r="8762">
      <c r="B8762" s="9" t="n">
        <v>8760</v>
      </c>
      <c r="C8762" s="10" t="inlineStr">
        <is>
          <t>Trưởng Nhóm Thủ Tục (Làm việc tại HCM)</t>
        </is>
      </c>
      <c r="D8762" s="10" t="inlineStr">
        <is>
          <t>CÔNG TY CỔ PHẦN PHÁT TRIỂN BẤT ĐỘNG SẢN VĂN PHÚ</t>
        </is>
      </c>
      <c r="E8762" s="10" t="inlineStr">
        <is>
          <t>Lương:Cạnh tranh</t>
        </is>
      </c>
      <c r="F8762" s="10" t="inlineStr">
        <is>
          <t>Hồ Chí Minh</t>
        </is>
      </c>
      <c r="G8762" s="10" t="inlineStr">
        <is>
          <t>14-04-2026</t>
        </is>
      </c>
      <c r="H8762" s="10" t="inlineStr">
        <is>
          <t>14/04/2026</t>
        </is>
      </c>
      <c r="I8762" s="10" t="inlineStr">
        <is>
          <t>17/03/2026</t>
        </is>
      </c>
      <c r="J8762" s="10" t="inlineStr">
        <is>
          <t>Dịch vụ khách hàng, Bất động sản</t>
        </is>
      </c>
      <c r="K8762" s="10" t="inlineStr">
        <is>
          <t>null - null Năm</t>
        </is>
      </c>
      <c r="L8762" s="11">
        <f>HYPERLINK("https://careerviet.vn/vi/tim-viec-lam/truong-nhom-thu-tuc-lam-viec-tai-hcm.35C68B2B.html","Xem chi tiết")</f>
        <v/>
      </c>
      <c r="M8762" s="10" t="n"/>
    </row>
    <row r="8763">
      <c r="B8763" s="7" t="n">
        <v>8761</v>
      </c>
      <c r="C8763" t="inlineStr">
        <is>
          <t>Kế toán trưởng</t>
        </is>
      </c>
      <c r="D8763" t="inlineStr">
        <is>
          <t>Công ty CP Công nghệ giáo dục Trường học trực tuyến (ONSCHOOL)</t>
        </is>
      </c>
      <c r="E8763" t="inlineStr">
        <is>
          <t>Lương:25 Tr - 32 Tr VND</t>
        </is>
      </c>
      <c r="F8763" t="inlineStr">
        <is>
          <t>Hà Nội</t>
        </is>
      </c>
      <c r="G8763" t="inlineStr">
        <is>
          <t>14-04-2026</t>
        </is>
      </c>
      <c r="H8763" t="inlineStr">
        <is>
          <t>14/04/2026</t>
        </is>
      </c>
      <c r="I8763" t="inlineStr">
        <is>
          <t>17/03/2026</t>
        </is>
      </c>
      <c r="J8763" t="inlineStr">
        <is>
          <t>Kế toán / Kiểm toán</t>
        </is>
      </c>
      <c r="K8763" t="inlineStr">
        <is>
          <t>Trên 5 Năm</t>
        </is>
      </c>
      <c r="L8763" s="8">
        <f>HYPERLINK("https://careerviet.vn/vi/tim-viec-lam/ke-toan-truong.35C68A2F.html","Xem chi tiết")</f>
        <v/>
      </c>
    </row>
    <row r="8764">
      <c r="B8764" s="9" t="n">
        <v>8762</v>
      </c>
      <c r="C8764" s="10" t="inlineStr">
        <is>
          <t>CHUYÊN VIÊN PHÁT TRIỂN NHÀ CUNG CẤP  [CƠ KHÍ -  CỦ CHI]</t>
        </is>
      </c>
      <c r="D8764" s="10" t="inlineStr">
        <is>
          <t>CÔNG TY CP SAIGON AUTO SUPPORTING INDUSTRY</t>
        </is>
      </c>
      <c r="E8764" s="10" t="inlineStr">
        <is>
          <t>Lương:Cạnh tranh</t>
        </is>
      </c>
      <c r="F8764" s="10" t="inlineStr">
        <is>
          <t>Hồ Chí Minh</t>
        </is>
      </c>
      <c r="G8764" s="10" t="inlineStr">
        <is>
          <t>14-04-2026</t>
        </is>
      </c>
      <c r="H8764" s="10" t="inlineStr">
        <is>
          <t>14/04/2026</t>
        </is>
      </c>
      <c r="I8764" s="10" t="inlineStr">
        <is>
          <t>17/03/2026</t>
        </is>
      </c>
      <c r="J8764" s="10" t="inlineStr">
        <is>
          <t>Cơ khí / Ô tô / Tự động hóa, Thu mua / Vật tư, Bán Hàng Kỹ Thuật</t>
        </is>
      </c>
      <c r="K8764" s="10" t="inlineStr">
        <is>
          <t>3 - 10 Năm</t>
        </is>
      </c>
      <c r="L8764" s="11">
        <f>HYPERLINK("https://careerviet.vn/vi/tim-viec-lam/chuyen-vien-phat-trien-nha-cung-cap-co-khi-cu-chi.35C68AE5.html","Xem chi tiết")</f>
        <v/>
      </c>
      <c r="M8764" s="10" t="n"/>
    </row>
    <row r="8765">
      <c r="B8765" s="7" t="n">
        <v>8763</v>
      </c>
      <c r="C8765" t="inlineStr">
        <is>
          <t>Category Specialist ( Quality, Supply Chain)</t>
        </is>
      </c>
      <c r="D8765" t="inlineStr">
        <is>
          <t>Huhtamaki (Vietnam) Ltd.</t>
        </is>
      </c>
      <c r="E8765" t="inlineStr">
        <is>
          <t>Lương:Cạnh tranh</t>
        </is>
      </c>
      <c r="F8765" t="inlineStr">
        <is>
          <t>Bình Dương</t>
        </is>
      </c>
      <c r="G8765" t="inlineStr">
        <is>
          <t>14-04-2026</t>
        </is>
      </c>
      <c r="H8765" t="inlineStr">
        <is>
          <t>14/04/2026</t>
        </is>
      </c>
      <c r="I8765" t="inlineStr">
        <is>
          <t>17/03/2026</t>
        </is>
      </c>
      <c r="J8765" t="inlineStr">
        <is>
          <t>Xuất nhập khẩu, Quản lý chất lượng (QA/QC), Thu mua / Vật tư</t>
        </is>
      </c>
      <c r="K8765" t="inlineStr">
        <is>
          <t>3 - 5 Năm</t>
        </is>
      </c>
      <c r="L8765" s="8">
        <f>HYPERLINK("https://careerviet.vn/vi/tim-viec-lam/category-specialist-quality-supply-chain.35C68AB6.html","Xem chi tiết")</f>
        <v/>
      </c>
    </row>
    <row r="8766">
      <c r="B8766" s="9" t="n">
        <v>8764</v>
      </c>
      <c r="C8766" s="10" t="inlineStr">
        <is>
          <t>126322 - Sales Staff (Bac Ninh) - Water Treatment</t>
        </is>
      </c>
      <c r="D8766" s="10" t="inlineStr">
        <is>
          <t>RGF HR Agent Vietnam Co., LTD</t>
        </is>
      </c>
      <c r="E8766" s="10" t="inlineStr">
        <is>
          <t>Lương:15 Tr - 20 Tr VND</t>
        </is>
      </c>
      <c r="F8766" s="10" t="inlineStr">
        <is>
          <t>Bắc Ninh</t>
        </is>
      </c>
      <c r="G8766" s="10" t="inlineStr">
        <is>
          <t>14-04-2026</t>
        </is>
      </c>
      <c r="H8766" s="10" t="inlineStr">
        <is>
          <t>14/04/2026</t>
        </is>
      </c>
      <c r="I8766" s="10" t="inlineStr">
        <is>
          <t>17/03/2026</t>
        </is>
      </c>
      <c r="J8766" s="10" t="inlineStr">
        <is>
          <t>Bán hàng / Kinh doanh, Bán Hàng Kỹ Thuật</t>
        </is>
      </c>
      <c r="K8766" s="10" t="inlineStr">
        <is>
          <t>Trên 3 Năm</t>
        </is>
      </c>
      <c r="L8766" s="11">
        <f>HYPERLINK("https://careerviet.vn/vi/tim-viec-lam/126322-sales-staff-bac-ninh-water-treatment.35C6584F.html","Xem chi tiết")</f>
        <v/>
      </c>
      <c r="M8766" s="10" t="n"/>
    </row>
    <row r="8767">
      <c r="B8767" s="7" t="n">
        <v>8765</v>
      </c>
      <c r="C8767" t="inlineStr">
        <is>
          <t>Kỹ sư QC</t>
        </is>
      </c>
      <c r="D8767" t="inlineStr">
        <is>
          <t>CÔNG TY TNHH CÔNG NGHỆ VIỆT</t>
        </is>
      </c>
      <c r="E8767" t="inlineStr">
        <is>
          <t>Lương:15 Tr - 25 Tr VND</t>
        </is>
      </c>
      <c r="F8767" t="inlineStr">
        <is>
          <t>Hà Nội</t>
        </is>
      </c>
      <c r="G8767" t="inlineStr">
        <is>
          <t>14-04-2026</t>
        </is>
      </c>
      <c r="H8767" t="inlineStr">
        <is>
          <t>14/04/2026</t>
        </is>
      </c>
      <c r="I8767" t="inlineStr">
        <is>
          <t>17/03/2026</t>
        </is>
      </c>
      <c r="J8767" t="inlineStr">
        <is>
          <t>Điện / Điện tử / Điện lạnh / Điện công nghiệp, Xây dựng</t>
        </is>
      </c>
      <c r="K8767" t="inlineStr">
        <is>
          <t>3 - 4 Năm</t>
        </is>
      </c>
      <c r="L8767" s="8">
        <f>HYPERLINK("https://careerviet.vn/vi/tim-viec-lam/ky-su-qc.35C68966.html","Xem chi tiết")</f>
        <v/>
      </c>
    </row>
    <row r="8768">
      <c r="B8768" s="9" t="n">
        <v>8766</v>
      </c>
      <c r="C8768" s="10" t="inlineStr">
        <is>
          <t>[Hà Nội]  Nhân viên Lái xe</t>
        </is>
      </c>
      <c r="D8768" s="10" t="inlineStr">
        <is>
          <t>Ngân hàng TMCP Lộc Phát Việt Nam (LPBank)</t>
        </is>
      </c>
      <c r="E8768" s="10" t="inlineStr">
        <is>
          <t>Lương:Cạnh tranh</t>
        </is>
      </c>
      <c r="F8768" s="10" t="inlineStr">
        <is>
          <t>Hà Nội</t>
        </is>
      </c>
      <c r="G8768" s="10" t="inlineStr">
        <is>
          <t>14-04-2026</t>
        </is>
      </c>
      <c r="H8768" s="10" t="inlineStr">
        <is>
          <t>14/04/2026</t>
        </is>
      </c>
      <c r="I8768" s="10" t="inlineStr">
        <is>
          <t>17/03/2026</t>
        </is>
      </c>
      <c r="J8768" s="10" t="inlineStr">
        <is>
          <t>Bán hàng / Kinh doanh, Dịch vụ khách hàng, Hành chính / Thư ký</t>
        </is>
      </c>
      <c r="K8768" s="10" t="inlineStr">
        <is>
          <t>Trên 3 Năm</t>
        </is>
      </c>
      <c r="L8768" s="11">
        <f>HYPERLINK("https://careerviet.vn/vi/tim-viec-lam/ha-noi-nhan-vien-lai-xe.35C65997.html","Xem chi tiết")</f>
        <v/>
      </c>
      <c r="M8768" s="10" t="n"/>
    </row>
    <row r="8769">
      <c r="B8769" s="7" t="n">
        <v>8767</v>
      </c>
      <c r="C8769" t="inlineStr">
        <is>
          <t>Thợ cắt</t>
        </is>
      </c>
      <c r="D8769" t="inlineStr">
        <is>
          <t>Công ty Cổ phần Đồng phục Phương Thảo</t>
        </is>
      </c>
      <c r="E8769" t="inlineStr">
        <is>
          <t>Lương:8 Tr - 12 Tr VND</t>
        </is>
      </c>
      <c r="F8769" t="inlineStr">
        <is>
          <t>Hà Nội</t>
        </is>
      </c>
      <c r="G8769" t="inlineStr">
        <is>
          <t>14-04-2026</t>
        </is>
      </c>
      <c r="H8769" t="inlineStr">
        <is>
          <t>14/04/2026</t>
        </is>
      </c>
      <c r="I8769" t="inlineStr">
        <is>
          <t>17/03/2026</t>
        </is>
      </c>
      <c r="J8769" t="inlineStr">
        <is>
          <t>Dệt may / Da giày / Thời trang</t>
        </is>
      </c>
      <c r="K8769" t="inlineStr">
        <is>
          <t>2 - 3 Năm</t>
        </is>
      </c>
      <c r="L8769" s="8">
        <f>HYPERLINK("https://careerviet.vn/vi/tim-viec-lam/tho-cat.35C68A33.html","Xem chi tiết")</f>
        <v/>
      </c>
    </row>
    <row r="8770">
      <c r="B8770" s="9" t="n">
        <v>8768</v>
      </c>
      <c r="C8770" s="10" t="inlineStr">
        <is>
          <t>Digital Operations Manager (Marketing)</t>
        </is>
      </c>
      <c r="D8770" s="10" t="inlineStr">
        <is>
          <t>Công ty Easia Travel</t>
        </is>
      </c>
      <c r="E8770" s="10" t="inlineStr">
        <is>
          <t>Lương:Cạnh tranh</t>
        </is>
      </c>
      <c r="F8770" s="10" t="inlineStr">
        <is>
          <t>Hà Nội</t>
        </is>
      </c>
      <c r="G8770" s="10" t="inlineStr">
        <is>
          <t>14-04-2026</t>
        </is>
      </c>
      <c r="H8770" s="10" t="inlineStr">
        <is>
          <t>14/04/2026</t>
        </is>
      </c>
      <c r="I8770" s="10" t="inlineStr">
        <is>
          <t>17/03/2026</t>
        </is>
      </c>
      <c r="J8770" s="10" t="inlineStr">
        <is>
          <t>Du lịch</t>
        </is>
      </c>
      <c r="K8770" s="10" t="inlineStr">
        <is>
          <t>5 - 8 Năm</t>
        </is>
      </c>
      <c r="L8770" s="11">
        <f>HYPERLINK("https://careerviet.vn/vi/tim-viec-lam/digital-operations-manager-marketing.35C68797.html","Xem chi tiết")</f>
        <v/>
      </c>
      <c r="M8770" s="10" t="n"/>
    </row>
    <row r="8771">
      <c r="B8771" s="7" t="n">
        <v>8769</v>
      </c>
      <c r="C8771" t="inlineStr">
        <is>
          <t>Chuyên viên DevOps</t>
        </is>
      </c>
      <c r="D8771" t="inlineStr">
        <is>
          <t>LOTTE FINANCE VIETNAM</t>
        </is>
      </c>
      <c r="E8771" t="inlineStr">
        <is>
          <t>Lương:Cạnh tranh</t>
        </is>
      </c>
      <c r="F8771" t="inlineStr">
        <is>
          <t>Hà Nội</t>
        </is>
      </c>
      <c r="G8771" t="inlineStr">
        <is>
          <t>14-04-2026</t>
        </is>
      </c>
      <c r="H8771" t="inlineStr">
        <is>
          <t>14/04/2026</t>
        </is>
      </c>
      <c r="I8771" t="inlineStr">
        <is>
          <t>17/03/2026</t>
        </is>
      </c>
      <c r="J8771" t="inlineStr">
        <is>
          <t>CNTT - Phần mềm, Ngân hàng, CNTT - Phần cứng / Mạng</t>
        </is>
      </c>
      <c r="K8771" t="inlineStr">
        <is>
          <t>null - null Năm</t>
        </is>
      </c>
      <c r="L8771" s="8">
        <f>HYPERLINK("https://careerviet.vn/vi/tim-viec-lam/chuyen-vien-devops.35C689C5.html","Xem chi tiết")</f>
        <v/>
      </c>
    </row>
    <row r="8772">
      <c r="B8772" s="9" t="n">
        <v>8770</v>
      </c>
      <c r="C8772" s="10" t="inlineStr">
        <is>
          <t>Chuyên viên kiểm soát kho Miền Bắc</t>
        </is>
      </c>
      <c r="D8772" s="10" t="inlineStr">
        <is>
          <t>Công Ty Cổ Phần Thép Việt Xô Hà Nội</t>
        </is>
      </c>
      <c r="E8772" s="10" t="inlineStr">
        <is>
          <t>Lương:18 Tr - 20 Tr VND</t>
        </is>
      </c>
      <c r="F8772" s="10" t="inlineStr">
        <is>
          <t>Hà Nội</t>
        </is>
      </c>
      <c r="G8772" s="10" t="inlineStr">
        <is>
          <t>14-04-2026</t>
        </is>
      </c>
      <c r="H8772" s="10" t="inlineStr">
        <is>
          <t>14/04/2026</t>
        </is>
      </c>
      <c r="I8772" s="10" t="inlineStr">
        <is>
          <t>17/03/2026</t>
        </is>
      </c>
      <c r="J8772" s="10" t="inlineStr">
        <is>
          <t>Vận chuyển / Giao nhận / Kho vận</t>
        </is>
      </c>
      <c r="K8772" s="10" t="inlineStr">
        <is>
          <t>2 - 3 Năm</t>
        </is>
      </c>
      <c r="L8772" s="11">
        <f>HYPERLINK("https://careerviet.vn/vi/tim-viec-lam/chuyen-vien-kiem-soat-kho-mien-bac.35C689A4.html","Xem chi tiết")</f>
        <v/>
      </c>
      <c r="M8772" s="10" t="n"/>
    </row>
    <row r="8773">
      <c r="B8773" s="7" t="n">
        <v>8771</v>
      </c>
      <c r="C8773" t="inlineStr">
        <is>
          <t>QC Technician</t>
        </is>
      </c>
      <c r="D8773" t="inlineStr">
        <is>
          <t>Công ty TNHH Olam Việt Nam</t>
        </is>
      </c>
      <c r="E8773" t="inlineStr">
        <is>
          <t>Lương:Cạnh tranh</t>
        </is>
      </c>
      <c r="F8773" t="inlineStr">
        <is>
          <t>Đồng Nai</t>
        </is>
      </c>
      <c r="G8773" t="inlineStr">
        <is>
          <t>14-04-2026</t>
        </is>
      </c>
      <c r="H8773" t="inlineStr">
        <is>
          <t>14/04/2026</t>
        </is>
      </c>
      <c r="I8773" t="inlineStr">
        <is>
          <t>17/03/2026</t>
        </is>
      </c>
      <c r="J8773" t="inlineStr">
        <is>
          <t>Quản lý chất lượng (QA/QC)</t>
        </is>
      </c>
      <c r="K8773" t="inlineStr">
        <is>
          <t>N/A</t>
        </is>
      </c>
      <c r="L8773" s="8">
        <f>HYPERLINK("https://careerviet.vn/vi/tim-viec-lam/qc-technician.35C68995.html","Xem chi tiết")</f>
        <v/>
      </c>
    </row>
    <row r="8774">
      <c r="B8774" s="9" t="n">
        <v>8772</v>
      </c>
      <c r="C8774" s="10" t="inlineStr">
        <is>
          <t>Kỹ sư Dự toán (QS) làm việc tại nước ngoài</t>
        </is>
      </c>
      <c r="D8774" s="10" t="inlineStr">
        <is>
          <t>CÔNG TY TNHH CÔNG NGHỆ VIỆT</t>
        </is>
      </c>
      <c r="E8774" s="10" t="inlineStr">
        <is>
          <t>Lương:38 Tr - 50 Tr VND</t>
        </is>
      </c>
      <c r="F8774" s="10" t="inlineStr">
        <is>
          <t>Quốc tế</t>
        </is>
      </c>
      <c r="G8774" s="10" t="inlineStr">
        <is>
          <t>14-04-2026</t>
        </is>
      </c>
      <c r="H8774" s="10" t="inlineStr">
        <is>
          <t>14/04/2026</t>
        </is>
      </c>
      <c r="I8774" s="10" t="inlineStr">
        <is>
          <t>17/03/2026</t>
        </is>
      </c>
      <c r="J8774" s="10" t="inlineStr">
        <is>
          <t>Điện / Điện tử / Điện lạnh / Điện công nghiệp, Kiến trúc, Xây dựng</t>
        </is>
      </c>
      <c r="K8774" s="10" t="inlineStr">
        <is>
          <t>3 - 5 Năm</t>
        </is>
      </c>
      <c r="L8774" s="11">
        <f>HYPERLINK("https://careerviet.vn/vi/tim-viec-lam/ky-su-du-toan-qs-lam-viec-tai-nuoc-ngoai.35C6896C.html","Xem chi tiết")</f>
        <v/>
      </c>
      <c r="M8774" s="10" t="n"/>
    </row>
    <row r="8775">
      <c r="B8775" s="7" t="n">
        <v>8773</v>
      </c>
      <c r="C8775" t="inlineStr">
        <is>
          <t>Phó Phòng Kế Toán</t>
        </is>
      </c>
      <c r="D8775" t="inlineStr">
        <is>
          <t>CÔNG TY TNHH CÔNG NGHỆ VIỆT</t>
        </is>
      </c>
      <c r="E8775" t="inlineStr">
        <is>
          <t>Lương:18 Tr - 25 Tr VND</t>
        </is>
      </c>
      <c r="F8775" t="inlineStr">
        <is>
          <t>Hà Nội</t>
        </is>
      </c>
      <c r="G8775" t="inlineStr">
        <is>
          <t>14-04-2026</t>
        </is>
      </c>
      <c r="H8775" t="inlineStr">
        <is>
          <t>14/04/2026</t>
        </is>
      </c>
      <c r="I8775" t="inlineStr">
        <is>
          <t>17/03/2026</t>
        </is>
      </c>
      <c r="J8775" t="inlineStr">
        <is>
          <t>Kế toán / Kiểm toán, Tài chính / Đầu tư, Xây dựng</t>
        </is>
      </c>
      <c r="K8775" t="inlineStr">
        <is>
          <t>3 - 4 Năm</t>
        </is>
      </c>
      <c r="L8775" s="8">
        <f>HYPERLINK("https://careerviet.vn/vi/tim-viec-lam/pho-phong-ke-toan.35C68968.html","Xem chi tiết")</f>
        <v/>
      </c>
    </row>
    <row r="8776">
      <c r="B8776" s="9" t="n">
        <v>8774</v>
      </c>
      <c r="C8776" s="10" t="inlineStr">
        <is>
          <t>Kỹ sư thiết kế Cấp thoát nước</t>
        </is>
      </c>
      <c r="D8776" s="10" t="inlineStr">
        <is>
          <t>Mars Corporation</t>
        </is>
      </c>
      <c r="E8776" s="10" t="inlineStr">
        <is>
          <t>Lương:10 Tr - 20 Tr VND</t>
        </is>
      </c>
      <c r="F8776" s="10" t="inlineStr">
        <is>
          <t>Hồ Chí Minh</t>
        </is>
      </c>
      <c r="G8776" s="10" t="inlineStr">
        <is>
          <t>14-04-2026</t>
        </is>
      </c>
      <c r="H8776" s="10" t="inlineStr">
        <is>
          <t>14/04/2026</t>
        </is>
      </c>
      <c r="I8776" s="10" t="inlineStr">
        <is>
          <t>17/03/2026</t>
        </is>
      </c>
      <c r="J8776" s="10" t="inlineStr">
        <is>
          <t>Điện / Điện tử / Điện lạnh / Điện công nghiệp, Môi trường</t>
        </is>
      </c>
      <c r="K8776" s="10" t="inlineStr">
        <is>
          <t>1 - 5 Năm</t>
        </is>
      </c>
      <c r="L8776" s="11">
        <f>HYPERLINK("https://careerviet.vn/vi/tim-viec-lam/ky-su-thiet-ke-cap-thoat-nuoc.35C68A87.html","Xem chi tiết")</f>
        <v/>
      </c>
      <c r="M8776" s="10" t="n"/>
    </row>
    <row r="8777">
      <c r="B8777" s="7" t="n">
        <v>8775</v>
      </c>
      <c r="C8777" t="inlineStr">
        <is>
          <t>Sample Coding Staff - Food Lab</t>
        </is>
      </c>
      <c r="D8777" t="inlineStr">
        <is>
          <t>Cty SGS Việt Nam TNHH</t>
        </is>
      </c>
      <c r="E8777" t="inlineStr">
        <is>
          <t>Lương:Cạnh tranh</t>
        </is>
      </c>
      <c r="F8777" t="inlineStr">
        <is>
          <t>Hồ Chí Minh</t>
        </is>
      </c>
      <c r="G8777" t="inlineStr">
        <is>
          <t>10-04-2026</t>
        </is>
      </c>
      <c r="H8777" t="inlineStr">
        <is>
          <t>10/04/2026</t>
        </is>
      </c>
      <c r="I8777" t="inlineStr">
        <is>
          <t>17/03/2026</t>
        </is>
      </c>
      <c r="J8777" t="inlineStr">
        <is>
          <t>Hóa học, Thống kê, Hành chính / Thư ký</t>
        </is>
      </c>
      <c r="K8777" t="inlineStr">
        <is>
          <t>N/A</t>
        </is>
      </c>
      <c r="L8777" s="8">
        <f>HYPERLINK("https://careerviet.vn/vi/tim-viec-lam/sample-coding-staff-food-lab.35C6A6B2.html","Xem chi tiết")</f>
        <v/>
      </c>
    </row>
    <row r="8778">
      <c r="B8778" s="9" t="n">
        <v>8776</v>
      </c>
      <c r="C8778" s="10" t="inlineStr">
        <is>
          <t>Nhân viên QA/QC</t>
        </is>
      </c>
      <c r="D8778" s="10" t="inlineStr">
        <is>
          <t>CÔNG TY CỔ PHẦN SEAREFICO</t>
        </is>
      </c>
      <c r="E8778" s="10" t="inlineStr">
        <is>
          <t>Lương:14 Tr - 20 Tr VND</t>
        </is>
      </c>
      <c r="F8778" s="10" t="inlineStr">
        <is>
          <t>Quảng NinhBình DươngĐà Nẵng</t>
        </is>
      </c>
      <c r="G8778" s="10" t="inlineStr">
        <is>
          <t>14-04-2026</t>
        </is>
      </c>
      <c r="H8778" s="10" t="inlineStr">
        <is>
          <t>14/04/2026</t>
        </is>
      </c>
      <c r="I8778" s="10" t="inlineStr">
        <is>
          <t>17/03/2026</t>
        </is>
      </c>
      <c r="J8778" s="10" t="inlineStr">
        <is>
          <t>An toàn lao động, Cơ khí / Ô tô / Tự động hóa, Môi trường</t>
        </is>
      </c>
      <c r="K8778" s="10" t="inlineStr">
        <is>
          <t>1 - 5 Năm</t>
        </is>
      </c>
      <c r="L8778" s="11">
        <f>HYPERLINK("https://careerviet.vn/vi/tim-viec-lam/nhan-vien-qa-qc.35C65839.html","Xem chi tiết")</f>
        <v/>
      </c>
      <c r="M8778" s="10" t="n"/>
    </row>
    <row r="8779">
      <c r="B8779" s="7" t="n">
        <v>8777</v>
      </c>
      <c r="C8779" t="inlineStr">
        <is>
          <t>Giám sát Đào tạo</t>
        </is>
      </c>
      <c r="D8779" t="inlineStr">
        <is>
          <t>CÔNG TY CỔ PHẦN NISO</t>
        </is>
      </c>
      <c r="E8779" t="inlineStr">
        <is>
          <t>Lương:22 Tr - 25 Tr VND</t>
        </is>
      </c>
      <c r="F8779" t="inlineStr">
        <is>
          <t>Hồ Chí Minh</t>
        </is>
      </c>
      <c r="G8779" t="inlineStr">
        <is>
          <t>14-04-2026</t>
        </is>
      </c>
      <c r="H8779" t="inlineStr">
        <is>
          <t>14/04/2026</t>
        </is>
      </c>
      <c r="I8779" t="inlineStr">
        <is>
          <t>17/03/2026</t>
        </is>
      </c>
      <c r="J8779" t="inlineStr">
        <is>
          <t>Giáo dục / Đào tạo, Nhân sự, Nhà hàng / Khách sạn</t>
        </is>
      </c>
      <c r="K8779" t="inlineStr">
        <is>
          <t>3 - 5 Năm</t>
        </is>
      </c>
      <c r="L8779" s="8">
        <f>HYPERLINK("https://careerviet.vn/vi/tim-viec-lam/giam-sat-dao-tao.35C68A76.html","Xem chi tiết")</f>
        <v/>
      </c>
    </row>
    <row r="8780">
      <c r="B8780" s="9" t="n">
        <v>8778</v>
      </c>
      <c r="C8780" s="10" t="inlineStr">
        <is>
          <t>Nhân Viên Telesale/ Tư Vấn/ Bán Hàng Qua Điện Thoại - Hà Nội, Hồ Chí Minh</t>
        </is>
      </c>
      <c r="D8780" s="10" t="inlineStr">
        <is>
          <t>LOTTE FINANCE VIETNAM</t>
        </is>
      </c>
      <c r="E8780" s="10" t="inlineStr">
        <is>
          <t>Lương:Cạnh tranh</t>
        </is>
      </c>
      <c r="F8780" s="10" t="inlineStr">
        <is>
          <t>Hồ Chí Minh</t>
        </is>
      </c>
      <c r="G8780" s="10" t="inlineStr">
        <is>
          <t>14-04-2026</t>
        </is>
      </c>
      <c r="H8780" s="10" t="inlineStr">
        <is>
          <t>14/04/2026</t>
        </is>
      </c>
      <c r="I8780" s="10" t="inlineStr">
        <is>
          <t>17/03/2026</t>
        </is>
      </c>
      <c r="J8780" s="10" t="inlineStr">
        <is>
          <t>Ngân hàng, Tài chính / Đầu tư</t>
        </is>
      </c>
      <c r="K8780" s="10" t="inlineStr">
        <is>
          <t>null - null Năm</t>
        </is>
      </c>
      <c r="L8780" s="11">
        <f>HYPERLINK("https://careerviet.vn/vi/tim-viec-lam/nhan-vien-telesale-tu-van-ban-hang-qua-dien-thoai-ha-noi-ho-chi-minh.35C68A0E.html","Xem chi tiết")</f>
        <v/>
      </c>
      <c r="M8780" s="10" t="n"/>
    </row>
    <row r="8781">
      <c r="B8781" s="7" t="n">
        <v>8779</v>
      </c>
      <c r="C8781" t="inlineStr">
        <is>
          <t>Kỹ thuật viên Vận hành Sản xuất (Nhãn/Thùng/Đóng chai)</t>
        </is>
      </c>
      <c r="D8781" t="inlineStr">
        <is>
          <t>CÔNG TY CỔ PHẦN SẢN XUẤT THƯƠNG MẠI AP BEVERAGE</t>
        </is>
      </c>
      <c r="E8781" t="inlineStr">
        <is>
          <t>Lương:Cạnh tranh</t>
        </is>
      </c>
      <c r="F8781" t="inlineStr">
        <is>
          <t>Đồng Nai</t>
        </is>
      </c>
      <c r="G8781" t="inlineStr">
        <is>
          <t>14-04-2026</t>
        </is>
      </c>
      <c r="H8781" t="inlineStr">
        <is>
          <t>14/04/2026</t>
        </is>
      </c>
      <c r="I8781" t="inlineStr">
        <is>
          <t>17/03/2026</t>
        </is>
      </c>
      <c r="J8781" t="inlineStr">
        <is>
          <t>Điện / Điện tử / Điện lạnh / Điện công nghiệp, Bảo trì / Sửa chữa, Sản xuất / Vận hành sản xuất</t>
        </is>
      </c>
      <c r="K8781" t="inlineStr">
        <is>
          <t>Lên đến 5 Năm</t>
        </is>
      </c>
      <c r="L8781" s="8">
        <f>HYPERLINK("https://careerviet.vn/vi/tim-viec-lam/ky-thuat-vien-van-hanh-san-xuat-nhan-thung-dong-chai.35C65995.html","Xem chi tiết")</f>
        <v/>
      </c>
    </row>
    <row r="8782">
      <c r="B8782" s="9" t="n">
        <v>8780</v>
      </c>
      <c r="C8782" s="10" t="inlineStr">
        <is>
          <t>Hà Nội - Chuyên viên QC</t>
        </is>
      </c>
      <c r="D8782" s="10" t="inlineStr">
        <is>
          <t>Công Ty Cổ Phần Thép Việt Xô Hà Nội</t>
        </is>
      </c>
      <c r="E8782" s="10" t="inlineStr">
        <is>
          <t>Lương:13 Tr - 17 Tr VND</t>
        </is>
      </c>
      <c r="F8782" s="10" t="inlineStr">
        <is>
          <t>Hà Nội</t>
        </is>
      </c>
      <c r="G8782" s="10" t="inlineStr">
        <is>
          <t>14-04-2026</t>
        </is>
      </c>
      <c r="H8782" s="10" t="inlineStr">
        <is>
          <t>14/04/2026</t>
        </is>
      </c>
      <c r="I8782" s="10" t="inlineStr">
        <is>
          <t>17/03/2026</t>
        </is>
      </c>
      <c r="J8782" s="10" t="inlineStr">
        <is>
          <t>Quản lý chất lượng (QA/QC)</t>
        </is>
      </c>
      <c r="K8782" s="10" t="inlineStr">
        <is>
          <t>3 - 4 Năm</t>
        </is>
      </c>
      <c r="L8782" s="11">
        <f>HYPERLINK("https://careerviet.vn/vi/tim-viec-lam/ha-noi-chuyen-vien-qc.35C6899A.html","Xem chi tiết")</f>
        <v/>
      </c>
      <c r="M8782" s="10" t="n"/>
    </row>
    <row r="8783">
      <c r="B8783" s="7" t="n">
        <v>8781</v>
      </c>
      <c r="C8783" t="inlineStr">
        <is>
          <t>Nhân viên Quản lý chất lượng</t>
        </is>
      </c>
      <c r="D8783" t="inlineStr">
        <is>
          <t>Công ty TNHH LS Electric Việt Nam</t>
        </is>
      </c>
      <c r="E8783" t="inlineStr">
        <is>
          <t>Lương:8 Tr - 15 Tr VND</t>
        </is>
      </c>
      <c r="F8783" t="inlineStr">
        <is>
          <t>Bắc Ninh</t>
        </is>
      </c>
      <c r="G8783" t="inlineStr">
        <is>
          <t>14-04-2026</t>
        </is>
      </c>
      <c r="H8783" t="inlineStr">
        <is>
          <t>14/04/2026</t>
        </is>
      </c>
      <c r="I8783" t="inlineStr">
        <is>
          <t>17/03/2026</t>
        </is>
      </c>
      <c r="J8783" t="inlineStr">
        <is>
          <t>Điện / Điện tử / Điện lạnh / Điện công nghiệp, Cơ khí / Ô tô / Tự động hóa</t>
        </is>
      </c>
      <c r="K8783" t="inlineStr">
        <is>
          <t>N/A</t>
        </is>
      </c>
      <c r="L8783" s="8">
        <f>HYPERLINK("https://careerviet.vn/vi/tim-viec-lam/nhan-vien-quan-ly-chat-luong.35C658A1.html","Xem chi tiết")</f>
        <v/>
      </c>
    </row>
    <row r="8784">
      <c r="B8784" s="9" t="n">
        <v>8782</v>
      </c>
      <c r="C8784" s="10" t="inlineStr">
        <is>
          <t>Merchandiser ( Nhân viên theo dõi hàng)</t>
        </is>
      </c>
      <c r="D8784" s="10" t="inlineStr">
        <is>
          <t>PeopleWise Vietnam</t>
        </is>
      </c>
      <c r="E8784" s="10" t="inlineStr">
        <is>
          <t>Lương:Lên đến 19 Tr VND</t>
        </is>
      </c>
      <c r="F8784" s="10" t="inlineStr">
        <is>
          <t>Bến Tre</t>
        </is>
      </c>
      <c r="G8784" s="10" t="inlineStr">
        <is>
          <t>14-04-2026</t>
        </is>
      </c>
      <c r="H8784" s="10" t="inlineStr">
        <is>
          <t>14/04/2026</t>
        </is>
      </c>
      <c r="I8784" s="10" t="inlineStr">
        <is>
          <t>17/03/2026</t>
        </is>
      </c>
      <c r="J8784" s="10" t="inlineStr">
        <is>
          <t>Sản xuất / Vận hành sản xuất, Dệt may / Da giày / Thời trang</t>
        </is>
      </c>
      <c r="K8784" s="10" t="inlineStr">
        <is>
          <t>3 - 5 Năm</t>
        </is>
      </c>
      <c r="L8784" s="11">
        <f>HYPERLINK("https://careerviet.vn/vi/tim-viec-lam/merchandiser-nhan-vien-theo-doi-hang.35C65890.html","Xem chi tiết")</f>
        <v/>
      </c>
      <c r="M8784" s="10" t="n"/>
    </row>
    <row r="8785">
      <c r="B8785" s="7" t="n">
        <v>8783</v>
      </c>
      <c r="C8785" t="inlineStr">
        <is>
          <t>Giảng viên Tâm lý học</t>
        </is>
      </c>
      <c r="D8785" t="inlineStr">
        <is>
          <t>Trường Đại Học Đông Á - Đà Nẵng</t>
        </is>
      </c>
      <c r="E8785" t="inlineStr">
        <is>
          <t>Lương:12 Tr - 15 Tr VND</t>
        </is>
      </c>
      <c r="F8785" t="inlineStr">
        <is>
          <t>Đà Nẵng</t>
        </is>
      </c>
      <c r="G8785" t="inlineStr">
        <is>
          <t>14-04-2026</t>
        </is>
      </c>
      <c r="H8785" t="inlineStr">
        <is>
          <t>14/04/2026</t>
        </is>
      </c>
      <c r="I8785" t="inlineStr">
        <is>
          <t>17/03/2026</t>
        </is>
      </c>
      <c r="J8785" t="inlineStr">
        <is>
          <t>Giáo dục / Đào tạo</t>
        </is>
      </c>
      <c r="K8785" t="inlineStr">
        <is>
          <t>1 - 2 Năm</t>
        </is>
      </c>
      <c r="L8785" s="8">
        <f>HYPERLINK("https://careerviet.vn/vi/tim-viec-lam/giang-vien-tam-ly-hoc.35C68AE6.html","Xem chi tiết")</f>
        <v/>
      </c>
    </row>
    <row r="8786">
      <c r="B8786" s="9" t="n">
        <v>8784</v>
      </c>
      <c r="C8786" s="10" t="inlineStr">
        <is>
          <t>Kỹ thuật Khuôn Đột Dập</t>
        </is>
      </c>
      <c r="D8786" s="10" t="inlineStr">
        <is>
          <t>CHI NHÁNH CÔNG TY TNHH SHIN HEUNG ĐỒNG NAI TẠI HẢI DƯƠNG</t>
        </is>
      </c>
      <c r="E8786" s="10" t="inlineStr">
        <is>
          <t>Lương:Cạnh tranh</t>
        </is>
      </c>
      <c r="F8786" s="10" t="inlineStr">
        <is>
          <t>Hải Dương</t>
        </is>
      </c>
      <c r="G8786" s="10" t="inlineStr">
        <is>
          <t>14-04-2026</t>
        </is>
      </c>
      <c r="H8786" s="10" t="inlineStr">
        <is>
          <t>14/04/2026</t>
        </is>
      </c>
      <c r="I8786" s="10" t="inlineStr">
        <is>
          <t>17/03/2026</t>
        </is>
      </c>
      <c r="J8786" s="10" t="inlineStr">
        <is>
          <t>Cơ khí / Ô tô / Tự động hóa, Sản xuất / Vận hành sản xuất, Dệt may / Da giày / Thời trang</t>
        </is>
      </c>
      <c r="K8786" s="10" t="inlineStr">
        <is>
          <t>Lên đến 1 Năm</t>
        </is>
      </c>
      <c r="L8786" s="11">
        <f>HYPERLINK("https://careerviet.vn/vi/tim-viec-lam/ky-thuat-khuon-dot-dap.35C68AAE.html","Xem chi tiết")</f>
        <v/>
      </c>
      <c r="M8786" s="10" t="n"/>
    </row>
    <row r="8787">
      <c r="B8787" s="7" t="n">
        <v>8785</v>
      </c>
      <c r="C8787" t="inlineStr">
        <is>
          <t>Kỹ Sư Xây Dựng Hiện Trường</t>
        </is>
      </c>
      <c r="D8787" t="inlineStr">
        <is>
          <t>CÔNG TY TNHH XÂY DỰNG VÀ THƯƠNG MẠI HP HÀ NỘI</t>
        </is>
      </c>
      <c r="E8787" t="inlineStr">
        <is>
          <t>Lương:20 Tr - 25 Tr VND</t>
        </is>
      </c>
      <c r="F8787" t="inlineStr">
        <is>
          <t>Nam Định</t>
        </is>
      </c>
      <c r="G8787" t="inlineStr">
        <is>
          <t>14-04-2026</t>
        </is>
      </c>
      <c r="H8787" t="inlineStr">
        <is>
          <t>14/04/2026</t>
        </is>
      </c>
      <c r="I8787" t="inlineStr">
        <is>
          <t>17/03/2026</t>
        </is>
      </c>
      <c r="J8787" t="inlineStr">
        <is>
          <t>Xây dựng, Quản lý điều hành, Bất động sản</t>
        </is>
      </c>
      <c r="K8787" t="inlineStr">
        <is>
          <t>N/A</t>
        </is>
      </c>
      <c r="L8787" s="8">
        <f>HYPERLINK("https://careerviet.vn/vi/tim-viec-lam/ky-su-xay-dung-hien-truong.35C659CE.html","Xem chi tiết")</f>
        <v/>
      </c>
    </row>
    <row r="8788">
      <c r="B8788" s="9" t="n">
        <v>8786</v>
      </c>
      <c r="C8788" s="10" t="inlineStr">
        <is>
          <t>KỸ SƯ PHÁT TRIỂN DỰ ÁN  [LÀM VIỆC TẠI CỦ CHI]</t>
        </is>
      </c>
      <c r="D8788" s="10" t="inlineStr">
        <is>
          <t>CÔNG TY CP SAIGON AUTO SUPPORTING INDUSTRY</t>
        </is>
      </c>
      <c r="E8788" s="10" t="inlineStr">
        <is>
          <t>Lương:Cạnh tranh</t>
        </is>
      </c>
      <c r="F8788" s="10" t="inlineStr">
        <is>
          <t>Hồ Chí Minh</t>
        </is>
      </c>
      <c r="G8788" s="10" t="inlineStr">
        <is>
          <t>14-04-2026</t>
        </is>
      </c>
      <c r="H8788" s="10" t="inlineStr">
        <is>
          <t>14/04/2026</t>
        </is>
      </c>
      <c r="I8788" s="10" t="inlineStr">
        <is>
          <t>17/03/2026</t>
        </is>
      </c>
      <c r="J8788" s="10" t="inlineStr">
        <is>
          <t>Cơ khí / Ô tô / Tự động hóa, Sản xuất / Vận hành sản xuất, Ngành khác</t>
        </is>
      </c>
      <c r="K8788" s="10" t="inlineStr">
        <is>
          <t>4 - 10 Năm</t>
        </is>
      </c>
      <c r="L8788" s="11">
        <f>HYPERLINK("https://careerviet.vn/vi/tim-viec-lam/ky-su-phat-trien-du-an-lam-viec-tai-cu-chi.35C68AD7.html","Xem chi tiết")</f>
        <v/>
      </c>
      <c r="M8788" s="10" t="n"/>
    </row>
    <row r="8789">
      <c r="B8789" s="7" t="n">
        <v>8787</v>
      </c>
      <c r="C8789" t="inlineStr">
        <is>
          <t>Nhân viên bán hàng tại cửa hàng Hồ Chí Minh</t>
        </is>
      </c>
      <c r="D8789" t="inlineStr">
        <is>
          <t>HMK Eyewear</t>
        </is>
      </c>
      <c r="E8789" t="inlineStr">
        <is>
          <t>Lương:8 Tr - 15 Tr VND</t>
        </is>
      </c>
      <c r="F8789" t="inlineStr">
        <is>
          <t>Hồ Chí Minh</t>
        </is>
      </c>
      <c r="G8789" t="inlineStr">
        <is>
          <t>14-04-2026</t>
        </is>
      </c>
      <c r="H8789" t="inlineStr">
        <is>
          <t>14/04/2026</t>
        </is>
      </c>
      <c r="I8789" t="inlineStr">
        <is>
          <t>17/03/2026</t>
        </is>
      </c>
      <c r="J8789" t="inlineStr">
        <is>
          <t>Tiếp thị / Marketing, Bán lẻ / Bán sỉ, Bán hàng / Kinh doanh</t>
        </is>
      </c>
      <c r="K8789" t="inlineStr">
        <is>
          <t>Chưa có kinh nghiệm</t>
        </is>
      </c>
      <c r="L8789" s="8">
        <f>HYPERLINK("https://careerviet.vn/vi/tim-viec-lam/nhan-vien-ban-hang-tai-cua-hang-ho-chi-minh.35C65856.html","Xem chi tiết")</f>
        <v/>
      </c>
    </row>
    <row r="8790">
      <c r="B8790" s="9" t="n">
        <v>8788</v>
      </c>
      <c r="C8790" s="10" t="inlineStr">
        <is>
          <t>Chuyên Viên Quan Hệ Khách Hàng Doanh Nghiệp - Hà Nội (Thu nhập hấp dẫn)</t>
        </is>
      </c>
      <c r="D8790" s="10" t="inlineStr">
        <is>
          <t>Ngân hàng TMCP Việt Á – VietABank</t>
        </is>
      </c>
      <c r="E8790" s="10" t="inlineStr">
        <is>
          <t>Lương:10 Tr - 30 Tr VND</t>
        </is>
      </c>
      <c r="F8790" s="10" t="inlineStr">
        <is>
          <t>Hà Nội</t>
        </is>
      </c>
      <c r="G8790" s="10" t="inlineStr">
        <is>
          <t>14-04-2026</t>
        </is>
      </c>
      <c r="H8790" s="10" t="inlineStr">
        <is>
          <t>14/04/2026</t>
        </is>
      </c>
      <c r="I8790" s="10" t="inlineStr">
        <is>
          <t>17/03/2026</t>
        </is>
      </c>
      <c r="J8790" s="10" t="inlineStr">
        <is>
          <t>Ngân hàng, Bảo hiểm, Bất động sản</t>
        </is>
      </c>
      <c r="K8790" s="10" t="inlineStr">
        <is>
          <t>Trên 1 Năm</t>
        </is>
      </c>
      <c r="L8790" s="11">
        <f>HYPERLINK("https://careerviet.vn/vi/tim-viec-lam/chuyen-vien-quan-he-khach-hang-doanh-nghiep-ha-noi-thu-nhap-hap-dan.35C68AFF.html","Xem chi tiết")</f>
        <v/>
      </c>
      <c r="M8790" s="10" t="n"/>
    </row>
    <row r="8791">
      <c r="B8791" s="7" t="n">
        <v>8789</v>
      </c>
      <c r="C8791" t="inlineStr">
        <is>
          <t>Quản lý kinh doanh</t>
        </is>
      </c>
      <c r="D8791" t="inlineStr">
        <is>
          <t>Công ty Cổ phần Anh Minh Quân</t>
        </is>
      </c>
      <c r="E8791" t="inlineStr">
        <is>
          <t>Lương:Trên 25 Tr VND</t>
        </is>
      </c>
      <c r="F8791" t="inlineStr">
        <is>
          <t>Hồ Chí Minh</t>
        </is>
      </c>
      <c r="G8791" t="inlineStr">
        <is>
          <t>14-04-2026</t>
        </is>
      </c>
      <c r="H8791" t="inlineStr">
        <is>
          <t>14/04/2026</t>
        </is>
      </c>
      <c r="I8791" t="inlineStr">
        <is>
          <t>17/03/2026</t>
        </is>
      </c>
      <c r="J8791" t="inlineStr">
        <is>
          <t>Bán hàng / Kinh doanh, Bán lẻ / Bán sỉ, Thực phẩm &amp; Đồ uống</t>
        </is>
      </c>
      <c r="K8791" t="inlineStr">
        <is>
          <t>5 - 9 Năm</t>
        </is>
      </c>
      <c r="L8791" s="8">
        <f>HYPERLINK("https://careerviet.vn/vi/tim-viec-lam/quan-ly-kinh-doanh.35C6897B.html","Xem chi tiết")</f>
        <v/>
      </c>
    </row>
    <row r="8792">
      <c r="B8792" s="9" t="n">
        <v>8790</v>
      </c>
      <c r="C8792" s="10" t="inlineStr">
        <is>
          <t>Business Development Manager</t>
        </is>
      </c>
      <c r="D8792" s="10" t="inlineStr">
        <is>
          <t>UrBox - Công ty Cổ phần Tiếp Thị Số Tô Quà</t>
        </is>
      </c>
      <c r="E8792" s="10" t="inlineStr">
        <is>
          <t>Lương:Cạnh tranh</t>
        </is>
      </c>
      <c r="F8792" s="10" t="inlineStr">
        <is>
          <t>Hà Nội</t>
        </is>
      </c>
      <c r="G8792" s="10" t="inlineStr">
        <is>
          <t>14-04-2026</t>
        </is>
      </c>
      <c r="H8792" s="10" t="inlineStr">
        <is>
          <t>14/04/2026</t>
        </is>
      </c>
      <c r="I8792" s="10" t="inlineStr">
        <is>
          <t>17/03/2026</t>
        </is>
      </c>
      <c r="J8792" s="10" t="inlineStr">
        <is>
          <t>Bán hàng / Kinh doanh, CNTT - Phần mềm, Thương mại điện tử</t>
        </is>
      </c>
      <c r="K8792" s="10" t="inlineStr">
        <is>
          <t>4 - 5 Năm</t>
        </is>
      </c>
      <c r="L8792" s="11">
        <f>HYPERLINK("https://careerviet.vn/vi/tim-viec-lam/business-development-manager.35C65836.html","Xem chi tiết")</f>
        <v/>
      </c>
      <c r="M8792" s="10" t="n"/>
    </row>
    <row r="8793">
      <c r="B8793" s="7" t="n">
        <v>8791</v>
      </c>
      <c r="C8793" t="inlineStr">
        <is>
          <t>Công Nhân Sản Xuất Thực Phẩm Partime/Thời Vụ Tết (Được Đào Tạo)</t>
        </is>
      </c>
      <c r="D8793" t="inlineStr">
        <is>
          <t>Công ty TNHH Chế biến thực phẩm Đông Đô</t>
        </is>
      </c>
      <c r="E8793" t="inlineStr">
        <is>
          <t>Lương:7 Tr - 15 Tr VND</t>
        </is>
      </c>
      <c r="F8793" t="inlineStr">
        <is>
          <t>Hà Nội</t>
        </is>
      </c>
      <c r="G8793" t="inlineStr">
        <is>
          <t>14-04-2026</t>
        </is>
      </c>
      <c r="H8793" t="inlineStr">
        <is>
          <t>14/04/2026</t>
        </is>
      </c>
      <c r="I8793" t="inlineStr">
        <is>
          <t>17/03/2026</t>
        </is>
      </c>
      <c r="J8793" t="inlineStr">
        <is>
          <t>Sản xuất / Vận hành sản xuất, Thực phẩm &amp; Đồ uống, Lao động phổ thông</t>
        </is>
      </c>
      <c r="K8793" t="inlineStr">
        <is>
          <t>N/A</t>
        </is>
      </c>
      <c r="L8793" s="8">
        <f>HYPERLINK("https://careerviet.vn/vi/tim-viec-lam/cong-nhan-san-xuat-thuc-pham-partime-thoi-vu-tet-duoc-dao-tao.35C658DB.html","Xem chi tiết")</f>
        <v/>
      </c>
    </row>
    <row r="8794">
      <c r="B8794" s="9" t="n">
        <v>8792</v>
      </c>
      <c r="C8794" s="10" t="inlineStr">
        <is>
          <t>Livestream Host</t>
        </is>
      </c>
      <c r="D8794" s="10" t="inlineStr">
        <is>
          <t>CÔNG TY TNHH MINTHACARE</t>
        </is>
      </c>
      <c r="E8794" s="10" t="inlineStr">
        <is>
          <t>Lương:Cạnh tranh</t>
        </is>
      </c>
      <c r="F8794" s="10" t="inlineStr">
        <is>
          <t>Hồ Chí Minh</t>
        </is>
      </c>
      <c r="G8794" s="10" t="inlineStr">
        <is>
          <t>14-04-2026</t>
        </is>
      </c>
      <c r="H8794" s="10" t="inlineStr">
        <is>
          <t>14/04/2026</t>
        </is>
      </c>
      <c r="I8794" s="10" t="inlineStr">
        <is>
          <t>17/03/2026</t>
        </is>
      </c>
      <c r="J8794" s="10" t="inlineStr">
        <is>
          <t>Tiếp thị trực tuyến, Thương mại điện tử</t>
        </is>
      </c>
      <c r="K8794" s="10" t="inlineStr">
        <is>
          <t>1 - 3 Năm</t>
        </is>
      </c>
      <c r="L8794" s="11">
        <f>HYPERLINK("https://careerviet.vn/vi/tim-viec-lam/livestream-host.35C658A4.html","Xem chi tiết")</f>
        <v/>
      </c>
      <c r="M8794" s="10" t="n"/>
    </row>
    <row r="8795">
      <c r="B8795" s="7" t="n">
        <v>8793</v>
      </c>
      <c r="C8795" t="inlineStr">
        <is>
          <t>Chuyên viên Kiểm soát Nội bộ</t>
        </is>
      </c>
      <c r="D8795" t="inlineStr">
        <is>
          <t>Công ty Cổ phần FECON</t>
        </is>
      </c>
      <c r="E8795" t="inlineStr">
        <is>
          <t>Lương:Cạnh tranh</t>
        </is>
      </c>
      <c r="F8795" t="inlineStr">
        <is>
          <t>Hà Nội</t>
        </is>
      </c>
      <c r="G8795" t="inlineStr">
        <is>
          <t>14-04-2026</t>
        </is>
      </c>
      <c r="H8795" t="inlineStr">
        <is>
          <t>14/04/2026</t>
        </is>
      </c>
      <c r="I8795" t="inlineStr">
        <is>
          <t>17/03/2026</t>
        </is>
      </c>
      <c r="J8795" t="inlineStr">
        <is>
          <t>Xây dựng</t>
        </is>
      </c>
      <c r="K8795" t="inlineStr">
        <is>
          <t>null - null Năm</t>
        </is>
      </c>
      <c r="L8795" s="8">
        <f>HYPERLINK("https://careerviet.vn/vi/tim-viec-lam/chuyen-vien-kiem-soat-noi-bo.35C68AB7.html","Xem chi tiết")</f>
        <v/>
      </c>
    </row>
    <row r="8796">
      <c r="B8796" s="9" t="n">
        <v>8794</v>
      </c>
      <c r="C8796" s="10" t="inlineStr">
        <is>
          <t>Nhân viên QMS (QHSE)</t>
        </is>
      </c>
      <c r="D8796" s="10" t="inlineStr">
        <is>
          <t>Srithai Viet Nam Co., Ltd</t>
        </is>
      </c>
      <c r="E8796" s="10" t="inlineStr">
        <is>
          <t>Lương:8 Tr - 12 Tr VND</t>
        </is>
      </c>
      <c r="F8796" s="10" t="inlineStr">
        <is>
          <t>Bình Dương</t>
        </is>
      </c>
      <c r="G8796" s="10" t="inlineStr">
        <is>
          <t>14-04-2026</t>
        </is>
      </c>
      <c r="H8796" s="10" t="inlineStr">
        <is>
          <t>14/04/2026</t>
        </is>
      </c>
      <c r="I8796" s="10" t="inlineStr">
        <is>
          <t>17/03/2026</t>
        </is>
      </c>
      <c r="J8796" s="10" t="inlineStr">
        <is>
          <t>Môi trường, Quản lý chất lượng (QA/QC), An toàn lao động</t>
        </is>
      </c>
      <c r="K8796" s="10" t="inlineStr">
        <is>
          <t>1 - 2 Năm</t>
        </is>
      </c>
      <c r="L8796" s="11">
        <f>HYPERLINK("https://careerviet.vn/vi/tim-viec-lam/nhan-vien-qms-qhse.35C689B9.html","Xem chi tiết")</f>
        <v/>
      </c>
      <c r="M8796" s="10" t="n"/>
    </row>
    <row r="8797">
      <c r="B8797" s="7" t="n">
        <v>8795</v>
      </c>
      <c r="C8797" t="inlineStr">
        <is>
          <t>Chuyên viên Quản lý rủi ro tín dụng (HO Hà Đông - Hà Nội)</t>
        </is>
      </c>
      <c r="D8797" t="inlineStr">
        <is>
          <t>Ngân hàng TMCP Việt Á – VietABank</t>
        </is>
      </c>
      <c r="E8797" t="inlineStr">
        <is>
          <t>Lương:Cạnh tranh</t>
        </is>
      </c>
      <c r="F8797" t="inlineStr">
        <is>
          <t>Hà Nội</t>
        </is>
      </c>
      <c r="G8797" t="inlineStr">
        <is>
          <t>14-04-2026</t>
        </is>
      </c>
      <c r="H8797" t="inlineStr">
        <is>
          <t>14/04/2026</t>
        </is>
      </c>
      <c r="I8797" t="inlineStr">
        <is>
          <t>17/03/2026</t>
        </is>
      </c>
      <c r="J8797" t="inlineStr">
        <is>
          <t>Ngân hàng</t>
        </is>
      </c>
      <c r="K8797" t="inlineStr">
        <is>
          <t>1 - 3 Năm</t>
        </is>
      </c>
      <c r="L8797" s="8">
        <f>HYPERLINK("https://careerviet.vn/vi/tim-viec-lam/chuyen-vien-quan-ly-rui-ro-tin-dung-ho-ha-dong-ha-noi.35C65965.html","Xem chi tiết")</f>
        <v/>
      </c>
    </row>
    <row r="8798">
      <c r="B8798" s="9" t="n">
        <v>8796</v>
      </c>
      <c r="C8798" s="10" t="inlineStr">
        <is>
          <t>Chỉ Huy Trưởng</t>
        </is>
      </c>
      <c r="D8798" s="10" t="inlineStr">
        <is>
          <t>DECOFI - Công Ty CP Xây Dựng &amp; Thiết Kế Số 1</t>
        </is>
      </c>
      <c r="E8798" s="10" t="inlineStr">
        <is>
          <t>Lương:Cạnh tranh</t>
        </is>
      </c>
      <c r="F8798" s="10" t="inlineStr">
        <is>
          <t>Hồ Chí MinhBà Rịa - Vũng Tàu</t>
        </is>
      </c>
      <c r="G8798" s="10" t="inlineStr">
        <is>
          <t>14-04-2026</t>
        </is>
      </c>
      <c r="H8798" s="10" t="inlineStr">
        <is>
          <t>14/04/2026</t>
        </is>
      </c>
      <c r="I8798" s="10" t="inlineStr">
        <is>
          <t>17/03/2026</t>
        </is>
      </c>
      <c r="J8798" s="10" t="inlineStr">
        <is>
          <t>Xây dựng, Quản lý điều hành</t>
        </is>
      </c>
      <c r="K8798" s="10" t="inlineStr">
        <is>
          <t>null - null Năm</t>
        </is>
      </c>
      <c r="L8798" s="11">
        <f>HYPERLINK("https://careerviet.vn/vi/tim-viec-lam/chi-huy-truong.35C68ABA.html","Xem chi tiết")</f>
        <v/>
      </c>
      <c r="M8798" s="10" t="n"/>
    </row>
    <row r="8799">
      <c r="B8799" s="7" t="n">
        <v>8797</v>
      </c>
      <c r="C8799" t="inlineStr">
        <is>
          <t>Lập trình viên - Frontend Developer</t>
        </is>
      </c>
      <c r="D8799" t="inlineStr">
        <is>
          <t>CÔNG TY CỔ PHẦN CHỨNG KHOÁN ASEAN</t>
        </is>
      </c>
      <c r="E8799" t="inlineStr">
        <is>
          <t>Lương:Cạnh tranh</t>
        </is>
      </c>
      <c r="F8799" t="inlineStr">
        <is>
          <t>Hà Nội</t>
        </is>
      </c>
      <c r="G8799" t="inlineStr">
        <is>
          <t>14-04-2026</t>
        </is>
      </c>
      <c r="H8799" t="inlineStr">
        <is>
          <t>14/04/2026</t>
        </is>
      </c>
      <c r="I8799" t="inlineStr">
        <is>
          <t>17/03/2026</t>
        </is>
      </c>
      <c r="J8799" t="inlineStr">
        <is>
          <t>Ngân hàng, Chứng khoán, CNTT - Phần mềm</t>
        </is>
      </c>
      <c r="K8799" t="inlineStr">
        <is>
          <t>1 - 3 Năm</t>
        </is>
      </c>
      <c r="L8799" s="8">
        <f>HYPERLINK("https://careerviet.vn/vi/tim-viec-lam/lap-trinh-vien-frontend-developer.35C68B33.html","Xem chi tiết")</f>
        <v/>
      </c>
    </row>
    <row r="8800">
      <c r="B8800" s="9" t="n">
        <v>8798</v>
      </c>
      <c r="C8800" s="10" t="inlineStr">
        <is>
          <t>Chuyên viên Cung ứng</t>
        </is>
      </c>
      <c r="D8800" s="10" t="inlineStr">
        <is>
          <t>Tổng công ty Xây dựng số 1 – CTCP</t>
        </is>
      </c>
      <c r="E8800" s="10" t="inlineStr">
        <is>
          <t>Lương:Cạnh tranh</t>
        </is>
      </c>
      <c r="F8800" s="10" t="inlineStr">
        <is>
          <t>Hồ Chí Minh</t>
        </is>
      </c>
      <c r="G8800" s="10" t="inlineStr">
        <is>
          <t>01-04-2026</t>
        </is>
      </c>
      <c r="H8800" s="10" t="inlineStr">
        <is>
          <t>01/04/2026</t>
        </is>
      </c>
      <c r="I8800" s="10" t="inlineStr">
        <is>
          <t>17/03/2026</t>
        </is>
      </c>
      <c r="J8800" s="10" t="inlineStr">
        <is>
          <t>Thu mua / Vật tư</t>
        </is>
      </c>
      <c r="K8800" s="10" t="inlineStr">
        <is>
          <t>2 - 3 Năm</t>
        </is>
      </c>
      <c r="L8800" s="11">
        <f>HYPERLINK("https://careerviet.vn/vi/tim-viec-lam/chuyen-vien-cung-ung.35C6A3C3.html","Xem chi tiết")</f>
        <v/>
      </c>
      <c r="M8800" s="10" t="n"/>
    </row>
    <row r="8801">
      <c r="B8801" s="7" t="n">
        <v>8799</v>
      </c>
      <c r="C8801" t="inlineStr">
        <is>
          <t>Kế Toán Nội Bộ</t>
        </is>
      </c>
      <c r="D8801" t="inlineStr">
        <is>
          <t>CÔNG TY TNHH HARICO GLOBAL</t>
        </is>
      </c>
      <c r="E8801" t="inlineStr">
        <is>
          <t>Lương:9 Tr - 10 Tr VND</t>
        </is>
      </c>
      <c r="F8801" t="inlineStr">
        <is>
          <t>Hà Nội</t>
        </is>
      </c>
      <c r="G8801" t="inlineStr">
        <is>
          <t>02-04-2026</t>
        </is>
      </c>
      <c r="H8801" t="inlineStr">
        <is>
          <t>02/04/2026</t>
        </is>
      </c>
      <c r="I8801" t="inlineStr">
        <is>
          <t>17/03/2026</t>
        </is>
      </c>
      <c r="J8801" t="inlineStr">
        <is>
          <t>Kế toán / Kiểm toán, Tài chính / Đầu tư, Thống kê</t>
        </is>
      </c>
      <c r="K8801" t="inlineStr">
        <is>
          <t>N/A</t>
        </is>
      </c>
      <c r="L8801" s="8">
        <f>HYPERLINK("https://careerviet.vn/vi/tim-viec-lam/ke-toan-noi-bo.35C6A6AE.html","Xem chi tiết")</f>
        <v/>
      </c>
    </row>
    <row r="8802">
      <c r="B8802" s="9" t="n">
        <v>8800</v>
      </c>
      <c r="C8802" s="10" t="inlineStr">
        <is>
          <t>HO - CV/CVC Phát Triển Sản Phẩm Vay Tín Chấp &amp; Thấu Chi Tín Chấp</t>
        </is>
      </c>
      <c r="D8802" s="10" t="inlineStr">
        <is>
          <t>Ngân Hàng TMCP Phương Đông - OCB</t>
        </is>
      </c>
      <c r="E8802" s="10" t="inlineStr">
        <is>
          <t>Lương:Cạnh tranh</t>
        </is>
      </c>
      <c r="F8802" s="10" t="inlineStr">
        <is>
          <t>Hồ Chí Minh</t>
        </is>
      </c>
      <c r="G8802" s="10" t="inlineStr">
        <is>
          <t>31-03-2026</t>
        </is>
      </c>
      <c r="H8802" s="10" t="inlineStr">
        <is>
          <t>31/03/2026</t>
        </is>
      </c>
      <c r="I8802" s="10" t="inlineStr">
        <is>
          <t>17/03/2026</t>
        </is>
      </c>
      <c r="J8802" s="10" t="inlineStr">
        <is>
          <t>Ngân hàng</t>
        </is>
      </c>
      <c r="K8802" s="10" t="inlineStr">
        <is>
          <t>1 - 5 Năm</t>
        </is>
      </c>
      <c r="L8802" s="11">
        <f>HYPERLINK("https://careerviet.vn/vi/tim-viec-lam/ho-cv-cvc-phat-trien-san-pham-vay-tin-chap-thau-chi-tin-chap.35C6A676.html","Xem chi tiết")</f>
        <v/>
      </c>
      <c r="M8802" s="10" t="n"/>
    </row>
    <row r="8803">
      <c r="B8803" s="7" t="n">
        <v>8801</v>
      </c>
      <c r="C8803" t="inlineStr">
        <is>
          <t>Trưởng phòng kỹ thuật</t>
        </is>
      </c>
      <c r="D8803" t="inlineStr">
        <is>
          <t>Công ty TNHH Yura Corporation Vina</t>
        </is>
      </c>
      <c r="E8803" t="inlineStr">
        <is>
          <t>Lương:Cạnh tranh</t>
        </is>
      </c>
      <c r="F8803" t="inlineStr">
        <is>
          <t>Hưng Yên</t>
        </is>
      </c>
      <c r="G8803" t="inlineStr">
        <is>
          <t>14-04-2026</t>
        </is>
      </c>
      <c r="H8803" t="inlineStr">
        <is>
          <t>14/04/2026</t>
        </is>
      </c>
      <c r="I8803" t="inlineStr">
        <is>
          <t>17/03/2026</t>
        </is>
      </c>
      <c r="J8803" t="inlineStr">
        <is>
          <t>Cơ khí / Ô tô / Tự động hóa</t>
        </is>
      </c>
      <c r="K8803" t="inlineStr">
        <is>
          <t>Chưa có kinh nghiệm</t>
        </is>
      </c>
      <c r="L8803" s="8">
        <f>HYPERLINK("https://careerviet.vn/vi/tim-viec-lam/truong-phong-ky-thuat.35C659D0.html","Xem chi tiết")</f>
        <v/>
      </c>
    </row>
    <row r="8804">
      <c r="B8804" s="9" t="n">
        <v>8802</v>
      </c>
      <c r="C8804" s="10" t="inlineStr">
        <is>
          <t>Kinh doanh An toàn thông tin (Cyber Security)</t>
        </is>
      </c>
      <c r="D8804" s="10" t="inlineStr">
        <is>
          <t>CÔNG TY CỔ PHẦN TƯ VẤN VÀ DỊCH VỤ CÔNG NGHỆ ASIC</t>
        </is>
      </c>
      <c r="E8804" s="10" t="inlineStr">
        <is>
          <t>Lương:1.000 - 3.000 USD</t>
        </is>
      </c>
      <c r="F8804" s="10" t="inlineStr">
        <is>
          <t>Hà NộiHồ Chí Minh</t>
        </is>
      </c>
      <c r="G8804" s="10" t="inlineStr">
        <is>
          <t>14-04-2026</t>
        </is>
      </c>
      <c r="H8804" s="10" t="inlineStr">
        <is>
          <t>14/04/2026</t>
        </is>
      </c>
      <c r="I8804" s="10" t="inlineStr">
        <is>
          <t>17/03/2026</t>
        </is>
      </c>
      <c r="J8804" s="10" t="inlineStr">
        <is>
          <t>Bán Hàng Kỹ Thuật, Bán hàng / Kinh doanh, CNTT - Phần mềm</t>
        </is>
      </c>
      <c r="K8804" s="10" t="inlineStr">
        <is>
          <t>3 - 5 Năm</t>
        </is>
      </c>
      <c r="L8804" s="11">
        <f>HYPERLINK("https://careerviet.vn/vi/tim-viec-lam/kinh-doanh-an-toan-thong-tin-cyber-security.35C689FF.html","Xem chi tiết")</f>
        <v/>
      </c>
      <c r="M8804" s="10" t="n"/>
    </row>
    <row r="8805">
      <c r="B8805" s="7" t="n">
        <v>8803</v>
      </c>
      <c r="C8805" t="inlineStr">
        <is>
          <t>CHUYÊN VIÊN TƯ VẤN GIÁO DỤC (OCEAN EDU BÌNH GIANG) - THU NHẬP HẤP DẪN TỪ 15 TRIỆU/THÁNG</t>
        </is>
      </c>
      <c r="D8805" t="inlineStr">
        <is>
          <t>Công Ty CP Giáo Dục Đại Dương</t>
        </is>
      </c>
      <c r="E8805" t="inlineStr">
        <is>
          <t>Lương:Cạnh tranh</t>
        </is>
      </c>
      <c r="F8805" t="inlineStr">
        <is>
          <t>Hải Dương</t>
        </is>
      </c>
      <c r="G8805" t="inlineStr">
        <is>
          <t>01-04-2026</t>
        </is>
      </c>
      <c r="H8805" t="inlineStr">
        <is>
          <t>01/04/2026</t>
        </is>
      </c>
      <c r="I8805" t="inlineStr">
        <is>
          <t>17/03/2026</t>
        </is>
      </c>
      <c r="J8805" t="inlineStr">
        <is>
          <t>Dịch vụ khách hàng, Giáo dục / Đào tạo, Bán hàng / Kinh doanh</t>
        </is>
      </c>
      <c r="K8805" t="inlineStr">
        <is>
          <t>Lên đến 1 Năm</t>
        </is>
      </c>
      <c r="L8805" s="8">
        <f>HYPERLINK("https://careerviet.vn/vi/tim-viec-lam/chuyen-vien-tu-van-giao-duc-ocean-edu-binh-giang-thu-nhap-hap-dan-tu-15-trieu-thang.35C6A55C.html","Xem chi tiết")</f>
        <v/>
      </c>
    </row>
    <row r="8806">
      <c r="B8806" s="9" t="n">
        <v>8804</v>
      </c>
      <c r="C8806" s="10" t="inlineStr">
        <is>
          <t>Chuyên Viên/Chuyên viên cao cấp Quan Hệ Khách Hàng Cá Nhân - Khu vực Phan Thiết</t>
        </is>
      </c>
      <c r="D8806" s="10" t="inlineStr">
        <is>
          <t>Ngân hàng TMCP Việt Á – VietABank</t>
        </is>
      </c>
      <c r="E8806" s="10" t="inlineStr">
        <is>
          <t>Lương:8 Tr - 25 Tr VND</t>
        </is>
      </c>
      <c r="F8806" s="10" t="inlineStr">
        <is>
          <t>Bình Thuận</t>
        </is>
      </c>
      <c r="G8806" s="10" t="inlineStr">
        <is>
          <t>01-04-2026</t>
        </is>
      </c>
      <c r="H8806" s="10" t="inlineStr">
        <is>
          <t>01/04/2026</t>
        </is>
      </c>
      <c r="I8806" s="10" t="inlineStr">
        <is>
          <t>17/03/2026</t>
        </is>
      </c>
      <c r="J8806" s="10" t="inlineStr">
        <is>
          <t>Bảo hiểm, Ngân hàng, Bất động sản</t>
        </is>
      </c>
      <c r="K8806" s="10" t="inlineStr">
        <is>
          <t>1 - 3 Năm</t>
        </is>
      </c>
      <c r="L8806" s="11">
        <f>HYPERLINK("https://careerviet.vn/vi/tim-viec-lam/chuyen-vien-chuyen-vien-cao-cap-quan-he-khach-hang-ca-nhan-khu-vuc-phan-thiet.35C6A67C.html","Xem chi tiết")</f>
        <v/>
      </c>
      <c r="M8806" s="10" t="n"/>
    </row>
    <row r="8807">
      <c r="B8807" s="7" t="n">
        <v>8805</v>
      </c>
      <c r="C8807" t="inlineStr">
        <is>
          <t>Trưởng nhóm Kế toán</t>
        </is>
      </c>
      <c r="D8807" t="inlineStr">
        <is>
          <t>Công Ty Cổ Phần Quốc Tế Sơn Hà</t>
        </is>
      </c>
      <c r="E8807" t="inlineStr">
        <is>
          <t>Lương:12 Tr - 14 Tr VND</t>
        </is>
      </c>
      <c r="F8807" t="inlineStr">
        <is>
          <t>Nghệ An</t>
        </is>
      </c>
      <c r="G8807" t="inlineStr">
        <is>
          <t>3</t>
        </is>
      </c>
      <c r="H8807" t="inlineStr">
        <is>
          <t>20/03/2026</t>
        </is>
      </c>
      <c r="I8807" t="inlineStr">
        <is>
          <t>17/03/2026</t>
        </is>
      </c>
      <c r="J8807" t="inlineStr">
        <is>
          <t>Sản xuất / Vận hành sản xuất, Bán lẻ / Bán sỉ</t>
        </is>
      </c>
      <c r="K8807" t="inlineStr">
        <is>
          <t>2 - 3 Năm</t>
        </is>
      </c>
      <c r="L8807" s="8">
        <f>HYPERLINK("https://careerviet.vn/vi/tim-viec-lam/truong-nhom-ke-toan.35C6A6E5.html","Xem chi tiết")</f>
        <v/>
      </c>
    </row>
    <row r="8808">
      <c r="B8808" s="9" t="n">
        <v>8806</v>
      </c>
      <c r="C8808" s="10" t="inlineStr">
        <is>
          <t>NHÂN VIÊN KẾ TOÁN NỘI BỘ MẢNG BÁN LẺ</t>
        </is>
      </c>
      <c r="D8808" s="10" t="inlineStr">
        <is>
          <t>Công ty Cổ phần Đầu tư Thương mại Kỹ thuật A&amp;T Việt Nam</t>
        </is>
      </c>
      <c r="E8808" s="10" t="inlineStr">
        <is>
          <t>Lương:8 Tr - 12 Tr VND</t>
        </is>
      </c>
      <c r="F8808" s="10" t="inlineStr">
        <is>
          <t>Hà Nội</t>
        </is>
      </c>
      <c r="G8808" s="10" t="inlineStr">
        <is>
          <t>31-03-2026</t>
        </is>
      </c>
      <c r="H8808" s="10" t="inlineStr">
        <is>
          <t>31/03/2026</t>
        </is>
      </c>
      <c r="I8808" s="10" t="inlineStr">
        <is>
          <t>17/03/2026</t>
        </is>
      </c>
      <c r="J8808" s="10" t="inlineStr">
        <is>
          <t>Kế toán / Kiểm toán</t>
        </is>
      </c>
      <c r="K8808" s="10" t="inlineStr">
        <is>
          <t>Chưa có kinh nghiệm</t>
        </is>
      </c>
      <c r="L8808" s="11">
        <f>HYPERLINK("https://careerviet.vn/vi/tim-viec-lam/nhan-vien-ke-toan-noi-bo-mang-ban-le.35C6A5AE.html","Xem chi tiết")</f>
        <v/>
      </c>
      <c r="M8808" s="10" t="n"/>
    </row>
    <row r="8809">
      <c r="B8809" s="7" t="n">
        <v>8807</v>
      </c>
      <c r="C8809" t="inlineStr">
        <is>
          <t>Nhân viên bán hàng</t>
        </is>
      </c>
      <c r="D8809" t="inlineStr">
        <is>
          <t>CÔNG TY CỔ PHẦN MIDOMAX VIỆT NAM</t>
        </is>
      </c>
      <c r="E8809" t="inlineStr">
        <is>
          <t>Lương:9 Tr - 12 Tr VND</t>
        </is>
      </c>
      <c r="F8809" t="inlineStr">
        <is>
          <t>Hà Nội</t>
        </is>
      </c>
      <c r="G8809" t="inlineStr">
        <is>
          <t>02-04-2026</t>
        </is>
      </c>
      <c r="H8809" t="inlineStr">
        <is>
          <t>02/04/2026</t>
        </is>
      </c>
      <c r="I8809" t="inlineStr">
        <is>
          <t>17/03/2026</t>
        </is>
      </c>
      <c r="J8809" t="inlineStr">
        <is>
          <t>Bán hàng / Kinh doanh, Dệt may / Da giày / Thời trang</t>
        </is>
      </c>
      <c r="K8809" t="inlineStr">
        <is>
          <t>1 - 2 Năm</t>
        </is>
      </c>
      <c r="L8809" s="8">
        <f>HYPERLINK("https://careerviet.vn/vi/tim-viec-lam/nhan-vien-ban-hang.35C6A2CF.html","Xem chi tiết")</f>
        <v/>
      </c>
    </row>
    <row r="8810">
      <c r="B8810" s="9" t="n">
        <v>8808</v>
      </c>
      <c r="C8810" s="10" t="inlineStr">
        <is>
          <t>Kỹ sư Shop Drawing</t>
        </is>
      </c>
      <c r="D8810" s="10" t="inlineStr">
        <is>
          <t>Công ty Cổ phần FECON</t>
        </is>
      </c>
      <c r="E8810" s="10" t="inlineStr">
        <is>
          <t>Lương:Cạnh tranh</t>
        </is>
      </c>
      <c r="F8810" s="10" t="inlineStr">
        <is>
          <t>Hồ Chí MinhHà NộiCần Thơ</t>
        </is>
      </c>
      <c r="G8810" s="10" t="inlineStr">
        <is>
          <t>14-04-2026</t>
        </is>
      </c>
      <c r="H8810" s="10" t="inlineStr">
        <is>
          <t>14/04/2026</t>
        </is>
      </c>
      <c r="I8810" s="10" t="inlineStr">
        <is>
          <t>17/03/2026</t>
        </is>
      </c>
      <c r="J8810" s="10" t="inlineStr">
        <is>
          <t>Xây dựng</t>
        </is>
      </c>
      <c r="K8810" s="10" t="inlineStr">
        <is>
          <t>null - null Năm</t>
        </is>
      </c>
      <c r="L8810" s="11">
        <f>HYPERLINK("https://careerviet.vn/vi/tim-viec-lam/ky-su-shop-drawing.35C68AD1.html","Xem chi tiết")</f>
        <v/>
      </c>
      <c r="M8810" s="10" t="n"/>
    </row>
    <row r="8811">
      <c r="B8811" s="7" t="n">
        <v>8809</v>
      </c>
      <c r="C8811" t="inlineStr">
        <is>
          <t>Chuyên Viên Giá Thầu M&amp;E</t>
        </is>
      </c>
      <c r="D8811" t="inlineStr">
        <is>
          <t>CÔNG TY TNHH TẬP ĐOÀN XÂY DỰNG DELTA</t>
        </is>
      </c>
      <c r="E8811" t="inlineStr">
        <is>
          <t>Lương:Cạnh tranh</t>
        </is>
      </c>
      <c r="F8811" t="inlineStr">
        <is>
          <t>Hà Nội</t>
        </is>
      </c>
      <c r="G8811" t="inlineStr">
        <is>
          <t>30-04-2026</t>
        </is>
      </c>
      <c r="H8811" t="inlineStr">
        <is>
          <t>30/04/2026</t>
        </is>
      </c>
      <c r="I8811" t="inlineStr">
        <is>
          <t>17/03/2026</t>
        </is>
      </c>
      <c r="J8811" t="inlineStr">
        <is>
          <t>Điện / Điện tử / Điện lạnh / Điện công nghiệp, Kiến trúc, Xây dựng</t>
        </is>
      </c>
      <c r="K8811" t="inlineStr">
        <is>
          <t>3 - 5 Năm</t>
        </is>
      </c>
      <c r="L8811" s="8">
        <f>HYPERLINK("https://careerviet.vn/vi/tim-viec-lam/chuyen-vien-gia-thau-m-e.35C6A535.html","Xem chi tiết")</f>
        <v/>
      </c>
    </row>
    <row r="8812">
      <c r="B8812" s="9" t="n">
        <v>8810</v>
      </c>
      <c r="C8812" s="10" t="inlineStr">
        <is>
          <t>Kế Toán Tổng Hợp Kiêm Phó Phòng Kế Toán</t>
        </is>
      </c>
      <c r="D8812" s="10" t="inlineStr">
        <is>
          <t>CÔNG TY TNHH TẬP ĐOÀN XÂY DỰNG DELTA</t>
        </is>
      </c>
      <c r="E8812" s="10" t="inlineStr">
        <is>
          <t>Lương:Cạnh tranh</t>
        </is>
      </c>
      <c r="F8812" s="10" t="inlineStr">
        <is>
          <t>Hà Nội</t>
        </is>
      </c>
      <c r="G8812" s="10" t="inlineStr">
        <is>
          <t>31-03-2026</t>
        </is>
      </c>
      <c r="H8812" s="10" t="inlineStr">
        <is>
          <t>31/03/2026</t>
        </is>
      </c>
      <c r="I8812" s="10" t="inlineStr">
        <is>
          <t>17/03/2026</t>
        </is>
      </c>
      <c r="J8812" s="10" t="inlineStr">
        <is>
          <t>Kế toán / Kiểm toán, Tài chính / Đầu tư, Xây dựng</t>
        </is>
      </c>
      <c r="K8812" s="10" t="inlineStr">
        <is>
          <t>3 - 5 Năm</t>
        </is>
      </c>
      <c r="L8812" s="11">
        <f>HYPERLINK("https://careerviet.vn/vi/tim-viec-lam/ke-toan-tong-hop-kiem-pho-phong-ke-toan.35C6A534.html","Xem chi tiết")</f>
        <v/>
      </c>
      <c r="M8812" s="10" t="n"/>
    </row>
    <row r="8813">
      <c r="B8813" s="7" t="n">
        <v>8811</v>
      </c>
      <c r="C8813" t="inlineStr">
        <is>
          <t>Chuyên Viên Hình Ảnh Điểm Bán</t>
        </is>
      </c>
      <c r="D8813" t="inlineStr">
        <is>
          <t>Tập Đoàn Karofi Holding</t>
        </is>
      </c>
      <c r="E8813" t="inlineStr">
        <is>
          <t>Lương:Cạnh tranh</t>
        </is>
      </c>
      <c r="F8813" t="inlineStr">
        <is>
          <t>Hà Nội</t>
        </is>
      </c>
      <c r="G8813" t="inlineStr">
        <is>
          <t>01-04-2026</t>
        </is>
      </c>
      <c r="H8813" t="inlineStr">
        <is>
          <t>01/04/2026</t>
        </is>
      </c>
      <c r="I8813" t="inlineStr">
        <is>
          <t>17/03/2026</t>
        </is>
      </c>
      <c r="J8813" t="inlineStr">
        <is>
          <t>Tiếp thị / Marketing, Quảng cáo / Đối ngoại / Truyền Thông</t>
        </is>
      </c>
      <c r="K8813" t="inlineStr">
        <is>
          <t>1 - 2 Năm</t>
        </is>
      </c>
      <c r="L8813" s="8">
        <f>HYPERLINK("https://careerviet.vn/vi/tim-viec-lam/chuyen-vien-hinh-anh-diem-ban.35C6A379.html","Xem chi tiết")</f>
        <v/>
      </c>
    </row>
    <row r="8814">
      <c r="B8814" s="9" t="n">
        <v>8812</v>
      </c>
      <c r="C8814" s="10" t="inlineStr">
        <is>
          <t>Chuyên Viên Tuyển Dụng</t>
        </is>
      </c>
      <c r="D8814" s="10" t="inlineStr">
        <is>
          <t>CÔNG TY TNHH TẬP ĐOÀN GTG</t>
        </is>
      </c>
      <c r="E8814" s="10" t="inlineStr">
        <is>
          <t>Lương:10 Tr - 15 Tr VND</t>
        </is>
      </c>
      <c r="F8814" s="10" t="inlineStr">
        <is>
          <t>Hà Nội</t>
        </is>
      </c>
      <c r="G8814" s="10" t="inlineStr">
        <is>
          <t>01-04-2026</t>
        </is>
      </c>
      <c r="H8814" s="10" t="inlineStr">
        <is>
          <t>01/04/2026</t>
        </is>
      </c>
      <c r="I8814" s="10" t="inlineStr">
        <is>
          <t>17/03/2026</t>
        </is>
      </c>
      <c r="J8814" s="10" t="inlineStr">
        <is>
          <t>Nhân sự, Hành chính / Thư ký</t>
        </is>
      </c>
      <c r="K8814" s="10" t="inlineStr">
        <is>
          <t>1 - 2 Năm</t>
        </is>
      </c>
      <c r="L8814" s="11">
        <f>HYPERLINK("https://careerviet.vn/vi/tim-viec-lam/chuyen-vien-tuyen-dung.35C6A54C.html","Xem chi tiết")</f>
        <v/>
      </c>
      <c r="M8814" s="10" t="n"/>
    </row>
    <row r="8815">
      <c r="B8815" s="7" t="n">
        <v>8813</v>
      </c>
      <c r="C8815" t="inlineStr">
        <is>
          <t>Nhân viên thống kê sản xuất</t>
        </is>
      </c>
      <c r="D8815" t="inlineStr">
        <is>
          <t>Công ty Cổ phần thực phẩm và đồ uống Barett</t>
        </is>
      </c>
      <c r="E8815" t="inlineStr">
        <is>
          <t>Lương:10 Tr - 15 Tr VND</t>
        </is>
      </c>
      <c r="F8815" t="inlineStr">
        <is>
          <t>Hưng Yên</t>
        </is>
      </c>
      <c r="G8815" t="inlineStr">
        <is>
          <t>31-03-2026</t>
        </is>
      </c>
      <c r="H8815" t="inlineStr">
        <is>
          <t>31/03/2026</t>
        </is>
      </c>
      <c r="I8815" t="inlineStr">
        <is>
          <t>17/03/2026</t>
        </is>
      </c>
      <c r="J8815" t="inlineStr">
        <is>
          <t>Sản xuất / Vận hành sản xuất, Thống kê, Kế toán / Kiểm toán</t>
        </is>
      </c>
      <c r="K8815" t="inlineStr">
        <is>
          <t>1 - 3 Năm</t>
        </is>
      </c>
      <c r="L8815" s="8">
        <f>HYPERLINK("https://careerviet.vn/vi/tim-viec-lam/nhan-vien-thong-ke-san-xuat.35C6A641.html","Xem chi tiết")</f>
        <v/>
      </c>
    </row>
    <row r="8816">
      <c r="B8816" s="9" t="n">
        <v>8814</v>
      </c>
      <c r="C8816" s="10" t="inlineStr">
        <is>
          <t>Inspector (Textile Garment/ Footwears)</t>
        </is>
      </c>
      <c r="D8816" s="10" t="inlineStr">
        <is>
          <t>Cty SGS Việt Nam TNHH</t>
        </is>
      </c>
      <c r="E8816" s="10" t="inlineStr">
        <is>
          <t>Lương:Cạnh tranh</t>
        </is>
      </c>
      <c r="F8816" s="10" t="inlineStr">
        <is>
          <t>Hồ Chí Minh</t>
        </is>
      </c>
      <c r="G8816" s="10" t="inlineStr">
        <is>
          <t>02-04-2026</t>
        </is>
      </c>
      <c r="H8816" s="10" t="inlineStr">
        <is>
          <t>02/04/2026</t>
        </is>
      </c>
      <c r="I8816" s="10" t="inlineStr">
        <is>
          <t>17/03/2026</t>
        </is>
      </c>
      <c r="J8816" s="10" t="inlineStr">
        <is>
          <t>Hóa học, Dệt may / Da giày / Thời trang, Quản lý chất lượng (QA/QC)</t>
        </is>
      </c>
      <c r="K8816" s="10" t="inlineStr">
        <is>
          <t>2 - 5 Năm</t>
        </is>
      </c>
      <c r="L8816" s="11">
        <f>HYPERLINK("https://careerviet.vn/vi/tim-viec-lam/inspector-textile-garment-footwears.35C6A4E7.html","Xem chi tiết")</f>
        <v/>
      </c>
      <c r="M8816" s="10" t="n"/>
    </row>
    <row r="8817">
      <c r="B8817" s="7" t="n">
        <v>8815</v>
      </c>
      <c r="C8817" t="inlineStr">
        <is>
          <t>Cộng Tác Viên Tư Vấn Giáo Dục - Toàn Quốc</t>
        </is>
      </c>
      <c r="D8817" t="inlineStr">
        <is>
          <t>Công Ty CP Giáo Dục Đại Dương</t>
        </is>
      </c>
      <c r="E8817" t="inlineStr">
        <is>
          <t>Lương:Cạnh tranh</t>
        </is>
      </c>
      <c r="F8817" t="inlineStr">
        <is>
          <t>Hà NộiHưng YênHải Dương</t>
        </is>
      </c>
      <c r="G8817" t="inlineStr">
        <is>
          <t>01-04-2026</t>
        </is>
      </c>
      <c r="H8817" t="inlineStr">
        <is>
          <t>01/04/2026</t>
        </is>
      </c>
      <c r="I8817" t="inlineStr">
        <is>
          <t>17/03/2026</t>
        </is>
      </c>
      <c r="J8817" t="inlineStr">
        <is>
          <t>Dịch vụ khách hàng, Giáo dục / Đào tạo, Bán hàng / Kinh doanh</t>
        </is>
      </c>
      <c r="K8817" t="inlineStr">
        <is>
          <t>N/A</t>
        </is>
      </c>
      <c r="L8817" s="8">
        <f>HYPERLINK("https://careerviet.vn/vi/tim-viec-lam/cong-tac-vien-tu-van-giao-duc-toan-quoc.35C6A6FB.html","Xem chi tiết")</f>
        <v/>
      </c>
    </row>
    <row r="8818">
      <c r="B8818" s="9" t="n">
        <v>8816</v>
      </c>
      <c r="C8818" s="10" t="inlineStr">
        <is>
          <t>Trade Marketing Executive</t>
        </is>
      </c>
      <c r="D8818" s="10" t="inlineStr">
        <is>
          <t>CÔNG TY CỔ PHẦN TRANG SỨC ĐÁ QUÝ INFINITY</t>
        </is>
      </c>
      <c r="E8818" s="10" t="inlineStr">
        <is>
          <t>Lương:11 Tr - 14 Tr VND</t>
        </is>
      </c>
      <c r="F8818" s="10" t="inlineStr">
        <is>
          <t>Hồ Chí Minh</t>
        </is>
      </c>
      <c r="G8818" s="10" t="inlineStr">
        <is>
          <t>01-04-2026</t>
        </is>
      </c>
      <c r="H8818" s="10" t="inlineStr">
        <is>
          <t>01/04/2026</t>
        </is>
      </c>
      <c r="I8818" s="10" t="inlineStr">
        <is>
          <t>17/03/2026</t>
        </is>
      </c>
      <c r="J8818" s="10" t="inlineStr">
        <is>
          <t>Tiếp thị / Marketing, Bán hàng / Kinh doanh</t>
        </is>
      </c>
      <c r="K8818" s="10" t="inlineStr">
        <is>
          <t>1 - 2 Năm</t>
        </is>
      </c>
      <c r="L8818" s="11">
        <f>HYPERLINK("https://careerviet.vn/vi/tim-viec-lam/trade-marketing-executive.35C6A45E.html","Xem chi tiết")</f>
        <v/>
      </c>
      <c r="M8818" s="10" t="n"/>
    </row>
    <row r="8819">
      <c r="B8819" s="7" t="n">
        <v>8817</v>
      </c>
      <c r="C8819" t="inlineStr">
        <is>
          <t>Nhân viên hành chính nhân sự Nghệ An</t>
        </is>
      </c>
      <c r="D8819" t="inlineStr">
        <is>
          <t>EuP Group</t>
        </is>
      </c>
      <c r="E8819" t="inlineStr">
        <is>
          <t>Lương:8 Tr - 12 Tr VND</t>
        </is>
      </c>
      <c r="F8819" t="inlineStr">
        <is>
          <t>Nghệ An</t>
        </is>
      </c>
      <c r="G8819" t="inlineStr">
        <is>
          <t>02-04-2026</t>
        </is>
      </c>
      <c r="H8819" t="inlineStr">
        <is>
          <t>02/04/2026</t>
        </is>
      </c>
      <c r="I8819" t="inlineStr">
        <is>
          <t>17/03/2026</t>
        </is>
      </c>
      <c r="J8819" t="inlineStr">
        <is>
          <t>Hành chính / Thư ký, Nhân sự, Kế toán / Kiểm toán</t>
        </is>
      </c>
      <c r="K8819" t="inlineStr">
        <is>
          <t>1 - 3 Năm</t>
        </is>
      </c>
      <c r="L8819" s="8">
        <f>HYPERLINK("https://careerviet.vn/vi/tim-viec-lam/nhan-vien-hanh-chinh-nhan-su-nghe-an.35C6A5E2.html","Xem chi tiết")</f>
        <v/>
      </c>
    </row>
    <row r="8820">
      <c r="B8820" s="9" t="n">
        <v>8818</v>
      </c>
      <c r="C8820" s="10" t="inlineStr">
        <is>
          <t>Nhân Viên Livestream/Streamer/Host Live</t>
        </is>
      </c>
      <c r="D8820" s="10" t="inlineStr">
        <is>
          <t>TCL (Vietnam) Corporation Limited</t>
        </is>
      </c>
      <c r="E8820" s="10" t="inlineStr">
        <is>
          <t>Lương:Cạnh tranh</t>
        </is>
      </c>
      <c r="F8820" s="10" t="inlineStr">
        <is>
          <t>Hồ Chí Minh</t>
        </is>
      </c>
      <c r="G8820" s="10" t="inlineStr">
        <is>
          <t>01-04-2026</t>
        </is>
      </c>
      <c r="H8820" s="10" t="inlineStr">
        <is>
          <t>01/04/2026</t>
        </is>
      </c>
      <c r="I8820" s="10" t="inlineStr">
        <is>
          <t>17/03/2026</t>
        </is>
      </c>
      <c r="J8820" s="10" t="inlineStr">
        <is>
          <t>Giải trí, Bán hàng / Kinh doanh, Điện / Điện tử / Điện lạnh / Điện công nghiệp</t>
        </is>
      </c>
      <c r="K8820" s="10" t="inlineStr">
        <is>
          <t>Trên 1 Năm</t>
        </is>
      </c>
      <c r="L8820" s="11">
        <f>HYPERLINK("https://careerviet.vn/vi/tim-viec-lam/nhan-vien-livestream-streamer-host-live.35C6A709.html","Xem chi tiết")</f>
        <v/>
      </c>
      <c r="M8820" s="10" t="n"/>
    </row>
    <row r="8821">
      <c r="B8821" s="7" t="n">
        <v>8819</v>
      </c>
      <c r="C8821" t="inlineStr">
        <is>
          <t>Kế toán Tổng hợp</t>
        </is>
      </c>
      <c r="D8821" t="inlineStr">
        <is>
          <t>UNIEXPORT CO., LTD</t>
        </is>
      </c>
      <c r="E8821" t="inlineStr">
        <is>
          <t>Lương:Cạnh tranh</t>
        </is>
      </c>
      <c r="F8821" t="inlineStr">
        <is>
          <t>Hồ Chí Minh</t>
        </is>
      </c>
      <c r="G8821" t="inlineStr">
        <is>
          <t>31-03-2026</t>
        </is>
      </c>
      <c r="H8821" t="inlineStr">
        <is>
          <t>31/03/2026</t>
        </is>
      </c>
      <c r="I8821" t="inlineStr">
        <is>
          <t>17/03/2026</t>
        </is>
      </c>
      <c r="J8821" t="inlineStr">
        <is>
          <t>Kế toán / Kiểm toán, Xuất nhập khẩu, Sản xuất / Vận hành sản xuất</t>
        </is>
      </c>
      <c r="K8821" t="inlineStr">
        <is>
          <t>3 - 5 Năm</t>
        </is>
      </c>
      <c r="L8821" s="8">
        <f>HYPERLINK("https://careerviet.vn/vi/tim-viec-lam/ke-toan-tong-hop.35C694AB.html","Xem chi tiết")</f>
        <v/>
      </c>
    </row>
    <row r="8822">
      <c r="B8822" s="9" t="n">
        <v>8820</v>
      </c>
      <c r="C8822" s="10" t="inlineStr">
        <is>
          <t>Quận 7-Nhân Viên Phát Triển Phần Mềm (Power Platform)</t>
        </is>
      </c>
      <c r="D8822" s="10" t="inlineStr">
        <is>
          <t>CÔNG TY TNHH POLYTEX FAR EASTERN (VIỆT NAM)</t>
        </is>
      </c>
      <c r="E8822" s="10" t="inlineStr">
        <is>
          <t>Lương:Cạnh tranh</t>
        </is>
      </c>
      <c r="F8822" s="10" t="inlineStr">
        <is>
          <t>Hồ Chí Minh</t>
        </is>
      </c>
      <c r="G8822" s="10" t="inlineStr">
        <is>
          <t>02-04-2026</t>
        </is>
      </c>
      <c r="H8822" s="10" t="inlineStr">
        <is>
          <t>02/04/2026</t>
        </is>
      </c>
      <c r="I8822" s="10" t="inlineStr">
        <is>
          <t>17/03/2026</t>
        </is>
      </c>
      <c r="J8822" s="10" t="inlineStr">
        <is>
          <t>CNTT - Phần mềm, CNTT - Phần cứng / Mạng</t>
        </is>
      </c>
      <c r="K8822" s="10" t="inlineStr">
        <is>
          <t>2 - 10 Năm</t>
        </is>
      </c>
      <c r="L8822" s="11">
        <f>HYPERLINK("https://careerviet.vn/vi/tim-viec-lam/quan-7-nhan-vien-phat-trien-phan-mem-power-platform.35C6A500.html","Xem chi tiết")</f>
        <v/>
      </c>
      <c r="M8822" s="10" t="n"/>
    </row>
    <row r="8823">
      <c r="B8823" s="7" t="n">
        <v>8821</v>
      </c>
      <c r="C8823" t="inlineStr">
        <is>
          <t>Kế Toán Tổng Hợp</t>
        </is>
      </c>
      <c r="D8823" t="inlineStr">
        <is>
          <t>Tập Đoàn Kim Tín</t>
        </is>
      </c>
      <c r="E8823" t="inlineStr">
        <is>
          <t>Lương:Cạnh tranh</t>
        </is>
      </c>
      <c r="F8823" t="inlineStr">
        <is>
          <t>Bình Phước</t>
        </is>
      </c>
      <c r="G8823" t="inlineStr">
        <is>
          <t>01-04-2026</t>
        </is>
      </c>
      <c r="H8823" t="inlineStr">
        <is>
          <t>01/04/2026</t>
        </is>
      </c>
      <c r="I8823" t="inlineStr">
        <is>
          <t>17/03/2026</t>
        </is>
      </c>
      <c r="J8823" t="inlineStr">
        <is>
          <t>Kế toán / Kiểm toán, Thống kê, Tài chính / Đầu tư</t>
        </is>
      </c>
      <c r="K8823" t="inlineStr">
        <is>
          <t>2 - 5 Năm</t>
        </is>
      </c>
      <c r="L8823" s="8">
        <f>HYPERLINK("https://careerviet.vn/vi/tim-viec-lam/ke-toan-tong-hop.35C6A48B.html","Xem chi tiết")</f>
        <v/>
      </c>
    </row>
    <row r="8824">
      <c r="B8824" s="9" t="n">
        <v>8822</v>
      </c>
      <c r="C8824" s="10" t="inlineStr">
        <is>
          <t>Giám Đốc Kinh Doanh Bất Động Sản</t>
        </is>
      </c>
      <c r="D8824" s="10" t="inlineStr">
        <is>
          <t>CÔNG TY CỔ PHẦN TẬP ĐOÀN ONSEN FUJI</t>
        </is>
      </c>
      <c r="E8824" s="10" t="inlineStr">
        <is>
          <t>Lương:50 Tr - 60 Tr VND</t>
        </is>
      </c>
      <c r="F8824" s="10" t="inlineStr">
        <is>
          <t>Hà Nội</t>
        </is>
      </c>
      <c r="G8824" s="10" t="inlineStr">
        <is>
          <t>01-04-2026</t>
        </is>
      </c>
      <c r="H8824" s="10" t="inlineStr">
        <is>
          <t>01/04/2026</t>
        </is>
      </c>
      <c r="I8824" s="10" t="inlineStr">
        <is>
          <t>17/03/2026</t>
        </is>
      </c>
      <c r="J8824" s="10" t="inlineStr">
        <is>
          <t>Bán hàng / Kinh doanh, Tư vấn, Bất động sản</t>
        </is>
      </c>
      <c r="K8824" s="10" t="inlineStr">
        <is>
          <t>5 - 7 Năm</t>
        </is>
      </c>
      <c r="L8824" s="11">
        <f>HYPERLINK("https://careerviet.vn/vi/tim-viec-lam/giam-doc-kinh-doanh-bat-dong-san.35C6A691.html","Xem chi tiết")</f>
        <v/>
      </c>
      <c r="M8824" s="10" t="n"/>
    </row>
    <row r="8825">
      <c r="B8825" s="7" t="n">
        <v>8823</v>
      </c>
      <c r="C8825" t="inlineStr">
        <is>
          <t>Nhân viên Xử Lý Khiếu Nại (Dispute)</t>
        </is>
      </c>
      <c r="D8825" t="inlineStr">
        <is>
          <t>Công Ty TNHH Việt Mỹ-SSU</t>
        </is>
      </c>
      <c r="E8825" t="inlineStr">
        <is>
          <t>Lương:7 Tr - 9 Tr VND</t>
        </is>
      </c>
      <c r="F8825" t="inlineStr">
        <is>
          <t>Hồ Chí Minh</t>
        </is>
      </c>
      <c r="G8825" t="inlineStr">
        <is>
          <t>30-03-2026</t>
        </is>
      </c>
      <c r="H8825" t="inlineStr">
        <is>
          <t>30/03/2026</t>
        </is>
      </c>
      <c r="I8825" t="inlineStr">
        <is>
          <t>17/03/2026</t>
        </is>
      </c>
      <c r="J8825" t="inlineStr">
        <is>
          <t>Thương mại điện tử</t>
        </is>
      </c>
      <c r="K8825" t="inlineStr">
        <is>
          <t>Chưa có kinh nghiệm</t>
        </is>
      </c>
      <c r="L8825" s="8">
        <f>HYPERLINK("https://careerviet.vn/vi/tim-viec-lam/nhan-vien-xu-ly-khieu-nai-dispute.35C5DAC5.html","Xem chi tiết")</f>
        <v/>
      </c>
    </row>
    <row r="8826">
      <c r="B8826" s="9" t="n">
        <v>8824</v>
      </c>
      <c r="C8826" s="10" t="inlineStr">
        <is>
          <t>Trưởng Ban Quản Lý Các Dự Án Thủy Điện</t>
        </is>
      </c>
      <c r="D8826" s="10" t="inlineStr">
        <is>
          <t>CÔNG TY CỔ PHẦN ĐẦU TƯ TÂN ĐẠI LONG</t>
        </is>
      </c>
      <c r="E8826" s="10" t="inlineStr">
        <is>
          <t>Lương:30 Tr - 40 Tr VND</t>
        </is>
      </c>
      <c r="F8826" s="10" t="inlineStr">
        <is>
          <t>Hà Nội</t>
        </is>
      </c>
      <c r="G8826" s="10" t="inlineStr">
        <is>
          <t>15-04-2026</t>
        </is>
      </c>
      <c r="H8826" s="10" t="inlineStr">
        <is>
          <t>15/04/2026</t>
        </is>
      </c>
      <c r="I8826" s="10" t="inlineStr">
        <is>
          <t>17/03/2026</t>
        </is>
      </c>
      <c r="J8826" s="10" t="inlineStr">
        <is>
          <t>Xây dựng, Thủy lợi, Trắc địa / Địa Chất</t>
        </is>
      </c>
      <c r="K8826" s="10" t="inlineStr">
        <is>
          <t>Trên 5 Năm</t>
        </is>
      </c>
      <c r="L8826" s="11">
        <f>HYPERLINK("https://careerviet.vn/vi/tim-viec-lam/truong-ban-quan-ly-cac-du-an-thuy-dien.35C6A54E.html","Xem chi tiết")</f>
        <v/>
      </c>
      <c r="M8826" s="10" t="n"/>
    </row>
    <row r="8827">
      <c r="B8827" s="7" t="n">
        <v>8825</v>
      </c>
      <c r="C8827" t="inlineStr">
        <is>
          <t>HUBSPOT CRM AUTOMATION SPECIALIST</t>
        </is>
      </c>
      <c r="D8827" t="inlineStr">
        <is>
          <t>Công ty TNHH TOM Group Việt Nam</t>
        </is>
      </c>
      <c r="E8827" t="inlineStr">
        <is>
          <t>Lương:Cạnh tranh</t>
        </is>
      </c>
      <c r="F8827" t="inlineStr">
        <is>
          <t>Hồ Chí Minh</t>
        </is>
      </c>
      <c r="G8827" t="inlineStr">
        <is>
          <t>15-04-2026</t>
        </is>
      </c>
      <c r="H8827" t="inlineStr">
        <is>
          <t>15/04/2026</t>
        </is>
      </c>
      <c r="I8827" t="inlineStr">
        <is>
          <t>17/03/2026</t>
        </is>
      </c>
      <c r="J8827" t="inlineStr">
        <is>
          <t>Tiếp thị / Marketing, Bán hàng / Kinh doanh</t>
        </is>
      </c>
      <c r="K8827" t="inlineStr">
        <is>
          <t>2 - 4 Năm</t>
        </is>
      </c>
      <c r="L8827" s="8">
        <f>HYPERLINK("https://careerviet.vn/vi/tim-viec-lam/hubspot-crm-automation-specialist.35C6A3FD.html","Xem chi tiết")</f>
        <v/>
      </c>
    </row>
    <row r="8828">
      <c r="B8828" s="9" t="n">
        <v>8826</v>
      </c>
      <c r="C8828" s="10" t="inlineStr">
        <is>
          <t>Senior Marketing Executive</t>
        </is>
      </c>
      <c r="D8828" s="10" t="inlineStr">
        <is>
          <t>Công Ty Cổ Phần 25 FIT</t>
        </is>
      </c>
      <c r="E8828" s="10" t="inlineStr">
        <is>
          <t>Lương:Cạnh tranh</t>
        </is>
      </c>
      <c r="F8828" s="10" t="inlineStr">
        <is>
          <t>Hồ Chí Minh</t>
        </is>
      </c>
      <c r="G8828" s="10" t="inlineStr">
        <is>
          <t>02-04-2026</t>
        </is>
      </c>
      <c r="H8828" s="10" t="inlineStr">
        <is>
          <t>02/04/2026</t>
        </is>
      </c>
      <c r="I8828" s="10" t="inlineStr">
        <is>
          <t>17/03/2026</t>
        </is>
      </c>
      <c r="J8828" s="10" t="inlineStr">
        <is>
          <t>Tiếp thị / Marketing, Tiếp thị trực tuyến, Y tế / Chăm sóc sức khỏe / Thẩm mỹ / Làm đẹp</t>
        </is>
      </c>
      <c r="K8828" s="10" t="inlineStr">
        <is>
          <t>3 - 5 Năm</t>
        </is>
      </c>
      <c r="L8828" s="11">
        <f>HYPERLINK("https://careerviet.vn/vi/tim-viec-lam/senior-marketing-executive.35C6A37F.html","Xem chi tiết")</f>
        <v/>
      </c>
      <c r="M8828" s="10" t="n"/>
    </row>
    <row r="8829">
      <c r="B8829" s="7" t="n">
        <v>8827</v>
      </c>
      <c r="C8829" t="inlineStr">
        <is>
          <t>CHUYÊN VIÊN TƯ VẤN GIÁO DỤC (OCEAN EDU HƯNG YÊN) - THU NHẬP HẤP DẪN TỪ 15 TRIỆU/THÁNG</t>
        </is>
      </c>
      <c r="D8829" t="inlineStr">
        <is>
          <t>Công Ty CP Giáo Dục Đại Dương</t>
        </is>
      </c>
      <c r="E8829" t="inlineStr">
        <is>
          <t>Lương:Cạnh tranh</t>
        </is>
      </c>
      <c r="F8829" t="inlineStr">
        <is>
          <t>Hưng Yên</t>
        </is>
      </c>
      <c r="G8829" t="inlineStr">
        <is>
          <t>01-04-2026</t>
        </is>
      </c>
      <c r="H8829" t="inlineStr">
        <is>
          <t>01/04/2026</t>
        </is>
      </c>
      <c r="I8829" t="inlineStr">
        <is>
          <t>17/03/2026</t>
        </is>
      </c>
      <c r="J8829" t="inlineStr">
        <is>
          <t>Dịch vụ khách hàng, Giáo dục / Đào tạo, Bán hàng / Kinh doanh</t>
        </is>
      </c>
      <c r="K8829" t="inlineStr">
        <is>
          <t>Lên đến 1 Năm</t>
        </is>
      </c>
      <c r="L8829" s="8">
        <f>HYPERLINK("https://careerviet.vn/vi/tim-viec-lam/chuyen-vien-tu-van-giao-duc-ocean-edu-hung-yen-thu-nhap-hap-dan-tu-15-trieu-thang.35C6A5B2.html","Xem chi tiết")</f>
        <v/>
      </c>
    </row>
    <row r="8830">
      <c r="B8830" s="9" t="n">
        <v>8828</v>
      </c>
      <c r="C8830" s="10" t="inlineStr">
        <is>
          <t>Nhân viên bán hàng tại Lương Ngọc Quyến</t>
        </is>
      </c>
      <c r="D8830" s="10" t="inlineStr">
        <is>
          <t>CÔNG TY CỔ PHẦN VUA NỆM</t>
        </is>
      </c>
      <c r="E8830" s="10" t="inlineStr">
        <is>
          <t>Lương:8 Tr - 12 Tr VND</t>
        </is>
      </c>
      <c r="F8830" s="10" t="inlineStr">
        <is>
          <t>Thái Nguyên</t>
        </is>
      </c>
      <c r="G8830" s="10" t="inlineStr">
        <is>
          <t>30-03-2026</t>
        </is>
      </c>
      <c r="H8830" s="10" t="inlineStr">
        <is>
          <t>30/03/2026</t>
        </is>
      </c>
      <c r="I8830" s="10" t="inlineStr">
        <is>
          <t>17/03/2026</t>
        </is>
      </c>
      <c r="J8830" s="10" t="inlineStr">
        <is>
          <t>Bán hàng / Kinh doanh</t>
        </is>
      </c>
      <c r="K8830" s="10" t="inlineStr">
        <is>
          <t>1 - 2 Năm</t>
        </is>
      </c>
      <c r="L8830" s="11">
        <f>HYPERLINK("https://careerviet.vn/vi/tim-viec-lam/nhan-vien-ban-hang-tai-luong-ngoc-quyen.35C6A532.html","Xem chi tiết")</f>
        <v/>
      </c>
      <c r="M8830" s="10" t="n"/>
    </row>
    <row r="8831">
      <c r="B8831" s="7" t="n">
        <v>8829</v>
      </c>
      <c r="C8831" t="inlineStr">
        <is>
          <t>Nhân Viên Kinh Doanh(Business Development)</t>
        </is>
      </c>
      <c r="D8831" t="inlineStr">
        <is>
          <t>Công ty Cổ Phần Thiết Kế Và Xây Dựng Hợp Nhất (Union Architects)</t>
        </is>
      </c>
      <c r="E8831" t="inlineStr">
        <is>
          <t>Lương:Cạnh tranh</t>
        </is>
      </c>
      <c r="F8831" t="inlineStr">
        <is>
          <t>Hồ Chí Minh</t>
        </is>
      </c>
      <c r="G8831" t="inlineStr">
        <is>
          <t>01-04-2026</t>
        </is>
      </c>
      <c r="H8831" t="inlineStr">
        <is>
          <t>01/04/2026</t>
        </is>
      </c>
      <c r="I8831" t="inlineStr">
        <is>
          <t>17/03/2026</t>
        </is>
      </c>
      <c r="J8831" t="inlineStr">
        <is>
          <t>Bán hàng / Kinh doanh, Xây dựng, Nội ngoại thất</t>
        </is>
      </c>
      <c r="K8831" t="inlineStr">
        <is>
          <t>Trên 2 Năm</t>
        </is>
      </c>
      <c r="L8831" s="8">
        <f>HYPERLINK("https://careerviet.vn/vi/tim-viec-lam/nhan-vien-kinh-doanh-business-development.35C6A474.html","Xem chi tiết")</f>
        <v/>
      </c>
    </row>
    <row r="8832">
      <c r="B8832" s="9" t="n">
        <v>8830</v>
      </c>
      <c r="C8832" s="10" t="inlineStr">
        <is>
          <t>Lao động kĩ thuật- Quản lý chất lượng</t>
        </is>
      </c>
      <c r="D8832" s="10" t="inlineStr">
        <is>
          <t>Công ty TNHH GIVI VIỆT NAM</t>
        </is>
      </c>
      <c r="E8832" s="10" t="inlineStr">
        <is>
          <t>Lương:20 Tr - 43 Tr VND</t>
        </is>
      </c>
      <c r="F8832" s="10" t="inlineStr">
        <is>
          <t>Long An</t>
        </is>
      </c>
      <c r="G8832" s="10" t="inlineStr">
        <is>
          <t>15-03-2026</t>
        </is>
      </c>
      <c r="H8832" s="10" t="inlineStr">
        <is>
          <t>02/03/2026</t>
        </is>
      </c>
      <c r="I8832" s="10" t="inlineStr">
        <is>
          <t>17/03/2026</t>
        </is>
      </c>
      <c r="J8832" s="10" t="inlineStr">
        <is>
          <t>Dệt may / Da giày / Thời trang</t>
        </is>
      </c>
      <c r="K8832" s="10" t="inlineStr">
        <is>
          <t>Trên 3 Năm</t>
        </is>
      </c>
      <c r="L8832" s="11">
        <f>HYPERLINK("https://careerviet.vn/vi/tim-viec-lam/lao-dong-ki-thuat-quan-ly-chat-luong.35C6A642.html","Xem chi tiết")</f>
        <v/>
      </c>
      <c r="M8832" s="10" t="n"/>
    </row>
    <row r="8833">
      <c r="B8833" s="7" t="n">
        <v>8831</v>
      </c>
      <c r="C8833" t="inlineStr">
        <is>
          <t>Mechanical Supervising Engineer</t>
        </is>
      </c>
      <c r="D8833" t="inlineStr">
        <is>
          <t>Cty SGS Việt Nam TNHH</t>
        </is>
      </c>
      <c r="E8833" t="inlineStr">
        <is>
          <t>Lương:Cạnh tranh</t>
        </is>
      </c>
      <c r="F8833" t="inlineStr">
        <is>
          <t>Hồ Chí Minh</t>
        </is>
      </c>
      <c r="G8833" t="inlineStr">
        <is>
          <t>30-03-2026</t>
        </is>
      </c>
      <c r="H8833" t="inlineStr">
        <is>
          <t>30/03/2026</t>
        </is>
      </c>
      <c r="I8833" t="inlineStr">
        <is>
          <t>17/03/2026</t>
        </is>
      </c>
      <c r="J8833" t="inlineStr">
        <is>
          <t>Cơ khí / Ô tô / Tự động hóa, Điện / Điện tử / Điện lạnh / Điện công nghiệp</t>
        </is>
      </c>
      <c r="K8833" t="inlineStr">
        <is>
          <t>4 - 5 Năm</t>
        </is>
      </c>
      <c r="L8833" s="8">
        <f>HYPERLINK("https://careerviet.vn/vi/tim-viec-lam/mechanical-supervising-engineer.35C6A5AD.html","Xem chi tiết")</f>
        <v/>
      </c>
    </row>
    <row r="8834">
      <c r="B8834" s="9" t="n">
        <v>8832</v>
      </c>
      <c r="C8834" s="10" t="inlineStr">
        <is>
          <t>NHÂN VIÊN MARKETING - TMĐT</t>
        </is>
      </c>
      <c r="D8834" s="10" t="inlineStr">
        <is>
          <t>Công Ty TNHH Thương Mại &amp; Công Nghệ Vinatoken</t>
        </is>
      </c>
      <c r="E8834" s="10" t="inlineStr">
        <is>
          <t>Lương:Cạnh tranh</t>
        </is>
      </c>
      <c r="F8834" s="10" t="inlineStr">
        <is>
          <t>Hồ Chí Minh</t>
        </is>
      </c>
      <c r="G8834" s="10" t="inlineStr">
        <is>
          <t>30-03-2026</t>
        </is>
      </c>
      <c r="H8834" s="10" t="inlineStr">
        <is>
          <t>30/03/2026</t>
        </is>
      </c>
      <c r="I8834" s="10" t="inlineStr">
        <is>
          <t>17/03/2026</t>
        </is>
      </c>
      <c r="J8834" s="10" t="inlineStr">
        <is>
          <t>Tiếp thị / Marketing, Thương mại điện tử, Quảng cáo / Đối ngoại / Truyền Thông</t>
        </is>
      </c>
      <c r="K8834" s="10" t="inlineStr">
        <is>
          <t>1 - 5 Năm</t>
        </is>
      </c>
      <c r="L8834" s="11">
        <f>HYPERLINK("https://careerviet.vn/vi/tim-viec-lam/nhan-vien-marketing-tmdt.35C6A0E7.html","Xem chi tiết")</f>
        <v/>
      </c>
      <c r="M8834" s="10" t="n"/>
    </row>
    <row r="8835">
      <c r="B8835" s="7" t="n">
        <v>8833</v>
      </c>
      <c r="C8835" t="inlineStr">
        <is>
          <t>HSE Supervisor</t>
        </is>
      </c>
      <c r="D8835" t="inlineStr">
        <is>
          <t>Công Ty TNHH Taisun Việt Nam</t>
        </is>
      </c>
      <c r="E8835" t="inlineStr">
        <is>
          <t>Lương:Cạnh tranh</t>
        </is>
      </c>
      <c r="F8835" t="inlineStr">
        <is>
          <t>Hồ Chí Minh</t>
        </is>
      </c>
      <c r="G8835" t="inlineStr">
        <is>
          <t>01-04-2026</t>
        </is>
      </c>
      <c r="H8835" t="inlineStr">
        <is>
          <t>01/04/2026</t>
        </is>
      </c>
      <c r="I8835" t="inlineStr">
        <is>
          <t>17/03/2026</t>
        </is>
      </c>
      <c r="J8835" t="inlineStr">
        <is>
          <t>Cơ khí / Ô tô / Tự động hóa, Điện / Điện tử / Điện lạnh / Điện công nghiệp, An toàn lao động</t>
        </is>
      </c>
      <c r="K8835" t="inlineStr">
        <is>
          <t>3 - 5 Năm</t>
        </is>
      </c>
      <c r="L8835" s="8">
        <f>HYPERLINK("https://careerviet.vn/vi/tim-viec-lam/hse-supervisor.35C6A6F0.html","Xem chi tiết")</f>
        <v/>
      </c>
    </row>
    <row r="8836">
      <c r="B8836" s="9" t="n">
        <v>8834</v>
      </c>
      <c r="C8836" s="10" t="inlineStr">
        <is>
          <t>Chuyên viên kinh doanh (Lĩnh vực xăng dầu)</t>
        </is>
      </c>
      <c r="D8836" s="10" t="inlineStr">
        <is>
          <t>Công Ty Cổ Phần Tập Đoàn PELIO</t>
        </is>
      </c>
      <c r="E8836" s="10" t="inlineStr">
        <is>
          <t>Lương:15 Tr - 25 Tr VND</t>
        </is>
      </c>
      <c r="F8836" s="10" t="inlineStr">
        <is>
          <t>Hồ Chí Minh</t>
        </is>
      </c>
      <c r="G8836" s="10" t="inlineStr">
        <is>
          <t>02-04-2026</t>
        </is>
      </c>
      <c r="H8836" s="10" t="inlineStr">
        <is>
          <t>02/04/2026</t>
        </is>
      </c>
      <c r="I8836" s="10" t="inlineStr">
        <is>
          <t>17/03/2026</t>
        </is>
      </c>
      <c r="J8836" s="10" t="inlineStr">
        <is>
          <t>Bán lẻ / Bán sỉ, Bán hàng / Kinh doanh, Dầu khí</t>
        </is>
      </c>
      <c r="K8836" s="10" t="inlineStr">
        <is>
          <t>1 - 3 Năm</t>
        </is>
      </c>
      <c r="L8836" s="11">
        <f>HYPERLINK("https://careerviet.vn/vi/tim-viec-lam/chuyen-vien-kinh-doanh-linh-vuc-xang-dau.35C6A437.html","Xem chi tiết")</f>
        <v/>
      </c>
      <c r="M8836" s="10" t="n"/>
    </row>
    <row r="8837">
      <c r="B8837" s="7" t="n">
        <v>8835</v>
      </c>
      <c r="C8837" t="inlineStr">
        <is>
          <t>Senior Sales Assistant (B2B SaaS)</t>
        </is>
      </c>
      <c r="D8837" t="inlineStr">
        <is>
          <t>Cty BioTuring</t>
        </is>
      </c>
      <c r="E8837" t="inlineStr">
        <is>
          <t>Lương:Cạnh tranh</t>
        </is>
      </c>
      <c r="F8837" t="inlineStr">
        <is>
          <t>Hồ Chí Minh</t>
        </is>
      </c>
      <c r="G8837" t="inlineStr">
        <is>
          <t>31-03-2026</t>
        </is>
      </c>
      <c r="H8837" t="inlineStr">
        <is>
          <t>31/03/2026</t>
        </is>
      </c>
      <c r="I8837" t="inlineStr">
        <is>
          <t>17/03/2026</t>
        </is>
      </c>
      <c r="J8837" t="inlineStr">
        <is>
          <t>Công nghệ sinh học, CNTT - Phần mềm</t>
        </is>
      </c>
      <c r="K8837" t="inlineStr">
        <is>
          <t>Trên 3 Năm</t>
        </is>
      </c>
      <c r="L8837" s="8">
        <f>HYPERLINK("https://careerviet.vn/vi/tim-viec-lam/senior-sales-assistant-b2b-saas.35C6A704.html","Xem chi tiết")</f>
        <v/>
      </c>
    </row>
    <row r="8838">
      <c r="B8838" s="9" t="n">
        <v>8836</v>
      </c>
      <c r="C8838" s="10" t="inlineStr">
        <is>
          <t>Chuyên viên tuyển dụng</t>
        </is>
      </c>
      <c r="D8838" s="10" t="inlineStr">
        <is>
          <t>CÔNG TY CỔ PHẦN TẬP ĐOÀN MIK GROUP VIỆT NAM</t>
        </is>
      </c>
      <c r="E8838" s="10" t="inlineStr">
        <is>
          <t>Lương:Cạnh tranh</t>
        </is>
      </c>
      <c r="F8838" s="10" t="inlineStr">
        <is>
          <t>Hà Nội</t>
        </is>
      </c>
      <c r="G8838" s="10" t="inlineStr">
        <is>
          <t>10-04-2026</t>
        </is>
      </c>
      <c r="H8838" s="10" t="inlineStr">
        <is>
          <t>10/04/2026</t>
        </is>
      </c>
      <c r="I8838" s="10" t="inlineStr">
        <is>
          <t>17/03/2026</t>
        </is>
      </c>
      <c r="J8838" s="10" t="inlineStr">
        <is>
          <t>Nhân sự, Bất động sản</t>
        </is>
      </c>
      <c r="K8838" s="10" t="inlineStr">
        <is>
          <t>Lên đến 5 Năm</t>
        </is>
      </c>
      <c r="L8838" s="11">
        <f>HYPERLINK("https://careerviet.vn/vi/tim-viec-lam/chuyen-vien-tuyen-dung.35C6A45B.html","Xem chi tiết")</f>
        <v/>
      </c>
      <c r="M8838" s="10" t="n"/>
    </row>
    <row r="8839">
      <c r="B8839" s="7" t="n">
        <v>8837</v>
      </c>
      <c r="C8839" t="inlineStr">
        <is>
          <t>Nhân viên Kỹ thuật sản xuất (Cơ khí)</t>
        </is>
      </c>
      <c r="D8839" t="inlineStr">
        <is>
          <t>CÔNG TY CỔ PHẦN ĐẦU TƯ BeNK</t>
        </is>
      </c>
      <c r="E8839" t="inlineStr">
        <is>
          <t>Lương:13 Tr - 18 Tr VND</t>
        </is>
      </c>
      <c r="F8839" t="inlineStr">
        <is>
          <t>Hòa Bình</t>
        </is>
      </c>
      <c r="G8839" t="inlineStr">
        <is>
          <t>15-04-2026</t>
        </is>
      </c>
      <c r="H8839" t="inlineStr">
        <is>
          <t>15/04/2026</t>
        </is>
      </c>
      <c r="I8839" t="inlineStr">
        <is>
          <t>17/03/2026</t>
        </is>
      </c>
      <c r="J8839" t="inlineStr">
        <is>
          <t>Cơ khí / Ô tô / Tự động hóa</t>
        </is>
      </c>
      <c r="K8839" t="inlineStr">
        <is>
          <t>1 - 2 Năm</t>
        </is>
      </c>
      <c r="L8839" s="8">
        <f>HYPERLINK("https://careerviet.vn/vi/tim-viec-lam/nhan-vien-ky-thuat-san-xuat-co-khi.35C6A48D.html","Xem chi tiết")</f>
        <v/>
      </c>
    </row>
    <row r="8840">
      <c r="B8840" s="9" t="n">
        <v>8838</v>
      </c>
      <c r="C8840" s="10" t="inlineStr">
        <is>
          <t>Giám sát EHS / HSE</t>
        </is>
      </c>
      <c r="D8840" s="10" t="inlineStr">
        <is>
          <t>Công Ty Cổ Phần GreenFeed Việt Nam</t>
        </is>
      </c>
      <c r="E8840" s="10" t="inlineStr">
        <is>
          <t>Lương:Cạnh tranh</t>
        </is>
      </c>
      <c r="F8840" s="10" t="inlineStr">
        <is>
          <t>Đồng Nai</t>
        </is>
      </c>
      <c r="G8840" s="10" t="inlineStr">
        <is>
          <t>01-04-2026</t>
        </is>
      </c>
      <c r="H8840" s="10" t="inlineStr">
        <is>
          <t>01/04/2026</t>
        </is>
      </c>
      <c r="I8840" s="10" t="inlineStr">
        <is>
          <t>17/03/2026</t>
        </is>
      </c>
      <c r="J8840" s="10" t="inlineStr">
        <is>
          <t>Môi trường, An toàn lao động</t>
        </is>
      </c>
      <c r="K8840" s="10" t="inlineStr">
        <is>
          <t>2 - 3 Năm</t>
        </is>
      </c>
      <c r="L8840" s="11">
        <f>HYPERLINK("https://careerviet.vn/vi/tim-viec-lam/giam-sat-ehs-hse.35C6A454.html","Xem chi tiết")</f>
        <v/>
      </c>
      <c r="M8840" s="10" t="n"/>
    </row>
    <row r="8841">
      <c r="B8841" s="7" t="n">
        <v>8839</v>
      </c>
      <c r="C8841" t="inlineStr">
        <is>
          <t>Chief Operating Officer (COO)</t>
        </is>
      </c>
      <c r="D8841" t="inlineStr">
        <is>
          <t>Công Ty CP Chứng Khoán VNDIRECT</t>
        </is>
      </c>
      <c r="E8841" t="inlineStr">
        <is>
          <t>Lương:Cạnh tranh</t>
        </is>
      </c>
      <c r="F8841" t="inlineStr">
        <is>
          <t>Hà Nội</t>
        </is>
      </c>
      <c r="G8841" t="inlineStr">
        <is>
          <t>01-04-2026</t>
        </is>
      </c>
      <c r="H8841" t="inlineStr">
        <is>
          <t>01/04/2026</t>
        </is>
      </c>
      <c r="I8841" t="inlineStr">
        <is>
          <t>17/03/2026</t>
        </is>
      </c>
      <c r="J8841" t="inlineStr">
        <is>
          <t>Quản lý điều hành, Ngân hàng, Chứng khoán</t>
        </is>
      </c>
      <c r="K8841" t="inlineStr">
        <is>
          <t>10 - 15 Năm</t>
        </is>
      </c>
      <c r="L8841" s="8">
        <f>HYPERLINK("https://careerviet.vn/vi/tim-viec-lam/chief-operating-officer-coo.35C6A6CF.html","Xem chi tiết")</f>
        <v/>
      </c>
    </row>
    <row r="8842">
      <c r="B8842" s="9" t="n">
        <v>8840</v>
      </c>
      <c r="C8842" s="10" t="inlineStr">
        <is>
          <t>NHÂN VIÊN KINH DOANH QUỐC TẾ</t>
        </is>
      </c>
      <c r="D8842" s="10" t="inlineStr">
        <is>
          <t>Tập Đoàn An Phát Holdings</t>
        </is>
      </c>
      <c r="E8842" s="10" t="inlineStr">
        <is>
          <t>Lương:8 Tr - 15 Tr VND</t>
        </is>
      </c>
      <c r="F8842" s="10" t="inlineStr">
        <is>
          <t>Hà Nội</t>
        </is>
      </c>
      <c r="G8842" s="10" t="inlineStr">
        <is>
          <t>31-03-2026</t>
        </is>
      </c>
      <c r="H8842" s="10" t="inlineStr">
        <is>
          <t>31/03/2026</t>
        </is>
      </c>
      <c r="I8842" s="10" t="inlineStr">
        <is>
          <t>17/03/2026</t>
        </is>
      </c>
      <c r="J8842" s="10" t="inlineStr">
        <is>
          <t>Bán Hàng Kỹ Thuật, Bán hàng / Kinh doanh</t>
        </is>
      </c>
      <c r="K8842" s="10" t="inlineStr">
        <is>
          <t>Lên đến 1 Năm</t>
        </is>
      </c>
      <c r="L8842" s="11">
        <f>HYPERLINK("https://careerviet.vn/vi/tim-viec-lam/nhan-vien-kinh-doanh-quoc-te.35C6A2B8.html","Xem chi tiết")</f>
        <v/>
      </c>
      <c r="M8842" s="10" t="n"/>
    </row>
    <row r="8843">
      <c r="B8843" s="7" t="n">
        <v>8841</v>
      </c>
      <c r="C8843" t="inlineStr">
        <is>
          <t>[ BINH THANH - HCM ] CHUYÊN VIÊN DỊCH VỤ KHCN – RETAIL CUSTOMER SERVICE OFFICER</t>
        </is>
      </c>
      <c r="D8843" t="inlineStr">
        <is>
          <t>Shinhan Bank Vietnam</t>
        </is>
      </c>
      <c r="E8843" t="inlineStr">
        <is>
          <t>Lương:Cạnh tranh</t>
        </is>
      </c>
      <c r="F8843" t="inlineStr">
        <is>
          <t>KV Đông Nam Bộ</t>
        </is>
      </c>
      <c r="G8843" t="inlineStr">
        <is>
          <t>01-04-2026</t>
        </is>
      </c>
      <c r="H8843" t="inlineStr">
        <is>
          <t>01/04/2026</t>
        </is>
      </c>
      <c r="I8843" t="inlineStr">
        <is>
          <t>17/03/2026</t>
        </is>
      </c>
      <c r="J8843" t="inlineStr">
        <is>
          <t>Kế toán / Kiểm toán, Hành chính / Thư ký, Quảng cáo / Đối ngoại / Truyền Thông</t>
        </is>
      </c>
      <c r="K8843" t="inlineStr">
        <is>
          <t>Trên 1 Năm</t>
        </is>
      </c>
      <c r="L8843" s="8">
        <f>HYPERLINK("https://careerviet.vn/vi/tim-viec-lam/binh-thanh-hcm-chuyen-vien-dich-vu-khcn-retail-customer-service-officer.35C6A3A9.html","Xem chi tiết")</f>
        <v/>
      </c>
    </row>
    <row r="8844">
      <c r="B8844" s="9" t="n">
        <v>8842</v>
      </c>
      <c r="C8844" s="10" t="inlineStr">
        <is>
          <t>Chuyên viên Quản lý Nghiệp vụ Dịch vụ Khách hàng</t>
        </is>
      </c>
      <c r="D8844" s="10" t="inlineStr">
        <is>
          <t>Ngân Hàng TMCP Sài Gòn - Hà Nội ( SHB )</t>
        </is>
      </c>
      <c r="E8844" s="10" t="inlineStr">
        <is>
          <t>Lương:Cạnh tranh</t>
        </is>
      </c>
      <c r="F8844" s="10" t="inlineStr">
        <is>
          <t>Hà Nội</t>
        </is>
      </c>
      <c r="G8844" s="10" t="inlineStr">
        <is>
          <t>01-04-2026</t>
        </is>
      </c>
      <c r="H8844" s="10" t="inlineStr">
        <is>
          <t>01/04/2026</t>
        </is>
      </c>
      <c r="I8844" s="10" t="inlineStr">
        <is>
          <t>17/03/2026</t>
        </is>
      </c>
      <c r="J8844" s="10" t="inlineStr">
        <is>
          <t>Dịch vụ khách hàng, Ngân hàng</t>
        </is>
      </c>
      <c r="K8844" s="10" t="inlineStr">
        <is>
          <t>Trên 3 Năm</t>
        </is>
      </c>
      <c r="L8844" s="11">
        <f>HYPERLINK("https://careerviet.vn/vi/tim-viec-lam/chuyen-vien-quan-ly-nghiep-vu-dich-vu-khach-hang.35C6A345.html","Xem chi tiết")</f>
        <v/>
      </c>
      <c r="M8844" s="10" t="n"/>
    </row>
    <row r="8845">
      <c r="B8845" s="7" t="n">
        <v>8843</v>
      </c>
      <c r="C8845" t="inlineStr">
        <is>
          <t>Trưởng phòng kinh doanh kênh MT</t>
        </is>
      </c>
      <c r="D8845" t="inlineStr">
        <is>
          <t>CÔNG TY TNHH SẢN XUẤT VÀ THƯƠNG MẠI TRƯƠNG VUI</t>
        </is>
      </c>
      <c r="E8845" t="inlineStr">
        <is>
          <t>Lương:18 Tr - 20 Tr VND</t>
        </is>
      </c>
      <c r="F8845" t="inlineStr">
        <is>
          <t>Hồ Chí Minh</t>
        </is>
      </c>
      <c r="G8845" t="inlineStr">
        <is>
          <t>30-04-2026</t>
        </is>
      </c>
      <c r="H8845" t="inlineStr">
        <is>
          <t>30/04/2026</t>
        </is>
      </c>
      <c r="I8845" t="inlineStr">
        <is>
          <t>17/03/2026</t>
        </is>
      </c>
      <c r="J8845" t="inlineStr">
        <is>
          <t>Bán hàng / Kinh doanh, Tiếp thị / Marketing</t>
        </is>
      </c>
      <c r="K8845" t="inlineStr">
        <is>
          <t>3 - 4 Năm</t>
        </is>
      </c>
      <c r="L8845" s="8">
        <f>HYPERLINK("https://careerviet.vn/vi/tim-viec-lam/truong-phong-kinh-doanh-kenh-mt.35C6A40E.html","Xem chi tiết")</f>
        <v/>
      </c>
    </row>
    <row r="8846">
      <c r="B8846" s="9" t="n">
        <v>8844</v>
      </c>
      <c r="C8846" s="10" t="inlineStr">
        <is>
          <t>Kỹ sư thiết kế kết cấu</t>
        </is>
      </c>
      <c r="D8846" s="10" t="inlineStr">
        <is>
          <t>CÔNG TY TNHH TƯ VẤN VÀ CÔNG NGHỆ XÂY DỰNG HOÀNG PHÁT</t>
        </is>
      </c>
      <c r="E8846" s="10" t="inlineStr">
        <is>
          <t>Lương:14 Tr - 30 Tr VND</t>
        </is>
      </c>
      <c r="F8846" s="10" t="inlineStr">
        <is>
          <t>Hà Nội</t>
        </is>
      </c>
      <c r="G8846" s="10" t="inlineStr">
        <is>
          <t>31-03-2026</t>
        </is>
      </c>
      <c r="H8846" s="10" t="inlineStr">
        <is>
          <t>31/03/2026</t>
        </is>
      </c>
      <c r="I8846" s="10" t="inlineStr">
        <is>
          <t>17/03/2026</t>
        </is>
      </c>
      <c r="J8846" s="10" t="inlineStr">
        <is>
          <t>Xây dựng, Kiến trúc</t>
        </is>
      </c>
      <c r="K8846" s="10" t="inlineStr">
        <is>
          <t>Trên 1 Năm</t>
        </is>
      </c>
      <c r="L8846" s="11">
        <f>HYPERLINK("https://careerviet.vn/vi/tim-viec-lam/ky-su-thiet-ke-ket-cau.35C6A2A5.html","Xem chi tiết")</f>
        <v/>
      </c>
      <c r="M8846" s="10" t="n"/>
    </row>
    <row r="8847">
      <c r="B8847" s="7" t="n">
        <v>8845</v>
      </c>
      <c r="C8847" t="inlineStr">
        <is>
          <t>KVH-P. Kho quỹ_Chuyên viên cao cấp Quản lý dịch vụ kho quỹ</t>
        </is>
      </c>
      <c r="D8847" t="inlineStr">
        <is>
          <t>Ngân Hàng TMCP Phương Đông - OCB</t>
        </is>
      </c>
      <c r="E8847" t="inlineStr">
        <is>
          <t>Lương:Cạnh tranh</t>
        </is>
      </c>
      <c r="F8847" t="inlineStr">
        <is>
          <t>Hồ Chí Minh</t>
        </is>
      </c>
      <c r="G8847" t="inlineStr">
        <is>
          <t>02-04-2026</t>
        </is>
      </c>
      <c r="H8847" t="inlineStr">
        <is>
          <t>02/04/2026</t>
        </is>
      </c>
      <c r="I8847" t="inlineStr">
        <is>
          <t>17/03/2026</t>
        </is>
      </c>
      <c r="J8847" t="inlineStr">
        <is>
          <t>Ngân hàng</t>
        </is>
      </c>
      <c r="K8847" t="inlineStr">
        <is>
          <t>1 - 5 Năm</t>
        </is>
      </c>
      <c r="L8847" s="8">
        <f>HYPERLINK("https://careerviet.vn/vi/tim-viec-lam/kvh-p-kho-quy_chuyen-vien-cao-cap-quan-ly-dich-vu-kho-quy.35C6A564.html","Xem chi tiết")</f>
        <v/>
      </c>
    </row>
    <row r="8848">
      <c r="B8848" s="9" t="n">
        <v>8846</v>
      </c>
      <c r="C8848" s="10" t="inlineStr">
        <is>
          <t>Quản lý vận hành Trung tâm thương mại</t>
        </is>
      </c>
      <c r="D8848" s="10" t="inlineStr">
        <is>
          <t>Công ty Cổ phần thực phẩm và đồ uống Barett</t>
        </is>
      </c>
      <c r="E8848" s="10" t="inlineStr">
        <is>
          <t>Lương:25 Tr - 30 Tr VND</t>
        </is>
      </c>
      <c r="F8848" s="10" t="inlineStr">
        <is>
          <t>Đà Nẵng</t>
        </is>
      </c>
      <c r="G8848" s="10" t="inlineStr">
        <is>
          <t>31-03-2026</t>
        </is>
      </c>
      <c r="H8848" s="10" t="inlineStr">
        <is>
          <t>31/03/2026</t>
        </is>
      </c>
      <c r="I8848" s="10" t="inlineStr">
        <is>
          <t>17/03/2026</t>
        </is>
      </c>
      <c r="J8848" s="10" t="inlineStr">
        <is>
          <t>Quản lý điều hành, Dịch vụ khách hàng, Bất động sản</t>
        </is>
      </c>
      <c r="K8848" s="10" t="inlineStr">
        <is>
          <t>5 - 7 Năm</t>
        </is>
      </c>
      <c r="L8848" s="11">
        <f>HYPERLINK("https://careerviet.vn/vi/tim-viec-lam/quan-ly-van-hanh-trung-tam-thuong-mai.35C6A675.html","Xem chi tiết")</f>
        <v/>
      </c>
      <c r="M8848" s="10" t="n"/>
    </row>
    <row r="8849">
      <c r="B8849" s="7" t="n">
        <v>8847</v>
      </c>
      <c r="C8849" t="inlineStr">
        <is>
          <t>GIÁM ĐỐC ĐẦU TƯ</t>
        </is>
      </c>
      <c r="D8849" t="inlineStr">
        <is>
          <t>CÔNG TY CỔ PHẦN TẬP ĐOÀN QP</t>
        </is>
      </c>
      <c r="E8849" t="inlineStr">
        <is>
          <t>Lương:Cạnh tranh</t>
        </is>
      </c>
      <c r="F8849" t="inlineStr">
        <is>
          <t>Hồ Chí Minh</t>
        </is>
      </c>
      <c r="G8849" t="inlineStr">
        <is>
          <t>30-04-2026</t>
        </is>
      </c>
      <c r="H8849" t="inlineStr">
        <is>
          <t>30/04/2026</t>
        </is>
      </c>
      <c r="I8849" t="inlineStr">
        <is>
          <t>17/03/2026</t>
        </is>
      </c>
      <c r="J8849" t="inlineStr">
        <is>
          <t>Tài chính / Đầu tư, Bất động sản, Quản lý điều hànhBằng cấpĐại họcĐộ tuổi35 - 45</t>
        </is>
      </c>
      <c r="K8849" t="inlineStr">
        <is>
          <t>N/A</t>
        </is>
      </c>
      <c r="L8849" s="8">
        <f>HYPERLINK("https://careerviet.vn/vi/tim-viec-lam/giam-doc-dau-tu.35C6A3B6.html","Xem chi tiết")</f>
        <v/>
      </c>
    </row>
    <row r="8850">
      <c r="B8850" s="9" t="n">
        <v>8848</v>
      </c>
      <c r="C8850" s="10" t="inlineStr">
        <is>
          <t>Kỹ Sư Kinh Doanh (Thiết Bị Đào Tạo Kỹ Thuật)</t>
        </is>
      </c>
      <c r="D8850" s="10" t="inlineStr">
        <is>
          <t>Công ty Cổ phần Giải pháp Tự động hóa ETEK</t>
        </is>
      </c>
      <c r="E8850" s="10" t="inlineStr">
        <is>
          <t>Lương:10 Tr - 15 Tr VND</t>
        </is>
      </c>
      <c r="F8850" s="10" t="inlineStr">
        <is>
          <t>Hà NộiHồ Chí Minh</t>
        </is>
      </c>
      <c r="G8850" s="10" t="inlineStr">
        <is>
          <t>31-03-2026</t>
        </is>
      </c>
      <c r="H8850" s="10" t="inlineStr">
        <is>
          <t>31/03/2026</t>
        </is>
      </c>
      <c r="I8850" s="10" t="inlineStr">
        <is>
          <t>17/03/2026</t>
        </is>
      </c>
      <c r="J8850" s="10" t="inlineStr">
        <is>
          <t>Bán hàng / Kinh doanh, Tư vấn, Bán Hàng Kỹ Thuật</t>
        </is>
      </c>
      <c r="K8850" s="10" t="inlineStr">
        <is>
          <t>N/A</t>
        </is>
      </c>
      <c r="L8850" s="11">
        <f>HYPERLINK("https://careerviet.vn/vi/tim-viec-lam/ky-su-kinh-doanh-thiet-bi-dao-tao-ky-thuat.35C6A4E8.html","Xem chi tiết")</f>
        <v/>
      </c>
      <c r="M8850" s="10" t="n"/>
    </row>
    <row r="8851">
      <c r="B8851" s="7" t="n">
        <v>8849</v>
      </c>
      <c r="C8851" t="inlineStr">
        <is>
          <t>Nhân Viên Hành Chính Nhân Sự</t>
        </is>
      </c>
      <c r="D8851" t="inlineStr">
        <is>
          <t>CÔNG TY CỔ PHẦN TẬP ĐOÀN ONSEN FUJI</t>
        </is>
      </c>
      <c r="E8851" t="inlineStr">
        <is>
          <t>Lương:Cạnh tranh</t>
        </is>
      </c>
      <c r="F8851" t="inlineStr">
        <is>
          <t>Hà Nội</t>
        </is>
      </c>
      <c r="G8851" t="inlineStr">
        <is>
          <t>01-04-2026</t>
        </is>
      </c>
      <c r="H8851" t="inlineStr">
        <is>
          <t>01/04/2026</t>
        </is>
      </c>
      <c r="I8851" t="inlineStr">
        <is>
          <t>17/03/2026</t>
        </is>
      </c>
      <c r="J8851" t="inlineStr">
        <is>
          <t>Hành chính / Thư ký</t>
        </is>
      </c>
      <c r="K8851" t="inlineStr">
        <is>
          <t>3 - 5 Năm</t>
        </is>
      </c>
      <c r="L8851" s="8">
        <f>HYPERLINK("https://careerviet.vn/vi/tim-viec-lam/nhan-vien-hanh-chinh-nhan-su.35C6A563.html","Xem chi tiết")</f>
        <v/>
      </c>
    </row>
    <row r="8852">
      <c r="B8852" s="9" t="n">
        <v>8850</v>
      </c>
      <c r="C8852" s="10" t="inlineStr">
        <is>
          <t>Kỹ sư công trình hiện trường (biết tiếng Trung), mức lương 30-35tr</t>
        </is>
      </c>
      <c r="D8852" s="10" t="inlineStr">
        <is>
          <t>CÔNG TY TNHH CNBM VIỆT NAM</t>
        </is>
      </c>
      <c r="E8852" s="10" t="inlineStr">
        <is>
          <t>Lương:30 Tr - 35 Tr VND</t>
        </is>
      </c>
      <c r="F8852" s="10" t="inlineStr">
        <is>
          <t>Hồ Chí Minh</t>
        </is>
      </c>
      <c r="G8852" s="10" t="inlineStr">
        <is>
          <t>01-04-2026</t>
        </is>
      </c>
      <c r="H8852" s="10" t="inlineStr">
        <is>
          <t>01/04/2026</t>
        </is>
      </c>
      <c r="I8852" s="10" t="inlineStr">
        <is>
          <t>17/03/2026</t>
        </is>
      </c>
      <c r="J8852" s="10" t="inlineStr">
        <is>
          <t>Xây dựng, Quản lý điều hành, Bất động sản</t>
        </is>
      </c>
      <c r="K8852" s="10" t="inlineStr">
        <is>
          <t>2 - 3 Năm</t>
        </is>
      </c>
      <c r="L8852" s="11">
        <f>HYPERLINK("https://careerviet.vn/vi/tim-viec-lam/ky-su-cong-trinh-hien-truong-biet-tieng-trung-muc-luong-30-35tr.35C6A472.html","Xem chi tiết")</f>
        <v/>
      </c>
      <c r="M8852" s="10" t="n"/>
    </row>
    <row r="8853">
      <c r="B8853" s="7" t="n">
        <v>8851</v>
      </c>
      <c r="C8853" t="inlineStr">
        <is>
          <t>Thư ký Tổng Giám đốc</t>
        </is>
      </c>
      <c r="D8853" t="inlineStr">
        <is>
          <t>PVInvest - Công Ty Cổ Phần Đầu Tư và Kinh doanh Bất Động Sản Phương Việt</t>
        </is>
      </c>
      <c r="E8853" t="inlineStr">
        <is>
          <t>Lương:Cạnh tranh</t>
        </is>
      </c>
      <c r="F8853" t="inlineStr">
        <is>
          <t>Hồ Chí Minh</t>
        </is>
      </c>
      <c r="G8853" t="inlineStr">
        <is>
          <t>31-03-2026</t>
        </is>
      </c>
      <c r="H8853" t="inlineStr">
        <is>
          <t>31/03/2026</t>
        </is>
      </c>
      <c r="I8853" t="inlineStr">
        <is>
          <t>17/03/2026</t>
        </is>
      </c>
      <c r="J8853" t="inlineStr">
        <is>
          <t>Hành chính / Thư ký, Bất động sản, Luật / Pháp lý</t>
        </is>
      </c>
      <c r="K8853" t="inlineStr">
        <is>
          <t>2 - 6 Năm</t>
        </is>
      </c>
      <c r="L8853" s="8">
        <f>HYPERLINK("https://careerviet.vn/vi/tim-viec-lam/thu-ky-tong-giam-doc.35C6A40F.html","Xem chi tiết")</f>
        <v/>
      </c>
    </row>
    <row r="8854">
      <c r="B8854" s="9" t="n">
        <v>8852</v>
      </c>
      <c r="C8854" s="10" t="inlineStr">
        <is>
          <t>Chuyên Viên Quản Lý Tài Sản</t>
        </is>
      </c>
      <c r="D8854" s="10" t="inlineStr">
        <is>
          <t>Công Ty Cổ Phần Cơ Khí Xây Dựng Thương Mại Đại Dũng</t>
        </is>
      </c>
      <c r="E8854" s="10" t="inlineStr">
        <is>
          <t>Lương:Cạnh tranh</t>
        </is>
      </c>
      <c r="F8854" s="10" t="inlineStr">
        <is>
          <t>Hồ Chí Minh</t>
        </is>
      </c>
      <c r="G8854" s="10" t="inlineStr">
        <is>
          <t>03-04-2026</t>
        </is>
      </c>
      <c r="H8854" s="10" t="inlineStr">
        <is>
          <t>03/04/2026</t>
        </is>
      </c>
      <c r="I8854" s="10" t="inlineStr">
        <is>
          <t>17/03/2026</t>
        </is>
      </c>
      <c r="J8854" s="10" t="inlineStr">
        <is>
          <t>Hành chính / Thư ký, Kế toán / Kiểm toán, Xây dựng</t>
        </is>
      </c>
      <c r="K8854" s="10" t="inlineStr">
        <is>
          <t>3 - 5 Năm</t>
        </is>
      </c>
      <c r="L8854" s="11">
        <f>HYPERLINK("https://careerviet.vn/vi/tim-viec-lam/chuyen-vien-quan-ly-tai-san.35C6A61A.html","Xem chi tiết")</f>
        <v/>
      </c>
      <c r="M8854" s="10" t="n"/>
    </row>
    <row r="8855">
      <c r="B8855" s="7" t="n">
        <v>8853</v>
      </c>
      <c r="C8855" t="inlineStr">
        <is>
          <t>VIDEOGRAPHER / VIDEO CREATOR</t>
        </is>
      </c>
      <c r="D8855" t="inlineStr">
        <is>
          <t>GLO365 CLINIC</t>
        </is>
      </c>
      <c r="E8855" t="inlineStr">
        <is>
          <t>Lương:Cạnh tranh</t>
        </is>
      </c>
      <c r="F8855" t="inlineStr">
        <is>
          <t>Hồ Chí Minh</t>
        </is>
      </c>
      <c r="G8855" t="inlineStr">
        <is>
          <t>31-03-2026</t>
        </is>
      </c>
      <c r="H8855" t="inlineStr">
        <is>
          <t>31/03/2026</t>
        </is>
      </c>
      <c r="I8855" t="inlineStr">
        <is>
          <t>17/03/2026</t>
        </is>
      </c>
      <c r="J8855" t="inlineStr">
        <is>
          <t>Y tế / Chăm sóc sức khỏe / Thẩm mỹ / Làm đẹp, Tiếp thị / Marketing</t>
        </is>
      </c>
      <c r="K8855" t="inlineStr">
        <is>
          <t>1 - 2 Năm</t>
        </is>
      </c>
      <c r="L8855" s="8">
        <f>HYPERLINK("https://careerviet.vn/vi/tim-viec-lam/videographer-video-creator.35C6A499.html","Xem chi tiết")</f>
        <v/>
      </c>
    </row>
    <row r="8856">
      <c r="B8856" s="9" t="n">
        <v>8854</v>
      </c>
      <c r="C8856" s="10" t="inlineStr">
        <is>
          <t>[GIA LAI} - NHÂN VIÊN KINH DOANH (KÊNH GT)</t>
        </is>
      </c>
      <c r="D8856" s="10" t="inlineStr">
        <is>
          <t>Công ty Cổ phần TM-SX-DV Gia Thịnh Phát</t>
        </is>
      </c>
      <c r="E8856" s="10" t="inlineStr">
        <is>
          <t>Lương:10 Tr - 20 Tr VND</t>
        </is>
      </c>
      <c r="F8856" s="10" t="inlineStr">
        <is>
          <t>Gia Lai</t>
        </is>
      </c>
      <c r="G8856" s="10" t="inlineStr">
        <is>
          <t>02-04-2026</t>
        </is>
      </c>
      <c r="H8856" s="10" t="inlineStr">
        <is>
          <t>02/04/2026</t>
        </is>
      </c>
      <c r="I8856" s="10" t="inlineStr">
        <is>
          <t>17/03/2026</t>
        </is>
      </c>
      <c r="J8856" s="10" t="inlineStr">
        <is>
          <t>Bán lẻ / Bán sỉ, Bán hàng / Kinh doanh, Thực phẩm &amp; Đồ uống</t>
        </is>
      </c>
      <c r="K8856" s="10" t="inlineStr">
        <is>
          <t>1 - 3 Năm</t>
        </is>
      </c>
      <c r="L8856" s="11">
        <f>HYPERLINK("https://careerviet.vn/vi/tim-viec-lam/gia-lai-nhan-vien-kinh-doanh-kenh-gt.35C6A33E.html","Xem chi tiết")</f>
        <v/>
      </c>
      <c r="M8856" s="10" t="n"/>
    </row>
    <row r="8857">
      <c r="B8857" s="7" t="n">
        <v>8855</v>
      </c>
      <c r="C8857" t="inlineStr">
        <is>
          <t>Report Typist (Toys &amp; Furniture)</t>
        </is>
      </c>
      <c r="D8857" t="inlineStr">
        <is>
          <t>Cty SGS Việt Nam TNHH</t>
        </is>
      </c>
      <c r="E8857" t="inlineStr">
        <is>
          <t>Lương:Cạnh tranh</t>
        </is>
      </c>
      <c r="F8857" t="inlineStr">
        <is>
          <t>Hồ Chí Minh</t>
        </is>
      </c>
      <c r="G8857" t="inlineStr">
        <is>
          <t>02-04-2026</t>
        </is>
      </c>
      <c r="H8857" t="inlineStr">
        <is>
          <t>02/04/2026</t>
        </is>
      </c>
      <c r="I8857" t="inlineStr">
        <is>
          <t>17/03/2026</t>
        </is>
      </c>
      <c r="J8857" t="inlineStr">
        <is>
          <t>Hành chính / Thư ký, Bán Hàng Kỹ Thuật, Cơ khí / Ô tô / Tự động hóa</t>
        </is>
      </c>
      <c r="K8857" t="inlineStr">
        <is>
          <t>Chưa có kinh nghiệm</t>
        </is>
      </c>
      <c r="L8857" s="8">
        <f>HYPERLINK("https://careerviet.vn/vi/tim-viec-lam/report-typist-toys-furniture.35C6A4CB.html","Xem chi tiết")</f>
        <v/>
      </c>
    </row>
    <row r="8858">
      <c r="B8858" s="9" t="n">
        <v>8856</v>
      </c>
      <c r="C8858" s="10" t="inlineStr">
        <is>
          <t>CHUYÊN VIÊN TƯ VẤN ĐẦU TƯ CHỨNG KHOÁN (ĐỒNG NAI)</t>
        </is>
      </c>
      <c r="D8858" s="10" t="inlineStr">
        <is>
          <t>VDSC - Công ty CP Chứng khoán Rồng Việt</t>
        </is>
      </c>
      <c r="E8858" s="10" t="inlineStr">
        <is>
          <t>Lương:7 Tr - 20 Tr VND</t>
        </is>
      </c>
      <c r="F8858" s="10" t="inlineStr">
        <is>
          <t>Đồng Nai</t>
        </is>
      </c>
      <c r="G8858" s="10" t="inlineStr">
        <is>
          <t>30-04-2026</t>
        </is>
      </c>
      <c r="H8858" s="10" t="inlineStr">
        <is>
          <t>30/04/2026</t>
        </is>
      </c>
      <c r="I8858" s="10" t="inlineStr">
        <is>
          <t>17/03/2026</t>
        </is>
      </c>
      <c r="J8858" s="10" t="inlineStr">
        <is>
          <t>Ngân hàng, Chứng khoán, Tài chính / Đầu tư</t>
        </is>
      </c>
      <c r="K8858" s="10" t="inlineStr">
        <is>
          <t>Trên 1 Năm</t>
        </is>
      </c>
      <c r="L8858" s="11">
        <f>HYPERLINK("https://careerviet.vn/vi/tim-viec-lam/chuyen-vien-tu-van-dau-tu-chung-khoan-dong-nai.35C6A330.html","Xem chi tiết")</f>
        <v/>
      </c>
      <c r="M8858" s="10" t="n"/>
    </row>
    <row r="8859">
      <c r="B8859" s="7" t="n">
        <v>8857</v>
      </c>
      <c r="C8859" t="inlineStr">
        <is>
          <t>Kế Toán Công Trình</t>
        </is>
      </c>
      <c r="D8859" t="inlineStr">
        <is>
          <t>CÔNG TY CỔ PHẦN PHÁT TRIỂN INNOVATION TECHNOLOGY</t>
        </is>
      </c>
      <c r="E8859" t="inlineStr">
        <is>
          <t>Lương:Cạnh tranh</t>
        </is>
      </c>
      <c r="F8859" t="inlineStr">
        <is>
          <t>Hồ Chí Minh</t>
        </is>
      </c>
      <c r="G8859" t="inlineStr">
        <is>
          <t>30-03-2026</t>
        </is>
      </c>
      <c r="H8859" t="inlineStr">
        <is>
          <t>30/03/2026</t>
        </is>
      </c>
      <c r="I8859" t="inlineStr">
        <is>
          <t>17/03/2026</t>
        </is>
      </c>
      <c r="J8859" t="inlineStr">
        <is>
          <t>Kế toán / Kiểm toán, Điện / Điện tử / Điện lạnh / Điện công nghiệp, Thương mại điện tử</t>
        </is>
      </c>
      <c r="K8859" t="inlineStr">
        <is>
          <t>Lên đến 1 Năm</t>
        </is>
      </c>
      <c r="L8859" s="8">
        <f>HYPERLINK("https://careerviet.vn/vi/tim-viec-lam/ke-toan-cong-trinh.35C6A495.html","Xem chi tiết")</f>
        <v/>
      </c>
    </row>
    <row r="8860">
      <c r="B8860" s="9" t="n">
        <v>8858</v>
      </c>
      <c r="C8860" s="10" t="inlineStr">
        <is>
          <t>Kế toán Quản trị</t>
        </is>
      </c>
      <c r="D8860" s="10" t="inlineStr">
        <is>
          <t>UNIEXPORT CO., LTD</t>
        </is>
      </c>
      <c r="E8860" s="10" t="inlineStr">
        <is>
          <t>Lương:Cạnh tranh</t>
        </is>
      </c>
      <c r="F8860" s="10" t="inlineStr">
        <is>
          <t>Hồ Chí Minh</t>
        </is>
      </c>
      <c r="G8860" s="10" t="inlineStr">
        <is>
          <t>31-03-2026</t>
        </is>
      </c>
      <c r="H8860" s="10" t="inlineStr">
        <is>
          <t>31/03/2026</t>
        </is>
      </c>
      <c r="I8860" s="10" t="inlineStr">
        <is>
          <t>17/03/2026</t>
        </is>
      </c>
      <c r="J8860" s="10" t="inlineStr">
        <is>
          <t>Kế toán / Kiểm toán, Xuất nhập khẩu, Sản xuất / Vận hành sản xuất</t>
        </is>
      </c>
      <c r="K8860" s="10" t="inlineStr">
        <is>
          <t>4 - 5 Năm</t>
        </is>
      </c>
      <c r="L8860" s="11">
        <f>HYPERLINK("https://careerviet.vn/vi/tim-viec-lam/ke-toan-quan-tri.35C694AD.html","Xem chi tiết")</f>
        <v/>
      </c>
      <c r="M8860" s="10" t="n"/>
    </row>
    <row r="8861">
      <c r="B8861" s="7" t="n">
        <v>8859</v>
      </c>
      <c r="C8861" t="inlineStr">
        <is>
          <t>Sample Grinding Staff - Food Lab</t>
        </is>
      </c>
      <c r="D8861" t="inlineStr">
        <is>
          <t>Cty SGS Việt Nam TNHH</t>
        </is>
      </c>
      <c r="E8861" t="inlineStr">
        <is>
          <t>Lương:Cạnh tranh</t>
        </is>
      </c>
      <c r="F8861" t="inlineStr">
        <is>
          <t>Hồ Chí Minh</t>
        </is>
      </c>
      <c r="G8861" t="inlineStr">
        <is>
          <t>31-03-2026</t>
        </is>
      </c>
      <c r="H8861" t="inlineStr">
        <is>
          <t>31/03/2026</t>
        </is>
      </c>
      <c r="I8861" t="inlineStr">
        <is>
          <t>17/03/2026</t>
        </is>
      </c>
      <c r="J8861" t="inlineStr">
        <is>
          <t>Lao động phổ thông</t>
        </is>
      </c>
      <c r="K8861" t="inlineStr">
        <is>
          <t>Chưa có kinh nghiệm</t>
        </is>
      </c>
      <c r="L8861" s="8">
        <f>HYPERLINK("https://careerviet.vn/vi/tim-viec-lam/sample-grinding-staff-food-lab.35C6A485.html","Xem chi tiết")</f>
        <v/>
      </c>
    </row>
    <row r="8862">
      <c r="B8862" s="9" t="n">
        <v>8860</v>
      </c>
      <c r="C8862" s="10" t="inlineStr">
        <is>
          <t>Chuyên viên C&amp;B</t>
        </is>
      </c>
      <c r="D8862" s="10" t="inlineStr">
        <is>
          <t>Công Ty Cổ Phần Thép Việt Xô Hà Nội</t>
        </is>
      </c>
      <c r="E8862" s="10" t="inlineStr">
        <is>
          <t>Lương:14 Tr - 16 Tr VND</t>
        </is>
      </c>
      <c r="F8862" s="10" t="inlineStr">
        <is>
          <t>Hà Nội</t>
        </is>
      </c>
      <c r="G8862" s="10" t="inlineStr">
        <is>
          <t>03-04-2026</t>
        </is>
      </c>
      <c r="H8862" s="10" t="inlineStr">
        <is>
          <t>03/04/2026</t>
        </is>
      </c>
      <c r="I8862" s="10" t="inlineStr">
        <is>
          <t>17/03/2026</t>
        </is>
      </c>
      <c r="J8862" s="10" t="inlineStr">
        <is>
          <t>Nhân sự</t>
        </is>
      </c>
      <c r="K8862" s="10" t="inlineStr">
        <is>
          <t>2 - 3 Năm</t>
        </is>
      </c>
      <c r="L8862" s="11">
        <f>HYPERLINK("https://careerviet.vn/vi/tim-viec-lam/chuyen-vien-c-b.35C6A462.html","Xem chi tiết")</f>
        <v/>
      </c>
      <c r="M8862" s="10" t="n"/>
    </row>
    <row r="8863">
      <c r="B8863" s="7" t="n">
        <v>8861</v>
      </c>
      <c r="C8863" t="inlineStr">
        <is>
          <t>Kỹ Sư Vận Hành (KCN Biên Hòa 2)</t>
        </is>
      </c>
      <c r="D8863" t="inlineStr">
        <is>
          <t>Cargill Vietnam</t>
        </is>
      </c>
      <c r="E8863" t="inlineStr">
        <is>
          <t>Lương:Cạnh tranh</t>
        </is>
      </c>
      <c r="F8863" t="inlineStr">
        <is>
          <t>Đồng Nai</t>
        </is>
      </c>
      <c r="G8863" t="inlineStr">
        <is>
          <t>31-03-2026</t>
        </is>
      </c>
      <c r="H8863" t="inlineStr">
        <is>
          <t>31/03/2026</t>
        </is>
      </c>
      <c r="I8863" t="inlineStr">
        <is>
          <t>17/03/2026</t>
        </is>
      </c>
      <c r="J8863" t="inlineStr">
        <is>
          <t>Nông nghiệp, Bảo trì / Sửa chữa, Sản xuất / Vận hành sản xuất</t>
        </is>
      </c>
      <c r="K8863" t="inlineStr">
        <is>
          <t>N/A</t>
        </is>
      </c>
      <c r="L8863" s="8">
        <f>HYPERLINK("https://careerviet.vn/vi/tim-viec-lam/ky-su-van-hanh-kcn-bien-hoa-2.35C69CCD.html","Xem chi tiết")</f>
        <v/>
      </c>
    </row>
    <row r="8864">
      <c r="B8864" s="9" t="n">
        <v>8862</v>
      </c>
      <c r="C8864" s="10" t="inlineStr">
        <is>
          <t>Nhân Viên Kinh Doanh - Marketing</t>
        </is>
      </c>
      <c r="D8864" s="10" t="inlineStr">
        <is>
          <t>CÔNG TY TNHH LED TIẾN THÀNH</t>
        </is>
      </c>
      <c r="E8864" s="10" t="inlineStr">
        <is>
          <t>Lương:Cạnh tranh</t>
        </is>
      </c>
      <c r="F8864" s="10" t="inlineStr">
        <is>
          <t>Hồ Chí Minh</t>
        </is>
      </c>
      <c r="G8864" s="10" t="inlineStr">
        <is>
          <t>02-04-2026</t>
        </is>
      </c>
      <c r="H8864" s="10" t="inlineStr">
        <is>
          <t>02/04/2026</t>
        </is>
      </c>
      <c r="I8864" s="10" t="inlineStr">
        <is>
          <t>17/03/2026</t>
        </is>
      </c>
      <c r="J8864" s="10" t="inlineStr">
        <is>
          <t>Bán hàng / Kinh doanh, Tiếp thị / Marketing, Bán lẻ / Bán sỉ</t>
        </is>
      </c>
      <c r="K8864" s="10" t="inlineStr">
        <is>
          <t>Trên 1 Năm</t>
        </is>
      </c>
      <c r="L8864" s="11">
        <f>HYPERLINK("https://careerviet.vn/vi/tim-viec-lam/nhan-vien-kinh-doanh-marketing.35C6A618.html","Xem chi tiết")</f>
        <v/>
      </c>
      <c r="M8864" s="10" t="n"/>
    </row>
    <row r="8865">
      <c r="B8865" s="7" t="n">
        <v>8863</v>
      </c>
      <c r="C8865" t="inlineStr">
        <is>
          <t>Merchandiser</t>
        </is>
      </c>
      <c r="D8865" t="inlineStr">
        <is>
          <t>HỘ KINH DOANH MONO TALK</t>
        </is>
      </c>
      <c r="E8865" t="inlineStr">
        <is>
          <t>Lương:Cạnh tranh</t>
        </is>
      </c>
      <c r="F8865" t="inlineStr">
        <is>
          <t>Hà Nội</t>
        </is>
      </c>
      <c r="G8865" t="inlineStr">
        <is>
          <t>31-03-2026</t>
        </is>
      </c>
      <c r="H8865" t="inlineStr">
        <is>
          <t>31/03/2026</t>
        </is>
      </c>
      <c r="I8865" t="inlineStr">
        <is>
          <t>17/03/2026</t>
        </is>
      </c>
      <c r="J8865" t="inlineStr">
        <is>
          <t>Bán hàng / Kinh doanh, Thương mại điện tử, Dệt may / Da giày / Thời trang</t>
        </is>
      </c>
      <c r="K8865" t="inlineStr">
        <is>
          <t>1 - 2 Năm</t>
        </is>
      </c>
      <c r="L8865" s="8">
        <f>HYPERLINK("https://careerviet.vn/vi/tim-viec-lam/merchandiser.35C6A49D.html","Xem chi tiết")</f>
        <v/>
      </c>
    </row>
    <row r="8866">
      <c r="B8866" s="9" t="n">
        <v>8864</v>
      </c>
      <c r="C8866" s="10" t="inlineStr">
        <is>
          <t>QC staff (QC line chả giò)</t>
        </is>
      </c>
      <c r="D8866" s="10" t="inlineStr">
        <is>
          <t>Công Ty TNHH CJ Foods Việt Nam</t>
        </is>
      </c>
      <c r="E8866" s="10" t="inlineStr">
        <is>
          <t>Lương:Cạnh tranh</t>
        </is>
      </c>
      <c r="F8866" s="10" t="inlineStr">
        <is>
          <t>Long An</t>
        </is>
      </c>
      <c r="G8866" s="10" t="inlineStr">
        <is>
          <t>04-04-2026</t>
        </is>
      </c>
      <c r="H8866" s="10" t="inlineStr">
        <is>
          <t>04/04/2026</t>
        </is>
      </c>
      <c r="I8866" s="10" t="inlineStr">
        <is>
          <t>17/03/2026</t>
        </is>
      </c>
      <c r="J8866" s="10" t="inlineStr">
        <is>
          <t>Công nghệ thực phẩm / Dinh dưỡng, Sản xuất / Vận hành sản xuất, Quản lý chất lượng (QA/QC)</t>
        </is>
      </c>
      <c r="K8866" s="10" t="inlineStr">
        <is>
          <t>2 - 4 Năm</t>
        </is>
      </c>
      <c r="L8866" s="11">
        <f>HYPERLINK("https://careerviet.vn/vi/tim-viec-lam/qc-staff-qc-line-cha-gio.35C6A46E.html","Xem chi tiết")</f>
        <v/>
      </c>
      <c r="M8866" s="10" t="n"/>
    </row>
    <row r="8867">
      <c r="B8867" s="7" t="n">
        <v>8865</v>
      </c>
      <c r="C8867" t="inlineStr">
        <is>
          <t>Nhân viên Kế hoạch/Đấu thầu/QS (Cầu/Đường/Thuỷ Lợi)</t>
        </is>
      </c>
      <c r="D8867" t="inlineStr">
        <is>
          <t>CÔNG TY CỔ PHẦN ĐẦU TƯ TÂN ĐẠI LONG</t>
        </is>
      </c>
      <c r="E8867" t="inlineStr">
        <is>
          <t>Lương:13 Tr - 20 Tr VND</t>
        </is>
      </c>
      <c r="F8867" t="inlineStr">
        <is>
          <t>Hà Nội</t>
        </is>
      </c>
      <c r="G8867" t="inlineStr">
        <is>
          <t>15-04-2026</t>
        </is>
      </c>
      <c r="H8867" t="inlineStr">
        <is>
          <t>15/04/2026</t>
        </is>
      </c>
      <c r="I8867" t="inlineStr">
        <is>
          <t>17/03/2026</t>
        </is>
      </c>
      <c r="J8867" t="inlineStr">
        <is>
          <t>Xây dựng, Thủy lợi, Trắc địa / Địa Chất</t>
        </is>
      </c>
      <c r="K8867" t="inlineStr">
        <is>
          <t>Trên 2 Năm</t>
        </is>
      </c>
      <c r="L8867" s="8">
        <f>HYPERLINK("https://careerviet.vn/vi/tim-viec-lam/nhan-vien-ke-hoach-dau-thau-qs-cau-duong-thuy-loi.35C6A45D.html","Xem chi tiết")</f>
        <v/>
      </c>
    </row>
    <row r="8868">
      <c r="B8868" s="9" t="n">
        <v>8866</v>
      </c>
      <c r="C8868" s="10" t="inlineStr">
        <is>
          <t>Chuyên viên Hành chính nhân sự (Mạnh Tuyển dụng)</t>
        </is>
      </c>
      <c r="D8868" s="10" t="inlineStr">
        <is>
          <t>CÔNG TY CỔ PHẦN TẬP ĐOÀN GIOVANNI VIỆT NAM</t>
        </is>
      </c>
      <c r="E8868" s="10" t="inlineStr">
        <is>
          <t>Lương:10 Tr - 15 Tr VND</t>
        </is>
      </c>
      <c r="F8868" s="10" t="inlineStr">
        <is>
          <t>Vĩnh Phúc</t>
        </is>
      </c>
      <c r="G8868" s="10" t="inlineStr">
        <is>
          <t>01-04-2026</t>
        </is>
      </c>
      <c r="H8868" s="10" t="inlineStr">
        <is>
          <t>01/04/2026</t>
        </is>
      </c>
      <c r="I8868" s="10" t="inlineStr">
        <is>
          <t>17/03/2026</t>
        </is>
      </c>
      <c r="J8868" s="10" t="inlineStr">
        <is>
          <t>Nhân sự, Hành chính / Thư ký, Sản xuất / Vận hành sản xuất</t>
        </is>
      </c>
      <c r="K8868" s="10" t="inlineStr">
        <is>
          <t>2 - 3 Năm</t>
        </is>
      </c>
      <c r="L8868" s="11">
        <f>HYPERLINK("https://careerviet.vn/vi/tim-viec-lam/chuyen-vien-hanh-chinh-nhan-su-manh-tuyen-dung.35C6A2FD.html","Xem chi tiết")</f>
        <v/>
      </c>
      <c r="M8868" s="10" t="n"/>
    </row>
    <row r="8869">
      <c r="B8869" s="7" t="n">
        <v>8867</v>
      </c>
      <c r="C8869" t="inlineStr">
        <is>
          <t>UI/LP DESIGNER (CONTRACT</t>
        </is>
      </c>
      <c r="D8869" t="inlineStr">
        <is>
          <t>Công ty TNHH TOM Group Việt Nam</t>
        </is>
      </c>
      <c r="E8869" t="inlineStr">
        <is>
          <t>Lương:Cạnh tranh</t>
        </is>
      </c>
      <c r="F8869" t="inlineStr">
        <is>
          <t>Hồ Chí Minh</t>
        </is>
      </c>
      <c r="G8869" t="inlineStr">
        <is>
          <t>16-04-2026</t>
        </is>
      </c>
      <c r="H8869" t="inlineStr">
        <is>
          <t>16/04/2026</t>
        </is>
      </c>
      <c r="I8869" t="inlineStr">
        <is>
          <t>17/03/2026</t>
        </is>
      </c>
      <c r="J8869" t="inlineStr">
        <is>
          <t>Tiếp thị / Marketing, Bán hàng / Kinh doanh</t>
        </is>
      </c>
      <c r="K8869" t="inlineStr">
        <is>
          <t>2 - 4 Năm</t>
        </is>
      </c>
      <c r="L8869" s="8">
        <f>HYPERLINK("https://careerviet.vn/vi/tim-viec-lam/ui-lp-designer-contract.35C6A400.html","Xem chi tiết")</f>
        <v/>
      </c>
    </row>
    <row r="8870">
      <c r="B8870" s="9" t="n">
        <v>8868</v>
      </c>
      <c r="C8870" s="10" t="inlineStr">
        <is>
          <t>CHUYÊN VIÊN TƯ VẤN GIÁO DỤC (OCEAN EDU BÚT SƠN) - THU NHẬP HẤP DẪN TỪ 15 TRIỆU/THÁNG</t>
        </is>
      </c>
      <c r="D8870" s="10" t="inlineStr">
        <is>
          <t>Công Ty CP Giáo Dục Đại Dương</t>
        </is>
      </c>
      <c r="E8870" s="10" t="inlineStr">
        <is>
          <t>Lương:Cạnh tranh</t>
        </is>
      </c>
      <c r="F8870" s="10" t="inlineStr">
        <is>
          <t>Thanh Hóa</t>
        </is>
      </c>
      <c r="G8870" s="10" t="inlineStr">
        <is>
          <t>01-04-2026</t>
        </is>
      </c>
      <c r="H8870" s="10" t="inlineStr">
        <is>
          <t>01/04/2026</t>
        </is>
      </c>
      <c r="I8870" s="10" t="inlineStr">
        <is>
          <t>17/03/2026</t>
        </is>
      </c>
      <c r="J8870" s="10" t="inlineStr">
        <is>
          <t>Dịch vụ khách hàng, Giáo dục / Đào tạo, Bán hàng / Kinh doanh</t>
        </is>
      </c>
      <c r="K8870" s="10" t="inlineStr">
        <is>
          <t>Lên đến 1 Năm</t>
        </is>
      </c>
      <c r="L8870" s="11">
        <f>HYPERLINK("https://careerviet.vn/vi/tim-viec-lam/chuyen-vien-tu-van-giao-duc-ocean-edu-but-son-thu-nhap-hap-dan-tu-15-trieu-thang.35C6A450.html","Xem chi tiết")</f>
        <v/>
      </c>
      <c r="M8870" s="10" t="n"/>
    </row>
    <row r="8871">
      <c r="B8871" s="7" t="n">
        <v>8869</v>
      </c>
      <c r="C8871" t="inlineStr">
        <is>
          <t>Lab Technician - Chromatography</t>
        </is>
      </c>
      <c r="D8871" t="inlineStr">
        <is>
          <t>Cty SGS Việt Nam TNHH</t>
        </is>
      </c>
      <c r="E8871" t="inlineStr">
        <is>
          <t>Lương:10 Tr - 11 Tr VND</t>
        </is>
      </c>
      <c r="F8871" t="inlineStr">
        <is>
          <t>Hồ Chí Minh</t>
        </is>
      </c>
      <c r="G8871" t="inlineStr">
        <is>
          <t>31-03-2026</t>
        </is>
      </c>
      <c r="H8871" t="inlineStr">
        <is>
          <t>31/03/2026</t>
        </is>
      </c>
      <c r="I8871" t="inlineStr">
        <is>
          <t>17/03/2026</t>
        </is>
      </c>
      <c r="J8871" t="inlineStr">
        <is>
          <t>Hóa học</t>
        </is>
      </c>
      <c r="K8871" t="inlineStr">
        <is>
          <t>N/A</t>
        </is>
      </c>
      <c r="L8871" s="8">
        <f>HYPERLINK("https://careerviet.vn/vi/tim-viec-lam/lab-technician-chromatography.35C6A482.html","Xem chi tiết")</f>
        <v/>
      </c>
    </row>
    <row r="8872">
      <c r="B8872" s="9" t="n">
        <v>8870</v>
      </c>
      <c r="C8872" s="10" t="inlineStr">
        <is>
          <t>Kỹ sư giám sát ( Công trình xây dựng dân dụng)</t>
        </is>
      </c>
      <c r="D8872" s="10" t="inlineStr">
        <is>
          <t>CÔNG TY CỔ PHẦN GREEN I-PARK</t>
        </is>
      </c>
      <c r="E8872" s="10" t="inlineStr">
        <is>
          <t>Lương:15 Tr - 20 Tr VND</t>
        </is>
      </c>
      <c r="F8872" s="10" t="inlineStr">
        <is>
          <t>Thái BìnhToàn quốcHà Nội</t>
        </is>
      </c>
      <c r="G8872" s="10" t="inlineStr">
        <is>
          <t>31-03-2026</t>
        </is>
      </c>
      <c r="H8872" s="10" t="inlineStr">
        <is>
          <t>31/03/2026</t>
        </is>
      </c>
      <c r="I8872" s="10" t="inlineStr">
        <is>
          <t>17/03/2026</t>
        </is>
      </c>
      <c r="J8872" s="10" t="inlineStr">
        <is>
          <t>Xây dựng, An toàn lao động, Bất động sản</t>
        </is>
      </c>
      <c r="K8872" s="10" t="inlineStr">
        <is>
          <t>2 - 5 Năm</t>
        </is>
      </c>
      <c r="L8872" s="11">
        <f>HYPERLINK("https://careerviet.vn/vi/tim-viec-lam/ky-su-giam-sat-cong-trinh-xay-dung-dan-dung.35C6A2F6.html","Xem chi tiết")</f>
        <v/>
      </c>
      <c r="M8872" s="10" t="n"/>
    </row>
    <row r="8873">
      <c r="B8873" s="7" t="n">
        <v>8871</v>
      </c>
      <c r="C8873" t="inlineStr">
        <is>
          <t>Lab Technician - Open for Fresher</t>
        </is>
      </c>
      <c r="D8873" t="inlineStr">
        <is>
          <t>Cty SGS Việt Nam TNHH</t>
        </is>
      </c>
      <c r="E8873" t="inlineStr">
        <is>
          <t>Lương:Cạnh tranh</t>
        </is>
      </c>
      <c r="F8873" t="inlineStr">
        <is>
          <t>Hồ Chí Minh</t>
        </is>
      </c>
      <c r="G8873" t="inlineStr">
        <is>
          <t>31-03-2026</t>
        </is>
      </c>
      <c r="H8873" t="inlineStr">
        <is>
          <t>31/03/2026</t>
        </is>
      </c>
      <c r="I8873" t="inlineStr">
        <is>
          <t>17/03/2026</t>
        </is>
      </c>
      <c r="J8873" t="inlineStr">
        <is>
          <t>Hóa học</t>
        </is>
      </c>
      <c r="K8873" t="inlineStr">
        <is>
          <t>N/A</t>
        </is>
      </c>
      <c r="L8873" s="8">
        <f>HYPERLINK("https://careerviet.vn/vi/tim-viec-lam/lab-technician-open-for-fresher.35C6A481.html","Xem chi tiết")</f>
        <v/>
      </c>
    </row>
    <row r="8874">
      <c r="B8874" s="9" t="n">
        <v>8872</v>
      </c>
      <c r="C8874" s="10" t="inlineStr">
        <is>
          <t>Giáo Viên Chủ Nhiệm (Ocean Edu Bỉm Sơn) - Trúng Tuyển Đi Làm Luôn</t>
        </is>
      </c>
      <c r="D8874" s="10" t="inlineStr">
        <is>
          <t>Công Ty CP Giáo Dục Đại Dương</t>
        </is>
      </c>
      <c r="E8874" s="10" t="inlineStr">
        <is>
          <t>Lương:Cạnh tranh</t>
        </is>
      </c>
      <c r="F8874" s="10" t="inlineStr">
        <is>
          <t>Thanh Hóa</t>
        </is>
      </c>
      <c r="G8874" s="10" t="inlineStr">
        <is>
          <t>01-04-2026</t>
        </is>
      </c>
      <c r="H8874" s="10" t="inlineStr">
        <is>
          <t>01/04/2026</t>
        </is>
      </c>
      <c r="I8874" s="10" t="inlineStr">
        <is>
          <t>17/03/2026</t>
        </is>
      </c>
      <c r="J8874" s="10" t="inlineStr">
        <is>
          <t>Giáo dục / Đào tạo, Bán hàng / Kinh doanh, Biên phiên dịch</t>
        </is>
      </c>
      <c r="K8874" s="10" t="inlineStr">
        <is>
          <t>Trên 1 Năm</t>
        </is>
      </c>
      <c r="L8874" s="11">
        <f>HYPERLINK("https://careerviet.vn/vi/tim-viec-lam/giao-vien-chu-nhiem-ocean-edu-bim-son-trung-tuyen-di-lam-luon.35C6A447.html","Xem chi tiết")</f>
        <v/>
      </c>
      <c r="M8874" s="10" t="n"/>
    </row>
    <row r="8875">
      <c r="B8875" s="7" t="n">
        <v>8873</v>
      </c>
      <c r="C8875" t="inlineStr">
        <is>
          <t>Kỹ thuật viên Trưởng Chẩn đoán hình ảnh</t>
        </is>
      </c>
      <c r="D8875" t="inlineStr">
        <is>
          <t>CÔNG TY CỔ PHẦN ĐẦU TƯ VÀ DỊCH VỤ Y TẾ THỜI ĐẠI XANH</t>
        </is>
      </c>
      <c r="E8875" t="inlineStr">
        <is>
          <t>Lương:20 Tr - 30 Tr VND</t>
        </is>
      </c>
      <c r="F8875" t="inlineStr">
        <is>
          <t>Hà Nội</t>
        </is>
      </c>
      <c r="G8875" t="inlineStr">
        <is>
          <t>01-05-2026</t>
        </is>
      </c>
      <c r="H8875" t="inlineStr">
        <is>
          <t>01/05/2026</t>
        </is>
      </c>
      <c r="I8875" t="inlineStr">
        <is>
          <t>17/03/2026</t>
        </is>
      </c>
      <c r="J8875" t="inlineStr">
        <is>
          <t>Y tế / Chăm sóc sức khỏe / Thẩm mỹ / Làm đẹp</t>
        </is>
      </c>
      <c r="K8875" t="inlineStr">
        <is>
          <t>5 - 10 Năm</t>
        </is>
      </c>
      <c r="L8875" s="8">
        <f>HYPERLINK("https://careerviet.vn/vi/tim-viec-lam/ky-thuat-vien-truong-chan-doan-hinh-anh.35C6A337.html","Xem chi tiết")</f>
        <v/>
      </c>
    </row>
    <row r="8876">
      <c r="B8876" s="9" t="n">
        <v>8874</v>
      </c>
      <c r="C8876" s="10" t="inlineStr">
        <is>
          <t>Chuyên viên Hành chính</t>
        </is>
      </c>
      <c r="D8876" s="10" t="inlineStr">
        <is>
          <t>Công ty Cổ phần thực phẩm và đồ uống Barett</t>
        </is>
      </c>
      <c r="E8876" s="10" t="inlineStr">
        <is>
          <t>Lương:12 Tr - 14 Tr VND</t>
        </is>
      </c>
      <c r="F8876" s="10" t="inlineStr">
        <is>
          <t>Hưng Yên</t>
        </is>
      </c>
      <c r="G8876" s="10" t="inlineStr">
        <is>
          <t>31-03-2026</t>
        </is>
      </c>
      <c r="H8876" s="10" t="inlineStr">
        <is>
          <t>31/03/2026</t>
        </is>
      </c>
      <c r="I8876" s="10" t="inlineStr">
        <is>
          <t>17/03/2026</t>
        </is>
      </c>
      <c r="J8876" s="10" t="inlineStr">
        <is>
          <t>Hành chính / Thư ký, Nhân sự</t>
        </is>
      </c>
      <c r="K8876" s="10" t="inlineStr">
        <is>
          <t>2 - 3 Năm</t>
        </is>
      </c>
      <c r="L8876" s="11">
        <f>HYPERLINK("https://careerviet.vn/vi/tim-viec-lam/chuyen-vien-hanh-chinh.35C6A660.html","Xem chi tiết")</f>
        <v/>
      </c>
      <c r="M8876" s="10" t="n"/>
    </row>
    <row r="8877">
      <c r="B8877" s="7" t="n">
        <v>8875</v>
      </c>
      <c r="C8877" t="inlineStr">
        <is>
          <t>Nhân viên kinh doanh kênh HORECA (Food Sales Executive)</t>
        </is>
      </c>
      <c r="D8877" t="inlineStr">
        <is>
          <t>CÔNG TY CỔ PHẦN TRU-LIFE VIỆT NAM</t>
        </is>
      </c>
      <c r="E8877" t="inlineStr">
        <is>
          <t>Lương:9 Tr - 15 Tr VND</t>
        </is>
      </c>
      <c r="F8877" t="inlineStr">
        <is>
          <t>Hồ Chí Minh</t>
        </is>
      </c>
      <c r="G8877" t="inlineStr">
        <is>
          <t>30-04-2026</t>
        </is>
      </c>
      <c r="H8877" t="inlineStr">
        <is>
          <t>30/04/2026</t>
        </is>
      </c>
      <c r="I8877" t="inlineStr">
        <is>
          <t>17/03/2026</t>
        </is>
      </c>
      <c r="J8877" t="inlineStr">
        <is>
          <t>Bán hàng / Kinh doanh, Thực phẩm &amp; Đồ uống, Nhà hàng / Khách sạn</t>
        </is>
      </c>
      <c r="K8877" t="inlineStr">
        <is>
          <t>1 - 5 Năm</t>
        </is>
      </c>
      <c r="L8877" s="8">
        <f>HYPERLINK("https://careerviet.vn/vi/tim-viec-lam/nhan-vien-kinh-doanh-kenh-horeca-food-sales-executive.35C6979B.html","Xem chi tiết")</f>
        <v/>
      </c>
    </row>
    <row r="8878">
      <c r="B8878" s="9" t="n">
        <v>8876</v>
      </c>
      <c r="C8878" s="10" t="inlineStr">
        <is>
          <t>[HCM] - NHÂN VIÊN KINH DOANH / NHÂN VIÊN BÁN HÀNG NGUYÊN LIỆU PHA CHẾ</t>
        </is>
      </c>
      <c r="D8878" s="10" t="inlineStr">
        <is>
          <t>Công ty Cổ phần TM-SX-DV Gia Thịnh Phát</t>
        </is>
      </c>
      <c r="E8878" s="10" t="inlineStr">
        <is>
          <t>Lương:10 Tr - 15 Tr VND</t>
        </is>
      </c>
      <c r="F8878" s="10" t="inlineStr">
        <is>
          <t>Hồ Chí Minh</t>
        </is>
      </c>
      <c r="G8878" s="10" t="inlineStr">
        <is>
          <t>01-04-2026</t>
        </is>
      </c>
      <c r="H8878" s="10" t="inlineStr">
        <is>
          <t>01/04/2026</t>
        </is>
      </c>
      <c r="I8878" s="10" t="inlineStr">
        <is>
          <t>17/03/2026</t>
        </is>
      </c>
      <c r="J8878" s="10" t="inlineStr">
        <is>
          <t>Bán lẻ / Bán sỉ, Bán hàng / Kinh doanh, Thực phẩm &amp; Đồ uống</t>
        </is>
      </c>
      <c r="K8878" s="10" t="inlineStr">
        <is>
          <t>1 - 3 Năm</t>
        </is>
      </c>
      <c r="L8878" s="11">
        <f>HYPERLINK("https://careerviet.vn/vi/tim-viec-lam/hcm-nhan-vien-kinh-doanh-nhan-vien-ban-hang-nguyen-lieu-pha-che.35C6A43F.html","Xem chi tiết")</f>
        <v/>
      </c>
      <c r="M8878" s="10" t="n"/>
    </row>
    <row r="8879">
      <c r="B8879" s="7" t="n">
        <v>8877</v>
      </c>
      <c r="C8879" t="inlineStr">
        <is>
          <t>Nhân viên kinh doanh (thị trường)</t>
        </is>
      </c>
      <c r="D8879" t="inlineStr">
        <is>
          <t>CÔNG TY TNHH HORA TECH VIỆT NAM</t>
        </is>
      </c>
      <c r="E8879" t="inlineStr">
        <is>
          <t>Lương:11 Tr - 40 Tr VND</t>
        </is>
      </c>
      <c r="F8879" t="inlineStr">
        <is>
          <t>Bình DươngBà Rịa - Vũng TàuHồ Chí Minh</t>
        </is>
      </c>
      <c r="G8879" t="inlineStr">
        <is>
          <t>31-03-2026</t>
        </is>
      </c>
      <c r="H8879" t="inlineStr">
        <is>
          <t>31/03/2026</t>
        </is>
      </c>
      <c r="I8879" t="inlineStr">
        <is>
          <t>17/03/2026</t>
        </is>
      </c>
      <c r="J8879" t="inlineStr">
        <is>
          <t>Bán lẻ / Bán sỉ, Tiếp thị / Marketing, Bán hàng / Kinh doanh</t>
        </is>
      </c>
      <c r="K8879" t="inlineStr">
        <is>
          <t>3 - 3 Năm</t>
        </is>
      </c>
      <c r="L8879" s="8">
        <f>HYPERLINK("https://careerviet.vn/vi/tim-viec-lam/nhan-vien-kinh-doanh-thi-truong.35C6A0AA.html","Xem chi tiết")</f>
        <v/>
      </c>
    </row>
    <row r="8880">
      <c r="B8880" s="9" t="n">
        <v>8878</v>
      </c>
      <c r="C8880" s="10" t="inlineStr">
        <is>
          <t>Chuyên viên trải nghiệm khách hàng</t>
        </is>
      </c>
      <c r="D8880" s="10" t="inlineStr">
        <is>
          <t>CÔNG TY TNHH NHA KHOA I-DENT</t>
        </is>
      </c>
      <c r="E8880" s="10" t="inlineStr">
        <is>
          <t>Lương:10 Tr - 16 Tr VND</t>
        </is>
      </c>
      <c r="F8880" s="10" t="inlineStr">
        <is>
          <t>Hồ Chí Minh</t>
        </is>
      </c>
      <c r="G8880" s="10" t="inlineStr">
        <is>
          <t>04-04-2026</t>
        </is>
      </c>
      <c r="H8880" s="10" t="inlineStr">
        <is>
          <t>04/04/2026</t>
        </is>
      </c>
      <c r="I8880" s="10" t="inlineStr">
        <is>
          <t>17/03/2026</t>
        </is>
      </c>
      <c r="J8880" s="10" t="inlineStr">
        <is>
          <t>Y tế / Chăm sóc sức khỏe / Thẩm mỹ / Làm đẹp, Dịch vụ khách hàng, Tư vấn</t>
        </is>
      </c>
      <c r="K8880" s="10" t="inlineStr">
        <is>
          <t>1 - 3 Năm</t>
        </is>
      </c>
      <c r="L8880" s="11">
        <f>HYPERLINK("https://careerviet.vn/vi/tim-viec-lam/chuyen-vien-trai-nghiem-khach-hang.35C6A466.html","Xem chi tiết")</f>
        <v/>
      </c>
      <c r="M8880" s="10" t="n"/>
    </row>
    <row r="8881">
      <c r="B8881" s="7" t="n">
        <v>8879</v>
      </c>
      <c r="C8881" t="inlineStr">
        <is>
          <t>Operation &amp; Procurement Export Supervisor</t>
        </is>
      </c>
      <c r="D8881" t="inlineStr">
        <is>
          <t>Công Ty TNHH Mol Logistics</t>
        </is>
      </c>
      <c r="E8881" t="inlineStr">
        <is>
          <t>Lương:Cạnh tranh</t>
        </is>
      </c>
      <c r="F8881" t="inlineStr">
        <is>
          <t>Hồ Chí Minh</t>
        </is>
      </c>
      <c r="G8881" t="inlineStr">
        <is>
          <t>01-04-2026</t>
        </is>
      </c>
      <c r="H8881" t="inlineStr">
        <is>
          <t>01/04/2026</t>
        </is>
      </c>
      <c r="I8881" t="inlineStr">
        <is>
          <t>17/03/2026</t>
        </is>
      </c>
      <c r="J8881" t="inlineStr">
        <is>
          <t>Xuất nhập khẩu</t>
        </is>
      </c>
      <c r="K8881" t="inlineStr">
        <is>
          <t>2 - 3 Năm</t>
        </is>
      </c>
      <c r="L8881" s="8">
        <f>HYPERLINK("https://careerviet.vn/vi/tim-viec-lam/operation-procurement-export-supervisor.35C6A3D7.html","Xem chi tiết")</f>
        <v/>
      </c>
    </row>
    <row r="8882">
      <c r="B8882" s="9" t="n">
        <v>8880</v>
      </c>
      <c r="C8882" s="10" t="inlineStr">
        <is>
          <t>Nhân viên tư vấn bán hàng Long Thành - Đồng Nai 8-12tr/th</t>
        </is>
      </c>
      <c r="D8882" s="10" t="inlineStr">
        <is>
          <t>CÔNG TY CỔ PHẦN VUA NỆM</t>
        </is>
      </c>
      <c r="E8882" s="10" t="inlineStr">
        <is>
          <t>Lương:8 Tr - 12 Tr VND</t>
        </is>
      </c>
      <c r="F8882" s="10" t="inlineStr">
        <is>
          <t>Đồng Nai</t>
        </is>
      </c>
      <c r="G8882" s="10" t="inlineStr">
        <is>
          <t>01-04-2026</t>
        </is>
      </c>
      <c r="H8882" s="10" t="inlineStr">
        <is>
          <t>01/04/2026</t>
        </is>
      </c>
      <c r="I8882" s="10" t="inlineStr">
        <is>
          <t>17/03/2026</t>
        </is>
      </c>
      <c r="J8882" s="10" t="inlineStr">
        <is>
          <t>Tiếp thị / Marketing, Bán lẻ / Bán sỉ, Bán hàng / Kinh doanh</t>
        </is>
      </c>
      <c r="K8882" s="10" t="inlineStr">
        <is>
          <t>1 - 10 Năm</t>
        </is>
      </c>
      <c r="L8882" s="11">
        <f>HYPERLINK("https://careerviet.vn/vi/tim-viec-lam/nhan-vien-tu-van-ban-hang-long-thanh-dong-nai-8-12tr-th.35C6A37C.html","Xem chi tiết")</f>
        <v/>
      </c>
      <c r="M8882" s="10" t="n"/>
    </row>
    <row r="8883">
      <c r="B8883" s="7" t="n">
        <v>8881</v>
      </c>
      <c r="C8883" t="inlineStr">
        <is>
          <t>Nhân viên admin</t>
        </is>
      </c>
      <c r="D8883" t="inlineStr">
        <is>
          <t>Tập đoàn Nhựa Bình Thuận</t>
        </is>
      </c>
      <c r="E8883" t="inlineStr">
        <is>
          <t>Lương:9 Tr - 12 Tr VND</t>
        </is>
      </c>
      <c r="F8883" t="inlineStr">
        <is>
          <t>Hà Nội</t>
        </is>
      </c>
      <c r="G8883" t="inlineStr">
        <is>
          <t>31-03-2026</t>
        </is>
      </c>
      <c r="H8883" t="inlineStr">
        <is>
          <t>31/03/2026</t>
        </is>
      </c>
      <c r="I8883" t="inlineStr">
        <is>
          <t>17/03/2026</t>
        </is>
      </c>
      <c r="J8883" t="inlineStr">
        <is>
          <t>Sản xuất / Vận hành sản xuất</t>
        </is>
      </c>
      <c r="K8883" t="inlineStr">
        <is>
          <t>1 - 2 Năm</t>
        </is>
      </c>
      <c r="L8883" s="8">
        <f>HYPERLINK("https://careerviet.vn/vi/tim-viec-lam/nhan-vien-admin.35C6A44D.html","Xem chi tiết")</f>
        <v/>
      </c>
    </row>
    <row r="8884">
      <c r="B8884" s="9" t="n">
        <v>8882</v>
      </c>
      <c r="C8884" s="10" t="inlineStr">
        <is>
          <t>Nhân viên Tổ chức sự kiện &amp; Posm</t>
        </is>
      </c>
      <c r="D8884" s="10" t="inlineStr">
        <is>
          <t>Công ty TNHH SX-TM Thép Tây Nam</t>
        </is>
      </c>
      <c r="E8884" s="10" t="inlineStr">
        <is>
          <t>Lương:8 Tr - 12 Tr VND</t>
        </is>
      </c>
      <c r="F8884" s="10" t="inlineStr">
        <is>
          <t>Hồ Chí Minh</t>
        </is>
      </c>
      <c r="G8884" s="10" t="inlineStr">
        <is>
          <t>28-03-2026</t>
        </is>
      </c>
      <c r="H8884" s="10" t="inlineStr">
        <is>
          <t>28/03/2026</t>
        </is>
      </c>
      <c r="I8884" s="10" t="inlineStr">
        <is>
          <t>17/03/2026</t>
        </is>
      </c>
      <c r="J8884" s="10" t="inlineStr">
        <is>
          <t>Tiếp thị / Marketing, Tổ chức sự kiện</t>
        </is>
      </c>
      <c r="K8884" s="10" t="inlineStr">
        <is>
          <t>Lên đến 1 Năm</t>
        </is>
      </c>
      <c r="L8884" s="11">
        <f>HYPERLINK("https://careerviet.vn/vi/tim-viec-lam/nhan-vien-to-chuc-su-kien-posm.35C6A44F.html","Xem chi tiết")</f>
        <v/>
      </c>
      <c r="M8884" s="10" t="n"/>
    </row>
    <row r="8885">
      <c r="B8885" s="7" t="n">
        <v>8883</v>
      </c>
      <c r="C8885" t="inlineStr">
        <is>
          <t>Giám sát phòng Lab</t>
        </is>
      </c>
      <c r="D8885" t="inlineStr">
        <is>
          <t>CÔNG TY TNHH AUSSCO VIỆT NAM</t>
        </is>
      </c>
      <c r="E8885" t="inlineStr">
        <is>
          <t>Lương:15 Tr - 40 Tr VND</t>
        </is>
      </c>
      <c r="F8885" t="inlineStr">
        <is>
          <t>Bình Dương</t>
        </is>
      </c>
      <c r="G8885" t="inlineStr">
        <is>
          <t>31-03-2026</t>
        </is>
      </c>
      <c r="H8885" t="inlineStr">
        <is>
          <t>31/03/2026</t>
        </is>
      </c>
      <c r="I8885" t="inlineStr">
        <is>
          <t>17/03/2026</t>
        </is>
      </c>
      <c r="J8885" t="inlineStr">
        <is>
          <t>Quản lý chất lượng (QA/QC)</t>
        </is>
      </c>
      <c r="K8885" t="inlineStr">
        <is>
          <t>2 - 5 Năm</t>
        </is>
      </c>
      <c r="L8885" s="8">
        <f>HYPERLINK("https://careerviet.vn/vi/tim-viec-lam/giam-sat-phong-lab.35C6A3DB.html","Xem chi tiết")</f>
        <v/>
      </c>
    </row>
    <row r="8886">
      <c r="B8886" s="9" t="n">
        <v>8884</v>
      </c>
      <c r="C8886" s="10" t="inlineStr">
        <is>
          <t>Chuyên viên chính/Chuyên viên cao cấp Thẩm định tài sản</t>
        </is>
      </c>
      <c r="D8886" s="10" t="inlineStr">
        <is>
          <t>Ngân Hàng TMCP Sài Gòn - Hà Nội ( SHB )</t>
        </is>
      </c>
      <c r="E8886" s="10" t="inlineStr">
        <is>
          <t>Lương:Cạnh tranh</t>
        </is>
      </c>
      <c r="F8886" s="10" t="inlineStr">
        <is>
          <t>Lâm ĐồngQuảng BìnhQuảng Trị</t>
        </is>
      </c>
      <c r="G8886" s="10" t="inlineStr">
        <is>
          <t>01-04-2026</t>
        </is>
      </c>
      <c r="H8886" s="10" t="inlineStr">
        <is>
          <t>01/04/2026</t>
        </is>
      </c>
      <c r="I8886" s="10" t="inlineStr">
        <is>
          <t>17/03/2026</t>
        </is>
      </c>
      <c r="J8886" s="10" t="inlineStr">
        <is>
          <t>Ngân hàng, Bất động sản, Bán lẻ / Bán sỉ</t>
        </is>
      </c>
      <c r="K8886" s="10" t="inlineStr">
        <is>
          <t>Trên 2 Năm</t>
        </is>
      </c>
      <c r="L8886" s="11">
        <f>HYPERLINK("https://careerviet.vn/vi/tim-viec-lam/chuyen-vien-chinh-chuyen-vien-cao-cap-tham-dinh-tai-san.35C6A353.html","Xem chi tiết")</f>
        <v/>
      </c>
      <c r="M8886" s="10" t="n"/>
    </row>
    <row r="8887">
      <c r="B8887" s="7" t="n">
        <v>8885</v>
      </c>
      <c r="C8887" t="inlineStr">
        <is>
          <t>Giao dịch viên</t>
        </is>
      </c>
      <c r="D8887" t="inlineStr">
        <is>
          <t>Ngân Hàng TMCP Sài Gòn - Hà Nội ( SHB )</t>
        </is>
      </c>
      <c r="E8887" t="inlineStr">
        <is>
          <t>Lương:Cạnh tranh</t>
        </is>
      </c>
      <c r="F8887" t="inlineStr">
        <is>
          <t>Vĩnh PhúcCần ThơBắc Ninh</t>
        </is>
      </c>
      <c r="G8887" t="inlineStr">
        <is>
          <t>01-04-2026</t>
        </is>
      </c>
      <c r="H8887" t="inlineStr">
        <is>
          <t>01/04/2026</t>
        </is>
      </c>
      <c r="I8887" t="inlineStr">
        <is>
          <t>17/03/2026</t>
        </is>
      </c>
      <c r="J8887" t="inlineStr">
        <is>
          <t>Dịch vụ khách hàng, Ngân hàng, Bán hàng / Kinh doanh</t>
        </is>
      </c>
      <c r="K8887" t="inlineStr">
        <is>
          <t>N/A</t>
        </is>
      </c>
      <c r="L8887" s="8">
        <f>HYPERLINK("https://careerviet.vn/vi/tim-viec-lam/giao-dich-vien.35C6A340.html","Xem chi tiết")</f>
        <v/>
      </c>
    </row>
    <row r="8888">
      <c r="B8888" s="9" t="n">
        <v>8886</v>
      </c>
      <c r="C8888" s="10" t="inlineStr">
        <is>
          <t>Nhân Viên Kinh Doanh Nhôm Kính</t>
        </is>
      </c>
      <c r="D8888" s="10" t="inlineStr">
        <is>
          <t>CÔNG TY TNHH TECHNO WINDOW</t>
        </is>
      </c>
      <c r="E8888" s="10" t="inlineStr">
        <is>
          <t>Lương:10 Tr - 20 Tr VND</t>
        </is>
      </c>
      <c r="F8888" s="10" t="inlineStr">
        <is>
          <t>Hồ Chí Minh</t>
        </is>
      </c>
      <c r="G8888" s="10" t="inlineStr">
        <is>
          <t>31-03-2026</t>
        </is>
      </c>
      <c r="H8888" s="10" t="inlineStr">
        <is>
          <t>31/03/2026</t>
        </is>
      </c>
      <c r="I8888" s="10" t="inlineStr">
        <is>
          <t>17/03/2026</t>
        </is>
      </c>
      <c r="J8888" s="10" t="inlineStr">
        <is>
          <t>Tiếp thị / Marketing, Bán hàng / Kinh doanh, Xây dựng</t>
        </is>
      </c>
      <c r="K8888" s="10" t="inlineStr">
        <is>
          <t>1 - 2 Năm</t>
        </is>
      </c>
      <c r="L8888" s="11">
        <f>HYPERLINK("https://careerviet.vn/vi/tim-viec-lam/nhan-vien-kinh-doanh-nhom-kinh.35C6A408.html","Xem chi tiết")</f>
        <v/>
      </c>
      <c r="M8888" s="10" t="n"/>
    </row>
    <row r="8889">
      <c r="B8889" s="7" t="n">
        <v>8887</v>
      </c>
      <c r="C8889" t="inlineStr">
        <is>
          <t>Quản lý dự án (Biên dịch)</t>
        </is>
      </c>
      <c r="D8889" t="inlineStr">
        <is>
          <t>Công ty TNHH MMS VIETNAM</t>
        </is>
      </c>
      <c r="E8889" t="inlineStr">
        <is>
          <t>Lương:Cạnh tranh</t>
        </is>
      </c>
      <c r="F8889" t="inlineStr">
        <is>
          <t>Hồ Chí Minh</t>
        </is>
      </c>
      <c r="G8889" t="inlineStr">
        <is>
          <t>15-03-2026</t>
        </is>
      </c>
      <c r="H8889" t="inlineStr">
        <is>
          <t>15/03/2026</t>
        </is>
      </c>
      <c r="I8889" t="inlineStr">
        <is>
          <t>17/03/2026</t>
        </is>
      </c>
      <c r="J8889" t="inlineStr">
        <is>
          <t>Dịch vụ khách hàng, Biên phiên dịch, Quản lý điều hành</t>
        </is>
      </c>
      <c r="K8889" t="inlineStr">
        <is>
          <t>1 - 3 Năm</t>
        </is>
      </c>
      <c r="L8889" s="8">
        <f>HYPERLINK("https://careerviet.vn/vi/tim-viec-lam/quan-ly-du-an-bien-dich.35C6A41B.html","Xem chi tiết")</f>
        <v/>
      </c>
    </row>
    <row r="8890">
      <c r="B8890" s="9" t="n">
        <v>8888</v>
      </c>
      <c r="C8890" s="10" t="inlineStr">
        <is>
          <t>Chuyên viên Xử lý nợ (Địa bàn Tây Nam Bộ)</t>
        </is>
      </c>
      <c r="D8890" s="10" t="inlineStr">
        <is>
          <t>Ngân Hàng TMCP Sài Gòn - Hà Nội ( SHB )</t>
        </is>
      </c>
      <c r="E8890" s="10" t="inlineStr">
        <is>
          <t>Lương:Cạnh tranh</t>
        </is>
      </c>
      <c r="F8890" s="10" t="inlineStr">
        <is>
          <t>Sóc TrăngCà MauĐồng Tháp</t>
        </is>
      </c>
      <c r="G8890" s="10" t="inlineStr">
        <is>
          <t>01-04-2026</t>
        </is>
      </c>
      <c r="H8890" s="10" t="inlineStr">
        <is>
          <t>01/04/2026</t>
        </is>
      </c>
      <c r="I8890" s="10" t="inlineStr">
        <is>
          <t>17/03/2026</t>
        </is>
      </c>
      <c r="J8890" s="10" t="inlineStr">
        <is>
          <t>Ngân hàng</t>
        </is>
      </c>
      <c r="K8890" s="10" t="inlineStr">
        <is>
          <t>Trên 2 Năm</t>
        </is>
      </c>
      <c r="L8890" s="11">
        <f>HYPERLINK("https://careerviet.vn/vi/tim-viec-lam/chuyen-vien-xu-ly-no-dia-ban-tay-nam-bo.35C6A347.html","Xem chi tiết")</f>
        <v/>
      </c>
      <c r="M8890" s="10" t="n"/>
    </row>
    <row r="8891">
      <c r="B8891" s="7" t="n">
        <v>8889</v>
      </c>
      <c r="C8891" t="inlineStr">
        <is>
          <t>Sales Manager/ Trưởng Nhóm Kinh Doanh</t>
        </is>
      </c>
      <c r="D8891" t="inlineStr">
        <is>
          <t>Công ty TNHH MTV Công nghệ Tin học Viễn Sơn</t>
        </is>
      </c>
      <c r="E8891" t="inlineStr">
        <is>
          <t>Lương:Cạnh tranh</t>
        </is>
      </c>
      <c r="F8891" t="inlineStr">
        <is>
          <t>Hồ Chí Minh</t>
        </is>
      </c>
      <c r="G8891" t="inlineStr">
        <is>
          <t>31-03-2026</t>
        </is>
      </c>
      <c r="H8891" t="inlineStr">
        <is>
          <t>31/03/2026</t>
        </is>
      </c>
      <c r="I8891" t="inlineStr">
        <is>
          <t>17/03/2026</t>
        </is>
      </c>
      <c r="J8891" t="inlineStr">
        <is>
          <t>Bán lẻ / Bán sỉ, Bán hàng / Kinh doanh, CNTT - Phần cứng / Mạng</t>
        </is>
      </c>
      <c r="K8891" t="inlineStr">
        <is>
          <t>2 - 5 Năm</t>
        </is>
      </c>
      <c r="L8891" s="8">
        <f>HYPERLINK("https://careerviet.vn/vi/tim-viec-lam/sales-manager-truong-nhom-kinh-doanh.35C6A422.html","Xem chi tiết")</f>
        <v/>
      </c>
    </row>
    <row r="8892">
      <c r="B8892" s="9" t="n">
        <v>8890</v>
      </c>
      <c r="C8892" s="10" t="inlineStr">
        <is>
          <t>NHÂN VIÊN KHO VẬN</t>
        </is>
      </c>
      <c r="D8892" s="10" t="inlineStr">
        <is>
          <t>Công ty CP Thương mại Dịch vụ An Biên</t>
        </is>
      </c>
      <c r="E8892" s="10" t="inlineStr">
        <is>
          <t>Lương:11 Tr - 12 Tr VND</t>
        </is>
      </c>
      <c r="F8892" s="10" t="inlineStr">
        <is>
          <t>Hồ Chí Minh</t>
        </is>
      </c>
      <c r="G8892" s="10" t="inlineStr">
        <is>
          <t>02-04-2026</t>
        </is>
      </c>
      <c r="H8892" s="10" t="inlineStr">
        <is>
          <t>02/04/2026</t>
        </is>
      </c>
      <c r="I8892" s="10" t="inlineStr">
        <is>
          <t>17/03/2026</t>
        </is>
      </c>
      <c r="J8892" s="10" t="inlineStr">
        <is>
          <t>Vận chuyển / Giao nhận / Kho vận, Lao động phổ thông, Dịch vụ khách hàng</t>
        </is>
      </c>
      <c r="K8892" s="10" t="inlineStr">
        <is>
          <t>1 - 2 Năm</t>
        </is>
      </c>
      <c r="L8892" s="11">
        <f>HYPERLINK("https://careerviet.vn/vi/tim-viec-lam/nhan-vien-kho-van.35C6A2FB.html","Xem chi tiết")</f>
        <v/>
      </c>
      <c r="M8892" s="10" t="n"/>
    </row>
    <row r="8893">
      <c r="B8893" s="7" t="n">
        <v>8891</v>
      </c>
      <c r="C8893" t="inlineStr">
        <is>
          <t>Thư ký Ban Quản lý Dự án - Điện Biên</t>
        </is>
      </c>
      <c r="D8893" t="inlineStr">
        <is>
          <t>CÔNG TY CỔ PHẦN ĐẦU TƯ DANCO</t>
        </is>
      </c>
      <c r="E8893" t="inlineStr">
        <is>
          <t>Lương:12 Tr - 15 Tr VND</t>
        </is>
      </c>
      <c r="F8893" t="inlineStr">
        <is>
          <t>Hà Nội</t>
        </is>
      </c>
      <c r="G8893" t="inlineStr">
        <is>
          <t>30-04-2026</t>
        </is>
      </c>
      <c r="H8893" t="inlineStr">
        <is>
          <t>30/04/2026</t>
        </is>
      </c>
      <c r="I8893" t="inlineStr">
        <is>
          <t>17/03/2026</t>
        </is>
      </c>
      <c r="J8893" t="inlineStr">
        <is>
          <t>Hành chính / Thư ký, Kế toán / Kiểm toán, Nhân sự</t>
        </is>
      </c>
      <c r="K8893" t="inlineStr">
        <is>
          <t>5 - 10 Năm</t>
        </is>
      </c>
      <c r="L8893" s="8">
        <f>HYPERLINK("https://careerviet.vn/vi/tim-viec-lam/thu-ky-ban-quan-ly-du-an-dien-bien.35C6A514.html","Xem chi tiết")</f>
        <v/>
      </c>
    </row>
    <row r="8894">
      <c r="B8894" s="9" t="n">
        <v>8892</v>
      </c>
      <c r="C8894" s="10" t="inlineStr">
        <is>
          <t>Digital Marketing Specialist</t>
        </is>
      </c>
      <c r="D8894" s="10" t="inlineStr">
        <is>
          <t>Concung.com - Con Cung Joint Stock Company</t>
        </is>
      </c>
      <c r="E8894" s="10" t="inlineStr">
        <is>
          <t>Lương:Cạnh tranh</t>
        </is>
      </c>
      <c r="F8894" s="10" t="inlineStr">
        <is>
          <t>Hồ Chí Minh</t>
        </is>
      </c>
      <c r="G8894" s="10" t="inlineStr">
        <is>
          <t>31-03-2026</t>
        </is>
      </c>
      <c r="H8894" s="10" t="inlineStr">
        <is>
          <t>31/03/2026</t>
        </is>
      </c>
      <c r="I8894" s="10" t="inlineStr">
        <is>
          <t>17/03/2026</t>
        </is>
      </c>
      <c r="J8894" s="10" t="inlineStr">
        <is>
          <t>Tiếp thị / Marketing, Bán lẻ / Bán sỉ, Tiếp thị trực tuyến</t>
        </is>
      </c>
      <c r="K8894" s="10" t="inlineStr">
        <is>
          <t>2 - 3 Năm</t>
        </is>
      </c>
      <c r="L8894" s="11">
        <f>HYPERLINK("https://careerviet.vn/vi/tim-viec-lam/digital-marketing-specialist.35C6A3F9.html","Xem chi tiết")</f>
        <v/>
      </c>
      <c r="M8894" s="10" t="n"/>
    </row>
    <row r="8895">
      <c r="B8895" s="7" t="n">
        <v>8893</v>
      </c>
      <c r="C8895" t="inlineStr">
        <is>
          <t>Chuyên viên QA/QC</t>
        </is>
      </c>
      <c r="D8895" t="inlineStr">
        <is>
          <t>CÔNG TY CỔ PHẦN DỊCH VỤ THƯƠNG MẠI SKYLINE</t>
        </is>
      </c>
      <c r="E8895" t="inlineStr">
        <is>
          <t>Lương:10 Tr - 13 Tr VND</t>
        </is>
      </c>
      <c r="F8895" t="inlineStr">
        <is>
          <t>Hồ Chí Minh</t>
        </is>
      </c>
      <c r="G8895" t="inlineStr">
        <is>
          <t>02-04-2026</t>
        </is>
      </c>
      <c r="H8895" t="inlineStr">
        <is>
          <t>02/04/2026</t>
        </is>
      </c>
      <c r="I8895" t="inlineStr">
        <is>
          <t>17/03/2026</t>
        </is>
      </c>
      <c r="J8895" t="inlineStr">
        <is>
          <t>Thực phẩm &amp; Đồ uống, Nhà hàng / Khách sạn, Quản lý chất lượng (QA/QC)</t>
        </is>
      </c>
      <c r="K8895" t="inlineStr">
        <is>
          <t>1 - 2 Năm</t>
        </is>
      </c>
      <c r="L8895" s="8">
        <f>HYPERLINK("https://careerviet.vn/vi/tim-viec-lam/chuyen-vien-qa-qc.35C6A2B5.html","Xem chi tiết")</f>
        <v/>
      </c>
    </row>
    <row r="8896">
      <c r="B8896" s="9" t="n">
        <v>8894</v>
      </c>
      <c r="C8896" s="10" t="inlineStr">
        <is>
          <t>Quality Intern - Nhơn Trạch (Có xe đưa rước Biên Hòa / Sài Gòn)</t>
        </is>
      </c>
      <c r="D8896" s="10" t="inlineStr">
        <is>
          <t>Summit Polymers Vietnam Co Ltd.</t>
        </is>
      </c>
      <c r="E8896" s="10" t="inlineStr">
        <is>
          <t>Lương:Cạnh tranh</t>
        </is>
      </c>
      <c r="F8896" s="10" t="inlineStr">
        <is>
          <t>Đồng Nai</t>
        </is>
      </c>
      <c r="G8896" s="10" t="inlineStr">
        <is>
          <t>31-03-2026</t>
        </is>
      </c>
      <c r="H8896" s="10" t="inlineStr">
        <is>
          <t>31/03/2026</t>
        </is>
      </c>
      <c r="I8896" s="10" t="inlineStr">
        <is>
          <t>17/03/2026</t>
        </is>
      </c>
      <c r="J8896" s="10" t="inlineStr">
        <is>
          <t>Cơ khí / Ô tô / Tự động hóa</t>
        </is>
      </c>
      <c r="K8896" s="10" t="inlineStr">
        <is>
          <t>N/A</t>
        </is>
      </c>
      <c r="L8896" s="11">
        <f>HYPERLINK("https://careerviet.vn/vi/tim-viec-lam/quality-intern-nhon-trach-co-xe-dua-ruoc-bien-hoa-sai-gon.35C6A463.html","Xem chi tiết")</f>
        <v/>
      </c>
      <c r="M8896" s="10" t="n"/>
    </row>
    <row r="8897">
      <c r="B8897" s="7" t="n">
        <v>8895</v>
      </c>
      <c r="C8897" t="inlineStr">
        <is>
          <t>Kế toán phải trả</t>
        </is>
      </c>
      <c r="D8897" t="inlineStr">
        <is>
          <t>UNIEXPORT CO., LTD</t>
        </is>
      </c>
      <c r="E8897" t="inlineStr">
        <is>
          <t>Lương:Cạnh tranh</t>
        </is>
      </c>
      <c r="F8897" t="inlineStr">
        <is>
          <t>Hồ Chí Minh</t>
        </is>
      </c>
      <c r="G8897" t="inlineStr">
        <is>
          <t>31-03-2026</t>
        </is>
      </c>
      <c r="H8897" t="inlineStr">
        <is>
          <t>31/03/2026</t>
        </is>
      </c>
      <c r="I8897" t="inlineStr">
        <is>
          <t>17/03/2026</t>
        </is>
      </c>
      <c r="J8897" t="inlineStr">
        <is>
          <t>Bán hàng / Kinh doanh, Kế toán / Kiểm toán, Xuất nhập khẩu</t>
        </is>
      </c>
      <c r="K8897" t="inlineStr">
        <is>
          <t>2 - 3 Năm</t>
        </is>
      </c>
      <c r="L8897" s="8">
        <f>HYPERLINK("https://careerviet.vn/vi/tim-viec-lam/ke-toan-phai-tra.35C694AC.html","Xem chi tiết")</f>
        <v/>
      </c>
    </row>
    <row r="8898">
      <c r="B8898" s="9" t="n">
        <v>8896</v>
      </c>
      <c r="C8898" s="10" t="inlineStr">
        <is>
          <t>Trưởng phòng công nghệ thông tin</t>
        </is>
      </c>
      <c r="D8898" s="10" t="inlineStr">
        <is>
          <t>CÔNG TY CỔ PHẦN ĐẦU TƯ BeNK</t>
        </is>
      </c>
      <c r="E8898" s="10" t="inlineStr">
        <is>
          <t>Lương:35 Tr - 50 Tr VND</t>
        </is>
      </c>
      <c r="F8898" s="10" t="inlineStr">
        <is>
          <t>Hà Nội</t>
        </is>
      </c>
      <c r="G8898" s="10" t="inlineStr">
        <is>
          <t>15-04-2026</t>
        </is>
      </c>
      <c r="H8898" s="10" t="inlineStr">
        <is>
          <t>15/04/2026</t>
        </is>
      </c>
      <c r="I8898" s="10" t="inlineStr">
        <is>
          <t>17/03/2026</t>
        </is>
      </c>
      <c r="J8898" s="10" t="inlineStr">
        <is>
          <t>CNTT - Phần mềm, CNTT - Phần cứng / Mạng</t>
        </is>
      </c>
      <c r="K8898" s="10" t="inlineStr">
        <is>
          <t>Lên đến 5 Năm</t>
        </is>
      </c>
      <c r="L8898" s="11">
        <f>HYPERLINK("https://careerviet.vn/vi/tim-viec-lam/truong-phong-cong-nghe-thong-tin.35C6A418.html","Xem chi tiết")</f>
        <v/>
      </c>
      <c r="M8898" s="10" t="n"/>
    </row>
    <row r="8899">
      <c r="B8899" s="7" t="n">
        <v>8897</v>
      </c>
      <c r="C8899" t="inlineStr">
        <is>
          <t>Influencer &amp; KOL Specialist (Chuyên Viên Hợp Tác Với Influencer &amp; KOL)</t>
        </is>
      </c>
      <c r="D8899" t="inlineStr">
        <is>
          <t>CÔNG TY CỔ PHẦN TCELL</t>
        </is>
      </c>
      <c r="E8899" t="inlineStr">
        <is>
          <t>Lương:10 Tr - 15 Tr VND</t>
        </is>
      </c>
      <c r="F8899" t="inlineStr">
        <is>
          <t>Hồ Chí Minh</t>
        </is>
      </c>
      <c r="G8899" t="inlineStr">
        <is>
          <t>31-03-2026</t>
        </is>
      </c>
      <c r="H8899" t="inlineStr">
        <is>
          <t>31/03/2026</t>
        </is>
      </c>
      <c r="I8899" t="inlineStr">
        <is>
          <t>17/03/2026</t>
        </is>
      </c>
      <c r="J8899" t="inlineStr">
        <is>
          <t>Tiếp thị / Marketing, Tiếp thị trực tuyến, Dược phẩm/ Hóa Mỹ Phẩm</t>
        </is>
      </c>
      <c r="K8899" t="inlineStr">
        <is>
          <t>3 - 5 Năm</t>
        </is>
      </c>
      <c r="L8899" s="8">
        <f>HYPERLINK("https://careerviet.vn/vi/tim-viec-lam/influencer-kol-specialist-chuyen-vien-hop-tac-voi-influencer-kol.35C6A5D1.html","Xem chi tiết")</f>
        <v/>
      </c>
    </row>
    <row r="8900">
      <c r="B8900" s="9" t="n">
        <v>8898</v>
      </c>
      <c r="C8900" s="10" t="inlineStr">
        <is>
          <t>Chuyên viên chính/Chuyên viên cao cấp Thẩm định tài sản</t>
        </is>
      </c>
      <c r="D8900" s="10" t="inlineStr">
        <is>
          <t>Ngân Hàng TMCP Sài Gòn - Hà Nội ( SHB )</t>
        </is>
      </c>
      <c r="E8900" s="10" t="inlineStr">
        <is>
          <t>Lương:Cạnh tranh</t>
        </is>
      </c>
      <c r="F8900" s="10" t="inlineStr">
        <is>
          <t>Thanh HóaNghệ AnHà Tĩnh</t>
        </is>
      </c>
      <c r="G8900" s="10" t="inlineStr">
        <is>
          <t>01-04-2026</t>
        </is>
      </c>
      <c r="H8900" s="10" t="inlineStr">
        <is>
          <t>01/04/2026</t>
        </is>
      </c>
      <c r="I8900" s="10" t="inlineStr">
        <is>
          <t>17/03/2026</t>
        </is>
      </c>
      <c r="J8900" s="10" t="inlineStr">
        <is>
          <t>Ngân hàng, Bất động sản, Bán lẻ / Bán sỉ</t>
        </is>
      </c>
      <c r="K8900" s="10" t="inlineStr">
        <is>
          <t>Trên 2 Năm</t>
        </is>
      </c>
      <c r="L8900" s="11">
        <f>HYPERLINK("https://careerviet.vn/vi/tim-viec-lam/chuyen-vien-chinh-chuyen-vien-cao-cap-tham-dinh-tai-san.35C6A365.html","Xem chi tiết")</f>
        <v/>
      </c>
      <c r="M8900" s="10" t="n"/>
    </row>
    <row r="8901">
      <c r="B8901" s="7" t="n">
        <v>8899</v>
      </c>
      <c r="C8901" t="inlineStr">
        <is>
          <t>Nhân Viên Giao Hàng (Xe máy - Nội bộ)</t>
        </is>
      </c>
      <c r="D8901" t="inlineStr">
        <is>
          <t>Công ty TNHH MTV Công nghệ Tin học Viễn Sơn</t>
        </is>
      </c>
      <c r="E8901" t="inlineStr">
        <is>
          <t>Lương:7 Tr - 8,5 Tr VND</t>
        </is>
      </c>
      <c r="F8901" t="inlineStr">
        <is>
          <t>Hà NộiHồ Chí Minh</t>
        </is>
      </c>
      <c r="G8901" t="inlineStr">
        <is>
          <t>31-03-2026</t>
        </is>
      </c>
      <c r="H8901" t="inlineStr">
        <is>
          <t>31/03/2026</t>
        </is>
      </c>
      <c r="I8901" t="inlineStr">
        <is>
          <t>17/03/2026</t>
        </is>
      </c>
      <c r="J8901" t="inlineStr">
        <is>
          <t>Vận chuyển / Giao nhận / Kho vận, Lao động phổ thông</t>
        </is>
      </c>
      <c r="K8901" t="inlineStr">
        <is>
          <t>N/A</t>
        </is>
      </c>
      <c r="L8901" s="8">
        <f>HYPERLINK("https://careerviet.vn/vi/tim-viec-lam/nhan-vien-giao-hang-xe-may-noi-bo.35C6A3E6.html","Xem chi tiết")</f>
        <v/>
      </c>
    </row>
    <row r="8902">
      <c r="B8902" s="9" t="n">
        <v>8900</v>
      </c>
      <c r="C8902" s="10" t="inlineStr">
        <is>
          <t>Chuyên viên Quan hệ Khách hàng Doanh nghiệp (Toàn quốc)</t>
        </is>
      </c>
      <c r="D8902" s="10" t="inlineStr">
        <is>
          <t>Ngân Hàng TMCP Sài Gòn - Hà Nội ( SHB )</t>
        </is>
      </c>
      <c r="E8902" s="10" t="inlineStr">
        <is>
          <t>Lương:Cạnh tranh</t>
        </is>
      </c>
      <c r="F8902" s="10" t="inlineStr">
        <is>
          <t>Quảng NinhHải PhòngNinh Bình</t>
        </is>
      </c>
      <c r="G8902" s="10" t="inlineStr">
        <is>
          <t>01-04-2026</t>
        </is>
      </c>
      <c r="H8902" s="10" t="inlineStr">
        <is>
          <t>01/04/2026</t>
        </is>
      </c>
      <c r="I8902" s="10" t="inlineStr">
        <is>
          <t>17/03/2026</t>
        </is>
      </c>
      <c r="J8902" s="10" t="inlineStr">
        <is>
          <t>Ngân hàng, Bán hàng / Kinh doanh</t>
        </is>
      </c>
      <c r="K8902" s="10" t="inlineStr">
        <is>
          <t>Chưa có kinh nghiệm</t>
        </is>
      </c>
      <c r="L8902" s="11">
        <f>HYPERLINK("https://careerviet.vn/vi/tim-viec-lam/chuyen-vien-quan-he-khach-hang-doanh-nghiep-toan-quoc.35C6A35C.html","Xem chi tiết")</f>
        <v/>
      </c>
      <c r="M8902" s="10" t="n"/>
    </row>
    <row r="8903">
      <c r="B8903" s="7" t="n">
        <v>8901</v>
      </c>
      <c r="C8903" t="inlineStr">
        <is>
          <t>Chuyên viên kế toán (Công Nợ)</t>
        </is>
      </c>
      <c r="D8903" t="inlineStr">
        <is>
          <t>Tổng công ty Xây dựng số 1 – CTCP</t>
        </is>
      </c>
      <c r="E8903" t="inlineStr">
        <is>
          <t>Lương:Cạnh tranh</t>
        </is>
      </c>
      <c r="F8903" t="inlineStr">
        <is>
          <t>Hồ Chí Minh</t>
        </is>
      </c>
      <c r="G8903" t="inlineStr">
        <is>
          <t>01-04-2026</t>
        </is>
      </c>
      <c r="H8903" t="inlineStr">
        <is>
          <t>01/04/2026</t>
        </is>
      </c>
      <c r="I8903" t="inlineStr">
        <is>
          <t>17/03/2026</t>
        </is>
      </c>
      <c r="J8903" t="inlineStr">
        <is>
          <t>Kế toán / Kiểm toán, Tài chính / Đầu tư</t>
        </is>
      </c>
      <c r="K8903" t="inlineStr">
        <is>
          <t>2 - 3 Năm</t>
        </is>
      </c>
      <c r="L8903" s="8">
        <f>HYPERLINK("https://careerviet.vn/vi/tim-viec-lam/chuyen-vien-ke-toan-cong-no.35C6A3C6.html","Xem chi tiết")</f>
        <v/>
      </c>
    </row>
    <row r="8904">
      <c r="B8904" s="9" t="n">
        <v>8902</v>
      </c>
      <c r="C8904" s="10" t="inlineStr">
        <is>
          <t>Nhân viên thu mua</t>
        </is>
      </c>
      <c r="D8904" s="10" t="inlineStr">
        <is>
          <t>CÔNG TY TNHH BLUE ELATION</t>
        </is>
      </c>
      <c r="E8904" s="10" t="inlineStr">
        <is>
          <t>Lương:10 Tr - 15 Tr VND</t>
        </is>
      </c>
      <c r="F8904" s="10" t="inlineStr">
        <is>
          <t>Hồ Chí Minh</t>
        </is>
      </c>
      <c r="G8904" s="10" t="inlineStr">
        <is>
          <t>02-04-2026</t>
        </is>
      </c>
      <c r="H8904" s="10" t="inlineStr">
        <is>
          <t>02/04/2026</t>
        </is>
      </c>
      <c r="I8904" s="10" t="inlineStr">
        <is>
          <t>17/03/2026</t>
        </is>
      </c>
      <c r="J8904" s="10" t="inlineStr">
        <is>
          <t>Thu mua / Vật tư, Nhà hàng / Khách sạn, Thực phẩm &amp; Đồ uống</t>
        </is>
      </c>
      <c r="K8904" s="10" t="inlineStr">
        <is>
          <t>1 - 3 Năm</t>
        </is>
      </c>
      <c r="L8904" s="11">
        <f>HYPERLINK("https://careerviet.vn/vi/tim-viec-lam/nhan-vien-thu-mua.35C6A6E0.html","Xem chi tiết")</f>
        <v/>
      </c>
      <c r="M8904" s="10" t="n"/>
    </row>
    <row r="8905">
      <c r="B8905" s="7" t="n">
        <v>8903</v>
      </c>
      <c r="C8905" t="inlineStr">
        <is>
          <t>Call Center Staff (English Required)</t>
        </is>
      </c>
      <c r="D8905" t="inlineStr">
        <is>
          <t>Công Ty CP Dược Phẩm Pharmacity</t>
        </is>
      </c>
      <c r="E8905" t="inlineStr">
        <is>
          <t>Lương:Cạnh tranh</t>
        </is>
      </c>
      <c r="F8905" t="inlineStr">
        <is>
          <t>Hồ Chí Minh</t>
        </is>
      </c>
      <c r="G8905" t="inlineStr">
        <is>
          <t>04-04-2026</t>
        </is>
      </c>
      <c r="H8905" t="inlineStr">
        <is>
          <t>04/04/2026</t>
        </is>
      </c>
      <c r="I8905" t="inlineStr">
        <is>
          <t>17/03/2026</t>
        </is>
      </c>
      <c r="J8905" t="inlineStr">
        <is>
          <t>Bán lẻ / Bán sỉ, Dược phẩm/ Hóa Mỹ Phẩm, Y tế / Chăm sóc sức khỏe / Thẩm mỹ / Làm đẹp</t>
        </is>
      </c>
      <c r="K8905" t="inlineStr">
        <is>
          <t>1 - 3 Năm</t>
        </is>
      </c>
      <c r="L8905" s="8">
        <f>HYPERLINK("https://careerviet.vn/vi/tim-viec-lam/call-center-staff-english-required.35C6A3FF.html","Xem chi tiết")</f>
        <v/>
      </c>
    </row>
    <row r="8906">
      <c r="B8906" s="9" t="n">
        <v>8904</v>
      </c>
      <c r="C8906" s="10" t="inlineStr">
        <is>
          <t>SPECIALIST  - TECHNICAL SERVICE/ CHUYÊN VIÊN - DỊCH VỤ KỸ THUẬT</t>
        </is>
      </c>
      <c r="D8906" s="10" t="inlineStr">
        <is>
          <t>Công ty Cổ Phần Giấy Sài Gòn - SAIGON PAPER CORPORATION</t>
        </is>
      </c>
      <c r="E8906" s="10" t="inlineStr">
        <is>
          <t>Lương:Cạnh tranh</t>
        </is>
      </c>
      <c r="F8906" s="10" t="inlineStr">
        <is>
          <t>Bà Rịa - Vũng Tàu</t>
        </is>
      </c>
      <c r="G8906" s="10" t="inlineStr">
        <is>
          <t>01-04-2026</t>
        </is>
      </c>
      <c r="H8906" s="10" t="inlineStr">
        <is>
          <t>01/04/2026</t>
        </is>
      </c>
      <c r="I8906" s="10" t="inlineStr">
        <is>
          <t>17/03/2026</t>
        </is>
      </c>
      <c r="J8906" s="10" t="inlineStr">
        <is>
          <t>Công nghệ sinh học, Hóa học</t>
        </is>
      </c>
      <c r="K8906" s="10" t="inlineStr">
        <is>
          <t>2 - 3 Năm</t>
        </is>
      </c>
      <c r="L8906" s="11">
        <f>HYPERLINK("https://careerviet.vn/vi/tim-viec-lam/specialist-technical-service-chuyen-vien-dich-vu-ky-thuat.35C6A2AB.html","Xem chi tiết")</f>
        <v/>
      </c>
      <c r="M8906" s="10" t="n"/>
    </row>
    <row r="8907">
      <c r="B8907" s="7" t="n">
        <v>8905</v>
      </c>
      <c r="C8907" t="inlineStr">
        <is>
          <t>Operation Executive (Container)</t>
        </is>
      </c>
      <c r="D8907" t="inlineStr">
        <is>
          <t>UNIEXPORT CO., LTD</t>
        </is>
      </c>
      <c r="E8907" t="inlineStr">
        <is>
          <t>Lương:Cạnh tranh</t>
        </is>
      </c>
      <c r="F8907" t="inlineStr">
        <is>
          <t>Hồ Chí Minh</t>
        </is>
      </c>
      <c r="G8907" t="inlineStr">
        <is>
          <t>31-03-2026</t>
        </is>
      </c>
      <c r="H8907" t="inlineStr">
        <is>
          <t>31/03/2026</t>
        </is>
      </c>
      <c r="I8907" t="inlineStr">
        <is>
          <t>17/03/2026</t>
        </is>
      </c>
      <c r="J8907" t="inlineStr">
        <is>
          <t>Vận chuyển / Giao nhận / Kho vận, Xuất nhập khẩu, Sản xuất / Vận hành sản xuất</t>
        </is>
      </c>
      <c r="K8907" t="inlineStr">
        <is>
          <t>1 - 3 Năm</t>
        </is>
      </c>
      <c r="L8907" s="8">
        <f>HYPERLINK("https://careerviet.vn/vi/tim-viec-lam/operation-executive-container.35C6A2F2.html","Xem chi tiết")</f>
        <v/>
      </c>
    </row>
    <row r="8908">
      <c r="B8908" s="9" t="n">
        <v>8906</v>
      </c>
      <c r="C8908" s="10" t="inlineStr">
        <is>
          <t>Chuyên Viên Phát Triển Dự Án</t>
        </is>
      </c>
      <c r="D8908" s="10" t="inlineStr">
        <is>
          <t>Công Ty Cổ Phần Thương Mại Tư Vấn Và Xây Dựng Vĩnh Hưng</t>
        </is>
      </c>
      <c r="E8908" s="10" t="inlineStr">
        <is>
          <t>Lương:Cạnh tranh</t>
        </is>
      </c>
      <c r="F8908" s="10" t="inlineStr">
        <is>
          <t>Hà Nội</t>
        </is>
      </c>
      <c r="G8908" s="10" t="inlineStr">
        <is>
          <t>15-03-2026</t>
        </is>
      </c>
      <c r="H8908" s="10" t="inlineStr">
        <is>
          <t>15/03/2026</t>
        </is>
      </c>
      <c r="I8908" s="10" t="inlineStr">
        <is>
          <t>17/03/2026</t>
        </is>
      </c>
      <c r="J8908" s="10" t="inlineStr">
        <is>
          <t>Xây dựng, Bất động sản, Luật / Pháp lý</t>
        </is>
      </c>
      <c r="K8908" s="10" t="inlineStr">
        <is>
          <t>5 - 10 Năm</t>
        </is>
      </c>
      <c r="L8908" s="11">
        <f>HYPERLINK("https://careerviet.vn/vi/tim-viec-lam/chuyen-vien-phat-trien-du-an.35C6A3A7.html","Xem chi tiết")</f>
        <v/>
      </c>
      <c r="M8908" s="10" t="n"/>
    </row>
    <row r="8909">
      <c r="B8909" s="7" t="n">
        <v>8907</v>
      </c>
      <c r="C8909" t="inlineStr">
        <is>
          <t>Chuyên viên Hỗ trợ Kinh doanh (Sales Admin)</t>
        </is>
      </c>
      <c r="D8909" t="inlineStr">
        <is>
          <t>Công Ty Cổ Phần Tập Đoàn Sunshine</t>
        </is>
      </c>
      <c r="E8909" t="inlineStr">
        <is>
          <t>Lương:13 Tr - 20 Tr VND</t>
        </is>
      </c>
      <c r="F8909" t="inlineStr">
        <is>
          <t>Hồ Chí Minh</t>
        </is>
      </c>
      <c r="G8909" t="inlineStr">
        <is>
          <t>03-04-2026</t>
        </is>
      </c>
      <c r="H8909" t="inlineStr">
        <is>
          <t>03/04/2026</t>
        </is>
      </c>
      <c r="I8909" t="inlineStr">
        <is>
          <t>17/03/2026</t>
        </is>
      </c>
      <c r="J8909" t="inlineStr">
        <is>
          <t>Bất động sản</t>
        </is>
      </c>
      <c r="K8909" t="inlineStr">
        <is>
          <t>3 - 5 Năm</t>
        </is>
      </c>
      <c r="L8909" s="8">
        <f>HYPERLINK("https://careerviet.vn/vi/tim-viec-lam/chuyen-vien-ho-tro-kinh-doanh-sales-admin.35C6A670.html","Xem chi tiết")</f>
        <v/>
      </c>
    </row>
    <row r="8910">
      <c r="B8910" s="9" t="n">
        <v>8908</v>
      </c>
      <c r="C8910" s="10" t="inlineStr">
        <is>
          <t>Nhân viên Kinh doanh ngành ống nhựa</t>
        </is>
      </c>
      <c r="D8910" s="10" t="inlineStr">
        <is>
          <t>Tập Đoàn Tân Á Đại Thành</t>
        </is>
      </c>
      <c r="E8910" s="10" t="inlineStr">
        <is>
          <t>Lương:13,5 Tr - 20 Tr VND</t>
        </is>
      </c>
      <c r="F8910" s="10" t="inlineStr">
        <is>
          <t>Bắc Giang</t>
        </is>
      </c>
      <c r="G8910" s="10" t="inlineStr">
        <is>
          <t>31-03-2026</t>
        </is>
      </c>
      <c r="H8910" s="10" t="inlineStr">
        <is>
          <t>31/03/2026</t>
        </is>
      </c>
      <c r="I8910" s="10" t="inlineStr">
        <is>
          <t>17/03/2026</t>
        </is>
      </c>
      <c r="J8910" s="10" t="inlineStr">
        <is>
          <t>Bán hàng / Kinh doanh, Điện / Điện tử / Điện lạnh / Điện công nghiệp, Tiếp thị / Marketing</t>
        </is>
      </c>
      <c r="K8910" s="10" t="inlineStr">
        <is>
          <t>1 - 2 Năm</t>
        </is>
      </c>
      <c r="L8910" s="11">
        <f>HYPERLINK("https://careerviet.vn/vi/tim-viec-lam/nhan-vien-kinh-doanh-nganh-ong-nhua.35C6A3D9.html","Xem chi tiết")</f>
        <v/>
      </c>
      <c r="M8910" s="10" t="n"/>
    </row>
    <row r="8911">
      <c r="B8911" s="7" t="n">
        <v>8909</v>
      </c>
      <c r="C8911" t="inlineStr">
        <is>
          <t>Thiết Kế Kết Cấu</t>
        </is>
      </c>
      <c r="D8911" t="inlineStr">
        <is>
          <t>CÔNG TY TNHH POSBEE VIỆT NAM</t>
        </is>
      </c>
      <c r="E8911" t="inlineStr">
        <is>
          <t>Lương:15 Tr - 20 Tr VND</t>
        </is>
      </c>
      <c r="F8911" t="inlineStr">
        <is>
          <t>Hồ Chí Minh</t>
        </is>
      </c>
      <c r="G8911" t="inlineStr">
        <is>
          <t>02-04-2026</t>
        </is>
      </c>
      <c r="H8911" t="inlineStr">
        <is>
          <t>02/04/2026</t>
        </is>
      </c>
      <c r="I8911" t="inlineStr">
        <is>
          <t>17/03/2026</t>
        </is>
      </c>
      <c r="J8911" t="inlineStr">
        <is>
          <t>Môi trường, Mỹ thuật / Nghệ thuật / Thiết kế, Xây dựng</t>
        </is>
      </c>
      <c r="K8911" t="inlineStr">
        <is>
          <t>Trên 2 Năm</t>
        </is>
      </c>
      <c r="L8911" s="8">
        <f>HYPERLINK("https://careerviet.vn/vi/tim-viec-lam/thiet-ke-ket-cau.35C6A600.html","Xem chi tiết")</f>
        <v/>
      </c>
    </row>
    <row r="8912">
      <c r="B8912" s="9" t="n">
        <v>8910</v>
      </c>
      <c r="C8912" s="10" t="inlineStr">
        <is>
          <t>Nhân viên kế toán giá thành</t>
        </is>
      </c>
      <c r="D8912" s="10" t="inlineStr">
        <is>
          <t>CÔNG TY TNHH MĂMMY VIỆT NAM</t>
        </is>
      </c>
      <c r="E8912" s="10" t="inlineStr">
        <is>
          <t>Lương:Cạnh tranh</t>
        </is>
      </c>
      <c r="F8912" s="10" t="inlineStr">
        <is>
          <t>Hồ Chí Minh</t>
        </is>
      </c>
      <c r="G8912" s="10" t="inlineStr">
        <is>
          <t>31-03-2026</t>
        </is>
      </c>
      <c r="H8912" s="10" t="inlineStr">
        <is>
          <t>31/03/2026</t>
        </is>
      </c>
      <c r="I8912" s="10" t="inlineStr">
        <is>
          <t>17/03/2026</t>
        </is>
      </c>
      <c r="J8912" s="10" t="inlineStr">
        <is>
          <t>Kế toán / Kiểm toán, Sản xuất / Vận hành sản xuất</t>
        </is>
      </c>
      <c r="K8912" s="10" t="inlineStr">
        <is>
          <t>1 - 2 Năm</t>
        </is>
      </c>
      <c r="L8912" s="11">
        <f>HYPERLINK("https://careerviet.vn/vi/tim-viec-lam/nhan-vien-ke-toan-gia-thanh.35C6A573.html","Xem chi tiết")</f>
        <v/>
      </c>
      <c r="M8912" s="10" t="n"/>
    </row>
    <row r="8913">
      <c r="B8913" s="7" t="n">
        <v>8911</v>
      </c>
      <c r="C8913" t="inlineStr">
        <is>
          <t>Washing Process Technical Engineer</t>
        </is>
      </c>
      <c r="D8913" t="inlineStr">
        <is>
          <t>CÔNG TY TNHH WGR INDUSTRIES</t>
        </is>
      </c>
      <c r="E8913" t="inlineStr">
        <is>
          <t>Lương:Cạnh tranh</t>
        </is>
      </c>
      <c r="F8913" t="inlineStr">
        <is>
          <t>Bình Định</t>
        </is>
      </c>
      <c r="G8913" t="inlineStr">
        <is>
          <t>31-03-2026</t>
        </is>
      </c>
      <c r="H8913" t="inlineStr">
        <is>
          <t>31/03/2026</t>
        </is>
      </c>
      <c r="I8913" t="inlineStr">
        <is>
          <t>17/03/2026</t>
        </is>
      </c>
      <c r="J8913" t="inlineStr">
        <is>
          <t>Dệt may / Da giày / Thời trang, Sản xuất / Vận hành sản xuất</t>
        </is>
      </c>
      <c r="K8913" t="inlineStr">
        <is>
          <t>1 - 3 Năm</t>
        </is>
      </c>
      <c r="L8913" s="8">
        <f>HYPERLINK("https://careerviet.vn/vi/tim-viec-lam/washing-process-technical-engineer.35C6A4F8.html","Xem chi tiết")</f>
        <v/>
      </c>
    </row>
    <row r="8914">
      <c r="B8914" s="9" t="n">
        <v>8912</v>
      </c>
      <c r="C8914" s="10" t="inlineStr">
        <is>
          <t>Kỹ sư quản lý vấn đề</t>
        </is>
      </c>
      <c r="D8914" s="10" t="inlineStr">
        <is>
          <t>Công ty TNHH Viettel - CHT</t>
        </is>
      </c>
      <c r="E8914" s="10" t="inlineStr">
        <is>
          <t>Lương:Cạnh tranh</t>
        </is>
      </c>
      <c r="F8914" s="10" t="inlineStr">
        <is>
          <t>Hà Nội</t>
        </is>
      </c>
      <c r="G8914" s="10" t="inlineStr">
        <is>
          <t>01-04-2026</t>
        </is>
      </c>
      <c r="H8914" s="10" t="inlineStr">
        <is>
          <t>01/04/2026</t>
        </is>
      </c>
      <c r="I8914" s="10" t="inlineStr">
        <is>
          <t>17/03/2026</t>
        </is>
      </c>
      <c r="J8914" s="10" t="inlineStr">
        <is>
          <t>CNTT - Phần mềm</t>
        </is>
      </c>
      <c r="K8914" s="10" t="inlineStr">
        <is>
          <t>2 - 5 Năm</t>
        </is>
      </c>
      <c r="L8914" s="11">
        <f>HYPERLINK("https://careerviet.vn/vi/tim-viec-lam/ky-su-quan-ly-van-de.35C6A5E3.html","Xem chi tiết")</f>
        <v/>
      </c>
      <c r="M8914" s="10" t="n"/>
    </row>
    <row r="8915">
      <c r="B8915" s="7" t="n">
        <v>8913</v>
      </c>
      <c r="C8915" t="inlineStr">
        <is>
          <t>Chuyên Viên Phát Triển Hệ Thống Kênh GT (Sales Capability)</t>
        </is>
      </c>
      <c r="D8915" t="inlineStr">
        <is>
          <t>CÔNG TY CỔ PHẦN THỰC PHẨM HỮU NGHỊ</t>
        </is>
      </c>
      <c r="E8915" t="inlineStr">
        <is>
          <t>Lương:Cạnh tranh</t>
        </is>
      </c>
      <c r="F8915" t="inlineStr">
        <is>
          <t>Hồ Chí Minh</t>
        </is>
      </c>
      <c r="G8915" t="inlineStr">
        <is>
          <t>31-03-2026</t>
        </is>
      </c>
      <c r="H8915" t="inlineStr">
        <is>
          <t>31/03/2026</t>
        </is>
      </c>
      <c r="I8915" t="inlineStr">
        <is>
          <t>17/03/2026</t>
        </is>
      </c>
      <c r="J8915" t="inlineStr">
        <is>
          <t>Tiếp thị / Marketing, Bán lẻ / Bán sỉ, Bán hàng / Kinh doanh</t>
        </is>
      </c>
      <c r="K8915" t="inlineStr">
        <is>
          <t>1 - 3 Năm</t>
        </is>
      </c>
      <c r="L8915" s="8">
        <f>HYPERLINK("https://careerviet.vn/vi/tim-viec-lam/chuyen-vien-phat-trien-he-thong-kenh-gt-sales-capability.35C6A2FC.html","Xem chi tiết")</f>
        <v/>
      </c>
    </row>
    <row r="8916">
      <c r="B8916" s="9" t="n">
        <v>8914</v>
      </c>
      <c r="C8916" s="10" t="inlineStr">
        <is>
          <t>Đại Diện Bán Hàng</t>
        </is>
      </c>
      <c r="D8916" s="10" t="inlineStr">
        <is>
          <t>Tập Đoàn Karofi Holding</t>
        </is>
      </c>
      <c r="E8916" s="10" t="inlineStr">
        <is>
          <t>Lương:Cạnh tranh</t>
        </is>
      </c>
      <c r="F8916" s="10" t="inlineStr">
        <is>
          <t>Quảng NamHà TĩnhThừa Thiên- Huế</t>
        </is>
      </c>
      <c r="G8916" s="10" t="inlineStr">
        <is>
          <t>01-04-2026</t>
        </is>
      </c>
      <c r="H8916" s="10" t="inlineStr">
        <is>
          <t>01/04/2026</t>
        </is>
      </c>
      <c r="I8916" s="10" t="inlineStr">
        <is>
          <t>17/03/2026</t>
        </is>
      </c>
      <c r="J8916" s="10" t="inlineStr">
        <is>
          <t>Hàng gia dụng / Chăm sóc cá nhân, Bán lẻ / Bán sỉ, Bán hàng / Kinh doanh</t>
        </is>
      </c>
      <c r="K8916" s="10" t="inlineStr">
        <is>
          <t>Trên 1 Năm</t>
        </is>
      </c>
      <c r="L8916" s="11">
        <f>HYPERLINK("https://careerviet.vn/vi/tim-viec-lam/dai-dien-ban-hang.35C6A70C.html","Xem chi tiết")</f>
        <v/>
      </c>
      <c r="M8916" s="10" t="n"/>
    </row>
    <row r="8917">
      <c r="B8917" s="7" t="n">
        <v>8915</v>
      </c>
      <c r="C8917" t="inlineStr">
        <is>
          <t>Technical Specialist (Inspection)</t>
        </is>
      </c>
      <c r="D8917" t="inlineStr">
        <is>
          <t>Cty SGS Việt Nam TNHH</t>
        </is>
      </c>
      <c r="E8917" t="inlineStr">
        <is>
          <t>Lương:Cạnh tranh</t>
        </is>
      </c>
      <c r="F8917" t="inlineStr">
        <is>
          <t>Hồ Chí Minh</t>
        </is>
      </c>
      <c r="G8917" t="inlineStr">
        <is>
          <t>02-04-2026</t>
        </is>
      </c>
      <c r="H8917" t="inlineStr">
        <is>
          <t>02/04/2026</t>
        </is>
      </c>
      <c r="I8917" t="inlineStr">
        <is>
          <t>17/03/2026</t>
        </is>
      </c>
      <c r="J8917" t="inlineStr">
        <is>
          <t>Dệt may / Da giày / Thời trang, Cơ khí / Ô tô / Tự động hóa, Điện / Điện tử / Điện lạnh / Điện công nghiệp</t>
        </is>
      </c>
      <c r="K8917" t="inlineStr">
        <is>
          <t>2 - 5 Năm</t>
        </is>
      </c>
      <c r="L8917" s="8">
        <f>HYPERLINK("https://careerviet.vn/vi/tim-viec-lam/technical-specialist-inspection.35C6A4D5.html","Xem chi tiết")</f>
        <v/>
      </c>
    </row>
    <row r="8918">
      <c r="B8918" s="9" t="n">
        <v>8916</v>
      </c>
      <c r="C8918" s="10" t="inlineStr">
        <is>
          <t>Nhân viên QC( chuyên Ngành Hóa)</t>
        </is>
      </c>
      <c r="D8918" s="10" t="inlineStr">
        <is>
          <t>Tập Đoàn Kim Tín</t>
        </is>
      </c>
      <c r="E8918" s="10" t="inlineStr">
        <is>
          <t>Lương:Cạnh tranh</t>
        </is>
      </c>
      <c r="F8918" s="10" t="inlineStr">
        <is>
          <t>Bình Phước</t>
        </is>
      </c>
      <c r="G8918" s="10" t="inlineStr">
        <is>
          <t>01-04-2026</t>
        </is>
      </c>
      <c r="H8918" s="10" t="inlineStr">
        <is>
          <t>01/04/2026</t>
        </is>
      </c>
      <c r="I8918" s="10" t="inlineStr">
        <is>
          <t>17/03/2026</t>
        </is>
      </c>
      <c r="J8918" s="10" t="inlineStr">
        <is>
          <t>Cơ khí / Ô tô / Tự động hóa, Công nghệ sinh học, Công nghệ thực phẩm / Dinh dưỡng</t>
        </is>
      </c>
      <c r="K8918" s="10" t="inlineStr">
        <is>
          <t>Chưa có kinh nghiệm</t>
        </is>
      </c>
      <c r="L8918" s="11">
        <f>HYPERLINK("https://careerviet.vn/vi/tim-viec-lam/nhan-vien-qc-chuyen-nganh-hoa.35C6A487.html","Xem chi tiết")</f>
        <v/>
      </c>
      <c r="M8918" s="10" t="n"/>
    </row>
    <row r="8919">
      <c r="B8919" s="7" t="n">
        <v>8917</v>
      </c>
      <c r="C8919" t="inlineStr">
        <is>
          <t>Chuyên Viên/Chuyên viên cao cấp Quan Hệ Khách Hàng Cá Nhân - Khu vực Miền Tây (Cần Thơ, An Giang, Bạc Liêu)</t>
        </is>
      </c>
      <c r="D8919" t="inlineStr">
        <is>
          <t>Ngân hàng TMCP Việt Á – VietABank</t>
        </is>
      </c>
      <c r="E8919" t="inlineStr">
        <is>
          <t>Lương:8 Tr - 25 Tr VND</t>
        </is>
      </c>
      <c r="F8919" t="inlineStr">
        <is>
          <t>Cần ThơAn GiangBạc Liêu</t>
        </is>
      </c>
      <c r="G8919" t="inlineStr">
        <is>
          <t>01-04-2026</t>
        </is>
      </c>
      <c r="H8919" t="inlineStr">
        <is>
          <t>01/04/2026</t>
        </is>
      </c>
      <c r="I8919" t="inlineStr">
        <is>
          <t>17/03/2026</t>
        </is>
      </c>
      <c r="J8919" t="inlineStr">
        <is>
          <t>Bảo hiểm, Bất động sản, Ngân hàng</t>
        </is>
      </c>
      <c r="K8919" t="inlineStr">
        <is>
          <t>1 - 3 Năm</t>
        </is>
      </c>
      <c r="L8919" s="8">
        <f>HYPERLINK("https://careerviet.vn/vi/tim-viec-lam/chuyen-vien-chuyen-vien-cao-cap-quan-he-khach-hang-ca-nhan-khu-vuc-mien-tay-can-tho-an-giang-bac-lieu.35C6A685.html","Xem chi tiết")</f>
        <v/>
      </c>
    </row>
    <row r="8920">
      <c r="B8920" s="9" t="n">
        <v>8918</v>
      </c>
      <c r="C8920" s="10" t="inlineStr">
        <is>
          <t>Nhân viên phục vụ Phòng chờ  (Làm Việc Tại Cảng Hàng Không Quốc Tế Tân Sơn Nhất)</t>
        </is>
      </c>
      <c r="D8920" s="10" t="inlineStr">
        <is>
          <t>CÔNG TY CỔ PHẦN DỊCH VỤ HÀNG KHÔNG TASECO SÀI GÒN</t>
        </is>
      </c>
      <c r="E8920" s="10" t="inlineStr">
        <is>
          <t>Lương:10 Tr - 13 Tr VND</t>
        </is>
      </c>
      <c r="F8920" s="10" t="inlineStr">
        <is>
          <t>Hồ Chí Minh</t>
        </is>
      </c>
      <c r="G8920" s="10" t="inlineStr">
        <is>
          <t>03-04-2026</t>
        </is>
      </c>
      <c r="H8920" s="10" t="inlineStr">
        <is>
          <t>03/04/2026</t>
        </is>
      </c>
      <c r="I8920" s="10" t="inlineStr">
        <is>
          <t>17/03/2026</t>
        </is>
      </c>
      <c r="J8920" s="10" t="inlineStr">
        <is>
          <t>Bán lẻ / Bán sỉ, Thực phẩm &amp; Đồ uống, Nhà hàng / Khách sạn</t>
        </is>
      </c>
      <c r="K8920" s="10" t="inlineStr">
        <is>
          <t>N/A</t>
        </is>
      </c>
      <c r="L8920" s="11">
        <f>HYPERLINK("https://careerviet.vn/vi/tim-viec-lam/nhan-vien-phuc-vu-phong-cho-lam-viec-tai-cang-hang-khong-quoc-te-tan-son-nhat.35C6A4E2.html","Xem chi tiết")</f>
        <v/>
      </c>
      <c r="M8920" s="10" t="n"/>
    </row>
    <row r="8921">
      <c r="B8921" s="7" t="n">
        <v>8919</v>
      </c>
      <c r="C8921" t="inlineStr">
        <is>
          <t>Lab Supervisor - Pesticide</t>
        </is>
      </c>
      <c r="D8921" t="inlineStr">
        <is>
          <t>Cty SGS Việt Nam TNHH</t>
        </is>
      </c>
      <c r="E8921" t="inlineStr">
        <is>
          <t>Lương:Cạnh tranh</t>
        </is>
      </c>
      <c r="F8921" t="inlineStr">
        <is>
          <t>Hồ Chí Minh</t>
        </is>
      </c>
      <c r="G8921" t="inlineStr">
        <is>
          <t>11-04-2026</t>
        </is>
      </c>
      <c r="H8921" t="inlineStr">
        <is>
          <t>11/04/2026</t>
        </is>
      </c>
      <c r="I8921" t="inlineStr">
        <is>
          <t>17/03/2026</t>
        </is>
      </c>
      <c r="J8921" t="inlineStr">
        <is>
          <t>Hóa học</t>
        </is>
      </c>
      <c r="K8921" t="inlineStr">
        <is>
          <t>4 - 10 Năm</t>
        </is>
      </c>
      <c r="L8921" s="8">
        <f>HYPERLINK("https://careerviet.vn/vi/tim-viec-lam/lab-supervisor-pesticide.35C6A6C5.html","Xem chi tiết")</f>
        <v/>
      </c>
    </row>
    <row r="8922">
      <c r="B8922" s="9" t="n">
        <v>8920</v>
      </c>
      <c r="C8922" s="10" t="inlineStr">
        <is>
          <t>ASM MIỀN ĐÔNG</t>
        </is>
      </c>
      <c r="D8922" s="10" t="inlineStr">
        <is>
          <t>Công ty Cổ phần TM-SX-DV Gia Thịnh Phát</t>
        </is>
      </c>
      <c r="E8922" s="10" t="inlineStr">
        <is>
          <t>Lương:15 Tr - 40 Tr VND</t>
        </is>
      </c>
      <c r="F8922" s="10" t="inlineStr">
        <is>
          <t>KV Đông Nam Bộ</t>
        </is>
      </c>
      <c r="G8922" s="10" t="inlineStr">
        <is>
          <t>02-04-2026</t>
        </is>
      </c>
      <c r="H8922" s="10" t="inlineStr">
        <is>
          <t>02/04/2026</t>
        </is>
      </c>
      <c r="I8922" s="10" t="inlineStr">
        <is>
          <t>17/03/2026</t>
        </is>
      </c>
      <c r="J8922" s="10" t="inlineStr">
        <is>
          <t>Bán hàng / Kinh doanh, Thực phẩm &amp; Đồ uống, Quản lý điều hành</t>
        </is>
      </c>
      <c r="K8922" s="10" t="inlineStr">
        <is>
          <t>3 - 5 Năm</t>
        </is>
      </c>
      <c r="L8922" s="11">
        <f>HYPERLINK("https://careerviet.vn/vi/tim-viec-lam/asm-mien-dong.35C6A42F.html","Xem chi tiết")</f>
        <v/>
      </c>
      <c r="M8922" s="10" t="n"/>
    </row>
    <row r="8923">
      <c r="B8923" s="7" t="n">
        <v>8921</v>
      </c>
      <c r="C8923" t="inlineStr">
        <is>
          <t>Leader Tuyển Dụng</t>
        </is>
      </c>
      <c r="D8923" t="inlineStr">
        <is>
          <t>CÔNG TY TNHH TẬP ĐOÀN GTG</t>
        </is>
      </c>
      <c r="E8923" t="inlineStr">
        <is>
          <t>Lương:Cạnh tranh</t>
        </is>
      </c>
      <c r="F8923" t="inlineStr">
        <is>
          <t>Hà Nội</t>
        </is>
      </c>
      <c r="G8923" t="inlineStr">
        <is>
          <t>01-04-2026</t>
        </is>
      </c>
      <c r="H8923" t="inlineStr">
        <is>
          <t>01/04/2026</t>
        </is>
      </c>
      <c r="I8923" t="inlineStr">
        <is>
          <t>17/03/2026</t>
        </is>
      </c>
      <c r="J8923" t="inlineStr">
        <is>
          <t>Nhân sự, Hành chính / Thư ký, Quản lý điều hành</t>
        </is>
      </c>
      <c r="K8923" t="inlineStr">
        <is>
          <t>Trên 1 Năm</t>
        </is>
      </c>
      <c r="L8923" s="8">
        <f>HYPERLINK("https://careerviet.vn/vi/tim-viec-lam/leader-tuyen-dung.35C6A55A.html","Xem chi tiết")</f>
        <v/>
      </c>
    </row>
    <row r="8924">
      <c r="B8924" s="9" t="n">
        <v>8922</v>
      </c>
      <c r="C8924" s="10" t="inlineStr">
        <is>
          <t>Production Executive (Cần Giuộc Long An)</t>
        </is>
      </c>
      <c r="D8924" s="10" t="inlineStr">
        <is>
          <t>Công Ty TNHH CJ Foods Việt Nam</t>
        </is>
      </c>
      <c r="E8924" s="10" t="inlineStr">
        <is>
          <t>Lương:Cạnh tranh</t>
        </is>
      </c>
      <c r="F8924" s="10" t="inlineStr">
        <is>
          <t>Long An</t>
        </is>
      </c>
      <c r="G8924" s="10" t="inlineStr">
        <is>
          <t>04-04-2026</t>
        </is>
      </c>
      <c r="H8924" s="10" t="inlineStr">
        <is>
          <t>04/04/2026</t>
        </is>
      </c>
      <c r="I8924" s="10" t="inlineStr">
        <is>
          <t>17/03/2026</t>
        </is>
      </c>
      <c r="J8924" s="10" t="inlineStr">
        <is>
          <t>Sản xuất / Vận hành sản xuất, Công nghệ thực phẩm / Dinh dưỡng, Thực phẩm &amp; Đồ uống</t>
        </is>
      </c>
      <c r="K8924" s="10" t="inlineStr">
        <is>
          <t>2 - 5 Năm</t>
        </is>
      </c>
      <c r="L8924" s="11">
        <f>HYPERLINK("https://careerviet.vn/vi/tim-viec-lam/production-executive-can-giuoc-long-an.35C6A456.html","Xem chi tiết")</f>
        <v/>
      </c>
      <c r="M8924" s="10" t="n"/>
    </row>
    <row r="8925">
      <c r="B8925" s="7" t="n">
        <v>8923</v>
      </c>
      <c r="C8925" t="inlineStr">
        <is>
          <t>English Teacher For Kids  [Tan Phu District]</t>
        </is>
      </c>
      <c r="D8925" t="inlineStr">
        <is>
          <t>CareerViet's client</t>
        </is>
      </c>
      <c r="E8925" t="inlineStr">
        <is>
          <t>Lương:8 Tr - 13 Tr VND</t>
        </is>
      </c>
      <c r="F8925" t="inlineStr">
        <is>
          <t>Hồ Chí Minh</t>
        </is>
      </c>
      <c r="G8925" t="inlineStr">
        <is>
          <t>5</t>
        </is>
      </c>
      <c r="H8925" t="inlineStr">
        <is>
          <t>22/03/2026</t>
        </is>
      </c>
      <c r="I8925" t="inlineStr">
        <is>
          <t>17/03/2026</t>
        </is>
      </c>
      <c r="J8925" t="inlineStr">
        <is>
          <t>Giáo dục / Đào tạo, Biên phiên dịch, Ngành khác</t>
        </is>
      </c>
      <c r="K8925" t="inlineStr">
        <is>
          <t>1 - 2 Năm</t>
        </is>
      </c>
      <c r="L8925" s="8">
        <f>HYPERLINK("https://careerviet.vn/vi/tim-viec-lam/english-teacher-for-kids-tan-phu-district.35C6A67D.html","Xem chi tiết")</f>
        <v/>
      </c>
    </row>
    <row r="8926">
      <c r="B8926" s="9" t="n">
        <v>8924</v>
      </c>
      <c r="C8926" s="10" t="inlineStr">
        <is>
          <t>IQC STAFF</t>
        </is>
      </c>
      <c r="D8926" s="10" t="inlineStr">
        <is>
          <t>DAEYOUNG ELECTRONICS VINA</t>
        </is>
      </c>
      <c r="E8926" s="10" t="inlineStr">
        <is>
          <t>Lương:Cạnh tranh</t>
        </is>
      </c>
      <c r="F8926" s="10" t="inlineStr">
        <is>
          <t>Hồ Chí Minh</t>
        </is>
      </c>
      <c r="G8926" s="10" t="inlineStr">
        <is>
          <t>30-04-2026</t>
        </is>
      </c>
      <c r="H8926" s="10" t="inlineStr">
        <is>
          <t>30/04/2026</t>
        </is>
      </c>
      <c r="I8926" s="10" t="inlineStr">
        <is>
          <t>17/03/2026</t>
        </is>
      </c>
      <c r="J8926" s="10" t="inlineStr">
        <is>
          <t>Điện / Điện tử / Điện lạnh / Điện công nghiệp, Sản xuất / Vận hành sản xuất, Quản lý chất lượng (QA/QC)</t>
        </is>
      </c>
      <c r="K8926" s="10" t="inlineStr">
        <is>
          <t>Lên đến 2 Năm</t>
        </is>
      </c>
      <c r="L8926" s="11">
        <f>HYPERLINK("https://careerviet.vn/vi/tim-viec-lam/iqc-staff.35C6A3DF.html","Xem chi tiết")</f>
        <v/>
      </c>
      <c r="M8926" s="10" t="n"/>
    </row>
    <row r="8927">
      <c r="B8927" s="7" t="n">
        <v>8925</v>
      </c>
      <c r="C8927" t="inlineStr">
        <is>
          <t>[Hà Nội] Chuyên viên Tuyển dụng</t>
        </is>
      </c>
      <c r="D8927" t="inlineStr">
        <is>
          <t>Công Ty TNHH XNK Phát Triển Đông Dương</t>
        </is>
      </c>
      <c r="E8927" t="inlineStr">
        <is>
          <t>Lương:15 Tr - 20 Tr VND</t>
        </is>
      </c>
      <c r="F8927" t="inlineStr">
        <is>
          <t>Hà Nội</t>
        </is>
      </c>
      <c r="G8927" t="inlineStr">
        <is>
          <t>03-04-2026</t>
        </is>
      </c>
      <c r="H8927" t="inlineStr">
        <is>
          <t>03/04/2026</t>
        </is>
      </c>
      <c r="I8927" t="inlineStr">
        <is>
          <t>17/03/2026</t>
        </is>
      </c>
      <c r="J8927" t="inlineStr">
        <is>
          <t>Nhân sự, Bán Hàng Kỹ Thuật, Luật / Pháp lý</t>
        </is>
      </c>
      <c r="K8927" t="inlineStr">
        <is>
          <t>Trên 2 Năm</t>
        </is>
      </c>
      <c r="L8927" s="8">
        <f>HYPERLINK("https://careerviet.vn/vi/tim-viec-lam/ha-noi-chuyen-vien-tuyen-dung.35C6A486.html","Xem chi tiết")</f>
        <v/>
      </c>
    </row>
    <row r="8928">
      <c r="B8928" s="9" t="n">
        <v>8926</v>
      </c>
      <c r="C8928" s="10" t="inlineStr">
        <is>
          <t>Nhân viên Kế Toán Kế Soát</t>
        </is>
      </c>
      <c r="D8928" s="10" t="inlineStr">
        <is>
          <t>CÔNG TY TNHH TẬP ĐOÀN GTG</t>
        </is>
      </c>
      <c r="E8928" s="10" t="inlineStr">
        <is>
          <t>Lương:9 Tr - 11 Tr VND</t>
        </is>
      </c>
      <c r="F8928" s="10" t="inlineStr">
        <is>
          <t>Hà Nội</t>
        </is>
      </c>
      <c r="G8928" s="10" t="inlineStr">
        <is>
          <t>01-04-2026</t>
        </is>
      </c>
      <c r="H8928" s="10" t="inlineStr">
        <is>
          <t>01/04/2026</t>
        </is>
      </c>
      <c r="I8928" s="10" t="inlineStr">
        <is>
          <t>17/03/2026</t>
        </is>
      </c>
      <c r="J8928" s="10" t="inlineStr">
        <is>
          <t>Kế toán / Kiểm toán, Tiếp thị / Marketing, Tài chính / Đầu tư</t>
        </is>
      </c>
      <c r="K8928" s="10" t="inlineStr">
        <is>
          <t>1 - 2 Năm</t>
        </is>
      </c>
      <c r="L8928" s="11">
        <f>HYPERLINK("https://careerviet.vn/vi/tim-viec-lam/nhan-vien-ke-toan-ke-soat.35C6A559.html","Xem chi tiết")</f>
        <v/>
      </c>
      <c r="M8928" s="10" t="n"/>
    </row>
    <row r="8929">
      <c r="B8929" s="7" t="n">
        <v>8927</v>
      </c>
      <c r="C8929" t="inlineStr">
        <is>
          <t>Cargo Sales cum Customer Service (Hà Nội)</t>
        </is>
      </c>
      <c r="D8929" t="inlineStr">
        <is>
          <t>CÔNG TY CỔ PHẦN ITL AVIATION LOGISTICS</t>
        </is>
      </c>
      <c r="E8929" t="inlineStr">
        <is>
          <t>Lương:Cạnh tranh</t>
        </is>
      </c>
      <c r="F8929" t="inlineStr">
        <is>
          <t>Hà Nội</t>
        </is>
      </c>
      <c r="G8929" t="inlineStr">
        <is>
          <t>01-04-2026</t>
        </is>
      </c>
      <c r="H8929" t="inlineStr">
        <is>
          <t>01/04/2026</t>
        </is>
      </c>
      <c r="I8929" t="inlineStr">
        <is>
          <t>17/03/2026</t>
        </is>
      </c>
      <c r="J8929" t="inlineStr">
        <is>
          <t>Hàng không, Vận chuyển / Giao nhận / Kho vận</t>
        </is>
      </c>
      <c r="K8929" t="inlineStr">
        <is>
          <t>2 - 4 Năm</t>
        </is>
      </c>
      <c r="L8929" s="8">
        <f>HYPERLINK("https://careerviet.vn/vi/tim-viec-lam/cargo-sales-cum-customer-service-ha-noi.35C6A420.html","Xem chi tiết")</f>
        <v/>
      </c>
    </row>
    <row r="8930">
      <c r="B8930" s="9" t="n">
        <v>8928</v>
      </c>
      <c r="C8930" s="10" t="inlineStr">
        <is>
          <t>Chuyên viên Thẩm định Khách hàng Doanh nghiệp</t>
        </is>
      </c>
      <c r="D8930" s="10" t="inlineStr">
        <is>
          <t>Ngân Hàng TMCP Sài Gòn - Hà Nội ( SHB )</t>
        </is>
      </c>
      <c r="E8930" s="10" t="inlineStr">
        <is>
          <t>Lương:Cạnh tranh</t>
        </is>
      </c>
      <c r="F8930" s="10" t="inlineStr">
        <is>
          <t>Hà Nội</t>
        </is>
      </c>
      <c r="G8930" s="10" t="inlineStr">
        <is>
          <t>01-04-2026</t>
        </is>
      </c>
      <c r="H8930" s="10" t="inlineStr">
        <is>
          <t>01/04/2026</t>
        </is>
      </c>
      <c r="I8930" s="10" t="inlineStr">
        <is>
          <t>17/03/2026</t>
        </is>
      </c>
      <c r="J8930" s="10" t="inlineStr">
        <is>
          <t>Ngân hàng</t>
        </is>
      </c>
      <c r="K8930" s="10" t="inlineStr">
        <is>
          <t>Trên 2 Năm</t>
        </is>
      </c>
      <c r="L8930" s="11">
        <f>HYPERLINK("https://careerviet.vn/vi/tim-viec-lam/chuyen-vien-tham-dinh-khach-hang-doanh-nghiep.35C6A356.html","Xem chi tiết")</f>
        <v/>
      </c>
      <c r="M8930" s="10" t="n"/>
    </row>
    <row r="8931">
      <c r="B8931" s="7" t="n">
        <v>8929</v>
      </c>
      <c r="C8931" t="inlineStr">
        <is>
          <t>Chuyên viên Quan hệ Khách hàng Doanh nghiệp (Toàn quốc)</t>
        </is>
      </c>
      <c r="D8931" t="inlineStr">
        <is>
          <t>Ngân Hàng TMCP Sài Gòn - Hà Nội ( SHB )</t>
        </is>
      </c>
      <c r="E8931" t="inlineStr">
        <is>
          <t>Lương:Cạnh tranh</t>
        </is>
      </c>
      <c r="F8931" t="inlineStr">
        <is>
          <t>Quảng BìnhQuảng NgãiKhánh Hòa</t>
        </is>
      </c>
      <c r="G8931" t="inlineStr">
        <is>
          <t>01-04-2026</t>
        </is>
      </c>
      <c r="H8931" t="inlineStr">
        <is>
          <t>01/04/2026</t>
        </is>
      </c>
      <c r="I8931" t="inlineStr">
        <is>
          <t>17/03/2026</t>
        </is>
      </c>
      <c r="J8931" t="inlineStr">
        <is>
          <t>Ngân hàng, Bán hàng / Kinh doanh</t>
        </is>
      </c>
      <c r="K8931" t="inlineStr">
        <is>
          <t>Chưa có kinh nghiệm</t>
        </is>
      </c>
      <c r="L8931" s="8">
        <f>HYPERLINK("https://careerviet.vn/vi/tim-viec-lam/chuyen-vien-quan-he-khach-hang-doanh-nghiep-toan-quoc.35C6A360.html","Xem chi tiết")</f>
        <v/>
      </c>
    </row>
    <row r="8932">
      <c r="B8932" s="9" t="n">
        <v>8930</v>
      </c>
      <c r="C8932" s="10" t="inlineStr">
        <is>
          <t>Trưởng phòng Phát triển nhân tài</t>
        </is>
      </c>
      <c r="D8932" s="10" t="inlineStr">
        <is>
          <t>Ngân Hàng TMCP Sài Gòn - Hà Nội ( SHB )</t>
        </is>
      </c>
      <c r="E8932" s="10" t="inlineStr">
        <is>
          <t>Lương:Cạnh tranh</t>
        </is>
      </c>
      <c r="F8932" s="10" t="inlineStr">
        <is>
          <t>Hà Nội</t>
        </is>
      </c>
      <c r="G8932" s="10" t="inlineStr">
        <is>
          <t>01-04-2026</t>
        </is>
      </c>
      <c r="H8932" s="10" t="inlineStr">
        <is>
          <t>01/04/2026</t>
        </is>
      </c>
      <c r="I8932" s="10" t="inlineStr">
        <is>
          <t>17/03/2026</t>
        </is>
      </c>
      <c r="J8932" s="10" t="inlineStr">
        <is>
          <t>Ngân hàng, Nhân sự</t>
        </is>
      </c>
      <c r="K8932" s="10" t="inlineStr">
        <is>
          <t>Trên 5 Năm</t>
        </is>
      </c>
      <c r="L8932" s="11">
        <f>HYPERLINK("https://careerviet.vn/vi/tim-viec-lam/truong-phong-phat-trien-nhan-tai.35C6A34D.html","Xem chi tiết")</f>
        <v/>
      </c>
      <c r="M8932" s="10" t="n"/>
    </row>
    <row r="8933">
      <c r="B8933" s="7" t="n">
        <v>8931</v>
      </c>
      <c r="C8933" t="inlineStr">
        <is>
          <t>Chuyên viên QC - Thu nhập lên đến 16tr/tháng</t>
        </is>
      </c>
      <c r="D8933" t="inlineStr">
        <is>
          <t>Công ty Cổ phần thực phẩm và đồ uống Barett</t>
        </is>
      </c>
      <c r="E8933" t="inlineStr">
        <is>
          <t>Lương:10 Tr - 16 Tr VND</t>
        </is>
      </c>
      <c r="F8933" t="inlineStr">
        <is>
          <t>Hưng Yên</t>
        </is>
      </c>
      <c r="G8933" t="inlineStr">
        <is>
          <t>31-03-2026</t>
        </is>
      </c>
      <c r="H8933" t="inlineStr">
        <is>
          <t>31/03/2026</t>
        </is>
      </c>
      <c r="I8933" t="inlineStr">
        <is>
          <t>17/03/2026</t>
        </is>
      </c>
      <c r="J8933" t="inlineStr">
        <is>
          <t>Quản lý chất lượng (QA/QC)</t>
        </is>
      </c>
      <c r="K8933" t="inlineStr">
        <is>
          <t>1 - 2 Năm</t>
        </is>
      </c>
      <c r="L8933" s="8">
        <f>HYPERLINK("https://careerviet.vn/vi/tim-viec-lam/chuyen-vien-qc-thu-nhap-len-den-16tr-thang.35C6A2B3.html","Xem chi tiết")</f>
        <v/>
      </c>
    </row>
    <row r="8934">
      <c r="B8934" s="9" t="n">
        <v>8932</v>
      </c>
      <c r="C8934" s="10" t="inlineStr">
        <is>
          <t>Chuyên viên thiết kế</t>
        </is>
      </c>
      <c r="D8934" s="10" t="inlineStr">
        <is>
          <t>Công Ty Cổ Phần Tập Đoàn Sunshine</t>
        </is>
      </c>
      <c r="E8934" s="10" t="inlineStr">
        <is>
          <t>Lương:12 Tr - 20 Tr VND</t>
        </is>
      </c>
      <c r="F8934" s="10" t="inlineStr">
        <is>
          <t>Hà Nội</t>
        </is>
      </c>
      <c r="G8934" s="10" t="inlineStr">
        <is>
          <t>31-03-2026</t>
        </is>
      </c>
      <c r="H8934" s="10" t="inlineStr">
        <is>
          <t>31/03/2026</t>
        </is>
      </c>
      <c r="I8934" s="10" t="inlineStr">
        <is>
          <t>17/03/2026</t>
        </is>
      </c>
      <c r="J8934" s="10" t="inlineStr">
        <is>
          <t>Mỹ thuật / Nghệ thuật / Thiết kế</t>
        </is>
      </c>
      <c r="K8934" s="10" t="inlineStr">
        <is>
          <t>3 - 5 Năm</t>
        </is>
      </c>
      <c r="L8934" s="11">
        <f>HYPERLINK("https://careerviet.vn/vi/tim-viec-lam/chuyen-vien-thiet-ke.35C6A669.html","Xem chi tiết")</f>
        <v/>
      </c>
      <c r="M8934" s="10" t="n"/>
    </row>
    <row r="8935">
      <c r="B8935" s="7" t="n">
        <v>8933</v>
      </c>
      <c r="C8935" t="inlineStr">
        <is>
          <t>CHUYÊN VIÊN KẾ HOẠCH SẢN XUẤT (PRODUCTION PLANNING STAFF)</t>
        </is>
      </c>
      <c r="D8935" t="inlineStr">
        <is>
          <t>Tập Đoàn Karofi Holding</t>
        </is>
      </c>
      <c r="E8935" t="inlineStr">
        <is>
          <t>Lương:Cạnh tranh</t>
        </is>
      </c>
      <c r="F8935" t="inlineStr">
        <is>
          <t>Hưng Yên</t>
        </is>
      </c>
      <c r="G8935" t="inlineStr">
        <is>
          <t>01-04-2026</t>
        </is>
      </c>
      <c r="H8935" t="inlineStr">
        <is>
          <t>01/04/2026</t>
        </is>
      </c>
      <c r="I8935" t="inlineStr">
        <is>
          <t>17/03/2026</t>
        </is>
      </c>
      <c r="J8935" t="inlineStr">
        <is>
          <t>Cơ khí / Ô tô / Tự động hóa, Sản xuất / Vận hành sản xuất, Bảo trì / Sửa chữa</t>
        </is>
      </c>
      <c r="K8935" t="inlineStr">
        <is>
          <t>Trên 2 Năm</t>
        </is>
      </c>
      <c r="L8935" s="8">
        <f>HYPERLINK("https://careerviet.vn/vi/tim-viec-lam/chuyen-vien-ke-hoach-san-xuat-production-planning-staff.35C6A626.html","Xem chi tiết")</f>
        <v/>
      </c>
    </row>
    <row r="8936">
      <c r="B8936" s="9" t="n">
        <v>8934</v>
      </c>
      <c r="C8936" s="10" t="inlineStr">
        <is>
          <t>Chuyên Viên Hệ Thống Chất Lượng Cấp Cao</t>
        </is>
      </c>
      <c r="D8936" s="10" t="inlineStr">
        <is>
          <t>CÔNG TY CỔ PHẦN TẬP ĐOÀN ĐẦU TƯ I.P.A</t>
        </is>
      </c>
      <c r="E8936" s="10" t="inlineStr">
        <is>
          <t>Lương:Cạnh tranh</t>
        </is>
      </c>
      <c r="F8936" s="10" t="inlineStr">
        <is>
          <t>Hưng Yên</t>
        </is>
      </c>
      <c r="G8936" s="10" t="inlineStr">
        <is>
          <t>31-03-2026</t>
        </is>
      </c>
      <c r="H8936" s="10" t="inlineStr">
        <is>
          <t>31/03/2026</t>
        </is>
      </c>
      <c r="I8936" s="10" t="inlineStr">
        <is>
          <t>17/03/2026</t>
        </is>
      </c>
      <c r="J8936" s="10" t="inlineStr">
        <is>
          <t>Công nghệ thực phẩm / Dinh dưỡng, Hóa học, Quản lý chất lượng (QA/QC)</t>
        </is>
      </c>
      <c r="K8936" s="10" t="inlineStr">
        <is>
          <t>Trên 3 Năm</t>
        </is>
      </c>
      <c r="L8936" s="11">
        <f>HYPERLINK("https://careerviet.vn/vi/tim-viec-lam/chuyen-vien-he-thong-chat-luong-cap-cao.35C6A413.html","Xem chi tiết")</f>
        <v/>
      </c>
      <c r="M8936" s="10" t="n"/>
    </row>
    <row r="8937">
      <c r="B8937" s="7" t="n">
        <v>8935</v>
      </c>
      <c r="C8937" t="inlineStr">
        <is>
          <t>Nhân viên điều phối hàng hóa</t>
        </is>
      </c>
      <c r="D8937" t="inlineStr">
        <is>
          <t>CÔNG TY TNHH GRANFORD</t>
        </is>
      </c>
      <c r="E8937" t="inlineStr">
        <is>
          <t>Lương:15 Tr - 18 Tr VND</t>
        </is>
      </c>
      <c r="F8937" t="inlineStr">
        <is>
          <t>Hồ Chí Minh</t>
        </is>
      </c>
      <c r="G8937" t="inlineStr">
        <is>
          <t>30-04-2026</t>
        </is>
      </c>
      <c r="H8937" t="inlineStr">
        <is>
          <t>30/04/2026</t>
        </is>
      </c>
      <c r="I8937" t="inlineStr">
        <is>
          <t>17/03/2026</t>
        </is>
      </c>
      <c r="J8937" t="inlineStr">
        <is>
          <t>Vận chuyển / Giao nhận / Kho vận, Xuất nhập khẩu</t>
        </is>
      </c>
      <c r="K8937" t="inlineStr">
        <is>
          <t>2 - 5 Năm</t>
        </is>
      </c>
      <c r="L8937" s="8">
        <f>HYPERLINK("https://careerviet.vn/vi/tim-viec-lam/nhan-vien-dieu-phoi-hang-hoa.35C6A541.html","Xem chi tiết")</f>
        <v/>
      </c>
    </row>
    <row r="8938">
      <c r="B8938" s="9" t="n">
        <v>8936</v>
      </c>
      <c r="C8938" s="10" t="inlineStr">
        <is>
          <t>Senior Product Specialist in Bond/Fund</t>
        </is>
      </c>
      <c r="D8938" s="10" t="inlineStr">
        <is>
          <t>Công Ty CP Chứng Khoán VNDIRECT</t>
        </is>
      </c>
      <c r="E8938" s="10" t="inlineStr">
        <is>
          <t>Lương:Cạnh tranh</t>
        </is>
      </c>
      <c r="F8938" s="10" t="inlineStr">
        <is>
          <t>Hà Nội</t>
        </is>
      </c>
      <c r="G8938" s="10" t="inlineStr">
        <is>
          <t>01-04-2026</t>
        </is>
      </c>
      <c r="H8938" s="10" t="inlineStr">
        <is>
          <t>01/04/2026</t>
        </is>
      </c>
      <c r="I8938" s="10" t="inlineStr">
        <is>
          <t>17/03/2026</t>
        </is>
      </c>
      <c r="J8938" s="10" t="inlineStr">
        <is>
          <t>Ngân hàng, Chứng khoán, Tài chính / Đầu tư</t>
        </is>
      </c>
      <c r="K8938" s="10" t="inlineStr">
        <is>
          <t>3 - 5 Năm</t>
        </is>
      </c>
      <c r="L8938" s="11">
        <f>HYPERLINK("https://careerviet.vn/vi/tim-viec-lam/senior-product-specialist-in-bond-fund.35C6A5BE.html","Xem chi tiết")</f>
        <v/>
      </c>
      <c r="M8938" s="10" t="n"/>
    </row>
    <row r="8939">
      <c r="B8939" s="7" t="n">
        <v>8937</v>
      </c>
      <c r="C8939" t="inlineStr">
        <is>
          <t>Chuyên gia/Chuyên viên cao cấp Tuyển dụng</t>
        </is>
      </c>
      <c r="D8939" t="inlineStr">
        <is>
          <t>Ngân Hàng TMCP Sài Gòn - Hà Nội ( SHB )</t>
        </is>
      </c>
      <c r="E8939" t="inlineStr">
        <is>
          <t>Lương:Cạnh tranh</t>
        </is>
      </c>
      <c r="F8939" t="inlineStr">
        <is>
          <t>Hà Nội</t>
        </is>
      </c>
      <c r="G8939" t="inlineStr">
        <is>
          <t>01-04-2026</t>
        </is>
      </c>
      <c r="H8939" t="inlineStr">
        <is>
          <t>01/04/2026</t>
        </is>
      </c>
      <c r="I8939" t="inlineStr">
        <is>
          <t>17/03/2026</t>
        </is>
      </c>
      <c r="J8939" t="inlineStr">
        <is>
          <t>Ngân hàng, Nhân sự</t>
        </is>
      </c>
      <c r="K8939" t="inlineStr">
        <is>
          <t>Trên 5 Năm</t>
        </is>
      </c>
      <c r="L8939" s="8">
        <f>HYPERLINK("https://careerviet.vn/vi/tim-viec-lam/chuyen-gia-chuyen-vien-cao-cap-tuyen-dung.35C6A355.html","Xem chi tiết")</f>
        <v/>
      </c>
    </row>
    <row r="8940">
      <c r="B8940" s="9" t="n">
        <v>8938</v>
      </c>
      <c r="C8940" s="10" t="inlineStr">
        <is>
          <t>Thực tập sinh Vận Hành Livestream</t>
        </is>
      </c>
      <c r="D8940" s="10" t="inlineStr">
        <is>
          <t>CÔNG TY TNHH MỘT THÀNH VIÊN TIKPLUS VIỆT NAM</t>
        </is>
      </c>
      <c r="E8940" s="10" t="inlineStr">
        <is>
          <t>Lương:1 Tr - 3 Tr VND</t>
        </is>
      </c>
      <c r="F8940" s="10" t="inlineStr">
        <is>
          <t>Hồ Chí Minh</t>
        </is>
      </c>
      <c r="G8940" s="10" t="inlineStr">
        <is>
          <t>31-03-2026</t>
        </is>
      </c>
      <c r="H8940" s="10" t="inlineStr">
        <is>
          <t>31/03/2026</t>
        </is>
      </c>
      <c r="I8940" s="10" t="inlineStr">
        <is>
          <t>17/03/2026</t>
        </is>
      </c>
      <c r="J8940" s="10" t="inlineStr">
        <is>
          <t>Thương mại điện tử, Quảng cáo / Đối ngoại / Truyền Thông, Mới tốt nghiệp / Thực tập</t>
        </is>
      </c>
      <c r="K8940" s="10" t="inlineStr">
        <is>
          <t>N/A</t>
        </is>
      </c>
      <c r="L8940" s="11">
        <f>HYPERLINK("https://careerviet.vn/vi/tim-viec-lam/thuc-tap-sinh-van-hanh-livestream.35C6A20B.html","Xem chi tiết")</f>
        <v/>
      </c>
      <c r="M8940" s="10" t="n"/>
    </row>
    <row r="8941">
      <c r="B8941" s="7" t="n">
        <v>8939</v>
      </c>
      <c r="C8941" t="inlineStr">
        <is>
          <t>Trưởng phòng Khách hàng Doanh nghiệp</t>
        </is>
      </c>
      <c r="D8941" t="inlineStr">
        <is>
          <t>Ngân Hàng TMCP Sài Gòn - Hà Nội ( SHB )</t>
        </is>
      </c>
      <c r="E8941" t="inlineStr">
        <is>
          <t>Lương:Cạnh tranh</t>
        </is>
      </c>
      <c r="F8941" t="inlineStr">
        <is>
          <t>Phú Thọ</t>
        </is>
      </c>
      <c r="G8941" t="inlineStr">
        <is>
          <t>01-04-2026</t>
        </is>
      </c>
      <c r="H8941" t="inlineStr">
        <is>
          <t>01/04/2026</t>
        </is>
      </c>
      <c r="I8941" t="inlineStr">
        <is>
          <t>17/03/2026</t>
        </is>
      </c>
      <c r="J8941" t="inlineStr">
        <is>
          <t>Ngân hàng, Tài chính / Đầu tư</t>
        </is>
      </c>
      <c r="K8941" t="inlineStr">
        <is>
          <t>Trên 3 Năm</t>
        </is>
      </c>
      <c r="L8941" s="8">
        <f>HYPERLINK("https://careerviet.vn/vi/tim-viec-lam/truong-phong-khach-hang-doanh-nghiep.35C6A35B.html","Xem chi tiết")</f>
        <v/>
      </c>
    </row>
    <row r="8942">
      <c r="B8942" s="9" t="n">
        <v>8940</v>
      </c>
      <c r="C8942" s="10" t="inlineStr">
        <is>
          <t>Thư Ký Dự Án</t>
        </is>
      </c>
      <c r="D8942" s="10" t="inlineStr">
        <is>
          <t>Công Ty Cổ Phần Tập Đoàn Bất Động Sản Thắng Lợi</t>
        </is>
      </c>
      <c r="E8942" s="10" t="inlineStr">
        <is>
          <t>Lương:Cạnh tranh</t>
        </is>
      </c>
      <c r="F8942" s="10" t="inlineStr">
        <is>
          <t>Long An</t>
        </is>
      </c>
      <c r="G8942" s="10" t="inlineStr">
        <is>
          <t>02-04-2026</t>
        </is>
      </c>
      <c r="H8942" s="10" t="inlineStr">
        <is>
          <t>02/04/2026</t>
        </is>
      </c>
      <c r="I8942" s="10" t="inlineStr">
        <is>
          <t>17/03/2026</t>
        </is>
      </c>
      <c r="J8942" s="10" t="inlineStr">
        <is>
          <t>Xây dựng, Bất động sản, Hành chính / Thư ký</t>
        </is>
      </c>
      <c r="K8942" s="10" t="inlineStr">
        <is>
          <t>3 - 4 Năm</t>
        </is>
      </c>
      <c r="L8942" s="11">
        <f>HYPERLINK("https://careerviet.vn/vi/tim-viec-lam/thu-ky-du-an.35C6A370.html","Xem chi tiết")</f>
        <v/>
      </c>
      <c r="M8942" s="10" t="n"/>
    </row>
    <row r="8943">
      <c r="B8943" s="7" t="n">
        <v>8941</v>
      </c>
      <c r="C8943" t="inlineStr">
        <is>
          <t>ASM Nam  Miền Trung (Nha Trang, Phú Yên, Bình Định)</t>
        </is>
      </c>
      <c r="D8943" t="inlineStr">
        <is>
          <t>Công ty Cổ phần TM-SX-DV Gia Thịnh Phát</t>
        </is>
      </c>
      <c r="E8943" t="inlineStr">
        <is>
          <t>Lương:15 Tr - 40 Tr VND</t>
        </is>
      </c>
      <c r="F8943" t="inlineStr">
        <is>
          <t>KV Bắc Trung Bộ</t>
        </is>
      </c>
      <c r="G8943" t="inlineStr">
        <is>
          <t>02-04-2026</t>
        </is>
      </c>
      <c r="H8943" t="inlineStr">
        <is>
          <t>02/04/2026</t>
        </is>
      </c>
      <c r="I8943" t="inlineStr">
        <is>
          <t>17/03/2026</t>
        </is>
      </c>
      <c r="J8943" t="inlineStr">
        <is>
          <t>Bán hàng / Kinh doanh, Thực phẩm &amp; Đồ uống, Quản lý điều hành</t>
        </is>
      </c>
      <c r="K8943" t="inlineStr">
        <is>
          <t>3 - 5 Năm</t>
        </is>
      </c>
      <c r="L8943" s="8">
        <f>HYPERLINK("https://careerviet.vn/vi/tim-viec-lam/asm-nam-mien-trung-nha-trang-phu-yen-binh-dinh.35C6A351.html","Xem chi tiết")</f>
        <v/>
      </c>
    </row>
    <row r="8944">
      <c r="B8944" s="9" t="n">
        <v>8942</v>
      </c>
      <c r="C8944" s="10" t="inlineStr">
        <is>
          <t>Kiểm soát viên Dịch vụ Khách hàng</t>
        </is>
      </c>
      <c r="D8944" s="10" t="inlineStr">
        <is>
          <t>Ngân Hàng TMCP Sài Gòn - Hà Nội ( SHB )</t>
        </is>
      </c>
      <c r="E8944" s="10" t="inlineStr">
        <is>
          <t>Lương:Cạnh tranh</t>
        </is>
      </c>
      <c r="F8944" s="10" t="inlineStr">
        <is>
          <t>Hà Nội</t>
        </is>
      </c>
      <c r="G8944" s="10" t="inlineStr">
        <is>
          <t>01-04-2026</t>
        </is>
      </c>
      <c r="H8944" s="10" t="inlineStr">
        <is>
          <t>01/04/2026</t>
        </is>
      </c>
      <c r="I8944" s="10" t="inlineStr">
        <is>
          <t>17/03/2026</t>
        </is>
      </c>
      <c r="J8944" s="10" t="inlineStr">
        <is>
          <t>Kế toán / Kiểm toán, Ngân hàng, Tài chính / Đầu tư</t>
        </is>
      </c>
      <c r="K8944" s="10" t="inlineStr">
        <is>
          <t>Trên 2 Năm</t>
        </is>
      </c>
      <c r="L8944" s="11">
        <f>HYPERLINK("https://careerviet.vn/vi/tim-viec-lam/kiem-soat-vien-dich-vu-khach-hang.35C6A349.html","Xem chi tiết")</f>
        <v/>
      </c>
      <c r="M8944" s="10" t="n"/>
    </row>
    <row r="8945">
      <c r="B8945" s="7" t="n">
        <v>8943</v>
      </c>
      <c r="C8945" t="inlineStr">
        <is>
          <t>Pricing &amp; Logistics Executive</t>
        </is>
      </c>
      <c r="D8945" t="inlineStr">
        <is>
          <t>UNIEXPORT CO., LTD</t>
        </is>
      </c>
      <c r="E8945" t="inlineStr">
        <is>
          <t>Lương:Cạnh tranh</t>
        </is>
      </c>
      <c r="F8945" t="inlineStr">
        <is>
          <t>Hồ Chí Minh</t>
        </is>
      </c>
      <c r="G8945" t="inlineStr">
        <is>
          <t>31-03-2026</t>
        </is>
      </c>
      <c r="H8945" t="inlineStr">
        <is>
          <t>31/03/2026</t>
        </is>
      </c>
      <c r="I8945" t="inlineStr">
        <is>
          <t>17/03/2026</t>
        </is>
      </c>
      <c r="J8945" t="inlineStr">
        <is>
          <t>Xuất nhập khẩu, Sản xuất / Vận hành sản xuất, Thu mua / Vật tư</t>
        </is>
      </c>
      <c r="K8945" t="inlineStr">
        <is>
          <t>2 - 3 Năm</t>
        </is>
      </c>
      <c r="L8945" s="8">
        <f>HYPERLINK("https://careerviet.vn/vi/tim-viec-lam/pricing-logistics-executive.35C6A2F3.html","Xem chi tiết")</f>
        <v/>
      </c>
    </row>
    <row r="8946">
      <c r="B8946" s="9" t="n">
        <v>8944</v>
      </c>
      <c r="C8946" s="10" t="inlineStr">
        <is>
          <t>Nhân viên kho</t>
        </is>
      </c>
      <c r="D8946" s="10" t="inlineStr">
        <is>
          <t>Orioled Hub</t>
        </is>
      </c>
      <c r="E8946" s="10" t="inlineStr">
        <is>
          <t>Lương:Cạnh tranh</t>
        </is>
      </c>
      <c r="F8946" s="10" t="inlineStr">
        <is>
          <t>Hồ Chí Minh</t>
        </is>
      </c>
      <c r="G8946" s="10" t="inlineStr">
        <is>
          <t>30-04-2026</t>
        </is>
      </c>
      <c r="H8946" s="10" t="inlineStr">
        <is>
          <t>30/04/2026</t>
        </is>
      </c>
      <c r="I8946" s="10" t="inlineStr">
        <is>
          <t>17/03/2026</t>
        </is>
      </c>
      <c r="J8946" s="10" t="inlineStr">
        <is>
          <t>Dược phẩm/ Hóa Mỹ Phẩm, Vận chuyển / Giao nhận / Kho vận, Xuất nhập khẩu</t>
        </is>
      </c>
      <c r="K8946" s="10" t="inlineStr">
        <is>
          <t>N/A</t>
        </is>
      </c>
      <c r="L8946" s="11">
        <f>HYPERLINK("https://careerviet.vn/vi/tim-viec-lam/nhan-vien-kho.35C6A63F.html","Xem chi tiết")</f>
        <v/>
      </c>
      <c r="M8946" s="10" t="n"/>
    </row>
    <row r="8947">
      <c r="B8947" s="7" t="n">
        <v>8945</v>
      </c>
      <c r="C8947" t="inlineStr">
        <is>
          <t>Thực Tập Sinh Truyền Thông Nội Bộ</t>
        </is>
      </c>
      <c r="D8947" t="inlineStr">
        <is>
          <t>CÔNG TY CỔ PHẦN VUA NỆM</t>
        </is>
      </c>
      <c r="E8947" t="inlineStr">
        <is>
          <t>Lương:1 Tr - 2 Tr VND</t>
        </is>
      </c>
      <c r="F8947" t="inlineStr">
        <is>
          <t>Hà Nội</t>
        </is>
      </c>
      <c r="G8947" t="inlineStr">
        <is>
          <t>01-04-2026</t>
        </is>
      </c>
      <c r="H8947" t="inlineStr">
        <is>
          <t>01/04/2026</t>
        </is>
      </c>
      <c r="I8947" t="inlineStr">
        <is>
          <t>17/03/2026</t>
        </is>
      </c>
      <c r="J8947" t="inlineStr">
        <is>
          <t>Nhân sự, Bán lẻ / Bán sỉ, Bán hàng / Kinh doanh</t>
        </is>
      </c>
      <c r="K8947" t="inlineStr">
        <is>
          <t>N/A</t>
        </is>
      </c>
      <c r="L8947" s="8">
        <f>HYPERLINK("https://careerviet.vn/vi/tim-viec-lam/thuc-tap-sinh-truyen-thong-noi-bo.35C6A6D6.html","Xem chi tiết")</f>
        <v/>
      </c>
    </row>
    <row r="8948">
      <c r="B8948" s="9" t="n">
        <v>8946</v>
      </c>
      <c r="C8948" s="10" t="inlineStr">
        <is>
          <t>Procurement Admin (Reporting &amp; Data Focus)</t>
        </is>
      </c>
      <c r="D8948" s="10" t="inlineStr">
        <is>
          <t>UNIEXPORT CO., LTD</t>
        </is>
      </c>
      <c r="E8948" s="10" t="inlineStr">
        <is>
          <t>Lương:Cạnh tranh</t>
        </is>
      </c>
      <c r="F8948" s="10" t="inlineStr">
        <is>
          <t>Hồ Chí Minh</t>
        </is>
      </c>
      <c r="G8948" s="10" t="inlineStr">
        <is>
          <t>31-03-2026</t>
        </is>
      </c>
      <c r="H8948" s="10" t="inlineStr">
        <is>
          <t>31/03/2026</t>
        </is>
      </c>
      <c r="I8948" s="10" t="inlineStr">
        <is>
          <t>17/03/2026</t>
        </is>
      </c>
      <c r="J8948" s="10" t="inlineStr">
        <is>
          <t>Thu mua / Vật tư, Hành chính / Thư ký, Sản xuất / Vận hành sản xuất</t>
        </is>
      </c>
      <c r="K8948" s="10" t="inlineStr">
        <is>
          <t>2 - 3 Năm</t>
        </is>
      </c>
      <c r="L8948" s="11">
        <f>HYPERLINK("https://careerviet.vn/vi/tim-viec-lam/procurement-admin-reporting-data-focus.35C6A315.html","Xem chi tiết")</f>
        <v/>
      </c>
      <c r="M8948" s="10" t="n"/>
    </row>
    <row r="8949">
      <c r="B8949" s="7" t="n">
        <v>8947</v>
      </c>
      <c r="C8949" t="inlineStr">
        <is>
          <t>Chuyên viên Quan hệ Khách hàng Doanh nghiệp (Toàn quốc)</t>
        </is>
      </c>
      <c r="D8949" t="inlineStr">
        <is>
          <t>Ngân Hàng TMCP Sài Gòn - Hà Nội ( SHB )</t>
        </is>
      </c>
      <c r="E8949" t="inlineStr">
        <is>
          <t>Lương:Cạnh tranh</t>
        </is>
      </c>
      <c r="F8949" t="inlineStr">
        <is>
          <t>Hà NamThanh HóaHà Tĩnh</t>
        </is>
      </c>
      <c r="G8949" t="inlineStr">
        <is>
          <t>01-04-2026</t>
        </is>
      </c>
      <c r="H8949" t="inlineStr">
        <is>
          <t>01/04/2026</t>
        </is>
      </c>
      <c r="I8949" t="inlineStr">
        <is>
          <t>17/03/2026</t>
        </is>
      </c>
      <c r="J8949" t="inlineStr">
        <is>
          <t>Ngân hàng, Bán hàng / Kinh doanh</t>
        </is>
      </c>
      <c r="K8949" t="inlineStr">
        <is>
          <t>Chưa có kinh nghiệm</t>
        </is>
      </c>
      <c r="L8949" s="8">
        <f>HYPERLINK("https://careerviet.vn/vi/tim-viec-lam/chuyen-vien-quan-he-khach-hang-doanh-nghiep-toan-quoc.35C6A35E.html","Xem chi tiết")</f>
        <v/>
      </c>
    </row>
    <row r="8950">
      <c r="B8950" s="9" t="n">
        <v>8948</v>
      </c>
      <c r="C8950" s="10" t="inlineStr">
        <is>
          <t>Kế Toán Tổng Hợp</t>
        </is>
      </c>
      <c r="D8950" s="10" t="inlineStr">
        <is>
          <t>Công Ty Cổ Phần Tập Đoàn Sunshine</t>
        </is>
      </c>
      <c r="E8950" s="10" t="inlineStr">
        <is>
          <t>Lương:15 Tr - 25 Tr VND</t>
        </is>
      </c>
      <c r="F8950" s="10" t="inlineStr">
        <is>
          <t>Hồ Chí Minh</t>
        </is>
      </c>
      <c r="G8950" s="10" t="inlineStr">
        <is>
          <t>30-04-2026</t>
        </is>
      </c>
      <c r="H8950" s="10" t="inlineStr">
        <is>
          <t>30/04/2026</t>
        </is>
      </c>
      <c r="I8950" s="10" t="inlineStr">
        <is>
          <t>17/03/2026</t>
        </is>
      </c>
      <c r="J8950" s="10" t="inlineStr">
        <is>
          <t>Bất động sản, Kế toán / Kiểm toán, Tài chính / Đầu tư</t>
        </is>
      </c>
      <c r="K8950" s="10" t="inlineStr">
        <is>
          <t>3 - 5 Năm</t>
        </is>
      </c>
      <c r="L8950" s="11">
        <f>HYPERLINK("https://careerviet.vn/vi/tim-viec-lam/ke-toan-tong-hop.35C6A3C0.html","Xem chi tiết")</f>
        <v/>
      </c>
      <c r="M8950" s="10" t="n"/>
    </row>
    <row r="8951">
      <c r="B8951" s="7" t="n">
        <v>8949</v>
      </c>
      <c r="C8951" t="inlineStr">
        <is>
          <t>Chuyên viên Kinh doanh B2B</t>
        </is>
      </c>
      <c r="D8951" t="inlineStr">
        <is>
          <t>Công ty Cổ phần Tập đoàn Meey Land</t>
        </is>
      </c>
      <c r="E8951" t="inlineStr">
        <is>
          <t>Lương:15 Tr - 20 Tr VND</t>
        </is>
      </c>
      <c r="F8951" t="inlineStr">
        <is>
          <t>Hà Nội</t>
        </is>
      </c>
      <c r="G8951" t="inlineStr">
        <is>
          <t>30-04-2026</t>
        </is>
      </c>
      <c r="H8951" t="inlineStr">
        <is>
          <t>30/04/2026</t>
        </is>
      </c>
      <c r="I8951" t="inlineStr">
        <is>
          <t>17/03/2026</t>
        </is>
      </c>
      <c r="J8951" t="inlineStr">
        <is>
          <t>Bán hàng / Kinh doanh</t>
        </is>
      </c>
      <c r="K8951" t="inlineStr">
        <is>
          <t>1 - 2 Năm</t>
        </is>
      </c>
      <c r="L8951" s="8">
        <f>HYPERLINK("https://careerviet.vn/vi/tim-viec-lam/chuyen-vien-kinh-doanh-b2b.35C6A358.html","Xem chi tiết")</f>
        <v/>
      </c>
    </row>
    <row r="8952">
      <c r="B8952" s="9" t="n">
        <v>8950</v>
      </c>
      <c r="C8952" s="10" t="inlineStr">
        <is>
          <t>Operation Admin (Logistics)</t>
        </is>
      </c>
      <c r="D8952" s="10" t="inlineStr">
        <is>
          <t>UNIEXPORT CO., LTD</t>
        </is>
      </c>
      <c r="E8952" s="10" t="inlineStr">
        <is>
          <t>Lương:Cạnh tranh</t>
        </is>
      </c>
      <c r="F8952" s="10" t="inlineStr">
        <is>
          <t>Hồ Chí Minh</t>
        </is>
      </c>
      <c r="G8952" s="10" t="inlineStr">
        <is>
          <t>31-03-2026</t>
        </is>
      </c>
      <c r="H8952" s="10" t="inlineStr">
        <is>
          <t>31/03/2026</t>
        </is>
      </c>
      <c r="I8952" s="10" t="inlineStr">
        <is>
          <t>17/03/2026</t>
        </is>
      </c>
      <c r="J8952" s="10" t="inlineStr">
        <is>
          <t>Xuất nhập khẩu, Sản xuất / Vận hành sản xuất</t>
        </is>
      </c>
      <c r="K8952" s="10" t="inlineStr">
        <is>
          <t>1 - 3 Năm</t>
        </is>
      </c>
      <c r="L8952" s="11">
        <f>HYPERLINK("https://careerviet.vn/vi/tim-viec-lam/operation-admin-logistics.35C6A2FF.html","Xem chi tiết")</f>
        <v/>
      </c>
      <c r="M8952" s="10" t="n"/>
    </row>
    <row r="8953">
      <c r="B8953" s="7" t="n">
        <v>8951</v>
      </c>
      <c r="C8953" t="inlineStr">
        <is>
          <t>Talent Acquisition/ CnB Specialist - HCMC (Edu)</t>
        </is>
      </c>
      <c r="D8953" t="inlineStr">
        <is>
          <t>CareerViet's client</t>
        </is>
      </c>
      <c r="E8953" t="inlineStr">
        <is>
          <t>Lương:14 Tr - 18 Tr VND</t>
        </is>
      </c>
      <c r="F8953" t="inlineStr">
        <is>
          <t>Hồ Chí Minh</t>
        </is>
      </c>
      <c r="G8953" t="inlineStr">
        <is>
          <t>15-03-2026</t>
        </is>
      </c>
      <c r="H8953" t="inlineStr">
        <is>
          <t>14/03/2026</t>
        </is>
      </c>
      <c r="I8953" t="inlineStr">
        <is>
          <t>17/03/2026</t>
        </is>
      </c>
      <c r="J8953" t="inlineStr">
        <is>
          <t>Giáo dục / Đào tạo, Quản lý điều hành, Nhân sự</t>
        </is>
      </c>
      <c r="K8953" t="inlineStr">
        <is>
          <t>3 - 5 Năm</t>
        </is>
      </c>
      <c r="L8953" s="8">
        <f>HYPERLINK("https://careerviet.vn/vi/tim-viec-lam/talent-acquisition-cnb-specialist-hcmc-edu.35C6A39F.html","Xem chi tiết")</f>
        <v/>
      </c>
    </row>
    <row r="8954">
      <c r="B8954" s="9" t="n">
        <v>8952</v>
      </c>
      <c r="C8954" s="10" t="inlineStr">
        <is>
          <t>KẾ TOÁN KHO</t>
        </is>
      </c>
      <c r="D8954" s="10" t="inlineStr">
        <is>
          <t>Công ty CP Thương mại Dịch vụ An Biên</t>
        </is>
      </c>
      <c r="E8954" s="10" t="inlineStr">
        <is>
          <t>Lương:15 Tr - 17 Tr VND</t>
        </is>
      </c>
      <c r="F8954" s="10" t="inlineStr">
        <is>
          <t>Hồ Chí Minh</t>
        </is>
      </c>
      <c r="G8954" s="10" t="inlineStr">
        <is>
          <t>01-04-2026</t>
        </is>
      </c>
      <c r="H8954" s="10" t="inlineStr">
        <is>
          <t>01/04/2026</t>
        </is>
      </c>
      <c r="I8954" s="10" t="inlineStr">
        <is>
          <t>17/03/2026</t>
        </is>
      </c>
      <c r="J8954" s="10" t="inlineStr">
        <is>
          <t>Kế toán / Kiểm toán, Tài chính / Đầu tư, Ngân hàng</t>
        </is>
      </c>
      <c r="K8954" s="10" t="inlineStr">
        <is>
          <t>2 - 3 Năm</t>
        </is>
      </c>
      <c r="L8954" s="11">
        <f>HYPERLINK("https://careerviet.vn/vi/tim-viec-lam/ke-toan-kho.35C6A391.html","Xem chi tiết")</f>
        <v/>
      </c>
      <c r="M8954" s="10" t="n"/>
    </row>
    <row r="8955">
      <c r="B8955" s="7" t="n">
        <v>8953</v>
      </c>
      <c r="C8955" t="inlineStr">
        <is>
          <t>Nhân viên lái xe chi nhánh ngành hàng ống nhựa</t>
        </is>
      </c>
      <c r="D8955" t="inlineStr">
        <is>
          <t>Tập Đoàn Tân Á Đại Thành</t>
        </is>
      </c>
      <c r="E8955" t="inlineStr">
        <is>
          <t>Lương:10 Tr - 15 Tr VND</t>
        </is>
      </c>
      <c r="F8955" t="inlineStr">
        <is>
          <t>Bắc Giang</t>
        </is>
      </c>
      <c r="G8955" t="inlineStr">
        <is>
          <t>31-03-2026</t>
        </is>
      </c>
      <c r="H8955" t="inlineStr">
        <is>
          <t>31/03/2026</t>
        </is>
      </c>
      <c r="I8955" t="inlineStr">
        <is>
          <t>17/03/2026</t>
        </is>
      </c>
      <c r="J8955" t="inlineStr">
        <is>
          <t>Bán hàng / Kinh doanh, Lao động phổ thông</t>
        </is>
      </c>
      <c r="K8955" t="inlineStr">
        <is>
          <t>1 - 2 Năm</t>
        </is>
      </c>
      <c r="L8955" s="8">
        <f>HYPERLINK("https://careerviet.vn/vi/tim-viec-lam/nhan-vien-lai-xe-chi-nhanh-nganh-hang-ong-nhua.35C6A399.html","Xem chi tiết")</f>
        <v/>
      </c>
    </row>
    <row r="8956">
      <c r="B8956" s="9" t="n">
        <v>8954</v>
      </c>
      <c r="C8956" s="10" t="inlineStr">
        <is>
          <t>Kỹ sư kết cấu thép</t>
        </is>
      </c>
      <c r="D8956" s="10" t="inlineStr">
        <is>
          <t>Công Ty Cổ Phần Thương Mại Tư Vấn Và Xây Dựng Vĩnh Hưng</t>
        </is>
      </c>
      <c r="E8956" s="10" t="inlineStr">
        <is>
          <t>Lương:18 Tr - 25 Tr VND</t>
        </is>
      </c>
      <c r="F8956" s="10" t="inlineStr">
        <is>
          <t>Hà Nội</t>
        </is>
      </c>
      <c r="G8956" s="10" t="inlineStr">
        <is>
          <t>15-03-2026</t>
        </is>
      </c>
      <c r="H8956" s="10" t="inlineStr">
        <is>
          <t>15/03/2026</t>
        </is>
      </c>
      <c r="I8956" s="10" t="inlineStr">
        <is>
          <t>17/03/2026</t>
        </is>
      </c>
      <c r="J8956" s="10" t="inlineStr">
        <is>
          <t>Xây dựng</t>
        </is>
      </c>
      <c r="K8956" s="10" t="inlineStr">
        <is>
          <t>1 - 2 Năm</t>
        </is>
      </c>
      <c r="L8956" s="11">
        <f>HYPERLINK("https://careerviet.vn/vi/tim-viec-lam/ky-su-ket-cau-thep.35C6A39D.html","Xem chi tiết")</f>
        <v/>
      </c>
      <c r="M8956" s="10" t="n"/>
    </row>
    <row r="8957">
      <c r="B8957" s="7" t="n">
        <v>8955</v>
      </c>
      <c r="C8957" t="inlineStr">
        <is>
          <t>customer service logistics</t>
        </is>
      </c>
      <c r="D8957" t="inlineStr">
        <is>
          <t>Tập đoàn Nhựa Bình Thuận</t>
        </is>
      </c>
      <c r="E8957" t="inlineStr">
        <is>
          <t>Lương:13 Tr - 15 Tr VND</t>
        </is>
      </c>
      <c r="F8957" t="inlineStr">
        <is>
          <t>Hà Nội</t>
        </is>
      </c>
      <c r="G8957" t="inlineStr">
        <is>
          <t>31-03-2026</t>
        </is>
      </c>
      <c r="H8957" t="inlineStr">
        <is>
          <t>31/03/2026</t>
        </is>
      </c>
      <c r="I8957" t="inlineStr">
        <is>
          <t>17/03/2026</t>
        </is>
      </c>
      <c r="J8957" t="inlineStr">
        <is>
          <t>Vận chuyển / Giao nhận / Kho vận, Xuất nhập khẩu</t>
        </is>
      </c>
      <c r="K8957" t="inlineStr">
        <is>
          <t>1 - 5 Năm</t>
        </is>
      </c>
      <c r="L8957" s="8">
        <f>HYPERLINK("https://careerviet.vn/vi/tim-viec-lam/customer-service-logistics.35C6A3B3.html","Xem chi tiết")</f>
        <v/>
      </c>
    </row>
    <row r="8958">
      <c r="B8958" s="9" t="n">
        <v>8956</v>
      </c>
      <c r="C8958" s="10" t="inlineStr">
        <is>
          <t>Chuyên viên Brand Marketing</t>
        </is>
      </c>
      <c r="D8958" s="10" t="inlineStr">
        <is>
          <t>Công ty Cổ phần thực phẩm và đồ uống Barett</t>
        </is>
      </c>
      <c r="E8958" s="10" t="inlineStr">
        <is>
          <t>Lương:15 Tr - 20 Tr VND</t>
        </is>
      </c>
      <c r="F8958" s="10" t="inlineStr">
        <is>
          <t>Hà Nội</t>
        </is>
      </c>
      <c r="G8958" s="10" t="inlineStr">
        <is>
          <t>31-03-2026</t>
        </is>
      </c>
      <c r="H8958" s="10" t="inlineStr">
        <is>
          <t>31/03/2026</t>
        </is>
      </c>
      <c r="I8958" s="10" t="inlineStr">
        <is>
          <t>17/03/2026</t>
        </is>
      </c>
      <c r="J8958" s="10" t="inlineStr">
        <is>
          <t>Tiếp thị / Marketing, Quảng cáo / Đối ngoại / Truyền Thông</t>
        </is>
      </c>
      <c r="K8958" s="10" t="inlineStr">
        <is>
          <t>2 - 3 Năm</t>
        </is>
      </c>
      <c r="L8958" s="11">
        <f>HYPERLINK("https://careerviet.vn/vi/tim-viec-lam/chuyen-vien-brand-marketing.35C6A2D2.html","Xem chi tiết")</f>
        <v/>
      </c>
      <c r="M8958" s="10" t="n"/>
    </row>
    <row r="8959">
      <c r="B8959" s="7" t="n">
        <v>8957</v>
      </c>
      <c r="C8959" t="inlineStr">
        <is>
          <t>Nhân viên vận hàng sàn thương mại điện tử</t>
        </is>
      </c>
      <c r="D8959" t="inlineStr">
        <is>
          <t>CÔNG TY TNHH SẢN XUẤT VÀ THƯƠNG MẠI TRƯƠNG VUI</t>
        </is>
      </c>
      <c r="E8959" t="inlineStr">
        <is>
          <t>Lương:10 Tr - 12 Tr VND</t>
        </is>
      </c>
      <c r="F8959" t="inlineStr">
        <is>
          <t>Hồ Chí Minh</t>
        </is>
      </c>
      <c r="G8959" t="inlineStr">
        <is>
          <t>30-04-2026</t>
        </is>
      </c>
      <c r="H8959" t="inlineStr">
        <is>
          <t>30/04/2026</t>
        </is>
      </c>
      <c r="I8959" t="inlineStr">
        <is>
          <t>17/03/2026</t>
        </is>
      </c>
      <c r="J8959" t="inlineStr">
        <is>
          <t>Tiếp thị / Marketing, Bán hàng / Kinh doanh</t>
        </is>
      </c>
      <c r="K8959" t="inlineStr">
        <is>
          <t>1 - 2 Năm</t>
        </is>
      </c>
      <c r="L8959" s="8">
        <f>HYPERLINK("https://careerviet.vn/vi/tim-viec-lam/nhan-vien-van-hang-san-thuong-mai-dien-tu.35C6A385.html","Xem chi tiết")</f>
        <v/>
      </c>
    </row>
    <row r="8960">
      <c r="B8960" s="9" t="n">
        <v>8958</v>
      </c>
      <c r="C8960" s="10" t="inlineStr">
        <is>
          <t>Giám đốc quan hệ khách hàng tín dụng - RB - MSB - 1D045</t>
        </is>
      </c>
      <c r="D8960" s="10" t="inlineStr">
        <is>
          <t>Ngân hàng Thương mại Cổ phần Hàng Hải Việt Nam (MSB)</t>
        </is>
      </c>
      <c r="E8960" s="10" t="inlineStr">
        <is>
          <t>Lương:Cạnh tranh</t>
        </is>
      </c>
      <c r="F8960" s="10" t="inlineStr">
        <is>
          <t>Bình ĐịnhGia LaiBình Thuận</t>
        </is>
      </c>
      <c r="G8960" s="10" t="inlineStr">
        <is>
          <t>01-04-2026</t>
        </is>
      </c>
      <c r="H8960" s="10" t="inlineStr">
        <is>
          <t>01/04/2026</t>
        </is>
      </c>
      <c r="I8960" s="10" t="inlineStr">
        <is>
          <t>17/03/2026</t>
        </is>
      </c>
      <c r="J8960" s="10" t="inlineStr">
        <is>
          <t>Ngân hàng</t>
        </is>
      </c>
      <c r="K8960" s="10" t="inlineStr">
        <is>
          <t>Trên 4 Năm</t>
        </is>
      </c>
      <c r="L8960" s="11">
        <f>HYPERLINK("https://careerviet.vn/vi/tim-viec-lam/giam-doc-quan-he-khach-hang-tin-dung-rb-msb-1d045.35C6A396.html","Xem chi tiết")</f>
        <v/>
      </c>
      <c r="M8960" s="10" t="n"/>
    </row>
    <row r="8961">
      <c r="B8961" s="7" t="n">
        <v>8959</v>
      </c>
      <c r="C8961" t="inlineStr">
        <is>
          <t>Chuyên viên Quản lý chất lượng/ Quality Management Executive</t>
        </is>
      </c>
      <c r="D8961" t="inlineStr">
        <is>
          <t>American International Hospital (AIH)</t>
        </is>
      </c>
      <c r="E8961" t="inlineStr">
        <is>
          <t>Lương:14 Tr - 18 Tr VND</t>
        </is>
      </c>
      <c r="F8961" t="inlineStr">
        <is>
          <t>Hồ Chí Minh</t>
        </is>
      </c>
      <c r="G8961" t="inlineStr">
        <is>
          <t>31-03-2026</t>
        </is>
      </c>
      <c r="H8961" t="inlineStr">
        <is>
          <t>31/03/2026</t>
        </is>
      </c>
      <c r="I8961" t="inlineStr">
        <is>
          <t>17/03/2026</t>
        </is>
      </c>
      <c r="J8961" t="inlineStr">
        <is>
          <t>Dược phẩm/ Hóa Mỹ Phẩm, Y tế / Chăm sóc sức khỏe / Thẩm mỹ / Làm đẹp, Quản lý chất lượng (QA/QC)</t>
        </is>
      </c>
      <c r="K8961" t="inlineStr">
        <is>
          <t>3 - 5 Năm</t>
        </is>
      </c>
      <c r="L8961" s="8">
        <f>HYPERLINK("https://careerviet.vn/vi/tim-viec-lam/chuyen-vien-quan-ly-chat-luong-quality-management-executive.35C6A388.html","Xem chi tiết")</f>
        <v/>
      </c>
    </row>
    <row r="8962">
      <c r="B8962" s="9" t="n">
        <v>8960</v>
      </c>
      <c r="C8962" s="10" t="inlineStr">
        <is>
          <t>Chuyên viên Quản trị Mạng kết nối (All level) - Network Administrator - Khối Công nghệ thông tin (HO26.62)</t>
        </is>
      </c>
      <c r="D8962" s="10" t="inlineStr">
        <is>
          <t>Ngân Hàng TMCP Quân Đội</t>
        </is>
      </c>
      <c r="E8962" s="10" t="inlineStr">
        <is>
          <t>Lương:Cạnh tranh</t>
        </is>
      </c>
      <c r="F8962" s="10" t="inlineStr">
        <is>
          <t>Hà Nội</t>
        </is>
      </c>
      <c r="G8962" s="10" t="inlineStr">
        <is>
          <t>02-04-2026</t>
        </is>
      </c>
      <c r="H8962" s="10" t="inlineStr">
        <is>
          <t>02/04/2026</t>
        </is>
      </c>
      <c r="I8962" s="10" t="inlineStr">
        <is>
          <t>17/03/2026</t>
        </is>
      </c>
      <c r="J8962" s="10" t="inlineStr">
        <is>
          <t>Ngân hàng, CNTT - Phần cứng / Mạng, CNTT - Phần mềm</t>
        </is>
      </c>
      <c r="K8962" s="10" t="inlineStr">
        <is>
          <t>Trên 1 Năm</t>
        </is>
      </c>
      <c r="L8962" s="11">
        <f>HYPERLINK("https://careerviet.vn/vi/tim-viec-lam/chuyen-vien-quan-tri-mang-ket-noi-all-level-network-administrator-khoi-cong-nghe-thong-tin-ho26-62.35C6A6E2.html","Xem chi tiết")</f>
        <v/>
      </c>
      <c r="M8962" s="10" t="n"/>
    </row>
    <row r="8963">
      <c r="B8963" s="7" t="n">
        <v>8961</v>
      </c>
      <c r="C8963" t="inlineStr">
        <is>
          <t>Chuyên viên Tư vấn Tài chính Cá nhân</t>
        </is>
      </c>
      <c r="D8963" t="inlineStr">
        <is>
          <t>Ngân Hàng TMCP Sài Gòn - Hà Nội ( SHB )</t>
        </is>
      </c>
      <c r="E8963" t="inlineStr">
        <is>
          <t>Lương:Cạnh tranh</t>
        </is>
      </c>
      <c r="F8963" t="inlineStr">
        <is>
          <t>Hải PhòngQuảng NinhHải Dương</t>
        </is>
      </c>
      <c r="G8963" t="inlineStr">
        <is>
          <t>01-04-2026</t>
        </is>
      </c>
      <c r="H8963" t="inlineStr">
        <is>
          <t>01/04/2026</t>
        </is>
      </c>
      <c r="I8963" t="inlineStr">
        <is>
          <t>17/03/2026</t>
        </is>
      </c>
      <c r="J8963" t="inlineStr">
        <is>
          <t>Ngân hàng</t>
        </is>
      </c>
      <c r="K8963" t="inlineStr">
        <is>
          <t>Trên 1 Năm</t>
        </is>
      </c>
      <c r="L8963" s="8">
        <f>HYPERLINK("https://careerviet.vn/vi/tim-viec-lam/chuyen-vien-tu-van-tai-chinh-ca-nhan.35C6A362.html","Xem chi tiết")</f>
        <v/>
      </c>
    </row>
    <row r="8964">
      <c r="B8964" s="9" t="n">
        <v>8962</v>
      </c>
      <c r="C8964" s="10" t="inlineStr">
        <is>
          <t>Nhân viên bảo trì cơ khí / bảo trì điện / điện lạnh (Làm việc tại Đức Hoà, Long An)</t>
        </is>
      </c>
      <c r="D8964" s="10" t="inlineStr">
        <is>
          <t>Công ty cổ phần Nafoods Group</t>
        </is>
      </c>
      <c r="E8964" s="10" t="inlineStr">
        <is>
          <t>Lương:8 Tr - 12 Tr VND</t>
        </is>
      </c>
      <c r="F8964" s="10" t="inlineStr">
        <is>
          <t>Long An</t>
        </is>
      </c>
      <c r="G8964" s="10" t="inlineStr">
        <is>
          <t>01-04-2026</t>
        </is>
      </c>
      <c r="H8964" s="10" t="inlineStr">
        <is>
          <t>01/04/2026</t>
        </is>
      </c>
      <c r="I8964" s="10" t="inlineStr">
        <is>
          <t>17/03/2026</t>
        </is>
      </c>
      <c r="J8964" s="10" t="inlineStr">
        <is>
          <t>Cơ khí / Ô tô / Tự động hóa, Điện / Điện tử / Điện lạnh / Điện công nghiệp, Bảo trì / Sửa chữa</t>
        </is>
      </c>
      <c r="K8964" s="10" t="inlineStr">
        <is>
          <t>N/A</t>
        </is>
      </c>
      <c r="L8964" s="11">
        <f>HYPERLINK("https://careerviet.vn/vi/tim-viec-lam/nhan-vien-bao-tri-co-khi-bao-tri-dien-dien-lanh-lam-viec-tai-duc-hoa-long-an.35C6A322.html","Xem chi tiết")</f>
        <v/>
      </c>
      <c r="M8964" s="10" t="n"/>
    </row>
    <row r="8965">
      <c r="B8965" s="7" t="n">
        <v>8963</v>
      </c>
      <c r="C8965" t="inlineStr">
        <is>
          <t>Tài xế Công ty (Làm việc tại Bình Dương)</t>
        </is>
      </c>
      <c r="D8965" t="inlineStr">
        <is>
          <t>CÔNG TY CỔ PHẦN TẬP ĐOÀN QP</t>
        </is>
      </c>
      <c r="E8965" t="inlineStr">
        <is>
          <t>Lương:11 Tr - 15 Tr VND</t>
        </is>
      </c>
      <c r="F8965" t="inlineStr">
        <is>
          <t>Bình Dương</t>
        </is>
      </c>
      <c r="G8965" t="inlineStr">
        <is>
          <t>31-03-2026</t>
        </is>
      </c>
      <c r="H8965" t="inlineStr">
        <is>
          <t>31/03/2026</t>
        </is>
      </c>
      <c r="I8965" t="inlineStr">
        <is>
          <t>17/03/2026</t>
        </is>
      </c>
      <c r="J8965" t="inlineStr">
        <is>
          <t>Vận chuyển / Giao nhận / Kho vận, Lao động phổ thông, Ngành khác</t>
        </is>
      </c>
      <c r="K8965" t="inlineStr">
        <is>
          <t>2 - 5 Năm</t>
        </is>
      </c>
      <c r="L8965" s="8">
        <f>HYPERLINK("https://careerviet.vn/vi/tim-viec-lam/tai-xe-cong-ty-lam-viec-tai-binh-duong.35C6A3AB.html","Xem chi tiết")</f>
        <v/>
      </c>
    </row>
    <row r="8966">
      <c r="B8966" s="9" t="n">
        <v>8964</v>
      </c>
      <c r="C8966" s="10" t="inlineStr">
        <is>
          <t>Giao dịch viên</t>
        </is>
      </c>
      <c r="D8966" s="10" t="inlineStr">
        <is>
          <t>Ngân Hàng TMCP Sài Gòn - Hà Nội ( SHB )</t>
        </is>
      </c>
      <c r="E8966" s="10" t="inlineStr">
        <is>
          <t>Lương:Cạnh tranh</t>
        </is>
      </c>
      <c r="F8966" s="10" t="inlineStr">
        <is>
          <t>Khánh HòaQuảng NinhQuảng Trị</t>
        </is>
      </c>
      <c r="G8966" s="10" t="inlineStr">
        <is>
          <t>01-04-2026</t>
        </is>
      </c>
      <c r="H8966" s="10" t="inlineStr">
        <is>
          <t>01/04/2026</t>
        </is>
      </c>
      <c r="I8966" s="10" t="inlineStr">
        <is>
          <t>17/03/2026</t>
        </is>
      </c>
      <c r="J8966" s="10" t="inlineStr">
        <is>
          <t>Dịch vụ khách hàng, Ngân hàng, Bán hàng / Kinh doanh</t>
        </is>
      </c>
      <c r="K8966" s="10" t="inlineStr">
        <is>
          <t>N/A</t>
        </is>
      </c>
      <c r="L8966" s="11">
        <f>HYPERLINK("https://careerviet.vn/vi/tim-viec-lam/giao-dich-vien.35C6A33F.html","Xem chi tiết")</f>
        <v/>
      </c>
      <c r="M8966" s="10" t="n"/>
    </row>
    <row r="8967">
      <c r="B8967" s="7" t="n">
        <v>8965</v>
      </c>
      <c r="C8967" t="inlineStr">
        <is>
          <t>NHÂN VIÊN QUẢN LÝ HỢP ĐỒNG</t>
        </is>
      </c>
      <c r="D8967" t="inlineStr">
        <is>
          <t>CÔNG TY CỔ PHẦN SEAREFICO</t>
        </is>
      </c>
      <c r="E8967" t="inlineStr">
        <is>
          <t>Lương:Cạnh tranh</t>
        </is>
      </c>
      <c r="F8967" t="inlineStr">
        <is>
          <t>Hồ Chí Minh</t>
        </is>
      </c>
      <c r="G8967" t="inlineStr">
        <is>
          <t>01-04-2026</t>
        </is>
      </c>
      <c r="H8967" t="inlineStr">
        <is>
          <t>01/04/2026</t>
        </is>
      </c>
      <c r="I8967" t="inlineStr">
        <is>
          <t>17/03/2026</t>
        </is>
      </c>
      <c r="J8967" t="inlineStr">
        <is>
          <t>Hành chính / Thư ký, Luật / Pháp lý</t>
        </is>
      </c>
      <c r="K8967" t="inlineStr">
        <is>
          <t>1 - 2 Năm</t>
        </is>
      </c>
      <c r="L8967" s="8">
        <f>HYPERLINK("https://careerviet.vn/vi/tim-viec-lam/nhan-vien-quan-ly-hop-dong.35C6A383.html","Xem chi tiết")</f>
        <v/>
      </c>
    </row>
    <row r="8968">
      <c r="B8968" s="9" t="n">
        <v>8966</v>
      </c>
      <c r="C8968" s="10" t="inlineStr">
        <is>
          <t>Cán Bộ HSE - Bao Ăn Ở Tại Ocean Park 2- Thu nhập từ 16 - 25 triệu</t>
        </is>
      </c>
      <c r="D8968" s="10" t="inlineStr">
        <is>
          <t>CÔNG TY CP ĐẦU TƯ THƯƠNG MẠI VÀ KỸ THUẬT HOÀ BÌNH</t>
        </is>
      </c>
      <c r="E8968" s="10" t="inlineStr">
        <is>
          <t>Lương:16 Tr - 25 Tr VND</t>
        </is>
      </c>
      <c r="F8968" s="10" t="inlineStr">
        <is>
          <t>Hưng YênHà Nội</t>
        </is>
      </c>
      <c r="G8968" s="10" t="inlineStr">
        <is>
          <t>31-03-2026</t>
        </is>
      </c>
      <c r="H8968" s="10" t="inlineStr">
        <is>
          <t>31/03/2026</t>
        </is>
      </c>
      <c r="I8968" s="10" t="inlineStr">
        <is>
          <t>17/03/2026</t>
        </is>
      </c>
      <c r="J8968" s="10" t="inlineStr">
        <is>
          <t>Xây dựng, Điện / Điện tử / Điện lạnh / Điện công nghiệp, Kiến trúc</t>
        </is>
      </c>
      <c r="K8968" s="10" t="inlineStr">
        <is>
          <t>1 - 2 Năm</t>
        </is>
      </c>
      <c r="L8968" s="11">
        <f>HYPERLINK("https://careerviet.vn/vi/tim-viec-lam/can-bo-hse-bao-an-o-tai-ocean-park-2-thu-nhap-tu-16-25-trieu.35C6A344.html","Xem chi tiết")</f>
        <v/>
      </c>
      <c r="M8968" s="10" t="n"/>
    </row>
    <row r="8969">
      <c r="B8969" s="7" t="n">
        <v>8967</v>
      </c>
      <c r="C8969" t="inlineStr">
        <is>
          <t>NHÂN VIÊN KINH DOANH DƯỢC</t>
        </is>
      </c>
      <c r="D8969" t="inlineStr">
        <is>
          <t>Hisamitsu VietNam Pharmaceutical Co., Ltd.</t>
        </is>
      </c>
      <c r="E8969" t="inlineStr">
        <is>
          <t>Lương:8 Tr - 25 Tr VND</t>
        </is>
      </c>
      <c r="F8969" t="inlineStr">
        <is>
          <t>Hà NộiNghệ AnQuảng Ninh</t>
        </is>
      </c>
      <c r="G8969" t="inlineStr">
        <is>
          <t>02-04-2026</t>
        </is>
      </c>
      <c r="H8969" t="inlineStr">
        <is>
          <t>02/04/2026</t>
        </is>
      </c>
      <c r="I8969" t="inlineStr">
        <is>
          <t>17/03/2026</t>
        </is>
      </c>
      <c r="J8969" t="inlineStr">
        <is>
          <t>Bán hàng / Kinh doanh, Dược phẩm/ Hóa Mỹ Phẩm, Bán lẻ / Bán sỉ</t>
        </is>
      </c>
      <c r="K8969" t="inlineStr">
        <is>
          <t>Lên đến 1 Năm</t>
        </is>
      </c>
      <c r="L8969" s="8">
        <f>HYPERLINK("https://careerviet.vn/vi/tim-viec-lam/nhan-vien-kinh-doanh-duoc.35C6A2A3.html","Xem chi tiết")</f>
        <v/>
      </c>
    </row>
    <row r="8970">
      <c r="B8970" s="9" t="n">
        <v>8968</v>
      </c>
      <c r="C8970" s="10" t="inlineStr">
        <is>
          <t>Chuyên viên chính/Chuyên viên cao cấp Thẩm định tài sản</t>
        </is>
      </c>
      <c r="D8970" s="10" t="inlineStr">
        <is>
          <t>Ngân Hàng TMCP Sài Gòn - Hà Nội ( SHB )</t>
        </is>
      </c>
      <c r="E8970" s="10" t="inlineStr">
        <is>
          <t>Lương:Cạnh tranh</t>
        </is>
      </c>
      <c r="F8970" s="10" t="inlineStr">
        <is>
          <t>Bình ThuậnGia LaiDak Lak</t>
        </is>
      </c>
      <c r="G8970" s="10" t="inlineStr">
        <is>
          <t>01-04-2026</t>
        </is>
      </c>
      <c r="H8970" s="10" t="inlineStr">
        <is>
          <t>01/04/2026</t>
        </is>
      </c>
      <c r="I8970" s="10" t="inlineStr">
        <is>
          <t>17/03/2026</t>
        </is>
      </c>
      <c r="J8970" s="10" t="inlineStr">
        <is>
          <t>Ngân hàng, Bất động sản, Bán lẻ / Bán sỉ</t>
        </is>
      </c>
      <c r="K8970" s="10" t="inlineStr">
        <is>
          <t>Trên 2 Năm</t>
        </is>
      </c>
      <c r="L8970" s="11">
        <f>HYPERLINK("https://careerviet.vn/vi/tim-viec-lam/chuyen-vien-chinh-chuyen-vien-cao-cap-tham-dinh-tai-san.35C6A352.html","Xem chi tiết")</f>
        <v/>
      </c>
      <c r="M8970" s="10" t="n"/>
    </row>
    <row r="8971">
      <c r="B8971" s="7" t="n">
        <v>8969</v>
      </c>
      <c r="C8971" t="inlineStr">
        <is>
          <t>Cộng tác viên Dịch vụ Khách hàng (Điều phối viên)</t>
        </is>
      </c>
      <c r="D8971" t="inlineStr">
        <is>
          <t>Ngân Hàng TMCP Sài Gòn - Hà Nội ( SHB )</t>
        </is>
      </c>
      <c r="E8971" t="inlineStr">
        <is>
          <t>Lương:Cạnh tranh</t>
        </is>
      </c>
      <c r="F8971" t="inlineStr">
        <is>
          <t>Bắc NinhBắc GiangThái Bình</t>
        </is>
      </c>
      <c r="G8971" t="inlineStr">
        <is>
          <t>30-03-2026</t>
        </is>
      </c>
      <c r="H8971" t="inlineStr">
        <is>
          <t>30/03/2026</t>
        </is>
      </c>
      <c r="I8971" t="inlineStr">
        <is>
          <t>17/03/2026</t>
        </is>
      </c>
      <c r="J8971" t="inlineStr">
        <is>
          <t>Dịch vụ khách hàng, Ngân hàng</t>
        </is>
      </c>
      <c r="K8971" t="inlineStr">
        <is>
          <t>Chưa có kinh nghiệm</t>
        </is>
      </c>
      <c r="L8971" s="8">
        <f>HYPERLINK("https://careerviet.vn/vi/tim-viec-lam/cong-tac-vien-dich-vu-khach-hang-dieu-phoi-vien.35C6A34C.html","Xem chi tiết")</f>
        <v/>
      </c>
    </row>
    <row r="8972">
      <c r="B8972" s="9" t="n">
        <v>8970</v>
      </c>
      <c r="C8972" s="10" t="inlineStr">
        <is>
          <t>Trưởng phòng Hệ thống Đấu thầu</t>
        </is>
      </c>
      <c r="D8972" s="10" t="inlineStr">
        <is>
          <t>Công Ty Cổ Phần Tập Đoàn Đầu Tư Địa Ốc No Va</t>
        </is>
      </c>
      <c r="E8972" s="10" t="inlineStr">
        <is>
          <t>Lương:Cạnh tranh</t>
        </is>
      </c>
      <c r="F8972" s="10" t="inlineStr">
        <is>
          <t>Hồ Chí Minh</t>
        </is>
      </c>
      <c r="G8972" s="10" t="inlineStr">
        <is>
          <t>12-04-2026</t>
        </is>
      </c>
      <c r="H8972" s="10" t="inlineStr">
        <is>
          <t>12/04/2026</t>
        </is>
      </c>
      <c r="I8972" s="10" t="inlineStr">
        <is>
          <t>17/03/2026</t>
        </is>
      </c>
      <c r="J8972" s="10" t="inlineStr">
        <is>
          <t>Xây dựng</t>
        </is>
      </c>
      <c r="K8972" s="10" t="inlineStr">
        <is>
          <t>8 - 15 Năm</t>
        </is>
      </c>
      <c r="L8972" s="11">
        <f>HYPERLINK("https://careerviet.vn/vi/tim-viec-lam/truong-phong-he-thong-dau-thau.35C6A38E.html","Xem chi tiết")</f>
        <v/>
      </c>
      <c r="M8972" s="10" t="n"/>
    </row>
    <row r="8973">
      <c r="B8973" s="7" t="n">
        <v>8971</v>
      </c>
      <c r="C8973" t="inlineStr">
        <is>
          <t>Chuyên viên chính/Chuyên viên cao cấp Thẩm định tài sản</t>
        </is>
      </c>
      <c r="D8973" t="inlineStr">
        <is>
          <t>Ngân Hàng TMCP Sài Gòn - Hà Nội ( SHB )</t>
        </is>
      </c>
      <c r="E8973" t="inlineStr">
        <is>
          <t>Lương:Cạnh tranh</t>
        </is>
      </c>
      <c r="F8973" t="inlineStr">
        <is>
          <t>Thừa Thiên- HuếĐà NẵngQuảng Nam</t>
        </is>
      </c>
      <c r="G8973" t="inlineStr">
        <is>
          <t>01-04-2026</t>
        </is>
      </c>
      <c r="H8973" t="inlineStr">
        <is>
          <t>01/04/2026</t>
        </is>
      </c>
      <c r="I8973" t="inlineStr">
        <is>
          <t>17/03/2026</t>
        </is>
      </c>
      <c r="J8973" t="inlineStr">
        <is>
          <t>Ngân hàng, Bất động sản, Bán lẻ / Bán sỉ</t>
        </is>
      </c>
      <c r="K8973" t="inlineStr">
        <is>
          <t>Trên 2 Năm</t>
        </is>
      </c>
      <c r="L8973" s="8">
        <f>HYPERLINK("https://careerviet.vn/vi/tim-viec-lam/chuyen-vien-chinh-chuyen-vien-cao-cap-tham-dinh-tai-san.35C6A341.html","Xem chi tiết")</f>
        <v/>
      </c>
    </row>
    <row r="8974">
      <c r="B8974" s="9" t="n">
        <v>8972</v>
      </c>
      <c r="C8974" s="10" t="inlineStr">
        <is>
          <t>Hỗ trợ kỹ thuật (sửa chữa bảo dưỡng máy lạnh nhanh, máy rót bia)</t>
        </is>
      </c>
      <c r="D8974" s="10" t="inlineStr">
        <is>
          <t>Công ty Cổ phần thực phẩm và đồ uống Barett</t>
        </is>
      </c>
      <c r="E8974" s="10" t="inlineStr">
        <is>
          <t>Lương:10 Tr - 12 Tr VND</t>
        </is>
      </c>
      <c r="F8974" s="10" t="inlineStr">
        <is>
          <t>Hưng Yên</t>
        </is>
      </c>
      <c r="G8974" s="10" t="inlineStr">
        <is>
          <t>31-03-2026</t>
        </is>
      </c>
      <c r="H8974" s="10" t="inlineStr">
        <is>
          <t>31/03/2026</t>
        </is>
      </c>
      <c r="I8974" s="10" t="inlineStr">
        <is>
          <t>17/03/2026</t>
        </is>
      </c>
      <c r="J8974" s="10" t="inlineStr">
        <is>
          <t>Bán Hàng Kỹ Thuật, Bảo trì / Sửa chữa</t>
        </is>
      </c>
      <c r="K8974" s="10" t="inlineStr">
        <is>
          <t>N/A</t>
        </is>
      </c>
      <c r="L8974" s="11">
        <f>HYPERLINK("https://careerviet.vn/vi/tim-viec-lam/ho-tro-ky-thuat-sua-chua-bao-duong-may-lanh-nhanh-may-rot-bia.35C6A2C0.html","Xem chi tiết")</f>
        <v/>
      </c>
      <c r="M8974" s="10" t="n"/>
    </row>
    <row r="8975">
      <c r="B8975" s="7" t="n">
        <v>8973</v>
      </c>
      <c r="C8975" t="inlineStr">
        <is>
          <t>Chuyên viên Tuyển dụng</t>
        </is>
      </c>
      <c r="D8975" t="inlineStr">
        <is>
          <t>Công ty TNHH Khải Minh Group</t>
        </is>
      </c>
      <c r="E8975" t="inlineStr">
        <is>
          <t>Lương:10 Tr - 15 Tr VND</t>
        </is>
      </c>
      <c r="F8975" t="inlineStr">
        <is>
          <t>Hà Nội</t>
        </is>
      </c>
      <c r="G8975" t="inlineStr">
        <is>
          <t>24-03-2026</t>
        </is>
      </c>
      <c r="H8975" t="inlineStr">
        <is>
          <t>24/03/2026</t>
        </is>
      </c>
      <c r="I8975" t="inlineStr">
        <is>
          <t>17/03/2026</t>
        </is>
      </c>
      <c r="J8975" t="inlineStr">
        <is>
          <t>Nhân sự</t>
        </is>
      </c>
      <c r="K8975" t="inlineStr">
        <is>
          <t>2 - 4 Năm</t>
        </is>
      </c>
      <c r="L8975" s="8">
        <f>HYPERLINK("https://careerviet.vn/vi/tim-viec-lam/chuyen-vien-tuyen-dung.35C6A2D9.html","Xem chi tiết")</f>
        <v/>
      </c>
    </row>
    <row r="8976">
      <c r="B8976" s="9" t="n">
        <v>8974</v>
      </c>
      <c r="C8976" s="10" t="inlineStr">
        <is>
          <t>Chuyên viên cao cấp Quản lý điều chuyển vốn - Khối TCKH</t>
        </is>
      </c>
      <c r="D8976" s="10" t="inlineStr">
        <is>
          <t>Ngân hàng TMCP Phát triển TP.HCM (HDBank)</t>
        </is>
      </c>
      <c r="E8976" s="10" t="inlineStr">
        <is>
          <t>Lương:20 Tr - 25 Tr VND</t>
        </is>
      </c>
      <c r="F8976" s="10" t="inlineStr">
        <is>
          <t>Hồ Chí Minh</t>
        </is>
      </c>
      <c r="G8976" s="10" t="inlineStr">
        <is>
          <t>29-05-2026</t>
        </is>
      </c>
      <c r="H8976" s="10" t="inlineStr">
        <is>
          <t>29/05/2026</t>
        </is>
      </c>
      <c r="I8976" s="10" t="inlineStr">
        <is>
          <t>17/03/2026</t>
        </is>
      </c>
      <c r="J8976" s="10" t="inlineStr">
        <is>
          <t>Ngân hàng, Chứng khoán, Tài chính / Đầu tư</t>
        </is>
      </c>
      <c r="K8976" s="10" t="inlineStr">
        <is>
          <t>2 - 5 Năm</t>
        </is>
      </c>
      <c r="L8976" s="11">
        <f>HYPERLINK("https://careerviet.vn/vi/tim-viec-lam/chuyen-vien-cao-cap-quan-ly-dieu-chuyen-von-khoi-tckh.35C6A33B.html","Xem chi tiết")</f>
        <v/>
      </c>
      <c r="M8976" s="10" t="n"/>
    </row>
    <row r="8977">
      <c r="B8977" s="7" t="n">
        <v>8975</v>
      </c>
      <c r="C8977" t="inlineStr">
        <is>
          <t>Nhân viên bán hàng tại Lê Lợi - Bắc Giang</t>
        </is>
      </c>
      <c r="D8977" t="inlineStr">
        <is>
          <t>CÔNG TY CỔ PHẦN VUA NỆM</t>
        </is>
      </c>
      <c r="E8977" t="inlineStr">
        <is>
          <t>Lương:8 Tr - 12 Tr VND</t>
        </is>
      </c>
      <c r="F8977" t="inlineStr">
        <is>
          <t>Bắc Giang</t>
        </is>
      </c>
      <c r="G8977" t="inlineStr">
        <is>
          <t>30-03-2026</t>
        </is>
      </c>
      <c r="H8977" t="inlineStr">
        <is>
          <t>30/03/2026</t>
        </is>
      </c>
      <c r="I8977" t="inlineStr">
        <is>
          <t>17/03/2026</t>
        </is>
      </c>
      <c r="J8977" t="inlineStr">
        <is>
          <t>Bán hàng / Kinh doanh</t>
        </is>
      </c>
      <c r="K8977" t="inlineStr">
        <is>
          <t>N/A</t>
        </is>
      </c>
      <c r="L8977" s="8">
        <f>HYPERLINK("https://careerviet.vn/vi/tim-viec-lam/nhan-vien-ban-hang-tai-le-loi-bac-giang.35C6A544.html","Xem chi tiết")</f>
        <v/>
      </c>
    </row>
    <row r="8978">
      <c r="B8978" s="9" t="n">
        <v>8976</v>
      </c>
      <c r="C8978" s="10" t="inlineStr">
        <is>
          <t>Chuyên viên kỹ thuật điện / Kỹ thuật cơ khí - Trưởng nhóm điện, cơ khí (Làm việc tại Đức Hoà, Long An)</t>
        </is>
      </c>
      <c r="D8978" s="10" t="inlineStr">
        <is>
          <t>Công ty cổ phần Nafoods Group</t>
        </is>
      </c>
      <c r="E8978" s="10" t="inlineStr">
        <is>
          <t>Lương:Cạnh tranh</t>
        </is>
      </c>
      <c r="F8978" s="10" t="inlineStr">
        <is>
          <t>Long An</t>
        </is>
      </c>
      <c r="G8978" s="10" t="inlineStr">
        <is>
          <t>15-04-2026</t>
        </is>
      </c>
      <c r="H8978" s="10" t="inlineStr">
        <is>
          <t>15/04/2026</t>
        </is>
      </c>
      <c r="I8978" s="10" t="inlineStr">
        <is>
          <t>17/03/2026</t>
        </is>
      </c>
      <c r="J8978" s="10" t="inlineStr">
        <is>
          <t>Cơ khí / Ô tô / Tự động hóa, Điện / Điện tử / Điện lạnh / Điện công nghiệp</t>
        </is>
      </c>
      <c r="K8978" s="10" t="inlineStr">
        <is>
          <t>2 - 5 Năm</t>
        </is>
      </c>
      <c r="L8978" s="11">
        <f>HYPERLINK("https://careerviet.vn/vi/tim-viec-lam/chuyen-vien-ky-thuat-dien-ky-thuat-co-khi-truong-nhom-dien-co-khi-lam-viec-tai-duc-hoa-long-an.35C6A324.html","Xem chi tiết")</f>
        <v/>
      </c>
      <c r="M8978" s="10" t="n"/>
    </row>
    <row r="8979">
      <c r="B8979" s="7" t="n">
        <v>8977</v>
      </c>
      <c r="C8979" t="inlineStr">
        <is>
          <t>Chuyên viên cao cấp Xử lý nợ Khách hàng cá nhân Miền Trung - QLTD - MSB - 3Y035</t>
        </is>
      </c>
      <c r="D8979" t="inlineStr">
        <is>
          <t>Ngân hàng Thương mại Cổ phần Hàng Hải Việt Nam (MSB)</t>
        </is>
      </c>
      <c r="E8979" t="inlineStr">
        <is>
          <t>Lương:16 Tr - 24 Tr VND</t>
        </is>
      </c>
      <c r="F8979" t="inlineStr">
        <is>
          <t>Đà NẵngKhánh Hòa</t>
        </is>
      </c>
      <c r="G8979" t="inlineStr">
        <is>
          <t>02-04-2026</t>
        </is>
      </c>
      <c r="H8979" t="inlineStr">
        <is>
          <t>02/04/2026</t>
        </is>
      </c>
      <c r="I8979" t="inlineStr">
        <is>
          <t>17/03/2026</t>
        </is>
      </c>
      <c r="J8979" t="inlineStr">
        <is>
          <t>Ngân hàng</t>
        </is>
      </c>
      <c r="K8979" t="inlineStr">
        <is>
          <t>3 - 5 Năm</t>
        </is>
      </c>
      <c r="L8979" s="8">
        <f>HYPERLINK("https://careerviet.vn/vi/tim-viec-lam/chuyen-vien-cao-cap-xu-ly-no-khach-hang-ca-nhan-mien-trung-qltd-msb-3y035.35C6A32A.html","Xem chi tiết")</f>
        <v/>
      </c>
    </row>
    <row r="8980">
      <c r="B8980" s="9" t="n">
        <v>8978</v>
      </c>
      <c r="C8980" s="10" t="inlineStr">
        <is>
          <t>Kỹ Sư Kỹ Thuật</t>
        </is>
      </c>
      <c r="D8980" s="10" t="inlineStr">
        <is>
          <t>Công Ty TNHH Mun Hean Việt Nam</t>
        </is>
      </c>
      <c r="E8980" s="10" t="inlineStr">
        <is>
          <t>Lương:Cạnh tranh</t>
        </is>
      </c>
      <c r="F8980" s="10" t="inlineStr">
        <is>
          <t>Hồ Chí Minh</t>
        </is>
      </c>
      <c r="G8980" s="10" t="inlineStr">
        <is>
          <t>31-03-2026</t>
        </is>
      </c>
      <c r="H8980" s="10" t="inlineStr">
        <is>
          <t>31/03/2026</t>
        </is>
      </c>
      <c r="I8980" s="10" t="inlineStr">
        <is>
          <t>17/03/2026</t>
        </is>
      </c>
      <c r="J8980" s="10" t="inlineStr">
        <is>
          <t>Điện / Điện tử / Điện lạnh / Điện công nghiệp, Bảo trì / Sửa chữa, Bán Hàng Kỹ Thuật</t>
        </is>
      </c>
      <c r="K8980" s="10" t="inlineStr">
        <is>
          <t>Lên đến 1 Năm</t>
        </is>
      </c>
      <c r="L8980" s="11">
        <f>HYPERLINK("https://careerviet.vn/vi/tim-viec-lam/ky-su-ky-thuat.35C66025.html","Xem chi tiết")</f>
        <v/>
      </c>
      <c r="M8980" s="10" t="n"/>
    </row>
    <row r="8981">
      <c r="B8981" s="7" t="n">
        <v>8979</v>
      </c>
      <c r="C8981" t="inlineStr">
        <is>
          <t>Kế toán thanh toán</t>
        </is>
      </c>
      <c r="D8981" t="inlineStr">
        <is>
          <t>UNIEXPORT CO., LTD</t>
        </is>
      </c>
      <c r="E8981" t="inlineStr">
        <is>
          <t>Lương:Cạnh tranh</t>
        </is>
      </c>
      <c r="F8981" t="inlineStr">
        <is>
          <t>Hồ Chí Minh</t>
        </is>
      </c>
      <c r="G8981" t="inlineStr">
        <is>
          <t>31-03-2026</t>
        </is>
      </c>
      <c r="H8981" t="inlineStr">
        <is>
          <t>31/03/2026</t>
        </is>
      </c>
      <c r="I8981" t="inlineStr">
        <is>
          <t>17/03/2026</t>
        </is>
      </c>
      <c r="J8981" t="inlineStr">
        <is>
          <t>Kế toán / Kiểm toán, Xuất nhập khẩu, Sản xuất / Vận hành sản xuất</t>
        </is>
      </c>
      <c r="K8981" t="inlineStr">
        <is>
          <t>2 - 5 Năm</t>
        </is>
      </c>
      <c r="L8981" s="8">
        <f>HYPERLINK("https://careerviet.vn/vi/tim-viec-lam/ke-toan-thanh-toan.35C694AE.html","Xem chi tiết")</f>
        <v/>
      </c>
    </row>
    <row r="8982">
      <c r="B8982" s="9" t="n">
        <v>8980</v>
      </c>
      <c r="C8982" s="10" t="inlineStr">
        <is>
          <t>KẾ TOÁN TỔNG HỢP</t>
        </is>
      </c>
      <c r="D8982" s="10" t="inlineStr">
        <is>
          <t>NANOCO GROUP</t>
        </is>
      </c>
      <c r="E8982" s="10" t="inlineStr">
        <is>
          <t>Lương:Cạnh tranh</t>
        </is>
      </c>
      <c r="F8982" s="10" t="inlineStr">
        <is>
          <t>Hải Phòng</t>
        </is>
      </c>
      <c r="G8982" s="10" t="inlineStr">
        <is>
          <t>02-04-2026</t>
        </is>
      </c>
      <c r="H8982" s="10" t="inlineStr">
        <is>
          <t>02/04/2026</t>
        </is>
      </c>
      <c r="I8982" s="10" t="inlineStr">
        <is>
          <t>17/03/2026</t>
        </is>
      </c>
      <c r="J8982" s="10" t="inlineStr">
        <is>
          <t>Kế toán / Kiểm toán</t>
        </is>
      </c>
      <c r="K8982" s="10" t="inlineStr">
        <is>
          <t>3 - 10 Năm</t>
        </is>
      </c>
      <c r="L8982" s="11">
        <f>HYPERLINK("https://careerviet.vn/vi/tim-viec-lam/ke-toan-tong-hop.35C6A441.html","Xem chi tiết")</f>
        <v/>
      </c>
      <c r="M8982" s="10" t="n"/>
    </row>
    <row r="8983">
      <c r="B8983" s="7" t="n">
        <v>8981</v>
      </c>
      <c r="C8983" t="inlineStr">
        <is>
          <t>TRỢ LÝ TỔNG GIÁM ĐỐC</t>
        </is>
      </c>
      <c r="D8983" t="inlineStr">
        <is>
          <t>Công Ty Cổ Phần Đầu Tư Bất Động Sản Phúc Thịnh</t>
        </is>
      </c>
      <c r="E8983" t="inlineStr">
        <is>
          <t>Lương:15 Tr - 30 Tr VND</t>
        </is>
      </c>
      <c r="F8983" t="inlineStr">
        <is>
          <t>Hồ Chí Minh</t>
        </is>
      </c>
      <c r="G8983" t="inlineStr">
        <is>
          <t>31-03-2026</t>
        </is>
      </c>
      <c r="H8983" t="inlineStr">
        <is>
          <t>31/03/2026</t>
        </is>
      </c>
      <c r="I8983" t="inlineStr">
        <is>
          <t>17/03/2026</t>
        </is>
      </c>
      <c r="J8983" t="inlineStr">
        <is>
          <t>Hành chính / Thư ký, Kế toán / Kiểm toán, Bất động sản</t>
        </is>
      </c>
      <c r="K8983" t="inlineStr">
        <is>
          <t>2 - 3 Năm</t>
        </is>
      </c>
      <c r="L8983" s="8">
        <f>HYPERLINK("https://careerviet.vn/vi/tim-viec-lam/tro-ly-tong-giam-doc.35C6A313.html","Xem chi tiết")</f>
        <v/>
      </c>
    </row>
    <row r="8984">
      <c r="B8984" s="9" t="n">
        <v>8982</v>
      </c>
      <c r="C8984" s="10" t="inlineStr">
        <is>
          <t>Nhân Viên Kinh Doanh Kỹ Thuật</t>
        </is>
      </c>
      <c r="D8984" s="10" t="inlineStr">
        <is>
          <t>Công Ty TNHH Mun Hean Việt Nam</t>
        </is>
      </c>
      <c r="E8984" s="10" t="inlineStr">
        <is>
          <t>Lương:Cạnh tranh</t>
        </is>
      </c>
      <c r="F8984" s="10" t="inlineStr">
        <is>
          <t>Hồ Chí Minh</t>
        </is>
      </c>
      <c r="G8984" s="10" t="inlineStr">
        <is>
          <t>31-03-2026</t>
        </is>
      </c>
      <c r="H8984" s="10" t="inlineStr">
        <is>
          <t>31/03/2026</t>
        </is>
      </c>
      <c r="I8984" s="10" t="inlineStr">
        <is>
          <t>17/03/2026</t>
        </is>
      </c>
      <c r="J8984" s="10" t="inlineStr">
        <is>
          <t>Bán hàng / Kinh doanh, Điện / Điện tử / Điện lạnh / Điện công nghiệp, Bán Hàng Kỹ Thuật</t>
        </is>
      </c>
      <c r="K8984" s="10" t="inlineStr">
        <is>
          <t>Lên đến 2 Năm</t>
        </is>
      </c>
      <c r="L8984" s="11">
        <f>HYPERLINK("https://careerviet.vn/vi/tim-viec-lam/nhan-vien-kinh-doanh-ky-thuat.35C66014.html","Xem chi tiết")</f>
        <v/>
      </c>
      <c r="M8984" s="10" t="n"/>
    </row>
    <row r="8985">
      <c r="B8985" s="7" t="n">
        <v>8983</v>
      </c>
      <c r="C8985" t="inlineStr">
        <is>
          <t>Trưởng Ban Quản lý khu nhà ở - TNPM - 4A074</t>
        </is>
      </c>
      <c r="D8985" t="inlineStr">
        <is>
          <t>Tập đoàn ROX (ROX Group)</t>
        </is>
      </c>
      <c r="E8985" t="inlineStr">
        <is>
          <t>Lương:Cạnh tranh</t>
        </is>
      </c>
      <c r="F8985" t="inlineStr">
        <is>
          <t>Bắc Giang</t>
        </is>
      </c>
      <c r="G8985" t="inlineStr">
        <is>
          <t>01-04-2026</t>
        </is>
      </c>
      <c r="H8985" t="inlineStr">
        <is>
          <t>01/04/2026</t>
        </is>
      </c>
      <c r="I8985" t="inlineStr">
        <is>
          <t>17/03/2026</t>
        </is>
      </c>
      <c r="J8985" t="inlineStr">
        <is>
          <t>Bất động sản</t>
        </is>
      </c>
      <c r="K8985" t="inlineStr">
        <is>
          <t>Trên 4 Năm</t>
        </is>
      </c>
      <c r="L8985" s="8">
        <f>HYPERLINK("https://careerviet.vn/vi/tim-viec-lam/truong-ban-quan-ly-khu-nha-o-tnpm-4a074.35C6A30D.html","Xem chi tiết")</f>
        <v/>
      </c>
    </row>
    <row r="8986">
      <c r="B8986" s="9" t="n">
        <v>8984</v>
      </c>
      <c r="C8986" s="10" t="inlineStr">
        <is>
          <t>Trợ lý vận hành Thương mại điện tử (Tiếng Trung)</t>
        </is>
      </c>
      <c r="D8986" s="10" t="inlineStr">
        <is>
          <t>CÔNG TY TNNH THƯƠNG MẠI TIANXINGYUN VIỆT NAM</t>
        </is>
      </c>
      <c r="E8986" s="10" t="inlineStr">
        <is>
          <t>Lương:9 Tr - 12 Tr VND</t>
        </is>
      </c>
      <c r="F8986" s="10" t="inlineStr">
        <is>
          <t>Hồ Chí Minh</t>
        </is>
      </c>
      <c r="G8986" s="10" t="inlineStr">
        <is>
          <t>31-03-2026</t>
        </is>
      </c>
      <c r="H8986" s="10" t="inlineStr">
        <is>
          <t>31/03/2026</t>
        </is>
      </c>
      <c r="I8986" s="10" t="inlineStr">
        <is>
          <t>17/03/2026</t>
        </is>
      </c>
      <c r="J8986" s="10" t="inlineStr">
        <is>
          <t>Thương mại điện tử, Tiếp thị trực tuyến, Biên phiên dịch</t>
        </is>
      </c>
      <c r="K8986" s="10" t="inlineStr">
        <is>
          <t>N/A</t>
        </is>
      </c>
      <c r="L8986" s="11">
        <f>HYPERLINK("https://careerviet.vn/vi/tim-viec-lam/tro-ly-van-hanh-thuong-mai-dien-tu-tieng-trung.35C6A2EB.html","Xem chi tiết")</f>
        <v/>
      </c>
      <c r="M8986" s="10" t="n"/>
    </row>
    <row r="8987">
      <c r="B8987" s="7" t="n">
        <v>8985</v>
      </c>
      <c r="C8987" t="inlineStr">
        <is>
          <t>Nhân Viên Kinh doanh - Tư vấn dịch vụ</t>
        </is>
      </c>
      <c r="D8987" t="inlineStr">
        <is>
          <t>CÔNG TY CỔ PHẦN HỌC VIỆN MINH TRÍ THÀNH</t>
        </is>
      </c>
      <c r="E8987" t="inlineStr">
        <is>
          <t>Lương:10 Tr - 50 Tr VND</t>
        </is>
      </c>
      <c r="F8987" t="inlineStr">
        <is>
          <t>Hà Nội</t>
        </is>
      </c>
      <c r="G8987" t="inlineStr">
        <is>
          <t>27-04-2026</t>
        </is>
      </c>
      <c r="H8987" t="inlineStr">
        <is>
          <t>27/04/2026</t>
        </is>
      </c>
      <c r="I8987" t="inlineStr">
        <is>
          <t>17/03/2026</t>
        </is>
      </c>
      <c r="J8987" t="inlineStr">
        <is>
          <t>Bán hàng / Kinh doanh, Dịch vụ khách hàng, Giáo dục / Đào tạo</t>
        </is>
      </c>
      <c r="K8987" t="inlineStr">
        <is>
          <t>Lên đến 1 Năm</t>
        </is>
      </c>
      <c r="L8987" s="8">
        <f>HYPERLINK("https://careerviet.vn/vi/tim-viec-lam/nhan-vien-kinh-doanh-tu-van-dich-vu.35C6A2CC.html","Xem chi tiết")</f>
        <v/>
      </c>
    </row>
    <row r="8988">
      <c r="B8988" s="9" t="n">
        <v>8986</v>
      </c>
      <c r="C8988" s="10" t="inlineStr">
        <is>
          <t>Chuyên viên cao cấp Thẩm định và Đầu tư - HO - 4T003</t>
        </is>
      </c>
      <c r="D8988" s="10" t="inlineStr">
        <is>
          <t>Tập đoàn ROX (ROX Group)</t>
        </is>
      </c>
      <c r="E8988" s="10" t="inlineStr">
        <is>
          <t>Lương:Cạnh tranh</t>
        </is>
      </c>
      <c r="F8988" s="10" t="inlineStr">
        <is>
          <t>Hà Nội</t>
        </is>
      </c>
      <c r="G8988" s="10" t="inlineStr">
        <is>
          <t>01-04-2026</t>
        </is>
      </c>
      <c r="H8988" s="10" t="inlineStr">
        <is>
          <t>01/04/2026</t>
        </is>
      </c>
      <c r="I8988" s="10" t="inlineStr">
        <is>
          <t>17/03/2026</t>
        </is>
      </c>
      <c r="J8988" s="10" t="inlineStr">
        <is>
          <t>Bất động sản, Tài chính / Đầu tư</t>
        </is>
      </c>
      <c r="K8988" s="10" t="inlineStr">
        <is>
          <t>Trên 3 Năm</t>
        </is>
      </c>
      <c r="L8988" s="11">
        <f>HYPERLINK("https://careerviet.vn/vi/tim-viec-lam/chuyen-vien-cao-cap-tham-dinh-va-dau-tu-ho-4t003.35C6A372.html","Xem chi tiết")</f>
        <v/>
      </c>
      <c r="M8988" s="10" t="n"/>
    </row>
    <row r="8989">
      <c r="B8989" s="7" t="n">
        <v>8987</v>
      </c>
      <c r="C8989" t="inlineStr">
        <is>
          <t>Nhân viên vận hành máy (Làm việc tại Đức Hoà, Long An)</t>
        </is>
      </c>
      <c r="D8989" t="inlineStr">
        <is>
          <t>Công ty cổ phần Nafoods Group</t>
        </is>
      </c>
      <c r="E8989" t="inlineStr">
        <is>
          <t>Lương:7 Tr - 10 Tr VND</t>
        </is>
      </c>
      <c r="F8989" t="inlineStr">
        <is>
          <t>Long An</t>
        </is>
      </c>
      <c r="G8989" t="inlineStr">
        <is>
          <t>30-04-2026</t>
        </is>
      </c>
      <c r="H8989" t="inlineStr">
        <is>
          <t>30/04/2026</t>
        </is>
      </c>
      <c r="I8989" t="inlineStr">
        <is>
          <t>17/03/2026</t>
        </is>
      </c>
      <c r="J8989" t="inlineStr">
        <is>
          <t>Cơ khí / Ô tô / Tự động hóa, Điện / Điện tử / Điện lạnh / Điện công nghiệp, Bảo trì / Sửa chữa</t>
        </is>
      </c>
      <c r="K8989" t="inlineStr">
        <is>
          <t>Chưa có kinh nghiệm</t>
        </is>
      </c>
      <c r="L8989" s="8">
        <f>HYPERLINK("https://careerviet.vn/vi/tim-viec-lam/nhan-vien-van-hanh-may-lam-viec-tai-duc-hoa-long-an.35C6A32B.html","Xem chi tiết")</f>
        <v/>
      </c>
    </row>
    <row r="8990">
      <c r="B8990" s="9" t="n">
        <v>8988</v>
      </c>
      <c r="C8990" s="10" t="inlineStr">
        <is>
          <t>Nhân Viên QC (Làm Việc Tại Nhà Máy Thực Phẩm Đức Hòa - Long An cũ)</t>
        </is>
      </c>
      <c r="D8990" s="10" t="inlineStr">
        <is>
          <t>Công ty cổ phần Nafoods Group</t>
        </is>
      </c>
      <c r="E8990" s="10" t="inlineStr">
        <is>
          <t>Lương:7 Tr - 10 Tr VND</t>
        </is>
      </c>
      <c r="F8990" s="10" t="inlineStr">
        <is>
          <t>Long An</t>
        </is>
      </c>
      <c r="G8990" s="10" t="inlineStr">
        <is>
          <t>01-04-2026</t>
        </is>
      </c>
      <c r="H8990" s="10" t="inlineStr">
        <is>
          <t>01/04/2026</t>
        </is>
      </c>
      <c r="I8990" s="10" t="inlineStr">
        <is>
          <t>17/03/2026</t>
        </is>
      </c>
      <c r="J8990" s="10" t="inlineStr">
        <is>
          <t>Thực phẩm &amp; Đồ uống, Công nghệ sinh học, Hóa học</t>
        </is>
      </c>
      <c r="K8990" s="10" t="inlineStr">
        <is>
          <t>N/A</t>
        </is>
      </c>
      <c r="L8990" s="11">
        <f>HYPERLINK("https://careerviet.vn/vi/tim-viec-lam/nhan-vien-qc-lam-viec-tai-nha-may-thuc-pham-duc-hoa-long-an-cu.35C6A31D.html","Xem chi tiết")</f>
        <v/>
      </c>
      <c r="M8990" s="10" t="n"/>
    </row>
    <row r="8991">
      <c r="B8991" s="7" t="n">
        <v>8989</v>
      </c>
      <c r="C8991" t="inlineStr">
        <is>
          <t>IT Infrastructure &amp; System Administrator</t>
        </is>
      </c>
      <c r="D8991" t="inlineStr">
        <is>
          <t>CÔNG TY TNHH GALAXY DIGITAL HOLDINGS</t>
        </is>
      </c>
      <c r="E8991" t="inlineStr">
        <is>
          <t>Lương:Cạnh tranh</t>
        </is>
      </c>
      <c r="F8991" t="inlineStr">
        <is>
          <t>Hồ Chí Minh</t>
        </is>
      </c>
      <c r="G8991" t="inlineStr">
        <is>
          <t>31-03-2026</t>
        </is>
      </c>
      <c r="H8991" t="inlineStr">
        <is>
          <t>31/03/2026</t>
        </is>
      </c>
      <c r="I8991" t="inlineStr">
        <is>
          <t>17/03/2026</t>
        </is>
      </c>
      <c r="J8991" t="inlineStr">
        <is>
          <t>CNTT - Phần mềm, CNTT - Phần cứng / Mạng</t>
        </is>
      </c>
      <c r="K8991" t="inlineStr">
        <is>
          <t>2 - 5 Năm</t>
        </is>
      </c>
      <c r="L8991" s="8">
        <f>HYPERLINK("https://careerviet.vn/vi/tim-viec-lam/it-infrastructure-system-administrator.35C6A29A.html","Xem chi tiết")</f>
        <v/>
      </c>
    </row>
    <row r="8992">
      <c r="B8992" s="9" t="n">
        <v>8990</v>
      </c>
      <c r="C8992" s="10" t="inlineStr">
        <is>
          <t>Chuyên Viên Thiết Kế Đồ Họa (Graphic Designer)</t>
        </is>
      </c>
      <c r="D8992" s="10" t="inlineStr">
        <is>
          <t>Công ty Cổ phần thực phẩm và đồ uống Barett</t>
        </is>
      </c>
      <c r="E8992" s="10" t="inlineStr">
        <is>
          <t>Lương:12 Tr - 15 Tr VND</t>
        </is>
      </c>
      <c r="F8992" s="10" t="inlineStr">
        <is>
          <t>Hà Nội</t>
        </is>
      </c>
      <c r="G8992" s="10" t="inlineStr">
        <is>
          <t>31-03-2026</t>
        </is>
      </c>
      <c r="H8992" s="10" t="inlineStr">
        <is>
          <t>31/03/2026</t>
        </is>
      </c>
      <c r="I8992" s="10" t="inlineStr">
        <is>
          <t>17/03/2026</t>
        </is>
      </c>
      <c r="J8992" s="10" t="inlineStr">
        <is>
          <t>Tiếp thị / Marketing, Mỹ thuật / Nghệ thuật / Thiết kế, Thực phẩm &amp; Đồ uống</t>
        </is>
      </c>
      <c r="K8992" s="10" t="inlineStr">
        <is>
          <t>2 - 3 Năm</t>
        </is>
      </c>
      <c r="L8992" s="11">
        <f>HYPERLINK("https://careerviet.vn/vi/tim-viec-lam/chuyen-vien-thiet-ke-do-hoa-graphic-designer.35C6A2DF.html","Xem chi tiết")</f>
        <v/>
      </c>
      <c r="M8992" s="10" t="n"/>
    </row>
    <row r="8993">
      <c r="B8993" s="7" t="n">
        <v>8991</v>
      </c>
      <c r="C8993" t="inlineStr">
        <is>
          <t>Chuyên Viên Stylist</t>
        </is>
      </c>
      <c r="D8993" t="inlineStr">
        <is>
          <t>CÔNG TY CỔ PHẦN CASHION</t>
        </is>
      </c>
      <c r="E8993" t="inlineStr">
        <is>
          <t>Lương:Cạnh tranh</t>
        </is>
      </c>
      <c r="F8993" t="inlineStr">
        <is>
          <t>Hồ Chí Minh</t>
        </is>
      </c>
      <c r="G8993" t="inlineStr">
        <is>
          <t>03-04-2026</t>
        </is>
      </c>
      <c r="H8993" t="inlineStr">
        <is>
          <t>03/04/2026</t>
        </is>
      </c>
      <c r="I8993" t="inlineStr">
        <is>
          <t>17/03/2026</t>
        </is>
      </c>
      <c r="J8993" t="inlineStr">
        <is>
          <t>Bán hàng / Kinh doanh, Dệt may / Da giày / Thời trang, Bán lẻ / Bán sỉ</t>
        </is>
      </c>
      <c r="K8993" t="inlineStr">
        <is>
          <t>1 - 2 Năm</t>
        </is>
      </c>
      <c r="L8993" s="8">
        <f>HYPERLINK("https://careerviet.vn/vi/tim-viec-lam/chuyen-vien-stylist.35C6A302.html","Xem chi tiết")</f>
        <v/>
      </c>
    </row>
    <row r="8994">
      <c r="B8994" s="9" t="n">
        <v>8992</v>
      </c>
      <c r="C8994" s="10" t="inlineStr">
        <is>
          <t>Nhân Viên Kế Toán Thuế</t>
        </is>
      </c>
      <c r="D8994" s="10" t="inlineStr">
        <is>
          <t>Công Ty TNHH Thương Mại &amp; Công Nghệ Vinatoken</t>
        </is>
      </c>
      <c r="E8994" s="10" t="inlineStr">
        <is>
          <t>Lương:Cạnh tranh</t>
        </is>
      </c>
      <c r="F8994" s="10" t="inlineStr">
        <is>
          <t>Hồ Chí Minh</t>
        </is>
      </c>
      <c r="G8994" s="10" t="inlineStr">
        <is>
          <t>27-03-2026</t>
        </is>
      </c>
      <c r="H8994" s="10" t="inlineStr">
        <is>
          <t>27/03/2026</t>
        </is>
      </c>
      <c r="I8994" s="10" t="inlineStr">
        <is>
          <t>17/03/2026</t>
        </is>
      </c>
      <c r="J8994" s="10" t="inlineStr">
        <is>
          <t>Tài chính / Đầu tư, Thống kê</t>
        </is>
      </c>
      <c r="K8994" s="10" t="inlineStr">
        <is>
          <t>Trên 2 Năm</t>
        </is>
      </c>
      <c r="L8994" s="11">
        <f>HYPERLINK("https://careerviet.vn/vi/tim-viec-lam/nhan-vien-ke-toan-thue.35C6A034.html","Xem chi tiết")</f>
        <v/>
      </c>
      <c r="M8994" s="10" t="n"/>
    </row>
    <row r="8995">
      <c r="B8995" s="7" t="n">
        <v>8993</v>
      </c>
      <c r="C8995" t="inlineStr">
        <is>
          <t>[Vĩnh Long] Giao dịch viên</t>
        </is>
      </c>
      <c r="D8995" t="inlineStr">
        <is>
          <t>Ngân hàng TMCP Đại Chúng Việt Nam - PVcomBank</t>
        </is>
      </c>
      <c r="E8995" t="inlineStr">
        <is>
          <t>Lương:Cạnh tranh</t>
        </is>
      </c>
      <c r="F8995" t="inlineStr">
        <is>
          <t>Vĩnh LongKV Đông Nam Bộ</t>
        </is>
      </c>
      <c r="G8995" t="inlineStr">
        <is>
          <t>01-04-2026</t>
        </is>
      </c>
      <c r="H8995" t="inlineStr">
        <is>
          <t>01/04/2026</t>
        </is>
      </c>
      <c r="I8995" t="inlineStr">
        <is>
          <t>17/03/2026</t>
        </is>
      </c>
      <c r="J8995" t="inlineStr">
        <is>
          <t>Ngân hàng, Bán hàng / Kinh doanh, Tài chính / Đầu tư</t>
        </is>
      </c>
      <c r="K8995" t="inlineStr">
        <is>
          <t>Trên 1 Năm</t>
        </is>
      </c>
      <c r="L8995" s="8">
        <f>HYPERLINK("https://careerviet.vn/vi/tim-viec-lam/vinh-long-giao-dich-vien.35C6A32C.html","Xem chi tiết")</f>
        <v/>
      </c>
    </row>
    <row r="8996">
      <c r="B8996" s="9" t="n">
        <v>8994</v>
      </c>
      <c r="C8996" s="10" t="inlineStr">
        <is>
          <t>NHÂN VIÊN HÀNH CHÍNH PHÒNG KẾ HOẠCH TỔNG HỢP</t>
        </is>
      </c>
      <c r="D8996" s="10" t="inlineStr">
        <is>
          <t>CÔNG TY TNHH ĐẦU TƯ Y TẾ QUỐC TẾ DND – SÀI GÒN</t>
        </is>
      </c>
      <c r="E8996" s="10" t="inlineStr">
        <is>
          <t>Lương:Cạnh tranh</t>
        </is>
      </c>
      <c r="F8996" s="10" t="inlineStr">
        <is>
          <t>Hà Nội</t>
        </is>
      </c>
      <c r="G8996" s="10" t="inlineStr">
        <is>
          <t>31-03-2026</t>
        </is>
      </c>
      <c r="H8996" s="10" t="inlineStr">
        <is>
          <t>31/03/2026</t>
        </is>
      </c>
      <c r="I8996" s="10" t="inlineStr">
        <is>
          <t>17/03/2026</t>
        </is>
      </c>
      <c r="J8996" s="10" t="inlineStr">
        <is>
          <t>Y tế / Chăm sóc sức khỏe / Thẩm mỹ / Làm đẹp, Dược phẩm/ Hóa Mỹ Phẩm, Hành chính / Thư ký</t>
        </is>
      </c>
      <c r="K8996" s="10" t="inlineStr">
        <is>
          <t>Chưa có kinh nghiệm</t>
        </is>
      </c>
      <c r="L8996" s="11">
        <f>HYPERLINK("https://careerviet.vn/vi/tim-viec-lam/nhan-vien-hanh-chinh-phong-ke-hoach-tong-hop.35C6A2A9.html","Xem chi tiết")</f>
        <v/>
      </c>
      <c r="M8996" s="10" t="n"/>
    </row>
    <row r="8997">
      <c r="B8997" s="7" t="n">
        <v>8995</v>
      </c>
      <c r="C8997" t="inlineStr">
        <is>
          <t>Kỹ thuật viên Chẩn đoán hình ảnh</t>
        </is>
      </c>
      <c r="D8997" t="inlineStr">
        <is>
          <t>CÔNG TY CỔ PHẦN ĐẦU TƯ VÀ DỊCH VỤ Y TẾ THỜI ĐẠI XANH</t>
        </is>
      </c>
      <c r="E8997" t="inlineStr">
        <is>
          <t>Lương:15 Tr - 25 Tr VND</t>
        </is>
      </c>
      <c r="F8997" t="inlineStr">
        <is>
          <t>Hà Nội</t>
        </is>
      </c>
      <c r="G8997" t="inlineStr">
        <is>
          <t>01-04-2026</t>
        </is>
      </c>
      <c r="H8997" t="inlineStr">
        <is>
          <t>01/04/2026</t>
        </is>
      </c>
      <c r="I8997" t="inlineStr">
        <is>
          <t>17/03/2026</t>
        </is>
      </c>
      <c r="J8997" t="inlineStr">
        <is>
          <t>Y tế / Chăm sóc sức khỏe / Thẩm mỹ / Làm đẹp</t>
        </is>
      </c>
      <c r="K8997" t="inlineStr">
        <is>
          <t>3 - 5 Năm</t>
        </is>
      </c>
      <c r="L8997" s="8">
        <f>HYPERLINK("https://careerviet.vn/vi/tim-viec-lam/ky-thuat-vien-chan-doan-hinh-anh.35C6A2A1.html","Xem chi tiết")</f>
        <v/>
      </c>
    </row>
    <row r="8998">
      <c r="B8998" s="9" t="n">
        <v>8996</v>
      </c>
      <c r="C8998" s="10" t="inlineStr">
        <is>
          <t>KẾ TOÁN CÔNG NỢ</t>
        </is>
      </c>
      <c r="D8998" s="10" t="inlineStr">
        <is>
          <t>Công ty CP Thương mại Dịch vụ An Biên</t>
        </is>
      </c>
      <c r="E8998" s="10" t="inlineStr">
        <is>
          <t>Lương:18 Tr - 20 Tr VND</t>
        </is>
      </c>
      <c r="F8998" s="10" t="inlineStr">
        <is>
          <t>Hồ Chí Minh</t>
        </is>
      </c>
      <c r="G8998" s="10" t="inlineStr">
        <is>
          <t>01-04-2026</t>
        </is>
      </c>
      <c r="H8998" s="10" t="inlineStr">
        <is>
          <t>01/04/2026</t>
        </is>
      </c>
      <c r="I8998" s="10" t="inlineStr">
        <is>
          <t>17/03/2026</t>
        </is>
      </c>
      <c r="J8998" s="10" t="inlineStr">
        <is>
          <t>Kế toán / Kiểm toán, Ngân hàng, Tài chính / Đầu tư</t>
        </is>
      </c>
      <c r="K8998" s="10" t="inlineStr">
        <is>
          <t>2 - 3 Năm</t>
        </is>
      </c>
      <c r="L8998" s="11">
        <f>HYPERLINK("https://careerviet.vn/vi/tim-viec-lam/ke-toan-cong-no.35C6A434.html","Xem chi tiết")</f>
        <v/>
      </c>
      <c r="M8998" s="10" t="n"/>
    </row>
    <row r="8999">
      <c r="B8999" s="7" t="n">
        <v>8997</v>
      </c>
      <c r="C8999" t="inlineStr">
        <is>
          <t>Quản lý vùng (ASM - Thị trường Thái Nguyên, Vĩnh Phúc, Phú Thọ)</t>
        </is>
      </c>
      <c r="D8999" t="inlineStr">
        <is>
          <t>Công ty Cổ phần thực phẩm và đồ uống Barett</t>
        </is>
      </c>
      <c r="E8999" t="inlineStr">
        <is>
          <t>Lương:26 Tr - 32 Tr VND</t>
        </is>
      </c>
      <c r="F8999" t="inlineStr">
        <is>
          <t>Thái NguyênVĩnh PhúcPhú Thọ</t>
        </is>
      </c>
      <c r="G8999" t="inlineStr">
        <is>
          <t>31-03-2026</t>
        </is>
      </c>
      <c r="H8999" t="inlineStr">
        <is>
          <t>31/03/2026</t>
        </is>
      </c>
      <c r="I8999" t="inlineStr">
        <is>
          <t>17/03/2026</t>
        </is>
      </c>
      <c r="J8999" t="inlineStr">
        <is>
          <t>Tiếp thị / Marketing, Bán hàng / Kinh doanh, Tiếp thị trực tuyến</t>
        </is>
      </c>
      <c r="K8999" t="inlineStr">
        <is>
          <t>3 - 5 Năm</t>
        </is>
      </c>
      <c r="L8999" s="8">
        <f>HYPERLINK("https://careerviet.vn/vi/tim-viec-lam/quan-ly-vung-asm-thi-truong-thai-nguyen-vinh-phuc-phu-tho.35C6A2B6.html","Xem chi tiết")</f>
        <v/>
      </c>
    </row>
    <row r="9000">
      <c r="B9000" s="9" t="n">
        <v>8998</v>
      </c>
      <c r="C9000" s="10" t="inlineStr">
        <is>
          <t>Nhân Viên Kỹ Thuật</t>
        </is>
      </c>
      <c r="D9000" s="10" t="inlineStr">
        <is>
          <t>Tập đoàn An Lạc – Anlac Group</t>
        </is>
      </c>
      <c r="E9000" s="10" t="inlineStr">
        <is>
          <t>Lương:8 Tr - 10 Tr VND</t>
        </is>
      </c>
      <c r="F9000" s="10" t="inlineStr">
        <is>
          <t>Hà Nội</t>
        </is>
      </c>
      <c r="G9000" s="10" t="inlineStr">
        <is>
          <t>15-04-2026</t>
        </is>
      </c>
      <c r="H9000" s="10" t="inlineStr">
        <is>
          <t>15/04/2026</t>
        </is>
      </c>
      <c r="I9000" s="10" t="inlineStr">
        <is>
          <t>17/03/2026</t>
        </is>
      </c>
      <c r="J9000" s="10" t="inlineStr">
        <is>
          <t>Điện / Điện tử / Điện lạnh / Điện công nghiệp, Xây dựng, Bảo trì / Sửa chữa</t>
        </is>
      </c>
      <c r="K9000" s="10" t="inlineStr">
        <is>
          <t>3 - 4 Năm</t>
        </is>
      </c>
      <c r="L9000" s="11">
        <f>HYPERLINK("https://careerviet.vn/vi/tim-viec-lam/nhan-vien-ky-thuat.35C6A560.html","Xem chi tiết")</f>
        <v/>
      </c>
      <c r="M9000" s="10" t="n"/>
    </row>
    <row r="9001">
      <c r="B9001" s="7" t="n">
        <v>8999</v>
      </c>
      <c r="C9001" t="inlineStr">
        <is>
          <t>Chuyên Viên Đào Tạo</t>
        </is>
      </c>
      <c r="D9001" t="inlineStr">
        <is>
          <t>CÔNG TY TNHH TẬP ĐOÀN XÂY DỰNG DELTA</t>
        </is>
      </c>
      <c r="E9001" t="inlineStr">
        <is>
          <t>Lương:Cạnh tranh</t>
        </is>
      </c>
      <c r="F9001" t="inlineStr">
        <is>
          <t>Hà Nội</t>
        </is>
      </c>
      <c r="G9001" t="inlineStr">
        <is>
          <t>30-04-2026</t>
        </is>
      </c>
      <c r="H9001" t="inlineStr">
        <is>
          <t>30/04/2026</t>
        </is>
      </c>
      <c r="I9001" t="inlineStr">
        <is>
          <t>17/03/2026</t>
        </is>
      </c>
      <c r="J9001" t="inlineStr">
        <is>
          <t>Giáo dục / Đào tạo, Nhân sự, Xây dựng</t>
        </is>
      </c>
      <c r="K9001" t="inlineStr">
        <is>
          <t>3 - 5 Năm</t>
        </is>
      </c>
      <c r="L9001" s="8">
        <f>HYPERLINK("https://careerviet.vn/vi/tim-viec-lam/chuyen-vien-dao-tao.35C6A537.html","Xem chi tiết")</f>
        <v/>
      </c>
    </row>
    <row r="9002">
      <c r="B9002" s="9" t="n">
        <v>9000</v>
      </c>
      <c r="C9002" s="10" t="inlineStr">
        <is>
          <t>Chuyên viên C&amp;B</t>
        </is>
      </c>
      <c r="D9002" s="10" t="inlineStr">
        <is>
          <t>Công Ty TNHH Thương Mại Xuất Nhập Khẩu Fani</t>
        </is>
      </c>
      <c r="E9002" s="10" t="inlineStr">
        <is>
          <t>Lương:10 Tr - 20 Tr VND</t>
        </is>
      </c>
      <c r="F9002" s="10" t="inlineStr">
        <is>
          <t>Hà Nội</t>
        </is>
      </c>
      <c r="G9002" s="10" t="inlineStr">
        <is>
          <t>31-03-2026</t>
        </is>
      </c>
      <c r="H9002" s="10" t="inlineStr">
        <is>
          <t>31/03/2026</t>
        </is>
      </c>
      <c r="I9002" s="10" t="inlineStr">
        <is>
          <t>17/03/2026</t>
        </is>
      </c>
      <c r="J9002" s="10" t="inlineStr">
        <is>
          <t>Nhân sự</t>
        </is>
      </c>
      <c r="K9002" s="10" t="inlineStr">
        <is>
          <t>2 - 3 Năm</t>
        </is>
      </c>
      <c r="L9002" s="11">
        <f>HYPERLINK("https://careerviet.vn/vi/tim-viec-lam/chuyen-vien-c-b.35C6A3C8.html","Xem chi tiết")</f>
        <v/>
      </c>
      <c r="M9002" s="10" t="n"/>
    </row>
    <row r="9003">
      <c r="B9003" s="7" t="n">
        <v>9001</v>
      </c>
      <c r="C9003" t="inlineStr">
        <is>
          <t>Kế toán thuế nội bộ (Làm việc tại Đà Nẵng)</t>
        </is>
      </c>
      <c r="D9003" t="inlineStr">
        <is>
          <t>HEXAGON - CÔNG TY CỔ PHẦN THIẾT KẾ LỤC GIÁC</t>
        </is>
      </c>
      <c r="E9003" t="inlineStr">
        <is>
          <t>Lương:Cạnh tranh</t>
        </is>
      </c>
      <c r="F9003" t="inlineStr">
        <is>
          <t>Đà Nẵng</t>
        </is>
      </c>
      <c r="G9003" t="inlineStr">
        <is>
          <t>31-03-2026</t>
        </is>
      </c>
      <c r="H9003" t="inlineStr">
        <is>
          <t>31/03/2026</t>
        </is>
      </c>
      <c r="I9003" t="inlineStr">
        <is>
          <t>17/03/2026</t>
        </is>
      </c>
      <c r="J9003" t="inlineStr">
        <is>
          <t>Kế toán / Kiểm toán</t>
        </is>
      </c>
      <c r="K9003" t="inlineStr">
        <is>
          <t>1 - 2 Năm</t>
        </is>
      </c>
      <c r="L9003" s="8">
        <f>HYPERLINK("https://careerviet.vn/vi/tim-viec-lam/ke-toan-thue-noi-bo-lam-viec-tai-da-nang.35C6A5AC.html","Xem chi tiết")</f>
        <v/>
      </c>
    </row>
    <row r="9004">
      <c r="B9004" s="9" t="n">
        <v>9002</v>
      </c>
      <c r="C9004" s="10" t="inlineStr">
        <is>
          <t>Coordinator (RBS)</t>
        </is>
      </c>
      <c r="D9004" s="10" t="inlineStr">
        <is>
          <t>Cty SGS Việt Nam TNHH</t>
        </is>
      </c>
      <c r="E9004" s="10" t="inlineStr">
        <is>
          <t>Lương:Cạnh tranh</t>
        </is>
      </c>
      <c r="F9004" s="10" t="inlineStr">
        <is>
          <t>Hồ Chí Minh</t>
        </is>
      </c>
      <c r="G9004" s="10" t="inlineStr">
        <is>
          <t>30-03-2026</t>
        </is>
      </c>
      <c r="H9004" s="10" t="inlineStr">
        <is>
          <t>30/03/2026</t>
        </is>
      </c>
      <c r="I9004" s="10" t="inlineStr">
        <is>
          <t>17/03/2026</t>
        </is>
      </c>
      <c r="J9004" s="10" t="inlineStr">
        <is>
          <t>Bán hàng / Kinh doanh, Dịch vụ khách hàng, Xuất nhập khẩu</t>
        </is>
      </c>
      <c r="K9004" s="10" t="inlineStr">
        <is>
          <t>1 - 2 Năm</t>
        </is>
      </c>
      <c r="L9004" s="11">
        <f>HYPERLINK("https://careerviet.vn/vi/tim-viec-lam/coordinator-rbs.35C6A5CD.html","Xem chi tiết")</f>
        <v/>
      </c>
      <c r="M9004" s="10" t="n"/>
    </row>
    <row r="9005">
      <c r="B9005" s="7" t="n">
        <v>9003</v>
      </c>
      <c r="C9005" t="inlineStr">
        <is>
          <t>Chuyên viên tuyển dụng</t>
        </is>
      </c>
      <c r="D9005" t="inlineStr">
        <is>
          <t>Công ty Cổ phần thực phẩm và đồ uống Barett</t>
        </is>
      </c>
      <c r="E9005" t="inlineStr">
        <is>
          <t>Lương:14 Tr - 16 Tr VND</t>
        </is>
      </c>
      <c r="F9005" t="inlineStr">
        <is>
          <t>Hà NộiHưng Yên</t>
        </is>
      </c>
      <c r="G9005" t="inlineStr">
        <is>
          <t>31-03-2026</t>
        </is>
      </c>
      <c r="H9005" t="inlineStr">
        <is>
          <t>31/03/2026</t>
        </is>
      </c>
      <c r="I9005" t="inlineStr">
        <is>
          <t>17/03/2026</t>
        </is>
      </c>
      <c r="J9005" t="inlineStr">
        <is>
          <t>Nhân sự, Sản xuất / Vận hành sản xuất</t>
        </is>
      </c>
      <c r="K9005" t="inlineStr">
        <is>
          <t>2 - 3 Năm</t>
        </is>
      </c>
      <c r="L9005" s="8">
        <f>HYPERLINK("https://careerviet.vn/vi/tim-viec-lam/chuyen-vien-tuyen-dung.35C68691.html","Xem chi tiết")</f>
        <v/>
      </c>
    </row>
    <row r="9006">
      <c r="B9006" s="9" t="n">
        <v>9004</v>
      </c>
      <c r="C9006" s="10" t="inlineStr">
        <is>
          <t>Kỹ Sư Môi Trường</t>
        </is>
      </c>
      <c r="D9006" s="10" t="inlineStr">
        <is>
          <t>CÔNG TY TNHH POSBEE VIỆT NAM</t>
        </is>
      </c>
      <c r="E9006" s="10" t="inlineStr">
        <is>
          <t>Lương:10 Tr - 18 Tr VND</t>
        </is>
      </c>
      <c r="F9006" s="10" t="inlineStr">
        <is>
          <t>Hồ Chí Minh</t>
        </is>
      </c>
      <c r="G9006" s="10" t="inlineStr">
        <is>
          <t>02-04-2026</t>
        </is>
      </c>
      <c r="H9006" s="10" t="inlineStr">
        <is>
          <t>02/04/2026</t>
        </is>
      </c>
      <c r="I9006" s="10" t="inlineStr">
        <is>
          <t>17/03/2026</t>
        </is>
      </c>
      <c r="J9006" s="10" t="inlineStr">
        <is>
          <t>Môi trường, Mỹ thuật / Nghệ thuật / Thiết kế, Xây dựng</t>
        </is>
      </c>
      <c r="K9006" s="10" t="inlineStr">
        <is>
          <t>Trên 2 Năm</t>
        </is>
      </c>
      <c r="L9006" s="11">
        <f>HYPERLINK("https://careerviet.vn/vi/tim-viec-lam/ky-su-moi-truong.35C6A5FA.html","Xem chi tiết")</f>
        <v/>
      </c>
      <c r="M9006" s="10" t="n"/>
    </row>
    <row r="9007">
      <c r="B9007" s="7" t="n">
        <v>9005</v>
      </c>
      <c r="C9007" t="inlineStr">
        <is>
          <t>Nhân Viên Lái Xe Tải Đông Lạnh Từ 1,25 Tấn Đến 5 Tấn</t>
        </is>
      </c>
      <c r="D9007" t="inlineStr">
        <is>
          <t>CÔNG TY CỔ PHẦN CUNG ỨNG LẠNH VN</t>
        </is>
      </c>
      <c r="E9007" t="inlineStr">
        <is>
          <t>Lương:14 Tr - 25 Tr VND</t>
        </is>
      </c>
      <c r="F9007" t="inlineStr">
        <is>
          <t>Hà NộiHưng Yên</t>
        </is>
      </c>
      <c r="G9007" t="inlineStr">
        <is>
          <t>02-04-2026</t>
        </is>
      </c>
      <c r="H9007" t="inlineStr">
        <is>
          <t>02/04/2026</t>
        </is>
      </c>
      <c r="I9007" t="inlineStr">
        <is>
          <t>17/03/2026</t>
        </is>
      </c>
      <c r="J9007" t="inlineStr">
        <is>
          <t>Vận chuyển / Giao nhận / Kho vận, Lao động phổ thông, An toàn lao động</t>
        </is>
      </c>
      <c r="K9007" t="inlineStr">
        <is>
          <t>N/A</t>
        </is>
      </c>
      <c r="L9007" s="8">
        <f>HYPERLINK("https://careerviet.vn/vi/tim-viec-lam/nhan-vien-lai-xe-tai-dong-lanh-tu-1-25-tan-den-5-tan.35C6A6D2.html","Xem chi tiết")</f>
        <v/>
      </c>
    </row>
    <row r="9008">
      <c r="B9008" s="9" t="n">
        <v>9006</v>
      </c>
      <c r="C9008" s="10" t="inlineStr">
        <is>
          <t>Chuyên viên tuyển dụng</t>
        </is>
      </c>
      <c r="D9008" s="10" t="inlineStr">
        <is>
          <t>Công ty Cổ phần CANIFA</t>
        </is>
      </c>
      <c r="E9008" s="10" t="inlineStr">
        <is>
          <t>Lương:17 Tr - 22 Tr VND</t>
        </is>
      </c>
      <c r="F9008" s="10" t="inlineStr">
        <is>
          <t>Hà Nội</t>
        </is>
      </c>
      <c r="G9008" s="10" t="inlineStr">
        <is>
          <t>31-03-2026</t>
        </is>
      </c>
      <c r="H9008" s="10" t="inlineStr">
        <is>
          <t>31/03/2026</t>
        </is>
      </c>
      <c r="I9008" s="10" t="inlineStr">
        <is>
          <t>17/03/2026</t>
        </is>
      </c>
      <c r="J9008" s="10" t="inlineStr">
        <is>
          <t>Bán lẻ / Bán sỉ, Nhân sự, Dệt may / Da giày / Thời trang</t>
        </is>
      </c>
      <c r="K9008" s="10" t="inlineStr">
        <is>
          <t>3 - 7 Năm</t>
        </is>
      </c>
      <c r="L9008" s="11">
        <f>HYPERLINK("https://careerviet.vn/vi/tim-viec-lam/chuyen-vien-tuyen-dung.35C6A4B2.html","Xem chi tiết")</f>
        <v/>
      </c>
      <c r="M9008" s="10" t="n"/>
    </row>
    <row r="9009">
      <c r="B9009" s="7" t="n">
        <v>9007</v>
      </c>
      <c r="C9009" t="inlineStr">
        <is>
          <t>Chuyên Viên Tài Chính Nguồn Vốn</t>
        </is>
      </c>
      <c r="D9009" t="inlineStr">
        <is>
          <t>CÔNG TY CỔ PHẦN TẬP ĐOÀN ONSEN FUJI</t>
        </is>
      </c>
      <c r="E9009" t="inlineStr">
        <is>
          <t>Lương:20 Tr - 30 Tr VND</t>
        </is>
      </c>
      <c r="F9009" t="inlineStr">
        <is>
          <t>Hà Nội</t>
        </is>
      </c>
      <c r="G9009" t="inlineStr">
        <is>
          <t>01-04-2026</t>
        </is>
      </c>
      <c r="H9009" t="inlineStr">
        <is>
          <t>01/04/2026</t>
        </is>
      </c>
      <c r="I9009" t="inlineStr">
        <is>
          <t>17/03/2026</t>
        </is>
      </c>
      <c r="J9009" t="inlineStr">
        <is>
          <t>Kế toán / Kiểm toán, Tài chính / Đầu tư</t>
        </is>
      </c>
      <c r="K9009" t="inlineStr">
        <is>
          <t>5 - 6 Năm</t>
        </is>
      </c>
      <c r="L9009" s="8">
        <f>HYPERLINK("https://careerviet.vn/vi/tim-viec-lam/chuyen-vien-tai-chinh-nguon-von.35C6A698.html","Xem chi tiết")</f>
        <v/>
      </c>
    </row>
    <row r="9010">
      <c r="B9010" s="9" t="n">
        <v>9008</v>
      </c>
      <c r="C9010" s="10" t="inlineStr">
        <is>
          <t>Kỹ Sư Trưởng Tòa Nhà</t>
        </is>
      </c>
      <c r="D9010" s="10" t="inlineStr">
        <is>
          <t>TẬP ĐOÀN ĐẦU TƯ KINH ĐÔ</t>
        </is>
      </c>
      <c r="E9010" s="10" t="inlineStr">
        <is>
          <t>Lương:18 Tr - 20 Tr VND</t>
        </is>
      </c>
      <c r="F9010" s="10" t="inlineStr">
        <is>
          <t>Hà Nội</t>
        </is>
      </c>
      <c r="G9010" s="10" t="inlineStr">
        <is>
          <t>31-03-2026</t>
        </is>
      </c>
      <c r="H9010" s="10" t="inlineStr">
        <is>
          <t>31/03/2026</t>
        </is>
      </c>
      <c r="I9010" s="10" t="inlineStr">
        <is>
          <t>17/03/2026</t>
        </is>
      </c>
      <c r="J9010" s="10" t="inlineStr">
        <is>
          <t>Điện / Điện tử / Điện lạnh / Điện công nghiệp, Bảo trì / Sửa chữa, An Ninh / Bảo Vệ</t>
        </is>
      </c>
      <c r="K9010" s="10" t="inlineStr">
        <is>
          <t>3 - 5 Năm</t>
        </is>
      </c>
      <c r="L9010" s="11">
        <f>HYPERLINK("https://careerviet.vn/vi/tim-viec-lam/ky-su-truong-toa-nha.35C6A4CC.html","Xem chi tiết")</f>
        <v/>
      </c>
      <c r="M9010" s="10" t="n"/>
    </row>
    <row r="9011">
      <c r="B9011" s="7" t="n">
        <v>9009</v>
      </c>
      <c r="C9011" t="inlineStr">
        <is>
          <t>Điều dưỡng Gây mê Hồi sức/ Anesthesia &amp; Recovery Nurse</t>
        </is>
      </c>
      <c r="D9011" t="inlineStr">
        <is>
          <t>American International Hospital (AIH)</t>
        </is>
      </c>
      <c r="E9011" t="inlineStr">
        <is>
          <t>Lương:Cạnh tranh</t>
        </is>
      </c>
      <c r="F9011" t="inlineStr">
        <is>
          <t>Hồ Chí Minh</t>
        </is>
      </c>
      <c r="G9011" t="inlineStr">
        <is>
          <t>30-04-2026</t>
        </is>
      </c>
      <c r="H9011" t="inlineStr">
        <is>
          <t>30/04/2026</t>
        </is>
      </c>
      <c r="I9011" t="inlineStr">
        <is>
          <t>17/03/2026</t>
        </is>
      </c>
      <c r="J9011" t="inlineStr">
        <is>
          <t>Y tế / Chăm sóc sức khỏe / Thẩm mỹ / Làm đẹp</t>
        </is>
      </c>
      <c r="K9011" t="inlineStr">
        <is>
          <t>1 - 3 Năm</t>
        </is>
      </c>
      <c r="L9011" s="8">
        <f>HYPERLINK("https://careerviet.vn/vi/tim-viec-lam/dieu-duong-gay-me-hoi-suc-anesthesia-recovery-nurse.35C6A43D.html","Xem chi tiết")</f>
        <v/>
      </c>
    </row>
    <row r="9012">
      <c r="B9012" s="9" t="n">
        <v>9010</v>
      </c>
      <c r="C9012" s="10" t="inlineStr">
        <is>
          <t>Artist (Học viện Bò và Gấu)</t>
        </is>
      </c>
      <c r="D9012" s="10" t="inlineStr">
        <is>
          <t>Công ty Cổ phần Chứng khoán DNSE</t>
        </is>
      </c>
      <c r="E9012" s="10" t="inlineStr">
        <is>
          <t>Lương:1.000 - 1.500 USD</t>
        </is>
      </c>
      <c r="F9012" s="10" t="inlineStr">
        <is>
          <t>Hà Nội</t>
        </is>
      </c>
      <c r="G9012" s="10" t="inlineStr">
        <is>
          <t>02-04-2026</t>
        </is>
      </c>
      <c r="H9012" s="10" t="inlineStr">
        <is>
          <t>02/04/2026</t>
        </is>
      </c>
      <c r="I9012" s="10" t="inlineStr">
        <is>
          <t>17/03/2026</t>
        </is>
      </c>
      <c r="J9012" s="10" t="inlineStr">
        <is>
          <t>Mỹ thuật / Nghệ thuật / Thiết kế</t>
        </is>
      </c>
      <c r="K9012" s="10" t="inlineStr">
        <is>
          <t>Trên 2 Năm</t>
        </is>
      </c>
      <c r="L9012" s="11">
        <f>HYPERLINK("https://careerviet.vn/vi/tim-viec-lam/artist-hoc-vien-bo-va-gau.35C6A521.html","Xem chi tiết")</f>
        <v/>
      </c>
      <c r="M9012" s="10" t="n"/>
    </row>
    <row r="9013">
      <c r="B9013" s="7" t="n">
        <v>9011</v>
      </c>
      <c r="C9013" t="inlineStr">
        <is>
          <t>Chuyên viên kinh doanh - mảng gia công đồ uống nội địa</t>
        </is>
      </c>
      <c r="D9013" t="inlineStr">
        <is>
          <t>Công ty Cổ phần thực phẩm và đồ uống Barett</t>
        </is>
      </c>
      <c r="E9013" t="inlineStr">
        <is>
          <t>Lương:15 Tr - 18 Tr VND</t>
        </is>
      </c>
      <c r="F9013" t="inlineStr">
        <is>
          <t>Hà Nội</t>
        </is>
      </c>
      <c r="G9013" t="inlineStr">
        <is>
          <t>31-03-2026</t>
        </is>
      </c>
      <c r="H9013" t="inlineStr">
        <is>
          <t>31/03/2026</t>
        </is>
      </c>
      <c r="I9013" t="inlineStr">
        <is>
          <t>17/03/2026</t>
        </is>
      </c>
      <c r="J9013" t="inlineStr">
        <is>
          <t>Bán hàng / Kinh doanh, Thực phẩm &amp; Đồ uống, Xuất nhập khẩu</t>
        </is>
      </c>
      <c r="K9013" t="inlineStr">
        <is>
          <t>2 - 3 Năm</t>
        </is>
      </c>
      <c r="L9013" s="8">
        <f>HYPERLINK("https://careerviet.vn/vi/tim-viec-lam/chuyen-vien-kinh-doanh-mang-gia-cong-do-uong-noi-dia.35C6A2C6.html","Xem chi tiết")</f>
        <v/>
      </c>
    </row>
    <row r="9014">
      <c r="B9014" s="9" t="n">
        <v>9012</v>
      </c>
      <c r="C9014" s="10" t="inlineStr">
        <is>
          <t>Kế Toán Tổng Hợp</t>
        </is>
      </c>
      <c r="D9014" s="10" t="inlineStr">
        <is>
          <t>CÔNG TY CỔ PHẦN ĐẦU TƯ DANCO</t>
        </is>
      </c>
      <c r="E9014" s="10" t="inlineStr">
        <is>
          <t>Lương:16 Tr - 20 Tr VND</t>
        </is>
      </c>
      <c r="F9014" s="10" t="inlineStr">
        <is>
          <t>Hà Nội</t>
        </is>
      </c>
      <c r="G9014" s="10" t="inlineStr">
        <is>
          <t>30-04-2026</t>
        </is>
      </c>
      <c r="H9014" s="10" t="inlineStr">
        <is>
          <t>30/04/2026</t>
        </is>
      </c>
      <c r="I9014" s="10" t="inlineStr">
        <is>
          <t>17/03/2026</t>
        </is>
      </c>
      <c r="J9014" s="10" t="inlineStr">
        <is>
          <t>Kế toán / Kiểm toán, Tài chính / Đầu tư, Ngân hàng</t>
        </is>
      </c>
      <c r="K9014" s="10" t="inlineStr">
        <is>
          <t>3 - 5 Năm</t>
        </is>
      </c>
      <c r="L9014" s="11">
        <f>HYPERLINK("https://careerviet.vn/vi/tim-viec-lam/ke-toan-tong-hop.35C6A502.html","Xem chi tiết")</f>
        <v/>
      </c>
      <c r="M9014" s="10" t="n"/>
    </row>
    <row r="9015">
      <c r="B9015" s="7" t="n">
        <v>9013</v>
      </c>
      <c r="C9015" t="inlineStr">
        <is>
          <t>Chuyên viên Chính sách Quản trị Tài chính</t>
        </is>
      </c>
      <c r="D9015" t="inlineStr">
        <is>
          <t>Ngân Hàng TMCP Sài Gòn - Hà Nội ( SHB )</t>
        </is>
      </c>
      <c r="E9015" t="inlineStr">
        <is>
          <t>Lương:Cạnh tranh</t>
        </is>
      </c>
      <c r="F9015" t="inlineStr">
        <is>
          <t>Hà Nội</t>
        </is>
      </c>
      <c r="G9015" t="inlineStr">
        <is>
          <t>01-04-2026</t>
        </is>
      </c>
      <c r="H9015" t="inlineStr">
        <is>
          <t>01/04/2026</t>
        </is>
      </c>
      <c r="I9015" t="inlineStr">
        <is>
          <t>17/03/2026</t>
        </is>
      </c>
      <c r="J9015" t="inlineStr">
        <is>
          <t>Ngân hàng, Tài chính / Đầu tư</t>
        </is>
      </c>
      <c r="K9015" t="inlineStr">
        <is>
          <t>Trên 1 Năm</t>
        </is>
      </c>
      <c r="L9015" s="8">
        <f>HYPERLINK("https://careerviet.vn/vi/tim-viec-lam/chuyen-vien-chinh-sach-quan-tri-tai-chinh.35C6A33D.html","Xem chi tiết")</f>
        <v/>
      </c>
    </row>
    <row r="9016">
      <c r="B9016" s="9" t="n">
        <v>9014</v>
      </c>
      <c r="C9016" s="10" t="inlineStr">
        <is>
          <t>Nhân Viên Triển Khai Phần Mềm (HR Software)</t>
        </is>
      </c>
      <c r="D9016" s="10" t="inlineStr">
        <is>
          <t>Công ty TNHH Cadena Việt Nam</t>
        </is>
      </c>
      <c r="E9016" s="10" t="inlineStr">
        <is>
          <t>Lương:10 Tr - 15 Tr VND</t>
        </is>
      </c>
      <c r="F9016" s="10" t="inlineStr">
        <is>
          <t>Hà Nội</t>
        </is>
      </c>
      <c r="G9016" s="10" t="inlineStr">
        <is>
          <t>31-03-2026</t>
        </is>
      </c>
      <c r="H9016" s="10" t="inlineStr">
        <is>
          <t>31/03/2026</t>
        </is>
      </c>
      <c r="I9016" s="10" t="inlineStr">
        <is>
          <t>17/03/2026</t>
        </is>
      </c>
      <c r="J9016" s="10" t="inlineStr">
        <is>
          <t>Nhân sự, CNTT - Phần mềm</t>
        </is>
      </c>
      <c r="K9016" s="10" t="inlineStr">
        <is>
          <t>2 - 3 Năm</t>
        </is>
      </c>
      <c r="L9016" s="11">
        <f>HYPERLINK("https://careerviet.vn/vi/tim-viec-lam/nhan-vien-trien-khai-phan-mem-hr-software.35C6A68F.html","Xem chi tiết")</f>
        <v/>
      </c>
      <c r="M9016" s="10" t="n"/>
    </row>
    <row r="9017">
      <c r="B9017" s="7" t="n">
        <v>9015</v>
      </c>
      <c r="C9017" t="inlineStr">
        <is>
          <t>CHUYÊN VIÊN TƯ VẤN GIÁO DỤC (OCEAN EDU YÊN LẠC) - THU NHẬP HẤP DẪN TỪ 15 TRIỆU/THÁNG</t>
        </is>
      </c>
      <c r="D9017" t="inlineStr">
        <is>
          <t>Công Ty CP Giáo Dục Đại Dương</t>
        </is>
      </c>
      <c r="E9017" t="inlineStr">
        <is>
          <t>Lương:Cạnh tranh</t>
        </is>
      </c>
      <c r="F9017" t="inlineStr">
        <is>
          <t>Vĩnh Phúc</t>
        </is>
      </c>
      <c r="G9017" t="inlineStr">
        <is>
          <t>01-04-2026</t>
        </is>
      </c>
      <c r="H9017" t="inlineStr">
        <is>
          <t>01/04/2026</t>
        </is>
      </c>
      <c r="I9017" t="inlineStr">
        <is>
          <t>17/03/2026</t>
        </is>
      </c>
      <c r="J9017" t="inlineStr">
        <is>
          <t>Dịch vụ khách hàng, Giáo dục / Đào tạo, Bán hàng / Kinh doanh</t>
        </is>
      </c>
      <c r="K9017" t="inlineStr">
        <is>
          <t>Lên đến 1 Năm</t>
        </is>
      </c>
      <c r="L9017" s="8">
        <f>HYPERLINK("https://careerviet.vn/vi/tim-viec-lam/chuyen-vien-tu-van-giao-duc-ocean-edu-yen-lac-thu-nhap-hap-dan-tu-15-trieu-thang.35C6A64D.html","Xem chi tiết")</f>
        <v/>
      </c>
    </row>
    <row r="9018">
      <c r="B9018" s="9" t="n">
        <v>9016</v>
      </c>
      <c r="C9018" s="10" t="inlineStr">
        <is>
          <t>CARGO OPERATION EXECUTIVE (SGN)</t>
        </is>
      </c>
      <c r="D9018" s="10" t="inlineStr">
        <is>
          <t>CÔNG TY CỔ PHẦN ITL AVIATION LOGISTICS</t>
        </is>
      </c>
      <c r="E9018" s="10" t="inlineStr">
        <is>
          <t>Lương:Cạnh tranh</t>
        </is>
      </c>
      <c r="F9018" s="10" t="inlineStr">
        <is>
          <t>Hồ Chí Minh</t>
        </is>
      </c>
      <c r="G9018" s="10" t="inlineStr">
        <is>
          <t>01-04-2026</t>
        </is>
      </c>
      <c r="H9018" s="10" t="inlineStr">
        <is>
          <t>01/04/2026</t>
        </is>
      </c>
      <c r="I9018" s="10" t="inlineStr">
        <is>
          <t>17/03/2026</t>
        </is>
      </c>
      <c r="J9018" s="10" t="inlineStr">
        <is>
          <t>Hàng không, Vận chuyển / Giao nhận / Kho vận</t>
        </is>
      </c>
      <c r="K9018" s="10" t="inlineStr">
        <is>
          <t>2 - 3 Năm</t>
        </is>
      </c>
      <c r="L9018" s="11">
        <f>HYPERLINK("https://careerviet.vn/vi/tim-viec-lam/cargo-operation-executive-sgn.35C6A457.html","Xem chi tiết")</f>
        <v/>
      </c>
      <c r="M9018" s="10" t="n"/>
    </row>
    <row r="9019">
      <c r="B9019" s="7" t="n">
        <v>9017</v>
      </c>
      <c r="C9019" t="inlineStr">
        <is>
          <t>Nhân viên Phát triển Dự án - CĐT BĐS</t>
        </is>
      </c>
      <c r="D9019" t="inlineStr">
        <is>
          <t>CÔNG TY CỔ PHẦN ĐẦU TƯ DANCO</t>
        </is>
      </c>
      <c r="E9019" t="inlineStr">
        <is>
          <t>Lương:12 Tr - 17 Tr VND</t>
        </is>
      </c>
      <c r="F9019" t="inlineStr">
        <is>
          <t>Hà Nội</t>
        </is>
      </c>
      <c r="G9019" t="inlineStr">
        <is>
          <t>30-04-2026</t>
        </is>
      </c>
      <c r="H9019" t="inlineStr">
        <is>
          <t>30/04/2026</t>
        </is>
      </c>
      <c r="I9019" t="inlineStr">
        <is>
          <t>17/03/2026</t>
        </is>
      </c>
      <c r="J9019" t="inlineStr">
        <is>
          <t>Xây dựng, Bất động sản, Luật / Pháp lý</t>
        </is>
      </c>
      <c r="K9019" t="inlineStr">
        <is>
          <t>Lên đến 2 Năm</t>
        </is>
      </c>
      <c r="L9019" s="8">
        <f>HYPERLINK("https://careerviet.vn/vi/tim-viec-lam/nhan-vien-phat-trien-du-an-cdt-bds.35C6A5B8.html","Xem chi tiết")</f>
        <v/>
      </c>
    </row>
    <row r="9020">
      <c r="B9020" s="9" t="n">
        <v>9018</v>
      </c>
      <c r="C9020" s="10" t="inlineStr">
        <is>
          <t>Chuyên viên C&amp;B</t>
        </is>
      </c>
      <c r="D9020" s="10" t="inlineStr">
        <is>
          <t>Công Ty Cổ Phần Tập Đoàn Sunshine</t>
        </is>
      </c>
      <c r="E9020" s="10" t="inlineStr">
        <is>
          <t>Lương:12 Tr - 14 Tr VND</t>
        </is>
      </c>
      <c r="F9020" s="10" t="inlineStr">
        <is>
          <t>Hà Nội</t>
        </is>
      </c>
      <c r="G9020" s="10" t="inlineStr">
        <is>
          <t>31-03-2026</t>
        </is>
      </c>
      <c r="H9020" s="10" t="inlineStr">
        <is>
          <t>31/03/2026</t>
        </is>
      </c>
      <c r="I9020" s="10" t="inlineStr">
        <is>
          <t>17/03/2026</t>
        </is>
      </c>
      <c r="J9020" s="10" t="inlineStr">
        <is>
          <t>Nhân sự</t>
        </is>
      </c>
      <c r="K9020" s="10" t="inlineStr">
        <is>
          <t>Chưa có kinh nghiệm</t>
        </is>
      </c>
      <c r="L9020" s="11">
        <f>HYPERLINK("https://careerviet.vn/vi/tim-viec-lam/chuyen-vien-c-b.35C6A68D.html","Xem chi tiết")</f>
        <v/>
      </c>
      <c r="M9020" s="10" t="n"/>
    </row>
    <row r="9021">
      <c r="B9021" s="7" t="n">
        <v>9019</v>
      </c>
      <c r="C9021" t="inlineStr">
        <is>
          <t>Chuyên Viên Kĩ Thuật Tòa Nhà</t>
        </is>
      </c>
      <c r="D9021" t="inlineStr">
        <is>
          <t>Bệnh viện Đa khoa Hà Nội</t>
        </is>
      </c>
      <c r="E9021" t="inlineStr">
        <is>
          <t>Lương:Cạnh tranh</t>
        </is>
      </c>
      <c r="F9021" t="inlineStr">
        <is>
          <t>Hà Nội</t>
        </is>
      </c>
      <c r="G9021" t="inlineStr">
        <is>
          <t>01-04-2026</t>
        </is>
      </c>
      <c r="H9021" t="inlineStr">
        <is>
          <t>01/04/2026</t>
        </is>
      </c>
      <c r="I9021" t="inlineStr">
        <is>
          <t>17/03/2026</t>
        </is>
      </c>
      <c r="J9021" t="inlineStr">
        <is>
          <t>An Ninh / Bảo Vệ, Bảo trì / Sửa chữa</t>
        </is>
      </c>
      <c r="K9021" t="inlineStr">
        <is>
          <t>Trên 1 Năm</t>
        </is>
      </c>
      <c r="L9021" s="8">
        <f>HYPERLINK("https://careerviet.vn/vi/tim-viec-lam/chuyen-vien-ki-thuat-toa-nha.35C6A6AB.html","Xem chi tiết")</f>
        <v/>
      </c>
    </row>
    <row r="9022">
      <c r="B9022" s="9" t="n">
        <v>9020</v>
      </c>
      <c r="C9022" s="10" t="inlineStr">
        <is>
          <t>Nhân viên Sale Admin</t>
        </is>
      </c>
      <c r="D9022" s="10" t="inlineStr">
        <is>
          <t>CÔNG TY CỔ PHẦN CHĂN NUÔI MAVIN</t>
        </is>
      </c>
      <c r="E9022" s="10" t="inlineStr">
        <is>
          <t>Lương:10 Tr - 12 Tr VND</t>
        </is>
      </c>
      <c r="F9022" s="10" t="inlineStr">
        <is>
          <t>Hà Nội</t>
        </is>
      </c>
      <c r="G9022" s="10" t="inlineStr">
        <is>
          <t>31-03-2026</t>
        </is>
      </c>
      <c r="H9022" s="10" t="inlineStr">
        <is>
          <t>31/03/2026</t>
        </is>
      </c>
      <c r="I9022" s="10" t="inlineStr">
        <is>
          <t>17/03/2026</t>
        </is>
      </c>
      <c r="J9022" s="10" t="inlineStr">
        <is>
          <t>Bán hàng / Kinh doanh, Dịch vụ khách hàng, Hành chính / Thư ký</t>
        </is>
      </c>
      <c r="K9022" s="10" t="inlineStr">
        <is>
          <t>1 - 2 Năm</t>
        </is>
      </c>
      <c r="L9022" s="11">
        <f>HYPERLINK("https://careerviet.vn/vi/tim-viec-lam/nhan-vien-sale-admin.35C6A55E.html","Xem chi tiết")</f>
        <v/>
      </c>
      <c r="M9022" s="10" t="n"/>
    </row>
    <row r="9023">
      <c r="B9023" s="7" t="n">
        <v>9021</v>
      </c>
      <c r="C9023" t="inlineStr">
        <is>
          <t>QUẢN LÝ KHU VỰC VĨNH LONG-TRÀ VINH</t>
        </is>
      </c>
      <c r="D9023" t="inlineStr">
        <is>
          <t>Công Ty TNHH BEST Logistics Technology (Việt Nam)</t>
        </is>
      </c>
      <c r="E9023" t="inlineStr">
        <is>
          <t>Lương:25 Tr - 33 Tr VND</t>
        </is>
      </c>
      <c r="F9023" t="inlineStr">
        <is>
          <t>Vĩnh Long</t>
        </is>
      </c>
      <c r="G9023" t="inlineStr">
        <is>
          <t>05-04-2026</t>
        </is>
      </c>
      <c r="H9023" t="inlineStr">
        <is>
          <t>05/04/2026</t>
        </is>
      </c>
      <c r="I9023" t="inlineStr">
        <is>
          <t>17/03/2026</t>
        </is>
      </c>
      <c r="J9023" t="inlineStr">
        <is>
          <t>Thương mại điện tử, Vận chuyển / Giao nhận / Kho vận</t>
        </is>
      </c>
      <c r="K9023" t="inlineStr">
        <is>
          <t>2 - 5 Năm</t>
        </is>
      </c>
      <c r="L9023" s="8">
        <f>HYPERLINK("https://careerviet.vn/vi/tim-viec-lam/quan-ly-khu-vuc-vinh-long-tra-vinh.35C6A4B7.html","Xem chi tiết")</f>
        <v/>
      </c>
    </row>
    <row r="9024">
      <c r="B9024" s="9" t="n">
        <v>9022</v>
      </c>
      <c r="C9024" s="10" t="inlineStr">
        <is>
          <t>TỔ TRƯỞNG SẢN XUẤT (LEADER LONG THÀNH)</t>
        </is>
      </c>
      <c r="D9024" s="10" t="inlineStr">
        <is>
          <t>Công ty TNHH Olam Việt Nam</t>
        </is>
      </c>
      <c r="E9024" s="10" t="inlineStr">
        <is>
          <t>Lương:15 Tr - 20 Tr VND</t>
        </is>
      </c>
      <c r="F9024" s="10" t="inlineStr">
        <is>
          <t>Đồng Nai</t>
        </is>
      </c>
      <c r="G9024" s="10" t="inlineStr">
        <is>
          <t>31-03-2026</t>
        </is>
      </c>
      <c r="H9024" s="10" t="inlineStr">
        <is>
          <t>31/03/2026</t>
        </is>
      </c>
      <c r="I9024" s="10" t="inlineStr">
        <is>
          <t>17/03/2026</t>
        </is>
      </c>
      <c r="J9024" s="10" t="inlineStr">
        <is>
          <t>Thực phẩm &amp; Đồ uống, Sản xuất / Vận hành sản xuất, Cơ khí / Ô tô / Tự động hóa</t>
        </is>
      </c>
      <c r="K9024" s="10" t="inlineStr">
        <is>
          <t>1 - 2 Năm</t>
        </is>
      </c>
      <c r="L9024" s="11">
        <f>HYPERLINK("https://careerviet.vn/vi/tim-viec-lam/to-truong-san-xuat-leader-long-thanh.35C6A608.html","Xem chi tiết")</f>
        <v/>
      </c>
      <c r="M9024" s="10" t="n"/>
    </row>
    <row r="9025">
      <c r="B9025" s="7" t="n">
        <v>9023</v>
      </c>
      <c r="C9025" t="inlineStr">
        <is>
          <t>Chuyên viên Tuyển dụng</t>
        </is>
      </c>
      <c r="D9025" t="inlineStr">
        <is>
          <t>CÔNG TY CỔ PHẦN CÔNG NGHỆ SOTATEK VIỆT NAM</t>
        </is>
      </c>
      <c r="E9025" t="inlineStr">
        <is>
          <t>Lương:Cạnh tranh</t>
        </is>
      </c>
      <c r="F9025" t="inlineStr">
        <is>
          <t>Hải Dương</t>
        </is>
      </c>
      <c r="G9025" t="inlineStr">
        <is>
          <t>31-03-2026</t>
        </is>
      </c>
      <c r="H9025" t="inlineStr">
        <is>
          <t>31/03/2026</t>
        </is>
      </c>
      <c r="I9025" t="inlineStr">
        <is>
          <t>17/03/2026</t>
        </is>
      </c>
      <c r="J9025" t="inlineStr">
        <is>
          <t>Hành chính / Thư ký, Nhân sự</t>
        </is>
      </c>
      <c r="K9025" t="inlineStr">
        <is>
          <t>Chưa có kinh nghiệm</t>
        </is>
      </c>
      <c r="L9025" s="8">
        <f>HYPERLINK("https://careerviet.vn/vi/tim-viec-lam/chuyen-vien-tuyen-dung.35C6A554.html","Xem chi tiết")</f>
        <v/>
      </c>
    </row>
    <row r="9026">
      <c r="B9026" s="9" t="n">
        <v>9024</v>
      </c>
      <c r="C9026" s="10" t="inlineStr">
        <is>
          <t>Chuyên viên Phát triển Công nghệ &amp; Vật liệu</t>
        </is>
      </c>
      <c r="D9026" s="10" t="inlineStr">
        <is>
          <t>Công Ty Cổ Phần Sản Xuất Nhựa Duy Tân</t>
        </is>
      </c>
      <c r="E9026" s="10" t="inlineStr">
        <is>
          <t>Lương:Cạnh tranh</t>
        </is>
      </c>
      <c r="F9026" s="10" t="inlineStr">
        <is>
          <t>Hồ Chí Minh</t>
        </is>
      </c>
      <c r="G9026" s="10" t="inlineStr">
        <is>
          <t>01-04-2026</t>
        </is>
      </c>
      <c r="H9026" s="10" t="inlineStr">
        <is>
          <t>01/04/2026</t>
        </is>
      </c>
      <c r="I9026" s="10" t="inlineStr">
        <is>
          <t>17/03/2026</t>
        </is>
      </c>
      <c r="J9026" s="10" t="inlineStr">
        <is>
          <t>Sản xuất / Vận hành sản xuất</t>
        </is>
      </c>
      <c r="K9026" s="10" t="inlineStr">
        <is>
          <t>2 - 3 Năm</t>
        </is>
      </c>
      <c r="L9026" s="11">
        <f>HYPERLINK("https://careerviet.vn/vi/tim-viec-lam/chuyen-vien-phat-trien-cong-nghe-vat-lieu.35C6A5A3.html","Xem chi tiết")</f>
        <v/>
      </c>
      <c r="M9026" s="10" t="n"/>
    </row>
    <row r="9027">
      <c r="B9027" s="7" t="n">
        <v>9025</v>
      </c>
      <c r="C9027" t="inlineStr">
        <is>
          <t>Giáo Viên Chủ Nhiệm (Ocean Edu Phố Nối) - Trúng Tuyển Đi Làm Luôn</t>
        </is>
      </c>
      <c r="D9027" t="inlineStr">
        <is>
          <t>Công Ty CP Giáo Dục Đại Dương</t>
        </is>
      </c>
      <c r="E9027" t="inlineStr">
        <is>
          <t>Lương:Cạnh tranh</t>
        </is>
      </c>
      <c r="F9027" t="inlineStr">
        <is>
          <t>Hưng Yên</t>
        </is>
      </c>
      <c r="G9027" t="inlineStr">
        <is>
          <t>01-04-2026</t>
        </is>
      </c>
      <c r="H9027" t="inlineStr">
        <is>
          <t>01/04/2026</t>
        </is>
      </c>
      <c r="I9027" t="inlineStr">
        <is>
          <t>17/03/2026</t>
        </is>
      </c>
      <c r="J9027" t="inlineStr">
        <is>
          <t>Giáo dục / Đào tạo, Bán hàng / Kinh doanh, Biên phiên dịch</t>
        </is>
      </c>
      <c r="K9027" t="inlineStr">
        <is>
          <t>Trên 1 Năm</t>
        </is>
      </c>
      <c r="L9027" s="8">
        <f>HYPERLINK("https://careerviet.vn/vi/tim-viec-lam/giao-vien-chu-nhiem-ocean-edu-pho-noi-trung-tuyen-di-lam-luon.35C6A5CF.html","Xem chi tiết")</f>
        <v/>
      </c>
    </row>
    <row r="9028">
      <c r="B9028" s="9" t="n">
        <v>9026</v>
      </c>
      <c r="C9028" s="10" t="inlineStr">
        <is>
          <t>Nhân Viên Bán Hàng - Tây Hồ (Hà Nội)</t>
        </is>
      </c>
      <c r="D9028" s="10" t="inlineStr">
        <is>
          <t>CÔNG TY CỔ PHẦN VUA NỆM</t>
        </is>
      </c>
      <c r="E9028" s="10" t="inlineStr">
        <is>
          <t>Lương:8 Tr - 12 Tr VND</t>
        </is>
      </c>
      <c r="F9028" s="10" t="inlineStr">
        <is>
          <t>Hà Nội</t>
        </is>
      </c>
      <c r="G9028" s="10" t="inlineStr">
        <is>
          <t>01-04-2026</t>
        </is>
      </c>
      <c r="H9028" s="10" t="inlineStr">
        <is>
          <t>01/04/2026</t>
        </is>
      </c>
      <c r="I9028" s="10" t="inlineStr">
        <is>
          <t>17/03/2026</t>
        </is>
      </c>
      <c r="J9028" s="10" t="inlineStr">
        <is>
          <t>Bán lẻ / Bán sỉ, Bán hàng / Kinh doanh, Tiếp thị trực tuyến</t>
        </is>
      </c>
      <c r="K9028" s="10" t="inlineStr">
        <is>
          <t>1 - 5 Năm</t>
        </is>
      </c>
      <c r="L9028" s="11">
        <f>HYPERLINK("https://careerviet.vn/vi/tim-viec-lam/nhan-vien-ban-hang-tay-ho-ha-noi.35C6A69C.html","Xem chi tiết")</f>
        <v/>
      </c>
      <c r="M9028" s="10" t="n"/>
    </row>
    <row r="9029">
      <c r="B9029" s="7" t="n">
        <v>9027</v>
      </c>
      <c r="C9029" t="inlineStr">
        <is>
          <t>Senior Demand Analyst</t>
        </is>
      </c>
      <c r="D9029" t="inlineStr">
        <is>
          <t>Công Ty CP Vàng Bạc Đá Quý Phú Nhuận - PNJ</t>
        </is>
      </c>
      <c r="E9029" t="inlineStr">
        <is>
          <t>Lương:Cạnh tranh</t>
        </is>
      </c>
      <c r="F9029" t="inlineStr">
        <is>
          <t>Hồ Chí Minh</t>
        </is>
      </c>
      <c r="G9029" t="inlineStr">
        <is>
          <t>01-04-2026</t>
        </is>
      </c>
      <c r="H9029" t="inlineStr">
        <is>
          <t>01/04/2026</t>
        </is>
      </c>
      <c r="I9029" t="inlineStr">
        <is>
          <t>17/03/2026</t>
        </is>
      </c>
      <c r="J9029" t="inlineStr">
        <is>
          <t>Bán lẻ / Bán sỉ, Dệt may / Da giày / Thời trang</t>
        </is>
      </c>
      <c r="K9029" t="inlineStr">
        <is>
          <t>4 - 6 Năm</t>
        </is>
      </c>
      <c r="L9029" s="8">
        <f>HYPERLINK("https://careerviet.vn/vi/tim-viec-lam/senior-demand-analyst.35C6A661.html","Xem chi tiết")</f>
        <v/>
      </c>
    </row>
    <row r="9030">
      <c r="B9030" s="9" t="n">
        <v>9028</v>
      </c>
      <c r="C9030" s="10" t="inlineStr">
        <is>
          <t>[GIA LAI} - NHÂN VIÊN KINH DOANH (KÊNH GT)</t>
        </is>
      </c>
      <c r="D9030" s="10" t="inlineStr">
        <is>
          <t>Công ty Cổ phần TM-SX-DV Gia Thịnh Phát</t>
        </is>
      </c>
      <c r="E9030" s="10" t="inlineStr">
        <is>
          <t>Lương:10 Tr - 20 Tr VND</t>
        </is>
      </c>
      <c r="F9030" s="10" t="inlineStr">
        <is>
          <t>Gia Lai</t>
        </is>
      </c>
      <c r="G9030" s="10" t="inlineStr">
        <is>
          <t>02-04-2026</t>
        </is>
      </c>
      <c r="H9030" s="10" t="inlineStr">
        <is>
          <t>02/04/2026</t>
        </is>
      </c>
      <c r="I9030" s="10" t="inlineStr">
        <is>
          <t>17/03/2026</t>
        </is>
      </c>
      <c r="J9030" s="10" t="inlineStr">
        <is>
          <t>Bán lẻ / Bán sỉ, Bán hàng / Kinh doanh, Thực phẩm &amp; Đồ uống</t>
        </is>
      </c>
      <c r="K9030" s="10" t="inlineStr">
        <is>
          <t>1 - 3 Năm</t>
        </is>
      </c>
      <c r="L9030" s="11">
        <f>HYPERLINK("https://careerviet.vn/vi/tim-viec-lam/gia-lai-nhan-vien-kinh-doanh-kenh-gt.35C6A4DA.html","Xem chi tiết")</f>
        <v/>
      </c>
      <c r="M9030" s="10" t="n"/>
    </row>
    <row r="9031">
      <c r="B9031" s="7" t="n">
        <v>9029</v>
      </c>
      <c r="C9031" t="inlineStr">
        <is>
          <t>Chuyên viên Thanh tra Chất Lượng</t>
        </is>
      </c>
      <c r="D9031" t="inlineStr">
        <is>
          <t>CÔNG TY CỔ PHẦN CHẾ BIẾN THỰC PHẨM HOÀNG SƠN</t>
        </is>
      </c>
      <c r="E9031" t="inlineStr">
        <is>
          <t>Lương:Cạnh tranh</t>
        </is>
      </c>
      <c r="F9031" t="inlineStr">
        <is>
          <t>Bình Dương</t>
        </is>
      </c>
      <c r="G9031" t="inlineStr">
        <is>
          <t>31-03-2026</t>
        </is>
      </c>
      <c r="H9031" t="inlineStr">
        <is>
          <t>31/03/2026</t>
        </is>
      </c>
      <c r="I9031" t="inlineStr">
        <is>
          <t>17/03/2026</t>
        </is>
      </c>
      <c r="J9031" t="inlineStr">
        <is>
          <t>Công nghệ thực phẩm / Dinh dưỡng, Sản xuất / Vận hành sản xuất, Quản lý chất lượng (QA/QC)</t>
        </is>
      </c>
      <c r="K9031" t="inlineStr">
        <is>
          <t>2 - 5 Năm</t>
        </is>
      </c>
      <c r="L9031" s="8">
        <f>HYPERLINK("https://careerviet.vn/vi/tim-viec-lam/chuyen-vien-thanh-tra-chat-luong.35C6A2B2.html","Xem chi tiết")</f>
        <v/>
      </c>
    </row>
    <row r="9032">
      <c r="B9032" s="9" t="n">
        <v>9030</v>
      </c>
      <c r="C9032" s="10" t="inlineStr">
        <is>
          <t>QUẢN LÝ VẬN HÀNH CA ĐÊM KHO CỦ CHI</t>
        </is>
      </c>
      <c r="D9032" s="10" t="inlineStr">
        <is>
          <t>Công Ty TNHH BEST Logistics Technology (Việt Nam)</t>
        </is>
      </c>
      <c r="E9032" s="10" t="inlineStr">
        <is>
          <t>Lương:17 Tr - 30 Tr VND</t>
        </is>
      </c>
      <c r="F9032" s="10" t="inlineStr">
        <is>
          <t>Hồ Chí Minh</t>
        </is>
      </c>
      <c r="G9032" s="10" t="inlineStr">
        <is>
          <t>31-03-2026</t>
        </is>
      </c>
      <c r="H9032" s="10" t="inlineStr">
        <is>
          <t>31/03/2026</t>
        </is>
      </c>
      <c r="I9032" s="10" t="inlineStr">
        <is>
          <t>17/03/2026</t>
        </is>
      </c>
      <c r="J9032" s="10" t="inlineStr">
        <is>
          <t>Vận chuyển / Giao nhận / Kho vận, Quản lý điều hành, Bưu chính viễn thông</t>
        </is>
      </c>
      <c r="K9032" s="10" t="inlineStr">
        <is>
          <t>2 - 5 Năm</t>
        </is>
      </c>
      <c r="L9032" s="11">
        <f>HYPERLINK("https://careerviet.vn/vi/tim-viec-lam/quan-ly-van-hanh-ca-dem-kho-cu-chi.35C6A65D.html","Xem chi tiết")</f>
        <v/>
      </c>
      <c r="M9032" s="10" t="n"/>
    </row>
    <row r="9033">
      <c r="B9033" s="7" t="n">
        <v>9031</v>
      </c>
      <c r="C9033" t="inlineStr">
        <is>
          <t>Technical Specialist (Furniture/ Mechanical)</t>
        </is>
      </c>
      <c r="D9033" t="inlineStr">
        <is>
          <t>Cty SGS Việt Nam TNHH</t>
        </is>
      </c>
      <c r="E9033" t="inlineStr">
        <is>
          <t>Lương:Cạnh tranh</t>
        </is>
      </c>
      <c r="F9033" t="inlineStr">
        <is>
          <t>Hồ Chí Minh</t>
        </is>
      </c>
      <c r="G9033" t="inlineStr">
        <is>
          <t>02-04-2026</t>
        </is>
      </c>
      <c r="H9033" t="inlineStr">
        <is>
          <t>02/04/2026</t>
        </is>
      </c>
      <c r="I9033" t="inlineStr">
        <is>
          <t>17/03/2026</t>
        </is>
      </c>
      <c r="J9033" t="inlineStr">
        <is>
          <t>Cơ khí / Ô tô / Tự động hóa, Nội ngoại thất, Quản lý chất lượng (QA/QC)</t>
        </is>
      </c>
      <c r="K9033" t="inlineStr">
        <is>
          <t>2 - 5 Năm</t>
        </is>
      </c>
      <c r="L9033" s="8">
        <f>HYPERLINK("https://careerviet.vn/vi/tim-viec-lam/technical-specialist-furniture-mechanical.35C6A4DB.html","Xem chi tiết")</f>
        <v/>
      </c>
    </row>
    <row r="9034">
      <c r="B9034" s="9" t="n">
        <v>9032</v>
      </c>
      <c r="C9034" s="10" t="inlineStr">
        <is>
          <t>Nhân viên Cơ điện</t>
        </is>
      </c>
      <c r="D9034" s="10" t="inlineStr">
        <is>
          <t>CÔNG TY CỔ PHẦN ĐẦU TƯ BeNK</t>
        </is>
      </c>
      <c r="E9034" s="10" t="inlineStr">
        <is>
          <t>Lương:11 Tr - 13 Tr VND</t>
        </is>
      </c>
      <c r="F9034" s="10" t="inlineStr">
        <is>
          <t>Hòa Bình</t>
        </is>
      </c>
      <c r="G9034" s="10" t="inlineStr">
        <is>
          <t>15-04-2026</t>
        </is>
      </c>
      <c r="H9034" s="10" t="inlineStr">
        <is>
          <t>15/04/2026</t>
        </is>
      </c>
      <c r="I9034" s="10" t="inlineStr">
        <is>
          <t>17/03/2026</t>
        </is>
      </c>
      <c r="J9034" s="10" t="inlineStr">
        <is>
          <t>Điện / Điện tử / Điện lạnh / Điện công nghiệp</t>
        </is>
      </c>
      <c r="K9034" s="10" t="inlineStr">
        <is>
          <t>1 - 2 Năm</t>
        </is>
      </c>
      <c r="L9034" s="11">
        <f>HYPERLINK("https://careerviet.vn/vi/tim-viec-lam/nhan-vien-co-dien.35C6A3FA.html","Xem chi tiết")</f>
        <v/>
      </c>
      <c r="M9034" s="10" t="n"/>
    </row>
    <row r="9035">
      <c r="B9035" s="7" t="n">
        <v>9033</v>
      </c>
      <c r="C9035" t="inlineStr">
        <is>
          <t>KẾ TOÁN TỔNG HỢP</t>
        </is>
      </c>
      <c r="D9035" t="inlineStr">
        <is>
          <t>Công Ty Cổ Phần Đầu Tư Bất Động Sản Phúc Thịnh</t>
        </is>
      </c>
      <c r="E9035" t="inlineStr">
        <is>
          <t>Lương:20 Tr - 25 Tr VND</t>
        </is>
      </c>
      <c r="F9035" t="inlineStr">
        <is>
          <t>Hồ Chí Minh</t>
        </is>
      </c>
      <c r="G9035" t="inlineStr">
        <is>
          <t>31-03-2026</t>
        </is>
      </c>
      <c r="H9035" t="inlineStr">
        <is>
          <t>31/03/2026</t>
        </is>
      </c>
      <c r="I9035" t="inlineStr">
        <is>
          <t>17/03/2026</t>
        </is>
      </c>
      <c r="J9035" t="inlineStr">
        <is>
          <t>Kế toán / Kiểm toán, Tài chính / Đầu tư, Bất động sản</t>
        </is>
      </c>
      <c r="K9035" t="inlineStr">
        <is>
          <t>3 - 5 Năm</t>
        </is>
      </c>
      <c r="L9035" s="8">
        <f>HYPERLINK("https://careerviet.vn/vi/tim-viec-lam/ke-toan-tong-hop.35C6A319.html","Xem chi tiết")</f>
        <v/>
      </c>
    </row>
    <row r="9036">
      <c r="B9036" s="9" t="n">
        <v>9034</v>
      </c>
      <c r="C9036" s="10" t="inlineStr">
        <is>
          <t>Chuyên viên Sale Admin (Ocean Edu Yên Lạc) - Phỏng vấn đi làm ngay</t>
        </is>
      </c>
      <c r="D9036" s="10" t="inlineStr">
        <is>
          <t>Công Ty CP Giáo Dục Đại Dương</t>
        </is>
      </c>
      <c r="E9036" s="10" t="inlineStr">
        <is>
          <t>Lương:Cạnh tranh</t>
        </is>
      </c>
      <c r="F9036" s="10" t="inlineStr">
        <is>
          <t>Vĩnh Phúc</t>
        </is>
      </c>
      <c r="G9036" s="10" t="inlineStr">
        <is>
          <t>01-04-2026</t>
        </is>
      </c>
      <c r="H9036" s="10" t="inlineStr">
        <is>
          <t>01/04/2026</t>
        </is>
      </c>
      <c r="I9036" s="10" t="inlineStr">
        <is>
          <t>17/03/2026</t>
        </is>
      </c>
      <c r="J9036" s="10" t="inlineStr">
        <is>
          <t>Kế toán / Kiểm toán, Giáo dục / Đào tạo, Nhân sự</t>
        </is>
      </c>
      <c r="K9036" s="10" t="inlineStr">
        <is>
          <t>Lên đến 1 Năm</t>
        </is>
      </c>
      <c r="L9036" s="11">
        <f>HYPERLINK("https://careerviet.vn/vi/tim-viec-lam/chuyen-vien-sale-admin-ocean-edu-yen-lac-phong-van-di-lam-ngay.35C6A64F.html","Xem chi tiết")</f>
        <v/>
      </c>
      <c r="M9036" s="10" t="n"/>
    </row>
    <row r="9037">
      <c r="B9037" s="7" t="n">
        <v>9035</v>
      </c>
      <c r="C9037" t="inlineStr">
        <is>
          <t>Trợ Lý Tổng Giám Đốc (Mảng Hospitality)</t>
        </is>
      </c>
      <c r="D9037" t="inlineStr">
        <is>
          <t>CÔNG TY CỔ PHẦN UNIK XANH</t>
        </is>
      </c>
      <c r="E9037" t="inlineStr">
        <is>
          <t>Lương:35 Tr - 40 Tr VND</t>
        </is>
      </c>
      <c r="F9037" t="inlineStr">
        <is>
          <t>Hà Nội</t>
        </is>
      </c>
      <c r="G9037" t="inlineStr">
        <is>
          <t>02-04-2026</t>
        </is>
      </c>
      <c r="H9037" t="inlineStr">
        <is>
          <t>02/04/2026</t>
        </is>
      </c>
      <c r="I9037" t="inlineStr">
        <is>
          <t>17/03/2026</t>
        </is>
      </c>
      <c r="J9037" t="inlineStr">
        <is>
          <t>Quản lý điều hành, Hành chính / Thư ký, Nhà hàng / Khách sạn</t>
        </is>
      </c>
      <c r="K9037" t="inlineStr">
        <is>
          <t>3 - 5 Năm</t>
        </is>
      </c>
      <c r="L9037" s="8">
        <f>HYPERLINK("https://careerviet.vn/vi/tim-viec-lam/tro-ly-tong-giam-doc-mang-hospitality.35C6A621.html","Xem chi tiết")</f>
        <v/>
      </c>
    </row>
    <row r="9038">
      <c r="B9038" s="9" t="n">
        <v>9036</v>
      </c>
      <c r="C9038" s="10" t="inlineStr">
        <is>
          <t>Report Staff - Food Lab</t>
        </is>
      </c>
      <c r="D9038" s="10" t="inlineStr">
        <is>
          <t>Cty SGS Việt Nam TNHH</t>
        </is>
      </c>
      <c r="E9038" s="10" t="inlineStr">
        <is>
          <t>Lương:Cạnh tranh</t>
        </is>
      </c>
      <c r="F9038" s="10" t="inlineStr">
        <is>
          <t>Hồ Chí Minh</t>
        </is>
      </c>
      <c r="G9038" s="10" t="inlineStr">
        <is>
          <t>30-04-2026</t>
        </is>
      </c>
      <c r="H9038" s="10" t="inlineStr">
        <is>
          <t>30/04/2026</t>
        </is>
      </c>
      <c r="I9038" s="10" t="inlineStr">
        <is>
          <t>17/03/2026</t>
        </is>
      </c>
      <c r="J9038" s="10" t="inlineStr">
        <is>
          <t>Công nghệ thực phẩm / Dinh dưỡng</t>
        </is>
      </c>
      <c r="K9038" s="10" t="inlineStr">
        <is>
          <t>N/A</t>
        </is>
      </c>
      <c r="L9038" s="11">
        <f>HYPERLINK("https://careerviet.vn/vi/tim-viec-lam/report-staff-food-lab.35C6A475.html","Xem chi tiết")</f>
        <v/>
      </c>
      <c r="M9038" s="10" t="n"/>
    </row>
    <row r="9039">
      <c r="B9039" s="7" t="n">
        <v>9037</v>
      </c>
      <c r="C9039" t="inlineStr">
        <is>
          <t>Nhân Viên Vận Hành Máy CNC</t>
        </is>
      </c>
      <c r="D9039" t="inlineStr">
        <is>
          <t>Công ty TNHH Baller Headwear Việt Nam</t>
        </is>
      </c>
      <c r="E9039" t="inlineStr">
        <is>
          <t>Lương:12 Tr - 14 Tr VND</t>
        </is>
      </c>
      <c r="F9039" t="inlineStr">
        <is>
          <t>Đà Nẵng</t>
        </is>
      </c>
      <c r="G9039" t="inlineStr">
        <is>
          <t>30-04-2026</t>
        </is>
      </c>
      <c r="H9039" t="inlineStr">
        <is>
          <t>30/04/2026</t>
        </is>
      </c>
      <c r="I9039" t="inlineStr">
        <is>
          <t>17/03/2026</t>
        </is>
      </c>
      <c r="J9039" t="inlineStr">
        <is>
          <t>Đồ gỗ</t>
        </is>
      </c>
      <c r="K9039" t="inlineStr">
        <is>
          <t>1 - 2 Năm</t>
        </is>
      </c>
      <c r="L9039" s="8">
        <f>HYPERLINK("https://careerviet.vn/vi/tim-viec-lam/nhan-vien-van-hanh-may-cnc.35C6A513.html","Xem chi tiết")</f>
        <v/>
      </c>
    </row>
    <row r="9040">
      <c r="B9040" s="9" t="n">
        <v>9038</v>
      </c>
      <c r="C9040" s="10" t="inlineStr">
        <is>
          <t>Chuyên Viên Cao Cấp Phát Triển Sản Phẩm Giao Dịch Chứng Khoán</t>
        </is>
      </c>
      <c r="D9040" s="10" t="inlineStr">
        <is>
          <t>Công Ty CP Chứng Khoán VNDIRECT</t>
        </is>
      </c>
      <c r="E9040" s="10" t="inlineStr">
        <is>
          <t>Lương:Cạnh tranh</t>
        </is>
      </c>
      <c r="F9040" s="10" t="inlineStr">
        <is>
          <t>Hà Nội</t>
        </is>
      </c>
      <c r="G9040" s="10" t="inlineStr">
        <is>
          <t>01-04-2026</t>
        </is>
      </c>
      <c r="H9040" s="10" t="inlineStr">
        <is>
          <t>01/04/2026</t>
        </is>
      </c>
      <c r="I9040" s="10" t="inlineStr">
        <is>
          <t>17/03/2026</t>
        </is>
      </c>
      <c r="J9040" s="10" t="inlineStr">
        <is>
          <t>CNTT - Phần mềm, Bán hàng / Kinh doanh, Chứng khoán</t>
        </is>
      </c>
      <c r="K9040" s="10" t="inlineStr">
        <is>
          <t>Trên 2 Năm</t>
        </is>
      </c>
      <c r="L9040" s="11">
        <f>HYPERLINK("https://careerviet.vn/vi/tim-viec-lam/chuyen-vien-cao-cap-phat-trien-san-pham-giao-dich-chung-khoan.35C6A623.html","Xem chi tiết")</f>
        <v/>
      </c>
      <c r="M9040" s="10" t="n"/>
    </row>
    <row r="9041">
      <c r="B9041" s="7" t="n">
        <v>9039</v>
      </c>
      <c r="C9041" t="inlineStr">
        <is>
          <t>Điều dưỡng Khoa Khám bệnh/ OPD Nurse</t>
        </is>
      </c>
      <c r="D9041" t="inlineStr">
        <is>
          <t>American International Hospital (AIH)</t>
        </is>
      </c>
      <c r="E9041" t="inlineStr">
        <is>
          <t>Lương:Cạnh tranh</t>
        </is>
      </c>
      <c r="F9041" t="inlineStr">
        <is>
          <t>Hồ Chí Minh</t>
        </is>
      </c>
      <c r="G9041" t="inlineStr">
        <is>
          <t>30-04-2026</t>
        </is>
      </c>
      <c r="H9041" t="inlineStr">
        <is>
          <t>30/04/2026</t>
        </is>
      </c>
      <c r="I9041" t="inlineStr">
        <is>
          <t>17/03/2026</t>
        </is>
      </c>
      <c r="J9041" t="inlineStr">
        <is>
          <t>Y tế / Chăm sóc sức khỏe / Thẩm mỹ / Làm đẹp</t>
        </is>
      </c>
      <c r="K9041" t="inlineStr">
        <is>
          <t>3 - 5 Năm</t>
        </is>
      </c>
      <c r="L9041" s="8">
        <f>HYPERLINK("https://careerviet.vn/vi/tim-viec-lam/dieu-duong-khoa-kham-benh-opd-nurse.35C6A49F.html","Xem chi tiết")</f>
        <v/>
      </c>
    </row>
    <row r="9042">
      <c r="B9042" s="9" t="n">
        <v>9040</v>
      </c>
      <c r="C9042" s="10" t="inlineStr">
        <is>
          <t>Chuyên viên Sale Admin (Ocean Edu Yên Mỹ) - Phỏng vấn đi làm ngay</t>
        </is>
      </c>
      <c r="D9042" s="10" t="inlineStr">
        <is>
          <t>Công Ty CP Giáo Dục Đại Dương</t>
        </is>
      </c>
      <c r="E9042" s="10" t="inlineStr">
        <is>
          <t>Lương:Cạnh tranh</t>
        </is>
      </c>
      <c r="F9042" s="10" t="inlineStr">
        <is>
          <t>Hưng Yên</t>
        </is>
      </c>
      <c r="G9042" s="10" t="inlineStr">
        <is>
          <t>01-04-2026</t>
        </is>
      </c>
      <c r="H9042" s="10" t="inlineStr">
        <is>
          <t>01/04/2026</t>
        </is>
      </c>
      <c r="I9042" s="10" t="inlineStr">
        <is>
          <t>17/03/2026</t>
        </is>
      </c>
      <c r="J9042" s="10" t="inlineStr">
        <is>
          <t>Kế toán / Kiểm toán, Giáo dục / Đào tạo, Nhân sự</t>
        </is>
      </c>
      <c r="K9042" s="10" t="inlineStr">
        <is>
          <t>Lên đến 1 Năm</t>
        </is>
      </c>
      <c r="L9042" s="11">
        <f>HYPERLINK("https://careerviet.vn/vi/tim-viec-lam/chuyen-vien-sale-admin-ocean-edu-yen-my-phong-van-di-lam-ngay.35C6A5E0.html","Xem chi tiết")</f>
        <v/>
      </c>
      <c r="M9042" s="10" t="n"/>
    </row>
    <row r="9043">
      <c r="B9043" s="7" t="n">
        <v>9041</v>
      </c>
      <c r="C9043" t="inlineStr">
        <is>
          <t>Admin &amp; Internal Communication Intern</t>
        </is>
      </c>
      <c r="D9043" t="inlineStr">
        <is>
          <t>Công Ty Cổ Phần Moli Group</t>
        </is>
      </c>
      <c r="E9043" t="inlineStr">
        <is>
          <t>Lương:Cạnh tranh</t>
        </is>
      </c>
      <c r="F9043" t="inlineStr">
        <is>
          <t>Hồ Chí Minh</t>
        </is>
      </c>
      <c r="G9043" t="inlineStr">
        <is>
          <t>31-03-2026</t>
        </is>
      </c>
      <c r="H9043" t="inlineStr">
        <is>
          <t>31/03/2026</t>
        </is>
      </c>
      <c r="I9043" t="inlineStr">
        <is>
          <t>17/03/2026</t>
        </is>
      </c>
      <c r="J9043" t="inlineStr">
        <is>
          <t>Hành chính / Thư ký, Nhân sự</t>
        </is>
      </c>
      <c r="K9043" t="inlineStr">
        <is>
          <t>N/A</t>
        </is>
      </c>
      <c r="L9043" s="8">
        <f>HYPERLINK("https://careerviet.vn/vi/tim-viec-lam/admin-internal-communication-intern.35C6A612.html","Xem chi tiết")</f>
        <v/>
      </c>
    </row>
    <row r="9044">
      <c r="B9044" s="9" t="n">
        <v>9042</v>
      </c>
      <c r="C9044" s="10" t="inlineStr">
        <is>
          <t>Chuyên viên phát triển kinh doanh</t>
        </is>
      </c>
      <c r="D9044" s="10" t="inlineStr">
        <is>
          <t>CÔNG TY TNHH BILLION VIETNAM HOLDING</t>
        </is>
      </c>
      <c r="E9044" s="10" t="inlineStr">
        <is>
          <t>Lương:20 Tr - 40 Tr VND</t>
        </is>
      </c>
      <c r="F9044" s="10" t="inlineStr">
        <is>
          <t>Hồ Chí Minh</t>
        </is>
      </c>
      <c r="G9044" s="10" t="inlineStr">
        <is>
          <t>30-04-2026</t>
        </is>
      </c>
      <c r="H9044" s="10" t="inlineStr">
        <is>
          <t>30/04/2026</t>
        </is>
      </c>
      <c r="I9044" s="10" t="inlineStr">
        <is>
          <t>17/03/2026</t>
        </is>
      </c>
      <c r="J9044" s="10" t="inlineStr">
        <is>
          <t>Bán hàng / Kinh doanh, Xây dựng, Nội ngoại thất</t>
        </is>
      </c>
      <c r="K9044" s="10" t="inlineStr">
        <is>
          <t>3 - 7 Năm</t>
        </is>
      </c>
      <c r="L9044" s="11">
        <f>HYPERLINK("https://careerviet.vn/vi/tim-viec-lam/chuyen-vien-phat-trien-kinh-doanh.35C6A61B.html","Xem chi tiết")</f>
        <v/>
      </c>
      <c r="M9044" s="10" t="n"/>
    </row>
    <row r="9045">
      <c r="B9045" s="7" t="n">
        <v>9043</v>
      </c>
      <c r="C9045" t="inlineStr">
        <is>
          <t>Nhân viên kỹ thuật thang máy - Fujialpha</t>
        </is>
      </c>
      <c r="D9045" t="inlineStr">
        <is>
          <t>Alphanam Group</t>
        </is>
      </c>
      <c r="E9045" t="inlineStr">
        <is>
          <t>Lương:Cạnh tranh</t>
        </is>
      </c>
      <c r="F9045" t="inlineStr">
        <is>
          <t>Vĩnh PhúcBắc NinhBắc Giang</t>
        </is>
      </c>
      <c r="G9045" t="inlineStr">
        <is>
          <t>01-04-2026</t>
        </is>
      </c>
      <c r="H9045" t="inlineStr">
        <is>
          <t>01/04/2026</t>
        </is>
      </c>
      <c r="I9045" t="inlineStr">
        <is>
          <t>17/03/2026</t>
        </is>
      </c>
      <c r="J9045" t="inlineStr">
        <is>
          <t>Bảo trì / Sửa chữa</t>
        </is>
      </c>
      <c r="K9045" t="inlineStr">
        <is>
          <t>Lên đến 1 Năm</t>
        </is>
      </c>
      <c r="L9045" s="8">
        <f>HYPERLINK("https://careerviet.vn/vi/tim-viec-lam/nhan-vien-ky-thuat-thang-may-fujialpha.35C6A4F4.html","Xem chi tiết")</f>
        <v/>
      </c>
    </row>
    <row r="9046">
      <c r="B9046" s="9" t="n">
        <v>9044</v>
      </c>
      <c r="C9046" s="10" t="inlineStr">
        <is>
          <t>Nhân viên chăm sóc khách hàng-Hồ Chí Minh</t>
        </is>
      </c>
      <c r="D9046" s="10" t="inlineStr">
        <is>
          <t>Công Ty Cổ Phần Thép Việt Xô Hà Nội</t>
        </is>
      </c>
      <c r="E9046" s="10" t="inlineStr">
        <is>
          <t>Lương:9 Tr - 11 Tr VND</t>
        </is>
      </c>
      <c r="F9046" s="10" t="inlineStr">
        <is>
          <t>Hồ Chí Minh</t>
        </is>
      </c>
      <c r="G9046" s="10" t="inlineStr">
        <is>
          <t>02-04-2026</t>
        </is>
      </c>
      <c r="H9046" s="10" t="inlineStr">
        <is>
          <t>02/04/2026</t>
        </is>
      </c>
      <c r="I9046" s="10" t="inlineStr">
        <is>
          <t>17/03/2026</t>
        </is>
      </c>
      <c r="J9046" s="10" t="inlineStr">
        <is>
          <t>Tiếp thị / Marketing, Bán hàng / Kinh doanh, Dịch vụ khách hàng</t>
        </is>
      </c>
      <c r="K9046" s="10" t="inlineStr">
        <is>
          <t>Lên đến 1 Năm</t>
        </is>
      </c>
      <c r="L9046" s="11">
        <f>HYPERLINK("https://careerviet.vn/vi/tim-viec-lam/nhan-vien-cham-soc-khach-hang-ho-chi-minh.35C6A428.html","Xem chi tiết")</f>
        <v/>
      </c>
      <c r="M9046" s="10" t="n"/>
    </row>
    <row r="9047">
      <c r="B9047" s="7" t="n">
        <v>9045</v>
      </c>
      <c r="C9047" t="inlineStr">
        <is>
          <t>Sales Support Engineer (Vietnam Market)</t>
        </is>
      </c>
      <c r="D9047" t="inlineStr">
        <is>
          <t>PEB STEEL BUILDINGS CO., LTD.</t>
        </is>
      </c>
      <c r="E9047" t="inlineStr">
        <is>
          <t>Lương:Cạnh tranh</t>
        </is>
      </c>
      <c r="F9047" t="inlineStr">
        <is>
          <t>Hồ Chí Minh</t>
        </is>
      </c>
      <c r="G9047" t="inlineStr">
        <is>
          <t>31-03-2026</t>
        </is>
      </c>
      <c r="H9047" t="inlineStr">
        <is>
          <t>31/03/2026</t>
        </is>
      </c>
      <c r="I9047" t="inlineStr">
        <is>
          <t>17/03/2026</t>
        </is>
      </c>
      <c r="J9047" t="inlineStr">
        <is>
          <t>Xây dựng</t>
        </is>
      </c>
      <c r="K9047" t="inlineStr">
        <is>
          <t>Chưa có kinh nghiệm</t>
        </is>
      </c>
      <c r="L9047" s="8">
        <f>HYPERLINK("https://careerviet.vn/vi/tim-viec-lam/sales-support-engineer-vietnam-market.35C6A5E7.html","Xem chi tiết")</f>
        <v/>
      </c>
    </row>
    <row r="9048">
      <c r="B9048" s="9" t="n">
        <v>9046</v>
      </c>
      <c r="C9048" s="10" t="inlineStr">
        <is>
          <t>Chuyên viên Tuân thủ</t>
        </is>
      </c>
      <c r="D9048" s="10" t="inlineStr">
        <is>
          <t>Công ty Cổ phần CANIFA</t>
        </is>
      </c>
      <c r="E9048" s="10" t="inlineStr">
        <is>
          <t>Lương:16 Tr - 25 Tr VND</t>
        </is>
      </c>
      <c r="F9048" s="10" t="inlineStr">
        <is>
          <t>Hà Nội</t>
        </is>
      </c>
      <c r="G9048" s="10" t="inlineStr">
        <is>
          <t>31-03-2026</t>
        </is>
      </c>
      <c r="H9048" s="10" t="inlineStr">
        <is>
          <t>31/03/2026</t>
        </is>
      </c>
      <c r="I9048" s="10" t="inlineStr">
        <is>
          <t>17/03/2026</t>
        </is>
      </c>
      <c r="J9048" s="10" t="inlineStr">
        <is>
          <t>Kế toán / Kiểm toán, Luật / Pháp lý</t>
        </is>
      </c>
      <c r="K9048" s="10" t="inlineStr">
        <is>
          <t>2 - 5 Năm</t>
        </is>
      </c>
      <c r="L9048" s="11">
        <f>HYPERLINK("https://careerviet.vn/vi/tim-viec-lam/chuyen-vien-tuan-thu.35C6A5F8.html","Xem chi tiết")</f>
        <v/>
      </c>
      <c r="M9048" s="10" t="n"/>
    </row>
    <row r="9049">
      <c r="B9049" s="7" t="n">
        <v>9047</v>
      </c>
      <c r="C9049" t="inlineStr">
        <is>
          <t>QA/QC Manager</t>
        </is>
      </c>
      <c r="D9049" t="inlineStr">
        <is>
          <t>LOTTE FINANCE VIETNAM</t>
        </is>
      </c>
      <c r="E9049" t="inlineStr">
        <is>
          <t>Lương:Cạnh tranh</t>
        </is>
      </c>
      <c r="F9049" t="inlineStr">
        <is>
          <t>Hà Nội</t>
        </is>
      </c>
      <c r="G9049" t="inlineStr">
        <is>
          <t>01-04-2026</t>
        </is>
      </c>
      <c r="H9049" t="inlineStr">
        <is>
          <t>01/04/2026</t>
        </is>
      </c>
      <c r="I9049" t="inlineStr">
        <is>
          <t>17/03/2026</t>
        </is>
      </c>
      <c r="J9049" t="inlineStr">
        <is>
          <t>CNTT - Phần mềm</t>
        </is>
      </c>
      <c r="K9049" t="inlineStr">
        <is>
          <t>3 - 7 Năm</t>
        </is>
      </c>
      <c r="L9049" s="8">
        <f>HYPERLINK("https://careerviet.vn/vi/tim-viec-lam/qa-qc-manager.35C6A632.html","Xem chi tiết")</f>
        <v/>
      </c>
    </row>
    <row r="9050">
      <c r="B9050" s="9" t="n">
        <v>9048</v>
      </c>
      <c r="C9050" s="10" t="inlineStr">
        <is>
          <t>Nhân Viên Triển Khai Sự Kiện (Full Time)</t>
        </is>
      </c>
      <c r="D9050" s="10" t="inlineStr">
        <is>
          <t>Xuân Cầu Holdings</t>
        </is>
      </c>
      <c r="E9050" s="10" t="inlineStr">
        <is>
          <t>Lương:Cạnh tranh</t>
        </is>
      </c>
      <c r="F9050" s="10" t="inlineStr">
        <is>
          <t>Hà Nội</t>
        </is>
      </c>
      <c r="G9050" s="10" t="inlineStr">
        <is>
          <t>03-04-2026</t>
        </is>
      </c>
      <c r="H9050" s="10" t="inlineStr">
        <is>
          <t>03/04/2026</t>
        </is>
      </c>
      <c r="I9050" s="10" t="inlineStr">
        <is>
          <t>17/03/2026</t>
        </is>
      </c>
      <c r="J9050" s="10" t="inlineStr">
        <is>
          <t>Tổ chức sự kiện, Quảng cáo / Đối ngoại / Truyền Thông</t>
        </is>
      </c>
      <c r="K9050" s="10" t="inlineStr">
        <is>
          <t>1 - 2 Năm</t>
        </is>
      </c>
      <c r="L9050" s="11">
        <f>HYPERLINK("https://careerviet.vn/vi/tim-viec-lam/nhan-vien-trien-khai-su-kien-full-time.35C6A5F3.html","Xem chi tiết")</f>
        <v/>
      </c>
      <c r="M9050" s="10" t="n"/>
    </row>
    <row r="9051">
      <c r="B9051" s="7" t="n">
        <v>9049</v>
      </c>
      <c r="C9051" t="inlineStr">
        <is>
          <t>CHUYÊN VIÊN TƯ VẤN GIÁO DỤC (OCEAN EDU YÊN MỸ) - THU NHẬP HẤP DẪN TỪ 15 TRIỆU/THÁNG</t>
        </is>
      </c>
      <c r="D9051" t="inlineStr">
        <is>
          <t>Công Ty CP Giáo Dục Đại Dương</t>
        </is>
      </c>
      <c r="E9051" t="inlineStr">
        <is>
          <t>Lương:Cạnh tranh</t>
        </is>
      </c>
      <c r="F9051" t="inlineStr">
        <is>
          <t>Hưng Yên</t>
        </is>
      </c>
      <c r="G9051" t="inlineStr">
        <is>
          <t>01-04-2026</t>
        </is>
      </c>
      <c r="H9051" t="inlineStr">
        <is>
          <t>01/04/2026</t>
        </is>
      </c>
      <c r="I9051" t="inlineStr">
        <is>
          <t>17/03/2026</t>
        </is>
      </c>
      <c r="J9051" t="inlineStr">
        <is>
          <t>Dịch vụ khách hàng, Giáo dục / Đào tạo, Bán hàng / Kinh doanh</t>
        </is>
      </c>
      <c r="K9051" t="inlineStr">
        <is>
          <t>Lên đến 1 Năm</t>
        </is>
      </c>
      <c r="L9051" s="8">
        <f>HYPERLINK("https://careerviet.vn/vi/tim-viec-lam/chuyen-vien-tu-van-giao-duc-ocean-edu-yen-my-thu-nhap-hap-dan-tu-15-trieu-thang.35C6A5DD.html","Xem chi tiết")</f>
        <v/>
      </c>
    </row>
    <row r="9052">
      <c r="B9052" s="9" t="n">
        <v>9050</v>
      </c>
      <c r="C9052" s="10" t="inlineStr">
        <is>
          <t>Trưởng phòng kinh doanh sàn thương mại điện tử</t>
        </is>
      </c>
      <c r="D9052" s="10" t="inlineStr">
        <is>
          <t>CÔNG TY TNHH NHA KHOA I-DENT</t>
        </is>
      </c>
      <c r="E9052" s="10" t="inlineStr">
        <is>
          <t>Lương:20 Tr - 45 Tr VND</t>
        </is>
      </c>
      <c r="F9052" s="10" t="inlineStr">
        <is>
          <t>Hồ Chí Minh</t>
        </is>
      </c>
      <c r="G9052" s="10" t="inlineStr">
        <is>
          <t>30-04-2026</t>
        </is>
      </c>
      <c r="H9052" s="10" t="inlineStr">
        <is>
          <t>30/04/2026</t>
        </is>
      </c>
      <c r="I9052" s="10" t="inlineStr">
        <is>
          <t>17/03/2026</t>
        </is>
      </c>
      <c r="J9052" s="10" t="inlineStr">
        <is>
          <t>Bán lẻ / Bán sỉ, Thương mại điện tử, Bán hàng / Kinh doanh</t>
        </is>
      </c>
      <c r="K9052" s="10" t="inlineStr">
        <is>
          <t>2 - 4 Năm</t>
        </is>
      </c>
      <c r="L9052" s="11">
        <f>HYPERLINK("https://careerviet.vn/vi/tim-viec-lam/truong-phong-kinh-doanh-san-thuong-mai-dien-tu.35C6A5D9.html","Xem chi tiết")</f>
        <v/>
      </c>
      <c r="M9052" s="10" t="n"/>
    </row>
    <row r="9053">
      <c r="B9053" s="7" t="n">
        <v>9051</v>
      </c>
      <c r="C9053" t="inlineStr">
        <is>
          <t>Medical Representative (Ngành CXK, CTCH, Dược) - Cần Thơ</t>
        </is>
      </c>
      <c r="D9053" t="inlineStr">
        <is>
          <t>Công ty Cổ phần Dược phẩm Đại Tín</t>
        </is>
      </c>
      <c r="E9053" t="inlineStr">
        <is>
          <t>Lương:10 Tr - 20 Tr VND</t>
        </is>
      </c>
      <c r="F9053" t="inlineStr">
        <is>
          <t>Cần Thơ</t>
        </is>
      </c>
      <c r="G9053" t="inlineStr">
        <is>
          <t>09-04-2026</t>
        </is>
      </c>
      <c r="H9053" t="inlineStr">
        <is>
          <t>09/04/2026</t>
        </is>
      </c>
      <c r="I9053" t="inlineStr">
        <is>
          <t>17/03/2026</t>
        </is>
      </c>
      <c r="J9053" t="inlineStr">
        <is>
          <t>Dược phẩm/ Hóa Mỹ Phẩm</t>
        </is>
      </c>
      <c r="K9053" t="inlineStr">
        <is>
          <t>Trên 2 Năm</t>
        </is>
      </c>
      <c r="L9053" s="8">
        <f>HYPERLINK("https://careerviet.vn/vi/tim-viec-lam/medical-representative-nganh-cxk-ctch-duoc-can-tho.35C6B911.html","Xem chi tiết")</f>
        <v/>
      </c>
    </row>
    <row r="9054">
      <c r="B9054" s="9" t="n">
        <v>9052</v>
      </c>
      <c r="C9054" s="10" t="inlineStr">
        <is>
          <t>Trưởng phòng Điều phối kinh doanh</t>
        </is>
      </c>
      <c r="D9054" s="10" t="inlineStr">
        <is>
          <t>Ngân Hàng TMCP Sài Gòn - Hà Nội ( SHB )</t>
        </is>
      </c>
      <c r="E9054" s="10" t="inlineStr">
        <is>
          <t>Lương:Cạnh tranh</t>
        </is>
      </c>
      <c r="F9054" s="10" t="inlineStr">
        <is>
          <t>Hà Nội</t>
        </is>
      </c>
      <c r="G9054" s="10" t="inlineStr">
        <is>
          <t>06-04-2026</t>
        </is>
      </c>
      <c r="H9054" s="10" t="inlineStr">
        <is>
          <t>06/04/2026</t>
        </is>
      </c>
      <c r="I9054" s="10" t="inlineStr">
        <is>
          <t>17/03/2026</t>
        </is>
      </c>
      <c r="J9054" s="10" t="inlineStr">
        <is>
          <t>Ngân hàng, Tài chính / Đầu tư</t>
        </is>
      </c>
      <c r="K9054" s="10" t="inlineStr">
        <is>
          <t>8 - 10 Năm</t>
        </is>
      </c>
      <c r="L9054" s="11">
        <f>HYPERLINK("https://careerviet.vn/vi/tim-viec-lam/truong-phong-dieu-phoi-kinh-doanh.35C6B6D7.html","Xem chi tiết")</f>
        <v/>
      </c>
      <c r="M9054" s="10" t="n"/>
    </row>
    <row r="9055">
      <c r="B9055" s="7" t="n">
        <v>9053</v>
      </c>
      <c r="C9055" t="inlineStr">
        <is>
          <t>Nam Nhân viên kho thực Phẩm-Không yêu cầu kinh nghiệm</t>
        </is>
      </c>
      <c r="D9055" t="inlineStr">
        <is>
          <t>CÔNG TY CỔ PHẦN TAKAHIRO</t>
        </is>
      </c>
      <c r="E9055" t="inlineStr">
        <is>
          <t>Lương:8 Tr - 9,5 Tr VND</t>
        </is>
      </c>
      <c r="F9055" t="inlineStr">
        <is>
          <t>Hà Nội</t>
        </is>
      </c>
      <c r="G9055" t="inlineStr">
        <is>
          <t>07-04-2026</t>
        </is>
      </c>
      <c r="H9055" t="inlineStr">
        <is>
          <t>07/04/2026</t>
        </is>
      </c>
      <c r="I9055" t="inlineStr">
        <is>
          <t>17/03/2026</t>
        </is>
      </c>
      <c r="J9055" t="inlineStr">
        <is>
          <t>Vận chuyển / Giao nhận / Kho vận, Kế toán / Kiểm toán</t>
        </is>
      </c>
      <c r="K9055" t="inlineStr">
        <is>
          <t>N/A</t>
        </is>
      </c>
      <c r="L9055" s="8">
        <f>HYPERLINK("https://careerviet.vn/vi/tim-viec-lam/nam-nhan-vien-kho-thuc-pham-khong-yeu-cau-kinh-nghiem.35C6B777.html","Xem chi tiết")</f>
        <v/>
      </c>
    </row>
    <row r="9056">
      <c r="B9056" s="9" t="n">
        <v>9054</v>
      </c>
      <c r="C9056" s="10" t="inlineStr">
        <is>
          <t>Nhân Viên Thống Kê Tổng Hợp</t>
        </is>
      </c>
      <c r="D9056" s="10" t="inlineStr">
        <is>
          <t>CÔNG TY TNHH MỘT THÀNH VIÊN VẬN TẢI VÀ DU LỊCH JAC</t>
        </is>
      </c>
      <c r="E9056" s="10" t="inlineStr">
        <is>
          <t>Lương:Cạnh tranh</t>
        </is>
      </c>
      <c r="F9056" s="10" t="inlineStr">
        <is>
          <t>Hà Nội</t>
        </is>
      </c>
      <c r="G9056" s="10" t="inlineStr">
        <is>
          <t>15-04-2026</t>
        </is>
      </c>
      <c r="H9056" s="10" t="inlineStr">
        <is>
          <t>15/04/2026</t>
        </is>
      </c>
      <c r="I9056" s="10" t="inlineStr">
        <is>
          <t>17/03/2026</t>
        </is>
      </c>
      <c r="J9056" s="10" t="inlineStr">
        <is>
          <t>Kế toán / Kiểm toán, Thống kê, Tài chính / Đầu tư</t>
        </is>
      </c>
      <c r="K9056" s="10" t="inlineStr">
        <is>
          <t>Trên 1 Năm</t>
        </is>
      </c>
      <c r="L9056" s="11">
        <f>HYPERLINK("https://careerviet.vn/vi/tim-viec-lam/nhan-vien-thong-ke-tong-hop.35C6BA1A.html","Xem chi tiết")</f>
        <v/>
      </c>
      <c r="M9056" s="10" t="n"/>
    </row>
    <row r="9057">
      <c r="B9057" s="7" t="n">
        <v>9055</v>
      </c>
      <c r="C9057" t="inlineStr">
        <is>
          <t>Chuyên viên Phân tích nghiệp vụ - Business Analyst - Khối Công nghệ thông tin (HOLT.05)</t>
        </is>
      </c>
      <c r="D9057" t="inlineStr">
        <is>
          <t>Ngân Hàng TMCP Quân Đội</t>
        </is>
      </c>
      <c r="E9057" t="inlineStr">
        <is>
          <t>Lương:Cạnh tranh</t>
        </is>
      </c>
      <c r="F9057" t="inlineStr">
        <is>
          <t>Hà Nội</t>
        </is>
      </c>
      <c r="G9057" t="inlineStr">
        <is>
          <t>09-04-2026</t>
        </is>
      </c>
      <c r="H9057" t="inlineStr">
        <is>
          <t>09/04/2026</t>
        </is>
      </c>
      <c r="I9057" t="inlineStr">
        <is>
          <t>17/03/2026</t>
        </is>
      </c>
      <c r="J9057" t="inlineStr">
        <is>
          <t>Ngân hàng, CNTT - Phần mềm, CNTT - Phần cứng / Mạng</t>
        </is>
      </c>
      <c r="K9057" t="inlineStr">
        <is>
          <t>Trên 1 Năm</t>
        </is>
      </c>
      <c r="L9057" s="8">
        <f>HYPERLINK("https://careerviet.vn/vi/tim-viec-lam/chuyen-vien-phan-tich-nghiep-vu-business-analyst-khoi-cong-nghe-thong-tin-holt-05.35C6B8BD.html","Xem chi tiết")</f>
        <v/>
      </c>
    </row>
    <row r="9058">
      <c r="B9058" s="9" t="n">
        <v>9056</v>
      </c>
      <c r="C9058" s="10" t="inlineStr">
        <is>
          <t>QUẢN LÝ DỰ ÁN</t>
        </is>
      </c>
      <c r="D9058" s="10" t="inlineStr">
        <is>
          <t>ROUTINE VN - FASHION DESIGN &amp; RETAILER</t>
        </is>
      </c>
      <c r="E9058" s="10" t="inlineStr">
        <is>
          <t>Lương:Cạnh tranh</t>
        </is>
      </c>
      <c r="F9058" s="10" t="inlineStr">
        <is>
          <t>Hồ Chí Minh</t>
        </is>
      </c>
      <c r="G9058" s="10" t="inlineStr">
        <is>
          <t>09-04-2026</t>
        </is>
      </c>
      <c r="H9058" s="10" t="inlineStr">
        <is>
          <t>09/04/2026</t>
        </is>
      </c>
      <c r="I9058" s="10" t="inlineStr">
        <is>
          <t>17/03/2026</t>
        </is>
      </c>
      <c r="J9058" s="10" t="inlineStr">
        <is>
          <t>Dệt may / Da giày / Thời trang, Xây dựng, Bán lẻ / Bán sỉ</t>
        </is>
      </c>
      <c r="K9058" s="10" t="inlineStr">
        <is>
          <t>5 - 10 Năm</t>
        </is>
      </c>
      <c r="L9058" s="11">
        <f>HYPERLINK("https://careerviet.vn/vi/tim-viec-lam/quan-ly-du-an.35C6BA20.html","Xem chi tiết")</f>
        <v/>
      </c>
      <c r="M9058" s="10" t="n"/>
    </row>
    <row r="9059">
      <c r="B9059" s="7" t="n">
        <v>9057</v>
      </c>
      <c r="C9059" t="inlineStr">
        <is>
          <t>Trưởng nhóm ShopDrawing</t>
        </is>
      </c>
      <c r="D9059" t="inlineStr">
        <is>
          <t>CÔNG TY CỔ PHẦN THƯƠNG MẠI DỊCH VỤ XÂY DỰNG E&amp;C</t>
        </is>
      </c>
      <c r="E9059" t="inlineStr">
        <is>
          <t>Lương:28 Tr - 35 Tr VND</t>
        </is>
      </c>
      <c r="F9059" t="inlineStr">
        <is>
          <t>Đồng Nai</t>
        </is>
      </c>
      <c r="G9059" t="inlineStr">
        <is>
          <t>09-04-2026</t>
        </is>
      </c>
      <c r="H9059" t="inlineStr">
        <is>
          <t>09/04/2026</t>
        </is>
      </c>
      <c r="I9059" t="inlineStr">
        <is>
          <t>17/03/2026</t>
        </is>
      </c>
      <c r="J9059" t="inlineStr">
        <is>
          <t>Xây dựng, Kiến trúc, Mỹ thuật / Nghệ thuật / Thiết kế</t>
        </is>
      </c>
      <c r="K9059" t="inlineStr">
        <is>
          <t>2 - 5 Năm</t>
        </is>
      </c>
      <c r="L9059" s="8">
        <f>HYPERLINK("https://careerviet.vn/vi/tim-viec-lam/truong-nhom-shopdrawing.35C6B787.html","Xem chi tiết")</f>
        <v/>
      </c>
    </row>
    <row r="9060">
      <c r="B9060" s="9" t="n">
        <v>9058</v>
      </c>
      <c r="C9060" s="10" t="inlineStr">
        <is>
          <t>Nhân Viên Tư Vấn Bán Hàng Quy Nhơn Bình Định</t>
        </is>
      </c>
      <c r="D9060" s="10" t="inlineStr">
        <is>
          <t>CÔNG TY CỔ PHẦN VUA NỆM</t>
        </is>
      </c>
      <c r="E9060" s="10" t="inlineStr">
        <is>
          <t>Lương:8 Tr - 12 Tr VND</t>
        </is>
      </c>
      <c r="F9060" s="10" t="inlineStr">
        <is>
          <t>Bình Định</t>
        </is>
      </c>
      <c r="G9060" s="10" t="inlineStr">
        <is>
          <t>31-03-2026</t>
        </is>
      </c>
      <c r="H9060" s="10" t="inlineStr">
        <is>
          <t>31/03/2026</t>
        </is>
      </c>
      <c r="I9060" s="10" t="inlineStr">
        <is>
          <t>17/03/2026</t>
        </is>
      </c>
      <c r="J9060" s="10" t="inlineStr">
        <is>
          <t>Bán hàng / Kinh doanh, Bán lẻ / Bán sỉ, Tư vấn</t>
        </is>
      </c>
      <c r="K9060" s="10" t="inlineStr">
        <is>
          <t>1 - 2 Năm</t>
        </is>
      </c>
      <c r="L9060" s="11">
        <f>HYPERLINK("https://careerviet.vn/vi/tim-viec-lam/nhan-vien-tu-van-ban-hang-quy-nhon-binh-dinh.35C6B88D.html","Xem chi tiết")</f>
        <v/>
      </c>
      <c r="M9060" s="10" t="n"/>
    </row>
    <row r="9061">
      <c r="B9061" s="7" t="n">
        <v>9059</v>
      </c>
      <c r="C9061" t="inlineStr">
        <is>
          <t>Nhân Viên KD Thiết Bị Y Tế</t>
        </is>
      </c>
      <c r="D9061" t="inlineStr">
        <is>
          <t>CÔNG TY CỔ PHẦN TRANG THIẾT BỊ Y TẾ ĐỨC TÍN</t>
        </is>
      </c>
      <c r="E9061" t="inlineStr">
        <is>
          <t>Lương:Cạnh tranh</t>
        </is>
      </c>
      <c r="F9061" t="inlineStr">
        <is>
          <t>Hồ Chí Minh</t>
        </is>
      </c>
      <c r="G9061" t="inlineStr">
        <is>
          <t>31-03-2026</t>
        </is>
      </c>
      <c r="H9061" t="inlineStr">
        <is>
          <t>31/03/2026</t>
        </is>
      </c>
      <c r="I9061" t="inlineStr">
        <is>
          <t>17/03/2026</t>
        </is>
      </c>
      <c r="J9061" t="inlineStr">
        <is>
          <t>Dược phẩm/ Hóa Mỹ Phẩm, Bán hàng / Kinh doanh, Y tế / Chăm sóc sức khỏe / Thẩm mỹ / Làm đẹp</t>
        </is>
      </c>
      <c r="K9061" t="inlineStr">
        <is>
          <t>Chưa có kinh nghiệm</t>
        </is>
      </c>
      <c r="L9061" s="8">
        <f>HYPERLINK("https://careerviet.vn/vi/tim-viec-lam/nhan-vien-kd-thiet-bi-y-te.35C6B959.html","Xem chi tiết")</f>
        <v/>
      </c>
    </row>
    <row r="9062">
      <c r="B9062" s="9" t="n">
        <v>9060</v>
      </c>
      <c r="C9062" s="10" t="inlineStr">
        <is>
          <t>Nhân Viên Kinh Doanh Nội Thất Tại Bình Tân</t>
        </is>
      </c>
      <c r="D9062" s="10" t="inlineStr">
        <is>
          <t>Công Ty TNHH Tập Đoàn Rita Võ</t>
        </is>
      </c>
      <c r="E9062" s="10" t="inlineStr">
        <is>
          <t>Lương:8 Tr - 20 Tr VND</t>
        </is>
      </c>
      <c r="F9062" s="10" t="inlineStr">
        <is>
          <t>Hồ Chí Minh</t>
        </is>
      </c>
      <c r="G9062" s="10" t="inlineStr">
        <is>
          <t>06-04-2026</t>
        </is>
      </c>
      <c r="H9062" s="10" t="inlineStr">
        <is>
          <t>06/04/2026</t>
        </is>
      </c>
      <c r="I9062" s="10" t="inlineStr">
        <is>
          <t>17/03/2026</t>
        </is>
      </c>
      <c r="J9062" s="10" t="inlineStr">
        <is>
          <t>Bán lẻ / Bán sỉ, Bán hàng / Kinh doanh, Nội ngoại thất</t>
        </is>
      </c>
      <c r="K9062" s="10" t="inlineStr">
        <is>
          <t>N/A</t>
        </is>
      </c>
      <c r="L9062" s="11">
        <f>HYPERLINK("https://careerviet.vn/vi/tim-viec-lam/nhan-vien-kinh-doanh-noi-that-tai-binh-tan.35C6B971.html","Xem chi tiết")</f>
        <v/>
      </c>
      <c r="M9062" s="10" t="n"/>
    </row>
    <row r="9063">
      <c r="B9063" s="7" t="n">
        <v>9061</v>
      </c>
      <c r="C9063" t="inlineStr">
        <is>
          <t>Nhân viên Kinh Doanh Hồ Chí Minh</t>
        </is>
      </c>
      <c r="D9063" t="inlineStr">
        <is>
          <t>CÔNG TY CỔ PHẦN TRANG THIẾT BỊ Y TẾ ĐỨC TÍN</t>
        </is>
      </c>
      <c r="E9063" t="inlineStr">
        <is>
          <t>Lương:10 Tr - 15 Tr VND</t>
        </is>
      </c>
      <c r="F9063" t="inlineStr">
        <is>
          <t>Hồ Chí Minh</t>
        </is>
      </c>
      <c r="G9063" t="inlineStr">
        <is>
          <t>31-03-2026</t>
        </is>
      </c>
      <c r="H9063" t="inlineStr">
        <is>
          <t>31/03/2026</t>
        </is>
      </c>
      <c r="I9063" t="inlineStr">
        <is>
          <t>17/03/2026</t>
        </is>
      </c>
      <c r="J9063" t="inlineStr">
        <is>
          <t>Bán hàng / Kinh doanh, Y tế / Chăm sóc sức khỏe / Thẩm mỹ / Làm đẹp</t>
        </is>
      </c>
      <c r="K9063" t="inlineStr">
        <is>
          <t>1 - 2 Năm</t>
        </is>
      </c>
      <c r="L9063" s="8">
        <f>HYPERLINK("https://careerviet.vn/vi/tim-viec-lam/nhan-vien-kinh-doanh-ho-chi-minh.35C6B951.html","Xem chi tiết")</f>
        <v/>
      </c>
    </row>
    <row r="9064">
      <c r="B9064" s="9" t="n">
        <v>9062</v>
      </c>
      <c r="C9064" s="10" t="inlineStr">
        <is>
          <t>Interior Designer  / Thiết Kế Nội Thất</t>
        </is>
      </c>
      <c r="D9064" s="10" t="inlineStr">
        <is>
          <t>CJ Foodville Việt Nam</t>
        </is>
      </c>
      <c r="E9064" s="10" t="inlineStr">
        <is>
          <t>Lương:Cạnh tranh</t>
        </is>
      </c>
      <c r="F9064" s="10" t="inlineStr">
        <is>
          <t>Hồ Chí Minh</t>
        </is>
      </c>
      <c r="G9064" s="10" t="inlineStr">
        <is>
          <t>29-04-2026</t>
        </is>
      </c>
      <c r="H9064" s="10" t="inlineStr">
        <is>
          <t>29/04/2026</t>
        </is>
      </c>
      <c r="I9064" s="10" t="inlineStr">
        <is>
          <t>17/03/2026</t>
        </is>
      </c>
      <c r="J9064" s="10" t="inlineStr">
        <is>
          <t>Mỹ thuật / Nghệ thuật / Thiết kế, Thực phẩm &amp; Đồ uống, Nội ngoại thất</t>
        </is>
      </c>
      <c r="K9064" s="10" t="inlineStr">
        <is>
          <t>2 - 5 Năm</t>
        </is>
      </c>
      <c r="L9064" s="11">
        <f>HYPERLINK("https://careerviet.vn/vi/tim-viec-lam/interior-designer-thiet-ke-noi-that.35C6B6CE.html","Xem chi tiết")</f>
        <v/>
      </c>
      <c r="M9064" s="10" t="n"/>
    </row>
    <row r="9065">
      <c r="B9065" s="7" t="n">
        <v>9063</v>
      </c>
      <c r="C9065" t="inlineStr">
        <is>
          <t>Chuyên viên Quan hệ Khách hàng Doanh nghiệp (Toàn quốc)</t>
        </is>
      </c>
      <c r="D9065" t="inlineStr">
        <is>
          <t>Ngân Hàng TMCP Sài Gòn - Hà Nội ( SHB )</t>
        </is>
      </c>
      <c r="E9065" t="inlineStr">
        <is>
          <t>Lương:Cạnh tranh</t>
        </is>
      </c>
      <c r="F9065" t="inlineStr">
        <is>
          <t>Bà Rịa - Vũng TàuĐồng ThápVĩnh Long</t>
        </is>
      </c>
      <c r="G9065" t="inlineStr">
        <is>
          <t>06-04-2026</t>
        </is>
      </c>
      <c r="H9065" t="inlineStr">
        <is>
          <t>06/04/2026</t>
        </is>
      </c>
      <c r="I9065" t="inlineStr">
        <is>
          <t>17/03/2026</t>
        </is>
      </c>
      <c r="J9065" t="inlineStr">
        <is>
          <t>Ngân hàng, Bán hàng / Kinh doanh</t>
        </is>
      </c>
      <c r="K9065" t="inlineStr">
        <is>
          <t>N/A</t>
        </is>
      </c>
      <c r="L9065" s="8">
        <f>HYPERLINK("https://careerviet.vn/vi/tim-viec-lam/chuyen-vien-quan-he-khach-hang-doanh-nghiep-toan-quoc.35C6B6F6.html","Xem chi tiết")</f>
        <v/>
      </c>
    </row>
    <row r="9066">
      <c r="B9066" s="9" t="n">
        <v>9064</v>
      </c>
      <c r="C9066" s="10" t="inlineStr">
        <is>
          <t>Nhân Viên Vận Hành Máy Chấn-Đột-Dập (Không cần kinh nghiệm)</t>
        </is>
      </c>
      <c r="D9066" s="10" t="inlineStr">
        <is>
          <t>Công ty TNHH Greystone Data Systems Việt Nam</t>
        </is>
      </c>
      <c r="E9066" s="10" t="inlineStr">
        <is>
          <t>Lương:Cạnh tranh</t>
        </is>
      </c>
      <c r="F9066" s="10" t="inlineStr">
        <is>
          <t>Hồ Chí Minh</t>
        </is>
      </c>
      <c r="G9066" s="10" t="inlineStr">
        <is>
          <t>09-04-2026</t>
        </is>
      </c>
      <c r="H9066" s="10" t="inlineStr">
        <is>
          <t>09/04/2026</t>
        </is>
      </c>
      <c r="I9066" s="10" t="inlineStr">
        <is>
          <t>17/03/2026</t>
        </is>
      </c>
      <c r="J9066" s="10" t="inlineStr">
        <is>
          <t>Cơ khí / Ô tô / Tự động hóa, Mỹ thuật / Nghệ thuật / Thiết kế, Bảo trì / Sửa chữa</t>
        </is>
      </c>
      <c r="K9066" s="10" t="inlineStr">
        <is>
          <t>N/A</t>
        </is>
      </c>
      <c r="L9066" s="11">
        <f>HYPERLINK("https://careerviet.vn/vi/tim-viec-lam/nhan-vien-van-hanh-may-chan-dot-dap-khong-can-kinh-nghiem.35C6B73F.html","Xem chi tiết")</f>
        <v/>
      </c>
      <c r="M9066" s="10" t="n"/>
    </row>
    <row r="9067">
      <c r="B9067" s="7" t="n">
        <v>9065</v>
      </c>
      <c r="C9067" t="inlineStr">
        <is>
          <t>TRƯỜNG PHÒNG TÀI CHÍNH KẾ TOÁN</t>
        </is>
      </c>
      <c r="D9067" t="inlineStr">
        <is>
          <t>Bảo mật</t>
        </is>
      </c>
      <c r="E9067" t="inlineStr">
        <is>
          <t>Lương:Cạnh tranh</t>
        </is>
      </c>
      <c r="F9067" t="inlineStr">
        <is>
          <t>Hồ Chí Minh</t>
        </is>
      </c>
      <c r="G9067" t="inlineStr">
        <is>
          <t>08-04-2026</t>
        </is>
      </c>
      <c r="H9067" t="inlineStr">
        <is>
          <t>08/04/2026</t>
        </is>
      </c>
      <c r="I9067" t="inlineStr">
        <is>
          <t>17/03/2026</t>
        </is>
      </c>
      <c r="J9067" t="inlineStr">
        <is>
          <t>Bán hàng / Kinh doanh, Bán Hàng Kỹ Thuật, Tài chính / Đầu tư</t>
        </is>
      </c>
      <c r="K9067" t="inlineStr">
        <is>
          <t>3 - 15 Năm</t>
        </is>
      </c>
      <c r="L9067" s="8">
        <f>HYPERLINK("https://careerviet.vn/vi/tim-viec-lam/truong-phong-tai-chinh-ke-toan.35C6B752.html","Xem chi tiết")</f>
        <v/>
      </c>
    </row>
    <row r="9068">
      <c r="B9068" s="9" t="n">
        <v>9066</v>
      </c>
      <c r="C9068" s="10" t="inlineStr">
        <is>
          <t>CVCC/Chuyên gia Quản trị tuân thủ</t>
        </is>
      </c>
      <c r="D9068" s="10" t="inlineStr">
        <is>
          <t>Ngân Hàng TMCP Sài Gòn - Hà Nội ( SHB )</t>
        </is>
      </c>
      <c r="E9068" s="10" t="inlineStr">
        <is>
          <t>Lương:Cạnh tranh</t>
        </is>
      </c>
      <c r="F9068" s="10" t="inlineStr">
        <is>
          <t>Hà Nội</t>
        </is>
      </c>
      <c r="G9068" s="10" t="inlineStr">
        <is>
          <t>06-04-2026</t>
        </is>
      </c>
      <c r="H9068" s="10" t="inlineStr">
        <is>
          <t>06/04/2026</t>
        </is>
      </c>
      <c r="I9068" s="10" t="inlineStr">
        <is>
          <t>17/03/2026</t>
        </is>
      </c>
      <c r="J9068" s="10" t="inlineStr">
        <is>
          <t>Ngân hàng, Tài chính / Đầu tư</t>
        </is>
      </c>
      <c r="K9068" s="10" t="inlineStr">
        <is>
          <t>Trên 3 Năm</t>
        </is>
      </c>
      <c r="L9068" s="11">
        <f>HYPERLINK("https://careerviet.vn/vi/tim-viec-lam/cvcc-chuyen-gia-quan-tri-tuan-thu.35C6B6EA.html","Xem chi tiết")</f>
        <v/>
      </c>
      <c r="M9068" s="10" t="n"/>
    </row>
    <row r="9069">
      <c r="B9069" s="7" t="n">
        <v>9067</v>
      </c>
      <c r="C9069" t="inlineStr">
        <is>
          <t>Kế Toán Tổng Hợp</t>
        </is>
      </c>
      <c r="D9069" t="inlineStr">
        <is>
          <t>Công Ty TNHH Xuất Nhập Khẩu Thái Châu</t>
        </is>
      </c>
      <c r="E9069" t="inlineStr">
        <is>
          <t>Lương:17 Tr - 20 Tr VND</t>
        </is>
      </c>
      <c r="F9069" t="inlineStr">
        <is>
          <t>Long An</t>
        </is>
      </c>
      <c r="G9069" t="inlineStr">
        <is>
          <t>09-04-2026</t>
        </is>
      </c>
      <c r="H9069" t="inlineStr">
        <is>
          <t>09/04/2026</t>
        </is>
      </c>
      <c r="I9069" t="inlineStr">
        <is>
          <t>17/03/2026</t>
        </is>
      </c>
      <c r="J9069" t="inlineStr">
        <is>
          <t>Kế toán / Kiểm toán, Tài chính / Đầu tư, Ngân hàng</t>
        </is>
      </c>
      <c r="K9069" t="inlineStr">
        <is>
          <t>Trên 3 Năm</t>
        </is>
      </c>
      <c r="L9069" s="8">
        <f>HYPERLINK("https://careerviet.vn/vi/tim-viec-lam/ke-toan-tong-hop.35C6B987.html","Xem chi tiết")</f>
        <v/>
      </c>
    </row>
    <row r="9070">
      <c r="B9070" s="9" t="n">
        <v>9068</v>
      </c>
      <c r="C9070" s="10" t="inlineStr">
        <is>
          <t>Phó phòng Tổ chức thi (Quản lý Data)</t>
        </is>
      </c>
      <c r="D9070" s="10" t="inlineStr">
        <is>
          <t>Công ty CP IIG Việt Nam</t>
        </is>
      </c>
      <c r="E9070" s="10" t="inlineStr">
        <is>
          <t>Lương:30 Tr - 35 Tr VND</t>
        </is>
      </c>
      <c r="F9070" s="10" t="inlineStr">
        <is>
          <t>Hà Nội</t>
        </is>
      </c>
      <c r="G9070" s="10" t="inlineStr">
        <is>
          <t>09-04-2026</t>
        </is>
      </c>
      <c r="H9070" s="10" t="inlineStr">
        <is>
          <t>09/04/2026</t>
        </is>
      </c>
      <c r="I9070" s="10" t="inlineStr">
        <is>
          <t>17/03/2026</t>
        </is>
      </c>
      <c r="J9070" s="10" t="inlineStr">
        <is>
          <t>Giáo dục / Đào tạo, Dịch vụ khách hàng, Ngành khác</t>
        </is>
      </c>
      <c r="K9070" s="10" t="inlineStr">
        <is>
          <t>5 - 7 Năm</t>
        </is>
      </c>
      <c r="L9070" s="11">
        <f>HYPERLINK("https://careerviet.vn/vi/tim-viec-lam/pho-phong-to-chuc-thi-quan-ly-data.35C6B769.html","Xem chi tiết")</f>
        <v/>
      </c>
      <c r="M9070" s="10" t="n"/>
    </row>
    <row r="9071">
      <c r="B9071" s="7" t="n">
        <v>9069</v>
      </c>
      <c r="C9071" t="inlineStr">
        <is>
          <t>[Nam Định] Quản lý Cửa Hàng Thời Trang Thể Thao</t>
        </is>
      </c>
      <c r="D9071" t="inlineStr">
        <is>
          <t>THỜI TRANG LINING_CÔNG TY TNHH QUỐC TẾ HẢI LONG</t>
        </is>
      </c>
      <c r="E9071" t="inlineStr">
        <is>
          <t>Lương:10 Tr - 12 Tr VND</t>
        </is>
      </c>
      <c r="F9071" t="inlineStr">
        <is>
          <t>Nam Định</t>
        </is>
      </c>
      <c r="G9071" t="inlineStr">
        <is>
          <t>04-04-2026</t>
        </is>
      </c>
      <c r="H9071" t="inlineStr">
        <is>
          <t>04/04/2026</t>
        </is>
      </c>
      <c r="I9071" t="inlineStr">
        <is>
          <t>17/03/2026</t>
        </is>
      </c>
      <c r="J9071" t="inlineStr">
        <is>
          <t>Bán lẻ / Bán sỉ, Bán hàng / Kinh doanh</t>
        </is>
      </c>
      <c r="K9071" t="inlineStr">
        <is>
          <t>1 - 2 Năm</t>
        </is>
      </c>
      <c r="L9071" s="8">
        <f>HYPERLINK("https://careerviet.vn/vi/tim-viec-lam/nam-dinh-quan-ly-cua-hang-thoi-trang-the-thao.35C6B853.html","Xem chi tiết")</f>
        <v/>
      </c>
    </row>
    <row r="9072">
      <c r="B9072" s="9" t="n">
        <v>9070</v>
      </c>
      <c r="C9072" s="10" t="inlineStr">
        <is>
          <t>Kỹ sư nhiệt kỹ thuật</t>
        </is>
      </c>
      <c r="D9072" s="10" t="inlineStr">
        <is>
          <t>Công ty cổ phần Xây dựng Công trình IPC</t>
        </is>
      </c>
      <c r="E9072" s="10" t="inlineStr">
        <is>
          <t>Lương:15 Tr - 25 Tr VND</t>
        </is>
      </c>
      <c r="F9072" s="10" t="inlineStr">
        <is>
          <t>Hà NộiThanh Hóa</t>
        </is>
      </c>
      <c r="G9072" s="10" t="inlineStr">
        <is>
          <t>29-03-2026</t>
        </is>
      </c>
      <c r="H9072" s="10" t="inlineStr">
        <is>
          <t>29/03/2026</t>
        </is>
      </c>
      <c r="I9072" s="10" t="inlineStr">
        <is>
          <t>17/03/2026</t>
        </is>
      </c>
      <c r="J9072" s="10" t="inlineStr">
        <is>
          <t>Cơ khí / Ô tô / Tự động hóa, Điện / Điện tử / Điện lạnh / Điện công nghiệp</t>
        </is>
      </c>
      <c r="K9072" s="10" t="inlineStr">
        <is>
          <t>Chưa có kinh nghiệm</t>
        </is>
      </c>
      <c r="L9072" s="11">
        <f>HYPERLINK("https://careerviet.vn/vi/tim-viec-lam/ky-su-nhiet-ky-thuat.35C6B70A.html","Xem chi tiết")</f>
        <v/>
      </c>
      <c r="M9072" s="10" t="n"/>
    </row>
    <row r="9073">
      <c r="B9073" s="7" t="n">
        <v>9071</v>
      </c>
      <c r="C9073" t="inlineStr">
        <is>
          <t>NHÂN VIÊN KIỂM SOÁT TIẾN ĐỘ VÀ CHẤT LƯỢNG</t>
        </is>
      </c>
      <c r="D9073" t="inlineStr">
        <is>
          <t>Công Ty Cổ Phần Eurowindow</t>
        </is>
      </c>
      <c r="E9073" t="inlineStr">
        <is>
          <t>Lương:12 Tr - 16 Tr VND</t>
        </is>
      </c>
      <c r="F9073" t="inlineStr">
        <is>
          <t>Hồ Chí Minh</t>
        </is>
      </c>
      <c r="G9073" t="inlineStr">
        <is>
          <t>15-03-2026</t>
        </is>
      </c>
      <c r="H9073" t="inlineStr">
        <is>
          <t>08/03/2026</t>
        </is>
      </c>
      <c r="I9073" t="inlineStr">
        <is>
          <t>17/03/2026</t>
        </is>
      </c>
      <c r="J9073" t="inlineStr">
        <is>
          <t>Kiến trúc, Xây dựng, Quản lý chất lượng (QA/QC)</t>
        </is>
      </c>
      <c r="K9073" t="inlineStr">
        <is>
          <t>1 - 2 Năm</t>
        </is>
      </c>
      <c r="L9073" s="8">
        <f>HYPERLINK("https://careerviet.vn/vi/tim-viec-lam/nhan-vien-kiem-soat-tien-do-va-chat-luong.35C6B958.html","Xem chi tiết")</f>
        <v/>
      </c>
    </row>
    <row r="9074">
      <c r="B9074" s="9" t="n">
        <v>9072</v>
      </c>
      <c r="C9074" s="10" t="inlineStr">
        <is>
          <t>[Quảng Ninh] Chuyên Viên Tư Vấn Trả Góp Ô Tô</t>
        </is>
      </c>
      <c r="D9074" s="10" t="inlineStr">
        <is>
          <t>Công Ty Tài Chính Mirae Asset (Việt Nam)</t>
        </is>
      </c>
      <c r="E9074" s="10" t="inlineStr">
        <is>
          <t>Lương:17 Tr - 30 Tr VND</t>
        </is>
      </c>
      <c r="F9074" s="10" t="inlineStr">
        <is>
          <t>Quảng NinhKV Bắc Trung Bộ</t>
        </is>
      </c>
      <c r="G9074" s="10" t="inlineStr">
        <is>
          <t>08-04-2026</t>
        </is>
      </c>
      <c r="H9074" s="10" t="inlineStr">
        <is>
          <t>08/04/2026</t>
        </is>
      </c>
      <c r="I9074" s="10" t="inlineStr">
        <is>
          <t>17/03/2026</t>
        </is>
      </c>
      <c r="J9074" s="10" t="inlineStr">
        <is>
          <t>Bán lẻ / Bán sỉ, Bán hàng / Kinh doanh, Tài chính / Đầu tư</t>
        </is>
      </c>
      <c r="K9074" s="10" t="inlineStr">
        <is>
          <t>2 - 3 Năm</t>
        </is>
      </c>
      <c r="L9074" s="11">
        <f>HYPERLINK("https://careerviet.vn/vi/tim-viec-lam/quang-ninh-chuyen-vien-tu-van-tra-gop-o-to.35C6BA23.html","Xem chi tiết")</f>
        <v/>
      </c>
      <c r="M9074" s="10" t="n"/>
    </row>
    <row r="9075">
      <c r="B9075" s="7" t="n">
        <v>9073</v>
      </c>
      <c r="C9075" t="inlineStr">
        <is>
          <t>Nhân Viên Kỹ Thuật (Bảo trì, bảo dưỡng kho xưởng)</t>
        </is>
      </c>
      <c r="D9075" t="inlineStr">
        <is>
          <t>CÔNG TY CỔ PHẦN VĨNH QUANG</t>
        </is>
      </c>
      <c r="E9075" t="inlineStr">
        <is>
          <t>Lương:11 Tr - 15 Tr VND</t>
        </is>
      </c>
      <c r="F9075" t="inlineStr">
        <is>
          <t>Hồ Chí Minh</t>
        </is>
      </c>
      <c r="G9075" t="inlineStr">
        <is>
          <t>07-04-2026</t>
        </is>
      </c>
      <c r="H9075" t="inlineStr">
        <is>
          <t>07/04/2026</t>
        </is>
      </c>
      <c r="I9075" t="inlineStr">
        <is>
          <t>17/03/2026</t>
        </is>
      </c>
      <c r="J9075" t="inlineStr">
        <is>
          <t>Xây dựng, Điện / Điện tử / Điện lạnh / Điện công nghiệp, Bảo trì / Sửa chữa</t>
        </is>
      </c>
      <c r="K9075" t="inlineStr">
        <is>
          <t>1 - 3 Năm</t>
        </is>
      </c>
      <c r="L9075" s="8">
        <f>HYPERLINK("https://careerviet.vn/vi/tim-viec-lam/nhan-vien-ky-thuat-bao-tri-bao-duong-kho-xuong.35C6B761.html","Xem chi tiết")</f>
        <v/>
      </c>
    </row>
    <row r="9076">
      <c r="B9076" s="9" t="n">
        <v>9074</v>
      </c>
      <c r="C9076" s="10" t="inlineStr">
        <is>
          <t>Chuyên viên chính/Chuyên viên cao cấp Đầu tư tài chính - Khối Ngân hàng đầu tư</t>
        </is>
      </c>
      <c r="D9076" s="10" t="inlineStr">
        <is>
          <t>Ngân Hàng TMCP Sài Gòn - Hà Nội ( SHB )</t>
        </is>
      </c>
      <c r="E9076" s="10" t="inlineStr">
        <is>
          <t>Lương:Cạnh tranh</t>
        </is>
      </c>
      <c r="F9076" s="10" t="inlineStr">
        <is>
          <t>Hà Nội</t>
        </is>
      </c>
      <c r="G9076" s="10" t="inlineStr">
        <is>
          <t>06-04-2026</t>
        </is>
      </c>
      <c r="H9076" s="10" t="inlineStr">
        <is>
          <t>06/04/2026</t>
        </is>
      </c>
      <c r="I9076" s="10" t="inlineStr">
        <is>
          <t>17/03/2026</t>
        </is>
      </c>
      <c r="J9076" s="10" t="inlineStr">
        <is>
          <t>Ngân hàng, Tài chính / Đầu tư</t>
        </is>
      </c>
      <c r="K9076" s="10" t="inlineStr">
        <is>
          <t>Trên 2 Năm</t>
        </is>
      </c>
      <c r="L9076" s="11">
        <f>HYPERLINK("https://careerviet.vn/vi/tim-viec-lam/chuyen-vien-chinh-chuyen-vien-cao-cap-dau-tu-tai-chinh-khoi-ngan-hang-dau-tu.35C6B6DB.html","Xem chi tiết")</f>
        <v/>
      </c>
      <c r="M9076" s="10" t="n"/>
    </row>
    <row r="9077">
      <c r="B9077" s="7" t="n">
        <v>9075</v>
      </c>
      <c r="C9077" t="inlineStr">
        <is>
          <t>Chuyên gia Nghiên cứu thị trường</t>
        </is>
      </c>
      <c r="D9077" t="inlineStr">
        <is>
          <t>Ngân Hàng TMCP Sài Gòn - Hà Nội ( SHB )</t>
        </is>
      </c>
      <c r="E9077" t="inlineStr">
        <is>
          <t>Lương:Cạnh tranh</t>
        </is>
      </c>
      <c r="F9077" t="inlineStr">
        <is>
          <t>Hà Nội</t>
        </is>
      </c>
      <c r="G9077" t="inlineStr">
        <is>
          <t>06-04-2026</t>
        </is>
      </c>
      <c r="H9077" t="inlineStr">
        <is>
          <t>06/04/2026</t>
        </is>
      </c>
      <c r="I9077" t="inlineStr">
        <is>
          <t>17/03/2026</t>
        </is>
      </c>
      <c r="J9077" t="inlineStr">
        <is>
          <t>Ngân hàng, Tài chính / Đầu tư</t>
        </is>
      </c>
      <c r="K9077" t="inlineStr">
        <is>
          <t>4 - 5 Năm</t>
        </is>
      </c>
      <c r="L9077" s="8">
        <f>HYPERLINK("https://careerviet.vn/vi/tim-viec-lam/chuyen-gia-nghien-cuu-thi-truong.35C6B6D4.html","Xem chi tiết")</f>
        <v/>
      </c>
    </row>
    <row r="9078">
      <c r="B9078" s="9" t="n">
        <v>9076</v>
      </c>
      <c r="C9078" s="10" t="inlineStr">
        <is>
          <t>Quản Lý Cửa Hàng Âu Cơ,Tân Phú -HCM</t>
        </is>
      </c>
      <c r="D9078" s="10" t="inlineStr">
        <is>
          <t>Công ty Cổ phần IntelLife</t>
        </is>
      </c>
      <c r="E9078" s="10" t="inlineStr">
        <is>
          <t>Lương:10 Tr - 15 Tr VND</t>
        </is>
      </c>
      <c r="F9078" s="10" t="inlineStr">
        <is>
          <t>Hồ Chí Minh</t>
        </is>
      </c>
      <c r="G9078" s="10" t="inlineStr">
        <is>
          <t>08-04-2026</t>
        </is>
      </c>
      <c r="H9078" s="10" t="inlineStr">
        <is>
          <t>08/04/2026</t>
        </is>
      </c>
      <c r="I9078" s="10" t="inlineStr">
        <is>
          <t>17/03/2026</t>
        </is>
      </c>
      <c r="J9078" s="10" t="inlineStr">
        <is>
          <t>Bán lẻ / Bán sỉ, Bán hàng / Kinh doanh, Dệt may / Da giày / Thời trang</t>
        </is>
      </c>
      <c r="K9078" s="10" t="inlineStr">
        <is>
          <t>1 - 2 Năm</t>
        </is>
      </c>
      <c r="L9078" s="11">
        <f>HYPERLINK("https://careerviet.vn/vi/tim-viec-lam/quan-ly-cua-hang-au-co-tan-phu-hcm.35C6B89B.html","Xem chi tiết")</f>
        <v/>
      </c>
      <c r="M9078" s="10" t="n"/>
    </row>
    <row r="9079">
      <c r="B9079" s="7" t="n">
        <v>9077</v>
      </c>
      <c r="C9079" t="inlineStr">
        <is>
          <t>Trợ Lý Giám Đốc Kinh Doanh</t>
        </is>
      </c>
      <c r="D9079" t="inlineStr">
        <is>
          <t>Công Ty TNHH Thương Mại Xuất Nhập Khẩu Fani</t>
        </is>
      </c>
      <c r="E9079" t="inlineStr">
        <is>
          <t>Lương:25 Tr - 30 Tr VND</t>
        </is>
      </c>
      <c r="F9079" t="inlineStr">
        <is>
          <t>Hà Nội</t>
        </is>
      </c>
      <c r="G9079" t="inlineStr">
        <is>
          <t>09-04-2026</t>
        </is>
      </c>
      <c r="H9079" t="inlineStr">
        <is>
          <t>09/04/2026</t>
        </is>
      </c>
      <c r="I9079" t="inlineStr">
        <is>
          <t>17/03/2026</t>
        </is>
      </c>
      <c r="J9079" t="inlineStr">
        <is>
          <t>N/A</t>
        </is>
      </c>
      <c r="K9079" t="inlineStr">
        <is>
          <t>N/A</t>
        </is>
      </c>
      <c r="L9079" s="8">
        <f>HYPERLINK("https://careerviet.vn/vi/tim-viec-lam/tro-ly-giam-doc-kinh-doanh.35C6B9BD.html","Xem chi tiết")</f>
        <v/>
      </c>
    </row>
    <row r="9080">
      <c r="B9080" s="9" t="n">
        <v>9078</v>
      </c>
      <c r="C9080" s="10" t="inlineStr">
        <is>
          <t>LẬP KẾ HOẠCH CHO GAME - GAME DESIGNER</t>
        </is>
      </c>
      <c r="D9080" s="10" t="inlineStr">
        <is>
          <t>Koei Tecmo Software Vietnam</t>
        </is>
      </c>
      <c r="E9080" s="10" t="inlineStr">
        <is>
          <t>Lương:Cạnh tranh</t>
        </is>
      </c>
      <c r="F9080" s="10" t="inlineStr">
        <is>
          <t>Hà Nội</t>
        </is>
      </c>
      <c r="G9080" s="10" t="inlineStr">
        <is>
          <t>30-03-2026</t>
        </is>
      </c>
      <c r="H9080" s="10" t="inlineStr">
        <is>
          <t>30/03/2026</t>
        </is>
      </c>
      <c r="I9080" s="10" t="inlineStr">
        <is>
          <t>17/03/2026</t>
        </is>
      </c>
      <c r="J9080" s="10" t="inlineStr">
        <is>
          <t>CNTT - Phần mềm, Mỹ thuật / Nghệ thuật / Thiết kế, Biên phiên dịch</t>
        </is>
      </c>
      <c r="K9080" s="10" t="inlineStr">
        <is>
          <t>Chưa có kinh nghiệm</t>
        </is>
      </c>
      <c r="L9080" s="11">
        <f>HYPERLINK("https://careerviet.vn/vi/tim-viec-lam/lap-ke-hoach-cho-game-game-designer.35C6B703.html","Xem chi tiết")</f>
        <v/>
      </c>
      <c r="M9080" s="10" t="n"/>
    </row>
    <row r="9081">
      <c r="B9081" s="7" t="n">
        <v>9079</v>
      </c>
      <c r="C9081" t="inlineStr">
        <is>
          <t>Nhân Viên Kinh Doanh Nội Thất Tại Quận 3 - Không yêu cầu kinh nghiệm</t>
        </is>
      </c>
      <c r="D9081" t="inlineStr">
        <is>
          <t>Công Ty TNHH Tập Đoàn Rita Võ</t>
        </is>
      </c>
      <c r="E9081" t="inlineStr">
        <is>
          <t>Lương:8 Tr - 20 Tr VND</t>
        </is>
      </c>
      <c r="F9081" t="inlineStr">
        <is>
          <t>Hồ Chí Minh</t>
        </is>
      </c>
      <c r="G9081" t="inlineStr">
        <is>
          <t>06-04-2026</t>
        </is>
      </c>
      <c r="H9081" t="inlineStr">
        <is>
          <t>06/04/2026</t>
        </is>
      </c>
      <c r="I9081" t="inlineStr">
        <is>
          <t>17/03/2026</t>
        </is>
      </c>
      <c r="J9081" t="inlineStr">
        <is>
          <t>Bán lẻ / Bán sỉ, Bán hàng / Kinh doanh, Nội ngoại thất</t>
        </is>
      </c>
      <c r="K9081" t="inlineStr">
        <is>
          <t>N/A</t>
        </is>
      </c>
      <c r="L9081" s="8">
        <f>HYPERLINK("https://careerviet.vn/vi/tim-viec-lam/nhan-vien-kinh-doanh-noi-that-tai-quan-3-khong-yeu-cau-kinh-nghiem.35C6B96A.html","Xem chi tiết")</f>
        <v/>
      </c>
    </row>
    <row r="9082">
      <c r="B9082" s="9" t="n">
        <v>9080</v>
      </c>
      <c r="C9082" s="10" t="inlineStr">
        <is>
          <t>Chuyên viên C&amp;B</t>
        </is>
      </c>
      <c r="D9082" s="10" t="inlineStr">
        <is>
          <t>Công Ty TNHH Thương Mại Xuất Nhập Khẩu Fani</t>
        </is>
      </c>
      <c r="E9082" s="10" t="inlineStr">
        <is>
          <t>Lương:13 Tr - 15 Tr VND</t>
        </is>
      </c>
      <c r="F9082" s="10" t="inlineStr">
        <is>
          <t>Hà Nội</t>
        </is>
      </c>
      <c r="G9082" s="10" t="inlineStr">
        <is>
          <t>30-04-2026</t>
        </is>
      </c>
      <c r="H9082" s="10" t="inlineStr">
        <is>
          <t>30/04/2026</t>
        </is>
      </c>
      <c r="I9082" s="10" t="inlineStr">
        <is>
          <t>17/03/2026</t>
        </is>
      </c>
      <c r="J9082" s="10" t="inlineStr">
        <is>
          <t>Nhân sự</t>
        </is>
      </c>
      <c r="K9082" s="10" t="inlineStr">
        <is>
          <t>2 - 3 Năm</t>
        </is>
      </c>
      <c r="L9082" s="11">
        <f>HYPERLINK("https://careerviet.vn/vi/tim-viec-lam/chuyen-vien-c-b.35C6B90C.html","Xem chi tiết")</f>
        <v/>
      </c>
      <c r="M9082" s="10" t="n"/>
    </row>
    <row r="9083">
      <c r="B9083" s="7" t="n">
        <v>9081</v>
      </c>
      <c r="C9083" t="inlineStr">
        <is>
          <t>Nhân viên Lập Trình vận hành CNC gỗ</t>
        </is>
      </c>
      <c r="D9083" t="inlineStr">
        <is>
          <t>H. Nicholas &amp; Co Joint Stock Company</t>
        </is>
      </c>
      <c r="E9083" t="inlineStr">
        <is>
          <t>Lương:Trên 12 Tr VND</t>
        </is>
      </c>
      <c r="F9083" t="inlineStr">
        <is>
          <t>Bình Dương</t>
        </is>
      </c>
      <c r="G9083" t="inlineStr">
        <is>
          <t>15-03-2026</t>
        </is>
      </c>
      <c r="H9083" t="inlineStr">
        <is>
          <t>10/03/2026</t>
        </is>
      </c>
      <c r="I9083" t="inlineStr">
        <is>
          <t>17/03/2026</t>
        </is>
      </c>
      <c r="J9083" t="inlineStr">
        <is>
          <t>Cơ khí / Ô tô / Tự động hóa, Sản xuất / Vận hành sản xuất, Đồ gỗ</t>
        </is>
      </c>
      <c r="K9083" t="inlineStr">
        <is>
          <t>1 - 5 Năm</t>
        </is>
      </c>
      <c r="L9083" s="8">
        <f>HYPERLINK("https://careerviet.vn/vi/tim-viec-lam/nhan-vien-lap-trinh-van-hanh-cnc-go.35C6B742.html","Xem chi tiết")</f>
        <v/>
      </c>
    </row>
    <row r="9084">
      <c r="B9084" s="9" t="n">
        <v>9082</v>
      </c>
      <c r="C9084" s="10" t="inlineStr">
        <is>
          <t>Chuyên viên cao cấp Quản trị dữ liệu và Phát triển báo cáo KHDN</t>
        </is>
      </c>
      <c r="D9084" s="10" t="inlineStr">
        <is>
          <t>Ngân Hàng TMCP Sài Gòn - Hà Nội ( SHB )</t>
        </is>
      </c>
      <c r="E9084" s="10" t="inlineStr">
        <is>
          <t>Lương:Cạnh tranh</t>
        </is>
      </c>
      <c r="F9084" s="10" t="inlineStr">
        <is>
          <t>Hà Nội</t>
        </is>
      </c>
      <c r="G9084" s="10" t="inlineStr">
        <is>
          <t>06-04-2026</t>
        </is>
      </c>
      <c r="H9084" s="10" t="inlineStr">
        <is>
          <t>06/04/2026</t>
        </is>
      </c>
      <c r="I9084" s="10" t="inlineStr">
        <is>
          <t>17/03/2026</t>
        </is>
      </c>
      <c r="J9084" s="10" t="inlineStr">
        <is>
          <t>Dịch vụ khách hàng, Ngân hàng, Bán hàng / Kinh doanh</t>
        </is>
      </c>
      <c r="K9084" s="10" t="inlineStr">
        <is>
          <t>Trên 3 Năm</t>
        </is>
      </c>
      <c r="L9084" s="11">
        <f>HYPERLINK("https://careerviet.vn/vi/tim-viec-lam/chuyen-vien-cao-cap-quan-tri-du-lieu-va-phat-trien-bao-cao-khdn.35C6B6F5.html","Xem chi tiết")</f>
        <v/>
      </c>
      <c r="M9084" s="10" t="n"/>
    </row>
    <row r="9085">
      <c r="B9085" s="7" t="n">
        <v>9083</v>
      </c>
      <c r="C9085" t="inlineStr">
        <is>
          <t>General Accountant</t>
        </is>
      </c>
      <c r="D9085" t="inlineStr">
        <is>
          <t>CÔNG TY TNHH HYUNDAI ELEVATOR VIỆT NAM</t>
        </is>
      </c>
      <c r="E9085" t="inlineStr">
        <is>
          <t>Lương:Cạnh tranh</t>
        </is>
      </c>
      <c r="F9085" t="inlineStr">
        <is>
          <t>Hà Nội</t>
        </is>
      </c>
      <c r="G9085" t="inlineStr">
        <is>
          <t>30-04-2026</t>
        </is>
      </c>
      <c r="H9085" t="inlineStr">
        <is>
          <t>30/04/2026</t>
        </is>
      </c>
      <c r="I9085" t="inlineStr">
        <is>
          <t>17/03/2026</t>
        </is>
      </c>
      <c r="J9085" t="inlineStr">
        <is>
          <t>Kế toán / Kiểm toán, Tài chính / Đầu tư, Điện / Điện tử / Điện lạnh / Điện công nghiệp</t>
        </is>
      </c>
      <c r="K9085" t="inlineStr">
        <is>
          <t>3 - 7 Năm</t>
        </is>
      </c>
      <c r="L9085" s="8">
        <f>HYPERLINK("https://careerviet.vn/vi/tim-viec-lam/general-accountant.35C6B6C5.html","Xem chi tiết")</f>
        <v/>
      </c>
    </row>
    <row r="9086">
      <c r="B9086" s="9" t="n">
        <v>9084</v>
      </c>
      <c r="C9086" s="10" t="inlineStr">
        <is>
          <t>Chuyên viên Quan hệ Khách hàng Cá nhân (Toàn quốc)</t>
        </is>
      </c>
      <c r="D9086" s="10" t="inlineStr">
        <is>
          <t>Ngân Hàng TMCP Sài Gòn - Hà Nội ( SHB )</t>
        </is>
      </c>
      <c r="E9086" s="10" t="inlineStr">
        <is>
          <t>Lương:Cạnh tranh</t>
        </is>
      </c>
      <c r="F9086" s="10" t="inlineStr">
        <is>
          <t>Khánh HòaCần ThơBắc Giang</t>
        </is>
      </c>
      <c r="G9086" s="10" t="inlineStr">
        <is>
          <t>06-04-2026</t>
        </is>
      </c>
      <c r="H9086" s="10" t="inlineStr">
        <is>
          <t>06/04/2026</t>
        </is>
      </c>
      <c r="I9086" s="10" t="inlineStr">
        <is>
          <t>17/03/2026</t>
        </is>
      </c>
      <c r="J9086" s="10" t="inlineStr">
        <is>
          <t>Ngân hàng, Bán hàng / Kinh doanh</t>
        </is>
      </c>
      <c r="K9086" s="10" t="inlineStr">
        <is>
          <t>N/A</t>
        </is>
      </c>
      <c r="L9086" s="11">
        <f>HYPERLINK("https://careerviet.vn/vi/tim-viec-lam/chuyen-vien-quan-he-khach-hang-ca-nhan-toan-quoc.35C6B6FF.html","Xem chi tiết")</f>
        <v/>
      </c>
      <c r="M9086" s="10" t="n"/>
    </row>
    <row r="9087">
      <c r="B9087" s="7" t="n">
        <v>9085</v>
      </c>
      <c r="C9087" t="inlineStr">
        <is>
          <t>Chuyên viên Tư vấn Tài chính cá nhân</t>
        </is>
      </c>
      <c r="D9087" t="inlineStr">
        <is>
          <t>Ngân Hàng TMCP Sài Gòn - Hà Nội ( SHB )</t>
        </is>
      </c>
      <c r="E9087" t="inlineStr">
        <is>
          <t>Lương:Cạnh tranh</t>
        </is>
      </c>
      <c r="F9087" t="inlineStr">
        <is>
          <t>Lạng Sơn</t>
        </is>
      </c>
      <c r="G9087" t="inlineStr">
        <is>
          <t>06-04-2026</t>
        </is>
      </c>
      <c r="H9087" t="inlineStr">
        <is>
          <t>06/04/2026</t>
        </is>
      </c>
      <c r="I9087" t="inlineStr">
        <is>
          <t>17/03/2026</t>
        </is>
      </c>
      <c r="J9087" t="inlineStr">
        <is>
          <t>Dịch vụ khách hàng, Ngân hàng, Tài chính / Đầu tư</t>
        </is>
      </c>
      <c r="K9087" t="inlineStr">
        <is>
          <t>Trên 2 Năm</t>
        </is>
      </c>
      <c r="L9087" s="8">
        <f>HYPERLINK("https://careerviet.vn/vi/tim-viec-lam/chuyen-vien-tu-van-tai-chinh-ca-nhan.35C6B6E0.html","Xem chi tiết")</f>
        <v/>
      </c>
    </row>
    <row r="9088">
      <c r="B9088" s="9" t="n">
        <v>9086</v>
      </c>
      <c r="C9088" s="10" t="inlineStr">
        <is>
          <t>Trưởng ban Quản lý &amp; Phát triển Chuỗi cửa hàng</t>
        </is>
      </c>
      <c r="D9088" s="10" t="inlineStr">
        <is>
          <t>Công ty Cổ phần Đầu tư Thương mại Kỹ thuật A&amp;T Việt Nam</t>
        </is>
      </c>
      <c r="E9088" s="10" t="inlineStr">
        <is>
          <t>Lương:Cạnh tranh</t>
        </is>
      </c>
      <c r="F9088" s="10" t="inlineStr">
        <is>
          <t>Hà Nội</t>
        </is>
      </c>
      <c r="G9088" s="10" t="inlineStr">
        <is>
          <t>30-03-2026</t>
        </is>
      </c>
      <c r="H9088" s="10" t="inlineStr">
        <is>
          <t>30/03/2026</t>
        </is>
      </c>
      <c r="I9088" s="10" t="inlineStr">
        <is>
          <t>17/03/2026</t>
        </is>
      </c>
      <c r="J9088" s="10" t="inlineStr">
        <is>
          <t>Kiến trúc, Xây dựng, Bất động sản</t>
        </is>
      </c>
      <c r="K9088" s="10" t="inlineStr">
        <is>
          <t>5 - 8 Năm</t>
        </is>
      </c>
      <c r="L9088" s="11">
        <f>HYPERLINK("https://careerviet.vn/vi/tim-viec-lam/truong-ban-quan-ly-phat-trien-chuoi-cua-hang.35C6B988.html","Xem chi tiết")</f>
        <v/>
      </c>
      <c r="M9088" s="10" t="n"/>
    </row>
    <row r="9089">
      <c r="B9089" s="7" t="n">
        <v>9087</v>
      </c>
      <c r="C9089" t="inlineStr">
        <is>
          <t>Trưởng phòng kinh doanh mảng FDI và Môi giới tại VBI Hà Nội</t>
        </is>
      </c>
      <c r="D9089" t="inlineStr">
        <is>
          <t>Tổng Công Ty Cổ Phần Bảo Hiểm Ngân Hàng TMCP Công Thương Việt Nam</t>
        </is>
      </c>
      <c r="E9089" t="inlineStr">
        <is>
          <t>Lương:Cạnh tranh</t>
        </is>
      </c>
      <c r="F9089" t="inlineStr">
        <is>
          <t>Hà Nội</t>
        </is>
      </c>
      <c r="G9089" t="inlineStr">
        <is>
          <t>29-04-2026</t>
        </is>
      </c>
      <c r="H9089" t="inlineStr">
        <is>
          <t>29/04/2026</t>
        </is>
      </c>
      <c r="I9089" t="inlineStr">
        <is>
          <t>17/03/2026</t>
        </is>
      </c>
      <c r="J9089" t="inlineStr">
        <is>
          <t>Ngân hàng, Bảo hiểm, Bán hàng / Kinh doanh</t>
        </is>
      </c>
      <c r="K9089" t="inlineStr">
        <is>
          <t>2 - 10 Năm</t>
        </is>
      </c>
      <c r="L9089" s="8">
        <f>HYPERLINK("https://careerviet.vn/vi/tim-viec-lam/truong-phong-kinh-doanh-mang-fdi-va-moi-gioi-tai-vbi-ha-noi.35C6B755.html","Xem chi tiết")</f>
        <v/>
      </c>
    </row>
    <row r="9090">
      <c r="B9090" s="9" t="n">
        <v>9088</v>
      </c>
      <c r="C9090" s="10" t="inlineStr">
        <is>
          <t>Nhân Viên Media (Chụp ảnh Newborn)</t>
        </is>
      </c>
      <c r="D9090" s="10" t="inlineStr">
        <is>
          <t>CHI NHÁNH CÔNG TY CỔ PHẦN Y HỌC VĨNH THIỆN- BỆNH VIỆN ĐẠI HỌC PHENIKAA</t>
        </is>
      </c>
      <c r="E9090" s="10" t="inlineStr">
        <is>
          <t>Lương:10 Tr - 15 Tr VND</t>
        </is>
      </c>
      <c r="F9090" s="10" t="inlineStr">
        <is>
          <t>Hà Nội</t>
        </is>
      </c>
      <c r="G9090" s="10" t="inlineStr">
        <is>
          <t>09-04-2026</t>
        </is>
      </c>
      <c r="H9090" s="10" t="inlineStr">
        <is>
          <t>09/04/2026</t>
        </is>
      </c>
      <c r="I9090" s="10" t="inlineStr">
        <is>
          <t>17/03/2026</t>
        </is>
      </c>
      <c r="J9090" s="10" t="inlineStr">
        <is>
          <t>Mỹ thuật / Nghệ thuật / Thiết kế, Truyền hình / Báo chí / Biên tập, Y tế / Chăm sóc sức khỏe / Thẩm mỹ / Làm đẹp</t>
        </is>
      </c>
      <c r="K9090" s="10" t="inlineStr">
        <is>
          <t>2 - 5 Năm</t>
        </is>
      </c>
      <c r="L9090" s="11">
        <f>HYPERLINK("https://careerviet.vn/vi/tim-viec-lam/nhan-vien-media-chup-anh-newborn.35C6B9BC.html","Xem chi tiết")</f>
        <v/>
      </c>
      <c r="M9090" s="10" t="n"/>
    </row>
    <row r="9091">
      <c r="B9091" s="7" t="n">
        <v>9089</v>
      </c>
      <c r="C9091" t="inlineStr">
        <is>
          <t>Kế Toán Tổng Hợp</t>
        </is>
      </c>
      <c r="D9091" t="inlineStr">
        <is>
          <t>CÔNG TY CỔ PHẦN Ô TÔ NHẬT THÀNH</t>
        </is>
      </c>
      <c r="E9091" t="inlineStr">
        <is>
          <t>Lương:8 Tr - 12 Tr VND</t>
        </is>
      </c>
      <c r="F9091" t="inlineStr">
        <is>
          <t>Hà Nội</t>
        </is>
      </c>
      <c r="G9091" t="inlineStr">
        <is>
          <t>08-04-2026</t>
        </is>
      </c>
      <c r="H9091" t="inlineStr">
        <is>
          <t>08/04/2026</t>
        </is>
      </c>
      <c r="I9091" t="inlineStr">
        <is>
          <t>17/03/2026</t>
        </is>
      </c>
      <c r="J9091" t="inlineStr">
        <is>
          <t>Kế toán / Kiểm toán, Tài chính / Đầu tư, Luật / Pháp lý</t>
        </is>
      </c>
      <c r="K9091" t="inlineStr">
        <is>
          <t>Trên 2 Năm</t>
        </is>
      </c>
      <c r="L9091" s="8">
        <f>HYPERLINK("https://careerviet.vn/vi/tim-viec-lam/ke-toan-tong-hop.35C6B9AD.html","Xem chi tiết")</f>
        <v/>
      </c>
    </row>
    <row r="9092">
      <c r="B9092" s="9" t="n">
        <v>9090</v>
      </c>
      <c r="C9092" s="10" t="inlineStr">
        <is>
          <t>TRƯỞNG PHÒNG KINH DOANH</t>
        </is>
      </c>
      <c r="D9092" s="10" t="inlineStr">
        <is>
          <t>CÔNG TY CỔ PHẦN DEWOO VIỆT NAM</t>
        </is>
      </c>
      <c r="E9092" s="10" t="inlineStr">
        <is>
          <t>Lương:Cạnh tranh</t>
        </is>
      </c>
      <c r="F9092" s="10" t="inlineStr">
        <is>
          <t>Bình DươngHồ Chí Minh</t>
        </is>
      </c>
      <c r="G9092" s="10" t="inlineStr">
        <is>
          <t>09-04-2026</t>
        </is>
      </c>
      <c r="H9092" s="10" t="inlineStr">
        <is>
          <t>09/04/2026</t>
        </is>
      </c>
      <c r="I9092" s="10" t="inlineStr">
        <is>
          <t>17/03/2026</t>
        </is>
      </c>
      <c r="J9092" s="10" t="inlineStr">
        <is>
          <t>Bán hàng / Kinh doanh, Đồ gỗ, Nội ngoại thất</t>
        </is>
      </c>
      <c r="K9092" s="10" t="inlineStr">
        <is>
          <t>3 - 5 Năm</t>
        </is>
      </c>
      <c r="L9092" s="11">
        <f>HYPERLINK("https://careerviet.vn/vi/tim-viec-lam/truong-phong-kinh-doanh.35C6B785.html","Xem chi tiết")</f>
        <v/>
      </c>
      <c r="M9092" s="10" t="n"/>
    </row>
    <row r="9093">
      <c r="B9093" s="7" t="n">
        <v>9091</v>
      </c>
      <c r="C9093" t="inlineStr">
        <is>
          <t>KẾ TOÁN GIÁ VỐN - QUẬN 7</t>
        </is>
      </c>
      <c r="D9093" t="inlineStr">
        <is>
          <t>Công Ty Cổ Phần Tầm Nhìn Quốc Tế Aladdin</t>
        </is>
      </c>
      <c r="E9093" t="inlineStr">
        <is>
          <t>Lương:Cạnh tranh</t>
        </is>
      </c>
      <c r="F9093" t="inlineStr">
        <is>
          <t>Hồ Chí Minh</t>
        </is>
      </c>
      <c r="G9093" t="inlineStr">
        <is>
          <t>09-04-2026</t>
        </is>
      </c>
      <c r="H9093" t="inlineStr">
        <is>
          <t>09/04/2026</t>
        </is>
      </c>
      <c r="I9093" t="inlineStr">
        <is>
          <t>17/03/2026</t>
        </is>
      </c>
      <c r="J9093" t="inlineStr">
        <is>
          <t>Thực phẩm &amp; Đồ uống, Nhà hàng / Khách sạn, Kế toán / Kiểm toán</t>
        </is>
      </c>
      <c r="K9093" t="inlineStr">
        <is>
          <t>1 - 2 Năm</t>
        </is>
      </c>
      <c r="L9093" s="8">
        <f>HYPERLINK("https://careerviet.vn/vi/tim-viec-lam/ke-toan-gia-von-quan-7.35C6B883.html","Xem chi tiết")</f>
        <v/>
      </c>
    </row>
    <row r="9094">
      <c r="B9094" s="9" t="n">
        <v>9092</v>
      </c>
      <c r="C9094" s="10" t="inlineStr">
        <is>
          <t>Operations Support Specialist (Nhân Viên Hỗ Trợ Sản Xuất)</t>
        </is>
      </c>
      <c r="D9094" s="10" t="inlineStr">
        <is>
          <t>SAMTEC VIETNAM COMPANY LIMITED</t>
        </is>
      </c>
      <c r="E9094" s="10" t="inlineStr">
        <is>
          <t>Lương:Cạnh tranh</t>
        </is>
      </c>
      <c r="F9094" s="10" t="inlineStr">
        <is>
          <t>Đồng Nai</t>
        </is>
      </c>
      <c r="G9094" s="10" t="inlineStr">
        <is>
          <t>10-04-2026</t>
        </is>
      </c>
      <c r="H9094" s="10" t="inlineStr">
        <is>
          <t>10/04/2026</t>
        </is>
      </c>
      <c r="I9094" s="10" t="inlineStr">
        <is>
          <t>17/03/2026</t>
        </is>
      </c>
      <c r="J9094" s="10" t="inlineStr">
        <is>
          <t>Cơ khí / Ô tô / Tự động hóa, Điện / Điện tử / Điện lạnh / Điện công nghiệp, Sản xuất / Vận hành sản xuất</t>
        </is>
      </c>
      <c r="K9094" s="10" t="inlineStr">
        <is>
          <t>N/A</t>
        </is>
      </c>
      <c r="L9094" s="11">
        <f>HYPERLINK("https://careerviet.vn/vi/tim-viec-lam/operations-support-specialist-nhan-vien-ho-tro-san-xuat.35C6B82A.html","Xem chi tiết")</f>
        <v/>
      </c>
      <c r="M9094" s="10" t="n"/>
    </row>
    <row r="9095">
      <c r="B9095" s="7" t="n">
        <v>9093</v>
      </c>
      <c r="C9095" t="inlineStr">
        <is>
          <t>Nhân viên lễ tân</t>
        </is>
      </c>
      <c r="D9095" t="inlineStr">
        <is>
          <t>Tập Đoàn Tân Á Đại Thành</t>
        </is>
      </c>
      <c r="E9095" t="inlineStr">
        <is>
          <t>Lương:Trên 7 Tr VND</t>
        </is>
      </c>
      <c r="F9095" t="inlineStr">
        <is>
          <t>Hà Nội</t>
        </is>
      </c>
      <c r="G9095" t="inlineStr">
        <is>
          <t>10-04-2026</t>
        </is>
      </c>
      <c r="H9095" t="inlineStr">
        <is>
          <t>10/04/2026</t>
        </is>
      </c>
      <c r="I9095" t="inlineStr">
        <is>
          <t>17/03/2026</t>
        </is>
      </c>
      <c r="J9095" t="inlineStr">
        <is>
          <t>Hành chính / Thư ký, Nhân sự, Nhà hàng / Khách sạn</t>
        </is>
      </c>
      <c r="K9095" t="inlineStr">
        <is>
          <t>N/A</t>
        </is>
      </c>
      <c r="L9095" s="8">
        <f>HYPERLINK("https://careerviet.vn/vi/tim-viec-lam/nhan-vien-le-tan.35C6B92A.html","Xem chi tiết")</f>
        <v/>
      </c>
    </row>
    <row r="9096">
      <c r="B9096" s="9" t="n">
        <v>9094</v>
      </c>
      <c r="C9096" s="10" t="inlineStr">
        <is>
          <t>Chuyên Viên Digital Marketing</t>
        </is>
      </c>
      <c r="D9096" s="10" t="inlineStr">
        <is>
          <t>Công Ty Cổ Phần Kềm Nghĩa</t>
        </is>
      </c>
      <c r="E9096" s="10" t="inlineStr">
        <is>
          <t>Lương:16 Tr - 20 Tr VND</t>
        </is>
      </c>
      <c r="F9096" s="10" t="inlineStr">
        <is>
          <t>Hồ Chí Minh</t>
        </is>
      </c>
      <c r="G9096" s="10" t="inlineStr">
        <is>
          <t>08-04-2026</t>
        </is>
      </c>
      <c r="H9096" s="10" t="inlineStr">
        <is>
          <t>08/04/2026</t>
        </is>
      </c>
      <c r="I9096" s="10" t="inlineStr">
        <is>
          <t>17/03/2026</t>
        </is>
      </c>
      <c r="J9096" s="10" t="inlineStr">
        <is>
          <t>Tiếp thị / Marketing, Tiếp thị trực tuyến, Quảng cáo / Đối ngoại / Truyền Thông</t>
        </is>
      </c>
      <c r="K9096" s="10" t="inlineStr">
        <is>
          <t>3 - 5 Năm</t>
        </is>
      </c>
      <c r="L9096" s="11">
        <f>HYPERLINK("https://careerviet.vn/vi/tim-viec-lam/chuyen-vien-digital-marketing.35C6B7CD.html","Xem chi tiết")</f>
        <v/>
      </c>
      <c r="M9096" s="10" t="n"/>
    </row>
    <row r="9097">
      <c r="B9097" s="7" t="n">
        <v>9095</v>
      </c>
      <c r="C9097" t="inlineStr">
        <is>
          <t>Chuyên viên Social Marketing</t>
        </is>
      </c>
      <c r="D9097" t="inlineStr">
        <is>
          <t>Công ty cổ phần Anvy</t>
        </is>
      </c>
      <c r="E9097" t="inlineStr">
        <is>
          <t>Lương:12 Tr - 15 Tr VND</t>
        </is>
      </c>
      <c r="F9097" t="inlineStr">
        <is>
          <t>Hà Nội</t>
        </is>
      </c>
      <c r="G9097" t="inlineStr">
        <is>
          <t>10-04-2026</t>
        </is>
      </c>
      <c r="H9097" t="inlineStr">
        <is>
          <t>10/04/2026</t>
        </is>
      </c>
      <c r="I9097" t="inlineStr">
        <is>
          <t>17/03/2026</t>
        </is>
      </c>
      <c r="J9097" t="inlineStr">
        <is>
          <t>Tiếp thị / Marketing, Quảng cáo / Đối ngoại / Truyền Thông</t>
        </is>
      </c>
      <c r="K9097" t="inlineStr">
        <is>
          <t>1 - 2 Năm</t>
        </is>
      </c>
      <c r="L9097" s="8">
        <f>HYPERLINK("https://careerviet.vn/vi/tim-viec-lam/chuyen-vien-social-marketing.35C6B9DA.html","Xem chi tiết")</f>
        <v/>
      </c>
    </row>
    <row r="9098">
      <c r="B9098" s="9" t="n">
        <v>9096</v>
      </c>
      <c r="C9098" s="10" t="inlineStr">
        <is>
          <t>TRƯỞNG BỘ PHẬN KẾ HOẠCH &amp; ĐIỀU ĐỘ SẢN XUẤT</t>
        </is>
      </c>
      <c r="D9098" s="10" t="inlineStr">
        <is>
          <t>CÔNG TY CỔ PHẦN DEWOO VIỆT NAM</t>
        </is>
      </c>
      <c r="E9098" s="10" t="inlineStr">
        <is>
          <t>Lương:Cạnh tranh</t>
        </is>
      </c>
      <c r="F9098" s="10" t="inlineStr">
        <is>
          <t>Bình Dương</t>
        </is>
      </c>
      <c r="G9098" s="10" t="inlineStr">
        <is>
          <t>09-04-2026</t>
        </is>
      </c>
      <c r="H9098" s="10" t="inlineStr">
        <is>
          <t>09/04/2026</t>
        </is>
      </c>
      <c r="I9098" s="10" t="inlineStr">
        <is>
          <t>17/03/2026</t>
        </is>
      </c>
      <c r="J9098" s="10" t="inlineStr">
        <is>
          <t>Cơ khí / Ô tô / Tự động hóa, Điện / Điện tử / Điện lạnh / Điện công nghiệp, Sản xuất / Vận hành sản xuất</t>
        </is>
      </c>
      <c r="K9098" s="10" t="inlineStr">
        <is>
          <t>Trên 3 Năm</t>
        </is>
      </c>
      <c r="L9098" s="11">
        <f>HYPERLINK("https://careerviet.vn/vi/tim-viec-lam/truong-bo-phan-ke-hoach-dieu-do-san-xuat.35C6B786.html","Xem chi tiết")</f>
        <v/>
      </c>
      <c r="M9098" s="10" t="n"/>
    </row>
    <row r="9099">
      <c r="B9099" s="7" t="n">
        <v>9097</v>
      </c>
      <c r="C9099" t="inlineStr">
        <is>
          <t>Sales Specialist</t>
        </is>
      </c>
      <c r="D9099" t="inlineStr">
        <is>
          <t>Sika Limited (Vietnam)</t>
        </is>
      </c>
      <c r="E9099" t="inlineStr">
        <is>
          <t>Lương:Cạnh tranh</t>
        </is>
      </c>
      <c r="F9099" t="inlineStr">
        <is>
          <t>Hồ Chí Minh</t>
        </is>
      </c>
      <c r="G9099" t="inlineStr">
        <is>
          <t>31-03-2026</t>
        </is>
      </c>
      <c r="H9099" t="inlineStr">
        <is>
          <t>31/03/2026</t>
        </is>
      </c>
      <c r="I9099" t="inlineStr">
        <is>
          <t>17/03/2026</t>
        </is>
      </c>
      <c r="J9099" t="inlineStr">
        <is>
          <t>Bán Hàng Kỹ Thuật, Xây dựng, Bán hàng / Kinh doanh</t>
        </is>
      </c>
      <c r="K9099" t="inlineStr">
        <is>
          <t>3 - 4 Năm</t>
        </is>
      </c>
      <c r="L9099" s="8">
        <f>HYPERLINK("https://careerviet.vn/vi/tim-viec-lam/sales-specialist.35C6B827.html","Xem chi tiết")</f>
        <v/>
      </c>
    </row>
    <row r="9100">
      <c r="B9100" s="9" t="n">
        <v>9098</v>
      </c>
      <c r="C9100" s="10" t="inlineStr">
        <is>
          <t>Nhân Viên Chăm Sóc Khách Hàng - Customer Service (CS) Logistics</t>
        </is>
      </c>
      <c r="D9100" s="10" t="inlineStr">
        <is>
          <t>MN SHIPPING CO., LTD</t>
        </is>
      </c>
      <c r="E9100" s="10" t="inlineStr">
        <is>
          <t>Lương:Cạnh tranh</t>
        </is>
      </c>
      <c r="F9100" s="10" t="inlineStr">
        <is>
          <t>Đà Nẵng</t>
        </is>
      </c>
      <c r="G9100" s="10" t="inlineStr">
        <is>
          <t>31-03-2026</t>
        </is>
      </c>
      <c r="H9100" s="10" t="inlineStr">
        <is>
          <t>31/03/2026</t>
        </is>
      </c>
      <c r="I9100" s="10" t="inlineStr">
        <is>
          <t>17/03/2026</t>
        </is>
      </c>
      <c r="J9100" s="10" t="inlineStr">
        <is>
          <t>Xuất nhập khẩu, Vận chuyển / Giao nhận / Kho vận</t>
        </is>
      </c>
      <c r="K9100" s="10" t="inlineStr">
        <is>
          <t>1 - 3 Năm</t>
        </is>
      </c>
      <c r="L9100" s="11">
        <f>HYPERLINK("https://careerviet.vn/vi/tim-viec-lam/nhan-vien-cham-soc-khach-hang-customer-service-cs-logistics.35C6A6C0.html","Xem chi tiết")</f>
        <v/>
      </c>
      <c r="M9100" s="10" t="n"/>
    </row>
    <row r="9101">
      <c r="B9101" s="7" t="n">
        <v>9099</v>
      </c>
      <c r="C9101" t="inlineStr">
        <is>
          <t>Kiến Trúc Sư</t>
        </is>
      </c>
      <c r="D9101" t="inlineStr">
        <is>
          <t>Tập Đoàn An Phát Holdings</t>
        </is>
      </c>
      <c r="E9101" t="inlineStr">
        <is>
          <t>Lương:15 Tr - 20 Tr VND</t>
        </is>
      </c>
      <c r="F9101" t="inlineStr">
        <is>
          <t>Hải Dương</t>
        </is>
      </c>
      <c r="G9101" t="inlineStr">
        <is>
          <t>09-04-2026</t>
        </is>
      </c>
      <c r="H9101" t="inlineStr">
        <is>
          <t>09/04/2026</t>
        </is>
      </c>
      <c r="I9101" t="inlineStr">
        <is>
          <t>17/03/2026</t>
        </is>
      </c>
      <c r="J9101" t="inlineStr">
        <is>
          <t>Mỹ thuật / Nghệ thuật / Thiết kế, Kiến trúc, Xây dựng</t>
        </is>
      </c>
      <c r="K9101" t="inlineStr">
        <is>
          <t>Trên 2 Năm</t>
        </is>
      </c>
      <c r="L9101" s="8">
        <f>HYPERLINK("https://careerviet.vn/vi/tim-viec-lam/kien-truc-su.35C6B9CF.html","Xem chi tiết")</f>
        <v/>
      </c>
    </row>
    <row r="9102">
      <c r="B9102" s="9" t="n">
        <v>9100</v>
      </c>
      <c r="C9102" s="10" t="inlineStr">
        <is>
          <t>Customer Service - Food Lab</t>
        </is>
      </c>
      <c r="D9102" s="10" t="inlineStr">
        <is>
          <t>Cty SGS Việt Nam TNHH</t>
        </is>
      </c>
      <c r="E9102" s="10" t="inlineStr">
        <is>
          <t>Lương:Cạnh tranh</t>
        </is>
      </c>
      <c r="F9102" s="10" t="inlineStr">
        <is>
          <t>Hồ Chí Minh</t>
        </is>
      </c>
      <c r="G9102" s="10" t="inlineStr">
        <is>
          <t>31-03-2026</t>
        </is>
      </c>
      <c r="H9102" s="10" t="inlineStr">
        <is>
          <t>31/03/2026</t>
        </is>
      </c>
      <c r="I9102" s="10" t="inlineStr">
        <is>
          <t>17/03/2026</t>
        </is>
      </c>
      <c r="J9102" s="10" t="inlineStr">
        <is>
          <t>Hóa học</t>
        </is>
      </c>
      <c r="K9102" s="10" t="inlineStr">
        <is>
          <t>N/A</t>
        </is>
      </c>
      <c r="L9102" s="11">
        <f>HYPERLINK("https://careerviet.vn/vi/tim-viec-lam/customer-service-food-lab.35C6A5C3.html","Xem chi tiết")</f>
        <v/>
      </c>
      <c r="M9102" s="10" t="n"/>
    </row>
    <row r="9103">
      <c r="B9103" s="7" t="n">
        <v>9101</v>
      </c>
      <c r="C9103" t="inlineStr">
        <is>
          <t>Nhân viên/Chuyên viên Kế toán Trụ sở chính</t>
        </is>
      </c>
      <c r="D9103" t="inlineStr">
        <is>
          <t>TỔNG CÔNG TY CỔ PHẦN BẢO HIỂM HÙNG VƯƠNG</t>
        </is>
      </c>
      <c r="E9103" t="inlineStr">
        <is>
          <t>Lương:Cạnh tranh</t>
        </is>
      </c>
      <c r="F9103" t="inlineStr">
        <is>
          <t>Hà Nội</t>
        </is>
      </c>
      <c r="G9103" t="inlineStr">
        <is>
          <t>08-04-2026</t>
        </is>
      </c>
      <c r="H9103" t="inlineStr">
        <is>
          <t>08/04/2026</t>
        </is>
      </c>
      <c r="I9103" t="inlineStr">
        <is>
          <t>17/03/2026</t>
        </is>
      </c>
      <c r="J9103" t="inlineStr">
        <is>
          <t>Kế toán / Kiểm toán, Bảo hiểm</t>
        </is>
      </c>
      <c r="K9103" t="inlineStr">
        <is>
          <t>Trên 1 Năm</t>
        </is>
      </c>
      <c r="L9103" s="8">
        <f>HYPERLINK("https://careerviet.vn/vi/tim-viec-lam/nhan-vien-chuyen-vien-ke-toan-tru-so-chinh.35C6B7D1.html","Xem chi tiết")</f>
        <v/>
      </c>
    </row>
    <row r="9104">
      <c r="B9104" s="9" t="n">
        <v>9102</v>
      </c>
      <c r="C9104" s="10" t="inlineStr">
        <is>
          <t>Chuyên Viên Giải Phóng Mặt Bằng</t>
        </is>
      </c>
      <c r="D9104" s="10" t="inlineStr">
        <is>
          <t>Tập đoàn An Lạc – Anlac Group</t>
        </is>
      </c>
      <c r="E9104" s="10" t="inlineStr">
        <is>
          <t>Lương:18 Tr - 25 Tr VND</t>
        </is>
      </c>
      <c r="F9104" s="10" t="inlineStr">
        <is>
          <t>Hà Nội</t>
        </is>
      </c>
      <c r="G9104" s="10" t="inlineStr">
        <is>
          <t>15-04-2026</t>
        </is>
      </c>
      <c r="H9104" s="10" t="inlineStr">
        <is>
          <t>15/04/2026</t>
        </is>
      </c>
      <c r="I9104" s="10" t="inlineStr">
        <is>
          <t>17/03/2026</t>
        </is>
      </c>
      <c r="J9104" s="10" t="inlineStr">
        <is>
          <t>Trắc địa / Địa Chất, Xây dựng, Bất động sản</t>
        </is>
      </c>
      <c r="K9104" s="10" t="inlineStr">
        <is>
          <t>4 - 7 Năm</t>
        </is>
      </c>
      <c r="L9104" s="11">
        <f>HYPERLINK("https://careerviet.vn/vi/tim-viec-lam/chuyen-vien-giai-phong-mat-bang.35C6A3A2.html","Xem chi tiết")</f>
        <v/>
      </c>
      <c r="M9104" s="10" t="n"/>
    </row>
    <row r="9105">
      <c r="B9105" s="7" t="n">
        <v>9103</v>
      </c>
      <c r="C9105" t="inlineStr">
        <is>
          <t>TRƯỞNG NHÓM HSE</t>
        </is>
      </c>
      <c r="D9105" t="inlineStr">
        <is>
          <t>Công ty TNHH Xây Dựng Lê Thy</t>
        </is>
      </c>
      <c r="E9105" t="inlineStr">
        <is>
          <t>Lương:25 Tr - 28 Tr VND</t>
        </is>
      </c>
      <c r="F9105" t="inlineStr">
        <is>
          <t>Bình Dương</t>
        </is>
      </c>
      <c r="G9105" t="inlineStr">
        <is>
          <t>31-03-2026</t>
        </is>
      </c>
      <c r="H9105" t="inlineStr">
        <is>
          <t>31/03/2026</t>
        </is>
      </c>
      <c r="I9105" t="inlineStr">
        <is>
          <t>17/03/2026</t>
        </is>
      </c>
      <c r="J9105" t="inlineStr">
        <is>
          <t>Xây dựng</t>
        </is>
      </c>
      <c r="K9105" t="inlineStr">
        <is>
          <t>3 - 5 Năm</t>
        </is>
      </c>
      <c r="L9105" s="8">
        <f>HYPERLINK("https://careerviet.vn/vi/tim-viec-lam/truong-nhom-hse.35C6B88E.html","Xem chi tiết")</f>
        <v/>
      </c>
    </row>
    <row r="9106">
      <c r="B9106" s="9" t="n">
        <v>9104</v>
      </c>
      <c r="C9106" s="10" t="inlineStr">
        <is>
          <t>Nhân Viên Marketing</t>
        </is>
      </c>
      <c r="D9106" s="10" t="inlineStr">
        <is>
          <t>Công ty Cổ phần Giải pháp Tự động hóa ETEK</t>
        </is>
      </c>
      <c r="E9106" s="10" t="inlineStr">
        <is>
          <t>Lương:Cạnh tranh</t>
        </is>
      </c>
      <c r="F9106" s="10" t="inlineStr">
        <is>
          <t>Hà NộiHồ Chí Minh</t>
        </is>
      </c>
      <c r="G9106" s="10" t="inlineStr">
        <is>
          <t>31-03-2026</t>
        </is>
      </c>
      <c r="H9106" s="10" t="inlineStr">
        <is>
          <t>31/03/2026</t>
        </is>
      </c>
      <c r="I9106" s="10" t="inlineStr">
        <is>
          <t>17/03/2026</t>
        </is>
      </c>
      <c r="J9106" s="10" t="inlineStr">
        <is>
          <t>Tiếp thị / Marketing, Tiếp thị trực tuyến, Quảng cáo / Đối ngoại / Truyền Thông</t>
        </is>
      </c>
      <c r="K9106" s="10" t="inlineStr">
        <is>
          <t>1 - 10 Năm</t>
        </is>
      </c>
      <c r="L9106" s="11">
        <f>HYPERLINK("https://careerviet.vn/vi/tim-viec-lam/nhan-vien-marketing.35C6A4E1.html","Xem chi tiết")</f>
        <v/>
      </c>
      <c r="M9106" s="10" t="n"/>
    </row>
    <row r="9107">
      <c r="B9107" s="7" t="n">
        <v>9105</v>
      </c>
      <c r="C9107" t="inlineStr">
        <is>
          <t>Chuyên viên Truyền thông &amp; Marketing sản phẩm (Mảng thiết bị &amp; Dụng cụ lĩnh vực thực phẩm)</t>
        </is>
      </c>
      <c r="D9107" t="inlineStr">
        <is>
          <t>CÔNG TY CỔ PHẦN THƯƠNG MẠI VÀ CÔNG NGHỆ THỰC PHẨM HOÀNG LÂM</t>
        </is>
      </c>
      <c r="E9107" t="inlineStr">
        <is>
          <t>Lương:12 Tr - 18 Tr VND</t>
        </is>
      </c>
      <c r="F9107" t="inlineStr">
        <is>
          <t>Hà Nội</t>
        </is>
      </c>
      <c r="G9107" t="inlineStr">
        <is>
          <t>31-03-2026</t>
        </is>
      </c>
      <c r="H9107" t="inlineStr">
        <is>
          <t>31/03/2026</t>
        </is>
      </c>
      <c r="I9107" t="inlineStr">
        <is>
          <t>17/03/2026</t>
        </is>
      </c>
      <c r="J9107" t="inlineStr">
        <is>
          <t>Tiếp thị / Marketing, Truyền hình / Báo chí / Biên tập, Quảng cáo / Đối ngoại / Truyền Thông</t>
        </is>
      </c>
      <c r="K9107" t="inlineStr">
        <is>
          <t>2 - 4 Năm</t>
        </is>
      </c>
      <c r="L9107" s="8">
        <f>HYPERLINK("https://careerviet.vn/vi/tim-viec-lam/chuyen-vien-truyen-thong-marketing-san-pham-mang-thiet-bi-dung-cu-linh-vuc-thuc-pham.35C6A55B.html","Xem chi tiết")</f>
        <v/>
      </c>
    </row>
    <row r="9108">
      <c r="B9108" s="9" t="n">
        <v>9106</v>
      </c>
      <c r="C9108" s="10" t="inlineStr">
        <is>
          <t>Nhân viên phòng Kế hoạch tổng hợp Bệnh viện</t>
        </is>
      </c>
      <c r="D9108" s="10" t="inlineStr">
        <is>
          <t>CÔNG TY TNHH ĐẦU TƯ Y TẾ QUỐC TẾ DND – SÀI GÒN</t>
        </is>
      </c>
      <c r="E9108" s="10" t="inlineStr">
        <is>
          <t>Lương:Cạnh tranh</t>
        </is>
      </c>
      <c r="F9108" s="10" t="inlineStr">
        <is>
          <t>Hà Nội</t>
        </is>
      </c>
      <c r="G9108" s="10" t="inlineStr">
        <is>
          <t>02-04-2026</t>
        </is>
      </c>
      <c r="H9108" s="10" t="inlineStr">
        <is>
          <t>02/04/2026</t>
        </is>
      </c>
      <c r="I9108" s="10" t="inlineStr">
        <is>
          <t>17/03/2026</t>
        </is>
      </c>
      <c r="J9108" s="10" t="inlineStr">
        <is>
          <t>Y tế / Chăm sóc sức khỏe / Thẩm mỹ / Làm đẹp</t>
        </is>
      </c>
      <c r="K9108" s="10" t="inlineStr">
        <is>
          <t>1 - 2 Năm</t>
        </is>
      </c>
      <c r="L9108" s="11">
        <f>HYPERLINK("https://careerviet.vn/vi/tim-viec-lam/nhan-vien-phong-ke-hoach-tong-hop-benh-vien.35C6A51C.html","Xem chi tiết")</f>
        <v/>
      </c>
      <c r="M9108" s="10" t="n"/>
    </row>
    <row r="9109">
      <c r="B9109" s="7" t="n">
        <v>9107</v>
      </c>
      <c r="C9109" t="inlineStr">
        <is>
          <t>R&amp;D Packaging</t>
        </is>
      </c>
      <c r="D9109" t="inlineStr">
        <is>
          <t>Công Ty TNHH CJ Foods Việt Nam</t>
        </is>
      </c>
      <c r="E9109" t="inlineStr">
        <is>
          <t>Lương:Cạnh tranh</t>
        </is>
      </c>
      <c r="F9109" t="inlineStr">
        <is>
          <t>Long An</t>
        </is>
      </c>
      <c r="G9109" t="inlineStr">
        <is>
          <t>04-04-2026</t>
        </is>
      </c>
      <c r="H9109" t="inlineStr">
        <is>
          <t>04/04/2026</t>
        </is>
      </c>
      <c r="I9109" t="inlineStr">
        <is>
          <t>17/03/2026</t>
        </is>
      </c>
      <c r="J9109" t="inlineStr">
        <is>
          <t>Công nghệ thực phẩm / Dinh dưỡng, Sản xuất / Vận hành sản xuất</t>
        </is>
      </c>
      <c r="K9109" t="inlineStr">
        <is>
          <t>3 - 7 Năm</t>
        </is>
      </c>
      <c r="L9109" s="8">
        <f>HYPERLINK("https://careerviet.vn/vi/tim-viec-lam/r-d-packaging.35C6A46B.html","Xem chi tiết")</f>
        <v/>
      </c>
    </row>
    <row r="9110">
      <c r="B9110" s="9" t="n">
        <v>9108</v>
      </c>
      <c r="C9110" s="10" t="inlineStr">
        <is>
          <t>Receivable Accountant</t>
        </is>
      </c>
      <c r="D9110" s="10" t="inlineStr">
        <is>
          <t>CÔNG TY CỔ PHẦN ITL AVIATION LOGISTICS</t>
        </is>
      </c>
      <c r="E9110" s="10" t="inlineStr">
        <is>
          <t>Lương:Cạnh tranh</t>
        </is>
      </c>
      <c r="F9110" s="10" t="inlineStr">
        <is>
          <t>Hồ Chí Minh</t>
        </is>
      </c>
      <c r="G9110" s="10" t="inlineStr">
        <is>
          <t>01-04-2026</t>
        </is>
      </c>
      <c r="H9110" s="10" t="inlineStr">
        <is>
          <t>01/04/2026</t>
        </is>
      </c>
      <c r="I9110" s="10" t="inlineStr">
        <is>
          <t>17/03/2026</t>
        </is>
      </c>
      <c r="J9110" s="10" t="inlineStr">
        <is>
          <t>Kế toán / Kiểm toán, Vận chuyển / Giao nhận / Kho vận</t>
        </is>
      </c>
      <c r="K9110" s="10" t="inlineStr">
        <is>
          <t>2 - 3 Năm</t>
        </is>
      </c>
      <c r="L9110" s="11">
        <f>HYPERLINK("https://careerviet.vn/vi/tim-viec-lam/receivable-accountant.35C6A429.html","Xem chi tiết")</f>
        <v/>
      </c>
      <c r="M9110" s="10" t="n"/>
    </row>
    <row r="9111">
      <c r="B9111" s="7" t="n">
        <v>9109</v>
      </c>
      <c r="C9111" t="inlineStr">
        <is>
          <t>Chuyên viên vận hành chương trình</t>
        </is>
      </c>
      <c r="D9111" t="inlineStr">
        <is>
          <t>Công ty TNHH MTV Giáo Dục Việt Mỹ</t>
        </is>
      </c>
      <c r="E9111" t="inlineStr">
        <is>
          <t>Lương:9 Tr - 12 Tr VND</t>
        </is>
      </c>
      <c r="F9111" t="inlineStr">
        <is>
          <t>Đồng Nai</t>
        </is>
      </c>
      <c r="G9111" t="inlineStr">
        <is>
          <t>30-04-2026</t>
        </is>
      </c>
      <c r="H9111" t="inlineStr">
        <is>
          <t>30/04/2026</t>
        </is>
      </c>
      <c r="I9111" t="inlineStr">
        <is>
          <t>17/03/2026</t>
        </is>
      </c>
      <c r="J9111" t="inlineStr">
        <is>
          <t>Giáo dục / Đào tạo, Biên phiên dịch</t>
        </is>
      </c>
      <c r="K9111" t="inlineStr">
        <is>
          <t>1 - 2 Năm</t>
        </is>
      </c>
      <c r="L9111" s="8">
        <f>HYPERLINK("https://careerviet.vn/vi/tim-viec-lam/chuyen-vien-van-hanh-chuong-trinh.35C6A576.html","Xem chi tiết")</f>
        <v/>
      </c>
    </row>
    <row r="9112">
      <c r="B9112" s="9" t="n">
        <v>9110</v>
      </c>
      <c r="C9112" s="10" t="inlineStr">
        <is>
          <t>Kỹ sư QA QC (Dự án Bình Dương hoặc Đồng Nai)</t>
        </is>
      </c>
      <c r="D9112" s="10" t="inlineStr">
        <is>
          <t>CÔNG TY TNHH DK BUILD</t>
        </is>
      </c>
      <c r="E9112" s="10" t="inlineStr">
        <is>
          <t>Lương:15 Tr - 25 Tr VND</t>
        </is>
      </c>
      <c r="F9112" s="10" t="inlineStr">
        <is>
          <t>Bình Dương</t>
        </is>
      </c>
      <c r="G9112" s="10" t="inlineStr">
        <is>
          <t>30-04-2026</t>
        </is>
      </c>
      <c r="H9112" s="10" t="inlineStr">
        <is>
          <t>30/04/2026</t>
        </is>
      </c>
      <c r="I9112" s="10" t="inlineStr">
        <is>
          <t>17/03/2026</t>
        </is>
      </c>
      <c r="J9112" s="10" t="inlineStr">
        <is>
          <t>Xây dựng</t>
        </is>
      </c>
      <c r="K9112" s="10" t="inlineStr">
        <is>
          <t>3 - 5 Năm</t>
        </is>
      </c>
      <c r="L9112" s="11">
        <f>HYPERLINK("https://careerviet.vn/vi/tim-viec-lam/ky-su-qa-qc-du-an-binh-duong-hoac-dong-nai.35C65760.html","Xem chi tiết")</f>
        <v/>
      </c>
      <c r="M9112" s="10" t="n"/>
    </row>
    <row r="9113">
      <c r="B9113" s="7" t="n">
        <v>9111</v>
      </c>
      <c r="C9113" t="inlineStr">
        <is>
          <t>Kế toán Thanh toán</t>
        </is>
      </c>
      <c r="D9113" t="inlineStr">
        <is>
          <t>Công ty Cổ phần Sữa VitaDairy Việt Nam</t>
        </is>
      </c>
      <c r="E9113" t="inlineStr">
        <is>
          <t>Lương:Cạnh tranh</t>
        </is>
      </c>
      <c r="F9113" t="inlineStr">
        <is>
          <t>Hồ Chí Minh</t>
        </is>
      </c>
      <c r="G9113" t="inlineStr">
        <is>
          <t>11-04-2026</t>
        </is>
      </c>
      <c r="H9113" t="inlineStr">
        <is>
          <t>11/04/2026</t>
        </is>
      </c>
      <c r="I9113" t="inlineStr">
        <is>
          <t>17/03/2026</t>
        </is>
      </c>
      <c r="J9113" t="inlineStr">
        <is>
          <t>Kế toán / Kiểm toán, Hàng gia dụng / Chăm sóc cá nhân, Thực phẩm &amp; Đồ uống</t>
        </is>
      </c>
      <c r="K9113" t="inlineStr">
        <is>
          <t>3 - 4 Năm</t>
        </is>
      </c>
      <c r="L9113" s="8">
        <f>HYPERLINK("https://careerviet.vn/vi/tim-viec-lam/ke-toan-thanh-toan.35C6A6E4.html","Xem chi tiết")</f>
        <v/>
      </c>
    </row>
    <row r="9114">
      <c r="B9114" s="9" t="n">
        <v>9112</v>
      </c>
      <c r="C9114" s="10" t="inlineStr">
        <is>
          <t>Cộng tác viên Host Livestream Tiktok</t>
        </is>
      </c>
      <c r="D9114" s="10" t="inlineStr">
        <is>
          <t>THỜI TRANG LINING_CÔNG TY TNHH QUỐC TẾ HẢI LONG</t>
        </is>
      </c>
      <c r="E9114" s="10" t="inlineStr">
        <is>
          <t>Lương:Cạnh tranh</t>
        </is>
      </c>
      <c r="F9114" s="10" t="inlineStr">
        <is>
          <t>Hà Nội</t>
        </is>
      </c>
      <c r="G9114" s="10" t="inlineStr">
        <is>
          <t>03-04-2026</t>
        </is>
      </c>
      <c r="H9114" s="10" t="inlineStr">
        <is>
          <t>03/04/2026</t>
        </is>
      </c>
      <c r="I9114" s="10" t="inlineStr">
        <is>
          <t>17/03/2026</t>
        </is>
      </c>
      <c r="J9114" s="10" t="inlineStr">
        <is>
          <t>Tiếp thị / Marketing, Bán hàng / Kinh doanh</t>
        </is>
      </c>
      <c r="K9114" s="10" t="inlineStr">
        <is>
          <t>N/A</t>
        </is>
      </c>
      <c r="L9114" s="11">
        <f>HYPERLINK("https://careerviet.vn/vi/tim-viec-lam/cong-tac-vien-host-livestream-tiktok.35C6A4FC.html","Xem chi tiết")</f>
        <v/>
      </c>
      <c r="M9114" s="10" t="n"/>
    </row>
    <row r="9115">
      <c r="B9115" s="7" t="n">
        <v>9113</v>
      </c>
      <c r="C9115" t="inlineStr">
        <is>
          <t>Chief Sales Officer (CSO)</t>
        </is>
      </c>
      <c r="D9115" t="inlineStr">
        <is>
          <t>CareerViet</t>
        </is>
      </c>
      <c r="E9115" t="inlineStr">
        <is>
          <t>Lương:Cạnh tranh</t>
        </is>
      </c>
      <c r="F9115" t="inlineStr">
        <is>
          <t>Hồ Chí Minh</t>
        </is>
      </c>
      <c r="G9115" t="inlineStr">
        <is>
          <t>15-03-2026</t>
        </is>
      </c>
      <c r="H9115" t="inlineStr">
        <is>
          <t>30/01/2026</t>
        </is>
      </c>
      <c r="I9115" t="inlineStr">
        <is>
          <t>17/03/2026</t>
        </is>
      </c>
      <c r="J9115" t="inlineStr">
        <is>
          <t>Tiếp thị / Marketing, Bán hàng / Kinh doanh, Quản lý điều hành</t>
        </is>
      </c>
      <c r="K9115" t="inlineStr">
        <is>
          <t>15 - 20 Năm</t>
        </is>
      </c>
      <c r="L9115" s="8">
        <f>HYPERLINK("https://careerviet.vn/vi/tim-viec-lam/chief-sales-officer-cso.35C64DA5.html","Xem chi tiết")</f>
        <v/>
      </c>
    </row>
    <row r="9116">
      <c r="B9116" s="9" t="n">
        <v>9114</v>
      </c>
      <c r="C9116" s="10" t="inlineStr">
        <is>
          <t>Nhân Viên Lễ Tân</t>
        </is>
      </c>
      <c r="D9116" s="10" t="inlineStr">
        <is>
          <t>CÔNG TY TNHH TẬP ĐOÀN GTG</t>
        </is>
      </c>
      <c r="E9116" s="10" t="inlineStr">
        <is>
          <t>Lương:10 Tr - 15 Tr VND</t>
        </is>
      </c>
      <c r="F9116" s="10" t="inlineStr">
        <is>
          <t>Hà Nội</t>
        </is>
      </c>
      <c r="G9116" s="10" t="inlineStr">
        <is>
          <t>01-04-2026</t>
        </is>
      </c>
      <c r="H9116" s="10" t="inlineStr">
        <is>
          <t>01/04/2026</t>
        </is>
      </c>
      <c r="I9116" s="10" t="inlineStr">
        <is>
          <t>17/03/2026</t>
        </is>
      </c>
      <c r="J9116" s="10" t="inlineStr">
        <is>
          <t>Hành chính / Thư ký, Y tế / Chăm sóc sức khỏe / Thẩm mỹ / Làm đẹp, Nhà hàng / Khách sạn</t>
        </is>
      </c>
      <c r="K9116" s="10" t="inlineStr">
        <is>
          <t>1 - 2 Năm</t>
        </is>
      </c>
      <c r="L9116" s="11">
        <f>HYPERLINK("https://careerviet.vn/vi/tim-viec-lam/nhan-vien-le-tan.35C6A548.html","Xem chi tiết")</f>
        <v/>
      </c>
      <c r="M9116" s="10" t="n"/>
    </row>
    <row r="9117">
      <c r="B9117" s="7" t="n">
        <v>9115</v>
      </c>
      <c r="C9117" t="inlineStr">
        <is>
          <t>Nhân viên chăm sóc khách hàng kênh chat</t>
        </is>
      </c>
      <c r="D9117" t="inlineStr">
        <is>
          <t>Công Ty TNHH Việt Mỹ-SSU</t>
        </is>
      </c>
      <c r="E9117" t="inlineStr">
        <is>
          <t>Lương:6,7 Tr - 7,8 Tr VND</t>
        </is>
      </c>
      <c r="F9117" t="inlineStr">
        <is>
          <t>Hồ Chí Minh</t>
        </is>
      </c>
      <c r="G9117" t="inlineStr">
        <is>
          <t>30-03-2026</t>
        </is>
      </c>
      <c r="H9117" t="inlineStr">
        <is>
          <t>30/03/2026</t>
        </is>
      </c>
      <c r="I9117" t="inlineStr">
        <is>
          <t>17/03/2026</t>
        </is>
      </c>
      <c r="J9117" t="inlineStr">
        <is>
          <t>Thương mại điện tử, Dịch vụ khách hàng</t>
        </is>
      </c>
      <c r="K9117" t="inlineStr">
        <is>
          <t>N/A</t>
        </is>
      </c>
      <c r="L9117" s="8">
        <f>HYPERLINK("https://careerviet.vn/vi/tim-viec-lam/nhan-vien-cham-soc-khach-hang-kenh-chat.35C5DAC6.html","Xem chi tiết")</f>
        <v/>
      </c>
    </row>
    <row r="9118">
      <c r="B9118" s="9" t="n">
        <v>9116</v>
      </c>
      <c r="C9118" s="10" t="inlineStr">
        <is>
          <t>Senior Content Creator</t>
        </is>
      </c>
      <c r="D9118" s="10" t="inlineStr">
        <is>
          <t>Công Ty CP Vàng Bạc Đá Quý Phú Nhuận - PNJ</t>
        </is>
      </c>
      <c r="E9118" s="10" t="inlineStr">
        <is>
          <t>Lương:Cạnh tranh</t>
        </is>
      </c>
      <c r="F9118" s="10" t="inlineStr">
        <is>
          <t>Hồ Chí Minh</t>
        </is>
      </c>
      <c r="G9118" s="10" t="inlineStr">
        <is>
          <t>01-04-2026</t>
        </is>
      </c>
      <c r="H9118" s="10" t="inlineStr">
        <is>
          <t>01/04/2026</t>
        </is>
      </c>
      <c r="I9118" s="10" t="inlineStr">
        <is>
          <t>17/03/2026</t>
        </is>
      </c>
      <c r="J9118" s="10" t="inlineStr">
        <is>
          <t>Bán lẻ / Bán sỉ, Tiếp thị trực tuyến, Quảng cáo / Đối ngoại / Truyền Thông</t>
        </is>
      </c>
      <c r="K9118" s="10" t="inlineStr">
        <is>
          <t>4 - 7 Năm</t>
        </is>
      </c>
      <c r="L9118" s="11">
        <f>HYPERLINK("https://careerviet.vn/vi/tim-viec-lam/senior-content-creator.35C6A640.html","Xem chi tiết")</f>
        <v/>
      </c>
      <c r="M9118" s="10" t="n"/>
    </row>
    <row r="9119">
      <c r="B9119" s="7" t="n">
        <v>9117</v>
      </c>
      <c r="C9119" t="inlineStr">
        <is>
          <t>Chuyên viên Learning &amp; Development</t>
        </is>
      </c>
      <c r="D9119" t="inlineStr">
        <is>
          <t>Công ty Cổ phần CANIFA</t>
        </is>
      </c>
      <c r="E9119" t="inlineStr">
        <is>
          <t>Lương:20 Tr - 25 Tr VND</t>
        </is>
      </c>
      <c r="F9119" t="inlineStr">
        <is>
          <t>Hà Nội</t>
        </is>
      </c>
      <c r="G9119" t="inlineStr">
        <is>
          <t>31-03-2026</t>
        </is>
      </c>
      <c r="H9119" t="inlineStr">
        <is>
          <t>31/03/2026</t>
        </is>
      </c>
      <c r="I9119" t="inlineStr">
        <is>
          <t>17/03/2026</t>
        </is>
      </c>
      <c r="J9119" t="inlineStr">
        <is>
          <t>Giáo dục / Đào tạo, Nhân sự, Bán lẻ / Bán sỉ</t>
        </is>
      </c>
      <c r="K9119" t="inlineStr">
        <is>
          <t>3 - 5 Năm</t>
        </is>
      </c>
      <c r="L9119" s="8">
        <f>HYPERLINK("https://careerviet.vn/vi/tim-viec-lam/chuyen-vien-learning-development.35C6A5D4.html","Xem chi tiết")</f>
        <v/>
      </c>
    </row>
    <row r="9120">
      <c r="B9120" s="9" t="n">
        <v>9118</v>
      </c>
      <c r="C9120" s="10" t="inlineStr">
        <is>
          <t>Administrator - Tan Binh Lab</t>
        </is>
      </c>
      <c r="D9120" s="10" t="inlineStr">
        <is>
          <t>Cty SGS Việt Nam TNHH</t>
        </is>
      </c>
      <c r="E9120" s="10" t="inlineStr">
        <is>
          <t>Lương:Cạnh tranh</t>
        </is>
      </c>
      <c r="F9120" s="10" t="inlineStr">
        <is>
          <t>Hồ Chí Minh</t>
        </is>
      </c>
      <c r="G9120" s="10" t="inlineStr">
        <is>
          <t>07-04-2026</t>
        </is>
      </c>
      <c r="H9120" s="10" t="inlineStr">
        <is>
          <t>07/04/2026</t>
        </is>
      </c>
      <c r="I9120" s="10" t="inlineStr">
        <is>
          <t>17/03/2026</t>
        </is>
      </c>
      <c r="J9120" s="10" t="inlineStr">
        <is>
          <t>Hành chính / Thư ký</t>
        </is>
      </c>
      <c r="K9120" s="10" t="inlineStr">
        <is>
          <t>1 - 3 Năm</t>
        </is>
      </c>
      <c r="L9120" s="11">
        <f>HYPERLINK("https://careerviet.vn/vi/tim-viec-lam/administrator-tan-binh-lab.35C6A510.html","Xem chi tiết")</f>
        <v/>
      </c>
      <c r="M9120" s="10" t="n"/>
    </row>
    <row r="9121">
      <c r="B9121" s="7" t="n">
        <v>9119</v>
      </c>
      <c r="C9121" t="inlineStr">
        <is>
          <t>QUẢN LÝ KHU VỰC AN GIANG</t>
        </is>
      </c>
      <c r="D9121" t="inlineStr">
        <is>
          <t>Công Ty TNHH BEST Logistics Technology (Việt Nam)</t>
        </is>
      </c>
      <c r="E9121" t="inlineStr">
        <is>
          <t>Lương:25 Tr - 33 Tr VND</t>
        </is>
      </c>
      <c r="F9121" t="inlineStr">
        <is>
          <t>An Giang</t>
        </is>
      </c>
      <c r="G9121" t="inlineStr">
        <is>
          <t>05-04-2026</t>
        </is>
      </c>
      <c r="H9121" t="inlineStr">
        <is>
          <t>05/04/2026</t>
        </is>
      </c>
      <c r="I9121" t="inlineStr">
        <is>
          <t>17/03/2026</t>
        </is>
      </c>
      <c r="J9121" t="inlineStr">
        <is>
          <t>Thương mại điện tử, Vận chuyển / Giao nhận / Kho vận</t>
        </is>
      </c>
      <c r="K9121" t="inlineStr">
        <is>
          <t>2 - 5 Năm</t>
        </is>
      </c>
      <c r="L9121" s="8">
        <f>HYPERLINK("https://careerviet.vn/vi/tim-viec-lam/quan-ly-khu-vuc-an-giang.35C6A4EC.html","Xem chi tiết")</f>
        <v/>
      </c>
    </row>
    <row r="9122">
      <c r="B9122" s="9" t="n">
        <v>9120</v>
      </c>
      <c r="C9122" s="10" t="inlineStr">
        <is>
          <t>Chuyên viên cao cấp Thủ tục - Dịch vụ khách hàng - Living - 4D021</t>
        </is>
      </c>
      <c r="D9122" s="10" t="inlineStr">
        <is>
          <t>Tập đoàn ROX (ROX Group)</t>
        </is>
      </c>
      <c r="E9122" s="10" t="inlineStr">
        <is>
          <t>Lương:Cạnh tranh</t>
        </is>
      </c>
      <c r="F9122" s="10" t="inlineStr">
        <is>
          <t>Hà Nội</t>
        </is>
      </c>
      <c r="G9122" s="10" t="inlineStr">
        <is>
          <t>01-04-2026</t>
        </is>
      </c>
      <c r="H9122" s="10" t="inlineStr">
        <is>
          <t>01/04/2026</t>
        </is>
      </c>
      <c r="I9122" s="10" t="inlineStr">
        <is>
          <t>17/03/2026</t>
        </is>
      </c>
      <c r="J9122" s="10" t="inlineStr">
        <is>
          <t>Bất động sản</t>
        </is>
      </c>
      <c r="K9122" s="10" t="inlineStr">
        <is>
          <t>Trên 3 Năm</t>
        </is>
      </c>
      <c r="L9122" s="11">
        <f>HYPERLINK("https://careerviet.vn/vi/tim-viec-lam/chuyen-vien-cao-cap-thu-tuc-dich-vu-khach-hang-living-4d021.35C6A6B8.html","Xem chi tiết")</f>
        <v/>
      </c>
      <c r="M9122" s="10" t="n"/>
    </row>
    <row r="9123">
      <c r="B9123" s="7" t="n">
        <v>9121</v>
      </c>
      <c r="C9123" t="inlineStr">
        <is>
          <t>Nhân Viên Hành Chính Văn Phòng</t>
        </is>
      </c>
      <c r="D9123" t="inlineStr">
        <is>
          <t>CÔNG TY TNHH ĐẦU TƯ Y TẾ QUỐC TẾ DND – SÀI GÒN</t>
        </is>
      </c>
      <c r="E9123" t="inlineStr">
        <is>
          <t>Lương:7 Tr - 10 Tr VND</t>
        </is>
      </c>
      <c r="F9123" t="inlineStr">
        <is>
          <t>Hà Nội</t>
        </is>
      </c>
      <c r="G9123" t="inlineStr">
        <is>
          <t>02-04-2026</t>
        </is>
      </c>
      <c r="H9123" t="inlineStr">
        <is>
          <t>02/04/2026</t>
        </is>
      </c>
      <c r="I9123" t="inlineStr">
        <is>
          <t>17/03/2026</t>
        </is>
      </c>
      <c r="J9123" t="inlineStr">
        <is>
          <t>Y tế / Chăm sóc sức khỏe / Thẩm mỹ / Làm đẹp</t>
        </is>
      </c>
      <c r="K9123" t="inlineStr">
        <is>
          <t>1 - 2 Năm</t>
        </is>
      </c>
      <c r="L9123" s="8">
        <f>HYPERLINK("https://careerviet.vn/vi/tim-viec-lam/nhan-vien-hanh-chinh-van-phong.35C6A4EE.html","Xem chi tiết")</f>
        <v/>
      </c>
    </row>
    <row r="9124">
      <c r="B9124" s="9" t="n">
        <v>9122</v>
      </c>
      <c r="C9124" s="10" t="inlineStr">
        <is>
          <t>Giáo Viên Chủ Nhiệm (Ocean Edu Vĩnh Yên 3) - Trúng Tuyển Đi Làm Luôn</t>
        </is>
      </c>
      <c r="D9124" s="10" t="inlineStr">
        <is>
          <t>Công Ty CP Giáo Dục Đại Dương</t>
        </is>
      </c>
      <c r="E9124" s="10" t="inlineStr">
        <is>
          <t>Lương:Cạnh tranh</t>
        </is>
      </c>
      <c r="F9124" s="10" t="inlineStr">
        <is>
          <t>Vĩnh Phúc</t>
        </is>
      </c>
      <c r="G9124" s="10" t="inlineStr">
        <is>
          <t>01-04-2026</t>
        </is>
      </c>
      <c r="H9124" s="10" t="inlineStr">
        <is>
          <t>01/04/2026</t>
        </is>
      </c>
      <c r="I9124" s="10" t="inlineStr">
        <is>
          <t>17/03/2026</t>
        </is>
      </c>
      <c r="J9124" s="10" t="inlineStr">
        <is>
          <t>Giáo dục / Đào tạo, Bán hàng / Kinh doanh, Biên phiên dịch</t>
        </is>
      </c>
      <c r="K9124" s="10" t="inlineStr">
        <is>
          <t>Trên 1 Năm</t>
        </is>
      </c>
      <c r="L9124" s="11">
        <f>HYPERLINK("https://careerviet.vn/vi/tim-viec-lam/giao-vien-chu-nhiem-ocean-edu-vinh-yen-3-trung-tuyen-di-lam-luon.35C6A65F.html","Xem chi tiết")</f>
        <v/>
      </c>
      <c r="M9124" s="10" t="n"/>
    </row>
    <row r="9125">
      <c r="B9125" s="7" t="n">
        <v>9123</v>
      </c>
      <c r="C9125" t="inlineStr">
        <is>
          <t>CARGO OPERATION EXECUTIVE (HAN)</t>
        </is>
      </c>
      <c r="D9125" t="inlineStr">
        <is>
          <t>CÔNG TY CỔ PHẦN ITL AVIATION LOGISTICS</t>
        </is>
      </c>
      <c r="E9125" t="inlineStr">
        <is>
          <t>Lương:Cạnh tranh</t>
        </is>
      </c>
      <c r="F9125" t="inlineStr">
        <is>
          <t>Hà Nội</t>
        </is>
      </c>
      <c r="G9125" t="inlineStr">
        <is>
          <t>01-04-2026</t>
        </is>
      </c>
      <c r="H9125" t="inlineStr">
        <is>
          <t>01/04/2026</t>
        </is>
      </c>
      <c r="I9125" t="inlineStr">
        <is>
          <t>17/03/2026</t>
        </is>
      </c>
      <c r="J9125" t="inlineStr">
        <is>
          <t>Hàng không, Vận chuyển / Giao nhận / Kho vận</t>
        </is>
      </c>
      <c r="K9125" t="inlineStr">
        <is>
          <t>2 - 3 Năm</t>
        </is>
      </c>
      <c r="L9125" s="8">
        <f>HYPERLINK("https://careerviet.vn/vi/tim-viec-lam/cargo-operation-executive-han.35C6A458.html","Xem chi tiết")</f>
        <v/>
      </c>
    </row>
    <row r="9126">
      <c r="B9126" s="9" t="n">
        <v>9124</v>
      </c>
      <c r="C9126" s="10" t="inlineStr">
        <is>
          <t>Trực Tổng Đài  Viettel Hòa Lạc Hà Nội</t>
        </is>
      </c>
      <c r="D9126" s="10" t="inlineStr">
        <is>
          <t>CÔNG TY CỔ PHẦN TRUYỀN THÔNG KIM CƯƠNG</t>
        </is>
      </c>
      <c r="E9126" s="10" t="inlineStr">
        <is>
          <t>Lương:8 Tr - 12 Tr VND</t>
        </is>
      </c>
      <c r="F9126" s="10" t="inlineStr">
        <is>
          <t>Hà Nội</t>
        </is>
      </c>
      <c r="G9126" s="10" t="inlineStr">
        <is>
          <t>01-04-2026</t>
        </is>
      </c>
      <c r="H9126" s="10" t="inlineStr">
        <is>
          <t>01/04/2026</t>
        </is>
      </c>
      <c r="I9126" s="10" t="inlineStr">
        <is>
          <t>17/03/2026</t>
        </is>
      </c>
      <c r="J9126" s="10" t="inlineStr">
        <is>
          <t>Dịch vụ khách hàng, Tư vấn</t>
        </is>
      </c>
      <c r="K9126" s="10" t="inlineStr">
        <is>
          <t>N/A</t>
        </is>
      </c>
      <c r="L9126" s="11">
        <f>HYPERLINK("https://careerviet.vn/vi/tim-viec-lam/truc-tong-dai-viettel-hoa-lac-ha-noi.35C688D0.html","Xem chi tiết")</f>
        <v/>
      </c>
      <c r="M9126" s="10" t="n"/>
    </row>
    <row r="9127">
      <c r="B9127" s="7" t="n">
        <v>9125</v>
      </c>
      <c r="C9127" t="inlineStr">
        <is>
          <t>PROJECT MANAGER cum BUSINESS ANALYST</t>
        </is>
      </c>
      <c r="D9127" t="inlineStr">
        <is>
          <t>Bảo mật</t>
        </is>
      </c>
      <c r="E9127" t="inlineStr">
        <is>
          <t>Lương:30 Tr - 45 Tr VND</t>
        </is>
      </c>
      <c r="F9127" t="inlineStr">
        <is>
          <t>Hồ Chí Minh</t>
        </is>
      </c>
      <c r="G9127" t="inlineStr">
        <is>
          <t>31-03-2026</t>
        </is>
      </c>
      <c r="H9127" t="inlineStr">
        <is>
          <t>31/03/2026</t>
        </is>
      </c>
      <c r="I9127" t="inlineStr">
        <is>
          <t>17/03/2026</t>
        </is>
      </c>
      <c r="J9127" t="inlineStr">
        <is>
          <t>CNTT - Phần mềm, Bán Hàng Kỹ Thuật, Bán hàng / Kinh doanh</t>
        </is>
      </c>
      <c r="K9127" t="inlineStr">
        <is>
          <t>5 - 10 Năm</t>
        </is>
      </c>
      <c r="L9127" s="8">
        <f>HYPERLINK("https://careerviet.vn/vi/tim-viec-lam/project-manager-cum-business-analyst.35C6A672.html","Xem chi tiết")</f>
        <v/>
      </c>
    </row>
    <row r="9128">
      <c r="B9128" s="9" t="n">
        <v>9126</v>
      </c>
      <c r="C9128" s="10" t="inlineStr">
        <is>
          <t>Lái Cẩu Xích</t>
        </is>
      </c>
      <c r="D9128" s="10" t="inlineStr">
        <is>
          <t>Tổng Công ty Vận Tải Thủy</t>
        </is>
      </c>
      <c r="E9128" s="10" t="inlineStr">
        <is>
          <t>Lương:Cạnh tranh</t>
        </is>
      </c>
      <c r="F9128" s="10" t="inlineStr">
        <is>
          <t>Cần Thơ</t>
        </is>
      </c>
      <c r="G9128" s="10" t="inlineStr">
        <is>
          <t>02-04-2026</t>
        </is>
      </c>
      <c r="H9128" s="10" t="inlineStr">
        <is>
          <t>02/04/2026</t>
        </is>
      </c>
      <c r="I9128" s="10" t="inlineStr">
        <is>
          <t>17/03/2026</t>
        </is>
      </c>
      <c r="J9128" s="10" t="inlineStr">
        <is>
          <t>Xây dựng</t>
        </is>
      </c>
      <c r="K9128" s="10" t="inlineStr">
        <is>
          <t>2 - 3 Năm</t>
        </is>
      </c>
      <c r="L9128" s="11">
        <f>HYPERLINK("https://careerviet.vn/vi/tim-viec-lam/lai-cau-xich.35C6A390.html","Xem chi tiết")</f>
        <v/>
      </c>
      <c r="M9128" s="10" t="n"/>
    </row>
    <row r="9129">
      <c r="B9129" s="7" t="n">
        <v>9127</v>
      </c>
      <c r="C9129" t="inlineStr">
        <is>
          <t>Quản Lý Sản Xuất</t>
        </is>
      </c>
      <c r="D9129" t="inlineStr">
        <is>
          <t>DRB Việt Nam</t>
        </is>
      </c>
      <c r="E9129" t="inlineStr">
        <is>
          <t>Lương:Cạnh tranh</t>
        </is>
      </c>
      <c r="F9129" t="inlineStr">
        <is>
          <t>Bình Dương</t>
        </is>
      </c>
      <c r="G9129" t="inlineStr">
        <is>
          <t>01-04-2026</t>
        </is>
      </c>
      <c r="H9129" t="inlineStr">
        <is>
          <t>01/04/2026</t>
        </is>
      </c>
      <c r="I9129" t="inlineStr">
        <is>
          <t>17/03/2026</t>
        </is>
      </c>
      <c r="J9129" t="inlineStr">
        <is>
          <t>Sản xuất / Vận hành sản xuất, Quản lý chất lượng (QA/QC), Hóa học</t>
        </is>
      </c>
      <c r="K9129" t="inlineStr">
        <is>
          <t>Trên 2 Năm</t>
        </is>
      </c>
      <c r="L9129" s="8">
        <f>HYPERLINK("https://careerviet.vn/vi/tim-viec-lam/quan-ly-san-xuat.35C6A6A2.html","Xem chi tiết")</f>
        <v/>
      </c>
    </row>
    <row r="9130">
      <c r="B9130" s="9" t="n">
        <v>9128</v>
      </c>
      <c r="C9130" s="10" t="inlineStr">
        <is>
          <t>Senior IT Technical Support - Haiphong</t>
        </is>
      </c>
      <c r="D9130" s="10" t="inlineStr">
        <is>
          <t>Cty SGS Việt Nam TNHH</t>
        </is>
      </c>
      <c r="E9130" s="10" t="inlineStr">
        <is>
          <t>Lương:Cạnh tranh</t>
        </is>
      </c>
      <c r="F9130" s="10" t="inlineStr">
        <is>
          <t>Hải Phòng</t>
        </is>
      </c>
      <c r="G9130" s="10" t="inlineStr">
        <is>
          <t>31-03-2026</t>
        </is>
      </c>
      <c r="H9130" s="10" t="inlineStr">
        <is>
          <t>31/03/2026</t>
        </is>
      </c>
      <c r="I9130" s="10" t="inlineStr">
        <is>
          <t>17/03/2026</t>
        </is>
      </c>
      <c r="J9130" s="10" t="inlineStr">
        <is>
          <t>CNTT - Phần mềm, CNTT - Phần cứng / Mạng</t>
        </is>
      </c>
      <c r="K9130" s="10" t="inlineStr">
        <is>
          <t>7 - 10 Năm</t>
        </is>
      </c>
      <c r="L9130" s="11">
        <f>HYPERLINK("https://careerviet.vn/vi/tim-viec-lam/senior-it-technical-support-haiphong.35C6A519.html","Xem chi tiết")</f>
        <v/>
      </c>
      <c r="M9130" s="10" t="n"/>
    </row>
    <row r="9131">
      <c r="B9131" s="7" t="n">
        <v>9129</v>
      </c>
      <c r="C9131" t="inlineStr">
        <is>
          <t>Trưởng nhóm kế toán thanh toán</t>
        </is>
      </c>
      <c r="D9131" t="inlineStr">
        <is>
          <t>CÔNG TY CỔ PHẦN TIẾP VẬN QUỐC TẾ RỒNG XANH</t>
        </is>
      </c>
      <c r="E9131" t="inlineStr">
        <is>
          <t>Lương:13 Tr - 20 Tr VND</t>
        </is>
      </c>
      <c r="F9131" t="inlineStr">
        <is>
          <t>Hồ Chí MinhHòa Bình</t>
        </is>
      </c>
      <c r="G9131" t="inlineStr">
        <is>
          <t>03-04-2026</t>
        </is>
      </c>
      <c r="H9131" t="inlineStr">
        <is>
          <t>03/04/2026</t>
        </is>
      </c>
      <c r="I9131" t="inlineStr">
        <is>
          <t>17/03/2026</t>
        </is>
      </c>
      <c r="J9131" t="inlineStr">
        <is>
          <t>Kế toán / Kiểm toán, Xuất nhập khẩu, Ngành khác</t>
        </is>
      </c>
      <c r="K9131" t="inlineStr">
        <is>
          <t>2 - 3 Năm</t>
        </is>
      </c>
      <c r="L9131" s="8">
        <f>HYPERLINK("https://careerviet.vn/vi/tim-viec-lam/truong-nhom-ke-toan-thanh-toan.35C6A693.html","Xem chi tiết")</f>
        <v/>
      </c>
    </row>
    <row r="9132">
      <c r="B9132" s="9" t="n">
        <v>9130</v>
      </c>
      <c r="C9132" s="10" t="inlineStr">
        <is>
          <t>NHÂN VIÊN QC GIÁM SÁT</t>
        </is>
      </c>
      <c r="D9132" s="10" t="inlineStr">
        <is>
          <t>Công ty cổ phần Nafoods Group</t>
        </is>
      </c>
      <c r="E9132" s="10" t="inlineStr">
        <is>
          <t>Lương:8 Tr - 14 Tr VND</t>
        </is>
      </c>
      <c r="F9132" s="10" t="inlineStr">
        <is>
          <t>Bình Thuận</t>
        </is>
      </c>
      <c r="G9132" s="10" t="inlineStr">
        <is>
          <t>31-03-2026</t>
        </is>
      </c>
      <c r="H9132" s="10" t="inlineStr">
        <is>
          <t>31/03/2026</t>
        </is>
      </c>
      <c r="I9132" s="10" t="inlineStr">
        <is>
          <t>17/03/2026</t>
        </is>
      </c>
      <c r="J9132" s="10" t="inlineStr">
        <is>
          <t>Sản xuất / Vận hành sản xuất, Quản lý chất lượng (QA/QC), Công nghệ thực phẩm / Dinh dưỡng</t>
        </is>
      </c>
      <c r="K9132" s="10" t="inlineStr">
        <is>
          <t>1 - 3 Năm</t>
        </is>
      </c>
      <c r="L9132" s="11">
        <f>HYPERLINK("https://careerviet.vn/vi/tim-viec-lam/nhan-vien-qc-giam-sat.35C6A582.html","Xem chi tiết")</f>
        <v/>
      </c>
      <c r="M9132" s="10" t="n"/>
    </row>
    <row r="9133">
      <c r="B9133" s="7" t="n">
        <v>9131</v>
      </c>
      <c r="C9133" t="inlineStr">
        <is>
          <t>NPI Electronic Test Engineer</t>
        </is>
      </c>
      <c r="D9133" t="inlineStr">
        <is>
          <t>Techtronic Industries Vietnam Manufacturing Company Limited</t>
        </is>
      </c>
      <c r="E9133" t="inlineStr">
        <is>
          <t>Lương:Cạnh tranh</t>
        </is>
      </c>
      <c r="F9133" t="inlineStr">
        <is>
          <t>Hồ Chí Minh</t>
        </is>
      </c>
      <c r="G9133" t="inlineStr">
        <is>
          <t>01-04-2026</t>
        </is>
      </c>
      <c r="H9133" t="inlineStr">
        <is>
          <t>01/04/2026</t>
        </is>
      </c>
      <c r="I9133" t="inlineStr">
        <is>
          <t>17/03/2026</t>
        </is>
      </c>
      <c r="J9133" t="inlineStr">
        <is>
          <t>Cơ khí / Ô tô / Tự động hóa, Sản xuất / Vận hành sản xuất, Điện / Điện tử / Điện lạnh / Điện công nghiệp</t>
        </is>
      </c>
      <c r="K9133" t="inlineStr">
        <is>
          <t>2 - 6 Năm</t>
        </is>
      </c>
      <c r="L9133" s="8">
        <f>HYPERLINK("https://careerviet.vn/vi/tim-viec-lam/npi-electronic-test-engineer.35C6A2C9.html","Xem chi tiết")</f>
        <v/>
      </c>
    </row>
    <row r="9134">
      <c r="B9134" s="9" t="n">
        <v>9132</v>
      </c>
      <c r="C9134" s="10" t="inlineStr">
        <is>
          <t>Chuyên viên PR Marketing</t>
        </is>
      </c>
      <c r="D9134" s="10" t="inlineStr">
        <is>
          <t>Công ty CP IIG Việt Nam</t>
        </is>
      </c>
      <c r="E9134" s="10" t="inlineStr">
        <is>
          <t>Lương:15 Tr - 20 Tr VND</t>
        </is>
      </c>
      <c r="F9134" s="10" t="inlineStr">
        <is>
          <t>Hà Nội</t>
        </is>
      </c>
      <c r="G9134" s="10" t="inlineStr">
        <is>
          <t>01-04-2026</t>
        </is>
      </c>
      <c r="H9134" s="10" t="inlineStr">
        <is>
          <t>01/04/2026</t>
        </is>
      </c>
      <c r="I9134" s="10" t="inlineStr">
        <is>
          <t>17/03/2026</t>
        </is>
      </c>
      <c r="J9134" s="10" t="inlineStr">
        <is>
          <t>Truyền hình / Báo chí / Biên tập, Quảng cáo / Đối ngoại / Truyền Thông, Giáo dục / Đào tạo</t>
        </is>
      </c>
      <c r="K9134" s="10" t="inlineStr">
        <is>
          <t>3 - 5 Năm</t>
        </is>
      </c>
      <c r="L9134" s="11">
        <f>HYPERLINK("https://careerviet.vn/vi/tim-viec-lam/chuyen-vien-pr-marketing.35C6A631.html","Xem chi tiết")</f>
        <v/>
      </c>
      <c r="M9134" s="10" t="n"/>
    </row>
    <row r="9135">
      <c r="B9135" s="7" t="n">
        <v>9133</v>
      </c>
      <c r="C9135" t="inlineStr">
        <is>
          <t>Recruitment Executive (mass hiring)</t>
        </is>
      </c>
      <c r="D9135" t="inlineStr">
        <is>
          <t>Action Composites Hightech Industries</t>
        </is>
      </c>
      <c r="E9135" t="inlineStr">
        <is>
          <t>Lương:Cạnh tranh</t>
        </is>
      </c>
      <c r="F9135" t="inlineStr">
        <is>
          <t>Đồng Nai</t>
        </is>
      </c>
      <c r="G9135" t="inlineStr">
        <is>
          <t>11-04-2026</t>
        </is>
      </c>
      <c r="H9135" t="inlineStr">
        <is>
          <t>11/04/2026</t>
        </is>
      </c>
      <c r="I9135" t="inlineStr">
        <is>
          <t>17/03/2026</t>
        </is>
      </c>
      <c r="J9135" t="inlineStr">
        <is>
          <t>Nhân sự, Sản xuất / Vận hành sản xuất</t>
        </is>
      </c>
      <c r="K9135" t="inlineStr">
        <is>
          <t>3 - 5 Năm</t>
        </is>
      </c>
      <c r="L9135" s="8">
        <f>HYPERLINK("https://careerviet.vn/vi/tim-viec-lam/recruitment-executive-mass-hiring.35C6A70F.html","Xem chi tiết")</f>
        <v/>
      </c>
    </row>
    <row r="9136">
      <c r="B9136" s="9" t="n">
        <v>9134</v>
      </c>
      <c r="C9136" s="10" t="inlineStr">
        <is>
          <t>Nhân viên kế toán thuế</t>
        </is>
      </c>
      <c r="D9136" s="10" t="inlineStr">
        <is>
          <t>Cty CP Kỹ Nghệ Thực Phẩm Việt Nam - VIFON</t>
        </is>
      </c>
      <c r="E9136" s="10" t="inlineStr">
        <is>
          <t>Lương:13 Tr - 15 Tr VND</t>
        </is>
      </c>
      <c r="F9136" s="10" t="inlineStr">
        <is>
          <t>Hồ Chí Minh</t>
        </is>
      </c>
      <c r="G9136" s="10" t="inlineStr">
        <is>
          <t>06-04-2026</t>
        </is>
      </c>
      <c r="H9136" s="10" t="inlineStr">
        <is>
          <t>06/04/2026</t>
        </is>
      </c>
      <c r="I9136" s="10" t="inlineStr">
        <is>
          <t>17/03/2026</t>
        </is>
      </c>
      <c r="J9136" s="10" t="inlineStr">
        <is>
          <t>Thực phẩm &amp; Đồ uống, Bán lẻ / Bán sỉ</t>
        </is>
      </c>
      <c r="K9136" s="10" t="inlineStr">
        <is>
          <t>1 - 2 Năm</t>
        </is>
      </c>
      <c r="L9136" s="11">
        <f>HYPERLINK("https://careerviet.vn/vi/tim-viec-lam/nhan-vien-ke-toan-thue.35C6A4BB.html","Xem chi tiết")</f>
        <v/>
      </c>
      <c r="M9136" s="10" t="n"/>
    </row>
    <row r="9137">
      <c r="B9137" s="7" t="n">
        <v>9135</v>
      </c>
      <c r="C9137" t="inlineStr">
        <is>
          <t>Chỉ Huy Phó Cơ Điện M&amp;E - Thu Nhập Từ 30 - 40 Triệu - Bao Ăn Ở Tại Hưng Yên, Đồng Nai</t>
        </is>
      </c>
      <c r="D9137" t="inlineStr">
        <is>
          <t>CÔNG TY CP ĐẦU TƯ THƯƠNG MẠI VÀ KỸ THUẬT HOÀ BÌNH</t>
        </is>
      </c>
      <c r="E9137" t="inlineStr">
        <is>
          <t>Lương:30 Tr - 40 Tr VND</t>
        </is>
      </c>
      <c r="F9137" t="inlineStr">
        <is>
          <t>Hưng YênĐồng NaiHà Nội</t>
        </is>
      </c>
      <c r="G9137" t="inlineStr">
        <is>
          <t>31-03-2026</t>
        </is>
      </c>
      <c r="H9137" t="inlineStr">
        <is>
          <t>31/03/2026</t>
        </is>
      </c>
      <c r="I9137" t="inlineStr">
        <is>
          <t>17/03/2026</t>
        </is>
      </c>
      <c r="J9137" t="inlineStr">
        <is>
          <t>Xây dựng, Điện / Điện tử / Điện lạnh / Điện công nghiệp, Kiến trúc</t>
        </is>
      </c>
      <c r="K9137" t="inlineStr">
        <is>
          <t>5 - 7 Năm</t>
        </is>
      </c>
      <c r="L9137" s="8">
        <f>HYPERLINK("https://careerviet.vn/vi/tim-viec-lam/chi-huy-pho-co-dien-m-e-thu-nhap-tu-30-40-trieu-bao-an-o-tai-hung-yen-dong-nai.35C6A3B0.html","Xem chi tiết")</f>
        <v/>
      </c>
    </row>
    <row r="9138">
      <c r="B9138" s="9" t="n">
        <v>9136</v>
      </c>
      <c r="C9138" s="10" t="inlineStr">
        <is>
          <t>Texturizing (DTY) Process Technical Engineer</t>
        </is>
      </c>
      <c r="D9138" s="10" t="inlineStr">
        <is>
          <t>CÔNG TY TNHH WGR INDUSTRIES</t>
        </is>
      </c>
      <c r="E9138" s="10" t="inlineStr">
        <is>
          <t>Lương:Cạnh tranh</t>
        </is>
      </c>
      <c r="F9138" s="10" t="inlineStr">
        <is>
          <t>Bình Định</t>
        </is>
      </c>
      <c r="G9138" s="10" t="inlineStr">
        <is>
          <t>31-03-2026</t>
        </is>
      </c>
      <c r="H9138" s="10" t="inlineStr">
        <is>
          <t>31/03/2026</t>
        </is>
      </c>
      <c r="I9138" s="10" t="inlineStr">
        <is>
          <t>17/03/2026</t>
        </is>
      </c>
      <c r="J9138" s="10" t="inlineStr">
        <is>
          <t>Sản xuất / Vận hành sản xuất, Dệt may / Da giày / Thời trang</t>
        </is>
      </c>
      <c r="K9138" s="10" t="inlineStr">
        <is>
          <t>1 - 3 Năm</t>
        </is>
      </c>
      <c r="L9138" s="11">
        <f>HYPERLINK("https://careerviet.vn/vi/tim-viec-lam/texturizing-dty-process-technical-engineer.35C6A51B.html","Xem chi tiết")</f>
        <v/>
      </c>
      <c r="M9138" s="10" t="n"/>
    </row>
    <row r="9139">
      <c r="B9139" s="7" t="n">
        <v>9137</v>
      </c>
      <c r="C9139" t="inlineStr">
        <is>
          <t>Nhân viên QC</t>
        </is>
      </c>
      <c r="D9139" t="inlineStr">
        <is>
          <t>Công Ty CP XNK Hóa Chất &amp; Thiết Bị Kim Ngưu</t>
        </is>
      </c>
      <c r="E9139" t="inlineStr">
        <is>
          <t>Lương:Cạnh tranh</t>
        </is>
      </c>
      <c r="F9139" t="inlineStr">
        <is>
          <t>Hưng Yên</t>
        </is>
      </c>
      <c r="G9139" t="inlineStr">
        <is>
          <t>01-04-2026</t>
        </is>
      </c>
      <c r="H9139" t="inlineStr">
        <is>
          <t>01/04/2026</t>
        </is>
      </c>
      <c r="I9139" t="inlineStr">
        <is>
          <t>17/03/2026</t>
        </is>
      </c>
      <c r="J9139" t="inlineStr">
        <is>
          <t>Hóa học, Quản lý chất lượng (QA/QC)</t>
        </is>
      </c>
      <c r="K9139" t="inlineStr">
        <is>
          <t>1 - 3 Năm</t>
        </is>
      </c>
      <c r="L9139" s="8">
        <f>HYPERLINK("https://careerviet.vn/vi/tim-viec-lam/nhan-vien-qc.35C6A5C1.html","Xem chi tiết")</f>
        <v/>
      </c>
    </row>
    <row r="9140">
      <c r="B9140" s="9" t="n">
        <v>9138</v>
      </c>
      <c r="C9140" s="10" t="inlineStr">
        <is>
          <t>Kỹ sư TE - Test Engineer</t>
        </is>
      </c>
      <c r="D9140" s="10" t="inlineStr">
        <is>
          <t>CÔNG TY TNHH ĐIỆN KHÍ QUỐC QUANG (VIỆT NAM)</t>
        </is>
      </c>
      <c r="E9140" s="10" t="inlineStr">
        <is>
          <t>Lương:Cạnh tranh</t>
        </is>
      </c>
      <c r="F9140" s="10" t="inlineStr">
        <is>
          <t>Quảng NamĐà Nẵng</t>
        </is>
      </c>
      <c r="G9140" s="10" t="inlineStr">
        <is>
          <t>30-04-2026</t>
        </is>
      </c>
      <c r="H9140" s="10" t="inlineStr">
        <is>
          <t>30/04/2026</t>
        </is>
      </c>
      <c r="I9140" s="10" t="inlineStr">
        <is>
          <t>17/03/2026</t>
        </is>
      </c>
      <c r="J9140" s="10" t="inlineStr">
        <is>
          <t>Điện / Điện tử / Điện lạnh / Điện công nghiệp, Sản xuất / Vận hành sản xuất, Quản lý chất lượng (QA/QC)</t>
        </is>
      </c>
      <c r="K9140" s="10" t="inlineStr">
        <is>
          <t>1 - 3 Năm</t>
        </is>
      </c>
      <c r="L9140" s="11">
        <f>HYPERLINK("https://careerviet.vn/vi/tim-viec-lam/ky-su-te-test-engineer.35C6A690.html","Xem chi tiết")</f>
        <v/>
      </c>
      <c r="M9140" s="10" t="n"/>
    </row>
    <row r="9141">
      <c r="B9141" s="7" t="n">
        <v>9139</v>
      </c>
      <c r="C9141" t="inlineStr">
        <is>
          <t>Điều dưỡng Khoa Ngoại/ General Surgery Nurse</t>
        </is>
      </c>
      <c r="D9141" t="inlineStr">
        <is>
          <t>American International Hospital (AIH)</t>
        </is>
      </c>
      <c r="E9141" t="inlineStr">
        <is>
          <t>Lương:Cạnh tranh</t>
        </is>
      </c>
      <c r="F9141" t="inlineStr">
        <is>
          <t>Hồ Chí Minh</t>
        </is>
      </c>
      <c r="G9141" t="inlineStr">
        <is>
          <t>30-04-2026</t>
        </is>
      </c>
      <c r="H9141" t="inlineStr">
        <is>
          <t>30/04/2026</t>
        </is>
      </c>
      <c r="I9141" t="inlineStr">
        <is>
          <t>17/03/2026</t>
        </is>
      </c>
      <c r="J9141" t="inlineStr">
        <is>
          <t>Y tế / Chăm sóc sức khỏe / Thẩm mỹ / Làm đẹp</t>
        </is>
      </c>
      <c r="K9141" t="inlineStr">
        <is>
          <t>2 - 3 Năm</t>
        </is>
      </c>
      <c r="L9141" s="8">
        <f>HYPERLINK("https://careerviet.vn/vi/tim-viec-lam/dieu-duong-khoa-ngoai-general-surgery-nurse.35C6A423.html","Xem chi tiết")</f>
        <v/>
      </c>
    </row>
    <row r="9142">
      <c r="B9142" s="9" t="n">
        <v>9140</v>
      </c>
      <c r="C9142" s="10" t="inlineStr">
        <is>
          <t>NV Kinh doanh - Lương + Thưởng DS + Hoa hồng - Làm tại Hà Nội</t>
        </is>
      </c>
      <c r="D9142" s="10" t="inlineStr">
        <is>
          <t>Công Ty Cổ Phần Công Nghệ Mạng Viễn Thông C-LINK</t>
        </is>
      </c>
      <c r="E9142" s="10" t="inlineStr">
        <is>
          <t>Lương:10 Tr - 25 Tr VND</t>
        </is>
      </c>
      <c r="F9142" s="10" t="inlineStr">
        <is>
          <t>Hà Nội</t>
        </is>
      </c>
      <c r="G9142" s="10" t="inlineStr">
        <is>
          <t>31-03-2026</t>
        </is>
      </c>
      <c r="H9142" s="10" t="inlineStr">
        <is>
          <t>31/03/2026</t>
        </is>
      </c>
      <c r="I9142" s="10" t="inlineStr">
        <is>
          <t>17/03/2026</t>
        </is>
      </c>
      <c r="J9142" s="10" t="inlineStr">
        <is>
          <t>Tiếp thị / Marketing, Bán hàng / Kinh doanh, Bưu chính viễn thông</t>
        </is>
      </c>
      <c r="K9142" s="10" t="inlineStr">
        <is>
          <t>1 - 5 Năm</t>
        </is>
      </c>
      <c r="L9142" s="11">
        <f>HYPERLINK("https://careerviet.vn/vi/tim-viec-lam/nv-kinh-doanh-luong-thuong-ds-hoa-hong-lam-tai-ha-noi.35C6A60A.html","Xem chi tiết")</f>
        <v/>
      </c>
      <c r="M9142" s="10" t="n"/>
    </row>
    <row r="9143">
      <c r="B9143" s="7" t="n">
        <v>9141</v>
      </c>
      <c r="C9143" t="inlineStr">
        <is>
          <t>[Haiphong] Technical Manager - Chemical</t>
        </is>
      </c>
      <c r="D9143" t="inlineStr">
        <is>
          <t>Cty SGS Việt Nam TNHH</t>
        </is>
      </c>
      <c r="E9143" t="inlineStr">
        <is>
          <t>Lương:Cạnh tranh</t>
        </is>
      </c>
      <c r="F9143" t="inlineStr">
        <is>
          <t>Hải Phòng</t>
        </is>
      </c>
      <c r="G9143" t="inlineStr">
        <is>
          <t>11-04-2026</t>
        </is>
      </c>
      <c r="H9143" t="inlineStr">
        <is>
          <t>11/04/2026</t>
        </is>
      </c>
      <c r="I9143" t="inlineStr">
        <is>
          <t>17/03/2026</t>
        </is>
      </c>
      <c r="J9143" t="inlineStr">
        <is>
          <t>Hóa học</t>
        </is>
      </c>
      <c r="K9143" t="inlineStr">
        <is>
          <t>2 - 10 Năm</t>
        </is>
      </c>
      <c r="L9143" s="8">
        <f>HYPERLINK("https://careerviet.vn/vi/tim-viec-lam/haiphong-technical-manager-chemical.35C6A6D3.html","Xem chi tiết")</f>
        <v/>
      </c>
    </row>
    <row r="9144">
      <c r="B9144" s="9" t="n">
        <v>9142</v>
      </c>
      <c r="C9144" s="10" t="inlineStr">
        <is>
          <t>Lab Team Leader - LC</t>
        </is>
      </c>
      <c r="D9144" s="10" t="inlineStr">
        <is>
          <t>Cty SGS Việt Nam TNHH</t>
        </is>
      </c>
      <c r="E9144" s="10" t="inlineStr">
        <is>
          <t>Lương:Cạnh tranh</t>
        </is>
      </c>
      <c r="F9144" s="10" t="inlineStr">
        <is>
          <t>Hồ Chí Minh</t>
        </is>
      </c>
      <c r="G9144" s="10" t="inlineStr">
        <is>
          <t>11-04-2026</t>
        </is>
      </c>
      <c r="H9144" s="10" t="inlineStr">
        <is>
          <t>11/04/2026</t>
        </is>
      </c>
      <c r="I9144" s="10" t="inlineStr">
        <is>
          <t>17/03/2026</t>
        </is>
      </c>
      <c r="J9144" s="10" t="inlineStr">
        <is>
          <t>Hóa học, Công nghệ sinh học, Thực phẩm &amp; Đồ uống</t>
        </is>
      </c>
      <c r="K9144" s="10" t="inlineStr">
        <is>
          <t>3 - 5 Năm</t>
        </is>
      </c>
      <c r="L9144" s="11">
        <f>HYPERLINK("https://careerviet.vn/vi/tim-viec-lam/lab-team-leader-lc.35C6A6EE.html","Xem chi tiết")</f>
        <v/>
      </c>
      <c r="M9144" s="10" t="n"/>
    </row>
    <row r="9145">
      <c r="B9145" s="7" t="n">
        <v>9143</v>
      </c>
      <c r="C9145" t="inlineStr">
        <is>
          <t>Sales Development Mentor</t>
        </is>
      </c>
      <c r="D9145" t="inlineStr">
        <is>
          <t>OZEOL - VCOS CO., LTD - CÔNG TY TNHH VIETNAM CLOSEOUT SOLUTIONS</t>
        </is>
      </c>
      <c r="E9145" t="inlineStr">
        <is>
          <t>Lương:15 Tr - 20 Tr VND</t>
        </is>
      </c>
      <c r="F9145" t="inlineStr">
        <is>
          <t>Hồ Chí Minh</t>
        </is>
      </c>
      <c r="G9145" t="inlineStr">
        <is>
          <t>01-04-2026</t>
        </is>
      </c>
      <c r="H9145" t="inlineStr">
        <is>
          <t>01/04/2026</t>
        </is>
      </c>
      <c r="I9145" t="inlineStr">
        <is>
          <t>17/03/2026</t>
        </is>
      </c>
      <c r="J9145" t="inlineStr">
        <is>
          <t>Tiếp thị / Marketing, Bán hàng / Kinh doanh, Giáo dục / Đào tạo</t>
        </is>
      </c>
      <c r="K9145" t="inlineStr">
        <is>
          <t>3 - 7 Năm</t>
        </is>
      </c>
      <c r="L9145" s="8">
        <f>HYPERLINK("https://careerviet.vn/vi/tim-viec-lam/sales-development-mentor.35C6A6C7.html","Xem chi tiết")</f>
        <v/>
      </c>
    </row>
    <row r="9146">
      <c r="B9146" s="9" t="n">
        <v>9144</v>
      </c>
      <c r="C9146" s="10" t="inlineStr">
        <is>
          <t>Sales Manager (Real Estate) - Living Global - 4D022</t>
        </is>
      </c>
      <c r="D9146" s="10" t="inlineStr">
        <is>
          <t>Tập đoàn ROX (ROX Group)</t>
        </is>
      </c>
      <c r="E9146" s="10" t="inlineStr">
        <is>
          <t>Lương:Cạnh tranh</t>
        </is>
      </c>
      <c r="F9146" s="10" t="inlineStr">
        <is>
          <t>Hà NộiHồ Chí Minh</t>
        </is>
      </c>
      <c r="G9146" s="10" t="inlineStr">
        <is>
          <t>01-04-2026</t>
        </is>
      </c>
      <c r="H9146" s="10" t="inlineStr">
        <is>
          <t>01/04/2026</t>
        </is>
      </c>
      <c r="I9146" s="10" t="inlineStr">
        <is>
          <t>17/03/2026</t>
        </is>
      </c>
      <c r="J9146" s="10" t="inlineStr">
        <is>
          <t>Bất động sản</t>
        </is>
      </c>
      <c r="K9146" s="10" t="inlineStr">
        <is>
          <t>Trên 1 Năm</t>
        </is>
      </c>
      <c r="L9146" s="11">
        <f>HYPERLINK("https://careerviet.vn/vi/tim-viec-lam/sales-manager-real-estate-living-global-4d022.35C6A6EF.html","Xem chi tiết")</f>
        <v/>
      </c>
      <c r="M9146" s="10" t="n"/>
    </row>
    <row r="9147">
      <c r="B9147" s="7" t="n">
        <v>9145</v>
      </c>
      <c r="C9147" t="inlineStr">
        <is>
          <t>Kỹ sư thiết kế Kết cấu thép/Nhà thép tiền chế</t>
        </is>
      </c>
      <c r="D9147" t="inlineStr">
        <is>
          <t>CÔNG TY TRÁCH NHIỆM HỮU HẠN THÉP QSB</t>
        </is>
      </c>
      <c r="E9147" t="inlineStr">
        <is>
          <t>Lương:14 Tr - 19 Tr VND</t>
        </is>
      </c>
      <c r="F9147" t="inlineStr">
        <is>
          <t>Hồ Chí Minh</t>
        </is>
      </c>
      <c r="G9147" t="inlineStr">
        <is>
          <t>31-03-2026</t>
        </is>
      </c>
      <c r="H9147" t="inlineStr">
        <is>
          <t>31/03/2026</t>
        </is>
      </c>
      <c r="I9147" t="inlineStr">
        <is>
          <t>17/03/2026</t>
        </is>
      </c>
      <c r="J9147" t="inlineStr">
        <is>
          <t>Xây dựng</t>
        </is>
      </c>
      <c r="K9147" t="inlineStr">
        <is>
          <t>2 - 5 Năm</t>
        </is>
      </c>
      <c r="L9147" s="8">
        <f>HYPERLINK("https://careerviet.vn/vi/tim-viec-lam/ky-su-thiet-ke-ket-cau-thep-nha-thep-tien-che.35C6A6AA.html","Xem chi tiết")</f>
        <v/>
      </c>
    </row>
    <row r="9148">
      <c r="B9148" s="9" t="n">
        <v>9146</v>
      </c>
      <c r="C9148" s="10" t="inlineStr">
        <is>
          <t>Purchasing Assistant (Prospector)</t>
        </is>
      </c>
      <c r="D9148" s="10" t="inlineStr">
        <is>
          <t>OZEOL - VCOS CO., LTD - CÔNG TY TNHH VIETNAM CLOSEOUT SOLUTIONS</t>
        </is>
      </c>
      <c r="E9148" s="10" t="inlineStr">
        <is>
          <t>Lương:Cạnh tranh</t>
        </is>
      </c>
      <c r="F9148" s="10" t="inlineStr">
        <is>
          <t>Hồ Chí Minh</t>
        </is>
      </c>
      <c r="G9148" s="10" t="inlineStr">
        <is>
          <t>01-04-2026</t>
        </is>
      </c>
      <c r="H9148" s="10" t="inlineStr">
        <is>
          <t>01/04/2026</t>
        </is>
      </c>
      <c r="I9148" s="10" t="inlineStr">
        <is>
          <t>17/03/2026</t>
        </is>
      </c>
      <c r="J9148" s="10" t="inlineStr">
        <is>
          <t>Bán lẻ / Bán sỉ, Bán hàng / Kinh doanh, Xuất nhập khẩu</t>
        </is>
      </c>
      <c r="K9148" s="10" t="inlineStr">
        <is>
          <t>3 - 7 Năm</t>
        </is>
      </c>
      <c r="L9148" s="11">
        <f>HYPERLINK("https://careerviet.vn/vi/tim-viec-lam/purchasing-assistant-prospector.35C6A6C6.html","Xem chi tiết")</f>
        <v/>
      </c>
      <c r="M9148" s="10" t="n"/>
    </row>
    <row r="9149">
      <c r="B9149" s="7" t="n">
        <v>9147</v>
      </c>
      <c r="C9149" t="inlineStr">
        <is>
          <t>CHUYÊN VIÊN TƯ VẤN GIÁO DỤC (OCEAN EDU TAM DƯƠNG) - THU NHẬP HẤP DẪN TỪ 15 TRIỆU/THÁNG</t>
        </is>
      </c>
      <c r="D9149" t="inlineStr">
        <is>
          <t>Công Ty CP Giáo Dục Đại Dương</t>
        </is>
      </c>
      <c r="E9149" t="inlineStr">
        <is>
          <t>Lương:Cạnh tranh</t>
        </is>
      </c>
      <c r="F9149" t="inlineStr">
        <is>
          <t>Vĩnh Phúc</t>
        </is>
      </c>
      <c r="G9149" t="inlineStr">
        <is>
          <t>01-04-2026</t>
        </is>
      </c>
      <c r="H9149" t="inlineStr">
        <is>
          <t>01/04/2026</t>
        </is>
      </c>
      <c r="I9149" t="inlineStr">
        <is>
          <t>17/03/2026</t>
        </is>
      </c>
      <c r="J9149" t="inlineStr">
        <is>
          <t>Dịch vụ khách hàng, Giáo dục / Đào tạo, Bán hàng / Kinh doanh</t>
        </is>
      </c>
      <c r="K9149" t="inlineStr">
        <is>
          <t>Lên đến 1 Năm</t>
        </is>
      </c>
      <c r="L9149" s="8">
        <f>HYPERLINK("https://careerviet.vn/vi/tim-viec-lam/chuyen-vien-tu-van-giao-duc-ocean-edu-tam-duong-thu-nhap-hap-dan-tu-15-trieu-thang.35C6A63B.html","Xem chi tiết")</f>
        <v/>
      </c>
    </row>
    <row r="9150">
      <c r="B9150" s="9" t="n">
        <v>9148</v>
      </c>
      <c r="C9150" s="10" t="inlineStr">
        <is>
          <t>CHUYÊN VIÊN PHÂN TÍCH NGHIỆP VỤ (BA)</t>
        </is>
      </c>
      <c r="D9150" s="10" t="inlineStr">
        <is>
          <t>Tổng Công Ty Cổ Phần Bảo Hiểm Ngân Hàng TMCP Công Thương Việt Nam</t>
        </is>
      </c>
      <c r="E9150" s="10" t="inlineStr">
        <is>
          <t>Lương:Cạnh tranh</t>
        </is>
      </c>
      <c r="F9150" s="10" t="inlineStr">
        <is>
          <t>Hà Nội</t>
        </is>
      </c>
      <c r="G9150" s="10" t="inlineStr">
        <is>
          <t>01-04-2026</t>
        </is>
      </c>
      <c r="H9150" s="10" t="inlineStr">
        <is>
          <t>01/04/2026</t>
        </is>
      </c>
      <c r="I9150" s="10" t="inlineStr">
        <is>
          <t>17/03/2026</t>
        </is>
      </c>
      <c r="J9150" s="10" t="inlineStr">
        <is>
          <t>CNTT - Phần mềm, Ngân hàng, Bảo hiểm</t>
        </is>
      </c>
      <c r="K9150" s="10" t="inlineStr">
        <is>
          <t>3 - 7 Năm</t>
        </is>
      </c>
      <c r="L9150" s="11">
        <f>HYPERLINK("https://careerviet.vn/vi/tim-viec-lam/chuyen-vien-phan-tich-nghiep-vu-ba.35C6A5E9.html","Xem chi tiết")</f>
        <v/>
      </c>
      <c r="M9150" s="10" t="n"/>
    </row>
    <row r="9151">
      <c r="B9151" s="7" t="n">
        <v>9149</v>
      </c>
      <c r="C9151" t="inlineStr">
        <is>
          <t>Trưởng Ca Vận Hành Lò Dừa Xanh</t>
        </is>
      </c>
      <c r="D9151" t="inlineStr">
        <is>
          <t>CÔNG TY TNHH TẬP ĐOÀN DIVI</t>
        </is>
      </c>
      <c r="E9151" t="inlineStr">
        <is>
          <t>Lương:12 Tr - 15 Tr VND</t>
        </is>
      </c>
      <c r="F9151" t="inlineStr">
        <is>
          <t>Vĩnh Long</t>
        </is>
      </c>
      <c r="G9151" t="inlineStr">
        <is>
          <t>02-04-2026</t>
        </is>
      </c>
      <c r="H9151" t="inlineStr">
        <is>
          <t>02/04/2026</t>
        </is>
      </c>
      <c r="I9151" t="inlineStr">
        <is>
          <t>17/03/2026</t>
        </is>
      </c>
      <c r="J9151" t="inlineStr">
        <is>
          <t>Quản lý điều hành, Bảo trì / Sửa chữa, Điện / Điện tử / Điện lạnh / Điện công nghiệp</t>
        </is>
      </c>
      <c r="K9151" t="inlineStr">
        <is>
          <t>Trên 1 Năm</t>
        </is>
      </c>
      <c r="L9151" s="8">
        <f>HYPERLINK("https://careerviet.vn/vi/tim-viec-lam/truong-ca-van-hanh-lo-dua-xanh.35C6A6B7.html","Xem chi tiết")</f>
        <v/>
      </c>
    </row>
    <row r="9152">
      <c r="B9152" s="9" t="n">
        <v>9150</v>
      </c>
      <c r="C9152" s="10" t="inlineStr">
        <is>
          <t>Leader R&amp;D tại Bà Rịa - Vũng Tàu</t>
        </is>
      </c>
      <c r="D9152" s="10" t="inlineStr">
        <is>
          <t>CHI NHÁNH CÔNG TY TNHH DAEYOUNG EP VINA TẠI BÀ RỊA - VŨNG TÀU</t>
        </is>
      </c>
      <c r="E9152" s="10" t="inlineStr">
        <is>
          <t>Lương:Cạnh tranh</t>
        </is>
      </c>
      <c r="F9152" s="10" t="inlineStr">
        <is>
          <t>Bà Rịa - Vũng Tàu</t>
        </is>
      </c>
      <c r="G9152" s="10" t="inlineStr">
        <is>
          <t>31-03-2026</t>
        </is>
      </c>
      <c r="H9152" s="10" t="inlineStr">
        <is>
          <t>31/03/2026</t>
        </is>
      </c>
      <c r="I9152" s="10" t="inlineStr">
        <is>
          <t>17/03/2026</t>
        </is>
      </c>
      <c r="J9152" s="10" t="inlineStr">
        <is>
          <t>Điện / Điện tử / Điện lạnh / Điện công nghiệp, Cơ khí / Ô tô / Tự động hóa</t>
        </is>
      </c>
      <c r="K9152" s="10" t="inlineStr">
        <is>
          <t>2 - 5 Năm</t>
        </is>
      </c>
      <c r="L9152" s="11">
        <f>HYPERLINK("https://careerviet.vn/vi/tim-viec-lam/leader-r-d-tai-ba-ria-vung-tau.35C6A6C8.html","Xem chi tiết")</f>
        <v/>
      </c>
      <c r="M9152" s="10" t="n"/>
    </row>
    <row r="9153">
      <c r="B9153" s="7" t="n">
        <v>9151</v>
      </c>
      <c r="C9153" t="inlineStr">
        <is>
          <t>Nhân Viên Thiết Kế Nội Ngoại Thất (Designer)</t>
        </is>
      </c>
      <c r="D9153" t="inlineStr">
        <is>
          <t>CÔNG TY CỔ PHẦN THIẾT KẾ VÀ XÂY DỰNG ARTIUS</t>
        </is>
      </c>
      <c r="E9153" t="inlineStr">
        <is>
          <t>Lương:Cạnh tranh</t>
        </is>
      </c>
      <c r="F9153" t="inlineStr">
        <is>
          <t>Hồ Chí Minh</t>
        </is>
      </c>
      <c r="G9153" t="inlineStr">
        <is>
          <t>02-04-2026</t>
        </is>
      </c>
      <c r="H9153" t="inlineStr">
        <is>
          <t>02/04/2026</t>
        </is>
      </c>
      <c r="I9153" t="inlineStr">
        <is>
          <t>17/03/2026</t>
        </is>
      </c>
      <c r="J9153" t="inlineStr">
        <is>
          <t>Nội ngoại thất, Mỹ thuật / Nghệ thuật / Thiết kế, Kiến trúc</t>
        </is>
      </c>
      <c r="K9153" t="inlineStr">
        <is>
          <t>5 - 8 Năm</t>
        </is>
      </c>
      <c r="L9153" s="8">
        <f>HYPERLINK("https://careerviet.vn/vi/tim-viec-lam/nhan-vien-thiet-ke-noi-ngoai-that-designer.35C6A69A.html","Xem chi tiết")</f>
        <v/>
      </c>
    </row>
    <row r="9154">
      <c r="B9154" s="9" t="n">
        <v>9152</v>
      </c>
      <c r="C9154" s="10" t="inlineStr">
        <is>
          <t>Kỹ thuật viên bảo trì</t>
        </is>
      </c>
      <c r="D9154" s="10" t="inlineStr">
        <is>
          <t>Công ty Cổ phần thực phẩm và đồ uống Barett</t>
        </is>
      </c>
      <c r="E9154" s="10" t="inlineStr">
        <is>
          <t>Lương:10 Tr - 15 Tr VND</t>
        </is>
      </c>
      <c r="F9154" s="10" t="inlineStr">
        <is>
          <t>Hưng Yên</t>
        </is>
      </c>
      <c r="G9154" s="10" t="inlineStr">
        <is>
          <t>31-03-2026</t>
        </is>
      </c>
      <c r="H9154" s="10" t="inlineStr">
        <is>
          <t>31/03/2026</t>
        </is>
      </c>
      <c r="I9154" s="10" t="inlineStr">
        <is>
          <t>17/03/2026</t>
        </is>
      </c>
      <c r="J9154" s="10" t="inlineStr">
        <is>
          <t>Thực phẩm &amp; Đồ uống, Cơ khí / Ô tô / Tự động hóa, Điện / Điện tử / Điện lạnh / Điện công nghiệp</t>
        </is>
      </c>
      <c r="K9154" s="10" t="inlineStr">
        <is>
          <t>1 - 2 Năm</t>
        </is>
      </c>
      <c r="L9154" s="11">
        <f>HYPERLINK("https://careerviet.vn/vi/tim-viec-lam/ky-thuat-vien-bao-tri.35C6A2E8.html","Xem chi tiết")</f>
        <v/>
      </c>
      <c r="M9154" s="10" t="n"/>
    </row>
    <row r="9155">
      <c r="B9155" s="7" t="n">
        <v>9153</v>
      </c>
      <c r="C9155" t="inlineStr">
        <is>
          <t>Lab Technician - Food Lab</t>
        </is>
      </c>
      <c r="D9155" t="inlineStr">
        <is>
          <t>Cty SGS Việt Nam TNHH</t>
        </is>
      </c>
      <c r="E9155" t="inlineStr">
        <is>
          <t>Lương:Cạnh tranh</t>
        </is>
      </c>
      <c r="F9155" t="inlineStr">
        <is>
          <t>Hồ Chí Minh</t>
        </is>
      </c>
      <c r="G9155" t="inlineStr">
        <is>
          <t>31-03-2026</t>
        </is>
      </c>
      <c r="H9155" t="inlineStr">
        <is>
          <t>31/03/2026</t>
        </is>
      </c>
      <c r="I9155" t="inlineStr">
        <is>
          <t>17/03/2026</t>
        </is>
      </c>
      <c r="J9155" t="inlineStr">
        <is>
          <t>Hóa học</t>
        </is>
      </c>
      <c r="K9155" t="inlineStr">
        <is>
          <t>N/A</t>
        </is>
      </c>
      <c r="L9155" s="8">
        <f>HYPERLINK("https://careerviet.vn/vi/tim-viec-lam/lab-technician-food-lab.35C6A47D.html","Xem chi tiết")</f>
        <v/>
      </c>
    </row>
    <row r="9156">
      <c r="B9156" s="9" t="n">
        <v>9154</v>
      </c>
      <c r="C9156" s="10" t="inlineStr">
        <is>
          <t>CHUYÊN VIÊN TƯ VẤN GIÁO DỤC (OCEAN EDU KHOÁI CHÂU) - THU NHẬP HẤP DẪN TỪ 15 TRIỆU/THÁNG</t>
        </is>
      </c>
      <c r="D9156" s="10" t="inlineStr">
        <is>
          <t>Công Ty CP Giáo Dục Đại Dương</t>
        </is>
      </c>
      <c r="E9156" s="10" t="inlineStr">
        <is>
          <t>Lương:Cạnh tranh</t>
        </is>
      </c>
      <c r="F9156" s="10" t="inlineStr">
        <is>
          <t>Hưng Yên</t>
        </is>
      </c>
      <c r="G9156" s="10" t="inlineStr">
        <is>
          <t>01-04-2026</t>
        </is>
      </c>
      <c r="H9156" s="10" t="inlineStr">
        <is>
          <t>01/04/2026</t>
        </is>
      </c>
      <c r="I9156" s="10" t="inlineStr">
        <is>
          <t>17/03/2026</t>
        </is>
      </c>
      <c r="J9156" s="10" t="inlineStr">
        <is>
          <t>Dịch vụ khách hàng, Giáo dục / Đào tạo, Bán hàng / Kinh doanh</t>
        </is>
      </c>
      <c r="K9156" s="10" t="inlineStr">
        <is>
          <t>Lên đến 1 Năm</t>
        </is>
      </c>
      <c r="L9156" s="11">
        <f>HYPERLINK("https://careerviet.vn/vi/tim-viec-lam/chuyen-vien-tu-van-giao-duc-ocean-edu-khoai-chau-thu-nhap-hap-dan-tu-15-trieu-thang.35C6A5BD.html","Xem chi tiết")</f>
        <v/>
      </c>
      <c r="M9156" s="10" t="n"/>
    </row>
    <row r="9157">
      <c r="B9157" s="7" t="n">
        <v>9155</v>
      </c>
      <c r="C9157" t="inlineStr">
        <is>
          <t>Customer Service Supervisor - Food/Chemical/Bio</t>
        </is>
      </c>
      <c r="D9157" t="inlineStr">
        <is>
          <t>Cty SGS Việt Nam TNHH</t>
        </is>
      </c>
      <c r="E9157" t="inlineStr">
        <is>
          <t>Lương:Cạnh tranh</t>
        </is>
      </c>
      <c r="F9157" t="inlineStr">
        <is>
          <t>Hải Phòng</t>
        </is>
      </c>
      <c r="G9157" t="inlineStr">
        <is>
          <t>07-04-2026</t>
        </is>
      </c>
      <c r="H9157" t="inlineStr">
        <is>
          <t>07/04/2026</t>
        </is>
      </c>
      <c r="I9157" t="inlineStr">
        <is>
          <t>17/03/2026</t>
        </is>
      </c>
      <c r="J9157" t="inlineStr">
        <is>
          <t>Công nghệ thực phẩm / Dinh dưỡng</t>
        </is>
      </c>
      <c r="K9157" t="inlineStr">
        <is>
          <t>3 - 5 Năm</t>
        </is>
      </c>
      <c r="L9157" s="8">
        <f>HYPERLINK("https://careerviet.vn/vi/tim-viec-lam/customer-service-supervisor-food-chemical-bio.35C6A6D4.html","Xem chi tiết")</f>
        <v/>
      </c>
    </row>
    <row r="9158">
      <c r="B9158" s="9" t="n">
        <v>9156</v>
      </c>
      <c r="C9158" s="10" t="inlineStr">
        <is>
          <t>Kỹ Sư Nội Nghiệp Cầu Đường</t>
        </is>
      </c>
      <c r="D9158" s="10" t="inlineStr">
        <is>
          <t>Công Ty Cổ Phần Thương Mại Tư Vấn Và Xây Dựng Vĩnh Hưng</t>
        </is>
      </c>
      <c r="E9158" s="10" t="inlineStr">
        <is>
          <t>Lương:Cạnh tranh</t>
        </is>
      </c>
      <c r="F9158" s="10" t="inlineStr">
        <is>
          <t>Hồ Chí Minh</t>
        </is>
      </c>
      <c r="G9158" s="10" t="inlineStr">
        <is>
          <t>15-03-2026</t>
        </is>
      </c>
      <c r="H9158" s="10" t="inlineStr">
        <is>
          <t>15/03/2026</t>
        </is>
      </c>
      <c r="I9158" s="10" t="inlineStr">
        <is>
          <t>17/03/2026</t>
        </is>
      </c>
      <c r="J9158" s="10" t="inlineStr">
        <is>
          <t>Xây dựng</t>
        </is>
      </c>
      <c r="K9158" s="10" t="inlineStr">
        <is>
          <t>1 - 2 Năm</t>
        </is>
      </c>
      <c r="L9158" s="11">
        <f>HYPERLINK("https://careerviet.vn/vi/tim-viec-lam/ky-su-noi-nghiep-cau-duong.35C6A3A5.html","Xem chi tiết")</f>
        <v/>
      </c>
      <c r="M9158" s="10" t="n"/>
    </row>
    <row r="9159">
      <c r="B9159" s="7" t="n">
        <v>9157</v>
      </c>
      <c r="C9159" t="inlineStr">
        <is>
          <t>Test Assignment ( Ngành hàng Điện - Điện tử)</t>
        </is>
      </c>
      <c r="D9159" t="inlineStr">
        <is>
          <t>Cty SGS Việt Nam TNHH</t>
        </is>
      </c>
      <c r="E9159" t="inlineStr">
        <is>
          <t>Lương:Cạnh tranh</t>
        </is>
      </c>
      <c r="F9159" t="inlineStr">
        <is>
          <t>Hồ Chí Minh</t>
        </is>
      </c>
      <c r="G9159" t="inlineStr">
        <is>
          <t>30-03-2026</t>
        </is>
      </c>
      <c r="H9159" t="inlineStr">
        <is>
          <t>30/03/2026</t>
        </is>
      </c>
      <c r="I9159" t="inlineStr">
        <is>
          <t>17/03/2026</t>
        </is>
      </c>
      <c r="J9159" t="inlineStr">
        <is>
          <t>Hóa học, Cơ khí / Ô tô / Tự động hóa</t>
        </is>
      </c>
      <c r="K9159" t="inlineStr">
        <is>
          <t>1 - 2 Năm</t>
        </is>
      </c>
      <c r="L9159" s="8">
        <f>HYPERLINK("https://careerviet.vn/vi/tim-viec-lam/test-assignment-nganh-hang-dien-dien-tu.35C6A586.html","Xem chi tiết")</f>
        <v/>
      </c>
    </row>
    <row r="9160">
      <c r="B9160" s="9" t="n">
        <v>9158</v>
      </c>
      <c r="C9160" s="10" t="inlineStr">
        <is>
          <t>Senior IT Business Analyst (Core System / Credit Card Core Experience Required)</t>
        </is>
      </c>
      <c r="D9160" s="10" t="inlineStr">
        <is>
          <t>LOTTE FINANCE VIETNAM</t>
        </is>
      </c>
      <c r="E9160" s="10" t="inlineStr">
        <is>
          <t>Lương:Cạnh tranh</t>
        </is>
      </c>
      <c r="F9160" s="10" t="inlineStr">
        <is>
          <t>Hà Nội</t>
        </is>
      </c>
      <c r="G9160" s="10" t="inlineStr">
        <is>
          <t>01-04-2026</t>
        </is>
      </c>
      <c r="H9160" s="10" t="inlineStr">
        <is>
          <t>01/04/2026</t>
        </is>
      </c>
      <c r="I9160" s="10" t="inlineStr">
        <is>
          <t>17/03/2026</t>
        </is>
      </c>
      <c r="J9160" s="10" t="inlineStr">
        <is>
          <t>CNTT - Phần mềm</t>
        </is>
      </c>
      <c r="K9160" s="10" t="inlineStr">
        <is>
          <t>3 - 5 Năm</t>
        </is>
      </c>
      <c r="L9160" s="11">
        <f>HYPERLINK("https://careerviet.vn/vi/tim-viec-lam/senior-it-business-analyst-core-system-credit-card-core-experience-required.35C6A636.html","Xem chi tiết")</f>
        <v/>
      </c>
      <c r="M9160" s="10" t="n"/>
    </row>
    <row r="9161">
      <c r="B9161" s="7" t="n">
        <v>9159</v>
      </c>
      <c r="C9161" t="inlineStr">
        <is>
          <t>Chuyên viên Sự kiện</t>
        </is>
      </c>
      <c r="D9161" t="inlineStr">
        <is>
          <t>Công ty cổ phần Tập đoàn Danko</t>
        </is>
      </c>
      <c r="E9161" t="inlineStr">
        <is>
          <t>Lương:15 Tr - 25 Tr VND</t>
        </is>
      </c>
      <c r="F9161" t="inlineStr">
        <is>
          <t>Hà Nội</t>
        </is>
      </c>
      <c r="G9161" t="inlineStr">
        <is>
          <t>31-03-2026</t>
        </is>
      </c>
      <c r="H9161" t="inlineStr">
        <is>
          <t>31/03/2026</t>
        </is>
      </c>
      <c r="I9161" t="inlineStr">
        <is>
          <t>17/03/2026</t>
        </is>
      </c>
      <c r="J9161" t="inlineStr">
        <is>
          <t>Tiếp thị / Marketing, Tổ chức sự kiện, Bất động sản</t>
        </is>
      </c>
      <c r="K9161" t="inlineStr">
        <is>
          <t>Trên 3 Năm</t>
        </is>
      </c>
      <c r="L9161" s="8">
        <f>HYPERLINK("https://careerviet.vn/vi/tim-viec-lam/chuyen-vien-su-kien.35C6A3F5.html","Xem chi tiết")</f>
        <v/>
      </c>
    </row>
    <row r="9162">
      <c r="B9162" s="9" t="n">
        <v>9160</v>
      </c>
      <c r="C9162" s="10" t="inlineStr">
        <is>
          <t>(Dĩ An gần Thủ Đức) Nhân Viên Kinh Doanh Ván Gỗ/Nội Thất Gỗ</t>
        </is>
      </c>
      <c r="D9162" s="10" t="inlineStr">
        <is>
          <t>Công Ty TNHH Tập Đoàn Rita Võ</t>
        </is>
      </c>
      <c r="E9162" s="10" t="inlineStr">
        <is>
          <t>Lương:12 Tr - 16 Tr VND</t>
        </is>
      </c>
      <c r="F9162" s="10" t="inlineStr">
        <is>
          <t>Bình Dương</t>
        </is>
      </c>
      <c r="G9162" s="10" t="inlineStr">
        <is>
          <t>02-04-2026</t>
        </is>
      </c>
      <c r="H9162" s="10" t="inlineStr">
        <is>
          <t>02/04/2026</t>
        </is>
      </c>
      <c r="I9162" s="10" t="inlineStr">
        <is>
          <t>17/03/2026</t>
        </is>
      </c>
      <c r="J9162" s="10" t="inlineStr">
        <is>
          <t>Bán lẻ / Bán sỉ, Bán hàng / Kinh doanh</t>
        </is>
      </c>
      <c r="K9162" s="10" t="inlineStr">
        <is>
          <t>1 - 2 Năm</t>
        </is>
      </c>
      <c r="L9162" s="11">
        <f>HYPERLINK("https://careerviet.vn/vi/tim-viec-lam/di-an-gan-thu-duc-nhan-vien-kinh-doanh-van-go-noi-that-go.35C6A4B5.html","Xem chi tiết")</f>
        <v/>
      </c>
      <c r="M9162" s="10" t="n"/>
    </row>
    <row r="9163">
      <c r="B9163" s="7" t="n">
        <v>9161</v>
      </c>
      <c r="C9163" t="inlineStr">
        <is>
          <t>Kỹ thuật SEO</t>
        </is>
      </c>
      <c r="D9163" t="inlineStr">
        <is>
          <t>CÔNG TY CỔ PHẦN HỌC VIỆN MINH TRÍ THÀNH</t>
        </is>
      </c>
      <c r="E9163" t="inlineStr">
        <is>
          <t>Lương:10 Tr - 15 Tr VND</t>
        </is>
      </c>
      <c r="F9163" t="inlineStr">
        <is>
          <t>Hà Nội</t>
        </is>
      </c>
      <c r="G9163" t="inlineStr">
        <is>
          <t>27-04-2026</t>
        </is>
      </c>
      <c r="H9163" t="inlineStr">
        <is>
          <t>27/04/2026</t>
        </is>
      </c>
      <c r="I9163" t="inlineStr">
        <is>
          <t>17/03/2026</t>
        </is>
      </c>
      <c r="J9163" t="inlineStr">
        <is>
          <t>Quảng cáo / Đối ngoại / Truyền Thông</t>
        </is>
      </c>
      <c r="K9163" t="inlineStr">
        <is>
          <t>2 - 3 Năm</t>
        </is>
      </c>
      <c r="L9163" s="8">
        <f>HYPERLINK("https://careerviet.vn/vi/tim-viec-lam/ky-thuat-seo.35C6A2BE.html","Xem chi tiết")</f>
        <v/>
      </c>
    </row>
    <row r="9164">
      <c r="B9164" s="9" t="n">
        <v>9162</v>
      </c>
      <c r="C9164" s="10" t="inlineStr">
        <is>
          <t>Mechanical Design Engineer (Kỹ Sư  Thiết Kế Cơ Khí)</t>
        </is>
      </c>
      <c r="D9164" s="10" t="inlineStr">
        <is>
          <t>CÔNG TY TNHH ĐIỆN TỬ MAKIPOS</t>
        </is>
      </c>
      <c r="E9164" s="10" t="inlineStr">
        <is>
          <t>Lương:Cạnh tranh</t>
        </is>
      </c>
      <c r="F9164" s="10" t="inlineStr">
        <is>
          <t>Hà Nội</t>
        </is>
      </c>
      <c r="G9164" s="10" t="inlineStr">
        <is>
          <t>02-04-2026</t>
        </is>
      </c>
      <c r="H9164" s="10" t="inlineStr">
        <is>
          <t>02/04/2026</t>
        </is>
      </c>
      <c r="I9164" s="10" t="inlineStr">
        <is>
          <t>17/03/2026</t>
        </is>
      </c>
      <c r="J9164" s="10" t="inlineStr">
        <is>
          <t>Điện / Điện tử / Điện lạnh / Điện công nghiệp, Cơ khí / Ô tô / Tự động hóa, Mỹ thuật / Nghệ thuật / Thiết kế</t>
        </is>
      </c>
      <c r="K9164" s="10" t="inlineStr">
        <is>
          <t>Trên 1 Năm</t>
        </is>
      </c>
      <c r="L9164" s="11">
        <f>HYPERLINK("https://careerviet.vn/vi/tim-viec-lam/mechanical-design-engineer-ky-su-thiet-ke-co-khi.35C6A4A5.html","Xem chi tiết")</f>
        <v/>
      </c>
      <c r="M9164" s="10" t="n"/>
    </row>
    <row r="9165">
      <c r="B9165" s="7" t="n">
        <v>9163</v>
      </c>
      <c r="C9165" t="inlineStr">
        <is>
          <t>[HCM] International Sales Staff - Nhân viên kinh doanh quốc tế</t>
        </is>
      </c>
      <c r="D9165" t="inlineStr">
        <is>
          <t>CÔNG TY TNHH DAESANG VIỆT NAM</t>
        </is>
      </c>
      <c r="E9165" t="inlineStr">
        <is>
          <t>Lương:15 Tr - 20 Tr VND</t>
        </is>
      </c>
      <c r="F9165" t="inlineStr">
        <is>
          <t>Hồ Chí Minh</t>
        </is>
      </c>
      <c r="G9165" t="inlineStr">
        <is>
          <t>15-03-2026</t>
        </is>
      </c>
      <c r="H9165" t="inlineStr">
        <is>
          <t>16/03/2026</t>
        </is>
      </c>
      <c r="I9165" t="inlineStr">
        <is>
          <t>17/03/2026</t>
        </is>
      </c>
      <c r="J9165" t="inlineStr">
        <is>
          <t>Tiếp thị / Marketing, Bán hàng / Kinh doanh</t>
        </is>
      </c>
      <c r="K9165" t="inlineStr">
        <is>
          <t>2 - 4 Năm</t>
        </is>
      </c>
      <c r="L9165" s="8">
        <f>HYPERLINK("https://careerviet.vn/vi/tim-viec-lam/hcm-international-sales-staff-nhan-vien-kinh-doanh-quoc-te.35C6A44C.html","Xem chi tiết")</f>
        <v/>
      </c>
    </row>
    <row r="9166">
      <c r="B9166" s="9" t="n">
        <v>9164</v>
      </c>
      <c r="C9166" s="10" t="inlineStr">
        <is>
          <t>Trưởng Phòng Logistics</t>
        </is>
      </c>
      <c r="D9166" s="10" t="inlineStr">
        <is>
          <t>CÔNG TY TNHH SẢN XUẤT THƯƠNG MẠI PHÚC KHẢI</t>
        </is>
      </c>
      <c r="E9166" s="10" t="inlineStr">
        <is>
          <t>Lương:16 Tr - 25 Tr VND</t>
        </is>
      </c>
      <c r="F9166" s="10" t="inlineStr">
        <is>
          <t>Hồ Chí Minh</t>
        </is>
      </c>
      <c r="G9166" s="10" t="inlineStr">
        <is>
          <t>31-12-2026</t>
        </is>
      </c>
      <c r="H9166" s="10" t="inlineStr">
        <is>
          <t>31/12/2026</t>
        </is>
      </c>
      <c r="I9166" s="10" t="inlineStr">
        <is>
          <t>17/03/2026</t>
        </is>
      </c>
      <c r="J9166" s="10" t="inlineStr">
        <is>
          <t>Vận chuyển / Giao nhận / Kho vận, Xuất nhập khẩu</t>
        </is>
      </c>
      <c r="K9166" s="10" t="inlineStr">
        <is>
          <t>3 - 5 Năm</t>
        </is>
      </c>
      <c r="L9166" s="11">
        <f>HYPERLINK("https://careerviet.vn/vi/tim-viec-lam/truong-phong-logistics.35C6A62F.html","Xem chi tiết")</f>
        <v/>
      </c>
      <c r="M9166" s="10" t="n"/>
    </row>
    <row r="9167">
      <c r="B9167" s="7" t="n">
        <v>9165</v>
      </c>
      <c r="C9167" t="inlineStr">
        <is>
          <t>CHUYÊN VIÊN THU MUA - NÔNG THỦY SẢN</t>
        </is>
      </c>
      <c r="D9167" t="inlineStr">
        <is>
          <t>CÔNG TY TNHH GPFC.VN</t>
        </is>
      </c>
      <c r="E9167" t="inlineStr">
        <is>
          <t>Lương:15 Tr - 30 Tr VND</t>
        </is>
      </c>
      <c r="F9167" t="inlineStr">
        <is>
          <t>Hồ Chí Minh</t>
        </is>
      </c>
      <c r="G9167" t="inlineStr">
        <is>
          <t>31-03-2026</t>
        </is>
      </c>
      <c r="H9167" t="inlineStr">
        <is>
          <t>31/03/2026</t>
        </is>
      </c>
      <c r="I9167" t="inlineStr">
        <is>
          <t>17/03/2026</t>
        </is>
      </c>
      <c r="J9167" t="inlineStr">
        <is>
          <t>Xuất nhập khẩu, Thực phẩm &amp; Đồ uống, Thủy sản / Hải sản</t>
        </is>
      </c>
      <c r="K9167" t="inlineStr">
        <is>
          <t>3 - 5 Năm</t>
        </is>
      </c>
      <c r="L9167" s="8">
        <f>HYPERLINK("https://careerviet.vn/vi/tim-viec-lam/chuyen-vien-thu-mua-nong-thuy-san.35C6A397.html","Xem chi tiết")</f>
        <v/>
      </c>
    </row>
    <row r="9168">
      <c r="B9168" s="9" t="n">
        <v>9166</v>
      </c>
      <c r="C9168" s="10" t="inlineStr">
        <is>
          <t>Kỹ Sư Nhiệt Lạnh</t>
        </is>
      </c>
      <c r="D9168" s="10" t="inlineStr">
        <is>
          <t>Phan Bách Refrigeration JSC</t>
        </is>
      </c>
      <c r="E9168" s="10" t="inlineStr">
        <is>
          <t>Lương:Cạnh tranh</t>
        </is>
      </c>
      <c r="F9168" s="10" t="inlineStr">
        <is>
          <t>Hồ Chí Minh</t>
        </is>
      </c>
      <c r="G9168" s="10" t="inlineStr">
        <is>
          <t>03-04-2026</t>
        </is>
      </c>
      <c r="H9168" s="10" t="inlineStr">
        <is>
          <t>03/04/2026</t>
        </is>
      </c>
      <c r="I9168" s="10" t="inlineStr">
        <is>
          <t>17/03/2026</t>
        </is>
      </c>
      <c r="J9168" s="10" t="inlineStr">
        <is>
          <t>Cơ khí / Ô tô / Tự động hóa, Điện / Điện tử / Điện lạnh / Điện công nghiệp, Bảo trì / Sửa chữa</t>
        </is>
      </c>
      <c r="K9168" s="10" t="inlineStr">
        <is>
          <t>Lên đến 1 Năm</t>
        </is>
      </c>
      <c r="L9168" s="11">
        <f>HYPERLINK("https://careerviet.vn/vi/tim-viec-lam/ky-su-nhiet-lanh.35C6A43A.html","Xem chi tiết")</f>
        <v/>
      </c>
      <c r="M9168" s="10" t="n"/>
    </row>
    <row r="9169">
      <c r="B9169" s="7" t="n">
        <v>9167</v>
      </c>
      <c r="C9169" t="inlineStr">
        <is>
          <t>Kỹ sư trưởng tòa nhà</t>
        </is>
      </c>
      <c r="D9169" t="inlineStr">
        <is>
          <t>Công ty Cổ phần Đầu tư Thương mại Kỹ thuật A&amp;T Việt Nam</t>
        </is>
      </c>
      <c r="E9169" t="inlineStr">
        <is>
          <t>Lương:22 Tr - 25 Tr VND</t>
        </is>
      </c>
      <c r="F9169" t="inlineStr">
        <is>
          <t>Bình Dương</t>
        </is>
      </c>
      <c r="G9169" t="inlineStr">
        <is>
          <t>04-04-2026</t>
        </is>
      </c>
      <c r="H9169" t="inlineStr">
        <is>
          <t>04/04/2026</t>
        </is>
      </c>
      <c r="I9169" t="inlineStr">
        <is>
          <t>17/03/2026</t>
        </is>
      </c>
      <c r="J9169" t="inlineStr">
        <is>
          <t>Điện / Điện tử / Điện lạnh / Điện công nghiệp, Bảo trì / Sửa chữa, Bất động sản</t>
        </is>
      </c>
      <c r="K9169" t="inlineStr">
        <is>
          <t>3 - 5 Năm</t>
        </is>
      </c>
      <c r="L9169" s="8">
        <f>HYPERLINK("https://careerviet.vn/vi/tim-viec-lam/ky-su-truong-toa-nha.35C6A557.html","Xem chi tiết")</f>
        <v/>
      </c>
    </row>
    <row r="9170">
      <c r="B9170" s="9" t="n">
        <v>9168</v>
      </c>
      <c r="C9170" s="10" t="inlineStr">
        <is>
          <t>Trưởng Phòng ESG</t>
        </is>
      </c>
      <c r="D9170" s="10" t="inlineStr">
        <is>
          <t>Công ty Cổ phần Tập đoàn Meey Land</t>
        </is>
      </c>
      <c r="E9170" s="10" t="inlineStr">
        <is>
          <t>Lương:35 Tr - 45 Tr VND</t>
        </is>
      </c>
      <c r="F9170" s="10" t="inlineStr">
        <is>
          <t>Hà Nội</t>
        </is>
      </c>
      <c r="G9170" s="10" t="inlineStr">
        <is>
          <t>30-04-2026</t>
        </is>
      </c>
      <c r="H9170" s="10" t="inlineStr">
        <is>
          <t>30/04/2026</t>
        </is>
      </c>
      <c r="I9170" s="10" t="inlineStr">
        <is>
          <t>17/03/2026</t>
        </is>
      </c>
      <c r="J9170" s="10" t="inlineStr">
        <is>
          <t>Chứng khoán, Tài chính / Đầu tư, Ngành khác</t>
        </is>
      </c>
      <c r="K9170" s="10" t="inlineStr">
        <is>
          <t>3 - 5 Năm</t>
        </is>
      </c>
      <c r="L9170" s="11">
        <f>HYPERLINK("https://careerviet.vn/vi/tim-viec-lam/truong-phong-esg.35C68695.html","Xem chi tiết")</f>
        <v/>
      </c>
      <c r="M9170" s="10" t="n"/>
    </row>
    <row r="9171">
      <c r="B9171" s="7" t="n">
        <v>9169</v>
      </c>
      <c r="C9171" t="inlineStr">
        <is>
          <t>[TUYỂN GẤP] NHÂN VIÊN ĐẠI DIỆN THƯƠNG HIỆU–BIẾT TIẾNG HOA LƯƠNG 60 TRIỆU</t>
        </is>
      </c>
      <c r="D9171" t="inlineStr">
        <is>
          <t>Công ty Cổ phần đầu tư và phát triển nguồn nhân lực quốc tế Hùng Vương</t>
        </is>
      </c>
      <c r="E9171" t="inlineStr">
        <is>
          <t>Lương:60 Tr - 62 Tr VND</t>
        </is>
      </c>
      <c r="F9171" t="inlineStr">
        <is>
          <t>Quốc tếHà NộiHồ Chí Minh</t>
        </is>
      </c>
      <c r="G9171" t="inlineStr">
        <is>
          <t>15-03-2026</t>
        </is>
      </c>
      <c r="H9171" t="inlineStr">
        <is>
          <t>03/03/2026</t>
        </is>
      </c>
      <c r="I9171" t="inlineStr">
        <is>
          <t>17/03/2026</t>
        </is>
      </c>
      <c r="J9171" t="inlineStr">
        <is>
          <t>Biên phiên dịch, Hàng không, Mới tốt nghiệp / Thực tập</t>
        </is>
      </c>
      <c r="K9171" t="inlineStr">
        <is>
          <t>N/A</t>
        </is>
      </c>
      <c r="L9171" s="8">
        <f>HYPERLINK("https://careerviet.vn/vi/tim-viec-lam/tuyen-gap-nhan-vien-dai-dien-thuong-hieu-biet-tieng-hoa-luong-60-trieu.35C6A553.html","Xem chi tiết")</f>
        <v/>
      </c>
    </row>
    <row r="9172">
      <c r="B9172" s="9" t="n">
        <v>9170</v>
      </c>
      <c r="C9172" s="10" t="inlineStr">
        <is>
          <t>Senior Compliance Officer (Focus Investigation)</t>
        </is>
      </c>
      <c r="D9172" s="10" t="inlineStr">
        <is>
          <t>Cty SGS Việt Nam TNHH</t>
        </is>
      </c>
      <c r="E9172" s="10" t="inlineStr">
        <is>
          <t>Lương:Cạnh tranh</t>
        </is>
      </c>
      <c r="F9172" s="10" t="inlineStr">
        <is>
          <t>Hồ Chí Minh</t>
        </is>
      </c>
      <c r="G9172" s="10" t="inlineStr">
        <is>
          <t>04-04-2026</t>
        </is>
      </c>
      <c r="H9172" s="10" t="inlineStr">
        <is>
          <t>04/04/2026</t>
        </is>
      </c>
      <c r="I9172" s="10" t="inlineStr">
        <is>
          <t>17/03/2026</t>
        </is>
      </c>
      <c r="J9172" s="10" t="inlineStr">
        <is>
          <t>An Ninh / Bảo Vệ, Luật / Pháp lý</t>
        </is>
      </c>
      <c r="K9172" s="10" t="inlineStr">
        <is>
          <t>5 - 10 Năm</t>
        </is>
      </c>
      <c r="L9172" s="11">
        <f>HYPERLINK("https://careerviet.vn/vi/tim-viec-lam/senior-compliance-officer-focus-investigation.35C6A6CD.html","Xem chi tiết")</f>
        <v/>
      </c>
      <c r="M9172" s="10" t="n"/>
    </row>
    <row r="9173">
      <c r="B9173" s="7" t="n">
        <v>9171</v>
      </c>
      <c r="C9173" t="inlineStr">
        <is>
          <t>Demand Planning Supervisor (Non-Food)</t>
        </is>
      </c>
      <c r="D9173" t="inlineStr">
        <is>
          <t>Food Retail</t>
        </is>
      </c>
      <c r="E9173" t="inlineStr">
        <is>
          <t>Lương:Cạnh tranh</t>
        </is>
      </c>
      <c r="F9173" t="inlineStr">
        <is>
          <t>Hồ Chí Minh</t>
        </is>
      </c>
      <c r="G9173" t="inlineStr">
        <is>
          <t>31-03-2026</t>
        </is>
      </c>
      <c r="H9173" t="inlineStr">
        <is>
          <t>31/03/2026</t>
        </is>
      </c>
      <c r="I9173" t="inlineStr">
        <is>
          <t>17/03/2026</t>
        </is>
      </c>
      <c r="J9173" t="inlineStr">
        <is>
          <t>Vận chuyển / Giao nhận / Kho vận, Bán lẻ / Bán sỉ, Hàng gia dụng / Chăm sóc cá nhân</t>
        </is>
      </c>
      <c r="K9173" t="inlineStr">
        <is>
          <t>3 - 4 Năm</t>
        </is>
      </c>
      <c r="L9173" s="8">
        <f>HYPERLINK("https://careerviet.vn/vi/tim-viec-lam/demand-planning-supervisor-non-food.35C6A595.html","Xem chi tiết")</f>
        <v/>
      </c>
    </row>
    <row r="9174">
      <c r="B9174" s="9" t="n">
        <v>9172</v>
      </c>
      <c r="C9174" s="10" t="inlineStr">
        <is>
          <t>Chuyên viên Hành chính (Quản lý tài sản – Kiểm soát chi phí)</t>
        </is>
      </c>
      <c r="D9174" s="10" t="inlineStr">
        <is>
          <t>CÔNG TY CỔ PHẦN TẬP ĐOÀN ONSEN FUJI</t>
        </is>
      </c>
      <c r="E9174" s="10" t="inlineStr">
        <is>
          <t>Lương:Cạnh tranh</t>
        </is>
      </c>
      <c r="F9174" s="10" t="inlineStr">
        <is>
          <t>Hà Nội</t>
        </is>
      </c>
      <c r="G9174" s="10" t="inlineStr">
        <is>
          <t>01-04-2026</t>
        </is>
      </c>
      <c r="H9174" s="10" t="inlineStr">
        <is>
          <t>01/04/2026</t>
        </is>
      </c>
      <c r="I9174" s="10" t="inlineStr">
        <is>
          <t>17/03/2026</t>
        </is>
      </c>
      <c r="J9174" s="10" t="inlineStr">
        <is>
          <t>Hành chính / Thư ký, Bất động sản, Xây dựng</t>
        </is>
      </c>
      <c r="K9174" s="10" t="inlineStr">
        <is>
          <t>2 - 3 Năm</t>
        </is>
      </c>
      <c r="L9174" s="11">
        <f>HYPERLINK("https://careerviet.vn/vi/tim-viec-lam/chuyen-vien-hanh-chinh-quan-ly-tai-san-kiem-soat-chi-phi.35C6A5D5.html","Xem chi tiết")</f>
        <v/>
      </c>
      <c r="M9174" s="10" t="n"/>
    </row>
    <row r="9175">
      <c r="B9175" s="7" t="n">
        <v>9173</v>
      </c>
      <c r="C9175" t="inlineStr">
        <is>
          <t>(HCM) Sales Admin (Toys/ Furniture Testing Services) (8 months Temporary)</t>
        </is>
      </c>
      <c r="D9175" t="inlineStr">
        <is>
          <t>Cty SGS Việt Nam TNHH</t>
        </is>
      </c>
      <c r="E9175" t="inlineStr">
        <is>
          <t>Lương:Cạnh tranh</t>
        </is>
      </c>
      <c r="F9175" t="inlineStr">
        <is>
          <t>Hồ Chí Minh</t>
        </is>
      </c>
      <c r="G9175" t="inlineStr">
        <is>
          <t>02-04-2026</t>
        </is>
      </c>
      <c r="H9175" t="inlineStr">
        <is>
          <t>02/04/2026</t>
        </is>
      </c>
      <c r="I9175" t="inlineStr">
        <is>
          <t>17/03/2026</t>
        </is>
      </c>
      <c r="J9175" t="inlineStr">
        <is>
          <t>Bán lẻ / Bán sỉ, Bán hàng / Kinh doanh, Bán Hàng Kỹ Thuật</t>
        </is>
      </c>
      <c r="K9175" t="inlineStr">
        <is>
          <t>Chưa có kinh nghiệm</t>
        </is>
      </c>
      <c r="L9175" s="8">
        <f>HYPERLINK("https://careerviet.vn/vi/tim-viec-lam/hcm-sales-admin-toys-furniture-testing-services-8-months-temporary.35C6A4BF.html","Xem chi tiết")</f>
        <v/>
      </c>
    </row>
    <row r="9176">
      <c r="B9176" s="9" t="n">
        <v>9174</v>
      </c>
      <c r="C9176" s="10" t="inlineStr">
        <is>
          <t>Điều dưỡng Khoa Nội tổng hợp/ General Internal medicine Nurse</t>
        </is>
      </c>
      <c r="D9176" s="10" t="inlineStr">
        <is>
          <t>American International Hospital (AIH)</t>
        </is>
      </c>
      <c r="E9176" s="10" t="inlineStr">
        <is>
          <t>Lương:Cạnh tranh</t>
        </is>
      </c>
      <c r="F9176" s="10" t="inlineStr">
        <is>
          <t>Hồ Chí Minh</t>
        </is>
      </c>
      <c r="G9176" s="10" t="inlineStr">
        <is>
          <t>30-04-2026</t>
        </is>
      </c>
      <c r="H9176" s="10" t="inlineStr">
        <is>
          <t>30/04/2026</t>
        </is>
      </c>
      <c r="I9176" s="10" t="inlineStr">
        <is>
          <t>17/03/2026</t>
        </is>
      </c>
      <c r="J9176" s="10" t="inlineStr">
        <is>
          <t>Y tế / Chăm sóc sức khỏe / Thẩm mỹ / Làm đẹp</t>
        </is>
      </c>
      <c r="K9176" s="10" t="inlineStr">
        <is>
          <t>2 - 5 Năm</t>
        </is>
      </c>
      <c r="L9176" s="11">
        <f>HYPERLINK("https://careerviet.vn/vi/tim-viec-lam/dieu-duong-khoa-noi-tong-hop-general-internal-medicine-nurse.35C6A44E.html","Xem chi tiết")</f>
        <v/>
      </c>
      <c r="M9176" s="10" t="n"/>
    </row>
    <row r="9177">
      <c r="B9177" s="7" t="n">
        <v>9175</v>
      </c>
      <c r="C9177" t="inlineStr">
        <is>
          <t>[ĐÀ NẴNG} - NHÂN VIÊN KINH DOANH (KÊNH GT)</t>
        </is>
      </c>
      <c r="D9177" t="inlineStr">
        <is>
          <t>Công ty Cổ phần TM-SX-DV Gia Thịnh Phát</t>
        </is>
      </c>
      <c r="E9177" t="inlineStr">
        <is>
          <t>Lương:10 Tr - 20 Tr VND</t>
        </is>
      </c>
      <c r="F9177" t="inlineStr">
        <is>
          <t>Đà Nẵng</t>
        </is>
      </c>
      <c r="G9177" t="inlineStr">
        <is>
          <t>01-04-2026</t>
        </is>
      </c>
      <c r="H9177" t="inlineStr">
        <is>
          <t>01/04/2026</t>
        </is>
      </c>
      <c r="I9177" t="inlineStr">
        <is>
          <t>17/03/2026</t>
        </is>
      </c>
      <c r="J9177" t="inlineStr">
        <is>
          <t>Bán lẻ / Bán sỉ, Bán hàng / Kinh doanh, Thực phẩm &amp; Đồ uống</t>
        </is>
      </c>
      <c r="K9177" t="inlineStr">
        <is>
          <t>1 - 3 Năm</t>
        </is>
      </c>
      <c r="L9177" s="8">
        <f>HYPERLINK("https://careerviet.vn/vi/tim-viec-lam/da-nang-nhan-vien-kinh-doanh-kenh-gt.35C6A3F1.html","Xem chi tiết")</f>
        <v/>
      </c>
    </row>
    <row r="9178">
      <c r="B9178" s="9" t="n">
        <v>9176</v>
      </c>
      <c r="C9178" s="10" t="inlineStr">
        <is>
          <t>PHÓ PHÒNG HÀNH CHÍNH NHÂN SỰ - PHỤ TRÁCH C&amp;B</t>
        </is>
      </c>
      <c r="D9178" s="10" t="inlineStr">
        <is>
          <t>Công Ty Cổ Phần Tập Đoàn Đèo Cả</t>
        </is>
      </c>
      <c r="E9178" s="10" t="inlineStr">
        <is>
          <t>Lương:15 Tr - 25 Tr VND</t>
        </is>
      </c>
      <c r="F9178" s="10" t="inlineStr">
        <is>
          <t>Hà Nội</t>
        </is>
      </c>
      <c r="G9178" s="10" t="inlineStr">
        <is>
          <t>31-03-2026</t>
        </is>
      </c>
      <c r="H9178" s="10" t="inlineStr">
        <is>
          <t>31/03/2026</t>
        </is>
      </c>
      <c r="I9178" s="10" t="inlineStr">
        <is>
          <t>17/03/2026</t>
        </is>
      </c>
      <c r="J9178" s="10" t="inlineStr">
        <is>
          <t>Hành chính / Thư ký, Nhân sự</t>
        </is>
      </c>
      <c r="K9178" s="10" t="inlineStr">
        <is>
          <t>3 - 5 Năm</t>
        </is>
      </c>
      <c r="L9178" s="11">
        <f>HYPERLINK("https://careerviet.vn/vi/tim-viec-lam/pho-phong-hanh-chinh-nhan-su-phu-trach-c-b.35C6A3A1.html","Xem chi tiết")</f>
        <v/>
      </c>
      <c r="M9178" s="10" t="n"/>
    </row>
    <row r="9179">
      <c r="B9179" s="7" t="n">
        <v>9177</v>
      </c>
      <c r="C9179" t="inlineStr">
        <is>
          <t>Nhân Viên Hồ Sơ Pháp Lý (Dự Án Thủy Điện)</t>
        </is>
      </c>
      <c r="D9179" t="inlineStr">
        <is>
          <t>CÔNG TY CỔ PHẦN ĐẦU TƯ TÂN ĐẠI LONG</t>
        </is>
      </c>
      <c r="E9179" t="inlineStr">
        <is>
          <t>Lương:12 Tr - 20 Tr VND</t>
        </is>
      </c>
      <c r="F9179" t="inlineStr">
        <is>
          <t>Hà Nội</t>
        </is>
      </c>
      <c r="G9179" t="inlineStr">
        <is>
          <t>15-04-2026</t>
        </is>
      </c>
      <c r="H9179" t="inlineStr">
        <is>
          <t>15/04/2026</t>
        </is>
      </c>
      <c r="I9179" t="inlineStr">
        <is>
          <t>17/03/2026</t>
        </is>
      </c>
      <c r="J9179" t="inlineStr">
        <is>
          <t>Thủy lợi, Luật / Pháp lý, Xây dựng</t>
        </is>
      </c>
      <c r="K9179" t="inlineStr">
        <is>
          <t>Trên 3 Năm</t>
        </is>
      </c>
      <c r="L9179" s="8">
        <f>HYPERLINK("https://careerviet.vn/vi/tim-viec-lam/nhan-vien-ho-so-phap-ly-du-an-thuy-dien.35C6A571.html","Xem chi tiết")</f>
        <v/>
      </c>
    </row>
    <row r="9180">
      <c r="B9180" s="9" t="n">
        <v>9178</v>
      </c>
      <c r="C9180" s="10" t="inlineStr">
        <is>
          <t>Chuyên Viên Giải Phóng Mặt Bằng (Dự Án Thủy Điện)</t>
        </is>
      </c>
      <c r="D9180" s="10" t="inlineStr">
        <is>
          <t>CÔNG TY CỔ PHẦN ĐẦU TƯ TÂN ĐẠI LONG</t>
        </is>
      </c>
      <c r="E9180" s="10" t="inlineStr">
        <is>
          <t>Lương:20 Tr - 25 Tr VND</t>
        </is>
      </c>
      <c r="F9180" s="10" t="inlineStr">
        <is>
          <t>Hà Nội</t>
        </is>
      </c>
      <c r="G9180" s="10" t="inlineStr">
        <is>
          <t>15-04-2026</t>
        </is>
      </c>
      <c r="H9180" s="10" t="inlineStr">
        <is>
          <t>15/04/2026</t>
        </is>
      </c>
      <c r="I9180" s="10" t="inlineStr">
        <is>
          <t>17/03/2026</t>
        </is>
      </c>
      <c r="J9180" s="10" t="inlineStr">
        <is>
          <t>Xây dựng, Thủy lợi, Trắc địa / Địa Chất</t>
        </is>
      </c>
      <c r="K9180" s="10" t="inlineStr">
        <is>
          <t>Trên 2 Năm</t>
        </is>
      </c>
      <c r="L9180" s="11">
        <f>HYPERLINK("https://careerviet.vn/vi/tim-viec-lam/chuyen-vien-giai-phong-mat-bang-du-an-thuy-dien.35C6A53E.html","Xem chi tiết")</f>
        <v/>
      </c>
      <c r="M9180" s="10" t="n"/>
    </row>
    <row r="9181">
      <c r="B9181" s="7" t="n">
        <v>9179</v>
      </c>
      <c r="C9181" t="inlineStr">
        <is>
          <t>Nhân Viên Hồ Sơ Đấu Thầu Và Quản Lý Hợp Đồng (Hà Nội)</t>
        </is>
      </c>
      <c r="D9181" t="inlineStr">
        <is>
          <t>CÔNG TY CỔ PHẦN VẮC XIN VÀ SINH PHẨM NAM HƯNG VIỆT</t>
        </is>
      </c>
      <c r="E9181" t="inlineStr">
        <is>
          <t>Lương:Cạnh tranh</t>
        </is>
      </c>
      <c r="F9181" t="inlineStr">
        <is>
          <t>Hà Nội</t>
        </is>
      </c>
      <c r="G9181" t="inlineStr">
        <is>
          <t>31-03-2026</t>
        </is>
      </c>
      <c r="H9181" t="inlineStr">
        <is>
          <t>31/03/2026</t>
        </is>
      </c>
      <c r="I9181" t="inlineStr">
        <is>
          <t>17/03/2026</t>
        </is>
      </c>
      <c r="J9181" t="inlineStr">
        <is>
          <t>Kế toán / Kiểm toán, Hành chính / Thư ký, Y tế / Chăm sóc sức khỏe / Thẩm mỹ / Làm đẹp</t>
        </is>
      </c>
      <c r="K9181" t="inlineStr">
        <is>
          <t>1 - 2 Năm</t>
        </is>
      </c>
      <c r="L9181" s="8">
        <f>HYPERLINK("https://careerviet.vn/vi/tim-viec-lam/nhan-vien-ho-so-dau-thau-va-quan-ly-hop-dong-ha-noi.35C6A5BC.html","Xem chi tiết")</f>
        <v/>
      </c>
    </row>
    <row r="9182">
      <c r="B9182" s="9" t="n">
        <v>9180</v>
      </c>
      <c r="C9182" s="10" t="inlineStr">
        <is>
          <t>Nhân viên thủ kho</t>
        </is>
      </c>
      <c r="D9182" s="10" t="inlineStr">
        <is>
          <t>Công ty cổ phần Nafoods Group</t>
        </is>
      </c>
      <c r="E9182" s="10" t="inlineStr">
        <is>
          <t>Lương:8 Tr - 8,5 Tr VND</t>
        </is>
      </c>
      <c r="F9182" s="10" t="inlineStr">
        <is>
          <t>Bình Thuận</t>
        </is>
      </c>
      <c r="G9182" s="10" t="inlineStr">
        <is>
          <t>31-03-2026</t>
        </is>
      </c>
      <c r="H9182" s="10" t="inlineStr">
        <is>
          <t>31/03/2026</t>
        </is>
      </c>
      <c r="I9182" s="10" t="inlineStr">
        <is>
          <t>17/03/2026</t>
        </is>
      </c>
      <c r="J9182" s="10" t="inlineStr">
        <is>
          <t>Sản xuất / Vận hành sản xuất</t>
        </is>
      </c>
      <c r="K9182" s="10" t="inlineStr">
        <is>
          <t>1 - 2 Năm</t>
        </is>
      </c>
      <c r="L9182" s="11">
        <f>HYPERLINK("https://careerviet.vn/vi/tim-viec-lam/nhan-vien-thu-kho.35C6A568.html","Xem chi tiết")</f>
        <v/>
      </c>
      <c r="M9182" s="10" t="n"/>
    </row>
    <row r="9183">
      <c r="B9183" s="7" t="n">
        <v>9181</v>
      </c>
      <c r="C9183" t="inlineStr">
        <is>
          <t>Thư Ký Ban Điều Hành</t>
        </is>
      </c>
      <c r="D9183" t="inlineStr">
        <is>
          <t>CÔNG TY CỔ PHẦN TẬP ĐOÀN ONSEN FUJI</t>
        </is>
      </c>
      <c r="E9183" t="inlineStr">
        <is>
          <t>Lương:Cạnh tranh</t>
        </is>
      </c>
      <c r="F9183" t="inlineStr">
        <is>
          <t>Hà Nội</t>
        </is>
      </c>
      <c r="G9183" t="inlineStr">
        <is>
          <t>01-04-2026</t>
        </is>
      </c>
      <c r="H9183" t="inlineStr">
        <is>
          <t>01/04/2026</t>
        </is>
      </c>
      <c r="I9183" t="inlineStr">
        <is>
          <t>17/03/2026</t>
        </is>
      </c>
      <c r="J9183" t="inlineStr">
        <is>
          <t>Hành chính / Thư ký, Xây dựng, Bất động sản</t>
        </is>
      </c>
      <c r="K9183" t="inlineStr">
        <is>
          <t>2 - 3 Năm</t>
        </is>
      </c>
      <c r="L9183" s="8">
        <f>HYPERLINK("https://careerviet.vn/vi/tim-viec-lam/thu-ky-ban-dieu-hanh.35C6A581.html","Xem chi tiết")</f>
        <v/>
      </c>
    </row>
    <row r="9184">
      <c r="B9184" s="9" t="n">
        <v>9182</v>
      </c>
      <c r="C9184" s="10" t="inlineStr">
        <is>
          <t>Trưởng ca sản xuất (Làm việc tại nhà máy thực phẩm Đức Hoà - Long An)</t>
        </is>
      </c>
      <c r="D9184" s="10" t="inlineStr">
        <is>
          <t>Công ty cổ phần Nafoods Group</t>
        </is>
      </c>
      <c r="E9184" s="10" t="inlineStr">
        <is>
          <t>Lương:13 Tr - 18 Tr VND</t>
        </is>
      </c>
      <c r="F9184" s="10" t="inlineStr">
        <is>
          <t>Long An</t>
        </is>
      </c>
      <c r="G9184" s="10" t="inlineStr">
        <is>
          <t>30-04-2026</t>
        </is>
      </c>
      <c r="H9184" s="10" t="inlineStr">
        <is>
          <t>30/04/2026</t>
        </is>
      </c>
      <c r="I9184" s="10" t="inlineStr">
        <is>
          <t>17/03/2026</t>
        </is>
      </c>
      <c r="J9184" s="10" t="inlineStr">
        <is>
          <t>Thực phẩm &amp; Đồ uống, Công nghệ thực phẩm / Dinh dưỡng, Cơ khí / Ô tô / Tự động hóa</t>
        </is>
      </c>
      <c r="K9184" s="10" t="inlineStr">
        <is>
          <t>2 - 5 Năm</t>
        </is>
      </c>
      <c r="L9184" s="11">
        <f>HYPERLINK("https://careerviet.vn/vi/tim-viec-lam/truong-ca-san-xuat-lam-viec-tai-nha-may-thuc-pham-duc-hoa-long-an.35C6A32E.html","Xem chi tiết")</f>
        <v/>
      </c>
      <c r="M9184" s="10" t="n"/>
    </row>
    <row r="9185">
      <c r="B9185" s="7" t="n">
        <v>9183</v>
      </c>
      <c r="C9185" t="inlineStr">
        <is>
          <t>Marketing Executive (Content &amp; Social Focus)</t>
        </is>
      </c>
      <c r="D9185" t="inlineStr">
        <is>
          <t>Bảo mật</t>
        </is>
      </c>
      <c r="E9185" t="inlineStr">
        <is>
          <t>Lương:Cạnh tranh</t>
        </is>
      </c>
      <c r="F9185" t="inlineStr">
        <is>
          <t>Hồ Chí Minh</t>
        </is>
      </c>
      <c r="G9185" t="inlineStr">
        <is>
          <t>31-03-2026</t>
        </is>
      </c>
      <c r="H9185" t="inlineStr">
        <is>
          <t>31/03/2026</t>
        </is>
      </c>
      <c r="I9185" t="inlineStr">
        <is>
          <t>17/03/2026</t>
        </is>
      </c>
      <c r="J9185" t="inlineStr">
        <is>
          <t>Tiếp thị / Marketing, Quảng cáo / Đối ngoại / Truyền Thông, Truyền hình / Báo chí / Biên tập</t>
        </is>
      </c>
      <c r="K9185" t="inlineStr">
        <is>
          <t>1 - 2 Năm</t>
        </is>
      </c>
      <c r="L9185" s="8">
        <f>HYPERLINK("https://careerviet.vn/vi/tim-viec-lam/marketing-executive-content-social-focus.35C6A3BA.html","Xem chi tiết")</f>
        <v/>
      </c>
    </row>
    <row r="9186">
      <c r="B9186" s="9" t="n">
        <v>9184</v>
      </c>
      <c r="C9186" s="10" t="inlineStr">
        <is>
          <t>Nhân viên QC</t>
        </is>
      </c>
      <c r="D9186" s="10" t="inlineStr">
        <is>
          <t>CÔNG TY CỔ PHẦN MORINAGA NUTRITIONAL FOODS VIỆT NAM</t>
        </is>
      </c>
      <c r="E9186" s="10" t="inlineStr">
        <is>
          <t>Lương:10 Tr - 13 Tr VND</t>
        </is>
      </c>
      <c r="F9186" s="10" t="inlineStr">
        <is>
          <t>Thái Nguyên</t>
        </is>
      </c>
      <c r="G9186" s="10" t="inlineStr">
        <is>
          <t>31-03-2026</t>
        </is>
      </c>
      <c r="H9186" s="10" t="inlineStr">
        <is>
          <t>31/03/2026</t>
        </is>
      </c>
      <c r="I9186" s="10" t="inlineStr">
        <is>
          <t>17/03/2026</t>
        </is>
      </c>
      <c r="J9186" s="10" t="inlineStr">
        <is>
          <t>Quản lý chất lượng (QA/QC)</t>
        </is>
      </c>
      <c r="K9186" s="10" t="inlineStr">
        <is>
          <t>1 - 5 Năm</t>
        </is>
      </c>
      <c r="L9186" s="11">
        <f>HYPERLINK("https://careerviet.vn/vi/tim-viec-lam/nhan-vien-qc.35C6A70A.html","Xem chi tiết")</f>
        <v/>
      </c>
      <c r="M9186" s="10" t="n"/>
    </row>
    <row r="9187">
      <c r="B9187" s="7" t="n">
        <v>9185</v>
      </c>
      <c r="C9187" t="inlineStr">
        <is>
          <t>NHÂN VIÊN IE (SEWING &amp; WASHING)</t>
        </is>
      </c>
      <c r="D9187" t="inlineStr">
        <is>
          <t>Công Ty TNHH Sơn Tùng</t>
        </is>
      </c>
      <c r="E9187" t="inlineStr">
        <is>
          <t>Lương:13 Tr - 15 Tr VND</t>
        </is>
      </c>
      <c r="F9187" t="inlineStr">
        <is>
          <t>Hồ Chí Minh</t>
        </is>
      </c>
      <c r="G9187" t="inlineStr">
        <is>
          <t>31-03-2026</t>
        </is>
      </c>
      <c r="H9187" t="inlineStr">
        <is>
          <t>31/03/2026</t>
        </is>
      </c>
      <c r="I9187" t="inlineStr">
        <is>
          <t>17/03/2026</t>
        </is>
      </c>
      <c r="J9187" t="inlineStr">
        <is>
          <t>Dệt may / Da giày / Thời trang, Sản xuất / Vận hành sản xuất</t>
        </is>
      </c>
      <c r="K9187" t="inlineStr">
        <is>
          <t>2 - 3 Năm</t>
        </is>
      </c>
      <c r="L9187" s="8">
        <f>HYPERLINK("https://careerviet.vn/vi/tim-viec-lam/nhan-vien-ie-sewing-washing.35C6A4C0.html","Xem chi tiết")</f>
        <v/>
      </c>
    </row>
    <row r="9188">
      <c r="B9188" s="9" t="n">
        <v>9186</v>
      </c>
      <c r="C9188" s="10" t="inlineStr">
        <is>
          <t>Trực tổng đài 247 cho ngân hàng MB bank tại Đống Đa</t>
        </is>
      </c>
      <c r="D9188" s="10" t="inlineStr">
        <is>
          <t>CÔNG TY CỔ PHẦN TRUYỀN THÔNG KIM CƯƠNG</t>
        </is>
      </c>
      <c r="E9188" s="10" t="inlineStr">
        <is>
          <t>Lương:8 Tr - 12 Tr VND</t>
        </is>
      </c>
      <c r="F9188" s="10" t="inlineStr">
        <is>
          <t>Hà Nội</t>
        </is>
      </c>
      <c r="G9188" s="10" t="inlineStr">
        <is>
          <t>31-03-2026</t>
        </is>
      </c>
      <c r="H9188" s="10" t="inlineStr">
        <is>
          <t>31/03/2026</t>
        </is>
      </c>
      <c r="I9188" s="10" t="inlineStr">
        <is>
          <t>17/03/2026</t>
        </is>
      </c>
      <c r="J9188" s="10" t="inlineStr">
        <is>
          <t>Giáo dục / Đào tạo, Hành chính / Thư ký, Ngân hàng</t>
        </is>
      </c>
      <c r="K9188" s="10" t="inlineStr">
        <is>
          <t>N/A</t>
        </is>
      </c>
      <c r="L9188" s="11">
        <f>HYPERLINK("https://careerviet.vn/vi/tim-viec-lam/truc-tong-dai-247-cho-ngan-hang-mb-bank-tai-dong-da.35C6A52A.html","Xem chi tiết")</f>
        <v/>
      </c>
      <c r="M9188" s="10" t="n"/>
    </row>
    <row r="9189">
      <c r="B9189" s="7" t="n">
        <v>9187</v>
      </c>
      <c r="C9189" t="inlineStr">
        <is>
          <t>Nhân viên QC (hàn và kích thước)</t>
        </is>
      </c>
      <c r="D9189" t="inlineStr">
        <is>
          <t>CÔNG TY TRÁCH NHIỆM HỮU HẠN THÉP QSB</t>
        </is>
      </c>
      <c r="E9189" t="inlineStr">
        <is>
          <t>Lương:9 Tr - 14 Tr VND</t>
        </is>
      </c>
      <c r="F9189" t="inlineStr">
        <is>
          <t>Long An</t>
        </is>
      </c>
      <c r="G9189" t="inlineStr">
        <is>
          <t>2</t>
        </is>
      </c>
      <c r="H9189" t="inlineStr">
        <is>
          <t>19/03/2026</t>
        </is>
      </c>
      <c r="I9189" t="inlineStr">
        <is>
          <t>17/03/2026</t>
        </is>
      </c>
      <c r="J9189" t="inlineStr">
        <is>
          <t>Cơ khí / Ô tô / Tự động hóa, Quản lý chất lượng (QA/QC), Xây dựng</t>
        </is>
      </c>
      <c r="K9189" t="inlineStr">
        <is>
          <t>N/A</t>
        </is>
      </c>
      <c r="L9189" s="8">
        <f>HYPERLINK("https://careerviet.vn/vi/tim-viec-lam/nhan-vien-qc-han-va-kich-thuoc.35C6A2EA.html","Xem chi tiết")</f>
        <v/>
      </c>
    </row>
    <row r="9190">
      <c r="B9190" s="9" t="n">
        <v>9188</v>
      </c>
      <c r="C9190" s="10" t="inlineStr">
        <is>
          <t>Nhân viên Google Ads</t>
        </is>
      </c>
      <c r="D9190" s="10" t="inlineStr">
        <is>
          <t>Công ty CP Toshiko Việt Nam</t>
        </is>
      </c>
      <c r="E9190" s="10" t="inlineStr">
        <is>
          <t>Lương:20 Tr - 25 Tr VND</t>
        </is>
      </c>
      <c r="F9190" s="10" t="inlineStr">
        <is>
          <t>Hà Nội</t>
        </is>
      </c>
      <c r="G9190" s="10" t="inlineStr">
        <is>
          <t>04-04-2026</t>
        </is>
      </c>
      <c r="H9190" s="10" t="inlineStr">
        <is>
          <t>04/04/2026</t>
        </is>
      </c>
      <c r="I9190" s="10" t="inlineStr">
        <is>
          <t>17/03/2026</t>
        </is>
      </c>
      <c r="J9190" s="10" t="inlineStr">
        <is>
          <t>Tiếp thị / Marketing</t>
        </is>
      </c>
      <c r="K9190" s="10" t="inlineStr">
        <is>
          <t>Trên 1 Năm</t>
        </is>
      </c>
      <c r="L9190" s="11">
        <f>HYPERLINK("https://careerviet.vn/vi/tim-viec-lam/nhan-vien-google-ads.35C6A533.html","Xem chi tiết")</f>
        <v/>
      </c>
      <c r="M9190" s="10" t="n"/>
    </row>
    <row r="9191">
      <c r="B9191" s="7" t="n">
        <v>9189</v>
      </c>
      <c r="C9191" t="inlineStr">
        <is>
          <t>NHÂN VIÊN KẾ TOÁN</t>
        </is>
      </c>
      <c r="D9191" t="inlineStr">
        <is>
          <t>Công Ty Cổ Phần Công Nghệ Mạng Viễn Thông C-LINK</t>
        </is>
      </c>
      <c r="E9191" t="inlineStr">
        <is>
          <t>Lương:8 Tr - 9 Tr VND</t>
        </is>
      </c>
      <c r="F9191" t="inlineStr">
        <is>
          <t>Hà Nội</t>
        </is>
      </c>
      <c r="G9191" t="inlineStr">
        <is>
          <t>31-03-2026</t>
        </is>
      </c>
      <c r="H9191" t="inlineStr">
        <is>
          <t>31/03/2026</t>
        </is>
      </c>
      <c r="I9191" t="inlineStr">
        <is>
          <t>17/03/2026</t>
        </is>
      </c>
      <c r="J9191" t="inlineStr">
        <is>
          <t>Kế toán / Kiểm toán, Ngành khác</t>
        </is>
      </c>
      <c r="K9191" t="inlineStr">
        <is>
          <t>1 - 5 Năm</t>
        </is>
      </c>
      <c r="L9191" s="8">
        <f>HYPERLINK("https://careerviet.vn/vi/tim-viec-lam/nhan-vien-ke-toan.35C6A628.html","Xem chi tiết")</f>
        <v/>
      </c>
    </row>
    <row r="9192">
      <c r="B9192" s="9" t="n">
        <v>9190</v>
      </c>
      <c r="C9192" s="10" t="inlineStr">
        <is>
          <t>Nhân Viên Kinh Doanh Thiết Bị Y Tế</t>
        </is>
      </c>
      <c r="D9192" s="10" t="inlineStr">
        <is>
          <t>CÔNG TY CỔ PHẦN TRANG THIẾT BỊ Y TẾ ĐỨC TÍN</t>
        </is>
      </c>
      <c r="E9192" s="10" t="inlineStr">
        <is>
          <t>Lương:Cạnh tranh</t>
        </is>
      </c>
      <c r="F9192" s="10" t="inlineStr">
        <is>
          <t>Hồ Chí Minh</t>
        </is>
      </c>
      <c r="G9192" s="10" t="inlineStr">
        <is>
          <t>31-03-2026</t>
        </is>
      </c>
      <c r="H9192" s="10" t="inlineStr">
        <is>
          <t>31/03/2026</t>
        </is>
      </c>
      <c r="I9192" s="10" t="inlineStr">
        <is>
          <t>17/03/2026</t>
        </is>
      </c>
      <c r="J9192" s="10" t="inlineStr">
        <is>
          <t>Bán hàng / Kinh doanh, Y tế / Chăm sóc sức khỏe / Thẩm mỹ / Làm đẹp, Dịch vụ khách hàng</t>
        </is>
      </c>
      <c r="K9192" s="10" t="inlineStr">
        <is>
          <t>1 - 2 Năm</t>
        </is>
      </c>
      <c r="L9192" s="11">
        <f>HYPERLINK("https://careerviet.vn/vi/tim-viec-lam/nhan-vien-kinh-doanh-thiet-bi-y-te.35C39B7E.html","Xem chi tiết")</f>
        <v/>
      </c>
      <c r="M9192" s="10" t="n"/>
    </row>
    <row r="9193">
      <c r="B9193" s="7" t="n">
        <v>9191</v>
      </c>
      <c r="C9193" t="inlineStr">
        <is>
          <t>HCM - Trưởng Nhóm Hỗ Trợ Thanh Toán Khoản Vay Qua Điện Thoại (Call Collection Team Leader)</t>
        </is>
      </c>
      <c r="D9193" t="inlineStr">
        <is>
          <t>LOTTE FINANCE VIETNAM</t>
        </is>
      </c>
      <c r="E9193" t="inlineStr">
        <is>
          <t>Lương:Cạnh tranh</t>
        </is>
      </c>
      <c r="F9193" t="inlineStr">
        <is>
          <t>Hồ Chí Minh</t>
        </is>
      </c>
      <c r="G9193" t="inlineStr">
        <is>
          <t>01-04-2026</t>
        </is>
      </c>
      <c r="H9193" t="inlineStr">
        <is>
          <t>01/04/2026</t>
        </is>
      </c>
      <c r="I9193" t="inlineStr">
        <is>
          <t>17/03/2026</t>
        </is>
      </c>
      <c r="J9193" t="inlineStr">
        <is>
          <t>Ngân hàng, Bảo hiểm, Tài chính / Đầu tư</t>
        </is>
      </c>
      <c r="K9193" t="inlineStr">
        <is>
          <t>Trên 2 Năm</t>
        </is>
      </c>
      <c r="L9193" s="8">
        <f>HYPERLINK("https://careerviet.vn/vi/tim-viec-lam/hcm-truong-nhom-ho-tro-thanh-toan-khoan-vay-qua-dien-thoai-call-collection-team-leader.35C6A6B3.html","Xem chi tiết")</f>
        <v/>
      </c>
    </row>
    <row r="9194">
      <c r="B9194" s="9" t="n">
        <v>9192</v>
      </c>
      <c r="C9194" s="10" t="inlineStr">
        <is>
          <t>Chuyên viên Tư vấn Tài chính Cá nhân</t>
        </is>
      </c>
      <c r="D9194" s="10" t="inlineStr">
        <is>
          <t>Ngân Hàng TMCP Sài Gòn - Hà Nội ( SHB )</t>
        </is>
      </c>
      <c r="E9194" s="10" t="inlineStr">
        <is>
          <t>Lương:Cạnh tranh</t>
        </is>
      </c>
      <c r="F9194" s="10" t="inlineStr">
        <is>
          <t>Thái BìnhHà NamVĩnh Phúc</t>
        </is>
      </c>
      <c r="G9194" s="10" t="inlineStr">
        <is>
          <t>01-04-2026</t>
        </is>
      </c>
      <c r="H9194" s="10" t="inlineStr">
        <is>
          <t>01/04/2026</t>
        </is>
      </c>
      <c r="I9194" s="10" t="inlineStr">
        <is>
          <t>17/03/2026</t>
        </is>
      </c>
      <c r="J9194" s="10" t="inlineStr">
        <is>
          <t>Ngân hàng</t>
        </is>
      </c>
      <c r="K9194" s="10" t="inlineStr">
        <is>
          <t>Trên 1 Năm</t>
        </is>
      </c>
      <c r="L9194" s="11">
        <f>HYPERLINK("https://careerviet.vn/vi/tim-viec-lam/chuyen-vien-tu-van-tai-chinh-ca-nhan.35C6A35D.html","Xem chi tiết")</f>
        <v/>
      </c>
      <c r="M9194" s="10" t="n"/>
    </row>
    <row r="9195">
      <c r="B9195" s="7" t="n">
        <v>9193</v>
      </c>
      <c r="C9195" t="inlineStr">
        <is>
          <t>Đại Diện Bán Hàng</t>
        </is>
      </c>
      <c r="D9195" t="inlineStr">
        <is>
          <t>Tập Đoàn Karofi Holding</t>
        </is>
      </c>
      <c r="E9195" t="inlineStr">
        <is>
          <t>Lương:Cạnh tranh</t>
        </is>
      </c>
      <c r="F9195" t="inlineStr">
        <is>
          <t>Nghệ AnQuảng TrịHà Nội</t>
        </is>
      </c>
      <c r="G9195" t="inlineStr">
        <is>
          <t>01-04-2026</t>
        </is>
      </c>
      <c r="H9195" t="inlineStr">
        <is>
          <t>01/04/2026</t>
        </is>
      </c>
      <c r="I9195" t="inlineStr">
        <is>
          <t>17/03/2026</t>
        </is>
      </c>
      <c r="J9195" t="inlineStr">
        <is>
          <t>Hàng gia dụng / Chăm sóc cá nhân, Bán lẻ / Bán sỉ, Bán hàng / Kinh doanh</t>
        </is>
      </c>
      <c r="K9195" t="inlineStr">
        <is>
          <t>Trên 1 Năm</t>
        </is>
      </c>
      <c r="L9195" s="8">
        <f>HYPERLINK("https://careerviet.vn/vi/tim-viec-lam/dai-dien-ban-hang.35C6A70D.html","Xem chi tiết")</f>
        <v/>
      </c>
    </row>
    <row r="9196">
      <c r="B9196" s="9" t="n">
        <v>9194</v>
      </c>
      <c r="C9196" s="10" t="inlineStr">
        <is>
          <t>Trợ Lý Phó Tổng Giám Đốc (Mảng Marketing)</t>
        </is>
      </c>
      <c r="D9196" s="10" t="inlineStr">
        <is>
          <t>Tập Đoàn Tân Á Đại Thành</t>
        </is>
      </c>
      <c r="E9196" s="10" t="inlineStr">
        <is>
          <t>Lương:Cạnh tranh</t>
        </is>
      </c>
      <c r="F9196" s="10" t="inlineStr">
        <is>
          <t>Hà Nội</t>
        </is>
      </c>
      <c r="G9196" s="10" t="inlineStr">
        <is>
          <t>31-03-2026</t>
        </is>
      </c>
      <c r="H9196" s="10" t="inlineStr">
        <is>
          <t>31/03/2026</t>
        </is>
      </c>
      <c r="I9196" s="10" t="inlineStr">
        <is>
          <t>17/03/2026</t>
        </is>
      </c>
      <c r="J9196" s="10" t="inlineStr">
        <is>
          <t>Tiếp thị / Marketing, Truyền hình / Báo chí / Biên tập, Quảng cáo / Đối ngoại / Truyền Thông</t>
        </is>
      </c>
      <c r="K9196" s="10" t="inlineStr">
        <is>
          <t>Trên 3 Năm</t>
        </is>
      </c>
      <c r="L9196" s="11">
        <f>HYPERLINK("https://careerviet.vn/vi/tim-viec-lam/tro-ly-pho-tong-giam-doc-mang-marketing.35C6A36E.html","Xem chi tiết")</f>
        <v/>
      </c>
      <c r="M9196" s="10" t="n"/>
    </row>
    <row r="9197">
      <c r="B9197" s="7" t="n">
        <v>9195</v>
      </c>
      <c r="C9197" t="inlineStr">
        <is>
          <t>Lab Team Leader - Samples Preparation</t>
        </is>
      </c>
      <c r="D9197" t="inlineStr">
        <is>
          <t>Cty SGS Việt Nam TNHH</t>
        </is>
      </c>
      <c r="E9197" t="inlineStr">
        <is>
          <t>Lương:Cạnh tranh</t>
        </is>
      </c>
      <c r="F9197" t="inlineStr">
        <is>
          <t>Hồ Chí Minh</t>
        </is>
      </c>
      <c r="G9197" t="inlineStr">
        <is>
          <t>11-04-2026</t>
        </is>
      </c>
      <c r="H9197" t="inlineStr">
        <is>
          <t>11/04/2026</t>
        </is>
      </c>
      <c r="I9197" t="inlineStr">
        <is>
          <t>17/03/2026</t>
        </is>
      </c>
      <c r="J9197" t="inlineStr">
        <is>
          <t>Hóa học, Công nghệ sinh học, Thực phẩm &amp; Đồ uống</t>
        </is>
      </c>
      <c r="K9197" t="inlineStr">
        <is>
          <t>3 - 5 Năm</t>
        </is>
      </c>
      <c r="L9197" s="8">
        <f>HYPERLINK("https://careerviet.vn/vi/tim-viec-lam/lab-team-leader-samples-preparation.35C6A6EB.html","Xem chi tiết")</f>
        <v/>
      </c>
    </row>
    <row r="9198">
      <c r="B9198" s="9" t="n">
        <v>9196</v>
      </c>
      <c r="C9198" s="10" t="inlineStr">
        <is>
          <t>Nhân viên Xử lý Khiếu nại &amp; Tranh chấp (Shopee Dispute Officer)</t>
        </is>
      </c>
      <c r="D9198" s="10" t="inlineStr">
        <is>
          <t>Công Ty TNHH Việt Mỹ-SSU</t>
        </is>
      </c>
      <c r="E9198" s="10" t="inlineStr">
        <is>
          <t>Lương:7 Tr - 9 Tr VND</t>
        </is>
      </c>
      <c r="F9198" s="10" t="inlineStr">
        <is>
          <t>Hồ Chí Minh</t>
        </is>
      </c>
      <c r="G9198" s="10" t="inlineStr">
        <is>
          <t>02-04-2026</t>
        </is>
      </c>
      <c r="H9198" s="10" t="inlineStr">
        <is>
          <t>02/04/2026</t>
        </is>
      </c>
      <c r="I9198" s="10" t="inlineStr">
        <is>
          <t>17/03/2026</t>
        </is>
      </c>
      <c r="J9198" s="10" t="inlineStr">
        <is>
          <t>Thương mại điện tử, Dịch vụ khách hàng</t>
        </is>
      </c>
      <c r="K9198" s="10" t="inlineStr">
        <is>
          <t>Lên đến 1 Năm</t>
        </is>
      </c>
      <c r="L9198" s="11">
        <f>HYPERLINK("https://careerviet.vn/vi/tim-viec-lam/nhan-vien-xu-ly-khieu-nai-tranh-chap-shopee-dispute-officer.35C5F2FD.html","Xem chi tiết")</f>
        <v/>
      </c>
      <c r="M9198" s="10" t="n"/>
    </row>
    <row r="9199">
      <c r="B9199" s="7" t="n">
        <v>9197</v>
      </c>
      <c r="C9199" t="inlineStr">
        <is>
          <t>Customer Service Supervisor (Furniture)</t>
        </is>
      </c>
      <c r="D9199" t="inlineStr">
        <is>
          <t>Vietnam Furniture Resources (VFR)</t>
        </is>
      </c>
      <c r="E9199" t="inlineStr">
        <is>
          <t>Lương:Cạnh tranh</t>
        </is>
      </c>
      <c r="F9199" t="inlineStr">
        <is>
          <t>Bình Dương</t>
        </is>
      </c>
      <c r="G9199" t="inlineStr">
        <is>
          <t>03-04-2026</t>
        </is>
      </c>
      <c r="H9199" t="inlineStr">
        <is>
          <t>03/04/2026</t>
        </is>
      </c>
      <c r="I9199" t="inlineStr">
        <is>
          <t>17/03/2026</t>
        </is>
      </c>
      <c r="J9199" t="inlineStr">
        <is>
          <t>Dịch vụ khách hàng, Đồ gỗ, Nội ngoại thất</t>
        </is>
      </c>
      <c r="K9199" t="inlineStr">
        <is>
          <t>3 - 10 Năm</t>
        </is>
      </c>
      <c r="L9199" s="8">
        <f>HYPERLINK("https://careerviet.vn/vi/tim-viec-lam/customer-service-supervisor-furniture.35C6A551.html","Xem chi tiết")</f>
        <v/>
      </c>
    </row>
    <row r="9200">
      <c r="B9200" s="9" t="n">
        <v>9198</v>
      </c>
      <c r="C9200" s="10" t="inlineStr">
        <is>
          <t>Nhân viên Hành chính - Nhân sự</t>
        </is>
      </c>
      <c r="D9200" s="10" t="inlineStr">
        <is>
          <t>Công ty TNHH MTV Công nghệ Tin học Viễn Sơn</t>
        </is>
      </c>
      <c r="E9200" s="10" t="inlineStr">
        <is>
          <t>Lương:8 Tr - 10 Tr VND</t>
        </is>
      </c>
      <c r="F9200" s="10" t="inlineStr">
        <is>
          <t>Hồ Chí Minh</t>
        </is>
      </c>
      <c r="G9200" s="10" t="inlineStr">
        <is>
          <t>31-03-2026</t>
        </is>
      </c>
      <c r="H9200" s="10" t="inlineStr">
        <is>
          <t>31/03/2026</t>
        </is>
      </c>
      <c r="I9200" s="10" t="inlineStr">
        <is>
          <t>17/03/2026</t>
        </is>
      </c>
      <c r="J9200" s="10" t="inlineStr">
        <is>
          <t>Hành chính / Thư ký, Nhân sự</t>
        </is>
      </c>
      <c r="K9200" s="10" t="inlineStr">
        <is>
          <t>1 - 2 Năm</t>
        </is>
      </c>
      <c r="L9200" s="11">
        <f>HYPERLINK("https://careerviet.vn/vi/tim-viec-lam/nhan-vien-hanh-chinh-nhan-su.35C6A3EB.html","Xem chi tiết")</f>
        <v/>
      </c>
      <c r="M9200" s="10" t="n"/>
    </row>
    <row r="9201">
      <c r="B9201" s="7" t="n">
        <v>9199</v>
      </c>
      <c r="C9201" t="inlineStr">
        <is>
          <t>Sales Engineer (Tuyển Gấp)</t>
        </is>
      </c>
      <c r="D9201" t="inlineStr">
        <is>
          <t>CÔNG TY CỔ PHẦN Y&amp;Y GROUP</t>
        </is>
      </c>
      <c r="E9201" t="inlineStr">
        <is>
          <t>Lương:Cạnh tranh</t>
        </is>
      </c>
      <c r="F9201" t="inlineStr">
        <is>
          <t>Hà NộiĐà Nẵng</t>
        </is>
      </c>
      <c r="G9201" t="inlineStr">
        <is>
          <t>02-04-2026</t>
        </is>
      </c>
      <c r="H9201" t="inlineStr">
        <is>
          <t>02/04/2026</t>
        </is>
      </c>
      <c r="I9201" t="inlineStr">
        <is>
          <t>17/03/2026</t>
        </is>
      </c>
      <c r="J9201" t="inlineStr">
        <is>
          <t>Bán lẻ / Bán sỉ, Bán hàng / Kinh doanh, Bán Hàng Kỹ Thuật</t>
        </is>
      </c>
      <c r="K9201" t="inlineStr">
        <is>
          <t>Trên 2 Năm</t>
        </is>
      </c>
      <c r="L9201" s="8">
        <f>HYPERLINK("https://careerviet.vn/vi/tim-viec-lam/sales-engineer-tuyen-gap.35C6A561.html","Xem chi tiết")</f>
        <v/>
      </c>
    </row>
    <row r="9202">
      <c r="B9202" s="9" t="n">
        <v>9200</v>
      </c>
      <c r="C9202" s="10" t="inlineStr">
        <is>
          <t>[ TP.Hồ Chí Minh] Giám Sát Kinh Doanh Bán Hàng Trực Tiếp</t>
        </is>
      </c>
      <c r="D9202" s="10" t="inlineStr">
        <is>
          <t>Công Ty Tài Chính Mirae Asset (Việt Nam)</t>
        </is>
      </c>
      <c r="E9202" s="10" t="inlineStr">
        <is>
          <t>Lương:Cạnh tranh</t>
        </is>
      </c>
      <c r="F9202" s="10" t="inlineStr">
        <is>
          <t>Hồ Chí Minh</t>
        </is>
      </c>
      <c r="G9202" s="10" t="inlineStr">
        <is>
          <t>08-04-2026</t>
        </is>
      </c>
      <c r="H9202" s="10" t="inlineStr">
        <is>
          <t>08/04/2026</t>
        </is>
      </c>
      <c r="I9202" s="10" t="inlineStr">
        <is>
          <t>17/03/2026</t>
        </is>
      </c>
      <c r="J9202" s="10" t="inlineStr">
        <is>
          <t>Dịch vụ khách hàng, Bán hàng / Kinh doanh, Tài chính / Đầu tư</t>
        </is>
      </c>
      <c r="K9202" s="10" t="inlineStr">
        <is>
          <t>2 - 3 Năm</t>
        </is>
      </c>
      <c r="L9202" s="11">
        <f>HYPERLINK("https://careerviet.vn/vi/tim-viec-lam/tp-ho-chi-minh-giam-sat-kinh-doanh-ban-hang-truc-tiep.35C6B9EF.html","Xem chi tiết")</f>
        <v/>
      </c>
      <c r="M9202" s="10" t="n"/>
    </row>
    <row r="9203">
      <c r="B9203" s="7" t="n">
        <v>9201</v>
      </c>
      <c r="C9203" t="inlineStr">
        <is>
          <t>Nhân viên kinh doanh - địa bàn Quảng Bình</t>
        </is>
      </c>
      <c r="D9203" t="inlineStr">
        <is>
          <t>Tổng Công Ty Cổ Phần Bảo Hiểm Ngân Hàng TMCP Công Thương Việt Nam</t>
        </is>
      </c>
      <c r="E9203" t="inlineStr">
        <is>
          <t>Lương:Cạnh tranh</t>
        </is>
      </c>
      <c r="F9203" t="inlineStr">
        <is>
          <t>Quảng Bình</t>
        </is>
      </c>
      <c r="G9203" t="inlineStr">
        <is>
          <t>16-04-2026</t>
        </is>
      </c>
      <c r="H9203" t="inlineStr">
        <is>
          <t>16/04/2026</t>
        </is>
      </c>
      <c r="I9203" t="inlineStr">
        <is>
          <t>17/03/2026</t>
        </is>
      </c>
      <c r="J9203" t="inlineStr">
        <is>
          <t>Bảo hiểm</t>
        </is>
      </c>
      <c r="K9203" t="inlineStr">
        <is>
          <t>1 - 2 Năm</t>
        </is>
      </c>
      <c r="L9203" s="8">
        <f>HYPERLINK("https://careerviet.vn/vi/tim-viec-lam/nhan-vien-kinh-doanh-dia-ban-quang-binh.35C6B9D4.html","Xem chi tiết")</f>
        <v/>
      </c>
    </row>
    <row r="9204">
      <c r="B9204" s="9" t="n">
        <v>9202</v>
      </c>
      <c r="C9204" s="10" t="inlineStr">
        <is>
          <t>Chuyên Viên Tư Vấn Tuyển Sinh Mầm Non - ILO Preschool Gò Vấp</t>
        </is>
      </c>
      <c r="D9204" s="10" t="inlineStr">
        <is>
          <t>ILA Việt Nam</t>
        </is>
      </c>
      <c r="E9204" s="10" t="inlineStr">
        <is>
          <t>Lương:8,5 Tr - 20 Tr VND</t>
        </is>
      </c>
      <c r="F9204" s="10" t="inlineStr">
        <is>
          <t>Hồ Chí Minh</t>
        </is>
      </c>
      <c r="G9204" s="10" t="inlineStr">
        <is>
          <t>15-04-2026</t>
        </is>
      </c>
      <c r="H9204" s="10" t="inlineStr">
        <is>
          <t>15/04/2026</t>
        </is>
      </c>
      <c r="I9204" s="10" t="inlineStr">
        <is>
          <t>17/03/2026</t>
        </is>
      </c>
      <c r="J9204" s="10" t="inlineStr">
        <is>
          <t>Bán hàng / Kinh doanh, Tư vấn, Giáo dục / Đào tạo</t>
        </is>
      </c>
      <c r="K9204" s="10" t="inlineStr">
        <is>
          <t>1 - 2 Năm</t>
        </is>
      </c>
      <c r="L9204" s="11">
        <f>HYPERLINK("https://careerviet.vn/vi/tim-viec-lam/chuyen-vien-tu-van-tuyen-sinh-mam-non-ilo-preschool-go-vap.35C6B938.html","Xem chi tiết")</f>
        <v/>
      </c>
      <c r="M9204" s="10" t="n"/>
    </row>
    <row r="9205">
      <c r="B9205" s="7" t="n">
        <v>9203</v>
      </c>
      <c r="C9205" t="inlineStr">
        <is>
          <t>[Điện Biên, Lào Cai] Giám Sát Kinh Doanh Bán Hàng Trả Góp</t>
        </is>
      </c>
      <c r="D9205" t="inlineStr">
        <is>
          <t>Công Ty Tài Chính Mirae Asset (Việt Nam)</t>
        </is>
      </c>
      <c r="E9205" t="inlineStr">
        <is>
          <t>Lương:Cạnh tranh</t>
        </is>
      </c>
      <c r="F9205" t="inlineStr">
        <is>
          <t>Lào CaiKV Bắc Trung BộĐiện Biên</t>
        </is>
      </c>
      <c r="G9205" t="inlineStr">
        <is>
          <t>08-04-2026</t>
        </is>
      </c>
      <c r="H9205" t="inlineStr">
        <is>
          <t>08/04/2026</t>
        </is>
      </c>
      <c r="I9205" t="inlineStr">
        <is>
          <t>17/03/2026</t>
        </is>
      </c>
      <c r="J9205" t="inlineStr">
        <is>
          <t>Dịch vụ khách hàng, Bán hàng / Kinh doanh, Tài chính / Đầu tư</t>
        </is>
      </c>
      <c r="K9205" t="inlineStr">
        <is>
          <t>2 - 3 Năm</t>
        </is>
      </c>
      <c r="L9205" s="8">
        <f>HYPERLINK("https://careerviet.vn/vi/tim-viec-lam/dien-bien-lao-cai-giam-sat-kinh-doanh-ban-hang-tra-gop.35C6B9F1.html","Xem chi tiết")</f>
        <v/>
      </c>
    </row>
    <row r="9206">
      <c r="B9206" s="9" t="n">
        <v>9204</v>
      </c>
      <c r="C9206" s="10" t="inlineStr">
        <is>
          <t>Trưởng Nhóm Marketing</t>
        </is>
      </c>
      <c r="D9206" s="10" t="inlineStr">
        <is>
          <t>Công Ty TNHH Nidp Biotech Dental Vietnam</t>
        </is>
      </c>
      <c r="E9206" s="10" t="inlineStr">
        <is>
          <t>Lương:18 Tr - 22 Tr VND</t>
        </is>
      </c>
      <c r="F9206" s="10" t="inlineStr">
        <is>
          <t>Hồ Chí Minh</t>
        </is>
      </c>
      <c r="G9206" s="10" t="inlineStr">
        <is>
          <t>08-04-2026</t>
        </is>
      </c>
      <c r="H9206" s="10" t="inlineStr">
        <is>
          <t>08/04/2026</t>
        </is>
      </c>
      <c r="I9206" s="10" t="inlineStr">
        <is>
          <t>17/03/2026</t>
        </is>
      </c>
      <c r="J9206" s="10" t="inlineStr">
        <is>
          <t>Tiếp thị / Marketing, Quản lý điều hành, Quảng cáo / Đối ngoại / Truyền Thông</t>
        </is>
      </c>
      <c r="K9206" s="10" t="inlineStr">
        <is>
          <t>Trên 3 Năm</t>
        </is>
      </c>
      <c r="L9206" s="11">
        <f>HYPERLINK("https://careerviet.vn/vi/tim-viec-lam/truong-nhom-marketing.35C6BA39.html","Xem chi tiết")</f>
        <v/>
      </c>
      <c r="M9206" s="10" t="n"/>
    </row>
    <row r="9207">
      <c r="B9207" s="7" t="n">
        <v>9205</v>
      </c>
      <c r="C9207" t="inlineStr">
        <is>
          <t>Nhân Viên Nghiên Cứu Thí Nghiệm</t>
        </is>
      </c>
      <c r="D9207" t="inlineStr">
        <is>
          <t>Công ty Cổ Phần Tập Đoàn Thiên Long</t>
        </is>
      </c>
      <c r="E9207" t="inlineStr">
        <is>
          <t>Lương:12 Tr - 15 Tr VND</t>
        </is>
      </c>
      <c r="F9207" t="inlineStr">
        <is>
          <t>Hồ Chí Minh</t>
        </is>
      </c>
      <c r="G9207" t="inlineStr">
        <is>
          <t>09-04-2026</t>
        </is>
      </c>
      <c r="H9207" t="inlineStr">
        <is>
          <t>09/04/2026</t>
        </is>
      </c>
      <c r="I9207" t="inlineStr">
        <is>
          <t>17/03/2026</t>
        </is>
      </c>
      <c r="J9207" t="inlineStr">
        <is>
          <t>Hóa học</t>
        </is>
      </c>
      <c r="K9207" t="inlineStr">
        <is>
          <t>Trên 1 Năm</t>
        </is>
      </c>
      <c r="L9207" s="8">
        <f>HYPERLINK("https://careerviet.vn/vi/tim-viec-lam/nhan-vien-nghien-cuu-thi-nghiem.35C6BA01.html","Xem chi tiết")</f>
        <v/>
      </c>
    </row>
    <row r="9208">
      <c r="B9208" s="9" t="n">
        <v>9206</v>
      </c>
      <c r="C9208" s="10" t="inlineStr">
        <is>
          <t>Graphic Designer cum Editor</t>
        </is>
      </c>
      <c r="D9208" s="10" t="inlineStr">
        <is>
          <t>CÔNG TY CỔ PHẦN DỊCH VỤ CIRCO</t>
        </is>
      </c>
      <c r="E9208" s="10" t="inlineStr">
        <is>
          <t>Lương:10 Tr - 12 Tr VND</t>
        </is>
      </c>
      <c r="F9208" s="10" t="inlineStr">
        <is>
          <t>Hồ Chí Minh</t>
        </is>
      </c>
      <c r="G9208" s="10" t="inlineStr">
        <is>
          <t>08-04-2026</t>
        </is>
      </c>
      <c r="H9208" s="10" t="inlineStr">
        <is>
          <t>08/04/2026</t>
        </is>
      </c>
      <c r="I9208" s="10" t="inlineStr">
        <is>
          <t>17/03/2026</t>
        </is>
      </c>
      <c r="J9208" s="10" t="inlineStr">
        <is>
          <t>Xây dựng, Bất động sản, Mỹ thuật / Nghệ thuật / Thiết kế</t>
        </is>
      </c>
      <c r="K9208" s="10" t="inlineStr">
        <is>
          <t>Lên đến 1 Năm</t>
        </is>
      </c>
      <c r="L9208" s="11">
        <f>HYPERLINK("https://careerviet.vn/vi/tim-viec-lam/graphic-designer-cum-editor.35C6B765.html","Xem chi tiết")</f>
        <v/>
      </c>
      <c r="M9208" s="10" t="n"/>
    </row>
    <row r="9209">
      <c r="B9209" s="7" t="n">
        <v>9207</v>
      </c>
      <c r="C9209" t="inlineStr">
        <is>
          <t>Kế Toán Quản Trị</t>
        </is>
      </c>
      <c r="D9209" t="inlineStr">
        <is>
          <t>CÔNG TY TNHH SẢN XUẤT XÂY DỰNG ÁNH DƯƠNG XANH</t>
        </is>
      </c>
      <c r="E9209" t="inlineStr">
        <is>
          <t>Lương:14 Tr - 17 Tr VND</t>
        </is>
      </c>
      <c r="F9209" t="inlineStr">
        <is>
          <t>Hồ Chí Minh</t>
        </is>
      </c>
      <c r="G9209" t="inlineStr">
        <is>
          <t>31-03-2026</t>
        </is>
      </c>
      <c r="H9209" t="inlineStr">
        <is>
          <t>31/03/2026</t>
        </is>
      </c>
      <c r="I9209" t="inlineStr">
        <is>
          <t>17/03/2026</t>
        </is>
      </c>
      <c r="J9209" t="inlineStr">
        <is>
          <t>Tài chính / Đầu tư, Sản xuất / Vận hành sản xuất, Kế toán / Kiểm toán</t>
        </is>
      </c>
      <c r="K9209" t="inlineStr">
        <is>
          <t>Chưa có kinh nghiệm</t>
        </is>
      </c>
      <c r="L9209" s="8">
        <f>HYPERLINK("https://careerviet.vn/vi/tim-viec-lam/ke-toan-quan-tri.35C6BA56.html","Xem chi tiết")</f>
        <v/>
      </c>
    </row>
    <row r="9210">
      <c r="B9210" s="9" t="n">
        <v>9208</v>
      </c>
      <c r="C9210" s="10" t="inlineStr">
        <is>
          <t>[Quảng Bình] Chuyên Viên Tư Vấn Trả Góp Ô tô</t>
        </is>
      </c>
      <c r="D9210" s="10" t="inlineStr">
        <is>
          <t>Công Ty Tài Chính Mirae Asset (Việt Nam)</t>
        </is>
      </c>
      <c r="E9210" s="10" t="inlineStr">
        <is>
          <t>Lương:17 Tr - 30 Tr VND</t>
        </is>
      </c>
      <c r="F9210" s="10" t="inlineStr">
        <is>
          <t>Quảng BìnhKV Nam Trung Bộ</t>
        </is>
      </c>
      <c r="G9210" s="10" t="inlineStr">
        <is>
          <t>08-04-2026</t>
        </is>
      </c>
      <c r="H9210" s="10" t="inlineStr">
        <is>
          <t>08/04/2026</t>
        </is>
      </c>
      <c r="I9210" s="10" t="inlineStr">
        <is>
          <t>17/03/2026</t>
        </is>
      </c>
      <c r="J9210" s="10" t="inlineStr">
        <is>
          <t>Bán lẻ / Bán sỉ, Bán hàng / Kinh doanh, Tài chính / Đầu tư</t>
        </is>
      </c>
      <c r="K9210" s="10" t="inlineStr">
        <is>
          <t>1 - 3 Năm</t>
        </is>
      </c>
      <c r="L9210" s="11">
        <f>HYPERLINK("https://careerviet.vn/vi/tim-viec-lam/quang-binh-chuyen-vien-tu-van-tra-gop-o-to.35C6B9F7.html","Xem chi tiết")</f>
        <v/>
      </c>
      <c r="M9210" s="10" t="n"/>
    </row>
    <row r="9211">
      <c r="B9211" s="7" t="n">
        <v>9209</v>
      </c>
      <c r="C9211" t="inlineStr">
        <is>
          <t>[Nghệ An] Giám Sát Kinh Doanh Bán Hàng Trả Góp</t>
        </is>
      </c>
      <c r="D9211" t="inlineStr">
        <is>
          <t>Công Ty Tài Chính Mirae Asset (Việt Nam)</t>
        </is>
      </c>
      <c r="E9211" t="inlineStr">
        <is>
          <t>Lương:Cạnh tranh</t>
        </is>
      </c>
      <c r="F9211" t="inlineStr">
        <is>
          <t>Nghệ AnKV Bắc Trung Bộ</t>
        </is>
      </c>
      <c r="G9211" t="inlineStr">
        <is>
          <t>08-04-2026</t>
        </is>
      </c>
      <c r="H9211" t="inlineStr">
        <is>
          <t>08/04/2026</t>
        </is>
      </c>
      <c r="I9211" t="inlineStr">
        <is>
          <t>17/03/2026</t>
        </is>
      </c>
      <c r="J9211" t="inlineStr">
        <is>
          <t>Dịch vụ khách hàng, Bán hàng / Kinh doanh, Tài chính / Đầu tư</t>
        </is>
      </c>
      <c r="K9211" t="inlineStr">
        <is>
          <t>2 - 3 Năm</t>
        </is>
      </c>
      <c r="L9211" s="8">
        <f>HYPERLINK("https://careerviet.vn/vi/tim-viec-lam/nghe-an-giam-sat-kinh-doanh-ban-hang-tra-gop.35C6BA14.html","Xem chi tiết")</f>
        <v/>
      </c>
    </row>
    <row r="9212">
      <c r="B9212" s="9" t="n">
        <v>9210</v>
      </c>
      <c r="C9212" s="10" t="inlineStr">
        <is>
          <t>Nhân Viên Bóc Tách / Dự Toán Công Trình (Nội Thất + Xây Dựng) – Junior (Có ĐÀO TẠO)</t>
        </is>
      </c>
      <c r="D9212" s="10" t="inlineStr">
        <is>
          <t>CÔNG TY CP ĐẦU TƯ KIẾN TRÚC &amp; NỘI THẤT MỘC XINH</t>
        </is>
      </c>
      <c r="E9212" s="10" t="inlineStr">
        <is>
          <t>Lương:10 Tr - 14 Tr VND</t>
        </is>
      </c>
      <c r="F9212" s="10" t="inlineStr">
        <is>
          <t>Hà Nội</t>
        </is>
      </c>
      <c r="G9212" s="10" t="inlineStr">
        <is>
          <t>09-04-2026</t>
        </is>
      </c>
      <c r="H9212" s="10" t="inlineStr">
        <is>
          <t>09/04/2026</t>
        </is>
      </c>
      <c r="I9212" s="10" t="inlineStr">
        <is>
          <t>17/03/2026</t>
        </is>
      </c>
      <c r="J9212" s="10" t="inlineStr">
        <is>
          <t>Xây dựng, Nội ngoại thất, Kiến trúc</t>
        </is>
      </c>
      <c r="K9212" s="10" t="inlineStr">
        <is>
          <t>1 - 2 Năm</t>
        </is>
      </c>
      <c r="L9212" s="11">
        <f>HYPERLINK("https://careerviet.vn/vi/tim-viec-lam/nhan-vien-boc-tach-du-toan-cong-trinh-noi-that-xay-dung-junior-co-dao-tao.35C6B974.html","Xem chi tiết")</f>
        <v/>
      </c>
      <c r="M9212" s="10" t="n"/>
    </row>
    <row r="9213">
      <c r="B9213" s="7" t="n">
        <v>9211</v>
      </c>
      <c r="C9213" t="inlineStr">
        <is>
          <t>Giao dịch viên</t>
        </is>
      </c>
      <c r="D9213" t="inlineStr">
        <is>
          <t>Ngân Hàng TMCP Sài Gòn - Hà Nội ( SHB )</t>
        </is>
      </c>
      <c r="E9213" t="inlineStr">
        <is>
          <t>Lương:Cạnh tranh</t>
        </is>
      </c>
      <c r="F9213" t="inlineStr">
        <is>
          <t>Tây NinhLạng Sơn</t>
        </is>
      </c>
      <c r="G9213" t="inlineStr">
        <is>
          <t>30-03-2026</t>
        </is>
      </c>
      <c r="H9213" t="inlineStr">
        <is>
          <t>30/03/2026</t>
        </is>
      </c>
      <c r="I9213" t="inlineStr">
        <is>
          <t>17/03/2026</t>
        </is>
      </c>
      <c r="J9213" t="inlineStr">
        <is>
          <t>Dịch vụ khách hàng, Ngân hàng, Bán hàng / Kinh doanh</t>
        </is>
      </c>
      <c r="K9213" t="inlineStr">
        <is>
          <t>N/A</t>
        </is>
      </c>
      <c r="L9213" s="8">
        <f>HYPERLINK("https://careerviet.vn/vi/tim-viec-lam/giao-dich-vien.35C6A357.html","Xem chi tiết")</f>
        <v/>
      </c>
    </row>
    <row r="9214">
      <c r="B9214" s="9" t="n">
        <v>9212</v>
      </c>
      <c r="C9214" s="10" t="inlineStr">
        <is>
          <t>Hardware Design Engineer</t>
        </is>
      </c>
      <c r="D9214" s="10" t="inlineStr">
        <is>
          <t>Công ty TNHH Cicor Việt Nam</t>
        </is>
      </c>
      <c r="E9214" s="10" t="inlineStr">
        <is>
          <t>Lương:Cạnh tranh</t>
        </is>
      </c>
      <c r="F9214" s="10" t="inlineStr">
        <is>
          <t>Bình Dương</t>
        </is>
      </c>
      <c r="G9214" s="10" t="inlineStr">
        <is>
          <t>26-03-2026</t>
        </is>
      </c>
      <c r="H9214" s="10" t="inlineStr">
        <is>
          <t>26/03/2026</t>
        </is>
      </c>
      <c r="I9214" s="10" t="inlineStr">
        <is>
          <t>17/03/2026</t>
        </is>
      </c>
      <c r="J9214" s="10" t="inlineStr">
        <is>
          <t>Điện / Điện tử / Điện lạnh / Điện công nghiệp, Sản xuất / Vận hành sản xuất, CNTT - Phần cứng / Mạng</t>
        </is>
      </c>
      <c r="K9214" s="10" t="inlineStr">
        <is>
          <t>Trên 2 Năm</t>
        </is>
      </c>
      <c r="L9214" s="11">
        <f>HYPERLINK("https://careerviet.vn/vi/tim-viec-lam/hardware-design-engineer.35C6B87C.html","Xem chi tiết")</f>
        <v/>
      </c>
      <c r="M9214" s="10" t="n"/>
    </row>
    <row r="9215">
      <c r="B9215" s="7" t="n">
        <v>9213</v>
      </c>
      <c r="C9215" t="inlineStr">
        <is>
          <t>công nhân</t>
        </is>
      </c>
      <c r="D9215" t="inlineStr">
        <is>
          <t>Công ty Cổ phần FECON</t>
        </is>
      </c>
      <c r="E9215" t="inlineStr">
        <is>
          <t>Lương:Cạnh tranh</t>
        </is>
      </c>
      <c r="F9215" t="inlineStr">
        <is>
          <t>Hà Nội</t>
        </is>
      </c>
      <c r="G9215" t="inlineStr">
        <is>
          <t>15-04-2026</t>
        </is>
      </c>
      <c r="H9215" t="inlineStr">
        <is>
          <t>15/04/2026</t>
        </is>
      </c>
      <c r="I9215" t="inlineStr">
        <is>
          <t>17/03/2026</t>
        </is>
      </c>
      <c r="J9215" t="inlineStr">
        <is>
          <t>Xây dựng</t>
        </is>
      </c>
      <c r="K9215" t="inlineStr">
        <is>
          <t>Chưa có kinh nghiệm</t>
        </is>
      </c>
      <c r="L9215" s="8">
        <f>HYPERLINK("https://careerviet.vn/vi/tim-viec-lam/cong-nhan.35C6BA0B.html","Xem chi tiết")</f>
        <v/>
      </c>
    </row>
    <row r="9216">
      <c r="B9216" s="9" t="n">
        <v>9214</v>
      </c>
      <c r="C9216" s="10" t="inlineStr">
        <is>
          <t>Nhân viên kho</t>
        </is>
      </c>
      <c r="D9216" s="10" t="inlineStr">
        <is>
          <t>CÔNG TY TNHH SẢN XUẤT THƯƠNG MẠI VINAFOREST</t>
        </is>
      </c>
      <c r="E9216" s="10" t="inlineStr">
        <is>
          <t>Lương:8 Tr - 10 Tr VND</t>
        </is>
      </c>
      <c r="F9216" s="10" t="inlineStr">
        <is>
          <t>Bình Định</t>
        </is>
      </c>
      <c r="G9216" s="10" t="inlineStr">
        <is>
          <t>31-03-2026</t>
        </is>
      </c>
      <c r="H9216" s="10" t="inlineStr">
        <is>
          <t>31/03/2026</t>
        </is>
      </c>
      <c r="I9216" s="10" t="inlineStr">
        <is>
          <t>17/03/2026</t>
        </is>
      </c>
      <c r="J9216" s="10" t="inlineStr">
        <is>
          <t>Đồ gỗ, Sản xuất / Vận hành sản xuất</t>
        </is>
      </c>
      <c r="K9216" s="10" t="inlineStr">
        <is>
          <t>1 - 5 Năm</t>
        </is>
      </c>
      <c r="L9216" s="11">
        <f>HYPERLINK("https://careerviet.vn/vi/tim-viec-lam/nhan-vien-kho.35C6B6CA.html","Xem chi tiết")</f>
        <v/>
      </c>
      <c r="M9216" s="10" t="n"/>
    </row>
    <row r="9217">
      <c r="B9217" s="7" t="n">
        <v>9215</v>
      </c>
      <c r="C9217" t="inlineStr">
        <is>
          <t>Nhân viên trực chat, điện thoại cho Viettel Post tại Hoài Đức H1</t>
        </is>
      </c>
      <c r="D9217" t="inlineStr">
        <is>
          <t>CÔNG TY CỔ PHẦN TRUYỀN THÔNG KIM CƯƠNG</t>
        </is>
      </c>
      <c r="E9217" t="inlineStr">
        <is>
          <t>Lương:7 Tr - 10 Tr VND</t>
        </is>
      </c>
      <c r="F9217" t="inlineStr">
        <is>
          <t>Hà Nội</t>
        </is>
      </c>
      <c r="G9217" t="inlineStr">
        <is>
          <t>30-04-2026</t>
        </is>
      </c>
      <c r="H9217" t="inlineStr">
        <is>
          <t>30/04/2026</t>
        </is>
      </c>
      <c r="I9217" t="inlineStr">
        <is>
          <t>17/03/2026</t>
        </is>
      </c>
      <c r="J9217" t="inlineStr">
        <is>
          <t>Bán hàng / Kinh doanh, Tư vấn, Dịch vụ khách hàng</t>
        </is>
      </c>
      <c r="K9217" t="inlineStr">
        <is>
          <t>N/A</t>
        </is>
      </c>
      <c r="L9217" s="8">
        <f>HYPERLINK("https://careerviet.vn/vi/tim-viec-lam/nhan-vien-truc-chat-dien-thoai-cho-viettel-post-tai-hoai-duc-h1.35C6B745.html","Xem chi tiết")</f>
        <v/>
      </c>
    </row>
    <row r="9218">
      <c r="B9218" s="9" t="n">
        <v>9216</v>
      </c>
      <c r="C9218" s="10" t="inlineStr">
        <is>
          <t>Kỹ sư xây dựng - chủ đầu tư bất động sản</t>
        </is>
      </c>
      <c r="D9218" s="10" t="inlineStr">
        <is>
          <t>CÔNG TY CỔ PHẦN ĐẦU TƯ BẤT ĐỘNG SẢN TOÀN CẦU</t>
        </is>
      </c>
      <c r="E9218" s="10" t="inlineStr">
        <is>
          <t>Lương:25 Tr - 35 Tr VND</t>
        </is>
      </c>
      <c r="F9218" s="10" t="inlineStr">
        <is>
          <t>Hà Nội</t>
        </is>
      </c>
      <c r="G9218" s="10" t="inlineStr">
        <is>
          <t>11-04-2026</t>
        </is>
      </c>
      <c r="H9218" s="10" t="inlineStr">
        <is>
          <t>11/04/2026</t>
        </is>
      </c>
      <c r="I9218" s="10" t="inlineStr">
        <is>
          <t>17/03/2026</t>
        </is>
      </c>
      <c r="J9218" s="10" t="inlineStr">
        <is>
          <t>Xây dựng</t>
        </is>
      </c>
      <c r="K9218" s="10" t="inlineStr">
        <is>
          <t>1 - 5 Năm</t>
        </is>
      </c>
      <c r="L9218" s="11">
        <f>HYPERLINK("https://careerviet.vn/vi/tim-viec-lam/ky-su-xay-dung-chu-dau-tu-bat-dong-san.35C6B8D9.html","Xem chi tiết")</f>
        <v/>
      </c>
      <c r="M9218" s="10" t="n"/>
    </row>
    <row r="9219">
      <c r="B9219" s="7" t="n">
        <v>9217</v>
      </c>
      <c r="C9219" t="inlineStr">
        <is>
          <t>Giám Sát Công Trình / Kỹ Sư Xây Dựng</t>
        </is>
      </c>
      <c r="D9219" t="inlineStr">
        <is>
          <t>CÔNG TY CỔ PHẦN TAKAHIRO</t>
        </is>
      </c>
      <c r="E9219" t="inlineStr">
        <is>
          <t>Lương:14 Tr - 18 Tr VND</t>
        </is>
      </c>
      <c r="F9219" t="inlineStr">
        <is>
          <t>Hồ Chí Minh</t>
        </is>
      </c>
      <c r="G9219" t="inlineStr">
        <is>
          <t>30-04-2026</t>
        </is>
      </c>
      <c r="H9219" t="inlineStr">
        <is>
          <t>30/04/2026</t>
        </is>
      </c>
      <c r="I9219" t="inlineStr">
        <is>
          <t>17/03/2026</t>
        </is>
      </c>
      <c r="J9219" t="inlineStr">
        <is>
          <t>Xây dựng</t>
        </is>
      </c>
      <c r="K9219" t="inlineStr">
        <is>
          <t>Chưa có kinh nghiệm</t>
        </is>
      </c>
      <c r="L9219" s="8">
        <f>HYPERLINK("https://careerviet.vn/vi/tim-viec-lam/giam-sat-cong-trinh-ky-su-xay-dung.35C6B7D0.html","Xem chi tiết")</f>
        <v/>
      </c>
    </row>
    <row r="9220">
      <c r="B9220" s="9" t="n">
        <v>9218</v>
      </c>
      <c r="C9220" s="10" t="inlineStr">
        <is>
          <t>[Thanh Hóa] Giám Sát Kinh Doanh Bán Hàng Trả Góp</t>
        </is>
      </c>
      <c r="D9220" s="10" t="inlineStr">
        <is>
          <t>Công Ty Tài Chính Mirae Asset (Việt Nam)</t>
        </is>
      </c>
      <c r="E9220" s="10" t="inlineStr">
        <is>
          <t>Lương:Cạnh tranh</t>
        </is>
      </c>
      <c r="F9220" s="10" t="inlineStr">
        <is>
          <t>Thanh HóaKV Bắc Trung Bộ</t>
        </is>
      </c>
      <c r="G9220" s="10" t="inlineStr">
        <is>
          <t>08-04-2026</t>
        </is>
      </c>
      <c r="H9220" s="10" t="inlineStr">
        <is>
          <t>08/04/2026</t>
        </is>
      </c>
      <c r="I9220" s="10" t="inlineStr">
        <is>
          <t>17/03/2026</t>
        </is>
      </c>
      <c r="J9220" s="10" t="inlineStr">
        <is>
          <t>Dịch vụ khách hàng, Bán hàng / Kinh doanh, Tài chính / Đầu tư</t>
        </is>
      </c>
      <c r="K9220" s="10" t="inlineStr">
        <is>
          <t>2 - 3 Năm</t>
        </is>
      </c>
      <c r="L9220" s="11">
        <f>HYPERLINK("https://careerviet.vn/vi/tim-viec-lam/thanh-hoa-giam-sat-kinh-doanh-ban-hang-tra-gop.35C6BA12.html","Xem chi tiết")</f>
        <v/>
      </c>
      <c r="M9220" s="10" t="n"/>
    </row>
    <row r="9221">
      <c r="B9221" s="7" t="n">
        <v>9219</v>
      </c>
      <c r="C9221" t="inlineStr">
        <is>
          <t>Nhân Viên Phòng Lab</t>
        </is>
      </c>
      <c r="D9221" t="inlineStr">
        <is>
          <t>CÔNG TY TNHH AUSSCO VIỆT NAM</t>
        </is>
      </c>
      <c r="E9221" t="inlineStr">
        <is>
          <t>Lương:10 Tr - 15 Tr VND</t>
        </is>
      </c>
      <c r="F9221" t="inlineStr">
        <is>
          <t>Bình Dương</t>
        </is>
      </c>
      <c r="G9221" t="inlineStr">
        <is>
          <t>31-03-2026</t>
        </is>
      </c>
      <c r="H9221" t="inlineStr">
        <is>
          <t>31/03/2026</t>
        </is>
      </c>
      <c r="I9221" t="inlineStr">
        <is>
          <t>17/03/2026</t>
        </is>
      </c>
      <c r="J9221" t="inlineStr">
        <is>
          <t>Sản xuất / Vận hành sản xuất, Công nghệ sinh học, Hóa học</t>
        </is>
      </c>
      <c r="K9221" t="inlineStr">
        <is>
          <t>1 - 2 Năm</t>
        </is>
      </c>
      <c r="L9221" s="8">
        <f>HYPERLINK("https://careerviet.vn/vi/tim-viec-lam/nhan-vien-phong-lab.35C6B770.html","Xem chi tiết")</f>
        <v/>
      </c>
    </row>
    <row r="9222">
      <c r="B9222" s="9" t="n">
        <v>9220</v>
      </c>
      <c r="C9222" s="10" t="inlineStr">
        <is>
          <t>Kế Toán Tổng Hợp - Quận 7</t>
        </is>
      </c>
      <c r="D9222" s="10" t="inlineStr">
        <is>
          <t>Công ty TNHH Sản xuất Thương mại &amp; Dịch vụ Hoa Xinh</t>
        </is>
      </c>
      <c r="E9222" s="10" t="inlineStr">
        <is>
          <t>Lương:Cạnh tranh</t>
        </is>
      </c>
      <c r="F9222" s="10" t="inlineStr">
        <is>
          <t>Hồ Chí Minh</t>
        </is>
      </c>
      <c r="G9222" s="10" t="inlineStr">
        <is>
          <t>23-04-2026</t>
        </is>
      </c>
      <c r="H9222" s="10" t="inlineStr">
        <is>
          <t>23/04/2026</t>
        </is>
      </c>
      <c r="I9222" s="10" t="inlineStr">
        <is>
          <t>17/03/2026</t>
        </is>
      </c>
      <c r="J9222" s="10" t="inlineStr">
        <is>
          <t>Kế toán / Kiểm toán, Ngân hàng, Tài chính / Đầu tư</t>
        </is>
      </c>
      <c r="K9222" s="10" t="inlineStr">
        <is>
          <t>3 - 5 Năm</t>
        </is>
      </c>
      <c r="L9222" s="11">
        <f>HYPERLINK("https://careerviet.vn/vi/tim-viec-lam/ke-toan-tong-hop-quan-7.35C6B808.html","Xem chi tiết")</f>
        <v/>
      </c>
      <c r="M9222" s="10" t="n"/>
    </row>
    <row r="9223">
      <c r="B9223" s="7" t="n">
        <v>9221</v>
      </c>
      <c r="C9223" t="inlineStr">
        <is>
          <t>Kỹ sư xây dựng dân dụng công nghiệp</t>
        </is>
      </c>
      <c r="D9223" t="inlineStr">
        <is>
          <t>Công ty cổ phần tư vấn và xây dựng KM Việt Nam</t>
        </is>
      </c>
      <c r="E9223" t="inlineStr">
        <is>
          <t>Lương:12 Tr - 21 Tr VND</t>
        </is>
      </c>
      <c r="F9223" t="inlineStr">
        <is>
          <t>Hà Nội</t>
        </is>
      </c>
      <c r="G9223" t="inlineStr">
        <is>
          <t>27-03-2026</t>
        </is>
      </c>
      <c r="H9223" t="inlineStr">
        <is>
          <t>27/03/2026</t>
        </is>
      </c>
      <c r="I9223" t="inlineStr">
        <is>
          <t>17/03/2026</t>
        </is>
      </c>
      <c r="J9223" t="inlineStr">
        <is>
          <t>Xây dựng, Mỹ thuật / Nghệ thuật / Thiết kế</t>
        </is>
      </c>
      <c r="K9223" t="inlineStr">
        <is>
          <t>1 - 5 Năm</t>
        </is>
      </c>
      <c r="L9223" s="8">
        <f>HYPERLINK("https://careerviet.vn/vi/tim-viec-lam/ky-su-xay-dung-dan-dung-cong-nghiep.35C6B72C.html","Xem chi tiết")</f>
        <v/>
      </c>
    </row>
    <row r="9224">
      <c r="B9224" s="9" t="n">
        <v>9222</v>
      </c>
      <c r="C9224" s="10" t="inlineStr">
        <is>
          <t>Nhân Viên Đánh Giá Nội Bộ (5S Ngành Dược)</t>
        </is>
      </c>
      <c r="D9224" s="10" t="inlineStr">
        <is>
          <t>BOSTON PHARMA - Công Ty CP Dược Phẩm Boston Việt Nam</t>
        </is>
      </c>
      <c r="E9224" s="10" t="inlineStr">
        <is>
          <t>Lương:Cạnh tranh</t>
        </is>
      </c>
      <c r="F9224" s="10" t="inlineStr">
        <is>
          <t>Bình Dương</t>
        </is>
      </c>
      <c r="G9224" s="10" t="inlineStr">
        <is>
          <t>10-04-2026</t>
        </is>
      </c>
      <c r="H9224" s="10" t="inlineStr">
        <is>
          <t>10/04/2026</t>
        </is>
      </c>
      <c r="I9224" s="10" t="inlineStr">
        <is>
          <t>17/03/2026</t>
        </is>
      </c>
      <c r="J9224" s="10" t="inlineStr">
        <is>
          <t>Kế toán / Kiểm toán, Dược phẩm/ Hóa Mỹ Phẩm, Quản lý chất lượng (QA/QC)</t>
        </is>
      </c>
      <c r="K9224" s="10" t="inlineStr">
        <is>
          <t>1 - 2 Năm</t>
        </is>
      </c>
      <c r="L9224" s="11">
        <f>HYPERLINK("https://careerviet.vn/vi/tim-viec-lam/nhan-vien-danh-gia-noi-bo-5s-nga-nh-duo-c.35C6BA1E.html","Xem chi tiết")</f>
        <v/>
      </c>
      <c r="M9224" s="10" t="n"/>
    </row>
    <row r="9225">
      <c r="B9225" s="7" t="n">
        <v>9223</v>
      </c>
      <c r="C9225" t="inlineStr">
        <is>
          <t>Giám đốc Quản lý vận hành</t>
        </is>
      </c>
      <c r="D9225" t="inlineStr">
        <is>
          <t>CÔNG TY CP ĐẦU TƯ PHÁT TRIỂN TRÍ DƯƠNG</t>
        </is>
      </c>
      <c r="E9225" t="inlineStr">
        <is>
          <t>Lương:Cạnh tranh</t>
        </is>
      </c>
      <c r="F9225" t="inlineStr">
        <is>
          <t>Nghệ An</t>
        </is>
      </c>
      <c r="G9225" t="inlineStr">
        <is>
          <t>11-04-2026</t>
        </is>
      </c>
      <c r="H9225" t="inlineStr">
        <is>
          <t>11/04/2026</t>
        </is>
      </c>
      <c r="I9225" t="inlineStr">
        <is>
          <t>17/03/2026</t>
        </is>
      </c>
      <c r="J9225" t="inlineStr">
        <is>
          <t>Bán hàng / Kinh doanh, Xây dựng, Bất động sản</t>
        </is>
      </c>
      <c r="K9225" t="inlineStr">
        <is>
          <t>5 - 10 Năm</t>
        </is>
      </c>
      <c r="L9225" s="8">
        <f>HYPERLINK("https://careerviet.vn/vi/tim-viec-lam/giam-doc-quan-ly-van-hanh.35C6B8A2.html","Xem chi tiết")</f>
        <v/>
      </c>
    </row>
    <row r="9226">
      <c r="B9226" s="9" t="n">
        <v>9224</v>
      </c>
      <c r="C9226" s="10" t="inlineStr">
        <is>
          <t>Nhân Viên Kinh Doanh Nội Thất Tại Quận 8 - Không yêu cầu kinh nghiệm</t>
        </is>
      </c>
      <c r="D9226" s="10" t="inlineStr">
        <is>
          <t>Công Ty TNHH Tập Đoàn Rita Võ</t>
        </is>
      </c>
      <c r="E9226" s="10" t="inlineStr">
        <is>
          <t>Lương:8 Tr - 20 Tr VND</t>
        </is>
      </c>
      <c r="F9226" s="10" t="inlineStr">
        <is>
          <t>Hồ Chí Minh</t>
        </is>
      </c>
      <c r="G9226" s="10" t="inlineStr">
        <is>
          <t>06-04-2026</t>
        </is>
      </c>
      <c r="H9226" s="10" t="inlineStr">
        <is>
          <t>06/04/2026</t>
        </is>
      </c>
      <c r="I9226" s="10" t="inlineStr">
        <is>
          <t>17/03/2026</t>
        </is>
      </c>
      <c r="J9226" s="10" t="inlineStr">
        <is>
          <t>Bán lẻ / Bán sỉ, Bán hàng / Kinh doanh, Nội ngoại thất</t>
        </is>
      </c>
      <c r="K9226" s="10" t="inlineStr">
        <is>
          <t>N/A</t>
        </is>
      </c>
      <c r="L9226" s="11">
        <f>HYPERLINK("https://careerviet.vn/vi/tim-viec-lam/nhan-vien-kinh-doanh-noi-that-tai-quan-8-khong-yeu-cau-kinh-nghiem.35C6B96B.html","Xem chi tiết")</f>
        <v/>
      </c>
      <c r="M9226" s="10" t="n"/>
    </row>
    <row r="9227">
      <c r="B9227" s="7" t="n">
        <v>9225</v>
      </c>
      <c r="C9227" t="inlineStr">
        <is>
          <t>Trưởng Bộ phận Kế hoạch</t>
        </is>
      </c>
      <c r="D9227" t="inlineStr">
        <is>
          <t>TỔNG CÔNG TY CỔ PHẦN BẢO HIỂM HÙNG VƯƠNG</t>
        </is>
      </c>
      <c r="E9227" t="inlineStr">
        <is>
          <t>Lương:Cạnh tranh</t>
        </is>
      </c>
      <c r="F9227" t="inlineStr">
        <is>
          <t>Hà Nội</t>
        </is>
      </c>
      <c r="G9227" t="inlineStr">
        <is>
          <t>08-04-2026</t>
        </is>
      </c>
      <c r="H9227" t="inlineStr">
        <is>
          <t>08/04/2026</t>
        </is>
      </c>
      <c r="I9227" t="inlineStr">
        <is>
          <t>17/03/2026</t>
        </is>
      </c>
      <c r="J9227" t="inlineStr">
        <is>
          <t>Bảo hiểm, Tài chính / Đầu tư</t>
        </is>
      </c>
      <c r="K9227" t="inlineStr">
        <is>
          <t>Trên 5 Năm</t>
        </is>
      </c>
      <c r="L9227" s="8">
        <f>HYPERLINK("https://careerviet.vn/vi/tim-viec-lam/truong-bo-phan-ke-hoach.35C6B7C4.html","Xem chi tiết")</f>
        <v/>
      </c>
    </row>
    <row r="9228">
      <c r="B9228" s="9" t="n">
        <v>9226</v>
      </c>
      <c r="C9228" s="10" t="inlineStr">
        <is>
          <t>Thực Tập Sinh Nhân Sự</t>
        </is>
      </c>
      <c r="D9228" s="10" t="inlineStr">
        <is>
          <t>CÔNG TY CỔ PHẦN ĐẦU TƯ DANCO</t>
        </is>
      </c>
      <c r="E9228" s="10" t="inlineStr">
        <is>
          <t>Lương:3 Tr - 4 Tr VND</t>
        </is>
      </c>
      <c r="F9228" s="10" t="inlineStr">
        <is>
          <t>Hà Nội</t>
        </is>
      </c>
      <c r="G9228" s="10" t="inlineStr">
        <is>
          <t>01-05-2026</t>
        </is>
      </c>
      <c r="H9228" s="10" t="inlineStr">
        <is>
          <t>01/05/2026</t>
        </is>
      </c>
      <c r="I9228" s="10" t="inlineStr">
        <is>
          <t>17/03/2026</t>
        </is>
      </c>
      <c r="J9228" s="10" t="inlineStr">
        <is>
          <t>Nhân sự, Kế toán / Kiểm toán, Hành chính / Thư ký</t>
        </is>
      </c>
      <c r="K9228" s="10" t="inlineStr">
        <is>
          <t>N/A</t>
        </is>
      </c>
      <c r="L9228" s="11">
        <f>HYPERLINK("https://careerviet.vn/vi/tim-viec-lam/thuc-tap-sinh-nhan-su.35C6B916.html","Xem chi tiết")</f>
        <v/>
      </c>
      <c r="M9228" s="10" t="n"/>
    </row>
    <row r="9229">
      <c r="B9229" s="7" t="n">
        <v>9227</v>
      </c>
      <c r="C9229" t="inlineStr">
        <is>
          <t>Nhân viên kinh doanh - kênh trường học</t>
        </is>
      </c>
      <c r="D9229" t="inlineStr">
        <is>
          <t>Công ty Cổ phần Đồng phục Phương Thảo</t>
        </is>
      </c>
      <c r="E9229" t="inlineStr">
        <is>
          <t>Lương:10 Tr - 20 Tr VND</t>
        </is>
      </c>
      <c r="F9229" t="inlineStr">
        <is>
          <t>Hà Nội</t>
        </is>
      </c>
      <c r="G9229" t="inlineStr">
        <is>
          <t>3</t>
        </is>
      </c>
      <c r="H9229" t="inlineStr">
        <is>
          <t>20/03/2026</t>
        </is>
      </c>
      <c r="I9229" t="inlineStr">
        <is>
          <t>17/03/2026</t>
        </is>
      </c>
      <c r="J9229" t="inlineStr">
        <is>
          <t>Bán hàng / Kinh doanh, Dệt may / Da giày / Thời trang</t>
        </is>
      </c>
      <c r="K9229" t="inlineStr">
        <is>
          <t>Chưa có kinh nghiệm</t>
        </is>
      </c>
      <c r="L9229" s="8">
        <f>HYPERLINK("https://careerviet.vn/vi/tim-viec-lam/nhan-vien-kinh-doanh-kenh-truong-hoc.35C6B793.html","Xem chi tiết")</f>
        <v/>
      </c>
    </row>
    <row r="9230">
      <c r="B9230" s="9" t="n">
        <v>9228</v>
      </c>
      <c r="C9230" s="10" t="inlineStr">
        <is>
          <t>Nhân viên Kinh doanh/Nhân viên Tư vấn</t>
        </is>
      </c>
      <c r="D9230" s="10" t="inlineStr">
        <is>
          <t>CÔNG TY CỔ PHẦN HỌC VIỆN MINH TRÍ THÀNH</t>
        </is>
      </c>
      <c r="E9230" s="10" t="inlineStr">
        <is>
          <t>Lương:10 Tr - 50 Tr VND</t>
        </is>
      </c>
      <c r="F9230" s="10" t="inlineStr">
        <is>
          <t>Hà Nội</t>
        </is>
      </c>
      <c r="G9230" s="10" t="inlineStr">
        <is>
          <t>15-03-2026</t>
        </is>
      </c>
      <c r="H9230" s="10" t="inlineStr">
        <is>
          <t>13/03/2026</t>
        </is>
      </c>
      <c r="I9230" s="10" t="inlineStr">
        <is>
          <t>17/03/2026</t>
        </is>
      </c>
      <c r="J9230" s="10" t="inlineStr">
        <is>
          <t>Giáo dục / Đào tạo</t>
        </is>
      </c>
      <c r="K9230" s="10" t="inlineStr">
        <is>
          <t>Chưa có kinh nghiệm</t>
        </is>
      </c>
      <c r="L9230" s="11">
        <f>HYPERLINK("https://careerviet.vn/vi/tim-viec-lam/nhan-vien-kinh-doanh-nhan-vien-tu-van.35C6B8B9.html","Xem chi tiết")</f>
        <v/>
      </c>
      <c r="M9230" s="10" t="n"/>
    </row>
    <row r="9231">
      <c r="B9231" s="7" t="n">
        <v>9229</v>
      </c>
      <c r="C9231" t="inlineStr">
        <is>
          <t>Chuyên viên cao cấp Thiết kế tổ chức</t>
        </is>
      </c>
      <c r="D9231" t="inlineStr">
        <is>
          <t>Ngân Hàng TMCP Sài Gòn - Hà Nội ( SHB )</t>
        </is>
      </c>
      <c r="E9231" t="inlineStr">
        <is>
          <t>Lương:Cạnh tranh</t>
        </is>
      </c>
      <c r="F9231" t="inlineStr">
        <is>
          <t>Hà Nội</t>
        </is>
      </c>
      <c r="G9231" t="inlineStr">
        <is>
          <t>06-04-2026</t>
        </is>
      </c>
      <c r="H9231" t="inlineStr">
        <is>
          <t>06/04/2026</t>
        </is>
      </c>
      <c r="I9231" t="inlineStr">
        <is>
          <t>17/03/2026</t>
        </is>
      </c>
      <c r="J9231" t="inlineStr">
        <is>
          <t>Ngân hàng, Nhân sự, Tài chính / Đầu tư</t>
        </is>
      </c>
      <c r="K9231" t="inlineStr">
        <is>
          <t>Trên 5 Năm</t>
        </is>
      </c>
      <c r="L9231" s="8">
        <f>HYPERLINK("https://careerviet.vn/vi/tim-viec-lam/chuyen-vien-cao-cap-thiet-ke-to-chuc.35C6B6F8.html","Xem chi tiết")</f>
        <v/>
      </c>
    </row>
    <row r="9232">
      <c r="B9232" s="9" t="n">
        <v>9230</v>
      </c>
      <c r="C9232" s="10" t="inlineStr">
        <is>
          <t>[Lạng Sơn] Chuyên Viên Tư Vấn Trả Góp Ô Tô</t>
        </is>
      </c>
      <c r="D9232" s="10" t="inlineStr">
        <is>
          <t>Công Ty Tài Chính Mirae Asset (Việt Nam)</t>
        </is>
      </c>
      <c r="E9232" s="10" t="inlineStr">
        <is>
          <t>Lương:17 Tr - 30 Tr VND</t>
        </is>
      </c>
      <c r="F9232" s="10" t="inlineStr">
        <is>
          <t>Lạng SơnKV Bắc Trung Bộ</t>
        </is>
      </c>
      <c r="G9232" s="10" t="inlineStr">
        <is>
          <t>08-04-2026</t>
        </is>
      </c>
      <c r="H9232" s="10" t="inlineStr">
        <is>
          <t>08/04/2026</t>
        </is>
      </c>
      <c r="I9232" s="10" t="inlineStr">
        <is>
          <t>17/03/2026</t>
        </is>
      </c>
      <c r="J9232" s="10" t="inlineStr">
        <is>
          <t>Bán lẻ / Bán sỉ, Bán hàng / Kinh doanh, Tài chính / Đầu tư</t>
        </is>
      </c>
      <c r="K9232" s="10" t="inlineStr">
        <is>
          <t>2 - 3 Năm</t>
        </is>
      </c>
      <c r="L9232" s="11">
        <f>HYPERLINK("https://careerviet.vn/vi/tim-viec-lam/lang-son-chuyen-vien-tu-van-tra-gop-o-to.35C6BA25.html","Xem chi tiết")</f>
        <v/>
      </c>
      <c r="M9232" s="10" t="n"/>
    </row>
    <row r="9233">
      <c r="B9233" s="7" t="n">
        <v>9231</v>
      </c>
      <c r="C9233" t="inlineStr">
        <is>
          <t>Chuyên viên Đào tạo</t>
        </is>
      </c>
      <c r="D9233" t="inlineStr">
        <is>
          <t>CÔNG TY TNHH TRỐNG ĐỒNG VIỆT NAM</t>
        </is>
      </c>
      <c r="E9233" t="inlineStr">
        <is>
          <t>Lương:14 Tr - 18 Tr VND</t>
        </is>
      </c>
      <c r="F9233" t="inlineStr">
        <is>
          <t>Hà Nội</t>
        </is>
      </c>
      <c r="G9233" t="inlineStr">
        <is>
          <t>13-04-2026</t>
        </is>
      </c>
      <c r="H9233" t="inlineStr">
        <is>
          <t>13/04/2026</t>
        </is>
      </c>
      <c r="I9233" t="inlineStr">
        <is>
          <t>17/03/2026</t>
        </is>
      </c>
      <c r="J9233" t="inlineStr">
        <is>
          <t>Giáo dục / Đào tạo, Nhân sự, Nhà hàng / Khách sạn</t>
        </is>
      </c>
      <c r="K9233" t="inlineStr">
        <is>
          <t>2 - 3 Năm</t>
        </is>
      </c>
      <c r="L9233" s="8">
        <f>HYPERLINK("https://careerviet.vn/vi/tim-viec-lam/chuyen-vien-dao-tao.35C6B8AC.html","Xem chi tiết")</f>
        <v/>
      </c>
    </row>
    <row r="9234">
      <c r="B9234" s="9" t="n">
        <v>9232</v>
      </c>
      <c r="C9234" s="10" t="inlineStr">
        <is>
          <t>Chuyên viên Hệ thống &amp; Luật định (R&amp;D System &amp; Regulation Specialist)</t>
        </is>
      </c>
      <c r="D9234" s="10" t="inlineStr">
        <is>
          <t>Công ty CP Thành Thành Công - Biên Hòa</t>
        </is>
      </c>
      <c r="E9234" s="10" t="inlineStr">
        <is>
          <t>Lương:Cạnh tranh</t>
        </is>
      </c>
      <c r="F9234" s="10" t="inlineStr">
        <is>
          <t>Tây Ninh</t>
        </is>
      </c>
      <c r="G9234" s="10" t="inlineStr">
        <is>
          <t>08-04-2026</t>
        </is>
      </c>
      <c r="H9234" s="10" t="inlineStr">
        <is>
          <t>08/04/2026</t>
        </is>
      </c>
      <c r="I9234" s="10" t="inlineStr">
        <is>
          <t>17/03/2026</t>
        </is>
      </c>
      <c r="J9234" s="10" t="inlineStr">
        <is>
          <t>Hóa học, Công nghệ sinh học, Công nghệ thực phẩm / Dinh dưỡng</t>
        </is>
      </c>
      <c r="K9234" s="10" t="inlineStr">
        <is>
          <t>2 - 3 Năm</t>
        </is>
      </c>
      <c r="L9234" s="11">
        <f>HYPERLINK("https://careerviet.vn/vi/tim-viec-lam/chuyen-vien-he-thong-luat-dinh-r-d-system-regulation-specialist.35C6BA55.html","Xem chi tiết")</f>
        <v/>
      </c>
      <c r="M9234" s="10" t="n"/>
    </row>
    <row r="9235">
      <c r="B9235" s="7" t="n">
        <v>9233</v>
      </c>
      <c r="C9235" t="inlineStr">
        <is>
          <t>Chuyên viên pháp chế</t>
        </is>
      </c>
      <c r="D9235" t="inlineStr">
        <is>
          <t>CÔNG TY TNHH BỆNH VIỆN ĐKTN AN SINH - PHÚC TRƯỜNG MINH</t>
        </is>
      </c>
      <c r="E9235" t="inlineStr">
        <is>
          <t>Lương:13 Tr - 15 Tr VND</t>
        </is>
      </c>
      <c r="F9235" t="inlineStr">
        <is>
          <t>Hà Nội</t>
        </is>
      </c>
      <c r="G9235" t="inlineStr">
        <is>
          <t>31-03-2026</t>
        </is>
      </c>
      <c r="H9235" t="inlineStr">
        <is>
          <t>31/03/2026</t>
        </is>
      </c>
      <c r="I9235" t="inlineStr">
        <is>
          <t>17/03/2026</t>
        </is>
      </c>
      <c r="J9235" t="inlineStr">
        <is>
          <t>Y tế / Chăm sóc sức khỏe / Thẩm mỹ / Làm đẹp, Luật / Pháp lý</t>
        </is>
      </c>
      <c r="K9235" t="inlineStr">
        <is>
          <t>3 - 5 Năm</t>
        </is>
      </c>
      <c r="L9235" s="8">
        <f>HYPERLINK("https://careerviet.vn/vi/tim-viec-lam/chuyen-vien-phap-che.35C6B812.html","Xem chi tiết")</f>
        <v/>
      </c>
    </row>
    <row r="9236">
      <c r="B9236" s="9" t="n">
        <v>9234</v>
      </c>
      <c r="C9236" s="10" t="inlineStr">
        <is>
          <t>Nam Thủ Kho/Phó Thủ Kho</t>
        </is>
      </c>
      <c r="D9236" s="10" t="inlineStr">
        <is>
          <t>CÔNG TY CỔ PHẦN TAKAHIRO</t>
        </is>
      </c>
      <c r="E9236" s="10" t="inlineStr">
        <is>
          <t>Lương:13 Tr - 16 Tr VND</t>
        </is>
      </c>
      <c r="F9236" s="10" t="inlineStr">
        <is>
          <t>Hà Nội</t>
        </is>
      </c>
      <c r="G9236" s="10" t="inlineStr">
        <is>
          <t>08-04-2026</t>
        </is>
      </c>
      <c r="H9236" s="10" t="inlineStr">
        <is>
          <t>08/04/2026</t>
        </is>
      </c>
      <c r="I9236" s="10" t="inlineStr">
        <is>
          <t>17/03/2026</t>
        </is>
      </c>
      <c r="J9236" s="10" t="inlineStr">
        <is>
          <t>Vận chuyển / Giao nhận / Kho vận</t>
        </is>
      </c>
      <c r="K9236" s="10" t="inlineStr">
        <is>
          <t>2 - 3 Năm</t>
        </is>
      </c>
      <c r="L9236" s="11">
        <f>HYPERLINK("https://careerviet.vn/vi/tim-viec-lam/nam-thu-kho-pho-thu-kho.35C6B768.html","Xem chi tiết")</f>
        <v/>
      </c>
      <c r="M9236" s="10" t="n"/>
    </row>
    <row r="9237">
      <c r="B9237" s="7" t="n">
        <v>9235</v>
      </c>
      <c r="C9237" t="inlineStr">
        <is>
          <t>Giao dịch viên - Hải Phòng</t>
        </is>
      </c>
      <c r="D9237" t="inlineStr">
        <is>
          <t>Ngân hàng TMCP Đại Chúng Việt Nam - PVcomBank</t>
        </is>
      </c>
      <c r="E9237" t="inlineStr">
        <is>
          <t>Lương:Cạnh tranh</t>
        </is>
      </c>
      <c r="F9237" t="inlineStr">
        <is>
          <t>Hải Phòng</t>
        </is>
      </c>
      <c r="G9237" t="inlineStr">
        <is>
          <t>09-04-2026</t>
        </is>
      </c>
      <c r="H9237" t="inlineStr">
        <is>
          <t>09/04/2026</t>
        </is>
      </c>
      <c r="I9237" t="inlineStr">
        <is>
          <t>17/03/2026</t>
        </is>
      </c>
      <c r="J9237" t="inlineStr">
        <is>
          <t>Ngân hàng</t>
        </is>
      </c>
      <c r="K9237" t="inlineStr">
        <is>
          <t>1 - 2 Năm</t>
        </is>
      </c>
      <c r="L9237" s="8">
        <f>HYPERLINK("https://careerviet.vn/vi/tim-viec-lam/giao-dich-vien-hai-phong.35C6B8F3.html","Xem chi tiết")</f>
        <v/>
      </c>
    </row>
    <row r="9238">
      <c r="B9238" s="9" t="n">
        <v>9236</v>
      </c>
      <c r="C9238" s="10" t="inlineStr">
        <is>
          <t>Nhân viên bảo trì cơ khí - thu nhập 8-12tr/ tháng</t>
        </is>
      </c>
      <c r="D9238" s="10" t="inlineStr">
        <is>
          <t>CÔNG TY CP THỰC PHẨM VÀ NƯỚC GIẢI KHÁT NAM VIỆT</t>
        </is>
      </c>
      <c r="E9238" s="10" t="inlineStr">
        <is>
          <t>Lương:8 Tr - 12 Tr VND</t>
        </is>
      </c>
      <c r="F9238" s="10" t="inlineStr">
        <is>
          <t>Bình Dương</t>
        </is>
      </c>
      <c r="G9238" s="10" t="inlineStr">
        <is>
          <t>31-03-2026</t>
        </is>
      </c>
      <c r="H9238" s="10" t="inlineStr">
        <is>
          <t>31/03/2026</t>
        </is>
      </c>
      <c r="I9238" s="10" t="inlineStr">
        <is>
          <t>17/03/2026</t>
        </is>
      </c>
      <c r="J9238" s="10" t="inlineStr">
        <is>
          <t>Cơ khí / Ô tô / Tự động hóa</t>
        </is>
      </c>
      <c r="K9238" s="10" t="inlineStr">
        <is>
          <t>Chưa có kinh nghiệm</t>
        </is>
      </c>
      <c r="L9238" s="11">
        <f>HYPERLINK("https://careerviet.vn/vi/tim-viec-lam/nhan-vien-bao-tri-co-khi-thu-nhap-8-12tr-thang.35C6B83C.html","Xem chi tiết")</f>
        <v/>
      </c>
      <c r="M9238" s="10" t="n"/>
    </row>
    <row r="9239">
      <c r="B9239" s="7" t="n">
        <v>9237</v>
      </c>
      <c r="C9239" t="inlineStr">
        <is>
          <t>[Vĩnh Phúc, Phú Thọ] - Chuyên Viên Tư Vấn Trả Góp Ô Tô</t>
        </is>
      </c>
      <c r="D9239" t="inlineStr">
        <is>
          <t>Công Ty Tài Chính Mirae Asset (Việt Nam)</t>
        </is>
      </c>
      <c r="E9239" t="inlineStr">
        <is>
          <t>Lương:17 Tr - 50 Tr VND</t>
        </is>
      </c>
      <c r="F9239" t="inlineStr">
        <is>
          <t>Vĩnh PhúcKV Bắc Trung BộPhú Thọ</t>
        </is>
      </c>
      <c r="G9239" t="inlineStr">
        <is>
          <t>08-04-2026</t>
        </is>
      </c>
      <c r="H9239" t="inlineStr">
        <is>
          <t>08/04/2026</t>
        </is>
      </c>
      <c r="I9239" t="inlineStr">
        <is>
          <t>17/03/2026</t>
        </is>
      </c>
      <c r="J9239" t="inlineStr">
        <is>
          <t>Bán lẻ / Bán sỉ, Bán hàng / Kinh doanh, Tài chính / Đầu tư</t>
        </is>
      </c>
      <c r="K9239" t="inlineStr">
        <is>
          <t>2 - 3 Năm</t>
        </is>
      </c>
      <c r="L9239" s="8">
        <f>HYPERLINK("https://careerviet.vn/vi/tim-viec-lam/vinh-phuc-phu-tho-chuyen-vien-tu-van-tra-gop-o-to.35C6BA08.html","Xem chi tiết")</f>
        <v/>
      </c>
    </row>
    <row r="9240">
      <c r="B9240" s="9" t="n">
        <v>9238</v>
      </c>
      <c r="C9240" s="10" t="inlineStr">
        <is>
          <t>[Nghệ An] Chuyên Viên Tư Vấn Trả Góp Ô Tô</t>
        </is>
      </c>
      <c r="D9240" s="10" t="inlineStr">
        <is>
          <t>Công Ty Tài Chính Mirae Asset (Việt Nam)</t>
        </is>
      </c>
      <c r="E9240" s="10" t="inlineStr">
        <is>
          <t>Lương:17 Tr - 30 Tr VND</t>
        </is>
      </c>
      <c r="F9240" s="10" t="inlineStr">
        <is>
          <t>Nghệ AnKV Bắc Trung Bộ</t>
        </is>
      </c>
      <c r="G9240" s="10" t="inlineStr">
        <is>
          <t>08-04-2026</t>
        </is>
      </c>
      <c r="H9240" s="10" t="inlineStr">
        <is>
          <t>08/04/2026</t>
        </is>
      </c>
      <c r="I9240" s="10" t="inlineStr">
        <is>
          <t>17/03/2026</t>
        </is>
      </c>
      <c r="J9240" s="10" t="inlineStr">
        <is>
          <t>Bán lẻ / Bán sỉ, Bán hàng / Kinh doanh, Tài chính / Đầu tư</t>
        </is>
      </c>
      <c r="K9240" s="10" t="inlineStr">
        <is>
          <t>2 - 3 Năm</t>
        </is>
      </c>
      <c r="L9240" s="11">
        <f>HYPERLINK("https://careerviet.vn/vi/tim-viec-lam/nghe-an-chuyen-vien-tu-van-tra-gop-o-to.35C6BA27.html","Xem chi tiết")</f>
        <v/>
      </c>
      <c r="M9240" s="10" t="n"/>
    </row>
    <row r="9241">
      <c r="B9241" s="7" t="n">
        <v>9239</v>
      </c>
      <c r="C9241" t="inlineStr">
        <is>
          <t>[Lạng Sơn, lai Châu] Giám Sát Kinh Doanh Bán Hàng Trả Góp</t>
        </is>
      </c>
      <c r="D9241" t="inlineStr">
        <is>
          <t>Công Ty Tài Chính Mirae Asset (Việt Nam)</t>
        </is>
      </c>
      <c r="E9241" t="inlineStr">
        <is>
          <t>Lương:Cạnh tranh</t>
        </is>
      </c>
      <c r="F9241" t="inlineStr">
        <is>
          <t>Lạng SơnKV Bắc Trung BộLai Châu</t>
        </is>
      </c>
      <c r="G9241" t="inlineStr">
        <is>
          <t>08-04-2026</t>
        </is>
      </c>
      <c r="H9241" t="inlineStr">
        <is>
          <t>08/04/2026</t>
        </is>
      </c>
      <c r="I9241" t="inlineStr">
        <is>
          <t>17/03/2026</t>
        </is>
      </c>
      <c r="J9241" t="inlineStr">
        <is>
          <t>Dịch vụ khách hàng, Bán hàng / Kinh doanh, Tài chính / Đầu tư</t>
        </is>
      </c>
      <c r="K9241" t="inlineStr">
        <is>
          <t>2 - 3 Năm</t>
        </is>
      </c>
      <c r="L9241" s="8">
        <f>HYPERLINK("https://careerviet.vn/vi/tim-viec-lam/lang-son-lai-chau-giam-sat-kinh-doanh-ban-hang-tra-gop.35C6BA02.html","Xem chi tiết")</f>
        <v/>
      </c>
    </row>
    <row r="9242">
      <c r="B9242" s="9" t="n">
        <v>9240</v>
      </c>
      <c r="C9242" s="10" t="inlineStr">
        <is>
          <t>Kế toán tổng hợp</t>
        </is>
      </c>
      <c r="D9242" s="10" t="inlineStr">
        <is>
          <t>CÔNG TY TNHH TM DV 20S FACTORY</t>
        </is>
      </c>
      <c r="E9242" s="10" t="inlineStr">
        <is>
          <t>Lương:Cạnh tranh</t>
        </is>
      </c>
      <c r="F9242" s="10" t="inlineStr">
        <is>
          <t>Hồ Chí Minh</t>
        </is>
      </c>
      <c r="G9242" s="10" t="inlineStr">
        <is>
          <t>15-04-2026</t>
        </is>
      </c>
      <c r="H9242" s="10" t="inlineStr">
        <is>
          <t>15/04/2026</t>
        </is>
      </c>
      <c r="I9242" s="10" t="inlineStr">
        <is>
          <t>17/03/2026</t>
        </is>
      </c>
      <c r="J9242" s="10" t="inlineStr">
        <is>
          <t>Tài chính / Đầu tư, Kế toán / Kiểm toán</t>
        </is>
      </c>
      <c r="K9242" s="10" t="inlineStr">
        <is>
          <t>2 - 5 Năm</t>
        </is>
      </c>
      <c r="L9242" s="11">
        <f>HYPERLINK("https://careerviet.vn/vi/tim-viec-lam/ke-toan-tong-hop.35C6B9CE.html","Xem chi tiết")</f>
        <v/>
      </c>
      <c r="M9242" s="10" t="n"/>
    </row>
    <row r="9243">
      <c r="B9243" s="7" t="n">
        <v>9241</v>
      </c>
      <c r="C9243" t="inlineStr">
        <is>
          <t>Kỹ sư Thiết kế Cơ khí (Làm việc tại Hà Nam/Ninh Bình)</t>
        </is>
      </c>
      <c r="D9243" t="inlineStr">
        <is>
          <t>Công ty Cổ phần Casla</t>
        </is>
      </c>
      <c r="E9243" t="inlineStr">
        <is>
          <t>Lương:18 Tr - 24 Tr VND</t>
        </is>
      </c>
      <c r="F9243" t="inlineStr">
        <is>
          <t>Hà NộiHà Nam</t>
        </is>
      </c>
      <c r="G9243" t="inlineStr">
        <is>
          <t>31-03-2026</t>
        </is>
      </c>
      <c r="H9243" t="inlineStr">
        <is>
          <t>31/03/2026</t>
        </is>
      </c>
      <c r="I9243" t="inlineStr">
        <is>
          <t>17/03/2026</t>
        </is>
      </c>
      <c r="J9243" t="inlineStr">
        <is>
          <t>Cơ khí / Ô tô / Tự động hóa, Sản xuất / Vận hành sản xuất, Quản lý chất lượng (QA/QC)</t>
        </is>
      </c>
      <c r="K9243" t="inlineStr">
        <is>
          <t>2 - 15 Năm</t>
        </is>
      </c>
      <c r="L9243" s="8">
        <f>HYPERLINK("https://careerviet.vn/vi/tim-viec-lam/ky-su-thiet-ke-co-khi-lam-viec-tai-ha-nam-ninh-binh.35C6B95E.html","Xem chi tiết")</f>
        <v/>
      </c>
    </row>
    <row r="9244">
      <c r="B9244" s="9" t="n">
        <v>9242</v>
      </c>
      <c r="C9244" s="10" t="inlineStr">
        <is>
          <t>[Đà Nẵng] Chuyên Viên Tư Vấn Trả Góp Ô Tô</t>
        </is>
      </c>
      <c r="D9244" s="10" t="inlineStr">
        <is>
          <t>Công Ty Tài Chính Mirae Asset (Việt Nam)</t>
        </is>
      </c>
      <c r="E9244" s="10" t="inlineStr">
        <is>
          <t>Lương:17 Tr - 30 Tr VND</t>
        </is>
      </c>
      <c r="F9244" s="10" t="inlineStr">
        <is>
          <t>Đà NẵngKV Nam Trung Bộ</t>
        </is>
      </c>
      <c r="G9244" s="10" t="inlineStr">
        <is>
          <t>08-04-2026</t>
        </is>
      </c>
      <c r="H9244" s="10" t="inlineStr">
        <is>
          <t>08/04/2026</t>
        </is>
      </c>
      <c r="I9244" s="10" t="inlineStr">
        <is>
          <t>17/03/2026</t>
        </is>
      </c>
      <c r="J9244" s="10" t="inlineStr">
        <is>
          <t>Bán lẻ / Bán sỉ, Bán hàng / Kinh doanh, Tài chính / Đầu tư</t>
        </is>
      </c>
      <c r="K9244" s="10" t="inlineStr">
        <is>
          <t>2 - 3 Năm</t>
        </is>
      </c>
      <c r="L9244" s="11">
        <f>HYPERLINK("https://careerviet.vn/vi/tim-viec-lam/da-nang-chuyen-vien-tu-van-tra-gop-o-to.35C6BA29.html","Xem chi tiết")</f>
        <v/>
      </c>
      <c r="M9244" s="10" t="n"/>
    </row>
    <row r="9245">
      <c r="B9245" s="7" t="n">
        <v>9243</v>
      </c>
      <c r="C9245" t="inlineStr">
        <is>
          <t>Nhân viên bảo trì điện công nghiệp</t>
        </is>
      </c>
      <c r="D9245" t="inlineStr">
        <is>
          <t>Công Ty TNHH Điện Lạnh Miền Tây</t>
        </is>
      </c>
      <c r="E9245" t="inlineStr">
        <is>
          <t>Lương:12 Tr - 18 Tr VND</t>
        </is>
      </c>
      <c r="F9245" t="inlineStr">
        <is>
          <t>Hồ Chí Minh</t>
        </is>
      </c>
      <c r="G9245" t="inlineStr">
        <is>
          <t>31-03-2026</t>
        </is>
      </c>
      <c r="H9245" t="inlineStr">
        <is>
          <t>31/03/2026</t>
        </is>
      </c>
      <c r="I9245" t="inlineStr">
        <is>
          <t>17/03/2026</t>
        </is>
      </c>
      <c r="J9245" t="inlineStr">
        <is>
          <t>Điện / Điện tử / Điện lạnh / Điện công nghiệp, Bảo trì / Sửa chữa</t>
        </is>
      </c>
      <c r="K9245" t="inlineStr">
        <is>
          <t>1 - 2 Năm</t>
        </is>
      </c>
      <c r="L9245" s="8">
        <f>HYPERLINK("https://careerviet.vn/vi/tim-viec-lam/nhan-vien-bao-tri-dien-cong-nghiep.35C6B837.html","Xem chi tiết")</f>
        <v/>
      </c>
    </row>
    <row r="9246">
      <c r="B9246" s="9" t="n">
        <v>9244</v>
      </c>
      <c r="C9246" s="10" t="inlineStr">
        <is>
          <t>Quản Lý Thiết Kế 2D</t>
        </is>
      </c>
      <c r="D9246" s="10" t="inlineStr">
        <is>
          <t>CÔNG TY CP ĐẦU TƯ KIẾN TRÚC &amp; NỘI THẤT MỘC XINH</t>
        </is>
      </c>
      <c r="E9246" s="10" t="inlineStr">
        <is>
          <t>Lương:30 Tr - 45 Tr VND</t>
        </is>
      </c>
      <c r="F9246" s="10" t="inlineStr">
        <is>
          <t>Hà Nội</t>
        </is>
      </c>
      <c r="G9246" s="10" t="inlineStr">
        <is>
          <t>09-04-2026</t>
        </is>
      </c>
      <c r="H9246" s="10" t="inlineStr">
        <is>
          <t>09/04/2026</t>
        </is>
      </c>
      <c r="I9246" s="10" t="inlineStr">
        <is>
          <t>17/03/2026</t>
        </is>
      </c>
      <c r="J9246" s="10" t="inlineStr">
        <is>
          <t>Xây dựng, Kiến trúc, Nội ngoại thất</t>
        </is>
      </c>
      <c r="K9246" s="10" t="inlineStr">
        <is>
          <t>Trên 3 Năm</t>
        </is>
      </c>
      <c r="L9246" s="11">
        <f>HYPERLINK("https://careerviet.vn/vi/tim-viec-lam/quan-ly-thiet-ke-2d.35C6B8D1.html","Xem chi tiết")</f>
        <v/>
      </c>
      <c r="M9246" s="10" t="n"/>
    </row>
    <row r="9247">
      <c r="B9247" s="7" t="n">
        <v>9245</v>
      </c>
      <c r="C9247" t="inlineStr">
        <is>
          <t>[Thủ Đức] Nhân viên Xay mẫu</t>
        </is>
      </c>
      <c r="D9247" t="inlineStr">
        <is>
          <t>EUROFINS VIETNAM</t>
        </is>
      </c>
      <c r="E9247" t="inlineStr">
        <is>
          <t>Lương:Cạnh tranh</t>
        </is>
      </c>
      <c r="F9247" t="inlineStr">
        <is>
          <t>Hồ Chí Minh</t>
        </is>
      </c>
      <c r="G9247" t="inlineStr">
        <is>
          <t>31-03-2026</t>
        </is>
      </c>
      <c r="H9247" t="inlineStr">
        <is>
          <t>31/03/2026</t>
        </is>
      </c>
      <c r="I9247" t="inlineStr">
        <is>
          <t>17/03/2026</t>
        </is>
      </c>
      <c r="J9247" t="inlineStr">
        <is>
          <t>Công nghệ sinh học, Công nghệ thực phẩm / Dinh dưỡng, Hóa học</t>
        </is>
      </c>
      <c r="K9247" t="inlineStr">
        <is>
          <t>N/A</t>
        </is>
      </c>
      <c r="L9247" s="8">
        <f>HYPERLINK("https://careerviet.vn/vi/tim-viec-lam/thu-duc-nhan-vien-xay-mau.35C6B920.html","Xem chi tiết")</f>
        <v/>
      </c>
    </row>
    <row r="9248">
      <c r="B9248" s="9" t="n">
        <v>9246</v>
      </c>
      <c r="C9248" s="10" t="inlineStr">
        <is>
          <t>Brand Marketing Executive</t>
        </is>
      </c>
      <c r="D9248" s="10" t="inlineStr">
        <is>
          <t>Công Ty TNHH Daily Effect</t>
        </is>
      </c>
      <c r="E9248" s="10" t="inlineStr">
        <is>
          <t>Lương:12 Tr - 16 Tr VND</t>
        </is>
      </c>
      <c r="F9248" s="10" t="inlineStr">
        <is>
          <t>Hồ Chí Minh</t>
        </is>
      </c>
      <c r="G9248" s="10" t="inlineStr">
        <is>
          <t>15-04-2026</t>
        </is>
      </c>
      <c r="H9248" s="10" t="inlineStr">
        <is>
          <t>15/04/2026</t>
        </is>
      </c>
      <c r="I9248" s="10" t="inlineStr">
        <is>
          <t>17/03/2026</t>
        </is>
      </c>
      <c r="J9248" s="10" t="inlineStr">
        <is>
          <t>Quảng cáo / Đối ngoại / Truyền Thông, Tiếp thị / Marketing, Tổ chức sự kiện</t>
        </is>
      </c>
      <c r="K9248" s="10" t="inlineStr">
        <is>
          <t>1 - 2 Năm</t>
        </is>
      </c>
      <c r="L9248" s="11">
        <f>HYPERLINK("https://careerviet.vn/vi/tim-viec-lam/brand-marketing-executive.35C6B65C.html","Xem chi tiết")</f>
        <v/>
      </c>
      <c r="M9248" s="10" t="n"/>
    </row>
    <row r="9249">
      <c r="B9249" s="7" t="n">
        <v>9247</v>
      </c>
      <c r="C9249" t="inlineStr">
        <is>
          <t>Senior Business Planning Officer</t>
        </is>
      </c>
      <c r="D9249" t="inlineStr">
        <is>
          <t>LOTTE FINANCE VIETNAM</t>
        </is>
      </c>
      <c r="E9249" t="inlineStr">
        <is>
          <t>Lương:Cạnh tranh</t>
        </is>
      </c>
      <c r="F9249" t="inlineStr">
        <is>
          <t>Hà Nội</t>
        </is>
      </c>
      <c r="G9249" t="inlineStr">
        <is>
          <t>23-04-2026</t>
        </is>
      </c>
      <c r="H9249" t="inlineStr">
        <is>
          <t>23/04/2026</t>
        </is>
      </c>
      <c r="I9249" t="inlineStr">
        <is>
          <t>17/03/2026</t>
        </is>
      </c>
      <c r="J9249" t="inlineStr">
        <is>
          <t>Ngân hàng, Tài chính / Đầu tư</t>
        </is>
      </c>
      <c r="K9249" t="inlineStr">
        <is>
          <t>3 - 5 Năm</t>
        </is>
      </c>
      <c r="L9249" s="8">
        <f>HYPERLINK("https://careerviet.vn/vi/tim-viec-lam/senior-business-planning-officer.35C6BA4E.html","Xem chi tiết")</f>
        <v/>
      </c>
    </row>
    <row r="9250">
      <c r="B9250" s="9" t="n">
        <v>9248</v>
      </c>
      <c r="C9250" s="10" t="inlineStr">
        <is>
          <t>Chuyên viên Quan hệ Khách hàng Cá nhân (Toàn quốc)</t>
        </is>
      </c>
      <c r="D9250" s="10" t="inlineStr">
        <is>
          <t>Ngân Hàng TMCP Sài Gòn - Hà Nội ( SHB )</t>
        </is>
      </c>
      <c r="E9250" s="10" t="inlineStr">
        <is>
          <t>Lương:Cạnh tranh</t>
        </is>
      </c>
      <c r="F9250" s="10" t="inlineStr">
        <is>
          <t>Long AnAn GiangCà Mau</t>
        </is>
      </c>
      <c r="G9250" s="10" t="inlineStr">
        <is>
          <t>06-04-2026</t>
        </is>
      </c>
      <c r="H9250" s="10" t="inlineStr">
        <is>
          <t>06/04/2026</t>
        </is>
      </c>
      <c r="I9250" s="10" t="inlineStr">
        <is>
          <t>17/03/2026</t>
        </is>
      </c>
      <c r="J9250" s="10" t="inlineStr">
        <is>
          <t>Ngân hàng, Bán hàng / Kinh doanh</t>
        </is>
      </c>
      <c r="K9250" s="10" t="inlineStr">
        <is>
          <t>N/A</t>
        </is>
      </c>
      <c r="L9250" s="11">
        <f>HYPERLINK("https://careerviet.vn/vi/tim-viec-lam/chuyen-vien-quan-he-khach-hang-ca-nhan-toan-quoc.35C6B6F9.html","Xem chi tiết")</f>
        <v/>
      </c>
      <c r="M9250" s="10" t="n"/>
    </row>
    <row r="9251">
      <c r="B9251" s="7" t="n">
        <v>9249</v>
      </c>
      <c r="C9251" t="inlineStr">
        <is>
          <t>[TOÀN QUỐC] CHƯƠNG TRÌNH QUẢN TRỊ KINH DOANH TẬP SỰ – THE NEXT MAYORA SALES GENERATION 2026</t>
        </is>
      </c>
      <c r="D9251" t="inlineStr">
        <is>
          <t>Công ty TNHH Mayora Việt Nam</t>
        </is>
      </c>
      <c r="E9251" t="inlineStr">
        <is>
          <t>Lương:Cạnh tranh</t>
        </is>
      </c>
      <c r="F9251" t="inlineStr">
        <is>
          <t>Hồ Chí Minh</t>
        </is>
      </c>
      <c r="G9251" t="inlineStr">
        <is>
          <t>17-04-2026</t>
        </is>
      </c>
      <c r="H9251" t="inlineStr">
        <is>
          <t>17/04/2026</t>
        </is>
      </c>
      <c r="I9251" t="inlineStr">
        <is>
          <t>17/03/2026</t>
        </is>
      </c>
      <c r="J9251" t="inlineStr">
        <is>
          <t>Bán lẻ / Bán sỉ, Bán hàng / Kinh doanh, Tiếp thị trực tuyến</t>
        </is>
      </c>
      <c r="K9251" t="inlineStr">
        <is>
          <t>N/A</t>
        </is>
      </c>
      <c r="L9251" s="8">
        <f>HYPERLINK("https://careerviet.vn/vi/tim-viec-lam/toan-quoc-chuong-trinh-quan-tri-kinh-doanh-tap-su-the-next-mayora-sales-generation-2026.35C6B9C9.html","Xem chi tiết")</f>
        <v/>
      </c>
    </row>
    <row r="9252">
      <c r="B9252" s="9" t="n">
        <v>9250</v>
      </c>
      <c r="C9252" s="10" t="inlineStr">
        <is>
          <t>HCM_CHUYÊN VIÊN ĐÀO TẠO NGÀNH DƯỢC (TUYỂN MỚI ĐẦU NĂM)</t>
        </is>
      </c>
      <c r="D9252" s="10" t="inlineStr">
        <is>
          <t>BOSTON PHARMA - Công Ty CP Dược Phẩm Boston Việt Nam</t>
        </is>
      </c>
      <c r="E9252" s="10" t="inlineStr">
        <is>
          <t>Lương:Cạnh tranh</t>
        </is>
      </c>
      <c r="F9252" s="10" t="inlineStr">
        <is>
          <t>Hồ Chí Minh</t>
        </is>
      </c>
      <c r="G9252" s="10" t="inlineStr">
        <is>
          <t>09-04-2026</t>
        </is>
      </c>
      <c r="H9252" s="10" t="inlineStr">
        <is>
          <t>09/04/2026</t>
        </is>
      </c>
      <c r="I9252" s="10" t="inlineStr">
        <is>
          <t>17/03/2026</t>
        </is>
      </c>
      <c r="J9252" s="10" t="inlineStr">
        <is>
          <t>Dược phẩm/ Hóa Mỹ Phẩm, Bán hàng / Kinh doanh, Giáo dục / Đào tạo</t>
        </is>
      </c>
      <c r="K9252" s="10" t="inlineStr">
        <is>
          <t>2 - 3 Năm</t>
        </is>
      </c>
      <c r="L9252" s="11">
        <f>HYPERLINK("https://careerviet.vn/vi/tim-viec-lam/hcm_chuyen-vien-da-o-ta-o-nga-nh-duo-c-tuye-n-mo-i-da-u-nam.35C6BA30.html","Xem chi tiết")</f>
        <v/>
      </c>
      <c r="M9252" s="10" t="n"/>
    </row>
    <row r="9253">
      <c r="B9253" s="7" t="n">
        <v>9251</v>
      </c>
      <c r="C9253" t="inlineStr">
        <is>
          <t>Chuyên Viên Sales Thiết Bị Y Tế (Thu Nhập Không Giới Hạn - Nghỉ Thứ 7, Chủ Nhật)</t>
        </is>
      </c>
      <c r="D9253" t="inlineStr">
        <is>
          <t>Công ty TNHH Thiết bị y tế Phương Đông</t>
        </is>
      </c>
      <c r="E9253" t="inlineStr">
        <is>
          <t>Lương:Cạnh tranh</t>
        </is>
      </c>
      <c r="F9253" t="inlineStr">
        <is>
          <t>Hồ Chí Minh</t>
        </is>
      </c>
      <c r="G9253" t="inlineStr">
        <is>
          <t>31-03-2026</t>
        </is>
      </c>
      <c r="H9253" t="inlineStr">
        <is>
          <t>31/03/2026</t>
        </is>
      </c>
      <c r="I9253" t="inlineStr">
        <is>
          <t>17/03/2026</t>
        </is>
      </c>
      <c r="J9253" t="inlineStr">
        <is>
          <t>Dược phẩm/ Hóa Mỹ Phẩm, Bán hàng / Kinh doanh, Y tế / Chăm sóc sức khỏe / Thẩm mỹ / Làm đẹp</t>
        </is>
      </c>
      <c r="K9253" t="inlineStr">
        <is>
          <t>1 - 3 Năm</t>
        </is>
      </c>
      <c r="L9253" s="8">
        <f>HYPERLINK("https://careerviet.vn/vi/tim-viec-lam/chuyen-vien-sales-thiet-bi-y-te-thu-nhap-khong-gioi-han-nghi-thu-7-chu-nhat.35C6B91C.html","Xem chi tiết")</f>
        <v/>
      </c>
    </row>
    <row r="9254">
      <c r="B9254" s="9" t="n">
        <v>9252</v>
      </c>
      <c r="C9254" s="10" t="inlineStr">
        <is>
          <t>GIÁM SÁT KỸ THUẬT</t>
        </is>
      </c>
      <c r="D9254" s="10" t="inlineStr">
        <is>
          <t>Công Ty Cổ Phần Eurowindow</t>
        </is>
      </c>
      <c r="E9254" s="10" t="inlineStr">
        <is>
          <t>Lương:Cạnh tranh</t>
        </is>
      </c>
      <c r="F9254" s="10" t="inlineStr">
        <is>
          <t>Hồ Chí Minh</t>
        </is>
      </c>
      <c r="G9254" s="10" t="inlineStr">
        <is>
          <t>15-03-2026</t>
        </is>
      </c>
      <c r="H9254" s="10" t="inlineStr">
        <is>
          <t>08/03/2026</t>
        </is>
      </c>
      <c r="I9254" s="10" t="inlineStr">
        <is>
          <t>17/03/2026</t>
        </is>
      </c>
      <c r="J9254" s="10" t="inlineStr">
        <is>
          <t>Kiến trúc, Xây dựng, Nội ngoại thất</t>
        </is>
      </c>
      <c r="K9254" s="10" t="inlineStr">
        <is>
          <t>1 - 2 Năm</t>
        </is>
      </c>
      <c r="L9254" s="11">
        <f>HYPERLINK("https://careerviet.vn/vi/tim-viec-lam/giam-sat-ky-thuat.35C6B95C.html","Xem chi tiết")</f>
        <v/>
      </c>
      <c r="M9254" s="10" t="n"/>
    </row>
    <row r="9255">
      <c r="B9255" s="7" t="n">
        <v>9253</v>
      </c>
      <c r="C9255" t="inlineStr">
        <is>
          <t>Chuyên viên Quan hệ Khách hàng Cá nhân (Toàn quốc)</t>
        </is>
      </c>
      <c r="D9255" t="inlineStr">
        <is>
          <t>Ngân Hàng TMCP Sài Gòn - Hà Nội ( SHB )</t>
        </is>
      </c>
      <c r="E9255" t="inlineStr">
        <is>
          <t>Lương:Cạnh tranh</t>
        </is>
      </c>
      <c r="F9255" t="inlineStr">
        <is>
          <t>Bình ĐịnhNinh BìnhHải Dương</t>
        </is>
      </c>
      <c r="G9255" t="inlineStr">
        <is>
          <t>06-04-2026</t>
        </is>
      </c>
      <c r="H9255" t="inlineStr">
        <is>
          <t>06/04/2026</t>
        </is>
      </c>
      <c r="I9255" t="inlineStr">
        <is>
          <t>17/03/2026</t>
        </is>
      </c>
      <c r="J9255" t="inlineStr">
        <is>
          <t>Ngân hàng, Bán hàng / Kinh doanh</t>
        </is>
      </c>
      <c r="K9255" t="inlineStr">
        <is>
          <t>N/A</t>
        </is>
      </c>
      <c r="L9255" s="8">
        <f>HYPERLINK("https://careerviet.vn/vi/tim-viec-lam/chuyen-vien-quan-he-khach-hang-ca-nhan-toan-quoc.35C6B6E4.html","Xem chi tiết")</f>
        <v/>
      </c>
    </row>
    <row r="9256">
      <c r="B9256" s="9" t="n">
        <v>9254</v>
      </c>
      <c r="C9256" s="10" t="inlineStr">
        <is>
          <t>Chief Customer Officer (CCO)</t>
        </is>
      </c>
      <c r="D9256" s="10" t="inlineStr">
        <is>
          <t>Công Ty CP Chứng Khoán VNDIRECT</t>
        </is>
      </c>
      <c r="E9256" s="10" t="inlineStr">
        <is>
          <t>Lương:Cạnh tranh</t>
        </is>
      </c>
      <c r="F9256" s="10" t="inlineStr">
        <is>
          <t>Hà Nội</t>
        </is>
      </c>
      <c r="G9256" s="10" t="inlineStr">
        <is>
          <t>29-04-2026</t>
        </is>
      </c>
      <c r="H9256" s="10" t="inlineStr">
        <is>
          <t>29/04/2026</t>
        </is>
      </c>
      <c r="I9256" s="10" t="inlineStr">
        <is>
          <t>17/03/2026</t>
        </is>
      </c>
      <c r="J9256" s="10" t="inlineStr">
        <is>
          <t>Tư vấn, Dịch vụ khách hàng, Bảo hiểm</t>
        </is>
      </c>
      <c r="K9256" s="10" t="inlineStr">
        <is>
          <t>5 - 10 Năm</t>
        </is>
      </c>
      <c r="L9256" s="11">
        <f>HYPERLINK("https://careerviet.vn/vi/tim-viec-lam/chief-customer-officer-cco.35C6B960.html","Xem chi tiết")</f>
        <v/>
      </c>
      <c r="M9256" s="10" t="n"/>
    </row>
    <row r="9257">
      <c r="B9257" s="7" t="n">
        <v>9255</v>
      </c>
      <c r="C9257" t="inlineStr">
        <is>
          <t>[Long Biên] Nhân Viên Thủ Kho Tại Hoa Lâm (Đi Làm Ngay)</t>
        </is>
      </c>
      <c r="D9257" t="inlineStr">
        <is>
          <t>Công Ty TNHH Tập Đoàn Rita Võ</t>
        </is>
      </c>
      <c r="E9257" t="inlineStr">
        <is>
          <t>Lương:9,5 Tr - 11 Tr VND</t>
        </is>
      </c>
      <c r="F9257" t="inlineStr">
        <is>
          <t>Hà Nội</t>
        </is>
      </c>
      <c r="G9257" t="inlineStr">
        <is>
          <t>06-04-2026</t>
        </is>
      </c>
      <c r="H9257" t="inlineStr">
        <is>
          <t>06/04/2026</t>
        </is>
      </c>
      <c r="I9257" t="inlineStr">
        <is>
          <t>17/03/2026</t>
        </is>
      </c>
      <c r="J9257" t="inlineStr">
        <is>
          <t>Vận chuyển / Giao nhận / Kho vận</t>
        </is>
      </c>
      <c r="K9257" t="inlineStr">
        <is>
          <t>Lên đến 1 Năm</t>
        </is>
      </c>
      <c r="L9257" s="8">
        <f>HYPERLINK("https://careerviet.vn/vi/tim-viec-lam/long-bien-nhan-vien-thu-kho-tai-hoa-lam-di-lam-ngay.35C6B90F.html","Xem chi tiết")</f>
        <v/>
      </c>
    </row>
    <row r="9258">
      <c r="B9258" s="9" t="n">
        <v>9256</v>
      </c>
      <c r="C9258" s="10" t="inlineStr">
        <is>
          <t>Lập Trình Viên Java - Java Developer (Domain Fintech)</t>
        </is>
      </c>
      <c r="D9258" s="10" t="inlineStr">
        <is>
          <t>Công ty Cố phần giải pháp công nghệ ITE</t>
        </is>
      </c>
      <c r="E9258" s="10" t="inlineStr">
        <is>
          <t>Lương:12 Tr - 25 Tr VND</t>
        </is>
      </c>
      <c r="F9258" s="10" t="inlineStr">
        <is>
          <t>Hà Nội</t>
        </is>
      </c>
      <c r="G9258" s="10" t="inlineStr">
        <is>
          <t>09-04-2026</t>
        </is>
      </c>
      <c r="H9258" s="10" t="inlineStr">
        <is>
          <t>09/04/2026</t>
        </is>
      </c>
      <c r="I9258" s="10" t="inlineStr">
        <is>
          <t>17/03/2026</t>
        </is>
      </c>
      <c r="J9258" s="10" t="inlineStr">
        <is>
          <t>CNTT - Phần mềm, Ngân hàng, Ngành khác</t>
        </is>
      </c>
      <c r="K9258" s="10" t="inlineStr">
        <is>
          <t>1 - 3 Năm</t>
        </is>
      </c>
      <c r="L9258" s="11">
        <f>HYPERLINK("https://careerviet.vn/vi/tim-viec-lam/lap-trinh-vien-java-java-developer-domain-fintech.35C6B8D8.html","Xem chi tiết")</f>
        <v/>
      </c>
      <c r="M9258" s="10" t="n"/>
    </row>
    <row r="9259">
      <c r="B9259" s="7" t="n">
        <v>9257</v>
      </c>
      <c r="C9259" t="inlineStr">
        <is>
          <t>GIÁM SÁT XÂY DỰNG</t>
        </is>
      </c>
      <c r="D9259" t="inlineStr">
        <is>
          <t>Tập Đoàn Kim Tín</t>
        </is>
      </c>
      <c r="E9259" t="inlineStr">
        <is>
          <t>Lương:Cạnh tranh</t>
        </is>
      </c>
      <c r="F9259" t="inlineStr">
        <is>
          <t>KV Bắc Trung BộHà NộiHưng Yên</t>
        </is>
      </c>
      <c r="G9259" t="inlineStr">
        <is>
          <t>06-04-2026</t>
        </is>
      </c>
      <c r="H9259" t="inlineStr">
        <is>
          <t>06/04/2026</t>
        </is>
      </c>
      <c r="I9259" t="inlineStr">
        <is>
          <t>17/03/2026</t>
        </is>
      </c>
      <c r="J9259" t="inlineStr">
        <is>
          <t>Xây dựng</t>
        </is>
      </c>
      <c r="K9259" t="inlineStr">
        <is>
          <t>1 - 2 Năm</t>
        </is>
      </c>
      <c r="L9259" s="8">
        <f>HYPERLINK("https://careerviet.vn/vi/tim-viec-lam/giam-sat-xay-dung.35C6B925.html","Xem chi tiết")</f>
        <v/>
      </c>
    </row>
    <row r="9260">
      <c r="B9260" s="9" t="n">
        <v>9258</v>
      </c>
      <c r="C9260" s="10" t="inlineStr">
        <is>
          <t>Test Development Engineer (Electronics)</t>
        </is>
      </c>
      <c r="D9260" s="10" t="inlineStr">
        <is>
          <t>Công ty TNHH Cicor Việt Nam</t>
        </is>
      </c>
      <c r="E9260" s="10" t="inlineStr">
        <is>
          <t>Lương:Cạnh tranh</t>
        </is>
      </c>
      <c r="F9260" s="10" t="inlineStr">
        <is>
          <t>Bình Dương</t>
        </is>
      </c>
      <c r="G9260" s="10" t="inlineStr">
        <is>
          <t>07-04-2026</t>
        </is>
      </c>
      <c r="H9260" s="10" t="inlineStr">
        <is>
          <t>07/04/2026</t>
        </is>
      </c>
      <c r="I9260" s="10" t="inlineStr">
        <is>
          <t>17/03/2026</t>
        </is>
      </c>
      <c r="J9260" s="10" t="inlineStr">
        <is>
          <t>Điện / Điện tử / Điện lạnh / Điện công nghiệp, Sản xuất / Vận hành sản xuất</t>
        </is>
      </c>
      <c r="K9260" s="10" t="inlineStr">
        <is>
          <t>Trên 2 Năm</t>
        </is>
      </c>
      <c r="L9260" s="11">
        <f>HYPERLINK("https://careerviet.vn/vi/tim-viec-lam/test-development-engineer-electronics.35C6B874.html","Xem chi tiết")</f>
        <v/>
      </c>
      <c r="M9260" s="10" t="n"/>
    </row>
    <row r="9261">
      <c r="B9261" s="7" t="n">
        <v>9259</v>
      </c>
      <c r="C9261" t="inlineStr">
        <is>
          <t>Chuyên viên Phát triển Khách hàng - Khối khách hàng doanh nghiệp lớn</t>
        </is>
      </c>
      <c r="D9261" t="inlineStr">
        <is>
          <t>Ngân hàng TMCP Đại Chúng Việt Nam - PVcomBank</t>
        </is>
      </c>
      <c r="E9261" t="inlineStr">
        <is>
          <t>Lương:Cạnh tranh</t>
        </is>
      </c>
      <c r="F9261" t="inlineStr">
        <is>
          <t>Hồ Chí Minh</t>
        </is>
      </c>
      <c r="G9261" t="inlineStr">
        <is>
          <t>21-04-2026</t>
        </is>
      </c>
      <c r="H9261" t="inlineStr">
        <is>
          <t>21/04/2026</t>
        </is>
      </c>
      <c r="I9261" t="inlineStr">
        <is>
          <t>17/03/2026</t>
        </is>
      </c>
      <c r="J9261" t="inlineStr">
        <is>
          <t>Ngân hàng, Tài chính / Đầu tư</t>
        </is>
      </c>
      <c r="K9261" t="inlineStr">
        <is>
          <t>1 - 2 Năm</t>
        </is>
      </c>
      <c r="L9261" s="8">
        <f>HYPERLINK("https://careerviet.vn/vi/tim-viec-lam/chuyen-vien-phat-trien-khach-hang-khoi-khach-hang-doanh-nghiep-lon.35C6B901.html","Xem chi tiết")</f>
        <v/>
      </c>
    </row>
    <row r="9262">
      <c r="B9262" s="9" t="n">
        <v>9260</v>
      </c>
      <c r="C9262" s="10" t="inlineStr">
        <is>
          <t>Nhân viên Nhập khẩu</t>
        </is>
      </c>
      <c r="D9262" s="10" t="inlineStr">
        <is>
          <t>CÔNG TY CỔ PHẦN TAKAHIRO</t>
        </is>
      </c>
      <c r="E9262" s="10" t="inlineStr">
        <is>
          <t>Lương:9 Tr - 12 Tr VND</t>
        </is>
      </c>
      <c r="F9262" s="10" t="inlineStr">
        <is>
          <t>Hồ Chí Minh</t>
        </is>
      </c>
      <c r="G9262" s="10" t="inlineStr">
        <is>
          <t>31-03-2026</t>
        </is>
      </c>
      <c r="H9262" s="10" t="inlineStr">
        <is>
          <t>31/03/2026</t>
        </is>
      </c>
      <c r="I9262" s="10" t="inlineStr">
        <is>
          <t>17/03/2026</t>
        </is>
      </c>
      <c r="J9262" s="10" t="inlineStr">
        <is>
          <t>Xuất nhập khẩu</t>
        </is>
      </c>
      <c r="K9262" s="10" t="inlineStr">
        <is>
          <t>1 - 2 Năm</t>
        </is>
      </c>
      <c r="L9262" s="11">
        <f>HYPERLINK("https://careerviet.vn/vi/tim-viec-lam/nhan-vien-nhap-khau.35C6B7EB.html","Xem chi tiết")</f>
        <v/>
      </c>
      <c r="M9262" s="10" t="n"/>
    </row>
    <row r="9263">
      <c r="B9263" s="7" t="n">
        <v>9261</v>
      </c>
      <c r="C9263" t="inlineStr">
        <is>
          <t>Chuyên viên Phát triển năng lực</t>
        </is>
      </c>
      <c r="D9263" t="inlineStr">
        <is>
          <t>Ngân hàng TMCP Đại Chúng Việt Nam - PVcomBank</t>
        </is>
      </c>
      <c r="E9263" t="inlineStr">
        <is>
          <t>Lương:Cạnh tranh</t>
        </is>
      </c>
      <c r="F9263" t="inlineStr">
        <is>
          <t>Hà Nội</t>
        </is>
      </c>
      <c r="G9263" t="inlineStr">
        <is>
          <t>14-04-2026</t>
        </is>
      </c>
      <c r="H9263" t="inlineStr">
        <is>
          <t>14/04/2026</t>
        </is>
      </c>
      <c r="I9263" t="inlineStr">
        <is>
          <t>17/03/2026</t>
        </is>
      </c>
      <c r="J9263" t="inlineStr">
        <is>
          <t>Ngân hàng, Nhân sự</t>
        </is>
      </c>
      <c r="K9263" t="inlineStr">
        <is>
          <t>1 - 2 Năm</t>
        </is>
      </c>
      <c r="L9263" s="8">
        <f>HYPERLINK("https://careerviet.vn/vi/tim-viec-lam/chuyen-vien-phat-trien-nang-luc.35C6B8F7.html","Xem chi tiết")</f>
        <v/>
      </c>
    </row>
    <row r="9264">
      <c r="B9264" s="9" t="n">
        <v>9262</v>
      </c>
      <c r="C9264" s="10" t="inlineStr">
        <is>
          <t>Tuyển Gấp thợ làm tóc biết tiếng Hoa hoặc tiếng Anh [Lương 73 triệu]</t>
        </is>
      </c>
      <c r="D9264" s="10" t="inlineStr">
        <is>
          <t>Công ty Cổ phần đầu tư và phát triển nguồn nhân lực quốc tế Hùng Vương</t>
        </is>
      </c>
      <c r="E9264" s="10" t="inlineStr">
        <is>
          <t>Lương:73 Tr - 95 Tr VND</t>
        </is>
      </c>
      <c r="F9264" s="10" t="inlineStr">
        <is>
          <t>Quốc tếHồ Chí MinhHà Nội</t>
        </is>
      </c>
      <c r="G9264" s="10" t="inlineStr">
        <is>
          <t>09-04-2026</t>
        </is>
      </c>
      <c r="H9264" s="10" t="inlineStr">
        <is>
          <t>09/04/2026</t>
        </is>
      </c>
      <c r="I9264" s="10" t="inlineStr">
        <is>
          <t>17/03/2026</t>
        </is>
      </c>
      <c r="J9264" s="10" t="inlineStr">
        <is>
          <t>Y tế / Chăm sóc sức khỏe / Thẩm mỹ / Làm đẹp, Biên phiên dịch, Tiếp thị / Marketing</t>
        </is>
      </c>
      <c r="K9264" s="10" t="inlineStr">
        <is>
          <t>1 - 5 Năm</t>
        </is>
      </c>
      <c r="L9264" s="11">
        <f>HYPERLINK("https://careerviet.vn/vi/tim-viec-lam/tuyen-gap-tho-lam-toc-biet-tieng-hoa-hoac-tieng-anh-luong-73-trieu.35C6B726.html","Xem chi tiết")</f>
        <v/>
      </c>
      <c r="M9264" s="10" t="n"/>
    </row>
    <row r="9265">
      <c r="B9265" s="7" t="n">
        <v>9263</v>
      </c>
      <c r="C9265" t="inlineStr">
        <is>
          <t>Chuyên gia Phát triển năng lực</t>
        </is>
      </c>
      <c r="D9265" t="inlineStr">
        <is>
          <t>Ngân hàng TMCP Đại Chúng Việt Nam - PVcomBank</t>
        </is>
      </c>
      <c r="E9265" t="inlineStr">
        <is>
          <t>Lương:Cạnh tranh</t>
        </is>
      </c>
      <c r="F9265" t="inlineStr">
        <is>
          <t>Hà Nội</t>
        </is>
      </c>
      <c r="G9265" t="inlineStr">
        <is>
          <t>14-04-2026</t>
        </is>
      </c>
      <c r="H9265" t="inlineStr">
        <is>
          <t>14/04/2026</t>
        </is>
      </c>
      <c r="I9265" t="inlineStr">
        <is>
          <t>17/03/2026</t>
        </is>
      </c>
      <c r="J9265" t="inlineStr">
        <is>
          <t>Ngân hàng, Nhân sự</t>
        </is>
      </c>
      <c r="K9265" t="inlineStr">
        <is>
          <t>4 - 6 Năm</t>
        </is>
      </c>
      <c r="L9265" s="8">
        <f>HYPERLINK("https://careerviet.vn/vi/tim-viec-lam/chuyen-gia-phat-trien-nang-luc.35C6B8F5.html","Xem chi tiết")</f>
        <v/>
      </c>
    </row>
    <row r="9266">
      <c r="B9266" s="9" t="n">
        <v>9264</v>
      </c>
      <c r="C9266" s="10" t="inlineStr">
        <is>
          <t>Nhân viên Media (Quay dựng)</t>
        </is>
      </c>
      <c r="D9266" s="10" t="inlineStr">
        <is>
          <t>CÔNG TY CỔ PHẦN HỌC VIỆN MINH TRÍ THÀNH</t>
        </is>
      </c>
      <c r="E9266" s="10" t="inlineStr">
        <is>
          <t>Lương:12 Tr - 18 Tr VND</t>
        </is>
      </c>
      <c r="F9266" s="10" t="inlineStr">
        <is>
          <t>Hà Nội</t>
        </is>
      </c>
      <c r="G9266" s="10" t="inlineStr">
        <is>
          <t>15-03-2026</t>
        </is>
      </c>
      <c r="H9266" s="10" t="inlineStr">
        <is>
          <t>13/03/2026</t>
        </is>
      </c>
      <c r="I9266" s="10" t="inlineStr">
        <is>
          <t>17/03/2026</t>
        </is>
      </c>
      <c r="J9266" s="10" t="inlineStr">
        <is>
          <t>Mỹ thuật / Nghệ thuật / Thiết kế, Quảng cáo / Đối ngoại / Truyền Thông</t>
        </is>
      </c>
      <c r="K9266" s="10" t="inlineStr">
        <is>
          <t>2 - 3 Năm</t>
        </is>
      </c>
      <c r="L9266" s="11">
        <f>HYPERLINK("https://careerviet.vn/vi/tim-viec-lam/nhan-vien-media-quay-dung.35C6B8B4.html","Xem chi tiết")</f>
        <v/>
      </c>
      <c r="M9266" s="10" t="n"/>
    </row>
    <row r="9267">
      <c r="B9267" s="7" t="n">
        <v>9265</v>
      </c>
      <c r="C9267" t="inlineStr">
        <is>
          <t>Giám đốc Phát triển hệ sinh thái Thanh toán số</t>
        </is>
      </c>
      <c r="D9267" t="inlineStr">
        <is>
          <t>BVBank - Ngân hàng Bản Việt</t>
        </is>
      </c>
      <c r="E9267" t="inlineStr">
        <is>
          <t>Lương:Cạnh tranh</t>
        </is>
      </c>
      <c r="F9267" t="inlineStr">
        <is>
          <t>Hồ Chí Minh</t>
        </is>
      </c>
      <c r="G9267" t="inlineStr">
        <is>
          <t>08-04-2026</t>
        </is>
      </c>
      <c r="H9267" t="inlineStr">
        <is>
          <t>08/04/2026</t>
        </is>
      </c>
      <c r="I9267" t="inlineStr">
        <is>
          <t>17/03/2026</t>
        </is>
      </c>
      <c r="J9267" t="inlineStr">
        <is>
          <t>Ngân hàng, Tài chính / Đầu tư</t>
        </is>
      </c>
      <c r="K9267" t="inlineStr">
        <is>
          <t>3 - 4 Năm</t>
        </is>
      </c>
      <c r="L9267" s="8">
        <f>HYPERLINK("https://careerviet.vn/vi/tim-viec-lam/giam-doc-phat-trien-he-sinh-thai-thanh-toan-so.35C6B86E.html","Xem chi tiết")</f>
        <v/>
      </c>
    </row>
    <row r="9268">
      <c r="B9268" s="9" t="n">
        <v>9266</v>
      </c>
      <c r="C9268" s="10" t="inlineStr">
        <is>
          <t>Giám đốc Chi nhánh Quảng Ninh - Khách hàng Doanh nghiệp</t>
        </is>
      </c>
      <c r="D9268" s="10" t="inlineStr">
        <is>
          <t>Ngân hàng TMCP Đại Chúng Việt Nam - PVcomBank</t>
        </is>
      </c>
      <c r="E9268" s="10" t="inlineStr">
        <is>
          <t>Lương:Cạnh tranh</t>
        </is>
      </c>
      <c r="F9268" s="10" t="inlineStr">
        <is>
          <t>Quảng Ninh</t>
        </is>
      </c>
      <c r="G9268" s="10" t="inlineStr">
        <is>
          <t>21-04-2026</t>
        </is>
      </c>
      <c r="H9268" s="10" t="inlineStr">
        <is>
          <t>21/04/2026</t>
        </is>
      </c>
      <c r="I9268" s="10" t="inlineStr">
        <is>
          <t>17/03/2026</t>
        </is>
      </c>
      <c r="J9268" s="10" t="inlineStr">
        <is>
          <t>Ngân hàng</t>
        </is>
      </c>
      <c r="K9268" s="10" t="inlineStr">
        <is>
          <t>3 - 5 Năm</t>
        </is>
      </c>
      <c r="L9268" s="11">
        <f>HYPERLINK("https://careerviet.vn/vi/tim-viec-lam/giam-doc-chi-nhanh-quang-ninh-khach-hang-doanh-nghiep.35C6B8FB.html","Xem chi tiết")</f>
        <v/>
      </c>
      <c r="M9268" s="10" t="n"/>
    </row>
    <row r="9269">
      <c r="B9269" s="7" t="n">
        <v>9267</v>
      </c>
      <c r="C9269" t="inlineStr">
        <is>
          <t>THỐNG KÊ SẢN XUẤT (PLEIKU)</t>
        </is>
      </c>
      <c r="D9269" t="inlineStr">
        <is>
          <t>Công ty cổ phần Nafoods Group</t>
        </is>
      </c>
      <c r="E9269" t="inlineStr">
        <is>
          <t>Lương:Cạnh tranh</t>
        </is>
      </c>
      <c r="F9269" t="inlineStr">
        <is>
          <t>Gia Lai</t>
        </is>
      </c>
      <c r="G9269" t="inlineStr">
        <is>
          <t>31-03-2026</t>
        </is>
      </c>
      <c r="H9269" t="inlineStr">
        <is>
          <t>31/03/2026</t>
        </is>
      </c>
      <c r="I9269" t="inlineStr">
        <is>
          <t>17/03/2026</t>
        </is>
      </c>
      <c r="J9269" t="inlineStr">
        <is>
          <t>Thống kê, Kế toán / Kiểm toán</t>
        </is>
      </c>
      <c r="K9269" t="inlineStr">
        <is>
          <t>Chưa có kinh nghiệm</t>
        </is>
      </c>
      <c r="L9269" s="8">
        <f>HYPERLINK("https://careerviet.vn/vi/tim-viec-lam/thong-ke-san-xuat-pleiku.35C6B75C.html","Xem chi tiết")</f>
        <v/>
      </c>
    </row>
    <row r="9270">
      <c r="B9270" s="9" t="n">
        <v>9268</v>
      </c>
      <c r="C9270" s="10" t="inlineStr">
        <is>
          <t>Chỉ huy trưởng công trình cơ điện - PCCC- HVAC tại Bắc Ninh</t>
        </is>
      </c>
      <c r="D9270" s="10" t="inlineStr">
        <is>
          <t>Công ty TNHH Cơ Điện Lạnh EEP Việt Nam</t>
        </is>
      </c>
      <c r="E9270" s="10" t="inlineStr">
        <is>
          <t>Lương:25 Tr - 35 Tr VND</t>
        </is>
      </c>
      <c r="F9270" s="10" t="inlineStr">
        <is>
          <t>Bắc Ninh</t>
        </is>
      </c>
      <c r="G9270" s="10" t="inlineStr">
        <is>
          <t>15-03-2026</t>
        </is>
      </c>
      <c r="H9270" s="10" t="inlineStr">
        <is>
          <t>13/03/2026</t>
        </is>
      </c>
      <c r="I9270" s="10" t="inlineStr">
        <is>
          <t>17/03/2026</t>
        </is>
      </c>
      <c r="J9270" s="10" t="inlineStr">
        <is>
          <t>Cơ khí / Ô tô / Tự động hóa, Điện / Điện tử / Điện lạnh / Điện công nghiệp, Xây dựng</t>
        </is>
      </c>
      <c r="K9270" s="10" t="inlineStr">
        <is>
          <t>1 - 3 Năm</t>
        </is>
      </c>
      <c r="L9270" s="11">
        <f>HYPERLINK("https://careerviet.vn/vi/tim-viec-lam/chi-huy-truong-cong-trinh-co-dien-pccc-hvac-tai-bac-ninh.35C6B915.html","Xem chi tiết")</f>
        <v/>
      </c>
      <c r="M9270" s="10" t="n"/>
    </row>
    <row r="9271">
      <c r="B9271" s="7" t="n">
        <v>9269</v>
      </c>
      <c r="C9271" t="inlineStr">
        <is>
          <t>Chuyên viên Hành chính kho - ROX Key - 4A080</t>
        </is>
      </c>
      <c r="D9271" t="inlineStr">
        <is>
          <t>Tập đoàn ROX (ROX Group)</t>
        </is>
      </c>
      <c r="E9271" t="inlineStr">
        <is>
          <t>Lương:Cạnh tranh</t>
        </is>
      </c>
      <c r="F9271" t="inlineStr">
        <is>
          <t>Hà Nội</t>
        </is>
      </c>
      <c r="G9271" t="inlineStr">
        <is>
          <t>06-04-2026</t>
        </is>
      </c>
      <c r="H9271" t="inlineStr">
        <is>
          <t>06/04/2026</t>
        </is>
      </c>
      <c r="I9271" t="inlineStr">
        <is>
          <t>17/03/2026</t>
        </is>
      </c>
      <c r="J9271" t="inlineStr">
        <is>
          <t>Hành chính / Thư ký</t>
        </is>
      </c>
      <c r="K9271" t="inlineStr">
        <is>
          <t>Trên 2 Năm</t>
        </is>
      </c>
      <c r="L9271" s="8">
        <f>HYPERLINK("https://careerviet.vn/vi/tim-viec-lam/chuyen-vien-hanh-chinh-kho-rox-key-4a080.35C6B8E3.html","Xem chi tiết")</f>
        <v/>
      </c>
    </row>
    <row r="9272">
      <c r="B9272" s="9" t="n">
        <v>9270</v>
      </c>
      <c r="C9272" s="10" t="inlineStr">
        <is>
          <t>Nhân viên kinh doanh (Heo Mảnh)</t>
        </is>
      </c>
      <c r="D9272" s="10" t="inlineStr">
        <is>
          <t>Hệ thống Vĩnh Tân</t>
        </is>
      </c>
      <c r="E9272" s="10" t="inlineStr">
        <is>
          <t>Lương:10 Tr - 12 Tr VND</t>
        </is>
      </c>
      <c r="F9272" s="10" t="inlineStr">
        <is>
          <t>Hồ Chí Minh</t>
        </is>
      </c>
      <c r="G9272" s="10" t="inlineStr">
        <is>
          <t>09-04-2026</t>
        </is>
      </c>
      <c r="H9272" s="10" t="inlineStr">
        <is>
          <t>09/04/2026</t>
        </is>
      </c>
      <c r="I9272" s="10" t="inlineStr">
        <is>
          <t>17/03/2026</t>
        </is>
      </c>
      <c r="J9272" s="10" t="inlineStr">
        <is>
          <t>Bán lẻ / Bán sỉ, Bán hàng / Kinh doanh, Thực phẩm &amp; Đồ uống</t>
        </is>
      </c>
      <c r="K9272" s="10" t="inlineStr">
        <is>
          <t>1 - 3 Năm</t>
        </is>
      </c>
      <c r="L9272" s="11">
        <f>HYPERLINK("https://careerviet.vn/vi/tim-viec-lam/nhan-vien-kinh-doanh-heo-manh.35C6B6C6.html","Xem chi tiết")</f>
        <v/>
      </c>
      <c r="M9272" s="10" t="n"/>
    </row>
    <row r="9273">
      <c r="B9273" s="7" t="n">
        <v>9271</v>
      </c>
      <c r="C9273" t="inlineStr">
        <is>
          <t>CHUYÊN VIÊN QLRR THỊ TRƯỜNG &amp; THANH KHOẢN - TRUNG TÂM QUẢN LÝ RỦI RO - KHỐI QUẢN LÝ RỦI RO</t>
        </is>
      </c>
      <c r="D9273" t="inlineStr">
        <is>
          <t>NGÂN HÀNG TMCP SÀI GÒN THƯƠNG TÍN (SACOMBANK)</t>
        </is>
      </c>
      <c r="E9273" t="inlineStr">
        <is>
          <t>Lương:Cạnh tranh</t>
        </is>
      </c>
      <c r="F9273" t="inlineStr">
        <is>
          <t>Hồ Chí Minh</t>
        </is>
      </c>
      <c r="G9273" t="inlineStr">
        <is>
          <t>02-06-2026</t>
        </is>
      </c>
      <c r="H9273" t="inlineStr">
        <is>
          <t>02/06/2026</t>
        </is>
      </c>
      <c r="I9273" t="inlineStr">
        <is>
          <t>17/03/2026</t>
        </is>
      </c>
      <c r="J9273" t="inlineStr">
        <is>
          <t>Ngân hàng</t>
        </is>
      </c>
      <c r="K9273" t="inlineStr">
        <is>
          <t>2 - 5 Năm</t>
        </is>
      </c>
      <c r="L9273" s="8">
        <f>HYPERLINK("https://careerviet.vn/vi/tim-viec-lam/chuyen-vien-qlrr-thi-truong-thanh-khoan-trung-tam-quan-ly-rui-ro-khoi-quan-ly-rui-ro.35C6B535.html","Xem chi tiết")</f>
        <v/>
      </c>
    </row>
    <row r="9274">
      <c r="B9274" s="9" t="n">
        <v>9272</v>
      </c>
      <c r="C9274" s="10" t="inlineStr">
        <is>
          <t>Operation Livestream Executive</t>
        </is>
      </c>
      <c r="D9274" s="10" t="inlineStr">
        <is>
          <t>Công Ty TNHH XNK Phát Triển Đông Dương</t>
        </is>
      </c>
      <c r="E9274" s="10" t="inlineStr">
        <is>
          <t>Lương:Cạnh tranh</t>
        </is>
      </c>
      <c r="F9274" s="10" t="inlineStr">
        <is>
          <t>Hà Nội</t>
        </is>
      </c>
      <c r="G9274" s="10" t="inlineStr">
        <is>
          <t>08-04-2026</t>
        </is>
      </c>
      <c r="H9274" s="10" t="inlineStr">
        <is>
          <t>08/04/2026</t>
        </is>
      </c>
      <c r="I9274" s="10" t="inlineStr">
        <is>
          <t>17/03/2026</t>
        </is>
      </c>
      <c r="J9274" s="10" t="inlineStr">
        <is>
          <t>Bán hàng / Kinh doanh, Tiếp thị trực tuyến, Thương mại điện tử</t>
        </is>
      </c>
      <c r="K9274" s="10" t="inlineStr">
        <is>
          <t>1 - 2 Năm</t>
        </is>
      </c>
      <c r="L9274" s="11">
        <f>HYPERLINK("https://careerviet.vn/vi/tim-viec-lam/operation-livestream-executive.35C6B8E7.html","Xem chi tiết")</f>
        <v/>
      </c>
      <c r="M9274" s="10" t="n"/>
    </row>
    <row r="9275">
      <c r="B9275" s="7" t="n">
        <v>9273</v>
      </c>
      <c r="C9275" t="inlineStr">
        <is>
          <t>Industrial Designer (Alpha Works)</t>
        </is>
      </c>
      <c r="D9275" t="inlineStr">
        <is>
          <t>Công Ty TNHH Phúc Giang</t>
        </is>
      </c>
      <c r="E9275" t="inlineStr">
        <is>
          <t>Lương:Cạnh tranh</t>
        </is>
      </c>
      <c r="F9275" t="inlineStr">
        <is>
          <t>Hồ Chí Minh</t>
        </is>
      </c>
      <c r="G9275" t="inlineStr">
        <is>
          <t>30-04-2026</t>
        </is>
      </c>
      <c r="H9275" t="inlineStr">
        <is>
          <t>30/04/2026</t>
        </is>
      </c>
      <c r="I9275" t="inlineStr">
        <is>
          <t>17/03/2026</t>
        </is>
      </c>
      <c r="J9275" t="inlineStr">
        <is>
          <t>Mỹ thuật / Nghệ thuật / Thiết kế</t>
        </is>
      </c>
      <c r="K9275" t="inlineStr">
        <is>
          <t>2 - 5 Năm</t>
        </is>
      </c>
      <c r="L9275" s="8">
        <f>HYPERLINK("https://careerviet.vn/vi/tim-viec-lam/industrial-designer-alpha-works.35C6B909.html","Xem chi tiết")</f>
        <v/>
      </c>
    </row>
    <row r="9276">
      <c r="B9276" s="9" t="n">
        <v>9274</v>
      </c>
      <c r="C9276" s="10" t="inlineStr">
        <is>
          <t>UX/UI Designer</t>
        </is>
      </c>
      <c r="D9276" s="10" t="inlineStr">
        <is>
          <t>CÔNG TY CỔ PHẦN HỌC VIỆN MINH TRÍ THÀNH</t>
        </is>
      </c>
      <c r="E9276" s="10" t="inlineStr">
        <is>
          <t>Lương:12 Tr - 18 Tr VND</t>
        </is>
      </c>
      <c r="F9276" s="10" t="inlineStr">
        <is>
          <t>Hà Nội</t>
        </is>
      </c>
      <c r="G9276" s="10" t="inlineStr">
        <is>
          <t>15-03-2026</t>
        </is>
      </c>
      <c r="H9276" s="10" t="inlineStr">
        <is>
          <t>09/03/2026</t>
        </is>
      </c>
      <c r="I9276" s="10" t="inlineStr">
        <is>
          <t>17/03/2026</t>
        </is>
      </c>
      <c r="J9276" s="10" t="inlineStr">
        <is>
          <t>CNTT - Phần mềm, Mỹ thuật / Nghệ thuật / Thiết kế, Quảng cáo / Đối ngoại / Truyền Thông</t>
        </is>
      </c>
      <c r="K9276" s="10" t="inlineStr">
        <is>
          <t>2 - 5 Năm</t>
        </is>
      </c>
      <c r="L9276" s="11">
        <f>HYPERLINK("https://careerviet.vn/vi/tim-viec-lam/ux-ui-designer.35C6B8EC.html","Xem chi tiết")</f>
        <v/>
      </c>
      <c r="M9276" s="10" t="n"/>
    </row>
    <row r="9277">
      <c r="B9277" s="7" t="n">
        <v>9275</v>
      </c>
      <c r="C9277" t="inlineStr">
        <is>
          <t>Quản Lý Cửa Hàng YODY - Khu vực Hà Nội - Miền Bắc</t>
        </is>
      </c>
      <c r="D9277" t="inlineStr">
        <is>
          <t>Công ty Cổ phần Thời Trang YODY</t>
        </is>
      </c>
      <c r="E9277" t="inlineStr">
        <is>
          <t>Lương:Cạnh tranh</t>
        </is>
      </c>
      <c r="F9277" t="inlineStr">
        <is>
          <t>Hà Nội</t>
        </is>
      </c>
      <c r="G9277" t="inlineStr">
        <is>
          <t>15-04-2026</t>
        </is>
      </c>
      <c r="H9277" t="inlineStr">
        <is>
          <t>15/04/2026</t>
        </is>
      </c>
      <c r="I9277" t="inlineStr">
        <is>
          <t>17/03/2026</t>
        </is>
      </c>
      <c r="J9277" t="inlineStr">
        <is>
          <t>Bán lẻ / Bán sỉ, Bán hàng / Kinh doanh</t>
        </is>
      </c>
      <c r="K9277" t="inlineStr">
        <is>
          <t>1 - 2 Năm</t>
        </is>
      </c>
      <c r="L9277" s="8">
        <f>HYPERLINK("https://careerviet.vn/vi/tim-viec-lam/quan-ly-cua-hang-yody-khu-vuc-ha-noi-mien-bac.35C6B91A.html","Xem chi tiết")</f>
        <v/>
      </c>
    </row>
    <row r="9278">
      <c r="B9278" s="9" t="n">
        <v>9276</v>
      </c>
      <c r="C9278" s="10" t="inlineStr">
        <is>
          <t>Thủ kho</t>
        </is>
      </c>
      <c r="D9278" s="10" t="inlineStr">
        <is>
          <t>Tập Đoàn Karofi Holding</t>
        </is>
      </c>
      <c r="E9278" s="10" t="inlineStr">
        <is>
          <t>Lương:10 Tr - 13 Tr VND</t>
        </is>
      </c>
      <c r="F9278" s="10" t="inlineStr">
        <is>
          <t>Hưng Yên</t>
        </is>
      </c>
      <c r="G9278" s="10" t="inlineStr">
        <is>
          <t>29-04-2026</t>
        </is>
      </c>
      <c r="H9278" s="10" t="inlineStr">
        <is>
          <t>29/04/2026</t>
        </is>
      </c>
      <c r="I9278" s="10" t="inlineStr">
        <is>
          <t>17/03/2026</t>
        </is>
      </c>
      <c r="J9278" s="10" t="inlineStr">
        <is>
          <t>Kế toán / Kiểm toán, Vận chuyển / Giao nhận / Kho vận, Thống kê</t>
        </is>
      </c>
      <c r="K9278" s="10" t="inlineStr">
        <is>
          <t>3 - 10 Năm</t>
        </is>
      </c>
      <c r="L9278" s="11">
        <f>HYPERLINK("https://careerviet.vn/vi/tim-viec-lam/thu-kho.35C6B8DA.html","Xem chi tiết")</f>
        <v/>
      </c>
      <c r="M9278" s="10" t="n"/>
    </row>
    <row r="9279">
      <c r="B9279" s="7" t="n">
        <v>9277</v>
      </c>
      <c r="C9279" t="inlineStr">
        <is>
          <t>CHUYÊN VIÊN THIẾT KẾ VÀ QUAY DỰNG VIDEO</t>
        </is>
      </c>
      <c r="D9279" t="inlineStr">
        <is>
          <t>CÔNG TY CỔ PHẦN QUỐC TẾ BẮC SÀI GÒN</t>
        </is>
      </c>
      <c r="E9279" t="inlineStr">
        <is>
          <t>Lương:13 Tr - 15 Tr VND</t>
        </is>
      </c>
      <c r="F9279" t="inlineStr">
        <is>
          <t>Bình Dương</t>
        </is>
      </c>
      <c r="G9279" t="inlineStr">
        <is>
          <t>30-04-2026</t>
        </is>
      </c>
      <c r="H9279" t="inlineStr">
        <is>
          <t>30/04/2026</t>
        </is>
      </c>
      <c r="I9279" t="inlineStr">
        <is>
          <t>17/03/2026</t>
        </is>
      </c>
      <c r="J9279" t="inlineStr">
        <is>
          <t>Mỹ thuật / Nghệ thuật / Thiết kế, Quảng cáo / Đối ngoại / Truyền Thông, Tiếp thị / Marketing</t>
        </is>
      </c>
      <c r="K9279" t="inlineStr">
        <is>
          <t>1 - 3 Năm</t>
        </is>
      </c>
      <c r="L9279" s="8">
        <f>HYPERLINK("https://careerviet.vn/vi/tim-viec-lam/chuyen-vien-thiet-ke-va-quay-dung-video.35C6B917.html","Xem chi tiết")</f>
        <v/>
      </c>
    </row>
    <row r="9280">
      <c r="B9280" s="9" t="n">
        <v>9278</v>
      </c>
      <c r="C9280" s="10" t="inlineStr">
        <is>
          <t>Facility Engineer</t>
        </is>
      </c>
      <c r="D9280" s="10" t="inlineStr">
        <is>
          <t>Công ty TNHH Cicor Việt Nam</t>
        </is>
      </c>
      <c r="E9280" s="10" t="inlineStr">
        <is>
          <t>Lương:Cạnh tranh</t>
        </is>
      </c>
      <c r="F9280" s="10" t="inlineStr">
        <is>
          <t>Bình Dương</t>
        </is>
      </c>
      <c r="G9280" s="10" t="inlineStr">
        <is>
          <t>06-04-2026</t>
        </is>
      </c>
      <c r="H9280" s="10" t="inlineStr">
        <is>
          <t>06/04/2026</t>
        </is>
      </c>
      <c r="I9280" s="10" t="inlineStr">
        <is>
          <t>17/03/2026</t>
        </is>
      </c>
      <c r="J9280" s="10" t="inlineStr">
        <is>
          <t>Điện / Điện tử / Điện lạnh / Điện công nghiệp, An toàn lao động, Bảo trì / Sửa chữa</t>
        </is>
      </c>
      <c r="K9280" s="10" t="inlineStr">
        <is>
          <t>Trên 7 Năm</t>
        </is>
      </c>
      <c r="L9280" s="11">
        <f>HYPERLINK("https://careerviet.vn/vi/tim-viec-lam/facility-engineer.35C6B882.html","Xem chi tiết")</f>
        <v/>
      </c>
      <c r="M9280" s="10" t="n"/>
    </row>
    <row r="9281">
      <c r="B9281" s="7" t="n">
        <v>9279</v>
      </c>
      <c r="C9281" t="inlineStr">
        <is>
          <t>(Middle, Senior) FullStack Developer - Khối Công nghệ thông tin (HOLT.12)</t>
        </is>
      </c>
      <c r="D9281" t="inlineStr">
        <is>
          <t>Ngân Hàng TMCP Quân Đội</t>
        </is>
      </c>
      <c r="E9281" t="inlineStr">
        <is>
          <t>Lương:Cạnh tranh</t>
        </is>
      </c>
      <c r="F9281" t="inlineStr">
        <is>
          <t>Hà Nội</t>
        </is>
      </c>
      <c r="G9281" t="inlineStr">
        <is>
          <t>09-04-2026</t>
        </is>
      </c>
      <c r="H9281" t="inlineStr">
        <is>
          <t>09/04/2026</t>
        </is>
      </c>
      <c r="I9281" t="inlineStr">
        <is>
          <t>17/03/2026</t>
        </is>
      </c>
      <c r="J9281" t="inlineStr">
        <is>
          <t>Ngân hàng, CNTT - Phần mềm, CNTT - Phần cứng / Mạng</t>
        </is>
      </c>
      <c r="K9281" t="inlineStr">
        <is>
          <t>Không yêu cầu kinh nghiệm</t>
        </is>
      </c>
      <c r="L9281" s="8">
        <f>HYPERLINK("https://careerviet.vn/vi/tim-viec-lam/middle-senior-fullstack-developer-khoi-cong-nghe-thong-tin-holt-12.35C6B8DB.html","Xem chi tiết")</f>
        <v/>
      </c>
    </row>
    <row r="9282">
      <c r="B9282" s="9" t="n">
        <v>9280</v>
      </c>
      <c r="C9282" s="10" t="inlineStr">
        <is>
          <t>Trợ lý Kinh doanh</t>
        </is>
      </c>
      <c r="D9282" s="10" t="inlineStr">
        <is>
          <t>Công Ty Cổ Phần Tập Đoàn Sunshine</t>
        </is>
      </c>
      <c r="E9282" s="10" t="inlineStr">
        <is>
          <t>Lương:20 Tr - 30 Tr VND</t>
        </is>
      </c>
      <c r="F9282" s="10" t="inlineStr">
        <is>
          <t>Hồ Chí Minh</t>
        </is>
      </c>
      <c r="G9282" s="10" t="inlineStr">
        <is>
          <t>08-04-2026</t>
        </is>
      </c>
      <c r="H9282" s="10" t="inlineStr">
        <is>
          <t>08/04/2026</t>
        </is>
      </c>
      <c r="I9282" s="10" t="inlineStr">
        <is>
          <t>17/03/2026</t>
        </is>
      </c>
      <c r="J9282" s="10" t="inlineStr">
        <is>
          <t>Bất động sản, Bán hàng / Kinh doanh</t>
        </is>
      </c>
      <c r="K9282" s="10" t="inlineStr">
        <is>
          <t>Trên 2 Năm</t>
        </is>
      </c>
      <c r="L9282" s="11">
        <f>HYPERLINK("https://careerviet.vn/vi/tim-viec-lam/tro-ly-kinh-doanh.35C6B8B8.html","Xem chi tiết")</f>
        <v/>
      </c>
      <c r="M9282" s="10" t="n"/>
    </row>
    <row r="9283">
      <c r="B9283" s="7" t="n">
        <v>9281</v>
      </c>
      <c r="C9283" t="inlineStr">
        <is>
          <t>Procurement - The Electronics Manufacturing or PCBA Industry</t>
        </is>
      </c>
      <c r="D9283" t="inlineStr">
        <is>
          <t>Công ty TNHH Cicor Việt Nam</t>
        </is>
      </c>
      <c r="E9283" t="inlineStr">
        <is>
          <t>Lương:Cạnh tranh</t>
        </is>
      </c>
      <c r="F9283" t="inlineStr">
        <is>
          <t>Bình Dương</t>
        </is>
      </c>
      <c r="G9283" t="inlineStr">
        <is>
          <t>31-03-2026</t>
        </is>
      </c>
      <c r="H9283" t="inlineStr">
        <is>
          <t>31/03/2026</t>
        </is>
      </c>
      <c r="I9283" t="inlineStr">
        <is>
          <t>17/03/2026</t>
        </is>
      </c>
      <c r="J9283" t="inlineStr">
        <is>
          <t>Điện / Điện tử / Điện lạnh / Điện công nghiệp, Thu mua / Vật tư</t>
        </is>
      </c>
      <c r="K9283" t="inlineStr">
        <is>
          <t>3 - 5 Năm</t>
        </is>
      </c>
      <c r="L9283" s="8">
        <f>HYPERLINK("https://careerviet.vn/vi/tim-viec-lam/procurement-the-electronics-manufacturing-or-pcba-industry.35C6B880.html","Xem chi tiết")</f>
        <v/>
      </c>
    </row>
    <row r="9284">
      <c r="B9284" s="9" t="n">
        <v>9282</v>
      </c>
      <c r="C9284" s="10" t="inlineStr">
        <is>
          <t>KỸ THUẬT VIÊN CNC</t>
        </is>
      </c>
      <c r="D9284" s="10" t="inlineStr">
        <is>
          <t>Công ty Cổ phần ĐẠI ĐỒNG TIẾN</t>
        </is>
      </c>
      <c r="E9284" s="10" t="inlineStr">
        <is>
          <t>Lương:9 Tr - 15 Tr VND</t>
        </is>
      </c>
      <c r="F9284" s="10" t="inlineStr">
        <is>
          <t>Hồ Chí Minh</t>
        </is>
      </c>
      <c r="G9284" s="10" t="inlineStr">
        <is>
          <t>08-04-2026</t>
        </is>
      </c>
      <c r="H9284" s="10" t="inlineStr">
        <is>
          <t>08/04/2026</t>
        </is>
      </c>
      <c r="I9284" s="10" t="inlineStr">
        <is>
          <t>17/03/2026</t>
        </is>
      </c>
      <c r="J9284" s="10" t="inlineStr">
        <is>
          <t>Cơ khí / Ô tô / Tự động hóa, Điện / Điện tử / Điện lạnh / Điện công nghiệp, Bảo trì / Sửa chữa</t>
        </is>
      </c>
      <c r="K9284" s="10" t="inlineStr">
        <is>
          <t>1 - 2 Năm</t>
        </is>
      </c>
      <c r="L9284" s="11">
        <f>HYPERLINK("https://careerviet.vn/vi/tim-viec-lam/ky-thuat-vien-cnc.35C6B876.html","Xem chi tiết")</f>
        <v/>
      </c>
      <c r="M9284" s="10" t="n"/>
    </row>
    <row r="9285">
      <c r="B9285" s="7" t="n">
        <v>9283</v>
      </c>
      <c r="C9285" t="inlineStr">
        <is>
          <t>Nhân viên R&amp;D Nghiên cứu và phát triển chất liệu sợi vải</t>
        </is>
      </c>
      <c r="D9285" t="inlineStr">
        <is>
          <t>Công Ty Cổ Phần Tập Đoàn Thời Trang Việt Nam</t>
        </is>
      </c>
      <c r="E9285" t="inlineStr">
        <is>
          <t>Lương:15 Tr - 20 Tr VND</t>
        </is>
      </c>
      <c r="F9285" t="inlineStr">
        <is>
          <t>Hà Nội</t>
        </is>
      </c>
      <c r="G9285" t="inlineStr">
        <is>
          <t>09-04-2026</t>
        </is>
      </c>
      <c r="H9285" t="inlineStr">
        <is>
          <t>09/04/2026</t>
        </is>
      </c>
      <c r="I9285" t="inlineStr">
        <is>
          <t>17/03/2026</t>
        </is>
      </c>
      <c r="J9285" t="inlineStr">
        <is>
          <t>Dệt may / Da giày / Thời trang</t>
        </is>
      </c>
      <c r="K9285" t="inlineStr">
        <is>
          <t>Chưa có kinh nghiệm</t>
        </is>
      </c>
      <c r="L9285" s="8">
        <f>HYPERLINK("https://careerviet.vn/vi/tim-viec-lam/nhan-vien-r-d-nghien-cuu-va-phat-trien-chat-lieu-soi-vai.35C6B7E7.html","Xem chi tiết")</f>
        <v/>
      </c>
    </row>
    <row r="9286">
      <c r="B9286" s="9" t="n">
        <v>9284</v>
      </c>
      <c r="C9286" s="10" t="inlineStr">
        <is>
          <t>HÀ NỘI - PHÓ PHÒNG HÀNH CHÍNH</t>
        </is>
      </c>
      <c r="D9286" s="10" t="inlineStr">
        <is>
          <t>THỜI TRANG LINING_CÔNG TY TNHH QUỐC TẾ HẢI LONG</t>
        </is>
      </c>
      <c r="E9286" s="10" t="inlineStr">
        <is>
          <t>Lương:40 Tr - 50 Tr VND</t>
        </is>
      </c>
      <c r="F9286" s="10" t="inlineStr">
        <is>
          <t>Hà Nội</t>
        </is>
      </c>
      <c r="G9286" s="10" t="inlineStr">
        <is>
          <t>30-04-2026</t>
        </is>
      </c>
      <c r="H9286" s="10" t="inlineStr">
        <is>
          <t>30/04/2026</t>
        </is>
      </c>
      <c r="I9286" s="10" t="inlineStr">
        <is>
          <t>17/03/2026</t>
        </is>
      </c>
      <c r="J9286" s="10" t="inlineStr">
        <is>
          <t>Hành chính / Thư ký, Quản lý điều hành, Nhân sự</t>
        </is>
      </c>
      <c r="K9286" s="10" t="inlineStr">
        <is>
          <t>5 - 10 Năm</t>
        </is>
      </c>
      <c r="L9286" s="11">
        <f>HYPERLINK("https://careerviet.vn/vi/tim-viec-lam/ha-noi-pho-phong-hanh-chinh.35C6B8C7.html","Xem chi tiết")</f>
        <v/>
      </c>
      <c r="M9286" s="10" t="n"/>
    </row>
    <row r="9287">
      <c r="B9287" s="7" t="n">
        <v>9285</v>
      </c>
      <c r="C9287" t="inlineStr">
        <is>
          <t>Product Owner (Mảng Thanh Toán Điện Tử)</t>
        </is>
      </c>
      <c r="D9287" t="inlineStr">
        <is>
          <t>Công ty Cố phần giải pháp công nghệ ITE</t>
        </is>
      </c>
      <c r="E9287" t="inlineStr">
        <is>
          <t>Lương:25 Tr - 40 Tr VND</t>
        </is>
      </c>
      <c r="F9287" t="inlineStr">
        <is>
          <t>Hà Nội</t>
        </is>
      </c>
      <c r="G9287" t="inlineStr">
        <is>
          <t>09-04-2026</t>
        </is>
      </c>
      <c r="H9287" t="inlineStr">
        <is>
          <t>09/04/2026</t>
        </is>
      </c>
      <c r="I9287" t="inlineStr">
        <is>
          <t>17/03/2026</t>
        </is>
      </c>
      <c r="J9287" t="inlineStr">
        <is>
          <t>Dịch vụ khách hàng, Tài chính / Đầu tư, CNTT - Phần mềm</t>
        </is>
      </c>
      <c r="K9287" t="inlineStr">
        <is>
          <t>2 - 5 Năm</t>
        </is>
      </c>
      <c r="L9287" s="8">
        <f>HYPERLINK("https://careerviet.vn/vi/tim-viec-lam/product-owner-mang-thanh-toan-dien-tu.35C6B8C4.html","Xem chi tiết")</f>
        <v/>
      </c>
    </row>
    <row r="9288">
      <c r="B9288" s="9" t="n">
        <v>9286</v>
      </c>
      <c r="C9288" s="10" t="inlineStr">
        <is>
          <t>(Middle, Senior) BackEnd Engineer (Java, Go) - Khối Công nghệ thông tin (HOLT.11)</t>
        </is>
      </c>
      <c r="D9288" s="10" t="inlineStr">
        <is>
          <t>Ngân Hàng TMCP Quân Đội</t>
        </is>
      </c>
      <c r="E9288" s="10" t="inlineStr">
        <is>
          <t>Lương:Cạnh tranh</t>
        </is>
      </c>
      <c r="F9288" s="10" t="inlineStr">
        <is>
          <t>Hà Nội</t>
        </is>
      </c>
      <c r="G9288" s="10" t="inlineStr">
        <is>
          <t>09-04-2026</t>
        </is>
      </c>
      <c r="H9288" s="10" t="inlineStr">
        <is>
          <t>09/04/2026</t>
        </is>
      </c>
      <c r="I9288" s="10" t="inlineStr">
        <is>
          <t>17/03/2026</t>
        </is>
      </c>
      <c r="J9288" s="10" t="inlineStr">
        <is>
          <t>Ngân hàng, CNTT - Phần mềm, CNTT - Phần cứng / Mạng</t>
        </is>
      </c>
      <c r="K9288" s="10" t="inlineStr">
        <is>
          <t>Không yêu cầu kinh nghiệm</t>
        </is>
      </c>
      <c r="L9288" s="11">
        <f>HYPERLINK("https://careerviet.vn/vi/tim-viec-lam/middle-senior-backend-engineer-java-go-khoi-cong-nghe-thong-tin-holt-11.35C6B8D7.html","Xem chi tiết")</f>
        <v/>
      </c>
      <c r="M9288" s="10" t="n"/>
    </row>
    <row r="9289">
      <c r="B9289" s="7" t="n">
        <v>9287</v>
      </c>
      <c r="C9289" t="inlineStr">
        <is>
          <t>nhân viên điều phối kho</t>
        </is>
      </c>
      <c r="D9289" t="inlineStr">
        <is>
          <t>Công Ty TNHH Thương Mại Xuất Nhập Khẩu Fani</t>
        </is>
      </c>
      <c r="E9289" t="inlineStr">
        <is>
          <t>Lương:9 Tr - 15 Tr VND</t>
        </is>
      </c>
      <c r="F9289" t="inlineStr">
        <is>
          <t>Hà Nội</t>
        </is>
      </c>
      <c r="G9289" t="inlineStr">
        <is>
          <t>30-04-2026</t>
        </is>
      </c>
      <c r="H9289" t="inlineStr">
        <is>
          <t>30/04/2026</t>
        </is>
      </c>
      <c r="I9289" t="inlineStr">
        <is>
          <t>17/03/2026</t>
        </is>
      </c>
      <c r="J9289" t="inlineStr">
        <is>
          <t>Vận chuyển / Giao nhận / Kho vận</t>
        </is>
      </c>
      <c r="K9289" t="inlineStr">
        <is>
          <t>1 - 3 Năm</t>
        </is>
      </c>
      <c r="L9289" s="8">
        <f>HYPERLINK("https://careerviet.vn/vi/tim-viec-lam/nhan-vien-dieu-phoi-kho.35C6B8A8.html","Xem chi tiết")</f>
        <v/>
      </c>
    </row>
    <row r="9290">
      <c r="B9290" s="9" t="n">
        <v>9288</v>
      </c>
      <c r="C9290" s="10" t="inlineStr">
        <is>
          <t>SEO content - Chuyên viên Sản xuất Nội dung Website - TNEX - 4Z001</t>
        </is>
      </c>
      <c r="D9290" s="10" t="inlineStr">
        <is>
          <t>Tập đoàn ROX (ROX Group)</t>
        </is>
      </c>
      <c r="E9290" s="10" t="inlineStr">
        <is>
          <t>Lương:Cạnh tranh</t>
        </is>
      </c>
      <c r="F9290" s="10" t="inlineStr">
        <is>
          <t>Hà Nội</t>
        </is>
      </c>
      <c r="G9290" s="10" t="inlineStr">
        <is>
          <t>06-04-2026</t>
        </is>
      </c>
      <c r="H9290" s="10" t="inlineStr">
        <is>
          <t>06/04/2026</t>
        </is>
      </c>
      <c r="I9290" s="10" t="inlineStr">
        <is>
          <t>17/03/2026</t>
        </is>
      </c>
      <c r="J9290" s="10" t="inlineStr">
        <is>
          <t>Tài chính / Đầu tư</t>
        </is>
      </c>
      <c r="K9290" s="10" t="inlineStr">
        <is>
          <t>Trên 1 Năm</t>
        </is>
      </c>
      <c r="L9290" s="11">
        <f>HYPERLINK("https://careerviet.vn/vi/tim-viec-lam/seo-content-chuyen-vien-san-xuat-noi-dung-website-tnex-4z001.35C6B7E2.html","Xem chi tiết")</f>
        <v/>
      </c>
      <c r="M9290" s="10" t="n"/>
    </row>
    <row r="9291">
      <c r="B9291" s="7" t="n">
        <v>9289</v>
      </c>
      <c r="C9291" t="inlineStr">
        <is>
          <t>LÁI XE NÂNG</t>
        </is>
      </c>
      <c r="D9291" t="inlineStr">
        <is>
          <t>CÔNG TY CỔ PHẦN DEWOO VIỆT NAM</t>
        </is>
      </c>
      <c r="E9291" t="inlineStr">
        <is>
          <t>Lương:Cạnh tranh</t>
        </is>
      </c>
      <c r="F9291" t="inlineStr">
        <is>
          <t>Bình Dương</t>
        </is>
      </c>
      <c r="G9291" t="inlineStr">
        <is>
          <t>09-04-2026</t>
        </is>
      </c>
      <c r="H9291" t="inlineStr">
        <is>
          <t>09/04/2026</t>
        </is>
      </c>
      <c r="I9291" t="inlineStr">
        <is>
          <t>17/03/2026</t>
        </is>
      </c>
      <c r="J9291" t="inlineStr">
        <is>
          <t>Vận chuyển / Giao nhận / Kho vận, Lao động phổ thông, Sản xuất / Vận hành sản xuất</t>
        </is>
      </c>
      <c r="K9291" t="inlineStr">
        <is>
          <t>Trên 1 Năm</t>
        </is>
      </c>
      <c r="L9291" s="8">
        <f>HYPERLINK("https://careerviet.vn/vi/tim-viec-lam/lai-xe-nang.35C6B788.html","Xem chi tiết")</f>
        <v/>
      </c>
    </row>
    <row r="9292">
      <c r="B9292" s="9" t="n">
        <v>9290</v>
      </c>
      <c r="C9292" s="10" t="inlineStr">
        <is>
          <t>Key Account Manager</t>
        </is>
      </c>
      <c r="D9292" s="10" t="inlineStr">
        <is>
          <t>EAST SEA ENERGY ENVIRONMENT COMPANY LIMITED</t>
        </is>
      </c>
      <c r="E9292" s="10" t="inlineStr">
        <is>
          <t>Lương:Cạnh tranh</t>
        </is>
      </c>
      <c r="F9292" s="10" t="inlineStr">
        <is>
          <t>Hồ Chí Minh</t>
        </is>
      </c>
      <c r="G9292" s="10" t="inlineStr">
        <is>
          <t>09-04-2026</t>
        </is>
      </c>
      <c r="H9292" s="10" t="inlineStr">
        <is>
          <t>09/04/2026</t>
        </is>
      </c>
      <c r="I9292" s="10" t="inlineStr">
        <is>
          <t>17/03/2026</t>
        </is>
      </c>
      <c r="J9292" s="10" t="inlineStr">
        <is>
          <t>Bán Hàng Kỹ Thuật, Điện / Điện tử / Điện lạnh / Điện công nghiệp</t>
        </is>
      </c>
      <c r="K9292" s="10" t="inlineStr">
        <is>
          <t>3 - 10 Năm</t>
        </is>
      </c>
      <c r="L9292" s="11">
        <f>HYPERLINK("https://careerviet.vn/vi/tim-viec-lam/key-account-manager.35C6B6C7.html","Xem chi tiết")</f>
        <v/>
      </c>
      <c r="M9292" s="10" t="n"/>
    </row>
    <row r="9293">
      <c r="B9293" s="7" t="n">
        <v>9291</v>
      </c>
      <c r="C9293" t="inlineStr">
        <is>
          <t>Nhân viên hành chính nhân sự</t>
        </is>
      </c>
      <c r="D9293" t="inlineStr">
        <is>
          <t>Bảo mật</t>
        </is>
      </c>
      <c r="E9293" t="inlineStr">
        <is>
          <t>Lương:8 Tr - 12 Tr VND</t>
        </is>
      </c>
      <c r="F9293" t="inlineStr">
        <is>
          <t>Hà Nội</t>
        </is>
      </c>
      <c r="G9293" t="inlineStr">
        <is>
          <t>30-04-2026</t>
        </is>
      </c>
      <c r="H9293" t="inlineStr">
        <is>
          <t>30/04/2026</t>
        </is>
      </c>
      <c r="I9293" t="inlineStr">
        <is>
          <t>17/03/2026</t>
        </is>
      </c>
      <c r="J9293" t="inlineStr">
        <is>
          <t>Hành chính / Thư ký</t>
        </is>
      </c>
      <c r="K9293" t="inlineStr">
        <is>
          <t>1 - 2 Năm</t>
        </is>
      </c>
      <c r="L9293" s="8">
        <f>HYPERLINK("https://careerviet.vn/vi/tim-viec-lam/nhan-vien-hanh-chinh-nhan-su.35C6B727.html","Xem chi tiết")</f>
        <v/>
      </c>
    </row>
    <row r="9294">
      <c r="B9294" s="9" t="n">
        <v>9292</v>
      </c>
      <c r="C9294" s="10" t="inlineStr">
        <is>
          <t>CHUYÊN VIÊN / CHUYÊN VIÊN CAO CẤP TƯ VẤN TÀI CHÍNH DOANH NGHIỆP – ECM (EQUITY CAPITAL MARKETS)</t>
        </is>
      </c>
      <c r="D9294" s="10" t="inlineStr">
        <is>
          <t>CÔNG TY CỔ PHẦN CHỨNG KHOÁN HD</t>
        </is>
      </c>
      <c r="E9294" s="10" t="inlineStr">
        <is>
          <t>Lương:Cạnh tranh</t>
        </is>
      </c>
      <c r="F9294" s="10" t="inlineStr">
        <is>
          <t>Hồ Chí Minh</t>
        </is>
      </c>
      <c r="G9294" s="10" t="inlineStr">
        <is>
          <t>30-05-2026</t>
        </is>
      </c>
      <c r="H9294" s="10" t="inlineStr">
        <is>
          <t>30/05/2026</t>
        </is>
      </c>
      <c r="I9294" s="10" t="inlineStr">
        <is>
          <t>17/03/2026</t>
        </is>
      </c>
      <c r="J9294" s="10" t="inlineStr">
        <is>
          <t>Ngân hàng, Chứng khoán, Tài chính / Đầu tư</t>
        </is>
      </c>
      <c r="K9294" s="10" t="inlineStr">
        <is>
          <t>Lên đến 5 Năm</t>
        </is>
      </c>
      <c r="L9294" s="11">
        <f>HYPERLINK("https://careerviet.vn/vi/tim-viec-lam/chuyen-vien-chuyen-vien-cao-cap-tu-van-tai-chinh-doanh-nghiep-ecm-equity-capital-markets.35C6B87D.html","Xem chi tiết")</f>
        <v/>
      </c>
      <c r="M9294" s="10" t="n"/>
    </row>
    <row r="9295">
      <c r="B9295" s="7" t="n">
        <v>9293</v>
      </c>
      <c r="C9295" t="inlineStr">
        <is>
          <t>Chuyên viên cao cấp Mô hình hóa và Phân tích Nâng cao - Senior Data Scientist - Modeling and Advanced Analytics - Khối Dữ liệu (HOLT.08)</t>
        </is>
      </c>
      <c r="D9295" t="inlineStr">
        <is>
          <t>Ngân Hàng TMCP Quân Đội</t>
        </is>
      </c>
      <c r="E9295" t="inlineStr">
        <is>
          <t>Lương:Cạnh tranh</t>
        </is>
      </c>
      <c r="F9295" t="inlineStr">
        <is>
          <t>Hà Nội</t>
        </is>
      </c>
      <c r="G9295" t="inlineStr">
        <is>
          <t>09-04-2026</t>
        </is>
      </c>
      <c r="H9295" t="inlineStr">
        <is>
          <t>09/04/2026</t>
        </is>
      </c>
      <c r="I9295" t="inlineStr">
        <is>
          <t>17/03/2026</t>
        </is>
      </c>
      <c r="J9295" t="inlineStr">
        <is>
          <t>Ngân hàng, CNTT - Phần mềm, CNTT - Phần cứng / Mạng</t>
        </is>
      </c>
      <c r="K9295" t="inlineStr">
        <is>
          <t>Trên 3 Năm</t>
        </is>
      </c>
      <c r="L9295" s="8">
        <f>HYPERLINK("https://careerviet.vn/vi/tim-viec-lam/chuyen-vien-cao-cap-mo-hinh-hoa-va-phan-tich-nang-cao-senior-data-scientist-modeling-and-advanced-analytics-khoi-du-lieu-holt-08.35C6B8C3.html","Xem chi tiết")</f>
        <v/>
      </c>
    </row>
    <row r="9296">
      <c r="B9296" s="9" t="n">
        <v>9294</v>
      </c>
      <c r="C9296" s="10" t="inlineStr">
        <is>
          <t>Kỹ sư bảo trì /Maintenance and Facilities Engineer</t>
        </is>
      </c>
      <c r="D9296" s="10" t="inlineStr">
        <is>
          <t>Bảo mật</t>
        </is>
      </c>
      <c r="E9296" s="10" t="inlineStr">
        <is>
          <t>Lương:20 Tr - 25 Tr VND</t>
        </is>
      </c>
      <c r="F9296" s="10" t="inlineStr">
        <is>
          <t>Hồ Chí Minh</t>
        </is>
      </c>
      <c r="G9296" s="10" t="inlineStr">
        <is>
          <t>31-03-2026</t>
        </is>
      </c>
      <c r="H9296" s="10" t="inlineStr">
        <is>
          <t>31/03/2026</t>
        </is>
      </c>
      <c r="I9296" s="10" t="inlineStr">
        <is>
          <t>17/03/2026</t>
        </is>
      </c>
      <c r="J9296" s="10" t="inlineStr">
        <is>
          <t>Bảo trì / Sửa chữa</t>
        </is>
      </c>
      <c r="K9296" s="10" t="inlineStr">
        <is>
          <t>3 - 5 Năm</t>
        </is>
      </c>
      <c r="L9296" s="11">
        <f>HYPERLINK("https://careerviet.vn/vi/tim-viec-lam/ky-su-bao-tri-maintenance-and-facilities-engineer.35C6B87F.html","Xem chi tiết")</f>
        <v/>
      </c>
      <c r="M9296" s="10" t="n"/>
    </row>
    <row r="9297">
      <c r="B9297" s="7" t="n">
        <v>9295</v>
      </c>
      <c r="C9297" t="inlineStr">
        <is>
          <t>Quản lý cửa hàng Hưng Yên (Văn Giang, Như Quỳnh, TP Hưng Yên)</t>
        </is>
      </c>
      <c r="D9297" t="inlineStr">
        <is>
          <t>Công ty Cổ phần IntelLife</t>
        </is>
      </c>
      <c r="E9297" t="inlineStr">
        <is>
          <t>Lương:10 Tr - 15 Tr VND</t>
        </is>
      </c>
      <c r="F9297" t="inlineStr">
        <is>
          <t>Hưng Yên</t>
        </is>
      </c>
      <c r="G9297" t="inlineStr">
        <is>
          <t>08-04-2026</t>
        </is>
      </c>
      <c r="H9297" t="inlineStr">
        <is>
          <t>08/04/2026</t>
        </is>
      </c>
      <c r="I9297" t="inlineStr">
        <is>
          <t>17/03/2026</t>
        </is>
      </c>
      <c r="J9297" t="inlineStr">
        <is>
          <t>Bán lẻ / Bán sỉ</t>
        </is>
      </c>
      <c r="K9297" t="inlineStr">
        <is>
          <t>1 - 2 Năm</t>
        </is>
      </c>
      <c r="L9297" s="8">
        <f>HYPERLINK("https://careerviet.vn/vi/tim-viec-lam/quan-ly-cua-hang-hung-yen-van-giang-nhu-quynh-tp-hung-yen.35C6B898.html","Xem chi tiết")</f>
        <v/>
      </c>
    </row>
    <row r="9298">
      <c r="B9298" s="9" t="n">
        <v>9296</v>
      </c>
      <c r="C9298" s="10" t="inlineStr">
        <is>
          <t>Trình dược viên OTC (Đà Nẵng)</t>
        </is>
      </c>
      <c r="D9298" s="10" t="inlineStr">
        <is>
          <t>Công ty cổ phần Anvy</t>
        </is>
      </c>
      <c r="E9298" s="10" t="inlineStr">
        <is>
          <t>Lương:10 Tr - 20 Tr VND</t>
        </is>
      </c>
      <c r="F9298" s="10" t="inlineStr">
        <is>
          <t>Đà Nẵng</t>
        </is>
      </c>
      <c r="G9298" s="10" t="inlineStr">
        <is>
          <t>09-04-2026</t>
        </is>
      </c>
      <c r="H9298" s="10" t="inlineStr">
        <is>
          <t>09/04/2026</t>
        </is>
      </c>
      <c r="I9298" s="10" t="inlineStr">
        <is>
          <t>17/03/2026</t>
        </is>
      </c>
      <c r="J9298" s="10" t="inlineStr">
        <is>
          <t>Bán hàng / Kinh doanh, Dược phẩm/ Hóa Mỹ Phẩm, Bán lẻ / Bán sỉ</t>
        </is>
      </c>
      <c r="K9298" s="10" t="inlineStr">
        <is>
          <t>1 - 3 Năm</t>
        </is>
      </c>
      <c r="L9298" s="11">
        <f>HYPERLINK("https://careerviet.vn/vi/tim-viec-lam/trinh-duoc-vien-otc-da-nang.35C6B891.html","Xem chi tiết")</f>
        <v/>
      </c>
      <c r="M9298" s="10" t="n"/>
    </row>
    <row r="9299">
      <c r="B9299" s="7" t="n">
        <v>9297</v>
      </c>
      <c r="C9299" t="inlineStr">
        <is>
          <t>Kỹ sư Thiết kế Hạ tầng Giao thông &amp; Hạ tầng Kỹ thuật (Khánh Hòa)</t>
        </is>
      </c>
      <c r="D9299" t="inlineStr">
        <is>
          <t>TẬP ĐOÀN HOÀN CẦU</t>
        </is>
      </c>
      <c r="E9299" t="inlineStr">
        <is>
          <t>Lương:Cạnh tranh</t>
        </is>
      </c>
      <c r="F9299" t="inlineStr">
        <is>
          <t>Khánh Hòa</t>
        </is>
      </c>
      <c r="G9299" t="inlineStr">
        <is>
          <t>31-03-2026</t>
        </is>
      </c>
      <c r="H9299" t="inlineStr">
        <is>
          <t>31/03/2026</t>
        </is>
      </c>
      <c r="I9299" t="inlineStr">
        <is>
          <t>17/03/2026</t>
        </is>
      </c>
      <c r="J9299" t="inlineStr">
        <is>
          <t>Bất động sản, Ngân hàng</t>
        </is>
      </c>
      <c r="K9299" t="inlineStr">
        <is>
          <t>3 - 7 Năm</t>
        </is>
      </c>
      <c r="L9299" s="8">
        <f>HYPERLINK("https://careerviet.vn/vi/tim-viec-lam/ky-su-thiet-ke-ha-tang-giao-thong-ha-tang-ky-thuat-khanh-hoa.35C6B875.html","Xem chi tiết")</f>
        <v/>
      </c>
    </row>
    <row r="9300">
      <c r="B9300" s="9" t="n">
        <v>9298</v>
      </c>
      <c r="C9300" s="10" t="inlineStr">
        <is>
          <t>Project Sales Director</t>
        </is>
      </c>
      <c r="D9300" s="10" t="inlineStr">
        <is>
          <t>Công Ty TNHH Tập Đoàn Rita Võ</t>
        </is>
      </c>
      <c r="E9300" s="10" t="inlineStr">
        <is>
          <t>Lương:30 Tr - 80 Tr VND</t>
        </is>
      </c>
      <c r="F9300" s="10" t="inlineStr">
        <is>
          <t>Hà Nội</t>
        </is>
      </c>
      <c r="G9300" s="10" t="inlineStr">
        <is>
          <t>31-03-2026</t>
        </is>
      </c>
      <c r="H9300" s="10" t="inlineStr">
        <is>
          <t>31/03/2026</t>
        </is>
      </c>
      <c r="I9300" s="10" t="inlineStr">
        <is>
          <t>17/03/2026</t>
        </is>
      </c>
      <c r="J9300" s="10" t="inlineStr">
        <is>
          <t>Bán hàng / Kinh doanh, Quản lý điều hành, Nội ngoại thất</t>
        </is>
      </c>
      <c r="K9300" s="10" t="inlineStr">
        <is>
          <t>3 - 5 Năm</t>
        </is>
      </c>
      <c r="L9300" s="11">
        <f>HYPERLINK("https://careerviet.vn/vi/tim-viec-lam/project-sales-director.35C6B8D6.html","Xem chi tiết")</f>
        <v/>
      </c>
      <c r="M9300" s="10" t="n"/>
    </row>
    <row r="9301">
      <c r="B9301" s="7" t="n">
        <v>9299</v>
      </c>
      <c r="C9301" t="inlineStr">
        <is>
          <t>Kỹ sư trắc đạc</t>
        </is>
      </c>
      <c r="D9301" t="inlineStr">
        <is>
          <t>CÔNG TY CỔ PHẦN ĐẦU TƯ XÂY DỰNG NEGEN</t>
        </is>
      </c>
      <c r="E9301" t="inlineStr">
        <is>
          <t>Lương:16 Tr - 18 Tr VND</t>
        </is>
      </c>
      <c r="F9301" t="inlineStr">
        <is>
          <t>Hồ Chí Minh</t>
        </is>
      </c>
      <c r="G9301" t="inlineStr">
        <is>
          <t>09-04-2026</t>
        </is>
      </c>
      <c r="H9301" t="inlineStr">
        <is>
          <t>09/04/2026</t>
        </is>
      </c>
      <c r="I9301" t="inlineStr">
        <is>
          <t>17/03/2026</t>
        </is>
      </c>
      <c r="J9301" t="inlineStr">
        <is>
          <t>Xây dựng, Trắc địa / Địa Chất</t>
        </is>
      </c>
      <c r="K9301" t="inlineStr">
        <is>
          <t>3 - 5 Năm</t>
        </is>
      </c>
      <c r="L9301" s="8">
        <f>HYPERLINK("https://careerviet.vn/vi/tim-viec-lam/ky-su-trac-dac.35C6B8C8.html","Xem chi tiết")</f>
        <v/>
      </c>
    </row>
    <row r="9302">
      <c r="B9302" s="9" t="n">
        <v>9300</v>
      </c>
      <c r="C9302" s="10" t="inlineStr">
        <is>
          <t>KẾ TOÁN TỔNG HỢP</t>
        </is>
      </c>
      <c r="D9302" s="10" t="inlineStr">
        <is>
          <t>Tập đoàn Nhựa Bình Thuận</t>
        </is>
      </c>
      <c r="E9302" s="10" t="inlineStr">
        <is>
          <t>Lương:18 Tr - 23 Tr VND</t>
        </is>
      </c>
      <c r="F9302" s="10" t="inlineStr">
        <is>
          <t>Bình Dương</t>
        </is>
      </c>
      <c r="G9302" s="10" t="inlineStr">
        <is>
          <t>09-04-2026</t>
        </is>
      </c>
      <c r="H9302" s="10" t="inlineStr">
        <is>
          <t>09/04/2026</t>
        </is>
      </c>
      <c r="I9302" s="10" t="inlineStr">
        <is>
          <t>17/03/2026</t>
        </is>
      </c>
      <c r="J9302" s="10" t="inlineStr">
        <is>
          <t>Sản xuất / Vận hành sản xuất</t>
        </is>
      </c>
      <c r="K9302" s="10" t="inlineStr">
        <is>
          <t>2 - 3 Năm</t>
        </is>
      </c>
      <c r="L9302" s="11">
        <f>HYPERLINK("https://careerviet.vn/vi/tim-viec-lam/ke-toan-tong-hop.35C6B865.html","Xem chi tiết")</f>
        <v/>
      </c>
      <c r="M9302" s="10" t="n"/>
    </row>
    <row r="9303">
      <c r="B9303" s="7" t="n">
        <v>9301</v>
      </c>
      <c r="C9303" t="inlineStr">
        <is>
          <t>Kiến trúc sư Quy hoạch Phát triển dự án</t>
        </is>
      </c>
      <c r="D9303" t="inlineStr">
        <is>
          <t>CÔNG TY CP GOLDEN CITY</t>
        </is>
      </c>
      <c r="E9303" t="inlineStr">
        <is>
          <t>Lương:20 Tr - 25 Tr VND</t>
        </is>
      </c>
      <c r="F9303" t="inlineStr">
        <is>
          <t>Nghệ An</t>
        </is>
      </c>
      <c r="G9303" t="inlineStr">
        <is>
          <t>30-04-2026</t>
        </is>
      </c>
      <c r="H9303" t="inlineStr">
        <is>
          <t>30/04/2026</t>
        </is>
      </c>
      <c r="I9303" t="inlineStr">
        <is>
          <t>17/03/2026</t>
        </is>
      </c>
      <c r="J9303" t="inlineStr">
        <is>
          <t>Kiến trúc, Bất động sản</t>
        </is>
      </c>
      <c r="K9303" t="inlineStr">
        <is>
          <t>3 - 5 Năm</t>
        </is>
      </c>
      <c r="L9303" s="8">
        <f>HYPERLINK("https://careerviet.vn/vi/tim-viec-lam/kien-truc-su-quy-hoach-phat-trien-du-an.35C6BA04.html","Xem chi tiết")</f>
        <v/>
      </c>
    </row>
    <row r="9304">
      <c r="B9304" s="9" t="n">
        <v>9302</v>
      </c>
      <c r="C9304" s="10" t="inlineStr">
        <is>
          <t>Nhân viên Tổ chức sự kiện</t>
        </is>
      </c>
      <c r="D9304" s="10" t="inlineStr">
        <is>
          <t>Tập Đoàn Kim Tín</t>
        </is>
      </c>
      <c r="E9304" s="10" t="inlineStr">
        <is>
          <t>Lương:Cạnh tranh</t>
        </is>
      </c>
      <c r="F9304" s="10" t="inlineStr">
        <is>
          <t>Hưng Yên</t>
        </is>
      </c>
      <c r="G9304" s="10" t="inlineStr">
        <is>
          <t>04-04-2026</t>
        </is>
      </c>
      <c r="H9304" s="10" t="inlineStr">
        <is>
          <t>04/04/2026</t>
        </is>
      </c>
      <c r="I9304" s="10" t="inlineStr">
        <is>
          <t>17/03/2026</t>
        </is>
      </c>
      <c r="J9304" s="10" t="inlineStr">
        <is>
          <t>Giải trí, Truyền hình / Báo chí / Biên tập, Quảng cáo / Đối ngoại / Truyền Thông</t>
        </is>
      </c>
      <c r="K9304" s="10" t="inlineStr">
        <is>
          <t>1 - 3 Năm</t>
        </is>
      </c>
      <c r="L9304" s="11">
        <f>HYPERLINK("https://careerviet.vn/vi/tim-viec-lam/nhan-vien-to-chuc-su-kien.35C6B84C.html","Xem chi tiết")</f>
        <v/>
      </c>
      <c r="M9304" s="10" t="n"/>
    </row>
    <row r="9305">
      <c r="B9305" s="7" t="n">
        <v>9303</v>
      </c>
      <c r="C9305" t="inlineStr">
        <is>
          <t>TRƯỞNG PHÒNG TÀI CHÍNH - KẾ TOÁN (NGÀNH SẢN XUẤT/NỘI THẤT)</t>
        </is>
      </c>
      <c r="D9305" t="inlineStr">
        <is>
          <t>CÔNG TY CỔ PHẦN SẢN XUẤT THƯƠNG MẠI XÂY DỰNG TRANG TRÍ NỘI THẤT G.S VIỆT NAM</t>
        </is>
      </c>
      <c r="E9305" t="inlineStr">
        <is>
          <t>Lương:Trên 28 Tr VND</t>
        </is>
      </c>
      <c r="F9305" t="inlineStr">
        <is>
          <t>Bình Dương</t>
        </is>
      </c>
      <c r="G9305" t="inlineStr">
        <is>
          <t>06-04-2026</t>
        </is>
      </c>
      <c r="H9305" t="inlineStr">
        <is>
          <t>06/04/2026</t>
        </is>
      </c>
      <c r="I9305" t="inlineStr">
        <is>
          <t>17/03/2026</t>
        </is>
      </c>
      <c r="J9305" t="inlineStr">
        <is>
          <t>Kế toán / Kiểm toán, Xây dựng, Nội ngoại thất</t>
        </is>
      </c>
      <c r="K9305" t="inlineStr">
        <is>
          <t>Trên 5 Năm</t>
        </is>
      </c>
      <c r="L9305" s="8">
        <f>HYPERLINK("https://careerviet.vn/vi/tim-viec-lam/truong-phong-tai-chinh-ke-toan-nganh-san-xuat-noi-that.35C6BA5C.html","Xem chi tiết")</f>
        <v/>
      </c>
    </row>
    <row r="9306">
      <c r="B9306" s="9" t="n">
        <v>9304</v>
      </c>
      <c r="C9306" s="10" t="inlineStr">
        <is>
          <t>Thư Ký Kinh Doanh (Sale Admin)</t>
        </is>
      </c>
      <c r="D9306" s="10" t="inlineStr">
        <is>
          <t>CÔNG TY TNHH PHÁT TRIỂN THƯƠNG MẠI BĐS NEWSTARLAND</t>
        </is>
      </c>
      <c r="E9306" s="10" t="inlineStr">
        <is>
          <t>Lương:9 Tr - 12 Tr VND</t>
        </is>
      </c>
      <c r="F9306" s="10" t="inlineStr">
        <is>
          <t>Đà Nẵng</t>
        </is>
      </c>
      <c r="G9306" s="10" t="inlineStr">
        <is>
          <t>08-04-2026</t>
        </is>
      </c>
      <c r="H9306" s="10" t="inlineStr">
        <is>
          <t>08/04/2026</t>
        </is>
      </c>
      <c r="I9306" s="10" t="inlineStr">
        <is>
          <t>17/03/2026</t>
        </is>
      </c>
      <c r="J9306" s="10" t="inlineStr">
        <is>
          <t>Bán hàng / Kinh doanh, Hành chính / Thư ký, Kế toán / Kiểm toán</t>
        </is>
      </c>
      <c r="K9306" s="10" t="inlineStr">
        <is>
          <t>Lên đến 1 Năm</t>
        </is>
      </c>
      <c r="L9306" s="11">
        <f>HYPERLINK("https://careerviet.vn/vi/tim-viec-lam/thu-ky-kinh-doanh-sale-admin.35C6B76B.html","Xem chi tiết")</f>
        <v/>
      </c>
      <c r="M9306" s="10" t="n"/>
    </row>
    <row r="9307">
      <c r="B9307" s="7" t="n">
        <v>9305</v>
      </c>
      <c r="C9307" t="inlineStr">
        <is>
          <t>Trợ Lý Tiếng Nhật - Phòng QC</t>
        </is>
      </c>
      <c r="D9307" t="inlineStr">
        <is>
          <t>CÔNG TY CỔ PHẦN TAKAHIRO</t>
        </is>
      </c>
      <c r="E9307" t="inlineStr">
        <is>
          <t>Lương:10 Tr - 14 Tr VND</t>
        </is>
      </c>
      <c r="F9307" t="inlineStr">
        <is>
          <t>Hồ Chí Minh</t>
        </is>
      </c>
      <c r="G9307" t="inlineStr">
        <is>
          <t>30-04-2026</t>
        </is>
      </c>
      <c r="H9307" t="inlineStr">
        <is>
          <t>30/04/2026</t>
        </is>
      </c>
      <c r="I9307" t="inlineStr">
        <is>
          <t>17/03/2026</t>
        </is>
      </c>
      <c r="J9307" t="inlineStr">
        <is>
          <t>Biên phiên dịch</t>
        </is>
      </c>
      <c r="K9307" t="inlineStr">
        <is>
          <t>Chưa có kinh nghiệm</t>
        </is>
      </c>
      <c r="L9307" s="8">
        <f>HYPERLINK("https://careerviet.vn/vi/tim-viec-lam/tro-ly-tieng-nhat-phong-qc.35C6B7D7.html","Xem chi tiết")</f>
        <v/>
      </c>
    </row>
    <row r="9308">
      <c r="B9308" s="9" t="n">
        <v>9306</v>
      </c>
      <c r="C9308" s="10" t="inlineStr">
        <is>
          <t>Trưởng phòng Giải pháp thanh toán</t>
        </is>
      </c>
      <c r="D9308" s="10" t="inlineStr">
        <is>
          <t>Ngân Hàng TMCP Sài Gòn - Hà Nội ( SHB )</t>
        </is>
      </c>
      <c r="E9308" s="10" t="inlineStr">
        <is>
          <t>Lương:Cạnh tranh</t>
        </is>
      </c>
      <c r="F9308" s="10" t="inlineStr">
        <is>
          <t>Hà Nội</t>
        </is>
      </c>
      <c r="G9308" s="10" t="inlineStr">
        <is>
          <t>06-04-2026</t>
        </is>
      </c>
      <c r="H9308" s="10" t="inlineStr">
        <is>
          <t>06/04/2026</t>
        </is>
      </c>
      <c r="I9308" s="10" t="inlineStr">
        <is>
          <t>17/03/2026</t>
        </is>
      </c>
      <c r="J9308" s="10" t="inlineStr">
        <is>
          <t>Ngân hàng, Tài chính / Đầu tư</t>
        </is>
      </c>
      <c r="K9308" s="10" t="inlineStr">
        <is>
          <t>7 - 10 Năm</t>
        </is>
      </c>
      <c r="L9308" s="11">
        <f>HYPERLINK("https://careerviet.vn/vi/tim-viec-lam/truong-phong-giai-phap-thanh-toan.35C6B6D5.html","Xem chi tiết")</f>
        <v/>
      </c>
      <c r="M9308" s="10" t="n"/>
    </row>
    <row r="9309">
      <c r="B9309" s="7" t="n">
        <v>9307</v>
      </c>
      <c r="C9309" t="inlineStr">
        <is>
          <t>Chuyên viên Vận hành Cộng đồng (Lĩnh vực Thể thao)</t>
        </is>
      </c>
      <c r="D9309" t="inlineStr">
        <is>
          <t>CÔNG TY TNHH FOXSCORE</t>
        </is>
      </c>
      <c r="E9309" t="inlineStr">
        <is>
          <t>Lương:9 Tr - 12 Tr VND</t>
        </is>
      </c>
      <c r="F9309" t="inlineStr">
        <is>
          <t>Hồ Chí Minh</t>
        </is>
      </c>
      <c r="G9309" t="inlineStr">
        <is>
          <t>31-03-2026</t>
        </is>
      </c>
      <c r="H9309" t="inlineStr">
        <is>
          <t>31/03/2026</t>
        </is>
      </c>
      <c r="I9309" t="inlineStr">
        <is>
          <t>17/03/2026</t>
        </is>
      </c>
      <c r="J9309" t="inlineStr">
        <is>
          <t>Truyền hình / Báo chí / Biên tập, Quảng cáo / Đối ngoại / Truyền Thông</t>
        </is>
      </c>
      <c r="K9309" t="inlineStr">
        <is>
          <t>N/A</t>
        </is>
      </c>
      <c r="L9309" s="8">
        <f>HYPERLINK("https://careerviet.vn/vi/tim-viec-lam/chuyen-vien-van-hanh-cong-dong-linh-vuc-the-thao.35C6B84A.html","Xem chi tiết")</f>
        <v/>
      </c>
    </row>
    <row r="9310">
      <c r="B9310" s="9" t="n">
        <v>9308</v>
      </c>
      <c r="C9310" s="10" t="inlineStr">
        <is>
          <t>Nhân Viên QC Làm Việc Tại Nhà Hàng</t>
        </is>
      </c>
      <c r="D9310" s="10" t="inlineStr">
        <is>
          <t>CÔNG TY CỔ PHẦN TAKAHIRO</t>
        </is>
      </c>
      <c r="E9310" s="10" t="inlineStr">
        <is>
          <t>Lương:8 Tr - 10 Tr VND</t>
        </is>
      </c>
      <c r="F9310" s="10" t="inlineStr">
        <is>
          <t>Hồ Chí Minh</t>
        </is>
      </c>
      <c r="G9310" s="10" t="inlineStr">
        <is>
          <t>30-04-2026</t>
        </is>
      </c>
      <c r="H9310" s="10" t="inlineStr">
        <is>
          <t>30/04/2026</t>
        </is>
      </c>
      <c r="I9310" s="10" t="inlineStr">
        <is>
          <t>17/03/2026</t>
        </is>
      </c>
      <c r="J9310" s="10" t="inlineStr">
        <is>
          <t>Quản lý chất lượng (QA/QC), Nhà hàng / Khách sạn</t>
        </is>
      </c>
      <c r="K9310" s="10" t="inlineStr">
        <is>
          <t>Chưa có kinh nghiệm</t>
        </is>
      </c>
      <c r="L9310" s="11">
        <f>HYPERLINK("https://careerviet.vn/vi/tim-viec-lam/nhan-vien-qc-lam-viec-tai-nha-hang.35C6B7DF.html","Xem chi tiết")</f>
        <v/>
      </c>
      <c r="M9310" s="10" t="n"/>
    </row>
    <row r="9311">
      <c r="B9311" s="7" t="n">
        <v>9309</v>
      </c>
      <c r="C9311" t="inlineStr">
        <is>
          <t>Kỹ sư giám sát xây dựng (Đại Nam, Bình Dương)</t>
        </is>
      </c>
      <c r="D9311" t="inlineStr">
        <is>
          <t>CÔNG TY TNHH DK BUILD</t>
        </is>
      </c>
      <c r="E9311" t="inlineStr">
        <is>
          <t>Lương:15 Tr - 25 Tr VND</t>
        </is>
      </c>
      <c r="F9311" t="inlineStr">
        <is>
          <t>Bình Dương</t>
        </is>
      </c>
      <c r="G9311" t="inlineStr">
        <is>
          <t>31-05-2026</t>
        </is>
      </c>
      <c r="H9311" t="inlineStr">
        <is>
          <t>31/05/2026</t>
        </is>
      </c>
      <c r="I9311" t="inlineStr">
        <is>
          <t>17/03/2026</t>
        </is>
      </c>
      <c r="J9311" t="inlineStr">
        <is>
          <t>Xây dựng</t>
        </is>
      </c>
      <c r="K9311" t="inlineStr">
        <is>
          <t>3 - 5 Năm</t>
        </is>
      </c>
      <c r="L9311" s="8">
        <f>HYPERLINK("https://careerviet.vn/vi/tim-viec-lam/ky-su-giam-sat-xay-dung-dai-nam-binh-duong.35C6B838.html","Xem chi tiết")</f>
        <v/>
      </c>
    </row>
    <row r="9312">
      <c r="B9312" s="9" t="n">
        <v>9310</v>
      </c>
      <c r="C9312" s="10" t="inlineStr">
        <is>
          <t>Kỹ sư trắc địa</t>
        </is>
      </c>
      <c r="D9312" s="10" t="inlineStr">
        <is>
          <t>Công ty Cổ phần FECON</t>
        </is>
      </c>
      <c r="E9312" s="10" t="inlineStr">
        <is>
          <t>Lương:Cạnh tranh</t>
        </is>
      </c>
      <c r="F9312" s="10" t="inlineStr">
        <is>
          <t>Hà Nội</t>
        </is>
      </c>
      <c r="G9312" s="10" t="inlineStr">
        <is>
          <t>15-04-2026</t>
        </is>
      </c>
      <c r="H9312" s="10" t="inlineStr">
        <is>
          <t>15/04/2026</t>
        </is>
      </c>
      <c r="I9312" s="10" t="inlineStr">
        <is>
          <t>17/03/2026</t>
        </is>
      </c>
      <c r="J9312" s="10" t="inlineStr">
        <is>
          <t>Xây dựng</t>
        </is>
      </c>
      <c r="K9312" s="10" t="inlineStr">
        <is>
          <t>Trên 2 Năm</t>
        </is>
      </c>
      <c r="L9312" s="11">
        <f>HYPERLINK("https://careerviet.vn/vi/tim-viec-lam/ky-su-trac-dia.35C6BA0D.html","Xem chi tiết")</f>
        <v/>
      </c>
      <c r="M9312" s="10" t="n"/>
    </row>
    <row r="9313">
      <c r="B9313" s="7" t="n">
        <v>9311</v>
      </c>
      <c r="C9313" t="inlineStr">
        <is>
          <t>Kế Toán Tổng Hợp</t>
        </is>
      </c>
      <c r="D9313" t="inlineStr">
        <is>
          <t>Công Ty Cổ Phần Thiết Bị &amp; Dịch Vụ Đồng Lợi</t>
        </is>
      </c>
      <c r="E9313" t="inlineStr">
        <is>
          <t>Lương:12 Tr - 17 Tr VND</t>
        </is>
      </c>
      <c r="F9313" t="inlineStr">
        <is>
          <t>Hồ Chí Minh</t>
        </is>
      </c>
      <c r="G9313" t="inlineStr">
        <is>
          <t>08-04-2026</t>
        </is>
      </c>
      <c r="H9313" t="inlineStr">
        <is>
          <t>08/04/2026</t>
        </is>
      </c>
      <c r="I9313" t="inlineStr">
        <is>
          <t>17/03/2026</t>
        </is>
      </c>
      <c r="J9313" t="inlineStr">
        <is>
          <t>Kế toán / Kiểm toán, Tài chính / Đầu tư, Luật / Pháp lý</t>
        </is>
      </c>
      <c r="K9313" t="inlineStr">
        <is>
          <t>2 - 3 Năm</t>
        </is>
      </c>
      <c r="L9313" s="8">
        <f>HYPERLINK("https://careerviet.vn/vi/tim-viec-lam/ke-toan-tong-hop.35C6B7EF.html","Xem chi tiết")</f>
        <v/>
      </c>
    </row>
    <row r="9314">
      <c r="B9314" s="9" t="n">
        <v>9312</v>
      </c>
      <c r="C9314" s="10" t="inlineStr">
        <is>
          <t>Đại Diện Bán Hàng</t>
        </is>
      </c>
      <c r="D9314" s="10" t="inlineStr">
        <is>
          <t>Tập Đoàn Karofi Holding</t>
        </is>
      </c>
      <c r="E9314" s="10" t="inlineStr">
        <is>
          <t>Lương:16 Tr - 22 Tr VND</t>
        </is>
      </c>
      <c r="F9314" s="10" t="inlineStr">
        <is>
          <t>Trà VinhCần ThơĐồng Tháp</t>
        </is>
      </c>
      <c r="G9314" s="10" t="inlineStr">
        <is>
          <t>29-04-2026</t>
        </is>
      </c>
      <c r="H9314" s="10" t="inlineStr">
        <is>
          <t>29/04/2026</t>
        </is>
      </c>
      <c r="I9314" s="10" t="inlineStr">
        <is>
          <t>17/03/2026</t>
        </is>
      </c>
      <c r="J9314" s="10" t="inlineStr">
        <is>
          <t>Hàng gia dụng / Chăm sóc cá nhân, Bán lẻ / Bán sỉ, Bán hàng / Kinh doanh</t>
        </is>
      </c>
      <c r="K9314" s="10" t="inlineStr">
        <is>
          <t>Trên 1 Năm</t>
        </is>
      </c>
      <c r="L9314" s="11">
        <f>HYPERLINK("https://careerviet.vn/vi/tim-viec-lam/dai-dien-ban-hang.35C6B8E4.html","Xem chi tiết")</f>
        <v/>
      </c>
      <c r="M9314" s="10" t="n"/>
    </row>
    <row r="9315">
      <c r="B9315" s="7" t="n">
        <v>9313</v>
      </c>
      <c r="C9315" t="inlineStr">
        <is>
          <t>[ Quảng Ngãi] Chuyên Viên Tư Vấn Trả Góp Ô Tô</t>
        </is>
      </c>
      <c r="D9315" t="inlineStr">
        <is>
          <t>Công Ty Tài Chính Mirae Asset (Việt Nam)</t>
        </is>
      </c>
      <c r="E9315" t="inlineStr">
        <is>
          <t>Lương:15 Tr - 50 Tr VND</t>
        </is>
      </c>
      <c r="F9315" t="inlineStr">
        <is>
          <t>Quảng NgãiKV Nam Trung Bộ</t>
        </is>
      </c>
      <c r="G9315" t="inlineStr">
        <is>
          <t>08-04-2026</t>
        </is>
      </c>
      <c r="H9315" t="inlineStr">
        <is>
          <t>08/04/2026</t>
        </is>
      </c>
      <c r="I9315" t="inlineStr">
        <is>
          <t>17/03/2026</t>
        </is>
      </c>
      <c r="J9315" t="inlineStr">
        <is>
          <t>Bán lẻ / Bán sỉ, Bán hàng / Kinh doanh, Tài chính / Đầu tư</t>
        </is>
      </c>
      <c r="K9315" t="inlineStr">
        <is>
          <t>1 - 3 Năm</t>
        </is>
      </c>
      <c r="L9315" s="8">
        <f>HYPERLINK("https://careerviet.vn/vi/tim-viec-lam/quang-ngai-chuyen-vien-tu-van-tra-gop-o-to.35C6B9F6.html","Xem chi tiết")</f>
        <v/>
      </c>
    </row>
    <row r="9316">
      <c r="B9316" s="9" t="n">
        <v>9314</v>
      </c>
      <c r="C9316" s="10" t="inlineStr">
        <is>
          <t>MB Trainee - AI Engineer (Fresher, Intern) - Khối Công nghệ thông tin (HOLT.14)</t>
        </is>
      </c>
      <c r="D9316" s="10" t="inlineStr">
        <is>
          <t>Ngân Hàng TMCP Quân Đội</t>
        </is>
      </c>
      <c r="E9316" s="10" t="inlineStr">
        <is>
          <t>Lương:Cạnh tranh</t>
        </is>
      </c>
      <c r="F9316" s="10" t="inlineStr">
        <is>
          <t>Hà Nội</t>
        </is>
      </c>
      <c r="G9316" s="10" t="inlineStr">
        <is>
          <t>09-04-2026</t>
        </is>
      </c>
      <c r="H9316" s="10" t="inlineStr">
        <is>
          <t>09/04/2026</t>
        </is>
      </c>
      <c r="I9316" s="10" t="inlineStr">
        <is>
          <t>17/03/2026</t>
        </is>
      </c>
      <c r="J9316" s="10" t="inlineStr">
        <is>
          <t>Ngân hàng, CNTT - Phần mềm, CNTT - Phần cứng / Mạng</t>
        </is>
      </c>
      <c r="K9316" s="10" t="inlineStr">
        <is>
          <t>N/A</t>
        </is>
      </c>
      <c r="L9316" s="11">
        <f>HYPERLINK("https://careerviet.vn/vi/tim-viec-lam/mb-trainee-ai-engineer-fresher-intern-khoi-cong-nghe-thong-tin-holt-14.35C6B8E0.html","Xem chi tiết")</f>
        <v/>
      </c>
      <c r="M9316" s="10" t="n"/>
    </row>
    <row r="9317">
      <c r="B9317" s="7" t="n">
        <v>9315</v>
      </c>
      <c r="C9317" t="inlineStr">
        <is>
          <t>Chuyên viên Pháp lý Dự án</t>
        </is>
      </c>
      <c r="D9317" t="inlineStr">
        <is>
          <t>Công ty Cổ phần Tập Đoàn Picenza Viet Nam</t>
        </is>
      </c>
      <c r="E9317" t="inlineStr">
        <is>
          <t>Lương:20 Tr - 25 Tr VND</t>
        </is>
      </c>
      <c r="F9317" t="inlineStr">
        <is>
          <t>Lâm Đồng</t>
        </is>
      </c>
      <c r="G9317" t="inlineStr">
        <is>
          <t>07-04-2026</t>
        </is>
      </c>
      <c r="H9317" t="inlineStr">
        <is>
          <t>07/04/2026</t>
        </is>
      </c>
      <c r="I9317" t="inlineStr">
        <is>
          <t>17/03/2026</t>
        </is>
      </c>
      <c r="J9317" t="inlineStr">
        <is>
          <t>Xây dựng, Luật / Pháp lý</t>
        </is>
      </c>
      <c r="K9317" t="inlineStr">
        <is>
          <t>Trên 2 Năm</t>
        </is>
      </c>
      <c r="L9317" s="8">
        <f>HYPERLINK("https://careerviet.vn/vi/tim-viec-lam/chuyen-vien-phap-ly-du-an.35C6B6B6.html","Xem chi tiết")</f>
        <v/>
      </c>
    </row>
    <row r="9318">
      <c r="B9318" s="9" t="n">
        <v>9316</v>
      </c>
      <c r="C9318" s="10" t="inlineStr">
        <is>
          <t>KẾ TOÁN TỔNG HỢP</t>
        </is>
      </c>
      <c r="D9318" s="10" t="inlineStr">
        <is>
          <t>CÔNG TY TNHH THIẾT BỊ HT VIỆT NAM</t>
        </is>
      </c>
      <c r="E9318" s="10" t="inlineStr">
        <is>
          <t>Lương:15 Tr - 17 Tr VND</t>
        </is>
      </c>
      <c r="F9318" s="10" t="inlineStr">
        <is>
          <t>Hà Nội</t>
        </is>
      </c>
      <c r="G9318" s="10" t="inlineStr">
        <is>
          <t>30-04-2026</t>
        </is>
      </c>
      <c r="H9318" s="10" t="inlineStr">
        <is>
          <t>30/04/2026</t>
        </is>
      </c>
      <c r="I9318" s="10" t="inlineStr">
        <is>
          <t>17/03/2026</t>
        </is>
      </c>
      <c r="J9318" s="10" t="inlineStr">
        <is>
          <t>Kế toán / Kiểm toán</t>
        </is>
      </c>
      <c r="K9318" s="10" t="inlineStr">
        <is>
          <t>1 - 2 Năm</t>
        </is>
      </c>
      <c r="L9318" s="11">
        <f>HYPERLINK("https://careerviet.vn/vi/tim-viec-lam/ke-toan-tong-hop.35C6B7BB.html","Xem chi tiết")</f>
        <v/>
      </c>
      <c r="M9318" s="10" t="n"/>
    </row>
    <row r="9319">
      <c r="B9319" s="7" t="n">
        <v>9317</v>
      </c>
      <c r="C9319" t="inlineStr">
        <is>
          <t>Chuyên viên Giải pháp vay thế chấp (Dự án RLOS)</t>
        </is>
      </c>
      <c r="D9319" t="inlineStr">
        <is>
          <t>Ngân Hàng TMCP Sài Gòn - Hà Nội ( SHB )</t>
        </is>
      </c>
      <c r="E9319" t="inlineStr">
        <is>
          <t>Lương:Cạnh tranh</t>
        </is>
      </c>
      <c r="F9319" t="inlineStr">
        <is>
          <t>Hà Nội</t>
        </is>
      </c>
      <c r="G9319" t="inlineStr">
        <is>
          <t>06-04-2026</t>
        </is>
      </c>
      <c r="H9319" t="inlineStr">
        <is>
          <t>06/04/2026</t>
        </is>
      </c>
      <c r="I9319" t="inlineStr">
        <is>
          <t>17/03/2026</t>
        </is>
      </c>
      <c r="J9319" t="inlineStr">
        <is>
          <t>Ngân hàng, Tài chính / Đầu tư</t>
        </is>
      </c>
      <c r="K9319" t="inlineStr">
        <is>
          <t>Trên 2 Năm</t>
        </is>
      </c>
      <c r="L9319" s="8">
        <f>HYPERLINK("https://careerviet.vn/vi/tim-viec-lam/chuyen-vien-giai-phap-vay-the-chap-du-an-rlos.35C6B6E1.html","Xem chi tiết")</f>
        <v/>
      </c>
    </row>
    <row r="9320">
      <c r="B9320" s="9" t="n">
        <v>9318</v>
      </c>
      <c r="C9320" s="10" t="inlineStr">
        <is>
          <t>Assistant of Developer</t>
        </is>
      </c>
      <c r="D9320" s="10" t="inlineStr">
        <is>
          <t>Công ty TNHH, Liên Doanh Vĩnh Hưng (TMI Việt Nam)</t>
        </is>
      </c>
      <c r="E9320" s="10" t="inlineStr">
        <is>
          <t>Lương:9 Tr - 10 Tr VND</t>
        </is>
      </c>
      <c r="F9320" s="10" t="inlineStr">
        <is>
          <t>Hồ Chí Minh</t>
        </is>
      </c>
      <c r="G9320" s="10" t="inlineStr">
        <is>
          <t>31-03-2026</t>
        </is>
      </c>
      <c r="H9320" s="10" t="inlineStr">
        <is>
          <t>31/03/2026</t>
        </is>
      </c>
      <c r="I9320" s="10" t="inlineStr">
        <is>
          <t>17/03/2026</t>
        </is>
      </c>
      <c r="J9320" s="10" t="inlineStr">
        <is>
          <t>Sản xuất / Vận hành sản xuất, Dệt may / Da giày / Thời trang, Thu mua / Vật tư</t>
        </is>
      </c>
      <c r="K9320" s="10" t="inlineStr">
        <is>
          <t>Lên đến 5 Năm</t>
        </is>
      </c>
      <c r="L9320" s="11">
        <f>HYPERLINK("https://careerviet.vn/vi/tim-viec-lam/assistant-of-developer.35C6B6AA.html","Xem chi tiết")</f>
        <v/>
      </c>
      <c r="M9320" s="10" t="n"/>
    </row>
    <row r="9321">
      <c r="B9321" s="7" t="n">
        <v>9319</v>
      </c>
      <c r="C9321" t="inlineStr">
        <is>
          <t>[ Cần Thơ] Giám Sát Kinh Doanh Bán Hàng Trực Tiếp</t>
        </is>
      </c>
      <c r="D9321" t="inlineStr">
        <is>
          <t>Công Ty Tài Chính Mirae Asset (Việt Nam)</t>
        </is>
      </c>
      <c r="E9321" t="inlineStr">
        <is>
          <t>Lương:Cạnh tranh</t>
        </is>
      </c>
      <c r="F9321" t="inlineStr">
        <is>
          <t>Cần Thơ</t>
        </is>
      </c>
      <c r="G9321" t="inlineStr">
        <is>
          <t>08-04-2026</t>
        </is>
      </c>
      <c r="H9321" t="inlineStr">
        <is>
          <t>08/04/2026</t>
        </is>
      </c>
      <c r="I9321" t="inlineStr">
        <is>
          <t>17/03/2026</t>
        </is>
      </c>
      <c r="J9321" t="inlineStr">
        <is>
          <t>Dịch vụ khách hàng, Bán hàng / Kinh doanh, Tài chính / Đầu tư</t>
        </is>
      </c>
      <c r="K9321" t="inlineStr">
        <is>
          <t>2 - 3 Năm</t>
        </is>
      </c>
      <c r="L9321" s="8">
        <f>HYPERLINK("https://careerviet.vn/vi/tim-viec-lam/can-tho-giam-sat-kinh-doanh-ban-hang-truc-tiep.35C6B9EC.html","Xem chi tiết")</f>
        <v/>
      </c>
    </row>
    <row r="9322">
      <c r="B9322" s="9" t="n">
        <v>9320</v>
      </c>
      <c r="C9322" s="10" t="inlineStr">
        <is>
          <t>Graphic Designer</t>
        </is>
      </c>
      <c r="D9322" s="10" t="inlineStr">
        <is>
          <t>CÔNG TY CỔ PHẦN HỌC VIỆN MINH TRÍ THÀNH</t>
        </is>
      </c>
      <c r="E9322" s="10" t="inlineStr">
        <is>
          <t>Lương:12 Tr - 18 Tr VND</t>
        </is>
      </c>
      <c r="F9322" s="10" t="inlineStr">
        <is>
          <t>Hà Nội</t>
        </is>
      </c>
      <c r="G9322" s="10" t="inlineStr">
        <is>
          <t>15-03-2026</t>
        </is>
      </c>
      <c r="H9322" s="10" t="inlineStr">
        <is>
          <t>16/03/2026</t>
        </is>
      </c>
      <c r="I9322" s="10" t="inlineStr">
        <is>
          <t>17/03/2026</t>
        </is>
      </c>
      <c r="J9322" s="10" t="inlineStr">
        <is>
          <t>Tư vấn, Dịch vụ khách hàng</t>
        </is>
      </c>
      <c r="K9322" s="10" t="inlineStr">
        <is>
          <t>2 - 5 Năm</t>
        </is>
      </c>
      <c r="L9322" s="11">
        <f>HYPERLINK("https://careerviet.vn/vi/tim-viec-lam/graphic-designer.35C6B8AB.html","Xem chi tiết")</f>
        <v/>
      </c>
      <c r="M9322" s="10" t="n"/>
    </row>
    <row r="9323">
      <c r="B9323" s="7" t="n">
        <v>9321</v>
      </c>
      <c r="C9323" t="inlineStr">
        <is>
          <t>Phó trưởng phòng Chính sách rủi ro Tín dụng</t>
        </is>
      </c>
      <c r="D9323" t="inlineStr">
        <is>
          <t>Ngân Hàng TMCP Sài Gòn - Hà Nội ( SHB )</t>
        </is>
      </c>
      <c r="E9323" t="inlineStr">
        <is>
          <t>Lương:Cạnh tranh</t>
        </is>
      </c>
      <c r="F9323" t="inlineStr">
        <is>
          <t>Hà Nội</t>
        </is>
      </c>
      <c r="G9323" t="inlineStr">
        <is>
          <t>06-04-2026</t>
        </is>
      </c>
      <c r="H9323" t="inlineStr">
        <is>
          <t>06/04/2026</t>
        </is>
      </c>
      <c r="I9323" t="inlineStr">
        <is>
          <t>17/03/2026</t>
        </is>
      </c>
      <c r="J9323" t="inlineStr">
        <is>
          <t>Ngân hàng</t>
        </is>
      </c>
      <c r="K9323" t="inlineStr">
        <is>
          <t>Trên 5 Năm</t>
        </is>
      </c>
      <c r="L9323" s="8">
        <f>HYPERLINK("https://careerviet.vn/vi/tim-viec-lam/pho-truong-phong-chinh-sach-rui-ro-tin-dung.35C6B6EC.html","Xem chi tiết")</f>
        <v/>
      </c>
    </row>
    <row r="9324">
      <c r="B9324" s="9" t="n">
        <v>9322</v>
      </c>
      <c r="C9324" s="10" t="inlineStr">
        <is>
          <t>KẾ TOÁN  DOANH THU - QUẬN 7</t>
        </is>
      </c>
      <c r="D9324" s="10" t="inlineStr">
        <is>
          <t>Công Ty Cổ Phần Tầm Nhìn Quốc Tế Aladdin</t>
        </is>
      </c>
      <c r="E9324" s="10" t="inlineStr">
        <is>
          <t>Lương:Cạnh tranh</t>
        </is>
      </c>
      <c r="F9324" s="10" t="inlineStr">
        <is>
          <t>Hồ Chí Minh</t>
        </is>
      </c>
      <c r="G9324" s="10" t="inlineStr">
        <is>
          <t>09-04-2026</t>
        </is>
      </c>
      <c r="H9324" s="10" t="inlineStr">
        <is>
          <t>09/04/2026</t>
        </is>
      </c>
      <c r="I9324" s="10" t="inlineStr">
        <is>
          <t>17/03/2026</t>
        </is>
      </c>
      <c r="J9324" s="10" t="inlineStr">
        <is>
          <t>Thực phẩm &amp; Đồ uống, Nhà hàng / Khách sạn, Kế toán / Kiểm toán</t>
        </is>
      </c>
      <c r="K9324" s="10" t="inlineStr">
        <is>
          <t>1 - 2 Năm</t>
        </is>
      </c>
      <c r="L9324" s="11">
        <f>HYPERLINK("https://careerviet.vn/vi/tim-viec-lam/ke-toan-doanh-thu-quan-7.35C6B889.html","Xem chi tiết")</f>
        <v/>
      </c>
      <c r="M9324" s="10" t="n"/>
    </row>
    <row r="9325">
      <c r="B9325" s="7" t="n">
        <v>9323</v>
      </c>
      <c r="C9325" t="inlineStr">
        <is>
          <t>Nhân viên PMC</t>
        </is>
      </c>
      <c r="D9325" t="inlineStr">
        <is>
          <t>CÔNG TY TNHH AUSSCO VIỆT NAM</t>
        </is>
      </c>
      <c r="E9325" t="inlineStr">
        <is>
          <t>Lương:12 Tr - 15 Tr VND</t>
        </is>
      </c>
      <c r="F9325" t="inlineStr">
        <is>
          <t>Bình Dương</t>
        </is>
      </c>
      <c r="G9325" t="inlineStr">
        <is>
          <t>31-03-2026</t>
        </is>
      </c>
      <c r="H9325" t="inlineStr">
        <is>
          <t>31/03/2026</t>
        </is>
      </c>
      <c r="I9325" t="inlineStr">
        <is>
          <t>17/03/2026</t>
        </is>
      </c>
      <c r="J9325" t="inlineStr">
        <is>
          <t>Sản xuất / Vận hành sản xuất, Dệt may / Da giày / Thời trang, Quản lý chất lượng (QA/QC)</t>
        </is>
      </c>
      <c r="K9325" t="inlineStr">
        <is>
          <t>1 - 2 Năm</t>
        </is>
      </c>
      <c r="L9325" s="8">
        <f>HYPERLINK("https://careerviet.vn/vi/tim-viec-lam/nhan-vien-pmc.35C6B794.html","Xem chi tiết")</f>
        <v/>
      </c>
    </row>
    <row r="9326">
      <c r="B9326" s="9" t="n">
        <v>9324</v>
      </c>
      <c r="C9326" s="10" t="inlineStr">
        <is>
          <t>Sales Manager</t>
        </is>
      </c>
      <c r="D9326" s="10" t="inlineStr">
        <is>
          <t>Công Ty TNHH Mun Hean Việt Nam</t>
        </is>
      </c>
      <c r="E9326" s="10" t="inlineStr">
        <is>
          <t>Lương:Cạnh tranh</t>
        </is>
      </c>
      <c r="F9326" s="10" t="inlineStr">
        <is>
          <t>Hồ Chí Minh</t>
        </is>
      </c>
      <c r="G9326" s="10" t="inlineStr">
        <is>
          <t>09-04-2026</t>
        </is>
      </c>
      <c r="H9326" s="10" t="inlineStr">
        <is>
          <t>09/04/2026</t>
        </is>
      </c>
      <c r="I9326" s="10" t="inlineStr">
        <is>
          <t>17/03/2026</t>
        </is>
      </c>
      <c r="J9326" s="10" t="inlineStr">
        <is>
          <t>Điện / Điện tử / Điện lạnh / Điện công nghiệp, Bán Hàng Kỹ Thuật, Bán hàng / Kinh doanh</t>
        </is>
      </c>
      <c r="K9326" s="10" t="inlineStr">
        <is>
          <t>1 - 3 Năm</t>
        </is>
      </c>
      <c r="L9326" s="11">
        <f>HYPERLINK("https://careerviet.vn/vi/tim-viec-lam/sales-manager.35C6A338.html","Xem chi tiết")</f>
        <v/>
      </c>
      <c r="M9326" s="10" t="n"/>
    </row>
    <row r="9327">
      <c r="B9327" s="7" t="n">
        <v>9325</v>
      </c>
      <c r="C9327" t="inlineStr">
        <is>
          <t>HCM_CHUYÊN VIÊN KIỂM TOÁN NỘI BỘ</t>
        </is>
      </c>
      <c r="D9327" t="inlineStr">
        <is>
          <t>BOSTON PHARMA - Công Ty CP Dược Phẩm Boston Việt Nam</t>
        </is>
      </c>
      <c r="E9327" t="inlineStr">
        <is>
          <t>Lương:Cạnh tranh</t>
        </is>
      </c>
      <c r="F9327" t="inlineStr">
        <is>
          <t>Hồ Chí Minh</t>
        </is>
      </c>
      <c r="G9327" t="inlineStr">
        <is>
          <t>09-04-2026</t>
        </is>
      </c>
      <c r="H9327" t="inlineStr">
        <is>
          <t>09/04/2026</t>
        </is>
      </c>
      <c r="I9327" t="inlineStr">
        <is>
          <t>17/03/2026</t>
        </is>
      </c>
      <c r="J9327" t="inlineStr">
        <is>
          <t>Dược phẩm/ Hóa Mỹ Phẩm, Kế toán / Kiểm toán, Thống kê</t>
        </is>
      </c>
      <c r="K9327" t="inlineStr">
        <is>
          <t>1 - 2 Năm</t>
        </is>
      </c>
      <c r="L9327" s="8">
        <f>HYPERLINK("https://careerviet.vn/vi/tim-viec-lam/hcm_chuyen-vien-kie-m-toa-n-no-i-bo.35C6BA28.html","Xem chi tiết")</f>
        <v/>
      </c>
    </row>
    <row r="9328">
      <c r="B9328" s="9" t="n">
        <v>9326</v>
      </c>
      <c r="C9328" s="10" t="inlineStr">
        <is>
          <t>Chuyên gia Điều phối kinh doanh</t>
        </is>
      </c>
      <c r="D9328" s="10" t="inlineStr">
        <is>
          <t>Ngân Hàng TMCP Sài Gòn - Hà Nội ( SHB )</t>
        </is>
      </c>
      <c r="E9328" s="10" t="inlineStr">
        <is>
          <t>Lương:Cạnh tranh</t>
        </is>
      </c>
      <c r="F9328" s="10" t="inlineStr">
        <is>
          <t>Hà Nội</t>
        </is>
      </c>
      <c r="G9328" s="10" t="inlineStr">
        <is>
          <t>06-04-2026</t>
        </is>
      </c>
      <c r="H9328" s="10" t="inlineStr">
        <is>
          <t>06/04/2026</t>
        </is>
      </c>
      <c r="I9328" s="10" t="inlineStr">
        <is>
          <t>17/03/2026</t>
        </is>
      </c>
      <c r="J9328" s="10" t="inlineStr">
        <is>
          <t>Ngân hàng, Tài chính / Đầu tư</t>
        </is>
      </c>
      <c r="K9328" s="10" t="inlineStr">
        <is>
          <t>4 - 5 Năm</t>
        </is>
      </c>
      <c r="L9328" s="11">
        <f>HYPERLINK("https://careerviet.vn/vi/tim-viec-lam/chuyen-gia-dieu-phoi-kinh-doanh.35C6B6D0.html","Xem chi tiết")</f>
        <v/>
      </c>
      <c r="M9328" s="10" t="n"/>
    </row>
    <row r="9329">
      <c r="B9329" s="7" t="n">
        <v>9327</v>
      </c>
      <c r="C9329" t="inlineStr">
        <is>
          <t>Kế toán thuế</t>
        </is>
      </c>
      <c r="D9329" t="inlineStr">
        <is>
          <t>Công ty CP Toshiko Việt Nam</t>
        </is>
      </c>
      <c r="E9329" t="inlineStr">
        <is>
          <t>Lương:16 Tr - 20 Tr VND</t>
        </is>
      </c>
      <c r="F9329" t="inlineStr">
        <is>
          <t>Hà Nội</t>
        </is>
      </c>
      <c r="G9329" t="inlineStr">
        <is>
          <t>04-04-2026</t>
        </is>
      </c>
      <c r="H9329" t="inlineStr">
        <is>
          <t>04/04/2026</t>
        </is>
      </c>
      <c r="I9329" t="inlineStr">
        <is>
          <t>17/03/2026</t>
        </is>
      </c>
      <c r="J9329" t="inlineStr">
        <is>
          <t>Kế toán / Kiểm toán</t>
        </is>
      </c>
      <c r="K9329" t="inlineStr">
        <is>
          <t>Trên 3 Năm</t>
        </is>
      </c>
      <c r="L9329" s="8">
        <f>HYPERLINK("https://careerviet.vn/vi/tim-viec-lam/ke-toan-thue.35C6B93A.html","Xem chi tiết")</f>
        <v/>
      </c>
    </row>
    <row r="9330">
      <c r="B9330" s="9" t="n">
        <v>9328</v>
      </c>
      <c r="C9330" s="10" t="inlineStr">
        <is>
          <t>Kế toán giá thành</t>
        </is>
      </c>
      <c r="D9330" s="10" t="inlineStr">
        <is>
          <t>Công Ty Cổ Phần Tập Đoàn Thời Trang Việt Nam</t>
        </is>
      </c>
      <c r="E9330" s="10" t="inlineStr">
        <is>
          <t>Lương:12 Tr - 15 Tr VND</t>
        </is>
      </c>
      <c r="F9330" s="10" t="inlineStr">
        <is>
          <t>Hà Nội</t>
        </is>
      </c>
      <c r="G9330" s="10" t="inlineStr">
        <is>
          <t>09-04-2026</t>
        </is>
      </c>
      <c r="H9330" s="10" t="inlineStr">
        <is>
          <t>09/04/2026</t>
        </is>
      </c>
      <c r="I9330" s="10" t="inlineStr">
        <is>
          <t>17/03/2026</t>
        </is>
      </c>
      <c r="J9330" s="10" t="inlineStr">
        <is>
          <t>Kế toán / Kiểm toán</t>
        </is>
      </c>
      <c r="K9330" s="10" t="inlineStr">
        <is>
          <t>2 - 3 Năm</t>
        </is>
      </c>
      <c r="L9330" s="11">
        <f>HYPERLINK("https://careerviet.vn/vi/tim-viec-lam/ke-toan-gia-thanh.35C6B8C1.html","Xem chi tiết")</f>
        <v/>
      </c>
      <c r="M9330" s="10" t="n"/>
    </row>
    <row r="9331">
      <c r="B9331" s="7" t="n">
        <v>9329</v>
      </c>
      <c r="C9331" t="inlineStr">
        <is>
          <t>Trưởng Bộ Phận Kỹ Thuật</t>
        </is>
      </c>
      <c r="D9331" t="inlineStr">
        <is>
          <t>Công Ty CP Sản Xuất Bao Bì Công Nghiệp Toàn Cầu</t>
        </is>
      </c>
      <c r="E9331" t="inlineStr">
        <is>
          <t>Lương:Cạnh tranh</t>
        </is>
      </c>
      <c r="F9331" t="inlineStr">
        <is>
          <t>Đồng Nai</t>
        </is>
      </c>
      <c r="G9331" t="inlineStr">
        <is>
          <t>09-04-2026</t>
        </is>
      </c>
      <c r="H9331" t="inlineStr">
        <is>
          <t>09/04/2026</t>
        </is>
      </c>
      <c r="I9331" t="inlineStr">
        <is>
          <t>17/03/2026</t>
        </is>
      </c>
      <c r="J9331" t="inlineStr">
        <is>
          <t>Sản xuất / Vận hành sản xuất, Quản lý chất lượng (QA/QC), Bảo trì / Sửa chữa</t>
        </is>
      </c>
      <c r="K9331" t="inlineStr">
        <is>
          <t>Trên 5 Năm</t>
        </is>
      </c>
      <c r="L9331" s="8">
        <f>HYPERLINK("https://careerviet.vn/vi/tim-viec-lam/truong-bo-phan-ky-thuat.35C6B927.html","Xem chi tiết")</f>
        <v/>
      </c>
    </row>
    <row r="9332">
      <c r="B9332" s="9" t="n">
        <v>9330</v>
      </c>
      <c r="C9332" s="10" t="inlineStr">
        <is>
          <t>Nhân viên Digital Marketing</t>
        </is>
      </c>
      <c r="D9332" s="10" t="inlineStr">
        <is>
          <t>CHI NHÁNH CÔNG TY CỔ PHẦN Y HỌC VĨNH THIỆN- BỆNH VIỆN ĐẠI HỌC PHENIKAA</t>
        </is>
      </c>
      <c r="E9332" s="10" t="inlineStr">
        <is>
          <t>Lương:13 Tr - 17 Tr VND</t>
        </is>
      </c>
      <c r="F9332" s="10" t="inlineStr">
        <is>
          <t>Hà Nội</t>
        </is>
      </c>
      <c r="G9332" s="10" t="inlineStr">
        <is>
          <t>09-04-2026</t>
        </is>
      </c>
      <c r="H9332" s="10" t="inlineStr">
        <is>
          <t>09/04/2026</t>
        </is>
      </c>
      <c r="I9332" s="10" t="inlineStr">
        <is>
          <t>17/03/2026</t>
        </is>
      </c>
      <c r="J9332" s="10" t="inlineStr">
        <is>
          <t>Tiếp thị / Marketing, Thương mại điện tử, Y tế / Chăm sóc sức khỏe / Thẩm mỹ / Làm đẹp</t>
        </is>
      </c>
      <c r="K9332" s="10" t="inlineStr">
        <is>
          <t>2 - 5 Năm</t>
        </is>
      </c>
      <c r="L9332" s="11">
        <f>HYPERLINK("https://careerviet.vn/vi/tim-viec-lam/nhan-vien-digital-marketing.35C6B9C0.html","Xem chi tiết")</f>
        <v/>
      </c>
      <c r="M9332" s="10" t="n"/>
    </row>
    <row r="9333">
      <c r="B9333" s="7" t="n">
        <v>9331</v>
      </c>
      <c r="C9333" t="inlineStr">
        <is>
          <t>Nhân viên phụ xe</t>
        </is>
      </c>
      <c r="D9333" t="inlineStr">
        <is>
          <t>Công Ty Cổ Phần Quốc Tế Sơn Hà</t>
        </is>
      </c>
      <c r="E9333" t="inlineStr">
        <is>
          <t>Lương:12 Tr - 25 Tr VND</t>
        </is>
      </c>
      <c r="F9333" t="inlineStr">
        <is>
          <t>Hà Nội</t>
        </is>
      </c>
      <c r="G9333" t="inlineStr">
        <is>
          <t>09-04-2026</t>
        </is>
      </c>
      <c r="H9333" t="inlineStr">
        <is>
          <t>09/04/2026</t>
        </is>
      </c>
      <c r="I9333" t="inlineStr">
        <is>
          <t>17/03/2026</t>
        </is>
      </c>
      <c r="J9333" t="inlineStr">
        <is>
          <t>Cơ khí / Ô tô / Tự động hóa, Vận chuyển / Giao nhận / Kho vận, Điện / Điện tử / Điện lạnh / Điện công nghiệp</t>
        </is>
      </c>
      <c r="K9333" t="inlineStr">
        <is>
          <t>Lên đến 1 Năm</t>
        </is>
      </c>
      <c r="L9333" s="8">
        <f>HYPERLINK("https://careerviet.vn/vi/tim-viec-lam/nhan-vien-phu-xe.35C6BA5E.html","Xem chi tiết")</f>
        <v/>
      </c>
    </row>
    <row r="9334">
      <c r="B9334" s="9" t="n">
        <v>9332</v>
      </c>
      <c r="C9334" s="10" t="inlineStr">
        <is>
          <t>[Agent] Xử Lí Khiếu Nại (Trả Đơn) [GIỜ HÀNH CHÍNH - FULLTIME] - 3/2026</t>
        </is>
      </c>
      <c r="D9334" s="10" t="inlineStr">
        <is>
          <t>Công Ty TNHH Việt Mỹ-SSU</t>
        </is>
      </c>
      <c r="E9334" s="10" t="inlineStr">
        <is>
          <t>Lương:6 Tr - 9 Tr VND</t>
        </is>
      </c>
      <c r="F9334" s="10" t="inlineStr">
        <is>
          <t>Hồ Chí Minh</t>
        </is>
      </c>
      <c r="G9334" s="10" t="inlineStr">
        <is>
          <t>04-04-2026</t>
        </is>
      </c>
      <c r="H9334" s="10" t="inlineStr">
        <is>
          <t>04/04/2026</t>
        </is>
      </c>
      <c r="I9334" s="10" t="inlineStr">
        <is>
          <t>17/03/2026</t>
        </is>
      </c>
      <c r="J9334" s="10" t="inlineStr">
        <is>
          <t>Thương mại điện tử, Dịch vụ khách hàng</t>
        </is>
      </c>
      <c r="K9334" s="10" t="inlineStr">
        <is>
          <t>1 - 2 Năm</t>
        </is>
      </c>
      <c r="L9334" s="11">
        <f>HYPERLINK("https://careerviet.vn/vi/tim-viec-lam/agent-xu-li-khieu-nai-tra-don-gio-hanh-chinh-fulltime-3-2026.35C6B888.html","Xem chi tiết")</f>
        <v/>
      </c>
      <c r="M9334" s="10" t="n"/>
    </row>
    <row r="9335">
      <c r="B9335" s="7" t="n">
        <v>9333</v>
      </c>
      <c r="C9335" t="inlineStr">
        <is>
          <t>[Hưng Yên, Hải Dương] - Chuyên Viên Tư Vấn Trả Góp Ô Tô</t>
        </is>
      </c>
      <c r="D9335" t="inlineStr">
        <is>
          <t>Công Ty Tài Chính Mirae Asset (Việt Nam)</t>
        </is>
      </c>
      <c r="E9335" t="inlineStr">
        <is>
          <t>Lương:17 Tr - 30 Tr VND</t>
        </is>
      </c>
      <c r="F9335" t="inlineStr">
        <is>
          <t>Hưng YênKV Bắc Trung BộHải Dương</t>
        </is>
      </c>
      <c r="G9335" t="inlineStr">
        <is>
          <t>08-04-2026</t>
        </is>
      </c>
      <c r="H9335" t="inlineStr">
        <is>
          <t>08/04/2026</t>
        </is>
      </c>
      <c r="I9335" t="inlineStr">
        <is>
          <t>17/03/2026</t>
        </is>
      </c>
      <c r="J9335" t="inlineStr">
        <is>
          <t>Bán lẻ / Bán sỉ, Bán hàng / Kinh doanh, Tài chính / Đầu tư</t>
        </is>
      </c>
      <c r="K9335" t="inlineStr">
        <is>
          <t>2 - 3 Năm</t>
        </is>
      </c>
      <c r="L9335" s="8">
        <f>HYPERLINK("https://careerviet.vn/vi/tim-viec-lam/hung-yen-hai-duong-chuyen-vien-tu-van-tra-gop-o-to.35C6B9FE.html","Xem chi tiết")</f>
        <v/>
      </c>
    </row>
    <row r="9336">
      <c r="B9336" s="9" t="n">
        <v>9334</v>
      </c>
      <c r="C9336" s="10" t="inlineStr">
        <is>
          <t>Nhân Viên Bán Hàng Kỹ Thuật/ Sale không yêu cầu kinh nghiệm</t>
        </is>
      </c>
      <c r="D9336" s="10" t="inlineStr">
        <is>
          <t>CÔNG TY CỔ PHẦN CÔNG NGHIỆP PSI VIỆT NAM</t>
        </is>
      </c>
      <c r="E9336" s="10" t="inlineStr">
        <is>
          <t>Lương:Cạnh tranh</t>
        </is>
      </c>
      <c r="F9336" s="10" t="inlineStr">
        <is>
          <t>Hà NộiHồ Chí Minh</t>
        </is>
      </c>
      <c r="G9336" s="10" t="inlineStr">
        <is>
          <t>24-03-2026</t>
        </is>
      </c>
      <c r="H9336" s="10" t="inlineStr">
        <is>
          <t>24/03/2026</t>
        </is>
      </c>
      <c r="I9336" s="10" t="inlineStr">
        <is>
          <t>17/03/2026</t>
        </is>
      </c>
      <c r="J9336" s="10" t="inlineStr">
        <is>
          <t>Bán hàng / Kinh doanh, Cơ khí / Ô tô / Tự động hóa, Điện / Điện tử / Điện lạnh / Điện công nghiệp</t>
        </is>
      </c>
      <c r="K9336" s="10" t="inlineStr">
        <is>
          <t>N/A</t>
        </is>
      </c>
      <c r="L9336" s="11">
        <f>HYPERLINK("https://careerviet.vn/vi/tim-viec-lam/nhan-vien-ban-hang-ky-thuat-sale-khong-yeu-cau-kinh-nghiem.35C6B8BA.html","Xem chi tiết")</f>
        <v/>
      </c>
      <c r="M9336" s="10" t="n"/>
    </row>
    <row r="9337">
      <c r="B9337" s="7" t="n">
        <v>9335</v>
      </c>
      <c r="C9337" t="inlineStr">
        <is>
          <t>NHÂN VIÊN KINH DOANH</t>
        </is>
      </c>
      <c r="D9337" t="inlineStr">
        <is>
          <t>CÔNG TY CỔ PHẦN SẢN XUẤT THƯƠNG MẠI DỊCH VỤ MỸ THUẬT TÂN VIỆT</t>
        </is>
      </c>
      <c r="E9337" t="inlineStr">
        <is>
          <t>Lương:7 Tr - 15 Tr VND</t>
        </is>
      </c>
      <c r="F9337" t="inlineStr">
        <is>
          <t>Hồ Chí Minh</t>
        </is>
      </c>
      <c r="G9337" t="inlineStr">
        <is>
          <t>31-10-2026</t>
        </is>
      </c>
      <c r="H9337" t="inlineStr">
        <is>
          <t>31/10/2026</t>
        </is>
      </c>
      <c r="I9337" t="inlineStr">
        <is>
          <t>17/03/2026</t>
        </is>
      </c>
      <c r="J9337" t="inlineStr">
        <is>
          <t>Tiếp thị / Marketing, Bán lẻ / Bán sỉ</t>
        </is>
      </c>
      <c r="K9337" t="inlineStr">
        <is>
          <t>1 - 5 Năm</t>
        </is>
      </c>
      <c r="L9337" s="8">
        <f>HYPERLINK("https://careerviet.vn/vi/tim-viec-lam/nhan-vien-kinh-doanh.35C6B807.html","Xem chi tiết")</f>
        <v/>
      </c>
    </row>
    <row r="9338">
      <c r="B9338" s="9" t="n">
        <v>9336</v>
      </c>
      <c r="C9338" s="10" t="inlineStr">
        <is>
          <t>Nhân viên Bảo trì Điện</t>
        </is>
      </c>
      <c r="D9338" s="10" t="inlineStr">
        <is>
          <t>CÔNG TY TNHH AUSSCO VIỆT NAM</t>
        </is>
      </c>
      <c r="E9338" s="10" t="inlineStr">
        <is>
          <t>Lương:9 Tr - 12 Tr VND</t>
        </is>
      </c>
      <c r="F9338" s="10" t="inlineStr">
        <is>
          <t>Bình Dương</t>
        </is>
      </c>
      <c r="G9338" s="10" t="inlineStr">
        <is>
          <t>31-03-2026</t>
        </is>
      </c>
      <c r="H9338" s="10" t="inlineStr">
        <is>
          <t>31/03/2026</t>
        </is>
      </c>
      <c r="I9338" s="10" t="inlineStr">
        <is>
          <t>17/03/2026</t>
        </is>
      </c>
      <c r="J9338" s="10" t="inlineStr">
        <is>
          <t>Sản xuất / Vận hành sản xuất, Điện / Điện tử / Điện lạnh / Điện công nghiệp, Bảo trì / Sửa chữa</t>
        </is>
      </c>
      <c r="K9338" s="10" t="inlineStr">
        <is>
          <t>1 - 3 Năm</t>
        </is>
      </c>
      <c r="L9338" s="11">
        <f>HYPERLINK("https://careerviet.vn/vi/tim-viec-lam/nhan-vien-bao-tri-dien.35C6B7A4.html","Xem chi tiết")</f>
        <v/>
      </c>
      <c r="M9338" s="10" t="n"/>
    </row>
    <row r="9339">
      <c r="B9339" s="7" t="n">
        <v>9337</v>
      </c>
      <c r="C9339" t="inlineStr">
        <is>
          <t>Trợ lý tiếng Trung và Anh</t>
        </is>
      </c>
      <c r="D9339" t="inlineStr">
        <is>
          <t>Công Ty TNHH Deli Management Consulting</t>
        </is>
      </c>
      <c r="E9339" t="inlineStr">
        <is>
          <t>Lương:15 Tr - 25 Tr VND</t>
        </is>
      </c>
      <c r="F9339" t="inlineStr">
        <is>
          <t>Bình Dương</t>
        </is>
      </c>
      <c r="G9339" t="inlineStr">
        <is>
          <t>30-04-2026</t>
        </is>
      </c>
      <c r="H9339" t="inlineStr">
        <is>
          <t>30/04/2026</t>
        </is>
      </c>
      <c r="I9339" t="inlineStr">
        <is>
          <t>17/03/2026</t>
        </is>
      </c>
      <c r="J9339" t="inlineStr">
        <is>
          <t>Hành chính / Thư ký, Hóa học</t>
        </is>
      </c>
      <c r="K9339" t="inlineStr">
        <is>
          <t>Trên 1 Năm</t>
        </is>
      </c>
      <c r="L9339" s="8">
        <f>HYPERLINK("https://careerviet.vn/vi/tim-viec-lam/tro-ly-tieng-trung-va-anh.35C6B9E6.html","Xem chi tiết")</f>
        <v/>
      </c>
    </row>
    <row r="9340">
      <c r="B9340" s="9" t="n">
        <v>9338</v>
      </c>
      <c r="C9340" s="10" t="inlineStr">
        <is>
          <t>[PHAN THIẾT] Giám Sát Rạp Chiếu Phim</t>
        </is>
      </c>
      <c r="D9340" s="10" t="inlineStr">
        <is>
          <t>CÔNG TY TNHH LOTTECINEMA VIỆT NAM</t>
        </is>
      </c>
      <c r="E9340" s="10" t="inlineStr">
        <is>
          <t>Lương:8 Tr - 10 Tr VND</t>
        </is>
      </c>
      <c r="F9340" s="10" t="inlineStr">
        <is>
          <t>Bình Thuận</t>
        </is>
      </c>
      <c r="G9340" s="10" t="inlineStr">
        <is>
          <t>09-04-2026</t>
        </is>
      </c>
      <c r="H9340" s="10" t="inlineStr">
        <is>
          <t>09/04/2026</t>
        </is>
      </c>
      <c r="I9340" s="10" t="inlineStr">
        <is>
          <t>17/03/2026</t>
        </is>
      </c>
      <c r="J9340" s="10" t="inlineStr">
        <is>
          <t>Dịch vụ khách hàng, Nhà hàng / Khách sạn, Giải trí</t>
        </is>
      </c>
      <c r="K9340" s="10" t="inlineStr">
        <is>
          <t>N/A</t>
        </is>
      </c>
      <c r="L9340" s="11">
        <f>HYPERLINK("https://careerviet.vn/vi/tim-viec-lam/phan-thiet-giam-sat-rap-chieu-phim.35C6B952.html","Xem chi tiết")</f>
        <v/>
      </c>
      <c r="M9340" s="10" t="n"/>
    </row>
    <row r="9341">
      <c r="B9341" s="7" t="n">
        <v>9339</v>
      </c>
      <c r="C9341" t="inlineStr">
        <is>
          <t>Điều Dưỡng Viên</t>
        </is>
      </c>
      <c r="D9341" t="inlineStr">
        <is>
          <t>CÔNG TY CỔ PHẦN BỆNH VIỆN QUỐC TẾ BERNARD 1</t>
        </is>
      </c>
      <c r="E9341" t="inlineStr">
        <is>
          <t>Lương:Cạnh tranh</t>
        </is>
      </c>
      <c r="F9341" t="inlineStr">
        <is>
          <t>Hồ Chí Minh</t>
        </is>
      </c>
      <c r="G9341" t="inlineStr">
        <is>
          <t>30-04-2026</t>
        </is>
      </c>
      <c r="H9341" t="inlineStr">
        <is>
          <t>30/04/2026</t>
        </is>
      </c>
      <c r="I9341" t="inlineStr">
        <is>
          <t>17/03/2026</t>
        </is>
      </c>
      <c r="J9341" t="inlineStr">
        <is>
          <t>Y tế / Chăm sóc sức khỏe / Thẩm mỹ / Làm đẹp</t>
        </is>
      </c>
      <c r="K9341" t="inlineStr">
        <is>
          <t>2 - 7 Năm</t>
        </is>
      </c>
      <c r="L9341" s="8">
        <f>HYPERLINK("https://careerviet.vn/vi/tim-viec-lam/dieu-duong-vien.35C6B994.html","Xem chi tiết")</f>
        <v/>
      </c>
    </row>
    <row r="9342">
      <c r="B9342" s="9" t="n">
        <v>9340</v>
      </c>
      <c r="C9342" s="10" t="inlineStr">
        <is>
          <t>Purchasing Senior staff</t>
        </is>
      </c>
      <c r="D9342" s="10" t="inlineStr">
        <is>
          <t>CÔNG TY TNHH SEAH M&amp;S VIỆT NAM</t>
        </is>
      </c>
      <c r="E9342" s="10" t="inlineStr">
        <is>
          <t>Lương:Cạnh tranh</t>
        </is>
      </c>
      <c r="F9342" s="10" t="inlineStr">
        <is>
          <t>Bà Rịa - Vũng TàuHồ Chí Minh</t>
        </is>
      </c>
      <c r="G9342" s="10" t="inlineStr">
        <is>
          <t>10-04-2026</t>
        </is>
      </c>
      <c r="H9342" s="10" t="inlineStr">
        <is>
          <t>10/04/2026</t>
        </is>
      </c>
      <c r="I9342" s="10" t="inlineStr">
        <is>
          <t>17/03/2026</t>
        </is>
      </c>
      <c r="J9342" s="10" t="inlineStr">
        <is>
          <t>Sản xuất / Vận hành sản xuất, Xuất nhập khẩu, Hóa học</t>
        </is>
      </c>
      <c r="K9342" s="10" t="inlineStr">
        <is>
          <t>3 - 5 Năm</t>
        </is>
      </c>
      <c r="L9342" s="11">
        <f>HYPERLINK("https://careerviet.vn/vi/tim-viec-lam/purchasing-senior-staff.35C6B922.html","Xem chi tiết")</f>
        <v/>
      </c>
      <c r="M9342" s="10" t="n"/>
    </row>
    <row r="9343">
      <c r="B9343" s="7" t="n">
        <v>9341</v>
      </c>
      <c r="C9343" t="inlineStr">
        <is>
          <t>Chuyên viên Quản lý vận hành dự án ( Giám sát dịch vụ )</t>
        </is>
      </c>
      <c r="D9343" t="inlineStr">
        <is>
          <t>CÔNG TY CP ĐẦU TƯ PHÁT TRIỂN TRÍ DƯƠNG</t>
        </is>
      </c>
      <c r="E9343" t="inlineStr">
        <is>
          <t>Lương:Cạnh tranh</t>
        </is>
      </c>
      <c r="F9343" t="inlineStr">
        <is>
          <t>Nghệ An</t>
        </is>
      </c>
      <c r="G9343" t="inlineStr">
        <is>
          <t>11-04-2026</t>
        </is>
      </c>
      <c r="H9343" t="inlineStr">
        <is>
          <t>11/04/2026</t>
        </is>
      </c>
      <c r="I9343" t="inlineStr">
        <is>
          <t>17/03/2026</t>
        </is>
      </c>
      <c r="J9343" t="inlineStr">
        <is>
          <t>Bất động sản</t>
        </is>
      </c>
      <c r="K9343" t="inlineStr">
        <is>
          <t>1 - 2 Năm</t>
        </is>
      </c>
      <c r="L9343" s="8">
        <f>HYPERLINK("https://careerviet.vn/vi/tim-viec-lam/chuyen-vien-quan-ly-van-hanh-du-an-giam-sat-dich-vu.35C6B984.html","Xem chi tiết")</f>
        <v/>
      </c>
    </row>
    <row r="9344">
      <c r="B9344" s="9" t="n">
        <v>9342</v>
      </c>
      <c r="C9344" s="10" t="inlineStr">
        <is>
          <t>Visual Merchandiser (Chuyên Viên Kiến Trúc)</t>
        </is>
      </c>
      <c r="D9344" s="10" t="inlineStr">
        <is>
          <t>Concung.com - Con Cung Joint Stock Company</t>
        </is>
      </c>
      <c r="E9344" s="10" t="inlineStr">
        <is>
          <t>Lương:Cạnh tranh</t>
        </is>
      </c>
      <c r="F9344" s="10" t="inlineStr">
        <is>
          <t>Hồ Chí Minh</t>
        </is>
      </c>
      <c r="G9344" s="10" t="inlineStr">
        <is>
          <t>09-04-2026</t>
        </is>
      </c>
      <c r="H9344" s="10" t="inlineStr">
        <is>
          <t>09/04/2026</t>
        </is>
      </c>
      <c r="I9344" s="10" t="inlineStr">
        <is>
          <t>17/03/2026</t>
        </is>
      </c>
      <c r="J9344" s="10" t="inlineStr">
        <is>
          <t>Bán lẻ / Bán sỉ, Kiến trúc, Xây dựng</t>
        </is>
      </c>
      <c r="K9344" s="10" t="inlineStr">
        <is>
          <t>Chưa có kinh nghiệm</t>
        </is>
      </c>
      <c r="L9344" s="11">
        <f>HYPERLINK("https://careerviet.vn/vi/tim-viec-lam/visual-merchandiser-chuyen-vien-kien-truc.35C6B9B7.html","Xem chi tiết")</f>
        <v/>
      </c>
      <c r="M9344" s="10" t="n"/>
    </row>
    <row r="9345">
      <c r="B9345" s="7" t="n">
        <v>9343</v>
      </c>
      <c r="C9345" t="inlineStr">
        <is>
          <t>Chuyên Viên Pháp Chế (Tuân Thủ Nội Bộ)</t>
        </is>
      </c>
      <c r="D9345" t="inlineStr">
        <is>
          <t>Công Ty Cổ Phần A25 Hotel</t>
        </is>
      </c>
      <c r="E9345" t="inlineStr">
        <is>
          <t>Lương:15 Tr - 30 Tr VND</t>
        </is>
      </c>
      <c r="F9345" t="inlineStr">
        <is>
          <t>Hà Nội</t>
        </is>
      </c>
      <c r="G9345" t="inlineStr">
        <is>
          <t>10-04-2026</t>
        </is>
      </c>
      <c r="H9345" t="inlineStr">
        <is>
          <t>10/04/2026</t>
        </is>
      </c>
      <c r="I9345" t="inlineStr">
        <is>
          <t>17/03/2026</t>
        </is>
      </c>
      <c r="J9345" t="inlineStr">
        <is>
          <t>Luật / Pháp lý</t>
        </is>
      </c>
      <c r="K9345" t="inlineStr">
        <is>
          <t>3 - 4 Năm</t>
        </is>
      </c>
      <c r="L9345" s="8">
        <f>HYPERLINK("https://careerviet.vn/vi/tim-viec-lam/chuyen-vien-phap-che-tuan-thu-noi-bo.35C6B834.html","Xem chi tiết")</f>
        <v/>
      </c>
    </row>
    <row r="9346">
      <c r="B9346" s="9" t="n">
        <v>9344</v>
      </c>
      <c r="C9346" s="10" t="inlineStr">
        <is>
          <t>Chuyên gia học máy (Machine Learning)</t>
        </is>
      </c>
      <c r="D9346" s="10" t="inlineStr">
        <is>
          <t>Ngân Hàng TMCP Sài Gòn - Hà Nội ( SHB )</t>
        </is>
      </c>
      <c r="E9346" s="10" t="inlineStr">
        <is>
          <t>Lương:Cạnh tranh</t>
        </is>
      </c>
      <c r="F9346" s="10" t="inlineStr">
        <is>
          <t>Hà Nội</t>
        </is>
      </c>
      <c r="G9346" s="10" t="inlineStr">
        <is>
          <t>06-04-2026</t>
        </is>
      </c>
      <c r="H9346" s="10" t="inlineStr">
        <is>
          <t>06/04/2026</t>
        </is>
      </c>
      <c r="I9346" s="10" t="inlineStr">
        <is>
          <t>17/03/2026</t>
        </is>
      </c>
      <c r="J9346" s="10" t="inlineStr">
        <is>
          <t>Ngân hàng, Tài chính / Đầu tư</t>
        </is>
      </c>
      <c r="K9346" s="10" t="inlineStr">
        <is>
          <t>Trên 3 Năm</t>
        </is>
      </c>
      <c r="L9346" s="11">
        <f>HYPERLINK("https://careerviet.vn/vi/tim-viec-lam/chuyen-gia-hoc-may-machine-learning.35C6B6FE.html","Xem chi tiết")</f>
        <v/>
      </c>
      <c r="M9346" s="10" t="n"/>
    </row>
    <row r="9347">
      <c r="B9347" s="7" t="n">
        <v>9345</v>
      </c>
      <c r="C9347" t="inlineStr">
        <is>
          <t>KẾ TOÁN TRƯỞNG (NGÀNH SẢN XUẤT/NỘI THẤT)</t>
        </is>
      </c>
      <c r="D9347" t="inlineStr">
        <is>
          <t>CÔNG TY CỔ PHẦN SẢN XUẤT THƯƠNG MẠI XÂY DỰNG TRANG TRÍ NỘI THẤT G.S VIỆT NAM</t>
        </is>
      </c>
      <c r="E9347" t="inlineStr">
        <is>
          <t>Lương:25 Tr - 30 Tr VND</t>
        </is>
      </c>
      <c r="F9347" t="inlineStr">
        <is>
          <t>Bình Dương</t>
        </is>
      </c>
      <c r="G9347" t="inlineStr">
        <is>
          <t>06-04-2026</t>
        </is>
      </c>
      <c r="H9347" t="inlineStr">
        <is>
          <t>06/04/2026</t>
        </is>
      </c>
      <c r="I9347" t="inlineStr">
        <is>
          <t>17/03/2026</t>
        </is>
      </c>
      <c r="J9347" t="inlineStr">
        <is>
          <t>Kế toán / Kiểm toán, Xây dựng, Nội ngoại thất</t>
        </is>
      </c>
      <c r="K9347" t="inlineStr">
        <is>
          <t>Trên 5 Năm</t>
        </is>
      </c>
      <c r="L9347" s="8">
        <f>HYPERLINK("https://careerviet.vn/vi/tim-viec-lam/ke-toan-truong-nganh-san-xuat-noi-that.35C6BA59.html","Xem chi tiết")</f>
        <v/>
      </c>
    </row>
    <row r="9348">
      <c r="B9348" s="9" t="n">
        <v>9346</v>
      </c>
      <c r="C9348" s="10" t="inlineStr">
        <is>
          <t>Giám sát tuyển dụng F&amp;B</t>
        </is>
      </c>
      <c r="D9348" s="10" t="inlineStr">
        <is>
          <t>CÔNG TY CỔ PHẦN TAKAHIRO</t>
        </is>
      </c>
      <c r="E9348" s="10" t="inlineStr">
        <is>
          <t>Lương:Cạnh tranh</t>
        </is>
      </c>
      <c r="F9348" s="10" t="inlineStr">
        <is>
          <t>Hồ Chí Minh</t>
        </is>
      </c>
      <c r="G9348" s="10" t="inlineStr">
        <is>
          <t>30-04-2026</t>
        </is>
      </c>
      <c r="H9348" s="10" t="inlineStr">
        <is>
          <t>30/04/2026</t>
        </is>
      </c>
      <c r="I9348" s="10" t="inlineStr">
        <is>
          <t>17/03/2026</t>
        </is>
      </c>
      <c r="J9348" s="10" t="inlineStr">
        <is>
          <t>Nhân sự</t>
        </is>
      </c>
      <c r="K9348" s="10" t="inlineStr">
        <is>
          <t>2 - 8 Năm</t>
        </is>
      </c>
      <c r="L9348" s="11">
        <f>HYPERLINK("https://careerviet.vn/vi/tim-viec-lam/giam-sat-tuyen-dung-f-b.35C6BA42.html","Xem chi tiết")</f>
        <v/>
      </c>
      <c r="M9348" s="10" t="n"/>
    </row>
    <row r="9349">
      <c r="B9349" s="7" t="n">
        <v>9347</v>
      </c>
      <c r="C9349" t="inlineStr">
        <is>
          <t>Sales Admin - 8 months</t>
        </is>
      </c>
      <c r="D9349" t="inlineStr">
        <is>
          <t>Công Ty TNHH Một Thành Viên Karcher</t>
        </is>
      </c>
      <c r="E9349" t="inlineStr">
        <is>
          <t>Lương:Cạnh tranh</t>
        </is>
      </c>
      <c r="F9349" t="inlineStr">
        <is>
          <t>Hồ Chí Minh</t>
        </is>
      </c>
      <c r="G9349" t="inlineStr">
        <is>
          <t>09-04-2026</t>
        </is>
      </c>
      <c r="H9349" t="inlineStr">
        <is>
          <t>09/04/2026</t>
        </is>
      </c>
      <c r="I9349" t="inlineStr">
        <is>
          <t>17/03/2026</t>
        </is>
      </c>
      <c r="J9349" t="inlineStr">
        <is>
          <t>Dịch vụ khách hàng, Bán hàng / Kinh doanh, Bán Hàng Kỹ Thuật</t>
        </is>
      </c>
      <c r="K9349" t="inlineStr">
        <is>
          <t>1 - 3 Năm</t>
        </is>
      </c>
      <c r="L9349" s="8">
        <f>HYPERLINK("https://careerviet.vn/vi/tim-viec-lam/sales-admin-8-months.35C6B78C.html","Xem chi tiết")</f>
        <v/>
      </c>
    </row>
    <row r="9350">
      <c r="B9350" s="9" t="n">
        <v>9348</v>
      </c>
      <c r="C9350" s="10" t="inlineStr">
        <is>
          <t>Nhân viên kế toán</t>
        </is>
      </c>
      <c r="D9350" s="10" t="inlineStr">
        <is>
          <t>CÔNG TY TNHH CÔNG NGHỆ VIỆT</t>
        </is>
      </c>
      <c r="E9350" s="10" t="inlineStr">
        <is>
          <t>Lương:10 Tr - 15 Tr VND</t>
        </is>
      </c>
      <c r="F9350" s="10" t="inlineStr">
        <is>
          <t>Hà Nội</t>
        </is>
      </c>
      <c r="G9350" s="10" t="inlineStr">
        <is>
          <t>01-05-2026</t>
        </is>
      </c>
      <c r="H9350" s="10" t="inlineStr">
        <is>
          <t>01/05/2026</t>
        </is>
      </c>
      <c r="I9350" s="10" t="inlineStr">
        <is>
          <t>17/03/2026</t>
        </is>
      </c>
      <c r="J9350" s="10" t="inlineStr">
        <is>
          <t>Kế toán / Kiểm toán</t>
        </is>
      </c>
      <c r="K9350" s="10" t="inlineStr">
        <is>
          <t>1 - 3 Năm</t>
        </is>
      </c>
      <c r="L9350" s="11">
        <f>HYPERLINK("https://careerviet.vn/vi/tim-viec-lam/nhan-vien-ke-toan.35C6B95F.html","Xem chi tiết")</f>
        <v/>
      </c>
      <c r="M9350" s="10" t="n"/>
    </row>
    <row r="9351">
      <c r="B9351" s="7" t="n">
        <v>9349</v>
      </c>
      <c r="C9351" t="inlineStr">
        <is>
          <t>Chuyên viên Bán tài sản XLN</t>
        </is>
      </c>
      <c r="D9351" t="inlineStr">
        <is>
          <t>Ngân Hàng TMCP Sài Gòn - Hà Nội ( SHB )</t>
        </is>
      </c>
      <c r="E9351" t="inlineStr">
        <is>
          <t>Lương:Cạnh tranh</t>
        </is>
      </c>
      <c r="F9351" t="inlineStr">
        <is>
          <t>Hà Nội</t>
        </is>
      </c>
      <c r="G9351" t="inlineStr">
        <is>
          <t>06-04-2026</t>
        </is>
      </c>
      <c r="H9351" t="inlineStr">
        <is>
          <t>06/04/2026</t>
        </is>
      </c>
      <c r="I9351" t="inlineStr">
        <is>
          <t>17/03/2026</t>
        </is>
      </c>
      <c r="J9351" t="inlineStr">
        <is>
          <t>Ngân hàng</t>
        </is>
      </c>
      <c r="K9351" t="inlineStr">
        <is>
          <t>Trên 3 Năm</t>
        </is>
      </c>
      <c r="L9351" s="8">
        <f>HYPERLINK("https://careerviet.vn/vi/tim-viec-lam/chuyen-vien-ban-tai-san-xln.35C6B6F1.html","Xem chi tiết")</f>
        <v/>
      </c>
    </row>
    <row r="9352">
      <c r="B9352" s="9" t="n">
        <v>9350</v>
      </c>
      <c r="C9352" s="10" t="inlineStr">
        <is>
          <t>Trưởng bộ phận Thủ tục - Chăm sóc khách hàng</t>
        </is>
      </c>
      <c r="D9352" s="10" t="inlineStr">
        <is>
          <t>CÔNG TY CP ĐẦU TƯ PHÁT TRIỂN TRÍ DƯƠNG</t>
        </is>
      </c>
      <c r="E9352" s="10" t="inlineStr">
        <is>
          <t>Lương:Cạnh tranh</t>
        </is>
      </c>
      <c r="F9352" s="10" t="inlineStr">
        <is>
          <t>Nghệ An</t>
        </is>
      </c>
      <c r="G9352" s="10" t="inlineStr">
        <is>
          <t>31-03-2026</t>
        </is>
      </c>
      <c r="H9352" s="10" t="inlineStr">
        <is>
          <t>31/03/2026</t>
        </is>
      </c>
      <c r="I9352" s="10" t="inlineStr">
        <is>
          <t>17/03/2026</t>
        </is>
      </c>
      <c r="J9352" s="10" t="inlineStr">
        <is>
          <t>Tiếp thị / Marketing, Bán hàng / Kinh doanh, Bất động sản</t>
        </is>
      </c>
      <c r="K9352" s="10" t="inlineStr">
        <is>
          <t>2 - 5 Năm</t>
        </is>
      </c>
      <c r="L9352" s="11">
        <f>HYPERLINK("https://careerviet.vn/vi/tim-viec-lam/truong-bo-phan-thu-tuc-cham-soc-khach-hang.35C6B866.html","Xem chi tiết")</f>
        <v/>
      </c>
      <c r="M9352" s="10" t="n"/>
    </row>
    <row r="9353">
      <c r="B9353" s="7" t="n">
        <v>9351</v>
      </c>
      <c r="C9353" t="inlineStr">
        <is>
          <t>Giao dịch viên</t>
        </is>
      </c>
      <c r="D9353" t="inlineStr">
        <is>
          <t>Ngân Hàng TMCP Sài Gòn - Hà Nội ( SHB )</t>
        </is>
      </c>
      <c r="E9353" t="inlineStr">
        <is>
          <t>Lương:Cạnh tranh</t>
        </is>
      </c>
      <c r="F9353" t="inlineStr">
        <is>
          <t>Tuyên QuangSơn LaTây Ninh</t>
        </is>
      </c>
      <c r="G9353" t="inlineStr">
        <is>
          <t>06-04-2026</t>
        </is>
      </c>
      <c r="H9353" t="inlineStr">
        <is>
          <t>06/04/2026</t>
        </is>
      </c>
      <c r="I9353" t="inlineStr">
        <is>
          <t>17/03/2026</t>
        </is>
      </c>
      <c r="J9353" t="inlineStr">
        <is>
          <t>Dịch vụ khách hàng, Ngân hàng, Bán hàng / Kinh doanh</t>
        </is>
      </c>
      <c r="K9353" t="inlineStr">
        <is>
          <t>N/A</t>
        </is>
      </c>
      <c r="L9353" s="8">
        <f>HYPERLINK("https://careerviet.vn/vi/tim-viec-lam/giao-dich-vien.35C6B6DE.html","Xem chi tiết")</f>
        <v/>
      </c>
    </row>
    <row r="9354">
      <c r="B9354" s="9" t="n">
        <v>9352</v>
      </c>
      <c r="C9354" s="10" t="inlineStr">
        <is>
          <t>Bartender (Onboard End of March)</t>
        </is>
      </c>
      <c r="D9354" s="10" t="inlineStr">
        <is>
          <t>CÔNG TY TNHH ĐẦU TƯ VÀ PHÁT TRIỂN XUẤT SẮC SHANGHAI</t>
        </is>
      </c>
      <c r="E9354" s="10" t="inlineStr">
        <is>
          <t>Lương:Cạnh tranh</t>
        </is>
      </c>
      <c r="F9354" s="10" t="inlineStr">
        <is>
          <t>Hồ Chí Minh</t>
        </is>
      </c>
      <c r="G9354" s="10" t="inlineStr">
        <is>
          <t>08-04-2026</t>
        </is>
      </c>
      <c r="H9354" s="10" t="inlineStr">
        <is>
          <t>08/04/2026</t>
        </is>
      </c>
      <c r="I9354" s="10" t="inlineStr">
        <is>
          <t>17/03/2026</t>
        </is>
      </c>
      <c r="J9354" s="10" t="inlineStr">
        <is>
          <t>Thực phẩm &amp; Đồ uống, Dịch vụ khách hàng, Ngành khác</t>
        </is>
      </c>
      <c r="K9354" s="10" t="inlineStr">
        <is>
          <t>N/A</t>
        </is>
      </c>
      <c r="L9354" s="11">
        <f>HYPERLINK("https://careerviet.vn/vi/tim-viec-lam/bartender-onboard-end-of-march.35C6B8B0.html","Xem chi tiết")</f>
        <v/>
      </c>
      <c r="M9354" s="10" t="n"/>
    </row>
    <row r="9355">
      <c r="B9355" s="7" t="n">
        <v>9353</v>
      </c>
      <c r="C9355" t="inlineStr">
        <is>
          <t>Senior Group Customer Manager (Big C, Lotte, Guardian, Waston)</t>
        </is>
      </c>
      <c r="D9355" t="inlineStr">
        <is>
          <t>Wipro Consumer Care Vietnam</t>
        </is>
      </c>
      <c r="E9355" t="inlineStr">
        <is>
          <t>Lương:Cạnh tranh</t>
        </is>
      </c>
      <c r="F9355" t="inlineStr">
        <is>
          <t>Hồ Chí Minh</t>
        </is>
      </c>
      <c r="G9355" t="inlineStr">
        <is>
          <t>22-04-2026</t>
        </is>
      </c>
      <c r="H9355" t="inlineStr">
        <is>
          <t>22/04/2026</t>
        </is>
      </c>
      <c r="I9355" t="inlineStr">
        <is>
          <t>17/03/2026</t>
        </is>
      </c>
      <c r="J9355" t="inlineStr">
        <is>
          <t>Bán hàng / Kinh doanh, Dược phẩm/ Hóa Mỹ Phẩm, Hàng gia dụng / Chăm sóc cá nhân</t>
        </is>
      </c>
      <c r="K9355" t="inlineStr">
        <is>
          <t>Trên 5 Năm</t>
        </is>
      </c>
      <c r="L9355" s="8">
        <f>HYPERLINK("https://careerviet.vn/vi/tim-viec-lam/senior-group-customer-manager-big-c-lotte-guardian-waston.35C6B792.html","Xem chi tiết")</f>
        <v/>
      </c>
    </row>
    <row r="9356">
      <c r="B9356" s="9" t="n">
        <v>9354</v>
      </c>
      <c r="C9356" s="10" t="inlineStr">
        <is>
          <t>Chuyên viên Tuyển dụng</t>
        </is>
      </c>
      <c r="D9356" s="10" t="inlineStr">
        <is>
          <t>Tập Đoàn Kim Tín</t>
        </is>
      </c>
      <c r="E9356" s="10" t="inlineStr">
        <is>
          <t>Lương:Cạnh tranh</t>
        </is>
      </c>
      <c r="F9356" s="10" t="inlineStr">
        <is>
          <t>Hồ Chí Minh</t>
        </is>
      </c>
      <c r="G9356" s="10" t="inlineStr">
        <is>
          <t>07-04-2026</t>
        </is>
      </c>
      <c r="H9356" s="10" t="inlineStr">
        <is>
          <t>07/04/2026</t>
        </is>
      </c>
      <c r="I9356" s="10" t="inlineStr">
        <is>
          <t>17/03/2026</t>
        </is>
      </c>
      <c r="J9356" s="10" t="inlineStr">
        <is>
          <t>Nhân sự</t>
        </is>
      </c>
      <c r="K9356" s="10" t="inlineStr">
        <is>
          <t>3 - 5 Năm</t>
        </is>
      </c>
      <c r="L9356" s="11">
        <f>HYPERLINK("https://careerviet.vn/vi/tim-viec-lam/chuyen-vien-tuyen-dung.35C6B75E.html","Xem chi tiết")</f>
        <v/>
      </c>
      <c r="M9356" s="10" t="n"/>
    </row>
    <row r="9357">
      <c r="B9357" s="7" t="n">
        <v>9355</v>
      </c>
      <c r="C9357" t="inlineStr">
        <is>
          <t>Bán Hàng Kỹ Thuật</t>
        </is>
      </c>
      <c r="D9357" t="inlineStr">
        <is>
          <t>Công Ty TNHH Mun Hean Việt Nam</t>
        </is>
      </c>
      <c r="E9357" t="inlineStr">
        <is>
          <t>Lương:Cạnh tranh</t>
        </is>
      </c>
      <c r="F9357" t="inlineStr">
        <is>
          <t>Hồ Chí Minh</t>
        </is>
      </c>
      <c r="G9357" t="inlineStr">
        <is>
          <t>09-04-2026</t>
        </is>
      </c>
      <c r="H9357" t="inlineStr">
        <is>
          <t>09/04/2026</t>
        </is>
      </c>
      <c r="I9357" t="inlineStr">
        <is>
          <t>17/03/2026</t>
        </is>
      </c>
      <c r="J9357" t="inlineStr">
        <is>
          <t>Bán Hàng Kỹ Thuật, Bán hàng / Kinh doanh, Điện / Điện tử / Điện lạnh / Điện công nghiệp</t>
        </is>
      </c>
      <c r="K9357" t="inlineStr">
        <is>
          <t>Lên đến 2 Năm</t>
        </is>
      </c>
      <c r="L9357" s="8">
        <f>HYPERLINK("https://careerviet.vn/vi/tim-viec-lam/ban-hang-ky-thuat.35C6A314.html","Xem chi tiết")</f>
        <v/>
      </c>
    </row>
    <row r="9358">
      <c r="B9358" s="9" t="n">
        <v>9356</v>
      </c>
      <c r="C9358" s="10" t="inlineStr">
        <is>
          <t>Food Laboratory Technician (6-month contract)</t>
        </is>
      </c>
      <c r="D9358" s="10" t="inlineStr">
        <is>
          <t>TÜV SÜD Vietnam</t>
        </is>
      </c>
      <c r="E9358" s="10" t="inlineStr">
        <is>
          <t>Lương:Cạnh tranh</t>
        </is>
      </c>
      <c r="F9358" s="10" t="inlineStr">
        <is>
          <t>Hồ Chí Minh</t>
        </is>
      </c>
      <c r="G9358" s="10" t="inlineStr">
        <is>
          <t>31-03-2026</t>
        </is>
      </c>
      <c r="H9358" s="10" t="inlineStr">
        <is>
          <t>31/03/2026</t>
        </is>
      </c>
      <c r="I9358" s="10" t="inlineStr">
        <is>
          <t>17/03/2026</t>
        </is>
      </c>
      <c r="J9358" s="10" t="inlineStr">
        <is>
          <t>Công nghệ thực phẩm / Dinh dưỡng, Hóa học, Công nghệ sinh học</t>
        </is>
      </c>
      <c r="K9358" s="10" t="inlineStr">
        <is>
          <t>Lên đến 1 Năm</t>
        </is>
      </c>
      <c r="L9358" s="11">
        <f>HYPERLINK("https://careerviet.vn/vi/tim-viec-lam/food-laboratory-technician-6-month-contract.35C6B82F.html","Xem chi tiết")</f>
        <v/>
      </c>
      <c r="M9358" s="10" t="n"/>
    </row>
    <row r="9359">
      <c r="B9359" s="7" t="n">
        <v>9357</v>
      </c>
      <c r="C9359" t="inlineStr">
        <is>
          <t>Trưởng xưởng bao bì nhựa</t>
        </is>
      </c>
      <c r="D9359" t="inlineStr">
        <is>
          <t>Công ty TNHH Di Đại Hưng</t>
        </is>
      </c>
      <c r="E9359" t="inlineStr">
        <is>
          <t>Lương:19 Tr - 30 Tr VND</t>
        </is>
      </c>
      <c r="F9359" t="inlineStr">
        <is>
          <t>Hồ Chí Minh</t>
        </is>
      </c>
      <c r="G9359" t="inlineStr">
        <is>
          <t>08-04-2026</t>
        </is>
      </c>
      <c r="H9359" t="inlineStr">
        <is>
          <t>08/04/2026</t>
        </is>
      </c>
      <c r="I9359" t="inlineStr">
        <is>
          <t>17/03/2026</t>
        </is>
      </c>
      <c r="J9359" t="inlineStr">
        <is>
          <t>Sản xuất / Vận hành sản xuất</t>
        </is>
      </c>
      <c r="K9359" t="inlineStr">
        <is>
          <t>3 - 5 Năm</t>
        </is>
      </c>
      <c r="L9359" s="8">
        <f>HYPERLINK("https://careerviet.vn/vi/tim-viec-lam/truong-xuong-bao-bi-nhua.35C6B6AB.html","Xem chi tiết")</f>
        <v/>
      </c>
    </row>
    <row r="9360">
      <c r="B9360" s="9" t="n">
        <v>9358</v>
      </c>
      <c r="C9360" s="10" t="inlineStr">
        <is>
          <t>Thiết Kế - Designer  làm việc tại Thanh Xuân</t>
        </is>
      </c>
      <c r="D9360" s="10" t="inlineStr">
        <is>
          <t>Công ty Cổ phần Đầu tư Thương mại Kỹ thuật A&amp;T Việt Nam</t>
        </is>
      </c>
      <c r="E9360" s="10" t="inlineStr">
        <is>
          <t>Lương:13 Tr - 15 Tr VND</t>
        </is>
      </c>
      <c r="F9360" s="10" t="inlineStr">
        <is>
          <t>Hà Nội</t>
        </is>
      </c>
      <c r="G9360" s="10" t="inlineStr">
        <is>
          <t>31-03-2026</t>
        </is>
      </c>
      <c r="H9360" s="10" t="inlineStr">
        <is>
          <t>31/03/2026</t>
        </is>
      </c>
      <c r="I9360" s="10" t="inlineStr">
        <is>
          <t>17/03/2026</t>
        </is>
      </c>
      <c r="J9360" s="10" t="inlineStr">
        <is>
          <t>Mỹ thuật / Nghệ thuật / Thiết kế, Bất động sản, Tiếp thị / Marketing</t>
        </is>
      </c>
      <c r="K9360" s="10" t="inlineStr">
        <is>
          <t>2 - 5 Năm</t>
        </is>
      </c>
      <c r="L9360" s="11">
        <f>HYPERLINK("https://careerviet.vn/vi/tim-viec-lam/thiet-ke-designer-lam-viec-tai-thanh-xuan.35C6B86B.html","Xem chi tiết")</f>
        <v/>
      </c>
      <c r="M9360" s="10" t="n"/>
    </row>
    <row r="9361">
      <c r="B9361" s="7" t="n">
        <v>9359</v>
      </c>
      <c r="C9361" t="inlineStr">
        <is>
          <t>Chuyên Viên Kỹ Thuật</t>
        </is>
      </c>
      <c r="D9361" t="inlineStr">
        <is>
          <t>Công Ty Cổ Phần Thiết Bị &amp; Dịch Vụ Đồng Lợi</t>
        </is>
      </c>
      <c r="E9361" t="inlineStr">
        <is>
          <t>Lương:Cạnh tranh</t>
        </is>
      </c>
      <c r="F9361" t="inlineStr">
        <is>
          <t>Hồ Chí MinhHà Nội</t>
        </is>
      </c>
      <c r="G9361" t="inlineStr">
        <is>
          <t>08-04-2026</t>
        </is>
      </c>
      <c r="H9361" t="inlineStr">
        <is>
          <t>08/04/2026</t>
        </is>
      </c>
      <c r="I9361" t="inlineStr">
        <is>
          <t>17/03/2026</t>
        </is>
      </c>
      <c r="J9361" t="inlineStr">
        <is>
          <t>Điện / Điện tử / Điện lạnh / Điện công nghiệp, Bảo trì / Sửa chữa, Cơ khí / Ô tô / Tự động hóa</t>
        </is>
      </c>
      <c r="K9361" t="inlineStr">
        <is>
          <t>1 - 3 Năm</t>
        </is>
      </c>
      <c r="L9361" s="8">
        <f>HYPERLINK("https://careerviet.vn/vi/tim-viec-lam/chuyen-vien-ky-thuat.35C6B7F4.html","Xem chi tiết")</f>
        <v/>
      </c>
    </row>
    <row r="9362">
      <c r="B9362" s="9" t="n">
        <v>9360</v>
      </c>
      <c r="C9362" s="10" t="inlineStr">
        <is>
          <t>Biên phiên dịch tiếng Trung</t>
        </is>
      </c>
      <c r="D9362" s="10" t="inlineStr">
        <is>
          <t>Công Ty Cổ Phần Địa Ốc Phú Long</t>
        </is>
      </c>
      <c r="E9362" s="10" t="inlineStr">
        <is>
          <t>Lương:Cạnh tranh</t>
        </is>
      </c>
      <c r="F9362" s="10" t="inlineStr">
        <is>
          <t>Hồ Chí Minh</t>
        </is>
      </c>
      <c r="G9362" s="10" t="inlineStr">
        <is>
          <t>09-04-2026</t>
        </is>
      </c>
      <c r="H9362" s="10" t="inlineStr">
        <is>
          <t>09/04/2026</t>
        </is>
      </c>
      <c r="I9362" s="10" t="inlineStr">
        <is>
          <t>17/03/2026</t>
        </is>
      </c>
      <c r="J9362" s="10" t="inlineStr">
        <is>
          <t>Biên phiên dịch, Hành chính / Thư ký, Bất động sản</t>
        </is>
      </c>
      <c r="K9362" s="10" t="inlineStr">
        <is>
          <t>3 - 10 Năm</t>
        </is>
      </c>
      <c r="L9362" s="11">
        <f>HYPERLINK("https://careerviet.vn/vi/tim-viec-lam/bien-phien-dich-tieng-trung.35C6BA3C.html","Xem chi tiết")</f>
        <v/>
      </c>
      <c r="M9362" s="10" t="n"/>
    </row>
    <row r="9363">
      <c r="B9363" s="7" t="n">
        <v>9361</v>
      </c>
      <c r="C9363" t="inlineStr">
        <is>
          <t>Trợ Lý Sản Xuất (Nam)</t>
        </is>
      </c>
      <c r="D9363" t="inlineStr">
        <is>
          <t>Công ty TNHH Minh Long I</t>
        </is>
      </c>
      <c r="E9363" t="inlineStr">
        <is>
          <t>Lương:Cạnh tranh</t>
        </is>
      </c>
      <c r="F9363" t="inlineStr">
        <is>
          <t>Bình Dương</t>
        </is>
      </c>
      <c r="G9363" t="inlineStr">
        <is>
          <t>09-04-2026</t>
        </is>
      </c>
      <c r="H9363" t="inlineStr">
        <is>
          <t>09/04/2026</t>
        </is>
      </c>
      <c r="I9363" t="inlineStr">
        <is>
          <t>17/03/2026</t>
        </is>
      </c>
      <c r="J9363" t="inlineStr">
        <is>
          <t>Sản xuất / Vận hành sản xuất, Quản lý điều hành, Quản lý chất lượng (QA/QC)</t>
        </is>
      </c>
      <c r="K9363" t="inlineStr">
        <is>
          <t>3 - 4 Năm</t>
        </is>
      </c>
      <c r="L9363" s="8">
        <f>HYPERLINK("https://careerviet.vn/vi/tim-viec-lam/tro-ly-san-xuat-nam.35C6B833.html","Xem chi tiết")</f>
        <v/>
      </c>
    </row>
    <row r="9364">
      <c r="B9364" s="9" t="n">
        <v>9362</v>
      </c>
      <c r="C9364" s="10" t="inlineStr">
        <is>
          <t>Trưởng phòng Kế hoạch</t>
        </is>
      </c>
      <c r="D9364" s="10" t="inlineStr">
        <is>
          <t>Bảo mật</t>
        </is>
      </c>
      <c r="E9364" s="10" t="inlineStr">
        <is>
          <t>Lương:35 Tr - 45 Tr VND</t>
        </is>
      </c>
      <c r="F9364" s="10" t="inlineStr">
        <is>
          <t>Hà Nội</t>
        </is>
      </c>
      <c r="G9364" s="10" t="inlineStr">
        <is>
          <t>3</t>
        </is>
      </c>
      <c r="H9364" s="10" t="inlineStr">
        <is>
          <t>20/03/2026</t>
        </is>
      </c>
      <c r="I9364" s="10" t="inlineStr">
        <is>
          <t>17/03/2026</t>
        </is>
      </c>
      <c r="J9364" s="10" t="inlineStr">
        <is>
          <t>Quản lý điều hành</t>
        </is>
      </c>
      <c r="K9364" s="10" t="inlineStr">
        <is>
          <t>Trên 3 Năm</t>
        </is>
      </c>
      <c r="L9364" s="11">
        <f>HYPERLINK("https://careerviet.vn/vi/tim-viec-lam/truong-phong-ke-hoach.35C6B88B.html","Xem chi tiết")</f>
        <v/>
      </c>
      <c r="M9364" s="10" t="n"/>
    </row>
    <row r="9365">
      <c r="B9365" s="7" t="n">
        <v>9363</v>
      </c>
      <c r="C9365" t="inlineStr">
        <is>
          <t>Chuyên viên Phát triển Front-end (Angular/ReactJS)</t>
        </is>
      </c>
      <c r="D9365" t="inlineStr">
        <is>
          <t>Ngân Hàng TMCP Sài Gòn - Hà Nội ( SHB )</t>
        </is>
      </c>
      <c r="E9365" t="inlineStr">
        <is>
          <t>Lương:Cạnh tranh</t>
        </is>
      </c>
      <c r="F9365" t="inlineStr">
        <is>
          <t>Hà Nội</t>
        </is>
      </c>
      <c r="G9365" t="inlineStr">
        <is>
          <t>06-04-2026</t>
        </is>
      </c>
      <c r="H9365" t="inlineStr">
        <is>
          <t>06/04/2026</t>
        </is>
      </c>
      <c r="I9365" t="inlineStr">
        <is>
          <t>17/03/2026</t>
        </is>
      </c>
      <c r="J9365" t="inlineStr">
        <is>
          <t>CNTT - Phần mềm, Ngân hàng</t>
        </is>
      </c>
      <c r="K9365" t="inlineStr">
        <is>
          <t>Trên 2 Năm</t>
        </is>
      </c>
      <c r="L9365" s="8">
        <f>HYPERLINK("https://careerviet.vn/vi/tim-viec-lam/chuyen-vien-phat-trien-front-end-angular-reactjs.35C6B71E.html","Xem chi tiết")</f>
        <v/>
      </c>
    </row>
    <row r="9366">
      <c r="B9366" s="9" t="n">
        <v>9364</v>
      </c>
      <c r="C9366" s="10" t="inlineStr">
        <is>
          <t>PURCHASING MANAGER</t>
        </is>
      </c>
      <c r="D9366" s="10" t="inlineStr">
        <is>
          <t>CÔNG TY TNHH DEGO HOLDING</t>
        </is>
      </c>
      <c r="E9366" s="10" t="inlineStr">
        <is>
          <t>Lương:Cạnh tranh</t>
        </is>
      </c>
      <c r="F9366" s="10" t="inlineStr">
        <is>
          <t>Cần ThơHồ Chí Minh</t>
        </is>
      </c>
      <c r="G9366" s="10" t="inlineStr">
        <is>
          <t>09-04-2026</t>
        </is>
      </c>
      <c r="H9366" s="10" t="inlineStr">
        <is>
          <t>09/04/2026</t>
        </is>
      </c>
      <c r="I9366" s="10" t="inlineStr">
        <is>
          <t>17/03/2026</t>
        </is>
      </c>
      <c r="J9366" s="10" t="inlineStr">
        <is>
          <t>Thu mua / Vật tư, Dược phẩm/ Hóa Mỹ Phẩm, Y tế / Chăm sóc sức khỏe / Thẩm mỹ / Làm đẹp</t>
        </is>
      </c>
      <c r="K9366" s="10" t="inlineStr">
        <is>
          <t>3 - 5 Năm</t>
        </is>
      </c>
      <c r="L9366" s="11">
        <f>HYPERLINK("https://careerviet.vn/vi/tim-viec-lam/purchasing-manager.35C6B9E5.html","Xem chi tiết")</f>
        <v/>
      </c>
      <c r="M9366" s="10" t="n"/>
    </row>
    <row r="9367">
      <c r="B9367" s="7" t="n">
        <v>9365</v>
      </c>
      <c r="C9367" t="inlineStr">
        <is>
          <t>Kế toán Vật tư - Kho</t>
        </is>
      </c>
      <c r="D9367" t="inlineStr">
        <is>
          <t>Công Ty TNHH Hoàng Lam</t>
        </is>
      </c>
      <c r="E9367" t="inlineStr">
        <is>
          <t>Lương:10 Tr - 14 Tr VND</t>
        </is>
      </c>
      <c r="F9367" t="inlineStr">
        <is>
          <t>Hồ Chí Minh</t>
        </is>
      </c>
      <c r="G9367" t="inlineStr">
        <is>
          <t>08-04-2026</t>
        </is>
      </c>
      <c r="H9367" t="inlineStr">
        <is>
          <t>08/04/2026</t>
        </is>
      </c>
      <c r="I9367" t="inlineStr">
        <is>
          <t>17/03/2026</t>
        </is>
      </c>
      <c r="J9367" t="inlineStr">
        <is>
          <t>Kế toán / Kiểm toán</t>
        </is>
      </c>
      <c r="K9367" t="inlineStr">
        <is>
          <t>1 - 3 Năm</t>
        </is>
      </c>
      <c r="L9367" s="8">
        <f>HYPERLINK("https://careerviet.vn/vi/tim-viec-lam/ke-toan-vat-tu-kho.35C6B96D.html","Xem chi tiết")</f>
        <v/>
      </c>
    </row>
    <row r="9368">
      <c r="B9368" s="9" t="n">
        <v>9366</v>
      </c>
      <c r="C9368" s="10" t="inlineStr">
        <is>
          <t>Nhân viên kho</t>
        </is>
      </c>
      <c r="D9368" s="10" t="inlineStr">
        <is>
          <t>CÔNG TY TNHH AUSSCO VIỆT NAM</t>
        </is>
      </c>
      <c r="E9368" s="10" t="inlineStr">
        <is>
          <t>Lương:8 Tr - 12 Tr VND</t>
        </is>
      </c>
      <c r="F9368" s="10" t="inlineStr">
        <is>
          <t>Bình Dương</t>
        </is>
      </c>
      <c r="G9368" s="10" t="inlineStr">
        <is>
          <t>31-03-2026</t>
        </is>
      </c>
      <c r="H9368" s="10" t="inlineStr">
        <is>
          <t>31/03/2026</t>
        </is>
      </c>
      <c r="I9368" s="10" t="inlineStr">
        <is>
          <t>17/03/2026</t>
        </is>
      </c>
      <c r="J9368" s="10" t="inlineStr">
        <is>
          <t>Sản xuất / Vận hành sản xuất, Vận chuyển / Giao nhận / Kho vận, Lao động phổ thông</t>
        </is>
      </c>
      <c r="K9368" s="10" t="inlineStr">
        <is>
          <t>1 - 2 Năm</t>
        </is>
      </c>
      <c r="L9368" s="11">
        <f>HYPERLINK("https://careerviet.vn/vi/tim-viec-lam/nhan-vien-kho.35C6B783.html","Xem chi tiết")</f>
        <v/>
      </c>
      <c r="M9368" s="10" t="n"/>
    </row>
    <row r="9369">
      <c r="B9369" s="7" t="n">
        <v>9367</v>
      </c>
      <c r="C9369" t="inlineStr">
        <is>
          <t>Giám Đốc Điều Hành</t>
        </is>
      </c>
      <c r="D9369" t="inlineStr">
        <is>
          <t>CÔNG TY TNHH SẢN XUẤT XÂY DỰNG ÁNH DƯƠNG XANH</t>
        </is>
      </c>
      <c r="E9369" t="inlineStr">
        <is>
          <t>Lương:Trên 60 Tr VND</t>
        </is>
      </c>
      <c r="F9369" t="inlineStr">
        <is>
          <t>Hồ Chí Minh</t>
        </is>
      </c>
      <c r="G9369" t="inlineStr">
        <is>
          <t>31-03-2026</t>
        </is>
      </c>
      <c r="H9369" t="inlineStr">
        <is>
          <t>31/03/2026</t>
        </is>
      </c>
      <c r="I9369" t="inlineStr">
        <is>
          <t>17/03/2026</t>
        </is>
      </c>
      <c r="J9369" t="inlineStr">
        <is>
          <t>Đồ gỗ, Xây dựng, Quản lý điều hành</t>
        </is>
      </c>
      <c r="K9369" t="inlineStr">
        <is>
          <t>Trên 3 Năm</t>
        </is>
      </c>
      <c r="L9369" s="8">
        <f>HYPERLINK("https://careerviet.vn/vi/tim-viec-lam/giam-doc-dieu-hanh.35C6BA54.html","Xem chi tiết")</f>
        <v/>
      </c>
    </row>
    <row r="9370">
      <c r="B9370" s="9" t="n">
        <v>9368</v>
      </c>
      <c r="C9370" s="10" t="inlineStr">
        <is>
          <t>Kỹ sư Shop Drawing</t>
        </is>
      </c>
      <c r="D9370" s="10" t="inlineStr">
        <is>
          <t>CÔNG TY TNHH ĐẦU TƯ XÂY DỰNG PHÁT TRIỂN THÁI DƯƠNG</t>
        </is>
      </c>
      <c r="E9370" s="10" t="inlineStr">
        <is>
          <t>Lương:20 Tr - 25 Tr VND</t>
        </is>
      </c>
      <c r="F9370" s="10" t="inlineStr">
        <is>
          <t>Hồ Chí Minh</t>
        </is>
      </c>
      <c r="G9370" s="10" t="inlineStr">
        <is>
          <t>31-03-2026</t>
        </is>
      </c>
      <c r="H9370" s="10" t="inlineStr">
        <is>
          <t>31/03/2026</t>
        </is>
      </c>
      <c r="I9370" s="10" t="inlineStr">
        <is>
          <t>17/03/2026</t>
        </is>
      </c>
      <c r="J9370" s="10" t="inlineStr">
        <is>
          <t>Xây dựng</t>
        </is>
      </c>
      <c r="K9370" s="10" t="inlineStr">
        <is>
          <t>Trên 2 Năm</t>
        </is>
      </c>
      <c r="L9370" s="11">
        <f>HYPERLINK("https://careerviet.vn/vi/tim-viec-lam/ky-su-shop-drawing.35C6B5D5.html","Xem chi tiết")</f>
        <v/>
      </c>
      <c r="M9370" s="10" t="n"/>
    </row>
    <row r="9371">
      <c r="B9371" s="7" t="n">
        <v>9369</v>
      </c>
      <c r="C9371" t="inlineStr">
        <is>
          <t>Kỹ Thuật Viên Testing</t>
        </is>
      </c>
      <c r="D9371" t="inlineStr">
        <is>
          <t>Công ty TNHH Cicor Việt Nam</t>
        </is>
      </c>
      <c r="E9371" t="inlineStr">
        <is>
          <t>Lương:Cạnh tranh</t>
        </is>
      </c>
      <c r="F9371" t="inlineStr">
        <is>
          <t>Bình Dương</t>
        </is>
      </c>
      <c r="G9371" t="inlineStr">
        <is>
          <t>27-03-2026</t>
        </is>
      </c>
      <c r="H9371" t="inlineStr">
        <is>
          <t>27/03/2026</t>
        </is>
      </c>
      <c r="I9371" t="inlineStr">
        <is>
          <t>17/03/2026</t>
        </is>
      </c>
      <c r="J9371" t="inlineStr">
        <is>
          <t>Điện / Điện tử / Điện lạnh / Điện công nghiệp, Sản xuất / Vận hành sản xuất</t>
        </is>
      </c>
      <c r="K9371" t="inlineStr">
        <is>
          <t>Trên 1 Năm</t>
        </is>
      </c>
      <c r="L9371" s="8">
        <f>HYPERLINK("https://careerviet.vn/vi/tim-viec-lam/ky-thuat-vien-testing.35C6B885.html","Xem chi tiết")</f>
        <v/>
      </c>
    </row>
    <row r="9372">
      <c r="B9372" s="9" t="n">
        <v>9370</v>
      </c>
      <c r="C9372" s="10" t="inlineStr">
        <is>
          <t>Quản lý Kinh doanh Kênh GT &amp; HoReCa (Nội địa)</t>
        </is>
      </c>
      <c r="D9372" s="10" t="inlineStr">
        <is>
          <t>Công ty cổ phần Nafoods Group</t>
        </is>
      </c>
      <c r="E9372" s="10" t="inlineStr">
        <is>
          <t>Lương:Cạnh tranh</t>
        </is>
      </c>
      <c r="F9372" s="10" t="inlineStr">
        <is>
          <t>Hồ Chí Minh</t>
        </is>
      </c>
      <c r="G9372" s="10" t="inlineStr">
        <is>
          <t>08-04-2026</t>
        </is>
      </c>
      <c r="H9372" s="10" t="inlineStr">
        <is>
          <t>08/04/2026</t>
        </is>
      </c>
      <c r="I9372" s="10" t="inlineStr">
        <is>
          <t>17/03/2026</t>
        </is>
      </c>
      <c r="J9372" s="10" t="inlineStr">
        <is>
          <t>Bán hàng / Kinh doanh, Bán lẻ / Bán sỉ, Thực phẩm &amp; Đồ uống</t>
        </is>
      </c>
      <c r="K9372" s="10" t="inlineStr">
        <is>
          <t>2 - 3 Năm</t>
        </is>
      </c>
      <c r="L9372" s="11">
        <f>HYPERLINK("https://careerviet.vn/vi/tim-viec-lam/quan-ly-kinh-doanh-kenh-gt-horeca-noi-dia.35C6B75F.html","Xem chi tiết")</f>
        <v/>
      </c>
      <c r="M9372" s="10" t="n"/>
    </row>
    <row r="9373">
      <c r="B9373" s="7" t="n">
        <v>9371</v>
      </c>
      <c r="C9373" t="inlineStr">
        <is>
          <t>[03.2026] Trade Marketing Assistant</t>
        </is>
      </c>
      <c r="D9373" t="inlineStr">
        <is>
          <t>Mega Lifesciences (Vietnam)</t>
        </is>
      </c>
      <c r="E9373" t="inlineStr">
        <is>
          <t>Lương:Cạnh tranh</t>
        </is>
      </c>
      <c r="F9373" t="inlineStr">
        <is>
          <t>Hồ Chí Minh</t>
        </is>
      </c>
      <c r="G9373" t="inlineStr">
        <is>
          <t>31-03-2026</t>
        </is>
      </c>
      <c r="H9373" t="inlineStr">
        <is>
          <t>31/03/2026</t>
        </is>
      </c>
      <c r="I9373" t="inlineStr">
        <is>
          <t>17/03/2026</t>
        </is>
      </c>
      <c r="J9373" t="inlineStr">
        <is>
          <t>Dược phẩm/ Hóa Mỹ Phẩm, Thực phẩm &amp; Đồ uống</t>
        </is>
      </c>
      <c r="K9373" t="inlineStr">
        <is>
          <t>1 - 2 Năm</t>
        </is>
      </c>
      <c r="L9373" s="8">
        <f>HYPERLINK("https://careerviet.vn/vi/tim-viec-lam/03-2026-trade-marketing-assistant.35C6B87E.html","Xem chi tiết")</f>
        <v/>
      </c>
    </row>
    <row r="9374">
      <c r="B9374" s="9" t="n">
        <v>9372</v>
      </c>
      <c r="C9374" s="10" t="inlineStr">
        <is>
          <t>Mobile Developer</t>
        </is>
      </c>
      <c r="D9374" s="10" t="inlineStr">
        <is>
          <t>Công ty CP TS24</t>
        </is>
      </c>
      <c r="E9374" s="10" t="inlineStr">
        <is>
          <t>Lương:9 Tr - 12 Tr VND</t>
        </is>
      </c>
      <c r="F9374" s="10" t="inlineStr">
        <is>
          <t>Hồ Chí Minh</t>
        </is>
      </c>
      <c r="G9374" s="10" t="inlineStr">
        <is>
          <t>09-04-2026</t>
        </is>
      </c>
      <c r="H9374" s="10" t="inlineStr">
        <is>
          <t>09/04/2026</t>
        </is>
      </c>
      <c r="I9374" s="10" t="inlineStr">
        <is>
          <t>17/03/2026</t>
        </is>
      </c>
      <c r="J9374" s="10" t="inlineStr">
        <is>
          <t>CNTT - Phần mềm</t>
        </is>
      </c>
      <c r="K9374" s="10" t="inlineStr">
        <is>
          <t>1 - 5 Năm</t>
        </is>
      </c>
      <c r="L9374" s="11">
        <f>HYPERLINK("https://careerviet.vn/vi/tim-viec-lam/mobile-developer.35C6B6CD.html","Xem chi tiết")</f>
        <v/>
      </c>
      <c r="M9374" s="10" t="n"/>
    </row>
    <row r="9375">
      <c r="B9375" s="7" t="n">
        <v>9373</v>
      </c>
      <c r="C9375" t="inlineStr">
        <is>
          <t>HR-Admin Senior Officer/Chuyên Viên Hành Chính Nhân Sự</t>
        </is>
      </c>
      <c r="D9375" t="inlineStr">
        <is>
          <t>Công ty TNHH Vexos Việt Nam</t>
        </is>
      </c>
      <c r="E9375" t="inlineStr">
        <is>
          <t>Lương:Cạnh tranh</t>
        </is>
      </c>
      <c r="F9375" t="inlineStr">
        <is>
          <t>Hồ Chí Minh</t>
        </is>
      </c>
      <c r="G9375" t="inlineStr">
        <is>
          <t>12-04-2026</t>
        </is>
      </c>
      <c r="H9375" t="inlineStr">
        <is>
          <t>12/04/2026</t>
        </is>
      </c>
      <c r="I9375" t="inlineStr">
        <is>
          <t>17/03/2026</t>
        </is>
      </c>
      <c r="J9375" t="inlineStr">
        <is>
          <t>Luật / Pháp lý, Hành chính / Thư ký, Nhân sự</t>
        </is>
      </c>
      <c r="K9375" t="inlineStr">
        <is>
          <t>5 - 10 Năm</t>
        </is>
      </c>
      <c r="L9375" s="8">
        <f>HYPERLINK("https://careerviet.vn/vi/tim-viec-lam/hr-admin-senior-officer-chuyen-vien-hanh-chinh-nhan-su.35C6B9E0.html","Xem chi tiết")</f>
        <v/>
      </c>
    </row>
    <row r="9376">
      <c r="B9376" s="9" t="n">
        <v>9374</v>
      </c>
      <c r="C9376" s="10" t="inlineStr">
        <is>
          <t>Chuyên viên Quan hệ Khách hàng Doanh nghiệp (Toàn quốc)</t>
        </is>
      </c>
      <c r="D9376" s="10" t="inlineStr">
        <is>
          <t>Ngân Hàng TMCP Sài Gòn - Hà Nội ( SHB )</t>
        </is>
      </c>
      <c r="E9376" s="10" t="inlineStr">
        <is>
          <t>Lương:Cạnh tranh</t>
        </is>
      </c>
      <c r="F9376" s="10" t="inlineStr">
        <is>
          <t>Thanh HóaBình ĐịnhLâm Đồng</t>
        </is>
      </c>
      <c r="G9376" s="10" t="inlineStr">
        <is>
          <t>06-04-2026</t>
        </is>
      </c>
      <c r="H9376" s="10" t="inlineStr">
        <is>
          <t>06/04/2026</t>
        </is>
      </c>
      <c r="I9376" s="10" t="inlineStr">
        <is>
          <t>17/03/2026</t>
        </is>
      </c>
      <c r="J9376" s="10" t="inlineStr">
        <is>
          <t>Ngân hàng, Bán hàng / Kinh doanh</t>
        </is>
      </c>
      <c r="K9376" s="10" t="inlineStr">
        <is>
          <t>Chưa có kinh nghiệm</t>
        </is>
      </c>
      <c r="L9376" s="11">
        <f>HYPERLINK("https://careerviet.vn/vi/tim-viec-lam/chuyen-vien-quan-he-khach-hang-doanh-nghiep-toan-quoc.35C6B6D2.html","Xem chi tiết")</f>
        <v/>
      </c>
      <c r="M9376" s="10" t="n"/>
    </row>
    <row r="9377">
      <c r="B9377" s="7" t="n">
        <v>9375</v>
      </c>
      <c r="C9377" t="inlineStr">
        <is>
          <t>[Yên Bái] Chuyên Viên Tư Vấn Trả Góp Ô Tô</t>
        </is>
      </c>
      <c r="D9377" t="inlineStr">
        <is>
          <t>Công Ty Tài Chính Mirae Asset (Việt Nam)</t>
        </is>
      </c>
      <c r="E9377" t="inlineStr">
        <is>
          <t>Lương:17 Tr - 50 Tr VND</t>
        </is>
      </c>
      <c r="F9377" t="inlineStr">
        <is>
          <t>Yên BáiKV Bắc Trung Bộ</t>
        </is>
      </c>
      <c r="G9377" t="inlineStr">
        <is>
          <t>08-04-2026</t>
        </is>
      </c>
      <c r="H9377" t="inlineStr">
        <is>
          <t>08/04/2026</t>
        </is>
      </c>
      <c r="I9377" t="inlineStr">
        <is>
          <t>17/03/2026</t>
        </is>
      </c>
      <c r="J9377" t="inlineStr">
        <is>
          <t>Bán lẻ / Bán sỉ, Bán hàng / Kinh doanh, Tài chính / Đầu tư</t>
        </is>
      </c>
      <c r="K9377" t="inlineStr">
        <is>
          <t>2 - 3 Năm</t>
        </is>
      </c>
      <c r="L9377" s="8">
        <f>HYPERLINK("https://careerviet.vn/vi/tim-viec-lam/yen-bai-chuyen-vien-tu-van-tra-gop-o-to.35C6BA33.html","Xem chi tiết")</f>
        <v/>
      </c>
    </row>
    <row r="9378">
      <c r="B9378" s="9" t="n">
        <v>9376</v>
      </c>
      <c r="C9378" s="10" t="inlineStr">
        <is>
          <t>Kế Toán Mua Hàng</t>
        </is>
      </c>
      <c r="D9378" s="10" t="inlineStr">
        <is>
          <t>CÔNG TY CỔ PHẦN TAKAHIRO</t>
        </is>
      </c>
      <c r="E9378" s="10" t="inlineStr">
        <is>
          <t>Lương:8 Tr - 9 Tr VND</t>
        </is>
      </c>
      <c r="F9378" s="10" t="inlineStr">
        <is>
          <t>Hồ Chí Minh</t>
        </is>
      </c>
      <c r="G9378" s="10" t="inlineStr">
        <is>
          <t>30-04-2026</t>
        </is>
      </c>
      <c r="H9378" s="10" t="inlineStr">
        <is>
          <t>30/04/2026</t>
        </is>
      </c>
      <c r="I9378" s="10" t="inlineStr">
        <is>
          <t>17/03/2026</t>
        </is>
      </c>
      <c r="J9378" s="10" t="inlineStr">
        <is>
          <t>Kế toán / Kiểm toán</t>
        </is>
      </c>
      <c r="K9378" s="10" t="inlineStr">
        <is>
          <t>Chưa có kinh nghiệm</t>
        </is>
      </c>
      <c r="L9378" s="11">
        <f>HYPERLINK("https://careerviet.vn/vi/tim-viec-lam/ke-toan-mua-hang.35C6B7E5.html","Xem chi tiết")</f>
        <v/>
      </c>
      <c r="M9378" s="10" t="n"/>
    </row>
    <row r="9379">
      <c r="B9379" s="7" t="n">
        <v>9377</v>
      </c>
      <c r="C9379" t="inlineStr">
        <is>
          <t>Warehouse Assistant (Hung Yen)</t>
        </is>
      </c>
      <c r="D9379" t="inlineStr">
        <is>
          <t>TÜV Rheinland Vietnam</t>
        </is>
      </c>
      <c r="E9379" t="inlineStr">
        <is>
          <t>Lương:Cạnh tranh</t>
        </is>
      </c>
      <c r="F9379" t="inlineStr">
        <is>
          <t>Hưng Yên</t>
        </is>
      </c>
      <c r="G9379" t="inlineStr">
        <is>
          <t>04-05-2026</t>
        </is>
      </c>
      <c r="H9379" t="inlineStr">
        <is>
          <t>04/05/2026</t>
        </is>
      </c>
      <c r="I9379" t="inlineStr">
        <is>
          <t>17/03/2026</t>
        </is>
      </c>
      <c r="J9379" t="inlineStr">
        <is>
          <t>Vận chuyển / Giao nhận / Kho vận, Ngành khác</t>
        </is>
      </c>
      <c r="K9379" t="inlineStr">
        <is>
          <t>1 - 5 Năm</t>
        </is>
      </c>
      <c r="L9379" s="8">
        <f>HYPERLINK("https://careerviet.vn/vi/tim-viec-lam/warehouse-assistant-hung-yen.35C6B796.html","Xem chi tiết")</f>
        <v/>
      </c>
    </row>
    <row r="9380">
      <c r="B9380" s="9" t="n">
        <v>9378</v>
      </c>
      <c r="C9380" s="10" t="inlineStr">
        <is>
          <t>NHÂN VIÊN KINH DOANH VẢI THỜI TRANG</t>
        </is>
      </c>
      <c r="D9380" s="10" t="inlineStr">
        <is>
          <t>Công ty TNHH Thương Mại Việt Kim (SG)</t>
        </is>
      </c>
      <c r="E9380" s="10" t="inlineStr">
        <is>
          <t>Lương:7,5 Tr - 30 Tr VND</t>
        </is>
      </c>
      <c r="F9380" s="10" t="inlineStr">
        <is>
          <t>Hồ Chí Minh</t>
        </is>
      </c>
      <c r="G9380" s="10" t="inlineStr">
        <is>
          <t>15-03-2026</t>
        </is>
      </c>
      <c r="H9380" s="10" t="inlineStr">
        <is>
          <t>30/01/2026</t>
        </is>
      </c>
      <c r="I9380" s="10" t="inlineStr">
        <is>
          <t>17/03/2026</t>
        </is>
      </c>
      <c r="J9380" s="10" t="inlineStr">
        <is>
          <t>Bán lẻ / Bán sỉ, Dệt may / Da giày / Thời trang</t>
        </is>
      </c>
      <c r="K9380" s="10" t="inlineStr">
        <is>
          <t>1 - 2 Năm</t>
        </is>
      </c>
      <c r="L9380" s="11">
        <f>HYPERLINK("https://careerviet.vn/vi/tim-viec-lam/nhan-vien-kinh-doanh-vai-thoi-trang.35C653BD.html","Xem chi tiết")</f>
        <v/>
      </c>
      <c r="M9380" s="10" t="n"/>
    </row>
    <row r="9381">
      <c r="B9381" s="7" t="n">
        <v>9379</v>
      </c>
      <c r="C9381" t="inlineStr">
        <is>
          <t>Kế toán thanh toán</t>
        </is>
      </c>
      <c r="D9381" t="inlineStr">
        <is>
          <t>Công ty cổ phần Okapi Việt Nam - Thương hiệu thời trang BADASS</t>
        </is>
      </c>
      <c r="E9381" t="inlineStr">
        <is>
          <t>Lương:10 Tr - 15 Tr VND</t>
        </is>
      </c>
      <c r="F9381" t="inlineStr">
        <is>
          <t>Hà Nội</t>
        </is>
      </c>
      <c r="G9381" t="inlineStr">
        <is>
          <t>26-03-2026</t>
        </is>
      </c>
      <c r="H9381" t="inlineStr">
        <is>
          <t>26/03/2026</t>
        </is>
      </c>
      <c r="I9381" t="inlineStr">
        <is>
          <t>17/03/2026</t>
        </is>
      </c>
      <c r="J9381" t="inlineStr">
        <is>
          <t>Dệt may / Da giày / Thời trang, Kế toán / Kiểm toán</t>
        </is>
      </c>
      <c r="K9381" t="inlineStr">
        <is>
          <t>2 - 3 Năm</t>
        </is>
      </c>
      <c r="L9381" s="8">
        <f>HYPERLINK("https://careerviet.vn/vi/tim-viec-lam/ke-toan-thanh-toan.35C6B771.html","Xem chi tiết")</f>
        <v/>
      </c>
    </row>
    <row r="9382">
      <c r="B9382" s="9" t="n">
        <v>9380</v>
      </c>
      <c r="C9382" s="10" t="inlineStr">
        <is>
          <t>Chuyên viên Nghiên cứu và Phát triển Sản phẩm Trải nghiệm STEM (R&amp;D)</t>
        </is>
      </c>
      <c r="D9382" s="10" t="inlineStr">
        <is>
          <t>KDI EDUCATION</t>
        </is>
      </c>
      <c r="E9382" s="10" t="inlineStr">
        <is>
          <t>Lương:14 Tr - 16 Tr VND</t>
        </is>
      </c>
      <c r="F9382" s="10" t="inlineStr">
        <is>
          <t>Hồ Chí Minh</t>
        </is>
      </c>
      <c r="G9382" s="10" t="inlineStr">
        <is>
          <t>08-04-2026</t>
        </is>
      </c>
      <c r="H9382" s="10" t="inlineStr">
        <is>
          <t>08/04/2026</t>
        </is>
      </c>
      <c r="I9382" s="10" t="inlineStr">
        <is>
          <t>17/03/2026</t>
        </is>
      </c>
      <c r="J9382" s="10" t="inlineStr">
        <is>
          <t>Giáo dục / Đào tạo, Cơ khí / Ô tô / Tự động hóa</t>
        </is>
      </c>
      <c r="K9382" s="10" t="inlineStr">
        <is>
          <t>1 - 2 Năm</t>
        </is>
      </c>
      <c r="L9382" s="11">
        <f>HYPERLINK("https://careerviet.vn/vi/tim-viec-lam/chuyen-vien-nghien-cuu-va-phat-trien-san-pham-trai-nghiem-stem-r-d.35C6B714.html","Xem chi tiết")</f>
        <v/>
      </c>
      <c r="M9382" s="10" t="n"/>
    </row>
    <row r="9383">
      <c r="B9383" s="7" t="n">
        <v>9381</v>
      </c>
      <c r="C9383" t="inlineStr">
        <is>
          <t>Chuyên gia, Chuyên viên cao cấp Kiến trúc ứng dụng - Solution Architect - Khối Công nghệ thông tin (HOLT.10)</t>
        </is>
      </c>
      <c r="D9383" t="inlineStr">
        <is>
          <t>Ngân Hàng TMCP Quân Đội</t>
        </is>
      </c>
      <c r="E9383" t="inlineStr">
        <is>
          <t>Lương:Cạnh tranh</t>
        </is>
      </c>
      <c r="F9383" t="inlineStr">
        <is>
          <t>Hà Nội</t>
        </is>
      </c>
      <c r="G9383" t="inlineStr">
        <is>
          <t>09-04-2026</t>
        </is>
      </c>
      <c r="H9383" t="inlineStr">
        <is>
          <t>09/04/2026</t>
        </is>
      </c>
      <c r="I9383" t="inlineStr">
        <is>
          <t>17/03/2026</t>
        </is>
      </c>
      <c r="J9383" t="inlineStr">
        <is>
          <t>Ngân hàng, CNTT - Phần mềm, CNTT - Phần cứng / Mạng</t>
        </is>
      </c>
      <c r="K9383" t="inlineStr">
        <is>
          <t>Trên 4 Năm</t>
        </is>
      </c>
      <c r="L9383" s="8">
        <f>HYPERLINK("https://careerviet.vn/vi/tim-viec-lam/chuyen-gia-chuyen-vien-cao-cap-kien-truc-ung-dung-solution-architect-khoi-cong-nghe-thong-tin-holt-10.35C6B8D2.html","Xem chi tiết")</f>
        <v/>
      </c>
    </row>
    <row r="9384">
      <c r="B9384" s="9" t="n">
        <v>9382</v>
      </c>
      <c r="C9384" s="10" t="inlineStr">
        <is>
          <t>Giám sát An toàn công trường</t>
        </is>
      </c>
      <c r="D9384" s="10" t="inlineStr">
        <is>
          <t>CÔNG TY CỔ PHẦN XÂY DỰNG VÀ THIẾT KẾ BẮC TRUNG NAM</t>
        </is>
      </c>
      <c r="E9384" s="10" t="inlineStr">
        <is>
          <t>Lương:15 Tr - 20 Tr VND</t>
        </is>
      </c>
      <c r="F9384" s="10" t="inlineStr">
        <is>
          <t>Hồ Chí Minh</t>
        </is>
      </c>
      <c r="G9384" s="10" t="inlineStr">
        <is>
          <t>08-04-2026</t>
        </is>
      </c>
      <c r="H9384" s="10" t="inlineStr">
        <is>
          <t>08/04/2026</t>
        </is>
      </c>
      <c r="I9384" s="10" t="inlineStr">
        <is>
          <t>17/03/2026</t>
        </is>
      </c>
      <c r="J9384" s="10" t="inlineStr">
        <is>
          <t>Xây dựng, An toàn lao động</t>
        </is>
      </c>
      <c r="K9384" s="10" t="inlineStr">
        <is>
          <t>2 - 5 Năm</t>
        </is>
      </c>
      <c r="L9384" s="11">
        <f>HYPERLINK("https://careerviet.vn/vi/tim-viec-lam/giam-sat-an-toan-cong-truong.35C6B7BD.html","Xem chi tiết")</f>
        <v/>
      </c>
      <c r="M9384" s="10" t="n"/>
    </row>
    <row r="9385">
      <c r="B9385" s="7" t="n">
        <v>9383</v>
      </c>
      <c r="C9385" t="inlineStr">
        <is>
          <t>Kế Toán Tổng Hợp ( ưu tiên đi làm ngay )</t>
        </is>
      </c>
      <c r="D9385" t="inlineStr">
        <is>
          <t>CÔNG TY TRÁCH NHIỆM HỮU HẠN R.P</t>
        </is>
      </c>
      <c r="E9385" t="inlineStr">
        <is>
          <t>Lương:20 Tr - 25 Tr VND</t>
        </is>
      </c>
      <c r="F9385" t="inlineStr">
        <is>
          <t>Hồ Chí Minh</t>
        </is>
      </c>
      <c r="G9385" t="inlineStr">
        <is>
          <t>06-04-2026</t>
        </is>
      </c>
      <c r="H9385" t="inlineStr">
        <is>
          <t>06/04/2026</t>
        </is>
      </c>
      <c r="I9385" t="inlineStr">
        <is>
          <t>17/03/2026</t>
        </is>
      </c>
      <c r="J9385" t="inlineStr">
        <is>
          <t>Kế toán / Kiểm toán, Hành chính / Thư ký, Nội ngoại thất</t>
        </is>
      </c>
      <c r="K9385" t="inlineStr">
        <is>
          <t>Trên 3 Năm</t>
        </is>
      </c>
      <c r="L9385" s="8">
        <f>HYPERLINK("https://careerviet.vn/vi/tim-viec-lam/ke-toan-tong-hop-uu-tien-di-lam-ngay.35C6B533.html","Xem chi tiết")</f>
        <v/>
      </c>
    </row>
    <row r="9386">
      <c r="B9386" s="9" t="n">
        <v>9384</v>
      </c>
      <c r="C9386" s="10" t="inlineStr">
        <is>
          <t>NHÂN VIÊN BẢO TRÌ (CÔNG TY THÀNH VIÊN CỦA SABECO)</t>
        </is>
      </c>
      <c r="D9386" s="10" t="inlineStr">
        <is>
          <t>SABECO - Saigon Beer-Alcohol-Beverage Corporation</t>
        </is>
      </c>
      <c r="E9386" s="10" t="inlineStr">
        <is>
          <t>Lương:Cạnh tranh</t>
        </is>
      </c>
      <c r="F9386" s="10" t="inlineStr">
        <is>
          <t>Ninh ThuậnHồ Chí Minh</t>
        </is>
      </c>
      <c r="G9386" s="10" t="inlineStr">
        <is>
          <t>08-04-2026</t>
        </is>
      </c>
      <c r="H9386" s="10" t="inlineStr">
        <is>
          <t>08/04/2026</t>
        </is>
      </c>
      <c r="I9386" s="10" t="inlineStr">
        <is>
          <t>17/03/2026</t>
        </is>
      </c>
      <c r="J9386" s="10" t="inlineStr">
        <is>
          <t>Cơ khí / Ô tô / Tự động hóa, Điện / Điện tử / Điện lạnh / Điện công nghiệp, Sản xuất / Vận hành sản xuất</t>
        </is>
      </c>
      <c r="K9386" s="10" t="inlineStr">
        <is>
          <t>2 - 3 Năm</t>
        </is>
      </c>
      <c r="L9386" s="11">
        <f>HYPERLINK("https://careerviet.vn/vi/tim-viec-lam/nhan-vien-bao-tri-cong-ty-thanh-vien-cua-sabeco.35C6B98F.html","Xem chi tiết")</f>
        <v/>
      </c>
      <c r="M9386" s="10" t="n"/>
    </row>
    <row r="9387">
      <c r="B9387" s="7" t="n">
        <v>9385</v>
      </c>
      <c r="C9387" t="inlineStr">
        <is>
          <t>[DĨ AN] KẾ TOÁN BÁN HÀNG</t>
        </is>
      </c>
      <c r="D9387" t="inlineStr">
        <is>
          <t>CÔNG TY CỔ PHẦN SẢN XUẤT, THƯƠNG MẠI VÀ DỊCH VỤ PHÚC THỊNH</t>
        </is>
      </c>
      <c r="E9387" t="inlineStr">
        <is>
          <t>Lương:8 Tr - 10 Tr VND</t>
        </is>
      </c>
      <c r="F9387" t="inlineStr">
        <is>
          <t>Bình Dương</t>
        </is>
      </c>
      <c r="G9387" t="inlineStr">
        <is>
          <t>31-03-2026</t>
        </is>
      </c>
      <c r="H9387" t="inlineStr">
        <is>
          <t>31/03/2026</t>
        </is>
      </c>
      <c r="I9387" t="inlineStr">
        <is>
          <t>17/03/2026</t>
        </is>
      </c>
      <c r="J9387" t="inlineStr">
        <is>
          <t>Kế toán / Kiểm toán, Thực phẩm &amp; Đồ uống, Tài chính / Đầu tư</t>
        </is>
      </c>
      <c r="K9387" t="inlineStr">
        <is>
          <t>Trên 1 Năm</t>
        </is>
      </c>
      <c r="L9387" s="8">
        <f>HYPERLINK("https://careerviet.vn/vi/tim-viec-lam/di-an-ke-toan-ban-hang.35C6B756.html","Xem chi tiết")</f>
        <v/>
      </c>
    </row>
    <row r="9388">
      <c r="B9388" s="9" t="n">
        <v>9386</v>
      </c>
      <c r="C9388" s="10" t="inlineStr">
        <is>
          <t>Quản Lý Cửa Hàng</t>
        </is>
      </c>
      <c r="D9388" s="10" t="inlineStr">
        <is>
          <t>Công ty TNHH Sản xuất Thương mại &amp; Dịch vụ Hoa Xinh</t>
        </is>
      </c>
      <c r="E9388" s="10" t="inlineStr">
        <is>
          <t>Lương:18 Tr - 30 Tr VND</t>
        </is>
      </c>
      <c r="F9388" s="10" t="inlineStr">
        <is>
          <t>Hà Nội</t>
        </is>
      </c>
      <c r="G9388" s="10" t="inlineStr">
        <is>
          <t>3</t>
        </is>
      </c>
      <c r="H9388" s="10" t="inlineStr">
        <is>
          <t>20/03/2026</t>
        </is>
      </c>
      <c r="I9388" s="10" t="inlineStr">
        <is>
          <t>17/03/2026</t>
        </is>
      </c>
      <c r="J9388" s="10" t="inlineStr">
        <is>
          <t>Bán lẻ / Bán sỉ, Dược phẩm/ Hóa Mỹ Phẩm, Dệt may / Da giày / Thời trang</t>
        </is>
      </c>
      <c r="K9388" s="10" t="inlineStr">
        <is>
          <t>1 - 10 Năm</t>
        </is>
      </c>
      <c r="L9388" s="11">
        <f>HYPERLINK("https://careerviet.vn/vi/tim-viec-lam/quan-ly-cua-hang.35C6B9BE.html","Xem chi tiết")</f>
        <v/>
      </c>
      <c r="M9388" s="10" t="n"/>
    </row>
    <row r="9389">
      <c r="B9389" s="7" t="n">
        <v>9387</v>
      </c>
      <c r="C9389" t="inlineStr">
        <is>
          <t>HR Executive (C&amp;B)</t>
        </is>
      </c>
      <c r="D9389" t="inlineStr">
        <is>
          <t>CÔNG TY TNHH HYUNDAI ELEVATOR VIỆT NAM</t>
        </is>
      </c>
      <c r="E9389" t="inlineStr">
        <is>
          <t>Lương:Cạnh tranh</t>
        </is>
      </c>
      <c r="F9389" t="inlineStr">
        <is>
          <t>Hà Nội</t>
        </is>
      </c>
      <c r="G9389" t="inlineStr">
        <is>
          <t>30-04-2026</t>
        </is>
      </c>
      <c r="H9389" t="inlineStr">
        <is>
          <t>30/04/2026</t>
        </is>
      </c>
      <c r="I9389" t="inlineStr">
        <is>
          <t>17/03/2026</t>
        </is>
      </c>
      <c r="J9389" t="inlineStr">
        <is>
          <t>Nhân sự, Kế toán / Kiểm toán, Hành chính / Thư ký</t>
        </is>
      </c>
      <c r="K9389" t="inlineStr">
        <is>
          <t>5 - 10 Năm</t>
        </is>
      </c>
      <c r="L9389" s="8">
        <f>HYPERLINK("https://careerviet.vn/vi/tim-viec-lam/hr-executive-c-b.35C6B6FD.html","Xem chi tiết")</f>
        <v/>
      </c>
    </row>
    <row r="9390">
      <c r="B9390" s="9" t="n">
        <v>9388</v>
      </c>
      <c r="C9390" s="10" t="inlineStr">
        <is>
          <t>Chuyên viên cao cấp Kiểm soát chi phí M&amp;E - HO - 4H106</t>
        </is>
      </c>
      <c r="D9390" s="10" t="inlineStr">
        <is>
          <t>Tập đoàn ROX (ROX Group)</t>
        </is>
      </c>
      <c r="E9390" s="10" t="inlineStr">
        <is>
          <t>Lương:Cạnh tranh</t>
        </is>
      </c>
      <c r="F9390" s="10" t="inlineStr">
        <is>
          <t>Hà Nội</t>
        </is>
      </c>
      <c r="G9390" s="10" t="inlineStr">
        <is>
          <t>12-04-2026</t>
        </is>
      </c>
      <c r="H9390" s="10" t="inlineStr">
        <is>
          <t>12/04/2026</t>
        </is>
      </c>
      <c r="I9390" s="10" t="inlineStr">
        <is>
          <t>17/03/2026</t>
        </is>
      </c>
      <c r="J9390" s="10" t="inlineStr">
        <is>
          <t>Điện / Điện tử / Điện lạnh / Điện công nghiệp</t>
        </is>
      </c>
      <c r="K9390" s="10" t="inlineStr">
        <is>
          <t>Trên 4 Năm</t>
        </is>
      </c>
      <c r="L9390" s="11">
        <f>HYPERLINK("https://careerviet.vn/vi/tim-viec-lam/chuyen-vien-cao-cap-kiem-soat-chi-phi-m-e-ho-4h106.35C6B76A.html","Xem chi tiết")</f>
        <v/>
      </c>
      <c r="M9390" s="10" t="n"/>
    </row>
    <row r="9391">
      <c r="B9391" s="7" t="n">
        <v>9389</v>
      </c>
      <c r="C9391" t="inlineStr">
        <is>
          <t>CHUYÊN VIÊN PHÁP CHẾ VÀ KIỂM SOÁT HỢP ĐỒNG</t>
        </is>
      </c>
      <c r="D9391" t="inlineStr">
        <is>
          <t>CÔNG TY TNHH ĐẦU TƯ CHUYỂN GIAO CÔNG NGHỆ TOÀN CẦU</t>
        </is>
      </c>
      <c r="E9391" t="inlineStr">
        <is>
          <t>Lương:15 Tr - 20 Tr VND</t>
        </is>
      </c>
      <c r="F9391" t="inlineStr">
        <is>
          <t>Hồ Chí Minh</t>
        </is>
      </c>
      <c r="G9391" t="inlineStr">
        <is>
          <t>09-04-2026</t>
        </is>
      </c>
      <c r="H9391" t="inlineStr">
        <is>
          <t>09/04/2026</t>
        </is>
      </c>
      <c r="I9391" t="inlineStr">
        <is>
          <t>17/03/2026</t>
        </is>
      </c>
      <c r="J9391" t="inlineStr">
        <is>
          <t>Luật / Pháp lý, Quản lý điều hành, Hành chính / Thư ký</t>
        </is>
      </c>
      <c r="K9391" t="inlineStr">
        <is>
          <t>3 - 5 Năm</t>
        </is>
      </c>
      <c r="L9391" s="8">
        <f>HYPERLINK("https://careerviet.vn/vi/tim-viec-lam/chuyen-vien-phap-che-va-kiem-soat-hop-dong.35C6BA60.html","Xem chi tiết")</f>
        <v/>
      </c>
    </row>
    <row r="9392">
      <c r="B9392" s="9" t="n">
        <v>9390</v>
      </c>
      <c r="C9392" s="10" t="inlineStr">
        <is>
          <t>NHÂN VIÊN LAO ĐỘNG PHỔ THÔNG</t>
        </is>
      </c>
      <c r="D9392" s="10" t="inlineStr">
        <is>
          <t>CÔNG TY CỔ PHẦN HÙNG CƯỜNG PHARMA</t>
        </is>
      </c>
      <c r="E9392" s="10" t="inlineStr">
        <is>
          <t>Lương:8 Tr - 12 Tr VND</t>
        </is>
      </c>
      <c r="F9392" s="10" t="inlineStr">
        <is>
          <t>Hồ Chí Minh</t>
        </is>
      </c>
      <c r="G9392" s="10" t="inlineStr">
        <is>
          <t>09-04-2026</t>
        </is>
      </c>
      <c r="H9392" s="10" t="inlineStr">
        <is>
          <t>09/04/2026</t>
        </is>
      </c>
      <c r="I9392" s="10" t="inlineStr">
        <is>
          <t>17/03/2026</t>
        </is>
      </c>
      <c r="J9392" s="10" t="inlineStr">
        <is>
          <t>Lao động phổ thông, Vận chuyển / Giao nhận / Kho vận</t>
        </is>
      </c>
      <c r="K9392" s="10" t="inlineStr">
        <is>
          <t>N/A</t>
        </is>
      </c>
      <c r="L9392" s="11">
        <f>HYPERLINK("https://careerviet.vn/vi/tim-viec-lam/nhan-vien-lao-dong-pho-thong.35C6B83D.html","Xem chi tiết")</f>
        <v/>
      </c>
      <c r="M9392" s="10" t="n"/>
    </row>
    <row r="9393">
      <c r="B9393" s="7" t="n">
        <v>9391</v>
      </c>
      <c r="C9393" t="inlineStr">
        <is>
          <t>Accounting Officer</t>
        </is>
      </c>
      <c r="D9393" t="inlineStr">
        <is>
          <t>LOTTE FINANCE VIETNAM</t>
        </is>
      </c>
      <c r="E9393" t="inlineStr">
        <is>
          <t>Lương:Cạnh tranh</t>
        </is>
      </c>
      <c r="F9393" t="inlineStr">
        <is>
          <t>Hà Nội</t>
        </is>
      </c>
      <c r="G9393" t="inlineStr">
        <is>
          <t>17-04-2026</t>
        </is>
      </c>
      <c r="H9393" t="inlineStr">
        <is>
          <t>17/04/2026</t>
        </is>
      </c>
      <c r="I9393" t="inlineStr">
        <is>
          <t>17/03/2026</t>
        </is>
      </c>
      <c r="J9393" t="inlineStr">
        <is>
          <t>Kế toán / Kiểm toán</t>
        </is>
      </c>
      <c r="K9393" t="inlineStr">
        <is>
          <t>Trên 3 Năm</t>
        </is>
      </c>
      <c r="L9393" s="8">
        <f>HYPERLINK("https://careerviet.vn/vi/tim-viec-lam/accounting-officer.35C6BA4D.html","Xem chi tiết")</f>
        <v/>
      </c>
    </row>
    <row r="9394">
      <c r="B9394" s="9" t="n">
        <v>9392</v>
      </c>
      <c r="C9394" s="10" t="inlineStr">
        <is>
          <t>Nhân Viên Bán Hàng  (Làm Việc Tại Cảng Hàng Không Quốc Tế Tân Sơn Nhất)</t>
        </is>
      </c>
      <c r="D9394" s="10" t="inlineStr">
        <is>
          <t>CÔNG TY CỔ PHẦN DỊCH VỤ HÀNG KHÔNG TASECO SÀI GÒN</t>
        </is>
      </c>
      <c r="E9394" s="10" t="inlineStr">
        <is>
          <t>Lương:8 Tr - 10 Tr VND</t>
        </is>
      </c>
      <c r="F9394" s="10" t="inlineStr">
        <is>
          <t>Hồ Chí Minh</t>
        </is>
      </c>
      <c r="G9394" s="10" t="inlineStr">
        <is>
          <t>09-04-2026</t>
        </is>
      </c>
      <c r="H9394" s="10" t="inlineStr">
        <is>
          <t>09/04/2026</t>
        </is>
      </c>
      <c r="I9394" s="10" t="inlineStr">
        <is>
          <t>17/03/2026</t>
        </is>
      </c>
      <c r="J9394" s="10" t="inlineStr">
        <is>
          <t>Bán lẻ / Bán sỉ, Bán hàng / Kinh doanh, Bưu chính viễn thông</t>
        </is>
      </c>
      <c r="K9394" s="10" t="inlineStr">
        <is>
          <t>N/A</t>
        </is>
      </c>
      <c r="L9394" s="11">
        <f>HYPERLINK("https://careerviet.vn/vi/tim-viec-lam/nhan-vien-ban-hang-lam-viec-tai-cang-hang-khong-quoc-te-tan-son-nhat.35C6B73E.html","Xem chi tiết")</f>
        <v/>
      </c>
      <c r="M9394" s="10" t="n"/>
    </row>
    <row r="9395">
      <c r="B9395" s="7" t="n">
        <v>9393</v>
      </c>
      <c r="C9395" t="inlineStr">
        <is>
          <t>Content Marketing (TMĐT)</t>
        </is>
      </c>
      <c r="D9395" t="inlineStr">
        <is>
          <t>Công ty TNHH TOM Group Việt Nam</t>
        </is>
      </c>
      <c r="E9395" t="inlineStr">
        <is>
          <t>Lương:12 Tr - 15 Tr VND</t>
        </is>
      </c>
      <c r="F9395" t="inlineStr">
        <is>
          <t>Hồ Chí Minh</t>
        </is>
      </c>
      <c r="G9395" t="inlineStr">
        <is>
          <t>31-03-2026</t>
        </is>
      </c>
      <c r="H9395" t="inlineStr">
        <is>
          <t>31/03/2026</t>
        </is>
      </c>
      <c r="I9395" t="inlineStr">
        <is>
          <t>17/03/2026</t>
        </is>
      </c>
      <c r="J9395" t="inlineStr">
        <is>
          <t>Tiếp thị / Marketing, Bán hàng / Kinh doanh</t>
        </is>
      </c>
      <c r="K9395" t="inlineStr">
        <is>
          <t>1 - 2 Năm</t>
        </is>
      </c>
      <c r="L9395" s="8">
        <f>HYPERLINK("https://careerviet.vn/vi/tim-viec-lam/content-marketing-tmdt.35C6B7F6.html","Xem chi tiết")</f>
        <v/>
      </c>
    </row>
    <row r="9396">
      <c r="B9396" s="9" t="n">
        <v>9394</v>
      </c>
      <c r="C9396" s="10" t="inlineStr">
        <is>
          <t>[Vĩnh Phúc, Sơn La] Giám Sát Kinh Doanh Bán Hàng Trả Góp</t>
        </is>
      </c>
      <c r="D9396" s="10" t="inlineStr">
        <is>
          <t>Công Ty Tài Chính Mirae Asset (Việt Nam)</t>
        </is>
      </c>
      <c r="E9396" s="10" t="inlineStr">
        <is>
          <t>Lương:Cạnh tranh</t>
        </is>
      </c>
      <c r="F9396" s="10" t="inlineStr">
        <is>
          <t>Vĩnh PhúcKV Bắc Trung BộSơn La</t>
        </is>
      </c>
      <c r="G9396" s="10" t="inlineStr">
        <is>
          <t>08-04-2026</t>
        </is>
      </c>
      <c r="H9396" s="10" t="inlineStr">
        <is>
          <t>08/04/2026</t>
        </is>
      </c>
      <c r="I9396" s="10" t="inlineStr">
        <is>
          <t>17/03/2026</t>
        </is>
      </c>
      <c r="J9396" s="10" t="inlineStr">
        <is>
          <t>Dịch vụ khách hàng, Bán hàng / Kinh doanh, Tài chính / Đầu tư</t>
        </is>
      </c>
      <c r="K9396" s="10" t="inlineStr">
        <is>
          <t>2 - 3 Năm</t>
        </is>
      </c>
      <c r="L9396" s="11">
        <f>HYPERLINK("https://careerviet.vn/vi/tim-viec-lam/vinh-phuc-son-la-giam-sat-kinh-doanh-ban-hang-tra-gop.35C6BA31.html","Xem chi tiết")</f>
        <v/>
      </c>
      <c r="M9396" s="10" t="n"/>
    </row>
    <row r="9397">
      <c r="B9397" s="7" t="n">
        <v>9395</v>
      </c>
      <c r="C9397" t="inlineStr">
        <is>
          <t>Brand Lead (Alpha Works)</t>
        </is>
      </c>
      <c r="D9397" t="inlineStr">
        <is>
          <t>Công Ty TNHH Phúc Giang</t>
        </is>
      </c>
      <c r="E9397" t="inlineStr">
        <is>
          <t>Lương:Cạnh tranh</t>
        </is>
      </c>
      <c r="F9397" t="inlineStr">
        <is>
          <t>Hồ Chí Minh</t>
        </is>
      </c>
      <c r="G9397" t="inlineStr">
        <is>
          <t>30-04-2026</t>
        </is>
      </c>
      <c r="H9397" t="inlineStr">
        <is>
          <t>30/04/2026</t>
        </is>
      </c>
      <c r="I9397" t="inlineStr">
        <is>
          <t>17/03/2026</t>
        </is>
      </c>
      <c r="J9397" t="inlineStr">
        <is>
          <t>Tiếp thị / Marketing, Quảng cáo / Đối ngoại / Truyền Thông</t>
        </is>
      </c>
      <c r="K9397" t="inlineStr">
        <is>
          <t>3 - 5 Năm</t>
        </is>
      </c>
      <c r="L9397" s="8">
        <f>HYPERLINK("https://careerviet.vn/vi/tim-viec-lam/brand-lead-alpha-works.35C6B8A4.html","Xem chi tiết")</f>
        <v/>
      </c>
    </row>
    <row r="9398">
      <c r="B9398" s="9" t="n">
        <v>9396</v>
      </c>
      <c r="C9398" s="10" t="inlineStr">
        <is>
          <t>Nhân viên Kế toán</t>
        </is>
      </c>
      <c r="D9398" s="10" t="inlineStr">
        <is>
          <t>Tổng Công ty Cổ phần Công trình Viettel</t>
        </is>
      </c>
      <c r="E9398" s="10" t="inlineStr">
        <is>
          <t>Lương:Cạnh tranh</t>
        </is>
      </c>
      <c r="F9398" s="10" t="inlineStr">
        <is>
          <t>Hà Nội</t>
        </is>
      </c>
      <c r="G9398" s="10" t="inlineStr">
        <is>
          <t>31-03-2026</t>
        </is>
      </c>
      <c r="H9398" s="10" t="inlineStr">
        <is>
          <t>31/03/2026</t>
        </is>
      </c>
      <c r="I9398" s="10" t="inlineStr">
        <is>
          <t>17/03/2026</t>
        </is>
      </c>
      <c r="J9398" s="10" t="inlineStr">
        <is>
          <t>Kế toán / Kiểm toán, Tài chính / Đầu tư</t>
        </is>
      </c>
      <c r="K9398" s="10" t="inlineStr">
        <is>
          <t>1 - 2 Năm</t>
        </is>
      </c>
      <c r="L9398" s="11">
        <f>HYPERLINK("https://careerviet.vn/vi/tim-viec-lam/nhan-vien-ke-toan.35C6B78F.html","Xem chi tiết")</f>
        <v/>
      </c>
      <c r="M9398" s="10" t="n"/>
    </row>
    <row r="9399">
      <c r="B9399" s="7" t="n">
        <v>9397</v>
      </c>
      <c r="C9399" t="inlineStr">
        <is>
          <t>Trưởng Phòng Hành Chính Nhân Sự</t>
        </is>
      </c>
      <c r="D9399" t="inlineStr">
        <is>
          <t>Cty TNHH Quảng Cáo &amp; Truyền Thông Trí Việt</t>
        </is>
      </c>
      <c r="E9399" t="inlineStr">
        <is>
          <t>Lương:20 Tr - 30 Tr VND</t>
        </is>
      </c>
      <c r="F9399" t="inlineStr">
        <is>
          <t>Hà Nội</t>
        </is>
      </c>
      <c r="G9399" t="inlineStr">
        <is>
          <t>08-04-2026</t>
        </is>
      </c>
      <c r="H9399" t="inlineStr">
        <is>
          <t>08/04/2026</t>
        </is>
      </c>
      <c r="I9399" t="inlineStr">
        <is>
          <t>17/03/2026</t>
        </is>
      </c>
      <c r="J9399" t="inlineStr">
        <is>
          <t>Nhân sự, Hành chính / Thư ký, Quảng cáo / Đối ngoại / Truyền Thông</t>
        </is>
      </c>
      <c r="K9399" t="inlineStr">
        <is>
          <t>Trên 2 Năm</t>
        </is>
      </c>
      <c r="L9399" s="8">
        <f>HYPERLINK("https://careerviet.vn/vi/tim-viec-lam/truong-phong-hanh-chinh-nhan-su.35C6B806.html","Xem chi tiết")</f>
        <v/>
      </c>
    </row>
    <row r="9400">
      <c r="B9400" s="9" t="n">
        <v>9398</v>
      </c>
      <c r="C9400" s="10" t="inlineStr">
        <is>
          <t>Nhân Viên Video Editor</t>
        </is>
      </c>
      <c r="D9400" s="10" t="inlineStr">
        <is>
          <t>Công ty TNHH Quốc Tế Đại Cát Á</t>
        </is>
      </c>
      <c r="E9400" s="10" t="inlineStr">
        <is>
          <t>Lương:Trên 15 Tr VND</t>
        </is>
      </c>
      <c r="F9400" s="10" t="inlineStr">
        <is>
          <t>Hồ Chí Minh</t>
        </is>
      </c>
      <c r="G9400" s="10" t="inlineStr">
        <is>
          <t>09-04-2026</t>
        </is>
      </c>
      <c r="H9400" s="10" t="inlineStr">
        <is>
          <t>09/04/2026</t>
        </is>
      </c>
      <c r="I9400" s="10" t="inlineStr">
        <is>
          <t>17/03/2026</t>
        </is>
      </c>
      <c r="J9400" s="10" t="inlineStr">
        <is>
          <t>Y tế / Chăm sóc sức khỏe / Thẩm mỹ / Làm đẹp, Tiếp thị / Marketing, Quảng cáo / Đối ngoại / Truyền Thông</t>
        </is>
      </c>
      <c r="K9400" s="10" t="inlineStr">
        <is>
          <t>Trên 1 Năm</t>
        </is>
      </c>
      <c r="L9400" s="11">
        <f>HYPERLINK("https://careerviet.vn/vi/tim-viec-lam/nhan-vien-video-editor.35C6B903.html","Xem chi tiết")</f>
        <v/>
      </c>
      <c r="M9400" s="10" t="n"/>
    </row>
    <row r="9401">
      <c r="B9401" s="7" t="n">
        <v>9399</v>
      </c>
      <c r="C9401" t="inlineStr">
        <is>
          <t>Nhân viên CSKH Kênh ChatLive</t>
        </is>
      </c>
      <c r="D9401" t="inlineStr">
        <is>
          <t>Công Ty TNHH Việt Mỹ-SSU</t>
        </is>
      </c>
      <c r="E9401" t="inlineStr">
        <is>
          <t>Lương:7 Tr - 8,5 Tr VND</t>
        </is>
      </c>
      <c r="F9401" t="inlineStr">
        <is>
          <t>Hồ Chí Minh</t>
        </is>
      </c>
      <c r="G9401" t="inlineStr">
        <is>
          <t>15-03-2026</t>
        </is>
      </c>
      <c r="H9401" t="inlineStr">
        <is>
          <t>30/01/2026</t>
        </is>
      </c>
      <c r="I9401" t="inlineStr">
        <is>
          <t>17/03/2026</t>
        </is>
      </c>
      <c r="J9401" t="inlineStr">
        <is>
          <t>Thương mại điện tử, Dịch vụ khách hàng</t>
        </is>
      </c>
      <c r="K9401" t="inlineStr">
        <is>
          <t>N/A</t>
        </is>
      </c>
      <c r="L9401" s="8">
        <f>HYPERLINK("https://careerviet.vn/vi/tim-viec-lam/nhan-vien-cskh-kenh-chatlive.35C650D3.html","Xem chi tiết")</f>
        <v/>
      </c>
    </row>
    <row r="9402">
      <c r="B9402" s="9" t="n">
        <v>9400</v>
      </c>
      <c r="C9402" s="10" t="inlineStr">
        <is>
          <t>[Hà Nội] Chuyên viên thử nghiệm lâm sàng</t>
        </is>
      </c>
      <c r="D9402" s="10" t="inlineStr">
        <is>
          <t>The University of Sydney Vietnam Institute</t>
        </is>
      </c>
      <c r="E9402" s="10" t="inlineStr">
        <is>
          <t>Lương:Cạnh tranh</t>
        </is>
      </c>
      <c r="F9402" s="10" t="inlineStr">
        <is>
          <t>Hà Nội</t>
        </is>
      </c>
      <c r="G9402" s="10" t="inlineStr">
        <is>
          <t>03-04-2026</t>
        </is>
      </c>
      <c r="H9402" s="10" t="inlineStr">
        <is>
          <t>03/04/2026</t>
        </is>
      </c>
      <c r="I9402" s="10" t="inlineStr">
        <is>
          <t>17/03/2026</t>
        </is>
      </c>
      <c r="J9402" s="10" t="inlineStr">
        <is>
          <t>Y tế / Chăm sóc sức khỏe / Thẩm mỹ / Làm đẹp</t>
        </is>
      </c>
      <c r="K9402" s="10" t="inlineStr">
        <is>
          <t>1 - 3 Năm</t>
        </is>
      </c>
      <c r="L9402" s="11">
        <f>HYPERLINK("https://careerviet.vn/vi/tim-viec-lam/ha-noi-chuyen-vien-thu-nghiem-lam-sang.35C6A4F7.html","Xem chi tiết")</f>
        <v/>
      </c>
      <c r="M9402" s="10" t="n"/>
    </row>
    <row r="9403">
      <c r="B9403" s="7" t="n">
        <v>9401</v>
      </c>
      <c r="C9403" t="inlineStr">
        <is>
          <t>Nhân Viên Kế Toán Sản Xuất</t>
        </is>
      </c>
      <c r="D9403" t="inlineStr">
        <is>
          <t>Công ty TNHH Thực Phẩm Sạch Thương Mại T&amp;P</t>
        </is>
      </c>
      <c r="E9403" t="inlineStr">
        <is>
          <t>Lương:8 Tr - 10 Tr VND</t>
        </is>
      </c>
      <c r="F9403" t="inlineStr">
        <is>
          <t>Bắc Ninh</t>
        </is>
      </c>
      <c r="G9403" t="inlineStr">
        <is>
          <t>30-04-2026</t>
        </is>
      </c>
      <c r="H9403" t="inlineStr">
        <is>
          <t>30/04/2026</t>
        </is>
      </c>
      <c r="I9403" t="inlineStr">
        <is>
          <t>17/03/2026</t>
        </is>
      </c>
      <c r="J9403" t="inlineStr">
        <is>
          <t>Kế toán / Kiểm toán</t>
        </is>
      </c>
      <c r="K9403" t="inlineStr">
        <is>
          <t>Chưa có kinh nghiệm</t>
        </is>
      </c>
      <c r="L9403" s="8">
        <f>HYPERLINK("https://careerviet.vn/vi/tim-viec-lam/nhan-vien-ke-toan-san-xuat.35C6B869.html","Xem chi tiết")</f>
        <v/>
      </c>
    </row>
    <row r="9404">
      <c r="B9404" s="9" t="n">
        <v>9402</v>
      </c>
      <c r="C9404" s="10" t="inlineStr">
        <is>
          <t>Chuyên Viên/ Chuyên Viên Cao Cấp Kiểm Soát Tuân Thủ</t>
        </is>
      </c>
      <c r="D9404" s="10" t="inlineStr">
        <is>
          <t>Tổng công ty Cổ phần Bảo hiểm Bưu điện</t>
        </is>
      </c>
      <c r="E9404" s="10" t="inlineStr">
        <is>
          <t>Lương:Cạnh tranh</t>
        </is>
      </c>
      <c r="F9404" s="10" t="inlineStr">
        <is>
          <t>Hà Nội</t>
        </is>
      </c>
      <c r="G9404" s="10" t="inlineStr">
        <is>
          <t>30-04-2026</t>
        </is>
      </c>
      <c r="H9404" s="10" t="inlineStr">
        <is>
          <t>30/04/2026</t>
        </is>
      </c>
      <c r="I9404" s="10" t="inlineStr">
        <is>
          <t>17/03/2026</t>
        </is>
      </c>
      <c r="J9404" s="10" t="inlineStr">
        <is>
          <t>Luật / Pháp lý, Ngân hàng, Bảo hiểm</t>
        </is>
      </c>
      <c r="K9404" s="10" t="inlineStr">
        <is>
          <t>2 - 5 Năm</t>
        </is>
      </c>
      <c r="L9404" s="11">
        <f>HYPERLINK("https://careerviet.vn/vi/tim-viec-lam/chuyen-vien-chuyen-vien-cao-cap-kiem-soat-tuan-thu.35C6B9FF.html","Xem chi tiết")</f>
        <v/>
      </c>
      <c r="M9404" s="10" t="n"/>
    </row>
    <row r="9405">
      <c r="B9405" s="7" t="n">
        <v>9403</v>
      </c>
      <c r="C9405" t="inlineStr">
        <is>
          <t>SENIOR DESIGNER (PERFORMANCE)</t>
        </is>
      </c>
      <c r="D9405" t="inlineStr">
        <is>
          <t>Công ty TNHH TOM Group Việt Nam</t>
        </is>
      </c>
      <c r="E9405" t="inlineStr">
        <is>
          <t>Lương:Cạnh tranh</t>
        </is>
      </c>
      <c r="F9405" t="inlineStr">
        <is>
          <t>Hồ Chí Minh</t>
        </is>
      </c>
      <c r="G9405" t="inlineStr">
        <is>
          <t>23-04-2026</t>
        </is>
      </c>
      <c r="H9405" t="inlineStr">
        <is>
          <t>23/04/2026</t>
        </is>
      </c>
      <c r="I9405" t="inlineStr">
        <is>
          <t>17/03/2026</t>
        </is>
      </c>
      <c r="J9405" t="inlineStr">
        <is>
          <t>Tiếp thị / Marketing, Bán hàng / Kinh doanh</t>
        </is>
      </c>
      <c r="K9405" t="inlineStr">
        <is>
          <t>3 - 5 Năm</t>
        </is>
      </c>
      <c r="L9405" s="8">
        <f>HYPERLINK("https://careerviet.vn/vi/tim-viec-lam/senior-designer-performance.35C6A3ED.html","Xem chi tiết")</f>
        <v/>
      </c>
    </row>
    <row r="9406">
      <c r="B9406" s="9" t="n">
        <v>9404</v>
      </c>
      <c r="C9406" s="10" t="inlineStr">
        <is>
          <t>GGEC - TUYỂN DỤNG TPM NHẬN VIỆC NGAY</t>
        </is>
      </c>
      <c r="D9406" s="10" t="inlineStr">
        <is>
          <t>CÔNG TY TNHH ĐIỆN KHÍ QUỐC QUANG (VIỆT NAM)</t>
        </is>
      </c>
      <c r="E9406" s="10" t="inlineStr">
        <is>
          <t>Lương:Cạnh tranh</t>
        </is>
      </c>
      <c r="F9406" s="10" t="inlineStr">
        <is>
          <t>Đà NẵngQuảng Nam</t>
        </is>
      </c>
      <c r="G9406" s="10" t="inlineStr">
        <is>
          <t>30-04-2026</t>
        </is>
      </c>
      <c r="H9406" s="10" t="inlineStr">
        <is>
          <t>30/04/2026</t>
        </is>
      </c>
      <c r="I9406" s="10" t="inlineStr">
        <is>
          <t>17/03/2026</t>
        </is>
      </c>
      <c r="J9406" s="10" t="inlineStr">
        <is>
          <t>Điện / Điện tử / Điện lạnh / Điện công nghiệp, Sản xuất / Vận hành sản xuất</t>
        </is>
      </c>
      <c r="K9406" s="10" t="inlineStr">
        <is>
          <t>1 - 3 Năm</t>
        </is>
      </c>
      <c r="L9406" s="11">
        <f>HYPERLINK("https://careerviet.vn/vi/tim-viec-lam/ggec-tuyen-dung-tpm-nhan-viec-ngay.35C6A4FF.html","Xem chi tiết")</f>
        <v/>
      </c>
      <c r="M9406" s="10" t="n"/>
    </row>
    <row r="9407">
      <c r="B9407" s="7" t="n">
        <v>9405</v>
      </c>
      <c r="C9407" t="inlineStr">
        <is>
          <t>Nhân Viên Chăm Sóc Khách Hàng Chat Shopee Part-Time</t>
        </is>
      </c>
      <c r="D9407" t="inlineStr">
        <is>
          <t>Công Ty TNHH Việt Mỹ-SSU</t>
        </is>
      </c>
      <c r="E9407" t="inlineStr">
        <is>
          <t>Lương:5 Tr - 7 Tr VND</t>
        </is>
      </c>
      <c r="F9407" t="inlineStr">
        <is>
          <t>Hồ Chí Minh</t>
        </is>
      </c>
      <c r="G9407" t="inlineStr">
        <is>
          <t>11-04-2026</t>
        </is>
      </c>
      <c r="H9407" t="inlineStr">
        <is>
          <t>11/04/2026</t>
        </is>
      </c>
      <c r="I9407" t="inlineStr">
        <is>
          <t>17/03/2026</t>
        </is>
      </c>
      <c r="J9407" t="inlineStr">
        <is>
          <t>Thương mại điện tử</t>
        </is>
      </c>
      <c r="K9407" t="inlineStr">
        <is>
          <t>Chưa có kinh nghiệm</t>
        </is>
      </c>
      <c r="L9407" s="8">
        <f>HYPERLINK("https://careerviet.vn/vi/tim-viec-lam/nhan-vien-cham-soc-khach-hang-chat-shopee-part-time.35C6A5B1.html","Xem chi tiết")</f>
        <v/>
      </c>
    </row>
    <row r="9408">
      <c r="B9408" s="9" t="n">
        <v>9406</v>
      </c>
      <c r="C9408" s="10" t="inlineStr">
        <is>
          <t>Embedded Linux Engineer</t>
        </is>
      </c>
      <c r="D9408" s="10" t="inlineStr">
        <is>
          <t>TECOTEC Technology</t>
        </is>
      </c>
      <c r="E9408" s="10" t="inlineStr">
        <is>
          <t>Lương:Trên 12 Tr VND</t>
        </is>
      </c>
      <c r="F9408" s="10" t="inlineStr">
        <is>
          <t>Hà Nội</t>
        </is>
      </c>
      <c r="G9408" s="10" t="inlineStr">
        <is>
          <t>31-03-2026</t>
        </is>
      </c>
      <c r="H9408" s="10" t="inlineStr">
        <is>
          <t>31/03/2026</t>
        </is>
      </c>
      <c r="I9408" s="10" t="inlineStr">
        <is>
          <t>17/03/2026</t>
        </is>
      </c>
      <c r="J9408" s="10" t="inlineStr">
        <is>
          <t>CNTT - Phần mềm, CNTT - Phần cứng / Mạng, Điện / Điện tử / Điện lạnh / Điện công nghiệp</t>
        </is>
      </c>
      <c r="K9408" s="10" t="inlineStr">
        <is>
          <t>1 - 2 Năm</t>
        </is>
      </c>
      <c r="L9408" s="11">
        <f>HYPERLINK("https://careerviet.vn/vi/tim-viec-lam/embedded-linux-engineer.35C6A50D.html","Xem chi tiết")</f>
        <v/>
      </c>
      <c r="M9408" s="10" t="n"/>
    </row>
    <row r="9409">
      <c r="B9409" s="7" t="n">
        <v>9407</v>
      </c>
      <c r="C9409" t="inlineStr">
        <is>
          <t>Chuyên viên cao cấp Quản lý tài sản có tài sản nợ (ALM)</t>
        </is>
      </c>
      <c r="D9409" t="inlineStr">
        <is>
          <t>Ngân hàng TMCP Phát triển TP.HCM (HDBank)</t>
        </is>
      </c>
      <c r="E9409" t="inlineStr">
        <is>
          <t>Lương:20 Tr - 25 Tr VND</t>
        </is>
      </c>
      <c r="F9409" t="inlineStr">
        <is>
          <t>Hồ Chí Minh</t>
        </is>
      </c>
      <c r="G9409" t="inlineStr">
        <is>
          <t>29-05-2026</t>
        </is>
      </c>
      <c r="H9409" t="inlineStr">
        <is>
          <t>29/05/2026</t>
        </is>
      </c>
      <c r="I9409" t="inlineStr">
        <is>
          <t>17/03/2026</t>
        </is>
      </c>
      <c r="J9409" t="inlineStr">
        <is>
          <t>Ngân hàng, Tài chính / Đầu tư</t>
        </is>
      </c>
      <c r="K9409" t="inlineStr">
        <is>
          <t>2 - 4 Năm</t>
        </is>
      </c>
      <c r="L9409" s="8">
        <f>HYPERLINK("https://careerviet.vn/vi/tim-viec-lam/chuyen-vien-cao-cap-quan-ly-tai-san-co-tai-san-no-alm.35C6A2DB.html","Xem chi tiết")</f>
        <v/>
      </c>
    </row>
    <row r="9410">
      <c r="B9410" s="9" t="n">
        <v>9408</v>
      </c>
      <c r="C9410" s="10" t="inlineStr">
        <is>
          <t>Giám đốc điều hành</t>
        </is>
      </c>
      <c r="D9410" s="10" t="inlineStr">
        <is>
          <t>Công Ty CP XNK Hóa Chất &amp; Thiết Bị Kim Ngưu</t>
        </is>
      </c>
      <c r="E9410" s="10" t="inlineStr">
        <is>
          <t>Lương:Cạnh tranh</t>
        </is>
      </c>
      <c r="F9410" s="10" t="inlineStr">
        <is>
          <t>Cần Thơ</t>
        </is>
      </c>
      <c r="G9410" s="10" t="inlineStr">
        <is>
          <t>01-04-2026</t>
        </is>
      </c>
      <c r="H9410" s="10" t="inlineStr">
        <is>
          <t>01/04/2026</t>
        </is>
      </c>
      <c r="I9410" s="10" t="inlineStr">
        <is>
          <t>17/03/2026</t>
        </is>
      </c>
      <c r="J9410" s="10" t="inlineStr">
        <is>
          <t>Hóa học, Công nghệ sinh học</t>
        </is>
      </c>
      <c r="K9410" s="10" t="inlineStr">
        <is>
          <t>5 - 10 Năm</t>
        </is>
      </c>
      <c r="L9410" s="11">
        <f>HYPERLINK("https://careerviet.vn/vi/tim-viec-lam/giam-doc-dieu-hanh.35C6A2A4.html","Xem chi tiết")</f>
        <v/>
      </c>
      <c r="M9410" s="10" t="n"/>
    </row>
    <row r="9411">
      <c r="B9411" s="7" t="n">
        <v>9409</v>
      </c>
      <c r="C9411" t="inlineStr">
        <is>
          <t>Kỹ Sư Triển Khai Shop Drawing Kết Cấu Thép</t>
        </is>
      </c>
      <c r="D9411" t="inlineStr">
        <is>
          <t>CÔNG TY TRÁCH NHIỆM HỮU HẠN THÉP QSB</t>
        </is>
      </c>
      <c r="E9411" t="inlineStr">
        <is>
          <t>Lương:Cạnh tranh</t>
        </is>
      </c>
      <c r="F9411" t="inlineStr">
        <is>
          <t>Hồ Chí Minh</t>
        </is>
      </c>
      <c r="G9411" t="inlineStr">
        <is>
          <t>31-03-2026</t>
        </is>
      </c>
      <c r="H9411" t="inlineStr">
        <is>
          <t>31/03/2026</t>
        </is>
      </c>
      <c r="I9411" t="inlineStr">
        <is>
          <t>17/03/2026</t>
        </is>
      </c>
      <c r="J9411" t="inlineStr">
        <is>
          <t>Cơ khí / Ô tô / Tự động hóa, Xây dựng</t>
        </is>
      </c>
      <c r="K9411" t="inlineStr">
        <is>
          <t>3 - 5 Năm</t>
        </is>
      </c>
      <c r="L9411" s="8">
        <f>HYPERLINK("https://careerviet.vn/vi/tim-viec-lam/ky-su-trien-khai-shop-drawing-ket-cau-thep.35C6A5E5.html","Xem chi tiết")</f>
        <v/>
      </c>
    </row>
    <row r="9412">
      <c r="B9412" s="9" t="n">
        <v>9410</v>
      </c>
      <c r="C9412" s="10" t="inlineStr">
        <is>
          <t>Nhân Viên Kỹ Thuật Cơ Khí Và Điện</t>
        </is>
      </c>
      <c r="D9412" s="10" t="inlineStr">
        <is>
          <t>Công Ty Cổ Phần Tư Vấn Xây Dựng Năng Lượng Và Môi Trường VN</t>
        </is>
      </c>
      <c r="E9412" s="10" t="inlineStr">
        <is>
          <t>Lương:12 Tr - 20 Tr VND</t>
        </is>
      </c>
      <c r="F9412" s="10" t="inlineStr">
        <is>
          <t>Hồ Chí Minh</t>
        </is>
      </c>
      <c r="G9412" s="10" t="inlineStr">
        <is>
          <t>02-04-2026</t>
        </is>
      </c>
      <c r="H9412" s="10" t="inlineStr">
        <is>
          <t>02/04/2026</t>
        </is>
      </c>
      <c r="I9412" s="10" t="inlineStr">
        <is>
          <t>17/03/2026</t>
        </is>
      </c>
      <c r="J9412" s="10" t="inlineStr">
        <is>
          <t>Cơ khí / Ô tô / Tự động hóa, Điện / Điện tử / Điện lạnh / Điện công nghiệp, Bảo trì / Sửa chữa</t>
        </is>
      </c>
      <c r="K9412" s="10" t="inlineStr">
        <is>
          <t>1 - 2 Năm</t>
        </is>
      </c>
      <c r="L9412" s="11">
        <f>HYPERLINK("https://careerviet.vn/vi/tim-viec-lam/nhan-vien-ky-thuat-co-khi-va-dien.35C6A697.html","Xem chi tiết")</f>
        <v/>
      </c>
      <c r="M9412" s="10" t="n"/>
    </row>
    <row r="9413">
      <c r="B9413" s="7" t="n">
        <v>9411</v>
      </c>
      <c r="C9413" t="inlineStr">
        <is>
          <t>(HCM - Củ Chi) Nhân Viên Kinh Doanh Ván Gỗ/Nội Thất Gỗ</t>
        </is>
      </c>
      <c r="D9413" t="inlineStr">
        <is>
          <t>Công Ty TNHH Tập Đoàn Rita Võ</t>
        </is>
      </c>
      <c r="E9413" t="inlineStr">
        <is>
          <t>Lương:12 Tr - 16 Tr VND</t>
        </is>
      </c>
      <c r="F9413" t="inlineStr">
        <is>
          <t>Hồ Chí Minh</t>
        </is>
      </c>
      <c r="G9413" t="inlineStr">
        <is>
          <t>02-04-2026</t>
        </is>
      </c>
      <c r="H9413" t="inlineStr">
        <is>
          <t>02/04/2026</t>
        </is>
      </c>
      <c r="I9413" t="inlineStr">
        <is>
          <t>17/03/2026</t>
        </is>
      </c>
      <c r="J9413" t="inlineStr">
        <is>
          <t>Bán lẻ / Bán sỉ, Bán hàng / Kinh doanh</t>
        </is>
      </c>
      <c r="K9413" t="inlineStr">
        <is>
          <t>1 - 2 Năm</t>
        </is>
      </c>
      <c r="L9413" s="8">
        <f>HYPERLINK("https://careerviet.vn/vi/tim-viec-lam/hcm-cu-chi-nhan-vien-kinh-doanh-van-go-noi-that-go.35C6A4A7.html","Xem chi tiết")</f>
        <v/>
      </c>
    </row>
    <row r="9414">
      <c r="B9414" s="9" t="n">
        <v>9412</v>
      </c>
      <c r="C9414" s="10" t="inlineStr">
        <is>
          <t>Thư ký</t>
        </is>
      </c>
      <c r="D9414" s="10" t="inlineStr">
        <is>
          <t>Công Ty Cổ Phần Công Nghệ Mạng Viễn Thông C-LINK</t>
        </is>
      </c>
      <c r="E9414" s="10" t="inlineStr">
        <is>
          <t>Lương:Trên 10 Tr VND</t>
        </is>
      </c>
      <c r="F9414" s="10" t="inlineStr">
        <is>
          <t>Hà Nội</t>
        </is>
      </c>
      <c r="G9414" s="10" t="inlineStr">
        <is>
          <t>31-03-2026</t>
        </is>
      </c>
      <c r="H9414" s="10" t="inlineStr">
        <is>
          <t>31/03/2026</t>
        </is>
      </c>
      <c r="I9414" s="10" t="inlineStr">
        <is>
          <t>17/03/2026</t>
        </is>
      </c>
      <c r="J9414" s="10" t="inlineStr">
        <is>
          <t>Hành chính / Thư ký</t>
        </is>
      </c>
      <c r="K9414" s="10" t="inlineStr">
        <is>
          <t>Chưa có kinh nghiệm</t>
        </is>
      </c>
      <c r="L9414" s="11">
        <f>HYPERLINK("https://careerviet.vn/vi/tim-viec-lam/thu-ky.35C6A639.html","Xem chi tiết")</f>
        <v/>
      </c>
      <c r="M9414" s="10" t="n"/>
    </row>
    <row r="9415">
      <c r="B9415" s="7" t="n">
        <v>9413</v>
      </c>
      <c r="C9415" t="inlineStr">
        <is>
          <t>Nhân viên Trực Tổng Đài Viettel Post tại Hoài Đức</t>
        </is>
      </c>
      <c r="D9415" t="inlineStr">
        <is>
          <t>CÔNG TY CỔ PHẦN TRUYỀN THÔNG KIM CƯƠNG</t>
        </is>
      </c>
      <c r="E9415" t="inlineStr">
        <is>
          <t>Lương:7 Tr - 10 Tr VND</t>
        </is>
      </c>
      <c r="F9415" t="inlineStr">
        <is>
          <t>Hà Nội</t>
        </is>
      </c>
      <c r="G9415" t="inlineStr">
        <is>
          <t>31-03-2026</t>
        </is>
      </c>
      <c r="H9415" t="inlineStr">
        <is>
          <t>31/03/2026</t>
        </is>
      </c>
      <c r="I9415" t="inlineStr">
        <is>
          <t>17/03/2026</t>
        </is>
      </c>
      <c r="J9415" t="inlineStr">
        <is>
          <t>Tư vấn, Dịch vụ khách hàng, Lao động phổ thông</t>
        </is>
      </c>
      <c r="K9415" t="inlineStr">
        <is>
          <t>N/A</t>
        </is>
      </c>
      <c r="L9415" s="8">
        <f>HYPERLINK("https://careerviet.vn/vi/tim-viec-lam/nhan-vien-truc-tong-dai-viettel-post-tai-hoai-duc.35C6A529.html","Xem chi tiết")</f>
        <v/>
      </c>
    </row>
    <row r="9416">
      <c r="B9416" s="9" t="n">
        <v>9414</v>
      </c>
      <c r="C9416" s="10" t="inlineStr">
        <is>
          <t>KỸ SƯ QUẢN LÝ DƯ ÁN (OPM)</t>
        </is>
      </c>
      <c r="D9416" s="10" t="inlineStr">
        <is>
          <t>CÔNG TY TNHH ĐIỆN KHÍ QUỐC QUANG (VIỆT NAM)</t>
        </is>
      </c>
      <c r="E9416" s="10" t="inlineStr">
        <is>
          <t>Lương:Cạnh tranh</t>
        </is>
      </c>
      <c r="F9416" s="10" t="inlineStr">
        <is>
          <t>Quảng NamĐà Nẵng</t>
        </is>
      </c>
      <c r="G9416" s="10" t="inlineStr">
        <is>
          <t>31-03-2026</t>
        </is>
      </c>
      <c r="H9416" s="10" t="inlineStr">
        <is>
          <t>31/03/2026</t>
        </is>
      </c>
      <c r="I9416" s="10" t="inlineStr">
        <is>
          <t>17/03/2026</t>
        </is>
      </c>
      <c r="J9416" s="10" t="inlineStr">
        <is>
          <t>Sản xuất / Vận hành sản xuất</t>
        </is>
      </c>
      <c r="K9416" s="10" t="inlineStr">
        <is>
          <t>1 - 3 Năm</t>
        </is>
      </c>
      <c r="L9416" s="11">
        <f>HYPERLINK("https://careerviet.vn/vi/tim-viec-lam/ky-su-quan-ly-du-an-opm.35C6A507.html","Xem chi tiết")</f>
        <v/>
      </c>
      <c r="M9416" s="10" t="n"/>
    </row>
    <row r="9417">
      <c r="B9417" s="7" t="n">
        <v>9415</v>
      </c>
      <c r="C9417" t="inlineStr">
        <is>
          <t>Chuyên viên Điều phối Đào tạo</t>
        </is>
      </c>
      <c r="D9417" t="inlineStr">
        <is>
          <t>HD SAISON Finance Co., Ltd</t>
        </is>
      </c>
      <c r="E9417" t="inlineStr">
        <is>
          <t>Lương:Cạnh tranh</t>
        </is>
      </c>
      <c r="F9417" t="inlineStr">
        <is>
          <t>Hồ Chí Minh</t>
        </is>
      </c>
      <c r="G9417" t="inlineStr">
        <is>
          <t>31-03-2026</t>
        </is>
      </c>
      <c r="H9417" t="inlineStr">
        <is>
          <t>31/03/2026</t>
        </is>
      </c>
      <c r="I9417" t="inlineStr">
        <is>
          <t>17/03/2026</t>
        </is>
      </c>
      <c r="J9417" t="inlineStr">
        <is>
          <t>Giáo dục / Đào tạo, Nhân sự, Tài chính / Đầu tư</t>
        </is>
      </c>
      <c r="K9417" t="inlineStr">
        <is>
          <t>1 - 2 Năm</t>
        </is>
      </c>
      <c r="L9417" s="8">
        <f>HYPERLINK("https://careerviet.vn/vi/tim-viec-lam/chuyen-vien-dieu-phoi-dao-tao.35C6A66D.html","Xem chi tiết")</f>
        <v/>
      </c>
    </row>
    <row r="9418">
      <c r="B9418" s="9" t="n">
        <v>9416</v>
      </c>
      <c r="C9418" s="10" t="inlineStr">
        <is>
          <t>QA Manager</t>
        </is>
      </c>
      <c r="D9418" s="10" t="inlineStr">
        <is>
          <t>Công ty TNHH Charming Trim &amp; Packaging (VN)</t>
        </is>
      </c>
      <c r="E9418" s="10" t="inlineStr">
        <is>
          <t>Lương:Cạnh tranh</t>
        </is>
      </c>
      <c r="F9418" s="10" t="inlineStr">
        <is>
          <t>Hồ Chí Minh</t>
        </is>
      </c>
      <c r="G9418" s="10" t="inlineStr">
        <is>
          <t>02-04-2026</t>
        </is>
      </c>
      <c r="H9418" s="10" t="inlineStr">
        <is>
          <t>02/04/2026</t>
        </is>
      </c>
      <c r="I9418" s="10" t="inlineStr">
        <is>
          <t>17/03/2026</t>
        </is>
      </c>
      <c r="J9418" s="10" t="inlineStr">
        <is>
          <t>Quản lý chất lượng (QA/QC), In ấn / Xuất bản, Sản xuất / Vận hành sản xuất</t>
        </is>
      </c>
      <c r="K9418" s="10" t="inlineStr">
        <is>
          <t>3 - 5 Năm</t>
        </is>
      </c>
      <c r="L9418" s="11">
        <f>HYPERLINK("https://careerviet.vn/vi/tim-viec-lam/qa-manager.35C6A41A.html","Xem chi tiết")</f>
        <v/>
      </c>
      <c r="M9418" s="10" t="n"/>
    </row>
    <row r="9419">
      <c r="B9419" s="7" t="n">
        <v>9417</v>
      </c>
      <c r="C9419" t="inlineStr">
        <is>
          <t>NHÂN VIÊN HSE</t>
        </is>
      </c>
      <c r="D9419" t="inlineStr">
        <is>
          <t>Công Ty Cổ Phần Tập Đoàn Đèo Cả</t>
        </is>
      </c>
      <c r="E9419" t="inlineStr">
        <is>
          <t>Lương:16 Tr - 23 Tr VND</t>
        </is>
      </c>
      <c r="F9419" t="inlineStr">
        <is>
          <t>Tiền GiangTrà Vinh</t>
        </is>
      </c>
      <c r="G9419" t="inlineStr">
        <is>
          <t>09-04-2026</t>
        </is>
      </c>
      <c r="H9419" t="inlineStr">
        <is>
          <t>09/04/2026</t>
        </is>
      </c>
      <c r="I9419" t="inlineStr">
        <is>
          <t>17/03/2026</t>
        </is>
      </c>
      <c r="J9419" t="inlineStr">
        <is>
          <t>Môi trường, An toàn lao động, Xây dựng</t>
        </is>
      </c>
      <c r="K9419" t="inlineStr">
        <is>
          <t>Trên 2 Năm</t>
        </is>
      </c>
      <c r="L9419" s="8">
        <f>HYPERLINK("https://careerviet.vn/vi/tim-viec-lam/nhan-vien-hse.35C6A58C.html","Xem chi tiết")</f>
        <v/>
      </c>
    </row>
    <row r="9420">
      <c r="B9420" s="9" t="n">
        <v>9418</v>
      </c>
      <c r="C9420" s="10" t="inlineStr">
        <is>
          <t>Chuyên viên Kỹ thuật (Bảo trì, sửa chữa máy &amp; phụ kiện cao cấp)</t>
        </is>
      </c>
      <c r="D9420" s="10" t="inlineStr">
        <is>
          <t>Công Ty Avanti - Group</t>
        </is>
      </c>
      <c r="E9420" s="10" t="inlineStr">
        <is>
          <t>Lương:Cạnh tranh</t>
        </is>
      </c>
      <c r="F9420" s="10" t="inlineStr">
        <is>
          <t>Hồ Chí Minh</t>
        </is>
      </c>
      <c r="G9420" s="10" t="inlineStr">
        <is>
          <t>31-03-2026</t>
        </is>
      </c>
      <c r="H9420" s="10" t="inlineStr">
        <is>
          <t>31/03/2026</t>
        </is>
      </c>
      <c r="I9420" s="10" t="inlineStr">
        <is>
          <t>17/03/2026</t>
        </is>
      </c>
      <c r="J9420" s="10" t="inlineStr">
        <is>
          <t>Bán Hàng Kỹ Thuật, Bảo trì / Sửa chữa, Ngành khác</t>
        </is>
      </c>
      <c r="K9420" s="10" t="inlineStr">
        <is>
          <t>3 - 5 Năm</t>
        </is>
      </c>
      <c r="L9420" s="11">
        <f>HYPERLINK("https://careerviet.vn/vi/tim-viec-lam/chuyen-vien-ky-thuat-bao-tri-sua-chua-may-phu-kien-cao-cap.35C6A6ED.html","Xem chi tiết")</f>
        <v/>
      </c>
      <c r="M9420" s="10" t="n"/>
    </row>
    <row r="9421">
      <c r="B9421" s="7" t="n">
        <v>9419</v>
      </c>
      <c r="C9421" t="inlineStr">
        <is>
          <t>Chuyên Viên Giải Phóng Mặt Bằng - Ban QLDA</t>
        </is>
      </c>
      <c r="D9421" t="inlineStr">
        <is>
          <t>Tập đoàn An Lạc – Anlac Group</t>
        </is>
      </c>
      <c r="E9421" t="inlineStr">
        <is>
          <t>Lương:18 Tr - 25 Tr VND</t>
        </is>
      </c>
      <c r="F9421" t="inlineStr">
        <is>
          <t>Hà Nội</t>
        </is>
      </c>
      <c r="G9421" t="inlineStr">
        <is>
          <t>15-04-2026</t>
        </is>
      </c>
      <c r="H9421" t="inlineStr">
        <is>
          <t>15/04/2026</t>
        </is>
      </c>
      <c r="I9421" t="inlineStr">
        <is>
          <t>17/03/2026</t>
        </is>
      </c>
      <c r="J9421" t="inlineStr">
        <is>
          <t>Trắc địa / Địa Chất, Xây dựng, Bất động sản</t>
        </is>
      </c>
      <c r="K9421" t="inlineStr">
        <is>
          <t>4 - 7 Năm</t>
        </is>
      </c>
      <c r="L9421" s="8">
        <f>HYPERLINK("https://careerviet.vn/vi/tim-viec-lam/chuyen-vien-giai-phong-mat-bang-ban-qlda.35C6A38F.html","Xem chi tiết")</f>
        <v/>
      </c>
    </row>
    <row r="9422">
      <c r="B9422" s="9" t="n">
        <v>9420</v>
      </c>
      <c r="C9422" s="10" t="inlineStr">
        <is>
          <t>Nhân viên tư vấn bán hàng - Aeon Mall Hải Phòng</t>
        </is>
      </c>
      <c r="D9422" s="10" t="inlineStr">
        <is>
          <t>CÔNG TY CỔ PHẦN TẬP ĐOÀN GIOVANNI VIỆT NAM</t>
        </is>
      </c>
      <c r="E9422" s="10" t="inlineStr">
        <is>
          <t>Lương:8 Tr - 15 Tr VND</t>
        </is>
      </c>
      <c r="F9422" s="10" t="inlineStr">
        <is>
          <t>Hải Phòng</t>
        </is>
      </c>
      <c r="G9422" s="10" t="inlineStr">
        <is>
          <t>01-04-2026</t>
        </is>
      </c>
      <c r="H9422" s="10" t="inlineStr">
        <is>
          <t>01/04/2026</t>
        </is>
      </c>
      <c r="I9422" s="10" t="inlineStr">
        <is>
          <t>17/03/2026</t>
        </is>
      </c>
      <c r="J9422" s="10" t="inlineStr">
        <is>
          <t>Bán lẻ / Bán sỉ, Bán hàng / Kinh doanh, Tư vấn</t>
        </is>
      </c>
      <c r="K9422" s="10" t="inlineStr">
        <is>
          <t>N/A</t>
        </is>
      </c>
      <c r="L9422" s="11">
        <f>HYPERLINK("https://careerviet.vn/vi/tim-viec-lam/nhan-vien-tu-van-ban-hang-aeon-mall-hai-phong.35C6A30A.html","Xem chi tiết")</f>
        <v/>
      </c>
      <c r="M9422" s="10" t="n"/>
    </row>
    <row r="9423">
      <c r="B9423" s="7" t="n">
        <v>9421</v>
      </c>
      <c r="C9423" t="inlineStr">
        <is>
          <t>Chỉ huy trưởng công trình</t>
        </is>
      </c>
      <c r="D9423" t="inlineStr">
        <is>
          <t>Công ty TNHH Xây Dựng Lê Thy</t>
        </is>
      </c>
      <c r="E9423" t="inlineStr">
        <is>
          <t>Lương:35 Tr - 40 Tr VND</t>
        </is>
      </c>
      <c r="F9423" t="inlineStr">
        <is>
          <t>Hồ Chí MinhBến Tre</t>
        </is>
      </c>
      <c r="G9423" t="inlineStr">
        <is>
          <t>31-03-2026</t>
        </is>
      </c>
      <c r="H9423" t="inlineStr">
        <is>
          <t>31/03/2026</t>
        </is>
      </c>
      <c r="I9423" t="inlineStr">
        <is>
          <t>17/03/2026</t>
        </is>
      </c>
      <c r="J9423" t="inlineStr">
        <is>
          <t>Xây dựng, Kiến trúc</t>
        </is>
      </c>
      <c r="K9423" t="inlineStr">
        <is>
          <t>3 - 5 Năm</t>
        </is>
      </c>
      <c r="L9423" s="8">
        <f>HYPERLINK("https://careerviet.vn/vi/tim-viec-lam/chi-huy-truong-cong-trinh.35C6A4D2.html","Xem chi tiết")</f>
        <v/>
      </c>
    </row>
    <row r="9424">
      <c r="B9424" s="9" t="n">
        <v>9422</v>
      </c>
      <c r="C9424" s="10" t="inlineStr">
        <is>
          <t>Chuyên viên Quan hệ Khách hàng Doanh nghiệp (Toàn quốc)</t>
        </is>
      </c>
      <c r="D9424" s="10" t="inlineStr">
        <is>
          <t>Ngân Hàng TMCP Sài Gòn - Hà Nội ( SHB )</t>
        </is>
      </c>
      <c r="E9424" s="10" t="inlineStr">
        <is>
          <t>Lương:Cạnh tranh</t>
        </is>
      </c>
      <c r="F9424" s="10" t="inlineStr">
        <is>
          <t>Hải DươngThái BìnhNam Định</t>
        </is>
      </c>
      <c r="G9424" s="10" t="inlineStr">
        <is>
          <t>01-04-2026</t>
        </is>
      </c>
      <c r="H9424" s="10" t="inlineStr">
        <is>
          <t>01/04/2026</t>
        </is>
      </c>
      <c r="I9424" s="10" t="inlineStr">
        <is>
          <t>17/03/2026</t>
        </is>
      </c>
      <c r="J9424" s="10" t="inlineStr">
        <is>
          <t>Ngân hàng, Bán hàng / Kinh doanh</t>
        </is>
      </c>
      <c r="K9424" s="10" t="inlineStr">
        <is>
          <t>Chưa có kinh nghiệm</t>
        </is>
      </c>
      <c r="L9424" s="11">
        <f>HYPERLINK("https://careerviet.vn/vi/tim-viec-lam/chuyen-vien-quan-he-khach-hang-doanh-nghiep-toan-quoc.35C6A361.html","Xem chi tiết")</f>
        <v/>
      </c>
      <c r="M9424" s="10" t="n"/>
    </row>
    <row r="9425">
      <c r="B9425" s="7" t="n">
        <v>9423</v>
      </c>
      <c r="C9425" t="inlineStr">
        <is>
          <t>Chuyên viên Cao cấp Tuân thủ</t>
        </is>
      </c>
      <c r="D9425" t="inlineStr">
        <is>
          <t>Công ty Cổ phần CANIFA</t>
        </is>
      </c>
      <c r="E9425" t="inlineStr">
        <is>
          <t>Lương:25 Tr - 35 Tr VND</t>
        </is>
      </c>
      <c r="F9425" t="inlineStr">
        <is>
          <t>Hà Nội</t>
        </is>
      </c>
      <c r="G9425" t="inlineStr">
        <is>
          <t>31-03-2026</t>
        </is>
      </c>
      <c r="H9425" t="inlineStr">
        <is>
          <t>31/03/2026</t>
        </is>
      </c>
      <c r="I9425" t="inlineStr">
        <is>
          <t>17/03/2026</t>
        </is>
      </c>
      <c r="J9425" t="inlineStr">
        <is>
          <t>Luật / Pháp lý, Tài chính / Đầu tư</t>
        </is>
      </c>
      <c r="K9425" t="inlineStr">
        <is>
          <t>5 - 10 Năm</t>
        </is>
      </c>
      <c r="L9425" s="8">
        <f>HYPERLINK("https://careerviet.vn/vi/tim-viec-lam/chuyen-vien-cao-cap-tuan-thu.35C6A611.html","Xem chi tiết")</f>
        <v/>
      </c>
    </row>
    <row r="9426">
      <c r="B9426" s="9" t="n">
        <v>9424</v>
      </c>
      <c r="C9426" s="10" t="inlineStr">
        <is>
          <t>Nhân viên chăm sóc khách hàng Ca đêm _ Dự án TMĐT</t>
        </is>
      </c>
      <c r="D9426" s="10" t="inlineStr">
        <is>
          <t>Công Ty TNHH Việt Mỹ-SSU</t>
        </is>
      </c>
      <c r="E9426" s="10" t="inlineStr">
        <is>
          <t>Lương:9 Tr - 11 Tr VND</t>
        </is>
      </c>
      <c r="F9426" s="10" t="inlineStr">
        <is>
          <t>Hồ Chí Minh</t>
        </is>
      </c>
      <c r="G9426" s="10" t="inlineStr">
        <is>
          <t>30-03-2026</t>
        </is>
      </c>
      <c r="H9426" s="10" t="inlineStr">
        <is>
          <t>30/03/2026</t>
        </is>
      </c>
      <c r="I9426" s="10" t="inlineStr">
        <is>
          <t>17/03/2026</t>
        </is>
      </c>
      <c r="J9426" s="10" t="inlineStr">
        <is>
          <t>Dịch vụ khách hàng</t>
        </is>
      </c>
      <c r="K9426" s="10" t="inlineStr">
        <is>
          <t>Chưa có kinh nghiệm</t>
        </is>
      </c>
      <c r="L9426" s="11">
        <f>HYPERLINK("https://careerviet.vn/vi/tim-viec-lam/nhan-vien-cham-soc-khach-hang-ca-dem-_-du-an-tmdt.35C6A655.html","Xem chi tiết")</f>
        <v/>
      </c>
      <c r="M9426" s="10" t="n"/>
    </row>
    <row r="9427">
      <c r="B9427" s="7" t="n">
        <v>9425</v>
      </c>
      <c r="C9427" t="inlineStr">
        <is>
          <t>Thực Tập Sinh Quản Lý Thi Công cầu đường</t>
        </is>
      </c>
      <c r="D9427" t="inlineStr">
        <is>
          <t>Công Ty Cổ Phần Thương Mại Tư Vấn Và Xây Dựng Vĩnh Hưng</t>
        </is>
      </c>
      <c r="E9427" t="inlineStr">
        <is>
          <t>Lương:5 Tr - 8 Tr VND</t>
        </is>
      </c>
      <c r="F9427" t="inlineStr">
        <is>
          <t>Hồ Chí Minh</t>
        </is>
      </c>
      <c r="G9427" t="inlineStr">
        <is>
          <t>15-03-2026</t>
        </is>
      </c>
      <c r="H9427" t="inlineStr">
        <is>
          <t>15/03/2026</t>
        </is>
      </c>
      <c r="I9427" t="inlineStr">
        <is>
          <t>17/03/2026</t>
        </is>
      </c>
      <c r="J9427" t="inlineStr">
        <is>
          <t>Xây dựng, Mới tốt nghiệp / Thực tập</t>
        </is>
      </c>
      <c r="K9427" t="inlineStr">
        <is>
          <t>N/A</t>
        </is>
      </c>
      <c r="L9427" s="8">
        <f>HYPERLINK("https://careerviet.vn/vi/tim-viec-lam/thuc-tap-sinh-quan-ly-thi-cong-cau-duong.35C6A3AA.html","Xem chi tiết")</f>
        <v/>
      </c>
    </row>
    <row r="9428">
      <c r="B9428" s="9" t="n">
        <v>9426</v>
      </c>
      <c r="C9428" s="10" t="inlineStr">
        <is>
          <t>Associate Project Manager</t>
        </is>
      </c>
      <c r="D9428" s="10" t="inlineStr">
        <is>
          <t>Công ty Cổ Phần Unity Architects</t>
        </is>
      </c>
      <c r="E9428" s="10" t="inlineStr">
        <is>
          <t>Lương:Cạnh tranh</t>
        </is>
      </c>
      <c r="F9428" s="10" t="inlineStr">
        <is>
          <t>Hồ Chí Minh</t>
        </is>
      </c>
      <c r="G9428" s="10" t="inlineStr">
        <is>
          <t>02-04-2026</t>
        </is>
      </c>
      <c r="H9428" s="10" t="inlineStr">
        <is>
          <t>02/04/2026</t>
        </is>
      </c>
      <c r="I9428" s="10" t="inlineStr">
        <is>
          <t>17/03/2026</t>
        </is>
      </c>
      <c r="J9428" s="10" t="inlineStr">
        <is>
          <t>Nội ngoại thất, Kiến trúc</t>
        </is>
      </c>
      <c r="K9428" s="10" t="inlineStr">
        <is>
          <t>Trên 3 Năm</t>
        </is>
      </c>
      <c r="L9428" s="11">
        <f>HYPERLINK("https://careerviet.vn/vi/tim-viec-lam/associate-project-manager.35C6A2AF.html","Xem chi tiết")</f>
        <v/>
      </c>
      <c r="M9428" s="10" t="n"/>
    </row>
    <row r="9429">
      <c r="B9429" s="7" t="n">
        <v>9427</v>
      </c>
      <c r="C9429" t="inlineStr">
        <is>
          <t>Technical Specialist - Food</t>
        </is>
      </c>
      <c r="D9429" t="inlineStr">
        <is>
          <t>Cty SGS Việt Nam TNHH</t>
        </is>
      </c>
      <c r="E9429" t="inlineStr">
        <is>
          <t>Lương:Cạnh tranh</t>
        </is>
      </c>
      <c r="F9429" t="inlineStr">
        <is>
          <t>Hồ Chí Minh</t>
        </is>
      </c>
      <c r="G9429" t="inlineStr">
        <is>
          <t>11-04-2026</t>
        </is>
      </c>
      <c r="H9429" t="inlineStr">
        <is>
          <t>11/04/2026</t>
        </is>
      </c>
      <c r="I9429" t="inlineStr">
        <is>
          <t>17/03/2026</t>
        </is>
      </c>
      <c r="J9429" t="inlineStr">
        <is>
          <t>Dược phẩm/ Hóa Mỹ Phẩm, Hóa học, Công nghệ sinh học</t>
        </is>
      </c>
      <c r="K9429" t="inlineStr">
        <is>
          <t>3 - 5 Năm</t>
        </is>
      </c>
      <c r="L9429" s="8">
        <f>HYPERLINK("https://careerviet.vn/vi/tim-viec-lam/technical-specialist-food.35C6A543.html","Xem chi tiết")</f>
        <v/>
      </c>
    </row>
    <row r="9430">
      <c r="B9430" s="9" t="n">
        <v>9428</v>
      </c>
      <c r="C9430" s="10" t="inlineStr">
        <is>
          <t>Thực Tập Sinh Quản Lý Nhà Sáng Tạo Trên TikTok</t>
        </is>
      </c>
      <c r="D9430" s="10" t="inlineStr">
        <is>
          <t>CÔNG TY TNHH MỘT THÀNH VIÊN TIKPLUS VIỆT NAM</t>
        </is>
      </c>
      <c r="E9430" s="10" t="inlineStr">
        <is>
          <t>Lương:1 Tr - 3 Tr VND</t>
        </is>
      </c>
      <c r="F9430" s="10" t="inlineStr">
        <is>
          <t>Hồ Chí Minh</t>
        </is>
      </c>
      <c r="G9430" s="10" t="inlineStr">
        <is>
          <t>31-03-2026</t>
        </is>
      </c>
      <c r="H9430" s="10" t="inlineStr">
        <is>
          <t>31/03/2026</t>
        </is>
      </c>
      <c r="I9430" s="10" t="inlineStr">
        <is>
          <t>17/03/2026</t>
        </is>
      </c>
      <c r="J9430" s="10" t="inlineStr">
        <is>
          <t>Tiếp thị / Marketing, Quảng cáo / Đối ngoại / Truyền Thông, Mới tốt nghiệp / Thực tập</t>
        </is>
      </c>
      <c r="K9430" s="10" t="inlineStr">
        <is>
          <t>N/A</t>
        </is>
      </c>
      <c r="L9430" s="11">
        <f>HYPERLINK("https://careerviet.vn/vi/tim-viec-lam/thuc-tap-sinh-quan-ly-nha-sang-tao-tren-tiktok.35C6A359.html","Xem chi tiết")</f>
        <v/>
      </c>
      <c r="M9430" s="10" t="n"/>
    </row>
    <row r="9431">
      <c r="B9431" s="7" t="n">
        <v>9429</v>
      </c>
      <c r="C9431" t="inlineStr">
        <is>
          <t>Lab Technician - Chromatography Lab (Night Shift)</t>
        </is>
      </c>
      <c r="D9431" t="inlineStr">
        <is>
          <t>Cty SGS Việt Nam TNHH</t>
        </is>
      </c>
      <c r="E9431" t="inlineStr">
        <is>
          <t>Lương:Cạnh tranh</t>
        </is>
      </c>
      <c r="F9431" t="inlineStr">
        <is>
          <t>Hồ Chí Minh</t>
        </is>
      </c>
      <c r="G9431" t="inlineStr">
        <is>
          <t>11-04-2026</t>
        </is>
      </c>
      <c r="H9431" t="inlineStr">
        <is>
          <t>11/04/2026</t>
        </is>
      </c>
      <c r="I9431" t="inlineStr">
        <is>
          <t>17/03/2026</t>
        </is>
      </c>
      <c r="J9431" t="inlineStr">
        <is>
          <t>Hóa học, Công nghệ thực phẩm / Dinh dưỡng, Công nghệ sinh học</t>
        </is>
      </c>
      <c r="K9431" t="inlineStr">
        <is>
          <t>Chưa có kinh nghiệm</t>
        </is>
      </c>
      <c r="L9431" s="8">
        <f>HYPERLINK("https://careerviet.vn/vi/tim-viec-lam/lab-technician-chromatography-lab-night-shift.35C6A6D8.html","Xem chi tiết")</f>
        <v/>
      </c>
    </row>
    <row r="9432">
      <c r="B9432" s="9" t="n">
        <v>9430</v>
      </c>
      <c r="C9432" s="10" t="inlineStr">
        <is>
          <t>KIỂM SOÁT NỘI BỘ  (Làm việc tại Bình Dương)</t>
        </is>
      </c>
      <c r="D9432" s="10" t="inlineStr">
        <is>
          <t>CÔNG TY CỔ PHẦN TẬP ĐOÀN QP</t>
        </is>
      </c>
      <c r="E9432" s="10" t="inlineStr">
        <is>
          <t>Lương:Cạnh tranh</t>
        </is>
      </c>
      <c r="F9432" s="10" t="inlineStr">
        <is>
          <t>Bình Dương</t>
        </is>
      </c>
      <c r="G9432" s="10" t="inlineStr">
        <is>
          <t>30-04-2026</t>
        </is>
      </c>
      <c r="H9432" s="10" t="inlineStr">
        <is>
          <t>30/04/2026</t>
        </is>
      </c>
      <c r="I9432" s="10" t="inlineStr">
        <is>
          <t>17/03/2026</t>
        </is>
      </c>
      <c r="J9432" s="10" t="inlineStr">
        <is>
          <t>Tài chính / Đầu tư, Kế toán / Kiểm toán, Bất động sản</t>
        </is>
      </c>
      <c r="K9432" s="10" t="inlineStr">
        <is>
          <t>2 - 10 Năm</t>
        </is>
      </c>
      <c r="L9432" s="11">
        <f>HYPERLINK("https://careerviet.vn/vi/tim-viec-lam/kiem-soat-noi-bo-lam-viec-tai-binh-duong.35C6A3BD.html","Xem chi tiết")</f>
        <v/>
      </c>
      <c r="M9432" s="10" t="n"/>
    </row>
    <row r="9433">
      <c r="B9433" s="7" t="n">
        <v>9431</v>
      </c>
      <c r="C9433" t="inlineStr">
        <is>
          <t>Report Checkers (Toys &amp; Furniture)</t>
        </is>
      </c>
      <c r="D9433" t="inlineStr">
        <is>
          <t>Cty SGS Việt Nam TNHH</t>
        </is>
      </c>
      <c r="E9433" t="inlineStr">
        <is>
          <t>Lương:Cạnh tranh</t>
        </is>
      </c>
      <c r="F9433" t="inlineStr">
        <is>
          <t>Hồ Chí Minh</t>
        </is>
      </c>
      <c r="G9433" t="inlineStr">
        <is>
          <t>02-04-2026</t>
        </is>
      </c>
      <c r="H9433" t="inlineStr">
        <is>
          <t>02/04/2026</t>
        </is>
      </c>
      <c r="I9433" t="inlineStr">
        <is>
          <t>17/03/2026</t>
        </is>
      </c>
      <c r="J9433" t="inlineStr">
        <is>
          <t>Hành chính / Thư ký, Nội ngoại thất, Cơ khí / Ô tô / Tự động hóa</t>
        </is>
      </c>
      <c r="K9433" t="inlineStr">
        <is>
          <t>1 - 3 Năm</t>
        </is>
      </c>
      <c r="L9433" s="8">
        <f>HYPERLINK("https://careerviet.vn/vi/tim-viec-lam/report-checkers-toys-furniture.35C6A4D1.html","Xem chi tiết")</f>
        <v/>
      </c>
    </row>
    <row r="9434">
      <c r="B9434" s="9" t="n">
        <v>9432</v>
      </c>
      <c r="C9434" s="10" t="inlineStr">
        <is>
          <t>Chuyên viên QS</t>
        </is>
      </c>
      <c r="D9434" s="10" t="inlineStr">
        <is>
          <t>CÔNG TY CỔ PHẦN XÂY DỰNG &amp; THƯƠNG MẠI SÀI GÒN 9</t>
        </is>
      </c>
      <c r="E9434" s="10" t="inlineStr">
        <is>
          <t>Lương:23 Tr - 25 Tr VND</t>
        </is>
      </c>
      <c r="F9434" s="10" t="inlineStr">
        <is>
          <t>Hồ Chí Minh</t>
        </is>
      </c>
      <c r="G9434" s="10" t="inlineStr">
        <is>
          <t>02-04-2026</t>
        </is>
      </c>
      <c r="H9434" s="10" t="inlineStr">
        <is>
          <t>02/04/2026</t>
        </is>
      </c>
      <c r="I9434" s="10" t="inlineStr">
        <is>
          <t>17/03/2026</t>
        </is>
      </c>
      <c r="J9434" s="10" t="inlineStr">
        <is>
          <t>Xây dựng, Bất động sản</t>
        </is>
      </c>
      <c r="K9434" s="10" t="inlineStr">
        <is>
          <t>3 - 5 Năm</t>
        </is>
      </c>
      <c r="L9434" s="11">
        <f>HYPERLINK("https://careerviet.vn/vi/tim-viec-lam/chuyen-vien-qs.35C6A2E1.html","Xem chi tiết")</f>
        <v/>
      </c>
      <c r="M9434" s="10" t="n"/>
    </row>
    <row r="9435">
      <c r="B9435" s="7" t="n">
        <v>9433</v>
      </c>
      <c r="C9435" t="inlineStr">
        <is>
          <t>CHUYÊN VIÊN KHÁCH HÀNG DOANH NGHIỆP - CHI NHÁNH BẮC GIANG - KHU VỰC MIỀN BẮC</t>
        </is>
      </c>
      <c r="D9435" t="inlineStr">
        <is>
          <t>NGÂN HÀNG TMCP SÀI GÒN THƯƠNG TÍN (SACOMBANK)</t>
        </is>
      </c>
      <c r="E9435" t="inlineStr">
        <is>
          <t>Lương:Cạnh tranh</t>
        </is>
      </c>
      <c r="F9435" t="inlineStr">
        <is>
          <t>Bắc Giang</t>
        </is>
      </c>
      <c r="G9435" t="inlineStr">
        <is>
          <t>30-04-2026</t>
        </is>
      </c>
      <c r="H9435" t="inlineStr">
        <is>
          <t>30/04/2026</t>
        </is>
      </c>
      <c r="I9435" t="inlineStr">
        <is>
          <t>17/03/2026</t>
        </is>
      </c>
      <c r="J9435" t="inlineStr">
        <is>
          <t>Ngân hàng, Bảo hiểm, Tài chính / Đầu tư</t>
        </is>
      </c>
      <c r="K9435" t="inlineStr">
        <is>
          <t>N/A</t>
        </is>
      </c>
      <c r="L9435" s="8">
        <f>HYPERLINK("https://careerviet.vn/vi/tim-viec-lam/chuyen-vien-khach-hang-doanh-nghiep-chi-nhanh-bac-giang-khu-vuc-mien-bac.35C6B49C.html","Xem chi tiết")</f>
        <v/>
      </c>
    </row>
    <row r="9436">
      <c r="B9436" s="9" t="n">
        <v>9434</v>
      </c>
      <c r="C9436" s="10" t="inlineStr">
        <is>
          <t>Nhân viên sales Tiếng Trung</t>
        </is>
      </c>
      <c r="D9436" s="10" t="inlineStr">
        <is>
          <t>Tập Đoàn An Phát Holdings</t>
        </is>
      </c>
      <c r="E9436" s="10" t="inlineStr">
        <is>
          <t>Lương:20 Tr - 30 Tr VND</t>
        </is>
      </c>
      <c r="F9436" s="10" t="inlineStr">
        <is>
          <t>Hà Nội</t>
        </is>
      </c>
      <c r="G9436" s="10" t="inlineStr">
        <is>
          <t>04-04-2026</t>
        </is>
      </c>
      <c r="H9436" s="10" t="inlineStr">
        <is>
          <t>04/04/2026</t>
        </is>
      </c>
      <c r="I9436" s="10" t="inlineStr">
        <is>
          <t>17/03/2026</t>
        </is>
      </c>
      <c r="J9436" s="10" t="inlineStr">
        <is>
          <t>Bán hàng / Kinh doanh, Bán Hàng Kỹ Thuật, Thương mại điện tử</t>
        </is>
      </c>
      <c r="K9436" s="10" t="inlineStr">
        <is>
          <t>2 - 10 Năm</t>
        </is>
      </c>
      <c r="L9436" s="11">
        <f>HYPERLINK("https://careerviet.vn/vi/tim-viec-lam/nhan-vien-sales-tieng-trung.35C6ABCE.html","Xem chi tiết")</f>
        <v/>
      </c>
      <c r="M9436" s="10" t="n"/>
    </row>
    <row r="9437">
      <c r="B9437" s="7" t="n">
        <v>9435</v>
      </c>
      <c r="C9437" t="inlineStr">
        <is>
          <t>Marketing Manager - PPP Laser Clinic</t>
        </is>
      </c>
      <c r="D9437" t="inlineStr">
        <is>
          <t>PPP Laser Clinic Viet Nam</t>
        </is>
      </c>
      <c r="E9437" t="inlineStr">
        <is>
          <t>Lương:Cạnh tranh</t>
        </is>
      </c>
      <c r="F9437" t="inlineStr">
        <is>
          <t>Hồ Chí Minh</t>
        </is>
      </c>
      <c r="G9437" t="inlineStr">
        <is>
          <t>30-04-2026</t>
        </is>
      </c>
      <c r="H9437" t="inlineStr">
        <is>
          <t>30/04/2026</t>
        </is>
      </c>
      <c r="I9437" t="inlineStr">
        <is>
          <t>17/03/2026</t>
        </is>
      </c>
      <c r="J9437" t="inlineStr">
        <is>
          <t>Y tế / Chăm sóc sức khỏe / Thẩm mỹ / Làm đẹp, Tiếp thị / Marketing, Bán hàng / Kinh doanh</t>
        </is>
      </c>
      <c r="K9437" t="inlineStr">
        <is>
          <t>5 - 10 Năm</t>
        </is>
      </c>
      <c r="L9437" s="8">
        <f>HYPERLINK("https://careerviet.vn/vi/tim-viec-lam/marketing-manager-ppp-laser-clinic.35C6A51D.html","Xem chi tiết")</f>
        <v/>
      </c>
    </row>
    <row r="9438">
      <c r="B9438" s="9" t="n">
        <v>9436</v>
      </c>
      <c r="C9438" s="10" t="inlineStr">
        <is>
          <t>Kỹ sư giám sát công trình</t>
        </is>
      </c>
      <c r="D9438" s="10" t="inlineStr">
        <is>
          <t>Công ty TNHH tư vấn công trình xây dựng KCIS</t>
        </is>
      </c>
      <c r="E9438" s="10" t="inlineStr">
        <is>
          <t>Lương:15 Tr - 20 Tr VND</t>
        </is>
      </c>
      <c r="F9438" s="10" t="inlineStr">
        <is>
          <t>Bắc Ninh</t>
        </is>
      </c>
      <c r="G9438" s="10" t="inlineStr">
        <is>
          <t>11-04-2026</t>
        </is>
      </c>
      <c r="H9438" s="10" t="inlineStr">
        <is>
          <t>11/04/2026</t>
        </is>
      </c>
      <c r="I9438" s="10" t="inlineStr">
        <is>
          <t>17/03/2026</t>
        </is>
      </c>
      <c r="J9438" s="10" t="inlineStr">
        <is>
          <t>Kiến trúc, Xây dựng</t>
        </is>
      </c>
      <c r="K9438" s="10" t="inlineStr">
        <is>
          <t>1 - 2 Năm</t>
        </is>
      </c>
      <c r="L9438" s="11">
        <f>HYPERLINK("https://careerviet.vn/vi/tim-viec-lam/ky-su-giam-sat-cong-trinh.35C6A975.html","Xem chi tiết")</f>
        <v/>
      </c>
      <c r="M9438" s="10" t="n"/>
    </row>
    <row r="9439">
      <c r="B9439" s="7" t="n">
        <v>9437</v>
      </c>
      <c r="C9439" t="inlineStr">
        <is>
          <t>Nhân viên chỉnh máy ép nhựa</t>
        </is>
      </c>
      <c r="D9439" t="inlineStr">
        <is>
          <t>Tập Đoàn An Phát Holdings</t>
        </is>
      </c>
      <c r="E9439" t="inlineStr">
        <is>
          <t>Lương:10 Tr - 12 Tr VND</t>
        </is>
      </c>
      <c r="F9439" t="inlineStr">
        <is>
          <t>Hà Nội</t>
        </is>
      </c>
      <c r="G9439" t="inlineStr">
        <is>
          <t>04-04-2026</t>
        </is>
      </c>
      <c r="H9439" t="inlineStr">
        <is>
          <t>04/04/2026</t>
        </is>
      </c>
      <c r="I9439" t="inlineStr">
        <is>
          <t>17/03/2026</t>
        </is>
      </c>
      <c r="J9439" t="inlineStr">
        <is>
          <t>Cơ khí / Ô tô / Tự động hóa, Hóa học, Điện / Điện tử / Điện lạnh / Điện công nghiệp</t>
        </is>
      </c>
      <c r="K9439" t="inlineStr">
        <is>
          <t>Chưa có kinh nghiệm</t>
        </is>
      </c>
      <c r="L9439" s="8">
        <f>HYPERLINK("https://careerviet.vn/vi/tim-viec-lam/nhan-vien-chinh-may-ep-nhua.35C6ABE6.html","Xem chi tiết")</f>
        <v/>
      </c>
    </row>
    <row r="9440">
      <c r="B9440" s="9" t="n">
        <v>9438</v>
      </c>
      <c r="C9440" s="10" t="inlineStr">
        <is>
          <t>HR Intern</t>
        </is>
      </c>
      <c r="D9440" s="10" t="inlineStr">
        <is>
          <t>S.F. EXPRESS LTD.</t>
        </is>
      </c>
      <c r="E9440" s="10" t="inlineStr">
        <is>
          <t>Lương:5 Tr - 7 Tr VND</t>
        </is>
      </c>
      <c r="F9440" s="10" t="inlineStr">
        <is>
          <t>Hồ Chí Minh</t>
        </is>
      </c>
      <c r="G9440" s="10" t="inlineStr">
        <is>
          <t>30-04-2026</t>
        </is>
      </c>
      <c r="H9440" s="10" t="inlineStr">
        <is>
          <t>30/04/2026</t>
        </is>
      </c>
      <c r="I9440" s="10" t="inlineStr">
        <is>
          <t>17/03/2026</t>
        </is>
      </c>
      <c r="J9440" s="10" t="inlineStr">
        <is>
          <t>Tiếp thị / Marketing, Bán hàng / Kinh doanh, Mới tốt nghiệp / Thực tập</t>
        </is>
      </c>
      <c r="K9440" s="10" t="inlineStr">
        <is>
          <t>N/A</t>
        </is>
      </c>
      <c r="L9440" s="11">
        <f>HYPERLINK("https://careerviet.vn/vi/tim-viec-lam/hr-intern.35C6BA1C.html","Xem chi tiết")</f>
        <v/>
      </c>
      <c r="M9440" s="10" t="n"/>
    </row>
    <row r="9441">
      <c r="B9441" s="7" t="n">
        <v>9439</v>
      </c>
      <c r="C9441" t="inlineStr">
        <is>
          <t>Nhân viên Tiền lương (C&amp;B)</t>
        </is>
      </c>
      <c r="D9441" t="inlineStr">
        <is>
          <t>CÔNG TY TNHH TẬP ĐOÀN BÁCH MỘC AN</t>
        </is>
      </c>
      <c r="E9441" t="inlineStr">
        <is>
          <t>Lương:13 Tr - 16 Tr VND</t>
        </is>
      </c>
      <c r="F9441" t="inlineStr">
        <is>
          <t>Hà Nội</t>
        </is>
      </c>
      <c r="G9441" t="inlineStr">
        <is>
          <t>30-04-2026</t>
        </is>
      </c>
      <c r="H9441" t="inlineStr">
        <is>
          <t>30/04/2026</t>
        </is>
      </c>
      <c r="I9441" t="inlineStr">
        <is>
          <t>17/03/2026</t>
        </is>
      </c>
      <c r="J9441" t="inlineStr">
        <is>
          <t>Hành chính / Thư ký, Nhân sự, Kế toán / Kiểm toán</t>
        </is>
      </c>
      <c r="K9441" t="inlineStr">
        <is>
          <t>3 - 5 Năm</t>
        </is>
      </c>
      <c r="L9441" s="8">
        <f>HYPERLINK("https://careerviet.vn/vi/tim-viec-lam/nhan-vien-tien-luong-c-b.35C6A3BC.html","Xem chi tiết")</f>
        <v/>
      </c>
    </row>
    <row r="9442">
      <c r="B9442" s="9" t="n">
        <v>9440</v>
      </c>
      <c r="C9442" s="10" t="inlineStr">
        <is>
          <t>Nhân Viên Admin Chứng Từ</t>
        </is>
      </c>
      <c r="D9442" s="10" t="inlineStr">
        <is>
          <t>Công ty cổ phần Dược Phẩm Savi</t>
        </is>
      </c>
      <c r="E9442" s="10" t="inlineStr">
        <is>
          <t>Lương:Cạnh tranh</t>
        </is>
      </c>
      <c r="F9442" s="10" t="inlineStr">
        <is>
          <t>Hồ Chí Minh</t>
        </is>
      </c>
      <c r="G9442" s="10" t="inlineStr">
        <is>
          <t>08-04-2026</t>
        </is>
      </c>
      <c r="H9442" s="10" t="inlineStr">
        <is>
          <t>08/04/2026</t>
        </is>
      </c>
      <c r="I9442" s="10" t="inlineStr">
        <is>
          <t>17/03/2026</t>
        </is>
      </c>
      <c r="J9442" s="10" t="inlineStr">
        <is>
          <t>Dược phẩm/ Hóa Mỹ Phẩm, Kế toán / Kiểm toán, Vận chuyển / Giao nhận / Kho vận</t>
        </is>
      </c>
      <c r="K9442" s="10" t="inlineStr">
        <is>
          <t>1 - 2 Năm</t>
        </is>
      </c>
      <c r="L9442" s="11">
        <f>HYPERLINK("https://careerviet.vn/vi/tim-viec-lam/nhan-vien-admin-chung-tu.35C6B760.html","Xem chi tiết")</f>
        <v/>
      </c>
      <c r="M9442" s="10" t="n"/>
    </row>
    <row r="9443">
      <c r="B9443" s="7" t="n">
        <v>9441</v>
      </c>
      <c r="C9443" t="inlineStr">
        <is>
          <t>Chuyên Viên QS MEP-HCM</t>
        </is>
      </c>
      <c r="D9443" t="inlineStr">
        <is>
          <t>Công Ty Cổ Phần Kiến Trúc Tư Vấn Quản Lý Đông Dương</t>
        </is>
      </c>
      <c r="E9443" t="inlineStr">
        <is>
          <t>Lương:Cạnh tranh</t>
        </is>
      </c>
      <c r="F9443" t="inlineStr">
        <is>
          <t>Hồ Chí Minh</t>
        </is>
      </c>
      <c r="G9443" t="inlineStr">
        <is>
          <t>25-03-2026</t>
        </is>
      </c>
      <c r="H9443" t="inlineStr">
        <is>
          <t>25/03/2026</t>
        </is>
      </c>
      <c r="I9443" t="inlineStr">
        <is>
          <t>17/03/2026</t>
        </is>
      </c>
      <c r="J9443" t="inlineStr">
        <is>
          <t>Điện / Điện tử / Điện lạnh / Điện công nghiệp, Xây dựng, Mỹ thuật / Nghệ thuật / Thiết kế</t>
        </is>
      </c>
      <c r="K9443" t="inlineStr">
        <is>
          <t>1 - 3 Năm</t>
        </is>
      </c>
      <c r="L9443" s="8">
        <f>HYPERLINK("https://careerviet.vn/vi/tim-viec-lam/chuyen-vien-qs-mep-hcm.35C6B70B.html","Xem chi tiết")</f>
        <v/>
      </c>
    </row>
    <row r="9444">
      <c r="B9444" s="9" t="n">
        <v>9442</v>
      </c>
      <c r="C9444" s="10" t="inlineStr">
        <is>
          <t>Marketing Intern</t>
        </is>
      </c>
      <c r="D9444" s="10" t="inlineStr">
        <is>
          <t>Un-Available LTD Co.,</t>
        </is>
      </c>
      <c r="E9444" s="10" t="inlineStr">
        <is>
          <t>Lương:Cạnh tranh</t>
        </is>
      </c>
      <c r="F9444" s="10" t="inlineStr">
        <is>
          <t>Hồ Chí Minh</t>
        </is>
      </c>
      <c r="G9444" s="10" t="inlineStr">
        <is>
          <t>09-04-2026</t>
        </is>
      </c>
      <c r="H9444" s="10" t="inlineStr">
        <is>
          <t>09/04/2026</t>
        </is>
      </c>
      <c r="I9444" s="10" t="inlineStr">
        <is>
          <t>17/03/2026</t>
        </is>
      </c>
      <c r="J9444" s="10" t="inlineStr">
        <is>
          <t>Tiếp thị / Marketing, Mỹ thuật / Nghệ thuật / Thiết kế, Mới tốt nghiệp / Thực tập</t>
        </is>
      </c>
      <c r="K9444" s="10" t="inlineStr">
        <is>
          <t>N/A</t>
        </is>
      </c>
      <c r="L9444" s="11">
        <f>HYPERLINK("https://careerviet.vn/vi/tim-viec-lam/marketing-intern.35C6B8DC.html","Xem chi tiết")</f>
        <v/>
      </c>
      <c r="M9444" s="10" t="n"/>
    </row>
    <row r="9445">
      <c r="B9445" s="7" t="n">
        <v>9443</v>
      </c>
      <c r="C9445" t="inlineStr">
        <is>
          <t>NHÂN VIÊN KINH DOANH THỦ ĐỨC</t>
        </is>
      </c>
      <c r="D9445" t="inlineStr">
        <is>
          <t>CÔNG TY CỔ PHẦN DEWOO VIỆT NAM</t>
        </is>
      </c>
      <c r="E9445" t="inlineStr">
        <is>
          <t>Lương:Trên 9 Tr VND</t>
        </is>
      </c>
      <c r="F9445" t="inlineStr">
        <is>
          <t>Bình DươngHồ Chí Minh</t>
        </is>
      </c>
      <c r="G9445" t="inlineStr">
        <is>
          <t>09-04-2026</t>
        </is>
      </c>
      <c r="H9445" t="inlineStr">
        <is>
          <t>09/04/2026</t>
        </is>
      </c>
      <c r="I9445" t="inlineStr">
        <is>
          <t>17/03/2026</t>
        </is>
      </c>
      <c r="J9445" t="inlineStr">
        <is>
          <t>Bán hàng / Kinh doanh, Tư vấn, Nội ngoại thất</t>
        </is>
      </c>
      <c r="K9445" t="inlineStr">
        <is>
          <t>Trên 1 Năm</t>
        </is>
      </c>
      <c r="L9445" s="8">
        <f>HYPERLINK("https://careerviet.vn/vi/tim-viec-lam/nhan-vien-kinh-doanh-thu-duc.35C6B780.html","Xem chi tiết")</f>
        <v/>
      </c>
    </row>
    <row r="9446">
      <c r="B9446" s="9" t="n">
        <v>9444</v>
      </c>
      <c r="C9446" s="10" t="inlineStr">
        <is>
          <t>Chuyên viên Quan hệ Khách hàng Doanh nghiệp (Toàn quốc)</t>
        </is>
      </c>
      <c r="D9446" s="10" t="inlineStr">
        <is>
          <t>Ngân Hàng TMCP Sài Gòn - Hà Nội ( SHB )</t>
        </is>
      </c>
      <c r="E9446" s="10" t="inlineStr">
        <is>
          <t>Lương:Cạnh tranh</t>
        </is>
      </c>
      <c r="F9446" s="10" t="inlineStr">
        <is>
          <t>Khánh HòaGia LaiĐà Nẵng</t>
        </is>
      </c>
      <c r="G9446" s="10" t="inlineStr">
        <is>
          <t>06-04-2026</t>
        </is>
      </c>
      <c r="H9446" s="10" t="inlineStr">
        <is>
          <t>06/04/2026</t>
        </is>
      </c>
      <c r="I9446" s="10" t="inlineStr">
        <is>
          <t>17/03/2026</t>
        </is>
      </c>
      <c r="J9446" s="10" t="inlineStr">
        <is>
          <t>Ngân hàng, Bán hàng / Kinh doanh</t>
        </is>
      </c>
      <c r="K9446" s="10" t="inlineStr">
        <is>
          <t>Chưa có kinh nghiệm</t>
        </is>
      </c>
      <c r="L9446" s="11">
        <f>HYPERLINK("https://careerviet.vn/vi/tim-viec-lam/chuyen-vien-quan-he-khach-hang-doanh-nghiep-toan-quoc.35C6B6D1.html","Xem chi tiết")</f>
        <v/>
      </c>
      <c r="M9446" s="10" t="n"/>
    </row>
    <row r="9447">
      <c r="B9447" s="7" t="n">
        <v>9445</v>
      </c>
      <c r="C9447" t="inlineStr">
        <is>
          <t>Thư Ký Kế Toán</t>
        </is>
      </c>
      <c r="D9447" t="inlineStr">
        <is>
          <t>Techtronic Industries Vietnam Manufacturing Company Limited</t>
        </is>
      </c>
      <c r="E9447" t="inlineStr">
        <is>
          <t>Lương:Cạnh tranh</t>
        </is>
      </c>
      <c r="F9447" t="inlineStr">
        <is>
          <t>Hồ Chí Minh</t>
        </is>
      </c>
      <c r="G9447" t="inlineStr">
        <is>
          <t>08-04-2026</t>
        </is>
      </c>
      <c r="H9447" t="inlineStr">
        <is>
          <t>08/04/2026</t>
        </is>
      </c>
      <c r="I9447" t="inlineStr">
        <is>
          <t>17/03/2026</t>
        </is>
      </c>
      <c r="J9447" t="inlineStr">
        <is>
          <t>Kế toán / Kiểm toán</t>
        </is>
      </c>
      <c r="K9447" t="inlineStr">
        <is>
          <t>1 - 3 Năm</t>
        </is>
      </c>
      <c r="L9447" s="8">
        <f>HYPERLINK("https://careerviet.vn/vi/tim-viec-lam/thu-ky-ke-toan.35C6B8B1.html","Xem chi tiết")</f>
        <v/>
      </c>
    </row>
    <row r="9448">
      <c r="B9448" s="9" t="n">
        <v>9446</v>
      </c>
      <c r="C9448" s="10" t="inlineStr">
        <is>
          <t>Electronic Production Engineer (Kỹ sư điện tử sản xuất ổ cứng)</t>
        </is>
      </c>
      <c r="D9448" s="10" t="inlineStr">
        <is>
          <t>Công ty TNHH Greystone Data Systems Việt Nam</t>
        </is>
      </c>
      <c r="E9448" s="10" t="inlineStr">
        <is>
          <t>Lương:10 Tr - 13 Tr VND</t>
        </is>
      </c>
      <c r="F9448" s="10" t="inlineStr">
        <is>
          <t>Hồ Chí Minh</t>
        </is>
      </c>
      <c r="G9448" s="10" t="inlineStr">
        <is>
          <t>09-04-2026</t>
        </is>
      </c>
      <c r="H9448" s="10" t="inlineStr">
        <is>
          <t>09/04/2026</t>
        </is>
      </c>
      <c r="I9448" s="10" t="inlineStr">
        <is>
          <t>17/03/2026</t>
        </is>
      </c>
      <c r="J9448" s="10" t="inlineStr">
        <is>
          <t>Điện / Điện tử / Điện lạnh / Điện công nghiệp, CNTT - Phần cứng / Mạng, Sản xuất / Vận hành sản xuất</t>
        </is>
      </c>
      <c r="K9448" s="10" t="inlineStr">
        <is>
          <t>N/A</t>
        </is>
      </c>
      <c r="L9448" s="11">
        <f>HYPERLINK("https://careerviet.vn/vi/tim-viec-lam/electronic-production-engineer-ky-su-dien-tu-san-xuat-o-cung.35C6B73D.html","Xem chi tiết")</f>
        <v/>
      </c>
      <c r="M9448" s="10" t="n"/>
    </row>
    <row r="9449">
      <c r="B9449" s="7" t="n">
        <v>9447</v>
      </c>
      <c r="C9449" t="inlineStr">
        <is>
          <t>Chuyên Viên Thiết Kế Đồ Hoạ - Video Editor</t>
        </is>
      </c>
      <c r="D9449" t="inlineStr">
        <is>
          <t>CÔNG TY CỔ PHẦN TAKAHIRO</t>
        </is>
      </c>
      <c r="E9449" t="inlineStr">
        <is>
          <t>Lương:11 Tr - 12 Tr VND</t>
        </is>
      </c>
      <c r="F9449" t="inlineStr">
        <is>
          <t>Hồ Chí Minh</t>
        </is>
      </c>
      <c r="G9449" t="inlineStr">
        <is>
          <t>03-04-2026</t>
        </is>
      </c>
      <c r="H9449" t="inlineStr">
        <is>
          <t>03/04/2026</t>
        </is>
      </c>
      <c r="I9449" t="inlineStr">
        <is>
          <t>17/03/2026</t>
        </is>
      </c>
      <c r="J9449" t="inlineStr">
        <is>
          <t>Mỹ thuật / Nghệ thuật / Thiết kế, Nhà hàng / Khách sạn</t>
        </is>
      </c>
      <c r="K9449" t="inlineStr">
        <is>
          <t>2 - 3 Năm</t>
        </is>
      </c>
      <c r="L9449" s="8">
        <f>HYPERLINK("https://careerviet.vn/vi/tim-viec-lam/chuyen-vien-thiet-ke-do-hoa-video-editor.35C6B7AA.html","Xem chi tiết")</f>
        <v/>
      </c>
    </row>
    <row r="9450">
      <c r="B9450" s="9" t="n">
        <v>9448</v>
      </c>
      <c r="C9450" s="10" t="inlineStr">
        <is>
          <t>Customs Specialist</t>
        </is>
      </c>
      <c r="D9450" s="10" t="inlineStr">
        <is>
          <t>Techtronic Industries Vietnam Manufacturing Company Limited</t>
        </is>
      </c>
      <c r="E9450" s="10" t="inlineStr">
        <is>
          <t>Lương:Cạnh tranh</t>
        </is>
      </c>
      <c r="F9450" s="10" t="inlineStr">
        <is>
          <t>Hồ Chí Minh</t>
        </is>
      </c>
      <c r="G9450" s="10" t="inlineStr">
        <is>
          <t>08-04-2026</t>
        </is>
      </c>
      <c r="H9450" s="10" t="inlineStr">
        <is>
          <t>08/04/2026</t>
        </is>
      </c>
      <c r="I9450" s="10" t="inlineStr">
        <is>
          <t>17/03/2026</t>
        </is>
      </c>
      <c r="J9450" s="10" t="inlineStr">
        <is>
          <t>Xuất nhập khẩu</t>
        </is>
      </c>
      <c r="K9450" s="10" t="inlineStr">
        <is>
          <t>3 Năm</t>
        </is>
      </c>
      <c r="L9450" s="11">
        <f>HYPERLINK("https://careerviet.vn/vi/tim-viec-lam/customs-specialist.35C6B7E6.html","Xem chi tiết")</f>
        <v/>
      </c>
      <c r="M9450" s="10" t="n"/>
    </row>
    <row r="9451">
      <c r="B9451" s="7" t="n">
        <v>9449</v>
      </c>
      <c r="C9451" t="inlineStr">
        <is>
          <t>NHÂN VIÊN CHĂM SÓC KHÁCH HÀNG SÀN THƯƠNG MẠI ĐIỆN TỬ</t>
        </is>
      </c>
      <c r="D9451" t="inlineStr">
        <is>
          <t>CÔNG TY TNHH NHA KHOA I-DENT</t>
        </is>
      </c>
      <c r="E9451" t="inlineStr">
        <is>
          <t>Lương:10 Tr - 14 Tr VND</t>
        </is>
      </c>
      <c r="F9451" t="inlineStr">
        <is>
          <t>Hồ Chí Minh</t>
        </is>
      </c>
      <c r="G9451" t="inlineStr">
        <is>
          <t>31-03-2026</t>
        </is>
      </c>
      <c r="H9451" t="inlineStr">
        <is>
          <t>31/03/2026</t>
        </is>
      </c>
      <c r="I9451" t="inlineStr">
        <is>
          <t>17/03/2026</t>
        </is>
      </c>
      <c r="J9451" t="inlineStr">
        <is>
          <t>Tiếp thị / Marketing, Bán hàng / Kinh doanh, Thương mại điện tử</t>
        </is>
      </c>
      <c r="K9451" t="inlineStr">
        <is>
          <t>1 - 2 Năm</t>
        </is>
      </c>
      <c r="L9451" s="8">
        <f>HYPERLINK("https://careerviet.vn/vi/tim-viec-lam/nhan-vien-cham-soc-khach-hang-san-thuong-mai-dien-tu.35C6B7C8.html","Xem chi tiết")</f>
        <v/>
      </c>
    </row>
    <row r="9452">
      <c r="B9452" s="9" t="n">
        <v>9450</v>
      </c>
      <c r="C9452" s="10" t="inlineStr">
        <is>
          <t>Nhân Viên Kinh Doanh Bình Chánh</t>
        </is>
      </c>
      <c r="D9452" s="10" t="inlineStr">
        <is>
          <t>CÔNG TY CỔ PHẦN DEWOO VIỆT NAM</t>
        </is>
      </c>
      <c r="E9452" s="10" t="inlineStr">
        <is>
          <t>Lương:Trên 9 Tr VND</t>
        </is>
      </c>
      <c r="F9452" s="10" t="inlineStr">
        <is>
          <t>Bình DươngHồ Chí Minh</t>
        </is>
      </c>
      <c r="G9452" s="10" t="inlineStr">
        <is>
          <t>09-04-2026</t>
        </is>
      </c>
      <c r="H9452" s="10" t="inlineStr">
        <is>
          <t>09/04/2026</t>
        </is>
      </c>
      <c r="I9452" s="10" t="inlineStr">
        <is>
          <t>17/03/2026</t>
        </is>
      </c>
      <c r="J9452" s="10" t="inlineStr">
        <is>
          <t>Bán hàng / Kinh doanh, Tư vấn, Nội ngoại thất</t>
        </is>
      </c>
      <c r="K9452" s="10" t="inlineStr">
        <is>
          <t>Trên 1 Năm</t>
        </is>
      </c>
      <c r="L9452" s="11">
        <f>HYPERLINK("https://careerviet.vn/vi/tim-viec-lam/nhan-vien-kinh-doanh-binh-chanh.35C6B784.html","Xem chi tiết")</f>
        <v/>
      </c>
      <c r="M9452" s="10" t="n"/>
    </row>
    <row r="9453">
      <c r="B9453" s="7" t="n">
        <v>9451</v>
      </c>
      <c r="C9453" t="inlineStr">
        <is>
          <t>Senior SMT Engineer</t>
        </is>
      </c>
      <c r="D9453" t="inlineStr">
        <is>
          <t>XP Power  Vietnam</t>
        </is>
      </c>
      <c r="E9453" t="inlineStr">
        <is>
          <t>Lương:Cạnh tranh</t>
        </is>
      </c>
      <c r="F9453" t="inlineStr">
        <is>
          <t>Bình Dương</t>
        </is>
      </c>
      <c r="G9453" t="inlineStr">
        <is>
          <t>10-04-2026</t>
        </is>
      </c>
      <c r="H9453" t="inlineStr">
        <is>
          <t>10/04/2026</t>
        </is>
      </c>
      <c r="I9453" t="inlineStr">
        <is>
          <t>17/03/2026</t>
        </is>
      </c>
      <c r="J9453" t="inlineStr">
        <is>
          <t>Điện / Điện tử / Điện lạnh / Điện công nghiệp</t>
        </is>
      </c>
      <c r="K9453" t="inlineStr">
        <is>
          <t>3 - 5 Năm</t>
        </is>
      </c>
      <c r="L9453" s="8">
        <f>HYPERLINK("https://careerviet.vn/vi/tim-viec-lam/senior-smt-engineer.35C6B754.html","Xem chi tiết")</f>
        <v/>
      </c>
    </row>
    <row r="9454">
      <c r="B9454" s="9" t="n">
        <v>9452</v>
      </c>
      <c r="C9454" s="10" t="inlineStr">
        <is>
          <t>CVC/CVCC Kiểm định Mô hình Rủi ro (Risk Model Validation) - TNEX - 4B036</t>
        </is>
      </c>
      <c r="D9454" s="10" t="inlineStr">
        <is>
          <t>Tập đoàn ROX (ROX Group)</t>
        </is>
      </c>
      <c r="E9454" s="10" t="inlineStr">
        <is>
          <t>Lương:Cạnh tranh</t>
        </is>
      </c>
      <c r="F9454" s="10" t="inlineStr">
        <is>
          <t>Hà Nội</t>
        </is>
      </c>
      <c r="G9454" s="10" t="inlineStr">
        <is>
          <t>06-04-2026</t>
        </is>
      </c>
      <c r="H9454" s="10" t="inlineStr">
        <is>
          <t>06/04/2026</t>
        </is>
      </c>
      <c r="I9454" s="10" t="inlineStr">
        <is>
          <t>17/03/2026</t>
        </is>
      </c>
      <c r="J9454" s="10" t="inlineStr">
        <is>
          <t>Ngân hàng, Tài chính / Đầu tư</t>
        </is>
      </c>
      <c r="K9454" s="10" t="inlineStr">
        <is>
          <t>Trên 2 Năm</t>
        </is>
      </c>
      <c r="L9454" s="11">
        <f>HYPERLINK("https://careerviet.vn/vi/tim-viec-lam/cvc-cvcc-kiem-dinh-mo-hinh-rui-ro-risk-model-validation-tnex-4b036.35C6B76D.html","Xem chi tiết")</f>
        <v/>
      </c>
      <c r="M9454" s="10" t="n"/>
    </row>
    <row r="9455">
      <c r="B9455" s="7" t="n">
        <v>9453</v>
      </c>
      <c r="C9455" t="inlineStr">
        <is>
          <t>Nhân Viên Kỹ Thuật Sản Xuất</t>
        </is>
      </c>
      <c r="D9455" t="inlineStr">
        <is>
          <t>CÔNG TY CỔ PHẦN DEWOO VIỆT NAM</t>
        </is>
      </c>
      <c r="E9455" t="inlineStr">
        <is>
          <t>Lương:Cạnh tranh</t>
        </is>
      </c>
      <c r="F9455" t="inlineStr">
        <is>
          <t>Bình Dương</t>
        </is>
      </c>
      <c r="G9455" t="inlineStr">
        <is>
          <t>09-04-2026</t>
        </is>
      </c>
      <c r="H9455" t="inlineStr">
        <is>
          <t>09/04/2026</t>
        </is>
      </c>
      <c r="I9455" t="inlineStr">
        <is>
          <t>17/03/2026</t>
        </is>
      </c>
      <c r="J9455" t="inlineStr">
        <is>
          <t>Sản xuất / Vận hành sản xuất, Điện / Điện tử / Điện lạnh / Điện công nghiệp, Cơ khí / Ô tô / Tự động hóa</t>
        </is>
      </c>
      <c r="K9455" t="inlineStr">
        <is>
          <t>N/A</t>
        </is>
      </c>
      <c r="L9455" s="8">
        <f>HYPERLINK("https://careerviet.vn/vi/tim-viec-lam/nhan-vien-ky-thuat-san-xuat.35C6B78B.html","Xem chi tiết")</f>
        <v/>
      </c>
    </row>
    <row r="9456">
      <c r="B9456" s="9" t="n">
        <v>9454</v>
      </c>
      <c r="C9456" s="10" t="inlineStr">
        <is>
          <t>Giám đốc Phòng giao dịch</t>
        </is>
      </c>
      <c r="D9456" s="10" t="inlineStr">
        <is>
          <t>Ngân Hàng TMCP Sài Gòn - Hà Nội ( SHB )</t>
        </is>
      </c>
      <c r="E9456" s="10" t="inlineStr">
        <is>
          <t>Lương:Cạnh tranh</t>
        </is>
      </c>
      <c r="F9456" s="10" t="inlineStr">
        <is>
          <t>Hà Nội</t>
        </is>
      </c>
      <c r="G9456" s="10" t="inlineStr">
        <is>
          <t>06-04-2026</t>
        </is>
      </c>
      <c r="H9456" s="10" t="inlineStr">
        <is>
          <t>06/04/2026</t>
        </is>
      </c>
      <c r="I9456" s="10" t="inlineStr">
        <is>
          <t>17/03/2026</t>
        </is>
      </c>
      <c r="J9456" s="10" t="inlineStr">
        <is>
          <t>Quản lý điều hành, Ngân hàng, Tài chính / Đầu tư</t>
        </is>
      </c>
      <c r="K9456" s="10" t="inlineStr">
        <is>
          <t>Trên 5 Năm</t>
        </is>
      </c>
      <c r="L9456" s="11">
        <f>HYPERLINK("https://careerviet.vn/vi/tim-viec-lam/giam-doc-phong-giao-dich.35C6B6DD.html","Xem chi tiết")</f>
        <v/>
      </c>
      <c r="M9456" s="10" t="n"/>
    </row>
    <row r="9457">
      <c r="B9457" s="7" t="n">
        <v>9455</v>
      </c>
      <c r="C9457" t="inlineStr">
        <is>
          <t>[Hà Nội] - Chuyên Viên Tư Vấn Trả Góp Ô Tô</t>
        </is>
      </c>
      <c r="D9457" t="inlineStr">
        <is>
          <t>Công Ty Tài Chính Mirae Asset (Việt Nam)</t>
        </is>
      </c>
      <c r="E9457" t="inlineStr">
        <is>
          <t>Lương:17 Tr - 30 Tr VND</t>
        </is>
      </c>
      <c r="F9457" t="inlineStr">
        <is>
          <t>Hà NộiKV Bắc Trung Bộ</t>
        </is>
      </c>
      <c r="G9457" t="inlineStr">
        <is>
          <t>08-04-2026</t>
        </is>
      </c>
      <c r="H9457" t="inlineStr">
        <is>
          <t>08/04/2026</t>
        </is>
      </c>
      <c r="I9457" t="inlineStr">
        <is>
          <t>17/03/2026</t>
        </is>
      </c>
      <c r="J9457" t="inlineStr">
        <is>
          <t>Bán lẻ / Bán sỉ, Bán hàng / Kinh doanh, Tài chính / Đầu tư</t>
        </is>
      </c>
      <c r="K9457" t="inlineStr">
        <is>
          <t>2 - 3 Năm</t>
        </is>
      </c>
      <c r="L9457" s="8">
        <f>HYPERLINK("https://careerviet.vn/vi/tim-viec-lam/ha-noi-chuyen-vien-tu-van-tra-gop-o-to.35C6B9FB.html","Xem chi tiết")</f>
        <v/>
      </c>
    </row>
    <row r="9458">
      <c r="B9458" s="9" t="n">
        <v>9456</v>
      </c>
      <c r="C9458" s="10" t="inlineStr">
        <is>
          <t>HR - Admin Executive</t>
        </is>
      </c>
      <c r="D9458" s="10" t="inlineStr">
        <is>
          <t>CÔNG TY TNHH KHÁM PHÁ TRẢI NGHIỆM TỔ ONG</t>
        </is>
      </c>
      <c r="E9458" s="10" t="inlineStr">
        <is>
          <t>Lương:Cạnh tranh</t>
        </is>
      </c>
      <c r="F9458" s="10" t="inlineStr">
        <is>
          <t>Hồ Chí Minh</t>
        </is>
      </c>
      <c r="G9458" s="10" t="inlineStr">
        <is>
          <t>09-04-2026</t>
        </is>
      </c>
      <c r="H9458" s="10" t="inlineStr">
        <is>
          <t>09/04/2026</t>
        </is>
      </c>
      <c r="I9458" s="10" t="inlineStr">
        <is>
          <t>17/03/2026</t>
        </is>
      </c>
      <c r="J9458" s="10" t="inlineStr">
        <is>
          <t>Nhân sự, Hành chính / Thư ký, Luật / Pháp lý</t>
        </is>
      </c>
      <c r="K9458" s="10" t="inlineStr">
        <is>
          <t>N/A</t>
        </is>
      </c>
      <c r="L9458" s="11">
        <f>HYPERLINK("https://careerviet.vn/vi/tim-viec-lam/hr-admin-executive.35C6B9B0.html","Xem chi tiết")</f>
        <v/>
      </c>
      <c r="M9458" s="10" t="n"/>
    </row>
    <row r="9459">
      <c r="B9459" s="7" t="n">
        <v>9457</v>
      </c>
      <c r="C9459" t="inlineStr">
        <is>
          <t>Chuyên viên Phân tích Dữ liệu (Khối CNTT)</t>
        </is>
      </c>
      <c r="D9459" t="inlineStr">
        <is>
          <t>Ngân Hàng TMCP Sài Gòn - Hà Nội ( SHB )</t>
        </is>
      </c>
      <c r="E9459" t="inlineStr">
        <is>
          <t>Lương:Cạnh tranh</t>
        </is>
      </c>
      <c r="F9459" t="inlineStr">
        <is>
          <t>Hà Nội</t>
        </is>
      </c>
      <c r="G9459" t="inlineStr">
        <is>
          <t>06-04-2026</t>
        </is>
      </c>
      <c r="H9459" t="inlineStr">
        <is>
          <t>06/04/2026</t>
        </is>
      </c>
      <c r="I9459" t="inlineStr">
        <is>
          <t>17/03/2026</t>
        </is>
      </c>
      <c r="J9459" t="inlineStr">
        <is>
          <t>CNTT - Phần mềm, Ngân hàng</t>
        </is>
      </c>
      <c r="K9459" t="inlineStr">
        <is>
          <t>Trên 2 Năm</t>
        </is>
      </c>
      <c r="L9459" s="8">
        <f>HYPERLINK("https://careerviet.vn/vi/tim-viec-lam/chuyen-vien-phan-tich-du-lieu-khoi-cntt.35C6B6E7.html","Xem chi tiết")</f>
        <v/>
      </c>
    </row>
    <row r="9460">
      <c r="B9460" s="9" t="n">
        <v>9458</v>
      </c>
      <c r="C9460" s="10" t="inlineStr">
        <is>
          <t>Nhân viên kỹ thuật bảo trì (Bảo trì điện lạnh)</t>
        </is>
      </c>
      <c r="D9460" s="10" t="inlineStr">
        <is>
          <t>CÔNG TY CP CHẾ BIẾN DỪA Á CHÂU</t>
        </is>
      </c>
      <c r="E9460" s="10" t="inlineStr">
        <is>
          <t>Lương:Cạnh tranh</t>
        </is>
      </c>
      <c r="F9460" s="10" t="inlineStr">
        <is>
          <t>Bến Tre</t>
        </is>
      </c>
      <c r="G9460" s="10" t="inlineStr">
        <is>
          <t>31-03-2026</t>
        </is>
      </c>
      <c r="H9460" s="10" t="inlineStr">
        <is>
          <t>31/03/2026</t>
        </is>
      </c>
      <c r="I9460" s="10" t="inlineStr">
        <is>
          <t>17/03/2026</t>
        </is>
      </c>
      <c r="J9460" s="10" t="inlineStr">
        <is>
          <t>Điện / Điện tử / Điện lạnh / Điện công nghiệp, Bảo trì / Sửa chữa</t>
        </is>
      </c>
      <c r="K9460" s="10" t="inlineStr">
        <is>
          <t>1 - 2 Năm</t>
        </is>
      </c>
      <c r="L9460" s="11">
        <f>HYPERLINK("https://careerviet.vn/vi/tim-viec-lam/nhan-vien-ky-thuat-bao-tri-bao-tri-dien-lanh.35C6B725.html","Xem chi tiết")</f>
        <v/>
      </c>
      <c r="M9460" s="10" t="n"/>
    </row>
    <row r="9461">
      <c r="B9461" s="7" t="n">
        <v>9459</v>
      </c>
      <c r="C9461" t="inlineStr">
        <is>
          <t>Chuyên viên khách hàng cá nhân - Hải Phòng</t>
        </is>
      </c>
      <c r="D9461" t="inlineStr">
        <is>
          <t>Ngân hàng TMCP Đại Chúng Việt Nam - PVcomBank</t>
        </is>
      </c>
      <c r="E9461" t="inlineStr">
        <is>
          <t>Lương:Cạnh tranh</t>
        </is>
      </c>
      <c r="F9461" t="inlineStr">
        <is>
          <t>Hải Phòng</t>
        </is>
      </c>
      <c r="G9461" t="inlineStr">
        <is>
          <t>21-04-2026</t>
        </is>
      </c>
      <c r="H9461" t="inlineStr">
        <is>
          <t>21/04/2026</t>
        </is>
      </c>
      <c r="I9461" t="inlineStr">
        <is>
          <t>17/03/2026</t>
        </is>
      </c>
      <c r="J9461" t="inlineStr">
        <is>
          <t>Ngân hàng</t>
        </is>
      </c>
      <c r="K9461" t="inlineStr">
        <is>
          <t>1 - 2 Năm</t>
        </is>
      </c>
      <c r="L9461" s="8">
        <f>HYPERLINK("https://careerviet.vn/vi/tim-viec-lam/chuyen-vien-khach-hang-ca-nhan-hai-phong.35C6B8FE.html","Xem chi tiết")</f>
        <v/>
      </c>
    </row>
    <row r="9462">
      <c r="B9462" s="9" t="n">
        <v>9460</v>
      </c>
      <c r="C9462" s="10" t="inlineStr">
        <is>
          <t>Nhân viên kinh doanh xuất khẩu</t>
        </is>
      </c>
      <c r="D9462" s="10" t="inlineStr">
        <is>
          <t>Công Ty Cổ Phần Tập Đoàn Ô Tô Hiệp Hòa</t>
        </is>
      </c>
      <c r="E9462" s="10" t="inlineStr">
        <is>
          <t>Lương:Cạnh tranh</t>
        </is>
      </c>
      <c r="F9462" s="10" t="inlineStr">
        <is>
          <t>Hà Nội</t>
        </is>
      </c>
      <c r="G9462" s="10" t="inlineStr">
        <is>
          <t>30-04-2026</t>
        </is>
      </c>
      <c r="H9462" s="10" t="inlineStr">
        <is>
          <t>30/04/2026</t>
        </is>
      </c>
      <c r="I9462" s="10" t="inlineStr">
        <is>
          <t>17/03/2026</t>
        </is>
      </c>
      <c r="J9462" s="10" t="inlineStr">
        <is>
          <t>Thương mại điện tử, Bán hàng / Kinh doanh, Tiếp thị / Marketing</t>
        </is>
      </c>
      <c r="K9462" s="10" t="inlineStr">
        <is>
          <t>Trên 1 Năm</t>
        </is>
      </c>
      <c r="L9462" s="11">
        <f>HYPERLINK("https://careerviet.vn/vi/tim-viec-lam/nhan-vien-kinh-doanh-xuat-khau.35C6B7A0.html","Xem chi tiết")</f>
        <v/>
      </c>
      <c r="M9462" s="10" t="n"/>
    </row>
    <row r="9463">
      <c r="B9463" s="7" t="n">
        <v>9461</v>
      </c>
      <c r="C9463" t="inlineStr">
        <is>
          <t>Chuyên viên Mô hình và Phân tích nâng cao - Data Scientist - Modeling and Advanced Analytics - Khối Dữ liệu (HOLT.07)</t>
        </is>
      </c>
      <c r="D9463" t="inlineStr">
        <is>
          <t>Ngân Hàng TMCP Quân Đội</t>
        </is>
      </c>
      <c r="E9463" t="inlineStr">
        <is>
          <t>Lương:Cạnh tranh</t>
        </is>
      </c>
      <c r="F9463" t="inlineStr">
        <is>
          <t>Hà Nội</t>
        </is>
      </c>
      <c r="G9463" t="inlineStr">
        <is>
          <t>09-04-2026</t>
        </is>
      </c>
      <c r="H9463" t="inlineStr">
        <is>
          <t>09/04/2026</t>
        </is>
      </c>
      <c r="I9463" t="inlineStr">
        <is>
          <t>17/03/2026</t>
        </is>
      </c>
      <c r="J9463" t="inlineStr">
        <is>
          <t>Ngân hàng, CNTT - Phần mềm, CNTT - Phần cứng / Mạng</t>
        </is>
      </c>
      <c r="K9463" t="inlineStr">
        <is>
          <t>Lên đến 2 Năm</t>
        </is>
      </c>
      <c r="L9463" s="8">
        <f>HYPERLINK("https://careerviet.vn/vi/tim-viec-lam/chuyen-vien-mo-hinh-va-phan-tich-nang-cao-data-scientist-modeling-and-advanced-analytics-khoi-du-lieu-holt-07.35C6B8C0.html","Xem chi tiết")</f>
        <v/>
      </c>
    </row>
    <row r="9464">
      <c r="B9464" s="9" t="n">
        <v>9462</v>
      </c>
      <c r="C9464" s="10" t="inlineStr">
        <is>
          <t>Nhân Viên Facebook Ads (Ưu Tiên Chạy Performance - Vít Ads) - Thu Nhập 15 - 30tr - Quận 2</t>
        </is>
      </c>
      <c r="D9464" s="10" t="inlineStr">
        <is>
          <t>CÔNG TY CỔ PHẦN NÔNG NGHIỆP AGRIZEN</t>
        </is>
      </c>
      <c r="E9464" s="10" t="inlineStr">
        <is>
          <t>Lương:15 Tr - 30 Tr VND</t>
        </is>
      </c>
      <c r="F9464" s="10" t="inlineStr">
        <is>
          <t>Hồ Chí Minh</t>
        </is>
      </c>
      <c r="G9464" s="10" t="inlineStr">
        <is>
          <t>08-04-2026</t>
        </is>
      </c>
      <c r="H9464" s="10" t="inlineStr">
        <is>
          <t>08/04/2026</t>
        </is>
      </c>
      <c r="I9464" s="10" t="inlineStr">
        <is>
          <t>17/03/2026</t>
        </is>
      </c>
      <c r="J9464" s="10" t="inlineStr">
        <is>
          <t>Tiếp thị trực tuyến, Quảng cáo / Đối ngoại / Truyền Thông, Tiếp thị / Marketing</t>
        </is>
      </c>
      <c r="K9464" s="10" t="inlineStr">
        <is>
          <t>Lên đến 1 Năm</t>
        </is>
      </c>
      <c r="L9464" s="11">
        <f>HYPERLINK("https://careerviet.vn/vi/tim-viec-lam/nhan-vien-facebook-ads-uu-tien-chay-performance-vit-ads-thu-nhap-15-30tr-quan-2.35C6B800.html","Xem chi tiết")</f>
        <v/>
      </c>
      <c r="M9464" s="10" t="n"/>
    </row>
    <row r="9465">
      <c r="B9465" s="7" t="n">
        <v>9463</v>
      </c>
      <c r="C9465" t="inlineStr">
        <is>
          <t>CHUYÊN VIÊN KHÁCH HÀNG DOANH NGHIỆP - CHI NHÁNH BẮC GIANG - KHU VỰC MIỀN BẮC</t>
        </is>
      </c>
      <c r="D9465" t="inlineStr">
        <is>
          <t>NGÂN HÀNG TMCP SÀI GÒN THƯƠNG TÍN (SACOMBANK)</t>
        </is>
      </c>
      <c r="E9465" t="inlineStr">
        <is>
          <t>Lương:Cạnh tranh</t>
        </is>
      </c>
      <c r="F9465" t="inlineStr">
        <is>
          <t>Bắc Giang</t>
        </is>
      </c>
      <c r="G9465" t="inlineStr">
        <is>
          <t>30-04-2026</t>
        </is>
      </c>
      <c r="H9465" t="inlineStr">
        <is>
          <t>30/04/2026</t>
        </is>
      </c>
      <c r="I9465" t="inlineStr">
        <is>
          <t>17/03/2026</t>
        </is>
      </c>
      <c r="J9465" t="inlineStr">
        <is>
          <t>Ngân hàng, Bảo hiểm, Tài chính / Đầu tư</t>
        </is>
      </c>
      <c r="K9465" t="inlineStr">
        <is>
          <t>N/A</t>
        </is>
      </c>
      <c r="L9465" s="8">
        <f>HYPERLINK("https://careerviet.vn/vi/tim-viec-lam/chuyen-vien-khach-hang-doanh-nghiep-chi-nhanh-bac-giang-khu-vuc-mien-bac.35C6B49B.html","Xem chi tiết")</f>
        <v/>
      </c>
    </row>
    <row r="9466">
      <c r="B9466" s="9" t="n">
        <v>9464</v>
      </c>
      <c r="C9466" s="10" t="inlineStr">
        <is>
          <t>Chuyên viên cao cấp Kiểm soát Chi phí Xây dựng - HO - 4H107</t>
        </is>
      </c>
      <c r="D9466" s="10" t="inlineStr">
        <is>
          <t>Tập đoàn ROX (ROX Group)</t>
        </is>
      </c>
      <c r="E9466" s="10" t="inlineStr">
        <is>
          <t>Lương:Cạnh tranh</t>
        </is>
      </c>
      <c r="F9466" s="10" t="inlineStr">
        <is>
          <t>Hà Nội</t>
        </is>
      </c>
      <c r="G9466" s="10" t="inlineStr">
        <is>
          <t>12-04-2026</t>
        </is>
      </c>
      <c r="H9466" s="10" t="inlineStr">
        <is>
          <t>12/04/2026</t>
        </is>
      </c>
      <c r="I9466" s="10" t="inlineStr">
        <is>
          <t>17/03/2026</t>
        </is>
      </c>
      <c r="J9466" s="10" t="inlineStr">
        <is>
          <t>Xây dựng</t>
        </is>
      </c>
      <c r="K9466" s="10" t="inlineStr">
        <is>
          <t>Trên 4 Năm</t>
        </is>
      </c>
      <c r="L9466" s="11">
        <f>HYPERLINK("https://careerviet.vn/vi/tim-viec-lam/chuyen-vien-cao-cap-kiem-soat-chi-phi-xay-dung-ho-4h107.35C6B738.html","Xem chi tiết")</f>
        <v/>
      </c>
      <c r="M9466" s="10" t="n"/>
    </row>
    <row r="9467">
      <c r="B9467" s="7" t="n">
        <v>9465</v>
      </c>
      <c r="C9467" t="inlineStr">
        <is>
          <t>GIÁM ĐỐC KHU VỰC NGÀNH HÀNG THIẾT BỊ ĐIỆN (Khu vực Miền Trung/Miền Tây)</t>
        </is>
      </c>
      <c r="D9467" t="inlineStr">
        <is>
          <t>CÔNG TY TNHH SẢN XUẤT TẬP ĐOÀN ĐẠI VIỆT</t>
        </is>
      </c>
      <c r="E9467" t="inlineStr">
        <is>
          <t>Lương:40 Tr - 60 Tr VND</t>
        </is>
      </c>
      <c r="F9467" t="inlineStr">
        <is>
          <t>Hồ Chí Minh</t>
        </is>
      </c>
      <c r="G9467" t="inlineStr">
        <is>
          <t>09-04-2026</t>
        </is>
      </c>
      <c r="H9467" t="inlineStr">
        <is>
          <t>09/04/2026</t>
        </is>
      </c>
      <c r="I9467" t="inlineStr">
        <is>
          <t>17/03/2026</t>
        </is>
      </c>
      <c r="J9467" t="inlineStr">
        <is>
          <t>Bán hàng / Kinh doanh, Bán Hàng Kỹ Thuật, Điện / Điện tử / Điện lạnh / Điện công nghiệp</t>
        </is>
      </c>
      <c r="K9467" t="inlineStr">
        <is>
          <t>3 - 5 Năm</t>
        </is>
      </c>
      <c r="L9467" s="8">
        <f>HYPERLINK("https://careerviet.vn/vi/tim-viec-lam/giam-doc-khu-vuc-nganh-hang-thiet-bi-dien-khu-vuc-mien-trung-mien-tay.35C6B7DD.html","Xem chi tiết")</f>
        <v/>
      </c>
    </row>
    <row r="9468">
      <c r="B9468" s="9" t="n">
        <v>9466</v>
      </c>
      <c r="C9468" s="10" t="inlineStr">
        <is>
          <t>Community Admin</t>
        </is>
      </c>
      <c r="D9468" s="10" t="inlineStr">
        <is>
          <t>Công Ty Cổ Phần TEECOM</t>
        </is>
      </c>
      <c r="E9468" s="10" t="inlineStr">
        <is>
          <t>Lương:Cạnh tranh</t>
        </is>
      </c>
      <c r="F9468" s="10" t="inlineStr">
        <is>
          <t>Hồ Chí Minh</t>
        </is>
      </c>
      <c r="G9468" s="10" t="inlineStr">
        <is>
          <t>3</t>
        </is>
      </c>
      <c r="H9468" s="10" t="inlineStr">
        <is>
          <t>20/03/2026</t>
        </is>
      </c>
      <c r="I9468" s="10" t="inlineStr">
        <is>
          <t>17/03/2026</t>
        </is>
      </c>
      <c r="J9468" s="10" t="inlineStr">
        <is>
          <t>Tiếp thị trực tuyến, Thương mại điện tử, Tiếp thị / Marketing</t>
        </is>
      </c>
      <c r="K9468" s="10" t="inlineStr">
        <is>
          <t>1 - 2 Năm</t>
        </is>
      </c>
      <c r="L9468" s="11">
        <f>HYPERLINK("https://careerviet.vn/vi/tim-viec-lam/community-admin.35C6BA45.html","Xem chi tiết")</f>
        <v/>
      </c>
      <c r="M9468" s="10" t="n"/>
    </row>
    <row r="9469">
      <c r="B9469" s="7" t="n">
        <v>9467</v>
      </c>
      <c r="C9469" t="inlineStr">
        <is>
          <t>Chuyên viên kinh doanh kênh MT</t>
        </is>
      </c>
      <c r="D9469" t="inlineStr">
        <is>
          <t>Hệ thống Vĩnh Tân</t>
        </is>
      </c>
      <c r="E9469" t="inlineStr">
        <is>
          <t>Lương:10 Tr - 12 Tr VND</t>
        </is>
      </c>
      <c r="F9469" t="inlineStr">
        <is>
          <t>Hồ Chí Minh</t>
        </is>
      </c>
      <c r="G9469" t="inlineStr">
        <is>
          <t>09-04-2026</t>
        </is>
      </c>
      <c r="H9469" t="inlineStr">
        <is>
          <t>09/04/2026</t>
        </is>
      </c>
      <c r="I9469" t="inlineStr">
        <is>
          <t>17/03/2026</t>
        </is>
      </c>
      <c r="J9469" t="inlineStr">
        <is>
          <t>Bán lẻ / Bán sỉ, Bán hàng / Kinh doanh, Thực phẩm &amp; Đồ uống</t>
        </is>
      </c>
      <c r="K9469" t="inlineStr">
        <is>
          <t>3 - 5 Năm</t>
        </is>
      </c>
      <c r="L9469" s="8">
        <f>HYPERLINK("https://careerviet.vn/vi/tim-viec-lam/chuyen-vien-kinh-doanh-kenh-mt.35C6B6C4.html","Xem chi tiết")</f>
        <v/>
      </c>
    </row>
    <row r="9470">
      <c r="B9470" s="9" t="n">
        <v>9468</v>
      </c>
      <c r="C9470" s="10" t="inlineStr">
        <is>
          <t>Chuyên viên mua hàng nhập khẩu</t>
        </is>
      </c>
      <c r="D9470" s="10" t="inlineStr">
        <is>
          <t>CÔNG TY TNHH TÚ PHƯỢNG TONY</t>
        </is>
      </c>
      <c r="E9470" s="10" t="inlineStr">
        <is>
          <t>Lương:17 Tr - 20 Tr VND</t>
        </is>
      </c>
      <c r="F9470" s="10" t="inlineStr">
        <is>
          <t>Hồ Chí Minh</t>
        </is>
      </c>
      <c r="G9470" s="10" t="inlineStr">
        <is>
          <t>30-04-2026</t>
        </is>
      </c>
      <c r="H9470" s="10" t="inlineStr">
        <is>
          <t>30/04/2026</t>
        </is>
      </c>
      <c r="I9470" s="10" t="inlineStr">
        <is>
          <t>17/03/2026</t>
        </is>
      </c>
      <c r="J9470" s="10" t="inlineStr">
        <is>
          <t>Bán lẻ / Bán sỉ, Xuất nhập khẩu, Thu mua / Vật tư</t>
        </is>
      </c>
      <c r="K9470" s="10" t="inlineStr">
        <is>
          <t>2 - 5 Năm</t>
        </is>
      </c>
      <c r="L9470" s="11">
        <f>HYPERLINK("https://careerviet.vn/vi/tim-viec-lam/chuyen-vien-mua-hang-nhap-khau.35C6B487.html","Xem chi tiết")</f>
        <v/>
      </c>
      <c r="M9470" s="10" t="n"/>
    </row>
    <row r="9471">
      <c r="B9471" s="7" t="n">
        <v>9469</v>
      </c>
      <c r="C9471" t="inlineStr">
        <is>
          <t>[Quận 7] - Nhân viên Vận hành hệ thống cấp thoát nước</t>
        </is>
      </c>
      <c r="D9471" t="inlineStr">
        <is>
          <t>Công ty TNHH Phát triển Phú Mỹ Hưng</t>
        </is>
      </c>
      <c r="E9471" t="inlineStr">
        <is>
          <t>Lương:8 Tr - 9 Tr VND</t>
        </is>
      </c>
      <c r="F9471" t="inlineStr">
        <is>
          <t>Hồ Chí Minh</t>
        </is>
      </c>
      <c r="G9471" t="inlineStr">
        <is>
          <t>31-03-2026</t>
        </is>
      </c>
      <c r="H9471" t="inlineStr">
        <is>
          <t>31/03/2026</t>
        </is>
      </c>
      <c r="I9471" t="inlineStr">
        <is>
          <t>17/03/2026</t>
        </is>
      </c>
      <c r="J9471" t="inlineStr">
        <is>
          <t>Môi trường, Bảo trì / Sửa chữa</t>
        </is>
      </c>
      <c r="K9471" t="inlineStr">
        <is>
          <t>N/A</t>
        </is>
      </c>
      <c r="L9471" s="8">
        <f>HYPERLINK("https://careerviet.vn/vi/tim-viec-lam/quan-7-nhan-vien-van-hanh-he-thong-cap-thoat-nuoc.35C6B85E.html","Xem chi tiết")</f>
        <v/>
      </c>
    </row>
    <row r="9472">
      <c r="B9472" s="9" t="n">
        <v>9470</v>
      </c>
      <c r="C9472" s="10" t="inlineStr">
        <is>
          <t>Senior Digital Marketing Executive</t>
        </is>
      </c>
      <c r="D9472" s="10" t="inlineStr">
        <is>
          <t>ILA Việt Nam</t>
        </is>
      </c>
      <c r="E9472" s="10" t="inlineStr">
        <is>
          <t>Lương:Cạnh tranh</t>
        </is>
      </c>
      <c r="F9472" s="10" t="inlineStr">
        <is>
          <t>Hồ Chí Minh</t>
        </is>
      </c>
      <c r="G9472" s="10" t="inlineStr">
        <is>
          <t>11-04-2026</t>
        </is>
      </c>
      <c r="H9472" s="10" t="inlineStr">
        <is>
          <t>11/04/2026</t>
        </is>
      </c>
      <c r="I9472" s="10" t="inlineStr">
        <is>
          <t>17/03/2026</t>
        </is>
      </c>
      <c r="J9472" s="10" t="inlineStr">
        <is>
          <t>Tiếp thị / Marketing</t>
        </is>
      </c>
      <c r="K9472" s="10" t="inlineStr">
        <is>
          <t>5 - 8 Năm</t>
        </is>
      </c>
      <c r="L9472" s="11">
        <f>HYPERLINK("https://careerviet.vn/vi/tim-viec-lam/senior-digital-marketing-executive.35C6B804.html","Xem chi tiết")</f>
        <v/>
      </c>
      <c r="M9472" s="10" t="n"/>
    </row>
    <row r="9473">
      <c r="B9473" s="7" t="n">
        <v>9471</v>
      </c>
      <c r="C9473" t="inlineStr">
        <is>
          <t>Kỹ Sư QS (Phòng Dự Án)</t>
        </is>
      </c>
      <c r="D9473" t="inlineStr">
        <is>
          <t>Công Ty TNHH Kỹ Thuật Và Xây Dựng TAMADA</t>
        </is>
      </c>
      <c r="E9473" t="inlineStr">
        <is>
          <t>Lương:12 Tr - 15 Tr VND</t>
        </is>
      </c>
      <c r="F9473" t="inlineStr">
        <is>
          <t>Hồ Chí Minh</t>
        </is>
      </c>
      <c r="G9473" t="inlineStr">
        <is>
          <t>04-04-2026</t>
        </is>
      </c>
      <c r="H9473" t="inlineStr">
        <is>
          <t>04/04/2026</t>
        </is>
      </c>
      <c r="I9473" t="inlineStr">
        <is>
          <t>17/03/2026</t>
        </is>
      </c>
      <c r="J9473" t="inlineStr">
        <is>
          <t>Xây dựng, Điện / Điện tử / Điện lạnh / Điện công nghiệp</t>
        </is>
      </c>
      <c r="K9473" t="inlineStr">
        <is>
          <t>1 - 2 Năm</t>
        </is>
      </c>
      <c r="L9473" s="8">
        <f>HYPERLINK("https://careerviet.vn/vi/tim-viec-lam/ky-su-qs-phong-du-an.35C6B76E.html","Xem chi tiết")</f>
        <v/>
      </c>
    </row>
    <row r="9474">
      <c r="B9474" s="9" t="n">
        <v>9472</v>
      </c>
      <c r="C9474" s="10" t="inlineStr">
        <is>
          <t>[PGD Giồng Trôm] Chuyên viên Quan hệ Khách hàng cá nhân Priority</t>
        </is>
      </c>
      <c r="D9474" s="10" t="inlineStr">
        <is>
          <t>Ngân hàng TMCP Lộc Phát Việt Nam (LPBank)</t>
        </is>
      </c>
      <c r="E9474" s="10" t="inlineStr">
        <is>
          <t>Lương:Cạnh tranh</t>
        </is>
      </c>
      <c r="F9474" s="10" t="inlineStr">
        <is>
          <t>Bến Tre</t>
        </is>
      </c>
      <c r="G9474" s="10" t="inlineStr">
        <is>
          <t>21-04-2026</t>
        </is>
      </c>
      <c r="H9474" s="10" t="inlineStr">
        <is>
          <t>21/04/2026</t>
        </is>
      </c>
      <c r="I9474" s="10" t="inlineStr">
        <is>
          <t>17/03/2026</t>
        </is>
      </c>
      <c r="J9474" s="10" t="inlineStr">
        <is>
          <t>Bảo hiểm, Bất động sản, Bán hàng / Kinh doanh</t>
        </is>
      </c>
      <c r="K9474" s="10" t="inlineStr">
        <is>
          <t>Trên 1 Năm</t>
        </is>
      </c>
      <c r="L9474" s="11">
        <f>HYPERLINK("https://careerviet.vn/vi/tim-viec-lam/pgd-giong-trom-chuyen-vien-quan-he-khach-hang-ca-nhan-priority.35C6B991.html","Xem chi tiết")</f>
        <v/>
      </c>
      <c r="M9474" s="10" t="n"/>
    </row>
    <row r="9475">
      <c r="B9475" s="7" t="n">
        <v>9473</v>
      </c>
      <c r="C9475" t="inlineStr">
        <is>
          <t>[ Đống Nai] Giám Sát Kinh Doanh Bán Hàng Trực Tiếp</t>
        </is>
      </c>
      <c r="D9475" t="inlineStr">
        <is>
          <t>Công Ty Tài Chính Mirae Asset (Việt Nam)</t>
        </is>
      </c>
      <c r="E9475" t="inlineStr">
        <is>
          <t>Lương:Cạnh tranh</t>
        </is>
      </c>
      <c r="F9475" t="inlineStr">
        <is>
          <t>Đồng NaiKV Đông Nam Bộ</t>
        </is>
      </c>
      <c r="G9475" t="inlineStr">
        <is>
          <t>08-04-2026</t>
        </is>
      </c>
      <c r="H9475" t="inlineStr">
        <is>
          <t>08/04/2026</t>
        </is>
      </c>
      <c r="I9475" t="inlineStr">
        <is>
          <t>17/03/2026</t>
        </is>
      </c>
      <c r="J9475" t="inlineStr">
        <is>
          <t>Dịch vụ khách hàng, Bán hàng / Kinh doanh, Tài chính / Đầu tư</t>
        </is>
      </c>
      <c r="K9475" t="inlineStr">
        <is>
          <t>2 - 3 Năm</t>
        </is>
      </c>
      <c r="L9475" s="8">
        <f>HYPERLINK("https://careerviet.vn/vi/tim-viec-lam/dong-nai-giam-sat-kinh-doanh-ban-hang-truc-tiep.35C6B9EE.html","Xem chi tiết")</f>
        <v/>
      </c>
    </row>
    <row r="9476">
      <c r="B9476" s="9" t="n">
        <v>9474</v>
      </c>
      <c r="C9476" s="10" t="inlineStr">
        <is>
          <t>Trưởng phòng Kế toán - Tổng hợp khu vực Nghệ An</t>
        </is>
      </c>
      <c r="D9476" s="10" t="inlineStr">
        <is>
          <t>TỔNG CÔNG TY CỔ PHẦN BẢO HIỂM HÙNG VƯƠNG</t>
        </is>
      </c>
      <c r="E9476" s="10" t="inlineStr">
        <is>
          <t>Lương:Cạnh tranh</t>
        </is>
      </c>
      <c r="F9476" s="10" t="inlineStr">
        <is>
          <t>Nghệ An</t>
        </is>
      </c>
      <c r="G9476" s="10" t="inlineStr">
        <is>
          <t>08-04-2026</t>
        </is>
      </c>
      <c r="H9476" s="10" t="inlineStr">
        <is>
          <t>08/04/2026</t>
        </is>
      </c>
      <c r="I9476" s="10" t="inlineStr">
        <is>
          <t>17/03/2026</t>
        </is>
      </c>
      <c r="J9476" s="10" t="inlineStr">
        <is>
          <t>Kế toán / Kiểm toán, Bảo hiểm</t>
        </is>
      </c>
      <c r="K9476" s="10" t="inlineStr">
        <is>
          <t>Trên 3 Năm</t>
        </is>
      </c>
      <c r="L9476" s="11">
        <f>HYPERLINK("https://careerviet.vn/vi/tim-viec-lam/truong-phong-ke-toan-tong-hop-khu-vuc-nghe-an.35C6B7D6.html","Xem chi tiết")</f>
        <v/>
      </c>
      <c r="M9476" s="10" t="n"/>
    </row>
    <row r="9477">
      <c r="B9477" s="7" t="n">
        <v>9475</v>
      </c>
      <c r="C9477" t="inlineStr">
        <is>
          <t>Chuyên viên Quan hệ Khách hàng Doanh nghiệp (Toàn quốc)</t>
        </is>
      </c>
      <c r="D9477" t="inlineStr">
        <is>
          <t>Ngân Hàng TMCP Sài Gòn - Hà Nội ( SHB )</t>
        </is>
      </c>
      <c r="E9477" t="inlineStr">
        <is>
          <t>Lương:Cạnh tranh</t>
        </is>
      </c>
      <c r="F9477" t="inlineStr">
        <is>
          <t>Tuyên QuangTây NinhPhú Thọ</t>
        </is>
      </c>
      <c r="G9477" t="inlineStr">
        <is>
          <t>06-04-2026</t>
        </is>
      </c>
      <c r="H9477" t="inlineStr">
        <is>
          <t>06/04/2026</t>
        </is>
      </c>
      <c r="I9477" t="inlineStr">
        <is>
          <t>17/03/2026</t>
        </is>
      </c>
      <c r="J9477" t="inlineStr">
        <is>
          <t>Ngân hàng, Bán hàng / Kinh doanh</t>
        </is>
      </c>
      <c r="K9477" t="inlineStr">
        <is>
          <t>Chưa có kinh nghiệm</t>
        </is>
      </c>
      <c r="L9477" s="8">
        <f>HYPERLINK("https://careerviet.vn/vi/tim-viec-lam/chuyen-vien-quan-he-khach-hang-doanh-nghiep-toan-quoc.35C6B6DF.html","Xem chi tiết")</f>
        <v/>
      </c>
    </row>
    <row r="9478">
      <c r="B9478" s="9" t="n">
        <v>9476</v>
      </c>
      <c r="C9478" s="10" t="inlineStr">
        <is>
          <t>Kế toán tổng hợp</t>
        </is>
      </c>
      <c r="D9478" s="10" t="inlineStr">
        <is>
          <t>Công ty cổ phần Xây dựng Công trình IPC</t>
        </is>
      </c>
      <c r="E9478" s="10" t="inlineStr">
        <is>
          <t>Lương:15 Tr - 20 Tr VND</t>
        </is>
      </c>
      <c r="F9478" s="10" t="inlineStr">
        <is>
          <t>Hà Nội</t>
        </is>
      </c>
      <c r="G9478" s="10" t="inlineStr">
        <is>
          <t>29-03-2026</t>
        </is>
      </c>
      <c r="H9478" s="10" t="inlineStr">
        <is>
          <t>29/03/2026</t>
        </is>
      </c>
      <c r="I9478" s="10" t="inlineStr">
        <is>
          <t>17/03/2026</t>
        </is>
      </c>
      <c r="J9478" s="10" t="inlineStr">
        <is>
          <t>Kế toán / Kiểm toán, Tài chính / Đầu tư</t>
        </is>
      </c>
      <c r="K9478" s="10" t="inlineStr">
        <is>
          <t>Trên 3 Năm</t>
        </is>
      </c>
      <c r="L9478" s="11">
        <f>HYPERLINK("https://careerviet.vn/vi/tim-viec-lam/ke-toan-tong-hop.35C6B716.html","Xem chi tiết")</f>
        <v/>
      </c>
      <c r="M9478" s="10" t="n"/>
    </row>
    <row r="9479">
      <c r="B9479" s="7" t="n">
        <v>9477</v>
      </c>
      <c r="C9479" t="inlineStr">
        <is>
          <t>Senior Technical Executive/ Chuyên Viên Phát Triển Sản Phẩm Túi/ Hộp Giấy</t>
        </is>
      </c>
      <c r="D9479" t="inlineStr">
        <is>
          <t>CÔNG TY TNHH JANG TRIM</t>
        </is>
      </c>
      <c r="E9479" t="inlineStr">
        <is>
          <t>Lương:Cạnh tranh</t>
        </is>
      </c>
      <c r="F9479" t="inlineStr">
        <is>
          <t>Bình Dương</t>
        </is>
      </c>
      <c r="G9479" t="inlineStr">
        <is>
          <t>10-04-2026</t>
        </is>
      </c>
      <c r="H9479" t="inlineStr">
        <is>
          <t>10/04/2026</t>
        </is>
      </c>
      <c r="I9479" t="inlineStr">
        <is>
          <t>17/03/2026</t>
        </is>
      </c>
      <c r="J9479" t="inlineStr">
        <is>
          <t>Sản xuất / Vận hành sản xuất, Dệt may / Da giày / Thời trang, In ấn / Xuất bản</t>
        </is>
      </c>
      <c r="K9479" t="inlineStr">
        <is>
          <t>Trên 2 Năm</t>
        </is>
      </c>
      <c r="L9479" s="8">
        <f>HYPERLINK("https://careerviet.vn/vi/tim-viec-lam/senior-technical-executive-chuyen-vien-phat-trien-san-pham-tui-hop-giay.35C6B6A0.html","Xem chi tiết")</f>
        <v/>
      </c>
    </row>
    <row r="9480">
      <c r="B9480" s="9" t="n">
        <v>9478</v>
      </c>
      <c r="C9480" s="10" t="inlineStr">
        <is>
          <t>Kỹ Sư QA/QC</t>
        </is>
      </c>
      <c r="D9480" s="10" t="inlineStr">
        <is>
          <t>CÔNG TY CỔ PHẦN VĨNH QUANG</t>
        </is>
      </c>
      <c r="E9480" s="10" t="inlineStr">
        <is>
          <t>Lương:Cạnh tranh</t>
        </is>
      </c>
      <c r="F9480" s="10" t="inlineStr">
        <is>
          <t>Hồ Chí Minh</t>
        </is>
      </c>
      <c r="G9480" s="10" t="inlineStr">
        <is>
          <t>08-04-2026</t>
        </is>
      </c>
      <c r="H9480" s="10" t="inlineStr">
        <is>
          <t>08/04/2026</t>
        </is>
      </c>
      <c r="I9480" s="10" t="inlineStr">
        <is>
          <t>17/03/2026</t>
        </is>
      </c>
      <c r="J9480" s="10" t="inlineStr">
        <is>
          <t>Xây dựng, Bất động sản, Quản lý chất lượng (QA/QC)</t>
        </is>
      </c>
      <c r="K9480" s="10" t="inlineStr">
        <is>
          <t>3 - 5 Năm</t>
        </is>
      </c>
      <c r="L9480" s="11">
        <f>HYPERLINK("https://careerviet.vn/vi/tim-viec-lam/ky-su-qa-qc.35C6B73B.html","Xem chi tiết")</f>
        <v/>
      </c>
      <c r="M9480" s="10" t="n"/>
    </row>
    <row r="9481">
      <c r="B9481" s="7" t="n">
        <v>9479</v>
      </c>
      <c r="C9481" t="inlineStr">
        <is>
          <t>[NovaDreams] Trưởng bộ phận Kế toán Phan Thiết</t>
        </is>
      </c>
      <c r="D9481" t="inlineStr">
        <is>
          <t>Bảo mật</t>
        </is>
      </c>
      <c r="E9481" t="inlineStr">
        <is>
          <t>Lương:Cạnh tranh</t>
        </is>
      </c>
      <c r="F9481" t="inlineStr">
        <is>
          <t>Bình Thuận</t>
        </is>
      </c>
      <c r="G9481" t="inlineStr">
        <is>
          <t>10-04-2026</t>
        </is>
      </c>
      <c r="H9481" t="inlineStr">
        <is>
          <t>10/04/2026</t>
        </is>
      </c>
      <c r="I9481" t="inlineStr">
        <is>
          <t>17/03/2026</t>
        </is>
      </c>
      <c r="J9481" t="inlineStr">
        <is>
          <t>Kế toán / Kiểm toán</t>
        </is>
      </c>
      <c r="K9481" t="inlineStr">
        <is>
          <t>8 - 12 Năm</t>
        </is>
      </c>
      <c r="L9481" s="8">
        <f>HYPERLINK("https://careerviet.vn/vi/tim-viec-lam/novadreams-truong-bo-phan-ke-toan-phan-thiet.35C6B94D.html","Xem chi tiết")</f>
        <v/>
      </c>
    </row>
    <row r="9482">
      <c r="B9482" s="9" t="n">
        <v>9480</v>
      </c>
      <c r="C9482" s="10" t="inlineStr">
        <is>
          <t>Thủ Kho</t>
        </is>
      </c>
      <c r="D9482" s="10" t="inlineStr">
        <is>
          <t>Công Ty Cổ Phần Kiến Trúc Tư Vấn Quản Lý Đông Dương</t>
        </is>
      </c>
      <c r="E9482" s="10" t="inlineStr">
        <is>
          <t>Lương:Cạnh tranh</t>
        </is>
      </c>
      <c r="F9482" s="10" t="inlineStr">
        <is>
          <t>Hà Nội</t>
        </is>
      </c>
      <c r="G9482" s="10" t="inlineStr">
        <is>
          <t>09-04-2026</t>
        </is>
      </c>
      <c r="H9482" s="10" t="inlineStr">
        <is>
          <t>09/04/2026</t>
        </is>
      </c>
      <c r="I9482" s="10" t="inlineStr">
        <is>
          <t>17/03/2026</t>
        </is>
      </c>
      <c r="J9482" s="10" t="inlineStr">
        <is>
          <t>Thu mua / Vật tư, Xây dựng, Bất động sản</t>
        </is>
      </c>
      <c r="K9482" s="10" t="inlineStr">
        <is>
          <t>2 - 10 Năm</t>
        </is>
      </c>
      <c r="L9482" s="11">
        <f>HYPERLINK("https://careerviet.vn/vi/tim-viec-lam/thu-kho.35C6B8A0.html","Xem chi tiết")</f>
        <v/>
      </c>
      <c r="M9482" s="10" t="n"/>
    </row>
    <row r="9483">
      <c r="B9483" s="7" t="n">
        <v>9481</v>
      </c>
      <c r="C9483" t="inlineStr">
        <is>
          <t>[02.2026]  - Trình Dược Viên ETC (Chăm sóc sức khoẻ)</t>
        </is>
      </c>
      <c r="D9483" t="inlineStr">
        <is>
          <t>Mega Lifesciences (Vietnam)</t>
        </is>
      </c>
      <c r="E9483" t="inlineStr">
        <is>
          <t>Lương:12 Tr - 25 Tr VND</t>
        </is>
      </c>
      <c r="F9483" t="inlineStr">
        <is>
          <t>Hồ Chí Minh</t>
        </is>
      </c>
      <c r="G9483" t="inlineStr">
        <is>
          <t>31-03-2026</t>
        </is>
      </c>
      <c r="H9483" t="inlineStr">
        <is>
          <t>31/03/2026</t>
        </is>
      </c>
      <c r="I9483" t="inlineStr">
        <is>
          <t>17/03/2026</t>
        </is>
      </c>
      <c r="J9483" t="inlineStr">
        <is>
          <t>Bán hàng / Kinh doanh, Dược phẩm/ Hóa Mỹ Phẩm, Y tế / Chăm sóc sức khỏe / Thẩm mỹ / Làm đẹp</t>
        </is>
      </c>
      <c r="K9483" t="inlineStr">
        <is>
          <t>1 - 2 Năm</t>
        </is>
      </c>
      <c r="L9483" s="8">
        <f>HYPERLINK("https://careerviet.vn/vi/tim-viec-lam/02-2026-trinh-duoc-vien-etc-cham-soc-suc-khoe.35C6B872.html","Xem chi tiết")</f>
        <v/>
      </c>
    </row>
    <row r="9484">
      <c r="B9484" s="9" t="n">
        <v>9482</v>
      </c>
      <c r="C9484" s="10" t="inlineStr">
        <is>
          <t>CHUYÊN VIÊN KINH DOANH</t>
        </is>
      </c>
      <c r="D9484" s="10" t="inlineStr">
        <is>
          <t>CÔNG TY CỔ PHẦN CẢNG TÀU KHÁCH QUỐC TẾ TUẦN CHÂU</t>
        </is>
      </c>
      <c r="E9484" s="10" t="inlineStr">
        <is>
          <t>Lương:Cạnh tranh</t>
        </is>
      </c>
      <c r="F9484" s="10" t="inlineStr">
        <is>
          <t>Quảng Ninh</t>
        </is>
      </c>
      <c r="G9484" s="10" t="inlineStr">
        <is>
          <t>30-03-2026</t>
        </is>
      </c>
      <c r="H9484" s="10" t="inlineStr">
        <is>
          <t>30/03/2026</t>
        </is>
      </c>
      <c r="I9484" s="10" t="inlineStr">
        <is>
          <t>17/03/2026</t>
        </is>
      </c>
      <c r="J9484" s="10" t="inlineStr">
        <is>
          <t>Nhà hàng / Khách sạn, Bán hàng / Kinh doanh, Du lịch</t>
        </is>
      </c>
      <c r="K9484" s="10" t="inlineStr">
        <is>
          <t>2 - 5 Năm</t>
        </is>
      </c>
      <c r="L9484" s="11">
        <f>HYPERLINK("https://careerviet.vn/vi/tim-viec-lam/chuyen-vien-kinh-doanh.35C6B819.html","Xem chi tiết")</f>
        <v/>
      </c>
      <c r="M9484" s="10" t="n"/>
    </row>
    <row r="9485">
      <c r="B9485" s="7" t="n">
        <v>9483</v>
      </c>
      <c r="C9485" t="inlineStr">
        <is>
          <t>Nhân viên Sales Admin</t>
        </is>
      </c>
      <c r="D9485" t="inlineStr">
        <is>
          <t>Công Ty CP XNK Hóa Chất &amp; Thiết Bị Kim Ngưu</t>
        </is>
      </c>
      <c r="E9485" t="inlineStr">
        <is>
          <t>Lương:9 Tr - 12 Tr VND</t>
        </is>
      </c>
      <c r="F9485" t="inlineStr">
        <is>
          <t>Hồ Chí Minh</t>
        </is>
      </c>
      <c r="G9485" t="inlineStr">
        <is>
          <t>30-05-2026</t>
        </is>
      </c>
      <c r="H9485" t="inlineStr">
        <is>
          <t>30/05/2026</t>
        </is>
      </c>
      <c r="I9485" t="inlineStr">
        <is>
          <t>17/03/2026</t>
        </is>
      </c>
      <c r="J9485" t="inlineStr">
        <is>
          <t>Bán hàng / Kinh doanh, Hóa học</t>
        </is>
      </c>
      <c r="K9485" t="inlineStr">
        <is>
          <t>Trên 2 Năm</t>
        </is>
      </c>
      <c r="L9485" s="8">
        <f>HYPERLINK("https://careerviet.vn/vi/tim-viec-lam/nhan-vien-sales-admin.35C6B8BF.html","Xem chi tiết")</f>
        <v/>
      </c>
    </row>
    <row r="9486">
      <c r="B9486" s="9" t="n">
        <v>9484</v>
      </c>
      <c r="C9486" s="10" t="inlineStr">
        <is>
          <t>HO - Khối TT&amp;QTTC - CVCC/Chuyên gia Quản trị tài chính KHDN</t>
        </is>
      </c>
      <c r="D9486" s="10" t="inlineStr">
        <is>
          <t>Ngân hàng TMCP Lộc Phát Việt Nam (LPBank)</t>
        </is>
      </c>
      <c r="E9486" s="10" t="inlineStr">
        <is>
          <t>Lương:Cạnh tranh</t>
        </is>
      </c>
      <c r="F9486" s="10" t="inlineStr">
        <is>
          <t>Hà Nội</t>
        </is>
      </c>
      <c r="G9486" s="10" t="inlineStr">
        <is>
          <t>15-03-2026</t>
        </is>
      </c>
      <c r="H9486" s="10" t="inlineStr">
        <is>
          <t>08/03/2026</t>
        </is>
      </c>
      <c r="I9486" s="10" t="inlineStr">
        <is>
          <t>17/03/2026</t>
        </is>
      </c>
      <c r="J9486" s="10" t="inlineStr">
        <is>
          <t>Kế toán / Kiểm toán, Ngân hàng, Tài chính / Đầu tư</t>
        </is>
      </c>
      <c r="K9486" s="10" t="inlineStr">
        <is>
          <t>4 - 10 Năm</t>
        </is>
      </c>
      <c r="L9486" s="11">
        <f>HYPERLINK("https://careerviet.vn/vi/tim-viec-lam/ho-khoi-tt-qttc-cvcc-chuyen-gia-quan-tri-tai-chinh-khdn.35C6B75B.html","Xem chi tiết")</f>
        <v/>
      </c>
      <c r="M9486" s="10" t="n"/>
    </row>
    <row r="9487">
      <c r="B9487" s="7" t="n">
        <v>9485</v>
      </c>
      <c r="C9487" t="inlineStr">
        <is>
          <t>Admin Xuất Khẩu</t>
        </is>
      </c>
      <c r="D9487" t="inlineStr">
        <is>
          <t>Công Ty TNHH Xuất Nhập Khẩu Thái Châu</t>
        </is>
      </c>
      <c r="E9487" t="inlineStr">
        <is>
          <t>Lương:Cạnh tranh</t>
        </is>
      </c>
      <c r="F9487" t="inlineStr">
        <is>
          <t>Hồ Chí Minh</t>
        </is>
      </c>
      <c r="G9487" t="inlineStr">
        <is>
          <t>09-04-2026</t>
        </is>
      </c>
      <c r="H9487" t="inlineStr">
        <is>
          <t>09/04/2026</t>
        </is>
      </c>
      <c r="I9487" t="inlineStr">
        <is>
          <t>17/03/2026</t>
        </is>
      </c>
      <c r="J9487" t="inlineStr">
        <is>
          <t>Xuất nhập khẩu, Hành chính / Thư ký, Nhân sự</t>
        </is>
      </c>
      <c r="K9487" t="inlineStr">
        <is>
          <t>N/A</t>
        </is>
      </c>
      <c r="L9487" s="8">
        <f>HYPERLINK("https://careerviet.vn/vi/tim-viec-lam/admin-xuat-khau.35C6B982.html","Xem chi tiết")</f>
        <v/>
      </c>
    </row>
    <row r="9488">
      <c r="B9488" s="9" t="n">
        <v>9486</v>
      </c>
      <c r="C9488" s="10" t="inlineStr">
        <is>
          <t>Account Executive</t>
        </is>
      </c>
      <c r="D9488" s="10" t="inlineStr">
        <is>
          <t>Công ty TNHH Truyền Thông Wise</t>
        </is>
      </c>
      <c r="E9488" s="10" t="inlineStr">
        <is>
          <t>Lương:9 Tr - 15 Tr VND</t>
        </is>
      </c>
      <c r="F9488" s="10" t="inlineStr">
        <is>
          <t>Hà Nội</t>
        </is>
      </c>
      <c r="G9488" s="10" t="inlineStr">
        <is>
          <t>31-03-2026</t>
        </is>
      </c>
      <c r="H9488" s="10" t="inlineStr">
        <is>
          <t>31/03/2026</t>
        </is>
      </c>
      <c r="I9488" s="10" t="inlineStr">
        <is>
          <t>17/03/2026</t>
        </is>
      </c>
      <c r="J9488" s="10" t="inlineStr">
        <is>
          <t>Dịch vụ khách hàng, Tiếp thị / Marketing, Bán hàng / Kinh doanh</t>
        </is>
      </c>
      <c r="K9488" s="10" t="inlineStr">
        <is>
          <t>Trên 2 Năm</t>
        </is>
      </c>
      <c r="L9488" s="11">
        <f>HYPERLINK("https://careerviet.vn/vi/tim-viec-lam/account-executive.35C6B9A7.html","Xem chi tiết")</f>
        <v/>
      </c>
      <c r="M9488" s="10" t="n"/>
    </row>
    <row r="9489">
      <c r="B9489" s="7" t="n">
        <v>9487</v>
      </c>
      <c r="C9489" t="inlineStr">
        <is>
          <t>Assistant Sales Manager – GT &amp; HORECA Channel</t>
        </is>
      </c>
      <c r="D9489" t="inlineStr">
        <is>
          <t>Công ty cổ phần Nafoods Group</t>
        </is>
      </c>
      <c r="E9489" t="inlineStr">
        <is>
          <t>Lương:Cạnh tranh</t>
        </is>
      </c>
      <c r="F9489" t="inlineStr">
        <is>
          <t>Hồ Chí Minh</t>
        </is>
      </c>
      <c r="G9489" t="inlineStr">
        <is>
          <t>08-04-2026</t>
        </is>
      </c>
      <c r="H9489" t="inlineStr">
        <is>
          <t>08/04/2026</t>
        </is>
      </c>
      <c r="I9489" t="inlineStr">
        <is>
          <t>17/03/2026</t>
        </is>
      </c>
      <c r="J9489" t="inlineStr">
        <is>
          <t>Bán hàng / Kinh doanh, Bán lẻ / Bán sỉ, Thực phẩm &amp; Đồ uống</t>
        </is>
      </c>
      <c r="K9489" t="inlineStr">
        <is>
          <t>2 - 3 Năm</t>
        </is>
      </c>
      <c r="L9489" s="8">
        <f>HYPERLINK("https://careerviet.vn/vi/tim-viec-lam/assistant-sales-manager-gt-horeca-channel.35C6B75D.html","Xem chi tiết")</f>
        <v/>
      </c>
    </row>
    <row r="9490">
      <c r="B9490" s="9" t="n">
        <v>9488</v>
      </c>
      <c r="C9490" s="10" t="inlineStr">
        <is>
          <t>Phó Giám đốc Chi nhánh PT Khách hàng cá nhân</t>
        </is>
      </c>
      <c r="D9490" s="10" t="inlineStr">
        <is>
          <t>Ngân Hàng TMCP Sài Gòn - Hà Nội ( SHB )</t>
        </is>
      </c>
      <c r="E9490" s="10" t="inlineStr">
        <is>
          <t>Lương:Cạnh tranh</t>
        </is>
      </c>
      <c r="F9490" s="10" t="inlineStr">
        <is>
          <t>Long AnBến TreQuảng Trị</t>
        </is>
      </c>
      <c r="G9490" s="10" t="inlineStr">
        <is>
          <t>06-04-2026</t>
        </is>
      </c>
      <c r="H9490" s="10" t="inlineStr">
        <is>
          <t>06/04/2026</t>
        </is>
      </c>
      <c r="I9490" s="10" t="inlineStr">
        <is>
          <t>17/03/2026</t>
        </is>
      </c>
      <c r="J9490" s="10" t="inlineStr">
        <is>
          <t>Quản lý điều hành, Ngân hàng, Tài chính / Đầu tư</t>
        </is>
      </c>
      <c r="K9490" s="10" t="inlineStr">
        <is>
          <t>Trên 6 Năm</t>
        </is>
      </c>
      <c r="L9490" s="11">
        <f>HYPERLINK("https://careerviet.vn/vi/tim-viec-lam/pho-giam-doc-chi-nhanh-pt-khach-hang-ca-nhan.35C6B700.html","Xem chi tiết")</f>
        <v/>
      </c>
      <c r="M9490" s="10" t="n"/>
    </row>
    <row r="9491">
      <c r="B9491" s="7" t="n">
        <v>9489</v>
      </c>
      <c r="C9491" t="inlineStr">
        <is>
          <t>Chuyên viên Quản lý hợp đồng - FUJIALPHA</t>
        </is>
      </c>
      <c r="D9491" t="inlineStr">
        <is>
          <t>Alphanam Group</t>
        </is>
      </c>
      <c r="E9491" t="inlineStr">
        <is>
          <t>Lương:12 Tr - 14 Tr VND</t>
        </is>
      </c>
      <c r="F9491" t="inlineStr">
        <is>
          <t>Hà Nội</t>
        </is>
      </c>
      <c r="G9491" t="inlineStr">
        <is>
          <t>14-04-2026</t>
        </is>
      </c>
      <c r="H9491" t="inlineStr">
        <is>
          <t>14/04/2026</t>
        </is>
      </c>
      <c r="I9491" t="inlineStr">
        <is>
          <t>17/03/2026</t>
        </is>
      </c>
      <c r="J9491" t="inlineStr">
        <is>
          <t>Xây dựng, Cơ khí / Ô tô / Tự động hóa, Điện / Điện tử / Điện lạnh / Điện công nghiệp</t>
        </is>
      </c>
      <c r="K9491" t="inlineStr">
        <is>
          <t>1 - 3 Năm</t>
        </is>
      </c>
      <c r="L9491" s="8">
        <f>HYPERLINK("https://careerviet.vn/vi/tim-viec-lam/chuyen-vien-quan-ly-hop-dong-fujialpha.35C6B9D9.html","Xem chi tiết")</f>
        <v/>
      </c>
    </row>
    <row r="9492">
      <c r="B9492" s="9" t="n">
        <v>9490</v>
      </c>
      <c r="C9492" s="10" t="inlineStr">
        <is>
          <t>Specification Engineer/Executive</t>
        </is>
      </c>
      <c r="D9492" s="10" t="inlineStr">
        <is>
          <t>Sika Limited (Vietnam)</t>
        </is>
      </c>
      <c r="E9492" s="10" t="inlineStr">
        <is>
          <t>Lương:Cạnh tranh</t>
        </is>
      </c>
      <c r="F9492" s="10" t="inlineStr">
        <is>
          <t>Hồ Chí MinhHà Nội</t>
        </is>
      </c>
      <c r="G9492" s="10" t="inlineStr">
        <is>
          <t>31-03-2026</t>
        </is>
      </c>
      <c r="H9492" s="10" t="inlineStr">
        <is>
          <t>31/03/2026</t>
        </is>
      </c>
      <c r="I9492" s="10" t="inlineStr">
        <is>
          <t>17/03/2026</t>
        </is>
      </c>
      <c r="J9492" s="10" t="inlineStr">
        <is>
          <t>Bán Hàng Kỹ Thuật, Xây dựng, Kiến trúc</t>
        </is>
      </c>
      <c r="K9492" s="10" t="inlineStr">
        <is>
          <t>3 - 5 Năm</t>
        </is>
      </c>
      <c r="L9492" s="11">
        <f>HYPERLINK("https://careerviet.vn/vi/tim-viec-lam/specification-engineer-executive.35C6B79D.html","Xem chi tiết")</f>
        <v/>
      </c>
      <c r="M9492" s="10" t="n"/>
    </row>
    <row r="9493">
      <c r="B9493" s="7" t="n">
        <v>9491</v>
      </c>
      <c r="C9493" t="inlineStr">
        <is>
          <t>Nhân viên kế hoạch sản xuất</t>
        </is>
      </c>
      <c r="D9493" t="inlineStr">
        <is>
          <t>Công Ty TNHH Bao Bì Nhựa Thành Phú</t>
        </is>
      </c>
      <c r="E9493" t="inlineStr">
        <is>
          <t>Lương:Cạnh tranh</t>
        </is>
      </c>
      <c r="F9493" t="inlineStr">
        <is>
          <t>Long An</t>
        </is>
      </c>
      <c r="G9493" t="inlineStr">
        <is>
          <t>09-04-2026</t>
        </is>
      </c>
      <c r="H9493" t="inlineStr">
        <is>
          <t>09/04/2026</t>
        </is>
      </c>
      <c r="I9493" t="inlineStr">
        <is>
          <t>17/03/2026</t>
        </is>
      </c>
      <c r="J9493" t="inlineStr">
        <is>
          <t>Sản xuất / Vận hành sản xuất, Kế toán / Kiểm toán, Dệt may / Da giày / Thời trang</t>
        </is>
      </c>
      <c r="K9493" t="inlineStr">
        <is>
          <t>1 - 2 Năm</t>
        </is>
      </c>
      <c r="L9493" s="8">
        <f>HYPERLINK("https://careerviet.vn/vi/tim-viec-lam/nhan-vien-ke-hoach-san-xuat.35C6B7A9.html","Xem chi tiết")</f>
        <v/>
      </c>
    </row>
    <row r="9494">
      <c r="B9494" s="9" t="n">
        <v>9492</v>
      </c>
      <c r="C9494" s="10" t="inlineStr">
        <is>
          <t>CHUYÊN VIÊN ĐẤU THẦU</t>
        </is>
      </c>
      <c r="D9494" s="10" t="inlineStr">
        <is>
          <t>CÔNG TY CỔ PHẦN ĐẦU TƯ XÂY DỰNG NEGEN</t>
        </is>
      </c>
      <c r="E9494" s="10" t="inlineStr">
        <is>
          <t>Lương:15 Tr - 17 Tr VND</t>
        </is>
      </c>
      <c r="F9494" s="10" t="inlineStr">
        <is>
          <t>Hồ Chí Minh</t>
        </is>
      </c>
      <c r="G9494" s="10" t="inlineStr">
        <is>
          <t>09-04-2026</t>
        </is>
      </c>
      <c r="H9494" s="10" t="inlineStr">
        <is>
          <t>09/04/2026</t>
        </is>
      </c>
      <c r="I9494" s="10" t="inlineStr">
        <is>
          <t>17/03/2026</t>
        </is>
      </c>
      <c r="J9494" s="10" t="inlineStr">
        <is>
          <t>Xây dựng</t>
        </is>
      </c>
      <c r="K9494" s="10" t="inlineStr">
        <is>
          <t>3 - 5 Năm</t>
        </is>
      </c>
      <c r="L9494" s="11">
        <f>HYPERLINK("https://careerviet.vn/vi/tim-viec-lam/chuyen-vien-dau-thau.35C6BA05.html","Xem chi tiết")</f>
        <v/>
      </c>
      <c r="M9494" s="10" t="n"/>
    </row>
    <row r="9495">
      <c r="B9495" s="7" t="n">
        <v>9493</v>
      </c>
      <c r="C9495" t="inlineStr">
        <is>
          <t>Warehouse Assistant - Trợ Lí Kho Chinese (KCN MỸ PHƯỚC 4)</t>
        </is>
      </c>
      <c r="D9495" t="inlineStr">
        <is>
          <t>S.F. EXPRESS LTD.</t>
        </is>
      </c>
      <c r="E9495" t="inlineStr">
        <is>
          <t>Lương:17 Tr - 22 Tr VND</t>
        </is>
      </c>
      <c r="F9495" t="inlineStr">
        <is>
          <t>Bình Dương</t>
        </is>
      </c>
      <c r="G9495" t="inlineStr">
        <is>
          <t>31-03-2026</t>
        </is>
      </c>
      <c r="H9495" t="inlineStr">
        <is>
          <t>31/03/2026</t>
        </is>
      </c>
      <c r="I9495" t="inlineStr">
        <is>
          <t>17/03/2026</t>
        </is>
      </c>
      <c r="J9495" t="inlineStr">
        <is>
          <t>Bưu chính viễn thông, Vận chuyển / Giao nhận / Kho vận, Xuất nhập khẩu</t>
        </is>
      </c>
      <c r="K9495" t="inlineStr">
        <is>
          <t>1 - 2 Năm</t>
        </is>
      </c>
      <c r="L9495" s="8">
        <f>HYPERLINK("https://careerviet.vn/vi/tim-viec-lam/warehouse-assistant-tro-li-kho-chinese-kcn-my-phuoc-4.35C6B575.html","Xem chi tiết")</f>
        <v/>
      </c>
    </row>
    <row r="9496">
      <c r="B9496" s="9" t="n">
        <v>9494</v>
      </c>
      <c r="C9496" s="10" t="inlineStr">
        <is>
          <t>Nhân viên bán hàng Đak Lak</t>
        </is>
      </c>
      <c r="D9496" s="10" t="inlineStr">
        <is>
          <t>CÔNG TY CỔ PHẦN VUA NỆM</t>
        </is>
      </c>
      <c r="E9496" s="10" t="inlineStr">
        <is>
          <t>Lương:8 Tr - 12 Tr VND</t>
        </is>
      </c>
      <c r="F9496" s="10" t="inlineStr">
        <is>
          <t>Dak Lak</t>
        </is>
      </c>
      <c r="G9496" s="10" t="inlineStr">
        <is>
          <t>31-03-2026</t>
        </is>
      </c>
      <c r="H9496" s="10" t="inlineStr">
        <is>
          <t>31/03/2026</t>
        </is>
      </c>
      <c r="I9496" s="10" t="inlineStr">
        <is>
          <t>17/03/2026</t>
        </is>
      </c>
      <c r="J9496" s="10" t="inlineStr">
        <is>
          <t>Bán hàng / Kinh doanh, Tư vấn, Bán lẻ / Bán sỉ</t>
        </is>
      </c>
      <c r="K9496" s="10" t="inlineStr">
        <is>
          <t>1 - 2 Năm</t>
        </is>
      </c>
      <c r="L9496" s="11">
        <f>HYPERLINK("https://careerviet.vn/vi/tim-viec-lam/nhan-vien-ban-hang-dak-lak.35C6B9EA.html","Xem chi tiết")</f>
        <v/>
      </c>
      <c r="M9496" s="10" t="n"/>
    </row>
    <row r="9497">
      <c r="B9497" s="7" t="n">
        <v>9495</v>
      </c>
      <c r="C9497" t="inlineStr">
        <is>
          <t>Giám đốc Chi nhánh SHB</t>
        </is>
      </c>
      <c r="D9497" t="inlineStr">
        <is>
          <t>Ngân Hàng TMCP Sài Gòn - Hà Nội ( SHB )</t>
        </is>
      </c>
      <c r="E9497" t="inlineStr">
        <is>
          <t>Lương:Cạnh tranh</t>
        </is>
      </c>
      <c r="F9497" t="inlineStr">
        <is>
          <t>Tây Ninh</t>
        </is>
      </c>
      <c r="G9497" t="inlineStr">
        <is>
          <t>06-04-2026</t>
        </is>
      </c>
      <c r="H9497" t="inlineStr">
        <is>
          <t>06/04/2026</t>
        </is>
      </c>
      <c r="I9497" t="inlineStr">
        <is>
          <t>17/03/2026</t>
        </is>
      </c>
      <c r="J9497" t="inlineStr">
        <is>
          <t>Quản lý điều hành, Ngân hàng, Tài chính / Đầu tư</t>
        </is>
      </c>
      <c r="K9497" t="inlineStr">
        <is>
          <t>Trên 8 Năm</t>
        </is>
      </c>
      <c r="L9497" s="8">
        <f>HYPERLINK("https://careerviet.vn/vi/tim-viec-lam/giam-doc-chi-nhanh-shb.35C6B6EE.html","Xem chi tiết")</f>
        <v/>
      </c>
    </row>
    <row r="9498">
      <c r="B9498" s="9" t="n">
        <v>9496</v>
      </c>
      <c r="C9498" s="10" t="inlineStr">
        <is>
          <t>ADMIN TRẠI - Ở LẠI TRẠI</t>
        </is>
      </c>
      <c r="D9498" s="10" t="inlineStr">
        <is>
          <t>CÔNG TY CỔ PHẦN THÁI VIỆT CORPORATION</t>
        </is>
      </c>
      <c r="E9498" s="10" t="inlineStr">
        <is>
          <t>Lương:11 Tr - 15 Tr VND</t>
        </is>
      </c>
      <c r="F9498" s="10" t="inlineStr">
        <is>
          <t>Bình Phước</t>
        </is>
      </c>
      <c r="G9498" s="10" t="inlineStr">
        <is>
          <t>09-04-2026</t>
        </is>
      </c>
      <c r="H9498" s="10" t="inlineStr">
        <is>
          <t>09/04/2026</t>
        </is>
      </c>
      <c r="I9498" s="10" t="inlineStr">
        <is>
          <t>17/03/2026</t>
        </is>
      </c>
      <c r="J9498" s="10" t="inlineStr">
        <is>
          <t>Nhân sự, Kế toán / Kiểm toán, Chăn nuôi / Thú y</t>
        </is>
      </c>
      <c r="K9498" s="10" t="inlineStr">
        <is>
          <t>N/A</t>
        </is>
      </c>
      <c r="L9498" s="11">
        <f>HYPERLINK("https://careerviet.vn/vi/tim-viec-lam/admin-trai-o-lai-trai.35C6B79E.html","Xem chi tiết")</f>
        <v/>
      </c>
      <c r="M9498" s="10" t="n"/>
    </row>
    <row r="9499">
      <c r="B9499" s="7" t="n">
        <v>9497</v>
      </c>
      <c r="C9499" t="inlineStr">
        <is>
          <t>Chuyên viên Kế toán phải thu (BĐS) - HO - 4H108</t>
        </is>
      </c>
      <c r="D9499" t="inlineStr">
        <is>
          <t>Tập đoàn ROX (ROX Group)</t>
        </is>
      </c>
      <c r="E9499" t="inlineStr">
        <is>
          <t>Lương:Cạnh tranh</t>
        </is>
      </c>
      <c r="F9499" t="inlineStr">
        <is>
          <t>Hà Nội</t>
        </is>
      </c>
      <c r="G9499" t="inlineStr">
        <is>
          <t>12-04-2026</t>
        </is>
      </c>
      <c r="H9499" t="inlineStr">
        <is>
          <t>12/04/2026</t>
        </is>
      </c>
      <c r="I9499" t="inlineStr">
        <is>
          <t>17/03/2026</t>
        </is>
      </c>
      <c r="J9499" t="inlineStr">
        <is>
          <t>Kế toán / Kiểm toán, Bất động sản, Tài chính / Đầu tư</t>
        </is>
      </c>
      <c r="K9499" t="inlineStr">
        <is>
          <t>Trên 2 Năm</t>
        </is>
      </c>
      <c r="L9499" s="8">
        <f>HYPERLINK("https://careerviet.vn/vi/tim-viec-lam/chuyen-vien-ke-toan-phai-thu-bds-ho-4h108.35C6B704.html","Xem chi tiết")</f>
        <v/>
      </c>
    </row>
    <row r="9500">
      <c r="B9500" s="9" t="n">
        <v>9498</v>
      </c>
      <c r="C9500" s="10" t="inlineStr">
        <is>
          <t>Strategic Partnership Expert - TNEX - 4B037</t>
        </is>
      </c>
      <c r="D9500" s="10" t="inlineStr">
        <is>
          <t>Tập đoàn ROX (ROX Group)</t>
        </is>
      </c>
      <c r="E9500" s="10" t="inlineStr">
        <is>
          <t>Lương:Cạnh tranh</t>
        </is>
      </c>
      <c r="F9500" s="10" t="inlineStr">
        <is>
          <t>Hà NộiHồ Chí Minh</t>
        </is>
      </c>
      <c r="G9500" s="10" t="inlineStr">
        <is>
          <t>08-04-2026</t>
        </is>
      </c>
      <c r="H9500" s="10" t="inlineStr">
        <is>
          <t>08/04/2026</t>
        </is>
      </c>
      <c r="I9500" s="10" t="inlineStr">
        <is>
          <t>17/03/2026</t>
        </is>
      </c>
      <c r="J9500" s="10" t="inlineStr">
        <is>
          <t>Tài chính / Đầu tư</t>
        </is>
      </c>
      <c r="K9500" s="10" t="inlineStr">
        <is>
          <t>Trên 5 Năm</t>
        </is>
      </c>
      <c r="L9500" s="11">
        <f>HYPERLINK("https://careerviet.vn/vi/tim-viec-lam/strategic-partnership-expert-tnex-4b037.35C6B7A7.html","Xem chi tiết")</f>
        <v/>
      </c>
      <c r="M9500" s="10" t="n"/>
    </row>
    <row r="9501">
      <c r="B9501" s="7" t="n">
        <v>9499</v>
      </c>
      <c r="C9501" t="inlineStr">
        <is>
          <t>Senior / Project Engineer (BESS-MICROGRID )</t>
        </is>
      </c>
      <c r="D9501" t="inlineStr">
        <is>
          <t>EAST SEA ENERGY ENVIRONMENT COMPANY LIMITED</t>
        </is>
      </c>
      <c r="E9501" t="inlineStr">
        <is>
          <t>Lương:Cạnh tranh</t>
        </is>
      </c>
      <c r="F9501" t="inlineStr">
        <is>
          <t>Hồ Chí Minh</t>
        </is>
      </c>
      <c r="G9501" t="inlineStr">
        <is>
          <t>10-04-2026</t>
        </is>
      </c>
      <c r="H9501" t="inlineStr">
        <is>
          <t>10/04/2026</t>
        </is>
      </c>
      <c r="I9501" t="inlineStr">
        <is>
          <t>17/03/2026</t>
        </is>
      </c>
      <c r="J9501" t="inlineStr">
        <is>
          <t>Điện / Điện tử / Điện lạnh / Điện công nghiệp, Cơ khí / Ô tô / Tự động hóa</t>
        </is>
      </c>
      <c r="K9501" t="inlineStr">
        <is>
          <t>1 - 3 Năm</t>
        </is>
      </c>
      <c r="L9501" s="8">
        <f>HYPERLINK("https://careerviet.vn/vi/tim-viec-lam/senior-project-engineer-bess-microgrid.35C6B809.html","Xem chi tiết")</f>
        <v/>
      </c>
    </row>
    <row r="9502">
      <c r="B9502" s="9" t="n">
        <v>9500</v>
      </c>
      <c r="C9502" s="10" t="inlineStr">
        <is>
          <t>Trưởng phòng OEM - Copacking</t>
        </is>
      </c>
      <c r="D9502" s="10" t="inlineStr">
        <is>
          <t>CÔNG TY CỔ PHẦN MORINAGA NUTRITIONAL FOODS VIỆT NAM</t>
        </is>
      </c>
      <c r="E9502" s="10" t="inlineStr">
        <is>
          <t>Lương:40 Tr - 60 Tr VND</t>
        </is>
      </c>
      <c r="F9502" s="10" t="inlineStr">
        <is>
          <t>Hà Nội</t>
        </is>
      </c>
      <c r="G9502" s="10" t="inlineStr">
        <is>
          <t>31-03-2026</t>
        </is>
      </c>
      <c r="H9502" s="10" t="inlineStr">
        <is>
          <t>31/03/2026</t>
        </is>
      </c>
      <c r="I9502" s="10" t="inlineStr">
        <is>
          <t>17/03/2026</t>
        </is>
      </c>
      <c r="J9502" s="10" t="inlineStr">
        <is>
          <t>Bán lẻ / Bán sỉ, Bán hàng / Kinh doanh, Thực phẩm &amp; Đồ uống</t>
        </is>
      </c>
      <c r="K9502" s="10" t="inlineStr">
        <is>
          <t>2 - 10 Năm</t>
        </is>
      </c>
      <c r="L9502" s="11">
        <f>HYPERLINK("https://careerviet.vn/vi/tim-viec-lam/truong-phong-oem-copacking.35C6B92B.html","Xem chi tiết")</f>
        <v/>
      </c>
      <c r="M9502" s="10" t="n"/>
    </row>
    <row r="9503">
      <c r="B9503" s="7" t="n">
        <v>9501</v>
      </c>
      <c r="C9503" t="inlineStr">
        <is>
          <t>NHÂN VIÊN PHÁP CHẾ</t>
        </is>
      </c>
      <c r="D9503" t="inlineStr">
        <is>
          <t>Takako Vietnam Co., Ltd.</t>
        </is>
      </c>
      <c r="E9503" t="inlineStr">
        <is>
          <t>Lương:10 Tr - 16 Tr VND</t>
        </is>
      </c>
      <c r="F9503" t="inlineStr">
        <is>
          <t>Hồ Chí Minh</t>
        </is>
      </c>
      <c r="G9503" t="inlineStr">
        <is>
          <t>04-04-2026</t>
        </is>
      </c>
      <c r="H9503" t="inlineStr">
        <is>
          <t>04/04/2026</t>
        </is>
      </c>
      <c r="I9503" t="inlineStr">
        <is>
          <t>17/03/2026</t>
        </is>
      </c>
      <c r="J9503" t="inlineStr">
        <is>
          <t>Luật / Pháp lý</t>
        </is>
      </c>
      <c r="K9503" t="inlineStr">
        <is>
          <t>2 - 3 Năm</t>
        </is>
      </c>
      <c r="L9503" s="8">
        <f>HYPERLINK("https://careerviet.vn/vi/tim-viec-lam/nhan-vien-phap-che.35C6B6A5.html","Xem chi tiết")</f>
        <v/>
      </c>
    </row>
    <row r="9504">
      <c r="B9504" s="9" t="n">
        <v>9502</v>
      </c>
      <c r="C9504" s="10" t="inlineStr">
        <is>
          <t>Chuyên viên Quan hệ Khách hàng Cá nhân (Toàn quốc)</t>
        </is>
      </c>
      <c r="D9504" s="10" t="inlineStr">
        <is>
          <t>Ngân Hàng TMCP Sài Gòn - Hà Nội ( SHB )</t>
        </is>
      </c>
      <c r="E9504" s="10" t="inlineStr">
        <is>
          <t>Lương:Cạnh tranh</t>
        </is>
      </c>
      <c r="F9504" s="10" t="inlineStr">
        <is>
          <t>Bà Rịa - Vũng TàuBắc NinhĐồng Tháp</t>
        </is>
      </c>
      <c r="G9504" s="10" t="inlineStr">
        <is>
          <t>06-04-2026</t>
        </is>
      </c>
      <c r="H9504" s="10" t="inlineStr">
        <is>
          <t>06/04/2026</t>
        </is>
      </c>
      <c r="I9504" s="10" t="inlineStr">
        <is>
          <t>17/03/2026</t>
        </is>
      </c>
      <c r="J9504" s="10" t="inlineStr">
        <is>
          <t>Ngân hàng, Bán hàng / Kinh doanh</t>
        </is>
      </c>
      <c r="K9504" s="10" t="inlineStr">
        <is>
          <t>N/A</t>
        </is>
      </c>
      <c r="L9504" s="11">
        <f>HYPERLINK("https://careerviet.vn/vi/tim-viec-lam/chuyen-vien-quan-he-khach-hang-ca-nhan-toan-quoc.35C6B6FC.html","Xem chi tiết")</f>
        <v/>
      </c>
      <c r="M9504" s="10" t="n"/>
    </row>
    <row r="9505">
      <c r="B9505" s="7" t="n">
        <v>9503</v>
      </c>
      <c r="C9505" t="inlineStr">
        <is>
          <t>[PGDL Trần Văn Thời] Chuyên viên Quan hệ Khách hàng cá nhân Priority</t>
        </is>
      </c>
      <c r="D9505" t="inlineStr">
        <is>
          <t>Ngân hàng TMCP Lộc Phát Việt Nam (LPBank)</t>
        </is>
      </c>
      <c r="E9505" t="inlineStr">
        <is>
          <t>Lương:Cạnh tranh</t>
        </is>
      </c>
      <c r="F9505" t="inlineStr">
        <is>
          <t>Cà Mau</t>
        </is>
      </c>
      <c r="G9505" t="inlineStr">
        <is>
          <t>21-04-2026</t>
        </is>
      </c>
      <c r="H9505" t="inlineStr">
        <is>
          <t>21/04/2026</t>
        </is>
      </c>
      <c r="I9505" t="inlineStr">
        <is>
          <t>17/03/2026</t>
        </is>
      </c>
      <c r="J9505" t="inlineStr">
        <is>
          <t>Bảo hiểm, Bất động sản, Bán hàng / Kinh doanh</t>
        </is>
      </c>
      <c r="K9505" t="inlineStr">
        <is>
          <t>Trên 1 Năm</t>
        </is>
      </c>
      <c r="L9505" s="8">
        <f>HYPERLINK("https://careerviet.vn/vi/tim-viec-lam/pgdl-tran-van-thoi-chuyen-vien-quan-he-khach-hang-ca-nhan-priority.35C6B999.html","Xem chi tiết")</f>
        <v/>
      </c>
    </row>
    <row r="9506">
      <c r="B9506" s="9" t="n">
        <v>9504</v>
      </c>
      <c r="C9506" s="10" t="inlineStr">
        <is>
          <t>Tuyển dụng nhân viên hành chính</t>
        </is>
      </c>
      <c r="D9506" s="10" t="inlineStr">
        <is>
          <t>Công Ty TNHH Vật Tư Và Trang Thiết Bị Y Tế Hat -Med Việt Nam</t>
        </is>
      </c>
      <c r="E9506" s="10" t="inlineStr">
        <is>
          <t>Lương:8 Tr - 13 Tr VND</t>
        </is>
      </c>
      <c r="F9506" s="10" t="inlineStr">
        <is>
          <t>Hà Nội</t>
        </is>
      </c>
      <c r="G9506" s="10" t="inlineStr">
        <is>
          <t>10-04-2026</t>
        </is>
      </c>
      <c r="H9506" s="10" t="inlineStr">
        <is>
          <t>10/04/2026</t>
        </is>
      </c>
      <c r="I9506" s="10" t="inlineStr">
        <is>
          <t>17/03/2026</t>
        </is>
      </c>
      <c r="J9506" s="10" t="inlineStr">
        <is>
          <t>Hành chính / Thư ký, Quản lý điều hành, Nhân sự</t>
        </is>
      </c>
      <c r="K9506" s="10" t="inlineStr">
        <is>
          <t>Chưa có kinh nghiệm</t>
        </is>
      </c>
      <c r="L9506" s="11">
        <f>HYPERLINK("https://careerviet.vn/vi/tim-viec-lam/tuyen-dung-nhan-vien-hanh-chinh.35C6B932.html","Xem chi tiết")</f>
        <v/>
      </c>
      <c r="M9506" s="10" t="n"/>
    </row>
    <row r="9507">
      <c r="B9507" s="7" t="n">
        <v>9505</v>
      </c>
      <c r="C9507" t="inlineStr">
        <is>
          <t>Nhân viên thiết kế PCCC</t>
        </is>
      </c>
      <c r="D9507" t="inlineStr">
        <is>
          <t>CÔNG TY CỔ PHẦN THƯƠNG MẠI DỊCH VỤ  PCCC HÀ THÀNH</t>
        </is>
      </c>
      <c r="E9507" t="inlineStr">
        <is>
          <t>Lương:Cạnh tranh</t>
        </is>
      </c>
      <c r="F9507" t="inlineStr">
        <is>
          <t>Hà Nội</t>
        </is>
      </c>
      <c r="G9507" t="inlineStr">
        <is>
          <t>10-04-2026</t>
        </is>
      </c>
      <c r="H9507" t="inlineStr">
        <is>
          <t>10/04/2026</t>
        </is>
      </c>
      <c r="I9507" t="inlineStr">
        <is>
          <t>17/03/2026</t>
        </is>
      </c>
      <c r="J9507" t="inlineStr">
        <is>
          <t>Xây dựng</t>
        </is>
      </c>
      <c r="K9507" t="inlineStr">
        <is>
          <t>1 - 2 Năm</t>
        </is>
      </c>
      <c r="L9507" s="8">
        <f>HYPERLINK("https://careerviet.vn/vi/tim-viec-lam/nhan-vien-thiet-ke-pccc.35C6BA03.html","Xem chi tiết")</f>
        <v/>
      </c>
    </row>
    <row r="9508">
      <c r="B9508" s="9" t="n">
        <v>9506</v>
      </c>
      <c r="C9508" s="10" t="inlineStr">
        <is>
          <t>Nhân viên hệ thống</t>
        </is>
      </c>
      <c r="D9508" s="10" t="inlineStr">
        <is>
          <t>CÔNG TY CỔ PHẦN HỢP TÁC ĐẦU TƯ &amp; CÔNG NGHỆ TECHCOOP</t>
        </is>
      </c>
      <c r="E9508" s="10" t="inlineStr">
        <is>
          <t>Lương:7 Tr - 15 Tr VND</t>
        </is>
      </c>
      <c r="F9508" s="10" t="inlineStr">
        <is>
          <t>Hồ Chí Minh</t>
        </is>
      </c>
      <c r="G9508" s="10" t="inlineStr">
        <is>
          <t>31-03-2026</t>
        </is>
      </c>
      <c r="H9508" s="10" t="inlineStr">
        <is>
          <t>31/03/2026</t>
        </is>
      </c>
      <c r="I9508" s="10" t="inlineStr">
        <is>
          <t>17/03/2026</t>
        </is>
      </c>
      <c r="J9508" s="10" t="inlineStr">
        <is>
          <t>Thống kê, CNTT - Phần mềm</t>
        </is>
      </c>
      <c r="K9508" s="10" t="inlineStr">
        <is>
          <t>1 - 2 Năm</t>
        </is>
      </c>
      <c r="L9508" s="11">
        <f>HYPERLINK("https://careerviet.vn/vi/tim-viec-lam/nhan-vien-he-thong.35C6BA24.html","Xem chi tiết")</f>
        <v/>
      </c>
      <c r="M9508" s="10" t="n"/>
    </row>
    <row r="9509">
      <c r="B9509" s="7" t="n">
        <v>9507</v>
      </c>
      <c r="C9509" t="inlineStr">
        <is>
          <t>CHUYÊN VIÊN HÀNH CHÁNH KẾ TOÁN - CHI NHÁNH BẮC GIANG - KHU VỰC MIỀN BẮC</t>
        </is>
      </c>
      <c r="D9509" t="inlineStr">
        <is>
          <t>NGÂN HÀNG TMCP SÀI GÒN THƯƠNG TÍN (SACOMBANK)</t>
        </is>
      </c>
      <c r="E9509" t="inlineStr">
        <is>
          <t>Lương:Cạnh tranh</t>
        </is>
      </c>
      <c r="F9509" t="inlineStr">
        <is>
          <t>Bắc Giang</t>
        </is>
      </c>
      <c r="G9509" t="inlineStr">
        <is>
          <t>30-04-2026</t>
        </is>
      </c>
      <c r="H9509" t="inlineStr">
        <is>
          <t>30/04/2026</t>
        </is>
      </c>
      <c r="I9509" t="inlineStr">
        <is>
          <t>17/03/2026</t>
        </is>
      </c>
      <c r="J9509" t="inlineStr">
        <is>
          <t>Hành chính / Thư ký</t>
        </is>
      </c>
      <c r="K9509" t="inlineStr">
        <is>
          <t>N/A</t>
        </is>
      </c>
      <c r="L9509" s="8">
        <f>HYPERLINK("https://careerviet.vn/vi/tim-viec-lam/chuyen-vien-hanh-chanh-ke-toan-chi-nhanh-bac-giang-khu-vuc-mien-bac.35C6B49A.html","Xem chi tiết")</f>
        <v/>
      </c>
    </row>
    <row r="9510">
      <c r="B9510" s="9" t="n">
        <v>9508</v>
      </c>
      <c r="C9510" s="10" t="inlineStr">
        <is>
          <t>Chuyên viên Vận hành Ứng dụng PGMS</t>
        </is>
      </c>
      <c r="D9510" s="10" t="inlineStr">
        <is>
          <t>Công ty Cổ phần Sữa VitaDairy Việt Nam</t>
        </is>
      </c>
      <c r="E9510" s="10" t="inlineStr">
        <is>
          <t>Lương:Cạnh tranh</t>
        </is>
      </c>
      <c r="F9510" s="10" t="inlineStr">
        <is>
          <t>Hồ Chí Minh</t>
        </is>
      </c>
      <c r="G9510" s="10" t="inlineStr">
        <is>
          <t>31-03-2026</t>
        </is>
      </c>
      <c r="H9510" s="10" t="inlineStr">
        <is>
          <t>31/03/2026</t>
        </is>
      </c>
      <c r="I9510" s="10" t="inlineStr">
        <is>
          <t>17/03/2026</t>
        </is>
      </c>
      <c r="J9510" s="10" t="inlineStr">
        <is>
          <t>Bán hàng / Kinh doanh, CNTT - Phần mềm, CNTT - Phần cứng / Mạng</t>
        </is>
      </c>
      <c r="K9510" s="10" t="inlineStr">
        <is>
          <t>2 - 3 Năm</t>
        </is>
      </c>
      <c r="L9510" s="11">
        <f>HYPERLINK("https://careerviet.vn/vi/tim-viec-lam/chuyen-vien-van-hanh-ung-dung-pgms.35C6B947.html","Xem chi tiết")</f>
        <v/>
      </c>
      <c r="M9510" s="10" t="n"/>
    </row>
    <row r="9511">
      <c r="B9511" s="7" t="n">
        <v>9509</v>
      </c>
      <c r="C9511" t="inlineStr">
        <is>
          <t>Chuyên viên Quản lý thiết kế MEP ( Cao tầng, CĐT)</t>
        </is>
      </c>
      <c r="D9511" t="inlineStr">
        <is>
          <t>Bảo mật</t>
        </is>
      </c>
      <c r="E9511" t="inlineStr">
        <is>
          <t>Lương:Cạnh tranh</t>
        </is>
      </c>
      <c r="F9511" t="inlineStr">
        <is>
          <t>Hồ Chí Minh</t>
        </is>
      </c>
      <c r="G9511" t="inlineStr">
        <is>
          <t>09-04-2026</t>
        </is>
      </c>
      <c r="H9511" t="inlineStr">
        <is>
          <t>09/04/2026</t>
        </is>
      </c>
      <c r="I9511" t="inlineStr">
        <is>
          <t>17/03/2026</t>
        </is>
      </c>
      <c r="J9511" t="inlineStr">
        <is>
          <t>Bất động sản, Xây dựng, Điện / Điện tử / Điện lạnh / Điện công nghiệp</t>
        </is>
      </c>
      <c r="K9511" t="inlineStr">
        <is>
          <t>5 - 15 Năm</t>
        </is>
      </c>
      <c r="L9511" s="8">
        <f>HYPERLINK("https://careerviet.vn/vi/tim-viec-lam/chuyen-vien-quan-ly-thiet-ke-mep-cao-tang-cdt.35C6B864.html","Xem chi tiết")</f>
        <v/>
      </c>
    </row>
    <row r="9512">
      <c r="B9512" s="9" t="n">
        <v>9510</v>
      </c>
      <c r="C9512" s="10" t="inlineStr">
        <is>
          <t>Sale Admin Kiêm Trợ lý Kinh Doanh</t>
        </is>
      </c>
      <c r="D9512" s="10" t="inlineStr">
        <is>
          <t>Công ty TNHH XNK Phú Thành Phát</t>
        </is>
      </c>
      <c r="E9512" s="10" t="inlineStr">
        <is>
          <t>Lương:10 Tr - 15 Tr VND</t>
        </is>
      </c>
      <c r="F9512" s="10" t="inlineStr">
        <is>
          <t>Hồ Chí Minh</t>
        </is>
      </c>
      <c r="G9512" s="10" t="inlineStr">
        <is>
          <t>15-04-2026</t>
        </is>
      </c>
      <c r="H9512" s="10" t="inlineStr">
        <is>
          <t>15/04/2026</t>
        </is>
      </c>
      <c r="I9512" s="10" t="inlineStr">
        <is>
          <t>17/03/2026</t>
        </is>
      </c>
      <c r="J9512" s="10" t="inlineStr">
        <is>
          <t>Bán hàng / Kinh doanh</t>
        </is>
      </c>
      <c r="K9512" s="10" t="inlineStr">
        <is>
          <t>2 - 3 Năm</t>
        </is>
      </c>
      <c r="L9512" s="11">
        <f>HYPERLINK("https://careerviet.vn/vi/tim-viec-lam/sale-admin-kiem-tro-ly-kinh-doanh.35C6B747.html","Xem chi tiết")</f>
        <v/>
      </c>
      <c r="M9512" s="10" t="n"/>
    </row>
    <row r="9513">
      <c r="B9513" s="7" t="n">
        <v>9511</v>
      </c>
      <c r="C9513" t="inlineStr">
        <is>
          <t>Furniture QC Inspector (Hanoi) - P.IN</t>
        </is>
      </c>
      <c r="D9513" t="inlineStr">
        <is>
          <t>TÜV Rheinland Vietnam</t>
        </is>
      </c>
      <c r="E9513" t="inlineStr">
        <is>
          <t>Lương:Cạnh tranh</t>
        </is>
      </c>
      <c r="F9513" t="inlineStr">
        <is>
          <t>Hà Nội</t>
        </is>
      </c>
      <c r="G9513" t="inlineStr">
        <is>
          <t>26-05-2026</t>
        </is>
      </c>
      <c r="H9513" t="inlineStr">
        <is>
          <t>26/05/2026</t>
        </is>
      </c>
      <c r="I9513" t="inlineStr">
        <is>
          <t>17/03/2026</t>
        </is>
      </c>
      <c r="J9513" t="inlineStr">
        <is>
          <t>Tư vấn, Đồ gỗ, Quản lý chất lượng (QA/QC)</t>
        </is>
      </c>
      <c r="K9513" t="inlineStr">
        <is>
          <t>1 - 5 Năm</t>
        </is>
      </c>
      <c r="L9513" s="8">
        <f>HYPERLINK("https://careerviet.vn/vi/tim-viec-lam/furniture-qc-inspector-hanoi-p-in.35C6B7B9.html","Xem chi tiết")</f>
        <v/>
      </c>
    </row>
    <row r="9514">
      <c r="B9514" s="9" t="n">
        <v>9512</v>
      </c>
      <c r="C9514" s="10" t="inlineStr">
        <is>
          <t>Giám đốc Trung tâm Đào tạo</t>
        </is>
      </c>
      <c r="D9514" s="10" t="inlineStr">
        <is>
          <t>Ngân Hàng TMCP Sài Gòn - Hà Nội ( SHB )</t>
        </is>
      </c>
      <c r="E9514" s="10" t="inlineStr">
        <is>
          <t>Lương:Cạnh tranh</t>
        </is>
      </c>
      <c r="F9514" s="10" t="inlineStr">
        <is>
          <t>Hà Nội</t>
        </is>
      </c>
      <c r="G9514" s="10" t="inlineStr">
        <is>
          <t>07-04-2026</t>
        </is>
      </c>
      <c r="H9514" s="10" t="inlineStr">
        <is>
          <t>07/04/2026</t>
        </is>
      </c>
      <c r="I9514" s="10" t="inlineStr">
        <is>
          <t>17/03/2026</t>
        </is>
      </c>
      <c r="J9514" s="10" t="inlineStr">
        <is>
          <t>Giáo dục / Đào tạo, Ngân hàng, Nhân sự</t>
        </is>
      </c>
      <c r="K9514" s="10" t="inlineStr">
        <is>
          <t>Trên 8 Năm</t>
        </is>
      </c>
      <c r="L9514" s="11">
        <f>HYPERLINK("https://careerviet.vn/vi/tim-viec-lam/giam-doc-trung-tam-dao-tao.35C6B74E.html","Xem chi tiết")</f>
        <v/>
      </c>
      <c r="M9514" s="10" t="n"/>
    </row>
    <row r="9515">
      <c r="B9515" s="7" t="n">
        <v>9513</v>
      </c>
      <c r="C9515" t="inlineStr">
        <is>
          <t>UX/UI Designer (HR Software)</t>
        </is>
      </c>
      <c r="D9515" t="inlineStr">
        <is>
          <t>Công ty TNHH Cadena Việt Nam</t>
        </is>
      </c>
      <c r="E9515" t="inlineStr">
        <is>
          <t>Lương:Cạnh tranh</t>
        </is>
      </c>
      <c r="F9515" t="inlineStr">
        <is>
          <t>Hồ Chí Minh</t>
        </is>
      </c>
      <c r="G9515" t="inlineStr">
        <is>
          <t>08-04-2026</t>
        </is>
      </c>
      <c r="H9515" t="inlineStr">
        <is>
          <t>08/04/2026</t>
        </is>
      </c>
      <c r="I9515" t="inlineStr">
        <is>
          <t>17/03/2026</t>
        </is>
      </c>
      <c r="J9515" t="inlineStr">
        <is>
          <t>Mỹ thuật / Nghệ thuật / Thiết kế, CNTT - Phần mềm, Nhân sự</t>
        </is>
      </c>
      <c r="K9515" t="inlineStr">
        <is>
          <t>3 - 5 Năm</t>
        </is>
      </c>
      <c r="L9515" s="8">
        <f>HYPERLINK("https://careerviet.vn/vi/tim-viec-lam/ux-ui-designer-hr-software.35C6B774.html","Xem chi tiết")</f>
        <v/>
      </c>
    </row>
    <row r="9516">
      <c r="B9516" s="9" t="n">
        <v>9514</v>
      </c>
      <c r="C9516" s="10" t="inlineStr">
        <is>
          <t>Chuyên viên Nội dung - Khối Marcom</t>
        </is>
      </c>
      <c r="D9516" s="10" t="inlineStr">
        <is>
          <t>Ngân Hàng TMCP Sài Gòn - Hà Nội ( SHB )</t>
        </is>
      </c>
      <c r="E9516" s="10" t="inlineStr">
        <is>
          <t>Lương:Cạnh tranh</t>
        </is>
      </c>
      <c r="F9516" s="10" t="inlineStr">
        <is>
          <t>Hà Nội</t>
        </is>
      </c>
      <c r="G9516" s="10" t="inlineStr">
        <is>
          <t>06-04-2026</t>
        </is>
      </c>
      <c r="H9516" s="10" t="inlineStr">
        <is>
          <t>06/04/2026</t>
        </is>
      </c>
      <c r="I9516" s="10" t="inlineStr">
        <is>
          <t>17/03/2026</t>
        </is>
      </c>
      <c r="J9516" s="10" t="inlineStr">
        <is>
          <t>Ngân hàng, Truyền hình / Báo chí / Biên tập, Quảng cáo / Đối ngoại / Truyền Thông</t>
        </is>
      </c>
      <c r="K9516" s="10" t="inlineStr">
        <is>
          <t>Trên 1 Năm</t>
        </is>
      </c>
      <c r="L9516" s="11">
        <f>HYPERLINK("https://careerviet.vn/vi/tim-viec-lam/chuyen-vien-noi-dung-khoi-marcom.35C6B867.html","Xem chi tiết")</f>
        <v/>
      </c>
      <c r="M9516" s="10" t="n"/>
    </row>
    <row r="9517">
      <c r="B9517" s="7" t="n">
        <v>9515</v>
      </c>
      <c r="C9517" t="inlineStr">
        <is>
          <t>Nhân viên kỹ thuật bảo trì</t>
        </is>
      </c>
      <c r="D9517" t="inlineStr">
        <is>
          <t>CÔNG TY CP CHẾ BIẾN DỪA Á CHÂU</t>
        </is>
      </c>
      <c r="E9517" t="inlineStr">
        <is>
          <t>Lương:Cạnh tranh</t>
        </is>
      </c>
      <c r="F9517" t="inlineStr">
        <is>
          <t>Bến Tre</t>
        </is>
      </c>
      <c r="G9517" t="inlineStr">
        <is>
          <t>31-03-2026</t>
        </is>
      </c>
      <c r="H9517" t="inlineStr">
        <is>
          <t>31/03/2026</t>
        </is>
      </c>
      <c r="I9517" t="inlineStr">
        <is>
          <t>17/03/2026</t>
        </is>
      </c>
      <c r="J9517" t="inlineStr">
        <is>
          <t>Cơ khí / Ô tô / Tự động hóa, Điện / Điện tử / Điện lạnh / Điện công nghiệp</t>
        </is>
      </c>
      <c r="K9517" t="inlineStr">
        <is>
          <t>1 - 2 Năm</t>
        </is>
      </c>
      <c r="L9517" s="8">
        <f>HYPERLINK("https://careerviet.vn/vi/tim-viec-lam/nhan-vien-ky-thuat-bao-tri.35C6B729.html","Xem chi tiết")</f>
        <v/>
      </c>
    </row>
    <row r="9518">
      <c r="B9518" s="9" t="n">
        <v>9516</v>
      </c>
      <c r="C9518" s="10" t="inlineStr">
        <is>
          <t>CHUYÊN VIÊN ĐÀO TẠO / FIELD TRAINER</t>
        </is>
      </c>
      <c r="D9518" s="10" t="inlineStr">
        <is>
          <t>Công Ty Cổ Phần Tầm Nhìn Quốc Tế Aladdin</t>
        </is>
      </c>
      <c r="E9518" s="10" t="inlineStr">
        <is>
          <t>Lương:Cạnh tranh</t>
        </is>
      </c>
      <c r="F9518" s="10" t="inlineStr">
        <is>
          <t>Hồ Chí Minh</t>
        </is>
      </c>
      <c r="G9518" s="10" t="inlineStr">
        <is>
          <t>10-04-2026</t>
        </is>
      </c>
      <c r="H9518" s="10" t="inlineStr">
        <is>
          <t>10/04/2026</t>
        </is>
      </c>
      <c r="I9518" s="10" t="inlineStr">
        <is>
          <t>17/03/2026</t>
        </is>
      </c>
      <c r="J9518" s="10" t="inlineStr">
        <is>
          <t>Giáo dục / Đào tạo, Nhà hàng / Khách sạn, Thực phẩm &amp; Đồ uống</t>
        </is>
      </c>
      <c r="K9518" s="10" t="inlineStr">
        <is>
          <t>2 - 4 Năm</t>
        </is>
      </c>
      <c r="L9518" s="11">
        <f>HYPERLINK("https://careerviet.vn/vi/tim-viec-lam/chuyen-vien-dao-tao-field-trainer.35C6B90E.html","Xem chi tiết")</f>
        <v/>
      </c>
      <c r="M9518" s="10" t="n"/>
    </row>
    <row r="9519">
      <c r="B9519" s="7" t="n">
        <v>9517</v>
      </c>
      <c r="C9519" t="inlineStr">
        <is>
          <t>Chuyên viên cao cấp Quản trị rủi ro và kiểm soát tuân thủ - K.CNTT</t>
        </is>
      </c>
      <c r="D9519" t="inlineStr">
        <is>
          <t>Ngân hàng TMCP Đại Chúng Việt Nam - PVcomBank</t>
        </is>
      </c>
      <c r="E9519" t="inlineStr">
        <is>
          <t>Lương:Cạnh tranh</t>
        </is>
      </c>
      <c r="F9519" t="inlineStr">
        <is>
          <t>Hà Nội</t>
        </is>
      </c>
      <c r="G9519" t="inlineStr">
        <is>
          <t>29-04-2026</t>
        </is>
      </c>
      <c r="H9519" t="inlineStr">
        <is>
          <t>29/04/2026</t>
        </is>
      </c>
      <c r="I9519" t="inlineStr">
        <is>
          <t>17/03/2026</t>
        </is>
      </c>
      <c r="J9519" t="inlineStr">
        <is>
          <t>CNTT - Phần mềm, Ngân hàng, CNTT - Phần cứng / Mạng</t>
        </is>
      </c>
      <c r="K9519" t="inlineStr">
        <is>
          <t>Trên 2 Năm</t>
        </is>
      </c>
      <c r="L9519" s="8">
        <f>HYPERLINK("https://careerviet.vn/vi/tim-viec-lam/chuyen-vien-cao-cap-quan-tri-rui-ro-va-kiem-soat-tuan-thu-k-cntt.35C6B776.html","Xem chi tiết")</f>
        <v/>
      </c>
    </row>
    <row r="9520">
      <c r="B9520" s="9" t="n">
        <v>9518</v>
      </c>
      <c r="C9520" s="10" t="inlineStr">
        <is>
          <t>Nhân viên điều hành bưu cục tại Đông Anh</t>
        </is>
      </c>
      <c r="D9520" s="10" t="inlineStr">
        <is>
          <t>Công Ty Cổ Phần Hai Bốn Bảy</t>
        </is>
      </c>
      <c r="E9520" s="10" t="inlineStr">
        <is>
          <t>Lương:10 Tr - 12 Tr VND</t>
        </is>
      </c>
      <c r="F9520" s="10" t="inlineStr">
        <is>
          <t>Hà Nội</t>
        </is>
      </c>
      <c r="G9520" s="10" t="inlineStr">
        <is>
          <t>10-04-2026</t>
        </is>
      </c>
      <c r="H9520" s="10" t="inlineStr">
        <is>
          <t>10/04/2026</t>
        </is>
      </c>
      <c r="I9520" s="10" t="inlineStr">
        <is>
          <t>17/03/2026</t>
        </is>
      </c>
      <c r="J9520" s="10" t="inlineStr">
        <is>
          <t>Vận chuyển / Giao nhận / Kho vận</t>
        </is>
      </c>
      <c r="K9520" s="10" t="inlineStr">
        <is>
          <t>N/A</t>
        </is>
      </c>
      <c r="L9520" s="11">
        <f>HYPERLINK("https://careerviet.vn/vi/tim-viec-lam/nhan-vien-dieu-hanh-buu-cuc-tai-dong-anh.35C6B90D.html","Xem chi tiết")</f>
        <v/>
      </c>
      <c r="M9520" s="10" t="n"/>
    </row>
    <row r="9521">
      <c r="B9521" s="7" t="n">
        <v>9519</v>
      </c>
      <c r="C9521" t="inlineStr">
        <is>
          <t>Production Planner</t>
        </is>
      </c>
      <c r="D9521" t="inlineStr">
        <is>
          <t>Rochdale Spears Co., Ltd.</t>
        </is>
      </c>
      <c r="E9521" t="inlineStr">
        <is>
          <t>Lương:Cạnh tranh</t>
        </is>
      </c>
      <c r="F9521" t="inlineStr">
        <is>
          <t>Bình Dương</t>
        </is>
      </c>
      <c r="G9521" t="inlineStr">
        <is>
          <t>08-04-2026</t>
        </is>
      </c>
      <c r="H9521" t="inlineStr">
        <is>
          <t>08/04/2026</t>
        </is>
      </c>
      <c r="I9521" t="inlineStr">
        <is>
          <t>17/03/2026</t>
        </is>
      </c>
      <c r="J9521" t="inlineStr">
        <is>
          <t>Sản xuất / Vận hành sản xuất</t>
        </is>
      </c>
      <c r="K9521" t="inlineStr">
        <is>
          <t>1 - 3 Năm</t>
        </is>
      </c>
      <c r="L9521" s="8">
        <f>HYPERLINK("https://careerviet.vn/vi/tim-viec-lam/production-planner.35C6B84B.html","Xem chi tiết")</f>
        <v/>
      </c>
    </row>
    <row r="9522">
      <c r="B9522" s="9" t="n">
        <v>9520</v>
      </c>
      <c r="C9522" s="10" t="inlineStr">
        <is>
          <t>HCM_Nhân Viên Sản Xuất (ngành Giải Khát)</t>
        </is>
      </c>
      <c r="D9522" s="10" t="inlineStr">
        <is>
          <t>Công Ty Cổ Phần Goody Group</t>
        </is>
      </c>
      <c r="E9522" s="10" t="inlineStr">
        <is>
          <t>Lương:7,5 Tr - 8 Tr VND</t>
        </is>
      </c>
      <c r="F9522" s="10" t="inlineStr">
        <is>
          <t>Hồ Chí Minh</t>
        </is>
      </c>
      <c r="G9522" s="10" t="inlineStr">
        <is>
          <t>08-04-2026</t>
        </is>
      </c>
      <c r="H9522" s="10" t="inlineStr">
        <is>
          <t>08/04/2026</t>
        </is>
      </c>
      <c r="I9522" s="10" t="inlineStr">
        <is>
          <t>17/03/2026</t>
        </is>
      </c>
      <c r="J9522" s="10" t="inlineStr">
        <is>
          <t>Thực phẩm &amp; Đồ uống, Sản xuất / Vận hành sản xuất</t>
        </is>
      </c>
      <c r="K9522" s="10" t="inlineStr">
        <is>
          <t>Chưa có kinh nghiệm</t>
        </is>
      </c>
      <c r="L9522" s="11">
        <f>HYPERLINK("https://careerviet.vn/vi/tim-viec-lam/hcm_nhan-vien-san-xuat-nganh-giai-khat.35C6B8F6.html","Xem chi tiết")</f>
        <v/>
      </c>
      <c r="M9522" s="10" t="n"/>
    </row>
    <row r="9523">
      <c r="B9523" s="7" t="n">
        <v>9521</v>
      </c>
      <c r="C9523" t="inlineStr">
        <is>
          <t>Sales Admin Intern</t>
        </is>
      </c>
      <c r="D9523" t="inlineStr">
        <is>
          <t>Techtronic Industries Vietnam Manufacturing Company Limited</t>
        </is>
      </c>
      <c r="E9523" t="inlineStr">
        <is>
          <t>Lương:Cạnh tranh</t>
        </is>
      </c>
      <c r="F9523" t="inlineStr">
        <is>
          <t>Hà Nội</t>
        </is>
      </c>
      <c r="G9523" t="inlineStr">
        <is>
          <t>09-04-2026</t>
        </is>
      </c>
      <c r="H9523" t="inlineStr">
        <is>
          <t>09/04/2026</t>
        </is>
      </c>
      <c r="I9523" t="inlineStr">
        <is>
          <t>17/03/2026</t>
        </is>
      </c>
      <c r="J9523" t="inlineStr">
        <is>
          <t>Bán hàng / Kinh doanh, Tiếp thị / Marketing, Mới tốt nghiệp / Thực tập</t>
        </is>
      </c>
      <c r="K9523" t="inlineStr">
        <is>
          <t>N/A</t>
        </is>
      </c>
      <c r="L9523" s="8">
        <f>HYPERLINK("https://careerviet.vn/vi/tim-viec-lam/sales-admin-intern.35C6B7BC.html","Xem chi tiết")</f>
        <v/>
      </c>
    </row>
    <row r="9524">
      <c r="B9524" s="9" t="n">
        <v>9522</v>
      </c>
      <c r="C9524" s="10" t="inlineStr">
        <is>
          <t>GIÁM ĐỐC DỰ ÁN</t>
        </is>
      </c>
      <c r="D9524" s="10" t="inlineStr">
        <is>
          <t>CÔNG TY CỔ PHẦN ĐẦU TƯ XÂY DỰNG NEGEN</t>
        </is>
      </c>
      <c r="E9524" s="10" t="inlineStr">
        <is>
          <t>Lương:50 Tr - 70 Tr VND</t>
        </is>
      </c>
      <c r="F9524" s="10" t="inlineStr">
        <is>
          <t>Hồ Chí MinhĐà Nẵng</t>
        </is>
      </c>
      <c r="G9524" s="10" t="inlineStr">
        <is>
          <t>09-04-2026</t>
        </is>
      </c>
      <c r="H9524" s="10" t="inlineStr">
        <is>
          <t>09/04/2026</t>
        </is>
      </c>
      <c r="I9524" s="10" t="inlineStr">
        <is>
          <t>17/03/2026</t>
        </is>
      </c>
      <c r="J9524" s="10" t="inlineStr">
        <is>
          <t>Quản lý điều hành, Xây dựng, Kiến trúc</t>
        </is>
      </c>
      <c r="K9524" s="10" t="inlineStr">
        <is>
          <t>10 - 15 Năm</t>
        </is>
      </c>
      <c r="L9524" s="11">
        <f>HYPERLINK("https://careerviet.vn/vi/tim-viec-lam/giam-doc-du-an.35C6B89F.html","Xem chi tiết")</f>
        <v/>
      </c>
      <c r="M9524" s="10" t="n"/>
    </row>
    <row r="9525">
      <c r="B9525" s="7" t="n">
        <v>9523</v>
      </c>
      <c r="C9525" t="inlineStr">
        <is>
          <t>[Hải Phòng] Quản lý Cửa Hàng Thời Trang Thể Thao</t>
        </is>
      </c>
      <c r="D9525" t="inlineStr">
        <is>
          <t>THỜI TRANG LINING_CÔNG TY TNHH QUỐC TẾ HẢI LONG</t>
        </is>
      </c>
      <c r="E9525" t="inlineStr">
        <is>
          <t>Lương:10 Tr - 12 Tr VND</t>
        </is>
      </c>
      <c r="F9525" t="inlineStr">
        <is>
          <t>Hải Phòng</t>
        </is>
      </c>
      <c r="G9525" t="inlineStr">
        <is>
          <t>04-04-2026</t>
        </is>
      </c>
      <c r="H9525" t="inlineStr">
        <is>
          <t>04/04/2026</t>
        </is>
      </c>
      <c r="I9525" t="inlineStr">
        <is>
          <t>17/03/2026</t>
        </is>
      </c>
      <c r="J9525" t="inlineStr">
        <is>
          <t>Bán lẻ / Bán sỉ, Bán hàng / Kinh doanh</t>
        </is>
      </c>
      <c r="K9525" t="inlineStr">
        <is>
          <t>1 - 2 Năm</t>
        </is>
      </c>
      <c r="L9525" s="8">
        <f>HYPERLINK("https://careerviet.vn/vi/tim-viec-lam/hai-phong-quan-ly-cua-hang-thoi-trang-the-thao.35C6B85C.html","Xem chi tiết")</f>
        <v/>
      </c>
    </row>
    <row r="9526">
      <c r="B9526" s="9" t="n">
        <v>9524</v>
      </c>
      <c r="C9526" s="10" t="inlineStr">
        <is>
          <t>Chuyên viên Thẩm định Khách hàng Doanh nghiệp</t>
        </is>
      </c>
      <c r="D9526" s="10" t="inlineStr">
        <is>
          <t>Ngân Hàng TMCP Sài Gòn - Hà Nội ( SHB )</t>
        </is>
      </c>
      <c r="E9526" s="10" t="inlineStr">
        <is>
          <t>Lương:Cạnh tranh</t>
        </is>
      </c>
      <c r="F9526" s="10" t="inlineStr">
        <is>
          <t>Tây Ninh</t>
        </is>
      </c>
      <c r="G9526" s="10" t="inlineStr">
        <is>
          <t>06-04-2026</t>
        </is>
      </c>
      <c r="H9526" s="10" t="inlineStr">
        <is>
          <t>06/04/2026</t>
        </is>
      </c>
      <c r="I9526" s="10" t="inlineStr">
        <is>
          <t>17/03/2026</t>
        </is>
      </c>
      <c r="J9526" s="10" t="inlineStr">
        <is>
          <t>Ngân hàng</t>
        </is>
      </c>
      <c r="K9526" s="10" t="inlineStr">
        <is>
          <t>Trên 2 Năm</t>
        </is>
      </c>
      <c r="L9526" s="11">
        <f>HYPERLINK("https://careerviet.vn/vi/tim-viec-lam/chuyen-vien-tham-dinh-khach-hang-doanh-nghiep.35C6B6F3.html","Xem chi tiết")</f>
        <v/>
      </c>
      <c r="M9526" s="10" t="n"/>
    </row>
    <row r="9527">
      <c r="B9527" s="7" t="n">
        <v>9525</v>
      </c>
      <c r="C9527" t="inlineStr">
        <is>
          <t>Kĩ Thuật Viên Vận Hành</t>
        </is>
      </c>
      <c r="D9527" t="inlineStr">
        <is>
          <t>Công ty TNHH Kimberly Clark Việt Nam</t>
        </is>
      </c>
      <c r="E9527" t="inlineStr">
        <is>
          <t>Lương:Cạnh tranh</t>
        </is>
      </c>
      <c r="F9527" t="inlineStr">
        <is>
          <t>Bình Dương</t>
        </is>
      </c>
      <c r="G9527" t="inlineStr">
        <is>
          <t>05-04-2026</t>
        </is>
      </c>
      <c r="H9527" t="inlineStr">
        <is>
          <t>05/04/2026</t>
        </is>
      </c>
      <c r="I9527" t="inlineStr">
        <is>
          <t>17/03/2026</t>
        </is>
      </c>
      <c r="J9527" t="inlineStr">
        <is>
          <t>Cơ khí / Ô tô / Tự động hóa, Điện / Điện tử / Điện lạnh / Điện công nghiệp</t>
        </is>
      </c>
      <c r="K9527" t="inlineStr">
        <is>
          <t>N/A</t>
        </is>
      </c>
      <c r="L9527" s="8">
        <f>HYPERLINK("https://careerviet.vn/vi/tim-viec-lam/ki-thuat-vien-van-hanh.35C6B7FE.html","Xem chi tiết")</f>
        <v/>
      </c>
    </row>
    <row r="9528">
      <c r="B9528" s="9" t="n">
        <v>9526</v>
      </c>
      <c r="C9528" s="10" t="inlineStr">
        <is>
          <t>Phụ Kho Thành Phẩm</t>
        </is>
      </c>
      <c r="D9528" s="10" t="inlineStr">
        <is>
          <t>CÔNG TY CP CHẾ BIẾN DỪA Á CHÂU</t>
        </is>
      </c>
      <c r="E9528" s="10" t="inlineStr">
        <is>
          <t>Lương:Cạnh tranh</t>
        </is>
      </c>
      <c r="F9528" s="10" t="inlineStr">
        <is>
          <t>Bến Tre</t>
        </is>
      </c>
      <c r="G9528" s="10" t="inlineStr">
        <is>
          <t>31-03-2026</t>
        </is>
      </c>
      <c r="H9528" s="10" t="inlineStr">
        <is>
          <t>31/03/2026</t>
        </is>
      </c>
      <c r="I9528" s="10" t="inlineStr">
        <is>
          <t>17/03/2026</t>
        </is>
      </c>
      <c r="J9528" s="10" t="inlineStr">
        <is>
          <t>Vận chuyển / Giao nhận / Kho vận, Mới tốt nghiệp / Thực tập</t>
        </is>
      </c>
      <c r="K9528" s="10" t="inlineStr">
        <is>
          <t>Chưa có kinh nghiệm</t>
        </is>
      </c>
      <c r="L9528" s="11">
        <f>HYPERLINK("https://careerviet.vn/vi/tim-viec-lam/phu-kho-thanh-pham.35C6B71C.html","Xem chi tiết")</f>
        <v/>
      </c>
      <c r="M9528" s="10" t="n"/>
    </row>
    <row r="9529">
      <c r="B9529" s="7" t="n">
        <v>9527</v>
      </c>
      <c r="C9529" t="inlineStr">
        <is>
          <t>SALE TIẾNG TRUNG (LÀM VIỆC TẠI NHÀ + ĐI CÔNG TÁC</t>
        </is>
      </c>
      <c r="D9529" t="inlineStr">
        <is>
          <t>Công Ty TNHH Deli Management Consulting</t>
        </is>
      </c>
      <c r="E9529" t="inlineStr">
        <is>
          <t>Lương:12 Tr - 25 Tr VND</t>
        </is>
      </c>
      <c r="F9529" t="inlineStr">
        <is>
          <t>Tiền GiangHồ Chí Minh</t>
        </is>
      </c>
      <c r="G9529" t="inlineStr">
        <is>
          <t>30-04-2026</t>
        </is>
      </c>
      <c r="H9529" t="inlineStr">
        <is>
          <t>30/04/2026</t>
        </is>
      </c>
      <c r="I9529" t="inlineStr">
        <is>
          <t>17/03/2026</t>
        </is>
      </c>
      <c r="J9529" t="inlineStr">
        <is>
          <t>: Giàn giáo công trình Số lượng: 2 Người Bằng cấp: Cao đẳng Giới tính: Nam/ nữ Thời gian: T2-T7 (8h-17h)</t>
        </is>
      </c>
      <c r="K9529" t="inlineStr">
        <is>
          <t>Trên 1 Năm</t>
        </is>
      </c>
      <c r="L9529" s="8">
        <f>HYPERLINK("https://careerviet.vn/vi/tim-viec-lam/sale-tieng-trung-lam-viec-tai-nha-di-cong-tac.35C6B9E8.html","Xem chi tiết")</f>
        <v/>
      </c>
    </row>
    <row r="9530">
      <c r="B9530" s="9" t="n">
        <v>9528</v>
      </c>
      <c r="C9530" s="10" t="inlineStr">
        <is>
          <t>Chuyên viên cao cấp Phát triển kinh doanh KHDN, Khối NHDN</t>
        </is>
      </c>
      <c r="D9530" s="10" t="inlineStr">
        <is>
          <t>Ngân Hàng TMCP Sài Gòn - Hà Nội ( SHB )</t>
        </is>
      </c>
      <c r="E9530" s="10" t="inlineStr">
        <is>
          <t>Lương:Cạnh tranh</t>
        </is>
      </c>
      <c r="F9530" s="10" t="inlineStr">
        <is>
          <t>Hà Nội</t>
        </is>
      </c>
      <c r="G9530" s="10" t="inlineStr">
        <is>
          <t>06-04-2026</t>
        </is>
      </c>
      <c r="H9530" s="10" t="inlineStr">
        <is>
          <t>06/04/2026</t>
        </is>
      </c>
      <c r="I9530" s="10" t="inlineStr">
        <is>
          <t>17/03/2026</t>
        </is>
      </c>
      <c r="J9530" s="10" t="inlineStr">
        <is>
          <t>Ngân hàng, Tài chính / Đầu tư</t>
        </is>
      </c>
      <c r="K9530" s="10" t="inlineStr">
        <is>
          <t>2 - 3 Năm</t>
        </is>
      </c>
      <c r="L9530" s="11">
        <f>HYPERLINK("https://careerviet.vn/vi/tim-viec-lam/chuyen-vien-cao-cap-phat-trien-kinh-doanh-khdn-khoi-nhdn.35C6B6E3.html","Xem chi tiết")</f>
        <v/>
      </c>
      <c r="M9530" s="10" t="n"/>
    </row>
    <row r="9531">
      <c r="B9531" s="7" t="n">
        <v>9529</v>
      </c>
      <c r="C9531" t="inlineStr">
        <is>
          <t>Kỹ Sư Xây Dựng Công Trình</t>
        </is>
      </c>
      <c r="D9531" t="inlineStr">
        <is>
          <t>CÔNG TY TNHH MỘT THÀNH VIÊN GẠCH TUYNEL HIẾU THẢO</t>
        </is>
      </c>
      <c r="E9531" t="inlineStr">
        <is>
          <t>Lương:18 Tr - 22 Tr VND</t>
        </is>
      </c>
      <c r="F9531" t="inlineStr">
        <is>
          <t>Bình Dương</t>
        </is>
      </c>
      <c r="G9531" t="inlineStr">
        <is>
          <t>09-04-2026</t>
        </is>
      </c>
      <c r="H9531" t="inlineStr">
        <is>
          <t>09/04/2026</t>
        </is>
      </c>
      <c r="I9531" t="inlineStr">
        <is>
          <t>17/03/2026</t>
        </is>
      </c>
      <c r="J9531" t="inlineStr">
        <is>
          <t>Xây dựng, Kiến trúc, Ngành khác</t>
        </is>
      </c>
      <c r="K9531" t="inlineStr">
        <is>
          <t>Trên 3 Năm</t>
        </is>
      </c>
      <c r="L9531" s="8">
        <f>HYPERLINK("https://careerviet.vn/vi/tim-viec-lam/ky-su-xay-dung-cong-trinh.35C6B9BF.html","Xem chi tiết")</f>
        <v/>
      </c>
    </row>
    <row r="9532">
      <c r="B9532" s="9" t="n">
        <v>9530</v>
      </c>
      <c r="C9532" s="10" t="inlineStr">
        <is>
          <t>Nhân viên vận hành Máy CNC</t>
        </is>
      </c>
      <c r="D9532" s="10" t="inlineStr">
        <is>
          <t>Công ty TNHH Greystone Data Systems Việt Nam</t>
        </is>
      </c>
      <c r="E9532" s="10" t="inlineStr">
        <is>
          <t>Lương:8,2 Tr - 12 Tr VND</t>
        </is>
      </c>
      <c r="F9532" s="10" t="inlineStr">
        <is>
          <t>Hồ Chí Minh</t>
        </is>
      </c>
      <c r="G9532" s="10" t="inlineStr">
        <is>
          <t>1</t>
        </is>
      </c>
      <c r="H9532" s="10" t="inlineStr">
        <is>
          <t>18/03/2026</t>
        </is>
      </c>
      <c r="I9532" s="10" t="inlineStr">
        <is>
          <t>17/03/2026</t>
        </is>
      </c>
      <c r="J9532" s="10" t="inlineStr">
        <is>
          <t>Cơ khí / Ô tô / Tự động hóa, Sản xuất / Vận hành sản xuất, Bảo trì / Sửa chữa</t>
        </is>
      </c>
      <c r="K9532" s="10" t="inlineStr">
        <is>
          <t>N/A</t>
        </is>
      </c>
      <c r="L9532" s="11">
        <f>HYPERLINK("https://careerviet.vn/vi/tim-viec-lam/nhan-vien-van-hanh-may-cnc.35C6B758.html","Xem chi tiết")</f>
        <v/>
      </c>
      <c r="M9532" s="10" t="n"/>
    </row>
    <row r="9533">
      <c r="B9533" s="7" t="n">
        <v>9531</v>
      </c>
      <c r="C9533" t="inlineStr">
        <is>
          <t>Chuyên viên Khách hàng Cá nhân ưu tiên</t>
        </is>
      </c>
      <c r="D9533" t="inlineStr">
        <is>
          <t>Ngân hàng TMCP Kiên Long</t>
        </is>
      </c>
      <c r="E9533" t="inlineStr">
        <is>
          <t>Lương:15 Tr - 60 Tr VND</t>
        </is>
      </c>
      <c r="F9533" t="inlineStr">
        <is>
          <t>Hà NộiHồ Chí Minh</t>
        </is>
      </c>
      <c r="G9533" t="inlineStr">
        <is>
          <t>30-04-2026</t>
        </is>
      </c>
      <c r="H9533" t="inlineStr">
        <is>
          <t>30/04/2026</t>
        </is>
      </c>
      <c r="I9533" t="inlineStr">
        <is>
          <t>17/03/2026</t>
        </is>
      </c>
      <c r="J9533" t="inlineStr">
        <is>
          <t>Ngân hàng, Tài chính / Đầu tư, Bán hàng / Kinh doanh</t>
        </is>
      </c>
      <c r="K9533" t="inlineStr">
        <is>
          <t>1 - 5 Năm</t>
        </is>
      </c>
      <c r="L9533" s="8">
        <f>HYPERLINK("https://careerviet.vn/vi/tim-viec-lam/chuyen-vien-khach-hang-ca-nhan-uu-tien.35C6B7C9.html","Xem chi tiết")</f>
        <v/>
      </c>
    </row>
    <row r="9534">
      <c r="B9534" s="9" t="n">
        <v>9532</v>
      </c>
      <c r="C9534" s="10" t="inlineStr">
        <is>
          <t>Kế toán trưởng  (CĐT)</t>
        </is>
      </c>
      <c r="D9534" s="10" t="inlineStr">
        <is>
          <t>Bảo mật</t>
        </is>
      </c>
      <c r="E9534" s="10" t="inlineStr">
        <is>
          <t>Lương:Cạnh tranh</t>
        </is>
      </c>
      <c r="F9534" s="10" t="inlineStr">
        <is>
          <t>Hồ Chí Minh</t>
        </is>
      </c>
      <c r="G9534" s="10" t="inlineStr">
        <is>
          <t>09-04-2026</t>
        </is>
      </c>
      <c r="H9534" s="10" t="inlineStr">
        <is>
          <t>09/04/2026</t>
        </is>
      </c>
      <c r="I9534" s="10" t="inlineStr">
        <is>
          <t>17/03/2026</t>
        </is>
      </c>
      <c r="J9534" s="10" t="inlineStr">
        <is>
          <t>Kế toán / Kiểm toán, Bất động sản, Xây dựng</t>
        </is>
      </c>
      <c r="K9534" s="10" t="inlineStr">
        <is>
          <t>10 - 15 Năm</t>
        </is>
      </c>
      <c r="L9534" s="11">
        <f>HYPERLINK("https://careerviet.vn/vi/tim-viec-lam/ke-toan-truong-cdt.35C6B849.html","Xem chi tiết")</f>
        <v/>
      </c>
      <c r="M9534" s="10" t="n"/>
    </row>
    <row r="9535">
      <c r="B9535" s="7" t="n">
        <v>9533</v>
      </c>
      <c r="C9535" t="inlineStr">
        <is>
          <t>Sales Engineer</t>
        </is>
      </c>
      <c r="D9535" t="inlineStr">
        <is>
          <t>CÔNG TY CỔ PHẦN THIẾT BỊ VÀ KỸ THUẬT KHÁNH LINH</t>
        </is>
      </c>
      <c r="E9535" t="inlineStr">
        <is>
          <t>Lương:15 Tr - 25 Tr VND</t>
        </is>
      </c>
      <c r="F9535" t="inlineStr">
        <is>
          <t>Toàn quốc</t>
        </is>
      </c>
      <c r="G9535" t="inlineStr">
        <is>
          <t>08-04-2026</t>
        </is>
      </c>
      <c r="H9535" t="inlineStr">
        <is>
          <t>08/04/2026</t>
        </is>
      </c>
      <c r="I9535" t="inlineStr">
        <is>
          <t>17/03/2026</t>
        </is>
      </c>
      <c r="J9535" t="inlineStr">
        <is>
          <t>Bán hàng / Kinh doanh, Cơ khí / Ô tô / Tự động hóa, Điện / Điện tử / Điện lạnh / Điện công nghiệp</t>
        </is>
      </c>
      <c r="K9535" t="inlineStr">
        <is>
          <t>Trên 1 Năm</t>
        </is>
      </c>
      <c r="L9535" s="8">
        <f>HYPERLINK("https://careerviet.vn/vi/tim-viec-lam/sales-engineer.35C6B89D.html","Xem chi tiết")</f>
        <v/>
      </c>
    </row>
    <row r="9536">
      <c r="B9536" s="9" t="n">
        <v>9534</v>
      </c>
      <c r="C9536" s="10" t="inlineStr">
        <is>
          <t>Kỹ Sư Thử Khuôn Nhựa</t>
        </is>
      </c>
      <c r="D9536" s="10" t="inlineStr">
        <is>
          <t>Headhunter HRchannels Group</t>
        </is>
      </c>
      <c r="E9536" s="10" t="inlineStr">
        <is>
          <t>Lương:15 Tr - 20 Tr VND</t>
        </is>
      </c>
      <c r="F9536" s="10" t="inlineStr">
        <is>
          <t>Hải DươngHưng YênBắc Ninh</t>
        </is>
      </c>
      <c r="G9536" s="10" t="inlineStr">
        <is>
          <t>09-04-2026</t>
        </is>
      </c>
      <c r="H9536" s="10" t="inlineStr">
        <is>
          <t>09/04/2026</t>
        </is>
      </c>
      <c r="I9536" s="10" t="inlineStr">
        <is>
          <t>17/03/2026</t>
        </is>
      </c>
      <c r="J9536" s="10" t="inlineStr">
        <is>
          <t>Cơ khí / Ô tô / Tự động hóa</t>
        </is>
      </c>
      <c r="K9536" s="10" t="inlineStr">
        <is>
          <t>1 - 3 Năm</t>
        </is>
      </c>
      <c r="L9536" s="11">
        <f>HYPERLINK("https://careerviet.vn/vi/tim-viec-lam/ky-su-thu-khuon-nhua.35C6B9FC.html","Xem chi tiết")</f>
        <v/>
      </c>
      <c r="M9536" s="10" t="n"/>
    </row>
    <row r="9537">
      <c r="B9537" s="7" t="n">
        <v>9535</v>
      </c>
      <c r="C9537" t="inlineStr">
        <is>
          <t>Nhân viên bán hàng nội thất - Quận 12, Quận 9</t>
        </is>
      </c>
      <c r="D9537" t="inlineStr">
        <is>
          <t>Savimex Corporation</t>
        </is>
      </c>
      <c r="E9537" t="inlineStr">
        <is>
          <t>Lương:Cạnh tranh</t>
        </is>
      </c>
      <c r="F9537" t="inlineStr">
        <is>
          <t>Hồ Chí Minh</t>
        </is>
      </c>
      <c r="G9537" t="inlineStr">
        <is>
          <t>09-04-2026</t>
        </is>
      </c>
      <c r="H9537" t="inlineStr">
        <is>
          <t>09/04/2026</t>
        </is>
      </c>
      <c r="I9537" t="inlineStr">
        <is>
          <t>17/03/2026</t>
        </is>
      </c>
      <c r="J9537" t="inlineStr">
        <is>
          <t>Bán hàng / Kinh doanh, Bán lẻ / Bán sỉ, Tiếp thị trực tuyến</t>
        </is>
      </c>
      <c r="K9537" t="inlineStr">
        <is>
          <t>Trên 1 Năm</t>
        </is>
      </c>
      <c r="L9537" s="8">
        <f>HYPERLINK("https://careerviet.vn/vi/tim-viec-lam/nhan-vien-ban-hang-noi-that-quan-12-quan-9.35C6B8BE.html","Xem chi tiết")</f>
        <v/>
      </c>
    </row>
    <row r="9538">
      <c r="B9538" s="9" t="n">
        <v>9536</v>
      </c>
      <c r="C9538" s="10" t="inlineStr">
        <is>
          <t>Chuyên viên Giải pháp tín dụng Khách hàng cá nhân</t>
        </is>
      </c>
      <c r="D9538" s="10" t="inlineStr">
        <is>
          <t>Ngân Hàng TMCP Sài Gòn - Hà Nội ( SHB )</t>
        </is>
      </c>
      <c r="E9538" s="10" t="inlineStr">
        <is>
          <t>Lương:Cạnh tranh</t>
        </is>
      </c>
      <c r="F9538" s="10" t="inlineStr">
        <is>
          <t>Hà Nội</t>
        </is>
      </c>
      <c r="G9538" s="10" t="inlineStr">
        <is>
          <t>06-04-2026</t>
        </is>
      </c>
      <c r="H9538" s="10" t="inlineStr">
        <is>
          <t>06/04/2026</t>
        </is>
      </c>
      <c r="I9538" s="10" t="inlineStr">
        <is>
          <t>17/03/2026</t>
        </is>
      </c>
      <c r="J9538" s="10" t="inlineStr">
        <is>
          <t>Ngân hàng, Tài chính / Đầu tư</t>
        </is>
      </c>
      <c r="K9538" s="10" t="inlineStr">
        <is>
          <t>Trên 3 Năm</t>
        </is>
      </c>
      <c r="L9538" s="11">
        <f>HYPERLINK("https://careerviet.vn/vi/tim-viec-lam/chuyen-vien-giai-phap-tin-dung-khach-hang-ca-nhan.35C6B6FA.html","Xem chi tiết")</f>
        <v/>
      </c>
      <c r="M9538" s="10" t="n"/>
    </row>
    <row r="9539">
      <c r="B9539" s="7" t="n">
        <v>9537</v>
      </c>
      <c r="C9539" t="inlineStr">
        <is>
          <t>Senior – Kỹ Sư Tích Hợp Hệ Thống (Storage Team)</t>
        </is>
      </c>
      <c r="D9539" t="inlineStr">
        <is>
          <t>Công ty cổ phần Công nghệ Mạng và Truyền thông</t>
        </is>
      </c>
      <c r="E9539" t="inlineStr">
        <is>
          <t>Lương:Lên đến 45 Tr VND</t>
        </is>
      </c>
      <c r="F9539" t="inlineStr">
        <is>
          <t>Hà Nội</t>
        </is>
      </c>
      <c r="G9539" t="inlineStr">
        <is>
          <t>09-04-2026</t>
        </is>
      </c>
      <c r="H9539" t="inlineStr">
        <is>
          <t>09/04/2026</t>
        </is>
      </c>
      <c r="I9539" t="inlineStr">
        <is>
          <t>17/03/2026</t>
        </is>
      </c>
      <c r="J9539" t="inlineStr">
        <is>
          <t>CNTT - Phần mềm, CNTT - Phần cứng / Mạng, Bưu chính viễn thông</t>
        </is>
      </c>
      <c r="K9539" t="inlineStr">
        <is>
          <t>Trên 3 Năm</t>
        </is>
      </c>
      <c r="L9539" s="8">
        <f>HYPERLINK("https://careerviet.vn/vi/tim-viec-lam/senior-ky-su-tich-hop-he-thong-storage-team.35C6B985.html","Xem chi tiết")</f>
        <v/>
      </c>
    </row>
    <row r="9540">
      <c r="B9540" s="9" t="n">
        <v>9538</v>
      </c>
      <c r="C9540" s="10" t="inlineStr">
        <is>
          <t>[ĐÀ LẠT] NHÂN VIÊN QC</t>
        </is>
      </c>
      <c r="D9540" s="10" t="inlineStr">
        <is>
          <t>Công Ty TNHH Langfarm</t>
        </is>
      </c>
      <c r="E9540" s="10" t="inlineStr">
        <is>
          <t>Lương:8 Tr - 10 Tr VND</t>
        </is>
      </c>
      <c r="F9540" s="10" t="inlineStr">
        <is>
          <t>Lâm Đồng</t>
        </is>
      </c>
      <c r="G9540" s="10" t="inlineStr">
        <is>
          <t>10-04-2026</t>
        </is>
      </c>
      <c r="H9540" s="10" t="inlineStr">
        <is>
          <t>10/04/2026</t>
        </is>
      </c>
      <c r="I9540" s="10" t="inlineStr">
        <is>
          <t>17/03/2026</t>
        </is>
      </c>
      <c r="J9540" s="10" t="inlineStr">
        <is>
          <t>Công nghệ thực phẩm / Dinh dưỡng, Quản lý chất lượng (QA/QC), Sản xuất / Vận hành sản xuất</t>
        </is>
      </c>
      <c r="K9540" s="10" t="inlineStr">
        <is>
          <t>Trên 1 Năm</t>
        </is>
      </c>
      <c r="L9540" s="11">
        <f>HYPERLINK("https://careerviet.vn/vi/tim-viec-lam/da-lat-nhan-vien-qc.35C6B823.html","Xem chi tiết")</f>
        <v/>
      </c>
      <c r="M9540" s="10" t="n"/>
    </row>
    <row r="9541">
      <c r="B9541" s="7" t="n">
        <v>9539</v>
      </c>
      <c r="C9541" t="inlineStr">
        <is>
          <t>CHUYÊN VIÊN ĐẦU TƯ</t>
        </is>
      </c>
      <c r="D9541" t="inlineStr">
        <is>
          <t>CÔNG TY TNHH TẬP ĐOÀN ĐỊNH AN</t>
        </is>
      </c>
      <c r="E9541" t="inlineStr">
        <is>
          <t>Lương:18 Tr - 30 Tr VND</t>
        </is>
      </c>
      <c r="F9541" t="inlineStr">
        <is>
          <t>Hà Nội</t>
        </is>
      </c>
      <c r="G9541" t="inlineStr">
        <is>
          <t>08-04-2026</t>
        </is>
      </c>
      <c r="H9541" t="inlineStr">
        <is>
          <t>08/04/2026</t>
        </is>
      </c>
      <c r="I9541" t="inlineStr">
        <is>
          <t>17/03/2026</t>
        </is>
      </c>
      <c r="J9541" t="inlineStr">
        <is>
          <t>Xây dựng, Tài chính / Đầu tư, Bất động sản</t>
        </is>
      </c>
      <c r="K9541" t="inlineStr">
        <is>
          <t>Trên 2 Năm</t>
        </is>
      </c>
      <c r="L9541" s="8">
        <f>HYPERLINK("https://careerviet.vn/vi/tim-viec-lam/chuyen-vien-dau-tu.35C6B7EA.html","Xem chi tiết")</f>
        <v/>
      </c>
    </row>
    <row r="9542">
      <c r="B9542" s="9" t="n">
        <v>9540</v>
      </c>
      <c r="C9542" s="10" t="inlineStr">
        <is>
          <t>Chuyên viên Quan hệ Khách hàng Cá nhân (Toàn quốc)</t>
        </is>
      </c>
      <c r="D9542" s="10" t="inlineStr">
        <is>
          <t>Ngân Hàng TMCP Sài Gòn - Hà Nội ( SHB )</t>
        </is>
      </c>
      <c r="E9542" s="10" t="inlineStr">
        <is>
          <t>Lương:Cạnh tranh</t>
        </is>
      </c>
      <c r="F9542" s="10" t="inlineStr">
        <is>
          <t>Quảng NamQuảng TrịNinh Bình</t>
        </is>
      </c>
      <c r="G9542" s="10" t="inlineStr">
        <is>
          <t>06-04-2026</t>
        </is>
      </c>
      <c r="H9542" s="10" t="inlineStr">
        <is>
          <t>06/04/2026</t>
        </is>
      </c>
      <c r="I9542" s="10" t="inlineStr">
        <is>
          <t>17/03/2026</t>
        </is>
      </c>
      <c r="J9542" s="10" t="inlineStr">
        <is>
          <t>Ngân hàng, Bán hàng / Kinh doanh</t>
        </is>
      </c>
      <c r="K9542" s="10" t="inlineStr">
        <is>
          <t>N/A</t>
        </is>
      </c>
      <c r="L9542" s="11">
        <f>HYPERLINK("https://careerviet.vn/vi/tim-viec-lam/chuyen-vien-quan-he-khach-hang-ca-nhan-toan-quoc.35C6B6E6.html","Xem chi tiết")</f>
        <v/>
      </c>
      <c r="M9542" s="10" t="n"/>
    </row>
    <row r="9543">
      <c r="B9543" s="7" t="n">
        <v>9541</v>
      </c>
      <c r="C9543" t="inlineStr">
        <is>
          <t>Quality Management Manager (QA Manager)</t>
        </is>
      </c>
      <c r="D9543" t="inlineStr">
        <is>
          <t>HR Vietnam’s ESS Client</t>
        </is>
      </c>
      <c r="E9543" t="inlineStr">
        <is>
          <t>Lương:30 Tr - 40 Tr VND</t>
        </is>
      </c>
      <c r="F9543" t="inlineStr">
        <is>
          <t>Bà Rịa - Vũng Tàu</t>
        </is>
      </c>
      <c r="G9543" t="inlineStr">
        <is>
          <t>09-04-2026</t>
        </is>
      </c>
      <c r="H9543" t="inlineStr">
        <is>
          <t>09/04/2026</t>
        </is>
      </c>
      <c r="I9543" t="inlineStr">
        <is>
          <t>17/03/2026</t>
        </is>
      </c>
      <c r="J9543" t="inlineStr">
        <is>
          <t>Quản lý chất lượng (QA/QC), Điện / Điện tử / Điện lạnh / Điện công nghiệp</t>
        </is>
      </c>
      <c r="K9543" t="inlineStr">
        <is>
          <t>8 - 15 Năm</t>
        </is>
      </c>
      <c r="L9543" s="8">
        <f>HYPERLINK("https://careerviet.vn/vi/tim-viec-lam/quality-management-manager-qa-manager.35C6BA0F.html","Xem chi tiết")</f>
        <v/>
      </c>
    </row>
    <row r="9544">
      <c r="B9544" s="9" t="n">
        <v>9542</v>
      </c>
      <c r="C9544" s="10" t="inlineStr">
        <is>
          <t>CHUYÊN VIÊN / CHUYÊN VIÊN CAO CẤP TƯ VẤN TÀI CHÍNH DOANH NGHIỆP – DCM (DEBT CAPITAL MARKETS)</t>
        </is>
      </c>
      <c r="D9544" s="10" t="inlineStr">
        <is>
          <t>CÔNG TY CỔ PHẦN CHỨNG KHOÁN HD</t>
        </is>
      </c>
      <c r="E9544" s="10" t="inlineStr">
        <is>
          <t>Lương:Cạnh tranh</t>
        </is>
      </c>
      <c r="F9544" s="10" t="inlineStr">
        <is>
          <t>Hồ Chí Minh</t>
        </is>
      </c>
      <c r="G9544" s="10" t="inlineStr">
        <is>
          <t>30-04-2026</t>
        </is>
      </c>
      <c r="H9544" s="10" t="inlineStr">
        <is>
          <t>30/04/2026</t>
        </is>
      </c>
      <c r="I9544" s="10" t="inlineStr">
        <is>
          <t>17/03/2026</t>
        </is>
      </c>
      <c r="J9544" s="10" t="inlineStr">
        <is>
          <t>Ngân hàng, Chứng khoán, Tài chính / Đầu tư</t>
        </is>
      </c>
      <c r="K9544" s="10" t="inlineStr">
        <is>
          <t>3 - 5 Năm</t>
        </is>
      </c>
      <c r="L9544" s="11">
        <f>HYPERLINK("https://careerviet.vn/vi/tim-viec-lam/chuyen-vien-chuyen-vien-cao-cap-tu-van-tai-chinh-doanh-nghiep-dcm-debt-capital-markets.35C6B878.html","Xem chi tiết")</f>
        <v/>
      </c>
      <c r="M9544" s="10" t="n"/>
    </row>
    <row r="9545">
      <c r="B9545" s="7" t="n">
        <v>9543</v>
      </c>
      <c r="C9545" t="inlineStr">
        <is>
          <t>Kế Toán Viên</t>
        </is>
      </c>
      <c r="D9545" t="inlineStr">
        <is>
          <t>Công Ty TNHH Nidp Biotech Dental Vietnam</t>
        </is>
      </c>
      <c r="E9545" t="inlineStr">
        <is>
          <t>Lương:12 Tr - 14 Tr VND</t>
        </is>
      </c>
      <c r="F9545" t="inlineStr">
        <is>
          <t>Hồ Chí Minh</t>
        </is>
      </c>
      <c r="G9545" t="inlineStr">
        <is>
          <t>08-04-2026</t>
        </is>
      </c>
      <c r="H9545" t="inlineStr">
        <is>
          <t>08/04/2026</t>
        </is>
      </c>
      <c r="I9545" t="inlineStr">
        <is>
          <t>17/03/2026</t>
        </is>
      </c>
      <c r="J9545" t="inlineStr">
        <is>
          <t>Kế toán / Kiểm toán, Tài chính / Đầu tư, Luật / Pháp lý</t>
        </is>
      </c>
      <c r="K9545" t="inlineStr">
        <is>
          <t>Trên 2 Năm</t>
        </is>
      </c>
      <c r="L9545" s="8">
        <f>HYPERLINK("https://careerviet.vn/vi/tim-viec-lam/ke-toan-vien.35C6BA38.html","Xem chi tiết")</f>
        <v/>
      </c>
    </row>
    <row r="9546">
      <c r="B9546" s="9" t="n">
        <v>9544</v>
      </c>
      <c r="C9546" s="10" t="inlineStr">
        <is>
          <t>NV PHIÊN DỊCH TIẾNG THÁI ( Ở LẠI TRẠI)</t>
        </is>
      </c>
      <c r="D9546" s="10" t="inlineStr">
        <is>
          <t>CÔNG TY CỔ PHẦN THÁI VIỆT CORPORATION</t>
        </is>
      </c>
      <c r="E9546" s="10" t="inlineStr">
        <is>
          <t>Lương:13 Tr - 16 Tr VND</t>
        </is>
      </c>
      <c r="F9546" s="10" t="inlineStr">
        <is>
          <t>Bình Phước</t>
        </is>
      </c>
      <c r="G9546" s="10" t="inlineStr">
        <is>
          <t>09-04-2026</t>
        </is>
      </c>
      <c r="H9546" s="10" t="inlineStr">
        <is>
          <t>09/04/2026</t>
        </is>
      </c>
      <c r="I9546" s="10" t="inlineStr">
        <is>
          <t>17/03/2026</t>
        </is>
      </c>
      <c r="J9546" s="10" t="inlineStr">
        <is>
          <t>Biên phiên dịch, Chăn nuôi / Thú y, Mới tốt nghiệp / Thực tập</t>
        </is>
      </c>
      <c r="K9546" s="10" t="inlineStr">
        <is>
          <t>1 - 2 Năm</t>
        </is>
      </c>
      <c r="L9546" s="11">
        <f>HYPERLINK("https://careerviet.vn/vi/tim-viec-lam/nv-phien-dich-tieng-thai-o-lai-trai.35C6B897.html","Xem chi tiết")</f>
        <v/>
      </c>
      <c r="M9546" s="10" t="n"/>
    </row>
    <row r="9547">
      <c r="B9547" s="7" t="n">
        <v>9545</v>
      </c>
      <c r="C9547" t="inlineStr">
        <is>
          <t>KẾ TOÁN NỘI BỘ</t>
        </is>
      </c>
      <c r="D9547" t="inlineStr">
        <is>
          <t>CÔNG TY TNHH DỊCH VỤ BẢO AN T&amp;T VIỆT NAM</t>
        </is>
      </c>
      <c r="E9547" t="inlineStr">
        <is>
          <t>Lương:Cạnh tranh</t>
        </is>
      </c>
      <c r="F9547" t="inlineStr">
        <is>
          <t>Hà Nội</t>
        </is>
      </c>
      <c r="G9547" t="inlineStr">
        <is>
          <t>31-03-2026</t>
        </is>
      </c>
      <c r="H9547" t="inlineStr">
        <is>
          <t>31/03/2026</t>
        </is>
      </c>
      <c r="I9547" t="inlineStr">
        <is>
          <t>17/03/2026</t>
        </is>
      </c>
      <c r="J9547" t="inlineStr">
        <is>
          <t>Kế toán / Kiểm toán</t>
        </is>
      </c>
      <c r="K9547" t="inlineStr">
        <is>
          <t>Trên 1 Năm</t>
        </is>
      </c>
      <c r="L9547" s="8">
        <f>HYPERLINK("https://careerviet.vn/vi/tim-viec-lam/ke-toan-noi-bo.35C6B751.html","Xem chi tiết")</f>
        <v/>
      </c>
    </row>
    <row r="9548">
      <c r="B9548" s="9" t="n">
        <v>9546</v>
      </c>
      <c r="C9548" s="10" t="inlineStr">
        <is>
          <t>Trưởng bộ phận Kiểm tra Chất Lượng</t>
        </is>
      </c>
      <c r="D9548" s="10" t="inlineStr">
        <is>
          <t>Tập Đoàn Tân Á Đại Thành</t>
        </is>
      </c>
      <c r="E9548" s="10" t="inlineStr">
        <is>
          <t>Lương:13 Tr - 13,6 Tr VND</t>
        </is>
      </c>
      <c r="F9548" s="10" t="inlineStr">
        <is>
          <t>Hà Nam</t>
        </is>
      </c>
      <c r="G9548" s="10" t="inlineStr">
        <is>
          <t>10-04-2026</t>
        </is>
      </c>
      <c r="H9548" s="10" t="inlineStr">
        <is>
          <t>10/04/2026</t>
        </is>
      </c>
      <c r="I9548" s="10" t="inlineStr">
        <is>
          <t>17/03/2026</t>
        </is>
      </c>
      <c r="J9548" s="10" t="inlineStr">
        <is>
          <t>Quản lý chất lượng (QA/QC)</t>
        </is>
      </c>
      <c r="K9548" s="10" t="inlineStr">
        <is>
          <t>1 - 2 Năm</t>
        </is>
      </c>
      <c r="L9548" s="11">
        <f>HYPERLINK("https://careerviet.vn/vi/tim-viec-lam/truong-bo-phan-kiem-tra-chat-luong.35C6B73A.html","Xem chi tiết")</f>
        <v/>
      </c>
      <c r="M9548" s="10" t="n"/>
    </row>
    <row r="9549">
      <c r="B9549" s="7" t="n">
        <v>9547</v>
      </c>
      <c r="C9549" t="inlineStr">
        <is>
          <t>Content SEO</t>
        </is>
      </c>
      <c r="D9549" t="inlineStr">
        <is>
          <t>CÔNG TY CỔ PHẦN HỌC VIỆN MINH TRÍ THÀNH</t>
        </is>
      </c>
      <c r="E9549" t="inlineStr">
        <is>
          <t>Lương:Cạnh tranh</t>
        </is>
      </c>
      <c r="F9549" t="inlineStr">
        <is>
          <t>Hà Nội</t>
        </is>
      </c>
      <c r="G9549" t="inlineStr">
        <is>
          <t>27-03-2026</t>
        </is>
      </c>
      <c r="H9549" t="inlineStr">
        <is>
          <t>27/03/2026</t>
        </is>
      </c>
      <c r="I9549" t="inlineStr">
        <is>
          <t>17/03/2026</t>
        </is>
      </c>
      <c r="J9549" t="inlineStr">
        <is>
          <t>Quảng cáo / Đối ngoại / Truyền Thông, Giáo dục / Đào tạo, Truyền hình / Báo chí / Biên tập</t>
        </is>
      </c>
      <c r="K9549" t="inlineStr">
        <is>
          <t>1 - 3 Năm</t>
        </is>
      </c>
      <c r="L9549" s="8">
        <f>HYPERLINK("https://careerviet.vn/vi/tim-viec-lam/content-seo.35C6B8AF.html","Xem chi tiết")</f>
        <v/>
      </c>
    </row>
    <row r="9550">
      <c r="B9550" s="9" t="n">
        <v>9548</v>
      </c>
      <c r="C9550" s="10" t="inlineStr">
        <is>
          <t>Giám đốc Chi nhánh</t>
        </is>
      </c>
      <c r="D9550" s="10" t="inlineStr">
        <is>
          <t>CÔNG TY CP GOLDEN CITY</t>
        </is>
      </c>
      <c r="E9550" s="10" t="inlineStr">
        <is>
          <t>Lương:Cạnh tranh</t>
        </is>
      </c>
      <c r="F9550" s="10" t="inlineStr">
        <is>
          <t>Lâm Đồng</t>
        </is>
      </c>
      <c r="G9550" s="10" t="inlineStr">
        <is>
          <t>30-04-2026</t>
        </is>
      </c>
      <c r="H9550" s="10" t="inlineStr">
        <is>
          <t>30/04/2026</t>
        </is>
      </c>
      <c r="I9550" s="10" t="inlineStr">
        <is>
          <t>17/03/2026</t>
        </is>
      </c>
      <c r="J9550" s="10" t="inlineStr">
        <is>
          <t>Luật / Pháp lý, Bất động sản</t>
        </is>
      </c>
      <c r="K9550" s="10" t="inlineStr">
        <is>
          <t>3 - 5 Năm</t>
        </is>
      </c>
      <c r="L9550" s="11">
        <f>HYPERLINK("https://careerviet.vn/vi/tim-viec-lam/giam-doc-chi-nhanh.35C6B9FA.html","Xem chi tiết")</f>
        <v/>
      </c>
      <c r="M9550" s="10" t="n"/>
    </row>
    <row r="9551">
      <c r="B9551" s="7" t="n">
        <v>9549</v>
      </c>
      <c r="C9551" t="inlineStr">
        <is>
          <t>Dimension Analysis Engineer</t>
        </is>
      </c>
      <c r="D9551" t="inlineStr">
        <is>
          <t>GOOD VIEW PLASTICS (VIETNAM) COMPANY LIMITED</t>
        </is>
      </c>
      <c r="E9551" t="inlineStr">
        <is>
          <t>Lương:Cạnh tranh</t>
        </is>
      </c>
      <c r="F9551" t="inlineStr">
        <is>
          <t>Đồng Nai</t>
        </is>
      </c>
      <c r="G9551" t="inlineStr">
        <is>
          <t>09-04-2026</t>
        </is>
      </c>
      <c r="H9551" t="inlineStr">
        <is>
          <t>09/04/2026</t>
        </is>
      </c>
      <c r="I9551" t="inlineStr">
        <is>
          <t>17/03/2026</t>
        </is>
      </c>
      <c r="J9551" t="inlineStr">
        <is>
          <t>Sản xuất / Vận hành sản xuất, Quản lý chất lượng (QA/QC)</t>
        </is>
      </c>
      <c r="K9551" t="inlineStr">
        <is>
          <t>2 - 3 Năm</t>
        </is>
      </c>
      <c r="L9551" s="8">
        <f>HYPERLINK("https://careerviet.vn/vi/tim-viec-lam/dimension-analysis-engineer.35C6B843.html","Xem chi tiết")</f>
        <v/>
      </c>
    </row>
    <row r="9552">
      <c r="B9552" s="9" t="n">
        <v>9550</v>
      </c>
      <c r="C9552" s="10" t="inlineStr">
        <is>
          <t>[Huế] Quản lý Cửa Hàng Thời Trang Thể Thao</t>
        </is>
      </c>
      <c r="D9552" s="10" t="inlineStr">
        <is>
          <t>THỜI TRANG LINING_CÔNG TY TNHH QUỐC TẾ HẢI LONG</t>
        </is>
      </c>
      <c r="E9552" s="10" t="inlineStr">
        <is>
          <t>Lương:10 Tr - 12 Tr VND</t>
        </is>
      </c>
      <c r="F9552" s="10" t="inlineStr">
        <is>
          <t>Thừa Thiên- Huế</t>
        </is>
      </c>
      <c r="G9552" s="10" t="inlineStr">
        <is>
          <t>04-04-2026</t>
        </is>
      </c>
      <c r="H9552" s="10" t="inlineStr">
        <is>
          <t>04/04/2026</t>
        </is>
      </c>
      <c r="I9552" s="10" t="inlineStr">
        <is>
          <t>17/03/2026</t>
        </is>
      </c>
      <c r="J9552" s="10" t="inlineStr">
        <is>
          <t>Bán lẻ / Bán sỉ, Bán hàng / Kinh doanh</t>
        </is>
      </c>
      <c r="K9552" s="10" t="inlineStr">
        <is>
          <t>1 - 2 Năm</t>
        </is>
      </c>
      <c r="L9552" s="11">
        <f>HYPERLINK("https://careerviet.vn/vi/tim-viec-lam/hue-quan-ly-cua-hang-thoi-trang-the-thao.35C6B859.html","Xem chi tiết")</f>
        <v/>
      </c>
      <c r="M9552" s="10" t="n"/>
    </row>
    <row r="9553">
      <c r="B9553" s="7" t="n">
        <v>9551</v>
      </c>
      <c r="C9553" t="inlineStr">
        <is>
          <t>Chuyên viên - Điện tự động</t>
        </is>
      </c>
      <c r="D9553" t="inlineStr">
        <is>
          <t>Công ty Cổ Phần Giấy Sài Gòn - SAIGON PAPER CORPORATION</t>
        </is>
      </c>
      <c r="E9553" t="inlineStr">
        <is>
          <t>Lương:Cạnh tranh</t>
        </is>
      </c>
      <c r="F9553" t="inlineStr">
        <is>
          <t>Bà Rịa - Vũng Tàu</t>
        </is>
      </c>
      <c r="G9553" t="inlineStr">
        <is>
          <t>08-04-2026</t>
        </is>
      </c>
      <c r="H9553" t="inlineStr">
        <is>
          <t>08/04/2026</t>
        </is>
      </c>
      <c r="I9553" t="inlineStr">
        <is>
          <t>17/03/2026</t>
        </is>
      </c>
      <c r="J9553" t="inlineStr">
        <is>
          <t>Điện / Điện tử / Điện lạnh / Điện công nghiệp, Bảo trì / Sửa chữa</t>
        </is>
      </c>
      <c r="K9553" t="inlineStr">
        <is>
          <t>2 - 3 Năm</t>
        </is>
      </c>
      <c r="L9553" s="8">
        <f>HYPERLINK("https://careerviet.vn/vi/tim-viec-lam/chuyen-vien-dien-tu-dong.35C6B826.html","Xem chi tiết")</f>
        <v/>
      </c>
    </row>
    <row r="9554">
      <c r="B9554" s="9" t="n">
        <v>9552</v>
      </c>
      <c r="C9554" s="10" t="inlineStr">
        <is>
          <t>Chuyên viên nhân sự Tổng hợp</t>
        </is>
      </c>
      <c r="D9554" s="10" t="inlineStr">
        <is>
          <t>CÔNG TY TNHH THƯƠNG MẠI VÀ HỮU NGHỊ LÊ GIA</t>
        </is>
      </c>
      <c r="E9554" s="10" t="inlineStr">
        <is>
          <t>Lương:20 Tr - 25 Tr VND</t>
        </is>
      </c>
      <c r="F9554" s="10" t="inlineStr">
        <is>
          <t>Hà Nội</t>
        </is>
      </c>
      <c r="G9554" s="10" t="inlineStr">
        <is>
          <t>15-03-2026</t>
        </is>
      </c>
      <c r="H9554" s="10" t="inlineStr">
        <is>
          <t>15/03/2026</t>
        </is>
      </c>
      <c r="I9554" s="10" t="inlineStr">
        <is>
          <t>17/03/2026</t>
        </is>
      </c>
      <c r="J9554" s="10" t="inlineStr">
        <is>
          <t>Hành chính / Thư ký, Nhân sự</t>
        </is>
      </c>
      <c r="K9554" s="10" t="inlineStr">
        <is>
          <t>3 - 5 Năm</t>
        </is>
      </c>
      <c r="L9554" s="11">
        <f>HYPERLINK("https://careerviet.vn/vi/tim-viec-lam/chuyen-vien-nhan-su-tong-hop.35C6B839.html","Xem chi tiết")</f>
        <v/>
      </c>
      <c r="M9554" s="10" t="n"/>
    </row>
    <row r="9555">
      <c r="B9555" s="7" t="n">
        <v>9553</v>
      </c>
      <c r="C9555" t="inlineStr">
        <is>
          <t>Chuyên viên cao cấp Nguồn vốn - TNEX - 4B038</t>
        </is>
      </c>
      <c r="D9555" t="inlineStr">
        <is>
          <t>Tập đoàn ROX (ROX Group)</t>
        </is>
      </c>
      <c r="E9555" t="inlineStr">
        <is>
          <t>Lương:Cạnh tranh</t>
        </is>
      </c>
      <c r="F9555" t="inlineStr">
        <is>
          <t>Hà Nội</t>
        </is>
      </c>
      <c r="G9555" t="inlineStr">
        <is>
          <t>08-04-2026</t>
        </is>
      </c>
      <c r="H9555" t="inlineStr">
        <is>
          <t>08/04/2026</t>
        </is>
      </c>
      <c r="I9555" t="inlineStr">
        <is>
          <t>17/03/2026</t>
        </is>
      </c>
      <c r="J9555" t="inlineStr">
        <is>
          <t>Ngân hàng</t>
        </is>
      </c>
      <c r="K9555" t="inlineStr">
        <is>
          <t>Trên 5 Năm</t>
        </is>
      </c>
      <c r="L9555" s="8">
        <f>HYPERLINK("https://careerviet.vn/vi/tim-viec-lam/chuyen-vien-cao-cap-nguon-von-tnex-4b038.35C6B7B5.html","Xem chi tiết")</f>
        <v/>
      </c>
    </row>
    <row r="9556">
      <c r="B9556" s="9" t="n">
        <v>9554</v>
      </c>
      <c r="C9556" s="10" t="inlineStr">
        <is>
          <t>Nhân viên pha chế quán Cafe</t>
        </is>
      </c>
      <c r="D9556" s="10" t="inlineStr">
        <is>
          <t>Công Ty TNHH Kindy City</t>
        </is>
      </c>
      <c r="E9556" s="10" t="inlineStr">
        <is>
          <t>Lương:Cạnh tranh</t>
        </is>
      </c>
      <c r="F9556" s="10" t="inlineStr">
        <is>
          <t>Hồ Chí Minh</t>
        </is>
      </c>
      <c r="G9556" s="10" t="inlineStr">
        <is>
          <t>09-04-2026</t>
        </is>
      </c>
      <c r="H9556" s="10" t="inlineStr">
        <is>
          <t>09/04/2026</t>
        </is>
      </c>
      <c r="I9556" s="10" t="inlineStr">
        <is>
          <t>17/03/2026</t>
        </is>
      </c>
      <c r="J9556" s="10" t="inlineStr">
        <is>
          <t>Bán hàng / Kinh doanh, Thực phẩm &amp; Đồ uống, Ngành khác</t>
        </is>
      </c>
      <c r="K9556" s="10" t="inlineStr">
        <is>
          <t>1 - 3 Năm</t>
        </is>
      </c>
      <c r="L9556" s="11">
        <f>HYPERLINK("https://careerviet.vn/vi/tim-viec-lam/nhan-vien-pha-che-quan-cafe.35C6B7DA.html","Xem chi tiết")</f>
        <v/>
      </c>
      <c r="M9556" s="10" t="n"/>
    </row>
    <row r="9557">
      <c r="B9557" s="7" t="n">
        <v>9555</v>
      </c>
      <c r="C9557" t="inlineStr">
        <is>
          <t>Nhân Viên QA</t>
        </is>
      </c>
      <c r="D9557" t="inlineStr">
        <is>
          <t>Công Ty TNHH Tata Coffee Việt Nam</t>
        </is>
      </c>
      <c r="E9557" t="inlineStr">
        <is>
          <t>Lương:Cạnh tranh</t>
        </is>
      </c>
      <c r="F9557" t="inlineStr">
        <is>
          <t>Bình Dương</t>
        </is>
      </c>
      <c r="G9557" t="inlineStr">
        <is>
          <t>08-04-2026</t>
        </is>
      </c>
      <c r="H9557" t="inlineStr">
        <is>
          <t>08/04/2026</t>
        </is>
      </c>
      <c r="I9557" t="inlineStr">
        <is>
          <t>17/03/2026</t>
        </is>
      </c>
      <c r="J9557" t="inlineStr">
        <is>
          <t>Công nghệ sinh học, Công nghệ thực phẩm / Dinh dưỡng, Quản lý chất lượng (QA/QC)</t>
        </is>
      </c>
      <c r="K9557" t="inlineStr">
        <is>
          <t>1 - 2 NămĐịa điểm</t>
        </is>
      </c>
      <c r="L9557" s="8">
        <f>HYPERLINK("https://careerviet.vn/vi/tim-viec-lam/nhan-vien-qa.35C6B6B5.html","Xem chi tiết")</f>
        <v/>
      </c>
    </row>
    <row r="9558">
      <c r="B9558" s="9" t="n">
        <v>9556</v>
      </c>
      <c r="C9558" s="10" t="inlineStr">
        <is>
          <t>Chuyên viên xử lý nợ (Địa bàn Hà Nội)</t>
        </is>
      </c>
      <c r="D9558" s="10" t="inlineStr">
        <is>
          <t>Ngân Hàng TMCP Sài Gòn - Hà Nội ( SHB )</t>
        </is>
      </c>
      <c r="E9558" s="10" t="inlineStr">
        <is>
          <t>Lương:Cạnh tranh</t>
        </is>
      </c>
      <c r="F9558" s="10" t="inlineStr">
        <is>
          <t>Hà Nội</t>
        </is>
      </c>
      <c r="G9558" s="10" t="inlineStr">
        <is>
          <t>06-04-2026</t>
        </is>
      </c>
      <c r="H9558" s="10" t="inlineStr">
        <is>
          <t>06/04/2026</t>
        </is>
      </c>
      <c r="I9558" s="10" t="inlineStr">
        <is>
          <t>17/03/2026</t>
        </is>
      </c>
      <c r="J9558" s="10" t="inlineStr">
        <is>
          <t>Ngân hàng</t>
        </is>
      </c>
      <c r="K9558" s="10" t="inlineStr">
        <is>
          <t>Trên 5 Năm</t>
        </is>
      </c>
      <c r="L9558" s="11">
        <f>HYPERLINK("https://careerviet.vn/vi/tim-viec-lam/chuyen-vien-xu-ly-no-dia-ban-ha-noi.35C6B6EB.html","Xem chi tiết")</f>
        <v/>
      </c>
      <c r="M9558" s="10" t="n"/>
    </row>
    <row r="9559">
      <c r="B9559" s="7" t="n">
        <v>9557</v>
      </c>
      <c r="C9559" t="inlineStr">
        <is>
          <t>Kế Toán Quản Trị</t>
        </is>
      </c>
      <c r="D9559" t="inlineStr">
        <is>
          <t>Tập Đoàn Kim Tín</t>
        </is>
      </c>
      <c r="E9559" t="inlineStr">
        <is>
          <t>Lương:Cạnh tranh</t>
        </is>
      </c>
      <c r="F9559" t="inlineStr">
        <is>
          <t>Hồ Chí Minh</t>
        </is>
      </c>
      <c r="G9559" t="inlineStr">
        <is>
          <t>08-04-2026</t>
        </is>
      </c>
      <c r="H9559" t="inlineStr">
        <is>
          <t>08/04/2026</t>
        </is>
      </c>
      <c r="I9559" t="inlineStr">
        <is>
          <t>17/03/2026</t>
        </is>
      </c>
      <c r="J9559" t="inlineStr">
        <is>
          <t>Kế toán / Kiểm toán, Thống kê</t>
        </is>
      </c>
      <c r="K9559" t="inlineStr">
        <is>
          <t>3 - 5 Năm</t>
        </is>
      </c>
      <c r="L9559" s="8">
        <f>HYPERLINK("https://careerviet.vn/vi/tim-viec-lam/ke-toan-quan-tri.35C6B830.html","Xem chi tiết")</f>
        <v/>
      </c>
    </row>
    <row r="9560">
      <c r="B9560" s="9" t="n">
        <v>9558</v>
      </c>
      <c r="C9560" s="10" t="inlineStr">
        <is>
          <t>Kỹ thuật điện công nghiệp</t>
        </is>
      </c>
      <c r="D9560" s="10" t="inlineStr">
        <is>
          <t>Công Ty TNHH Điện Lạnh Miền Tây</t>
        </is>
      </c>
      <c r="E9560" s="10" t="inlineStr">
        <is>
          <t>Lương:13 Tr - 18 Tr VND</t>
        </is>
      </c>
      <c r="F9560" s="10" t="inlineStr">
        <is>
          <t>Hồ Chí Minh</t>
        </is>
      </c>
      <c r="G9560" s="10" t="inlineStr">
        <is>
          <t>31-03-2026</t>
        </is>
      </c>
      <c r="H9560" s="10" t="inlineStr">
        <is>
          <t>31/03/2026</t>
        </is>
      </c>
      <c r="I9560" s="10" t="inlineStr">
        <is>
          <t>17/03/2026</t>
        </is>
      </c>
      <c r="J9560" s="10" t="inlineStr">
        <is>
          <t>Điện / Điện tử / Điện lạnh / Điện công nghiệp, Bảo trì / Sửa chữa</t>
        </is>
      </c>
      <c r="K9560" s="10" t="inlineStr">
        <is>
          <t>1 - 2 Năm</t>
        </is>
      </c>
      <c r="L9560" s="11">
        <f>HYPERLINK("https://careerviet.vn/vi/tim-viec-lam/ky-thuat-dien-cong-nghiep.35C6B831.html","Xem chi tiết")</f>
        <v/>
      </c>
      <c r="M9560" s="10" t="n"/>
    </row>
    <row r="9561">
      <c r="B9561" s="7" t="n">
        <v>9559</v>
      </c>
      <c r="C9561" t="inlineStr">
        <is>
          <t>NHÂN VIÊN LÁI XE TẢI</t>
        </is>
      </c>
      <c r="D9561" t="inlineStr">
        <is>
          <t>CÔNG TY CỔ PHẦN HÙNG CƯỜNG PHARMA</t>
        </is>
      </c>
      <c r="E9561" t="inlineStr">
        <is>
          <t>Lương:8 Tr - 12 Tr VND</t>
        </is>
      </c>
      <c r="F9561" t="inlineStr">
        <is>
          <t>Hồ Chí Minh</t>
        </is>
      </c>
      <c r="G9561" t="inlineStr">
        <is>
          <t>09-04-2026</t>
        </is>
      </c>
      <c r="H9561" t="inlineStr">
        <is>
          <t>09/04/2026</t>
        </is>
      </c>
      <c r="I9561" t="inlineStr">
        <is>
          <t>17/03/2026</t>
        </is>
      </c>
      <c r="J9561" t="inlineStr">
        <is>
          <t>Lao động phổ thông, Vận chuyển / Giao nhận / Kho vận</t>
        </is>
      </c>
      <c r="K9561" t="inlineStr">
        <is>
          <t>N/A</t>
        </is>
      </c>
      <c r="L9561" s="8">
        <f>HYPERLINK("https://careerviet.vn/vi/tim-viec-lam/nhan-vien-lai-xe-tai.35C6B83F.html","Xem chi tiết")</f>
        <v/>
      </c>
    </row>
    <row r="9562">
      <c r="B9562" s="9" t="n">
        <v>9560</v>
      </c>
      <c r="C9562" s="10" t="inlineStr">
        <is>
          <t>Nhân viên kinh doanh</t>
        </is>
      </c>
      <c r="D9562" s="10" t="inlineStr">
        <is>
          <t>CÔNG TY CỔ PHẦN SÀN BẤT ĐỘNG SẢN HOMEGROUP</t>
        </is>
      </c>
      <c r="E9562" s="10" t="inlineStr">
        <is>
          <t>Lương:8 Tr - 25 Tr VND</t>
        </is>
      </c>
      <c r="F9562" s="10" t="inlineStr">
        <is>
          <t>Hồ Chí Minh</t>
        </is>
      </c>
      <c r="G9562" s="10" t="inlineStr">
        <is>
          <t>31-03-2026</t>
        </is>
      </c>
      <c r="H9562" s="10" t="inlineStr">
        <is>
          <t>31/03/2026</t>
        </is>
      </c>
      <c r="I9562" s="10" t="inlineStr">
        <is>
          <t>17/03/2026</t>
        </is>
      </c>
      <c r="J9562" s="10" t="inlineStr">
        <is>
          <t>Bất động sản</t>
        </is>
      </c>
      <c r="K9562" s="10" t="inlineStr">
        <is>
          <t>Chưa có kinh nghiệm</t>
        </is>
      </c>
      <c r="L9562" s="11">
        <f>HYPERLINK("https://careerviet.vn/vi/tim-viec-lam/nhan-vien-kinh-doanh.35C6B76F.html","Xem chi tiết")</f>
        <v/>
      </c>
      <c r="M9562" s="10" t="n"/>
    </row>
    <row r="9563">
      <c r="B9563" s="7" t="n">
        <v>9561</v>
      </c>
      <c r="C9563" t="inlineStr">
        <is>
          <t>Giám đốc Mô hình Rủi ro (Digital Risk Modeling Head) - TNEX - 4B035</t>
        </is>
      </c>
      <c r="D9563" t="inlineStr">
        <is>
          <t>Tập đoàn ROX (ROX Group)</t>
        </is>
      </c>
      <c r="E9563" t="inlineStr">
        <is>
          <t>Lương:Cạnh tranh</t>
        </is>
      </c>
      <c r="F9563" t="inlineStr">
        <is>
          <t>Hà NộiHồ Chí Minh</t>
        </is>
      </c>
      <c r="G9563" t="inlineStr">
        <is>
          <t>06-04-2026</t>
        </is>
      </c>
      <c r="H9563" t="inlineStr">
        <is>
          <t>06/04/2026</t>
        </is>
      </c>
      <c r="I9563" t="inlineStr">
        <is>
          <t>17/03/2026</t>
        </is>
      </c>
      <c r="J9563" t="inlineStr">
        <is>
          <t>Tài chính / Đầu tư</t>
        </is>
      </c>
      <c r="K9563" t="inlineStr">
        <is>
          <t>Trên 5 Năm</t>
        </is>
      </c>
      <c r="L9563" s="8">
        <f>HYPERLINK("https://careerviet.vn/vi/tim-viec-lam/giam-doc-mo-hinh-rui-ro-digital-risk-modeling-head-tnex-4b035.35C6B757.html","Xem chi tiết")</f>
        <v/>
      </c>
    </row>
    <row r="9564">
      <c r="B9564" s="9" t="n">
        <v>9562</v>
      </c>
      <c r="C9564" s="10" t="inlineStr">
        <is>
          <t>Nhân viên thu mua</t>
        </is>
      </c>
      <c r="D9564" s="10" t="inlineStr">
        <is>
          <t>Công ty TNHH DV và Kỹ Thuật Biển Xanh (GOTCO)</t>
        </is>
      </c>
      <c r="E9564" s="10" t="inlineStr">
        <is>
          <t>Lương:9 Tr - 12 Tr VND</t>
        </is>
      </c>
      <c r="F9564" s="10" t="inlineStr">
        <is>
          <t>Hồ Chí Minh</t>
        </is>
      </c>
      <c r="G9564" s="10" t="inlineStr">
        <is>
          <t>10-04-2026</t>
        </is>
      </c>
      <c r="H9564" s="10" t="inlineStr">
        <is>
          <t>10/04/2026</t>
        </is>
      </c>
      <c r="I9564" s="10" t="inlineStr">
        <is>
          <t>17/03/2026</t>
        </is>
      </c>
      <c r="J9564" s="10" t="inlineStr">
        <is>
          <t>Vận chuyển / Giao nhận / Kho vận, Bảo trì / Sửa chữa, Thu mua / Vật tư</t>
        </is>
      </c>
      <c r="K9564" s="10" t="inlineStr">
        <is>
          <t>1 - 2 Năm</t>
        </is>
      </c>
      <c r="L9564" s="11">
        <f>HYPERLINK("https://careerviet.vn/vi/tim-viec-lam/nhan-vien-thu-mua.35C6B7F8.html","Xem chi tiết")</f>
        <v/>
      </c>
      <c r="M9564" s="10" t="n"/>
    </row>
    <row r="9565">
      <c r="B9565" s="7" t="n">
        <v>9563</v>
      </c>
      <c r="C9565" t="inlineStr">
        <is>
          <t>KỸ SƯ SẢN XUẤT IN ẤN</t>
        </is>
      </c>
      <c r="D9565" t="inlineStr">
        <is>
          <t>Công ty TNHH NATco (Việt Nam)</t>
        </is>
      </c>
      <c r="E9565" t="inlineStr">
        <is>
          <t>Lương:Cạnh tranh</t>
        </is>
      </c>
      <c r="F9565" t="inlineStr">
        <is>
          <t>Bình Dương</t>
        </is>
      </c>
      <c r="G9565" t="inlineStr">
        <is>
          <t>30-04-2026</t>
        </is>
      </c>
      <c r="H9565" t="inlineStr">
        <is>
          <t>30/04/2026</t>
        </is>
      </c>
      <c r="I9565" t="inlineStr">
        <is>
          <t>17/03/2026</t>
        </is>
      </c>
      <c r="J9565" t="inlineStr">
        <is>
          <t>Cơ khí / Ô tô / Tự động hóa, Sản xuất / Vận hành sản xuất, In ấn / Xuất bản</t>
        </is>
      </c>
      <c r="K9565" t="inlineStr">
        <is>
          <t>1 - 2 Năm</t>
        </is>
      </c>
      <c r="L9565" s="8">
        <f>HYPERLINK("https://careerviet.vn/vi/tim-viec-lam/ky-su-san-xuat-in-an.35C6B74A.html","Xem chi tiết")</f>
        <v/>
      </c>
    </row>
    <row r="9566">
      <c r="B9566" s="9" t="n">
        <v>9564</v>
      </c>
      <c r="C9566" s="10" t="inlineStr">
        <is>
          <t>Giám sát An toàn công trường</t>
        </is>
      </c>
      <c r="D9566" s="10" t="inlineStr">
        <is>
          <t>CÔNG TY CỔ PHẦN XÂY DỰNG VÀ THIẾT KẾ BẮC TRUNG NAM</t>
        </is>
      </c>
      <c r="E9566" s="10" t="inlineStr">
        <is>
          <t>Lương:15 Tr - 20 Tr VND</t>
        </is>
      </c>
      <c r="F9566" s="10" t="inlineStr">
        <is>
          <t>Đồng Nai</t>
        </is>
      </c>
      <c r="G9566" s="10" t="inlineStr">
        <is>
          <t>07-04-2026</t>
        </is>
      </c>
      <c r="H9566" s="10" t="inlineStr">
        <is>
          <t>07/04/2026</t>
        </is>
      </c>
      <c r="I9566" s="10" t="inlineStr">
        <is>
          <t>17/03/2026</t>
        </is>
      </c>
      <c r="J9566" s="10" t="inlineStr">
        <is>
          <t>Xây dựng, An toàn lao động</t>
        </is>
      </c>
      <c r="K9566" s="10" t="inlineStr">
        <is>
          <t>2 - 5 Năm</t>
        </is>
      </c>
      <c r="L9566" s="11">
        <f>HYPERLINK("https://careerviet.vn/vi/tim-viec-lam/giam-sat-an-toan-cong-truong.35C6B7B4.html","Xem chi tiết")</f>
        <v/>
      </c>
      <c r="M9566" s="10" t="n"/>
    </row>
    <row r="9567">
      <c r="B9567" s="7" t="n">
        <v>9565</v>
      </c>
      <c r="C9567" t="inlineStr">
        <is>
          <t>Staff of Domestic Raw Material &amp; Projects</t>
        </is>
      </c>
      <c r="D9567" t="inlineStr">
        <is>
          <t>Công ty Cổ Phần Giấy Sài Gòn - SAIGON PAPER CORPORATION</t>
        </is>
      </c>
      <c r="E9567" t="inlineStr">
        <is>
          <t>Lương:11 Tr - 13 Tr VND</t>
        </is>
      </c>
      <c r="F9567" t="inlineStr">
        <is>
          <t>Hồ Chí Minh</t>
        </is>
      </c>
      <c r="G9567" t="inlineStr">
        <is>
          <t>11-04-2026</t>
        </is>
      </c>
      <c r="H9567" t="inlineStr">
        <is>
          <t>11/04/2026</t>
        </is>
      </c>
      <c r="I9567" t="inlineStr">
        <is>
          <t>17/03/2026</t>
        </is>
      </c>
      <c r="J9567" t="inlineStr">
        <is>
          <t>Thu mua / Vật tư</t>
        </is>
      </c>
      <c r="K9567" t="inlineStr">
        <is>
          <t>2 - 4 Năm</t>
        </is>
      </c>
      <c r="L9567" s="8">
        <f>HYPERLINK("https://careerviet.vn/vi/tim-viec-lam/staff-of-domestic-raw-material-projects.35C6B735.html","Xem chi tiết")</f>
        <v/>
      </c>
    </row>
    <row r="9568">
      <c r="B9568" s="9" t="n">
        <v>9566</v>
      </c>
      <c r="C9568" s="10" t="inlineStr">
        <is>
          <t>Chuyên viên cao cấp Quản trị kế hoạch và hiệu quả KHDN</t>
        </is>
      </c>
      <c r="D9568" s="10" t="inlineStr">
        <is>
          <t>Ngân Hàng TMCP Sài Gòn - Hà Nội ( SHB )</t>
        </is>
      </c>
      <c r="E9568" s="10" t="inlineStr">
        <is>
          <t>Lương:Cạnh tranh</t>
        </is>
      </c>
      <c r="F9568" s="10" t="inlineStr">
        <is>
          <t>Hà Nội</t>
        </is>
      </c>
      <c r="G9568" s="10" t="inlineStr">
        <is>
          <t>06-04-2026</t>
        </is>
      </c>
      <c r="H9568" s="10" t="inlineStr">
        <is>
          <t>06/04/2026</t>
        </is>
      </c>
      <c r="I9568" s="10" t="inlineStr">
        <is>
          <t>17/03/2026</t>
        </is>
      </c>
      <c r="J9568" s="10" t="inlineStr">
        <is>
          <t>Dịch vụ khách hàng, Ngân hàng, Bán hàng / Kinh doanh</t>
        </is>
      </c>
      <c r="K9568" s="10" t="inlineStr">
        <is>
          <t>Trên 3 Năm</t>
        </is>
      </c>
      <c r="L9568" s="11">
        <f>HYPERLINK("https://careerviet.vn/vi/tim-viec-lam/chuyen-vien-cao-cap-quan-tri-ke-hoach-va-hieu-qua-khdn.35C6B6F0.html","Xem chi tiết")</f>
        <v/>
      </c>
      <c r="M9568" s="10" t="n"/>
    </row>
    <row r="9569">
      <c r="B9569" s="7" t="n">
        <v>9567</v>
      </c>
      <c r="C9569" t="inlineStr">
        <is>
          <t>Đại diện Quản lý và Phát triển khách hàng siêu thị (Hà Nội)</t>
        </is>
      </c>
      <c r="D9569" t="inlineStr">
        <is>
          <t>Tổng công ty Cổ phần Bia - Rượu - Nước giải khát Hà Nội (HABECO - Bia Hà Nội)</t>
        </is>
      </c>
      <c r="E9569" t="inlineStr">
        <is>
          <t>Lương:Cạnh tranh</t>
        </is>
      </c>
      <c r="F9569" t="inlineStr">
        <is>
          <t>Hà Nội</t>
        </is>
      </c>
      <c r="G9569" t="inlineStr">
        <is>
          <t>06-04-2026</t>
        </is>
      </c>
      <c r="H9569" t="inlineStr">
        <is>
          <t>06/04/2026</t>
        </is>
      </c>
      <c r="I9569" t="inlineStr">
        <is>
          <t>17/03/2026</t>
        </is>
      </c>
      <c r="J9569" t="inlineStr">
        <is>
          <t>Tiếp thị / Marketing, Bán lẻ / Bán sỉ, Bán hàng / Kinh doanh</t>
        </is>
      </c>
      <c r="K9569" t="inlineStr">
        <is>
          <t>Trên 1 Năm</t>
        </is>
      </c>
      <c r="L9569" s="8">
        <f>HYPERLINK("https://careerviet.vn/vi/tim-viec-lam/dai-dien-quan-ly-va-phat-trien-khach-hang-sieu-thi-ha-noi.35C6B7D3.html","Xem chi tiết")</f>
        <v/>
      </c>
    </row>
    <row r="9570">
      <c r="B9570" s="9" t="n">
        <v>9568</v>
      </c>
      <c r="C9570" s="10" t="inlineStr">
        <is>
          <t>Production Line Leader (Dầu Giây - Đồng Nai)</t>
        </is>
      </c>
      <c r="D9570" s="10" t="inlineStr">
        <is>
          <t>Techtronic Industries Vietnam Manufacturing Company Limited</t>
        </is>
      </c>
      <c r="E9570" s="10" t="inlineStr">
        <is>
          <t>Lương:Cạnh tranh</t>
        </is>
      </c>
      <c r="F9570" s="10" t="inlineStr">
        <is>
          <t>Đồng Nai</t>
        </is>
      </c>
      <c r="G9570" s="10" t="inlineStr">
        <is>
          <t>08-04-2026</t>
        </is>
      </c>
      <c r="H9570" s="10" t="inlineStr">
        <is>
          <t>08/04/2026</t>
        </is>
      </c>
      <c r="I9570" s="10" t="inlineStr">
        <is>
          <t>17/03/2026</t>
        </is>
      </c>
      <c r="J9570" s="10" t="inlineStr">
        <is>
          <t>Sản xuất / Vận hành sản xuất</t>
        </is>
      </c>
      <c r="K9570" s="10" t="inlineStr">
        <is>
          <t>2 Năm</t>
        </is>
      </c>
      <c r="L9570" s="11">
        <f>HYPERLINK("https://careerviet.vn/vi/tim-viec-lam/production-line-leader-dau-giay-dong-nai.35C6B7FD.html","Xem chi tiết")</f>
        <v/>
      </c>
      <c r="M9570" s="10" t="n"/>
    </row>
    <row r="9571">
      <c r="B9571" s="7" t="n">
        <v>9569</v>
      </c>
      <c r="C9571" t="inlineStr">
        <is>
          <t>Electrical QC Inspector (Hanoi) - P.IN</t>
        </is>
      </c>
      <c r="D9571" t="inlineStr">
        <is>
          <t>TÜV Rheinland Vietnam</t>
        </is>
      </c>
      <c r="E9571" t="inlineStr">
        <is>
          <t>Lương:Cạnh tranh</t>
        </is>
      </c>
      <c r="F9571" t="inlineStr">
        <is>
          <t>Hà Nội</t>
        </is>
      </c>
      <c r="G9571" t="inlineStr">
        <is>
          <t>26-05-2026</t>
        </is>
      </c>
      <c r="H9571" t="inlineStr">
        <is>
          <t>26/05/2026</t>
        </is>
      </c>
      <c r="I9571" t="inlineStr">
        <is>
          <t>17/03/2026</t>
        </is>
      </c>
      <c r="J9571" t="inlineStr">
        <is>
          <t>Tư vấn, Quản lý chất lượng (QA/QC), Điện / Điện tử / Điện lạnh / Điện công nghiệp</t>
        </is>
      </c>
      <c r="K9571" t="inlineStr">
        <is>
          <t>1 - 5 Năm</t>
        </is>
      </c>
      <c r="L9571" s="8">
        <f>HYPERLINK("https://careerviet.vn/vi/tim-viec-lam/electrical-qc-inspector-hanoi-p-in.35C6B7F3.html","Xem chi tiết")</f>
        <v/>
      </c>
    </row>
    <row r="9572">
      <c r="B9572" s="9" t="n">
        <v>9570</v>
      </c>
      <c r="C9572" s="10" t="inlineStr">
        <is>
          <t>Quản Lý Cửa Hàng</t>
        </is>
      </c>
      <c r="D9572" s="10" t="inlineStr">
        <is>
          <t>Công ty Cổ phần CANIFA</t>
        </is>
      </c>
      <c r="E9572" s="10" t="inlineStr">
        <is>
          <t>Lương:15 Tr - 25 Tr VND</t>
        </is>
      </c>
      <c r="F9572" s="10" t="inlineStr">
        <is>
          <t>Hà NộiBình Dương</t>
        </is>
      </c>
      <c r="G9572" s="10" t="inlineStr">
        <is>
          <t>31-03-2026</t>
        </is>
      </c>
      <c r="H9572" s="10" t="inlineStr">
        <is>
          <t>31/03/2026</t>
        </is>
      </c>
      <c r="I9572" s="10" t="inlineStr">
        <is>
          <t>17/03/2026</t>
        </is>
      </c>
      <c r="J9572" s="10" t="inlineStr">
        <is>
          <t>Bán lẻ / Bán sỉ, Bán hàng / Kinh doanh, Dệt may / Da giày / Thời trang</t>
        </is>
      </c>
      <c r="K9572" s="10" t="inlineStr">
        <is>
          <t>1 - 3 Năm</t>
        </is>
      </c>
      <c r="L9572" s="11">
        <f>HYPERLINK("https://careerviet.vn/vi/tim-viec-lam/quan-ly-cua-hang.35C6B7DE.html","Xem chi tiết")</f>
        <v/>
      </c>
      <c r="M9572" s="10" t="n"/>
    </row>
    <row r="9573">
      <c r="B9573" s="7" t="n">
        <v>9571</v>
      </c>
      <c r="C9573" t="inlineStr">
        <is>
          <t>Nhân Viên Hành Chính Nhân Sự (Thời Vụ 5 Tháng)</t>
        </is>
      </c>
      <c r="D9573" t="inlineStr">
        <is>
          <t>CÔNG TY TNHH RICEGROWERS VIỆT NAM</t>
        </is>
      </c>
      <c r="E9573" t="inlineStr">
        <is>
          <t>Lương:Cạnh tranh</t>
        </is>
      </c>
      <c r="F9573" t="inlineStr">
        <is>
          <t>Đồng Tháp</t>
        </is>
      </c>
      <c r="G9573" t="inlineStr">
        <is>
          <t>03-04-2026</t>
        </is>
      </c>
      <c r="H9573" t="inlineStr">
        <is>
          <t>03/04/2026</t>
        </is>
      </c>
      <c r="I9573" t="inlineStr">
        <is>
          <t>17/03/2026</t>
        </is>
      </c>
      <c r="J9573" t="inlineStr">
        <is>
          <t>Nhân sự, Luật / Pháp lý</t>
        </is>
      </c>
      <c r="K9573" t="inlineStr">
        <is>
          <t>1 - 2 Năm</t>
        </is>
      </c>
      <c r="L9573" s="8">
        <f>HYPERLINK("https://careerviet.vn/vi/tim-viec-lam/nhan-vien-hanh-chinh-nhan-su-thoi-vu-5-thang.35C6B7D5.html","Xem chi tiết")</f>
        <v/>
      </c>
    </row>
    <row r="9574">
      <c r="B9574" s="9" t="n">
        <v>9572</v>
      </c>
      <c r="C9574" s="10" t="inlineStr">
        <is>
          <t>Nhân viên môi trường - vận hành hệ thống xử lí nước thải</t>
        </is>
      </c>
      <c r="D9574" s="10" t="inlineStr">
        <is>
          <t>CÔNG TY CP CHẾ BIẾN DỪA Á CHÂU</t>
        </is>
      </c>
      <c r="E9574" s="10" t="inlineStr">
        <is>
          <t>Lương:Cạnh tranh</t>
        </is>
      </c>
      <c r="F9574" s="10" t="inlineStr">
        <is>
          <t>Bến Tre</t>
        </is>
      </c>
      <c r="G9574" s="10" t="inlineStr">
        <is>
          <t>31-03-2026</t>
        </is>
      </c>
      <c r="H9574" s="10" t="inlineStr">
        <is>
          <t>31/03/2026</t>
        </is>
      </c>
      <c r="I9574" s="10" t="inlineStr">
        <is>
          <t>17/03/2026</t>
        </is>
      </c>
      <c r="J9574" s="10" t="inlineStr">
        <is>
          <t>Môi trường, Bảo trì / Sửa chữa</t>
        </is>
      </c>
      <c r="K9574" s="10" t="inlineStr">
        <is>
          <t>N/A</t>
        </is>
      </c>
      <c r="L9574" s="11">
        <f>HYPERLINK("https://careerviet.vn/vi/tim-viec-lam/nhan-vien-moi-truong-van-hanh-he-thong-xu-li-nuoc-thai.35C6B72B.html","Xem chi tiết")</f>
        <v/>
      </c>
      <c r="M9574" s="10" t="n"/>
    </row>
    <row r="9575">
      <c r="B9575" s="7" t="n">
        <v>9573</v>
      </c>
      <c r="C9575" t="inlineStr">
        <is>
          <t>Công Nhân Kỹ Thuật Vận Hành Máy CNC Gỗ</t>
        </is>
      </c>
      <c r="D9575" t="inlineStr">
        <is>
          <t>CÔNG TY CỔ PHẦN DEWOO VIỆT NAM</t>
        </is>
      </c>
      <c r="E9575" t="inlineStr">
        <is>
          <t>Lương:Cạnh tranh</t>
        </is>
      </c>
      <c r="F9575" t="inlineStr">
        <is>
          <t>Bình Dương</t>
        </is>
      </c>
      <c r="G9575" t="inlineStr">
        <is>
          <t>10-04-2026</t>
        </is>
      </c>
      <c r="H9575" t="inlineStr">
        <is>
          <t>10/04/2026</t>
        </is>
      </c>
      <c r="I9575" t="inlineStr">
        <is>
          <t>17/03/2026</t>
        </is>
      </c>
      <c r="J9575" t="inlineStr">
        <is>
          <t>Sản xuất / Vận hành sản xuất, Đồ gỗ, Lao động phổ thông</t>
        </is>
      </c>
      <c r="K9575" t="inlineStr">
        <is>
          <t>N/A</t>
        </is>
      </c>
      <c r="L9575" s="8">
        <f>HYPERLINK("https://careerviet.vn/vi/tim-viec-lam/cong-nhan-ky-thuat-van-hanh-may-cnc-go.35C6B77A.html","Xem chi tiết")</f>
        <v/>
      </c>
    </row>
    <row r="9576">
      <c r="B9576" s="9" t="n">
        <v>9574</v>
      </c>
      <c r="C9576" s="10" t="inlineStr">
        <is>
          <t>Bảo Vệ</t>
        </is>
      </c>
      <c r="D9576" s="10" t="inlineStr">
        <is>
          <t>CÔNG TY CỔ PHẦN WEI XERN SIN VIỆT NAM</t>
        </is>
      </c>
      <c r="E9576" s="10" t="inlineStr">
        <is>
          <t>Lương:Cạnh tranh</t>
        </is>
      </c>
      <c r="F9576" s="10" t="inlineStr">
        <is>
          <t>Đà Nẵng</t>
        </is>
      </c>
      <c r="G9576" s="10" t="inlineStr">
        <is>
          <t>08-04-2026</t>
        </is>
      </c>
      <c r="H9576" s="10" t="inlineStr">
        <is>
          <t>08/04/2026</t>
        </is>
      </c>
      <c r="I9576" s="10" t="inlineStr">
        <is>
          <t>17/03/2026</t>
        </is>
      </c>
      <c r="J9576" s="10" t="inlineStr">
        <is>
          <t>Trắc địa / Địa Chất, Xây dựng, An Ninh / Bảo Vệ</t>
        </is>
      </c>
      <c r="K9576" s="10" t="inlineStr">
        <is>
          <t>N/A</t>
        </is>
      </c>
      <c r="L9576" s="11">
        <f>HYPERLINK("https://careerviet.vn/vi/tim-viec-lam/bao-ve.35C6B7D2.html","Xem chi tiết")</f>
        <v/>
      </c>
      <c r="M9576" s="10" t="n"/>
    </row>
    <row r="9577">
      <c r="B9577" s="7" t="n">
        <v>9575</v>
      </c>
      <c r="C9577" t="inlineStr">
        <is>
          <t>Trưởng phòng thiết kế (công ty gỗ, chuyên hàng Outdoor)</t>
        </is>
      </c>
      <c r="D9577" t="inlineStr">
        <is>
          <t>CÔNG TY TNHH SẢN XUẤT THƯƠNG MẠI VINAFOREST</t>
        </is>
      </c>
      <c r="E9577" t="inlineStr">
        <is>
          <t>Lương:15 Tr - 30 Tr VND</t>
        </is>
      </c>
      <c r="F9577" t="inlineStr">
        <is>
          <t>Bình Định</t>
        </is>
      </c>
      <c r="G9577" t="inlineStr">
        <is>
          <t>30-04-2026</t>
        </is>
      </c>
      <c r="H9577" t="inlineStr">
        <is>
          <t>30/04/2026</t>
        </is>
      </c>
      <c r="I9577" t="inlineStr">
        <is>
          <t>17/03/2026</t>
        </is>
      </c>
      <c r="J9577" t="inlineStr">
        <is>
          <t>Đồ gỗ, Kiến trúc, Quản lý điều hành</t>
        </is>
      </c>
      <c r="K9577" t="inlineStr">
        <is>
          <t>5 - 10 Năm</t>
        </is>
      </c>
      <c r="L9577" s="8">
        <f>HYPERLINK("https://careerviet.vn/vi/tim-viec-lam/truong-phong-thiet-ke-cong-ty-go-chuyen-hang-outdoor.35C6B7A3.html","Xem chi tiết")</f>
        <v/>
      </c>
    </row>
    <row r="9578">
      <c r="B9578" s="9" t="n">
        <v>9576</v>
      </c>
      <c r="C9578" s="10" t="inlineStr">
        <is>
          <t>Chuyên gia/CVCC Mô hình rủi ro</t>
        </is>
      </c>
      <c r="D9578" s="10" t="inlineStr">
        <is>
          <t>Ngân Hàng TMCP Sài Gòn - Hà Nội ( SHB )</t>
        </is>
      </c>
      <c r="E9578" s="10" t="inlineStr">
        <is>
          <t>Lương:Cạnh tranh</t>
        </is>
      </c>
      <c r="F9578" s="10" t="inlineStr">
        <is>
          <t>Hà Nội</t>
        </is>
      </c>
      <c r="G9578" s="10" t="inlineStr">
        <is>
          <t>06-04-2026</t>
        </is>
      </c>
      <c r="H9578" s="10" t="inlineStr">
        <is>
          <t>06/04/2026</t>
        </is>
      </c>
      <c r="I9578" s="10" t="inlineStr">
        <is>
          <t>17/03/2026</t>
        </is>
      </c>
      <c r="J9578" s="10" t="inlineStr">
        <is>
          <t>CNTT - Phần mềm, Kế toán / Kiểm toán, Ngân hàng</t>
        </is>
      </c>
      <c r="K9578" s="10" t="inlineStr">
        <is>
          <t>Trên 3 Năm</t>
        </is>
      </c>
      <c r="L9578" s="11">
        <f>HYPERLINK("https://careerviet.vn/vi/tim-viec-lam/chuyen-gia-cvcc-mo-hinh-rui-ro.35C6B6E8.html","Xem chi tiết")</f>
        <v/>
      </c>
      <c r="M9578" s="10" t="n"/>
    </row>
    <row r="9579">
      <c r="B9579" s="7" t="n">
        <v>9577</v>
      </c>
      <c r="C9579" t="inlineStr">
        <is>
          <t>Chuyên Viên Dự Toán Đấu thầu &amp; Quản lý Thầu Phụ</t>
        </is>
      </c>
      <c r="D9579" t="inlineStr">
        <is>
          <t>CÔNG TY CỔ PHẦN XÂY DỰNG WORLD STEEL</t>
        </is>
      </c>
      <c r="E9579" t="inlineStr">
        <is>
          <t>Lương:15 Tr - 25 Tr VND</t>
        </is>
      </c>
      <c r="F9579" t="inlineStr">
        <is>
          <t>Hồ Chí Minh</t>
        </is>
      </c>
      <c r="G9579" t="inlineStr">
        <is>
          <t>09-04-2026</t>
        </is>
      </c>
      <c r="H9579" t="inlineStr">
        <is>
          <t>09/04/2026</t>
        </is>
      </c>
      <c r="I9579" t="inlineStr">
        <is>
          <t>17/03/2026</t>
        </is>
      </c>
      <c r="J9579" t="inlineStr">
        <is>
          <t>Kiến trúc, Xây dựng</t>
        </is>
      </c>
      <c r="K9579" t="inlineStr">
        <is>
          <t>2 - 5 Năm</t>
        </is>
      </c>
      <c r="L9579" s="8">
        <f>HYPERLINK("https://careerviet.vn/vi/tim-viec-lam/chuyen-vien-du-toan-dau-thau-quan-ly-thau-phu.35C6B7E1.html","Xem chi tiết")</f>
        <v/>
      </c>
    </row>
    <row r="9580">
      <c r="B9580" s="9" t="n">
        <v>9578</v>
      </c>
      <c r="C9580" s="10" t="inlineStr">
        <is>
          <t>Nhân Viên Triển Khai Shop Drawing/BIM - Revit (Thu Nhập Hẫn Dẫn)</t>
        </is>
      </c>
      <c r="D9580" s="10" t="inlineStr">
        <is>
          <t>CÔNG TY CỔ PHẦN TẬP ĐOÀN CÔNG NGHỆ AMD MODULAR</t>
        </is>
      </c>
      <c r="E9580" s="10" t="inlineStr">
        <is>
          <t>Lương:10 Tr - 20 Tr VND</t>
        </is>
      </c>
      <c r="F9580" s="10" t="inlineStr">
        <is>
          <t>Hà Nội</t>
        </is>
      </c>
      <c r="G9580" s="10" t="inlineStr">
        <is>
          <t>08-04-2026</t>
        </is>
      </c>
      <c r="H9580" s="10" t="inlineStr">
        <is>
          <t>08/04/2026</t>
        </is>
      </c>
      <c r="I9580" s="10" t="inlineStr">
        <is>
          <t>17/03/2026</t>
        </is>
      </c>
      <c r="J9580" s="10" t="inlineStr">
        <is>
          <t>Xây dựng, Kiến trúc, Nội ngoại thất</t>
        </is>
      </c>
      <c r="K9580" s="10" t="inlineStr">
        <is>
          <t>Trên 2 Năm</t>
        </is>
      </c>
      <c r="L9580" s="11">
        <f>HYPERLINK("https://careerviet.vn/vi/tim-viec-lam/nhan-vien-trien-khai-shop-drawing-bim-revit-thu-nhap-han-dan.35C6B7B0.html","Xem chi tiết")</f>
        <v/>
      </c>
      <c r="M9580" s="10" t="n"/>
    </row>
    <row r="9581">
      <c r="B9581" s="7" t="n">
        <v>9579</v>
      </c>
      <c r="C9581" t="inlineStr">
        <is>
          <t>Giám đốc Trung tâm giải pháp KHCN</t>
        </is>
      </c>
      <c r="D9581" t="inlineStr">
        <is>
          <t>Ngân Hàng TMCP Sài Gòn - Hà Nội ( SHB )</t>
        </is>
      </c>
      <c r="E9581" t="inlineStr">
        <is>
          <t>Lương:Cạnh tranh</t>
        </is>
      </c>
      <c r="F9581" t="inlineStr">
        <is>
          <t>Hà Nội</t>
        </is>
      </c>
      <c r="G9581" t="inlineStr">
        <is>
          <t>06-04-2026</t>
        </is>
      </c>
      <c r="H9581" t="inlineStr">
        <is>
          <t>06/04/2026</t>
        </is>
      </c>
      <c r="I9581" t="inlineStr">
        <is>
          <t>17/03/2026</t>
        </is>
      </c>
      <c r="J9581" t="inlineStr">
        <is>
          <t>Ngân hàng, Tài chính / Đầu tư</t>
        </is>
      </c>
      <c r="K9581" t="inlineStr">
        <is>
          <t>8 - 12 Năm</t>
        </is>
      </c>
      <c r="L9581" s="8">
        <f>HYPERLINK("https://careerviet.vn/vi/tim-viec-lam/giam-doc-trung-tam-giai-phap-khcn.35C6B6D9.html","Xem chi tiết")</f>
        <v/>
      </c>
    </row>
    <row r="9582">
      <c r="B9582" s="9" t="n">
        <v>9580</v>
      </c>
      <c r="C9582" s="10" t="inlineStr">
        <is>
          <t>Nhân viên thiết kế</t>
        </is>
      </c>
      <c r="D9582" s="10" t="inlineStr">
        <is>
          <t>Công ty Cổ phần Mediamart Việt Nam</t>
        </is>
      </c>
      <c r="E9582" s="10" t="inlineStr">
        <is>
          <t>Lương:13 Tr - 15 Tr VND</t>
        </is>
      </c>
      <c r="F9582" s="10" t="inlineStr">
        <is>
          <t>Hà Nội</t>
        </is>
      </c>
      <c r="G9582" s="10" t="inlineStr">
        <is>
          <t>06-04-2026</t>
        </is>
      </c>
      <c r="H9582" s="10" t="inlineStr">
        <is>
          <t>06/04/2026</t>
        </is>
      </c>
      <c r="I9582" s="10" t="inlineStr">
        <is>
          <t>17/03/2026</t>
        </is>
      </c>
      <c r="J9582" s="10" t="inlineStr">
        <is>
          <t>Mỹ thuật / Nghệ thuật / Thiết kế</t>
        </is>
      </c>
      <c r="K9582" s="10" t="inlineStr">
        <is>
          <t>1 - 3 Năm</t>
        </is>
      </c>
      <c r="L9582" s="11">
        <f>HYPERLINK("https://careerviet.vn/vi/tim-viec-lam/nhan-vien-thiet-ke.35C6B732.html","Xem chi tiết")</f>
        <v/>
      </c>
      <c r="M9582" s="10" t="n"/>
    </row>
    <row r="9583">
      <c r="B9583" s="7" t="n">
        <v>9581</v>
      </c>
      <c r="C9583" t="inlineStr">
        <is>
          <t>Sales Executive (Electric/ Electronic) Hanoi - P.03</t>
        </is>
      </c>
      <c r="D9583" t="inlineStr">
        <is>
          <t>TÜV Rheinland Vietnam</t>
        </is>
      </c>
      <c r="E9583" t="inlineStr">
        <is>
          <t>Lương:Cạnh tranh</t>
        </is>
      </c>
      <c r="F9583" t="inlineStr">
        <is>
          <t>Hà Nội</t>
        </is>
      </c>
      <c r="G9583" t="inlineStr">
        <is>
          <t>14-05-2026</t>
        </is>
      </c>
      <c r="H9583" t="inlineStr">
        <is>
          <t>14/05/2026</t>
        </is>
      </c>
      <c r="I9583" t="inlineStr">
        <is>
          <t>17/03/2026</t>
        </is>
      </c>
      <c r="J9583" t="inlineStr">
        <is>
          <t>Điện / Điện tử / Điện lạnh / Điện công nghiệp</t>
        </is>
      </c>
      <c r="K9583" t="inlineStr">
        <is>
          <t>2 - 6 Năm</t>
        </is>
      </c>
      <c r="L9583" s="8">
        <f>HYPERLINK("https://careerviet.vn/vi/tim-viec-lam/sales-executive-electric-electronic-hanoi-p-03.35C6B79A.html","Xem chi tiết")</f>
        <v/>
      </c>
    </row>
    <row r="9584">
      <c r="B9584" s="9" t="n">
        <v>9582</v>
      </c>
      <c r="C9584" s="10" t="inlineStr">
        <is>
          <t>[NovaDreams] Giám đốc Ban Marketing</t>
        </is>
      </c>
      <c r="D9584" s="10" t="inlineStr">
        <is>
          <t>Bảo mật</t>
        </is>
      </c>
      <c r="E9584" s="10" t="inlineStr">
        <is>
          <t>Lương:Cạnh tranh</t>
        </is>
      </c>
      <c r="F9584" s="10" t="inlineStr">
        <is>
          <t>Hồ Chí Minh</t>
        </is>
      </c>
      <c r="G9584" s="10" t="inlineStr">
        <is>
          <t>09-04-2026</t>
        </is>
      </c>
      <c r="H9584" s="10" t="inlineStr">
        <is>
          <t>09/04/2026</t>
        </is>
      </c>
      <c r="I9584" s="10" t="inlineStr">
        <is>
          <t>17/03/2026</t>
        </is>
      </c>
      <c r="J9584" s="10" t="inlineStr">
        <is>
          <t>Tiếp thị / Marketing</t>
        </is>
      </c>
      <c r="K9584" s="10" t="inlineStr">
        <is>
          <t>8 - 15 Năm</t>
        </is>
      </c>
      <c r="L9584" s="11">
        <f>HYPERLINK("https://careerviet.vn/vi/tim-viec-lam/novadreams-giam-doc-ban-marketing.35C6B72E.html","Xem chi tiết")</f>
        <v/>
      </c>
      <c r="M9584" s="10" t="n"/>
    </row>
    <row r="9585">
      <c r="B9585" s="7" t="n">
        <v>9583</v>
      </c>
      <c r="C9585" t="inlineStr">
        <is>
          <t>Chuyên viên Cao cấp Phân khúc và Chính sách KHDN lớn</t>
        </is>
      </c>
      <c r="D9585" t="inlineStr">
        <is>
          <t>Ngân Hàng TMCP Sài Gòn - Hà Nội ( SHB )</t>
        </is>
      </c>
      <c r="E9585" t="inlineStr">
        <is>
          <t>Lương:Cạnh tranh</t>
        </is>
      </c>
      <c r="F9585" t="inlineStr">
        <is>
          <t>Hà Nội</t>
        </is>
      </c>
      <c r="G9585" t="inlineStr">
        <is>
          <t>06-04-2026</t>
        </is>
      </c>
      <c r="H9585" t="inlineStr">
        <is>
          <t>06/04/2026</t>
        </is>
      </c>
      <c r="I9585" t="inlineStr">
        <is>
          <t>17/03/2026</t>
        </is>
      </c>
      <c r="J9585" t="inlineStr">
        <is>
          <t>Ngân hàng</t>
        </is>
      </c>
      <c r="K9585" t="inlineStr">
        <is>
          <t>Trên 3 Năm</t>
        </is>
      </c>
      <c r="L9585" s="8">
        <f>HYPERLINK("https://careerviet.vn/vi/tim-viec-lam/chuyen-vien-cao-cap-phan-khuc-va-chinh-sach-khdn-lon.35C6B6F7.html","Xem chi tiết")</f>
        <v/>
      </c>
    </row>
    <row r="9586">
      <c r="B9586" s="9" t="n">
        <v>9584</v>
      </c>
      <c r="C9586" s="10" t="inlineStr">
        <is>
          <t>Phó Giám đốc Khối Ngân hàng Bán lẻ</t>
        </is>
      </c>
      <c r="D9586" s="10" t="inlineStr">
        <is>
          <t>Ngân Hàng TMCP Sài Gòn - Hà Nội ( SHB )</t>
        </is>
      </c>
      <c r="E9586" s="10" t="inlineStr">
        <is>
          <t>Lương:Cạnh tranh</t>
        </is>
      </c>
      <c r="F9586" s="10" t="inlineStr">
        <is>
          <t>Hà Nội</t>
        </is>
      </c>
      <c r="G9586" s="10" t="inlineStr">
        <is>
          <t>06-04-2026</t>
        </is>
      </c>
      <c r="H9586" s="10" t="inlineStr">
        <is>
          <t>06/04/2026</t>
        </is>
      </c>
      <c r="I9586" s="10" t="inlineStr">
        <is>
          <t>17/03/2026</t>
        </is>
      </c>
      <c r="J9586" s="10" t="inlineStr">
        <is>
          <t>Ngân hàng</t>
        </is>
      </c>
      <c r="K9586" s="10" t="inlineStr">
        <is>
          <t>Trên 15 Năm</t>
        </is>
      </c>
      <c r="L9586" s="11">
        <f>HYPERLINK("https://careerviet.vn/vi/tim-viec-lam/pho-giam-doc-khoi-ngan-hang-ban-le.35C6B6DA.html","Xem chi tiết")</f>
        <v/>
      </c>
      <c r="M9586" s="10" t="n"/>
    </row>
    <row r="9587">
      <c r="B9587" s="7" t="n">
        <v>9585</v>
      </c>
      <c r="C9587" t="inlineStr">
        <is>
          <t>Chuyên viên Bảo hiểm</t>
        </is>
      </c>
      <c r="D9587" t="inlineStr">
        <is>
          <t>Ngân hàng TMCP Đại Chúng Việt Nam - PVcomBank</t>
        </is>
      </c>
      <c r="E9587" t="inlineStr">
        <is>
          <t>Lương:Cạnh tranh</t>
        </is>
      </c>
      <c r="F9587" t="inlineStr">
        <is>
          <t>Hà Nội</t>
        </is>
      </c>
      <c r="G9587" t="inlineStr">
        <is>
          <t>09-04-2026</t>
        </is>
      </c>
      <c r="H9587" t="inlineStr">
        <is>
          <t>09/04/2026</t>
        </is>
      </c>
      <c r="I9587" t="inlineStr">
        <is>
          <t>17/03/2026</t>
        </is>
      </c>
      <c r="J9587" t="inlineStr">
        <is>
          <t>Ngân hàng</t>
        </is>
      </c>
      <c r="K9587" t="inlineStr">
        <is>
          <t>2 - 3 Năm</t>
        </is>
      </c>
      <c r="L9587" s="8">
        <f>HYPERLINK("https://careerviet.vn/vi/tim-viec-lam/chuyen-vien-bao-hiem.35C6B767.html","Xem chi tiết")</f>
        <v/>
      </c>
    </row>
    <row r="9588">
      <c r="B9588" s="9" t="n">
        <v>9586</v>
      </c>
      <c r="C9588" s="10" t="inlineStr">
        <is>
          <t>Chuyên viên cao cấp Phát triển năng lực bán KHDN</t>
        </is>
      </c>
      <c r="D9588" s="10" t="inlineStr">
        <is>
          <t>Ngân Hàng TMCP Sài Gòn - Hà Nội ( SHB )</t>
        </is>
      </c>
      <c r="E9588" s="10" t="inlineStr">
        <is>
          <t>Lương:Cạnh tranh</t>
        </is>
      </c>
      <c r="F9588" s="10" t="inlineStr">
        <is>
          <t>Hà Nội</t>
        </is>
      </c>
      <c r="G9588" s="10" t="inlineStr">
        <is>
          <t>06-04-2026</t>
        </is>
      </c>
      <c r="H9588" s="10" t="inlineStr">
        <is>
          <t>06/04/2026</t>
        </is>
      </c>
      <c r="I9588" s="10" t="inlineStr">
        <is>
          <t>17/03/2026</t>
        </is>
      </c>
      <c r="J9588" s="10" t="inlineStr">
        <is>
          <t>Ngân hàng, Tài chính / Đầu tư</t>
        </is>
      </c>
      <c r="K9588" s="10" t="inlineStr">
        <is>
          <t>2 - 3 Năm</t>
        </is>
      </c>
      <c r="L9588" s="11">
        <f>HYPERLINK("https://careerviet.vn/vi/tim-viec-lam/chuyen-vien-cao-cap-phat-trien-nang-luc-ban-khdn.35C6B701.html","Xem chi tiết")</f>
        <v/>
      </c>
      <c r="M9588" s="10" t="n"/>
    </row>
    <row r="9589">
      <c r="B9589" s="7" t="n">
        <v>9587</v>
      </c>
      <c r="C9589" t="inlineStr">
        <is>
          <t>THỰC TẬP SINH PHÒNG HC-NS</t>
        </is>
      </c>
      <c r="D9589" t="inlineStr">
        <is>
          <t>CÔNG TY CỔ PHẦN TẬP ĐOÀN UNIS</t>
        </is>
      </c>
      <c r="E9589" t="inlineStr">
        <is>
          <t>Lương:2 Tr - 2 Tr VND</t>
        </is>
      </c>
      <c r="F9589" t="inlineStr">
        <is>
          <t>Hồ Chí Minh</t>
        </is>
      </c>
      <c r="G9589" t="inlineStr">
        <is>
          <t>31-03-2026</t>
        </is>
      </c>
      <c r="H9589" t="inlineStr">
        <is>
          <t>31/03/2026</t>
        </is>
      </c>
      <c r="I9589" t="inlineStr">
        <is>
          <t>17/03/2026</t>
        </is>
      </c>
      <c r="J9589" t="inlineStr">
        <is>
          <t>Hành chính / Thư ký</t>
        </is>
      </c>
      <c r="K9589" t="inlineStr">
        <is>
          <t>N/A</t>
        </is>
      </c>
      <c r="L9589" s="8">
        <f>HYPERLINK("https://careerviet.vn/vi/tim-viec-lam/thuc-tap-sinh-phong-hc-ns.35C6C7D0.html","Xem chi tiết")</f>
        <v/>
      </c>
    </row>
    <row r="9590">
      <c r="B9590" s="9" t="n">
        <v>9588</v>
      </c>
      <c r="C9590" s="10" t="inlineStr">
        <is>
          <t>Chuyên viên Quản lý Cảnh quan</t>
        </is>
      </c>
      <c r="D9590" s="10" t="inlineStr">
        <is>
          <t>Công Ty TNHH Hoa Viên Bình An</t>
        </is>
      </c>
      <c r="E9590" s="10" t="inlineStr">
        <is>
          <t>Lương:Cạnh tranh</t>
        </is>
      </c>
      <c r="F9590" s="10" t="inlineStr">
        <is>
          <t>Đồng Nai</t>
        </is>
      </c>
      <c r="G9590" s="10" t="inlineStr">
        <is>
          <t>09-04-2026</t>
        </is>
      </c>
      <c r="H9590" s="10" t="inlineStr">
        <is>
          <t>09/04/2026</t>
        </is>
      </c>
      <c r="I9590" s="10" t="inlineStr">
        <is>
          <t>17/03/2026</t>
        </is>
      </c>
      <c r="J9590" s="10" t="inlineStr">
        <is>
          <t>Nông nghiệp, Lâm Nghiệp, Nội ngoại thất</t>
        </is>
      </c>
      <c r="K9590" s="10" t="inlineStr">
        <is>
          <t>1 - 3 Năm</t>
        </is>
      </c>
      <c r="L9590" s="11">
        <f>HYPERLINK("https://careerviet.vn/vi/tim-viec-lam/chuyen-vien-quan-ly-canh-quan.35C6B746.html","Xem chi tiết")</f>
        <v/>
      </c>
      <c r="M9590" s="10" t="n"/>
    </row>
    <row r="9591">
      <c r="B9591" s="7" t="n">
        <v>9589</v>
      </c>
      <c r="C9591" t="inlineStr">
        <is>
          <t>Merchandiser and Planing (Quản lý đơn hàng và kế hoạch sản xuất)</t>
        </is>
      </c>
      <c r="D9591" t="inlineStr">
        <is>
          <t>Công ty TNHH Enzo &amp; Leo</t>
        </is>
      </c>
      <c r="E9591" t="inlineStr">
        <is>
          <t>Lương:10 Tr - 12 Tr VND</t>
        </is>
      </c>
      <c r="F9591" t="inlineStr">
        <is>
          <t>Hồ Chí Minh</t>
        </is>
      </c>
      <c r="G9591" t="inlineStr">
        <is>
          <t>31-03-2026</t>
        </is>
      </c>
      <c r="H9591" t="inlineStr">
        <is>
          <t>31/03/2026</t>
        </is>
      </c>
      <c r="I9591" t="inlineStr">
        <is>
          <t>17/03/2026</t>
        </is>
      </c>
      <c r="J9591" t="inlineStr">
        <is>
          <t>Thu mua / Vật tư, Sản xuất / Vận hành sản xuất</t>
        </is>
      </c>
      <c r="K9591" t="inlineStr">
        <is>
          <t>2 - 3 Năm</t>
        </is>
      </c>
      <c r="L9591" s="8">
        <f>HYPERLINK("https://careerviet.vn/vi/tim-viec-lam/merchandiser-and-planing-quan-ly-don-hang-va-ke-hoach-san-xuat.35C6B719.html","Xem chi tiết")</f>
        <v/>
      </c>
    </row>
    <row r="9592">
      <c r="B9592" s="9" t="n">
        <v>9590</v>
      </c>
      <c r="C9592" s="10" t="inlineStr">
        <is>
          <t>Giám đốc Phòng giao dịch</t>
        </is>
      </c>
      <c r="D9592" s="10" t="inlineStr">
        <is>
          <t>Ngân Hàng TMCP Sài Gòn - Hà Nội ( SHB )</t>
        </is>
      </c>
      <c r="E9592" s="10" t="inlineStr">
        <is>
          <t>Lương:Cạnh tranh</t>
        </is>
      </c>
      <c r="F9592" s="10" t="inlineStr">
        <is>
          <t>Quảng Ngãi</t>
        </is>
      </c>
      <c r="G9592" s="10" t="inlineStr">
        <is>
          <t>06-04-2026</t>
        </is>
      </c>
      <c r="H9592" s="10" t="inlineStr">
        <is>
          <t>06/04/2026</t>
        </is>
      </c>
      <c r="I9592" s="10" t="inlineStr">
        <is>
          <t>17/03/2026</t>
        </is>
      </c>
      <c r="J9592" s="10" t="inlineStr">
        <is>
          <t>Quản lý điều hành, Ngân hàng, Tài chính / Đầu tư</t>
        </is>
      </c>
      <c r="K9592" s="10" t="inlineStr">
        <is>
          <t>Trên 5 Năm</t>
        </is>
      </c>
      <c r="L9592" s="11">
        <f>HYPERLINK("https://careerviet.vn/vi/tim-viec-lam/giam-doc-phong-giao-dich.35C6B6F2.html","Xem chi tiết")</f>
        <v/>
      </c>
      <c r="M9592" s="10" t="n"/>
    </row>
    <row r="9593">
      <c r="B9593" s="7" t="n">
        <v>9591</v>
      </c>
      <c r="C9593" t="inlineStr">
        <is>
          <t>Chuyên viên cao cấp/Chuyên gia Giải pháp tiết kiệm đầu tư KHCN</t>
        </is>
      </c>
      <c r="D9593" t="inlineStr">
        <is>
          <t>Ngân Hàng TMCP Sài Gòn - Hà Nội ( SHB )</t>
        </is>
      </c>
      <c r="E9593" t="inlineStr">
        <is>
          <t>Lương:Cạnh tranh</t>
        </is>
      </c>
      <c r="F9593" t="inlineStr">
        <is>
          <t>Hà Nội</t>
        </is>
      </c>
      <c r="G9593" t="inlineStr">
        <is>
          <t>06-04-2026</t>
        </is>
      </c>
      <c r="H9593" t="inlineStr">
        <is>
          <t>06/04/2026</t>
        </is>
      </c>
      <c r="I9593" t="inlineStr">
        <is>
          <t>17/03/2026</t>
        </is>
      </c>
      <c r="J9593" t="inlineStr">
        <is>
          <t>Ngân hàng, Tài chính / Đầu tư</t>
        </is>
      </c>
      <c r="K9593" t="inlineStr">
        <is>
          <t>3 - 5 Năm</t>
        </is>
      </c>
      <c r="L9593" s="8">
        <f>HYPERLINK("https://careerviet.vn/vi/tim-viec-lam/chuyen-vien-cao-cap-chuyen-gia-giai-phap-tiet-kiem-dau-tu-khcn.35C6B6E9.html","Xem chi tiết")</f>
        <v/>
      </c>
    </row>
    <row r="9594">
      <c r="B9594" s="9" t="n">
        <v>9592</v>
      </c>
      <c r="C9594" s="10" t="inlineStr">
        <is>
          <t>DESIGN &amp; BRAND EXECUTIVE: SL 02(Mới)</t>
        </is>
      </c>
      <c r="D9594" s="10" t="inlineStr">
        <is>
          <t>CÔNG TY TNHH THƯƠNG MẠI AN NAM FOOD</t>
        </is>
      </c>
      <c r="E9594" s="10" t="inlineStr">
        <is>
          <t>Lương:8 Tr - 18 Tr VND</t>
        </is>
      </c>
      <c r="F9594" s="10" t="inlineStr">
        <is>
          <t>Cần Thơ</t>
        </is>
      </c>
      <c r="G9594" s="10" t="inlineStr">
        <is>
          <t>30-04-2026</t>
        </is>
      </c>
      <c r="H9594" s="10" t="inlineStr">
        <is>
          <t>30/04/2026</t>
        </is>
      </c>
      <c r="I9594" s="10" t="inlineStr">
        <is>
          <t>17/03/2026</t>
        </is>
      </c>
      <c r="J9594" s="10" t="inlineStr">
        <is>
          <t>Tiếp thị / Marketing, Mỹ thuật / Nghệ thuật / Thiết kế</t>
        </is>
      </c>
      <c r="K9594" s="10" t="inlineStr">
        <is>
          <t>3 - 5 Năm</t>
        </is>
      </c>
      <c r="L9594" s="11">
        <f>HYPERLINK("https://careerviet.vn/vi/tim-viec-lam/design-brand-executive-sl-02.35C6CA2F.html","Xem chi tiết")</f>
        <v/>
      </c>
      <c r="M9594" s="10" t="n"/>
    </row>
    <row r="9595">
      <c r="B9595" s="7" t="n">
        <v>9593</v>
      </c>
      <c r="C9595" t="inlineStr">
        <is>
          <t>Chỉ huy trưởng công trình(Mới)</t>
        </is>
      </c>
      <c r="D9595" t="inlineStr">
        <is>
          <t>Công ty TNHH Cơ Điện Lạnh EEP Việt Nam</t>
        </is>
      </c>
      <c r="E9595" t="inlineStr">
        <is>
          <t>Lương:30 Tr - 35 Tr VND</t>
        </is>
      </c>
      <c r="F9595" t="inlineStr">
        <is>
          <t>Hà NộiBắc NinhHưng Yên</t>
        </is>
      </c>
      <c r="G9595" t="inlineStr">
        <is>
          <t>12-04-2026</t>
        </is>
      </c>
      <c r="H9595" t="inlineStr">
        <is>
          <t>12/04/2026</t>
        </is>
      </c>
      <c r="I9595" t="inlineStr">
        <is>
          <t>17/03/2026</t>
        </is>
      </c>
      <c r="J9595" t="inlineStr">
        <is>
          <t>Cơ khí / Ô tô / Tự động hóa, Điện / Điện tử / Điện lạnh / Điện công nghiệp, Xây dựng</t>
        </is>
      </c>
      <c r="K9595" t="inlineStr">
        <is>
          <t>1 - 3 Năm</t>
        </is>
      </c>
      <c r="L9595" s="8">
        <f>HYPERLINK("https://careerviet.vn/vi/tim-viec-lam/chi-huy-truong-cong-trinh.35C6CA38.html","Xem chi tiết")</f>
        <v/>
      </c>
    </row>
    <row r="9596">
      <c r="B9596" s="9" t="n">
        <v>9594</v>
      </c>
      <c r="C9596" s="10" t="inlineStr">
        <is>
          <t>TRƯỞNG PHÒNG QA/QC (QA/QC MANAGER) - Lương Cạnh tranh(Mới)</t>
        </is>
      </c>
      <c r="D9596" s="10" t="inlineStr">
        <is>
          <t>CÔNG TY TNHH THƯƠNG MẠI AN NAM FOOD</t>
        </is>
      </c>
      <c r="E9596" s="10" t="inlineStr">
        <is>
          <t>Lương:20 Tr - 35 Tr VND</t>
        </is>
      </c>
      <c r="F9596" s="10" t="inlineStr">
        <is>
          <t>Cần Thơ</t>
        </is>
      </c>
      <c r="G9596" s="10" t="inlineStr">
        <is>
          <t>30-04-2026</t>
        </is>
      </c>
      <c r="H9596" s="10" t="inlineStr">
        <is>
          <t>30/04/2026</t>
        </is>
      </c>
      <c r="I9596" s="10" t="inlineStr">
        <is>
          <t>17/03/2026</t>
        </is>
      </c>
      <c r="J9596" s="10" t="inlineStr">
        <is>
          <t>Thủy sản / Hải sản, Sản xuất / Vận hành sản xuất</t>
        </is>
      </c>
      <c r="K9596" s="10" t="inlineStr">
        <is>
          <t>5 - 10 Năm</t>
        </is>
      </c>
      <c r="L9596" s="11">
        <f>HYPERLINK("https://careerviet.vn/vi/tim-viec-lam/truong-phong-qa-qc-qa-qc-manager-luong-canh-tranh.35C6CA2D.html","Xem chi tiết")</f>
        <v/>
      </c>
      <c r="M9596" s="10" t="n"/>
    </row>
    <row r="9597">
      <c r="B9597" s="7" t="n">
        <v>9595</v>
      </c>
      <c r="C9597" t="inlineStr">
        <is>
          <t>NHÂN VIÊN KINH DOANH</t>
        </is>
      </c>
      <c r="D9597" t="inlineStr">
        <is>
          <t>CÔNG TY CỔ PHẦN TẬP ĐOÀN UNIS</t>
        </is>
      </c>
      <c r="E9597" t="inlineStr">
        <is>
          <t>Lương:10 Tr - 30 Tr VND</t>
        </is>
      </c>
      <c r="F9597" t="inlineStr">
        <is>
          <t>Bình ThuậnCà MauHồ Chí Minh</t>
        </is>
      </c>
      <c r="G9597" t="inlineStr">
        <is>
          <t>15-03-2026</t>
        </is>
      </c>
      <c r="H9597" t="inlineStr">
        <is>
          <t>16/03/2026</t>
        </is>
      </c>
      <c r="I9597" t="inlineStr">
        <is>
          <t>17/03/2026</t>
        </is>
      </c>
      <c r="J9597" t="inlineStr">
        <is>
          <t>Bán lẻ / Bán sỉ, Bán hàng / Kinh doanh</t>
        </is>
      </c>
      <c r="K9597" t="inlineStr">
        <is>
          <t>1 - 2 Năm</t>
        </is>
      </c>
      <c r="L9597" s="8">
        <f>HYPERLINK("https://careerviet.vn/vi/tim-viec-lam/nhan-vien-kinh-doanh.35C6C63B.html","Xem chi tiết")</f>
        <v/>
      </c>
    </row>
    <row r="9598">
      <c r="B9598" s="9" t="n">
        <v>9596</v>
      </c>
      <c r="C9598" s="10" t="inlineStr">
        <is>
          <t>Nhân viên kinh doanh: Số lượng 20 người(Mới)</t>
        </is>
      </c>
      <c r="D9598" s="10" t="inlineStr">
        <is>
          <t>CÔNG TY TNHH THƯƠNG MẠI AN NAM FOOD</t>
        </is>
      </c>
      <c r="E9598" s="10" t="inlineStr">
        <is>
          <t>Lương:7 Tr - 20 Tr VND</t>
        </is>
      </c>
      <c r="F9598" s="10" t="inlineStr">
        <is>
          <t>Cần Thơ</t>
        </is>
      </c>
      <c r="G9598" s="10" t="inlineStr">
        <is>
          <t>30-04-2026</t>
        </is>
      </c>
      <c r="H9598" s="10" t="inlineStr">
        <is>
          <t>30/04/2026</t>
        </is>
      </c>
      <c r="I9598" s="10" t="inlineStr">
        <is>
          <t>17/03/2026</t>
        </is>
      </c>
      <c r="J9598" s="10" t="inlineStr">
        <is>
          <t>Bán hàng / Kinh doanh</t>
        </is>
      </c>
      <c r="K9598" s="10" t="inlineStr">
        <is>
          <t>1 - 3 Năm</t>
        </is>
      </c>
      <c r="L9598" s="11">
        <f>HYPERLINK("https://careerviet.vn/vi/tim-viec-lam/nhan-vien-kinh-doanh-so-luong-20-nguoi.35C6CA2C.html","Xem chi tiết")</f>
        <v/>
      </c>
      <c r="M9598" s="10" t="n"/>
    </row>
    <row r="9599">
      <c r="B9599" s="7" t="n">
        <v>9597</v>
      </c>
      <c r="C9599" t="inlineStr">
        <is>
          <t>Chuyên viên Cao cấp Phân khúc và Chính sách KHDN vừa và nhỏ</t>
        </is>
      </c>
      <c r="D9599" t="inlineStr">
        <is>
          <t>Ngân Hàng TMCP Sài Gòn - Hà Nội ( SHB )</t>
        </is>
      </c>
      <c r="E9599" t="inlineStr">
        <is>
          <t>Lương:Cạnh tranh</t>
        </is>
      </c>
      <c r="F9599" t="inlineStr">
        <is>
          <t>Hà Nội</t>
        </is>
      </c>
      <c r="G9599" t="inlineStr">
        <is>
          <t>06-04-2026</t>
        </is>
      </c>
      <c r="H9599" t="inlineStr">
        <is>
          <t>06/04/2026</t>
        </is>
      </c>
      <c r="I9599" t="inlineStr">
        <is>
          <t>17/03/2026</t>
        </is>
      </c>
      <c r="J9599" t="inlineStr">
        <is>
          <t>Ngân hàng</t>
        </is>
      </c>
      <c r="K9599" t="inlineStr">
        <is>
          <t>Trên 3 Năm</t>
        </is>
      </c>
      <c r="L9599" s="8">
        <f>HYPERLINK("https://careerviet.vn/vi/tim-viec-lam/chuyen-vien-cao-cap-phan-khuc-va-chinh-sach-khdn-vua-va-nho.35C6B6E2.html","Xem chi tiết")</f>
        <v/>
      </c>
    </row>
    <row r="9600">
      <c r="B9600" s="9" t="n">
        <v>9598</v>
      </c>
      <c r="C9600" s="10" t="inlineStr">
        <is>
          <t>CHUYÊN VIÊN KẾ TOÁN: SL 02(Mới)</t>
        </is>
      </c>
      <c r="D9600" s="10" t="inlineStr">
        <is>
          <t>CÔNG TY TNHH THƯƠNG MẠI AN NAM FOOD</t>
        </is>
      </c>
      <c r="E9600" s="10" t="inlineStr">
        <is>
          <t>Lương:8 Tr - 10 Tr VND</t>
        </is>
      </c>
      <c r="F9600" s="10" t="inlineStr">
        <is>
          <t>Cần Thơ</t>
        </is>
      </c>
      <c r="G9600" s="10" t="inlineStr">
        <is>
          <t>30-04-2026</t>
        </is>
      </c>
      <c r="H9600" s="10" t="inlineStr">
        <is>
          <t>30/04/2026</t>
        </is>
      </c>
      <c r="I9600" s="10" t="inlineStr">
        <is>
          <t>17/03/2026</t>
        </is>
      </c>
      <c r="J9600" s="10" t="inlineStr">
        <is>
          <t>Kế toán / Kiểm toán, Sản xuất / Vận hành sản xuất</t>
        </is>
      </c>
      <c r="K9600" s="10" t="inlineStr">
        <is>
          <t>3 - 5 Năm</t>
        </is>
      </c>
      <c r="L9600" s="11">
        <f>HYPERLINK("https://careerviet.vn/vi/tim-viec-lam/chuyen-vien-ke-toan-sl-02.35C6CA33.html","Xem chi tiết")</f>
        <v/>
      </c>
      <c r="M9600" s="10" t="n"/>
    </row>
    <row r="9601">
      <c r="B9601" s="7" t="n">
        <v>9599</v>
      </c>
      <c r="C9601" t="inlineStr">
        <is>
          <t>Nhân viên bán hàng (Wilson)(Mới)</t>
        </is>
      </c>
      <c r="D9601" t="inlineStr">
        <is>
          <t>CÔNG TY TNHH ANTA SPORTS VIỆT NAM</t>
        </is>
      </c>
      <c r="E9601" t="inlineStr">
        <is>
          <t>Lương:8 Tr - 13 Tr VND</t>
        </is>
      </c>
      <c r="F9601" t="inlineStr">
        <is>
          <t>Hà NộiHồ Chí Minh</t>
        </is>
      </c>
      <c r="G9601" t="inlineStr">
        <is>
          <t>15-04-2026</t>
        </is>
      </c>
      <c r="H9601" t="inlineStr">
        <is>
          <t>15/04/2026</t>
        </is>
      </c>
      <c r="I9601" t="inlineStr">
        <is>
          <t>17/03/2026</t>
        </is>
      </c>
      <c r="J9601" t="inlineStr">
        <is>
          <t>Bán lẻ / Bán sỉ, Bán hàng / Kinh doanh</t>
        </is>
      </c>
      <c r="K9601" t="inlineStr">
        <is>
          <t>Trên 1 Năm</t>
        </is>
      </c>
      <c r="L9601" s="8">
        <f>HYPERLINK("https://careerviet.vn/vi/tim-viec-lam/nhan-vien-ban-hang-wilson.35C6CA3A.html","Xem chi tiết")</f>
        <v/>
      </c>
    </row>
    <row r="9602">
      <c r="B9602" s="9" t="n">
        <v>9600</v>
      </c>
      <c r="C9602" s="10" t="inlineStr">
        <is>
          <t>Nhân viên Kỹ thuật hồ sơ dự án(Mới)</t>
        </is>
      </c>
      <c r="D9602" s="10" t="inlineStr">
        <is>
          <t>CÔNG TY CỔ PHẦN PHÁT TRIỂN CÔNG NGHỆ TECHPRO</t>
        </is>
      </c>
      <c r="E9602" s="10" t="inlineStr">
        <is>
          <t>Lương:13 Tr - 17 Tr VND</t>
        </is>
      </c>
      <c r="F9602" s="10" t="inlineStr">
        <is>
          <t>Hà NộiHồ Chí Minh</t>
        </is>
      </c>
      <c r="G9602" s="10" t="inlineStr">
        <is>
          <t>15-04-2026</t>
        </is>
      </c>
      <c r="H9602" s="10" t="inlineStr">
        <is>
          <t>15/04/2026</t>
        </is>
      </c>
      <c r="I9602" s="10" t="inlineStr">
        <is>
          <t>17/03/2026</t>
        </is>
      </c>
      <c r="J9602" s="10" t="inlineStr">
        <is>
          <t>Xây dựng, Điện / Điện tử / Điện lạnh / Điện công nghiệp</t>
        </is>
      </c>
      <c r="K9602" s="10" t="inlineStr">
        <is>
          <t>1 - 2 Năm</t>
        </is>
      </c>
      <c r="L9602" s="11">
        <f>HYPERLINK("https://careerviet.vn/vi/tim-viec-lam/nhan-vien-ky-thuat-ho-so-du-an.35C6CA20.html","Xem chi tiết")</f>
        <v/>
      </c>
      <c r="M9602" s="10" t="n"/>
    </row>
    <row r="9603">
      <c r="B9603" s="7" t="n">
        <v>9601</v>
      </c>
      <c r="C9603" t="inlineStr">
        <is>
          <t>Kiểm Soát Nội Bộ (TP. Hồ Chí Minh)</t>
        </is>
      </c>
      <c r="D9603" t="inlineStr">
        <is>
          <t>CÔNG TY CỔ PHẦN TẬP ĐOÀN UNIS</t>
        </is>
      </c>
      <c r="E9603" t="inlineStr">
        <is>
          <t>Lương:12 Tr - 15 Tr VND</t>
        </is>
      </c>
      <c r="F9603" t="inlineStr">
        <is>
          <t>Hồ Chí Minh</t>
        </is>
      </c>
      <c r="G9603" t="inlineStr">
        <is>
          <t>11-04-2026</t>
        </is>
      </c>
      <c r="H9603" t="inlineStr">
        <is>
          <t>11/04/2026</t>
        </is>
      </c>
      <c r="I9603" t="inlineStr">
        <is>
          <t>17/03/2026</t>
        </is>
      </c>
      <c r="J9603" t="inlineStr">
        <is>
          <t>Kế toán / Kiểm toán</t>
        </is>
      </c>
      <c r="K9603" t="inlineStr">
        <is>
          <t>2 - 3 Năm</t>
        </is>
      </c>
      <c r="L9603" s="8">
        <f>HYPERLINK("https://careerviet.vn/vi/tim-viec-lam/kiem-soat-noi-bo-tp-ho-chi-minh.35C6C635.html","Xem chi tiết")</f>
        <v/>
      </c>
    </row>
    <row r="9604">
      <c r="B9604" s="9" t="n">
        <v>9602</v>
      </c>
      <c r="C9604" s="10" t="inlineStr">
        <is>
          <t>Kế toán công nợ(Mới)</t>
        </is>
      </c>
      <c r="D9604" s="10" t="inlineStr">
        <is>
          <t>Công ty TNHH Sản xuất Thương mại &amp; Dịch vụ Hoa Xinh</t>
        </is>
      </c>
      <c r="E9604" s="10" t="inlineStr">
        <is>
          <t>Lương:9 Tr - 12 Tr VND</t>
        </is>
      </c>
      <c r="F9604" s="10" t="inlineStr">
        <is>
          <t>Hồ Chí Minh</t>
        </is>
      </c>
      <c r="G9604" s="10" t="inlineStr">
        <is>
          <t>15-04-2026</t>
        </is>
      </c>
      <c r="H9604" s="10" t="inlineStr">
        <is>
          <t>15/04/2026</t>
        </is>
      </c>
      <c r="I9604" s="10" t="inlineStr">
        <is>
          <t>17/03/2026</t>
        </is>
      </c>
      <c r="J9604" s="10" t="inlineStr">
        <is>
          <t>Kế toán / Kiểm toán</t>
        </is>
      </c>
      <c r="K9604" s="10" t="inlineStr">
        <is>
          <t>1 - 2 Năm</t>
        </is>
      </c>
      <c r="L9604" s="11">
        <f>HYPERLINK("https://careerviet.vn/vi/tim-viec-lam/ke-toan-cong-no.35C6CA2B.html","Xem chi tiết")</f>
        <v/>
      </c>
      <c r="M9604" s="10" t="n"/>
    </row>
    <row r="9605">
      <c r="B9605" s="7" t="n">
        <v>9603</v>
      </c>
      <c r="C9605" t="inlineStr">
        <is>
          <t>Nhân viên QC/ QC Staff(Mới)</t>
        </is>
      </c>
      <c r="D9605" t="inlineStr">
        <is>
          <t>CÔNG TY TNHH C-HAWK TECHNOLOGY VIỆT NAM</t>
        </is>
      </c>
      <c r="E9605" t="inlineStr">
        <is>
          <t>Lương:Cạnh tranh</t>
        </is>
      </c>
      <c r="F9605" t="inlineStr">
        <is>
          <t>Bình Dương</t>
        </is>
      </c>
      <c r="G9605" t="inlineStr">
        <is>
          <t>25-03-2026</t>
        </is>
      </c>
      <c r="H9605" t="inlineStr">
        <is>
          <t>25/03/2026</t>
        </is>
      </c>
      <c r="I9605" t="inlineStr">
        <is>
          <t>17/03/2026</t>
        </is>
      </c>
      <c r="J9605" t="inlineStr">
        <is>
          <t>Điện / Điện tử / Điện lạnh / Điện công nghiệp</t>
        </is>
      </c>
      <c r="K9605" t="inlineStr">
        <is>
          <t>Lên đến 1 Năm</t>
        </is>
      </c>
      <c r="L9605" s="8">
        <f>HYPERLINK("https://careerviet.vn/vi/tim-viec-lam/nhan-vien-qc-qc-staff.35C6CA1B.html","Xem chi tiết")</f>
        <v/>
      </c>
    </row>
    <row r="9606">
      <c r="B9606" s="9" t="n">
        <v>9604</v>
      </c>
      <c r="C9606" s="10" t="inlineStr">
        <is>
          <t>REGIONAL SALES MANAGER – KÊNH MT: SL 02(Mới)</t>
        </is>
      </c>
      <c r="D9606" s="10" t="inlineStr">
        <is>
          <t>CÔNG TY TNHH THƯƠNG MẠI AN NAM FOOD</t>
        </is>
      </c>
      <c r="E9606" s="10" t="inlineStr">
        <is>
          <t>Lương:25 Tr - 40 Tr VND</t>
        </is>
      </c>
      <c r="F9606" s="10" t="inlineStr">
        <is>
          <t>Cần Thơ</t>
        </is>
      </c>
      <c r="G9606" s="10" t="inlineStr">
        <is>
          <t>30-04-2026</t>
        </is>
      </c>
      <c r="H9606" s="10" t="inlineStr">
        <is>
          <t>30/04/2026</t>
        </is>
      </c>
      <c r="I9606" s="10" t="inlineStr">
        <is>
          <t>17/03/2026</t>
        </is>
      </c>
      <c r="J9606" s="10" t="inlineStr">
        <is>
          <t>Bán hàng / Kinh doanh, Bán lẻ / Bán sỉ, Tiếp thị / Marketing</t>
        </is>
      </c>
      <c r="K9606" s="10" t="inlineStr">
        <is>
          <t>3 - 5 Năm</t>
        </is>
      </c>
      <c r="L9606" s="11">
        <f>HYPERLINK("https://careerviet.vn/vi/tim-viec-lam/regional-sales-manager-kenh-mt-sl-02.35C6CA31.html","Xem chi tiết")</f>
        <v/>
      </c>
      <c r="M9606" s="10" t="n"/>
    </row>
    <row r="9607">
      <c r="B9607" s="7" t="n">
        <v>9605</v>
      </c>
      <c r="C9607" t="inlineStr">
        <is>
          <t>Trưởng phòng nhân sự(Mới)</t>
        </is>
      </c>
      <c r="D9607" t="inlineStr">
        <is>
          <t>CÔNG TY TNHH THƯƠNG MẠI AN NAM FOOD</t>
        </is>
      </c>
      <c r="E9607" t="inlineStr">
        <is>
          <t>Lương:Cạnh tranh</t>
        </is>
      </c>
      <c r="F9607" t="inlineStr">
        <is>
          <t>Cần Thơ</t>
        </is>
      </c>
      <c r="G9607" t="inlineStr">
        <is>
          <t>30-04-2026</t>
        </is>
      </c>
      <c r="H9607" t="inlineStr">
        <is>
          <t>30/04/2026</t>
        </is>
      </c>
      <c r="I9607" t="inlineStr">
        <is>
          <t>17/03/2026</t>
        </is>
      </c>
      <c r="J9607" t="inlineStr">
        <is>
          <t>Nhân sự</t>
        </is>
      </c>
      <c r="K9607" t="inlineStr">
        <is>
          <t>5 - 10 Năm</t>
        </is>
      </c>
      <c r="L9607" s="8">
        <f>HYPERLINK("https://careerviet.vn/vi/tim-viec-lam/truong-phong-nhan-su.35C6CA24.html","Xem chi tiết")</f>
        <v/>
      </c>
    </row>
    <row r="9608">
      <c r="B9608" s="9" t="n">
        <v>9606</v>
      </c>
      <c r="C9608" s="10" t="inlineStr">
        <is>
          <t>3D Designer (Junior/ Senior Level)(Mới)</t>
        </is>
      </c>
      <c r="D9608" s="10" t="inlineStr">
        <is>
          <t>CÔNG TY CỔ PHẦN BEYOND COMMUNICATION</t>
        </is>
      </c>
      <c r="E9608" s="10" t="inlineStr">
        <is>
          <t>Lương:Cạnh tranh</t>
        </is>
      </c>
      <c r="F9608" s="10" t="inlineStr">
        <is>
          <t>Hồ Chí Minh</t>
        </is>
      </c>
      <c r="G9608" s="10" t="inlineStr">
        <is>
          <t>15-04-2026</t>
        </is>
      </c>
      <c r="H9608" s="10" t="inlineStr">
        <is>
          <t>15/04/2026</t>
        </is>
      </c>
      <c r="I9608" s="10" t="inlineStr">
        <is>
          <t>17/03/2026</t>
        </is>
      </c>
      <c r="J9608" s="10" t="inlineStr">
        <is>
          <t>Tổ chức sự kiện, Quảng cáo / Đối ngoại / Truyền Thông, Mỹ thuật / Nghệ thuật / Thiết kế</t>
        </is>
      </c>
      <c r="K9608" s="10" t="inlineStr">
        <is>
          <t>Trên 2 Năm</t>
        </is>
      </c>
      <c r="L9608" s="11">
        <f>HYPERLINK("https://careerviet.vn/vi/tim-viec-lam/3d-designer-junior-senior-level.35C6CA11.html","Xem chi tiết")</f>
        <v/>
      </c>
      <c r="M9608" s="10" t="n"/>
    </row>
    <row r="9609">
      <c r="B9609" s="7" t="n">
        <v>9607</v>
      </c>
      <c r="C9609" t="inlineStr">
        <is>
          <t>Nhân Viên Marketing</t>
        </is>
      </c>
      <c r="D9609" t="inlineStr">
        <is>
          <t>TNHH Ezbook Việt Nam</t>
        </is>
      </c>
      <c r="E9609" t="inlineStr">
        <is>
          <t>Lương:Cạnh tranh</t>
        </is>
      </c>
      <c r="F9609" t="inlineStr">
        <is>
          <t>Hồ Chí Minh</t>
        </is>
      </c>
      <c r="G9609" t="inlineStr">
        <is>
          <t>30-05-2026</t>
        </is>
      </c>
      <c r="H9609" t="inlineStr">
        <is>
          <t>30/05/2026</t>
        </is>
      </c>
      <c r="I9609" t="inlineStr">
        <is>
          <t>17/03/2026</t>
        </is>
      </c>
      <c r="J9609" t="inlineStr">
        <is>
          <t>Du lịch, Tiếp thị / Marketing, Dịch vụ khách hàng</t>
        </is>
      </c>
      <c r="K9609" t="inlineStr">
        <is>
          <t>1 Năm</t>
        </is>
      </c>
      <c r="L9609" s="8">
        <f>HYPERLINK("https://careerviet.vn/vi/tim-viec-lam/nhan-vien-marketing.35C6C542.html","Xem chi tiết")</f>
        <v/>
      </c>
    </row>
    <row r="9610">
      <c r="B9610" s="9" t="n">
        <v>9608</v>
      </c>
      <c r="C9610" s="10" t="inlineStr">
        <is>
          <t>Nhân viên kế toán công nợ(Mới)</t>
        </is>
      </c>
      <c r="D9610" s="10" t="inlineStr">
        <is>
          <t>Công Ty Cổ Phần Quốc Tế Sơn Hà</t>
        </is>
      </c>
      <c r="E9610" s="10" t="inlineStr">
        <is>
          <t>Lương:12 Tr - 14 Tr VND</t>
        </is>
      </c>
      <c r="F9610" s="10" t="inlineStr">
        <is>
          <t>Nghệ An</t>
        </is>
      </c>
      <c r="G9610" s="10" t="inlineStr">
        <is>
          <t>09-04-2026</t>
        </is>
      </c>
      <c r="H9610" s="10" t="inlineStr">
        <is>
          <t>09/04/2026</t>
        </is>
      </c>
      <c r="I9610" s="10" t="inlineStr">
        <is>
          <t>17/03/2026</t>
        </is>
      </c>
      <c r="J9610" s="10" t="inlineStr">
        <is>
          <t>Kế toán / Kiểm toán, Sản xuất / Vận hành sản xuất, Điện / Điện tử / Điện lạnh / Điện công nghiệp</t>
        </is>
      </c>
      <c r="K9610" s="10" t="inlineStr">
        <is>
          <t>1 - 2 Năm</t>
        </is>
      </c>
      <c r="L9610" s="11">
        <f>HYPERLINK("https://careerviet.vn/vi/tim-viec-lam/nhan-vien-ke-toan-cong-no.35C6CA34.html","Xem chi tiết")</f>
        <v/>
      </c>
      <c r="M9610" s="10" t="n"/>
    </row>
    <row r="9611">
      <c r="B9611" s="7" t="n">
        <v>9609</v>
      </c>
      <c r="C9611" t="inlineStr">
        <is>
          <t>Supplier Development Engineer (SDE)(Mới)</t>
        </is>
      </c>
      <c r="D9611" t="inlineStr">
        <is>
          <t>CÔNG TY TNHH C-HAWK TECHNOLOGY VIỆT NAM</t>
        </is>
      </c>
      <c r="E9611" t="inlineStr">
        <is>
          <t>Lương:18 Tr - 28 Tr VND</t>
        </is>
      </c>
      <c r="F9611" t="inlineStr">
        <is>
          <t>Bình Dương</t>
        </is>
      </c>
      <c r="G9611" t="inlineStr">
        <is>
          <t>25-03-2026</t>
        </is>
      </c>
      <c r="H9611" t="inlineStr">
        <is>
          <t>25/03/2026</t>
        </is>
      </c>
      <c r="I9611" t="inlineStr">
        <is>
          <t>17/03/2026</t>
        </is>
      </c>
      <c r="J9611" t="inlineStr">
        <is>
          <t>Điện / Điện tử / Điện lạnh / Điện công nghiệp, Bán Hàng Kỹ Thuật</t>
        </is>
      </c>
      <c r="K9611" t="inlineStr">
        <is>
          <t>2 - 5 Năm</t>
        </is>
      </c>
      <c r="L9611" s="8">
        <f>HYPERLINK("https://careerviet.vn/vi/tim-viec-lam/supplier-development-engineer-sde.35C6CA13.html","Xem chi tiết")</f>
        <v/>
      </c>
    </row>
    <row r="9612">
      <c r="B9612" s="9" t="n">
        <v>9610</v>
      </c>
      <c r="C9612" s="10" t="inlineStr">
        <is>
          <t>Account Executive (Account Marcom Excutive)(Mới)</t>
        </is>
      </c>
      <c r="D9612" s="10" t="inlineStr">
        <is>
          <t>CÔNG TY CỔ PHẦN BEYOND COMMUNICATION</t>
        </is>
      </c>
      <c r="E9612" s="10" t="inlineStr">
        <is>
          <t>Lương:Cạnh tranh</t>
        </is>
      </c>
      <c r="F9612" s="10" t="inlineStr">
        <is>
          <t>Hồ Chí Minh</t>
        </is>
      </c>
      <c r="G9612" s="10" t="inlineStr">
        <is>
          <t>15-04-2026</t>
        </is>
      </c>
      <c r="H9612" s="10" t="inlineStr">
        <is>
          <t>15/04/2026</t>
        </is>
      </c>
      <c r="I9612" s="10" t="inlineStr">
        <is>
          <t>17/03/2026</t>
        </is>
      </c>
      <c r="J9612" s="10" t="inlineStr">
        <is>
          <t>Tổ chức sự kiện, Quảng cáo / Đối ngoại / Truyền Thông, Giải trí</t>
        </is>
      </c>
      <c r="K9612" s="10" t="inlineStr">
        <is>
          <t>Trên 1 Năm</t>
        </is>
      </c>
      <c r="L9612" s="11">
        <f>HYPERLINK("https://careerviet.vn/vi/tim-viec-lam/account-executive-account-marcom-excutive.35C6CA0F.html","Xem chi tiết")</f>
        <v/>
      </c>
      <c r="M9612" s="10" t="n"/>
    </row>
    <row r="9613">
      <c r="B9613" s="7" t="n">
        <v>9611</v>
      </c>
      <c r="C9613" t="inlineStr">
        <is>
          <t>Nhân viên vận hành máy Phay/ CNC/ Milling Staff(Mới)</t>
        </is>
      </c>
      <c r="D9613" t="inlineStr">
        <is>
          <t>CÔNG TY TNHH C-HAWK TECHNOLOGY VIỆT NAM</t>
        </is>
      </c>
      <c r="E9613" t="inlineStr">
        <is>
          <t>Lương:10 Tr - 18 Tr VND</t>
        </is>
      </c>
      <c r="F9613" t="inlineStr">
        <is>
          <t>Bình Dương</t>
        </is>
      </c>
      <c r="G9613" t="inlineStr">
        <is>
          <t>3</t>
        </is>
      </c>
      <c r="H9613" t="inlineStr">
        <is>
          <t>20/03/2026</t>
        </is>
      </c>
      <c r="I9613" t="inlineStr">
        <is>
          <t>17/03/2026</t>
        </is>
      </c>
      <c r="J9613" t="inlineStr">
        <is>
          <t>Cơ khí / Ô tô / Tự động hóa, Sản xuất / Vận hành sản xuất</t>
        </is>
      </c>
      <c r="K9613" t="inlineStr">
        <is>
          <t>1 - 3 Năm</t>
        </is>
      </c>
      <c r="L9613" s="8">
        <f>HYPERLINK("https://careerviet.vn/vi/tim-viec-lam/nhan-vien-van-hanh-may-phay-cnc-milling-staff.35C6CA19.html","Xem chi tiết")</f>
        <v/>
      </c>
    </row>
    <row r="9614">
      <c r="B9614" s="9" t="n">
        <v>9612</v>
      </c>
      <c r="C9614" s="10" t="inlineStr">
        <is>
          <t>Giám đốc dịch vụ khách hàng (Chủ Đầu Tư Bất Động Sản)</t>
        </is>
      </c>
      <c r="D9614" s="10" t="inlineStr">
        <is>
          <t>Công Ty CP Đầu Tư IMG</t>
        </is>
      </c>
      <c r="E9614" s="10" t="inlineStr">
        <is>
          <t>Lương:50 Tr - 60 Tr VND</t>
        </is>
      </c>
      <c r="F9614" s="10" t="inlineStr">
        <is>
          <t>Hồ Chí MinhLong An</t>
        </is>
      </c>
      <c r="G9614" s="10" t="inlineStr">
        <is>
          <t>26-03-2026</t>
        </is>
      </c>
      <c r="H9614" s="10" t="inlineStr">
        <is>
          <t>26/03/2026</t>
        </is>
      </c>
      <c r="I9614" s="10" t="inlineStr">
        <is>
          <t>17/03/2026</t>
        </is>
      </c>
      <c r="J9614" s="10" t="inlineStr">
        <is>
          <t>Quản lý điều hành, Xây dựng, Bất động sản</t>
        </is>
      </c>
      <c r="K9614" s="10" t="inlineStr">
        <is>
          <t>5 - 10 Năm</t>
        </is>
      </c>
      <c r="L9614" s="11">
        <f>HYPERLINK("https://careerviet.vn/vi/tim-viec-lam/giam-doc-dich-vu-khach-hang-chu-dau-tu-bat-dong-san.35C503FE.html","Xem chi tiết")</f>
        <v/>
      </c>
      <c r="M9614" s="10" t="n"/>
    </row>
    <row r="9615">
      <c r="B9615" s="7" t="n">
        <v>9613</v>
      </c>
      <c r="C9615" t="inlineStr">
        <is>
          <t>Kỹ thuật viên(Mới)</t>
        </is>
      </c>
      <c r="D9615" t="inlineStr">
        <is>
          <t>CÔNG TY CỔ PHẦN SEAREFICO</t>
        </is>
      </c>
      <c r="E9615" t="inlineStr">
        <is>
          <t>Lương:Cạnh tranh</t>
        </is>
      </c>
      <c r="F9615" t="inlineStr">
        <is>
          <t>Hồ Chí Minh</t>
        </is>
      </c>
      <c r="G9615" t="inlineStr">
        <is>
          <t>29-04-2026</t>
        </is>
      </c>
      <c r="H9615" t="inlineStr">
        <is>
          <t>29/04/2026</t>
        </is>
      </c>
      <c r="I9615" t="inlineStr">
        <is>
          <t>17/03/2026</t>
        </is>
      </c>
      <c r="J9615" t="inlineStr">
        <is>
          <t>Sản xuất / Vận hành sản xuất, Bảo trì / Sửa chữa</t>
        </is>
      </c>
      <c r="K9615" t="inlineStr">
        <is>
          <t>N/A</t>
        </is>
      </c>
      <c r="L9615" s="8">
        <f>HYPERLINK("https://careerviet.vn/vi/tim-viec-lam/ky-thuat-vien.35C6CA14.html","Xem chi tiết")</f>
        <v/>
      </c>
    </row>
    <row r="9616">
      <c r="B9616" s="9" t="n">
        <v>9614</v>
      </c>
      <c r="C9616" s="10" t="inlineStr">
        <is>
          <t>AP Accountant - Temporary(Mới)</t>
        </is>
      </c>
      <c r="D9616" s="10" t="inlineStr">
        <is>
          <t>Cty SGS Việt Nam TNHH</t>
        </is>
      </c>
      <c r="E9616" s="10" t="inlineStr">
        <is>
          <t>Lương:Cạnh tranh</t>
        </is>
      </c>
      <c r="F9616" s="10" t="inlineStr">
        <is>
          <t>Hồ Chí Minh</t>
        </is>
      </c>
      <c r="G9616" s="10" t="inlineStr">
        <is>
          <t>11-04-2026</t>
        </is>
      </c>
      <c r="H9616" s="10" t="inlineStr">
        <is>
          <t>11/04/2026</t>
        </is>
      </c>
      <c r="I9616" s="10" t="inlineStr">
        <is>
          <t>17/03/2026</t>
        </is>
      </c>
      <c r="J9616" s="10" t="inlineStr">
        <is>
          <t>Kế toán / Kiểm toán</t>
        </is>
      </c>
      <c r="K9616" s="10" t="inlineStr">
        <is>
          <t>2 - 5 Năm</t>
        </is>
      </c>
      <c r="L9616" s="11">
        <f>HYPERLINK("https://careerviet.vn/vi/tim-viec-lam/ap-accountant-temporary.35C6CA08.html","Xem chi tiết")</f>
        <v/>
      </c>
      <c r="M9616" s="10" t="n"/>
    </row>
    <row r="9617">
      <c r="B9617" s="7" t="n">
        <v>9615</v>
      </c>
      <c r="C9617" t="inlineStr">
        <is>
          <t>Senior Compliance Officer - Investigation(Mới)</t>
        </is>
      </c>
      <c r="D9617" t="inlineStr">
        <is>
          <t>Cty SGS Việt Nam TNHH</t>
        </is>
      </c>
      <c r="E9617" t="inlineStr">
        <is>
          <t>Lương:Cạnh tranh</t>
        </is>
      </c>
      <c r="F9617" t="inlineStr">
        <is>
          <t>Hồ Chí Minh</t>
        </is>
      </c>
      <c r="G9617" t="inlineStr">
        <is>
          <t>04-04-2026</t>
        </is>
      </c>
      <c r="H9617" t="inlineStr">
        <is>
          <t>04/04/2026</t>
        </is>
      </c>
      <c r="I9617" t="inlineStr">
        <is>
          <t>17/03/2026</t>
        </is>
      </c>
      <c r="J9617" t="inlineStr">
        <is>
          <t>An Ninh / Bảo Vệ, Luật / Pháp lý</t>
        </is>
      </c>
      <c r="K9617" t="inlineStr">
        <is>
          <t>5 - 10 Năm</t>
        </is>
      </c>
      <c r="L9617" s="8">
        <f>HYPERLINK("https://careerviet.vn/vi/tim-viec-lam/senior-compliance-officer-investigation.35C6CA05.html","Xem chi tiết")</f>
        <v/>
      </c>
    </row>
    <row r="9618">
      <c r="B9618" s="9" t="n">
        <v>9616</v>
      </c>
      <c r="C9618" s="10" t="inlineStr">
        <is>
          <t>CHUYÊN VIÊN HUY ĐỘNG VỐN(Mới)</t>
        </is>
      </c>
      <c r="D9618" s="10" t="inlineStr">
        <is>
          <t>Tổng công ty Xây dựng số 1 – CTCP</t>
        </is>
      </c>
      <c r="E9618" s="10" t="inlineStr">
        <is>
          <t>Lương:Cạnh tranh</t>
        </is>
      </c>
      <c r="F9618" s="10" t="inlineStr">
        <is>
          <t>Hồ Chí Minh</t>
        </is>
      </c>
      <c r="G9618" s="10" t="inlineStr">
        <is>
          <t>13-04-2026</t>
        </is>
      </c>
      <c r="H9618" s="10" t="inlineStr">
        <is>
          <t>13/04/2026</t>
        </is>
      </c>
      <c r="I9618" s="10" t="inlineStr">
        <is>
          <t>17/03/2026</t>
        </is>
      </c>
      <c r="J9618" s="10" t="inlineStr">
        <is>
          <t>Tài chính / Đầu tư</t>
        </is>
      </c>
      <c r="K9618" s="10" t="inlineStr">
        <is>
          <t>3 - 5 Năm</t>
        </is>
      </c>
      <c r="L9618" s="11">
        <f>HYPERLINK("https://careerviet.vn/vi/tim-viec-lam/chuyen-vien-huy-dong-von.35C6CA0C.html","Xem chi tiết")</f>
        <v/>
      </c>
      <c r="M9618" s="10" t="n"/>
    </row>
    <row r="9619">
      <c r="B9619" s="7" t="n">
        <v>9617</v>
      </c>
      <c r="C9619" t="inlineStr">
        <is>
          <t>Nhân viên Nghiền mẫu - Lao động phổ thông(Mới)</t>
        </is>
      </c>
      <c r="D9619" t="inlineStr">
        <is>
          <t>Cty SGS Việt Nam TNHH</t>
        </is>
      </c>
      <c r="E9619" t="inlineStr">
        <is>
          <t>Lương:7,3 Tr - 8 Tr VND</t>
        </is>
      </c>
      <c r="F9619" t="inlineStr">
        <is>
          <t>Hồ Chí Minh</t>
        </is>
      </c>
      <c r="G9619" t="inlineStr">
        <is>
          <t>31-03-2026</t>
        </is>
      </c>
      <c r="H9619" t="inlineStr">
        <is>
          <t>31/03/2026</t>
        </is>
      </c>
      <c r="I9619" t="inlineStr">
        <is>
          <t>17/03/2026</t>
        </is>
      </c>
      <c r="J9619" t="inlineStr">
        <is>
          <t>Lao động phổ thông</t>
        </is>
      </c>
      <c r="K9619" t="inlineStr">
        <is>
          <t>Chưa có kinh nghiệm</t>
        </is>
      </c>
      <c r="L9619" s="8">
        <f>HYPERLINK("https://careerviet.vn/vi/tim-viec-lam/nhan-vien-nghien-mau-lao-dong-pho-thong.35C6CA06.html","Xem chi tiết")</f>
        <v/>
      </c>
    </row>
    <row r="9620">
      <c r="B9620" s="9" t="n">
        <v>9618</v>
      </c>
      <c r="C9620" s="10" t="inlineStr">
        <is>
          <t>Materials Program Engineer(Mới)</t>
        </is>
      </c>
      <c r="D9620" s="10" t="inlineStr">
        <is>
          <t>CÔNG TY TNHH C-HAWK TECHNOLOGY VIỆT NAM</t>
        </is>
      </c>
      <c r="E9620" s="10" t="inlineStr">
        <is>
          <t>Lương:700 - 1.400 USD</t>
        </is>
      </c>
      <c r="F9620" s="10" t="inlineStr">
        <is>
          <t>Bình Dương</t>
        </is>
      </c>
      <c r="G9620" s="10" t="inlineStr">
        <is>
          <t>1</t>
        </is>
      </c>
      <c r="H9620" s="10" t="inlineStr">
        <is>
          <t>18/03/2026</t>
        </is>
      </c>
      <c r="I9620" s="10" t="inlineStr">
        <is>
          <t>17/03/2026</t>
        </is>
      </c>
      <c r="J9620" s="10" t="inlineStr">
        <is>
          <t>Điện / Điện tử / Điện lạnh / Điện công nghiệp, Cơ khí / Ô tô / Tự động hóa, Thu mua / Vật tư</t>
        </is>
      </c>
      <c r="K9620" s="10" t="inlineStr">
        <is>
          <t>2 - 5 Năm</t>
        </is>
      </c>
      <c r="L9620" s="11">
        <f>HYPERLINK("https://careerviet.vn/vi/tim-viec-lam/materials-program-engineer.35C6CA12.html","Xem chi tiết")</f>
        <v/>
      </c>
      <c r="M9620" s="10" t="n"/>
    </row>
    <row r="9621">
      <c r="B9621" s="7" t="n">
        <v>9619</v>
      </c>
      <c r="C9621" t="inlineStr">
        <is>
          <t>CS Supervisor - Hai Phong(Mới)</t>
        </is>
      </c>
      <c r="D9621" t="inlineStr">
        <is>
          <t>Cty SGS Việt Nam TNHH</t>
        </is>
      </c>
      <c r="E9621" t="inlineStr">
        <is>
          <t>Lương:Cạnh tranh</t>
        </is>
      </c>
      <c r="F9621" t="inlineStr">
        <is>
          <t>Hải Phòng</t>
        </is>
      </c>
      <c r="G9621" t="inlineStr">
        <is>
          <t>07-04-2026</t>
        </is>
      </c>
      <c r="H9621" t="inlineStr">
        <is>
          <t>07/04/2026</t>
        </is>
      </c>
      <c r="I9621" t="inlineStr">
        <is>
          <t>17/03/2026</t>
        </is>
      </c>
      <c r="J9621" t="inlineStr">
        <is>
          <t>Công nghệ thực phẩm / Dinh dưỡng, Hóa học, Dịch vụ khách hàng</t>
        </is>
      </c>
      <c r="K9621" t="inlineStr">
        <is>
          <t>3 - 5 Năm</t>
        </is>
      </c>
      <c r="L9621" s="8">
        <f>HYPERLINK("https://careerviet.vn/vi/tim-viec-lam/cs-supervisor-hai-phong.35C6C9FC.html","Xem chi tiết")</f>
        <v/>
      </c>
    </row>
    <row r="9622">
      <c r="B9622" s="9" t="n">
        <v>9620</v>
      </c>
      <c r="C9622" s="10" t="inlineStr">
        <is>
          <t>Lab Team Leader - Xử lý mẫu(Mới)</t>
        </is>
      </c>
      <c r="D9622" s="10" t="inlineStr">
        <is>
          <t>Cty SGS Việt Nam TNHH</t>
        </is>
      </c>
      <c r="E9622" s="10" t="inlineStr">
        <is>
          <t>Lương:Cạnh tranh</t>
        </is>
      </c>
      <c r="F9622" s="10" t="inlineStr">
        <is>
          <t>Hồ Chí Minh</t>
        </is>
      </c>
      <c r="G9622" s="10" t="inlineStr">
        <is>
          <t>11-04-2026</t>
        </is>
      </c>
      <c r="H9622" s="10" t="inlineStr">
        <is>
          <t>11/04/2026</t>
        </is>
      </c>
      <c r="I9622" s="10" t="inlineStr">
        <is>
          <t>17/03/2026</t>
        </is>
      </c>
      <c r="J9622" s="10" t="inlineStr">
        <is>
          <t>Hóa học, Công nghệ sinh học, Thực phẩm &amp; Đồ uống</t>
        </is>
      </c>
      <c r="K9622" s="10" t="inlineStr">
        <is>
          <t>3 - 5 Năm</t>
        </is>
      </c>
      <c r="L9622" s="11">
        <f>HYPERLINK("https://careerviet.vn/vi/tim-viec-lam/lab-team-leader-xu-ly-mau.35C6CA07.html","Xem chi tiết")</f>
        <v/>
      </c>
      <c r="M9622" s="10" t="n"/>
    </row>
    <row r="9623">
      <c r="B9623" s="7" t="n">
        <v>9621</v>
      </c>
      <c r="C9623" t="inlineStr">
        <is>
          <t>Tài xế xe tải dưới 15 tấn (Tại Dĩ An- Bình Dương) thu nhập lên đến 21 triệu/ tháng(Mới)</t>
        </is>
      </c>
      <c r="D9623" t="inlineStr">
        <is>
          <t>Công Ty Cổ Phần Hai Bốn Bảy</t>
        </is>
      </c>
      <c r="E9623" t="inlineStr">
        <is>
          <t>Lương:15 Tr - 20 Tr VND</t>
        </is>
      </c>
      <c r="F9623" t="inlineStr">
        <is>
          <t>Bình DươngHà Nội</t>
        </is>
      </c>
      <c r="G9623" t="inlineStr">
        <is>
          <t>4</t>
        </is>
      </c>
      <c r="H9623" t="inlineStr">
        <is>
          <t>21/03/2026</t>
        </is>
      </c>
      <c r="I9623" t="inlineStr">
        <is>
          <t>17/03/2026</t>
        </is>
      </c>
      <c r="J9623" t="inlineStr">
        <is>
          <t>Vận chuyển / Giao nhận / Kho vận</t>
        </is>
      </c>
      <c r="K9623" t="inlineStr">
        <is>
          <t>2 - 5 Năm</t>
        </is>
      </c>
      <c r="L9623" s="8">
        <f>HYPERLINK("https://careerviet.vn/vi/tim-viec-lam/tai-xe-xe-tai-duoi-15-tan-tai-di-an-binh-duong-thu-nhap-len-den-21-trieu-thang.35C6CA09.html","Xem chi tiết")</f>
        <v/>
      </c>
    </row>
    <row r="9624">
      <c r="B9624" s="9" t="n">
        <v>9622</v>
      </c>
      <c r="C9624" s="10" t="inlineStr">
        <is>
          <t>Customer Service - Health Nutrition(Mới)</t>
        </is>
      </c>
      <c r="D9624" s="10" t="inlineStr">
        <is>
          <t>Cty SGS Việt Nam TNHH</t>
        </is>
      </c>
      <c r="E9624" s="10" t="inlineStr">
        <is>
          <t>Lương:Cạnh tranh</t>
        </is>
      </c>
      <c r="F9624" s="10" t="inlineStr">
        <is>
          <t>Hồ Chí Minh</t>
        </is>
      </c>
      <c r="G9624" s="10" t="inlineStr">
        <is>
          <t>31-03-2026</t>
        </is>
      </c>
      <c r="H9624" s="10" t="inlineStr">
        <is>
          <t>31/03/2026</t>
        </is>
      </c>
      <c r="I9624" s="10" t="inlineStr">
        <is>
          <t>17/03/2026</t>
        </is>
      </c>
      <c r="J9624" s="10" t="inlineStr">
        <is>
          <t>Hóa học</t>
        </is>
      </c>
      <c r="K9624" s="10" t="inlineStr">
        <is>
          <t>N/A</t>
        </is>
      </c>
      <c r="L9624" s="11">
        <f>HYPERLINK("https://careerviet.vn/vi/tim-viec-lam/customer-service-health-nutrition.35C6CA01.html","Xem chi tiết")</f>
        <v/>
      </c>
      <c r="M9624" s="10" t="n"/>
    </row>
    <row r="9625">
      <c r="B9625" s="7" t="n">
        <v>9623</v>
      </c>
      <c r="C9625" t="inlineStr">
        <is>
          <t>Lab Technician - Biotechnology(Mới)</t>
        </is>
      </c>
      <c r="D9625" t="inlineStr">
        <is>
          <t>Cty SGS Việt Nam TNHH</t>
        </is>
      </c>
      <c r="E9625" t="inlineStr">
        <is>
          <t>Lương:10 Tr - 11 Tr VND</t>
        </is>
      </c>
      <c r="F9625" t="inlineStr">
        <is>
          <t>Hồ Chí Minh</t>
        </is>
      </c>
      <c r="G9625" t="inlineStr">
        <is>
          <t>31-03-2026</t>
        </is>
      </c>
      <c r="H9625" t="inlineStr">
        <is>
          <t>31/03/2026</t>
        </is>
      </c>
      <c r="I9625" t="inlineStr">
        <is>
          <t>17/03/2026</t>
        </is>
      </c>
      <c r="J9625" t="inlineStr">
        <is>
          <t>Hóa học, Công nghệ thực phẩm / Dinh dưỡng, Công nghệ sinh học</t>
        </is>
      </c>
      <c r="K9625" t="inlineStr">
        <is>
          <t>N/A</t>
        </is>
      </c>
      <c r="L9625" s="8">
        <f>HYPERLINK("https://careerviet.vn/vi/tim-viec-lam/lab-technician-biotechnology.35C6CA04.html","Xem chi tiết")</f>
        <v/>
      </c>
    </row>
    <row r="9626">
      <c r="B9626" s="9" t="n">
        <v>9624</v>
      </c>
      <c r="C9626" s="10" t="inlineStr">
        <is>
          <t>Technical Specialist - Food Lab(Mới)</t>
        </is>
      </c>
      <c r="D9626" s="10" t="inlineStr">
        <is>
          <t>Cty SGS Việt Nam TNHH</t>
        </is>
      </c>
      <c r="E9626" s="10" t="inlineStr">
        <is>
          <t>Lương:Cạnh tranh</t>
        </is>
      </c>
      <c r="F9626" s="10" t="inlineStr">
        <is>
          <t>Hồ Chí Minh</t>
        </is>
      </c>
      <c r="G9626" s="10" t="inlineStr">
        <is>
          <t>11-04-2026</t>
        </is>
      </c>
      <c r="H9626" s="10" t="inlineStr">
        <is>
          <t>11/04/2026</t>
        </is>
      </c>
      <c r="I9626" s="10" t="inlineStr">
        <is>
          <t>17/03/2026</t>
        </is>
      </c>
      <c r="J9626" s="10" t="inlineStr">
        <is>
          <t>Dược phẩm/ Hóa Mỹ Phẩm, Hóa học, Công nghệ sinh học</t>
        </is>
      </c>
      <c r="K9626" s="10" t="inlineStr">
        <is>
          <t>3 - 5 Năm</t>
        </is>
      </c>
      <c r="L9626" s="11">
        <f>HYPERLINK("https://careerviet.vn/vi/tim-viec-lam/technical-specialist-food-lab.35C6C9FA.html","Xem chi tiết")</f>
        <v/>
      </c>
      <c r="M9626" s="10" t="n"/>
    </row>
    <row r="9627">
      <c r="B9627" s="7" t="n">
        <v>9625</v>
      </c>
      <c r="C9627" t="inlineStr">
        <is>
          <t>Finance Officer (Chinese, English)(Mới)</t>
        </is>
      </c>
      <c r="D9627" t="inlineStr">
        <is>
          <t>Phu Hung Securities Corporation</t>
        </is>
      </c>
      <c r="E9627" t="inlineStr">
        <is>
          <t>Lương:Cạnh tranh</t>
        </is>
      </c>
      <c r="F9627" t="inlineStr">
        <is>
          <t>Hồ Chí Minh</t>
        </is>
      </c>
      <c r="G9627" t="inlineStr">
        <is>
          <t>18-04-2026</t>
        </is>
      </c>
      <c r="H9627" t="inlineStr">
        <is>
          <t>18/04/2026</t>
        </is>
      </c>
      <c r="I9627" t="inlineStr">
        <is>
          <t>17/03/2026</t>
        </is>
      </c>
      <c r="J9627" t="inlineStr">
        <is>
          <t>Tài chính / Đầu tư, Chứng khoán, Ngân hàng</t>
        </is>
      </c>
      <c r="K9627" t="inlineStr">
        <is>
          <t>Trên 1 Năm</t>
        </is>
      </c>
      <c r="L9627" s="8">
        <f>HYPERLINK("https://careerviet.vn/vi/tim-viec-lam/finance-officer-chinese-english.35C6C9F6.html","Xem chi tiết")</f>
        <v/>
      </c>
    </row>
    <row r="9628">
      <c r="B9628" s="9" t="n">
        <v>9626</v>
      </c>
      <c r="C9628" s="10" t="inlineStr">
        <is>
          <t>Drafter(Mới)</t>
        </is>
      </c>
      <c r="D9628" s="10" t="inlineStr">
        <is>
          <t>Simpson Strong Tie Viet Nam Company Limited</t>
        </is>
      </c>
      <c r="E9628" s="10" t="inlineStr">
        <is>
          <t>Lương:Cạnh tranh</t>
        </is>
      </c>
      <c r="F9628" s="10" t="inlineStr">
        <is>
          <t>Hồ Chí Minh</t>
        </is>
      </c>
      <c r="G9628" s="10" t="inlineStr">
        <is>
          <t>30-04-2026</t>
        </is>
      </c>
      <c r="H9628" s="10" t="inlineStr">
        <is>
          <t>30/04/2026</t>
        </is>
      </c>
      <c r="I9628" s="10" t="inlineStr">
        <is>
          <t>17/03/2026</t>
        </is>
      </c>
      <c r="J9628" s="10" t="inlineStr">
        <is>
          <t>Xây dựng, Cơ khí / Ô tô / Tự động hóa</t>
        </is>
      </c>
      <c r="K9628" s="10" t="inlineStr">
        <is>
          <t>N/A</t>
        </is>
      </c>
      <c r="L9628" s="11">
        <f>HYPERLINK("https://careerviet.vn/vi/tim-viec-lam/drafter.35C6C9F9.html","Xem chi tiết")</f>
        <v/>
      </c>
      <c r="M9628" s="10" t="n"/>
    </row>
    <row r="9629">
      <c r="B9629" s="7" t="n">
        <v>9627</v>
      </c>
      <c r="C9629" t="inlineStr">
        <is>
          <t>Chuyên viên PR</t>
        </is>
      </c>
      <c r="D9629" t="inlineStr">
        <is>
          <t>CÔNG TY CỔ PHẦN EPLUS RESEARCH</t>
        </is>
      </c>
      <c r="E9629" t="inlineStr">
        <is>
          <t>Lương:Cạnh tranh</t>
        </is>
      </c>
      <c r="F9629" t="inlineStr">
        <is>
          <t>Hồ Chí Minh</t>
        </is>
      </c>
      <c r="G9629" t="inlineStr">
        <is>
          <t>13-04-2026</t>
        </is>
      </c>
      <c r="H9629" t="inlineStr">
        <is>
          <t>13/04/2026</t>
        </is>
      </c>
      <c r="I9629" t="inlineStr">
        <is>
          <t>17/03/2026</t>
        </is>
      </c>
      <c r="J9629" t="inlineStr">
        <is>
          <t>Truyền hình / Báo chí / Biên tập, Quảng cáo / Đối ngoại / Truyền Thông</t>
        </is>
      </c>
      <c r="K9629" t="inlineStr">
        <is>
          <t>5 - 10 Năm</t>
        </is>
      </c>
      <c r="L9629" s="8">
        <f>HYPERLINK("https://careerviet.vn/vi/tim-viec-lam/chuyen-vien-pr.35C65572.html","Xem chi tiết")</f>
        <v/>
      </c>
    </row>
    <row r="9630">
      <c r="B9630" s="9" t="n">
        <v>9628</v>
      </c>
      <c r="C9630" s="10" t="inlineStr">
        <is>
          <t>Sample Coding Staff(Mới)</t>
        </is>
      </c>
      <c r="D9630" s="10" t="inlineStr">
        <is>
          <t>Cty SGS Việt Nam TNHH</t>
        </is>
      </c>
      <c r="E9630" s="10" t="inlineStr">
        <is>
          <t>Lương:Cạnh tranh</t>
        </is>
      </c>
      <c r="F9630" s="10" t="inlineStr">
        <is>
          <t>Hồ Chí Minh</t>
        </is>
      </c>
      <c r="G9630" s="10" t="inlineStr">
        <is>
          <t>10-04-2026</t>
        </is>
      </c>
      <c r="H9630" s="10" t="inlineStr">
        <is>
          <t>10/04/2026</t>
        </is>
      </c>
      <c r="I9630" s="10" t="inlineStr">
        <is>
          <t>17/03/2026</t>
        </is>
      </c>
      <c r="J9630" s="10" t="inlineStr">
        <is>
          <t>Hóa học, Thống kê, Hành chính / Thư ký</t>
        </is>
      </c>
      <c r="K9630" s="10" t="inlineStr">
        <is>
          <t>N/A</t>
        </is>
      </c>
      <c r="L9630" s="11">
        <f>HYPERLINK("https://careerviet.vn/vi/tim-viec-lam/sample-coding-staff.35C6C9F8.html","Xem chi tiết")</f>
        <v/>
      </c>
      <c r="M9630" s="10" t="n"/>
    </row>
    <row r="9631">
      <c r="B9631" s="7" t="n">
        <v>9629</v>
      </c>
      <c r="C9631" t="inlineStr">
        <is>
          <t>VPBank - Chuyên Viên Cao Cấp Tư Vấn Tài Chính Cá Nhân - Quảng Bình</t>
        </is>
      </c>
      <c r="D9631" t="inlineStr">
        <is>
          <t>Ngân Hàng TMCP Việt Nam Thịnh Vượng - VPBANK</t>
        </is>
      </c>
      <c r="E9631" t="inlineStr">
        <is>
          <t>Lương:15 Tr - 22 Tr VND</t>
        </is>
      </c>
      <c r="F9631" t="inlineStr">
        <is>
          <t>Quảng Bình</t>
        </is>
      </c>
      <c r="G9631" t="inlineStr">
        <is>
          <t>13-04-2026</t>
        </is>
      </c>
      <c r="H9631" t="inlineStr">
        <is>
          <t>13/04/2026</t>
        </is>
      </c>
      <c r="I9631" t="inlineStr">
        <is>
          <t>17/03/2026</t>
        </is>
      </c>
      <c r="J9631" t="inlineStr">
        <is>
          <t>Bán hàng / Kinh doanh, Ngân hàng, Bảo hiểm</t>
        </is>
      </c>
      <c r="K9631" t="inlineStr">
        <is>
          <t>1 - 3 Năm</t>
        </is>
      </c>
      <c r="L9631" s="8">
        <f>HYPERLINK("https://careerviet.vn/vi/tim-viec-lam/vpbank-chuyen-vien-cao-cap-tu-van-tai-chinh-ca-nhan-quang-binh.35C657E7.html","Xem chi tiết")</f>
        <v/>
      </c>
    </row>
    <row r="9632">
      <c r="B9632" s="9" t="n">
        <v>9630</v>
      </c>
      <c r="C9632" s="10" t="inlineStr">
        <is>
          <t>Nhân viên chăm sóc khách hàng</t>
        </is>
      </c>
      <c r="D9632" s="10" t="inlineStr">
        <is>
          <t>Công ty Cổ phần Kem Tràng Tiền</t>
        </is>
      </c>
      <c r="E9632" s="10" t="inlineStr">
        <is>
          <t>Lương:10 Tr - 13 Tr VND</t>
        </is>
      </c>
      <c r="F9632" s="10" t="inlineStr">
        <is>
          <t>Hà Nội</t>
        </is>
      </c>
      <c r="G9632" s="10" t="inlineStr">
        <is>
          <t>13-04-2026</t>
        </is>
      </c>
      <c r="H9632" s="10" t="inlineStr">
        <is>
          <t>13/04/2026</t>
        </is>
      </c>
      <c r="I9632" s="10" t="inlineStr">
        <is>
          <t>17/03/2026</t>
        </is>
      </c>
      <c r="J9632" s="10" t="inlineStr">
        <is>
          <t>Bán hàng / Kinh doanh, Thực phẩm &amp; Đồ uống, Dịch vụ khách hàng</t>
        </is>
      </c>
      <c r="K9632" s="10" t="inlineStr">
        <is>
          <t>1 - 2 Năm</t>
        </is>
      </c>
      <c r="L9632" s="11">
        <f>HYPERLINK("https://careerviet.vn/vi/tim-viec-lam/nhan-vien-cham-soc-khach-hang.35C655FD.html","Xem chi tiết")</f>
        <v/>
      </c>
      <c r="M9632" s="10" t="n"/>
    </row>
    <row r="9633">
      <c r="B9633" s="7" t="n">
        <v>9631</v>
      </c>
      <c r="C9633" t="inlineStr">
        <is>
          <t>126782 - Tiếng Nhật - Quản lý Kinh doanh Thực phẩm - Ngành Thương mại</t>
        </is>
      </c>
      <c r="D9633" t="inlineStr">
        <is>
          <t>RGF HR Agent Vietnam Co., LTD</t>
        </is>
      </c>
      <c r="E9633" t="inlineStr">
        <is>
          <t>Lương:Cạnh tranh</t>
        </is>
      </c>
      <c r="F9633" t="inlineStr">
        <is>
          <t>Hồ Chí Minh</t>
        </is>
      </c>
      <c r="G9633" t="inlineStr">
        <is>
          <t>13-04-2026</t>
        </is>
      </c>
      <c r="H9633" t="inlineStr">
        <is>
          <t>13/04/2026</t>
        </is>
      </c>
      <c r="I9633" t="inlineStr">
        <is>
          <t>17/03/2026</t>
        </is>
      </c>
      <c r="J9633" t="inlineStr">
        <is>
          <t>Thực phẩm &amp; Đồ uống, Bán hàng / Kinh doanh</t>
        </is>
      </c>
      <c r="K9633" t="inlineStr">
        <is>
          <t>3 - 5 Năm</t>
        </is>
      </c>
      <c r="L9633" s="8">
        <f>HYPERLINK("https://careerviet.vn/vi/tim-viec-lam/126782-tieng-nhat-quan-ly-kinh-doanh-thuc-pham-nganh-thuong-mai.35C6576F.html","Xem chi tiết")</f>
        <v/>
      </c>
    </row>
    <row r="9634">
      <c r="B9634" s="9" t="n">
        <v>9632</v>
      </c>
      <c r="C9634" s="10" t="inlineStr">
        <is>
          <t>Chuyên Viên Tư Vấn Đầu Tư Chứng Khoán(Mới)</t>
        </is>
      </c>
      <c r="D9634" s="10" t="inlineStr">
        <is>
          <t>Phu Hung Securities Corporation</t>
        </is>
      </c>
      <c r="E9634" s="10" t="inlineStr">
        <is>
          <t>Lương:Cạnh tranh</t>
        </is>
      </c>
      <c r="F9634" s="10" t="inlineStr">
        <is>
          <t>Hồ Chí MinhHà NộiHải Phòng</t>
        </is>
      </c>
      <c r="G9634" s="10" t="inlineStr">
        <is>
          <t>18-04-2026</t>
        </is>
      </c>
      <c r="H9634" s="10" t="inlineStr">
        <is>
          <t>18/04/2026</t>
        </is>
      </c>
      <c r="I9634" s="10" t="inlineStr">
        <is>
          <t>17/03/2026</t>
        </is>
      </c>
      <c r="J9634" s="10" t="inlineStr">
        <is>
          <t>Chứng khoán, Bán hàng / Kinh doanh, Tài chính / Đầu tư</t>
        </is>
      </c>
      <c r="K9634" s="10" t="inlineStr">
        <is>
          <t>Trên 1 Năm</t>
        </is>
      </c>
      <c r="L9634" s="11">
        <f>HYPERLINK("https://careerviet.vn/vi/tim-viec-lam/chuyen-vien-tu-van-dau-tu-chung-khoan.35C6C9F5.html","Xem chi tiết")</f>
        <v/>
      </c>
      <c r="M9634" s="10" t="n"/>
    </row>
    <row r="9635">
      <c r="B9635" s="7" t="n">
        <v>9633</v>
      </c>
      <c r="C9635" t="inlineStr">
        <is>
          <t>Phiên dịch tiếng Hàn Quốc</t>
        </is>
      </c>
      <c r="D9635" t="inlineStr">
        <is>
          <t>Công Ty TNHH Công Nghiệp Kolon Bình Dương</t>
        </is>
      </c>
      <c r="E9635" t="inlineStr">
        <is>
          <t>Lương:18 Tr - 20 Tr VND</t>
        </is>
      </c>
      <c r="F9635" t="inlineStr">
        <is>
          <t>Bình Dương</t>
        </is>
      </c>
      <c r="G9635" t="inlineStr">
        <is>
          <t>13-04-2026</t>
        </is>
      </c>
      <c r="H9635" t="inlineStr">
        <is>
          <t>13/04/2026</t>
        </is>
      </c>
      <c r="I9635" t="inlineStr">
        <is>
          <t>17/03/2026</t>
        </is>
      </c>
      <c r="J9635" t="inlineStr">
        <is>
          <t>Hành chính / Thư ký, Quản lý điều hành, Biên phiên dịch</t>
        </is>
      </c>
      <c r="K9635" t="inlineStr">
        <is>
          <t>1 - 5 Năm</t>
        </is>
      </c>
      <c r="L9635" s="8">
        <f>HYPERLINK("https://careerviet.vn/vi/tim-viec-lam/phien-dich-tieng-han-quoc.35C6565E.html","Xem chi tiết")</f>
        <v/>
      </c>
    </row>
    <row r="9636">
      <c r="B9636" s="9" t="n">
        <v>9634</v>
      </c>
      <c r="C9636" s="10" t="inlineStr">
        <is>
          <t>Hà Nội - Mẫu Live</t>
        </is>
      </c>
      <c r="D9636" s="10" t="inlineStr">
        <is>
          <t>Công ty CP Toshiko Việt Nam</t>
        </is>
      </c>
      <c r="E9636" s="10" t="inlineStr">
        <is>
          <t>Lương:10 Tr - 15 Tr VND</t>
        </is>
      </c>
      <c r="F9636" s="10" t="inlineStr">
        <is>
          <t>Hà Nội</t>
        </is>
      </c>
      <c r="G9636" s="10" t="inlineStr">
        <is>
          <t>13-04-2026</t>
        </is>
      </c>
      <c r="H9636" s="10" t="inlineStr">
        <is>
          <t>13/04/2026</t>
        </is>
      </c>
      <c r="I9636" s="10" t="inlineStr">
        <is>
          <t>17/03/2026</t>
        </is>
      </c>
      <c r="J9636" s="10" t="inlineStr">
        <is>
          <t>Tiếp thị trực tuyến, Thương mại điện tử, Tư vấn</t>
        </is>
      </c>
      <c r="K9636" s="10" t="inlineStr">
        <is>
          <t>Trên 1 Năm</t>
        </is>
      </c>
      <c r="L9636" s="11">
        <f>HYPERLINK("https://careerviet.vn/vi/tim-viec-lam/ha-noi-mau-live.35C65782.html","Xem chi tiết")</f>
        <v/>
      </c>
      <c r="M9636" s="10" t="n"/>
    </row>
    <row r="9637">
      <c r="B9637" s="7" t="n">
        <v>9635</v>
      </c>
      <c r="C9637" t="inlineStr">
        <is>
          <t>Senior Customer Care Specialist(Mới)</t>
        </is>
      </c>
      <c r="D9637" t="inlineStr">
        <is>
          <t>Phu Hung Securities Corporation</t>
        </is>
      </c>
      <c r="E9637" t="inlineStr">
        <is>
          <t>Lương:Cạnh tranh</t>
        </is>
      </c>
      <c r="F9637" t="inlineStr">
        <is>
          <t>Hồ Chí Minh</t>
        </is>
      </c>
      <c r="G9637" t="inlineStr">
        <is>
          <t>18-04-2026</t>
        </is>
      </c>
      <c r="H9637" t="inlineStr">
        <is>
          <t>18/04/2026</t>
        </is>
      </c>
      <c r="I9637" t="inlineStr">
        <is>
          <t>17/03/2026</t>
        </is>
      </c>
      <c r="J9637" t="inlineStr">
        <is>
          <t>Dịch vụ khách hàng, Chứng khoán, CNTT - Phần mềm</t>
        </is>
      </c>
      <c r="K9637" t="inlineStr">
        <is>
          <t>Trên 2 Năm</t>
        </is>
      </c>
      <c r="L9637" s="8">
        <f>HYPERLINK("https://careerviet.vn/vi/tim-viec-lam/senior-customer-care-specialist.35C6C9F4.html","Xem chi tiết")</f>
        <v/>
      </c>
    </row>
    <row r="9638">
      <c r="B9638" s="9" t="n">
        <v>9636</v>
      </c>
      <c r="C9638" s="10" t="inlineStr">
        <is>
          <t>Accountant/ Nhân viên Kế toán(Mới)</t>
        </is>
      </c>
      <c r="D9638" s="10" t="inlineStr">
        <is>
          <t>CÔNG TY TNHH C-HAWK TECHNOLOGY VIỆT NAM</t>
        </is>
      </c>
      <c r="E9638" s="10" t="inlineStr">
        <is>
          <t>Lương:Cạnh tranh</t>
        </is>
      </c>
      <c r="F9638" s="10" t="inlineStr">
        <is>
          <t>Bình Dương</t>
        </is>
      </c>
      <c r="G9638" s="10" t="inlineStr">
        <is>
          <t>31-03-2026</t>
        </is>
      </c>
      <c r="H9638" s="10" t="inlineStr">
        <is>
          <t>31/03/2026</t>
        </is>
      </c>
      <c r="I9638" s="10" t="inlineStr">
        <is>
          <t>17/03/2026</t>
        </is>
      </c>
      <c r="J9638" s="10" t="inlineStr">
        <is>
          <t>Kế toán / Kiểm toán</t>
        </is>
      </c>
      <c r="K9638" s="10" t="inlineStr">
        <is>
          <t>2 - 3 Năm</t>
        </is>
      </c>
      <c r="L9638" s="11">
        <f>HYPERLINK("https://careerviet.vn/vi/tim-viec-lam/accountant-nhan-vien-ke-toan.35C6CA15.html","Xem chi tiết")</f>
        <v/>
      </c>
      <c r="M9638" s="10" t="n"/>
    </row>
    <row r="9639">
      <c r="B9639" s="7" t="n">
        <v>9637</v>
      </c>
      <c r="C9639" t="inlineStr">
        <is>
          <t>Trưởng Phòng Thu Mua</t>
        </is>
      </c>
      <c r="D9639" t="inlineStr">
        <is>
          <t>CÔNG TY TNHH CHUỖI THƯƠNG MẠI BUSY MING VIỆT NAM</t>
        </is>
      </c>
      <c r="E9639" t="inlineStr">
        <is>
          <t>Lương:15 Tr - 25 Tr VND</t>
        </is>
      </c>
      <c r="F9639" t="inlineStr">
        <is>
          <t>Hồ Chí Minh</t>
        </is>
      </c>
      <c r="G9639" t="inlineStr">
        <is>
          <t>13-04-2026</t>
        </is>
      </c>
      <c r="H9639" t="inlineStr">
        <is>
          <t>13/04/2026</t>
        </is>
      </c>
      <c r="I9639" t="inlineStr">
        <is>
          <t>17/03/2026</t>
        </is>
      </c>
      <c r="J9639" t="inlineStr">
        <is>
          <t>Bán lẻ / Bán sỉ, Thực phẩm &amp; Đồ uống, Bán hàng / Kinh doanh</t>
        </is>
      </c>
      <c r="K9639" t="inlineStr">
        <is>
          <t>3 - 4 Năm</t>
        </is>
      </c>
      <c r="L9639" s="8">
        <f>HYPERLINK("https://careerviet.vn/vi/tim-viec-lam/truong-phong-thu-mua.35C656F2.html","Xem chi tiết")</f>
        <v/>
      </c>
    </row>
    <row r="9640">
      <c r="B9640" s="9" t="n">
        <v>9638</v>
      </c>
      <c r="C9640" s="10" t="inlineStr">
        <is>
          <t>PLANNER EXCUTIVE(Mới)</t>
        </is>
      </c>
      <c r="D9640" s="10" t="inlineStr">
        <is>
          <t>CÔNG TY CỔ PHẦN BEYOND COMMUNICATION</t>
        </is>
      </c>
      <c r="E9640" s="10" t="inlineStr">
        <is>
          <t>Lương:Cạnh tranh</t>
        </is>
      </c>
      <c r="F9640" s="10" t="inlineStr">
        <is>
          <t>Hồ Chí Minh</t>
        </is>
      </c>
      <c r="G9640" s="10" t="inlineStr">
        <is>
          <t>15-04-2026</t>
        </is>
      </c>
      <c r="H9640" s="10" t="inlineStr">
        <is>
          <t>15/04/2026</t>
        </is>
      </c>
      <c r="I9640" s="10" t="inlineStr">
        <is>
          <t>17/03/2026</t>
        </is>
      </c>
      <c r="J9640" s="10" t="inlineStr">
        <is>
          <t>Mỹ thuật / Nghệ thuật / Thiết kế, Tổ chức sự kiện, Quảng cáo / Đối ngoại / Truyền Thông</t>
        </is>
      </c>
      <c r="K9640" s="10" t="inlineStr">
        <is>
          <t>1 - 2 Năm</t>
        </is>
      </c>
      <c r="L9640" s="11">
        <f>HYPERLINK("https://careerviet.vn/vi/tim-viec-lam/planner-excutive.35C6CA0E.html","Xem chi tiết")</f>
        <v/>
      </c>
      <c r="M9640" s="10" t="n"/>
    </row>
    <row r="9641">
      <c r="B9641" s="7" t="n">
        <v>9639</v>
      </c>
      <c r="C9641" t="inlineStr">
        <is>
          <t>Chuyên Viên Khách Hàng Tổ Chức(Mới)</t>
        </is>
      </c>
      <c r="D9641" t="inlineStr">
        <is>
          <t>Phu Hung Securities Corporation</t>
        </is>
      </c>
      <c r="E9641" t="inlineStr">
        <is>
          <t>Lương:Cạnh tranh</t>
        </is>
      </c>
      <c r="F9641" t="inlineStr">
        <is>
          <t>Hồ Chí Minh</t>
        </is>
      </c>
      <c r="G9641" t="inlineStr">
        <is>
          <t>15-04-2026</t>
        </is>
      </c>
      <c r="H9641" t="inlineStr">
        <is>
          <t>15/04/2026</t>
        </is>
      </c>
      <c r="I9641" t="inlineStr">
        <is>
          <t>17/03/2026</t>
        </is>
      </c>
      <c r="J9641" t="inlineStr">
        <is>
          <t>Chứng khoán, Bán hàng / Kinh doanh, Tài chính / Đầu tư</t>
        </is>
      </c>
      <c r="K9641" t="inlineStr">
        <is>
          <t>Trên 2 Năm</t>
        </is>
      </c>
      <c r="L9641" s="8">
        <f>HYPERLINK("https://careerviet.vn/vi/tim-viec-lam/chuyen-vien-khach-hang-to-chuc.35C6C9F3.html","Xem chi tiết")</f>
        <v/>
      </c>
    </row>
    <row r="9642">
      <c r="B9642" s="9" t="n">
        <v>9640</v>
      </c>
      <c r="C9642" s="10" t="inlineStr">
        <is>
          <t>Nhân viên thu mua(Mới)</t>
        </is>
      </c>
      <c r="D9642" s="10" t="inlineStr">
        <is>
          <t>CÔNG TY TNHH IN BAO BÌ TOÀN PHÁT</t>
        </is>
      </c>
      <c r="E9642" s="10" t="inlineStr">
        <is>
          <t>Lương:9 Tr - 12 Tr VND</t>
        </is>
      </c>
      <c r="F9642" s="10" t="inlineStr">
        <is>
          <t>Hồ Chí Minh</t>
        </is>
      </c>
      <c r="G9642" s="10" t="inlineStr">
        <is>
          <t>14-04-2026</t>
        </is>
      </c>
      <c r="H9642" s="10" t="inlineStr">
        <is>
          <t>14/04/2026</t>
        </is>
      </c>
      <c r="I9642" s="10" t="inlineStr">
        <is>
          <t>17/03/2026</t>
        </is>
      </c>
      <c r="J9642" s="10" t="inlineStr">
        <is>
          <t>Vận chuyển / Giao nhận / Kho vận, Thu mua / Vật tư, In ấn / Xuất bản</t>
        </is>
      </c>
      <c r="K9642" s="10" t="inlineStr">
        <is>
          <t>N/A</t>
        </is>
      </c>
      <c r="L9642" s="11">
        <f>HYPERLINK("https://careerviet.vn/vi/tim-viec-lam/nhan-vien-thu-mua.35C6CA0A.html","Xem chi tiết")</f>
        <v/>
      </c>
      <c r="M9642" s="10" t="n"/>
    </row>
    <row r="9643">
      <c r="B9643" s="7" t="n">
        <v>9641</v>
      </c>
      <c r="C9643" t="inlineStr">
        <is>
          <t>Nhân viên Sale Admin</t>
        </is>
      </c>
      <c r="D9643" t="inlineStr">
        <is>
          <t>HỆ THỐNG GIÁO DỤC EDUFIT</t>
        </is>
      </c>
      <c r="E9643" t="inlineStr">
        <is>
          <t>Lương:10 Tr - 13 Tr VND</t>
        </is>
      </c>
      <c r="F9643" t="inlineStr">
        <is>
          <t>Hà Nội</t>
        </is>
      </c>
      <c r="G9643" t="inlineStr">
        <is>
          <t>13-04-2026</t>
        </is>
      </c>
      <c r="H9643" t="inlineStr">
        <is>
          <t>13/04/2026</t>
        </is>
      </c>
      <c r="I9643" t="inlineStr">
        <is>
          <t>17/03/2026</t>
        </is>
      </c>
      <c r="J9643" t="inlineStr">
        <is>
          <t>Giáo dục / Đào tạo</t>
        </is>
      </c>
      <c r="K9643" t="inlineStr">
        <is>
          <t>Trên 2 Năm</t>
        </is>
      </c>
      <c r="L9643" s="8">
        <f>HYPERLINK("https://careerviet.vn/vi/tim-viec-lam/nhan-vien-sale-admin.35C6579B.html","Xem chi tiết")</f>
        <v/>
      </c>
    </row>
    <row r="9644">
      <c r="B9644" s="9" t="n">
        <v>9642</v>
      </c>
      <c r="C9644" s="10" t="inlineStr">
        <is>
          <t>Nhân viên CSKH</t>
        </is>
      </c>
      <c r="D9644" s="10" t="inlineStr">
        <is>
          <t>Công Ty Cổ Phần Tân Vĩnh Cửu (Tavico group)</t>
        </is>
      </c>
      <c r="E9644" s="10" t="inlineStr">
        <is>
          <t>Lương:Cạnh tranh</t>
        </is>
      </c>
      <c r="F9644" s="10" t="inlineStr">
        <is>
          <t>Đồng Nai</t>
        </is>
      </c>
      <c r="G9644" s="10" t="inlineStr">
        <is>
          <t>13-04-2026</t>
        </is>
      </c>
      <c r="H9644" s="10" t="inlineStr">
        <is>
          <t>13/04/2026</t>
        </is>
      </c>
      <c r="I9644" s="10" t="inlineStr">
        <is>
          <t>17/03/2026</t>
        </is>
      </c>
      <c r="J9644" s="10" t="inlineStr">
        <is>
          <t>Tư vấn, Hành chính / Thư ký, Nhà hàng / Khách sạn</t>
        </is>
      </c>
      <c r="K9644" s="10" t="inlineStr">
        <is>
          <t>1 - 2 Năm</t>
        </is>
      </c>
      <c r="L9644" s="11">
        <f>HYPERLINK("https://careerviet.vn/vi/tim-viec-lam/nhan-vien-cskh.35C6572F.html","Xem chi tiết")</f>
        <v/>
      </c>
      <c r="M9644" s="10" t="n"/>
    </row>
    <row r="9645">
      <c r="B9645" s="7" t="n">
        <v>9643</v>
      </c>
      <c r="C9645" t="inlineStr">
        <is>
          <t>[HCM-HN-ĐN] Nhân viên kinh doanh mảng Food Safety &amp; Animal (gấp)</t>
        </is>
      </c>
      <c r="D9645" t="inlineStr">
        <is>
          <t>Công ty TNHH Thiết bị Khoa học Kỹ thuật Việt Huy</t>
        </is>
      </c>
      <c r="E9645" t="inlineStr">
        <is>
          <t>Lương:Cạnh tranh</t>
        </is>
      </c>
      <c r="F9645" t="inlineStr">
        <is>
          <t>Hồ Chí MinhHà NộiĐà Nẵng</t>
        </is>
      </c>
      <c r="G9645" t="inlineStr">
        <is>
          <t>13-04-2026</t>
        </is>
      </c>
      <c r="H9645" t="inlineStr">
        <is>
          <t>13/04/2026</t>
        </is>
      </c>
      <c r="I9645" t="inlineStr">
        <is>
          <t>17/03/2026</t>
        </is>
      </c>
      <c r="J9645" t="inlineStr">
        <is>
          <t>Bán lẻ / Bán sỉ, Bán hàng / Kinh doanh, Y tế / Chăm sóc sức khỏe / Thẩm mỹ / Làm đẹp</t>
        </is>
      </c>
      <c r="K9645" t="inlineStr">
        <is>
          <t>3 - 5 Năm</t>
        </is>
      </c>
      <c r="L9645" s="8">
        <f>HYPERLINK("https://careerviet.vn/vi/tim-viec-lam/hcm-hn-dn-nhan-vien-kinh-doanh-mang-food-safety-animal-gap.35C65658.html","Xem chi tiết")</f>
        <v/>
      </c>
    </row>
    <row r="9646">
      <c r="B9646" s="9" t="n">
        <v>9644</v>
      </c>
      <c r="C9646" s="10" t="inlineStr">
        <is>
          <t>Senior Talent Acquisition Partner(Mới)</t>
        </is>
      </c>
      <c r="D9646" s="10" t="inlineStr">
        <is>
          <t>Action Composites Hightech Industries</t>
        </is>
      </c>
      <c r="E9646" s="10" t="inlineStr">
        <is>
          <t>Lương:20 Tr - 30 Tr VND</t>
        </is>
      </c>
      <c r="F9646" s="10" t="inlineStr">
        <is>
          <t>Đồng Nai</t>
        </is>
      </c>
      <c r="G9646" s="10" t="inlineStr">
        <is>
          <t>18-04-2026</t>
        </is>
      </c>
      <c r="H9646" s="10" t="inlineStr">
        <is>
          <t>18/04/2026</t>
        </is>
      </c>
      <c r="I9646" s="10" t="inlineStr">
        <is>
          <t>17/03/2026</t>
        </is>
      </c>
      <c r="J9646" s="10" t="inlineStr">
        <is>
          <t>Nhân sự, Hành chính / Thư ký, Sản xuất / Vận hành sản xuất</t>
        </is>
      </c>
      <c r="K9646" s="10" t="inlineStr">
        <is>
          <t>4 - 6 Năm</t>
        </is>
      </c>
      <c r="L9646" s="11">
        <f>HYPERLINK("https://careerviet.vn/vi/tim-viec-lam/senior-talent-acquisition-partner.35C6CA1A.html","Xem chi tiết")</f>
        <v/>
      </c>
      <c r="M9646" s="10" t="n"/>
    </row>
    <row r="9647">
      <c r="B9647" s="7" t="n">
        <v>9645</v>
      </c>
      <c r="C9647" t="inlineStr">
        <is>
          <t>Senior Legal Officer(Mới)</t>
        </is>
      </c>
      <c r="D9647" t="inlineStr">
        <is>
          <t>Phu Hung Securities Corporation</t>
        </is>
      </c>
      <c r="E9647" t="inlineStr">
        <is>
          <t>Lương:Cạnh tranh</t>
        </is>
      </c>
      <c r="F9647" t="inlineStr">
        <is>
          <t>Hồ Chí Minh</t>
        </is>
      </c>
      <c r="G9647" t="inlineStr">
        <is>
          <t>15-04-2026</t>
        </is>
      </c>
      <c r="H9647" t="inlineStr">
        <is>
          <t>15/04/2026</t>
        </is>
      </c>
      <c r="I9647" t="inlineStr">
        <is>
          <t>17/03/2026</t>
        </is>
      </c>
      <c r="J9647" t="inlineStr">
        <is>
          <t>Luật / Pháp lý, Chứng khoán, Tài chính / Đầu tư</t>
        </is>
      </c>
      <c r="K9647" t="inlineStr">
        <is>
          <t>3 - 6 Năm</t>
        </is>
      </c>
      <c r="L9647" s="8">
        <f>HYPERLINK("https://careerviet.vn/vi/tim-viec-lam/senior-legal-officer.35C6C9F2.html","Xem chi tiết")</f>
        <v/>
      </c>
    </row>
    <row r="9648">
      <c r="B9648" s="9" t="n">
        <v>9646</v>
      </c>
      <c r="C9648" s="10" t="inlineStr">
        <is>
          <t>Kỹ sư tích hợp hệ thống</t>
        </is>
      </c>
      <c r="D9648" s="10" t="inlineStr">
        <is>
          <t>Công ty TNHH PNK</t>
        </is>
      </c>
      <c r="E9648" s="10" t="inlineStr">
        <is>
          <t>Lương:Cạnh tranh</t>
        </is>
      </c>
      <c r="F9648" s="10" t="inlineStr">
        <is>
          <t>Hà Nội</t>
        </is>
      </c>
      <c r="G9648" s="10" t="inlineStr">
        <is>
          <t>13-04-2026</t>
        </is>
      </c>
      <c r="H9648" s="10" t="inlineStr">
        <is>
          <t>13/04/2026</t>
        </is>
      </c>
      <c r="I9648" s="10" t="inlineStr">
        <is>
          <t>17/03/2026</t>
        </is>
      </c>
      <c r="J9648" s="10" t="inlineStr">
        <is>
          <t>Bưu chính viễn thông, Điện / Điện tử / Điện lạnh / Điện công nghiệp, CNTT - Phần mềm</t>
        </is>
      </c>
      <c r="K9648" s="10" t="inlineStr">
        <is>
          <t>2 - 3 Năm</t>
        </is>
      </c>
      <c r="L9648" s="11">
        <f>HYPERLINK("https://careerviet.vn/vi/tim-viec-lam/ky-su-tich-hop-he-thong.35C65747.html","Xem chi tiết")</f>
        <v/>
      </c>
      <c r="M9648" s="10" t="n"/>
    </row>
    <row r="9649">
      <c r="B9649" s="7" t="n">
        <v>9647</v>
      </c>
      <c r="C9649" t="inlineStr">
        <is>
          <t>Phó Phòng Đấu Thầu Phụ Trách Hợp Đồng A</t>
        </is>
      </c>
      <c r="D9649" t="inlineStr">
        <is>
          <t>Công Ty Cổ Phần Xây Dựng CDC</t>
        </is>
      </c>
      <c r="E9649" t="inlineStr">
        <is>
          <t>Lương:Cạnh tranh</t>
        </is>
      </c>
      <c r="F9649" t="inlineStr">
        <is>
          <t>Hà Nội</t>
        </is>
      </c>
      <c r="G9649" t="inlineStr">
        <is>
          <t>13-04-2026</t>
        </is>
      </c>
      <c r="H9649" t="inlineStr">
        <is>
          <t>13/04/2026</t>
        </is>
      </c>
      <c r="I9649" t="inlineStr">
        <is>
          <t>17/03/2026</t>
        </is>
      </c>
      <c r="J9649" t="inlineStr">
        <is>
          <t>Xây dựng</t>
        </is>
      </c>
      <c r="K9649" t="inlineStr">
        <is>
          <t>2 - 5 Năm</t>
        </is>
      </c>
      <c r="L9649" s="8">
        <f>HYPERLINK("https://careerviet.vn/vi/tim-viec-lam/pho-phong-dau-thau-phu-trach-hop-dong-a.35C65741.html","Xem chi tiết")</f>
        <v/>
      </c>
    </row>
    <row r="9650">
      <c r="B9650" s="9" t="n">
        <v>9648</v>
      </c>
      <c r="C9650" s="10" t="inlineStr">
        <is>
          <t>Manufacturing Engineer(Mới)</t>
        </is>
      </c>
      <c r="D9650" s="10" t="inlineStr">
        <is>
          <t>CÔNG TY TNHH C-HAWK TECHNOLOGY VIỆT NAM</t>
        </is>
      </c>
      <c r="E9650" s="10" t="inlineStr">
        <is>
          <t>Lương:Cạnh tranh</t>
        </is>
      </c>
      <c r="F9650" s="10" t="inlineStr">
        <is>
          <t>Bình Dương</t>
        </is>
      </c>
      <c r="G9650" s="10" t="inlineStr">
        <is>
          <t>25-03-2026</t>
        </is>
      </c>
      <c r="H9650" s="10" t="inlineStr">
        <is>
          <t>25/03/2026</t>
        </is>
      </c>
      <c r="I9650" s="10" t="inlineStr">
        <is>
          <t>17/03/2026</t>
        </is>
      </c>
      <c r="J9650" s="10" t="inlineStr">
        <is>
          <t>Điện / Điện tử / Điện lạnh / Điện công nghiệp</t>
        </is>
      </c>
      <c r="K9650" s="10" t="inlineStr">
        <is>
          <t>2 - 5 Năm</t>
        </is>
      </c>
      <c r="L9650" s="11">
        <f>HYPERLINK("https://careerviet.vn/vi/tim-viec-lam/manufacturing-engineer.35C6CA17.html","Xem chi tiết")</f>
        <v/>
      </c>
      <c r="M9650" s="10" t="n"/>
    </row>
    <row r="9651">
      <c r="B9651" s="7" t="n">
        <v>9649</v>
      </c>
      <c r="C9651" t="inlineStr">
        <is>
          <t>Driver</t>
        </is>
      </c>
      <c r="D9651" t="inlineStr">
        <is>
          <t>Công ty TNHH Dịch vụ và Thương mại SE Hà Nội</t>
        </is>
      </c>
      <c r="E9651" t="inlineStr">
        <is>
          <t>Lương:9.835 - 14.257 USD</t>
        </is>
      </c>
      <c r="F9651" t="inlineStr">
        <is>
          <t>Hà Nội</t>
        </is>
      </c>
      <c r="G9651" t="inlineStr">
        <is>
          <t>09-04-2026</t>
        </is>
      </c>
      <c r="H9651" t="inlineStr">
        <is>
          <t>09/04/2026</t>
        </is>
      </c>
      <c r="I9651" t="inlineStr">
        <is>
          <t>17/03/2026</t>
        </is>
      </c>
      <c r="J9651" t="inlineStr">
        <is>
          <t>Ngành khác, Lao động phổ thông</t>
        </is>
      </c>
      <c r="K9651" t="inlineStr">
        <is>
          <t>Trên 3 Năm</t>
        </is>
      </c>
      <c r="L9651" s="8">
        <f>HYPERLINK("https://careerviet.vn/vi/tim-viec-lam/driver.35C6BA2B.html","Xem chi tiết")</f>
        <v/>
      </c>
    </row>
    <row r="9652">
      <c r="B9652" s="9" t="n">
        <v>9650</v>
      </c>
      <c r="C9652" s="10" t="inlineStr">
        <is>
          <t>Tổ trưởng Phục Vụ nhà hàng Gyushige Ngưu Phồn</t>
        </is>
      </c>
      <c r="D9652" s="10" t="inlineStr">
        <is>
          <t>CÔNG TY CỔ PHẦN TAKAHIRO</t>
        </is>
      </c>
      <c r="E9652" s="10" t="inlineStr">
        <is>
          <t>Lương:10 Tr - 11 Tr VND</t>
        </is>
      </c>
      <c r="F9652" s="10" t="inlineStr">
        <is>
          <t>Hồ Chí Minh</t>
        </is>
      </c>
      <c r="G9652" s="10" t="inlineStr">
        <is>
          <t>30-04-2026</t>
        </is>
      </c>
      <c r="H9652" s="10" t="inlineStr">
        <is>
          <t>30/04/2026</t>
        </is>
      </c>
      <c r="I9652" s="10" t="inlineStr">
        <is>
          <t>17/03/2026</t>
        </is>
      </c>
      <c r="J9652" s="10" t="inlineStr">
        <is>
          <t>Nhà hàng / Khách sạn</t>
        </is>
      </c>
      <c r="K9652" s="10" t="inlineStr">
        <is>
          <t>1 - 2 Năm</t>
        </is>
      </c>
      <c r="L9652" s="11">
        <f>HYPERLINK("https://careerviet.vn/vi/tim-viec-lam/to-truong-phuc-vu-nha-hang-gyushige-nguu-phon.35C6BA46.html","Xem chi tiết")</f>
        <v/>
      </c>
      <c r="M9652" s="10" t="n"/>
    </row>
    <row r="9653">
      <c r="B9653" s="7" t="n">
        <v>9651</v>
      </c>
      <c r="C9653" t="inlineStr">
        <is>
          <t>Quản lý nhãn hàng</t>
        </is>
      </c>
      <c r="D9653" t="inlineStr">
        <is>
          <t>Công ty cổ phần Anvy</t>
        </is>
      </c>
      <c r="E9653" t="inlineStr">
        <is>
          <t>Lương:20 Tr - 25 Tr VND</t>
        </is>
      </c>
      <c r="F9653" t="inlineStr">
        <is>
          <t>Hà Nội</t>
        </is>
      </c>
      <c r="G9653" t="inlineStr">
        <is>
          <t>10-04-2026</t>
        </is>
      </c>
      <c r="H9653" t="inlineStr">
        <is>
          <t>10/04/2026</t>
        </is>
      </c>
      <c r="I9653" t="inlineStr">
        <is>
          <t>17/03/2026</t>
        </is>
      </c>
      <c r="J9653" t="inlineStr">
        <is>
          <t>Tiếp thị / Marketing, Dược phẩm/ Hóa Mỹ Phẩm, Quảng cáo / Đối ngoại / Truyền Thông</t>
        </is>
      </c>
      <c r="K9653" t="inlineStr">
        <is>
          <t>4 - 5 Năm</t>
        </is>
      </c>
      <c r="L9653" s="8">
        <f>HYPERLINK("https://careerviet.vn/vi/tim-viec-lam/quan-ly-nhan-hang.35C6B998.html","Xem chi tiết")</f>
        <v/>
      </c>
    </row>
    <row r="9654">
      <c r="B9654" s="9" t="n">
        <v>9652</v>
      </c>
      <c r="C9654" s="10" t="inlineStr">
        <is>
          <t>Trợ Lý Dự Án</t>
        </is>
      </c>
      <c r="D9654" s="10" t="inlineStr">
        <is>
          <t>Công ty cổ phần Công nghệ Mạng và Truyền thông</t>
        </is>
      </c>
      <c r="E9654" s="10" t="inlineStr">
        <is>
          <t>Lương:10 Tr - 20 Tr VND</t>
        </is>
      </c>
      <c r="F9654" s="10" t="inlineStr">
        <is>
          <t>Hà Nội</t>
        </is>
      </c>
      <c r="G9654" s="10" t="inlineStr">
        <is>
          <t>09-04-2026</t>
        </is>
      </c>
      <c r="H9654" s="10" t="inlineStr">
        <is>
          <t>09/04/2026</t>
        </is>
      </c>
      <c r="I9654" s="10" t="inlineStr">
        <is>
          <t>17/03/2026</t>
        </is>
      </c>
      <c r="J9654" s="10" t="inlineStr">
        <is>
          <t>Bán hàng / Kinh doanh, CNTT - Phần mềm, CNTT - Phần cứng / Mạng</t>
        </is>
      </c>
      <c r="K9654" s="10" t="inlineStr">
        <is>
          <t>1 - 2 Năm</t>
        </is>
      </c>
      <c r="L9654" s="11">
        <f>HYPERLINK("https://careerviet.vn/vi/tim-viec-lam/tro-ly-du-an.35C6B983.html","Xem chi tiết")</f>
        <v/>
      </c>
      <c r="M9654" s="10" t="n"/>
    </row>
    <row r="9655">
      <c r="B9655" s="7" t="n">
        <v>9653</v>
      </c>
      <c r="C9655" t="inlineStr">
        <is>
          <t>Nhân viên kinh doanh Đà Nẵng</t>
        </is>
      </c>
      <c r="D9655" t="inlineStr">
        <is>
          <t>Công ty TNHH Thực Phẩm Sạch Thương Mại T&amp;P</t>
        </is>
      </c>
      <c r="E9655" t="inlineStr">
        <is>
          <t>Lương:10 Tr - 15 Tr VND</t>
        </is>
      </c>
      <c r="F9655" t="inlineStr">
        <is>
          <t>Đà Nẵng</t>
        </is>
      </c>
      <c r="G9655" t="inlineStr">
        <is>
          <t>30-04-2026</t>
        </is>
      </c>
      <c r="H9655" t="inlineStr">
        <is>
          <t>30/04/2026</t>
        </is>
      </c>
      <c r="I9655" t="inlineStr">
        <is>
          <t>17/03/2026</t>
        </is>
      </c>
      <c r="J9655" t="inlineStr">
        <is>
          <t>Bán hàng / Kinh doanh</t>
        </is>
      </c>
      <c r="K9655" t="inlineStr">
        <is>
          <t>N/A</t>
        </is>
      </c>
      <c r="L9655" s="8">
        <f>HYPERLINK("https://careerviet.vn/vi/tim-viec-lam/nhan-vien-kinh-doanh-da-nang.35C6B852.html","Xem chi tiết")</f>
        <v/>
      </c>
    </row>
    <row r="9656">
      <c r="B9656" s="9" t="n">
        <v>9654</v>
      </c>
      <c r="C9656" s="10" t="inlineStr">
        <is>
          <t>[Tuyên Quang] Giám Sát Kinh Doanh Bán Hàng Trả Góp</t>
        </is>
      </c>
      <c r="D9656" s="10" t="inlineStr">
        <is>
          <t>Công Ty Tài Chính Mirae Asset (Việt Nam)</t>
        </is>
      </c>
      <c r="E9656" s="10" t="inlineStr">
        <is>
          <t>Lương:Cạnh tranh</t>
        </is>
      </c>
      <c r="F9656" s="10" t="inlineStr">
        <is>
          <t>Tuyên QuangKV Bắc Trung Bộ</t>
        </is>
      </c>
      <c r="G9656" s="10" t="inlineStr">
        <is>
          <t>08-04-2026</t>
        </is>
      </c>
      <c r="H9656" s="10" t="inlineStr">
        <is>
          <t>08/04/2026</t>
        </is>
      </c>
      <c r="I9656" s="10" t="inlineStr">
        <is>
          <t>17/03/2026</t>
        </is>
      </c>
      <c r="J9656" s="10" t="inlineStr">
        <is>
          <t>Dịch vụ khách hàng, Bán hàng / Kinh doanh, Tài chính / Đầu tư</t>
        </is>
      </c>
      <c r="K9656" s="10" t="inlineStr">
        <is>
          <t>2 - 5 Năm</t>
        </is>
      </c>
      <c r="L9656" s="11">
        <f>HYPERLINK("https://careerviet.vn/vi/tim-viec-lam/tuyen-quang-giam-sat-kinh-doanh-ban-hang-tra-gop.35C6BA2E.html","Xem chi tiết")</f>
        <v/>
      </c>
      <c r="M9656" s="10" t="n"/>
    </row>
    <row r="9657">
      <c r="B9657" s="7" t="n">
        <v>9655</v>
      </c>
      <c r="C9657" t="inlineStr">
        <is>
          <t>Nhân Viên Bán Hàng</t>
        </is>
      </c>
      <c r="D9657" t="inlineStr">
        <is>
          <t>Viện nghiên cứu Da và giày - Dodavi</t>
        </is>
      </c>
      <c r="E9657" t="inlineStr">
        <is>
          <t>Lương:Cạnh tranh</t>
        </is>
      </c>
      <c r="F9657" t="inlineStr">
        <is>
          <t>Hà NộiThanh Hóa</t>
        </is>
      </c>
      <c r="G9657" t="inlineStr">
        <is>
          <t>09-04-2026</t>
        </is>
      </c>
      <c r="H9657" t="inlineStr">
        <is>
          <t>09/04/2026</t>
        </is>
      </c>
      <c r="I9657" t="inlineStr">
        <is>
          <t>17/03/2026</t>
        </is>
      </c>
      <c r="J9657" t="inlineStr">
        <is>
          <t>Bán hàng / Kinh doanh, Tư vấn, Dịch vụ khách hàng</t>
        </is>
      </c>
      <c r="K9657" t="inlineStr">
        <is>
          <t>Lên đến 1 Năm</t>
        </is>
      </c>
      <c r="L9657" s="8">
        <f>HYPERLINK("https://careerviet.vn/vi/tim-viec-lam/nhan-vien-ban-hang.35C6BA22.html","Xem chi tiết")</f>
        <v/>
      </c>
    </row>
    <row r="9658">
      <c r="B9658" s="9" t="n">
        <v>9656</v>
      </c>
      <c r="C9658" s="10" t="inlineStr">
        <is>
          <t>Chuyên viên Thẩm định Khách hàng Doanh nghiệp</t>
        </is>
      </c>
      <c r="D9658" s="10" t="inlineStr">
        <is>
          <t>Ngân Hàng TMCP Sài Gòn - Hà Nội ( SHB )</t>
        </is>
      </c>
      <c r="E9658" s="10" t="inlineStr">
        <is>
          <t>Lương:Cạnh tranh</t>
        </is>
      </c>
      <c r="F9658" s="10" t="inlineStr">
        <is>
          <t>Bến TreBình Thuận</t>
        </is>
      </c>
      <c r="G9658" s="10" t="inlineStr">
        <is>
          <t>06-04-2026</t>
        </is>
      </c>
      <c r="H9658" s="10" t="inlineStr">
        <is>
          <t>06/04/2026</t>
        </is>
      </c>
      <c r="I9658" s="10" t="inlineStr">
        <is>
          <t>17/03/2026</t>
        </is>
      </c>
      <c r="J9658" s="10" t="inlineStr">
        <is>
          <t>Ngân hàng</t>
        </is>
      </c>
      <c r="K9658" s="10" t="inlineStr">
        <is>
          <t>Trên 2 Năm</t>
        </is>
      </c>
      <c r="L9658" s="11">
        <f>HYPERLINK("https://careerviet.vn/vi/tim-viec-lam/chuyen-vien-tham-dinh-khach-hang-doanh-nghiep.35C6B6D6.html","Xem chi tiết")</f>
        <v/>
      </c>
      <c r="M9658" s="10" t="n"/>
    </row>
    <row r="9659">
      <c r="B9659" s="7" t="n">
        <v>9657</v>
      </c>
      <c r="C9659" t="inlineStr">
        <is>
          <t>[Lào Cai, Lai Châu] - Chuyên Viên Tư Vấn Trả Góp Ô Tô</t>
        </is>
      </c>
      <c r="D9659" t="inlineStr">
        <is>
          <t>Công Ty Tài Chính Mirae Asset (Việt Nam)</t>
        </is>
      </c>
      <c r="E9659" t="inlineStr">
        <is>
          <t>Lương:17 Tr - 30 Tr VND</t>
        </is>
      </c>
      <c r="F9659" t="inlineStr">
        <is>
          <t>Lào CaiKV Bắc Trung BộLai Châu</t>
        </is>
      </c>
      <c r="G9659" t="inlineStr">
        <is>
          <t>08-04-2026</t>
        </is>
      </c>
      <c r="H9659" t="inlineStr">
        <is>
          <t>08/04/2026</t>
        </is>
      </c>
      <c r="I9659" t="inlineStr">
        <is>
          <t>17/03/2026</t>
        </is>
      </c>
      <c r="J9659" t="inlineStr">
        <is>
          <t>Bán lẻ / Bán sỉ, Bán hàng / Kinh doanh, Tài chính / Đầu tư</t>
        </is>
      </c>
      <c r="K9659" t="inlineStr">
        <is>
          <t>2 - 3 Năm</t>
        </is>
      </c>
      <c r="L9659" s="8">
        <f>HYPERLINK("https://careerviet.vn/vi/tim-viec-lam/lao-cai-lai-chau-chuyen-vien-tu-van-tra-gop-o-to.35C6BA2C.html","Xem chi tiết")</f>
        <v/>
      </c>
    </row>
    <row r="9660">
      <c r="B9660" s="9" t="n">
        <v>9658</v>
      </c>
      <c r="C9660" s="10" t="inlineStr">
        <is>
          <t>KẾ TOÁN TRƯỞNG (Công ty thành viên)</t>
        </is>
      </c>
      <c r="D9660" s="10" t="inlineStr">
        <is>
          <t>Công ty cổ phần Tập đoàn Danko</t>
        </is>
      </c>
      <c r="E9660" s="10" t="inlineStr">
        <is>
          <t>Lương:25 Tr - 35 Tr VND</t>
        </is>
      </c>
      <c r="F9660" s="10" t="inlineStr">
        <is>
          <t>Hà Nội</t>
        </is>
      </c>
      <c r="G9660" s="10" t="inlineStr">
        <is>
          <t>30-04-2026</t>
        </is>
      </c>
      <c r="H9660" s="10" t="inlineStr">
        <is>
          <t>30/04/2026</t>
        </is>
      </c>
      <c r="I9660" s="10" t="inlineStr">
        <is>
          <t>17/03/2026</t>
        </is>
      </c>
      <c r="J9660" s="10" t="inlineStr">
        <is>
          <t>Kế toán / Kiểm toán</t>
        </is>
      </c>
      <c r="K9660" s="10" t="inlineStr">
        <is>
          <t>Trên 7 Năm</t>
        </is>
      </c>
      <c r="L9660" s="11">
        <f>HYPERLINK("https://careerviet.vn/vi/tim-viec-lam/ke-toan-truong-cong-ty-thanh-vien.35C6BA43.html","Xem chi tiết")</f>
        <v/>
      </c>
      <c r="M9660" s="10" t="n"/>
    </row>
    <row r="9661">
      <c r="B9661" s="7" t="n">
        <v>9659</v>
      </c>
      <c r="C9661" t="inlineStr">
        <is>
          <t>Kỹ Thuật Viên Điện Tử (Bảo trì thiết bị)</t>
        </is>
      </c>
      <c r="D9661" t="inlineStr">
        <is>
          <t>Công ty TNHH Greystone Data Systems Việt Nam</t>
        </is>
      </c>
      <c r="E9661" t="inlineStr">
        <is>
          <t>Lương:8,2 Tr - 10 Tr VND</t>
        </is>
      </c>
      <c r="F9661" t="inlineStr">
        <is>
          <t>Hồ Chí Minh</t>
        </is>
      </c>
      <c r="G9661" t="inlineStr">
        <is>
          <t>04-04-2026</t>
        </is>
      </c>
      <c r="H9661" t="inlineStr">
        <is>
          <t>04/04/2026</t>
        </is>
      </c>
      <c r="I9661" t="inlineStr">
        <is>
          <t>17/03/2026</t>
        </is>
      </c>
      <c r="J9661" t="inlineStr">
        <is>
          <t>Điện / Điện tử / Điện lạnh / Điện công nghiệp, CNTT - Phần cứng / Mạng</t>
        </is>
      </c>
      <c r="K9661" t="inlineStr">
        <is>
          <t>N/A</t>
        </is>
      </c>
      <c r="L9661" s="8">
        <f>HYPERLINK("https://careerviet.vn/vi/tim-viec-lam/ky-thuat-vien-dien-tu-bao-tri-thiet-bi.35C6B744.html","Xem chi tiết")</f>
        <v/>
      </c>
    </row>
    <row r="9662">
      <c r="B9662" s="9" t="n">
        <v>9660</v>
      </c>
      <c r="C9662" s="10" t="inlineStr">
        <is>
          <t>Trưởng phòng Quản lý phân khúc AF</t>
        </is>
      </c>
      <c r="D9662" s="10" t="inlineStr">
        <is>
          <t>Ngân Hàng TMCP Việt Nam Thịnh Vượng - VPBANK</t>
        </is>
      </c>
      <c r="E9662" s="10" t="inlineStr">
        <is>
          <t>Lương:30 Tr - 50 Tr VND</t>
        </is>
      </c>
      <c r="F9662" s="10" t="inlineStr">
        <is>
          <t>Hà Nội</t>
        </is>
      </c>
      <c r="G9662" s="10" t="inlineStr">
        <is>
          <t>13-04-2026</t>
        </is>
      </c>
      <c r="H9662" s="10" t="inlineStr">
        <is>
          <t>13/04/2026</t>
        </is>
      </c>
      <c r="I9662" s="10" t="inlineStr">
        <is>
          <t>17/03/2026</t>
        </is>
      </c>
      <c r="J9662" s="10" t="inlineStr">
        <is>
          <t>Ngân hàng</t>
        </is>
      </c>
      <c r="K9662" s="10" t="inlineStr">
        <is>
          <t>Trên 3 Năm</t>
        </is>
      </c>
      <c r="L9662" s="11">
        <f>HYPERLINK("https://careerviet.vn/vi/tim-viec-lam/truong-phong-quan-ly-phan-khuc-af.35C65555.html","Xem chi tiết")</f>
        <v/>
      </c>
      <c r="M9662" s="10" t="n"/>
    </row>
    <row r="9663">
      <c r="B9663" s="7" t="n">
        <v>9661</v>
      </c>
      <c r="C9663" t="inlineStr">
        <is>
          <t>Host Livestream</t>
        </is>
      </c>
      <c r="D9663" t="inlineStr">
        <is>
          <t>Công Ty TNHH XNK Phát Triển Đông Dương</t>
        </is>
      </c>
      <c r="E9663" t="inlineStr">
        <is>
          <t>Lương:Cạnh tranh</t>
        </is>
      </c>
      <c r="F9663" t="inlineStr">
        <is>
          <t>Hà Nội</t>
        </is>
      </c>
      <c r="G9663" t="inlineStr">
        <is>
          <t>08-04-2026</t>
        </is>
      </c>
      <c r="H9663" t="inlineStr">
        <is>
          <t>08/04/2026</t>
        </is>
      </c>
      <c r="I9663" t="inlineStr">
        <is>
          <t>17/03/2026</t>
        </is>
      </c>
      <c r="J9663" t="inlineStr">
        <is>
          <t>Bán hàng / Kinh doanh, Tiếp thị trực tuyến, Y tế / Chăm sóc sức khỏe / Thẩm mỹ / Làm đẹp</t>
        </is>
      </c>
      <c r="K9663" t="inlineStr">
        <is>
          <t>1 - 2 Năm</t>
        </is>
      </c>
      <c r="L9663" s="8">
        <f>HYPERLINK("https://careerviet.vn/vi/tim-viec-lam/host-livestream.35C6B8EB.html","Xem chi tiết")</f>
        <v/>
      </c>
    </row>
    <row r="9664">
      <c r="B9664" s="9" t="n">
        <v>9662</v>
      </c>
      <c r="C9664" s="10" t="inlineStr">
        <is>
          <t>CHỈ HUY TRƯỞNG</t>
        </is>
      </c>
      <c r="D9664" s="10" t="inlineStr">
        <is>
          <t>CÔNG TY CỔ PHẦN XÂY DỰNG VÀ ĐẦU TƯ GALAXY</t>
        </is>
      </c>
      <c r="E9664" s="10" t="inlineStr">
        <is>
          <t>Lương:15 Tr - 20 Tr VND</t>
        </is>
      </c>
      <c r="F9664" s="10" t="inlineStr">
        <is>
          <t>Hồ Chí Minh</t>
        </is>
      </c>
      <c r="G9664" s="10" t="inlineStr">
        <is>
          <t>31-03-2026</t>
        </is>
      </c>
      <c r="H9664" s="10" t="inlineStr">
        <is>
          <t>31/03/2026</t>
        </is>
      </c>
      <c r="I9664" s="10" t="inlineStr">
        <is>
          <t>17/03/2026</t>
        </is>
      </c>
      <c r="J9664" s="10" t="inlineStr">
        <is>
          <t>Xây dựng, Kiến trúc, Nội ngoại thất</t>
        </is>
      </c>
      <c r="K9664" s="10" t="inlineStr">
        <is>
          <t>3 - 6 Năm</t>
        </is>
      </c>
      <c r="L9664" s="11">
        <f>HYPERLINK("https://careerviet.vn/vi/tim-viec-lam/chi-huy-truo-ng.35C6BA4C.html","Xem chi tiết")</f>
        <v/>
      </c>
      <c r="M9664" s="10" t="n"/>
    </row>
    <row r="9665">
      <c r="B9665" s="7" t="n">
        <v>9663</v>
      </c>
      <c r="C9665" t="inlineStr">
        <is>
          <t>Chuyên viên Marketing E-commerce</t>
        </is>
      </c>
      <c r="D9665" t="inlineStr">
        <is>
          <t>CÔNG TY CỔ PHẦN MATSUMOTO KIYOSHI VIỆT NAM</t>
        </is>
      </c>
      <c r="E9665" t="inlineStr">
        <is>
          <t>Lương:15 Tr - 18 Tr VND</t>
        </is>
      </c>
      <c r="F9665" t="inlineStr">
        <is>
          <t>Hồ Chí Minh</t>
        </is>
      </c>
      <c r="G9665" t="inlineStr">
        <is>
          <t>09-04-2026</t>
        </is>
      </c>
      <c r="H9665" t="inlineStr">
        <is>
          <t>09/04/2026</t>
        </is>
      </c>
      <c r="I9665" t="inlineStr">
        <is>
          <t>17/03/2026</t>
        </is>
      </c>
      <c r="J9665" t="inlineStr">
        <is>
          <t>Tiếp thị / Marketing, Thương mại điện tử, Tiếp thị trực tuyến</t>
        </is>
      </c>
      <c r="K9665" t="inlineStr">
        <is>
          <t>2 - 3 Năm</t>
        </is>
      </c>
      <c r="L9665" s="8">
        <f>HYPERLINK("https://careerviet.vn/vi/tim-viec-lam/chuyen-vien-marketing-e-commerce.35C6BA4B.html","Xem chi tiết")</f>
        <v/>
      </c>
    </row>
    <row r="9666">
      <c r="B9666" s="9" t="n">
        <v>9664</v>
      </c>
      <c r="C9666" s="10" t="inlineStr">
        <is>
          <t>Trưởng phòng Kế hoạch Chuyển đổi số</t>
        </is>
      </c>
      <c r="D9666" s="10" t="inlineStr">
        <is>
          <t>LOTTE FINANCE VIETNAM</t>
        </is>
      </c>
      <c r="E9666" s="10" t="inlineStr">
        <is>
          <t>Lương:Cạnh tranh</t>
        </is>
      </c>
      <c r="F9666" s="10" t="inlineStr">
        <is>
          <t>Hà Nội</t>
        </is>
      </c>
      <c r="G9666" s="10" t="inlineStr">
        <is>
          <t>08-04-2026</t>
        </is>
      </c>
      <c r="H9666" s="10" t="inlineStr">
        <is>
          <t>08/04/2026</t>
        </is>
      </c>
      <c r="I9666" s="10" t="inlineStr">
        <is>
          <t>17/03/2026</t>
        </is>
      </c>
      <c r="J9666" s="10" t="inlineStr">
        <is>
          <t>Ngân hàng, Tài chính / Đầu tư</t>
        </is>
      </c>
      <c r="K9666" s="10" t="inlineStr">
        <is>
          <t>Trên 5 Năm</t>
        </is>
      </c>
      <c r="L9666" s="11">
        <f>HYPERLINK("https://careerviet.vn/vi/tim-viec-lam/truong-phong-ke-hoach-chuyen-doi-so.35C6BA3D.html","Xem chi tiết")</f>
        <v/>
      </c>
      <c r="M9666" s="10" t="n"/>
    </row>
    <row r="9667">
      <c r="B9667" s="7" t="n">
        <v>9665</v>
      </c>
      <c r="C9667" t="inlineStr">
        <is>
          <t>Sourcing</t>
        </is>
      </c>
      <c r="D9667" t="inlineStr">
        <is>
          <t>Công ty TNHH Spartronics Việt Nam</t>
        </is>
      </c>
      <c r="E9667" t="inlineStr">
        <is>
          <t>Lương:Cạnh tranh</t>
        </is>
      </c>
      <c r="F9667" t="inlineStr">
        <is>
          <t>Bình Dương</t>
        </is>
      </c>
      <c r="G9667" t="inlineStr">
        <is>
          <t>13-04-2026</t>
        </is>
      </c>
      <c r="H9667" t="inlineStr">
        <is>
          <t>13/04/2026</t>
        </is>
      </c>
      <c r="I9667" t="inlineStr">
        <is>
          <t>17/03/2026</t>
        </is>
      </c>
      <c r="J9667" t="inlineStr">
        <is>
          <t>Thương mại điện tử, Điện / Điện tử / Điện lạnh / Điện công nghiệp, Thu mua / Vật tư</t>
        </is>
      </c>
      <c r="K9667" t="inlineStr">
        <is>
          <t>4 - 8 Năm</t>
        </is>
      </c>
      <c r="L9667" s="8">
        <f>HYPERLINK("https://careerviet.vn/vi/tim-viec-lam/sourcing.35C6561F.html","Xem chi tiết")</f>
        <v/>
      </c>
    </row>
    <row r="9668">
      <c r="B9668" s="9" t="n">
        <v>9666</v>
      </c>
      <c r="C9668" s="10" t="inlineStr">
        <is>
          <t>[Bắc Giang, Bắc Ninh] - Chuyên Viên Tư Vấn Trả Góp Ô Tô</t>
        </is>
      </c>
      <c r="D9668" s="10" t="inlineStr">
        <is>
          <t>Công Ty Tài Chính Mirae Asset (Việt Nam)</t>
        </is>
      </c>
      <c r="E9668" s="10" t="inlineStr">
        <is>
          <t>Lương:17 Tr - 30 Tr VND</t>
        </is>
      </c>
      <c r="F9668" s="10" t="inlineStr">
        <is>
          <t>Bắc GiangKV Bắc Trung BộBắc Ninh</t>
        </is>
      </c>
      <c r="G9668" s="10" t="inlineStr">
        <is>
          <t>08-04-2026</t>
        </is>
      </c>
      <c r="H9668" s="10" t="inlineStr">
        <is>
          <t>08/04/2026</t>
        </is>
      </c>
      <c r="I9668" s="10" t="inlineStr">
        <is>
          <t>17/03/2026</t>
        </is>
      </c>
      <c r="J9668" s="10" t="inlineStr">
        <is>
          <t>Bán lẻ / Bán sỉ, Bán hàng / Kinh doanh, Tài chính / Đầu tư</t>
        </is>
      </c>
      <c r="K9668" s="10" t="inlineStr">
        <is>
          <t>2 - 3 Năm</t>
        </is>
      </c>
      <c r="L9668" s="11">
        <f>HYPERLINK("https://careerviet.vn/vi/tim-viec-lam/bac-giang-bac-ninh-chuyen-vien-tu-van-tra-gop-o-to.35C6BA06.html","Xem chi tiết")</f>
        <v/>
      </c>
      <c r="M9668" s="10" t="n"/>
    </row>
    <row r="9669">
      <c r="B9669" s="7" t="n">
        <v>9667</v>
      </c>
      <c r="C9669" t="inlineStr">
        <is>
          <t>Nhân viên kế toán</t>
        </is>
      </c>
      <c r="D9669" t="inlineStr">
        <is>
          <t>Công ty cổ phần văn phòng phẩm Hồng Hà</t>
        </is>
      </c>
      <c r="E9669" t="inlineStr">
        <is>
          <t>Lương:9 Tr - 12 Tr VND</t>
        </is>
      </c>
      <c r="F9669" t="inlineStr">
        <is>
          <t>Hà Nội</t>
        </is>
      </c>
      <c r="G9669" t="inlineStr">
        <is>
          <t>16-04-2026</t>
        </is>
      </c>
      <c r="H9669" t="inlineStr">
        <is>
          <t>16/04/2026</t>
        </is>
      </c>
      <c r="I9669" t="inlineStr">
        <is>
          <t>17/03/2026</t>
        </is>
      </c>
      <c r="J9669" t="inlineStr">
        <is>
          <t>Kế toán / Kiểm toán</t>
        </is>
      </c>
      <c r="K9669" t="inlineStr">
        <is>
          <t>1 - 2 Năm</t>
        </is>
      </c>
      <c r="L9669" s="8">
        <f>HYPERLINK("https://careerviet.vn/vi/tim-viec-lam/nhan-vien-ke-toan.35C6BA47.html","Xem chi tiết")</f>
        <v/>
      </c>
    </row>
    <row r="9670">
      <c r="B9670" s="9" t="n">
        <v>9668</v>
      </c>
      <c r="C9670" s="10" t="inlineStr">
        <is>
          <t>Sales Executive ( Làm việc tại Hưng Yên hoặc Hải Dương)</t>
        </is>
      </c>
      <c r="D9670" s="10" t="inlineStr">
        <is>
          <t>Công Ty TNHH SML Việt Nam</t>
        </is>
      </c>
      <c r="E9670" s="10" t="inlineStr">
        <is>
          <t>Lương:Cạnh tranh</t>
        </is>
      </c>
      <c r="F9670" s="10" t="inlineStr">
        <is>
          <t>Hải Dương</t>
        </is>
      </c>
      <c r="G9670" s="10" t="inlineStr">
        <is>
          <t>31-03-2026</t>
        </is>
      </c>
      <c r="H9670" s="10" t="inlineStr">
        <is>
          <t>31/03/2026</t>
        </is>
      </c>
      <c r="I9670" s="10" t="inlineStr">
        <is>
          <t>17/03/2026</t>
        </is>
      </c>
      <c r="J9670" s="10" t="inlineStr">
        <is>
          <t>Bán hàng / Kinh doanh, Dệt may / Da giày / Thời trang, Sản xuất / Vận hành sản xuất</t>
        </is>
      </c>
      <c r="K9670" s="10" t="inlineStr">
        <is>
          <t>N/A</t>
        </is>
      </c>
      <c r="L9670" s="11">
        <f>HYPERLINK("https://careerviet.vn/vi/tim-viec-lam/sales-executive-lam-viec-tai-hung-yen-hoac-hai-duong.35C6B9A2.html","Xem chi tiết")</f>
        <v/>
      </c>
      <c r="M9670" s="10" t="n"/>
    </row>
    <row r="9671">
      <c r="B9671" s="7" t="n">
        <v>9669</v>
      </c>
      <c r="C9671" t="inlineStr">
        <is>
          <t>[Thừa Thiên Huế] - Chuyên Viên Tư Vấn Trả Góp Ô Tô</t>
        </is>
      </c>
      <c r="D9671" t="inlineStr">
        <is>
          <t>Công Ty Tài Chính Mirae Asset (Việt Nam)</t>
        </is>
      </c>
      <c r="E9671" t="inlineStr">
        <is>
          <t>Lương:17 Tr - 30 Tr VND</t>
        </is>
      </c>
      <c r="F9671" t="inlineStr">
        <is>
          <t>Thừa Thiên- HuếKV Nam Trung Bộ</t>
        </is>
      </c>
      <c r="G9671" t="inlineStr">
        <is>
          <t>08-04-2026</t>
        </is>
      </c>
      <c r="H9671" t="inlineStr">
        <is>
          <t>08/04/2026</t>
        </is>
      </c>
      <c r="I9671" t="inlineStr">
        <is>
          <t>17/03/2026</t>
        </is>
      </c>
      <c r="J9671" t="inlineStr">
        <is>
          <t>Bán lẻ / Bán sỉ, Bán hàng / Kinh doanh, Tài chính / Đầu tư</t>
        </is>
      </c>
      <c r="K9671" t="inlineStr">
        <is>
          <t>1 - 3 Năm</t>
        </is>
      </c>
      <c r="L9671" s="8">
        <f>HYPERLINK("https://careerviet.vn/vi/tim-viec-lam/thua-thien-hue-chuyen-vien-tu-van-tra-gop-o-to.35C6B9F9.html","Xem chi tiết")</f>
        <v/>
      </c>
    </row>
    <row r="9672">
      <c r="B9672" s="9" t="n">
        <v>9670</v>
      </c>
      <c r="C9672" s="10" t="inlineStr">
        <is>
          <t>Kỹ sư Kết cấu Công trình (Khánh Hòa)</t>
        </is>
      </c>
      <c r="D9672" s="10" t="inlineStr">
        <is>
          <t>TẬP ĐOÀN HOÀN CẦU</t>
        </is>
      </c>
      <c r="E9672" s="10" t="inlineStr">
        <is>
          <t>Lương:Cạnh tranh</t>
        </is>
      </c>
      <c r="F9672" s="10" t="inlineStr">
        <is>
          <t>Khánh Hòa</t>
        </is>
      </c>
      <c r="G9672" s="10" t="inlineStr">
        <is>
          <t>31-03-2026</t>
        </is>
      </c>
      <c r="H9672" s="10" t="inlineStr">
        <is>
          <t>31/03/2026</t>
        </is>
      </c>
      <c r="I9672" s="10" t="inlineStr">
        <is>
          <t>17/03/2026</t>
        </is>
      </c>
      <c r="J9672" s="10" t="inlineStr">
        <is>
          <t>Bất động sản, Ngân hàng</t>
        </is>
      </c>
      <c r="K9672" s="10" t="inlineStr">
        <is>
          <t>3 - 5 Năm</t>
        </is>
      </c>
      <c r="L9672" s="11">
        <f>HYPERLINK("https://careerviet.vn/vi/tim-viec-lam/ky-su-ket-cau-cong-trinh-khanh-hoa.35C6B88C.html","Xem chi tiết")</f>
        <v/>
      </c>
      <c r="M9672" s="10" t="n"/>
    </row>
    <row r="9673">
      <c r="B9673" s="7" t="n">
        <v>9671</v>
      </c>
      <c r="C9673" t="inlineStr">
        <is>
          <t>Chuyên viên Tư vấn quản lý dự án</t>
        </is>
      </c>
      <c r="D9673" t="inlineStr">
        <is>
          <t>CHI NHÁNH TỔNG CÔNG TY TƯ VẤN XÂY DỰNG VIỆT NAM - CTCP</t>
        </is>
      </c>
      <c r="E9673" t="inlineStr">
        <is>
          <t>Lương:18 Tr - 25 Tr VND</t>
        </is>
      </c>
      <c r="F9673" t="inlineStr">
        <is>
          <t>Hồ Chí Minh</t>
        </is>
      </c>
      <c r="G9673" t="inlineStr">
        <is>
          <t>21-04-2026</t>
        </is>
      </c>
      <c r="H9673" t="inlineStr">
        <is>
          <t>21/04/2026</t>
        </is>
      </c>
      <c r="I9673" t="inlineStr">
        <is>
          <t>17/03/2026</t>
        </is>
      </c>
      <c r="J9673" t="inlineStr">
        <is>
          <t>Bất động sản, Quản lý điều hành, Xây dựng</t>
        </is>
      </c>
      <c r="K9673" t="inlineStr">
        <is>
          <t>5 - 8 Năm</t>
        </is>
      </c>
      <c r="L9673" s="8">
        <f>HYPERLINK("https://careerviet.vn/vi/tim-viec-lam/chuyen-vien-tu-van-quan-ly-du-an.35C6B6B4.html","Xem chi tiết")</f>
        <v/>
      </c>
    </row>
    <row r="9674">
      <c r="B9674" s="9" t="n">
        <v>9672</v>
      </c>
      <c r="C9674" s="10" t="inlineStr">
        <is>
          <t>[Quảng Nam] - Chuyên Viên Tư Vấn Trả Góp Ô Tô</t>
        </is>
      </c>
      <c r="D9674" s="10" t="inlineStr">
        <is>
          <t>Công Ty Tài Chính Mirae Asset (Việt Nam)</t>
        </is>
      </c>
      <c r="E9674" s="10" t="inlineStr">
        <is>
          <t>Lương:17 Tr - 30 Tr VND</t>
        </is>
      </c>
      <c r="F9674" s="10" t="inlineStr">
        <is>
          <t>Quảng NamKV Nam Trung Bộ</t>
        </is>
      </c>
      <c r="G9674" s="10" t="inlineStr">
        <is>
          <t>08-04-2026</t>
        </is>
      </c>
      <c r="H9674" s="10" t="inlineStr">
        <is>
          <t>08/04/2026</t>
        </is>
      </c>
      <c r="I9674" s="10" t="inlineStr">
        <is>
          <t>17/03/2026</t>
        </is>
      </c>
      <c r="J9674" s="10" t="inlineStr">
        <is>
          <t>Bán lẻ / Bán sỉ, Bán hàng / Kinh doanh, Tài chính / Đầu tư</t>
        </is>
      </c>
      <c r="K9674" s="10" t="inlineStr">
        <is>
          <t>2 - 3 Năm</t>
        </is>
      </c>
      <c r="L9674" s="11">
        <f>HYPERLINK("https://careerviet.vn/vi/tim-viec-lam/quang-nam-chuyen-vien-tu-van-tra-gop-o-to.35C6B9FD.html","Xem chi tiết")</f>
        <v/>
      </c>
      <c r="M9674" s="10" t="n"/>
    </row>
    <row r="9675">
      <c r="B9675" s="7" t="n">
        <v>9673</v>
      </c>
      <c r="C9675" t="inlineStr">
        <is>
          <t>Chuyên Viên Cấp Cao Pháp Lý</t>
        </is>
      </c>
      <c r="D9675" t="inlineStr">
        <is>
          <t>Công Ty Cổ Phần Tập Đoàn Trung Thủy</t>
        </is>
      </c>
      <c r="E9675" t="inlineStr">
        <is>
          <t>Lương:30 Tr - 35 Tr VND</t>
        </is>
      </c>
      <c r="F9675" t="inlineStr">
        <is>
          <t>Hồ Chí Minh</t>
        </is>
      </c>
      <c r="G9675" t="inlineStr">
        <is>
          <t>30-04-2026</t>
        </is>
      </c>
      <c r="H9675" t="inlineStr">
        <is>
          <t>30/04/2026</t>
        </is>
      </c>
      <c r="I9675" t="inlineStr">
        <is>
          <t>17/03/2026</t>
        </is>
      </c>
      <c r="J9675" t="inlineStr">
        <is>
          <t>Luật / Pháp lý, Bất động sản</t>
        </is>
      </c>
      <c r="K9675" t="inlineStr">
        <is>
          <t>6 - 8 Năm</t>
        </is>
      </c>
      <c r="L9675" s="8">
        <f>HYPERLINK("https://careerviet.vn/vi/tim-viec-lam/chuyen-vien-cap-cao-phap-ly.35C6B94B.html","Xem chi tiết")</f>
        <v/>
      </c>
    </row>
    <row r="9676">
      <c r="B9676" s="9" t="n">
        <v>9674</v>
      </c>
      <c r="C9676" s="10" t="inlineStr">
        <is>
          <t>Kế toán trưởng</t>
        </is>
      </c>
      <c r="D9676" s="10" t="inlineStr">
        <is>
          <t>Công Ty TNHH Hoàng Lam</t>
        </is>
      </c>
      <c r="E9676" s="10" t="inlineStr">
        <is>
          <t>Lương:30 Tr - 35 Tr VND</t>
        </is>
      </c>
      <c r="F9676" s="10" t="inlineStr">
        <is>
          <t>Hồ Chí Minh</t>
        </is>
      </c>
      <c r="G9676" s="10" t="inlineStr">
        <is>
          <t>10-04-2026</t>
        </is>
      </c>
      <c r="H9676" s="10" t="inlineStr">
        <is>
          <t>10/04/2026</t>
        </is>
      </c>
      <c r="I9676" s="10" t="inlineStr">
        <is>
          <t>17/03/2026</t>
        </is>
      </c>
      <c r="J9676" s="10" t="inlineStr">
        <is>
          <t>Kế toán / Kiểm toán, Quản lý điều hành</t>
        </is>
      </c>
      <c r="K9676" s="10" t="inlineStr">
        <is>
          <t>Chưa có kinh nghiệm</t>
        </is>
      </c>
      <c r="L9676" s="11">
        <f>HYPERLINK("https://careerviet.vn/vi/tim-viec-lam/ke-toan-truong.35C6B942.html","Xem chi tiết")</f>
        <v/>
      </c>
      <c r="M9676" s="10" t="n"/>
    </row>
    <row r="9677">
      <c r="B9677" s="7" t="n">
        <v>9675</v>
      </c>
      <c r="C9677" t="inlineStr">
        <is>
          <t>Nhân viên kỹ thuật hiện trường</t>
        </is>
      </c>
      <c r="D9677" t="inlineStr">
        <is>
          <t>CÔNG TY CỔ PHẦN THƯƠNG MẠI DỊCH VỤ  PCCC HÀ THÀNH</t>
        </is>
      </c>
      <c r="E9677" t="inlineStr">
        <is>
          <t>Lương:Cạnh tranh</t>
        </is>
      </c>
      <c r="F9677" t="inlineStr">
        <is>
          <t>Hà Nội</t>
        </is>
      </c>
      <c r="G9677" t="inlineStr">
        <is>
          <t>10-04-2026</t>
        </is>
      </c>
      <c r="H9677" t="inlineStr">
        <is>
          <t>10/04/2026</t>
        </is>
      </c>
      <c r="I9677" t="inlineStr">
        <is>
          <t>17/03/2026</t>
        </is>
      </c>
      <c r="J9677" t="inlineStr">
        <is>
          <t>Xây dựng</t>
        </is>
      </c>
      <c r="K9677" t="inlineStr">
        <is>
          <t>Trên 1 Năm</t>
        </is>
      </c>
      <c r="L9677" s="8">
        <f>HYPERLINK("https://careerviet.vn/vi/tim-viec-lam/nhan-vien-ky-thuat-hien-truong.35C6B9F8.html","Xem chi tiết")</f>
        <v/>
      </c>
    </row>
    <row r="9678">
      <c r="B9678" s="9" t="n">
        <v>9676</v>
      </c>
      <c r="C9678" s="10" t="inlineStr">
        <is>
          <t>Nhân viên dự toán đấu thầu</t>
        </is>
      </c>
      <c r="D9678" s="10" t="inlineStr">
        <is>
          <t>CÔNG TY CỔ PHẦN THƯƠNG MẠI DỊCH VỤ  PCCC HÀ THÀNH</t>
        </is>
      </c>
      <c r="E9678" s="10" t="inlineStr">
        <is>
          <t>Lương:Cạnh tranh</t>
        </is>
      </c>
      <c r="F9678" s="10" t="inlineStr">
        <is>
          <t>Hà Nội</t>
        </is>
      </c>
      <c r="G9678" s="10" t="inlineStr">
        <is>
          <t>04-04-2026</t>
        </is>
      </c>
      <c r="H9678" s="10" t="inlineStr">
        <is>
          <t>04/04/2026</t>
        </is>
      </c>
      <c r="I9678" s="10" t="inlineStr">
        <is>
          <t>17/03/2026</t>
        </is>
      </c>
      <c r="J9678" s="10" t="inlineStr">
        <is>
          <t>Xây dựng</t>
        </is>
      </c>
      <c r="K9678" s="10" t="inlineStr">
        <is>
          <t>1 - 2 Năm</t>
        </is>
      </c>
      <c r="L9678" s="11">
        <f>HYPERLINK("https://careerviet.vn/vi/tim-viec-lam/nhan-vien-du-toan-dau-thau.35C6B9F2.html","Xem chi tiết")</f>
        <v/>
      </c>
      <c r="M9678" s="10" t="n"/>
    </row>
    <row r="9679">
      <c r="B9679" s="7" t="n">
        <v>9677</v>
      </c>
      <c r="C9679" t="inlineStr">
        <is>
          <t>Chuyên viên Ecommerce</t>
        </is>
      </c>
      <c r="D9679" t="inlineStr">
        <is>
          <t>Công ty cổ phần Anvy</t>
        </is>
      </c>
      <c r="E9679" t="inlineStr">
        <is>
          <t>Lương:12 Tr - 15 Tr VND</t>
        </is>
      </c>
      <c r="F9679" t="inlineStr">
        <is>
          <t>Hà Nội</t>
        </is>
      </c>
      <c r="G9679" t="inlineStr">
        <is>
          <t>10-04-2026</t>
        </is>
      </c>
      <c r="H9679" t="inlineStr">
        <is>
          <t>10/04/2026</t>
        </is>
      </c>
      <c r="I9679" t="inlineStr">
        <is>
          <t>17/03/2026</t>
        </is>
      </c>
      <c r="J9679" t="inlineStr">
        <is>
          <t>Tiếp thị / Marketing, Quảng cáo / Đối ngoại / Truyền Thông, Thương mại điện tử</t>
        </is>
      </c>
      <c r="K9679" t="inlineStr">
        <is>
          <t>1 - 3 Năm</t>
        </is>
      </c>
      <c r="L9679" s="8">
        <f>HYPERLINK("https://careerviet.vn/vi/tim-viec-lam/chuyen-vien-ecommerce.35C6B9C1.html","Xem chi tiết")</f>
        <v/>
      </c>
    </row>
    <row r="9680">
      <c r="B9680" s="9" t="n">
        <v>9678</v>
      </c>
      <c r="C9680" s="10" t="inlineStr">
        <is>
          <t>Phó Phòng Dự Án Và Quản Lý Đối Tác Kênh Xe Máy / Doanh Nghiệp (Phòng Cho Vay Trả Góp)</t>
        </is>
      </c>
      <c r="D9680" s="10" t="inlineStr">
        <is>
          <t>Công Ty Tài Chính Mirae Asset (Việt Nam)</t>
        </is>
      </c>
      <c r="E9680" s="10" t="inlineStr">
        <is>
          <t>Lương:Cạnh tranh</t>
        </is>
      </c>
      <c r="F9680" s="10" t="inlineStr">
        <is>
          <t>Hà NộiHồ Chí Minh</t>
        </is>
      </c>
      <c r="G9680" s="10" t="inlineStr">
        <is>
          <t>08-04-2026</t>
        </is>
      </c>
      <c r="H9680" s="10" t="inlineStr">
        <is>
          <t>08/04/2026</t>
        </is>
      </c>
      <c r="I9680" s="10" t="inlineStr">
        <is>
          <t>17/03/2026</t>
        </is>
      </c>
      <c r="J9680" s="10" t="inlineStr">
        <is>
          <t>Ngân hàng, Tài chính / Đầu tư, Quảng cáo / Đối ngoại / Truyền Thông</t>
        </is>
      </c>
      <c r="K9680" s="10" t="inlineStr">
        <is>
          <t>2 - 5 Năm</t>
        </is>
      </c>
      <c r="L9680" s="11">
        <f>HYPERLINK("https://careerviet.vn/vi/tim-viec-lam/pho-phong-du-an-va-quan-ly-doi-tac-kenh-xe-may-doanh-nghiep-phong-cho-vay-tra-gop.35C6BA2F.html","Xem chi tiết")</f>
        <v/>
      </c>
      <c r="M9680" s="10" t="n"/>
    </row>
    <row r="9681">
      <c r="B9681" s="7" t="n">
        <v>9679</v>
      </c>
      <c r="C9681" t="inlineStr">
        <is>
          <t>Nhân Viên Kế Toán Kho</t>
        </is>
      </c>
      <c r="D9681" t="inlineStr">
        <is>
          <t>Công ty TNHH Ong Mật Tracybee</t>
        </is>
      </c>
      <c r="E9681" t="inlineStr">
        <is>
          <t>Lương:10 Tr - 15 Tr VND</t>
        </is>
      </c>
      <c r="F9681" t="inlineStr">
        <is>
          <t>Hồ Chí Minh</t>
        </is>
      </c>
      <c r="G9681" t="inlineStr">
        <is>
          <t>09-04-2026</t>
        </is>
      </c>
      <c r="H9681" t="inlineStr">
        <is>
          <t>09/04/2026</t>
        </is>
      </c>
      <c r="I9681" t="inlineStr">
        <is>
          <t>17/03/2026</t>
        </is>
      </c>
      <c r="J9681" t="inlineStr">
        <is>
          <t>Kế toán / Kiểm toán, Vận chuyển / Giao nhận / Kho vận, Tài chính / Đầu tư</t>
        </is>
      </c>
      <c r="K9681" t="inlineStr">
        <is>
          <t>Lên đến 1 Năm</t>
        </is>
      </c>
      <c r="L9681" s="8">
        <f>HYPERLINK("https://careerviet.vn/vi/tim-viec-lam/nhan-vien-ke-toan-kho.35C6BA17.html","Xem chi tiết")</f>
        <v/>
      </c>
    </row>
    <row r="9682">
      <c r="B9682" s="9" t="n">
        <v>9680</v>
      </c>
      <c r="C9682" s="10" t="inlineStr">
        <is>
          <t>Trưởng phòng Nghiên cứu phát triển sản phẩm (Thực phẩm)</t>
        </is>
      </c>
      <c r="D9682" s="10" t="inlineStr">
        <is>
          <t>CÔNG TY CỔ PHẦN HCT FAMILY FOOD</t>
        </is>
      </c>
      <c r="E9682" s="10" t="inlineStr">
        <is>
          <t>Lương:Cạnh tranh</t>
        </is>
      </c>
      <c r="F9682" s="10" t="inlineStr">
        <is>
          <t>Long AnHồ Chí Minh</t>
        </is>
      </c>
      <c r="G9682" s="10" t="inlineStr">
        <is>
          <t>09-04-2026</t>
        </is>
      </c>
      <c r="H9682" s="10" t="inlineStr">
        <is>
          <t>09/04/2026</t>
        </is>
      </c>
      <c r="I9682" s="10" t="inlineStr">
        <is>
          <t>17/03/2026</t>
        </is>
      </c>
      <c r="J9682" s="10" t="inlineStr">
        <is>
          <t>Thực phẩm &amp; Đồ uống, Sản xuất / Vận hành sản xuất, Công nghệ thực phẩm / Dinh dưỡng</t>
        </is>
      </c>
      <c r="K9682" s="10" t="inlineStr">
        <is>
          <t>3 - 5 Năm</t>
        </is>
      </c>
      <c r="L9682" s="11">
        <f>HYPERLINK("https://careerviet.vn/vi/tim-viec-lam/truong-phong-nghien-cuu-phat-trien-san-pham-thuc-pham.35C6B78D.html","Xem chi tiết")</f>
        <v/>
      </c>
      <c r="M9682" s="10" t="n"/>
    </row>
    <row r="9683">
      <c r="B9683" s="7" t="n">
        <v>9681</v>
      </c>
      <c r="C9683" t="inlineStr">
        <is>
          <t>Trưởng Nhóm Tích Hợp Hệ Thống</t>
        </is>
      </c>
      <c r="D9683" t="inlineStr">
        <is>
          <t>Công ty cổ phần Công nghệ Mạng và Truyền thông</t>
        </is>
      </c>
      <c r="E9683" t="inlineStr">
        <is>
          <t>Lương:Lên đến 55 Tr VND</t>
        </is>
      </c>
      <c r="F9683" t="inlineStr">
        <is>
          <t>Hà Nội</t>
        </is>
      </c>
      <c r="G9683" t="inlineStr">
        <is>
          <t>09-04-2026</t>
        </is>
      </c>
      <c r="H9683" t="inlineStr">
        <is>
          <t>09/04/2026</t>
        </is>
      </c>
      <c r="I9683" t="inlineStr">
        <is>
          <t>17/03/2026</t>
        </is>
      </c>
      <c r="J9683" t="inlineStr">
        <is>
          <t>CNTT - Phần mềm, CNTT - Phần cứng / Mạng, Bưu chính viễn thông</t>
        </is>
      </c>
      <c r="K9683" t="inlineStr">
        <is>
          <t>3 - 5 Năm</t>
        </is>
      </c>
      <c r="L9683" s="8">
        <f>HYPERLINK("https://careerviet.vn/vi/tim-viec-lam/truong-nhom-tich-hop-he-thong.35C6B9AA.html","Xem chi tiết")</f>
        <v/>
      </c>
    </row>
    <row r="9684">
      <c r="B9684" s="9" t="n">
        <v>9682</v>
      </c>
      <c r="C9684" s="10" t="inlineStr">
        <is>
          <t>Nhân viên Lái xe - Giao hàng</t>
        </is>
      </c>
      <c r="D9684" s="10" t="inlineStr">
        <is>
          <t>Công Ty CP XNK Hóa Chất &amp; Thiết Bị Kim Ngưu</t>
        </is>
      </c>
      <c r="E9684" s="10" t="inlineStr">
        <is>
          <t>Lương:8 Tr - 12 Tr VND</t>
        </is>
      </c>
      <c r="F9684" s="10" t="inlineStr">
        <is>
          <t>Hồ Chí Minh</t>
        </is>
      </c>
      <c r="G9684" s="10" t="inlineStr">
        <is>
          <t>30-05-2026</t>
        </is>
      </c>
      <c r="H9684" s="10" t="inlineStr">
        <is>
          <t>30/05/2026</t>
        </is>
      </c>
      <c r="I9684" s="10" t="inlineStr">
        <is>
          <t>17/03/2026</t>
        </is>
      </c>
      <c r="J9684" s="10" t="inlineStr">
        <is>
          <t>Vận chuyển / Giao nhận / Kho vận</t>
        </is>
      </c>
      <c r="K9684" s="10" t="inlineStr">
        <is>
          <t>2 - 5 Năm</t>
        </is>
      </c>
      <c r="L9684" s="11">
        <f>HYPERLINK("https://careerviet.vn/vi/tim-viec-lam/nhan-vien-lai-xe-giao-hang.35C6B9C5.html","Xem chi tiết")</f>
        <v/>
      </c>
      <c r="M9684" s="10" t="n"/>
    </row>
    <row r="9685">
      <c r="B9685" s="7" t="n">
        <v>9683</v>
      </c>
      <c r="C9685" t="inlineStr">
        <is>
          <t>[PGD Cù Lao Dung] Chuyên viên Quan hệ Khách hàng cá nhân Priority</t>
        </is>
      </c>
      <c r="D9685" t="inlineStr">
        <is>
          <t>Ngân hàng TMCP Lộc Phát Việt Nam (LPBank)</t>
        </is>
      </c>
      <c r="E9685" t="inlineStr">
        <is>
          <t>Lương:Cạnh tranh</t>
        </is>
      </c>
      <c r="F9685" t="inlineStr">
        <is>
          <t>Sóc Trăng</t>
        </is>
      </c>
      <c r="G9685" t="inlineStr">
        <is>
          <t>21-04-2026</t>
        </is>
      </c>
      <c r="H9685" t="inlineStr">
        <is>
          <t>21/04/2026</t>
        </is>
      </c>
      <c r="I9685" t="inlineStr">
        <is>
          <t>17/03/2026</t>
        </is>
      </c>
      <c r="J9685" t="inlineStr">
        <is>
          <t>Bảo hiểm, Bất động sản, Bán hàng / Kinh doanh</t>
        </is>
      </c>
      <c r="K9685" t="inlineStr">
        <is>
          <t>Trên 1 Năm</t>
        </is>
      </c>
      <c r="L9685" s="8">
        <f>HYPERLINK("https://careerviet.vn/vi/tim-viec-lam/pgd-cu-lao-dung-chuyen-vien-quan-he-khach-hang-ca-nhan-priority.35C6B9C4.html","Xem chi tiết")</f>
        <v/>
      </c>
    </row>
    <row r="9686">
      <c r="B9686" s="9" t="n">
        <v>9684</v>
      </c>
      <c r="C9686" s="10" t="inlineStr">
        <is>
          <t>Kế Toán Tổng Hợp</t>
        </is>
      </c>
      <c r="D9686" s="10" t="inlineStr">
        <is>
          <t>CÔNG TY TNHH SẢN XUẤT VÀ THƯƠNG MẠI THỰC PHẨM LÀNH MẠNH</t>
        </is>
      </c>
      <c r="E9686" s="10" t="inlineStr">
        <is>
          <t>Lương:13 Tr - 18 Tr VND</t>
        </is>
      </c>
      <c r="F9686" s="10" t="inlineStr">
        <is>
          <t>Hà Nội</t>
        </is>
      </c>
      <c r="G9686" s="10" t="inlineStr">
        <is>
          <t>31-03-2026</t>
        </is>
      </c>
      <c r="H9686" s="10" t="inlineStr">
        <is>
          <t>31/03/2026</t>
        </is>
      </c>
      <c r="I9686" s="10" t="inlineStr">
        <is>
          <t>17/03/2026</t>
        </is>
      </c>
      <c r="J9686" s="10" t="inlineStr">
        <is>
          <t>Kế toán / Kiểm toán, Bán hàng / Kinh doanh, Tài chính / Đầu tư</t>
        </is>
      </c>
      <c r="K9686" s="10" t="inlineStr">
        <is>
          <t>2 - 3 Năm</t>
        </is>
      </c>
      <c r="L9686" s="11">
        <f>HYPERLINK("https://careerviet.vn/vi/tim-viec-lam/ke-toan-tong-hop.35C6B902.html","Xem chi tiết")</f>
        <v/>
      </c>
      <c r="M9686" s="10" t="n"/>
    </row>
    <row r="9687">
      <c r="B9687" s="7" t="n">
        <v>9685</v>
      </c>
      <c r="C9687" t="inlineStr">
        <is>
          <t>[Thanh Hóa] - Chuyên Viên Tư Vấn Trả Góp Ô Tô</t>
        </is>
      </c>
      <c r="D9687" t="inlineStr">
        <is>
          <t>Công Ty Tài Chính Mirae Asset (Việt Nam)</t>
        </is>
      </c>
      <c r="E9687" t="inlineStr">
        <is>
          <t>Lương:17 Tr - 50 Tr VND</t>
        </is>
      </c>
      <c r="F9687" t="inlineStr">
        <is>
          <t>Thanh HóaKV Bắc Trung Bộ</t>
        </is>
      </c>
      <c r="G9687" t="inlineStr">
        <is>
          <t>08-04-2026</t>
        </is>
      </c>
      <c r="H9687" t="inlineStr">
        <is>
          <t>08/04/2026</t>
        </is>
      </c>
      <c r="I9687" t="inlineStr">
        <is>
          <t>17/03/2026</t>
        </is>
      </c>
      <c r="J9687" t="inlineStr">
        <is>
          <t>Bán lẻ / Bán sỉ, Bán hàng / Kinh doanh, Tài chính / Đầu tư</t>
        </is>
      </c>
      <c r="K9687" t="inlineStr">
        <is>
          <t>2 - 3 Năm</t>
        </is>
      </c>
      <c r="L9687" s="8">
        <f>HYPERLINK("https://careerviet.vn/vi/tim-viec-lam/thanh-hoa-chuyen-vien-tu-van-tra-gop-o-to.35C6BA2D.html","Xem chi tiết")</f>
        <v/>
      </c>
    </row>
    <row r="9688">
      <c r="B9688" s="9" t="n">
        <v>9686</v>
      </c>
      <c r="C9688" s="10" t="inlineStr">
        <is>
          <t>CHUYÊN VIÊN CÔNG NGHỆ THÔNG TIN (LÀM VIỆC TẠI NINH THUẬN)</t>
        </is>
      </c>
      <c r="D9688" s="10" t="inlineStr">
        <is>
          <t>SABECO - Saigon Beer-Alcohol-Beverage Corporation</t>
        </is>
      </c>
      <c r="E9688" s="10" t="inlineStr">
        <is>
          <t>Lương:Cạnh tranh</t>
        </is>
      </c>
      <c r="F9688" s="10" t="inlineStr">
        <is>
          <t>Ninh Thuận</t>
        </is>
      </c>
      <c r="G9688" s="10" t="inlineStr">
        <is>
          <t>08-04-2026</t>
        </is>
      </c>
      <c r="H9688" s="10" t="inlineStr">
        <is>
          <t>08/04/2026</t>
        </is>
      </c>
      <c r="I9688" s="10" t="inlineStr">
        <is>
          <t>17/03/2026</t>
        </is>
      </c>
      <c r="J9688" s="10" t="inlineStr">
        <is>
          <t>CNTT - Phần cứng / Mạng</t>
        </is>
      </c>
      <c r="K9688" s="10" t="inlineStr">
        <is>
          <t>2 - 3 Năm</t>
        </is>
      </c>
      <c r="L9688" s="11">
        <f>HYPERLINK("https://careerviet.vn/vi/tim-viec-lam/chuyen-vien-cong-nghe-thong-tin-lam-viec-tai-ninh-thuan.35C6B841.html","Xem chi tiết")</f>
        <v/>
      </c>
      <c r="M9688" s="10" t="n"/>
    </row>
    <row r="9689">
      <c r="B9689" s="7" t="n">
        <v>9687</v>
      </c>
      <c r="C9689" t="inlineStr">
        <is>
          <t>Kỹ sư kinh tế xây dựng</t>
        </is>
      </c>
      <c r="D9689" t="inlineStr">
        <is>
          <t>Công ty cổ phần Tập đoàn Danko</t>
        </is>
      </c>
      <c r="E9689" t="inlineStr">
        <is>
          <t>Lương:22 Tr - 26 Tr VND</t>
        </is>
      </c>
      <c r="F9689" t="inlineStr">
        <is>
          <t>Hà Nội</t>
        </is>
      </c>
      <c r="G9689" t="inlineStr">
        <is>
          <t>22-04-2026</t>
        </is>
      </c>
      <c r="H9689" t="inlineStr">
        <is>
          <t>22/04/2026</t>
        </is>
      </c>
      <c r="I9689" t="inlineStr">
        <is>
          <t>17/03/2026</t>
        </is>
      </c>
      <c r="J9689" t="inlineStr">
        <is>
          <t>Kiến trúc, Xây dựng</t>
        </is>
      </c>
      <c r="K9689" t="inlineStr">
        <is>
          <t>Trên 5 Năm</t>
        </is>
      </c>
      <c r="L9689" s="8">
        <f>HYPERLINK("https://careerviet.vn/vi/tim-viec-lam/ky-su-kinh-te-xay-dung.35C6B979.html","Xem chi tiết")</f>
        <v/>
      </c>
    </row>
    <row r="9690">
      <c r="B9690" s="9" t="n">
        <v>9688</v>
      </c>
      <c r="C9690" s="10" t="inlineStr">
        <is>
          <t>Kỹ Sư Mạng Bảo Mật</t>
        </is>
      </c>
      <c r="D9690" s="10" t="inlineStr">
        <is>
          <t>Công ty cổ phần Công nghệ Mạng và Truyền thông</t>
        </is>
      </c>
      <c r="E9690" s="10" t="inlineStr">
        <is>
          <t>Lương:Lên đến 45 Tr VND</t>
        </is>
      </c>
      <c r="F9690" s="10" t="inlineStr">
        <is>
          <t>Hà Nội</t>
        </is>
      </c>
      <c r="G9690" s="10" t="inlineStr">
        <is>
          <t>09-04-2026</t>
        </is>
      </c>
      <c r="H9690" s="10" t="inlineStr">
        <is>
          <t>09/04/2026</t>
        </is>
      </c>
      <c r="I9690" s="10" t="inlineStr">
        <is>
          <t>17/03/2026</t>
        </is>
      </c>
      <c r="J9690" s="10" t="inlineStr">
        <is>
          <t>CNTT - Phần mềm, CNTT - Phần cứng / Mạng, Bưu chính viễn thông</t>
        </is>
      </c>
      <c r="K9690" s="10" t="inlineStr">
        <is>
          <t>N/A</t>
        </is>
      </c>
      <c r="L9690" s="11">
        <f>HYPERLINK("https://careerviet.vn/vi/tim-viec-lam/ky-su-mang-bao-mat.35C6B9AB.html","Xem chi tiết")</f>
        <v/>
      </c>
      <c r="M9690" s="10" t="n"/>
    </row>
    <row r="9691">
      <c r="B9691" s="7" t="n">
        <v>9689</v>
      </c>
      <c r="C9691" t="inlineStr">
        <is>
          <t>Trưởng Nhóm Tích Hợp Mạng &amp; Bảo Mật</t>
        </is>
      </c>
      <c r="D9691" t="inlineStr">
        <is>
          <t>Công ty cổ phần Công nghệ Mạng và Truyền thông</t>
        </is>
      </c>
      <c r="E9691" t="inlineStr">
        <is>
          <t>Lương:Lên đến 55 Tr VND</t>
        </is>
      </c>
      <c r="F9691" t="inlineStr">
        <is>
          <t>Hà Nội</t>
        </is>
      </c>
      <c r="G9691" t="inlineStr">
        <is>
          <t>09-04-2026</t>
        </is>
      </c>
      <c r="H9691" t="inlineStr">
        <is>
          <t>09/04/2026</t>
        </is>
      </c>
      <c r="I9691" t="inlineStr">
        <is>
          <t>17/03/2026</t>
        </is>
      </c>
      <c r="J9691" t="inlineStr">
        <is>
          <t>CNTT - Phần mềm, CNTT - Phần cứng / Mạng, Bưu chính viễn thông</t>
        </is>
      </c>
      <c r="K9691" t="inlineStr">
        <is>
          <t>3 - 5 Năm</t>
        </is>
      </c>
      <c r="L9691" s="8">
        <f>HYPERLINK("https://careerviet.vn/vi/tim-viec-lam/truong-nhom-tich-hop-mang-bao-mat.35C6B9A0.html","Xem chi tiết")</f>
        <v/>
      </c>
    </row>
    <row r="9692">
      <c r="B9692" s="9" t="n">
        <v>9690</v>
      </c>
      <c r="C9692" s="10" t="inlineStr">
        <is>
          <t>Nhân Viên Thu Mua</t>
        </is>
      </c>
      <c r="D9692" s="10" t="inlineStr">
        <is>
          <t>CÔNG TY TNHH SX-TM HÀNH MỸ</t>
        </is>
      </c>
      <c r="E9692" s="10" t="inlineStr">
        <is>
          <t>Lương:9 Tr - 12 Tr VND</t>
        </is>
      </c>
      <c r="F9692" s="10" t="inlineStr">
        <is>
          <t>Long An</t>
        </is>
      </c>
      <c r="G9692" s="10" t="inlineStr">
        <is>
          <t>12-04-2026</t>
        </is>
      </c>
      <c r="H9692" s="10" t="inlineStr">
        <is>
          <t>12/04/2026</t>
        </is>
      </c>
      <c r="I9692" s="10" t="inlineStr">
        <is>
          <t>17/03/2026</t>
        </is>
      </c>
      <c r="J9692" s="10" t="inlineStr">
        <is>
          <t>Kế toán / Kiểm toán, Đồ gỗ, Thu mua / Vật tư</t>
        </is>
      </c>
      <c r="K9692" s="10" t="inlineStr">
        <is>
          <t>1 - 2 Năm</t>
        </is>
      </c>
      <c r="L9692" s="11">
        <f>HYPERLINK("https://careerviet.vn/vi/tim-viec-lam/nhan-vien-thu-mua.35C6B884.html","Xem chi tiết")</f>
        <v/>
      </c>
      <c r="M9692" s="10" t="n"/>
    </row>
    <row r="9693">
      <c r="B9693" s="7" t="n">
        <v>9691</v>
      </c>
      <c r="C9693" t="inlineStr">
        <is>
          <t>[PGD Chợ Lách] Chuyên viên Quan hệ Khách hàng cá nhân Priority</t>
        </is>
      </c>
      <c r="D9693" t="inlineStr">
        <is>
          <t>Ngân hàng TMCP Lộc Phát Việt Nam (LPBank)</t>
        </is>
      </c>
      <c r="E9693" t="inlineStr">
        <is>
          <t>Lương:Cạnh tranh</t>
        </is>
      </c>
      <c r="F9693" t="inlineStr">
        <is>
          <t>Bến Tre</t>
        </is>
      </c>
      <c r="G9693" t="inlineStr">
        <is>
          <t>21-04-2026</t>
        </is>
      </c>
      <c r="H9693" t="inlineStr">
        <is>
          <t>21/04/2026</t>
        </is>
      </c>
      <c r="I9693" t="inlineStr">
        <is>
          <t>17/03/2026</t>
        </is>
      </c>
      <c r="J9693" t="inlineStr">
        <is>
          <t>Bảo hiểm, Bất động sản, Bán hàng / Kinh doanh</t>
        </is>
      </c>
      <c r="K9693" t="inlineStr">
        <is>
          <t>Trên 1 Năm</t>
        </is>
      </c>
      <c r="L9693" s="8">
        <f>HYPERLINK("https://careerviet.vn/vi/tim-viec-lam/pgd-cho-lach-chuyen-vien-quan-he-khach-hang-ca-nhan-priority.35C6B990.html","Xem chi tiết")</f>
        <v/>
      </c>
    </row>
    <row r="9694">
      <c r="B9694" s="9" t="n">
        <v>9692</v>
      </c>
      <c r="C9694" s="10" t="inlineStr">
        <is>
          <t>Kỹ sư R&amp;D (Kỹ thuật hóa học, Nhựa PP)</t>
        </is>
      </c>
      <c r="D9694" s="10" t="inlineStr">
        <is>
          <t>Công ty Cổ phần Casla</t>
        </is>
      </c>
      <c r="E9694" s="10" t="inlineStr">
        <is>
          <t>Lương:18 Tr - 23 Tr VND</t>
        </is>
      </c>
      <c r="F9694" s="10" t="inlineStr">
        <is>
          <t>Hà NộiHà Nam</t>
        </is>
      </c>
      <c r="G9694" s="10" t="inlineStr">
        <is>
          <t>31-03-2026</t>
        </is>
      </c>
      <c r="H9694" s="10" t="inlineStr">
        <is>
          <t>31/03/2026</t>
        </is>
      </c>
      <c r="I9694" s="10" t="inlineStr">
        <is>
          <t>17/03/2026</t>
        </is>
      </c>
      <c r="J9694" s="10" t="inlineStr">
        <is>
          <t>Dầu khí, Hóa học, Sản xuất / Vận hành sản xuất</t>
        </is>
      </c>
      <c r="K9694" s="10" t="inlineStr">
        <is>
          <t>2 - 7 Năm</t>
        </is>
      </c>
      <c r="L9694" s="11">
        <f>HYPERLINK("https://careerviet.vn/vi/tim-viec-lam/ky-su-r-d-ky-thuat-hoa-hoc-nhua-pp.35C6B968.html","Xem chi tiết")</f>
        <v/>
      </c>
      <c r="M9694" s="10" t="n"/>
    </row>
    <row r="9695">
      <c r="B9695" s="7" t="n">
        <v>9693</v>
      </c>
      <c r="C9695" t="inlineStr">
        <is>
          <t>[Hà Nội]Nhân viên kế toán nội bộ</t>
        </is>
      </c>
      <c r="D9695" t="inlineStr">
        <is>
          <t>Tập Đoàn Tân Á Đại Thành</t>
        </is>
      </c>
      <c r="E9695" t="inlineStr">
        <is>
          <t>Lương:10 Tr - 11 Tr VND</t>
        </is>
      </c>
      <c r="F9695" t="inlineStr">
        <is>
          <t>Hà Nội</t>
        </is>
      </c>
      <c r="G9695" t="inlineStr">
        <is>
          <t>31-03-2026</t>
        </is>
      </c>
      <c r="H9695" t="inlineStr">
        <is>
          <t>31/03/2026</t>
        </is>
      </c>
      <c r="I9695" t="inlineStr">
        <is>
          <t>17/03/2026</t>
        </is>
      </c>
      <c r="J9695" t="inlineStr">
        <is>
          <t>Kế toán / Kiểm toán</t>
        </is>
      </c>
      <c r="K9695" t="inlineStr">
        <is>
          <t>1 - 2 Năm</t>
        </is>
      </c>
      <c r="L9695" s="8">
        <f>HYPERLINK("https://careerviet.vn/vi/tim-viec-lam/ha-noi-nhan-vien-ke-toan-noi-bo.35C6B98C.html","Xem chi tiết")</f>
        <v/>
      </c>
    </row>
    <row r="9696">
      <c r="B9696" s="9" t="n">
        <v>9694</v>
      </c>
      <c r="C9696" s="10" t="inlineStr">
        <is>
          <t>ADMIN &amp; HR OFFICER</t>
        </is>
      </c>
      <c r="D9696" s="10" t="inlineStr">
        <is>
          <t>Công Ty TNHH Yokohama Tyre Việt Nam</t>
        </is>
      </c>
      <c r="E9696" s="10" t="inlineStr">
        <is>
          <t>Lương:Cạnh tranh</t>
        </is>
      </c>
      <c r="F9696" s="10" t="inlineStr">
        <is>
          <t>Bình Dương</t>
        </is>
      </c>
      <c r="G9696" s="10" t="inlineStr">
        <is>
          <t>31-03-2026</t>
        </is>
      </c>
      <c r="H9696" s="10" t="inlineStr">
        <is>
          <t>31/03/2026</t>
        </is>
      </c>
      <c r="I9696" s="10" t="inlineStr">
        <is>
          <t>17/03/2026</t>
        </is>
      </c>
      <c r="J9696" s="10" t="inlineStr">
        <is>
          <t>Hành chính / Thư ký</t>
        </is>
      </c>
      <c r="K9696" s="10" t="inlineStr">
        <is>
          <t>Lên đến 1 Năm</t>
        </is>
      </c>
      <c r="L9696" s="11">
        <f>HYPERLINK("https://careerviet.vn/vi/tim-viec-lam/admin-hr-officer.35C6B6CF.html","Xem chi tiết")</f>
        <v/>
      </c>
      <c r="M9696" s="10" t="n"/>
    </row>
    <row r="9697">
      <c r="B9697" s="7" t="n">
        <v>9695</v>
      </c>
      <c r="C9697" t="inlineStr">
        <is>
          <t>Chuyên viên chính -  Giám sát xây dựng cơ bản</t>
        </is>
      </c>
      <c r="D9697" t="inlineStr">
        <is>
          <t>CÔNG TY CỔ PHẦN KINH DOANH F88</t>
        </is>
      </c>
      <c r="E9697" t="inlineStr">
        <is>
          <t>Lương:Cạnh tranh</t>
        </is>
      </c>
      <c r="F9697" t="inlineStr">
        <is>
          <t>Hà Nội</t>
        </is>
      </c>
      <c r="G9697" t="inlineStr">
        <is>
          <t>30-04-2026</t>
        </is>
      </c>
      <c r="H9697" t="inlineStr">
        <is>
          <t>30/04/2026</t>
        </is>
      </c>
      <c r="I9697" t="inlineStr">
        <is>
          <t>17/03/2026</t>
        </is>
      </c>
      <c r="J9697" t="inlineStr">
        <is>
          <t>Xây dựng, Kiến trúc, Bất động sản</t>
        </is>
      </c>
      <c r="K9697" t="inlineStr">
        <is>
          <t>3 - 4 Năm</t>
        </is>
      </c>
      <c r="L9697" s="8">
        <f>HYPERLINK("https://careerviet.vn/vi/tim-viec-lam/chuyen-vien-chinh-giam-sat-xay-dung-co-ban.35C6B506.html","Xem chi tiết")</f>
        <v/>
      </c>
    </row>
    <row r="9698">
      <c r="B9698" s="9" t="n">
        <v>9696</v>
      </c>
      <c r="C9698" s="10" t="inlineStr">
        <is>
          <t>Nhân viên xuất nhập khẩu (tiếng Trung)</t>
        </is>
      </c>
      <c r="D9698" s="10" t="inlineStr">
        <is>
          <t>CÔNG TY TNHH QISDA VIỆT NAM</t>
        </is>
      </c>
      <c r="E9698" s="10" t="inlineStr">
        <is>
          <t>Lương:10 Tr - 18 Tr VND</t>
        </is>
      </c>
      <c r="F9698" s="10" t="inlineStr">
        <is>
          <t>Hà Nam</t>
        </is>
      </c>
      <c r="G9698" s="10" t="inlineStr">
        <is>
          <t>10-04-2026</t>
        </is>
      </c>
      <c r="H9698" s="10" t="inlineStr">
        <is>
          <t>10/04/2026</t>
        </is>
      </c>
      <c r="I9698" s="10" t="inlineStr">
        <is>
          <t>17/03/2026</t>
        </is>
      </c>
      <c r="J9698" s="10" t="inlineStr">
        <is>
          <t>Xuất nhập khẩu</t>
        </is>
      </c>
      <c r="K9698" s="10" t="inlineStr">
        <is>
          <t>2 - 5 Năm</t>
        </is>
      </c>
      <c r="L9698" s="11">
        <f>HYPERLINK("https://careerviet.vn/vi/tim-viec-lam/nhan-vien-xuat-nhap-khau-tieng-trung.35C6B89E.html","Xem chi tiết")</f>
        <v/>
      </c>
      <c r="M9698" s="10" t="n"/>
    </row>
    <row r="9699">
      <c r="B9699" s="7" t="n">
        <v>9697</v>
      </c>
      <c r="C9699" t="inlineStr">
        <is>
          <t>Kiến trúc sư Quy hoạch (Khánh Hòa)</t>
        </is>
      </c>
      <c r="D9699" t="inlineStr">
        <is>
          <t>TẬP ĐOÀN HOÀN CẦU</t>
        </is>
      </c>
      <c r="E9699" t="inlineStr">
        <is>
          <t>Lương:Cạnh tranh</t>
        </is>
      </c>
      <c r="F9699" t="inlineStr">
        <is>
          <t>Khánh Hòa</t>
        </is>
      </c>
      <c r="G9699" t="inlineStr">
        <is>
          <t>31-03-2026</t>
        </is>
      </c>
      <c r="H9699" t="inlineStr">
        <is>
          <t>31/03/2026</t>
        </is>
      </c>
      <c r="I9699" t="inlineStr">
        <is>
          <t>17/03/2026</t>
        </is>
      </c>
      <c r="J9699" t="inlineStr">
        <is>
          <t>Kiến trúc, Bất động sản, Ngân hàng</t>
        </is>
      </c>
      <c r="K9699" t="inlineStr">
        <is>
          <t>5 - 7 Năm</t>
        </is>
      </c>
      <c r="L9699" s="8">
        <f>HYPERLINK("https://careerviet.vn/vi/tim-viec-lam/kien-truc-su-quy-hoach-khanh-hoa.35C6B855.html","Xem chi tiết")</f>
        <v/>
      </c>
    </row>
    <row r="9700">
      <c r="B9700" s="9" t="n">
        <v>9698</v>
      </c>
      <c r="C9700" s="10" t="inlineStr">
        <is>
          <t>Nhân Viên Kinh Doanh Bình Dương</t>
        </is>
      </c>
      <c r="D9700" s="10" t="inlineStr">
        <is>
          <t>CÔNG TY CỔ PHẦN DEWOO VIỆT NAM</t>
        </is>
      </c>
      <c r="E9700" s="10" t="inlineStr">
        <is>
          <t>Lương:Trên 9 Tr VND</t>
        </is>
      </c>
      <c r="F9700" s="10" t="inlineStr">
        <is>
          <t>Bình DươngHồ Chí Minh</t>
        </is>
      </c>
      <c r="G9700" s="10" t="inlineStr">
        <is>
          <t>09-04-2026</t>
        </is>
      </c>
      <c r="H9700" s="10" t="inlineStr">
        <is>
          <t>09/04/2026</t>
        </is>
      </c>
      <c r="I9700" s="10" t="inlineStr">
        <is>
          <t>17/03/2026</t>
        </is>
      </c>
      <c r="J9700" s="10" t="inlineStr">
        <is>
          <t>Bán hàng / Kinh doanh, Tư vấn, Nội ngoại thất</t>
        </is>
      </c>
      <c r="K9700" s="10" t="inlineStr">
        <is>
          <t>Trên 1 Năm</t>
        </is>
      </c>
      <c r="L9700" s="11">
        <f>HYPERLINK("https://careerviet.vn/vi/tim-viec-lam/nhan-vien-kinh-doanh-binh-duong.35C6B77F.html","Xem chi tiết")</f>
        <v/>
      </c>
      <c r="M9700" s="10" t="n"/>
    </row>
    <row r="9701">
      <c r="B9701" s="7" t="n">
        <v>9699</v>
      </c>
      <c r="C9701" t="inlineStr">
        <is>
          <t>Graphic Design Associate</t>
        </is>
      </c>
      <c r="D9701" t="inlineStr">
        <is>
          <t>Công ty TNHH Sản xuất Thương mại &amp; Dịch vụ Hoa Xinh</t>
        </is>
      </c>
      <c r="E9701" t="inlineStr">
        <is>
          <t>Lương:8 Tr - 10 Tr VND</t>
        </is>
      </c>
      <c r="F9701" t="inlineStr">
        <is>
          <t>Hồ Chí Minh</t>
        </is>
      </c>
      <c r="G9701" t="inlineStr">
        <is>
          <t>13-04-2026</t>
        </is>
      </c>
      <c r="H9701" t="inlineStr">
        <is>
          <t>13/04/2026</t>
        </is>
      </c>
      <c r="I9701" t="inlineStr">
        <is>
          <t>17/03/2026</t>
        </is>
      </c>
      <c r="J9701" t="inlineStr">
        <is>
          <t>Tiếp thị / Marketing, Tiếp thị trực tuyến, Bán Hàng Kỹ Thuật</t>
        </is>
      </c>
      <c r="K9701" t="inlineStr">
        <is>
          <t>N/A</t>
        </is>
      </c>
      <c r="L9701" s="8">
        <f>HYPERLINK("https://careerviet.vn/vi/tim-viec-lam/graphic-design-associate.35C65787.html","Xem chi tiết")</f>
        <v/>
      </c>
    </row>
    <row r="9702">
      <c r="B9702" s="9" t="n">
        <v>9700</v>
      </c>
      <c r="C9702" s="10" t="inlineStr">
        <is>
          <t>Backend Developer Senior</t>
        </is>
      </c>
      <c r="D9702" s="10" t="inlineStr">
        <is>
          <t>Tập Đoàn CT Group Việt Nam</t>
        </is>
      </c>
      <c r="E9702" s="10" t="inlineStr">
        <is>
          <t>Lương:Cạnh tranh</t>
        </is>
      </c>
      <c r="F9702" s="10" t="inlineStr">
        <is>
          <t>Hồ Chí Minh</t>
        </is>
      </c>
      <c r="G9702" s="10" t="inlineStr">
        <is>
          <t>13-04-2026</t>
        </is>
      </c>
      <c r="H9702" s="10" t="inlineStr">
        <is>
          <t>13/04/2026</t>
        </is>
      </c>
      <c r="I9702" s="10" t="inlineStr">
        <is>
          <t>17/03/2026</t>
        </is>
      </c>
      <c r="J9702" s="10" t="inlineStr">
        <is>
          <t>CNTT - Phần mềm</t>
        </is>
      </c>
      <c r="K9702" s="10" t="inlineStr">
        <is>
          <t>4 - 7 Năm</t>
        </is>
      </c>
      <c r="L9702" s="11">
        <f>HYPERLINK("https://careerviet.vn/vi/tim-viec-lam/backend-developer-senior.35C6567D.html","Xem chi tiết")</f>
        <v/>
      </c>
      <c r="M9702" s="10" t="n"/>
    </row>
    <row r="9703">
      <c r="B9703" s="7" t="n">
        <v>9701</v>
      </c>
      <c r="C9703" t="inlineStr">
        <is>
          <t>CVC/CVCC Tư vấn Tài chính Cá nhân - Khu vực Hà Nội - TA 159</t>
        </is>
      </c>
      <c r="D9703" t="inlineStr">
        <is>
          <t>Ngân Hàng TMCP Việt Nam Thịnh Vượng - VPBANK</t>
        </is>
      </c>
      <c r="E9703" t="inlineStr">
        <is>
          <t>Lương:20 Tr - 30 Tr VND</t>
        </is>
      </c>
      <c r="F9703" t="inlineStr">
        <is>
          <t>Hà Nội</t>
        </is>
      </c>
      <c r="G9703" t="inlineStr">
        <is>
          <t>13-04-2026</t>
        </is>
      </c>
      <c r="H9703" t="inlineStr">
        <is>
          <t>13/04/2026</t>
        </is>
      </c>
      <c r="I9703" t="inlineStr">
        <is>
          <t>17/03/2026</t>
        </is>
      </c>
      <c r="J9703" t="inlineStr">
        <is>
          <t>Ngân hàng</t>
        </is>
      </c>
      <c r="K9703" t="inlineStr">
        <is>
          <t>Trên 2 Năm</t>
        </is>
      </c>
      <c r="L9703" s="8">
        <f>HYPERLINK("https://careerviet.vn/vi/tim-viec-lam/cvc-cvcc-tu-van-tai-chinh-ca-nhan-khu-vuc-ha-noi-ta-159.35C6554E.html","Xem chi tiết")</f>
        <v/>
      </c>
    </row>
    <row r="9704">
      <c r="B9704" s="9" t="n">
        <v>9702</v>
      </c>
      <c r="C9704" s="10" t="inlineStr">
        <is>
          <t>KỸ SƯ GIÁM SÁT XÂY DỰNG (GẤP - ĐI LÀM NGAY)</t>
        </is>
      </c>
      <c r="D9704" s="10" t="inlineStr">
        <is>
          <t>CÔNG TY TNHH XÂY DỰNG KIẾN TRÚC TRÍ</t>
        </is>
      </c>
      <c r="E9704" s="10" t="inlineStr">
        <is>
          <t>Lương:17 Tr - 25 Tr VND</t>
        </is>
      </c>
      <c r="F9704" s="10" t="inlineStr">
        <is>
          <t>Hồ Chí MinhHà Nội</t>
        </is>
      </c>
      <c r="G9704" s="10" t="inlineStr">
        <is>
          <t>15-03-2026</t>
        </is>
      </c>
      <c r="H9704" s="10" t="inlineStr">
        <is>
          <t>10/03/2026</t>
        </is>
      </c>
      <c r="I9704" s="10" t="inlineStr">
        <is>
          <t>17/03/2026</t>
        </is>
      </c>
      <c r="J9704" s="10" t="inlineStr">
        <is>
          <t>Xây dựng, Nội ngoại thất, Kiến trúc</t>
        </is>
      </c>
      <c r="K9704" s="10" t="inlineStr">
        <is>
          <t>3 - 5 Năm</t>
        </is>
      </c>
      <c r="L9704" s="11">
        <f>HYPERLINK("https://careerviet.vn/vi/tim-viec-lam/ky-su-giam-sat-xay-dung-gap-di-lam-ngay.35C6B93E.html","Xem chi tiết")</f>
        <v/>
      </c>
      <c r="M9704" s="10" t="n"/>
    </row>
    <row r="9705">
      <c r="B9705" s="7" t="n">
        <v>9703</v>
      </c>
      <c r="C9705" t="inlineStr">
        <is>
          <t>Tài xế du lịch (Dấu D- xe từ 7- 29 chỗ)</t>
        </is>
      </c>
      <c r="D9705" t="inlineStr">
        <is>
          <t>Công ty Cổ Phần Hóa Mỹ Phẩm Mỹ Hảo</t>
        </is>
      </c>
      <c r="E9705" t="inlineStr">
        <is>
          <t>Lương:9 Tr - 12 Tr VND</t>
        </is>
      </c>
      <c r="F9705" t="inlineStr">
        <is>
          <t>Hồ Chí Minh</t>
        </is>
      </c>
      <c r="G9705" t="inlineStr">
        <is>
          <t>13-04-2026</t>
        </is>
      </c>
      <c r="H9705" t="inlineStr">
        <is>
          <t>13/04/2026</t>
        </is>
      </c>
      <c r="I9705" t="inlineStr">
        <is>
          <t>17/03/2026</t>
        </is>
      </c>
      <c r="J9705" t="inlineStr">
        <is>
          <t>Vận chuyển / Giao nhận / Kho vận, Lao động phổ thông</t>
        </is>
      </c>
      <c r="K9705" t="inlineStr">
        <is>
          <t>Trên 2 Năm</t>
        </is>
      </c>
      <c r="L9705" s="8">
        <f>HYPERLINK("https://careerviet.vn/vi/tim-viec-lam/tai-xe-du-lich-dau-d-xe-tu-7-29-cho.35C652C3.html","Xem chi tiết")</f>
        <v/>
      </c>
    </row>
    <row r="9706">
      <c r="B9706" s="9" t="n">
        <v>9704</v>
      </c>
      <c r="C9706" s="10" t="inlineStr">
        <is>
          <t>VPBank - Chuyên Viên Cao Cấp Quan Hệ Khách Hàng Ưu Tiên - Đà Nẵng</t>
        </is>
      </c>
      <c r="D9706" s="10" t="inlineStr">
        <is>
          <t>Ngân Hàng TMCP Việt Nam Thịnh Vượng - VPBANK</t>
        </is>
      </c>
      <c r="E9706" s="10" t="inlineStr">
        <is>
          <t>Lương:15 Tr - 22 Tr VND</t>
        </is>
      </c>
      <c r="F9706" s="10" t="inlineStr">
        <is>
          <t>Đà Nẵng</t>
        </is>
      </c>
      <c r="G9706" s="10" t="inlineStr">
        <is>
          <t>13-04-2026</t>
        </is>
      </c>
      <c r="H9706" s="10" t="inlineStr">
        <is>
          <t>13/04/2026</t>
        </is>
      </c>
      <c r="I9706" s="10" t="inlineStr">
        <is>
          <t>17/03/2026</t>
        </is>
      </c>
      <c r="J9706" s="10" t="inlineStr">
        <is>
          <t>Bán hàng / Kinh doanh, Ngân hàng, Bảo hiểm</t>
        </is>
      </c>
      <c r="K9706" s="10" t="inlineStr">
        <is>
          <t>1 - 3 Năm</t>
        </is>
      </c>
      <c r="L9706" s="11">
        <f>HYPERLINK("https://careerviet.vn/vi/tim-viec-lam/vpbank-chuyen-vien-cao-cap-quan-he-khach-hang-uu-tien-da-nang.35C657D8.html","Xem chi tiết")</f>
        <v/>
      </c>
      <c r="M9706" s="10" t="n"/>
    </row>
    <row r="9707">
      <c r="B9707" s="7" t="n">
        <v>9705</v>
      </c>
      <c r="C9707" t="inlineStr">
        <is>
          <t>EHS Officer</t>
        </is>
      </c>
      <c r="D9707" t="inlineStr">
        <is>
          <t>Sika Limited (Vietnam)</t>
        </is>
      </c>
      <c r="E9707" t="inlineStr">
        <is>
          <t>Lương:Cạnh tranh</t>
        </is>
      </c>
      <c r="F9707" t="inlineStr">
        <is>
          <t>Bắc Ninh</t>
        </is>
      </c>
      <c r="G9707" t="inlineStr">
        <is>
          <t>25-03-2026</t>
        </is>
      </c>
      <c r="H9707" t="inlineStr">
        <is>
          <t>25/03/2026</t>
        </is>
      </c>
      <c r="I9707" t="inlineStr">
        <is>
          <t>17/03/2026</t>
        </is>
      </c>
      <c r="J9707" t="inlineStr">
        <is>
          <t>An toàn lao động</t>
        </is>
      </c>
      <c r="K9707" t="inlineStr">
        <is>
          <t>3 - 4 Năm</t>
        </is>
      </c>
      <c r="L9707" s="8">
        <f>HYPERLINK("https://careerviet.vn/vi/tim-viec-lam/ehs-officer.35C6B97D.html","Xem chi tiết")</f>
        <v/>
      </c>
    </row>
    <row r="9708">
      <c r="B9708" s="9" t="n">
        <v>9706</v>
      </c>
      <c r="C9708" s="10" t="inlineStr">
        <is>
          <t>[BÀ RỊA VŨNG TÀU Cũ] Kế toán thanh toán</t>
        </is>
      </c>
      <c r="D9708" s="10" t="inlineStr">
        <is>
          <t>Nova Service Group - Công ty Cổ phần Tập đoàn Nova Services</t>
        </is>
      </c>
      <c r="E9708" s="10" t="inlineStr">
        <is>
          <t>Lương:7 Tr - 12 Tr VND</t>
        </is>
      </c>
      <c r="F9708" s="10" t="inlineStr">
        <is>
          <t>Bà Rịa - Vũng Tàu</t>
        </is>
      </c>
      <c r="G9708" s="10" t="inlineStr">
        <is>
          <t>13-04-2026</t>
        </is>
      </c>
      <c r="H9708" s="10" t="inlineStr">
        <is>
          <t>13/04/2026</t>
        </is>
      </c>
      <c r="I9708" s="10" t="inlineStr">
        <is>
          <t>17/03/2026</t>
        </is>
      </c>
      <c r="J9708" s="10" t="inlineStr">
        <is>
          <t>Kế toán / Kiểm toán, Nhà hàng / Khách sạn</t>
        </is>
      </c>
      <c r="K9708" s="10" t="inlineStr">
        <is>
          <t>Lên đến 1 Năm</t>
        </is>
      </c>
      <c r="L9708" s="11">
        <f>HYPERLINK("https://careerviet.vn/vi/tim-viec-lam/ba-ria-vung-tau-cu-ke-toan-thanh-toan.35C6573C.html","Xem chi tiết")</f>
        <v/>
      </c>
      <c r="M9708" s="10" t="n"/>
    </row>
    <row r="9709">
      <c r="B9709" s="7" t="n">
        <v>9707</v>
      </c>
      <c r="C9709" t="inlineStr">
        <is>
          <t>[Hải Phòng] Thực tập sinh Logistics</t>
        </is>
      </c>
      <c r="D9709" t="inlineStr">
        <is>
          <t>Chi nhánh Công ty Cổ phần ITL Logistics tại phía Bắc</t>
        </is>
      </c>
      <c r="E9709" t="inlineStr">
        <is>
          <t>Lương:Cạnh tranh</t>
        </is>
      </c>
      <c r="F9709" t="inlineStr">
        <is>
          <t>Hải Phòng</t>
        </is>
      </c>
      <c r="G9709" t="inlineStr">
        <is>
          <t>13-04-2026</t>
        </is>
      </c>
      <c r="H9709" t="inlineStr">
        <is>
          <t>13/04/2026</t>
        </is>
      </c>
      <c r="I9709" t="inlineStr">
        <is>
          <t>17/03/2026</t>
        </is>
      </c>
      <c r="J9709" t="inlineStr">
        <is>
          <t>Vận chuyển / Giao nhận / Kho vận</t>
        </is>
      </c>
      <c r="K9709" t="inlineStr">
        <is>
          <t>N/A</t>
        </is>
      </c>
      <c r="L9709" s="8">
        <f>HYPERLINK("https://careerviet.vn/vi/tim-viec-lam/hai-phong-thuc-tap-sinh-logistics.35C65633.html","Xem chi tiết")</f>
        <v/>
      </c>
    </row>
    <row r="9710">
      <c r="B9710" s="9" t="n">
        <v>9708</v>
      </c>
      <c r="C9710" s="10" t="inlineStr">
        <is>
          <t>Chuyên Viên Cao Cấp Khách Hàng Ưu Tiên - Nghệ An - TA189</t>
        </is>
      </c>
      <c r="D9710" s="10" t="inlineStr">
        <is>
          <t>Ngân Hàng TMCP Việt Nam Thịnh Vượng - VPBANK</t>
        </is>
      </c>
      <c r="E9710" s="10" t="inlineStr">
        <is>
          <t>Lương:20 Tr - 50 Tr VND</t>
        </is>
      </c>
      <c r="F9710" s="10" t="inlineStr">
        <is>
          <t>Nghệ An</t>
        </is>
      </c>
      <c r="G9710" s="10" t="inlineStr">
        <is>
          <t>13-04-2026</t>
        </is>
      </c>
      <c r="H9710" s="10" t="inlineStr">
        <is>
          <t>13/04/2026</t>
        </is>
      </c>
      <c r="I9710" s="10" t="inlineStr">
        <is>
          <t>17/03/2026</t>
        </is>
      </c>
      <c r="J9710" s="10" t="inlineStr">
        <is>
          <t>Ngân hàng</t>
        </is>
      </c>
      <c r="K9710" s="10" t="inlineStr">
        <is>
          <t>Trên 2 Năm</t>
        </is>
      </c>
      <c r="L9710" s="11">
        <f>HYPERLINK("https://careerviet.vn/vi/tim-viec-lam/chuyen-vien-cao-cap-khach-hang-uu-tien-nghe-an-ta189.35C65616.html","Xem chi tiết")</f>
        <v/>
      </c>
      <c r="M9710" s="10" t="n"/>
    </row>
    <row r="9711">
      <c r="B9711" s="7" t="n">
        <v>9709</v>
      </c>
      <c r="C9711" t="inlineStr">
        <is>
          <t>Nhân viên kinh doanh phát triển thị trường</t>
        </is>
      </c>
      <c r="D9711" t="inlineStr">
        <is>
          <t>Công ty cổ phần thương mại kỹ thuật An Việt - CN TP HCM</t>
        </is>
      </c>
      <c r="E9711" t="inlineStr">
        <is>
          <t>Lương:15 Tr - 20 Tr VND</t>
        </is>
      </c>
      <c r="F9711" t="inlineStr">
        <is>
          <t>Hồ Chí Minh</t>
        </is>
      </c>
      <c r="G9711" t="inlineStr">
        <is>
          <t>13-04-2026</t>
        </is>
      </c>
      <c r="H9711" t="inlineStr">
        <is>
          <t>13/04/2026</t>
        </is>
      </c>
      <c r="I9711" t="inlineStr">
        <is>
          <t>17/03/2026</t>
        </is>
      </c>
      <c r="J9711" t="inlineStr">
        <is>
          <t>Tiếp thị / Marketing, Bán lẻ / Bán sỉ, Bán hàng / Kinh doanh</t>
        </is>
      </c>
      <c r="K9711" t="inlineStr">
        <is>
          <t>1 - 3 Năm</t>
        </is>
      </c>
      <c r="L9711" s="8">
        <f>HYPERLINK("https://careerviet.vn/vi/tim-viec-lam/nhan-vien-kinh-doanh-phat-trien-thi-truong.35C65656.html","Xem chi tiết")</f>
        <v/>
      </c>
    </row>
    <row r="9712">
      <c r="B9712" s="9" t="n">
        <v>9710</v>
      </c>
      <c r="C9712" s="10" t="inlineStr">
        <is>
          <t>Chuyên Viên Kế Toán</t>
        </is>
      </c>
      <c r="D9712" s="10" t="inlineStr">
        <is>
          <t>CÔNG TY TNHH TƯ VẤN VÀ KIỂM TOÁN ICMA</t>
        </is>
      </c>
      <c r="E9712" s="10" t="inlineStr">
        <is>
          <t>Lương:10 Tr - 15 Tr VND</t>
        </is>
      </c>
      <c r="F9712" s="10" t="inlineStr">
        <is>
          <t>Hồ Chí Minh</t>
        </is>
      </c>
      <c r="G9712" s="10" t="inlineStr">
        <is>
          <t>13-04-2026</t>
        </is>
      </c>
      <c r="H9712" s="10" t="inlineStr">
        <is>
          <t>13/04/2026</t>
        </is>
      </c>
      <c r="I9712" s="10" t="inlineStr">
        <is>
          <t>17/03/2026</t>
        </is>
      </c>
      <c r="J9712" s="10" t="inlineStr">
        <is>
          <t>Luật / Pháp lý, Kế toán / Kiểm toán, Tài chính / Đầu tư</t>
        </is>
      </c>
      <c r="K9712" s="10" t="inlineStr">
        <is>
          <t>1 - 2 Năm</t>
        </is>
      </c>
      <c r="L9712" s="11">
        <f>HYPERLINK("https://careerviet.vn/vi/tim-viec-lam/chuyen-vien-ke-toan.35C656C5.html","Xem chi tiết")</f>
        <v/>
      </c>
      <c r="M9712" s="10" t="n"/>
    </row>
    <row r="9713">
      <c r="B9713" s="7" t="n">
        <v>9711</v>
      </c>
      <c r="C9713" t="inlineStr">
        <is>
          <t>Key Account Assistant</t>
        </is>
      </c>
      <c r="D9713" t="inlineStr">
        <is>
          <t>Công ty TNHH Olam Việt Nam</t>
        </is>
      </c>
      <c r="E9713" t="inlineStr">
        <is>
          <t>Lương:Cạnh tranh</t>
        </is>
      </c>
      <c r="F9713" t="inlineStr">
        <is>
          <t>Bến Tre</t>
        </is>
      </c>
      <c r="G9713" t="inlineStr">
        <is>
          <t>13-04-2026</t>
        </is>
      </c>
      <c r="H9713" t="inlineStr">
        <is>
          <t>13/04/2026</t>
        </is>
      </c>
      <c r="I9713" t="inlineStr">
        <is>
          <t>17/03/2026</t>
        </is>
      </c>
      <c r="J9713" t="inlineStr">
        <is>
          <t>Bán lẻ / Bán sỉ, Thực phẩm &amp; Đồ uống, Sản xuất / Vận hành sản xuất</t>
        </is>
      </c>
      <c r="K9713" t="inlineStr">
        <is>
          <t>1 - 3 Năm</t>
        </is>
      </c>
      <c r="L9713" s="8">
        <f>HYPERLINK("https://careerviet.vn/vi/tim-viec-lam/key-account-assistant.35C65630.html","Xem chi tiết")</f>
        <v/>
      </c>
    </row>
    <row r="9714">
      <c r="B9714" s="9" t="n">
        <v>9712</v>
      </c>
      <c r="C9714" s="10" t="inlineStr">
        <is>
          <t>Chuyên Viên Triển Khai Đơn Hàng May Mặc</t>
        </is>
      </c>
      <c r="D9714" s="10" t="inlineStr">
        <is>
          <t>CÔNG TY CỔ PHẦN SẢN XUẤT &amp; XUẤT NHẬP KHẨU HAT+</t>
        </is>
      </c>
      <c r="E9714" s="10" t="inlineStr">
        <is>
          <t>Lương:10 Tr - 17 Tr VND</t>
        </is>
      </c>
      <c r="F9714" s="10" t="inlineStr">
        <is>
          <t>Hà Nội</t>
        </is>
      </c>
      <c r="G9714" s="10" t="inlineStr">
        <is>
          <t>13-04-2026</t>
        </is>
      </c>
      <c r="H9714" s="10" t="inlineStr">
        <is>
          <t>13/04/2026</t>
        </is>
      </c>
      <c r="I9714" s="10" t="inlineStr">
        <is>
          <t>17/03/2026</t>
        </is>
      </c>
      <c r="J9714" s="10" t="inlineStr">
        <is>
          <t>Dệt may / Da giày / Thời trang, Sản xuất / Vận hành sản xuất</t>
        </is>
      </c>
      <c r="K9714" s="10" t="inlineStr">
        <is>
          <t>1 - 5 Năm</t>
        </is>
      </c>
      <c r="L9714" s="11">
        <f>HYPERLINK("https://careerviet.vn/vi/tim-viec-lam/chuyen-vien-trien-khai-don-hang-may-mac.35C6574E.html","Xem chi tiết")</f>
        <v/>
      </c>
      <c r="M9714" s="10" t="n"/>
    </row>
    <row r="9715">
      <c r="B9715" s="7" t="n">
        <v>9713</v>
      </c>
      <c r="C9715" t="inlineStr">
        <is>
          <t>Supplier Coordinator - Nhân Viên Điều Phối</t>
        </is>
      </c>
      <c r="D9715" t="inlineStr">
        <is>
          <t>Công Ty TNHH TurnKey FBA</t>
        </is>
      </c>
      <c r="E9715" t="inlineStr">
        <is>
          <t>Lương:9 Tr - 13 Tr VND</t>
        </is>
      </c>
      <c r="F9715" t="inlineStr">
        <is>
          <t>Hà Nội</t>
        </is>
      </c>
      <c r="G9715" t="inlineStr">
        <is>
          <t>13-04-2026</t>
        </is>
      </c>
      <c r="H9715" t="inlineStr">
        <is>
          <t>13/04/2026</t>
        </is>
      </c>
      <c r="I9715" t="inlineStr">
        <is>
          <t>17/03/2026</t>
        </is>
      </c>
      <c r="J9715" t="inlineStr">
        <is>
          <t>Bán hàng / Kinh doanh, Thương mại điện tử, Dịch vụ khách hàng</t>
        </is>
      </c>
      <c r="K9715" t="inlineStr">
        <is>
          <t>1 - 5 Năm</t>
        </is>
      </c>
      <c r="L9715" s="8">
        <f>HYPERLINK("https://careerviet.vn/vi/tim-viec-lam/supplier-coordinator-nhan-vien-dieu-phoi.35C6570C.html","Xem chi tiết")</f>
        <v/>
      </c>
    </row>
    <row r="9716">
      <c r="B9716" s="9" t="n">
        <v>9714</v>
      </c>
      <c r="C9716" s="10" t="inlineStr">
        <is>
          <t>Chuyên viên Vận hành - Dự án Agent Banking</t>
        </is>
      </c>
      <c r="D9716" s="10" t="inlineStr">
        <is>
          <t>Ngân hàng TMCP Phát triển TP.HCM (HDBank)</t>
        </is>
      </c>
      <c r="E9716" s="10" t="inlineStr">
        <is>
          <t>Lương:Cạnh tranh</t>
        </is>
      </c>
      <c r="F9716" s="10" t="inlineStr">
        <is>
          <t>Hồ Chí Minh</t>
        </is>
      </c>
      <c r="G9716" s="10" t="inlineStr">
        <is>
          <t>13-04-2026</t>
        </is>
      </c>
      <c r="H9716" s="10" t="inlineStr">
        <is>
          <t>13/04/2026</t>
        </is>
      </c>
      <c r="I9716" s="10" t="inlineStr">
        <is>
          <t>17/03/2026</t>
        </is>
      </c>
      <c r="J9716" s="10" t="inlineStr">
        <is>
          <t>Ngân hàng</t>
        </is>
      </c>
      <c r="K9716" s="10" t="inlineStr">
        <is>
          <t>Trên 2 Năm</t>
        </is>
      </c>
      <c r="L9716" s="11">
        <f>HYPERLINK("https://careerviet.vn/vi/tim-viec-lam/chuyen-vien-van-hanh-du-an-agent-banking.35C65590.html","Xem chi tiết")</f>
        <v/>
      </c>
      <c r="M9716" s="10" t="n"/>
    </row>
    <row r="9717">
      <c r="B9717" s="7" t="n">
        <v>9715</v>
      </c>
      <c r="C9717" t="inlineStr">
        <is>
          <t>VPBank - Chuyên Viên Cao Cấp Tư Vấn Tài Chính Cá Nhân - Hội An (Quảng Nam)</t>
        </is>
      </c>
      <c r="D9717" t="inlineStr">
        <is>
          <t>Ngân Hàng TMCP Việt Nam Thịnh Vượng - VPBANK</t>
        </is>
      </c>
      <c r="E9717" t="inlineStr">
        <is>
          <t>Lương:15 Tr - 22 Tr VND</t>
        </is>
      </c>
      <c r="F9717" t="inlineStr">
        <is>
          <t>Quảng Nam</t>
        </is>
      </c>
      <c r="G9717" t="inlineStr">
        <is>
          <t>13-04-2026</t>
        </is>
      </c>
      <c r="H9717" t="inlineStr">
        <is>
          <t>13/04/2026</t>
        </is>
      </c>
      <c r="I9717" t="inlineStr">
        <is>
          <t>17/03/2026</t>
        </is>
      </c>
      <c r="J9717" t="inlineStr">
        <is>
          <t>Bán hàng / Kinh doanh, Ngân hàng, Bảo hiểm</t>
        </is>
      </c>
      <c r="K9717" t="inlineStr">
        <is>
          <t>1 - 3 Năm</t>
        </is>
      </c>
      <c r="L9717" s="8">
        <f>HYPERLINK("https://careerviet.vn/vi/tim-viec-lam/vpbank-chuyen-vien-cao-cap-tu-van-tai-chinh-ca-nhan-hoi-an-quang-nam.35C657EB.html","Xem chi tiết")</f>
        <v/>
      </c>
    </row>
    <row r="9718">
      <c r="B9718" s="9" t="n">
        <v>9716</v>
      </c>
      <c r="C9718" s="10" t="inlineStr">
        <is>
          <t>CVCC Kế hoạch và Quản trị hiệu quả - Hà Nội - TA161 - ID1257</t>
        </is>
      </c>
      <c r="D9718" s="10" t="inlineStr">
        <is>
          <t>Ngân Hàng TMCP Việt Nam Thịnh Vượng - VPBANK</t>
        </is>
      </c>
      <c r="E9718" s="10" t="inlineStr">
        <is>
          <t>Lương:20 Tr - 50 Tr VND</t>
        </is>
      </c>
      <c r="F9718" s="10" t="inlineStr">
        <is>
          <t>Hà Nội</t>
        </is>
      </c>
      <c r="G9718" s="10" t="inlineStr">
        <is>
          <t>13-04-2026</t>
        </is>
      </c>
      <c r="H9718" s="10" t="inlineStr">
        <is>
          <t>13/04/2026</t>
        </is>
      </c>
      <c r="I9718" s="10" t="inlineStr">
        <is>
          <t>17/03/2026</t>
        </is>
      </c>
      <c r="J9718" s="10" t="inlineStr">
        <is>
          <t>Ngân hàng</t>
        </is>
      </c>
      <c r="K9718" s="10" t="inlineStr">
        <is>
          <t>Trên 2 Năm</t>
        </is>
      </c>
      <c r="L9718" s="11">
        <f>HYPERLINK("https://careerviet.vn/vi/tim-viec-lam/cvcc-ke-hoach-va-quan-tri-hieu-qua-ha-noi-ta161-id1257.35C655DF.html","Xem chi tiết")</f>
        <v/>
      </c>
      <c r="M9718" s="10" t="n"/>
    </row>
    <row r="9719">
      <c r="B9719" s="7" t="n">
        <v>9717</v>
      </c>
      <c r="C9719" t="inlineStr">
        <is>
          <t>CV/CVCC Kinh Doanh &amp; Quản Lý Danh Mục (Trading &amp; Portfolio Management)</t>
        </is>
      </c>
      <c r="D9719" t="inlineStr">
        <is>
          <t>CÔNG TY CỔ PHẦN CHỨNG KHOÁN HD</t>
        </is>
      </c>
      <c r="E9719" t="inlineStr">
        <is>
          <t>Lương:Cạnh tranh</t>
        </is>
      </c>
      <c r="F9719" t="inlineStr">
        <is>
          <t>Hồ Chí Minh</t>
        </is>
      </c>
      <c r="G9719" t="inlineStr">
        <is>
          <t>13-04-2026</t>
        </is>
      </c>
      <c r="H9719" t="inlineStr">
        <is>
          <t>13/04/2026</t>
        </is>
      </c>
      <c r="I9719" t="inlineStr">
        <is>
          <t>17/03/2026</t>
        </is>
      </c>
      <c r="J9719" t="inlineStr">
        <is>
          <t>Chứng khoán, Ngân hàng, Tài chính / Đầu tư</t>
        </is>
      </c>
      <c r="K9719" t="inlineStr">
        <is>
          <t>3 - 5 Năm</t>
        </is>
      </c>
      <c r="L9719" s="8">
        <f>HYPERLINK("https://careerviet.vn/vi/tim-viec-lam/cv-cvcc-kinh-doanh-quan-ly-danh-muc-trading-portfolio-management.35C656E6.html","Xem chi tiết")</f>
        <v/>
      </c>
    </row>
    <row r="9720">
      <c r="B9720" s="9" t="n">
        <v>9718</v>
      </c>
      <c r="C9720" s="10" t="inlineStr">
        <is>
          <t>TRƯỞNG PHÒNG NHÂN SỰ HÀNH CHÍNH (CHỢ LÁCH, BẾN TRE)</t>
        </is>
      </c>
      <c r="D9720" s="10" t="inlineStr">
        <is>
          <t>CÔNG TY TNHH XUẤT - NHẬP KHẨU TRÁI CÂY CHÁNH THU</t>
        </is>
      </c>
      <c r="E9720" s="10" t="inlineStr">
        <is>
          <t>Lương:Cạnh tranh</t>
        </is>
      </c>
      <c r="F9720" s="10" t="inlineStr">
        <is>
          <t>Bến Tre</t>
        </is>
      </c>
      <c r="G9720" s="10" t="inlineStr">
        <is>
          <t>13-04-2026</t>
        </is>
      </c>
      <c r="H9720" s="10" t="inlineStr">
        <is>
          <t>13/04/2026</t>
        </is>
      </c>
      <c r="I9720" s="10" t="inlineStr">
        <is>
          <t>17/03/2026</t>
        </is>
      </c>
      <c r="J9720" s="10" t="inlineStr">
        <is>
          <t>Quản lý điều hành, Nhân sự, Sản xuất / Vận hành sản xuất</t>
        </is>
      </c>
      <c r="K9720" s="10" t="inlineStr">
        <is>
          <t>3 - 5 Năm</t>
        </is>
      </c>
      <c r="L9720" s="11">
        <f>HYPERLINK("https://careerviet.vn/vi/tim-viec-lam/truong-phong-nhan-su-hanh-chinh-cho-lach-ben-tre.35C657ED.html","Xem chi tiết")</f>
        <v/>
      </c>
      <c r="M9720" s="10" t="n"/>
    </row>
    <row r="9721">
      <c r="B9721" s="7" t="n">
        <v>9719</v>
      </c>
      <c r="C9721" t="inlineStr">
        <is>
          <t>TẬP SỰ TƯ VẤN ĐẦU TƯ KHCN (Bình Dương)</t>
        </is>
      </c>
      <c r="D9721" t="inlineStr">
        <is>
          <t>VDSC - Công ty CP Chứng khoán Rồng Việt</t>
        </is>
      </c>
      <c r="E9721" t="inlineStr">
        <is>
          <t>Lương:3 Tr - 5 Tr VND</t>
        </is>
      </c>
      <c r="F9721" t="inlineStr">
        <is>
          <t>Bình Dương</t>
        </is>
      </c>
      <c r="G9721" t="inlineStr">
        <is>
          <t>13-04-2026</t>
        </is>
      </c>
      <c r="H9721" t="inlineStr">
        <is>
          <t>13/04/2026</t>
        </is>
      </c>
      <c r="I9721" t="inlineStr">
        <is>
          <t>17/03/2026</t>
        </is>
      </c>
      <c r="J9721" t="inlineStr">
        <is>
          <t>Chứng khoán, Tài chính / Đầu tư, Ngân hàng</t>
        </is>
      </c>
      <c r="K9721" t="inlineStr">
        <is>
          <t>N/A</t>
        </is>
      </c>
      <c r="L9721" s="8">
        <f>HYPERLINK("https://careerviet.vn/vi/tim-viec-lam/tap-su-tu-van-dau-tu-khcn-binh-duong.35C65640.html","Xem chi tiết")</f>
        <v/>
      </c>
    </row>
    <row r="9722">
      <c r="B9722" s="9" t="n">
        <v>9720</v>
      </c>
      <c r="C9722" s="10" t="inlineStr">
        <is>
          <t>Kỹ Sư Thiết Kế Cơ Điện</t>
        </is>
      </c>
      <c r="D9722" s="10" t="inlineStr">
        <is>
          <t>CÔNG TY TNHH KIẾN TRÚC - NỘI THẤT NAM ANH</t>
        </is>
      </c>
      <c r="E9722" s="10" t="inlineStr">
        <is>
          <t>Lương:25 Tr - 30 Tr VND</t>
        </is>
      </c>
      <c r="F9722" s="10" t="inlineStr">
        <is>
          <t>Hà Nội</t>
        </is>
      </c>
      <c r="G9722" s="10" t="inlineStr">
        <is>
          <t>13-04-2026</t>
        </is>
      </c>
      <c r="H9722" s="10" t="inlineStr">
        <is>
          <t>13/04/2026</t>
        </is>
      </c>
      <c r="I9722" s="10" t="inlineStr">
        <is>
          <t>17/03/2026</t>
        </is>
      </c>
      <c r="J9722" s="10" t="inlineStr">
        <is>
          <t>Điện / Điện tử / Điện lạnh / Điện công nghiệp, Kiến trúc, Xây dựng</t>
        </is>
      </c>
      <c r="K9722" s="10" t="inlineStr">
        <is>
          <t>3 - 5 Năm</t>
        </is>
      </c>
      <c r="L9722" s="11">
        <f>HYPERLINK("https://careerviet.vn/vi/tim-viec-lam/ky-su-thiet-ke-co-dien.35C655F6.html","Xem chi tiết")</f>
        <v/>
      </c>
      <c r="M9722" s="10" t="n"/>
    </row>
    <row r="9723">
      <c r="B9723" s="7" t="n">
        <v>9721</v>
      </c>
      <c r="C9723" t="inlineStr">
        <is>
          <t>Kế Toán Tòa Nhà (Senior Accountant)</t>
        </is>
      </c>
      <c r="D9723" t="inlineStr">
        <is>
          <t>Savills Vietnam</t>
        </is>
      </c>
      <c r="E9723" t="inlineStr">
        <is>
          <t>Lương:Cạnh tranh</t>
        </is>
      </c>
      <c r="F9723" t="inlineStr">
        <is>
          <t>Hồ Chí Minh</t>
        </is>
      </c>
      <c r="G9723" t="inlineStr">
        <is>
          <t>13-04-2026</t>
        </is>
      </c>
      <c r="H9723" t="inlineStr">
        <is>
          <t>13/04/2026</t>
        </is>
      </c>
      <c r="I9723" t="inlineStr">
        <is>
          <t>17/03/2026</t>
        </is>
      </c>
      <c r="J9723" t="inlineStr">
        <is>
          <t>Kế toán / Kiểm toán</t>
        </is>
      </c>
      <c r="K9723" t="inlineStr">
        <is>
          <t>1 - 2 Năm</t>
        </is>
      </c>
      <c r="L9723" s="8">
        <f>HYPERLINK("https://careerviet.vn/vi/tim-viec-lam/ke-toan-toa-nha-senior-accountant.35C65469.html","Xem chi tiết")</f>
        <v/>
      </c>
    </row>
    <row r="9724">
      <c r="B9724" s="9" t="n">
        <v>9722</v>
      </c>
      <c r="C9724" s="10" t="inlineStr">
        <is>
          <t>Giám sát công trình (nội thất)</t>
        </is>
      </c>
      <c r="D9724" s="10" t="inlineStr">
        <is>
          <t>CÔNG TY CỔ PHẦN TẬP ĐOÀN HAMIER VIỆT NAM - LG CLINIC</t>
        </is>
      </c>
      <c r="E9724" s="10" t="inlineStr">
        <is>
          <t>Lương:15 Tr - 20 Tr VND</t>
        </is>
      </c>
      <c r="F9724" s="10" t="inlineStr">
        <is>
          <t>Hồ Chí Minh</t>
        </is>
      </c>
      <c r="G9724" s="10" t="inlineStr">
        <is>
          <t>13-04-2026</t>
        </is>
      </c>
      <c r="H9724" s="10" t="inlineStr">
        <is>
          <t>13/04/2026</t>
        </is>
      </c>
      <c r="I9724" s="10" t="inlineStr">
        <is>
          <t>17/03/2026</t>
        </is>
      </c>
      <c r="J9724" s="10" t="inlineStr">
        <is>
          <t>Kiến trúc, Xây dựng, Nội ngoại thất</t>
        </is>
      </c>
      <c r="K9724" s="10" t="inlineStr">
        <is>
          <t>2 - 3 Năm</t>
        </is>
      </c>
      <c r="L9724" s="11">
        <f>HYPERLINK("https://careerviet.vn/vi/tim-viec-lam/giam-sat-cong-trinh-noi-that.35C65596.html","Xem chi tiết")</f>
        <v/>
      </c>
      <c r="M9724" s="10" t="n"/>
    </row>
    <row r="9725">
      <c r="B9725" s="7" t="n">
        <v>9723</v>
      </c>
      <c r="C9725" t="inlineStr">
        <is>
          <t>Trưởng phòng marketing (chủ đầu tư BĐS)</t>
        </is>
      </c>
      <c r="D9725" t="inlineStr">
        <is>
          <t>Tập Đoàn Tân Á Đại Thành</t>
        </is>
      </c>
      <c r="E9725" t="inlineStr">
        <is>
          <t>Lương:Cạnh tranh</t>
        </is>
      </c>
      <c r="F9725" t="inlineStr">
        <is>
          <t>Hà Nội</t>
        </is>
      </c>
      <c r="G9725" t="inlineStr">
        <is>
          <t>13-04-2026</t>
        </is>
      </c>
      <c r="H9725" t="inlineStr">
        <is>
          <t>13/04/2026</t>
        </is>
      </c>
      <c r="I9725" t="inlineStr">
        <is>
          <t>17/03/2026</t>
        </is>
      </c>
      <c r="J9725" t="inlineStr">
        <is>
          <t>Tiếp thị / Marketing, Truyền hình / Báo chí / Biên tập, Quảng cáo / Đối ngoại / Truyền Thông</t>
        </is>
      </c>
      <c r="K9725" t="inlineStr">
        <is>
          <t>Trên 5 Năm</t>
        </is>
      </c>
      <c r="L9725" s="8">
        <f>HYPERLINK("https://careerviet.vn/vi/tim-viec-lam/truong-phong-marketing-chu-dau-tu-bds.35C6560F.html","Xem chi tiết")</f>
        <v/>
      </c>
    </row>
    <row r="9726">
      <c r="B9726" s="9" t="n">
        <v>9724</v>
      </c>
      <c r="C9726" s="10" t="inlineStr">
        <is>
          <t>Quản Lý Bảo Trì</t>
        </is>
      </c>
      <c r="D9726" s="10" t="inlineStr">
        <is>
          <t>CÔNG TY TNHH ARCHER DANIELS MIDLAND VN</t>
        </is>
      </c>
      <c r="E9726" s="10" t="inlineStr">
        <is>
          <t>Lương:Cạnh tranh</t>
        </is>
      </c>
      <c r="F9726" s="10" t="inlineStr">
        <is>
          <t>Đồng Tháp</t>
        </is>
      </c>
      <c r="G9726" s="10" t="inlineStr">
        <is>
          <t>13-04-2026</t>
        </is>
      </c>
      <c r="H9726" s="10" t="inlineStr">
        <is>
          <t>13/04/2026</t>
        </is>
      </c>
      <c r="I9726" s="10" t="inlineStr">
        <is>
          <t>17/03/2026</t>
        </is>
      </c>
      <c r="J9726" s="10" t="inlineStr">
        <is>
          <t>Bảo trì / Sửa chữa</t>
        </is>
      </c>
      <c r="K9726" s="10" t="inlineStr">
        <is>
          <t>4 - 10 Năm</t>
        </is>
      </c>
      <c r="L9726" s="11">
        <f>HYPERLINK("https://careerviet.vn/vi/tim-viec-lam/quan-ly-bao-tri.35C65718.html","Xem chi tiết")</f>
        <v/>
      </c>
      <c r="M9726" s="10" t="n"/>
    </row>
    <row r="9727">
      <c r="B9727" s="7" t="n">
        <v>9725</v>
      </c>
      <c r="C9727" t="inlineStr">
        <is>
          <t>Chuyên Viên Tuyển Dụng ( Khối Sản xuất – Kỹ thuật &amp; Kinh doanh)</t>
        </is>
      </c>
      <c r="D9727" t="inlineStr">
        <is>
          <t>Công Ty Cổ Phần Quốc Tế Sơn Hà</t>
        </is>
      </c>
      <c r="E9727" t="inlineStr">
        <is>
          <t>Lương:Cạnh tranh</t>
        </is>
      </c>
      <c r="F9727" t="inlineStr">
        <is>
          <t>Hà Nội</t>
        </is>
      </c>
      <c r="G9727" t="inlineStr">
        <is>
          <t>13-04-2026</t>
        </is>
      </c>
      <c r="H9727" t="inlineStr">
        <is>
          <t>13/04/2026</t>
        </is>
      </c>
      <c r="I9727" t="inlineStr">
        <is>
          <t>17/03/2026</t>
        </is>
      </c>
      <c r="J9727" t="inlineStr">
        <is>
          <t>Nhân sự</t>
        </is>
      </c>
      <c r="K9727" t="inlineStr">
        <is>
          <t>1 - 5 Năm</t>
        </is>
      </c>
      <c r="L9727" s="8">
        <f>HYPERLINK("https://careerviet.vn/vi/tim-viec-lam/chuyen-vien-tuyen-dung-khoi-san-xuat-ky-thuat-kinh-doanh.35C656D3.html","Xem chi tiết")</f>
        <v/>
      </c>
    </row>
    <row r="9728">
      <c r="B9728" s="9" t="n">
        <v>9726</v>
      </c>
      <c r="C9728" s="10" t="inlineStr">
        <is>
          <t>Giám đốc Nha khoa</t>
        </is>
      </c>
      <c r="D9728" s="10" t="inlineStr">
        <is>
          <t>Bảo mật</t>
        </is>
      </c>
      <c r="E9728" s="10" t="inlineStr">
        <is>
          <t>Lương:20 Tr - 100 Tr VND</t>
        </is>
      </c>
      <c r="F9728" s="10" t="inlineStr">
        <is>
          <t>Hồ Chí Minh</t>
        </is>
      </c>
      <c r="G9728" s="10" t="inlineStr">
        <is>
          <t>13-04-2026</t>
        </is>
      </c>
      <c r="H9728" s="10" t="inlineStr">
        <is>
          <t>13/04/2026</t>
        </is>
      </c>
      <c r="I9728" s="10" t="inlineStr">
        <is>
          <t>17/03/2026</t>
        </is>
      </c>
      <c r="J9728" s="10" t="inlineStr">
        <is>
          <t>Y tế / Chăm sóc sức khỏe / Thẩm mỹ / Làm đẹp</t>
        </is>
      </c>
      <c r="K9728" s="10" t="inlineStr">
        <is>
          <t>2 - 3 Năm</t>
        </is>
      </c>
      <c r="L9728" s="11">
        <f>HYPERLINK("https://careerviet.vn/vi/tim-viec-lam/giam-doc-nha-khoa.35C655C1.html","Xem chi tiết")</f>
        <v/>
      </c>
      <c r="M9728" s="10" t="n"/>
    </row>
    <row r="9729">
      <c r="B9729" s="7" t="n">
        <v>9727</v>
      </c>
      <c r="C9729" t="inlineStr">
        <is>
          <t>Kế toán tổng hợp</t>
        </is>
      </c>
      <c r="D9729" t="inlineStr">
        <is>
          <t>CÔNG TY CỔ PHẦN THÁI MINH GROUP</t>
        </is>
      </c>
      <c r="E9729" t="inlineStr">
        <is>
          <t>Lương:17 Tr - 25 Tr VND</t>
        </is>
      </c>
      <c r="F9729" t="inlineStr">
        <is>
          <t>Hà Nội</t>
        </is>
      </c>
      <c r="G9729" t="inlineStr">
        <is>
          <t>13-04-2026</t>
        </is>
      </c>
      <c r="H9729" t="inlineStr">
        <is>
          <t>13/04/2026</t>
        </is>
      </c>
      <c r="I9729" t="inlineStr">
        <is>
          <t>17/03/2026</t>
        </is>
      </c>
      <c r="J9729" t="inlineStr">
        <is>
          <t>Kế toán / Kiểm toán, Xây dựng, Bất động sản</t>
        </is>
      </c>
      <c r="K9729" t="inlineStr">
        <is>
          <t>3 - 5 Năm</t>
        </is>
      </c>
      <c r="L9729" s="8">
        <f>HYPERLINK("https://careerviet.vn/vi/tim-viec-lam/ke-toan-tong-hop.35C65626.html","Xem chi tiết")</f>
        <v/>
      </c>
    </row>
    <row r="9730">
      <c r="B9730" s="9" t="n">
        <v>9728</v>
      </c>
      <c r="C9730" s="10" t="inlineStr">
        <is>
          <t>Chuyên viên cao cấp Nghiên cứu và định hình Văn hóa Doanh nghiệp - Khối Nhân sự</t>
        </is>
      </c>
      <c r="D9730" s="10" t="inlineStr">
        <is>
          <t>Ngân hàng TMCP Phát triển TP.HCM (HDBank)</t>
        </is>
      </c>
      <c r="E9730" s="10" t="inlineStr">
        <is>
          <t>Lương:Cạnh tranh</t>
        </is>
      </c>
      <c r="F9730" s="10" t="inlineStr">
        <is>
          <t>Hồ Chí Minh</t>
        </is>
      </c>
      <c r="G9730" s="10" t="inlineStr">
        <is>
          <t>13-04-2026</t>
        </is>
      </c>
      <c r="H9730" s="10" t="inlineStr">
        <is>
          <t>13/04/2026</t>
        </is>
      </c>
      <c r="I9730" s="10" t="inlineStr">
        <is>
          <t>17/03/2026</t>
        </is>
      </c>
      <c r="J9730" s="10" t="inlineStr">
        <is>
          <t>Nhân sự, Ngân hàng, Truyền hình / Báo chí / Biên tập</t>
        </is>
      </c>
      <c r="K9730" s="10" t="inlineStr">
        <is>
          <t>2 - 5 Năm</t>
        </is>
      </c>
      <c r="L9730" s="11">
        <f>HYPERLINK("https://careerviet.vn/vi/tim-viec-lam/chuyen-vien-cao-cap-nghien-cuu-va-dinh-hinh-van-hoa-doanh-nghiep-khoi-nhan-su.35C65594.html","Xem chi tiết")</f>
        <v/>
      </c>
      <c r="M9730" s="10" t="n"/>
    </row>
    <row r="9731">
      <c r="B9731" s="7" t="n">
        <v>9729</v>
      </c>
      <c r="C9731" t="inlineStr">
        <is>
          <t>Trưởng Phòng Kinh Doanh Thị Trường (Khu Vực HCM)</t>
        </is>
      </c>
      <c r="D9731" t="inlineStr">
        <is>
          <t>Công ty Cổ phần Mỹ phẩm Quốc tế Thùy Dung</t>
        </is>
      </c>
      <c r="E9731" t="inlineStr">
        <is>
          <t>Lương:Cạnh tranh</t>
        </is>
      </c>
      <c r="F9731" t="inlineStr">
        <is>
          <t>Hồ Chí Minh</t>
        </is>
      </c>
      <c r="G9731" t="inlineStr">
        <is>
          <t>13-04-2026</t>
        </is>
      </c>
      <c r="H9731" t="inlineStr">
        <is>
          <t>13/04/2026</t>
        </is>
      </c>
      <c r="I9731" t="inlineStr">
        <is>
          <t>17/03/2026</t>
        </is>
      </c>
      <c r="J9731" t="inlineStr">
        <is>
          <t>Bán hàng / Kinh doanh, Bán lẻ / Bán sỉ, Tiếp thị / Marketing</t>
        </is>
      </c>
      <c r="K9731" t="inlineStr">
        <is>
          <t>3 - 5 Năm</t>
        </is>
      </c>
      <c r="L9731" s="8">
        <f>HYPERLINK("https://careerviet.vn/vi/tim-viec-lam/truong-phong-kinh-doanh-thi-truong-khu-vuc-hcm.35C6576B.html","Xem chi tiết")</f>
        <v/>
      </c>
    </row>
    <row r="9732">
      <c r="B9732" s="9" t="n">
        <v>9730</v>
      </c>
      <c r="C9732" s="10" t="inlineStr">
        <is>
          <t>Chief Content Director</t>
        </is>
      </c>
      <c r="D9732" s="10" t="inlineStr">
        <is>
          <t>Beta Group</t>
        </is>
      </c>
      <c r="E9732" s="10" t="inlineStr">
        <is>
          <t>Lương:Cạnh tranh</t>
        </is>
      </c>
      <c r="F9732" s="10" t="inlineStr">
        <is>
          <t>Hồ Chí Minh</t>
        </is>
      </c>
      <c r="G9732" s="10" t="inlineStr">
        <is>
          <t>13-04-2026</t>
        </is>
      </c>
      <c r="H9732" s="10" t="inlineStr">
        <is>
          <t>13/04/2026</t>
        </is>
      </c>
      <c r="I9732" s="10" t="inlineStr">
        <is>
          <t>17/03/2026</t>
        </is>
      </c>
      <c r="J9732" s="10" t="inlineStr">
        <is>
          <t>Giải trí, Truyền hình / Báo chí / Biên tập, Quảng cáo / Đối ngoại / Truyền Thông</t>
        </is>
      </c>
      <c r="K9732" s="10" t="inlineStr">
        <is>
          <t>10 - 15 Năm</t>
        </is>
      </c>
      <c r="L9732" s="11">
        <f>HYPERLINK("https://careerviet.vn/vi/tim-viec-lam/chief-content-director.35C657A7.html","Xem chi tiết")</f>
        <v/>
      </c>
      <c r="M9732" s="10" t="n"/>
    </row>
    <row r="9733">
      <c r="B9733" s="7" t="n">
        <v>9731</v>
      </c>
      <c r="C9733" t="inlineStr">
        <is>
          <t>Nhân viên kỹ thuật điện nước</t>
        </is>
      </c>
      <c r="D9733" t="inlineStr">
        <is>
          <t>Công ty cổ phần thương mại kỹ thuật An Việt - CN TP HCM</t>
        </is>
      </c>
      <c r="E9733" t="inlineStr">
        <is>
          <t>Lương:10 Tr - 12 Tr VND</t>
        </is>
      </c>
      <c r="F9733" t="inlineStr">
        <is>
          <t>Hồ Chí Minh</t>
        </is>
      </c>
      <c r="G9733" t="inlineStr">
        <is>
          <t>13-04-2026</t>
        </is>
      </c>
      <c r="H9733" t="inlineStr">
        <is>
          <t>13/04/2026</t>
        </is>
      </c>
      <c r="I9733" t="inlineStr">
        <is>
          <t>17/03/2026</t>
        </is>
      </c>
      <c r="J9733" t="inlineStr">
        <is>
          <t>Cơ khí / Ô tô / Tự động hóa, Điện / Điện tử / Điện lạnh / Điện công nghiệp, Bảo trì / Sửa chữa</t>
        </is>
      </c>
      <c r="K9733" t="inlineStr">
        <is>
          <t>Chưa có kinh nghiệm</t>
        </is>
      </c>
      <c r="L9733" s="8">
        <f>HYPERLINK("https://careerviet.vn/vi/tim-viec-lam/nhan-vien-ky-thuat-dien-nuoc.35C6565B.html","Xem chi tiết")</f>
        <v/>
      </c>
    </row>
    <row r="9734">
      <c r="B9734" s="9" t="n">
        <v>9732</v>
      </c>
      <c r="C9734" s="10" t="inlineStr">
        <is>
          <t>Nhân viên Trực Page</t>
        </is>
      </c>
      <c r="D9734" s="10" t="inlineStr">
        <is>
          <t>Công ty CP Toshiko Việt Nam</t>
        </is>
      </c>
      <c r="E9734" s="10" t="inlineStr">
        <is>
          <t>Lương:9 Tr - 12 Tr VND</t>
        </is>
      </c>
      <c r="F9734" s="10" t="inlineStr">
        <is>
          <t>Hà Nội</t>
        </is>
      </c>
      <c r="G9734" s="10" t="inlineStr">
        <is>
          <t>13-04-2026</t>
        </is>
      </c>
      <c r="H9734" s="10" t="inlineStr">
        <is>
          <t>13/04/2026</t>
        </is>
      </c>
      <c r="I9734" s="10" t="inlineStr">
        <is>
          <t>17/03/2026</t>
        </is>
      </c>
      <c r="J9734" s="10" t="inlineStr">
        <is>
          <t>Bán hàng / Kinh doanh, Tiếp thị trực tuyến, Tư vấn</t>
        </is>
      </c>
      <c r="K9734" s="10" t="inlineStr">
        <is>
          <t>N/A</t>
        </is>
      </c>
      <c r="L9734" s="11">
        <f>HYPERLINK("https://careerviet.vn/vi/tim-viec-lam/nhan-vien-truc-page.35C655DB.html","Xem chi tiết")</f>
        <v/>
      </c>
      <c r="M9734" s="10" t="n"/>
    </row>
    <row r="9735">
      <c r="B9735" s="7" t="n">
        <v>9733</v>
      </c>
      <c r="C9735" t="inlineStr">
        <is>
          <t>Nhân viên thiết kế và quay dựng</t>
        </is>
      </c>
      <c r="D9735" t="inlineStr">
        <is>
          <t>Công Ty Cổ Phần Tân Vĩnh Cửu (Tavico group)</t>
        </is>
      </c>
      <c r="E9735" t="inlineStr">
        <is>
          <t>Lương:Cạnh tranh</t>
        </is>
      </c>
      <c r="F9735" t="inlineStr">
        <is>
          <t>Đồng Nai</t>
        </is>
      </c>
      <c r="G9735" t="inlineStr">
        <is>
          <t>13-04-2026</t>
        </is>
      </c>
      <c r="H9735" t="inlineStr">
        <is>
          <t>13/04/2026</t>
        </is>
      </c>
      <c r="I9735" t="inlineStr">
        <is>
          <t>17/03/2026</t>
        </is>
      </c>
      <c r="J9735" t="inlineStr">
        <is>
          <t>Mỹ thuật / Nghệ thuật / Thiết kế, Truyền hình / Báo chí / Biên tập, Quảng cáo / Đối ngoại / Truyền Thông</t>
        </is>
      </c>
      <c r="K9735" t="inlineStr">
        <is>
          <t>1 - 2 Năm</t>
        </is>
      </c>
      <c r="L9735" s="8">
        <f>HYPERLINK("https://careerviet.vn/vi/tim-viec-lam/nhan-vien-thiet-ke-va-quay-dung.35C6571B.html","Xem chi tiết")</f>
        <v/>
      </c>
    </row>
    <row r="9736">
      <c r="B9736" s="9" t="n">
        <v>9734</v>
      </c>
      <c r="C9736" s="10" t="inlineStr">
        <is>
          <t>[BÀ RỊA VŨNG TÀU cũ] Giám sát/Tổ trưởng buồng phòng</t>
        </is>
      </c>
      <c r="D9736" s="10" t="inlineStr">
        <is>
          <t>Công ty cổ phần du lịch Sài Gòn Bình Châu</t>
        </is>
      </c>
      <c r="E9736" s="10" t="inlineStr">
        <is>
          <t>Lương:10 Tr - 13 Tr VND</t>
        </is>
      </c>
      <c r="F9736" s="10" t="inlineStr">
        <is>
          <t>Bà Rịa - Vũng Tàu</t>
        </is>
      </c>
      <c r="G9736" s="10" t="inlineStr">
        <is>
          <t>13-04-2026</t>
        </is>
      </c>
      <c r="H9736" s="10" t="inlineStr">
        <is>
          <t>13/04/2026</t>
        </is>
      </c>
      <c r="I9736" s="10" t="inlineStr">
        <is>
          <t>17/03/2026</t>
        </is>
      </c>
      <c r="J9736" s="10" t="inlineStr">
        <is>
          <t>Nhà hàng / Khách sạn</t>
        </is>
      </c>
      <c r="K9736" s="10" t="inlineStr">
        <is>
          <t>2 - 5 Năm</t>
        </is>
      </c>
      <c r="L9736" s="11">
        <f>HYPERLINK("https://careerviet.vn/vi/tim-viec-lam/ba-ria-vung-tau-cu-giam-sat-to-truong-buong-phong.35C65732.html","Xem chi tiết")</f>
        <v/>
      </c>
      <c r="M9736" s="10" t="n"/>
    </row>
    <row r="9737">
      <c r="B9737" s="7" t="n">
        <v>9735</v>
      </c>
      <c r="C9737" t="inlineStr">
        <is>
          <t>Chuyên viên sản xuất video</t>
        </is>
      </c>
      <c r="D9737" t="inlineStr">
        <is>
          <t>Công ty CP Bệnh Viện Đa Khoa Quốc Tế Vinmec</t>
        </is>
      </c>
      <c r="E9737" t="inlineStr">
        <is>
          <t>Lương:Cạnh tranh</t>
        </is>
      </c>
      <c r="F9737" t="inlineStr">
        <is>
          <t>Hà Nội</t>
        </is>
      </c>
      <c r="G9737" t="inlineStr">
        <is>
          <t>13-04-2026</t>
        </is>
      </c>
      <c r="H9737" t="inlineStr">
        <is>
          <t>13/04/2026</t>
        </is>
      </c>
      <c r="I9737" t="inlineStr">
        <is>
          <t>17/03/2026</t>
        </is>
      </c>
      <c r="J9737" t="inlineStr">
        <is>
          <t>Mỹ thuật / Nghệ thuật / Thiết kế, Truyền hình / Báo chí / Biên tập, Quảng cáo / Đối ngoại / Truyền Thông</t>
        </is>
      </c>
      <c r="K9737" t="inlineStr">
        <is>
          <t>2 - 9 Năm</t>
        </is>
      </c>
      <c r="L9737" s="8">
        <f>HYPERLINK("https://careerviet.vn/vi/tim-viec-lam/chuyen-vien-san-xuat-video.35C65648.html","Xem chi tiết")</f>
        <v/>
      </c>
    </row>
    <row r="9738">
      <c r="B9738" s="9" t="n">
        <v>9736</v>
      </c>
      <c r="C9738" s="10" t="inlineStr">
        <is>
          <t>Admin staff for warehouse Operation</t>
        </is>
      </c>
      <c r="D9738" s="10" t="inlineStr">
        <is>
          <t>CÔNG TY TNHH THIỀN</t>
        </is>
      </c>
      <c r="E9738" s="10" t="inlineStr">
        <is>
          <t>Lương:Cạnh tranh</t>
        </is>
      </c>
      <c r="F9738" s="10" t="inlineStr">
        <is>
          <t>Hưng Yên</t>
        </is>
      </c>
      <c r="G9738" s="10" t="inlineStr">
        <is>
          <t>13-04-2026</t>
        </is>
      </c>
      <c r="H9738" s="10" t="inlineStr">
        <is>
          <t>13/04/2026</t>
        </is>
      </c>
      <c r="I9738" s="10" t="inlineStr">
        <is>
          <t>17/03/2026</t>
        </is>
      </c>
      <c r="J9738" s="10" t="inlineStr">
        <is>
          <t>Hành chính / Thư ký</t>
        </is>
      </c>
      <c r="K9738" s="10" t="inlineStr">
        <is>
          <t>Lên đến 2 Năm</t>
        </is>
      </c>
      <c r="L9738" s="11">
        <f>HYPERLINK("https://careerviet.vn/vi/tim-viec-lam/admin-staff-for-warehouse-operation.35C6556D.html","Xem chi tiết")</f>
        <v/>
      </c>
      <c r="M9738" s="10" t="n"/>
    </row>
    <row r="9739">
      <c r="B9739" s="7" t="n">
        <v>9737</v>
      </c>
      <c r="C9739" t="inlineStr">
        <is>
          <t>VPBank - Chuyên Viên Cao Cấp Quan Hệ Khách Hàng Ưu Tiên - Quảng Ngãi</t>
        </is>
      </c>
      <c r="D9739" t="inlineStr">
        <is>
          <t>Ngân Hàng TMCP Việt Nam Thịnh Vượng - VPBANK</t>
        </is>
      </c>
      <c r="E9739" t="inlineStr">
        <is>
          <t>Lương:15 Tr - 22 Tr VND</t>
        </is>
      </c>
      <c r="F9739" t="inlineStr">
        <is>
          <t>Quảng Ngãi</t>
        </is>
      </c>
      <c r="G9739" t="inlineStr">
        <is>
          <t>13-04-2026</t>
        </is>
      </c>
      <c r="H9739" t="inlineStr">
        <is>
          <t>13/04/2026</t>
        </is>
      </c>
      <c r="I9739" t="inlineStr">
        <is>
          <t>17/03/2026</t>
        </is>
      </c>
      <c r="J9739" t="inlineStr">
        <is>
          <t>Bán hàng / Kinh doanh, Ngân hàng, Bảo hiểm</t>
        </is>
      </c>
      <c r="K9739" t="inlineStr">
        <is>
          <t>1 - 3 Năm</t>
        </is>
      </c>
      <c r="L9739" s="8">
        <f>HYPERLINK("https://careerviet.vn/vi/tim-viec-lam/vpbank-chuyen-vien-cao-cap-quan-he-khach-hang-uu-tien-quang-ngai.35C657DE.html","Xem chi tiết")</f>
        <v/>
      </c>
    </row>
    <row r="9740">
      <c r="B9740" s="9" t="n">
        <v>9738</v>
      </c>
      <c r="C9740" s="10" t="inlineStr">
        <is>
          <t>VPBank - Chuyên Viên Cao Cấp Quan Hệ Khách Hàng Ưu Tiên - Huế</t>
        </is>
      </c>
      <c r="D9740" s="10" t="inlineStr">
        <is>
          <t>Ngân Hàng TMCP Việt Nam Thịnh Vượng - VPBANK</t>
        </is>
      </c>
      <c r="E9740" s="10" t="inlineStr">
        <is>
          <t>Lương:15 Tr - 22 Tr VND</t>
        </is>
      </c>
      <c r="F9740" s="10" t="inlineStr">
        <is>
          <t>Thừa Thiên- Huế</t>
        </is>
      </c>
      <c r="G9740" s="10" t="inlineStr">
        <is>
          <t>13-04-2026</t>
        </is>
      </c>
      <c r="H9740" s="10" t="inlineStr">
        <is>
          <t>13/04/2026</t>
        </is>
      </c>
      <c r="I9740" s="10" t="inlineStr">
        <is>
          <t>17/03/2026</t>
        </is>
      </c>
      <c r="J9740" s="10" t="inlineStr">
        <is>
          <t>Bán hàng / Kinh doanh, Ngân hàng, Bảo hiểm</t>
        </is>
      </c>
      <c r="K9740" s="10" t="inlineStr">
        <is>
          <t>1 - 3 Năm</t>
        </is>
      </c>
      <c r="L9740" s="11">
        <f>HYPERLINK("https://careerviet.vn/vi/tim-viec-lam/vpbank-chuyen-vien-cao-cap-quan-he-khach-hang-uu-tien-hue.35C657D7.html","Xem chi tiết")</f>
        <v/>
      </c>
      <c r="M9740" s="10" t="n"/>
    </row>
    <row r="9741">
      <c r="B9741" s="7" t="n">
        <v>9739</v>
      </c>
      <c r="C9741" t="inlineStr">
        <is>
          <t>Thực Tập Sinh Kế Toán</t>
        </is>
      </c>
      <c r="D9741" t="inlineStr">
        <is>
          <t>Công ty TNHH Sản xuất Thương mại &amp; Dịch vụ Hoa Xinh</t>
        </is>
      </c>
      <c r="E9741" t="inlineStr">
        <is>
          <t>Lương:4 Tr - 5 Tr VND</t>
        </is>
      </c>
      <c r="F9741" t="inlineStr">
        <is>
          <t>Hồ Chí Minh</t>
        </is>
      </c>
      <c r="G9741" t="inlineStr">
        <is>
          <t>13-04-2026</t>
        </is>
      </c>
      <c r="H9741" t="inlineStr">
        <is>
          <t>13/04/2026</t>
        </is>
      </c>
      <c r="I9741" t="inlineStr">
        <is>
          <t>17/03/2026</t>
        </is>
      </c>
      <c r="J9741" t="inlineStr">
        <is>
          <t>Kế toán / Kiểm toán</t>
        </is>
      </c>
      <c r="K9741" t="inlineStr">
        <is>
          <t>N/A</t>
        </is>
      </c>
      <c r="L9741" s="8">
        <f>HYPERLINK("https://careerviet.vn/vi/tim-viec-lam/thuc-tap-sinh-ke-toan.35C656F7.html","Xem chi tiết")</f>
        <v/>
      </c>
    </row>
    <row r="9742">
      <c r="B9742" s="9" t="n">
        <v>9740</v>
      </c>
      <c r="C9742" s="10" t="inlineStr">
        <is>
          <t>126723 - Design &amp; Verification Engineer Leader- Semiconductor (LSI)</t>
        </is>
      </c>
      <c r="D9742" s="10" t="inlineStr">
        <is>
          <t>RGF HR Agent Vietnam Co., LTD</t>
        </is>
      </c>
      <c r="E9742" s="10" t="inlineStr">
        <is>
          <t>Lương:20 Tr - 77 Tr VND</t>
        </is>
      </c>
      <c r="F9742" s="10" t="inlineStr">
        <is>
          <t>Hồ Chí Minh</t>
        </is>
      </c>
      <c r="G9742" s="10" t="inlineStr">
        <is>
          <t>13-04-2026</t>
        </is>
      </c>
      <c r="H9742" s="10" t="inlineStr">
        <is>
          <t>13/04/2026</t>
        </is>
      </c>
      <c r="I9742" s="10" t="inlineStr">
        <is>
          <t>17/03/2026</t>
        </is>
      </c>
      <c r="J9742" s="10" t="inlineStr">
        <is>
          <t>Sản xuất / Vận hành sản xuất</t>
        </is>
      </c>
      <c r="K9742" s="10" t="inlineStr">
        <is>
          <t>Trên 2 Năm</t>
        </is>
      </c>
      <c r="L9742" s="11">
        <f>HYPERLINK("https://careerviet.vn/vi/tim-viec-lam/126723-design-verification-engineer-leader-semiconductor-lsi.35C65768.html","Xem chi tiết")</f>
        <v/>
      </c>
      <c r="M9742" s="10" t="n"/>
    </row>
    <row r="9743">
      <c r="B9743" s="7" t="n">
        <v>9741</v>
      </c>
      <c r="C9743" t="inlineStr">
        <is>
          <t>VPBank - Chuyên Viên Cao Cấp Quan Hệ Khách Hàng Ưu Tiên - Đắc Lắc</t>
        </is>
      </c>
      <c r="D9743" t="inlineStr">
        <is>
          <t>Ngân Hàng TMCP Việt Nam Thịnh Vượng - VPBANK</t>
        </is>
      </c>
      <c r="E9743" t="inlineStr">
        <is>
          <t>Lương:15 Tr - 22 Tr VND</t>
        </is>
      </c>
      <c r="F9743" t="inlineStr">
        <is>
          <t>Dak Lak</t>
        </is>
      </c>
      <c r="G9743" t="inlineStr">
        <is>
          <t>13-04-2026</t>
        </is>
      </c>
      <c r="H9743" t="inlineStr">
        <is>
          <t>13/04/2026</t>
        </is>
      </c>
      <c r="I9743" t="inlineStr">
        <is>
          <t>17/03/2026</t>
        </is>
      </c>
      <c r="J9743" t="inlineStr">
        <is>
          <t>Bán hàng / Kinh doanh, Ngân hàng, Bảo hiểm</t>
        </is>
      </c>
      <c r="K9743" t="inlineStr">
        <is>
          <t>1 - 3 Năm</t>
        </is>
      </c>
      <c r="L9743" s="8">
        <f>HYPERLINK("https://careerviet.vn/vi/tim-viec-lam/vpbank-chuyen-vien-cao-cap-quan-he-khach-hang-uu-tien-dac-lac.35C657DC.html","Xem chi tiết")</f>
        <v/>
      </c>
    </row>
    <row r="9744">
      <c r="B9744" s="9" t="n">
        <v>9742</v>
      </c>
      <c r="C9744" s="10" t="inlineStr">
        <is>
          <t>[NSG] - Chuyên viên Cao cấp Tổ chức Hỗ trợ Công nghệ Thông tin</t>
        </is>
      </c>
      <c r="D9744" s="10" t="inlineStr">
        <is>
          <t>Nova Service Group - Công ty Cổ phần Tập đoàn Nova Services</t>
        </is>
      </c>
      <c r="E9744" s="10" t="inlineStr">
        <is>
          <t>Lương:Cạnh tranh</t>
        </is>
      </c>
      <c r="F9744" s="10" t="inlineStr">
        <is>
          <t>Hồ Chí Minh</t>
        </is>
      </c>
      <c r="G9744" s="10" t="inlineStr">
        <is>
          <t>13-04-2026</t>
        </is>
      </c>
      <c r="H9744" s="10" t="inlineStr">
        <is>
          <t>13/04/2026</t>
        </is>
      </c>
      <c r="I9744" s="10" t="inlineStr">
        <is>
          <t>17/03/2026</t>
        </is>
      </c>
      <c r="J9744" s="10" t="inlineStr">
        <is>
          <t>CNTT - Phần mềm, CNTT - Phần cứng / Mạng</t>
        </is>
      </c>
      <c r="K9744" s="10" t="inlineStr">
        <is>
          <t>2 - 3 Năm</t>
        </is>
      </c>
      <c r="L9744" s="11">
        <f>HYPERLINK("https://careerviet.vn/vi/tim-viec-lam/nsg-chuyen-vien-cao-cap-to-chuc-ho-tro-cong-nghe-thong-tin.35C657C4.html","Xem chi tiết")</f>
        <v/>
      </c>
      <c r="M9744" s="10" t="n"/>
    </row>
    <row r="9745">
      <c r="B9745" s="7" t="n">
        <v>9743</v>
      </c>
      <c r="C9745" t="inlineStr">
        <is>
          <t>Nhân Viên Tư vấn Tuyển Sinh Tiếng Trung</t>
        </is>
      </c>
      <c r="D9745" t="inlineStr">
        <is>
          <t>CÔNG TY CỔ PHẦN CÔNG NGHỆ PREP</t>
        </is>
      </c>
      <c r="E9745" t="inlineStr">
        <is>
          <t>Lương:15 Tr - 30 Tr VND</t>
        </is>
      </c>
      <c r="F9745" t="inlineStr">
        <is>
          <t>Hà Nội</t>
        </is>
      </c>
      <c r="G9745" t="inlineStr">
        <is>
          <t>13-04-2026</t>
        </is>
      </c>
      <c r="H9745" t="inlineStr">
        <is>
          <t>13/04/2026</t>
        </is>
      </c>
      <c r="I9745" t="inlineStr">
        <is>
          <t>17/03/2026</t>
        </is>
      </c>
      <c r="J9745" t="inlineStr">
        <is>
          <t>Tư vấn, Giáo dục / Đào tạo, Bán hàng / Kinh doanh</t>
        </is>
      </c>
      <c r="K9745" t="inlineStr">
        <is>
          <t>Lên đến 1 Năm</t>
        </is>
      </c>
      <c r="L9745" s="8">
        <f>HYPERLINK("https://careerviet.vn/vi/tim-viec-lam/nhan-vien-tu-van-tuyen-sinh-tieng-trung.35C62888.html","Xem chi tiết")</f>
        <v/>
      </c>
    </row>
    <row r="9746">
      <c r="B9746" s="9" t="n">
        <v>9744</v>
      </c>
      <c r="C9746" s="10" t="inlineStr">
        <is>
          <t>Biên Tập Viên Nội Dung</t>
        </is>
      </c>
      <c r="D9746" s="10" t="inlineStr">
        <is>
          <t>Công ty Cổ phần Mediamart Việt Nam</t>
        </is>
      </c>
      <c r="E9746" s="10" t="inlineStr">
        <is>
          <t>Lương:12 Tr - 15 Tr VND</t>
        </is>
      </c>
      <c r="F9746" s="10" t="inlineStr">
        <is>
          <t>Hà Nội</t>
        </is>
      </c>
      <c r="G9746" s="10" t="inlineStr">
        <is>
          <t>13-04-2026</t>
        </is>
      </c>
      <c r="H9746" s="10" t="inlineStr">
        <is>
          <t>13/04/2026</t>
        </is>
      </c>
      <c r="I9746" s="10" t="inlineStr">
        <is>
          <t>17/03/2026</t>
        </is>
      </c>
      <c r="J9746" s="10" t="inlineStr">
        <is>
          <t>Tiếp thị / Marketing, Truyền hình / Báo chí / Biên tập, Quảng cáo / Đối ngoại / Truyền Thông</t>
        </is>
      </c>
      <c r="K9746" s="10" t="inlineStr">
        <is>
          <t>1 - 2 Năm</t>
        </is>
      </c>
      <c r="L9746" s="11">
        <f>HYPERLINK("https://careerviet.vn/vi/tim-viec-lam/bien-tap-vien-noi-dung.35C65568.html","Xem chi tiết")</f>
        <v/>
      </c>
      <c r="M9746" s="10" t="n"/>
    </row>
    <row r="9747">
      <c r="B9747" s="7" t="n">
        <v>9745</v>
      </c>
      <c r="C9747" t="inlineStr">
        <is>
          <t>Nhân viên công nghệ sản phẩm nhà máy 2 ( tiếng trung hoặc tiếng anh )</t>
        </is>
      </c>
      <c r="D9747" t="inlineStr">
        <is>
          <t>Công ty TNHH Midea Consumer Electric Vietnam</t>
        </is>
      </c>
      <c r="E9747" t="inlineStr">
        <is>
          <t>Lương:Cạnh tranh</t>
        </is>
      </c>
      <c r="F9747" t="inlineStr">
        <is>
          <t>Bình Dương</t>
        </is>
      </c>
      <c r="G9747" t="inlineStr">
        <is>
          <t>13-04-2026</t>
        </is>
      </c>
      <c r="H9747" t="inlineStr">
        <is>
          <t>13/04/2026</t>
        </is>
      </c>
      <c r="I9747" t="inlineStr">
        <is>
          <t>17/03/2026</t>
        </is>
      </c>
      <c r="J9747" t="inlineStr">
        <is>
          <t>Thương mại điện tử, Điện / Điện tử / Điện lạnh / Điện công nghiệp</t>
        </is>
      </c>
      <c r="K9747" t="inlineStr">
        <is>
          <t>1 - 2 Năm</t>
        </is>
      </c>
      <c r="L9747" s="8">
        <f>HYPERLINK("https://careerviet.vn/vi/tim-viec-lam/nhan-vien-cong-nghe-san-pham-nha-may-2-tieng-trung-hoac-tieng-anh.35C65651.html","Xem chi tiết")</f>
        <v/>
      </c>
    </row>
    <row r="9748">
      <c r="B9748" s="9" t="n">
        <v>9746</v>
      </c>
      <c r="C9748" s="10" t="inlineStr">
        <is>
          <t>TẬP SỰ TƯ VẤN ĐẦU TƯ KHCN (CN ĐỒNG NAI )</t>
        </is>
      </c>
      <c r="D9748" s="10" t="inlineStr">
        <is>
          <t>VDSC - Công ty CP Chứng khoán Rồng Việt</t>
        </is>
      </c>
      <c r="E9748" s="10" t="inlineStr">
        <is>
          <t>Lương:3 Tr - 5 Tr VND</t>
        </is>
      </c>
      <c r="F9748" s="10" t="inlineStr">
        <is>
          <t>Đồng Nai</t>
        </is>
      </c>
      <c r="G9748" s="10" t="inlineStr">
        <is>
          <t>13-04-2026</t>
        </is>
      </c>
      <c r="H9748" s="10" t="inlineStr">
        <is>
          <t>13/04/2026</t>
        </is>
      </c>
      <c r="I9748" s="10" t="inlineStr">
        <is>
          <t>17/03/2026</t>
        </is>
      </c>
      <c r="J9748" s="10" t="inlineStr">
        <is>
          <t>Ngân hàng, Chứng khoán, Tài chính / Đầu tư</t>
        </is>
      </c>
      <c r="K9748" s="10" t="inlineStr">
        <is>
          <t>N/A</t>
        </is>
      </c>
      <c r="L9748" s="11">
        <f>HYPERLINK("https://careerviet.vn/vi/tim-viec-lam/tap-su-tu-van-dau-tu-khcn-cn-dong-nai.35C6563A.html","Xem chi tiết")</f>
        <v/>
      </c>
      <c r="M9748" s="10" t="n"/>
    </row>
    <row r="9749">
      <c r="B9749" s="7" t="n">
        <v>9747</v>
      </c>
      <c r="C9749" t="inlineStr">
        <is>
          <t>Sale Administrator (8-Month Contract)</t>
        </is>
      </c>
      <c r="D9749" t="inlineStr">
        <is>
          <t>CÔNG TY TNHH MINTHACARE</t>
        </is>
      </c>
      <c r="E9749" t="inlineStr">
        <is>
          <t>Lương:Cạnh tranh</t>
        </is>
      </c>
      <c r="F9749" t="inlineStr">
        <is>
          <t>Hồ Chí Minh</t>
        </is>
      </c>
      <c r="G9749" t="inlineStr">
        <is>
          <t>13-04-2026</t>
        </is>
      </c>
      <c r="H9749" t="inlineStr">
        <is>
          <t>13/04/2026</t>
        </is>
      </c>
      <c r="I9749" t="inlineStr">
        <is>
          <t>17/03/2026</t>
        </is>
      </c>
      <c r="J9749" t="inlineStr">
        <is>
          <t>Bán lẻ / Bán sỉ, Dược phẩm/ Hóa Mỹ Phẩm, Hành chính / Thư ký</t>
        </is>
      </c>
      <c r="K9749" t="inlineStr">
        <is>
          <t>3 - 5 Năm</t>
        </is>
      </c>
      <c r="L9749" s="8">
        <f>HYPERLINK("https://careerviet.vn/vi/tim-viec-lam/sale-administrator-8-month-contract.35C657C1.html","Xem chi tiết")</f>
        <v/>
      </c>
    </row>
    <row r="9750">
      <c r="B9750" s="9" t="n">
        <v>9748</v>
      </c>
      <c r="C9750" s="10" t="inlineStr">
        <is>
          <t>Thư ký Tổng hợp (GVM)</t>
        </is>
      </c>
      <c r="D9750" s="10" t="inlineStr">
        <is>
          <t>Nova Service Group - Công ty Cổ phần Tập đoàn Nova Services</t>
        </is>
      </c>
      <c r="E9750" s="10" t="inlineStr">
        <is>
          <t>Lương:Cạnh tranh</t>
        </is>
      </c>
      <c r="F9750" s="10" t="inlineStr">
        <is>
          <t>Hồ Chí Minh</t>
        </is>
      </c>
      <c r="G9750" s="10" t="inlineStr">
        <is>
          <t>13-04-2026</t>
        </is>
      </c>
      <c r="H9750" s="10" t="inlineStr">
        <is>
          <t>13/04/2026</t>
        </is>
      </c>
      <c r="I9750" s="10" t="inlineStr">
        <is>
          <t>17/03/2026</t>
        </is>
      </c>
      <c r="J9750" s="10" t="inlineStr">
        <is>
          <t>Hành chính / Thư ký</t>
        </is>
      </c>
      <c r="K9750" s="10" t="inlineStr">
        <is>
          <t>2 - 3 Năm</t>
        </is>
      </c>
      <c r="L9750" s="11">
        <f>HYPERLINK("https://careerviet.vn/vi/tim-viec-lam/thu-ky-tong-hop-gvm.35C655F7.html","Xem chi tiết")</f>
        <v/>
      </c>
      <c r="M9750" s="10" t="n"/>
    </row>
    <row r="9751">
      <c r="B9751" s="7" t="n">
        <v>9749</v>
      </c>
      <c r="C9751" t="inlineStr">
        <is>
          <t>Chuyên viên phát triển dự án điện mặt trời - Hà Nội</t>
        </is>
      </c>
      <c r="D9751" t="inlineStr">
        <is>
          <t>CÔNG TY CỔ PHẦN TẬP ĐOÀN DAT</t>
        </is>
      </c>
      <c r="E9751" t="inlineStr">
        <is>
          <t>Lương:30 Tr - 40 Tr VND</t>
        </is>
      </c>
      <c r="F9751" t="inlineStr">
        <is>
          <t>Hà Nội</t>
        </is>
      </c>
      <c r="G9751" t="inlineStr">
        <is>
          <t>13-04-2026</t>
        </is>
      </c>
      <c r="H9751" t="inlineStr">
        <is>
          <t>13/04/2026</t>
        </is>
      </c>
      <c r="I9751" t="inlineStr">
        <is>
          <t>17/03/2026</t>
        </is>
      </c>
      <c r="J9751" t="inlineStr">
        <is>
          <t>Bán hàng / Kinh doanh, Bán Hàng Kỹ Thuật, Điện / Điện tử / Điện lạnh / Điện công nghiệp</t>
        </is>
      </c>
      <c r="K9751" t="inlineStr">
        <is>
          <t>2 - 3 Năm</t>
        </is>
      </c>
      <c r="L9751" s="8">
        <f>HYPERLINK("https://careerviet.vn/vi/tim-viec-lam/chuyen-vien-phat-trien-du-an-dien-mat-troi-ha-noi.35C657AA.html","Xem chi tiết")</f>
        <v/>
      </c>
    </row>
    <row r="9752">
      <c r="B9752" s="9" t="n">
        <v>9750</v>
      </c>
      <c r="C9752" s="10" t="inlineStr">
        <is>
          <t>Technical Sales Engineer</t>
        </is>
      </c>
      <c r="D9752" s="10" t="inlineStr">
        <is>
          <t>CÔNG TY TNHH HIRA MANUFACTURING</t>
        </is>
      </c>
      <c r="E9752" s="10" t="inlineStr">
        <is>
          <t>Lương:25 Tr - 40 Tr VND</t>
        </is>
      </c>
      <c r="F9752" s="10" t="inlineStr">
        <is>
          <t>Hồ Chí MinhĐà Nẵng</t>
        </is>
      </c>
      <c r="G9752" s="10" t="inlineStr">
        <is>
          <t>13-04-2026</t>
        </is>
      </c>
      <c r="H9752" s="10" t="inlineStr">
        <is>
          <t>13/04/2026</t>
        </is>
      </c>
      <c r="I9752" s="10" t="inlineStr">
        <is>
          <t>17/03/2026</t>
        </is>
      </c>
      <c r="J9752" s="10" t="inlineStr">
        <is>
          <t>Bán hàng / Kinh doanh, Bán Hàng Kỹ Thuật, Tư vấn</t>
        </is>
      </c>
      <c r="K9752" s="10" t="inlineStr">
        <is>
          <t>3 - 5 Năm</t>
        </is>
      </c>
      <c r="L9752" s="11">
        <f>HYPERLINK("https://careerviet.vn/vi/tim-viec-lam/technical-sales-engineer.35C61FCD.html","Xem chi tiết")</f>
        <v/>
      </c>
      <c r="M9752" s="10" t="n"/>
    </row>
    <row r="9753">
      <c r="B9753" s="7" t="n">
        <v>9751</v>
      </c>
      <c r="C9753" t="inlineStr">
        <is>
          <t>Chuyên viên Kinh doanh</t>
        </is>
      </c>
      <c r="D9753" t="inlineStr">
        <is>
          <t>CÔNG TY TNHH HAMOON</t>
        </is>
      </c>
      <c r="E9753" t="inlineStr">
        <is>
          <t>Lương:Cạnh tranh</t>
        </is>
      </c>
      <c r="F9753" t="inlineStr">
        <is>
          <t>Hồ Chí Minh</t>
        </is>
      </c>
      <c r="G9753" t="inlineStr">
        <is>
          <t>13-04-2026</t>
        </is>
      </c>
      <c r="H9753" t="inlineStr">
        <is>
          <t>13/04/2026</t>
        </is>
      </c>
      <c r="I9753" t="inlineStr">
        <is>
          <t>17/03/2026</t>
        </is>
      </c>
      <c r="J9753" t="inlineStr">
        <is>
          <t>Bán lẻ / Bán sỉ, Bán hàng / Kinh doanh, Dịch vụ khách hàng</t>
        </is>
      </c>
      <c r="K9753" t="inlineStr">
        <is>
          <t>1 - 5 Năm</t>
        </is>
      </c>
      <c r="L9753" s="8">
        <f>HYPERLINK("https://careerviet.vn/vi/tim-viec-lam/chuyen-vien-kinh-doanh.35C6560B.html","Xem chi tiết")</f>
        <v/>
      </c>
    </row>
    <row r="9754">
      <c r="B9754" s="9" t="n">
        <v>9752</v>
      </c>
      <c r="C9754" s="10" t="inlineStr">
        <is>
          <t>Marketing Officer  (Third Party Contract - 12 months)</t>
        </is>
      </c>
      <c r="D9754" s="10" t="inlineStr">
        <is>
          <t>De Heus LLC</t>
        </is>
      </c>
      <c r="E9754" s="10" t="inlineStr">
        <is>
          <t>Lương:Cạnh tranh</t>
        </is>
      </c>
      <c r="F9754" s="10" t="inlineStr">
        <is>
          <t>Hồ Chí Minh</t>
        </is>
      </c>
      <c r="G9754" s="10" t="inlineStr">
        <is>
          <t>13-04-2026</t>
        </is>
      </c>
      <c r="H9754" s="10" t="inlineStr">
        <is>
          <t>13/04/2026</t>
        </is>
      </c>
      <c r="I9754" s="10" t="inlineStr">
        <is>
          <t>17/03/2026</t>
        </is>
      </c>
      <c r="J9754" s="10" t="inlineStr">
        <is>
          <t>Tiếp thị / Marketing</t>
        </is>
      </c>
      <c r="K9754" s="10" t="inlineStr">
        <is>
          <t>1 - 5 Năm</t>
        </is>
      </c>
      <c r="L9754" s="11">
        <f>HYPERLINK("https://careerviet.vn/vi/tim-viec-lam/marketing-officer-third-party-contract-12-months.35C68813.html","Xem chi tiết")</f>
        <v/>
      </c>
      <c r="M9754" s="10" t="n"/>
    </row>
    <row r="9755">
      <c r="B9755" s="7" t="n">
        <v>9753</v>
      </c>
      <c r="C9755" t="inlineStr">
        <is>
          <t>Nhân Viên QC</t>
        </is>
      </c>
      <c r="D9755" t="inlineStr">
        <is>
          <t>CÔNG TY CỔ PHẦN CÔNG NGHIỆP THỰC PHẨM THABICO TIỀN GIANG</t>
        </is>
      </c>
      <c r="E9755" t="inlineStr">
        <is>
          <t>Lương:7,5 Tr - 9 Tr VND</t>
        </is>
      </c>
      <c r="F9755" t="inlineStr">
        <is>
          <t>Tiền Giang</t>
        </is>
      </c>
      <c r="G9755" t="inlineStr">
        <is>
          <t>13-04-2026</t>
        </is>
      </c>
      <c r="H9755" t="inlineStr">
        <is>
          <t>13/04/2026</t>
        </is>
      </c>
      <c r="I9755" t="inlineStr">
        <is>
          <t>17/03/2026</t>
        </is>
      </c>
      <c r="J9755" t="inlineStr">
        <is>
          <t>Thủy sản / Hải sản, Công nghệ thực phẩm / Dinh dưỡng, Quản lý chất lượng (QA/QC)</t>
        </is>
      </c>
      <c r="K9755" t="inlineStr">
        <is>
          <t>N/A</t>
        </is>
      </c>
      <c r="L9755" s="8">
        <f>HYPERLINK("https://careerviet.vn/vi/tim-viec-lam/nhan-vien-qc.35C65614.html","Xem chi tiết")</f>
        <v/>
      </c>
    </row>
    <row r="9756">
      <c r="B9756" s="9" t="n">
        <v>9754</v>
      </c>
      <c r="C9756" s="10" t="inlineStr">
        <is>
          <t>Operation Staff (Fluent in English)</t>
        </is>
      </c>
      <c r="D9756" s="10" t="inlineStr">
        <is>
          <t>Công ty TNHH Yamato Logistics Việt Nam</t>
        </is>
      </c>
      <c r="E9756" s="10" t="inlineStr">
        <is>
          <t>Lương:Cạnh tranh</t>
        </is>
      </c>
      <c r="F9756" s="10" t="inlineStr">
        <is>
          <t>Hà Nội</t>
        </is>
      </c>
      <c r="G9756" s="10" t="inlineStr">
        <is>
          <t>13-04-2026</t>
        </is>
      </c>
      <c r="H9756" s="10" t="inlineStr">
        <is>
          <t>13/04/2026</t>
        </is>
      </c>
      <c r="I9756" s="10" t="inlineStr">
        <is>
          <t>17/03/2026</t>
        </is>
      </c>
      <c r="J9756" s="10" t="inlineStr">
        <is>
          <t>Xuất nhập khẩu</t>
        </is>
      </c>
      <c r="K9756" s="10" t="inlineStr">
        <is>
          <t>1 - 3 Năm</t>
        </is>
      </c>
      <c r="L9756" s="11">
        <f>HYPERLINK("https://careerviet.vn/vi/tim-viec-lam/operation-staff-fluent-in-english.35C687E2.html","Xem chi tiết")</f>
        <v/>
      </c>
      <c r="M9756" s="10" t="n"/>
    </row>
    <row r="9757">
      <c r="B9757" s="7" t="n">
        <v>9755</v>
      </c>
      <c r="C9757" t="inlineStr">
        <is>
          <t>HR &amp; Admin Supervisor</t>
        </is>
      </c>
      <c r="D9757" t="inlineStr">
        <is>
          <t>CÔNG TY TNHH TECLON</t>
        </is>
      </c>
      <c r="E9757" t="inlineStr">
        <is>
          <t>Lương:Cạnh tranh</t>
        </is>
      </c>
      <c r="F9757" t="inlineStr">
        <is>
          <t>Bình Dương</t>
        </is>
      </c>
      <c r="G9757" t="inlineStr">
        <is>
          <t>13-04-2026</t>
        </is>
      </c>
      <c r="H9757" t="inlineStr">
        <is>
          <t>13/04/2026</t>
        </is>
      </c>
      <c r="I9757" t="inlineStr">
        <is>
          <t>17/03/2026</t>
        </is>
      </c>
      <c r="J9757" t="inlineStr">
        <is>
          <t>Quản lý điều hành, Nhân sự, Sản xuất / Vận hành sản xuất</t>
        </is>
      </c>
      <c r="K9757" t="inlineStr">
        <is>
          <t>3 - 5 Năm</t>
        </is>
      </c>
      <c r="L9757" s="8">
        <f>HYPERLINK("https://careerviet.vn/vi/tim-viec-lam/hr-admin-supervisor.35C65571.html","Xem chi tiết")</f>
        <v/>
      </c>
    </row>
    <row r="9758">
      <c r="B9758" s="9" t="n">
        <v>9756</v>
      </c>
      <c r="C9758" s="10" t="inlineStr">
        <is>
          <t>Nhân viên kế toán công nợ</t>
        </is>
      </c>
      <c r="D9758" s="10" t="inlineStr">
        <is>
          <t>Công Ty Cổ phần Xây Dựng Thương Mại Du Lịch Hồng Ngọc Hà</t>
        </is>
      </c>
      <c r="E9758" s="10" t="inlineStr">
        <is>
          <t>Lương:Cạnh tranh</t>
        </is>
      </c>
      <c r="F9758" s="10" t="inlineStr">
        <is>
          <t>Hồ Chí Minh</t>
        </is>
      </c>
      <c r="G9758" s="10" t="inlineStr">
        <is>
          <t>13-04-2026</t>
        </is>
      </c>
      <c r="H9758" s="10" t="inlineStr">
        <is>
          <t>13/04/2026</t>
        </is>
      </c>
      <c r="I9758" s="10" t="inlineStr">
        <is>
          <t>17/03/2026</t>
        </is>
      </c>
      <c r="J9758" s="10" t="inlineStr">
        <is>
          <t>Bán hàng / Kinh doanh, Du lịch, Kế toán / Kiểm toán</t>
        </is>
      </c>
      <c r="K9758" s="10" t="inlineStr">
        <is>
          <t>1 - 3 Năm</t>
        </is>
      </c>
      <c r="L9758" s="11">
        <f>HYPERLINK("https://careerviet.vn/vi/tim-viec-lam/nhan-vien-ke-toan-cong-no.35C6563F.html","Xem chi tiết")</f>
        <v/>
      </c>
      <c r="M9758" s="10" t="n"/>
    </row>
    <row r="9759">
      <c r="B9759" s="7" t="n">
        <v>9757</v>
      </c>
      <c r="C9759" t="inlineStr">
        <is>
          <t>VPBank - Chuyên Viên Cao Cấp Tư Vấn Tài Chính Cá Nhân - Quảng Trị</t>
        </is>
      </c>
      <c r="D9759" t="inlineStr">
        <is>
          <t>Ngân Hàng TMCP Việt Nam Thịnh Vượng - VPBANK</t>
        </is>
      </c>
      <c r="E9759" t="inlineStr">
        <is>
          <t>Lương:15 Tr - 22 Tr VND</t>
        </is>
      </c>
      <c r="F9759" t="inlineStr">
        <is>
          <t>Quảng Trị</t>
        </is>
      </c>
      <c r="G9759" t="inlineStr">
        <is>
          <t>13-04-2026</t>
        </is>
      </c>
      <c r="H9759" t="inlineStr">
        <is>
          <t>13/04/2026</t>
        </is>
      </c>
      <c r="I9759" t="inlineStr">
        <is>
          <t>17/03/2026</t>
        </is>
      </c>
      <c r="J9759" t="inlineStr">
        <is>
          <t>Bán hàng / Kinh doanh, Ngân hàng, Bảo hiểm</t>
        </is>
      </c>
      <c r="K9759" t="inlineStr">
        <is>
          <t>1 - 3 Năm</t>
        </is>
      </c>
      <c r="L9759" s="8">
        <f>HYPERLINK("https://careerviet.vn/vi/tim-viec-lam/vpbank-chuyen-vien-cao-cap-tu-van-tai-chinh-ca-nhan-quang-tri.35C657E8.html","Xem chi tiết")</f>
        <v/>
      </c>
    </row>
    <row r="9760">
      <c r="B9760" s="9" t="n">
        <v>9758</v>
      </c>
      <c r="C9760" s="10" t="inlineStr">
        <is>
          <t>Trưởng Phòng Kinh Doanh</t>
        </is>
      </c>
      <c r="D9760" s="10" t="inlineStr">
        <is>
          <t>CÔNG TY CỔ PHẦN QUỐC TẾ AEMG</t>
        </is>
      </c>
      <c r="E9760" s="10" t="inlineStr">
        <is>
          <t>Lương:Trên 25 Tr VND</t>
        </is>
      </c>
      <c r="F9760" s="10" t="inlineStr">
        <is>
          <t>Hà NộiHồ Chí Minh</t>
        </is>
      </c>
      <c r="G9760" s="10" t="inlineStr">
        <is>
          <t>13-04-2026</t>
        </is>
      </c>
      <c r="H9760" s="10" t="inlineStr">
        <is>
          <t>13/04/2026</t>
        </is>
      </c>
      <c r="I9760" s="10" t="inlineStr">
        <is>
          <t>17/03/2026</t>
        </is>
      </c>
      <c r="J9760" s="10" t="inlineStr">
        <is>
          <t>Bán hàng / Kinh doanh, Quản lý điều hành, Tư vấn</t>
        </is>
      </c>
      <c r="K9760" s="10" t="inlineStr">
        <is>
          <t>3 - 5 Năm</t>
        </is>
      </c>
      <c r="L9760" s="11">
        <f>HYPERLINK("https://careerviet.vn/vi/tim-viec-lam/truong-phong-kinh-doanh.35C68958.html","Xem chi tiết")</f>
        <v/>
      </c>
      <c r="M9760" s="10" t="n"/>
    </row>
    <row r="9761">
      <c r="B9761" s="7" t="n">
        <v>9759</v>
      </c>
      <c r="C9761" t="inlineStr">
        <is>
          <t>CHUYÊN VIÊN PHÁP LÝ CHỨNG TỪ &amp; QUẢN LÝ TÀI SẢN - LONG AN</t>
        </is>
      </c>
      <c r="D9761" t="inlineStr">
        <is>
          <t>Ngân hàng TMCP Phát triển TP.HCM (HDBank)</t>
        </is>
      </c>
      <c r="E9761" t="inlineStr">
        <is>
          <t>Lương:11 Tr - 11 Tr VND</t>
        </is>
      </c>
      <c r="F9761" t="inlineStr">
        <is>
          <t>Long An</t>
        </is>
      </c>
      <c r="G9761" t="inlineStr">
        <is>
          <t>13-04-2026</t>
        </is>
      </c>
      <c r="H9761" t="inlineStr">
        <is>
          <t>13/04/2026</t>
        </is>
      </c>
      <c r="I9761" t="inlineStr">
        <is>
          <t>17/03/2026</t>
        </is>
      </c>
      <c r="J9761" t="inlineStr">
        <is>
          <t>Ngân hàng</t>
        </is>
      </c>
      <c r="K9761" t="inlineStr">
        <is>
          <t>N/A</t>
        </is>
      </c>
      <c r="L9761" s="8">
        <f>HYPERLINK("https://careerviet.vn/vi/tim-viec-lam/chuyen-vien-phap-ly-chung-tu-quan-ly-tai-san-long-an.35C655A2.html","Xem chi tiết")</f>
        <v/>
      </c>
    </row>
    <row r="9762">
      <c r="B9762" s="9" t="n">
        <v>9760</v>
      </c>
      <c r="C9762" s="10" t="inlineStr">
        <is>
          <t>K.CN&amp;CĐS - TT. UDCN - P. Ứng dụng số_CVC/CVCC Ứng dụng mobile (iOS Developer)</t>
        </is>
      </c>
      <c r="D9762" s="10" t="inlineStr">
        <is>
          <t>Ngân Hàng TMCP Phương Đông - OCB</t>
        </is>
      </c>
      <c r="E9762" s="10" t="inlineStr">
        <is>
          <t>Lương:Cạnh tranh</t>
        </is>
      </c>
      <c r="F9762" s="10" t="inlineStr">
        <is>
          <t>Hồ Chí Minh</t>
        </is>
      </c>
      <c r="G9762" s="10" t="inlineStr">
        <is>
          <t>13-04-2026</t>
        </is>
      </c>
      <c r="H9762" s="10" t="inlineStr">
        <is>
          <t>13/04/2026</t>
        </is>
      </c>
      <c r="I9762" s="10" t="inlineStr">
        <is>
          <t>17/03/2026</t>
        </is>
      </c>
      <c r="J9762" s="10" t="inlineStr">
        <is>
          <t>CNTT - Phần mềm</t>
        </is>
      </c>
      <c r="K9762" s="10" t="inlineStr">
        <is>
          <t>Trên 5 Năm</t>
        </is>
      </c>
      <c r="L9762" s="11">
        <f>HYPERLINK("https://careerviet.vn/vi/tim-viec-lam/k-cn-cds-tt-udcn-p-ung-dung-so_cvc-cvcc-ung-dung-mobile-ios-developer.35C65704.html","Xem chi tiết")</f>
        <v/>
      </c>
      <c r="M9762" s="10" t="n"/>
    </row>
    <row r="9763">
      <c r="B9763" s="7" t="n">
        <v>9761</v>
      </c>
      <c r="C9763" t="inlineStr">
        <is>
          <t>VPBank - Chuyên Viên Cao Cấp Bán Sản Phẩm Cho Vay Thế Chấp - Đà Nẵng</t>
        </is>
      </c>
      <c r="D9763" t="inlineStr">
        <is>
          <t>Ngân Hàng TMCP Việt Nam Thịnh Vượng - VPBANK</t>
        </is>
      </c>
      <c r="E9763" t="inlineStr">
        <is>
          <t>Lương:15 Tr - 22 Tr VND</t>
        </is>
      </c>
      <c r="F9763" t="inlineStr">
        <is>
          <t>Đà Nẵng</t>
        </is>
      </c>
      <c r="G9763" t="inlineStr">
        <is>
          <t>13-04-2026</t>
        </is>
      </c>
      <c r="H9763" t="inlineStr">
        <is>
          <t>13/04/2026</t>
        </is>
      </c>
      <c r="I9763" t="inlineStr">
        <is>
          <t>17/03/2026</t>
        </is>
      </c>
      <c r="J9763" t="inlineStr">
        <is>
          <t>Bán hàng / Kinh doanh, Ngân hàng, Bảo hiểm</t>
        </is>
      </c>
      <c r="K9763" t="inlineStr">
        <is>
          <t>1 - 3 Năm</t>
        </is>
      </c>
      <c r="L9763" s="8">
        <f>HYPERLINK("https://careerviet.vn/vi/tim-viec-lam/vpbank-chuyen-vien-cao-cap-ban-san-pham-cho-vay-the-chap-da-nang.35C657DF.html","Xem chi tiết")</f>
        <v/>
      </c>
    </row>
    <row r="9764">
      <c r="B9764" s="9" t="n">
        <v>9762</v>
      </c>
      <c r="C9764" s="10" t="inlineStr">
        <is>
          <t>Nhân viên Bảo trì điện</t>
        </is>
      </c>
      <c r="D9764" s="10" t="inlineStr">
        <is>
          <t>Công ty CP Thành Thành Công - Biên Hòa</t>
        </is>
      </c>
      <c r="E9764" s="10" t="inlineStr">
        <is>
          <t>Lương:Cạnh tranh</t>
        </is>
      </c>
      <c r="F9764" s="10" t="inlineStr">
        <is>
          <t>Tây Ninh</t>
        </is>
      </c>
      <c r="G9764" s="10" t="inlineStr">
        <is>
          <t>13-04-2026</t>
        </is>
      </c>
      <c r="H9764" s="10" t="inlineStr">
        <is>
          <t>13/04/2026</t>
        </is>
      </c>
      <c r="I9764" s="10" t="inlineStr">
        <is>
          <t>17/03/2026</t>
        </is>
      </c>
      <c r="J9764" s="10" t="inlineStr">
        <is>
          <t>Bảo trì / Sửa chữa, Điện / Điện tử / Điện lạnh / Điện công nghiệp</t>
        </is>
      </c>
      <c r="K9764" s="10" t="inlineStr">
        <is>
          <t>1 - 3 Năm</t>
        </is>
      </c>
      <c r="L9764" s="11">
        <f>HYPERLINK("https://careerviet.vn/vi/tim-viec-lam/nhan-vien-bao-tri-dien.35C655F2.html","Xem chi tiết")</f>
        <v/>
      </c>
      <c r="M9764" s="10" t="n"/>
    </row>
    <row r="9765">
      <c r="B9765" s="7" t="n">
        <v>9763</v>
      </c>
      <c r="C9765" t="inlineStr">
        <is>
          <t>Chuyên viên Kế toán - Khối Tài chính Kế toán</t>
        </is>
      </c>
      <c r="D9765" t="inlineStr">
        <is>
          <t>Tổng Công ty Cổ phần Bảo hiểm Quân đội (MIC)</t>
        </is>
      </c>
      <c r="E9765" t="inlineStr">
        <is>
          <t>Lương:Cạnh tranh</t>
        </is>
      </c>
      <c r="F9765" t="inlineStr">
        <is>
          <t>Hà Nội</t>
        </is>
      </c>
      <c r="G9765" t="inlineStr">
        <is>
          <t>13-04-2026</t>
        </is>
      </c>
      <c r="H9765" t="inlineStr">
        <is>
          <t>13/04/2026</t>
        </is>
      </c>
      <c r="I9765" t="inlineStr">
        <is>
          <t>17/03/2026</t>
        </is>
      </c>
      <c r="J9765" t="inlineStr">
        <is>
          <t>Bảo hiểm, Kế toán / Kiểm toán, Ngân hàng</t>
        </is>
      </c>
      <c r="K9765" t="inlineStr">
        <is>
          <t>1 - 5 Năm</t>
        </is>
      </c>
      <c r="L9765" s="8">
        <f>HYPERLINK("https://careerviet.vn/vi/tim-viec-lam/chuyen-vien-ke-toan-khoi-tai-chinh-ke-toan.35C6577A.html","Xem chi tiết")</f>
        <v/>
      </c>
    </row>
    <row r="9766">
      <c r="B9766" s="9" t="n">
        <v>9764</v>
      </c>
      <c r="C9766" s="10" t="inlineStr">
        <is>
          <t>Chuyên viên/ Chuyên viên chính/ Chuyên viên cao cấp Đầu tư và Phát hành Giấy tờ có giá</t>
        </is>
      </c>
      <c r="D9766" s="10" t="inlineStr">
        <is>
          <t>Ngân Hàng TMCP Quốc Tế Việt Nam</t>
        </is>
      </c>
      <c r="E9766" s="10" t="inlineStr">
        <is>
          <t>Lương:Cạnh tranh</t>
        </is>
      </c>
      <c r="F9766" s="10" t="inlineStr">
        <is>
          <t>Hà NộiHồ Chí Minh</t>
        </is>
      </c>
      <c r="G9766" s="10" t="inlineStr">
        <is>
          <t>13-04-2026</t>
        </is>
      </c>
      <c r="H9766" s="10" t="inlineStr">
        <is>
          <t>13/04/2026</t>
        </is>
      </c>
      <c r="I9766" s="10" t="inlineStr">
        <is>
          <t>17/03/2026</t>
        </is>
      </c>
      <c r="J9766" s="10" t="inlineStr">
        <is>
          <t>Ngân hàng</t>
        </is>
      </c>
      <c r="K9766" s="10" t="inlineStr">
        <is>
          <t>2 - 5 Năm</t>
        </is>
      </c>
      <c r="L9766" s="11">
        <f>HYPERLINK("https://careerviet.vn/vi/tim-viec-lam/chuyen-vien-chuyen-vien-chinh-chuyen-vien-cao-cap-dau-tu-va-phat-hanh-giay-to-co-gia.35C68837.html","Xem chi tiết")</f>
        <v/>
      </c>
      <c r="M9766" s="10" t="n"/>
    </row>
    <row r="9767">
      <c r="B9767" s="7" t="n">
        <v>9765</v>
      </c>
      <c r="C9767" t="inlineStr">
        <is>
          <t>Lao Động Phổ Thông</t>
        </is>
      </c>
      <c r="D9767" t="inlineStr">
        <is>
          <t>Công ty TNHH LONG UYÊN</t>
        </is>
      </c>
      <c r="E9767" t="inlineStr">
        <is>
          <t>Lương:8 Tr - 12 Tr VND</t>
        </is>
      </c>
      <c r="F9767" t="inlineStr">
        <is>
          <t>Đồng Tháp</t>
        </is>
      </c>
      <c r="G9767" t="inlineStr">
        <is>
          <t>13-04-2026</t>
        </is>
      </c>
      <c r="H9767" t="inlineStr">
        <is>
          <t>13/04/2026</t>
        </is>
      </c>
      <c r="I9767" t="inlineStr">
        <is>
          <t>17/03/2026</t>
        </is>
      </c>
      <c r="J9767" t="inlineStr">
        <is>
          <t>Sản xuất / Vận hành sản xuất, Lao động phổ thông, An toàn lao động</t>
        </is>
      </c>
      <c r="K9767" t="inlineStr">
        <is>
          <t>N/A</t>
        </is>
      </c>
      <c r="L9767" s="8">
        <f>HYPERLINK("https://careerviet.vn/vi/tim-viec-lam/lao-dong-pho-thong.35C6894C.html","Xem chi tiết")</f>
        <v/>
      </c>
    </row>
    <row r="9768">
      <c r="B9768" s="9" t="n">
        <v>9766</v>
      </c>
      <c r="C9768" s="10" t="inlineStr">
        <is>
          <t>Chuyên viên cao cấp Dịch vụ pháp lý về Vận hành và Dịch vụ Quản trị doanh nghiệp</t>
        </is>
      </c>
      <c r="D9768" s="10" t="inlineStr">
        <is>
          <t>Ngân Hàng TMCP Quốc Tế Việt Nam</t>
        </is>
      </c>
      <c r="E9768" s="10" t="inlineStr">
        <is>
          <t>Lương:Cạnh tranh</t>
        </is>
      </c>
      <c r="F9768" s="10" t="inlineStr">
        <is>
          <t>Hà NộiHồ Chí Minh</t>
        </is>
      </c>
      <c r="G9768" s="10" t="inlineStr">
        <is>
          <t>13-04-2026</t>
        </is>
      </c>
      <c r="H9768" s="10" t="inlineStr">
        <is>
          <t>13/04/2026</t>
        </is>
      </c>
      <c r="I9768" s="10" t="inlineStr">
        <is>
          <t>17/03/2026</t>
        </is>
      </c>
      <c r="J9768" s="10" t="inlineStr">
        <is>
          <t>Luật / Pháp lý, Ngân hàng</t>
        </is>
      </c>
      <c r="K9768" s="10" t="inlineStr">
        <is>
          <t>1 - 5 Năm</t>
        </is>
      </c>
      <c r="L9768" s="11">
        <f>HYPERLINK("https://careerviet.vn/vi/tim-viec-lam/chuyen-vien-cao-cap-dich-vu-phap-ly-ve-van-hanh-va-dich-vu-quan-tri-doanh-nghiep.35C68817.html","Xem chi tiết")</f>
        <v/>
      </c>
      <c r="M9768" s="10" t="n"/>
    </row>
    <row r="9769">
      <c r="B9769" s="7" t="n">
        <v>9767</v>
      </c>
      <c r="C9769" t="inlineStr">
        <is>
          <t>Sales Representative</t>
        </is>
      </c>
      <c r="D9769" t="inlineStr">
        <is>
          <t>Kichietsu Bussan Co., Ltd. - Ho Chi Minh City Office</t>
        </is>
      </c>
      <c r="E9769" t="inlineStr">
        <is>
          <t>Lương:Cạnh tranh</t>
        </is>
      </c>
      <c r="F9769" t="inlineStr">
        <is>
          <t>Hồ Chí Minh</t>
        </is>
      </c>
      <c r="G9769" t="inlineStr">
        <is>
          <t>13-04-2026</t>
        </is>
      </c>
      <c r="H9769" t="inlineStr">
        <is>
          <t>13/04/2026</t>
        </is>
      </c>
      <c r="I9769" t="inlineStr">
        <is>
          <t>17/03/2026</t>
        </is>
      </c>
      <c r="J9769" t="inlineStr">
        <is>
          <t>Tiếp thị / Marketing, Bán hàng / Kinh doanh, Bán lẻ / Bán sỉ</t>
        </is>
      </c>
      <c r="K9769" t="inlineStr">
        <is>
          <t>2 - 10 Năm</t>
        </is>
      </c>
      <c r="L9769" s="8">
        <f>HYPERLINK("https://careerviet.vn/vi/tim-viec-lam/sales-representative.35C656FD.html","Xem chi tiết")</f>
        <v/>
      </c>
    </row>
    <row r="9770">
      <c r="B9770" s="9" t="n">
        <v>9768</v>
      </c>
      <c r="C9770" s="10" t="inlineStr">
        <is>
          <t>HO - Giám đốc Phát triển sản phẩm vay thế chấp, Khối Bán lẻ</t>
        </is>
      </c>
      <c r="D9770" s="10" t="inlineStr">
        <is>
          <t>Ngân Hàng TMCP Phương Đông - OCB</t>
        </is>
      </c>
      <c r="E9770" s="10" t="inlineStr">
        <is>
          <t>Lương:Cạnh tranh</t>
        </is>
      </c>
      <c r="F9770" s="10" t="inlineStr">
        <is>
          <t>Hồ Chí MinhHà Nội</t>
        </is>
      </c>
      <c r="G9770" s="10" t="inlineStr">
        <is>
          <t>13-04-2026</t>
        </is>
      </c>
      <c r="H9770" s="10" t="inlineStr">
        <is>
          <t>13/04/2026</t>
        </is>
      </c>
      <c r="I9770" s="10" t="inlineStr">
        <is>
          <t>17/03/2026</t>
        </is>
      </c>
      <c r="J9770" s="10" t="inlineStr">
        <is>
          <t>Ngân hàng</t>
        </is>
      </c>
      <c r="K9770" s="10" t="inlineStr">
        <is>
          <t>Trên 3 Năm</t>
        </is>
      </c>
      <c r="L9770" s="11">
        <f>HYPERLINK("https://careerviet.vn/vi/tim-viec-lam/ho-giam-doc-phat-trien-san-pham-vay-the-chap-khoi-ban-le.35C641E5.html","Xem chi tiết")</f>
        <v/>
      </c>
      <c r="M9770" s="10" t="n"/>
    </row>
    <row r="9771">
      <c r="B9771" s="7" t="n">
        <v>9769</v>
      </c>
      <c r="C9771" t="inlineStr">
        <is>
          <t>Quản lý Khách hàng Sản phẩm Thẻ</t>
        </is>
      </c>
      <c r="D9771" t="inlineStr">
        <is>
          <t>Ngân Hàng TMCP Quốc Tế Việt Nam</t>
        </is>
      </c>
      <c r="E9771" t="inlineStr">
        <is>
          <t>Lương:Cạnh tranh</t>
        </is>
      </c>
      <c r="F9771" t="inlineStr">
        <is>
          <t>Hà Nội</t>
        </is>
      </c>
      <c r="G9771" t="inlineStr">
        <is>
          <t>13-04-2026</t>
        </is>
      </c>
      <c r="H9771" t="inlineStr">
        <is>
          <t>13/04/2026</t>
        </is>
      </c>
      <c r="I9771" t="inlineStr">
        <is>
          <t>17/03/2026</t>
        </is>
      </c>
      <c r="J9771" t="inlineStr">
        <is>
          <t>Bán hàng / Kinh doanh</t>
        </is>
      </c>
      <c r="K9771" t="inlineStr">
        <is>
          <t>1 - 2 Năm</t>
        </is>
      </c>
      <c r="L9771" s="8">
        <f>HYPERLINK("https://careerviet.vn/vi/tim-viec-lam/quan-ly-khach-hang-san-pham-the.35C6883A.html","Xem chi tiết")</f>
        <v/>
      </c>
    </row>
    <row r="9772">
      <c r="B9772" s="9" t="n">
        <v>9770</v>
      </c>
      <c r="C9772" s="10" t="inlineStr">
        <is>
          <t>Tổ Trưởng Sản Xuất</t>
        </is>
      </c>
      <c r="D9772" s="10" t="inlineStr">
        <is>
          <t>Công ty TNHH Minh Long I</t>
        </is>
      </c>
      <c r="E9772" s="10" t="inlineStr">
        <is>
          <t>Lương:16 Tr - 18 Tr VND</t>
        </is>
      </c>
      <c r="F9772" s="10" t="inlineStr">
        <is>
          <t>Bình Dương</t>
        </is>
      </c>
      <c r="G9772" s="10" t="inlineStr">
        <is>
          <t>13-04-2026</t>
        </is>
      </c>
      <c r="H9772" s="10" t="inlineStr">
        <is>
          <t>13/04/2026</t>
        </is>
      </c>
      <c r="I9772" s="10" t="inlineStr">
        <is>
          <t>17/03/2026</t>
        </is>
      </c>
      <c r="J9772" s="10" t="inlineStr">
        <is>
          <t>Cơ khí / Ô tô / Tự động hóa, Sản xuất / Vận hành sản xuất, Điện / Điện tử / Điện lạnh / Điện công nghiệp</t>
        </is>
      </c>
      <c r="K9772" s="10" t="inlineStr">
        <is>
          <t>3 - 5 Năm</t>
        </is>
      </c>
      <c r="L9772" s="11">
        <f>HYPERLINK("https://careerviet.vn/vi/tim-viec-lam/to-truong-san-xuat.35C655BF.html","Xem chi tiết")</f>
        <v/>
      </c>
      <c r="M9772" s="10" t="n"/>
    </row>
    <row r="9773">
      <c r="B9773" s="7" t="n">
        <v>9771</v>
      </c>
      <c r="C9773" t="inlineStr">
        <is>
          <t>Nhân Viên Chăm Sóc Khách Hàng - ILA Vũng Tàu</t>
        </is>
      </c>
      <c r="D9773" t="inlineStr">
        <is>
          <t>ILA Việt Nam</t>
        </is>
      </c>
      <c r="E9773" t="inlineStr">
        <is>
          <t>Lương:7,5 Tr - 10 Tr VND</t>
        </is>
      </c>
      <c r="F9773" t="inlineStr">
        <is>
          <t>Bà Rịa - Vũng Tàu</t>
        </is>
      </c>
      <c r="G9773" t="inlineStr">
        <is>
          <t>13-04-2026</t>
        </is>
      </c>
      <c r="H9773" t="inlineStr">
        <is>
          <t>13/04/2026</t>
        </is>
      </c>
      <c r="I9773" t="inlineStr">
        <is>
          <t>17/03/2026</t>
        </is>
      </c>
      <c r="J9773" t="inlineStr">
        <is>
          <t>Tư vấn, Dịch vụ khách hàng, Giáo dục / Đào tạo</t>
        </is>
      </c>
      <c r="K9773" t="inlineStr">
        <is>
          <t>1 - 2 Năm</t>
        </is>
      </c>
      <c r="L9773" s="8">
        <f>HYPERLINK("https://careerviet.vn/vi/tim-viec-lam/nhan-vien-cham-soc-khach-hang-ila-vung-tau.35C6893B.html","Xem chi tiết")</f>
        <v/>
      </c>
    </row>
    <row r="9774">
      <c r="B9774" s="9" t="n">
        <v>9772</v>
      </c>
      <c r="C9774" s="10" t="inlineStr">
        <is>
          <t>HỌA VIÊN KIẾN TRÚC</t>
        </is>
      </c>
      <c r="D9774" s="10" t="inlineStr">
        <is>
          <t>CÔNG TY CỔ PHẦN TƯ VẤN THIẾT KẾ VÀ XÂY DỰNG GREENHN</t>
        </is>
      </c>
      <c r="E9774" s="10" t="inlineStr">
        <is>
          <t>Lương:14 Tr - 20 Tr VND</t>
        </is>
      </c>
      <c r="F9774" s="10" t="inlineStr">
        <is>
          <t>Hồ Chí Minh</t>
        </is>
      </c>
      <c r="G9774" s="10" t="inlineStr">
        <is>
          <t>13-04-2026</t>
        </is>
      </c>
      <c r="H9774" s="10" t="inlineStr">
        <is>
          <t>13/04/2026</t>
        </is>
      </c>
      <c r="I9774" s="10" t="inlineStr">
        <is>
          <t>17/03/2026</t>
        </is>
      </c>
      <c r="J9774" s="10" t="inlineStr">
        <is>
          <t>Kiến trúc, Xây dựng, Nội ngoại thất</t>
        </is>
      </c>
      <c r="K9774" s="10" t="inlineStr">
        <is>
          <t>2 - 5 Năm</t>
        </is>
      </c>
      <c r="L9774" s="11">
        <f>HYPERLINK("https://careerviet.vn/vi/tim-viec-lam/hoa-vien-kien-truc.35C68842.html","Xem chi tiết")</f>
        <v/>
      </c>
      <c r="M9774" s="10" t="n"/>
    </row>
    <row r="9775">
      <c r="B9775" s="7" t="n">
        <v>9773</v>
      </c>
      <c r="C9775" t="inlineStr">
        <is>
          <t>Nhân Viên Kinh Doanh Thiết Bị Y Tế Hà Nội</t>
        </is>
      </c>
      <c r="D9775" t="inlineStr">
        <is>
          <t>CÔNG TY CỔ PHẦN TRANG THIẾT BỊ Y TẾ ĐỨC TÍN</t>
        </is>
      </c>
      <c r="E9775" t="inlineStr">
        <is>
          <t>Lương:8 Tr - 40 Tr VND</t>
        </is>
      </c>
      <c r="F9775" t="inlineStr">
        <is>
          <t>Hà Nội</t>
        </is>
      </c>
      <c r="G9775" t="inlineStr">
        <is>
          <t>13-04-2026</t>
        </is>
      </c>
      <c r="H9775" t="inlineStr">
        <is>
          <t>13/04/2026</t>
        </is>
      </c>
      <c r="I9775" t="inlineStr">
        <is>
          <t>17/03/2026</t>
        </is>
      </c>
      <c r="J9775" t="inlineStr">
        <is>
          <t>Bán hàng / Kinh doanh</t>
        </is>
      </c>
      <c r="K9775" t="inlineStr">
        <is>
          <t>Chưa có kinh nghiệm</t>
        </is>
      </c>
      <c r="L9775" s="8">
        <f>HYPERLINK("https://careerviet.vn/vi/tim-viec-lam/nhan-vien-kinh-doanh-thiet-bi-y-te-ha-noi.35C655B3.html","Xem chi tiết")</f>
        <v/>
      </c>
    </row>
    <row r="9776">
      <c r="B9776" s="9" t="n">
        <v>9774</v>
      </c>
      <c r="C9776" s="10" t="inlineStr">
        <is>
          <t>Trưởng bộ phận tuyển dụng</t>
        </is>
      </c>
      <c r="D9776" s="10" t="inlineStr">
        <is>
          <t>Công ty TNHH PNK</t>
        </is>
      </c>
      <c r="E9776" s="10" t="inlineStr">
        <is>
          <t>Lương:25 Tr - 35 Tr VND</t>
        </is>
      </c>
      <c r="F9776" s="10" t="inlineStr">
        <is>
          <t>Hà Nội</t>
        </is>
      </c>
      <c r="G9776" s="10" t="inlineStr">
        <is>
          <t>13-04-2026</t>
        </is>
      </c>
      <c r="H9776" s="10" t="inlineStr">
        <is>
          <t>13/04/2026</t>
        </is>
      </c>
      <c r="I9776" s="10" t="inlineStr">
        <is>
          <t>17/03/2026</t>
        </is>
      </c>
      <c r="J9776" s="10" t="inlineStr">
        <is>
          <t>Quản lý điều hành, Nhân sự, CNTT - Phần mềm</t>
        </is>
      </c>
      <c r="K9776" s="10" t="inlineStr">
        <is>
          <t>3 - 5 Năm</t>
        </is>
      </c>
      <c r="L9776" s="11">
        <f>HYPERLINK("https://careerviet.vn/vi/tim-viec-lam/truong-bo-phan-tuyen-dung.35C656A9.html","Xem chi tiết")</f>
        <v/>
      </c>
      <c r="M9776" s="10" t="n"/>
    </row>
    <row r="9777">
      <c r="B9777" s="7" t="n">
        <v>9775</v>
      </c>
      <c r="C9777" t="inlineStr">
        <is>
          <t>[Bình Phước] CV/CVC/Giám đốc Quan hệ Khách hàng Doanh nghiệp</t>
        </is>
      </c>
      <c r="D9777" t="inlineStr">
        <is>
          <t>Ngân hàng TMCP Lộc Phát Việt Nam (LPBank)</t>
        </is>
      </c>
      <c r="E9777" t="inlineStr">
        <is>
          <t>Lương:Cạnh tranh</t>
        </is>
      </c>
      <c r="F9777" t="inlineStr">
        <is>
          <t>Bình Phước</t>
        </is>
      </c>
      <c r="G9777" t="inlineStr">
        <is>
          <t>13-04-2026</t>
        </is>
      </c>
      <c r="H9777" t="inlineStr">
        <is>
          <t>13/04/2026</t>
        </is>
      </c>
      <c r="I9777" t="inlineStr">
        <is>
          <t>17/03/2026</t>
        </is>
      </c>
      <c r="J9777" t="inlineStr">
        <is>
          <t>Bán hàng / Kinh doanh, Bất động sản, Bảo hiểm</t>
        </is>
      </c>
      <c r="K9777" t="inlineStr">
        <is>
          <t>Trên 1 Năm</t>
        </is>
      </c>
      <c r="L9777" s="8">
        <f>HYPERLINK("https://careerviet.vn/vi/tim-viec-lam/binh-phuoc-cv-cvc-giam-doc-quan-he-khach-hang-doanh-nghiep.35C656FF.html","Xem chi tiết")</f>
        <v/>
      </c>
    </row>
    <row r="9778">
      <c r="B9778" s="9" t="n">
        <v>9776</v>
      </c>
      <c r="C9778" s="10" t="inlineStr">
        <is>
          <t>Chuyên gia Dịch vụ pháp lý về Nguồn vốn, ngoại hối và Ngân hàng giao dịch</t>
        </is>
      </c>
      <c r="D9778" s="10" t="inlineStr">
        <is>
          <t>Ngân Hàng TMCP Quốc Tế Việt Nam</t>
        </is>
      </c>
      <c r="E9778" s="10" t="inlineStr">
        <is>
          <t>Lương:Cạnh tranh</t>
        </is>
      </c>
      <c r="F9778" s="10" t="inlineStr">
        <is>
          <t>Hà NộiHồ Chí Minh</t>
        </is>
      </c>
      <c r="G9778" s="10" t="inlineStr">
        <is>
          <t>13-04-2026</t>
        </is>
      </c>
      <c r="H9778" s="10" t="inlineStr">
        <is>
          <t>13/04/2026</t>
        </is>
      </c>
      <c r="I9778" s="10" t="inlineStr">
        <is>
          <t>17/03/2026</t>
        </is>
      </c>
      <c r="J9778" s="10" t="inlineStr">
        <is>
          <t>Luật / Pháp lý, Ngân hàng</t>
        </is>
      </c>
      <c r="K9778" s="10" t="inlineStr">
        <is>
          <t>1 - 5 Năm</t>
        </is>
      </c>
      <c r="L9778" s="11">
        <f>HYPERLINK("https://careerviet.vn/vi/tim-viec-lam/chuyen-gia-dich-vu-phap-ly-ve-nguon-von-ngoai-hoi-va-ngan-hang-giao-dich.35C6882E.html","Xem chi tiết")</f>
        <v/>
      </c>
      <c r="M9778" s="10" t="n"/>
    </row>
    <row r="9779">
      <c r="B9779" s="7" t="n">
        <v>9777</v>
      </c>
      <c r="C9779" t="inlineStr">
        <is>
          <t>Nhân Viên Bán Hàng Tại Cửa Hàng</t>
        </is>
      </c>
      <c r="D9779" t="inlineStr">
        <is>
          <t>CÔNG TY TNHH THƯƠNG MẠI VÀ HỮU NGHỊ LÊ GIA</t>
        </is>
      </c>
      <c r="E9779" t="inlineStr">
        <is>
          <t>Lương:12 Tr - 16 Tr VND</t>
        </is>
      </c>
      <c r="F9779" t="inlineStr">
        <is>
          <t>Hà Nội</t>
        </is>
      </c>
      <c r="G9779" t="inlineStr">
        <is>
          <t>13-04-2026</t>
        </is>
      </c>
      <c r="H9779" t="inlineStr">
        <is>
          <t>13/04/2026</t>
        </is>
      </c>
      <c r="I9779" t="inlineStr">
        <is>
          <t>17/03/2026</t>
        </is>
      </c>
      <c r="J9779" t="inlineStr">
        <is>
          <t>Bán hàng / Kinh doanh, Tư vấn, Dịch vụ khách hàng</t>
        </is>
      </c>
      <c r="K9779" t="inlineStr">
        <is>
          <t>N/A</t>
        </is>
      </c>
      <c r="L9779" s="8">
        <f>HYPERLINK("https://careerviet.vn/vi/tim-viec-lam/nhan-vien-ban-hang-tai-cua-hang.35C6892C.html","Xem chi tiết")</f>
        <v/>
      </c>
    </row>
    <row r="9780">
      <c r="B9780" s="9" t="n">
        <v>9778</v>
      </c>
      <c r="C9780" s="10" t="inlineStr">
        <is>
          <t>CVC/CVCC Bán sản phẩm cho vay - Khu vực Hà Nội - TA159</t>
        </is>
      </c>
      <c r="D9780" s="10" t="inlineStr">
        <is>
          <t>Ngân Hàng TMCP Việt Nam Thịnh Vượng - VPBANK</t>
        </is>
      </c>
      <c r="E9780" s="10" t="inlineStr">
        <is>
          <t>Lương:20 Tr - 30 Tr VND</t>
        </is>
      </c>
      <c r="F9780" s="10" t="inlineStr">
        <is>
          <t>Hà Nội</t>
        </is>
      </c>
      <c r="G9780" s="10" t="inlineStr">
        <is>
          <t>13-04-2026</t>
        </is>
      </c>
      <c r="H9780" s="10" t="inlineStr">
        <is>
          <t>13/04/2026</t>
        </is>
      </c>
      <c r="I9780" s="10" t="inlineStr">
        <is>
          <t>17/03/2026</t>
        </is>
      </c>
      <c r="J9780" s="10" t="inlineStr">
        <is>
          <t>Ngân hàng</t>
        </is>
      </c>
      <c r="K9780" s="10" t="inlineStr">
        <is>
          <t>Trên 2 Năm</t>
        </is>
      </c>
      <c r="L9780" s="11">
        <f>HYPERLINK("https://careerviet.vn/vi/tim-viec-lam/cvc-cvcc-ban-san-pham-cho-vay-khu-vuc-ha-noi-ta159.35C6554D.html","Xem chi tiết")</f>
        <v/>
      </c>
      <c r="M9780" s="10" t="n"/>
    </row>
    <row r="9781">
      <c r="B9781" s="7" t="n">
        <v>9779</v>
      </c>
      <c r="C9781" t="inlineStr">
        <is>
          <t>Head of Technology Platform</t>
        </is>
      </c>
      <c r="D9781" t="inlineStr">
        <is>
          <t>Tập Đoàn CT Group Việt Nam</t>
        </is>
      </c>
      <c r="E9781" t="inlineStr">
        <is>
          <t>Lương:Cạnh tranh</t>
        </is>
      </c>
      <c r="F9781" t="inlineStr">
        <is>
          <t>Hồ Chí Minh</t>
        </is>
      </c>
      <c r="G9781" t="inlineStr">
        <is>
          <t>13-04-2026</t>
        </is>
      </c>
      <c r="H9781" t="inlineStr">
        <is>
          <t>13/04/2026</t>
        </is>
      </c>
      <c r="I9781" t="inlineStr">
        <is>
          <t>17/03/2026</t>
        </is>
      </c>
      <c r="J9781" t="inlineStr">
        <is>
          <t>Thương mại điện tử, Quản lý điều hành, CNTT - Phần mềm</t>
        </is>
      </c>
      <c r="K9781" t="inlineStr">
        <is>
          <t>-1 - 15 Năm</t>
        </is>
      </c>
      <c r="L9781" s="8">
        <f>HYPERLINK("https://careerviet.vn/vi/tim-viec-lam/head-of-technology-platform.35C65686.html","Xem chi tiết")</f>
        <v/>
      </c>
    </row>
    <row r="9782">
      <c r="B9782" s="9" t="n">
        <v>9780</v>
      </c>
      <c r="C9782" s="10" t="inlineStr">
        <is>
          <t>Nhân Viên Kinh Doanh</t>
        </is>
      </c>
      <c r="D9782" s="10" t="inlineStr">
        <is>
          <t>Công ty Cổ phần Vật tư Trang thiết bị y tế Sài Gòn</t>
        </is>
      </c>
      <c r="E9782" s="10" t="inlineStr">
        <is>
          <t>Lương:8 Tr - 15 Tr VND</t>
        </is>
      </c>
      <c r="F9782" s="10" t="inlineStr">
        <is>
          <t>Hồ Chí Minh</t>
        </is>
      </c>
      <c r="G9782" s="10" t="inlineStr">
        <is>
          <t>13-04-2026</t>
        </is>
      </c>
      <c r="H9782" s="10" t="inlineStr">
        <is>
          <t>13/04/2026</t>
        </is>
      </c>
      <c r="I9782" s="10" t="inlineStr">
        <is>
          <t>17/03/2026</t>
        </is>
      </c>
      <c r="J9782" s="10" t="inlineStr">
        <is>
          <t>Y tế / Chăm sóc sức khỏe / Thẩm mỹ / Làm đẹp</t>
        </is>
      </c>
      <c r="K9782" s="10" t="inlineStr">
        <is>
          <t>Chưa có kinh nghiệm</t>
        </is>
      </c>
      <c r="L9782" s="11">
        <f>HYPERLINK("https://careerviet.vn/vi/tim-viec-lam/nhan-vien-kinh-doanh.35C6564B.html","Xem chi tiết")</f>
        <v/>
      </c>
      <c r="M9782" s="10" t="n"/>
    </row>
    <row r="9783">
      <c r="B9783" s="7" t="n">
        <v>9781</v>
      </c>
      <c r="C9783" t="inlineStr">
        <is>
          <t>Nhân Viên Bếp Trung Tâm - Ca Đêm</t>
        </is>
      </c>
      <c r="D9783" t="inlineStr">
        <is>
          <t>Công Ty TNHH Aeon Việt Nam</t>
        </is>
      </c>
      <c r="E9783" t="inlineStr">
        <is>
          <t>Lương:7 Tr - 8 Tr VND</t>
        </is>
      </c>
      <c r="F9783" t="inlineStr">
        <is>
          <t>Hà NộiHưng Yên</t>
        </is>
      </c>
      <c r="G9783" t="inlineStr">
        <is>
          <t>13-04-2026</t>
        </is>
      </c>
      <c r="H9783" t="inlineStr">
        <is>
          <t>13/04/2026</t>
        </is>
      </c>
      <c r="I9783" t="inlineStr">
        <is>
          <t>17/03/2026</t>
        </is>
      </c>
      <c r="J9783" t="inlineStr">
        <is>
          <t>Bán lẻ / Bán sỉ</t>
        </is>
      </c>
      <c r="K9783" t="inlineStr">
        <is>
          <t>Chưa có kinh nghiệm</t>
        </is>
      </c>
      <c r="L9783" s="8">
        <f>HYPERLINK("https://careerviet.vn/vi/tim-viec-lam/nhan-vien-bep-trung-tam-ca-dem.35C655FA.html","Xem chi tiết")</f>
        <v/>
      </c>
    </row>
    <row r="9784">
      <c r="B9784" s="9" t="n">
        <v>9782</v>
      </c>
      <c r="C9784" s="10" t="inlineStr">
        <is>
          <t>Chuyên viên Bán tài sản</t>
        </is>
      </c>
      <c r="D9784" s="10" t="inlineStr">
        <is>
          <t>Ngân Hàng TMCP Quốc Tế Việt Nam</t>
        </is>
      </c>
      <c r="E9784" s="10" t="inlineStr">
        <is>
          <t>Lương:Cạnh tranh</t>
        </is>
      </c>
      <c r="F9784" s="10" t="inlineStr">
        <is>
          <t>Cần Thơ</t>
        </is>
      </c>
      <c r="G9784" s="10" t="inlineStr">
        <is>
          <t>13-04-2026</t>
        </is>
      </c>
      <c r="H9784" s="10" t="inlineStr">
        <is>
          <t>13/04/2026</t>
        </is>
      </c>
      <c r="I9784" s="10" t="inlineStr">
        <is>
          <t>17/03/2026</t>
        </is>
      </c>
      <c r="J9784" s="10" t="inlineStr">
        <is>
          <t>Luật / Pháp lý, Ngân hàng, Bất động sản</t>
        </is>
      </c>
      <c r="K9784" s="10" t="inlineStr">
        <is>
          <t>1 - 7 Năm</t>
        </is>
      </c>
      <c r="L9784" s="11">
        <f>HYPERLINK("https://careerviet.vn/vi/tim-viec-lam/chuyen-vien-ban-tai-san.35C68862.html","Xem chi tiết")</f>
        <v/>
      </c>
      <c r="M9784" s="10" t="n"/>
    </row>
    <row r="9785">
      <c r="B9785" s="7" t="n">
        <v>9783</v>
      </c>
      <c r="C9785" t="inlineStr">
        <is>
          <t>Nhân Viên Quay Dựng</t>
        </is>
      </c>
      <c r="D9785" t="inlineStr">
        <is>
          <t>CÔNG TY TNHH THƯƠNG MẠI VÀ HỮU NGHỊ LÊ GIA</t>
        </is>
      </c>
      <c r="E9785" t="inlineStr">
        <is>
          <t>Lương:11 Tr - 15 Tr VND</t>
        </is>
      </c>
      <c r="F9785" t="inlineStr">
        <is>
          <t>Hà Nội</t>
        </is>
      </c>
      <c r="G9785" t="inlineStr">
        <is>
          <t>13-04-2026</t>
        </is>
      </c>
      <c r="H9785" t="inlineStr">
        <is>
          <t>13/04/2026</t>
        </is>
      </c>
      <c r="I9785" t="inlineStr">
        <is>
          <t>17/03/2026</t>
        </is>
      </c>
      <c r="J9785" t="inlineStr">
        <is>
          <t>Mỹ thuật / Nghệ thuật / Thiết kế, CNTT - Phần mềm, Quảng cáo / Đối ngoại / Truyền Thông</t>
        </is>
      </c>
      <c r="K9785" t="inlineStr">
        <is>
          <t>1 - 2 Năm</t>
        </is>
      </c>
      <c r="L9785" s="8">
        <f>HYPERLINK("https://careerviet.vn/vi/tim-viec-lam/nhan-vien-quay-dung.35C688FA.html","Xem chi tiết")</f>
        <v/>
      </c>
    </row>
    <row r="9786">
      <c r="B9786" s="9" t="n">
        <v>9784</v>
      </c>
      <c r="C9786" s="10" t="inlineStr">
        <is>
          <t>Trưởng Bộ phận Lò hơi, Turbine</t>
        </is>
      </c>
      <c r="D9786" s="10" t="inlineStr">
        <is>
          <t>Công ty CP Thành Thành Công - Biên Hòa</t>
        </is>
      </c>
      <c r="E9786" s="10" t="inlineStr">
        <is>
          <t>Lương:Cạnh tranh</t>
        </is>
      </c>
      <c r="F9786" s="10" t="inlineStr">
        <is>
          <t>Tây Ninh</t>
        </is>
      </c>
      <c r="G9786" s="10" t="inlineStr">
        <is>
          <t>13-04-2026</t>
        </is>
      </c>
      <c r="H9786" s="10" t="inlineStr">
        <is>
          <t>13/04/2026</t>
        </is>
      </c>
      <c r="I9786" s="10" t="inlineStr">
        <is>
          <t>17/03/2026</t>
        </is>
      </c>
      <c r="J9786" s="10" t="inlineStr">
        <is>
          <t>Cơ khí / Ô tô / Tự động hóa, Điện / Điện tử / Điện lạnh / Điện công nghiệp</t>
        </is>
      </c>
      <c r="K9786" s="10" t="inlineStr">
        <is>
          <t>5 - 7 Năm</t>
        </is>
      </c>
      <c r="L9786" s="11">
        <f>HYPERLINK("https://careerviet.vn/vi/tim-viec-lam/truong-bo-phan-lo-hoi-turbine.35C65576.html","Xem chi tiết")</f>
        <v/>
      </c>
      <c r="M9786" s="10" t="n"/>
    </row>
    <row r="9787">
      <c r="B9787" s="7" t="n">
        <v>9785</v>
      </c>
      <c r="C9787" t="inlineStr">
        <is>
          <t>Design Assistant Manager</t>
        </is>
      </c>
      <c r="D9787" t="inlineStr">
        <is>
          <t>Công Ty TNHH CJ Foods Việt Nam</t>
        </is>
      </c>
      <c r="E9787" t="inlineStr">
        <is>
          <t>Lương:Cạnh tranh</t>
        </is>
      </c>
      <c r="F9787" t="inlineStr">
        <is>
          <t>Hồ Chí Minh</t>
        </is>
      </c>
      <c r="G9787" t="inlineStr">
        <is>
          <t>13-04-2026</t>
        </is>
      </c>
      <c r="H9787" t="inlineStr">
        <is>
          <t>13/04/2026</t>
        </is>
      </c>
      <c r="I9787" t="inlineStr">
        <is>
          <t>17/03/2026</t>
        </is>
      </c>
      <c r="J9787" t="inlineStr">
        <is>
          <t>Tiếp thị / Marketing, Tiếp thị trực tuyến, Thực phẩm &amp; Đồ uống</t>
        </is>
      </c>
      <c r="K9787" t="inlineStr">
        <is>
          <t>4 - 6 Năm</t>
        </is>
      </c>
      <c r="L9787" s="8">
        <f>HYPERLINK("https://careerviet.vn/vi/tim-viec-lam/design-assistant-manager.35C688D8.html","Xem chi tiết")</f>
        <v/>
      </c>
    </row>
    <row r="9788">
      <c r="B9788" s="9" t="n">
        <v>9786</v>
      </c>
      <c r="C9788" s="10" t="inlineStr">
        <is>
          <t>Sales Logistic Executive</t>
        </is>
      </c>
      <c r="D9788" s="10" t="inlineStr">
        <is>
          <t>CÔNG TY CỔ PHẦN ITL FREIGHT MANAGEMENT - CHI NHÁNH MIỀN BẮC</t>
        </is>
      </c>
      <c r="E9788" s="10" t="inlineStr">
        <is>
          <t>Lương:Cạnh tranh</t>
        </is>
      </c>
      <c r="F9788" s="10" t="inlineStr">
        <is>
          <t>Hà Nội</t>
        </is>
      </c>
      <c r="G9788" s="10" t="inlineStr">
        <is>
          <t>13-04-2026</t>
        </is>
      </c>
      <c r="H9788" s="10" t="inlineStr">
        <is>
          <t>13/04/2026</t>
        </is>
      </c>
      <c r="I9788" s="10" t="inlineStr">
        <is>
          <t>17/03/2026</t>
        </is>
      </c>
      <c r="J9788" s="10" t="inlineStr">
        <is>
          <t>Bán hàng / Kinh doanh, Vận chuyển / Giao nhận / Kho vận</t>
        </is>
      </c>
      <c r="K9788" s="10" t="inlineStr">
        <is>
          <t>2 - 10 Năm</t>
        </is>
      </c>
      <c r="L9788" s="11">
        <f>HYPERLINK("https://careerviet.vn/vi/tim-viec-lam/sales-logistic-executive.35C687CC.html","Xem chi tiết")</f>
        <v/>
      </c>
      <c r="M9788" s="10" t="n"/>
    </row>
    <row r="9789">
      <c r="B9789" s="7" t="n">
        <v>9787</v>
      </c>
      <c r="C9789" t="inlineStr">
        <is>
          <t>VPBank - Chuyên Viên Cao Cấp Bán Sản Phẩm Cho Vay Thế Chấp - Huế</t>
        </is>
      </c>
      <c r="D9789" t="inlineStr">
        <is>
          <t>Ngân Hàng TMCP Việt Nam Thịnh Vượng - VPBANK</t>
        </is>
      </c>
      <c r="E9789" t="inlineStr">
        <is>
          <t>Lương:15 Tr - 22 Tr VND</t>
        </is>
      </c>
      <c r="F9789" t="inlineStr">
        <is>
          <t>Thừa Thiên- Huế</t>
        </is>
      </c>
      <c r="G9789" t="inlineStr">
        <is>
          <t>13-04-2026</t>
        </is>
      </c>
      <c r="H9789" t="inlineStr">
        <is>
          <t>13/04/2026</t>
        </is>
      </c>
      <c r="I9789" t="inlineStr">
        <is>
          <t>17/03/2026</t>
        </is>
      </c>
      <c r="J9789" t="inlineStr">
        <is>
          <t>Bán hàng / Kinh doanh, Ngân hàng, Bảo hiểm</t>
        </is>
      </c>
      <c r="K9789" t="inlineStr">
        <is>
          <t>1 - 3 Năm</t>
        </is>
      </c>
      <c r="L9789" s="8">
        <f>HYPERLINK("https://careerviet.vn/vi/tim-viec-lam/vpbank-chuyen-vien-cao-cap-ban-san-pham-cho-vay-the-chap-hue.35C657E0.html","Xem chi tiết")</f>
        <v/>
      </c>
    </row>
    <row r="9790">
      <c r="B9790" s="9" t="n">
        <v>9788</v>
      </c>
      <c r="C9790" s="10" t="inlineStr">
        <is>
          <t>Chuyên Viên Tư Vấn Tuyển Sinh - ILA Quận 12</t>
        </is>
      </c>
      <c r="D9790" s="10" t="inlineStr">
        <is>
          <t>ILA Việt Nam</t>
        </is>
      </c>
      <c r="E9790" s="10" t="inlineStr">
        <is>
          <t>Lương:15 Tr - 30 Tr VND</t>
        </is>
      </c>
      <c r="F9790" s="10" t="inlineStr">
        <is>
          <t>Hồ Chí Minh</t>
        </is>
      </c>
      <c r="G9790" s="10" t="inlineStr">
        <is>
          <t>13-04-2026</t>
        </is>
      </c>
      <c r="H9790" s="10" t="inlineStr">
        <is>
          <t>13/04/2026</t>
        </is>
      </c>
      <c r="I9790" s="10" t="inlineStr">
        <is>
          <t>17/03/2026</t>
        </is>
      </c>
      <c r="J9790" s="10" t="inlineStr">
        <is>
          <t>Bán hàng / Kinh doanh, Tư vấn, Dịch vụ khách hàng</t>
        </is>
      </c>
      <c r="K9790" s="10" t="inlineStr">
        <is>
          <t>1 - 2 Năm</t>
        </is>
      </c>
      <c r="L9790" s="11">
        <f>HYPERLINK("https://careerviet.vn/vi/tim-viec-lam/chuyen-vien-tu-van-tuyen-sinh-ila-quan-12.35C68938.html","Xem chi tiết")</f>
        <v/>
      </c>
      <c r="M9790" s="10" t="n"/>
    </row>
    <row r="9791">
      <c r="B9791" s="7" t="n">
        <v>9789</v>
      </c>
      <c r="C9791" t="inlineStr">
        <is>
          <t>Quản Lý Sản Xuất - Xưởng SX nội thất Inox_sắt</t>
        </is>
      </c>
      <c r="D9791" t="inlineStr">
        <is>
          <t>Công ty TNHH SX-TM-DV Qui Phúc</t>
        </is>
      </c>
      <c r="E9791" t="inlineStr">
        <is>
          <t>Lương:18 Tr - 20 Tr VND</t>
        </is>
      </c>
      <c r="F9791" t="inlineStr">
        <is>
          <t>Hồ Chí Minh</t>
        </is>
      </c>
      <c r="G9791" t="inlineStr">
        <is>
          <t>13-04-2026</t>
        </is>
      </c>
      <c r="H9791" t="inlineStr">
        <is>
          <t>13/04/2026</t>
        </is>
      </c>
      <c r="I9791" t="inlineStr">
        <is>
          <t>17/03/2026</t>
        </is>
      </c>
      <c r="J9791" t="inlineStr">
        <is>
          <t>Cơ khí / Ô tô / Tự động hóa, Dệt may / Da giày / Thời trang, Sản xuất / Vận hành sản xuất</t>
        </is>
      </c>
      <c r="K9791" t="inlineStr">
        <is>
          <t>3 - 5 Năm</t>
        </is>
      </c>
      <c r="L9791" s="8">
        <f>HYPERLINK("https://careerviet.vn/vi/tim-viec-lam/quan-ly-san-xuat-xuong-sx-noi-that-inox_sat.35C6540A.html","Xem chi tiết")</f>
        <v/>
      </c>
    </row>
    <row r="9792">
      <c r="B9792" s="9" t="n">
        <v>9790</v>
      </c>
      <c r="C9792" s="10" t="inlineStr">
        <is>
          <t>Nhân Viên Dự Toán Nội Thất</t>
        </is>
      </c>
      <c r="D9792" s="10" t="inlineStr">
        <is>
          <t>Công ty TNHH Nesta</t>
        </is>
      </c>
      <c r="E9792" s="10" t="inlineStr">
        <is>
          <t>Lương:12 Tr - 17 Tr VND</t>
        </is>
      </c>
      <c r="F9792" s="10" t="inlineStr">
        <is>
          <t>Hưng Yên</t>
        </is>
      </c>
      <c r="G9792" s="10" t="inlineStr">
        <is>
          <t>13-04-2026</t>
        </is>
      </c>
      <c r="H9792" s="10" t="inlineStr">
        <is>
          <t>13/04/2026</t>
        </is>
      </c>
      <c r="I9792" s="10" t="inlineStr">
        <is>
          <t>17/03/2026</t>
        </is>
      </c>
      <c r="J9792" s="10" t="inlineStr">
        <is>
          <t>Kiến trúc, Xây dựng, Nội ngoại thất</t>
        </is>
      </c>
      <c r="K9792" s="10" t="inlineStr">
        <is>
          <t>2 - 10 Năm</t>
        </is>
      </c>
      <c r="L9792" s="11">
        <f>HYPERLINK("https://careerviet.vn/vi/tim-viec-lam/nhan-vien-du-toan-noi-that.35C68895.html","Xem chi tiết")</f>
        <v/>
      </c>
      <c r="M9792" s="10" t="n"/>
    </row>
    <row r="9793">
      <c r="B9793" s="7" t="n">
        <v>9791</v>
      </c>
      <c r="C9793" t="inlineStr">
        <is>
          <t>126800 - General Affairs cum Accountant - Leasing Service</t>
        </is>
      </c>
      <c r="D9793" t="inlineStr">
        <is>
          <t>RGF HR Agent Vietnam Co., LTD</t>
        </is>
      </c>
      <c r="E9793" t="inlineStr">
        <is>
          <t>Lương:20 Tr - 25 Tr VND</t>
        </is>
      </c>
      <c r="F9793" t="inlineStr">
        <is>
          <t>Hồ Chí Minh</t>
        </is>
      </c>
      <c r="G9793" t="inlineStr">
        <is>
          <t>13-04-2026</t>
        </is>
      </c>
      <c r="H9793" t="inlineStr">
        <is>
          <t>13/04/2026</t>
        </is>
      </c>
      <c r="I9793" t="inlineStr">
        <is>
          <t>17/03/2026</t>
        </is>
      </c>
      <c r="J9793" t="inlineStr">
        <is>
          <t>Kế toán / Kiểm toán, Hành chính / Thư ký</t>
        </is>
      </c>
      <c r="K9793" t="inlineStr">
        <is>
          <t>Trên 2 Năm</t>
        </is>
      </c>
      <c r="L9793" s="8">
        <f>HYPERLINK("https://careerviet.vn/vi/tim-viec-lam/126800-general-affairs-cum-accountant-leasing-service.35C6577C.html","Xem chi tiết")</f>
        <v/>
      </c>
    </row>
    <row r="9794">
      <c r="B9794" s="9" t="n">
        <v>9792</v>
      </c>
      <c r="C9794" s="10" t="inlineStr">
        <is>
          <t>Production Artist (Work in Viet Huong IP)</t>
        </is>
      </c>
      <c r="D9794" s="10" t="inlineStr">
        <is>
          <t>CÔNG TY TNHH TRIMCO GROUP (VIỆT NAM)</t>
        </is>
      </c>
      <c r="E9794" s="10" t="inlineStr">
        <is>
          <t>Lương:Cạnh tranh</t>
        </is>
      </c>
      <c r="F9794" s="10" t="inlineStr">
        <is>
          <t>Bình Dương</t>
        </is>
      </c>
      <c r="G9794" s="10" t="inlineStr">
        <is>
          <t>13-04-2026</t>
        </is>
      </c>
      <c r="H9794" s="10" t="inlineStr">
        <is>
          <t>13/04/2026</t>
        </is>
      </c>
      <c r="I9794" s="10" t="inlineStr">
        <is>
          <t>17/03/2026</t>
        </is>
      </c>
      <c r="J9794" s="10" t="inlineStr">
        <is>
          <t>In ấn / Xuất bản, Dệt may / Da giày / Thời trang, Sản xuất / Vận hành sản xuất</t>
        </is>
      </c>
      <c r="K9794" s="10" t="inlineStr">
        <is>
          <t>1 - 3 Năm</t>
        </is>
      </c>
      <c r="L9794" s="11">
        <f>HYPERLINK("https://careerviet.vn/vi/tim-viec-lam/production-artist-work-in-viet-huong-ip.35C68861.html","Xem chi tiết")</f>
        <v/>
      </c>
      <c r="M9794" s="10" t="n"/>
    </row>
    <row r="9795">
      <c r="B9795" s="7" t="n">
        <v>9793</v>
      </c>
      <c r="C9795" t="inlineStr">
        <is>
          <t>Kế toán giá thành - Kho  (Có thể nhận việc sau tết)</t>
        </is>
      </c>
      <c r="D9795" t="inlineStr">
        <is>
          <t>CÔNG TY CỔ PHẦN CÔNG NGHIỆP WELDCOM</t>
        </is>
      </c>
      <c r="E9795" t="inlineStr">
        <is>
          <t>Lương:13 Tr - 17 Tr VND</t>
        </is>
      </c>
      <c r="F9795" t="inlineStr">
        <is>
          <t>Hà Nội</t>
        </is>
      </c>
      <c r="G9795" t="inlineStr">
        <is>
          <t>13-04-2026</t>
        </is>
      </c>
      <c r="H9795" t="inlineStr">
        <is>
          <t>13/04/2026</t>
        </is>
      </c>
      <c r="I9795" t="inlineStr">
        <is>
          <t>17/03/2026</t>
        </is>
      </c>
      <c r="J9795" t="inlineStr">
        <is>
          <t>Kế toán / Kiểm toán, Ngân hàng</t>
        </is>
      </c>
      <c r="K9795" t="inlineStr">
        <is>
          <t>1 - 3 Năm</t>
        </is>
      </c>
      <c r="L9795" s="8">
        <f>HYPERLINK("https://careerviet.vn/vi/tim-viec-lam/ke-toan-gia-thanh-kho-co-the-nhan-viec-sau-tet.35C6567F.html","Xem chi tiết")</f>
        <v/>
      </c>
    </row>
    <row r="9796">
      <c r="B9796" s="9" t="n">
        <v>9794</v>
      </c>
      <c r="C9796" s="10" t="inlineStr">
        <is>
          <t>Production Supervisor (Injection Molding) / Giám sát sản xuất - Đi ca 12 tiếng - Nhơn Trạch</t>
        </is>
      </c>
      <c r="D9796" s="10" t="inlineStr">
        <is>
          <t>Summit Polymers Vietnam Co Ltd.</t>
        </is>
      </c>
      <c r="E9796" s="10" t="inlineStr">
        <is>
          <t>Lương:Cạnh tranh</t>
        </is>
      </c>
      <c r="F9796" s="10" t="inlineStr">
        <is>
          <t>Đồng Nai</t>
        </is>
      </c>
      <c r="G9796" s="10" t="inlineStr">
        <is>
          <t>13-04-2026</t>
        </is>
      </c>
      <c r="H9796" s="10" t="inlineStr">
        <is>
          <t>13/04/2026</t>
        </is>
      </c>
      <c r="I9796" s="10" t="inlineStr">
        <is>
          <t>17/03/2026</t>
        </is>
      </c>
      <c r="J9796" s="10" t="inlineStr">
        <is>
          <t>Cơ khí / Ô tô / Tự động hóa, Sản xuất / Vận hành sản xuất</t>
        </is>
      </c>
      <c r="K9796" s="10" t="inlineStr">
        <is>
          <t>2 - 3 Năm</t>
        </is>
      </c>
      <c r="L9796" s="11">
        <f>HYPERLINK("https://careerviet.vn/vi/tim-viec-lam/production-supervisor-injection-molding-giam-sat-san-xuat-di-ca-12-tieng-nhon-trach.35C65688.html","Xem chi tiết")</f>
        <v/>
      </c>
      <c r="M9796" s="10" t="n"/>
    </row>
    <row r="9797">
      <c r="B9797" s="7" t="n">
        <v>9795</v>
      </c>
      <c r="C9797" t="inlineStr">
        <is>
          <t>Kĩ Thuật Sản Xuất May</t>
        </is>
      </c>
      <c r="D9797" t="inlineStr">
        <is>
          <t>Công ty Cổ phần Tập đoàn Minh Anh</t>
        </is>
      </c>
      <c r="E9797" t="inlineStr">
        <is>
          <t>Lương:12 Tr - 20 Tr VND</t>
        </is>
      </c>
      <c r="F9797" t="inlineStr">
        <is>
          <t>Nghệ An</t>
        </is>
      </c>
      <c r="G9797" t="inlineStr">
        <is>
          <t>13-04-2026</t>
        </is>
      </c>
      <c r="H9797" t="inlineStr">
        <is>
          <t>13/04/2026</t>
        </is>
      </c>
      <c r="I9797" t="inlineStr">
        <is>
          <t>17/03/2026</t>
        </is>
      </c>
      <c r="J9797" t="inlineStr">
        <is>
          <t>Dệt may / Da giày / Thời trang</t>
        </is>
      </c>
      <c r="K9797" t="inlineStr">
        <is>
          <t>1 - 3 Năm</t>
        </is>
      </c>
      <c r="L9797" s="8">
        <f>HYPERLINK("https://careerviet.vn/vi/tim-viec-lam/ki-thuat-san-xuat-may.35C687C9.html","Xem chi tiết")</f>
        <v/>
      </c>
    </row>
    <row r="9798">
      <c r="B9798" s="9" t="n">
        <v>9796</v>
      </c>
      <c r="C9798" s="10" t="inlineStr">
        <is>
          <t>Nhân Sự - Hành Chính</t>
        </is>
      </c>
      <c r="D9798" s="10" t="inlineStr">
        <is>
          <t>CÔNG TY CỔ PHẦN QUỐC TẾ AEMG</t>
        </is>
      </c>
      <c r="E9798" s="10" t="inlineStr">
        <is>
          <t>Lương:12 Tr - 17 Tr VND</t>
        </is>
      </c>
      <c r="F9798" s="10" t="inlineStr">
        <is>
          <t>Hà Nội</t>
        </is>
      </c>
      <c r="G9798" s="10" t="inlineStr">
        <is>
          <t>13-04-2026</t>
        </is>
      </c>
      <c r="H9798" s="10" t="inlineStr">
        <is>
          <t>13/04/2026</t>
        </is>
      </c>
      <c r="I9798" s="10" t="inlineStr">
        <is>
          <t>17/03/2026</t>
        </is>
      </c>
      <c r="J9798" s="10" t="inlineStr">
        <is>
          <t>Hành chính / Thư ký, Nhân sự, Quản lý điều hành</t>
        </is>
      </c>
      <c r="K9798" s="10" t="inlineStr">
        <is>
          <t>Trên 1 Năm</t>
        </is>
      </c>
      <c r="L9798" s="11">
        <f>HYPERLINK("https://careerviet.vn/vi/tim-viec-lam/nhan-su-hanh-chinh.35C6895C.html","Xem chi tiết")</f>
        <v/>
      </c>
      <c r="M9798" s="10" t="n"/>
    </row>
    <row r="9799">
      <c r="B9799" s="7" t="n">
        <v>9797</v>
      </c>
      <c r="C9799" t="inlineStr">
        <is>
          <t>Nhân Viên Dịch Vụ Khách Hàng/ Customer Relationship Coordinator</t>
        </is>
      </c>
      <c r="D9799" t="inlineStr">
        <is>
          <t>Cty TNHH Top Solvent (Việt Nam)</t>
        </is>
      </c>
      <c r="E9799" t="inlineStr">
        <is>
          <t>Lương:Cạnh tranh</t>
        </is>
      </c>
      <c r="F9799" t="inlineStr">
        <is>
          <t>Hồ Chí Minh</t>
        </is>
      </c>
      <c r="G9799" t="inlineStr">
        <is>
          <t>13-04-2026</t>
        </is>
      </c>
      <c r="H9799" t="inlineStr">
        <is>
          <t>13/04/2026</t>
        </is>
      </c>
      <c r="I9799" t="inlineStr">
        <is>
          <t>17/03/2026</t>
        </is>
      </c>
      <c r="J9799" t="inlineStr">
        <is>
          <t>Dịch vụ khách hàng, Vận chuyển / Giao nhận / Kho vận, Hành chính / Thư ký</t>
        </is>
      </c>
      <c r="K9799" t="inlineStr">
        <is>
          <t>N/A</t>
        </is>
      </c>
      <c r="L9799" s="8">
        <f>HYPERLINK("https://careerviet.vn/vi/tim-viec-lam/nhan-vien-dich-vu-khach-hang-customer-relationship-coordinator.35C68894.html","Xem chi tiết")</f>
        <v/>
      </c>
    </row>
    <row r="9800">
      <c r="B9800" s="9" t="n">
        <v>9798</v>
      </c>
      <c r="C9800" s="10" t="inlineStr">
        <is>
          <t>Regional Sales Manager (GT North)</t>
        </is>
      </c>
      <c r="D9800" s="10" t="inlineStr">
        <is>
          <t>Công Ty TNHH CJ Foods Việt Nam</t>
        </is>
      </c>
      <c r="E9800" s="10" t="inlineStr">
        <is>
          <t>Lương:Cạnh tranh</t>
        </is>
      </c>
      <c r="F9800" s="10" t="inlineStr">
        <is>
          <t>Hà Nội</t>
        </is>
      </c>
      <c r="G9800" s="10" t="inlineStr">
        <is>
          <t>13-04-2026</t>
        </is>
      </c>
      <c r="H9800" s="10" t="inlineStr">
        <is>
          <t>13/04/2026</t>
        </is>
      </c>
      <c r="I9800" s="10" t="inlineStr">
        <is>
          <t>17/03/2026</t>
        </is>
      </c>
      <c r="J9800" s="10" t="inlineStr">
        <is>
          <t>Bán lẻ / Bán sỉ, Bán hàng / Kinh doanh, Thực phẩm &amp; Đồ uống</t>
        </is>
      </c>
      <c r="K9800" s="10" t="inlineStr">
        <is>
          <t>Chưa có kinh nghiệm</t>
        </is>
      </c>
      <c r="L9800" s="11">
        <f>HYPERLINK("https://careerviet.vn/vi/tim-viec-lam/regional-sales-manager-gt-north.35C688D4.html","Xem chi tiết")</f>
        <v/>
      </c>
      <c r="M9800" s="10" t="n"/>
    </row>
    <row r="9801">
      <c r="B9801" s="7" t="n">
        <v>9799</v>
      </c>
      <c r="C9801" t="inlineStr">
        <is>
          <t>Chuyên Viên Cao Cấp Khách Hàng Ưu Tiên - Ninh Bình - TA189</t>
        </is>
      </c>
      <c r="D9801" t="inlineStr">
        <is>
          <t>Ngân Hàng TMCP Việt Nam Thịnh Vượng - VPBANK</t>
        </is>
      </c>
      <c r="E9801" t="inlineStr">
        <is>
          <t>Lương:20 Tr - 50 Tr VND</t>
        </is>
      </c>
      <c r="F9801" t="inlineStr">
        <is>
          <t>Ninh Bình</t>
        </is>
      </c>
      <c r="G9801" t="inlineStr">
        <is>
          <t>13-04-2026</t>
        </is>
      </c>
      <c r="H9801" t="inlineStr">
        <is>
          <t>13/04/2026</t>
        </is>
      </c>
      <c r="I9801" t="inlineStr">
        <is>
          <t>17/03/2026</t>
        </is>
      </c>
      <c r="J9801" t="inlineStr">
        <is>
          <t>Ngân hàng</t>
        </is>
      </c>
      <c r="K9801" t="inlineStr">
        <is>
          <t>Trên 2 Năm</t>
        </is>
      </c>
      <c r="L9801" s="8">
        <f>HYPERLINK("https://careerviet.vn/vi/tim-viec-lam/chuyen-vien-cao-cap-khach-hang-uu-tien-ninh-binh-ta189.35C6560D.html","Xem chi tiết")</f>
        <v/>
      </c>
    </row>
    <row r="9802">
      <c r="B9802" s="9" t="n">
        <v>9800</v>
      </c>
      <c r="C9802" s="10" t="inlineStr">
        <is>
          <t>Kỹ sư KCS Hồ sơ Thiết kế Công Trình Giao Thông Cầu - Đường</t>
        </is>
      </c>
      <c r="D9802" s="10" t="inlineStr">
        <is>
          <t>CareerViet's client</t>
        </is>
      </c>
      <c r="E9802" s="10" t="inlineStr">
        <is>
          <t>Lương:18 Tr - 25 Tr VND</t>
        </is>
      </c>
      <c r="F9802" s="10" t="inlineStr">
        <is>
          <t>Hồ Chí Minh</t>
        </is>
      </c>
      <c r="G9802" s="10" t="inlineStr">
        <is>
          <t>13-04-2026</t>
        </is>
      </c>
      <c r="H9802" s="10" t="inlineStr">
        <is>
          <t>13/04/2026</t>
        </is>
      </c>
      <c r="I9802" s="10" t="inlineStr">
        <is>
          <t>17/03/2026</t>
        </is>
      </c>
      <c r="J9802" s="10" t="inlineStr">
        <is>
          <t>Kiến trúc, Xây dựng</t>
        </is>
      </c>
      <c r="K9802" s="10" t="inlineStr">
        <is>
          <t>3 - 4 Năm</t>
        </is>
      </c>
      <c r="L9802" s="11">
        <f>HYPERLINK("https://careerviet.vn/vi/tim-viec-lam/ky-su-kcs-ho-so-thiet-ke-cong-trinh-giao-thong-cau-duong.35C68863.html","Xem chi tiết")</f>
        <v/>
      </c>
      <c r="M9802" s="10" t="n"/>
    </row>
    <row r="9803">
      <c r="B9803" s="7" t="n">
        <v>9801</v>
      </c>
      <c r="C9803" t="inlineStr">
        <is>
          <t>Nhân viên Trung tâm Thanh toán Bù trừ</t>
        </is>
      </c>
      <c r="D9803" t="inlineStr">
        <is>
          <t>Sở Giao dịch Hàng hóa Việt Nam</t>
        </is>
      </c>
      <c r="E9803" t="inlineStr">
        <is>
          <t>Lương:10 Tr - 15 Tr VND</t>
        </is>
      </c>
      <c r="F9803" t="inlineStr">
        <is>
          <t>Hà Nội</t>
        </is>
      </c>
      <c r="G9803" t="inlineStr">
        <is>
          <t>13-04-2026</t>
        </is>
      </c>
      <c r="H9803" t="inlineStr">
        <is>
          <t>13/04/2026</t>
        </is>
      </c>
      <c r="I9803" t="inlineStr">
        <is>
          <t>17/03/2026</t>
        </is>
      </c>
      <c r="J9803" t="inlineStr">
        <is>
          <t>Tài chính / Đầu tư</t>
        </is>
      </c>
      <c r="K9803" t="inlineStr">
        <is>
          <t>Chưa có kinh nghiệm</t>
        </is>
      </c>
      <c r="L9803" s="8">
        <f>HYPERLINK("https://careerviet.vn/vi/tim-viec-lam/nhan-vien-trung-tam-thanh-toan-bu-tru.35C65792.html","Xem chi tiết")</f>
        <v/>
      </c>
    </row>
    <row r="9804">
      <c r="B9804" s="9" t="n">
        <v>9802</v>
      </c>
      <c r="C9804" s="10" t="inlineStr">
        <is>
          <t>Social Content Creator</t>
        </is>
      </c>
      <c r="D9804" s="10" t="inlineStr">
        <is>
          <t>Công ty Cổ phần Chứng khoán DNSE</t>
        </is>
      </c>
      <c r="E9804" s="10" t="inlineStr">
        <is>
          <t>Lương:Cạnh tranh</t>
        </is>
      </c>
      <c r="F9804" s="10" t="inlineStr">
        <is>
          <t>Hà Nội</t>
        </is>
      </c>
      <c r="G9804" s="10" t="inlineStr">
        <is>
          <t>13-04-2026</t>
        </is>
      </c>
      <c r="H9804" s="10" t="inlineStr">
        <is>
          <t>13/04/2026</t>
        </is>
      </c>
      <c r="I9804" s="10" t="inlineStr">
        <is>
          <t>17/03/2026</t>
        </is>
      </c>
      <c r="J9804" s="10" t="inlineStr">
        <is>
          <t>Truyền hình / Báo chí / Biên tập</t>
        </is>
      </c>
      <c r="K9804" s="10" t="inlineStr">
        <is>
          <t>Trên 5 Năm</t>
        </is>
      </c>
      <c r="L9804" s="11">
        <f>HYPERLINK("https://careerviet.vn/vi/tim-viec-lam/social-content-creator.35C68913.html","Xem chi tiết")</f>
        <v/>
      </c>
      <c r="M9804" s="10" t="n"/>
    </row>
    <row r="9805">
      <c r="B9805" s="7" t="n">
        <v>9803</v>
      </c>
      <c r="C9805" t="inlineStr">
        <is>
          <t>CHUYÊN VIÊN KỸ THUẬT ĐIỆN</t>
        </is>
      </c>
      <c r="D9805" t="inlineStr">
        <is>
          <t>CÔNG TY TNHH SẢN XUẤT TẬP ĐOÀN ĐẠI VIỆT</t>
        </is>
      </c>
      <c r="E9805" t="inlineStr">
        <is>
          <t>Lương:Cạnh tranh</t>
        </is>
      </c>
      <c r="F9805" t="inlineStr">
        <is>
          <t>Long AnHưng Yên</t>
        </is>
      </c>
      <c r="G9805" t="inlineStr">
        <is>
          <t>13-04-2026</t>
        </is>
      </c>
      <c r="H9805" t="inlineStr">
        <is>
          <t>13/04/2026</t>
        </is>
      </c>
      <c r="I9805" t="inlineStr">
        <is>
          <t>17/03/2026</t>
        </is>
      </c>
      <c r="J9805" t="inlineStr">
        <is>
          <t>Điện / Điện tử / Điện lạnh / Điện công nghiệp</t>
        </is>
      </c>
      <c r="K9805" t="inlineStr">
        <is>
          <t>1 - 5 Năm</t>
        </is>
      </c>
      <c r="L9805" s="8">
        <f>HYPERLINK("https://careerviet.vn/vi/tim-viec-lam/chuyen-vien-ky-thuat-dien.35C687D5.html","Xem chi tiết")</f>
        <v/>
      </c>
    </row>
    <row r="9806">
      <c r="B9806" s="9" t="n">
        <v>9804</v>
      </c>
      <c r="C9806" s="10" t="inlineStr">
        <is>
          <t>Trưởng Phòng Tìm Kiếm Cơ Hội Đầu Tư</t>
        </is>
      </c>
      <c r="D9806" s="10" t="inlineStr">
        <is>
          <t>Công Ty Cổ Phần Tập Đoàn Đầu Tư Địa Ốc No Va</t>
        </is>
      </c>
      <c r="E9806" s="10" t="inlineStr">
        <is>
          <t>Lương:60 Tr - 90 Tr VND</t>
        </is>
      </c>
      <c r="F9806" s="10" t="inlineStr">
        <is>
          <t>Hồ Chí Minh</t>
        </is>
      </c>
      <c r="G9806" s="10" t="inlineStr">
        <is>
          <t>13-04-2026</t>
        </is>
      </c>
      <c r="H9806" s="10" t="inlineStr">
        <is>
          <t>13/04/2026</t>
        </is>
      </c>
      <c r="I9806" s="10" t="inlineStr">
        <is>
          <t>17/03/2026</t>
        </is>
      </c>
      <c r="J9806" s="10" t="inlineStr">
        <is>
          <t>Tài chính / Đầu tư, Bán hàng / Kinh doanh, Ngân hàng</t>
        </is>
      </c>
      <c r="K9806" s="10" t="inlineStr">
        <is>
          <t>7 - 12 Năm</t>
        </is>
      </c>
      <c r="L9806" s="11">
        <f>HYPERLINK("https://careerviet.vn/vi/tim-viec-lam/truong-phong-tim-kiem-co-hoi-dau-tu.35C68819.html","Xem chi tiết")</f>
        <v/>
      </c>
      <c r="M9806" s="10" t="n"/>
    </row>
    <row r="9807">
      <c r="B9807" s="7" t="n">
        <v>9805</v>
      </c>
      <c r="C9807" t="inlineStr">
        <is>
          <t>Trợ lý Giám đốc sản xuất</t>
        </is>
      </c>
      <c r="D9807" t="inlineStr">
        <is>
          <t>Công Ty Cổ Phần Thép Việt Xô Hà Nội</t>
        </is>
      </c>
      <c r="E9807" t="inlineStr">
        <is>
          <t>Lương:Cạnh tranh</t>
        </is>
      </c>
      <c r="F9807" t="inlineStr">
        <is>
          <t>Hà Nội</t>
        </is>
      </c>
      <c r="G9807" t="inlineStr">
        <is>
          <t>13-04-2026</t>
        </is>
      </c>
      <c r="H9807" t="inlineStr">
        <is>
          <t>13/04/2026</t>
        </is>
      </c>
      <c r="I9807" t="inlineStr">
        <is>
          <t>17/03/2026</t>
        </is>
      </c>
      <c r="J9807" t="inlineStr">
        <is>
          <t>Hành chính / Thư ký, Sản xuất / Vận hành sản xuất</t>
        </is>
      </c>
      <c r="K9807" t="inlineStr">
        <is>
          <t>2 - 3 Năm</t>
        </is>
      </c>
      <c r="L9807" s="8">
        <f>HYPERLINK("https://careerviet.vn/vi/tim-viec-lam/tro-ly-giam-doc-san-xuat.35C656D7.html","Xem chi tiết")</f>
        <v/>
      </c>
    </row>
    <row r="9808">
      <c r="B9808" s="9" t="n">
        <v>9806</v>
      </c>
      <c r="C9808" s="10" t="inlineStr">
        <is>
          <t>Nhân viên mua hàng nội thất tại TP. Hồ Chí Minh</t>
        </is>
      </c>
      <c r="D9808" s="10" t="inlineStr">
        <is>
          <t>Công ty TNHH Frontier Consulting Việt Nam</t>
        </is>
      </c>
      <c r="E9808" s="10" t="inlineStr">
        <is>
          <t>Lương:13 Tr - 20 Tr VND</t>
        </is>
      </c>
      <c r="F9808" s="10" t="inlineStr">
        <is>
          <t>Hồ Chí Minh</t>
        </is>
      </c>
      <c r="G9808" s="10" t="inlineStr">
        <is>
          <t>13-04-2026</t>
        </is>
      </c>
      <c r="H9808" s="10" t="inlineStr">
        <is>
          <t>13/04/2026</t>
        </is>
      </c>
      <c r="I9808" s="10" t="inlineStr">
        <is>
          <t>17/03/2026</t>
        </is>
      </c>
      <c r="J9808" s="10" t="inlineStr">
        <is>
          <t>Thu mua / Vật tư, Nội ngoại thất</t>
        </is>
      </c>
      <c r="K9808" s="10" t="inlineStr">
        <is>
          <t>2 - 5 Năm</t>
        </is>
      </c>
      <c r="L9808" s="11">
        <f>HYPERLINK("https://careerviet.vn/vi/tim-viec-lam/nhan-vien-mua-hang-noi-that-tai-tp-ho-chi-minh.35C655BD.html","Xem chi tiết")</f>
        <v/>
      </c>
      <c r="M9808" s="10" t="n"/>
    </row>
    <row r="9809">
      <c r="B9809" s="7" t="n">
        <v>9807</v>
      </c>
      <c r="C9809" t="inlineStr">
        <is>
          <t>Nhân Viên Bán Hàng Online - Sale Online</t>
        </is>
      </c>
      <c r="D9809" t="inlineStr">
        <is>
          <t>CÔNG TY TNHH THƯƠNG MẠI VÀ HỮU NGHỊ LÊ GIA</t>
        </is>
      </c>
      <c r="E9809" t="inlineStr">
        <is>
          <t>Lương:Trên 7 Tr VND</t>
        </is>
      </c>
      <c r="F9809" t="inlineStr">
        <is>
          <t>Hà Nội</t>
        </is>
      </c>
      <c r="G9809" t="inlineStr">
        <is>
          <t>13-04-2026</t>
        </is>
      </c>
      <c r="H9809" t="inlineStr">
        <is>
          <t>13/04/2026</t>
        </is>
      </c>
      <c r="I9809" t="inlineStr">
        <is>
          <t>17/03/2026</t>
        </is>
      </c>
      <c r="J9809" t="inlineStr">
        <is>
          <t>Điện / Điện tử / Điện lạnh / Điện công nghiệp, Tiếp thị trực tuyến, Bán hàng / Kinh doanh</t>
        </is>
      </c>
      <c r="K9809" t="inlineStr">
        <is>
          <t>Trên 1 Năm</t>
        </is>
      </c>
      <c r="L9809" s="8">
        <f>HYPERLINK("https://careerviet.vn/vi/tim-viec-lam/nhan-vien-ban-hang-online-sale-online.35C68926.html","Xem chi tiết")</f>
        <v/>
      </c>
    </row>
    <row r="9810">
      <c r="B9810" s="9" t="n">
        <v>9808</v>
      </c>
      <c r="C9810" s="10" t="inlineStr">
        <is>
          <t>Kế Toán Tổng Hợp</t>
        </is>
      </c>
      <c r="D9810" s="10" t="inlineStr">
        <is>
          <t>CÔNG TY TNHH DSP KOREA</t>
        </is>
      </c>
      <c r="E9810" s="10" t="inlineStr">
        <is>
          <t>Lương:13 Tr - 16 Tr VND</t>
        </is>
      </c>
      <c r="F9810" s="10" t="inlineStr">
        <is>
          <t>Hồ Chí Minh</t>
        </is>
      </c>
      <c r="G9810" s="10" t="inlineStr">
        <is>
          <t>13-04-2026</t>
        </is>
      </c>
      <c r="H9810" s="10" t="inlineStr">
        <is>
          <t>13/04/2026</t>
        </is>
      </c>
      <c r="I9810" s="10" t="inlineStr">
        <is>
          <t>17/03/2026</t>
        </is>
      </c>
      <c r="J9810" s="10" t="inlineStr">
        <is>
          <t>Kế toán / Kiểm toán, Tài chính / Đầu tư, Luật / Pháp lý</t>
        </is>
      </c>
      <c r="K9810" s="10" t="inlineStr">
        <is>
          <t>Trên 3 Năm</t>
        </is>
      </c>
      <c r="L9810" s="11">
        <f>HYPERLINK("https://careerviet.vn/vi/tim-viec-lam/ke-toan-tong-hop.35C688DB.html","Xem chi tiết")</f>
        <v/>
      </c>
      <c r="M9810" s="10" t="n"/>
    </row>
    <row r="9811">
      <c r="B9811" s="7" t="n">
        <v>9809</v>
      </c>
      <c r="C9811" t="inlineStr">
        <is>
          <t>126660 - Customer Service Manager - Printer</t>
        </is>
      </c>
      <c r="D9811" t="inlineStr">
        <is>
          <t>RGF HR Agent Vietnam Co., LTD</t>
        </is>
      </c>
      <c r="E9811" t="inlineStr">
        <is>
          <t>Lương:40 Tr - 55 Tr VND</t>
        </is>
      </c>
      <c r="F9811" t="inlineStr">
        <is>
          <t>Hồ Chí Minh</t>
        </is>
      </c>
      <c r="G9811" t="inlineStr">
        <is>
          <t>13-04-2026</t>
        </is>
      </c>
      <c r="H9811" t="inlineStr">
        <is>
          <t>13/04/2026</t>
        </is>
      </c>
      <c r="I9811" t="inlineStr">
        <is>
          <t>17/03/2026</t>
        </is>
      </c>
      <c r="J9811" t="inlineStr">
        <is>
          <t>Dịch vụ khách hàng, Sản xuất / Vận hành sản xuất</t>
        </is>
      </c>
      <c r="K9811" t="inlineStr">
        <is>
          <t>Trên 10 Năm</t>
        </is>
      </c>
      <c r="L9811" s="8">
        <f>HYPERLINK("https://careerviet.vn/vi/tim-viec-lam/126660-customer-service-manager-printer.35C6491F.html","Xem chi tiết")</f>
        <v/>
      </c>
    </row>
    <row r="9812">
      <c r="B9812" s="9" t="n">
        <v>9810</v>
      </c>
      <c r="C9812" s="10" t="inlineStr">
        <is>
          <t>Nhân Viên Chăm Sóc Khách Hàng - ILA Phan Văn Hớn</t>
        </is>
      </c>
      <c r="D9812" s="10" t="inlineStr">
        <is>
          <t>ILA Việt Nam</t>
        </is>
      </c>
      <c r="E9812" s="10" t="inlineStr">
        <is>
          <t>Lương:7,5 Tr - 10 Tr VND</t>
        </is>
      </c>
      <c r="F9812" s="10" t="inlineStr">
        <is>
          <t>Hồ Chí Minh</t>
        </is>
      </c>
      <c r="G9812" s="10" t="inlineStr">
        <is>
          <t>13-04-2026</t>
        </is>
      </c>
      <c r="H9812" s="10" t="inlineStr">
        <is>
          <t>13/04/2026</t>
        </is>
      </c>
      <c r="I9812" s="10" t="inlineStr">
        <is>
          <t>17/03/2026</t>
        </is>
      </c>
      <c r="J9812" s="10" t="inlineStr">
        <is>
          <t>Tư vấn, Dịch vụ khách hàng, Giáo dục / Đào tạo</t>
        </is>
      </c>
      <c r="K9812" s="10" t="inlineStr">
        <is>
          <t>1 - 2 Năm</t>
        </is>
      </c>
      <c r="L9812" s="11">
        <f>HYPERLINK("https://careerviet.vn/vi/tim-viec-lam/nhan-vien-cham-soc-khach-hang-ila-phan-van-hon.35C68943.html","Xem chi tiết")</f>
        <v/>
      </c>
      <c r="M9812" s="10" t="n"/>
    </row>
    <row r="9813">
      <c r="B9813" s="7" t="n">
        <v>9811</v>
      </c>
      <c r="C9813" t="inlineStr">
        <is>
          <t>Nhân Viên Đồ Họa</t>
        </is>
      </c>
      <c r="D9813" t="inlineStr">
        <is>
          <t>Công ty TNHH LONG UYÊN</t>
        </is>
      </c>
      <c r="E9813" t="inlineStr">
        <is>
          <t>Lương:Cạnh tranh</t>
        </is>
      </c>
      <c r="F9813" t="inlineStr">
        <is>
          <t>Đồng Tháp</t>
        </is>
      </c>
      <c r="G9813" t="inlineStr">
        <is>
          <t>13-04-2026</t>
        </is>
      </c>
      <c r="H9813" t="inlineStr">
        <is>
          <t>13/04/2026</t>
        </is>
      </c>
      <c r="I9813" t="inlineStr">
        <is>
          <t>17/03/2026</t>
        </is>
      </c>
      <c r="J9813" t="inlineStr">
        <is>
          <t>Mỹ thuật / Nghệ thuật / Thiết kế, Điện / Điện tử / Điện lạnh / Điện công nghiệp, Cơ khí / Ô tô / Tự động hóa</t>
        </is>
      </c>
      <c r="K9813" t="inlineStr">
        <is>
          <t>Trên 1 Năm</t>
        </is>
      </c>
      <c r="L9813" s="8">
        <f>HYPERLINK("https://careerviet.vn/vi/tim-viec-lam/nhan-vien-do-hoa.35C68954.html","Xem chi tiết")</f>
        <v/>
      </c>
    </row>
    <row r="9814">
      <c r="B9814" s="9" t="n">
        <v>9812</v>
      </c>
      <c r="C9814" s="10" t="inlineStr">
        <is>
          <t>Nhân viên tổ chức sự kiện và xây dựng quan hệ khách hàng</t>
        </is>
      </c>
      <c r="D9814" s="10" t="inlineStr">
        <is>
          <t>Công Ty Cổ Phần Tân Vĩnh Cửu (Tavico group)</t>
        </is>
      </c>
      <c r="E9814" s="10" t="inlineStr">
        <is>
          <t>Lương:Cạnh tranh</t>
        </is>
      </c>
      <c r="F9814" s="10" t="inlineStr">
        <is>
          <t>Đồng Nai</t>
        </is>
      </c>
      <c r="G9814" s="10" t="inlineStr">
        <is>
          <t>13-04-2026</t>
        </is>
      </c>
      <c r="H9814" s="10" t="inlineStr">
        <is>
          <t>13/04/2026</t>
        </is>
      </c>
      <c r="I9814" s="10" t="inlineStr">
        <is>
          <t>17/03/2026</t>
        </is>
      </c>
      <c r="J9814" s="10" t="inlineStr">
        <is>
          <t>Quảng cáo / Đối ngoại / Truyền Thông, Tổ chức sự kiện</t>
        </is>
      </c>
      <c r="K9814" s="10" t="inlineStr">
        <is>
          <t>1 - 2 Năm</t>
        </is>
      </c>
      <c r="L9814" s="11">
        <f>HYPERLINK("https://careerviet.vn/vi/tim-viec-lam/nhan-vien-to-chuc-su-kien-va-xay-dung-quan-he-khach-hang.35C65716.html","Xem chi tiết")</f>
        <v/>
      </c>
      <c r="M9814" s="10" t="n"/>
    </row>
    <row r="9815">
      <c r="B9815" s="7" t="n">
        <v>9813</v>
      </c>
      <c r="C9815" t="inlineStr">
        <is>
          <t>Nhân viên đóng hàng TMĐT</t>
        </is>
      </c>
      <c r="D9815" t="inlineStr">
        <is>
          <t>Công ty Cổ phần Mediamart Việt Nam</t>
        </is>
      </c>
      <c r="E9815" t="inlineStr">
        <is>
          <t>Lương:8 Tr - 10 Tr VND</t>
        </is>
      </c>
      <c r="F9815" t="inlineStr">
        <is>
          <t>Hà Nội</t>
        </is>
      </c>
      <c r="G9815" t="inlineStr">
        <is>
          <t>13-04-2026</t>
        </is>
      </c>
      <c r="H9815" t="inlineStr">
        <is>
          <t>13/04/2026</t>
        </is>
      </c>
      <c r="I9815" t="inlineStr">
        <is>
          <t>17/03/2026</t>
        </is>
      </c>
      <c r="J9815" t="inlineStr">
        <is>
          <t>Bán lẻ / Bán sỉ, Vận chuyển / Giao nhận / Kho vận</t>
        </is>
      </c>
      <c r="K9815" t="inlineStr">
        <is>
          <t>N/A</t>
        </is>
      </c>
      <c r="L9815" s="8">
        <f>HYPERLINK("https://careerviet.vn/vi/tim-viec-lam/nhan-vien-dong-hang-tmdt.35C65567.html","Xem chi tiết")</f>
        <v/>
      </c>
    </row>
    <row r="9816">
      <c r="B9816" s="9" t="n">
        <v>9814</v>
      </c>
      <c r="C9816" s="10" t="inlineStr">
        <is>
          <t>Nhân viên bảo trì điện</t>
        </is>
      </c>
      <c r="D9816" s="10" t="inlineStr">
        <is>
          <t>Công ty TNHH Giống gia cầm Minh Dư</t>
        </is>
      </c>
      <c r="E9816" s="10" t="inlineStr">
        <is>
          <t>Lương:Cạnh tranh</t>
        </is>
      </c>
      <c r="F9816" s="10" t="inlineStr">
        <is>
          <t>Bình Định</t>
        </is>
      </c>
      <c r="G9816" s="10" t="inlineStr">
        <is>
          <t>13-04-2026</t>
        </is>
      </c>
      <c r="H9816" s="10" t="inlineStr">
        <is>
          <t>13/04/2026</t>
        </is>
      </c>
      <c r="I9816" s="10" t="inlineStr">
        <is>
          <t>17/03/2026</t>
        </is>
      </c>
      <c r="J9816" s="10" t="inlineStr">
        <is>
          <t>Cơ khí / Ô tô / Tự động hóa, Điện / Điện tử / Điện lạnh / Điện công nghiệp, Bảo trì / Sửa chữa</t>
        </is>
      </c>
      <c r="K9816" s="10" t="inlineStr">
        <is>
          <t>Lên đến 1 Năm</t>
        </is>
      </c>
      <c r="L9816" s="11">
        <f>HYPERLINK("https://careerviet.vn/vi/tim-viec-lam/nhan-vien-bao-tri-dien.35C6561B.html","Xem chi tiết")</f>
        <v/>
      </c>
      <c r="M9816" s="10" t="n"/>
    </row>
    <row r="9817">
      <c r="B9817" s="7" t="n">
        <v>9815</v>
      </c>
      <c r="C9817" t="inlineStr">
        <is>
          <t>Nhân viên chăm sóc khách hàng</t>
        </is>
      </c>
      <c r="D9817" t="inlineStr">
        <is>
          <t>Công ty Cổ phần Mediamart Việt Nam</t>
        </is>
      </c>
      <c r="E9817" t="inlineStr">
        <is>
          <t>Lương:7 Tr - 9 Tr VND</t>
        </is>
      </c>
      <c r="F9817" t="inlineStr">
        <is>
          <t>Hà Nội</t>
        </is>
      </c>
      <c r="G9817" t="inlineStr">
        <is>
          <t>13-04-2026</t>
        </is>
      </c>
      <c r="H9817" t="inlineStr">
        <is>
          <t>13/04/2026</t>
        </is>
      </c>
      <c r="I9817" t="inlineStr">
        <is>
          <t>17/03/2026</t>
        </is>
      </c>
      <c r="J9817" t="inlineStr">
        <is>
          <t>Bán hàng / Kinh doanh, Dịch vụ khách hàng, Điện / Điện tử / Điện lạnh / Điện công nghiệp</t>
        </is>
      </c>
      <c r="K9817" t="inlineStr">
        <is>
          <t>N/A</t>
        </is>
      </c>
      <c r="L9817" s="8">
        <f>HYPERLINK("https://careerviet.vn/vi/tim-viec-lam/nhan-vien-cham-soc-khach-hang.35C6556A.html","Xem chi tiết")</f>
        <v/>
      </c>
    </row>
    <row r="9818">
      <c r="B9818" s="9" t="n">
        <v>9816</v>
      </c>
      <c r="C9818" s="10" t="inlineStr">
        <is>
          <t>CVCC Phê duyệt tín dụng - Hồ Chí Minh - TA162</t>
        </is>
      </c>
      <c r="D9818" s="10" t="inlineStr">
        <is>
          <t>Ngân Hàng TMCP Việt Nam Thịnh Vượng - VPBANK</t>
        </is>
      </c>
      <c r="E9818" s="10" t="inlineStr">
        <is>
          <t>Lương:Cạnh tranh</t>
        </is>
      </c>
      <c r="F9818" s="10" t="inlineStr">
        <is>
          <t>Hồ Chí Minh</t>
        </is>
      </c>
      <c r="G9818" s="10" t="inlineStr">
        <is>
          <t>13-04-2026</t>
        </is>
      </c>
      <c r="H9818" s="10" t="inlineStr">
        <is>
          <t>13/04/2026</t>
        </is>
      </c>
      <c r="I9818" s="10" t="inlineStr">
        <is>
          <t>17/03/2026</t>
        </is>
      </c>
      <c r="J9818" s="10" t="inlineStr">
        <is>
          <t>Ngân hàng</t>
        </is>
      </c>
      <c r="K9818" s="10" t="inlineStr">
        <is>
          <t>Chưa có kinh nghiệm</t>
        </is>
      </c>
      <c r="L9818" s="11">
        <f>HYPERLINK("https://careerviet.vn/vi/tim-viec-lam/cvcc-phe-duyet-tin-dung-ho-chi-minh-ta162.35C68934.html","Xem chi tiết")</f>
        <v/>
      </c>
      <c r="M9818" s="10" t="n"/>
    </row>
    <row r="9819">
      <c r="B9819" s="7" t="n">
        <v>9817</v>
      </c>
      <c r="C9819" t="inlineStr">
        <is>
          <t>VPBank - Chuyên Viên Cao Cấp Tư Vấn Tài Chính Cá Nhân - Đắc Lắc</t>
        </is>
      </c>
      <c r="D9819" t="inlineStr">
        <is>
          <t>Ngân Hàng TMCP Việt Nam Thịnh Vượng - VPBANK</t>
        </is>
      </c>
      <c r="E9819" t="inlineStr">
        <is>
          <t>Lương:15 Tr - 22 Tr VND</t>
        </is>
      </c>
      <c r="F9819" t="inlineStr">
        <is>
          <t>Dak Lak</t>
        </is>
      </c>
      <c r="G9819" t="inlineStr">
        <is>
          <t>13-04-2026</t>
        </is>
      </c>
      <c r="H9819" t="inlineStr">
        <is>
          <t>13/04/2026</t>
        </is>
      </c>
      <c r="I9819" t="inlineStr">
        <is>
          <t>17/03/2026</t>
        </is>
      </c>
      <c r="J9819" t="inlineStr">
        <is>
          <t>Bán hàng / Kinh doanh, Ngân hàng, Bảo hiểm</t>
        </is>
      </c>
      <c r="K9819" t="inlineStr">
        <is>
          <t>1 - 3 Năm</t>
        </is>
      </c>
      <c r="L9819" s="8">
        <f>HYPERLINK("https://careerviet.vn/vi/tim-viec-lam/vpbank-chuyen-vien-cao-cap-tu-van-tai-chinh-ca-nhan-dac-lac.35C657E9.html","Xem chi tiết")</f>
        <v/>
      </c>
    </row>
    <row r="9820">
      <c r="B9820" s="9" t="n">
        <v>9818</v>
      </c>
      <c r="C9820" s="10" t="inlineStr">
        <is>
          <t>Giám đốc Quản lý Khách hàng Ưu tiên - Vùng Nam Hà Nội</t>
        </is>
      </c>
      <c r="D9820" s="10" t="inlineStr">
        <is>
          <t>Ngân Hàng TMCP Quốc Tế Việt Nam</t>
        </is>
      </c>
      <c r="E9820" s="10" t="inlineStr">
        <is>
          <t>Lương:Cạnh tranh</t>
        </is>
      </c>
      <c r="F9820" s="10" t="inlineStr">
        <is>
          <t>Hà Nội</t>
        </is>
      </c>
      <c r="G9820" s="10" t="inlineStr">
        <is>
          <t>13-04-2026</t>
        </is>
      </c>
      <c r="H9820" s="10" t="inlineStr">
        <is>
          <t>13/04/2026</t>
        </is>
      </c>
      <c r="I9820" s="10" t="inlineStr">
        <is>
          <t>17/03/2026</t>
        </is>
      </c>
      <c r="J9820" s="10" t="inlineStr">
        <is>
          <t>Bán hàng / Kinh doanh</t>
        </is>
      </c>
      <c r="K9820" s="10" t="inlineStr">
        <is>
          <t>1 - 3 Năm</t>
        </is>
      </c>
      <c r="L9820" s="11">
        <f>HYPERLINK("https://careerviet.vn/vi/tim-viec-lam/giam-doc-quan-ly-khach-hang-uu-tien-vung-nam-ha-noi.35C68820.html","Xem chi tiết")</f>
        <v/>
      </c>
      <c r="M9820" s="10" t="n"/>
    </row>
    <row r="9821">
      <c r="B9821" s="7" t="n">
        <v>9819</v>
      </c>
      <c r="C9821" t="inlineStr">
        <is>
          <t>Trưởng phòng kỹ thuật</t>
        </is>
      </c>
      <c r="D9821" t="inlineStr">
        <is>
          <t>CÔNG TY TNHH THIẾT BỊ HT VIỆT NAM</t>
        </is>
      </c>
      <c r="E9821" t="inlineStr">
        <is>
          <t>Lương:20 Tr - 30 Tr VND</t>
        </is>
      </c>
      <c r="F9821" t="inlineStr">
        <is>
          <t>Hà Nội</t>
        </is>
      </c>
      <c r="G9821" t="inlineStr">
        <is>
          <t>13-04-2026</t>
        </is>
      </c>
      <c r="H9821" t="inlineStr">
        <is>
          <t>13/04/2026</t>
        </is>
      </c>
      <c r="I9821" t="inlineStr">
        <is>
          <t>17/03/2026</t>
        </is>
      </c>
      <c r="J9821" t="inlineStr">
        <is>
          <t>Cơ khí / Ô tô / Tự động hóa, Điện / Điện tử / Điện lạnh / Điện công nghiệp, Bảo trì / Sửa chữa</t>
        </is>
      </c>
      <c r="K9821" t="inlineStr">
        <is>
          <t>2 - 3 Năm</t>
        </is>
      </c>
      <c r="L9821" s="8">
        <f>HYPERLINK("https://careerviet.vn/vi/tim-viec-lam/truong-phong-ky-thuat.35C657AE.html","Xem chi tiết")</f>
        <v/>
      </c>
    </row>
    <row r="9822">
      <c r="B9822" s="9" t="n">
        <v>9820</v>
      </c>
      <c r="C9822" s="10" t="inlineStr">
        <is>
          <t>PROCUREMENT SPECIALIST</t>
        </is>
      </c>
      <c r="D9822" s="10" t="inlineStr">
        <is>
          <t>NORBREEZE COLLECTIVE ASIA</t>
        </is>
      </c>
      <c r="E9822" s="10" t="inlineStr">
        <is>
          <t>Lương:Cạnh tranh</t>
        </is>
      </c>
      <c r="F9822" s="10" t="inlineStr">
        <is>
          <t>Hồ Chí Minh</t>
        </is>
      </c>
      <c r="G9822" s="10" t="inlineStr">
        <is>
          <t>13-04-2026</t>
        </is>
      </c>
      <c r="H9822" s="10" t="inlineStr">
        <is>
          <t>13/04/2026</t>
        </is>
      </c>
      <c r="I9822" s="10" t="inlineStr">
        <is>
          <t>17/03/2026</t>
        </is>
      </c>
      <c r="J9822" s="10" t="inlineStr">
        <is>
          <t>Bán hàng / Kinh doanh, Xuất nhập khẩu, Dệt may / Da giày / Thời trang</t>
        </is>
      </c>
      <c r="K9822" s="10" t="inlineStr">
        <is>
          <t>4 - 9 Năm</t>
        </is>
      </c>
      <c r="L9822" s="11">
        <f>HYPERLINK("https://careerviet.vn/vi/tim-viec-lam/procurement-specialist.35C688FF.html","Xem chi tiết")</f>
        <v/>
      </c>
      <c r="M9822" s="10" t="n"/>
    </row>
    <row r="9823">
      <c r="B9823" s="7" t="n">
        <v>9821</v>
      </c>
      <c r="C9823" t="inlineStr">
        <is>
          <t>CVCC Tuân thủ mảng Bảo hiểm - Hà Nội - TA161 - ID1252</t>
        </is>
      </c>
      <c r="D9823" t="inlineStr">
        <is>
          <t>Ngân Hàng TMCP Việt Nam Thịnh Vượng - VPBANK</t>
        </is>
      </c>
      <c r="E9823" t="inlineStr">
        <is>
          <t>Lương:20 Tr - 50 Tr VND</t>
        </is>
      </c>
      <c r="F9823" t="inlineStr">
        <is>
          <t>Hà Nội</t>
        </is>
      </c>
      <c r="G9823" t="inlineStr">
        <is>
          <t>13-04-2026</t>
        </is>
      </c>
      <c r="H9823" t="inlineStr">
        <is>
          <t>13/04/2026</t>
        </is>
      </c>
      <c r="I9823" t="inlineStr">
        <is>
          <t>17/03/2026</t>
        </is>
      </c>
      <c r="J9823" t="inlineStr">
        <is>
          <t>Ngân hàng, Bảo hiểm</t>
        </is>
      </c>
      <c r="K9823" t="inlineStr">
        <is>
          <t>Trên 2 Năm</t>
        </is>
      </c>
      <c r="L9823" s="8">
        <f>HYPERLINK("https://careerviet.vn/vi/tim-viec-lam/cvcc-tuan-thu-mang-bao-hiem-ha-noi-ta161-id1252.35C655E5.html","Xem chi tiết")</f>
        <v/>
      </c>
    </row>
    <row r="9824">
      <c r="B9824" s="9" t="n">
        <v>9822</v>
      </c>
      <c r="C9824" s="10" t="inlineStr">
        <is>
          <t>Nhân Viên Vận Hành Sàn Thương Mại Điện Tử  (Lazada,Shopee, Titok...vv..)</t>
        </is>
      </c>
      <c r="D9824" s="10" t="inlineStr">
        <is>
          <t>Công ty TNHH SX-TM-DV Qui Phúc</t>
        </is>
      </c>
      <c r="E9824" s="10" t="inlineStr">
        <is>
          <t>Lương:12 Tr - 18 Tr VND</t>
        </is>
      </c>
      <c r="F9824" s="10" t="inlineStr">
        <is>
          <t>Hồ Chí Minh</t>
        </is>
      </c>
      <c r="G9824" s="10" t="inlineStr">
        <is>
          <t>13-04-2026</t>
        </is>
      </c>
      <c r="H9824" s="10" t="inlineStr">
        <is>
          <t>13/04/2026</t>
        </is>
      </c>
      <c r="I9824" s="10" t="inlineStr">
        <is>
          <t>17/03/2026</t>
        </is>
      </c>
      <c r="J9824" s="10" t="inlineStr">
        <is>
          <t>Bán hàng / Kinh doanh, Tiếp thị trực tuyến, Tiếp thị / Marketing</t>
        </is>
      </c>
      <c r="K9824" s="10" t="inlineStr">
        <is>
          <t>1 - 2 Năm</t>
        </is>
      </c>
      <c r="L9824" s="11">
        <f>HYPERLINK("https://careerviet.vn/vi/tim-viec-lam/nhan-vien-van-hanh-san-thuong-mai-dien-tu-lazada-shopee-titok-vv.35C654A0.html","Xem chi tiết")</f>
        <v/>
      </c>
      <c r="M9824" s="10" t="n"/>
    </row>
    <row r="9825">
      <c r="B9825" s="7" t="n">
        <v>9823</v>
      </c>
      <c r="C9825" t="inlineStr">
        <is>
          <t>VPBank - Chuyên Viên Cao Cấp Quan Hệ Khách Hàng Ưu Tiên - Gia Lai</t>
        </is>
      </c>
      <c r="D9825" t="inlineStr">
        <is>
          <t>Ngân Hàng TMCP Việt Nam Thịnh Vượng - VPBANK</t>
        </is>
      </c>
      <c r="E9825" t="inlineStr">
        <is>
          <t>Lương:15 Tr - 22 Tr VND</t>
        </is>
      </c>
      <c r="F9825" t="inlineStr">
        <is>
          <t>Gia Lai</t>
        </is>
      </c>
      <c r="G9825" t="inlineStr">
        <is>
          <t>13-04-2026</t>
        </is>
      </c>
      <c r="H9825" t="inlineStr">
        <is>
          <t>13/04/2026</t>
        </is>
      </c>
      <c r="I9825" t="inlineStr">
        <is>
          <t>17/03/2026</t>
        </is>
      </c>
      <c r="J9825" t="inlineStr">
        <is>
          <t>Bán hàng / Kinh doanh, Ngân hàng, Bảo hiểm</t>
        </is>
      </c>
      <c r="K9825" t="inlineStr">
        <is>
          <t>1 - 3 Năm</t>
        </is>
      </c>
      <c r="L9825" s="8">
        <f>HYPERLINK("https://careerviet.vn/vi/tim-viec-lam/vpbank-chuyen-vien-cao-cap-quan-he-khach-hang-uu-tien-gia-lai.35C657DD.html","Xem chi tiết")</f>
        <v/>
      </c>
    </row>
    <row r="9826">
      <c r="B9826" s="9" t="n">
        <v>9824</v>
      </c>
      <c r="C9826" s="10" t="inlineStr">
        <is>
          <t>Middle/Senior Human Resource Specialist</t>
        </is>
      </c>
      <c r="D9826" s="10" t="inlineStr">
        <is>
          <t>Công Ty TNHH TurnKey FBA</t>
        </is>
      </c>
      <c r="E9826" s="10" t="inlineStr">
        <is>
          <t>Lương:20 Tr - 30 Tr VND</t>
        </is>
      </c>
      <c r="F9826" s="10" t="inlineStr">
        <is>
          <t>Hà Nội</t>
        </is>
      </c>
      <c r="G9826" s="10" t="inlineStr">
        <is>
          <t>13-04-2026</t>
        </is>
      </c>
      <c r="H9826" s="10" t="inlineStr">
        <is>
          <t>13/04/2026</t>
        </is>
      </c>
      <c r="I9826" s="10" t="inlineStr">
        <is>
          <t>17/03/2026</t>
        </is>
      </c>
      <c r="J9826" s="10" t="inlineStr">
        <is>
          <t>Hành chính / Thư ký, Quản lý điều hành, Nhân sự</t>
        </is>
      </c>
      <c r="K9826" s="10" t="inlineStr">
        <is>
          <t>2 - 8 Năm</t>
        </is>
      </c>
      <c r="L9826" s="11">
        <f>HYPERLINK("https://careerviet.vn/vi/tim-viec-lam/middle-senior-human-resource-specialist.35C657D2.html","Xem chi tiết")</f>
        <v/>
      </c>
      <c r="M9826" s="10" t="n"/>
    </row>
    <row r="9827">
      <c r="B9827" s="7" t="n">
        <v>9825</v>
      </c>
      <c r="C9827" t="inlineStr">
        <is>
          <t>Branding Executive</t>
        </is>
      </c>
      <c r="D9827" t="inlineStr">
        <is>
          <t>CÔNG TY CỔ PHẦN CÔNG NGHỆ PREP</t>
        </is>
      </c>
      <c r="E9827" t="inlineStr">
        <is>
          <t>Lương:11 Tr - 13 Tr VND</t>
        </is>
      </c>
      <c r="F9827" t="inlineStr">
        <is>
          <t>Hà Nội</t>
        </is>
      </c>
      <c r="G9827" t="inlineStr">
        <is>
          <t>13-04-2026</t>
        </is>
      </c>
      <c r="H9827" t="inlineStr">
        <is>
          <t>13/04/2026</t>
        </is>
      </c>
      <c r="I9827" t="inlineStr">
        <is>
          <t>17/03/2026</t>
        </is>
      </c>
      <c r="J9827" t="inlineStr">
        <is>
          <t>Truyền hình / Báo chí / Biên tập, Quảng cáo / Đối ngoại / Truyền Thông, Tổ chức sự kiện</t>
        </is>
      </c>
      <c r="K9827" t="inlineStr">
        <is>
          <t>Trên 1 Năm</t>
        </is>
      </c>
      <c r="L9827" s="8">
        <f>HYPERLINK("https://careerviet.vn/vi/tim-viec-lam/branding-executive.35C65636.html","Xem chi tiết")</f>
        <v/>
      </c>
    </row>
    <row r="9828">
      <c r="B9828" s="9" t="n">
        <v>9826</v>
      </c>
      <c r="C9828" s="10" t="inlineStr">
        <is>
          <t>Kế Toán Thanh Toán - Payable Accountant - AP/GL</t>
        </is>
      </c>
      <c r="D9828" s="10" t="inlineStr">
        <is>
          <t>Công ty TNHH Phát triển Phú Mỹ Hưng</t>
        </is>
      </c>
      <c r="E9828" s="10" t="inlineStr">
        <is>
          <t>Lương:Cạnh tranh</t>
        </is>
      </c>
      <c r="F9828" s="10" t="inlineStr">
        <is>
          <t>Hồ Chí Minh</t>
        </is>
      </c>
      <c r="G9828" s="10" t="inlineStr">
        <is>
          <t>13-04-2026</t>
        </is>
      </c>
      <c r="H9828" s="10" t="inlineStr">
        <is>
          <t>13/04/2026</t>
        </is>
      </c>
      <c r="I9828" s="10" t="inlineStr">
        <is>
          <t>17/03/2026</t>
        </is>
      </c>
      <c r="J9828" s="10" t="inlineStr">
        <is>
          <t>Kế toán / Kiểm toán, Ngân hàng, Tài chính / Đầu tư</t>
        </is>
      </c>
      <c r="K9828" s="10" t="inlineStr">
        <is>
          <t>2 - 3 Năm</t>
        </is>
      </c>
      <c r="L9828" s="11">
        <f>HYPERLINK("https://careerviet.vn/vi/tim-viec-lam/ke-toan-thanh-toan-payable-accountant-ap-gl.35C6890E.html","Xem chi tiết")</f>
        <v/>
      </c>
      <c r="M9828" s="10" t="n"/>
    </row>
    <row r="9829">
      <c r="B9829" s="7" t="n">
        <v>9827</v>
      </c>
      <c r="C9829" t="inlineStr">
        <is>
          <t>Nhân Viên Kỹ Thuật Bảo Hành Đồ Gia Dụng</t>
        </is>
      </c>
      <c r="D9829" t="inlineStr">
        <is>
          <t>CÔNG TY TNHH THƯƠNG MẠI VÀ HỮU NGHỊ LÊ GIA</t>
        </is>
      </c>
      <c r="E9829" t="inlineStr">
        <is>
          <t>Lương:10 Tr - 15 Tr VND</t>
        </is>
      </c>
      <c r="F9829" t="inlineStr">
        <is>
          <t>Hà Nội</t>
        </is>
      </c>
      <c r="G9829" t="inlineStr">
        <is>
          <t>13-04-2026</t>
        </is>
      </c>
      <c r="H9829" t="inlineStr">
        <is>
          <t>13/04/2026</t>
        </is>
      </c>
      <c r="I9829" t="inlineStr">
        <is>
          <t>17/03/2026</t>
        </is>
      </c>
      <c r="J9829" t="inlineStr">
        <is>
          <t>Dịch vụ khách hàng, Điện / Điện tử / Điện lạnh / Điện công nghiệp, Bảo trì / Sửa chữa</t>
        </is>
      </c>
      <c r="K9829" t="inlineStr">
        <is>
          <t>Trên 2 Năm</t>
        </is>
      </c>
      <c r="L9829" s="8">
        <f>HYPERLINK("https://careerviet.vn/vi/tim-viec-lam/nhan-vien-ky-thuat-bao-hanh-do-gia-dung.35C68924.html","Xem chi tiết")</f>
        <v/>
      </c>
    </row>
    <row r="9830">
      <c r="B9830" s="9" t="n">
        <v>9828</v>
      </c>
      <c r="C9830" s="10" t="inlineStr">
        <is>
          <t>[Bắc Ninh] Thực tập sinh phòng thí nghiệm Hóa</t>
        </is>
      </c>
      <c r="D9830" s="10" t="inlineStr">
        <is>
          <t>EUROFINS VIETNAM</t>
        </is>
      </c>
      <c r="E9830" s="10" t="inlineStr">
        <is>
          <t>Lương:Cạnh tranh</t>
        </is>
      </c>
      <c r="F9830" s="10" t="inlineStr">
        <is>
          <t>Bắc Ninh</t>
        </is>
      </c>
      <c r="G9830" s="10" t="inlineStr">
        <is>
          <t>13-04-2026</t>
        </is>
      </c>
      <c r="H9830" s="10" t="inlineStr">
        <is>
          <t>13/04/2026</t>
        </is>
      </c>
      <c r="I9830" s="10" t="inlineStr">
        <is>
          <t>17/03/2026</t>
        </is>
      </c>
      <c r="J9830" s="10" t="inlineStr">
        <is>
          <t>Công nghệ sinh học, Công nghệ thực phẩm / Dinh dưỡng, Hóa học</t>
        </is>
      </c>
      <c r="K9830" s="10" t="inlineStr">
        <is>
          <t>N/A</t>
        </is>
      </c>
      <c r="L9830" s="11">
        <f>HYPERLINK("https://careerviet.vn/vi/tim-viec-lam/bac-ninh-thuc-tap-sinh-phong-thi-nghiem-hoa.35C687B7.html","Xem chi tiết")</f>
        <v/>
      </c>
      <c r="M9830" s="10" t="n"/>
    </row>
    <row r="9831">
      <c r="B9831" s="7" t="n">
        <v>9829</v>
      </c>
      <c r="C9831" t="inlineStr">
        <is>
          <t>Nhân viên Thiết Kế Đường - TK Cầu</t>
        </is>
      </c>
      <c r="D9831" t="inlineStr">
        <is>
          <t>CareerViet's client</t>
        </is>
      </c>
      <c r="E9831" t="inlineStr">
        <is>
          <t>Lương:10 Tr - 17 Tr VND</t>
        </is>
      </c>
      <c r="F9831" t="inlineStr">
        <is>
          <t>Hồ Chí MinhBình Dương</t>
        </is>
      </c>
      <c r="G9831" t="inlineStr">
        <is>
          <t>13-04-2026</t>
        </is>
      </c>
      <c r="H9831" t="inlineStr">
        <is>
          <t>13/04/2026</t>
        </is>
      </c>
      <c r="I9831" t="inlineStr">
        <is>
          <t>17/03/2026</t>
        </is>
      </c>
      <c r="J9831" t="inlineStr">
        <is>
          <t>Kiến trúc, Xây dựng</t>
        </is>
      </c>
      <c r="K9831" t="inlineStr">
        <is>
          <t>2 - 5 Năm</t>
        </is>
      </c>
      <c r="L9831" s="8">
        <f>HYPERLINK("https://careerviet.vn/vi/tim-viec-lam/nhan-vien-thiet-ke-duong-tk-cau.35C6885A.html","Xem chi tiết")</f>
        <v/>
      </c>
    </row>
    <row r="9832">
      <c r="B9832" s="9" t="n">
        <v>9830</v>
      </c>
      <c r="C9832" s="10" t="inlineStr">
        <is>
          <t>Quản lý Khách hàng (RM)</t>
        </is>
      </c>
      <c r="D9832" s="10" t="inlineStr">
        <is>
          <t>Ngân Hàng TMCP Quốc Tế Việt Nam</t>
        </is>
      </c>
      <c r="E9832" s="10" t="inlineStr">
        <is>
          <t>Lương:Cạnh tranh</t>
        </is>
      </c>
      <c r="F9832" s="10" t="inlineStr">
        <is>
          <t>Hà Nội</t>
        </is>
      </c>
      <c r="G9832" s="10" t="inlineStr">
        <is>
          <t>13-04-2026</t>
        </is>
      </c>
      <c r="H9832" s="10" t="inlineStr">
        <is>
          <t>13/04/2026</t>
        </is>
      </c>
      <c r="I9832" s="10" t="inlineStr">
        <is>
          <t>17/03/2026</t>
        </is>
      </c>
      <c r="J9832" s="10" t="inlineStr">
        <is>
          <t>Bán hàng / Kinh doanh</t>
        </is>
      </c>
      <c r="K9832" s="10" t="inlineStr">
        <is>
          <t>1 - 3 Năm</t>
        </is>
      </c>
      <c r="L9832" s="11">
        <f>HYPERLINK("https://careerviet.vn/vi/tim-viec-lam/quan-ly-khach-hang-rm.35C6883F.html","Xem chi tiết")</f>
        <v/>
      </c>
      <c r="M9832" s="10" t="n"/>
    </row>
    <row r="9833">
      <c r="B9833" s="7" t="n">
        <v>9831</v>
      </c>
      <c r="C9833" t="inlineStr">
        <is>
          <t>Giám Nhà Hàng F&amp;B ( Tiếng Hàn Cơ Bản) - Vincom Quận 9</t>
        </is>
      </c>
      <c r="D9833" t="inlineStr">
        <is>
          <t>Công ty TNHH Sản xuất Thương mại &amp; Dịch vụ Hoa Xinh</t>
        </is>
      </c>
      <c r="E9833" t="inlineStr">
        <is>
          <t>Lương:20 Tr - 22 Tr VND</t>
        </is>
      </c>
      <c r="F9833" t="inlineStr">
        <is>
          <t>Hồ Chí Minh</t>
        </is>
      </c>
      <c r="G9833" t="inlineStr">
        <is>
          <t>13-04-2026</t>
        </is>
      </c>
      <c r="H9833" t="inlineStr">
        <is>
          <t>13/04/2026</t>
        </is>
      </c>
      <c r="I9833" t="inlineStr">
        <is>
          <t>17/03/2026</t>
        </is>
      </c>
      <c r="J9833" t="inlineStr">
        <is>
          <t>Thực phẩm &amp; Đồ uống, Biên phiên dịch, Nhà hàng / Khách sạn</t>
        </is>
      </c>
      <c r="K9833" t="inlineStr">
        <is>
          <t>1 - 5 Năm</t>
        </is>
      </c>
      <c r="L9833" s="8">
        <f>HYPERLINK("https://careerviet.vn/vi/tim-viec-lam/giam-nha-hang-f-b-tieng-han-co-ban-vincom-quan-9.35C6576C.html","Xem chi tiết")</f>
        <v/>
      </c>
    </row>
    <row r="9834">
      <c r="B9834" s="9" t="n">
        <v>9832</v>
      </c>
      <c r="C9834" s="10" t="inlineStr">
        <is>
          <t>126794 - Kế Toán Trưởng - Ngành Thương Mại</t>
        </is>
      </c>
      <c r="D9834" s="10" t="inlineStr">
        <is>
          <t>RGF HR Agent Vietnam Co., LTD</t>
        </is>
      </c>
      <c r="E9834" s="10" t="inlineStr">
        <is>
          <t>Lương:Cạnh tranh</t>
        </is>
      </c>
      <c r="F9834" s="10" t="inlineStr">
        <is>
          <t>Hồ Chí Minh</t>
        </is>
      </c>
      <c r="G9834" s="10" t="inlineStr">
        <is>
          <t>13-04-2026</t>
        </is>
      </c>
      <c r="H9834" s="10" t="inlineStr">
        <is>
          <t>13/04/2026</t>
        </is>
      </c>
      <c r="I9834" s="10" t="inlineStr">
        <is>
          <t>17/03/2026</t>
        </is>
      </c>
      <c r="J9834" s="10" t="inlineStr">
        <is>
          <t>Bán hàng / Kinh doanh, Kế toán / Kiểm toán</t>
        </is>
      </c>
      <c r="K9834" s="10" t="inlineStr">
        <is>
          <t>Trên 5 Năm</t>
        </is>
      </c>
      <c r="L9834" s="11">
        <f>HYPERLINK("https://careerviet.vn/vi/tim-viec-lam/126794-ke-toan-truong-nganh-thuong-mai.35C65780.html","Xem chi tiết")</f>
        <v/>
      </c>
      <c r="M9834" s="10" t="n"/>
    </row>
    <row r="9835">
      <c r="B9835" s="7" t="n">
        <v>9833</v>
      </c>
      <c r="C9835" t="inlineStr">
        <is>
          <t>Quản Lý Dự Án (Chuyển Đổi Số &amp; MES)</t>
        </is>
      </c>
      <c r="D9835" t="inlineStr">
        <is>
          <t>CÔNG TY CỔ PHẦN ĐIỆN LỰC GELEX</t>
        </is>
      </c>
      <c r="E9835" t="inlineStr">
        <is>
          <t>Lương:Cạnh tranh</t>
        </is>
      </c>
      <c r="F9835" t="inlineStr">
        <is>
          <t>Hà Nội</t>
        </is>
      </c>
      <c r="G9835" t="inlineStr">
        <is>
          <t>13-04-2026</t>
        </is>
      </c>
      <c r="H9835" t="inlineStr">
        <is>
          <t>13/04/2026</t>
        </is>
      </c>
      <c r="I9835" t="inlineStr">
        <is>
          <t>17/03/2026</t>
        </is>
      </c>
      <c r="J9835" t="inlineStr">
        <is>
          <t>CNTT - Phần mềm, Sản xuất / Vận hành sản xuất, Bán Hàng Kỹ Thuật</t>
        </is>
      </c>
      <c r="K9835" t="inlineStr">
        <is>
          <t>3 - 5 Năm</t>
        </is>
      </c>
      <c r="L9835" s="8">
        <f>HYPERLINK("https://careerviet.vn/vi/tim-viec-lam/quan-ly-du-an-chuyen-doi-so-mes.35C6890B.html","Xem chi tiết")</f>
        <v/>
      </c>
    </row>
    <row r="9836">
      <c r="B9836" s="9" t="n">
        <v>9834</v>
      </c>
      <c r="C9836" s="10" t="inlineStr">
        <is>
          <t>CHUYÊN VIÊN SẢN XUẤT</t>
        </is>
      </c>
      <c r="D9836" s="10" t="inlineStr">
        <is>
          <t>Công Ty TNHH CJ Foods Việt Nam</t>
        </is>
      </c>
      <c r="E9836" s="10" t="inlineStr">
        <is>
          <t>Lương:Cạnh tranh</t>
        </is>
      </c>
      <c r="F9836" s="10" t="inlineStr">
        <is>
          <t>Bà Rịa - Vũng Tàu</t>
        </is>
      </c>
      <c r="G9836" s="10" t="inlineStr">
        <is>
          <t>13-04-2026</t>
        </is>
      </c>
      <c r="H9836" s="10" t="inlineStr">
        <is>
          <t>13/04/2026</t>
        </is>
      </c>
      <c r="I9836" s="10" t="inlineStr">
        <is>
          <t>17/03/2026</t>
        </is>
      </c>
      <c r="J9836" s="10" t="inlineStr">
        <is>
          <t>Sản xuất / Vận hành sản xuất</t>
        </is>
      </c>
      <c r="K9836" s="10" t="inlineStr">
        <is>
          <t>3 - 6 Năm</t>
        </is>
      </c>
      <c r="L9836" s="11">
        <f>HYPERLINK("https://careerviet.vn/vi/tim-viec-lam/chuyen-vien-san-xuat.35C688F9.html","Xem chi tiết")</f>
        <v/>
      </c>
      <c r="M9836" s="10" t="n"/>
    </row>
    <row r="9837">
      <c r="B9837" s="7" t="n">
        <v>9835</v>
      </c>
      <c r="C9837" t="inlineStr">
        <is>
          <t>Trưởng Phòng Kỹ Thuật - Khối Quản Lý Khai Thác Vận Hành</t>
        </is>
      </c>
      <c r="D9837" t="inlineStr">
        <is>
          <t>CÔNG TY CỔ PHẦN EUROWINDOW HOLDING</t>
        </is>
      </c>
      <c r="E9837" t="inlineStr">
        <is>
          <t>Lương:Cạnh tranh</t>
        </is>
      </c>
      <c r="F9837" t="inlineStr">
        <is>
          <t>Hà Nội</t>
        </is>
      </c>
      <c r="G9837" t="inlineStr">
        <is>
          <t>13-04-2026</t>
        </is>
      </c>
      <c r="H9837" t="inlineStr">
        <is>
          <t>13/04/2026</t>
        </is>
      </c>
      <c r="I9837" t="inlineStr">
        <is>
          <t>17/03/2026</t>
        </is>
      </c>
      <c r="J9837" t="inlineStr">
        <is>
          <t>Điện / Điện tử / Điện lạnh / Điện công nghiệp, Bảo trì / Sửa chữa</t>
        </is>
      </c>
      <c r="K9837" t="inlineStr">
        <is>
          <t>5 - 7 Năm</t>
        </is>
      </c>
      <c r="L9837" s="8">
        <f>HYPERLINK("https://careerviet.vn/vi/tim-viec-lam/truong-phong-ky-thuat-khoi-quan-ly-khai-thac-van-hanh.35C68804.html","Xem chi tiết")</f>
        <v/>
      </c>
    </row>
    <row r="9838">
      <c r="B9838" s="9" t="n">
        <v>9836</v>
      </c>
      <c r="C9838" s="10" t="inlineStr">
        <is>
          <t>CHUYÊN VIÊN KINH DOANH NỘI THẤT</t>
        </is>
      </c>
      <c r="D9838" s="10" t="inlineStr">
        <is>
          <t>CÔNG TY TNHH NIPPON INTERIA</t>
        </is>
      </c>
      <c r="E9838" s="10" t="inlineStr">
        <is>
          <t>Lương:12 Tr - 35 Tr VND</t>
        </is>
      </c>
      <c r="F9838" s="10" t="inlineStr">
        <is>
          <t>Hà NộiHồ Chí Minh</t>
        </is>
      </c>
      <c r="G9838" s="10" t="inlineStr">
        <is>
          <t>13-04-2026</t>
        </is>
      </c>
      <c r="H9838" s="10" t="inlineStr">
        <is>
          <t>13/04/2026</t>
        </is>
      </c>
      <c r="I9838" s="10" t="inlineStr">
        <is>
          <t>17/03/2026</t>
        </is>
      </c>
      <c r="J9838" s="10" t="inlineStr">
        <is>
          <t>Bán hàng / Kinh doanh, Nội ngoại thất, Kiến trúc</t>
        </is>
      </c>
      <c r="K9838" s="10" t="inlineStr">
        <is>
          <t>Trên 1 Năm</t>
        </is>
      </c>
      <c r="L9838" s="11">
        <f>HYPERLINK("https://careerviet.vn/vi/tim-viec-lam/chuyen-vien-kinh-doanh-noi-that.35C65794.html","Xem chi tiết")</f>
        <v/>
      </c>
      <c r="M9838" s="10" t="n"/>
    </row>
    <row r="9839">
      <c r="B9839" s="7" t="n">
        <v>9837</v>
      </c>
      <c r="C9839" t="inlineStr">
        <is>
          <t>VPBank - Trưởng Phòng Khách Hàng Cá Nhân - Hội An</t>
        </is>
      </c>
      <c r="D9839" t="inlineStr">
        <is>
          <t>Ngân Hàng TMCP Việt Nam Thịnh Vượng - VPBANK</t>
        </is>
      </c>
      <c r="E9839" t="inlineStr">
        <is>
          <t>Lương:Cạnh tranh</t>
        </is>
      </c>
      <c r="F9839" t="inlineStr">
        <is>
          <t>Quảng Nam</t>
        </is>
      </c>
      <c r="G9839" t="inlineStr">
        <is>
          <t>13-04-2026</t>
        </is>
      </c>
      <c r="H9839" t="inlineStr">
        <is>
          <t>13/04/2026</t>
        </is>
      </c>
      <c r="I9839" t="inlineStr">
        <is>
          <t>17/03/2026</t>
        </is>
      </c>
      <c r="J9839" t="inlineStr">
        <is>
          <t>Ngân hàng</t>
        </is>
      </c>
      <c r="K9839" t="inlineStr">
        <is>
          <t>4 - 10 Năm</t>
        </is>
      </c>
      <c r="L9839" s="8">
        <f>HYPERLINK("https://careerviet.vn/vi/tim-viec-lam/vpbank-truong-phong-khach-hang-ca-nhan-hoi-an.35C657D6.html","Xem chi tiết")</f>
        <v/>
      </c>
    </row>
    <row r="9840">
      <c r="B9840" s="9" t="n">
        <v>9838</v>
      </c>
      <c r="C9840" s="10" t="inlineStr">
        <is>
          <t>In-store Marketing Specialist</t>
        </is>
      </c>
      <c r="D9840" s="10" t="inlineStr">
        <is>
          <t>Công Ty CP Dược Phẩm Pharmacity</t>
        </is>
      </c>
      <c r="E9840" s="10" t="inlineStr">
        <is>
          <t>Lương:Cạnh tranh</t>
        </is>
      </c>
      <c r="F9840" s="10" t="inlineStr">
        <is>
          <t>Hồ Chí Minh</t>
        </is>
      </c>
      <c r="G9840" s="10" t="inlineStr">
        <is>
          <t>13-04-2026</t>
        </is>
      </c>
      <c r="H9840" s="10" t="inlineStr">
        <is>
          <t>13/04/2026</t>
        </is>
      </c>
      <c r="I9840" s="10" t="inlineStr">
        <is>
          <t>17/03/2026</t>
        </is>
      </c>
      <c r="J9840" s="10" t="inlineStr">
        <is>
          <t>Tiếp thị / Marketing</t>
        </is>
      </c>
      <c r="K9840" s="10" t="inlineStr">
        <is>
          <t>2 - 3 Năm</t>
        </is>
      </c>
      <c r="L9840" s="11">
        <f>HYPERLINK("https://careerviet.vn/vi/tim-viec-lam/in-store-marketing-specialist.35C687E6.html","Xem chi tiết")</f>
        <v/>
      </c>
      <c r="M9840" s="10" t="n"/>
    </row>
    <row r="9841">
      <c r="B9841" s="7" t="n">
        <v>9839</v>
      </c>
      <c r="C9841" t="inlineStr">
        <is>
          <t>CHUYÊN VIÊN PHÁT TRIỂN THỊ TRƯỜNG NỘI THẤT (ĐI LÀM NGAY SAU TẾT)</t>
        </is>
      </c>
      <c r="D9841" t="inlineStr">
        <is>
          <t>CÔNG TY TNHH NIPPON INTERIA</t>
        </is>
      </c>
      <c r="E9841" t="inlineStr">
        <is>
          <t>Lương:10 Tr - 40 Tr VND</t>
        </is>
      </c>
      <c r="F9841" t="inlineStr">
        <is>
          <t>Hồ Chí MinhHà Nội</t>
        </is>
      </c>
      <c r="G9841" t="inlineStr">
        <is>
          <t>13-04-2026</t>
        </is>
      </c>
      <c r="H9841" t="inlineStr">
        <is>
          <t>13/04/2026</t>
        </is>
      </c>
      <c r="I9841" t="inlineStr">
        <is>
          <t>17/03/2026</t>
        </is>
      </c>
      <c r="J9841" t="inlineStr">
        <is>
          <t>Bán hàng / Kinh doanh, Tiếp thị / Marketing, Nội ngoại thất</t>
        </is>
      </c>
      <c r="K9841" t="inlineStr">
        <is>
          <t>Trên 1 Năm</t>
        </is>
      </c>
      <c r="L9841" s="8">
        <f>HYPERLINK("https://careerviet.vn/vi/tim-viec-lam/chuyen-vien-phat-trien-thi-truong-noi-that-di-lam-ngay-sau-tet.35C686EC.html","Xem chi tiết")</f>
        <v/>
      </c>
    </row>
    <row r="9842">
      <c r="B9842" s="9" t="n">
        <v>9840</v>
      </c>
      <c r="C9842" s="10" t="inlineStr">
        <is>
          <t>Nhân Viên Chăm Sóc Khách Hàng Sàn TMĐT Kênh Chat (6 Tháng)</t>
        </is>
      </c>
      <c r="D9842" s="10" t="inlineStr">
        <is>
          <t>CÔNG TY CỔ PHẦN ALTIUS LINK VIỆT NAM</t>
        </is>
      </c>
      <c r="E9842" s="10" t="inlineStr">
        <is>
          <t>Lương:4 Tr - 4,1 Tr VND</t>
        </is>
      </c>
      <c r="F9842" s="10" t="inlineStr">
        <is>
          <t>Hồ Chí Minh</t>
        </is>
      </c>
      <c r="G9842" s="10" t="inlineStr">
        <is>
          <t>13-04-2026</t>
        </is>
      </c>
      <c r="H9842" s="10" t="inlineStr">
        <is>
          <t>13/04/2026</t>
        </is>
      </c>
      <c r="I9842" s="10" t="inlineStr">
        <is>
          <t>17/03/2026</t>
        </is>
      </c>
      <c r="J9842" s="10" t="inlineStr">
        <is>
          <t>Thương mại điện tử, Tư vấn, Dịch vụ khách hàng</t>
        </is>
      </c>
      <c r="K9842" s="10" t="inlineStr">
        <is>
          <t>N/A</t>
        </is>
      </c>
      <c r="L9842" s="11">
        <f>HYPERLINK("https://careerviet.vn/vi/tim-viec-lam/nhan-vien-cham-soc-khach-hang-san-tmdt-kenh-chat-6-thang.35C657B4.html","Xem chi tiết")</f>
        <v/>
      </c>
      <c r="M9842" s="10" t="n"/>
    </row>
    <row r="9843">
      <c r="B9843" s="7" t="n">
        <v>9841</v>
      </c>
      <c r="C9843" t="inlineStr">
        <is>
          <t>Talent Acquisition Supervisor</t>
        </is>
      </c>
      <c r="D9843" t="inlineStr">
        <is>
          <t>Wanek Furniture</t>
        </is>
      </c>
      <c r="E9843" t="inlineStr">
        <is>
          <t>Lương:Cạnh tranh</t>
        </is>
      </c>
      <c r="F9843" t="inlineStr">
        <is>
          <t>Bình Dương</t>
        </is>
      </c>
      <c r="G9843" t="inlineStr">
        <is>
          <t>13-04-2026</t>
        </is>
      </c>
      <c r="H9843" t="inlineStr">
        <is>
          <t>13/04/2026</t>
        </is>
      </c>
      <c r="I9843" t="inlineStr">
        <is>
          <t>17/03/2026</t>
        </is>
      </c>
      <c r="J9843" t="inlineStr">
        <is>
          <t>Sản xuất / Vận hành sản xuất, Nội ngoại thất</t>
        </is>
      </c>
      <c r="K9843" t="inlineStr">
        <is>
          <t>8 - 10 Năm</t>
        </is>
      </c>
      <c r="L9843" s="8">
        <f>HYPERLINK("https://careerviet.vn/vi/tim-viec-lam/talent-acquisition-supervisor.35C688A8.html","Xem chi tiết")</f>
        <v/>
      </c>
    </row>
    <row r="9844">
      <c r="B9844" s="9" t="n">
        <v>9842</v>
      </c>
      <c r="C9844" s="10" t="inlineStr">
        <is>
          <t>NHÂN VIÊN THÍ NGHIỆM HIỆN TRƯỜNG</t>
        </is>
      </c>
      <c r="D9844" s="10" t="inlineStr">
        <is>
          <t>Công Ty Cổ Phần Tập Đoàn Đèo Cả</t>
        </is>
      </c>
      <c r="E9844" s="10" t="inlineStr">
        <is>
          <t>Lương:9 Tr - 15 Tr VND</t>
        </is>
      </c>
      <c r="F9844" s="10" t="inlineStr">
        <is>
          <t>Bình Dương</t>
        </is>
      </c>
      <c r="G9844" s="10" t="inlineStr">
        <is>
          <t>13-04-2026</t>
        </is>
      </c>
      <c r="H9844" s="10" t="inlineStr">
        <is>
          <t>13/04/2026</t>
        </is>
      </c>
      <c r="I9844" s="10" t="inlineStr">
        <is>
          <t>17/03/2026</t>
        </is>
      </c>
      <c r="J9844" s="10" t="inlineStr">
        <is>
          <t>Trắc địa / Địa Chất, Xây dựng, Ngành khác</t>
        </is>
      </c>
      <c r="K9844" s="10" t="inlineStr">
        <is>
          <t>1 - 3 Năm</t>
        </is>
      </c>
      <c r="L9844" s="11">
        <f>HYPERLINK("https://careerviet.vn/vi/tim-viec-lam/nhan-vien-thi-nghiem-hien-truong.35C68860.html","Xem chi tiết")</f>
        <v/>
      </c>
      <c r="M9844" s="10" t="n"/>
    </row>
    <row r="9845">
      <c r="B9845" s="7" t="n">
        <v>9843</v>
      </c>
      <c r="C9845" t="inlineStr">
        <is>
          <t>Branch Director</t>
        </is>
      </c>
      <c r="D9845" t="inlineStr">
        <is>
          <t>CÔNG TY CỔ PHẦN  ITL LOGISTICS</t>
        </is>
      </c>
      <c r="E9845" t="inlineStr">
        <is>
          <t>Lương:Cạnh tranh</t>
        </is>
      </c>
      <c r="F9845" t="inlineStr">
        <is>
          <t>Hà Nội</t>
        </is>
      </c>
      <c r="G9845" t="inlineStr">
        <is>
          <t>13-04-2026</t>
        </is>
      </c>
      <c r="H9845" t="inlineStr">
        <is>
          <t>13/04/2026</t>
        </is>
      </c>
      <c r="I9845" t="inlineStr">
        <is>
          <t>17/03/2026</t>
        </is>
      </c>
      <c r="J9845" t="inlineStr">
        <is>
          <t>Vận chuyển / Giao nhận / Kho vận</t>
        </is>
      </c>
      <c r="K9845" t="inlineStr">
        <is>
          <t>15 - 25 Năm</t>
        </is>
      </c>
      <c r="L9845" s="8">
        <f>HYPERLINK("https://careerviet.vn/vi/tim-viec-lam/branch-director.35C6571A.html","Xem chi tiết")</f>
        <v/>
      </c>
    </row>
    <row r="9846">
      <c r="B9846" s="9" t="n">
        <v>9844</v>
      </c>
      <c r="C9846" s="10" t="inlineStr">
        <is>
          <t>Kiến Trúc Sư</t>
        </is>
      </c>
      <c r="D9846" s="10" t="inlineStr">
        <is>
          <t>CÔNG TY CỔ PHẦN TƯ VẤN THIẾT KẾ VÀ XÂY DỰNG GREENHN</t>
        </is>
      </c>
      <c r="E9846" s="10" t="inlineStr">
        <is>
          <t>Lương:14 Tr - 18 Tr VND</t>
        </is>
      </c>
      <c r="F9846" s="10" t="inlineStr">
        <is>
          <t>Hồ Chí MinhHà Nội</t>
        </is>
      </c>
      <c r="G9846" s="10" t="inlineStr">
        <is>
          <t>13-04-2026</t>
        </is>
      </c>
      <c r="H9846" s="10" t="inlineStr">
        <is>
          <t>13/04/2026</t>
        </is>
      </c>
      <c r="I9846" s="10" t="inlineStr">
        <is>
          <t>17/03/2026</t>
        </is>
      </c>
      <c r="J9846" s="10" t="inlineStr">
        <is>
          <t>Kiến trúc, Xây dựng, Nội ngoại thất</t>
        </is>
      </c>
      <c r="K9846" s="10" t="inlineStr">
        <is>
          <t>2 - 5 Năm</t>
        </is>
      </c>
      <c r="L9846" s="11">
        <f>HYPERLINK("https://careerviet.vn/vi/tim-viec-lam/kien-truc-su.35C6884D.html","Xem chi tiết")</f>
        <v/>
      </c>
      <c r="M9846" s="10" t="n"/>
    </row>
    <row r="9847">
      <c r="B9847" s="7" t="n">
        <v>9845</v>
      </c>
      <c r="C9847" t="inlineStr">
        <is>
          <t>TRƯỞNG NHÓM QUẢN LÝ CHẤT LƯỢNG [CỦ CHI]</t>
        </is>
      </c>
      <c r="D9847" t="inlineStr">
        <is>
          <t>CÔNG TY CP SAIGON AUTO SUPPORTING INDUSTRY</t>
        </is>
      </c>
      <c r="E9847" t="inlineStr">
        <is>
          <t>Lương:Cạnh tranh</t>
        </is>
      </c>
      <c r="F9847" t="inlineStr">
        <is>
          <t>Hồ Chí Minh</t>
        </is>
      </c>
      <c r="G9847" t="inlineStr">
        <is>
          <t>13-04-2026</t>
        </is>
      </c>
      <c r="H9847" t="inlineStr">
        <is>
          <t>13/04/2026</t>
        </is>
      </c>
      <c r="I9847" t="inlineStr">
        <is>
          <t>17/03/2026</t>
        </is>
      </c>
      <c r="J9847" t="inlineStr">
        <is>
          <t>Cơ khí / Ô tô / Tự động hóa, Quản lý chất lượng (QA/QC)</t>
        </is>
      </c>
      <c r="K9847" t="inlineStr">
        <is>
          <t>3 - 5 Năm</t>
        </is>
      </c>
      <c r="L9847" s="8">
        <f>HYPERLINK("https://careerviet.vn/vi/tim-viec-lam/truong-nhom-quan-ly-chat-luong-cu-chi.35C656AB.html","Xem chi tiết")</f>
        <v/>
      </c>
    </row>
    <row r="9848">
      <c r="B9848" s="9" t="n">
        <v>9846</v>
      </c>
      <c r="C9848" s="10" t="inlineStr">
        <is>
          <t>Trưởng Nhóm Marketing</t>
        </is>
      </c>
      <c r="D9848" s="10" t="inlineStr">
        <is>
          <t>StudyLink Company</t>
        </is>
      </c>
      <c r="E9848" s="10" t="inlineStr">
        <is>
          <t>Lương:Cạnh tranh</t>
        </is>
      </c>
      <c r="F9848" s="10" t="inlineStr">
        <is>
          <t>Hồ Chí Minh</t>
        </is>
      </c>
      <c r="G9848" s="10" t="inlineStr">
        <is>
          <t>13-04-2026</t>
        </is>
      </c>
      <c r="H9848" s="10" t="inlineStr">
        <is>
          <t>13/04/2026</t>
        </is>
      </c>
      <c r="I9848" s="10" t="inlineStr">
        <is>
          <t>17/03/2026</t>
        </is>
      </c>
      <c r="J9848" s="10" t="inlineStr">
        <is>
          <t>Tiếp thị / Marketing, Quản lý điều hành, Giáo dục / Đào tạo</t>
        </is>
      </c>
      <c r="K9848" s="10" t="inlineStr">
        <is>
          <t>2 - 3 Năm</t>
        </is>
      </c>
      <c r="L9848" s="11">
        <f>HYPERLINK("https://careerviet.vn/vi/tim-viec-lam/truong-nhom-marketing.35C68940.html","Xem chi tiết")</f>
        <v/>
      </c>
      <c r="M9848" s="10" t="n"/>
    </row>
    <row r="9849">
      <c r="B9849" s="7" t="n">
        <v>9847</v>
      </c>
      <c r="C9849" t="inlineStr">
        <is>
          <t>[TUYỂN GẤP] - NHÂN VIÊN KẾ TOÁN TIẾNG TRUNG</t>
        </is>
      </c>
      <c r="D9849" t="inlineStr">
        <is>
          <t>CÔNG TY TNHH BILLION VIETNAM HOLDING</t>
        </is>
      </c>
      <c r="E9849" t="inlineStr">
        <is>
          <t>Lương:10 Tr - 18 Tr VND</t>
        </is>
      </c>
      <c r="F9849" t="inlineStr">
        <is>
          <t>Hồ Chí Minh</t>
        </is>
      </c>
      <c r="G9849" t="inlineStr">
        <is>
          <t>13-04-2026</t>
        </is>
      </c>
      <c r="H9849" t="inlineStr">
        <is>
          <t>13/04/2026</t>
        </is>
      </c>
      <c r="I9849" t="inlineStr">
        <is>
          <t>17/03/2026</t>
        </is>
      </c>
      <c r="J9849" t="inlineStr">
        <is>
          <t>Kế toán / Kiểm toán, Ngân hàng, Tài chính / Đầu tư</t>
        </is>
      </c>
      <c r="K9849" t="inlineStr">
        <is>
          <t>1 - 3 Năm</t>
        </is>
      </c>
      <c r="L9849" s="8">
        <f>HYPERLINK("https://careerviet.vn/vi/tim-viec-lam/tuyen-gap-nhan-vien-ke-toan-tieng-trung.35C65602.html","Xem chi tiết")</f>
        <v/>
      </c>
    </row>
    <row r="9850">
      <c r="B9850" s="9" t="n">
        <v>9848</v>
      </c>
      <c r="C9850" s="10" t="inlineStr">
        <is>
          <t>Prepress Artist (6 months contract)</t>
        </is>
      </c>
      <c r="D9850" s="10" t="inlineStr">
        <is>
          <t>CÔNG TY TNHH TRIMCO GROUP (VIỆT NAM)</t>
        </is>
      </c>
      <c r="E9850" s="10" t="inlineStr">
        <is>
          <t>Lương:Cạnh tranh</t>
        </is>
      </c>
      <c r="F9850" s="10" t="inlineStr">
        <is>
          <t>Bình Dương</t>
        </is>
      </c>
      <c r="G9850" s="10" t="inlineStr">
        <is>
          <t>13-04-2026</t>
        </is>
      </c>
      <c r="H9850" s="10" t="inlineStr">
        <is>
          <t>13/04/2026</t>
        </is>
      </c>
      <c r="I9850" s="10" t="inlineStr">
        <is>
          <t>17/03/2026</t>
        </is>
      </c>
      <c r="J9850" s="10" t="inlineStr">
        <is>
          <t>In ấn / Xuất bản, Dệt may / Da giày / Thời trang, Sản xuất / Vận hành sản xuất</t>
        </is>
      </c>
      <c r="K9850" s="10" t="inlineStr">
        <is>
          <t>1 - 3 Năm</t>
        </is>
      </c>
      <c r="L9850" s="11">
        <f>HYPERLINK("https://careerviet.vn/vi/tim-viec-lam/prepress-artist-6-months-contract.35C6887A.html","Xem chi tiết")</f>
        <v/>
      </c>
      <c r="M9850" s="10" t="n"/>
    </row>
    <row r="9851">
      <c r="B9851" s="7" t="n">
        <v>9849</v>
      </c>
      <c r="C9851" t="inlineStr">
        <is>
          <t>GIÁM ĐỐC/TRƯỞNG PHÒNG KHÁCH HÀNG CÁ NHÂN ( BÌNH DƯƠNG )</t>
        </is>
      </c>
      <c r="D9851" t="inlineStr">
        <is>
          <t>VDSC - Công ty CP Chứng khoán Rồng Việt</t>
        </is>
      </c>
      <c r="E9851" t="inlineStr">
        <is>
          <t>Lương:15 Tr - 25 Tr VND</t>
        </is>
      </c>
      <c r="F9851" t="inlineStr">
        <is>
          <t>Bình Dương</t>
        </is>
      </c>
      <c r="G9851" t="inlineStr">
        <is>
          <t>13-04-2026</t>
        </is>
      </c>
      <c r="H9851" t="inlineStr">
        <is>
          <t>13/04/2026</t>
        </is>
      </c>
      <c r="I9851" t="inlineStr">
        <is>
          <t>17/03/2026</t>
        </is>
      </c>
      <c r="J9851" t="inlineStr">
        <is>
          <t>Ngân hàng, Chứng khoán, Tài chính / Đầu tư</t>
        </is>
      </c>
      <c r="K9851" t="inlineStr">
        <is>
          <t>2 - 3 Năm</t>
        </is>
      </c>
      <c r="L9851" s="8">
        <f>HYPERLINK("https://careerviet.vn/vi/tim-viec-lam/giam-doc-truong-phong-khach-hang-ca-nhan-binh-duong.35C6563E.html","Xem chi tiết")</f>
        <v/>
      </c>
    </row>
    <row r="9852">
      <c r="B9852" s="9" t="n">
        <v>9850</v>
      </c>
      <c r="C9852" s="10" t="inlineStr">
        <is>
          <t>Chuyên viên phát triển dự án điện mặt trời - HCM</t>
        </is>
      </c>
      <c r="D9852" s="10" t="inlineStr">
        <is>
          <t>CÔNG TY CỔ PHẦN TẬP ĐOÀN DAT</t>
        </is>
      </c>
      <c r="E9852" s="10" t="inlineStr">
        <is>
          <t>Lương:30 Tr - 40 Tr VND</t>
        </is>
      </c>
      <c r="F9852" s="10" t="inlineStr">
        <is>
          <t>Hồ Chí Minh</t>
        </is>
      </c>
      <c r="G9852" s="10" t="inlineStr">
        <is>
          <t>13-04-2026</t>
        </is>
      </c>
      <c r="H9852" s="10" t="inlineStr">
        <is>
          <t>13/04/2026</t>
        </is>
      </c>
      <c r="I9852" s="10" t="inlineStr">
        <is>
          <t>17/03/2026</t>
        </is>
      </c>
      <c r="J9852" s="10" t="inlineStr">
        <is>
          <t>Bán hàng / Kinh doanh, Bán Hàng Kỹ Thuật, Điện / Điện tử / Điện lạnh / Điện công nghiệp</t>
        </is>
      </c>
      <c r="K9852" s="10" t="inlineStr">
        <is>
          <t>2 - 3 Năm</t>
        </is>
      </c>
      <c r="L9852" s="11">
        <f>HYPERLINK("https://careerviet.vn/vi/tim-viec-lam/chuyen-vien-phat-trien-du-an-dien-mat-troi-hcm.35C657A4.html","Xem chi tiết")</f>
        <v/>
      </c>
      <c r="M9852" s="10" t="n"/>
    </row>
    <row r="9853">
      <c r="B9853" s="7" t="n">
        <v>9851</v>
      </c>
      <c r="C9853" t="inlineStr">
        <is>
          <t>126658 - Civil Engineering - Construction</t>
        </is>
      </c>
      <c r="D9853" t="inlineStr">
        <is>
          <t>RGF HR Agent Vietnam Co., LTD</t>
        </is>
      </c>
      <c r="E9853" t="inlineStr">
        <is>
          <t>Lương:11 Tr - 15 Tr VND</t>
        </is>
      </c>
      <c r="F9853" t="inlineStr">
        <is>
          <t>Hồ Chí Minh</t>
        </is>
      </c>
      <c r="G9853" t="inlineStr">
        <is>
          <t>13-04-2026</t>
        </is>
      </c>
      <c r="H9853" t="inlineStr">
        <is>
          <t>13/04/2026</t>
        </is>
      </c>
      <c r="I9853" t="inlineStr">
        <is>
          <t>17/03/2026</t>
        </is>
      </c>
      <c r="J9853" t="inlineStr">
        <is>
          <t>Kiến trúc, Xây dựng</t>
        </is>
      </c>
      <c r="K9853" t="inlineStr">
        <is>
          <t>Trên 2 Năm</t>
        </is>
      </c>
      <c r="L9853" s="8">
        <f>HYPERLINK("https://careerviet.vn/vi/tim-viec-lam/126658-civil-engineering-construction.35C65765.html","Xem chi tiết")</f>
        <v/>
      </c>
    </row>
    <row r="9854">
      <c r="B9854" s="9" t="n">
        <v>9852</v>
      </c>
      <c r="C9854" s="10" t="inlineStr">
        <is>
          <t>CVC/CVCC Quan Hệ Khách Hàng Ưu Tiên - KV Ứng Hòa, Hà Nội - TA159</t>
        </is>
      </c>
      <c r="D9854" s="10" t="inlineStr">
        <is>
          <t>Ngân Hàng TMCP Việt Nam Thịnh Vượng - VPBANK</t>
        </is>
      </c>
      <c r="E9854" s="10" t="inlineStr">
        <is>
          <t>Lương:20 Tr - 30 Tr VND</t>
        </is>
      </c>
      <c r="F9854" s="10" t="inlineStr">
        <is>
          <t>Hà Nội</t>
        </is>
      </c>
      <c r="G9854" s="10" t="inlineStr">
        <is>
          <t>13-04-2026</t>
        </is>
      </c>
      <c r="H9854" s="10" t="inlineStr">
        <is>
          <t>13/04/2026</t>
        </is>
      </c>
      <c r="I9854" s="10" t="inlineStr">
        <is>
          <t>17/03/2026</t>
        </is>
      </c>
      <c r="J9854" s="10" t="inlineStr">
        <is>
          <t>Ngân hàng</t>
        </is>
      </c>
      <c r="K9854" s="10" t="inlineStr">
        <is>
          <t>Trên 2 Năm</t>
        </is>
      </c>
      <c r="L9854" s="11">
        <f>HYPERLINK("https://careerviet.vn/vi/tim-viec-lam/cvc-cvcc-quan-he-khach-hang-uu-tien-kv-ung-hoa-ha-noi-ta159.35C65549.html","Xem chi tiết")</f>
        <v/>
      </c>
      <c r="M9854" s="10" t="n"/>
    </row>
    <row r="9855">
      <c r="B9855" s="7" t="n">
        <v>9853</v>
      </c>
      <c r="C9855" t="inlineStr">
        <is>
          <t>Phó phòng phát triển sản phẩm và mua hàng thiết bị nghiệp vụ</t>
        </is>
      </c>
      <c r="D9855" t="inlineStr">
        <is>
          <t>Công ty TNHH PNK</t>
        </is>
      </c>
      <c r="E9855" t="inlineStr">
        <is>
          <t>Lương:Cạnh tranh</t>
        </is>
      </c>
      <c r="F9855" t="inlineStr">
        <is>
          <t>Hà Nội</t>
        </is>
      </c>
      <c r="G9855" t="inlineStr">
        <is>
          <t>13-04-2026</t>
        </is>
      </c>
      <c r="H9855" t="inlineStr">
        <is>
          <t>13/04/2026</t>
        </is>
      </c>
      <c r="I9855" t="inlineStr">
        <is>
          <t>17/03/2026</t>
        </is>
      </c>
      <c r="J9855" t="inlineStr">
        <is>
          <t>Quản lý điều hành, CNTT - Phần mềm, Thu mua / Vật tư</t>
        </is>
      </c>
      <c r="K9855" t="inlineStr">
        <is>
          <t>3 - 5 Năm</t>
        </is>
      </c>
      <c r="L9855" s="8">
        <f>HYPERLINK("https://careerviet.vn/vi/tim-viec-lam/pho-phong-phat-trien-san-pham-va-mua-hang-thiet-bi-nghiep-vu.35C656A5.html","Xem chi tiết")</f>
        <v/>
      </c>
    </row>
    <row r="9856">
      <c r="B9856" s="9" t="n">
        <v>9854</v>
      </c>
      <c r="C9856" s="10" t="inlineStr">
        <is>
          <t>Nhân Viên Kinh Doanh  Thiết Bị Công Nghiệp</t>
        </is>
      </c>
      <c r="D9856" s="10" t="inlineStr">
        <is>
          <t>CÔNG TY CỔ PHẦN QUỐC TẾ AEMG</t>
        </is>
      </c>
      <c r="E9856" s="10" t="inlineStr">
        <is>
          <t>Lương:Trên 25 Tr VND</t>
        </is>
      </c>
      <c r="F9856" s="10" t="inlineStr">
        <is>
          <t>Hà NộiHồ Chí Minh</t>
        </is>
      </c>
      <c r="G9856" s="10" t="inlineStr">
        <is>
          <t>13-04-2026</t>
        </is>
      </c>
      <c r="H9856" s="10" t="inlineStr">
        <is>
          <t>13/04/2026</t>
        </is>
      </c>
      <c r="I9856" s="10" t="inlineStr">
        <is>
          <t>17/03/2026</t>
        </is>
      </c>
      <c r="J9856" s="10" t="inlineStr">
        <is>
          <t>Bán hàng / Kinh doanh</t>
        </is>
      </c>
      <c r="K9856" s="10" t="inlineStr">
        <is>
          <t>N/A</t>
        </is>
      </c>
      <c r="L9856" s="11">
        <f>HYPERLINK("https://careerviet.vn/vi/tim-viec-lam/nhan-vien-kinh-doanh-thiet-bi-cong-nghiep.35C6894A.html","Xem chi tiết")</f>
        <v/>
      </c>
      <c r="M9856" s="10" t="n"/>
    </row>
    <row r="9857">
      <c r="B9857" s="7" t="n">
        <v>9855</v>
      </c>
      <c r="C9857" t="inlineStr">
        <is>
          <t>VPBank - Chuyên Viên Cao Cấp Tư Vấn Tài Chính Cá Nhân - Đà Nẵng</t>
        </is>
      </c>
      <c r="D9857" t="inlineStr">
        <is>
          <t>Ngân Hàng TMCP Việt Nam Thịnh Vượng - VPBANK</t>
        </is>
      </c>
      <c r="E9857" t="inlineStr">
        <is>
          <t>Lương:15 Tr - 22 Tr VND</t>
        </is>
      </c>
      <c r="F9857" t="inlineStr">
        <is>
          <t>Đà Nẵng</t>
        </is>
      </c>
      <c r="G9857" t="inlineStr">
        <is>
          <t>13-04-2026</t>
        </is>
      </c>
      <c r="H9857" t="inlineStr">
        <is>
          <t>13/04/2026</t>
        </is>
      </c>
      <c r="I9857" t="inlineStr">
        <is>
          <t>17/03/2026</t>
        </is>
      </c>
      <c r="J9857" t="inlineStr">
        <is>
          <t>Bán hàng / Kinh doanh, Ngân hàng, Bảo hiểm</t>
        </is>
      </c>
      <c r="K9857" t="inlineStr">
        <is>
          <t>1 - 3 Năm</t>
        </is>
      </c>
      <c r="L9857" s="8">
        <f>HYPERLINK("https://careerviet.vn/vi/tim-viec-lam/vpbank-chuyen-vien-cao-cap-tu-van-tai-chinh-ca-nhan-da-nang.35C657E4.html","Xem chi tiết")</f>
        <v/>
      </c>
    </row>
    <row r="9858">
      <c r="B9858" s="9" t="n">
        <v>9856</v>
      </c>
      <c r="C9858" s="10" t="inlineStr">
        <is>
          <t>Chuyên viên Digital Marketing</t>
        </is>
      </c>
      <c r="D9858" s="10" t="inlineStr">
        <is>
          <t>Công Ty Cổ Phần Tân Vĩnh Cửu (Tavico group)</t>
        </is>
      </c>
      <c r="E9858" s="10" t="inlineStr">
        <is>
          <t>Lương:Cạnh tranh</t>
        </is>
      </c>
      <c r="F9858" s="10" t="inlineStr">
        <is>
          <t>Đồng Nai</t>
        </is>
      </c>
      <c r="G9858" s="10" t="inlineStr">
        <is>
          <t>13-04-2026</t>
        </is>
      </c>
      <c r="H9858" s="10" t="inlineStr">
        <is>
          <t>13/04/2026</t>
        </is>
      </c>
      <c r="I9858" s="10" t="inlineStr">
        <is>
          <t>17/03/2026</t>
        </is>
      </c>
      <c r="J9858" s="10" t="inlineStr">
        <is>
          <t>Tiếp thị / Marketing, Mỹ thuật / Nghệ thuật / Thiết kế, Quảng cáo / Đối ngoại / Truyền Thông</t>
        </is>
      </c>
      <c r="K9858" s="10" t="inlineStr">
        <is>
          <t>1 - 2 Năm</t>
        </is>
      </c>
      <c r="L9858" s="11">
        <f>HYPERLINK("https://careerviet.vn/vi/tim-viec-lam/chuyen-vien-digital-marketing.35C6571F.html","Xem chi tiết")</f>
        <v/>
      </c>
      <c r="M9858" s="10" t="n"/>
    </row>
    <row r="9859">
      <c r="B9859" s="7" t="n">
        <v>9857</v>
      </c>
      <c r="C9859" t="inlineStr">
        <is>
          <t>Buyer Specialist (Chuyên viên ngành hàng)</t>
        </is>
      </c>
      <c r="D9859" t="inlineStr">
        <is>
          <t>CÔNG TY TNHH SOCIAL BELLA VIỆT NAM</t>
        </is>
      </c>
      <c r="E9859" t="inlineStr">
        <is>
          <t>Lương:Cạnh tranh</t>
        </is>
      </c>
      <c r="F9859" t="inlineStr">
        <is>
          <t>Hồ Chí Minh</t>
        </is>
      </c>
      <c r="G9859" t="inlineStr">
        <is>
          <t>13-04-2026</t>
        </is>
      </c>
      <c r="H9859" t="inlineStr">
        <is>
          <t>13/04/2026</t>
        </is>
      </c>
      <c r="I9859" t="inlineStr">
        <is>
          <t>17/03/2026</t>
        </is>
      </c>
      <c r="J9859" t="inlineStr">
        <is>
          <t>Tiếp thị / Marketing, Bán lẻ / Bán sỉ, Tiếp thị trực tuyến</t>
        </is>
      </c>
      <c r="K9859" t="inlineStr">
        <is>
          <t>3 - 5 Năm</t>
        </is>
      </c>
      <c r="L9859" s="8">
        <f>HYPERLINK("https://careerviet.vn/vi/tim-viec-lam/buyer-specialist-chuyen-vien-nganh-hang.35C65705.html","Xem chi tiết")</f>
        <v/>
      </c>
    </row>
    <row r="9860">
      <c r="B9860" s="9" t="n">
        <v>9858</v>
      </c>
      <c r="C9860" s="10" t="inlineStr">
        <is>
          <t>Platform Engineer</t>
        </is>
      </c>
      <c r="D9860" s="10" t="inlineStr">
        <is>
          <t>Tập Đoàn CT Group Việt Nam</t>
        </is>
      </c>
      <c r="E9860" s="10" t="inlineStr">
        <is>
          <t>Lương:Cạnh tranh</t>
        </is>
      </c>
      <c r="F9860" s="10" t="inlineStr">
        <is>
          <t>Hồ Chí Minh</t>
        </is>
      </c>
      <c r="G9860" s="10" t="inlineStr">
        <is>
          <t>13-04-2026</t>
        </is>
      </c>
      <c r="H9860" s="10" t="inlineStr">
        <is>
          <t>13/04/2026</t>
        </is>
      </c>
      <c r="I9860" s="10" t="inlineStr">
        <is>
          <t>17/03/2026</t>
        </is>
      </c>
      <c r="J9860" s="10" t="inlineStr">
        <is>
          <t>Thương mại điện tử, CNTT - Phần mềm</t>
        </is>
      </c>
      <c r="K9860" s="10" t="inlineStr">
        <is>
          <t>3 - 6 Năm</t>
        </is>
      </c>
      <c r="L9860" s="11">
        <f>HYPERLINK("https://careerviet.vn/vi/tim-viec-lam/platform-engineer.35C6568E.html","Xem chi tiết")</f>
        <v/>
      </c>
      <c r="M9860" s="10" t="n"/>
    </row>
    <row r="9861">
      <c r="B9861" s="7" t="n">
        <v>9859</v>
      </c>
      <c r="C9861" t="inlineStr">
        <is>
          <t>Chuyên viên kinh doanh</t>
        </is>
      </c>
      <c r="D9861" t="inlineStr">
        <is>
          <t>CÔNG TY TNHH CARE FOR VIỆT NAM</t>
        </is>
      </c>
      <c r="E9861" t="inlineStr">
        <is>
          <t>Lương:15 Tr - 20 Tr VND</t>
        </is>
      </c>
      <c r="F9861" t="inlineStr">
        <is>
          <t>Hồ Chí Minh</t>
        </is>
      </c>
      <c r="G9861" t="inlineStr">
        <is>
          <t>13-04-2026</t>
        </is>
      </c>
      <c r="H9861" t="inlineStr">
        <is>
          <t>13/04/2026</t>
        </is>
      </c>
      <c r="I9861" t="inlineStr">
        <is>
          <t>17/03/2026</t>
        </is>
      </c>
      <c r="J9861" t="inlineStr">
        <is>
          <t>Bán hàng / Kinh doanh, Dược phẩm/ Hóa Mỹ Phẩm, Y tế / Chăm sóc sức khỏe / Thẩm mỹ / Làm đẹp</t>
        </is>
      </c>
      <c r="K9861" t="inlineStr">
        <is>
          <t>2 - 5 Năm</t>
        </is>
      </c>
      <c r="L9861" s="8">
        <f>HYPERLINK("https://careerviet.vn/vi/tim-viec-lam/chuyen-vien-kinh-doanh.35C655EF.html","Xem chi tiết")</f>
        <v/>
      </c>
    </row>
    <row r="9862">
      <c r="B9862" s="9" t="n">
        <v>9860</v>
      </c>
      <c r="C9862" s="10" t="inlineStr">
        <is>
          <t>Kỹ sư kỹ thuật</t>
        </is>
      </c>
      <c r="D9862" s="10" t="inlineStr">
        <is>
          <t>CÔNG TY TNHH SYNCMOLD ĐỒNG NAI</t>
        </is>
      </c>
      <c r="E9862" s="10" t="inlineStr">
        <is>
          <t>Lương:Cạnh tranh</t>
        </is>
      </c>
      <c r="F9862" s="10" t="inlineStr">
        <is>
          <t>Đồng Nai</t>
        </is>
      </c>
      <c r="G9862" s="10" t="inlineStr">
        <is>
          <t>13-04-2026</t>
        </is>
      </c>
      <c r="H9862" s="10" t="inlineStr">
        <is>
          <t>13/04/2026</t>
        </is>
      </c>
      <c r="I9862" s="10" t="inlineStr">
        <is>
          <t>17/03/2026</t>
        </is>
      </c>
      <c r="J9862" s="10" t="inlineStr">
        <is>
          <t>Điện / Điện tử / Điện lạnh / Điện công nghiệp</t>
        </is>
      </c>
      <c r="K9862" s="10" t="inlineStr">
        <is>
          <t>Chưa có kinh nghiệm</t>
        </is>
      </c>
      <c r="L9862" s="11">
        <f>HYPERLINK("https://careerviet.vn/vi/tim-viec-lam/ky-su-ky-thuat.35C656AD.html","Xem chi tiết")</f>
        <v/>
      </c>
      <c r="M9862" s="10" t="n"/>
    </row>
    <row r="9863">
      <c r="B9863" s="7" t="n">
        <v>9861</v>
      </c>
      <c r="C9863" t="inlineStr">
        <is>
          <t>Kế toán viên</t>
        </is>
      </c>
      <c r="D9863" t="inlineStr">
        <is>
          <t>CÔNG TY TNHH XÂY DỰNG KỸ THUẬT THƯƠNG MẠI CƯỜNG THỊNH</t>
        </is>
      </c>
      <c r="E9863" t="inlineStr">
        <is>
          <t>Lương:8 Tr - 12 Tr VND</t>
        </is>
      </c>
      <c r="F9863" t="inlineStr">
        <is>
          <t>Hồ Chí Minh</t>
        </is>
      </c>
      <c r="G9863" t="inlineStr">
        <is>
          <t>13-04-2026</t>
        </is>
      </c>
      <c r="H9863" t="inlineStr">
        <is>
          <t>13/04/2026</t>
        </is>
      </c>
      <c r="I9863" t="inlineStr">
        <is>
          <t>17/03/2026</t>
        </is>
      </c>
      <c r="J9863" t="inlineStr">
        <is>
          <t>Kế toán / Kiểm toán, Tài chính / Đầu tư</t>
        </is>
      </c>
      <c r="K9863" t="inlineStr">
        <is>
          <t>1 - 2 Năm</t>
        </is>
      </c>
      <c r="L9863" s="8">
        <f>HYPERLINK("https://careerviet.vn/vi/tim-viec-lam/ke-toan-vien.35C655CD.html","Xem chi tiết")</f>
        <v/>
      </c>
    </row>
    <row r="9864">
      <c r="B9864" s="9" t="n">
        <v>9862</v>
      </c>
      <c r="C9864" s="10" t="inlineStr">
        <is>
          <t>Nhân viên kinh doanh hàng kỹ thuật</t>
        </is>
      </c>
      <c r="D9864" s="10" t="inlineStr">
        <is>
          <t>CÔNG TY TNHH THIẾT BỊ HT VIỆT NAM</t>
        </is>
      </c>
      <c r="E9864" s="10" t="inlineStr">
        <is>
          <t>Lương:8 Tr - 20 Tr VND</t>
        </is>
      </c>
      <c r="F9864" s="10" t="inlineStr">
        <is>
          <t>Hà Nội</t>
        </is>
      </c>
      <c r="G9864" s="10" t="inlineStr">
        <is>
          <t>13-04-2026</t>
        </is>
      </c>
      <c r="H9864" s="10" t="inlineStr">
        <is>
          <t>13/04/2026</t>
        </is>
      </c>
      <c r="I9864" s="10" t="inlineStr">
        <is>
          <t>17/03/2026</t>
        </is>
      </c>
      <c r="J9864" s="10" t="inlineStr">
        <is>
          <t>Bán hàng / Kinh doanh, Bán Hàng Kỹ Thuật, Cơ khí / Ô tô / Tự động hóa</t>
        </is>
      </c>
      <c r="K9864" s="10" t="inlineStr">
        <is>
          <t>Lên đến 1 Năm</t>
        </is>
      </c>
      <c r="L9864" s="11">
        <f>HYPERLINK("https://careerviet.vn/vi/tim-viec-lam/nhan-vien-kinh-doanh-hang-ky-thuat.35C657B2.html","Xem chi tiết")</f>
        <v/>
      </c>
      <c r="M9864" s="10" t="n"/>
    </row>
    <row r="9865">
      <c r="B9865" s="7" t="n">
        <v>9863</v>
      </c>
      <c r="C9865" t="inlineStr">
        <is>
          <t>GIÁM ĐỐC/TRƯỞNG PHÒNG KHÁCH HÀNG CÁ NHÂN (NHA TRANG)</t>
        </is>
      </c>
      <c r="D9865" t="inlineStr">
        <is>
          <t>VDSC - Công ty CP Chứng khoán Rồng Việt</t>
        </is>
      </c>
      <c r="E9865" t="inlineStr">
        <is>
          <t>Lương:15 Tr - 25 Tr VND</t>
        </is>
      </c>
      <c r="F9865" t="inlineStr">
        <is>
          <t>Khánh Hòa</t>
        </is>
      </c>
      <c r="G9865" t="inlineStr">
        <is>
          <t>13-04-2026</t>
        </is>
      </c>
      <c r="H9865" t="inlineStr">
        <is>
          <t>13/04/2026</t>
        </is>
      </c>
      <c r="I9865" t="inlineStr">
        <is>
          <t>17/03/2026</t>
        </is>
      </c>
      <c r="J9865" t="inlineStr">
        <is>
          <t>Ngân hàng, Chứng khoán, Tài chính / Đầu tư</t>
        </is>
      </c>
      <c r="K9865" t="inlineStr">
        <is>
          <t>2 - 3 Năm</t>
        </is>
      </c>
      <c r="L9865" s="8">
        <f>HYPERLINK("https://careerviet.vn/vi/tim-viec-lam/giam-doc-truong-phong-khach-hang-ca-nhan-nha-trang.35C65643.html","Xem chi tiết")</f>
        <v/>
      </c>
    </row>
    <row r="9866">
      <c r="B9866" s="9" t="n">
        <v>9864</v>
      </c>
      <c r="C9866" s="10" t="inlineStr">
        <is>
          <t>VPBank - Chuyên Viên Cao Cấp Tư Vấn Tài Chính Cá Nhân - Huế</t>
        </is>
      </c>
      <c r="D9866" s="10" t="inlineStr">
        <is>
          <t>Ngân Hàng TMCP Việt Nam Thịnh Vượng - VPBANK</t>
        </is>
      </c>
      <c r="E9866" s="10" t="inlineStr">
        <is>
          <t>Lương:15 Tr - 22 Tr VND</t>
        </is>
      </c>
      <c r="F9866" s="10" t="inlineStr">
        <is>
          <t>Thừa Thiên- Huế</t>
        </is>
      </c>
      <c r="G9866" s="10" t="inlineStr">
        <is>
          <t>13-04-2026</t>
        </is>
      </c>
      <c r="H9866" s="10" t="inlineStr">
        <is>
          <t>13/04/2026</t>
        </is>
      </c>
      <c r="I9866" s="10" t="inlineStr">
        <is>
          <t>17/03/2026</t>
        </is>
      </c>
      <c r="J9866" s="10" t="inlineStr">
        <is>
          <t>Bán hàng / Kinh doanh, Ngân hàng, Bảo hiểm</t>
        </is>
      </c>
      <c r="K9866" s="10" t="inlineStr">
        <is>
          <t>1 - 3 Năm</t>
        </is>
      </c>
      <c r="L9866" s="11">
        <f>HYPERLINK("https://careerviet.vn/vi/tim-viec-lam/vpbank-chuyen-vien-cao-cap-tu-van-tai-chinh-ca-nhan-hue.35C657E6.html","Xem chi tiết")</f>
        <v/>
      </c>
      <c r="M9866" s="10" t="n"/>
    </row>
    <row r="9867">
      <c r="B9867" s="7" t="n">
        <v>9865</v>
      </c>
      <c r="C9867" t="inlineStr">
        <is>
          <t>Production Planning and WIP Managing Engineer</t>
        </is>
      </c>
      <c r="D9867" t="inlineStr">
        <is>
          <t>CÔNG TY TNHH CS BEARING VIỆT NAM</t>
        </is>
      </c>
      <c r="E9867" t="inlineStr">
        <is>
          <t>Lương:12 Tr - 15 Tr VND</t>
        </is>
      </c>
      <c r="F9867" t="inlineStr">
        <is>
          <t>Bà Rịa - Vũng Tàu</t>
        </is>
      </c>
      <c r="G9867" t="inlineStr">
        <is>
          <t>13-04-2026</t>
        </is>
      </c>
      <c r="H9867" t="inlineStr">
        <is>
          <t>13/04/2026</t>
        </is>
      </c>
      <c r="I9867" t="inlineStr">
        <is>
          <t>17/03/2026</t>
        </is>
      </c>
      <c r="J9867" t="inlineStr">
        <is>
          <t>Sản xuất / Vận hành sản xuất</t>
        </is>
      </c>
      <c r="K9867" t="inlineStr">
        <is>
          <t>2 - 3 Năm</t>
        </is>
      </c>
      <c r="L9867" s="8">
        <f>HYPERLINK("https://careerviet.vn/vi/tim-viec-lam/production-planning-and-wip-managing-engineer.35C657C9.html","Xem chi tiết")</f>
        <v/>
      </c>
    </row>
    <row r="9868">
      <c r="B9868" s="9" t="n">
        <v>9866</v>
      </c>
      <c r="C9868" s="10" t="inlineStr">
        <is>
          <t>KỸ THUẬT VIÊN ĐIỆN NƯỚC</t>
        </is>
      </c>
      <c r="D9868" s="10" t="inlineStr">
        <is>
          <t>TỔNG CÔNG TY CỔ PHẦN THƯƠNG MẠI XÂY DỰNG</t>
        </is>
      </c>
      <c r="E9868" s="10" t="inlineStr">
        <is>
          <t>Lương:10 Tr - 15 Tr VND</t>
        </is>
      </c>
      <c r="F9868" s="10" t="inlineStr">
        <is>
          <t>Hà Nội</t>
        </is>
      </c>
      <c r="G9868" s="10" t="inlineStr">
        <is>
          <t>13-04-2026</t>
        </is>
      </c>
      <c r="H9868" s="10" t="inlineStr">
        <is>
          <t>13/04/2026</t>
        </is>
      </c>
      <c r="I9868" s="10" t="inlineStr">
        <is>
          <t>17/03/2026</t>
        </is>
      </c>
      <c r="J9868" s="10" t="inlineStr">
        <is>
          <t>Điện / Điện tử / Điện lạnh / Điện công nghiệp</t>
        </is>
      </c>
      <c r="K9868" s="10" t="inlineStr">
        <is>
          <t>2 - 3 Năm</t>
        </is>
      </c>
      <c r="L9868" s="11">
        <f>HYPERLINK("https://careerviet.vn/vi/tim-viec-lam/ky-thuat-vien-dien-nuoc.35C657B3.html","Xem chi tiết")</f>
        <v/>
      </c>
      <c r="M9868" s="10" t="n"/>
    </row>
    <row r="9869">
      <c r="B9869" s="7" t="n">
        <v>9867</v>
      </c>
      <c r="C9869" t="inlineStr">
        <is>
          <t>Giám sát An ninh nội bộ</t>
        </is>
      </c>
      <c r="D9869" t="inlineStr">
        <is>
          <t>Tập đoàn An Lạc – Anlac Group</t>
        </is>
      </c>
      <c r="E9869" t="inlineStr">
        <is>
          <t>Lương:9 Tr - 12 Tr VND</t>
        </is>
      </c>
      <c r="F9869" t="inlineStr">
        <is>
          <t>Hà Nội</t>
        </is>
      </c>
      <c r="G9869" t="inlineStr">
        <is>
          <t>13-04-2026</t>
        </is>
      </c>
      <c r="H9869" t="inlineStr">
        <is>
          <t>13/04/2026</t>
        </is>
      </c>
      <c r="I9869" t="inlineStr">
        <is>
          <t>17/03/2026</t>
        </is>
      </c>
      <c r="J9869" t="inlineStr">
        <is>
          <t>Dịch vụ khách hàng, Lao động phổ thông, An Ninh / Bảo Vệ</t>
        </is>
      </c>
      <c r="K9869" t="inlineStr">
        <is>
          <t>3 - 5 Năm</t>
        </is>
      </c>
      <c r="L9869" s="8">
        <f>HYPERLINK("https://careerviet.vn/vi/tim-viec-lam/giam-sat-an-ninh-noi-bo.35C6566C.html","Xem chi tiết")</f>
        <v/>
      </c>
    </row>
    <row r="9870">
      <c r="B9870" s="9" t="n">
        <v>9868</v>
      </c>
      <c r="C9870" s="10" t="inlineStr">
        <is>
          <t>Technical Leader – Platform Architecture</t>
        </is>
      </c>
      <c r="D9870" s="10" t="inlineStr">
        <is>
          <t>Tập Đoàn CT Group Việt Nam</t>
        </is>
      </c>
      <c r="E9870" s="10" t="inlineStr">
        <is>
          <t>Lương:Cạnh tranh</t>
        </is>
      </c>
      <c r="F9870" s="10" t="inlineStr">
        <is>
          <t>Hồ Chí Minh</t>
        </is>
      </c>
      <c r="G9870" s="10" t="inlineStr">
        <is>
          <t>13-04-2026</t>
        </is>
      </c>
      <c r="H9870" s="10" t="inlineStr">
        <is>
          <t>13/04/2026</t>
        </is>
      </c>
      <c r="I9870" s="10" t="inlineStr">
        <is>
          <t>17/03/2026</t>
        </is>
      </c>
      <c r="J9870" s="10" t="inlineStr">
        <is>
          <t>Thương mại điện tử, CNTT - Phần mềm</t>
        </is>
      </c>
      <c r="K9870" s="10" t="inlineStr">
        <is>
          <t>12 - 18 Năm</t>
        </is>
      </c>
      <c r="L9870" s="11">
        <f>HYPERLINK("https://careerviet.vn/vi/tim-viec-lam/technical-leader-platform-architecture.35C65675.html","Xem chi tiết")</f>
        <v/>
      </c>
      <c r="M9870" s="10" t="n"/>
    </row>
    <row r="9871">
      <c r="B9871" s="7" t="n">
        <v>9869</v>
      </c>
      <c r="C9871" t="inlineStr">
        <is>
          <t>[Trung tâm KHDN Bình Thới] CV/CVC/Giám đốc Quan hệ Khách hàng Doanh nghiệp</t>
        </is>
      </c>
      <c r="D9871" t="inlineStr">
        <is>
          <t>Ngân hàng TMCP Lộc Phát Việt Nam (LPBank)</t>
        </is>
      </c>
      <c r="E9871" t="inlineStr">
        <is>
          <t>Lương:Cạnh tranh</t>
        </is>
      </c>
      <c r="F9871" t="inlineStr">
        <is>
          <t>Hồ Chí Minh</t>
        </is>
      </c>
      <c r="G9871" t="inlineStr">
        <is>
          <t>13-04-2026</t>
        </is>
      </c>
      <c r="H9871" t="inlineStr">
        <is>
          <t>13/04/2026</t>
        </is>
      </c>
      <c r="I9871" t="inlineStr">
        <is>
          <t>17/03/2026</t>
        </is>
      </c>
      <c r="J9871" t="inlineStr">
        <is>
          <t>Bán hàng / Kinh doanh, Bất động sản, Bảo hiểm</t>
        </is>
      </c>
      <c r="K9871" t="inlineStr">
        <is>
          <t>Trên 1 Năm</t>
        </is>
      </c>
      <c r="L9871" s="8">
        <f>HYPERLINK("https://careerviet.vn/vi/tim-viec-lam/trung-tam-khdn-binh-thoi-cv-cvc-giam-doc-quan-he-khach-hang-doanh-nghiep.35C655EA.html","Xem chi tiết")</f>
        <v/>
      </c>
    </row>
    <row r="9872">
      <c r="B9872" s="9" t="n">
        <v>9870</v>
      </c>
      <c r="C9872" s="10" t="inlineStr">
        <is>
          <t>Kỹ Thuật Viên Tự Động</t>
        </is>
      </c>
      <c r="D9872" s="10" t="inlineStr">
        <is>
          <t>CÔNG TY TNHH EVOLUTION TECHNOLOGIES VIỆT NAM</t>
        </is>
      </c>
      <c r="E9872" s="10" t="inlineStr">
        <is>
          <t>Lương:Cạnh tranh</t>
        </is>
      </c>
      <c r="F9872" s="10" t="inlineStr">
        <is>
          <t>Bình Dương</t>
        </is>
      </c>
      <c r="G9872" s="10" t="inlineStr">
        <is>
          <t>13-04-2026</t>
        </is>
      </c>
      <c r="H9872" s="10" t="inlineStr">
        <is>
          <t>13/04/2026</t>
        </is>
      </c>
      <c r="I9872" s="10" t="inlineStr">
        <is>
          <t>17/03/2026</t>
        </is>
      </c>
      <c r="J9872" s="10" t="inlineStr">
        <is>
          <t>Cơ khí / Ô tô / Tự động hóa, Bảo trì / Sửa chữa, Sản xuất / Vận hành sản xuất</t>
        </is>
      </c>
      <c r="K9872" s="10" t="inlineStr">
        <is>
          <t>N/A</t>
        </is>
      </c>
      <c r="L9872" s="11">
        <f>HYPERLINK("https://careerviet.vn/vi/tim-viec-lam/ky-thuat-vien-tu-dong.35C65691.html","Xem chi tiết")</f>
        <v/>
      </c>
      <c r="M9872" s="10" t="n"/>
    </row>
    <row r="9873">
      <c r="B9873" s="7" t="n">
        <v>9871</v>
      </c>
      <c r="C9873" t="inlineStr">
        <is>
          <t>GIÁM ĐỐC/TRƯỞNG PHÒNG KHÁCH HÀNG CÁ NHÂN (VŨNG TÀU)</t>
        </is>
      </c>
      <c r="D9873" t="inlineStr">
        <is>
          <t>VDSC - Công ty CP Chứng khoán Rồng Việt</t>
        </is>
      </c>
      <c r="E9873" t="inlineStr">
        <is>
          <t>Lương:15 Tr - 25 Tr VND</t>
        </is>
      </c>
      <c r="F9873" t="inlineStr">
        <is>
          <t>Bà Rịa - Vũng Tàu</t>
        </is>
      </c>
      <c r="G9873" t="inlineStr">
        <is>
          <t>13-04-2026</t>
        </is>
      </c>
      <c r="H9873" t="inlineStr">
        <is>
          <t>13/04/2026</t>
        </is>
      </c>
      <c r="I9873" t="inlineStr">
        <is>
          <t>17/03/2026</t>
        </is>
      </c>
      <c r="J9873" t="inlineStr">
        <is>
          <t>Ngân hàng, Chứng khoán, Tài chính / Đầu tư</t>
        </is>
      </c>
      <c r="K9873" t="inlineStr">
        <is>
          <t>2 - 3 Năm</t>
        </is>
      </c>
      <c r="L9873" s="8">
        <f>HYPERLINK("https://careerviet.vn/vi/tim-viec-lam/giam-doc-truong-phong-khach-hang-ca-nhan-vung-tau.35C65646.html","Xem chi tiết")</f>
        <v/>
      </c>
    </row>
    <row r="9874">
      <c r="B9874" s="9" t="n">
        <v>9872</v>
      </c>
      <c r="C9874" s="10" t="inlineStr">
        <is>
          <t>Receptionist</t>
        </is>
      </c>
      <c r="D9874" s="10" t="inlineStr">
        <is>
          <t>Nova Service Group - Công ty Cổ phần Tập đoàn Nova Services</t>
        </is>
      </c>
      <c r="E9874" s="10" t="inlineStr">
        <is>
          <t>Lương:6 Tr - 9 Tr VND</t>
        </is>
      </c>
      <c r="F9874" s="10" t="inlineStr">
        <is>
          <t>Bà Rịa - Vũng Tàu</t>
        </is>
      </c>
      <c r="G9874" s="10" t="inlineStr">
        <is>
          <t>13-04-2026</t>
        </is>
      </c>
      <c r="H9874" s="10" t="inlineStr">
        <is>
          <t>13/04/2026</t>
        </is>
      </c>
      <c r="I9874" s="10" t="inlineStr">
        <is>
          <t>17/03/2026</t>
        </is>
      </c>
      <c r="J9874" s="10" t="inlineStr">
        <is>
          <t>Nhà hàng / Khách sạn</t>
        </is>
      </c>
      <c r="K9874" s="10" t="inlineStr">
        <is>
          <t>N/A</t>
        </is>
      </c>
      <c r="L9874" s="11">
        <f>HYPERLINK("https://careerviet.vn/vi/tim-viec-lam/receptionist.35C65721.html","Xem chi tiết")</f>
        <v/>
      </c>
      <c r="M9874" s="10" t="n"/>
    </row>
    <row r="9875">
      <c r="B9875" s="7" t="n">
        <v>9873</v>
      </c>
      <c r="C9875" t="inlineStr">
        <is>
          <t>DEVELOPER FOOTWEAR (Ngành giày)</t>
        </is>
      </c>
      <c r="D9875" t="inlineStr">
        <is>
          <t>Công ty TNHH Giày Apache Việt Nam</t>
        </is>
      </c>
      <c r="E9875" t="inlineStr">
        <is>
          <t>Lương:Cạnh tranh</t>
        </is>
      </c>
      <c r="F9875" t="inlineStr">
        <is>
          <t>Tiền Giang</t>
        </is>
      </c>
      <c r="G9875" t="inlineStr">
        <is>
          <t>13-04-2026</t>
        </is>
      </c>
      <c r="H9875" t="inlineStr">
        <is>
          <t>13/04/2026</t>
        </is>
      </c>
      <c r="I9875" t="inlineStr">
        <is>
          <t>17/03/2026</t>
        </is>
      </c>
      <c r="J9875" t="inlineStr">
        <is>
          <t>Dệt may / Da giày / Thời trang</t>
        </is>
      </c>
      <c r="K9875" t="inlineStr">
        <is>
          <t>1 - 10 Năm</t>
        </is>
      </c>
      <c r="L9875" s="8">
        <f>HYPERLINK("https://careerviet.vn/vi/tim-viec-lam/developer-footwear-nganh-giay.35C655ED.html","Xem chi tiết")</f>
        <v/>
      </c>
    </row>
    <row r="9876">
      <c r="B9876" s="9" t="n">
        <v>9874</v>
      </c>
      <c r="C9876" s="10" t="inlineStr">
        <is>
          <t>Chuyên Viên Cao Cấp Khách Hàng Ưu Tiên - Nam Định - TA189</t>
        </is>
      </c>
      <c r="D9876" s="10" t="inlineStr">
        <is>
          <t>Ngân Hàng TMCP Việt Nam Thịnh Vượng - VPBANK</t>
        </is>
      </c>
      <c r="E9876" s="10" t="inlineStr">
        <is>
          <t>Lương:20 Tr - 50 Tr VND</t>
        </is>
      </c>
      <c r="F9876" s="10" t="inlineStr">
        <is>
          <t>Nam Định</t>
        </is>
      </c>
      <c r="G9876" s="10" t="inlineStr">
        <is>
          <t>13-04-2026</t>
        </is>
      </c>
      <c r="H9876" s="10" t="inlineStr">
        <is>
          <t>13/04/2026</t>
        </is>
      </c>
      <c r="I9876" s="10" t="inlineStr">
        <is>
          <t>17/03/2026</t>
        </is>
      </c>
      <c r="J9876" s="10" t="inlineStr">
        <is>
          <t>Ngân hàng</t>
        </is>
      </c>
      <c r="K9876" s="10" t="inlineStr">
        <is>
          <t>Trên 2 Năm</t>
        </is>
      </c>
      <c r="L9876" s="11">
        <f>HYPERLINK("https://careerviet.vn/vi/tim-viec-lam/chuyen-vien-cao-cap-khach-hang-uu-tien-nam-dinh-ta189.35C65615.html","Xem chi tiết")</f>
        <v/>
      </c>
      <c r="M9876" s="10" t="n"/>
    </row>
    <row r="9877">
      <c r="B9877" s="7" t="n">
        <v>9875</v>
      </c>
      <c r="C9877" t="inlineStr">
        <is>
          <t>Data Science Engineer</t>
        </is>
      </c>
      <c r="D9877" t="inlineStr">
        <is>
          <t>Công Ty CP Dược Phẩm Pharmacity</t>
        </is>
      </c>
      <c r="E9877" t="inlineStr">
        <is>
          <t>Lương:Cạnh tranh</t>
        </is>
      </c>
      <c r="F9877" t="inlineStr">
        <is>
          <t>Hồ Chí Minh</t>
        </is>
      </c>
      <c r="G9877" t="inlineStr">
        <is>
          <t>13-04-2026</t>
        </is>
      </c>
      <c r="H9877" t="inlineStr">
        <is>
          <t>13/04/2026</t>
        </is>
      </c>
      <c r="I9877" t="inlineStr">
        <is>
          <t>17/03/2026</t>
        </is>
      </c>
      <c r="J9877" t="inlineStr">
        <is>
          <t>CNTT - Phần mềm</t>
        </is>
      </c>
      <c r="K9877" t="inlineStr">
        <is>
          <t>Lên đến 3 Năm</t>
        </is>
      </c>
      <c r="L9877" s="8">
        <f>HYPERLINK("https://careerviet.vn/vi/tim-viec-lam/data-science-engineer.35C65637.html","Xem chi tiết")</f>
        <v/>
      </c>
    </row>
    <row r="9878">
      <c r="B9878" s="9" t="n">
        <v>9876</v>
      </c>
      <c r="C9878" s="10" t="inlineStr">
        <is>
          <t>Senior Business Development Executive</t>
        </is>
      </c>
      <c r="D9878" s="10" t="inlineStr">
        <is>
          <t>EUROFINS VIETNAM</t>
        </is>
      </c>
      <c r="E9878" s="10" t="inlineStr">
        <is>
          <t>Lương:Cạnh tranh</t>
        </is>
      </c>
      <c r="F9878" s="10" t="inlineStr">
        <is>
          <t>Hồ Chí Minh</t>
        </is>
      </c>
      <c r="G9878" s="10" t="inlineStr">
        <is>
          <t>13-04-2026</t>
        </is>
      </c>
      <c r="H9878" s="10" t="inlineStr">
        <is>
          <t>13/04/2026</t>
        </is>
      </c>
      <c r="I9878" s="10" t="inlineStr">
        <is>
          <t>17/03/2026</t>
        </is>
      </c>
      <c r="J9878" s="10" t="inlineStr">
        <is>
          <t>Bán hàng / Kinh doanh</t>
        </is>
      </c>
      <c r="K9878" s="10" t="inlineStr">
        <is>
          <t>3 - 5 Năm</t>
        </is>
      </c>
      <c r="L9878" s="11">
        <f>HYPERLINK("https://careerviet.vn/vi/tim-viec-lam/senior-business-development-executive.35C656A7.html","Xem chi tiết")</f>
        <v/>
      </c>
      <c r="M9878" s="10" t="n"/>
    </row>
    <row r="9879">
      <c r="B9879" s="7" t="n">
        <v>9877</v>
      </c>
      <c r="C9879" t="inlineStr">
        <is>
          <t>Chuyên viên đấu thầu (phụ trách khối lượng)</t>
        </is>
      </c>
      <c r="D9879" t="inlineStr">
        <is>
          <t>Công Ty Cổ Phần Xây Dựng CDC</t>
        </is>
      </c>
      <c r="E9879" t="inlineStr">
        <is>
          <t>Lương:12 Tr - 19 Tr VND</t>
        </is>
      </c>
      <c r="F9879" t="inlineStr">
        <is>
          <t>Hà Nội</t>
        </is>
      </c>
      <c r="G9879" t="inlineStr">
        <is>
          <t>13-04-2026</t>
        </is>
      </c>
      <c r="H9879" t="inlineStr">
        <is>
          <t>13/04/2026</t>
        </is>
      </c>
      <c r="I9879" t="inlineStr">
        <is>
          <t>17/03/2026</t>
        </is>
      </c>
      <c r="J9879" t="inlineStr">
        <is>
          <t>Bán Hàng Kỹ Thuật</t>
        </is>
      </c>
      <c r="K9879" t="inlineStr">
        <is>
          <t>1 - 6 Năm</t>
        </is>
      </c>
      <c r="L9879" s="8">
        <f>HYPERLINK("https://careerviet.vn/vi/tim-viec-lam/chuyen-vien-dau-thau-phu-trach-khoi-luong.35C65742.html","Xem chi tiết")</f>
        <v/>
      </c>
    </row>
    <row r="9880">
      <c r="B9880" s="9" t="n">
        <v>9878</v>
      </c>
      <c r="C9880" s="10" t="inlineStr">
        <is>
          <t>Kế Toán Tổng Hợp</t>
        </is>
      </c>
      <c r="D9880" s="10" t="inlineStr">
        <is>
          <t>Công ty cổ phần  vận tải đường sắt Việt Nam</t>
        </is>
      </c>
      <c r="E9880" s="10" t="inlineStr">
        <is>
          <t>Lương:14 Tr - 18 Tr VND</t>
        </is>
      </c>
      <c r="F9880" s="10" t="inlineStr">
        <is>
          <t>Hà Nội</t>
        </is>
      </c>
      <c r="G9880" s="10" t="inlineStr">
        <is>
          <t>13-04-2026</t>
        </is>
      </c>
      <c r="H9880" s="10" t="inlineStr">
        <is>
          <t>13/04/2026</t>
        </is>
      </c>
      <c r="I9880" s="10" t="inlineStr">
        <is>
          <t>17/03/2026</t>
        </is>
      </c>
      <c r="J9880" s="10" t="inlineStr">
        <is>
          <t>Kế toán / Kiểm toán, Ngân hàng, Tài chính / Đầu tư</t>
        </is>
      </c>
      <c r="K9880" s="10" t="inlineStr">
        <is>
          <t>Chưa có kinh nghiệm</t>
        </is>
      </c>
      <c r="L9880" s="11">
        <f>HYPERLINK("https://careerviet.vn/vi/tim-viec-lam/ke-toan-tong-hop.35C65621.html","Xem chi tiết")</f>
        <v/>
      </c>
      <c r="M9880" s="10" t="n"/>
    </row>
    <row r="9881">
      <c r="B9881" s="7" t="n">
        <v>9879</v>
      </c>
      <c r="C9881" t="inlineStr">
        <is>
          <t>VPBank - Chuyên Viên Cao Cấp Tư Vấn Tài Chính Cá Nhân - Gia Lai</t>
        </is>
      </c>
      <c r="D9881" t="inlineStr">
        <is>
          <t>Ngân Hàng TMCP Việt Nam Thịnh Vượng - VPBANK</t>
        </is>
      </c>
      <c r="E9881" t="inlineStr">
        <is>
          <t>Lương:15 Tr - 22 Tr VND</t>
        </is>
      </c>
      <c r="F9881" t="inlineStr">
        <is>
          <t>Gia Lai</t>
        </is>
      </c>
      <c r="G9881" t="inlineStr">
        <is>
          <t>13-04-2026</t>
        </is>
      </c>
      <c r="H9881" t="inlineStr">
        <is>
          <t>13/04/2026</t>
        </is>
      </c>
      <c r="I9881" t="inlineStr">
        <is>
          <t>17/03/2026</t>
        </is>
      </c>
      <c r="J9881" t="inlineStr">
        <is>
          <t>Bán hàng / Kinh doanh, Ngân hàng, Bảo hiểm</t>
        </is>
      </c>
      <c r="K9881" t="inlineStr">
        <is>
          <t>1 - 3 Năm</t>
        </is>
      </c>
      <c r="L9881" s="8">
        <f>HYPERLINK("https://careerviet.vn/vi/tim-viec-lam/vpbank-chuyen-vien-cao-cap-tu-van-tai-chinh-ca-nhan-gia-lai.35C657EA.html","Xem chi tiết")</f>
        <v/>
      </c>
    </row>
    <row r="9882">
      <c r="B9882" s="9" t="n">
        <v>9880</v>
      </c>
      <c r="C9882" s="10" t="inlineStr">
        <is>
          <t>KỸ THUẬT SẢN XUẤT [CỦ CHI]</t>
        </is>
      </c>
      <c r="D9882" s="10" t="inlineStr">
        <is>
          <t>CÔNG TY CP SAIGON AUTO SUPPORTING INDUSTRY</t>
        </is>
      </c>
      <c r="E9882" s="10" t="inlineStr">
        <is>
          <t>Lương:Cạnh tranh</t>
        </is>
      </c>
      <c r="F9882" s="10" t="inlineStr">
        <is>
          <t>Hồ Chí Minh</t>
        </is>
      </c>
      <c r="G9882" s="10" t="inlineStr">
        <is>
          <t>13-04-2026</t>
        </is>
      </c>
      <c r="H9882" s="10" t="inlineStr">
        <is>
          <t>13/04/2026</t>
        </is>
      </c>
      <c r="I9882" s="10" t="inlineStr">
        <is>
          <t>17/03/2026</t>
        </is>
      </c>
      <c r="J9882" s="10" t="inlineStr">
        <is>
          <t>Cơ khí / Ô tô / Tự động hóa, Sản xuất / Vận hành sản xuất</t>
        </is>
      </c>
      <c r="K9882" s="10" t="inlineStr">
        <is>
          <t>N/A</t>
        </is>
      </c>
      <c r="L9882" s="11">
        <f>HYPERLINK("https://careerviet.vn/vi/tim-viec-lam/ky-thuat-san-xuat-cu-chi.35C656BE.html","Xem chi tiết")</f>
        <v/>
      </c>
      <c r="M9882" s="10" t="n"/>
    </row>
    <row r="9883">
      <c r="B9883" s="7" t="n">
        <v>9881</v>
      </c>
      <c r="C9883" t="inlineStr">
        <is>
          <t>Trưởng Phòng Khách Hàng Ưu Tiên - Khu vực Hà Nội - TA159</t>
        </is>
      </c>
      <c r="D9883" t="inlineStr">
        <is>
          <t>Ngân Hàng TMCP Việt Nam Thịnh Vượng - VPBANK</t>
        </is>
      </c>
      <c r="E9883" t="inlineStr">
        <is>
          <t>Lương:30 Tr - 70 Tr VND</t>
        </is>
      </c>
      <c r="F9883" t="inlineStr">
        <is>
          <t>Hà Nội</t>
        </is>
      </c>
      <c r="G9883" t="inlineStr">
        <is>
          <t>13-04-2026</t>
        </is>
      </c>
      <c r="H9883" t="inlineStr">
        <is>
          <t>13/04/2026</t>
        </is>
      </c>
      <c r="I9883" t="inlineStr">
        <is>
          <t>17/03/2026</t>
        </is>
      </c>
      <c r="J9883" t="inlineStr">
        <is>
          <t>Ngân hàng</t>
        </is>
      </c>
      <c r="K9883" t="inlineStr">
        <is>
          <t>Trên 3 Năm</t>
        </is>
      </c>
      <c r="L9883" s="8">
        <f>HYPERLINK("https://careerviet.vn/vi/tim-viec-lam/truong-phong-khach-hang-uu-tien-khu-vuc-ha-noi-ta159.35C65628.html","Xem chi tiết")</f>
        <v/>
      </c>
    </row>
    <row r="9884">
      <c r="B9884" s="9" t="n">
        <v>9882</v>
      </c>
      <c r="C9884" s="10" t="inlineStr">
        <is>
          <t>126614 - Tiếng Nhật - Kỹ sư thiết kế đường ống nhà máy - ngành Xây dựng</t>
        </is>
      </c>
      <c r="D9884" s="10" t="inlineStr">
        <is>
          <t>RGF HR Agent Vietnam Co., LTD</t>
        </is>
      </c>
      <c r="E9884" s="10" t="inlineStr">
        <is>
          <t>Lương:29 Tr - 40 Tr VND</t>
        </is>
      </c>
      <c r="F9884" s="10" t="inlineStr">
        <is>
          <t>Hồ Chí Minh</t>
        </is>
      </c>
      <c r="G9884" s="10" t="inlineStr">
        <is>
          <t>13-04-2026</t>
        </is>
      </c>
      <c r="H9884" s="10" t="inlineStr">
        <is>
          <t>13/04/2026</t>
        </is>
      </c>
      <c r="I9884" s="10" t="inlineStr">
        <is>
          <t>17/03/2026</t>
        </is>
      </c>
      <c r="J9884" s="10" t="inlineStr">
        <is>
          <t>Xây dựng</t>
        </is>
      </c>
      <c r="K9884" s="10" t="inlineStr">
        <is>
          <t>Trên 5 Năm</t>
        </is>
      </c>
      <c r="L9884" s="11">
        <f>HYPERLINK("https://careerviet.vn/vi/tim-viec-lam/126614-tieng-nhat-ky-su-thiet-ke-duong-ong-nha-may-nganh-xay-dung.35C65753.html","Xem chi tiết")</f>
        <v/>
      </c>
      <c r="M9884" s="10" t="n"/>
    </row>
    <row r="9885">
      <c r="B9885" s="7" t="n">
        <v>9883</v>
      </c>
      <c r="C9885" t="inlineStr">
        <is>
          <t>Treasury Specialist</t>
        </is>
      </c>
      <c r="D9885" t="inlineStr">
        <is>
          <t>Công ty CP Thành Thành Công - Biên Hòa</t>
        </is>
      </c>
      <c r="E9885" t="inlineStr">
        <is>
          <t>Lương:Cạnh tranh</t>
        </is>
      </c>
      <c r="F9885" t="inlineStr">
        <is>
          <t>Hồ Chí Minh</t>
        </is>
      </c>
      <c r="G9885" t="inlineStr">
        <is>
          <t>13-04-2026</t>
        </is>
      </c>
      <c r="H9885" t="inlineStr">
        <is>
          <t>13/04/2026</t>
        </is>
      </c>
      <c r="I9885" t="inlineStr">
        <is>
          <t>17/03/2026</t>
        </is>
      </c>
      <c r="J9885" t="inlineStr">
        <is>
          <t>Chứng khoán, Kế toán / Kiểm toán, Ngân hàng</t>
        </is>
      </c>
      <c r="K9885" t="inlineStr">
        <is>
          <t>3 - 5 Năm</t>
        </is>
      </c>
      <c r="L9885" s="8">
        <f>HYPERLINK("https://careerviet.vn/vi/tim-viec-lam/treasury-specialist.35C65797.html","Xem chi tiết")</f>
        <v/>
      </c>
    </row>
    <row r="9886">
      <c r="B9886" s="9" t="n">
        <v>9884</v>
      </c>
      <c r="C9886" s="10" t="inlineStr">
        <is>
          <t>CVC/CVCC Quan Hệ Khách Hàng Ưu Tiên - KV Thanh Oai, Hà Nội - TA159</t>
        </is>
      </c>
      <c r="D9886" s="10" t="inlineStr">
        <is>
          <t>Ngân Hàng TMCP Việt Nam Thịnh Vượng - VPBANK</t>
        </is>
      </c>
      <c r="E9886" s="10" t="inlineStr">
        <is>
          <t>Lương:20 Tr - 30 Tr VND</t>
        </is>
      </c>
      <c r="F9886" s="10" t="inlineStr">
        <is>
          <t>Hà Nội</t>
        </is>
      </c>
      <c r="G9886" s="10" t="inlineStr">
        <is>
          <t>13-04-2026</t>
        </is>
      </c>
      <c r="H9886" s="10" t="inlineStr">
        <is>
          <t>13/04/2026</t>
        </is>
      </c>
      <c r="I9886" s="10" t="inlineStr">
        <is>
          <t>17/03/2026</t>
        </is>
      </c>
      <c r="J9886" s="10" t="inlineStr">
        <is>
          <t>Ngân hàng</t>
        </is>
      </c>
      <c r="K9886" s="10" t="inlineStr">
        <is>
          <t>Trên 2 Năm</t>
        </is>
      </c>
      <c r="L9886" s="11">
        <f>HYPERLINK("https://careerviet.vn/vi/tim-viec-lam/cvc-cvcc-quan-he-khach-hang-uu-tien-kv-thanh-oai-ha-noi-ta159.35C6554A.html","Xem chi tiết")</f>
        <v/>
      </c>
      <c r="M9886" s="10" t="n"/>
    </row>
    <row r="9887">
      <c r="B9887" s="7" t="n">
        <v>9885</v>
      </c>
      <c r="C9887" t="inlineStr">
        <is>
          <t>FP&amp;A Specialist</t>
        </is>
      </c>
      <c r="D9887" t="inlineStr">
        <is>
          <t>Công ty CP Thành Thành Công - Biên Hòa</t>
        </is>
      </c>
      <c r="E9887" t="inlineStr">
        <is>
          <t>Lương:Cạnh tranh</t>
        </is>
      </c>
      <c r="F9887" t="inlineStr">
        <is>
          <t>Hồ Chí Minh</t>
        </is>
      </c>
      <c r="G9887" t="inlineStr">
        <is>
          <t>13-04-2026</t>
        </is>
      </c>
      <c r="H9887" t="inlineStr">
        <is>
          <t>13/04/2026</t>
        </is>
      </c>
      <c r="I9887" t="inlineStr">
        <is>
          <t>17/03/2026</t>
        </is>
      </c>
      <c r="J9887" t="inlineStr">
        <is>
          <t>Công nghệ thực phẩm / Dinh dưỡng, Nông nghiệp, Sản xuất / Vận hành sản xuất</t>
        </is>
      </c>
      <c r="K9887" t="inlineStr">
        <is>
          <t>3 - 5 Năm</t>
        </is>
      </c>
      <c r="L9887" s="8">
        <f>HYPERLINK("https://careerviet.vn/vi/tim-viec-lam/fp-a-specialist.35C6574A.html","Xem chi tiết")</f>
        <v/>
      </c>
    </row>
    <row r="9888">
      <c r="B9888" s="9" t="n">
        <v>9886</v>
      </c>
      <c r="C9888" s="10" t="inlineStr">
        <is>
          <t>[Củ Chi] CV/CVC/GĐ Quan hệ KHCN Priority</t>
        </is>
      </c>
      <c r="D9888" s="10" t="inlineStr">
        <is>
          <t>Ngân hàng TMCP Lộc Phát Việt Nam (LPBank)</t>
        </is>
      </c>
      <c r="E9888" s="10" t="inlineStr">
        <is>
          <t>Lương:Cạnh tranh</t>
        </is>
      </c>
      <c r="F9888" s="10" t="inlineStr">
        <is>
          <t>Hồ Chí Minh</t>
        </is>
      </c>
      <c r="G9888" s="10" t="inlineStr">
        <is>
          <t>13-04-2026</t>
        </is>
      </c>
      <c r="H9888" s="10" t="inlineStr">
        <is>
          <t>13/04/2026</t>
        </is>
      </c>
      <c r="I9888" s="10" t="inlineStr">
        <is>
          <t>17/03/2026</t>
        </is>
      </c>
      <c r="J9888" s="10" t="inlineStr">
        <is>
          <t>Bán hàng / Kinh doanh, Bất động sản, Bảo hiểm</t>
        </is>
      </c>
      <c r="K9888" s="10" t="inlineStr">
        <is>
          <t>Trên 1 Năm</t>
        </is>
      </c>
      <c r="L9888" s="11">
        <f>HYPERLINK("https://careerviet.vn/vi/tim-viec-lam/cu-chi-cv-cvc-gd-quan-he-khcn-priority.35C655A4.html","Xem chi tiết")</f>
        <v/>
      </c>
      <c r="M9888" s="10" t="n"/>
    </row>
    <row r="9889">
      <c r="B9889" s="7" t="n">
        <v>9887</v>
      </c>
      <c r="C9889" t="inlineStr">
        <is>
          <t>Nhân viên Tiêu chuẩn Kỹ thuật may</t>
        </is>
      </c>
      <c r="D9889" t="inlineStr">
        <is>
          <t>ROUTINE VN - FASHION DESIGN &amp; RETAILER</t>
        </is>
      </c>
      <c r="E9889" t="inlineStr">
        <is>
          <t>Lương:13 Tr - 16 Tr VND</t>
        </is>
      </c>
      <c r="F9889" t="inlineStr">
        <is>
          <t>Hồ Chí Minh</t>
        </is>
      </c>
      <c r="G9889" t="inlineStr">
        <is>
          <t>13-04-2026</t>
        </is>
      </c>
      <c r="H9889" t="inlineStr">
        <is>
          <t>13/04/2026</t>
        </is>
      </c>
      <c r="I9889" t="inlineStr">
        <is>
          <t>17/03/2026</t>
        </is>
      </c>
      <c r="J9889" t="inlineStr">
        <is>
          <t>Bán hàng / Kinh doanh, Dệt may / Da giày / Thời trang, Mỹ thuật / Nghệ thuật / Thiết kế</t>
        </is>
      </c>
      <c r="K9889" t="inlineStr">
        <is>
          <t>3 - 6 Năm</t>
        </is>
      </c>
      <c r="L9889" s="8">
        <f>HYPERLINK("https://careerviet.vn/vi/tim-viec-lam/nhan-vien-tieu-chuan-ky-thuat-may.35C65607.html","Xem chi tiết")</f>
        <v/>
      </c>
    </row>
    <row r="9890">
      <c r="B9890" s="9" t="n">
        <v>9888</v>
      </c>
      <c r="C9890" s="10" t="inlineStr">
        <is>
          <t>Procurement Assisstant</t>
        </is>
      </c>
      <c r="D9890" s="10" t="inlineStr">
        <is>
          <t>CJ Foodville Việt Nam</t>
        </is>
      </c>
      <c r="E9890" s="10" t="inlineStr">
        <is>
          <t>Lương:Cạnh tranh</t>
        </is>
      </c>
      <c r="F9890" s="10" t="inlineStr">
        <is>
          <t>Tây Ninh</t>
        </is>
      </c>
      <c r="G9890" s="10" t="inlineStr">
        <is>
          <t>13-04-2026</t>
        </is>
      </c>
      <c r="H9890" s="10" t="inlineStr">
        <is>
          <t>13/04/2026</t>
        </is>
      </c>
      <c r="I9890" s="10" t="inlineStr">
        <is>
          <t>17/03/2026</t>
        </is>
      </c>
      <c r="J9890" s="10" t="inlineStr">
        <is>
          <t>Công nghệ thực phẩm / Dinh dưỡng, Thu mua / Vật tư, Xuất nhập khẩu</t>
        </is>
      </c>
      <c r="K9890" s="10" t="inlineStr">
        <is>
          <t>1 - 2 Năm</t>
        </is>
      </c>
      <c r="L9890" s="11">
        <f>HYPERLINK("https://careerviet.vn/vi/tim-viec-lam/procurement-assisstant.35C65641.html","Xem chi tiết")</f>
        <v/>
      </c>
      <c r="M9890" s="10" t="n"/>
    </row>
    <row r="9891">
      <c r="B9891" s="7" t="n">
        <v>9889</v>
      </c>
      <c r="C9891" t="inlineStr">
        <is>
          <t>Chuyên viê kế toán</t>
        </is>
      </c>
      <c r="D9891" t="inlineStr">
        <is>
          <t>CÔNG TY CỔ PHẦN THỊNH CƯỜNG</t>
        </is>
      </c>
      <c r="E9891" t="inlineStr">
        <is>
          <t>Lương:10 Tr - 15 Tr VND</t>
        </is>
      </c>
      <c r="F9891" t="inlineStr">
        <is>
          <t>Hà Nội</t>
        </is>
      </c>
      <c r="G9891" t="inlineStr">
        <is>
          <t>13-04-2026</t>
        </is>
      </c>
      <c r="H9891" t="inlineStr">
        <is>
          <t>13/04/2026</t>
        </is>
      </c>
      <c r="I9891" t="inlineStr">
        <is>
          <t>17/03/2026</t>
        </is>
      </c>
      <c r="J9891" t="inlineStr">
        <is>
          <t>Kế toán / Kiểm toán</t>
        </is>
      </c>
      <c r="K9891" t="inlineStr">
        <is>
          <t>2 - 5 Năm</t>
        </is>
      </c>
      <c r="L9891" s="8">
        <f>HYPERLINK("https://careerviet.vn/vi/tim-viec-lam/chuyen-vie-ke-toan.35C65764.html","Xem chi tiết")</f>
        <v/>
      </c>
    </row>
    <row r="9892">
      <c r="B9892" s="9" t="n">
        <v>9890</v>
      </c>
      <c r="C9892" s="10" t="inlineStr">
        <is>
          <t>VPBank - Trưởng Phòng Khách Hàng Ưu Tiên - Đà Nẵng</t>
        </is>
      </c>
      <c r="D9892" s="10" t="inlineStr">
        <is>
          <t>Ngân Hàng TMCP Việt Nam Thịnh Vượng - VPBANK</t>
        </is>
      </c>
      <c r="E9892" s="10" t="inlineStr">
        <is>
          <t>Lương:Cạnh tranh</t>
        </is>
      </c>
      <c r="F9892" s="10" t="inlineStr">
        <is>
          <t>Đà Nẵng</t>
        </is>
      </c>
      <c r="G9892" s="10" t="inlineStr">
        <is>
          <t>13-04-2026</t>
        </is>
      </c>
      <c r="H9892" s="10" t="inlineStr">
        <is>
          <t>13/04/2026</t>
        </is>
      </c>
      <c r="I9892" s="10" t="inlineStr">
        <is>
          <t>17/03/2026</t>
        </is>
      </c>
      <c r="J9892" s="10" t="inlineStr">
        <is>
          <t>Ngân hàng</t>
        </is>
      </c>
      <c r="K9892" s="10" t="inlineStr">
        <is>
          <t>4 - 10 Năm</t>
        </is>
      </c>
      <c r="L9892" s="11">
        <f>HYPERLINK("https://careerviet.vn/vi/tim-viec-lam/vpbank-truong-phong-khach-hang-uu-tien-da-nang.35C657D5.html","Xem chi tiết")</f>
        <v/>
      </c>
      <c r="M9892" s="10" t="n"/>
    </row>
    <row r="9893">
      <c r="B9893" s="7" t="n">
        <v>9891</v>
      </c>
      <c r="C9893" t="inlineStr">
        <is>
          <t>Chỉ huy trưởng công trình xây dựng</t>
        </is>
      </c>
      <c r="D9893" t="inlineStr">
        <is>
          <t>CÔNG TY CỔ PHẦN ABT HOMES</t>
        </is>
      </c>
      <c r="E9893" t="inlineStr">
        <is>
          <t>Lương:15 Tr - 20 Tr VND</t>
        </is>
      </c>
      <c r="F9893" t="inlineStr">
        <is>
          <t>Hà Nội</t>
        </is>
      </c>
      <c r="G9893" t="inlineStr">
        <is>
          <t>13-04-2026</t>
        </is>
      </c>
      <c r="H9893" t="inlineStr">
        <is>
          <t>13/04/2026</t>
        </is>
      </c>
      <c r="I9893" t="inlineStr">
        <is>
          <t>17/03/2026</t>
        </is>
      </c>
      <c r="J9893" t="inlineStr">
        <is>
          <t>Kiến trúc, Xây dựng, Nội ngoại thất</t>
        </is>
      </c>
      <c r="K9893" t="inlineStr">
        <is>
          <t>2 - 3 Năm</t>
        </is>
      </c>
      <c r="L9893" s="8">
        <f>HYPERLINK("https://careerviet.vn/vi/tim-viec-lam/chi-huy-truong-cong-trinh-xay-dung.35C656CA.html","Xem chi tiết")</f>
        <v/>
      </c>
    </row>
    <row r="9894">
      <c r="B9894" s="9" t="n">
        <v>9892</v>
      </c>
      <c r="C9894" s="10" t="inlineStr">
        <is>
          <t>Kỹ Sư PE (Process Engineer)</t>
        </is>
      </c>
      <c r="D9894" s="10" t="inlineStr">
        <is>
          <t>CÔNG TY TNHH WGR INDUSTRIES</t>
        </is>
      </c>
      <c r="E9894" s="10" t="inlineStr">
        <is>
          <t>Lương:Cạnh tranh</t>
        </is>
      </c>
      <c r="F9894" s="10" t="inlineStr">
        <is>
          <t>Bình Định</t>
        </is>
      </c>
      <c r="G9894" s="10" t="inlineStr">
        <is>
          <t>13-04-2026</t>
        </is>
      </c>
      <c r="H9894" s="10" t="inlineStr">
        <is>
          <t>13/04/2026</t>
        </is>
      </c>
      <c r="I9894" s="10" t="inlineStr">
        <is>
          <t>17/03/2026</t>
        </is>
      </c>
      <c r="J9894" s="10" t="inlineStr">
        <is>
          <t>Sản xuất / Vận hành sản xuất, Đồ gỗ, Dệt may / Da giày / Thời trang</t>
        </is>
      </c>
      <c r="K9894" s="10" t="inlineStr">
        <is>
          <t>3 - 5 Năm</t>
        </is>
      </c>
      <c r="L9894" s="11">
        <f>HYPERLINK("https://careerviet.vn/vi/tim-viec-lam/ky-su-pe-process-engineer.35C65674.html","Xem chi tiết")</f>
        <v/>
      </c>
      <c r="M9894" s="10" t="n"/>
    </row>
    <row r="9895">
      <c r="B9895" s="7" t="n">
        <v>9893</v>
      </c>
      <c r="C9895" t="inlineStr">
        <is>
          <t>Chuyên viên Phòng Phát triển kinh doanh - Khối Bảo hiểm Doanh nghiệp</t>
        </is>
      </c>
      <c r="D9895" t="inlineStr">
        <is>
          <t>Tổng Công ty Cổ phần Bảo hiểm Quân đội (MIC)</t>
        </is>
      </c>
      <c r="E9895" t="inlineStr">
        <is>
          <t>Lương:Cạnh tranh</t>
        </is>
      </c>
      <c r="F9895" t="inlineStr">
        <is>
          <t>Hà Nội</t>
        </is>
      </c>
      <c r="G9895" t="inlineStr">
        <is>
          <t>13-04-2026</t>
        </is>
      </c>
      <c r="H9895" t="inlineStr">
        <is>
          <t>13/04/2026</t>
        </is>
      </c>
      <c r="I9895" t="inlineStr">
        <is>
          <t>17/03/2026</t>
        </is>
      </c>
      <c r="J9895" t="inlineStr">
        <is>
          <t>Bảo hiểm, Kế toán / Kiểm toán, Ngân hàng</t>
        </is>
      </c>
      <c r="K9895" t="inlineStr">
        <is>
          <t>1 - 10 Năm</t>
        </is>
      </c>
      <c r="L9895" s="8">
        <f>HYPERLINK("https://careerviet.vn/vi/tim-viec-lam/chuyen-vien-phong-phat-trien-kinh-doanh-khoi-bao-hiem-doanh-nghiep.35C65731.html","Xem chi tiết")</f>
        <v/>
      </c>
    </row>
    <row r="9896">
      <c r="B9896" s="9" t="n">
        <v>9894</v>
      </c>
      <c r="C9896" s="10" t="inlineStr">
        <is>
          <t>Giám sát thi công nội thất</t>
        </is>
      </c>
      <c r="D9896" s="10" t="inlineStr">
        <is>
          <t>CÔNG TY CỔ PHẦN ABT HOMES</t>
        </is>
      </c>
      <c r="E9896" s="10" t="inlineStr">
        <is>
          <t>Lương:12 Tr - 15 Tr VND</t>
        </is>
      </c>
      <c r="F9896" s="10" t="inlineStr">
        <is>
          <t>Hà Nội</t>
        </is>
      </c>
      <c r="G9896" s="10" t="inlineStr">
        <is>
          <t>13-04-2026</t>
        </is>
      </c>
      <c r="H9896" s="10" t="inlineStr">
        <is>
          <t>13/04/2026</t>
        </is>
      </c>
      <c r="I9896" s="10" t="inlineStr">
        <is>
          <t>17/03/2026</t>
        </is>
      </c>
      <c r="J9896" s="10" t="inlineStr">
        <is>
          <t>Nội ngoại thất</t>
        </is>
      </c>
      <c r="K9896" s="10" t="inlineStr">
        <is>
          <t>1 - 2 Năm</t>
        </is>
      </c>
      <c r="L9896" s="11">
        <f>HYPERLINK("https://careerviet.vn/vi/tim-viec-lam/giam-sat-thi-cong-noi-that.35C656D4.html","Xem chi tiết")</f>
        <v/>
      </c>
      <c r="M9896" s="10" t="n"/>
    </row>
    <row r="9897">
      <c r="B9897" s="7" t="n">
        <v>9895</v>
      </c>
      <c r="C9897" t="inlineStr">
        <is>
          <t>Kế toán tài sản nhà máy 2 ( tiếng trung )</t>
        </is>
      </c>
      <c r="D9897" t="inlineStr">
        <is>
          <t>Công ty TNHH Midea Consumer Electric Vietnam</t>
        </is>
      </c>
      <c r="E9897" t="inlineStr">
        <is>
          <t>Lương:Cạnh tranh</t>
        </is>
      </c>
      <c r="F9897" t="inlineStr">
        <is>
          <t>Bình Dương</t>
        </is>
      </c>
      <c r="G9897" t="inlineStr">
        <is>
          <t>13-04-2026</t>
        </is>
      </c>
      <c r="H9897" t="inlineStr">
        <is>
          <t>13/04/2026</t>
        </is>
      </c>
      <c r="I9897" t="inlineStr">
        <is>
          <t>17/03/2026</t>
        </is>
      </c>
      <c r="J9897" t="inlineStr">
        <is>
          <t>Kế toán / Kiểm toán</t>
        </is>
      </c>
      <c r="K9897" t="inlineStr">
        <is>
          <t>1 - 3 Năm</t>
        </is>
      </c>
      <c r="L9897" s="8">
        <f>HYPERLINK("https://careerviet.vn/vi/tim-viec-lam/ke-toan-tai-san-nha-may-2-tieng-trung.35C656A6.html","Xem chi tiết")</f>
        <v/>
      </c>
    </row>
    <row r="9898">
      <c r="B9898" s="9" t="n">
        <v>9896</v>
      </c>
      <c r="C9898" s="10" t="inlineStr">
        <is>
          <t>Nhân viên Livestream và phát triển nền tảng mạng xã hội</t>
        </is>
      </c>
      <c r="D9898" s="10" t="inlineStr">
        <is>
          <t>Công Ty Cổ Phần Tân Vĩnh Cửu (Tavico group)</t>
        </is>
      </c>
      <c r="E9898" s="10" t="inlineStr">
        <is>
          <t>Lương:Cạnh tranh</t>
        </is>
      </c>
      <c r="F9898" s="10" t="inlineStr">
        <is>
          <t>Đồng Nai</t>
        </is>
      </c>
      <c r="G9898" s="10" t="inlineStr">
        <is>
          <t>13-04-2026</t>
        </is>
      </c>
      <c r="H9898" s="10" t="inlineStr">
        <is>
          <t>13/04/2026</t>
        </is>
      </c>
      <c r="I9898" s="10" t="inlineStr">
        <is>
          <t>17/03/2026</t>
        </is>
      </c>
      <c r="J9898" s="10" t="inlineStr">
        <is>
          <t>Truyền hình / Báo chí / Biên tập, Quảng cáo / Đối ngoại / Truyền Thông</t>
        </is>
      </c>
      <c r="K9898" s="10" t="inlineStr">
        <is>
          <t>1 - 2 Năm</t>
        </is>
      </c>
      <c r="L9898" s="11">
        <f>HYPERLINK("https://careerviet.vn/vi/tim-viec-lam/nhan-vien-livestream-va-phat-trien-nen-tang-mang-xa-hoi.35C6571E.html","Xem chi tiết")</f>
        <v/>
      </c>
      <c r="M9898" s="10" t="n"/>
    </row>
    <row r="9899">
      <c r="B9899" s="7" t="n">
        <v>9897</v>
      </c>
      <c r="C9899" t="inlineStr">
        <is>
          <t>Nhân viên Kế toán kho</t>
        </is>
      </c>
      <c r="D9899" t="inlineStr">
        <is>
          <t>Công ty Cổ phần Công nghiệp &amp; Đầu tư An Phát</t>
        </is>
      </c>
      <c r="E9899" t="inlineStr">
        <is>
          <t>Lương:13 Tr - 15 Tr VND</t>
        </is>
      </c>
      <c r="F9899" t="inlineStr">
        <is>
          <t>Hồ Chí Minh</t>
        </is>
      </c>
      <c r="G9899" t="inlineStr">
        <is>
          <t>13-04-2026</t>
        </is>
      </c>
      <c r="H9899" t="inlineStr">
        <is>
          <t>13/04/2026</t>
        </is>
      </c>
      <c r="I9899" t="inlineStr">
        <is>
          <t>17/03/2026</t>
        </is>
      </c>
      <c r="J9899" t="inlineStr">
        <is>
          <t>Kế toán / Kiểm toán</t>
        </is>
      </c>
      <c r="K9899" t="inlineStr">
        <is>
          <t>2 - 3 Năm</t>
        </is>
      </c>
      <c r="L9899" s="8">
        <f>HYPERLINK("https://careerviet.vn/vi/tim-viec-lam/nhan-vien-ke-toan-kho.35C6571C.html","Xem chi tiết")</f>
        <v/>
      </c>
    </row>
    <row r="9900">
      <c r="B9900" s="9" t="n">
        <v>9898</v>
      </c>
      <c r="C9900" s="10" t="inlineStr">
        <is>
          <t>Trưởng Nhóm Kinh Doanh (Ngành Chăm Sóc Sức Khỏe)</t>
        </is>
      </c>
      <c r="D9900" s="10" t="inlineStr">
        <is>
          <t>CÔNG TY TNHH EMPIRE WELLNESS</t>
        </is>
      </c>
      <c r="E9900" s="10" t="inlineStr">
        <is>
          <t>Lương:15 Tr - 30 Tr VND</t>
        </is>
      </c>
      <c r="F9900" s="10" t="inlineStr">
        <is>
          <t>Hồ Chí Minh</t>
        </is>
      </c>
      <c r="G9900" s="10" t="inlineStr">
        <is>
          <t>13-04-2026</t>
        </is>
      </c>
      <c r="H9900" s="10" t="inlineStr">
        <is>
          <t>13/04/2026</t>
        </is>
      </c>
      <c r="I9900" s="10" t="inlineStr">
        <is>
          <t>17/03/2026</t>
        </is>
      </c>
      <c r="J9900" s="10" t="inlineStr">
        <is>
          <t>Bán hàng / Kinh doanh, Y tế / Chăm sóc sức khỏe / Thẩm mỹ / Làm đẹp, Dịch vụ khách hàng</t>
        </is>
      </c>
      <c r="K9900" s="10" t="inlineStr">
        <is>
          <t>4 - 5 Năm</t>
        </is>
      </c>
      <c r="L9900" s="11">
        <f>HYPERLINK("https://careerviet.vn/vi/tim-viec-lam/truong-nhom-kinh-doanh-nganh-cham-soc-suc-khoe.35C64BE2.html","Xem chi tiết")</f>
        <v/>
      </c>
      <c r="M9900" s="10" t="n"/>
    </row>
    <row r="9901">
      <c r="B9901" s="7" t="n">
        <v>9899</v>
      </c>
      <c r="C9901" t="inlineStr">
        <is>
          <t>[Đồng Nai] TƯ VẤN VIÊN TƯ VẤN ĐẦU TƯ (Mức hoa hồng hấp dẫn)</t>
        </is>
      </c>
      <c r="D9901" t="inlineStr">
        <is>
          <t>VDSC - Công ty CP Chứng khoán Rồng Việt</t>
        </is>
      </c>
      <c r="E9901" t="inlineStr">
        <is>
          <t>Lương:Cạnh tranh</t>
        </is>
      </c>
      <c r="F9901" t="inlineStr">
        <is>
          <t>Đồng Nai</t>
        </is>
      </c>
      <c r="G9901" t="inlineStr">
        <is>
          <t>13-04-2026</t>
        </is>
      </c>
      <c r="H9901" t="inlineStr">
        <is>
          <t>13/04/2026</t>
        </is>
      </c>
      <c r="I9901" t="inlineStr">
        <is>
          <t>17/03/2026</t>
        </is>
      </c>
      <c r="J9901" t="inlineStr">
        <is>
          <t>Ngân hàng, Chứng khoán, Tài chính / Đầu tư</t>
        </is>
      </c>
      <c r="K9901" t="inlineStr">
        <is>
          <t>1 - 2 Năm</t>
        </is>
      </c>
      <c r="L9901" s="8">
        <f>HYPERLINK("https://careerviet.vn/vi/tim-viec-lam/dong-nai-tu-van-vien-tu-van-dau-tu-muc-hoa-hong-hap-dan.35C65639.html","Xem chi tiết")</f>
        <v/>
      </c>
    </row>
    <row r="9902">
      <c r="B9902" s="9" t="n">
        <v>9900</v>
      </c>
      <c r="C9902" s="10" t="inlineStr">
        <is>
          <t>[ Bình Dương] TƯ VẤN VIÊN TƯ VẤN ĐẦU TƯ (Mức hoa hồng hấp dẫn)</t>
        </is>
      </c>
      <c r="D9902" s="10" t="inlineStr">
        <is>
          <t>VDSC - Công ty CP Chứng khoán Rồng Việt</t>
        </is>
      </c>
      <c r="E9902" s="10" t="inlineStr">
        <is>
          <t>Lương:Cạnh tranh</t>
        </is>
      </c>
      <c r="F9902" s="10" t="inlineStr">
        <is>
          <t>Bình Dương</t>
        </is>
      </c>
      <c r="G9902" s="10" t="inlineStr">
        <is>
          <t>13-04-2026</t>
        </is>
      </c>
      <c r="H9902" s="10" t="inlineStr">
        <is>
          <t>13/04/2026</t>
        </is>
      </c>
      <c r="I9902" s="10" t="inlineStr">
        <is>
          <t>17/03/2026</t>
        </is>
      </c>
      <c r="J9902" s="10" t="inlineStr">
        <is>
          <t>Ngân hàng, Chứng khoán, Tài chính / Đầu tư</t>
        </is>
      </c>
      <c r="K9902" s="10" t="inlineStr">
        <is>
          <t>1 - 2 Năm</t>
        </is>
      </c>
      <c r="L9902" s="11">
        <f>HYPERLINK("https://careerviet.vn/vi/tim-viec-lam/binh-duong-tu-van-vien-tu-van-dau-tu-muc-hoa-hong-hap-dan.35C6563B.html","Xem chi tiết")</f>
        <v/>
      </c>
      <c r="M9902" s="10" t="n"/>
    </row>
    <row r="9903">
      <c r="B9903" s="7" t="n">
        <v>9901</v>
      </c>
      <c r="C9903" t="inlineStr">
        <is>
          <t>[Trung tâm KHDN Thủ Đức] CV/CVC/Giám đốc Quan hệ Khách hàng Doanh nghiệp</t>
        </is>
      </c>
      <c r="D9903" t="inlineStr">
        <is>
          <t>Ngân hàng TMCP Lộc Phát Việt Nam (LPBank)</t>
        </is>
      </c>
      <c r="E9903" t="inlineStr">
        <is>
          <t>Lương:Cạnh tranh</t>
        </is>
      </c>
      <c r="F9903" t="inlineStr">
        <is>
          <t>Hồ Chí Minh</t>
        </is>
      </c>
      <c r="G9903" t="inlineStr">
        <is>
          <t>13-04-2026</t>
        </is>
      </c>
      <c r="H9903" t="inlineStr">
        <is>
          <t>13/04/2026</t>
        </is>
      </c>
      <c r="I9903" t="inlineStr">
        <is>
          <t>17/03/2026</t>
        </is>
      </c>
      <c r="J9903" t="inlineStr">
        <is>
          <t>Bán hàng / Kinh doanh, Bất động sản, Bảo hiểm</t>
        </is>
      </c>
      <c r="K9903" t="inlineStr">
        <is>
          <t>Trên 1 Năm</t>
        </is>
      </c>
      <c r="L9903" s="8">
        <f>HYPERLINK("https://careerviet.vn/vi/tim-viec-lam/trung-tam-khdn-thu-duc-cv-cvc-giam-doc-quan-he-khach-hang-doanh-nghiep.35C655C6.html","Xem chi tiết")</f>
        <v/>
      </c>
    </row>
    <row r="9904">
      <c r="B9904" s="9" t="n">
        <v>9902</v>
      </c>
      <c r="C9904" s="10" t="inlineStr">
        <is>
          <t>Nhân Viên Quầy Bánh Và Cafe</t>
        </is>
      </c>
      <c r="D9904" s="10" t="inlineStr">
        <is>
          <t>Công Ty TNHH Aeon Việt Nam</t>
        </is>
      </c>
      <c r="E9904" s="10" t="inlineStr">
        <is>
          <t>Lương:Cạnh tranh</t>
        </is>
      </c>
      <c r="F9904" s="10" t="inlineStr">
        <is>
          <t>Hà Nội</t>
        </is>
      </c>
      <c r="G9904" s="10" t="inlineStr">
        <is>
          <t>13-04-2026</t>
        </is>
      </c>
      <c r="H9904" s="10" t="inlineStr">
        <is>
          <t>13/04/2026</t>
        </is>
      </c>
      <c r="I9904" s="10" t="inlineStr">
        <is>
          <t>17/03/2026</t>
        </is>
      </c>
      <c r="J9904" s="10" t="inlineStr">
        <is>
          <t>Bán lẻ / Bán sỉ</t>
        </is>
      </c>
      <c r="K9904" s="10" t="inlineStr">
        <is>
          <t>Chưa có kinh nghiệm</t>
        </is>
      </c>
      <c r="L9904" s="11">
        <f>HYPERLINK("https://careerviet.vn/vi/tim-viec-lam/nhan-vien-quay-banh-va-cafe.35C655FF.html","Xem chi tiết")</f>
        <v/>
      </c>
      <c r="M9904" s="10" t="n"/>
    </row>
    <row r="9905">
      <c r="B9905" s="7" t="n">
        <v>9903</v>
      </c>
      <c r="C9905" t="inlineStr">
        <is>
          <t>Nhân viên Bảo vệ</t>
        </is>
      </c>
      <c r="D9905" t="inlineStr">
        <is>
          <t>Viện Thẩm mỹ y khoa Dr Hải Lê</t>
        </is>
      </c>
      <c r="E9905" t="inlineStr">
        <is>
          <t>Lương:9 Tr - 10 Tr VND</t>
        </is>
      </c>
      <c r="F9905" t="inlineStr">
        <is>
          <t>Hà Nội</t>
        </is>
      </c>
      <c r="G9905" t="inlineStr">
        <is>
          <t>13-04-2026</t>
        </is>
      </c>
      <c r="H9905" t="inlineStr">
        <is>
          <t>13/04/2026</t>
        </is>
      </c>
      <c r="I9905" t="inlineStr">
        <is>
          <t>17/03/2026</t>
        </is>
      </c>
      <c r="J9905" t="inlineStr">
        <is>
          <t>Lao động phổ thông, An Ninh / Bảo Vệ, Quản lý điều hành</t>
        </is>
      </c>
      <c r="K9905" t="inlineStr">
        <is>
          <t>N/A</t>
        </is>
      </c>
      <c r="L9905" s="8">
        <f>HYPERLINK("https://careerviet.vn/vi/tim-viec-lam/nhan-vien-bao-ve.35C65770.html","Xem chi tiết")</f>
        <v/>
      </c>
    </row>
    <row r="9906">
      <c r="B9906" s="9" t="n">
        <v>9904</v>
      </c>
      <c r="C9906" s="10" t="inlineStr">
        <is>
          <t>Air Freight Supervisor</t>
        </is>
      </c>
      <c r="D9906" s="10" t="inlineStr">
        <is>
          <t>CÔNG TY CỔ PHẦN ITL FREIGHT MANAGEMENT - CHI NHÁNH MIỀN BẮC</t>
        </is>
      </c>
      <c r="E9906" s="10" t="inlineStr">
        <is>
          <t>Lương:Cạnh tranh</t>
        </is>
      </c>
      <c r="F9906" s="10" t="inlineStr">
        <is>
          <t>Hà Nội</t>
        </is>
      </c>
      <c r="G9906" s="10" t="inlineStr">
        <is>
          <t>13-04-2026</t>
        </is>
      </c>
      <c r="H9906" s="10" t="inlineStr">
        <is>
          <t>13/04/2026</t>
        </is>
      </c>
      <c r="I9906" s="10" t="inlineStr">
        <is>
          <t>17/03/2026</t>
        </is>
      </c>
      <c r="J9906" s="10" t="inlineStr">
        <is>
          <t>Vận chuyển / Giao nhận / Kho vận, Xuất nhập khẩu</t>
        </is>
      </c>
      <c r="K9906" s="10" t="inlineStr">
        <is>
          <t>4 - 5 Năm</t>
        </is>
      </c>
      <c r="L9906" s="11">
        <f>HYPERLINK("https://careerviet.vn/vi/tim-viec-lam/air-freight-supervisor.35C6884B.html","Xem chi tiết")</f>
        <v/>
      </c>
      <c r="M9906" s="10" t="n"/>
    </row>
    <row r="9907">
      <c r="B9907" s="7" t="n">
        <v>9905</v>
      </c>
      <c r="C9907" t="inlineStr">
        <is>
          <t>Tuyển nhân viên MC</t>
        </is>
      </c>
      <c r="D9907" t="inlineStr">
        <is>
          <t>Viện Thẩm mỹ y khoa Dr Hải Lê</t>
        </is>
      </c>
      <c r="E9907" t="inlineStr">
        <is>
          <t>Lương:13 Tr - 15 Tr VND</t>
        </is>
      </c>
      <c r="F9907" t="inlineStr">
        <is>
          <t>Hà Nội</t>
        </is>
      </c>
      <c r="G9907" t="inlineStr">
        <is>
          <t>13-04-2026</t>
        </is>
      </c>
      <c r="H9907" t="inlineStr">
        <is>
          <t>13/04/2026</t>
        </is>
      </c>
      <c r="I9907" t="inlineStr">
        <is>
          <t>17/03/2026</t>
        </is>
      </c>
      <c r="J9907" t="inlineStr">
        <is>
          <t>Y tế / Chăm sóc sức khỏe / Thẩm mỹ / Làm đẹp, Giải trí, Truyền hình / Báo chí / Biên tập</t>
        </is>
      </c>
      <c r="K9907" t="inlineStr">
        <is>
          <t>Chưa có kinh nghiệm</t>
        </is>
      </c>
      <c r="L9907" s="8">
        <f>HYPERLINK("https://careerviet.vn/vi/tim-viec-lam/tuyen-nhan-vien-mc.35C6576A.html","Xem chi tiết")</f>
        <v/>
      </c>
    </row>
    <row r="9908">
      <c r="B9908" s="9" t="n">
        <v>9906</v>
      </c>
      <c r="C9908" s="10" t="inlineStr">
        <is>
          <t>Giám Đốc Chi Nhánh - Khu vực Hà Nội - TA159</t>
        </is>
      </c>
      <c r="D9908" s="10" t="inlineStr">
        <is>
          <t>Ngân Hàng TMCP Việt Nam Thịnh Vượng - VPBANK</t>
        </is>
      </c>
      <c r="E9908" s="10" t="inlineStr">
        <is>
          <t>Lương:30 Tr - 70 Tr VND</t>
        </is>
      </c>
      <c r="F9908" s="10" t="inlineStr">
        <is>
          <t>Hà Nội</t>
        </is>
      </c>
      <c r="G9908" s="10" t="inlineStr">
        <is>
          <t>13-04-2026</t>
        </is>
      </c>
      <c r="H9908" s="10" t="inlineStr">
        <is>
          <t>13/04/2026</t>
        </is>
      </c>
      <c r="I9908" s="10" t="inlineStr">
        <is>
          <t>17/03/2026</t>
        </is>
      </c>
      <c r="J9908" s="10" t="inlineStr">
        <is>
          <t>Ngân hàng</t>
        </is>
      </c>
      <c r="K9908" s="10" t="inlineStr">
        <is>
          <t>Trên 5 Năm</t>
        </is>
      </c>
      <c r="L9908" s="11">
        <f>HYPERLINK("https://careerviet.vn/vi/tim-viec-lam/giam-doc-chi-nhanh-khu-vuc-ha-noi-ta159.35C65623.html","Xem chi tiết")</f>
        <v/>
      </c>
      <c r="M9908" s="10" t="n"/>
    </row>
    <row r="9909">
      <c r="B9909" s="7" t="n">
        <v>9907</v>
      </c>
      <c r="C9909" t="inlineStr">
        <is>
          <t>(Nhà Bè) Điều Phối Vận Tải</t>
        </is>
      </c>
      <c r="D9909" t="inlineStr">
        <is>
          <t>Công Ty TNHH Tập Đoàn Rita Võ</t>
        </is>
      </c>
      <c r="E9909" t="inlineStr">
        <is>
          <t>Lương:Cạnh tranh</t>
        </is>
      </c>
      <c r="F9909" t="inlineStr">
        <is>
          <t>Hồ Chí Minh</t>
        </is>
      </c>
      <c r="G9909" t="inlineStr">
        <is>
          <t>13-04-2026</t>
        </is>
      </c>
      <c r="H9909" t="inlineStr">
        <is>
          <t>13/04/2026</t>
        </is>
      </c>
      <c r="I9909" t="inlineStr">
        <is>
          <t>17/03/2026</t>
        </is>
      </c>
      <c r="J9909" t="inlineStr">
        <is>
          <t>Vận chuyển / Giao nhận / Kho vận, Xuất nhập khẩu</t>
        </is>
      </c>
      <c r="K9909" t="inlineStr">
        <is>
          <t>2 - 5 Năm</t>
        </is>
      </c>
      <c r="L9909" s="8">
        <f>HYPERLINK("https://careerviet.vn/vi/tim-viec-lam/nha-be-dieu-phoi-van-tai.35C688AD.html","Xem chi tiết")</f>
        <v/>
      </c>
    </row>
    <row r="9910">
      <c r="B9910" s="9" t="n">
        <v>9908</v>
      </c>
      <c r="C9910" s="10" t="inlineStr">
        <is>
          <t>Nhân Viên Tư Vấn Đặt Hàng (Hợp đồng 6 tháng)</t>
        </is>
      </c>
      <c r="D9910" s="10" t="inlineStr">
        <is>
          <t>Công Ty CP Dược Phẩm Pharmacity</t>
        </is>
      </c>
      <c r="E9910" s="10" t="inlineStr">
        <is>
          <t>Lương:Cạnh tranh</t>
        </is>
      </c>
      <c r="F9910" s="10" t="inlineStr">
        <is>
          <t>Hồ Chí Minh</t>
        </is>
      </c>
      <c r="G9910" s="10" t="inlineStr">
        <is>
          <t>13-04-2026</t>
        </is>
      </c>
      <c r="H9910" s="10" t="inlineStr">
        <is>
          <t>13/04/2026</t>
        </is>
      </c>
      <c r="I9910" s="10" t="inlineStr">
        <is>
          <t>17/03/2026</t>
        </is>
      </c>
      <c r="J9910" s="10" t="inlineStr">
        <is>
          <t>Dược phẩm/ Hóa Mỹ Phẩm, Y tế / Chăm sóc sức khỏe / Thẩm mỹ / Làm đẹp</t>
        </is>
      </c>
      <c r="K9910" s="10" t="inlineStr">
        <is>
          <t>Chưa có kinh nghiệm</t>
        </is>
      </c>
      <c r="L9910" s="11">
        <f>HYPERLINK("https://careerviet.vn/vi/tim-viec-lam/nhan-vien-tu-van-dat-hang-hop-dong-6-thang.35C687E1.html","Xem chi tiết")</f>
        <v/>
      </c>
      <c r="M9910" s="10" t="n"/>
    </row>
    <row r="9911">
      <c r="B9911" s="7" t="n">
        <v>9909</v>
      </c>
      <c r="C9911" t="inlineStr">
        <is>
          <t>Nhân viên kế toán thuế ( Yêu cầu 2 năm kinh nghiệm về thuế hoặc tương đương)</t>
        </is>
      </c>
      <c r="D9911" t="inlineStr">
        <is>
          <t>Công Ty TNHH XNK Cầu Nối Việt</t>
        </is>
      </c>
      <c r="E9911" t="inlineStr">
        <is>
          <t>Lương:14 Tr - 16 Tr VND</t>
        </is>
      </c>
      <c r="F9911" t="inlineStr">
        <is>
          <t>Hà Nội</t>
        </is>
      </c>
      <c r="G9911" t="inlineStr">
        <is>
          <t>13-04-2026</t>
        </is>
      </c>
      <c r="H9911" t="inlineStr">
        <is>
          <t>13/04/2026</t>
        </is>
      </c>
      <c r="I9911" t="inlineStr">
        <is>
          <t>17/03/2026</t>
        </is>
      </c>
      <c r="J9911" t="inlineStr">
        <is>
          <t>Kế toán / Kiểm toán</t>
        </is>
      </c>
      <c r="K9911" t="inlineStr">
        <is>
          <t>N/A</t>
        </is>
      </c>
      <c r="L9911" s="8">
        <f>HYPERLINK("https://careerviet.vn/vi/tim-viec-lam/nhan-vien-ke-toan-thue-yeu-cau-2-nam-kinh-nghiem-ve-thue-hoac-tuong-duong.35C6579A.html","Xem chi tiết")</f>
        <v/>
      </c>
    </row>
    <row r="9912">
      <c r="B9912" s="9" t="n">
        <v>9910</v>
      </c>
      <c r="C9912" s="10" t="inlineStr">
        <is>
          <t>VPBank - Chuyên Viên Cao Cấp Bán Sản Phẩm Cho Vay Thế Chấp - Quảng Bình</t>
        </is>
      </c>
      <c r="D9912" s="10" t="inlineStr">
        <is>
          <t>Ngân Hàng TMCP Việt Nam Thịnh Vượng - VPBANK</t>
        </is>
      </c>
      <c r="E9912" s="10" t="inlineStr">
        <is>
          <t>Lương:15 Tr - 22 Tr VND</t>
        </is>
      </c>
      <c r="F9912" s="10" t="inlineStr">
        <is>
          <t>Quảng Bình</t>
        </is>
      </c>
      <c r="G9912" s="10" t="inlineStr">
        <is>
          <t>13-04-2026</t>
        </is>
      </c>
      <c r="H9912" s="10" t="inlineStr">
        <is>
          <t>13/04/2026</t>
        </is>
      </c>
      <c r="I9912" s="10" t="inlineStr">
        <is>
          <t>17/03/2026</t>
        </is>
      </c>
      <c r="J9912" s="10" t="inlineStr">
        <is>
          <t>Bán hàng / Kinh doanh, Ngân hàng, Bảo hiểm</t>
        </is>
      </c>
      <c r="K9912" s="10" t="inlineStr">
        <is>
          <t>1 - 3 Năm</t>
        </is>
      </c>
      <c r="L9912" s="11">
        <f>HYPERLINK("https://careerviet.vn/vi/tim-viec-lam/vpbank-chuyen-vien-cao-cap-ban-san-pham-cho-vay-the-chap-quang-binh.35C657E1.html","Xem chi tiết")</f>
        <v/>
      </c>
      <c r="M9912" s="10" t="n"/>
    </row>
    <row r="9913">
      <c r="B9913" s="7" t="n">
        <v>9911</v>
      </c>
      <c r="C9913" t="inlineStr">
        <is>
          <t>Chuyên viên/ Chuyên viên cao cấp Nguồn vốn</t>
        </is>
      </c>
      <c r="D9913" t="inlineStr">
        <is>
          <t>CÔNG TY CỔ PHẦN CHỨNG KHOÁN HD</t>
        </is>
      </c>
      <c r="E9913" t="inlineStr">
        <is>
          <t>Lương:Cạnh tranh</t>
        </is>
      </c>
      <c r="F9913" t="inlineStr">
        <is>
          <t>Hồ Chí MinhHà Nội</t>
        </is>
      </c>
      <c r="G9913" t="inlineStr">
        <is>
          <t>13-04-2026</t>
        </is>
      </c>
      <c r="H9913" t="inlineStr">
        <is>
          <t>13/04/2026</t>
        </is>
      </c>
      <c r="I9913" t="inlineStr">
        <is>
          <t>17/03/2026</t>
        </is>
      </c>
      <c r="J9913" t="inlineStr">
        <is>
          <t>Chứng khoán, Ngân hàng, Tài chính / Đầu tư</t>
        </is>
      </c>
      <c r="K9913" t="inlineStr">
        <is>
          <t>3 - 5 Năm</t>
        </is>
      </c>
      <c r="L9913" s="8">
        <f>HYPERLINK("https://careerviet.vn/vi/tim-viec-lam/chuyen-vien-chuyen-vien-cao-cap-nguon-von.35C656B9.html","Xem chi tiết")</f>
        <v/>
      </c>
    </row>
    <row r="9914">
      <c r="B9914" s="9" t="n">
        <v>9912</v>
      </c>
      <c r="C9914" s="10" t="inlineStr">
        <is>
          <t>Kỹ sư Khảo sát Địa hình - Địa chất</t>
        </is>
      </c>
      <c r="D9914" s="10" t="inlineStr">
        <is>
          <t>Công Ty Cổ Phần Tập Đoàn Đèo Cả</t>
        </is>
      </c>
      <c r="E9914" s="10" t="inlineStr">
        <is>
          <t>Lương:12 Tr - 18 Tr VND</t>
        </is>
      </c>
      <c r="F9914" s="10" t="inlineStr">
        <is>
          <t>Hồ Chí Minh</t>
        </is>
      </c>
      <c r="G9914" s="10" t="inlineStr">
        <is>
          <t>13-04-2026</t>
        </is>
      </c>
      <c r="H9914" s="10" t="inlineStr">
        <is>
          <t>13/04/2026</t>
        </is>
      </c>
      <c r="I9914" s="10" t="inlineStr">
        <is>
          <t>17/03/2026</t>
        </is>
      </c>
      <c r="J9914" s="10" t="inlineStr">
        <is>
          <t>Xây dựng, Trắc địa / Địa Chất</t>
        </is>
      </c>
      <c r="K9914" s="10" t="inlineStr">
        <is>
          <t>2 - 5 Năm</t>
        </is>
      </c>
      <c r="L9914" s="11">
        <f>HYPERLINK("https://careerviet.vn/vi/tim-viec-lam/ky-su-khao-sat-dia-hinh-dia-chat.35C6841D.html","Xem chi tiết")</f>
        <v/>
      </c>
      <c r="M9914" s="10" t="n"/>
    </row>
    <row r="9915">
      <c r="B9915" s="7" t="n">
        <v>9913</v>
      </c>
      <c r="C9915" t="inlineStr">
        <is>
          <t>Chuyên Viên Cao Cấp Khách Hàng Ưu Tiên - Hà Tĩnh - TA189</t>
        </is>
      </c>
      <c r="D9915" t="inlineStr">
        <is>
          <t>Ngân Hàng TMCP Việt Nam Thịnh Vượng - VPBANK</t>
        </is>
      </c>
      <c r="E9915" t="inlineStr">
        <is>
          <t>Lương:20 Tr - 50 Tr VND</t>
        </is>
      </c>
      <c r="F9915" t="inlineStr">
        <is>
          <t>Hà Tĩnh</t>
        </is>
      </c>
      <c r="G9915" t="inlineStr">
        <is>
          <t>13-04-2026</t>
        </is>
      </c>
      <c r="H9915" t="inlineStr">
        <is>
          <t>13/04/2026</t>
        </is>
      </c>
      <c r="I9915" t="inlineStr">
        <is>
          <t>17/03/2026</t>
        </is>
      </c>
      <c r="J9915" t="inlineStr">
        <is>
          <t>Ngân hàng</t>
        </is>
      </c>
      <c r="K9915" t="inlineStr">
        <is>
          <t>Trên 2 Năm</t>
        </is>
      </c>
      <c r="L9915" s="8">
        <f>HYPERLINK("https://careerviet.vn/vi/tim-viec-lam/chuyen-vien-cao-cap-khach-hang-uu-tien-ha-tinh-ta189.35C65619.html","Xem chi tiết")</f>
        <v/>
      </c>
    </row>
    <row r="9916">
      <c r="B9916" s="9" t="n">
        <v>9914</v>
      </c>
      <c r="C9916" s="10" t="inlineStr">
        <is>
          <t>Vận hành viên</t>
        </is>
      </c>
      <c r="D9916" s="10" t="inlineStr">
        <is>
          <t>Công ty cổ phần Xây dựng Công trình IPC</t>
        </is>
      </c>
      <c r="E9916" s="10" t="inlineStr">
        <is>
          <t>Lương:10 Tr - 14 Tr VND</t>
        </is>
      </c>
      <c r="F9916" s="10" t="inlineStr">
        <is>
          <t>Khánh Hòa</t>
        </is>
      </c>
      <c r="G9916" s="10" t="inlineStr">
        <is>
          <t>13-04-2026</t>
        </is>
      </c>
      <c r="H9916" s="10" t="inlineStr">
        <is>
          <t>13/04/2026</t>
        </is>
      </c>
      <c r="I9916" s="10" t="inlineStr">
        <is>
          <t>17/03/2026</t>
        </is>
      </c>
      <c r="J9916" s="10" t="inlineStr">
        <is>
          <t>Bảo trì / Sửa chữa, Điện / Điện tử / Điện lạnh / Điện công nghiệp, Cơ khí / Ô tô / Tự động hóa</t>
        </is>
      </c>
      <c r="K9916" s="10" t="inlineStr">
        <is>
          <t>Trên 3 Năm</t>
        </is>
      </c>
      <c r="L9916" s="11">
        <f>HYPERLINK("https://careerviet.vn/vi/tim-viec-lam/van-hanh-vien.35C688B6.html","Xem chi tiết")</f>
        <v/>
      </c>
      <c r="M9916" s="10" t="n"/>
    </row>
    <row r="9917">
      <c r="B9917" s="7" t="n">
        <v>9915</v>
      </c>
      <c r="C9917" t="inlineStr">
        <is>
          <t>Thư Ký Quản Lý Dự Án</t>
        </is>
      </c>
      <c r="D9917" t="inlineStr">
        <is>
          <t>Công Ty Cổ Phần Thiết Kế Và Xây Dựng Giza Việt Nam</t>
        </is>
      </c>
      <c r="E9917" t="inlineStr">
        <is>
          <t>Lương:Cạnh tranh</t>
        </is>
      </c>
      <c r="F9917" t="inlineStr">
        <is>
          <t>Hà Nội</t>
        </is>
      </c>
      <c r="G9917" t="inlineStr">
        <is>
          <t>13-04-2026</t>
        </is>
      </c>
      <c r="H9917" t="inlineStr">
        <is>
          <t>13/04/2026</t>
        </is>
      </c>
      <c r="I9917" t="inlineStr">
        <is>
          <t>17/03/2026</t>
        </is>
      </c>
      <c r="J9917" t="inlineStr">
        <is>
          <t>Hành chính / Thư ký, Xây dựng</t>
        </is>
      </c>
      <c r="K9917" t="inlineStr">
        <is>
          <t>2 - 3 Năm</t>
        </is>
      </c>
      <c r="L9917" s="8">
        <f>HYPERLINK("https://careerviet.vn/vi/tim-viec-lam/thu-ky-quan-ly-du-an.35C6568C.html","Xem chi tiết")</f>
        <v/>
      </c>
    </row>
    <row r="9918">
      <c r="B9918" s="9" t="n">
        <v>9916</v>
      </c>
      <c r="C9918" s="10" t="inlineStr">
        <is>
          <t>Nhân viên IT support</t>
        </is>
      </c>
      <c r="D9918" s="10" t="inlineStr">
        <is>
          <t>Công ty Cổ phần CANIFA</t>
        </is>
      </c>
      <c r="E9918" s="10" t="inlineStr">
        <is>
          <t>Lương:12 Tr - 17 Tr VND</t>
        </is>
      </c>
      <c r="F9918" s="10" t="inlineStr">
        <is>
          <t>Hà Nội</t>
        </is>
      </c>
      <c r="G9918" s="10" t="inlineStr">
        <is>
          <t>13-04-2026</t>
        </is>
      </c>
      <c r="H9918" s="10" t="inlineStr">
        <is>
          <t>13/04/2026</t>
        </is>
      </c>
      <c r="I9918" s="10" t="inlineStr">
        <is>
          <t>17/03/2026</t>
        </is>
      </c>
      <c r="J9918" s="10" t="inlineStr">
        <is>
          <t>CNTT - Phần cứng / Mạng</t>
        </is>
      </c>
      <c r="K9918" s="10" t="inlineStr">
        <is>
          <t>1 - 3 Năm</t>
        </is>
      </c>
      <c r="L9918" s="11">
        <f>HYPERLINK("https://careerviet.vn/vi/tim-viec-lam/nhan-vien-it-support.35C68888.html","Xem chi tiết")</f>
        <v/>
      </c>
      <c r="M9918" s="10" t="n"/>
    </row>
    <row r="9919">
      <c r="B9919" s="7" t="n">
        <v>9917</v>
      </c>
      <c r="C9919" t="inlineStr">
        <is>
          <t>Nhân viên kế toán nội bộ</t>
        </is>
      </c>
      <c r="D9919" t="inlineStr">
        <is>
          <t>CÔNG TY CỔ PHẦN SẢN XUẤT &amp; XUẤT NHẬP KHẨU HAT+</t>
        </is>
      </c>
      <c r="E9919" t="inlineStr">
        <is>
          <t>Lương:8 Tr - 10 Tr VND</t>
        </is>
      </c>
      <c r="F9919" t="inlineStr">
        <is>
          <t>Hà Nội</t>
        </is>
      </c>
      <c r="G9919" t="inlineStr">
        <is>
          <t>13-04-2026</t>
        </is>
      </c>
      <c r="H9919" t="inlineStr">
        <is>
          <t>13/04/2026</t>
        </is>
      </c>
      <c r="I9919" t="inlineStr">
        <is>
          <t>17/03/2026</t>
        </is>
      </c>
      <c r="J9919" t="inlineStr">
        <is>
          <t>Kế toán / Kiểm toán, Dệt may / Da giày / Thời trang</t>
        </is>
      </c>
      <c r="K9919" t="inlineStr">
        <is>
          <t>1 - 2 Năm</t>
        </is>
      </c>
      <c r="L9919" s="8">
        <f>HYPERLINK("https://careerviet.vn/vi/tim-viec-lam/nhan-vien-ke-toan-noi-bo.35C6884E.html","Xem chi tiết")</f>
        <v/>
      </c>
    </row>
    <row r="9920">
      <c r="B9920" s="9" t="n">
        <v>9918</v>
      </c>
      <c r="C9920" s="10" t="inlineStr">
        <is>
          <t>[Nha Trang] TƯ VẤN VIÊN TƯ VẤN ĐẦU TƯ (Mức hoa hồng hấp dẫn)</t>
        </is>
      </c>
      <c r="D9920" s="10" t="inlineStr">
        <is>
          <t>VDSC - Công ty CP Chứng khoán Rồng Việt</t>
        </is>
      </c>
      <c r="E9920" s="10" t="inlineStr">
        <is>
          <t>Lương:Cạnh tranh</t>
        </is>
      </c>
      <c r="F9920" s="10" t="inlineStr">
        <is>
          <t>Khánh Hòa</t>
        </is>
      </c>
      <c r="G9920" s="10" t="inlineStr">
        <is>
          <t>13-04-2026</t>
        </is>
      </c>
      <c r="H9920" s="10" t="inlineStr">
        <is>
          <t>13/04/2026</t>
        </is>
      </c>
      <c r="I9920" s="10" t="inlineStr">
        <is>
          <t>17/03/2026</t>
        </is>
      </c>
      <c r="J9920" s="10" t="inlineStr">
        <is>
          <t>Ngân hàng, Chứng khoán, Tài chính / Đầu tư</t>
        </is>
      </c>
      <c r="K9920" s="10" t="inlineStr">
        <is>
          <t>1 - 2 Năm</t>
        </is>
      </c>
      <c r="L9920" s="11">
        <f>HYPERLINK("https://careerviet.vn/vi/tim-viec-lam/nha-trang-tu-van-vien-tu-van-dau-tu-muc-hoa-hong-hap-dan.35C65642.html","Xem chi tiết")</f>
        <v/>
      </c>
      <c r="M9920" s="10" t="n"/>
    </row>
    <row r="9921">
      <c r="B9921" s="7" t="n">
        <v>9919</v>
      </c>
      <c r="C9921" t="inlineStr">
        <is>
          <t>Chuyên Viên Tư Vấn Tuyển Sinh - ILA Hóc Môn</t>
        </is>
      </c>
      <c r="D9921" t="inlineStr">
        <is>
          <t>ILA Việt Nam</t>
        </is>
      </c>
      <c r="E9921" t="inlineStr">
        <is>
          <t>Lương:8 Tr - 30 Tr VND</t>
        </is>
      </c>
      <c r="F9921" t="inlineStr">
        <is>
          <t>Hồ Chí Minh</t>
        </is>
      </c>
      <c r="G9921" t="inlineStr">
        <is>
          <t>13-04-2026</t>
        </is>
      </c>
      <c r="H9921" t="inlineStr">
        <is>
          <t>13/04/2026</t>
        </is>
      </c>
      <c r="I9921" t="inlineStr">
        <is>
          <t>17/03/2026</t>
        </is>
      </c>
      <c r="J9921" t="inlineStr">
        <is>
          <t>Bán hàng / Kinh doanh, Tư vấn, Dịch vụ khách hàng</t>
        </is>
      </c>
      <c r="K9921" t="inlineStr">
        <is>
          <t>1 - 2 Năm</t>
        </is>
      </c>
      <c r="L9921" s="8">
        <f>HYPERLINK("https://careerviet.vn/vi/tim-viec-lam/chuyen-vien-tu-van-tuyen-sinh-ila-hoc-mon.35C6893A.html","Xem chi tiết")</f>
        <v/>
      </c>
    </row>
    <row r="9922">
      <c r="B9922" s="9" t="n">
        <v>9920</v>
      </c>
      <c r="C9922" s="10" t="inlineStr">
        <is>
          <t>126791 - Senior Tax and Accounting Consultant - Consulting Service</t>
        </is>
      </c>
      <c r="D9922" s="10" t="inlineStr">
        <is>
          <t>RGF HR Agent Vietnam Co., LTD</t>
        </is>
      </c>
      <c r="E9922" s="10" t="inlineStr">
        <is>
          <t>Lương:17 Tr - 23 Tr VND</t>
        </is>
      </c>
      <c r="F9922" s="10" t="inlineStr">
        <is>
          <t>Hồ Chí Minh</t>
        </is>
      </c>
      <c r="G9922" s="10" t="inlineStr">
        <is>
          <t>13-04-2026</t>
        </is>
      </c>
      <c r="H9922" s="10" t="inlineStr">
        <is>
          <t>13/04/2026</t>
        </is>
      </c>
      <c r="I9922" s="10" t="inlineStr">
        <is>
          <t>17/03/2026</t>
        </is>
      </c>
      <c r="J9922" s="10" t="inlineStr">
        <is>
          <t>Kế toán / Kiểm toán, Tư vấn</t>
        </is>
      </c>
      <c r="K9922" s="10" t="inlineStr">
        <is>
          <t>3 - 4 Năm</t>
        </is>
      </c>
      <c r="L9922" s="11">
        <f>HYPERLINK("https://careerviet.vn/vi/tim-viec-lam/126791-senior-tax-and-accounting-consultant-consulting-service.35C65777.html","Xem chi tiết")</f>
        <v/>
      </c>
      <c r="M9922" s="10" t="n"/>
    </row>
    <row r="9923">
      <c r="B9923" s="7" t="n">
        <v>9921</v>
      </c>
      <c r="C9923" t="inlineStr">
        <is>
          <t>VPBank - Chuyên Viên Cao Cấp Tư Vấn Tài Chính Cá Nhân - Đăk Nông</t>
        </is>
      </c>
      <c r="D9923" t="inlineStr">
        <is>
          <t>Ngân Hàng TMCP Việt Nam Thịnh Vượng - VPBANK</t>
        </is>
      </c>
      <c r="E9923" t="inlineStr">
        <is>
          <t>Lương:15 Tr - 22 Tr VND</t>
        </is>
      </c>
      <c r="F9923" t="inlineStr">
        <is>
          <t>Dak Nông</t>
        </is>
      </c>
      <c r="G9923" t="inlineStr">
        <is>
          <t>13-04-2026</t>
        </is>
      </c>
      <c r="H9923" t="inlineStr">
        <is>
          <t>13/04/2026</t>
        </is>
      </c>
      <c r="I9923" t="inlineStr">
        <is>
          <t>17/03/2026</t>
        </is>
      </c>
      <c r="J9923" t="inlineStr">
        <is>
          <t>Bán hàng / Kinh doanh, Ngân hàng, Bảo hiểm</t>
        </is>
      </c>
      <c r="K9923" t="inlineStr">
        <is>
          <t>1 - 3 Năm</t>
        </is>
      </c>
      <c r="L9923" s="8">
        <f>HYPERLINK("https://careerviet.vn/vi/tim-viec-lam/vpbank-chuyen-vien-cao-cap-tu-van-tai-chinh-ca-nhan-dak-nong.35C657EC.html","Xem chi tiết")</f>
        <v/>
      </c>
    </row>
    <row r="9924">
      <c r="B9924" s="9" t="n">
        <v>9922</v>
      </c>
      <c r="C9924" s="10" t="inlineStr">
        <is>
          <t>VPBank - Chuyên Viên Cao Cấp Bán Sản Phẩm Cho Vay Thế Chấp - Quảng Trị</t>
        </is>
      </c>
      <c r="D9924" s="10" t="inlineStr">
        <is>
          <t>Ngân Hàng TMCP Việt Nam Thịnh Vượng - VPBANK</t>
        </is>
      </c>
      <c r="E9924" s="10" t="inlineStr">
        <is>
          <t>Lương:15 Tr - 22 Tr VND</t>
        </is>
      </c>
      <c r="F9924" s="10" t="inlineStr">
        <is>
          <t>Quảng Trị</t>
        </is>
      </c>
      <c r="G9924" s="10" t="inlineStr">
        <is>
          <t>13-04-2026</t>
        </is>
      </c>
      <c r="H9924" s="10" t="inlineStr">
        <is>
          <t>13/04/2026</t>
        </is>
      </c>
      <c r="I9924" s="10" t="inlineStr">
        <is>
          <t>17/03/2026</t>
        </is>
      </c>
      <c r="J9924" s="10" t="inlineStr">
        <is>
          <t>Bán hàng / Kinh doanh, Ngân hàng, Bảo hiểm</t>
        </is>
      </c>
      <c r="K9924" s="10" t="inlineStr">
        <is>
          <t>1 - 3 Năm</t>
        </is>
      </c>
      <c r="L9924" s="11">
        <f>HYPERLINK("https://careerviet.vn/vi/tim-viec-lam/vpbank-chuyen-vien-cao-cap-ban-san-pham-cho-vay-the-chap-quang-tri.35C657E2.html","Xem chi tiết")</f>
        <v/>
      </c>
      <c r="M9924" s="10" t="n"/>
    </row>
    <row r="9925">
      <c r="B9925" s="7" t="n">
        <v>9923</v>
      </c>
      <c r="C9925" t="inlineStr">
        <is>
          <t>Nhân viên Kinh doanh (cho thuê sàn văn phòng/Coworking)</t>
        </is>
      </c>
      <c r="D9925" t="inlineStr">
        <is>
          <t>CÔNG TY CỔ PHẦN SEREPOK</t>
        </is>
      </c>
      <c r="E9925" t="inlineStr">
        <is>
          <t>Lương:Cạnh tranh</t>
        </is>
      </c>
      <c r="F9925" t="inlineStr">
        <is>
          <t>Hồ Chí Minh</t>
        </is>
      </c>
      <c r="G9925" t="inlineStr">
        <is>
          <t>13-04-2026</t>
        </is>
      </c>
      <c r="H9925" t="inlineStr">
        <is>
          <t>13/04/2026</t>
        </is>
      </c>
      <c r="I9925" t="inlineStr">
        <is>
          <t>17/03/2026</t>
        </is>
      </c>
      <c r="J9925" t="inlineStr">
        <is>
          <t>Bán hàng / Kinh doanh, Bất động sản, Dịch vụ khách hàng</t>
        </is>
      </c>
      <c r="K9925" t="inlineStr">
        <is>
          <t>1 - 2 Năm</t>
        </is>
      </c>
      <c r="L9925" s="8">
        <f>HYPERLINK("https://careerviet.vn/vi/tim-viec-lam/nhan-vien-kinh-doanh-cho-thue-san-van-phong-coworking.35C687B8.html","Xem chi tiết")</f>
        <v/>
      </c>
    </row>
    <row r="9926">
      <c r="B9926" s="9" t="n">
        <v>9924</v>
      </c>
      <c r="C9926" s="10" t="inlineStr">
        <is>
          <t>Trưởng đoàn Ngoại viện AHC (Cinic Nurse)</t>
        </is>
      </c>
      <c r="D9926" s="10" t="inlineStr">
        <is>
          <t>DIAG</t>
        </is>
      </c>
      <c r="E9926" s="10" t="inlineStr">
        <is>
          <t>Lương:Cạnh tranh</t>
        </is>
      </c>
      <c r="F9926" s="10" t="inlineStr">
        <is>
          <t>Hồ Chí Minh</t>
        </is>
      </c>
      <c r="G9926" s="10" t="inlineStr">
        <is>
          <t>13-04-2026</t>
        </is>
      </c>
      <c r="H9926" s="10" t="inlineStr">
        <is>
          <t>13/04/2026</t>
        </is>
      </c>
      <c r="I9926" s="10" t="inlineStr">
        <is>
          <t>17/03/2026</t>
        </is>
      </c>
      <c r="J9926" s="10" t="inlineStr">
        <is>
          <t>Y tế / Chăm sóc sức khỏe / Thẩm mỹ / Làm đẹp, Dược phẩm/ Hóa Mỹ Phẩm</t>
        </is>
      </c>
      <c r="K9926" s="10" t="inlineStr">
        <is>
          <t>1 - 3 Năm</t>
        </is>
      </c>
      <c r="L9926" s="11">
        <f>HYPERLINK("https://careerviet.vn/vi/tim-viec-lam/truong-doan-ngoai-vien-ahc-cinic-nurse.35C687CD.html","Xem chi tiết")</f>
        <v/>
      </c>
      <c r="M9926" s="10" t="n"/>
    </row>
    <row r="9927">
      <c r="B9927" s="7" t="n">
        <v>9925</v>
      </c>
      <c r="C9927" t="inlineStr">
        <is>
          <t>126566 - [Home-Based] Sales Executive - Medical Equipment</t>
        </is>
      </c>
      <c r="D9927" t="inlineStr">
        <is>
          <t>RGF HR Agent Vietnam Co., LTD</t>
        </is>
      </c>
      <c r="E9927" t="inlineStr">
        <is>
          <t>Lương:30 Tr - 40 Tr VND</t>
        </is>
      </c>
      <c r="F9927" t="inlineStr">
        <is>
          <t>Hồ Chí Minh</t>
        </is>
      </c>
      <c r="G9927" t="inlineStr">
        <is>
          <t>13-04-2026</t>
        </is>
      </c>
      <c r="H9927" t="inlineStr">
        <is>
          <t>13/04/2026</t>
        </is>
      </c>
      <c r="I9927" t="inlineStr">
        <is>
          <t>17/03/2026</t>
        </is>
      </c>
      <c r="J9927" t="inlineStr">
        <is>
          <t>Kế toán / Kiểm toán, Hành chính / Thư ký</t>
        </is>
      </c>
      <c r="K9927" t="inlineStr">
        <is>
          <t>Trên 2 Năm</t>
        </is>
      </c>
      <c r="L9927" s="8">
        <f>HYPERLINK("https://careerviet.vn/vi/tim-viec-lam/126566-home-based-sales-executive-medical-equipment.35C6578B.html","Xem chi tiết")</f>
        <v/>
      </c>
    </row>
    <row r="9928">
      <c r="B9928" s="9" t="n">
        <v>9926</v>
      </c>
      <c r="C9928" s="10" t="inlineStr">
        <is>
          <t>Nhân viên IPC</t>
        </is>
      </c>
      <c r="D9928" s="10" t="inlineStr">
        <is>
          <t>Công ty cổ phần Dược Phẩm Savi</t>
        </is>
      </c>
      <c r="E9928" s="10" t="inlineStr">
        <is>
          <t>Lương:Cạnh tranh</t>
        </is>
      </c>
      <c r="F9928" s="10" t="inlineStr">
        <is>
          <t>Hồ Chí Minh</t>
        </is>
      </c>
      <c r="G9928" s="10" t="inlineStr">
        <is>
          <t>13-04-2026</t>
        </is>
      </c>
      <c r="H9928" s="10" t="inlineStr">
        <is>
          <t>13/04/2026</t>
        </is>
      </c>
      <c r="I9928" s="10" t="inlineStr">
        <is>
          <t>17/03/2026</t>
        </is>
      </c>
      <c r="J9928" s="10" t="inlineStr">
        <is>
          <t>Dược phẩm/ Hóa Mỹ Phẩm, Quản lý chất lượng (QA/QC), Sản xuất / Vận hành sản xuất</t>
        </is>
      </c>
      <c r="K9928" s="10" t="inlineStr">
        <is>
          <t>N/A</t>
        </is>
      </c>
      <c r="L9928" s="11">
        <f>HYPERLINK("https://careerviet.vn/vi/tim-viec-lam/nhan-vien-ipc.35C687E7.html","Xem chi tiết")</f>
        <v/>
      </c>
      <c r="M9928" s="10" t="n"/>
    </row>
    <row r="9929">
      <c r="B9929" s="7" t="n">
        <v>9927</v>
      </c>
      <c r="C9929" t="inlineStr">
        <is>
          <t>Nhân viên chăm sóc khách hàng</t>
        </is>
      </c>
      <c r="D9929" t="inlineStr">
        <is>
          <t>Công ty CP Toshiko Việt Nam</t>
        </is>
      </c>
      <c r="E9929" t="inlineStr">
        <is>
          <t>Lương:9 Tr - 12 Tr VND</t>
        </is>
      </c>
      <c r="F9929" t="inlineStr">
        <is>
          <t>Hà Nội</t>
        </is>
      </c>
      <c r="G9929" t="inlineStr">
        <is>
          <t>13-04-2026</t>
        </is>
      </c>
      <c r="H9929" t="inlineStr">
        <is>
          <t>13/04/2026</t>
        </is>
      </c>
      <c r="I9929" t="inlineStr">
        <is>
          <t>17/03/2026</t>
        </is>
      </c>
      <c r="J9929" t="inlineStr">
        <is>
          <t>Bán hàng / Kinh doanh, Dịch vụ khách hàng, Hàng gia dụng / Chăm sóc cá nhân</t>
        </is>
      </c>
      <c r="K9929" t="inlineStr">
        <is>
          <t>Trên 1 Năm</t>
        </is>
      </c>
      <c r="L9929" s="8">
        <f>HYPERLINK("https://careerviet.vn/vi/tim-viec-lam/nhan-vien-cham-soc-khach-hang.35C655E2.html","Xem chi tiết")</f>
        <v/>
      </c>
    </row>
    <row r="9930">
      <c r="B9930" s="9" t="n">
        <v>9928</v>
      </c>
      <c r="C9930" s="10" t="inlineStr">
        <is>
          <t>Chuyên viên bán hàng B2B</t>
        </is>
      </c>
      <c r="D9930" s="10" t="inlineStr">
        <is>
          <t>Công Ty CP Dược Phẩm Pharmacity</t>
        </is>
      </c>
      <c r="E9930" s="10" t="inlineStr">
        <is>
          <t>Lương:Cạnh tranh</t>
        </is>
      </c>
      <c r="F9930" s="10" t="inlineStr">
        <is>
          <t>Hồ Chí Minh</t>
        </is>
      </c>
      <c r="G9930" s="10" t="inlineStr">
        <is>
          <t>13-04-2026</t>
        </is>
      </c>
      <c r="H9930" s="10" t="inlineStr">
        <is>
          <t>13/04/2026</t>
        </is>
      </c>
      <c r="I9930" s="10" t="inlineStr">
        <is>
          <t>17/03/2026</t>
        </is>
      </c>
      <c r="J9930" s="10" t="inlineStr">
        <is>
          <t>Bán lẻ / Bán sỉ, Dược phẩm/ Hóa Mỹ Phẩm</t>
        </is>
      </c>
      <c r="K9930" s="10" t="inlineStr">
        <is>
          <t>1 - 2 Năm</t>
        </is>
      </c>
      <c r="L9930" s="11">
        <f>HYPERLINK("https://careerviet.vn/vi/tim-viec-lam/chuyen-vien-ban-hang-b2b.35C687EA.html","Xem chi tiết")</f>
        <v/>
      </c>
      <c r="M9930" s="10" t="n"/>
    </row>
    <row r="9931">
      <c r="B9931" s="7" t="n">
        <v>9929</v>
      </c>
      <c r="C9931" t="inlineStr">
        <is>
          <t>Công Nhân Kỹ Thuật</t>
        </is>
      </c>
      <c r="D9931" t="inlineStr">
        <is>
          <t>Công ty TNHH LONG UYÊN</t>
        </is>
      </c>
      <c r="E9931" t="inlineStr">
        <is>
          <t>Lương:Cạnh tranh</t>
        </is>
      </c>
      <c r="F9931" t="inlineStr">
        <is>
          <t>Đồng Tháp</t>
        </is>
      </c>
      <c r="G9931" t="inlineStr">
        <is>
          <t>13-04-2026</t>
        </is>
      </c>
      <c r="H9931" t="inlineStr">
        <is>
          <t>13/04/2026</t>
        </is>
      </c>
      <c r="I9931" t="inlineStr">
        <is>
          <t>17/03/2026</t>
        </is>
      </c>
      <c r="J9931" t="inlineStr">
        <is>
          <t>Sản xuất / Vận hành sản xuất, Cơ khí / Ô tô / Tự động hóa, Điện / Điện tử / Điện lạnh / Điện công nghiệp</t>
        </is>
      </c>
      <c r="K9931" t="inlineStr">
        <is>
          <t>Trên 1 Năm</t>
        </is>
      </c>
      <c r="L9931" s="8">
        <f>HYPERLINK("https://careerviet.vn/vi/tim-viec-lam/cong-nhan-ky-thuat.35C68956.html","Xem chi tiết")</f>
        <v/>
      </c>
    </row>
    <row r="9932">
      <c r="B9932" s="9" t="n">
        <v>9930</v>
      </c>
      <c r="C9932" s="10" t="inlineStr">
        <is>
          <t>Educational Consultant</t>
        </is>
      </c>
      <c r="D9932" s="10" t="inlineStr">
        <is>
          <t>CÔNG TY CỔ PHẦN CÔNG NGHỆ PREP</t>
        </is>
      </c>
      <c r="E9932" s="10" t="inlineStr">
        <is>
          <t>Lương:18 Tr - 30 Tr VND</t>
        </is>
      </c>
      <c r="F9932" s="10" t="inlineStr">
        <is>
          <t>Hồ Chí Minh</t>
        </is>
      </c>
      <c r="G9932" s="10" t="inlineStr">
        <is>
          <t>13-04-2026</t>
        </is>
      </c>
      <c r="H9932" s="10" t="inlineStr">
        <is>
          <t>13/04/2026</t>
        </is>
      </c>
      <c r="I9932" s="10" t="inlineStr">
        <is>
          <t>17/03/2026</t>
        </is>
      </c>
      <c r="J9932" s="10" t="inlineStr">
        <is>
          <t>Tư vấn, Giáo dục / Đào tạo, Bán hàng / Kinh doanh</t>
        </is>
      </c>
      <c r="K9932" s="10" t="inlineStr">
        <is>
          <t>Lên đến 1 Năm</t>
        </is>
      </c>
      <c r="L9932" s="11">
        <f>HYPERLINK("https://careerviet.vn/vi/tim-viec-lam/educational-consultant.35C62885.html","Xem chi tiết")</f>
        <v/>
      </c>
      <c r="M9932" s="10" t="n"/>
    </row>
    <row r="9933">
      <c r="B9933" s="7" t="n">
        <v>9931</v>
      </c>
      <c r="C9933" t="inlineStr">
        <is>
          <t>Nhân viên Mua hàng - Thanh toán</t>
        </is>
      </c>
      <c r="D9933" t="inlineStr">
        <is>
          <t>Công Ty Cổ Phần Kiến Trúc Tư Vấn Quản Lý Đông Dương</t>
        </is>
      </c>
      <c r="E9933" t="inlineStr">
        <is>
          <t>Lương:Cạnh tranh</t>
        </is>
      </c>
      <c r="F9933" t="inlineStr">
        <is>
          <t>Hồ Chí Minh</t>
        </is>
      </c>
      <c r="G9933" t="inlineStr">
        <is>
          <t>13-04-2026</t>
        </is>
      </c>
      <c r="H9933" t="inlineStr">
        <is>
          <t>13/04/2026</t>
        </is>
      </c>
      <c r="I9933" t="inlineStr">
        <is>
          <t>17/03/2026</t>
        </is>
      </c>
      <c r="J9933" t="inlineStr">
        <is>
          <t>Xây dựng, Bất động sản, Thu mua / Vật tư</t>
        </is>
      </c>
      <c r="K9933" t="inlineStr">
        <is>
          <t>Trên 5 Năm</t>
        </is>
      </c>
      <c r="L9933" s="8">
        <f>HYPERLINK("https://careerviet.vn/vi/tim-viec-lam/nhan-vien-mua-hang-thanh-toan.35C6895A.html","Xem chi tiết")</f>
        <v/>
      </c>
    </row>
    <row r="9934">
      <c r="B9934" s="9" t="n">
        <v>9932</v>
      </c>
      <c r="C9934" s="10" t="inlineStr">
        <is>
          <t>Kỹ sư xây dựng</t>
        </is>
      </c>
      <c r="D9934" s="10" t="inlineStr">
        <is>
          <t>Công ty Cổ phần CANIFA</t>
        </is>
      </c>
      <c r="E9934" s="10" t="inlineStr">
        <is>
          <t>Lương:15 Tr - 25 Tr VND</t>
        </is>
      </c>
      <c r="F9934" s="10" t="inlineStr">
        <is>
          <t>Hà Nội</t>
        </is>
      </c>
      <c r="G9934" s="10" t="inlineStr">
        <is>
          <t>13-04-2026</t>
        </is>
      </c>
      <c r="H9934" s="10" t="inlineStr">
        <is>
          <t>13/04/2026</t>
        </is>
      </c>
      <c r="I9934" s="10" t="inlineStr">
        <is>
          <t>17/03/2026</t>
        </is>
      </c>
      <c r="J9934" s="10" t="inlineStr">
        <is>
          <t>Xây dựng, Bất động sản, Nội ngoại thất</t>
        </is>
      </c>
      <c r="K9934" s="10" t="inlineStr">
        <is>
          <t>3 - 5 Năm</t>
        </is>
      </c>
      <c r="L9934" s="11">
        <f>HYPERLINK("https://careerviet.vn/vi/tim-viec-lam/ky-su-xay-dung.35C68942.html","Xem chi tiết")</f>
        <v/>
      </c>
      <c r="M9934" s="10" t="n"/>
    </row>
    <row r="9935">
      <c r="B9935" s="7" t="n">
        <v>9933</v>
      </c>
      <c r="C9935" t="inlineStr">
        <is>
          <t>Chuyên Viên Cao Cấp Khách Hàng Ưu Tiên - Thanh Hóa - TA189</t>
        </is>
      </c>
      <c r="D9935" t="inlineStr">
        <is>
          <t>Ngân Hàng TMCP Việt Nam Thịnh Vượng - VPBANK</t>
        </is>
      </c>
      <c r="E9935" t="inlineStr">
        <is>
          <t>Lương:20 Tr - 50 Tr VND</t>
        </is>
      </c>
      <c r="F9935" t="inlineStr">
        <is>
          <t>Thanh Hóa</t>
        </is>
      </c>
      <c r="G9935" t="inlineStr">
        <is>
          <t>13-04-2026</t>
        </is>
      </c>
      <c r="H9935" t="inlineStr">
        <is>
          <t>13/04/2026</t>
        </is>
      </c>
      <c r="I9935" t="inlineStr">
        <is>
          <t>17/03/2026</t>
        </is>
      </c>
      <c r="J9935" t="inlineStr">
        <is>
          <t>Ngân hàng</t>
        </is>
      </c>
      <c r="K9935" t="inlineStr">
        <is>
          <t>Trên 2 Năm</t>
        </is>
      </c>
      <c r="L9935" s="8">
        <f>HYPERLINK("https://careerviet.vn/vi/tim-viec-lam/chuyen-vien-cao-cap-khach-hang-uu-tien-thanh-hoa-ta189.35C65611.html","Xem chi tiết")</f>
        <v/>
      </c>
    </row>
    <row r="9936">
      <c r="B9936" s="9" t="n">
        <v>9934</v>
      </c>
      <c r="C9936" s="10" t="inlineStr">
        <is>
          <t>Nhân viên QS</t>
        </is>
      </c>
      <c r="D9936" s="10" t="inlineStr">
        <is>
          <t>Công ty TNHH Kiến tạo và Kiệt tác ( Work &amp; Wondes)</t>
        </is>
      </c>
      <c r="E9936" s="10" t="inlineStr">
        <is>
          <t>Lương:12 Tr - 17 Tr VND</t>
        </is>
      </c>
      <c r="F9936" s="10" t="inlineStr">
        <is>
          <t>Hà Nội</t>
        </is>
      </c>
      <c r="G9936" s="10" t="inlineStr">
        <is>
          <t>13-04-2026</t>
        </is>
      </c>
      <c r="H9936" s="10" t="inlineStr">
        <is>
          <t>13/04/2026</t>
        </is>
      </c>
      <c r="I9936" s="10" t="inlineStr">
        <is>
          <t>17/03/2026</t>
        </is>
      </c>
      <c r="J9936" s="10" t="inlineStr">
        <is>
          <t>Xây dựng, Nội ngoại thất, Kiến trúc</t>
        </is>
      </c>
      <c r="K9936" s="10" t="inlineStr">
        <is>
          <t>Trên 2 Năm</t>
        </is>
      </c>
      <c r="L9936" s="11">
        <f>HYPERLINK("https://careerviet.vn/vi/tim-viec-lam/nhan-vien-qs.35C6892B.html","Xem chi tiết")</f>
        <v/>
      </c>
      <c r="M9936" s="10" t="n"/>
    </row>
    <row r="9937">
      <c r="B9937" s="7" t="n">
        <v>9935</v>
      </c>
      <c r="C9937" t="inlineStr">
        <is>
          <t>Chuyên Viên Tư Vấn Tuyển Sinh  - ILA Bà Rịa</t>
        </is>
      </c>
      <c r="D9937" t="inlineStr">
        <is>
          <t>ILA Việt Nam</t>
        </is>
      </c>
      <c r="E9937" t="inlineStr">
        <is>
          <t>Lương:8 Tr - 30 Tr VND</t>
        </is>
      </c>
      <c r="F9937" t="inlineStr">
        <is>
          <t>Bà Rịa - Vũng Tàu</t>
        </is>
      </c>
      <c r="G9937" t="inlineStr">
        <is>
          <t>13-04-2026</t>
        </is>
      </c>
      <c r="H9937" t="inlineStr">
        <is>
          <t>13/04/2026</t>
        </is>
      </c>
      <c r="I9937" t="inlineStr">
        <is>
          <t>17/03/2026</t>
        </is>
      </c>
      <c r="J9937" t="inlineStr">
        <is>
          <t>Bán hàng / Kinh doanh, Tư vấn, Biên phiên dịch</t>
        </is>
      </c>
      <c r="K9937" t="inlineStr">
        <is>
          <t>1 - 2 Năm</t>
        </is>
      </c>
      <c r="L9937" s="8">
        <f>HYPERLINK("https://careerviet.vn/vi/tim-viec-lam/chuyen-vien-tu-van-tuyen-sinh-ila-ba-ria.35C68936.html","Xem chi tiết")</f>
        <v/>
      </c>
    </row>
    <row r="9938">
      <c r="B9938" s="9" t="n">
        <v>9936</v>
      </c>
      <c r="C9938" s="10" t="inlineStr">
        <is>
          <t>Chuyên Viên Kinh Doanh Dự Án Nội Thất</t>
        </is>
      </c>
      <c r="D9938" s="10" t="inlineStr">
        <is>
          <t>Công ty TNHH Kiến tạo và Kiệt tác ( Work &amp; Wondes)</t>
        </is>
      </c>
      <c r="E9938" s="10" t="inlineStr">
        <is>
          <t>Lương:12 Tr - 16 Tr VND</t>
        </is>
      </c>
      <c r="F9938" s="10" t="inlineStr">
        <is>
          <t>Hà Nội</t>
        </is>
      </c>
      <c r="G9938" s="10" t="inlineStr">
        <is>
          <t>13-04-2026</t>
        </is>
      </c>
      <c r="H9938" s="10" t="inlineStr">
        <is>
          <t>13/04/2026</t>
        </is>
      </c>
      <c r="I9938" s="10" t="inlineStr">
        <is>
          <t>17/03/2026</t>
        </is>
      </c>
      <c r="J9938" s="10" t="inlineStr">
        <is>
          <t>Bán hàng / Kinh doanh, Bán lẻ / Bán sỉ, Nội ngoại thất</t>
        </is>
      </c>
      <c r="K9938" s="10" t="inlineStr">
        <is>
          <t>N/A</t>
        </is>
      </c>
      <c r="L9938" s="11">
        <f>HYPERLINK("https://careerviet.vn/vi/tim-viec-lam/chuyen-vien-kinh-doanh-du-an-noi-that.35C68920.html","Xem chi tiết")</f>
        <v/>
      </c>
      <c r="M9938" s="10" t="n"/>
    </row>
    <row r="9939">
      <c r="B9939" s="7" t="n">
        <v>9937</v>
      </c>
      <c r="C9939" t="inlineStr">
        <is>
          <t>Nhân Viên Xuất Nhập Khẩu - Hợp Đồng 8 Tháng</t>
        </is>
      </c>
      <c r="D9939" t="inlineStr">
        <is>
          <t>Dunlopillo (Vietnam) Ltd</t>
        </is>
      </c>
      <c r="E9939" t="inlineStr">
        <is>
          <t>Lương:Cạnh tranh</t>
        </is>
      </c>
      <c r="F9939" t="inlineStr">
        <is>
          <t>Bình Dương</t>
        </is>
      </c>
      <c r="G9939" t="inlineStr">
        <is>
          <t>13-04-2026</t>
        </is>
      </c>
      <c r="H9939" t="inlineStr">
        <is>
          <t>13/04/2026</t>
        </is>
      </c>
      <c r="I9939" t="inlineStr">
        <is>
          <t>17/03/2026</t>
        </is>
      </c>
      <c r="J9939" t="inlineStr">
        <is>
          <t>Vận chuyển / Giao nhận / Kho vận, Xuất nhập khẩu, Hành chính / Thư ký</t>
        </is>
      </c>
      <c r="K9939" t="inlineStr">
        <is>
          <t>N/A</t>
        </is>
      </c>
      <c r="L9939" s="8">
        <f>HYPERLINK("https://careerviet.vn/vi/tim-viec-lam/nhan-vien-xuat-nhap-khau-hop-dong-8-thang.35C6569B.html","Xem chi tiết")</f>
        <v/>
      </c>
    </row>
    <row r="9940">
      <c r="B9940" s="9" t="n">
        <v>9938</v>
      </c>
      <c r="C9940" s="10" t="inlineStr">
        <is>
          <t>Nhân viên Vận hành Máy (công ty bao bì nhựa)</t>
        </is>
      </c>
      <c r="D9940" s="10" t="inlineStr">
        <is>
          <t>Huhtamaki (Vietnam) Ltd.</t>
        </is>
      </c>
      <c r="E9940" s="10" t="inlineStr">
        <is>
          <t>Lương:7 Tr - 15 Tr VND</t>
        </is>
      </c>
      <c r="F9940" s="10" t="inlineStr">
        <is>
          <t>Bình Dương</t>
        </is>
      </c>
      <c r="G9940" s="10" t="inlineStr">
        <is>
          <t>13-04-2026</t>
        </is>
      </c>
      <c r="H9940" s="10" t="inlineStr">
        <is>
          <t>13/04/2026</t>
        </is>
      </c>
      <c r="I9940" s="10" t="inlineStr">
        <is>
          <t>17/03/2026</t>
        </is>
      </c>
      <c r="J9940" s="10" t="inlineStr">
        <is>
          <t>Lao động phổ thông, Sản xuất / Vận hành sản xuất, Cơ khí / Ô tô / Tự động hóa</t>
        </is>
      </c>
      <c r="K9940" s="10" t="inlineStr">
        <is>
          <t>N/A</t>
        </is>
      </c>
      <c r="L9940" s="11">
        <f>HYPERLINK("https://careerviet.vn/vi/tim-viec-lam/nhan-vien-van-hanh-may-cong-ty-bao-bi-nhua.35C687FE.html","Xem chi tiết")</f>
        <v/>
      </c>
      <c r="M9940" s="10" t="n"/>
    </row>
    <row r="9941">
      <c r="B9941" s="7" t="n">
        <v>9939</v>
      </c>
      <c r="C9941" t="inlineStr">
        <is>
          <t>Giám sát công trình</t>
        </is>
      </c>
      <c r="D9941" t="inlineStr">
        <is>
          <t>CÔNG TY CP SOLARTEK</t>
        </is>
      </c>
      <c r="E9941" t="inlineStr">
        <is>
          <t>Lương:Cạnh tranh</t>
        </is>
      </c>
      <c r="F9941" t="inlineStr">
        <is>
          <t>Hồ Chí Minh</t>
        </is>
      </c>
      <c r="G9941" t="inlineStr">
        <is>
          <t>13-04-2026</t>
        </is>
      </c>
      <c r="H9941" t="inlineStr">
        <is>
          <t>13/04/2026</t>
        </is>
      </c>
      <c r="I9941" t="inlineStr">
        <is>
          <t>17/03/2026</t>
        </is>
      </c>
      <c r="J9941" t="inlineStr">
        <is>
          <t>Điện / Điện tử / Điện lạnh / Điện công nghiệp, Quản lý chất lượng (QA/QC), Xây dựng</t>
        </is>
      </c>
      <c r="K9941" t="inlineStr">
        <is>
          <t>1 - 3 Năm</t>
        </is>
      </c>
      <c r="L9941" s="8">
        <f>HYPERLINK("https://careerviet.vn/vi/tim-viec-lam/giam-sat-cong-trinh.35C655A6.html","Xem chi tiết")</f>
        <v/>
      </c>
    </row>
    <row r="9942">
      <c r="B9942" s="9" t="n">
        <v>9940</v>
      </c>
      <c r="C9942" s="10" t="inlineStr">
        <is>
          <t>Nhân viên Kế Hoạch ( Lĩnh vực xây dựng Công trình giao thông )</t>
        </is>
      </c>
      <c r="D9942" s="10" t="inlineStr">
        <is>
          <t>Công Ty Cổ Phần Tập Đoàn Đèo Cả</t>
        </is>
      </c>
      <c r="E9942" s="10" t="inlineStr">
        <is>
          <t>Lương:12 Tr - 20 Tr VND</t>
        </is>
      </c>
      <c r="F9942" s="10" t="inlineStr">
        <is>
          <t>Hồ Chí Minh</t>
        </is>
      </c>
      <c r="G9942" s="10" t="inlineStr">
        <is>
          <t>13-04-2026</t>
        </is>
      </c>
      <c r="H9942" s="10" t="inlineStr">
        <is>
          <t>13/04/2026</t>
        </is>
      </c>
      <c r="I9942" s="10" t="inlineStr">
        <is>
          <t>17/03/2026</t>
        </is>
      </c>
      <c r="J9942" s="10" t="inlineStr">
        <is>
          <t>Kiến trúc, Xây dựng, Ngành khác</t>
        </is>
      </c>
      <c r="K9942" s="10" t="inlineStr">
        <is>
          <t>3 - 5 Năm</t>
        </is>
      </c>
      <c r="L9942" s="11">
        <f>HYPERLINK("https://careerviet.vn/vi/tim-viec-lam/nhan-vien-ke-hoach-linh-vuc-xay-dung-cong-trinh-giao-thong.35C68421.html","Xem chi tiết")</f>
        <v/>
      </c>
      <c r="M9942" s="10" t="n"/>
    </row>
    <row r="9943">
      <c r="B9943" s="7" t="n">
        <v>9941</v>
      </c>
      <c r="C9943" t="inlineStr">
        <is>
          <t>Quản Lý Dự Án</t>
        </is>
      </c>
      <c r="D9943" t="inlineStr">
        <is>
          <t>Công ty TNHH Kiến tạo và Kiệt tác ( Work &amp; Wondes)</t>
        </is>
      </c>
      <c r="E9943" t="inlineStr">
        <is>
          <t>Lương:20 Tr - 25 Tr VND</t>
        </is>
      </c>
      <c r="F9943" t="inlineStr">
        <is>
          <t>Hà Nội</t>
        </is>
      </c>
      <c r="G9943" t="inlineStr">
        <is>
          <t>13-04-2026</t>
        </is>
      </c>
      <c r="H9943" t="inlineStr">
        <is>
          <t>13/04/2026</t>
        </is>
      </c>
      <c r="I9943" t="inlineStr">
        <is>
          <t>17/03/2026</t>
        </is>
      </c>
      <c r="J9943" t="inlineStr">
        <is>
          <t>Xây dựng, Mỹ thuật / Nghệ thuật / Thiết kế, Kiến trúc</t>
        </is>
      </c>
      <c r="K9943" t="inlineStr">
        <is>
          <t>Trên 5 Năm</t>
        </is>
      </c>
      <c r="L9943" s="8">
        <f>HYPERLINK("https://careerviet.vn/vi/tim-viec-lam/quan-ly-du-an.35C68925.html","Xem chi tiết")</f>
        <v/>
      </c>
    </row>
    <row r="9944">
      <c r="B9944" s="9" t="n">
        <v>9942</v>
      </c>
      <c r="C9944" s="10" t="inlineStr">
        <is>
          <t>Sales Online (Khách Hàng Mua Buôn)</t>
        </is>
      </c>
      <c r="D9944" s="10" t="inlineStr">
        <is>
          <t>CÔNG TY TNHH THƯƠNG MẠI VÀ HỮU NGHỊ LÊ GIA</t>
        </is>
      </c>
      <c r="E9944" s="10" t="inlineStr">
        <is>
          <t>Lương:Trên 10 Tr VND</t>
        </is>
      </c>
      <c r="F9944" s="10" t="inlineStr">
        <is>
          <t>Hà Nội</t>
        </is>
      </c>
      <c r="G9944" s="10" t="inlineStr">
        <is>
          <t>13-04-2026</t>
        </is>
      </c>
      <c r="H9944" s="10" t="inlineStr">
        <is>
          <t>13/04/2026</t>
        </is>
      </c>
      <c r="I9944" s="10" t="inlineStr">
        <is>
          <t>17/03/2026</t>
        </is>
      </c>
      <c r="J9944" s="10" t="inlineStr">
        <is>
          <t>Điện / Điện tử / Điện lạnh / Điện công nghiệp, Bán hàng / Kinh doanh, Tiếp thị trực tuyến</t>
        </is>
      </c>
      <c r="K9944" s="10" t="inlineStr">
        <is>
          <t>Trên 2 Năm</t>
        </is>
      </c>
      <c r="L9944" s="11">
        <f>HYPERLINK("https://careerviet.vn/vi/tim-viec-lam/sales-online-khach-hang-mua-buon.35C6892A.html","Xem chi tiết")</f>
        <v/>
      </c>
      <c r="M9944" s="10" t="n"/>
    </row>
    <row r="9945">
      <c r="B9945" s="7" t="n">
        <v>9943</v>
      </c>
      <c r="C9945" t="inlineStr">
        <is>
          <t>CHUYÊN VIÊN KINH DOANH NỘI THẤT</t>
        </is>
      </c>
      <c r="D9945" t="inlineStr">
        <is>
          <t>CÔNG TY TNHH NIPPON INTERIA</t>
        </is>
      </c>
      <c r="E9945" t="inlineStr">
        <is>
          <t>Lương:12 Tr - 40 Tr VND</t>
        </is>
      </c>
      <c r="F9945" t="inlineStr">
        <is>
          <t>Hà NộiHồ Chí Minh</t>
        </is>
      </c>
      <c r="G9945" t="inlineStr">
        <is>
          <t>13-04-2026</t>
        </is>
      </c>
      <c r="H9945" t="inlineStr">
        <is>
          <t>13/04/2026</t>
        </is>
      </c>
      <c r="I9945" t="inlineStr">
        <is>
          <t>17/03/2026</t>
        </is>
      </c>
      <c r="J9945" t="inlineStr">
        <is>
          <t>Bán hàng / Kinh doanh, Nội ngoại thất, Bán Hàng Kỹ Thuật</t>
        </is>
      </c>
      <c r="K9945" t="inlineStr">
        <is>
          <t>Trên 1 Năm</t>
        </is>
      </c>
      <c r="L9945" s="8">
        <f>HYPERLINK("https://careerviet.vn/vi/tim-viec-lam/chuyen-vien-kinh-doanh-noi-that.35C686EB.html","Xem chi tiết")</f>
        <v/>
      </c>
    </row>
    <row r="9946">
      <c r="B9946" s="9" t="n">
        <v>9944</v>
      </c>
      <c r="C9946" s="10" t="inlineStr">
        <is>
          <t>Kỹ Sư Cơ Điện</t>
        </is>
      </c>
      <c r="D9946" s="10" t="inlineStr">
        <is>
          <t>Công ty TNHH LONG UYÊN</t>
        </is>
      </c>
      <c r="E9946" s="10" t="inlineStr">
        <is>
          <t>Lương:Cạnh tranh</t>
        </is>
      </c>
      <c r="F9946" s="10" t="inlineStr">
        <is>
          <t>Đồng Tháp</t>
        </is>
      </c>
      <c r="G9946" s="10" t="inlineStr">
        <is>
          <t>13-04-2026</t>
        </is>
      </c>
      <c r="H9946" s="10" t="inlineStr">
        <is>
          <t>13/04/2026</t>
        </is>
      </c>
      <c r="I9946" s="10" t="inlineStr">
        <is>
          <t>17/03/2026</t>
        </is>
      </c>
      <c r="J9946" s="10" t="inlineStr">
        <is>
          <t>Sản xuất / Vận hành sản xuất, Cơ khí / Ô tô / Tự động hóa, Điện / Điện tử / Điện lạnh / Điện công nghiệp</t>
        </is>
      </c>
      <c r="K9946" s="10" t="inlineStr">
        <is>
          <t>Trên 1 Năm</t>
        </is>
      </c>
      <c r="L9946" s="11">
        <f>HYPERLINK("https://careerviet.vn/vi/tim-viec-lam/ky-su-co-dien.35C6895D.html","Xem chi tiết")</f>
        <v/>
      </c>
      <c r="M9946" s="10" t="n"/>
    </row>
    <row r="9947">
      <c r="B9947" s="7" t="n">
        <v>9945</v>
      </c>
      <c r="C9947" t="inlineStr">
        <is>
          <t>Lễ Tân Tòa Nhà (Long An)</t>
        </is>
      </c>
      <c r="D9947" t="inlineStr">
        <is>
          <t>Savills Vietnam</t>
        </is>
      </c>
      <c r="E9947" t="inlineStr">
        <is>
          <t>Lương:Cạnh tranh</t>
        </is>
      </c>
      <c r="F9947" t="inlineStr">
        <is>
          <t>Long An</t>
        </is>
      </c>
      <c r="G9947" t="inlineStr">
        <is>
          <t>13-04-2026</t>
        </is>
      </c>
      <c r="H9947" t="inlineStr">
        <is>
          <t>13/04/2026</t>
        </is>
      </c>
      <c r="I9947" t="inlineStr">
        <is>
          <t>17/03/2026</t>
        </is>
      </c>
      <c r="J9947" t="inlineStr">
        <is>
          <t>Dịch vụ khách hàng, Nhà hàng / Khách sạn, Mới tốt nghiệp / Thực tập</t>
        </is>
      </c>
      <c r="K9947" t="inlineStr">
        <is>
          <t>N/A</t>
        </is>
      </c>
      <c r="L9947" s="8">
        <f>HYPERLINK("https://careerviet.vn/vi/tim-viec-lam/le-tan-toa-nha-long-an.35C65436.html","Xem chi tiết")</f>
        <v/>
      </c>
    </row>
    <row r="9948">
      <c r="B9948" s="9" t="n">
        <v>9946</v>
      </c>
      <c r="C9948" s="10" t="inlineStr">
        <is>
          <t>Chuyên viên Giao dịch Hàng hóa (Trader)</t>
        </is>
      </c>
      <c r="D9948" s="10" t="inlineStr">
        <is>
          <t>CÔNG TY CỔ PHẦN TẬP ĐOÀN THÀNH NAM</t>
        </is>
      </c>
      <c r="E9948" s="10" t="inlineStr">
        <is>
          <t>Lương:15 Tr - 25 Tr VND</t>
        </is>
      </c>
      <c r="F9948" s="10" t="inlineStr">
        <is>
          <t>Hà Nội</t>
        </is>
      </c>
      <c r="G9948" s="10" t="inlineStr">
        <is>
          <t>13-04-2026</t>
        </is>
      </c>
      <c r="H9948" s="10" t="inlineStr">
        <is>
          <t>13/04/2026</t>
        </is>
      </c>
      <c r="I9948" s="10" t="inlineStr">
        <is>
          <t>17/03/2026</t>
        </is>
      </c>
      <c r="J9948" s="10" t="inlineStr">
        <is>
          <t>Tài chính / Đầu tư, Nông nghiệp, Xuất nhập khẩu</t>
        </is>
      </c>
      <c r="K9948" s="10" t="inlineStr">
        <is>
          <t>2 - 3 Năm</t>
        </is>
      </c>
      <c r="L9948" s="11">
        <f>HYPERLINK("https://careerviet.vn/vi/tim-viec-lam/chuyen-vien-giao-dich-hang-hoa-trader.35C655D3.html","Xem chi tiết")</f>
        <v/>
      </c>
      <c r="M9948" s="10" t="n"/>
    </row>
    <row r="9949">
      <c r="B9949" s="7" t="n">
        <v>9947</v>
      </c>
      <c r="C9949" t="inlineStr">
        <is>
          <t>Specialist, Real Estate Agency Management - Sale &amp; Marketing Department</t>
        </is>
      </c>
      <c r="D9949" t="inlineStr">
        <is>
          <t>Công ty TNHH Phát triển Phú Mỹ Hưng</t>
        </is>
      </c>
      <c r="E9949" t="inlineStr">
        <is>
          <t>Lương:15 Tr - 30 Tr VND</t>
        </is>
      </c>
      <c r="F9949" t="inlineStr">
        <is>
          <t>Hồ Chí Minh</t>
        </is>
      </c>
      <c r="G9949" t="inlineStr">
        <is>
          <t>13-04-2026</t>
        </is>
      </c>
      <c r="H9949" t="inlineStr">
        <is>
          <t>13/04/2026</t>
        </is>
      </c>
      <c r="I9949" t="inlineStr">
        <is>
          <t>17/03/2026</t>
        </is>
      </c>
      <c r="J9949" t="inlineStr">
        <is>
          <t>Bất động sản</t>
        </is>
      </c>
      <c r="K9949" t="inlineStr">
        <is>
          <t>5 - 15 Năm</t>
        </is>
      </c>
      <c r="L9949" s="8">
        <f>HYPERLINK("https://careerviet.vn/vi/tim-viec-lam/specialist-real-estate-agency-management-sale-marketing-department.35C657A0.html","Xem chi tiết")</f>
        <v/>
      </c>
    </row>
    <row r="9950">
      <c r="B9950" s="9" t="n">
        <v>9948</v>
      </c>
      <c r="C9950" s="10" t="inlineStr">
        <is>
          <t>Cash Management Product Development Professional</t>
        </is>
      </c>
      <c r="D9950" s="10" t="inlineStr">
        <is>
          <t>Ngân Hàng TMCP Quốc Tế Việt Nam</t>
        </is>
      </c>
      <c r="E9950" s="10" t="inlineStr">
        <is>
          <t>Lương:Cạnh tranh</t>
        </is>
      </c>
      <c r="F9950" s="10" t="inlineStr">
        <is>
          <t>Hà NộiHồ Chí Minh</t>
        </is>
      </c>
      <c r="G9950" s="10" t="inlineStr">
        <is>
          <t>13-04-2026</t>
        </is>
      </c>
      <c r="H9950" s="10" t="inlineStr">
        <is>
          <t>13/04/2026</t>
        </is>
      </c>
      <c r="I9950" s="10" t="inlineStr">
        <is>
          <t>17/03/2026</t>
        </is>
      </c>
      <c r="J9950" s="10" t="inlineStr">
        <is>
          <t>Ngân hàng</t>
        </is>
      </c>
      <c r="K9950" s="10" t="inlineStr">
        <is>
          <t>2 - 7 Năm</t>
        </is>
      </c>
      <c r="L9950" s="11">
        <f>HYPERLINK("https://careerviet.vn/vi/tim-viec-lam/cash-management-product-development-professional.35C68905.html","Xem chi tiết")</f>
        <v/>
      </c>
      <c r="M9950" s="10" t="n"/>
    </row>
    <row r="9951">
      <c r="B9951" s="7" t="n">
        <v>9949</v>
      </c>
      <c r="C9951" t="inlineStr">
        <is>
          <t>Giám đốc/ Chuyên viên Tư vấn tài chính cá nhân</t>
        </is>
      </c>
      <c r="D9951" t="inlineStr">
        <is>
          <t>Ngân Hàng TMCP Quốc Tế Việt Nam</t>
        </is>
      </c>
      <c r="E9951" t="inlineStr">
        <is>
          <t>Lương:Cạnh tranh</t>
        </is>
      </c>
      <c r="F9951" t="inlineStr">
        <is>
          <t>Hà Nội</t>
        </is>
      </c>
      <c r="G9951" t="inlineStr">
        <is>
          <t>13-04-2026</t>
        </is>
      </c>
      <c r="H9951" t="inlineStr">
        <is>
          <t>13/04/2026</t>
        </is>
      </c>
      <c r="I9951" t="inlineStr">
        <is>
          <t>17/03/2026</t>
        </is>
      </c>
      <c r="J9951" t="inlineStr">
        <is>
          <t>Bán hàng / Kinh doanh, Ngân hàng</t>
        </is>
      </c>
      <c r="K9951" t="inlineStr">
        <is>
          <t>1 - 3 Năm</t>
        </is>
      </c>
      <c r="L9951" s="8">
        <f>HYPERLINK("https://careerviet.vn/vi/tim-viec-lam/giam-doc-chuyen-vien-tu-van-tai-chinh-ca-nhan.35C68823.html","Xem chi tiết")</f>
        <v/>
      </c>
    </row>
    <row r="9952">
      <c r="B9952" s="9" t="n">
        <v>9950</v>
      </c>
      <c r="C9952" s="10" t="inlineStr">
        <is>
          <t>Kỹ sư IE (Industrial Engineer)</t>
        </is>
      </c>
      <c r="D9952" s="10" t="inlineStr">
        <is>
          <t>CÔNG TY TNHH WGR INDUSTRIES</t>
        </is>
      </c>
      <c r="E9952" s="10" t="inlineStr">
        <is>
          <t>Lương:Cạnh tranh</t>
        </is>
      </c>
      <c r="F9952" s="10" t="inlineStr">
        <is>
          <t>Bình Định</t>
        </is>
      </c>
      <c r="G9952" s="10" t="inlineStr">
        <is>
          <t>13-04-2026</t>
        </is>
      </c>
      <c r="H9952" s="10" t="inlineStr">
        <is>
          <t>13/04/2026</t>
        </is>
      </c>
      <c r="I9952" s="10" t="inlineStr">
        <is>
          <t>17/03/2026</t>
        </is>
      </c>
      <c r="J9952" s="10" t="inlineStr">
        <is>
          <t>Điện / Điện tử / Điện lạnh / Điện công nghiệp, Sản xuất / Vận hành sản xuất, Dệt may / Da giày / Thời trang</t>
        </is>
      </c>
      <c r="K9952" s="10" t="inlineStr">
        <is>
          <t>3 - 5 Năm</t>
        </is>
      </c>
      <c r="L9952" s="11">
        <f>HYPERLINK("https://careerviet.vn/vi/tim-viec-lam/ky-su-ie-industrial-engineer.35C65669.html","Xem chi tiết")</f>
        <v/>
      </c>
      <c r="M9952" s="10" t="n"/>
    </row>
    <row r="9953">
      <c r="B9953" s="7" t="n">
        <v>9951</v>
      </c>
      <c r="C9953" t="inlineStr">
        <is>
          <t>VPBank - Chuyên Viên Cao Cấp Quan Hệ Khách Hàng Ưu Tiên - Quảng Trị</t>
        </is>
      </c>
      <c r="D9953" t="inlineStr">
        <is>
          <t>Ngân Hàng TMCP Việt Nam Thịnh Vượng - VPBANK</t>
        </is>
      </c>
      <c r="E9953" t="inlineStr">
        <is>
          <t>Lương:15 Tr - 22 Tr VND</t>
        </is>
      </c>
      <c r="F9953" t="inlineStr">
        <is>
          <t>Quảng Trị</t>
        </is>
      </c>
      <c r="G9953" t="inlineStr">
        <is>
          <t>13-04-2026</t>
        </is>
      </c>
      <c r="H9953" t="inlineStr">
        <is>
          <t>13/04/2026</t>
        </is>
      </c>
      <c r="I9953" t="inlineStr">
        <is>
          <t>17/03/2026</t>
        </is>
      </c>
      <c r="J9953" t="inlineStr">
        <is>
          <t>Bán hàng / Kinh doanh, Ngân hàng, Bảo hiểm</t>
        </is>
      </c>
      <c r="K9953" t="inlineStr">
        <is>
          <t>1 - 3 Năm</t>
        </is>
      </c>
      <c r="L9953" s="8">
        <f>HYPERLINK("https://careerviet.vn/vi/tim-viec-lam/vpbank-chuyen-vien-cao-cap-quan-he-khach-hang-uu-tien-quang-tri.35C657DA.html","Xem chi tiết")</f>
        <v/>
      </c>
    </row>
    <row r="9954">
      <c r="B9954" s="9" t="n">
        <v>9952</v>
      </c>
      <c r="C9954" s="10" t="inlineStr">
        <is>
          <t>Senior DevOps &amp; Kubernetes Engineer</t>
        </is>
      </c>
      <c r="D9954" s="10" t="inlineStr">
        <is>
          <t>Tập Đoàn CT Group Việt Nam</t>
        </is>
      </c>
      <c r="E9954" s="10" t="inlineStr">
        <is>
          <t>Lương:Cạnh tranh</t>
        </is>
      </c>
      <c r="F9954" s="10" t="inlineStr">
        <is>
          <t>Hồ Chí Minh</t>
        </is>
      </c>
      <c r="G9954" s="10" t="inlineStr">
        <is>
          <t>13-04-2026</t>
        </is>
      </c>
      <c r="H9954" s="10" t="inlineStr">
        <is>
          <t>13/04/2026</t>
        </is>
      </c>
      <c r="I9954" s="10" t="inlineStr">
        <is>
          <t>17/03/2026</t>
        </is>
      </c>
      <c r="J9954" s="10" t="inlineStr">
        <is>
          <t>Thương mại điện tử, CNTT - Phần mềm</t>
        </is>
      </c>
      <c r="K9954" s="10" t="inlineStr">
        <is>
          <t>6 - 10 Năm</t>
        </is>
      </c>
      <c r="L9954" s="11">
        <f>HYPERLINK("https://careerviet.vn/vi/tim-viec-lam/senior-devops-kubernetes-engineer.35C65695.html","Xem chi tiết")</f>
        <v/>
      </c>
      <c r="M9954" s="10" t="n"/>
    </row>
    <row r="9955">
      <c r="B9955" s="7" t="n">
        <v>9953</v>
      </c>
      <c r="C9955" t="inlineStr">
        <is>
          <t>[Bắc Ninh] Nhân viên dịch vụ khách hàng_ Vận tải</t>
        </is>
      </c>
      <c r="D9955" t="inlineStr">
        <is>
          <t>CÔNG TY CỔ PHẦN  ITL LOGISTICS</t>
        </is>
      </c>
      <c r="E9955" t="inlineStr">
        <is>
          <t>Lương:Cạnh tranh</t>
        </is>
      </c>
      <c r="F9955" t="inlineStr">
        <is>
          <t>Bắc Ninh</t>
        </is>
      </c>
      <c r="G9955" t="inlineStr">
        <is>
          <t>13-04-2026</t>
        </is>
      </c>
      <c r="H9955" t="inlineStr">
        <is>
          <t>13/04/2026</t>
        </is>
      </c>
      <c r="I9955" t="inlineStr">
        <is>
          <t>17/03/2026</t>
        </is>
      </c>
      <c r="J9955" t="inlineStr">
        <is>
          <t>Vận chuyển / Giao nhận / Kho vận</t>
        </is>
      </c>
      <c r="K9955" t="inlineStr">
        <is>
          <t>Trên 1 Năm</t>
        </is>
      </c>
      <c r="L9955" s="8">
        <f>HYPERLINK("https://careerviet.vn/vi/tim-viec-lam/bac-ninh-nhan-vien-dich-vu-khach-hang_-van-tai.35C687D1.html","Xem chi tiết")</f>
        <v/>
      </c>
    </row>
    <row r="9956">
      <c r="B9956" s="9" t="n">
        <v>9954</v>
      </c>
      <c r="C9956" s="10" t="inlineStr">
        <is>
          <t>Cam Ranh/ Phú Quốc - Nhân viên kỹ thuật ( IT Support) - Không yêu cầu kinh nghiệm</t>
        </is>
      </c>
      <c r="D9956" s="10" t="inlineStr">
        <is>
          <t>NETNAM CORP.</t>
        </is>
      </c>
      <c r="E9956" s="10" t="inlineStr">
        <is>
          <t>Lương:8 Tr - 12 Tr VND</t>
        </is>
      </c>
      <c r="F9956" s="10" t="inlineStr">
        <is>
          <t>Kiên Giang</t>
        </is>
      </c>
      <c r="G9956" s="10" t="inlineStr">
        <is>
          <t>13-04-2026</t>
        </is>
      </c>
      <c r="H9956" s="10" t="inlineStr">
        <is>
          <t>13/04/2026</t>
        </is>
      </c>
      <c r="I9956" s="10" t="inlineStr">
        <is>
          <t>17/03/2026</t>
        </is>
      </c>
      <c r="J9956" s="10" t="inlineStr">
        <is>
          <t>Bưu chính viễn thông, CNTT - Phần cứng / Mạng</t>
        </is>
      </c>
      <c r="K9956" s="10" t="inlineStr">
        <is>
          <t>N/A</t>
        </is>
      </c>
      <c r="L9956" s="11">
        <f>HYPERLINK("https://careerviet.vn/vi/tim-viec-lam/cam-ranh-phu-quoc-nhan-vien-ky-thuat-it-support-khong-yeu-cau-kinh-nghiem.35C656B7.html","Xem chi tiết")</f>
        <v/>
      </c>
      <c r="M9956" s="10" t="n"/>
    </row>
    <row r="9957">
      <c r="B9957" s="7" t="n">
        <v>9955</v>
      </c>
      <c r="C9957" t="inlineStr">
        <is>
          <t>Nhân viên tuyển dụng</t>
        </is>
      </c>
      <c r="D9957" t="inlineStr">
        <is>
          <t>CÔNG TY TNHH B &amp; D LINGERIE VIỆT NAM</t>
        </is>
      </c>
      <c r="E9957" t="inlineStr">
        <is>
          <t>Lương:Cạnh tranh</t>
        </is>
      </c>
      <c r="F9957" t="inlineStr">
        <is>
          <t>Bình Định</t>
        </is>
      </c>
      <c r="G9957" t="inlineStr">
        <is>
          <t>13-04-2026</t>
        </is>
      </c>
      <c r="H9957" t="inlineStr">
        <is>
          <t>13/04/2026</t>
        </is>
      </c>
      <c r="I9957" t="inlineStr">
        <is>
          <t>17/03/2026</t>
        </is>
      </c>
      <c r="J9957" t="inlineStr">
        <is>
          <t>Hành chính / Thư ký, Nhân sự</t>
        </is>
      </c>
      <c r="K9957" t="inlineStr">
        <is>
          <t>1 - 5 Năm</t>
        </is>
      </c>
      <c r="L9957" s="8">
        <f>HYPERLINK("https://careerviet.vn/vi/tim-viec-lam/nhan-vien-tuyen-dung.35C688EC.html","Xem chi tiết")</f>
        <v/>
      </c>
    </row>
    <row r="9958">
      <c r="B9958" s="9" t="n">
        <v>9956</v>
      </c>
      <c r="C9958" s="10" t="inlineStr">
        <is>
          <t>Middle Quality Control</t>
        </is>
      </c>
      <c r="D9958" s="10" t="inlineStr">
        <is>
          <t>CÔNG TY TNHH GALAXY DIGITAL HOLDINGS</t>
        </is>
      </c>
      <c r="E9958" s="10" t="inlineStr">
        <is>
          <t>Lương:Cạnh tranh</t>
        </is>
      </c>
      <c r="F9958" s="10" t="inlineStr">
        <is>
          <t>Hồ Chí Minh</t>
        </is>
      </c>
      <c r="G9958" s="10" t="inlineStr">
        <is>
          <t>13-04-2026</t>
        </is>
      </c>
      <c r="H9958" s="10" t="inlineStr">
        <is>
          <t>13/04/2026</t>
        </is>
      </c>
      <c r="I9958" s="10" t="inlineStr">
        <is>
          <t>17/03/2026</t>
        </is>
      </c>
      <c r="J9958" s="10" t="inlineStr">
        <is>
          <t>CNTT - Phần mềm</t>
        </is>
      </c>
      <c r="K9958" s="10" t="inlineStr">
        <is>
          <t>2 - 4 Năm</t>
        </is>
      </c>
      <c r="L9958" s="11">
        <f>HYPERLINK("https://careerviet.vn/vi/tim-viec-lam/middle-quality-control.35C6569C.html","Xem chi tiết")</f>
        <v/>
      </c>
      <c r="M9958" s="10" t="n"/>
    </row>
    <row r="9959">
      <c r="B9959" s="7" t="n">
        <v>9957</v>
      </c>
      <c r="C9959" t="inlineStr">
        <is>
          <t>Digital Performance Marketing Specialist</t>
        </is>
      </c>
      <c r="D9959" t="inlineStr">
        <is>
          <t>Công ty Cổ phần Thời Trang YODY</t>
        </is>
      </c>
      <c r="E9959" t="inlineStr">
        <is>
          <t>Lương:Cạnh tranh</t>
        </is>
      </c>
      <c r="F9959" t="inlineStr">
        <is>
          <t>Hà Nội</t>
        </is>
      </c>
      <c r="G9959" t="inlineStr">
        <is>
          <t>13-04-2026</t>
        </is>
      </c>
      <c r="H9959" t="inlineStr">
        <is>
          <t>13/04/2026</t>
        </is>
      </c>
      <c r="I9959" t="inlineStr">
        <is>
          <t>17/03/2026</t>
        </is>
      </c>
      <c r="J9959" t="inlineStr">
        <is>
          <t>Tiếp thị trực tuyến, Tiếp thị / Marketing</t>
        </is>
      </c>
      <c r="K9959" t="inlineStr">
        <is>
          <t>1 - 2 Năm</t>
        </is>
      </c>
      <c r="L9959" s="8">
        <f>HYPERLINK("https://careerviet.vn/vi/tim-viec-lam/digital-performance-marketing-specialist.35C688F1.html","Xem chi tiết")</f>
        <v/>
      </c>
    </row>
    <row r="9960">
      <c r="B9960" s="9" t="n">
        <v>9958</v>
      </c>
      <c r="C9960" s="10" t="inlineStr">
        <is>
          <t>Senior Sales Executive (Mảng Lọc Khí)</t>
        </is>
      </c>
      <c r="D9960" s="10" t="inlineStr">
        <is>
          <t>Công Ty Cổ Phần Hóa Chất Kỹ Thuật Kim Phong</t>
        </is>
      </c>
      <c r="E9960" s="10" t="inlineStr">
        <is>
          <t>Lương:Cạnh tranh</t>
        </is>
      </c>
      <c r="F9960" s="10" t="inlineStr">
        <is>
          <t>Hà Nội</t>
        </is>
      </c>
      <c r="G9960" s="10" t="inlineStr">
        <is>
          <t>13-04-2026</t>
        </is>
      </c>
      <c r="H9960" s="10" t="inlineStr">
        <is>
          <t>13/04/2026</t>
        </is>
      </c>
      <c r="I9960" s="10" t="inlineStr">
        <is>
          <t>17/03/2026</t>
        </is>
      </c>
      <c r="J9960" s="10" t="inlineStr">
        <is>
          <t>Thương mại điện tử, Bán hàng / Kinh doanh, Ngành khác</t>
        </is>
      </c>
      <c r="K9960" s="10" t="inlineStr">
        <is>
          <t>2 - 3 Năm</t>
        </is>
      </c>
      <c r="L9960" s="11">
        <f>HYPERLINK("https://careerviet.vn/vi/tim-viec-lam/senior-sales-executive-mang-loc-khi.35C687ED.html","Xem chi tiết")</f>
        <v/>
      </c>
      <c r="M9960" s="10" t="n"/>
    </row>
    <row r="9961">
      <c r="B9961" s="7" t="n">
        <v>9959</v>
      </c>
      <c r="C9961" t="inlineStr">
        <is>
          <t>Quản Lý Khu Vực Hoàn Thiện</t>
        </is>
      </c>
      <c r="D9961" t="inlineStr">
        <is>
          <t>Công ty TNHH Fannwood</t>
        </is>
      </c>
      <c r="E9961" t="inlineStr">
        <is>
          <t>Lương:20 Tr - 25 Tr VND</t>
        </is>
      </c>
      <c r="F9961" t="inlineStr">
        <is>
          <t>Bình Dương</t>
        </is>
      </c>
      <c r="G9961" t="inlineStr">
        <is>
          <t>13-04-2026</t>
        </is>
      </c>
      <c r="H9961" t="inlineStr">
        <is>
          <t>13/04/2026</t>
        </is>
      </c>
      <c r="I9961" t="inlineStr">
        <is>
          <t>17/03/2026</t>
        </is>
      </c>
      <c r="J9961" t="inlineStr">
        <is>
          <t>Sản xuất / Vận hành sản xuất, Đồ gỗ, Nội ngoại thất</t>
        </is>
      </c>
      <c r="K9961" t="inlineStr">
        <is>
          <t>Trên 3 Năm</t>
        </is>
      </c>
      <c r="L9961" s="8">
        <f>HYPERLINK("https://careerviet.vn/vi/tim-viec-lam/quan-ly-khu-vuc-hoan-thien.35C6879E.html","Xem chi tiết")</f>
        <v/>
      </c>
    </row>
    <row r="9962">
      <c r="B9962" s="9" t="n">
        <v>9960</v>
      </c>
      <c r="C9962" s="10" t="inlineStr">
        <is>
          <t>Hành Chính - Tuyển Dụng</t>
        </is>
      </c>
      <c r="D9962" s="10" t="inlineStr">
        <is>
          <t>CÔNG TY TNHH THƯƠNG MẠI VÀ HỮU NGHỊ LÊ GIA</t>
        </is>
      </c>
      <c r="E9962" s="10" t="inlineStr">
        <is>
          <t>Lương:9 Tr - 10 Tr VND</t>
        </is>
      </c>
      <c r="F9962" s="10" t="inlineStr">
        <is>
          <t>Hà Nội</t>
        </is>
      </c>
      <c r="G9962" s="10" t="inlineStr">
        <is>
          <t>13-04-2026</t>
        </is>
      </c>
      <c r="H9962" s="10" t="inlineStr">
        <is>
          <t>13/04/2026</t>
        </is>
      </c>
      <c r="I9962" s="10" t="inlineStr">
        <is>
          <t>17/03/2026</t>
        </is>
      </c>
      <c r="J9962" s="10" t="inlineStr">
        <is>
          <t>Hành chính / Thư ký, Nhân sự, Điện / Điện tử / Điện lạnh / Điện công nghiệp</t>
        </is>
      </c>
      <c r="K9962" s="10" t="inlineStr">
        <is>
          <t>Trên 1 Năm</t>
        </is>
      </c>
      <c r="L9962" s="11">
        <f>HYPERLINK("https://careerviet.vn/vi/tim-viec-lam/hanh-chinh-tuyen-dung.35C688F4.html","Xem chi tiết")</f>
        <v/>
      </c>
      <c r="M9962" s="10" t="n"/>
    </row>
    <row r="9963">
      <c r="B9963" s="7" t="n">
        <v>9961</v>
      </c>
      <c r="C9963" t="inlineStr">
        <is>
          <t>Nhân Viên Kế Hoạch Sản Xuất (PC/PMC)</t>
        </is>
      </c>
      <c r="D9963" t="inlineStr">
        <is>
          <t>CÔNG TY TNHH WGR INDUSTRIES</t>
        </is>
      </c>
      <c r="E9963" t="inlineStr">
        <is>
          <t>Lương:Cạnh tranh</t>
        </is>
      </c>
      <c r="F9963" t="inlineStr">
        <is>
          <t>Bình Định</t>
        </is>
      </c>
      <c r="G9963" t="inlineStr">
        <is>
          <t>13-04-2026</t>
        </is>
      </c>
      <c r="H9963" t="inlineStr">
        <is>
          <t>13/04/2026</t>
        </is>
      </c>
      <c r="I9963" t="inlineStr">
        <is>
          <t>17/03/2026</t>
        </is>
      </c>
      <c r="J9963" t="inlineStr">
        <is>
          <t>Sản xuất / Vận hành sản xuất, Đồ gỗ, Dệt may / Da giày / Thời trang</t>
        </is>
      </c>
      <c r="K9963" t="inlineStr">
        <is>
          <t>1 - 3 Năm</t>
        </is>
      </c>
      <c r="L9963" s="8">
        <f>HYPERLINK("https://careerviet.vn/vi/tim-viec-lam/nhan-vien-ke-hoach-san-xuat-pc-pmc.35C65679.html","Xem chi tiết")</f>
        <v/>
      </c>
    </row>
    <row r="9964">
      <c r="B9964" s="9" t="n">
        <v>9962</v>
      </c>
      <c r="C9964" s="10" t="inlineStr">
        <is>
          <t>Sales Admin - Trà Vinh</t>
        </is>
      </c>
      <c r="D9964" s="10" t="inlineStr">
        <is>
          <t>Công ty TNHH ADC</t>
        </is>
      </c>
      <c r="E9964" s="10" t="inlineStr">
        <is>
          <t>Lương:Cạnh tranh</t>
        </is>
      </c>
      <c r="F9964" s="10" t="inlineStr">
        <is>
          <t>Trà Vinh</t>
        </is>
      </c>
      <c r="G9964" s="10" t="inlineStr">
        <is>
          <t>13-04-2026</t>
        </is>
      </c>
      <c r="H9964" s="10" t="inlineStr">
        <is>
          <t>13/04/2026</t>
        </is>
      </c>
      <c r="I9964" s="10" t="inlineStr">
        <is>
          <t>17/03/2026</t>
        </is>
      </c>
      <c r="J9964" s="10" t="inlineStr">
        <is>
          <t>Bán hàng / Kinh doanh, Dịch vụ khách hàng, Kế toán / Kiểm toán</t>
        </is>
      </c>
      <c r="K9964" s="10" t="inlineStr">
        <is>
          <t>Lên đến 1 Năm</t>
        </is>
      </c>
      <c r="L9964" s="11">
        <f>HYPERLINK("https://careerviet.vn/vi/tim-viec-lam/sales-admin-tra-vinh.35C6891F.html","Xem chi tiết")</f>
        <v/>
      </c>
      <c r="M9964" s="10" t="n"/>
    </row>
    <row r="9965">
      <c r="B9965" s="7" t="n">
        <v>9963</v>
      </c>
      <c r="C9965" t="inlineStr">
        <is>
          <t>Thư ký dự án</t>
        </is>
      </c>
      <c r="D9965" t="inlineStr">
        <is>
          <t>CÔNG TY CỔ PHẦN KỸ THUẬT CÔNG NGHỆ SÀI GÒN - TECHGEL</t>
        </is>
      </c>
      <c r="E9965" t="inlineStr">
        <is>
          <t>Lương:Cạnh tranh</t>
        </is>
      </c>
      <c r="F9965" t="inlineStr">
        <is>
          <t>Đồng NaiBắc NinhQuảng Trị</t>
        </is>
      </c>
      <c r="G9965" t="inlineStr">
        <is>
          <t>13-04-2026</t>
        </is>
      </c>
      <c r="H9965" t="inlineStr">
        <is>
          <t>13/04/2026</t>
        </is>
      </c>
      <c r="I9965" t="inlineStr">
        <is>
          <t>17/03/2026</t>
        </is>
      </c>
      <c r="J9965" t="inlineStr">
        <is>
          <t>Điện / Điện tử / Điện lạnh / Điện công nghiệp, Xây dựng, Nội ngoại thất</t>
        </is>
      </c>
      <c r="K9965" t="inlineStr">
        <is>
          <t>Trên 1 Năm</t>
        </is>
      </c>
      <c r="L9965" s="8">
        <f>HYPERLINK("https://careerviet.vn/vi/tim-viec-lam/thu-ky-du-an.35C65610.html","Xem chi tiết")</f>
        <v/>
      </c>
    </row>
    <row r="9966">
      <c r="B9966" s="9" t="n">
        <v>9964</v>
      </c>
      <c r="C9966" s="10" t="inlineStr">
        <is>
          <t>Admin Specialist</t>
        </is>
      </c>
      <c r="D9966" s="10" t="inlineStr">
        <is>
          <t>Wanek Furniture</t>
        </is>
      </c>
      <c r="E9966" s="10" t="inlineStr">
        <is>
          <t>Lương:Cạnh tranh</t>
        </is>
      </c>
      <c r="F9966" s="10" t="inlineStr">
        <is>
          <t>Bình Dương</t>
        </is>
      </c>
      <c r="G9966" s="10" t="inlineStr">
        <is>
          <t>13-04-2026</t>
        </is>
      </c>
      <c r="H9966" s="10" t="inlineStr">
        <is>
          <t>13/04/2026</t>
        </is>
      </c>
      <c r="I9966" s="10" t="inlineStr">
        <is>
          <t>17/03/2026</t>
        </is>
      </c>
      <c r="J9966" s="10" t="inlineStr">
        <is>
          <t>Hành chính / Thư ký, Nhân sự, Sản xuất / Vận hành sản xuất</t>
        </is>
      </c>
      <c r="K9966" s="10" t="inlineStr">
        <is>
          <t>1 - 5 Năm</t>
        </is>
      </c>
      <c r="L9966" s="11">
        <f>HYPERLINK("https://careerviet.vn/vi/tim-viec-lam/admin-specialist.35C687BC.html","Xem chi tiết")</f>
        <v/>
      </c>
      <c r="M9966" s="10" t="n"/>
    </row>
    <row r="9967">
      <c r="B9967" s="7" t="n">
        <v>9965</v>
      </c>
      <c r="C9967" t="inlineStr">
        <is>
          <t>Assistant CEO</t>
        </is>
      </c>
      <c r="D9967" t="inlineStr">
        <is>
          <t>Công Ty Cổ Phần Hóa Chất Kỹ Thuật Kim Phong</t>
        </is>
      </c>
      <c r="E9967" t="inlineStr">
        <is>
          <t>Lương:Cạnh tranh</t>
        </is>
      </c>
      <c r="F9967" t="inlineStr">
        <is>
          <t>Hồ Chí Minh</t>
        </is>
      </c>
      <c r="G9967" t="inlineStr">
        <is>
          <t>13-04-2026</t>
        </is>
      </c>
      <c r="H9967" t="inlineStr">
        <is>
          <t>13/04/2026</t>
        </is>
      </c>
      <c r="I9967" t="inlineStr">
        <is>
          <t>17/03/2026</t>
        </is>
      </c>
      <c r="J9967" t="inlineStr">
        <is>
          <t>Hành chính / Thư ký, Kế toán / Kiểm toán, Tài chính / Đầu tư</t>
        </is>
      </c>
      <c r="K9967" t="inlineStr">
        <is>
          <t>3 - 5 Năm</t>
        </is>
      </c>
      <c r="L9967" s="8">
        <f>HYPERLINK("https://careerviet.vn/vi/tim-viec-lam/assistant-ceo.35C688A6.html","Xem chi tiết")</f>
        <v/>
      </c>
    </row>
    <row r="9968">
      <c r="B9968" s="9" t="n">
        <v>9966</v>
      </c>
      <c r="C9968" s="10" t="inlineStr">
        <is>
          <t>Nhân viên tư vấn &amp; Chăm sóc khách hàng</t>
        </is>
      </c>
      <c r="D9968" s="10" t="inlineStr">
        <is>
          <t>Công ty TNHH TOM Group Việt Nam</t>
        </is>
      </c>
      <c r="E9968" s="10" t="inlineStr">
        <is>
          <t>Lương:10 Tr - 15 Tr VND</t>
        </is>
      </c>
      <c r="F9968" s="10" t="inlineStr">
        <is>
          <t>Hồ Chí Minh</t>
        </is>
      </c>
      <c r="G9968" s="10" t="inlineStr">
        <is>
          <t>13-04-2026</t>
        </is>
      </c>
      <c r="H9968" s="10" t="inlineStr">
        <is>
          <t>13/04/2026</t>
        </is>
      </c>
      <c r="I9968" s="10" t="inlineStr">
        <is>
          <t>17/03/2026</t>
        </is>
      </c>
      <c r="J9968" s="10" t="inlineStr">
        <is>
          <t>Bán lẻ / Bán sỉ, Bán hàng / Kinh doanh, Tiếp thị trực tuyến</t>
        </is>
      </c>
      <c r="K9968" s="10" t="inlineStr">
        <is>
          <t>1 - 2 Năm</t>
        </is>
      </c>
      <c r="L9968" s="11">
        <f>HYPERLINK("https://careerviet.vn/vi/tim-viec-lam/nhan-vien-tu-van-cham-soc-khach-hang.35C655E1.html","Xem chi tiết")</f>
        <v/>
      </c>
      <c r="M9968" s="10" t="n"/>
    </row>
    <row r="9969">
      <c r="B9969" s="7" t="n">
        <v>9967</v>
      </c>
      <c r="C9969" t="inlineStr">
        <is>
          <t>Nhân Viên Trải Nghiệm Sáng Tạo (Xoay Gốm)</t>
        </is>
      </c>
      <c r="D9969" t="inlineStr">
        <is>
          <t>Công ty TNHH Minh Long I</t>
        </is>
      </c>
      <c r="E9969" t="inlineStr">
        <is>
          <t>Lương:8 Tr - 10 Tr VND</t>
        </is>
      </c>
      <c r="F9969" t="inlineStr">
        <is>
          <t>Bình Dương</t>
        </is>
      </c>
      <c r="G9969" t="inlineStr">
        <is>
          <t>13-04-2026</t>
        </is>
      </c>
      <c r="H9969" t="inlineStr">
        <is>
          <t>13/04/2026</t>
        </is>
      </c>
      <c r="I9969" t="inlineStr">
        <is>
          <t>17/03/2026</t>
        </is>
      </c>
      <c r="J9969" t="inlineStr">
        <is>
          <t>Sản xuất / Vận hành sản xuất, Mỹ thuật / Nghệ thuật / Thiết kế</t>
        </is>
      </c>
      <c r="K9969" t="inlineStr">
        <is>
          <t>N/A</t>
        </is>
      </c>
      <c r="L9969" s="8">
        <f>HYPERLINK("https://careerviet.vn/vi/tim-viec-lam/nhan-vien-trai-nghiem-sang-tao-xoay-gom.35C6890A.html","Xem chi tiết")</f>
        <v/>
      </c>
    </row>
    <row r="9970">
      <c r="B9970" s="9" t="n">
        <v>9968</v>
      </c>
      <c r="C9970" s="10" t="inlineStr">
        <is>
          <t>Nhân Viên Hành Chánh/Nhân Sự</t>
        </is>
      </c>
      <c r="D9970" s="10" t="inlineStr">
        <is>
          <t>Công ty TNHH LONG UYÊN</t>
        </is>
      </c>
      <c r="E9970" s="10" t="inlineStr">
        <is>
          <t>Lương:Cạnh tranh</t>
        </is>
      </c>
      <c r="F9970" s="10" t="inlineStr">
        <is>
          <t>Đồng Tháp</t>
        </is>
      </c>
      <c r="G9970" s="10" t="inlineStr">
        <is>
          <t>13-04-2026</t>
        </is>
      </c>
      <c r="H9970" s="10" t="inlineStr">
        <is>
          <t>13/04/2026</t>
        </is>
      </c>
      <c r="I9970" s="10" t="inlineStr">
        <is>
          <t>17/03/2026</t>
        </is>
      </c>
      <c r="J9970" s="10" t="inlineStr">
        <is>
          <t>Hành chính / Thư ký, Nhân sự</t>
        </is>
      </c>
      <c r="K9970" s="10" t="inlineStr">
        <is>
          <t>Trên 1 Năm</t>
        </is>
      </c>
      <c r="L9970" s="11">
        <f>HYPERLINK("https://careerviet.vn/vi/tim-viec-lam/nhan-vien-hanh-chanh-nhan-su.35C6894B.html","Xem chi tiết")</f>
        <v/>
      </c>
      <c r="M9970" s="10" t="n"/>
    </row>
    <row r="9971">
      <c r="B9971" s="7" t="n">
        <v>9969</v>
      </c>
      <c r="C9971" t="inlineStr">
        <is>
          <t>Bác sĩ Nội tổng quát/ Nội tiết/ Nội tim mạch/ Nội thận/ Nội dinh dưỡng</t>
        </is>
      </c>
      <c r="D9971" t="inlineStr">
        <is>
          <t>DIAG</t>
        </is>
      </c>
      <c r="E9971" t="inlineStr">
        <is>
          <t>Lương:Cạnh tranh</t>
        </is>
      </c>
      <c r="F9971" t="inlineStr">
        <is>
          <t>Hồ Chí Minh</t>
        </is>
      </c>
      <c r="G9971" t="inlineStr">
        <is>
          <t>13-04-2026</t>
        </is>
      </c>
      <c r="H9971" t="inlineStr">
        <is>
          <t>13/04/2026</t>
        </is>
      </c>
      <c r="I9971" t="inlineStr">
        <is>
          <t>17/03/2026</t>
        </is>
      </c>
      <c r="J9971" t="inlineStr">
        <is>
          <t>Y tế / Chăm sóc sức khỏe / Thẩm mỹ / Làm đẹp, Dược phẩm/ Hóa Mỹ Phẩm</t>
        </is>
      </c>
      <c r="K9971" t="inlineStr">
        <is>
          <t>Trên 3 Năm</t>
        </is>
      </c>
      <c r="L9971" s="8">
        <f>HYPERLINK("https://careerviet.vn/vi/tim-viec-lam/bac-si-noi-tong-quat-noi-tiet-noi-tim-mach-noi-than-noi-dinh-duong.35C68898.html","Xem chi tiết")</f>
        <v/>
      </c>
    </row>
    <row r="9972">
      <c r="B9972" s="9" t="n">
        <v>9970</v>
      </c>
      <c r="C9972" s="10" t="inlineStr">
        <is>
          <t>Nhân Viên Sales Admin ( Hợp Đồng 8 Tháng)</t>
        </is>
      </c>
      <c r="D9972" s="10" t="inlineStr">
        <is>
          <t>Công Ty Tài Chính TNHH Một Thành Viên Quốc Tế Việt Nam JACCS</t>
        </is>
      </c>
      <c r="E9972" s="10" t="inlineStr">
        <is>
          <t>Lương:8 Tr - 9 Tr VND</t>
        </is>
      </c>
      <c r="F9972" s="10" t="inlineStr">
        <is>
          <t>Hồ Chí Minh</t>
        </is>
      </c>
      <c r="G9972" s="10" t="inlineStr">
        <is>
          <t>13-04-2026</t>
        </is>
      </c>
      <c r="H9972" s="10" t="inlineStr">
        <is>
          <t>13/04/2026</t>
        </is>
      </c>
      <c r="I9972" s="10" t="inlineStr">
        <is>
          <t>17/03/2026</t>
        </is>
      </c>
      <c r="J9972" s="10" t="inlineStr">
        <is>
          <t>Tài chính / Đầu tư, Hành chính / Thư ký</t>
        </is>
      </c>
      <c r="K9972" s="10" t="inlineStr">
        <is>
          <t>1 - 2 Năm</t>
        </is>
      </c>
      <c r="L9972" s="11">
        <f>HYPERLINK("https://careerviet.vn/vi/tim-viec-lam/nhan-vien-sales-admin-hop-dong-8-thang.35C688F0.html","Xem chi tiết")</f>
        <v/>
      </c>
      <c r="M9972" s="10" t="n"/>
    </row>
    <row r="9973">
      <c r="B9973" s="7" t="n">
        <v>9971</v>
      </c>
      <c r="C9973" t="inlineStr">
        <is>
          <t>Quản Lý Khu Vực Hàng Trắng</t>
        </is>
      </c>
      <c r="D9973" t="inlineStr">
        <is>
          <t>Công ty TNHH Fannwood</t>
        </is>
      </c>
      <c r="E9973" t="inlineStr">
        <is>
          <t>Lương:20 Tr - 25 Tr VND</t>
        </is>
      </c>
      <c r="F9973" t="inlineStr">
        <is>
          <t>Bình Dương</t>
        </is>
      </c>
      <c r="G9973" t="inlineStr">
        <is>
          <t>13-04-2026</t>
        </is>
      </c>
      <c r="H9973" t="inlineStr">
        <is>
          <t>13/04/2026</t>
        </is>
      </c>
      <c r="I9973" t="inlineStr">
        <is>
          <t>17/03/2026</t>
        </is>
      </c>
      <c r="J9973" t="inlineStr">
        <is>
          <t>Sản xuất / Vận hành sản xuất, Đồ gỗ, Nội ngoại thất</t>
        </is>
      </c>
      <c r="K9973" t="inlineStr">
        <is>
          <t>Trên 3 Năm</t>
        </is>
      </c>
      <c r="L9973" s="8">
        <f>HYPERLINK("https://careerviet.vn/vi/tim-viec-lam/quan-ly-khu-vuc-hang-trang.35C687F5.html","Xem chi tiết")</f>
        <v/>
      </c>
    </row>
    <row r="9974">
      <c r="B9974" s="9" t="n">
        <v>9972</v>
      </c>
      <c r="C9974" s="10" t="inlineStr">
        <is>
          <t>[Long Thành - Đồng Nai] Quản Đốc Phân Xưởng</t>
        </is>
      </c>
      <c r="D9974" s="10" t="inlineStr">
        <is>
          <t>Công ty Cổ Phần Tập Đoàn Thiên Long</t>
        </is>
      </c>
      <c r="E9974" s="10" t="inlineStr">
        <is>
          <t>Lương:20 Tr - 23 Tr VND</t>
        </is>
      </c>
      <c r="F9974" s="10" t="inlineStr">
        <is>
          <t>Đồng Nai</t>
        </is>
      </c>
      <c r="G9974" s="10" t="inlineStr">
        <is>
          <t>27-03-2026</t>
        </is>
      </c>
      <c r="H9974" s="10" t="inlineStr">
        <is>
          <t>27/03/2026</t>
        </is>
      </c>
      <c r="I9974" s="10" t="inlineStr">
        <is>
          <t>17/03/2026</t>
        </is>
      </c>
      <c r="J9974" s="10" t="inlineStr">
        <is>
          <t>Quản lý điều hành, Sản xuất / Vận hành sản xuất, Hóa học</t>
        </is>
      </c>
      <c r="K9974" s="10" t="inlineStr">
        <is>
          <t>1 - 3 Năm</t>
        </is>
      </c>
      <c r="L9974" s="11">
        <f>HYPERLINK("https://careerviet.vn/vi/tim-viec-lam/long-thanh-dong-nai-quan-doc-phan-xuong.35C69D77.html","Xem chi tiết")</f>
        <v/>
      </c>
      <c r="M9974" s="10" t="n"/>
    </row>
    <row r="9975">
      <c r="B9975" s="7" t="n">
        <v>9973</v>
      </c>
      <c r="C9975" t="inlineStr">
        <is>
          <t>Chuyên viên xây dựng cơ bản</t>
        </is>
      </c>
      <c r="D9975" t="inlineStr">
        <is>
          <t>Công ty CP Thành Thành Công - Biên Hòa</t>
        </is>
      </c>
      <c r="E9975" t="inlineStr">
        <is>
          <t>Lương:Cạnh tranh</t>
        </is>
      </c>
      <c r="F9975" t="inlineStr">
        <is>
          <t>Tây Ninh</t>
        </is>
      </c>
      <c r="G9975" t="inlineStr">
        <is>
          <t>13-04-2026</t>
        </is>
      </c>
      <c r="H9975" t="inlineStr">
        <is>
          <t>13/04/2026</t>
        </is>
      </c>
      <c r="I9975" t="inlineStr">
        <is>
          <t>17/03/2026</t>
        </is>
      </c>
      <c r="J9975" t="inlineStr">
        <is>
          <t>Xây dựng</t>
        </is>
      </c>
      <c r="K9975" t="inlineStr">
        <is>
          <t>2 - 5 Năm</t>
        </is>
      </c>
      <c r="L9975" s="8">
        <f>HYPERLINK("https://careerviet.vn/vi/tim-viec-lam/chuyen-vien-xay-dung-co-ban.35C655DA.html","Xem chi tiết")</f>
        <v/>
      </c>
    </row>
    <row r="9976">
      <c r="B9976" s="9" t="n">
        <v>9974</v>
      </c>
      <c r="C9976" s="10" t="inlineStr">
        <is>
          <t>Lái xe lãnh đạo</t>
        </is>
      </c>
      <c r="D9976" s="10" t="inlineStr">
        <is>
          <t>Công Ty Cổ Phần A25 Hotel</t>
        </is>
      </c>
      <c r="E9976" s="10" t="inlineStr">
        <is>
          <t>Lương:17 Tr - 34 Tr VND</t>
        </is>
      </c>
      <c r="F9976" s="10" t="inlineStr">
        <is>
          <t>Hà Nội</t>
        </is>
      </c>
      <c r="G9976" s="10" t="inlineStr">
        <is>
          <t>31-03-2026</t>
        </is>
      </c>
      <c r="H9976" s="10" t="inlineStr">
        <is>
          <t>31/03/2026</t>
        </is>
      </c>
      <c r="I9976" s="10" t="inlineStr">
        <is>
          <t>17/03/2026</t>
        </is>
      </c>
      <c r="J9976" s="10" t="inlineStr">
        <is>
          <t>Vận chuyển / Giao nhận / Kho vận, Hành chính / Thư ký</t>
        </is>
      </c>
      <c r="K9976" s="10" t="inlineStr">
        <is>
          <t>1 - 2 Năm</t>
        </is>
      </c>
      <c r="L9976" s="11">
        <f>HYPERLINK("https://careerviet.vn/vi/tim-viec-lam/lai-xe-lanh-dao.35C6A266.html","Xem chi tiết")</f>
        <v/>
      </c>
      <c r="M9976" s="10" t="n"/>
    </row>
    <row r="9977">
      <c r="B9977" s="7" t="n">
        <v>9975</v>
      </c>
      <c r="C9977" t="inlineStr">
        <is>
          <t>Trưởng bộ phận ẩm thực</t>
        </is>
      </c>
      <c r="D9977" t="inlineStr">
        <is>
          <t>TỔNG CÔNG TY CỔ PHẦN THƯƠNG MẠI XÂY DỰNG</t>
        </is>
      </c>
      <c r="E9977" t="inlineStr">
        <is>
          <t>Lương:22 Tr - 25 Tr VND</t>
        </is>
      </c>
      <c r="F9977" t="inlineStr">
        <is>
          <t>Hà Nội</t>
        </is>
      </c>
      <c r="G9977" t="inlineStr">
        <is>
          <t>31-03-2026</t>
        </is>
      </c>
      <c r="H9977" t="inlineStr">
        <is>
          <t>31/03/2026</t>
        </is>
      </c>
      <c r="I9977" t="inlineStr">
        <is>
          <t>17/03/2026</t>
        </is>
      </c>
      <c r="J9977" t="inlineStr">
        <is>
          <t>Bán hàng / Kinh doanh, Thực phẩm &amp; Đồ uống, Nhà hàng / Khách sạn</t>
        </is>
      </c>
      <c r="K9977" t="inlineStr">
        <is>
          <t>2 - 3 Năm</t>
        </is>
      </c>
      <c r="L9977" s="8">
        <f>HYPERLINK("https://careerviet.vn/vi/tim-viec-lam/truong-bo-phan-am-thuc.35C6A283.html","Xem chi tiết")</f>
        <v/>
      </c>
    </row>
    <row r="9978">
      <c r="B9978" s="9" t="n">
        <v>9976</v>
      </c>
      <c r="C9978" s="10" t="inlineStr">
        <is>
          <t>Industrial Engineer</t>
        </is>
      </c>
      <c r="D9978" s="10" t="inlineStr">
        <is>
          <t>CÔNG TY TNHH GUNZETAL (VIỆT NAM)</t>
        </is>
      </c>
      <c r="E9978" s="10" t="inlineStr">
        <is>
          <t>Lương:15 Tr - 30 Tr VND</t>
        </is>
      </c>
      <c r="F9978" s="10" t="inlineStr">
        <is>
          <t>Bình Dương</t>
        </is>
      </c>
      <c r="G9978" s="10" t="inlineStr">
        <is>
          <t>31-03-2026</t>
        </is>
      </c>
      <c r="H9978" s="10" t="inlineStr">
        <is>
          <t>31/03/2026</t>
        </is>
      </c>
      <c r="I9978" s="10" t="inlineStr">
        <is>
          <t>17/03/2026</t>
        </is>
      </c>
      <c r="J9978" s="10" t="inlineStr">
        <is>
          <t>Sản xuất / Vận hành sản xuất, Dệt may / Da giày / Thời trang, Quản lý chất lượng (QA/QC)</t>
        </is>
      </c>
      <c r="K9978" s="10" t="inlineStr">
        <is>
          <t>Lên đến 2 Năm</t>
        </is>
      </c>
      <c r="L9978" s="11">
        <f>HYPERLINK("https://careerviet.vn/vi/tim-viec-lam/industrial-engineer.35C6A264.html","Xem chi tiết")</f>
        <v/>
      </c>
      <c r="M9978" s="10" t="n"/>
    </row>
    <row r="9979">
      <c r="B9979" s="7" t="n">
        <v>9977</v>
      </c>
      <c r="C9979" t="inlineStr">
        <is>
          <t>Chuyên Viên Quản Lý Dự Án</t>
        </is>
      </c>
      <c r="D9979" t="inlineStr">
        <is>
          <t>CÔNG TY CỔ PHẦN TẬP ĐOÀN ONSEN FUJI</t>
        </is>
      </c>
      <c r="E9979" t="inlineStr">
        <is>
          <t>Lương:25 Tr - 35 Tr VND</t>
        </is>
      </c>
      <c r="F9979" t="inlineStr">
        <is>
          <t>Hà Nội</t>
        </is>
      </c>
      <c r="G9979" t="inlineStr">
        <is>
          <t>31-03-2026</t>
        </is>
      </c>
      <c r="H9979" t="inlineStr">
        <is>
          <t>31/03/2026</t>
        </is>
      </c>
      <c r="I9979" t="inlineStr">
        <is>
          <t>17/03/2026</t>
        </is>
      </c>
      <c r="J9979" t="inlineStr">
        <is>
          <t>Xây dựng, Bất động sản</t>
        </is>
      </c>
      <c r="K9979" t="inlineStr">
        <is>
          <t>3 - 5 Năm</t>
        </is>
      </c>
      <c r="L9979" s="8">
        <f>HYPERLINK("https://careerviet.vn/vi/tim-viec-lam/chuyen-vien-quan-ly-du-an.35C6A294.html","Xem chi tiết")</f>
        <v/>
      </c>
    </row>
    <row r="9980">
      <c r="B9980" s="9" t="n">
        <v>9978</v>
      </c>
      <c r="C9980" s="10" t="inlineStr">
        <is>
          <t>Nhân viên giao nhận (xe máy công ty)</t>
        </is>
      </c>
      <c r="D9980" s="10" t="inlineStr">
        <is>
          <t>CÔNG TY TNHH IN BAO BÌ TOÀN PHÁT</t>
        </is>
      </c>
      <c r="E9980" s="10" t="inlineStr">
        <is>
          <t>Lương:9 Tr - 12 Tr VND</t>
        </is>
      </c>
      <c r="F9980" s="10" t="inlineStr">
        <is>
          <t>Hồ Chí Minh</t>
        </is>
      </c>
      <c r="G9980" s="10" t="inlineStr">
        <is>
          <t>31-03-2026</t>
        </is>
      </c>
      <c r="H9980" s="10" t="inlineStr">
        <is>
          <t>31/03/2026</t>
        </is>
      </c>
      <c r="I9980" s="10" t="inlineStr">
        <is>
          <t>17/03/2026</t>
        </is>
      </c>
      <c r="J9980" s="10" t="inlineStr">
        <is>
          <t>Vận chuyển / Giao nhận / Kho vận, Sản xuất / Vận hành sản xuất</t>
        </is>
      </c>
      <c r="K9980" s="10" t="inlineStr">
        <is>
          <t>1 - 2 Năm</t>
        </is>
      </c>
      <c r="L9980" s="11">
        <f>HYPERLINK("https://careerviet.vn/vi/tim-viec-lam/nhan-vien-giao-nhan-xe-may-cong-ty.35C6A27A.html","Xem chi tiết")</f>
        <v/>
      </c>
      <c r="M9980" s="10" t="n"/>
    </row>
    <row r="9981">
      <c r="B9981" s="7" t="n">
        <v>9979</v>
      </c>
      <c r="C9981" t="inlineStr">
        <is>
          <t>[LONG WANG] TỔ TRƯỞNG BẾP</t>
        </is>
      </c>
      <c r="D9981" t="inlineStr">
        <is>
          <t>Công Ty Cổ Phần Tầm Nhìn Quốc Tế Aladdin</t>
        </is>
      </c>
      <c r="E9981" t="inlineStr">
        <is>
          <t>Lương:10 Tr - 13 Tr VND</t>
        </is>
      </c>
      <c r="F9981" t="inlineStr">
        <is>
          <t>Hồ Chí MinhKhánh HòaĐồng Nai</t>
        </is>
      </c>
      <c r="G9981" t="inlineStr">
        <is>
          <t>02-04-2026</t>
        </is>
      </c>
      <c r="H9981" t="inlineStr">
        <is>
          <t>02/04/2026</t>
        </is>
      </c>
      <c r="I9981" t="inlineStr">
        <is>
          <t>17/03/2026</t>
        </is>
      </c>
      <c r="J9981" t="inlineStr">
        <is>
          <t>Thực phẩm &amp; Đồ uống, Nhà hàng / Khách sạn, Quản lý điều hành</t>
        </is>
      </c>
      <c r="K9981" t="inlineStr">
        <is>
          <t>1 - 2 Năm</t>
        </is>
      </c>
      <c r="L9981" s="8">
        <f>HYPERLINK("https://careerviet.vn/vi/tim-viec-lam/long-wang-to-truong-bep.35C6A28F.html","Xem chi tiết")</f>
        <v/>
      </c>
    </row>
    <row r="9982">
      <c r="B9982" s="9" t="n">
        <v>9980</v>
      </c>
      <c r="C9982" s="10" t="inlineStr">
        <is>
          <t>Nhân viên QC (kiểm tra chất lượng chuyền sản xuất)</t>
        </is>
      </c>
      <c r="D9982" s="10" t="inlineStr">
        <is>
          <t>CÔNG TY TNHH IN BAO BÌ TOÀN PHÁT</t>
        </is>
      </c>
      <c r="E9982" s="10" t="inlineStr">
        <is>
          <t>Lương:10 Tr - 13 Tr VND</t>
        </is>
      </c>
      <c r="F9982" s="10" t="inlineStr">
        <is>
          <t>Hồ Chí Minh</t>
        </is>
      </c>
      <c r="G9982" s="10" t="inlineStr">
        <is>
          <t>31-03-2026</t>
        </is>
      </c>
      <c r="H9982" s="10" t="inlineStr">
        <is>
          <t>31/03/2026</t>
        </is>
      </c>
      <c r="I9982" s="10" t="inlineStr">
        <is>
          <t>17/03/2026</t>
        </is>
      </c>
      <c r="J9982" s="10" t="inlineStr">
        <is>
          <t>Quản lý chất lượng (QA/QC), Thực phẩm &amp; Đồ uống, In ấn / Xuất bản</t>
        </is>
      </c>
      <c r="K9982" s="10" t="inlineStr">
        <is>
          <t>1 - 3 Năm</t>
        </is>
      </c>
      <c r="L9982" s="11">
        <f>HYPERLINK("https://careerviet.vn/vi/tim-viec-lam/nhan-vien-qc-kiem-tra-chat-luong-chuyen-san-xuat.35C6A273.html","Xem chi tiết")</f>
        <v/>
      </c>
      <c r="M9982" s="10" t="n"/>
    </row>
    <row r="9983">
      <c r="B9983" s="7" t="n">
        <v>9981</v>
      </c>
      <c r="C9983" t="inlineStr">
        <is>
          <t>[TIAN LONG] TỔ TRƯỞNG BẾP</t>
        </is>
      </c>
      <c r="D9983" t="inlineStr">
        <is>
          <t>Công Ty Cổ Phần Tầm Nhìn Quốc Tế Aladdin</t>
        </is>
      </c>
      <c r="E9983" t="inlineStr">
        <is>
          <t>Lương:10 Tr - 13 Tr VND</t>
        </is>
      </c>
      <c r="F9983" t="inlineStr">
        <is>
          <t>Hồ Chí MinhKhánh Hòa</t>
        </is>
      </c>
      <c r="G9983" t="inlineStr">
        <is>
          <t>02-04-2026</t>
        </is>
      </c>
      <c r="H9983" t="inlineStr">
        <is>
          <t>02/04/2026</t>
        </is>
      </c>
      <c r="I9983" t="inlineStr">
        <is>
          <t>17/03/2026</t>
        </is>
      </c>
      <c r="J9983" t="inlineStr">
        <is>
          <t>Thực phẩm &amp; Đồ uống, Nhà hàng / Khách sạn, Quản lý điều hành</t>
        </is>
      </c>
      <c r="K9983" t="inlineStr">
        <is>
          <t>Trên 1 Năm</t>
        </is>
      </c>
      <c r="L9983" s="8">
        <f>HYPERLINK("https://careerviet.vn/vi/tim-viec-lam/tian-long-to-truong-bep.35C6A28E.html","Xem chi tiết")</f>
        <v/>
      </c>
    </row>
    <row r="9984">
      <c r="B9984" s="9" t="n">
        <v>9982</v>
      </c>
      <c r="C9984" s="10" t="inlineStr">
        <is>
          <t>Nhân viên kế hoạch (nguyên vật liệu)</t>
        </is>
      </c>
      <c r="D9984" s="10" t="inlineStr">
        <is>
          <t>CÔNG TY TNHH IN BAO BÌ TOÀN PHÁT</t>
        </is>
      </c>
      <c r="E9984" s="10" t="inlineStr">
        <is>
          <t>Lương:12 Tr - 18 Tr VND</t>
        </is>
      </c>
      <c r="F9984" s="10" t="inlineStr">
        <is>
          <t>Hồ Chí Minh</t>
        </is>
      </c>
      <c r="G9984" s="10" t="inlineStr">
        <is>
          <t>31-03-2026</t>
        </is>
      </c>
      <c r="H9984" s="10" t="inlineStr">
        <is>
          <t>31/03/2026</t>
        </is>
      </c>
      <c r="I9984" s="10" t="inlineStr">
        <is>
          <t>17/03/2026</t>
        </is>
      </c>
      <c r="J9984" s="10" t="inlineStr">
        <is>
          <t>Vận chuyển / Giao nhận / Kho vận, Sản xuất / Vận hành sản xuất, Thu mua / Vật tư</t>
        </is>
      </c>
      <c r="K9984" s="10" t="inlineStr">
        <is>
          <t>2 - 5 Năm</t>
        </is>
      </c>
      <c r="L9984" s="11">
        <f>HYPERLINK("https://careerviet.vn/vi/tim-viec-lam/nhan-vien-ke-hoach-nguyen-vat-lieu.35C6A276.html","Xem chi tiết")</f>
        <v/>
      </c>
      <c r="M9984" s="10" t="n"/>
    </row>
    <row r="9985">
      <c r="B9985" s="7" t="n">
        <v>9983</v>
      </c>
      <c r="C9985" t="inlineStr">
        <is>
          <t>PHó Giám Đốc Trung Tâm Kinh Doanh BĐS (Quản lý Đại lý)</t>
        </is>
      </c>
      <c r="D9985" t="inlineStr">
        <is>
          <t>CÔNG TY CỔ PHẦN TẬP ĐOÀN ONSEN FUJI</t>
        </is>
      </c>
      <c r="E9985" t="inlineStr">
        <is>
          <t>Lương:70 Tr - 80 Tr VND</t>
        </is>
      </c>
      <c r="F9985" t="inlineStr">
        <is>
          <t>Hà Nội</t>
        </is>
      </c>
      <c r="G9985" t="inlineStr">
        <is>
          <t>31-03-2026</t>
        </is>
      </c>
      <c r="H9985" t="inlineStr">
        <is>
          <t>31/03/2026</t>
        </is>
      </c>
      <c r="I9985" t="inlineStr">
        <is>
          <t>17/03/2026</t>
        </is>
      </c>
      <c r="J9985" t="inlineStr">
        <is>
          <t>Bán hàng / Kinh doanh, Tư vấn, Bất động sản</t>
        </is>
      </c>
      <c r="K9985" t="inlineStr">
        <is>
          <t>5 - 7 Năm</t>
        </is>
      </c>
      <c r="L9985" s="8">
        <f>HYPERLINK("https://careerviet.vn/vi/tim-viec-lam/pho-giam-doc-trung-tam-kinh-doanh-bds-quan-ly-dai-ly.35C6A295.html","Xem chi tiết")</f>
        <v/>
      </c>
    </row>
    <row r="9986">
      <c r="B9986" s="9" t="n">
        <v>9984</v>
      </c>
      <c r="C9986" s="10" t="inlineStr">
        <is>
          <t>Business Intelligence &amp; Master Data Lead  (Finance team)</t>
        </is>
      </c>
      <c r="D9986" s="10" t="inlineStr">
        <is>
          <t>CÔNG TY CP CHẾ BIẾN DỪA Á CHÂU</t>
        </is>
      </c>
      <c r="E9986" s="10" t="inlineStr">
        <is>
          <t>Lương:Cạnh tranh</t>
        </is>
      </c>
      <c r="F9986" s="10" t="inlineStr">
        <is>
          <t>Hồ Chí Minh</t>
        </is>
      </c>
      <c r="G9986" s="10" t="inlineStr">
        <is>
          <t>11-04-2026</t>
        </is>
      </c>
      <c r="H9986" s="10" t="inlineStr">
        <is>
          <t>11/04/2026</t>
        </is>
      </c>
      <c r="I9986" s="10" t="inlineStr">
        <is>
          <t>17/03/2026</t>
        </is>
      </c>
      <c r="J9986" s="10" t="inlineStr">
        <is>
          <t>Kế toán / Kiểm toán</t>
        </is>
      </c>
      <c r="K9986" s="10" t="inlineStr">
        <is>
          <t>5 - 7 Năm</t>
        </is>
      </c>
      <c r="L9986" s="11">
        <f>HYPERLINK("https://careerviet.vn/vi/tim-viec-lam/business-intelligence-master-data-lead-finance-team.35C6A27C.html","Xem chi tiết")</f>
        <v/>
      </c>
      <c r="M9986" s="10" t="n"/>
    </row>
    <row r="9987">
      <c r="B9987" s="7" t="n">
        <v>9985</v>
      </c>
      <c r="C9987" t="inlineStr">
        <is>
          <t>Nhân viên QC ( kiểm soát bài in )</t>
        </is>
      </c>
      <c r="D9987" t="inlineStr">
        <is>
          <t>CÔNG TY TNHH IN BAO BÌ TOÀN PHÁT</t>
        </is>
      </c>
      <c r="E9987" t="inlineStr">
        <is>
          <t>Lương:10 Tr - 15 Tr VND</t>
        </is>
      </c>
      <c r="F9987" t="inlineStr">
        <is>
          <t>Hồ Chí Minh</t>
        </is>
      </c>
      <c r="G9987" t="inlineStr">
        <is>
          <t>31-03-2026</t>
        </is>
      </c>
      <c r="H9987" t="inlineStr">
        <is>
          <t>31/03/2026</t>
        </is>
      </c>
      <c r="I9987" t="inlineStr">
        <is>
          <t>17/03/2026</t>
        </is>
      </c>
      <c r="J9987" t="inlineStr">
        <is>
          <t>Hóa học, Quản lý chất lượng (QA/QC), In ấn / Xuất bản</t>
        </is>
      </c>
      <c r="K9987" t="inlineStr">
        <is>
          <t>1 - 3 Năm</t>
        </is>
      </c>
      <c r="L9987" s="8">
        <f>HYPERLINK("https://careerviet.vn/vi/tim-viec-lam/nhan-vien-qc-kiem-soat-bai-in.35C6A274.html","Xem chi tiết")</f>
        <v/>
      </c>
    </row>
    <row r="9988">
      <c r="B9988" s="9" t="n">
        <v>9986</v>
      </c>
      <c r="C9988" s="10" t="inlineStr">
        <is>
          <t>QUẢN LÝ KHO</t>
        </is>
      </c>
      <c r="D9988" s="10" t="inlineStr">
        <is>
          <t>CÔNG TY CỔ PHẦN THƯƠNG MẠI SATORI</t>
        </is>
      </c>
      <c r="E9988" s="10" t="inlineStr">
        <is>
          <t>Lương:12 Tr - 15 Tr VND</t>
        </is>
      </c>
      <c r="F9988" s="10" t="inlineStr">
        <is>
          <t>Long An</t>
        </is>
      </c>
      <c r="G9988" s="10" t="inlineStr">
        <is>
          <t>31-03-2026</t>
        </is>
      </c>
      <c r="H9988" s="10" t="inlineStr">
        <is>
          <t>31/03/2026</t>
        </is>
      </c>
      <c r="I9988" s="10" t="inlineStr">
        <is>
          <t>17/03/2026</t>
        </is>
      </c>
      <c r="J9988" s="10" t="inlineStr">
        <is>
          <t>Bán hàng / Kinh doanh, Thực phẩm &amp; Đồ uống</t>
        </is>
      </c>
      <c r="K9988" s="10" t="inlineStr">
        <is>
          <t>2 - 3 Năm</t>
        </is>
      </c>
      <c r="L9988" s="11">
        <f>HYPERLINK("https://careerviet.vn/vi/tim-viec-lam/quan-ly-kho.35C6A26D.html","Xem chi tiết")</f>
        <v/>
      </c>
      <c r="M9988" s="10" t="n"/>
    </row>
    <row r="9989">
      <c r="B9989" s="7" t="n">
        <v>9987</v>
      </c>
      <c r="C9989" t="inlineStr">
        <is>
          <t>Nhân viên chăm sóc khách hàng/Customer Service/Call Center</t>
        </is>
      </c>
      <c r="D9989" t="inlineStr">
        <is>
          <t>TCL (Vietnam) Corporation Limited</t>
        </is>
      </c>
      <c r="E9989" t="inlineStr">
        <is>
          <t>Lương:Cạnh tranh</t>
        </is>
      </c>
      <c r="F9989" t="inlineStr">
        <is>
          <t>Hồ Chí Minh</t>
        </is>
      </c>
      <c r="G9989" t="inlineStr">
        <is>
          <t>31-03-2026</t>
        </is>
      </c>
      <c r="H9989" t="inlineStr">
        <is>
          <t>31/03/2026</t>
        </is>
      </c>
      <c r="I9989" t="inlineStr">
        <is>
          <t>17/03/2026</t>
        </is>
      </c>
      <c r="J9989" t="inlineStr">
        <is>
          <t>Dịch vụ khách hàng, Điện / Điện tử / Điện lạnh / Điện công nghiệp</t>
        </is>
      </c>
      <c r="K9989" t="inlineStr">
        <is>
          <t>Trên 1 Năm</t>
        </is>
      </c>
      <c r="L9989" s="8">
        <f>HYPERLINK("https://careerviet.vn/vi/tim-viec-lam/nhan-vien-cham-soc-khach-hang-customer-service-call-center.35C6A28A.html","Xem chi tiết")</f>
        <v/>
      </c>
    </row>
    <row r="9990">
      <c r="B9990" s="9" t="n">
        <v>9988</v>
      </c>
      <c r="C9990" s="10" t="inlineStr">
        <is>
          <t>Giám sát thi công nội thất tại Hà Nội - Interior Construction Supervisor</t>
        </is>
      </c>
      <c r="D9990" s="10" t="inlineStr">
        <is>
          <t>Công ty TNHH Frontier Consulting Việt Nam</t>
        </is>
      </c>
      <c r="E9990" s="10" t="inlineStr">
        <is>
          <t>Lương:15 Tr - 30 Tr VND</t>
        </is>
      </c>
      <c r="F9990" s="10" t="inlineStr">
        <is>
          <t>Hà Nội</t>
        </is>
      </c>
      <c r="G9990" s="10" t="inlineStr">
        <is>
          <t>01-04-2026</t>
        </is>
      </c>
      <c r="H9990" s="10" t="inlineStr">
        <is>
          <t>01/04/2026</t>
        </is>
      </c>
      <c r="I9990" s="10" t="inlineStr">
        <is>
          <t>17/03/2026</t>
        </is>
      </c>
      <c r="J9990" s="10" t="inlineStr">
        <is>
          <t>Xây dựng, Nội ngoại thất</t>
        </is>
      </c>
      <c r="K9990" s="10" t="inlineStr">
        <is>
          <t>1 - 3 Năm</t>
        </is>
      </c>
      <c r="L9990" s="11">
        <f>HYPERLINK("https://careerviet.vn/vi/tim-viec-lam/giam-sat-thi-cong-noi-that-tai-ha-noi-interior-construction-supervisor.35C6A293.html","Xem chi tiết")</f>
        <v/>
      </c>
      <c r="M9990" s="10" t="n"/>
    </row>
    <row r="9991">
      <c r="B9991" s="7" t="n">
        <v>9989</v>
      </c>
      <c r="C9991" t="inlineStr">
        <is>
          <t>Technical Service Executive (Cement)</t>
        </is>
      </c>
      <c r="D9991" t="inlineStr">
        <is>
          <t>Saint-Gobain Vietnam</t>
        </is>
      </c>
      <c r="E9991" t="inlineStr">
        <is>
          <t>Lương:Cạnh tranh</t>
        </is>
      </c>
      <c r="F9991" t="inlineStr">
        <is>
          <t>Hà Nội</t>
        </is>
      </c>
      <c r="G9991" t="inlineStr">
        <is>
          <t>01-04-2026</t>
        </is>
      </c>
      <c r="H9991" t="inlineStr">
        <is>
          <t>01/04/2026</t>
        </is>
      </c>
      <c r="I9991" t="inlineStr">
        <is>
          <t>17/03/2026</t>
        </is>
      </c>
      <c r="J9991" t="inlineStr">
        <is>
          <t>Xây dựng, Hóa học, Bán Hàng Kỹ Thuật</t>
        </is>
      </c>
      <c r="K9991" t="inlineStr">
        <is>
          <t>3 - 5 Năm</t>
        </is>
      </c>
      <c r="L9991" s="8">
        <f>HYPERLINK("https://careerviet.vn/vi/tim-viec-lam/technical-service-executive-cement.35C6A282.html","Xem chi tiết")</f>
        <v/>
      </c>
    </row>
    <row r="9992">
      <c r="B9992" s="9" t="n">
        <v>9990</v>
      </c>
      <c r="C9992" s="10" t="inlineStr">
        <is>
          <t>Nhân viên phụ kho</t>
        </is>
      </c>
      <c r="D9992" s="10" t="inlineStr">
        <is>
          <t>CÔNG TY TNHH IN BAO BÌ TOÀN PHÁT</t>
        </is>
      </c>
      <c r="E9992" s="10" t="inlineStr">
        <is>
          <t>Lương:9 Tr - 12 Tr VND</t>
        </is>
      </c>
      <c r="F9992" s="10" t="inlineStr">
        <is>
          <t>Hồ Chí Minh</t>
        </is>
      </c>
      <c r="G9992" s="10" t="inlineStr">
        <is>
          <t>31-03-2026</t>
        </is>
      </c>
      <c r="H9992" s="10" t="inlineStr">
        <is>
          <t>31/03/2026</t>
        </is>
      </c>
      <c r="I9992" s="10" t="inlineStr">
        <is>
          <t>17/03/2026</t>
        </is>
      </c>
      <c r="J9992" s="10" t="inlineStr">
        <is>
          <t>Vận chuyển / Giao nhận / Kho vận, Sản xuất / Vận hành sản xuất, In ấn / Xuất bản</t>
        </is>
      </c>
      <c r="K9992" s="10" t="inlineStr">
        <is>
          <t>1 - 2 Năm</t>
        </is>
      </c>
      <c r="L9992" s="11">
        <f>HYPERLINK("https://careerviet.vn/vi/tim-viec-lam/nhan-vien-phu-kho.35C6A275.html","Xem chi tiết")</f>
        <v/>
      </c>
      <c r="M9992" s="10" t="n"/>
    </row>
    <row r="9993">
      <c r="B9993" s="7" t="n">
        <v>9991</v>
      </c>
      <c r="C9993" t="inlineStr">
        <is>
          <t>GIÁM SÁT NHÀ HÀNG - LONG WANG</t>
        </is>
      </c>
      <c r="D9993" t="inlineStr">
        <is>
          <t>Công Ty Cổ Phần Tầm Nhìn Quốc Tế Aladdin</t>
        </is>
      </c>
      <c r="E9993" t="inlineStr">
        <is>
          <t>Lương:10 Tr - 13 Tr VND</t>
        </is>
      </c>
      <c r="F9993" t="inlineStr">
        <is>
          <t>Hồ Chí Minh</t>
        </is>
      </c>
      <c r="G9993" t="inlineStr">
        <is>
          <t>01-04-2026</t>
        </is>
      </c>
      <c r="H9993" t="inlineStr">
        <is>
          <t>01/04/2026</t>
        </is>
      </c>
      <c r="I9993" t="inlineStr">
        <is>
          <t>17/03/2026</t>
        </is>
      </c>
      <c r="J9993" t="inlineStr">
        <is>
          <t>Thực phẩm &amp; Đồ uống, Nhà hàng / Khách sạn, Quản lý điều hành</t>
        </is>
      </c>
      <c r="K9993" t="inlineStr">
        <is>
          <t>Trên 2 Năm</t>
        </is>
      </c>
      <c r="L9993" s="8">
        <f>HYPERLINK("https://careerviet.vn/vi/tim-viec-lam/giam-sat-nha-hang-long-wang.35C6A291.html","Xem chi tiết")</f>
        <v/>
      </c>
    </row>
    <row r="9994">
      <c r="B9994" s="9" t="n">
        <v>9992</v>
      </c>
      <c r="C9994" s="10" t="inlineStr">
        <is>
          <t>QUẢN LÝ GIÁM SÁT KHÁCH SẠN Q5 Q10 Q11</t>
        </is>
      </c>
      <c r="D9994" s="10" t="inlineStr">
        <is>
          <t>CÔNG TY TNHH KHÁCH SẠN 34</t>
        </is>
      </c>
      <c r="E9994" s="10" t="inlineStr">
        <is>
          <t>Lương:10 Tr - 13 Tr VND</t>
        </is>
      </c>
      <c r="F9994" s="10" t="inlineStr">
        <is>
          <t>Hồ Chí Minh</t>
        </is>
      </c>
      <c r="G9994" s="10" t="inlineStr">
        <is>
          <t>31-03-2026</t>
        </is>
      </c>
      <c r="H9994" s="10" t="inlineStr">
        <is>
          <t>31/03/2026</t>
        </is>
      </c>
      <c r="I9994" s="10" t="inlineStr">
        <is>
          <t>17/03/2026</t>
        </is>
      </c>
      <c r="J9994" s="10" t="inlineStr">
        <is>
          <t>Nhà hàng / Khách sạn</t>
        </is>
      </c>
      <c r="K9994" s="10" t="inlineStr">
        <is>
          <t>1 - 3 Năm</t>
        </is>
      </c>
      <c r="L9994" s="11">
        <f>HYPERLINK("https://careerviet.vn/vi/tim-viec-lam/quan-ly-giam-sat-khach-san-q5-q10-q11.35C6A280.html","Xem chi tiết")</f>
        <v/>
      </c>
      <c r="M9994" s="10" t="n"/>
    </row>
    <row r="9995">
      <c r="B9995" s="7" t="n">
        <v>9993</v>
      </c>
      <c r="C9995" t="inlineStr">
        <is>
          <t>Senior Procurement Executive</t>
        </is>
      </c>
      <c r="D9995" t="inlineStr">
        <is>
          <t>CÔNG TY CP CHẾ BIẾN DỪA Á CHÂU</t>
        </is>
      </c>
      <c r="E9995" t="inlineStr">
        <is>
          <t>Lương:Cạnh tranh</t>
        </is>
      </c>
      <c r="F9995" t="inlineStr">
        <is>
          <t>Hồ Chí Minh</t>
        </is>
      </c>
      <c r="G9995" t="inlineStr">
        <is>
          <t>11-04-2026</t>
        </is>
      </c>
      <c r="H9995" t="inlineStr">
        <is>
          <t>11/04/2026</t>
        </is>
      </c>
      <c r="I9995" t="inlineStr">
        <is>
          <t>17/03/2026</t>
        </is>
      </c>
      <c r="J9995" t="inlineStr">
        <is>
          <t>Thu mua / Vật tư</t>
        </is>
      </c>
      <c r="K9995" t="inlineStr">
        <is>
          <t>5 - 10 Năm</t>
        </is>
      </c>
      <c r="L9995" s="8">
        <f>HYPERLINK("https://careerviet.vn/vi/tim-viec-lam/senior-procurement-executive.35C6A277.html","Xem chi tiết")</f>
        <v/>
      </c>
    </row>
    <row r="9996">
      <c r="B9996" s="9" t="n">
        <v>9994</v>
      </c>
      <c r="C9996" s="10" t="inlineStr">
        <is>
          <t>TUYỂN NHÂN VIÊN KẾ TOÁN NỘI BỘ</t>
        </is>
      </c>
      <c r="D9996" s="10" t="inlineStr">
        <is>
          <t>Vietnam Tourist</t>
        </is>
      </c>
      <c r="E9996" s="10" t="inlineStr">
        <is>
          <t>Lương:8 Tr - 12 Tr VND</t>
        </is>
      </c>
      <c r="F9996" s="10" t="inlineStr">
        <is>
          <t>Hà Nội</t>
        </is>
      </c>
      <c r="G9996" s="10" t="inlineStr">
        <is>
          <t>31-03-2026</t>
        </is>
      </c>
      <c r="H9996" s="10" t="inlineStr">
        <is>
          <t>31/03/2026</t>
        </is>
      </c>
      <c r="I9996" s="10" t="inlineStr">
        <is>
          <t>17/03/2026</t>
        </is>
      </c>
      <c r="J9996" s="10" t="inlineStr">
        <is>
          <t>Du lịch, Kế toán / Kiểm toán</t>
        </is>
      </c>
      <c r="K9996" s="10" t="inlineStr">
        <is>
          <t>1 - 5 Năm</t>
        </is>
      </c>
      <c r="L9996" s="11">
        <f>HYPERLINK("https://careerviet.vn/vi/tim-viec-lam/tuyen-nhan-vien-ke-toan-noi-bo.35C6A269.html","Xem chi tiết")</f>
        <v/>
      </c>
      <c r="M9996" s="10" t="n"/>
    </row>
    <row r="9997">
      <c r="B9997" s="7" t="n">
        <v>9995</v>
      </c>
      <c r="C9997" t="inlineStr">
        <is>
          <t>Senior Service Excellence Executive</t>
        </is>
      </c>
      <c r="D9997" t="inlineStr">
        <is>
          <t>Công ty Cổ phần Gamuda Land (HCMC)</t>
        </is>
      </c>
      <c r="E9997" t="inlineStr">
        <is>
          <t>Lương:Cạnh tranh</t>
        </is>
      </c>
      <c r="F9997" t="inlineStr">
        <is>
          <t>Hồ Chí Minh</t>
        </is>
      </c>
      <c r="G9997" t="inlineStr">
        <is>
          <t>01-04-2026</t>
        </is>
      </c>
      <c r="H9997" t="inlineStr">
        <is>
          <t>01/04/2026</t>
        </is>
      </c>
      <c r="I9997" t="inlineStr">
        <is>
          <t>17/03/2026</t>
        </is>
      </c>
      <c r="J9997" t="inlineStr">
        <is>
          <t>Dịch vụ khách hàng, Quản lý điều hành, Nhà hàng / Khách sạn</t>
        </is>
      </c>
      <c r="K9997" t="inlineStr">
        <is>
          <t>3 - 5 Năm</t>
        </is>
      </c>
      <c r="L9997" s="8">
        <f>HYPERLINK("https://careerviet.vn/vi/tim-viec-lam/senior-service-excellence-executive.35C6A26F.html","Xem chi tiết")</f>
        <v/>
      </c>
    </row>
    <row r="9998">
      <c r="B9998" s="9" t="n">
        <v>9996</v>
      </c>
      <c r="C9998" s="10" t="inlineStr">
        <is>
          <t>Quản lý tiền sảnh (Front Office Manager)</t>
        </is>
      </c>
      <c r="D9998" s="10" t="inlineStr">
        <is>
          <t>Công Ty Cổ Phần A25 Hotel</t>
        </is>
      </c>
      <c r="E9998" s="10" t="inlineStr">
        <is>
          <t>Lương:18 Tr - 30 Tr VND</t>
        </is>
      </c>
      <c r="F9998" s="10" t="inlineStr">
        <is>
          <t>Hà Nội</t>
        </is>
      </c>
      <c r="G9998" s="10" t="inlineStr">
        <is>
          <t>31-03-2026</t>
        </is>
      </c>
      <c r="H9998" s="10" t="inlineStr">
        <is>
          <t>31/03/2026</t>
        </is>
      </c>
      <c r="I9998" s="10" t="inlineStr">
        <is>
          <t>17/03/2026</t>
        </is>
      </c>
      <c r="J9998" s="10" t="inlineStr">
        <is>
          <t>Nhà hàng / Khách sạn, Dịch vụ khách hàng</t>
        </is>
      </c>
      <c r="K9998" s="10" t="inlineStr">
        <is>
          <t>2 - 3 Năm</t>
        </is>
      </c>
      <c r="L9998" s="11">
        <f>HYPERLINK("https://careerviet.vn/vi/tim-viec-lam/quan-ly-tien-sanh-front-office-manager.35C6A267.html","Xem chi tiết")</f>
        <v/>
      </c>
      <c r="M9998" s="10" t="n"/>
    </row>
    <row r="9999">
      <c r="B9999" s="7" t="n">
        <v>9997</v>
      </c>
      <c r="C9999" t="inlineStr">
        <is>
          <t>Nhân viên giám sát cơ điện</t>
        </is>
      </c>
      <c r="D9999" t="inlineStr">
        <is>
          <t>CÔNG TY TNHH XÂY DỰNG QUỐC TẾ CHUANG XING</t>
        </is>
      </c>
      <c r="E9999" t="inlineStr">
        <is>
          <t>Lương:12 Tr - 15 Tr VND</t>
        </is>
      </c>
      <c r="F9999" t="inlineStr">
        <is>
          <t>Hà Nam</t>
        </is>
      </c>
      <c r="G9999" t="inlineStr">
        <is>
          <t>31-03-2026</t>
        </is>
      </c>
      <c r="H9999" t="inlineStr">
        <is>
          <t>31/03/2026</t>
        </is>
      </c>
      <c r="I9999" t="inlineStr">
        <is>
          <t>17/03/2026</t>
        </is>
      </c>
      <c r="J9999" t="inlineStr">
        <is>
          <t>Xây dựng, Điện / Điện tử / Điện lạnh / Điện công nghiệp</t>
        </is>
      </c>
      <c r="K9999" t="inlineStr">
        <is>
          <t>Trên 1 Năm</t>
        </is>
      </c>
      <c r="L9999" s="8">
        <f>HYPERLINK("https://careerviet.vn/vi/tim-viec-lam/nhan-vien-giam-sat-co-dien.35C6A26B.html","Xem chi tiết")</f>
        <v/>
      </c>
    </row>
    <row r="10000">
      <c r="B10000" s="9" t="n">
        <v>9998</v>
      </c>
      <c r="C10000" s="10" t="inlineStr">
        <is>
          <t>Group General Accountant</t>
        </is>
      </c>
      <c r="D10000" s="10" t="inlineStr">
        <is>
          <t>CÔNG TY CP CHẾ BIẾN DỪA Á CHÂU</t>
        </is>
      </c>
      <c r="E10000" s="10" t="inlineStr">
        <is>
          <t>Lương:Cạnh tranh</t>
        </is>
      </c>
      <c r="F10000" s="10" t="inlineStr">
        <is>
          <t>Hồ Chí Minh</t>
        </is>
      </c>
      <c r="G10000" s="10" t="inlineStr">
        <is>
          <t>11-04-2026</t>
        </is>
      </c>
      <c r="H10000" s="10" t="inlineStr">
        <is>
          <t>11/04/2026</t>
        </is>
      </c>
      <c r="I10000" s="10" t="inlineStr">
        <is>
          <t>17/03/2026</t>
        </is>
      </c>
      <c r="J10000" s="10" t="inlineStr">
        <is>
          <t>Kế toán / Kiểm toán</t>
        </is>
      </c>
      <c r="K10000" s="10" t="inlineStr">
        <is>
          <t>5 - 10 Năm</t>
        </is>
      </c>
      <c r="L10000" s="11">
        <f>HYPERLINK("https://careerviet.vn/vi/tim-viec-lam/group-general-accountant.35C6A27B.html","Xem chi tiết")</f>
        <v/>
      </c>
      <c r="M10000" s="10" t="n"/>
    </row>
    <row r="10001">
      <c r="B10001" s="7" t="n">
        <v>9999</v>
      </c>
      <c r="C10001" t="inlineStr">
        <is>
          <t>Chuyên viên Chiến lược Kinh doanh</t>
        </is>
      </c>
      <c r="D10001" t="inlineStr">
        <is>
          <t>Công ty TNHH Viettel - CHT</t>
        </is>
      </c>
      <c r="E10001" t="inlineStr">
        <is>
          <t>Lương:Cạnh tranh</t>
        </is>
      </c>
      <c r="F10001" t="inlineStr">
        <is>
          <t>Hà Nội</t>
        </is>
      </c>
      <c r="G10001" t="inlineStr">
        <is>
          <t>12-04-2026</t>
        </is>
      </c>
      <c r="H10001" t="inlineStr">
        <is>
          <t>12/04/2026</t>
        </is>
      </c>
      <c r="I10001" t="inlineStr">
        <is>
          <t>17/03/2026</t>
        </is>
      </c>
      <c r="J10001" t="inlineStr">
        <is>
          <t>CNTT - Phần mềm, CNTT - Phần cứng / Mạng, Tiếp thị / Marketing</t>
        </is>
      </c>
      <c r="K10001" t="inlineStr">
        <is>
          <t>Trên 3 Năm</t>
        </is>
      </c>
      <c r="L10001" s="8">
        <f>HYPERLINK("https://careerviet.vn/vi/tim-viec-lam/chuyen-vien-chien-luoc-kinh-doanh.35C654B8.html","Xem chi tiết")</f>
        <v/>
      </c>
    </row>
    <row r="10002">
      <c r="B10002" s="9" t="n">
        <v>10000</v>
      </c>
      <c r="C10002" s="10" t="inlineStr">
        <is>
          <t>[Suối Tiên] Nhân viên kinh doanh thương mại</t>
        </is>
      </c>
      <c r="D10002" s="10" t="inlineStr">
        <is>
          <t>CÔNG TY CỔ PHẦN THÀNH PHỐ DU LỊCH SINH THÁI SƠN TIÊN</t>
        </is>
      </c>
      <c r="E10002" s="10" t="inlineStr">
        <is>
          <t>Lương:Cạnh tranh</t>
        </is>
      </c>
      <c r="F10002" s="10" t="inlineStr">
        <is>
          <t>Hồ Chí Minh</t>
        </is>
      </c>
      <c r="G10002" s="10" t="inlineStr">
        <is>
          <t>01-04-2026</t>
        </is>
      </c>
      <c r="H10002" s="10" t="inlineStr">
        <is>
          <t>01/04/2026</t>
        </is>
      </c>
      <c r="I10002" s="10" t="inlineStr">
        <is>
          <t>17/03/2026</t>
        </is>
      </c>
      <c r="J10002" s="10" t="inlineStr">
        <is>
          <t>Bán hàng / Kinh doanh</t>
        </is>
      </c>
      <c r="K10002" s="10" t="inlineStr">
        <is>
          <t>1 - 2 Năm</t>
        </is>
      </c>
      <c r="L10002" s="11">
        <f>HYPERLINK("https://careerviet.vn/vi/tim-viec-lam/suoi-tien-nhan-vien-kinh-doanh-thuong-mai.35C6A265.html","Xem chi tiết")</f>
        <v/>
      </c>
      <c r="M10002" s="10" t="n"/>
    </row>
    <row r="10003">
      <c r="B10003" s="7" t="n">
        <v>10001</v>
      </c>
      <c r="C10003" t="inlineStr">
        <is>
          <t>Chuyên viên thiết kế</t>
        </is>
      </c>
      <c r="D10003" t="inlineStr">
        <is>
          <t>TỔNG CÔNG TY CỔ PHẦN THƯƠNG MẠI XÂY DỰNG</t>
        </is>
      </c>
      <c r="E10003" t="inlineStr">
        <is>
          <t>Lương:15 Tr - 17 Tr VND</t>
        </is>
      </c>
      <c r="F10003" t="inlineStr">
        <is>
          <t>Hà Nội</t>
        </is>
      </c>
      <c r="G10003" t="inlineStr">
        <is>
          <t>31-03-2026</t>
        </is>
      </c>
      <c r="H10003" t="inlineStr">
        <is>
          <t>31/03/2026</t>
        </is>
      </c>
      <c r="I10003" t="inlineStr">
        <is>
          <t>17/03/2026</t>
        </is>
      </c>
      <c r="J10003" t="inlineStr">
        <is>
          <t>Tiếp thị / Marketing, Dịch vụ khách hàng, Mỹ thuật / Nghệ thuật / Thiết kế</t>
        </is>
      </c>
      <c r="K10003" t="inlineStr">
        <is>
          <t>1 - 2 Năm</t>
        </is>
      </c>
      <c r="L10003" s="8">
        <f>HYPERLINK("https://careerviet.vn/vi/tim-viec-lam/chuyen-vien-thiet-ke.35C6A284.html","Xem chi tiết")</f>
        <v/>
      </c>
    </row>
    <row r="10004">
      <c r="B10004" s="9" t="n">
        <v>10002</v>
      </c>
      <c r="C10004" s="10" t="inlineStr">
        <is>
          <t>LẬP KẾ HOẠCH CHO GAME - GAME DESIGNER</t>
        </is>
      </c>
      <c r="D10004" s="10" t="inlineStr">
        <is>
          <t>Koei Tecmo Software Vietnam</t>
        </is>
      </c>
      <c r="E10004" s="10" t="inlineStr">
        <is>
          <t>Lương:Cạnh tranh</t>
        </is>
      </c>
      <c r="F10004" s="10" t="inlineStr">
        <is>
          <t>Hà Nội</t>
        </is>
      </c>
      <c r="G10004" s="10" t="inlineStr">
        <is>
          <t>12-04-2026</t>
        </is>
      </c>
      <c r="H10004" s="10" t="inlineStr">
        <is>
          <t>12/04/2026</t>
        </is>
      </c>
      <c r="I10004" s="10" t="inlineStr">
        <is>
          <t>17/03/2026</t>
        </is>
      </c>
      <c r="J10004" s="10" t="inlineStr">
        <is>
          <t>Biên phiên dịch, Bưu chính viễn thông, CNTT - Phần cứng / Mạng</t>
        </is>
      </c>
      <c r="K10004" s="10" t="inlineStr">
        <is>
          <t>Chưa có kinh nghiệm</t>
        </is>
      </c>
      <c r="L10004" s="11">
        <f>HYPERLINK("https://careerviet.vn/vi/tim-viec-lam/lap-ke-hoach-cho-game-game-designer.35C6871D.html","Xem chi tiết")</f>
        <v/>
      </c>
      <c r="M10004" s="10" t="n"/>
    </row>
    <row r="10005">
      <c r="B10005" s="7" t="n">
        <v>10003</v>
      </c>
      <c r="C10005" t="inlineStr">
        <is>
          <t>CHUYÊN VIÊN TƯ VẤN ĐẦU TƯ CHỨNG KHOÁN (VŨNG TÀU)</t>
        </is>
      </c>
      <c r="D10005" t="inlineStr">
        <is>
          <t>VDSC - Công ty CP Chứng khoán Rồng Việt</t>
        </is>
      </c>
      <c r="E10005" t="inlineStr">
        <is>
          <t>Lương:7 Tr - 20 Tr VND</t>
        </is>
      </c>
      <c r="F10005" t="inlineStr">
        <is>
          <t>Bà Rịa - Vũng Tàu</t>
        </is>
      </c>
      <c r="G10005" t="inlineStr">
        <is>
          <t>12-04-2026</t>
        </is>
      </c>
      <c r="H10005" t="inlineStr">
        <is>
          <t>12/04/2026</t>
        </is>
      </c>
      <c r="I10005" t="inlineStr">
        <is>
          <t>17/03/2026</t>
        </is>
      </c>
      <c r="J10005" t="inlineStr">
        <is>
          <t>Ngân hàng, Chứng khoán, Tài chính / Đầu tư</t>
        </is>
      </c>
      <c r="K10005" t="inlineStr">
        <is>
          <t>Trên 1 Năm</t>
        </is>
      </c>
      <c r="L10005" s="8">
        <f>HYPERLINK("https://careerviet.vn/vi/tim-viec-lam/chuyen-vien-tu-van-dau-tu-chung-khoan-vung-tau.35C654BE.html","Xem chi tiết")</f>
        <v/>
      </c>
    </row>
    <row r="10006">
      <c r="B10006" s="9" t="n">
        <v>10004</v>
      </c>
      <c r="C10006" s="10" t="inlineStr">
        <is>
          <t>Chuyên viên kế toán (Kho + Quản trị)</t>
        </is>
      </c>
      <c r="D10006" s="10" t="inlineStr">
        <is>
          <t>CÔNG TY TNHH WILMAR MARKETING CLV</t>
        </is>
      </c>
      <c r="E10006" s="10" t="inlineStr">
        <is>
          <t>Lương:15 Tr - 17 Tr VND</t>
        </is>
      </c>
      <c r="F10006" s="10" t="inlineStr">
        <is>
          <t>Hồ Chí Minh</t>
        </is>
      </c>
      <c r="G10006" s="10" t="inlineStr">
        <is>
          <t>12-04-2026</t>
        </is>
      </c>
      <c r="H10006" s="10" t="inlineStr">
        <is>
          <t>12/04/2026</t>
        </is>
      </c>
      <c r="I10006" s="10" t="inlineStr">
        <is>
          <t>17/03/2026</t>
        </is>
      </c>
      <c r="J10006" s="10" t="inlineStr">
        <is>
          <t>Kế toán / Kiểm toán</t>
        </is>
      </c>
      <c r="K10006" s="10" t="inlineStr">
        <is>
          <t>2 - 4 Năm</t>
        </is>
      </c>
      <c r="L10006" s="11">
        <f>HYPERLINK("https://careerviet.vn/vi/tim-viec-lam/chuyen-vien-ke-toan-kho-quan-tri.35C686DF.html","Xem chi tiết")</f>
        <v/>
      </c>
      <c r="M10006" s="10" t="n"/>
    </row>
    <row r="10007">
      <c r="B10007" s="7" t="n">
        <v>10005</v>
      </c>
      <c r="C10007" t="inlineStr">
        <is>
          <t>Kế Toán Công Nợ</t>
        </is>
      </c>
      <c r="D10007" t="inlineStr">
        <is>
          <t>CÔNG TY TNHH THƯƠNG MẠI  ĐẮC YẾN</t>
        </is>
      </c>
      <c r="E10007" t="inlineStr">
        <is>
          <t>Lương:10 Tr - 15 Tr VND</t>
        </is>
      </c>
      <c r="F10007" t="inlineStr">
        <is>
          <t>Hồ Chí Minh</t>
        </is>
      </c>
      <c r="G10007" t="inlineStr">
        <is>
          <t>12-04-2026</t>
        </is>
      </c>
      <c r="H10007" t="inlineStr">
        <is>
          <t>12/04/2026</t>
        </is>
      </c>
      <c r="I10007" t="inlineStr">
        <is>
          <t>17/03/2026</t>
        </is>
      </c>
      <c r="J10007" t="inlineStr">
        <is>
          <t>Bán hàng / Kinh doanh, Kế toán / Kiểm toán, Cơ khí / Ô tô / Tự động hóa</t>
        </is>
      </c>
      <c r="K10007" t="inlineStr">
        <is>
          <t>1 - 5 Năm</t>
        </is>
      </c>
      <c r="L10007" s="8">
        <f>HYPERLINK("https://careerviet.vn/vi/tim-viec-lam/ke-toan-cong-no.35C68702.html","Xem chi tiết")</f>
        <v/>
      </c>
    </row>
    <row r="10008">
      <c r="B10008" s="9" t="n">
        <v>10006</v>
      </c>
      <c r="C10008" s="10" t="inlineStr">
        <is>
          <t>Trưởng Phòng HCNS</t>
        </is>
      </c>
      <c r="D10008" s="10" t="inlineStr">
        <is>
          <t>Công Ty Cổ Phần Tập Đoàn Trần Anh Long An</t>
        </is>
      </c>
      <c r="E10008" s="10" t="inlineStr">
        <is>
          <t>Lương:Cạnh tranh</t>
        </is>
      </c>
      <c r="F10008" s="10" t="inlineStr">
        <is>
          <t>Long An</t>
        </is>
      </c>
      <c r="G10008" s="10" t="inlineStr">
        <is>
          <t>12-04-2026</t>
        </is>
      </c>
      <c r="H10008" s="10" t="inlineStr">
        <is>
          <t>12/04/2026</t>
        </is>
      </c>
      <c r="I10008" s="10" t="inlineStr">
        <is>
          <t>17/03/2026</t>
        </is>
      </c>
      <c r="J10008" s="10" t="inlineStr">
        <is>
          <t>Quản lý điều hành, Hành chính / Thư ký, Nhân sự</t>
        </is>
      </c>
      <c r="K10008" s="10" t="inlineStr">
        <is>
          <t>Trên 5 Năm</t>
        </is>
      </c>
      <c r="L10008" s="11">
        <f>HYPERLINK("https://careerviet.vn/vi/tim-viec-lam/truong-phong-hcns.35C65491.html","Xem chi tiết")</f>
        <v/>
      </c>
      <c r="M10008" s="10" t="n"/>
    </row>
    <row r="10009">
      <c r="B10009" s="7" t="n">
        <v>10007</v>
      </c>
      <c r="C10009" t="inlineStr">
        <is>
          <t>Tổ trưởng quản lý chất lượng</t>
        </is>
      </c>
      <c r="D10009" t="inlineStr">
        <is>
          <t>Công ty TNHH SX-TM-DV Qui Phúc</t>
        </is>
      </c>
      <c r="E10009" t="inlineStr">
        <is>
          <t>Lương:14 Tr - 16 Tr VND</t>
        </is>
      </c>
      <c r="F10009" t="inlineStr">
        <is>
          <t>Hồ Chí Minh</t>
        </is>
      </c>
      <c r="G10009" t="inlineStr">
        <is>
          <t>12-04-2026</t>
        </is>
      </c>
      <c r="H10009" t="inlineStr">
        <is>
          <t>12/04/2026</t>
        </is>
      </c>
      <c r="I10009" t="inlineStr">
        <is>
          <t>17/03/2026</t>
        </is>
      </c>
      <c r="J10009" t="inlineStr">
        <is>
          <t>Quản lý điều hành, Quản lý chất lượng (QA/QC), Nội ngoại thất</t>
        </is>
      </c>
      <c r="K10009" t="inlineStr">
        <is>
          <t>3 - 5 Năm</t>
        </is>
      </c>
      <c r="L10009" s="8">
        <f>HYPERLINK("https://careerviet.vn/vi/tim-viec-lam/to-truong-quan-ly-chat-luong.35C65468.html","Xem chi tiết")</f>
        <v/>
      </c>
    </row>
    <row r="10010">
      <c r="B10010" s="9" t="n">
        <v>10008</v>
      </c>
      <c r="C10010" s="10" t="inlineStr">
        <is>
          <t>Graphic Designer</t>
        </is>
      </c>
      <c r="D10010" s="10" t="inlineStr">
        <is>
          <t>Công ty Cổ phần CANIFA</t>
        </is>
      </c>
      <c r="E10010" s="10" t="inlineStr">
        <is>
          <t>Lương:16 Tr - 25 Tr VND</t>
        </is>
      </c>
      <c r="F10010" s="10" t="inlineStr">
        <is>
          <t>Hà Nội</t>
        </is>
      </c>
      <c r="G10010" s="10" t="inlineStr">
        <is>
          <t>12-04-2026</t>
        </is>
      </c>
      <c r="H10010" s="10" t="inlineStr">
        <is>
          <t>12/04/2026</t>
        </is>
      </c>
      <c r="I10010" s="10" t="inlineStr">
        <is>
          <t>17/03/2026</t>
        </is>
      </c>
      <c r="J10010" s="10" t="inlineStr">
        <is>
          <t>Mỹ thuật / Nghệ thuật / Thiết kế, Dệt may / Da giày / Thời trang, Quảng cáo / Đối ngoại / Truyền Thông</t>
        </is>
      </c>
      <c r="K10010" s="10" t="inlineStr">
        <is>
          <t>3 - 5 Năm</t>
        </is>
      </c>
      <c r="L10010" s="11">
        <f>HYPERLINK("https://careerviet.vn/vi/tim-viec-lam/graphic-designer.35C68682.html","Xem chi tiết")</f>
        <v/>
      </c>
      <c r="M10010" s="10" t="n"/>
    </row>
    <row r="10011">
      <c r="B10011" s="7" t="n">
        <v>10009</v>
      </c>
      <c r="C10011" t="inlineStr">
        <is>
          <t>Chuyên viên hành chính - Mua sắm tập trung</t>
        </is>
      </c>
      <c r="D10011" t="inlineStr">
        <is>
          <t>Công ty Cổ phần CANIFA</t>
        </is>
      </c>
      <c r="E10011" t="inlineStr">
        <is>
          <t>Lương:16 Tr - 20 Tr VND</t>
        </is>
      </c>
      <c r="F10011" t="inlineStr">
        <is>
          <t>Hà Nội</t>
        </is>
      </c>
      <c r="G10011" t="inlineStr">
        <is>
          <t>12-04-2026</t>
        </is>
      </c>
      <c r="H10011" t="inlineStr">
        <is>
          <t>12/04/2026</t>
        </is>
      </c>
      <c r="I10011" t="inlineStr">
        <is>
          <t>17/03/2026</t>
        </is>
      </c>
      <c r="J10011" t="inlineStr">
        <is>
          <t>Hành chính / Thư ký, Thu mua / Vật tư</t>
        </is>
      </c>
      <c r="K10011" t="inlineStr">
        <is>
          <t>3 - 5 Năm</t>
        </is>
      </c>
      <c r="L10011" s="8">
        <f>HYPERLINK("https://careerviet.vn/vi/tim-viec-lam/chuyen-vien-hanh-chinh-mua-sam-tap-trung.35C6864C.html","Xem chi tiết")</f>
        <v/>
      </c>
    </row>
    <row r="10012">
      <c r="B10012" s="9" t="n">
        <v>10010</v>
      </c>
      <c r="C10012" s="10" t="inlineStr">
        <is>
          <t>Sales Support (HCMC)</t>
        </is>
      </c>
      <c r="D10012" s="10" t="inlineStr">
        <is>
          <t>TÜV Rheinland Vietnam</t>
        </is>
      </c>
      <c r="E10012" s="10" t="inlineStr">
        <is>
          <t>Lương:Cạnh tranh</t>
        </is>
      </c>
      <c r="F10012" s="10" t="inlineStr">
        <is>
          <t>Hồ Chí Minh</t>
        </is>
      </c>
      <c r="G10012" s="10" t="inlineStr">
        <is>
          <t>12-04-2026</t>
        </is>
      </c>
      <c r="H10012" s="10" t="inlineStr">
        <is>
          <t>12/04/2026</t>
        </is>
      </c>
      <c r="I10012" s="10" t="inlineStr">
        <is>
          <t>17/03/2026</t>
        </is>
      </c>
      <c r="J10012" s="10" t="inlineStr">
        <is>
          <t>Bán hàng / Kinh doanh, Dịch vụ khách hàng, Mới tốt nghiệp / Thực tập</t>
        </is>
      </c>
      <c r="K10012" s="10" t="inlineStr">
        <is>
          <t>Chưa có kinh nghiệm</t>
        </is>
      </c>
      <c r="L10012" s="11">
        <f>HYPERLINK("https://careerviet.vn/vi/tim-viec-lam/sales-support-hcmc.35C68759.html","Xem chi tiết")</f>
        <v/>
      </c>
      <c r="M10012" s="10" t="n"/>
    </row>
    <row r="10013">
      <c r="B10013" s="7" t="n">
        <v>10011</v>
      </c>
      <c r="C10013" t="inlineStr">
        <is>
          <t>[Sóc Trăng - Cần Thơ - Bạc Liêu] Chuyên Viên Tư Vấn Bảo Hiểm - Kênh Liên Doanh Ngân Hàng BIDV</t>
        </is>
      </c>
      <c r="D10013" t="inlineStr">
        <is>
          <t>Công Ty TNHH Bảo Hiểm Nhân Thọ BIDV MetLife</t>
        </is>
      </c>
      <c r="E10013" t="inlineStr">
        <is>
          <t>Lương:Cạnh tranh</t>
        </is>
      </c>
      <c r="F10013" t="inlineStr">
        <is>
          <t>Cần ThơBạc LiêuSóc Trăng</t>
        </is>
      </c>
      <c r="G10013" t="inlineStr">
        <is>
          <t>12-04-2026</t>
        </is>
      </c>
      <c r="H10013" t="inlineStr">
        <is>
          <t>12/04/2026</t>
        </is>
      </c>
      <c r="I10013" t="inlineStr">
        <is>
          <t>17/03/2026</t>
        </is>
      </c>
      <c r="J10013" t="inlineStr">
        <is>
          <t>Ngân hàng, Bán hàng / Kinh doanh, Bảo hiểm</t>
        </is>
      </c>
      <c r="K10013" t="inlineStr">
        <is>
          <t>N/A</t>
        </is>
      </c>
      <c r="L10013" s="8">
        <f>HYPERLINK("https://careerviet.vn/vi/tim-viec-lam/soc-trang-can-tho-bac-lieu-chuyen-vien-tu-van-bao-hiem-kenh-lien-doanh-ngan-hang-bidv.35C65374.html","Xem chi tiết")</f>
        <v/>
      </c>
    </row>
    <row r="10014">
      <c r="B10014" s="9" t="n">
        <v>10012</v>
      </c>
      <c r="C10014" s="10" t="inlineStr">
        <is>
          <t>Key Account Assistant Manager</t>
        </is>
      </c>
      <c r="D10014" s="10" t="inlineStr">
        <is>
          <t>CÔNG TY CỔ PHẦN  ITL LOGISTICS</t>
        </is>
      </c>
      <c r="E10014" s="10" t="inlineStr">
        <is>
          <t>Lương:Cạnh tranh</t>
        </is>
      </c>
      <c r="F10014" s="10" t="inlineStr">
        <is>
          <t>Hà Nội</t>
        </is>
      </c>
      <c r="G10014" s="10" t="inlineStr">
        <is>
          <t>12-04-2026</t>
        </is>
      </c>
      <c r="H10014" s="10" t="inlineStr">
        <is>
          <t>12/04/2026</t>
        </is>
      </c>
      <c r="I10014" s="10" t="inlineStr">
        <is>
          <t>17/03/2026</t>
        </is>
      </c>
      <c r="J10014" s="10" t="inlineStr">
        <is>
          <t>Vận chuyển / Giao nhận / Kho vận</t>
        </is>
      </c>
      <c r="K10014" s="10" t="inlineStr">
        <is>
          <t>Trên 2 Năm</t>
        </is>
      </c>
      <c r="L10014" s="11">
        <f>HYPERLINK("https://careerviet.vn/vi/tim-viec-lam/key-account-assistant-manager.35C6547C.html","Xem chi tiết")</f>
        <v/>
      </c>
      <c r="M10014" s="10" t="n"/>
    </row>
    <row r="10015">
      <c r="B10015" s="7" t="n">
        <v>10013</v>
      </c>
      <c r="C10015" t="inlineStr">
        <is>
          <t>Lập trình POS - ODOO - PYTHON</t>
        </is>
      </c>
      <c r="D10015" t="inlineStr">
        <is>
          <t>Công ty Cổ phần CANIFA</t>
        </is>
      </c>
      <c r="E10015" t="inlineStr">
        <is>
          <t>Lương:15 Tr - 20 Tr VND</t>
        </is>
      </c>
      <c r="F10015" t="inlineStr">
        <is>
          <t>Hà Nội</t>
        </is>
      </c>
      <c r="G10015" t="inlineStr">
        <is>
          <t>12-04-2026</t>
        </is>
      </c>
      <c r="H10015" t="inlineStr">
        <is>
          <t>12/04/2026</t>
        </is>
      </c>
      <c r="I10015" t="inlineStr">
        <is>
          <t>17/03/2026</t>
        </is>
      </c>
      <c r="J10015" t="inlineStr">
        <is>
          <t>CNTT - Phần mềm</t>
        </is>
      </c>
      <c r="K10015" t="inlineStr">
        <is>
          <t>1 - 3 Năm</t>
        </is>
      </c>
      <c r="L10015" s="8">
        <f>HYPERLINK("https://careerviet.vn/vi/tim-viec-lam/lap-trinh-pos-odoo-python.35C68675.html","Xem chi tiết")</f>
        <v/>
      </c>
    </row>
    <row r="10016">
      <c r="B10016" s="9" t="n">
        <v>10014</v>
      </c>
      <c r="C10016" s="10" t="inlineStr">
        <is>
          <t>NHÂN VIÊN HÀNH CHÍNH (Chợ Lách, Bến Tre)</t>
        </is>
      </c>
      <c r="D10016" s="10" t="inlineStr">
        <is>
          <t>CÔNG TY TNHH XUẤT - NHẬP KHẨU TRÁI CÂY CHÁNH THU</t>
        </is>
      </c>
      <c r="E10016" s="10" t="inlineStr">
        <is>
          <t>Lương:Cạnh tranh</t>
        </is>
      </c>
      <c r="F10016" s="10" t="inlineStr">
        <is>
          <t>Bến Tre</t>
        </is>
      </c>
      <c r="G10016" s="10" t="inlineStr">
        <is>
          <t>12-04-2026</t>
        </is>
      </c>
      <c r="H10016" s="10" t="inlineStr">
        <is>
          <t>12/04/2026</t>
        </is>
      </c>
      <c r="I10016" s="10" t="inlineStr">
        <is>
          <t>17/03/2026</t>
        </is>
      </c>
      <c r="J10016" s="10" t="inlineStr">
        <is>
          <t>Hành chính / Thư ký, Nhân sự, Sản xuất / Vận hành sản xuất</t>
        </is>
      </c>
      <c r="K10016" s="10" t="inlineStr">
        <is>
          <t>1 - 2 Năm</t>
        </is>
      </c>
      <c r="L10016" s="11">
        <f>HYPERLINK("https://careerviet.vn/vi/tim-viec-lam/nhan-vien-hanh-chinh-cho-lach-ben-tre.35C653EF.html","Xem chi tiết")</f>
        <v/>
      </c>
      <c r="M10016" s="10" t="n"/>
    </row>
    <row r="10017">
      <c r="B10017" s="7" t="n">
        <v>10015</v>
      </c>
      <c r="C10017" t="inlineStr">
        <is>
          <t>Chuyên viên Hỗ trợ nguồn vốn - Treasury Operation Officer - Khối Vận hành</t>
        </is>
      </c>
      <c r="D10017" t="inlineStr">
        <is>
          <t>Công Ty Tài Chính TNHH MB SHINSEI (MCREDIT)</t>
        </is>
      </c>
      <c r="E10017" t="inlineStr">
        <is>
          <t>Lương:Cạnh tranh</t>
        </is>
      </c>
      <c r="F10017" t="inlineStr">
        <is>
          <t>Hà Nội</t>
        </is>
      </c>
      <c r="G10017" t="inlineStr">
        <is>
          <t>12-04-2026</t>
        </is>
      </c>
      <c r="H10017" t="inlineStr">
        <is>
          <t>12/04/2026</t>
        </is>
      </c>
      <c r="I10017" t="inlineStr">
        <is>
          <t>17/03/2026</t>
        </is>
      </c>
      <c r="J10017" t="inlineStr">
        <is>
          <t>Hành chính / Thư ký, Ngân hàng, Tài chính / Đầu tư</t>
        </is>
      </c>
      <c r="K10017" t="inlineStr">
        <is>
          <t>1 - 3 Năm</t>
        </is>
      </c>
      <c r="L10017" s="8">
        <f>HYPERLINK("https://careerviet.vn/vi/tim-viec-lam/chuyen-vien-ho-tro-nguon-von-treasury-operation-officer-khoi-van-hanh.35C654AE.html","Xem chi tiết")</f>
        <v/>
      </c>
    </row>
    <row r="10018">
      <c r="B10018" s="9" t="n">
        <v>10016</v>
      </c>
      <c r="C10018" s="10" t="inlineStr">
        <is>
          <t>HCM - Nhân viên Chăm Sóc Khách Hàng</t>
        </is>
      </c>
      <c r="D10018" s="10" t="inlineStr">
        <is>
          <t>Công ty TNHH Thiên Thủy Mộc</t>
        </is>
      </c>
      <c r="E10018" s="10" t="inlineStr">
        <is>
          <t>Lương:8 Tr - 10 Tr VND</t>
        </is>
      </c>
      <c r="F10018" s="10" t="inlineStr">
        <is>
          <t>Hồ Chí Minh</t>
        </is>
      </c>
      <c r="G10018" s="10" t="inlineStr">
        <is>
          <t>12-04-2026</t>
        </is>
      </c>
      <c r="H10018" s="10" t="inlineStr">
        <is>
          <t>12/04/2026</t>
        </is>
      </c>
      <c r="I10018" s="10" t="inlineStr">
        <is>
          <t>17/03/2026</t>
        </is>
      </c>
      <c r="J10018" s="10" t="inlineStr">
        <is>
          <t>Dịch vụ khách hàng, Tư vấn</t>
        </is>
      </c>
      <c r="K10018" s="10" t="inlineStr">
        <is>
          <t>1 - 2 Năm</t>
        </is>
      </c>
      <c r="L10018" s="11">
        <f>HYPERLINK("https://careerviet.vn/vi/tim-viec-lam/hcm-nhan-vien-cham-soc-khach-hang.35C6552A.html","Xem chi tiết")</f>
        <v/>
      </c>
      <c r="M10018" s="10" t="n"/>
    </row>
    <row r="10019">
      <c r="B10019" s="7" t="n">
        <v>10017</v>
      </c>
      <c r="C10019" t="inlineStr">
        <is>
          <t>Trưởng Phòng Kiến Trúc Sư</t>
        </is>
      </c>
      <c r="D10019" t="inlineStr">
        <is>
          <t>CÔNG TY CỔ PHẦN ANGEL CORPORATION</t>
        </is>
      </c>
      <c r="E10019" t="inlineStr">
        <is>
          <t>Lương:25 Tr - 30 Tr VND</t>
        </is>
      </c>
      <c r="F10019" t="inlineStr">
        <is>
          <t>Hồ Chí Minh</t>
        </is>
      </c>
      <c r="G10019" t="inlineStr">
        <is>
          <t>12-04-2026</t>
        </is>
      </c>
      <c r="H10019" t="inlineStr">
        <is>
          <t>12/04/2026</t>
        </is>
      </c>
      <c r="I10019" t="inlineStr">
        <is>
          <t>17/03/2026</t>
        </is>
      </c>
      <c r="J10019" t="inlineStr">
        <is>
          <t>Kiến trúc, Ngành khác, Nội ngoại thất</t>
        </is>
      </c>
      <c r="K10019" t="inlineStr">
        <is>
          <t>5 - 6 Năm</t>
        </is>
      </c>
      <c r="L10019" s="8">
        <f>HYPERLINK("https://careerviet.vn/vi/tim-viec-lam/truong-phong-kien-truc-su.35C67BDB.html","Xem chi tiết")</f>
        <v/>
      </c>
    </row>
    <row r="10020">
      <c r="B10020" s="9" t="n">
        <v>10018</v>
      </c>
      <c r="C10020" s="10" t="inlineStr">
        <is>
          <t>Kiến Trúc Sư Công Trình</t>
        </is>
      </c>
      <c r="D10020" s="10" t="inlineStr">
        <is>
          <t>CÔNG TY TƯ VẤN XÂY DỰNG HÀ NỘI - Thuộc Tập đoàn AMACCAO</t>
        </is>
      </c>
      <c r="E10020" s="10" t="inlineStr">
        <is>
          <t>Lương:18 Tr - 25 Tr VND</t>
        </is>
      </c>
      <c r="F10020" s="10" t="inlineStr">
        <is>
          <t>Hà Nội</t>
        </is>
      </c>
      <c r="G10020" s="10" t="inlineStr">
        <is>
          <t>12-04-2026</t>
        </is>
      </c>
      <c r="H10020" s="10" t="inlineStr">
        <is>
          <t>12/04/2026</t>
        </is>
      </c>
      <c r="I10020" s="10" t="inlineStr">
        <is>
          <t>17/03/2026</t>
        </is>
      </c>
      <c r="J10020" s="10" t="inlineStr">
        <is>
          <t>Kiến trúc, Xây dựng, Nội ngoại thất</t>
        </is>
      </c>
      <c r="K10020" s="10" t="inlineStr">
        <is>
          <t>2 - 5 Năm</t>
        </is>
      </c>
      <c r="L10020" s="11">
        <f>HYPERLINK("https://careerviet.vn/vi/tim-viec-lam/kien-truc-su-cong-trinh.35C68672.html","Xem chi tiết")</f>
        <v/>
      </c>
      <c r="M10020" s="10" t="n"/>
    </row>
    <row r="10021">
      <c r="B10021" s="7" t="n">
        <v>10019</v>
      </c>
      <c r="C10021" t="inlineStr">
        <is>
          <t>Chuyên Viên Quy Hoạch &amp; Phát Triển Dự Án</t>
        </is>
      </c>
      <c r="D10021" t="inlineStr">
        <is>
          <t>TỔNG CÔNG TY CỔ PHẦN THƯƠNG MẠI XÂY DỰNG</t>
        </is>
      </c>
      <c r="E10021" t="inlineStr">
        <is>
          <t>Lương:17 Tr - 40 Tr VND</t>
        </is>
      </c>
      <c r="F10021" t="inlineStr">
        <is>
          <t>Hà Nội</t>
        </is>
      </c>
      <c r="G10021" t="inlineStr">
        <is>
          <t>12-04-2026</t>
        </is>
      </c>
      <c r="H10021" t="inlineStr">
        <is>
          <t>12/04/2026</t>
        </is>
      </c>
      <c r="I10021" t="inlineStr">
        <is>
          <t>17/03/2026</t>
        </is>
      </c>
      <c r="J10021" t="inlineStr">
        <is>
          <t>Xây dựng, Bất động sản</t>
        </is>
      </c>
      <c r="K10021" t="inlineStr">
        <is>
          <t>3 - 5 Năm</t>
        </is>
      </c>
      <c r="L10021" s="8">
        <f>HYPERLINK("https://careerviet.vn/vi/tim-viec-lam/chuyen-vien-quy-hoach-phat-trien-du-an.35C68618.html","Xem chi tiết")</f>
        <v/>
      </c>
    </row>
    <row r="10022">
      <c r="B10022" s="9" t="n">
        <v>10020</v>
      </c>
      <c r="C10022" s="10" t="inlineStr">
        <is>
          <t>Inside Sales Executive / Customer Services Executive</t>
        </is>
      </c>
      <c r="D10022" s="10" t="inlineStr">
        <is>
          <t>Công Ty TNHH Metkraft</t>
        </is>
      </c>
      <c r="E10022" s="10" t="inlineStr">
        <is>
          <t>Lương:Cạnh tranh</t>
        </is>
      </c>
      <c r="F10022" s="10" t="inlineStr">
        <is>
          <t>Hồ Chí Minh</t>
        </is>
      </c>
      <c r="G10022" s="10" t="inlineStr">
        <is>
          <t>12-04-2026</t>
        </is>
      </c>
      <c r="H10022" s="10" t="inlineStr">
        <is>
          <t>12/04/2026</t>
        </is>
      </c>
      <c r="I10022" s="10" t="inlineStr">
        <is>
          <t>17/03/2026</t>
        </is>
      </c>
      <c r="J10022" s="10" t="inlineStr">
        <is>
          <t>Cơ khí / Ô tô / Tự động hóa, Bán hàng / Kinh doanh, Tiếp thị / Marketing</t>
        </is>
      </c>
      <c r="K10022" s="10" t="inlineStr">
        <is>
          <t>1 - 7 Năm</t>
        </is>
      </c>
      <c r="L10022" s="11">
        <f>HYPERLINK("https://careerviet.vn/vi/tim-viec-lam/inside-sales-executive-customer-services-executive.35C653A7.html","Xem chi tiết")</f>
        <v/>
      </c>
      <c r="M10022" s="10" t="n"/>
    </row>
    <row r="10023">
      <c r="B10023" s="7" t="n">
        <v>10021</v>
      </c>
      <c r="C10023" t="inlineStr">
        <is>
          <t>NHÂN VIÊN KINH DOANH THỊ TRƯỜNG (NGÀNH DẦU NHỚT)</t>
        </is>
      </c>
      <c r="D10023" t="inlineStr">
        <is>
          <t>CÔNG TY CỔ PHẦN THƯƠNG MẠI SONG ĐẠI LONG</t>
        </is>
      </c>
      <c r="E10023" t="inlineStr">
        <is>
          <t>Lương:8 Tr - 25 Tr VND</t>
        </is>
      </c>
      <c r="F10023" t="inlineStr">
        <is>
          <t>Hồ Chí Minh</t>
        </is>
      </c>
      <c r="G10023" t="inlineStr">
        <is>
          <t>12-04-2026</t>
        </is>
      </c>
      <c r="H10023" t="inlineStr">
        <is>
          <t>12/04/2026</t>
        </is>
      </c>
      <c r="I10023" t="inlineStr">
        <is>
          <t>17/03/2026</t>
        </is>
      </c>
      <c r="J10023" t="inlineStr">
        <is>
          <t>Bán lẻ / Bán sỉ, Hóa học, Bán hàng / Kinh doanh</t>
        </is>
      </c>
      <c r="K10023" t="inlineStr">
        <is>
          <t>Trên 1 Năm</t>
        </is>
      </c>
      <c r="L10023" s="8">
        <f>HYPERLINK("https://careerviet.vn/vi/tim-viec-lam/nhan-vien-kinh-doanh-thi-truong-nganh-dau-nhot.35C6862B.html","Xem chi tiết")</f>
        <v/>
      </c>
    </row>
    <row r="10024">
      <c r="B10024" s="9" t="n">
        <v>10022</v>
      </c>
      <c r="C10024" s="10" t="inlineStr">
        <is>
          <t>Nhân viên bán hàng tại Biên Hòa</t>
        </is>
      </c>
      <c r="D10024" s="10" t="inlineStr">
        <is>
          <t>HMK Eyewear</t>
        </is>
      </c>
      <c r="E10024" s="10" t="inlineStr">
        <is>
          <t>Lương:8 Tr - 15 Tr VND</t>
        </is>
      </c>
      <c r="F10024" s="10" t="inlineStr">
        <is>
          <t>Đồng Nai</t>
        </is>
      </c>
      <c r="G10024" s="10" t="inlineStr">
        <is>
          <t>12-04-2026</t>
        </is>
      </c>
      <c r="H10024" s="10" t="inlineStr">
        <is>
          <t>12/04/2026</t>
        </is>
      </c>
      <c r="I10024" s="10" t="inlineStr">
        <is>
          <t>17/03/2026</t>
        </is>
      </c>
      <c r="J10024" s="10" t="inlineStr">
        <is>
          <t>Tiếp thị / Marketing, Bán lẻ / Bán sỉ, Bán hàng / Kinh doanh</t>
        </is>
      </c>
      <c r="K10024" s="10" t="inlineStr">
        <is>
          <t>Chưa có kinh nghiệm</t>
        </is>
      </c>
      <c r="L10024" s="11">
        <f>HYPERLINK("https://careerviet.vn/vi/tim-viec-lam/nhan-vien-ban-hang-tai-bien-hoa.35C653B7.html","Xem chi tiết")</f>
        <v/>
      </c>
      <c r="M10024" s="10" t="n"/>
    </row>
    <row r="10025">
      <c r="B10025" s="7" t="n">
        <v>10023</v>
      </c>
      <c r="C10025" t="inlineStr">
        <is>
          <t>Nhân viên Hướng nghiệp và Du học</t>
        </is>
      </c>
      <c r="D10025" t="inlineStr">
        <is>
          <t>HỆ THỐNG GIÁO DỤC EDUFIT</t>
        </is>
      </c>
      <c r="E10025" t="inlineStr">
        <is>
          <t>Lương:Trên 12 Tr VND</t>
        </is>
      </c>
      <c r="F10025" t="inlineStr">
        <is>
          <t>Hải Phòng</t>
        </is>
      </c>
      <c r="G10025" t="inlineStr">
        <is>
          <t>12-04-2026</t>
        </is>
      </c>
      <c r="H10025" t="inlineStr">
        <is>
          <t>12/04/2026</t>
        </is>
      </c>
      <c r="I10025" t="inlineStr">
        <is>
          <t>17/03/2026</t>
        </is>
      </c>
      <c r="J10025" t="inlineStr">
        <is>
          <t>Tư vấn, Giáo dục / Đào tạo</t>
        </is>
      </c>
      <c r="K10025" t="inlineStr">
        <is>
          <t>2 - 3 Năm</t>
        </is>
      </c>
      <c r="L10025" s="8">
        <f>HYPERLINK("https://careerviet.vn/vi/tim-viec-lam/nhan-vien-huong-nghiep-va-du-hoc.35C65515.html","Xem chi tiết")</f>
        <v/>
      </c>
    </row>
    <row r="10026">
      <c r="B10026" s="9" t="n">
        <v>10024</v>
      </c>
      <c r="C10026" s="10" t="inlineStr">
        <is>
          <t>Phiên dịch viên Tiếng  Trung (Chinese Interpreter)</t>
        </is>
      </c>
      <c r="D10026" s="10" t="inlineStr">
        <is>
          <t>CÔNG TY TNHH ELECTRONIC TRIPOD VIỆT NAM (BIÊN HÒA)</t>
        </is>
      </c>
      <c r="E10026" s="10" t="inlineStr">
        <is>
          <t>Lương:Cạnh tranh</t>
        </is>
      </c>
      <c r="F10026" s="10" t="inlineStr">
        <is>
          <t>Đồng Nai</t>
        </is>
      </c>
      <c r="G10026" s="10" t="inlineStr">
        <is>
          <t>12-04-2026</t>
        </is>
      </c>
      <c r="H10026" s="10" t="inlineStr">
        <is>
          <t>12/04/2026</t>
        </is>
      </c>
      <c r="I10026" s="10" t="inlineStr">
        <is>
          <t>17/03/2026</t>
        </is>
      </c>
      <c r="J10026" s="10" t="inlineStr">
        <is>
          <t>Biên phiên dịch</t>
        </is>
      </c>
      <c r="K10026" s="10" t="inlineStr">
        <is>
          <t>1 - 2 Năm</t>
        </is>
      </c>
      <c r="L10026" s="11">
        <f>HYPERLINK("https://careerviet.vn/vi/tim-viec-lam/phien-dich-vien-tieng-trung-chinese-interpreter.35C686B0.html","Xem chi tiết")</f>
        <v/>
      </c>
      <c r="M10026" s="10" t="n"/>
    </row>
    <row r="10027">
      <c r="B10027" s="7" t="n">
        <v>10025</v>
      </c>
      <c r="C10027" t="inlineStr">
        <is>
          <t>Chuyên Viên Tài Chính (Trái Phiếu)</t>
        </is>
      </c>
      <c r="D10027" t="inlineStr">
        <is>
          <t>Công Ty Cổ Phần Tập Đoàn Đầu Tư Địa Ốc No Va</t>
        </is>
      </c>
      <c r="E10027" t="inlineStr">
        <is>
          <t>Lương:20 Tr - 30 Tr VND</t>
        </is>
      </c>
      <c r="F10027" t="inlineStr">
        <is>
          <t>Hồ Chí Minh</t>
        </is>
      </c>
      <c r="G10027" t="inlineStr">
        <is>
          <t>12-04-2026</t>
        </is>
      </c>
      <c r="H10027" t="inlineStr">
        <is>
          <t>12/04/2026</t>
        </is>
      </c>
      <c r="I10027" t="inlineStr">
        <is>
          <t>17/03/2026</t>
        </is>
      </c>
      <c r="J10027" t="inlineStr">
        <is>
          <t>Kế toán / Kiểm toán, Ngân hàng, Tài chính / Đầu tư</t>
        </is>
      </c>
      <c r="K10027" t="inlineStr">
        <is>
          <t>2 - 5 Năm</t>
        </is>
      </c>
      <c r="L10027" s="8">
        <f>HYPERLINK("https://careerviet.vn/vi/tim-viec-lam/chuyen-vien-tai-chinh-trai-phieu.35C6866E.html","Xem chi tiết")</f>
        <v/>
      </c>
    </row>
    <row r="10028">
      <c r="B10028" s="9" t="n">
        <v>10026</v>
      </c>
      <c r="C10028" s="10" t="inlineStr">
        <is>
          <t>Chuyên Viên Hỗ Trợ Nghiệp Vụ - Hỗ trợ tín dụng Khách Hàng SME - Hà Nội - TA162</t>
        </is>
      </c>
      <c r="D10028" s="10" t="inlineStr">
        <is>
          <t>Ngân Hàng TMCP Việt Nam Thịnh Vượng - VPBANK</t>
        </is>
      </c>
      <c r="E10028" s="10" t="inlineStr">
        <is>
          <t>Lương:Cạnh tranh</t>
        </is>
      </c>
      <c r="F10028" s="10" t="inlineStr">
        <is>
          <t>Hà Nội</t>
        </is>
      </c>
      <c r="G10028" s="10" t="inlineStr">
        <is>
          <t>12-04-2026</t>
        </is>
      </c>
      <c r="H10028" s="10" t="inlineStr">
        <is>
          <t>12/04/2026</t>
        </is>
      </c>
      <c r="I10028" s="10" t="inlineStr">
        <is>
          <t>17/03/2026</t>
        </is>
      </c>
      <c r="J10028" s="10" t="inlineStr">
        <is>
          <t>Ngân hàng</t>
        </is>
      </c>
      <c r="K10028" s="10" t="inlineStr">
        <is>
          <t>1 - 2 Năm</t>
        </is>
      </c>
      <c r="L10028" s="11">
        <f>HYPERLINK("https://careerviet.vn/vi/tim-viec-lam/chuyen-vien-ho-tro-nghiep-vu-ho-tro-tin-dung-khach-hang-sme-ha-noi-ta162.35C6865A.html","Xem chi tiết")</f>
        <v/>
      </c>
      <c r="M10028" s="10" t="n"/>
    </row>
    <row r="10029">
      <c r="B10029" s="7" t="n">
        <v>10027</v>
      </c>
      <c r="C10029" t="inlineStr">
        <is>
          <t>PHÂN TÍCH NGHIỆP VỤ CÔNG NGHỆ THÔNG TIN (BA)</t>
        </is>
      </c>
      <c r="D10029" t="inlineStr">
        <is>
          <t>Công Ty Quản Lý Nợ Và Khai Thác Tài Sản - Ngân Hàng TMCP Quân Đội</t>
        </is>
      </c>
      <c r="E10029" t="inlineStr">
        <is>
          <t>Lương:Cạnh tranh</t>
        </is>
      </c>
      <c r="F10029" t="inlineStr">
        <is>
          <t>Hà Nội</t>
        </is>
      </c>
      <c r="G10029" t="inlineStr">
        <is>
          <t>12-04-2026</t>
        </is>
      </c>
      <c r="H10029" t="inlineStr">
        <is>
          <t>12/04/2026</t>
        </is>
      </c>
      <c r="I10029" t="inlineStr">
        <is>
          <t>17/03/2026</t>
        </is>
      </c>
      <c r="J10029" t="inlineStr">
        <is>
          <t>CNTT - Phần mềm, CNTT - Phần cứng / Mạng</t>
        </is>
      </c>
      <c r="K10029" t="inlineStr">
        <is>
          <t>1 - 5 Năm</t>
        </is>
      </c>
      <c r="L10029" s="8">
        <f>HYPERLINK("https://careerviet.vn/vi/tim-viec-lam/phan-tich-nghiep-vu-cong-nghe-thong-tin-ba.35C653D3.html","Xem chi tiết")</f>
        <v/>
      </c>
    </row>
    <row r="10030">
      <c r="B10030" s="9" t="n">
        <v>10028</v>
      </c>
      <c r="C10030" s="10" t="inlineStr">
        <is>
          <t>Chuyên viên Tài chính Dự án</t>
        </is>
      </c>
      <c r="D10030" s="10" t="inlineStr">
        <is>
          <t>Công Ty Cổ Phần Tập Đoàn Đầu Tư Địa Ốc No Va</t>
        </is>
      </c>
      <c r="E10030" s="10" t="inlineStr">
        <is>
          <t>Lương:Cạnh tranh</t>
        </is>
      </c>
      <c r="F10030" s="10" t="inlineStr">
        <is>
          <t>Hồ Chí Minh</t>
        </is>
      </c>
      <c r="G10030" s="10" t="inlineStr">
        <is>
          <t>12-04-2026</t>
        </is>
      </c>
      <c r="H10030" s="10" t="inlineStr">
        <is>
          <t>12/04/2026</t>
        </is>
      </c>
      <c r="I10030" s="10" t="inlineStr">
        <is>
          <t>17/03/2026</t>
        </is>
      </c>
      <c r="J10030" s="10" t="inlineStr">
        <is>
          <t>Chứng khoán, Tài chính / Đầu tư, Bất động sản</t>
        </is>
      </c>
      <c r="K10030" s="10" t="inlineStr">
        <is>
          <t>2 - 3 Năm</t>
        </is>
      </c>
      <c r="L10030" s="11">
        <f>HYPERLINK("https://careerviet.vn/vi/tim-viec-lam/chuyen-vien-tai-chinh-du-an.35C6866C.html","Xem chi tiết")</f>
        <v/>
      </c>
      <c r="M10030" s="10" t="n"/>
    </row>
    <row r="10031">
      <c r="B10031" s="7" t="n">
        <v>10029</v>
      </c>
      <c r="C10031" t="inlineStr">
        <is>
          <t>Kỹ sư xây dựng (mảng dân dụng)</t>
        </is>
      </c>
      <c r="D10031" t="inlineStr">
        <is>
          <t>Công ty CP Đầu tư phát triển Đô thị và Khu công nghiệp</t>
        </is>
      </c>
      <c r="E10031" t="inlineStr">
        <is>
          <t>Lương:18 Tr - 22 Tr VND</t>
        </is>
      </c>
      <c r="F10031" t="inlineStr">
        <is>
          <t>Hà Nội</t>
        </is>
      </c>
      <c r="G10031" t="inlineStr">
        <is>
          <t>12-04-2026</t>
        </is>
      </c>
      <c r="H10031" t="inlineStr">
        <is>
          <t>12/04/2026</t>
        </is>
      </c>
      <c r="I10031" t="inlineStr">
        <is>
          <t>17/03/2026</t>
        </is>
      </c>
      <c r="J10031" t="inlineStr">
        <is>
          <t>Xây dựng, Bất động sản</t>
        </is>
      </c>
      <c r="K10031" t="inlineStr">
        <is>
          <t>3 - 5 Năm</t>
        </is>
      </c>
      <c r="L10031" s="8">
        <f>HYPERLINK("https://careerviet.vn/vi/tim-viec-lam/ky-su-xay-dung-mang-dan-dung.35C65559.html","Xem chi tiết")</f>
        <v/>
      </c>
    </row>
    <row r="10032">
      <c r="B10032" s="9" t="n">
        <v>10030</v>
      </c>
      <c r="C10032" s="10" t="inlineStr">
        <is>
          <t>Chuyên viên Nhân sự - nhận việc sau tết</t>
        </is>
      </c>
      <c r="D10032" s="10" t="inlineStr">
        <is>
          <t>Công ty Cổ phần CANIFA</t>
        </is>
      </c>
      <c r="E10032" s="10" t="inlineStr">
        <is>
          <t>Lương:15 Tr - 20 Tr VND</t>
        </is>
      </c>
      <c r="F10032" s="10" t="inlineStr">
        <is>
          <t>Hà Nội</t>
        </is>
      </c>
      <c r="G10032" s="10" t="inlineStr">
        <is>
          <t>12-04-2026</t>
        </is>
      </c>
      <c r="H10032" s="10" t="inlineStr">
        <is>
          <t>12/04/2026</t>
        </is>
      </c>
      <c r="I10032" s="10" t="inlineStr">
        <is>
          <t>17/03/2026</t>
        </is>
      </c>
      <c r="J10032" s="10" t="inlineStr">
        <is>
          <t>Nhân sự</t>
        </is>
      </c>
      <c r="K10032" s="10" t="inlineStr">
        <is>
          <t>3 - 5 Năm</t>
        </is>
      </c>
      <c r="L10032" s="11">
        <f>HYPERLINK("https://careerviet.vn/vi/tim-viec-lam/chuyen-vien-nhan-su-nhan-viec-sau-tet.35C68654.html","Xem chi tiết")</f>
        <v/>
      </c>
      <c r="M10032" s="10" t="n"/>
    </row>
    <row r="10033">
      <c r="B10033" s="7" t="n">
        <v>10031</v>
      </c>
      <c r="C10033" t="inlineStr">
        <is>
          <t>SENIOR MARKETING EXECUTIVE</t>
        </is>
      </c>
      <c r="D10033" t="inlineStr">
        <is>
          <t>Công ty TNHH Mỹ Phục - Eva De Eva</t>
        </is>
      </c>
      <c r="E10033" t="inlineStr">
        <is>
          <t>Lương:15 Tr - 20 Tr VND</t>
        </is>
      </c>
      <c r="F10033" t="inlineStr">
        <is>
          <t>Hà Nội</t>
        </is>
      </c>
      <c r="G10033" t="inlineStr">
        <is>
          <t>12-04-2026</t>
        </is>
      </c>
      <c r="H10033" t="inlineStr">
        <is>
          <t>12/04/2026</t>
        </is>
      </c>
      <c r="I10033" t="inlineStr">
        <is>
          <t>17/03/2026</t>
        </is>
      </c>
      <c r="J10033" t="inlineStr">
        <is>
          <t>Tiếp thị / Marketing, Y tế / Chăm sóc sức khỏe / Thẩm mỹ / Làm đẹp, Dệt may / Da giày / Thời trang</t>
        </is>
      </c>
      <c r="K10033" t="inlineStr">
        <is>
          <t>2 - 5 Năm</t>
        </is>
      </c>
      <c r="L10033" s="8">
        <f>HYPERLINK("https://careerviet.vn/vi/tim-viec-lam/senior-marketing-executive.35C68773.html","Xem chi tiết")</f>
        <v/>
      </c>
    </row>
    <row r="10034">
      <c r="B10034" s="9" t="n">
        <v>10032</v>
      </c>
      <c r="C10034" s="10" t="inlineStr">
        <is>
          <t>Chuyên Viên Tài Chính</t>
        </is>
      </c>
      <c r="D10034" s="10" t="inlineStr">
        <is>
          <t>CÔNG TY CỔ PHẦN ĐẦU TƯ ĐÔNG BẮC LAND</t>
        </is>
      </c>
      <c r="E10034" s="10" t="inlineStr">
        <is>
          <t>Lương:Cạnh tranh</t>
        </is>
      </c>
      <c r="F10034" s="10" t="inlineStr">
        <is>
          <t>Hà Nội</t>
        </is>
      </c>
      <c r="G10034" s="10" t="inlineStr">
        <is>
          <t>12-04-2026</t>
        </is>
      </c>
      <c r="H10034" s="10" t="inlineStr">
        <is>
          <t>12/04/2026</t>
        </is>
      </c>
      <c r="I10034" s="10" t="inlineStr">
        <is>
          <t>17/03/2026</t>
        </is>
      </c>
      <c r="J10034" s="10" t="inlineStr">
        <is>
          <t>Kế toán / Kiểm toán, Tài chính / Đầu tư, Xây dựng</t>
        </is>
      </c>
      <c r="K10034" s="10" t="inlineStr">
        <is>
          <t>5 - 7 Năm</t>
        </is>
      </c>
      <c r="L10034" s="11">
        <f>HYPERLINK("https://careerviet.vn/vi/tim-viec-lam/chuyen-vien-tai-chinh.35C65503.html","Xem chi tiết")</f>
        <v/>
      </c>
      <c r="M10034" s="10" t="n"/>
    </row>
    <row r="10035">
      <c r="B10035" s="7" t="n">
        <v>10033</v>
      </c>
      <c r="C10035" t="inlineStr">
        <is>
          <t>Chuyên viên Merchandise</t>
        </is>
      </c>
      <c r="D10035" t="inlineStr">
        <is>
          <t>Công ty Cổ phần CANIFA</t>
        </is>
      </c>
      <c r="E10035" t="inlineStr">
        <is>
          <t>Lương:15 Tr - 25 Tr VND</t>
        </is>
      </c>
      <c r="F10035" t="inlineStr">
        <is>
          <t>Hà Nội</t>
        </is>
      </c>
      <c r="G10035" t="inlineStr">
        <is>
          <t>12-04-2026</t>
        </is>
      </c>
      <c r="H10035" t="inlineStr">
        <is>
          <t>12/04/2026</t>
        </is>
      </c>
      <c r="I10035" t="inlineStr">
        <is>
          <t>17/03/2026</t>
        </is>
      </c>
      <c r="J10035" t="inlineStr">
        <is>
          <t>Tiếp thị / Marketing, Bán lẻ / Bán sỉ, Bán hàng / Kinh doanh</t>
        </is>
      </c>
      <c r="K10035" t="inlineStr">
        <is>
          <t>2 - 5 Năm</t>
        </is>
      </c>
      <c r="L10035" s="8">
        <f>HYPERLINK("https://careerviet.vn/vi/tim-viec-lam/chuyen-vien-merchandise.35C68677.html","Xem chi tiết")</f>
        <v/>
      </c>
    </row>
    <row r="10036">
      <c r="B10036" s="9" t="n">
        <v>10034</v>
      </c>
      <c r="C10036" s="10" t="inlineStr">
        <is>
          <t>HUMAN DEVELOPMENT LEAD</t>
        </is>
      </c>
      <c r="D10036" s="10" t="inlineStr">
        <is>
          <t>Công Ty TNHH SX Và TM Quân Đạt</t>
        </is>
      </c>
      <c r="E10036" s="10" t="inlineStr">
        <is>
          <t>Lương:Cạnh tranh</t>
        </is>
      </c>
      <c r="F10036" s="10" t="inlineStr">
        <is>
          <t>Hồ Chí Minh</t>
        </is>
      </c>
      <c r="G10036" s="10" t="inlineStr">
        <is>
          <t>12-04-2026</t>
        </is>
      </c>
      <c r="H10036" s="10" t="inlineStr">
        <is>
          <t>12/04/2026</t>
        </is>
      </c>
      <c r="I10036" s="10" t="inlineStr">
        <is>
          <t>17/03/2026</t>
        </is>
      </c>
      <c r="J10036" s="10" t="inlineStr">
        <is>
          <t>Giáo dục / Đào tạo, Nhân sự</t>
        </is>
      </c>
      <c r="K10036" s="10" t="inlineStr">
        <is>
          <t>5 - 8 Năm</t>
        </is>
      </c>
      <c r="L10036" s="11">
        <f>HYPERLINK("https://careerviet.vn/vi/tim-viec-lam/human-development-lead.35C68676.html","Xem chi tiết")</f>
        <v/>
      </c>
      <c r="M10036" s="10" t="n"/>
    </row>
    <row r="10037">
      <c r="B10037" s="7" t="n">
        <v>10035</v>
      </c>
      <c r="C10037" t="inlineStr">
        <is>
          <t>Chuyên Viên Kế Toán</t>
        </is>
      </c>
      <c r="D10037" t="inlineStr">
        <is>
          <t>INDOGUNA VINA FOOD SERVICE (INDV)</t>
        </is>
      </c>
      <c r="E10037" t="inlineStr">
        <is>
          <t>Lương:Cạnh tranh</t>
        </is>
      </c>
      <c r="F10037" t="inlineStr">
        <is>
          <t>Hà Nội</t>
        </is>
      </c>
      <c r="G10037" t="inlineStr">
        <is>
          <t>12-04-2026</t>
        </is>
      </c>
      <c r="H10037" t="inlineStr">
        <is>
          <t>12/04/2026</t>
        </is>
      </c>
      <c r="I10037" t="inlineStr">
        <is>
          <t>17/03/2026</t>
        </is>
      </c>
      <c r="J10037" t="inlineStr">
        <is>
          <t>Kế toán / Kiểm toán, Luật / Pháp lý, Tài chính / Đầu tư</t>
        </is>
      </c>
      <c r="K10037" t="inlineStr">
        <is>
          <t>3 - 4 Năm</t>
        </is>
      </c>
      <c r="L10037" s="8">
        <f>HYPERLINK("https://careerviet.vn/vi/tim-viec-lam/chuyen-vien-ke-toan.35C686BA.html","Xem chi tiết")</f>
        <v/>
      </c>
    </row>
    <row r="10038">
      <c r="B10038" s="9" t="n">
        <v>10036</v>
      </c>
      <c r="C10038" s="10" t="inlineStr">
        <is>
          <t>Nhân viên vận hành máy khắc trục ống đồng</t>
        </is>
      </c>
      <c r="D10038" s="10" t="inlineStr">
        <is>
          <t>Huhtamaki (Vietnam) Ltd.</t>
        </is>
      </c>
      <c r="E10038" s="10" t="inlineStr">
        <is>
          <t>Lương:Cạnh tranh</t>
        </is>
      </c>
      <c r="F10038" s="10" t="inlineStr">
        <is>
          <t>Bình Dương</t>
        </is>
      </c>
      <c r="G10038" s="10" t="inlineStr">
        <is>
          <t>12-04-2026</t>
        </is>
      </c>
      <c r="H10038" s="10" t="inlineStr">
        <is>
          <t>12/04/2026</t>
        </is>
      </c>
      <c r="I10038" s="10" t="inlineStr">
        <is>
          <t>17/03/2026</t>
        </is>
      </c>
      <c r="J10038" s="10" t="inlineStr">
        <is>
          <t>Cơ khí / Ô tô / Tự động hóa, Điện / Điện tử / Điện lạnh / Điện công nghiệp, In ấn / Xuất bản</t>
        </is>
      </c>
      <c r="K10038" s="10" t="inlineStr">
        <is>
          <t>1 - 3 Năm</t>
        </is>
      </c>
      <c r="L10038" s="11">
        <f>HYPERLINK("https://careerviet.vn/vi/tim-viec-lam/nhan-vien-van-hanh-may-khac-truc-ong-dong.35C6876A.html","Xem chi tiết")</f>
        <v/>
      </c>
      <c r="M10038" s="10" t="n"/>
    </row>
    <row r="10039">
      <c r="B10039" s="7" t="n">
        <v>10037</v>
      </c>
      <c r="C10039" t="inlineStr">
        <is>
          <t>Chuyên viên kế hoạch sản xuất - Long An (Đi làm ngay sau Tết)</t>
        </is>
      </c>
      <c r="D10039" t="inlineStr">
        <is>
          <t>Công Ty Cổ Phần Thép Việt Xô Hà Nội</t>
        </is>
      </c>
      <c r="E10039" t="inlineStr">
        <is>
          <t>Lương:11 Tr - 14 Tr VND</t>
        </is>
      </c>
      <c r="F10039" t="inlineStr">
        <is>
          <t>Long An</t>
        </is>
      </c>
      <c r="G10039" t="inlineStr">
        <is>
          <t>12-04-2026</t>
        </is>
      </c>
      <c r="H10039" t="inlineStr">
        <is>
          <t>12/04/2026</t>
        </is>
      </c>
      <c r="I10039" t="inlineStr">
        <is>
          <t>17/03/2026</t>
        </is>
      </c>
      <c r="J10039" t="inlineStr">
        <is>
          <t>Tài chính / Đầu tư, Kế toán / Kiểm toán</t>
        </is>
      </c>
      <c r="K10039" t="inlineStr">
        <is>
          <t>2 - 3 Năm</t>
        </is>
      </c>
      <c r="L10039" s="8">
        <f>HYPERLINK("https://careerviet.vn/vi/tim-viec-lam/chuyen-vien-ke-hoach-san-xuat-long-an-di-lam-ngay-sau-tet.35C68790.html","Xem chi tiết")</f>
        <v/>
      </c>
    </row>
    <row r="10040">
      <c r="B10040" s="9" t="n">
        <v>10038</v>
      </c>
      <c r="C10040" s="10" t="inlineStr">
        <is>
          <t>Nhân Viên Mua Hàng Nguyên Vật Liệu</t>
        </is>
      </c>
      <c r="D10040" s="10" t="inlineStr">
        <is>
          <t>Tập Đoàn Kim Tín</t>
        </is>
      </c>
      <c r="E10040" s="10" t="inlineStr">
        <is>
          <t>Lương:Cạnh tranh</t>
        </is>
      </c>
      <c r="F10040" s="10" t="inlineStr">
        <is>
          <t>Hồ Chí Minh</t>
        </is>
      </c>
      <c r="G10040" s="10" t="inlineStr">
        <is>
          <t>12-04-2026</t>
        </is>
      </c>
      <c r="H10040" s="10" t="inlineStr">
        <is>
          <t>12/04/2026</t>
        </is>
      </c>
      <c r="I10040" s="10" t="inlineStr">
        <is>
          <t>17/03/2026</t>
        </is>
      </c>
      <c r="J10040" s="10" t="inlineStr">
        <is>
          <t>Sản xuất / Vận hành sản xuất, Thu mua / Vật tư, Xuất nhập khẩu</t>
        </is>
      </c>
      <c r="K10040" s="10" t="inlineStr">
        <is>
          <t>2 - 5 Năm</t>
        </is>
      </c>
      <c r="L10040" s="11">
        <f>HYPERLINK("https://careerviet.vn/vi/tim-viec-lam/nhan-vien-mua-hang-nguyen-vat-lieu.35C686A7.html","Xem chi tiết")</f>
        <v/>
      </c>
      <c r="M10040" s="10" t="n"/>
    </row>
    <row r="10041">
      <c r="B10041" s="7" t="n">
        <v>10039</v>
      </c>
      <c r="C10041" t="inlineStr">
        <is>
          <t>Chuyên viên hành chính</t>
        </is>
      </c>
      <c r="D10041" t="inlineStr">
        <is>
          <t>Công Ty Cổ Phần Thép Việt Xô Hà Nội</t>
        </is>
      </c>
      <c r="E10041" t="inlineStr">
        <is>
          <t>Lương:11 Tr - 14 Tr VND</t>
        </is>
      </c>
      <c r="F10041" t="inlineStr">
        <is>
          <t>Hà Nội</t>
        </is>
      </c>
      <c r="G10041" t="inlineStr">
        <is>
          <t>12-04-2026</t>
        </is>
      </c>
      <c r="H10041" t="inlineStr">
        <is>
          <t>12/04/2026</t>
        </is>
      </c>
      <c r="I10041" t="inlineStr">
        <is>
          <t>17/03/2026</t>
        </is>
      </c>
      <c r="J10041" t="inlineStr">
        <is>
          <t>Hành chính / Thư ký</t>
        </is>
      </c>
      <c r="K10041" t="inlineStr">
        <is>
          <t>2 - 5 Năm</t>
        </is>
      </c>
      <c r="L10041" s="8">
        <f>HYPERLINK("https://careerviet.vn/vi/tim-viec-lam/chuyen-vien-hanh-chinh.35C654D1.html","Xem chi tiết")</f>
        <v/>
      </c>
    </row>
    <row r="10042">
      <c r="B10042" s="9" t="n">
        <v>10040</v>
      </c>
      <c r="C10042" s="10" t="inlineStr">
        <is>
          <t>Giám Đốc Kinh Doanh (Chủ Đầu Tư BĐS)</t>
        </is>
      </c>
      <c r="D10042" s="10" t="inlineStr">
        <is>
          <t>Tập Đoàn Tân Á Đại Thành</t>
        </is>
      </c>
      <c r="E10042" s="10" t="inlineStr">
        <is>
          <t>Lương:Cạnh tranh</t>
        </is>
      </c>
      <c r="F10042" s="10" t="inlineStr">
        <is>
          <t>Hà Nội</t>
        </is>
      </c>
      <c r="G10042" s="10" t="inlineStr">
        <is>
          <t>12-04-2026</t>
        </is>
      </c>
      <c r="H10042" s="10" t="inlineStr">
        <is>
          <t>12/04/2026</t>
        </is>
      </c>
      <c r="I10042" s="10" t="inlineStr">
        <is>
          <t>17/03/2026</t>
        </is>
      </c>
      <c r="J10042" s="10" t="inlineStr">
        <is>
          <t>Tiếp thị / Marketing, Bán hàng / Kinh doanh, Bất động sản</t>
        </is>
      </c>
      <c r="K10042" s="10" t="inlineStr">
        <is>
          <t>3 - 5 Năm</t>
        </is>
      </c>
      <c r="L10042" s="11">
        <f>HYPERLINK("https://careerviet.vn/vi/tim-viec-lam/giam-doc-kinh-doanh-chu-dau-tu-bds.35C686D9.html","Xem chi tiết")</f>
        <v/>
      </c>
      <c r="M10042" s="10" t="n"/>
    </row>
    <row r="10043">
      <c r="B10043" s="7" t="n">
        <v>10041</v>
      </c>
      <c r="C10043" t="inlineStr">
        <is>
          <t>Nhân Viên Hệ Thống Quy Trình Và Chuyển Đổi Số</t>
        </is>
      </c>
      <c r="D10043" t="inlineStr">
        <is>
          <t>Tập Đoàn Kim Tín</t>
        </is>
      </c>
      <c r="E10043" t="inlineStr">
        <is>
          <t>Lương:Cạnh tranh</t>
        </is>
      </c>
      <c r="F10043" t="inlineStr">
        <is>
          <t>Hồ Chí Minh</t>
        </is>
      </c>
      <c r="G10043" t="inlineStr">
        <is>
          <t>12-04-2026</t>
        </is>
      </c>
      <c r="H10043" t="inlineStr">
        <is>
          <t>12/04/2026</t>
        </is>
      </c>
      <c r="I10043" t="inlineStr">
        <is>
          <t>17/03/2026</t>
        </is>
      </c>
      <c r="J10043" t="inlineStr">
        <is>
          <t>Quản lý chất lượng (QA/QC), Sản xuất / Vận hành sản xuất</t>
        </is>
      </c>
      <c r="K10043" t="inlineStr">
        <is>
          <t>2 - 5 Năm</t>
        </is>
      </c>
      <c r="L10043" s="8">
        <f>HYPERLINK("https://careerviet.vn/vi/tim-viec-lam/nhan-vien-he-thong-quy-trinh-va-chuyen-doi-so.35C686A4.html","Xem chi tiết")</f>
        <v/>
      </c>
    </row>
    <row r="10044">
      <c r="B10044" s="9" t="n">
        <v>10042</v>
      </c>
      <c r="C10044" s="10" t="inlineStr">
        <is>
          <t>Performance Marketing Specialist</t>
        </is>
      </c>
      <c r="D10044" s="10" t="inlineStr">
        <is>
          <t>CÔNG TY TNHH SKYLINE MEDIA</t>
        </is>
      </c>
      <c r="E10044" s="10" t="inlineStr">
        <is>
          <t>Lương:Cạnh tranh</t>
        </is>
      </c>
      <c r="F10044" s="10" t="inlineStr">
        <is>
          <t>Hồ Chí Minh</t>
        </is>
      </c>
      <c r="G10044" s="10" t="inlineStr">
        <is>
          <t>12-04-2026</t>
        </is>
      </c>
      <c r="H10044" s="10" t="inlineStr">
        <is>
          <t>12/04/2026</t>
        </is>
      </c>
      <c r="I10044" s="10" t="inlineStr">
        <is>
          <t>17/03/2026</t>
        </is>
      </c>
      <c r="J10044" s="10" t="inlineStr">
        <is>
          <t>Tiếp thị / Marketing, Tiếp thị trực tuyến, Quảng cáo / Đối ngoại / Truyền Thông</t>
        </is>
      </c>
      <c r="K10044" s="10" t="inlineStr">
        <is>
          <t>Lên đến 2 Năm</t>
        </is>
      </c>
      <c r="L10044" s="11">
        <f>HYPERLINK("https://careerviet.vn/vi/tim-viec-lam/performance-marketing-specialist.35C65486.html","Xem chi tiết")</f>
        <v/>
      </c>
      <c r="M10044" s="10" t="n"/>
    </row>
    <row r="10045">
      <c r="B10045" s="7" t="n">
        <v>10043</v>
      </c>
      <c r="C10045" t="inlineStr">
        <is>
          <t>Nhân viên Kế hoạch</t>
        </is>
      </c>
      <c r="D10045" t="inlineStr">
        <is>
          <t>CÔNG TY CP BIA &amp; NGK HẠ LONG</t>
        </is>
      </c>
      <c r="E10045" t="inlineStr">
        <is>
          <t>Lương:9 Tr - 11 Tr VND</t>
        </is>
      </c>
      <c r="F10045" t="inlineStr">
        <is>
          <t>Quảng Ninh</t>
        </is>
      </c>
      <c r="G10045" t="inlineStr">
        <is>
          <t>12-04-2026</t>
        </is>
      </c>
      <c r="H10045" t="inlineStr">
        <is>
          <t>12/04/2026</t>
        </is>
      </c>
      <c r="I10045" t="inlineStr">
        <is>
          <t>17/03/2026</t>
        </is>
      </c>
      <c r="J10045" t="inlineStr">
        <is>
          <t>Thu mua / Vật tư</t>
        </is>
      </c>
      <c r="K10045" t="inlineStr">
        <is>
          <t>2 - 3 Năm</t>
        </is>
      </c>
      <c r="L10045" s="8">
        <f>HYPERLINK("https://careerviet.vn/vi/tim-viec-lam/nhan-vien-ke-hoach.35C68661.html","Xem chi tiết")</f>
        <v/>
      </c>
    </row>
    <row r="10046">
      <c r="B10046" s="9" t="n">
        <v>10044</v>
      </c>
      <c r="C10046" s="10" t="inlineStr">
        <is>
          <t>CHUYÊN VIÊN KẾ TOÁN LOGISTICS (QUẬN 7 - HCM)</t>
        </is>
      </c>
      <c r="D10046" s="10" t="inlineStr">
        <is>
          <t>CÔNG TY CỔ PHẦN VẬN TẢI ĐỈNH PHONG</t>
        </is>
      </c>
      <c r="E10046" s="10" t="inlineStr">
        <is>
          <t>Lương:Cạnh tranh</t>
        </is>
      </c>
      <c r="F10046" s="10" t="inlineStr">
        <is>
          <t>Hồ Chí Minh</t>
        </is>
      </c>
      <c r="G10046" s="10" t="inlineStr">
        <is>
          <t>12-04-2026</t>
        </is>
      </c>
      <c r="H10046" s="10" t="inlineStr">
        <is>
          <t>12/04/2026</t>
        </is>
      </c>
      <c r="I10046" s="10" t="inlineStr">
        <is>
          <t>17/03/2026</t>
        </is>
      </c>
      <c r="J10046" s="10" t="inlineStr">
        <is>
          <t>Bán hàng / Kinh doanh, Kế toán / Kiểm toán, Xuất nhập khẩu</t>
        </is>
      </c>
      <c r="K10046" s="10" t="inlineStr">
        <is>
          <t>2 - 3 Năm</t>
        </is>
      </c>
      <c r="L10046" s="11">
        <f>HYPERLINK("https://careerviet.vn/vi/tim-viec-lam/chuyen-vien-ke-toan-logistics-quan-7-hcm.35C6551F.html","Xem chi tiết")</f>
        <v/>
      </c>
      <c r="M10046" s="10" t="n"/>
    </row>
    <row r="10047">
      <c r="B10047" s="7" t="n">
        <v>10045</v>
      </c>
      <c r="C10047" t="inlineStr">
        <is>
          <t>Thiết Kế Đồ Họa Game Tại Hà Nội</t>
        </is>
      </c>
      <c r="D10047" t="inlineStr">
        <is>
          <t>Koei Tecmo Software Vietnam</t>
        </is>
      </c>
      <c r="E10047" t="inlineStr">
        <is>
          <t>Lương:Cạnh tranh</t>
        </is>
      </c>
      <c r="F10047" t="inlineStr">
        <is>
          <t>Hồ Chí Minh</t>
        </is>
      </c>
      <c r="G10047" t="inlineStr">
        <is>
          <t>12-04-2026</t>
        </is>
      </c>
      <c r="H10047" t="inlineStr">
        <is>
          <t>12/04/2026</t>
        </is>
      </c>
      <c r="I10047" t="inlineStr">
        <is>
          <t>17/03/2026</t>
        </is>
      </c>
      <c r="J10047" t="inlineStr">
        <is>
          <t>Mỹ thuật / Nghệ thuật / Thiết kế</t>
        </is>
      </c>
      <c r="K10047" t="inlineStr">
        <is>
          <t>Chưa có kinh nghiệm</t>
        </is>
      </c>
      <c r="L10047" s="8">
        <f>HYPERLINK("https://careerviet.vn/vi/tim-viec-lam/thiet-ke-do-hoa-game-tai-ha-noi.35C6872C.html","Xem chi tiết")</f>
        <v/>
      </c>
    </row>
    <row r="10048">
      <c r="B10048" s="9" t="n">
        <v>10046</v>
      </c>
      <c r="C10048" s="10" t="inlineStr">
        <is>
          <t>TRƯỞNG PHÒNG KẾ TOÁN</t>
        </is>
      </c>
      <c r="D10048" s="10" t="inlineStr">
        <is>
          <t>Công Ty TNHH Đầu Tư Quốc Tế Tường Ngọc</t>
        </is>
      </c>
      <c r="E10048" s="10" t="inlineStr">
        <is>
          <t>Lương:25 Tr - 30 Tr VND</t>
        </is>
      </c>
      <c r="F10048" s="10" t="inlineStr">
        <is>
          <t>Hồ Chí Minh</t>
        </is>
      </c>
      <c r="G10048" s="10" t="inlineStr">
        <is>
          <t>12-04-2026</t>
        </is>
      </c>
      <c r="H10048" s="10" t="inlineStr">
        <is>
          <t>12/04/2026</t>
        </is>
      </c>
      <c r="I10048" s="10" t="inlineStr">
        <is>
          <t>17/03/2026</t>
        </is>
      </c>
      <c r="J10048" s="10" t="inlineStr">
        <is>
          <t>Kế toán / Kiểm toán, Tài chính / Đầu tư, Ngân hàng</t>
        </is>
      </c>
      <c r="K10048" s="10" t="inlineStr">
        <is>
          <t>5 - 10 Năm</t>
        </is>
      </c>
      <c r="L10048" s="11">
        <f>HYPERLINK("https://careerviet.vn/vi/tim-viec-lam/truong-phong-ke-toan.35C686FE.html","Xem chi tiết")</f>
        <v/>
      </c>
      <c r="M10048" s="10" t="n"/>
    </row>
    <row r="10049">
      <c r="B10049" s="7" t="n">
        <v>10047</v>
      </c>
      <c r="C10049" t="inlineStr">
        <is>
          <t>KỸ THUẬT VIÊN VẬN HÀNH MÁY - BÌNH DƯƠNG</t>
        </is>
      </c>
      <c r="D10049" t="inlineStr">
        <is>
          <t>Marico South East Asia Corporation</t>
        </is>
      </c>
      <c r="E10049" t="inlineStr">
        <is>
          <t>Lương:9 Tr - 11 Tr VND</t>
        </is>
      </c>
      <c r="F10049" t="inlineStr">
        <is>
          <t>Bình Dương</t>
        </is>
      </c>
      <c r="G10049" t="inlineStr">
        <is>
          <t>12-04-2026</t>
        </is>
      </c>
      <c r="H10049" t="inlineStr">
        <is>
          <t>12/04/2026</t>
        </is>
      </c>
      <c r="I10049" t="inlineStr">
        <is>
          <t>17/03/2026</t>
        </is>
      </c>
      <c r="J10049" t="inlineStr">
        <is>
          <t>Cơ khí / Ô tô / Tự động hóa, Sản xuất / Vận hành sản xuất, Điện / Điện tử / Điện lạnh / Điện công nghiệp</t>
        </is>
      </c>
      <c r="K10049" t="inlineStr">
        <is>
          <t>N/A</t>
        </is>
      </c>
      <c r="L10049" s="8">
        <f>HYPERLINK("https://careerviet.vn/vi/tim-viec-lam/ky-thuat-vien-van-hanh-may-binh-duong.35C654E0.html","Xem chi tiết")</f>
        <v/>
      </c>
    </row>
    <row r="10050">
      <c r="B10050" s="9" t="n">
        <v>10048</v>
      </c>
      <c r="C10050" s="10" t="inlineStr">
        <is>
          <t>SOCIAL CONTENT EXECUTIVE  (MẢNG TIKTOK)</t>
        </is>
      </c>
      <c r="D10050" s="10" t="inlineStr">
        <is>
          <t>Công ty TNHH Mỹ Phục - Eva De Eva</t>
        </is>
      </c>
      <c r="E10050" s="10" t="inlineStr">
        <is>
          <t>Lương:11 Tr - 15 Tr VND</t>
        </is>
      </c>
      <c r="F10050" s="10" t="inlineStr">
        <is>
          <t>Hà Nội</t>
        </is>
      </c>
      <c r="G10050" s="10" t="inlineStr">
        <is>
          <t>12-04-2026</t>
        </is>
      </c>
      <c r="H10050" s="10" t="inlineStr">
        <is>
          <t>12/04/2026</t>
        </is>
      </c>
      <c r="I10050" s="10" t="inlineStr">
        <is>
          <t>17/03/2026</t>
        </is>
      </c>
      <c r="J10050" s="10" t="inlineStr">
        <is>
          <t>Tiếp thị / Marketing, Y tế / Chăm sóc sức khỏe / Thẩm mỹ / Làm đẹp, Dệt may / Da giày / Thời trang</t>
        </is>
      </c>
      <c r="K10050" s="10" t="inlineStr">
        <is>
          <t>1 - 3 Năm</t>
        </is>
      </c>
      <c r="L10050" s="11">
        <f>HYPERLINK("https://careerviet.vn/vi/tim-viec-lam/social-content-executive-mang-tiktok.35C6876C.html","Xem chi tiết")</f>
        <v/>
      </c>
      <c r="M10050" s="10" t="n"/>
    </row>
    <row r="10051">
      <c r="B10051" s="7" t="n">
        <v>10049</v>
      </c>
      <c r="C10051" t="inlineStr">
        <is>
          <t>Chuyên viên Kế toán tổng hợp</t>
        </is>
      </c>
      <c r="D10051" t="inlineStr">
        <is>
          <t>CÔNG TY TNHH HAMOON</t>
        </is>
      </c>
      <c r="E10051" t="inlineStr">
        <is>
          <t>Lương:Cạnh tranh</t>
        </is>
      </c>
      <c r="F10051" t="inlineStr">
        <is>
          <t>Hồ Chí Minh</t>
        </is>
      </c>
      <c r="G10051" t="inlineStr">
        <is>
          <t>12-04-2026</t>
        </is>
      </c>
      <c r="H10051" t="inlineStr">
        <is>
          <t>12/04/2026</t>
        </is>
      </c>
      <c r="I10051" t="inlineStr">
        <is>
          <t>17/03/2026</t>
        </is>
      </c>
      <c r="J10051" t="inlineStr">
        <is>
          <t>Kế toán / Kiểm toán, Tài chính / Đầu tư, Ngân hàng</t>
        </is>
      </c>
      <c r="K10051" t="inlineStr">
        <is>
          <t>2 - 5 Năm</t>
        </is>
      </c>
      <c r="L10051" s="8">
        <f>HYPERLINK("https://careerviet.vn/vi/tim-viec-lam/chuyen-vien-ke-toan-tong-hop.35C6867F.html","Xem chi tiết")</f>
        <v/>
      </c>
    </row>
    <row r="10052">
      <c r="B10052" s="9" t="n">
        <v>10050</v>
      </c>
      <c r="C10052" s="10" t="inlineStr">
        <is>
          <t>Marketing Manager (F&amp;B)</t>
        </is>
      </c>
      <c r="D10052" s="10" t="inlineStr">
        <is>
          <t>Công ty TNHH Sản xuất Thương mại &amp; Dịch vụ Hoa Xinh</t>
        </is>
      </c>
      <c r="E10052" s="10" t="inlineStr">
        <is>
          <t>Lương:35 Tr - 45 Tr VND</t>
        </is>
      </c>
      <c r="F10052" s="10" t="inlineStr">
        <is>
          <t>Hồ Chí Minh</t>
        </is>
      </c>
      <c r="G10052" s="10" t="inlineStr">
        <is>
          <t>12-04-2026</t>
        </is>
      </c>
      <c r="H10052" s="10" t="inlineStr">
        <is>
          <t>12/04/2026</t>
        </is>
      </c>
      <c r="I10052" s="10" t="inlineStr">
        <is>
          <t>17/03/2026</t>
        </is>
      </c>
      <c r="J10052" s="10" t="inlineStr">
        <is>
          <t>Tiếp thị / Marketing, Tiếp thị trực tuyến, Thực phẩm &amp; Đồ uống</t>
        </is>
      </c>
      <c r="K10052" s="10" t="inlineStr">
        <is>
          <t>3 - 5 Năm</t>
        </is>
      </c>
      <c r="L10052" s="11">
        <f>HYPERLINK("https://careerviet.vn/vi/tim-viec-lam/marketing-manager-f-b.35C6538A.html","Xem chi tiết")</f>
        <v/>
      </c>
      <c r="M10052" s="10" t="n"/>
    </row>
    <row r="10053">
      <c r="B10053" s="7" t="n">
        <v>10051</v>
      </c>
      <c r="C10053" t="inlineStr">
        <is>
          <t>Chuyên Viên Mua Hàng Hạt Nhựa</t>
        </is>
      </c>
      <c r="D10053" t="inlineStr">
        <is>
          <t>Công Ty Cổ Phần Sản Xuất Nhựa Duy Tân</t>
        </is>
      </c>
      <c r="E10053" t="inlineStr">
        <is>
          <t>Lương:Cạnh tranh</t>
        </is>
      </c>
      <c r="F10053" t="inlineStr">
        <is>
          <t>Hồ Chí Minh</t>
        </is>
      </c>
      <c r="G10053" t="inlineStr">
        <is>
          <t>12-04-2026</t>
        </is>
      </c>
      <c r="H10053" t="inlineStr">
        <is>
          <t>12/04/2026</t>
        </is>
      </c>
      <c r="I10053" t="inlineStr">
        <is>
          <t>17/03/2026</t>
        </is>
      </c>
      <c r="J10053" t="inlineStr">
        <is>
          <t>Thu mua / Vật tư</t>
        </is>
      </c>
      <c r="K10053" t="inlineStr">
        <is>
          <t>1 - 3 Năm</t>
        </is>
      </c>
      <c r="L10053" s="8">
        <f>HYPERLINK("https://careerviet.vn/vi/tim-viec-lam/chuyen-vien-mua-hang-hat-nhua.35C65484.html","Xem chi tiết")</f>
        <v/>
      </c>
    </row>
    <row r="10054">
      <c r="B10054" s="9" t="n">
        <v>10052</v>
      </c>
      <c r="C10054" s="10" t="inlineStr">
        <is>
          <t>LẬP KẾ HOẠCH CHO GAME - GAME DESIGNER</t>
        </is>
      </c>
      <c r="D10054" s="10" t="inlineStr">
        <is>
          <t>Koei Tecmo Software Vietnam</t>
        </is>
      </c>
      <c r="E10054" s="10" t="inlineStr">
        <is>
          <t>Lương:Cạnh tranh</t>
        </is>
      </c>
      <c r="F10054" s="10" t="inlineStr">
        <is>
          <t>Hà Nội</t>
        </is>
      </c>
      <c r="G10054" s="10" t="inlineStr">
        <is>
          <t>12-04-2026</t>
        </is>
      </c>
      <c r="H10054" s="10" t="inlineStr">
        <is>
          <t>12/04/2026</t>
        </is>
      </c>
      <c r="I10054" s="10" t="inlineStr">
        <is>
          <t>17/03/2026</t>
        </is>
      </c>
      <c r="J10054" s="10" t="inlineStr">
        <is>
          <t>Biên phiên dịch, CNTT - Phần mềm, Mỹ thuật / Nghệ thuật / Thiết kế</t>
        </is>
      </c>
      <c r="K10054" s="10" t="inlineStr">
        <is>
          <t>Chưa có kinh nghiệm</t>
        </is>
      </c>
      <c r="L10054" s="11">
        <f>HYPERLINK("https://careerviet.vn/vi/tim-viec-lam/lap-ke-hoach-cho-game-game-designer.35C65536.html","Xem chi tiết")</f>
        <v/>
      </c>
      <c r="M10054" s="10" t="n"/>
    </row>
    <row r="10055">
      <c r="B10055" s="7" t="n">
        <v>10053</v>
      </c>
      <c r="C10055" t="inlineStr">
        <is>
          <t>Nhân Viên Kế Hoạch Sản Xuất (Tiếng Trung)</t>
        </is>
      </c>
      <c r="D10055" t="inlineStr">
        <is>
          <t>Công ty TNHH Midea Consumer Electric Vietnam</t>
        </is>
      </c>
      <c r="E10055" t="inlineStr">
        <is>
          <t>Lương:Cạnh tranh</t>
        </is>
      </c>
      <c r="F10055" t="inlineStr">
        <is>
          <t>Bình Dương</t>
        </is>
      </c>
      <c r="G10055" t="inlineStr">
        <is>
          <t>12-04-2026</t>
        </is>
      </c>
      <c r="H10055" t="inlineStr">
        <is>
          <t>12/04/2026</t>
        </is>
      </c>
      <c r="I10055" t="inlineStr">
        <is>
          <t>17/03/2026</t>
        </is>
      </c>
      <c r="J10055" t="inlineStr">
        <is>
          <t>Biên phiên dịch, Điện / Điện tử / Điện lạnh / Điện công nghiệp, Mới tốt nghiệp / Thực tập</t>
        </is>
      </c>
      <c r="K10055" t="inlineStr">
        <is>
          <t>N/A</t>
        </is>
      </c>
      <c r="L10055" s="8">
        <f>HYPERLINK("https://careerviet.vn/vi/tim-viec-lam/nhan-vien-ke-hoach-san-xuat-tieng-trung.35C65304.html","Xem chi tiết")</f>
        <v/>
      </c>
    </row>
    <row r="10056">
      <c r="B10056" s="9" t="n">
        <v>10054</v>
      </c>
      <c r="C10056" s="10" t="inlineStr">
        <is>
          <t>[NAM ĐỊNH] Quản Lý/Giám Sát Rạp Chiếu Phim</t>
        </is>
      </c>
      <c r="D10056" s="10" t="inlineStr">
        <is>
          <t>CÔNG TY TNHH LOTTECINEMA VIỆT NAM</t>
        </is>
      </c>
      <c r="E10056" s="10" t="inlineStr">
        <is>
          <t>Lương:8 Tr - 10 Tr VND</t>
        </is>
      </c>
      <c r="F10056" s="10" t="inlineStr">
        <is>
          <t>Nam Định</t>
        </is>
      </c>
      <c r="G10056" s="10" t="inlineStr">
        <is>
          <t>12-04-2026</t>
        </is>
      </c>
      <c r="H10056" s="10" t="inlineStr">
        <is>
          <t>12/04/2026</t>
        </is>
      </c>
      <c r="I10056" s="10" t="inlineStr">
        <is>
          <t>17/03/2026</t>
        </is>
      </c>
      <c r="J10056" s="10" t="inlineStr">
        <is>
          <t>Dịch vụ khách hàng, Nhà hàng / Khách sạn, Giải trí</t>
        </is>
      </c>
      <c r="K10056" s="10" t="inlineStr">
        <is>
          <t>N/A</t>
        </is>
      </c>
      <c r="L10056" s="11">
        <f>HYPERLINK("https://careerviet.vn/vi/tim-viec-lam/nam-dinh-quan-ly-giam-sat-rap-chieu-phim.35C65557.html","Xem chi tiết")</f>
        <v/>
      </c>
      <c r="M10056" s="10" t="n"/>
    </row>
    <row r="10057">
      <c r="B10057" s="7" t="n">
        <v>10055</v>
      </c>
      <c r="C10057" t="inlineStr">
        <is>
          <t>Chuyên viên Kinh doanh - Có Kinh nghiệm mảng Vật tư &amp; Thiết bị Y tế (Khu vực Đà Nẵng)</t>
        </is>
      </c>
      <c r="D10057" t="inlineStr">
        <is>
          <t>Công Ty Cổ Phần Y Tế Việt Tiến</t>
        </is>
      </c>
      <c r="E10057" t="inlineStr">
        <is>
          <t>Lương:Cạnh tranh</t>
        </is>
      </c>
      <c r="F10057" t="inlineStr">
        <is>
          <t>Đà Nẵng</t>
        </is>
      </c>
      <c r="G10057" t="inlineStr">
        <is>
          <t>12-04-2026</t>
        </is>
      </c>
      <c r="H10057" t="inlineStr">
        <is>
          <t>12/04/2026</t>
        </is>
      </c>
      <c r="I10057" t="inlineStr">
        <is>
          <t>17/03/2026</t>
        </is>
      </c>
      <c r="J10057" t="inlineStr">
        <is>
          <t>Y tế / Chăm sóc sức khỏe / Thẩm mỹ / Làm đẹp</t>
        </is>
      </c>
      <c r="K10057" t="inlineStr">
        <is>
          <t>N/A</t>
        </is>
      </c>
      <c r="L10057" s="8">
        <f>HYPERLINK("https://careerviet.vn/vi/tim-viec-lam/chuyen-vien-kinh-doanh-co-kinh-nghiem-mang-vat-tu-thiet-bi-y-te-khu-vuc-da-nang.35C653A9.html","Xem chi tiết")</f>
        <v/>
      </c>
    </row>
    <row r="10058">
      <c r="B10058" s="9" t="n">
        <v>10056</v>
      </c>
      <c r="C10058" s="10" t="inlineStr">
        <is>
          <t>Senior Sales Logistics (Nhân Viên Kinh Doanh Logistics)</t>
        </is>
      </c>
      <c r="D10058" s="10" t="inlineStr">
        <is>
          <t>Vantage Logistics Corporation</t>
        </is>
      </c>
      <c r="E10058" s="10" t="inlineStr">
        <is>
          <t>Lương:10 Tr - 50 Tr VND</t>
        </is>
      </c>
      <c r="F10058" s="10" t="inlineStr">
        <is>
          <t>Hà NộiHồ Chí Minh</t>
        </is>
      </c>
      <c r="G10058" s="10" t="inlineStr">
        <is>
          <t>12-04-2026</t>
        </is>
      </c>
      <c r="H10058" s="10" t="inlineStr">
        <is>
          <t>12/04/2026</t>
        </is>
      </c>
      <c r="I10058" s="10" t="inlineStr">
        <is>
          <t>17/03/2026</t>
        </is>
      </c>
      <c r="J10058" s="10" t="inlineStr">
        <is>
          <t>Bán hàng / Kinh doanh, Xuất nhập khẩu, Ngành khác</t>
        </is>
      </c>
      <c r="K10058" s="10" t="inlineStr">
        <is>
          <t>2 - 5 Năm</t>
        </is>
      </c>
      <c r="L10058" s="11">
        <f>HYPERLINK("https://careerviet.vn/vi/tim-viec-lam/senior-sales-logistics-nhan-vien-kinh-doanh-logistics.35C65434.html","Xem chi tiết")</f>
        <v/>
      </c>
      <c r="M10058" s="10" t="n"/>
    </row>
    <row r="10059">
      <c r="B10059" s="7" t="n">
        <v>10057</v>
      </c>
      <c r="C10059" t="inlineStr">
        <is>
          <t>NHÂN VIÊN THIẾT KẾ ĐỒ HỌA 2D (GRAPHIC DESIGN)</t>
        </is>
      </c>
      <c r="D10059" t="inlineStr">
        <is>
          <t>Công ty Cổ phần Giải pháp Tự động hóa ETEK</t>
        </is>
      </c>
      <c r="E10059" t="inlineStr">
        <is>
          <t>Lương:9,1 Tr - 20 Tr VND</t>
        </is>
      </c>
      <c r="F10059" t="inlineStr">
        <is>
          <t>Hà Nội</t>
        </is>
      </c>
      <c r="G10059" t="inlineStr">
        <is>
          <t>12-04-2026</t>
        </is>
      </c>
      <c r="H10059" t="inlineStr">
        <is>
          <t>12/04/2026</t>
        </is>
      </c>
      <c r="I10059" t="inlineStr">
        <is>
          <t>17/03/2026</t>
        </is>
      </c>
      <c r="J10059" t="inlineStr">
        <is>
          <t>Tiếp thị / Marketing, Mỹ thuật / Nghệ thuật / Thiết kế</t>
        </is>
      </c>
      <c r="K10059" t="inlineStr">
        <is>
          <t>2 - 5 Năm</t>
        </is>
      </c>
      <c r="L10059" s="8">
        <f>HYPERLINK("https://careerviet.vn/vi/tim-viec-lam/nhan-vien-thiet-ke-do-hoa-2d-graphic-design.35C65563.html","Xem chi tiết")</f>
        <v/>
      </c>
    </row>
    <row r="10060">
      <c r="B10060" s="9" t="n">
        <v>10058</v>
      </c>
      <c r="C10060" s="10" t="inlineStr">
        <is>
          <t>Chuyên viên Khách hàng Ưu tiên - Hồ Chí Minh</t>
        </is>
      </c>
      <c r="D10060" s="10" t="inlineStr">
        <is>
          <t>Ngân hàng Thương mại cổ phần Đông Nam Á (SeABank)</t>
        </is>
      </c>
      <c r="E10060" s="10" t="inlineStr">
        <is>
          <t>Lương:Cạnh tranh</t>
        </is>
      </c>
      <c r="F10060" s="10" t="inlineStr">
        <is>
          <t>Hồ Chí Minh</t>
        </is>
      </c>
      <c r="G10060" s="10" t="inlineStr">
        <is>
          <t>12-04-2026</t>
        </is>
      </c>
      <c r="H10060" s="10" t="inlineStr">
        <is>
          <t>12/04/2026</t>
        </is>
      </c>
      <c r="I10060" s="10" t="inlineStr">
        <is>
          <t>17/03/2026</t>
        </is>
      </c>
      <c r="J10060" s="10" t="inlineStr">
        <is>
          <t>Bán hàng / Kinh doanh, Ngân hàng, Tài chính / Đầu tư</t>
        </is>
      </c>
      <c r="K10060" s="10" t="inlineStr">
        <is>
          <t>1 - 10 Năm</t>
        </is>
      </c>
      <c r="L10060" s="11">
        <f>HYPERLINK("https://careerviet.vn/vi/tim-viec-lam/chuyen-vien-khach-hang-uu-tien-ho-chi-minh.35C653B0.html","Xem chi tiết")</f>
        <v/>
      </c>
      <c r="M10060" s="10" t="n"/>
    </row>
    <row r="10061">
      <c r="B10061" s="7" t="n">
        <v>10059</v>
      </c>
      <c r="C10061" t="inlineStr">
        <is>
          <t>Kỹ sư xây dựng</t>
        </is>
      </c>
      <c r="D10061" t="inlineStr">
        <is>
          <t>CÔNG TY CỔ PHẦN TẬP ĐOÀN THÀNH NAM</t>
        </is>
      </c>
      <c r="E10061" t="inlineStr">
        <is>
          <t>Lương:13 Tr - 18 Tr VND</t>
        </is>
      </c>
      <c r="F10061" t="inlineStr">
        <is>
          <t>Hà Nội</t>
        </is>
      </c>
      <c r="G10061" t="inlineStr">
        <is>
          <t>12-04-2026</t>
        </is>
      </c>
      <c r="H10061" t="inlineStr">
        <is>
          <t>12/04/2026</t>
        </is>
      </c>
      <c r="I10061" t="inlineStr">
        <is>
          <t>17/03/2026</t>
        </is>
      </c>
      <c r="J10061" t="inlineStr">
        <is>
          <t>Kiến trúc, Xây dựng</t>
        </is>
      </c>
      <c r="K10061" t="inlineStr">
        <is>
          <t>Trên 1 Năm</t>
        </is>
      </c>
      <c r="L10061" s="8">
        <f>HYPERLINK("https://careerviet.vn/vi/tim-viec-lam/ky-su-xay-dung.35C653EA.html","Xem chi tiết")</f>
        <v/>
      </c>
    </row>
    <row r="10062">
      <c r="B10062" s="9" t="n">
        <v>10060</v>
      </c>
      <c r="C10062" s="10" t="inlineStr">
        <is>
          <t>Nhân viên kho hàng</t>
        </is>
      </c>
      <c r="D10062" s="10" t="inlineStr">
        <is>
          <t>CÔNG TY TNHH THƯƠNG MẠI DỊCH VỤ N.K.MAY MẮN</t>
        </is>
      </c>
      <c r="E10062" s="10" t="inlineStr">
        <is>
          <t>Lương:8 Tr - 10 Tr VND</t>
        </is>
      </c>
      <c r="F10062" s="10" t="inlineStr">
        <is>
          <t>Hồ Chí Minh</t>
        </is>
      </c>
      <c r="G10062" s="10" t="inlineStr">
        <is>
          <t>12-04-2026</t>
        </is>
      </c>
      <c r="H10062" s="10" t="inlineStr">
        <is>
          <t>12/04/2026</t>
        </is>
      </c>
      <c r="I10062" s="10" t="inlineStr">
        <is>
          <t>17/03/2026</t>
        </is>
      </c>
      <c r="J10062" s="10" t="inlineStr">
        <is>
          <t>Bán lẻ / Bán sỉ, Bán hàng / Kinh doanh, Y tế / Chăm sóc sức khỏe / Thẩm mỹ / Làm đẹp</t>
        </is>
      </c>
      <c r="K10062" s="10" t="inlineStr">
        <is>
          <t>1 - 5 Năm</t>
        </is>
      </c>
      <c r="L10062" s="11">
        <f>HYPERLINK("https://careerviet.vn/vi/tim-viec-lam/nhan-vien-kho-hang.35C65381.html","Xem chi tiết")</f>
        <v/>
      </c>
      <c r="M10062" s="10" t="n"/>
    </row>
    <row r="10063">
      <c r="B10063" s="7" t="n">
        <v>10061</v>
      </c>
      <c r="C10063" t="inlineStr">
        <is>
          <t>Trưởng nhóm Kỹ thuật gia công (Nhà máy)</t>
        </is>
      </c>
      <c r="D10063" t="inlineStr">
        <is>
          <t>CÔNG TY CỔ PHẦN THƯƠNG MẠI DỊCH VỤ XÂY DỰNG E&amp;C</t>
        </is>
      </c>
      <c r="E10063" t="inlineStr">
        <is>
          <t>Lương:20 Tr - 25 Tr VND</t>
        </is>
      </c>
      <c r="F10063" t="inlineStr">
        <is>
          <t>Hồ Chí Minh</t>
        </is>
      </c>
      <c r="G10063" t="inlineStr">
        <is>
          <t>12-04-2026</t>
        </is>
      </c>
      <c r="H10063" t="inlineStr">
        <is>
          <t>12/04/2026</t>
        </is>
      </c>
      <c r="I10063" t="inlineStr">
        <is>
          <t>17/03/2026</t>
        </is>
      </c>
      <c r="J10063" t="inlineStr">
        <is>
          <t>Sản xuất / Vận hành sản xuất, Kiến trúc, Xây dựng</t>
        </is>
      </c>
      <c r="K10063" t="inlineStr">
        <is>
          <t>3 - 5 Năm</t>
        </is>
      </c>
      <c r="L10063" s="8">
        <f>HYPERLINK("https://careerviet.vn/vi/tim-viec-lam/truong-nhom-ky-thuat-gia-cong-nha-may.35C65344.html","Xem chi tiết")</f>
        <v/>
      </c>
    </row>
    <row r="10064">
      <c r="B10064" s="9" t="n">
        <v>10062</v>
      </c>
      <c r="C10064" s="10" t="inlineStr">
        <is>
          <t>CHUYÊN VIÊN QUẢN LÝ DỰ ÁN XÂY DỰNG</t>
        </is>
      </c>
      <c r="D10064" s="10" t="inlineStr">
        <is>
          <t>Công Ty Cổ Phần Kiến Trúc Tư Vấn Quản Lý Đông Dương</t>
        </is>
      </c>
      <c r="E10064" s="10" t="inlineStr">
        <is>
          <t>Lương:Cạnh tranh</t>
        </is>
      </c>
      <c r="F10064" s="10" t="inlineStr">
        <is>
          <t>Hồ Chí Minh</t>
        </is>
      </c>
      <c r="G10064" s="10" t="inlineStr">
        <is>
          <t>12-04-2026</t>
        </is>
      </c>
      <c r="H10064" s="10" t="inlineStr">
        <is>
          <t>12/04/2026</t>
        </is>
      </c>
      <c r="I10064" s="10" t="inlineStr">
        <is>
          <t>17/03/2026</t>
        </is>
      </c>
      <c r="J10064" s="10" t="inlineStr">
        <is>
          <t>Kiến trúc, Xây dựng, Bất động sản</t>
        </is>
      </c>
      <c r="K10064" s="10" t="inlineStr">
        <is>
          <t>Trên 5 Năm</t>
        </is>
      </c>
      <c r="L10064" s="11">
        <f>HYPERLINK("https://careerviet.vn/vi/tim-viec-lam/chuyen-vien-quan-ly-du-an-xay-dung.35C653C7.html","Xem chi tiết")</f>
        <v/>
      </c>
      <c r="M10064" s="10" t="n"/>
    </row>
    <row r="10065">
      <c r="B10065" s="7" t="n">
        <v>10063</v>
      </c>
      <c r="C10065" t="inlineStr">
        <is>
          <t>Nhân viên kỹ thuật nhiệt lạnh</t>
        </is>
      </c>
      <c r="D10065" t="inlineStr">
        <is>
          <t>Công ty cổ phần thương mại kỹ thuật An Việt - CN TP HCM</t>
        </is>
      </c>
      <c r="E10065" t="inlineStr">
        <is>
          <t>Lương:12 Tr - 15 Tr VND</t>
        </is>
      </c>
      <c r="F10065" t="inlineStr">
        <is>
          <t>Hồ Chí Minh</t>
        </is>
      </c>
      <c r="G10065" t="inlineStr">
        <is>
          <t>12-04-2026</t>
        </is>
      </c>
      <c r="H10065" t="inlineStr">
        <is>
          <t>12/04/2026</t>
        </is>
      </c>
      <c r="I10065" t="inlineStr">
        <is>
          <t>17/03/2026</t>
        </is>
      </c>
      <c r="J10065" t="inlineStr">
        <is>
          <t>Cơ khí / Ô tô / Tự động hóa, Điện / Điện tử / Điện lạnh / Điện công nghiệp, Bảo trì / Sửa chữa</t>
        </is>
      </c>
      <c r="K10065" t="inlineStr">
        <is>
          <t>1 - 3 Năm</t>
        </is>
      </c>
      <c r="L10065" s="8">
        <f>HYPERLINK("https://careerviet.vn/vi/tim-viec-lam/nhan-vien-ky-thuat-nhiet-lanh.35C65352.html","Xem chi tiết")</f>
        <v/>
      </c>
    </row>
    <row r="10066">
      <c r="B10066" s="9" t="n">
        <v>10064</v>
      </c>
      <c r="C10066" s="10" t="inlineStr">
        <is>
          <t>Nhân viên kỹ thuật bảo trì (Bảo trì điện lạnh)</t>
        </is>
      </c>
      <c r="D10066" s="10" t="inlineStr">
        <is>
          <t>CÔNG TY CP CHẾ BIẾN DỪA Á CHÂU</t>
        </is>
      </c>
      <c r="E10066" s="10" t="inlineStr">
        <is>
          <t>Lương:Cạnh tranh</t>
        </is>
      </c>
      <c r="F10066" s="10" t="inlineStr">
        <is>
          <t>Bến Tre</t>
        </is>
      </c>
      <c r="G10066" s="10" t="inlineStr">
        <is>
          <t>12-04-2026</t>
        </is>
      </c>
      <c r="H10066" s="10" t="inlineStr">
        <is>
          <t>12/04/2026</t>
        </is>
      </c>
      <c r="I10066" s="10" t="inlineStr">
        <is>
          <t>17/03/2026</t>
        </is>
      </c>
      <c r="J10066" s="10" t="inlineStr">
        <is>
          <t>Điện / Điện tử / Điện lạnh / Điện công nghiệp, Bảo trì / Sửa chữa</t>
        </is>
      </c>
      <c r="K10066" s="10" t="inlineStr">
        <is>
          <t>1 - 2 Năm</t>
        </is>
      </c>
      <c r="L10066" s="11">
        <f>HYPERLINK("https://careerviet.vn/vi/tim-viec-lam/nhan-vien-ky-thuat-bao-tri-bao-tri-dien-lanh.35C653E7.html","Xem chi tiết")</f>
        <v/>
      </c>
      <c r="M10066" s="10" t="n"/>
    </row>
    <row r="10067">
      <c r="B10067" s="7" t="n">
        <v>10065</v>
      </c>
      <c r="C10067" t="inlineStr">
        <is>
          <t>Giám đốc kinh doanh các tỉnh phía Bắc</t>
        </is>
      </c>
      <c r="D10067" t="inlineStr">
        <is>
          <t>Công ty Cổ phần công nghệ T-Tech Việt Nam</t>
        </is>
      </c>
      <c r="E10067" t="inlineStr">
        <is>
          <t>Lương:25 Tr - 35 Tr VND</t>
        </is>
      </c>
      <c r="F10067" t="inlineStr">
        <is>
          <t>Hà Nội</t>
        </is>
      </c>
      <c r="G10067" t="inlineStr">
        <is>
          <t>12-04-2026</t>
        </is>
      </c>
      <c r="H10067" t="inlineStr">
        <is>
          <t>12/04/2026</t>
        </is>
      </c>
      <c r="I10067" t="inlineStr">
        <is>
          <t>17/03/2026</t>
        </is>
      </c>
      <c r="J10067" t="inlineStr">
        <is>
          <t>Bán hàng / Kinh doanh, Bán Hàng Kỹ Thuật, Môi trường</t>
        </is>
      </c>
      <c r="K10067" t="inlineStr">
        <is>
          <t>3 - 5 Năm</t>
        </is>
      </c>
      <c r="L10067" s="8">
        <f>HYPERLINK("https://careerviet.vn/vi/tim-viec-lam/giam-doc-kinh-doanh-cac-tinh-phia-bac.35C654E9.html","Xem chi tiết")</f>
        <v/>
      </c>
    </row>
    <row r="10068">
      <c r="B10068" s="9" t="n">
        <v>10066</v>
      </c>
      <c r="C10068" s="10" t="inlineStr">
        <is>
          <t>Phó phòng Pháp lý Dự án</t>
        </is>
      </c>
      <c r="D10068" s="10" t="inlineStr">
        <is>
          <t>CÔNG TY CỔ PHẦN VĨNH QUANG</t>
        </is>
      </c>
      <c r="E10068" s="10" t="inlineStr">
        <is>
          <t>Lương:Cạnh tranh</t>
        </is>
      </c>
      <c r="F10068" s="10" t="inlineStr">
        <is>
          <t>Hồ Chí Minh</t>
        </is>
      </c>
      <c r="G10068" s="10" t="inlineStr">
        <is>
          <t>12-04-2026</t>
        </is>
      </c>
      <c r="H10068" s="10" t="inlineStr">
        <is>
          <t>12/04/2026</t>
        </is>
      </c>
      <c r="I10068" s="10" t="inlineStr">
        <is>
          <t>17/03/2026</t>
        </is>
      </c>
      <c r="J10068" s="10" t="inlineStr">
        <is>
          <t>Luật / Pháp lý, Xây dựng, Bất động sản</t>
        </is>
      </c>
      <c r="K10068" s="10" t="inlineStr">
        <is>
          <t>5 - 7 Năm</t>
        </is>
      </c>
      <c r="L10068" s="11">
        <f>HYPERLINK("https://careerviet.vn/vi/tim-viec-lam/pho-phong-phap-ly-du-an.35C65505.html","Xem chi tiết")</f>
        <v/>
      </c>
      <c r="M10068" s="10" t="n"/>
    </row>
    <row r="10069">
      <c r="B10069" s="7" t="n">
        <v>10067</v>
      </c>
      <c r="C10069" t="inlineStr">
        <is>
          <t>Trợ lý Tổng Giám Đốc (CEO Assistant)</t>
        </is>
      </c>
      <c r="D10069" t="inlineStr">
        <is>
          <t>CÔNG TY CỔ PHẦN CHỨNG KHOÁN HD</t>
        </is>
      </c>
      <c r="E10069" t="inlineStr">
        <is>
          <t>Lương:Cạnh tranh</t>
        </is>
      </c>
      <c r="F10069" t="inlineStr">
        <is>
          <t>Hồ Chí Minh</t>
        </is>
      </c>
      <c r="G10069" t="inlineStr">
        <is>
          <t>12-04-2026</t>
        </is>
      </c>
      <c r="H10069" t="inlineStr">
        <is>
          <t>12/04/2026</t>
        </is>
      </c>
      <c r="I10069" t="inlineStr">
        <is>
          <t>17/03/2026</t>
        </is>
      </c>
      <c r="J10069" t="inlineStr">
        <is>
          <t>Chứng khoán, Ngân hàng, Tài chính / Đầu tư</t>
        </is>
      </c>
      <c r="K10069" t="inlineStr">
        <is>
          <t>4 - 7 Năm</t>
        </is>
      </c>
      <c r="L10069" s="8">
        <f>HYPERLINK("https://careerviet.vn/vi/tim-viec-lam/tro-ly-tong-giam-doc-ceo-assistant.35C65396.html","Xem chi tiết")</f>
        <v/>
      </c>
    </row>
    <row r="10070">
      <c r="B10070" s="9" t="n">
        <v>10068</v>
      </c>
      <c r="C10070" s="10" t="inlineStr">
        <is>
          <t>Họa viên Kiến Trúc</t>
        </is>
      </c>
      <c r="D10070" s="10" t="inlineStr">
        <is>
          <t>CÔNG TY TNHH THƯƠNG MẠI XÂY DỰNG ĐOÀN LỰC</t>
        </is>
      </c>
      <c r="E10070" s="10" t="inlineStr">
        <is>
          <t>Lương:12 Tr - 16 Tr VND</t>
        </is>
      </c>
      <c r="F10070" s="10" t="inlineStr">
        <is>
          <t>Hồ Chí Minh</t>
        </is>
      </c>
      <c r="G10070" s="10" t="inlineStr">
        <is>
          <t>12-04-2026</t>
        </is>
      </c>
      <c r="H10070" s="10" t="inlineStr">
        <is>
          <t>12/04/2026</t>
        </is>
      </c>
      <c r="I10070" s="10" t="inlineStr">
        <is>
          <t>17/03/2026</t>
        </is>
      </c>
      <c r="J10070" s="10" t="inlineStr">
        <is>
          <t>Mỹ thuật / Nghệ thuật / Thiết kế, Kiến trúc, Xây dựng</t>
        </is>
      </c>
      <c r="K10070" s="10" t="inlineStr">
        <is>
          <t>2 - 3 Năm</t>
        </is>
      </c>
      <c r="L10070" s="11">
        <f>HYPERLINK("https://careerviet.vn/vi/tim-viec-lam/hoa-vien-kien-truc.35C654EB.html","Xem chi tiết")</f>
        <v/>
      </c>
      <c r="M10070" s="10" t="n"/>
    </row>
    <row r="10071">
      <c r="B10071" s="7" t="n">
        <v>10069</v>
      </c>
      <c r="C10071" t="inlineStr">
        <is>
          <t>KỸ SƯ   (HW – FW – SW – Embedded Engineer)</t>
        </is>
      </c>
      <c r="D10071" t="inlineStr">
        <is>
          <t>CÔNG TY CỔ PHẦN ĐIỆN LỰC GELEX</t>
        </is>
      </c>
      <c r="E10071" t="inlineStr">
        <is>
          <t>Lương:Cạnh tranh</t>
        </is>
      </c>
      <c r="F10071" t="inlineStr">
        <is>
          <t>Hà Nội</t>
        </is>
      </c>
      <c r="G10071" t="inlineStr">
        <is>
          <t>12-04-2026</t>
        </is>
      </c>
      <c r="H10071" t="inlineStr">
        <is>
          <t>12/04/2026</t>
        </is>
      </c>
      <c r="I10071" t="inlineStr">
        <is>
          <t>17/03/2026</t>
        </is>
      </c>
      <c r="J10071" t="inlineStr">
        <is>
          <t>CNTT - Phần mềm, Cơ khí / Ô tô / Tự động hóa, Điện / Điện tử / Điện lạnh / Điện công nghiệp</t>
        </is>
      </c>
      <c r="K10071" t="inlineStr">
        <is>
          <t>Trên 3 Năm</t>
        </is>
      </c>
      <c r="L10071" s="8">
        <f>HYPERLINK("https://careerviet.vn/vi/tim-viec-lam/ky-su-hw-fw-sw-embedded-engineer.35C65546.html","Xem chi tiết")</f>
        <v/>
      </c>
    </row>
    <row r="10072">
      <c r="B10072" s="9" t="n">
        <v>10070</v>
      </c>
      <c r="C10072" s="10" t="inlineStr">
        <is>
          <t>CRM Executive - Porsche Centre Saigon</t>
        </is>
      </c>
      <c r="D10072" s="10" t="inlineStr">
        <is>
          <t>Prestige Sports Cars Co. Ltd</t>
        </is>
      </c>
      <c r="E10072" s="10" t="inlineStr">
        <is>
          <t>Lương:Cạnh tranh</t>
        </is>
      </c>
      <c r="F10072" s="10" t="inlineStr">
        <is>
          <t>Hồ Chí Minh</t>
        </is>
      </c>
      <c r="G10072" s="10" t="inlineStr">
        <is>
          <t>12-04-2026</t>
        </is>
      </c>
      <c r="H10072" s="10" t="inlineStr">
        <is>
          <t>12/04/2026</t>
        </is>
      </c>
      <c r="I10072" s="10" t="inlineStr">
        <is>
          <t>17/03/2026</t>
        </is>
      </c>
      <c r="J10072" s="10" t="inlineStr">
        <is>
          <t>Tiếp thị / Marketing, Tiếp thị trực tuyến</t>
        </is>
      </c>
      <c r="K10072" s="10" t="inlineStr">
        <is>
          <t>2 - 3 Năm</t>
        </is>
      </c>
      <c r="L10072" s="11">
        <f>HYPERLINK("https://careerviet.vn/vi/tim-viec-lam/crm-executive-porsche-centre-saigon.35C6549D.html","Xem chi tiết")</f>
        <v/>
      </c>
      <c r="M10072" s="10" t="n"/>
    </row>
    <row r="10073">
      <c r="B10073" s="7" t="n">
        <v>10071</v>
      </c>
      <c r="C10073" t="inlineStr">
        <is>
          <t>Nhân viên kỹ thuật bảo trì (Bảo trì điện, Cơ khí)</t>
        </is>
      </c>
      <c r="D10073" t="inlineStr">
        <is>
          <t>CÔNG TY CP CHẾ BIẾN DỪA Á CHÂU</t>
        </is>
      </c>
      <c r="E10073" t="inlineStr">
        <is>
          <t>Lương:Cạnh tranh</t>
        </is>
      </c>
      <c r="F10073" t="inlineStr">
        <is>
          <t>Bến Tre</t>
        </is>
      </c>
      <c r="G10073" t="inlineStr">
        <is>
          <t>12-04-2026</t>
        </is>
      </c>
      <c r="H10073" t="inlineStr">
        <is>
          <t>12/04/2026</t>
        </is>
      </c>
      <c r="I10073" t="inlineStr">
        <is>
          <t>17/03/2026</t>
        </is>
      </c>
      <c r="J10073" t="inlineStr">
        <is>
          <t>Điện / Điện tử / Điện lạnh / Điện công nghiệp, Bảo trì / Sửa chữa, Cơ khí / Ô tô / Tự động hóa</t>
        </is>
      </c>
      <c r="K10073" t="inlineStr">
        <is>
          <t>N/A</t>
        </is>
      </c>
      <c r="L10073" s="8">
        <f>HYPERLINK("https://careerviet.vn/vi/tim-viec-lam/nhan-vien-ky-thuat-bao-tri-bao-tri-dien-co-khi.35C653E8.html","Xem chi tiết")</f>
        <v/>
      </c>
    </row>
    <row r="10074">
      <c r="B10074" s="9" t="n">
        <v>10072</v>
      </c>
      <c r="C10074" s="10" t="inlineStr">
        <is>
          <t>Giám đốc Kinh doanh khu vực Hà Nội</t>
        </is>
      </c>
      <c r="D10074" s="10" t="inlineStr">
        <is>
          <t>Công ty Cổ phần công nghệ T-Tech Việt Nam</t>
        </is>
      </c>
      <c r="E10074" s="10" t="inlineStr">
        <is>
          <t>Lương:25 Tr - 30 Tr VND</t>
        </is>
      </c>
      <c r="F10074" s="10" t="inlineStr">
        <is>
          <t>Hà Nội</t>
        </is>
      </c>
      <c r="G10074" s="10" t="inlineStr">
        <is>
          <t>12-04-2026</t>
        </is>
      </c>
      <c r="H10074" s="10" t="inlineStr">
        <is>
          <t>12/04/2026</t>
        </is>
      </c>
      <c r="I10074" s="10" t="inlineStr">
        <is>
          <t>17/03/2026</t>
        </is>
      </c>
      <c r="J10074" s="10" t="inlineStr">
        <is>
          <t>Bán hàng / Kinh doanh, Bán Hàng Kỹ Thuật, Môi trường</t>
        </is>
      </c>
      <c r="K10074" s="10" t="inlineStr">
        <is>
          <t>3 - 5 Năm</t>
        </is>
      </c>
      <c r="L10074" s="11">
        <f>HYPERLINK("https://careerviet.vn/vi/tim-viec-lam/giam-doc-kinh-doanh-khu-vuc-ha-noi.35C654E1.html","Xem chi tiết")</f>
        <v/>
      </c>
      <c r="M10074" s="10" t="n"/>
    </row>
    <row r="10075">
      <c r="B10075" s="7" t="n">
        <v>10073</v>
      </c>
      <c r="C10075" t="inlineStr">
        <is>
          <t>GIÁM ĐỐC SẢN XUẤT KHỐI KIM LOẠI</t>
        </is>
      </c>
      <c r="D10075" t="inlineStr">
        <is>
          <t>TRAN DUC CORPORATION - CÔNG TY CỔ PHẦN TRẦN ĐỨC</t>
        </is>
      </c>
      <c r="E10075" t="inlineStr">
        <is>
          <t>Lương:Cạnh tranh</t>
        </is>
      </c>
      <c r="F10075" t="inlineStr">
        <is>
          <t>Bình Dương</t>
        </is>
      </c>
      <c r="G10075" t="inlineStr">
        <is>
          <t>12-04-2026</t>
        </is>
      </c>
      <c r="H10075" t="inlineStr">
        <is>
          <t>12/04/2026</t>
        </is>
      </c>
      <c r="I10075" t="inlineStr">
        <is>
          <t>17/03/2026</t>
        </is>
      </c>
      <c r="J10075" t="inlineStr">
        <is>
          <t>Cơ khí / Ô tô / Tự động hóa, Nội ngoại thất</t>
        </is>
      </c>
      <c r="K10075" t="inlineStr">
        <is>
          <t>2 - 3 Năm</t>
        </is>
      </c>
      <c r="L10075" s="8">
        <f>HYPERLINK("https://careerviet.vn/vi/tim-viec-lam/giam-doc-san-xuat-khoi-kim-loai.35C65339.html","Xem chi tiết")</f>
        <v/>
      </c>
    </row>
    <row r="10076">
      <c r="B10076" s="9" t="n">
        <v>10074</v>
      </c>
      <c r="C10076" s="10" t="inlineStr">
        <is>
          <t>Trưởng phòng Dịch vụ Khách hàng - Hải Phòng</t>
        </is>
      </c>
      <c r="D10076" s="10" t="inlineStr">
        <is>
          <t>Ngân Hàng TMCP Quốc Tế Việt Nam</t>
        </is>
      </c>
      <c r="E10076" s="10" t="inlineStr">
        <is>
          <t>Lương:Cạnh tranh</t>
        </is>
      </c>
      <c r="F10076" s="10" t="inlineStr">
        <is>
          <t>Hải Phòng</t>
        </is>
      </c>
      <c r="G10076" s="10" t="inlineStr">
        <is>
          <t>12-04-2026</t>
        </is>
      </c>
      <c r="H10076" s="10" t="inlineStr">
        <is>
          <t>12/04/2026</t>
        </is>
      </c>
      <c r="I10076" s="10" t="inlineStr">
        <is>
          <t>17/03/2026</t>
        </is>
      </c>
      <c r="J10076" s="10" t="inlineStr">
        <is>
          <t>Dịch vụ khách hàng, Ngân hàng</t>
        </is>
      </c>
      <c r="K10076" s="10" t="inlineStr">
        <is>
          <t>Trên 3 Năm</t>
        </is>
      </c>
      <c r="L10076" s="11">
        <f>HYPERLINK("https://careerviet.vn/vi/tim-viec-lam/truong-phong-dich-vu-khach-hang-hai-phong.35C65509.html","Xem chi tiết")</f>
        <v/>
      </c>
      <c r="M10076" s="10" t="n"/>
    </row>
    <row r="10077">
      <c r="B10077" s="7" t="n">
        <v>10075</v>
      </c>
      <c r="C10077" t="inlineStr">
        <is>
          <t>Nhân viên chăm sóc khách hàng online</t>
        </is>
      </c>
      <c r="D10077" t="inlineStr">
        <is>
          <t>ONE GROUP</t>
        </is>
      </c>
      <c r="E10077" t="inlineStr">
        <is>
          <t>Lương:Cạnh tranh</t>
        </is>
      </c>
      <c r="F10077" t="inlineStr">
        <is>
          <t>Hồ Chí Minh</t>
        </is>
      </c>
      <c r="G10077" t="inlineStr">
        <is>
          <t>12-04-2026</t>
        </is>
      </c>
      <c r="H10077" t="inlineStr">
        <is>
          <t>12/04/2026</t>
        </is>
      </c>
      <c r="I10077" t="inlineStr">
        <is>
          <t>17/03/2026</t>
        </is>
      </c>
      <c r="J10077" t="inlineStr">
        <is>
          <t>Bán hàng / Kinh doanh, Dược phẩm/ Hóa Mỹ Phẩm, Y tế / Chăm sóc sức khỏe / Thẩm mỹ / Làm đẹp</t>
        </is>
      </c>
      <c r="K10077" t="inlineStr">
        <is>
          <t>Lên đến 1 Năm</t>
        </is>
      </c>
      <c r="L10077" s="8">
        <f>HYPERLINK("https://careerviet.vn/vi/tim-viec-lam/nhan-vien-cham-soc-khach-hang-online.35C65512.html","Xem chi tiết")</f>
        <v/>
      </c>
    </row>
    <row r="10078">
      <c r="B10078" s="9" t="n">
        <v>10076</v>
      </c>
      <c r="C10078" s="10" t="inlineStr">
        <is>
          <t>Kế Toán Tổng Hợp Xây Dựng</t>
        </is>
      </c>
      <c r="D10078" s="10" t="inlineStr">
        <is>
          <t>CÔNG TY CỔ PHẦN ĐẦU TƯ ĐÔNG BẮC LAND</t>
        </is>
      </c>
      <c r="E10078" s="10" t="inlineStr">
        <is>
          <t>Lương:Cạnh tranh</t>
        </is>
      </c>
      <c r="F10078" s="10" t="inlineStr">
        <is>
          <t>Hà Nội</t>
        </is>
      </c>
      <c r="G10078" s="10" t="inlineStr">
        <is>
          <t>12-04-2026</t>
        </is>
      </c>
      <c r="H10078" s="10" t="inlineStr">
        <is>
          <t>12/04/2026</t>
        </is>
      </c>
      <c r="I10078" s="10" t="inlineStr">
        <is>
          <t>17/03/2026</t>
        </is>
      </c>
      <c r="J10078" s="10" t="inlineStr">
        <is>
          <t>Kế toán / Kiểm toán, Xây dựng, Thống kê</t>
        </is>
      </c>
      <c r="K10078" s="10" t="inlineStr">
        <is>
          <t>Trên 3 Năm</t>
        </is>
      </c>
      <c r="L10078" s="11">
        <f>HYPERLINK("https://careerviet.vn/vi/tim-viec-lam/ke-toan-tong-hop-xay-dung.35C65508.html","Xem chi tiết")</f>
        <v/>
      </c>
      <c r="M10078" s="10" t="n"/>
    </row>
    <row r="10079">
      <c r="B10079" s="7" t="n">
        <v>10077</v>
      </c>
      <c r="C10079" t="inlineStr">
        <is>
          <t>CHUYÊN VIÊN NHÂN SỰ HÀNH CHÍNH (Đắk Lắk)</t>
        </is>
      </c>
      <c r="D10079" t="inlineStr">
        <is>
          <t>CÔNG TY CỔ PHẦN TẬP ĐOÀN XUẤT - NHẬP KHẨU TRÁI CÂY CHÁNH THU</t>
        </is>
      </c>
      <c r="E10079" t="inlineStr">
        <is>
          <t>Lương:Cạnh tranh</t>
        </is>
      </c>
      <c r="F10079" t="inlineStr">
        <is>
          <t>Dak Lak</t>
        </is>
      </c>
      <c r="G10079" t="inlineStr">
        <is>
          <t>12-04-2026</t>
        </is>
      </c>
      <c r="H10079" t="inlineStr">
        <is>
          <t>12/04/2026</t>
        </is>
      </c>
      <c r="I10079" t="inlineStr">
        <is>
          <t>17/03/2026</t>
        </is>
      </c>
      <c r="J10079" t="inlineStr">
        <is>
          <t>Hành chính / Thư ký, Nhân sự, Xuất nhập khẩu</t>
        </is>
      </c>
      <c r="K10079" t="inlineStr">
        <is>
          <t>2 - 3 Năm</t>
        </is>
      </c>
      <c r="L10079" s="8">
        <f>HYPERLINK("https://careerviet.vn/vi/tim-viec-lam/chuyen-vien-nhan-su-hanh-chinh-dak-lak.35C653F0.html","Xem chi tiết")</f>
        <v/>
      </c>
    </row>
    <row r="10080">
      <c r="B10080" s="9" t="n">
        <v>10078</v>
      </c>
      <c r="C10080" s="10" t="inlineStr">
        <is>
          <t>Chuyên viên thu hồi nợ hiện trường Miền Bắc - TA140</t>
        </is>
      </c>
      <c r="D10080" s="10" t="inlineStr">
        <is>
          <t>Ngân Hàng TMCP Việt Nam Thịnh Vượng - VPBANK</t>
        </is>
      </c>
      <c r="E10080" s="10" t="inlineStr">
        <is>
          <t>Lương:15 Tr - 50 Tr VND</t>
        </is>
      </c>
      <c r="F10080" s="10" t="inlineStr">
        <is>
          <t>Hà NộiBắc GiangThanh Hóa</t>
        </is>
      </c>
      <c r="G10080" s="10" t="inlineStr">
        <is>
          <t>12-04-2026</t>
        </is>
      </c>
      <c r="H10080" s="10" t="inlineStr">
        <is>
          <t>12/04/2026</t>
        </is>
      </c>
      <c r="I10080" s="10" t="inlineStr">
        <is>
          <t>17/03/2026</t>
        </is>
      </c>
      <c r="J10080" s="10" t="inlineStr">
        <is>
          <t>Luật / Pháp lý, Ngân hàng</t>
        </is>
      </c>
      <c r="K10080" s="10" t="inlineStr">
        <is>
          <t>N/A</t>
        </is>
      </c>
      <c r="L10080" s="11">
        <f>HYPERLINK("https://careerviet.vn/vi/tim-viec-lam/chuyen-vien-thu-hoi-no-hien-truong-mien-bac-ta140.35C653DB.html","Xem chi tiết")</f>
        <v/>
      </c>
      <c r="M10080" s="10" t="n"/>
    </row>
    <row r="10081">
      <c r="B10081" s="7" t="n">
        <v>10079</v>
      </c>
      <c r="C10081" t="inlineStr">
        <is>
          <t>NHÂN VIÊN CƠ KHÍ</t>
        </is>
      </c>
      <c r="D10081" t="inlineStr">
        <is>
          <t>Công ty Cổ phần Đầu tư Dừa Bến Tre</t>
        </is>
      </c>
      <c r="E10081" t="inlineStr">
        <is>
          <t>Lương:Cạnh tranh</t>
        </is>
      </c>
      <c r="F10081" t="inlineStr">
        <is>
          <t>Bến Tre</t>
        </is>
      </c>
      <c r="G10081" t="inlineStr">
        <is>
          <t>12-04-2026</t>
        </is>
      </c>
      <c r="H10081" t="inlineStr">
        <is>
          <t>12/04/2026</t>
        </is>
      </c>
      <c r="I10081" t="inlineStr">
        <is>
          <t>17/03/2026</t>
        </is>
      </c>
      <c r="J10081" t="inlineStr">
        <is>
          <t>Cơ khí / Ô tô / Tự động hóa, Điện / Điện tử / Điện lạnh / Điện công nghiệp, Bảo trì / Sửa chữa</t>
        </is>
      </c>
      <c r="K10081" t="inlineStr">
        <is>
          <t>1 - 2 Năm</t>
        </is>
      </c>
      <c r="L10081" s="8">
        <f>HYPERLINK("https://careerviet.vn/vi/tim-viec-lam/nhan-vien-co-khi.35C653B2.html","Xem chi tiết")</f>
        <v/>
      </c>
    </row>
    <row r="10082">
      <c r="B10082" s="9" t="n">
        <v>10080</v>
      </c>
      <c r="C10082" s="10" t="inlineStr">
        <is>
          <t>Scrum Master</t>
        </is>
      </c>
      <c r="D10082" s="10" t="inlineStr">
        <is>
          <t>CÔNG TY TNHH GALAXY DIGITAL HOLDINGS</t>
        </is>
      </c>
      <c r="E10082" s="10" t="inlineStr">
        <is>
          <t>Lương:Cạnh tranh</t>
        </is>
      </c>
      <c r="F10082" s="10" t="inlineStr">
        <is>
          <t>Hồ Chí Minh</t>
        </is>
      </c>
      <c r="G10082" s="10" t="inlineStr">
        <is>
          <t>12-04-2026</t>
        </is>
      </c>
      <c r="H10082" s="10" t="inlineStr">
        <is>
          <t>12/04/2026</t>
        </is>
      </c>
      <c r="I10082" s="10" t="inlineStr">
        <is>
          <t>17/03/2026</t>
        </is>
      </c>
      <c r="J10082" s="10" t="inlineStr">
        <is>
          <t>CNTT - Phần mềm</t>
        </is>
      </c>
      <c r="K10082" s="10" t="inlineStr">
        <is>
          <t>5 - 6 Năm</t>
        </is>
      </c>
      <c r="L10082" s="11">
        <f>HYPERLINK("https://careerviet.vn/vi/tim-viec-lam/scrum-master.35C65543.html","Xem chi tiết")</f>
        <v/>
      </c>
      <c r="M10082" s="10" t="n"/>
    </row>
    <row r="10083">
      <c r="B10083" s="7" t="n">
        <v>10081</v>
      </c>
      <c r="C10083" t="inlineStr">
        <is>
          <t>Thu Ngân</t>
        </is>
      </c>
      <c r="D10083" t="inlineStr">
        <is>
          <t>TRUNG TÂM Y KHOA CHUYÊN SÂU HOÀNG GIA</t>
        </is>
      </c>
      <c r="E10083" t="inlineStr">
        <is>
          <t>Lương:Cạnh tranh</t>
        </is>
      </c>
      <c r="F10083" t="inlineStr">
        <is>
          <t>Hồ Chí Minh</t>
        </is>
      </c>
      <c r="G10083" t="inlineStr">
        <is>
          <t>12-04-2026</t>
        </is>
      </c>
      <c r="H10083" t="inlineStr">
        <is>
          <t>12/04/2026</t>
        </is>
      </c>
      <c r="I10083" t="inlineStr">
        <is>
          <t>17/03/2026</t>
        </is>
      </c>
      <c r="J10083" t="inlineStr">
        <is>
          <t>Y tế / Chăm sóc sức khỏe / Thẩm mỹ / Làm đẹp, Dịch vụ khách hàng, Hành chính / Thư ký</t>
        </is>
      </c>
      <c r="K10083" t="inlineStr">
        <is>
          <t>N/A</t>
        </is>
      </c>
      <c r="L10083" s="8">
        <f>HYPERLINK("https://careerviet.vn/vi/tim-viec-lam/thu-ngan.35C65380.html","Xem chi tiết")</f>
        <v/>
      </c>
    </row>
    <row r="10084">
      <c r="B10084" s="9" t="n">
        <v>10082</v>
      </c>
      <c r="C10084" s="10" t="inlineStr">
        <is>
          <t>Payable Accountant</t>
        </is>
      </c>
      <c r="D10084" s="10" t="inlineStr">
        <is>
          <t>Công Ty TNHH Corsair Marine International</t>
        </is>
      </c>
      <c r="E10084" s="10" t="inlineStr">
        <is>
          <t>Lương:Cạnh tranh</t>
        </is>
      </c>
      <c r="F10084" s="10" t="inlineStr">
        <is>
          <t>Hồ Chí Minh</t>
        </is>
      </c>
      <c r="G10084" s="10" t="inlineStr">
        <is>
          <t>12-04-2026</t>
        </is>
      </c>
      <c r="H10084" s="10" t="inlineStr">
        <is>
          <t>12/04/2026</t>
        </is>
      </c>
      <c r="I10084" s="10" t="inlineStr">
        <is>
          <t>17/03/2026</t>
        </is>
      </c>
      <c r="J10084" s="10" t="inlineStr">
        <is>
          <t>Kế toán / Kiểm toán</t>
        </is>
      </c>
      <c r="K10084" s="10" t="inlineStr">
        <is>
          <t>2 - 3 Năm</t>
        </is>
      </c>
      <c r="L10084" s="11">
        <f>HYPERLINK("https://careerviet.vn/vi/tim-viec-lam/payable-accountant.35C65388.html","Xem chi tiết")</f>
        <v/>
      </c>
      <c r="M10084" s="10" t="n"/>
    </row>
    <row r="10085">
      <c r="B10085" s="7" t="n">
        <v>10083</v>
      </c>
      <c r="C10085" t="inlineStr">
        <is>
          <t>Kỹ thuật viên bảo trì/ Maintenance Technician</t>
        </is>
      </c>
      <c r="D10085" t="inlineStr">
        <is>
          <t>Công Ty TNHH Ortholite Việt Nam</t>
        </is>
      </c>
      <c r="E10085" t="inlineStr">
        <is>
          <t>Lương:Cạnh tranh</t>
        </is>
      </c>
      <c r="F10085" t="inlineStr">
        <is>
          <t>Bình Dương</t>
        </is>
      </c>
      <c r="G10085" t="inlineStr">
        <is>
          <t>12-04-2026</t>
        </is>
      </c>
      <c r="H10085" t="inlineStr">
        <is>
          <t>12/04/2026</t>
        </is>
      </c>
      <c r="I10085" t="inlineStr">
        <is>
          <t>17/03/2026</t>
        </is>
      </c>
      <c r="J10085" t="inlineStr">
        <is>
          <t>Cơ khí / Ô tô / Tự động hóa, Dệt may / Da giày / Thời trang, Điện / Điện tử / Điện lạnh / Điện công nghiệp</t>
        </is>
      </c>
      <c r="K10085" t="inlineStr">
        <is>
          <t>1 - 3 Năm</t>
        </is>
      </c>
      <c r="L10085" s="8">
        <f>HYPERLINK("https://careerviet.vn/vi/tim-viec-lam/ky-thuat-vien-bao-tri-maintenance-technician.35C653C6.html","Xem chi tiết")</f>
        <v/>
      </c>
    </row>
    <row r="10086">
      <c r="B10086" s="9" t="n">
        <v>10084</v>
      </c>
      <c r="C10086" s="10" t="inlineStr">
        <is>
          <t>Quản Lý Cửa Hàng ( Aeon Bình Tân)</t>
        </is>
      </c>
      <c r="D10086" s="10" t="inlineStr">
        <is>
          <t>Vascara Group</t>
        </is>
      </c>
      <c r="E10086" s="10" t="inlineStr">
        <is>
          <t>Lương:Cạnh tranh</t>
        </is>
      </c>
      <c r="F10086" s="10" t="inlineStr">
        <is>
          <t>Hồ Chí Minh</t>
        </is>
      </c>
      <c r="G10086" s="10" t="inlineStr">
        <is>
          <t>12-04-2026</t>
        </is>
      </c>
      <c r="H10086" s="10" t="inlineStr">
        <is>
          <t>12/04/2026</t>
        </is>
      </c>
      <c r="I10086" s="10" t="inlineStr">
        <is>
          <t>17/03/2026</t>
        </is>
      </c>
      <c r="J10086" s="10" t="inlineStr">
        <is>
          <t>Tiếp thị / Marketing, Bán lẻ / Bán sỉ, Bán hàng / Kinh doanh</t>
        </is>
      </c>
      <c r="K10086" s="10" t="inlineStr">
        <is>
          <t>1 - 2 Năm</t>
        </is>
      </c>
      <c r="L10086" s="11">
        <f>HYPERLINK("https://careerviet.vn/vi/tim-viec-lam/quan-ly-cua-hang-aeon-binh-tan.35C654AC.html","Xem chi tiết")</f>
        <v/>
      </c>
      <c r="M10086" s="10" t="n"/>
    </row>
    <row r="10087">
      <c r="B10087" s="7" t="n">
        <v>10085</v>
      </c>
      <c r="C10087" t="inlineStr">
        <is>
          <t>Kỹ Sư Giám Sát Công Trình Hạ Tầng Kỹ Thuật</t>
        </is>
      </c>
      <c r="D10087" t="inlineStr">
        <is>
          <t>CÔNG TY CỔ PHẦN ĐẦU TƯ ĐÔNG BẮC LAND</t>
        </is>
      </c>
      <c r="E10087" t="inlineStr">
        <is>
          <t>Lương:Cạnh tranh</t>
        </is>
      </c>
      <c r="F10087" t="inlineStr">
        <is>
          <t>Hà Nội</t>
        </is>
      </c>
      <c r="G10087" t="inlineStr">
        <is>
          <t>12-04-2026</t>
        </is>
      </c>
      <c r="H10087" t="inlineStr">
        <is>
          <t>12/04/2026</t>
        </is>
      </c>
      <c r="I10087" t="inlineStr">
        <is>
          <t>17/03/2026</t>
        </is>
      </c>
      <c r="J10087" t="inlineStr">
        <is>
          <t>Quản lý điều hành, Kiến trúc, Xây dựng</t>
        </is>
      </c>
      <c r="K10087" t="inlineStr">
        <is>
          <t>Trên 10 Năm</t>
        </is>
      </c>
      <c r="L10087" s="8">
        <f>HYPERLINK("https://careerviet.vn/vi/tim-viec-lam/ky-su-giam-sat-cong-trinh-ha-tang-ky-thuat.35C65516.html","Xem chi tiết")</f>
        <v/>
      </c>
    </row>
    <row r="10088">
      <c r="B10088" s="9" t="n">
        <v>10086</v>
      </c>
      <c r="C10088" s="10" t="inlineStr">
        <is>
          <t>Kỹ sư QA QC</t>
        </is>
      </c>
      <c r="D10088" s="10" t="inlineStr">
        <is>
          <t>CÔNG TY TNHH SYNCMOLD ĐỒNG NAI</t>
        </is>
      </c>
      <c r="E10088" s="10" t="inlineStr">
        <is>
          <t>Lương:Cạnh tranh</t>
        </is>
      </c>
      <c r="F10088" s="10" t="inlineStr">
        <is>
          <t>Đồng Nai</t>
        </is>
      </c>
      <c r="G10088" s="10" t="inlineStr">
        <is>
          <t>12-04-2026</t>
        </is>
      </c>
      <c r="H10088" s="10" t="inlineStr">
        <is>
          <t>12/04/2026</t>
        </is>
      </c>
      <c r="I10088" s="10" t="inlineStr">
        <is>
          <t>17/03/2026</t>
        </is>
      </c>
      <c r="J10088" s="10" t="inlineStr">
        <is>
          <t>Quản lý chất lượng (QA/QC)</t>
        </is>
      </c>
      <c r="K10088" s="10" t="inlineStr">
        <is>
          <t>Chưa có kinh nghiệm</t>
        </is>
      </c>
      <c r="L10088" s="11">
        <f>HYPERLINK("https://careerviet.vn/vi/tim-viec-lam/ky-su-qa-qc.35C65523.html","Xem chi tiết")</f>
        <v/>
      </c>
      <c r="M10088" s="10" t="n"/>
    </row>
    <row r="10089">
      <c r="B10089" s="7" t="n">
        <v>10087</v>
      </c>
      <c r="C10089" t="inlineStr">
        <is>
          <t>Trưởng Nhóm Chăm Sóc Khách Hàng Cho Đối Tác Gogoro - Lĩnh Vực Xe Điện</t>
        </is>
      </c>
      <c r="D10089" t="inlineStr">
        <is>
          <t>BellSystem24-Việt Nam</t>
        </is>
      </c>
      <c r="E10089" t="inlineStr">
        <is>
          <t>Lương:14 Tr - 16 Tr VND</t>
        </is>
      </c>
      <c r="F10089" t="inlineStr">
        <is>
          <t>Hà Nội</t>
        </is>
      </c>
      <c r="G10089" t="inlineStr">
        <is>
          <t>12-04-2026</t>
        </is>
      </c>
      <c r="H10089" t="inlineStr">
        <is>
          <t>12/04/2026</t>
        </is>
      </c>
      <c r="I10089" t="inlineStr">
        <is>
          <t>17/03/2026</t>
        </is>
      </c>
      <c r="J10089" t="inlineStr">
        <is>
          <t>Bán hàng / Kinh doanh, Dịch vụ khách hàng, Quản lý chất lượng (QA/QC)</t>
        </is>
      </c>
      <c r="K10089" t="inlineStr">
        <is>
          <t>N/A</t>
        </is>
      </c>
      <c r="L10089" s="8">
        <f>HYPERLINK("https://careerviet.vn/vi/tim-viec-lam/truong-nhom-cham-soc-khach-hang-cho-doi-tac-gogoro-linh-vuc-xe-dien.35C65375.html","Xem chi tiết")</f>
        <v/>
      </c>
    </row>
    <row r="10090">
      <c r="B10090" s="9" t="n">
        <v>10088</v>
      </c>
      <c r="C10090" s="10" t="inlineStr">
        <is>
          <t>Kỹ sư năng lượng</t>
        </is>
      </c>
      <c r="D10090" s="10" t="inlineStr">
        <is>
          <t>CÔNG TY CỔ PHẦN TẬP ĐOÀN CƠ KHÍ CÔNG NGHỆ CAO SIBA</t>
        </is>
      </c>
      <c r="E10090" s="10" t="inlineStr">
        <is>
          <t>Lương:15 Tr - 22 Tr VND</t>
        </is>
      </c>
      <c r="F10090" s="10" t="inlineStr">
        <is>
          <t>Hồ Chí Minh</t>
        </is>
      </c>
      <c r="G10090" s="10" t="inlineStr">
        <is>
          <t>12-04-2026</t>
        </is>
      </c>
      <c r="H10090" s="10" t="inlineStr">
        <is>
          <t>12/04/2026</t>
        </is>
      </c>
      <c r="I10090" s="10" t="inlineStr">
        <is>
          <t>17/03/2026</t>
        </is>
      </c>
      <c r="J10090" s="10" t="inlineStr">
        <is>
          <t>Môi trường, Điện / Điện tử / Điện lạnh / Điện công nghiệp</t>
        </is>
      </c>
      <c r="K10090" s="10" t="inlineStr">
        <is>
          <t>3 - 5 Năm</t>
        </is>
      </c>
      <c r="L10090" s="11">
        <f>HYPERLINK("https://careerviet.vn/vi/tim-viec-lam/ky-su-nang-luong.35C6546B.html","Xem chi tiết")</f>
        <v/>
      </c>
      <c r="M10090" s="10" t="n"/>
    </row>
    <row r="10091">
      <c r="B10091" s="7" t="n">
        <v>10089</v>
      </c>
      <c r="C10091" t="inlineStr">
        <is>
          <t>Nhân viên cung ứng</t>
        </is>
      </c>
      <c r="D10091" t="inlineStr">
        <is>
          <t>CÔNG TY TNHH BLUE ELATION</t>
        </is>
      </c>
      <c r="E10091" t="inlineStr">
        <is>
          <t>Lương:Cạnh tranh</t>
        </is>
      </c>
      <c r="F10091" t="inlineStr">
        <is>
          <t>Hồ Chí Minh</t>
        </is>
      </c>
      <c r="G10091" t="inlineStr">
        <is>
          <t>12-04-2026</t>
        </is>
      </c>
      <c r="H10091" t="inlineStr">
        <is>
          <t>12/04/2026</t>
        </is>
      </c>
      <c r="I10091" t="inlineStr">
        <is>
          <t>17/03/2026</t>
        </is>
      </c>
      <c r="J10091" t="inlineStr">
        <is>
          <t>Thu mua / Vật tư, Nội ngoại thất</t>
        </is>
      </c>
      <c r="K10091" t="inlineStr">
        <is>
          <t>3 - 20 Năm</t>
        </is>
      </c>
      <c r="L10091" s="8">
        <f>HYPERLINK("https://careerviet.vn/vi/tim-viec-lam/nhan-vien-cung-ung.35C653B8.html","Xem chi tiết")</f>
        <v/>
      </c>
    </row>
    <row r="10092">
      <c r="B10092" s="9" t="n">
        <v>10090</v>
      </c>
      <c r="C10092" s="10" t="inlineStr">
        <is>
          <t>Sale tiếng Trung</t>
        </is>
      </c>
      <c r="D10092" s="10" t="inlineStr">
        <is>
          <t>Công Ty Cổ Phần Nhựa Hà Nội</t>
        </is>
      </c>
      <c r="E10092" s="10" t="inlineStr">
        <is>
          <t>Lương:20 Tr - 30 Tr VND</t>
        </is>
      </c>
      <c r="F10092" s="10" t="inlineStr">
        <is>
          <t>Hà Nội</t>
        </is>
      </c>
      <c r="G10092" s="10" t="inlineStr">
        <is>
          <t>12-04-2026</t>
        </is>
      </c>
      <c r="H10092" s="10" t="inlineStr">
        <is>
          <t>12/04/2026</t>
        </is>
      </c>
      <c r="I10092" s="10" t="inlineStr">
        <is>
          <t>17/03/2026</t>
        </is>
      </c>
      <c r="J10092" s="10" t="inlineStr">
        <is>
          <t>Bán hàng / Kinh doanh</t>
        </is>
      </c>
      <c r="K10092" s="10" t="inlineStr">
        <is>
          <t>2 - 5 Năm</t>
        </is>
      </c>
      <c r="L10092" s="11">
        <f>HYPERLINK("https://careerviet.vn/vi/tim-viec-lam/sale-tieng-trung.35C6545F.html","Xem chi tiết")</f>
        <v/>
      </c>
      <c r="M10092" s="10" t="n"/>
    </row>
    <row r="10093">
      <c r="B10093" s="7" t="n">
        <v>10091</v>
      </c>
      <c r="C10093" t="inlineStr">
        <is>
          <t>IMC Planning Manager (Agency)</t>
        </is>
      </c>
      <c r="D10093" t="inlineStr">
        <is>
          <t>Công ty TNHH Sản xuất Thương mại &amp; Dịch vụ Hoa Xinh</t>
        </is>
      </c>
      <c r="E10093" t="inlineStr">
        <is>
          <t>Lương:1.000 - 2.000 USD</t>
        </is>
      </c>
      <c r="F10093" t="inlineStr">
        <is>
          <t>Hồ Chí Minh</t>
        </is>
      </c>
      <c r="G10093" t="inlineStr">
        <is>
          <t>12-04-2026</t>
        </is>
      </c>
      <c r="H10093" t="inlineStr">
        <is>
          <t>12/04/2026</t>
        </is>
      </c>
      <c r="I10093" t="inlineStr">
        <is>
          <t>17/03/2026</t>
        </is>
      </c>
      <c r="J10093" t="inlineStr">
        <is>
          <t>Tiếp thị / Marketing, Tiếp thị trực tuyến, Thương mại điện tử</t>
        </is>
      </c>
      <c r="K10093" t="inlineStr">
        <is>
          <t>5 - 15 Năm</t>
        </is>
      </c>
      <c r="L10093" s="8">
        <f>HYPERLINK("https://careerviet.vn/vi/tim-viec-lam/imc-planning-manager-agency.35C65527.html","Xem chi tiết")</f>
        <v/>
      </c>
    </row>
    <row r="10094">
      <c r="B10094" s="9" t="n">
        <v>10092</v>
      </c>
      <c r="C10094" s="10" t="inlineStr">
        <is>
          <t>Trưởng phòng phát triển sản phẩm &amp; chuẩn bị sản xuất</t>
        </is>
      </c>
      <c r="D10094" s="10" t="inlineStr">
        <is>
          <t>CÔNG TY TNHH SÀI GÒN WICKER</t>
        </is>
      </c>
      <c r="E10094" s="10" t="inlineStr">
        <is>
          <t>Lương:Cạnh tranh</t>
        </is>
      </c>
      <c r="F10094" s="10" t="inlineStr">
        <is>
          <t>Long An</t>
        </is>
      </c>
      <c r="G10094" s="10" t="inlineStr">
        <is>
          <t>31-05-2026</t>
        </is>
      </c>
      <c r="H10094" s="10" t="inlineStr">
        <is>
          <t>31/05/2026</t>
        </is>
      </c>
      <c r="I10094" s="10" t="inlineStr">
        <is>
          <t>17/03/2026</t>
        </is>
      </c>
      <c r="J10094" s="10" t="inlineStr">
        <is>
          <t>Sản xuất / Vận hành sản xuất</t>
        </is>
      </c>
      <c r="K10094" s="10" t="inlineStr">
        <is>
          <t>2 - 3 Năm</t>
        </is>
      </c>
      <c r="L10094" s="11">
        <f>HYPERLINK("https://careerviet.vn/vi/tim-viec-lam/truong-phong-phat-trien-san-pham-chuan-bi-san-xuat.35C6C9B8.html","Xem chi tiết")</f>
        <v/>
      </c>
      <c r="M10094" s="10" t="n"/>
    </row>
    <row r="10095">
      <c r="B10095" s="7" t="n">
        <v>10093</v>
      </c>
      <c r="C10095" t="inlineStr">
        <is>
          <t>Chuyên viên Phân tích Dữ liệu Kinh doanh (Commercial Data Analyst)</t>
        </is>
      </c>
      <c r="D10095" t="inlineStr">
        <is>
          <t>Công ty TNHH TOM Group Việt Nam</t>
        </is>
      </c>
      <c r="E10095" t="inlineStr">
        <is>
          <t>Lương:Cạnh tranh</t>
        </is>
      </c>
      <c r="F10095" t="inlineStr">
        <is>
          <t>Hồ Chí Minh</t>
        </is>
      </c>
      <c r="G10095" t="inlineStr">
        <is>
          <t>23-04-2026</t>
        </is>
      </c>
      <c r="H10095" t="inlineStr">
        <is>
          <t>23/04/2026</t>
        </is>
      </c>
      <c r="I10095" t="inlineStr">
        <is>
          <t>17/03/2026</t>
        </is>
      </c>
      <c r="J10095" t="inlineStr">
        <is>
          <t>Tiếp thị / Marketing</t>
        </is>
      </c>
      <c r="K10095" t="inlineStr">
        <is>
          <t>2 - 4 Năm</t>
        </is>
      </c>
      <c r="L10095" s="8">
        <f>HYPERLINK("https://careerviet.vn/vi/tim-viec-lam/chuyen-vien-phan-tich-du-lieu-kinh-doanh-commercial-data-analyst.35C6C9B0.html","Xem chi tiết")</f>
        <v/>
      </c>
    </row>
    <row r="10096">
      <c r="B10096" s="9" t="n">
        <v>10094</v>
      </c>
      <c r="C10096" s="10" t="inlineStr">
        <is>
          <t>Trucking Operations &amp; Vendor Management Specialist</t>
        </is>
      </c>
      <c r="D10096" s="10" t="inlineStr">
        <is>
          <t>CONG TY TNHH WONCHANG LOGISTICS</t>
        </is>
      </c>
      <c r="E10096" s="10" t="inlineStr">
        <is>
          <t>Lương:Cạnh tranh</t>
        </is>
      </c>
      <c r="F10096" s="10" t="inlineStr">
        <is>
          <t>Hồ Chí Minh</t>
        </is>
      </c>
      <c r="G10096" s="10" t="inlineStr">
        <is>
          <t>10-04-2026</t>
        </is>
      </c>
      <c r="H10096" s="10" t="inlineStr">
        <is>
          <t>10/04/2026</t>
        </is>
      </c>
      <c r="I10096" s="10" t="inlineStr">
        <is>
          <t>17/03/2026</t>
        </is>
      </c>
      <c r="J10096" s="10" t="inlineStr">
        <is>
          <t>Vận chuyển / Giao nhận / Kho vận</t>
        </is>
      </c>
      <c r="K10096" s="10" t="inlineStr">
        <is>
          <t>Trên 2 Năm</t>
        </is>
      </c>
      <c r="L10096" s="11">
        <f>HYPERLINK("https://careerviet.vn/vi/tim-viec-lam/trucking-operations-vendor-management-specialist.35C6C9B6.html","Xem chi tiết")</f>
        <v/>
      </c>
      <c r="M10096" s="10" t="n"/>
    </row>
    <row r="10097">
      <c r="B10097" s="7" t="n">
        <v>10095</v>
      </c>
      <c r="C10097" t="inlineStr">
        <is>
          <t>Nhân Viên Marketing</t>
        </is>
      </c>
      <c r="D10097" t="inlineStr">
        <is>
          <t>Eco Plastic - Công ty Cổ phần Nhựa Sinh Thái Việt Nam</t>
        </is>
      </c>
      <c r="E10097" t="inlineStr">
        <is>
          <t>Lương:Cạnh tranh</t>
        </is>
      </c>
      <c r="F10097" t="inlineStr">
        <is>
          <t>Hưng Yên</t>
        </is>
      </c>
      <c r="G10097" t="inlineStr">
        <is>
          <t>12-04-2026</t>
        </is>
      </c>
      <c r="H10097" t="inlineStr">
        <is>
          <t>12/04/2026</t>
        </is>
      </c>
      <c r="I10097" t="inlineStr">
        <is>
          <t>17/03/2026</t>
        </is>
      </c>
      <c r="J10097" t="inlineStr">
        <is>
          <t>Tiếp thị / Marketing, Tiếp thị trực tuyến, Quảng cáo / Đối ngoại / Truyền Thông</t>
        </is>
      </c>
      <c r="K10097" t="inlineStr">
        <is>
          <t>Không yêu cầu kinh nghiệmĐịa điểm</t>
        </is>
      </c>
      <c r="L10097" s="8">
        <f>HYPERLINK("https://careerviet.vn/vi/tim-viec-lam/nhan-vien-marketing.35C64AC5.html","Xem chi tiết")</f>
        <v/>
      </c>
    </row>
    <row r="10098">
      <c r="B10098" s="9" t="n">
        <v>10096</v>
      </c>
      <c r="C10098" s="10" t="inlineStr">
        <is>
          <t>Trưởng phòng Khách hàng Doanh nghiệp - CN Bắc Ninh</t>
        </is>
      </c>
      <c r="D10098" s="10" t="inlineStr">
        <is>
          <t>Ngân hàng TMCP Việt Á – VietABank</t>
        </is>
      </c>
      <c r="E10098" s="10" t="inlineStr">
        <is>
          <t>Lương:Cạnh tranh</t>
        </is>
      </c>
      <c r="F10098" s="10" t="inlineStr">
        <is>
          <t>Bắc Ninh</t>
        </is>
      </c>
      <c r="G10098" s="10" t="inlineStr">
        <is>
          <t>12-04-2026</t>
        </is>
      </c>
      <c r="H10098" s="10" t="inlineStr">
        <is>
          <t>12/04/2026</t>
        </is>
      </c>
      <c r="I10098" s="10" t="inlineStr">
        <is>
          <t>17/03/2026</t>
        </is>
      </c>
      <c r="J10098" s="10" t="inlineStr">
        <is>
          <t>Quản lý điều hành, Ngân hàng</t>
        </is>
      </c>
      <c r="K10098" s="10" t="inlineStr">
        <is>
          <t>2 - 3 Năm</t>
        </is>
      </c>
      <c r="L10098" s="11">
        <f>HYPERLINK("https://careerviet.vn/vi/tim-viec-lam/truong-phong-khach-hang-doanh-nghiep-cn-bac-ninh.35C65493.html","Xem chi tiết")</f>
        <v/>
      </c>
      <c r="M10098" s="10" t="n"/>
    </row>
    <row r="10099">
      <c r="B10099" s="7" t="n">
        <v>10097</v>
      </c>
      <c r="C10099" t="inlineStr">
        <is>
          <t>Nhân viên Kiểm Soát Chất Lượng</t>
        </is>
      </c>
      <c r="D10099" t="inlineStr">
        <is>
          <t>CÔNG TY CỔ PHẦN TẬP ĐOÀN KỸ THUẬT VÀ CÔNG NGHIỆP VIỆT NAM TẠI HỒ CHÍ MINH</t>
        </is>
      </c>
      <c r="E10099" t="inlineStr">
        <is>
          <t>Lương:12 Tr - 15 Tr VND</t>
        </is>
      </c>
      <c r="F10099" t="inlineStr">
        <is>
          <t>Bình Dương</t>
        </is>
      </c>
      <c r="G10099" t="inlineStr">
        <is>
          <t>31-03-2026</t>
        </is>
      </c>
      <c r="H10099" t="inlineStr">
        <is>
          <t>31/03/2026</t>
        </is>
      </c>
      <c r="I10099" t="inlineStr">
        <is>
          <t>17/03/2026</t>
        </is>
      </c>
      <c r="J10099" t="inlineStr">
        <is>
          <t>Cơ khí / Ô tô / Tự động hóa, Quản lý chất lượng (QA/QC), Điện / Điện tử / Điện lạnh / Điện công nghiệp</t>
        </is>
      </c>
      <c r="K10099" t="inlineStr">
        <is>
          <t>3 - 4 Năm</t>
        </is>
      </c>
      <c r="L10099" s="8">
        <f>HYPERLINK("https://careerviet.vn/vi/tim-viec-lam/nhan-vien-kiem-soat-chat-luong.35C6C9B1.html","Xem chi tiết")</f>
        <v/>
      </c>
    </row>
    <row r="10100">
      <c r="B10100" s="9" t="n">
        <v>10098</v>
      </c>
      <c r="C10100" s="10" t="inlineStr">
        <is>
          <t>Nhân viên phát triển thị trường</t>
        </is>
      </c>
      <c r="D10100" s="10" t="inlineStr">
        <is>
          <t>Công ty cổ phần văn phòng phẩm Hồng Hà</t>
        </is>
      </c>
      <c r="E10100" s="10" t="inlineStr">
        <is>
          <t>Lương:10 Tr - 20 Tr VND</t>
        </is>
      </c>
      <c r="F10100" s="10" t="inlineStr">
        <is>
          <t>Hà NộiHồ Chí Minh</t>
        </is>
      </c>
      <c r="G10100" s="10" t="inlineStr">
        <is>
          <t>12-04-2026</t>
        </is>
      </c>
      <c r="H10100" s="10" t="inlineStr">
        <is>
          <t>12/04/2026</t>
        </is>
      </c>
      <c r="I10100" s="10" t="inlineStr">
        <is>
          <t>17/03/2026</t>
        </is>
      </c>
      <c r="J10100" s="10" t="inlineStr">
        <is>
          <t>Tiếp thị / Marketing, Bán hàng / Kinh doanh, Mới tốt nghiệp / Thực tập</t>
        </is>
      </c>
      <c r="K10100" s="10" t="inlineStr">
        <is>
          <t>1 - 2 Năm</t>
        </is>
      </c>
      <c r="L10100" s="11">
        <f>HYPERLINK("https://careerviet.vn/vi/tim-viec-lam/nhan-vien-phat-trien-thi-truong.35C653DF.html","Xem chi tiết")</f>
        <v/>
      </c>
      <c r="M10100" s="10" t="n"/>
    </row>
    <row r="10101">
      <c r="B10101" s="7" t="n">
        <v>10099</v>
      </c>
      <c r="C10101" t="inlineStr">
        <is>
          <t>Nhân viên kế toán tiếng Trung - Bình Dương</t>
        </is>
      </c>
      <c r="D10101" t="inlineStr">
        <is>
          <t>CÔNG TY TNHH POLYTEX FAR EASTERN (VIỆT NAM)</t>
        </is>
      </c>
      <c r="E10101" t="inlineStr">
        <is>
          <t>Lương:Cạnh tranh</t>
        </is>
      </c>
      <c r="F10101" t="inlineStr">
        <is>
          <t>Bình Dương</t>
        </is>
      </c>
      <c r="G10101" t="inlineStr">
        <is>
          <t>12-04-2026</t>
        </is>
      </c>
      <c r="H10101" t="inlineStr">
        <is>
          <t>12/04/2026</t>
        </is>
      </c>
      <c r="I10101" t="inlineStr">
        <is>
          <t>17/03/2026</t>
        </is>
      </c>
      <c r="J10101" t="inlineStr">
        <is>
          <t>Kế toán / Kiểm toán, Tài chính / Đầu tư, Ngân hàng</t>
        </is>
      </c>
      <c r="K10101" t="inlineStr">
        <is>
          <t>1 - 10 Năm</t>
        </is>
      </c>
      <c r="L10101" s="8">
        <f>HYPERLINK("https://careerviet.vn/vi/tim-viec-lam/nhan-vien-ke-toan-tieng-trung-binh-duong.35C65522.html","Xem chi tiết")</f>
        <v/>
      </c>
    </row>
    <row r="10102">
      <c r="B10102" s="9" t="n">
        <v>10100</v>
      </c>
      <c r="C10102" s="10" t="inlineStr">
        <is>
          <t>CHUYÊN VIÊN TƯ VẤN ĐẦU TƯ CHỨNG KHOÁN (ĐỒNG NAI)</t>
        </is>
      </c>
      <c r="D10102" s="10" t="inlineStr">
        <is>
          <t>VDSC - Công ty CP Chứng khoán Rồng Việt</t>
        </is>
      </c>
      <c r="E10102" s="10" t="inlineStr">
        <is>
          <t>Lương:7 Tr - 20 Tr VND</t>
        </is>
      </c>
      <c r="F10102" s="10" t="inlineStr">
        <is>
          <t>Đồng Nai</t>
        </is>
      </c>
      <c r="G10102" s="10" t="inlineStr">
        <is>
          <t>12-04-2026</t>
        </is>
      </c>
      <c r="H10102" s="10" t="inlineStr">
        <is>
          <t>12/04/2026</t>
        </is>
      </c>
      <c r="I10102" s="10" t="inlineStr">
        <is>
          <t>17/03/2026</t>
        </is>
      </c>
      <c r="J10102" s="10" t="inlineStr">
        <is>
          <t>Ngân hàng, Chứng khoán, Tài chính / Đầu tư</t>
        </is>
      </c>
      <c r="K10102" s="10" t="inlineStr">
        <is>
          <t>Trên 1 Năm</t>
        </is>
      </c>
      <c r="L10102" s="11">
        <f>HYPERLINK("https://careerviet.vn/vi/tim-viec-lam/chuyen-vien-tu-van-dau-tu-chung-khoan-dong-nai.35C65500.html","Xem chi tiết")</f>
        <v/>
      </c>
      <c r="M10102" s="10" t="n"/>
    </row>
    <row r="10103">
      <c r="B10103" s="7" t="n">
        <v>10101</v>
      </c>
      <c r="C10103" t="inlineStr">
        <is>
          <t>KẾ TOÁN TRƯỞNG</t>
        </is>
      </c>
      <c r="D10103" t="inlineStr">
        <is>
          <t>CÔNG TY CỔ PHẦN SẢN XUẤT THƯƠNG MẠI XÂY DỰNG TRANG TRÍ NỘI THẤT G.S VIỆT NAM</t>
        </is>
      </c>
      <c r="E10103" t="inlineStr">
        <is>
          <t>Lương:Trên 28 Tr VND</t>
        </is>
      </c>
      <c r="F10103" t="inlineStr">
        <is>
          <t>Bình Dương</t>
        </is>
      </c>
      <c r="G10103" t="inlineStr">
        <is>
          <t>06-04-2026</t>
        </is>
      </c>
      <c r="H10103" t="inlineStr">
        <is>
          <t>06/04/2026</t>
        </is>
      </c>
      <c r="I10103" t="inlineStr">
        <is>
          <t>17/03/2026</t>
        </is>
      </c>
      <c r="J10103" t="inlineStr">
        <is>
          <t>Kế toán / Kiểm toán, Xây dựng, Nội ngoại thất</t>
        </is>
      </c>
      <c r="K10103" t="inlineStr">
        <is>
          <t>Trên 5 Năm</t>
        </is>
      </c>
      <c r="L10103" s="8">
        <f>HYPERLINK("https://careerviet.vn/vi/tim-viec-lam/ke-toan-truong.35C6C9AF.html","Xem chi tiết")</f>
        <v/>
      </c>
    </row>
    <row r="10104">
      <c r="B10104" s="9" t="n">
        <v>10102</v>
      </c>
      <c r="C10104" s="10" t="inlineStr">
        <is>
          <t>Hành Chính - Tổng Hợp</t>
        </is>
      </c>
      <c r="D10104" s="10" t="inlineStr">
        <is>
          <t>CÔNG TY CỔ PHẦN ĐẦU TƯ ĐÔNG BẮC LAND</t>
        </is>
      </c>
      <c r="E10104" s="10" t="inlineStr">
        <is>
          <t>Lương:Cạnh tranh</t>
        </is>
      </c>
      <c r="F10104" s="10" t="inlineStr">
        <is>
          <t>Hải Dương</t>
        </is>
      </c>
      <c r="G10104" s="10" t="inlineStr">
        <is>
          <t>12-04-2026</t>
        </is>
      </c>
      <c r="H10104" s="10" t="inlineStr">
        <is>
          <t>12/04/2026</t>
        </is>
      </c>
      <c r="I10104" s="10" t="inlineStr">
        <is>
          <t>17/03/2026</t>
        </is>
      </c>
      <c r="J10104" s="10" t="inlineStr">
        <is>
          <t>Hành chính / Thư ký, Nhân sự, Xây dựng</t>
        </is>
      </c>
      <c r="K10104" s="10" t="inlineStr">
        <is>
          <t>2 - 5 Năm</t>
        </is>
      </c>
      <c r="L10104" s="11">
        <f>HYPERLINK("https://careerviet.vn/vi/tim-viec-lam/hanh-chinh-tong-hop.35C65513.html","Xem chi tiết")</f>
        <v/>
      </c>
      <c r="M10104" s="10" t="n"/>
    </row>
    <row r="10105">
      <c r="B10105" s="7" t="n">
        <v>10103</v>
      </c>
      <c r="C10105" t="inlineStr">
        <is>
          <t>Chuyên viên Mua hàng</t>
        </is>
      </c>
      <c r="D10105" t="inlineStr">
        <is>
          <t>CÔNG TY TNHH SẢN XUẤT VÀ THƯƠNG MẠI INOVINA</t>
        </is>
      </c>
      <c r="E10105" t="inlineStr">
        <is>
          <t>Lương:8 Tr - 15 Tr VND</t>
        </is>
      </c>
      <c r="F10105" t="inlineStr">
        <is>
          <t>Hồ Chí Minh</t>
        </is>
      </c>
      <c r="G10105" t="inlineStr">
        <is>
          <t>30-04-2026</t>
        </is>
      </c>
      <c r="H10105" t="inlineStr">
        <is>
          <t>30/04/2026</t>
        </is>
      </c>
      <c r="I10105" t="inlineStr">
        <is>
          <t>17/03/2026</t>
        </is>
      </c>
      <c r="J10105" t="inlineStr">
        <is>
          <t>Bán hàng / Kinh doanh, Quản lý chất lượng (QA/QC), Thu mua / Vật tư</t>
        </is>
      </c>
      <c r="K10105" t="inlineStr">
        <is>
          <t>2 - 3 Năm</t>
        </is>
      </c>
      <c r="L10105" s="8">
        <f>HYPERLINK("https://careerviet.vn/vi/tim-viec-lam/chuyen-vien-mua-hang.35C6C9AC.html","Xem chi tiết")</f>
        <v/>
      </c>
    </row>
    <row r="10106">
      <c r="B10106" s="9" t="n">
        <v>10104</v>
      </c>
      <c r="C10106" s="10" t="inlineStr">
        <is>
          <t>CSKH Xuất nhập khẩu ( Ưu tiên biết tiếng Trung)</t>
        </is>
      </c>
      <c r="D10106" s="10" t="inlineStr">
        <is>
          <t>CÔNG TY TNHH VIỆT NAM MAXWIDE LOGISTICS</t>
        </is>
      </c>
      <c r="E10106" s="10" t="inlineStr">
        <is>
          <t>Lương:10 Tr - 20 Tr VND</t>
        </is>
      </c>
      <c r="F10106" s="10" t="inlineStr">
        <is>
          <t>Hồ Chí Minh</t>
        </is>
      </c>
      <c r="G10106" s="10" t="inlineStr">
        <is>
          <t>12-04-2026</t>
        </is>
      </c>
      <c r="H10106" s="10" t="inlineStr">
        <is>
          <t>12/04/2026</t>
        </is>
      </c>
      <c r="I10106" s="10" t="inlineStr">
        <is>
          <t>17/03/2026</t>
        </is>
      </c>
      <c r="J10106" s="10" t="inlineStr">
        <is>
          <t>Bán hàng / Kinh doanh, Vận chuyển / Giao nhận / Kho vận, Xuất nhập khẩu</t>
        </is>
      </c>
      <c r="K10106" s="10" t="inlineStr">
        <is>
          <t>1 - 3 Năm</t>
        </is>
      </c>
      <c r="L10106" s="11">
        <f>HYPERLINK("https://careerviet.vn/vi/tim-viec-lam/cskh-xuat-nhap-khau-uu-tien-biet-tieng-trung.35C65499.html","Xem chi tiết")</f>
        <v/>
      </c>
      <c r="M10106" s="10" t="n"/>
    </row>
    <row r="10107">
      <c r="B10107" s="7" t="n">
        <v>10105</v>
      </c>
      <c r="C10107" t="inlineStr">
        <is>
          <t>Nhân viên thiết kế nhãn In</t>
        </is>
      </c>
      <c r="D10107" t="inlineStr">
        <is>
          <t>Công Ty TNHH Nhãn Mác SMT (Việt Nam)</t>
        </is>
      </c>
      <c r="E10107" t="inlineStr">
        <is>
          <t>Lương:Cạnh tranh</t>
        </is>
      </c>
      <c r="F10107" t="inlineStr">
        <is>
          <t>Hồ Chí Minh</t>
        </is>
      </c>
      <c r="G10107" t="inlineStr">
        <is>
          <t>14-04-2026</t>
        </is>
      </c>
      <c r="H10107" t="inlineStr">
        <is>
          <t>14/04/2026</t>
        </is>
      </c>
      <c r="I10107" t="inlineStr">
        <is>
          <t>17/03/2026</t>
        </is>
      </c>
      <c r="J10107" t="inlineStr">
        <is>
          <t>In ấn / Xuất bản, Mỹ thuật / Nghệ thuật / Thiết kế, Dệt may / Da giày / Thời trang</t>
        </is>
      </c>
      <c r="K10107" t="inlineStr">
        <is>
          <t>1 - 5 Năm</t>
        </is>
      </c>
      <c r="L10107" s="8">
        <f>HYPERLINK("https://careerviet.vn/vi/tim-viec-lam/nhan-vien-thiet-ke-nhan-in.35C6C9AB.html","Xem chi tiết")</f>
        <v/>
      </c>
    </row>
    <row r="10108">
      <c r="B10108" s="9" t="n">
        <v>10106</v>
      </c>
      <c r="C10108" s="10" t="inlineStr">
        <is>
          <t>THỰC TẬP SINH TƯ VẤN ĐẦU TƯ KHCN (VŨNG TÀU)</t>
        </is>
      </c>
      <c r="D10108" s="10" t="inlineStr">
        <is>
          <t>VDSC - Công ty CP Chứng khoán Rồng Việt</t>
        </is>
      </c>
      <c r="E10108" s="10" t="inlineStr">
        <is>
          <t>Lương:3 Tr - 5 Tr VND</t>
        </is>
      </c>
      <c r="F10108" s="10" t="inlineStr">
        <is>
          <t>Bà Rịa - Vũng Tàu</t>
        </is>
      </c>
      <c r="G10108" s="10" t="inlineStr">
        <is>
          <t>12-04-2026</t>
        </is>
      </c>
      <c r="H10108" s="10" t="inlineStr">
        <is>
          <t>12/04/2026</t>
        </is>
      </c>
      <c r="I10108" s="10" t="inlineStr">
        <is>
          <t>17/03/2026</t>
        </is>
      </c>
      <c r="J10108" s="10" t="inlineStr">
        <is>
          <t>Ngân hàng, Chứng khoán, Tài chính / Đầu tư</t>
        </is>
      </c>
      <c r="K10108" s="10" t="inlineStr">
        <is>
          <t>N/A</t>
        </is>
      </c>
      <c r="L10108" s="11">
        <f>HYPERLINK("https://careerviet.vn/vi/tim-viec-lam/thuc-tap-sinh-tu-van-dau-tu-khcn-vung-tau.35C654C7.html","Xem chi tiết")</f>
        <v/>
      </c>
      <c r="M10108" s="10" t="n"/>
    </row>
    <row r="10109">
      <c r="B10109" s="7" t="n">
        <v>10107</v>
      </c>
      <c r="C10109" t="inlineStr">
        <is>
          <t>Testing Engineer</t>
        </is>
      </c>
      <c r="D10109" t="inlineStr">
        <is>
          <t>HR Vietnam’s ESS Client</t>
        </is>
      </c>
      <c r="E10109" t="inlineStr">
        <is>
          <t>Lương:20 Tr - 40 Tr VND</t>
        </is>
      </c>
      <c r="F10109" t="inlineStr">
        <is>
          <t>Hưng Yên</t>
        </is>
      </c>
      <c r="G10109" t="inlineStr">
        <is>
          <t>12-04-2026</t>
        </is>
      </c>
      <c r="H10109" t="inlineStr">
        <is>
          <t>12/04/2026</t>
        </is>
      </c>
      <c r="I10109" t="inlineStr">
        <is>
          <t>17/03/2026</t>
        </is>
      </c>
      <c r="J10109" t="inlineStr">
        <is>
          <t>Điện / Điện tử / Điện lạnh / Điện công nghiệp, Sản xuất / Vận hành sản xuất</t>
        </is>
      </c>
      <c r="K10109" t="inlineStr">
        <is>
          <t>Trên 2 Năm</t>
        </is>
      </c>
      <c r="L10109" s="8">
        <f>HYPERLINK("https://careerviet.vn/vi/tim-viec-lam/testing-engineer.35C654D8.html","Xem chi tiết")</f>
        <v/>
      </c>
    </row>
    <row r="10110">
      <c r="B10110" s="9" t="n">
        <v>10108</v>
      </c>
      <c r="C10110" s="10" t="inlineStr">
        <is>
          <t>KỸ THUẬT HỖ TRỢ ONLINE</t>
        </is>
      </c>
      <c r="D10110" s="10" t="inlineStr">
        <is>
          <t>Công ty TNHH TOM Group Việt Nam</t>
        </is>
      </c>
      <c r="E10110" s="10" t="inlineStr">
        <is>
          <t>Lương:Cạnh tranh</t>
        </is>
      </c>
      <c r="F10110" s="10" t="inlineStr">
        <is>
          <t>Hồ Chí Minh</t>
        </is>
      </c>
      <c r="G10110" s="10" t="inlineStr">
        <is>
          <t>16-04-2026</t>
        </is>
      </c>
      <c r="H10110" s="10" t="inlineStr">
        <is>
          <t>16/04/2026</t>
        </is>
      </c>
      <c r="I10110" s="10" t="inlineStr">
        <is>
          <t>17/03/2026</t>
        </is>
      </c>
      <c r="J10110" s="10" t="inlineStr">
        <is>
          <t>Bán Hàng Kỹ Thuật</t>
        </is>
      </c>
      <c r="K10110" s="10" t="inlineStr">
        <is>
          <t>Trên 3 Năm</t>
        </is>
      </c>
      <c r="L10110" s="11">
        <f>HYPERLINK("https://careerviet.vn/vi/tim-viec-lam/ky-thuat-ho-tro-online.35C6C9AD.html","Xem chi tiết")</f>
        <v/>
      </c>
      <c r="M10110" s="10" t="n"/>
    </row>
    <row r="10111">
      <c r="B10111" s="7" t="n">
        <v>10109</v>
      </c>
      <c r="C10111" t="inlineStr">
        <is>
          <t>Production Control Planner/Material Control Planner (SHTP - Dist.9)</t>
        </is>
      </c>
      <c r="D10111" t="inlineStr">
        <is>
          <t>Techtronic Industries Vietnam Manufacturing Company Limited</t>
        </is>
      </c>
      <c r="E10111" t="inlineStr">
        <is>
          <t>Lương:Cạnh tranh</t>
        </is>
      </c>
      <c r="F10111" t="inlineStr">
        <is>
          <t>Hồ Chí Minh</t>
        </is>
      </c>
      <c r="G10111" t="inlineStr">
        <is>
          <t>13-04-2026</t>
        </is>
      </c>
      <c r="H10111" t="inlineStr">
        <is>
          <t>13/04/2026</t>
        </is>
      </c>
      <c r="I10111" t="inlineStr">
        <is>
          <t>17/03/2026</t>
        </is>
      </c>
      <c r="J10111" t="inlineStr">
        <is>
          <t>Sản xuất / Vận hành sản xuất, Vận chuyển / Giao nhận / Kho vận, Thu mua / Vật tư</t>
        </is>
      </c>
      <c r="K10111" t="inlineStr">
        <is>
          <t>2 - 4 Năm</t>
        </is>
      </c>
      <c r="L10111" s="8">
        <f>HYPERLINK("https://careerviet.vn/vi/tim-viec-lam/production-control-planner-material-control-planner-shtp-dist-9.35C6C9A8.html","Xem chi tiết")</f>
        <v/>
      </c>
    </row>
    <row r="10112">
      <c r="B10112" s="9" t="n">
        <v>10110</v>
      </c>
      <c r="C10112" s="10" t="inlineStr">
        <is>
          <t>Nhân viên Digital Marketing</t>
        </is>
      </c>
      <c r="D10112" s="10" t="inlineStr">
        <is>
          <t>Công ty CP Toshiko Việt Nam</t>
        </is>
      </c>
      <c r="E10112" s="10" t="inlineStr">
        <is>
          <t>Lương:12 Tr - 20 Tr VND</t>
        </is>
      </c>
      <c r="F10112" s="10" t="inlineStr">
        <is>
          <t>Hà Nội</t>
        </is>
      </c>
      <c r="G10112" s="10" t="inlineStr">
        <is>
          <t>04-04-2026</t>
        </is>
      </c>
      <c r="H10112" s="10" t="inlineStr">
        <is>
          <t>04/04/2026</t>
        </is>
      </c>
      <c r="I10112" s="10" t="inlineStr">
        <is>
          <t>17/03/2026</t>
        </is>
      </c>
      <c r="J10112" s="10" t="inlineStr">
        <is>
          <t>Tiếp thị / Marketing, Quảng cáo / Đối ngoại / Truyền Thông</t>
        </is>
      </c>
      <c r="K10112" s="10" t="inlineStr">
        <is>
          <t>Trên 1 Năm</t>
        </is>
      </c>
      <c r="L10112" s="11">
        <f>HYPERLINK("https://careerviet.vn/vi/tim-viec-lam/nhan-vien-digital-marketing.35C6C9A7.html","Xem chi tiết")</f>
        <v/>
      </c>
      <c r="M10112" s="10" t="n"/>
    </row>
    <row r="10113">
      <c r="B10113" s="7" t="n">
        <v>10111</v>
      </c>
      <c r="C10113" t="inlineStr">
        <is>
          <t>Nhân viên Digital Marketing - Thị trường Việt Nam</t>
        </is>
      </c>
      <c r="D10113" t="inlineStr">
        <is>
          <t>Công ty CP Toshiko Việt Nam</t>
        </is>
      </c>
      <c r="E10113" t="inlineStr">
        <is>
          <t>Lương:12 Tr - 20 Tr VND</t>
        </is>
      </c>
      <c r="F10113" t="inlineStr">
        <is>
          <t>Hà Nội</t>
        </is>
      </c>
      <c r="G10113" t="inlineStr">
        <is>
          <t>11-04-2026</t>
        </is>
      </c>
      <c r="H10113" t="inlineStr">
        <is>
          <t>11/04/2026</t>
        </is>
      </c>
      <c r="I10113" t="inlineStr">
        <is>
          <t>17/03/2026</t>
        </is>
      </c>
      <c r="J10113" t="inlineStr">
        <is>
          <t>Tiếp thị / Marketing, Quảng cáo / Đối ngoại / Truyền Thông</t>
        </is>
      </c>
      <c r="K10113" t="inlineStr">
        <is>
          <t>Trên 1 Năm</t>
        </is>
      </c>
      <c r="L10113" s="8">
        <f>HYPERLINK("https://careerviet.vn/vi/tim-viec-lam/nhan-vien-digital-marketing-thi-truong-viet-nam.35C6C9A9.html","Xem chi tiết")</f>
        <v/>
      </c>
    </row>
    <row r="10114">
      <c r="B10114" s="9" t="n">
        <v>10112</v>
      </c>
      <c r="C10114" s="10" t="inlineStr">
        <is>
          <t>Performace Marketing (Early Shift)</t>
        </is>
      </c>
      <c r="D10114" s="10" t="inlineStr">
        <is>
          <t>CÔNG TY CỔ PHẦN MAC MARKETING</t>
        </is>
      </c>
      <c r="E10114" s="10" t="inlineStr">
        <is>
          <t>Lương:12 Tr - 15 Tr VND</t>
        </is>
      </c>
      <c r="F10114" s="10" t="inlineStr">
        <is>
          <t>Hồ Chí Minh</t>
        </is>
      </c>
      <c r="G10114" s="10" t="inlineStr">
        <is>
          <t>01-04-2026</t>
        </is>
      </c>
      <c r="H10114" s="10" t="inlineStr">
        <is>
          <t>01/04/2026</t>
        </is>
      </c>
      <c r="I10114" s="10" t="inlineStr">
        <is>
          <t>17/03/2026</t>
        </is>
      </c>
      <c r="J10114" s="10" t="inlineStr">
        <is>
          <t>Tiếp thị / Marketing, Thương mại điện tử</t>
        </is>
      </c>
      <c r="K10114" s="10" t="inlineStr">
        <is>
          <t>1 - 2 Năm</t>
        </is>
      </c>
      <c r="L10114" s="11">
        <f>HYPERLINK("https://careerviet.vn/vi/tim-viec-lam/performace-marketing-early-shift.35C6C9A2.html","Xem chi tiết")</f>
        <v/>
      </c>
      <c r="M10114" s="10" t="n"/>
    </row>
    <row r="10115">
      <c r="B10115" s="7" t="n">
        <v>10113</v>
      </c>
      <c r="C10115" t="inlineStr">
        <is>
          <t>Trưởng Nhóm Kỹ Thuật Sản Xuất Nội Thất</t>
        </is>
      </c>
      <c r="D10115" t="inlineStr">
        <is>
          <t>Công ty TNHH Nesta</t>
        </is>
      </c>
      <c r="E10115" t="inlineStr">
        <is>
          <t>Lương:20 Tr - 30 Tr VND</t>
        </is>
      </c>
      <c r="F10115" t="inlineStr">
        <is>
          <t>Hưng Yên</t>
        </is>
      </c>
      <c r="G10115" t="inlineStr">
        <is>
          <t>14-04-2026</t>
        </is>
      </c>
      <c r="H10115" t="inlineStr">
        <is>
          <t>14/04/2026</t>
        </is>
      </c>
      <c r="I10115" t="inlineStr">
        <is>
          <t>17/03/2026</t>
        </is>
      </c>
      <c r="J10115" t="inlineStr">
        <is>
          <t>Sản xuất / Vận hành sản xuất, Nội ngoại thất, Quản lý chất lượng (QA/QC)</t>
        </is>
      </c>
      <c r="K10115" t="inlineStr">
        <is>
          <t>3 - 5 Năm</t>
        </is>
      </c>
      <c r="L10115" s="8">
        <f>HYPERLINK("https://careerviet.vn/vi/tim-viec-lam/truong-nhom-ky-thuat-san-xuat-noi-that.35C6C9A0.html","Xem chi tiết")</f>
        <v/>
      </c>
    </row>
    <row r="10116">
      <c r="B10116" s="9" t="n">
        <v>10114</v>
      </c>
      <c r="C10116" s="10" t="inlineStr">
        <is>
          <t>Account Executive (Early Shift)</t>
        </is>
      </c>
      <c r="D10116" s="10" t="inlineStr">
        <is>
          <t>CÔNG TY CỔ PHẦN MAC MARKETING</t>
        </is>
      </c>
      <c r="E10116" s="10" t="inlineStr">
        <is>
          <t>Lương:12 Tr - 15 Tr VND</t>
        </is>
      </c>
      <c r="F10116" s="10" t="inlineStr">
        <is>
          <t>Hồ Chí Minh</t>
        </is>
      </c>
      <c r="G10116" s="10" t="inlineStr">
        <is>
          <t>01-04-2026</t>
        </is>
      </c>
      <c r="H10116" s="10" t="inlineStr">
        <is>
          <t>01/04/2026</t>
        </is>
      </c>
      <c r="I10116" s="10" t="inlineStr">
        <is>
          <t>17/03/2026</t>
        </is>
      </c>
      <c r="J10116" s="10" t="inlineStr">
        <is>
          <t>Tiếp thị / Marketing</t>
        </is>
      </c>
      <c r="K10116" s="10" t="inlineStr">
        <is>
          <t>1 - 2 Năm</t>
        </is>
      </c>
      <c r="L10116" s="11">
        <f>HYPERLINK("https://careerviet.vn/vi/tim-viec-lam/account-executive-early-shift.35C6C9A1.html","Xem chi tiết")</f>
        <v/>
      </c>
      <c r="M10116" s="10" t="n"/>
    </row>
    <row r="10117">
      <c r="B10117" s="7" t="n">
        <v>10115</v>
      </c>
      <c r="C10117" t="inlineStr">
        <is>
          <t>Content Creator</t>
        </is>
      </c>
      <c r="D10117" t="inlineStr">
        <is>
          <t>CÔNG TY CỔ PHẦN XÂY DỰNG VÀ ĐẦU TƯ GALAXY</t>
        </is>
      </c>
      <c r="E10117" t="inlineStr">
        <is>
          <t>Lương:13 Tr - 18 Tr VND</t>
        </is>
      </c>
      <c r="F10117" t="inlineStr">
        <is>
          <t>Hồ Chí Minh</t>
        </is>
      </c>
      <c r="G10117" t="inlineStr">
        <is>
          <t>10-04-2026</t>
        </is>
      </c>
      <c r="H10117" t="inlineStr">
        <is>
          <t>10/04/2026</t>
        </is>
      </c>
      <c r="I10117" t="inlineStr">
        <is>
          <t>17/03/2026</t>
        </is>
      </c>
      <c r="J10117" t="inlineStr">
        <is>
          <t>Tiếp thị / Marketing, Truyền hình / Báo chí / Biên tập, Quảng cáo / Đối ngoại / Truyền Thông</t>
        </is>
      </c>
      <c r="K10117" t="inlineStr">
        <is>
          <t>1 - 5 Năm</t>
        </is>
      </c>
      <c r="L10117" s="8">
        <f>HYPERLINK("https://careerviet.vn/vi/tim-viec-lam/content-creator.35C6C99B.html","Xem chi tiết")</f>
        <v/>
      </c>
    </row>
    <row r="10118">
      <c r="B10118" s="9" t="n">
        <v>10116</v>
      </c>
      <c r="C10118" s="10" t="inlineStr">
        <is>
          <t>Trưởng bộ phận Hành chính Nhân sự (Nữ, Làm Việc Tại Hà Nam)</t>
        </is>
      </c>
      <c r="D10118" s="10" t="inlineStr">
        <is>
          <t>Công ty Cổ phần Casla</t>
        </is>
      </c>
      <c r="E10118" s="10" t="inlineStr">
        <is>
          <t>Lương:20 Tr - 25,5 Tr VND</t>
        </is>
      </c>
      <c r="F10118" s="10" t="inlineStr">
        <is>
          <t>Hà NamHà Nội</t>
        </is>
      </c>
      <c r="G10118" s="10" t="inlineStr">
        <is>
          <t>31-03-2026</t>
        </is>
      </c>
      <c r="H10118" s="10" t="inlineStr">
        <is>
          <t>31/03/2026</t>
        </is>
      </c>
      <c r="I10118" s="10" t="inlineStr">
        <is>
          <t>17/03/2026</t>
        </is>
      </c>
      <c r="J10118" s="10" t="inlineStr">
        <is>
          <t>Hành chính / Thư ký, Quản lý điều hành, Nhân sự</t>
        </is>
      </c>
      <c r="K10118" s="10" t="inlineStr">
        <is>
          <t>10 - 15 Năm</t>
        </is>
      </c>
      <c r="L10118" s="11">
        <f>HYPERLINK("https://careerviet.vn/vi/tim-viec-lam/truong-bo-phan-hanh-chinh-nhan-su-nu-lam-viec-tai-ha-nam.35C6C99F.html","Xem chi tiết")</f>
        <v/>
      </c>
      <c r="M10118" s="10" t="n"/>
    </row>
    <row r="10119">
      <c r="B10119" s="7" t="n">
        <v>10117</v>
      </c>
      <c r="C10119" t="inlineStr">
        <is>
          <t>GIÁM SÁT AN TOÀN LAO ĐỘNG (HSE)</t>
        </is>
      </c>
      <c r="D10119" t="inlineStr">
        <is>
          <t>CÔNG TY CP ĐẦU TƯ PHÁT TRIỂN TRÍ DƯƠNG</t>
        </is>
      </c>
      <c r="E10119" t="inlineStr">
        <is>
          <t>Lương:Cạnh tranh</t>
        </is>
      </c>
      <c r="F10119" t="inlineStr">
        <is>
          <t>Nghệ An</t>
        </is>
      </c>
      <c r="G10119" t="inlineStr">
        <is>
          <t>30-04-2026</t>
        </is>
      </c>
      <c r="H10119" t="inlineStr">
        <is>
          <t>30/04/2026</t>
        </is>
      </c>
      <c r="I10119" t="inlineStr">
        <is>
          <t>17/03/2026</t>
        </is>
      </c>
      <c r="J10119" t="inlineStr">
        <is>
          <t>Xây dựng</t>
        </is>
      </c>
      <c r="K10119" t="inlineStr">
        <is>
          <t>Lên đến 3 Năm</t>
        </is>
      </c>
      <c r="L10119" s="8">
        <f>HYPERLINK("https://careerviet.vn/vi/tim-viec-lam/giam-sat-an-toan-lao-dong-hse.35C6C99E.html","Xem chi tiết")</f>
        <v/>
      </c>
    </row>
    <row r="10120">
      <c r="B10120" s="9" t="n">
        <v>10118</v>
      </c>
      <c r="C10120" s="10" t="inlineStr">
        <is>
          <t>NHÂN VIÊN KẾ TOÁN</t>
        </is>
      </c>
      <c r="D10120" s="10" t="inlineStr">
        <is>
          <t>Công Ty Cổ Phần Công Nghệ Mạng Viễn Thông C-LINK</t>
        </is>
      </c>
      <c r="E10120" s="10" t="inlineStr">
        <is>
          <t>Lương:8 Tr - 9 Tr VND</t>
        </is>
      </c>
      <c r="F10120" s="10" t="inlineStr">
        <is>
          <t>Hà Nội</t>
        </is>
      </c>
      <c r="G10120" s="10" t="inlineStr">
        <is>
          <t>31-03-2026</t>
        </is>
      </c>
      <c r="H10120" s="10" t="inlineStr">
        <is>
          <t>31/03/2026</t>
        </is>
      </c>
      <c r="I10120" s="10" t="inlineStr">
        <is>
          <t>17/03/2026</t>
        </is>
      </c>
      <c r="J10120" s="10" t="inlineStr">
        <is>
          <t>Kế toán / Kiểm toán, Ngành khác</t>
        </is>
      </c>
      <c r="K10120" s="10" t="inlineStr">
        <is>
          <t>1 - 5 Năm</t>
        </is>
      </c>
      <c r="L10120" s="11">
        <f>HYPERLINK("https://careerviet.vn/vi/tim-viec-lam/nhan-vien-ke-toan.35C6C994.html","Xem chi tiết")</f>
        <v/>
      </c>
      <c r="M10120" s="10" t="n"/>
    </row>
    <row r="10121">
      <c r="B10121" s="7" t="n">
        <v>10119</v>
      </c>
      <c r="C10121" t="inlineStr">
        <is>
          <t>Giám đốc kinh doanh</t>
        </is>
      </c>
      <c r="D10121" t="inlineStr">
        <is>
          <t>CÔNG TY CỔ PHẦN CÔNG NGHỆ GIÁO DỤC MAYTRIX</t>
        </is>
      </c>
      <c r="E10121" t="inlineStr">
        <is>
          <t>Lương:Cạnh tranh</t>
        </is>
      </c>
      <c r="F10121" t="inlineStr">
        <is>
          <t>Hà Nội</t>
        </is>
      </c>
      <c r="G10121" t="inlineStr">
        <is>
          <t>13-04-2026</t>
        </is>
      </c>
      <c r="H10121" t="inlineStr">
        <is>
          <t>13/04/2026</t>
        </is>
      </c>
      <c r="I10121" t="inlineStr">
        <is>
          <t>17/03/2026</t>
        </is>
      </c>
      <c r="J10121" t="inlineStr">
        <is>
          <t>Bán lẻ / Bán sỉ, Bán hàng / Kinh doanh, Hóa học</t>
        </is>
      </c>
      <c r="K10121" t="inlineStr">
        <is>
          <t>Trên 7 Năm</t>
        </is>
      </c>
      <c r="L10121" s="8">
        <f>HYPERLINK("https://careerviet.vn/vi/tim-viec-lam/giam-doc-kinh-doanh.35C6C991.html","Xem chi tiết")</f>
        <v/>
      </c>
    </row>
    <row r="10122">
      <c r="B10122" s="9" t="n">
        <v>10120</v>
      </c>
      <c r="C10122" s="10" t="inlineStr">
        <is>
          <t>Thư ký Giám đốc</t>
        </is>
      </c>
      <c r="D10122" s="10" t="inlineStr">
        <is>
          <t>Công Ty Cổ Phần Công Nghệ Mạng Viễn Thông C-LINK</t>
        </is>
      </c>
      <c r="E10122" s="10" t="inlineStr">
        <is>
          <t>Lương:Trên 10 Tr VND</t>
        </is>
      </c>
      <c r="F10122" s="10" t="inlineStr">
        <is>
          <t>Hà Nội</t>
        </is>
      </c>
      <c r="G10122" s="10" t="inlineStr">
        <is>
          <t>31-03-2026</t>
        </is>
      </c>
      <c r="H10122" s="10" t="inlineStr">
        <is>
          <t>31/03/2026</t>
        </is>
      </c>
      <c r="I10122" s="10" t="inlineStr">
        <is>
          <t>17/03/2026</t>
        </is>
      </c>
      <c r="J10122" s="10" t="inlineStr">
        <is>
          <t>Hành chính / Thư ký</t>
        </is>
      </c>
      <c r="K10122" s="10" t="inlineStr">
        <is>
          <t>Chưa có kinh nghiệm</t>
        </is>
      </c>
      <c r="L10122" s="11">
        <f>HYPERLINK("https://careerviet.vn/vi/tim-viec-lam/thu-ky-gia-m-do-c.35C6C995.html","Xem chi tiết")</f>
        <v/>
      </c>
      <c r="M10122" s="10" t="n"/>
    </row>
    <row r="10123">
      <c r="B10123" s="7" t="n">
        <v>10121</v>
      </c>
      <c r="C10123" t="inlineStr">
        <is>
          <t>[Bình Dương] Nhân Viên Kinh Doanh Nội Thất Tại Thủ Dầu Một (Đi Làm Ngay)</t>
        </is>
      </c>
      <c r="D10123" t="inlineStr">
        <is>
          <t>Công Ty TNHH Tập Đoàn Rita Võ</t>
        </is>
      </c>
      <c r="E10123" t="inlineStr">
        <is>
          <t>Lương:12 Tr - 18 Tr VND</t>
        </is>
      </c>
      <c r="F10123" t="inlineStr">
        <is>
          <t>Bình Dương</t>
        </is>
      </c>
      <c r="G10123" t="inlineStr">
        <is>
          <t>10-04-2026</t>
        </is>
      </c>
      <c r="H10123" t="inlineStr">
        <is>
          <t>10/04/2026</t>
        </is>
      </c>
      <c r="I10123" t="inlineStr">
        <is>
          <t>17/03/2026</t>
        </is>
      </c>
      <c r="J10123" t="inlineStr">
        <is>
          <t>Bán hàng / Kinh doanh, Nội ngoại thất</t>
        </is>
      </c>
      <c r="K10123" t="inlineStr">
        <is>
          <t>N/A</t>
        </is>
      </c>
      <c r="L10123" s="8">
        <f>HYPERLINK("https://careerviet.vn/vi/tim-viec-lam/binh-duong-nhan-vien-kinh-doanh-noi-that-tai-thu-dau-mot-di-lam-ngay.35C6C989.html","Xem chi tiết")</f>
        <v/>
      </c>
    </row>
    <row r="10124">
      <c r="B10124" s="9" t="n">
        <v>10122</v>
      </c>
      <c r="C10124" s="10" t="inlineStr">
        <is>
          <t>Nhân viên Website, SEO/SEM &amp; CRM</t>
        </is>
      </c>
      <c r="D10124" s="10" t="inlineStr">
        <is>
          <t>CÔNG TY CỔ PHẦN XÂY DỰNG VÀ ĐẦU TƯ GALAXY</t>
        </is>
      </c>
      <c r="E10124" s="10" t="inlineStr">
        <is>
          <t>Lương:12 Tr - 16 Tr VND</t>
        </is>
      </c>
      <c r="F10124" s="10" t="inlineStr">
        <is>
          <t>Hồ Chí Minh</t>
        </is>
      </c>
      <c r="G10124" s="10" t="inlineStr">
        <is>
          <t>10-04-2026</t>
        </is>
      </c>
      <c r="H10124" s="10" t="inlineStr">
        <is>
          <t>10/04/2026</t>
        </is>
      </c>
      <c r="I10124" s="10" t="inlineStr">
        <is>
          <t>17/03/2026</t>
        </is>
      </c>
      <c r="J10124" s="10" t="inlineStr">
        <is>
          <t>Tiếp thị / Marketing, Thương mại điện tử, Quảng cáo / Đối ngoại / Truyền Thông</t>
        </is>
      </c>
      <c r="K10124" s="10" t="inlineStr">
        <is>
          <t>2 - 5 Năm</t>
        </is>
      </c>
      <c r="L10124" s="11">
        <f>HYPERLINK("https://careerviet.vn/vi/tim-viec-lam/nhan-vien-website-seo-sem-crm.35C6C986.html","Xem chi tiết")</f>
        <v/>
      </c>
      <c r="M10124" s="10" t="n"/>
    </row>
    <row r="10125">
      <c r="B10125" s="7" t="n">
        <v>10123</v>
      </c>
      <c r="C10125" t="inlineStr">
        <is>
          <t>Quản Lý Cửa Hàng Thời Trang Mỹ Phẩm</t>
        </is>
      </c>
      <c r="D10125" t="inlineStr">
        <is>
          <t>Công ty TNHH Sản xuất Thương mại &amp; Dịch vụ Hoa Xinh</t>
        </is>
      </c>
      <c r="E10125" t="inlineStr">
        <is>
          <t>Lương:18 Tr - 30 Tr VND</t>
        </is>
      </c>
      <c r="F10125" t="inlineStr">
        <is>
          <t>Hà Nội</t>
        </is>
      </c>
      <c r="G10125" t="inlineStr">
        <is>
          <t>3</t>
        </is>
      </c>
      <c r="H10125" t="inlineStr">
        <is>
          <t>20/03/2026</t>
        </is>
      </c>
      <c r="I10125" t="inlineStr">
        <is>
          <t>17/03/2026</t>
        </is>
      </c>
      <c r="J10125" t="inlineStr">
        <is>
          <t>Bán lẻ / Bán sỉ, Dược phẩm/ Hóa Mỹ Phẩm, Dệt may / Da giày / Thời trang</t>
        </is>
      </c>
      <c r="K10125" t="inlineStr">
        <is>
          <t>1 - 10 Năm</t>
        </is>
      </c>
      <c r="L10125" s="8">
        <f>HYPERLINK("https://careerviet.vn/vi/tim-viec-lam/quan-ly-cua-hang-thoi-trang-my-pham.35C6C997.html","Xem chi tiết")</f>
        <v/>
      </c>
    </row>
    <row r="10126">
      <c r="B10126" s="9" t="n">
        <v>10124</v>
      </c>
      <c r="C10126" s="10" t="inlineStr">
        <is>
          <t>NV Kinh doanh - Lương + Thưởng DS + Hoa hồng</t>
        </is>
      </c>
      <c r="D10126" s="10" t="inlineStr">
        <is>
          <t>Công Ty Cổ Phần Công Nghệ Mạng Viễn Thông C-LINK</t>
        </is>
      </c>
      <c r="E10126" s="10" t="inlineStr">
        <is>
          <t>Lương:10 Tr - 25 Tr VND</t>
        </is>
      </c>
      <c r="F10126" s="10" t="inlineStr">
        <is>
          <t>Hà Nội</t>
        </is>
      </c>
      <c r="G10126" s="10" t="inlineStr">
        <is>
          <t>31-03-2026</t>
        </is>
      </c>
      <c r="H10126" s="10" t="inlineStr">
        <is>
          <t>31/03/2026</t>
        </is>
      </c>
      <c r="I10126" s="10" t="inlineStr">
        <is>
          <t>17/03/2026</t>
        </is>
      </c>
      <c r="J10126" s="10" t="inlineStr">
        <is>
          <t>Tiếp thị / Marketing, Bán hàng / Kinh doanh, Bưu chính viễn thông</t>
        </is>
      </c>
      <c r="K10126" s="10" t="inlineStr">
        <is>
          <t>1 - 5 Năm</t>
        </is>
      </c>
      <c r="L10126" s="11">
        <f>HYPERLINK("https://careerviet.vn/vi/tim-viec-lam/nv-kinh-doanh-luong-thuong-ds-hoa-hong.35C6C992.html","Xem chi tiết")</f>
        <v/>
      </c>
      <c r="M10126" s="10" t="n"/>
    </row>
    <row r="10127">
      <c r="B10127" s="7" t="n">
        <v>10125</v>
      </c>
      <c r="C10127" t="inlineStr">
        <is>
          <t>HSE Staff</t>
        </is>
      </c>
      <c r="D10127" t="inlineStr">
        <is>
          <t>Công ty TNHH Olam Việt Nam</t>
        </is>
      </c>
      <c r="E10127" t="inlineStr">
        <is>
          <t>Lương:5,5 Tr - 8 Tr VND</t>
        </is>
      </c>
      <c r="F10127" t="inlineStr">
        <is>
          <t>Phú Yên</t>
        </is>
      </c>
      <c r="G10127" t="inlineStr">
        <is>
          <t>16-04-2026</t>
        </is>
      </c>
      <c r="H10127" t="inlineStr">
        <is>
          <t>16/04/2026</t>
        </is>
      </c>
      <c r="I10127" t="inlineStr">
        <is>
          <t>17/03/2026</t>
        </is>
      </c>
      <c r="J10127" t="inlineStr">
        <is>
          <t>An toàn lao động</t>
        </is>
      </c>
      <c r="K10127" t="inlineStr">
        <is>
          <t>1 - 2 Năm</t>
        </is>
      </c>
      <c r="L10127" s="8">
        <f>HYPERLINK("https://careerviet.vn/vi/tim-viec-lam/hse-staff.35C6C98C.html","Xem chi tiết")</f>
        <v/>
      </c>
    </row>
    <row r="10128">
      <c r="B10128" s="9" t="n">
        <v>10126</v>
      </c>
      <c r="C10128" s="10" t="inlineStr">
        <is>
          <t>Trợ lý sản xuất</t>
        </is>
      </c>
      <c r="D10128" s="10" t="inlineStr">
        <is>
          <t>Công ty TNHH Nesta</t>
        </is>
      </c>
      <c r="E10128" s="10" t="inlineStr">
        <is>
          <t>Lương:9 Tr - 13 Tr VND</t>
        </is>
      </c>
      <c r="F10128" s="10" t="inlineStr">
        <is>
          <t>Hưng Yên</t>
        </is>
      </c>
      <c r="G10128" s="10" t="inlineStr">
        <is>
          <t>14-04-2026</t>
        </is>
      </c>
      <c r="H10128" s="10" t="inlineStr">
        <is>
          <t>14/04/2026</t>
        </is>
      </c>
      <c r="I10128" s="10" t="inlineStr">
        <is>
          <t>17/03/2026</t>
        </is>
      </c>
      <c r="J10128" s="10" t="inlineStr">
        <is>
          <t>Nội ngoại thất, Sản xuất / Vận hành sản xuất, Hành chính / Thư ký</t>
        </is>
      </c>
      <c r="K10128" s="10" t="inlineStr">
        <is>
          <t>1 - 2 Năm</t>
        </is>
      </c>
      <c r="L10128" s="11">
        <f>HYPERLINK("https://careerviet.vn/vi/tim-viec-lam/tro-ly-san-xuat.35C6C99C.html","Xem chi tiết")</f>
        <v/>
      </c>
      <c r="M10128" s="10" t="n"/>
    </row>
    <row r="10129">
      <c r="B10129" s="7" t="n">
        <v>10127</v>
      </c>
      <c r="C10129" t="inlineStr">
        <is>
          <t>Recruitment Coordinator (6 months)</t>
        </is>
      </c>
      <c r="D10129" t="inlineStr">
        <is>
          <t>Techtronic Industries Vietnam Manufacturing Company Limited</t>
        </is>
      </c>
      <c r="E10129" t="inlineStr">
        <is>
          <t>Lương:Cạnh tranh</t>
        </is>
      </c>
      <c r="F10129" t="inlineStr">
        <is>
          <t>Hồ Chí MinhĐồng Nai</t>
        </is>
      </c>
      <c r="G10129" t="inlineStr">
        <is>
          <t>13-04-2026</t>
        </is>
      </c>
      <c r="H10129" t="inlineStr">
        <is>
          <t>13/04/2026</t>
        </is>
      </c>
      <c r="I10129" t="inlineStr">
        <is>
          <t>17/03/2026</t>
        </is>
      </c>
      <c r="J10129" t="inlineStr">
        <is>
          <t>Hành chính / Thư ký, Nhân sự</t>
        </is>
      </c>
      <c r="K10129" t="inlineStr">
        <is>
          <t>1 - 3 Năm</t>
        </is>
      </c>
      <c r="L10129" s="8">
        <f>HYPERLINK("https://careerviet.vn/vi/tim-viec-lam/recruitment-coordinator-6-months.35C6C985.html","Xem chi tiết")</f>
        <v/>
      </c>
    </row>
    <row r="10130">
      <c r="B10130" s="9" t="n">
        <v>10128</v>
      </c>
      <c r="C10130" s="10" t="inlineStr">
        <is>
          <t>MC Live - Host Livestream</t>
        </is>
      </c>
      <c r="D10130" s="10" t="inlineStr">
        <is>
          <t>Công ty CP Đầu tư Legacy</t>
        </is>
      </c>
      <c r="E10130" s="10" t="inlineStr">
        <is>
          <t>Lương:10 Tr - 17 Tr VND</t>
        </is>
      </c>
      <c r="F10130" s="10" t="inlineStr">
        <is>
          <t>Hà Nội</t>
        </is>
      </c>
      <c r="G10130" s="10" t="inlineStr">
        <is>
          <t>14-04-2026</t>
        </is>
      </c>
      <c r="H10130" s="10" t="inlineStr">
        <is>
          <t>14/04/2026</t>
        </is>
      </c>
      <c r="I10130" s="10" t="inlineStr">
        <is>
          <t>17/03/2026</t>
        </is>
      </c>
      <c r="J10130" s="10" t="inlineStr">
        <is>
          <t>Tiếp thị / Marketing, Bán hàng / Kinh doanh, Thương mại điện tử</t>
        </is>
      </c>
      <c r="K10130" s="10" t="inlineStr">
        <is>
          <t>Trên 1 Năm</t>
        </is>
      </c>
      <c r="L10130" s="11">
        <f>HYPERLINK("https://careerviet.vn/vi/tim-viec-lam/mc-live-host-livestream.35C6C984.html","Xem chi tiết")</f>
        <v/>
      </c>
      <c r="M10130" s="10" t="n"/>
    </row>
    <row r="10131">
      <c r="B10131" s="7" t="n">
        <v>10129</v>
      </c>
      <c r="C10131" t="inlineStr">
        <is>
          <t>Trưởng phòng nhân sự</t>
        </is>
      </c>
      <c r="D10131" t="inlineStr">
        <is>
          <t>CÔNG TY LIÊN DOANH VẬN CHUYỂN QUỐC TẾ HẢI VÂN</t>
        </is>
      </c>
      <c r="E10131" t="inlineStr">
        <is>
          <t>Lương:Cạnh tranh</t>
        </is>
      </c>
      <c r="F10131" t="inlineStr">
        <is>
          <t>Hà Nội</t>
        </is>
      </c>
      <c r="G10131" t="inlineStr">
        <is>
          <t>15-04-2026</t>
        </is>
      </c>
      <c r="H10131" t="inlineStr">
        <is>
          <t>15/04/2026</t>
        </is>
      </c>
      <c r="I10131" t="inlineStr">
        <is>
          <t>17/03/2026</t>
        </is>
      </c>
      <c r="J10131" t="inlineStr">
        <is>
          <t>Nhân sự</t>
        </is>
      </c>
      <c r="K10131" t="inlineStr">
        <is>
          <t>5 - 10 Năm</t>
        </is>
      </c>
      <c r="L10131" s="8">
        <f>HYPERLINK("https://careerviet.vn/vi/tim-viec-lam/truong-phong-nhan-su.35C6C987.html","Xem chi tiết")</f>
        <v/>
      </c>
    </row>
    <row r="10132">
      <c r="B10132" s="9" t="n">
        <v>10130</v>
      </c>
      <c r="C10132" s="10" t="inlineStr">
        <is>
          <t>Nhân Viên Phát triển Sản phẩm (R&amp;D)</t>
        </is>
      </c>
      <c r="D10132" s="10" t="inlineStr">
        <is>
          <t>Công Ty TNHH Tập Đoàn Rita Võ</t>
        </is>
      </c>
      <c r="E10132" s="10" t="inlineStr">
        <is>
          <t>Lương:9 Tr - 11 Tr VND</t>
        </is>
      </c>
      <c r="F10132" s="10" t="inlineStr">
        <is>
          <t>Hồ Chí Minh</t>
        </is>
      </c>
      <c r="G10132" s="10" t="inlineStr">
        <is>
          <t>14-05-2026</t>
        </is>
      </c>
      <c r="H10132" s="10" t="inlineStr">
        <is>
          <t>14/05/2026</t>
        </is>
      </c>
      <c r="I10132" s="10" t="inlineStr">
        <is>
          <t>17/03/2026</t>
        </is>
      </c>
      <c r="J10132" s="10" t="inlineStr">
        <is>
          <t>Điện / Điện tử / Điện lạnh / Điện công nghiệp, Cơ khí / Ô tô / Tự động hóa, Bán Hàng Kỹ Thuật</t>
        </is>
      </c>
      <c r="K10132" s="10" t="inlineStr">
        <is>
          <t>N/A</t>
        </is>
      </c>
      <c r="L10132" s="11">
        <f>HYPERLINK("https://careerviet.vn/vi/tim-viec-lam/nhan-vien-phat-trien-san-pham-r-d.35C6C968.html","Xem chi tiết")</f>
        <v/>
      </c>
      <c r="M10132" s="10" t="n"/>
    </row>
    <row r="10133">
      <c r="B10133" s="7" t="n">
        <v>10131</v>
      </c>
      <c r="C10133" t="inlineStr">
        <is>
          <t>Chuyên viên rà soát niêm yết BDS</t>
        </is>
      </c>
      <c r="D10133" t="inlineStr">
        <is>
          <t>CÔNG TY CỔ PHẦN CITICS</t>
        </is>
      </c>
      <c r="E10133" t="inlineStr">
        <is>
          <t>Lương:10 Tr - 30 Tr VND</t>
        </is>
      </c>
      <c r="F10133" t="inlineStr">
        <is>
          <t>Hồ Chí Minh</t>
        </is>
      </c>
      <c r="G10133" t="inlineStr">
        <is>
          <t>31-05-2026</t>
        </is>
      </c>
      <c r="H10133" t="inlineStr">
        <is>
          <t>31/05/2026</t>
        </is>
      </c>
      <c r="I10133" t="inlineStr">
        <is>
          <t>17/03/2026</t>
        </is>
      </c>
      <c r="J10133" t="inlineStr">
        <is>
          <t>Bất động sản</t>
        </is>
      </c>
      <c r="K10133" t="inlineStr">
        <is>
          <t>2 - 3 Năm</t>
        </is>
      </c>
      <c r="L10133" s="8">
        <f>HYPERLINK("https://careerviet.vn/vi/tim-viec-lam/chuyen-vien-ra-soat-niem-yet-bds.35C6C97A.html","Xem chi tiết")</f>
        <v/>
      </c>
    </row>
    <row r="10134">
      <c r="B10134" s="9" t="n">
        <v>10132</v>
      </c>
      <c r="C10134" s="10" t="inlineStr">
        <is>
          <t>Nhân viên Sale Admin tại Hưng Yên</t>
        </is>
      </c>
      <c r="D10134" s="10" t="inlineStr">
        <is>
          <t>CÔNG TY CỔ PHẦN TẬP ĐOÀN DEKKO</t>
        </is>
      </c>
      <c r="E10134" s="10" t="inlineStr">
        <is>
          <t>Lương:10 Tr - 13 Tr VND</t>
        </is>
      </c>
      <c r="F10134" s="10" t="inlineStr">
        <is>
          <t>Hưng Yên</t>
        </is>
      </c>
      <c r="G10134" s="10" t="inlineStr">
        <is>
          <t>11-04-2026</t>
        </is>
      </c>
      <c r="H10134" s="10" t="inlineStr">
        <is>
          <t>11/04/2026</t>
        </is>
      </c>
      <c r="I10134" s="10" t="inlineStr">
        <is>
          <t>17/03/2026</t>
        </is>
      </c>
      <c r="J10134" s="10" t="inlineStr">
        <is>
          <t>Kế toán / Kiểm toán, Hành chính / Thư ký</t>
        </is>
      </c>
      <c r="K10134" s="10" t="inlineStr">
        <is>
          <t>1 - 2 Năm</t>
        </is>
      </c>
      <c r="L10134" s="11">
        <f>HYPERLINK("https://careerviet.vn/vi/tim-viec-lam/nhan-vien-sale-admin-tai-hung-yen.35C6C98A.html","Xem chi tiết")</f>
        <v/>
      </c>
      <c r="M10134" s="10" t="n"/>
    </row>
    <row r="10135">
      <c r="B10135" s="7" t="n">
        <v>10133</v>
      </c>
      <c r="C10135" t="inlineStr">
        <is>
          <t>Nhân viên hành chính nhân sự</t>
        </is>
      </c>
      <c r="D10135" t="inlineStr">
        <is>
          <t>CÔNG TY CỔ PHẦN THƯƠNG MẠI DỊCH VỤ SẢN XUẤT HƯƠNG THỦY</t>
        </is>
      </c>
      <c r="E10135" t="inlineStr">
        <is>
          <t>Lương:12 Tr - 13 Tr VND</t>
        </is>
      </c>
      <c r="F10135" t="inlineStr">
        <is>
          <t>Hồ Chí Minh</t>
        </is>
      </c>
      <c r="G10135" t="inlineStr">
        <is>
          <t>31-03-2026</t>
        </is>
      </c>
      <c r="H10135" t="inlineStr">
        <is>
          <t>31/03/2026</t>
        </is>
      </c>
      <c r="I10135" t="inlineStr">
        <is>
          <t>17/03/2026</t>
        </is>
      </c>
      <c r="J10135" t="inlineStr">
        <is>
          <t>Nhân sự</t>
        </is>
      </c>
      <c r="K10135" t="inlineStr">
        <is>
          <t>2 - 3 Năm</t>
        </is>
      </c>
      <c r="L10135" s="8">
        <f>HYPERLINK("https://careerviet.vn/vi/tim-viec-lam/nhan-vien-hanh-chinh-nhan-su.35C6C3C4.html","Xem chi tiết")</f>
        <v/>
      </c>
    </row>
    <row r="10136">
      <c r="B10136" s="9" t="n">
        <v>10134</v>
      </c>
      <c r="C10136" s="10" t="inlineStr">
        <is>
          <t>Trưởng phòng phát triển niêm yết BDS (kênh khách hàng cá nhân)</t>
        </is>
      </c>
      <c r="D10136" s="10" t="inlineStr">
        <is>
          <t>CÔNG TY CỔ PHẦN CITICS</t>
        </is>
      </c>
      <c r="E10136" s="10" t="inlineStr">
        <is>
          <t>Lương:15 Tr - 30 Tr VND</t>
        </is>
      </c>
      <c r="F10136" s="10" t="inlineStr">
        <is>
          <t>Hồ Chí Minh</t>
        </is>
      </c>
      <c r="G10136" s="10" t="inlineStr">
        <is>
          <t>31-05-2026</t>
        </is>
      </c>
      <c r="H10136" s="10" t="inlineStr">
        <is>
          <t>31/05/2026</t>
        </is>
      </c>
      <c r="I10136" s="10" t="inlineStr">
        <is>
          <t>17/03/2026</t>
        </is>
      </c>
      <c r="J10136" s="10" t="inlineStr">
        <is>
          <t>Bất động sản</t>
        </is>
      </c>
      <c r="K10136" s="10" t="inlineStr">
        <is>
          <t>5 - 6 Năm</t>
        </is>
      </c>
      <c r="L10136" s="11">
        <f>HYPERLINK("https://careerviet.vn/vi/tim-viec-lam/truong-phong-phat-trien-niem-yet-bds-kenh-khach-hang-ca-nhan.35C6C97B.html","Xem chi tiết")</f>
        <v/>
      </c>
      <c r="M10136" s="10" t="n"/>
    </row>
    <row r="10137">
      <c r="B10137" s="7" t="n">
        <v>10135</v>
      </c>
      <c r="C10137" t="inlineStr">
        <is>
          <t>Brand manager</t>
        </is>
      </c>
      <c r="D10137" t="inlineStr">
        <is>
          <t>CÔNG TY CỔ PHẦN XÂY DỰNG VÀ ĐẦU TƯ GALAXY</t>
        </is>
      </c>
      <c r="E10137" t="inlineStr">
        <is>
          <t>Lương:15 Tr - 20 Tr VND</t>
        </is>
      </c>
      <c r="F10137" t="inlineStr">
        <is>
          <t>Hồ Chí Minh</t>
        </is>
      </c>
      <c r="G10137" t="inlineStr">
        <is>
          <t>10-04-2026</t>
        </is>
      </c>
      <c r="H10137" t="inlineStr">
        <is>
          <t>10/04/2026</t>
        </is>
      </c>
      <c r="I10137" t="inlineStr">
        <is>
          <t>17/03/2026</t>
        </is>
      </c>
      <c r="J10137" t="inlineStr">
        <is>
          <t>Tiếp thị / Marketing, Dịch vụ khách hàng, Bán hàng / Kinh doanh</t>
        </is>
      </c>
      <c r="K10137" t="inlineStr">
        <is>
          <t>3 - 5 Năm</t>
        </is>
      </c>
      <c r="L10137" s="8">
        <f>HYPERLINK("https://careerviet.vn/vi/tim-viec-lam/brand-manager.35C6C97F.html","Xem chi tiết")</f>
        <v/>
      </c>
    </row>
    <row r="10138">
      <c r="B10138" s="9" t="n">
        <v>10136</v>
      </c>
      <c r="C10138" s="10" t="inlineStr">
        <is>
          <t>Trưởng phòng thúc đẩy bán (Bất động sản)</t>
        </is>
      </c>
      <c r="D10138" s="10" t="inlineStr">
        <is>
          <t>CÔNG TY CỔ PHẦN CITICS</t>
        </is>
      </c>
      <c r="E10138" s="10" t="inlineStr">
        <is>
          <t>Lương:15 Tr - 30 Tr VND</t>
        </is>
      </c>
      <c r="F10138" s="10" t="inlineStr">
        <is>
          <t>Hồ Chí Minh</t>
        </is>
      </c>
      <c r="G10138" s="10" t="inlineStr">
        <is>
          <t>31-05-2026</t>
        </is>
      </c>
      <c r="H10138" s="10" t="inlineStr">
        <is>
          <t>31/05/2026</t>
        </is>
      </c>
      <c r="I10138" s="10" t="inlineStr">
        <is>
          <t>17/03/2026</t>
        </is>
      </c>
      <c r="J10138" s="10" t="inlineStr">
        <is>
          <t>Bất động sản</t>
        </is>
      </c>
      <c r="K10138" s="10" t="inlineStr">
        <is>
          <t>5 - 6 Năm</t>
        </is>
      </c>
      <c r="L10138" s="11">
        <f>HYPERLINK("https://careerviet.vn/vi/tim-viec-lam/truong-phong-thuc-day-ban-bat-dong-san.35C6C975.html","Xem chi tiết")</f>
        <v/>
      </c>
      <c r="M10138" s="10" t="n"/>
    </row>
    <row r="10139">
      <c r="B10139" s="7" t="n">
        <v>10137</v>
      </c>
      <c r="C10139" t="inlineStr">
        <is>
          <t>Kỹ sư QS Hồ sơ</t>
        </is>
      </c>
      <c r="D10139" t="inlineStr">
        <is>
          <t>CÔNG TY CỔ PHẦN CƠ ĐIỆN VÀ PCCC THĂNG LONG</t>
        </is>
      </c>
      <c r="E10139" t="inlineStr">
        <is>
          <t>Lương:10 Tr - 15 Tr VND</t>
        </is>
      </c>
      <c r="F10139" t="inlineStr">
        <is>
          <t>Hà Nội</t>
        </is>
      </c>
      <c r="G10139" t="inlineStr">
        <is>
          <t>14-04-2026</t>
        </is>
      </c>
      <c r="H10139" t="inlineStr">
        <is>
          <t>14/04/2026</t>
        </is>
      </c>
      <c r="I10139" t="inlineStr">
        <is>
          <t>17/03/2026</t>
        </is>
      </c>
      <c r="J10139" t="inlineStr">
        <is>
          <t>Xây dựng, Tài chính / Đầu tư, Thống kê</t>
        </is>
      </c>
      <c r="K10139" t="inlineStr">
        <is>
          <t>1 - 2 Năm</t>
        </is>
      </c>
      <c r="L10139" s="8">
        <f>HYPERLINK("https://careerviet.vn/vi/tim-viec-lam/ky-su-qs-ho-so.35C6C980.html","Xem chi tiết")</f>
        <v/>
      </c>
    </row>
    <row r="10140">
      <c r="B10140" s="9" t="n">
        <v>10138</v>
      </c>
      <c r="C10140" s="10" t="inlineStr">
        <is>
          <t>Trưởng nhóm phát triển đối tác Ngân hàng</t>
        </is>
      </c>
      <c r="D10140" s="10" t="inlineStr">
        <is>
          <t>CÔNG TY CỔ PHẦN CITICS</t>
        </is>
      </c>
      <c r="E10140" s="10" t="inlineStr">
        <is>
          <t>Lương:15 Tr - 30 Tr VND</t>
        </is>
      </c>
      <c r="F10140" s="10" t="inlineStr">
        <is>
          <t>Hồ Chí Minh</t>
        </is>
      </c>
      <c r="G10140" s="10" t="inlineStr">
        <is>
          <t>30-04-2026</t>
        </is>
      </c>
      <c r="H10140" s="10" t="inlineStr">
        <is>
          <t>30/04/2026</t>
        </is>
      </c>
      <c r="I10140" s="10" t="inlineStr">
        <is>
          <t>17/03/2026</t>
        </is>
      </c>
      <c r="J10140" s="10" t="inlineStr">
        <is>
          <t>Ngân hàng</t>
        </is>
      </c>
      <c r="K10140" s="10" t="inlineStr">
        <is>
          <t>5 - 6 Năm</t>
        </is>
      </c>
      <c r="L10140" s="11">
        <f>HYPERLINK("https://careerviet.vn/vi/tim-viec-lam/truong-nhom-phat-trien-doi-tac-ngan-hang.35C6C977.html","Xem chi tiết")</f>
        <v/>
      </c>
      <c r="M10140" s="10" t="n"/>
    </row>
    <row r="10141">
      <c r="B10141" s="7" t="n">
        <v>10139</v>
      </c>
      <c r="C10141" t="inlineStr">
        <is>
          <t>Trưởng phòng phát triển niêm yết BDS (kênh đối tác)</t>
        </is>
      </c>
      <c r="D10141" t="inlineStr">
        <is>
          <t>CÔNG TY CỔ PHẦN CITICS</t>
        </is>
      </c>
      <c r="E10141" t="inlineStr">
        <is>
          <t>Lương:15 Tr - 30 Tr VND</t>
        </is>
      </c>
      <c r="F10141" t="inlineStr">
        <is>
          <t>Hồ Chí Minh</t>
        </is>
      </c>
      <c r="G10141" t="inlineStr">
        <is>
          <t>31-05-2026</t>
        </is>
      </c>
      <c r="H10141" t="inlineStr">
        <is>
          <t>31/05/2026</t>
        </is>
      </c>
      <c r="I10141" t="inlineStr">
        <is>
          <t>17/03/2026</t>
        </is>
      </c>
      <c r="J10141" t="inlineStr">
        <is>
          <t>Bất động sản</t>
        </is>
      </c>
      <c r="K10141" t="inlineStr">
        <is>
          <t>5 - 6 Năm</t>
        </is>
      </c>
      <c r="L10141" s="8">
        <f>HYPERLINK("https://careerviet.vn/vi/tim-viec-lam/truong-phong-phat-trien-niem-yet-bds-kenh-doi-tac.35C6C978.html","Xem chi tiết")</f>
        <v/>
      </c>
    </row>
    <row r="10142">
      <c r="B10142" s="9" t="n">
        <v>10140</v>
      </c>
      <c r="C10142" s="10" t="inlineStr">
        <is>
          <t>[Nguyễn Văn Lượng _Gò Vấpi] Nhân viên Kế toán</t>
        </is>
      </c>
      <c r="D10142" s="10" t="inlineStr">
        <is>
          <t>Công Ty Cổ Phần Vacxin Việt Nam</t>
        </is>
      </c>
      <c r="E10142" s="10" t="inlineStr">
        <is>
          <t>Lương:Cạnh tranh</t>
        </is>
      </c>
      <c r="F10142" s="10" t="inlineStr">
        <is>
          <t>Hồ Chí Minh</t>
        </is>
      </c>
      <c r="G10142" s="10" t="inlineStr">
        <is>
          <t>14-03-2026</t>
        </is>
      </c>
      <c r="H10142" s="10" t="inlineStr">
        <is>
          <t>15/03/2026</t>
        </is>
      </c>
      <c r="I10142" s="10" t="inlineStr">
        <is>
          <t>17/03/2026</t>
        </is>
      </c>
      <c r="J10142" s="10" t="inlineStr">
        <is>
          <t>Y tế / Chăm sóc sức khỏe / Thẩm mỹ / Làm đẹp</t>
        </is>
      </c>
      <c r="K10142" s="10" t="inlineStr">
        <is>
          <t>2 - 4 Năm</t>
        </is>
      </c>
      <c r="L10142" s="11">
        <f>HYPERLINK("https://careerviet.vn/vi/tim-viec-lam/nguyen-van-luong-_go-vapi-nhan-vien-ke-toan.35C6C970.html","Xem chi tiết")</f>
        <v/>
      </c>
      <c r="M10142" s="10" t="n"/>
    </row>
    <row r="10143">
      <c r="B10143" s="7" t="n">
        <v>10141</v>
      </c>
      <c r="C10143" t="inlineStr">
        <is>
          <t>Chuyên viên kiểm soát chất lượng niêm yết BDS</t>
        </is>
      </c>
      <c r="D10143" t="inlineStr">
        <is>
          <t>CÔNG TY CỔ PHẦN CITICS</t>
        </is>
      </c>
      <c r="E10143" t="inlineStr">
        <is>
          <t>Lương:15 Tr - 30 Tr VND</t>
        </is>
      </c>
      <c r="F10143" t="inlineStr">
        <is>
          <t>Hồ Chí Minh</t>
        </is>
      </c>
      <c r="G10143" t="inlineStr">
        <is>
          <t>31-05-2026</t>
        </is>
      </c>
      <c r="H10143" t="inlineStr">
        <is>
          <t>31/05/2026</t>
        </is>
      </c>
      <c r="I10143" t="inlineStr">
        <is>
          <t>17/03/2026</t>
        </is>
      </c>
      <c r="J10143" t="inlineStr">
        <is>
          <t>Bất động sản</t>
        </is>
      </c>
      <c r="K10143" t="inlineStr">
        <is>
          <t>5 - 6 Năm</t>
        </is>
      </c>
      <c r="L10143" s="8">
        <f>HYPERLINK("https://careerviet.vn/vi/tim-viec-lam/chuyen-vien-kiem-soat-chat-luong-niem-yet-bds.35C6C979.html","Xem chi tiết")</f>
        <v/>
      </c>
    </row>
    <row r="10144">
      <c r="B10144" s="9" t="n">
        <v>10142</v>
      </c>
      <c r="C10144" s="10" t="inlineStr">
        <is>
          <t>Công nhân Kỹ thuật</t>
        </is>
      </c>
      <c r="D10144" s="10" t="inlineStr">
        <is>
          <t>CÔNG TY CỔ PHẦN CƠ ĐIỆN VÀ PCCC THĂNG LONG</t>
        </is>
      </c>
      <c r="E10144" s="10" t="inlineStr">
        <is>
          <t>Lương:9,5 Tr - 15 Tr VND</t>
        </is>
      </c>
      <c r="F10144" s="10" t="inlineStr">
        <is>
          <t>Bắc NinhBắc GiangQuảng Ninh</t>
        </is>
      </c>
      <c r="G10144" s="10" t="inlineStr">
        <is>
          <t>14-04-2026</t>
        </is>
      </c>
      <c r="H10144" s="10" t="inlineStr">
        <is>
          <t>14/04/2026</t>
        </is>
      </c>
      <c r="I10144" s="10" t="inlineStr">
        <is>
          <t>17/03/2026</t>
        </is>
      </c>
      <c r="J10144" s="10" t="inlineStr">
        <is>
          <t>Cơ khí / Ô tô / Tự động hóa, Điện / Điện tử / Điện lạnh / Điện công nghiệp, Xây dựng</t>
        </is>
      </c>
      <c r="K10144" s="10" t="inlineStr">
        <is>
          <t>N/A</t>
        </is>
      </c>
      <c r="L10144" s="11">
        <f>HYPERLINK("https://careerviet.vn/vi/tim-viec-lam/cong-nhan-ky-thuat.35C6C97C.html","Xem chi tiết")</f>
        <v/>
      </c>
      <c r="M10144" s="10" t="n"/>
    </row>
    <row r="10145">
      <c r="B10145" s="7" t="n">
        <v>10143</v>
      </c>
      <c r="C10145" t="inlineStr">
        <is>
          <t>[Hai Bà Trưng _Quận 1] Nhân viên Kế toán</t>
        </is>
      </c>
      <c r="D10145" t="inlineStr">
        <is>
          <t>Công Ty Cổ Phần Vacxin Việt Nam</t>
        </is>
      </c>
      <c r="E10145" t="inlineStr">
        <is>
          <t>Lương:Cạnh tranh</t>
        </is>
      </c>
      <c r="F10145" t="inlineStr">
        <is>
          <t>Hồ Chí Minh</t>
        </is>
      </c>
      <c r="G10145" t="inlineStr">
        <is>
          <t>14-03-2026</t>
        </is>
      </c>
      <c r="H10145" t="inlineStr">
        <is>
          <t>15/03/2026</t>
        </is>
      </c>
      <c r="I10145" t="inlineStr">
        <is>
          <t>17/03/2026</t>
        </is>
      </c>
      <c r="J10145" t="inlineStr">
        <is>
          <t>Y tế / Chăm sóc sức khỏe / Thẩm mỹ / Làm đẹp</t>
        </is>
      </c>
      <c r="K10145" t="inlineStr">
        <is>
          <t>2 - 4 Năm</t>
        </is>
      </c>
      <c r="L10145" s="8">
        <f>HYPERLINK("https://careerviet.vn/vi/tim-viec-lam/hai-ba-trung-_quan-1-nhan-vien-ke-toan.35C6C971.html","Xem chi tiết")</f>
        <v/>
      </c>
    </row>
    <row r="10146">
      <c r="B10146" s="9" t="n">
        <v>10144</v>
      </c>
      <c r="C10146" s="10" t="inlineStr">
        <is>
          <t>DIGITAL MARKETING MANAGER</t>
        </is>
      </c>
      <c r="D10146" s="10" t="inlineStr">
        <is>
          <t>Công Ty Cổ Phần Thiết Bị TAT</t>
        </is>
      </c>
      <c r="E10146" s="10" t="inlineStr">
        <is>
          <t>Lương:Cạnh tranh</t>
        </is>
      </c>
      <c r="F10146" s="10" t="inlineStr">
        <is>
          <t>Hồ Chí Minh</t>
        </is>
      </c>
      <c r="G10146" s="10" t="inlineStr">
        <is>
          <t>14-04-2026</t>
        </is>
      </c>
      <c r="H10146" s="10" t="inlineStr">
        <is>
          <t>14/04/2026</t>
        </is>
      </c>
      <c r="I10146" s="10" t="inlineStr">
        <is>
          <t>17/03/2026</t>
        </is>
      </c>
      <c r="J10146" s="10" t="inlineStr">
        <is>
          <t>Bán hàng / Kinh doanh</t>
        </is>
      </c>
      <c r="K10146" s="10" t="inlineStr">
        <is>
          <t>2 - 5 Năm</t>
        </is>
      </c>
      <c r="L10146" s="11">
        <f>HYPERLINK("https://careerviet.vn/vi/tim-viec-lam/digital-marketing-manager.35C6C94D.html","Xem chi tiết")</f>
        <v/>
      </c>
      <c r="M10146" s="10" t="n"/>
    </row>
    <row r="10147">
      <c r="B10147" s="7" t="n">
        <v>10145</v>
      </c>
      <c r="C10147" t="inlineStr">
        <is>
          <t>Chuyên viên kinh doanh - Sales B2B</t>
        </is>
      </c>
      <c r="D10147" t="inlineStr">
        <is>
          <t>CÔNG TY TNHH IN BAO BÌ TOÀN PHÁT</t>
        </is>
      </c>
      <c r="E10147" t="inlineStr">
        <is>
          <t>Lương:18 Tr - 30 Tr VND</t>
        </is>
      </c>
      <c r="F10147" t="inlineStr">
        <is>
          <t>Hồ Chí Minh</t>
        </is>
      </c>
      <c r="G10147" t="inlineStr">
        <is>
          <t>13-04-2026</t>
        </is>
      </c>
      <c r="H10147" t="inlineStr">
        <is>
          <t>13/04/2026</t>
        </is>
      </c>
      <c r="I10147" t="inlineStr">
        <is>
          <t>17/03/2026</t>
        </is>
      </c>
      <c r="J10147" t="inlineStr">
        <is>
          <t>Bán lẻ / Bán sỉ, Bán hàng / Kinh doanh, Tiếp thị / Marketing</t>
        </is>
      </c>
      <c r="K10147" t="inlineStr">
        <is>
          <t>1 - 3 Năm</t>
        </is>
      </c>
      <c r="L10147" s="8">
        <f>HYPERLINK("https://careerviet.vn/vi/tim-viec-lam/chuyen-vien-kinh-doanh-sales-b2b.35C6C969.html","Xem chi tiết")</f>
        <v/>
      </c>
    </row>
    <row r="10148">
      <c r="B10148" s="9" t="n">
        <v>10146</v>
      </c>
      <c r="C10148" s="10" t="inlineStr">
        <is>
          <t>Thư ký kiêm thủ kho công trường (Hà Nội, Hạ Long và các tỉnh thành khác trong cả nước) - Đào tạo công việc</t>
        </is>
      </c>
      <c r="D10148" s="10" t="inlineStr">
        <is>
          <t>TTT Corporation</t>
        </is>
      </c>
      <c r="E10148" s="10" t="inlineStr">
        <is>
          <t>Lương:8 Tr - 14 Tr VND</t>
        </is>
      </c>
      <c r="F10148" s="10" t="inlineStr">
        <is>
          <t>Hà NộiHồ Chí Minh</t>
        </is>
      </c>
      <c r="G10148" s="10" t="inlineStr">
        <is>
          <t>14-04-2026</t>
        </is>
      </c>
      <c r="H10148" s="10" t="inlineStr">
        <is>
          <t>14/04/2026</t>
        </is>
      </c>
      <c r="I10148" s="10" t="inlineStr">
        <is>
          <t>17/03/2026</t>
        </is>
      </c>
      <c r="J10148" s="10" t="inlineStr">
        <is>
          <t>Xây dựng, An toàn lao động, Lao động phổ thông</t>
        </is>
      </c>
      <c r="K10148" s="10" t="inlineStr">
        <is>
          <t>N/A</t>
        </is>
      </c>
      <c r="L10148" s="11">
        <f>HYPERLINK("https://careerviet.vn/vi/tim-viec-lam/thu-ky-kiem-thu-kho-cong-truong-ha-noi-ha-long-va-cac-tinh-thanh-khac-trong-ca-nuoc-dao-tao-cong-viec.35C6C957.html","Xem chi tiết")</f>
        <v/>
      </c>
      <c r="M10148" s="10" t="n"/>
    </row>
    <row r="10149">
      <c r="B10149" s="7" t="n">
        <v>10147</v>
      </c>
      <c r="C10149" t="inlineStr">
        <is>
          <t>Nhân viên kiểm soát chất lượng - Marketing</t>
        </is>
      </c>
      <c r="D10149" t="inlineStr">
        <is>
          <t>BỆNH VIỆN ĐA KHOA PHƯƠNG ĐÔNG</t>
        </is>
      </c>
      <c r="E10149" t="inlineStr">
        <is>
          <t>Lương:8 Tr - 10 Tr VND</t>
        </is>
      </c>
      <c r="F10149" t="inlineStr">
        <is>
          <t>Hà Nội</t>
        </is>
      </c>
      <c r="G10149" t="inlineStr">
        <is>
          <t>31-05-2026</t>
        </is>
      </c>
      <c r="H10149" t="inlineStr">
        <is>
          <t>31/05/2026</t>
        </is>
      </c>
      <c r="I10149" t="inlineStr">
        <is>
          <t>17/03/2026</t>
        </is>
      </c>
      <c r="J10149" t="inlineStr">
        <is>
          <t>Tiếp thị / Marketing, Quản lý chất lượng (QA/QC)</t>
        </is>
      </c>
      <c r="K10149" t="inlineStr">
        <is>
          <t>Chưa có kinh nghiệm</t>
        </is>
      </c>
      <c r="L10149" s="8">
        <f>HYPERLINK("https://careerviet.vn/vi/tim-viec-lam/nhan-vien-kiem-soat-chat-luong-marketing.35C6C967.html","Xem chi tiết")</f>
        <v/>
      </c>
    </row>
    <row r="10150">
      <c r="B10150" s="9" t="n">
        <v>10148</v>
      </c>
      <c r="C10150" s="10" t="inlineStr">
        <is>
          <t>Cán bộ Đấu thầu _ Phòng kỹ thuật</t>
        </is>
      </c>
      <c r="D10150" s="10" t="inlineStr">
        <is>
          <t>CÔNG TY CỔ PHẦN XÂY DỰNG MEGASPACE</t>
        </is>
      </c>
      <c r="E10150" s="10" t="inlineStr">
        <is>
          <t>Lương:15 Tr - 25 Tr VND</t>
        </is>
      </c>
      <c r="F10150" s="10" t="inlineStr">
        <is>
          <t>Hà Nội</t>
        </is>
      </c>
      <c r="G10150" s="10" t="inlineStr">
        <is>
          <t>31-03-2026</t>
        </is>
      </c>
      <c r="H10150" s="10" t="inlineStr">
        <is>
          <t>31/03/2026</t>
        </is>
      </c>
      <c r="I10150" s="10" t="inlineStr">
        <is>
          <t>17/03/2026</t>
        </is>
      </c>
      <c r="J10150" s="10" t="inlineStr">
        <is>
          <t>Cơ khí / Ô tô / Tự động hóa, Điện / Điện tử / Điện lạnh / Điện công nghiệp, Xây dựng</t>
        </is>
      </c>
      <c r="K10150" s="10" t="inlineStr">
        <is>
          <t>Trên 3 Năm</t>
        </is>
      </c>
      <c r="L10150" s="11">
        <f>HYPERLINK("https://careerviet.vn/vi/tim-viec-lam/can-bo-dau-thau-_-phong-ky-thuat.35C6C95A.html","Xem chi tiết")</f>
        <v/>
      </c>
      <c r="M10150" s="10" t="n"/>
    </row>
    <row r="10151">
      <c r="B10151" s="7" t="n">
        <v>10149</v>
      </c>
      <c r="C10151" t="inlineStr">
        <is>
          <t>Senior Talent Acquisiton Specialist</t>
        </is>
      </c>
      <c r="D10151" t="inlineStr">
        <is>
          <t>Công Ty CP Vàng Bạc Đá Quý Phú Nhuận - PNJ</t>
        </is>
      </c>
      <c r="E10151" t="inlineStr">
        <is>
          <t>Lương:Cạnh tranh</t>
        </is>
      </c>
      <c r="F10151" t="inlineStr">
        <is>
          <t>Hồ Chí Minh</t>
        </is>
      </c>
      <c r="G10151" t="inlineStr">
        <is>
          <t>11-04-2026</t>
        </is>
      </c>
      <c r="H10151" t="inlineStr">
        <is>
          <t>11/04/2026</t>
        </is>
      </c>
      <c r="I10151" t="inlineStr">
        <is>
          <t>17/03/2026</t>
        </is>
      </c>
      <c r="J10151" t="inlineStr">
        <is>
          <t>Nhân sự, Bán lẻ / Bán sỉ</t>
        </is>
      </c>
      <c r="K10151" t="inlineStr">
        <is>
          <t>4 - 6 Năm</t>
        </is>
      </c>
      <c r="L10151" s="8">
        <f>HYPERLINK("https://careerviet.vn/vi/tim-viec-lam/senior-talent-acquisiton-specialist.35C6C964.html","Xem chi tiết")</f>
        <v/>
      </c>
    </row>
    <row r="10152">
      <c r="B10152" s="9" t="n">
        <v>10150</v>
      </c>
      <c r="C10152" s="10" t="inlineStr">
        <is>
          <t>Nhân viên Kế toán (mảng cây xanh)</t>
        </is>
      </c>
      <c r="D10152" s="10" t="inlineStr">
        <is>
          <t>Tập Đoàn Tân Á Đại Thành</t>
        </is>
      </c>
      <c r="E10152" s="10" t="inlineStr">
        <is>
          <t>Lương:12 Tr - 13 Tr VND</t>
        </is>
      </c>
      <c r="F10152" s="10" t="inlineStr">
        <is>
          <t>Kiên Giang</t>
        </is>
      </c>
      <c r="G10152" s="10" t="inlineStr">
        <is>
          <t>13-04-2026</t>
        </is>
      </c>
      <c r="H10152" s="10" t="inlineStr">
        <is>
          <t>13/04/2026</t>
        </is>
      </c>
      <c r="I10152" s="10" t="inlineStr">
        <is>
          <t>17/03/2026</t>
        </is>
      </c>
      <c r="J10152" s="10" t="inlineStr">
        <is>
          <t>Kế toán / Kiểm toán, Tài chính / Đầu tư, Nhân sự</t>
        </is>
      </c>
      <c r="K10152" s="10" t="inlineStr">
        <is>
          <t>2 - 3 Năm</t>
        </is>
      </c>
      <c r="L10152" s="11">
        <f>HYPERLINK("https://careerviet.vn/vi/tim-viec-lam/nhan-vien-ke-toan-mang-cay-xanh.35C6C972.html","Xem chi tiết")</f>
        <v/>
      </c>
      <c r="M10152" s="10" t="n"/>
    </row>
    <row r="10153">
      <c r="B10153" s="7" t="n">
        <v>10151</v>
      </c>
      <c r="C10153" t="inlineStr">
        <is>
          <t>Kế toán trưởng</t>
        </is>
      </c>
      <c r="D10153" t="inlineStr">
        <is>
          <t>CÔNG TY CP ĐẦU TƯ PHÁT TRIỂN TRÍ DƯƠNG</t>
        </is>
      </c>
      <c r="E10153" t="inlineStr">
        <is>
          <t>Lương:Cạnh tranh</t>
        </is>
      </c>
      <c r="F10153" t="inlineStr">
        <is>
          <t>Nghệ An</t>
        </is>
      </c>
      <c r="G10153" t="inlineStr">
        <is>
          <t>31-03-2026</t>
        </is>
      </c>
      <c r="H10153" t="inlineStr">
        <is>
          <t>31/03/2026</t>
        </is>
      </c>
      <c r="I10153" t="inlineStr">
        <is>
          <t>17/03/2026</t>
        </is>
      </c>
      <c r="J10153" t="inlineStr">
        <is>
          <t>Kế toán / Kiểm toán, Xây dựng, Bất động sản</t>
        </is>
      </c>
      <c r="K10153" t="inlineStr">
        <is>
          <t>10 - 15 Năm</t>
        </is>
      </c>
      <c r="L10153" s="8">
        <f>HYPERLINK("https://careerviet.vn/vi/tim-viec-lam/ke-toan-truong.35C6C956.html","Xem chi tiết")</f>
        <v/>
      </c>
    </row>
    <row r="10154">
      <c r="B10154" s="9" t="n">
        <v>10152</v>
      </c>
      <c r="C10154" s="10" t="inlineStr">
        <is>
          <t>Nhân viên xuất nhập khẩu</t>
        </is>
      </c>
      <c r="D10154" s="10" t="inlineStr">
        <is>
          <t>CÔNG TY CP CHẾ BIẾN DỪA Á CHÂU</t>
        </is>
      </c>
      <c r="E10154" s="10" t="inlineStr">
        <is>
          <t>Lương:Cạnh tranh</t>
        </is>
      </c>
      <c r="F10154" s="10" t="inlineStr">
        <is>
          <t>Bến Tre</t>
        </is>
      </c>
      <c r="G10154" s="10" t="inlineStr">
        <is>
          <t>31-03-2026</t>
        </is>
      </c>
      <c r="H10154" s="10" t="inlineStr">
        <is>
          <t>31/03/2026</t>
        </is>
      </c>
      <c r="I10154" s="10" t="inlineStr">
        <is>
          <t>17/03/2026</t>
        </is>
      </c>
      <c r="J10154" s="10" t="inlineStr">
        <is>
          <t>Xuất nhập khẩu, Sản xuất / Vận hành sản xuất, Vận chuyển / Giao nhận / Kho vận</t>
        </is>
      </c>
      <c r="K10154" s="10" t="inlineStr">
        <is>
          <t>1 - 2 Năm</t>
        </is>
      </c>
      <c r="L10154" s="11">
        <f>HYPERLINK("https://careerviet.vn/vi/tim-viec-lam/nhan-vien-xuat-nhap-khau.35C6C96B.html","Xem chi tiết")</f>
        <v/>
      </c>
      <c r="M10154" s="10" t="n"/>
    </row>
    <row r="10155">
      <c r="B10155" s="7" t="n">
        <v>10153</v>
      </c>
      <c r="C10155" t="inlineStr">
        <is>
          <t>Quản lý dự án Hoàn thiện/Nội thất (Dự án Văn phòng,Khách sạn) - Dự án Hà Nội và các tỉnh miền Bắc</t>
        </is>
      </c>
      <c r="D10155" t="inlineStr">
        <is>
          <t>TTT Corporation</t>
        </is>
      </c>
      <c r="E10155" t="inlineStr">
        <is>
          <t>Lương:20 Tr - 40 Tr VND</t>
        </is>
      </c>
      <c r="F10155" t="inlineStr">
        <is>
          <t>Hồ Chí MinhHà NộiĐà Nẵng</t>
        </is>
      </c>
      <c r="G10155" t="inlineStr">
        <is>
          <t>14-04-2026</t>
        </is>
      </c>
      <c r="H10155" t="inlineStr">
        <is>
          <t>14/04/2026</t>
        </is>
      </c>
      <c r="I10155" t="inlineStr">
        <is>
          <t>17/03/2026</t>
        </is>
      </c>
      <c r="J10155" t="inlineStr">
        <is>
          <t>Đồ gỗ, Xây dựng, Nội ngoại thất</t>
        </is>
      </c>
      <c r="K10155" t="inlineStr">
        <is>
          <t>4 - 5 Năm</t>
        </is>
      </c>
      <c r="L10155" s="8">
        <f>HYPERLINK("https://careerviet.vn/vi/tim-viec-lam/quan-ly-du-an-hoan-thien-noi-that-du-an-van-phong-khach-san-du-an-ha-noi-va-cac-tinh-mien-bac.35C6C946.html","Xem chi tiết")</f>
        <v/>
      </c>
    </row>
    <row r="10156">
      <c r="B10156" s="9" t="n">
        <v>10154</v>
      </c>
      <c r="C10156" s="10" t="inlineStr">
        <is>
          <t>Chuyên viên Phát triển ứng dụng (Mobile app) - Làm việc tại Trụ sở chính Hà Nội</t>
        </is>
      </c>
      <c r="D10156" s="10" t="inlineStr">
        <is>
          <t>Ngân hàng TMCP Việt Á – VietABank</t>
        </is>
      </c>
      <c r="E10156" s="10" t="inlineStr">
        <is>
          <t>Lương:Cạnh tranh</t>
        </is>
      </c>
      <c r="F10156" s="10" t="inlineStr">
        <is>
          <t>Hà Nội</t>
        </is>
      </c>
      <c r="G10156" s="10" t="inlineStr">
        <is>
          <t>14-04-2026</t>
        </is>
      </c>
      <c r="H10156" s="10" t="inlineStr">
        <is>
          <t>14/04/2026</t>
        </is>
      </c>
      <c r="I10156" s="10" t="inlineStr">
        <is>
          <t>17/03/2026</t>
        </is>
      </c>
      <c r="J10156" s="10" t="inlineStr">
        <is>
          <t>CNTT - Phần mềm, Ngân hàng</t>
        </is>
      </c>
      <c r="K10156" s="10" t="inlineStr">
        <is>
          <t>1 - 3 Năm</t>
        </is>
      </c>
      <c r="L10156" s="11">
        <f>HYPERLINK("https://careerviet.vn/vi/tim-viec-lam/chuyen-vien-phat-trien-ung-dung-mobile-app-lam-viec-tai-tru-so-chinh-ha-noi.35C6C974.html","Xem chi tiết")</f>
        <v/>
      </c>
      <c r="M10156" s="10" t="n"/>
    </row>
    <row r="10157">
      <c r="B10157" s="7" t="n">
        <v>10155</v>
      </c>
      <c r="C10157" t="inlineStr">
        <is>
          <t>QUẢN LÝ DỰ ÁN CNTT - (Project Manager)</t>
        </is>
      </c>
      <c r="D10157" t="inlineStr">
        <is>
          <t>CÔNG TY TNHH ĐIỆN KHÍ QUỐC QUANG (VIỆT NAM)</t>
        </is>
      </c>
      <c r="E10157" t="inlineStr">
        <is>
          <t>Lương:Cạnh tranh</t>
        </is>
      </c>
      <c r="F10157" t="inlineStr">
        <is>
          <t>Quảng Nam</t>
        </is>
      </c>
      <c r="G10157" t="inlineStr">
        <is>
          <t>30-04-2026</t>
        </is>
      </c>
      <c r="H10157" t="inlineStr">
        <is>
          <t>30/04/2026</t>
        </is>
      </c>
      <c r="I10157" t="inlineStr">
        <is>
          <t>17/03/2026</t>
        </is>
      </c>
      <c r="J10157" t="inlineStr">
        <is>
          <t>CNTT - Phần mềm, Thương mại điện tử</t>
        </is>
      </c>
      <c r="K10157" t="inlineStr">
        <is>
          <t>3 - 5 Năm</t>
        </is>
      </c>
      <c r="L10157" s="8">
        <f>HYPERLINK("https://careerviet.vn/vi/tim-viec-lam/quan-ly-du-an-cntt-project-manager.35C6C954.html","Xem chi tiết")</f>
        <v/>
      </c>
    </row>
    <row r="10158">
      <c r="B10158" s="9" t="n">
        <v>10156</v>
      </c>
      <c r="C10158" s="10" t="inlineStr">
        <is>
          <t>[TP. HCM] CHUYÊN VIÊN  QUẢN LÝ DỮ LIỆU VÀ TỔ CHỨC ĐÀO TẠO</t>
        </is>
      </c>
      <c r="D10158" s="10" t="inlineStr">
        <is>
          <t>Công Ty Cổ Phần Vacxin Việt Nam</t>
        </is>
      </c>
      <c r="E10158" s="10" t="inlineStr">
        <is>
          <t>Lương:Cạnh tranh</t>
        </is>
      </c>
      <c r="F10158" s="10" t="inlineStr">
        <is>
          <t>Hồ Chí Minh</t>
        </is>
      </c>
      <c r="G10158" s="10" t="inlineStr">
        <is>
          <t>30-04-2026</t>
        </is>
      </c>
      <c r="H10158" s="10" t="inlineStr">
        <is>
          <t>30/04/2026</t>
        </is>
      </c>
      <c r="I10158" s="10" t="inlineStr">
        <is>
          <t>17/03/2026</t>
        </is>
      </c>
      <c r="J10158" s="10" t="inlineStr">
        <is>
          <t>Nhân sự, Hành chính / Thư ký, Giáo dục / Đào tạo</t>
        </is>
      </c>
      <c r="K10158" s="10" t="inlineStr">
        <is>
          <t>3 - 5 Năm</t>
        </is>
      </c>
      <c r="L10158" s="11">
        <f>HYPERLINK("https://careerviet.vn/vi/tim-viec-lam/tp-hcm-chuyen-vien-quan-ly-du-lieu-va-to-chuc-dao-tao.35C6C95B.html","Xem chi tiết")</f>
        <v/>
      </c>
      <c r="M10158" s="10" t="n"/>
    </row>
    <row r="10159">
      <c r="B10159" s="7" t="n">
        <v>10157</v>
      </c>
      <c r="C10159" t="inlineStr">
        <is>
          <t>Thợ cắt mẫu rập</t>
        </is>
      </c>
      <c r="D10159" t="inlineStr">
        <is>
          <t>Công Ty Cổ Phần Tập Đoàn Thời Trang Việt Nam</t>
        </is>
      </c>
      <c r="E10159" t="inlineStr">
        <is>
          <t>Lương:10 Tr - 12 Tr VND</t>
        </is>
      </c>
      <c r="F10159" t="inlineStr">
        <is>
          <t>Hà Nội</t>
        </is>
      </c>
      <c r="G10159" t="inlineStr">
        <is>
          <t>14-04-2026</t>
        </is>
      </c>
      <c r="H10159" t="inlineStr">
        <is>
          <t>14/04/2026</t>
        </is>
      </c>
      <c r="I10159" t="inlineStr">
        <is>
          <t>17/03/2026</t>
        </is>
      </c>
      <c r="J10159" t="inlineStr">
        <is>
          <t>Dệt may / Da giày / Thời trang</t>
        </is>
      </c>
      <c r="K10159" t="inlineStr">
        <is>
          <t>Chưa có kinh nghiệm</t>
        </is>
      </c>
      <c r="L10159" s="8">
        <f>HYPERLINK("https://careerviet.vn/vi/tim-viec-lam/tho-cat-mau-rap.35C6C94F.html","Xem chi tiết")</f>
        <v/>
      </c>
    </row>
    <row r="10160">
      <c r="B10160" s="9" t="n">
        <v>10158</v>
      </c>
      <c r="C10160" s="10" t="inlineStr">
        <is>
          <t>Nhân Viên Kế Toán/Accountant</t>
        </is>
      </c>
      <c r="D10160" s="10" t="inlineStr">
        <is>
          <t>Sunlight Electrical (Vietnam) Co., Ltd.</t>
        </is>
      </c>
      <c r="E10160" s="10" t="inlineStr">
        <is>
          <t>Lương:9 Tr - 14 Tr VND</t>
        </is>
      </c>
      <c r="F10160" s="10" t="inlineStr">
        <is>
          <t>Bình Dương</t>
        </is>
      </c>
      <c r="G10160" s="10" t="inlineStr">
        <is>
          <t>14-04-2026</t>
        </is>
      </c>
      <c r="H10160" s="10" t="inlineStr">
        <is>
          <t>14/04/2026</t>
        </is>
      </c>
      <c r="I10160" s="10" t="inlineStr">
        <is>
          <t>17/03/2026</t>
        </is>
      </c>
      <c r="J10160" s="10" t="inlineStr">
        <is>
          <t>Kế toán / Kiểm toán</t>
        </is>
      </c>
      <c r="K10160" s="10" t="inlineStr">
        <is>
          <t>2 - 5 Năm</t>
        </is>
      </c>
      <c r="L10160" s="11">
        <f>HYPERLINK("https://careerviet.vn/vi/tim-viec-lam/nhan-vien-ke-toan-accountant.35C6C950.html","Xem chi tiết")</f>
        <v/>
      </c>
      <c r="M10160" s="10" t="n"/>
    </row>
    <row r="10161">
      <c r="B10161" s="7" t="n">
        <v>10159</v>
      </c>
      <c r="C10161" t="inlineStr">
        <is>
          <t>HCM- NHÂN VIÊN KINH DOANH DỰ ÁN (15-40 TR)</t>
        </is>
      </c>
      <c r="D10161" t="inlineStr">
        <is>
          <t>CÔNG TY CỔ PHẦN TẬP ĐOÀN DEKKO</t>
        </is>
      </c>
      <c r="E10161" t="inlineStr">
        <is>
          <t>Lương:15 Tr - 40 Tr VND</t>
        </is>
      </c>
      <c r="F10161" t="inlineStr">
        <is>
          <t>Hồ Chí Minh</t>
        </is>
      </c>
      <c r="G10161" t="inlineStr">
        <is>
          <t>11-04-2026</t>
        </is>
      </c>
      <c r="H10161" t="inlineStr">
        <is>
          <t>11/04/2026</t>
        </is>
      </c>
      <c r="I10161" t="inlineStr">
        <is>
          <t>17/03/2026</t>
        </is>
      </c>
      <c r="J10161" t="inlineStr">
        <is>
          <t>Tiếp thị / Marketing, Bán lẻ / Bán sỉ, Bán hàng / Kinh doanh</t>
        </is>
      </c>
      <c r="K10161" t="inlineStr">
        <is>
          <t>1 - 2 Năm</t>
        </is>
      </c>
      <c r="L10161" s="8">
        <f>HYPERLINK("https://careerviet.vn/vi/tim-viec-lam/hcm-nhan-vien-kinh-doanh-du-an-15-40-tr.35C6C95C.html","Xem chi tiết")</f>
        <v/>
      </c>
    </row>
    <row r="10162">
      <c r="B10162" s="9" t="n">
        <v>10160</v>
      </c>
      <c r="C10162" s="10" t="inlineStr">
        <is>
          <t>Nhân viên chứng từ xuất nhập khẩu</t>
        </is>
      </c>
      <c r="D10162" s="10" t="inlineStr">
        <is>
          <t>Công ty TNHH Phân Phối Liên Kết Quốc Tế (ILD)</t>
        </is>
      </c>
      <c r="E10162" s="10" t="inlineStr">
        <is>
          <t>Lương:12 Tr - 14 Tr VND</t>
        </is>
      </c>
      <c r="F10162" s="10" t="inlineStr">
        <is>
          <t>Hồ Chí Minh</t>
        </is>
      </c>
      <c r="G10162" s="10" t="inlineStr">
        <is>
          <t>14-04-2026</t>
        </is>
      </c>
      <c r="H10162" s="10" t="inlineStr">
        <is>
          <t>14/04/2026</t>
        </is>
      </c>
      <c r="I10162" s="10" t="inlineStr">
        <is>
          <t>17/03/2026</t>
        </is>
      </c>
      <c r="J10162" s="10" t="inlineStr">
        <is>
          <t>Xuất nhập khẩu</t>
        </is>
      </c>
      <c r="K10162" s="10" t="inlineStr">
        <is>
          <t>1 - 2 Năm</t>
        </is>
      </c>
      <c r="L10162" s="11">
        <f>HYPERLINK("https://careerviet.vn/vi/tim-viec-lam/nhan-vien-chung-tu-xuat-nhap-khau.35C6C94C.html","Xem chi tiết")</f>
        <v/>
      </c>
      <c r="M10162" s="10" t="n"/>
    </row>
    <row r="10163">
      <c r="B10163" s="7" t="n">
        <v>10161</v>
      </c>
      <c r="C10163" t="inlineStr">
        <is>
          <t>Chuyên viên kiểm tra - soát xét hồ sơ dự án</t>
        </is>
      </c>
      <c r="D10163" t="inlineStr">
        <is>
          <t>Công Ty Cổ Phần Đức Mạnh</t>
        </is>
      </c>
      <c r="E10163" t="inlineStr">
        <is>
          <t>Lương:12 Tr - 15 Tr VND</t>
        </is>
      </c>
      <c r="F10163" t="inlineStr">
        <is>
          <t>Hồ Chí Minh</t>
        </is>
      </c>
      <c r="G10163" t="inlineStr">
        <is>
          <t>14-04-2026</t>
        </is>
      </c>
      <c r="H10163" t="inlineStr">
        <is>
          <t>14/04/2026</t>
        </is>
      </c>
      <c r="I10163" t="inlineStr">
        <is>
          <t>17/03/2026</t>
        </is>
      </c>
      <c r="J10163" t="inlineStr">
        <is>
          <t>Bất động sản</t>
        </is>
      </c>
      <c r="K10163" t="inlineStr">
        <is>
          <t>2 - 3 Năm</t>
        </is>
      </c>
      <c r="L10163" s="8">
        <f>HYPERLINK("https://careerviet.vn/vi/tim-viec-lam/chuyen-vien-kiem-tra-soat-xet-ho-so-du-an.35C6C953.html","Xem chi tiết")</f>
        <v/>
      </c>
    </row>
    <row r="10164">
      <c r="B10164" s="9" t="n">
        <v>10162</v>
      </c>
      <c r="C10164" s="10" t="inlineStr">
        <is>
          <t>Nhân viên theo dõi đơn hàng Sale Merchandiser</t>
        </is>
      </c>
      <c r="D10164" s="10" t="inlineStr">
        <is>
          <t>Công ty TNHH DH Textile</t>
        </is>
      </c>
      <c r="E10164" s="10" t="inlineStr">
        <is>
          <t>Lương:10 Tr - 20 Tr VND</t>
        </is>
      </c>
      <c r="F10164" s="10" t="inlineStr">
        <is>
          <t>Hồ Chí Minh</t>
        </is>
      </c>
      <c r="G10164" s="10" t="inlineStr">
        <is>
          <t>30-04-2026</t>
        </is>
      </c>
      <c r="H10164" s="10" t="inlineStr">
        <is>
          <t>30/04/2026</t>
        </is>
      </c>
      <c r="I10164" s="10" t="inlineStr">
        <is>
          <t>17/03/2026</t>
        </is>
      </c>
      <c r="J10164" s="10" t="inlineStr">
        <is>
          <t>Bán hàng / Kinh doanh, Dệt may / Da giày / Thời trang, Sản xuất / Vận hành sản xuất</t>
        </is>
      </c>
      <c r="K10164" s="10" t="inlineStr">
        <is>
          <t>2 - 5 Năm</t>
        </is>
      </c>
      <c r="L10164" s="11">
        <f>HYPERLINK("https://careerviet.vn/vi/tim-viec-lam/nhan-vien-theo-doi-don-hang-sale-merchandiser.35C6C949.html","Xem chi tiết")</f>
        <v/>
      </c>
      <c r="M10164" s="10" t="n"/>
    </row>
    <row r="10165">
      <c r="B10165" s="7" t="n">
        <v>10163</v>
      </c>
      <c r="C10165" t="inlineStr">
        <is>
          <t>Trợ lý Bán hàng - Sales Admin (7-10 triệu)</t>
        </is>
      </c>
      <c r="D10165" t="inlineStr">
        <is>
          <t>CÔNG TY TNHH THANH THÙY</t>
        </is>
      </c>
      <c r="E10165" t="inlineStr">
        <is>
          <t>Lương:7 Tr - 10 Tr VND</t>
        </is>
      </c>
      <c r="F10165" t="inlineStr">
        <is>
          <t>Hồ Chí Minh</t>
        </is>
      </c>
      <c r="G10165" t="inlineStr">
        <is>
          <t>30-04-2026</t>
        </is>
      </c>
      <c r="H10165" t="inlineStr">
        <is>
          <t>30/04/2026</t>
        </is>
      </c>
      <c r="I10165" t="inlineStr">
        <is>
          <t>17/03/2026</t>
        </is>
      </c>
      <c r="J10165" t="inlineStr">
        <is>
          <t>Bán hàng / Kinh doanh, Dịch vụ khách hàng, Hành chính / Thư ký</t>
        </is>
      </c>
      <c r="K10165" t="inlineStr">
        <is>
          <t>Chưa có kinh nghiệm</t>
        </is>
      </c>
      <c r="L10165" s="8">
        <f>HYPERLINK("https://careerviet.vn/vi/tim-viec-lam/tro-ly-ban-hang-sales-admin-7-10-trieu.35C6C664.html","Xem chi tiết")</f>
        <v/>
      </c>
    </row>
    <row r="10166">
      <c r="B10166" s="9" t="n">
        <v>10164</v>
      </c>
      <c r="C10166" s="10" t="inlineStr">
        <is>
          <t>Nhân viên kế toán thanh toán</t>
        </is>
      </c>
      <c r="D10166" s="10" t="inlineStr">
        <is>
          <t>CÔNG TY TNHH SẢN XUẤT VÀ THƯƠNG MẠI TRƯƠNG VUI</t>
        </is>
      </c>
      <c r="E10166" s="10" t="inlineStr">
        <is>
          <t>Lương:10 Tr - 12 Tr VND</t>
        </is>
      </c>
      <c r="F10166" s="10" t="inlineStr">
        <is>
          <t>Hồ Chí Minh</t>
        </is>
      </c>
      <c r="G10166" s="10" t="inlineStr">
        <is>
          <t>07-04-2026</t>
        </is>
      </c>
      <c r="H10166" s="10" t="inlineStr">
        <is>
          <t>07/04/2026</t>
        </is>
      </c>
      <c r="I10166" s="10" t="inlineStr">
        <is>
          <t>17/03/2026</t>
        </is>
      </c>
      <c r="J10166" s="10" t="inlineStr">
        <is>
          <t>Kế toán / Kiểm toán, Tài chính / Đầu tư</t>
        </is>
      </c>
      <c r="K10166" s="10" t="inlineStr">
        <is>
          <t>1 - 2 Năm</t>
        </is>
      </c>
      <c r="L10166" s="11">
        <f>HYPERLINK("https://careerviet.vn/vi/tim-viec-lam/nhan-vien-ke-toan-thanh-toan.35C67F62.html","Xem chi tiết")</f>
        <v/>
      </c>
      <c r="M10166" s="10" t="n"/>
    </row>
    <row r="10167">
      <c r="B10167" s="7" t="n">
        <v>10165</v>
      </c>
      <c r="C10167" t="inlineStr">
        <is>
          <t>CHUYÊN VIÊN TƯ VẤN HỆ THỐNG THÔNG TIN</t>
        </is>
      </c>
      <c r="D10167" t="inlineStr">
        <is>
          <t>CÔNG TY TNHH ĐIỆN KHÍ QUỐC QUANG (VIỆT NAM)</t>
        </is>
      </c>
      <c r="E10167" t="inlineStr">
        <is>
          <t>Lương:Cạnh tranh</t>
        </is>
      </c>
      <c r="F10167" t="inlineStr">
        <is>
          <t>Quảng Nam</t>
        </is>
      </c>
      <c r="G10167" t="inlineStr">
        <is>
          <t>30-04-2026</t>
        </is>
      </c>
      <c r="H10167" t="inlineStr">
        <is>
          <t>30/04/2026</t>
        </is>
      </c>
      <c r="I10167" t="inlineStr">
        <is>
          <t>17/03/2026</t>
        </is>
      </c>
      <c r="J10167" t="inlineStr">
        <is>
          <t>CNTT - Phần mềm, Thương mại điện tử</t>
        </is>
      </c>
      <c r="K10167" t="inlineStr">
        <is>
          <t>3 - 5 Năm</t>
        </is>
      </c>
      <c r="L10167" s="8">
        <f>HYPERLINK("https://careerviet.vn/vi/tim-viec-lam/chuyen-vien-tu-van-he-thong-thong-tin.35C6C94A.html","Xem chi tiết")</f>
        <v/>
      </c>
    </row>
    <row r="10168">
      <c r="B10168" s="9" t="n">
        <v>10166</v>
      </c>
      <c r="C10168" s="10" t="inlineStr">
        <is>
          <t>Chuyên viên Quản lý Hợp đồng</t>
        </is>
      </c>
      <c r="D10168" s="10" t="inlineStr">
        <is>
          <t>Công Ty Cổ Phần Cơ Khí Xây Dựng Thương Mại Đại Dũng</t>
        </is>
      </c>
      <c r="E10168" s="10" t="inlineStr">
        <is>
          <t>Lương:Cạnh tranh</t>
        </is>
      </c>
      <c r="F10168" s="10" t="inlineStr">
        <is>
          <t>Hồ Chí Minh</t>
        </is>
      </c>
      <c r="G10168" s="10" t="inlineStr">
        <is>
          <t>15-04-2026</t>
        </is>
      </c>
      <c r="H10168" s="10" t="inlineStr">
        <is>
          <t>15/04/2026</t>
        </is>
      </c>
      <c r="I10168" s="10" t="inlineStr">
        <is>
          <t>17/03/2026</t>
        </is>
      </c>
      <c r="J10168" s="10" t="inlineStr">
        <is>
          <t>Xây dựng, Luật / Pháp lý</t>
        </is>
      </c>
      <c r="K10168" s="10" t="inlineStr">
        <is>
          <t>3 - 5 Năm</t>
        </is>
      </c>
      <c r="L10168" s="11">
        <f>HYPERLINK("https://careerviet.vn/vi/tim-viec-lam/chuyen-vien-quan-ly-hop-dong.35C6C944.html","Xem chi tiết")</f>
        <v/>
      </c>
      <c r="M10168" s="10" t="n"/>
    </row>
    <row r="10169">
      <c r="B10169" s="7" t="n">
        <v>10167</v>
      </c>
      <c r="C10169" t="inlineStr">
        <is>
          <t>Sale Executive</t>
        </is>
      </c>
      <c r="D10169" t="inlineStr">
        <is>
          <t>CÔNG TY CỔ PHẦN GIẢI PHÁP CÔNG NGHỆ HQG</t>
        </is>
      </c>
      <c r="E10169" t="inlineStr">
        <is>
          <t>Lương:Cạnh tranh</t>
        </is>
      </c>
      <c r="F10169" t="inlineStr">
        <is>
          <t>Hà NộiHồ Chí Minh</t>
        </is>
      </c>
      <c r="G10169" t="inlineStr">
        <is>
          <t>30-04-2026</t>
        </is>
      </c>
      <c r="H10169" t="inlineStr">
        <is>
          <t>30/04/2026</t>
        </is>
      </c>
      <c r="I10169" t="inlineStr">
        <is>
          <t>17/03/2026</t>
        </is>
      </c>
      <c r="J10169" t="inlineStr">
        <is>
          <t>Bán hàng / Kinh doanh, CNTT - Phần mềm, CNTT - Phần cứng / Mạng</t>
        </is>
      </c>
      <c r="K10169" t="inlineStr">
        <is>
          <t>1 - 2 Năm</t>
        </is>
      </c>
      <c r="L10169" s="8">
        <f>HYPERLINK("https://careerviet.vn/vi/tim-viec-lam/sale-executive.35C6C96A.html","Xem chi tiết")</f>
        <v/>
      </c>
    </row>
    <row r="10170">
      <c r="B10170" s="9" t="n">
        <v>10168</v>
      </c>
      <c r="C10170" s="10" t="inlineStr">
        <is>
          <t>Medical Representative - Trình dược viên ETC</t>
        </is>
      </c>
      <c r="D10170" s="10" t="inlineStr">
        <is>
          <t>Công ty TNHH Bình Việt Đức (BIVID)</t>
        </is>
      </c>
      <c r="E10170" s="10" t="inlineStr">
        <is>
          <t>Lương:10 Tr - 15 Tr VND</t>
        </is>
      </c>
      <c r="F10170" s="10" t="inlineStr">
        <is>
          <t>Lâm ĐồngBình Thuận</t>
        </is>
      </c>
      <c r="G10170" s="10" t="inlineStr">
        <is>
          <t>14-04-2026</t>
        </is>
      </c>
      <c r="H10170" s="10" t="inlineStr">
        <is>
          <t>14/04/2026</t>
        </is>
      </c>
      <c r="I10170" s="10" t="inlineStr">
        <is>
          <t>17/03/2026</t>
        </is>
      </c>
      <c r="J10170" s="10" t="inlineStr">
        <is>
          <t>Bán hàng / Kinh doanh, Dược phẩm/ Hóa Mỹ Phẩm, Y tế / Chăm sóc sức khỏe / Thẩm mỹ / Làm đẹp</t>
        </is>
      </c>
      <c r="K10170" s="10" t="inlineStr">
        <is>
          <t>N/A</t>
        </is>
      </c>
      <c r="L10170" s="11">
        <f>HYPERLINK("https://careerviet.vn/vi/tim-viec-lam/medical-representative-trinh-duoc-vien-etc.35C6C959.html","Xem chi tiết")</f>
        <v/>
      </c>
      <c r="M10170" s="10" t="n"/>
    </row>
    <row r="10171">
      <c r="B10171" s="7" t="n">
        <v>10169</v>
      </c>
      <c r="C10171" t="inlineStr">
        <is>
          <t>Chuyên viên Marketing sản phẩm Tự động hóa</t>
        </is>
      </c>
      <c r="D10171" t="inlineStr">
        <is>
          <t>CÔNG TY CỔ PHẦN TẬP ĐOÀN DAT</t>
        </is>
      </c>
      <c r="E10171" t="inlineStr">
        <is>
          <t>Lương:18 Tr - 25 Tr VND</t>
        </is>
      </c>
      <c r="F10171" t="inlineStr">
        <is>
          <t>Hồ Chí Minh</t>
        </is>
      </c>
      <c r="G10171" t="inlineStr">
        <is>
          <t>13-05-2026</t>
        </is>
      </c>
      <c r="H10171" t="inlineStr">
        <is>
          <t>13/05/2026</t>
        </is>
      </c>
      <c r="I10171" t="inlineStr">
        <is>
          <t>17/03/2026</t>
        </is>
      </c>
      <c r="J10171" t="inlineStr">
        <is>
          <t>Tiếp thị / Marketing, Bán Hàng Kỹ Thuật, Cơ khí / Ô tô / Tự động hóa</t>
        </is>
      </c>
      <c r="K10171" t="inlineStr">
        <is>
          <t>1 - 3 Năm</t>
        </is>
      </c>
      <c r="L10171" s="8">
        <f>HYPERLINK("https://careerviet.vn/vi/tim-viec-lam/chuyen-vien-marketing-san-pham-tu-dong-hoa.35C6C945.html","Xem chi tiết")</f>
        <v/>
      </c>
    </row>
    <row r="10172">
      <c r="B10172" s="9" t="n">
        <v>10170</v>
      </c>
      <c r="C10172" s="10" t="inlineStr">
        <is>
          <t>Giám Sát Dự Án Hoàn Thiện - Nội Thất (dự án toàn quốc - đi công tác)</t>
        </is>
      </c>
      <c r="D10172" s="10" t="inlineStr">
        <is>
          <t>TTT Corporation</t>
        </is>
      </c>
      <c r="E10172" s="10" t="inlineStr">
        <is>
          <t>Lương:15 Tr - 25 Tr VND</t>
        </is>
      </c>
      <c r="F10172" s="10" t="inlineStr">
        <is>
          <t>Hà NộiHồ Chí MinhBắc Ninh</t>
        </is>
      </c>
      <c r="G10172" s="10" t="inlineStr">
        <is>
          <t>14-04-2026</t>
        </is>
      </c>
      <c r="H10172" s="10" t="inlineStr">
        <is>
          <t>14/04/2026</t>
        </is>
      </c>
      <c r="I10172" s="10" t="inlineStr">
        <is>
          <t>17/03/2026</t>
        </is>
      </c>
      <c r="J10172" s="10" t="inlineStr">
        <is>
          <t>Kiến trúc, Xây dựng, Nội ngoại thất</t>
        </is>
      </c>
      <c r="K10172" s="10" t="inlineStr">
        <is>
          <t>2 - 3 Năm</t>
        </is>
      </c>
      <c r="L10172" s="11">
        <f>HYPERLINK("https://careerviet.vn/vi/tim-viec-lam/giam-sat-du-an-hoan-thien-noi-that-du-an-toan-quoc-di-cong-tac.35C6C941.html","Xem chi tiết")</f>
        <v/>
      </c>
      <c r="M10172" s="10" t="n"/>
    </row>
    <row r="10173">
      <c r="B10173" s="7" t="n">
        <v>10171</v>
      </c>
      <c r="C10173" t="inlineStr">
        <is>
          <t>Kỹ sư QA QC</t>
        </is>
      </c>
      <c r="D10173" t="inlineStr">
        <is>
          <t>CÔNG TY CỔ PHẦN XÂY DỰNG VÀ ĐẦU TƯ GALAXY</t>
        </is>
      </c>
      <c r="E10173" t="inlineStr">
        <is>
          <t>Lương:15 Tr - 18 Tr VND</t>
        </is>
      </c>
      <c r="F10173" t="inlineStr">
        <is>
          <t>Hồ Chí Minh</t>
        </is>
      </c>
      <c r="G10173" t="inlineStr">
        <is>
          <t>31-03-2026</t>
        </is>
      </c>
      <c r="H10173" t="inlineStr">
        <is>
          <t>31/03/2026</t>
        </is>
      </c>
      <c r="I10173" t="inlineStr">
        <is>
          <t>17/03/2026</t>
        </is>
      </c>
      <c r="J10173" t="inlineStr">
        <is>
          <t>Xây dựng, Quản lý chất lượng (QA/QC), An toàn lao động</t>
        </is>
      </c>
      <c r="K10173" t="inlineStr">
        <is>
          <t>2 - 6 Năm</t>
        </is>
      </c>
      <c r="L10173" s="8">
        <f>HYPERLINK("https://careerviet.vn/vi/tim-viec-lam/ky-su-qa-qc.35C6C93C.html","Xem chi tiết")</f>
        <v/>
      </c>
    </row>
    <row r="10174">
      <c r="B10174" s="9" t="n">
        <v>10172</v>
      </c>
      <c r="C10174" s="10" t="inlineStr">
        <is>
          <t>GARMENT LOGISTICS STAFF</t>
        </is>
      </c>
      <c r="D10174" s="10" t="inlineStr">
        <is>
          <t>CÔNG TY TNHH NOBLAND VIỆT NAM</t>
        </is>
      </c>
      <c r="E10174" s="10" t="inlineStr">
        <is>
          <t>Lương:Trên 16 Tr VND</t>
        </is>
      </c>
      <c r="F10174" s="10" t="inlineStr">
        <is>
          <t>Hồ Chí Minh</t>
        </is>
      </c>
      <c r="G10174" s="10" t="inlineStr">
        <is>
          <t>30-04-2026</t>
        </is>
      </c>
      <c r="H10174" s="10" t="inlineStr">
        <is>
          <t>30/04/2026</t>
        </is>
      </c>
      <c r="I10174" s="10" t="inlineStr">
        <is>
          <t>17/03/2026</t>
        </is>
      </c>
      <c r="J10174" s="10" t="inlineStr">
        <is>
          <t>Xuất nhập khẩu, Dệt may / Da giày / Thời trang, Sản xuất / Vận hành sản xuất</t>
        </is>
      </c>
      <c r="K10174" s="10" t="inlineStr">
        <is>
          <t>1 - 5 Năm</t>
        </is>
      </c>
      <c r="L10174" s="11">
        <f>HYPERLINK("https://careerviet.vn/vi/tim-viec-lam/garment-logistics-staff.35C6C931.html","Xem chi tiết")</f>
        <v/>
      </c>
      <c r="M10174" s="10" t="n"/>
    </row>
    <row r="10175">
      <c r="B10175" s="7" t="n">
        <v>10173</v>
      </c>
      <c r="C10175" t="inlineStr">
        <is>
          <t>Trưởng phòng Kế hoạch Vật tư</t>
        </is>
      </c>
      <c r="D10175" t="inlineStr">
        <is>
          <t>CÔNG TY CP BIA &amp; NGK HẠ LONG</t>
        </is>
      </c>
      <c r="E10175" t="inlineStr">
        <is>
          <t>Lương:Cạnh tranh</t>
        </is>
      </c>
      <c r="F10175" t="inlineStr">
        <is>
          <t>Quảng Ninh</t>
        </is>
      </c>
      <c r="G10175" t="inlineStr">
        <is>
          <t>13-04-2026</t>
        </is>
      </c>
      <c r="H10175" t="inlineStr">
        <is>
          <t>13/04/2026</t>
        </is>
      </c>
      <c r="I10175" t="inlineStr">
        <is>
          <t>17/03/2026</t>
        </is>
      </c>
      <c r="J10175" t="inlineStr">
        <is>
          <t>Thu mua / Vật tư</t>
        </is>
      </c>
      <c r="K10175" t="inlineStr">
        <is>
          <t>3 - 5 Năm</t>
        </is>
      </c>
      <c r="L10175" s="8">
        <f>HYPERLINK("https://careerviet.vn/vi/tim-viec-lam/truong-phong-ke-hoach-vat-tu.35C6C92D.html","Xem chi tiết")</f>
        <v/>
      </c>
    </row>
    <row r="10176">
      <c r="B10176" s="9" t="n">
        <v>10174</v>
      </c>
      <c r="C10176" s="10" t="inlineStr">
        <is>
          <t>Kế Toán Tổng Hợp</t>
        </is>
      </c>
      <c r="D10176" s="10" t="inlineStr">
        <is>
          <t>CÔNG TY TNHH SẢN XUẤT VÀ THƯƠNG MẠI TRƯƠNG VUI</t>
        </is>
      </c>
      <c r="E10176" s="10" t="inlineStr">
        <is>
          <t>Lương:15 Tr - 17 Tr VND</t>
        </is>
      </c>
      <c r="F10176" s="10" t="inlineStr">
        <is>
          <t>Hồ Chí Minh</t>
        </is>
      </c>
      <c r="G10176" s="10" t="inlineStr">
        <is>
          <t>31-05-2026</t>
        </is>
      </c>
      <c r="H10176" s="10" t="inlineStr">
        <is>
          <t>31/05/2026</t>
        </is>
      </c>
      <c r="I10176" s="10" t="inlineStr">
        <is>
          <t>17/03/2026</t>
        </is>
      </c>
      <c r="J10176" s="10" t="inlineStr">
        <is>
          <t>Kế toán / Kiểm toán, Tài chính / Đầu tư</t>
        </is>
      </c>
      <c r="K10176" s="10" t="inlineStr">
        <is>
          <t>2 - 3 Năm</t>
        </is>
      </c>
      <c r="L10176" s="11">
        <f>HYPERLINK("https://careerviet.vn/vi/tim-viec-lam/ke-toan-tong-hop.35C6C942.html","Xem chi tiết")</f>
        <v/>
      </c>
      <c r="M10176" s="10" t="n"/>
    </row>
    <row r="10177">
      <c r="B10177" s="7" t="n">
        <v>10175</v>
      </c>
      <c r="C10177" t="inlineStr">
        <is>
          <t>TRADER LÀM VIỆC ONLINE</t>
        </is>
      </c>
      <c r="D10177" t="inlineStr">
        <is>
          <t>CÔNG TY CỔ PHẦN GIAO DỊCH HÀNG HÓA ĐÔNG NAM Á</t>
        </is>
      </c>
      <c r="E10177" t="inlineStr">
        <is>
          <t>Lương:Cạnh tranh</t>
        </is>
      </c>
      <c r="F10177" t="inlineStr">
        <is>
          <t>Hồ Chí Minh</t>
        </is>
      </c>
      <c r="G10177" t="inlineStr">
        <is>
          <t>31-03-2026</t>
        </is>
      </c>
      <c r="H10177" t="inlineStr">
        <is>
          <t>31/03/2026</t>
        </is>
      </c>
      <c r="I10177" t="inlineStr">
        <is>
          <t>17/03/2026</t>
        </is>
      </c>
      <c r="J10177" t="inlineStr">
        <is>
          <t>Tài chính / Đầu tư</t>
        </is>
      </c>
      <c r="K10177" t="inlineStr">
        <is>
          <t>Lên đến 1 Năm</t>
        </is>
      </c>
      <c r="L10177" s="8">
        <f>HYPERLINK("https://careerviet.vn/vi/tim-viec-lam/trader-lam-viec-online.35C6C936.html","Xem chi tiết")</f>
        <v/>
      </c>
    </row>
    <row r="10178">
      <c r="B10178" s="9" t="n">
        <v>10176</v>
      </c>
      <c r="C10178" s="10" t="inlineStr">
        <is>
          <t>KỸ THUẬT VIÊN KHÚC XẠ</t>
        </is>
      </c>
      <c r="D10178" s="10" t="inlineStr">
        <is>
          <t>CÔNG TY TNHH ĐẦU TƯ Y TẾ QUỐC TẾ DND – SÀI GÒN</t>
        </is>
      </c>
      <c r="E10178" s="10" t="inlineStr">
        <is>
          <t>Lương:Cạnh tranh</t>
        </is>
      </c>
      <c r="F10178" s="10" t="inlineStr">
        <is>
          <t>Hồ Chí Minh</t>
        </is>
      </c>
      <c r="G10178" s="10" t="inlineStr">
        <is>
          <t>30-04-2026</t>
        </is>
      </c>
      <c r="H10178" s="10" t="inlineStr">
        <is>
          <t>30/04/2026</t>
        </is>
      </c>
      <c r="I10178" s="10" t="inlineStr">
        <is>
          <t>17/03/2026</t>
        </is>
      </c>
      <c r="J10178" s="10" t="inlineStr">
        <is>
          <t>Y tế / Chăm sóc sức khỏe / Thẩm mỹ / Làm đẹp</t>
        </is>
      </c>
      <c r="K10178" s="10" t="inlineStr">
        <is>
          <t>N/A</t>
        </is>
      </c>
      <c r="L10178" s="11">
        <f>HYPERLINK("https://careerviet.vn/vi/tim-viec-lam/ky-thuat-vien-khuc-xa.35C6C92F.html","Xem chi tiết")</f>
        <v/>
      </c>
      <c r="M10178" s="10" t="n"/>
    </row>
    <row r="10179">
      <c r="B10179" s="7" t="n">
        <v>10177</v>
      </c>
      <c r="C10179" t="inlineStr">
        <is>
          <t>SALES ADMIN (BỆNH VIỆN MẮT QT DND SÀI GÒN) - đi làm ngay</t>
        </is>
      </c>
      <c r="D10179" t="inlineStr">
        <is>
          <t>CÔNG TY TNHH ĐẦU TƯ Y TẾ QUỐC TẾ DND – SÀI GÒN</t>
        </is>
      </c>
      <c r="E10179" t="inlineStr">
        <is>
          <t>Lương:10 Tr - 13 Tr VND</t>
        </is>
      </c>
      <c r="F10179" t="inlineStr">
        <is>
          <t>Hồ Chí Minh</t>
        </is>
      </c>
      <c r="G10179" t="inlineStr">
        <is>
          <t>30-04-2026</t>
        </is>
      </c>
      <c r="H10179" t="inlineStr">
        <is>
          <t>30/04/2026</t>
        </is>
      </c>
      <c r="I10179" t="inlineStr">
        <is>
          <t>17/03/2026</t>
        </is>
      </c>
      <c r="J10179" t="inlineStr">
        <is>
          <t>Bán hàng / Kinh doanh, Y tế / Chăm sóc sức khỏe / Thẩm mỹ / Làm đẹp, Dịch vụ khách hàng</t>
        </is>
      </c>
      <c r="K10179" t="inlineStr">
        <is>
          <t>Trên 2 Năm</t>
        </is>
      </c>
      <c r="L10179" s="8">
        <f>HYPERLINK("https://careerviet.vn/vi/tim-viec-lam/sales-admin-benh-vien-mat-qt-dnd-sai-gon-di-lam-ngay.35C6C92E.html","Xem chi tiết")</f>
        <v/>
      </c>
    </row>
    <row r="10180">
      <c r="B10180" s="9" t="n">
        <v>10178</v>
      </c>
      <c r="C10180" s="10" t="inlineStr">
        <is>
          <t>Nhân viên Quản lý ngân sách</t>
        </is>
      </c>
      <c r="D10180" s="10" t="inlineStr">
        <is>
          <t>Công Ty Cổ Phần Cơ Khí Xây Dựng Thương Mại Đại Dũng</t>
        </is>
      </c>
      <c r="E10180" s="10" t="inlineStr">
        <is>
          <t>Lương:Cạnh tranh</t>
        </is>
      </c>
      <c r="F10180" s="10" t="inlineStr">
        <is>
          <t>Hồ Chí Minh</t>
        </is>
      </c>
      <c r="G10180" s="10" t="inlineStr">
        <is>
          <t>15-04-2026</t>
        </is>
      </c>
      <c r="H10180" s="10" t="inlineStr">
        <is>
          <t>15/04/2026</t>
        </is>
      </c>
      <c r="I10180" s="10" t="inlineStr">
        <is>
          <t>17/03/2026</t>
        </is>
      </c>
      <c r="J10180" s="10" t="inlineStr">
        <is>
          <t>Xây dựng</t>
        </is>
      </c>
      <c r="K10180" s="10" t="inlineStr">
        <is>
          <t>3 - 5 Năm</t>
        </is>
      </c>
      <c r="L10180" s="11">
        <f>HYPERLINK("https://careerviet.vn/vi/tim-viec-lam/nhan-vien-quan-ly-ngan-sach.35C6C948.html","Xem chi tiết")</f>
        <v/>
      </c>
      <c r="M10180" s="10" t="n"/>
    </row>
    <row r="10181">
      <c r="B10181" s="7" t="n">
        <v>10179</v>
      </c>
      <c r="C10181" t="inlineStr">
        <is>
          <t>Trưởng ban Quản lý tòa nhà</t>
        </is>
      </c>
      <c r="D10181" t="inlineStr">
        <is>
          <t>CÔNG TY CP ĐẦU TƯ PHÁT TRIỂN TRÍ DƯƠNG</t>
        </is>
      </c>
      <c r="E10181" t="inlineStr">
        <is>
          <t>Lương:12 Tr - 18 Tr VND</t>
        </is>
      </c>
      <c r="F10181" t="inlineStr">
        <is>
          <t>Nghệ An</t>
        </is>
      </c>
      <c r="G10181" t="inlineStr">
        <is>
          <t>30-04-2026</t>
        </is>
      </c>
      <c r="H10181" t="inlineStr">
        <is>
          <t>30/04/2026</t>
        </is>
      </c>
      <c r="I10181" t="inlineStr">
        <is>
          <t>17/03/2026</t>
        </is>
      </c>
      <c r="J10181" t="inlineStr">
        <is>
          <t>Quản lý điều hành, Xây dựng, Bất động sản</t>
        </is>
      </c>
      <c r="K10181" t="inlineStr">
        <is>
          <t>Lên đến 10 Năm</t>
        </is>
      </c>
      <c r="L10181" s="8">
        <f>HYPERLINK("https://careerviet.vn/vi/tim-viec-lam/truong-ban-quan-ly-toa-nha.35C6C92B.html","Xem chi tiết")</f>
        <v/>
      </c>
    </row>
    <row r="10182">
      <c r="B10182" s="9" t="n">
        <v>10180</v>
      </c>
      <c r="C10182" s="10" t="inlineStr">
        <is>
          <t>Kế toán trưởng</t>
        </is>
      </c>
      <c r="D10182" s="10" t="inlineStr">
        <is>
          <t>Công ty TNHH Nesta</t>
        </is>
      </c>
      <c r="E10182" s="10" t="inlineStr">
        <is>
          <t>Lương:Lên đến 30 Tr VND</t>
        </is>
      </c>
      <c r="F10182" s="10" t="inlineStr">
        <is>
          <t>Hưng Yên</t>
        </is>
      </c>
      <c r="G10182" s="10" t="inlineStr">
        <is>
          <t>12-04-2026</t>
        </is>
      </c>
      <c r="H10182" s="10" t="inlineStr">
        <is>
          <t>12/04/2026</t>
        </is>
      </c>
      <c r="I10182" s="10" t="inlineStr">
        <is>
          <t>17/03/2026</t>
        </is>
      </c>
      <c r="J10182" s="10" t="inlineStr">
        <is>
          <t>Kế toán / Kiểm toán, Tài chính / Đầu tư, Xây dựng</t>
        </is>
      </c>
      <c r="K10182" s="10" t="inlineStr">
        <is>
          <t>3 - 5 Năm</t>
        </is>
      </c>
      <c r="L10182" s="11">
        <f>HYPERLINK("https://careerviet.vn/vi/tim-viec-lam/ke-toan-truong.35C65518.html","Xem chi tiết")</f>
        <v/>
      </c>
      <c r="M10182" s="10" t="n"/>
    </row>
    <row r="10183">
      <c r="B10183" s="7" t="n">
        <v>10181</v>
      </c>
      <c r="C10183" t="inlineStr">
        <is>
          <t>COORDINATOR (Test Assignment) - (Garment / Textile)</t>
        </is>
      </c>
      <c r="D10183" t="inlineStr">
        <is>
          <t>Chi nhánh CÔNG TY TNHH INTERTEK VIỆT NAM</t>
        </is>
      </c>
      <c r="E10183" t="inlineStr">
        <is>
          <t>Lương:Cạnh tranh</t>
        </is>
      </c>
      <c r="F10183" t="inlineStr">
        <is>
          <t>Hồ Chí Minh</t>
        </is>
      </c>
      <c r="G10183" t="inlineStr">
        <is>
          <t>12-04-2026</t>
        </is>
      </c>
      <c r="H10183" t="inlineStr">
        <is>
          <t>12/04/2026</t>
        </is>
      </c>
      <c r="I10183" t="inlineStr">
        <is>
          <t>17/03/2026</t>
        </is>
      </c>
      <c r="J10183" t="inlineStr">
        <is>
          <t>Hóa học, Dệt may / Da giày / Thời trang, Quản lý chất lượng (QA/QC)</t>
        </is>
      </c>
      <c r="K10183" t="inlineStr">
        <is>
          <t>Trên 2 Năm</t>
        </is>
      </c>
      <c r="L10183" s="8">
        <f>HYPERLINK("https://careerviet.vn/vi/tim-viec-lam/coordinator-test-assignment-garment-textile.35C65441.html","Xem chi tiết")</f>
        <v/>
      </c>
    </row>
    <row r="10184">
      <c r="B10184" s="9" t="n">
        <v>10182</v>
      </c>
      <c r="C10184" s="10" t="inlineStr">
        <is>
          <t>Đại diện Kinh Doanh ( tiếng Trung)</t>
        </is>
      </c>
      <c r="D10184" s="10" t="inlineStr">
        <is>
          <t>Ocean Coatings (Vietnam) Co. Ltd</t>
        </is>
      </c>
      <c r="E10184" s="10" t="inlineStr">
        <is>
          <t>Lương:15 Tr - 30 Tr VND</t>
        </is>
      </c>
      <c r="F10184" s="10" t="inlineStr">
        <is>
          <t>Đồng Nai</t>
        </is>
      </c>
      <c r="G10184" s="10" t="inlineStr">
        <is>
          <t>12-04-2026</t>
        </is>
      </c>
      <c r="H10184" s="10" t="inlineStr">
        <is>
          <t>12/04/2026</t>
        </is>
      </c>
      <c r="I10184" s="10" t="inlineStr">
        <is>
          <t>17/03/2026</t>
        </is>
      </c>
      <c r="J10184" s="10" t="inlineStr">
        <is>
          <t>Bán hàng / Kinh doanh, Hóa học, Mới tốt nghiệp / Thực tập</t>
        </is>
      </c>
      <c r="K10184" s="10" t="inlineStr">
        <is>
          <t>N/A</t>
        </is>
      </c>
      <c r="L10184" s="11">
        <f>HYPERLINK("https://careerviet.vn/vi/tim-viec-lam/dai-dien-kinh-doanh-tieng-trung.35C6538C.html","Xem chi tiết")</f>
        <v/>
      </c>
      <c r="M10184" s="10" t="n"/>
    </row>
    <row r="10185">
      <c r="B10185" s="7" t="n">
        <v>10183</v>
      </c>
      <c r="C10185" t="inlineStr">
        <is>
          <t>TRƯỞNG PHÒNG QUẢN LÝ DỰ ÁN</t>
        </is>
      </c>
      <c r="D10185" t="inlineStr">
        <is>
          <t>CTY TNHH WHISKYCOGNAC</t>
        </is>
      </c>
      <c r="E10185" t="inlineStr">
        <is>
          <t>Lương:25 Tr - 30 Tr VND</t>
        </is>
      </c>
      <c r="F10185" t="inlineStr">
        <is>
          <t>Hồ Chí Minh</t>
        </is>
      </c>
      <c r="G10185" t="inlineStr">
        <is>
          <t>30-04-2026</t>
        </is>
      </c>
      <c r="H10185" t="inlineStr">
        <is>
          <t>30/04/2026</t>
        </is>
      </c>
      <c r="I10185" t="inlineStr">
        <is>
          <t>17/03/2026</t>
        </is>
      </c>
      <c r="J10185" t="inlineStr">
        <is>
          <t>Kiến trúc, Xây dựng, Bất động sản</t>
        </is>
      </c>
      <c r="K10185" t="inlineStr">
        <is>
          <t>Trên 7 Năm</t>
        </is>
      </c>
      <c r="L10185" s="8">
        <f>HYPERLINK("https://careerviet.vn/vi/tim-viec-lam/truong-phong-quan-ly-du-an.35C6AAA1.html","Xem chi tiết")</f>
        <v/>
      </c>
    </row>
    <row r="10186">
      <c r="B10186" s="9" t="n">
        <v>10184</v>
      </c>
      <c r="C10186" s="10" t="inlineStr">
        <is>
          <t>Chuyên viên quản lý dự án</t>
        </is>
      </c>
      <c r="D10186" s="10" t="inlineStr">
        <is>
          <t>Công Ty Cổ Phần Cơ Khí Xây Dựng Thương Mại Đại Dũng</t>
        </is>
      </c>
      <c r="E10186" s="10" t="inlineStr">
        <is>
          <t>Lương:Cạnh tranh</t>
        </is>
      </c>
      <c r="F10186" s="10" t="inlineStr">
        <is>
          <t>Hồ Chí Minh</t>
        </is>
      </c>
      <c r="G10186" s="10" t="inlineStr">
        <is>
          <t>16-04-2026</t>
        </is>
      </c>
      <c r="H10186" s="10" t="inlineStr">
        <is>
          <t>16/04/2026</t>
        </is>
      </c>
      <c r="I10186" s="10" t="inlineStr">
        <is>
          <t>17/03/2026</t>
        </is>
      </c>
      <c r="J10186" s="10" t="inlineStr">
        <is>
          <t>Xây dựng</t>
        </is>
      </c>
      <c r="K10186" s="10" t="inlineStr">
        <is>
          <t>1 - 3 Năm</t>
        </is>
      </c>
      <c r="L10186" s="11">
        <f>HYPERLINK("https://careerviet.vn/vi/tim-viec-lam/chuyen-vien-quan-ly-du-an.35C6C939.html","Xem chi tiết")</f>
        <v/>
      </c>
      <c r="M10186" s="10" t="n"/>
    </row>
    <row r="10187">
      <c r="B10187" s="7" t="n">
        <v>10185</v>
      </c>
      <c r="C10187" t="inlineStr">
        <is>
          <t>[Hà Nội] CVCC/CVC Chính sách, Sản phẩm và Quản lý chuỗi- Khối Đầu tư và Khách hàng Doanh nghiệp lớn</t>
        </is>
      </c>
      <c r="D10187" t="inlineStr">
        <is>
          <t>Ngân Hàng TMCP Tiên Phong (TPBank)</t>
        </is>
      </c>
      <c r="E10187" t="inlineStr">
        <is>
          <t>Lương:Cạnh tranh</t>
        </is>
      </c>
      <c r="F10187" t="inlineStr">
        <is>
          <t>Hà Nội</t>
        </is>
      </c>
      <c r="G10187" t="inlineStr">
        <is>
          <t>12-04-2026</t>
        </is>
      </c>
      <c r="H10187" t="inlineStr">
        <is>
          <t>12/04/2026</t>
        </is>
      </c>
      <c r="I10187" t="inlineStr">
        <is>
          <t>17/03/2026</t>
        </is>
      </c>
      <c r="J10187" t="inlineStr">
        <is>
          <t>Ngân hàng, Tư vấn</t>
        </is>
      </c>
      <c r="K10187" t="inlineStr">
        <is>
          <t>1 - 3 Năm</t>
        </is>
      </c>
      <c r="L10187" s="8">
        <f>HYPERLINK("https://careerviet.vn/vi/tim-viec-lam/ha-noi-cvcc-cvc-chinh-sach-san-pham-va-quan-ly-chuoi-khoi-dau-tu-va-khach-hang-doanh-nghiep-lon.35C654F9.html","Xem chi tiết")</f>
        <v/>
      </c>
    </row>
    <row r="10188">
      <c r="B10188" s="9" t="n">
        <v>10186</v>
      </c>
      <c r="C10188" s="10" t="inlineStr">
        <is>
          <t>CHỈ HUY TRƯỞNG CÔNG TRÌNH - QUẢNG BÌNH</t>
        </is>
      </c>
      <c r="D10188" s="10" t="inlineStr">
        <is>
          <t>Công ty Cổ phần D&amp;D Engineering Construction</t>
        </is>
      </c>
      <c r="E10188" s="10" t="inlineStr">
        <is>
          <t>Lương:Cạnh tranh</t>
        </is>
      </c>
      <c r="F10188" s="10" t="inlineStr">
        <is>
          <t>Quảng Bình</t>
        </is>
      </c>
      <c r="G10188" s="10" t="inlineStr">
        <is>
          <t>12-04-2026</t>
        </is>
      </c>
      <c r="H10188" s="10" t="inlineStr">
        <is>
          <t>12/04/2026</t>
        </is>
      </c>
      <c r="I10188" s="10" t="inlineStr">
        <is>
          <t>17/03/2026</t>
        </is>
      </c>
      <c r="J10188" s="10" t="inlineStr">
        <is>
          <t>Kiến trúc, Xây dựng</t>
        </is>
      </c>
      <c r="K10188" s="10" t="inlineStr">
        <is>
          <t>Trên 5 Năm</t>
        </is>
      </c>
      <c r="L10188" s="11">
        <f>HYPERLINK("https://careerviet.vn/vi/tim-viec-lam/chi-huy-truong-cong-trinh-quang-binh.35C65464.html","Xem chi tiết")</f>
        <v/>
      </c>
      <c r="M10188" s="10" t="n"/>
    </row>
    <row r="10189">
      <c r="B10189" s="7" t="n">
        <v>10187</v>
      </c>
      <c r="C10189" t="inlineStr">
        <is>
          <t>[Hà Nội] Chuyên viên Trade Marketing</t>
        </is>
      </c>
      <c r="D10189" t="inlineStr">
        <is>
          <t>Tập Đoàn Tân Á Đại Thành</t>
        </is>
      </c>
      <c r="E10189" t="inlineStr">
        <is>
          <t>Lương:16 Tr - 18 Tr VND</t>
        </is>
      </c>
      <c r="F10189" t="inlineStr">
        <is>
          <t>Hà Nội</t>
        </is>
      </c>
      <c r="G10189" t="inlineStr">
        <is>
          <t>12-04-2026</t>
        </is>
      </c>
      <c r="H10189" t="inlineStr">
        <is>
          <t>12/04/2026</t>
        </is>
      </c>
      <c r="I10189" t="inlineStr">
        <is>
          <t>17/03/2026</t>
        </is>
      </c>
      <c r="J10189" t="inlineStr">
        <is>
          <t>Tiếp thị / Marketing</t>
        </is>
      </c>
      <c r="K10189" t="inlineStr">
        <is>
          <t>1 - 3 Năm</t>
        </is>
      </c>
      <c r="L10189" s="8">
        <f>HYPERLINK("https://careerviet.vn/vi/tim-viec-lam/ha-noi-chuyen-vien-trade-marketing.35C65462.html","Xem chi tiết")</f>
        <v/>
      </c>
    </row>
    <row r="10190">
      <c r="B10190" s="9" t="n">
        <v>10188</v>
      </c>
      <c r="C10190" s="10" t="inlineStr">
        <is>
          <t>Điều Dưỡng/ Hộ Sinh / Y Sĩ Lấy Máu Tại Chi Nhánh (Quận 4)</t>
        </is>
      </c>
      <c r="D10190" s="10" t="inlineStr">
        <is>
          <t>DIAG</t>
        </is>
      </c>
      <c r="E10190" s="10" t="inlineStr">
        <is>
          <t>Lương:11 Tr - 15 Tr VND</t>
        </is>
      </c>
      <c r="F10190" s="10" t="inlineStr">
        <is>
          <t>Hồ Chí Minh</t>
        </is>
      </c>
      <c r="G10190" s="10" t="inlineStr">
        <is>
          <t>12-04-2026</t>
        </is>
      </c>
      <c r="H10190" s="10" t="inlineStr">
        <is>
          <t>12/04/2026</t>
        </is>
      </c>
      <c r="I10190" s="10" t="inlineStr">
        <is>
          <t>17/03/2026</t>
        </is>
      </c>
      <c r="J10190" s="10" t="inlineStr">
        <is>
          <t>Dược phẩm/ Hóa Mỹ Phẩm, Y tế / Chăm sóc sức khỏe / Thẩm mỹ / Làm đẹp, Dịch vụ khách hàng</t>
        </is>
      </c>
      <c r="K10190" s="10" t="inlineStr">
        <is>
          <t>Lên đến 1 Năm</t>
        </is>
      </c>
      <c r="L10190" s="11">
        <f>HYPERLINK("https://careerviet.vn/vi/tim-viec-lam/dieu-duong-ho-sinh-y-si-lay-mau-tai-chi-nhanh-quan-4.35C65422.html","Xem chi tiết")</f>
        <v/>
      </c>
      <c r="M10190" s="10" t="n"/>
    </row>
    <row r="10191">
      <c r="B10191" s="7" t="n">
        <v>10189</v>
      </c>
      <c r="C10191" t="inlineStr">
        <is>
          <t>Nhân viên Cải tiến sản xuất</t>
        </is>
      </c>
      <c r="D10191" t="inlineStr">
        <is>
          <t>CÔNG TY CP BIA &amp; NGK HẠ LONG</t>
        </is>
      </c>
      <c r="E10191" t="inlineStr">
        <is>
          <t>Lương:Cạnh tranh</t>
        </is>
      </c>
      <c r="F10191" t="inlineStr">
        <is>
          <t>Quảng Ninh</t>
        </is>
      </c>
      <c r="G10191" t="inlineStr">
        <is>
          <t>13-04-2026</t>
        </is>
      </c>
      <c r="H10191" t="inlineStr">
        <is>
          <t>13/04/2026</t>
        </is>
      </c>
      <c r="I10191" t="inlineStr">
        <is>
          <t>17/03/2026</t>
        </is>
      </c>
      <c r="J10191" t="inlineStr">
        <is>
          <t>Công nghệ thực phẩm / Dinh dưỡng</t>
        </is>
      </c>
      <c r="K10191" t="inlineStr">
        <is>
          <t>1 - 3 Năm</t>
        </is>
      </c>
      <c r="L10191" s="8">
        <f>HYPERLINK("https://careerviet.vn/vi/tim-viec-lam/nhan-vien-cai-tien-san-xuat.35C6C932.html","Xem chi tiết")</f>
        <v/>
      </c>
    </row>
    <row r="10192">
      <c r="B10192" s="9" t="n">
        <v>10190</v>
      </c>
      <c r="C10192" s="10" t="inlineStr">
        <is>
          <t>Chuyên Viên Digital Marketing</t>
        </is>
      </c>
      <c r="D10192" s="10" t="inlineStr">
        <is>
          <t>Hoàng Huy Group</t>
        </is>
      </c>
      <c r="E10192" s="10" t="inlineStr">
        <is>
          <t>Lương:15 Tr - 18 Tr VND</t>
        </is>
      </c>
      <c r="F10192" s="10" t="inlineStr">
        <is>
          <t>Hà Nội</t>
        </is>
      </c>
      <c r="G10192" s="10" t="inlineStr">
        <is>
          <t>31-03-2026</t>
        </is>
      </c>
      <c r="H10192" s="10" t="inlineStr">
        <is>
          <t>31/03/2026</t>
        </is>
      </c>
      <c r="I10192" s="10" t="inlineStr">
        <is>
          <t>17/03/2026</t>
        </is>
      </c>
      <c r="J10192" s="10" t="inlineStr">
        <is>
          <t>Tiếp thị / Marketing, Tiếp thị trực tuyến</t>
        </is>
      </c>
      <c r="K10192" s="10" t="inlineStr">
        <is>
          <t>N/A</t>
        </is>
      </c>
      <c r="L10192" s="11">
        <f>HYPERLINK("https://careerviet.vn/vi/tim-viec-lam/chuyen-vien-digital-marketing.35C6C933.html","Xem chi tiết")</f>
        <v/>
      </c>
      <c r="M10192" s="10" t="n"/>
    </row>
    <row r="10193">
      <c r="B10193" s="7" t="n">
        <v>10191</v>
      </c>
      <c r="C10193" t="inlineStr">
        <is>
          <t>Kế toán trưởng</t>
        </is>
      </c>
      <c r="D10193" t="inlineStr">
        <is>
          <t>Bảo mật</t>
        </is>
      </c>
      <c r="E10193" t="inlineStr">
        <is>
          <t>Lương:Cạnh tranh</t>
        </is>
      </c>
      <c r="F10193" t="inlineStr">
        <is>
          <t>Hồ Chí Minh</t>
        </is>
      </c>
      <c r="G10193" t="inlineStr">
        <is>
          <t>12-04-2026</t>
        </is>
      </c>
      <c r="H10193" t="inlineStr">
        <is>
          <t>12/04/2026</t>
        </is>
      </c>
      <c r="I10193" t="inlineStr">
        <is>
          <t>17/03/2026</t>
        </is>
      </c>
      <c r="J10193" t="inlineStr">
        <is>
          <t>Kế toán / Kiểm toán, Ngân hàng, Sản xuất / Vận hành sản xuất</t>
        </is>
      </c>
      <c r="K10193" t="inlineStr">
        <is>
          <t>3 - 5 Năm</t>
        </is>
      </c>
      <c r="L10193" s="8">
        <f>HYPERLINK("https://careerviet.vn/vi/tim-viec-lam/ke-toan-truong.35C6542E.html","Xem chi tiết")</f>
        <v/>
      </c>
    </row>
    <row r="10194">
      <c r="B10194" s="9" t="n">
        <v>10192</v>
      </c>
      <c r="C10194" s="10" t="inlineStr">
        <is>
          <t>NHÂN VIÊN KỸ THUẬT CNC NỘI THẤT</t>
        </is>
      </c>
      <c r="D10194" s="10" t="inlineStr">
        <is>
          <t>CÔNG TY TNHH TƯ VẤN KIẾN TRÚC TLI HÀ NỘI</t>
        </is>
      </c>
      <c r="E10194" s="10" t="inlineStr">
        <is>
          <t>Lương:12 Tr - 16 Tr VND</t>
        </is>
      </c>
      <c r="F10194" s="10" t="inlineStr">
        <is>
          <t>Hà Nội</t>
        </is>
      </c>
      <c r="G10194" s="10" t="inlineStr">
        <is>
          <t>12-04-2026</t>
        </is>
      </c>
      <c r="H10194" s="10" t="inlineStr">
        <is>
          <t>12/04/2026</t>
        </is>
      </c>
      <c r="I10194" s="10" t="inlineStr">
        <is>
          <t>17/03/2026</t>
        </is>
      </c>
      <c r="J10194" s="10" t="inlineStr">
        <is>
          <t>Đồ gỗ, Kiến trúc, Nội ngoại thất</t>
        </is>
      </c>
      <c r="K10194" s="10" t="inlineStr">
        <is>
          <t>1 - 2 Năm</t>
        </is>
      </c>
      <c r="L10194" s="11">
        <f>HYPERLINK("https://careerviet.vn/vi/tim-viec-lam/nhan-vien-ky-thuat-cnc-noi-that.35C653C1.html","Xem chi tiết")</f>
        <v/>
      </c>
      <c r="M10194" s="10" t="n"/>
    </row>
    <row r="10195">
      <c r="B10195" s="7" t="n">
        <v>10193</v>
      </c>
      <c r="C10195" t="inlineStr">
        <is>
          <t>Project Specialist (Retail)</t>
        </is>
      </c>
      <c r="D10195" t="inlineStr">
        <is>
          <t>Công Ty CP Dược Phẩm Pharmacity</t>
        </is>
      </c>
      <c r="E10195" t="inlineStr">
        <is>
          <t>Lương:Cạnh tranh</t>
        </is>
      </c>
      <c r="F10195" t="inlineStr">
        <is>
          <t>Hồ Chí Minh</t>
        </is>
      </c>
      <c r="G10195" t="inlineStr">
        <is>
          <t>12-04-2026</t>
        </is>
      </c>
      <c r="H10195" t="inlineStr">
        <is>
          <t>12/04/2026</t>
        </is>
      </c>
      <c r="I10195" t="inlineStr">
        <is>
          <t>17/03/2026</t>
        </is>
      </c>
      <c r="J10195" t="inlineStr">
        <is>
          <t>Bán lẻ / Bán sỉ, Dược phẩm/ Hóa Mỹ Phẩm</t>
        </is>
      </c>
      <c r="K10195" t="inlineStr">
        <is>
          <t>1 - 3 Năm</t>
        </is>
      </c>
      <c r="L10195" s="8">
        <f>HYPERLINK("https://careerviet.vn/vi/tim-viec-lam/project-specialist-retail.35C65353.html","Xem chi tiết")</f>
        <v/>
      </c>
    </row>
    <row r="10196">
      <c r="B10196" s="9" t="n">
        <v>10194</v>
      </c>
      <c r="C10196" s="10" t="inlineStr">
        <is>
          <t>Sales and Procurement Manager/Staff  (Lào Cai, Thái Nguyên, Tuyên Quang, Phú Thọ ...)</t>
        </is>
      </c>
      <c r="D10196" s="10" t="inlineStr">
        <is>
          <t>CÔNG TY TNHH JOB HOUSE</t>
        </is>
      </c>
      <c r="E10196" s="10" t="inlineStr">
        <is>
          <t>Lương:20 Tr - 35 Tr VND</t>
        </is>
      </c>
      <c r="F10196" s="10" t="inlineStr">
        <is>
          <t>Tuyên QuangThái NguyênPhú Thọ</t>
        </is>
      </c>
      <c r="G10196" s="10" t="inlineStr">
        <is>
          <t>12-04-2026</t>
        </is>
      </c>
      <c r="H10196" s="10" t="inlineStr">
        <is>
          <t>12/04/2026</t>
        </is>
      </c>
      <c r="I10196" s="10" t="inlineStr">
        <is>
          <t>17/03/2026</t>
        </is>
      </c>
      <c r="J10196" s="10" t="inlineStr">
        <is>
          <t>Bán lẻ / Bán sỉ, Thu mua / Vật tư</t>
        </is>
      </c>
      <c r="K10196" s="10" t="inlineStr">
        <is>
          <t>3 - 5 Năm</t>
        </is>
      </c>
      <c r="L10196" s="11">
        <f>HYPERLINK("https://careerviet.vn/vi/tim-viec-lam/sales-and-procurement-manager-staff-lao-cai-thai-nguyen-tuyen-quang-phu-tho.35C654A9.html","Xem chi tiết")</f>
        <v/>
      </c>
      <c r="M10196" s="10" t="n"/>
    </row>
    <row r="10197">
      <c r="B10197" s="7" t="n">
        <v>10195</v>
      </c>
      <c r="C10197" t="inlineStr">
        <is>
          <t>Chuyên viên Marketing</t>
        </is>
      </c>
      <c r="D10197" t="inlineStr">
        <is>
          <t>CÔNG TY TNHH THANH THÙY</t>
        </is>
      </c>
      <c r="E10197" t="inlineStr">
        <is>
          <t>Lương:Cạnh tranh</t>
        </is>
      </c>
      <c r="F10197" t="inlineStr">
        <is>
          <t>Hồ Chí Minh</t>
        </is>
      </c>
      <c r="G10197" t="inlineStr">
        <is>
          <t>30-04-2026</t>
        </is>
      </c>
      <c r="H10197" t="inlineStr">
        <is>
          <t>30/04/2026</t>
        </is>
      </c>
      <c r="I10197" t="inlineStr">
        <is>
          <t>17/03/2026</t>
        </is>
      </c>
      <c r="J10197" t="inlineStr">
        <is>
          <t>Tiếp thị / Marketing, Bán hàng / Kinh doanh, Sản xuất / Vận hành sản xuất</t>
        </is>
      </c>
      <c r="K10197" t="inlineStr">
        <is>
          <t>2 - 3 Năm</t>
        </is>
      </c>
      <c r="L10197" s="8">
        <f>HYPERLINK("https://careerviet.vn/vi/tim-viec-lam/chuyen-vien-marketing.35C6C93F.html","Xem chi tiết")</f>
        <v/>
      </c>
    </row>
    <row r="10198">
      <c r="B10198" s="9" t="n">
        <v>10196</v>
      </c>
      <c r="C10198" s="10" t="inlineStr">
        <is>
          <t>CHUYÊN VIÊN TƯ VẤN ĐẦU TƯ KHCN (CẦN THƠ)</t>
        </is>
      </c>
      <c r="D10198" s="10" t="inlineStr">
        <is>
          <t>VDSC - Công ty CP Chứng khoán Rồng Việt</t>
        </is>
      </c>
      <c r="E10198" s="10" t="inlineStr">
        <is>
          <t>Lương:7 Tr - 20 Tr VND</t>
        </is>
      </c>
      <c r="F10198" s="10" t="inlineStr">
        <is>
          <t>Cần Thơ</t>
        </is>
      </c>
      <c r="G10198" s="10" t="inlineStr">
        <is>
          <t>12-04-2026</t>
        </is>
      </c>
      <c r="H10198" s="10" t="inlineStr">
        <is>
          <t>12/04/2026</t>
        </is>
      </c>
      <c r="I10198" s="10" t="inlineStr">
        <is>
          <t>17/03/2026</t>
        </is>
      </c>
      <c r="J10198" s="10" t="inlineStr">
        <is>
          <t>Ngân hàng, Chứng khoán, Tài chính / Đầu tư</t>
        </is>
      </c>
      <c r="K10198" s="10" t="inlineStr">
        <is>
          <t>Lên đến 1 Năm</t>
        </is>
      </c>
      <c r="L10198" s="11">
        <f>HYPERLINK("https://careerviet.vn/vi/tim-viec-lam/chuyen-vien-tu-van-dau-tu-khcn-can-tho.35C6550B.html","Xem chi tiết")</f>
        <v/>
      </c>
      <c r="M10198" s="10" t="n"/>
    </row>
    <row r="10199">
      <c r="B10199" s="7" t="n">
        <v>10197</v>
      </c>
      <c r="C10199" t="inlineStr">
        <is>
          <t>CV MÔI GIỚI BẤT ĐỘNG SẢN</t>
        </is>
      </c>
      <c r="D10199" t="inlineStr">
        <is>
          <t>TBS Land- Công ty Cổ Phần Đầu Tư Thái Bình</t>
        </is>
      </c>
      <c r="E10199" t="inlineStr">
        <is>
          <t>Lương:Cạnh tranh</t>
        </is>
      </c>
      <c r="F10199" t="inlineStr">
        <is>
          <t>Bình Dương</t>
        </is>
      </c>
      <c r="G10199" t="inlineStr">
        <is>
          <t>12-04-2026</t>
        </is>
      </c>
      <c r="H10199" t="inlineStr">
        <is>
          <t>12/04/2026</t>
        </is>
      </c>
      <c r="I10199" t="inlineStr">
        <is>
          <t>17/03/2026</t>
        </is>
      </c>
      <c r="J10199" t="inlineStr">
        <is>
          <t>Bất động sản</t>
        </is>
      </c>
      <c r="K10199" t="inlineStr">
        <is>
          <t>N/A</t>
        </is>
      </c>
      <c r="L10199" s="8">
        <f>HYPERLINK("https://careerviet.vn/vi/tim-viec-lam/cv-moi-gioi-bat-dong-san.35C653D9.html","Xem chi tiết")</f>
        <v/>
      </c>
    </row>
    <row r="10200">
      <c r="B10200" s="9" t="n">
        <v>10198</v>
      </c>
      <c r="C10200" s="10" t="inlineStr">
        <is>
          <t>Chuyên viên Kỹ thuật dự án (Mảng Nhôm kính)</t>
        </is>
      </c>
      <c r="D10200" s="10" t="inlineStr">
        <is>
          <t>CÔNG TY CỔ PHẦN THƯƠNG MẠI DỊCH VỤ XÂY DỰNG E&amp;C</t>
        </is>
      </c>
      <c r="E10200" s="10" t="inlineStr">
        <is>
          <t>Lương:15 Tr - 17 Tr VND</t>
        </is>
      </c>
      <c r="F10200" s="10" t="inlineStr">
        <is>
          <t>Hồ Chí Minh</t>
        </is>
      </c>
      <c r="G10200" s="10" t="inlineStr">
        <is>
          <t>12-04-2026</t>
        </is>
      </c>
      <c r="H10200" s="10" t="inlineStr">
        <is>
          <t>12/04/2026</t>
        </is>
      </c>
      <c r="I10200" s="10" t="inlineStr">
        <is>
          <t>17/03/2026</t>
        </is>
      </c>
      <c r="J10200" s="10" t="inlineStr">
        <is>
          <t>Sản xuất / Vận hành sản xuất, Kiến trúc, Xây dựng</t>
        </is>
      </c>
      <c r="K10200" s="10" t="inlineStr">
        <is>
          <t>2 - 3 Năm</t>
        </is>
      </c>
      <c r="L10200" s="11">
        <f>HYPERLINK("https://careerviet.vn/vi/tim-viec-lam/chuyen-vien-ky-thuat-du-an-mang-nhom-kinh.35C6532E.html","Xem chi tiết")</f>
        <v/>
      </c>
      <c r="M10200" s="10" t="n"/>
    </row>
    <row r="10201">
      <c r="B10201" s="7" t="n">
        <v>10199</v>
      </c>
      <c r="C10201" t="inlineStr">
        <is>
          <t>Nhân viên QC (kiểm soát nguyên vật liệu đầu vào)</t>
        </is>
      </c>
      <c r="D10201" t="inlineStr">
        <is>
          <t>CÔNG TY TNHH IN BAO BÌ TOÀN PHÁT</t>
        </is>
      </c>
      <c r="E10201" t="inlineStr">
        <is>
          <t>Lương:10 Tr - 13 Tr VND</t>
        </is>
      </c>
      <c r="F10201" t="inlineStr">
        <is>
          <t>Bình Dương</t>
        </is>
      </c>
      <c r="G10201" t="inlineStr">
        <is>
          <t>31-03-2026</t>
        </is>
      </c>
      <c r="H10201" t="inlineStr">
        <is>
          <t>31/03/2026</t>
        </is>
      </c>
      <c r="I10201" t="inlineStr">
        <is>
          <t>17/03/2026</t>
        </is>
      </c>
      <c r="J10201" t="inlineStr">
        <is>
          <t>Quản lý chất lượng (QA/QC), Thực phẩm &amp; Đồ uống, In ấn / Xuất bản</t>
        </is>
      </c>
      <c r="K10201" t="inlineStr">
        <is>
          <t>1 - 3 Năm</t>
        </is>
      </c>
      <c r="L10201" s="8">
        <f>HYPERLINK("https://careerviet.vn/vi/tim-viec-lam/nhan-vien-qc-kiem-soat-nguyen-vat-lieu-dau-vao.35C6A278.html","Xem chi tiết")</f>
        <v/>
      </c>
    </row>
    <row r="10202">
      <c r="B10202" s="9" t="n">
        <v>10200</v>
      </c>
      <c r="C10202" s="10" t="inlineStr">
        <is>
          <t>Trưởng phòng kinh doanh</t>
        </is>
      </c>
      <c r="D10202" s="10" t="inlineStr">
        <is>
          <t>CÔNG TY TNHH SẢN XUẤT THƯƠNG MẠI DỊCH VỤ ĐÁ NỮ HOÀNG</t>
        </is>
      </c>
      <c r="E10202" s="10" t="inlineStr">
        <is>
          <t>Lương:18 Tr - 20 Tr VND</t>
        </is>
      </c>
      <c r="F10202" s="10" t="inlineStr">
        <is>
          <t>Hồ Chí Minh</t>
        </is>
      </c>
      <c r="G10202" s="10" t="inlineStr">
        <is>
          <t>12-04-2026</t>
        </is>
      </c>
      <c r="H10202" s="10" t="inlineStr">
        <is>
          <t>12/04/2026</t>
        </is>
      </c>
      <c r="I10202" s="10" t="inlineStr">
        <is>
          <t>17/03/2026</t>
        </is>
      </c>
      <c r="J10202" s="10" t="inlineStr">
        <is>
          <t>Bán hàng / Kinh doanh, Kiến trúc, Xây dựng</t>
        </is>
      </c>
      <c r="K10202" s="10" t="inlineStr">
        <is>
          <t>Trên 3 Năm</t>
        </is>
      </c>
      <c r="L10202" s="11">
        <f>HYPERLINK("https://careerviet.vn/vi/tim-viec-lam/truong-phong-kinh-doanh.35C653AB.html","Xem chi tiết")</f>
        <v/>
      </c>
      <c r="M10202" s="10" t="n"/>
    </row>
    <row r="10203">
      <c r="B10203" s="7" t="n">
        <v>10201</v>
      </c>
      <c r="C10203" t="inlineStr">
        <is>
          <t>Sales Executive</t>
        </is>
      </c>
      <c r="D10203" t="inlineStr">
        <is>
          <t>Công Ty TNHH SML Việt Nam</t>
        </is>
      </c>
      <c r="E10203" t="inlineStr">
        <is>
          <t>Lương:Cạnh tranh</t>
        </is>
      </c>
      <c r="F10203" t="inlineStr">
        <is>
          <t>Bình Dương</t>
        </is>
      </c>
      <c r="G10203" t="inlineStr">
        <is>
          <t>08-04-2026</t>
        </is>
      </c>
      <c r="H10203" t="inlineStr">
        <is>
          <t>08/04/2026</t>
        </is>
      </c>
      <c r="I10203" t="inlineStr">
        <is>
          <t>17/03/2026</t>
        </is>
      </c>
      <c r="J10203" t="inlineStr">
        <is>
          <t>Bán hàng / Kinh doanh, Dệt may / Da giày / Thời trang, In ấn / Xuất bản</t>
        </is>
      </c>
      <c r="K10203" t="inlineStr">
        <is>
          <t>1 - 5 Năm</t>
        </is>
      </c>
      <c r="L10203" s="8">
        <f>HYPERLINK("https://careerviet.vn/vi/tim-viec-lam/sales-executive.35C6B69E.html","Xem chi tiết")</f>
        <v/>
      </c>
    </row>
    <row r="10204">
      <c r="B10204" s="9" t="n">
        <v>10202</v>
      </c>
      <c r="C10204" s="10" t="inlineStr">
        <is>
          <t>Head of Product (Air conditioner)</t>
        </is>
      </c>
      <c r="D10204" s="10" t="inlineStr">
        <is>
          <t>TCL (Vietnam) Corporation Limited</t>
        </is>
      </c>
      <c r="E10204" s="10" t="inlineStr">
        <is>
          <t>Lương:Cạnh tranh</t>
        </is>
      </c>
      <c r="F10204" s="10" t="inlineStr">
        <is>
          <t>Hồ Chí Minh</t>
        </is>
      </c>
      <c r="G10204" s="10" t="inlineStr">
        <is>
          <t>31-03-2026</t>
        </is>
      </c>
      <c r="H10204" s="10" t="inlineStr">
        <is>
          <t>31/03/2026</t>
        </is>
      </c>
      <c r="I10204" s="10" t="inlineStr">
        <is>
          <t>17/03/2026</t>
        </is>
      </c>
      <c r="J10204" s="10" t="inlineStr">
        <is>
          <t>Hàng gia dụng / Chăm sóc cá nhân, Bán hàng / Kinh doanh, Điện / Điện tử / Điện lạnh / Điện công nghiệp</t>
        </is>
      </c>
      <c r="K10204" s="10" t="inlineStr">
        <is>
          <t>Trên 3 Năm</t>
        </is>
      </c>
      <c r="L10204" s="11">
        <f>HYPERLINK("https://careerviet.vn/vi/tim-viec-lam/head-of-product-air-conditioner.35C6A288.html","Xem chi tiết")</f>
        <v/>
      </c>
      <c r="M10204" s="10" t="n"/>
    </row>
    <row r="10205">
      <c r="B10205" s="7" t="n">
        <v>10203</v>
      </c>
      <c r="C10205" t="inlineStr">
        <is>
          <t>Accountant Supervisor</t>
        </is>
      </c>
      <c r="D10205" t="inlineStr">
        <is>
          <t>Công Ty TNHH SML Việt Nam</t>
        </is>
      </c>
      <c r="E10205" t="inlineStr">
        <is>
          <t>Lương:Cạnh tranh</t>
        </is>
      </c>
      <c r="F10205" t="inlineStr">
        <is>
          <t>Bình Dương</t>
        </is>
      </c>
      <c r="G10205" t="inlineStr">
        <is>
          <t>08-04-2026</t>
        </is>
      </c>
      <c r="H10205" t="inlineStr">
        <is>
          <t>08/04/2026</t>
        </is>
      </c>
      <c r="I10205" t="inlineStr">
        <is>
          <t>17/03/2026</t>
        </is>
      </c>
      <c r="J10205" t="inlineStr">
        <is>
          <t>Kế toán / Kiểm toán, Tài chính / Đầu tư, Dệt may / Da giày / Thời trang</t>
        </is>
      </c>
      <c r="K10205" t="inlineStr">
        <is>
          <t>5 - 10 Năm</t>
        </is>
      </c>
      <c r="L10205" s="8">
        <f>HYPERLINK("https://careerviet.vn/vi/tim-viec-lam/accountant-supervisor.35C6B69B.html","Xem chi tiết")</f>
        <v/>
      </c>
    </row>
    <row r="10206">
      <c r="B10206" s="9" t="n">
        <v>10204</v>
      </c>
      <c r="C10206" s="10" t="inlineStr">
        <is>
          <t>Warehouse Manager</t>
        </is>
      </c>
      <c r="D10206" s="10" t="inlineStr">
        <is>
          <t>Công Ty TNHH Taisun Việt Nam</t>
        </is>
      </c>
      <c r="E10206" s="10" t="inlineStr">
        <is>
          <t>Lương:Cạnh tranh</t>
        </is>
      </c>
      <c r="F10206" s="10" t="inlineStr">
        <is>
          <t>Hồ Chí Minh</t>
        </is>
      </c>
      <c r="G10206" s="10" t="inlineStr">
        <is>
          <t>08-04-2026</t>
        </is>
      </c>
      <c r="H10206" s="10" t="inlineStr">
        <is>
          <t>08/04/2026</t>
        </is>
      </c>
      <c r="I10206" s="10" t="inlineStr">
        <is>
          <t>17/03/2026</t>
        </is>
      </c>
      <c r="J10206" s="10" t="inlineStr">
        <is>
          <t>Vận chuyển / Giao nhận / Kho vận, Bán hàng / Kinh doanh, Kế toán / Kiểm toán</t>
        </is>
      </c>
      <c r="K10206" s="10" t="inlineStr">
        <is>
          <t>5 - 8 Năm</t>
        </is>
      </c>
      <c r="L10206" s="11">
        <f>HYPERLINK("https://careerviet.vn/vi/tim-viec-lam/warehouse-manager.35C6B69A.html","Xem chi tiết")</f>
        <v/>
      </c>
      <c r="M10206" s="10" t="n"/>
    </row>
    <row r="10207">
      <c r="B10207" s="7" t="n">
        <v>10205</v>
      </c>
      <c r="C10207" t="inlineStr">
        <is>
          <t>Kỹ thuật viên kiểm tra sử dụng | Củ Chi</t>
        </is>
      </c>
      <c r="D10207" t="inlineStr">
        <is>
          <t>Techtronic Industries Vietnam Manufacturing Company Limited</t>
        </is>
      </c>
      <c r="E10207" t="inlineStr">
        <is>
          <t>Lương:Cạnh tranh</t>
        </is>
      </c>
      <c r="F10207" t="inlineStr">
        <is>
          <t>Hồ Chí Minh</t>
        </is>
      </c>
      <c r="G10207" t="inlineStr">
        <is>
          <t>05-05-2026</t>
        </is>
      </c>
      <c r="H10207" t="inlineStr">
        <is>
          <t>05/05/2026</t>
        </is>
      </c>
      <c r="I10207" t="inlineStr">
        <is>
          <t>17/03/2026</t>
        </is>
      </c>
      <c r="J10207" t="inlineStr">
        <is>
          <t>Quản lý chất lượng (QA/QC), Điện / Điện tử / Điện lạnh / Điện công nghiệp, Bảo trì / Sửa chữa</t>
        </is>
      </c>
      <c r="K10207" t="inlineStr">
        <is>
          <t>1 - 3 Năm</t>
        </is>
      </c>
      <c r="L10207" s="8">
        <f>HYPERLINK("https://careerviet.vn/vi/tim-viec-lam/ky-thuat-vien-kiem-tra-su-dung-cu-chi.35C6B681.html","Xem chi tiết")</f>
        <v/>
      </c>
    </row>
    <row r="10208">
      <c r="B10208" s="9" t="n">
        <v>10206</v>
      </c>
      <c r="C10208" s="10" t="inlineStr">
        <is>
          <t>Quản lý Phân phối Trái Cây Nội địa (Domestic Fruit Distribution Manager)</t>
        </is>
      </c>
      <c r="D10208" s="10" t="inlineStr">
        <is>
          <t>Vantage Logistics Corporation</t>
        </is>
      </c>
      <c r="E10208" s="10" t="inlineStr">
        <is>
          <t>Lương:Cạnh tranh</t>
        </is>
      </c>
      <c r="F10208" s="10" t="inlineStr">
        <is>
          <t>Hồ Chí Minh</t>
        </is>
      </c>
      <c r="G10208" s="10" t="inlineStr">
        <is>
          <t>12-04-2026</t>
        </is>
      </c>
      <c r="H10208" s="10" t="inlineStr">
        <is>
          <t>12/04/2026</t>
        </is>
      </c>
      <c r="I10208" s="10" t="inlineStr">
        <is>
          <t>17/03/2026</t>
        </is>
      </c>
      <c r="J10208" s="10" t="inlineStr">
        <is>
          <t>Bán hàng / Kinh doanh, Xuất nhập khẩu, Nông nghiệp</t>
        </is>
      </c>
      <c r="K10208" s="10" t="inlineStr">
        <is>
          <t>3 - 5 Năm</t>
        </is>
      </c>
      <c r="L10208" s="11">
        <f>HYPERLINK("https://careerviet.vn/vi/tim-viec-lam/quan-ly-phan-phoi-trai-cay-noi-dia-domestic-fruit-distribution-manager.35C6542F.html","Xem chi tiết")</f>
        <v/>
      </c>
      <c r="M10208" s="10" t="n"/>
    </row>
    <row r="10209">
      <c r="B10209" s="7" t="n">
        <v>10207</v>
      </c>
      <c r="C10209" t="inlineStr">
        <is>
          <t>Thợ in Offset (Trưởng/ Phụ Máy)</t>
        </is>
      </c>
      <c r="D10209" t="inlineStr">
        <is>
          <t>Công Ty TNHH SML Việt Nam</t>
        </is>
      </c>
      <c r="E10209" t="inlineStr">
        <is>
          <t>Lương:Cạnh tranh</t>
        </is>
      </c>
      <c r="F10209" t="inlineStr">
        <is>
          <t>Bình Dương</t>
        </is>
      </c>
      <c r="G10209" t="inlineStr">
        <is>
          <t>08-04-2026</t>
        </is>
      </c>
      <c r="H10209" t="inlineStr">
        <is>
          <t>08/04/2026</t>
        </is>
      </c>
      <c r="I10209" t="inlineStr">
        <is>
          <t>17/03/2026</t>
        </is>
      </c>
      <c r="J10209" t="inlineStr">
        <is>
          <t>In ấn / Xuất bản</t>
        </is>
      </c>
      <c r="K10209" t="inlineStr">
        <is>
          <t>1 - 8 Năm</t>
        </is>
      </c>
      <c r="L10209" s="8">
        <f>HYPERLINK("https://careerviet.vn/vi/tim-viec-lam/tho-in-offset-truong-phu-may.35C6B69F.html","Xem chi tiết")</f>
        <v/>
      </c>
    </row>
    <row r="10210">
      <c r="B10210" s="9" t="n">
        <v>10208</v>
      </c>
      <c r="C10210" s="10" t="inlineStr">
        <is>
          <t>Chuyên viên Kế toán tổng hợp nội bộ</t>
        </is>
      </c>
      <c r="D10210" s="10" t="inlineStr">
        <is>
          <t>CÔNG TY CỔ PHẦN CÔNG NGHỆ VÀ THƯƠNG MẠI SYSTECH</t>
        </is>
      </c>
      <c r="E10210" s="10" t="inlineStr">
        <is>
          <t>Lương:15 Tr - 22 Tr VND</t>
        </is>
      </c>
      <c r="F10210" s="10" t="inlineStr">
        <is>
          <t>Hà Nội</t>
        </is>
      </c>
      <c r="G10210" s="10" t="inlineStr">
        <is>
          <t>31-03-2026</t>
        </is>
      </c>
      <c r="H10210" s="10" t="inlineStr">
        <is>
          <t>31/03/2026</t>
        </is>
      </c>
      <c r="I10210" s="10" t="inlineStr">
        <is>
          <t>17/03/2026</t>
        </is>
      </c>
      <c r="J10210" s="10" t="inlineStr">
        <is>
          <t>Kế toán / Kiểm toán, Tài chính / Đầu tư</t>
        </is>
      </c>
      <c r="K10210" s="10" t="inlineStr">
        <is>
          <t>3 - 5 Năm</t>
        </is>
      </c>
      <c r="L10210" s="11">
        <f>HYPERLINK("https://careerviet.vn/vi/tim-viec-lam/chuyen-vien-ke-toan-tong-hop-noi-bo.35C6B680.html","Xem chi tiết")</f>
        <v/>
      </c>
      <c r="M10210" s="10" t="n"/>
    </row>
    <row r="10211">
      <c r="B10211" s="7" t="n">
        <v>10209</v>
      </c>
      <c r="C10211" t="inlineStr">
        <is>
          <t>TUYỂN DỤNG ĐIỀU HÀNH TOUR BIỂN – NHA TRANG</t>
        </is>
      </c>
      <c r="D10211" t="inlineStr">
        <is>
          <t>Holiday Diving</t>
        </is>
      </c>
      <c r="E10211" t="inlineStr">
        <is>
          <t>Lương:7 Tr - 15 Tr VND</t>
        </is>
      </c>
      <c r="F10211" t="inlineStr">
        <is>
          <t>Khánh Hòa</t>
        </is>
      </c>
      <c r="G10211" t="inlineStr">
        <is>
          <t>04-04-2026</t>
        </is>
      </c>
      <c r="H10211" t="inlineStr">
        <is>
          <t>04/04/2026</t>
        </is>
      </c>
      <c r="I10211" t="inlineStr">
        <is>
          <t>17/03/2026</t>
        </is>
      </c>
      <c r="J10211" t="inlineStr">
        <is>
          <t>Du lịch</t>
        </is>
      </c>
      <c r="K10211" t="inlineStr">
        <is>
          <t>1 - 5 Năm</t>
        </is>
      </c>
      <c r="L10211" s="8">
        <f>HYPERLINK("https://careerviet.vn/vi/tim-viec-lam/tuyen-dung-dieu-hanh-tour-bien-nha-trang.35C6B5F5.html","Xem chi tiết")</f>
        <v/>
      </c>
    </row>
    <row r="10212">
      <c r="B10212" s="9" t="n">
        <v>10210</v>
      </c>
      <c r="C10212" s="10" t="inlineStr">
        <is>
          <t>Telesales / Phát triển thị trường</t>
        </is>
      </c>
      <c r="D10212" s="10" t="inlineStr">
        <is>
          <t>CÔNG TY TNHH GRANFORD</t>
        </is>
      </c>
      <c r="E10212" s="10" t="inlineStr">
        <is>
          <t>Lương:7 Tr - 15 Tr VND</t>
        </is>
      </c>
      <c r="F10212" s="10" t="inlineStr">
        <is>
          <t>Hồ Chí Minh</t>
        </is>
      </c>
      <c r="G10212" s="10" t="inlineStr">
        <is>
          <t>31-05-2026</t>
        </is>
      </c>
      <c r="H10212" s="10" t="inlineStr">
        <is>
          <t>31/05/2026</t>
        </is>
      </c>
      <c r="I10212" s="10" t="inlineStr">
        <is>
          <t>17/03/2026</t>
        </is>
      </c>
      <c r="J10212" s="10" t="inlineStr">
        <is>
          <t>Tiếp thị / Marketing, Bán hàng / Kinh doanh, Dịch vụ khách hàng</t>
        </is>
      </c>
      <c r="K10212" s="10" t="inlineStr">
        <is>
          <t>N/A</t>
        </is>
      </c>
      <c r="L10212" s="11">
        <f>HYPERLINK("https://careerviet.vn/vi/tim-viec-lam/telesales-phat-trien-thi-truong.35C6B66B.html","Xem chi tiết")</f>
        <v/>
      </c>
      <c r="M10212" s="10" t="n"/>
    </row>
    <row r="10213">
      <c r="B10213" s="7" t="n">
        <v>10211</v>
      </c>
      <c r="C10213" t="inlineStr">
        <is>
          <t>Chuyên viên Hành chính Nhân sự (HR &amp; Admin Officer)</t>
        </is>
      </c>
      <c r="D10213" t="inlineStr">
        <is>
          <t>CÔNG TY TNHH BOKA CRAFT</t>
        </is>
      </c>
      <c r="E10213" t="inlineStr">
        <is>
          <t>Lương:Cạnh tranh</t>
        </is>
      </c>
      <c r="F10213" t="inlineStr">
        <is>
          <t>Long An</t>
        </is>
      </c>
      <c r="G10213" t="inlineStr">
        <is>
          <t>30-03-2026</t>
        </is>
      </c>
      <c r="H10213" t="inlineStr">
        <is>
          <t>30/03/2026</t>
        </is>
      </c>
      <c r="I10213" t="inlineStr">
        <is>
          <t>17/03/2026</t>
        </is>
      </c>
      <c r="J10213" t="inlineStr">
        <is>
          <t>Nhân sự, Hành chính / Thư ký, Luật / Pháp lý</t>
        </is>
      </c>
      <c r="K10213" t="inlineStr">
        <is>
          <t>1 - 10 Năm</t>
        </is>
      </c>
      <c r="L10213" s="8">
        <f>HYPERLINK("https://careerviet.vn/vi/tim-viec-lam/chuyen-vien-hanh-chinh-nhan-su-hr-admin-officer.35C6B68F.html","Xem chi tiết")</f>
        <v/>
      </c>
    </row>
    <row r="10214">
      <c r="B10214" s="9" t="n">
        <v>10212</v>
      </c>
      <c r="C10214" s="10" t="inlineStr">
        <is>
          <t>Warehouse Supervisor</t>
        </is>
      </c>
      <c r="D10214" s="10" t="inlineStr">
        <is>
          <t>Công ty TNHH Olam Việt Nam</t>
        </is>
      </c>
      <c r="E10214" s="10" t="inlineStr">
        <is>
          <t>Lương:Cạnh tranh</t>
        </is>
      </c>
      <c r="F10214" s="10" t="inlineStr">
        <is>
          <t>Đồng Nai</t>
        </is>
      </c>
      <c r="G10214" s="10" t="inlineStr">
        <is>
          <t>08-04-2026</t>
        </is>
      </c>
      <c r="H10214" s="10" t="inlineStr">
        <is>
          <t>08/04/2026</t>
        </is>
      </c>
      <c r="I10214" s="10" t="inlineStr">
        <is>
          <t>17/03/2026</t>
        </is>
      </c>
      <c r="J10214" s="10" t="inlineStr">
        <is>
          <t>Vận chuyển / Giao nhận / Kho vận, Sản xuất / Vận hành sản xuất, Công nghệ thực phẩm / Dinh dưỡng</t>
        </is>
      </c>
      <c r="K10214" s="10" t="inlineStr">
        <is>
          <t>2 - 5 Năm</t>
        </is>
      </c>
      <c r="L10214" s="11">
        <f>HYPERLINK("https://careerviet.vn/vi/tim-viec-lam/warehouse-supervisor.35C6B687.html","Xem chi tiết")</f>
        <v/>
      </c>
      <c r="M10214" s="10" t="n"/>
    </row>
    <row r="10215">
      <c r="B10215" s="7" t="n">
        <v>10213</v>
      </c>
      <c r="C10215" t="inlineStr">
        <is>
          <t>Nhân viên phát triển sản phẩm/ PD Executive</t>
        </is>
      </c>
      <c r="D10215" t="inlineStr">
        <is>
          <t>Công Ty TNHH SML Việt Nam</t>
        </is>
      </c>
      <c r="E10215" t="inlineStr">
        <is>
          <t>Lương:Cạnh tranh</t>
        </is>
      </c>
      <c r="F10215" t="inlineStr">
        <is>
          <t>Bình Dương</t>
        </is>
      </c>
      <c r="G10215" t="inlineStr">
        <is>
          <t>08-04-2026</t>
        </is>
      </c>
      <c r="H10215" t="inlineStr">
        <is>
          <t>08/04/2026</t>
        </is>
      </c>
      <c r="I10215" t="inlineStr">
        <is>
          <t>17/03/2026</t>
        </is>
      </c>
      <c r="J10215" t="inlineStr">
        <is>
          <t>Dệt may / Da giày / Thời trang, In ấn / Xuất bản</t>
        </is>
      </c>
      <c r="K10215" t="inlineStr">
        <is>
          <t>Không yêu cầu kinh nghiệm</t>
        </is>
      </c>
      <c r="L10215" s="8">
        <f>HYPERLINK("https://careerviet.vn/vi/tim-viec-lam/nhan-vien-phat-trien-san-pham-pd-executive.35C6B699.html","Xem chi tiết")</f>
        <v/>
      </c>
    </row>
    <row r="10216">
      <c r="B10216" s="9" t="n">
        <v>10214</v>
      </c>
      <c r="C10216" s="10" t="inlineStr">
        <is>
          <t>(Senior) Marketing Content Specialist</t>
        </is>
      </c>
      <c r="D10216" s="10" t="inlineStr">
        <is>
          <t>HSC - Chứng Khoán Thành Phố Hồ Chí Minh</t>
        </is>
      </c>
      <c r="E10216" s="10" t="inlineStr">
        <is>
          <t>Lương:Cạnh tranh</t>
        </is>
      </c>
      <c r="F10216" s="10" t="inlineStr">
        <is>
          <t>Hồ Chí Minh</t>
        </is>
      </c>
      <c r="G10216" s="10" t="inlineStr">
        <is>
          <t>11-04-2026</t>
        </is>
      </c>
      <c r="H10216" s="10" t="inlineStr">
        <is>
          <t>11/04/2026</t>
        </is>
      </c>
      <c r="I10216" s="10" t="inlineStr">
        <is>
          <t>17/03/2026</t>
        </is>
      </c>
      <c r="J10216" s="10" t="inlineStr">
        <is>
          <t>Tiếp thị / Marketing</t>
        </is>
      </c>
      <c r="K10216" s="10" t="inlineStr">
        <is>
          <t>3 - 7 Năm</t>
        </is>
      </c>
      <c r="L10216" s="11">
        <f>HYPERLINK("https://careerviet.vn/vi/tim-viec-lam/senior-marketing-content-specialist.35C6B689.html","Xem chi tiết")</f>
        <v/>
      </c>
      <c r="M10216" s="10" t="n"/>
    </row>
    <row r="10217">
      <c r="B10217" s="7" t="n">
        <v>10215</v>
      </c>
      <c r="C10217" t="inlineStr">
        <is>
          <t>Chuyên viên Brand Marketing</t>
        </is>
      </c>
      <c r="D10217" t="inlineStr">
        <is>
          <t>CÔNG TY TNHH THƯƠNG MẠI VÀ DỊCH VỤ TALAD THAI</t>
        </is>
      </c>
      <c r="E10217" t="inlineStr">
        <is>
          <t>Lương:9 Tr - 12 Tr VND</t>
        </is>
      </c>
      <c r="F10217" t="inlineStr">
        <is>
          <t>Đà Nẵng</t>
        </is>
      </c>
      <c r="G10217" t="inlineStr">
        <is>
          <t>31-03-2026</t>
        </is>
      </c>
      <c r="H10217" t="inlineStr">
        <is>
          <t>31/03/2026</t>
        </is>
      </c>
      <c r="I10217" t="inlineStr">
        <is>
          <t>17/03/2026</t>
        </is>
      </c>
      <c r="J10217" t="inlineStr">
        <is>
          <t>Tiếp thị / Marketing</t>
        </is>
      </c>
      <c r="K10217" t="inlineStr">
        <is>
          <t>1 - 2 Năm</t>
        </is>
      </c>
      <c r="L10217" s="8">
        <f>HYPERLINK("https://careerviet.vn/vi/tim-viec-lam/chuyen-vien-brand-marketing.35C6B683.html","Xem chi tiết")</f>
        <v/>
      </c>
    </row>
    <row r="10218">
      <c r="B10218" s="9" t="n">
        <v>10216</v>
      </c>
      <c r="C10218" s="10" t="inlineStr">
        <is>
          <t>Kế toán trưởng sản xuất</t>
        </is>
      </c>
      <c r="D10218" s="10" t="inlineStr">
        <is>
          <t>CÔNG TY CỔ PHẦN CÔNG NGHỆ VÀ THƯƠNG MẠI SYSTECH</t>
        </is>
      </c>
      <c r="E10218" s="10" t="inlineStr">
        <is>
          <t>Lương:20 Tr - 30 Tr VND</t>
        </is>
      </c>
      <c r="F10218" s="10" t="inlineStr">
        <is>
          <t>Hưng Yên</t>
        </is>
      </c>
      <c r="G10218" s="10" t="inlineStr">
        <is>
          <t>31-03-2026</t>
        </is>
      </c>
      <c r="H10218" s="10" t="inlineStr">
        <is>
          <t>31/03/2026</t>
        </is>
      </c>
      <c r="I10218" s="10" t="inlineStr">
        <is>
          <t>17/03/2026</t>
        </is>
      </c>
      <c r="J10218" s="10" t="inlineStr">
        <is>
          <t>Kế toán / Kiểm toán, Tài chính / Đầu tư, Sản xuất / Vận hành sản xuất</t>
        </is>
      </c>
      <c r="K10218" s="10" t="inlineStr">
        <is>
          <t>3 - 5 Năm</t>
        </is>
      </c>
      <c r="L10218" s="11">
        <f>HYPERLINK("https://careerviet.vn/vi/tim-viec-lam/ke-toan-truong-san-xuat.35C6B692.html","Xem chi tiết")</f>
        <v/>
      </c>
      <c r="M10218" s="10" t="n"/>
    </row>
    <row r="10219">
      <c r="B10219" s="7" t="n">
        <v>10217</v>
      </c>
      <c r="C10219" t="inlineStr">
        <is>
          <t>Nhân viên Mua hàng(Mới)</t>
        </is>
      </c>
      <c r="D10219" t="inlineStr">
        <is>
          <t>CÔNG TY TNHH XUẤT NHẬP KHẨU THƯƠNG MẠI SONG HÂN</t>
        </is>
      </c>
      <c r="E10219" t="inlineStr">
        <is>
          <t>Lương:Trên 8 Tr VND</t>
        </is>
      </c>
      <c r="F10219" t="inlineStr">
        <is>
          <t>Hồ Chí Minh</t>
        </is>
      </c>
      <c r="G10219" t="inlineStr">
        <is>
          <t>15-04-2026</t>
        </is>
      </c>
      <c r="H10219" t="inlineStr">
        <is>
          <t>15/04/2026</t>
        </is>
      </c>
      <c r="I10219" t="inlineStr">
        <is>
          <t>17/03/2026</t>
        </is>
      </c>
      <c r="J10219" t="inlineStr">
        <is>
          <t>Xuất nhập khẩu, Kế toán / Kiểm toán, Thu mua / Vật tư</t>
        </is>
      </c>
      <c r="K10219" t="inlineStr">
        <is>
          <t>Trên 1 Năm</t>
        </is>
      </c>
      <c r="L10219" s="8">
        <f>HYPERLINK("https://careerviet.vn/vi/tim-viec-lam/nhan-vien-mua-hang.35C6C93A.html","Xem chi tiết")</f>
        <v/>
      </c>
    </row>
    <row r="10220">
      <c r="B10220" s="9" t="n">
        <v>10218</v>
      </c>
      <c r="C10220" s="10" t="inlineStr">
        <is>
          <t>[Unilever - Bắc Ninh] Nhân viên vận hành máy(Mới)</t>
        </is>
      </c>
      <c r="D10220" s="10" t="inlineStr">
        <is>
          <t>Unilever Vietnam International</t>
        </is>
      </c>
      <c r="E10220" s="10" t="inlineStr">
        <is>
          <t>Lương:9 Tr - 12 Tr VND</t>
        </is>
      </c>
      <c r="F10220" s="10" t="inlineStr">
        <is>
          <t>Bắc Ninh</t>
        </is>
      </c>
      <c r="G10220" s="10" t="inlineStr">
        <is>
          <t>13-04-2026</t>
        </is>
      </c>
      <c r="H10220" s="10" t="inlineStr">
        <is>
          <t>13/04/2026</t>
        </is>
      </c>
      <c r="I10220" s="10" t="inlineStr">
        <is>
          <t>17/03/2026</t>
        </is>
      </c>
      <c r="J10220" s="10" t="inlineStr">
        <is>
          <t>Sản xuất / Vận hành sản xuất, Bảo trì / Sửa chữa, Điện / Điện tử / Điện lạnh / Điện công nghiệp</t>
        </is>
      </c>
      <c r="K10220" s="10" t="inlineStr">
        <is>
          <t>1 - 2 Năm</t>
        </is>
      </c>
      <c r="L10220" s="11">
        <f>HYPERLINK("https://careerviet.vn/vi/tim-viec-lam/unilever-bac-ninh-nhan-vien-van-hanh-may.35C6C9F0.html","Xem chi tiết")</f>
        <v/>
      </c>
      <c r="M10220" s="10" t="n"/>
    </row>
    <row r="10221">
      <c r="B10221" s="7" t="n">
        <v>10219</v>
      </c>
      <c r="C10221" t="inlineStr">
        <is>
          <t>Chuyên viên kế toán</t>
        </is>
      </c>
      <c r="D10221" t="inlineStr">
        <is>
          <t>CÔNG TY CỔ PHẦN HỢP TÁC ĐẦU TƯ &amp; CÔNG NGHỆ TECHCOOP</t>
        </is>
      </c>
      <c r="E10221" t="inlineStr">
        <is>
          <t>Lương:15 Tr - 25 Tr VND</t>
        </is>
      </c>
      <c r="F10221" t="inlineStr">
        <is>
          <t>Hồ Chí Minh</t>
        </is>
      </c>
      <c r="G10221" t="inlineStr">
        <is>
          <t>31-03-2026</t>
        </is>
      </c>
      <c r="H10221" t="inlineStr">
        <is>
          <t>31/03/2026</t>
        </is>
      </c>
      <c r="I10221" t="inlineStr">
        <is>
          <t>17/03/2026</t>
        </is>
      </c>
      <c r="J10221" t="inlineStr">
        <is>
          <t>Dịch vụ khách hàng, Kế toán / Kiểm toán, Tài chính / Đầu tư</t>
        </is>
      </c>
      <c r="K10221" t="inlineStr">
        <is>
          <t>5 - 8 Năm</t>
        </is>
      </c>
      <c r="L10221" s="8">
        <f>HYPERLINK("https://careerviet.vn/vi/tim-viec-lam/chuyen-vien-ke-toa-n.35C6B697.html","Xem chi tiết")</f>
        <v/>
      </c>
    </row>
    <row r="10222">
      <c r="B10222" s="9" t="n">
        <v>10220</v>
      </c>
      <c r="C10222" s="10" t="inlineStr">
        <is>
          <t>Chuyên viên Đào tạo khối Văn phòng &amp; Kho vận</t>
        </is>
      </c>
      <c r="D10222" s="10" t="inlineStr">
        <is>
          <t>CÔNG TY CỔ PHẦN VUA NỆM</t>
        </is>
      </c>
      <c r="E10222" s="10" t="inlineStr">
        <is>
          <t>Lương:10 Tr - 15 Tr VND</t>
        </is>
      </c>
      <c r="F10222" s="10" t="inlineStr">
        <is>
          <t>Hà Nội</t>
        </is>
      </c>
      <c r="G10222" s="10" t="inlineStr">
        <is>
          <t>28-03-2026</t>
        </is>
      </c>
      <c r="H10222" s="10" t="inlineStr">
        <is>
          <t>28/03/2026</t>
        </is>
      </c>
      <c r="I10222" s="10" t="inlineStr">
        <is>
          <t>17/03/2026</t>
        </is>
      </c>
      <c r="J10222" s="10" t="inlineStr">
        <is>
          <t>Bán hàng / Kinh doanh, Giáo dục / Đào tạo, Nhân sự</t>
        </is>
      </c>
      <c r="K10222" s="10" t="inlineStr">
        <is>
          <t>Chưa có kinh nghiệm</t>
        </is>
      </c>
      <c r="L10222" s="11">
        <f>HYPERLINK("https://careerviet.vn/vi/tim-viec-lam/chuyen-vien-dao-tao-khoi-van-phong-kho-van.35C6B691.html","Xem chi tiết")</f>
        <v/>
      </c>
      <c r="M10222" s="10" t="n"/>
    </row>
    <row r="10223">
      <c r="B10223" s="7" t="n">
        <v>10221</v>
      </c>
      <c r="C10223" t="inlineStr">
        <is>
          <t>[Đà Nẵng] Chuyên viên kế toán doanh thu</t>
        </is>
      </c>
      <c r="D10223" t="inlineStr">
        <is>
          <t>CÔNG TY TNHH THƯƠNG MẠI VÀ DỊCH VỤ TALAD THAI</t>
        </is>
      </c>
      <c r="E10223" t="inlineStr">
        <is>
          <t>Lương:9 Tr - 11 Tr VND</t>
        </is>
      </c>
      <c r="F10223" t="inlineStr">
        <is>
          <t>Đà Nẵng</t>
        </is>
      </c>
      <c r="G10223" t="inlineStr">
        <is>
          <t>31-03-2026</t>
        </is>
      </c>
      <c r="H10223" t="inlineStr">
        <is>
          <t>31/03/2026</t>
        </is>
      </c>
      <c r="I10223" t="inlineStr">
        <is>
          <t>17/03/2026</t>
        </is>
      </c>
      <c r="J10223" t="inlineStr">
        <is>
          <t>Kế toán / Kiểm toán</t>
        </is>
      </c>
      <c r="K10223" t="inlineStr">
        <is>
          <t>1 - 2 Năm</t>
        </is>
      </c>
      <c r="L10223" s="8">
        <f>HYPERLINK("https://careerviet.vn/vi/tim-viec-lam/da-nang-chuyen-vien-ke-toan-doanh-thu.35C6B682.html","Xem chi tiết")</f>
        <v/>
      </c>
    </row>
    <row r="10224">
      <c r="B10224" s="9" t="n">
        <v>10222</v>
      </c>
      <c r="C10224" s="10" t="inlineStr">
        <is>
          <t>Sales Admin</t>
        </is>
      </c>
      <c r="D10224" s="10" t="inlineStr">
        <is>
          <t>CÔNG TY TNHH KỸ THUẬT CÔNG NGHỆ SP</t>
        </is>
      </c>
      <c r="E10224" s="10" t="inlineStr">
        <is>
          <t>Lương:7 Tr - 8 Tr VND</t>
        </is>
      </c>
      <c r="F10224" s="10" t="inlineStr">
        <is>
          <t>Hồ Chí Minh</t>
        </is>
      </c>
      <c r="G10224" s="10" t="inlineStr">
        <is>
          <t>08-04-2026</t>
        </is>
      </c>
      <c r="H10224" s="10" t="inlineStr">
        <is>
          <t>08/04/2026</t>
        </is>
      </c>
      <c r="I10224" s="10" t="inlineStr">
        <is>
          <t>17/03/2026</t>
        </is>
      </c>
      <c r="J10224" s="10" t="inlineStr">
        <is>
          <t>Hành chính / Thư ký, Điện / Điện tử / Điện lạnh / Điện công nghiệp, Thu mua / Vật tư</t>
        </is>
      </c>
      <c r="K10224" s="10" t="inlineStr">
        <is>
          <t>N/A</t>
        </is>
      </c>
      <c r="L10224" s="11">
        <f>HYPERLINK("https://careerviet.vn/vi/tim-viec-lam/sales-admin.35C6B66C.html","Xem chi tiết")</f>
        <v/>
      </c>
      <c r="M10224" s="10" t="n"/>
    </row>
    <row r="10225">
      <c r="B10225" s="7" t="n">
        <v>10223</v>
      </c>
      <c r="C10225" t="inlineStr">
        <is>
          <t>Sales Executive (HCM office)</t>
        </is>
      </c>
      <c r="D10225" t="inlineStr">
        <is>
          <t>Công Ty TNHH SML Việt Nam</t>
        </is>
      </c>
      <c r="E10225" t="inlineStr">
        <is>
          <t>Lương:Cạnh tranh</t>
        </is>
      </c>
      <c r="F10225" t="inlineStr">
        <is>
          <t>Hồ Chí Minh</t>
        </is>
      </c>
      <c r="G10225" t="inlineStr">
        <is>
          <t>08-04-2026</t>
        </is>
      </c>
      <c r="H10225" t="inlineStr">
        <is>
          <t>08/04/2026</t>
        </is>
      </c>
      <c r="I10225" t="inlineStr">
        <is>
          <t>17/03/2026</t>
        </is>
      </c>
      <c r="J10225" t="inlineStr">
        <is>
          <t>Bán hàng / Kinh doanh, Dệt may / Da giày / Thời trang, In ấn / Xuất bản</t>
        </is>
      </c>
      <c r="K10225" t="inlineStr">
        <is>
          <t>N/A</t>
        </is>
      </c>
      <c r="L10225" s="8">
        <f>HYPERLINK("https://careerviet.vn/vi/tim-viec-lam/sales-executive-hcm-office.35C6B69C.html","Xem chi tiết")</f>
        <v/>
      </c>
    </row>
    <row r="10226">
      <c r="B10226" s="9" t="n">
        <v>10224</v>
      </c>
      <c r="C10226" s="10" t="inlineStr">
        <is>
          <t>Chuyên viên Pháp lý (Dự án)(Mới)</t>
        </is>
      </c>
      <c r="D10226" s="10" t="inlineStr">
        <is>
          <t>Bảo mật</t>
        </is>
      </c>
      <c r="E10226" s="10" t="inlineStr">
        <is>
          <t>Lương:Cạnh tranh</t>
        </is>
      </c>
      <c r="F10226" s="10" t="inlineStr">
        <is>
          <t>Hồ Chí Minh</t>
        </is>
      </c>
      <c r="G10226" s="10" t="inlineStr">
        <is>
          <t>13-04-2026</t>
        </is>
      </c>
      <c r="H10226" s="10" t="inlineStr">
        <is>
          <t>13/04/2026</t>
        </is>
      </c>
      <c r="I10226" s="10" t="inlineStr">
        <is>
          <t>17/03/2026</t>
        </is>
      </c>
      <c r="J10226" s="10" t="inlineStr">
        <is>
          <t>Tài chính / Đầu tư, Luật / Pháp lý, Ngành khác</t>
        </is>
      </c>
      <c r="K10226" s="10" t="inlineStr">
        <is>
          <t>3 - 5 Năm</t>
        </is>
      </c>
      <c r="L10226" s="11">
        <f>HYPERLINK("https://careerviet.vn/vi/tim-viec-lam/chuyen-vien-phap-ly-du-an.35C6C9EA.html","Xem chi tiết")</f>
        <v/>
      </c>
      <c r="M10226" s="10" t="n"/>
    </row>
    <row r="10227">
      <c r="B10227" s="7" t="n">
        <v>10225</v>
      </c>
      <c r="C10227" t="inlineStr">
        <is>
          <t>Trưởng phòng kinh doanh(Mới)</t>
        </is>
      </c>
      <c r="D10227" t="inlineStr">
        <is>
          <t>Bảo mật</t>
        </is>
      </c>
      <c r="E10227" t="inlineStr">
        <is>
          <t>Lương:Cạnh tranh</t>
        </is>
      </c>
      <c r="F10227" t="inlineStr">
        <is>
          <t>Hồ Chí Minh</t>
        </is>
      </c>
      <c r="G10227" t="inlineStr">
        <is>
          <t>13-04-2026</t>
        </is>
      </c>
      <c r="H10227" t="inlineStr">
        <is>
          <t>13/04/2026</t>
        </is>
      </c>
      <c r="I10227" t="inlineStr">
        <is>
          <t>17/03/2026</t>
        </is>
      </c>
      <c r="J10227" t="inlineStr">
        <is>
          <t>Du lịch, Bất động sản, Thương mại điện tử</t>
        </is>
      </c>
      <c r="K10227" t="inlineStr">
        <is>
          <t>3 - 5 Năm</t>
        </is>
      </c>
      <c r="L10227" s="8">
        <f>HYPERLINK("https://careerviet.vn/vi/tim-viec-lam/truong-phong-kinh-doanh.35C6C9EB.html","Xem chi tiết")</f>
        <v/>
      </c>
    </row>
    <row r="10228">
      <c r="B10228" s="9" t="n">
        <v>10226</v>
      </c>
      <c r="C10228" s="10" t="inlineStr">
        <is>
          <t>IT Specialist(Mới)</t>
        </is>
      </c>
      <c r="D10228" s="10" t="inlineStr">
        <is>
          <t>CLIMAVENETA CHAT UNION REFRIGERATION EQUIPMENT - CÔNG TY TNHH THIẾT BỊ ĐIỆN LẠNH CLIMAVENETA CHAT UNION VIỆT NAM</t>
        </is>
      </c>
      <c r="E10228" s="10" t="inlineStr">
        <is>
          <t>Lương:Cạnh tranh</t>
        </is>
      </c>
      <c r="F10228" s="10" t="inlineStr">
        <is>
          <t>Long An</t>
        </is>
      </c>
      <c r="G10228" s="10" t="inlineStr">
        <is>
          <t>14-04-2026</t>
        </is>
      </c>
      <c r="H10228" s="10" t="inlineStr">
        <is>
          <t>14/04/2026</t>
        </is>
      </c>
      <c r="I10228" s="10" t="inlineStr">
        <is>
          <t>17/03/2026</t>
        </is>
      </c>
      <c r="J10228" s="10" t="inlineStr">
        <is>
          <t>CNTT - Phần cứng / Mạng</t>
        </is>
      </c>
      <c r="K10228" s="10" t="inlineStr">
        <is>
          <t>Trên 1 Năm</t>
        </is>
      </c>
      <c r="L10228" s="11">
        <f>HYPERLINK("https://careerviet.vn/vi/tim-viec-lam/it-specialist.35C6C9E4.html","Xem chi tiết")</f>
        <v/>
      </c>
      <c r="M10228" s="10" t="n"/>
    </row>
    <row r="10229">
      <c r="B10229" s="7" t="n">
        <v>10227</v>
      </c>
      <c r="C10229" t="inlineStr">
        <is>
          <t>Nhân viên bảo trì cơ điện(Mới)</t>
        </is>
      </c>
      <c r="D10229" t="inlineStr">
        <is>
          <t>Bảo mật</t>
        </is>
      </c>
      <c r="E10229" t="inlineStr">
        <is>
          <t>Lương:10 Tr - 15 Tr VND</t>
        </is>
      </c>
      <c r="F10229" t="inlineStr">
        <is>
          <t>Hồ Chí MinhBình Dương</t>
        </is>
      </c>
      <c r="G10229" t="inlineStr">
        <is>
          <t>13-04-2026</t>
        </is>
      </c>
      <c r="H10229" t="inlineStr">
        <is>
          <t>13/04/2026</t>
        </is>
      </c>
      <c r="I10229" t="inlineStr">
        <is>
          <t>17/03/2026</t>
        </is>
      </c>
      <c r="J10229" t="inlineStr">
        <is>
          <t>Nông nghiệp, Bảo trì / Sửa chữa, Sản xuất / Vận hành sản xuất</t>
        </is>
      </c>
      <c r="K10229" t="inlineStr">
        <is>
          <t>1 - 5 Năm</t>
        </is>
      </c>
      <c r="L10229" s="8">
        <f>HYPERLINK("https://careerviet.vn/vi/tim-viec-lam/nhan-vien-bao-tri-co-dien.35C6C9E7.html","Xem chi tiết")</f>
        <v/>
      </c>
    </row>
    <row r="10230">
      <c r="B10230" s="9" t="n">
        <v>10228</v>
      </c>
      <c r="C10230" s="10" t="inlineStr">
        <is>
          <t>CHUYÊN VIÊN HÀNH CHÍNH NHÂN SỰ (C&amp;B)</t>
        </is>
      </c>
      <c r="D10230" s="10" t="inlineStr">
        <is>
          <t>CÔNG TY CP TƯ VẤN VÀ ĐẦU TƯ BDS AN KHANG (AN KHANG REAL)</t>
        </is>
      </c>
      <c r="E10230" s="10" t="inlineStr">
        <is>
          <t>Lương:10 Tr - 12 Tr VND</t>
        </is>
      </c>
      <c r="F10230" s="10" t="inlineStr">
        <is>
          <t>Hồ Chí Minh</t>
        </is>
      </c>
      <c r="G10230" s="10" t="inlineStr">
        <is>
          <t>13-04-2026</t>
        </is>
      </c>
      <c r="H10230" s="10" t="inlineStr">
        <is>
          <t>13/04/2026</t>
        </is>
      </c>
      <c r="I10230" s="10" t="inlineStr">
        <is>
          <t>17/03/2026</t>
        </is>
      </c>
      <c r="J10230" s="10" t="inlineStr">
        <is>
          <t>Nhân sự, Hành chính / Thư ký, Kế toán / Kiểm toán</t>
        </is>
      </c>
      <c r="K10230" s="10" t="inlineStr">
        <is>
          <t>2 - 5 Năm</t>
        </is>
      </c>
      <c r="L10230" s="11">
        <f>HYPERLINK("https://careerviet.vn/vi/tim-viec-lam/chuyen-vien-hanh-chinh-nhan-su-c-b.35C6C9DF.html","Xem chi tiết")</f>
        <v/>
      </c>
      <c r="M10230" s="10" t="n"/>
    </row>
    <row r="10231">
      <c r="B10231" s="7" t="n">
        <v>10229</v>
      </c>
      <c r="C10231" t="inlineStr">
        <is>
          <t>Nhân viên Media Editer</t>
        </is>
      </c>
      <c r="D10231" t="inlineStr">
        <is>
          <t>BỆNH VIỆN ĐA KHOA PHƯƠNG ĐÔNG</t>
        </is>
      </c>
      <c r="E10231" t="inlineStr">
        <is>
          <t>Lương:10 Tr - 15 Tr VND</t>
        </is>
      </c>
      <c r="F10231" t="inlineStr">
        <is>
          <t>Hà Nội</t>
        </is>
      </c>
      <c r="G10231" t="inlineStr">
        <is>
          <t>01-06-2026</t>
        </is>
      </c>
      <c r="H10231" t="inlineStr">
        <is>
          <t>01/06/2026</t>
        </is>
      </c>
      <c r="I10231" t="inlineStr">
        <is>
          <t>17/03/2026</t>
        </is>
      </c>
      <c r="J10231" t="inlineStr">
        <is>
          <t>Tiếp thị / Marketing</t>
        </is>
      </c>
      <c r="K10231" t="inlineStr">
        <is>
          <t>1 - 2 Năm</t>
        </is>
      </c>
      <c r="L10231" s="8">
        <f>HYPERLINK("https://careerviet.vn/vi/tim-viec-lam/nhan-vien-media-editer.35C6C9D6.html","Xem chi tiết")</f>
        <v/>
      </c>
    </row>
    <row r="10232">
      <c r="B10232" s="9" t="n">
        <v>10230</v>
      </c>
      <c r="C10232" s="10" t="inlineStr">
        <is>
          <t>Chuyên Viên Kinh Doanh(Mới)</t>
        </is>
      </c>
      <c r="D10232" s="10" t="inlineStr">
        <is>
          <t>Bảo mật</t>
        </is>
      </c>
      <c r="E10232" s="10" t="inlineStr">
        <is>
          <t>Lương:Cạnh tranh</t>
        </is>
      </c>
      <c r="F10232" s="10" t="inlineStr">
        <is>
          <t>Hồ Chí Minh</t>
        </is>
      </c>
      <c r="G10232" s="10" t="inlineStr">
        <is>
          <t>13-04-2026</t>
        </is>
      </c>
      <c r="H10232" s="10" t="inlineStr">
        <is>
          <t>13/04/2026</t>
        </is>
      </c>
      <c r="I10232" s="10" t="inlineStr">
        <is>
          <t>17/03/2026</t>
        </is>
      </c>
      <c r="J10232" s="10" t="inlineStr">
        <is>
          <t>Ngân hàng, Bảo hiểm, Bất động sản</t>
        </is>
      </c>
      <c r="K10232" s="10" t="inlineStr">
        <is>
          <t>1 - 5 Năm</t>
        </is>
      </c>
      <c r="L10232" s="11">
        <f>HYPERLINK("https://careerviet.vn/vi/tim-viec-lam/chuyen-vien-kinh-doanh.35C6C9E8.html","Xem chi tiết")</f>
        <v/>
      </c>
      <c r="M10232" s="10" t="n"/>
    </row>
    <row r="10233">
      <c r="B10233" s="7" t="n">
        <v>10231</v>
      </c>
      <c r="C10233" t="inlineStr">
        <is>
          <t>Chuyên viên tuyển dụng</t>
        </is>
      </c>
      <c r="D10233" t="inlineStr">
        <is>
          <t>CÔNG TY CP TƯ VẤN VÀ ĐẦU TƯ BDS AN KHANG (AN KHANG REAL)</t>
        </is>
      </c>
      <c r="E10233" t="inlineStr">
        <is>
          <t>Lương:10 Tr - 18 Tr VND</t>
        </is>
      </c>
      <c r="F10233" t="inlineStr">
        <is>
          <t>Hồ Chí Minh</t>
        </is>
      </c>
      <c r="G10233" t="inlineStr">
        <is>
          <t>13-04-2026</t>
        </is>
      </c>
      <c r="H10233" t="inlineStr">
        <is>
          <t>13/04/2026</t>
        </is>
      </c>
      <c r="I10233" t="inlineStr">
        <is>
          <t>17/03/2026</t>
        </is>
      </c>
      <c r="J10233" t="inlineStr">
        <is>
          <t>Bất động sản, Nhân sự, Hành chính / Thư ký</t>
        </is>
      </c>
      <c r="K10233" t="inlineStr">
        <is>
          <t>2 - 5 Năm</t>
        </is>
      </c>
      <c r="L10233" s="8">
        <f>HYPERLINK("https://careerviet.vn/vi/tim-viec-lam/chuyen-vien-tuyen-dung.35C6C9E0.html","Xem chi tiết")</f>
        <v/>
      </c>
    </row>
    <row r="10234">
      <c r="B10234" s="9" t="n">
        <v>10232</v>
      </c>
      <c r="C10234" s="10" t="inlineStr">
        <is>
          <t>QUẢN LÝ NHÀ HÀNG</t>
        </is>
      </c>
      <c r="D10234" s="10" t="inlineStr">
        <is>
          <t>Công Ty TNHH TM &amp; XNK Nhất Lâm</t>
        </is>
      </c>
      <c r="E10234" s="10" t="inlineStr">
        <is>
          <t>Lương:Cạnh tranh</t>
        </is>
      </c>
      <c r="F10234" s="10" t="inlineStr">
        <is>
          <t>Hồ Chí Minh</t>
        </is>
      </c>
      <c r="G10234" s="10" t="inlineStr">
        <is>
          <t>30-04-2026</t>
        </is>
      </c>
      <c r="H10234" s="10" t="inlineStr">
        <is>
          <t>30/04/2026</t>
        </is>
      </c>
      <c r="I10234" s="10" t="inlineStr">
        <is>
          <t>17/03/2026</t>
        </is>
      </c>
      <c r="J10234" s="10" t="inlineStr">
        <is>
          <t>Thực phẩm &amp; Đồ uống, Quản lý điều hành</t>
        </is>
      </c>
      <c r="K10234" s="10" t="inlineStr">
        <is>
          <t>1 - 3 Năm</t>
        </is>
      </c>
      <c r="L10234" s="11">
        <f>HYPERLINK("https://careerviet.vn/vi/tim-viec-lam/quan-ly-nha-hang.35C6C9DD.html","Xem chi tiết")</f>
        <v/>
      </c>
      <c r="M10234" s="10" t="n"/>
    </row>
    <row r="10235">
      <c r="B10235" s="7" t="n">
        <v>10233</v>
      </c>
      <c r="C10235" t="inlineStr">
        <is>
          <t>Trợ lý nhân sự (Chế độ và tiền lương)</t>
        </is>
      </c>
      <c r="D10235" t="inlineStr">
        <is>
          <t>Công Ty Cổ Phần A25 Hotel</t>
        </is>
      </c>
      <c r="E10235" t="inlineStr">
        <is>
          <t>Lương:15 Tr - 25 Tr VND</t>
        </is>
      </c>
      <c r="F10235" t="inlineStr">
        <is>
          <t>Hồ Chí Minh</t>
        </is>
      </c>
      <c r="G10235" t="inlineStr">
        <is>
          <t>14-04-2026</t>
        </is>
      </c>
      <c r="H10235" t="inlineStr">
        <is>
          <t>14/04/2026</t>
        </is>
      </c>
      <c r="I10235" t="inlineStr">
        <is>
          <t>17/03/2026</t>
        </is>
      </c>
      <c r="J10235" t="inlineStr">
        <is>
          <t>Nhân sự, Bảo hiểm</t>
        </is>
      </c>
      <c r="K10235" t="inlineStr">
        <is>
          <t>2 - 5 Năm</t>
        </is>
      </c>
      <c r="L10235" s="8">
        <f>HYPERLINK("https://careerviet.vn/vi/tim-viec-lam/tro-ly-nhan-su-che-do-va-tien-luong.35C6C9DA.html","Xem chi tiết")</f>
        <v/>
      </c>
    </row>
    <row r="10236">
      <c r="B10236" s="9" t="n">
        <v>10234</v>
      </c>
      <c r="C10236" s="10" t="inlineStr">
        <is>
          <t>Kỹ sư An toàn hóa chất (Chemical Safety Engineer)(Mới)</t>
        </is>
      </c>
      <c r="D10236" s="10" t="inlineStr">
        <is>
          <t>CÔNG TY TNHH ELECTRONIC TRIPOD VIỆT NAM (CHÂU ĐỨC)</t>
        </is>
      </c>
      <c r="E10236" s="10" t="inlineStr">
        <is>
          <t>Lương:Cạnh tranh</t>
        </is>
      </c>
      <c r="F10236" s="10" t="inlineStr">
        <is>
          <t>Đồng Nai</t>
        </is>
      </c>
      <c r="G10236" s="10" t="inlineStr">
        <is>
          <t>15-04-2026</t>
        </is>
      </c>
      <c r="H10236" s="10" t="inlineStr">
        <is>
          <t>15/04/2026</t>
        </is>
      </c>
      <c r="I10236" s="10" t="inlineStr">
        <is>
          <t>17/03/2026</t>
        </is>
      </c>
      <c r="J10236" s="10" t="inlineStr">
        <is>
          <t>Hóa học, An toàn lao động</t>
        </is>
      </c>
      <c r="K10236" s="10" t="inlineStr">
        <is>
          <t>1 - 2 Năm</t>
        </is>
      </c>
      <c r="L10236" s="11">
        <f>HYPERLINK("https://careerviet.vn/vi/tim-viec-lam/ky-su-an-toan-hoa-chat-chemical-safety-engineer.35C6C9E2.html","Xem chi tiết")</f>
        <v/>
      </c>
      <c r="M10236" s="10" t="n"/>
    </row>
    <row r="10237">
      <c r="B10237" s="7" t="n">
        <v>10235</v>
      </c>
      <c r="C10237" t="inlineStr">
        <is>
          <t>E-commerce Operation Specialist (Livestream focused)</t>
        </is>
      </c>
      <c r="D10237" t="inlineStr">
        <is>
          <t>CÔNG TY TNHH KINGDEN TRADING</t>
        </is>
      </c>
      <c r="E10237" t="inlineStr">
        <is>
          <t>Lương:Cạnh tranh</t>
        </is>
      </c>
      <c r="F10237" t="inlineStr">
        <is>
          <t>Hồ Chí Minh</t>
        </is>
      </c>
      <c r="G10237" t="inlineStr">
        <is>
          <t>15-04-2026</t>
        </is>
      </c>
      <c r="H10237" t="inlineStr">
        <is>
          <t>15/04/2026</t>
        </is>
      </c>
      <c r="I10237" t="inlineStr">
        <is>
          <t>17/03/2026</t>
        </is>
      </c>
      <c r="J10237" t="inlineStr">
        <is>
          <t>Thương mại điện tử, Tiếp thị trực tuyến, Quảng cáo / Đối ngoại / Truyền Thông</t>
        </is>
      </c>
      <c r="K10237" t="inlineStr">
        <is>
          <t>Trên 2 Năm</t>
        </is>
      </c>
      <c r="L10237" s="8">
        <f>HYPERLINK("https://careerviet.vn/vi/tim-viec-lam/e-commerce-operation-specialist-livestream-focused.35C6C9D9.html","Xem chi tiết")</f>
        <v/>
      </c>
    </row>
    <row r="10238">
      <c r="B10238" s="9" t="n">
        <v>10236</v>
      </c>
      <c r="C10238" s="10" t="inlineStr">
        <is>
          <t>QS Thanh Quyết Toán</t>
        </is>
      </c>
      <c r="D10238" s="10" t="inlineStr">
        <is>
          <t>Nội Thất Mỹ Khang</t>
        </is>
      </c>
      <c r="E10238" s="10" t="inlineStr">
        <is>
          <t>Lương:16 Tr - 20 Tr VND</t>
        </is>
      </c>
      <c r="F10238" s="10" t="inlineStr">
        <is>
          <t>Hồ Chí Minh</t>
        </is>
      </c>
      <c r="G10238" s="10" t="inlineStr">
        <is>
          <t>05-04-2026</t>
        </is>
      </c>
      <c r="H10238" s="10" t="inlineStr">
        <is>
          <t>05/04/2026</t>
        </is>
      </c>
      <c r="I10238" s="10" t="inlineStr">
        <is>
          <t>17/03/2026</t>
        </is>
      </c>
      <c r="J10238" s="10" t="inlineStr">
        <is>
          <t>Đồ gỗ, Nội ngoại thất</t>
        </is>
      </c>
      <c r="K10238" s="10" t="inlineStr">
        <is>
          <t>3 - 5 Năm</t>
        </is>
      </c>
      <c r="L10238" s="11">
        <f>HYPERLINK("https://careerviet.vn/vi/tim-viec-lam/qs-thanh-quyet-toan.35C6C9CF.html","Xem chi tiết")</f>
        <v/>
      </c>
      <c r="M10238" s="10" t="n"/>
    </row>
    <row r="10239">
      <c r="B10239" s="7" t="n">
        <v>10237</v>
      </c>
      <c r="C10239" t="inlineStr">
        <is>
          <t>Nhân Viên Vận hành &amp; Bảo Trí (Kỹ thuật Điện)</t>
        </is>
      </c>
      <c r="D10239" t="inlineStr">
        <is>
          <t>CÔNG TY CỔ PHẦN CHẾ BIẾN THỰC PHẨM HOÀNG SƠN</t>
        </is>
      </c>
      <c r="E10239" t="inlineStr">
        <is>
          <t>Lương:12 Tr - 15 Tr VND</t>
        </is>
      </c>
      <c r="F10239" t="inlineStr">
        <is>
          <t>Bình Dương</t>
        </is>
      </c>
      <c r="G10239" t="inlineStr">
        <is>
          <t>30-04-2026</t>
        </is>
      </c>
      <c r="H10239" t="inlineStr">
        <is>
          <t>30/04/2026</t>
        </is>
      </c>
      <c r="I10239" t="inlineStr">
        <is>
          <t>17/03/2026</t>
        </is>
      </c>
      <c r="J10239" t="inlineStr">
        <is>
          <t>Bảo trì / Sửa chữa, Sản xuất / Vận hành sản xuất, Điện / Điện tử / Điện lạnh / Điện công nghiệp</t>
        </is>
      </c>
      <c r="K10239" t="inlineStr">
        <is>
          <t>1 - 3 Năm</t>
        </is>
      </c>
      <c r="L10239" s="8">
        <f>HYPERLINK("https://careerviet.vn/vi/tim-viec-lam/nhan-vien-van-hanh-bao-tri-ky-thuat-dien.35C6C9D8.html","Xem chi tiết")</f>
        <v/>
      </c>
    </row>
    <row r="10240">
      <c r="B10240" s="9" t="n">
        <v>10238</v>
      </c>
      <c r="C10240" s="10" t="inlineStr">
        <is>
          <t>Business Intelligence (BI) Analyst</t>
        </is>
      </c>
      <c r="D10240" s="10" t="inlineStr">
        <is>
          <t>CÔNG TY TNHH GALAXY DIGITAL HOLDINGS</t>
        </is>
      </c>
      <c r="E10240" s="10" t="inlineStr">
        <is>
          <t>Lương:Cạnh tranh</t>
        </is>
      </c>
      <c r="F10240" s="10" t="inlineStr">
        <is>
          <t>Hồ Chí Minh</t>
        </is>
      </c>
      <c r="G10240" s="10" t="inlineStr">
        <is>
          <t>16-04-2026</t>
        </is>
      </c>
      <c r="H10240" s="10" t="inlineStr">
        <is>
          <t>16/04/2026</t>
        </is>
      </c>
      <c r="I10240" s="10" t="inlineStr">
        <is>
          <t>17/03/2026</t>
        </is>
      </c>
      <c r="J10240" s="10" t="inlineStr">
        <is>
          <t>CNTT - Phần mềm</t>
        </is>
      </c>
      <c r="K10240" s="10" t="inlineStr">
        <is>
          <t>2 - 5 Năm</t>
        </is>
      </c>
      <c r="L10240" s="11">
        <f>HYPERLINK("https://careerviet.vn/vi/tim-viec-lam/business-intelligence-bi-analyst.35C6C9D0.html","Xem chi tiết")</f>
        <v/>
      </c>
      <c r="M10240" s="10" t="n"/>
    </row>
    <row r="10241">
      <c r="B10241" s="7" t="n">
        <v>10239</v>
      </c>
      <c r="C10241" t="inlineStr">
        <is>
          <t>Nhân viên Kinh doanh dự án thiết bị gia dụng</t>
        </is>
      </c>
      <c r="D10241" t="inlineStr">
        <is>
          <t>Công Ty Cổ Phần Quốc Tế Sơn Hà</t>
        </is>
      </c>
      <c r="E10241" t="inlineStr">
        <is>
          <t>Lương:15 Tr - 25 Tr VND</t>
        </is>
      </c>
      <c r="F10241" t="inlineStr">
        <is>
          <t>Hà Nội</t>
        </is>
      </c>
      <c r="G10241" t="inlineStr">
        <is>
          <t>13-04-2026</t>
        </is>
      </c>
      <c r="H10241" t="inlineStr">
        <is>
          <t>13/04/2026</t>
        </is>
      </c>
      <c r="I10241" t="inlineStr">
        <is>
          <t>17/03/2026</t>
        </is>
      </c>
      <c r="J10241" t="inlineStr">
        <is>
          <t>Hàng gia dụng / Chăm sóc cá nhân, Bán hàng / Kinh doanh, Điện / Điện tử / Điện lạnh / Điện công nghiệp</t>
        </is>
      </c>
      <c r="K10241" t="inlineStr">
        <is>
          <t>1 - 2 Năm</t>
        </is>
      </c>
      <c r="L10241" s="8">
        <f>HYPERLINK("https://careerviet.vn/vi/tim-viec-lam/nhan-vien-kinh-doanh-du-an-thiet-bi-gia-dung.35C6C9CC.html","Xem chi tiết")</f>
        <v/>
      </c>
    </row>
    <row r="10242">
      <c r="B10242" s="9" t="n">
        <v>10240</v>
      </c>
      <c r="C10242" s="10" t="inlineStr">
        <is>
          <t>Senior Data Analyst (Business Focus)</t>
        </is>
      </c>
      <c r="D10242" s="10" t="inlineStr">
        <is>
          <t>CÔNG TY CỔ PHẦN TẬP ĐOÀN HAMIER VIỆT NAM - LG CLINIC</t>
        </is>
      </c>
      <c r="E10242" s="10" t="inlineStr">
        <is>
          <t>Lương:Cạnh tranh</t>
        </is>
      </c>
      <c r="F10242" s="10" t="inlineStr">
        <is>
          <t>Hồ Chí Minh</t>
        </is>
      </c>
      <c r="G10242" s="10" t="inlineStr">
        <is>
          <t>Hôm nay</t>
        </is>
      </c>
      <c r="H10242" s="10" t="inlineStr">
        <is>
          <t>17/03/2026</t>
        </is>
      </c>
      <c r="I10242" s="10" t="inlineStr">
        <is>
          <t>17/03/2026</t>
        </is>
      </c>
      <c r="J10242" s="10" t="inlineStr">
        <is>
          <t>CNTT - Phần mềm</t>
        </is>
      </c>
      <c r="K10242" s="10" t="inlineStr">
        <is>
          <t>3 - 5 Năm</t>
        </is>
      </c>
      <c r="L10242" s="11">
        <f>HYPERLINK("https://careerviet.vn/vi/tim-viec-lam/senior-data-analyst-business-focus.35C65CD4.html","Xem chi tiết")</f>
        <v/>
      </c>
      <c r="M10242" s="10" t="n"/>
    </row>
    <row r="10243">
      <c r="B10243" s="7" t="n">
        <v>10241</v>
      </c>
      <c r="C10243" t="inlineStr">
        <is>
          <t>Senior Data Analyst</t>
        </is>
      </c>
      <c r="D10243" t="inlineStr">
        <is>
          <t>CÔNG TY TNHH GALAXY DIGITAL HOLDINGS</t>
        </is>
      </c>
      <c r="E10243" t="inlineStr">
        <is>
          <t>Lương:Cạnh tranh</t>
        </is>
      </c>
      <c r="F10243" t="inlineStr">
        <is>
          <t>Hồ Chí Minh</t>
        </is>
      </c>
      <c r="G10243" t="inlineStr">
        <is>
          <t>06-04-2026</t>
        </is>
      </c>
      <c r="H10243" t="inlineStr">
        <is>
          <t>06/04/2026</t>
        </is>
      </c>
      <c r="I10243" t="inlineStr">
        <is>
          <t>17/03/2026</t>
        </is>
      </c>
      <c r="J10243" t="inlineStr">
        <is>
          <t>CNTT - Phần mềm</t>
        </is>
      </c>
      <c r="K10243" t="inlineStr">
        <is>
          <t>3 - 5 Năm</t>
        </is>
      </c>
      <c r="L10243" s="8">
        <f>HYPERLINK("https://careerviet.vn/vi/tim-viec-lam/senior-data-analyst.35C6C9CE.html","Xem chi tiết")</f>
        <v/>
      </c>
    </row>
    <row r="10244">
      <c r="B10244" s="9" t="n">
        <v>10242</v>
      </c>
      <c r="C10244" s="10" t="inlineStr">
        <is>
          <t>Senior Project Management Office (PMO)</t>
        </is>
      </c>
      <c r="D10244" s="10" t="inlineStr">
        <is>
          <t>CÔNG TY TNHH GALAXY DIGITAL HOLDINGS</t>
        </is>
      </c>
      <c r="E10244" s="10" t="inlineStr">
        <is>
          <t>Lương:Cạnh tranh</t>
        </is>
      </c>
      <c r="F10244" s="10" t="inlineStr">
        <is>
          <t>Hồ Chí Minh</t>
        </is>
      </c>
      <c r="G10244" s="10" t="inlineStr">
        <is>
          <t>14-04-2026</t>
        </is>
      </c>
      <c r="H10244" s="10" t="inlineStr">
        <is>
          <t>14/04/2026</t>
        </is>
      </c>
      <c r="I10244" s="10" t="inlineStr">
        <is>
          <t>17/03/2026</t>
        </is>
      </c>
      <c r="J10244" s="10" t="inlineStr">
        <is>
          <t>Quản lý điều hành</t>
        </is>
      </c>
      <c r="K10244" s="10" t="inlineStr">
        <is>
          <t>8 - 10 Năm</t>
        </is>
      </c>
      <c r="L10244" s="11">
        <f>HYPERLINK("https://careerviet.vn/vi/tim-viec-lam/senior-project-management-office-pmo.35C6C9C6.html","Xem chi tiết")</f>
        <v/>
      </c>
      <c r="M10244" s="10" t="n"/>
    </row>
    <row r="10245">
      <c r="B10245" s="7" t="n">
        <v>10243</v>
      </c>
      <c r="C10245" t="inlineStr">
        <is>
          <t>EQC Manager</t>
        </is>
      </c>
      <c r="D10245" t="inlineStr">
        <is>
          <t>Vietnam Furniture Resources (VFR)</t>
        </is>
      </c>
      <c r="E10245" t="inlineStr">
        <is>
          <t>Lương:Cạnh tranh</t>
        </is>
      </c>
      <c r="F10245" t="inlineStr">
        <is>
          <t>Bình Dương</t>
        </is>
      </c>
      <c r="G10245" t="inlineStr">
        <is>
          <t>15-04-2026</t>
        </is>
      </c>
      <c r="H10245" t="inlineStr">
        <is>
          <t>15/04/2026</t>
        </is>
      </c>
      <c r="I10245" t="inlineStr">
        <is>
          <t>17/03/2026</t>
        </is>
      </c>
      <c r="J10245" t="inlineStr">
        <is>
          <t>Quản lý chất lượng (QA/QC), Đồ gỗ, Nội ngoại thất</t>
        </is>
      </c>
      <c r="K10245" t="inlineStr">
        <is>
          <t>2 - 3 Năm</t>
        </is>
      </c>
      <c r="L10245" s="8">
        <f>HYPERLINK("https://careerviet.vn/vi/tim-viec-lam/eqc-manager.35C6C9AE.html","Xem chi tiết")</f>
        <v/>
      </c>
    </row>
    <row r="10246">
      <c r="B10246" s="9" t="n">
        <v>10244</v>
      </c>
      <c r="C10246" s="10" t="inlineStr">
        <is>
          <t>Data Engineer (Senior / Lead / Principal)</t>
        </is>
      </c>
      <c r="D10246" s="10" t="inlineStr">
        <is>
          <t>CÔNG TY TNHH GALAXY DIGITAL HOLDINGS</t>
        </is>
      </c>
      <c r="E10246" s="10" t="inlineStr">
        <is>
          <t>Lương:Cạnh tranh</t>
        </is>
      </c>
      <c r="F10246" s="10" t="inlineStr">
        <is>
          <t>Hồ Chí Minh</t>
        </is>
      </c>
      <c r="G10246" s="10" t="inlineStr">
        <is>
          <t>15-04-2026</t>
        </is>
      </c>
      <c r="H10246" s="10" t="inlineStr">
        <is>
          <t>15/04/2026</t>
        </is>
      </c>
      <c r="I10246" s="10" t="inlineStr">
        <is>
          <t>17/03/2026</t>
        </is>
      </c>
      <c r="J10246" s="10" t="inlineStr">
        <is>
          <t>CNTT - Phần mềm</t>
        </is>
      </c>
      <c r="K10246" s="10" t="inlineStr">
        <is>
          <t>4 - 10 Năm</t>
        </is>
      </c>
      <c r="L10246" s="11">
        <f>HYPERLINK("https://careerviet.vn/vi/tim-viec-lam/data-engineer-senior-lead-principal.35C6C9CB.html","Xem chi tiết")</f>
        <v/>
      </c>
      <c r="M10246" s="10" t="n"/>
    </row>
    <row r="10247">
      <c r="B10247" s="7" t="n">
        <v>10245</v>
      </c>
      <c r="C10247" t="inlineStr">
        <is>
          <t>Nhân Viên Cửa Hàng Golf - Lương 10 - 12 tr</t>
        </is>
      </c>
      <c r="D10247" t="inlineStr">
        <is>
          <t>Công ty TNHH Sản xuất Thương mại &amp; Dịch vụ Hoa Xinh</t>
        </is>
      </c>
      <c r="E10247" t="inlineStr">
        <is>
          <t>Lương:10 Tr - 12 Tr VND</t>
        </is>
      </c>
      <c r="F10247" t="inlineStr">
        <is>
          <t>Hồ Chí Minh</t>
        </is>
      </c>
      <c r="G10247" t="inlineStr">
        <is>
          <t>30-04-2026</t>
        </is>
      </c>
      <c r="H10247" t="inlineStr">
        <is>
          <t>30/04/2026</t>
        </is>
      </c>
      <c r="I10247" t="inlineStr">
        <is>
          <t>17/03/2026</t>
        </is>
      </c>
      <c r="J10247" t="inlineStr">
        <is>
          <t>Nhân sự</t>
        </is>
      </c>
      <c r="K10247" t="inlineStr">
        <is>
          <t>N/A</t>
        </is>
      </c>
      <c r="L10247" s="8">
        <f>HYPERLINK("https://careerviet.vn/vi/tim-viec-lam/nhan-vien-cua-hang-golf-luong-10-12-tr.35C6C9C8.html","Xem chi tiết")</f>
        <v/>
      </c>
    </row>
    <row r="10248">
      <c r="B10248" s="9" t="n">
        <v>10246</v>
      </c>
      <c r="C10248" s="10" t="inlineStr">
        <is>
          <t>Nhân viên Kinh Doanh KV Miền trung và tây Nguyên</t>
        </is>
      </c>
      <c r="D10248" s="10" t="inlineStr">
        <is>
          <t>Công Ty Cổ Phần Quốc Tế Sơn Hà</t>
        </is>
      </c>
      <c r="E10248" s="10" t="inlineStr">
        <is>
          <t>Lương:Cạnh tranh</t>
        </is>
      </c>
      <c r="F10248" s="10" t="inlineStr">
        <is>
          <t>KV Nam Trung BộBình ĐịnhDak Lak</t>
        </is>
      </c>
      <c r="G10248" s="10" t="inlineStr">
        <is>
          <t>29-04-2026</t>
        </is>
      </c>
      <c r="H10248" s="10" t="inlineStr">
        <is>
          <t>29/04/2026</t>
        </is>
      </c>
      <c r="I10248" s="10" t="inlineStr">
        <is>
          <t>17/03/2026</t>
        </is>
      </c>
      <c r="J10248" s="10" t="inlineStr">
        <is>
          <t>Xây dựng, Sản xuất / Vận hành sản xuất, Bán hàng / Kinh doanh</t>
        </is>
      </c>
      <c r="K10248" s="10" t="inlineStr">
        <is>
          <t>1 - 3 Năm</t>
        </is>
      </c>
      <c r="L10248" s="11">
        <f>HYPERLINK("https://careerviet.vn/vi/tim-viec-lam/nhan-vien-kinh-doanh-kv-mien-trung-va-tay-nguyen.35C6C9BE.html","Xem chi tiết")</f>
        <v/>
      </c>
      <c r="M10248" s="10" t="n"/>
    </row>
    <row r="10249">
      <c r="B10249" s="7" t="n">
        <v>10247</v>
      </c>
      <c r="C10249" t="inlineStr">
        <is>
          <t>Quản lý nhà hàng</t>
        </is>
      </c>
      <c r="D10249" t="inlineStr">
        <is>
          <t>Công Ty TNHH TM &amp; XNK Nhất Lâm</t>
        </is>
      </c>
      <c r="E10249" t="inlineStr">
        <is>
          <t>Lương:Cạnh tranh</t>
        </is>
      </c>
      <c r="F10249" t="inlineStr">
        <is>
          <t>Hồ Chí Minh</t>
        </is>
      </c>
      <c r="G10249" t="inlineStr">
        <is>
          <t>30-04-2026</t>
        </is>
      </c>
      <c r="H10249" t="inlineStr">
        <is>
          <t>30/04/2026</t>
        </is>
      </c>
      <c r="I10249" t="inlineStr">
        <is>
          <t>17/03/2026</t>
        </is>
      </c>
      <c r="J10249" t="inlineStr">
        <is>
          <t>Nhà hàng / Khách sạn, Bán hàng / Kinh doanh, Tiếp thị / Marketing</t>
        </is>
      </c>
      <c r="K10249" t="inlineStr">
        <is>
          <t>1 - 2 Năm</t>
        </is>
      </c>
      <c r="L10249" s="8">
        <f>HYPERLINK("https://careerviet.vn/vi/tim-viec-lam/quan-ly-nha-hang.35C6C9C2.html","Xem chi tiết")</f>
        <v/>
      </c>
    </row>
    <row r="10250">
      <c r="B10250" s="9" t="n">
        <v>10248</v>
      </c>
      <c r="C10250" s="10" t="inlineStr">
        <is>
          <t>Senior Operations Optimization &amp; Control Analyst</t>
        </is>
      </c>
      <c r="D10250" s="10" t="inlineStr">
        <is>
          <t>CÔNG TY TNHH GALAXY DIGITAL HOLDINGS</t>
        </is>
      </c>
      <c r="E10250" s="10" t="inlineStr">
        <is>
          <t>Lương:Cạnh tranh</t>
        </is>
      </c>
      <c r="F10250" s="10" t="inlineStr">
        <is>
          <t>Hồ Chí Minh</t>
        </is>
      </c>
      <c r="G10250" s="10" t="inlineStr">
        <is>
          <t>13-04-2026</t>
        </is>
      </c>
      <c r="H10250" s="10" t="inlineStr">
        <is>
          <t>13/04/2026</t>
        </is>
      </c>
      <c r="I10250" s="10" t="inlineStr">
        <is>
          <t>17/03/2026</t>
        </is>
      </c>
      <c r="J10250" s="10" t="inlineStr">
        <is>
          <t>Ngành khác</t>
        </is>
      </c>
      <c r="K10250" s="10" t="inlineStr">
        <is>
          <t>3 - 5 Năm</t>
        </is>
      </c>
      <c r="L10250" s="11">
        <f>HYPERLINK("https://careerviet.vn/vi/tim-viec-lam/senior-operations-optimization-control-analyst.35C6C9C3.html","Xem chi tiết")</f>
        <v/>
      </c>
      <c r="M10250" s="10" t="n"/>
    </row>
    <row r="10251">
      <c r="B10251" s="7" t="n">
        <v>10249</v>
      </c>
      <c r="C10251" t="inlineStr">
        <is>
          <t>QMS Specialist</t>
        </is>
      </c>
      <c r="D10251" t="inlineStr">
        <is>
          <t>Công ty CP Thành Thành Công - Biên Hòa</t>
        </is>
      </c>
      <c r="E10251" t="inlineStr">
        <is>
          <t>Lương:Cạnh tranh</t>
        </is>
      </c>
      <c r="F10251" t="inlineStr">
        <is>
          <t>Hồ Chí Minh</t>
        </is>
      </c>
      <c r="G10251" t="inlineStr">
        <is>
          <t>12-04-2026</t>
        </is>
      </c>
      <c r="H10251" t="inlineStr">
        <is>
          <t>12/04/2026</t>
        </is>
      </c>
      <c r="I10251" t="inlineStr">
        <is>
          <t>17/03/2026</t>
        </is>
      </c>
      <c r="J10251" t="inlineStr">
        <is>
          <t>Quản lý chất lượng (QA/QC)</t>
        </is>
      </c>
      <c r="K10251" t="inlineStr">
        <is>
          <t>Trên 3 Năm</t>
        </is>
      </c>
      <c r="L10251" s="8">
        <f>HYPERLINK("https://careerviet.vn/vi/tim-viec-lam/qms-specialist.35C6869D.html","Xem chi tiết")</f>
        <v/>
      </c>
    </row>
    <row r="10252">
      <c r="B10252" s="9" t="n">
        <v>10250</v>
      </c>
      <c r="C10252" s="10" t="inlineStr">
        <is>
          <t>Kiến Trúc Sư</t>
        </is>
      </c>
      <c r="D10252" s="10" t="inlineStr">
        <is>
          <t>CÔNG TY CỔ PHẨN ỨNG DỤNG VÀ CHUYỂN GIAO CÔNG NGHỆ XÂY DỰNG (CJSC)</t>
        </is>
      </c>
      <c r="E10252" s="10" t="inlineStr">
        <is>
          <t>Lương:16 Tr - 20 Tr VND</t>
        </is>
      </c>
      <c r="F10252" s="10" t="inlineStr">
        <is>
          <t>Hà Nội</t>
        </is>
      </c>
      <c r="G10252" s="10" t="inlineStr">
        <is>
          <t>12-04-2026</t>
        </is>
      </c>
      <c r="H10252" s="10" t="inlineStr">
        <is>
          <t>12/04/2026</t>
        </is>
      </c>
      <c r="I10252" s="10" t="inlineStr">
        <is>
          <t>17/03/2026</t>
        </is>
      </c>
      <c r="J10252" s="10" t="inlineStr">
        <is>
          <t>Kiến trúc, Xây dựng</t>
        </is>
      </c>
      <c r="K10252" s="10" t="inlineStr">
        <is>
          <t>Trên 3 Năm</t>
        </is>
      </c>
      <c r="L10252" s="11">
        <f>HYPERLINK("https://careerviet.vn/vi/tim-viec-lam/kien-truc-su.35C65540.html","Xem chi tiết")</f>
        <v/>
      </c>
      <c r="M10252" s="10" t="n"/>
    </row>
    <row r="10253">
      <c r="B10253" s="7" t="n">
        <v>10251</v>
      </c>
      <c r="C10253" t="inlineStr">
        <is>
          <t>Nhân Viên Kế Toán Kho Tổng</t>
        </is>
      </c>
      <c r="D10253" t="inlineStr">
        <is>
          <t>Công ty TNHH Thực Phẩm Sạch Thương Mại T&amp;P</t>
        </is>
      </c>
      <c r="E10253" t="inlineStr">
        <is>
          <t>Lương:8 Tr - 11 Tr VND</t>
        </is>
      </c>
      <c r="F10253" t="inlineStr">
        <is>
          <t>Bắc Ninh</t>
        </is>
      </c>
      <c r="G10253" t="inlineStr">
        <is>
          <t>30-04-2026</t>
        </is>
      </c>
      <c r="H10253" t="inlineStr">
        <is>
          <t>30/04/2026</t>
        </is>
      </c>
      <c r="I10253" t="inlineStr">
        <is>
          <t>17/03/2026</t>
        </is>
      </c>
      <c r="J10253" t="inlineStr">
        <is>
          <t>Kế toán / Kiểm toán</t>
        </is>
      </c>
      <c r="K10253" t="inlineStr">
        <is>
          <t>Lên đến 1 Năm</t>
        </is>
      </c>
      <c r="L10253" s="8">
        <f>HYPERLINK("https://careerviet.vn/vi/tim-viec-lam/nhan-vien-ke-toan-kho-tong.35C6C9BA.html","Xem chi tiết")</f>
        <v/>
      </c>
    </row>
    <row r="10254">
      <c r="B10254" s="9" t="n">
        <v>10252</v>
      </c>
      <c r="C10254" s="10" t="inlineStr">
        <is>
          <t>Chuyên Viên Affiliate Marketing</t>
        </is>
      </c>
      <c r="D10254" s="10" t="inlineStr">
        <is>
          <t>Công Ty Cổ Phần TEECOM</t>
        </is>
      </c>
      <c r="E10254" s="10" t="inlineStr">
        <is>
          <t>Lương:Cạnh tranh</t>
        </is>
      </c>
      <c r="F10254" s="10" t="inlineStr">
        <is>
          <t>Hồ Chí Minh</t>
        </is>
      </c>
      <c r="G10254" s="10" t="inlineStr">
        <is>
          <t>12-04-2026</t>
        </is>
      </c>
      <c r="H10254" s="10" t="inlineStr">
        <is>
          <t>12/04/2026</t>
        </is>
      </c>
      <c r="I10254" s="10" t="inlineStr">
        <is>
          <t>17/03/2026</t>
        </is>
      </c>
      <c r="J10254" s="10" t="inlineStr">
        <is>
          <t>Tiếp thị trực tuyến, Thương mại điện tử, Quảng cáo / Đối ngoại / Truyền Thông</t>
        </is>
      </c>
      <c r="K10254" s="10" t="inlineStr">
        <is>
          <t>Chưa có kinh nghiệm</t>
        </is>
      </c>
      <c r="L10254" s="11">
        <f>HYPERLINK("https://careerviet.vn/vi/tim-viec-lam/chuyen-vien-affiliate-marketing.35C68710.html","Xem chi tiết")</f>
        <v/>
      </c>
      <c r="M10254" s="10" t="n"/>
    </row>
    <row r="10255">
      <c r="B10255" s="7" t="n">
        <v>10253</v>
      </c>
      <c r="C10255" t="inlineStr">
        <is>
          <t>CHUYÊN VIÊN TƯ VẤN ĐẦU TƯ KHÁCH HÀNG CÁ NHÂN (HÀ NỘI)</t>
        </is>
      </c>
      <c r="D10255" t="inlineStr">
        <is>
          <t>VDSC - Công ty CP Chứng khoán Rồng Việt</t>
        </is>
      </c>
      <c r="E10255" t="inlineStr">
        <is>
          <t>Lương:7 Tr - 20 Tr VND</t>
        </is>
      </c>
      <c r="F10255" t="inlineStr">
        <is>
          <t>Hà Nội</t>
        </is>
      </c>
      <c r="G10255" t="inlineStr">
        <is>
          <t>12-04-2026</t>
        </is>
      </c>
      <c r="H10255" t="inlineStr">
        <is>
          <t>12/04/2026</t>
        </is>
      </c>
      <c r="I10255" t="inlineStr">
        <is>
          <t>17/03/2026</t>
        </is>
      </c>
      <c r="J10255" t="inlineStr">
        <is>
          <t>Ngân hàng, Chứng khoán, Tài chính / Đầu tư</t>
        </is>
      </c>
      <c r="K10255" t="inlineStr">
        <is>
          <t>Trên 1 Năm</t>
        </is>
      </c>
      <c r="L10255" s="8">
        <f>HYPERLINK("https://careerviet.vn/vi/tim-viec-lam/chuyen-vien-tu-van-dau-tu-khach-hang-ca-nhan-ha-noi.35C6877A.html","Xem chi tiết")</f>
        <v/>
      </c>
    </row>
    <row r="10256">
      <c r="B10256" s="9" t="n">
        <v>10254</v>
      </c>
      <c r="C10256" s="10" t="inlineStr">
        <is>
          <t>Quản Lý Tuân Thủ Trách Nhiệm Xã Hội (SEA - All Level)</t>
        </is>
      </c>
      <c r="D10256" s="10" t="inlineStr">
        <is>
          <t>CÔNG TY TNHH HWASEUNG VINA</t>
        </is>
      </c>
      <c r="E10256" s="10" t="inlineStr">
        <is>
          <t>Lương:Cạnh tranh</t>
        </is>
      </c>
      <c r="F10256" s="10" t="inlineStr">
        <is>
          <t>Đồng NaiHồ Chí Minh</t>
        </is>
      </c>
      <c r="G10256" s="10" t="inlineStr">
        <is>
          <t>12-04-2026</t>
        </is>
      </c>
      <c r="H10256" s="10" t="inlineStr">
        <is>
          <t>12/04/2026</t>
        </is>
      </c>
      <c r="I10256" s="10" t="inlineStr">
        <is>
          <t>17/03/2026</t>
        </is>
      </c>
      <c r="J10256" s="10" t="inlineStr">
        <is>
          <t>Môi trường, Dệt may / Da giày / Thời trang, An toàn lao động</t>
        </is>
      </c>
      <c r="K10256" s="10" t="inlineStr">
        <is>
          <t>1 - 10 Năm</t>
        </is>
      </c>
      <c r="L10256" s="11">
        <f>HYPERLINK("https://careerviet.vn/vi/tim-viec-lam/quan-ly-tuan-thu-trach-nhiem-xa-hoi-sea-all-level.35C6530C.html","Xem chi tiết")</f>
        <v/>
      </c>
      <c r="M10256" s="10" t="n"/>
    </row>
    <row r="10257">
      <c r="B10257" s="7" t="n">
        <v>10255</v>
      </c>
      <c r="C10257" t="inlineStr">
        <is>
          <t>Nhân Viên Chăm Sóc (Dưỡng Lão)</t>
        </is>
      </c>
      <c r="D10257" t="inlineStr">
        <is>
          <t>BỆNH VIỆN ĐA KHOA PHƯƠNG ĐÔNG</t>
        </is>
      </c>
      <c r="E10257" t="inlineStr">
        <is>
          <t>Lương:8 Tr - 15 Tr VND</t>
        </is>
      </c>
      <c r="F10257" t="inlineStr">
        <is>
          <t>Hà Nội</t>
        </is>
      </c>
      <c r="G10257" t="inlineStr">
        <is>
          <t>15-04-2026</t>
        </is>
      </c>
      <c r="H10257" t="inlineStr">
        <is>
          <t>15/04/2026</t>
        </is>
      </c>
      <c r="I10257" t="inlineStr">
        <is>
          <t>17/03/2026</t>
        </is>
      </c>
      <c r="J10257" t="inlineStr">
        <is>
          <t>Y tế / Chăm sóc sức khỏe / Thẩm mỹ / Làm đẹp, Nhà hàng / Khách sạn, Mới tốt nghiệp / Thực tập</t>
        </is>
      </c>
      <c r="K10257" t="inlineStr">
        <is>
          <t>Trên 1 Năm</t>
        </is>
      </c>
      <c r="L10257" s="8">
        <f>HYPERLINK("https://careerviet.vn/vi/tim-viec-lam/nhan-vien-cham-soc-duong-lao.35C6C9BB.html","Xem chi tiết")</f>
        <v/>
      </c>
    </row>
    <row r="10258">
      <c r="B10258" s="9" t="n">
        <v>10256</v>
      </c>
      <c r="C10258" s="10" t="inlineStr">
        <is>
          <t>Nhân Viên Kế Hoạch Mua Hàng</t>
        </is>
      </c>
      <c r="D10258" s="10" t="inlineStr">
        <is>
          <t>Công Ty Cổ Phần Đầu Tư Và Phát Triển Nhựa Gỗ Châu Âu</t>
        </is>
      </c>
      <c r="E10258" s="10" t="inlineStr">
        <is>
          <t>Lương:14 Tr - 16 Tr VND</t>
        </is>
      </c>
      <c r="F10258" s="10" t="inlineStr">
        <is>
          <t>Hà Nội</t>
        </is>
      </c>
      <c r="G10258" s="10" t="inlineStr">
        <is>
          <t>12-04-2026</t>
        </is>
      </c>
      <c r="H10258" s="10" t="inlineStr">
        <is>
          <t>12/04/2026</t>
        </is>
      </c>
      <c r="I10258" s="10" t="inlineStr">
        <is>
          <t>17/03/2026</t>
        </is>
      </c>
      <c r="J10258" s="10" t="inlineStr">
        <is>
          <t>Quản lý điều hành, Sản xuất / Vận hành sản xuất, Thu mua / Vật tư</t>
        </is>
      </c>
      <c r="K10258" s="10" t="inlineStr">
        <is>
          <t>1 - 2 Năm</t>
        </is>
      </c>
      <c r="L10258" s="11">
        <f>HYPERLINK("https://careerviet.vn/vi/tim-viec-lam/nhan-vien-ke-hoach-mua-hang.35C653EE.html","Xem chi tiết")</f>
        <v/>
      </c>
      <c r="M10258" s="10" t="n"/>
    </row>
    <row r="10259">
      <c r="B10259" s="7" t="n">
        <v>10257</v>
      </c>
      <c r="C10259" t="inlineStr">
        <is>
          <t>Thiết Kế Đồ Họa Game Tại Đà Nẵng</t>
        </is>
      </c>
      <c r="D10259" t="inlineStr">
        <is>
          <t>Koei Tecmo Software Vietnam</t>
        </is>
      </c>
      <c r="E10259" t="inlineStr">
        <is>
          <t>Lương:Cạnh tranh</t>
        </is>
      </c>
      <c r="F10259" t="inlineStr">
        <is>
          <t>Hồ Chí Minh</t>
        </is>
      </c>
      <c r="G10259" t="inlineStr">
        <is>
          <t>12-04-2026</t>
        </is>
      </c>
      <c r="H10259" t="inlineStr">
        <is>
          <t>12/04/2026</t>
        </is>
      </c>
      <c r="I10259" t="inlineStr">
        <is>
          <t>17/03/2026</t>
        </is>
      </c>
      <c r="J10259" t="inlineStr">
        <is>
          <t>Mỹ thuật / Nghệ thuật / Thiết kế</t>
        </is>
      </c>
      <c r="K10259" t="inlineStr">
        <is>
          <t>N/A</t>
        </is>
      </c>
      <c r="L10259" s="8">
        <f>HYPERLINK("https://careerviet.vn/vi/tim-viec-lam/thiet-ke-do-hoa-game-tai-da-nang.35C68764.html","Xem chi tiết")</f>
        <v/>
      </c>
    </row>
    <row r="10260">
      <c r="B10260" s="9" t="n">
        <v>10258</v>
      </c>
      <c r="C10260" s="10" t="inlineStr">
        <is>
          <t>Graphic designer Executive</t>
        </is>
      </c>
      <c r="D10260" s="10" t="inlineStr">
        <is>
          <t>Công ty TNHH Mỹ Phục - Eva De Eva</t>
        </is>
      </c>
      <c r="E10260" s="10" t="inlineStr">
        <is>
          <t>Lương:12 Tr - 14 Tr VND</t>
        </is>
      </c>
      <c r="F10260" s="10" t="inlineStr">
        <is>
          <t>Hà Nội</t>
        </is>
      </c>
      <c r="G10260" s="10" t="inlineStr">
        <is>
          <t>12-04-2026</t>
        </is>
      </c>
      <c r="H10260" s="10" t="inlineStr">
        <is>
          <t>12/04/2026</t>
        </is>
      </c>
      <c r="I10260" s="10" t="inlineStr">
        <is>
          <t>17/03/2026</t>
        </is>
      </c>
      <c r="J10260" s="10" t="inlineStr">
        <is>
          <t>Tiếp thị / Marketing, Dệt may / Da giày / Thời trang</t>
        </is>
      </c>
      <c r="K10260" s="10" t="inlineStr">
        <is>
          <t>1 - 3 Năm</t>
        </is>
      </c>
      <c r="L10260" s="11">
        <f>HYPERLINK("https://careerviet.vn/vi/tim-viec-lam/graphic-designer-executive.35C68793.html","Xem chi tiết")</f>
        <v/>
      </c>
      <c r="M10260" s="10" t="n"/>
    </row>
    <row r="10261">
      <c r="B10261" s="7" t="n">
        <v>10259</v>
      </c>
      <c r="C10261" t="inlineStr">
        <is>
          <t>Thợ vận hành máy CNC lắp ráp sản phẩm</t>
        </is>
      </c>
      <c r="D10261" t="inlineStr">
        <is>
          <t>CÔNG TY CỔ PHẦN DHNTECH VIỆT NAM</t>
        </is>
      </c>
      <c r="E10261" t="inlineStr">
        <is>
          <t>Lương:10 Tr - 20 Tr VND</t>
        </is>
      </c>
      <c r="F10261" t="inlineStr">
        <is>
          <t>Hà Nội</t>
        </is>
      </c>
      <c r="G10261" t="inlineStr">
        <is>
          <t>12-04-2026</t>
        </is>
      </c>
      <c r="H10261" t="inlineStr">
        <is>
          <t>12/04/2026</t>
        </is>
      </c>
      <c r="I10261" t="inlineStr">
        <is>
          <t>17/03/2026</t>
        </is>
      </c>
      <c r="J10261" t="inlineStr">
        <is>
          <t>Cơ khí / Ô tô / Tự động hóa</t>
        </is>
      </c>
      <c r="K10261" t="inlineStr">
        <is>
          <t>1 - 2 Năm</t>
        </is>
      </c>
      <c r="L10261" s="8">
        <f>HYPERLINK("https://careerviet.vn/vi/tim-viec-lam/tho-van-hanh-may-cnc-lap-rap-san-pham.35C686F0.html","Xem chi tiết")</f>
        <v/>
      </c>
    </row>
    <row r="10262">
      <c r="B10262" s="9" t="n">
        <v>10260</v>
      </c>
      <c r="C10262" s="10" t="inlineStr">
        <is>
          <t>Sale Admin</t>
        </is>
      </c>
      <c r="D10262" s="10" t="inlineStr">
        <is>
          <t>CÔNG TY TƯ VẤN XÂY DỰNG HÀ NỘI - Thuộc Tập đoàn AMACCAO</t>
        </is>
      </c>
      <c r="E10262" s="10" t="inlineStr">
        <is>
          <t>Lương:12 Tr - 15 Tr VND</t>
        </is>
      </c>
      <c r="F10262" s="10" t="inlineStr">
        <is>
          <t>Hà Nội</t>
        </is>
      </c>
      <c r="G10262" s="10" t="inlineStr">
        <is>
          <t>12-04-2026</t>
        </is>
      </c>
      <c r="H10262" s="10" t="inlineStr">
        <is>
          <t>12/04/2026</t>
        </is>
      </c>
      <c r="I10262" s="10" t="inlineStr">
        <is>
          <t>17/03/2026</t>
        </is>
      </c>
      <c r="J10262" s="10" t="inlineStr">
        <is>
          <t>Xây dựng, Hành chính / Thư ký, Bán hàng / Kinh doanh</t>
        </is>
      </c>
      <c r="K10262" s="10" t="inlineStr">
        <is>
          <t>Trên 1 Năm</t>
        </is>
      </c>
      <c r="L10262" s="11">
        <f>HYPERLINK("https://careerviet.vn/vi/tim-viec-lam/sale-admin.35C653C0.html","Xem chi tiết")</f>
        <v/>
      </c>
      <c r="M10262" s="10" t="n"/>
    </row>
    <row r="10263">
      <c r="B10263" s="7" t="n">
        <v>10261</v>
      </c>
      <c r="C10263" t="inlineStr">
        <is>
          <t>Software Engineer</t>
        </is>
      </c>
      <c r="D10263" t="inlineStr">
        <is>
          <t>Công ty TNHH Greystone Data Systems Việt Nam</t>
        </is>
      </c>
      <c r="E10263" t="inlineStr">
        <is>
          <t>Lương:12 Tr - 25 Tr VND</t>
        </is>
      </c>
      <c r="F10263" t="inlineStr">
        <is>
          <t>Hồ Chí Minh</t>
        </is>
      </c>
      <c r="G10263" t="inlineStr">
        <is>
          <t>12-04-2026</t>
        </is>
      </c>
      <c r="H10263" t="inlineStr">
        <is>
          <t>12/04/2026</t>
        </is>
      </c>
      <c r="I10263" t="inlineStr">
        <is>
          <t>17/03/2026</t>
        </is>
      </c>
      <c r="J10263" t="inlineStr">
        <is>
          <t>Điện / Điện tử / Điện lạnh / Điện công nghiệp, CNTT - Phần mềm, Cơ khí / Ô tô / Tự động hóa</t>
        </is>
      </c>
      <c r="K10263" t="inlineStr">
        <is>
          <t>N/A</t>
        </is>
      </c>
      <c r="L10263" s="8">
        <f>HYPERLINK("https://careerviet.vn/vi/tim-viec-lam/software-engineer.35C6875D.html","Xem chi tiết")</f>
        <v/>
      </c>
    </row>
    <row r="10264">
      <c r="B10264" s="9" t="n">
        <v>10262</v>
      </c>
      <c r="C10264" s="10" t="inlineStr">
        <is>
          <t>Chuyên viên kinh doanh B2B đồng phục - phỏng vấn sau Tết</t>
        </is>
      </c>
      <c r="D10264" s="10" t="inlineStr">
        <is>
          <t>Công ty Cổ phần CANIFA</t>
        </is>
      </c>
      <c r="E10264" s="10" t="inlineStr">
        <is>
          <t>Lương:Cạnh tranh</t>
        </is>
      </c>
      <c r="F10264" s="10" t="inlineStr">
        <is>
          <t>Hà Nội</t>
        </is>
      </c>
      <c r="G10264" s="10" t="inlineStr">
        <is>
          <t>12-04-2026</t>
        </is>
      </c>
      <c r="H10264" s="10" t="inlineStr">
        <is>
          <t>12/04/2026</t>
        </is>
      </c>
      <c r="I10264" s="10" t="inlineStr">
        <is>
          <t>17/03/2026</t>
        </is>
      </c>
      <c r="J10264" s="10" t="inlineStr">
        <is>
          <t>Bán lẻ / Bán sỉ, Bán hàng / Kinh doanh, Dệt may / Da giày / Thời trang</t>
        </is>
      </c>
      <c r="K10264" s="10" t="inlineStr">
        <is>
          <t>1 - 3 Năm</t>
        </is>
      </c>
      <c r="L10264" s="11">
        <f>HYPERLINK("https://careerviet.vn/vi/tim-viec-lam/chuyen-vien-kinh-doanh-b2b-dong-phuc-phong-van-sau-tet.35C68681.html","Xem chi tiết")</f>
        <v/>
      </c>
      <c r="M10264" s="10" t="n"/>
    </row>
    <row r="10265">
      <c r="B10265" s="7" t="n">
        <v>10263</v>
      </c>
      <c r="C10265" t="inlineStr">
        <is>
          <t>Chuyên viên kinh doanh tủ điện TBA</t>
        </is>
      </c>
      <c r="D10265" t="inlineStr">
        <is>
          <t>Công ty CP thiết bị điện và xây dựng công nghiệp Việt Nam</t>
        </is>
      </c>
      <c r="E10265" t="inlineStr">
        <is>
          <t>Lương:20 Tr - 35 Tr VND</t>
        </is>
      </c>
      <c r="F10265" t="inlineStr">
        <is>
          <t>Hà Nội</t>
        </is>
      </c>
      <c r="G10265" t="inlineStr">
        <is>
          <t>12-04-2026</t>
        </is>
      </c>
      <c r="H10265" t="inlineStr">
        <is>
          <t>12/04/2026</t>
        </is>
      </c>
      <c r="I10265" t="inlineStr">
        <is>
          <t>17/03/2026</t>
        </is>
      </c>
      <c r="J10265" t="inlineStr">
        <is>
          <t>Bán hàng / Kinh doanh</t>
        </is>
      </c>
      <c r="K10265" t="inlineStr">
        <is>
          <t>1 - 2 Năm</t>
        </is>
      </c>
      <c r="L10265" s="8">
        <f>HYPERLINK("https://careerviet.vn/vi/tim-viec-lam/chuyen-vien-kinh-doanh-tu-dien-tba.35C654DD.html","Xem chi tiết")</f>
        <v/>
      </c>
    </row>
    <row r="10266">
      <c r="B10266" s="9" t="n">
        <v>10264</v>
      </c>
      <c r="C10266" s="10" t="inlineStr">
        <is>
          <t>QC assistant</t>
        </is>
      </c>
      <c r="D10266" s="10" t="inlineStr">
        <is>
          <t>Phuc Thang Fine Furniture</t>
        </is>
      </c>
      <c r="E10266" s="10" t="inlineStr">
        <is>
          <t>Lương:Cạnh tranh</t>
        </is>
      </c>
      <c r="F10266" s="10" t="inlineStr">
        <is>
          <t>Bình Dương</t>
        </is>
      </c>
      <c r="G10266" s="10" t="inlineStr">
        <is>
          <t>12-04-2026</t>
        </is>
      </c>
      <c r="H10266" s="10" t="inlineStr">
        <is>
          <t>12/04/2026</t>
        </is>
      </c>
      <c r="I10266" s="10" t="inlineStr">
        <is>
          <t>17/03/2026</t>
        </is>
      </c>
      <c r="J10266" s="10" t="inlineStr">
        <is>
          <t>Đồ gỗ, Quản lý chất lượng (QA/QC), Nội ngoại thất</t>
        </is>
      </c>
      <c r="K10266" s="10" t="inlineStr">
        <is>
          <t>5 - 15 Năm</t>
        </is>
      </c>
      <c r="L10266" s="11">
        <f>HYPERLINK("https://careerviet.vn/vi/tim-viec-lam/qc-assistant.35C68770.html","Xem chi tiết")</f>
        <v/>
      </c>
      <c r="M10266" s="10" t="n"/>
    </row>
    <row r="10267">
      <c r="B10267" s="7" t="n">
        <v>10265</v>
      </c>
      <c r="C10267" t="inlineStr">
        <is>
          <t>QA Manager</t>
        </is>
      </c>
      <c r="D10267" t="inlineStr">
        <is>
          <t>Công Ty TNHH SX Và TM Quân Đạt</t>
        </is>
      </c>
      <c r="E10267" t="inlineStr">
        <is>
          <t>Lương:Cạnh tranh</t>
        </is>
      </c>
      <c r="F10267" t="inlineStr">
        <is>
          <t>Bình Dương</t>
        </is>
      </c>
      <c r="G10267" t="inlineStr">
        <is>
          <t>12-04-2026</t>
        </is>
      </c>
      <c r="H10267" t="inlineStr">
        <is>
          <t>12/04/2026</t>
        </is>
      </c>
      <c r="I10267" t="inlineStr">
        <is>
          <t>17/03/2026</t>
        </is>
      </c>
      <c r="J10267" t="inlineStr">
        <is>
          <t>Quản lý chất lượng (QA/QC)</t>
        </is>
      </c>
      <c r="K10267" t="inlineStr">
        <is>
          <t>8 - 10 Năm</t>
        </is>
      </c>
      <c r="L10267" s="8">
        <f>HYPERLINK("https://careerviet.vn/vi/tim-viec-lam/qa-manager.35C68659.html","Xem chi tiết")</f>
        <v/>
      </c>
    </row>
    <row r="10268">
      <c r="B10268" s="9" t="n">
        <v>10266</v>
      </c>
      <c r="C10268" s="10" t="inlineStr">
        <is>
          <t>Chuyên viên Dịch vụ khách hàng</t>
        </is>
      </c>
      <c r="D10268" s="10" t="inlineStr">
        <is>
          <t>CÔNG TY CỔ PHẦN BAO BÌ BIÊN HÒA</t>
        </is>
      </c>
      <c r="E10268" s="10" t="inlineStr">
        <is>
          <t>Lương:12 Tr - 15 Tr VND</t>
        </is>
      </c>
      <c r="F10268" s="10" t="inlineStr">
        <is>
          <t>Đồng Nai</t>
        </is>
      </c>
      <c r="G10268" s="10" t="inlineStr">
        <is>
          <t>12-04-2026</t>
        </is>
      </c>
      <c r="H10268" s="10" t="inlineStr">
        <is>
          <t>12/04/2026</t>
        </is>
      </c>
      <c r="I10268" s="10" t="inlineStr">
        <is>
          <t>17/03/2026</t>
        </is>
      </c>
      <c r="J10268" s="10" t="inlineStr">
        <is>
          <t>Sản xuất / Vận hành sản xuất, Ngành khác, Bán hàng / Kinh doanh</t>
        </is>
      </c>
      <c r="K10268" s="10" t="inlineStr">
        <is>
          <t>Trên 1 Năm</t>
        </is>
      </c>
      <c r="L10268" s="11">
        <f>HYPERLINK("https://careerviet.vn/vi/tim-viec-lam/chuyen-vien-dich-vu-khach-hang.35C6863B.html","Xem chi tiết")</f>
        <v/>
      </c>
      <c r="M10268" s="10" t="n"/>
    </row>
    <row r="10269">
      <c r="B10269" s="7" t="n">
        <v>10267</v>
      </c>
      <c r="C10269" t="inlineStr">
        <is>
          <t>KẾ TOÁN NGÂN HÀNG &amp; THANH TOÁN QUỐC TẾ</t>
        </is>
      </c>
      <c r="D10269" t="inlineStr">
        <is>
          <t>Công ty Cổ phần Inmatech</t>
        </is>
      </c>
      <c r="E10269" t="inlineStr">
        <is>
          <t>Lương:Cạnh tranh</t>
        </is>
      </c>
      <c r="F10269" t="inlineStr">
        <is>
          <t>Hồ Chí Minh</t>
        </is>
      </c>
      <c r="G10269" t="inlineStr">
        <is>
          <t>12-04-2026</t>
        </is>
      </c>
      <c r="H10269" t="inlineStr">
        <is>
          <t>12/04/2026</t>
        </is>
      </c>
      <c r="I10269" t="inlineStr">
        <is>
          <t>17/03/2026</t>
        </is>
      </c>
      <c r="J10269" t="inlineStr">
        <is>
          <t>Kế toán / Kiểm toán, Tài chính / Đầu tư</t>
        </is>
      </c>
      <c r="K10269" t="inlineStr">
        <is>
          <t>2 - 5 Năm</t>
        </is>
      </c>
      <c r="L10269" s="8">
        <f>HYPERLINK("https://careerviet.vn/vi/tim-viec-lam/ke-toan-ngan-hang-thanh-toan-quoc-te.35C6554F.html","Xem chi tiết")</f>
        <v/>
      </c>
    </row>
    <row r="10270">
      <c r="B10270" s="9" t="n">
        <v>10268</v>
      </c>
      <c r="C10270" s="10" t="inlineStr">
        <is>
          <t>SALES ASSISTANT (tiếng Trung)</t>
        </is>
      </c>
      <c r="D10270" s="10" t="inlineStr">
        <is>
          <t>Công Ty TNHH YKK Việt Nam</t>
        </is>
      </c>
      <c r="E10270" s="10" t="inlineStr">
        <is>
          <t>Lương:11 Tr - 13 Tr VND</t>
        </is>
      </c>
      <c r="F10270" s="10" t="inlineStr">
        <is>
          <t>Hồ Chí Minh</t>
        </is>
      </c>
      <c r="G10270" s="10" t="inlineStr">
        <is>
          <t>12-04-2026</t>
        </is>
      </c>
      <c r="H10270" s="10" t="inlineStr">
        <is>
          <t>12/04/2026</t>
        </is>
      </c>
      <c r="I10270" s="10" t="inlineStr">
        <is>
          <t>17/03/2026</t>
        </is>
      </c>
      <c r="J10270" s="10" t="inlineStr">
        <is>
          <t>Bán hàng / Kinh doanh, Biên phiên dịch, Dịch vụ khách hàng</t>
        </is>
      </c>
      <c r="K10270" s="10" t="inlineStr">
        <is>
          <t>N/A</t>
        </is>
      </c>
      <c r="L10270" s="11">
        <f>HYPERLINK("https://careerviet.vn/vi/tim-viec-lam/sales-assistant-tieng-trung.35C685D9.html","Xem chi tiết")</f>
        <v/>
      </c>
      <c r="M10270" s="10" t="n"/>
    </row>
    <row r="10271">
      <c r="B10271" s="7" t="n">
        <v>10269</v>
      </c>
      <c r="C10271" t="inlineStr">
        <is>
          <t>Kỹ Sư QS</t>
        </is>
      </c>
      <c r="D10271" t="inlineStr">
        <is>
          <t>CÔNG TY CỔ PHẦN ĐẦU TƯ ĐÔNG BẮC LAND</t>
        </is>
      </c>
      <c r="E10271" t="inlineStr">
        <is>
          <t>Lương:Cạnh tranh</t>
        </is>
      </c>
      <c r="F10271" t="inlineStr">
        <is>
          <t>Hà Nội</t>
        </is>
      </c>
      <c r="G10271" t="inlineStr">
        <is>
          <t>12-04-2026</t>
        </is>
      </c>
      <c r="H10271" t="inlineStr">
        <is>
          <t>12/04/2026</t>
        </is>
      </c>
      <c r="I10271" t="inlineStr">
        <is>
          <t>17/03/2026</t>
        </is>
      </c>
      <c r="J10271" t="inlineStr">
        <is>
          <t>Kiến trúc, Xây dựng, Hành chính / Thư ký</t>
        </is>
      </c>
      <c r="K10271" t="inlineStr">
        <is>
          <t>Trên 10 Năm</t>
        </is>
      </c>
      <c r="L10271" s="8">
        <f>HYPERLINK("https://careerviet.vn/vi/tim-viec-lam/ky-su-qs.35C6551C.html","Xem chi tiết")</f>
        <v/>
      </c>
    </row>
    <row r="10272">
      <c r="B10272" s="9" t="n">
        <v>10270</v>
      </c>
      <c r="C10272" s="10" t="inlineStr">
        <is>
          <t>Senior Graphic Designer</t>
        </is>
      </c>
      <c r="D10272" s="10" t="inlineStr">
        <is>
          <t>Công ty TNHH Mỹ Phục - Eva De Eva</t>
        </is>
      </c>
      <c r="E10272" s="10" t="inlineStr">
        <is>
          <t>Lương:15 Tr - 17 Tr VND</t>
        </is>
      </c>
      <c r="F10272" s="10" t="inlineStr">
        <is>
          <t>Hà Nội</t>
        </is>
      </c>
      <c r="G10272" s="10" t="inlineStr">
        <is>
          <t>12-04-2026</t>
        </is>
      </c>
      <c r="H10272" s="10" t="inlineStr">
        <is>
          <t>12/04/2026</t>
        </is>
      </c>
      <c r="I10272" s="10" t="inlineStr">
        <is>
          <t>17/03/2026</t>
        </is>
      </c>
      <c r="J10272" s="10" t="inlineStr">
        <is>
          <t>Tiếp thị / Marketing, Dược phẩm/ Hóa Mỹ Phẩm, Dệt may / Da giày / Thời trang</t>
        </is>
      </c>
      <c r="K10272" s="10" t="inlineStr">
        <is>
          <t>2 - 5 Năm</t>
        </is>
      </c>
      <c r="L10272" s="11">
        <f>HYPERLINK("https://careerviet.vn/vi/tim-viec-lam/senior-graphic-designer.35C6878C.html","Xem chi tiết")</f>
        <v/>
      </c>
      <c r="M10272" s="10" t="n"/>
    </row>
    <row r="10273">
      <c r="B10273" s="7" t="n">
        <v>10271</v>
      </c>
      <c r="C10273" t="inlineStr">
        <is>
          <t>Trưởng Phòng QS Nội Thất</t>
        </is>
      </c>
      <c r="D10273" t="inlineStr">
        <is>
          <t>Công ty TNHH Nesta</t>
        </is>
      </c>
      <c r="E10273" t="inlineStr">
        <is>
          <t>Lương:25 Tr - 35 Tr VND</t>
        </is>
      </c>
      <c r="F10273" t="inlineStr">
        <is>
          <t>Hưng Yên</t>
        </is>
      </c>
      <c r="G10273" t="inlineStr">
        <is>
          <t>12-04-2026</t>
        </is>
      </c>
      <c r="H10273" t="inlineStr">
        <is>
          <t>12/04/2026</t>
        </is>
      </c>
      <c r="I10273" t="inlineStr">
        <is>
          <t>17/03/2026</t>
        </is>
      </c>
      <c r="J10273" t="inlineStr">
        <is>
          <t>Kế toán / Kiểm toán, Kiến trúc, Nội ngoại thất</t>
        </is>
      </c>
      <c r="K10273" t="inlineStr">
        <is>
          <t>3 - 5 Năm</t>
        </is>
      </c>
      <c r="L10273" s="8">
        <f>HYPERLINK("https://careerviet.vn/vi/tim-viec-lam/truong-phong-qs-noi-that.35C65544.html","Xem chi tiết")</f>
        <v/>
      </c>
    </row>
    <row r="10274">
      <c r="B10274" s="9" t="n">
        <v>10272</v>
      </c>
      <c r="C10274" s="10" t="inlineStr">
        <is>
          <t>QC Manager</t>
        </is>
      </c>
      <c r="D10274" s="10" t="inlineStr">
        <is>
          <t>Công Ty TNHH SX Và TM Quân Đạt</t>
        </is>
      </c>
      <c r="E10274" s="10" t="inlineStr">
        <is>
          <t>Lương:Cạnh tranh</t>
        </is>
      </c>
      <c r="F10274" s="10" t="inlineStr">
        <is>
          <t>Bình Dương</t>
        </is>
      </c>
      <c r="G10274" s="10" t="inlineStr">
        <is>
          <t>12-04-2026</t>
        </is>
      </c>
      <c r="H10274" s="10" t="inlineStr">
        <is>
          <t>12/04/2026</t>
        </is>
      </c>
      <c r="I10274" s="10" t="inlineStr">
        <is>
          <t>17/03/2026</t>
        </is>
      </c>
      <c r="J10274" s="10" t="inlineStr">
        <is>
          <t>Quản lý chất lượng (QA/QC)</t>
        </is>
      </c>
      <c r="K10274" s="10" t="inlineStr">
        <is>
          <t>8 - 10 Năm</t>
        </is>
      </c>
      <c r="L10274" s="11">
        <f>HYPERLINK("https://careerviet.vn/vi/tim-viec-lam/qc-manager.35C68649.html","Xem chi tiết")</f>
        <v/>
      </c>
      <c r="M10274" s="10" t="n"/>
    </row>
    <row r="10275">
      <c r="B10275" s="7" t="n">
        <v>10273</v>
      </c>
      <c r="C10275" t="inlineStr">
        <is>
          <t>Chuyên Viên Bất Động Sản Tìm Kiếm Mặt Bằng (Hà Nội / Hồ Chí Minh)</t>
        </is>
      </c>
      <c r="D10275" t="inlineStr">
        <is>
          <t>Công Ty CP Dược Phẩm Pharmacity</t>
        </is>
      </c>
      <c r="E10275" t="inlineStr">
        <is>
          <t>Lương:20 Tr - 25 Tr VND</t>
        </is>
      </c>
      <c r="F10275" t="inlineStr">
        <is>
          <t>Hà Nội</t>
        </is>
      </c>
      <c r="G10275" t="inlineStr">
        <is>
          <t>12-04-2026</t>
        </is>
      </c>
      <c r="H10275" t="inlineStr">
        <is>
          <t>12/04/2026</t>
        </is>
      </c>
      <c r="I10275" t="inlineStr">
        <is>
          <t>17/03/2026</t>
        </is>
      </c>
      <c r="J10275" t="inlineStr">
        <is>
          <t>Hàng gia dụng / Chăm sóc cá nhân, Thực phẩm &amp; Đồ uống, Bất động sản</t>
        </is>
      </c>
      <c r="K10275" t="inlineStr">
        <is>
          <t>1 - 10 Năm</t>
        </is>
      </c>
      <c r="L10275" s="8">
        <f>HYPERLINK("https://careerviet.vn/vi/tim-viec-lam/chuyen-vien-bat-dong-san-tim-kiem-mat-bang-ha-noi-ho-chi-minh.35C653F8.html","Xem chi tiết")</f>
        <v/>
      </c>
    </row>
    <row r="10276">
      <c r="B10276" s="9" t="n">
        <v>10274</v>
      </c>
      <c r="C10276" s="10" t="inlineStr">
        <is>
          <t>Kỹ Sư Thiết Kế Hệ Thống Nước - Revit/ Junior Plumbing Engineer - Revit</t>
        </is>
      </c>
      <c r="D10276" s="10" t="inlineStr">
        <is>
          <t>Công Ty TNHH Boydens Vietnam part of Sweco</t>
        </is>
      </c>
      <c r="E10276" s="10" t="inlineStr">
        <is>
          <t>Lương:Cạnh tranh</t>
        </is>
      </c>
      <c r="F10276" s="10" t="inlineStr">
        <is>
          <t>Hà Nội</t>
        </is>
      </c>
      <c r="G10276" s="10" t="inlineStr">
        <is>
          <t>12-04-2026</t>
        </is>
      </c>
      <c r="H10276" s="10" t="inlineStr">
        <is>
          <t>12/04/2026</t>
        </is>
      </c>
      <c r="I10276" s="10" t="inlineStr">
        <is>
          <t>17/03/2026</t>
        </is>
      </c>
      <c r="J10276" s="10" t="inlineStr">
        <is>
          <t>Môi trường, Xây dựng, Điện / Điện tử / Điện lạnh / Điện công nghiệp</t>
        </is>
      </c>
      <c r="K10276" s="10" t="inlineStr">
        <is>
          <t>Trên 4 Năm</t>
        </is>
      </c>
      <c r="L10276" s="11">
        <f>HYPERLINK("https://careerviet.vn/vi/tim-viec-lam/ky-su-thiet-ke-he-thong-nuoc-revit-junior-plumbing-engineer-revit.35C686C2.html","Xem chi tiết")</f>
        <v/>
      </c>
      <c r="M10276" s="10" t="n"/>
    </row>
    <row r="10277">
      <c r="B10277" s="7" t="n">
        <v>10275</v>
      </c>
      <c r="C10277" t="inlineStr">
        <is>
          <t>Nhân viên thủ kho</t>
        </is>
      </c>
      <c r="D10277" t="inlineStr">
        <is>
          <t>Công ty cổ phần văn phòng phẩm Hồng Hà</t>
        </is>
      </c>
      <c r="E10277" t="inlineStr">
        <is>
          <t>Lương:10 Tr - 15 Tr VND</t>
        </is>
      </c>
      <c r="F10277" t="inlineStr">
        <is>
          <t>Long An</t>
        </is>
      </c>
      <c r="G10277" t="inlineStr">
        <is>
          <t>12-04-2026</t>
        </is>
      </c>
      <c r="H10277" t="inlineStr">
        <is>
          <t>12/04/2026</t>
        </is>
      </c>
      <c r="I10277" t="inlineStr">
        <is>
          <t>17/03/2026</t>
        </is>
      </c>
      <c r="J10277" t="inlineStr">
        <is>
          <t>Vận chuyển / Giao nhận / Kho vận, Tài chính / Đầu tư, Kế toán / Kiểm toán</t>
        </is>
      </c>
      <c r="K10277" t="inlineStr">
        <is>
          <t>2 - 3 Năm</t>
        </is>
      </c>
      <c r="L10277" s="8">
        <f>HYPERLINK("https://careerviet.vn/vi/tim-viec-lam/nhan-vien-thu-kho.35C653A8.html","Xem chi tiết")</f>
        <v/>
      </c>
    </row>
    <row r="10278">
      <c r="B10278" s="9" t="n">
        <v>10276</v>
      </c>
      <c r="C10278" s="10" t="inlineStr">
        <is>
          <t>Multimedia Producer</t>
        </is>
      </c>
      <c r="D10278" s="10" t="inlineStr">
        <is>
          <t>Vascara Group</t>
        </is>
      </c>
      <c r="E10278" s="10" t="inlineStr">
        <is>
          <t>Lương:Cạnh tranh</t>
        </is>
      </c>
      <c r="F10278" s="10" t="inlineStr">
        <is>
          <t>Hồ Chí Minh</t>
        </is>
      </c>
      <c r="G10278" s="10" t="inlineStr">
        <is>
          <t>12-04-2026</t>
        </is>
      </c>
      <c r="H10278" s="10" t="inlineStr">
        <is>
          <t>12/04/2026</t>
        </is>
      </c>
      <c r="I10278" s="10" t="inlineStr">
        <is>
          <t>17/03/2026</t>
        </is>
      </c>
      <c r="J10278" s="10" t="inlineStr">
        <is>
          <t>Tiếp thị / Marketing, Tiếp thị trực tuyến, Quảng cáo / Đối ngoại / Truyền Thông</t>
        </is>
      </c>
      <c r="K10278" s="10" t="inlineStr">
        <is>
          <t>1 - 3 Năm</t>
        </is>
      </c>
      <c r="L10278" s="11">
        <f>HYPERLINK("https://careerviet.vn/vi/tim-viec-lam/multimedia-producer.35C68700.html","Xem chi tiết")</f>
        <v/>
      </c>
      <c r="M10278" s="10" t="n"/>
    </row>
    <row r="10279">
      <c r="B10279" s="7" t="n">
        <v>10277</v>
      </c>
      <c r="C10279" t="inlineStr">
        <is>
          <t>nhân viên audit</t>
        </is>
      </c>
      <c r="D10279" t="inlineStr">
        <is>
          <t>CÔNG TY TNHH SYNCMOLD ĐỒNG NAI</t>
        </is>
      </c>
      <c r="E10279" t="inlineStr">
        <is>
          <t>Lương:Cạnh tranh</t>
        </is>
      </c>
      <c r="F10279" t="inlineStr">
        <is>
          <t>Đồng Nai</t>
        </is>
      </c>
      <c r="G10279" t="inlineStr">
        <is>
          <t>12-04-2026</t>
        </is>
      </c>
      <c r="H10279" t="inlineStr">
        <is>
          <t>12/04/2026</t>
        </is>
      </c>
      <c r="I10279" t="inlineStr">
        <is>
          <t>17/03/2026</t>
        </is>
      </c>
      <c r="J10279" t="inlineStr">
        <is>
          <t>Nhân sự</t>
        </is>
      </c>
      <c r="K10279" t="inlineStr">
        <is>
          <t>Chưa có kinh nghiệm</t>
        </is>
      </c>
      <c r="L10279" s="8">
        <f>HYPERLINK("https://careerviet.vn/vi/tim-viec-lam/nhan-vien-audit.35C68693.html","Xem chi tiết")</f>
        <v/>
      </c>
    </row>
    <row r="10280">
      <c r="B10280" s="9" t="n">
        <v>10278</v>
      </c>
      <c r="C10280" s="10" t="inlineStr">
        <is>
          <t>NHÂN VIÊN KINH DOANH THỊ TRƯỜNG – MIỀN TÂY</t>
        </is>
      </c>
      <c r="D10280" s="10" t="inlineStr">
        <is>
          <t>CÔNG TY CỔ PHẦN THƯƠNG MẠI SONG ĐẠI LONG</t>
        </is>
      </c>
      <c r="E10280" s="10" t="inlineStr">
        <is>
          <t>Lương:8 Tr - 25 Tr VND</t>
        </is>
      </c>
      <c r="F10280" s="10" t="inlineStr">
        <is>
          <t>Cần ThơBến TreAn Giang</t>
        </is>
      </c>
      <c r="G10280" s="10" t="inlineStr">
        <is>
          <t>12-04-2026</t>
        </is>
      </c>
      <c r="H10280" s="10" t="inlineStr">
        <is>
          <t>12/04/2026</t>
        </is>
      </c>
      <c r="I10280" s="10" t="inlineStr">
        <is>
          <t>17/03/2026</t>
        </is>
      </c>
      <c r="J10280" s="10" t="inlineStr">
        <is>
          <t>Bán hàng / Kinh doanh, Bán lẻ / Bán sỉ, Tiếp thị / Marketing</t>
        </is>
      </c>
      <c r="K10280" s="10" t="inlineStr">
        <is>
          <t>1 - 3 Năm</t>
        </is>
      </c>
      <c r="L10280" s="11">
        <f>HYPERLINK("https://careerviet.vn/vi/tim-viec-lam/nhan-vien-kinh-doanh-thi-truong-mien-tay.35C6866A.html","Xem chi tiết")</f>
        <v/>
      </c>
      <c r="M10280" s="10" t="n"/>
    </row>
    <row r="10281">
      <c r="B10281" s="7" t="n">
        <v>10279</v>
      </c>
      <c r="C10281" t="inlineStr">
        <is>
          <t>Kỹ Sư Điện Solar</t>
        </is>
      </c>
      <c r="D10281" t="inlineStr">
        <is>
          <t>CÔNG TY CỔ PHẦN SOLAR ELECTRIC VIỆT NAM</t>
        </is>
      </c>
      <c r="E10281" t="inlineStr">
        <is>
          <t>Lương:15 Tr - 25 Tr VND</t>
        </is>
      </c>
      <c r="F10281" t="inlineStr">
        <is>
          <t>Hà Nội</t>
        </is>
      </c>
      <c r="G10281" t="inlineStr">
        <is>
          <t>12-04-2026</t>
        </is>
      </c>
      <c r="H10281" t="inlineStr">
        <is>
          <t>12/04/2026</t>
        </is>
      </c>
      <c r="I10281" t="inlineStr">
        <is>
          <t>17/03/2026</t>
        </is>
      </c>
      <c r="J10281" t="inlineStr">
        <is>
          <t>Cơ khí / Ô tô / Tự động hóa, Điện / Điện tử / Điện lạnh / Điện công nghiệp, Mỹ thuật / Nghệ thuật / Thiết kế</t>
        </is>
      </c>
      <c r="K10281" t="inlineStr">
        <is>
          <t>Trên 1 Năm</t>
        </is>
      </c>
      <c r="L10281" s="8">
        <f>HYPERLINK("https://careerviet.vn/vi/tim-viec-lam/ky-su-dien-solar.35C68799.html","Xem chi tiết")</f>
        <v/>
      </c>
    </row>
    <row r="10282">
      <c r="B10282" s="9" t="n">
        <v>10280</v>
      </c>
      <c r="C10282" s="10" t="inlineStr">
        <is>
          <t>Nhân viên thu hồi nợ thực địa 1 trong các tỉnh Miền Bắc - TA140</t>
        </is>
      </c>
      <c r="D10282" s="10" t="inlineStr">
        <is>
          <t>Ngân Hàng TMCP Việt Nam Thịnh Vượng - VPBANK</t>
        </is>
      </c>
      <c r="E10282" s="10" t="inlineStr">
        <is>
          <t>Lương:15 Tr - 50 Tr VND</t>
        </is>
      </c>
      <c r="F10282" s="10" t="inlineStr">
        <is>
          <t>Hà NộiBắc NinhHải Phòng</t>
        </is>
      </c>
      <c r="G10282" s="10" t="inlineStr">
        <is>
          <t>12-04-2026</t>
        </is>
      </c>
      <c r="H10282" s="10" t="inlineStr">
        <is>
          <t>12/04/2026</t>
        </is>
      </c>
      <c r="I10282" s="10" t="inlineStr">
        <is>
          <t>17/03/2026</t>
        </is>
      </c>
      <c r="J10282" s="10" t="inlineStr">
        <is>
          <t>Luật / Pháp lý, Ngân hàng</t>
        </is>
      </c>
      <c r="K10282" s="10" t="inlineStr">
        <is>
          <t>N/A</t>
        </is>
      </c>
      <c r="L10282" s="11">
        <f>HYPERLINK("https://careerviet.vn/vi/tim-viec-lam/nhan-vien-thu-hoi-no-thuc-dia-1-trong-cac-tinh-mien-bac-ta140.35C687A2.html","Xem chi tiết")</f>
        <v/>
      </c>
      <c r="M10282" s="10" t="n"/>
    </row>
    <row r="10283">
      <c r="B10283" s="7" t="n">
        <v>10281</v>
      </c>
      <c r="C10283" t="inlineStr">
        <is>
          <t>NHÂN VIÊN HÀNH CHÍNH HỖ TRỢ CHĂM SÓC BỆNH NHÂN (APCA)</t>
        </is>
      </c>
      <c r="D10283" t="inlineStr">
        <is>
          <t>American International Hospital (AIH)</t>
        </is>
      </c>
      <c r="E10283" t="inlineStr">
        <is>
          <t>Lương:12 Tr - 15 Tr VND</t>
        </is>
      </c>
      <c r="F10283" t="inlineStr">
        <is>
          <t>Hồ Chí Minh</t>
        </is>
      </c>
      <c r="G10283" t="inlineStr">
        <is>
          <t>12-04-2026</t>
        </is>
      </c>
      <c r="H10283" t="inlineStr">
        <is>
          <t>12/04/2026</t>
        </is>
      </c>
      <c r="I10283" t="inlineStr">
        <is>
          <t>17/03/2026</t>
        </is>
      </c>
      <c r="J10283" t="inlineStr">
        <is>
          <t>Y tế / Chăm sóc sức khỏe / Thẩm mỹ / Làm đẹp, Dịch vụ khách hàng, Hành chính / Thư ký</t>
        </is>
      </c>
      <c r="K10283" t="inlineStr">
        <is>
          <t>2 - 3 Năm</t>
        </is>
      </c>
      <c r="L10283" s="8">
        <f>HYPERLINK("https://careerviet.vn/vi/tim-viec-lam/nhan-vien-hanh-chinh-ho-tro-cham-soc-benh-nhan-apca.35C68728.html","Xem chi tiết")</f>
        <v/>
      </c>
    </row>
    <row r="10284">
      <c r="B10284" s="9" t="n">
        <v>10282</v>
      </c>
      <c r="C10284" s="10" t="inlineStr">
        <is>
          <t>Chỉ huy trưởng công trình</t>
        </is>
      </c>
      <c r="D10284" s="10" t="inlineStr">
        <is>
          <t>CÔNG TY CỔ PHẦN THƯƠNG MẠI DỊCH VỤ  PCCC HÀ THÀNH</t>
        </is>
      </c>
      <c r="E10284" s="10" t="inlineStr">
        <is>
          <t>Lương:25 Tr - 35 Tr VND</t>
        </is>
      </c>
      <c r="F10284" s="10" t="inlineStr">
        <is>
          <t>Hà Nội</t>
        </is>
      </c>
      <c r="G10284" s="10" t="inlineStr">
        <is>
          <t>12-04-2026</t>
        </is>
      </c>
      <c r="H10284" s="10" t="inlineStr">
        <is>
          <t>12/04/2026</t>
        </is>
      </c>
      <c r="I10284" s="10" t="inlineStr">
        <is>
          <t>17/03/2026</t>
        </is>
      </c>
      <c r="J10284" s="10" t="inlineStr">
        <is>
          <t>Kiến trúc, Xây dựng</t>
        </is>
      </c>
      <c r="K10284" s="10" t="inlineStr">
        <is>
          <t>3 - 5 Năm</t>
        </is>
      </c>
      <c r="L10284" s="11">
        <f>HYPERLINK("https://careerviet.vn/vi/tim-viec-lam/chi-huy-truong-cong-trinh.35C654A3.html","Xem chi tiết")</f>
        <v/>
      </c>
      <c r="M10284" s="10" t="n"/>
    </row>
    <row r="10285">
      <c r="B10285" s="7" t="n">
        <v>10283</v>
      </c>
      <c r="C10285" t="inlineStr">
        <is>
          <t>Sales executive</t>
        </is>
      </c>
      <c r="D10285" t="inlineStr">
        <is>
          <t>HR Vietnam’s ESS Client</t>
        </is>
      </c>
      <c r="E10285" t="inlineStr">
        <is>
          <t>Lương:Cạnh tranh</t>
        </is>
      </c>
      <c r="F10285" t="inlineStr">
        <is>
          <t>Hồ Chí Minh</t>
        </is>
      </c>
      <c r="G10285" t="inlineStr">
        <is>
          <t>12-04-2026</t>
        </is>
      </c>
      <c r="H10285" t="inlineStr">
        <is>
          <t>12/04/2026</t>
        </is>
      </c>
      <c r="I10285" t="inlineStr">
        <is>
          <t>17/03/2026</t>
        </is>
      </c>
      <c r="J10285" t="inlineStr">
        <is>
          <t>Kiến trúc, Xây dựng, Bán hàng / Kinh doanh</t>
        </is>
      </c>
      <c r="K10285" t="inlineStr">
        <is>
          <t>Trên 1 Năm</t>
        </is>
      </c>
      <c r="L10285" s="8">
        <f>HYPERLINK("https://careerviet.vn/vi/tim-viec-lam/sales-executive.35C68778.html","Xem chi tiết")</f>
        <v/>
      </c>
    </row>
    <row r="10286">
      <c r="B10286" s="9" t="n">
        <v>10284</v>
      </c>
      <c r="C10286" s="10" t="inlineStr">
        <is>
          <t>TELESALES ONLINE</t>
        </is>
      </c>
      <c r="D10286" s="10" t="inlineStr">
        <is>
          <t>ONE GROUP</t>
        </is>
      </c>
      <c r="E10286" s="10" t="inlineStr">
        <is>
          <t>Lương:Cạnh tranh</t>
        </is>
      </c>
      <c r="F10286" s="10" t="inlineStr">
        <is>
          <t>Hồ Chí Minh</t>
        </is>
      </c>
      <c r="G10286" s="10" t="inlineStr">
        <is>
          <t>12-04-2026</t>
        </is>
      </c>
      <c r="H10286" s="10" t="inlineStr">
        <is>
          <t>12/04/2026</t>
        </is>
      </c>
      <c r="I10286" s="10" t="inlineStr">
        <is>
          <t>17/03/2026</t>
        </is>
      </c>
      <c r="J10286" s="10" t="inlineStr">
        <is>
          <t>Bán hàng / Kinh doanh</t>
        </is>
      </c>
      <c r="K10286" s="10" t="inlineStr">
        <is>
          <t>1 - 5 Năm</t>
        </is>
      </c>
      <c r="L10286" s="11">
        <f>HYPERLINK("https://careerviet.vn/vi/tim-viec-lam/telesales-online.35C65504.html","Xem chi tiết")</f>
        <v/>
      </c>
      <c r="M10286" s="10" t="n"/>
    </row>
    <row r="10287">
      <c r="B10287" s="7" t="n">
        <v>10285</v>
      </c>
      <c r="C10287" t="inlineStr">
        <is>
          <t>Facility Staff (Nhân Viên Bảo Trì Cơ Sở Vật Chất)</t>
        </is>
      </c>
      <c r="D10287" t="inlineStr">
        <is>
          <t>DP Systems Electronic Mechanical Technology Vietnam Co., Ltd</t>
        </is>
      </c>
      <c r="E10287" t="inlineStr">
        <is>
          <t>Lương:Cạnh tranh</t>
        </is>
      </c>
      <c r="F10287" t="inlineStr">
        <is>
          <t>Bình Dương</t>
        </is>
      </c>
      <c r="G10287" t="inlineStr">
        <is>
          <t>12-04-2026</t>
        </is>
      </c>
      <c r="H10287" t="inlineStr">
        <is>
          <t>12/04/2026</t>
        </is>
      </c>
      <c r="I10287" t="inlineStr">
        <is>
          <t>17/03/2026</t>
        </is>
      </c>
      <c r="J10287" t="inlineStr">
        <is>
          <t>Cơ khí / Ô tô / Tự động hóa, Điện / Điện tử / Điện lạnh / Điện công nghiệp, Bảo trì / Sửa chữa</t>
        </is>
      </c>
      <c r="K10287" t="inlineStr">
        <is>
          <t>1 - 10 Năm</t>
        </is>
      </c>
      <c r="L10287" s="8">
        <f>HYPERLINK("https://careerviet.vn/vi/tim-viec-lam/facility-staff-nhan-vien-bao-tri-co-so-vat-chat.35C686F3.html","Xem chi tiết")</f>
        <v/>
      </c>
    </row>
    <row r="10288">
      <c r="B10288" s="9" t="n">
        <v>10286</v>
      </c>
      <c r="C10288" s="10" t="inlineStr">
        <is>
          <t>Chuyên viên Giám sát kỹ thuật dự án (Mảng Nhôm kính)</t>
        </is>
      </c>
      <c r="D10288" s="10" t="inlineStr">
        <is>
          <t>CÔNG TY CỔ PHẦN THƯƠNG MẠI DỊCH VỤ XÂY DỰNG E&amp;C</t>
        </is>
      </c>
      <c r="E10288" s="10" t="inlineStr">
        <is>
          <t>Lương:14 Tr - 17 Tr VND</t>
        </is>
      </c>
      <c r="F10288" s="10" t="inlineStr">
        <is>
          <t>Đồng NaiHồ Chí MinhBình Thuận</t>
        </is>
      </c>
      <c r="G10288" s="10" t="inlineStr">
        <is>
          <t>12-04-2026</t>
        </is>
      </c>
      <c r="H10288" s="10" t="inlineStr">
        <is>
          <t>12/04/2026</t>
        </is>
      </c>
      <c r="I10288" s="10" t="inlineStr">
        <is>
          <t>17/03/2026</t>
        </is>
      </c>
      <c r="J10288" s="10" t="inlineStr">
        <is>
          <t>Sản xuất / Vận hành sản xuất, Kiến trúc, Xây dựng</t>
        </is>
      </c>
      <c r="K10288" s="10" t="inlineStr">
        <is>
          <t>1 - 2 Năm</t>
        </is>
      </c>
      <c r="L10288" s="11">
        <f>HYPERLINK("https://careerviet.vn/vi/tim-viec-lam/chuyen-vien-giam-sat-ky-thuat-du-an-mang-nhom-kinh.35C65310.html","Xem chi tiết")</f>
        <v/>
      </c>
      <c r="M10288" s="10" t="n"/>
    </row>
    <row r="10289">
      <c r="B10289" s="7" t="n">
        <v>10287</v>
      </c>
      <c r="C10289" t="inlineStr">
        <is>
          <t>Kỹ Thuật Hiện Trường</t>
        </is>
      </c>
      <c r="D10289" t="inlineStr">
        <is>
          <t>CÔNG TY CỔ PHẦN ĐẦU TƯ XÂY DỰNG THƯƠNG MẠI QUỐC TẾ TOÀN CẦU</t>
        </is>
      </c>
      <c r="E10289" t="inlineStr">
        <is>
          <t>Lương:13,5 Tr - 22 Tr VND</t>
        </is>
      </c>
      <c r="F10289" t="inlineStr">
        <is>
          <t>Lào Cai</t>
        </is>
      </c>
      <c r="G10289" t="inlineStr">
        <is>
          <t>12-04-2026</t>
        </is>
      </c>
      <c r="H10289" t="inlineStr">
        <is>
          <t>12/04/2026</t>
        </is>
      </c>
      <c r="I10289" t="inlineStr">
        <is>
          <t>17/03/2026</t>
        </is>
      </c>
      <c r="J10289" t="inlineStr">
        <is>
          <t>Xây dựng, Kiến trúc, Nội ngoại thất</t>
        </is>
      </c>
      <c r="K10289" t="inlineStr">
        <is>
          <t>N/A</t>
        </is>
      </c>
      <c r="L10289" s="8">
        <f>HYPERLINK("https://careerviet.vn/vi/tim-viec-lam/ky-thuat-hien-truong.35C6879B.html","Xem chi tiết")</f>
        <v/>
      </c>
    </row>
    <row r="10290">
      <c r="B10290" s="9" t="n">
        <v>10288</v>
      </c>
      <c r="C10290" s="10" t="inlineStr">
        <is>
          <t>GIÁM ĐỐC CHI NHÁNH CẦN THƠ</t>
        </is>
      </c>
      <c r="D10290" s="10" t="inlineStr">
        <is>
          <t>Công ty TNHH Bình Việt Đức (BIVID)</t>
        </is>
      </c>
      <c r="E10290" s="10" t="inlineStr">
        <is>
          <t>Lương:30 Tr - 38 Tr VND</t>
        </is>
      </c>
      <c r="F10290" s="10" t="inlineStr">
        <is>
          <t>Hồ Chí Minh</t>
        </is>
      </c>
      <c r="G10290" s="10" t="inlineStr">
        <is>
          <t>12-04-2026</t>
        </is>
      </c>
      <c r="H10290" s="10" t="inlineStr">
        <is>
          <t>12/04/2026</t>
        </is>
      </c>
      <c r="I10290" s="10" t="inlineStr">
        <is>
          <t>17/03/2026</t>
        </is>
      </c>
      <c r="J10290" s="10" t="inlineStr">
        <is>
          <t>Bán hàng / Kinh doanh, Dược phẩm/ Hóa Mỹ Phẩm, Y tế / Chăm sóc sức khỏe / Thẩm mỹ / Làm đẹp</t>
        </is>
      </c>
      <c r="K10290" s="10" t="inlineStr">
        <is>
          <t>3 - 5 Năm</t>
        </is>
      </c>
      <c r="L10290" s="11">
        <f>HYPERLINK("https://careerviet.vn/vi/tim-viec-lam/giam-doc-chi-nhanh-can-tho.35C652FF.html","Xem chi tiết")</f>
        <v/>
      </c>
      <c r="M10290" s="10" t="n"/>
    </row>
    <row r="10291">
      <c r="B10291" s="7" t="n">
        <v>10289</v>
      </c>
      <c r="C10291" t="inlineStr">
        <is>
          <t>Nhân viên nhắc nợ qua điện thoại (Không yêu cầu kinh nghiệm) - TA140</t>
        </is>
      </c>
      <c r="D10291" t="inlineStr">
        <is>
          <t>Ngân Hàng TMCP Việt Nam Thịnh Vượng - VPBANK</t>
        </is>
      </c>
      <c r="E10291" t="inlineStr">
        <is>
          <t>Lương:15 Tr - 50 Tr VND</t>
        </is>
      </c>
      <c r="F10291" t="inlineStr">
        <is>
          <t>Hà Nội</t>
        </is>
      </c>
      <c r="G10291" t="inlineStr">
        <is>
          <t>12-04-2026</t>
        </is>
      </c>
      <c r="H10291" t="inlineStr">
        <is>
          <t>12/04/2026</t>
        </is>
      </c>
      <c r="I10291" t="inlineStr">
        <is>
          <t>17/03/2026</t>
        </is>
      </c>
      <c r="J10291" t="inlineStr">
        <is>
          <t>Luật / Pháp lý, Ngân hàng, Quản lý chất lượng (QA/QC)</t>
        </is>
      </c>
      <c r="K10291" t="inlineStr">
        <is>
          <t>N/A</t>
        </is>
      </c>
      <c r="L10291" s="8">
        <f>HYPERLINK("https://careerviet.vn/vi/tim-viec-lam/nhan-vien-nhac-no-qua-dien-thoai-khong-yeu-cau-kinh-nghiem-ta140.35C687A1.html","Xem chi tiết")</f>
        <v/>
      </c>
    </row>
    <row r="10292">
      <c r="B10292" s="9" t="n">
        <v>10290</v>
      </c>
      <c r="C10292" s="10" t="inlineStr">
        <is>
          <t>Trưởng nhóm cơ khí / Chuyên viên kỹ thuật cơ khí</t>
        </is>
      </c>
      <c r="D10292" s="10" t="inlineStr">
        <is>
          <t>Công ty cổ phần Nafoods Miền Nam</t>
        </is>
      </c>
      <c r="E10292" s="10" t="inlineStr">
        <is>
          <t>Lương:15 Tr - 20 Tr VND</t>
        </is>
      </c>
      <c r="F10292" s="10" t="inlineStr">
        <is>
          <t>Long An</t>
        </is>
      </c>
      <c r="G10292" s="10" t="inlineStr">
        <is>
          <t>12-04-2026</t>
        </is>
      </c>
      <c r="H10292" s="10" t="inlineStr">
        <is>
          <t>12/04/2026</t>
        </is>
      </c>
      <c r="I10292" s="10" t="inlineStr">
        <is>
          <t>17/03/2026</t>
        </is>
      </c>
      <c r="J10292" s="10" t="inlineStr">
        <is>
          <t>Cơ khí / Ô tô / Tự động hóa</t>
        </is>
      </c>
      <c r="K10292" s="10" t="inlineStr">
        <is>
          <t>5 - 7 Năm</t>
        </is>
      </c>
      <c r="L10292" s="11">
        <f>HYPERLINK("https://careerviet.vn/vi/tim-viec-lam/truong-nhom-co-khi-chuyen-vien-ky-thuat-co-khi.35C68646.html","Xem chi tiết")</f>
        <v/>
      </c>
      <c r="M10292" s="10" t="n"/>
    </row>
    <row r="10293">
      <c r="B10293" s="7" t="n">
        <v>10291</v>
      </c>
      <c r="C10293" t="inlineStr">
        <is>
          <t>Export Sales Executive</t>
        </is>
      </c>
      <c r="D10293" t="inlineStr">
        <is>
          <t>Công Ty CP Tập Đoàn Kỹ Nghệ Gỗ Trường Thành</t>
        </is>
      </c>
      <c r="E10293" t="inlineStr">
        <is>
          <t>Lương:12 Tr - 15 Tr VND</t>
        </is>
      </c>
      <c r="F10293" t="inlineStr">
        <is>
          <t>Bình Dương</t>
        </is>
      </c>
      <c r="G10293" t="inlineStr">
        <is>
          <t>12-04-2026</t>
        </is>
      </c>
      <c r="H10293" t="inlineStr">
        <is>
          <t>12/04/2026</t>
        </is>
      </c>
      <c r="I10293" t="inlineStr">
        <is>
          <t>17/03/2026</t>
        </is>
      </c>
      <c r="J10293" t="inlineStr">
        <is>
          <t>Bán hàng / Kinh doanh, Xuất nhập khẩu, Nội ngoại thất</t>
        </is>
      </c>
      <c r="K10293" t="inlineStr">
        <is>
          <t>Lên đến 1 Năm</t>
        </is>
      </c>
      <c r="L10293" s="8">
        <f>HYPERLINK("https://careerviet.vn/vi/tim-viec-lam/export-sales-executive.35C65456.html","Xem chi tiết")</f>
        <v/>
      </c>
    </row>
    <row r="10294">
      <c r="B10294" s="9" t="n">
        <v>10292</v>
      </c>
      <c r="C10294" s="10" t="inlineStr">
        <is>
          <t>Nhân Viên Vận Hành</t>
        </is>
      </c>
      <c r="D10294" s="10" t="inlineStr">
        <is>
          <t>CÔNG TY TNHH CÔNG NGHỆ MÔI TRƯỜNG NÔNG LÂM</t>
        </is>
      </c>
      <c r="E10294" s="10" t="inlineStr">
        <is>
          <t>Lương:Cạnh tranh</t>
        </is>
      </c>
      <c r="F10294" s="10" t="inlineStr">
        <is>
          <t>Hồ Chí Minh</t>
        </is>
      </c>
      <c r="G10294" s="10" t="inlineStr">
        <is>
          <t>12-04-2026</t>
        </is>
      </c>
      <c r="H10294" s="10" t="inlineStr">
        <is>
          <t>12/04/2026</t>
        </is>
      </c>
      <c r="I10294" s="10" t="inlineStr">
        <is>
          <t>17/03/2026</t>
        </is>
      </c>
      <c r="J10294" s="10" t="inlineStr">
        <is>
          <t>Môi trường, Điện / Điện tử / Điện lạnh / Điện công nghiệp, Công nghệ sinh học</t>
        </is>
      </c>
      <c r="K10294" s="10" t="inlineStr">
        <is>
          <t>N/A</t>
        </is>
      </c>
      <c r="L10294" s="11">
        <f>HYPERLINK("https://careerviet.vn/vi/tim-viec-lam/nhan-vien-van-hanh.35C654F1.html","Xem chi tiết")</f>
        <v/>
      </c>
      <c r="M10294" s="10" t="n"/>
    </row>
    <row r="10295">
      <c r="B10295" s="7" t="n">
        <v>10293</v>
      </c>
      <c r="C10295" t="inlineStr">
        <is>
          <t>Nhân viên Chăm sóc khách hàng</t>
        </is>
      </c>
      <c r="D10295" t="inlineStr">
        <is>
          <t>HMK Eyewear</t>
        </is>
      </c>
      <c r="E10295" t="inlineStr">
        <is>
          <t>Lương:7 Tr - 9 Tr VND</t>
        </is>
      </c>
      <c r="F10295" t="inlineStr">
        <is>
          <t>Hồ Chí Minh</t>
        </is>
      </c>
      <c r="G10295" t="inlineStr">
        <is>
          <t>12-04-2026</t>
        </is>
      </c>
      <c r="H10295" t="inlineStr">
        <is>
          <t>12/04/2026</t>
        </is>
      </c>
      <c r="I10295" t="inlineStr">
        <is>
          <t>17/03/2026</t>
        </is>
      </c>
      <c r="J10295" t="inlineStr">
        <is>
          <t>Tiếp thị trực tuyến, Tư vấn, Dịch vụ khách hàng</t>
        </is>
      </c>
      <c r="K10295" t="inlineStr">
        <is>
          <t>N/A</t>
        </is>
      </c>
      <c r="L10295" s="8">
        <f>HYPERLINK("https://careerviet.vn/vi/tim-viec-lam/nhan-vien-cham-soc-khach-hang.35C686D8.html","Xem chi tiết")</f>
        <v/>
      </c>
    </row>
    <row r="10296">
      <c r="B10296" s="9" t="n">
        <v>10294</v>
      </c>
      <c r="C10296" s="10" t="inlineStr">
        <is>
          <t>Trưởng nhóm Kế hoạch sản xuất (Nhà máy)</t>
        </is>
      </c>
      <c r="D10296" s="10" t="inlineStr">
        <is>
          <t>CÔNG TY CỔ PHẦN THƯƠNG MẠI DỊCH VỤ XÂY DỰNG E&amp;C</t>
        </is>
      </c>
      <c r="E10296" s="10" t="inlineStr">
        <is>
          <t>Lương:20 Tr - 25 Tr VND</t>
        </is>
      </c>
      <c r="F10296" s="10" t="inlineStr">
        <is>
          <t>Hồ Chí Minh</t>
        </is>
      </c>
      <c r="G10296" s="10" t="inlineStr">
        <is>
          <t>12-04-2026</t>
        </is>
      </c>
      <c r="H10296" s="10" t="inlineStr">
        <is>
          <t>12/04/2026</t>
        </is>
      </c>
      <c r="I10296" s="10" t="inlineStr">
        <is>
          <t>17/03/2026</t>
        </is>
      </c>
      <c r="J10296" s="10" t="inlineStr">
        <is>
          <t>Sản xuất / Vận hành sản xuất, Kiến trúc, Xây dựng</t>
        </is>
      </c>
      <c r="K10296" s="10" t="inlineStr">
        <is>
          <t>2 - 3 Năm</t>
        </is>
      </c>
      <c r="L10296" s="11">
        <f>HYPERLINK("https://careerviet.vn/vi/tim-viec-lam/truong-nhom-ke-hoach-san-xuat-nha-may.35C6531A.html","Xem chi tiết")</f>
        <v/>
      </c>
      <c r="M10296" s="10" t="n"/>
    </row>
    <row r="10297">
      <c r="B10297" s="7" t="n">
        <v>10295</v>
      </c>
      <c r="C10297" t="inlineStr">
        <is>
          <t>Kỹ Sư Thiết Kế Hệ Thống Điều Hòa - Revit/ Junior HVAC Engineer - Revit</t>
        </is>
      </c>
      <c r="D10297" t="inlineStr">
        <is>
          <t>Công Ty TNHH Boydens Vietnam part of Sweco</t>
        </is>
      </c>
      <c r="E10297" t="inlineStr">
        <is>
          <t>Lương:Cạnh tranh</t>
        </is>
      </c>
      <c r="F10297" t="inlineStr">
        <is>
          <t>Hà Nội</t>
        </is>
      </c>
      <c r="G10297" t="inlineStr">
        <is>
          <t>12-04-2026</t>
        </is>
      </c>
      <c r="H10297" t="inlineStr">
        <is>
          <t>12/04/2026</t>
        </is>
      </c>
      <c r="I10297" t="inlineStr">
        <is>
          <t>17/03/2026</t>
        </is>
      </c>
      <c r="J10297" t="inlineStr">
        <is>
          <t>Điện / Điện tử / Điện lạnh / Điện công nghiệp, Ngành khác, Xây dựng</t>
        </is>
      </c>
      <c r="K10297" t="inlineStr">
        <is>
          <t>1 - 6 Năm</t>
        </is>
      </c>
      <c r="L10297" s="8">
        <f>HYPERLINK("https://careerviet.vn/vi/tim-viec-lam/ky-su-thiet-ke-he-thong-dieu-hoa-revit-junior-hvac-engineer-revit.35C686BF.html","Xem chi tiết")</f>
        <v/>
      </c>
    </row>
    <row r="10298">
      <c r="B10298" s="9" t="n">
        <v>10296</v>
      </c>
      <c r="C10298" s="10" t="inlineStr">
        <is>
          <t>Giám đốc Kinh doanh &amp; Marketing (lĩnh vực Edtech)</t>
        </is>
      </c>
      <c r="D10298" s="10" t="inlineStr">
        <is>
          <t>Công ty Cổ phần Masscom Việt Nam</t>
        </is>
      </c>
      <c r="E10298" s="10" t="inlineStr">
        <is>
          <t>Lương:20 Tr - 35 Tr VND</t>
        </is>
      </c>
      <c r="F10298" s="10" t="inlineStr">
        <is>
          <t>Hà Nội</t>
        </is>
      </c>
      <c r="G10298" s="10" t="inlineStr">
        <is>
          <t>12-04-2026</t>
        </is>
      </c>
      <c r="H10298" s="10" t="inlineStr">
        <is>
          <t>12/04/2026</t>
        </is>
      </c>
      <c r="I10298" s="10" t="inlineStr">
        <is>
          <t>17/03/2026</t>
        </is>
      </c>
      <c r="J10298" s="10" t="inlineStr">
        <is>
          <t>Tiếp thị / Marketing, Bán hàng / Kinh doanh, Giáo dục / Đào tạo</t>
        </is>
      </c>
      <c r="K10298" s="10" t="inlineStr">
        <is>
          <t>3 - 5 Năm</t>
        </is>
      </c>
      <c r="L10298" s="11">
        <f>HYPERLINK("https://careerviet.vn/vi/tim-viec-lam/giam-doc-kinh-doanh-marketing-linh-vuc-edtech.35C68747.html","Xem chi tiết")</f>
        <v/>
      </c>
      <c r="M10298" s="10" t="n"/>
    </row>
    <row r="10299">
      <c r="B10299" s="7" t="n">
        <v>10297</v>
      </c>
      <c r="C10299" t="inlineStr">
        <is>
          <t>Kế Toán Công Trường</t>
        </is>
      </c>
      <c r="D10299" t="inlineStr">
        <is>
          <t>CÔNG TY CỔ PHẦN ĐẦU TƯ ĐÔNG BẮC LAND</t>
        </is>
      </c>
      <c r="E10299" t="inlineStr">
        <is>
          <t>Lương:Cạnh tranh</t>
        </is>
      </c>
      <c r="F10299" t="inlineStr">
        <is>
          <t>Hải Phòng</t>
        </is>
      </c>
      <c r="G10299" t="inlineStr">
        <is>
          <t>12-04-2026</t>
        </is>
      </c>
      <c r="H10299" t="inlineStr">
        <is>
          <t>12/04/2026</t>
        </is>
      </c>
      <c r="I10299" t="inlineStr">
        <is>
          <t>17/03/2026</t>
        </is>
      </c>
      <c r="J10299" t="inlineStr">
        <is>
          <t>Xây dựng, Bất động sản, Kế toán / Kiểm toán</t>
        </is>
      </c>
      <c r="K10299" t="inlineStr">
        <is>
          <t>Trên 5 Năm</t>
        </is>
      </c>
      <c r="L10299" s="8">
        <f>HYPERLINK("https://careerviet.vn/vi/tim-viec-lam/ke-toan-cong-truong.35C65511.html","Xem chi tiết")</f>
        <v/>
      </c>
    </row>
    <row r="10300">
      <c r="B10300" s="9" t="n">
        <v>10298</v>
      </c>
      <c r="C10300" s="10" t="inlineStr">
        <is>
          <t>C&amp;B Manager</t>
        </is>
      </c>
      <c r="D10300" s="10" t="inlineStr">
        <is>
          <t>Công Ty Tài Chính Mirae Asset (Việt Nam)</t>
        </is>
      </c>
      <c r="E10300" s="10" t="inlineStr">
        <is>
          <t>Lương:Cạnh tranh</t>
        </is>
      </c>
      <c r="F10300" s="10" t="inlineStr">
        <is>
          <t>Hồ Chí Minh</t>
        </is>
      </c>
      <c r="G10300" s="10" t="inlineStr">
        <is>
          <t>12-04-2026</t>
        </is>
      </c>
      <c r="H10300" s="10" t="inlineStr">
        <is>
          <t>12/04/2026</t>
        </is>
      </c>
      <c r="I10300" s="10" t="inlineStr">
        <is>
          <t>17/03/2026</t>
        </is>
      </c>
      <c r="J10300" s="10" t="inlineStr">
        <is>
          <t>Tài chính / Đầu tư, Ngân hàng, Nhân sự</t>
        </is>
      </c>
      <c r="K10300" s="10" t="inlineStr">
        <is>
          <t>Trên 5 Năm</t>
        </is>
      </c>
      <c r="L10300" s="11">
        <f>HYPERLINK("https://careerviet.vn/vi/tim-viec-lam/c-b-manager.35C653B1.html","Xem chi tiết")</f>
        <v/>
      </c>
      <c r="M10300" s="10" t="n"/>
    </row>
    <row r="10301">
      <c r="B10301" s="7" t="n">
        <v>10299</v>
      </c>
      <c r="C10301" t="inlineStr">
        <is>
          <t>Nhân viên thiết kế 2D</t>
        </is>
      </c>
      <c r="D10301" t="inlineStr">
        <is>
          <t>CÔNG TY TNHH HWASEUNG VINA</t>
        </is>
      </c>
      <c r="E10301" t="inlineStr">
        <is>
          <t>Lương:Cạnh tranh</t>
        </is>
      </c>
      <c r="F10301" t="inlineStr">
        <is>
          <t>Đồng NaiHồ Chí MinhBình Dương</t>
        </is>
      </c>
      <c r="G10301" t="inlineStr">
        <is>
          <t>12-04-2026</t>
        </is>
      </c>
      <c r="H10301" t="inlineStr">
        <is>
          <t>12/04/2026</t>
        </is>
      </c>
      <c r="I10301" t="inlineStr">
        <is>
          <t>17/03/2026</t>
        </is>
      </c>
      <c r="J10301" t="inlineStr">
        <is>
          <t>Mỹ thuật / Nghệ thuật / Thiết kế, Đồ gỗ, Dệt may / Da giày / Thời trang</t>
        </is>
      </c>
      <c r="K10301" t="inlineStr">
        <is>
          <t>N/A</t>
        </is>
      </c>
      <c r="L10301" s="8">
        <f>HYPERLINK("https://careerviet.vn/vi/tim-viec-lam/nhan-vien-thiet-ke-2d.35C65301.html","Xem chi tiết")</f>
        <v/>
      </c>
    </row>
    <row r="10302">
      <c r="B10302" s="9" t="n">
        <v>10300</v>
      </c>
      <c r="C10302" s="10" t="inlineStr">
        <is>
          <t>TRƯỞNG BỘ PHẬN QA BIẾT TIẾNG TRUNG</t>
        </is>
      </c>
      <c r="D10302" s="10" t="inlineStr">
        <is>
          <t>Công Ty TNHH Deli Management Consulting</t>
        </is>
      </c>
      <c r="E10302" s="10" t="inlineStr">
        <is>
          <t>Lương:Trên 25 Tr VND</t>
        </is>
      </c>
      <c r="F10302" s="10" t="inlineStr">
        <is>
          <t>Bà Rịa - Vũng Tàu</t>
        </is>
      </c>
      <c r="G10302" s="10" t="inlineStr">
        <is>
          <t>12-04-2026</t>
        </is>
      </c>
      <c r="H10302" s="10" t="inlineStr">
        <is>
          <t>12/04/2026</t>
        </is>
      </c>
      <c r="I10302" s="10" t="inlineStr">
        <is>
          <t>17/03/2026</t>
        </is>
      </c>
      <c r="J10302" s="10" t="inlineStr">
        <is>
          <t>: Kim loại gia dụng Địa điểm làm việc: KCN Mỹ Xuân A, Vũng Tàu (Cạnh Long Thành, Đồng Nai) Số lượng: 1 Người</t>
        </is>
      </c>
      <c r="K10302" s="10" t="inlineStr">
        <is>
          <t>Trên 3 Năm</t>
        </is>
      </c>
      <c r="L10302" s="11">
        <f>HYPERLINK("https://careerviet.vn/vi/tim-viec-lam/truong-bo-phan-qa-biet-tieng-trung.35C6877E.html","Xem chi tiết")</f>
        <v/>
      </c>
      <c r="M10302" s="10" t="n"/>
    </row>
    <row r="10303">
      <c r="B10303" s="7" t="n">
        <v>10301</v>
      </c>
      <c r="C10303" t="inlineStr">
        <is>
          <t>Nhân viên Thiết kế kỹ thuật (Shopdrawing)</t>
        </is>
      </c>
      <c r="D10303" t="inlineStr">
        <is>
          <t>Công Ty Cổ Phần Eurowindow</t>
        </is>
      </c>
      <c r="E10303" t="inlineStr">
        <is>
          <t>Lương:15 Tr - 17 Tr VND</t>
        </is>
      </c>
      <c r="F10303" t="inlineStr">
        <is>
          <t>Hồ Chí Minh</t>
        </is>
      </c>
      <c r="G10303" t="inlineStr">
        <is>
          <t>12-04-2026</t>
        </is>
      </c>
      <c r="H10303" t="inlineStr">
        <is>
          <t>12/04/2026</t>
        </is>
      </c>
      <c r="I10303" t="inlineStr">
        <is>
          <t>17/03/2026</t>
        </is>
      </c>
      <c r="J10303" t="inlineStr">
        <is>
          <t>Kiến trúc, Mỹ thuật / Nghệ thuật / Thiết kế, Xây dựng</t>
        </is>
      </c>
      <c r="K10303" t="inlineStr">
        <is>
          <t>1 - 2 Năm</t>
        </is>
      </c>
      <c r="L10303" s="8">
        <f>HYPERLINK("https://careerviet.vn/vi/tim-viec-lam/nhan-vien-thiet-ke-ky-thuat-shopdrawing.35C65481.html","Xem chi tiết")</f>
        <v/>
      </c>
    </row>
    <row r="10304">
      <c r="B10304" s="9" t="n">
        <v>10302</v>
      </c>
      <c r="C10304" s="10" t="inlineStr">
        <is>
          <t>KỸ SƯ DỰ TOÁN</t>
        </is>
      </c>
      <c r="D10304" s="10" t="inlineStr">
        <is>
          <t>CÔNG TY TNHH CÔNG NGHỆ VIỆT</t>
        </is>
      </c>
      <c r="E10304" s="10" t="inlineStr">
        <is>
          <t>Lương:15 Tr - 22 Tr VND</t>
        </is>
      </c>
      <c r="F10304" s="10" t="inlineStr">
        <is>
          <t>Hà Nội</t>
        </is>
      </c>
      <c r="G10304" s="10" t="inlineStr">
        <is>
          <t>12-04-2026</t>
        </is>
      </c>
      <c r="H10304" s="10" t="inlineStr">
        <is>
          <t>12/04/2026</t>
        </is>
      </c>
      <c r="I10304" s="10" t="inlineStr">
        <is>
          <t>17/03/2026</t>
        </is>
      </c>
      <c r="J10304" s="10" t="inlineStr">
        <is>
          <t>Điện / Điện tử / Điện lạnh / Điện công nghiệp, Xây dựng</t>
        </is>
      </c>
      <c r="K10304" s="10" t="inlineStr">
        <is>
          <t>3 - 5 Năm</t>
        </is>
      </c>
      <c r="L10304" s="11">
        <f>HYPERLINK("https://careerviet.vn/vi/tim-viec-lam/ky-su-du-toan.35C6548D.html","Xem chi tiết")</f>
        <v/>
      </c>
      <c r="M10304" s="10" t="n"/>
    </row>
    <row r="10305">
      <c r="B10305" s="7" t="n">
        <v>10303</v>
      </c>
      <c r="C10305" t="inlineStr">
        <is>
          <t>Chuyên viên xử lý nợ qua điện thoại</t>
        </is>
      </c>
      <c r="D10305" t="inlineStr">
        <is>
          <t>Ngân Hàng TMCP Việt Nam Thịnh Vượng - VPBANK</t>
        </is>
      </c>
      <c r="E10305" t="inlineStr">
        <is>
          <t>Lương:15 Tr - 50 Tr VND</t>
        </is>
      </c>
      <c r="F10305" t="inlineStr">
        <is>
          <t>Hà Nội</t>
        </is>
      </c>
      <c r="G10305" t="inlineStr">
        <is>
          <t>12-04-2026</t>
        </is>
      </c>
      <c r="H10305" t="inlineStr">
        <is>
          <t>12/04/2026</t>
        </is>
      </c>
      <c r="I10305" t="inlineStr">
        <is>
          <t>17/03/2026</t>
        </is>
      </c>
      <c r="J10305" t="inlineStr">
        <is>
          <t>Dịch vụ khách hàng, Luật / Pháp lý, Ngân hàng</t>
        </is>
      </c>
      <c r="K10305" t="inlineStr">
        <is>
          <t>N/A</t>
        </is>
      </c>
      <c r="L10305" s="8">
        <f>HYPERLINK("https://careerviet.vn/vi/tim-viec-lam/chuyen-vien-xu-ly-no-qua-dien-thoai.35C653CA.html","Xem chi tiết")</f>
        <v/>
      </c>
    </row>
    <row r="10306">
      <c r="B10306" s="9" t="n">
        <v>10304</v>
      </c>
      <c r="C10306" s="10" t="inlineStr">
        <is>
          <t>Biên phiên dịch tiếng Hàn</t>
        </is>
      </c>
      <c r="D10306" s="10" t="inlineStr">
        <is>
          <t>CÔNG TY TNHH SYNCMOLD ĐỒNG NAI</t>
        </is>
      </c>
      <c r="E10306" s="10" t="inlineStr">
        <is>
          <t>Lương:Cạnh tranh</t>
        </is>
      </c>
      <c r="F10306" s="10" t="inlineStr">
        <is>
          <t>Đồng Nai</t>
        </is>
      </c>
      <c r="G10306" s="10" t="inlineStr">
        <is>
          <t>12-04-2026</t>
        </is>
      </c>
      <c r="H10306" s="10" t="inlineStr">
        <is>
          <t>12/04/2026</t>
        </is>
      </c>
      <c r="I10306" s="10" t="inlineStr">
        <is>
          <t>17/03/2026</t>
        </is>
      </c>
      <c r="J10306" s="10" t="inlineStr">
        <is>
          <t>Biên phiên dịch</t>
        </is>
      </c>
      <c r="K10306" s="10" t="inlineStr">
        <is>
          <t>Chưa có kinh nghiệm</t>
        </is>
      </c>
      <c r="L10306" s="11">
        <f>HYPERLINK("https://careerviet.vn/vi/tim-viec-lam/bien-phien-dich-tieng-han.35C65510.html","Xem chi tiết")</f>
        <v/>
      </c>
      <c r="M10306" s="10" t="n"/>
    </row>
    <row r="10307">
      <c r="B10307" s="7" t="n">
        <v>10305</v>
      </c>
      <c r="C10307" t="inlineStr">
        <is>
          <t>Nhân viên phân tích nghiệp vụ và hỗ trợ người dùng ERP</t>
        </is>
      </c>
      <c r="D10307" t="inlineStr">
        <is>
          <t>Công ty Cổ phần CANIFA</t>
        </is>
      </c>
      <c r="E10307" t="inlineStr">
        <is>
          <t>Lương:10 Tr - 16 Tr VND</t>
        </is>
      </c>
      <c r="F10307" t="inlineStr">
        <is>
          <t>Hà Nội</t>
        </is>
      </c>
      <c r="G10307" t="inlineStr">
        <is>
          <t>12-04-2026</t>
        </is>
      </c>
      <c r="H10307" t="inlineStr">
        <is>
          <t>12/04/2026</t>
        </is>
      </c>
      <c r="I10307" t="inlineStr">
        <is>
          <t>17/03/2026</t>
        </is>
      </c>
      <c r="J10307" t="inlineStr">
        <is>
          <t>CNTT - Phần mềm</t>
        </is>
      </c>
      <c r="K10307" t="inlineStr">
        <is>
          <t>1 - 3 Năm</t>
        </is>
      </c>
      <c r="L10307" s="8">
        <f>HYPERLINK("https://careerviet.vn/vi/tim-viec-lam/nhan-vien-phan-tich-nghiep-vu-va-ho-tro-nguoi-dung-erp.35C6865D.html","Xem chi tiết")</f>
        <v/>
      </c>
    </row>
    <row r="10308">
      <c r="B10308" s="9" t="n">
        <v>10306</v>
      </c>
      <c r="C10308" s="10" t="inlineStr">
        <is>
          <t>Assistant to Deputy CEO (Finance &amp; FP&amp;A Focus)</t>
        </is>
      </c>
      <c r="D10308" s="10" t="inlineStr">
        <is>
          <t>Công Ty Cổ Phần Tập Đoàn Đầu Tư Địa Ốc No Va</t>
        </is>
      </c>
      <c r="E10308" s="10" t="inlineStr">
        <is>
          <t>Lương:Cạnh tranh</t>
        </is>
      </c>
      <c r="F10308" s="10" t="inlineStr">
        <is>
          <t>Hồ Chí Minh</t>
        </is>
      </c>
      <c r="G10308" s="10" t="inlineStr">
        <is>
          <t>12-04-2026</t>
        </is>
      </c>
      <c r="H10308" s="10" t="inlineStr">
        <is>
          <t>12/04/2026</t>
        </is>
      </c>
      <c r="I10308" s="10" t="inlineStr">
        <is>
          <t>17/03/2026</t>
        </is>
      </c>
      <c r="J10308" s="10" t="inlineStr">
        <is>
          <t>Kế toán / Kiểm toán, Ngân hàng, Tài chính / Đầu tư</t>
        </is>
      </c>
      <c r="K10308" s="10" t="inlineStr">
        <is>
          <t>5 - 8 Năm</t>
        </is>
      </c>
      <c r="L10308" s="11">
        <f>HYPERLINK("https://careerviet.vn/vi/tim-viec-lam/assistant-to-deputy-ceo-finance-fp-a-focus.35C686A1.html","Xem chi tiết")</f>
        <v/>
      </c>
      <c r="M10308" s="10" t="n"/>
    </row>
    <row r="10309">
      <c r="B10309" s="7" t="n">
        <v>10307</v>
      </c>
      <c r="C10309" t="inlineStr">
        <is>
          <t>Nhân Viên QS</t>
        </is>
      </c>
      <c r="D10309" t="inlineStr">
        <is>
          <t>Công ty TNHH Phòng cháy chữa cháy và cứu nạn cứu hộ Việt Nam</t>
        </is>
      </c>
      <c r="E10309" t="inlineStr">
        <is>
          <t>Lương:10 Tr - 14 Tr VND</t>
        </is>
      </c>
      <c r="F10309" t="inlineStr">
        <is>
          <t>Hà Nội</t>
        </is>
      </c>
      <c r="G10309" t="inlineStr">
        <is>
          <t>12-04-2026</t>
        </is>
      </c>
      <c r="H10309" t="inlineStr">
        <is>
          <t>12/04/2026</t>
        </is>
      </c>
      <c r="I10309" t="inlineStr">
        <is>
          <t>17/03/2026</t>
        </is>
      </c>
      <c r="J10309" t="inlineStr">
        <is>
          <t>Kiến trúc, Xây dựng, Bảo trì / Sửa chữa</t>
        </is>
      </c>
      <c r="K10309" t="inlineStr">
        <is>
          <t>1 - 3 Năm</t>
        </is>
      </c>
      <c r="L10309" s="8">
        <f>HYPERLINK("https://careerviet.vn/vi/tim-viec-lam/nhan-vien-qs.35C6490B.html","Xem chi tiết")</f>
        <v/>
      </c>
    </row>
    <row r="10310">
      <c r="B10310" s="9" t="n">
        <v>10308</v>
      </c>
      <c r="C10310" s="10" t="inlineStr">
        <is>
          <t>THỰC TẬP SINH TƯ VẤN ĐẦU TƯ KHCN (HÀ NỘI)</t>
        </is>
      </c>
      <c r="D10310" s="10" t="inlineStr">
        <is>
          <t>VDSC - Công ty CP Chứng khoán Rồng Việt</t>
        </is>
      </c>
      <c r="E10310" s="10" t="inlineStr">
        <is>
          <t>Lương:3 Tr - 5 Tr VND</t>
        </is>
      </c>
      <c r="F10310" s="10" t="inlineStr">
        <is>
          <t>Hà Nội</t>
        </is>
      </c>
      <c r="G10310" s="10" t="inlineStr">
        <is>
          <t>12-04-2026</t>
        </is>
      </c>
      <c r="H10310" s="10" t="inlineStr">
        <is>
          <t>12/04/2026</t>
        </is>
      </c>
      <c r="I10310" s="10" t="inlineStr">
        <is>
          <t>17/03/2026</t>
        </is>
      </c>
      <c r="J10310" s="10" t="inlineStr">
        <is>
          <t>Ngân hàng, Chứng khoán, Tài chính / Đầu tư</t>
        </is>
      </c>
      <c r="K10310" s="10" t="inlineStr">
        <is>
          <t>N/A</t>
        </is>
      </c>
      <c r="L10310" s="11">
        <f>HYPERLINK("https://careerviet.vn/vi/tim-viec-lam/thuc-tap-sinh-tu-van-dau-tu-khcn-ha-noi.35C654F3.html","Xem chi tiết")</f>
        <v/>
      </c>
      <c r="M10310" s="10" t="n"/>
    </row>
    <row r="10311">
      <c r="B10311" s="7" t="n">
        <v>10309</v>
      </c>
      <c r="C10311" t="inlineStr">
        <is>
          <t>Operation Executive - Làm việc tại Đà Nẵng</t>
        </is>
      </c>
      <c r="D10311" t="inlineStr">
        <is>
          <t>ASIAN TRAILS - CÔNG TY TNHH DU LỊCH ĐƯỜNG MÒN CHÂU Á</t>
        </is>
      </c>
      <c r="E10311" t="inlineStr">
        <is>
          <t>Lương:Cạnh tranh</t>
        </is>
      </c>
      <c r="F10311" t="inlineStr">
        <is>
          <t>Đà Nẵng</t>
        </is>
      </c>
      <c r="G10311" t="inlineStr">
        <is>
          <t>12-04-2026</t>
        </is>
      </c>
      <c r="H10311" t="inlineStr">
        <is>
          <t>12/04/2026</t>
        </is>
      </c>
      <c r="I10311" t="inlineStr">
        <is>
          <t>17/03/2026</t>
        </is>
      </c>
      <c r="J10311" t="inlineStr">
        <is>
          <t>Dịch vụ khách hàng, Biên phiên dịch, Du lịch</t>
        </is>
      </c>
      <c r="K10311" t="inlineStr">
        <is>
          <t>1 - 2 Năm</t>
        </is>
      </c>
      <c r="L10311" s="8">
        <f>HYPERLINK("https://careerviet.vn/vi/tim-viec-lam/operation-executive-lam-viec-tai-da-nang.35C653D1.html","Xem chi tiết")</f>
        <v/>
      </c>
    </row>
    <row r="10312">
      <c r="B10312" s="9" t="n">
        <v>10310</v>
      </c>
      <c r="C10312" s="10" t="inlineStr">
        <is>
          <t>Kỹ sư Shop Drawing</t>
        </is>
      </c>
      <c r="D10312" s="10" t="inlineStr">
        <is>
          <t>CÔNG TY CỔ PHẦN THƯƠNG MẠI DỊCH VỤ XÂY DỰNG E&amp;C</t>
        </is>
      </c>
      <c r="E10312" s="10" t="inlineStr">
        <is>
          <t>Lương:16 Tr - 20 Tr VND</t>
        </is>
      </c>
      <c r="F10312" s="10" t="inlineStr">
        <is>
          <t>Đồng Nai</t>
        </is>
      </c>
      <c r="G10312" s="10" t="inlineStr">
        <is>
          <t>12-04-2026</t>
        </is>
      </c>
      <c r="H10312" s="10" t="inlineStr">
        <is>
          <t>12/04/2026</t>
        </is>
      </c>
      <c r="I10312" s="10" t="inlineStr">
        <is>
          <t>17/03/2026</t>
        </is>
      </c>
      <c r="J10312" s="10" t="inlineStr">
        <is>
          <t>Kiến trúc, Xây dựng</t>
        </is>
      </c>
      <c r="K10312" s="10" t="inlineStr">
        <is>
          <t>2 - 3 Năm</t>
        </is>
      </c>
      <c r="L10312" s="11">
        <f>HYPERLINK("https://careerviet.vn/vi/tim-viec-lam/ky-su-shop-drawing.35C653BB.html","Xem chi tiết")</f>
        <v/>
      </c>
      <c r="M10312" s="10" t="n"/>
    </row>
    <row r="10313">
      <c r="B10313" s="7" t="n">
        <v>10311</v>
      </c>
      <c r="C10313" t="inlineStr">
        <is>
          <t>Nhân Viên Thu Ngân Kiêm Phục Vụ (Làm Việc Tại Cảng Hàng Không Quốc tế Tân Sơn Nhất)</t>
        </is>
      </c>
      <c r="D10313" t="inlineStr">
        <is>
          <t>CÔNG TY CỔ PHẦN DỊCH VỤ HÀNG KHÔNG TASECO SÀI GÒN</t>
        </is>
      </c>
      <c r="E10313" t="inlineStr">
        <is>
          <t>Lương:8 Tr - 11 Tr VND</t>
        </is>
      </c>
      <c r="F10313" t="inlineStr">
        <is>
          <t>Hồ Chí Minh</t>
        </is>
      </c>
      <c r="G10313" t="inlineStr">
        <is>
          <t>12-04-2026</t>
        </is>
      </c>
      <c r="H10313" t="inlineStr">
        <is>
          <t>12/04/2026</t>
        </is>
      </c>
      <c r="I10313" t="inlineStr">
        <is>
          <t>17/03/2026</t>
        </is>
      </c>
      <c r="J10313" t="inlineStr">
        <is>
          <t>Bán lẻ / Bán sỉ, Bán hàng / Kinh doanh, Nhà hàng / Khách sạn</t>
        </is>
      </c>
      <c r="K10313" t="inlineStr">
        <is>
          <t>N/A</t>
        </is>
      </c>
      <c r="L10313" s="8">
        <f>HYPERLINK("https://careerviet.vn/vi/tim-viec-lam/nhan-vien-thu-ngan-kiem-phuc-vu-lam-viec-tai-cang-hang-khong-quoc-te-tan-son-nhat.35C68609.html","Xem chi tiết")</f>
        <v/>
      </c>
    </row>
    <row r="10314">
      <c r="B10314" s="9" t="n">
        <v>10312</v>
      </c>
      <c r="C10314" s="10" t="inlineStr">
        <is>
          <t>Trưởng bộ phận Tuyển sinh &amp; CSPH - Pathway School</t>
        </is>
      </c>
      <c r="D10314" s="10" t="inlineStr">
        <is>
          <t>Hệ thống trường Pathway Tuệ Đức</t>
        </is>
      </c>
      <c r="E10314" s="10" t="inlineStr">
        <is>
          <t>Lương:Cạnh tranh</t>
        </is>
      </c>
      <c r="F10314" s="10" t="inlineStr">
        <is>
          <t>Hồ Chí Minh</t>
        </is>
      </c>
      <c r="G10314" s="10" t="inlineStr">
        <is>
          <t>12-04-2026</t>
        </is>
      </c>
      <c r="H10314" s="10" t="inlineStr">
        <is>
          <t>12/04/2026</t>
        </is>
      </c>
      <c r="I10314" s="10" t="inlineStr">
        <is>
          <t>17/03/2026</t>
        </is>
      </c>
      <c r="J10314" s="10" t="inlineStr">
        <is>
          <t>Giáo dục / Đào tạo, Bán hàng / Kinh doanh, Quản lý điều hành</t>
        </is>
      </c>
      <c r="K10314" s="10" t="inlineStr">
        <is>
          <t>3 - 5 Năm</t>
        </is>
      </c>
      <c r="L10314" s="11">
        <f>HYPERLINK("https://careerviet.vn/vi/tim-viec-lam/truong-bo-phan-tuyen-sinh-csph-pathway-school.35C65425.html","Xem chi tiết")</f>
        <v/>
      </c>
      <c r="M10314" s="10" t="n"/>
    </row>
    <row r="10315">
      <c r="B10315" s="7" t="n">
        <v>10313</v>
      </c>
      <c r="C10315" t="inlineStr">
        <is>
          <t>Nhân viên hành chính (GA)</t>
        </is>
      </c>
      <c r="D10315" t="inlineStr">
        <is>
          <t>CÔNG TY CỔ PHẦN CHẾ BIẾN THỰC PHẨM HOÀNG SƠN</t>
        </is>
      </c>
      <c r="E10315" t="inlineStr">
        <is>
          <t>Lương:9 Tr - 10 Tr VND</t>
        </is>
      </c>
      <c r="F10315" t="inlineStr">
        <is>
          <t>Bình Dương</t>
        </is>
      </c>
      <c r="G10315" t="inlineStr">
        <is>
          <t>12-04-2026</t>
        </is>
      </c>
      <c r="H10315" t="inlineStr">
        <is>
          <t>12/04/2026</t>
        </is>
      </c>
      <c r="I10315" t="inlineStr">
        <is>
          <t>17/03/2026</t>
        </is>
      </c>
      <c r="J10315" t="inlineStr">
        <is>
          <t>Hành chính / Thư ký, Nhân sự, Sản xuất / Vận hành sản xuất</t>
        </is>
      </c>
      <c r="K10315" t="inlineStr">
        <is>
          <t>N/A</t>
        </is>
      </c>
      <c r="L10315" s="8">
        <f>HYPERLINK("https://careerviet.vn/vi/tim-viec-lam/nhan-vien-hanh-chinh-ga.35C6550C.html","Xem chi tiết")</f>
        <v/>
      </c>
    </row>
    <row r="10316">
      <c r="B10316" s="9" t="n">
        <v>10314</v>
      </c>
      <c r="C10316" s="10" t="inlineStr">
        <is>
          <t>Chuyên Viên Phân Tích Dữ Liệu</t>
        </is>
      </c>
      <c r="D10316" s="10" t="inlineStr">
        <is>
          <t>Công ty Cổ phần CANIFA</t>
        </is>
      </c>
      <c r="E10316" s="10" t="inlineStr">
        <is>
          <t>Lương:15 Tr - 25 Tr VND</t>
        </is>
      </c>
      <c r="F10316" s="10" t="inlineStr">
        <is>
          <t>Hà Nội</t>
        </is>
      </c>
      <c r="G10316" s="10" t="inlineStr">
        <is>
          <t>12-04-2026</t>
        </is>
      </c>
      <c r="H10316" s="10" t="inlineStr">
        <is>
          <t>12/04/2026</t>
        </is>
      </c>
      <c r="I10316" s="10" t="inlineStr">
        <is>
          <t>17/03/2026</t>
        </is>
      </c>
      <c r="J10316" s="10" t="inlineStr">
        <is>
          <t>CNTT - Phần mềm</t>
        </is>
      </c>
      <c r="K10316" s="10" t="inlineStr">
        <is>
          <t>2 - 5 Năm</t>
        </is>
      </c>
      <c r="L10316" s="11">
        <f>HYPERLINK("https://careerviet.vn/vi/tim-viec-lam/chuyen-vien-phan-tich-du-lieu.35C68680.html","Xem chi tiết")</f>
        <v/>
      </c>
      <c r="M10316" s="10" t="n"/>
    </row>
    <row r="10317">
      <c r="B10317" s="7" t="n">
        <v>10315</v>
      </c>
      <c r="C10317" t="inlineStr">
        <is>
          <t>Marketing Specialist</t>
        </is>
      </c>
      <c r="D10317" t="inlineStr">
        <is>
          <t>Công Ty Cổ Phần Y Tế Việt Tiến</t>
        </is>
      </c>
      <c r="E10317" t="inlineStr">
        <is>
          <t>Lương:Cạnh tranh</t>
        </is>
      </c>
      <c r="F10317" t="inlineStr">
        <is>
          <t>Hồ Chí Minh</t>
        </is>
      </c>
      <c r="G10317" t="inlineStr">
        <is>
          <t>12-04-2026</t>
        </is>
      </c>
      <c r="H10317" t="inlineStr">
        <is>
          <t>12/04/2026</t>
        </is>
      </c>
      <c r="I10317" t="inlineStr">
        <is>
          <t>17/03/2026</t>
        </is>
      </c>
      <c r="J10317" t="inlineStr">
        <is>
          <t>Dịch vụ khách hàng, Tiếp thị / Marketing, Tiếp thị trực tuyến</t>
        </is>
      </c>
      <c r="K10317" t="inlineStr">
        <is>
          <t>2 - 3 Năm</t>
        </is>
      </c>
      <c r="L10317" s="8">
        <f>HYPERLINK("https://careerviet.vn/vi/tim-viec-lam/marketing-specialist.35C653A4.html","Xem chi tiết")</f>
        <v/>
      </c>
    </row>
    <row r="10318">
      <c r="B10318" s="9" t="n">
        <v>10316</v>
      </c>
      <c r="C10318" s="10" t="inlineStr">
        <is>
          <t>Tư Vấn Bán Hàng Mỹ Phẩm - Beauty Consultant (PG)</t>
        </is>
      </c>
      <c r="D10318" s="10" t="inlineStr">
        <is>
          <t>CÔNG TY TNHH SOCIAL BELLA VIỆT NAM</t>
        </is>
      </c>
      <c r="E10318" s="10" t="inlineStr">
        <is>
          <t>Lương:Cạnh tranh</t>
        </is>
      </c>
      <c r="F10318" s="10" t="inlineStr">
        <is>
          <t>Hồ Chí Minh</t>
        </is>
      </c>
      <c r="G10318" s="10" t="inlineStr">
        <is>
          <t>12-04-2026</t>
        </is>
      </c>
      <c r="H10318" s="10" t="inlineStr">
        <is>
          <t>12/04/2026</t>
        </is>
      </c>
      <c r="I10318" s="10" t="inlineStr">
        <is>
          <t>17/03/2026</t>
        </is>
      </c>
      <c r="J10318" s="10" t="inlineStr">
        <is>
          <t>Bán lẻ / Bán sỉ, Bán hàng / Kinh doanh, Dịch vụ khách hàng</t>
        </is>
      </c>
      <c r="K10318" s="10" t="inlineStr">
        <is>
          <t>N/A</t>
        </is>
      </c>
      <c r="L10318" s="11">
        <f>HYPERLINK("https://careerviet.vn/vi/tim-viec-lam/tu-van-ban-hang-my-pham-beauty-consultant-pg.35C653BE.html","Xem chi tiết")</f>
        <v/>
      </c>
      <c r="M10318" s="10" t="n"/>
    </row>
    <row r="10319">
      <c r="B10319" s="7" t="n">
        <v>10317</v>
      </c>
      <c r="C10319" t="inlineStr">
        <is>
          <t>[HN] Accounting Officer (Finance &amp; Budget)/ Cán Bộ Kế Toán (Tài Chính &amp; Ngân Sách)</t>
        </is>
      </c>
      <c r="D10319" t="inlineStr">
        <is>
          <t>Công Ty Cổ Phần Diana Unicharm</t>
        </is>
      </c>
      <c r="E10319" t="inlineStr">
        <is>
          <t>Lương:15 Tr - 20 Tr VND</t>
        </is>
      </c>
      <c r="F10319" t="inlineStr">
        <is>
          <t>Hà Nội</t>
        </is>
      </c>
      <c r="G10319" t="inlineStr">
        <is>
          <t>12-04-2026</t>
        </is>
      </c>
      <c r="H10319" t="inlineStr">
        <is>
          <t>12/04/2026</t>
        </is>
      </c>
      <c r="I10319" t="inlineStr">
        <is>
          <t>17/03/2026</t>
        </is>
      </c>
      <c r="J10319" t="inlineStr">
        <is>
          <t>Kế toán / Kiểm toán, Tài chính / Đầu tư</t>
        </is>
      </c>
      <c r="K10319" t="inlineStr">
        <is>
          <t>2 - 5 Năm</t>
        </is>
      </c>
      <c r="L10319" s="8">
        <f>HYPERLINK("https://careerviet.vn/vi/tim-viec-lam/hn-accounting-officer-finance-budget-can-bo-ke-toan-tai-chinh-ngan-sach.35C68699.html","Xem chi tiết")</f>
        <v/>
      </c>
    </row>
    <row r="10320">
      <c r="B10320" s="9" t="n">
        <v>10318</v>
      </c>
      <c r="C10320" s="10" t="inlineStr">
        <is>
          <t>Nhân Viên Kỹ Thuật Bảo Trì Điện</t>
        </is>
      </c>
      <c r="D10320" s="10" t="inlineStr">
        <is>
          <t>Công ty TNHH SX-TM-DV Qui Phúc</t>
        </is>
      </c>
      <c r="E10320" s="10" t="inlineStr">
        <is>
          <t>Lương:12 Tr - 14 Tr VND</t>
        </is>
      </c>
      <c r="F10320" s="10" t="inlineStr">
        <is>
          <t>Hồ Chí Minh</t>
        </is>
      </c>
      <c r="G10320" s="10" t="inlineStr">
        <is>
          <t>12-04-2026</t>
        </is>
      </c>
      <c r="H10320" s="10" t="inlineStr">
        <is>
          <t>12/04/2026</t>
        </is>
      </c>
      <c r="I10320" s="10" t="inlineStr">
        <is>
          <t>17/03/2026</t>
        </is>
      </c>
      <c r="J10320" s="10" t="inlineStr">
        <is>
          <t>Cơ khí / Ô tô / Tự động hóa, Điện / Điện tử / Điện lạnh / Điện công nghiệp, Bảo trì / Sửa chữa</t>
        </is>
      </c>
      <c r="K10320" s="10" t="inlineStr">
        <is>
          <t>2 - 3 Năm</t>
        </is>
      </c>
      <c r="L10320" s="11">
        <f>HYPERLINK("https://careerviet.vn/vi/tim-viec-lam/nhan-vien-ky-thuat-bao-tri-dien.35C65300.html","Xem chi tiết")</f>
        <v/>
      </c>
      <c r="M10320" s="10" t="n"/>
    </row>
    <row r="10321">
      <c r="B10321" s="7" t="n">
        <v>10319</v>
      </c>
      <c r="C10321" t="inlineStr">
        <is>
          <t>Chuyên viên Kinh doanh (KH Doanh nghiệp)</t>
        </is>
      </c>
      <c r="D10321" t="inlineStr">
        <is>
          <t>CÔNG TY TNHH HAMOON</t>
        </is>
      </c>
      <c r="E10321" t="inlineStr">
        <is>
          <t>Lương:Cạnh tranh</t>
        </is>
      </c>
      <c r="F10321" t="inlineStr">
        <is>
          <t>Hồ Chí Minh</t>
        </is>
      </c>
      <c r="G10321" t="inlineStr">
        <is>
          <t>12-04-2026</t>
        </is>
      </c>
      <c r="H10321" t="inlineStr">
        <is>
          <t>12/04/2026</t>
        </is>
      </c>
      <c r="I10321" t="inlineStr">
        <is>
          <t>17/03/2026</t>
        </is>
      </c>
      <c r="J10321" t="inlineStr">
        <is>
          <t>Bán lẻ / Bán sỉ, Bán hàng / Kinh doanh, Dịch vụ khách hàng</t>
        </is>
      </c>
      <c r="K10321" t="inlineStr">
        <is>
          <t>1 - 3 Năm</t>
        </is>
      </c>
      <c r="L10321" s="8">
        <f>HYPERLINK("https://careerviet.vn/vi/tim-viec-lam/chuyen-vien-kinh-doanh-kh-doanh-nghiep.35C68668.html","Xem chi tiết")</f>
        <v/>
      </c>
    </row>
    <row r="10322">
      <c r="B10322" s="9" t="n">
        <v>10320</v>
      </c>
      <c r="C10322" s="10" t="inlineStr">
        <is>
          <t>Nhân viên Mua hàng</t>
        </is>
      </c>
      <c r="D10322" s="10" t="inlineStr">
        <is>
          <t>CÔNG TY CP BIA &amp; NGK HẠ LONG</t>
        </is>
      </c>
      <c r="E10322" s="10" t="inlineStr">
        <is>
          <t>Lương:10 Tr - 12 Tr VND</t>
        </is>
      </c>
      <c r="F10322" s="10" t="inlineStr">
        <is>
          <t>Quảng Ninh</t>
        </is>
      </c>
      <c r="G10322" s="10" t="inlineStr">
        <is>
          <t>12-04-2026</t>
        </is>
      </c>
      <c r="H10322" s="10" t="inlineStr">
        <is>
          <t>12/04/2026</t>
        </is>
      </c>
      <c r="I10322" s="10" t="inlineStr">
        <is>
          <t>17/03/2026</t>
        </is>
      </c>
      <c r="J10322" s="10" t="inlineStr">
        <is>
          <t>Thu mua / Vật tư</t>
        </is>
      </c>
      <c r="K10322" s="10" t="inlineStr">
        <is>
          <t>2 - 3 Năm</t>
        </is>
      </c>
      <c r="L10322" s="11">
        <f>HYPERLINK("https://careerviet.vn/vi/tim-viec-lam/nhan-vien-mua-hang.35C6865F.html","Xem chi tiết")</f>
        <v/>
      </c>
      <c r="M10322" s="10" t="n"/>
    </row>
    <row r="10323">
      <c r="B10323" s="7" t="n">
        <v>10321</v>
      </c>
      <c r="C10323" t="inlineStr">
        <is>
          <t>Nhân viên phục vụ</t>
        </is>
      </c>
      <c r="D10323" t="inlineStr">
        <is>
          <t>CÔNG TY TNHH ATX VIỆT NAM</t>
        </is>
      </c>
      <c r="E10323" t="inlineStr">
        <is>
          <t>Lương:6 Tr - 9 Tr VND</t>
        </is>
      </c>
      <c r="F10323" t="inlineStr">
        <is>
          <t>Hồ Chí Minh</t>
        </is>
      </c>
      <c r="G10323" t="inlineStr">
        <is>
          <t>11-04-2026</t>
        </is>
      </c>
      <c r="H10323" t="inlineStr">
        <is>
          <t>11/04/2026</t>
        </is>
      </c>
      <c r="I10323" t="inlineStr">
        <is>
          <t>17/03/2026</t>
        </is>
      </c>
      <c r="J10323" t="inlineStr">
        <is>
          <t>Nhà hàng / Khách sạn</t>
        </is>
      </c>
      <c r="K10323" t="inlineStr">
        <is>
          <t>N/A</t>
        </is>
      </c>
      <c r="L10323" s="8">
        <f>HYPERLINK("https://careerviet.vn/vi/tim-viec-lam/nhan-vien-phuc-vu.35C652FD.html","Xem chi tiết")</f>
        <v/>
      </c>
    </row>
    <row r="10324">
      <c r="B10324" s="9" t="n">
        <v>10322</v>
      </c>
      <c r="C10324" s="10" t="inlineStr">
        <is>
          <t>Chuyên viên cao cấp Phân tích Kỹ thuật  - Senior Technical Analyst (Equity &amp; Market)</t>
        </is>
      </c>
      <c r="D10324" s="10" t="inlineStr">
        <is>
          <t>CÔNG TY CỔ PHẦN CHỨNG KHOÁN HD</t>
        </is>
      </c>
      <c r="E10324" s="10" t="inlineStr">
        <is>
          <t>Lương:Cạnh tranh</t>
        </is>
      </c>
      <c r="F10324" s="10" t="inlineStr">
        <is>
          <t>Hồ Chí Minh</t>
        </is>
      </c>
      <c r="G10324" s="10" t="inlineStr">
        <is>
          <t>12-04-2026</t>
        </is>
      </c>
      <c r="H10324" s="10" t="inlineStr">
        <is>
          <t>12/04/2026</t>
        </is>
      </c>
      <c r="I10324" s="10" t="inlineStr">
        <is>
          <t>17/03/2026</t>
        </is>
      </c>
      <c r="J10324" s="10" t="inlineStr">
        <is>
          <t>Chứng khoán, Thống kê, Tài chính / Đầu tư</t>
        </is>
      </c>
      <c r="K10324" s="10" t="inlineStr">
        <is>
          <t>5 - 7 Năm</t>
        </is>
      </c>
      <c r="L10324" s="11">
        <f>HYPERLINK("https://careerviet.vn/vi/tim-viec-lam/chuyen-vien-cao-cap-phan-tich-ky-thuat-senior-technical-analyst-equity-market.35C65389.html","Xem chi tiết")</f>
        <v/>
      </c>
      <c r="M10324" s="10" t="n"/>
    </row>
    <row r="10325">
      <c r="B10325" s="7" t="n">
        <v>10323</v>
      </c>
      <c r="C10325" t="inlineStr">
        <is>
          <t>Production Supervisor (Senior Level)</t>
        </is>
      </c>
      <c r="D10325" t="inlineStr">
        <is>
          <t>SAMTEC VIETNAM COMPANY LIMITED</t>
        </is>
      </c>
      <c r="E10325" t="inlineStr">
        <is>
          <t>Lương:Cạnh tranh</t>
        </is>
      </c>
      <c r="F10325" t="inlineStr">
        <is>
          <t>Đồng Nai</t>
        </is>
      </c>
      <c r="G10325" t="inlineStr">
        <is>
          <t>12-04-2026</t>
        </is>
      </c>
      <c r="H10325" t="inlineStr">
        <is>
          <t>12/04/2026</t>
        </is>
      </c>
      <c r="I10325" t="inlineStr">
        <is>
          <t>17/03/2026</t>
        </is>
      </c>
      <c r="J10325" t="inlineStr">
        <is>
          <t>Điện / Điện tử / Điện lạnh / Điện công nghiệp, Sản xuất / Vận hành sản xuất</t>
        </is>
      </c>
      <c r="K10325" t="inlineStr">
        <is>
          <t>Trên 3 Năm</t>
        </is>
      </c>
      <c r="L10325" s="8">
        <f>HYPERLINK("https://careerviet.vn/vi/tim-viec-lam/production-supervisor-senior-level.35C68697.html","Xem chi tiết")</f>
        <v/>
      </c>
    </row>
    <row r="10326">
      <c r="B10326" s="9" t="n">
        <v>10324</v>
      </c>
      <c r="C10326" s="10" t="inlineStr">
        <is>
          <t>Chỉ huy trưởng</t>
        </is>
      </c>
      <c r="D10326" s="10" t="inlineStr">
        <is>
          <t>Công ty TNHH Nesta</t>
        </is>
      </c>
      <c r="E10326" s="10" t="inlineStr">
        <is>
          <t>Lương:Lên đến 30 Tr VND</t>
        </is>
      </c>
      <c r="F10326" s="10" t="inlineStr">
        <is>
          <t>Hồ Chí MinhHà Nội</t>
        </is>
      </c>
      <c r="G10326" s="10" t="inlineStr">
        <is>
          <t>12-04-2026</t>
        </is>
      </c>
      <c r="H10326" s="10" t="inlineStr">
        <is>
          <t>12/04/2026</t>
        </is>
      </c>
      <c r="I10326" s="10" t="inlineStr">
        <is>
          <t>17/03/2026</t>
        </is>
      </c>
      <c r="J10326" s="10" t="inlineStr">
        <is>
          <t>Quản lý điều hành, Kiến trúc, Nội ngoại thất</t>
        </is>
      </c>
      <c r="K10326" s="10" t="inlineStr">
        <is>
          <t>Trên 3 Năm</t>
        </is>
      </c>
      <c r="L10326" s="11">
        <f>HYPERLINK("https://careerviet.vn/vi/tim-viec-lam/chi-huy-truong.35C65401.html","Xem chi tiết")</f>
        <v/>
      </c>
      <c r="M10326" s="10" t="n"/>
    </row>
    <row r="10327">
      <c r="B10327" s="7" t="n">
        <v>10325</v>
      </c>
      <c r="C10327" t="inlineStr">
        <is>
          <t>Kỹ sư Cơ điện ME</t>
        </is>
      </c>
      <c r="D10327" t="inlineStr">
        <is>
          <t>Công ty Cổ phần CANIFA</t>
        </is>
      </c>
      <c r="E10327" t="inlineStr">
        <is>
          <t>Lương:15 Tr - 20 Tr VND</t>
        </is>
      </c>
      <c r="F10327" t="inlineStr">
        <is>
          <t>Hà Nội</t>
        </is>
      </c>
      <c r="G10327" t="inlineStr">
        <is>
          <t>12-04-2026</t>
        </is>
      </c>
      <c r="H10327" t="inlineStr">
        <is>
          <t>12/04/2026</t>
        </is>
      </c>
      <c r="I10327" t="inlineStr">
        <is>
          <t>17/03/2026</t>
        </is>
      </c>
      <c r="J10327" t="inlineStr">
        <is>
          <t>Điện / Điện tử / Điện lạnh / Điện công nghiệp, Xây dựng, Nội ngoại thất</t>
        </is>
      </c>
      <c r="K10327" t="inlineStr">
        <is>
          <t>2 - 5 Năm</t>
        </is>
      </c>
      <c r="L10327" s="8">
        <f>HYPERLINK("https://careerviet.vn/vi/tim-viec-lam/ky-su-co-dien-me.35C68650.html","Xem chi tiết")</f>
        <v/>
      </c>
    </row>
    <row r="10328">
      <c r="B10328" s="9" t="n">
        <v>10326</v>
      </c>
      <c r="C10328" s="10" t="inlineStr">
        <is>
          <t>Nhân viên Mua hàng - Purchasing Staff (Tăng định biên)</t>
        </is>
      </c>
      <c r="D10328" s="10" t="inlineStr">
        <is>
          <t>Công ty TNHH MTV Sen Vàng Việt Nam</t>
        </is>
      </c>
      <c r="E10328" s="10" t="inlineStr">
        <is>
          <t>Lương:Cạnh tranh</t>
        </is>
      </c>
      <c r="F10328" s="10" t="inlineStr">
        <is>
          <t>Hồ Chí Minh</t>
        </is>
      </c>
      <c r="G10328" s="10" t="inlineStr">
        <is>
          <t>12-04-2026</t>
        </is>
      </c>
      <c r="H10328" s="10" t="inlineStr">
        <is>
          <t>12/04/2026</t>
        </is>
      </c>
      <c r="I10328" s="10" t="inlineStr">
        <is>
          <t>17/03/2026</t>
        </is>
      </c>
      <c r="J10328" s="10" t="inlineStr">
        <is>
          <t>Bảo trì / Sửa chữa, Sản xuất / Vận hành sản xuất, Thu mua / Vật tư</t>
        </is>
      </c>
      <c r="K10328" s="10" t="inlineStr">
        <is>
          <t>3 - 5 Năm</t>
        </is>
      </c>
      <c r="L10328" s="11">
        <f>HYPERLINK("https://careerviet.vn/vi/tim-viec-lam/nhan-vien-mua-hang-purchasing-staff-tang-dinh-bien.35C6860B.html","Xem chi tiết")</f>
        <v/>
      </c>
      <c r="M10328" s="10" t="n"/>
    </row>
    <row r="10329">
      <c r="B10329" s="7" t="n">
        <v>10327</v>
      </c>
      <c r="C10329" t="inlineStr">
        <is>
          <t>Cán bộ Tuyển dụng</t>
        </is>
      </c>
      <c r="D10329" t="inlineStr">
        <is>
          <t>Trường Đại Học Đông Á - Đà Nẵng</t>
        </is>
      </c>
      <c r="E10329" t="inlineStr">
        <is>
          <t>Lương:8 Tr - 12 Tr VND</t>
        </is>
      </c>
      <c r="F10329" t="inlineStr">
        <is>
          <t>Đà Nẵng</t>
        </is>
      </c>
      <c r="G10329" t="inlineStr">
        <is>
          <t>12-04-2026</t>
        </is>
      </c>
      <c r="H10329" t="inlineStr">
        <is>
          <t>12/04/2026</t>
        </is>
      </c>
      <c r="I10329" t="inlineStr">
        <is>
          <t>17/03/2026</t>
        </is>
      </c>
      <c r="J10329" t="inlineStr">
        <is>
          <t>Giáo dục / Đào tạo, Nhân sự</t>
        </is>
      </c>
      <c r="K10329" t="inlineStr">
        <is>
          <t>2 - 3 Năm</t>
        </is>
      </c>
      <c r="L10329" s="8">
        <f>HYPERLINK("https://careerviet.vn/vi/tim-viec-lam/can-bo-tuyen-dung.35C65348.html","Xem chi tiết")</f>
        <v/>
      </c>
    </row>
    <row r="10330">
      <c r="B10330" s="9" t="n">
        <v>10328</v>
      </c>
      <c r="C10330" s="10" t="inlineStr">
        <is>
          <t>Chuyên viên Tuân thủ (Pháp lý Tuân thủ)</t>
        </is>
      </c>
      <c r="D10330" s="10" t="inlineStr">
        <is>
          <t>Công ty TNHH MTV Sen Vàng Việt Nam</t>
        </is>
      </c>
      <c r="E10330" s="10" t="inlineStr">
        <is>
          <t>Lương:15 Tr - 20 Tr VND</t>
        </is>
      </c>
      <c r="F10330" s="10" t="inlineStr">
        <is>
          <t>Hồ Chí Minh</t>
        </is>
      </c>
      <c r="G10330" s="10" t="inlineStr">
        <is>
          <t>12-04-2026</t>
        </is>
      </c>
      <c r="H10330" s="10" t="inlineStr">
        <is>
          <t>12/04/2026</t>
        </is>
      </c>
      <c r="I10330" s="10" t="inlineStr">
        <is>
          <t>17/03/2026</t>
        </is>
      </c>
      <c r="J10330" s="10" t="inlineStr">
        <is>
          <t>Tư vấn, Luật / Pháp lý, Sản xuất / Vận hành sản xuất</t>
        </is>
      </c>
      <c r="K10330" s="10" t="inlineStr">
        <is>
          <t>Trên 5 Năm</t>
        </is>
      </c>
      <c r="L10330" s="11">
        <f>HYPERLINK("https://careerviet.vn/vi/tim-viec-lam/chuyen-vien-tuan-thu-phap-ly-tuan-thu.35C6860C.html","Xem chi tiết")</f>
        <v/>
      </c>
      <c r="M10330" s="10" t="n"/>
    </row>
    <row r="10331">
      <c r="B10331" s="7" t="n">
        <v>10329</v>
      </c>
      <c r="C10331" t="inlineStr">
        <is>
          <t>Nhân Viên Kinh Doanh Phụ Tùng Ô Tô</t>
        </is>
      </c>
      <c r="D10331" t="inlineStr">
        <is>
          <t>CÔNG TY TNHH THƯƠNG MẠI  ĐẮC YẾN</t>
        </is>
      </c>
      <c r="E10331" t="inlineStr">
        <is>
          <t>Lương:15 Tr - 20 Tr VND</t>
        </is>
      </c>
      <c r="F10331" t="inlineStr">
        <is>
          <t>Hồ Chí Minh</t>
        </is>
      </c>
      <c r="G10331" t="inlineStr">
        <is>
          <t>12-04-2026</t>
        </is>
      </c>
      <c r="H10331" t="inlineStr">
        <is>
          <t>12/04/2026</t>
        </is>
      </c>
      <c r="I10331" t="inlineStr">
        <is>
          <t>17/03/2026</t>
        </is>
      </c>
      <c r="J10331" t="inlineStr">
        <is>
          <t>Bán hàng / Kinh doanh, Cơ khí / Ô tô / Tự động hóa, Bán lẻ / Bán sỉ</t>
        </is>
      </c>
      <c r="K10331" t="inlineStr">
        <is>
          <t>1 - 2 Năm</t>
        </is>
      </c>
      <c r="L10331" s="8">
        <f>HYPERLINK("https://careerviet.vn/vi/tim-viec-lam/nhan-vien-kinh-doanh-phu-tung-o-to.35C68703.html","Xem chi tiết")</f>
        <v/>
      </c>
    </row>
    <row r="10332">
      <c r="B10332" s="9" t="n">
        <v>10330</v>
      </c>
      <c r="C10332" s="10" t="inlineStr">
        <is>
          <t>Chuyên Viên/Chuyên viên cao cấp Quan Hệ Khách Hàng Cá Nhân - Quảng Ngãi</t>
        </is>
      </c>
      <c r="D10332" s="10" t="inlineStr">
        <is>
          <t>Ngân hàng TMCP Việt Á – VietABank</t>
        </is>
      </c>
      <c r="E10332" s="10" t="inlineStr">
        <is>
          <t>Lương:8 Tr - 25 Tr VND</t>
        </is>
      </c>
      <c r="F10332" s="10" t="inlineStr">
        <is>
          <t>Quảng Ngãi</t>
        </is>
      </c>
      <c r="G10332" s="10" t="inlineStr">
        <is>
          <t>12-04-2026</t>
        </is>
      </c>
      <c r="H10332" s="10" t="inlineStr">
        <is>
          <t>12/04/2026</t>
        </is>
      </c>
      <c r="I10332" s="10" t="inlineStr">
        <is>
          <t>17/03/2026</t>
        </is>
      </c>
      <c r="J10332" s="10" t="inlineStr">
        <is>
          <t>Ngân hàng, Bảo hiểm, Bất động sản</t>
        </is>
      </c>
      <c r="K10332" s="10" t="inlineStr">
        <is>
          <t>1 - 3 Năm</t>
        </is>
      </c>
      <c r="L10332" s="11">
        <f>HYPERLINK("https://careerviet.vn/vi/tim-viec-lam/chuyen-vien-chuyen-vien-cao-cap-quan-he-khach-hang-ca-nhan-quang-ngai.35C654F6.html","Xem chi tiết")</f>
        <v/>
      </c>
      <c r="M10332" s="10" t="n"/>
    </row>
    <row r="10333">
      <c r="B10333" s="7" t="n">
        <v>10331</v>
      </c>
      <c r="C10333" t="inlineStr">
        <is>
          <t>Kế Toán Tổng Hợp (Biên Hòa - Đồng Nai)</t>
        </is>
      </c>
      <c r="D10333" t="inlineStr">
        <is>
          <t>Savills Vietnam</t>
        </is>
      </c>
      <c r="E10333" t="inlineStr">
        <is>
          <t>Lương:Cạnh tranh</t>
        </is>
      </c>
      <c r="F10333" t="inlineStr">
        <is>
          <t>Đồng Nai</t>
        </is>
      </c>
      <c r="G10333" t="inlineStr">
        <is>
          <t>12-04-2026</t>
        </is>
      </c>
      <c r="H10333" t="inlineStr">
        <is>
          <t>12/04/2026</t>
        </is>
      </c>
      <c r="I10333" t="inlineStr">
        <is>
          <t>17/03/2026</t>
        </is>
      </c>
      <c r="J10333" t="inlineStr">
        <is>
          <t>Kế toán / Kiểm toán, Bất động sản</t>
        </is>
      </c>
      <c r="K10333" t="inlineStr">
        <is>
          <t>2 - 4 Năm</t>
        </is>
      </c>
      <c r="L10333" s="8">
        <f>HYPERLINK("https://careerviet.vn/vi/tim-viec-lam/ke-toan-tong-hop-bien-hoa-dong-nai.35C686A3.html","Xem chi tiết")</f>
        <v/>
      </c>
    </row>
    <row r="10334">
      <c r="B10334" s="9" t="n">
        <v>10332</v>
      </c>
      <c r="C10334" s="10" t="inlineStr">
        <is>
          <t>Chuyên Viên/Chuyên viên cao cấp Quan Hệ Khách Hàng Cá Nhân - Bắc Ninh</t>
        </is>
      </c>
      <c r="D10334" s="10" t="inlineStr">
        <is>
          <t>Ngân hàng TMCP Việt Á – VietABank</t>
        </is>
      </c>
      <c r="E10334" s="10" t="inlineStr">
        <is>
          <t>Lương:8 Tr - 25 Tr VND</t>
        </is>
      </c>
      <c r="F10334" s="10" t="inlineStr">
        <is>
          <t>Bắc Ninh</t>
        </is>
      </c>
      <c r="G10334" s="10" t="inlineStr">
        <is>
          <t>12-04-2026</t>
        </is>
      </c>
      <c r="H10334" s="10" t="inlineStr">
        <is>
          <t>12/04/2026</t>
        </is>
      </c>
      <c r="I10334" s="10" t="inlineStr">
        <is>
          <t>17/03/2026</t>
        </is>
      </c>
      <c r="J10334" s="10" t="inlineStr">
        <is>
          <t>Ngân hàng, Bảo hiểm, Bất động sản</t>
        </is>
      </c>
      <c r="K10334" s="10" t="inlineStr">
        <is>
          <t>1 - 3 Năm</t>
        </is>
      </c>
      <c r="L10334" s="11">
        <f>HYPERLINK("https://careerviet.vn/vi/tim-viec-lam/chuyen-vien-chuyen-vien-cao-cap-quan-he-khach-hang-ca-nhan-bac-ninh.35C654F5.html","Xem chi tiết")</f>
        <v/>
      </c>
      <c r="M10334" s="10" t="n"/>
    </row>
    <row r="10335">
      <c r="B10335" s="7" t="n">
        <v>10333</v>
      </c>
      <c r="C10335" t="inlineStr">
        <is>
          <t>Nhân Viên Test (QA)</t>
        </is>
      </c>
      <c r="D10335" t="inlineStr">
        <is>
          <t>Công ty TNHH Thương Mại và Sản xuất ĐỨC MINH</t>
        </is>
      </c>
      <c r="E10335" t="inlineStr">
        <is>
          <t>Lương:9 Tr - 15 Tr VND</t>
        </is>
      </c>
      <c r="F10335" t="inlineStr">
        <is>
          <t>Hòa BìnhHà Nội</t>
        </is>
      </c>
      <c r="G10335" t="inlineStr">
        <is>
          <t>12-04-2026</t>
        </is>
      </c>
      <c r="H10335" t="inlineStr">
        <is>
          <t>12/04/2026</t>
        </is>
      </c>
      <c r="I10335" t="inlineStr">
        <is>
          <t>17/03/2026</t>
        </is>
      </c>
      <c r="J10335" t="inlineStr">
        <is>
          <t>Quản lý chất lượng (QA/QC), Cơ khí / Ô tô / Tự động hóa, Điện / Điện tử / Điện lạnh / Điện công nghiệp</t>
        </is>
      </c>
      <c r="K10335" t="inlineStr">
        <is>
          <t>Lên đến 2 Năm</t>
        </is>
      </c>
      <c r="L10335" s="8">
        <f>HYPERLINK("https://careerviet.vn/vi/tim-viec-lam/nhan-vien-test-qa.35C653FC.html","Xem chi tiết")</f>
        <v/>
      </c>
    </row>
    <row r="10336">
      <c r="B10336" s="9" t="n">
        <v>10334</v>
      </c>
      <c r="C10336" s="10" t="inlineStr">
        <is>
          <t>BACKEND DEVELOPER</t>
        </is>
      </c>
      <c r="D10336" s="10" t="inlineStr">
        <is>
          <t>CÔNG TY TNHH SOLUM VINA HCMC</t>
        </is>
      </c>
      <c r="E10336" s="10" t="inlineStr">
        <is>
          <t>Lương:Cạnh tranh</t>
        </is>
      </c>
      <c r="F10336" s="10" t="inlineStr">
        <is>
          <t>Hồ Chí Minh</t>
        </is>
      </c>
      <c r="G10336" s="10" t="inlineStr">
        <is>
          <t>12-04-2026</t>
        </is>
      </c>
      <c r="H10336" s="10" t="inlineStr">
        <is>
          <t>12/04/2026</t>
        </is>
      </c>
      <c r="I10336" s="10" t="inlineStr">
        <is>
          <t>17/03/2026</t>
        </is>
      </c>
      <c r="J10336" s="10" t="inlineStr">
        <is>
          <t>CNTT - Phần mềm, CNTT - Phần cứng / Mạng</t>
        </is>
      </c>
      <c r="K10336" s="10" t="inlineStr">
        <is>
          <t>2 - 3 Năm</t>
        </is>
      </c>
      <c r="L10336" s="11">
        <f>HYPERLINK("https://careerviet.vn/vi/tim-viec-lam/backend-developer.35C653BC.html","Xem chi tiết")</f>
        <v/>
      </c>
      <c r="M10336" s="10" t="n"/>
    </row>
    <row r="10337">
      <c r="B10337" s="7" t="n">
        <v>10335</v>
      </c>
      <c r="C10337" t="inlineStr">
        <is>
          <t>CHUYÊN GIA ESG (ESG Specialist)</t>
        </is>
      </c>
      <c r="D10337" t="inlineStr">
        <is>
          <t>Công Ty Cổ Phần Tân Vĩnh Cửu (Tavico group)</t>
        </is>
      </c>
      <c r="E10337" t="inlineStr">
        <is>
          <t>Lương:Cạnh tranh</t>
        </is>
      </c>
      <c r="F10337" t="inlineStr">
        <is>
          <t>Đồng Nai</t>
        </is>
      </c>
      <c r="G10337" t="inlineStr">
        <is>
          <t>12-04-2026</t>
        </is>
      </c>
      <c r="H10337" t="inlineStr">
        <is>
          <t>12/04/2026</t>
        </is>
      </c>
      <c r="I10337" t="inlineStr">
        <is>
          <t>17/03/2026</t>
        </is>
      </c>
      <c r="J10337" t="inlineStr">
        <is>
          <t>Môi trường, An toàn lao động, Ngành khác</t>
        </is>
      </c>
      <c r="K10337" t="inlineStr">
        <is>
          <t>3 - 5 Năm</t>
        </is>
      </c>
      <c r="L10337" s="8">
        <f>HYPERLINK("https://careerviet.vn/vi/tim-viec-lam/chuyen-gia-esg-esg-specialist.35C68641.html","Xem chi tiết")</f>
        <v/>
      </c>
    </row>
    <row r="10338">
      <c r="B10338" s="9" t="n">
        <v>10336</v>
      </c>
      <c r="C10338" s="10" t="inlineStr">
        <is>
          <t>CHUYÊN VIÊN TƯ VẤN ĐẦU TƯ CHỨNG KHOÁN (HÀ NỘI)</t>
        </is>
      </c>
      <c r="D10338" s="10" t="inlineStr">
        <is>
          <t>VDSC - Công ty CP Chứng khoán Rồng Việt</t>
        </is>
      </c>
      <c r="E10338" s="10" t="inlineStr">
        <is>
          <t>Lương:7 Tr - 20 Tr VND</t>
        </is>
      </c>
      <c r="F10338" s="10" t="inlineStr">
        <is>
          <t>Hà Nội</t>
        </is>
      </c>
      <c r="G10338" s="10" t="inlineStr">
        <is>
          <t>12-04-2026</t>
        </is>
      </c>
      <c r="H10338" s="10" t="inlineStr">
        <is>
          <t>12/04/2026</t>
        </is>
      </c>
      <c r="I10338" s="10" t="inlineStr">
        <is>
          <t>17/03/2026</t>
        </is>
      </c>
      <c r="J10338" s="10" t="inlineStr">
        <is>
          <t>Ngân hàng, Chứng khoán, Tài chính / Đầu tư</t>
        </is>
      </c>
      <c r="K10338" s="10" t="inlineStr">
        <is>
          <t>Trên 1 Năm</t>
        </is>
      </c>
      <c r="L10338" s="11">
        <f>HYPERLINK("https://careerviet.vn/vi/tim-viec-lam/chuyen-vien-tu-van-dau-tu-chung-khoan-ha-noi.35C654FB.html","Xem chi tiết")</f>
        <v/>
      </c>
      <c r="M10338" s="10" t="n"/>
    </row>
    <row r="10339">
      <c r="B10339" s="7" t="n">
        <v>10337</v>
      </c>
      <c r="C10339" t="inlineStr">
        <is>
          <t>Củ Chi - CV/CVC/CVCC Quan hệ Khách hàng Cá nhân</t>
        </is>
      </c>
      <c r="D10339" t="inlineStr">
        <is>
          <t>Ngân hàng TMCP Lộc Phát Việt Nam (LPBank)</t>
        </is>
      </c>
      <c r="E10339" t="inlineStr">
        <is>
          <t>Lương:Cạnh tranh</t>
        </is>
      </c>
      <c r="F10339" t="inlineStr">
        <is>
          <t>Hồ Chí Minh</t>
        </is>
      </c>
      <c r="G10339" t="inlineStr">
        <is>
          <t>12-04-2026</t>
        </is>
      </c>
      <c r="H10339" t="inlineStr">
        <is>
          <t>12/04/2026</t>
        </is>
      </c>
      <c r="I10339" t="inlineStr">
        <is>
          <t>17/03/2026</t>
        </is>
      </c>
      <c r="J10339" t="inlineStr">
        <is>
          <t>Bán hàng / Kinh doanh, Kế toán / Kiểm toán, Ngân hàng</t>
        </is>
      </c>
      <c r="K10339" t="inlineStr">
        <is>
          <t>N/A</t>
        </is>
      </c>
      <c r="L10339" s="8">
        <f>HYPERLINK("https://careerviet.vn/vi/tim-viec-lam/cu-chi-cv-cvc-cvcc-quan-he-khach-hang-ca-nhan.35C654BB.html","Xem chi tiết")</f>
        <v/>
      </c>
    </row>
    <row r="10340">
      <c r="B10340" s="9" t="n">
        <v>10338</v>
      </c>
      <c r="C10340" s="10" t="inlineStr">
        <is>
          <t>Sales Supervisor - Giám Sát Kinh Doanh (KV Hải Phòng)</t>
        </is>
      </c>
      <c r="D10340" s="10" t="inlineStr">
        <is>
          <t>Công Ty TNHH Sơn TOA Việt Nam</t>
        </is>
      </c>
      <c r="E10340" s="10" t="inlineStr">
        <is>
          <t>Lương:Cạnh tranh</t>
        </is>
      </c>
      <c r="F10340" s="10" t="inlineStr">
        <is>
          <t>Hải Phòng</t>
        </is>
      </c>
      <c r="G10340" s="10" t="inlineStr">
        <is>
          <t>12-04-2026</t>
        </is>
      </c>
      <c r="H10340" s="10" t="inlineStr">
        <is>
          <t>12/04/2026</t>
        </is>
      </c>
      <c r="I10340" s="10" t="inlineStr">
        <is>
          <t>17/03/2026</t>
        </is>
      </c>
      <c r="J10340" s="10" t="inlineStr">
        <is>
          <t>Bán lẻ / Bán sỉ, Bán hàng / Kinh doanh, Xây dựng</t>
        </is>
      </c>
      <c r="K10340" s="10" t="inlineStr">
        <is>
          <t>3 - 6 Năm</t>
        </is>
      </c>
      <c r="L10340" s="11">
        <f>HYPERLINK("https://careerviet.vn/vi/tim-viec-lam/sales-supervisor-giam-sat-kinh-doanh-kv-hai-phong.35C6533D.html","Xem chi tiết")</f>
        <v/>
      </c>
      <c r="M10340" s="10" t="n"/>
    </row>
    <row r="10341">
      <c r="B10341" s="7" t="n">
        <v>10339</v>
      </c>
      <c r="C10341" t="inlineStr">
        <is>
          <t>Nhân Viên Vận Hành Mua Hàng</t>
        </is>
      </c>
      <c r="D10341" t="inlineStr">
        <is>
          <t>Beta Group</t>
        </is>
      </c>
      <c r="E10341" t="inlineStr">
        <is>
          <t>Lương:Cạnh tranh</t>
        </is>
      </c>
      <c r="F10341" t="inlineStr">
        <is>
          <t>Hà Nội</t>
        </is>
      </c>
      <c r="G10341" t="inlineStr">
        <is>
          <t>12-04-2026</t>
        </is>
      </c>
      <c r="H10341" t="inlineStr">
        <is>
          <t>12/04/2026</t>
        </is>
      </c>
      <c r="I10341" t="inlineStr">
        <is>
          <t>17/03/2026</t>
        </is>
      </c>
      <c r="J10341" t="inlineStr">
        <is>
          <t>Thu mua / Vật tư, Kế toán / Kiểm toán</t>
        </is>
      </c>
      <c r="K10341" t="inlineStr">
        <is>
          <t>Lên đến 1 Năm</t>
        </is>
      </c>
      <c r="L10341" s="8">
        <f>HYPERLINK("https://careerviet.vn/vi/tim-viec-lam/nhan-vien-van-hanh-mua-hang.35C6879C.html","Xem chi tiết")</f>
        <v/>
      </c>
    </row>
    <row r="10342">
      <c r="B10342" s="9" t="n">
        <v>10340</v>
      </c>
      <c r="C10342" s="10" t="inlineStr">
        <is>
          <t>Industrial Engineer</t>
        </is>
      </c>
      <c r="D10342" s="10" t="inlineStr">
        <is>
          <t>Wanek Furniture</t>
        </is>
      </c>
      <c r="E10342" s="10" t="inlineStr">
        <is>
          <t>Lương:Cạnh tranh</t>
        </is>
      </c>
      <c r="F10342" s="10" t="inlineStr">
        <is>
          <t>Bình Dương</t>
        </is>
      </c>
      <c r="G10342" s="10" t="inlineStr">
        <is>
          <t>12-04-2026</t>
        </is>
      </c>
      <c r="H10342" s="10" t="inlineStr">
        <is>
          <t>12/04/2026</t>
        </is>
      </c>
      <c r="I10342" s="10" t="inlineStr">
        <is>
          <t>17/03/2026</t>
        </is>
      </c>
      <c r="J10342" s="10" t="inlineStr">
        <is>
          <t>Sản xuất / Vận hành sản xuất, Nội ngoại thất, Đồ gỗ</t>
        </is>
      </c>
      <c r="K10342" s="10" t="inlineStr">
        <is>
          <t>2 - 5 Năm</t>
        </is>
      </c>
      <c r="L10342" s="11">
        <f>HYPERLINK("https://careerviet.vn/vi/tim-viec-lam/industrial-engineer.35C686AC.html","Xem chi tiết")</f>
        <v/>
      </c>
      <c r="M10342" s="10" t="n"/>
    </row>
    <row r="10343">
      <c r="B10343" s="7" t="n">
        <v>10341</v>
      </c>
      <c r="C10343" t="inlineStr">
        <is>
          <t>Giám sát thi công chuỗi cửa hàng</t>
        </is>
      </c>
      <c r="D10343" t="inlineStr">
        <is>
          <t>Công ty Cổ phần CANIFA</t>
        </is>
      </c>
      <c r="E10343" t="inlineStr">
        <is>
          <t>Lương:15 Tr - 25 Tr VND</t>
        </is>
      </c>
      <c r="F10343" t="inlineStr">
        <is>
          <t>Hà Nội</t>
        </is>
      </c>
      <c r="G10343" t="inlineStr">
        <is>
          <t>12-04-2026</t>
        </is>
      </c>
      <c r="H10343" t="inlineStr">
        <is>
          <t>12/04/2026</t>
        </is>
      </c>
      <c r="I10343" t="inlineStr">
        <is>
          <t>17/03/2026</t>
        </is>
      </c>
      <c r="J10343" t="inlineStr">
        <is>
          <t>Xây dựng, Bất động sản, Nội ngoại thất</t>
        </is>
      </c>
      <c r="K10343" t="inlineStr">
        <is>
          <t>3 - 5 Năm</t>
        </is>
      </c>
      <c r="L10343" s="8">
        <f>HYPERLINK("https://careerviet.vn/vi/tim-viec-lam/giam-sat-thi-cong-chuoi-cua-hang.35C6862F.html","Xem chi tiết")</f>
        <v/>
      </c>
    </row>
    <row r="10344">
      <c r="B10344" s="9" t="n">
        <v>10342</v>
      </c>
      <c r="C10344" s="10" t="inlineStr">
        <is>
          <t>Merchandise Planning Manager</t>
        </is>
      </c>
      <c r="D10344" s="10" t="inlineStr">
        <is>
          <t>CÔNG TY CỔ PHẦN MAISON RETAIL MANAGEMENT INTERNATIONAL</t>
        </is>
      </c>
      <c r="E10344" s="10" t="inlineStr">
        <is>
          <t>Lương:Cạnh tranh</t>
        </is>
      </c>
      <c r="F10344" s="10" t="inlineStr">
        <is>
          <t>Hồ Chí Minh</t>
        </is>
      </c>
      <c r="G10344" s="10" t="inlineStr">
        <is>
          <t>12-04-2026</t>
        </is>
      </c>
      <c r="H10344" s="10" t="inlineStr">
        <is>
          <t>12/04/2026</t>
        </is>
      </c>
      <c r="I10344" s="10" t="inlineStr">
        <is>
          <t>17/03/2026</t>
        </is>
      </c>
      <c r="J10344" s="10" t="inlineStr">
        <is>
          <t>Bán lẻ / Bán sỉ</t>
        </is>
      </c>
      <c r="K10344" s="10" t="inlineStr">
        <is>
          <t>2 - 3 Năm</t>
        </is>
      </c>
      <c r="L10344" s="11">
        <f>HYPERLINK("https://careerviet.vn/vi/tim-viec-lam/merchandise-planning-manager.35C68674.html","Xem chi tiết")</f>
        <v/>
      </c>
      <c r="M10344" s="10" t="n"/>
    </row>
    <row r="10345">
      <c r="B10345" s="7" t="n">
        <v>10343</v>
      </c>
      <c r="C10345" t="inlineStr">
        <is>
          <t>Chuyên viên Lập trình Python-ODoo</t>
        </is>
      </c>
      <c r="D10345" t="inlineStr">
        <is>
          <t>Công ty Cổ phần CANIFA</t>
        </is>
      </c>
      <c r="E10345" t="inlineStr">
        <is>
          <t>Lương:16 Tr - 30 Tr VND</t>
        </is>
      </c>
      <c r="F10345" t="inlineStr">
        <is>
          <t>Hà Nội</t>
        </is>
      </c>
      <c r="G10345" t="inlineStr">
        <is>
          <t>12-04-2026</t>
        </is>
      </c>
      <c r="H10345" t="inlineStr">
        <is>
          <t>12/04/2026</t>
        </is>
      </c>
      <c r="I10345" t="inlineStr">
        <is>
          <t>17/03/2026</t>
        </is>
      </c>
      <c r="J10345" t="inlineStr">
        <is>
          <t>CNTT - Phần mềm</t>
        </is>
      </c>
      <c r="K10345" t="inlineStr">
        <is>
          <t>2 - 5 Năm</t>
        </is>
      </c>
      <c r="L10345" s="8">
        <f>HYPERLINK("https://careerviet.vn/vi/tim-viec-lam/chuyen-vien-lap-trinh-python-odoo.35C6865C.html","Xem chi tiết")</f>
        <v/>
      </c>
    </row>
    <row r="10346">
      <c r="B10346" s="9" t="n">
        <v>10344</v>
      </c>
      <c r="C10346" s="10" t="inlineStr">
        <is>
          <t>Merchandise Planning Supervisor</t>
        </is>
      </c>
      <c r="D10346" s="10" t="inlineStr">
        <is>
          <t>CÔNG TY CỔ PHẦN MAISON RETAIL MANAGEMENT INTERNATIONAL</t>
        </is>
      </c>
      <c r="E10346" s="10" t="inlineStr">
        <is>
          <t>Lương:Cạnh tranh</t>
        </is>
      </c>
      <c r="F10346" s="10" t="inlineStr">
        <is>
          <t>Hồ Chí Minh</t>
        </is>
      </c>
      <c r="G10346" s="10" t="inlineStr">
        <is>
          <t>12-04-2026</t>
        </is>
      </c>
      <c r="H10346" s="10" t="inlineStr">
        <is>
          <t>12/04/2026</t>
        </is>
      </c>
      <c r="I10346" s="10" t="inlineStr">
        <is>
          <t>17/03/2026</t>
        </is>
      </c>
      <c r="J10346" s="10" t="inlineStr">
        <is>
          <t>Bán lẻ / Bán sỉ, Thu mua / Vật tư</t>
        </is>
      </c>
      <c r="K10346" s="10" t="inlineStr">
        <is>
          <t>2 - 3 Năm</t>
        </is>
      </c>
      <c r="L10346" s="11">
        <f>HYPERLINK("https://careerviet.vn/vi/tim-viec-lam/merchandise-planning-supervisor.35C68669.html","Xem chi tiết")</f>
        <v/>
      </c>
      <c r="M10346" s="10" t="n"/>
    </row>
    <row r="10347">
      <c r="B10347" s="7" t="n">
        <v>10345</v>
      </c>
      <c r="C10347" t="inlineStr">
        <is>
          <t>Chuyên viên Vận hành &amp; Phát triển Báo cáo</t>
        </is>
      </c>
      <c r="D10347" t="inlineStr">
        <is>
          <t>Công Ty Cổ Phần Quốc Tế Sơn Hà</t>
        </is>
      </c>
      <c r="E10347" t="inlineStr">
        <is>
          <t>Lương:Cạnh tranh</t>
        </is>
      </c>
      <c r="F10347" t="inlineStr">
        <is>
          <t>Hà Nội</t>
        </is>
      </c>
      <c r="G10347" t="inlineStr">
        <is>
          <t>12-04-2026</t>
        </is>
      </c>
      <c r="H10347" t="inlineStr">
        <is>
          <t>12/04/2026</t>
        </is>
      </c>
      <c r="I10347" t="inlineStr">
        <is>
          <t>17/03/2026</t>
        </is>
      </c>
      <c r="J10347" t="inlineStr">
        <is>
          <t>CNTT - Phần mềm</t>
        </is>
      </c>
      <c r="K10347" t="inlineStr">
        <is>
          <t>2 - 5 Năm</t>
        </is>
      </c>
      <c r="L10347" s="8">
        <f>HYPERLINK("https://careerviet.vn/vi/tim-viec-lam/chuyen-vien-van-hanh-phat-trien-bao-cao.35C6879A.html","Xem chi tiết")</f>
        <v/>
      </c>
    </row>
    <row r="10348">
      <c r="B10348" s="9" t="n">
        <v>10346</v>
      </c>
      <c r="C10348" s="10" t="inlineStr">
        <is>
          <t>Nhân viên tư vấn - Thẩm mỹ viện cơ sở Biên Hòa</t>
        </is>
      </c>
      <c r="D10348" s="10" t="inlineStr">
        <is>
          <t>CÔNG TY TNHH THẨM MỸ QUỐC TẾ LINH ANH</t>
        </is>
      </c>
      <c r="E10348" s="10" t="inlineStr">
        <is>
          <t>Lương:20 Tr - 40 Tr VND</t>
        </is>
      </c>
      <c r="F10348" s="10" t="inlineStr">
        <is>
          <t>Đồng Nai</t>
        </is>
      </c>
      <c r="G10348" s="10" t="inlineStr">
        <is>
          <t>6</t>
        </is>
      </c>
      <c r="H10348" s="10" t="inlineStr">
        <is>
          <t>23/03/2026</t>
        </is>
      </c>
      <c r="I10348" s="10" t="inlineStr">
        <is>
          <t>17/03/2026</t>
        </is>
      </c>
      <c r="J10348" s="10" t="inlineStr">
        <is>
          <t>Tiếp thị / Marketing, Bán hàng / Kinh doanh, Y tế / Chăm sóc sức khỏe / Thẩm mỹ / Làm đẹp</t>
        </is>
      </c>
      <c r="K10348" s="10" t="inlineStr">
        <is>
          <t>1 - 2 Năm</t>
        </is>
      </c>
      <c r="L10348" s="11">
        <f>HYPERLINK("https://careerviet.vn/vi/tim-viec-lam/nhan-vien-tu-van-tham-my-vien-co-so-bien-hoa.35C6A1D0.html","Xem chi tiết")</f>
        <v/>
      </c>
      <c r="M10348" s="10" t="n"/>
    </row>
    <row r="10349">
      <c r="B10349" s="7" t="n">
        <v>10347</v>
      </c>
      <c r="C10349" t="inlineStr">
        <is>
          <t>Giám đôc nhà máy</t>
        </is>
      </c>
      <c r="D10349" t="inlineStr">
        <is>
          <t>Công ty Xây Dựng Hàng Rào Biệt Thự (Villafences)</t>
        </is>
      </c>
      <c r="E10349" t="inlineStr">
        <is>
          <t>Lương:30 Tr - 40 Tr VND</t>
        </is>
      </c>
      <c r="F10349" t="inlineStr">
        <is>
          <t>Hồ Chí MinhBình Dương</t>
        </is>
      </c>
      <c r="G10349" t="inlineStr">
        <is>
          <t>12-04-2026</t>
        </is>
      </c>
      <c r="H10349" t="inlineStr">
        <is>
          <t>12/04/2026</t>
        </is>
      </c>
      <c r="I10349" t="inlineStr">
        <is>
          <t>17/03/2026</t>
        </is>
      </c>
      <c r="J10349" t="inlineStr">
        <is>
          <t>Cơ khí / Ô tô / Tự động hóa</t>
        </is>
      </c>
      <c r="K10349" t="inlineStr">
        <is>
          <t>5 - 10 Năm</t>
        </is>
      </c>
      <c r="L10349" s="8">
        <f>HYPERLINK("https://careerviet.vn/vi/tim-viec-lam/giam-doc-nha-may.35C68777.html","Xem chi tiết")</f>
        <v/>
      </c>
    </row>
    <row r="10350">
      <c r="B10350" s="9" t="n">
        <v>10348</v>
      </c>
      <c r="C10350" s="10" t="inlineStr">
        <is>
          <t>Nhân viên Kế hoạch Kỹ thuật phụ trách Nội nghiệp</t>
        </is>
      </c>
      <c r="D10350" s="10" t="inlineStr">
        <is>
          <t>Công Ty Cổ Phần Tập Đoàn Đèo Cả</t>
        </is>
      </c>
      <c r="E10350" s="10" t="inlineStr">
        <is>
          <t>Lương:Cạnh tranh</t>
        </is>
      </c>
      <c r="F10350" s="10" t="inlineStr">
        <is>
          <t>Tuyên Quang</t>
        </is>
      </c>
      <c r="G10350" s="10" t="inlineStr">
        <is>
          <t>12-04-2026</t>
        </is>
      </c>
      <c r="H10350" s="10" t="inlineStr">
        <is>
          <t>12/04/2026</t>
        </is>
      </c>
      <c r="I10350" s="10" t="inlineStr">
        <is>
          <t>17/03/2026</t>
        </is>
      </c>
      <c r="J10350" s="10" t="inlineStr">
        <is>
          <t>Kiến trúc, Xây dựng</t>
        </is>
      </c>
      <c r="K10350" s="10" t="inlineStr">
        <is>
          <t>Lên đến 3 Năm</t>
        </is>
      </c>
      <c r="L10350" s="11">
        <f>HYPERLINK("https://careerviet.vn/vi/tim-viec-lam/nhan-vien-ke-hoach-ky-thuat-phu-trach-noi-nghiep.35C6530A.html","Xem chi tiết")</f>
        <v/>
      </c>
      <c r="M10350" s="10" t="n"/>
    </row>
    <row r="10351">
      <c r="B10351" s="7" t="n">
        <v>10349</v>
      </c>
      <c r="C10351" t="inlineStr">
        <is>
          <t>Merchandise Staff</t>
        </is>
      </c>
      <c r="D10351" t="inlineStr">
        <is>
          <t>Công Ty TNHH Perfect Companion Việt Nam</t>
        </is>
      </c>
      <c r="E10351" t="inlineStr">
        <is>
          <t>Lương:Cạnh tranh</t>
        </is>
      </c>
      <c r="F10351" t="inlineStr">
        <is>
          <t>Hà NộiĐà Nẵng</t>
        </is>
      </c>
      <c r="G10351" t="inlineStr">
        <is>
          <t>12-04-2026</t>
        </is>
      </c>
      <c r="H10351" t="inlineStr">
        <is>
          <t>12/04/2026</t>
        </is>
      </c>
      <c r="I10351" t="inlineStr">
        <is>
          <t>17/03/2026</t>
        </is>
      </c>
      <c r="J10351" t="inlineStr">
        <is>
          <t>Tiếp thị / Marketing, Bán hàng / Kinh doanh, Tiếp thị trực tuyến</t>
        </is>
      </c>
      <c r="K10351" t="inlineStr">
        <is>
          <t>Chưa có kinh nghiệm</t>
        </is>
      </c>
      <c r="L10351" s="8">
        <f>HYPERLINK("https://careerviet.vn/vi/tim-viec-lam/merchandise-staff.35C6552B.html","Xem chi tiết")</f>
        <v/>
      </c>
    </row>
    <row r="10352">
      <c r="B10352" s="9" t="n">
        <v>10350</v>
      </c>
      <c r="C10352" s="10" t="inlineStr">
        <is>
          <t>Kế toán kho</t>
        </is>
      </c>
      <c r="D10352" s="10" t="inlineStr">
        <is>
          <t>Công Ty TNHH Sản Xuất Keo Dán Thuận Nguyên</t>
        </is>
      </c>
      <c r="E10352" s="10" t="inlineStr">
        <is>
          <t>Lương:10 Tr - 12 Tr VND</t>
        </is>
      </c>
      <c r="F10352" s="10" t="inlineStr">
        <is>
          <t>Hưng Yên</t>
        </is>
      </c>
      <c r="G10352" s="10" t="inlineStr">
        <is>
          <t>31-03-2026</t>
        </is>
      </c>
      <c r="H10352" s="10" t="inlineStr">
        <is>
          <t>31/03/2026</t>
        </is>
      </c>
      <c r="I10352" s="10" t="inlineStr">
        <is>
          <t>17/03/2026</t>
        </is>
      </c>
      <c r="J10352" s="10" t="inlineStr">
        <is>
          <t>Kế toán / Kiểm toán</t>
        </is>
      </c>
      <c r="K10352" s="10" t="inlineStr">
        <is>
          <t>Chưa có kinh nghiệm</t>
        </is>
      </c>
      <c r="L10352" s="11">
        <f>HYPERLINK("https://careerviet.vn/vi/tim-viec-lam/ke-toan-kho.35C6A1C8.html","Xem chi tiết")</f>
        <v/>
      </c>
      <c r="M10352" s="10" t="n"/>
    </row>
    <row r="10353">
      <c r="B10353" s="7" t="n">
        <v>10351</v>
      </c>
      <c r="C10353" t="inlineStr">
        <is>
          <t>NHÂN VIÊN QC GIÁM SÁT</t>
        </is>
      </c>
      <c r="D10353" t="inlineStr">
        <is>
          <t>Công ty cổ phần Nafoods Group</t>
        </is>
      </c>
      <c r="E10353" t="inlineStr">
        <is>
          <t>Lương:8 Tr - 14 Tr VND</t>
        </is>
      </c>
      <c r="F10353" t="inlineStr">
        <is>
          <t>Bình Thuận</t>
        </is>
      </c>
      <c r="G10353" t="inlineStr">
        <is>
          <t>31-03-2026</t>
        </is>
      </c>
      <c r="H10353" t="inlineStr">
        <is>
          <t>31/03/2026</t>
        </is>
      </c>
      <c r="I10353" t="inlineStr">
        <is>
          <t>17/03/2026</t>
        </is>
      </c>
      <c r="J10353" t="inlineStr">
        <is>
          <t>Sản xuất / Vận hành sản xuất</t>
        </is>
      </c>
      <c r="K10353" t="inlineStr">
        <is>
          <t>1 - 3 Năm</t>
        </is>
      </c>
      <c r="L10353" s="8">
        <f>HYPERLINK("https://careerviet.vn/vi/tim-viec-lam/nhan-vien-qc-giam-sat.35C6A1B4.html","Xem chi tiết")</f>
        <v/>
      </c>
    </row>
    <row r="10354">
      <c r="B10354" s="9" t="n">
        <v>10352</v>
      </c>
      <c r="C10354" s="10" t="inlineStr">
        <is>
          <t>Cán bộ kỹ thuật hiện trường</t>
        </is>
      </c>
      <c r="D10354" s="10" t="inlineStr">
        <is>
          <t>CÔNG TY CỔ PHẦN ĐẦU TƯ THIÊN ÂN</t>
        </is>
      </c>
      <c r="E10354" s="10" t="inlineStr">
        <is>
          <t>Lương:15 Tr - 22 Tr VND</t>
        </is>
      </c>
      <c r="F10354" s="10" t="inlineStr">
        <is>
          <t>Bắc GiangBắc NinhHà Nội</t>
        </is>
      </c>
      <c r="G10354" s="10" t="inlineStr">
        <is>
          <t>31-03-2026</t>
        </is>
      </c>
      <c r="H10354" s="10" t="inlineStr">
        <is>
          <t>31/03/2026</t>
        </is>
      </c>
      <c r="I10354" s="10" t="inlineStr">
        <is>
          <t>17/03/2026</t>
        </is>
      </c>
      <c r="J10354" s="10" t="inlineStr">
        <is>
          <t>Xây dựng, Kiến trúc, Bất động sản</t>
        </is>
      </c>
      <c r="K10354" s="10" t="inlineStr">
        <is>
          <t>Trên 2 Năm</t>
        </is>
      </c>
      <c r="L10354" s="11">
        <f>HYPERLINK("https://careerviet.vn/vi/tim-viec-lam/can-bo-ky-thuat-hien-truong.35C6A24E.html","Xem chi tiết")</f>
        <v/>
      </c>
      <c r="M10354" s="10" t="n"/>
    </row>
    <row r="10355">
      <c r="B10355" s="7" t="n">
        <v>10353</v>
      </c>
      <c r="C10355" t="inlineStr">
        <is>
          <t>Sales Manager B2B</t>
        </is>
      </c>
      <c r="D10355" t="inlineStr">
        <is>
          <t>Công ty Cổ Phần Công nghiệp In &amp; Bao Bì Khang</t>
        </is>
      </c>
      <c r="E10355" t="inlineStr">
        <is>
          <t>Lương:25 Tr - 30 Tr VND</t>
        </is>
      </c>
      <c r="F10355" t="inlineStr">
        <is>
          <t>Hồ Chí Minh</t>
        </is>
      </c>
      <c r="G10355" t="inlineStr">
        <is>
          <t>31-03-2026</t>
        </is>
      </c>
      <c r="H10355" t="inlineStr">
        <is>
          <t>31/03/2026</t>
        </is>
      </c>
      <c r="I10355" t="inlineStr">
        <is>
          <t>17/03/2026</t>
        </is>
      </c>
      <c r="J10355" t="inlineStr">
        <is>
          <t>Bán hàng / Kinh doanh, Dịch vụ khách hàng, In ấn / Xuất bản</t>
        </is>
      </c>
      <c r="K10355" t="inlineStr">
        <is>
          <t>2 - 10 Năm</t>
        </is>
      </c>
      <c r="L10355" s="8">
        <f>HYPERLINK("https://careerviet.vn/vi/tim-viec-lam/sales-manager-b2b.35C6A118.html","Xem chi tiết")</f>
        <v/>
      </c>
    </row>
    <row r="10356">
      <c r="B10356" s="9" t="n">
        <v>10354</v>
      </c>
      <c r="C10356" s="10" t="inlineStr">
        <is>
          <t>NHÂN VIÊN LẮP RÁP LẮP ĐẶT</t>
        </is>
      </c>
      <c r="D10356" s="10" t="inlineStr">
        <is>
          <t>Công ty Cổ phần Giải pháp Tự động hóa ETEK</t>
        </is>
      </c>
      <c r="E10356" s="10" t="inlineStr">
        <is>
          <t>Lương:9,1 Tr - 16,8 Tr VND</t>
        </is>
      </c>
      <c r="F10356" s="10" t="inlineStr">
        <is>
          <t>Hồ Chí Minh</t>
        </is>
      </c>
      <c r="G10356" s="10" t="inlineStr">
        <is>
          <t>31-03-2026</t>
        </is>
      </c>
      <c r="H10356" s="10" t="inlineStr">
        <is>
          <t>31/03/2026</t>
        </is>
      </c>
      <c r="I10356" s="10" t="inlineStr">
        <is>
          <t>17/03/2026</t>
        </is>
      </c>
      <c r="J10356" s="10" t="inlineStr">
        <is>
          <t>Cơ khí / Ô tô / Tự động hóa</t>
        </is>
      </c>
      <c r="K10356" s="10" t="inlineStr">
        <is>
          <t>3 - 5 Năm</t>
        </is>
      </c>
      <c r="L10356" s="11">
        <f>HYPERLINK("https://careerviet.vn/vi/tim-viec-lam/nhan-vien-lap-rap-lap-dat.35C6A153.html","Xem chi tiết")</f>
        <v/>
      </c>
      <c r="M10356" s="10" t="n"/>
    </row>
    <row r="10357">
      <c r="B10357" s="7" t="n">
        <v>10355</v>
      </c>
      <c r="C10357" t="inlineStr">
        <is>
          <t>Nhân viên SEO</t>
        </is>
      </c>
      <c r="D10357" t="inlineStr">
        <is>
          <t>Công Ty CP XNK Hóa Chất &amp; Thiết Bị Kim Ngưu</t>
        </is>
      </c>
      <c r="E10357" t="inlineStr">
        <is>
          <t>Lương:Cạnh tranh</t>
        </is>
      </c>
      <c r="F10357" t="inlineStr">
        <is>
          <t>Hà Nội</t>
        </is>
      </c>
      <c r="G10357" t="inlineStr">
        <is>
          <t>30-03-2026</t>
        </is>
      </c>
      <c r="H10357" t="inlineStr">
        <is>
          <t>30/03/2026</t>
        </is>
      </c>
      <c r="I10357" t="inlineStr">
        <is>
          <t>17/03/2026</t>
        </is>
      </c>
      <c r="J10357" t="inlineStr">
        <is>
          <t>Tiếp thị / Marketing, Tiếp thị trực tuyến, Truyền hình / Báo chí / Biên tập</t>
        </is>
      </c>
      <c r="K10357" t="inlineStr">
        <is>
          <t>1 - 3 Năm</t>
        </is>
      </c>
      <c r="L10357" s="8">
        <f>HYPERLINK("https://careerviet.vn/vi/tim-viec-lam/nhan-vien-seo.35C6A178.html","Xem chi tiết")</f>
        <v/>
      </c>
    </row>
    <row r="10358">
      <c r="B10358" s="9" t="n">
        <v>10356</v>
      </c>
      <c r="C10358" s="10" t="inlineStr">
        <is>
          <t>[HCM] Giám Sát Bán Hàng Tài Năng Kênh MT - Base HCM Phụ trách Tỉnh</t>
        </is>
      </c>
      <c r="D10358" s="10" t="inlineStr">
        <is>
          <t>Công Ty Cổ Phần Diana Unicharm</t>
        </is>
      </c>
      <c r="E10358" s="10" t="inlineStr">
        <is>
          <t>Lương:Cạnh tranh</t>
        </is>
      </c>
      <c r="F10358" s="10" t="inlineStr">
        <is>
          <t>Hồ Chí Minh</t>
        </is>
      </c>
      <c r="G10358" s="10" t="inlineStr">
        <is>
          <t>12-04-2026</t>
        </is>
      </c>
      <c r="H10358" s="10" t="inlineStr">
        <is>
          <t>12/04/2026</t>
        </is>
      </c>
      <c r="I10358" s="10" t="inlineStr">
        <is>
          <t>17/03/2026</t>
        </is>
      </c>
      <c r="J10358" s="10" t="inlineStr">
        <is>
          <t>Bán lẻ / Bán sỉ, Bán hàng / Kinh doanh, Hàng gia dụng / Chăm sóc cá nhân</t>
        </is>
      </c>
      <c r="K10358" s="10" t="inlineStr">
        <is>
          <t>1 - 2 Năm</t>
        </is>
      </c>
      <c r="L10358" s="11">
        <f>HYPERLINK("https://careerviet.vn/vi/tim-viec-lam/hcm-giam-sat-ban-hang-tai-nang-kenh-mt-base-hcm-phu-trach-tinh.35C6867B.html","Xem chi tiết")</f>
        <v/>
      </c>
      <c r="M10358" s="10" t="n"/>
    </row>
    <row r="10359">
      <c r="B10359" s="7" t="n">
        <v>10357</v>
      </c>
      <c r="C10359" t="inlineStr">
        <is>
          <t>Chinese Trilingual Interpreter (VN–EN–CN) / Phiên dịch văn phòng tiếng Trung</t>
        </is>
      </c>
      <c r="D10359" t="inlineStr">
        <is>
          <t>Công ty TNHH Amphenol Technology Vietnam (Xưởng 3)</t>
        </is>
      </c>
      <c r="E10359" t="inlineStr">
        <is>
          <t>Lương:Cạnh tranh</t>
        </is>
      </c>
      <c r="F10359" t="inlineStr">
        <is>
          <t>Long An</t>
        </is>
      </c>
      <c r="G10359" t="inlineStr">
        <is>
          <t>30-04-2026</t>
        </is>
      </c>
      <c r="H10359" t="inlineStr">
        <is>
          <t>30/04/2026</t>
        </is>
      </c>
      <c r="I10359" t="inlineStr">
        <is>
          <t>17/03/2026</t>
        </is>
      </c>
      <c r="J10359" t="inlineStr">
        <is>
          <t>Sản xuất / Vận hành sản xuất, Biên phiên dịch, Hành chính / Thư ký</t>
        </is>
      </c>
      <c r="K10359" t="inlineStr">
        <is>
          <t>1 - 5 Năm</t>
        </is>
      </c>
      <c r="L10359" s="8">
        <f>HYPERLINK("https://careerviet.vn/vi/tim-viec-lam/chinese-trilingual-interpreter-vn-en-cn-phien-dich-van-phong-tieng-trung.35C6A214.html","Xem chi tiết")</f>
        <v/>
      </c>
    </row>
    <row r="10360">
      <c r="B10360" s="9" t="n">
        <v>10358</v>
      </c>
      <c r="C10360" s="10" t="inlineStr">
        <is>
          <t>Trưởng Phòng Kế Toán/ Kế Toán Trưởng</t>
        </is>
      </c>
      <c r="D10360" s="10" t="inlineStr">
        <is>
          <t>CÔNG TY CỔ PHẦN ĐẦU TƯ THIÊN ÂN</t>
        </is>
      </c>
      <c r="E10360" s="10" t="inlineStr">
        <is>
          <t>Lương:30 Tr - 40 Tr VND</t>
        </is>
      </c>
      <c r="F10360" s="10" t="inlineStr">
        <is>
          <t>Hà Nội</t>
        </is>
      </c>
      <c r="G10360" s="10" t="inlineStr">
        <is>
          <t>31-03-2026</t>
        </is>
      </c>
      <c r="H10360" s="10" t="inlineStr">
        <is>
          <t>31/03/2026</t>
        </is>
      </c>
      <c r="I10360" s="10" t="inlineStr">
        <is>
          <t>17/03/2026</t>
        </is>
      </c>
      <c r="J10360" s="10" t="inlineStr">
        <is>
          <t>Kế toán / Kiểm toán</t>
        </is>
      </c>
      <c r="K10360" s="10" t="inlineStr">
        <is>
          <t>Trên 5 Năm</t>
        </is>
      </c>
      <c r="L10360" s="11">
        <f>HYPERLINK("https://careerviet.vn/vi/tim-viec-lam/truong-phong-ke-toan-ke-toan-truong.35C6A245.html","Xem chi tiết")</f>
        <v/>
      </c>
      <c r="M10360" s="10" t="n"/>
    </row>
    <row r="10361">
      <c r="B10361" s="7" t="n">
        <v>10359</v>
      </c>
      <c r="C10361" t="inlineStr">
        <is>
          <t>CÔNG NHÂN CHĂM SÓC CÂY XANH</t>
        </is>
      </c>
      <c r="D10361" t="inlineStr">
        <is>
          <t>TBS Land- Công ty Cổ Phần Đầu Tư Thái Bình</t>
        </is>
      </c>
      <c r="E10361" t="inlineStr">
        <is>
          <t>Lương:Cạnh tranh</t>
        </is>
      </c>
      <c r="F10361" t="inlineStr">
        <is>
          <t>Bình Dương</t>
        </is>
      </c>
      <c r="G10361" t="inlineStr">
        <is>
          <t>12-04-2026</t>
        </is>
      </c>
      <c r="H10361" t="inlineStr">
        <is>
          <t>12/04/2026</t>
        </is>
      </c>
      <c r="I10361" t="inlineStr">
        <is>
          <t>17/03/2026</t>
        </is>
      </c>
      <c r="J10361" t="inlineStr">
        <is>
          <t>Môi trường</t>
        </is>
      </c>
      <c r="K10361" t="inlineStr">
        <is>
          <t>1 - 2 Năm</t>
        </is>
      </c>
      <c r="L10361" s="8">
        <f>HYPERLINK("https://careerviet.vn/vi/tim-viec-lam/cong-nhan-cham-soc-cay-xanh.35C653CD.html","Xem chi tiết")</f>
        <v/>
      </c>
    </row>
    <row r="10362">
      <c r="B10362" s="9" t="n">
        <v>10360</v>
      </c>
      <c r="C10362" s="10" t="inlineStr">
        <is>
          <t>KĨ SƯ QUẢN LÝ DỰ ÁN</t>
        </is>
      </c>
      <c r="D10362" s="10" t="inlineStr">
        <is>
          <t>Công ty Cổ phần Giải pháp Tự động hóa ETEK</t>
        </is>
      </c>
      <c r="E10362" s="10" t="inlineStr">
        <is>
          <t>Lương:9,3 Tr - 17,1 Tr VND</t>
        </is>
      </c>
      <c r="F10362" s="10" t="inlineStr">
        <is>
          <t>Hồ Chí Minh</t>
        </is>
      </c>
      <c r="G10362" s="10" t="inlineStr">
        <is>
          <t>31-03-2026</t>
        </is>
      </c>
      <c r="H10362" s="10" t="inlineStr">
        <is>
          <t>31/03/2026</t>
        </is>
      </c>
      <c r="I10362" s="10" t="inlineStr">
        <is>
          <t>17/03/2026</t>
        </is>
      </c>
      <c r="J10362" s="10" t="inlineStr">
        <is>
          <t>Cơ khí / Ô tô / Tự động hóa</t>
        </is>
      </c>
      <c r="K10362" s="10" t="inlineStr">
        <is>
          <t>3 - 5 Năm</t>
        </is>
      </c>
      <c r="L10362" s="11">
        <f>HYPERLINK("https://careerviet.vn/vi/tim-viec-lam/ki-su-quan-ly-du-an.35C6A164.html","Xem chi tiết")</f>
        <v/>
      </c>
      <c r="M10362" s="10" t="n"/>
    </row>
    <row r="10363">
      <c r="B10363" s="7" t="n">
        <v>10361</v>
      </c>
      <c r="C10363" t="inlineStr">
        <is>
          <t>Kỹ Sư M&amp;E</t>
        </is>
      </c>
      <c r="D10363" t="inlineStr">
        <is>
          <t>CÔNG TY CỔ PHẦN ĐẦU TƯ THIÊN ÂN</t>
        </is>
      </c>
      <c r="E10363" t="inlineStr">
        <is>
          <t>Lương:15 Tr - 22 Tr VND</t>
        </is>
      </c>
      <c r="F10363" t="inlineStr">
        <is>
          <t>Hà NộiBắc Giang</t>
        </is>
      </c>
      <c r="G10363" t="inlineStr">
        <is>
          <t>31-03-2026</t>
        </is>
      </c>
      <c r="H10363" t="inlineStr">
        <is>
          <t>31/03/2026</t>
        </is>
      </c>
      <c r="I10363" t="inlineStr">
        <is>
          <t>17/03/2026</t>
        </is>
      </c>
      <c r="J10363" t="inlineStr">
        <is>
          <t>Kiến trúc, Xây dựng, Bất động sản</t>
        </is>
      </c>
      <c r="K10363" t="inlineStr">
        <is>
          <t>Trên 5 Năm</t>
        </is>
      </c>
      <c r="L10363" s="8">
        <f>HYPERLINK("https://careerviet.vn/vi/tim-viec-lam/ky-su-m-e.35C6A250.html","Xem chi tiết")</f>
        <v/>
      </c>
    </row>
    <row r="10364">
      <c r="B10364" s="9" t="n">
        <v>10362</v>
      </c>
      <c r="C10364" s="10" t="inlineStr">
        <is>
          <t>Kế Toán Tổng Hợp</t>
        </is>
      </c>
      <c r="D10364" s="10" t="inlineStr">
        <is>
          <t>CÔNG TY CỔ PHẦN ĐẦU TƯ THIÊN ÂN</t>
        </is>
      </c>
      <c r="E10364" s="10" t="inlineStr">
        <is>
          <t>Lương:13 Tr - 16 Tr VND</t>
        </is>
      </c>
      <c r="F10364" s="10" t="inlineStr">
        <is>
          <t>Hà NộiBắc Giang</t>
        </is>
      </c>
      <c r="G10364" s="10" t="inlineStr">
        <is>
          <t>31-03-2026</t>
        </is>
      </c>
      <c r="H10364" s="10" t="inlineStr">
        <is>
          <t>31/03/2026</t>
        </is>
      </c>
      <c r="I10364" s="10" t="inlineStr">
        <is>
          <t>17/03/2026</t>
        </is>
      </c>
      <c r="J10364" s="10" t="inlineStr">
        <is>
          <t>Kế toán / Kiểm toán, Tài chính / Đầu tư, Xây dựng</t>
        </is>
      </c>
      <c r="K10364" s="10" t="inlineStr">
        <is>
          <t>Trên 2 Năm</t>
        </is>
      </c>
      <c r="L10364" s="11">
        <f>HYPERLINK("https://careerviet.vn/vi/tim-viec-lam/ke-toan-tong-hop.35C6A246.html","Xem chi tiết")</f>
        <v/>
      </c>
      <c r="M10364" s="10" t="n"/>
    </row>
    <row r="10365">
      <c r="B10365" s="7" t="n">
        <v>10363</v>
      </c>
      <c r="C10365" t="inlineStr">
        <is>
          <t>Content Creator</t>
        </is>
      </c>
      <c r="D10365" t="inlineStr">
        <is>
          <t>CÔNG TY TNHH BRIGHT MARKETING</t>
        </is>
      </c>
      <c r="E10365" t="inlineStr">
        <is>
          <t>Lương:8 Tr - 12 Tr VND</t>
        </is>
      </c>
      <c r="F10365" t="inlineStr">
        <is>
          <t>Hồ Chí Minh</t>
        </is>
      </c>
      <c r="G10365" t="inlineStr">
        <is>
          <t>31-03-2026</t>
        </is>
      </c>
      <c r="H10365" t="inlineStr">
        <is>
          <t>31/03/2026</t>
        </is>
      </c>
      <c r="I10365" t="inlineStr">
        <is>
          <t>17/03/2026</t>
        </is>
      </c>
      <c r="J10365" t="inlineStr">
        <is>
          <t>Truyền hình / Báo chí / Biên tập, Quảng cáo / Đối ngoại / Truyền Thông, Giải trí</t>
        </is>
      </c>
      <c r="K10365" t="inlineStr">
        <is>
          <t>Trên 1 Năm</t>
        </is>
      </c>
      <c r="L10365" s="8">
        <f>HYPERLINK("https://careerviet.vn/vi/tim-viec-lam/content-creator.35C6A23A.html","Xem chi tiết")</f>
        <v/>
      </c>
    </row>
    <row r="10366">
      <c r="B10366" s="9" t="n">
        <v>10364</v>
      </c>
      <c r="C10366" s="10" t="inlineStr">
        <is>
          <t>Internal Controller</t>
        </is>
      </c>
      <c r="D10366" s="10" t="inlineStr">
        <is>
          <t>Vietnam Furniture Resources (VFR)</t>
        </is>
      </c>
      <c r="E10366" s="10" t="inlineStr">
        <is>
          <t>Lương:Cạnh tranh</t>
        </is>
      </c>
      <c r="F10366" s="10" t="inlineStr">
        <is>
          <t>Bình Dương</t>
        </is>
      </c>
      <c r="G10366" s="10" t="inlineStr">
        <is>
          <t>13-03-2026</t>
        </is>
      </c>
      <c r="H10366" s="10" t="inlineStr">
        <is>
          <t>28/02/2026</t>
        </is>
      </c>
      <c r="I10366" s="10" t="inlineStr">
        <is>
          <t>17/03/2026</t>
        </is>
      </c>
      <c r="J10366" s="10" t="inlineStr">
        <is>
          <t>Kế toán / Kiểm toán, Ngân hàng, Tài chính / Đầu tư</t>
        </is>
      </c>
      <c r="K10366" s="10" t="inlineStr">
        <is>
          <t>3 - 5 Năm</t>
        </is>
      </c>
      <c r="L10366" s="11">
        <f>HYPERLINK("https://careerviet.vn/vi/tim-viec-lam/internal-controller.35C6A1F0.html","Xem chi tiết")</f>
        <v/>
      </c>
      <c r="M10366" s="10" t="n"/>
    </row>
    <row r="10367">
      <c r="B10367" s="7" t="n">
        <v>10365</v>
      </c>
      <c r="C10367" t="inlineStr">
        <is>
          <t>Trưởng Nhóm Thương Mại Điện Tử</t>
        </is>
      </c>
      <c r="D10367" t="inlineStr">
        <is>
          <t>Công Ty CP XNK Hóa Chất &amp; Thiết Bị Kim Ngưu</t>
        </is>
      </c>
      <c r="E10367" t="inlineStr">
        <is>
          <t>Lương:Cạnh tranh</t>
        </is>
      </c>
      <c r="F10367" t="inlineStr">
        <is>
          <t>Hà Nội</t>
        </is>
      </c>
      <c r="G10367" t="inlineStr">
        <is>
          <t>30-03-2026</t>
        </is>
      </c>
      <c r="H10367" t="inlineStr">
        <is>
          <t>30/03/2026</t>
        </is>
      </c>
      <c r="I10367" t="inlineStr">
        <is>
          <t>17/03/2026</t>
        </is>
      </c>
      <c r="J10367" t="inlineStr">
        <is>
          <t>Tiếp thị / Marketing, Tiếp thị trực tuyến</t>
        </is>
      </c>
      <c r="K10367" t="inlineStr">
        <is>
          <t>3 - 5 Năm</t>
        </is>
      </c>
      <c r="L10367" s="8">
        <f>HYPERLINK("https://careerviet.vn/vi/tim-viec-lam/truong-nhom-thuong-mai-dien-tu.35C6A18B.html","Xem chi tiết")</f>
        <v/>
      </c>
    </row>
    <row r="10368">
      <c r="B10368" s="9" t="n">
        <v>10366</v>
      </c>
      <c r="C10368" s="10" t="inlineStr">
        <is>
          <t>Nhân viên vận đơn (Sales Admin) kênh nhà máy, OEM</t>
        </is>
      </c>
      <c r="D10368" s="10" t="inlineStr">
        <is>
          <t>CÔNG TY CỔ PHẦN PHÁT TRIỂN CƠ ĐIỆN LẠNH HOÀNG ĐẠT</t>
        </is>
      </c>
      <c r="E10368" s="10" t="inlineStr">
        <is>
          <t>Lương:12 Tr - 14 Tr VND</t>
        </is>
      </c>
      <c r="F10368" s="10" t="inlineStr">
        <is>
          <t>Hà Nội</t>
        </is>
      </c>
      <c r="G10368" s="10" t="inlineStr">
        <is>
          <t>31-03-2026</t>
        </is>
      </c>
      <c r="H10368" s="10" t="inlineStr">
        <is>
          <t>31/03/2026</t>
        </is>
      </c>
      <c r="I10368" s="10" t="inlineStr">
        <is>
          <t>17/03/2026</t>
        </is>
      </c>
      <c r="J10368" s="10" t="inlineStr">
        <is>
          <t>Bán hàng / Kinh doanh</t>
        </is>
      </c>
      <c r="K10368" s="10" t="inlineStr">
        <is>
          <t>1 - 2 Năm</t>
        </is>
      </c>
      <c r="L10368" s="11">
        <f>HYPERLINK("https://careerviet.vn/vi/tim-viec-lam/nhan-vien-van-don-sales-admin-kenh-nha-may-oem.35C6A25E.html","Xem chi tiết")</f>
        <v/>
      </c>
      <c r="M10368" s="10" t="n"/>
    </row>
    <row r="10369">
      <c r="B10369" s="7" t="n">
        <v>10367</v>
      </c>
      <c r="C10369" t="inlineStr">
        <is>
          <t>Nhân Viên Kinh Doanh Onsite (Phú Thọ)</t>
        </is>
      </c>
      <c r="D10369" t="inlineStr">
        <is>
          <t>CÔNG TY CỔ PHẦN TẬP ĐOÀN ONSEN FUJI</t>
        </is>
      </c>
      <c r="E10369" t="inlineStr">
        <is>
          <t>Lương:6 Tr - 20 Tr VND</t>
        </is>
      </c>
      <c r="F10369" t="inlineStr">
        <is>
          <t>Phú Thọ</t>
        </is>
      </c>
      <c r="G10369" t="inlineStr">
        <is>
          <t>01-04-2026</t>
        </is>
      </c>
      <c r="H10369" t="inlineStr">
        <is>
          <t>01/04/2026</t>
        </is>
      </c>
      <c r="I10369" t="inlineStr">
        <is>
          <t>17/03/2026</t>
        </is>
      </c>
      <c r="J10369" t="inlineStr">
        <is>
          <t>Bán hàng / Kinh doanh</t>
        </is>
      </c>
      <c r="K10369" t="inlineStr">
        <is>
          <t>1 - 2 Năm</t>
        </is>
      </c>
      <c r="L10369" s="8">
        <f>HYPERLINK("https://careerviet.vn/vi/tim-viec-lam/nhan-vien-kinh-doanh-onsite-phu-tho.35C6A14F.html","Xem chi tiết")</f>
        <v/>
      </c>
    </row>
    <row r="10370">
      <c r="B10370" s="9" t="n">
        <v>10368</v>
      </c>
      <c r="C10370" s="10" t="inlineStr">
        <is>
          <t>Chuyên viên đầu tư và phát triển dự án</t>
        </is>
      </c>
      <c r="D10370" s="10" t="inlineStr">
        <is>
          <t>CÔNG TY CỔ PHẦN ĐẦU TƯ THIÊN ÂN</t>
        </is>
      </c>
      <c r="E10370" s="10" t="inlineStr">
        <is>
          <t>Lương:17 Tr - 22 Tr VND</t>
        </is>
      </c>
      <c r="F10370" s="10" t="inlineStr">
        <is>
          <t>Hà Nội</t>
        </is>
      </c>
      <c r="G10370" s="10" t="inlineStr">
        <is>
          <t>31-03-2026</t>
        </is>
      </c>
      <c r="H10370" s="10" t="inlineStr">
        <is>
          <t>31/03/2026</t>
        </is>
      </c>
      <c r="I10370" s="10" t="inlineStr">
        <is>
          <t>17/03/2026</t>
        </is>
      </c>
      <c r="J10370" s="10" t="inlineStr">
        <is>
          <t>Tài chính / Đầu tư, Kiến trúc, Xây dựng</t>
        </is>
      </c>
      <c r="K10370" s="10" t="inlineStr">
        <is>
          <t>Trên 3 Năm</t>
        </is>
      </c>
      <c r="L10370" s="11">
        <f>HYPERLINK("https://careerviet.vn/vi/tim-viec-lam/chuyen-vien-dau-tu-va-phat-trien-du-an.35C6A247.html","Xem chi tiết")</f>
        <v/>
      </c>
      <c r="M10370" s="10" t="n"/>
    </row>
    <row r="10371">
      <c r="B10371" s="7" t="n">
        <v>10369</v>
      </c>
      <c r="C10371" t="inlineStr">
        <is>
          <t>Trợ lý Chủ tịch HĐQT (Mảng QLTK, Xây dựng)</t>
        </is>
      </c>
      <c r="D10371" t="inlineStr">
        <is>
          <t>Công ty cổ phần Tập đoàn Danko</t>
        </is>
      </c>
      <c r="E10371" t="inlineStr">
        <is>
          <t>Lương:40 Tr - 60 Tr VND</t>
        </is>
      </c>
      <c r="F10371" t="inlineStr">
        <is>
          <t>Hà Nội</t>
        </is>
      </c>
      <c r="G10371" t="inlineStr">
        <is>
          <t>31-03-2026</t>
        </is>
      </c>
      <c r="H10371" t="inlineStr">
        <is>
          <t>31/03/2026</t>
        </is>
      </c>
      <c r="I10371" t="inlineStr">
        <is>
          <t>17/03/2026</t>
        </is>
      </c>
      <c r="J10371" t="inlineStr">
        <is>
          <t>Quản lý điều hành, Bất động sản, Xây dựng</t>
        </is>
      </c>
      <c r="K10371" t="inlineStr">
        <is>
          <t>Trên 10 Năm</t>
        </is>
      </c>
      <c r="L10371" s="8">
        <f>HYPERLINK("https://careerviet.vn/vi/tim-viec-lam/tro-ly-chu-tich-hdqt-mang-qltk-xay-dung.35C6A1A8.html","Xem chi tiết")</f>
        <v/>
      </c>
    </row>
    <row r="10372">
      <c r="B10372" s="9" t="n">
        <v>10370</v>
      </c>
      <c r="C10372" s="10" t="inlineStr">
        <is>
          <t>Business System Specialist (AI &amp; Process Digitalization)</t>
        </is>
      </c>
      <c r="D10372" s="10" t="inlineStr">
        <is>
          <t>Vietnam Furniture Resources (VFR)</t>
        </is>
      </c>
      <c r="E10372" s="10" t="inlineStr">
        <is>
          <t>Lương:Cạnh tranh</t>
        </is>
      </c>
      <c r="F10372" s="10" t="inlineStr">
        <is>
          <t>Bình Dương</t>
        </is>
      </c>
      <c r="G10372" s="10" t="inlineStr">
        <is>
          <t>13-03-2026</t>
        </is>
      </c>
      <c r="H10372" s="10" t="inlineStr">
        <is>
          <t>28/02/2026</t>
        </is>
      </c>
      <c r="I10372" s="10" t="inlineStr">
        <is>
          <t>17/03/2026</t>
        </is>
      </c>
      <c r="J10372" s="10" t="inlineStr">
        <is>
          <t>CNTT - Phần mềm</t>
        </is>
      </c>
      <c r="K10372" s="10" t="inlineStr">
        <is>
          <t>5 - 10 Năm</t>
        </is>
      </c>
      <c r="L10372" s="11">
        <f>HYPERLINK("https://careerviet.vn/vi/tim-viec-lam/business-system-specialist-ai-process-digitalization.35C6A223.html","Xem chi tiết")</f>
        <v/>
      </c>
      <c r="M10372" s="10" t="n"/>
    </row>
    <row r="10373">
      <c r="B10373" s="7" t="n">
        <v>10371</v>
      </c>
      <c r="C10373" t="inlineStr">
        <is>
          <t>Phó Trưởng Phòng/ Trợ lý Quản Lý Đất Đai (Giải Phóng Mặt Bằng)</t>
        </is>
      </c>
      <c r="D10373" t="inlineStr">
        <is>
          <t>CÔNG TY CỔ PHẦN ĐẦU TƯ THIÊN ÂN</t>
        </is>
      </c>
      <c r="E10373" t="inlineStr">
        <is>
          <t>Lương:20 Tr - 40 Tr VND</t>
        </is>
      </c>
      <c r="F10373" t="inlineStr">
        <is>
          <t>Bắc GiangHà Nội</t>
        </is>
      </c>
      <c r="G10373" t="inlineStr">
        <is>
          <t>31-03-2026</t>
        </is>
      </c>
      <c r="H10373" t="inlineStr">
        <is>
          <t>31/03/2026</t>
        </is>
      </c>
      <c r="I10373" t="inlineStr">
        <is>
          <t>17/03/2026</t>
        </is>
      </c>
      <c r="J10373" t="inlineStr">
        <is>
          <t>Kiến trúc, Xây dựng, Bất động sản</t>
        </is>
      </c>
      <c r="K10373" t="inlineStr">
        <is>
          <t>Trên 3 Năm</t>
        </is>
      </c>
      <c r="L10373" s="8">
        <f>HYPERLINK("https://careerviet.vn/vi/tim-viec-lam/pho-truong-phong-tro-ly-quan-ly-dat-dai-giai-phong-mat-bang.35C6A240.html","Xem chi tiết")</f>
        <v/>
      </c>
    </row>
    <row r="10374">
      <c r="B10374" s="9" t="n">
        <v>10372</v>
      </c>
      <c r="C10374" s="10" t="inlineStr">
        <is>
          <t>Việc làm thời vụ Telesale Shopeefood (6 tháng) - Nhận việc ngay</t>
        </is>
      </c>
      <c r="D10374" s="10" t="inlineStr">
        <is>
          <t>Công Ty TNHH Việt Mỹ-SSU</t>
        </is>
      </c>
      <c r="E10374" s="10" t="inlineStr">
        <is>
          <t>Lương:6 Tr - 9 Tr VND</t>
        </is>
      </c>
      <c r="F10374" s="10" t="inlineStr">
        <is>
          <t>Hồ Chí Minh</t>
        </is>
      </c>
      <c r="G10374" s="10" t="inlineStr">
        <is>
          <t>30-03-2026</t>
        </is>
      </c>
      <c r="H10374" s="10" t="inlineStr">
        <is>
          <t>30/03/2026</t>
        </is>
      </c>
      <c r="I10374" s="10" t="inlineStr">
        <is>
          <t>17/03/2026</t>
        </is>
      </c>
      <c r="J10374" s="10" t="inlineStr">
        <is>
          <t>Thương mại điện tử, Tư vấn, Tiếp thị trực tuyến</t>
        </is>
      </c>
      <c r="K10374" s="10" t="inlineStr">
        <is>
          <t>Lên đến 1 Năm</t>
        </is>
      </c>
      <c r="L10374" s="11">
        <f>HYPERLINK("https://careerviet.vn/vi/tim-viec-lam/viec-lam-thoi-vu-telesale-shopeefood-6-thang-nhan-viec-ngay.35C6A21B.html","Xem chi tiết")</f>
        <v/>
      </c>
      <c r="M10374" s="10" t="n"/>
    </row>
    <row r="10375">
      <c r="B10375" s="7" t="n">
        <v>10373</v>
      </c>
      <c r="C10375" t="inlineStr">
        <is>
          <t>Cố Vấn Dịch Vụ Ô tô</t>
        </is>
      </c>
      <c r="D10375" t="inlineStr">
        <is>
          <t>Công Ty TNHH Tập Đoàn Rita Võ</t>
        </is>
      </c>
      <c r="E10375" t="inlineStr">
        <is>
          <t>Lương:10 Tr - 14 Tr VND</t>
        </is>
      </c>
      <c r="F10375" t="inlineStr">
        <is>
          <t>Bình Dương</t>
        </is>
      </c>
      <c r="G10375" t="inlineStr">
        <is>
          <t>28-03-2026</t>
        </is>
      </c>
      <c r="H10375" t="inlineStr">
        <is>
          <t>28/03/2026</t>
        </is>
      </c>
      <c r="I10375" t="inlineStr">
        <is>
          <t>17/03/2026</t>
        </is>
      </c>
      <c r="J10375" t="inlineStr">
        <is>
          <t>Cơ khí / Ô tô / Tự động hóa, Bảo trì / Sửa chữa</t>
        </is>
      </c>
      <c r="K10375" t="inlineStr">
        <is>
          <t>Trên 1 Năm</t>
        </is>
      </c>
      <c r="L10375" s="8">
        <f>HYPERLINK("https://careerviet.vn/vi/tim-viec-lam/co-van-dich-vu-o-to.35C6A18D.html","Xem chi tiết")</f>
        <v/>
      </c>
    </row>
    <row r="10376">
      <c r="B10376" s="9" t="n">
        <v>10374</v>
      </c>
      <c r="C10376" s="10" t="inlineStr">
        <is>
          <t>Chuyên viên QS MEP, làm ở văn phòng (CĐT)</t>
        </is>
      </c>
      <c r="D10376" s="10" t="inlineStr">
        <is>
          <t>Bảo mật</t>
        </is>
      </c>
      <c r="E10376" s="10" t="inlineStr">
        <is>
          <t>Lương:Cạnh tranh</t>
        </is>
      </c>
      <c r="F10376" s="10" t="inlineStr">
        <is>
          <t>Hồ Chí Minh</t>
        </is>
      </c>
      <c r="G10376" s="10" t="inlineStr">
        <is>
          <t>28-03-2026</t>
        </is>
      </c>
      <c r="H10376" s="10" t="inlineStr">
        <is>
          <t>28/03/2026</t>
        </is>
      </c>
      <c r="I10376" s="10" t="inlineStr">
        <is>
          <t>17/03/2026</t>
        </is>
      </c>
      <c r="J10376" s="10" t="inlineStr">
        <is>
          <t>Xây dựng, Bất động sản</t>
        </is>
      </c>
      <c r="K10376" s="10" t="inlineStr">
        <is>
          <t>10 - 15 Năm</t>
        </is>
      </c>
      <c r="L10376" s="11">
        <f>HYPERLINK("https://careerviet.vn/vi/tim-viec-lam/chuyen-vien-qs-mep-lam-o-van-phong-cdt.35C6A19F.html","Xem chi tiết")</f>
        <v/>
      </c>
      <c r="M10376" s="10" t="n"/>
    </row>
    <row r="10377">
      <c r="B10377" s="7" t="n">
        <v>10375</v>
      </c>
      <c r="C10377" t="inlineStr">
        <is>
          <t>Trưởng phòng Hành chính Nhân sự Nhà máy</t>
        </is>
      </c>
      <c r="D10377" t="inlineStr">
        <is>
          <t>CÔNG TY CỔ PHẦN PHÁT TRIỂN CƠ ĐIỆN LẠNH HOÀNG ĐẠT</t>
        </is>
      </c>
      <c r="E10377" t="inlineStr">
        <is>
          <t>Lương:30 Tr - 40 Tr VND</t>
        </is>
      </c>
      <c r="F10377" t="inlineStr">
        <is>
          <t>Hà NộiBắc Ninh</t>
        </is>
      </c>
      <c r="G10377" t="inlineStr">
        <is>
          <t>31-03-2026</t>
        </is>
      </c>
      <c r="H10377" t="inlineStr">
        <is>
          <t>31/03/2026</t>
        </is>
      </c>
      <c r="I10377" t="inlineStr">
        <is>
          <t>17/03/2026</t>
        </is>
      </c>
      <c r="J10377" t="inlineStr">
        <is>
          <t>Nhân sự</t>
        </is>
      </c>
      <c r="K10377" t="inlineStr">
        <is>
          <t>5 - 6 Năm</t>
        </is>
      </c>
      <c r="L10377" s="8">
        <f>HYPERLINK("https://careerviet.vn/vi/tim-viec-lam/truong-phong-hanh-chinh-nhan-su-nha-may.35C6A261.html","Xem chi tiết")</f>
        <v/>
      </c>
    </row>
    <row r="10378">
      <c r="B10378" s="9" t="n">
        <v>10376</v>
      </c>
      <c r="C10378" s="10" t="inlineStr">
        <is>
          <t>Mua hàng Kỹ thuật cho lĩnh vực xây dựng</t>
        </is>
      </c>
      <c r="D10378" s="10" t="inlineStr">
        <is>
          <t>CÔNG TY CỔ PHẦN ĐẦU TƯ THIÊN ÂN</t>
        </is>
      </c>
      <c r="E10378" s="10" t="inlineStr">
        <is>
          <t>Lương:15 Tr - 20 Tr VND</t>
        </is>
      </c>
      <c r="F10378" s="10" t="inlineStr">
        <is>
          <t>Hà Nội</t>
        </is>
      </c>
      <c r="G10378" s="10" t="inlineStr">
        <is>
          <t>31-03-2026</t>
        </is>
      </c>
      <c r="H10378" s="10" t="inlineStr">
        <is>
          <t>31/03/2026</t>
        </is>
      </c>
      <c r="I10378" s="10" t="inlineStr">
        <is>
          <t>17/03/2026</t>
        </is>
      </c>
      <c r="J10378" s="10" t="inlineStr">
        <is>
          <t>Kiến trúc, Xây dựng, Thu mua / Vật tư</t>
        </is>
      </c>
      <c r="K10378" s="10" t="inlineStr">
        <is>
          <t>Trên 3 Năm</t>
        </is>
      </c>
      <c r="L10378" s="11">
        <f>HYPERLINK("https://careerviet.vn/vi/tim-viec-lam/mua-hang-ky-thuat-cho-linh-vuc-xay-dung.35C6A243.html","Xem chi tiết")</f>
        <v/>
      </c>
      <c r="M10378" s="10" t="n"/>
    </row>
    <row r="10379">
      <c r="B10379" s="7" t="n">
        <v>10377</v>
      </c>
      <c r="C10379" t="inlineStr">
        <is>
          <t>Trợ lý Phó Tổng Giám đốc</t>
        </is>
      </c>
      <c r="D10379" t="inlineStr">
        <is>
          <t>Tập Đoàn Karofi Holding</t>
        </is>
      </c>
      <c r="E10379" t="inlineStr">
        <is>
          <t>Lương:Cạnh tranh</t>
        </is>
      </c>
      <c r="F10379" t="inlineStr">
        <is>
          <t>Hà Nội</t>
        </is>
      </c>
      <c r="G10379" t="inlineStr">
        <is>
          <t>30-03-2026</t>
        </is>
      </c>
      <c r="H10379" t="inlineStr">
        <is>
          <t>30/03/2026</t>
        </is>
      </c>
      <c r="I10379" t="inlineStr">
        <is>
          <t>17/03/2026</t>
        </is>
      </c>
      <c r="J10379" t="inlineStr">
        <is>
          <t>Ngành khác, Bán hàng / Kinh doanh, Vận chuyển / Giao nhận / Kho vận</t>
        </is>
      </c>
      <c r="K10379" t="inlineStr">
        <is>
          <t>3 - 6 Năm</t>
        </is>
      </c>
      <c r="L10379" s="8">
        <f>HYPERLINK("https://careerviet.vn/vi/tim-viec-lam/tro-ly-pho-tong-giam-doc.35C6A14C.html","Xem chi tiết")</f>
        <v/>
      </c>
    </row>
    <row r="10380">
      <c r="B10380" s="9" t="n">
        <v>10378</v>
      </c>
      <c r="C10380" s="10" t="inlineStr">
        <is>
          <t>Chuyên Viên Tài Chính</t>
        </is>
      </c>
      <c r="D10380" s="10" t="inlineStr">
        <is>
          <t>Công ty cổ phần Tập đoàn Danko</t>
        </is>
      </c>
      <c r="E10380" s="10" t="inlineStr">
        <is>
          <t>Lương:20 Tr - 30 Tr VND</t>
        </is>
      </c>
      <c r="F10380" s="10" t="inlineStr">
        <is>
          <t>Hà Nội</t>
        </is>
      </c>
      <c r="G10380" s="10" t="inlineStr">
        <is>
          <t>31-03-2026</t>
        </is>
      </c>
      <c r="H10380" s="10" t="inlineStr">
        <is>
          <t>31/03/2026</t>
        </is>
      </c>
      <c r="I10380" s="10" t="inlineStr">
        <is>
          <t>17/03/2026</t>
        </is>
      </c>
      <c r="J10380" s="10" t="inlineStr">
        <is>
          <t>Ngân hàng, Tài chính / Đầu tư</t>
        </is>
      </c>
      <c r="K10380" s="10" t="inlineStr">
        <is>
          <t>Trên 5 Năm</t>
        </is>
      </c>
      <c r="L10380" s="11">
        <f>HYPERLINK("https://careerviet.vn/vi/tim-viec-lam/chuyen-vien-tai-chinh.35C6A1BD.html","Xem chi tiết")</f>
        <v/>
      </c>
      <c r="M10380" s="10" t="n"/>
    </row>
    <row r="10381">
      <c r="B10381" s="7" t="n">
        <v>10379</v>
      </c>
      <c r="C10381" t="inlineStr">
        <is>
          <t>Chuyên viên Kế hoạch thanh quyết toán</t>
        </is>
      </c>
      <c r="D10381" t="inlineStr">
        <is>
          <t>CÔNG TY CỔ PHẦN ĐẦU TƯ THIÊN ÂN</t>
        </is>
      </c>
      <c r="E10381" t="inlineStr">
        <is>
          <t>Lương:20 Tr - 25 Tr VND</t>
        </is>
      </c>
      <c r="F10381" t="inlineStr">
        <is>
          <t>Hà Nội</t>
        </is>
      </c>
      <c r="G10381" t="inlineStr">
        <is>
          <t>31-03-2026</t>
        </is>
      </c>
      <c r="H10381" t="inlineStr">
        <is>
          <t>31/03/2026</t>
        </is>
      </c>
      <c r="I10381" t="inlineStr">
        <is>
          <t>17/03/2026</t>
        </is>
      </c>
      <c r="J10381" t="inlineStr">
        <is>
          <t>Xây dựng, Bất động sản, Nội ngoại thất</t>
        </is>
      </c>
      <c r="K10381" t="inlineStr">
        <is>
          <t>3 - 5 Năm</t>
        </is>
      </c>
      <c r="L10381" s="8">
        <f>HYPERLINK("https://careerviet.vn/vi/tim-viec-lam/chuyen-vien-ke-hoach-thanh-quyet-toan.35C6A249.html","Xem chi tiết")</f>
        <v/>
      </c>
    </row>
    <row r="10382">
      <c r="B10382" s="9" t="n">
        <v>10380</v>
      </c>
      <c r="C10382" s="10" t="inlineStr">
        <is>
          <t>KẾ TOÁN TRƯỞNG</t>
        </is>
      </c>
      <c r="D10382" s="10" t="inlineStr">
        <is>
          <t>Công ty TNHH Isu vina</t>
        </is>
      </c>
      <c r="E10382" s="10" t="inlineStr">
        <is>
          <t>Lương:25 Tr - 30 Tr VND</t>
        </is>
      </c>
      <c r="F10382" s="10" t="inlineStr">
        <is>
          <t>Bình Dương</t>
        </is>
      </c>
      <c r="G10382" s="10" t="inlineStr">
        <is>
          <t>31-03-2026</t>
        </is>
      </c>
      <c r="H10382" s="10" t="inlineStr">
        <is>
          <t>31/03/2026</t>
        </is>
      </c>
      <c r="I10382" s="10" t="inlineStr">
        <is>
          <t>17/03/2026</t>
        </is>
      </c>
      <c r="J10382" s="10" t="inlineStr">
        <is>
          <t>Kế toán / Kiểm toán</t>
        </is>
      </c>
      <c r="K10382" s="10" t="inlineStr">
        <is>
          <t>5 - 10 Năm</t>
        </is>
      </c>
      <c r="L10382" s="11">
        <f>HYPERLINK("https://careerviet.vn/vi/tim-viec-lam/ke-toan-truong.35C6A1E8.html","Xem chi tiết")</f>
        <v/>
      </c>
      <c r="M10382" s="10" t="n"/>
    </row>
    <row r="10383">
      <c r="B10383" s="7" t="n">
        <v>10381</v>
      </c>
      <c r="C10383" t="inlineStr">
        <is>
          <t>Kỹ Sư QS Công Trình Xây Dựng</t>
        </is>
      </c>
      <c r="D10383" t="inlineStr">
        <is>
          <t>CÔNG TY CỔ PHẦN ĐẦU TƯ THIÊN ÂN</t>
        </is>
      </c>
      <c r="E10383" t="inlineStr">
        <is>
          <t>Lương:15 Tr - 22 Tr VND</t>
        </is>
      </c>
      <c r="F10383" t="inlineStr">
        <is>
          <t>Bắc GiangHà NộiBắc Ninh</t>
        </is>
      </c>
      <c r="G10383" t="inlineStr">
        <is>
          <t>31-03-2026</t>
        </is>
      </c>
      <c r="H10383" t="inlineStr">
        <is>
          <t>31/03/2026</t>
        </is>
      </c>
      <c r="I10383" t="inlineStr">
        <is>
          <t>17/03/2026</t>
        </is>
      </c>
      <c r="J10383" t="inlineStr">
        <is>
          <t>Kiến trúc, Xây dựng, Bất động sản</t>
        </is>
      </c>
      <c r="K10383" t="inlineStr">
        <is>
          <t>Trên 3 Năm</t>
        </is>
      </c>
      <c r="L10383" s="8">
        <f>HYPERLINK("https://careerviet.vn/vi/tim-viec-lam/ky-su-qs-cong-trinh-xay-dung.35C6A24D.html","Xem chi tiết")</f>
        <v/>
      </c>
    </row>
    <row r="10384">
      <c r="B10384" s="9" t="n">
        <v>10382</v>
      </c>
      <c r="C10384" s="10" t="inlineStr">
        <is>
          <t>NHÂN VIÊN QA CHỨNG NHẬN</t>
        </is>
      </c>
      <c r="D10384" s="10" t="inlineStr">
        <is>
          <t>Công ty cổ phần Nafoods Group</t>
        </is>
      </c>
      <c r="E10384" s="10" t="inlineStr">
        <is>
          <t>Lương:8 Tr - 14 Tr VND</t>
        </is>
      </c>
      <c r="F10384" s="10" t="inlineStr">
        <is>
          <t>Bình Thuận</t>
        </is>
      </c>
      <c r="G10384" s="10" t="inlineStr">
        <is>
          <t>31-03-2026</t>
        </is>
      </c>
      <c r="H10384" s="10" t="inlineStr">
        <is>
          <t>31/03/2026</t>
        </is>
      </c>
      <c r="I10384" s="10" t="inlineStr">
        <is>
          <t>17/03/2026</t>
        </is>
      </c>
      <c r="J10384" s="10" t="inlineStr">
        <is>
          <t>Sản xuất / Vận hành sản xuất</t>
        </is>
      </c>
      <c r="K10384" s="10" t="inlineStr">
        <is>
          <t>1 - 5 Năm</t>
        </is>
      </c>
      <c r="L10384" s="11">
        <f>HYPERLINK("https://careerviet.vn/vi/tim-viec-lam/nhan-vien-qa-chung-nhan.35C6A1AB.html","Xem chi tiết")</f>
        <v/>
      </c>
      <c r="M10384" s="10" t="n"/>
    </row>
    <row r="10385">
      <c r="B10385" s="7" t="n">
        <v>10383</v>
      </c>
      <c r="C10385" t="inlineStr">
        <is>
          <t>Giám sát bán hàng KV Đồng bằng sông Hồng (Supervisor)</t>
        </is>
      </c>
      <c r="D10385" t="inlineStr">
        <is>
          <t>CÔNG TY CỔ PHẦN PHÁT TRIỂN CƠ ĐIỆN LẠNH HOÀNG ĐẠT</t>
        </is>
      </c>
      <c r="E10385" t="inlineStr">
        <is>
          <t>Lương:25 Tr - 35 Tr VND</t>
        </is>
      </c>
      <c r="F10385" t="inlineStr">
        <is>
          <t>Hà Nội</t>
        </is>
      </c>
      <c r="G10385" t="inlineStr">
        <is>
          <t>31-03-2026</t>
        </is>
      </c>
      <c r="H10385" t="inlineStr">
        <is>
          <t>31/03/2026</t>
        </is>
      </c>
      <c r="I10385" t="inlineStr">
        <is>
          <t>17/03/2026</t>
        </is>
      </c>
      <c r="J10385" t="inlineStr">
        <is>
          <t>Bán lẻ / Bán sỉ, Bán hàng / Kinh doanh, Xây dựng</t>
        </is>
      </c>
      <c r="K10385" t="inlineStr">
        <is>
          <t>2 - 3 Năm</t>
        </is>
      </c>
      <c r="L10385" s="8">
        <f>HYPERLINK("https://careerviet.vn/vi/tim-viec-lam/giam-sat-ban-hang-kv-dong-bang-song-hong-supervisor.35C6A25B.html","Xem chi tiết")</f>
        <v/>
      </c>
    </row>
    <row r="10386">
      <c r="B10386" s="9" t="n">
        <v>10384</v>
      </c>
      <c r="C10386" s="10" t="inlineStr">
        <is>
          <t>Sales Admin tại Quận 8</t>
        </is>
      </c>
      <c r="D10386" s="10" t="inlineStr">
        <is>
          <t>Công Ty TNHH Tập Đoàn Rita Võ</t>
        </is>
      </c>
      <c r="E10386" s="10" t="inlineStr">
        <is>
          <t>Lương:8 Tr - 10 Tr VND</t>
        </is>
      </c>
      <c r="F10386" s="10" t="inlineStr">
        <is>
          <t>Hồ Chí Minh</t>
        </is>
      </c>
      <c r="G10386" s="10" t="inlineStr">
        <is>
          <t>31-03-2026</t>
        </is>
      </c>
      <c r="H10386" s="10" t="inlineStr">
        <is>
          <t>31/03/2026</t>
        </is>
      </c>
      <c r="I10386" s="10" t="inlineStr">
        <is>
          <t>17/03/2026</t>
        </is>
      </c>
      <c r="J10386" s="10" t="inlineStr">
        <is>
          <t>Bán hàng / Kinh doanh</t>
        </is>
      </c>
      <c r="K10386" s="10" t="inlineStr">
        <is>
          <t>2 - 5 Năm</t>
        </is>
      </c>
      <c r="L10386" s="11">
        <f>HYPERLINK("https://careerviet.vn/vi/tim-viec-lam/sales-admin-tai-quan-8.35C6A177.html","Xem chi tiết")</f>
        <v/>
      </c>
      <c r="M10386" s="10" t="n"/>
    </row>
    <row r="10387">
      <c r="B10387" s="7" t="n">
        <v>10385</v>
      </c>
      <c r="C10387" t="inlineStr">
        <is>
          <t>TRƯỞNG PHÒNG MERCHANDISE (NGÀNH MAY MẶC)</t>
        </is>
      </c>
      <c r="D10387" t="inlineStr">
        <is>
          <t>Công Ty TNHH Sơn Tùng</t>
        </is>
      </c>
      <c r="E10387" t="inlineStr">
        <is>
          <t>Lương:28 Tr - 35 Tr VND</t>
        </is>
      </c>
      <c r="F10387" t="inlineStr">
        <is>
          <t>Hồ Chí Minh</t>
        </is>
      </c>
      <c r="G10387" t="inlineStr">
        <is>
          <t>27-03-2026</t>
        </is>
      </c>
      <c r="H10387" t="inlineStr">
        <is>
          <t>27/03/2026</t>
        </is>
      </c>
      <c r="I10387" t="inlineStr">
        <is>
          <t>17/03/2026</t>
        </is>
      </c>
      <c r="J10387" t="inlineStr">
        <is>
          <t>Dệt may / Da giày / Thời trang, Xuất nhập khẩu, Bán hàng / Kinh doanh</t>
        </is>
      </c>
      <c r="K10387" t="inlineStr">
        <is>
          <t>3 - 5 Năm</t>
        </is>
      </c>
      <c r="L10387" s="8">
        <f>HYPERLINK("https://careerviet.vn/vi/tim-viec-lam/truong-phong-merchandise-nganh-may-mac.35C6A1EC.html","Xem chi tiết")</f>
        <v/>
      </c>
    </row>
    <row r="10388">
      <c r="B10388" s="9" t="n">
        <v>10386</v>
      </c>
      <c r="C10388" s="10" t="inlineStr">
        <is>
          <t>Giám Đốc Marketing</t>
        </is>
      </c>
      <c r="D10388" s="10" t="inlineStr">
        <is>
          <t>Công ty Cổ Phần Bất Động Sản SeaHoldings</t>
        </is>
      </c>
      <c r="E10388" s="10" t="inlineStr">
        <is>
          <t>Lương:Cạnh tranh</t>
        </is>
      </c>
      <c r="F10388" s="10" t="inlineStr">
        <is>
          <t>Hồ Chí Minh</t>
        </is>
      </c>
      <c r="G10388" s="10" t="inlineStr">
        <is>
          <t>31-03-2026</t>
        </is>
      </c>
      <c r="H10388" s="10" t="inlineStr">
        <is>
          <t>31/03/2026</t>
        </is>
      </c>
      <c r="I10388" s="10" t="inlineStr">
        <is>
          <t>17/03/2026</t>
        </is>
      </c>
      <c r="J10388" s="10" t="inlineStr">
        <is>
          <t>Tiếp thị / Marketing, Quảng cáo / Đối ngoại / Truyền Thông, Bất động sản</t>
        </is>
      </c>
      <c r="K10388" s="10" t="inlineStr">
        <is>
          <t>5 - 10 Năm</t>
        </is>
      </c>
      <c r="L10388" s="11">
        <f>HYPERLINK("https://careerviet.vn/vi/tim-viec-lam/giam-doc-marketing.35C6A211.html","Xem chi tiết")</f>
        <v/>
      </c>
      <c r="M10388" s="10" t="n"/>
    </row>
    <row r="10389">
      <c r="B10389" s="7" t="n">
        <v>10387</v>
      </c>
      <c r="C10389" t="inlineStr">
        <is>
          <t>Phó Trưởng Phòng Đầu Tư/ Trợ lý BGĐ về Đầu tư (Mạnh Về Pháp Lý)</t>
        </is>
      </c>
      <c r="D10389" t="inlineStr">
        <is>
          <t>CÔNG TY CỔ PHẦN ĐẦU TƯ THIÊN ÂN</t>
        </is>
      </c>
      <c r="E10389" t="inlineStr">
        <is>
          <t>Lương:20 Tr - 400 Tr VND</t>
        </is>
      </c>
      <c r="F10389" t="inlineStr">
        <is>
          <t>Hà Nội</t>
        </is>
      </c>
      <c r="G10389" t="inlineStr">
        <is>
          <t>31-03-2026</t>
        </is>
      </c>
      <c r="H10389" t="inlineStr">
        <is>
          <t>31/03/2026</t>
        </is>
      </c>
      <c r="I10389" t="inlineStr">
        <is>
          <t>17/03/2026</t>
        </is>
      </c>
      <c r="J10389" t="inlineStr">
        <is>
          <t>Luật / Pháp lý, Tài chính / Đầu tư, Xây dựng</t>
        </is>
      </c>
      <c r="K10389" t="inlineStr">
        <is>
          <t>Trên 3 Năm</t>
        </is>
      </c>
      <c r="L10389" s="8">
        <f>HYPERLINK("https://careerviet.vn/vi/tim-viec-lam/pho-truong-phong-dau-tu-tro-ly-bgd-ve-dau-tu-manh-ve-phap-ly.35C6A23E.html","Xem chi tiết")</f>
        <v/>
      </c>
    </row>
    <row r="10390">
      <c r="B10390" s="9" t="n">
        <v>10388</v>
      </c>
      <c r="C10390" s="10" t="inlineStr">
        <is>
          <t>Điều dưỡng cấp cứu</t>
        </is>
      </c>
      <c r="D10390" s="10" t="inlineStr">
        <is>
          <t>BỆNH VIỆN ĐA KHOA PHƯƠNG NAM</t>
        </is>
      </c>
      <c r="E10390" s="10" t="inlineStr">
        <is>
          <t>Lương:Cạnh tranh</t>
        </is>
      </c>
      <c r="F10390" s="10" t="inlineStr">
        <is>
          <t>Hồ Chí Minh</t>
        </is>
      </c>
      <c r="G10390" s="10" t="inlineStr">
        <is>
          <t>30-04-2026</t>
        </is>
      </c>
      <c r="H10390" s="10" t="inlineStr">
        <is>
          <t>30/04/2026</t>
        </is>
      </c>
      <c r="I10390" s="10" t="inlineStr">
        <is>
          <t>17/03/2026</t>
        </is>
      </c>
      <c r="J10390" s="10" t="inlineStr">
        <is>
          <t>Y tế / Chăm sóc sức khỏe / Thẩm mỹ / Làm đẹp</t>
        </is>
      </c>
      <c r="K10390" s="10" t="inlineStr">
        <is>
          <t>Chưa có kinh nghiệm</t>
        </is>
      </c>
      <c r="L10390" s="11">
        <f>HYPERLINK("https://careerviet.vn/vi/tim-viec-lam/dieu-duong-cap-cuu.35C6A159.html","Xem chi tiết")</f>
        <v/>
      </c>
      <c r="M10390" s="10" t="n"/>
    </row>
    <row r="10391">
      <c r="B10391" s="7" t="n">
        <v>10389</v>
      </c>
      <c r="C10391" t="inlineStr">
        <is>
          <t>Nhân viên Admin - Phòng Marketing</t>
        </is>
      </c>
      <c r="D10391" t="inlineStr">
        <is>
          <t>BỆNH VIỆN ĐA KHOA PHƯƠNG ĐÔNG</t>
        </is>
      </c>
      <c r="E10391" t="inlineStr">
        <is>
          <t>Lương:7 Tr - 10 Tr VND</t>
        </is>
      </c>
      <c r="F10391" t="inlineStr">
        <is>
          <t>Hà Nội</t>
        </is>
      </c>
      <c r="G10391" t="inlineStr">
        <is>
          <t>31-05-2026</t>
        </is>
      </c>
      <c r="H10391" t="inlineStr">
        <is>
          <t>31/05/2026</t>
        </is>
      </c>
      <c r="I10391" t="inlineStr">
        <is>
          <t>17/03/2026</t>
        </is>
      </c>
      <c r="J10391" t="inlineStr">
        <is>
          <t>Hành chính / Thư ký</t>
        </is>
      </c>
      <c r="K10391" t="inlineStr">
        <is>
          <t>1 - 2 Năm</t>
        </is>
      </c>
      <c r="L10391" s="8">
        <f>HYPERLINK("https://careerviet.vn/vi/tim-viec-lam/nhan-vien-admin-phong-marketing.35C6A1F2.html","Xem chi tiết")</f>
        <v/>
      </c>
    </row>
    <row r="10392">
      <c r="B10392" s="9" t="n">
        <v>10390</v>
      </c>
      <c r="C10392" s="10" t="inlineStr">
        <is>
          <t>Nhân viên Kế toán tại VBI Hà Nội</t>
        </is>
      </c>
      <c r="D10392" s="10" t="inlineStr">
        <is>
          <t>Tổng Công Ty Cổ Phần Bảo Hiểm Ngân Hàng TMCP Công Thương Việt Nam</t>
        </is>
      </c>
      <c r="E10392" s="10" t="inlineStr">
        <is>
          <t>Lương:Cạnh tranh</t>
        </is>
      </c>
      <c r="F10392" s="10" t="inlineStr">
        <is>
          <t>Hà Nội</t>
        </is>
      </c>
      <c r="G10392" s="10" t="inlineStr">
        <is>
          <t>30-03-2026</t>
        </is>
      </c>
      <c r="H10392" s="10" t="inlineStr">
        <is>
          <t>30/03/2026</t>
        </is>
      </c>
      <c r="I10392" s="10" t="inlineStr">
        <is>
          <t>17/03/2026</t>
        </is>
      </c>
      <c r="J10392" s="10" t="inlineStr">
        <is>
          <t>Kế toán / Kiểm toán, Bảo hiểm</t>
        </is>
      </c>
      <c r="K10392" s="10" t="inlineStr">
        <is>
          <t>1 - 3 Năm</t>
        </is>
      </c>
      <c r="L10392" s="11">
        <f>HYPERLINK("https://careerviet.vn/vi/tim-viec-lam/nhan-vien-ke-toan-tai-vbi-ha-noi.35C6A224.html","Xem chi tiết")</f>
        <v/>
      </c>
      <c r="M10392" s="10" t="n"/>
    </row>
    <row r="10393">
      <c r="B10393" s="7" t="n">
        <v>10391</v>
      </c>
      <c r="C10393" t="inlineStr">
        <is>
          <t>Chuyên viên kinh doanh TMĐT</t>
        </is>
      </c>
      <c r="D10393" t="inlineStr">
        <is>
          <t>Công Ty TNHH Xúc Tiến Thương Mại NBT Holdings</t>
        </is>
      </c>
      <c r="E10393" t="inlineStr">
        <is>
          <t>Lương:8 Tr - 15 Tr VND</t>
        </is>
      </c>
      <c r="F10393" t="inlineStr">
        <is>
          <t>Hà Nội</t>
        </is>
      </c>
      <c r="G10393" t="inlineStr">
        <is>
          <t>31-03-2026</t>
        </is>
      </c>
      <c r="H10393" t="inlineStr">
        <is>
          <t>31/03/2026</t>
        </is>
      </c>
      <c r="I10393" t="inlineStr">
        <is>
          <t>17/03/2026</t>
        </is>
      </c>
      <c r="J10393" t="inlineStr">
        <is>
          <t>Bán hàng / Kinh doanh, Thương mại điện tử, Tư vấn</t>
        </is>
      </c>
      <c r="K10393" t="inlineStr">
        <is>
          <t>Trên 1 Năm</t>
        </is>
      </c>
      <c r="L10393" s="8">
        <f>HYPERLINK("https://careerviet.vn/vi/tim-viec-lam/chuyen-vien-kinh-doanh-tmdt.35C6A206.html","Xem chi tiết")</f>
        <v/>
      </c>
    </row>
    <row r="10394">
      <c r="B10394" s="9" t="n">
        <v>10392</v>
      </c>
      <c r="C10394" s="10" t="inlineStr">
        <is>
          <t>Chuyên viên QS xây dựng (làm ở văn phòng)</t>
        </is>
      </c>
      <c r="D10394" s="10" t="inlineStr">
        <is>
          <t>Bảo mật</t>
        </is>
      </c>
      <c r="E10394" s="10" t="inlineStr">
        <is>
          <t>Lương:Cạnh tranh</t>
        </is>
      </c>
      <c r="F10394" s="10" t="inlineStr">
        <is>
          <t>Hồ Chí Minh</t>
        </is>
      </c>
      <c r="G10394" s="10" t="inlineStr">
        <is>
          <t>28-03-2026</t>
        </is>
      </c>
      <c r="H10394" s="10" t="inlineStr">
        <is>
          <t>28/03/2026</t>
        </is>
      </c>
      <c r="I10394" s="10" t="inlineStr">
        <is>
          <t>17/03/2026</t>
        </is>
      </c>
      <c r="J10394" s="10" t="inlineStr">
        <is>
          <t>Xây dựng, Bất động sản</t>
        </is>
      </c>
      <c r="K10394" s="10" t="inlineStr">
        <is>
          <t>10 - 15 Năm</t>
        </is>
      </c>
      <c r="L10394" s="11">
        <f>HYPERLINK("https://careerviet.vn/vi/tim-viec-lam/chuyen-vien-qs-xay-dung-lam-o-van-phong.35C6A1A5.html","Xem chi tiết")</f>
        <v/>
      </c>
      <c r="M10394" s="10" t="n"/>
    </row>
    <row r="10395">
      <c r="B10395" s="7" t="n">
        <v>10393</v>
      </c>
      <c r="C10395" t="inlineStr">
        <is>
          <t>Nhân viên xử lý dữ liệu phòng Thương mại điện tử</t>
        </is>
      </c>
      <c r="D10395" t="inlineStr">
        <is>
          <t>CÔNG TY CỔ PHẦN HỒ TIÊU VIỆT</t>
        </is>
      </c>
      <c r="E10395" t="inlineStr">
        <is>
          <t>Lương:8 Tr - 10 Tr VND</t>
        </is>
      </c>
      <c r="F10395" t="inlineStr">
        <is>
          <t>Hồ Chí Minh</t>
        </is>
      </c>
      <c r="G10395" t="inlineStr">
        <is>
          <t>31-03-2026</t>
        </is>
      </c>
      <c r="H10395" t="inlineStr">
        <is>
          <t>31/03/2026</t>
        </is>
      </c>
      <c r="I10395" t="inlineStr">
        <is>
          <t>17/03/2026</t>
        </is>
      </c>
      <c r="J10395" t="inlineStr">
        <is>
          <t>Dịch vụ khách hàng, Thương mại điện tử, Bán lẻ / Bán sỉ</t>
        </is>
      </c>
      <c r="K10395" t="inlineStr">
        <is>
          <t>Trên 1 Năm</t>
        </is>
      </c>
      <c r="L10395" s="8">
        <f>HYPERLINK("https://careerviet.vn/vi/tim-viec-lam/nhan-vien-xu-ly-du-lieu-phong-thuong-mai-dien-tu.35C6A1BB.html","Xem chi tiết")</f>
        <v/>
      </c>
    </row>
    <row r="10396">
      <c r="B10396" s="9" t="n">
        <v>10394</v>
      </c>
      <c r="C10396" s="10" t="inlineStr">
        <is>
          <t>Nhân Viên Kinh Doanh</t>
        </is>
      </c>
      <c r="D10396" s="10" t="inlineStr">
        <is>
          <t>CÔNG TY TNHH THƯƠNG MẠI QUỐC TẾ NASI VIỆT NAM</t>
        </is>
      </c>
      <c r="E10396" s="10" t="inlineStr">
        <is>
          <t>Lương:Cạnh tranh</t>
        </is>
      </c>
      <c r="F10396" s="10" t="inlineStr">
        <is>
          <t>Hồ Chí Minh</t>
        </is>
      </c>
      <c r="G10396" s="10" t="inlineStr">
        <is>
          <t>25-03-2026</t>
        </is>
      </c>
      <c r="H10396" s="10" t="inlineStr">
        <is>
          <t>25/03/2026</t>
        </is>
      </c>
      <c r="I10396" s="10" t="inlineStr">
        <is>
          <t>17/03/2026</t>
        </is>
      </c>
      <c r="J10396" s="10" t="inlineStr">
        <is>
          <t>Bán hàng / Kinh doanh</t>
        </is>
      </c>
      <c r="K10396" s="10" t="inlineStr">
        <is>
          <t>1 - 2 Năm</t>
        </is>
      </c>
      <c r="L10396" s="11">
        <f>HYPERLINK("https://careerviet.vn/vi/tim-viec-lam/nhan-vien-kinh-doanh.35C6A171.html","Xem chi tiết")</f>
        <v/>
      </c>
      <c r="M10396" s="10" t="n"/>
    </row>
    <row r="10397">
      <c r="B10397" s="7" t="n">
        <v>10395</v>
      </c>
      <c r="C10397" t="inlineStr">
        <is>
          <t>Nhân Viên Thiết Kế</t>
        </is>
      </c>
      <c r="D10397" t="inlineStr">
        <is>
          <t>Công Ty CP XNK Hóa Chất &amp; Thiết Bị Kim Ngưu</t>
        </is>
      </c>
      <c r="E10397" t="inlineStr">
        <is>
          <t>Lương:Cạnh tranh</t>
        </is>
      </c>
      <c r="F10397" t="inlineStr">
        <is>
          <t>Hà Nội</t>
        </is>
      </c>
      <c r="G10397" t="inlineStr">
        <is>
          <t>30-03-2026</t>
        </is>
      </c>
      <c r="H10397" t="inlineStr">
        <is>
          <t>30/03/2026</t>
        </is>
      </c>
      <c r="I10397" t="inlineStr">
        <is>
          <t>17/03/2026</t>
        </is>
      </c>
      <c r="J10397" t="inlineStr">
        <is>
          <t>Mỹ thuật / Nghệ thuật / Thiết kế</t>
        </is>
      </c>
      <c r="K10397" t="inlineStr">
        <is>
          <t>2 - 3 Năm</t>
        </is>
      </c>
      <c r="L10397" s="8">
        <f>HYPERLINK("https://careerviet.vn/vi/tim-viec-lam/nhan-vien-thiet-ke.35C6A182.html","Xem chi tiết")</f>
        <v/>
      </c>
    </row>
    <row r="10398">
      <c r="B10398" s="9" t="n">
        <v>10396</v>
      </c>
      <c r="C10398" s="10" t="inlineStr">
        <is>
          <t>Chuyên Viên Tuyển Dụng - Đào tạo</t>
        </is>
      </c>
      <c r="D10398" s="10" t="inlineStr">
        <is>
          <t>CÔNG TY CỔ PHẦN CHẾ BIẾN THỰC PHẨM HOÀNG SƠN</t>
        </is>
      </c>
      <c r="E10398" s="10" t="inlineStr">
        <is>
          <t>Lương:12 Tr - 15 Tr VND</t>
        </is>
      </c>
      <c r="F10398" s="10" t="inlineStr">
        <is>
          <t>Bình Dương</t>
        </is>
      </c>
      <c r="G10398" s="10" t="inlineStr">
        <is>
          <t>31-03-2026</t>
        </is>
      </c>
      <c r="H10398" s="10" t="inlineStr">
        <is>
          <t>31/03/2026</t>
        </is>
      </c>
      <c r="I10398" s="10" t="inlineStr">
        <is>
          <t>17/03/2026</t>
        </is>
      </c>
      <c r="J10398" s="10" t="inlineStr">
        <is>
          <t>Nhân sự, Hành chính / Thư ký</t>
        </is>
      </c>
      <c r="K10398" s="10" t="inlineStr">
        <is>
          <t>1 - 3 Năm</t>
        </is>
      </c>
      <c r="L10398" s="11">
        <f>HYPERLINK("https://careerviet.vn/vi/tim-viec-lam/chuyen-vien-tuyen-dung-dao-tao.35C6A119.html","Xem chi tiết")</f>
        <v/>
      </c>
      <c r="M10398" s="10" t="n"/>
    </row>
    <row r="10399">
      <c r="B10399" s="7" t="n">
        <v>10397</v>
      </c>
      <c r="C10399" t="inlineStr">
        <is>
          <t>Bác sĩ da liễu - Cơ sở Đồng Nai</t>
        </is>
      </c>
      <c r="D10399" t="inlineStr">
        <is>
          <t>CÔNG TY TNHH THẨM MỸ QUỐC TẾ LINH ANH</t>
        </is>
      </c>
      <c r="E10399" t="inlineStr">
        <is>
          <t>Lương:35 Tr - 60 Tr VND</t>
        </is>
      </c>
      <c r="F10399" t="inlineStr">
        <is>
          <t>Đồng Nai</t>
        </is>
      </c>
      <c r="G10399" t="inlineStr">
        <is>
          <t>6</t>
        </is>
      </c>
      <c r="H10399" t="inlineStr">
        <is>
          <t>23/03/2026</t>
        </is>
      </c>
      <c r="I10399" t="inlineStr">
        <is>
          <t>17/03/2026</t>
        </is>
      </c>
      <c r="J10399" t="inlineStr">
        <is>
          <t>Y tế / Chăm sóc sức khỏe / Thẩm mỹ / Làm đẹp</t>
        </is>
      </c>
      <c r="K10399" t="inlineStr">
        <is>
          <t>2 - 3 Năm</t>
        </is>
      </c>
      <c r="L10399" s="8">
        <f>HYPERLINK("https://careerviet.vn/vi/tim-viec-lam/bac-si-da-lieu-co-so-dong-nai.35C6A1BF.html","Xem chi tiết")</f>
        <v/>
      </c>
    </row>
    <row r="10400">
      <c r="B10400" s="9" t="n">
        <v>10398</v>
      </c>
      <c r="C10400" s="10" t="inlineStr">
        <is>
          <t>Nhân viên Xuất Nhập Khẩu</t>
        </is>
      </c>
      <c r="D10400" s="10" t="inlineStr">
        <is>
          <t>Công Ty CP XNK Hóa Chất &amp; Thiết Bị Kim Ngưu</t>
        </is>
      </c>
      <c r="E10400" s="10" t="inlineStr">
        <is>
          <t>Lương:Cạnh tranh</t>
        </is>
      </c>
      <c r="F10400" s="10" t="inlineStr">
        <is>
          <t>Hà Nội</t>
        </is>
      </c>
      <c r="G10400" s="10" t="inlineStr">
        <is>
          <t>30-03-2026</t>
        </is>
      </c>
      <c r="H10400" s="10" t="inlineStr">
        <is>
          <t>30/03/2026</t>
        </is>
      </c>
      <c r="I10400" s="10" t="inlineStr">
        <is>
          <t>17/03/2026</t>
        </is>
      </c>
      <c r="J10400" s="10" t="inlineStr">
        <is>
          <t>Xuất nhập khẩu, Vận chuyển / Giao nhận / Kho vận</t>
        </is>
      </c>
      <c r="K10400" s="10" t="inlineStr">
        <is>
          <t>2 - 3 Năm</t>
        </is>
      </c>
      <c r="L10400" s="11">
        <f>HYPERLINK("https://careerviet.vn/vi/tim-viec-lam/nhan-vien-xuat-nhap-khau.35C6A197.html","Xem chi tiết")</f>
        <v/>
      </c>
      <c r="M10400" s="10" t="n"/>
    </row>
    <row r="10401">
      <c r="B10401" s="7" t="n">
        <v>10399</v>
      </c>
      <c r="C10401" t="inlineStr">
        <is>
          <t>Nhân viên kỹ thuật</t>
        </is>
      </c>
      <c r="D10401" t="inlineStr">
        <is>
          <t>CÔNG TY CỔ PHẦN SẢN XUẤT PHÁT TRIỂN MIZEN</t>
        </is>
      </c>
      <c r="E10401" t="inlineStr">
        <is>
          <t>Lương:Cạnh tranh</t>
        </is>
      </c>
      <c r="F10401" t="inlineStr">
        <is>
          <t>Hà Nội</t>
        </is>
      </c>
      <c r="G10401" t="inlineStr">
        <is>
          <t>28-03-2026</t>
        </is>
      </c>
      <c r="H10401" t="inlineStr">
        <is>
          <t>28/03/2026</t>
        </is>
      </c>
      <c r="I10401" t="inlineStr">
        <is>
          <t>17/03/2026</t>
        </is>
      </c>
      <c r="J10401" t="inlineStr">
        <is>
          <t>Cơ khí / Ô tô / Tự động hóa, Điện / Điện tử / Điện lạnh / Điện công nghiệp</t>
        </is>
      </c>
      <c r="K10401" t="inlineStr">
        <is>
          <t>Chưa có kinh nghiệm</t>
        </is>
      </c>
      <c r="L10401" s="8">
        <f>HYPERLINK("https://careerviet.vn/vi/tim-viec-lam/nhan-vien-ky-thuat.35C6A16F.html","Xem chi tiết")</f>
        <v/>
      </c>
    </row>
    <row r="10402">
      <c r="B10402" s="9" t="n">
        <v>10400</v>
      </c>
      <c r="C10402" s="10" t="inlineStr">
        <is>
          <t>Chuyên Viên Kiểm Soát Tuân Thủ</t>
        </is>
      </c>
      <c r="D10402" s="10" t="inlineStr">
        <is>
          <t>CÔNG TY CỔ PHẦN TẬP ĐOÀN ONSEN FUJI</t>
        </is>
      </c>
      <c r="E10402" s="10" t="inlineStr">
        <is>
          <t>Lương:15 Tr - 20 Tr VND</t>
        </is>
      </c>
      <c r="F10402" s="10" t="inlineStr">
        <is>
          <t>Hà Nội</t>
        </is>
      </c>
      <c r="G10402" s="10" t="inlineStr">
        <is>
          <t>31-03-2026</t>
        </is>
      </c>
      <c r="H10402" s="10" t="inlineStr">
        <is>
          <t>31/03/2026</t>
        </is>
      </c>
      <c r="I10402" s="10" t="inlineStr">
        <is>
          <t>17/03/2026</t>
        </is>
      </c>
      <c r="J10402" s="10" t="inlineStr">
        <is>
          <t>An Ninh / Bảo Vệ, Quản lý chất lượng (QA/QC), Dịch vụ khách hàng</t>
        </is>
      </c>
      <c r="K10402" s="10" t="inlineStr">
        <is>
          <t>2 - 3 Năm</t>
        </is>
      </c>
      <c r="L10402" s="11">
        <f>HYPERLINK("https://careerviet.vn/vi/tim-viec-lam/chuyen-vien-kiem-soat-tuan-thu.35C6A17A.html","Xem chi tiết")</f>
        <v/>
      </c>
      <c r="M10402" s="10" t="n"/>
    </row>
    <row r="10403">
      <c r="B10403" s="7" t="n">
        <v>10401</v>
      </c>
      <c r="C10403" t="inlineStr">
        <is>
          <t>Chuyên viên kinh doanh dự án</t>
        </is>
      </c>
      <c r="D10403" t="inlineStr">
        <is>
          <t>Công ty TNHH Xây Dựng Hoàng Liên Sơn</t>
        </is>
      </c>
      <c r="E10403" t="inlineStr">
        <is>
          <t>Lương:20 Tr - 25 Tr VND</t>
        </is>
      </c>
      <c r="F10403" t="inlineStr">
        <is>
          <t>Hồ Chí Minh</t>
        </is>
      </c>
      <c r="G10403" t="inlineStr">
        <is>
          <t>28-03-2026</t>
        </is>
      </c>
      <c r="H10403" t="inlineStr">
        <is>
          <t>28/03/2026</t>
        </is>
      </c>
      <c r="I10403" t="inlineStr">
        <is>
          <t>17/03/2026</t>
        </is>
      </c>
      <c r="J10403" t="inlineStr">
        <is>
          <t>Kiến trúc, Xây dựng</t>
        </is>
      </c>
      <c r="K10403" t="inlineStr">
        <is>
          <t>7 - 10 Năm</t>
        </is>
      </c>
      <c r="L10403" s="8">
        <f>HYPERLINK("https://careerviet.vn/vi/tim-viec-lam/chuyen-vien-kinh-doanh-du-an.35C64EFA.html","Xem chi tiết")</f>
        <v/>
      </c>
    </row>
    <row r="10404">
      <c r="B10404" s="9" t="n">
        <v>10402</v>
      </c>
      <c r="C10404" s="10" t="inlineStr">
        <is>
          <t>Nhân Viên Lễ Tân (SPA, THẨM MỸ) làm tại Phú Nhuận</t>
        </is>
      </c>
      <c r="D10404" s="10" t="inlineStr">
        <is>
          <t>CÔNG TY TNHH THẨM MỸ QUỐC TẾ LINH ANH</t>
        </is>
      </c>
      <c r="E10404" s="10" t="inlineStr">
        <is>
          <t>Lương:7 Tr - 25 Tr VND</t>
        </is>
      </c>
      <c r="F10404" s="10" t="inlineStr">
        <is>
          <t>Hồ Chí Minh</t>
        </is>
      </c>
      <c r="G10404" s="10" t="inlineStr">
        <is>
          <t>11-04-2026</t>
        </is>
      </c>
      <c r="H10404" s="10" t="inlineStr">
        <is>
          <t>11/04/2026</t>
        </is>
      </c>
      <c r="I10404" s="10" t="inlineStr">
        <is>
          <t>17/03/2026</t>
        </is>
      </c>
      <c r="J10404" s="10" t="inlineStr">
        <is>
          <t>Tư vấn</t>
        </is>
      </c>
      <c r="K10404" s="10" t="inlineStr">
        <is>
          <t>N/A</t>
        </is>
      </c>
      <c r="L10404" s="11">
        <f>HYPERLINK("https://careerviet.vn/vi/tim-viec-lam/nhan-vien-le-tan-spa-tham-my-lam-tai-phu-nhuan.35C6A138.html","Xem chi tiết")</f>
        <v/>
      </c>
      <c r="M10404" s="10" t="n"/>
    </row>
    <row r="10405">
      <c r="B10405" s="7" t="n">
        <v>10403</v>
      </c>
      <c r="C10405" t="inlineStr">
        <is>
          <t>Kỹ thuật viên Spa (Phú Thọ)</t>
        </is>
      </c>
      <c r="D10405" t="inlineStr">
        <is>
          <t>CÔNG TY CỔ PHẦN TẬP ĐOÀN ONSEN FUJI</t>
        </is>
      </c>
      <c r="E10405" t="inlineStr">
        <is>
          <t>Lương:7 Tr - 12 Tr VND</t>
        </is>
      </c>
      <c r="F10405" t="inlineStr">
        <is>
          <t>Phú Thọ</t>
        </is>
      </c>
      <c r="G10405" t="inlineStr">
        <is>
          <t>31-03-2026</t>
        </is>
      </c>
      <c r="H10405" t="inlineStr">
        <is>
          <t>31/03/2026</t>
        </is>
      </c>
      <c r="I10405" t="inlineStr">
        <is>
          <t>17/03/2026</t>
        </is>
      </c>
      <c r="J10405" t="inlineStr">
        <is>
          <t>Nhà hàng / Khách sạn</t>
        </is>
      </c>
      <c r="K10405" t="inlineStr">
        <is>
          <t>1 - 3 Năm</t>
        </is>
      </c>
      <c r="L10405" s="8">
        <f>HYPERLINK("https://careerviet.vn/vi/tim-viec-lam/ky-thuat-vien-spa-phu-tho.35C6A136.html","Xem chi tiết")</f>
        <v/>
      </c>
    </row>
    <row r="10406">
      <c r="B10406" s="9" t="n">
        <v>10404</v>
      </c>
      <c r="C10406" s="10" t="inlineStr">
        <is>
          <t>Giám Đốc Vận Hành (Phú Thọ)</t>
        </is>
      </c>
      <c r="D10406" s="10" t="inlineStr">
        <is>
          <t>CÔNG TY CỔ PHẦN TẬP ĐOÀN ONSEN FUJI</t>
        </is>
      </c>
      <c r="E10406" s="10" t="inlineStr">
        <is>
          <t>Lương:Cạnh tranh</t>
        </is>
      </c>
      <c r="F10406" s="10" t="inlineStr">
        <is>
          <t>Phú Thọ</t>
        </is>
      </c>
      <c r="G10406" s="10" t="inlineStr">
        <is>
          <t>31-03-2026</t>
        </is>
      </c>
      <c r="H10406" s="10" t="inlineStr">
        <is>
          <t>31/03/2026</t>
        </is>
      </c>
      <c r="I10406" s="10" t="inlineStr">
        <is>
          <t>17/03/2026</t>
        </is>
      </c>
      <c r="J10406" s="10" t="inlineStr">
        <is>
          <t>Nhà hàng / Khách sạn</t>
        </is>
      </c>
      <c r="K10406" s="10" t="inlineStr">
        <is>
          <t>5 - 7 Năm</t>
        </is>
      </c>
      <c r="L10406" s="11">
        <f>HYPERLINK("https://careerviet.vn/vi/tim-viec-lam/giam-doc-van-hanh-phu-tho.35C6A11E.html","Xem chi tiết")</f>
        <v/>
      </c>
      <c r="M10406" s="10" t="n"/>
    </row>
    <row r="10407">
      <c r="B10407" s="7" t="n">
        <v>10405</v>
      </c>
      <c r="C10407" t="inlineStr">
        <is>
          <t>Nhân Viên Bếp Nhật (Phú Thọ)</t>
        </is>
      </c>
      <c r="D10407" t="inlineStr">
        <is>
          <t>CÔNG TY CỔ PHẦN TẬP ĐOÀN ONSEN FUJI</t>
        </is>
      </c>
      <c r="E10407" t="inlineStr">
        <is>
          <t>Lương:10 Tr - 15 Tr VND</t>
        </is>
      </c>
      <c r="F10407" t="inlineStr">
        <is>
          <t>Phú Thọ</t>
        </is>
      </c>
      <c r="G10407" t="inlineStr">
        <is>
          <t>31-03-2026</t>
        </is>
      </c>
      <c r="H10407" t="inlineStr">
        <is>
          <t>31/03/2026</t>
        </is>
      </c>
      <c r="I10407" t="inlineStr">
        <is>
          <t>17/03/2026</t>
        </is>
      </c>
      <c r="J10407" t="inlineStr">
        <is>
          <t>Nhà hàng / Khách sạn</t>
        </is>
      </c>
      <c r="K10407" t="inlineStr">
        <is>
          <t>2 - 3 Năm</t>
        </is>
      </c>
      <c r="L10407" s="8">
        <f>HYPERLINK("https://careerviet.vn/vi/tim-viec-lam/nhan-vien-bep-nhat-phu-tho.35C6A128.html","Xem chi tiết")</f>
        <v/>
      </c>
    </row>
    <row r="10408">
      <c r="B10408" s="9" t="n">
        <v>10406</v>
      </c>
      <c r="C10408" s="10" t="inlineStr">
        <is>
          <t>Nhân viên sale support</t>
        </is>
      </c>
      <c r="D10408" s="10" t="inlineStr">
        <is>
          <t>Công ty Cổ phần Giải pháp Tự động hóa ETEK</t>
        </is>
      </c>
      <c r="E10408" s="10" t="inlineStr">
        <is>
          <t>Lương:9,1 Tr - 16,8 Tr VND</t>
        </is>
      </c>
      <c r="F10408" s="10" t="inlineStr">
        <is>
          <t>Hồ Chí Minh</t>
        </is>
      </c>
      <c r="G10408" s="10" t="inlineStr">
        <is>
          <t>31-03-2026</t>
        </is>
      </c>
      <c r="H10408" s="10" t="inlineStr">
        <is>
          <t>31/03/2026</t>
        </is>
      </c>
      <c r="I10408" s="10" t="inlineStr">
        <is>
          <t>17/03/2026</t>
        </is>
      </c>
      <c r="J10408" s="10" t="inlineStr">
        <is>
          <t>Cơ khí / Ô tô / Tự động hóa</t>
        </is>
      </c>
      <c r="K10408" s="10" t="inlineStr">
        <is>
          <t>2 - 5 Năm</t>
        </is>
      </c>
      <c r="L10408" s="11">
        <f>HYPERLINK("https://careerviet.vn/vi/tim-viec-lam/nhan-vien-sale-support.35C6A148.html","Xem chi tiết")</f>
        <v/>
      </c>
      <c r="M10408" s="10" t="n"/>
    </row>
    <row r="10409">
      <c r="B10409" s="7" t="n">
        <v>10407</v>
      </c>
      <c r="C10409" t="inlineStr">
        <is>
          <t>Chuyên viên tuyển dụng-thu nhập hấp dẫn</t>
        </is>
      </c>
      <c r="D10409" t="inlineStr">
        <is>
          <t>CÔNG TY TNHH MTV KỸ THUẬT TÚ LỘC</t>
        </is>
      </c>
      <c r="E10409" t="inlineStr">
        <is>
          <t>Lương:15 Tr - 20 Tr VND</t>
        </is>
      </c>
      <c r="F10409" t="inlineStr">
        <is>
          <t>Hồ Chí Minh</t>
        </is>
      </c>
      <c r="G10409" t="inlineStr">
        <is>
          <t>13-03-2026</t>
        </is>
      </c>
      <c r="H10409" t="inlineStr">
        <is>
          <t>16/03/2026</t>
        </is>
      </c>
      <c r="I10409" t="inlineStr">
        <is>
          <t>17/03/2026</t>
        </is>
      </c>
      <c r="J10409" t="inlineStr">
        <is>
          <t>Hành chính / Thư ký, Nhân sự</t>
        </is>
      </c>
      <c r="K10409" t="inlineStr">
        <is>
          <t>2 - 3 Năm</t>
        </is>
      </c>
      <c r="L10409" s="8">
        <f>HYPERLINK("https://careerviet.vn/vi/tim-viec-lam/chuyen-vien-tuyen-dung-thu-nhap-hap-dan.35C6A1B9.html","Xem chi tiết")</f>
        <v/>
      </c>
    </row>
    <row r="10410">
      <c r="B10410" s="9" t="n">
        <v>10408</v>
      </c>
      <c r="C10410" s="10" t="inlineStr">
        <is>
          <t>Trưởng Nhóm Kinh Doanh Onsite (Phú Thọ)</t>
        </is>
      </c>
      <c r="D10410" s="10" t="inlineStr">
        <is>
          <t>CÔNG TY CỔ PHẦN TẬP ĐOÀN ONSEN FUJI</t>
        </is>
      </c>
      <c r="E10410" s="10" t="inlineStr">
        <is>
          <t>Lương:10 Tr - 25 Tr VND</t>
        </is>
      </c>
      <c r="F10410" s="10" t="inlineStr">
        <is>
          <t>Phú Thọ</t>
        </is>
      </c>
      <c r="G10410" s="10" t="inlineStr">
        <is>
          <t>01-04-2026</t>
        </is>
      </c>
      <c r="H10410" s="10" t="inlineStr">
        <is>
          <t>01/04/2026</t>
        </is>
      </c>
      <c r="I10410" s="10" t="inlineStr">
        <is>
          <t>17/03/2026</t>
        </is>
      </c>
      <c r="J10410" s="10" t="inlineStr">
        <is>
          <t>Bán hàng / Kinh doanh</t>
        </is>
      </c>
      <c r="K10410" s="10" t="inlineStr">
        <is>
          <t>1 - 2 Năm</t>
        </is>
      </c>
      <c r="L10410" s="11">
        <f>HYPERLINK("https://careerviet.vn/vi/tim-viec-lam/truong-nhom-kinh-doanh-onsite-phu-tho.35C6A15A.html","Xem chi tiết")</f>
        <v/>
      </c>
      <c r="M10410" s="10" t="n"/>
    </row>
    <row r="10411">
      <c r="B10411" s="7" t="n">
        <v>10409</v>
      </c>
      <c r="C10411" t="inlineStr">
        <is>
          <t>Nhân viên kinh doanh Văn phòng</t>
        </is>
      </c>
      <c r="D10411" t="inlineStr">
        <is>
          <t>CÔNG TY CỔ PHẦN SẢN XUẤT THƯƠNG MẠI DỊCH VỤ MỸ THUẬT TÂN VIỆT</t>
        </is>
      </c>
      <c r="E10411" t="inlineStr">
        <is>
          <t>Lương:7 Tr - 11 Tr VND</t>
        </is>
      </c>
      <c r="F10411" t="inlineStr">
        <is>
          <t>Hà Nội</t>
        </is>
      </c>
      <c r="G10411" t="inlineStr">
        <is>
          <t>31-07-2026</t>
        </is>
      </c>
      <c r="H10411" t="inlineStr">
        <is>
          <t>31/07/2026</t>
        </is>
      </c>
      <c r="I10411" t="inlineStr">
        <is>
          <t>17/03/2026</t>
        </is>
      </c>
      <c r="J10411" t="inlineStr">
        <is>
          <t>Bán lẻ / Bán sỉ, Bán hàng / Kinh doanh, Tiếp thị / Marketing</t>
        </is>
      </c>
      <c r="K10411" t="inlineStr">
        <is>
          <t>1 - 5 Năm</t>
        </is>
      </c>
      <c r="L10411" s="8">
        <f>HYPERLINK("https://careerviet.vn/vi/tim-viec-lam/nhan-vien-kinh-doanh-van-phong.35C6A1EA.html","Xem chi tiết")</f>
        <v/>
      </c>
    </row>
    <row r="10412">
      <c r="B10412" s="9" t="n">
        <v>10410</v>
      </c>
      <c r="C10412" s="10" t="inlineStr">
        <is>
          <t>[Lào Cai] Chuyên viên Giám Sát Hoàn Thiện (Ban QLDA) - Alphanam Group</t>
        </is>
      </c>
      <c r="D10412" s="10" t="inlineStr">
        <is>
          <t>Alphanam Group</t>
        </is>
      </c>
      <c r="E10412" s="10" t="inlineStr">
        <is>
          <t>Lương:Cạnh tranh</t>
        </is>
      </c>
      <c r="F10412" s="10" t="inlineStr">
        <is>
          <t>Lào Cai</t>
        </is>
      </c>
      <c r="G10412" s="10" t="inlineStr">
        <is>
          <t>30-03-2026</t>
        </is>
      </c>
      <c r="H10412" s="10" t="inlineStr">
        <is>
          <t>30/03/2026</t>
        </is>
      </c>
      <c r="I10412" s="10" t="inlineStr">
        <is>
          <t>17/03/2026</t>
        </is>
      </c>
      <c r="J10412" s="10" t="inlineStr">
        <is>
          <t>Xây dựng, Bất động sản, Nội ngoại thất</t>
        </is>
      </c>
      <c r="K10412" s="10" t="inlineStr">
        <is>
          <t>5 - 7 Năm</t>
        </is>
      </c>
      <c r="L10412" s="11">
        <f>HYPERLINK("https://careerviet.vn/vi/tim-viec-lam/lao-cai-chuyen-vien-giam-sat-hoan-thien-ban-qlda-alphanam-group.35C6A1CB.html","Xem chi tiết")</f>
        <v/>
      </c>
      <c r="M10412" s="10" t="n"/>
    </row>
    <row r="10413">
      <c r="B10413" s="7" t="n">
        <v>10411</v>
      </c>
      <c r="C10413" t="inlineStr">
        <is>
          <t>Nhân viên kinh doanh (Toàn quốc)</t>
        </is>
      </c>
      <c r="D10413" t="inlineStr">
        <is>
          <t>CÔNG TY TNHH XUẤT NHẬP KHẨU RUTOP VIỆT NAM - Thương Hiệu Toptotoes</t>
        </is>
      </c>
      <c r="E10413" t="inlineStr">
        <is>
          <t>Lương:6 Tr - 20 Tr VND</t>
        </is>
      </c>
      <c r="F10413" t="inlineStr">
        <is>
          <t>Hồ Chí Minh</t>
        </is>
      </c>
      <c r="G10413" t="inlineStr">
        <is>
          <t>31-03-2026</t>
        </is>
      </c>
      <c r="H10413" t="inlineStr">
        <is>
          <t>31/03/2026</t>
        </is>
      </c>
      <c r="I10413" t="inlineStr">
        <is>
          <t>17/03/2026</t>
        </is>
      </c>
      <c r="J10413" t="inlineStr">
        <is>
          <t>Bán hàng / Kinh doanh, Dược phẩm/ Hóa Mỹ Phẩm, Bán lẻ / Bán sỉ</t>
        </is>
      </c>
      <c r="K10413" t="inlineStr">
        <is>
          <t>Chưa có kinh nghiệm</t>
        </is>
      </c>
      <c r="L10413" s="8">
        <f>HYPERLINK("https://careerviet.vn/vi/tim-viec-lam/nhan-vien-kinh-doanh-toan-quoc.35C6A14A.html","Xem chi tiết")</f>
        <v/>
      </c>
    </row>
    <row r="10414">
      <c r="B10414" s="9" t="n">
        <v>10412</v>
      </c>
      <c r="C10414" s="10" t="inlineStr">
        <is>
          <t>Area Sales Manager (Toàn quốc)</t>
        </is>
      </c>
      <c r="D10414" s="10" t="inlineStr">
        <is>
          <t>CÔNG TY TNHH XUẤT NHẬP KHẨU RUTOP VIỆT NAM - Thương Hiệu Toptotoes</t>
        </is>
      </c>
      <c r="E10414" s="10" t="inlineStr">
        <is>
          <t>Lương:15 Tr - 20 Tr VND</t>
        </is>
      </c>
      <c r="F10414" s="10" t="inlineStr">
        <is>
          <t>Hồ Chí Minh</t>
        </is>
      </c>
      <c r="G10414" s="10" t="inlineStr">
        <is>
          <t>31-03-2026</t>
        </is>
      </c>
      <c r="H10414" s="10" t="inlineStr">
        <is>
          <t>31/03/2026</t>
        </is>
      </c>
      <c r="I10414" s="10" t="inlineStr">
        <is>
          <t>17/03/2026</t>
        </is>
      </c>
      <c r="J10414" s="10" t="inlineStr">
        <is>
          <t>Bán hàng / Kinh doanh, Hàng gia dụng / Chăm sóc cá nhân, Bán lẻ / Bán sỉ</t>
        </is>
      </c>
      <c r="K10414" s="10" t="inlineStr">
        <is>
          <t>1 - 2 Năm</t>
        </is>
      </c>
      <c r="L10414" s="11">
        <f>HYPERLINK("https://careerviet.vn/vi/tim-viec-lam/area-sales-manager-toan-quoc.35C6A141.html","Xem chi tiết")</f>
        <v/>
      </c>
      <c r="M10414" s="10" t="n"/>
    </row>
    <row r="10415">
      <c r="B10415" s="7" t="n">
        <v>10413</v>
      </c>
      <c r="C10415" t="inlineStr">
        <is>
          <t>Kỹ sư giám sát hạ tầng của CĐT (làm tại Hà Nội)</t>
        </is>
      </c>
      <c r="D10415" t="inlineStr">
        <is>
          <t>Tập Đoàn Tân Á Đại Thành</t>
        </is>
      </c>
      <c r="E10415" t="inlineStr">
        <is>
          <t>Lương:Cạnh tranh</t>
        </is>
      </c>
      <c r="F10415" t="inlineStr">
        <is>
          <t>Hà Nội</t>
        </is>
      </c>
      <c r="G10415" t="inlineStr">
        <is>
          <t>30-03-2026</t>
        </is>
      </c>
      <c r="H10415" t="inlineStr">
        <is>
          <t>30/03/2026</t>
        </is>
      </c>
      <c r="I10415" t="inlineStr">
        <is>
          <t>17/03/2026</t>
        </is>
      </c>
      <c r="J10415" t="inlineStr">
        <is>
          <t>Xây dựng, Kiến trúc, Bất động sản</t>
        </is>
      </c>
      <c r="K10415" t="inlineStr">
        <is>
          <t>3 - 5 Năm</t>
        </is>
      </c>
      <c r="L10415" s="8">
        <f>HYPERLINK("https://careerviet.vn/vi/tim-viec-lam/ky-su-giam-sat-ha-tang-cua-cdt-lam-tai-ha-noi.35C6A126.html","Xem chi tiết")</f>
        <v/>
      </c>
    </row>
    <row r="10416">
      <c r="B10416" s="9" t="n">
        <v>10414</v>
      </c>
      <c r="C10416" s="10" t="inlineStr">
        <is>
          <t>TRƯỞNG PHÒNG QA</t>
        </is>
      </c>
      <c r="D10416" s="10" t="inlineStr">
        <is>
          <t>CÔNG TY CỔ PHẦN TẬP ĐOÀN VIHAMARK</t>
        </is>
      </c>
      <c r="E10416" s="10" t="inlineStr">
        <is>
          <t>Lương:18 Tr - 25 Tr VND</t>
        </is>
      </c>
      <c r="F10416" s="10" t="inlineStr">
        <is>
          <t>Hà Nam</t>
        </is>
      </c>
      <c r="G10416" s="10" t="inlineStr">
        <is>
          <t>30-03-2026</t>
        </is>
      </c>
      <c r="H10416" s="10" t="inlineStr">
        <is>
          <t>30/03/2026</t>
        </is>
      </c>
      <c r="I10416" s="10" t="inlineStr">
        <is>
          <t>17/03/2026</t>
        </is>
      </c>
      <c r="J10416" s="10" t="inlineStr">
        <is>
          <t>Thực phẩm &amp; Đồ uống, Quản lý chất lượng (QA/QC), Sản xuất / Vận hành sản xuất</t>
        </is>
      </c>
      <c r="K10416" s="10" t="inlineStr">
        <is>
          <t>5 - 10 Năm</t>
        </is>
      </c>
      <c r="L10416" s="11">
        <f>HYPERLINK("https://careerviet.vn/vi/tim-viec-lam/truong-phong-qa.35C6A23B.html","Xem chi tiết")</f>
        <v/>
      </c>
      <c r="M10416" s="10" t="n"/>
    </row>
    <row r="10417">
      <c r="B10417" s="7" t="n">
        <v>10415</v>
      </c>
      <c r="C10417" t="inlineStr">
        <is>
          <t>Bếp Phó Bếp Nhật (Phú Thọ)</t>
        </is>
      </c>
      <c r="D10417" t="inlineStr">
        <is>
          <t>CÔNG TY CỔ PHẦN TẬP ĐOÀN ONSEN FUJI</t>
        </is>
      </c>
      <c r="E10417" t="inlineStr">
        <is>
          <t>Lương:25 Tr - 35 Tr VND</t>
        </is>
      </c>
      <c r="F10417" t="inlineStr">
        <is>
          <t>Phú Thọ</t>
        </is>
      </c>
      <c r="G10417" t="inlineStr">
        <is>
          <t>31-03-2026</t>
        </is>
      </c>
      <c r="H10417" t="inlineStr">
        <is>
          <t>31/03/2026</t>
        </is>
      </c>
      <c r="I10417" t="inlineStr">
        <is>
          <t>17/03/2026</t>
        </is>
      </c>
      <c r="J10417" t="inlineStr">
        <is>
          <t>Nhà hàng / Khách sạn</t>
        </is>
      </c>
      <c r="K10417" t="inlineStr">
        <is>
          <t>3 - 5 Năm</t>
        </is>
      </c>
      <c r="L10417" s="8">
        <f>HYPERLINK("https://careerviet.vn/vi/tim-viec-lam/bep-pho-bep-nhat-phu-tho.35C6A122.html","Xem chi tiết")</f>
        <v/>
      </c>
    </row>
    <row r="10418">
      <c r="B10418" s="9" t="n">
        <v>10416</v>
      </c>
      <c r="C10418" s="10" t="inlineStr">
        <is>
          <t>Kỹ sư thiết kế cơ khí</t>
        </is>
      </c>
      <c r="D10418" s="10" t="inlineStr">
        <is>
          <t>Công ty Cổ phần Giải pháp Tự động hóa ETEK</t>
        </is>
      </c>
      <c r="E10418" s="10" t="inlineStr">
        <is>
          <t>Lương:10,4 Tr - 25 Tr VND</t>
        </is>
      </c>
      <c r="F10418" s="10" t="inlineStr">
        <is>
          <t>Hà NộiHồ Chí Minh</t>
        </is>
      </c>
      <c r="G10418" s="10" t="inlineStr">
        <is>
          <t>31-03-2026</t>
        </is>
      </c>
      <c r="H10418" s="10" t="inlineStr">
        <is>
          <t>31/03/2026</t>
        </is>
      </c>
      <c r="I10418" s="10" t="inlineStr">
        <is>
          <t>17/03/2026</t>
        </is>
      </c>
      <c r="J10418" s="10" t="inlineStr">
        <is>
          <t>Cơ khí / Ô tô / Tự động hóa</t>
        </is>
      </c>
      <c r="K10418" s="10" t="inlineStr">
        <is>
          <t>2 - 10 Năm</t>
        </is>
      </c>
      <c r="L10418" s="11">
        <f>HYPERLINK("https://careerviet.vn/vi/tim-viec-lam/ky-su-thiet-ke-co-khi.35C6A137.html","Xem chi tiết")</f>
        <v/>
      </c>
      <c r="M10418" s="10" t="n"/>
    </row>
    <row r="10419">
      <c r="B10419" s="7" t="n">
        <v>10417</v>
      </c>
      <c r="C10419" t="inlineStr">
        <is>
          <t>Nhân Viên Bán Hàng (Phú Thọ)</t>
        </is>
      </c>
      <c r="D10419" t="inlineStr">
        <is>
          <t>CÔNG TY CỔ PHẦN TẬP ĐOÀN ONSEN FUJI</t>
        </is>
      </c>
      <c r="E10419" t="inlineStr">
        <is>
          <t>Lương:8 Tr - 10 Tr VND</t>
        </is>
      </c>
      <c r="F10419" t="inlineStr">
        <is>
          <t>Phú Thọ</t>
        </is>
      </c>
      <c r="G10419" t="inlineStr">
        <is>
          <t>31-03-2026</t>
        </is>
      </c>
      <c r="H10419" t="inlineStr">
        <is>
          <t>31/03/2026</t>
        </is>
      </c>
      <c r="I10419" t="inlineStr">
        <is>
          <t>17/03/2026</t>
        </is>
      </c>
      <c r="J10419" t="inlineStr">
        <is>
          <t>Nhà hàng / Khách sạn</t>
        </is>
      </c>
      <c r="K10419" t="inlineStr">
        <is>
          <t>Chưa có kinh nghiệm</t>
        </is>
      </c>
      <c r="L10419" s="8">
        <f>HYPERLINK("https://careerviet.vn/vi/tim-viec-lam/nhan-vien-ban-hang-phu-tho.35C6A13C.html","Xem chi tiết")</f>
        <v/>
      </c>
    </row>
    <row r="10420">
      <c r="B10420" s="9" t="n">
        <v>10418</v>
      </c>
      <c r="C10420" s="10" t="inlineStr">
        <is>
          <t>Trưởng phòng Mua hàng</t>
        </is>
      </c>
      <c r="D10420" s="10" t="inlineStr">
        <is>
          <t>Công ty cổ phần Tập đoàn Danko</t>
        </is>
      </c>
      <c r="E10420" s="10" t="inlineStr">
        <is>
          <t>Lương:35 Tr - 50 Tr VND</t>
        </is>
      </c>
      <c r="F10420" s="10" t="inlineStr">
        <is>
          <t>Hà Nội</t>
        </is>
      </c>
      <c r="G10420" s="10" t="inlineStr">
        <is>
          <t>31-03-2026</t>
        </is>
      </c>
      <c r="H10420" s="10" t="inlineStr">
        <is>
          <t>31/03/2026</t>
        </is>
      </c>
      <c r="I10420" s="10" t="inlineStr">
        <is>
          <t>17/03/2026</t>
        </is>
      </c>
      <c r="J10420" s="10" t="inlineStr">
        <is>
          <t>Thu mua / Vật tư, Xây dựng, Bất động sản</t>
        </is>
      </c>
      <c r="K10420" s="10" t="inlineStr">
        <is>
          <t>Trên 10 Năm</t>
        </is>
      </c>
      <c r="L10420" s="11">
        <f>HYPERLINK("https://careerviet.vn/vi/tim-viec-lam/truong-phong-mua-hang.35C6A1BC.html","Xem chi tiết")</f>
        <v/>
      </c>
      <c r="M10420" s="10" t="n"/>
    </row>
    <row r="10421">
      <c r="B10421" s="7" t="n">
        <v>10419</v>
      </c>
      <c r="C10421" t="inlineStr">
        <is>
          <t>Nhân Viên Xuất Nhập Khẩu kiêm Thu Mua</t>
        </is>
      </c>
      <c r="D10421" t="inlineStr">
        <is>
          <t>Công ty TNHH Thai F&amp;B</t>
        </is>
      </c>
      <c r="E10421" t="inlineStr">
        <is>
          <t>Lương:Cạnh tranh</t>
        </is>
      </c>
      <c r="F10421" t="inlineStr">
        <is>
          <t>Hồ Chí Minh</t>
        </is>
      </c>
      <c r="G10421" t="inlineStr">
        <is>
          <t>31-03-2026</t>
        </is>
      </c>
      <c r="H10421" t="inlineStr">
        <is>
          <t>31/03/2026</t>
        </is>
      </c>
      <c r="I10421" t="inlineStr">
        <is>
          <t>17/03/2026</t>
        </is>
      </c>
      <c r="J10421" t="inlineStr">
        <is>
          <t>Xuất nhập khẩu, Thu mua / Vật tư</t>
        </is>
      </c>
      <c r="K10421" t="inlineStr">
        <is>
          <t>2 - 5 Năm</t>
        </is>
      </c>
      <c r="L10421" s="8">
        <f>HYPERLINK("https://careerviet.vn/vi/tim-viec-lam/nhan-vien-xuat-nhap-khau-kiem-thu-mua.35C6A121.html","Xem chi tiết")</f>
        <v/>
      </c>
    </row>
    <row r="10422">
      <c r="B10422" s="9" t="n">
        <v>10420</v>
      </c>
      <c r="C10422" s="10" t="inlineStr">
        <is>
          <t>Online Sales Assistant Supervisor</t>
        </is>
      </c>
      <c r="D10422" s="10" t="inlineStr">
        <is>
          <t>Dalat Hasfarm</t>
        </is>
      </c>
      <c r="E10422" s="10" t="inlineStr">
        <is>
          <t>Lương:Cạnh tranh</t>
        </is>
      </c>
      <c r="F10422" s="10" t="inlineStr">
        <is>
          <t>Hồ Chí Minh</t>
        </is>
      </c>
      <c r="G10422" s="10" t="inlineStr">
        <is>
          <t>28-03-2026</t>
        </is>
      </c>
      <c r="H10422" s="10" t="inlineStr">
        <is>
          <t>28/03/2026</t>
        </is>
      </c>
      <c r="I10422" s="10" t="inlineStr">
        <is>
          <t>17/03/2026</t>
        </is>
      </c>
      <c r="J10422" s="10" t="inlineStr">
        <is>
          <t>Tiếp thị / Marketing, Tiếp thị trực tuyến, Thương mại điện tử</t>
        </is>
      </c>
      <c r="K10422" s="10" t="inlineStr">
        <is>
          <t>2 - 3 Năm</t>
        </is>
      </c>
      <c r="L10422" s="11">
        <f>HYPERLINK("https://careerviet.vn/vi/tim-viec-lam/online-sales-assistant-supervisor.35C6A17C.html","Xem chi tiết")</f>
        <v/>
      </c>
      <c r="M10422" s="10" t="n"/>
    </row>
    <row r="10423">
      <c r="B10423" s="7" t="n">
        <v>10421</v>
      </c>
      <c r="C10423" t="inlineStr">
        <is>
          <t>Project Legal Executive</t>
        </is>
      </c>
      <c r="D10423" t="inlineStr">
        <is>
          <t>VĂN PHÒNG ĐẠI DIỆN TỔNG CÔNG TY PHÁT TRIỂN ĐÔ THỊ KINH BẮC-CTCP TẠI THÀNH PHỐ HỒ CHÍ MINH</t>
        </is>
      </c>
      <c r="E10423" t="inlineStr">
        <is>
          <t>Lương:15 Tr - 20 Tr VND</t>
        </is>
      </c>
      <c r="F10423" t="inlineStr">
        <is>
          <t>Hồ Chí Minh</t>
        </is>
      </c>
      <c r="G10423" t="inlineStr">
        <is>
          <t>30-03-2026</t>
        </is>
      </c>
      <c r="H10423" t="inlineStr">
        <is>
          <t>30/03/2026</t>
        </is>
      </c>
      <c r="I10423" t="inlineStr">
        <is>
          <t>17/03/2026</t>
        </is>
      </c>
      <c r="J10423" t="inlineStr">
        <is>
          <t>Luật / Pháp lý</t>
        </is>
      </c>
      <c r="K10423" t="inlineStr">
        <is>
          <t>2 - 5 Năm</t>
        </is>
      </c>
      <c r="L10423" s="8">
        <f>HYPERLINK("https://careerviet.vn/vi/tim-viec-lam/project-legal-executive.35C6A0D7.html","Xem chi tiết")</f>
        <v/>
      </c>
    </row>
    <row r="10424">
      <c r="B10424" s="9" t="n">
        <v>10422</v>
      </c>
      <c r="C10424" s="10" t="inlineStr">
        <is>
          <t>Thủ kho</t>
        </is>
      </c>
      <c r="D10424" s="10" t="inlineStr">
        <is>
          <t>Công ty cổ phần Alumax Việt Nam</t>
        </is>
      </c>
      <c r="E10424" s="10" t="inlineStr">
        <is>
          <t>Lương:8 Tr - 14 Tr VND</t>
        </is>
      </c>
      <c r="F10424" s="10" t="inlineStr">
        <is>
          <t>Hà Nam</t>
        </is>
      </c>
      <c r="G10424" s="10" t="inlineStr">
        <is>
          <t>13-03-2026</t>
        </is>
      </c>
      <c r="H10424" s="10" t="inlineStr">
        <is>
          <t>16/03/2026</t>
        </is>
      </c>
      <c r="I10424" s="10" t="inlineStr">
        <is>
          <t>17/03/2026</t>
        </is>
      </c>
      <c r="J10424" s="10" t="inlineStr">
        <is>
          <t>Sản xuất / Vận hành sản xuất, Vận chuyển / Giao nhận / Kho vận</t>
        </is>
      </c>
      <c r="K10424" s="10" t="inlineStr">
        <is>
          <t>1 - 2 Năm</t>
        </is>
      </c>
      <c r="L10424" s="11">
        <f>HYPERLINK("https://careerviet.vn/vi/tim-viec-lam/thu-kho.35C6A114.html","Xem chi tiết")</f>
        <v/>
      </c>
      <c r="M10424" s="10" t="n"/>
    </row>
    <row r="10425">
      <c r="B10425" s="7" t="n">
        <v>10423</v>
      </c>
      <c r="C10425" t="inlineStr">
        <is>
          <t>NHÂN VIÊN KỸ THUẬT MÁY CNC</t>
        </is>
      </c>
      <c r="D10425" t="inlineStr">
        <is>
          <t>Công ty TNHH TANEYA</t>
        </is>
      </c>
      <c r="E10425" t="inlineStr">
        <is>
          <t>Lương:Trên 12 Tr VND</t>
        </is>
      </c>
      <c r="F10425" t="inlineStr">
        <is>
          <t>Bắc Giang</t>
        </is>
      </c>
      <c r="G10425" t="inlineStr">
        <is>
          <t>13-03-2026</t>
        </is>
      </c>
      <c r="H10425" t="inlineStr">
        <is>
          <t>18/05/2025</t>
        </is>
      </c>
      <c r="I10425" t="inlineStr">
        <is>
          <t>17/03/2026</t>
        </is>
      </c>
      <c r="J10425" t="inlineStr">
        <is>
          <t>Sản xuất / Vận hành sản xuất</t>
        </is>
      </c>
      <c r="K10425" t="inlineStr">
        <is>
          <t>1 - 2 Năm</t>
        </is>
      </c>
      <c r="L10425" s="8">
        <f>HYPERLINK("https://careerviet.vn/vi/tim-viec-lam/nhan-vien-ky-thuat-may-cnc.35C3F4FE.html","Xem chi tiết")</f>
        <v/>
      </c>
    </row>
    <row r="10426">
      <c r="B10426" s="9" t="n">
        <v>10424</v>
      </c>
      <c r="C10426" s="10" t="inlineStr">
        <is>
          <t>Trưởng phòng Hành chính Nhân sự kiêm trợ lý TGĐ</t>
        </is>
      </c>
      <c r="D10426" s="10" t="inlineStr">
        <is>
          <t>CÔNG TY CỔ PHẦN PHÁT TRIỂN CƠ ĐIỆN LẠNH HOÀNG ĐẠT</t>
        </is>
      </c>
      <c r="E10426" s="10" t="inlineStr">
        <is>
          <t>Lương:30 Tr - 40 Tr VND</t>
        </is>
      </c>
      <c r="F10426" s="10" t="inlineStr">
        <is>
          <t>Hà Nội</t>
        </is>
      </c>
      <c r="G10426" s="10" t="inlineStr">
        <is>
          <t>31-03-2026</t>
        </is>
      </c>
      <c r="H10426" s="10" t="inlineStr">
        <is>
          <t>31/03/2026</t>
        </is>
      </c>
      <c r="I10426" s="10" t="inlineStr">
        <is>
          <t>17/03/2026</t>
        </is>
      </c>
      <c r="J10426" s="10" t="inlineStr">
        <is>
          <t>Nhân sự</t>
        </is>
      </c>
      <c r="K10426" s="10" t="inlineStr">
        <is>
          <t>3 - 5 Năm</t>
        </is>
      </c>
      <c r="L10426" s="11">
        <f>HYPERLINK("https://careerviet.vn/vi/tim-viec-lam/truong-phong-hanh-chinh-nhan-su-kiem-tro-ly-tgd.35C6A262.html","Xem chi tiết")</f>
        <v/>
      </c>
      <c r="M10426" s="10" t="n"/>
    </row>
    <row r="10427">
      <c r="B10427" s="7" t="n">
        <v>10425</v>
      </c>
      <c r="C10427" t="inlineStr">
        <is>
          <t>Kế toán Tổng hợp</t>
        </is>
      </c>
      <c r="D10427" t="inlineStr">
        <is>
          <t>CÔNG TY TNHH THƯƠNG MẠI TÙNG MỸ</t>
        </is>
      </c>
      <c r="E10427" t="inlineStr">
        <is>
          <t>Lương:Cạnh tranh</t>
        </is>
      </c>
      <c r="F10427" t="inlineStr">
        <is>
          <t>Hồ Chí Minh</t>
        </is>
      </c>
      <c r="G10427" t="inlineStr">
        <is>
          <t>28-03-2026</t>
        </is>
      </c>
      <c r="H10427" t="inlineStr">
        <is>
          <t>28/03/2026</t>
        </is>
      </c>
      <c r="I10427" t="inlineStr">
        <is>
          <t>17/03/2026</t>
        </is>
      </c>
      <c r="J10427" t="inlineStr">
        <is>
          <t>Kế toán / Kiểm toán, Bất động sản</t>
        </is>
      </c>
      <c r="K10427" t="inlineStr">
        <is>
          <t>3 - 10 Năm</t>
        </is>
      </c>
      <c r="L10427" s="8">
        <f>HYPERLINK("https://careerviet.vn/vi/tim-viec-lam/ke-toan-tong-hop.35C6A230.html","Xem chi tiết")</f>
        <v/>
      </c>
    </row>
    <row r="10428">
      <c r="B10428" s="9" t="n">
        <v>10426</v>
      </c>
      <c r="C10428" s="10" t="inlineStr">
        <is>
          <t>Trưởng Nhóm Media</t>
        </is>
      </c>
      <c r="D10428" s="10" t="inlineStr">
        <is>
          <t>Công Ty CP XNK Hóa Chất &amp; Thiết Bị Kim Ngưu</t>
        </is>
      </c>
      <c r="E10428" s="10" t="inlineStr">
        <is>
          <t>Lương:Cạnh tranh</t>
        </is>
      </c>
      <c r="F10428" s="10" t="inlineStr">
        <is>
          <t>Hà Nội</t>
        </is>
      </c>
      <c r="G10428" s="10" t="inlineStr">
        <is>
          <t>30-03-2026</t>
        </is>
      </c>
      <c r="H10428" s="10" t="inlineStr">
        <is>
          <t>30/03/2026</t>
        </is>
      </c>
      <c r="I10428" s="10" t="inlineStr">
        <is>
          <t>17/03/2026</t>
        </is>
      </c>
      <c r="J10428" s="10" t="inlineStr">
        <is>
          <t>Tiếp thị / Marketing, Bán hàng / Kinh doanh, Tiếp thị trực tuyến</t>
        </is>
      </c>
      <c r="K10428" s="10" t="inlineStr">
        <is>
          <t>3 - 5 Năm</t>
        </is>
      </c>
      <c r="L10428" s="11">
        <f>HYPERLINK("https://careerviet.vn/vi/tim-viec-lam/truong-nhom-media.35C6A181.html","Xem chi tiết")</f>
        <v/>
      </c>
      <c r="M10428" s="10" t="n"/>
    </row>
    <row r="10429">
      <c r="B10429" s="7" t="n">
        <v>10427</v>
      </c>
      <c r="C10429" t="inlineStr">
        <is>
          <t>Nhân viên Facebook Ads - Google Ads</t>
        </is>
      </c>
      <c r="D10429" t="inlineStr">
        <is>
          <t>CÔNG TY TNHH BRIGHT MARKETING</t>
        </is>
      </c>
      <c r="E10429" t="inlineStr">
        <is>
          <t>Lương:12 Tr - 15 Tr VND</t>
        </is>
      </c>
      <c r="F10429" t="inlineStr">
        <is>
          <t>Hồ Chí Minh</t>
        </is>
      </c>
      <c r="G10429" t="inlineStr">
        <is>
          <t>03-04-2026</t>
        </is>
      </c>
      <c r="H10429" t="inlineStr">
        <is>
          <t>03/04/2026</t>
        </is>
      </c>
      <c r="I10429" t="inlineStr">
        <is>
          <t>17/03/2026</t>
        </is>
      </c>
      <c r="J10429" t="inlineStr">
        <is>
          <t>Tiếp thị / Marketing, Quảng cáo / Đối ngoại / Truyền Thông, Truyền hình / Báo chí / Biên tập</t>
        </is>
      </c>
      <c r="K10429" t="inlineStr">
        <is>
          <t>Trên 2 Năm</t>
        </is>
      </c>
      <c r="L10429" s="8">
        <f>HYPERLINK("https://careerviet.vn/vi/tim-viec-lam/nhan-vien-facebook-ads-google-ads.35C6A237.html","Xem chi tiết")</f>
        <v/>
      </c>
    </row>
    <row r="10430">
      <c r="B10430" s="9" t="n">
        <v>10428</v>
      </c>
      <c r="C10430" s="10" t="inlineStr">
        <is>
          <t>Giám Sát Vệ Sinh</t>
        </is>
      </c>
      <c r="D10430" s="10" t="inlineStr">
        <is>
          <t>CÔNG TY CỔ PHẦN CHẾ BIẾN THỰC PHẨM HOÀNG SƠN</t>
        </is>
      </c>
      <c r="E10430" s="10" t="inlineStr">
        <is>
          <t>Lương:Cạnh tranh</t>
        </is>
      </c>
      <c r="F10430" s="10" t="inlineStr">
        <is>
          <t>Bình Dương</t>
        </is>
      </c>
      <c r="G10430" s="10" t="inlineStr">
        <is>
          <t>31-03-2026</t>
        </is>
      </c>
      <c r="H10430" s="10" t="inlineStr">
        <is>
          <t>31/03/2026</t>
        </is>
      </c>
      <c r="I10430" s="10" t="inlineStr">
        <is>
          <t>17/03/2026</t>
        </is>
      </c>
      <c r="J10430" s="10" t="inlineStr">
        <is>
          <t>Môi trường, Sản xuất / Vận hành sản xuất, Hành chính / Thư ký</t>
        </is>
      </c>
      <c r="K10430" s="10" t="inlineStr">
        <is>
          <t>1 - 3 Năm</t>
        </is>
      </c>
      <c r="L10430" s="11">
        <f>HYPERLINK("https://careerviet.vn/vi/tim-viec-lam/giam-sat-ve-sinh.35C6A1C1.html","Xem chi tiết")</f>
        <v/>
      </c>
      <c r="M10430" s="10" t="n"/>
    </row>
    <row r="10431">
      <c r="B10431" s="7" t="n">
        <v>10429</v>
      </c>
      <c r="C10431" t="inlineStr">
        <is>
          <t>Thủ Kho Kiêm Cán Bộ An Toàn (HSE)</t>
        </is>
      </c>
      <c r="D10431" t="inlineStr">
        <is>
          <t>Anh Nguyen Co Ltd</t>
        </is>
      </c>
      <c r="E10431" t="inlineStr">
        <is>
          <t>Lương:10 Tr - 15 Tr VND</t>
        </is>
      </c>
      <c r="F10431" t="inlineStr">
        <is>
          <t>Khánh Hòa</t>
        </is>
      </c>
      <c r="G10431" t="inlineStr">
        <is>
          <t>07-04-2026</t>
        </is>
      </c>
      <c r="H10431" t="inlineStr">
        <is>
          <t>07/04/2026</t>
        </is>
      </c>
      <c r="I10431" t="inlineStr">
        <is>
          <t>17/03/2026</t>
        </is>
      </c>
      <c r="J10431" t="inlineStr">
        <is>
          <t>Hành chính / Thư ký, Vận chuyển / Giao nhận / Kho vận, An toàn lao động</t>
        </is>
      </c>
      <c r="K10431" t="inlineStr">
        <is>
          <t>1 - 2 Năm</t>
        </is>
      </c>
      <c r="L10431" s="8">
        <f>HYPERLINK("https://careerviet.vn/vi/tim-viec-lam/thu-kho-kiem-can-bo-an-toan-hse.35C6B5AF.html","Xem chi tiết")</f>
        <v/>
      </c>
    </row>
    <row r="10432">
      <c r="B10432" s="9" t="n">
        <v>10430</v>
      </c>
      <c r="C10432" s="10" t="inlineStr">
        <is>
          <t>Nhân Viên Trực Page Mảng Thẩm Mỹ</t>
        </is>
      </c>
      <c r="D10432" s="10" t="inlineStr">
        <is>
          <t>CÔNG TY TNHH THẨM MỸ QUỐC TẾ LINH ANH</t>
        </is>
      </c>
      <c r="E10432" s="10" t="inlineStr">
        <is>
          <t>Lương:12 Tr - 15 Tr VND</t>
        </is>
      </c>
      <c r="F10432" s="10" t="inlineStr">
        <is>
          <t>Hồ Chí Minh</t>
        </is>
      </c>
      <c r="G10432" s="10" t="inlineStr">
        <is>
          <t>08-05-2026</t>
        </is>
      </c>
      <c r="H10432" s="10" t="inlineStr">
        <is>
          <t>08/05/2026</t>
        </is>
      </c>
      <c r="I10432" s="10" t="inlineStr">
        <is>
          <t>17/03/2026</t>
        </is>
      </c>
      <c r="J10432" s="10" t="inlineStr">
        <is>
          <t>Tiếp thị trực tuyến</t>
        </is>
      </c>
      <c r="K10432" s="10" t="inlineStr">
        <is>
          <t>N/A</t>
        </is>
      </c>
      <c r="L10432" s="11">
        <f>HYPERLINK("https://careerviet.vn/vi/tim-viec-lam/nhan-vien-truc-page-mang-tham-my.35C6A133.html","Xem chi tiết")</f>
        <v/>
      </c>
      <c r="M10432" s="10" t="n"/>
    </row>
    <row r="10433">
      <c r="B10433" s="7" t="n">
        <v>10431</v>
      </c>
      <c r="C10433" t="inlineStr">
        <is>
          <t>Chuyên viên Kiểm soát nội bộ</t>
        </is>
      </c>
      <c r="D10433" t="inlineStr">
        <is>
          <t>Công Ty CP XNK Hóa Chất &amp; Thiết Bị Kim Ngưu</t>
        </is>
      </c>
      <c r="E10433" t="inlineStr">
        <is>
          <t>Lương:Cạnh tranh</t>
        </is>
      </c>
      <c r="F10433" t="inlineStr">
        <is>
          <t>Hà Nội</t>
        </is>
      </c>
      <c r="G10433" t="inlineStr">
        <is>
          <t>30-03-2026</t>
        </is>
      </c>
      <c r="H10433" t="inlineStr">
        <is>
          <t>30/03/2026</t>
        </is>
      </c>
      <c r="I10433" t="inlineStr">
        <is>
          <t>17/03/2026</t>
        </is>
      </c>
      <c r="J10433" t="inlineStr">
        <is>
          <t>Kế toán / Kiểm toán</t>
        </is>
      </c>
      <c r="K10433" t="inlineStr">
        <is>
          <t>2 - 5 Năm</t>
        </is>
      </c>
      <c r="L10433" s="8">
        <f>HYPERLINK("https://careerviet.vn/vi/tim-viec-lam/chuyen-vien-kiem-soat-noi-bo.35C6A18E.html","Xem chi tiết")</f>
        <v/>
      </c>
    </row>
    <row r="10434">
      <c r="B10434" s="9" t="n">
        <v>10432</v>
      </c>
      <c r="C10434" s="10" t="inlineStr">
        <is>
          <t>Giám sát kỹ thuật hiện trường (tuyển sinh viên mới ra trường hoặc đang trong thời gian thực tập)</t>
        </is>
      </c>
      <c r="D10434" s="10" t="inlineStr">
        <is>
          <t>Công ty cổ phần Alumax Việt Nam</t>
        </is>
      </c>
      <c r="E10434" s="10" t="inlineStr">
        <is>
          <t>Lương:7 Tr - 13 Tr VND</t>
        </is>
      </c>
      <c r="F10434" s="10" t="inlineStr">
        <is>
          <t>Hà Nội</t>
        </is>
      </c>
      <c r="G10434" s="10" t="inlineStr">
        <is>
          <t>13-03-2026</t>
        </is>
      </c>
      <c r="H10434" s="10" t="inlineStr">
        <is>
          <t>16/03/2026</t>
        </is>
      </c>
      <c r="I10434" s="10" t="inlineStr">
        <is>
          <t>17/03/2026</t>
        </is>
      </c>
      <c r="J10434" s="10" t="inlineStr">
        <is>
          <t>Xây dựng, Kiến trúc, Bán Hàng Kỹ Thuật</t>
        </is>
      </c>
      <c r="K10434" s="10" t="inlineStr">
        <is>
          <t>Chưa có kinh nghiệm</t>
        </is>
      </c>
      <c r="L10434" s="11">
        <f>HYPERLINK("https://careerviet.vn/vi/tim-viec-lam/giam-sat-ky-thuat-hien-truong-tuyen-sinh-vien-moi-ra-truong-hoac-dang-trong-thoi-gian-thuc-tap.35C6A113.html","Xem chi tiết")</f>
        <v/>
      </c>
      <c r="M10434" s="10" t="n"/>
    </row>
    <row r="10435">
      <c r="B10435" s="7" t="n">
        <v>10433</v>
      </c>
      <c r="C10435" t="inlineStr">
        <is>
          <t>Kiến Trúc Sư Quy Hoạch</t>
        </is>
      </c>
      <c r="D10435" t="inlineStr">
        <is>
          <t>CÔNG TY CỔ PHẦN ĐẦU TƯ THIÊN ÂN</t>
        </is>
      </c>
      <c r="E10435" t="inlineStr">
        <is>
          <t>Lương:20 Tr - 30 Tr VND</t>
        </is>
      </c>
      <c r="F10435" t="inlineStr">
        <is>
          <t>Hà Nội</t>
        </is>
      </c>
      <c r="G10435" t="inlineStr">
        <is>
          <t>31-03-2026</t>
        </is>
      </c>
      <c r="H10435" t="inlineStr">
        <is>
          <t>31/03/2026</t>
        </is>
      </c>
      <c r="I10435" t="inlineStr">
        <is>
          <t>17/03/2026</t>
        </is>
      </c>
      <c r="J10435" t="inlineStr">
        <is>
          <t>Kiến trúc, Xây dựng</t>
        </is>
      </c>
      <c r="K10435" t="inlineStr">
        <is>
          <t>Trên 5 Năm</t>
        </is>
      </c>
      <c r="L10435" s="8">
        <f>HYPERLINK("https://careerviet.vn/vi/tim-viec-lam/kien-truc-su-quy-hoach.35C6A24A.html","Xem chi tiết")</f>
        <v/>
      </c>
    </row>
    <row r="10436">
      <c r="B10436" s="9" t="n">
        <v>10434</v>
      </c>
      <c r="C10436" s="10" t="inlineStr">
        <is>
          <t>Nhân viên Content Marketing</t>
        </is>
      </c>
      <c r="D10436" s="10" t="inlineStr">
        <is>
          <t>BỆNH VIỆN ĐA KHOA PHƯƠNG ĐÔNG</t>
        </is>
      </c>
      <c r="E10436" s="10" t="inlineStr">
        <is>
          <t>Lương:8 Tr - 12 Tr VND</t>
        </is>
      </c>
      <c r="F10436" s="10" t="inlineStr">
        <is>
          <t>Hà Nội</t>
        </is>
      </c>
      <c r="G10436" s="10" t="inlineStr">
        <is>
          <t>31-05-2026</t>
        </is>
      </c>
      <c r="H10436" s="10" t="inlineStr">
        <is>
          <t>31/05/2026</t>
        </is>
      </c>
      <c r="I10436" s="10" t="inlineStr">
        <is>
          <t>17/03/2026</t>
        </is>
      </c>
      <c r="J10436" s="10" t="inlineStr">
        <is>
          <t>Tiếp thị / Marketing, Y tế / Chăm sóc sức khỏe / Thẩm mỹ / Làm đẹp</t>
        </is>
      </c>
      <c r="K10436" s="10" t="inlineStr">
        <is>
          <t>1 - 2 Năm</t>
        </is>
      </c>
      <c r="L10436" s="11">
        <f>HYPERLINK("https://careerviet.vn/vi/tim-viec-lam/nhan-vien-content-marketing.35C6A226.html","Xem chi tiết")</f>
        <v/>
      </c>
      <c r="M10436" s="10" t="n"/>
    </row>
    <row r="10437">
      <c r="B10437" s="7" t="n">
        <v>10435</v>
      </c>
      <c r="C10437" t="inlineStr">
        <is>
          <t>Tài xế lái xe</t>
        </is>
      </c>
      <c r="D10437" t="inlineStr">
        <is>
          <t>Công Ty TNHH Datafa</t>
        </is>
      </c>
      <c r="E10437" t="inlineStr">
        <is>
          <t>Lương:8 Tr - 10 Tr VND</t>
        </is>
      </c>
      <c r="F10437" t="inlineStr">
        <is>
          <t>Bình Dương</t>
        </is>
      </c>
      <c r="G10437" t="inlineStr">
        <is>
          <t>13-03-2026</t>
        </is>
      </c>
      <c r="H10437" t="inlineStr">
        <is>
          <t>17/12/2024</t>
        </is>
      </c>
      <c r="I10437" t="inlineStr">
        <is>
          <t>17/03/2026</t>
        </is>
      </c>
      <c r="J10437" t="inlineStr">
        <is>
          <t>Thực phẩm &amp; Đồ uống</t>
        </is>
      </c>
      <c r="K10437" t="inlineStr">
        <is>
          <t>Chưa có kinh nghiệm</t>
        </is>
      </c>
      <c r="L10437" s="8">
        <f>HYPERLINK("https://careerviet.vn/vi/tim-viec-lam/tai-xe-lai-xe.35C27434.html","Xem chi tiết")</f>
        <v/>
      </c>
    </row>
    <row r="10438">
      <c r="B10438" s="9" t="n">
        <v>10436</v>
      </c>
      <c r="C10438" s="10" t="inlineStr">
        <is>
          <t>Brand Manager</t>
        </is>
      </c>
      <c r="D10438" s="10" t="inlineStr">
        <is>
          <t>CÔNG TY CỔ PHẦN ULTD THỊNH PHÁT</t>
        </is>
      </c>
      <c r="E10438" s="10" t="inlineStr">
        <is>
          <t>Lương:18 Tr - 25 Tr VND</t>
        </is>
      </c>
      <c r="F10438" s="10" t="inlineStr">
        <is>
          <t>Hà Nội</t>
        </is>
      </c>
      <c r="G10438" s="10" t="inlineStr">
        <is>
          <t>07-04-2026</t>
        </is>
      </c>
      <c r="H10438" s="10" t="inlineStr">
        <is>
          <t>07/04/2026</t>
        </is>
      </c>
      <c r="I10438" s="10" t="inlineStr">
        <is>
          <t>17/03/2026</t>
        </is>
      </c>
      <c r="J10438" s="10" t="inlineStr">
        <is>
          <t>Tiếp thị / Marketing, Bán lẻ / Bán sỉ, Dệt may / Da giày / Thời trang</t>
        </is>
      </c>
      <c r="K10438" s="10" t="inlineStr">
        <is>
          <t>2 - 3 Năm</t>
        </is>
      </c>
      <c r="L10438" s="11">
        <f>HYPERLINK("https://careerviet.vn/vi/tim-viec-lam/brand-manager.35C6B5E6.html","Xem chi tiết")</f>
        <v/>
      </c>
      <c r="M10438" s="10" t="n"/>
    </row>
    <row r="10439">
      <c r="B10439" s="7" t="n">
        <v>10437</v>
      </c>
      <c r="C10439" t="inlineStr">
        <is>
          <t>Kế toán tổng hợp</t>
        </is>
      </c>
      <c r="D10439" t="inlineStr">
        <is>
          <t>Bảo mật</t>
        </is>
      </c>
      <c r="E10439" t="inlineStr">
        <is>
          <t>Lương:Cạnh tranh</t>
        </is>
      </c>
      <c r="F10439" t="inlineStr">
        <is>
          <t>Hồ Chí Minh</t>
        </is>
      </c>
      <c r="G10439" t="inlineStr">
        <is>
          <t>28-03-2026</t>
        </is>
      </c>
      <c r="H10439" t="inlineStr">
        <is>
          <t>28/03/2026</t>
        </is>
      </c>
      <c r="I10439" t="inlineStr">
        <is>
          <t>17/03/2026</t>
        </is>
      </c>
      <c r="J10439" t="inlineStr">
        <is>
          <t>Kế toán / Kiểm toán, Bất động sản, Xây dựng</t>
        </is>
      </c>
      <c r="K10439" t="inlineStr">
        <is>
          <t>10 - 15 Năm</t>
        </is>
      </c>
      <c r="L10439" s="8">
        <f>HYPERLINK("https://careerviet.vn/vi/tim-viec-lam/ke-toan-tong-hop.35C6A1AE.html","Xem chi tiết")</f>
        <v/>
      </c>
    </row>
    <row r="10440">
      <c r="B10440" s="9" t="n">
        <v>10438</v>
      </c>
      <c r="C10440" s="10" t="inlineStr">
        <is>
          <t>Chuyên viên Pháp chế</t>
        </is>
      </c>
      <c r="D10440" s="10" t="inlineStr">
        <is>
          <t>Anh Nguyen Co Ltd</t>
        </is>
      </c>
      <c r="E10440" s="10" t="inlineStr">
        <is>
          <t>Lương:12 Tr - 18 Tr VND</t>
        </is>
      </c>
      <c r="F10440" s="10" t="inlineStr">
        <is>
          <t>Hà Nội</t>
        </is>
      </c>
      <c r="G10440" s="10" t="inlineStr">
        <is>
          <t>13-03-2026</t>
        </is>
      </c>
      <c r="H10440" s="10" t="inlineStr">
        <is>
          <t>30/07/2023</t>
        </is>
      </c>
      <c r="I10440" s="10" t="inlineStr">
        <is>
          <t>17/03/2026</t>
        </is>
      </c>
      <c r="J10440" s="10" t="inlineStr">
        <is>
          <t>Luật / Pháp lý, Hành chính / Thư ký</t>
        </is>
      </c>
      <c r="K10440" s="10" t="inlineStr">
        <is>
          <t>5 - 6 Năm</t>
        </is>
      </c>
      <c r="L10440" s="11">
        <f>HYPERLINK("https://careerviet.vn/vi/tim-viec-lam/chuyen-vien-phap-che.35BD2D71.html","Xem chi tiết")</f>
        <v/>
      </c>
      <c r="M10440" s="10" t="n"/>
    </row>
    <row r="10441">
      <c r="B10441" s="7" t="n">
        <v>10439</v>
      </c>
      <c r="C10441" t="inlineStr">
        <is>
          <t>Nhân viên Kế hoạch-Tổng hợp</t>
        </is>
      </c>
      <c r="D10441" t="inlineStr">
        <is>
          <t>CÔNG TY CỔ PHẦN PHÁT TRIỂN HI-TECH VIỆT NAM</t>
        </is>
      </c>
      <c r="E10441" t="inlineStr">
        <is>
          <t>Lương:15 Tr - 20 Tr VND</t>
        </is>
      </c>
      <c r="F10441" t="inlineStr">
        <is>
          <t>Hà Nội</t>
        </is>
      </c>
      <c r="G10441" t="inlineStr">
        <is>
          <t>07-04-2026</t>
        </is>
      </c>
      <c r="H10441" t="inlineStr">
        <is>
          <t>07/04/2026</t>
        </is>
      </c>
      <c r="I10441" t="inlineStr">
        <is>
          <t>17/03/2026</t>
        </is>
      </c>
      <c r="J10441" t="inlineStr">
        <is>
          <t>Hành chính / Thư ký, Tài chính / Đầu tư, Quản lý điều hành</t>
        </is>
      </c>
      <c r="K10441" t="inlineStr">
        <is>
          <t>Trên 1 Năm</t>
        </is>
      </c>
      <c r="L10441" s="8">
        <f>HYPERLINK("https://careerviet.vn/vi/tim-viec-lam/nhan-vien-ke-hoach-tong-hop.35C6B5C2.html","Xem chi tiết")</f>
        <v/>
      </c>
    </row>
    <row r="10442">
      <c r="B10442" s="9" t="n">
        <v>10440</v>
      </c>
      <c r="C10442" s="10" t="inlineStr">
        <is>
          <t>Account Executive (Social/Influencer)</t>
        </is>
      </c>
      <c r="D10442" s="10" t="inlineStr">
        <is>
          <t>CÔNG TY TNHH THE MIRACLE VIỆT NAM</t>
        </is>
      </c>
      <c r="E10442" s="10" t="inlineStr">
        <is>
          <t>Lương:Cạnh tranh</t>
        </is>
      </c>
      <c r="F10442" s="10" t="inlineStr">
        <is>
          <t>Hồ Chí Minh</t>
        </is>
      </c>
      <c r="G10442" s="10" t="inlineStr">
        <is>
          <t>06-04-2026</t>
        </is>
      </c>
      <c r="H10442" s="10" t="inlineStr">
        <is>
          <t>06/04/2026</t>
        </is>
      </c>
      <c r="I10442" s="10" t="inlineStr">
        <is>
          <t>17/03/2026</t>
        </is>
      </c>
      <c r="J10442" s="10" t="inlineStr">
        <is>
          <t>Tiếp thị / Marketing</t>
        </is>
      </c>
      <c r="K10442" s="10" t="inlineStr">
        <is>
          <t>1 - 3 Năm</t>
        </is>
      </c>
      <c r="L10442" s="11">
        <f>HYPERLINK("https://careerviet.vn/vi/tim-viec-lam/account-executive-social-influencer.35C6B63B.html","Xem chi tiết")</f>
        <v/>
      </c>
      <c r="M10442" s="10" t="n"/>
    </row>
    <row r="10443">
      <c r="B10443" s="7" t="n">
        <v>10441</v>
      </c>
      <c r="C10443" t="inlineStr">
        <is>
          <t>Nhân Viên Kế Toán tại Hà Nội - TUYỂN GẤP, ĐI LÀM NGAY</t>
        </is>
      </c>
      <c r="D10443" t="inlineStr">
        <is>
          <t>CÔNG TY TNHH XUẤT NHẬP KHẨU RUTOP VIỆT NAM - Thương Hiệu Toptotoes</t>
        </is>
      </c>
      <c r="E10443" t="inlineStr">
        <is>
          <t>Lương:9 Tr - 12 Tr VND</t>
        </is>
      </c>
      <c r="F10443" t="inlineStr">
        <is>
          <t>Hà Nội</t>
        </is>
      </c>
      <c r="G10443" t="inlineStr">
        <is>
          <t>04-04-2026</t>
        </is>
      </c>
      <c r="H10443" t="inlineStr">
        <is>
          <t>04/04/2026</t>
        </is>
      </c>
      <c r="I10443" t="inlineStr">
        <is>
          <t>17/03/2026</t>
        </is>
      </c>
      <c r="J10443" t="inlineStr">
        <is>
          <t>Bán hàng / Kinh doanh, Dược phẩm/ Hóa Mỹ Phẩm, Kế toán / Kiểm toán</t>
        </is>
      </c>
      <c r="K10443" t="inlineStr">
        <is>
          <t>1 - 2 Năm</t>
        </is>
      </c>
      <c r="L10443" s="8">
        <f>HYPERLINK("https://careerviet.vn/vi/tim-viec-lam/nhan-vien-ke-toan-tai-ha-noi-tuyen-gap-di-lam-ngay.35C6B5F3.html","Xem chi tiết")</f>
        <v/>
      </c>
    </row>
    <row r="10444">
      <c r="B10444" s="9" t="n">
        <v>10442</v>
      </c>
      <c r="C10444" s="10" t="inlineStr">
        <is>
          <t>Nhân viên Bảo hành bảo trì thiết bị gia dụng</t>
        </is>
      </c>
      <c r="D10444" s="10" t="inlineStr">
        <is>
          <t>Công Ty Cổ Phần Quốc Tế Sơn Hà</t>
        </is>
      </c>
      <c r="E10444" s="10" t="inlineStr">
        <is>
          <t>Lương:8 Tr - 15 Tr VND</t>
        </is>
      </c>
      <c r="F10444" s="10" t="inlineStr">
        <is>
          <t>Hà NộiHải DươngThái Bình</t>
        </is>
      </c>
      <c r="G10444" s="10" t="inlineStr">
        <is>
          <t>07-04-2026</t>
        </is>
      </c>
      <c r="H10444" s="10" t="inlineStr">
        <is>
          <t>07/04/2026</t>
        </is>
      </c>
      <c r="I10444" s="10" t="inlineStr">
        <is>
          <t>17/03/2026</t>
        </is>
      </c>
      <c r="J10444" s="10" t="inlineStr">
        <is>
          <t>Hàng gia dụng / Chăm sóc cá nhân, Cơ khí / Ô tô / Tự động hóa, Bảo trì / Sửa chữa</t>
        </is>
      </c>
      <c r="K10444" s="10" t="inlineStr">
        <is>
          <t>1 - 2 Năm</t>
        </is>
      </c>
      <c r="L10444" s="11">
        <f>HYPERLINK("https://careerviet.vn/vi/tim-viec-lam/nhan-vien-bao-hanh-bao-tri-thiet-bi-gia-dung.35C6B64F.html","Xem chi tiết")</f>
        <v/>
      </c>
      <c r="M10444" s="10" t="n"/>
    </row>
    <row r="10445">
      <c r="B10445" s="7" t="n">
        <v>10443</v>
      </c>
      <c r="C10445" t="inlineStr">
        <is>
          <t>Kỹ sư Bảo Trì</t>
        </is>
      </c>
      <c r="D10445" t="inlineStr">
        <is>
          <t>CÔNG TY CỔ PHẦN IQ-LIFE</t>
        </is>
      </c>
      <c r="E10445" t="inlineStr">
        <is>
          <t>Lương:15 Tr - 25 Tr VND</t>
        </is>
      </c>
      <c r="F10445" t="inlineStr">
        <is>
          <t>Long An</t>
        </is>
      </c>
      <c r="G10445" t="inlineStr">
        <is>
          <t>12-04-2026</t>
        </is>
      </c>
      <c r="H10445" t="inlineStr">
        <is>
          <t>12/04/2026</t>
        </is>
      </c>
      <c r="I10445" t="inlineStr">
        <is>
          <t>17/03/2026</t>
        </is>
      </c>
      <c r="J10445" t="inlineStr">
        <is>
          <t>Cơ khí / Ô tô / Tự động hóa, Điện / Điện tử / Điện lạnh / Điện công nghiệp</t>
        </is>
      </c>
      <c r="K10445" t="inlineStr">
        <is>
          <t>2 - 5 Năm</t>
        </is>
      </c>
      <c r="L10445" s="8">
        <f>HYPERLINK("https://careerviet.vn/vi/tim-viec-lam/ky-su-bao-tri.35C6875E.html","Xem chi tiết")</f>
        <v/>
      </c>
    </row>
    <row r="10446">
      <c r="B10446" s="9" t="n">
        <v>10444</v>
      </c>
      <c r="C10446" s="10" t="inlineStr">
        <is>
          <t>Sale Online Manager</t>
        </is>
      </c>
      <c r="D10446" s="10" t="inlineStr">
        <is>
          <t>Công ty Cổ phần ĐẠI ĐỒNG TIẾN</t>
        </is>
      </c>
      <c r="E10446" s="10" t="inlineStr">
        <is>
          <t>Lương:Cạnh tranh</t>
        </is>
      </c>
      <c r="F10446" s="10" t="inlineStr">
        <is>
          <t>Hồ Chí Minh</t>
        </is>
      </c>
      <c r="G10446" s="10" t="inlineStr">
        <is>
          <t>06-04-2026</t>
        </is>
      </c>
      <c r="H10446" s="10" t="inlineStr">
        <is>
          <t>06/04/2026</t>
        </is>
      </c>
      <c r="I10446" s="10" t="inlineStr">
        <is>
          <t>17/03/2026</t>
        </is>
      </c>
      <c r="J10446" s="10" t="inlineStr">
        <is>
          <t>Tiếp thị / Marketing, Tiếp thị trực tuyến, Thương mại điện tử</t>
        </is>
      </c>
      <c r="K10446" s="10" t="inlineStr">
        <is>
          <t>3 - 5 Năm</t>
        </is>
      </c>
      <c r="L10446" s="11">
        <f>HYPERLINK("https://careerviet.vn/vi/tim-viec-lam/sale-online-manager.35C6B614.html","Xem chi tiết")</f>
        <v/>
      </c>
      <c r="M10446" s="10" t="n"/>
    </row>
    <row r="10447">
      <c r="B10447" s="7" t="n">
        <v>10445</v>
      </c>
      <c r="C10447" t="inlineStr">
        <is>
          <t>Senior C&amp;B Executive</t>
        </is>
      </c>
      <c r="D10447" t="inlineStr">
        <is>
          <t>HR Vietnam’s ESS Client</t>
        </is>
      </c>
      <c r="E10447" t="inlineStr">
        <is>
          <t>Lương:Cạnh tranh</t>
        </is>
      </c>
      <c r="F10447" t="inlineStr">
        <is>
          <t>Hồ Chí Minh</t>
        </is>
      </c>
      <c r="G10447" t="inlineStr">
        <is>
          <t>09-04-2026</t>
        </is>
      </c>
      <c r="H10447" t="inlineStr">
        <is>
          <t>09/04/2026</t>
        </is>
      </c>
      <c r="I10447" t="inlineStr">
        <is>
          <t>17/03/2026</t>
        </is>
      </c>
      <c r="J10447" t="inlineStr">
        <is>
          <t>Kế toán / Kiểm toán, Nhân sự</t>
        </is>
      </c>
      <c r="K10447" t="inlineStr">
        <is>
          <t>5 - 15 Năm</t>
        </is>
      </c>
      <c r="L10447" s="8">
        <f>HYPERLINK("https://careerviet.vn/vi/tim-viec-lam/senior-c-b-executive.35C6B641.html","Xem chi tiết")</f>
        <v/>
      </c>
    </row>
    <row r="10448">
      <c r="B10448" s="9" t="n">
        <v>10446</v>
      </c>
      <c r="C10448" s="10" t="inlineStr">
        <is>
          <t>Nhân viên chăm sóc khách hàng</t>
        </is>
      </c>
      <c r="D10448" s="10" t="inlineStr">
        <is>
          <t>Công ty Cổ phần TP Solar</t>
        </is>
      </c>
      <c r="E10448" s="10" t="inlineStr">
        <is>
          <t>Lương:10 Tr - 12 Tr VND</t>
        </is>
      </c>
      <c r="F10448" s="10" t="inlineStr">
        <is>
          <t>Hà Nội</t>
        </is>
      </c>
      <c r="G10448" s="10" t="inlineStr">
        <is>
          <t>31-03-2026</t>
        </is>
      </c>
      <c r="H10448" s="10" t="inlineStr">
        <is>
          <t>31/03/2026</t>
        </is>
      </c>
      <c r="I10448" s="10" t="inlineStr">
        <is>
          <t>17/03/2026</t>
        </is>
      </c>
      <c r="J10448" s="10" t="inlineStr">
        <is>
          <t>Bán lẻ / Bán sỉ, Tiếp thị trực tuyến, Bán hàng / Kinh doanh</t>
        </is>
      </c>
      <c r="K10448" s="10" t="inlineStr">
        <is>
          <t>Chưa có kinh nghiệm</t>
        </is>
      </c>
      <c r="L10448" s="11">
        <f>HYPERLINK("https://careerviet.vn/vi/tim-viec-lam/nhan-vien-cham-soc-khach-hang.35C6B65A.html","Xem chi tiết")</f>
        <v/>
      </c>
      <c r="M10448" s="10" t="n"/>
    </row>
    <row r="10449">
      <c r="B10449" s="7" t="n">
        <v>10447</v>
      </c>
      <c r="C10449" t="inlineStr">
        <is>
          <t>Nhân viên QA Hồ sơ/Thẩm định - Ngành dược (Làm việc tại Củ Chi- Tp. HCM)</t>
        </is>
      </c>
      <c r="D10449" t="inlineStr">
        <is>
          <t>Công ty TNHH Bình Việt Đức (BIVID)</t>
        </is>
      </c>
      <c r="E10449" t="inlineStr">
        <is>
          <t>Lương:Cạnh tranh</t>
        </is>
      </c>
      <c r="F10449" t="inlineStr">
        <is>
          <t>Hồ Chí Minh</t>
        </is>
      </c>
      <c r="G10449" t="inlineStr">
        <is>
          <t>06-04-2026</t>
        </is>
      </c>
      <c r="H10449" t="inlineStr">
        <is>
          <t>06/04/2026</t>
        </is>
      </c>
      <c r="I10449" t="inlineStr">
        <is>
          <t>17/03/2026</t>
        </is>
      </c>
      <c r="J10449" t="inlineStr">
        <is>
          <t>Dược phẩm/ Hóa Mỹ Phẩm, Sản xuất / Vận hành sản xuất, Quản lý chất lượng (QA/QC)</t>
        </is>
      </c>
      <c r="K10449" t="inlineStr">
        <is>
          <t>2 - 10 Năm</t>
        </is>
      </c>
      <c r="L10449" s="8">
        <f>HYPERLINK("https://careerviet.vn/vi/tim-viec-lam/nhan-vien-qa-ho-so-tham-dinh-nganh-duoc-lam-viec-tai-cu-chi-tp-hcm.35C6B615.html","Xem chi tiết")</f>
        <v/>
      </c>
    </row>
    <row r="10450">
      <c r="B10450" s="9" t="n">
        <v>10448</v>
      </c>
      <c r="C10450" s="10" t="inlineStr">
        <is>
          <t>KẾ TOÁN TRƯỞNG BIẾT TIẾNG TRUNG</t>
        </is>
      </c>
      <c r="D10450" s="10" t="inlineStr">
        <is>
          <t>Công Ty TNHH Deli Management Consulting</t>
        </is>
      </c>
      <c r="E10450" s="10" t="inlineStr">
        <is>
          <t>Lương:20 Tr - 30 Tr VND</t>
        </is>
      </c>
      <c r="F10450" s="10" t="inlineStr">
        <is>
          <t>Bà Rịa - Vũng Tàu</t>
        </is>
      </c>
      <c r="G10450" s="10" t="inlineStr">
        <is>
          <t>12-04-2026</t>
        </is>
      </c>
      <c r="H10450" s="10" t="inlineStr">
        <is>
          <t>12/04/2026</t>
        </is>
      </c>
      <c r="I10450" s="10" t="inlineStr">
        <is>
          <t>17/03/2026</t>
        </is>
      </c>
      <c r="J10450" s="10" t="inlineStr">
        <is>
          <t>: Kim loại gia dụngĐịa điểm làm việc: KCN Mỹ Xuân A, Vũng Tàu (Cạnh Long Thành, Đồng Nai)Số lượng: 1 Người</t>
        </is>
      </c>
      <c r="K10450" s="10" t="inlineStr">
        <is>
          <t>Trên 3 Năm</t>
        </is>
      </c>
      <c r="L10450" s="11">
        <f>HYPERLINK("https://careerviet.vn/vi/tim-viec-lam/ke-toan-truong-biet-tieng-trung.35C6863E.html","Xem chi tiết")</f>
        <v/>
      </c>
      <c r="M10450" s="10" t="n"/>
    </row>
    <row r="10451">
      <c r="B10451" s="7" t="n">
        <v>10449</v>
      </c>
      <c r="C10451" t="inlineStr">
        <is>
          <t>Nhân Viên Kinh Doanh Phát triển  Giao Hàng Tận Nhà - Biên Hòa</t>
        </is>
      </c>
      <c r="D10451" t="inlineStr">
        <is>
          <t>Cty TNHH Yakult Việt Nam</t>
        </is>
      </c>
      <c r="E10451" t="inlineStr">
        <is>
          <t>Lương:11 Tr - 15 Tr VND</t>
        </is>
      </c>
      <c r="F10451" t="inlineStr">
        <is>
          <t>Đồng Nai</t>
        </is>
      </c>
      <c r="G10451" t="inlineStr">
        <is>
          <t>07-04-2026</t>
        </is>
      </c>
      <c r="H10451" t="inlineStr">
        <is>
          <t>07/04/2026</t>
        </is>
      </c>
      <c r="I10451" t="inlineStr">
        <is>
          <t>17/03/2026</t>
        </is>
      </c>
      <c r="J10451" t="inlineStr">
        <is>
          <t>Tiếp thị / Marketing, Bán lẻ / Bán sỉ, Bán hàng / Kinh doanh</t>
        </is>
      </c>
      <c r="K10451" t="inlineStr">
        <is>
          <t>N/A</t>
        </is>
      </c>
      <c r="L10451" s="8">
        <f>HYPERLINK("https://careerviet.vn/vi/tim-viec-lam/nhan-vien-kinh-doanh-phat-trien-giao-hang-tan-nha-bien-hoa.35C6B61C.html","Xem chi tiết")</f>
        <v/>
      </c>
    </row>
    <row r="10452">
      <c r="B10452" s="9" t="n">
        <v>10450</v>
      </c>
      <c r="C10452" s="10" t="inlineStr">
        <is>
          <t>Nhân viên tư vấn môi trường - Thuận An</t>
        </is>
      </c>
      <c r="D10452" s="10" t="inlineStr">
        <is>
          <t>CÔNG TY TNHH TM DV XỬ LÝ MÔI TRƯỜNG VIỆT KHẢI</t>
        </is>
      </c>
      <c r="E10452" s="10" t="inlineStr">
        <is>
          <t>Lương:15 Tr - 20 Tr VND</t>
        </is>
      </c>
      <c r="F10452" s="10" t="inlineStr">
        <is>
          <t>Bình Dương</t>
        </is>
      </c>
      <c r="G10452" s="10" t="inlineStr">
        <is>
          <t>31-05-2026</t>
        </is>
      </c>
      <c r="H10452" s="10" t="inlineStr">
        <is>
          <t>31/05/2026</t>
        </is>
      </c>
      <c r="I10452" s="10" t="inlineStr">
        <is>
          <t>17/03/2026</t>
        </is>
      </c>
      <c r="J10452" s="10" t="inlineStr">
        <is>
          <t>Môi trường, Hóa học, Trắc địa / Địa Chất</t>
        </is>
      </c>
      <c r="K10452" s="10" t="inlineStr">
        <is>
          <t>3 - 5 Năm</t>
        </is>
      </c>
      <c r="L10452" s="11">
        <f>HYPERLINK("https://careerviet.vn/vi/tim-viec-lam/nhan-vien-tu-van-moi-truong-thuan-an.35C6B59B.html","Xem chi tiết")</f>
        <v/>
      </c>
      <c r="M10452" s="10" t="n"/>
    </row>
    <row r="10453">
      <c r="B10453" s="7" t="n">
        <v>10451</v>
      </c>
      <c r="C10453" t="inlineStr">
        <is>
          <t>Lighting supervisor</t>
        </is>
      </c>
      <c r="D10453" t="inlineStr">
        <is>
          <t>Phuc Thang Fine Furniture</t>
        </is>
      </c>
      <c r="E10453" t="inlineStr">
        <is>
          <t>Lương:Cạnh tranh</t>
        </is>
      </c>
      <c r="F10453" t="inlineStr">
        <is>
          <t>Bình Dương</t>
        </is>
      </c>
      <c r="G10453" t="inlineStr">
        <is>
          <t>12-04-2026</t>
        </is>
      </c>
      <c r="H10453" t="inlineStr">
        <is>
          <t>12/04/2026</t>
        </is>
      </c>
      <c r="I10453" t="inlineStr">
        <is>
          <t>17/03/2026</t>
        </is>
      </c>
      <c r="J10453" t="inlineStr">
        <is>
          <t>Điện / Điện tử / Điện lạnh / Điện công nghiệp, Đồ gỗ, Nội ngoại thất</t>
        </is>
      </c>
      <c r="K10453" t="inlineStr">
        <is>
          <t>Chưa có kinh nghiệm</t>
        </is>
      </c>
      <c r="L10453" s="8">
        <f>HYPERLINK("https://careerviet.vn/vi/tim-viec-lam/lighting-supervisor.35C68729.html","Xem chi tiết")</f>
        <v/>
      </c>
    </row>
    <row r="10454">
      <c r="B10454" s="9" t="n">
        <v>10452</v>
      </c>
      <c r="C10454" s="10" t="inlineStr">
        <is>
          <t>Nhân Viên Chăm Sóc Khách Hàng (Admission Officer) - ILA Đảo Kim Cương</t>
        </is>
      </c>
      <c r="D10454" s="10" t="inlineStr">
        <is>
          <t>ILA Việt Nam</t>
        </is>
      </c>
      <c r="E10454" s="10" t="inlineStr">
        <is>
          <t>Lương:7,5 Tr - 10 Tr VND</t>
        </is>
      </c>
      <c r="F10454" s="10" t="inlineStr">
        <is>
          <t>Hồ Chí Minh</t>
        </is>
      </c>
      <c r="G10454" s="10" t="inlineStr">
        <is>
          <t>12-04-2026</t>
        </is>
      </c>
      <c r="H10454" s="10" t="inlineStr">
        <is>
          <t>12/04/2026</t>
        </is>
      </c>
      <c r="I10454" s="10" t="inlineStr">
        <is>
          <t>17/03/2026</t>
        </is>
      </c>
      <c r="J10454" s="10" t="inlineStr">
        <is>
          <t>Tư vấn, Dịch vụ khách hàng, Giáo dục / Đào tạo</t>
        </is>
      </c>
      <c r="K10454" s="10" t="inlineStr">
        <is>
          <t>1 - 2 Năm</t>
        </is>
      </c>
      <c r="L10454" s="11">
        <f>HYPERLINK("https://careerviet.vn/vi/tim-viec-lam/nhan-vien-cham-soc-khach-hang-admission-officer-ila-dao-kim-cuong.35C65524.html","Xem chi tiết")</f>
        <v/>
      </c>
      <c r="M10454" s="10" t="n"/>
    </row>
    <row r="10455">
      <c r="B10455" s="7" t="n">
        <v>10453</v>
      </c>
      <c r="C10455" t="inlineStr">
        <is>
          <t>Y Sĩ/Bác Sĩ Đa Khoa</t>
        </is>
      </c>
      <c r="D10455" t="inlineStr">
        <is>
          <t>Vietnam Furniture Resources (VFR)</t>
        </is>
      </c>
      <c r="E10455" t="inlineStr">
        <is>
          <t>Lương:Cạnh tranh</t>
        </is>
      </c>
      <c r="F10455" t="inlineStr">
        <is>
          <t>Bình Dương</t>
        </is>
      </c>
      <c r="G10455" t="inlineStr">
        <is>
          <t>08-04-2026</t>
        </is>
      </c>
      <c r="H10455" t="inlineStr">
        <is>
          <t>08/04/2026</t>
        </is>
      </c>
      <c r="I10455" t="inlineStr">
        <is>
          <t>17/03/2026</t>
        </is>
      </c>
      <c r="J10455" t="inlineStr">
        <is>
          <t>Y tế / Chăm sóc sức khỏe / Thẩm mỹ / Làm đẹp</t>
        </is>
      </c>
      <c r="K10455" t="inlineStr">
        <is>
          <t>2 - 3 Năm</t>
        </is>
      </c>
      <c r="L10455" s="8">
        <f>HYPERLINK("https://careerviet.vn/vi/tim-viec-lam/y-si-bac-si-da-khoa.35C6B58F.html","Xem chi tiết")</f>
        <v/>
      </c>
    </row>
    <row r="10456">
      <c r="B10456" s="9" t="n">
        <v>10454</v>
      </c>
      <c r="C10456" s="10" t="inlineStr">
        <is>
          <t>CHUYÊN VIÊN TƯ VẤN ĐẦU TƯ CHỨNG KHOÁN (NHA TRANG)</t>
        </is>
      </c>
      <c r="D10456" s="10" t="inlineStr">
        <is>
          <t>VDSC - Công ty CP Chứng khoán Rồng Việt</t>
        </is>
      </c>
      <c r="E10456" s="10" t="inlineStr">
        <is>
          <t>Lương:7 Tr - 20 Tr VND</t>
        </is>
      </c>
      <c r="F10456" s="10" t="inlineStr">
        <is>
          <t>Khánh Hòa</t>
        </is>
      </c>
      <c r="G10456" s="10" t="inlineStr">
        <is>
          <t>12-04-2026</t>
        </is>
      </c>
      <c r="H10456" s="10" t="inlineStr">
        <is>
          <t>12/04/2026</t>
        </is>
      </c>
      <c r="I10456" s="10" t="inlineStr">
        <is>
          <t>17/03/2026</t>
        </is>
      </c>
      <c r="J10456" s="10" t="inlineStr">
        <is>
          <t>Ngân hàng, Chứng khoán, Tài chính / Đầu tư</t>
        </is>
      </c>
      <c r="K10456" s="10" t="inlineStr">
        <is>
          <t>1 - 2 Năm</t>
        </is>
      </c>
      <c r="L10456" s="11">
        <f>HYPERLINK("https://careerviet.vn/vi/tim-viec-lam/chuyen-vien-tu-van-dau-tu-chung-khoan-nha-trang.35C654D3.html","Xem chi tiết")</f>
        <v/>
      </c>
      <c r="M10456" s="10" t="n"/>
    </row>
    <row r="10457">
      <c r="B10457" s="7" t="n">
        <v>10455</v>
      </c>
      <c r="C10457" t="inlineStr">
        <is>
          <t>Quản lý cửa hàng thời trang cao cấp</t>
        </is>
      </c>
      <c r="D10457" t="inlineStr">
        <is>
          <t>Công ty TNHH Mỹ Phục - Eva De Eva</t>
        </is>
      </c>
      <c r="E10457" t="inlineStr">
        <is>
          <t>Lương:10 Tr - 15 Tr VND</t>
        </is>
      </c>
      <c r="F10457" t="inlineStr">
        <is>
          <t>Hà Nội</t>
        </is>
      </c>
      <c r="G10457" t="inlineStr">
        <is>
          <t>12-04-2026</t>
        </is>
      </c>
      <c r="H10457" t="inlineStr">
        <is>
          <t>12/04/2026</t>
        </is>
      </c>
      <c r="I10457" t="inlineStr">
        <is>
          <t>17/03/2026</t>
        </is>
      </c>
      <c r="J10457" t="inlineStr">
        <is>
          <t>Bán hàng / Kinh doanh, Dệt may / Da giày / Thời trang</t>
        </is>
      </c>
      <c r="K10457" t="inlineStr">
        <is>
          <t>2 - 3 Năm</t>
        </is>
      </c>
      <c r="L10457" s="8">
        <f>HYPERLINK("https://careerviet.vn/vi/tim-viec-lam/quan-ly-cua-hang-thoi-trang-cao-cap.35C67340.html","Xem chi tiết")</f>
        <v/>
      </c>
    </row>
    <row r="10458">
      <c r="B10458" s="9" t="n">
        <v>10456</v>
      </c>
      <c r="C10458" s="10" t="inlineStr">
        <is>
          <t>Marketing Manager</t>
        </is>
      </c>
      <c r="D10458" s="10" t="inlineStr">
        <is>
          <t>CÔNG TY TNHH SPACE T</t>
        </is>
      </c>
      <c r="E10458" s="10" t="inlineStr">
        <is>
          <t>Lương:Cạnh tranh</t>
        </is>
      </c>
      <c r="F10458" s="10" t="inlineStr">
        <is>
          <t>Hồ Chí Minh</t>
        </is>
      </c>
      <c r="G10458" s="10" t="inlineStr">
        <is>
          <t>12-04-2026</t>
        </is>
      </c>
      <c r="H10458" s="10" t="inlineStr">
        <is>
          <t>12/04/2026</t>
        </is>
      </c>
      <c r="I10458" s="10" t="inlineStr">
        <is>
          <t>17/03/2026</t>
        </is>
      </c>
      <c r="J10458" s="10" t="inlineStr">
        <is>
          <t>Tiếp thị / Marketing</t>
        </is>
      </c>
      <c r="K10458" s="10" t="inlineStr">
        <is>
          <t>3 - 5 Năm</t>
        </is>
      </c>
      <c r="L10458" s="11">
        <f>HYPERLINK("https://careerviet.vn/vi/tim-viec-lam/marketing-manager.35C68772.html","Xem chi tiết")</f>
        <v/>
      </c>
      <c r="M10458" s="10" t="n"/>
    </row>
    <row r="10459">
      <c r="B10459" s="7" t="n">
        <v>10457</v>
      </c>
      <c r="C10459" t="inlineStr">
        <is>
          <t>Nhân viên Live stream</t>
        </is>
      </c>
      <c r="D10459" t="inlineStr">
        <is>
          <t>Công Ty CP XNK Hóa Chất &amp; Thiết Bị Kim Ngưu</t>
        </is>
      </c>
      <c r="E10459" t="inlineStr">
        <is>
          <t>Lương:Cạnh tranh</t>
        </is>
      </c>
      <c r="F10459" t="inlineStr">
        <is>
          <t>Hà Nội</t>
        </is>
      </c>
      <c r="G10459" t="inlineStr">
        <is>
          <t>30-03-2026</t>
        </is>
      </c>
      <c r="H10459" t="inlineStr">
        <is>
          <t>30/03/2026</t>
        </is>
      </c>
      <c r="I10459" t="inlineStr">
        <is>
          <t>17/03/2026</t>
        </is>
      </c>
      <c r="J10459" t="inlineStr">
        <is>
          <t>Tiếp thị / Marketing, Bán hàng / Kinh doanh, Tiếp thị trực tuyến</t>
        </is>
      </c>
      <c r="K10459" t="inlineStr">
        <is>
          <t>2 - 3 Năm</t>
        </is>
      </c>
      <c r="L10459" s="8">
        <f>HYPERLINK("https://careerviet.vn/vi/tim-viec-lam/nhan-vien-live-stream.35C6A186.html","Xem chi tiết")</f>
        <v/>
      </c>
    </row>
    <row r="10460">
      <c r="B10460" s="9" t="n">
        <v>10458</v>
      </c>
      <c r="C10460" s="10" t="inlineStr">
        <is>
          <t>Điều dưỡng hồi tỉnh</t>
        </is>
      </c>
      <c r="D10460" s="10" t="inlineStr">
        <is>
          <t>BỆNH VIỆN ĐA KHOA PHƯƠNG NAM</t>
        </is>
      </c>
      <c r="E10460" s="10" t="inlineStr">
        <is>
          <t>Lương:Cạnh tranh</t>
        </is>
      </c>
      <c r="F10460" s="10" t="inlineStr">
        <is>
          <t>Hồ Chí Minh</t>
        </is>
      </c>
      <c r="G10460" s="10" t="inlineStr">
        <is>
          <t>31-03-2026</t>
        </is>
      </c>
      <c r="H10460" s="10" t="inlineStr">
        <is>
          <t>31/03/2026</t>
        </is>
      </c>
      <c r="I10460" s="10" t="inlineStr">
        <is>
          <t>17/03/2026</t>
        </is>
      </c>
      <c r="J10460" s="10" t="inlineStr">
        <is>
          <t>Y tế / Chăm sóc sức khỏe / Thẩm mỹ / Làm đẹp</t>
        </is>
      </c>
      <c r="K10460" s="10" t="inlineStr">
        <is>
          <t>1 - 2 Năm</t>
        </is>
      </c>
      <c r="L10460" s="11">
        <f>HYPERLINK("https://careerviet.vn/vi/tim-viec-lam/dieu-duong-hoi-tinh.35C6A156.html","Xem chi tiết")</f>
        <v/>
      </c>
      <c r="M10460" s="10" t="n"/>
    </row>
    <row r="10461">
      <c r="B10461" s="7" t="n">
        <v>10459</v>
      </c>
      <c r="C10461" t="inlineStr">
        <is>
          <t>Human Resource Manager</t>
        </is>
      </c>
      <c r="D10461" t="inlineStr">
        <is>
          <t>Công ty TNHH Thai F&amp;B</t>
        </is>
      </c>
      <c r="E10461" t="inlineStr">
        <is>
          <t>Lương:20 Tr - 40 Tr VND</t>
        </is>
      </c>
      <c r="F10461" t="inlineStr">
        <is>
          <t>Hồ Chí Minh</t>
        </is>
      </c>
      <c r="G10461" t="inlineStr">
        <is>
          <t>31-03-2026</t>
        </is>
      </c>
      <c r="H10461" t="inlineStr">
        <is>
          <t>31/03/2026</t>
        </is>
      </c>
      <c r="I10461" t="inlineStr">
        <is>
          <t>17/03/2026</t>
        </is>
      </c>
      <c r="J10461" t="inlineStr">
        <is>
          <t>Thực phẩm &amp; Đồ uống</t>
        </is>
      </c>
      <c r="K10461" t="inlineStr">
        <is>
          <t>5 - 20 Năm</t>
        </is>
      </c>
      <c r="L10461" s="8">
        <f>HYPERLINK("https://careerviet.vn/vi/tim-viec-lam/human-resource-manager.35C6A1DD.html","Xem chi tiết")</f>
        <v/>
      </c>
    </row>
    <row r="10462">
      <c r="B10462" s="9" t="n">
        <v>10460</v>
      </c>
      <c r="C10462" s="10" t="inlineStr">
        <is>
          <t>Kế toán công nợ</t>
        </is>
      </c>
      <c r="D10462" s="10" t="inlineStr">
        <is>
          <t>Công Ty Cổ Phần Xây Dựng Phước Thành</t>
        </is>
      </c>
      <c r="E10462" s="10" t="inlineStr">
        <is>
          <t>Lương:20 Tr - 25 Tr VND</t>
        </is>
      </c>
      <c r="F10462" s="10" t="inlineStr">
        <is>
          <t>Hồ Chí Minh</t>
        </is>
      </c>
      <c r="G10462" s="10" t="inlineStr">
        <is>
          <t>28-03-2026</t>
        </is>
      </c>
      <c r="H10462" s="10" t="inlineStr">
        <is>
          <t>28/03/2026</t>
        </is>
      </c>
      <c r="I10462" s="10" t="inlineStr">
        <is>
          <t>17/03/2026</t>
        </is>
      </c>
      <c r="J10462" s="10" t="inlineStr">
        <is>
          <t>Xây dựng, Ngành khác, Kế toán / Kiểm toán</t>
        </is>
      </c>
      <c r="K10462" s="10" t="inlineStr">
        <is>
          <t>2 - 5 Năm</t>
        </is>
      </c>
      <c r="L10462" s="11">
        <f>HYPERLINK("https://careerviet.vn/vi/tim-viec-lam/ke-toan-cong-no.35C6A189.html","Xem chi tiết")</f>
        <v/>
      </c>
      <c r="M10462" s="10" t="n"/>
    </row>
    <row r="10463">
      <c r="B10463" s="7" t="n">
        <v>10461</v>
      </c>
      <c r="C10463" t="inlineStr">
        <is>
          <t>Chuyên Viên Kinh Doanh Logistics - Hà Nội</t>
        </is>
      </c>
      <c r="D10463" t="inlineStr">
        <is>
          <t>Công Ty TNHH Xúc Tiến Thương Mại NBT Holdings</t>
        </is>
      </c>
      <c r="E10463" t="inlineStr">
        <is>
          <t>Lương:8 Tr - 15 Tr VND</t>
        </is>
      </c>
      <c r="F10463" t="inlineStr">
        <is>
          <t>Hà Nội</t>
        </is>
      </c>
      <c r="G10463" t="inlineStr">
        <is>
          <t>31-03-2026</t>
        </is>
      </c>
      <c r="H10463" t="inlineStr">
        <is>
          <t>31/03/2026</t>
        </is>
      </c>
      <c r="I10463" t="inlineStr">
        <is>
          <t>17/03/2026</t>
        </is>
      </c>
      <c r="J10463" t="inlineStr">
        <is>
          <t>Xuất nhập khẩu, Bán hàng / Kinh doanh, Tư vấn</t>
        </is>
      </c>
      <c r="K10463" t="inlineStr">
        <is>
          <t>Trên 1 Năm</t>
        </is>
      </c>
      <c r="L10463" s="8">
        <f>HYPERLINK("https://careerviet.vn/vi/tim-viec-lam/chuyen-vien-kinh-doanh-logistics-ha-noi.35C6A1C9.html","Xem chi tiết")</f>
        <v/>
      </c>
    </row>
    <row r="10464">
      <c r="B10464" s="9" t="n">
        <v>10462</v>
      </c>
      <c r="C10464" s="10" t="inlineStr">
        <is>
          <t>Production Supervisor (Tan Phu Trung, Cu Chi, HCM)</t>
        </is>
      </c>
      <c r="D10464" s="10" t="inlineStr">
        <is>
          <t>Techtronic Industries Vietnam Manufacturing Company Limited</t>
        </is>
      </c>
      <c r="E10464" s="10" t="inlineStr">
        <is>
          <t>Lương:Cạnh tranh</t>
        </is>
      </c>
      <c r="F10464" s="10" t="inlineStr">
        <is>
          <t>Hồ Chí Minh</t>
        </is>
      </c>
      <c r="G10464" s="10" t="inlineStr">
        <is>
          <t>29-06-2026</t>
        </is>
      </c>
      <c r="H10464" s="10" t="inlineStr">
        <is>
          <t>29/06/2026</t>
        </is>
      </c>
      <c r="I10464" s="10" t="inlineStr">
        <is>
          <t>17/03/2026</t>
        </is>
      </c>
      <c r="J10464" s="10" t="inlineStr">
        <is>
          <t>Cơ khí / Ô tô / Tự động hóa, Sản xuất / Vận hành sản xuất, Điện / Điện tử / Điện lạnh / Điện công nghiệp</t>
        </is>
      </c>
      <c r="K10464" s="10" t="inlineStr">
        <is>
          <t>Trên 5 Năm</t>
        </is>
      </c>
      <c r="L10464" s="11">
        <f>HYPERLINK("https://careerviet.vn/vi/tim-viec-lam/production-supervisor-tan-phu-trung-cu-chi-hcm.35C6B5FB.html","Xem chi tiết")</f>
        <v/>
      </c>
      <c r="M10464" s="10" t="n"/>
    </row>
    <row r="10465">
      <c r="B10465" s="7" t="n">
        <v>10463</v>
      </c>
      <c r="C10465" t="inlineStr">
        <is>
          <t>Chuyên Viên Kinh Doanh Logistics - HCM</t>
        </is>
      </c>
      <c r="D10465" t="inlineStr">
        <is>
          <t>Công Ty TNHH Xúc Tiến Thương Mại NBT Holdings</t>
        </is>
      </c>
      <c r="E10465" t="inlineStr">
        <is>
          <t>Lương:8 Tr - 15 Tr VND</t>
        </is>
      </c>
      <c r="F10465" t="inlineStr">
        <is>
          <t>Hồ Chí Minh</t>
        </is>
      </c>
      <c r="G10465" t="inlineStr">
        <is>
          <t>31-03-2026</t>
        </is>
      </c>
      <c r="H10465" t="inlineStr">
        <is>
          <t>31/03/2026</t>
        </is>
      </c>
      <c r="I10465" t="inlineStr">
        <is>
          <t>17/03/2026</t>
        </is>
      </c>
      <c r="J10465" t="inlineStr">
        <is>
          <t>Bán hàng / Kinh doanh, Xuất nhập khẩu, Dịch vụ khách hàng</t>
        </is>
      </c>
      <c r="K10465" t="inlineStr">
        <is>
          <t>Trên 1 Năm</t>
        </is>
      </c>
      <c r="L10465" s="8">
        <f>HYPERLINK("https://careerviet.vn/vi/tim-viec-lam/chuyen-vien-kinh-doanh-logistics-hcm.35C6A1FD.html","Xem chi tiết")</f>
        <v/>
      </c>
    </row>
    <row r="10466">
      <c r="B10466" s="9" t="n">
        <v>10464</v>
      </c>
      <c r="C10466" s="10" t="inlineStr">
        <is>
          <t>Nhân viên Marketing</t>
        </is>
      </c>
      <c r="D10466" s="10" t="inlineStr">
        <is>
          <t>Công Ty CP XNK Hóa Chất &amp; Thiết Bị Kim Ngưu</t>
        </is>
      </c>
      <c r="E10466" s="10" t="inlineStr">
        <is>
          <t>Lương:Cạnh tranh</t>
        </is>
      </c>
      <c r="F10466" s="10" t="inlineStr">
        <is>
          <t>Hà Nội</t>
        </is>
      </c>
      <c r="G10466" s="10" t="inlineStr">
        <is>
          <t>30-03-2026</t>
        </is>
      </c>
      <c r="H10466" s="10" t="inlineStr">
        <is>
          <t>30/03/2026</t>
        </is>
      </c>
      <c r="I10466" s="10" t="inlineStr">
        <is>
          <t>17/03/2026</t>
        </is>
      </c>
      <c r="J10466" s="10" t="inlineStr">
        <is>
          <t>Tiếp thị / Marketing, Bán lẻ / Bán sỉ, Tiếp thị trực tuyến</t>
        </is>
      </c>
      <c r="K10466" s="10" t="inlineStr">
        <is>
          <t>1 - 2 Năm</t>
        </is>
      </c>
      <c r="L10466" s="11">
        <f>HYPERLINK("https://careerviet.vn/vi/tim-viec-lam/nhan-vien-marketing.35C6A172.html","Xem chi tiết")</f>
        <v/>
      </c>
      <c r="M10466" s="10" t="n"/>
    </row>
    <row r="10467">
      <c r="B10467" s="7" t="n">
        <v>10465</v>
      </c>
      <c r="C10467" t="inlineStr">
        <is>
          <t>Trợ Lý Chủ Tịch HĐQT (Mảng Tài Chính)</t>
        </is>
      </c>
      <c r="D10467" t="inlineStr">
        <is>
          <t>Công ty cổ phần Tập đoàn Danko</t>
        </is>
      </c>
      <c r="E10467" t="inlineStr">
        <is>
          <t>Lương:35 Tr - 45 Tr VND</t>
        </is>
      </c>
      <c r="F10467" t="inlineStr">
        <is>
          <t>Hà Nội</t>
        </is>
      </c>
      <c r="G10467" t="inlineStr">
        <is>
          <t>31-03-2026</t>
        </is>
      </c>
      <c r="H10467" t="inlineStr">
        <is>
          <t>31/03/2026</t>
        </is>
      </c>
      <c r="I10467" t="inlineStr">
        <is>
          <t>17/03/2026</t>
        </is>
      </c>
      <c r="J10467" t="inlineStr">
        <is>
          <t>Kế toán / Kiểm toán, Tài chính / Đầu tư, Bất động sản</t>
        </is>
      </c>
      <c r="K10467" t="inlineStr">
        <is>
          <t>Trên 8 Năm</t>
        </is>
      </c>
      <c r="L10467" s="8">
        <f>HYPERLINK("https://careerviet.vn/vi/tim-viec-lam/tro-ly-chu-tich-hdqt-mang-tai-chinh.35C6A1A4.html","Xem chi tiết")</f>
        <v/>
      </c>
    </row>
    <row r="10468">
      <c r="B10468" s="9" t="n">
        <v>10466</v>
      </c>
      <c r="C10468" s="10" t="inlineStr">
        <is>
          <t>Giám sát bán hàng miền Bắc (Supervisor)</t>
        </is>
      </c>
      <c r="D10468" s="10" t="inlineStr">
        <is>
          <t>CÔNG TY CỔ PHẦN PHÁT TRIỂN CƠ ĐIỆN LẠNH HOÀNG ĐẠT</t>
        </is>
      </c>
      <c r="E10468" s="10" t="inlineStr">
        <is>
          <t>Lương:25 Tr - 35 Tr VND</t>
        </is>
      </c>
      <c r="F10468" s="10" t="inlineStr">
        <is>
          <t>Hà Nội</t>
        </is>
      </c>
      <c r="G10468" s="10" t="inlineStr">
        <is>
          <t>31-03-2026</t>
        </is>
      </c>
      <c r="H10468" s="10" t="inlineStr">
        <is>
          <t>31/03/2026</t>
        </is>
      </c>
      <c r="I10468" s="10" t="inlineStr">
        <is>
          <t>17/03/2026</t>
        </is>
      </c>
      <c r="J10468" s="10" t="inlineStr">
        <is>
          <t>Bán lẻ / Bán sỉ, Bán hàng / Kinh doanh, Xây dựng</t>
        </is>
      </c>
      <c r="K10468" s="10" t="inlineStr">
        <is>
          <t>2 - 3 Năm</t>
        </is>
      </c>
      <c r="L10468" s="11">
        <f>HYPERLINK("https://careerviet.vn/vi/tim-viec-lam/giam-sat-ban-hang-mien-bac-supervisor.35C6A25A.html","Xem chi tiết")</f>
        <v/>
      </c>
      <c r="M10468" s="10" t="n"/>
    </row>
    <row r="10469">
      <c r="B10469" s="7" t="n">
        <v>10467</v>
      </c>
      <c r="C10469" t="inlineStr">
        <is>
          <t>Nhân Viên Kế Toán Thuế</t>
        </is>
      </c>
      <c r="D10469" t="inlineStr">
        <is>
          <t>Công ty Cổ Phần Giáo Dục German Link</t>
        </is>
      </c>
      <c r="E10469" t="inlineStr">
        <is>
          <t>Lương:14 Tr - 16 Tr VND</t>
        </is>
      </c>
      <c r="F10469" t="inlineStr">
        <is>
          <t>Hà Nội</t>
        </is>
      </c>
      <c r="G10469" t="inlineStr">
        <is>
          <t>30-03-2026</t>
        </is>
      </c>
      <c r="H10469" t="inlineStr">
        <is>
          <t>30/03/2026</t>
        </is>
      </c>
      <c r="I10469" t="inlineStr">
        <is>
          <t>17/03/2026</t>
        </is>
      </c>
      <c r="J10469" t="inlineStr">
        <is>
          <t>Kế toán / Kiểm toán, Tài chính / Đầu tư, Giáo dục / Đào tạo</t>
        </is>
      </c>
      <c r="K10469" t="inlineStr">
        <is>
          <t>Lên đến 3 Năm</t>
        </is>
      </c>
      <c r="L10469" s="8">
        <f>HYPERLINK("https://careerviet.vn/vi/tim-viec-lam/nhan-vien-ke-toan-thue.35C6A17B.html","Xem chi tiết")</f>
        <v/>
      </c>
    </row>
    <row r="10470">
      <c r="B10470" s="9" t="n">
        <v>10468</v>
      </c>
      <c r="C10470" s="10" t="inlineStr">
        <is>
          <t>Admin bio (không yêu cầu kinh nghiệm)</t>
        </is>
      </c>
      <c r="D10470" s="10" t="inlineStr">
        <is>
          <t>CÔNG TY CỔ PHẦN THÁI VIỆT CORPORATION</t>
        </is>
      </c>
      <c r="E10470" s="10" t="inlineStr">
        <is>
          <t>Lương:12 Tr - 15 Tr VND</t>
        </is>
      </c>
      <c r="F10470" s="10" t="inlineStr">
        <is>
          <t>Bình PhướcDak Nông</t>
        </is>
      </c>
      <c r="G10470" s="10" t="inlineStr">
        <is>
          <t>31-03-2026</t>
        </is>
      </c>
      <c r="H10470" s="10" t="inlineStr">
        <is>
          <t>31/03/2026</t>
        </is>
      </c>
      <c r="I10470" s="10" t="inlineStr">
        <is>
          <t>17/03/2026</t>
        </is>
      </c>
      <c r="J10470" s="10" t="inlineStr">
        <is>
          <t>An toàn lao động, Nhân sự, Công nghệ sinh học</t>
        </is>
      </c>
      <c r="K10470" s="10" t="inlineStr">
        <is>
          <t>N/A</t>
        </is>
      </c>
      <c r="L10470" s="11">
        <f>HYPERLINK("https://careerviet.vn/vi/tim-viec-lam/admin-bio-khong-yeu-cau-kinh-nghiem.35C6A257.html","Xem chi tiết")</f>
        <v/>
      </c>
      <c r="M10470" s="10" t="n"/>
    </row>
    <row r="10471">
      <c r="B10471" s="7" t="n">
        <v>10469</v>
      </c>
      <c r="C10471" t="inlineStr">
        <is>
          <t>Trưởng Phòng Xuất Nhập Khẩu (Manager Import-Export)</t>
        </is>
      </c>
      <c r="D10471" t="inlineStr">
        <is>
          <t>Công Ty TNHH Xúc Tiến Thương Mại NBT Holdings</t>
        </is>
      </c>
      <c r="E10471" t="inlineStr">
        <is>
          <t>Lương:25 Tr - 30 Tr VND</t>
        </is>
      </c>
      <c r="F10471" t="inlineStr">
        <is>
          <t>Hà Nội</t>
        </is>
      </c>
      <c r="G10471" t="inlineStr">
        <is>
          <t>13-03-2026</t>
        </is>
      </c>
      <c r="H10471" t="inlineStr">
        <is>
          <t>15/03/2026</t>
        </is>
      </c>
      <c r="I10471" t="inlineStr">
        <is>
          <t>17/03/2026</t>
        </is>
      </c>
      <c r="J10471" t="inlineStr">
        <is>
          <t>Xuất nhập khẩu, Quản lý điều hành, Bán hàng / Kinh doanh</t>
        </is>
      </c>
      <c r="K10471" t="inlineStr">
        <is>
          <t>3 - 5 Năm</t>
        </is>
      </c>
      <c r="L10471" s="8">
        <f>HYPERLINK("https://careerviet.vn/vi/tim-viec-lam/truong-phong-xuat-nhap-khau-manager-import-export.35C6A129.html","Xem chi tiết")</f>
        <v/>
      </c>
    </row>
    <row r="10472">
      <c r="B10472" s="9" t="n">
        <v>10470</v>
      </c>
      <c r="C10472" s="10" t="inlineStr">
        <is>
          <t>Giám sát bán hàng kênh GT Khu vực Quận 4 - Nhà Bè</t>
        </is>
      </c>
      <c r="D10472" s="10" t="inlineStr">
        <is>
          <t>Cty CP Kỹ Nghệ Thực Phẩm Việt Nam - VIFON</t>
        </is>
      </c>
      <c r="E10472" s="10" t="inlineStr">
        <is>
          <t>Lương:22,7 Tr - 33,4 Tr VND</t>
        </is>
      </c>
      <c r="F10472" s="10" t="inlineStr">
        <is>
          <t>Hồ Chí Minh</t>
        </is>
      </c>
      <c r="G10472" s="10" t="inlineStr">
        <is>
          <t>31-03-2026</t>
        </is>
      </c>
      <c r="H10472" s="10" t="inlineStr">
        <is>
          <t>31/03/2026</t>
        </is>
      </c>
      <c r="I10472" s="10" t="inlineStr">
        <is>
          <t>17/03/2026</t>
        </is>
      </c>
      <c r="J10472" s="10" t="inlineStr">
        <is>
          <t>Bán lẻ / Bán sỉ, Bán hàng / Kinh doanh, Thực phẩm &amp; Đồ uống</t>
        </is>
      </c>
      <c r="K10472" s="10" t="inlineStr">
        <is>
          <t>2 - 3 Năm</t>
        </is>
      </c>
      <c r="L10472" s="11">
        <f>HYPERLINK("https://careerviet.vn/vi/tim-viec-lam/giam-sat-ban-hang-kenh-gt-khu-vuc-quan-4-nha-be.35C6A1AF.html","Xem chi tiết")</f>
        <v/>
      </c>
      <c r="M10472" s="10" t="n"/>
    </row>
    <row r="10473">
      <c r="B10473" s="7" t="n">
        <v>10471</v>
      </c>
      <c r="C10473" t="inlineStr">
        <is>
          <t>Kế Toán Kiêm Thủ Kho Công Trình Xây Dựng</t>
        </is>
      </c>
      <c r="D10473" t="inlineStr">
        <is>
          <t>CÔNG TY CỔ PHẦN ĐẦU TƯ THIÊN ÂN</t>
        </is>
      </c>
      <c r="E10473" t="inlineStr">
        <is>
          <t>Lương:12 Tr - 15 Tr VND</t>
        </is>
      </c>
      <c r="F10473" t="inlineStr">
        <is>
          <t>Hà NộiBắc GiangBắc Ninh</t>
        </is>
      </c>
      <c r="G10473" t="inlineStr">
        <is>
          <t>31-03-2026</t>
        </is>
      </c>
      <c r="H10473" t="inlineStr">
        <is>
          <t>31/03/2026</t>
        </is>
      </c>
      <c r="I10473" t="inlineStr">
        <is>
          <t>17/03/2026</t>
        </is>
      </c>
      <c r="J10473" t="inlineStr">
        <is>
          <t>Kế toán / Kiểm toán, Xây dựng</t>
        </is>
      </c>
      <c r="K10473" t="inlineStr">
        <is>
          <t>Trên 1 Năm</t>
        </is>
      </c>
      <c r="L10473" s="8">
        <f>HYPERLINK("https://careerviet.vn/vi/tim-viec-lam/ke-toan-kiem-thu-kho-cong-trinh-xay-dung.35C6A252.html","Xem chi tiết")</f>
        <v/>
      </c>
    </row>
    <row r="10474">
      <c r="B10474" s="9" t="n">
        <v>10472</v>
      </c>
      <c r="C10474" s="10" t="inlineStr">
        <is>
          <t>Chuyên viên thu mua hàng hóa</t>
        </is>
      </c>
      <c r="D10474" s="10" t="inlineStr">
        <is>
          <t>Công Ty TNHH Xúc Tiến Thương Mại NBT Holdings</t>
        </is>
      </c>
      <c r="E10474" s="10" t="inlineStr">
        <is>
          <t>Lương:10 Tr - 18 Tr VND</t>
        </is>
      </c>
      <c r="F10474" s="10" t="inlineStr">
        <is>
          <t>Hà Nội</t>
        </is>
      </c>
      <c r="G10474" s="10" t="inlineStr">
        <is>
          <t>30-03-2026</t>
        </is>
      </c>
      <c r="H10474" s="10" t="inlineStr">
        <is>
          <t>30/03/2026</t>
        </is>
      </c>
      <c r="I10474" s="10" t="inlineStr">
        <is>
          <t>17/03/2026</t>
        </is>
      </c>
      <c r="J10474" s="10" t="inlineStr">
        <is>
          <t>Xuất nhập khẩu, Thu mua / Vật tư, Biên phiên dịch</t>
        </is>
      </c>
      <c r="K10474" s="10" t="inlineStr">
        <is>
          <t>1 - 2 Năm</t>
        </is>
      </c>
      <c r="L10474" s="11">
        <f>HYPERLINK("https://careerviet.vn/vi/tim-viec-lam/chuyen-vien-thu-mua-hang-hoa.35C6A168.html","Xem chi tiết")</f>
        <v/>
      </c>
      <c r="M10474" s="10" t="n"/>
    </row>
    <row r="10475">
      <c r="B10475" s="7" t="n">
        <v>10473</v>
      </c>
      <c r="C10475" t="inlineStr">
        <is>
          <t>NHÂN VIÊN KẾ TOÁN</t>
        </is>
      </c>
      <c r="D10475" t="inlineStr">
        <is>
          <t>Công ty TNHH Isu vina</t>
        </is>
      </c>
      <c r="E10475" t="inlineStr">
        <is>
          <t>Lương:10 Tr - 14 Tr VND</t>
        </is>
      </c>
      <c r="F10475" t="inlineStr">
        <is>
          <t>Bình Dương</t>
        </is>
      </c>
      <c r="G10475" t="inlineStr">
        <is>
          <t>31-03-2026</t>
        </is>
      </c>
      <c r="H10475" t="inlineStr">
        <is>
          <t>31/03/2026</t>
        </is>
      </c>
      <c r="I10475" t="inlineStr">
        <is>
          <t>17/03/2026</t>
        </is>
      </c>
      <c r="J10475" t="inlineStr">
        <is>
          <t>Kế toán / Kiểm toán</t>
        </is>
      </c>
      <c r="K10475" t="inlineStr">
        <is>
          <t>Chưa có kinh nghiệm</t>
        </is>
      </c>
      <c r="L10475" s="8">
        <f>HYPERLINK("https://careerviet.vn/vi/tim-viec-lam/nhan-vien-ke-toan.35C6A1F8.html","Xem chi tiết")</f>
        <v/>
      </c>
    </row>
    <row r="10476">
      <c r="B10476" s="9" t="n">
        <v>10474</v>
      </c>
      <c r="C10476" s="10" t="inlineStr">
        <is>
          <t>Nhân viên Marketing</t>
        </is>
      </c>
      <c r="D10476" s="10" t="inlineStr">
        <is>
          <t>Công Ty TNHH Datafa</t>
        </is>
      </c>
      <c r="E10476" s="10" t="inlineStr">
        <is>
          <t>Lương:Cạnh tranh</t>
        </is>
      </c>
      <c r="F10476" s="10" t="inlineStr">
        <is>
          <t>Bình Dương</t>
        </is>
      </c>
      <c r="G10476" s="10" t="inlineStr">
        <is>
          <t>14-05-2026</t>
        </is>
      </c>
      <c r="H10476" s="10" t="inlineStr">
        <is>
          <t>14/05/2026</t>
        </is>
      </c>
      <c r="I10476" s="10" t="inlineStr">
        <is>
          <t>17/03/2026</t>
        </is>
      </c>
      <c r="J10476" s="10" t="inlineStr">
        <is>
          <t>Tiếp thị / Marketing, Bán lẻ / Bán sỉ, Bán hàng / Kinh doanh</t>
        </is>
      </c>
      <c r="K10476" s="10" t="inlineStr">
        <is>
          <t>1 - 3 Năm</t>
        </is>
      </c>
      <c r="L10476" s="11">
        <f>HYPERLINK("https://careerviet.vn/vi/tim-viec-lam/nhan-vien-marketing.35C6A112.html","Xem chi tiết")</f>
        <v/>
      </c>
      <c r="M10476" s="10" t="n"/>
    </row>
    <row r="10477">
      <c r="B10477" s="7" t="n">
        <v>10475</v>
      </c>
      <c r="C10477" t="inlineStr">
        <is>
          <t>Nhân viên Lái xe tại VBI Hà Nội</t>
        </is>
      </c>
      <c r="D10477" t="inlineStr">
        <is>
          <t>Tổng Công Ty Cổ Phần Bảo Hiểm Ngân Hàng TMCP Công Thương Việt Nam</t>
        </is>
      </c>
      <c r="E10477" t="inlineStr">
        <is>
          <t>Lương:Cạnh tranh</t>
        </is>
      </c>
      <c r="F10477" t="inlineStr">
        <is>
          <t>Hà Nội</t>
        </is>
      </c>
      <c r="G10477" t="inlineStr">
        <is>
          <t>30-03-2026</t>
        </is>
      </c>
      <c r="H10477" t="inlineStr">
        <is>
          <t>30/03/2026</t>
        </is>
      </c>
      <c r="I10477" t="inlineStr">
        <is>
          <t>17/03/2026</t>
        </is>
      </c>
      <c r="J10477" t="inlineStr">
        <is>
          <t>Ngành khác, Vận chuyển / Giao nhận / Kho vận</t>
        </is>
      </c>
      <c r="K10477" t="inlineStr">
        <is>
          <t>1 - 2 Năm</t>
        </is>
      </c>
      <c r="L10477" s="8">
        <f>HYPERLINK("https://careerviet.vn/vi/tim-viec-lam/nhan-vien-lai-xe-tai-vbi-ha-noi.35C6A21F.html","Xem chi tiết")</f>
        <v/>
      </c>
    </row>
    <row r="10478">
      <c r="B10478" s="9" t="n">
        <v>10476</v>
      </c>
      <c r="C10478" s="10" t="inlineStr">
        <is>
          <t>Nhân viên quản lý nhà thầu công trình | Construction Contractor Management Staff</t>
        </is>
      </c>
      <c r="D10478" s="10" t="inlineStr">
        <is>
          <t>Công ty TNHH Giầy Chingluh Việt Nam</t>
        </is>
      </c>
      <c r="E10478" s="10" t="inlineStr">
        <is>
          <t>Lương:Cạnh tranh</t>
        </is>
      </c>
      <c r="F10478" s="10" t="inlineStr">
        <is>
          <t>Long An</t>
        </is>
      </c>
      <c r="G10478" s="10" t="inlineStr">
        <is>
          <t>31-03-2026</t>
        </is>
      </c>
      <c r="H10478" s="10" t="inlineStr">
        <is>
          <t>31/03/2026</t>
        </is>
      </c>
      <c r="I10478" s="10" t="inlineStr">
        <is>
          <t>17/03/2026</t>
        </is>
      </c>
      <c r="J10478" s="10" t="inlineStr">
        <is>
          <t>Kế toán / Kiểm toán, An toàn lao động, Xây dựng</t>
        </is>
      </c>
      <c r="K10478" s="10" t="inlineStr">
        <is>
          <t>Lên đến 1 Năm</t>
        </is>
      </c>
      <c r="L10478" s="11">
        <f>HYPERLINK("https://careerviet.vn/vi/tim-viec-lam/nhan-vien-quan-ly-nha-thau-cong-trinh-construction-contractor-management-staff.35C6A21D.html","Xem chi tiết")</f>
        <v/>
      </c>
      <c r="M10478" s="10" t="n"/>
    </row>
    <row r="10479">
      <c r="B10479" s="7" t="n">
        <v>10477</v>
      </c>
      <c r="C10479" t="inlineStr">
        <is>
          <t>Chuyên Viên Tài Chính Doanh Nghiệp</t>
        </is>
      </c>
      <c r="D10479" t="inlineStr">
        <is>
          <t>CÔNG TY CỔ PHẦN ĐẦU TƯ THIÊN ÂN</t>
        </is>
      </c>
      <c r="E10479" t="inlineStr">
        <is>
          <t>Lương:15 Tr - 20 Tr VND</t>
        </is>
      </c>
      <c r="F10479" t="inlineStr">
        <is>
          <t>Hà Nội</t>
        </is>
      </c>
      <c r="G10479" t="inlineStr">
        <is>
          <t>31-03-2026</t>
        </is>
      </c>
      <c r="H10479" t="inlineStr">
        <is>
          <t>31/03/2026</t>
        </is>
      </c>
      <c r="I10479" t="inlineStr">
        <is>
          <t>17/03/2026</t>
        </is>
      </c>
      <c r="J10479" t="inlineStr">
        <is>
          <t>Kế toán / Kiểm toán, Ngân hàng, Tài chính / Đầu tư</t>
        </is>
      </c>
      <c r="K10479" t="inlineStr">
        <is>
          <t>Trên 2 Năm</t>
        </is>
      </c>
      <c r="L10479" s="8">
        <f>HYPERLINK("https://careerviet.vn/vi/tim-viec-lam/chuyen-vien-tai-chinh-doanh-nghiep.35C6A242.html","Xem chi tiết")</f>
        <v/>
      </c>
    </row>
    <row r="10480">
      <c r="B10480" s="9" t="n">
        <v>10478</v>
      </c>
      <c r="C10480" s="10" t="inlineStr">
        <is>
          <t>Nhân viên lễ tân tại Đống Đa - Hà Nội</t>
        </is>
      </c>
      <c r="D10480" s="10" t="inlineStr">
        <is>
          <t>Tổng Công Ty Cổ Phần Bảo Hiểm Ngân Hàng TMCP Công Thương Việt Nam</t>
        </is>
      </c>
      <c r="E10480" s="10" t="inlineStr">
        <is>
          <t>Lương:Cạnh tranh</t>
        </is>
      </c>
      <c r="F10480" s="10" t="inlineStr">
        <is>
          <t>Hà Nội</t>
        </is>
      </c>
      <c r="G10480" s="10" t="inlineStr">
        <is>
          <t>30-03-2026</t>
        </is>
      </c>
      <c r="H10480" s="10" t="inlineStr">
        <is>
          <t>30/03/2026</t>
        </is>
      </c>
      <c r="I10480" s="10" t="inlineStr">
        <is>
          <t>17/03/2026</t>
        </is>
      </c>
      <c r="J10480" s="10" t="inlineStr">
        <is>
          <t>Hành chính / Thư ký, Nhân sự, Bảo hiểm</t>
        </is>
      </c>
      <c r="K10480" s="10" t="inlineStr">
        <is>
          <t>1 - 3 Năm</t>
        </is>
      </c>
      <c r="L10480" s="11">
        <f>HYPERLINK("https://careerviet.vn/vi/tim-viec-lam/nhan-vien-le-tan-tai-dong-da-ha-noi.35C6A221.html","Xem chi tiết")</f>
        <v/>
      </c>
      <c r="M10480" s="10" t="n"/>
    </row>
    <row r="10481">
      <c r="B10481" s="7" t="n">
        <v>10479</v>
      </c>
      <c r="C10481" t="inlineStr">
        <is>
          <t>Product Manager</t>
        </is>
      </c>
      <c r="D10481" t="inlineStr">
        <is>
          <t>IDC Group</t>
        </is>
      </c>
      <c r="E10481" t="inlineStr">
        <is>
          <t>Lương:15 Tr - 25 Tr VND</t>
        </is>
      </c>
      <c r="F10481" t="inlineStr">
        <is>
          <t>Hà Nội</t>
        </is>
      </c>
      <c r="G10481" t="inlineStr">
        <is>
          <t>31-03-2026</t>
        </is>
      </c>
      <c r="H10481" t="inlineStr">
        <is>
          <t>31/03/2026</t>
        </is>
      </c>
      <c r="I10481" t="inlineStr">
        <is>
          <t>17/03/2026</t>
        </is>
      </c>
      <c r="J10481" t="inlineStr">
        <is>
          <t>Bán hàng / Kinh doanh</t>
        </is>
      </c>
      <c r="K10481" t="inlineStr">
        <is>
          <t>3 - 5 Năm</t>
        </is>
      </c>
      <c r="L10481" s="8">
        <f>HYPERLINK("https://careerviet.vn/vi/tim-viec-lam/product-manager.35C6A19A.html","Xem chi tiết")</f>
        <v/>
      </c>
    </row>
    <row r="10482">
      <c r="B10482" s="9" t="n">
        <v>10480</v>
      </c>
      <c r="C10482" s="10" t="inlineStr">
        <is>
          <t>Nhân viên  Marketing Online</t>
        </is>
      </c>
      <c r="D10482" s="10" t="inlineStr">
        <is>
          <t>CÔNG TY TNHH THIẾT BỊ CÔNG NGHIỆP HẢI ÂU VIỆT</t>
        </is>
      </c>
      <c r="E10482" s="10" t="inlineStr">
        <is>
          <t>Lương:8 Tr - 12 Tr VND</t>
        </is>
      </c>
      <c r="F10482" s="10" t="inlineStr">
        <is>
          <t>Hồ Chí Minh</t>
        </is>
      </c>
      <c r="G10482" s="10" t="inlineStr">
        <is>
          <t>31-03-2026</t>
        </is>
      </c>
      <c r="H10482" s="10" t="inlineStr">
        <is>
          <t>31/03/2026</t>
        </is>
      </c>
      <c r="I10482" s="10" t="inlineStr">
        <is>
          <t>17/03/2026</t>
        </is>
      </c>
      <c r="J10482" s="10" t="inlineStr">
        <is>
          <t>Tiếp thị / Marketing</t>
        </is>
      </c>
      <c r="K10482" s="10" t="inlineStr">
        <is>
          <t>N/A</t>
        </is>
      </c>
      <c r="L10482" s="11">
        <f>HYPERLINK("https://careerviet.vn/vi/tim-viec-lam/nhan-vien-marketing-online.35C6A23F.html","Xem chi tiết")</f>
        <v/>
      </c>
      <c r="M10482" s="10" t="n"/>
    </row>
    <row r="10483">
      <c r="B10483" s="7" t="n">
        <v>10481</v>
      </c>
      <c r="C10483" t="inlineStr">
        <is>
          <t>Kế toán trưởng công ty thương mại LV tại Mễ Trì</t>
        </is>
      </c>
      <c r="D10483" t="inlineStr">
        <is>
          <t>CÔNG TY CỔ PHẦN PHÁT TRIỂN CƠ ĐIỆN LẠNH HOÀNG ĐẠT</t>
        </is>
      </c>
      <c r="E10483" t="inlineStr">
        <is>
          <t>Lương:30 Tr - 35 Tr VND</t>
        </is>
      </c>
      <c r="F10483" t="inlineStr">
        <is>
          <t>Hà Nội</t>
        </is>
      </c>
      <c r="G10483" t="inlineStr">
        <is>
          <t>31-03-2026</t>
        </is>
      </c>
      <c r="H10483" t="inlineStr">
        <is>
          <t>31/03/2026</t>
        </is>
      </c>
      <c r="I10483" t="inlineStr">
        <is>
          <t>17/03/2026</t>
        </is>
      </c>
      <c r="J10483" t="inlineStr">
        <is>
          <t>Kế toán / Kiểm toán</t>
        </is>
      </c>
      <c r="K10483" t="inlineStr">
        <is>
          <t>5 - 10 Năm</t>
        </is>
      </c>
      <c r="L10483" s="8">
        <f>HYPERLINK("https://careerviet.vn/vi/tim-viec-lam/ke-toan-truong-cong-ty-thuong-mai-lv-tai-me-tri.35C6A25D.html","Xem chi tiết")</f>
        <v/>
      </c>
    </row>
    <row r="10484">
      <c r="B10484" s="9" t="n">
        <v>10482</v>
      </c>
      <c r="C10484" s="10" t="inlineStr">
        <is>
          <t>Nhân viên Văn thư Lưu trữ</t>
        </is>
      </c>
      <c r="D10484" s="10" t="inlineStr">
        <is>
          <t>CÔNG TY CỔ PHẦN ĐẦU TƯ THIÊN ÂN</t>
        </is>
      </c>
      <c r="E10484" s="10" t="inlineStr">
        <is>
          <t>Lương:10 Tr - 15 Tr VND</t>
        </is>
      </c>
      <c r="F10484" s="10" t="inlineStr">
        <is>
          <t>Hà Nội</t>
        </is>
      </c>
      <c r="G10484" s="10" t="inlineStr">
        <is>
          <t>31-03-2026</t>
        </is>
      </c>
      <c r="H10484" s="10" t="inlineStr">
        <is>
          <t>31/03/2026</t>
        </is>
      </c>
      <c r="I10484" s="10" t="inlineStr">
        <is>
          <t>17/03/2026</t>
        </is>
      </c>
      <c r="J10484" s="10" t="inlineStr">
        <is>
          <t>Hành chính / Thư ký, Nhân sự, Xây dựng</t>
        </is>
      </c>
      <c r="K10484" s="10" t="inlineStr">
        <is>
          <t>Trên 2 Năm</t>
        </is>
      </c>
      <c r="L10484" s="11">
        <f>HYPERLINK("https://careerviet.vn/vi/tim-viec-lam/nhan-vien-van-thu-luu-tru.35C6A24B.html","Xem chi tiết")</f>
        <v/>
      </c>
      <c r="M10484" s="10" t="n"/>
    </row>
    <row r="10485">
      <c r="B10485" s="7" t="n">
        <v>10483</v>
      </c>
      <c r="C10485" t="inlineStr">
        <is>
          <t>Nhân viên nhân sự</t>
        </is>
      </c>
      <c r="D10485" t="inlineStr">
        <is>
          <t>Công Ty TNHH Xây Dựng Solutions</t>
        </is>
      </c>
      <c r="E10485" t="inlineStr">
        <is>
          <t>Lương:Cạnh tranh</t>
        </is>
      </c>
      <c r="F10485" t="inlineStr">
        <is>
          <t>Hồ Chí Minh</t>
        </is>
      </c>
      <c r="G10485" t="inlineStr">
        <is>
          <t>31-03-2026</t>
        </is>
      </c>
      <c r="H10485" t="inlineStr">
        <is>
          <t>31/03/2026</t>
        </is>
      </c>
      <c r="I10485" t="inlineStr">
        <is>
          <t>17/03/2026</t>
        </is>
      </c>
      <c r="J10485" t="inlineStr">
        <is>
          <t>Nhân sự, Xây dựng, Luật / Pháp lý</t>
        </is>
      </c>
      <c r="K10485" t="inlineStr">
        <is>
          <t>2 - 3 Năm</t>
        </is>
      </c>
      <c r="L10485" s="8">
        <f>HYPERLINK("https://careerviet.vn/vi/tim-viec-lam/nhan-vien-nhan-su.35C6A176.html","Xem chi tiết")</f>
        <v/>
      </c>
    </row>
    <row r="10486">
      <c r="B10486" s="9" t="n">
        <v>10484</v>
      </c>
      <c r="C10486" s="10" t="inlineStr">
        <is>
          <t>Tuyển gấp Giám sát bán hàng KV Bắc Trung Bộ (Supervisor)</t>
        </is>
      </c>
      <c r="D10486" s="10" t="inlineStr">
        <is>
          <t>CÔNG TY CỔ PHẦN PHÁT TRIỂN CƠ ĐIỆN LẠNH HOÀNG ĐẠT</t>
        </is>
      </c>
      <c r="E10486" s="10" t="inlineStr">
        <is>
          <t>Lương:25 Tr - 35 Tr VND</t>
        </is>
      </c>
      <c r="F10486" s="10" t="inlineStr">
        <is>
          <t>Hà Nội</t>
        </is>
      </c>
      <c r="G10486" s="10" t="inlineStr">
        <is>
          <t>31-03-2026</t>
        </is>
      </c>
      <c r="H10486" s="10" t="inlineStr">
        <is>
          <t>31/03/2026</t>
        </is>
      </c>
      <c r="I10486" s="10" t="inlineStr">
        <is>
          <t>17/03/2026</t>
        </is>
      </c>
      <c r="J10486" s="10" t="inlineStr">
        <is>
          <t>Bán lẻ / Bán sỉ, Bán hàng / Kinh doanh, Xây dựng</t>
        </is>
      </c>
      <c r="K10486" s="10" t="inlineStr">
        <is>
          <t>2 - 3 Năm</t>
        </is>
      </c>
      <c r="L10486" s="11">
        <f>HYPERLINK("https://careerviet.vn/vi/tim-viec-lam/tuyen-gap-giam-sat-ban-hang-kv-bac-trung-bo-supervisor.35C6A25C.html","Xem chi tiết")</f>
        <v/>
      </c>
      <c r="M10486" s="10" t="n"/>
    </row>
    <row r="10487">
      <c r="B10487" s="7" t="n">
        <v>10485</v>
      </c>
      <c r="C10487" t="inlineStr">
        <is>
          <t>Nhân viên quản lí chất lượng (Nhà thầu phụ &amp; ISO)</t>
        </is>
      </c>
      <c r="D10487" t="inlineStr">
        <is>
          <t>Công Ty TNHH Ortholite Việt Nam</t>
        </is>
      </c>
      <c r="E10487" t="inlineStr">
        <is>
          <t>Lương:Cạnh tranh</t>
        </is>
      </c>
      <c r="F10487" t="inlineStr">
        <is>
          <t>Bình Dương</t>
        </is>
      </c>
      <c r="G10487" t="inlineStr">
        <is>
          <t>30-03-2026</t>
        </is>
      </c>
      <c r="H10487" t="inlineStr">
        <is>
          <t>30/03/2026</t>
        </is>
      </c>
      <c r="I10487" t="inlineStr">
        <is>
          <t>17/03/2026</t>
        </is>
      </c>
      <c r="J10487" t="inlineStr">
        <is>
          <t>Môi trường, Dệt may / Da giày / Thời trang, Quản lý chất lượng (QA/QC)</t>
        </is>
      </c>
      <c r="K10487" t="inlineStr">
        <is>
          <t>1 - 2 Năm</t>
        </is>
      </c>
      <c r="L10487" s="8">
        <f>HYPERLINK("https://careerviet.vn/vi/tim-viec-lam/nhan-vien-quan-li-chat-luong-nha-thau-phu-iso.35C6A117.html","Xem chi tiết")</f>
        <v/>
      </c>
    </row>
    <row r="10488">
      <c r="B10488" s="9" t="n">
        <v>10486</v>
      </c>
      <c r="C10488" s="10" t="inlineStr">
        <is>
          <t>Nhân viên kế toán nội bộ</t>
        </is>
      </c>
      <c r="D10488" s="10" t="inlineStr">
        <is>
          <t>Công Ty TNHH Xúc Tiến Thương Mại NBT Holdings</t>
        </is>
      </c>
      <c r="E10488" s="10" t="inlineStr">
        <is>
          <t>Lương:10 Tr - 15 Tr VND</t>
        </is>
      </c>
      <c r="F10488" s="10" t="inlineStr">
        <is>
          <t>Hà Nội</t>
        </is>
      </c>
      <c r="G10488" s="10" t="inlineStr">
        <is>
          <t>13-03-2026</t>
        </is>
      </c>
      <c r="H10488" s="10" t="inlineStr">
        <is>
          <t>15/03/2026</t>
        </is>
      </c>
      <c r="I10488" s="10" t="inlineStr">
        <is>
          <t>17/03/2026</t>
        </is>
      </c>
      <c r="J10488" s="10" t="inlineStr">
        <is>
          <t>Kế toán / Kiểm toán, Hành chính / Thư ký, Sản xuất / Vận hành sản xuất</t>
        </is>
      </c>
      <c r="K10488" s="10" t="inlineStr">
        <is>
          <t>2 - 3 Năm</t>
        </is>
      </c>
      <c r="L10488" s="11">
        <f>HYPERLINK("https://careerviet.vn/vi/tim-viec-lam/nhan-vien-ke-toan-noi-bo.35C6A210.html","Xem chi tiết")</f>
        <v/>
      </c>
      <c r="M10488" s="10" t="n"/>
    </row>
    <row r="10489">
      <c r="B10489" s="7" t="n">
        <v>10487</v>
      </c>
      <c r="C10489" t="inlineStr">
        <is>
          <t>Sales Admin tại Bình Tân</t>
        </is>
      </c>
      <c r="D10489" t="inlineStr">
        <is>
          <t>Công Ty TNHH Tập Đoàn Rita Võ</t>
        </is>
      </c>
      <c r="E10489" t="inlineStr">
        <is>
          <t>Lương:8 Tr - 10 Tr VND</t>
        </is>
      </c>
      <c r="F10489" t="inlineStr">
        <is>
          <t>Hồ Chí Minh</t>
        </is>
      </c>
      <c r="G10489" t="inlineStr">
        <is>
          <t>31-03-2026</t>
        </is>
      </c>
      <c r="H10489" t="inlineStr">
        <is>
          <t>31/03/2026</t>
        </is>
      </c>
      <c r="I10489" t="inlineStr">
        <is>
          <t>17/03/2026</t>
        </is>
      </c>
      <c r="J10489" t="inlineStr">
        <is>
          <t>Bán hàng / Kinh doanh, Bán lẻ / Bán sỉ</t>
        </is>
      </c>
      <c r="K10489" t="inlineStr">
        <is>
          <t>1 - 5 Năm</t>
        </is>
      </c>
      <c r="L10489" s="8">
        <f>HYPERLINK("https://careerviet.vn/vi/tim-viec-lam/sales-admin-tai-binh-tan.35C6A17E.html","Xem chi tiết")</f>
        <v/>
      </c>
    </row>
    <row r="10490">
      <c r="B10490" s="9" t="n">
        <v>10488</v>
      </c>
      <c r="C10490" s="10" t="inlineStr">
        <is>
          <t>Kỹ Sư An Toàn Lao Động</t>
        </is>
      </c>
      <c r="D10490" s="10" t="inlineStr">
        <is>
          <t>CÔNG TY CỔ PHẦN ĐẦU TƯ THIÊN ÂN</t>
        </is>
      </c>
      <c r="E10490" s="10" t="inlineStr">
        <is>
          <t>Lương:15 Tr - 20 Tr VND</t>
        </is>
      </c>
      <c r="F10490" s="10" t="inlineStr">
        <is>
          <t>Bắc GiangHà NộiBắc Ninh</t>
        </is>
      </c>
      <c r="G10490" s="10" t="inlineStr">
        <is>
          <t>31-03-2026</t>
        </is>
      </c>
      <c r="H10490" s="10" t="inlineStr">
        <is>
          <t>31/03/2026</t>
        </is>
      </c>
      <c r="I10490" s="10" t="inlineStr">
        <is>
          <t>17/03/2026</t>
        </is>
      </c>
      <c r="J10490" s="10" t="inlineStr">
        <is>
          <t>An toàn lao động, Kiến trúc, Xây dựng</t>
        </is>
      </c>
      <c r="K10490" s="10" t="inlineStr">
        <is>
          <t>Trên 2 Năm</t>
        </is>
      </c>
      <c r="L10490" s="11">
        <f>HYPERLINK("https://careerviet.vn/vi/tim-viec-lam/ky-su-an-toan-lao-dong.35C6A254.html","Xem chi tiết")</f>
        <v/>
      </c>
      <c r="M10490" s="10" t="n"/>
    </row>
    <row r="10491">
      <c r="B10491" s="7" t="n">
        <v>10489</v>
      </c>
      <c r="C10491" t="inlineStr">
        <is>
          <t>Nhân Viên Digital Marketing</t>
        </is>
      </c>
      <c r="D10491" t="inlineStr">
        <is>
          <t>CÔNG TY TNHH THẨM MỸ QUỐC TẾ LINH ANH</t>
        </is>
      </c>
      <c r="E10491" t="inlineStr">
        <is>
          <t>Lương:12 Tr - 20 Tr VND</t>
        </is>
      </c>
      <c r="F10491" t="inlineStr">
        <is>
          <t>Hồ Chí Minh</t>
        </is>
      </c>
      <c r="G10491" t="inlineStr">
        <is>
          <t>11-04-2026</t>
        </is>
      </c>
      <c r="H10491" t="inlineStr">
        <is>
          <t>11/04/2026</t>
        </is>
      </c>
      <c r="I10491" t="inlineStr">
        <is>
          <t>17/03/2026</t>
        </is>
      </c>
      <c r="J10491" t="inlineStr">
        <is>
          <t>Tiếp thị / Marketing</t>
        </is>
      </c>
      <c r="K10491" t="inlineStr">
        <is>
          <t>1 - 5 Năm</t>
        </is>
      </c>
      <c r="L10491" s="8">
        <f>HYPERLINK("https://careerviet.vn/vi/tim-viec-lam/nhan-vien-digital-marketing.35C6A12D.html","Xem chi tiết")</f>
        <v/>
      </c>
    </row>
    <row r="10492">
      <c r="B10492" s="9" t="n">
        <v>10490</v>
      </c>
      <c r="C10492" s="10" t="inlineStr">
        <is>
          <t>Trưởng Ban Thanh Tra Xây Dựng</t>
        </is>
      </c>
      <c r="D10492" s="10" t="inlineStr">
        <is>
          <t>Công ty cổ phần Tập đoàn Danko</t>
        </is>
      </c>
      <c r="E10492" s="10" t="inlineStr">
        <is>
          <t>Lương:40 Tr - 60 Tr VND</t>
        </is>
      </c>
      <c r="F10492" s="10" t="inlineStr">
        <is>
          <t>Hà Nội</t>
        </is>
      </c>
      <c r="G10492" s="10" t="inlineStr">
        <is>
          <t>31-03-2026</t>
        </is>
      </c>
      <c r="H10492" s="10" t="inlineStr">
        <is>
          <t>31/03/2026</t>
        </is>
      </c>
      <c r="I10492" s="10" t="inlineStr">
        <is>
          <t>17/03/2026</t>
        </is>
      </c>
      <c r="J10492" s="10" t="inlineStr">
        <is>
          <t>Kiến trúc, Xây dựng, Bất động sản</t>
        </is>
      </c>
      <c r="K10492" s="10" t="inlineStr">
        <is>
          <t>Trên 10 Năm</t>
        </is>
      </c>
      <c r="L10492" s="11">
        <f>HYPERLINK("https://careerviet.vn/vi/tim-viec-lam/truong-ban-thanh-tra-xay-dung.35C6A1A1.html","Xem chi tiết")</f>
        <v/>
      </c>
      <c r="M10492" s="10" t="n"/>
    </row>
    <row r="10493">
      <c r="B10493" s="7" t="n">
        <v>10491</v>
      </c>
      <c r="C10493" t="inlineStr">
        <is>
          <t>Kỹ thuật viên bảo trì (máy/ dây chuyền sản xuất)</t>
        </is>
      </c>
      <c r="D10493" t="inlineStr">
        <is>
          <t>Công Ty TNHH Ortholite Việt Nam</t>
        </is>
      </c>
      <c r="E10493" t="inlineStr">
        <is>
          <t>Lương:Cạnh tranh</t>
        </is>
      </c>
      <c r="F10493" t="inlineStr">
        <is>
          <t>Bình Dương</t>
        </is>
      </c>
      <c r="G10493" t="inlineStr">
        <is>
          <t>30-03-2026</t>
        </is>
      </c>
      <c r="H10493" t="inlineStr">
        <is>
          <t>30/03/2026</t>
        </is>
      </c>
      <c r="I10493" t="inlineStr">
        <is>
          <t>17/03/2026</t>
        </is>
      </c>
      <c r="J10493" t="inlineStr">
        <is>
          <t>Cơ khí / Ô tô / Tự động hóa, Sản xuất / Vận hành sản xuất, Điện / Điện tử / Điện lạnh / Điện công nghiệp</t>
        </is>
      </c>
      <c r="K10493" t="inlineStr">
        <is>
          <t>2 - 3 Năm</t>
        </is>
      </c>
      <c r="L10493" s="8">
        <f>HYPERLINK("https://careerviet.vn/vi/tim-viec-lam/ky-thuat-vien-bao-tri-may-day-chuyen-san-xuat.35C6A15E.html","Xem chi tiết")</f>
        <v/>
      </c>
    </row>
    <row r="10494">
      <c r="B10494" s="9" t="n">
        <v>10492</v>
      </c>
      <c r="C10494" s="10" t="inlineStr">
        <is>
          <t>Trưởng phòng kinh doanh thời trang</t>
        </is>
      </c>
      <c r="D10494" s="10" t="inlineStr">
        <is>
          <t>Công Ty TNHH Sơn Tùng</t>
        </is>
      </c>
      <c r="E10494" s="10" t="inlineStr">
        <is>
          <t>Lương:20 Tr - 25 Tr VND</t>
        </is>
      </c>
      <c r="F10494" s="10" t="inlineStr">
        <is>
          <t>Hồ Chí Minh</t>
        </is>
      </c>
      <c r="G10494" s="10" t="inlineStr">
        <is>
          <t>31-03-2026</t>
        </is>
      </c>
      <c r="H10494" s="10" t="inlineStr">
        <is>
          <t>31/03/2026</t>
        </is>
      </c>
      <c r="I10494" s="10" t="inlineStr">
        <is>
          <t>17/03/2026</t>
        </is>
      </c>
      <c r="J10494" s="10" t="inlineStr">
        <is>
          <t>Tiếp thị / Marketing, Bán lẻ / Bán sỉ, Bán hàng / Kinh doanh</t>
        </is>
      </c>
      <c r="K10494" s="10" t="inlineStr">
        <is>
          <t>2 - 3 Năm</t>
        </is>
      </c>
      <c r="L10494" s="11">
        <f>HYPERLINK("https://careerviet.vn/vi/tim-viec-lam/truong-phong-kinh-doanh-thoi-trang.35C6A1EE.html","Xem chi tiết")</f>
        <v/>
      </c>
      <c r="M10494" s="10" t="n"/>
    </row>
    <row r="10495">
      <c r="B10495" s="7" t="n">
        <v>10493</v>
      </c>
      <c r="C10495" t="inlineStr">
        <is>
          <t>Trưởng phòng Thủ tục và CSKH</t>
        </is>
      </c>
      <c r="D10495" t="inlineStr">
        <is>
          <t>Công ty cổ phần Tập đoàn Danko</t>
        </is>
      </c>
      <c r="E10495" t="inlineStr">
        <is>
          <t>Lương:30 Tr - 45 Tr VND</t>
        </is>
      </c>
      <c r="F10495" t="inlineStr">
        <is>
          <t>Hà Nội</t>
        </is>
      </c>
      <c r="G10495" t="inlineStr">
        <is>
          <t>31-03-2026</t>
        </is>
      </c>
      <c r="H10495" t="inlineStr">
        <is>
          <t>31/03/2026</t>
        </is>
      </c>
      <c r="I10495" t="inlineStr">
        <is>
          <t>17/03/2026</t>
        </is>
      </c>
      <c r="J10495" t="inlineStr">
        <is>
          <t>Tư vấn, Dịch vụ khách hàng, Bất động sản</t>
        </is>
      </c>
      <c r="K10495" t="inlineStr">
        <is>
          <t>Trên 10 Năm</t>
        </is>
      </c>
      <c r="L10495" s="8">
        <f>HYPERLINK("https://careerviet.vn/vi/tim-viec-lam/truong-phong-thu-tuc-va-cskh.35C6A19D.html","Xem chi tiết")</f>
        <v/>
      </c>
    </row>
    <row r="10496">
      <c r="B10496" s="9" t="n">
        <v>10494</v>
      </c>
      <c r="C10496" s="10" t="inlineStr">
        <is>
          <t>CHUYÊN VIÊN PHÂN TÍCH NGHIỆP VỤ ERP</t>
        </is>
      </c>
      <c r="D10496" s="10" t="inlineStr">
        <is>
          <t>Công ty Cổ phần CANIFA</t>
        </is>
      </c>
      <c r="E10496" s="10" t="inlineStr">
        <is>
          <t>Lương:16 Tr - 30 Tr VND</t>
        </is>
      </c>
      <c r="F10496" s="10" t="inlineStr">
        <is>
          <t>Hà Nội</t>
        </is>
      </c>
      <c r="G10496" s="10" t="inlineStr">
        <is>
          <t>12-04-2026</t>
        </is>
      </c>
      <c r="H10496" s="10" t="inlineStr">
        <is>
          <t>12/04/2026</t>
        </is>
      </c>
      <c r="I10496" s="10" t="inlineStr">
        <is>
          <t>17/03/2026</t>
        </is>
      </c>
      <c r="J10496" s="10" t="inlineStr">
        <is>
          <t>Kế toán / Kiểm toán, CNTT - Phần mềm</t>
        </is>
      </c>
      <c r="K10496" s="10" t="inlineStr">
        <is>
          <t>2 - 5 Năm</t>
        </is>
      </c>
      <c r="L10496" s="11">
        <f>HYPERLINK("https://careerviet.vn/vi/tim-viec-lam/chuyen-vien-phan-tich-nghiep-vu-erp.35C68663.html","Xem chi tiết")</f>
        <v/>
      </c>
      <c r="M10496" s="10" t="n"/>
    </row>
    <row r="10497">
      <c r="B10497" s="7" t="n">
        <v>10495</v>
      </c>
      <c r="C10497" t="inlineStr">
        <is>
          <t>nhân viên chăm sóc khách hàng - Thẩm mỹ viện</t>
        </is>
      </c>
      <c r="D10497" t="inlineStr">
        <is>
          <t>CÔNG TY TNHH THẨM MỸ QUỐC TẾ LINH ANH</t>
        </is>
      </c>
      <c r="E10497" t="inlineStr">
        <is>
          <t>Lương:15 Tr - 30 Tr VND</t>
        </is>
      </c>
      <c r="F10497" t="inlineStr">
        <is>
          <t>Đồng Nai</t>
        </is>
      </c>
      <c r="G10497" t="inlineStr">
        <is>
          <t>25-03-2026</t>
        </is>
      </c>
      <c r="H10497" t="inlineStr">
        <is>
          <t>25/03/2026</t>
        </is>
      </c>
      <c r="I10497" t="inlineStr">
        <is>
          <t>17/03/2026</t>
        </is>
      </c>
      <c r="J10497" t="inlineStr">
        <is>
          <t>Y tế / Chăm sóc sức khỏe / Thẩm mỹ / Làm đẹp</t>
        </is>
      </c>
      <c r="K10497" t="inlineStr">
        <is>
          <t>1 - 2 Năm</t>
        </is>
      </c>
      <c r="L10497" s="8">
        <f>HYPERLINK("https://careerviet.vn/vi/tim-viec-lam/nhan-vien-cham-soc-khach-hang-tham-my-vien.35C6A1CF.html","Xem chi tiết")</f>
        <v/>
      </c>
    </row>
    <row r="10498">
      <c r="B10498" s="9" t="n">
        <v>10496</v>
      </c>
      <c r="C10498" s="10" t="inlineStr">
        <is>
          <t>Trợ lý quản lý phòng kinh doanh nguồn vốn</t>
        </is>
      </c>
      <c r="D10498" s="10" t="inlineStr">
        <is>
          <t>HR Vietnam’s ESS Client</t>
        </is>
      </c>
      <c r="E10498" s="10" t="inlineStr">
        <is>
          <t>Lương:Cạnh tranh</t>
        </is>
      </c>
      <c r="F10498" s="10" t="inlineStr">
        <is>
          <t>Hồ Chí Minh</t>
        </is>
      </c>
      <c r="G10498" s="10" t="inlineStr">
        <is>
          <t>12-04-2026</t>
        </is>
      </c>
      <c r="H10498" s="10" t="inlineStr">
        <is>
          <t>12/04/2026</t>
        </is>
      </c>
      <c r="I10498" s="10" t="inlineStr">
        <is>
          <t>17/03/2026</t>
        </is>
      </c>
      <c r="J10498" s="10" t="inlineStr">
        <is>
          <t>Ngân hàng, Tài chính / Đầu tư</t>
        </is>
      </c>
      <c r="K10498" s="10" t="inlineStr">
        <is>
          <t>Trên 2 Năm</t>
        </is>
      </c>
      <c r="L10498" s="11">
        <f>HYPERLINK("https://careerviet.vn/vi/tim-viec-lam/tro-ly-quan-ly-phong-kinh-doanh-nguon-von.35C6868C.html","Xem chi tiết")</f>
        <v/>
      </c>
      <c r="M10498" s="10" t="n"/>
    </row>
    <row r="10499">
      <c r="B10499" s="7" t="n">
        <v>10497</v>
      </c>
      <c r="C10499" t="inlineStr">
        <is>
          <t>Nhân Viên Lễ Tân Toà Nhà</t>
        </is>
      </c>
      <c r="D10499" t="inlineStr">
        <is>
          <t>TẬP ĐOÀN ĐẦU TƯ KINH ĐÔ</t>
        </is>
      </c>
      <c r="E10499" t="inlineStr">
        <is>
          <t>Lương:7 Tr - 8 Tr VND</t>
        </is>
      </c>
      <c r="F10499" t="inlineStr">
        <is>
          <t>Hà Nội</t>
        </is>
      </c>
      <c r="G10499" t="inlineStr">
        <is>
          <t>31-03-2026</t>
        </is>
      </c>
      <c r="H10499" t="inlineStr">
        <is>
          <t>31/03/2026</t>
        </is>
      </c>
      <c r="I10499" t="inlineStr">
        <is>
          <t>17/03/2026</t>
        </is>
      </c>
      <c r="J10499" t="inlineStr">
        <is>
          <t>Hành chính / Thư ký, Nhà hàng / Khách sạn, Dịch vụ khách hàng</t>
        </is>
      </c>
      <c r="K10499" t="inlineStr">
        <is>
          <t>1 - 2 Năm</t>
        </is>
      </c>
      <c r="L10499" s="8">
        <f>HYPERLINK("https://careerviet.vn/vi/tim-viec-lam/nhan-vien-le-tan-toa-nha.35C6A162.html","Xem chi tiết")</f>
        <v/>
      </c>
    </row>
    <row r="10500">
      <c r="B10500" s="9" t="n">
        <v>10498</v>
      </c>
      <c r="C10500" s="10" t="inlineStr">
        <is>
          <t>Bác sĩ Thẩm mỹ (Nội khoa - Da liễu)</t>
        </is>
      </c>
      <c r="D10500" s="10" t="inlineStr">
        <is>
          <t>CÔNG TY TNHH THẨM MỸ QUỐC TẾ LINH ANH</t>
        </is>
      </c>
      <c r="E10500" s="10" t="inlineStr">
        <is>
          <t>Lương:50 Tr - 120 Tr VND</t>
        </is>
      </c>
      <c r="F10500" s="10" t="inlineStr">
        <is>
          <t>Hồ Chí Minh</t>
        </is>
      </c>
      <c r="G10500" s="10" t="inlineStr">
        <is>
          <t>09-05-2026</t>
        </is>
      </c>
      <c r="H10500" s="10" t="inlineStr">
        <is>
          <t>09/05/2026</t>
        </is>
      </c>
      <c r="I10500" s="10" t="inlineStr">
        <is>
          <t>17/03/2026</t>
        </is>
      </c>
      <c r="J10500" s="10" t="inlineStr">
        <is>
          <t>Y tế / Chăm sóc sức khỏe / Thẩm mỹ / Làm đẹp, Tư vấn, Dược phẩm/ Hóa Mỹ Phẩm</t>
        </is>
      </c>
      <c r="K10500" s="10" t="inlineStr">
        <is>
          <t>3 - 5 Năm</t>
        </is>
      </c>
      <c r="L10500" s="11">
        <f>HYPERLINK("https://careerviet.vn/vi/tim-viec-lam/bac-si-tham-my-noi-khoa-da-lieu.35C6A13A.html","Xem chi tiết")</f>
        <v/>
      </c>
      <c r="M10500" s="10" t="n"/>
    </row>
    <row r="10501">
      <c r="B10501" s="7" t="n">
        <v>10499</v>
      </c>
      <c r="C10501" t="inlineStr">
        <is>
          <t>Chuyên Viên Giải Phóng Mặt Bằng</t>
        </is>
      </c>
      <c r="D10501" t="inlineStr">
        <is>
          <t>CÔNG TY CỔ PHẦN ĐẦU TƯ THIÊN ÂN</t>
        </is>
      </c>
      <c r="E10501" t="inlineStr">
        <is>
          <t>Lương:15 Tr - 20 Tr VND</t>
        </is>
      </c>
      <c r="F10501" t="inlineStr">
        <is>
          <t>Hà NộiBắc GiangBắc Ninh</t>
        </is>
      </c>
      <c r="G10501" t="inlineStr">
        <is>
          <t>31-03-2026</t>
        </is>
      </c>
      <c r="H10501" t="inlineStr">
        <is>
          <t>31/03/2026</t>
        </is>
      </c>
      <c r="I10501" t="inlineStr">
        <is>
          <t>17/03/2026</t>
        </is>
      </c>
      <c r="J10501" t="inlineStr">
        <is>
          <t>Kiến trúc, Xây dựng, Bất động sản</t>
        </is>
      </c>
      <c r="K10501" t="inlineStr">
        <is>
          <t>Trên 3 Năm</t>
        </is>
      </c>
      <c r="L10501" s="8">
        <f>HYPERLINK("https://careerviet.vn/vi/tim-viec-lam/chuyen-vien-giai-phong-mat-bang.35C6A244.html","Xem chi tiết")</f>
        <v/>
      </c>
    </row>
    <row r="10502">
      <c r="B10502" s="9" t="n">
        <v>10500</v>
      </c>
      <c r="C10502" s="10" t="inlineStr">
        <is>
          <t>Nhân Viên Điều Phối Đào Tạo</t>
        </is>
      </c>
      <c r="D10502" s="10" t="inlineStr">
        <is>
          <t>Công ty TNHH ADC</t>
        </is>
      </c>
      <c r="E10502" s="10" t="inlineStr">
        <is>
          <t>Lương:Cạnh tranh</t>
        </is>
      </c>
      <c r="F10502" s="10" t="inlineStr">
        <is>
          <t>Hồ Chí Minh</t>
        </is>
      </c>
      <c r="G10502" s="10" t="inlineStr">
        <is>
          <t>24-03-2026</t>
        </is>
      </c>
      <c r="H10502" s="10" t="inlineStr">
        <is>
          <t>24/03/2026</t>
        </is>
      </c>
      <c r="I10502" s="10" t="inlineStr">
        <is>
          <t>17/03/2026</t>
        </is>
      </c>
      <c r="J10502" s="10" t="inlineStr">
        <is>
          <t>Giáo dục / Đào tạo, Nhân sự, Nông nghiệp</t>
        </is>
      </c>
      <c r="K10502" s="10" t="inlineStr">
        <is>
          <t>2 - 3 Năm</t>
        </is>
      </c>
      <c r="L10502" s="11">
        <f>HYPERLINK("https://careerviet.vn/vi/tim-viec-lam/nhan-vien-dieu-phoi-dao-tao.35C6A1BA.html","Xem chi tiết")</f>
        <v/>
      </c>
      <c r="M10502" s="10" t="n"/>
    </row>
    <row r="10503">
      <c r="B10503" s="7" t="n">
        <v>10501</v>
      </c>
      <c r="C10503" t="inlineStr">
        <is>
          <t>Quản lý sản xuất</t>
        </is>
      </c>
      <c r="D10503" t="inlineStr">
        <is>
          <t>Công ty Cổ phần Đồng phục Phương Thảo</t>
        </is>
      </c>
      <c r="E10503" t="inlineStr">
        <is>
          <t>Lương:20 Tr - 25 Tr VND</t>
        </is>
      </c>
      <c r="F10503" t="inlineStr">
        <is>
          <t>Hà Nội</t>
        </is>
      </c>
      <c r="G10503" t="inlineStr">
        <is>
          <t>31-03-2026</t>
        </is>
      </c>
      <c r="H10503" t="inlineStr">
        <is>
          <t>31/03/2026</t>
        </is>
      </c>
      <c r="I10503" t="inlineStr">
        <is>
          <t>17/03/2026</t>
        </is>
      </c>
      <c r="J10503" t="inlineStr">
        <is>
          <t>Dệt may / Da giày / Thời trang</t>
        </is>
      </c>
      <c r="K10503" t="inlineStr">
        <is>
          <t>4 - 5 Năm</t>
        </is>
      </c>
      <c r="L10503" s="8">
        <f>HYPERLINK("https://careerviet.vn/vi/tim-viec-lam/quan-ly-san-xuat.35C6A130.html","Xem chi tiết")</f>
        <v/>
      </c>
    </row>
    <row r="10504">
      <c r="B10504" s="9" t="n">
        <v>10502</v>
      </c>
      <c r="C10504" s="10" t="inlineStr">
        <is>
          <t>Biên phiên dịch tiếng Trung</t>
        </is>
      </c>
      <c r="D10504" s="10" t="inlineStr">
        <is>
          <t>CÔNG TY TNHH SYNCMOLD ĐỒNG NAI</t>
        </is>
      </c>
      <c r="E10504" s="10" t="inlineStr">
        <is>
          <t>Lương:Cạnh tranh</t>
        </is>
      </c>
      <c r="F10504" s="10" t="inlineStr">
        <is>
          <t>Đồng Nai</t>
        </is>
      </c>
      <c r="G10504" s="10" t="inlineStr">
        <is>
          <t>12-04-2026</t>
        </is>
      </c>
      <c r="H10504" s="10" t="inlineStr">
        <is>
          <t>12/04/2026</t>
        </is>
      </c>
      <c r="I10504" s="10" t="inlineStr">
        <is>
          <t>17/03/2026</t>
        </is>
      </c>
      <c r="J10504" s="10" t="inlineStr">
        <is>
          <t>Biên phiên dịch</t>
        </is>
      </c>
      <c r="K10504" s="10" t="inlineStr">
        <is>
          <t>Chưa có kinh nghiệm</t>
        </is>
      </c>
      <c r="L10504" s="11">
        <f>HYPERLINK("https://careerviet.vn/vi/tim-viec-lam/bien-phien-dich-tieng-trung.35C65506.html","Xem chi tiết")</f>
        <v/>
      </c>
      <c r="M10504" s="10" t="n"/>
    </row>
    <row r="10505">
      <c r="B10505" s="7" t="n">
        <v>10503</v>
      </c>
      <c r="C10505" t="inlineStr">
        <is>
          <t>Chuyên viên Kiểm soát tuân thủ</t>
        </is>
      </c>
      <c r="D10505" t="inlineStr">
        <is>
          <t>Công Ty CP XNK Hóa Chất &amp; Thiết Bị Kim Ngưu</t>
        </is>
      </c>
      <c r="E10505" t="inlineStr">
        <is>
          <t>Lương:Cạnh tranh</t>
        </is>
      </c>
      <c r="F10505" t="inlineStr">
        <is>
          <t>Hà Nội</t>
        </is>
      </c>
      <c r="G10505" t="inlineStr">
        <is>
          <t>30-03-2026</t>
        </is>
      </c>
      <c r="H10505" t="inlineStr">
        <is>
          <t>30/03/2026</t>
        </is>
      </c>
      <c r="I10505" t="inlineStr">
        <is>
          <t>17/03/2026</t>
        </is>
      </c>
      <c r="J10505" t="inlineStr">
        <is>
          <t>Kế toán / Kiểm toán, Quản lý điều hành, Quản lý chất lượng (QA/QC)</t>
        </is>
      </c>
      <c r="K10505" t="inlineStr">
        <is>
          <t>3 - 5 Năm</t>
        </is>
      </c>
      <c r="L10505" s="8">
        <f>HYPERLINK("https://careerviet.vn/vi/tim-viec-lam/chuyen-vien-kiem-soat-tuan-thu.35C6A190.html","Xem chi tiết")</f>
        <v/>
      </c>
    </row>
    <row r="10506">
      <c r="B10506" s="9" t="n">
        <v>10504</v>
      </c>
      <c r="C10506" s="10" t="inlineStr">
        <is>
          <t>HSE Officer</t>
        </is>
      </c>
      <c r="D10506" s="10" t="inlineStr">
        <is>
          <t>Công Ty TNHH Apparel Far Eastern (Việt Nam)</t>
        </is>
      </c>
      <c r="E10506" s="10" t="inlineStr">
        <is>
          <t>Lương:13 Tr - 18 Tr VND</t>
        </is>
      </c>
      <c r="F10506" s="10" t="inlineStr">
        <is>
          <t>Bình Dương</t>
        </is>
      </c>
      <c r="G10506" s="10" t="inlineStr">
        <is>
          <t>12-04-2026</t>
        </is>
      </c>
      <c r="H10506" s="10" t="inlineStr">
        <is>
          <t>12/04/2026</t>
        </is>
      </c>
      <c r="I10506" s="10" t="inlineStr">
        <is>
          <t>17/03/2026</t>
        </is>
      </c>
      <c r="J10506" s="10" t="inlineStr">
        <is>
          <t>Nhân sự, Môi trường, An toàn lao động</t>
        </is>
      </c>
      <c r="K10506" s="10" t="inlineStr">
        <is>
          <t>N/A</t>
        </is>
      </c>
      <c r="L10506" s="11">
        <f>HYPERLINK("https://careerviet.vn/vi/tim-viec-lam/hse-officer.35C686E2.html","Xem chi tiết")</f>
        <v/>
      </c>
      <c r="M10506" s="10" t="n"/>
    </row>
    <row r="10507">
      <c r="B10507" s="7" t="n">
        <v>10505</v>
      </c>
      <c r="C10507" t="inlineStr">
        <is>
          <t>QC Garment Wash ( Nhơn Trạch, Đồng Nai)</t>
        </is>
      </c>
      <c r="D10507" t="inlineStr">
        <is>
          <t>Un-Available LTD Co.,</t>
        </is>
      </c>
      <c r="E10507" t="inlineStr">
        <is>
          <t>Lương:Cạnh tranh</t>
        </is>
      </c>
      <c r="F10507" t="inlineStr">
        <is>
          <t>Hồ Chí Minh</t>
        </is>
      </c>
      <c r="G10507" t="inlineStr">
        <is>
          <t>12-04-2026</t>
        </is>
      </c>
      <c r="H10507" t="inlineStr">
        <is>
          <t>12/04/2026</t>
        </is>
      </c>
      <c r="I10507" t="inlineStr">
        <is>
          <t>17/03/2026</t>
        </is>
      </c>
      <c r="J10507" t="inlineStr">
        <is>
          <t>Dệt may / Da giày / Thời trang, Quản lý chất lượng (QA/QC)</t>
        </is>
      </c>
      <c r="K10507" t="inlineStr">
        <is>
          <t>1 - 2 Năm</t>
        </is>
      </c>
      <c r="L10507" s="8">
        <f>HYPERLINK("https://careerviet.vn/vi/tim-viec-lam/qc-garment-wash-nhon-trach-dong-nai.35C68705.html","Xem chi tiết")</f>
        <v/>
      </c>
    </row>
    <row r="10508">
      <c r="B10508" s="9" t="n">
        <v>10506</v>
      </c>
      <c r="C10508" s="10" t="inlineStr">
        <is>
          <t>Chuyên Viên Thiết kế kiêm Video Editor</t>
        </is>
      </c>
      <c r="D10508" s="10" t="inlineStr">
        <is>
          <t>Công Ty Cổ Phần TEECOM</t>
        </is>
      </c>
      <c r="E10508" s="10" t="inlineStr">
        <is>
          <t>Lương:Cạnh tranh</t>
        </is>
      </c>
      <c r="F10508" s="10" t="inlineStr">
        <is>
          <t>Hồ Chí Minh</t>
        </is>
      </c>
      <c r="G10508" s="10" t="inlineStr">
        <is>
          <t>12-04-2026</t>
        </is>
      </c>
      <c r="H10508" s="10" t="inlineStr">
        <is>
          <t>12/04/2026</t>
        </is>
      </c>
      <c r="I10508" s="10" t="inlineStr">
        <is>
          <t>17/03/2026</t>
        </is>
      </c>
      <c r="J10508" s="10" t="inlineStr">
        <is>
          <t>Mỹ thuật / Nghệ thuật / Thiết kế, In ấn / Xuất bản, Thương mại điện tử</t>
        </is>
      </c>
      <c r="K10508" s="10" t="inlineStr">
        <is>
          <t>4 - 6 Năm</t>
        </is>
      </c>
      <c r="L10508" s="11">
        <f>HYPERLINK("https://careerviet.vn/vi/tim-viec-lam/chuyen-vien-thiet-ke-kiem-video-editor.35C68789.html","Xem chi tiết")</f>
        <v/>
      </c>
      <c r="M10508" s="10" t="n"/>
    </row>
    <row r="10509">
      <c r="B10509" s="7" t="n">
        <v>10507</v>
      </c>
      <c r="C10509" t="inlineStr">
        <is>
          <t>Tân Sơn Nhất – TUYỂN DỤNG NHÂN VIÊN ĐIỀU PHỐI ĐÓN TIỄN KHÁCH HÀNG SÂN BAY</t>
        </is>
      </c>
      <c r="D10509" t="inlineStr">
        <is>
          <t>Công ty Cổ phần Đầu tư Thương mại Kỹ thuật A&amp;T Việt Nam</t>
        </is>
      </c>
      <c r="E10509" t="inlineStr">
        <is>
          <t>Lương:Cạnh tranh</t>
        </is>
      </c>
      <c r="F10509" t="inlineStr">
        <is>
          <t>Hồ Chí Minh</t>
        </is>
      </c>
      <c r="G10509" t="inlineStr">
        <is>
          <t>12-04-2026</t>
        </is>
      </c>
      <c r="H10509" t="inlineStr">
        <is>
          <t>12/04/2026</t>
        </is>
      </c>
      <c r="I10509" t="inlineStr">
        <is>
          <t>17/03/2026</t>
        </is>
      </c>
      <c r="J10509" t="inlineStr">
        <is>
          <t>Nhà hàng / Khách sạn, Hàng không, Du lịch</t>
        </is>
      </c>
      <c r="K10509" t="inlineStr">
        <is>
          <t>1 - 3 Năm</t>
        </is>
      </c>
      <c r="L10509" s="8">
        <f>HYPERLINK("https://careerviet.vn/vi/tim-viec-lam/tan-son-nhat-tuyen-dung-nhan-vien-dieu-phoi-don-tien-khach-hang-san-bay.35C68684.html","Xem chi tiết")</f>
        <v/>
      </c>
    </row>
    <row r="10510">
      <c r="B10510" s="9" t="n">
        <v>10508</v>
      </c>
      <c r="C10510" s="10" t="inlineStr">
        <is>
          <t>General Manager (GM) – RESORT</t>
        </is>
      </c>
      <c r="D10510" s="10" t="inlineStr">
        <is>
          <t>Công Ty Cổ Phần Tập Đoàn Trần Anh Long An</t>
        </is>
      </c>
      <c r="E10510" s="10" t="inlineStr">
        <is>
          <t>Lương:Cạnh tranh</t>
        </is>
      </c>
      <c r="F10510" s="10" t="inlineStr">
        <is>
          <t>Bình Thuận</t>
        </is>
      </c>
      <c r="G10510" s="10" t="inlineStr">
        <is>
          <t>12-04-2026</t>
        </is>
      </c>
      <c r="H10510" s="10" t="inlineStr">
        <is>
          <t>12/04/2026</t>
        </is>
      </c>
      <c r="I10510" s="10" t="inlineStr">
        <is>
          <t>17/03/2026</t>
        </is>
      </c>
      <c r="J10510" s="10" t="inlineStr">
        <is>
          <t>Dịch vụ khách hàng, Quản lý điều hành, Nhà hàng / Khách sạn</t>
        </is>
      </c>
      <c r="K10510" s="10" t="inlineStr">
        <is>
          <t>Trên 3 Năm</t>
        </is>
      </c>
      <c r="L10510" s="11">
        <f>HYPERLINK("https://careerviet.vn/vi/tim-viec-lam/general-manager-gm-resort.35C65489.html","Xem chi tiết")</f>
        <v/>
      </c>
      <c r="M10510" s="10" t="n"/>
    </row>
    <row r="10511">
      <c r="B10511" s="7" t="n">
        <v>10509</v>
      </c>
      <c r="C10511" t="inlineStr">
        <is>
          <t>Production Supervisor</t>
        </is>
      </c>
      <c r="D10511" t="inlineStr">
        <is>
          <t>CÔNG TY TNHH BIGL VIỆT NAM</t>
        </is>
      </c>
      <c r="E10511" t="inlineStr">
        <is>
          <t>Lương:Cạnh tranh</t>
        </is>
      </c>
      <c r="F10511" t="inlineStr">
        <is>
          <t>Thái Nguyên</t>
        </is>
      </c>
      <c r="G10511" t="inlineStr">
        <is>
          <t>12-04-2026</t>
        </is>
      </c>
      <c r="H10511" t="inlineStr">
        <is>
          <t>12/04/2026</t>
        </is>
      </c>
      <c r="I10511" t="inlineStr">
        <is>
          <t>17/03/2026</t>
        </is>
      </c>
      <c r="J10511" t="inlineStr">
        <is>
          <t>Quản lý điều hành, Cơ khí / Ô tô / Tự động hóa, Sản xuất / Vận hành sản xuất</t>
        </is>
      </c>
      <c r="K10511" t="inlineStr">
        <is>
          <t>Trên 5 Năm</t>
        </is>
      </c>
      <c r="L10511" s="8">
        <f>HYPERLINK("https://careerviet.vn/vi/tim-viec-lam/production-supervisor.35C654E5.html","Xem chi tiết")</f>
        <v/>
      </c>
    </row>
    <row r="10512">
      <c r="B10512" s="9" t="n">
        <v>10510</v>
      </c>
      <c r="C10512" s="10" t="inlineStr">
        <is>
          <t>NHÂN VIÊN KẾ TOÁN TIẾNG TRUNG</t>
        </is>
      </c>
      <c r="D10512" s="10" t="inlineStr">
        <is>
          <t>Công ty TNHH Midea Consumer Electric Vietnam</t>
        </is>
      </c>
      <c r="E10512" s="10" t="inlineStr">
        <is>
          <t>Lương:15 Tr - 18 Tr VND</t>
        </is>
      </c>
      <c r="F10512" s="10" t="inlineStr">
        <is>
          <t>Bình Dương</t>
        </is>
      </c>
      <c r="G10512" s="10" t="inlineStr">
        <is>
          <t>12-04-2026</t>
        </is>
      </c>
      <c r="H10512" s="10" t="inlineStr">
        <is>
          <t>12/04/2026</t>
        </is>
      </c>
      <c r="I10512" s="10" t="inlineStr">
        <is>
          <t>17/03/2026</t>
        </is>
      </c>
      <c r="J10512" s="10" t="inlineStr">
        <is>
          <t>Kế toán / Kiểm toán, Tài chính / Đầu tư, Ngành khác</t>
        </is>
      </c>
      <c r="K10512" s="10" t="inlineStr">
        <is>
          <t>2 - 3 Năm</t>
        </is>
      </c>
      <c r="L10512" s="11">
        <f>HYPERLINK("https://careerviet.vn/vi/tim-viec-lam/nhan-vien-ke-toan-tieng-trung.35C654BF.html","Xem chi tiết")</f>
        <v/>
      </c>
      <c r="M10512" s="10" t="n"/>
    </row>
    <row r="10513">
      <c r="B10513" s="7" t="n">
        <v>10511</v>
      </c>
      <c r="C10513" t="inlineStr">
        <is>
          <t>Senior HRBP Executive</t>
        </is>
      </c>
      <c r="D10513" t="inlineStr">
        <is>
          <t>Savills Vietnam</t>
        </is>
      </c>
      <c r="E10513" t="inlineStr">
        <is>
          <t>Lương:Cạnh tranh</t>
        </is>
      </c>
      <c r="F10513" t="inlineStr">
        <is>
          <t>Hồ Chí Minh</t>
        </is>
      </c>
      <c r="G10513" t="inlineStr">
        <is>
          <t>12-04-2026</t>
        </is>
      </c>
      <c r="H10513" t="inlineStr">
        <is>
          <t>12/04/2026</t>
        </is>
      </c>
      <c r="I10513" t="inlineStr">
        <is>
          <t>17/03/2026</t>
        </is>
      </c>
      <c r="J10513" t="inlineStr">
        <is>
          <t>Nhân sự</t>
        </is>
      </c>
      <c r="K10513" t="inlineStr">
        <is>
          <t>2 - 5 Năm</t>
        </is>
      </c>
      <c r="L10513" s="8">
        <f>HYPERLINK("https://careerviet.vn/vi/tim-viec-lam/senior-hrbp-executive.35C685D8.html","Xem chi tiết")</f>
        <v/>
      </c>
    </row>
    <row r="10514">
      <c r="B10514" s="9" t="n">
        <v>10512</v>
      </c>
      <c r="C10514" s="10" t="inlineStr">
        <is>
          <t>Trade Marketing Executive</t>
        </is>
      </c>
      <c r="D10514" s="10" t="inlineStr">
        <is>
          <t>HMK Eyewear</t>
        </is>
      </c>
      <c r="E10514" s="10" t="inlineStr">
        <is>
          <t>Lương:Cạnh tranh</t>
        </is>
      </c>
      <c r="F10514" s="10" t="inlineStr">
        <is>
          <t>Hồ Chí Minh</t>
        </is>
      </c>
      <c r="G10514" s="10" t="inlineStr">
        <is>
          <t>12-04-2026</t>
        </is>
      </c>
      <c r="H10514" s="10" t="inlineStr">
        <is>
          <t>12/04/2026</t>
        </is>
      </c>
      <c r="I10514" s="10" t="inlineStr">
        <is>
          <t>17/03/2026</t>
        </is>
      </c>
      <c r="J10514" s="10" t="inlineStr">
        <is>
          <t>Tiếp thị / Marketing, Quảng cáo / Đối ngoại / Truyền Thông, Tổ chức sự kiện</t>
        </is>
      </c>
      <c r="K10514" s="10" t="inlineStr">
        <is>
          <t>1 - 2 Năm</t>
        </is>
      </c>
      <c r="L10514" s="11">
        <f>HYPERLINK("https://careerviet.vn/vi/tim-viec-lam/trade-marketing-executive.35C6878E.html","Xem chi tiết")</f>
        <v/>
      </c>
      <c r="M10514" s="10" t="n"/>
    </row>
    <row r="10515">
      <c r="B10515" s="7" t="n">
        <v>10513</v>
      </c>
      <c r="C10515" t="inlineStr">
        <is>
          <t>Nhân Viên Vân Hành Máy(dây chuyền sản xuất)</t>
        </is>
      </c>
      <c r="D10515" t="inlineStr">
        <is>
          <t>Công Ty Cổ Phần Mỹ Phẩm Sài Gòn</t>
        </is>
      </c>
      <c r="E10515" t="inlineStr">
        <is>
          <t>Lương:8 Tr - 9 Tr VND</t>
        </is>
      </c>
      <c r="F10515" t="inlineStr">
        <is>
          <t>Hồ Chí Minh</t>
        </is>
      </c>
      <c r="G10515" t="inlineStr">
        <is>
          <t>12-04-2026</t>
        </is>
      </c>
      <c r="H10515" t="inlineStr">
        <is>
          <t>12/04/2026</t>
        </is>
      </c>
      <c r="I10515" t="inlineStr">
        <is>
          <t>17/03/2026</t>
        </is>
      </c>
      <c r="J10515" t="inlineStr">
        <is>
          <t>Bảo trì / Sửa chữa, Cơ khí / Ô tô / Tự động hóa, Sản xuất / Vận hành sản xuất</t>
        </is>
      </c>
      <c r="K10515" t="inlineStr">
        <is>
          <t>Lên đến 1 Năm</t>
        </is>
      </c>
      <c r="L10515" s="8">
        <f>HYPERLINK("https://careerviet.vn/vi/tim-viec-lam/nhan-vien-van-hanh-may-day-chuyen-san-xuat.35C6549F.html","Xem chi tiết")</f>
        <v/>
      </c>
    </row>
    <row r="10516">
      <c r="B10516" s="9" t="n">
        <v>10514</v>
      </c>
      <c r="C10516" s="10" t="inlineStr">
        <is>
          <t>Nhân Viên Marketing Phụ Trách Sàn Thương Mại Điện Tử</t>
        </is>
      </c>
      <c r="D10516" s="10" t="inlineStr">
        <is>
          <t>JoyMall - Nhà Phân Phối Locknlock</t>
        </is>
      </c>
      <c r="E10516" s="10" t="inlineStr">
        <is>
          <t>Lương:7 Tr - 12 Tr VND</t>
        </is>
      </c>
      <c r="F10516" s="10" t="inlineStr">
        <is>
          <t>Hồ Chí Minh</t>
        </is>
      </c>
      <c r="G10516" s="10" t="inlineStr">
        <is>
          <t>12-04-2026</t>
        </is>
      </c>
      <c r="H10516" s="10" t="inlineStr">
        <is>
          <t>12/04/2026</t>
        </is>
      </c>
      <c r="I10516" s="10" t="inlineStr">
        <is>
          <t>17/03/2026</t>
        </is>
      </c>
      <c r="J10516" s="10" t="inlineStr">
        <is>
          <t>Tiếp thị / Marketing, Thương mại điện tử</t>
        </is>
      </c>
      <c r="K10516" s="10" t="inlineStr">
        <is>
          <t>Chưa có kinh nghiệm</t>
        </is>
      </c>
      <c r="L10516" s="11">
        <f>HYPERLINK("https://careerviet.vn/vi/tim-viec-lam/nhan-vien-marketing-phu-trach-san-thuong-mai-dien-tu.35C6548B.html","Xem chi tiết")</f>
        <v/>
      </c>
      <c r="M10516" s="10" t="n"/>
    </row>
    <row r="10517">
      <c r="B10517" s="7" t="n">
        <v>10515</v>
      </c>
      <c r="C10517" t="inlineStr">
        <is>
          <t>Chuyên viên Công nghệ</t>
        </is>
      </c>
      <c r="D10517" t="inlineStr">
        <is>
          <t>Công ty CP Thành Thành Công - Biên Hòa</t>
        </is>
      </c>
      <c r="E10517" t="inlineStr">
        <is>
          <t>Lương:Cạnh tranh</t>
        </is>
      </c>
      <c r="F10517" t="inlineStr">
        <is>
          <t>Tây Ninh</t>
        </is>
      </c>
      <c r="G10517" t="inlineStr">
        <is>
          <t>12-04-2026</t>
        </is>
      </c>
      <c r="H10517" t="inlineStr">
        <is>
          <t>12/04/2026</t>
        </is>
      </c>
      <c r="I10517" t="inlineStr">
        <is>
          <t>17/03/2026</t>
        </is>
      </c>
      <c r="J10517" t="inlineStr">
        <is>
          <t>Công nghệ thực phẩm / Dinh dưỡng, Công nghệ sinh học, Cơ khí / Ô tô / Tự động hóa</t>
        </is>
      </c>
      <c r="K10517" t="inlineStr">
        <is>
          <t>1 - 3 Năm</t>
        </is>
      </c>
      <c r="L10517" s="8">
        <f>HYPERLINK("https://careerviet.vn/vi/tim-viec-lam/chuyen-vien-cong-nghe.35C6869E.html","Xem chi tiết")</f>
        <v/>
      </c>
    </row>
    <row r="10518">
      <c r="B10518" s="9" t="n">
        <v>10516</v>
      </c>
      <c r="C10518" s="10" t="inlineStr">
        <is>
          <t>Cộng Tác Viên Designer</t>
        </is>
      </c>
      <c r="D10518" s="10" t="inlineStr">
        <is>
          <t>CÔNG TY TNHH TRUYỀN THÔNG &amp; DỊCH VỤ BC VIỆT NAM ( BC Agency)</t>
        </is>
      </c>
      <c r="E10518" s="10" t="inlineStr">
        <is>
          <t>Lương:Cạnh tranh</t>
        </is>
      </c>
      <c r="F10518" s="10" t="inlineStr">
        <is>
          <t>Hà Nội</t>
        </is>
      </c>
      <c r="G10518" s="10" t="inlineStr">
        <is>
          <t>12-04-2026</t>
        </is>
      </c>
      <c r="H10518" s="10" t="inlineStr">
        <is>
          <t>12/04/2026</t>
        </is>
      </c>
      <c r="I10518" s="10" t="inlineStr">
        <is>
          <t>17/03/2026</t>
        </is>
      </c>
      <c r="J10518" s="10" t="inlineStr">
        <is>
          <t>Mới tốt nghiệp / Thực tập, Tiếp thị / Marketing, Mỹ thuật / Nghệ thuật / Thiết kế</t>
        </is>
      </c>
      <c r="K10518" s="10" t="inlineStr">
        <is>
          <t>Chưa có kinh nghiệm</t>
        </is>
      </c>
      <c r="L10518" s="11">
        <f>HYPERLINK("https://careerviet.vn/vi/tim-viec-lam/cong-tac-vien-designer.35C686F6.html","Xem chi tiết")</f>
        <v/>
      </c>
      <c r="M10518" s="10" t="n"/>
    </row>
    <row r="10519">
      <c r="B10519" s="7" t="n">
        <v>10517</v>
      </c>
      <c r="C10519" t="inlineStr">
        <is>
          <t>Quản lý kho- Tiếng Trung (ưu tiên Nữ)</t>
        </is>
      </c>
      <c r="D10519" t="inlineStr">
        <is>
          <t>CÔNG TY TNHH AUSSCO VIỆT NAM</t>
        </is>
      </c>
      <c r="E10519" t="inlineStr">
        <is>
          <t>Lương:15 Tr - 40 Tr VND</t>
        </is>
      </c>
      <c r="F10519" t="inlineStr">
        <is>
          <t>Bình Dương</t>
        </is>
      </c>
      <c r="G10519" t="inlineStr">
        <is>
          <t>12-04-2026</t>
        </is>
      </c>
      <c r="H10519" t="inlineStr">
        <is>
          <t>12/04/2026</t>
        </is>
      </c>
      <c r="I10519" t="inlineStr">
        <is>
          <t>17/03/2026</t>
        </is>
      </c>
      <c r="J10519" t="inlineStr">
        <is>
          <t>Vận chuyển / Giao nhận / Kho vận</t>
        </is>
      </c>
      <c r="K10519" t="inlineStr">
        <is>
          <t>2 - 5 Năm</t>
        </is>
      </c>
      <c r="L10519" s="8">
        <f>HYPERLINK("https://careerviet.vn/vi/tim-viec-lam/quan-ly-kho-tieng-trung-uu-tien-nu.35C6860D.html","Xem chi tiết")</f>
        <v/>
      </c>
    </row>
    <row r="10520">
      <c r="B10520" s="9" t="n">
        <v>10518</v>
      </c>
      <c r="C10520" s="10" t="inlineStr">
        <is>
          <t>Investor Relations Director</t>
        </is>
      </c>
      <c r="D10520" s="10" t="inlineStr">
        <is>
          <t>Công Ty Cổ Phần Tập Đoàn Đầu Tư Địa Ốc No Va</t>
        </is>
      </c>
      <c r="E10520" s="10" t="inlineStr">
        <is>
          <t>Lương:Cạnh tranh</t>
        </is>
      </c>
      <c r="F10520" s="10" t="inlineStr">
        <is>
          <t>Hồ Chí Minh</t>
        </is>
      </c>
      <c r="G10520" s="10" t="inlineStr">
        <is>
          <t>12-04-2026</t>
        </is>
      </c>
      <c r="H10520" s="10" t="inlineStr">
        <is>
          <t>12/04/2026</t>
        </is>
      </c>
      <c r="I10520" s="10" t="inlineStr">
        <is>
          <t>17/03/2026</t>
        </is>
      </c>
      <c r="J10520" s="10" t="inlineStr">
        <is>
          <t>Chứng khoán, Tài chính / Đầu tư, Bất động sản</t>
        </is>
      </c>
      <c r="K10520" s="10" t="inlineStr">
        <is>
          <t>7 - 10 Năm</t>
        </is>
      </c>
      <c r="L10520" s="11">
        <f>HYPERLINK("https://careerviet.vn/vi/tim-viec-lam/investor-relations-director.35C6870E.html","Xem chi tiết")</f>
        <v/>
      </c>
      <c r="M10520" s="10" t="n"/>
    </row>
    <row r="10521">
      <c r="B10521" s="7" t="n">
        <v>10519</v>
      </c>
      <c r="C10521" t="inlineStr">
        <is>
          <t>SENIOR CONTENT EXECUTIVE</t>
        </is>
      </c>
      <c r="D10521" t="inlineStr">
        <is>
          <t>Công ty TNHH Mỹ Phục - Eva De Eva</t>
        </is>
      </c>
      <c r="E10521" t="inlineStr">
        <is>
          <t>Lương:15 Tr - 17 Tr VND</t>
        </is>
      </c>
      <c r="F10521" t="inlineStr">
        <is>
          <t>Hà Nội</t>
        </is>
      </c>
      <c r="G10521" t="inlineStr">
        <is>
          <t>12-04-2026</t>
        </is>
      </c>
      <c r="H10521" t="inlineStr">
        <is>
          <t>12/04/2026</t>
        </is>
      </c>
      <c r="I10521" t="inlineStr">
        <is>
          <t>17/03/2026</t>
        </is>
      </c>
      <c r="J10521" t="inlineStr">
        <is>
          <t>Tiếp thị / Marketing, Y tế / Chăm sóc sức khỏe / Thẩm mỹ / Làm đẹp, Dệt may / Da giày / Thời trang</t>
        </is>
      </c>
      <c r="K10521" t="inlineStr">
        <is>
          <t>2 - 5 Năm</t>
        </is>
      </c>
      <c r="L10521" s="8">
        <f>HYPERLINK("https://careerviet.vn/vi/tim-viec-lam/senior-content-executive.35C6878A.html","Xem chi tiết")</f>
        <v/>
      </c>
    </row>
    <row r="10522">
      <c r="B10522" s="9" t="n">
        <v>10520</v>
      </c>
      <c r="C10522" s="10" t="inlineStr">
        <is>
          <t>KẾ TOÁN TRƯỞNG NGÀNH LOGISTICS (QUẬN 7 - HCM)</t>
        </is>
      </c>
      <c r="D10522" s="10" t="inlineStr">
        <is>
          <t>CÔNG TY CỔ PHẦN VẬN TẢI ĐỈNH PHONG</t>
        </is>
      </c>
      <c r="E10522" s="10" t="inlineStr">
        <is>
          <t>Lương:Cạnh tranh</t>
        </is>
      </c>
      <c r="F10522" s="10" t="inlineStr">
        <is>
          <t>Hồ Chí Minh</t>
        </is>
      </c>
      <c r="G10522" s="10" t="inlineStr">
        <is>
          <t>12-04-2026</t>
        </is>
      </c>
      <c r="H10522" s="10" t="inlineStr">
        <is>
          <t>12/04/2026</t>
        </is>
      </c>
      <c r="I10522" s="10" t="inlineStr">
        <is>
          <t>17/03/2026</t>
        </is>
      </c>
      <c r="J10522" s="10" t="inlineStr">
        <is>
          <t>Kế toán / Kiểm toán, Tài chính / Đầu tư, Xuất nhập khẩu</t>
        </is>
      </c>
      <c r="K10522" s="10" t="inlineStr">
        <is>
          <t>3 - 5 Năm</t>
        </is>
      </c>
      <c r="L10522" s="11">
        <f>HYPERLINK("https://careerviet.vn/vi/tim-viec-lam/ke-toan-truong-nganh-logistics-quan-7-hcm.35C6550F.html","Xem chi tiết")</f>
        <v/>
      </c>
      <c r="M10522" s="10" t="n"/>
    </row>
    <row r="10523">
      <c r="B10523" s="7" t="n">
        <v>10521</v>
      </c>
      <c r="C10523" t="inlineStr">
        <is>
          <t>Nhân viên IT Support</t>
        </is>
      </c>
      <c r="D10523" t="inlineStr">
        <is>
          <t>Công ty đầu tư T&amp;L Việt Nam</t>
        </is>
      </c>
      <c r="E10523" t="inlineStr">
        <is>
          <t>Lương:9 Tr - 12 Tr VND</t>
        </is>
      </c>
      <c r="F10523" t="inlineStr">
        <is>
          <t>Hà Nội</t>
        </is>
      </c>
      <c r="G10523" t="inlineStr">
        <is>
          <t>12-04-2026</t>
        </is>
      </c>
      <c r="H10523" t="inlineStr">
        <is>
          <t>12/04/2026</t>
        </is>
      </c>
      <c r="I10523" t="inlineStr">
        <is>
          <t>17/03/2026</t>
        </is>
      </c>
      <c r="J10523" t="inlineStr">
        <is>
          <t>Bán lẻ / Bán sỉ, CNTT - Phần cứng / Mạng, CNTT - Phần mềm</t>
        </is>
      </c>
      <c r="K10523" t="inlineStr">
        <is>
          <t>1 - 2 Năm</t>
        </is>
      </c>
      <c r="L10523" s="8">
        <f>HYPERLINK("https://careerviet.vn/vi/tim-viec-lam/nhan-vien-it-support.35C68638.html","Xem chi tiết")</f>
        <v/>
      </c>
    </row>
    <row r="10524">
      <c r="B10524" s="9" t="n">
        <v>10522</v>
      </c>
      <c r="C10524" s="10" t="inlineStr">
        <is>
          <t>AI Engineer</t>
        </is>
      </c>
      <c r="D10524" s="10" t="inlineStr">
        <is>
          <t>Công ty Cổ phần CANIFA</t>
        </is>
      </c>
      <c r="E10524" s="10" t="inlineStr">
        <is>
          <t>Lương:16 Tr - 35 Tr VND</t>
        </is>
      </c>
      <c r="F10524" s="10" t="inlineStr">
        <is>
          <t>Hà Nội</t>
        </is>
      </c>
      <c r="G10524" s="10" t="inlineStr">
        <is>
          <t>12-04-2026</t>
        </is>
      </c>
      <c r="H10524" s="10" t="inlineStr">
        <is>
          <t>12/04/2026</t>
        </is>
      </c>
      <c r="I10524" s="10" t="inlineStr">
        <is>
          <t>17/03/2026</t>
        </is>
      </c>
      <c r="J10524" s="10" t="inlineStr">
        <is>
          <t>CNTT - Phần mềm</t>
        </is>
      </c>
      <c r="K10524" s="10" t="inlineStr">
        <is>
          <t>1 - 3 Năm</t>
        </is>
      </c>
      <c r="L10524" s="11">
        <f>HYPERLINK("https://careerviet.vn/vi/tim-viec-lam/ai-engineer.35C6867E.html","Xem chi tiết")</f>
        <v/>
      </c>
      <c r="M10524" s="10" t="n"/>
    </row>
    <row r="10525">
      <c r="B10525" s="7" t="n">
        <v>10523</v>
      </c>
      <c r="C10525" t="inlineStr">
        <is>
          <t>Thực Tập Sinh Kinh Doanh Agency</t>
        </is>
      </c>
      <c r="D10525" t="inlineStr">
        <is>
          <t>CÔNG TY TNHH TRUYỀN THÔNG &amp; DỊCH VỤ BC VIỆT NAM ( BC Agency)</t>
        </is>
      </c>
      <c r="E10525" t="inlineStr">
        <is>
          <t>Lương:3 Tr - 10 Tr VND</t>
        </is>
      </c>
      <c r="F10525" t="inlineStr">
        <is>
          <t>Hà Nội</t>
        </is>
      </c>
      <c r="G10525" t="inlineStr">
        <is>
          <t>12-04-2026</t>
        </is>
      </c>
      <c r="H10525" t="inlineStr">
        <is>
          <t>12/04/2026</t>
        </is>
      </c>
      <c r="I10525" t="inlineStr">
        <is>
          <t>17/03/2026</t>
        </is>
      </c>
      <c r="J10525" t="inlineStr">
        <is>
          <t>Bán hàng / Kinh doanh, Mới tốt nghiệp / Thực tập, Quảng cáo / Đối ngoại / Truyền Thông</t>
        </is>
      </c>
      <c r="K10525" t="inlineStr">
        <is>
          <t>Chưa có kinh nghiệm</t>
        </is>
      </c>
      <c r="L10525" s="8">
        <f>HYPERLINK("https://careerviet.vn/vi/tim-viec-lam/thuc-tap-sinh-kinh-doanh-agency.35C686F4.html","Xem chi tiết")</f>
        <v/>
      </c>
    </row>
    <row r="10526">
      <c r="B10526" s="9" t="n">
        <v>10524</v>
      </c>
      <c r="C10526" s="10" t="inlineStr">
        <is>
          <t>Kỹ thuật viên phòng mổ</t>
        </is>
      </c>
      <c r="D10526" s="10" t="inlineStr">
        <is>
          <t>CÔNG TY CỔ PHẦN IQ-LIFE</t>
        </is>
      </c>
      <c r="E10526" s="10" t="inlineStr">
        <is>
          <t>Lương:15 Tr - 18 Tr VND</t>
        </is>
      </c>
      <c r="F10526" s="10" t="inlineStr">
        <is>
          <t>Hồ Chí Minh</t>
        </is>
      </c>
      <c r="G10526" s="10" t="inlineStr">
        <is>
          <t>12-04-2026</t>
        </is>
      </c>
      <c r="H10526" s="10" t="inlineStr">
        <is>
          <t>12/04/2026</t>
        </is>
      </c>
      <c r="I10526" s="10" t="inlineStr">
        <is>
          <t>17/03/2026</t>
        </is>
      </c>
      <c r="J10526" s="10" t="inlineStr">
        <is>
          <t>Dược phẩm/ Hóa Mỹ Phẩm, Y tế / Chăm sóc sức khỏe / Thẩm mỹ / Làm đẹp, Mới tốt nghiệp / Thực tập</t>
        </is>
      </c>
      <c r="K10526" s="10" t="inlineStr">
        <is>
          <t>Chưa có kinh nghiệm</t>
        </is>
      </c>
      <c r="L10526" s="11">
        <f>HYPERLINK("https://careerviet.vn/vi/tim-viec-lam/ky-thuat-vien-phong-mo.35C68756.html","Xem chi tiết")</f>
        <v/>
      </c>
      <c r="M10526" s="10" t="n"/>
    </row>
    <row r="10527">
      <c r="B10527" s="7" t="n">
        <v>10525</v>
      </c>
      <c r="C10527" t="inlineStr">
        <is>
          <t>Nhân viên bảo trì cơ điện</t>
        </is>
      </c>
      <c r="D10527" t="inlineStr">
        <is>
          <t>CÔNG TY TNHH TECLON</t>
        </is>
      </c>
      <c r="E10527" t="inlineStr">
        <is>
          <t>Lương:Cạnh tranh</t>
        </is>
      </c>
      <c r="F10527" t="inlineStr">
        <is>
          <t>Bình Dương</t>
        </is>
      </c>
      <c r="G10527" t="inlineStr">
        <is>
          <t>12-04-2026</t>
        </is>
      </c>
      <c r="H10527" t="inlineStr">
        <is>
          <t>12/04/2026</t>
        </is>
      </c>
      <c r="I10527" t="inlineStr">
        <is>
          <t>17/03/2026</t>
        </is>
      </c>
      <c r="J10527" t="inlineStr">
        <is>
          <t>Cơ khí / Ô tô / Tự động hóa, Điện / Điện tử / Điện lạnh / Điện công nghiệp, Bảo trì / Sửa chữa</t>
        </is>
      </c>
      <c r="K10527" t="inlineStr">
        <is>
          <t>Lên đến 3 Năm</t>
        </is>
      </c>
      <c r="L10527" s="8">
        <f>HYPERLINK("https://careerviet.vn/vi/tim-viec-lam/nhan-vien-bao-tri-co-dien.35C650C8.html","Xem chi tiết")</f>
        <v/>
      </c>
    </row>
    <row r="10528">
      <c r="B10528" s="9" t="n">
        <v>10526</v>
      </c>
      <c r="C10528" s="10" t="inlineStr">
        <is>
          <t>NHÂN VIÊN TELESALE – LÀM VIỆC THEO CA</t>
        </is>
      </c>
      <c r="D10528" s="10" t="inlineStr">
        <is>
          <t>CÔNG TY CP BẤT ĐỘNG SẢN SIC LAND</t>
        </is>
      </c>
      <c r="E10528" s="10" t="inlineStr">
        <is>
          <t>Lương:5 Tr - 10 Tr VND</t>
        </is>
      </c>
      <c r="F10528" s="10" t="inlineStr">
        <is>
          <t>Hồ Chí Minh</t>
        </is>
      </c>
      <c r="G10528" s="10" t="inlineStr">
        <is>
          <t>12-04-2026</t>
        </is>
      </c>
      <c r="H10528" s="10" t="inlineStr">
        <is>
          <t>12/04/2026</t>
        </is>
      </c>
      <c r="I10528" s="10" t="inlineStr">
        <is>
          <t>17/03/2026</t>
        </is>
      </c>
      <c r="J10528" s="10" t="inlineStr">
        <is>
          <t>Tiếp thị trực tuyến, Dịch vụ khách hàng, Lao động phổ thông</t>
        </is>
      </c>
      <c r="K10528" s="10" t="inlineStr">
        <is>
          <t>N/A</t>
        </is>
      </c>
      <c r="L10528" s="11">
        <f>HYPERLINK("https://careerviet.vn/vi/tim-viec-lam/nhan-vien-telesale-lam-viec-theo-ca.35C653DC.html","Xem chi tiết")</f>
        <v/>
      </c>
      <c r="M10528" s="10" t="n"/>
    </row>
    <row r="10529">
      <c r="B10529" s="7" t="n">
        <v>10527</v>
      </c>
      <c r="C10529" t="inlineStr">
        <is>
          <t>Machine Learning Engineer</t>
        </is>
      </c>
      <c r="D10529" t="inlineStr">
        <is>
          <t>Công ty TNHH Greystone Data Systems Việt Nam</t>
        </is>
      </c>
      <c r="E10529" t="inlineStr">
        <is>
          <t>Lương:12 Tr - 25 Tr VND</t>
        </is>
      </c>
      <c r="F10529" t="inlineStr">
        <is>
          <t>Hồ Chí Minh</t>
        </is>
      </c>
      <c r="G10529" t="inlineStr">
        <is>
          <t>12-04-2026</t>
        </is>
      </c>
      <c r="H10529" t="inlineStr">
        <is>
          <t>12/04/2026</t>
        </is>
      </c>
      <c r="I10529" t="inlineStr">
        <is>
          <t>17/03/2026</t>
        </is>
      </c>
      <c r="J10529" t="inlineStr">
        <is>
          <t>Điện / Điện tử / Điện lạnh / Điện công nghiệp, CNTT - Phần mềm, Cơ khí / Ô tô / Tự động hóa</t>
        </is>
      </c>
      <c r="K10529" t="inlineStr">
        <is>
          <t>1 - 2 Năm</t>
        </is>
      </c>
      <c r="L10529" s="8">
        <f>HYPERLINK("https://careerviet.vn/vi/tim-viec-lam/machine-learning-engineer.35C68761.html","Xem chi tiết")</f>
        <v/>
      </c>
    </row>
    <row r="10530">
      <c r="B10530" s="9" t="n">
        <v>10528</v>
      </c>
      <c r="C10530" s="10" t="inlineStr">
        <is>
          <t>Marketing Specialist</t>
        </is>
      </c>
      <c r="D10530" s="10" t="inlineStr">
        <is>
          <t>VIET MOTO RETAIL J.S.C</t>
        </is>
      </c>
      <c r="E10530" s="10" t="inlineStr">
        <is>
          <t>Lương:Cạnh tranh</t>
        </is>
      </c>
      <c r="F10530" s="10" t="inlineStr">
        <is>
          <t>Hồ Chí Minh</t>
        </is>
      </c>
      <c r="G10530" s="10" t="inlineStr">
        <is>
          <t>12-04-2026</t>
        </is>
      </c>
      <c r="H10530" s="10" t="inlineStr">
        <is>
          <t>12/04/2026</t>
        </is>
      </c>
      <c r="I10530" s="10" t="inlineStr">
        <is>
          <t>17/03/2026</t>
        </is>
      </c>
      <c r="J10530" s="10" t="inlineStr">
        <is>
          <t>Bán lẻ / Bán sỉ, Cơ khí / Ô tô / Tự động hóa, Quảng cáo / Đối ngoại / Truyền Thông</t>
        </is>
      </c>
      <c r="K10530" s="10" t="inlineStr">
        <is>
          <t>2 - 5 Năm</t>
        </is>
      </c>
      <c r="L10530" s="11">
        <f>HYPERLINK("https://careerviet.vn/vi/tim-viec-lam/marketing-specialist.35C653C2.html","Xem chi tiết")</f>
        <v/>
      </c>
      <c r="M10530" s="10" t="n"/>
    </row>
    <row r="10531">
      <c r="B10531" s="7" t="n">
        <v>10529</v>
      </c>
      <c r="C10531" t="inlineStr">
        <is>
          <t>Chuyên viên Kiểm soát chất lượng (Nhà máy)</t>
        </is>
      </c>
      <c r="D10531" t="inlineStr">
        <is>
          <t>CÔNG TY CỔ PHẦN THƯƠNG MẠI DỊCH VỤ XÂY DỰNG E&amp;C</t>
        </is>
      </c>
      <c r="E10531" t="inlineStr">
        <is>
          <t>Lương:14 Tr - 17 Tr VND</t>
        </is>
      </c>
      <c r="F10531" t="inlineStr">
        <is>
          <t>Hồ Chí Minh</t>
        </is>
      </c>
      <c r="G10531" t="inlineStr">
        <is>
          <t>12-04-2026</t>
        </is>
      </c>
      <c r="H10531" t="inlineStr">
        <is>
          <t>12/04/2026</t>
        </is>
      </c>
      <c r="I10531" t="inlineStr">
        <is>
          <t>17/03/2026</t>
        </is>
      </c>
      <c r="J10531" t="inlineStr">
        <is>
          <t>Sản xuất / Vận hành sản xuất, Quản lý chất lượng (QA/QC), Xây dựng</t>
        </is>
      </c>
      <c r="K10531" t="inlineStr">
        <is>
          <t>1 - 2 Năm</t>
        </is>
      </c>
      <c r="L10531" s="8">
        <f>HYPERLINK("https://careerviet.vn/vi/tim-viec-lam/chuyen-vien-kiem-soat-chat-luong-nha-may.35C65322.html","Xem chi tiết")</f>
        <v/>
      </c>
    </row>
    <row r="10532">
      <c r="B10532" s="9" t="n">
        <v>10530</v>
      </c>
      <c r="C10532" s="10" t="inlineStr">
        <is>
          <t>Chuyên Viên Video Editor</t>
        </is>
      </c>
      <c r="D10532" s="10" t="inlineStr">
        <is>
          <t>Công Ty Cổ Phần TEECOM</t>
        </is>
      </c>
      <c r="E10532" s="10" t="inlineStr">
        <is>
          <t>Lương:Cạnh tranh</t>
        </is>
      </c>
      <c r="F10532" s="10" t="inlineStr">
        <is>
          <t>Hồ Chí Minh</t>
        </is>
      </c>
      <c r="G10532" s="10" t="inlineStr">
        <is>
          <t>12-04-2026</t>
        </is>
      </c>
      <c r="H10532" s="10" t="inlineStr">
        <is>
          <t>12/04/2026</t>
        </is>
      </c>
      <c r="I10532" s="10" t="inlineStr">
        <is>
          <t>17/03/2026</t>
        </is>
      </c>
      <c r="J10532" s="10" t="inlineStr">
        <is>
          <t>Tiếp thị / Marketing, Tiếp thị trực tuyến, Thương mại điện tử</t>
        </is>
      </c>
      <c r="K10532" s="10" t="inlineStr">
        <is>
          <t>2 - 3 Năm</t>
        </is>
      </c>
      <c r="L10532" s="11">
        <f>HYPERLINK("https://careerviet.vn/vi/tim-viec-lam/chuyen-vien-video-editor.35C6877C.html","Xem chi tiết")</f>
        <v/>
      </c>
      <c r="M10532" s="10" t="n"/>
    </row>
    <row r="10533">
      <c r="B10533" s="7" t="n">
        <v>10531</v>
      </c>
      <c r="C10533" t="inlineStr">
        <is>
          <t>Giám Đốc Phòng Tài Chính Dự Án</t>
        </is>
      </c>
      <c r="D10533" t="inlineStr">
        <is>
          <t>Công Ty Cổ Phần Tập Đoàn Đầu Tư Địa Ốc No Va</t>
        </is>
      </c>
      <c r="E10533" t="inlineStr">
        <is>
          <t>Lương:Cạnh tranh</t>
        </is>
      </c>
      <c r="F10533" t="inlineStr">
        <is>
          <t>Hồ Chí Minh</t>
        </is>
      </c>
      <c r="G10533" t="inlineStr">
        <is>
          <t>12-04-2026</t>
        </is>
      </c>
      <c r="H10533" t="inlineStr">
        <is>
          <t>12/04/2026</t>
        </is>
      </c>
      <c r="I10533" t="inlineStr">
        <is>
          <t>17/03/2026</t>
        </is>
      </c>
      <c r="J10533" t="inlineStr">
        <is>
          <t>Tài chính / Đầu tư</t>
        </is>
      </c>
      <c r="K10533" t="inlineStr">
        <is>
          <t>10 - 15 Năm</t>
        </is>
      </c>
      <c r="L10533" s="8">
        <f>HYPERLINK("https://careerviet.vn/vi/tim-viec-lam/giam-doc-phong-tai-chinh-du-an.35C686E4.html","Xem chi tiết")</f>
        <v/>
      </c>
    </row>
    <row r="10534">
      <c r="B10534" s="9" t="n">
        <v>10532</v>
      </c>
      <c r="C10534" s="10" t="inlineStr">
        <is>
          <t>Nhân viên môi trường - Bình Phước</t>
        </is>
      </c>
      <c r="D10534" s="10" t="inlineStr">
        <is>
          <t>CÔNG TY TNHH TM DV XỬ LÝ MÔI TRƯỜNG VIỆT KHẢI</t>
        </is>
      </c>
      <c r="E10534" s="10" t="inlineStr">
        <is>
          <t>Lương:10 Tr - 15 Tr VND</t>
        </is>
      </c>
      <c r="F10534" s="10" t="inlineStr">
        <is>
          <t>Bình Phước</t>
        </is>
      </c>
      <c r="G10534" s="10" t="inlineStr">
        <is>
          <t>12-04-2026</t>
        </is>
      </c>
      <c r="H10534" s="10" t="inlineStr">
        <is>
          <t>12/04/2026</t>
        </is>
      </c>
      <c r="I10534" s="10" t="inlineStr">
        <is>
          <t>17/03/2026</t>
        </is>
      </c>
      <c r="J10534" s="10" t="inlineStr">
        <is>
          <t>Thống kê, Môi trường, Hóa học</t>
        </is>
      </c>
      <c r="K10534" s="10" t="inlineStr">
        <is>
          <t>1 - 2 Năm</t>
        </is>
      </c>
      <c r="L10534" s="11">
        <f>HYPERLINK("https://careerviet.vn/vi/tim-viec-lam/nhan-vien-moi-truong-binh-phuoc.35C68635.html","Xem chi tiết")</f>
        <v/>
      </c>
      <c r="M10534" s="10" t="n"/>
    </row>
    <row r="10535">
      <c r="B10535" s="7" t="n">
        <v>10533</v>
      </c>
      <c r="C10535" t="inlineStr">
        <is>
          <t>Kế Toán Tổng Hợp Bất Động Sản Chủ Đầu Tư</t>
        </is>
      </c>
      <c r="D10535" t="inlineStr">
        <is>
          <t>CÔNG TY CỔ PHẦN ĐẦU TƯ ĐÔNG BẮC LAND</t>
        </is>
      </c>
      <c r="E10535" t="inlineStr">
        <is>
          <t>Lương:Cạnh tranh</t>
        </is>
      </c>
      <c r="F10535" t="inlineStr">
        <is>
          <t>Hà Nội</t>
        </is>
      </c>
      <c r="G10535" t="inlineStr">
        <is>
          <t>12-04-2026</t>
        </is>
      </c>
      <c r="H10535" t="inlineStr">
        <is>
          <t>12/04/2026</t>
        </is>
      </c>
      <c r="I10535" t="inlineStr">
        <is>
          <t>17/03/2026</t>
        </is>
      </c>
      <c r="J10535" t="inlineStr">
        <is>
          <t>Bất động sản, Kế toán / Kiểm toán, Tài chính / Đầu tư</t>
        </is>
      </c>
      <c r="K10535" t="inlineStr">
        <is>
          <t>Trên 3 Năm</t>
        </is>
      </c>
      <c r="L10535" s="8">
        <f>HYPERLINK("https://careerviet.vn/vi/tim-viec-lam/ke-toan-tong-hop-bat-dong-san-chu-dau-tu.35C6551B.html","Xem chi tiết")</f>
        <v/>
      </c>
    </row>
    <row r="10536">
      <c r="B10536" s="9" t="n">
        <v>10534</v>
      </c>
      <c r="C10536" s="10" t="inlineStr">
        <is>
          <t>LẬP TRÌNH GAME - GAME DEVELOPERS</t>
        </is>
      </c>
      <c r="D10536" s="10" t="inlineStr">
        <is>
          <t>Koei Tecmo Software Vietnam</t>
        </is>
      </c>
      <c r="E10536" s="10" t="inlineStr">
        <is>
          <t>Lương:Cạnh tranh</t>
        </is>
      </c>
      <c r="F10536" s="10" t="inlineStr">
        <is>
          <t>Hà Nội</t>
        </is>
      </c>
      <c r="G10536" s="10" t="inlineStr">
        <is>
          <t>12-04-2026</t>
        </is>
      </c>
      <c r="H10536" s="10" t="inlineStr">
        <is>
          <t>12/04/2026</t>
        </is>
      </c>
      <c r="I10536" s="10" t="inlineStr">
        <is>
          <t>17/03/2026</t>
        </is>
      </c>
      <c r="J10536" s="10" t="inlineStr">
        <is>
          <t>Bưu chính viễn thông, Biên phiên dịch, CNTT - Phần cứng / Mạng</t>
        </is>
      </c>
      <c r="K10536" s="10" t="inlineStr">
        <is>
          <t>Chưa có kinh nghiệm</t>
        </is>
      </c>
      <c r="L10536" s="11">
        <f>HYPERLINK("https://careerviet.vn/vi/tim-viec-lam/lap-trinh-game-game-developers.35C68725.html","Xem chi tiết")</f>
        <v/>
      </c>
      <c r="M10536" s="10" t="n"/>
    </row>
    <row r="10537">
      <c r="B10537" s="7" t="n">
        <v>10535</v>
      </c>
      <c r="C10537" t="inlineStr">
        <is>
          <t>Trưởng Phòng Tài Chính (Trái phiếu)</t>
        </is>
      </c>
      <c r="D10537" t="inlineStr">
        <is>
          <t>Công Ty Cổ Phần Tập Đoàn Đầu Tư Địa Ốc No Va</t>
        </is>
      </c>
      <c r="E10537" t="inlineStr">
        <is>
          <t>Lương:Cạnh tranh</t>
        </is>
      </c>
      <c r="F10537" t="inlineStr">
        <is>
          <t>Hồ Chí Minh</t>
        </is>
      </c>
      <c r="G10537" t="inlineStr">
        <is>
          <t>12-04-2026</t>
        </is>
      </c>
      <c r="H10537" t="inlineStr">
        <is>
          <t>12/04/2026</t>
        </is>
      </c>
      <c r="I10537" t="inlineStr">
        <is>
          <t>17/03/2026</t>
        </is>
      </c>
      <c r="J10537" t="inlineStr">
        <is>
          <t>Tài chính / Đầu tư</t>
        </is>
      </c>
      <c r="K10537" t="inlineStr">
        <is>
          <t>5 - 10 Năm</t>
        </is>
      </c>
      <c r="L10537" s="8">
        <f>HYPERLINK("https://careerviet.vn/vi/tim-viec-lam/truong-phong-tai-chinh-trai-phieu.35C6872A.html","Xem chi tiết")</f>
        <v/>
      </c>
    </row>
    <row r="10538">
      <c r="B10538" s="9" t="n">
        <v>10536</v>
      </c>
      <c r="C10538" s="10" t="inlineStr">
        <is>
          <t>KTV Xét nghiệm/ Điều Dưỡng/ Hộ Sinh / Y Sĩ Lấy Máu Tại Chi Nhánh -Trần Não, Quận 2</t>
        </is>
      </c>
      <c r="D10538" s="10" t="inlineStr">
        <is>
          <t>DIAG</t>
        </is>
      </c>
      <c r="E10538" s="10" t="inlineStr">
        <is>
          <t>Lương:11 Tr - 15 Tr VND</t>
        </is>
      </c>
      <c r="F10538" s="10" t="inlineStr">
        <is>
          <t>Hồ Chí Minh</t>
        </is>
      </c>
      <c r="G10538" s="10" t="inlineStr">
        <is>
          <t>12-04-2026</t>
        </is>
      </c>
      <c r="H10538" s="10" t="inlineStr">
        <is>
          <t>12/04/2026</t>
        </is>
      </c>
      <c r="I10538" s="10" t="inlineStr">
        <is>
          <t>17/03/2026</t>
        </is>
      </c>
      <c r="J10538" s="10" t="inlineStr">
        <is>
          <t>Dược phẩm/ Hóa Mỹ Phẩm, Y tế / Chăm sóc sức khỏe / Thẩm mỹ / Làm đẹp, Dịch vụ khách hàng</t>
        </is>
      </c>
      <c r="K10538" s="10" t="inlineStr">
        <is>
          <t>Lên đến 1 Năm</t>
        </is>
      </c>
      <c r="L10538" s="11">
        <f>HYPERLINK("https://careerviet.vn/vi/tim-viec-lam/ktv-xet-nghiem-dieu-duong-ho-sinh-y-si-lay-mau-tai-chi-nhanh-tran-nao-quan-2.35C68767.html","Xem chi tiết")</f>
        <v/>
      </c>
      <c r="M10538" s="10" t="n"/>
    </row>
    <row r="10539">
      <c r="B10539" s="7" t="n">
        <v>10537</v>
      </c>
      <c r="C10539" t="inlineStr">
        <is>
          <t>Trợ lý Văn Phòng - Tiếng Hoa</t>
        </is>
      </c>
      <c r="D10539" t="inlineStr">
        <is>
          <t>Công ty Cổ Phần Tập Đoàn Điện Quang</t>
        </is>
      </c>
      <c r="E10539" t="inlineStr">
        <is>
          <t>Lương:Cạnh tranh</t>
        </is>
      </c>
      <c r="F10539" t="inlineStr">
        <is>
          <t>Hồ Chí Minh</t>
        </is>
      </c>
      <c r="G10539" t="inlineStr">
        <is>
          <t>12-04-2026</t>
        </is>
      </c>
      <c r="H10539" t="inlineStr">
        <is>
          <t>12/04/2026</t>
        </is>
      </c>
      <c r="I10539" t="inlineStr">
        <is>
          <t>17/03/2026</t>
        </is>
      </c>
      <c r="J10539" t="inlineStr">
        <is>
          <t>Hành chính / Thư ký, Kế toán / Kiểm toán, Thu mua / Vật tư</t>
        </is>
      </c>
      <c r="K10539" t="inlineStr">
        <is>
          <t>N/A</t>
        </is>
      </c>
      <c r="L10539" s="8">
        <f>HYPERLINK("https://careerviet.vn/vi/tim-viec-lam/tro-ly-van-phong-tieng-hoa.35C653E1.html","Xem chi tiết")</f>
        <v/>
      </c>
    </row>
    <row r="10540">
      <c r="B10540" s="9" t="n">
        <v>10538</v>
      </c>
      <c r="C10540" s="10" t="inlineStr">
        <is>
          <t>LEAN SENIOR ENGINEER</t>
        </is>
      </c>
      <c r="D10540" s="10" t="inlineStr">
        <is>
          <t>CÔNG TY TNHH CS BEARING VIỆT NAM</t>
        </is>
      </c>
      <c r="E10540" s="10" t="inlineStr">
        <is>
          <t>Lương:20 Tr - 40 Tr VND</t>
        </is>
      </c>
      <c r="F10540" s="10" t="inlineStr">
        <is>
          <t>Bà Rịa - Vũng Tàu</t>
        </is>
      </c>
      <c r="G10540" s="10" t="inlineStr">
        <is>
          <t>12-04-2026</t>
        </is>
      </c>
      <c r="H10540" s="10" t="inlineStr">
        <is>
          <t>12/04/2026</t>
        </is>
      </c>
      <c r="I10540" s="10" t="inlineStr">
        <is>
          <t>17/03/2026</t>
        </is>
      </c>
      <c r="J10540" s="10" t="inlineStr">
        <is>
          <t>Cơ khí / Ô tô / Tự động hóa, Sản xuất / Vận hành sản xuất</t>
        </is>
      </c>
      <c r="K10540" s="10" t="inlineStr">
        <is>
          <t>3 - 5 Năm</t>
        </is>
      </c>
      <c r="L10540" s="11">
        <f>HYPERLINK("https://careerviet.vn/vi/tim-viec-lam/lean-senior-engineer.35C687A7.html","Xem chi tiết")</f>
        <v/>
      </c>
      <c r="M10540" s="10" t="n"/>
    </row>
    <row r="10541">
      <c r="B10541" s="7" t="n">
        <v>10539</v>
      </c>
      <c r="C10541" t="inlineStr">
        <is>
          <t>Nhân Viên Thu Hồi Công Nợ (Hồ Tràm)</t>
        </is>
      </c>
      <c r="D10541" t="inlineStr">
        <is>
          <t>Savills Vietnam</t>
        </is>
      </c>
      <c r="E10541" t="inlineStr">
        <is>
          <t>Lương:Cạnh tranh</t>
        </is>
      </c>
      <c r="F10541" t="inlineStr">
        <is>
          <t>Bà Rịa - Vũng Tàu</t>
        </is>
      </c>
      <c r="G10541" t="inlineStr">
        <is>
          <t>12-04-2026</t>
        </is>
      </c>
      <c r="H10541" t="inlineStr">
        <is>
          <t>12/04/2026</t>
        </is>
      </c>
      <c r="I10541" t="inlineStr">
        <is>
          <t>17/03/2026</t>
        </is>
      </c>
      <c r="J10541" t="inlineStr">
        <is>
          <t>Kế toán / Kiểm toán</t>
        </is>
      </c>
      <c r="K10541" t="inlineStr">
        <is>
          <t>1 - 2 Năm</t>
        </is>
      </c>
      <c r="L10541" s="8">
        <f>HYPERLINK("https://careerviet.vn/vi/tim-viec-lam/nhan-vien-thu-hoi-cong-no-ho-tram.35C686A9.html","Xem chi tiết")</f>
        <v/>
      </c>
    </row>
    <row r="10542">
      <c r="B10542" s="9" t="n">
        <v>10540</v>
      </c>
      <c r="C10542" s="10" t="inlineStr">
        <is>
          <t>Chuyên viên Trade Marketing</t>
        </is>
      </c>
      <c r="D10542" s="10" t="inlineStr">
        <is>
          <t>Công ty Cổ phần CANIFA</t>
        </is>
      </c>
      <c r="E10542" s="10" t="inlineStr">
        <is>
          <t>Lương:16 Tr - 25 Tr VND</t>
        </is>
      </c>
      <c r="F10542" s="10" t="inlineStr">
        <is>
          <t>Hà Nội</t>
        </is>
      </c>
      <c r="G10542" s="10" t="inlineStr">
        <is>
          <t>12-04-2026</t>
        </is>
      </c>
      <c r="H10542" s="10" t="inlineStr">
        <is>
          <t>12/04/2026</t>
        </is>
      </c>
      <c r="I10542" s="10" t="inlineStr">
        <is>
          <t>17/03/2026</t>
        </is>
      </c>
      <c r="J10542" s="10" t="inlineStr">
        <is>
          <t>Tiếp thị / Marketing, Bán lẻ / Bán sỉ</t>
        </is>
      </c>
      <c r="K10542" s="10" t="inlineStr">
        <is>
          <t>3 - 5 Năm</t>
        </is>
      </c>
      <c r="L10542" s="11">
        <f>HYPERLINK("https://careerviet.vn/vi/tim-viec-lam/chuyen-vien-trade-marketing.35C68683.html","Xem chi tiết")</f>
        <v/>
      </c>
      <c r="M10542" s="10" t="n"/>
    </row>
    <row r="10543">
      <c r="B10543" s="7" t="n">
        <v>10541</v>
      </c>
      <c r="C10543" t="inlineStr">
        <is>
          <t>GIÁM ĐỐC KHỐI KỸ THUẬT SƠN</t>
        </is>
      </c>
      <c r="D10543" t="inlineStr">
        <is>
          <t>TRAN DUC CORPORATION - CÔNG TY CỔ PHẦN TRẦN ĐỨC</t>
        </is>
      </c>
      <c r="E10543" t="inlineStr">
        <is>
          <t>Lương:Cạnh tranh</t>
        </is>
      </c>
      <c r="F10543" t="inlineStr">
        <is>
          <t>Bình Dương</t>
        </is>
      </c>
      <c r="G10543" t="inlineStr">
        <is>
          <t>12-04-2026</t>
        </is>
      </c>
      <c r="H10543" t="inlineStr">
        <is>
          <t>12/04/2026</t>
        </is>
      </c>
      <c r="I10543" t="inlineStr">
        <is>
          <t>17/03/2026</t>
        </is>
      </c>
      <c r="J10543" t="inlineStr">
        <is>
          <t>Sản xuất / Vận hành sản xuất, Đồ gỗ, Nội ngoại thất</t>
        </is>
      </c>
      <c r="K10543" t="inlineStr">
        <is>
          <t>2 - 3 Năm</t>
        </is>
      </c>
      <c r="L10543" s="8">
        <f>HYPERLINK("https://careerviet.vn/vi/tim-viec-lam/giam-doc-khoi-ky-thuat-son.35C6533B.html","Xem chi tiết")</f>
        <v/>
      </c>
    </row>
    <row r="10544">
      <c r="B10544" s="9" t="n">
        <v>10542</v>
      </c>
      <c r="C10544" s="10" t="inlineStr">
        <is>
          <t>QA (final control inspector)</t>
        </is>
      </c>
      <c r="D10544" s="10" t="inlineStr">
        <is>
          <t>Phuc Thang Fine Furniture</t>
        </is>
      </c>
      <c r="E10544" s="10" t="inlineStr">
        <is>
          <t>Lương:Cạnh tranh</t>
        </is>
      </c>
      <c r="F10544" s="10" t="inlineStr">
        <is>
          <t>Bình Dương</t>
        </is>
      </c>
      <c r="G10544" s="10" t="inlineStr">
        <is>
          <t>12-04-2026</t>
        </is>
      </c>
      <c r="H10544" s="10" t="inlineStr">
        <is>
          <t>12/04/2026</t>
        </is>
      </c>
      <c r="I10544" s="10" t="inlineStr">
        <is>
          <t>17/03/2026</t>
        </is>
      </c>
      <c r="J10544" s="10" t="inlineStr">
        <is>
          <t>Đồ gỗ, Quản lý chất lượng (QA/QC), Nội ngoại thất</t>
        </is>
      </c>
      <c r="K10544" s="10" t="inlineStr">
        <is>
          <t>3 - 10 Năm</t>
        </is>
      </c>
      <c r="L10544" s="11">
        <f>HYPERLINK("https://careerviet.vn/vi/tim-viec-lam/qa-final-control-inspector.35C68779.html","Xem chi tiết")</f>
        <v/>
      </c>
      <c r="M10544" s="10" t="n"/>
    </row>
    <row r="10545">
      <c r="B10545" s="7" t="n">
        <v>10543</v>
      </c>
      <c r="C10545" t="inlineStr">
        <is>
          <t>Supply Chain Management Finance Executive (AR)</t>
        </is>
      </c>
      <c r="D10545" t="inlineStr">
        <is>
          <t>S.F. EXPRESS LTD.</t>
        </is>
      </c>
      <c r="E10545" t="inlineStr">
        <is>
          <t>Lương:18 Tr - 20 Tr VND</t>
        </is>
      </c>
      <c r="F10545" t="inlineStr">
        <is>
          <t>Hồ Chí Minh</t>
        </is>
      </c>
      <c r="G10545" t="inlineStr">
        <is>
          <t>12-04-2026</t>
        </is>
      </c>
      <c r="H10545" t="inlineStr">
        <is>
          <t>12/04/2026</t>
        </is>
      </c>
      <c r="I10545" t="inlineStr">
        <is>
          <t>17/03/2026</t>
        </is>
      </c>
      <c r="J10545" t="inlineStr">
        <is>
          <t>Kế toán / Kiểm toán, Vận chuyển / Giao nhận / Kho vận, Tài chính / Đầu tư</t>
        </is>
      </c>
      <c r="K10545" t="inlineStr">
        <is>
          <t>2 - 3 Năm</t>
        </is>
      </c>
      <c r="L10545" s="8">
        <f>HYPERLINK("https://careerviet.vn/vi/tim-viec-lam/supply-chain-management-finance-executive-ar.35C65466.html","Xem chi tiết")</f>
        <v/>
      </c>
    </row>
    <row r="10546">
      <c r="B10546" s="9" t="n">
        <v>10544</v>
      </c>
      <c r="C10546" s="10" t="inlineStr">
        <is>
          <t>LẬP TRÌNH GAME - GAME DEVELOPERS</t>
        </is>
      </c>
      <c r="D10546" s="10" t="inlineStr">
        <is>
          <t>Koei Tecmo Software Vietnam</t>
        </is>
      </c>
      <c r="E10546" s="10" t="inlineStr">
        <is>
          <t>Lương:Cạnh tranh</t>
        </is>
      </c>
      <c r="F10546" s="10" t="inlineStr">
        <is>
          <t>Hà Nội</t>
        </is>
      </c>
      <c r="G10546" s="10" t="inlineStr">
        <is>
          <t>12-04-2026</t>
        </is>
      </c>
      <c r="H10546" s="10" t="inlineStr">
        <is>
          <t>12/04/2026</t>
        </is>
      </c>
      <c r="I10546" s="10" t="inlineStr">
        <is>
          <t>17/03/2026</t>
        </is>
      </c>
      <c r="J10546" s="10" t="inlineStr">
        <is>
          <t>Bưu chính viễn thông, CNTT - Phần cứng / Mạng, CNTT - Phần mềm</t>
        </is>
      </c>
      <c r="K10546" s="10" t="inlineStr">
        <is>
          <t>Chưa có kinh nghiệm</t>
        </is>
      </c>
      <c r="L10546" s="11">
        <f>HYPERLINK("https://careerviet.vn/vi/tim-viec-lam/lap-trinh-game-game-developers.35C65530.html","Xem chi tiết")</f>
        <v/>
      </c>
      <c r="M10546" s="10" t="n"/>
    </row>
    <row r="10547">
      <c r="B10547" s="7" t="n">
        <v>10545</v>
      </c>
      <c r="C10547" t="inlineStr">
        <is>
          <t>Nhân Viên Phòng Vật Tư</t>
        </is>
      </c>
      <c r="D10547" t="inlineStr">
        <is>
          <t>CÔNG TY TNHH CÔNG NGHỆ MÔI TRƯỜNG NÔNG LÂM</t>
        </is>
      </c>
      <c r="E10547" t="inlineStr">
        <is>
          <t>Lương:8 Tr - 10 Tr VND</t>
        </is>
      </c>
      <c r="F10547" t="inlineStr">
        <is>
          <t>Hồ Chí Minh</t>
        </is>
      </c>
      <c r="G10547" t="inlineStr">
        <is>
          <t>12-04-2026</t>
        </is>
      </c>
      <c r="H10547" t="inlineStr">
        <is>
          <t>12/04/2026</t>
        </is>
      </c>
      <c r="I10547" t="inlineStr">
        <is>
          <t>17/03/2026</t>
        </is>
      </c>
      <c r="J10547" t="inlineStr">
        <is>
          <t>Vận chuyển / Giao nhận / Kho vận, Môi trường, Thu mua / Vật tư</t>
        </is>
      </c>
      <c r="K10547" t="inlineStr">
        <is>
          <t>1 - 2 Năm</t>
        </is>
      </c>
      <c r="L10547" s="8">
        <f>HYPERLINK("https://careerviet.vn/vi/tim-viec-lam/nhan-vien-phong-vat-tu.35C654EE.html","Xem chi tiết")</f>
        <v/>
      </c>
    </row>
    <row r="10548">
      <c r="B10548" s="9" t="n">
        <v>10546</v>
      </c>
      <c r="C10548" s="10" t="inlineStr">
        <is>
          <t>[Lào Cai] CV/CVC/GĐ Quan hệ Khách hàng Cá nhân</t>
        </is>
      </c>
      <c r="D10548" s="10" t="inlineStr">
        <is>
          <t>Ngân hàng TMCP Lộc Phát Việt Nam (LPBank)</t>
        </is>
      </c>
      <c r="E10548" s="10" t="inlineStr">
        <is>
          <t>Lương:Cạnh tranh</t>
        </is>
      </c>
      <c r="F10548" s="10" t="inlineStr">
        <is>
          <t>Lào Cai</t>
        </is>
      </c>
      <c r="G10548" s="10" t="inlineStr">
        <is>
          <t>12-04-2026</t>
        </is>
      </c>
      <c r="H10548" s="10" t="inlineStr">
        <is>
          <t>12/04/2026</t>
        </is>
      </c>
      <c r="I10548" s="10" t="inlineStr">
        <is>
          <t>17/03/2026</t>
        </is>
      </c>
      <c r="J10548" s="10" t="inlineStr">
        <is>
          <t>Bán hàng / Kinh doanh, Kế toán / Kiểm toán, Ngân hàng</t>
        </is>
      </c>
      <c r="K10548" s="10" t="inlineStr">
        <is>
          <t>Trên 1 Năm</t>
        </is>
      </c>
      <c r="L10548" s="11">
        <f>HYPERLINK("https://careerviet.vn/vi/tim-viec-lam/lao-cai-cv-cvc-gd-quan-he-khach-hang-ca-nhan.35C68662.html","Xem chi tiết")</f>
        <v/>
      </c>
      <c r="M10548" s="10" t="n"/>
    </row>
    <row r="10549">
      <c r="B10549" s="7" t="n">
        <v>10547</v>
      </c>
      <c r="C10549" t="inlineStr">
        <is>
          <t>Customs Specialist (Certificate of Origin)</t>
        </is>
      </c>
      <c r="D10549" t="inlineStr">
        <is>
          <t>Wanek Furniture</t>
        </is>
      </c>
      <c r="E10549" t="inlineStr">
        <is>
          <t>Lương:Cạnh tranh</t>
        </is>
      </c>
      <c r="F10549" t="inlineStr">
        <is>
          <t>Bình Dương</t>
        </is>
      </c>
      <c r="G10549" t="inlineStr">
        <is>
          <t>12-04-2026</t>
        </is>
      </c>
      <c r="H10549" t="inlineStr">
        <is>
          <t>12/04/2026</t>
        </is>
      </c>
      <c r="I10549" t="inlineStr">
        <is>
          <t>17/03/2026</t>
        </is>
      </c>
      <c r="J10549" t="inlineStr">
        <is>
          <t>Hàng hải, Xuất nhập khẩu, Sản xuất / Vận hành sản xuất</t>
        </is>
      </c>
      <c r="K10549" t="inlineStr">
        <is>
          <t>2 - 5 Năm</t>
        </is>
      </c>
      <c r="L10549" s="8">
        <f>HYPERLINK("https://careerviet.vn/vi/tim-viec-lam/customs-specialist-certificate-of-origin.35C686AA.html","Xem chi tiết")</f>
        <v/>
      </c>
    </row>
    <row r="10550">
      <c r="B10550" s="9" t="n">
        <v>10548</v>
      </c>
      <c r="C10550" s="10" t="inlineStr">
        <is>
          <t>TRƯỞNG PHÒNG KẾ HOẠCH TỔNG HỢP</t>
        </is>
      </c>
      <c r="D10550" s="10" t="inlineStr">
        <is>
          <t>CÔNG TY TNHH ĐẦU TƯ Y TẾ QUỐC TẾ DND – SÀI GÒN</t>
        </is>
      </c>
      <c r="E10550" s="10" t="inlineStr">
        <is>
          <t>Lương:20 Tr - 30 Tr VND</t>
        </is>
      </c>
      <c r="F10550" s="10" t="inlineStr">
        <is>
          <t>Hồ Chí Minh</t>
        </is>
      </c>
      <c r="G10550" s="10" t="inlineStr">
        <is>
          <t>30-04-2026</t>
        </is>
      </c>
      <c r="H10550" s="10" t="inlineStr">
        <is>
          <t>30/04/2026</t>
        </is>
      </c>
      <c r="I10550" s="10" t="inlineStr">
        <is>
          <t>17/03/2026</t>
        </is>
      </c>
      <c r="J10550" s="10" t="inlineStr">
        <is>
          <t>Y tế / Chăm sóc sức khỏe / Thẩm mỹ / Làm đẹp</t>
        </is>
      </c>
      <c r="K10550" s="10" t="inlineStr">
        <is>
          <t>3 - 5 Năm</t>
        </is>
      </c>
      <c r="L10550" s="11">
        <f>HYPERLINK("https://careerviet.vn/vi/tim-viec-lam/truong-phong-ke-hoach-tong-hop.35C6B612.html","Xem chi tiết")</f>
        <v/>
      </c>
      <c r="M10550" s="10" t="n"/>
    </row>
    <row r="10551">
      <c r="B10551" s="7" t="n">
        <v>10549</v>
      </c>
      <c r="C10551" t="inlineStr">
        <is>
          <t>Chuyên viên pháp lý</t>
        </is>
      </c>
      <c r="D10551" t="inlineStr">
        <is>
          <t>CÔNG TY TNHH ĐẦU TƯ ITS</t>
        </is>
      </c>
      <c r="E10551" t="inlineStr">
        <is>
          <t>Lương:Cạnh tranh</t>
        </is>
      </c>
      <c r="F10551" t="inlineStr">
        <is>
          <t>Hồ Chí Minh</t>
        </is>
      </c>
      <c r="G10551" t="inlineStr">
        <is>
          <t>12-04-2026</t>
        </is>
      </c>
      <c r="H10551" t="inlineStr">
        <is>
          <t>12/04/2026</t>
        </is>
      </c>
      <c r="I10551" t="inlineStr">
        <is>
          <t>17/03/2026</t>
        </is>
      </c>
      <c r="J10551" t="inlineStr">
        <is>
          <t>Bán hàng / Kinh doanh, Luật / Pháp lý, Sản xuất / Vận hành sản xuất</t>
        </is>
      </c>
      <c r="K10551" t="inlineStr">
        <is>
          <t>5 - 6 Năm</t>
        </is>
      </c>
      <c r="L10551" s="8">
        <f>HYPERLINK("https://careerviet.vn/vi/tim-viec-lam/chuyen-vien-phap-ly.35C6544F.html","Xem chi tiết")</f>
        <v/>
      </c>
    </row>
    <row r="10552">
      <c r="B10552" s="9" t="n">
        <v>10550</v>
      </c>
      <c r="C10552" s="10" t="inlineStr">
        <is>
          <t>TRỢ LÝ KINH DOANH</t>
        </is>
      </c>
      <c r="D10552" s="10" t="inlineStr">
        <is>
          <t>Công Ty Cổ Phần Tập Đoàn Bất Động Sản Thắng Lợi</t>
        </is>
      </c>
      <c r="E10552" s="10" t="inlineStr">
        <is>
          <t>Lương:Cạnh tranh</t>
        </is>
      </c>
      <c r="F10552" s="10" t="inlineStr">
        <is>
          <t>Hồ Chí Minh</t>
        </is>
      </c>
      <c r="G10552" s="10" t="inlineStr">
        <is>
          <t>30-04-2026</t>
        </is>
      </c>
      <c r="H10552" s="10" t="inlineStr">
        <is>
          <t>30/04/2026</t>
        </is>
      </c>
      <c r="I10552" s="10" t="inlineStr">
        <is>
          <t>17/03/2026</t>
        </is>
      </c>
      <c r="J10552" s="10" t="inlineStr">
        <is>
          <t>Bất động sản, Dịch vụ khách hàng, Hành chính / Thư ký</t>
        </is>
      </c>
      <c r="K10552" s="10" t="inlineStr">
        <is>
          <t>2 - 3 Năm</t>
        </is>
      </c>
      <c r="L10552" s="11">
        <f>HYPERLINK("https://careerviet.vn/vi/tim-viec-lam/tro-ly-kinh-doanh.35C6B5DF.html","Xem chi tiết")</f>
        <v/>
      </c>
      <c r="M10552" s="10" t="n"/>
    </row>
    <row r="10553">
      <c r="B10553" s="7" t="n">
        <v>10551</v>
      </c>
      <c r="C10553" t="inlineStr">
        <is>
          <t>Nhân viên Tuyển dụng và Đào tạo</t>
        </is>
      </c>
      <c r="D10553" t="inlineStr">
        <is>
          <t>CÔNG TY CP BIA &amp; NGK HẠ LONG</t>
        </is>
      </c>
      <c r="E10553" t="inlineStr">
        <is>
          <t>Lương:10 Tr - 13 Tr VND</t>
        </is>
      </c>
      <c r="F10553" t="inlineStr">
        <is>
          <t>Quảng NinhHà Nội</t>
        </is>
      </c>
      <c r="G10553" t="inlineStr">
        <is>
          <t>05-04-2026</t>
        </is>
      </c>
      <c r="H10553" t="inlineStr">
        <is>
          <t>05/04/2026</t>
        </is>
      </c>
      <c r="I10553" t="inlineStr">
        <is>
          <t>17/03/2026</t>
        </is>
      </c>
      <c r="J10553" t="inlineStr">
        <is>
          <t>Nhân sự</t>
        </is>
      </c>
      <c r="K10553" t="inlineStr">
        <is>
          <t>2 - 3 Năm</t>
        </is>
      </c>
      <c r="L10553" s="8">
        <f>HYPERLINK("https://careerviet.vn/vi/tim-viec-lam/nhan-vien-tuyen-dung-va-dao-tao.35C6B599.html","Xem chi tiết")</f>
        <v/>
      </c>
    </row>
    <row r="10554">
      <c r="B10554" s="9" t="n">
        <v>10552</v>
      </c>
      <c r="C10554" s="10" t="inlineStr">
        <is>
          <t>Kế Toán Dự Án</t>
        </is>
      </c>
      <c r="D10554" s="10" t="inlineStr">
        <is>
          <t>Công Ty Cổ Phần Xây Dựng CDC</t>
        </is>
      </c>
      <c r="E10554" s="10" t="inlineStr">
        <is>
          <t>Lương:Cạnh tranh</t>
        </is>
      </c>
      <c r="F10554" s="10" t="inlineStr">
        <is>
          <t>Quảng Ninh</t>
        </is>
      </c>
      <c r="G10554" s="10" t="inlineStr">
        <is>
          <t>05-04-2026</t>
        </is>
      </c>
      <c r="H10554" s="10" t="inlineStr">
        <is>
          <t>05/04/2026</t>
        </is>
      </c>
      <c r="I10554" s="10" t="inlineStr">
        <is>
          <t>17/03/2026</t>
        </is>
      </c>
      <c r="J10554" s="10" t="inlineStr">
        <is>
          <t>Xây dựng</t>
        </is>
      </c>
      <c r="K10554" s="10" t="inlineStr">
        <is>
          <t>1 - 2 Năm</t>
        </is>
      </c>
      <c r="L10554" s="11">
        <f>HYPERLINK("https://careerviet.vn/vi/tim-viec-lam/ke-toan-du-an.35C6B5F4.html","Xem chi tiết")</f>
        <v/>
      </c>
      <c r="M10554" s="10" t="n"/>
    </row>
    <row r="10555">
      <c r="B10555" s="7" t="n">
        <v>10553</v>
      </c>
      <c r="C10555" t="inlineStr">
        <is>
          <t>Giám đốc trung tâm vận hành kỹ thuật</t>
        </is>
      </c>
      <c r="D10555" t="inlineStr">
        <is>
          <t>Công Ty Cổ Phần A25 Hotel</t>
        </is>
      </c>
      <c r="E10555" t="inlineStr">
        <is>
          <t>Lương:30 Tr - 50 Tr VND</t>
        </is>
      </c>
      <c r="F10555" t="inlineStr">
        <is>
          <t>Hồ Chí Minh</t>
        </is>
      </c>
      <c r="G10555" t="inlineStr">
        <is>
          <t>10-04-2026</t>
        </is>
      </c>
      <c r="H10555" t="inlineStr">
        <is>
          <t>10/04/2026</t>
        </is>
      </c>
      <c r="I10555" t="inlineStr">
        <is>
          <t>17/03/2026</t>
        </is>
      </c>
      <c r="J10555" t="inlineStr">
        <is>
          <t>Bảo trì / Sửa chữa, Quản lý điều hành, Điện / Điện tử / Điện lạnh / Điện công nghiệp</t>
        </is>
      </c>
      <c r="K10555" t="inlineStr">
        <is>
          <t>3 - 5 Năm</t>
        </is>
      </c>
      <c r="L10555" s="8">
        <f>HYPERLINK("https://careerviet.vn/vi/tim-viec-lam/giam-doc-trung-tam-van-hanh-ky-thuat.35C6B5DB.html","Xem chi tiết")</f>
        <v/>
      </c>
    </row>
    <row r="10556">
      <c r="B10556" s="9" t="n">
        <v>10554</v>
      </c>
      <c r="C10556" s="10" t="inlineStr">
        <is>
          <t>Kế toán viên</t>
        </is>
      </c>
      <c r="D10556" s="10" t="inlineStr">
        <is>
          <t>Công ty Cổ phần Thiết kế và Quản lý Kỹ thuật IMP</t>
        </is>
      </c>
      <c r="E10556" s="10" t="inlineStr">
        <is>
          <t>Lương:9 Tr - 11 Tr VND</t>
        </is>
      </c>
      <c r="F10556" s="10" t="inlineStr">
        <is>
          <t>Hồ Chí Minh</t>
        </is>
      </c>
      <c r="G10556" s="10" t="inlineStr">
        <is>
          <t>07-04-2026</t>
        </is>
      </c>
      <c r="H10556" s="10" t="inlineStr">
        <is>
          <t>07/04/2026</t>
        </is>
      </c>
      <c r="I10556" s="10" t="inlineStr">
        <is>
          <t>17/03/2026</t>
        </is>
      </c>
      <c r="J10556" s="10" t="inlineStr">
        <is>
          <t>Kế toán / Kiểm toán</t>
        </is>
      </c>
      <c r="K10556" s="10" t="inlineStr">
        <is>
          <t>1 - 2 Năm</t>
        </is>
      </c>
      <c r="L10556" s="11">
        <f>HYPERLINK("https://careerviet.vn/vi/tim-viec-lam/ke-toan-vien.35C6B5E5.html","Xem chi tiết")</f>
        <v/>
      </c>
      <c r="M10556" s="10" t="n"/>
    </row>
    <row r="10557">
      <c r="B10557" s="7" t="n">
        <v>10555</v>
      </c>
      <c r="C10557" t="inlineStr">
        <is>
          <t>Nhân viên Marketing</t>
        </is>
      </c>
      <c r="D10557" t="inlineStr">
        <is>
          <t>CÔNG TY TNHH BLUE ELATION</t>
        </is>
      </c>
      <c r="E10557" t="inlineStr">
        <is>
          <t>Lương:12 Tr - 14 Tr VND</t>
        </is>
      </c>
      <c r="F10557" t="inlineStr">
        <is>
          <t>Hồ Chí Minh</t>
        </is>
      </c>
      <c r="G10557" t="inlineStr">
        <is>
          <t>31-03-2026</t>
        </is>
      </c>
      <c r="H10557" t="inlineStr">
        <is>
          <t>31/03/2026</t>
        </is>
      </c>
      <c r="I10557" t="inlineStr">
        <is>
          <t>17/03/2026</t>
        </is>
      </c>
      <c r="J10557" t="inlineStr">
        <is>
          <t>Tiếp thị / Marketing</t>
        </is>
      </c>
      <c r="K10557" t="inlineStr">
        <is>
          <t>3 - 5 Năm</t>
        </is>
      </c>
      <c r="L10557" s="8">
        <f>HYPERLINK("https://careerviet.vn/vi/tim-viec-lam/nhan-vien-marketing.35C6B5EA.html","Xem chi tiết")</f>
        <v/>
      </c>
    </row>
    <row r="10558">
      <c r="B10558" s="9" t="n">
        <v>10556</v>
      </c>
      <c r="C10558" s="10" t="inlineStr">
        <is>
          <t>Kỹ Sư QS</t>
        </is>
      </c>
      <c r="D10558" s="10" t="inlineStr">
        <is>
          <t>Công Ty TNHH Xây Dựng Solutions</t>
        </is>
      </c>
      <c r="E10558" s="10" t="inlineStr">
        <is>
          <t>Lương:Cạnh tranh</t>
        </is>
      </c>
      <c r="F10558" s="10" t="inlineStr">
        <is>
          <t>Đồng NaiBình DươngHồ Chí Minh</t>
        </is>
      </c>
      <c r="G10558" s="10" t="inlineStr">
        <is>
          <t>07-04-2026</t>
        </is>
      </c>
      <c r="H10558" s="10" t="inlineStr">
        <is>
          <t>07/04/2026</t>
        </is>
      </c>
      <c r="I10558" s="10" t="inlineStr">
        <is>
          <t>17/03/2026</t>
        </is>
      </c>
      <c r="J10558" s="10" t="inlineStr">
        <is>
          <t>Xây dựng, Kiến trúc, Quản lý chất lượng (QA/QC)</t>
        </is>
      </c>
      <c r="K10558" s="10" t="inlineStr">
        <is>
          <t>1 - 2 Năm</t>
        </is>
      </c>
      <c r="L10558" s="11">
        <f>HYPERLINK("https://careerviet.vn/vi/tim-viec-lam/ky-su-qs.35C6B5AA.html","Xem chi tiết")</f>
        <v/>
      </c>
      <c r="M10558" s="10" t="n"/>
    </row>
    <row r="10559">
      <c r="B10559" s="7" t="n">
        <v>10557</v>
      </c>
      <c r="C10559" t="inlineStr">
        <is>
          <t>[TUYỂN GẤP] NHÂN VIÊN HÀNH CHÍNH - NHÂN SỰ/C&amp;B</t>
        </is>
      </c>
      <c r="D10559" t="inlineStr">
        <is>
          <t>CÔNG TY CỔ PHẦN SẢN XUẤT THƯƠNG MẠI XÂY DỰNG TRANG TRÍ NỘI THẤT G.S VIỆT NAM</t>
        </is>
      </c>
      <c r="E10559" t="inlineStr">
        <is>
          <t>Lương:Trên 12 Tr VND</t>
        </is>
      </c>
      <c r="F10559" t="inlineStr">
        <is>
          <t>Hồ Chí Minh</t>
        </is>
      </c>
      <c r="G10559" t="inlineStr">
        <is>
          <t>15-04-2026</t>
        </is>
      </c>
      <c r="H10559" t="inlineStr">
        <is>
          <t>15/04/2026</t>
        </is>
      </c>
      <c r="I10559" t="inlineStr">
        <is>
          <t>17/03/2026</t>
        </is>
      </c>
      <c r="J10559" t="inlineStr">
        <is>
          <t>Hành chính / Thư ký, Nhân sự, Xây dựng</t>
        </is>
      </c>
      <c r="K10559" t="inlineStr">
        <is>
          <t>1 - 3 Năm</t>
        </is>
      </c>
      <c r="L10559" s="8">
        <f>HYPERLINK("https://careerviet.vn/vi/tim-viec-lam/tuyen-gap-nhan-vien-hanh-chinh-nhan-su-c-b.35C6B65D.html","Xem chi tiết")</f>
        <v/>
      </c>
    </row>
    <row r="10560">
      <c r="B10560" s="9" t="n">
        <v>10558</v>
      </c>
      <c r="C10560" s="10" t="inlineStr">
        <is>
          <t>TRƯỞNG PHÒNG KINH DOANH</t>
        </is>
      </c>
      <c r="D10560" s="10" t="inlineStr">
        <is>
          <t>CÔNG TY CỔ PHẦN THƯƠNG MẠI DỊCH VỤ KỸ THUẬT CAO NAM PHÁT</t>
        </is>
      </c>
      <c r="E10560" s="10" t="inlineStr">
        <is>
          <t>Lương:18 Tr - 30 Tr VND</t>
        </is>
      </c>
      <c r="F10560" s="10" t="inlineStr">
        <is>
          <t>Hồ Chí Minh</t>
        </is>
      </c>
      <c r="G10560" s="10" t="inlineStr">
        <is>
          <t>07-04-2026</t>
        </is>
      </c>
      <c r="H10560" s="10" t="inlineStr">
        <is>
          <t>07/04/2026</t>
        </is>
      </c>
      <c r="I10560" s="10" t="inlineStr">
        <is>
          <t>17/03/2026</t>
        </is>
      </c>
      <c r="J10560" s="10" t="inlineStr">
        <is>
          <t>Bán hàng / Kinh doanh, Môi trường, Quản lý điều hành</t>
        </is>
      </c>
      <c r="K10560" s="10" t="inlineStr">
        <is>
          <t>1 - 2 Năm</t>
        </is>
      </c>
      <c r="L10560" s="11">
        <f>HYPERLINK("https://careerviet.vn/vi/tim-viec-lam/truong-phong-kinh-doanh.35C6B606.html","Xem chi tiết")</f>
        <v/>
      </c>
      <c r="M10560" s="10" t="n"/>
    </row>
    <row r="10561">
      <c r="B10561" s="7" t="n">
        <v>10559</v>
      </c>
      <c r="C10561" t="inlineStr">
        <is>
          <t>Nhân viên chứng từ vận tải</t>
        </is>
      </c>
      <c r="D10561" t="inlineStr">
        <is>
          <t>Công ty Cổ phần Express Thành Đạt</t>
        </is>
      </c>
      <c r="E10561" t="inlineStr">
        <is>
          <t>Lương:8 Tr - 12 Tr VND</t>
        </is>
      </c>
      <c r="F10561" t="inlineStr">
        <is>
          <t>Bình Dương</t>
        </is>
      </c>
      <c r="G10561" t="inlineStr">
        <is>
          <t>12-04-2026</t>
        </is>
      </c>
      <c r="H10561" t="inlineStr">
        <is>
          <t>12/04/2026</t>
        </is>
      </c>
      <c r="I10561" t="inlineStr">
        <is>
          <t>17/03/2026</t>
        </is>
      </c>
      <c r="J10561" t="inlineStr">
        <is>
          <t>Vận chuyển / Giao nhận / Kho vận</t>
        </is>
      </c>
      <c r="K10561" t="inlineStr">
        <is>
          <t>1 - 3 Năm</t>
        </is>
      </c>
      <c r="L10561" s="8">
        <f>HYPERLINK("https://careerviet.vn/vi/tim-viec-lam/nhan-vien-chung-tu-van-tai.35C6381F.html","Xem chi tiết")</f>
        <v/>
      </c>
    </row>
    <row r="10562">
      <c r="B10562" s="9" t="n">
        <v>10560</v>
      </c>
      <c r="C10562" s="10" t="inlineStr">
        <is>
          <t>Kiến Trúc Sư</t>
        </is>
      </c>
      <c r="D10562" s="10" t="inlineStr">
        <is>
          <t>CÔNG TY TNHH SẢN XUẤT VÀ THƯƠNG MẠI DỊCH VỤ NGHĨA PHÁT</t>
        </is>
      </c>
      <c r="E10562" s="10" t="inlineStr">
        <is>
          <t>Lương:20 Tr - 27 Tr VND</t>
        </is>
      </c>
      <c r="F10562" s="10" t="inlineStr">
        <is>
          <t>Hồ Chí Minh</t>
        </is>
      </c>
      <c r="G10562" s="10" t="inlineStr">
        <is>
          <t>05-04-2026</t>
        </is>
      </c>
      <c r="H10562" s="10" t="inlineStr">
        <is>
          <t>05/04/2026</t>
        </is>
      </c>
      <c r="I10562" s="10" t="inlineStr">
        <is>
          <t>17/03/2026</t>
        </is>
      </c>
      <c r="J10562" s="10" t="inlineStr">
        <is>
          <t>Xây dựng, Kiến trúc</t>
        </is>
      </c>
      <c r="K10562" s="10" t="inlineStr">
        <is>
          <t>Trên 2 Năm</t>
        </is>
      </c>
      <c r="L10562" s="11">
        <f>HYPERLINK("https://careerviet.vn/vi/tim-viec-lam/kien-truc-su.35C6B395.html","Xem chi tiết")</f>
        <v/>
      </c>
      <c r="M10562" s="10" t="n"/>
    </row>
    <row r="10563">
      <c r="B10563" s="7" t="n">
        <v>10561</v>
      </c>
      <c r="C10563" t="inlineStr">
        <is>
          <t>Senior FP&amp;A / Cost Planning Executive (Quantity Surveying Background)</t>
        </is>
      </c>
      <c r="D10563" t="inlineStr">
        <is>
          <t>Công Ty Cổ Phần Tập Đoàn Đầu Tư Địa Ốc No Va</t>
        </is>
      </c>
      <c r="E10563" t="inlineStr">
        <is>
          <t>Lương:Cạnh tranh</t>
        </is>
      </c>
      <c r="F10563" t="inlineStr">
        <is>
          <t>Hồ Chí Minh</t>
        </is>
      </c>
      <c r="G10563" t="inlineStr">
        <is>
          <t>12-04-2026</t>
        </is>
      </c>
      <c r="H10563" t="inlineStr">
        <is>
          <t>12/04/2026</t>
        </is>
      </c>
      <c r="I10563" t="inlineStr">
        <is>
          <t>17/03/2026</t>
        </is>
      </c>
      <c r="J10563" t="inlineStr">
        <is>
          <t>Kiến trúc, Xây dựng, Bất động sản</t>
        </is>
      </c>
      <c r="K10563" t="inlineStr">
        <is>
          <t>3 - 5 Năm</t>
        </is>
      </c>
      <c r="L10563" s="8">
        <f>HYPERLINK("https://careerviet.vn/vi/tim-viec-lam/senior-fp-a-cost-planning-executive-quantity-surveying-background.35C686A2.html","Xem chi tiết")</f>
        <v/>
      </c>
    </row>
    <row r="10564">
      <c r="B10564" s="9" t="n">
        <v>10562</v>
      </c>
      <c r="C10564" s="10" t="inlineStr">
        <is>
          <t>CHUYÊN VIÊN QS MEP</t>
        </is>
      </c>
      <c r="D10564" s="10" t="inlineStr">
        <is>
          <t>CÔNG TY CỔ PHẦN ĐẦU TƯ XÂY DỰNG VITECCONS</t>
        </is>
      </c>
      <c r="E10564" s="10" t="inlineStr">
        <is>
          <t>Lương:15 Tr - 22 Tr VND</t>
        </is>
      </c>
      <c r="F10564" s="10" t="inlineStr">
        <is>
          <t>Hồ Chí Minh</t>
        </is>
      </c>
      <c r="G10564" s="10" t="inlineStr">
        <is>
          <t>15-04-2026</t>
        </is>
      </c>
      <c r="H10564" s="10" t="inlineStr">
        <is>
          <t>15/04/2026</t>
        </is>
      </c>
      <c r="I10564" s="10" t="inlineStr">
        <is>
          <t>17/03/2026</t>
        </is>
      </c>
      <c r="J10564" s="10" t="inlineStr">
        <is>
          <t>Xây dựng</t>
        </is>
      </c>
      <c r="K10564" s="10" t="inlineStr">
        <is>
          <t>1 - 2 Năm</t>
        </is>
      </c>
      <c r="L10564" s="11">
        <f>HYPERLINK("https://careerviet.vn/vi/tim-viec-lam/chuyen-vien-qs-mep.35C6B5A1.html","Xem chi tiết")</f>
        <v/>
      </c>
      <c r="M10564" s="10" t="n"/>
    </row>
    <row r="10565">
      <c r="B10565" s="7" t="n">
        <v>10563</v>
      </c>
      <c r="C10565" t="inlineStr">
        <is>
          <t>Senior Internal Controller (Fraud Risk)</t>
        </is>
      </c>
      <c r="D10565" t="inlineStr">
        <is>
          <t>Công ty TNHH Onpoint</t>
        </is>
      </c>
      <c r="E10565" t="inlineStr">
        <is>
          <t>Lương:Cạnh tranh</t>
        </is>
      </c>
      <c r="F10565" t="inlineStr">
        <is>
          <t>Hồ Chí Minh</t>
        </is>
      </c>
      <c r="G10565" t="inlineStr">
        <is>
          <t>31-03-2026</t>
        </is>
      </c>
      <c r="H10565" t="inlineStr">
        <is>
          <t>31/03/2026</t>
        </is>
      </c>
      <c r="I10565" t="inlineStr">
        <is>
          <t>17/03/2026</t>
        </is>
      </c>
      <c r="J10565" t="inlineStr">
        <is>
          <t>Kế toán / Kiểm toán, Thương mại điện tử, Luật / Pháp lý</t>
        </is>
      </c>
      <c r="K10565" t="inlineStr">
        <is>
          <t>3 - 10 Năm</t>
        </is>
      </c>
      <c r="L10565" s="8">
        <f>HYPERLINK("https://careerviet.vn/vi/tim-viec-lam/senior-internal-controller-fraud-risk.35C6B5E1.html","Xem chi tiết")</f>
        <v/>
      </c>
    </row>
    <row r="10566">
      <c r="B10566" s="9" t="n">
        <v>10564</v>
      </c>
      <c r="C10566" s="10" t="inlineStr">
        <is>
          <t>Phó ban pháp chế</t>
        </is>
      </c>
      <c r="D10566" s="10" t="inlineStr">
        <is>
          <t>Công Ty Cổ Phần A25 Hotel</t>
        </is>
      </c>
      <c r="E10566" s="10" t="inlineStr">
        <is>
          <t>Lương:20 Tr - 40 Tr VND</t>
        </is>
      </c>
      <c r="F10566" s="10" t="inlineStr">
        <is>
          <t>Hà Nội</t>
        </is>
      </c>
      <c r="G10566" s="10" t="inlineStr">
        <is>
          <t>10-04-2026</t>
        </is>
      </c>
      <c r="H10566" s="10" t="inlineStr">
        <is>
          <t>10/04/2026</t>
        </is>
      </c>
      <c r="I10566" s="10" t="inlineStr">
        <is>
          <t>17/03/2026</t>
        </is>
      </c>
      <c r="J10566" s="10" t="inlineStr">
        <is>
          <t>Luật / Pháp lý</t>
        </is>
      </c>
      <c r="K10566" s="10" t="inlineStr">
        <is>
          <t>3 - 5 Năm</t>
        </is>
      </c>
      <c r="L10566" s="11">
        <f>HYPERLINK("https://careerviet.vn/vi/tim-viec-lam/pho-ban-phap-che.35C6B5DE.html","Xem chi tiết")</f>
        <v/>
      </c>
      <c r="M10566" s="10" t="n"/>
    </row>
    <row r="10567">
      <c r="B10567" s="7" t="n">
        <v>10565</v>
      </c>
      <c r="C10567" t="inlineStr">
        <is>
          <t>Chuyên viên Đầu tư</t>
        </is>
      </c>
      <c r="D10567" t="inlineStr">
        <is>
          <t>Công Ty Cổ Phần Đông Tây Land</t>
        </is>
      </c>
      <c r="E10567" t="inlineStr">
        <is>
          <t>Lương:15 Tr - 18 Tr VND</t>
        </is>
      </c>
      <c r="F10567" t="inlineStr">
        <is>
          <t>Hồ Chí Minh</t>
        </is>
      </c>
      <c r="G10567" t="inlineStr">
        <is>
          <t>07-04-2026</t>
        </is>
      </c>
      <c r="H10567" t="inlineStr">
        <is>
          <t>07/04/2026</t>
        </is>
      </c>
      <c r="I10567" t="inlineStr">
        <is>
          <t>17/03/2026</t>
        </is>
      </c>
      <c r="J10567" t="inlineStr">
        <is>
          <t>Bán hàng / Kinh doanh, Tài chính / Đầu tư</t>
        </is>
      </c>
      <c r="K10567" t="inlineStr">
        <is>
          <t>2 - 3 Năm</t>
        </is>
      </c>
      <c r="L10567" s="8">
        <f>HYPERLINK("https://careerviet.vn/vi/tim-viec-lam/chuyen-vien-dau-tu.35C6B603.html","Xem chi tiết")</f>
        <v/>
      </c>
    </row>
    <row r="10568">
      <c r="B10568" s="9" t="n">
        <v>10566</v>
      </c>
      <c r="C10568" s="10" t="inlineStr">
        <is>
          <t>[PHENIKAA GROUP] TRƯỞNG PHÒNG VẬN HÀNH &amp; KINH DOANH BẤT ĐỘNG SẢN</t>
        </is>
      </c>
      <c r="D10568" s="10" t="inlineStr">
        <is>
          <t>Bảo mật</t>
        </is>
      </c>
      <c r="E10568" s="10" t="inlineStr">
        <is>
          <t>Lương:30 Tr - 50 Tr VND</t>
        </is>
      </c>
      <c r="F10568" s="10" t="inlineStr">
        <is>
          <t>Hà Nội</t>
        </is>
      </c>
      <c r="G10568" s="10" t="inlineStr">
        <is>
          <t>30-04-2026</t>
        </is>
      </c>
      <c r="H10568" s="10" t="inlineStr">
        <is>
          <t>30/04/2026</t>
        </is>
      </c>
      <c r="I10568" s="10" t="inlineStr">
        <is>
          <t>17/03/2026</t>
        </is>
      </c>
      <c r="J10568" s="10" t="inlineStr">
        <is>
          <t>Quản lý điều hành, Nhà hàng / Khách sạn, Dịch vụ khách hàng</t>
        </is>
      </c>
      <c r="K10568" s="10" t="inlineStr">
        <is>
          <t>3 - 5 Năm</t>
        </is>
      </c>
      <c r="L10568" s="11">
        <f>HYPERLINK("https://careerviet.vn/vi/tim-viec-lam/phenikaa-group-truong-phong-van-hanh-kinh-doanh-bat-dong-san.35C6B5FD.html","Xem chi tiết")</f>
        <v/>
      </c>
      <c r="M10568" s="10" t="n"/>
    </row>
    <row r="10569">
      <c r="B10569" s="7" t="n">
        <v>10567</v>
      </c>
      <c r="C10569" t="inlineStr">
        <is>
          <t>Nhân viên quay phim - chụp hình</t>
        </is>
      </c>
      <c r="D10569" t="inlineStr">
        <is>
          <t>Công Ty Cổ Phần Gỗ An Cường</t>
        </is>
      </c>
      <c r="E10569" t="inlineStr">
        <is>
          <t>Lương:15 Tr - 18 Tr VND</t>
        </is>
      </c>
      <c r="F10569" t="inlineStr">
        <is>
          <t>Hồ Chí Minh</t>
        </is>
      </c>
      <c r="G10569" t="inlineStr">
        <is>
          <t>08-04-2026</t>
        </is>
      </c>
      <c r="H10569" t="inlineStr">
        <is>
          <t>08/04/2026</t>
        </is>
      </c>
      <c r="I10569" t="inlineStr">
        <is>
          <t>17/03/2026</t>
        </is>
      </c>
      <c r="J10569" t="inlineStr">
        <is>
          <t>Mỹ thuật / Nghệ thuật / Thiết kế, Truyền hình / Báo chí / Biên tập, Quảng cáo / Đối ngoại / Truyền Thông</t>
        </is>
      </c>
      <c r="K10569" t="inlineStr">
        <is>
          <t>1 - 2 Năm</t>
        </is>
      </c>
      <c r="L10569" s="8">
        <f>HYPERLINK("https://careerviet.vn/vi/tim-viec-lam/nhan-vien-quay-phim-chup-hinh.35C6B5B5.html","Xem chi tiết")</f>
        <v/>
      </c>
    </row>
    <row r="10570">
      <c r="B10570" s="9" t="n">
        <v>10568</v>
      </c>
      <c r="C10570" s="10" t="inlineStr">
        <is>
          <t>PE Supervisor- Trainer</t>
        </is>
      </c>
      <c r="D10570" s="10" t="inlineStr">
        <is>
          <t>CÔNG TY TNHH AMPHENOL TECHNOLOGY VIỆT NAM (AFOV)</t>
        </is>
      </c>
      <c r="E10570" s="10" t="inlineStr">
        <is>
          <t>Lương:Trên 15 Tr VND</t>
        </is>
      </c>
      <c r="F10570" s="10" t="inlineStr">
        <is>
          <t>Long An</t>
        </is>
      </c>
      <c r="G10570" s="10" t="inlineStr">
        <is>
          <t>30-04-2026</t>
        </is>
      </c>
      <c r="H10570" s="10" t="inlineStr">
        <is>
          <t>30/04/2026</t>
        </is>
      </c>
      <c r="I10570" s="10" t="inlineStr">
        <is>
          <t>17/03/2026</t>
        </is>
      </c>
      <c r="J10570" s="10" t="inlineStr">
        <is>
          <t>Sản xuất / Vận hành sản xuất, Cơ khí / Ô tô / Tự động hóa, Bảo trì / Sửa chữa</t>
        </is>
      </c>
      <c r="K10570" s="10" t="inlineStr">
        <is>
          <t>2 - 3 Năm</t>
        </is>
      </c>
      <c r="L10570" s="11">
        <f>HYPERLINK("https://careerviet.vn/vi/tim-viec-lam/pe-supervisor-trainer.35C6B5D4.html","Xem chi tiết")</f>
        <v/>
      </c>
      <c r="M10570" s="10" t="n"/>
    </row>
    <row r="10571">
      <c r="B10571" s="7" t="n">
        <v>10569</v>
      </c>
      <c r="C10571" t="inlineStr">
        <is>
          <t>CHUYÊN VIÊN HCNS (Pháp lý - pháp chế) BỆNH VIỆN MẮT DND - SÀI GÒN</t>
        </is>
      </c>
      <c r="D10571" t="inlineStr">
        <is>
          <t>CÔNG TY TNHH ĐẦU TƯ Y TẾ QUỐC TẾ DND – SÀI GÒN</t>
        </is>
      </c>
      <c r="E10571" t="inlineStr">
        <is>
          <t>Lương:Cạnh tranh</t>
        </is>
      </c>
      <c r="F10571" t="inlineStr">
        <is>
          <t>Hồ Chí Minh</t>
        </is>
      </c>
      <c r="G10571" t="inlineStr">
        <is>
          <t>30-04-2026</t>
        </is>
      </c>
      <c r="H10571" t="inlineStr">
        <is>
          <t>30/04/2026</t>
        </is>
      </c>
      <c r="I10571" t="inlineStr">
        <is>
          <t>17/03/2026</t>
        </is>
      </c>
      <c r="J10571" t="inlineStr">
        <is>
          <t>Luật / Pháp lý, Nhân sự, Y tế / Chăm sóc sức khỏe / Thẩm mỹ / Làm đẹp</t>
        </is>
      </c>
      <c r="K10571" t="inlineStr">
        <is>
          <t>Trên 3 Năm</t>
        </is>
      </c>
      <c r="L10571" s="8">
        <f>HYPERLINK("https://careerviet.vn/vi/tim-viec-lam/chuyen-vien-hcns-phap-ly-phap-che-benh-vien-mat-dnd-sai-gon.35C6B618.html","Xem chi tiết")</f>
        <v/>
      </c>
    </row>
    <row r="10572">
      <c r="B10572" s="9" t="n">
        <v>10570</v>
      </c>
      <c r="C10572" s="10" t="inlineStr">
        <is>
          <t>Nhân Viên Kế Toán tại Quận 2</t>
        </is>
      </c>
      <c r="D10572" s="10" t="inlineStr">
        <is>
          <t>Công Ty TNHH Tập Đoàn Rita Võ</t>
        </is>
      </c>
      <c r="E10572" s="10" t="inlineStr">
        <is>
          <t>Lương:10 Tr - 12 Tr VND</t>
        </is>
      </c>
      <c r="F10572" s="10" t="inlineStr">
        <is>
          <t>Hồ Chí Minh</t>
        </is>
      </c>
      <c r="G10572" s="10" t="inlineStr">
        <is>
          <t>31-03-2026</t>
        </is>
      </c>
      <c r="H10572" s="10" t="inlineStr">
        <is>
          <t>31/03/2026</t>
        </is>
      </c>
      <c r="I10572" s="10" t="inlineStr">
        <is>
          <t>17/03/2026</t>
        </is>
      </c>
      <c r="J10572" s="10" t="inlineStr">
        <is>
          <t>Kế toán / Kiểm toán</t>
        </is>
      </c>
      <c r="K10572" s="10" t="inlineStr">
        <is>
          <t>Trên 2 Năm</t>
        </is>
      </c>
      <c r="L10572" s="11">
        <f>HYPERLINK("https://careerviet.vn/vi/tim-viec-lam/nhan-vien-ke-toan-tai-quan-2.35C6B597.html","Xem chi tiết")</f>
        <v/>
      </c>
      <c r="M10572" s="10" t="n"/>
    </row>
    <row r="10573">
      <c r="B10573" s="7" t="n">
        <v>10571</v>
      </c>
      <c r="C10573" t="inlineStr">
        <is>
          <t>Nhân viên Marketing – Truyền thông nội bộ</t>
        </is>
      </c>
      <c r="D10573" t="inlineStr">
        <is>
          <t>CÔNG TY CỔ PHẦN PHÁT TRIỂN HI-TECH VIỆT NAM</t>
        </is>
      </c>
      <c r="E10573" t="inlineStr">
        <is>
          <t>Lương:12 Tr - 16 Tr VND</t>
        </is>
      </c>
      <c r="F10573" t="inlineStr">
        <is>
          <t>Hà Nội</t>
        </is>
      </c>
      <c r="G10573" t="inlineStr">
        <is>
          <t>08-04-2026</t>
        </is>
      </c>
      <c r="H10573" t="inlineStr">
        <is>
          <t>08/04/2026</t>
        </is>
      </c>
      <c r="I10573" t="inlineStr">
        <is>
          <t>17/03/2026</t>
        </is>
      </c>
      <c r="J10573" t="inlineStr">
        <is>
          <t>Tiếp thị / Marketing, Nhân sự, Quảng cáo / Đối ngoại / Truyền Thông</t>
        </is>
      </c>
      <c r="K10573" t="inlineStr">
        <is>
          <t>Trên 2 Năm</t>
        </is>
      </c>
      <c r="L10573" s="8">
        <f>HYPERLINK("https://careerviet.vn/vi/tim-viec-lam/nhan-vien-marketing-truyen-thong-noi-bo.35C6B5CC.html","Xem chi tiết")</f>
        <v/>
      </c>
    </row>
    <row r="10574">
      <c r="B10574" s="9" t="n">
        <v>10572</v>
      </c>
      <c r="C10574" s="10" t="inlineStr">
        <is>
          <t>Thủ kho</t>
        </is>
      </c>
      <c r="D10574" s="10" t="inlineStr">
        <is>
          <t>Công ty TNHH Phân Phối Liên Kết Quốc Tế (ILD)</t>
        </is>
      </c>
      <c r="E10574" s="10" t="inlineStr">
        <is>
          <t>Lương:10 Tr - 12 Tr VND</t>
        </is>
      </c>
      <c r="F10574" s="10" t="inlineStr">
        <is>
          <t>Hồ Chí Minh</t>
        </is>
      </c>
      <c r="G10574" s="10" t="inlineStr">
        <is>
          <t>30-04-2026</t>
        </is>
      </c>
      <c r="H10574" s="10" t="inlineStr">
        <is>
          <t>30/04/2026</t>
        </is>
      </c>
      <c r="I10574" s="10" t="inlineStr">
        <is>
          <t>17/03/2026</t>
        </is>
      </c>
      <c r="J10574" s="10" t="inlineStr">
        <is>
          <t>Vận chuyển / Giao nhận / Kho vận</t>
        </is>
      </c>
      <c r="K10574" s="10" t="inlineStr">
        <is>
          <t>1 - 2 Năm</t>
        </is>
      </c>
      <c r="L10574" s="11">
        <f>HYPERLINK("https://careerviet.vn/vi/tim-viec-lam/thu-kho.35C6B5C6.html","Xem chi tiết")</f>
        <v/>
      </c>
      <c r="M10574" s="10" t="n"/>
    </row>
    <row r="10575">
      <c r="B10575" s="7" t="n">
        <v>10573</v>
      </c>
      <c r="C10575" t="inlineStr">
        <is>
          <t>PHÓ TỔNG GIÁM ĐỐC XÂY LẮP</t>
        </is>
      </c>
      <c r="D10575" t="inlineStr">
        <is>
          <t>CÔNG TY CỔ PHẦN PHÁT TRIỂN HI-TECH VIỆT NAM</t>
        </is>
      </c>
      <c r="E10575" t="inlineStr">
        <is>
          <t>Lương:30 Tr - 50 Tr VND</t>
        </is>
      </c>
      <c r="F10575" t="inlineStr">
        <is>
          <t>Hà Nội</t>
        </is>
      </c>
      <c r="G10575" t="inlineStr">
        <is>
          <t>08-04-2026</t>
        </is>
      </c>
      <c r="H10575" t="inlineStr">
        <is>
          <t>08/04/2026</t>
        </is>
      </c>
      <c r="I10575" t="inlineStr">
        <is>
          <t>17/03/2026</t>
        </is>
      </c>
      <c r="J10575" t="inlineStr">
        <is>
          <t>Xây dựng, Bất động sản, Quản lý điều hành</t>
        </is>
      </c>
      <c r="K10575" t="inlineStr">
        <is>
          <t>Trên 5 Năm</t>
        </is>
      </c>
      <c r="L10575" s="8">
        <f>HYPERLINK("https://careerviet.vn/vi/tim-viec-lam/pho-tong-giam-doc-xay-lap.35C6B650.html","Xem chi tiết")</f>
        <v/>
      </c>
    </row>
    <row r="10576">
      <c r="B10576" s="9" t="n">
        <v>10574</v>
      </c>
      <c r="C10576" s="10" t="inlineStr">
        <is>
          <t>Mechanical Engineer (Gearbox) - Shuttle bus provided (Cu Chi)</t>
        </is>
      </c>
      <c r="D10576" s="10" t="inlineStr">
        <is>
          <t>Techtronic Industries Vietnam Manufacturing Company Limited</t>
        </is>
      </c>
      <c r="E10576" s="10" t="inlineStr">
        <is>
          <t>Lương:Cạnh tranh</t>
        </is>
      </c>
      <c r="F10576" s="10" t="inlineStr">
        <is>
          <t>Hồ Chí Minh</t>
        </is>
      </c>
      <c r="G10576" s="10" t="inlineStr">
        <is>
          <t>30-05-2026</t>
        </is>
      </c>
      <c r="H10576" s="10" t="inlineStr">
        <is>
          <t>30/05/2026</t>
        </is>
      </c>
      <c r="I10576" s="10" t="inlineStr">
        <is>
          <t>17/03/2026</t>
        </is>
      </c>
      <c r="J10576" s="10" t="inlineStr">
        <is>
          <t>Cơ khí / Ô tô / Tự động hóa, Điện / Điện tử / Điện lạnh / Điện công nghiệp</t>
        </is>
      </c>
      <c r="K10576" s="10" t="inlineStr">
        <is>
          <t>2 - 5 Năm</t>
        </is>
      </c>
      <c r="L10576" s="11">
        <f>HYPERLINK("https://careerviet.vn/vi/tim-viec-lam/mechanical-engineer-gearbox-shuttle-bus-provided-cu-chi.35C6B61B.html","Xem chi tiết")</f>
        <v/>
      </c>
      <c r="M10576" s="10" t="n"/>
    </row>
    <row r="10577">
      <c r="B10577" s="7" t="n">
        <v>10575</v>
      </c>
      <c r="C10577" t="inlineStr">
        <is>
          <t>NHÂN VIÊN P. KẾ HOẠCH TỔNG HỢP BỆNH VIỆN CK MẮT</t>
        </is>
      </c>
      <c r="D10577" t="inlineStr">
        <is>
          <t>CÔNG TY TNHH ĐẦU TƯ Y TẾ QUỐC TẾ DND – SÀI GÒN</t>
        </is>
      </c>
      <c r="E10577" t="inlineStr">
        <is>
          <t>Lương:Cạnh tranh</t>
        </is>
      </c>
      <c r="F10577" t="inlineStr">
        <is>
          <t>Hồ Chí Minh</t>
        </is>
      </c>
      <c r="G10577" t="inlineStr">
        <is>
          <t>07-04-2026</t>
        </is>
      </c>
      <c r="H10577" t="inlineStr">
        <is>
          <t>07/04/2026</t>
        </is>
      </c>
      <c r="I10577" t="inlineStr">
        <is>
          <t>17/03/2026</t>
        </is>
      </c>
      <c r="J10577" t="inlineStr">
        <is>
          <t>Y tế / Chăm sóc sức khỏe / Thẩm mỹ / Làm đẹp</t>
        </is>
      </c>
      <c r="K10577" t="inlineStr">
        <is>
          <t>1 - 2 Năm</t>
        </is>
      </c>
      <c r="L10577" s="8">
        <f>HYPERLINK("https://careerviet.vn/vi/tim-viec-lam/nhan-vien-p-ke-hoach-tong-hop-benh-vien-ck-mat.35C6B60A.html","Xem chi tiết")</f>
        <v/>
      </c>
    </row>
    <row r="10578">
      <c r="B10578" s="9" t="n">
        <v>10576</v>
      </c>
      <c r="C10578" s="10" t="inlineStr">
        <is>
          <t>Lighting Specialist</t>
        </is>
      </c>
      <c r="D10578" s="10" t="inlineStr">
        <is>
          <t>nanoHome</t>
        </is>
      </c>
      <c r="E10578" s="10" t="inlineStr">
        <is>
          <t>Lương:14 Tr - 17 Tr VND</t>
        </is>
      </c>
      <c r="F10578" s="10" t="inlineStr">
        <is>
          <t>Hồ Chí Minh</t>
        </is>
      </c>
      <c r="G10578" s="10" t="inlineStr">
        <is>
          <t>07-04-2026</t>
        </is>
      </c>
      <c r="H10578" s="10" t="inlineStr">
        <is>
          <t>07/04/2026</t>
        </is>
      </c>
      <c r="I10578" s="10" t="inlineStr">
        <is>
          <t>17/03/2026</t>
        </is>
      </c>
      <c r="J10578" s="10" t="inlineStr">
        <is>
          <t>Điện / Điện tử / Điện lạnh / Điện công nghiệp, Nội ngoại thất</t>
        </is>
      </c>
      <c r="K10578" s="10" t="inlineStr">
        <is>
          <t>2 - 8 Năm</t>
        </is>
      </c>
      <c r="L10578" s="11">
        <f>HYPERLINK("https://careerviet.vn/vi/tim-viec-lam/lighting-specialist.35C6B5B7.html","Xem chi tiết")</f>
        <v/>
      </c>
      <c r="M10578" s="10" t="n"/>
    </row>
    <row r="10579">
      <c r="B10579" s="7" t="n">
        <v>10577</v>
      </c>
      <c r="C10579" t="inlineStr">
        <is>
          <t>Nhân viên Kế toán Thuế - Tiền mặt</t>
        </is>
      </c>
      <c r="D10579" t="inlineStr">
        <is>
          <t>Công Ty Cổ Phần Gỗ An Cường</t>
        </is>
      </c>
      <c r="E10579" t="inlineStr">
        <is>
          <t>Lương:12 Tr - 15 Tr VND</t>
        </is>
      </c>
      <c r="F10579" t="inlineStr">
        <is>
          <t>Hồ Chí Minh</t>
        </is>
      </c>
      <c r="G10579" t="inlineStr">
        <is>
          <t>08-04-2026</t>
        </is>
      </c>
      <c r="H10579" t="inlineStr">
        <is>
          <t>08/04/2026</t>
        </is>
      </c>
      <c r="I10579" t="inlineStr">
        <is>
          <t>17/03/2026</t>
        </is>
      </c>
      <c r="J10579" t="inlineStr">
        <is>
          <t>Kế toán / Kiểm toán, Tài chính / Đầu tư</t>
        </is>
      </c>
      <c r="K10579" t="inlineStr">
        <is>
          <t>2 - 3 Năm</t>
        </is>
      </c>
      <c r="L10579" s="8">
        <f>HYPERLINK("https://careerviet.vn/vi/tim-viec-lam/nhan-vien-ke-toan-thue-tien-mat.35C6B5BE.html","Xem chi tiết")</f>
        <v/>
      </c>
    </row>
    <row r="10580">
      <c r="B10580" s="9" t="n">
        <v>10578</v>
      </c>
      <c r="C10580" s="10" t="inlineStr">
        <is>
          <t>Chuyên viên Hỗ trợ - CN. Vĩnh Long (CN26.30)</t>
        </is>
      </c>
      <c r="D10580" s="10" t="inlineStr">
        <is>
          <t>Ngân Hàng TMCP Quân Đội</t>
        </is>
      </c>
      <c r="E10580" s="10" t="inlineStr">
        <is>
          <t>Lương:Cạnh tranh</t>
        </is>
      </c>
      <c r="F10580" s="10" t="inlineStr">
        <is>
          <t>Vĩnh Long</t>
        </is>
      </c>
      <c r="G10580" s="10" t="inlineStr">
        <is>
          <t>13-03-2026</t>
        </is>
      </c>
      <c r="H10580" s="10" t="inlineStr">
        <is>
          <t>14/03/2026</t>
        </is>
      </c>
      <c r="I10580" s="10" t="inlineStr">
        <is>
          <t>17/03/2026</t>
        </is>
      </c>
      <c r="J10580" s="10" t="inlineStr">
        <is>
          <t>Ngân hàng</t>
        </is>
      </c>
      <c r="K10580" s="10" t="inlineStr">
        <is>
          <t>Chưa có kinh nghiệm</t>
        </is>
      </c>
      <c r="L10580" s="11">
        <f>HYPERLINK("https://careerviet.vn/vi/tim-viec-lam/chuyen-vien-ho-tro-cn-vinh-long-cn26-30.35C6C921.html","Xem chi tiết")</f>
        <v/>
      </c>
      <c r="M10580" s="10" t="n"/>
    </row>
    <row r="10581">
      <c r="B10581" s="7" t="n">
        <v>10579</v>
      </c>
      <c r="C10581" t="inlineStr">
        <is>
          <t>Trưởng phòng Nhân Sự - Chi Nhánh - Quy mô 350 LĐ</t>
        </is>
      </c>
      <c r="D10581" t="inlineStr">
        <is>
          <t>Công Ty CP Gỗ Minh Dương</t>
        </is>
      </c>
      <c r="E10581" t="inlineStr">
        <is>
          <t>Lương:25 Tr - 30 Tr VND</t>
        </is>
      </c>
      <c r="F10581" t="inlineStr">
        <is>
          <t>Bình Dương</t>
        </is>
      </c>
      <c r="G10581" t="inlineStr">
        <is>
          <t>10-04-2026</t>
        </is>
      </c>
      <c r="H10581" t="inlineStr">
        <is>
          <t>10/04/2026</t>
        </is>
      </c>
      <c r="I10581" t="inlineStr">
        <is>
          <t>17/03/2026</t>
        </is>
      </c>
      <c r="J10581" t="inlineStr">
        <is>
          <t>Đồ gỗ</t>
        </is>
      </c>
      <c r="K10581" t="inlineStr">
        <is>
          <t>3 - 5 Năm</t>
        </is>
      </c>
      <c r="L10581" s="8">
        <f>HYPERLINK("https://careerviet.vn/vi/tim-viec-lam/truong-phong-nhan-su-chi-nhanh-quy-mo-350-ld.35C6C924.html","Xem chi tiết")</f>
        <v/>
      </c>
    </row>
    <row r="10582">
      <c r="B10582" s="9" t="n">
        <v>10580</v>
      </c>
      <c r="C10582" s="10" t="inlineStr">
        <is>
          <t>Nhân viên HSE</t>
        </is>
      </c>
      <c r="D10582" s="10" t="inlineStr">
        <is>
          <t>Công Ty CP Gỗ Minh Dương</t>
        </is>
      </c>
      <c r="E10582" s="10" t="inlineStr">
        <is>
          <t>Lương:10 Tr - 15 Tr VND</t>
        </is>
      </c>
      <c r="F10582" s="10" t="inlineStr">
        <is>
          <t>Bình Dương</t>
        </is>
      </c>
      <c r="G10582" s="10" t="inlineStr">
        <is>
          <t>11-04-2026</t>
        </is>
      </c>
      <c r="H10582" s="10" t="inlineStr">
        <is>
          <t>11/04/2026</t>
        </is>
      </c>
      <c r="I10582" s="10" t="inlineStr">
        <is>
          <t>17/03/2026</t>
        </is>
      </c>
      <c r="J10582" s="10" t="inlineStr">
        <is>
          <t>An toàn lao động, Đồ gỗ, Môi trường</t>
        </is>
      </c>
      <c r="K10582" s="10" t="inlineStr">
        <is>
          <t>Trên 1 Năm</t>
        </is>
      </c>
      <c r="L10582" s="11">
        <f>HYPERLINK("https://careerviet.vn/vi/tim-viec-lam/nhan-vien-hse.35C6C925.html","Xem chi tiết")</f>
        <v/>
      </c>
      <c r="M10582" s="10" t="n"/>
    </row>
    <row r="10583">
      <c r="B10583" s="7" t="n">
        <v>10581</v>
      </c>
      <c r="C10583" t="inlineStr">
        <is>
          <t>Nhân viên kế hoạch sản xuất</t>
        </is>
      </c>
      <c r="D10583" t="inlineStr">
        <is>
          <t>CÔNG TY TNHH YURA CORPORATION TÂY NINH</t>
        </is>
      </c>
      <c r="E10583" t="inlineStr">
        <is>
          <t>Lương:11 Tr - 14 Tr VND</t>
        </is>
      </c>
      <c r="F10583" t="inlineStr">
        <is>
          <t>Tây Ninh</t>
        </is>
      </c>
      <c r="G10583" t="inlineStr">
        <is>
          <t>07-04-2026</t>
        </is>
      </c>
      <c r="H10583" t="inlineStr">
        <is>
          <t>07/04/2026</t>
        </is>
      </c>
      <c r="I10583" t="inlineStr">
        <is>
          <t>17/03/2026</t>
        </is>
      </c>
      <c r="J10583" t="inlineStr">
        <is>
          <t>Sản xuất / Vận hành sản xuất</t>
        </is>
      </c>
      <c r="K10583" t="inlineStr">
        <is>
          <t>1 - 2 Năm</t>
        </is>
      </c>
      <c r="L10583" s="8">
        <f>HYPERLINK("https://careerviet.vn/vi/tim-viec-lam/nhan-vien-ke-hoach-san-xuat.35C6B5A5.html","Xem chi tiết")</f>
        <v/>
      </c>
    </row>
    <row r="10584">
      <c r="B10584" s="9" t="n">
        <v>10582</v>
      </c>
      <c r="C10584" s="10" t="inlineStr">
        <is>
          <t>Compliance Staff</t>
        </is>
      </c>
      <c r="D10584" s="10" t="inlineStr">
        <is>
          <t>Vietnam Furniture Resources (VFR)</t>
        </is>
      </c>
      <c r="E10584" s="10" t="inlineStr">
        <is>
          <t>Lương:Cạnh tranh</t>
        </is>
      </c>
      <c r="F10584" s="10" t="inlineStr">
        <is>
          <t>Bình Dương</t>
        </is>
      </c>
      <c r="G10584" s="10" t="inlineStr">
        <is>
          <t>06-04-2026</t>
        </is>
      </c>
      <c r="H10584" s="10" t="inlineStr">
        <is>
          <t>06/04/2026</t>
        </is>
      </c>
      <c r="I10584" s="10" t="inlineStr">
        <is>
          <t>17/03/2026</t>
        </is>
      </c>
      <c r="J10584" s="10" t="inlineStr">
        <is>
          <t>Luật / Pháp lý, Kế toán / Kiểm toán, Nhân sự</t>
        </is>
      </c>
      <c r="K10584" s="10" t="inlineStr">
        <is>
          <t>1 - 3 Năm</t>
        </is>
      </c>
      <c r="L10584" s="11">
        <f>HYPERLINK("https://careerviet.vn/vi/tim-viec-lam/compliance-staff.35C6B61F.html","Xem chi tiết")</f>
        <v/>
      </c>
      <c r="M10584" s="10" t="n"/>
    </row>
    <row r="10585">
      <c r="B10585" s="7" t="n">
        <v>10583</v>
      </c>
      <c r="C10585" t="inlineStr">
        <is>
          <t>PE Supervisor (Process Engineering)</t>
        </is>
      </c>
      <c r="D10585" t="inlineStr">
        <is>
          <t>CÔNG TY TNHH AMPHENOL TECHNOLOGY VIỆT NAM (AFOV)</t>
        </is>
      </c>
      <c r="E10585" t="inlineStr">
        <is>
          <t>Lương:Cạnh tranh</t>
        </is>
      </c>
      <c r="F10585" t="inlineStr">
        <is>
          <t>Long An</t>
        </is>
      </c>
      <c r="G10585" t="inlineStr">
        <is>
          <t>30-04-2026</t>
        </is>
      </c>
      <c r="H10585" t="inlineStr">
        <is>
          <t>30/04/2026</t>
        </is>
      </c>
      <c r="I10585" t="inlineStr">
        <is>
          <t>17/03/2026</t>
        </is>
      </c>
      <c r="J10585" t="inlineStr">
        <is>
          <t>Quản lý điều hành, Bảo trì / Sửa chữa, Sản xuất / Vận hành sản xuất</t>
        </is>
      </c>
      <c r="K10585" t="inlineStr">
        <is>
          <t>Lên đến 3 Năm</t>
        </is>
      </c>
      <c r="L10585" s="8">
        <f>HYPERLINK("https://careerviet.vn/vi/tim-viec-lam/pe-supervisor-process-engineering.35C6B5D9.html","Xem chi tiết")</f>
        <v/>
      </c>
    </row>
    <row r="10586">
      <c r="B10586" s="9" t="n">
        <v>10584</v>
      </c>
      <c r="C10586" s="10" t="inlineStr">
        <is>
          <t>Giám Sát Ca - Khu vực Long Thành</t>
        </is>
      </c>
      <c r="D10586" s="10" t="inlineStr">
        <is>
          <t>Cà Phê Muối Chú Long</t>
        </is>
      </c>
      <c r="E10586" s="10" t="inlineStr">
        <is>
          <t>Lương:7 Tr - 9 Tr VND</t>
        </is>
      </c>
      <c r="F10586" s="10" t="inlineStr">
        <is>
          <t>Đồng Nai</t>
        </is>
      </c>
      <c r="G10586" s="10" t="inlineStr">
        <is>
          <t>24-03-2026</t>
        </is>
      </c>
      <c r="H10586" s="10" t="inlineStr">
        <is>
          <t>24/03/2026</t>
        </is>
      </c>
      <c r="I10586" s="10" t="inlineStr">
        <is>
          <t>17/03/2026</t>
        </is>
      </c>
      <c r="J10586" s="10" t="inlineStr">
        <is>
          <t>Thực phẩm &amp; Đồ uống, Nhà hàng / Khách sạn</t>
        </is>
      </c>
      <c r="K10586" s="10" t="inlineStr">
        <is>
          <t>1 - 2 Năm</t>
        </is>
      </c>
      <c r="L10586" s="11">
        <f>HYPERLINK("https://careerviet.vn/vi/tim-viec-lam/giam-sat-ca-khu-vuc-long-thanh.35C6B595.html","Xem chi tiết")</f>
        <v/>
      </c>
      <c r="M10586" s="10" t="n"/>
    </row>
    <row r="10587">
      <c r="B10587" s="7" t="n">
        <v>10585</v>
      </c>
      <c r="C10587" t="inlineStr">
        <is>
          <t>Chỉ Huy Trưởng</t>
        </is>
      </c>
      <c r="D10587" t="inlineStr">
        <is>
          <t>CÔNG TY TNHH SẢN XUẤT VÀ THƯƠNG MẠI DỊCH VỤ NGHĨA PHÁT</t>
        </is>
      </c>
      <c r="E10587" t="inlineStr">
        <is>
          <t>Lương:20 Tr - 24 Tr VND</t>
        </is>
      </c>
      <c r="F10587" t="inlineStr">
        <is>
          <t>Hồ Chí MinhBình DươngĐồng Nai</t>
        </is>
      </c>
      <c r="G10587" t="inlineStr">
        <is>
          <t>05-04-2026</t>
        </is>
      </c>
      <c r="H10587" t="inlineStr">
        <is>
          <t>05/04/2026</t>
        </is>
      </c>
      <c r="I10587" t="inlineStr">
        <is>
          <t>17/03/2026</t>
        </is>
      </c>
      <c r="J10587" t="inlineStr">
        <is>
          <t>Quản lý điều hành, Xây dựng, Cơ khí / Ô tô / Tự động hóa</t>
        </is>
      </c>
      <c r="K10587" t="inlineStr">
        <is>
          <t>Trên 2 Năm</t>
        </is>
      </c>
      <c r="L10587" s="8">
        <f>HYPERLINK("https://careerviet.vn/vi/tim-viec-lam/chi-huy-truong.35C6B393.html","Xem chi tiết")</f>
        <v/>
      </c>
    </row>
    <row r="10588">
      <c r="B10588" s="9" t="n">
        <v>10586</v>
      </c>
      <c r="C10588" s="10" t="inlineStr">
        <is>
          <t>Lab Team Leader - Samples Team</t>
        </is>
      </c>
      <c r="D10588" s="10" t="inlineStr">
        <is>
          <t>Cty SGS Việt Nam TNHH</t>
        </is>
      </c>
      <c r="E10588" s="10" t="inlineStr">
        <is>
          <t>Lương:Cạnh tranh</t>
        </is>
      </c>
      <c r="F10588" s="10" t="inlineStr">
        <is>
          <t>Hồ Chí Minh</t>
        </is>
      </c>
      <c r="G10588" s="10" t="inlineStr">
        <is>
          <t>11-04-2026</t>
        </is>
      </c>
      <c r="H10588" s="10" t="inlineStr">
        <is>
          <t>11/04/2026</t>
        </is>
      </c>
      <c r="I10588" s="10" t="inlineStr">
        <is>
          <t>17/03/2026</t>
        </is>
      </c>
      <c r="J10588" s="10" t="inlineStr">
        <is>
          <t>Hóa học, Công nghệ sinh học, Thực phẩm &amp; Đồ uống</t>
        </is>
      </c>
      <c r="K10588" s="10" t="inlineStr">
        <is>
          <t>3 - 5 Năm</t>
        </is>
      </c>
      <c r="L10588" s="11">
        <f>HYPERLINK("https://careerviet.vn/vi/tim-viec-lam/lab-team-leader-samples-team.35C6B5A4.html","Xem chi tiết")</f>
        <v/>
      </c>
      <c r="M10588" s="10" t="n"/>
    </row>
    <row r="10589">
      <c r="B10589" s="7" t="n">
        <v>10587</v>
      </c>
      <c r="C10589" t="inlineStr">
        <is>
          <t>Chuyên viên Hỗ trợ - CN. Cần Thơ (CN26.31)</t>
        </is>
      </c>
      <c r="D10589" t="inlineStr">
        <is>
          <t>Ngân Hàng TMCP Quân Đội</t>
        </is>
      </c>
      <c r="E10589" t="inlineStr">
        <is>
          <t>Lương:Cạnh tranh</t>
        </is>
      </c>
      <c r="F10589" t="inlineStr">
        <is>
          <t>Cần Thơ</t>
        </is>
      </c>
      <c r="G10589" t="inlineStr">
        <is>
          <t>13-03-2026</t>
        </is>
      </c>
      <c r="H10589" t="inlineStr">
        <is>
          <t>14/03/2026</t>
        </is>
      </c>
      <c r="I10589" t="inlineStr">
        <is>
          <t>17/03/2026</t>
        </is>
      </c>
      <c r="J10589" t="inlineStr">
        <is>
          <t>Ngân hàng</t>
        </is>
      </c>
      <c r="K10589" t="inlineStr">
        <is>
          <t>Chưa có kinh nghiệm</t>
        </is>
      </c>
      <c r="L10589" s="8">
        <f>HYPERLINK("https://careerviet.vn/vi/tim-viec-lam/chuyen-vien-ho-tro-cn-can-tho-cn26-31.35C6C923.html","Xem chi tiết")</f>
        <v/>
      </c>
    </row>
    <row r="10590">
      <c r="B10590" s="9" t="n">
        <v>10588</v>
      </c>
      <c r="C10590" s="10" t="inlineStr">
        <is>
          <t>[HỒ CHÍ MINH] Chief Operations Officer (F&amp;B)</t>
        </is>
      </c>
      <c r="D10590" s="10" t="inlineStr">
        <is>
          <t>CÔNG TY TNHH THƯƠNG MẠI VÀ DỊCH VỤ TALAD THAI</t>
        </is>
      </c>
      <c r="E10590" s="10" t="inlineStr">
        <is>
          <t>Lương:Cạnh tranh</t>
        </is>
      </c>
      <c r="F10590" s="10" t="inlineStr">
        <is>
          <t>Hồ Chí Minh</t>
        </is>
      </c>
      <c r="G10590" s="10" t="inlineStr">
        <is>
          <t>01-04-2026</t>
        </is>
      </c>
      <c r="H10590" s="10" t="inlineStr">
        <is>
          <t>01/04/2026</t>
        </is>
      </c>
      <c r="I10590" s="10" t="inlineStr">
        <is>
          <t>17/03/2026</t>
        </is>
      </c>
      <c r="J10590" s="10" t="inlineStr">
        <is>
          <t>Nhà hàng / Khách sạn, Bán hàng / Kinh doanh</t>
        </is>
      </c>
      <c r="K10590" s="10" t="inlineStr">
        <is>
          <t>8 - 10 Năm</t>
        </is>
      </c>
      <c r="L10590" s="11">
        <f>HYPERLINK("https://careerviet.vn/vi/tim-viec-lam/ho-chi-minh-chief-operations-officer-f-b.35C6B660.html","Xem chi tiết")</f>
        <v/>
      </c>
      <c r="M10590" s="10" t="n"/>
    </row>
    <row r="10591">
      <c r="B10591" s="7" t="n">
        <v>10589</v>
      </c>
      <c r="C10591" t="inlineStr">
        <is>
          <t>Giám đốc kinh doanh</t>
        </is>
      </c>
      <c r="D10591" t="inlineStr">
        <is>
          <t>CÔNG TY TNHH DỆT MAY TRUNG QUY</t>
        </is>
      </c>
      <c r="E10591" t="inlineStr">
        <is>
          <t>Lương:30 Tr - 50 Tr VND</t>
        </is>
      </c>
      <c r="F10591" t="inlineStr">
        <is>
          <t>Hồ Chí Minh</t>
        </is>
      </c>
      <c r="G10591" t="inlineStr">
        <is>
          <t>31-03-2026</t>
        </is>
      </c>
      <c r="H10591" t="inlineStr">
        <is>
          <t>31/03/2026</t>
        </is>
      </c>
      <c r="I10591" t="inlineStr">
        <is>
          <t>17/03/2026</t>
        </is>
      </c>
      <c r="J10591" t="inlineStr">
        <is>
          <t>Dệt may / Da giày / Thời trang</t>
        </is>
      </c>
      <c r="K10591" t="inlineStr">
        <is>
          <t>5 - 10 Năm</t>
        </is>
      </c>
      <c r="L10591" s="8">
        <f>HYPERLINK("https://careerviet.vn/vi/tim-viec-lam/giam-doc-kinh-doanh.35C6B5A8.html","Xem chi tiết")</f>
        <v/>
      </c>
    </row>
    <row r="10592">
      <c r="B10592" s="9" t="n">
        <v>10590</v>
      </c>
      <c r="C10592" s="10" t="inlineStr">
        <is>
          <t>Chuyên Viên Xây Dựng Quy Trình</t>
        </is>
      </c>
      <c r="D10592" s="10" t="inlineStr">
        <is>
          <t>CÔNG TY CỔ PHẦN THẾ GIỚI NỘI THẤT PHÚ THỊNH</t>
        </is>
      </c>
      <c r="E10592" s="10" t="inlineStr">
        <is>
          <t>Lương:Cạnh tranh</t>
        </is>
      </c>
      <c r="F10592" s="10" t="inlineStr">
        <is>
          <t>Bà Rịa - Vũng TàuHồ Chí Minh</t>
        </is>
      </c>
      <c r="G10592" s="10" t="inlineStr">
        <is>
          <t>04-04-2026</t>
        </is>
      </c>
      <c r="H10592" s="10" t="inlineStr">
        <is>
          <t>04/04/2026</t>
        </is>
      </c>
      <c r="I10592" s="10" t="inlineStr">
        <is>
          <t>17/03/2026</t>
        </is>
      </c>
      <c r="J10592" s="10" t="inlineStr">
        <is>
          <t>Bán hàng / Kinh doanh, Hành chính / Thư ký, Nhân sự</t>
        </is>
      </c>
      <c r="K10592" s="10" t="inlineStr">
        <is>
          <t>Trên 1 Năm</t>
        </is>
      </c>
      <c r="L10592" s="11">
        <f>HYPERLINK("https://careerviet.vn/vi/tim-viec-lam/chuyen-vien-xay-dung-quy-trinh.35C6B632.html","Xem chi tiết")</f>
        <v/>
      </c>
      <c r="M10592" s="10" t="n"/>
    </row>
    <row r="10593">
      <c r="B10593" s="7" t="n">
        <v>10591</v>
      </c>
      <c r="C10593" t="inlineStr">
        <is>
          <t>NHÂN VIÊN QA - NHÀ MÁY ĐÈN BIÊN HÒA</t>
        </is>
      </c>
      <c r="D10593" t="inlineStr">
        <is>
          <t>NANOCO GROUP</t>
        </is>
      </c>
      <c r="E10593" t="inlineStr">
        <is>
          <t>Lương:Cạnh tranh</t>
        </is>
      </c>
      <c r="F10593" t="inlineStr">
        <is>
          <t>Đồng Nai</t>
        </is>
      </c>
      <c r="G10593" t="inlineStr">
        <is>
          <t>07-04-2026</t>
        </is>
      </c>
      <c r="H10593" t="inlineStr">
        <is>
          <t>07/04/2026</t>
        </is>
      </c>
      <c r="I10593" t="inlineStr">
        <is>
          <t>17/03/2026</t>
        </is>
      </c>
      <c r="J10593" t="inlineStr">
        <is>
          <t>Điện / Điện tử / Điện lạnh / Điện công nghiệp, Cơ khí / Ô tô / Tự động hóa, Quản lý chất lượng (QA/QC)</t>
        </is>
      </c>
      <c r="K10593" t="inlineStr">
        <is>
          <t>1 - 3 Năm</t>
        </is>
      </c>
      <c r="L10593" s="8">
        <f>HYPERLINK("https://careerviet.vn/vi/tim-viec-lam/nhan-vien-qa-nha-may-den-bien-hoa.35C6B5E2.html","Xem chi tiết")</f>
        <v/>
      </c>
    </row>
    <row r="10594">
      <c r="B10594" s="9" t="n">
        <v>10592</v>
      </c>
      <c r="C10594" s="10" t="inlineStr">
        <is>
          <t>Kỹ sư cơ khí</t>
        </is>
      </c>
      <c r="D10594" s="10" t="inlineStr">
        <is>
          <t>Công Ty TNHH Nhãn Mác SMT (Việt Nam)</t>
        </is>
      </c>
      <c r="E10594" s="10" t="inlineStr">
        <is>
          <t>Lương:11 Tr - 16 Tr VND</t>
        </is>
      </c>
      <c r="F10594" s="10" t="inlineStr">
        <is>
          <t>Hồ Chí Minh</t>
        </is>
      </c>
      <c r="G10594" s="10" t="inlineStr">
        <is>
          <t>07-04-2026</t>
        </is>
      </c>
      <c r="H10594" s="10" t="inlineStr">
        <is>
          <t>07/04/2026</t>
        </is>
      </c>
      <c r="I10594" s="10" t="inlineStr">
        <is>
          <t>17/03/2026</t>
        </is>
      </c>
      <c r="J10594" s="10" t="inlineStr">
        <is>
          <t>Cơ khí / Ô tô / Tự động hóa, Điện / Điện tử / Điện lạnh / Điện công nghiệp, Bảo trì / Sửa chữa</t>
        </is>
      </c>
      <c r="K10594" s="10" t="inlineStr">
        <is>
          <t>2 - 5 Năm</t>
        </is>
      </c>
      <c r="L10594" s="11">
        <f>HYPERLINK("https://careerviet.vn/vi/tim-viec-lam/ky-su-co-khi.35C6B5A2.html","Xem chi tiết")</f>
        <v/>
      </c>
      <c r="M10594" s="10" t="n"/>
    </row>
    <row r="10595">
      <c r="B10595" s="7" t="n">
        <v>10593</v>
      </c>
      <c r="C10595" t="inlineStr">
        <is>
          <t>Nhân viên kỹ thuật điện - điện tử - điện lạnh</t>
        </is>
      </c>
      <c r="D10595" t="inlineStr">
        <is>
          <t>Công Ty Cổ Phần Gỗ An Cường</t>
        </is>
      </c>
      <c r="E10595" t="inlineStr">
        <is>
          <t>Lương:12 Tr - 15 Tr VND</t>
        </is>
      </c>
      <c r="F10595" t="inlineStr">
        <is>
          <t>Hồ Chí Minh</t>
        </is>
      </c>
      <c r="G10595" t="inlineStr">
        <is>
          <t>08-04-2026</t>
        </is>
      </c>
      <c r="H10595" t="inlineStr">
        <is>
          <t>08/04/2026</t>
        </is>
      </c>
      <c r="I10595" t="inlineStr">
        <is>
          <t>17/03/2026</t>
        </is>
      </c>
      <c r="J10595" t="inlineStr">
        <is>
          <t>Hàng gia dụng / Chăm sóc cá nhân, Điện / Điện tử / Điện lạnh / Điện công nghiệp, Bảo trì / Sửa chữa</t>
        </is>
      </c>
      <c r="K10595" t="inlineStr">
        <is>
          <t>1 - 2 Năm</t>
        </is>
      </c>
      <c r="L10595" s="8">
        <f>HYPERLINK("https://careerviet.vn/vi/tim-viec-lam/nhan-vien-ky-thuat-dien-dien-tu-dien-lanh.35C6B5BA.html","Xem chi tiết")</f>
        <v/>
      </c>
    </row>
    <row r="10596">
      <c r="B10596" s="9" t="n">
        <v>10594</v>
      </c>
      <c r="C10596" s="10" t="inlineStr">
        <is>
          <t>Kiểm ngân - CN. Vĩnh Long (CN26.29)</t>
        </is>
      </c>
      <c r="D10596" s="10" t="inlineStr">
        <is>
          <t>Ngân Hàng TMCP Quân Đội</t>
        </is>
      </c>
      <c r="E10596" s="10" t="inlineStr">
        <is>
          <t>Lương:Cạnh tranh</t>
        </is>
      </c>
      <c r="F10596" s="10" t="inlineStr">
        <is>
          <t>Vĩnh Long</t>
        </is>
      </c>
      <c r="G10596" s="10" t="inlineStr">
        <is>
          <t>14-04-2026</t>
        </is>
      </c>
      <c r="H10596" s="10" t="inlineStr">
        <is>
          <t>14/04/2026</t>
        </is>
      </c>
      <c r="I10596" s="10" t="inlineStr">
        <is>
          <t>17/03/2026</t>
        </is>
      </c>
      <c r="J10596" s="10" t="inlineStr">
        <is>
          <t>Ngân hàng</t>
        </is>
      </c>
      <c r="K10596" s="10" t="inlineStr">
        <is>
          <t>Trên 1 Năm</t>
        </is>
      </c>
      <c r="L10596" s="11">
        <f>HYPERLINK("https://careerviet.vn/vi/tim-viec-lam/kiem-ngan-cn-vinh-long-cn26-29.35C6C91E.html","Xem chi tiết")</f>
        <v/>
      </c>
      <c r="M10596" s="10" t="n"/>
    </row>
    <row r="10597">
      <c r="B10597" s="7" t="n">
        <v>10595</v>
      </c>
      <c r="C10597" t="inlineStr">
        <is>
          <t>Chuyên gia hoạch định chiến lược - Phòng Quản lý chiến lược - Khối Chiến lược</t>
        </is>
      </c>
      <c r="D10597" t="inlineStr">
        <is>
          <t>Ngân hàng TMCP Đại Chúng Việt Nam - PVcomBank</t>
        </is>
      </c>
      <c r="E10597" t="inlineStr">
        <is>
          <t>Lương:Cạnh tranh</t>
        </is>
      </c>
      <c r="F10597" t="inlineStr">
        <is>
          <t>Hà Nội</t>
        </is>
      </c>
      <c r="G10597" t="inlineStr">
        <is>
          <t>19-04-2026</t>
        </is>
      </c>
      <c r="H10597" t="inlineStr">
        <is>
          <t>19/04/2026</t>
        </is>
      </c>
      <c r="I10597" t="inlineStr">
        <is>
          <t>17/03/2026</t>
        </is>
      </c>
      <c r="J10597" t="inlineStr">
        <is>
          <t>Ngân hàng, Tài chính / Đầu tư</t>
        </is>
      </c>
      <c r="K10597" t="inlineStr">
        <is>
          <t>5 - 10 Năm</t>
        </is>
      </c>
      <c r="L10597" s="8">
        <f>HYPERLINK("https://careerviet.vn/vi/tim-viec-lam/chuyen-gia-hoach-dinh-chien-luoc-phong-quan-ly-chien-luoc-khoi-chien-luoc.35C6C918.html","Xem chi tiết")</f>
        <v/>
      </c>
    </row>
    <row r="10598">
      <c r="B10598" s="9" t="n">
        <v>10596</v>
      </c>
      <c r="C10598" s="10" t="inlineStr">
        <is>
          <t>Trưởng Nhóm Logistics</t>
        </is>
      </c>
      <c r="D10598" s="10" t="inlineStr">
        <is>
          <t>THỜI TRANG LINING_CÔNG TY TNHH QUỐC TẾ HẢI LONG</t>
        </is>
      </c>
      <c r="E10598" s="10" t="inlineStr">
        <is>
          <t>Lương:20 Tr - 25 Tr VND</t>
        </is>
      </c>
      <c r="F10598" s="10" t="inlineStr">
        <is>
          <t>Hà Nội</t>
        </is>
      </c>
      <c r="G10598" s="10" t="inlineStr">
        <is>
          <t>30-04-2026</t>
        </is>
      </c>
      <c r="H10598" s="10" t="inlineStr">
        <is>
          <t>30/04/2026</t>
        </is>
      </c>
      <c r="I10598" s="10" t="inlineStr">
        <is>
          <t>17/03/2026</t>
        </is>
      </c>
      <c r="J10598" s="10" t="inlineStr">
        <is>
          <t>Vận chuyển / Giao nhận / Kho vận</t>
        </is>
      </c>
      <c r="K10598" s="10" t="inlineStr">
        <is>
          <t>Trên 5 Năm</t>
        </is>
      </c>
      <c r="L10598" s="11">
        <f>HYPERLINK("https://careerviet.vn/vi/tim-viec-lam/truong-nhom-logistics.35C6C91D.html","Xem chi tiết")</f>
        <v/>
      </c>
      <c r="M10598" s="10" t="n"/>
    </row>
    <row r="10599">
      <c r="B10599" s="7" t="n">
        <v>10597</v>
      </c>
      <c r="C10599" t="inlineStr">
        <is>
          <t>Trợ lý quản lý chiến lược - Phòng Quản lý chiến lược - Khối Chiến lược</t>
        </is>
      </c>
      <c r="D10599" t="inlineStr">
        <is>
          <t>Ngân hàng TMCP Đại Chúng Việt Nam - PVcomBank</t>
        </is>
      </c>
      <c r="E10599" t="inlineStr">
        <is>
          <t>Lương:Cạnh tranh</t>
        </is>
      </c>
      <c r="F10599" t="inlineStr">
        <is>
          <t>Hà Nội</t>
        </is>
      </c>
      <c r="G10599" t="inlineStr">
        <is>
          <t>19-04-2026</t>
        </is>
      </c>
      <c r="H10599" t="inlineStr">
        <is>
          <t>19/04/2026</t>
        </is>
      </c>
      <c r="I10599" t="inlineStr">
        <is>
          <t>17/03/2026</t>
        </is>
      </c>
      <c r="J10599" t="inlineStr">
        <is>
          <t>Ngân hàng, Tài chính / Đầu tư</t>
        </is>
      </c>
      <c r="K10599" t="inlineStr">
        <is>
          <t>N/A</t>
        </is>
      </c>
      <c r="L10599" s="8">
        <f>HYPERLINK("https://careerviet.vn/vi/tim-viec-lam/tro-ly-quan-ly-chien-luoc-phong-quan-ly-chien-luoc-khoi-chien-luoc.35C6C91B.html","Xem chi tiết")</f>
        <v/>
      </c>
    </row>
    <row r="10600">
      <c r="B10600" s="9" t="n">
        <v>10598</v>
      </c>
      <c r="C10600" s="10" t="inlineStr">
        <is>
          <t>3D Designer</t>
        </is>
      </c>
      <c r="D10600" s="10" t="inlineStr">
        <is>
          <t>Công Ty TNHH JIGSAW</t>
        </is>
      </c>
      <c r="E10600" s="10" t="inlineStr">
        <is>
          <t>Lương:Cạnh tranh</t>
        </is>
      </c>
      <c r="F10600" s="10" t="inlineStr">
        <is>
          <t>Hồ Chí Minh</t>
        </is>
      </c>
      <c r="G10600" s="10" t="inlineStr">
        <is>
          <t>13-04-2026</t>
        </is>
      </c>
      <c r="H10600" s="10" t="inlineStr">
        <is>
          <t>13/04/2026</t>
        </is>
      </c>
      <c r="I10600" s="10" t="inlineStr">
        <is>
          <t>17/03/2026</t>
        </is>
      </c>
      <c r="J10600" s="10" t="inlineStr">
        <is>
          <t>Mỹ thuật / Nghệ thuật / Thiết kế, Quảng cáo / Đối ngoại / Truyền Thông, Tổ chức sự kiện</t>
        </is>
      </c>
      <c r="K10600" s="10" t="inlineStr">
        <is>
          <t>2 - 3 Năm</t>
        </is>
      </c>
      <c r="L10600" s="11">
        <f>HYPERLINK("https://careerviet.vn/vi/tim-viec-lam/3d-designer.35C6C912.html","Xem chi tiết")</f>
        <v/>
      </c>
      <c r="M10600" s="10" t="n"/>
    </row>
    <row r="10601">
      <c r="B10601" s="7" t="n">
        <v>10599</v>
      </c>
      <c r="C10601" t="inlineStr">
        <is>
          <t>Chuyên viên cao cấp nghiên cứu thị trường - Phòng Quản lý Chiến lược - Khối Chiến lược</t>
        </is>
      </c>
      <c r="D10601" t="inlineStr">
        <is>
          <t>Ngân hàng TMCP Đại Chúng Việt Nam - PVcomBank</t>
        </is>
      </c>
      <c r="E10601" t="inlineStr">
        <is>
          <t>Lương:Cạnh tranh</t>
        </is>
      </c>
      <c r="F10601" t="inlineStr">
        <is>
          <t>Hà Nội</t>
        </is>
      </c>
      <c r="G10601" t="inlineStr">
        <is>
          <t>13-03-2026</t>
        </is>
      </c>
      <c r="H10601" t="inlineStr">
        <is>
          <t>12/03/2026</t>
        </is>
      </c>
      <c r="I10601" t="inlineStr">
        <is>
          <t>17/03/2026</t>
        </is>
      </c>
      <c r="J10601" t="inlineStr">
        <is>
          <t>Ngân hàng, Tài chính / Đầu tư</t>
        </is>
      </c>
      <c r="K10601" t="inlineStr">
        <is>
          <t>3 - 10 Năm</t>
        </is>
      </c>
      <c r="L10601" s="8">
        <f>HYPERLINK("https://careerviet.vn/vi/tim-viec-lam/chuyen-vien-cao-cap-nghien-cuu-thi-truong-phong-quan-ly-chien-luoc-khoi-chien-luoc.35C6C919.html","Xem chi tiết")</f>
        <v/>
      </c>
    </row>
    <row r="10602">
      <c r="B10602" s="9" t="n">
        <v>10600</v>
      </c>
      <c r="C10602" s="10" t="inlineStr">
        <is>
          <t>PHÓ GIÁM ĐỐC NHÀ MÁY TẠI QUẢNG NGÃI</t>
        </is>
      </c>
      <c r="D10602" s="10" t="inlineStr">
        <is>
          <t>CÔNG TY CỔ PHẦN TẬP ĐOÀN DEKKO</t>
        </is>
      </c>
      <c r="E10602" s="10" t="inlineStr">
        <is>
          <t>Lương:30 Tr - 50 Tr VND</t>
        </is>
      </c>
      <c r="F10602" s="10" t="inlineStr">
        <is>
          <t>Quảng Ngãi</t>
        </is>
      </c>
      <c r="G10602" s="10" t="inlineStr">
        <is>
          <t>10-04-2026</t>
        </is>
      </c>
      <c r="H10602" s="10" t="inlineStr">
        <is>
          <t>10/04/2026</t>
        </is>
      </c>
      <c r="I10602" s="10" t="inlineStr">
        <is>
          <t>17/03/2026</t>
        </is>
      </c>
      <c r="J10602" s="10" t="inlineStr">
        <is>
          <t>Quản lý điều hành, Cơ khí / Ô tô / Tự động hóa, Sản xuất / Vận hành sản xuất</t>
        </is>
      </c>
      <c r="K10602" s="10" t="inlineStr">
        <is>
          <t>3 - 5 Năm</t>
        </is>
      </c>
      <c r="L10602" s="11">
        <f>HYPERLINK("https://careerviet.vn/vi/tim-viec-lam/pho-giam-doc-nha-may-tai-quang-ngai.35C6B633.html","Xem chi tiết")</f>
        <v/>
      </c>
      <c r="M10602" s="10" t="n"/>
    </row>
    <row r="10603">
      <c r="B10603" s="7" t="n">
        <v>10601</v>
      </c>
      <c r="C10603" t="inlineStr">
        <is>
          <t>Nhân Viên Lấy Mẫu</t>
        </is>
      </c>
      <c r="D10603" t="inlineStr">
        <is>
          <t>CÔNG TY TNHH TENTAMUS VIỆT NAM</t>
        </is>
      </c>
      <c r="E10603" t="inlineStr">
        <is>
          <t>Lương:Cạnh tranh</t>
        </is>
      </c>
      <c r="F10603" t="inlineStr">
        <is>
          <t>Hồ Chí Minh</t>
        </is>
      </c>
      <c r="G10603" t="inlineStr">
        <is>
          <t>30-04-2026</t>
        </is>
      </c>
      <c r="H10603" t="inlineStr">
        <is>
          <t>30/04/2026</t>
        </is>
      </c>
      <c r="I10603" t="inlineStr">
        <is>
          <t>17/03/2026</t>
        </is>
      </c>
      <c r="J10603" t="inlineStr">
        <is>
          <t>Môi trường, Hóa học</t>
        </is>
      </c>
      <c r="K10603" t="inlineStr">
        <is>
          <t>N/A</t>
        </is>
      </c>
      <c r="L10603" s="8">
        <f>HYPERLINK("https://careerviet.vn/vi/tim-viec-lam/nhan-vien-lay-mau.35C6B61D.html","Xem chi tiết")</f>
        <v/>
      </c>
    </row>
    <row r="10604">
      <c r="B10604" s="9" t="n">
        <v>10602</v>
      </c>
      <c r="C10604" s="10" t="inlineStr">
        <is>
          <t>Lab Manager - Textile</t>
        </is>
      </c>
      <c r="D10604" s="10" t="inlineStr">
        <is>
          <t>Cty SGS Việt Nam TNHH</t>
        </is>
      </c>
      <c r="E10604" s="10" t="inlineStr">
        <is>
          <t>Lương:Cạnh tranh</t>
        </is>
      </c>
      <c r="F10604" s="10" t="inlineStr">
        <is>
          <t>Hồ Chí Minh</t>
        </is>
      </c>
      <c r="G10604" s="10" t="inlineStr">
        <is>
          <t>11-04-2026</t>
        </is>
      </c>
      <c r="H10604" s="10" t="inlineStr">
        <is>
          <t>11/04/2026</t>
        </is>
      </c>
      <c r="I10604" s="10" t="inlineStr">
        <is>
          <t>17/03/2026</t>
        </is>
      </c>
      <c r="J10604" s="10" t="inlineStr">
        <is>
          <t>Dệt may / Da giày / Thời trang, Hóa học</t>
        </is>
      </c>
      <c r="K10604" s="10" t="inlineStr">
        <is>
          <t>8 - 15 Năm</t>
        </is>
      </c>
      <c r="L10604" s="11">
        <f>HYPERLINK("https://careerviet.vn/vi/tim-viec-lam/lab-manager-textile.35C6B648.html","Xem chi tiết")</f>
        <v/>
      </c>
      <c r="M10604" s="10" t="n"/>
    </row>
    <row r="10605">
      <c r="B10605" s="7" t="n">
        <v>10603</v>
      </c>
      <c r="C10605" t="inlineStr">
        <is>
          <t>Nhân viên hành chánh nhân sự</t>
        </is>
      </c>
      <c r="D10605" t="inlineStr">
        <is>
          <t>CÔNG TY CỔ PHẦN GIẢI PHÁP  NAM VIỆT GROUP</t>
        </is>
      </c>
      <c r="E10605" t="inlineStr">
        <is>
          <t>Lương:9 Tr - 11 Tr VND</t>
        </is>
      </c>
      <c r="F10605" t="inlineStr">
        <is>
          <t>Hồ Chí Minh</t>
        </is>
      </c>
      <c r="G10605" t="inlineStr">
        <is>
          <t>31-05-2026</t>
        </is>
      </c>
      <c r="H10605" t="inlineStr">
        <is>
          <t>31/05/2026</t>
        </is>
      </c>
      <c r="I10605" t="inlineStr">
        <is>
          <t>17/03/2026</t>
        </is>
      </c>
      <c r="J10605" t="inlineStr">
        <is>
          <t>Nhân sự, Luật / Pháp lý</t>
        </is>
      </c>
      <c r="K10605" t="inlineStr">
        <is>
          <t>2 - 3 Năm</t>
        </is>
      </c>
      <c r="L10605" s="8">
        <f>HYPERLINK("https://careerviet.vn/vi/tim-viec-lam/nhan-vien-hanh-chanh-nhan-su.35C6C914.html","Xem chi tiết")</f>
        <v/>
      </c>
    </row>
    <row r="10606">
      <c r="B10606" s="9" t="n">
        <v>10604</v>
      </c>
      <c r="C10606" s="10" t="inlineStr">
        <is>
          <t>NHÂN VIÊN KINH DOANH - BỆNH VIỆN QUỐC TẾ CK MẮT</t>
        </is>
      </c>
      <c r="D10606" s="10" t="inlineStr">
        <is>
          <t>CÔNG TY TNHH ĐẦU TƯ Y TẾ QUỐC TẾ DND – SÀI GÒN</t>
        </is>
      </c>
      <c r="E10606" s="10" t="inlineStr">
        <is>
          <t>Lương:10 Tr - 30 Tr VND</t>
        </is>
      </c>
      <c r="F10606" s="10" t="inlineStr">
        <is>
          <t>Hồ Chí Minh</t>
        </is>
      </c>
      <c r="G10606" s="10" t="inlineStr">
        <is>
          <t>30-04-2026</t>
        </is>
      </c>
      <c r="H10606" s="10" t="inlineStr">
        <is>
          <t>30/04/2026</t>
        </is>
      </c>
      <c r="I10606" s="10" t="inlineStr">
        <is>
          <t>17/03/2026</t>
        </is>
      </c>
      <c r="J10606" s="10" t="inlineStr">
        <is>
          <t>Bán lẻ / Bán sỉ, Bán hàng / Kinh doanh, Y tế / Chăm sóc sức khỏe / Thẩm mỹ / Làm đẹp</t>
        </is>
      </c>
      <c r="K10606" s="10" t="inlineStr">
        <is>
          <t>Chưa có kinh nghiệm</t>
        </is>
      </c>
      <c r="L10606" s="11">
        <f>HYPERLINK("https://careerviet.vn/vi/tim-viec-lam/nhan-vien-kinh-doanh-benh-vien-quoc-te-ck-mat.35C6B60B.html","Xem chi tiết")</f>
        <v/>
      </c>
      <c r="M10606" s="10" t="n"/>
    </row>
    <row r="10607">
      <c r="B10607" s="7" t="n">
        <v>10605</v>
      </c>
      <c r="C10607" t="inlineStr">
        <is>
          <t>CHUYÊN VIÊN ĐÀO TẠO</t>
        </is>
      </c>
      <c r="D10607" t="inlineStr">
        <is>
          <t>Công Ty TNHH BEST Logistics Technology (Việt Nam)</t>
        </is>
      </c>
      <c r="E10607" t="inlineStr">
        <is>
          <t>Lương:13 Tr - 15 Tr VND</t>
        </is>
      </c>
      <c r="F10607" t="inlineStr">
        <is>
          <t>Dak Lak</t>
        </is>
      </c>
      <c r="G10607" t="inlineStr">
        <is>
          <t>31-03-2026</t>
        </is>
      </c>
      <c r="H10607" t="inlineStr">
        <is>
          <t>31/03/2026</t>
        </is>
      </c>
      <c r="I10607" t="inlineStr">
        <is>
          <t>17/03/2026</t>
        </is>
      </c>
      <c r="J10607" t="inlineStr">
        <is>
          <t>Vận chuyển / Giao nhận / Kho vận, Bưu chính viễn thông, Giáo dục / Đào tạo</t>
        </is>
      </c>
      <c r="K10607" t="inlineStr">
        <is>
          <t>1 - 3 Năm</t>
        </is>
      </c>
      <c r="L10607" s="8">
        <f>HYPERLINK("https://careerviet.vn/vi/tim-viec-lam/chuyen-vien-dao-tao.35C6B63D.html","Xem chi tiết")</f>
        <v/>
      </c>
    </row>
    <row r="10608">
      <c r="B10608" s="9" t="n">
        <v>10606</v>
      </c>
      <c r="C10608" s="10" t="inlineStr">
        <is>
          <t>*(Senior) Process Quality Engineer (Work at Củ Chi, Shuttle bus provided)</t>
        </is>
      </c>
      <c r="D10608" s="10" t="inlineStr">
        <is>
          <t>Techtronic Industries Vietnam Manufacturing Company Limited</t>
        </is>
      </c>
      <c r="E10608" s="10" t="inlineStr">
        <is>
          <t>Lương:Cạnh tranh</t>
        </is>
      </c>
      <c r="F10608" s="10" t="inlineStr">
        <is>
          <t>Hồ Chí MinhBình Dương</t>
        </is>
      </c>
      <c r="G10608" s="10" t="inlineStr">
        <is>
          <t>30-04-2026</t>
        </is>
      </c>
      <c r="H10608" s="10" t="inlineStr">
        <is>
          <t>30/04/2026</t>
        </is>
      </c>
      <c r="I10608" s="10" t="inlineStr">
        <is>
          <t>17/03/2026</t>
        </is>
      </c>
      <c r="J10608" s="10" t="inlineStr">
        <is>
          <t>Cơ khí / Ô tô / Tự động hóa, Quản lý chất lượng (QA/QC), Sản xuất / Vận hành sản xuất</t>
        </is>
      </c>
      <c r="K10608" s="10" t="inlineStr">
        <is>
          <t>2 - 10 Năm</t>
        </is>
      </c>
      <c r="L10608" s="11">
        <f>HYPERLINK("https://careerviet.vn/vi/tim-viec-lam/senior-process-quality-engineer-work-at-cu-chi-shuttle-bus-provided.35C6B622.html","Xem chi tiết")</f>
        <v/>
      </c>
      <c r="M10608" s="10" t="n"/>
    </row>
    <row r="10609">
      <c r="B10609" s="7" t="n">
        <v>10607</v>
      </c>
      <c r="C10609" t="inlineStr">
        <is>
          <t>Nhân viên kế toán công nợ</t>
        </is>
      </c>
      <c r="D10609" t="inlineStr">
        <is>
          <t>Công Ty Cổ Phần Gỗ An Cường</t>
        </is>
      </c>
      <c r="E10609" t="inlineStr">
        <is>
          <t>Lương:10 Tr - 12 Tr VND</t>
        </is>
      </c>
      <c r="F10609" t="inlineStr">
        <is>
          <t>Hồ Chí Minh</t>
        </is>
      </c>
      <c r="G10609" t="inlineStr">
        <is>
          <t>08-04-2026</t>
        </is>
      </c>
      <c r="H10609" t="inlineStr">
        <is>
          <t>08/04/2026</t>
        </is>
      </c>
      <c r="I10609" t="inlineStr">
        <is>
          <t>17/03/2026</t>
        </is>
      </c>
      <c r="J10609" t="inlineStr">
        <is>
          <t>Kế toán / Kiểm toán, Tài chính / Đầu tư</t>
        </is>
      </c>
      <c r="K10609" t="inlineStr">
        <is>
          <t>1 - 2 Năm</t>
        </is>
      </c>
      <c r="L10609" s="8">
        <f>HYPERLINK("https://careerviet.vn/vi/tim-viec-lam/nhan-vien-ke-toan-cong-no.35C6B5BD.html","Xem chi tiết")</f>
        <v/>
      </c>
    </row>
    <row r="10610">
      <c r="B10610" s="9" t="n">
        <v>10608</v>
      </c>
      <c r="C10610" s="10" t="inlineStr">
        <is>
          <t>Senior Legal Executive (E-Commerce)</t>
        </is>
      </c>
      <c r="D10610" s="10" t="inlineStr">
        <is>
          <t>Công ty TNHH Onpoint</t>
        </is>
      </c>
      <c r="E10610" s="10" t="inlineStr">
        <is>
          <t>Lương:Cạnh tranh</t>
        </is>
      </c>
      <c r="F10610" s="10" t="inlineStr">
        <is>
          <t>Hồ Chí Minh</t>
        </is>
      </c>
      <c r="G10610" s="10" t="inlineStr">
        <is>
          <t>31-03-2026</t>
        </is>
      </c>
      <c r="H10610" s="10" t="inlineStr">
        <is>
          <t>31/03/2026</t>
        </is>
      </c>
      <c r="I10610" s="10" t="inlineStr">
        <is>
          <t>17/03/2026</t>
        </is>
      </c>
      <c r="J10610" s="10" t="inlineStr">
        <is>
          <t>Luật / Pháp lý, Thương mại điện tử</t>
        </is>
      </c>
      <c r="K10610" s="10" t="inlineStr">
        <is>
          <t>3 - 10 Năm</t>
        </is>
      </c>
      <c r="L10610" s="11">
        <f>HYPERLINK("https://careerviet.vn/vi/tim-viec-lam/senior-legal-executive-e-commerce.35C6B5DA.html","Xem chi tiết")</f>
        <v/>
      </c>
      <c r="M10610" s="10" t="n"/>
    </row>
    <row r="10611">
      <c r="B10611" s="7" t="n">
        <v>10609</v>
      </c>
      <c r="C10611" t="inlineStr">
        <is>
          <t>Nhân viên kinh doanh thị trường Kiên Giang</t>
        </is>
      </c>
      <c r="D10611" t="inlineStr">
        <is>
          <t>Công ty Cổ Phần Nhựa Thiếu Niên Tiền Phong Phía Nam</t>
        </is>
      </c>
      <c r="E10611" t="inlineStr">
        <is>
          <t>Lương:Cạnh tranh</t>
        </is>
      </c>
      <c r="F10611" t="inlineStr">
        <is>
          <t>Kiên Giang</t>
        </is>
      </c>
      <c r="G10611" t="inlineStr">
        <is>
          <t>30-03-2026</t>
        </is>
      </c>
      <c r="H10611" t="inlineStr">
        <is>
          <t>30/03/2026</t>
        </is>
      </c>
      <c r="I10611" t="inlineStr">
        <is>
          <t>17/03/2026</t>
        </is>
      </c>
      <c r="J10611" t="inlineStr">
        <is>
          <t>Tiếp thị / Marketing, Bán lẻ / Bán sỉ, Bán hàng / Kinh doanh</t>
        </is>
      </c>
      <c r="K10611" t="inlineStr">
        <is>
          <t>1 - 2 Năm</t>
        </is>
      </c>
      <c r="L10611" s="8">
        <f>HYPERLINK("https://careerviet.vn/vi/tim-viec-lam/nhan-vien-kinh-doanh-thi-truong-kien-giang.35C6B605.html","Xem chi tiết")</f>
        <v/>
      </c>
    </row>
    <row r="10612">
      <c r="B10612" s="9" t="n">
        <v>10610</v>
      </c>
      <c r="C10612" s="10" t="inlineStr">
        <is>
          <t>Trưởng nhóm kỹ thuật</t>
        </is>
      </c>
      <c r="D10612" s="10" t="inlineStr">
        <is>
          <t>Công Ty Cổ Phần Xây Dựng CDC</t>
        </is>
      </c>
      <c r="E10612" s="10" t="inlineStr">
        <is>
          <t>Lương:Cạnh tranh</t>
        </is>
      </c>
      <c r="F10612" s="10" t="inlineStr">
        <is>
          <t>Nghệ An</t>
        </is>
      </c>
      <c r="G10612" s="10" t="inlineStr">
        <is>
          <t>06-04-2026</t>
        </is>
      </c>
      <c r="H10612" s="10" t="inlineStr">
        <is>
          <t>06/04/2026</t>
        </is>
      </c>
      <c r="I10612" s="10" t="inlineStr">
        <is>
          <t>17/03/2026</t>
        </is>
      </c>
      <c r="J10612" s="10" t="inlineStr">
        <is>
          <t>Xây dựng</t>
        </is>
      </c>
      <c r="K10612" s="10" t="inlineStr">
        <is>
          <t>Lên đến 4 Năm</t>
        </is>
      </c>
      <c r="L10612" s="11">
        <f>HYPERLINK("https://careerviet.vn/vi/tim-viec-lam/truong-nhom-ky-thuat.35C6B5C0.html","Xem chi tiết")</f>
        <v/>
      </c>
      <c r="M10612" s="10" t="n"/>
    </row>
    <row r="10613">
      <c r="B10613" s="7" t="n">
        <v>10611</v>
      </c>
      <c r="C10613" t="inlineStr">
        <is>
          <t>*Nhân viên kiểm tra chất lượng (đi ca)</t>
        </is>
      </c>
      <c r="D10613" t="inlineStr">
        <is>
          <t>Techtronic Industries Vietnam Manufacturing Company Limited</t>
        </is>
      </c>
      <c r="E10613" t="inlineStr">
        <is>
          <t>Lương:Cạnh tranh</t>
        </is>
      </c>
      <c r="F10613" t="inlineStr">
        <is>
          <t>Hồ Chí MinhĐồng Nai</t>
        </is>
      </c>
      <c r="G10613" t="inlineStr">
        <is>
          <t>30-04-2026</t>
        </is>
      </c>
      <c r="H10613" t="inlineStr">
        <is>
          <t>30/04/2026</t>
        </is>
      </c>
      <c r="I10613" t="inlineStr">
        <is>
          <t>17/03/2026</t>
        </is>
      </c>
      <c r="J10613" t="inlineStr">
        <is>
          <t>Quản lý chất lượng (QA/QC), Cơ khí / Ô tô / Tự động hóa, Điện / Điện tử / Điện lạnh / Điện công nghiệp</t>
        </is>
      </c>
      <c r="K10613" t="inlineStr">
        <is>
          <t>1 - 10 Năm</t>
        </is>
      </c>
      <c r="L10613" s="8">
        <f>HYPERLINK("https://careerviet.vn/vi/tim-viec-lam/nhan-vien-kiem-tra-chat-luong-di-ca.35C6B626.html","Xem chi tiết")</f>
        <v/>
      </c>
    </row>
    <row r="10614">
      <c r="B10614" s="9" t="n">
        <v>10612</v>
      </c>
      <c r="C10614" s="10" t="inlineStr">
        <is>
          <t>FACTORY MANAGING DIRECTOR</t>
        </is>
      </c>
      <c r="D10614" s="10" t="inlineStr">
        <is>
          <t>Công Ty Cổ Phần Kềm Nghĩa Sài Gòn</t>
        </is>
      </c>
      <c r="E10614" s="10" t="inlineStr">
        <is>
          <t>Lương:Cạnh tranh</t>
        </is>
      </c>
      <c r="F10614" s="10" t="inlineStr">
        <is>
          <t>Hồ Chí Minh</t>
        </is>
      </c>
      <c r="G10614" s="10" t="inlineStr">
        <is>
          <t>06-04-2026</t>
        </is>
      </c>
      <c r="H10614" s="10" t="inlineStr">
        <is>
          <t>06/04/2026</t>
        </is>
      </c>
      <c r="I10614" s="10" t="inlineStr">
        <is>
          <t>17/03/2026</t>
        </is>
      </c>
      <c r="J10614" s="10" t="inlineStr">
        <is>
          <t>Sản xuất / Vận hành sản xuất, Hàng gia dụng / Chăm sóc cá nhân</t>
        </is>
      </c>
      <c r="K10614" s="10" t="inlineStr">
        <is>
          <t>15 - 25 Năm</t>
        </is>
      </c>
      <c r="L10614" s="11">
        <f>HYPERLINK("https://careerviet.vn/vi/tim-viec-lam/factory-managing-director.35C6B600.html","Xem chi tiết")</f>
        <v/>
      </c>
      <c r="M10614" s="10" t="n"/>
    </row>
    <row r="10615">
      <c r="B10615" s="7" t="n">
        <v>10613</v>
      </c>
      <c r="C10615" t="inlineStr">
        <is>
          <t>[HCM] TRƯỞNG PHÒNG KINH DOANH - TÀI CHÍNH</t>
        </is>
      </c>
      <c r="D10615" t="inlineStr">
        <is>
          <t>CÔNG TY CỔ PHẦN GIAO DỊCH HÀNG HÓA ĐÔNG NAM Á</t>
        </is>
      </c>
      <c r="E10615" t="inlineStr">
        <is>
          <t>Lương:Cạnh tranh</t>
        </is>
      </c>
      <c r="F10615" t="inlineStr">
        <is>
          <t>Hồ Chí Minh</t>
        </is>
      </c>
      <c r="G10615" t="inlineStr">
        <is>
          <t>31-03-2026</t>
        </is>
      </c>
      <c r="H10615" t="inlineStr">
        <is>
          <t>31/03/2026</t>
        </is>
      </c>
      <c r="I10615" t="inlineStr">
        <is>
          <t>17/03/2026</t>
        </is>
      </c>
      <c r="J10615" t="inlineStr">
        <is>
          <t>Tài chính / Đầu tư</t>
        </is>
      </c>
      <c r="K10615" t="inlineStr">
        <is>
          <t>1 - 2 Năm</t>
        </is>
      </c>
      <c r="L10615" s="8">
        <f>HYPERLINK("https://careerviet.vn/vi/tim-viec-lam/hcm-truong-phong-kinh-doanh-tai-chinh.35C6B5F9.html","Xem chi tiết")</f>
        <v/>
      </c>
    </row>
    <row r="10616">
      <c r="B10616" s="9" t="n">
        <v>10614</v>
      </c>
      <c r="C10616" s="10" t="inlineStr">
        <is>
          <t>IT Admin</t>
        </is>
      </c>
      <c r="D10616" s="10" t="inlineStr">
        <is>
          <t>Công Ty Cổ Phần Đông Tây Land</t>
        </is>
      </c>
      <c r="E10616" s="10" t="inlineStr">
        <is>
          <t>Lương:10 Tr - 12 Tr VND</t>
        </is>
      </c>
      <c r="F10616" s="10" t="inlineStr">
        <is>
          <t>Hồ Chí Minh</t>
        </is>
      </c>
      <c r="G10616" s="10" t="inlineStr">
        <is>
          <t>07-04-2026</t>
        </is>
      </c>
      <c r="H10616" s="10" t="inlineStr">
        <is>
          <t>07/04/2026</t>
        </is>
      </c>
      <c r="I10616" s="10" t="inlineStr">
        <is>
          <t>17/03/2026</t>
        </is>
      </c>
      <c r="J10616" s="10" t="inlineStr">
        <is>
          <t>CNTT - Phần mềm, Hành chính / Thư ký</t>
        </is>
      </c>
      <c r="K10616" s="10" t="inlineStr">
        <is>
          <t>1 - 2 Năm</t>
        </is>
      </c>
      <c r="L10616" s="11">
        <f>HYPERLINK("https://careerviet.vn/vi/tim-viec-lam/it-admin.35C6B602.html","Xem chi tiết")</f>
        <v/>
      </c>
      <c r="M10616" s="10" t="n"/>
    </row>
    <row r="10617">
      <c r="B10617" s="7" t="n">
        <v>10615</v>
      </c>
      <c r="C10617" t="inlineStr">
        <is>
          <t>Nhân viên kinh doanh</t>
        </is>
      </c>
      <c r="D10617" t="inlineStr">
        <is>
          <t>CÔNG TY CỔ PHẦN GENTA THỤY SĨ</t>
        </is>
      </c>
      <c r="E10617" t="inlineStr">
        <is>
          <t>Lương:12 Tr - 25 Tr VND</t>
        </is>
      </c>
      <c r="F10617" t="inlineStr">
        <is>
          <t>Hồ Chí Minh</t>
        </is>
      </c>
      <c r="G10617" t="inlineStr">
        <is>
          <t>30-04-2026</t>
        </is>
      </c>
      <c r="H10617" t="inlineStr">
        <is>
          <t>30/04/2026</t>
        </is>
      </c>
      <c r="I10617" t="inlineStr">
        <is>
          <t>17/03/2026</t>
        </is>
      </c>
      <c r="J10617" t="inlineStr">
        <is>
          <t>Lâm Nghiệp, Bán hàng / Kinh doanh, Nông nghiệp</t>
        </is>
      </c>
      <c r="K10617" t="inlineStr">
        <is>
          <t>Trên 1 Năm</t>
        </is>
      </c>
      <c r="L10617" s="8">
        <f>HYPERLINK("https://careerviet.vn/vi/tim-viec-lam/nhan-vien-kinh-doanh.35C6B587.html","Xem chi tiết")</f>
        <v/>
      </c>
    </row>
    <row r="10618">
      <c r="B10618" s="9" t="n">
        <v>10616</v>
      </c>
      <c r="C10618" s="10" t="inlineStr">
        <is>
          <t>Kỹ sư Kinh tế Xây dựng</t>
        </is>
      </c>
      <c r="D10618" s="10" t="inlineStr">
        <is>
          <t>CÔNG TY CỔ PHẦN PHÁT TRIỂN HI-TECH VIỆT NAM</t>
        </is>
      </c>
      <c r="E10618" s="10" t="inlineStr">
        <is>
          <t>Lương:25 Tr - 35 Tr VND</t>
        </is>
      </c>
      <c r="F10618" s="10" t="inlineStr">
        <is>
          <t>Hà Nội</t>
        </is>
      </c>
      <c r="G10618" s="10" t="inlineStr">
        <is>
          <t>08-04-2026</t>
        </is>
      </c>
      <c r="H10618" s="10" t="inlineStr">
        <is>
          <t>08/04/2026</t>
        </is>
      </c>
      <c r="I10618" s="10" t="inlineStr">
        <is>
          <t>17/03/2026</t>
        </is>
      </c>
      <c r="J10618" s="10" t="inlineStr">
        <is>
          <t>Xây dựng, Bất động sản, Quản lý điều hành</t>
        </is>
      </c>
      <c r="K10618" s="10" t="inlineStr">
        <is>
          <t>4 - 5 Năm</t>
        </is>
      </c>
      <c r="L10618" s="11">
        <f>HYPERLINK("https://careerviet.vn/vi/tim-viec-lam/ky-su-kinh-te-xay-dung.35C6B5C4.html","Xem chi tiết")</f>
        <v/>
      </c>
      <c r="M10618" s="10" t="n"/>
    </row>
    <row r="10619">
      <c r="B10619" s="7" t="n">
        <v>10617</v>
      </c>
      <c r="C10619" t="inlineStr">
        <is>
          <t>Trưởng Phòng Kinh Doanh</t>
        </is>
      </c>
      <c r="D10619" t="inlineStr">
        <is>
          <t>Công Ty Cổ Phần Tập Đoàn Bất Động Sản Thắng Lợi</t>
        </is>
      </c>
      <c r="E10619" t="inlineStr">
        <is>
          <t>Lương:Cạnh tranh</t>
        </is>
      </c>
      <c r="F10619" t="inlineStr">
        <is>
          <t>Hồ Chí Minh</t>
        </is>
      </c>
      <c r="G10619" t="inlineStr">
        <is>
          <t>30-04-2026</t>
        </is>
      </c>
      <c r="H10619" t="inlineStr">
        <is>
          <t>30/04/2026</t>
        </is>
      </c>
      <c r="I10619" t="inlineStr">
        <is>
          <t>17/03/2026</t>
        </is>
      </c>
      <c r="J10619" t="inlineStr">
        <is>
          <t>Bất động sản, Bán hàng / Kinh doanh, Tư vấn</t>
        </is>
      </c>
      <c r="K10619" t="inlineStr">
        <is>
          <t>2 - 3 Năm</t>
        </is>
      </c>
      <c r="L10619" s="8">
        <f>HYPERLINK("https://careerviet.vn/vi/tim-viec-lam/truong-phong-kinh-doanh.35C6B5F1.html","Xem chi tiết")</f>
        <v/>
      </c>
    </row>
    <row r="10620">
      <c r="B10620" s="9" t="n">
        <v>10618</v>
      </c>
      <c r="C10620" s="10" t="inlineStr">
        <is>
          <t>Nhân viên kinh doanh khu vực Quảng Trị (13-20 tr)</t>
        </is>
      </c>
      <c r="D10620" s="10" t="inlineStr">
        <is>
          <t>CÔNG TY CỔ PHẦN TẬP ĐOÀN DEKKO</t>
        </is>
      </c>
      <c r="E10620" s="10" t="inlineStr">
        <is>
          <t>Lương:13 Tr - 20 Tr VND</t>
        </is>
      </c>
      <c r="F10620" s="10" t="inlineStr">
        <is>
          <t>Quảng Trị</t>
        </is>
      </c>
      <c r="G10620" s="10" t="inlineStr">
        <is>
          <t>04-05-2026</t>
        </is>
      </c>
      <c r="H10620" s="10" t="inlineStr">
        <is>
          <t>04/05/2026</t>
        </is>
      </c>
      <c r="I10620" s="10" t="inlineStr">
        <is>
          <t>17/03/2026</t>
        </is>
      </c>
      <c r="J10620" s="10" t="inlineStr">
        <is>
          <t>Bán hàng / Kinh doanh, Dịch vụ khách hàng</t>
        </is>
      </c>
      <c r="K10620" s="10" t="inlineStr">
        <is>
          <t>1 - 2 Năm</t>
        </is>
      </c>
      <c r="L10620" s="11">
        <f>HYPERLINK("https://careerviet.vn/vi/tim-viec-lam/nhan-vien-kinh-doanh-khu-vuc-quang-tri-13-20-tr.35C6B233.html","Xem chi tiết")</f>
        <v/>
      </c>
      <c r="M10620" s="10" t="n"/>
    </row>
    <row r="10621">
      <c r="B10621" s="7" t="n">
        <v>10619</v>
      </c>
      <c r="C10621" t="inlineStr">
        <is>
          <t>Chuyên viên C&amp;B</t>
        </is>
      </c>
      <c r="D10621" t="inlineStr">
        <is>
          <t>CÔNG TY CỔ PHẦN PHÁT TRIỂN HI-TECH VIỆT NAM</t>
        </is>
      </c>
      <c r="E10621" t="inlineStr">
        <is>
          <t>Lương:15 Tr - 25 Tr VND</t>
        </is>
      </c>
      <c r="F10621" t="inlineStr">
        <is>
          <t>Hà Nội</t>
        </is>
      </c>
      <c r="G10621" t="inlineStr">
        <is>
          <t>08-04-2026</t>
        </is>
      </c>
      <c r="H10621" t="inlineStr">
        <is>
          <t>08/04/2026</t>
        </is>
      </c>
      <c r="I10621" t="inlineStr">
        <is>
          <t>17/03/2026</t>
        </is>
      </c>
      <c r="J10621" t="inlineStr">
        <is>
          <t>Nhân sự, Luật / Pháp lý, Hành chính / Thư ký</t>
        </is>
      </c>
      <c r="K10621" t="inlineStr">
        <is>
          <t>2 - 3 Năm</t>
        </is>
      </c>
      <c r="L10621" s="8">
        <f>HYPERLINK("https://careerviet.vn/vi/tim-viec-lam/chuyen-vien-c-b.35C6B5C9.html","Xem chi tiết")</f>
        <v/>
      </c>
    </row>
    <row r="10622">
      <c r="B10622" s="9" t="n">
        <v>10620</v>
      </c>
      <c r="C10622" s="10" t="inlineStr">
        <is>
          <t>(Dĩ An gần Thủ Đức) Nhân Viên Kỹ Thuật Máy Gầm Ô Tô Tải</t>
        </is>
      </c>
      <c r="D10622" s="10" t="inlineStr">
        <is>
          <t>Công Ty TNHH Tập Đoàn Rita Võ</t>
        </is>
      </c>
      <c r="E10622" s="10" t="inlineStr">
        <is>
          <t>Lương:10 Tr - 15 Tr VND</t>
        </is>
      </c>
      <c r="F10622" s="10" t="inlineStr">
        <is>
          <t>Bình Dương</t>
        </is>
      </c>
      <c r="G10622" s="10" t="inlineStr">
        <is>
          <t>07-04-2026</t>
        </is>
      </c>
      <c r="H10622" s="10" t="inlineStr">
        <is>
          <t>07/04/2026</t>
        </is>
      </c>
      <c r="I10622" s="10" t="inlineStr">
        <is>
          <t>17/03/2026</t>
        </is>
      </c>
      <c r="J10622" s="10" t="inlineStr">
        <is>
          <t>Cơ khí / Ô tô / Tự động hóa</t>
        </is>
      </c>
      <c r="K10622" s="10" t="inlineStr">
        <is>
          <t>1 - 3 Năm</t>
        </is>
      </c>
      <c r="L10622" s="11">
        <f>HYPERLINK("https://careerviet.vn/vi/tim-viec-lam/di-an-gan-thu-duc-nhan-vien-ky-thuat-may-gam-o-to-tai.35C6B5BF.html","Xem chi tiết")</f>
        <v/>
      </c>
      <c r="M10622" s="10" t="n"/>
    </row>
    <row r="10623">
      <c r="B10623" s="7" t="n">
        <v>10621</v>
      </c>
      <c r="C10623" t="inlineStr">
        <is>
          <t>Sales Admin</t>
        </is>
      </c>
      <c r="D10623" t="inlineStr">
        <is>
          <t>Công Ty Cổ Phần A25 Hotel</t>
        </is>
      </c>
      <c r="E10623" t="inlineStr">
        <is>
          <t>Lương:14 Tr - 20 Tr VND</t>
        </is>
      </c>
      <c r="F10623" t="inlineStr">
        <is>
          <t>Hà Nội</t>
        </is>
      </c>
      <c r="G10623" t="inlineStr">
        <is>
          <t>10-04-2026</t>
        </is>
      </c>
      <c r="H10623" t="inlineStr">
        <is>
          <t>10/04/2026</t>
        </is>
      </c>
      <c r="I10623" t="inlineStr">
        <is>
          <t>17/03/2026</t>
        </is>
      </c>
      <c r="J10623" t="inlineStr">
        <is>
          <t>Bán hàng / Kinh doanh, Tiếp thị trực tuyến</t>
        </is>
      </c>
      <c r="K10623" t="inlineStr">
        <is>
          <t>2 - 3 Năm</t>
        </is>
      </c>
      <c r="L10623" s="8">
        <f>HYPERLINK("https://careerviet.vn/vi/tim-viec-lam/sales-admin.35C6B5E0.html","Xem chi tiết")</f>
        <v/>
      </c>
    </row>
    <row r="10624">
      <c r="B10624" s="9" t="n">
        <v>10622</v>
      </c>
      <c r="C10624" s="10" t="inlineStr">
        <is>
          <t>LỄ TÂN HÀNH CHÍNH</t>
        </is>
      </c>
      <c r="D10624" s="10" t="inlineStr">
        <is>
          <t>CÔNG TY CỔ PHẦN PHÁT TRIỂN HI-TECH VIỆT NAM</t>
        </is>
      </c>
      <c r="E10624" s="10" t="inlineStr">
        <is>
          <t>Lương:9 Tr - 12 Tr VND</t>
        </is>
      </c>
      <c r="F10624" s="10" t="inlineStr">
        <is>
          <t>Hà Nội</t>
        </is>
      </c>
      <c r="G10624" s="10" t="inlineStr">
        <is>
          <t>08-04-2026</t>
        </is>
      </c>
      <c r="H10624" s="10" t="inlineStr">
        <is>
          <t>08/04/2026</t>
        </is>
      </c>
      <c r="I10624" s="10" t="inlineStr">
        <is>
          <t>17/03/2026</t>
        </is>
      </c>
      <c r="J10624" s="10" t="inlineStr">
        <is>
          <t>Hành chính / Thư ký, Nhân sự</t>
        </is>
      </c>
      <c r="K10624" s="10" t="inlineStr">
        <is>
          <t>Trên 1 Năm</t>
        </is>
      </c>
      <c r="L10624" s="11">
        <f>HYPERLINK("https://careerviet.vn/vi/tim-viec-lam/le-tan-hanh-chinh.35C6B5CE.html","Xem chi tiết")</f>
        <v/>
      </c>
      <c r="M10624" s="10" t="n"/>
    </row>
    <row r="10625">
      <c r="B10625" s="7" t="n">
        <v>10623</v>
      </c>
      <c r="C10625" t="inlineStr">
        <is>
          <t>Sales Admin Staff</t>
        </is>
      </c>
      <c r="D10625" t="inlineStr">
        <is>
          <t>Công ty TNHH Phân Phối Liên Kết Quốc Tế (ILD)</t>
        </is>
      </c>
      <c r="E10625" t="inlineStr">
        <is>
          <t>Lương:8 Tr - 11 Tr VND</t>
        </is>
      </c>
      <c r="F10625" t="inlineStr">
        <is>
          <t>Hồ Chí Minh</t>
        </is>
      </c>
      <c r="G10625" t="inlineStr">
        <is>
          <t>07-04-2026</t>
        </is>
      </c>
      <c r="H10625" t="inlineStr">
        <is>
          <t>07/04/2026</t>
        </is>
      </c>
      <c r="I10625" t="inlineStr">
        <is>
          <t>17/03/2026</t>
        </is>
      </c>
      <c r="J10625" t="inlineStr">
        <is>
          <t>Dịch vụ khách hàng</t>
        </is>
      </c>
      <c r="K10625" t="inlineStr">
        <is>
          <t>Lên đến 1 Năm</t>
        </is>
      </c>
      <c r="L10625" s="8">
        <f>HYPERLINK("https://careerviet.vn/vi/tim-viec-lam/sales-admin-staff.35C6B5CF.html","Xem chi tiết")</f>
        <v/>
      </c>
    </row>
    <row r="10626">
      <c r="B10626" s="9" t="n">
        <v>10624</v>
      </c>
      <c r="C10626" s="10" t="inlineStr">
        <is>
          <t>Chuyên Viên Marketing ( Bất động sản )</t>
        </is>
      </c>
      <c r="D10626" s="10" t="inlineStr">
        <is>
          <t>CÔNG TY TNHH PHÁT TRIỂN THƯƠNG MẠI BĐS NEWSTARLAND</t>
        </is>
      </c>
      <c r="E10626" s="10" t="inlineStr">
        <is>
          <t>Lương:13 Tr - 18 Tr VND</t>
        </is>
      </c>
      <c r="F10626" s="10" t="inlineStr">
        <is>
          <t>Hà Nội</t>
        </is>
      </c>
      <c r="G10626" s="10" t="inlineStr">
        <is>
          <t>30-03-2026</t>
        </is>
      </c>
      <c r="H10626" s="10" t="inlineStr">
        <is>
          <t>30/03/2026</t>
        </is>
      </c>
      <c r="I10626" s="10" t="inlineStr">
        <is>
          <t>17/03/2026</t>
        </is>
      </c>
      <c r="J10626" s="10" t="inlineStr">
        <is>
          <t>Tiếp thị / Marketing, Bất động sản, Tiếp thị trực tuyến</t>
        </is>
      </c>
      <c r="K10626" s="10" t="inlineStr">
        <is>
          <t>2 - 3 Năm</t>
        </is>
      </c>
      <c r="L10626" s="11">
        <f>HYPERLINK("https://careerviet.vn/vi/tim-viec-lam/chuyen-vien-marketing-bat-dong-san.35C6B5E4.html","Xem chi tiết")</f>
        <v/>
      </c>
      <c r="M10626" s="10" t="n"/>
    </row>
    <row r="10627">
      <c r="B10627" s="7" t="n">
        <v>10625</v>
      </c>
      <c r="C10627" t="inlineStr">
        <is>
          <t>Nhân viên pháp chế</t>
        </is>
      </c>
      <c r="D10627" t="inlineStr">
        <is>
          <t>CÔNG TY CỔ PHẦN PHÁT TRIỂN HI-TECH VIỆT NAM</t>
        </is>
      </c>
      <c r="E10627" t="inlineStr">
        <is>
          <t>Lương:12 Tr - 18 Tr VND</t>
        </is>
      </c>
      <c r="F10627" t="inlineStr">
        <is>
          <t>Hà Nội</t>
        </is>
      </c>
      <c r="G10627" t="inlineStr">
        <is>
          <t>08-04-2026</t>
        </is>
      </c>
      <c r="H10627" t="inlineStr">
        <is>
          <t>08/04/2026</t>
        </is>
      </c>
      <c r="I10627" t="inlineStr">
        <is>
          <t>17/03/2026</t>
        </is>
      </c>
      <c r="J10627" t="inlineStr">
        <is>
          <t>Luật / Pháp lý, Bất động sản</t>
        </is>
      </c>
      <c r="K10627" t="inlineStr">
        <is>
          <t>Trên 1 Năm</t>
        </is>
      </c>
      <c r="L10627" s="8">
        <f>HYPERLINK("https://careerviet.vn/vi/tim-viec-lam/nhan-vien-phap-che.35C6B5D7.html","Xem chi tiết")</f>
        <v/>
      </c>
    </row>
    <row r="10628">
      <c r="B10628" s="9" t="n">
        <v>10626</v>
      </c>
      <c r="C10628" s="10" t="inlineStr">
        <is>
          <t>Trưởng phòng vận tải Logistics</t>
        </is>
      </c>
      <c r="D10628" s="10" t="inlineStr">
        <is>
          <t>CÔNG TY CỔ PHẦN VẬN TẢI VÀ XÂY DỰNG CÔNG TRÌNH FTC</t>
        </is>
      </c>
      <c r="E10628" s="10" t="inlineStr">
        <is>
          <t>Lương:20 Tr - 25 Tr VND</t>
        </is>
      </c>
      <c r="F10628" s="10" t="inlineStr">
        <is>
          <t>Hà Nội</t>
        </is>
      </c>
      <c r="G10628" s="10" t="inlineStr">
        <is>
          <t>31-03-2026</t>
        </is>
      </c>
      <c r="H10628" s="10" t="inlineStr">
        <is>
          <t>31/03/2026</t>
        </is>
      </c>
      <c r="I10628" s="10" t="inlineStr">
        <is>
          <t>17/03/2026</t>
        </is>
      </c>
      <c r="J10628" s="10" t="inlineStr">
        <is>
          <t>Vận chuyển / Giao nhận / Kho vận, Xuất nhập khẩu</t>
        </is>
      </c>
      <c r="K10628" s="10" t="inlineStr">
        <is>
          <t>Trên 5 Năm</t>
        </is>
      </c>
      <c r="L10628" s="11">
        <f>HYPERLINK("https://careerviet.vn/vi/tim-viec-lam/truong-phong-van-tai-logistics.35C6B5CB.html","Xem chi tiết")</f>
        <v/>
      </c>
      <c r="M10628" s="10" t="n"/>
    </row>
    <row r="10629">
      <c r="B10629" s="7" t="n">
        <v>10627</v>
      </c>
      <c r="C10629" t="inlineStr">
        <is>
          <t>ACCOUNTING TEAM INTERN</t>
        </is>
      </c>
      <c r="D10629" t="inlineStr">
        <is>
          <t>CONG TY TNHH WONCHANG LOGISTICS</t>
        </is>
      </c>
      <c r="E10629" t="inlineStr">
        <is>
          <t>Lương:Cạnh tranh</t>
        </is>
      </c>
      <c r="F10629" t="inlineStr">
        <is>
          <t>Hồ Chí Minh</t>
        </is>
      </c>
      <c r="G10629" t="inlineStr">
        <is>
          <t>15-04-2026</t>
        </is>
      </c>
      <c r="H10629" t="inlineStr">
        <is>
          <t>15/04/2026</t>
        </is>
      </c>
      <c r="I10629" t="inlineStr">
        <is>
          <t>17/03/2026</t>
        </is>
      </c>
      <c r="J10629" t="inlineStr">
        <is>
          <t>Kế toán / Kiểm toán</t>
        </is>
      </c>
      <c r="K10629" t="inlineStr">
        <is>
          <t>N/A</t>
        </is>
      </c>
      <c r="L10629" s="8">
        <f>HYPERLINK("https://careerviet.vn/vi/tim-viec-lam/accounting-team-intern.35C6B594.html","Xem chi tiết")</f>
        <v/>
      </c>
    </row>
    <row r="10630">
      <c r="B10630" s="9" t="n">
        <v>10628</v>
      </c>
      <c r="C10630" s="10" t="inlineStr">
        <is>
          <t>Nhân viên IT Helpdesk</t>
        </is>
      </c>
      <c r="D10630" s="10" t="inlineStr">
        <is>
          <t>Công ty TNHH Thương Mại &amp; Dịch Vụ Tri Linh</t>
        </is>
      </c>
      <c r="E10630" s="10" t="inlineStr">
        <is>
          <t>Lương:7 Tr - 9 Tr VND</t>
        </is>
      </c>
      <c r="F10630" s="10" t="inlineStr">
        <is>
          <t>Hồ Chí Minh</t>
        </is>
      </c>
      <c r="G10630" s="10" t="inlineStr">
        <is>
          <t>30-04-2026</t>
        </is>
      </c>
      <c r="H10630" s="10" t="inlineStr">
        <is>
          <t>30/04/2026</t>
        </is>
      </c>
      <c r="I10630" s="10" t="inlineStr">
        <is>
          <t>17/03/2026</t>
        </is>
      </c>
      <c r="J10630" s="10" t="inlineStr">
        <is>
          <t>CNTT - Phần cứng / Mạng</t>
        </is>
      </c>
      <c r="K10630" s="10" t="inlineStr">
        <is>
          <t>N/A</t>
        </is>
      </c>
      <c r="L10630" s="11">
        <f>HYPERLINK("https://careerviet.vn/vi/tim-viec-lam/nhan-vien-it-helpdesk.35C6B588.html","Xem chi tiết")</f>
        <v/>
      </c>
      <c r="M10630" s="10" t="n"/>
    </row>
    <row r="10631">
      <c r="B10631" s="7" t="n">
        <v>10629</v>
      </c>
      <c r="C10631" t="inlineStr">
        <is>
          <t>Nhân viên Marketing BĐS</t>
        </is>
      </c>
      <c r="D10631" t="inlineStr">
        <is>
          <t>CÔNG TY CỔ PHẦN PHÁT TRIỂN HI-TECH VIỆT NAM</t>
        </is>
      </c>
      <c r="E10631" t="inlineStr">
        <is>
          <t>Lương:15 Tr - 20 Tr VND</t>
        </is>
      </c>
      <c r="F10631" t="inlineStr">
        <is>
          <t>Hà Nội</t>
        </is>
      </c>
      <c r="G10631" t="inlineStr">
        <is>
          <t>08-04-2026</t>
        </is>
      </c>
      <c r="H10631" t="inlineStr">
        <is>
          <t>08/04/2026</t>
        </is>
      </c>
      <c r="I10631" t="inlineStr">
        <is>
          <t>17/03/2026</t>
        </is>
      </c>
      <c r="J10631" t="inlineStr">
        <is>
          <t>Tiếp thị / Marketing, Bất động sản, Thương mại điện tử</t>
        </is>
      </c>
      <c r="K10631" t="inlineStr">
        <is>
          <t>Trên 2 Năm</t>
        </is>
      </c>
      <c r="L10631" s="8">
        <f>HYPERLINK("https://careerviet.vn/vi/tim-viec-lam/nhan-vien-marketing-bds.35C6B5D1.html","Xem chi tiết")</f>
        <v/>
      </c>
    </row>
    <row r="10632">
      <c r="B10632" s="9" t="n">
        <v>10630</v>
      </c>
      <c r="C10632" s="10" t="inlineStr">
        <is>
          <t>Customer Quality Assurance Engineer (CQE)</t>
        </is>
      </c>
      <c r="D10632" s="10" t="inlineStr">
        <is>
          <t>Techtronic Industries Vietnam Manufacturing Company Limited</t>
        </is>
      </c>
      <c r="E10632" s="10" t="inlineStr">
        <is>
          <t>Lương:Cạnh tranh</t>
        </is>
      </c>
      <c r="F10632" s="10" t="inlineStr">
        <is>
          <t>Đồng Nai</t>
        </is>
      </c>
      <c r="G10632" s="10" t="inlineStr">
        <is>
          <t>30-04-2026</t>
        </is>
      </c>
      <c r="H10632" s="10" t="inlineStr">
        <is>
          <t>30/04/2026</t>
        </is>
      </c>
      <c r="I10632" s="10" t="inlineStr">
        <is>
          <t>17/03/2026</t>
        </is>
      </c>
      <c r="J10632" s="10" t="inlineStr">
        <is>
          <t>Cơ khí / Ô tô / Tự động hóa, Điện / Điện tử / Điện lạnh / Điện công nghiệp</t>
        </is>
      </c>
      <c r="K10632" s="10" t="inlineStr">
        <is>
          <t>2 - 4 Năm</t>
        </is>
      </c>
      <c r="L10632" s="11">
        <f>HYPERLINK("https://careerviet.vn/vi/tim-viec-lam/customer-quality-assurance-engineer-cqe.35C6B620.html","Xem chi tiết")</f>
        <v/>
      </c>
      <c r="M10632" s="10" t="n"/>
    </row>
    <row r="10633">
      <c r="B10633" s="7" t="n">
        <v>10631</v>
      </c>
      <c r="C10633" t="inlineStr">
        <is>
          <t>Nhân viên media  (Phòng KD Online)</t>
        </is>
      </c>
      <c r="D10633" t="inlineStr">
        <is>
          <t>THỜI TRANG LINING_CÔNG TY TNHH QUỐC TẾ HẢI LONG</t>
        </is>
      </c>
      <c r="E10633" t="inlineStr">
        <is>
          <t>Lương:10 Tr - 15 Tr VND</t>
        </is>
      </c>
      <c r="F10633" t="inlineStr">
        <is>
          <t>Hà Nội</t>
        </is>
      </c>
      <c r="G10633" t="inlineStr">
        <is>
          <t>03-04-2026</t>
        </is>
      </c>
      <c r="H10633" t="inlineStr">
        <is>
          <t>03/04/2026</t>
        </is>
      </c>
      <c r="I10633" t="inlineStr">
        <is>
          <t>17/03/2026</t>
        </is>
      </c>
      <c r="J10633" t="inlineStr">
        <is>
          <t>Tiếp thị / Marketing, Bán lẻ / Bán sỉ, Mỹ thuật / Nghệ thuật / Thiết kế</t>
        </is>
      </c>
      <c r="K10633" t="inlineStr">
        <is>
          <t>Chưa có kinh nghiệm</t>
        </is>
      </c>
      <c r="L10633" s="8">
        <f>HYPERLINK("https://careerviet.vn/vi/tim-viec-lam/nhan-vien-media-phong-kd-online.35C6B5A3.html","Xem chi tiết")</f>
        <v/>
      </c>
    </row>
    <row r="10634">
      <c r="B10634" s="9" t="n">
        <v>10632</v>
      </c>
      <c r="C10634" s="10" t="inlineStr">
        <is>
          <t>CHUYÊN VIÊN QUẢN LÝ THIẾT BỊ (XÂY DỰNG)</t>
        </is>
      </c>
      <c r="D10634" s="10" t="inlineStr">
        <is>
          <t>CÔNG TY CỔ PHẦN ĐẦU TƯ XÂY DỰNG VITECCONS</t>
        </is>
      </c>
      <c r="E10634" s="10" t="inlineStr">
        <is>
          <t>Lương:15 Tr - 25 Tr VND</t>
        </is>
      </c>
      <c r="F10634" s="10" t="inlineStr">
        <is>
          <t>Hồ Chí Minh</t>
        </is>
      </c>
      <c r="G10634" s="10" t="inlineStr">
        <is>
          <t>15-04-2026</t>
        </is>
      </c>
      <c r="H10634" s="10" t="inlineStr">
        <is>
          <t>15/04/2026</t>
        </is>
      </c>
      <c r="I10634" s="10" t="inlineStr">
        <is>
          <t>17/03/2026</t>
        </is>
      </c>
      <c r="J10634" s="10" t="inlineStr">
        <is>
          <t>Xây dựng, Cơ khí / Ô tô / Tự động hóa</t>
        </is>
      </c>
      <c r="K10634" s="10" t="inlineStr">
        <is>
          <t>2 - 3 Năm</t>
        </is>
      </c>
      <c r="L10634" s="11">
        <f>HYPERLINK("https://careerviet.vn/vi/tim-viec-lam/chuyen-vien-quan-ly-thiet-bi-xay-dung.35C6B58B.html","Xem chi tiết")</f>
        <v/>
      </c>
      <c r="M10634" s="10" t="n"/>
    </row>
    <row r="10635">
      <c r="B10635" s="7" t="n">
        <v>10633</v>
      </c>
      <c r="C10635" t="inlineStr">
        <is>
          <t>Kỹ sư Thiết kế Cơ khí (làm việc tại Thuận Giao - Bình Dương)</t>
        </is>
      </c>
      <c r="D10635" t="inlineStr">
        <is>
          <t>Công ty Xây Dựng Hàng Rào Biệt Thự (Villafences)</t>
        </is>
      </c>
      <c r="E10635" t="inlineStr">
        <is>
          <t>Lương:12 Tr - 15 Tr VND</t>
        </is>
      </c>
      <c r="F10635" t="inlineStr">
        <is>
          <t>Bình DươngHồ Chí Minh</t>
        </is>
      </c>
      <c r="G10635" t="inlineStr">
        <is>
          <t>31-03-2026</t>
        </is>
      </c>
      <c r="H10635" t="inlineStr">
        <is>
          <t>31/03/2026</t>
        </is>
      </c>
      <c r="I10635" t="inlineStr">
        <is>
          <t>17/03/2026</t>
        </is>
      </c>
      <c r="J10635" t="inlineStr">
        <is>
          <t>Cơ khí / Ô tô / Tự động hóa</t>
        </is>
      </c>
      <c r="K10635" t="inlineStr">
        <is>
          <t>Trên 1 Năm</t>
        </is>
      </c>
      <c r="L10635" s="8">
        <f>HYPERLINK("https://careerviet.vn/vi/tim-viec-lam/ky-su-thiet-ke-co-khi-lam-viec-tai-thuan-giao-binh-duong.35C6B592.html","Xem chi tiết")</f>
        <v/>
      </c>
    </row>
    <row r="10636">
      <c r="B10636" s="9" t="n">
        <v>10634</v>
      </c>
      <c r="C10636" s="10" t="inlineStr">
        <is>
          <t>Chuyên viên Thủ tục (Sale Admin)</t>
        </is>
      </c>
      <c r="D10636" s="10" t="inlineStr">
        <is>
          <t>CÔNG TY CỔ PHẦN HIRUNDO REALTY</t>
        </is>
      </c>
      <c r="E10636" s="10" t="inlineStr">
        <is>
          <t>Lương:Cạnh tranh</t>
        </is>
      </c>
      <c r="F10636" s="10" t="inlineStr">
        <is>
          <t>Hà Nội</t>
        </is>
      </c>
      <c r="G10636" s="10" t="inlineStr">
        <is>
          <t>31-03-2026</t>
        </is>
      </c>
      <c r="H10636" s="10" t="inlineStr">
        <is>
          <t>31/03/2026</t>
        </is>
      </c>
      <c r="I10636" s="10" t="inlineStr">
        <is>
          <t>17/03/2026</t>
        </is>
      </c>
      <c r="J10636" s="10" t="inlineStr">
        <is>
          <t>Hành chính / Thư ký, Bất động sản</t>
        </is>
      </c>
      <c r="K10636" s="10" t="inlineStr">
        <is>
          <t>Trên 3 Năm</t>
        </is>
      </c>
      <c r="L10636" s="11">
        <f>HYPERLINK("https://careerviet.vn/vi/tim-viec-lam/chuyen-vien-thu-tuc-sale-admin.35C6B586.html","Xem chi tiết")</f>
        <v/>
      </c>
      <c r="M10636" s="10" t="n"/>
    </row>
    <row r="10637">
      <c r="B10637" s="7" t="n">
        <v>10635</v>
      </c>
      <c r="C10637" t="inlineStr">
        <is>
          <t>Nhân viên Bảo hiểm -  Insurance Officer</t>
        </is>
      </c>
      <c r="D10637" t="inlineStr">
        <is>
          <t>American International Hospital (AIH)</t>
        </is>
      </c>
      <c r="E10637" t="inlineStr">
        <is>
          <t>Lương:12 Tr - 14 Tr VND</t>
        </is>
      </c>
      <c r="F10637" t="inlineStr">
        <is>
          <t>Hồ Chí Minh</t>
        </is>
      </c>
      <c r="G10637" t="inlineStr">
        <is>
          <t>07-04-2026</t>
        </is>
      </c>
      <c r="H10637" t="inlineStr">
        <is>
          <t>07/04/2026</t>
        </is>
      </c>
      <c r="I10637" t="inlineStr">
        <is>
          <t>17/03/2026</t>
        </is>
      </c>
      <c r="J10637" t="inlineStr">
        <is>
          <t>Y tế / Chăm sóc sức khỏe / Thẩm mỹ / Làm đẹp, Bảo hiểm, Dịch vụ khách hàng</t>
        </is>
      </c>
      <c r="K10637" t="inlineStr">
        <is>
          <t>1 - 2 Năm</t>
        </is>
      </c>
      <c r="L10637" s="8">
        <f>HYPERLINK("https://careerviet.vn/vi/tim-viec-lam/nhan-vien-bao-hiem-insurance-officer.35C6B59C.html","Xem chi tiết")</f>
        <v/>
      </c>
    </row>
    <row r="10638">
      <c r="B10638" s="9" t="n">
        <v>10636</v>
      </c>
      <c r="C10638" s="10" t="inlineStr">
        <is>
          <t>Account Manager</t>
        </is>
      </c>
      <c r="D10638" s="10" t="inlineStr">
        <is>
          <t>EDGE MARKETING SOLUTIONS</t>
        </is>
      </c>
      <c r="E10638" s="10" t="inlineStr">
        <is>
          <t>Lương:Cạnh tranh</t>
        </is>
      </c>
      <c r="F10638" s="10" t="inlineStr">
        <is>
          <t>Hồ Chí Minh</t>
        </is>
      </c>
      <c r="G10638" s="10" t="inlineStr">
        <is>
          <t>3</t>
        </is>
      </c>
      <c r="H10638" s="10" t="inlineStr">
        <is>
          <t>20/03/2026</t>
        </is>
      </c>
      <c r="I10638" s="10" t="inlineStr">
        <is>
          <t>17/03/2026</t>
        </is>
      </c>
      <c r="J10638" s="10" t="inlineStr">
        <is>
          <t>Tổ chức sự kiện, Tiếp thị / Marketing, Quảng cáo / Đối ngoại / Truyền Thông</t>
        </is>
      </c>
      <c r="K10638" s="10" t="inlineStr">
        <is>
          <t>4 - 8 Năm</t>
        </is>
      </c>
      <c r="L10638" s="11">
        <f>HYPERLINK("https://careerviet.vn/vi/tim-viec-lam/account-manager.35C6B582.html","Xem chi tiết")</f>
        <v/>
      </c>
      <c r="M10638" s="10" t="n"/>
    </row>
    <row r="10639">
      <c r="B10639" s="7" t="n">
        <v>10637</v>
      </c>
      <c r="C10639" t="inlineStr">
        <is>
          <t>Thư Ký Kế Toán</t>
        </is>
      </c>
      <c r="D10639" t="inlineStr">
        <is>
          <t>Hung Phat Co. - Peerapat Technology Thailand</t>
        </is>
      </c>
      <c r="E10639" t="inlineStr">
        <is>
          <t>Lương:8 Tr - 10 Tr VND</t>
        </is>
      </c>
      <c r="F10639" t="inlineStr">
        <is>
          <t>Hồ Chí Minh</t>
        </is>
      </c>
      <c r="G10639" t="inlineStr">
        <is>
          <t>06-04-2026</t>
        </is>
      </c>
      <c r="H10639" t="inlineStr">
        <is>
          <t>06/04/2026</t>
        </is>
      </c>
      <c r="I10639" t="inlineStr">
        <is>
          <t>17/03/2026</t>
        </is>
      </c>
      <c r="J10639" t="inlineStr">
        <is>
          <t>Hành chính / Thư ký, Kế toán / Kiểm toán, Tài chính / Đầu tư</t>
        </is>
      </c>
      <c r="K10639" t="inlineStr">
        <is>
          <t>N/A</t>
        </is>
      </c>
      <c r="L10639" s="8">
        <f>HYPERLINK("https://careerviet.vn/vi/tim-viec-lam/thu-ky-ke-toan.35C6B1F6.html","Xem chi tiết")</f>
        <v/>
      </c>
    </row>
    <row r="10640">
      <c r="B10640" s="9" t="n">
        <v>10638</v>
      </c>
      <c r="C10640" s="10" t="inlineStr">
        <is>
          <t>Thư Ký Dự Án</t>
        </is>
      </c>
      <c r="D10640" s="10" t="inlineStr">
        <is>
          <t>Công Ty Cổ Phần Xây Dựng CDC</t>
        </is>
      </c>
      <c r="E10640" s="10" t="inlineStr">
        <is>
          <t>Lương:Cạnh tranh</t>
        </is>
      </c>
      <c r="F10640" s="10" t="inlineStr">
        <is>
          <t>Đà Nẵng</t>
        </is>
      </c>
      <c r="G10640" s="10" t="inlineStr">
        <is>
          <t>05-04-2026</t>
        </is>
      </c>
      <c r="H10640" s="10" t="inlineStr">
        <is>
          <t>05/04/2026</t>
        </is>
      </c>
      <c r="I10640" s="10" t="inlineStr">
        <is>
          <t>17/03/2026</t>
        </is>
      </c>
      <c r="J10640" s="10" t="inlineStr">
        <is>
          <t>Xây dựng</t>
        </is>
      </c>
      <c r="K10640" s="10" t="inlineStr">
        <is>
          <t>Trên 1 Năm</t>
        </is>
      </c>
      <c r="L10640" s="11">
        <f>HYPERLINK("https://careerviet.vn/vi/tim-viec-lam/thu-ky-du-an.35C6B5F8.html","Xem chi tiết")</f>
        <v/>
      </c>
      <c r="M10640" s="10" t="n"/>
    </row>
    <row r="10641">
      <c r="B10641" s="7" t="n">
        <v>10639</v>
      </c>
      <c r="C10641" t="inlineStr">
        <is>
          <t>NHÂN VIÊN HÀNH CHÍNH - NHÂN SỰ</t>
        </is>
      </c>
      <c r="D10641" t="inlineStr">
        <is>
          <t>Công Ty Cổ Phần Tập đoàn Xây dựng Thành Đô</t>
        </is>
      </c>
      <c r="E10641" t="inlineStr">
        <is>
          <t>Lương:10 Tr - 15 Tr VND</t>
        </is>
      </c>
      <c r="F10641" t="inlineStr">
        <is>
          <t>Hồ Chí Minh</t>
        </is>
      </c>
      <c r="G10641" t="inlineStr">
        <is>
          <t>11-04-2026</t>
        </is>
      </c>
      <c r="H10641" t="inlineStr">
        <is>
          <t>11/04/2026</t>
        </is>
      </c>
      <c r="I10641" t="inlineStr">
        <is>
          <t>17/03/2026</t>
        </is>
      </c>
      <c r="J10641" t="inlineStr">
        <is>
          <t>Hành chính / Thư ký, Nhân sự, Xây dựng</t>
        </is>
      </c>
      <c r="K10641" t="inlineStr">
        <is>
          <t>Trên 3 Năm</t>
        </is>
      </c>
      <c r="L10641" s="8">
        <f>HYPERLINK("https://careerviet.vn/vi/tim-viec-lam/nhan-vien-hanh-chinh-nhan-su.35C6B58E.html","Xem chi tiết")</f>
        <v/>
      </c>
    </row>
    <row r="10642">
      <c r="B10642" s="9" t="n">
        <v>10640</v>
      </c>
      <c r="C10642" s="10" t="inlineStr">
        <is>
          <t>Lab Technician (Planning)</t>
        </is>
      </c>
      <c r="D10642" s="10" t="inlineStr">
        <is>
          <t>Techtronic Industries Vietnam Manufacturing Company Limited</t>
        </is>
      </c>
      <c r="E10642" s="10" t="inlineStr">
        <is>
          <t>Lương:Cạnh tranh</t>
        </is>
      </c>
      <c r="F10642" s="10" t="inlineStr">
        <is>
          <t>Hồ Chí Minh</t>
        </is>
      </c>
      <c r="G10642" s="10" t="inlineStr">
        <is>
          <t>29-06-2026</t>
        </is>
      </c>
      <c r="H10642" s="10" t="inlineStr">
        <is>
          <t>29/06/2026</t>
        </is>
      </c>
      <c r="I10642" s="10" t="inlineStr">
        <is>
          <t>17/03/2026</t>
        </is>
      </c>
      <c r="J10642" s="10" t="inlineStr">
        <is>
          <t>Cơ khí / Ô tô / Tự động hóa, Điện / Điện tử / Điện lạnh / Điện công nghiệp, Bảo trì / Sửa chữa</t>
        </is>
      </c>
      <c r="K10642" s="10" t="inlineStr">
        <is>
          <t>3 - 5 Năm</t>
        </is>
      </c>
      <c r="L10642" s="11">
        <f>HYPERLINK("https://careerviet.vn/vi/tim-viec-lam/lab-technician-planning.35C6B608.html","Xem chi tiết")</f>
        <v/>
      </c>
      <c r="M10642" s="10" t="n"/>
    </row>
    <row r="10643">
      <c r="B10643" s="7" t="n">
        <v>10641</v>
      </c>
      <c r="C10643" t="inlineStr">
        <is>
          <t>Nhân viên QC Vi sinh  (làm việc huyện Củ Chi-TpHCM)</t>
        </is>
      </c>
      <c r="D10643" t="inlineStr">
        <is>
          <t>Công ty TNHH Bình Việt Đức (BIVID)</t>
        </is>
      </c>
      <c r="E10643" t="inlineStr">
        <is>
          <t>Lương:Cạnh tranh</t>
        </is>
      </c>
      <c r="F10643" t="inlineStr">
        <is>
          <t>Hồ Chí Minh</t>
        </is>
      </c>
      <c r="G10643" t="inlineStr">
        <is>
          <t>06-04-2026</t>
        </is>
      </c>
      <c r="H10643" t="inlineStr">
        <is>
          <t>06/04/2026</t>
        </is>
      </c>
      <c r="I10643" t="inlineStr">
        <is>
          <t>17/03/2026</t>
        </is>
      </c>
      <c r="J10643" t="inlineStr">
        <is>
          <t>Quản lý chất lượng (QA/QC)</t>
        </is>
      </c>
      <c r="K10643" t="inlineStr">
        <is>
          <t>2 - 10 Năm</t>
        </is>
      </c>
      <c r="L10643" s="8">
        <f>HYPERLINK("https://careerviet.vn/vi/tim-viec-lam/nhan-vien-qc-vi-sinh-lam-viec-huyen-cu-chi-tphcm.35C6B611.html","Xem chi tiết")</f>
        <v/>
      </c>
    </row>
    <row r="10644">
      <c r="B10644" s="9" t="n">
        <v>10642</v>
      </c>
      <c r="C10644" s="10" t="inlineStr">
        <is>
          <t>Nhân viên kinh doanh thị trường (Bình Định, Gia Lai, Lâm Đồng, TP. Huế, Quảng Trị)</t>
        </is>
      </c>
      <c r="D10644" s="10" t="inlineStr">
        <is>
          <t>Công ty Cổ Phần Nhựa Thiếu Niên Tiền Phong Phía Nam</t>
        </is>
      </c>
      <c r="E10644" s="10" t="inlineStr">
        <is>
          <t>Lương:Cạnh tranh</t>
        </is>
      </c>
      <c r="F10644" s="10" t="inlineStr">
        <is>
          <t>Bình ĐịnhGia LaiLâm Đồng</t>
        </is>
      </c>
      <c r="G10644" s="10" t="inlineStr">
        <is>
          <t>30-03-2026</t>
        </is>
      </c>
      <c r="H10644" s="10" t="inlineStr">
        <is>
          <t>30/03/2026</t>
        </is>
      </c>
      <c r="I10644" s="10" t="inlineStr">
        <is>
          <t>17/03/2026</t>
        </is>
      </c>
      <c r="J10644" s="10" t="inlineStr">
        <is>
          <t>Tiếp thị / Marketing, Bán lẻ / Bán sỉ, Bán hàng / Kinh doanh</t>
        </is>
      </c>
      <c r="K10644" s="10" t="inlineStr">
        <is>
          <t>1 - 2 Năm</t>
        </is>
      </c>
      <c r="L10644" s="11">
        <f>HYPERLINK("https://careerviet.vn/vi/tim-viec-lam/nhan-vien-kinh-doanh-thi-truong-binh-dinh-gia-lai-lam-dong-tp-hue-quang-tri.35C6B609.html","Xem chi tiết")</f>
        <v/>
      </c>
      <c r="M10644" s="10" t="n"/>
    </row>
    <row r="10645">
      <c r="B10645" s="7" t="n">
        <v>10643</v>
      </c>
      <c r="C10645" t="inlineStr">
        <is>
          <t>GIÁM ĐỐC KINH DOANH VÀ PHÁT TRIỂN ĐẠI LÝ</t>
        </is>
      </c>
      <c r="D10645" t="inlineStr">
        <is>
          <t>Công Ty Cổ Phần Tập Đoàn Bất Động Sản Thắng Lợi</t>
        </is>
      </c>
      <c r="E10645" t="inlineStr">
        <is>
          <t>Lương:Cạnh tranh</t>
        </is>
      </c>
      <c r="F10645" t="inlineStr">
        <is>
          <t>Hồ Chí Minh</t>
        </is>
      </c>
      <c r="G10645" t="inlineStr">
        <is>
          <t>30-04-2026</t>
        </is>
      </c>
      <c r="H10645" t="inlineStr">
        <is>
          <t>30/04/2026</t>
        </is>
      </c>
      <c r="I10645" t="inlineStr">
        <is>
          <t>17/03/2026</t>
        </is>
      </c>
      <c r="J10645" t="inlineStr">
        <is>
          <t>Tiếp thị / Marketing, Bán hàng / Kinh doanh, Bất động sản</t>
        </is>
      </c>
      <c r="K10645" t="inlineStr">
        <is>
          <t>2 - 5 Năm</t>
        </is>
      </c>
      <c r="L10645" s="8">
        <f>HYPERLINK("https://careerviet.vn/vi/tim-viec-lam/giam-doc-kinh-doanh-va-phat-trien-dai-ly.35C6B5D0.html","Xem chi tiết")</f>
        <v/>
      </c>
    </row>
    <row r="10646">
      <c r="B10646" s="9" t="n">
        <v>10644</v>
      </c>
      <c r="C10646" s="10" t="inlineStr">
        <is>
          <t>Nhân viên vận đơn</t>
        </is>
      </c>
      <c r="D10646" s="10" t="inlineStr">
        <is>
          <t>Công ty Cổ phần TP Solar</t>
        </is>
      </c>
      <c r="E10646" s="10" t="inlineStr">
        <is>
          <t>Lương:10 Tr - 12 Tr VND</t>
        </is>
      </c>
      <c r="F10646" s="10" t="inlineStr">
        <is>
          <t>Hưng Yên</t>
        </is>
      </c>
      <c r="G10646" s="10" t="inlineStr">
        <is>
          <t>30-04-2026</t>
        </is>
      </c>
      <c r="H10646" s="10" t="inlineStr">
        <is>
          <t>30/04/2026</t>
        </is>
      </c>
      <c r="I10646" s="10" t="inlineStr">
        <is>
          <t>17/03/2026</t>
        </is>
      </c>
      <c r="J10646" s="10" t="inlineStr">
        <is>
          <t>Vận chuyển / Giao nhận / Kho vận, Thương mại điện tử, Dịch vụ khách hàng</t>
        </is>
      </c>
      <c r="K10646" s="10" t="inlineStr">
        <is>
          <t>1 - 2 Năm</t>
        </is>
      </c>
      <c r="L10646" s="11">
        <f>HYPERLINK("https://careerviet.vn/vi/tim-viec-lam/nhan-vien-van-don.35C6B659.html","Xem chi tiết")</f>
        <v/>
      </c>
      <c r="M10646" s="10" t="n"/>
    </row>
    <row r="10647">
      <c r="B10647" s="7" t="n">
        <v>10645</v>
      </c>
      <c r="C10647" t="inlineStr">
        <is>
          <t>THỦ KHO SẢN XUẤT</t>
        </is>
      </c>
      <c r="D10647" t="inlineStr">
        <is>
          <t>CÔNG TY TNHH TÔN PHÚC NHIÊN</t>
        </is>
      </c>
      <c r="E10647" t="inlineStr">
        <is>
          <t>Lương:Cạnh tranh</t>
        </is>
      </c>
      <c r="F10647" t="inlineStr">
        <is>
          <t>Hồ Chí Minh</t>
        </is>
      </c>
      <c r="G10647" t="inlineStr">
        <is>
          <t>09-04-2026</t>
        </is>
      </c>
      <c r="H10647" t="inlineStr">
        <is>
          <t>09/04/2026</t>
        </is>
      </c>
      <c r="I10647" t="inlineStr">
        <is>
          <t>17/03/2026</t>
        </is>
      </c>
      <c r="J10647" t="inlineStr">
        <is>
          <t>Vận chuyển / Giao nhận / Kho vận, Thống kê, Thủy sản / Hải sản</t>
        </is>
      </c>
      <c r="K10647" t="inlineStr">
        <is>
          <t>1 - 2 Năm</t>
        </is>
      </c>
      <c r="L10647" s="8">
        <f>HYPERLINK("https://careerviet.vn/vi/tim-viec-lam/thu-kho-san-xuat.35C6B64C.html","Xem chi tiết")</f>
        <v/>
      </c>
    </row>
    <row r="10648">
      <c r="B10648" s="9" t="n">
        <v>10646</v>
      </c>
      <c r="C10648" s="10" t="inlineStr">
        <is>
          <t>Kế toán kho</t>
        </is>
      </c>
      <c r="D10648" s="10" t="inlineStr">
        <is>
          <t>Công ty Cổ phần Anh Minh Quân</t>
        </is>
      </c>
      <c r="E10648" s="10" t="inlineStr">
        <is>
          <t>Lương:Cạnh tranh</t>
        </is>
      </c>
      <c r="F10648" s="10" t="inlineStr">
        <is>
          <t>Hồ Chí Minh</t>
        </is>
      </c>
      <c r="G10648" s="10" t="inlineStr">
        <is>
          <t>30-04-2026</t>
        </is>
      </c>
      <c r="H10648" s="10" t="inlineStr">
        <is>
          <t>30/04/2026</t>
        </is>
      </c>
      <c r="I10648" s="10" t="inlineStr">
        <is>
          <t>17/03/2026</t>
        </is>
      </c>
      <c r="J10648" s="10" t="inlineStr">
        <is>
          <t>Kế toán / Kiểm toán, Thu mua / Vật tư, Thực phẩm &amp; Đồ uống</t>
        </is>
      </c>
      <c r="K10648" s="10" t="inlineStr">
        <is>
          <t>3 - 5 Năm</t>
        </is>
      </c>
      <c r="L10648" s="11">
        <f>HYPERLINK("https://careerviet.vn/vi/tim-viec-lam/ke-toan-kho.35C6B63F.html","Xem chi tiết")</f>
        <v/>
      </c>
      <c r="M10648" s="10" t="n"/>
    </row>
    <row r="10649">
      <c r="B10649" s="7" t="n">
        <v>10647</v>
      </c>
      <c r="C10649" t="inlineStr">
        <is>
          <t>SQE Technician - Kỹ thuật viên chất lượng (Thu Dau Mot, Binh Duong)</t>
        </is>
      </c>
      <c r="D10649" t="inlineStr">
        <is>
          <t>Techtronic Industries Vietnam Manufacturing Company Limited</t>
        </is>
      </c>
      <c r="E10649" t="inlineStr">
        <is>
          <t>Lương:Cạnh tranh</t>
        </is>
      </c>
      <c r="F10649" t="inlineStr">
        <is>
          <t>Bình Dương</t>
        </is>
      </c>
      <c r="G10649" t="inlineStr">
        <is>
          <t>30-05-2026</t>
        </is>
      </c>
      <c r="H10649" t="inlineStr">
        <is>
          <t>30/05/2026</t>
        </is>
      </c>
      <c r="I10649" t="inlineStr">
        <is>
          <t>17/03/2026</t>
        </is>
      </c>
      <c r="J10649" t="inlineStr">
        <is>
          <t>Sản xuất / Vận hành sản xuất, Quản lý chất lượng (QA/QC), Điện / Điện tử / Điện lạnh / Điện công nghiệp</t>
        </is>
      </c>
      <c r="K10649" t="inlineStr">
        <is>
          <t>Trên 2 Năm</t>
        </is>
      </c>
      <c r="L10649" s="8">
        <f>HYPERLINK("https://careerviet.vn/vi/tim-viec-lam/sqe-technician-ky-thuat-vien-chat-luong-thu-dau-mot-binh-duong.35C6B60F.html","Xem chi tiết")</f>
        <v/>
      </c>
    </row>
    <row r="10650">
      <c r="B10650" s="9" t="n">
        <v>10648</v>
      </c>
      <c r="C10650" s="10" t="inlineStr">
        <is>
          <t>Tài xế Kinh doanh - TP.Hồ Chí Minh</t>
        </is>
      </c>
      <c r="D10650" s="10" t="inlineStr">
        <is>
          <t>Cty TNHH Yakult Việt Nam</t>
        </is>
      </c>
      <c r="E10650" s="10" t="inlineStr">
        <is>
          <t>Lương:10 Tr - 14 Tr VND</t>
        </is>
      </c>
      <c r="F10650" s="10" t="inlineStr">
        <is>
          <t>Hồ Chí Minh</t>
        </is>
      </c>
      <c r="G10650" s="10" t="inlineStr">
        <is>
          <t>04-04-2026</t>
        </is>
      </c>
      <c r="H10650" s="10" t="inlineStr">
        <is>
          <t>04/04/2026</t>
        </is>
      </c>
      <c r="I10650" s="10" t="inlineStr">
        <is>
          <t>17/03/2026</t>
        </is>
      </c>
      <c r="J10650" s="10" t="inlineStr">
        <is>
          <t>Bán hàng / Kinh doanh, Vận chuyển / Giao nhận / Kho vận, Lao động phổ thông</t>
        </is>
      </c>
      <c r="K10650" s="10" t="inlineStr">
        <is>
          <t>N/A</t>
        </is>
      </c>
      <c r="L10650" s="11">
        <f>HYPERLINK("https://careerviet.vn/vi/tim-viec-lam/tai-xe-kinh-doanh-tp-ho-chi-minh.35C6ADE4.html","Xem chi tiết")</f>
        <v/>
      </c>
      <c r="M10650" s="10" t="n"/>
    </row>
    <row r="10651">
      <c r="B10651" s="7" t="n">
        <v>10649</v>
      </c>
      <c r="C10651" t="inlineStr">
        <is>
          <t>Trưởng phòng Thiết kế kiến trúc nội thất</t>
        </is>
      </c>
      <c r="D10651" t="inlineStr">
        <is>
          <t>CÔNG TY CỔ PHẦN ABT HOMES</t>
        </is>
      </c>
      <c r="E10651" t="inlineStr">
        <is>
          <t>Lương:22 Tr - 35 Tr VND</t>
        </is>
      </c>
      <c r="F10651" t="inlineStr">
        <is>
          <t>Hà Nội</t>
        </is>
      </c>
      <c r="G10651" t="inlineStr">
        <is>
          <t>11-04-2026</t>
        </is>
      </c>
      <c r="H10651" t="inlineStr">
        <is>
          <t>11/04/2026</t>
        </is>
      </c>
      <c r="I10651" t="inlineStr">
        <is>
          <t>17/03/2026</t>
        </is>
      </c>
      <c r="J10651" t="inlineStr">
        <is>
          <t>Kiến trúc</t>
        </is>
      </c>
      <c r="K10651" t="inlineStr">
        <is>
          <t>2 - 5 Năm</t>
        </is>
      </c>
      <c r="L10651" s="8">
        <f>HYPERLINK("https://careerviet.vn/vi/tim-viec-lam/truong-phong-thiet-ke-kien-truc-noi-that.35C6BE7D.html","Xem chi tiết")</f>
        <v/>
      </c>
    </row>
    <row r="10652">
      <c r="B10652" s="9" t="n">
        <v>10650</v>
      </c>
      <c r="C10652" s="10" t="inlineStr">
        <is>
          <t>GIÁM ĐỐC DỰ ÁN - XÂY DỰNG</t>
        </is>
      </c>
      <c r="D10652" s="10" t="inlineStr">
        <is>
          <t>Công Ty Cổ Phần Tập đoàn Xây dựng Thành Đô</t>
        </is>
      </c>
      <c r="E10652" s="10" t="inlineStr">
        <is>
          <t>Lương:Cạnh tranh</t>
        </is>
      </c>
      <c r="F10652" s="10" t="inlineStr">
        <is>
          <t>Vĩnh Long</t>
        </is>
      </c>
      <c r="G10652" s="10" t="inlineStr">
        <is>
          <t>11-04-2026</t>
        </is>
      </c>
      <c r="H10652" s="10" t="inlineStr">
        <is>
          <t>11/04/2026</t>
        </is>
      </c>
      <c r="I10652" s="10" t="inlineStr">
        <is>
          <t>17/03/2026</t>
        </is>
      </c>
      <c r="J10652" s="10" t="inlineStr">
        <is>
          <t>Kiến trúc, Xây dựng, Bất động sản</t>
        </is>
      </c>
      <c r="K10652" s="10" t="inlineStr">
        <is>
          <t>Trên 5 Năm</t>
        </is>
      </c>
      <c r="L10652" s="11">
        <f>HYPERLINK("https://careerviet.vn/vi/tim-viec-lam/giam-doc-du-an-xay-dung.35C6B5DC.html","Xem chi tiết")</f>
        <v/>
      </c>
      <c r="M10652" s="10" t="n"/>
    </row>
    <row r="10653">
      <c r="B10653" s="7" t="n">
        <v>10651</v>
      </c>
      <c r="C10653" t="inlineStr">
        <is>
          <t>NHÂN VIÊN KHO TẠI CẦN THƠ ( 7-9 TRIỆU)</t>
        </is>
      </c>
      <c r="D10653" t="inlineStr">
        <is>
          <t>CÔNG TY CỔ PHẦN TẬP ĐOÀN DEKKO</t>
        </is>
      </c>
      <c r="E10653" t="inlineStr">
        <is>
          <t>Lương:7 Tr - 9 Tr VND</t>
        </is>
      </c>
      <c r="F10653" t="inlineStr">
        <is>
          <t>Cần Thơ</t>
        </is>
      </c>
      <c r="G10653" t="inlineStr">
        <is>
          <t>31-03-2026</t>
        </is>
      </c>
      <c r="H10653" t="inlineStr">
        <is>
          <t>31/03/2026</t>
        </is>
      </c>
      <c r="I10653" t="inlineStr">
        <is>
          <t>17/03/2026</t>
        </is>
      </c>
      <c r="J10653" t="inlineStr">
        <is>
          <t>Vận chuyển / Giao nhận / Kho vận</t>
        </is>
      </c>
      <c r="K10653" t="inlineStr">
        <is>
          <t>1 - 2 Năm</t>
        </is>
      </c>
      <c r="L10653" s="8">
        <f>HYPERLINK("https://careerviet.vn/vi/tim-viec-lam/nhan-vien-kho-tai-can-tho-7-9-trieu.35C6B5B3.html","Xem chi tiết")</f>
        <v/>
      </c>
    </row>
    <row r="10654">
      <c r="B10654" s="9" t="n">
        <v>10652</v>
      </c>
      <c r="C10654" s="10" t="inlineStr">
        <is>
          <t>Nhân Viên Kế Toán</t>
        </is>
      </c>
      <c r="D10654" s="10" t="inlineStr">
        <is>
          <t>Công Ty TNHH Quốc Tế Chutex</t>
        </is>
      </c>
      <c r="E10654" s="10" t="inlineStr">
        <is>
          <t>Lương:Cạnh tranh</t>
        </is>
      </c>
      <c r="F10654" s="10" t="inlineStr">
        <is>
          <t>Bình Dương</t>
        </is>
      </c>
      <c r="G10654" s="10" t="inlineStr">
        <is>
          <t>12-04-2026</t>
        </is>
      </c>
      <c r="H10654" s="10" t="inlineStr">
        <is>
          <t>12/04/2026</t>
        </is>
      </c>
      <c r="I10654" s="10" t="inlineStr">
        <is>
          <t>17/03/2026</t>
        </is>
      </c>
      <c r="J10654" s="10" t="inlineStr">
        <is>
          <t>Kế toán / Kiểm toán, Tài chính / Đầu tư</t>
        </is>
      </c>
      <c r="K10654" s="10" t="inlineStr">
        <is>
          <t>2 - 3 Năm</t>
        </is>
      </c>
      <c r="L10654" s="11">
        <f>HYPERLINK("https://careerviet.vn/vi/tim-viec-lam/nhan-vien-ke-toan.35C6C8AE.html","Xem chi tiết")</f>
        <v/>
      </c>
      <c r="M10654" s="10" t="n"/>
    </row>
    <row r="10655">
      <c r="B10655" s="7" t="n">
        <v>10653</v>
      </c>
      <c r="C10655" t="inlineStr">
        <is>
          <t>Trưởng phòng nhân sự</t>
        </is>
      </c>
      <c r="D10655" t="inlineStr">
        <is>
          <t>Công Ty Cổ Phần Gỗ An Cường</t>
        </is>
      </c>
      <c r="E10655" t="inlineStr">
        <is>
          <t>Lương:1.500 - 2.500 USD</t>
        </is>
      </c>
      <c r="F10655" t="inlineStr">
        <is>
          <t>Hồ Chí Minh</t>
        </is>
      </c>
      <c r="G10655" t="inlineStr">
        <is>
          <t>13-04-2026</t>
        </is>
      </c>
      <c r="H10655" t="inlineStr">
        <is>
          <t>13/04/2026</t>
        </is>
      </c>
      <c r="I10655" t="inlineStr">
        <is>
          <t>17/03/2026</t>
        </is>
      </c>
      <c r="J10655" t="inlineStr">
        <is>
          <t>Nhân sự, Hành chính / Thư ký, Quản lý điều hành</t>
        </is>
      </c>
      <c r="K10655" t="inlineStr">
        <is>
          <t>5 - 6 Năm</t>
        </is>
      </c>
      <c r="L10655" s="8">
        <f>HYPERLINK("https://careerviet.vn/vi/tim-viec-lam/truong-phong-nhan-su.35C6C8B6.html","Xem chi tiết")</f>
        <v/>
      </c>
    </row>
    <row r="10656">
      <c r="B10656" s="9" t="n">
        <v>10654</v>
      </c>
      <c r="C10656" s="10" t="inlineStr">
        <is>
          <t>Cộng tác viên Bồi Thường Con Người</t>
        </is>
      </c>
      <c r="D10656" s="10" t="inlineStr">
        <is>
          <t>Tổng Công ty Cổ phần Bảo hiểm Ngân hàng Đầu tư và Phát triển Việt Nam (BIC)</t>
        </is>
      </c>
      <c r="E10656" s="10" t="inlineStr">
        <is>
          <t>Lương:2 Tr - 5 Tr VND</t>
        </is>
      </c>
      <c r="F10656" s="10" t="inlineStr">
        <is>
          <t>Hà Nội</t>
        </is>
      </c>
      <c r="G10656" s="10" t="inlineStr">
        <is>
          <t>11-04-2026</t>
        </is>
      </c>
      <c r="H10656" s="10" t="inlineStr">
        <is>
          <t>11/04/2026</t>
        </is>
      </c>
      <c r="I10656" s="10" t="inlineStr">
        <is>
          <t>17/03/2026</t>
        </is>
      </c>
      <c r="J10656" s="10" t="inlineStr">
        <is>
          <t>Bảo hiểm</t>
        </is>
      </c>
      <c r="K10656" s="10" t="inlineStr">
        <is>
          <t>N/A</t>
        </is>
      </c>
      <c r="L10656" s="11">
        <f>HYPERLINK("https://careerviet.vn/vi/tim-viec-lam/cong-tac-vien-boi-thuong-con-nguoi.35C6C8B5.html","Xem chi tiết")</f>
        <v/>
      </c>
      <c r="M10656" s="10" t="n"/>
    </row>
    <row r="10657">
      <c r="B10657" s="7" t="n">
        <v>10655</v>
      </c>
      <c r="C10657" t="inlineStr">
        <is>
          <t>Cán Bộ Giám Sát An Toàn Lao Động - HSE</t>
        </is>
      </c>
      <c r="D10657" t="inlineStr">
        <is>
          <t>CÔNG TY CỔ PHẦN ĐẦU TƯ DANCO</t>
        </is>
      </c>
      <c r="E10657" t="inlineStr">
        <is>
          <t>Lương:30 Tr - 35 Tr VND</t>
        </is>
      </c>
      <c r="F10657" t="inlineStr">
        <is>
          <t>Hà Nội</t>
        </is>
      </c>
      <c r="G10657" t="inlineStr">
        <is>
          <t>14-05-2026</t>
        </is>
      </c>
      <c r="H10657" t="inlineStr">
        <is>
          <t>14/05/2026</t>
        </is>
      </c>
      <c r="I10657" t="inlineStr">
        <is>
          <t>17/03/2026</t>
        </is>
      </c>
      <c r="J10657" t="inlineStr">
        <is>
          <t>Kiến trúc, Xây dựng, An toàn lao động</t>
        </is>
      </c>
      <c r="K10657" t="inlineStr">
        <is>
          <t>3 - 5 Năm</t>
        </is>
      </c>
      <c r="L10657" s="8">
        <f>HYPERLINK("https://careerviet.vn/vi/tim-viec-lam/can-bo-giam-sat-an-toan-lao-dong-hse.35C6C8AF.html","Xem chi tiết")</f>
        <v/>
      </c>
    </row>
    <row r="10658">
      <c r="B10658" s="9" t="n">
        <v>10656</v>
      </c>
      <c r="C10658" s="10" t="inlineStr">
        <is>
          <t>Nhân Viên Quản Lý Dự Án</t>
        </is>
      </c>
      <c r="D10658" s="10" t="inlineStr">
        <is>
          <t>CÔNG TY TNHH TƯ VẤN XÂY DỰNG CHUẨN VIỆT</t>
        </is>
      </c>
      <c r="E10658" s="10" t="inlineStr">
        <is>
          <t>Lương:Cạnh tranh</t>
        </is>
      </c>
      <c r="F10658" s="10" t="inlineStr">
        <is>
          <t>Hồ Chí Minh</t>
        </is>
      </c>
      <c r="G10658" s="10" t="inlineStr">
        <is>
          <t>13-04-2026</t>
        </is>
      </c>
      <c r="H10658" s="10" t="inlineStr">
        <is>
          <t>13/04/2026</t>
        </is>
      </c>
      <c r="I10658" s="10" t="inlineStr">
        <is>
          <t>17/03/2026</t>
        </is>
      </c>
      <c r="J10658" s="10" t="inlineStr">
        <is>
          <t>Xây dựng, Quản lý chất lượng (QA/QC), Mới tốt nghiệp / Thực tập</t>
        </is>
      </c>
      <c r="K10658" s="10" t="inlineStr">
        <is>
          <t>Lên đến 2 Năm</t>
        </is>
      </c>
      <c r="L10658" s="11">
        <f>HYPERLINK("https://careerviet.vn/vi/tim-viec-lam/nhan-vien-quan-ly-du-an.35C6C886.html","Xem chi tiết")</f>
        <v/>
      </c>
      <c r="M10658" s="10" t="n"/>
    </row>
    <row r="10659">
      <c r="B10659" s="7" t="n">
        <v>10657</v>
      </c>
      <c r="C10659" t="inlineStr">
        <is>
          <t>Nhân Viên Admin</t>
        </is>
      </c>
      <c r="D10659" t="inlineStr">
        <is>
          <t>CÔNG TY CỔ PHẦN TOPPION HOLDINGS</t>
        </is>
      </c>
      <c r="E10659" t="inlineStr">
        <is>
          <t>Lương:10 Tr - 20 Tr VND</t>
        </is>
      </c>
      <c r="F10659" t="inlineStr">
        <is>
          <t>Hồ Chí Minh</t>
        </is>
      </c>
      <c r="G10659" t="inlineStr">
        <is>
          <t>13-04-2026</t>
        </is>
      </c>
      <c r="H10659" t="inlineStr">
        <is>
          <t>13/04/2026</t>
        </is>
      </c>
      <c r="I10659" t="inlineStr">
        <is>
          <t>17/03/2026</t>
        </is>
      </c>
      <c r="J10659" t="inlineStr">
        <is>
          <t>Hành chính / Thư ký, Giáo dục / Đào tạo, Bán hàng / Kinh doanh</t>
        </is>
      </c>
      <c r="K10659" t="inlineStr">
        <is>
          <t>Trên 1 Năm</t>
        </is>
      </c>
      <c r="L10659" s="8">
        <f>HYPERLINK("https://careerviet.vn/vi/tim-viec-lam/nhan-vien-admin.35C6C87D.html","Xem chi tiết")</f>
        <v/>
      </c>
    </row>
    <row r="10660">
      <c r="B10660" s="9" t="n">
        <v>10658</v>
      </c>
      <c r="C10660" s="10" t="inlineStr">
        <is>
          <t>Trưởng bộ phận Tuyển dụng</t>
        </is>
      </c>
      <c r="D10660" s="10" t="inlineStr">
        <is>
          <t>Công Ty Cổ Phần Dịch Vụ Bất Động Sản Danh Khôi</t>
        </is>
      </c>
      <c r="E10660" s="10" t="inlineStr">
        <is>
          <t>Lương:Cạnh tranh</t>
        </is>
      </c>
      <c r="F10660" s="10" t="inlineStr">
        <is>
          <t>Hồ Chí Minh</t>
        </is>
      </c>
      <c r="G10660" s="10" t="inlineStr">
        <is>
          <t>13-04-2026</t>
        </is>
      </c>
      <c r="H10660" s="10" t="inlineStr">
        <is>
          <t>13/04/2026</t>
        </is>
      </c>
      <c r="I10660" s="10" t="inlineStr">
        <is>
          <t>17/03/2026</t>
        </is>
      </c>
      <c r="J10660" s="10" t="inlineStr">
        <is>
          <t>Nhân sự</t>
        </is>
      </c>
      <c r="K10660" s="10" t="inlineStr">
        <is>
          <t>2 - 3 Năm</t>
        </is>
      </c>
      <c r="L10660" s="11">
        <f>HYPERLINK("https://careerviet.vn/vi/tim-viec-lam/truong-bo-phan-tuyen-dung.35C6C8B2.html","Xem chi tiết")</f>
        <v/>
      </c>
      <c r="M10660" s="10" t="n"/>
    </row>
    <row r="10661">
      <c r="B10661" s="7" t="n">
        <v>10659</v>
      </c>
      <c r="C10661" t="inlineStr">
        <is>
          <t>Chuyên viên Event Marketing</t>
        </is>
      </c>
      <c r="D10661" t="inlineStr">
        <is>
          <t>Công Ty Cổ Phần Đông Tây Land</t>
        </is>
      </c>
      <c r="E10661" t="inlineStr">
        <is>
          <t>Lương:12 Tr - 17 Tr VND</t>
        </is>
      </c>
      <c r="F10661" t="inlineStr">
        <is>
          <t>Hồ Chí Minh</t>
        </is>
      </c>
      <c r="G10661" t="inlineStr">
        <is>
          <t>13-04-2026</t>
        </is>
      </c>
      <c r="H10661" t="inlineStr">
        <is>
          <t>13/04/2026</t>
        </is>
      </c>
      <c r="I10661" t="inlineStr">
        <is>
          <t>17/03/2026</t>
        </is>
      </c>
      <c r="J10661" t="inlineStr">
        <is>
          <t>Tiếp thị / Marketing, Bất động sản, Tổ chức sự kiện</t>
        </is>
      </c>
      <c r="K10661" t="inlineStr">
        <is>
          <t>2 - 3 Năm</t>
        </is>
      </c>
      <c r="L10661" s="8">
        <f>HYPERLINK("https://careerviet.vn/vi/tim-viec-lam/chuyen-vien-event-marketing.35C62C05.html","Xem chi tiết")</f>
        <v/>
      </c>
    </row>
    <row r="10662">
      <c r="B10662" s="9" t="n">
        <v>10660</v>
      </c>
      <c r="C10662" s="10" t="inlineStr">
        <is>
          <t>Graphics Designer / Thiết Kế Đồ Họa</t>
        </is>
      </c>
      <c r="D10662" s="10" t="inlineStr">
        <is>
          <t>Công Ty TNHH JIGSAW</t>
        </is>
      </c>
      <c r="E10662" s="10" t="inlineStr">
        <is>
          <t>Lương:Cạnh tranh</t>
        </is>
      </c>
      <c r="F10662" s="10" t="inlineStr">
        <is>
          <t>Hồ Chí Minh</t>
        </is>
      </c>
      <c r="G10662" s="10" t="inlineStr">
        <is>
          <t>13-04-2026</t>
        </is>
      </c>
      <c r="H10662" s="10" t="inlineStr">
        <is>
          <t>13/04/2026</t>
        </is>
      </c>
      <c r="I10662" s="10" t="inlineStr">
        <is>
          <t>17/03/2026</t>
        </is>
      </c>
      <c r="J10662" s="10" t="inlineStr">
        <is>
          <t>Mỹ thuật / Nghệ thuật / Thiết kế, Quảng cáo / Đối ngoại / Truyền Thông, Tổ chức sự kiện</t>
        </is>
      </c>
      <c r="K10662" s="10" t="inlineStr">
        <is>
          <t>2 - 3 Năm</t>
        </is>
      </c>
      <c r="L10662" s="11">
        <f>HYPERLINK("https://careerviet.vn/vi/tim-viec-lam/graphics-designer-thiet-ke-do-hoa.35C6C8AD.html","Xem chi tiết")</f>
        <v/>
      </c>
      <c r="M10662" s="10" t="n"/>
    </row>
    <row r="10663">
      <c r="B10663" s="7" t="n">
        <v>10661</v>
      </c>
      <c r="C10663" t="inlineStr">
        <is>
          <t>TRƯỞNG BƯU CỤC BỐ TRẠCH- QUẢNG BÌNH</t>
        </is>
      </c>
      <c r="D10663" t="inlineStr">
        <is>
          <t>Công Ty TNHH BEST Logistics Technology (Việt Nam)</t>
        </is>
      </c>
      <c r="E10663" t="inlineStr">
        <is>
          <t>Lương:10 Tr - 15 Tr VND</t>
        </is>
      </c>
      <c r="F10663" t="inlineStr">
        <is>
          <t>Quảng Bình</t>
        </is>
      </c>
      <c r="G10663" t="inlineStr">
        <is>
          <t>13-04-2026</t>
        </is>
      </c>
      <c r="H10663" t="inlineStr">
        <is>
          <t>13/04/2026</t>
        </is>
      </c>
      <c r="I10663" t="inlineStr">
        <is>
          <t>17/03/2026</t>
        </is>
      </c>
      <c r="J10663" t="inlineStr">
        <is>
          <t>Vận chuyển / Giao nhận / Kho vận, Quản lý điều hành</t>
        </is>
      </c>
      <c r="K10663" t="inlineStr">
        <is>
          <t>1 - 2 Năm</t>
        </is>
      </c>
      <c r="L10663" s="8">
        <f>HYPERLINK("https://careerviet.vn/vi/tim-viec-lam/truong-buu-cuc-bo-trach-quang-binh.35C6C8B3.html","Xem chi tiết")</f>
        <v/>
      </c>
    </row>
    <row r="10664">
      <c r="B10664" s="9" t="n">
        <v>10662</v>
      </c>
      <c r="C10664" s="10" t="inlineStr">
        <is>
          <t>KỸ THUẬT VIÊN  BẢO TRÌ [CỦ CHI]</t>
        </is>
      </c>
      <c r="D10664" s="10" t="inlineStr">
        <is>
          <t>CÔNG TY CP SAIGON AUTO SUPPORTING INDUSTRY</t>
        </is>
      </c>
      <c r="E10664" s="10" t="inlineStr">
        <is>
          <t>Lương:Cạnh tranh</t>
        </is>
      </c>
      <c r="F10664" s="10" t="inlineStr">
        <is>
          <t>Hồ Chí Minh</t>
        </is>
      </c>
      <c r="G10664" s="10" t="inlineStr">
        <is>
          <t>30-04-2026</t>
        </is>
      </c>
      <c r="H10664" s="10" t="inlineStr">
        <is>
          <t>30/04/2026</t>
        </is>
      </c>
      <c r="I10664" s="10" t="inlineStr">
        <is>
          <t>17/03/2026</t>
        </is>
      </c>
      <c r="J10664" s="10" t="inlineStr">
        <is>
          <t>Bảo trì / Sửa chữa, Cơ khí / Ô tô / Tự động hóa</t>
        </is>
      </c>
      <c r="K10664" s="10" t="inlineStr">
        <is>
          <t>N/A</t>
        </is>
      </c>
      <c r="L10664" s="11">
        <f>HYPERLINK("https://careerviet.vn/vi/tim-viec-lam/ky-thuat-vien-bao-tri-cu-chi.35C6C8A2.html","Xem chi tiết")</f>
        <v/>
      </c>
      <c r="M10664" s="10" t="n"/>
    </row>
    <row r="10665">
      <c r="B10665" s="7" t="n">
        <v>10663</v>
      </c>
      <c r="C10665" t="inlineStr">
        <is>
          <t>Kỹ Sư Giám Sát Hiện Trường – Phụ Trách Mảng Xây Dựng Và Hạ Tầng</t>
        </is>
      </c>
      <c r="D10665" t="inlineStr">
        <is>
          <t>CÔNG TY CỔ PHẦN ĐẦU TƯ DANCO</t>
        </is>
      </c>
      <c r="E10665" t="inlineStr">
        <is>
          <t>Lương:28 Tr - 33 Tr VND</t>
        </is>
      </c>
      <c r="F10665" t="inlineStr">
        <is>
          <t>Hà Nội</t>
        </is>
      </c>
      <c r="G10665" t="inlineStr">
        <is>
          <t>31-03-2026</t>
        </is>
      </c>
      <c r="H10665" t="inlineStr">
        <is>
          <t>31/03/2026</t>
        </is>
      </c>
      <c r="I10665" t="inlineStr">
        <is>
          <t>17/03/2026</t>
        </is>
      </c>
      <c r="J10665" t="inlineStr">
        <is>
          <t>Kiến trúc, Xây dựng, Bất động sản</t>
        </is>
      </c>
      <c r="K10665" t="inlineStr">
        <is>
          <t>3 - 5 Năm</t>
        </is>
      </c>
      <c r="L10665" s="8">
        <f>HYPERLINK("https://careerviet.vn/vi/tim-viec-lam/ky-su-giam-sat-hien-truong-phu-trach-mang-xay-dung-va-ha-tang.35C6C8A8.html","Xem chi tiết")</f>
        <v/>
      </c>
    </row>
    <row r="10666">
      <c r="B10666" s="9" t="n">
        <v>10664</v>
      </c>
      <c r="C10666" s="10" t="inlineStr">
        <is>
          <t>KỸ THUẬT SẢN XUẤT [CỦ CHI]</t>
        </is>
      </c>
      <c r="D10666" s="10" t="inlineStr">
        <is>
          <t>CÔNG TY CP SAIGON AUTO SUPPORTING INDUSTRY</t>
        </is>
      </c>
      <c r="E10666" s="10" t="inlineStr">
        <is>
          <t>Lương:Cạnh tranh</t>
        </is>
      </c>
      <c r="F10666" s="10" t="inlineStr">
        <is>
          <t>Hồ Chí Minh</t>
        </is>
      </c>
      <c r="G10666" s="10" t="inlineStr">
        <is>
          <t>30-04-2026</t>
        </is>
      </c>
      <c r="H10666" s="10" t="inlineStr">
        <is>
          <t>30/04/2026</t>
        </is>
      </c>
      <c r="I10666" s="10" t="inlineStr">
        <is>
          <t>17/03/2026</t>
        </is>
      </c>
      <c r="J10666" s="10" t="inlineStr">
        <is>
          <t>Cơ khí / Ô tô / Tự động hóa, Sản xuất / Vận hành sản xuất</t>
        </is>
      </c>
      <c r="K10666" s="10" t="inlineStr">
        <is>
          <t>N/A</t>
        </is>
      </c>
      <c r="L10666" s="11">
        <f>HYPERLINK("https://careerviet.vn/vi/tim-viec-lam/ky-thuat-san-xuat-cu-chi.35C6C8AB.html","Xem chi tiết")</f>
        <v/>
      </c>
      <c r="M10666" s="10" t="n"/>
    </row>
    <row r="10667">
      <c r="B10667" s="7" t="n">
        <v>10665</v>
      </c>
      <c r="C10667" t="inlineStr">
        <is>
          <t>NHÂN VIÊN PHÁT TRIỂN KINH DOANH B2B  [LÀM VIỆC TẠI CỦ CHI]</t>
        </is>
      </c>
      <c r="D10667" t="inlineStr">
        <is>
          <t>CÔNG TY CP SAIGON AUTO SUPPORTING INDUSTRY</t>
        </is>
      </c>
      <c r="E10667" t="inlineStr">
        <is>
          <t>Lương:Cạnh tranh</t>
        </is>
      </c>
      <c r="F10667" t="inlineStr">
        <is>
          <t>Hồ Chí Minh</t>
        </is>
      </c>
      <c r="G10667" t="inlineStr">
        <is>
          <t>20-04-2026</t>
        </is>
      </c>
      <c r="H10667" t="inlineStr">
        <is>
          <t>20/04/2026</t>
        </is>
      </c>
      <c r="I10667" t="inlineStr">
        <is>
          <t>17/03/2026</t>
        </is>
      </c>
      <c r="J10667" t="inlineStr">
        <is>
          <t>Bán hàng / Kinh doanh, Cơ khí / Ô tô / Tự động hóa, Tiếp thị / Marketing</t>
        </is>
      </c>
      <c r="K10667" t="inlineStr">
        <is>
          <t>1 - 2 Năm</t>
        </is>
      </c>
      <c r="L10667" s="8">
        <f>HYPERLINK("https://careerviet.vn/vi/tim-viec-lam/nhan-vien-phat-trien-kinh-doanh-b2b-lam-viec-tai-cu-chi.35C6C89A.html","Xem chi tiết")</f>
        <v/>
      </c>
    </row>
    <row r="10668">
      <c r="B10668" s="9" t="n">
        <v>10666</v>
      </c>
      <c r="C10668" s="10" t="inlineStr">
        <is>
          <t>Cán bộ Ban Khách hàng doanh nghiệp (mảng dự án đấu thầu)</t>
        </is>
      </c>
      <c r="D10668" s="10" t="inlineStr">
        <is>
          <t>Tổng Công ty Cổ phần Bảo hiểm Ngân hàng Đầu tư và Phát triển Việt Nam (BIC)</t>
        </is>
      </c>
      <c r="E10668" s="10" t="inlineStr">
        <is>
          <t>Lương:Cạnh tranh</t>
        </is>
      </c>
      <c r="F10668" s="10" t="inlineStr">
        <is>
          <t>Hà Nội</t>
        </is>
      </c>
      <c r="G10668" s="10" t="inlineStr">
        <is>
          <t>11-04-2026</t>
        </is>
      </c>
      <c r="H10668" s="10" t="inlineStr">
        <is>
          <t>11/04/2026</t>
        </is>
      </c>
      <c r="I10668" s="10" t="inlineStr">
        <is>
          <t>17/03/2026</t>
        </is>
      </c>
      <c r="J10668" s="10" t="inlineStr">
        <is>
          <t>Ngân hàng, Bảo hiểm</t>
        </is>
      </c>
      <c r="K10668" s="10" t="inlineStr">
        <is>
          <t>1 - 3 Năm</t>
        </is>
      </c>
      <c r="L10668" s="11">
        <f>HYPERLINK("https://careerviet.vn/vi/tim-viec-lam/can-bo-ban-khach-hang-doanh-nghiep-mang-du-an-dau-thau.35C6C8B0.html","Xem chi tiết")</f>
        <v/>
      </c>
      <c r="M10668" s="10" t="n"/>
    </row>
    <row r="10669">
      <c r="B10669" s="7" t="n">
        <v>10667</v>
      </c>
      <c r="C10669" t="inlineStr">
        <is>
          <t>NHÂN VIÊN IE (INDUSTRIAL ENGINEERING)</t>
        </is>
      </c>
      <c r="D10669" t="inlineStr">
        <is>
          <t>Công Ty CP Gỗ Minh Dương</t>
        </is>
      </c>
      <c r="E10669" t="inlineStr">
        <is>
          <t>Lương:Cạnh tranh</t>
        </is>
      </c>
      <c r="F10669" t="inlineStr">
        <is>
          <t>Hồ Chí Minh</t>
        </is>
      </c>
      <c r="G10669" t="inlineStr">
        <is>
          <t>13-04-2026</t>
        </is>
      </c>
      <c r="H10669" t="inlineStr">
        <is>
          <t>13/04/2026</t>
        </is>
      </c>
      <c r="I10669" t="inlineStr">
        <is>
          <t>17/03/2026</t>
        </is>
      </c>
      <c r="J10669" t="inlineStr">
        <is>
          <t>Thống kê, Nội ngoại thất, Cơ khí / Ô tô / Tự động hóa</t>
        </is>
      </c>
      <c r="K10669" t="inlineStr">
        <is>
          <t>Trên 1 Năm</t>
        </is>
      </c>
      <c r="L10669" s="8">
        <f>HYPERLINK("https://careerviet.vn/vi/tim-viec-lam/nhan-vien-ie-industrial-engineering.35C6C889.html","Xem chi tiết")</f>
        <v/>
      </c>
    </row>
    <row r="10670">
      <c r="B10670" s="9" t="n">
        <v>10668</v>
      </c>
      <c r="C10670" s="10" t="inlineStr">
        <is>
          <t>KTV Kiểm soát chất lượng trên dây chuyền - QC Line</t>
        </is>
      </c>
      <c r="D10670" s="10" t="inlineStr">
        <is>
          <t>Công Ty TNHH Red Bull (Việt Nam)</t>
        </is>
      </c>
      <c r="E10670" s="10" t="inlineStr">
        <is>
          <t>Lương:Cạnh tranh</t>
        </is>
      </c>
      <c r="F10670" s="10" t="inlineStr">
        <is>
          <t>Bình DươngĐồng NaiHồ Chí Minh</t>
        </is>
      </c>
      <c r="G10670" s="10" t="inlineStr">
        <is>
          <t>13-04-2026</t>
        </is>
      </c>
      <c r="H10670" s="10" t="inlineStr">
        <is>
          <t>13/04/2026</t>
        </is>
      </c>
      <c r="I10670" s="10" t="inlineStr">
        <is>
          <t>17/03/2026</t>
        </is>
      </c>
      <c r="J10670" s="10" t="inlineStr">
        <is>
          <t>Công nghệ thực phẩm / Dinh dưỡng, Công nghệ sinh học, Hóa học</t>
        </is>
      </c>
      <c r="K10670" s="10" t="inlineStr">
        <is>
          <t>Lên đến 1 Năm</t>
        </is>
      </c>
      <c r="L10670" s="11">
        <f>HYPERLINK("https://careerviet.vn/vi/tim-viec-lam/ktv-kiem-soat-chat-luong-tren-day-chuyen-qc-line.35C6C895.html","Xem chi tiết")</f>
        <v/>
      </c>
      <c r="M10670" s="10" t="n"/>
    </row>
    <row r="10671">
      <c r="B10671" s="7" t="n">
        <v>10669</v>
      </c>
      <c r="C10671" t="inlineStr">
        <is>
          <t>KỸ SƯ THIẾT KẾ KHUÔN CƠ KHÍ  [CỦ CHI]</t>
        </is>
      </c>
      <c r="D10671" t="inlineStr">
        <is>
          <t>CÔNG TY CP SAIGON AUTO SUPPORTING INDUSTRY</t>
        </is>
      </c>
      <c r="E10671" t="inlineStr">
        <is>
          <t>Lương:Cạnh tranh</t>
        </is>
      </c>
      <c r="F10671" t="inlineStr">
        <is>
          <t>Hồ Chí Minh</t>
        </is>
      </c>
      <c r="G10671" t="inlineStr">
        <is>
          <t>30-04-2026</t>
        </is>
      </c>
      <c r="H10671" t="inlineStr">
        <is>
          <t>30/04/2026</t>
        </is>
      </c>
      <c r="I10671" t="inlineStr">
        <is>
          <t>17/03/2026</t>
        </is>
      </c>
      <c r="J10671" t="inlineStr">
        <is>
          <t>Cơ khí / Ô tô / Tự động hóa, Sản xuất / Vận hành sản xuất</t>
        </is>
      </c>
      <c r="K10671" t="inlineStr">
        <is>
          <t>N/A</t>
        </is>
      </c>
      <c r="L10671" s="8">
        <f>HYPERLINK("https://careerviet.vn/vi/tim-viec-lam/ky-su-thiet-ke-khuon-co-khi-cu-chi.35C6C8A9.html","Xem chi tiết")</f>
        <v/>
      </c>
    </row>
    <row r="10672">
      <c r="B10672" s="9" t="n">
        <v>10670</v>
      </c>
      <c r="C10672" s="10" t="inlineStr">
        <is>
          <t>Chuyên Viên Quản Lý Khách Hàng  Ưu Tiên</t>
        </is>
      </c>
      <c r="D10672" s="10" t="inlineStr">
        <is>
          <t>CÔNG TY CỔ PHẦN CHỨNG KHOÁN ASEAN</t>
        </is>
      </c>
      <c r="E10672" s="10" t="inlineStr">
        <is>
          <t>Lương:Cạnh tranh</t>
        </is>
      </c>
      <c r="F10672" s="10" t="inlineStr">
        <is>
          <t>Hà Nội</t>
        </is>
      </c>
      <c r="G10672" s="10" t="inlineStr">
        <is>
          <t>30-04-2026</t>
        </is>
      </c>
      <c r="H10672" s="10" t="inlineStr">
        <is>
          <t>30/04/2026</t>
        </is>
      </c>
      <c r="I10672" s="10" t="inlineStr">
        <is>
          <t>17/03/2026</t>
        </is>
      </c>
      <c r="J10672" s="10" t="inlineStr">
        <is>
          <t>Dịch vụ khách hàng, Chứng khoán, Tài chính / Đầu tư</t>
        </is>
      </c>
      <c r="K10672" s="10" t="inlineStr">
        <is>
          <t>1 - 2 Năm</t>
        </is>
      </c>
      <c r="L10672" s="11">
        <f>HYPERLINK("https://careerviet.vn/vi/tim-viec-lam/chuyen-vien-quan-ly-khach-hang-uu-tien.35C6C897.html","Xem chi tiết")</f>
        <v/>
      </c>
      <c r="M10672" s="10" t="n"/>
    </row>
    <row r="10673">
      <c r="B10673" s="7" t="n">
        <v>10671</v>
      </c>
      <c r="C10673" t="inlineStr">
        <is>
          <t>[HCM] Chuyên gia cố vấn quản lý sử dụng kháng sinh</t>
        </is>
      </c>
      <c r="D10673" t="inlineStr">
        <is>
          <t>The University of Sydney Vietnam Institute</t>
        </is>
      </c>
      <c r="E10673" t="inlineStr">
        <is>
          <t>Lương:Cạnh tranh</t>
        </is>
      </c>
      <c r="F10673" t="inlineStr">
        <is>
          <t>Hồ Chí Minh</t>
        </is>
      </c>
      <c r="G10673" t="inlineStr">
        <is>
          <t>12-04-2026</t>
        </is>
      </c>
      <c r="H10673" t="inlineStr">
        <is>
          <t>12/04/2026</t>
        </is>
      </c>
      <c r="I10673" t="inlineStr">
        <is>
          <t>17/03/2026</t>
        </is>
      </c>
      <c r="J10673" t="inlineStr">
        <is>
          <t>Y tế / Chăm sóc sức khỏe / Thẩm mỹ / Làm đẹp</t>
        </is>
      </c>
      <c r="K10673" t="inlineStr">
        <is>
          <t>Trên 10 Năm</t>
        </is>
      </c>
      <c r="L10673" s="8">
        <f>HYPERLINK("https://careerviet.vn/vi/tim-viec-lam/hcm-chuyen-gia-co-van-quan-ly-su-dung-khang-sinh.35C6C650.html","Xem chi tiết")</f>
        <v/>
      </c>
    </row>
    <row r="10674">
      <c r="B10674" s="9" t="n">
        <v>10672</v>
      </c>
      <c r="C10674" s="10" t="inlineStr">
        <is>
          <t>Nhân viên kế hoạch/nhân viên Master</t>
        </is>
      </c>
      <c r="D10674" s="10" t="inlineStr">
        <is>
          <t>Công Ty TNHH Coronet Việt Nam</t>
        </is>
      </c>
      <c r="E10674" s="10" t="inlineStr">
        <is>
          <t>Lương:Cạnh tranh</t>
        </is>
      </c>
      <c r="F10674" s="10" t="inlineStr">
        <is>
          <t>Bến Tre</t>
        </is>
      </c>
      <c r="G10674" s="10" t="inlineStr">
        <is>
          <t>31-03-2026</t>
        </is>
      </c>
      <c r="H10674" s="10" t="inlineStr">
        <is>
          <t>31/03/2026</t>
        </is>
      </c>
      <c r="I10674" s="10" t="inlineStr">
        <is>
          <t>17/03/2026</t>
        </is>
      </c>
      <c r="J10674" s="10" t="inlineStr">
        <is>
          <t>Dệt may / Da giày / Thời trang, Thống kê</t>
        </is>
      </c>
      <c r="K10674" s="10" t="inlineStr">
        <is>
          <t>1 - 2 Năm</t>
        </is>
      </c>
      <c r="L10674" s="11">
        <f>HYPERLINK("https://careerviet.vn/vi/tim-viec-lam/nhan-vien-ke-hoach-nhan-vien-master.35C6BD80.html","Xem chi tiết")</f>
        <v/>
      </c>
      <c r="M10674" s="10" t="n"/>
    </row>
    <row r="10675">
      <c r="B10675" s="7" t="n">
        <v>10673</v>
      </c>
      <c r="C10675" t="inlineStr">
        <is>
          <t>CHUYÊN VIÊN PHÁT TRIỂN NHÀ CUNG CẤP  [CƠ KHÍ -  CỦ CHI]</t>
        </is>
      </c>
      <c r="D10675" t="inlineStr">
        <is>
          <t>CÔNG TY CP SAIGON AUTO SUPPORTING INDUSTRY</t>
        </is>
      </c>
      <c r="E10675" t="inlineStr">
        <is>
          <t>Lương:Cạnh tranh</t>
        </is>
      </c>
      <c r="F10675" t="inlineStr">
        <is>
          <t>Hồ Chí Minh</t>
        </is>
      </c>
      <c r="G10675" t="inlineStr">
        <is>
          <t>20-04-2026</t>
        </is>
      </c>
      <c r="H10675" t="inlineStr">
        <is>
          <t>20/04/2026</t>
        </is>
      </c>
      <c r="I10675" t="inlineStr">
        <is>
          <t>17/03/2026</t>
        </is>
      </c>
      <c r="J10675" t="inlineStr">
        <is>
          <t>Cơ khí / Ô tô / Tự động hóa, Thu mua / Vật tư, Bán Hàng Kỹ Thuật</t>
        </is>
      </c>
      <c r="K10675" t="inlineStr">
        <is>
          <t>3 - 10 Năm</t>
        </is>
      </c>
      <c r="L10675" s="8">
        <f>HYPERLINK("https://careerviet.vn/vi/tim-viec-lam/chuyen-vien-phat-trien-nha-cung-cap-co-khi-cu-chi.35C6C89E.html","Xem chi tiết")</f>
        <v/>
      </c>
    </row>
    <row r="10676">
      <c r="B10676" s="9" t="n">
        <v>10674</v>
      </c>
      <c r="C10676" s="10" t="inlineStr">
        <is>
          <t>Chuyên Viên Thiết Kế</t>
        </is>
      </c>
      <c r="D10676" s="10" t="inlineStr">
        <is>
          <t>CÔNG TY CỔ PHẦN TẬP ĐOÀN PC1</t>
        </is>
      </c>
      <c r="E10676" s="10" t="inlineStr">
        <is>
          <t>Lương:Cạnh tranh</t>
        </is>
      </c>
      <c r="F10676" s="10" t="inlineStr">
        <is>
          <t>Hà Nội</t>
        </is>
      </c>
      <c r="G10676" s="10" t="inlineStr">
        <is>
          <t>13-04-2026</t>
        </is>
      </c>
      <c r="H10676" s="10" t="inlineStr">
        <is>
          <t>13/04/2026</t>
        </is>
      </c>
      <c r="I10676" s="10" t="inlineStr">
        <is>
          <t>17/03/2026</t>
        </is>
      </c>
      <c r="J10676" s="10" t="inlineStr">
        <is>
          <t>Mỹ thuật / Nghệ thuật / Thiết kế, Xây dựng, Kiến trúc</t>
        </is>
      </c>
      <c r="K10676" s="10" t="inlineStr">
        <is>
          <t>5 - 10 Năm</t>
        </is>
      </c>
      <c r="L10676" s="11">
        <f>HYPERLINK("https://careerviet.vn/vi/tim-viec-lam/chuyen-vien-thiet-ke.35C6C827.html","Xem chi tiết")</f>
        <v/>
      </c>
      <c r="M10676" s="10" t="n"/>
    </row>
    <row r="10677">
      <c r="B10677" s="7" t="n">
        <v>10675</v>
      </c>
      <c r="C10677" t="inlineStr">
        <is>
          <t>KỸ SƯ XÂY DỰNG – CÔNG TRÌNH NĂNG LƯỢNG TÁI TẠO</t>
        </is>
      </c>
      <c r="D10677" t="inlineStr">
        <is>
          <t>Công ty cổ phần Tập đoàn Tài Tâm (Tài Tâm Group)</t>
        </is>
      </c>
      <c r="E10677" t="inlineStr">
        <is>
          <t>Lương:20 Tr - 28 Tr VND</t>
        </is>
      </c>
      <c r="F10677" t="inlineStr">
        <is>
          <t>Hà Nội</t>
        </is>
      </c>
      <c r="G10677" t="inlineStr">
        <is>
          <t>12-04-2026</t>
        </is>
      </c>
      <c r="H10677" t="inlineStr">
        <is>
          <t>12/04/2026</t>
        </is>
      </c>
      <c r="I10677" t="inlineStr">
        <is>
          <t>17/03/2026</t>
        </is>
      </c>
      <c r="J10677" t="inlineStr">
        <is>
          <t>Xây dựng, Bất động sản, Ngành khác</t>
        </is>
      </c>
      <c r="K10677" t="inlineStr">
        <is>
          <t>3 - 5 Năm</t>
        </is>
      </c>
      <c r="L10677" s="8">
        <f>HYPERLINK("https://careerviet.vn/vi/tim-viec-lam/ky-su-xay-dung-cong-trinh-nang-luong-tai-tao.35C6C89F.html","Xem chi tiết")</f>
        <v/>
      </c>
    </row>
    <row r="10678">
      <c r="B10678" s="9" t="n">
        <v>10676</v>
      </c>
      <c r="C10678" s="10" t="inlineStr">
        <is>
          <t>Nhân viên kế toán công nợ</t>
        </is>
      </c>
      <c r="D10678" s="10" t="inlineStr">
        <is>
          <t>NHAN LUAT INVESTMENT AND STEEL TRADING HOLDING CORPORATION - CÔNG TY CỔ PHẦN ĐẦU TƯ VÀ KINH DOANH THÉP NHÂN LUẬT</t>
        </is>
      </c>
      <c r="E10678" s="10" t="inlineStr">
        <is>
          <t>Lương:8 Tr - 10 Tr VND</t>
        </is>
      </c>
      <c r="F10678" s="10" t="inlineStr">
        <is>
          <t>Đà Nẵng</t>
        </is>
      </c>
      <c r="G10678" s="10" t="inlineStr">
        <is>
          <t>30-04-2026</t>
        </is>
      </c>
      <c r="H10678" s="10" t="inlineStr">
        <is>
          <t>30/04/2026</t>
        </is>
      </c>
      <c r="I10678" s="10" t="inlineStr">
        <is>
          <t>17/03/2026</t>
        </is>
      </c>
      <c r="J10678" s="10" t="inlineStr">
        <is>
          <t>Kế toán / Kiểm toán</t>
        </is>
      </c>
      <c r="K10678" s="10" t="inlineStr">
        <is>
          <t>2 - 5 Năm</t>
        </is>
      </c>
      <c r="L10678" s="11">
        <f>HYPERLINK("https://careerviet.vn/vi/tim-viec-lam/nhan-vien-ke-toan-cong-no.35C6C892.html","Xem chi tiết")</f>
        <v/>
      </c>
      <c r="M10678" s="10" t="n"/>
    </row>
    <row r="10679">
      <c r="B10679" s="7" t="n">
        <v>10677</v>
      </c>
      <c r="C10679" t="inlineStr">
        <is>
          <t>Chuyên Viên An Toàn</t>
        </is>
      </c>
      <c r="D10679" t="inlineStr">
        <is>
          <t>CÔNG TY CỔ PHẦN TẬP ĐOÀN PC1</t>
        </is>
      </c>
      <c r="E10679" t="inlineStr">
        <is>
          <t>Lương:Cạnh tranh</t>
        </is>
      </c>
      <c r="F10679" t="inlineStr">
        <is>
          <t>Hà Nội</t>
        </is>
      </c>
      <c r="G10679" t="inlineStr">
        <is>
          <t>13-04-2026</t>
        </is>
      </c>
      <c r="H10679" t="inlineStr">
        <is>
          <t>13/04/2026</t>
        </is>
      </c>
      <c r="I10679" t="inlineStr">
        <is>
          <t>17/03/2026</t>
        </is>
      </c>
      <c r="J10679" t="inlineStr">
        <is>
          <t>An toàn lao động, Kiến trúc, Xây dựng</t>
        </is>
      </c>
      <c r="K10679" t="inlineStr">
        <is>
          <t>Trên 3 Năm</t>
        </is>
      </c>
      <c r="L10679" s="8">
        <f>HYPERLINK("https://careerviet.vn/vi/tim-viec-lam/chuyen-vien-an-toan.35C6C820.html","Xem chi tiết")</f>
        <v/>
      </c>
    </row>
    <row r="10680">
      <c r="B10680" s="9" t="n">
        <v>10678</v>
      </c>
      <c r="C10680" s="10" t="inlineStr">
        <is>
          <t>Trưởng/ Phó Phòng Quản Lý Khách Hàng  Ưu Tiên</t>
        </is>
      </c>
      <c r="D10680" s="10" t="inlineStr">
        <is>
          <t>CÔNG TY CỔ PHẦN CHỨNG KHOÁN ASEAN</t>
        </is>
      </c>
      <c r="E10680" s="10" t="inlineStr">
        <is>
          <t>Lương:Cạnh tranh</t>
        </is>
      </c>
      <c r="F10680" s="10" t="inlineStr">
        <is>
          <t>Hà Nội</t>
        </is>
      </c>
      <c r="G10680" s="10" t="inlineStr">
        <is>
          <t>30-04-2026</t>
        </is>
      </c>
      <c r="H10680" s="10" t="inlineStr">
        <is>
          <t>30/04/2026</t>
        </is>
      </c>
      <c r="I10680" s="10" t="inlineStr">
        <is>
          <t>17/03/2026</t>
        </is>
      </c>
      <c r="J10680" s="10" t="inlineStr">
        <is>
          <t>Dịch vụ khách hàng, Chứng khoán, Tài chính / Đầu tư</t>
        </is>
      </c>
      <c r="K10680" s="10" t="inlineStr">
        <is>
          <t>2 - 3 Năm</t>
        </is>
      </c>
      <c r="L10680" s="11">
        <f>HYPERLINK("https://careerviet.vn/vi/tim-viec-lam/truong-pho-phong-quan-ly-khach-hang-uu-tien.35C6C896.html","Xem chi tiết")</f>
        <v/>
      </c>
      <c r="M10680" s="10" t="n"/>
    </row>
    <row r="10681">
      <c r="B10681" s="7" t="n">
        <v>10679</v>
      </c>
      <c r="C10681" t="inlineStr">
        <is>
          <t>Chuyên Viên Quản Lý Chất Lượng (QA/QC)</t>
        </is>
      </c>
      <c r="D10681" t="inlineStr">
        <is>
          <t>CÔNG TY CỔ PHẦN TẬP ĐOÀN PC1</t>
        </is>
      </c>
      <c r="E10681" t="inlineStr">
        <is>
          <t>Lương:Cạnh tranh</t>
        </is>
      </c>
      <c r="F10681" t="inlineStr">
        <is>
          <t>Hà Nội</t>
        </is>
      </c>
      <c r="G10681" t="inlineStr">
        <is>
          <t>13-04-2026</t>
        </is>
      </c>
      <c r="H10681" t="inlineStr">
        <is>
          <t>13/04/2026</t>
        </is>
      </c>
      <c r="I10681" t="inlineStr">
        <is>
          <t>17/03/2026</t>
        </is>
      </c>
      <c r="J10681" t="inlineStr">
        <is>
          <t>Quản lý chất lượng (QA/QC), Kiến trúc, Xây dựng</t>
        </is>
      </c>
      <c r="K10681" t="inlineStr">
        <is>
          <t>2 - 3 Năm</t>
        </is>
      </c>
      <c r="L10681" s="8">
        <f>HYPERLINK("https://careerviet.vn/vi/tim-viec-lam/chuyen-vien-quan-ly-chat-luong-qa-qc.35C6C83A.html","Xem chi tiết")</f>
        <v/>
      </c>
    </row>
    <row r="10682">
      <c r="B10682" s="9" t="n">
        <v>10680</v>
      </c>
      <c r="C10682" s="10" t="inlineStr">
        <is>
          <t>Chỉ Huy Phó</t>
        </is>
      </c>
      <c r="D10682" s="10" t="inlineStr">
        <is>
          <t>CÔNG TY CỔ PHẦN TẬP ĐOÀN PC1</t>
        </is>
      </c>
      <c r="E10682" s="10" t="inlineStr">
        <is>
          <t>Lương:Cạnh tranh</t>
        </is>
      </c>
      <c r="F10682" s="10" t="inlineStr">
        <is>
          <t>Hà Nội</t>
        </is>
      </c>
      <c r="G10682" s="10" t="inlineStr">
        <is>
          <t>13-04-2026</t>
        </is>
      </c>
      <c r="H10682" s="10" t="inlineStr">
        <is>
          <t>13/04/2026</t>
        </is>
      </c>
      <c r="I10682" s="10" t="inlineStr">
        <is>
          <t>17/03/2026</t>
        </is>
      </c>
      <c r="J10682" s="10" t="inlineStr">
        <is>
          <t>Xây dựng, Kiến trúc, Bất động sản</t>
        </is>
      </c>
      <c r="K10682" s="10" t="inlineStr">
        <is>
          <t>3 - 7 Năm</t>
        </is>
      </c>
      <c r="L10682" s="11">
        <f>HYPERLINK("https://careerviet.vn/vi/tim-viec-lam/chi-huy-pho.35C6C814.html","Xem chi tiết")</f>
        <v/>
      </c>
      <c r="M10682" s="10" t="n"/>
    </row>
    <row r="10683">
      <c r="B10683" s="7" t="n">
        <v>10681</v>
      </c>
      <c r="C10683" t="inlineStr">
        <is>
          <t>Chuyên Viên QS</t>
        </is>
      </c>
      <c r="D10683" t="inlineStr">
        <is>
          <t>CÔNG TY CỔ PHẦN TẬP ĐOÀN PC1</t>
        </is>
      </c>
      <c r="E10683" t="inlineStr">
        <is>
          <t>Lương:Cạnh tranh</t>
        </is>
      </c>
      <c r="F10683" t="inlineStr">
        <is>
          <t>Hà Nội</t>
        </is>
      </c>
      <c r="G10683" t="inlineStr">
        <is>
          <t>13-04-2026</t>
        </is>
      </c>
      <c r="H10683" t="inlineStr">
        <is>
          <t>13/04/2026</t>
        </is>
      </c>
      <c r="I10683" t="inlineStr">
        <is>
          <t>17/03/2026</t>
        </is>
      </c>
      <c r="J10683" t="inlineStr">
        <is>
          <t>Kiến trúc, Xây dựng, Điện / Điện tử / Điện lạnh / Điện công nghiệp</t>
        </is>
      </c>
      <c r="K10683" t="inlineStr">
        <is>
          <t>Trên 5 Năm</t>
        </is>
      </c>
      <c r="L10683" s="8">
        <f>HYPERLINK("https://careerviet.vn/vi/tim-viec-lam/chuyen-vien-qs.35C6C841.html","Xem chi tiết")</f>
        <v/>
      </c>
    </row>
    <row r="10684">
      <c r="B10684" s="9" t="n">
        <v>10682</v>
      </c>
      <c r="C10684" s="10" t="inlineStr">
        <is>
          <t>Chuyên Viên Pháp Chế - Ban EPC</t>
        </is>
      </c>
      <c r="D10684" s="10" t="inlineStr">
        <is>
          <t>CÔNG TY CỔ PHẦN TẬP ĐOÀN PC1</t>
        </is>
      </c>
      <c r="E10684" s="10" t="inlineStr">
        <is>
          <t>Lương:Cạnh tranh</t>
        </is>
      </c>
      <c r="F10684" s="10" t="inlineStr">
        <is>
          <t>Hà Nội</t>
        </is>
      </c>
      <c r="G10684" s="10" t="inlineStr">
        <is>
          <t>13-04-2026</t>
        </is>
      </c>
      <c r="H10684" s="10" t="inlineStr">
        <is>
          <t>13/04/2026</t>
        </is>
      </c>
      <c r="I10684" s="10" t="inlineStr">
        <is>
          <t>17/03/2026</t>
        </is>
      </c>
      <c r="J10684" s="10" t="inlineStr">
        <is>
          <t>Luật / Pháp lý, Hành chính / Thư ký, Quản lý điều hành</t>
        </is>
      </c>
      <c r="K10684" s="10" t="inlineStr">
        <is>
          <t>Trên 3 Năm</t>
        </is>
      </c>
      <c r="L10684" s="11">
        <f>HYPERLINK("https://careerviet.vn/vi/tim-viec-lam/chuyen-vien-phap-che-ban-epc.35C6C849.html","Xem chi tiết")</f>
        <v/>
      </c>
      <c r="M10684" s="10" t="n"/>
    </row>
    <row r="10685">
      <c r="B10685" s="7" t="n">
        <v>10683</v>
      </c>
      <c r="C10685" t="inlineStr">
        <is>
          <t>Chỉ Huy Trưởng</t>
        </is>
      </c>
      <c r="D10685" t="inlineStr">
        <is>
          <t>CÔNG TY CỔ PHẦN TẬP ĐOÀN PC1</t>
        </is>
      </c>
      <c r="E10685" t="inlineStr">
        <is>
          <t>Lương:Cạnh tranh</t>
        </is>
      </c>
      <c r="F10685" t="inlineStr">
        <is>
          <t>Hà Nội</t>
        </is>
      </c>
      <c r="G10685" t="inlineStr">
        <is>
          <t>13-04-2026</t>
        </is>
      </c>
      <c r="H10685" t="inlineStr">
        <is>
          <t>13/04/2026</t>
        </is>
      </c>
      <c r="I10685" t="inlineStr">
        <is>
          <t>17/03/2026</t>
        </is>
      </c>
      <c r="J10685" t="inlineStr">
        <is>
          <t>Xây dựng, Kiến trúc, Điện / Điện tử / Điện lạnh / Điện công nghiệp</t>
        </is>
      </c>
      <c r="K10685" t="inlineStr">
        <is>
          <t>5 - 10 Năm</t>
        </is>
      </c>
      <c r="L10685" s="8">
        <f>HYPERLINK("https://careerviet.vn/vi/tim-viec-lam/chi-huy-truong.35C6C81C.html","Xem chi tiết")</f>
        <v/>
      </c>
    </row>
    <row r="10686">
      <c r="B10686" s="9" t="n">
        <v>10684</v>
      </c>
      <c r="C10686" s="10" t="inlineStr">
        <is>
          <t>Trưởng Bộ Phận GIám Sát Hiện Trường</t>
        </is>
      </c>
      <c r="D10686" s="10" t="inlineStr">
        <is>
          <t>CÔNG TY CỔ PHẦN ĐẦU TƯ DANCO</t>
        </is>
      </c>
      <c r="E10686" s="10" t="inlineStr">
        <is>
          <t>Lương:35 Tr - 45 Tr VND</t>
        </is>
      </c>
      <c r="F10686" s="10" t="inlineStr">
        <is>
          <t>Điện Biên</t>
        </is>
      </c>
      <c r="G10686" s="10" t="inlineStr">
        <is>
          <t>08-05-2026</t>
        </is>
      </c>
      <c r="H10686" s="10" t="inlineStr">
        <is>
          <t>08/05/2026</t>
        </is>
      </c>
      <c r="I10686" s="10" t="inlineStr">
        <is>
          <t>17/03/2026</t>
        </is>
      </c>
      <c r="J10686" s="10" t="inlineStr">
        <is>
          <t>Xây dựng, Bất động sản, Kiến trúc</t>
        </is>
      </c>
      <c r="K10686" s="10" t="inlineStr">
        <is>
          <t>3 - 5 Năm</t>
        </is>
      </c>
      <c r="L10686" s="11">
        <f>HYPERLINK("https://careerviet.vn/vi/tim-viec-lam/truong-bo-phan-giam-sat-hien-truong.35C6C891.html","Xem chi tiết")</f>
        <v/>
      </c>
      <c r="M10686" s="10" t="n"/>
    </row>
    <row r="10687">
      <c r="B10687" s="7" t="n">
        <v>10685</v>
      </c>
      <c r="C10687" t="inlineStr">
        <is>
          <t>Chuyên viên viên Môi giới chứng khoán/ Tư vấn đầu tư</t>
        </is>
      </c>
      <c r="D10687" t="inlineStr">
        <is>
          <t>CÔNG TY CỔ PHẦN CHỨNG KHOÁN ASEAN</t>
        </is>
      </c>
      <c r="E10687" t="inlineStr">
        <is>
          <t>Lương:Cạnh tranh</t>
        </is>
      </c>
      <c r="F10687" t="inlineStr">
        <is>
          <t>Hà NộiHồ Chí Minh</t>
        </is>
      </c>
      <c r="G10687" t="inlineStr">
        <is>
          <t>30-04-2026</t>
        </is>
      </c>
      <c r="H10687" t="inlineStr">
        <is>
          <t>30/04/2026</t>
        </is>
      </c>
      <c r="I10687" t="inlineStr">
        <is>
          <t>17/03/2026</t>
        </is>
      </c>
      <c r="J10687" t="inlineStr">
        <is>
          <t>Bảo hiểm, Chứng khoán, Tài chính / Đầu tư</t>
        </is>
      </c>
      <c r="K10687" t="inlineStr">
        <is>
          <t>N/A</t>
        </is>
      </c>
      <c r="L10687" s="8">
        <f>HYPERLINK("https://careerviet.vn/vi/tim-viec-lam/chuyen-vien-vien-moi-gioi-chung-khoan-tu-van-dau-tu.35C6C894.html","Xem chi tiết")</f>
        <v/>
      </c>
    </row>
    <row r="10688">
      <c r="B10688" s="9" t="n">
        <v>10686</v>
      </c>
      <c r="C10688" s="10" t="inlineStr">
        <is>
          <t>Chuyên Viên Kế Hoạch Tiến Độ</t>
        </is>
      </c>
      <c r="D10688" s="10" t="inlineStr">
        <is>
          <t>CÔNG TY CỔ PHẦN TẬP ĐOÀN PC1</t>
        </is>
      </c>
      <c r="E10688" s="10" t="inlineStr">
        <is>
          <t>Lương:Cạnh tranh</t>
        </is>
      </c>
      <c r="F10688" s="10" t="inlineStr">
        <is>
          <t>Hà Nội</t>
        </is>
      </c>
      <c r="G10688" s="10" t="inlineStr">
        <is>
          <t>13-04-2026</t>
        </is>
      </c>
      <c r="H10688" s="10" t="inlineStr">
        <is>
          <t>13/04/2026</t>
        </is>
      </c>
      <c r="I10688" s="10" t="inlineStr">
        <is>
          <t>17/03/2026</t>
        </is>
      </c>
      <c r="J10688" s="10" t="inlineStr">
        <is>
          <t>Mỹ thuật / Nghệ thuật / Thiết kế, Xây dựng, Kiến trúc</t>
        </is>
      </c>
      <c r="K10688" s="10" t="inlineStr">
        <is>
          <t>Trên 1 Năm</t>
        </is>
      </c>
      <c r="L10688" s="11">
        <f>HYPERLINK("https://careerviet.vn/vi/tim-viec-lam/chuyen-vien-ke-hoach-tien-do.35C6C833.html","Xem chi tiết")</f>
        <v/>
      </c>
      <c r="M10688" s="10" t="n"/>
    </row>
    <row r="10689">
      <c r="B10689" s="7" t="n">
        <v>10687</v>
      </c>
      <c r="C10689" t="inlineStr">
        <is>
          <t>Chuyên Viên Giám Sát Hiện Trường</t>
        </is>
      </c>
      <c r="D10689" t="inlineStr">
        <is>
          <t>CÔNG TY CỔ PHẦN TẬP ĐOÀN PC1</t>
        </is>
      </c>
      <c r="E10689" t="inlineStr">
        <is>
          <t>Lương:Cạnh tranh</t>
        </is>
      </c>
      <c r="F10689" t="inlineStr">
        <is>
          <t>Hà Nội</t>
        </is>
      </c>
      <c r="G10689" t="inlineStr">
        <is>
          <t>13-04-2026</t>
        </is>
      </c>
      <c r="H10689" t="inlineStr">
        <is>
          <t>13/04/2026</t>
        </is>
      </c>
      <c r="I10689" t="inlineStr">
        <is>
          <t>17/03/2026</t>
        </is>
      </c>
      <c r="J10689" t="inlineStr">
        <is>
          <t>Kiến trúc, Xây dựng, An toàn lao động</t>
        </is>
      </c>
      <c r="K10689" t="inlineStr">
        <is>
          <t>1 - 3 Năm</t>
        </is>
      </c>
      <c r="L10689" s="8">
        <f>HYPERLINK("https://careerviet.vn/vi/tim-viec-lam/chuyen-vien-giam-sat-hien-truong.35C6C823.html","Xem chi tiết")</f>
        <v/>
      </c>
    </row>
    <row r="10690">
      <c r="B10690" s="9" t="n">
        <v>10688</v>
      </c>
      <c r="C10690" s="10" t="inlineStr">
        <is>
          <t>[Hà Nội] Kế toán</t>
        </is>
      </c>
      <c r="D10690" s="10" t="inlineStr">
        <is>
          <t>The University of Sydney Vietnam Institute</t>
        </is>
      </c>
      <c r="E10690" s="10" t="inlineStr">
        <is>
          <t>Lương:Cạnh tranh</t>
        </is>
      </c>
      <c r="F10690" s="10" t="inlineStr">
        <is>
          <t>Hà Nội</t>
        </is>
      </c>
      <c r="G10690" s="10" t="inlineStr">
        <is>
          <t>13-04-2026</t>
        </is>
      </c>
      <c r="H10690" s="10" t="inlineStr">
        <is>
          <t>13/04/2026</t>
        </is>
      </c>
      <c r="I10690" s="10" t="inlineStr">
        <is>
          <t>17/03/2026</t>
        </is>
      </c>
      <c r="J10690" s="10" t="inlineStr">
        <is>
          <t>Kế toán / Kiểm toán</t>
        </is>
      </c>
      <c r="K10690" s="10" t="inlineStr">
        <is>
          <t>2 - 5 Năm</t>
        </is>
      </c>
      <c r="L10690" s="11">
        <f>HYPERLINK("https://careerviet.vn/vi/tim-viec-lam/ha-noi-ke-toan.35C6C5F9.html","Xem chi tiết")</f>
        <v/>
      </c>
      <c r="M10690" s="10" t="n"/>
    </row>
    <row r="10691">
      <c r="B10691" s="7" t="n">
        <v>10689</v>
      </c>
      <c r="C10691" t="inlineStr">
        <is>
          <t>Chuyên Viên Kiểm Thử Phần Mềm (Tester)</t>
        </is>
      </c>
      <c r="D10691" t="inlineStr">
        <is>
          <t>CÔNG TY CỔ PHẦN CHỨNG KHOÁN ASEAN</t>
        </is>
      </c>
      <c r="E10691" t="inlineStr">
        <is>
          <t>Lương:Cạnh tranh</t>
        </is>
      </c>
      <c r="F10691" t="inlineStr">
        <is>
          <t>Hà Nội</t>
        </is>
      </c>
      <c r="G10691" t="inlineStr">
        <is>
          <t>30-04-2026</t>
        </is>
      </c>
      <c r="H10691" t="inlineStr">
        <is>
          <t>30/04/2026</t>
        </is>
      </c>
      <c r="I10691" t="inlineStr">
        <is>
          <t>17/03/2026</t>
        </is>
      </c>
      <c r="J10691" t="inlineStr">
        <is>
          <t>Chứng khoán, CNTT - Phần mềm, Tài chính / Đầu tư</t>
        </is>
      </c>
      <c r="K10691" t="inlineStr">
        <is>
          <t>1 - 2 Năm</t>
        </is>
      </c>
      <c r="L10691" s="8">
        <f>HYPERLINK("https://careerviet.vn/vi/tim-viec-lam/chuyen-vien-kiem-thu-phan-mem-tester.35C6C884.html","Xem chi tiết")</f>
        <v/>
      </c>
    </row>
    <row r="10692">
      <c r="B10692" s="9" t="n">
        <v>10690</v>
      </c>
      <c r="C10692" s="10" t="inlineStr">
        <is>
          <t>Chuyên viên/Chuyên viên cao cấp UI/UX</t>
        </is>
      </c>
      <c r="D10692" s="10" t="inlineStr">
        <is>
          <t>CÔNG TY CỔ PHẦN CHỨNG KHOÁN ASEAN</t>
        </is>
      </c>
      <c r="E10692" s="10" t="inlineStr">
        <is>
          <t>Lương:Cạnh tranh</t>
        </is>
      </c>
      <c r="F10692" s="10" t="inlineStr">
        <is>
          <t>Hà Nội</t>
        </is>
      </c>
      <c r="G10692" s="10" t="inlineStr">
        <is>
          <t>30-04-2026</t>
        </is>
      </c>
      <c r="H10692" s="10" t="inlineStr">
        <is>
          <t>30/04/2026</t>
        </is>
      </c>
      <c r="I10692" s="10" t="inlineStr">
        <is>
          <t>17/03/2026</t>
        </is>
      </c>
      <c r="J10692" s="10" t="inlineStr">
        <is>
          <t>Tiếp thị / Marketing, Mỹ thuật / Nghệ thuật / Thiết kế, CNTT - Phần mềm</t>
        </is>
      </c>
      <c r="K10692" s="10" t="inlineStr">
        <is>
          <t>2 - 5 Năm</t>
        </is>
      </c>
      <c r="L10692" s="11">
        <f>HYPERLINK("https://careerviet.vn/vi/tim-viec-lam/chuyen-vien-chuyen-vien-cao-cap-ui-ux.35C6C88A.html","Xem chi tiết")</f>
        <v/>
      </c>
      <c r="M10692" s="10" t="n"/>
    </row>
    <row r="10693">
      <c r="B10693" s="7" t="n">
        <v>10691</v>
      </c>
      <c r="C10693" t="inlineStr">
        <is>
          <t>Trưởng Phòng Môi Giới/ Trưởng Phòng Tư Vấn Đầu Tư</t>
        </is>
      </c>
      <c r="D10693" t="inlineStr">
        <is>
          <t>CÔNG TY CỔ PHẦN CHỨNG KHOÁN ASEAN</t>
        </is>
      </c>
      <c r="E10693" t="inlineStr">
        <is>
          <t>Lương:Cạnh tranh</t>
        </is>
      </c>
      <c r="F10693" t="inlineStr">
        <is>
          <t>Hà Nội</t>
        </is>
      </c>
      <c r="G10693" t="inlineStr">
        <is>
          <t>30-04-2026</t>
        </is>
      </c>
      <c r="H10693" t="inlineStr">
        <is>
          <t>30/04/2026</t>
        </is>
      </c>
      <c r="I10693" t="inlineStr">
        <is>
          <t>17/03/2026</t>
        </is>
      </c>
      <c r="J10693" t="inlineStr">
        <is>
          <t>Tư vấn, Chứng khoán, Tài chính / Đầu tư</t>
        </is>
      </c>
      <c r="K10693" t="inlineStr">
        <is>
          <t>3 - 4 Năm</t>
        </is>
      </c>
      <c r="L10693" s="8">
        <f>HYPERLINK("https://careerviet.vn/vi/tim-viec-lam/truong-phong-moi-gioi-truong-phong-tu-van-dau-tu.35C6C88F.html","Xem chi tiết")</f>
        <v/>
      </c>
    </row>
    <row r="10694">
      <c r="B10694" s="9" t="n">
        <v>10692</v>
      </c>
      <c r="C10694" s="10" t="inlineStr">
        <is>
          <t>IT System fulltime/partime</t>
        </is>
      </c>
      <c r="D10694" s="10" t="inlineStr">
        <is>
          <t>CÔNG TY TNHH DV KẾ TOÁN THUẾ VÀ CULD QUANG HUY</t>
        </is>
      </c>
      <c r="E10694" s="10" t="inlineStr">
        <is>
          <t>Lương:Cạnh tranh</t>
        </is>
      </c>
      <c r="F10694" s="10" t="inlineStr">
        <is>
          <t>Hồ Chí Minh</t>
        </is>
      </c>
      <c r="G10694" s="10" t="inlineStr">
        <is>
          <t>13-04-2026</t>
        </is>
      </c>
      <c r="H10694" s="10" t="inlineStr">
        <is>
          <t>13/04/2026</t>
        </is>
      </c>
      <c r="I10694" s="10" t="inlineStr">
        <is>
          <t>17/03/2026</t>
        </is>
      </c>
      <c r="J10694" s="10" t="inlineStr">
        <is>
          <t>CNTT - Phần mềm</t>
        </is>
      </c>
      <c r="K10694" s="10" t="inlineStr">
        <is>
          <t>2 - 20 Năm</t>
        </is>
      </c>
      <c r="L10694" s="11">
        <f>HYPERLINK("https://careerviet.vn/vi/tim-viec-lam/it-system-fulltime-partime.35C6C88C.html","Xem chi tiết")</f>
        <v/>
      </c>
      <c r="M10694" s="10" t="n"/>
    </row>
    <row r="10695">
      <c r="B10695" s="7" t="n">
        <v>10693</v>
      </c>
      <c r="C10695" t="inlineStr">
        <is>
          <t>Thực Tập Sinh Thiết kế UX/UI - Phòng Phát triển sản phẩm</t>
        </is>
      </c>
      <c r="D10695" t="inlineStr">
        <is>
          <t>CÔNG TY CỔ PHẦN CHỨNG KHOÁN ASEAN</t>
        </is>
      </c>
      <c r="E10695" t="inlineStr">
        <is>
          <t>Lương:Cạnh tranh</t>
        </is>
      </c>
      <c r="F10695" t="inlineStr">
        <is>
          <t>Hà Nội</t>
        </is>
      </c>
      <c r="G10695" t="inlineStr">
        <is>
          <t>30-04-2026</t>
        </is>
      </c>
      <c r="H10695" t="inlineStr">
        <is>
          <t>30/04/2026</t>
        </is>
      </c>
      <c r="I10695" t="inlineStr">
        <is>
          <t>17/03/2026</t>
        </is>
      </c>
      <c r="J10695" t="inlineStr">
        <is>
          <t>Chứng khoán, Tài chính / Đầu tư, Ngân hàng</t>
        </is>
      </c>
      <c r="K10695" t="inlineStr">
        <is>
          <t>N/A</t>
        </is>
      </c>
      <c r="L10695" s="8">
        <f>HYPERLINK("https://careerviet.vn/vi/tim-viec-lam/thuc-tap-sinh-thiet-ke-ux-ui-phong-phat-trien-san-pham.35C6C88E.html","Xem chi tiết")</f>
        <v/>
      </c>
    </row>
    <row r="10696">
      <c r="B10696" s="9" t="n">
        <v>10694</v>
      </c>
      <c r="C10696" s="10" t="inlineStr">
        <is>
          <t>Trưởng nhóm Tester (Test Lead)</t>
        </is>
      </c>
      <c r="D10696" s="10" t="inlineStr">
        <is>
          <t>CÔNG TY CỔ PHẦN CHỨNG KHOÁN ASEAN</t>
        </is>
      </c>
      <c r="E10696" s="10" t="inlineStr">
        <is>
          <t>Lương:Cạnh tranh</t>
        </is>
      </c>
      <c r="F10696" s="10" t="inlineStr">
        <is>
          <t>Hà Nội</t>
        </is>
      </c>
      <c r="G10696" s="10" t="inlineStr">
        <is>
          <t>30-04-2026</t>
        </is>
      </c>
      <c r="H10696" s="10" t="inlineStr">
        <is>
          <t>30/04/2026</t>
        </is>
      </c>
      <c r="I10696" s="10" t="inlineStr">
        <is>
          <t>17/03/2026</t>
        </is>
      </c>
      <c r="J10696" s="10" t="inlineStr">
        <is>
          <t>Bưu chính viễn thông, Tài chính / Đầu tư, CNTT - Phần mềm</t>
        </is>
      </c>
      <c r="K10696" s="10" t="inlineStr">
        <is>
          <t>2 - 3 Năm</t>
        </is>
      </c>
      <c r="L10696" s="11">
        <f>HYPERLINK("https://careerviet.vn/vi/tim-viec-lam/truong-nhom-tester-test-lead.35C6C880.html","Xem chi tiết")</f>
        <v/>
      </c>
      <c r="M10696" s="10" t="n"/>
    </row>
    <row r="10697">
      <c r="B10697" s="7" t="n">
        <v>10695</v>
      </c>
      <c r="C10697" t="inlineStr">
        <is>
          <t>Nhân Viên Kinh Doanh</t>
        </is>
      </c>
      <c r="D10697" t="inlineStr">
        <is>
          <t>CÔNG TY TNHH THƯƠNG MẠI VÀ DỊCH VỤ TĂNG MINH PHÁT</t>
        </is>
      </c>
      <c r="E10697" t="inlineStr">
        <is>
          <t>Lương:Cạnh tranh</t>
        </is>
      </c>
      <c r="F10697" t="inlineStr">
        <is>
          <t>Hồ Chí Minh</t>
        </is>
      </c>
      <c r="G10697" t="inlineStr">
        <is>
          <t>12-04-2026</t>
        </is>
      </c>
      <c r="H10697" t="inlineStr">
        <is>
          <t>12/04/2026</t>
        </is>
      </c>
      <c r="I10697" t="inlineStr">
        <is>
          <t>17/03/2026</t>
        </is>
      </c>
      <c r="J10697" t="inlineStr">
        <is>
          <t>Bán hàng / Kinh doanh, Cơ khí / Ô tô / Tự động hóa, Bán Hàng Kỹ Thuật</t>
        </is>
      </c>
      <c r="K10697" t="inlineStr">
        <is>
          <t>N/A</t>
        </is>
      </c>
      <c r="L10697" s="8">
        <f>HYPERLINK("https://careerviet.vn/vi/tim-viec-lam/nhan-vien-kinh-doanh.35C6C887.html","Xem chi tiết")</f>
        <v/>
      </c>
    </row>
    <row r="10698">
      <c r="B10698" s="9" t="n">
        <v>10696</v>
      </c>
      <c r="C10698" s="10" t="inlineStr">
        <is>
          <t>Performance Marketing Executive</t>
        </is>
      </c>
      <c r="D10698" s="10" t="inlineStr">
        <is>
          <t>Wall Street English</t>
        </is>
      </c>
      <c r="E10698" s="10" t="inlineStr">
        <is>
          <t>Lương:16 Tr - 23 Tr VND</t>
        </is>
      </c>
      <c r="F10698" s="10" t="inlineStr">
        <is>
          <t>Hồ Chí Minh</t>
        </is>
      </c>
      <c r="G10698" s="10" t="inlineStr">
        <is>
          <t>13-04-2026</t>
        </is>
      </c>
      <c r="H10698" s="10" t="inlineStr">
        <is>
          <t>13/04/2026</t>
        </is>
      </c>
      <c r="I10698" s="10" t="inlineStr">
        <is>
          <t>17/03/2026</t>
        </is>
      </c>
      <c r="J10698" s="10" t="inlineStr">
        <is>
          <t>Tiếp thị / Marketing, Tiếp thị trực tuyến, Giáo dục / Đào tạo</t>
        </is>
      </c>
      <c r="K10698" s="10" t="inlineStr">
        <is>
          <t>2 - 4 Năm</t>
        </is>
      </c>
      <c r="L10698" s="11">
        <f>HYPERLINK("https://careerviet.vn/vi/tim-viec-lam/performance-marketing-executive.35C6C876.html","Xem chi tiết")</f>
        <v/>
      </c>
      <c r="M10698" s="10" t="n"/>
    </row>
    <row r="10699">
      <c r="B10699" s="7" t="n">
        <v>10697</v>
      </c>
      <c r="C10699" t="inlineStr">
        <is>
          <t>Kế Toán Tổng Hợp  ( Hàng tồn kho - Giá thành)</t>
        </is>
      </c>
      <c r="D10699" t="inlineStr">
        <is>
          <t>Công ty TNHH Cung ứng Nhựa đường</t>
        </is>
      </c>
      <c r="E10699" t="inlineStr">
        <is>
          <t>Lương:16 Tr - 20 Tr VND</t>
        </is>
      </c>
      <c r="F10699" t="inlineStr">
        <is>
          <t>Hà Nội</t>
        </is>
      </c>
      <c r="G10699" t="inlineStr">
        <is>
          <t>30-03-2026</t>
        </is>
      </c>
      <c r="H10699" t="inlineStr">
        <is>
          <t>30/03/2026</t>
        </is>
      </c>
      <c r="I10699" t="inlineStr">
        <is>
          <t>17/03/2026</t>
        </is>
      </c>
      <c r="J10699" t="inlineStr">
        <is>
          <t>Kế toán / Kiểm toán, Tài chính / Đầu tư</t>
        </is>
      </c>
      <c r="K10699" t="inlineStr">
        <is>
          <t>2 - 5 Năm</t>
        </is>
      </c>
      <c r="L10699" s="8">
        <f>HYPERLINK("https://careerviet.vn/vi/tim-viec-lam/ke-toan-tong-hop-hang-ton-kho-gia-thanh.35C6C90C.html","Xem chi tiết")</f>
        <v/>
      </c>
    </row>
    <row r="10700">
      <c r="B10700" s="9" t="n">
        <v>10698</v>
      </c>
      <c r="C10700" s="10" t="inlineStr">
        <is>
          <t>SALE BẤT ĐỘNG SẢN</t>
        </is>
      </c>
      <c r="D10700" s="10" t="inlineStr">
        <is>
          <t>CÔNG TY CỔ PHẦN GIAO DỊCH HÀNG HÓA ĐÔNG NAM Á</t>
        </is>
      </c>
      <c r="E10700" s="10" t="inlineStr">
        <is>
          <t>Lương:8 Tr - 50 Tr VND</t>
        </is>
      </c>
      <c r="F10700" s="10" t="inlineStr">
        <is>
          <t>Hồ Chí Minh</t>
        </is>
      </c>
      <c r="G10700" s="10" t="inlineStr">
        <is>
          <t>30-04-2026</t>
        </is>
      </c>
      <c r="H10700" s="10" t="inlineStr">
        <is>
          <t>30/04/2026</t>
        </is>
      </c>
      <c r="I10700" s="10" t="inlineStr">
        <is>
          <t>17/03/2026</t>
        </is>
      </c>
      <c r="J10700" s="10" t="inlineStr">
        <is>
          <t>Bất động sản</t>
        </is>
      </c>
      <c r="K10700" s="10" t="inlineStr">
        <is>
          <t>3 - 5 Năm</t>
        </is>
      </c>
      <c r="L10700" s="11">
        <f>HYPERLINK("https://careerviet.vn/vi/tim-viec-lam/sale-bat-dong-san.35C6C885.html","Xem chi tiết")</f>
        <v/>
      </c>
      <c r="M10700" s="10" t="n"/>
    </row>
    <row r="10701">
      <c r="B10701" s="7" t="n">
        <v>10699</v>
      </c>
      <c r="C10701" t="inlineStr">
        <is>
          <t>Chuyên viên Loyalty - Loyalty Specialist - Ban Sản phẩm và Marketing (HO26.80)</t>
        </is>
      </c>
      <c r="D10701" t="inlineStr">
        <is>
          <t>Ngân Hàng TMCP Quân Đội</t>
        </is>
      </c>
      <c r="E10701" t="inlineStr">
        <is>
          <t>Lương:Cạnh tranh</t>
        </is>
      </c>
      <c r="F10701" t="inlineStr">
        <is>
          <t>Hà Nội</t>
        </is>
      </c>
      <c r="G10701" t="inlineStr">
        <is>
          <t>12-04-2026</t>
        </is>
      </c>
      <c r="H10701" t="inlineStr">
        <is>
          <t>12/04/2026</t>
        </is>
      </c>
      <c r="I10701" t="inlineStr">
        <is>
          <t>17/03/2026</t>
        </is>
      </c>
      <c r="J10701" t="inlineStr">
        <is>
          <t>Ngân hàng, Tài chính / Đầu tư, Tiếp thị / Marketing</t>
        </is>
      </c>
      <c r="K10701" t="inlineStr">
        <is>
          <t>Trên 3 Năm</t>
        </is>
      </c>
      <c r="L10701" s="8">
        <f>HYPERLINK("https://careerviet.vn/vi/tim-viec-lam/chuyen-vien-loyalty-loyalty-specialist-ban-san-pham-va-marketing-ho26-80.35C6C8F3.html","Xem chi tiết")</f>
        <v/>
      </c>
    </row>
    <row r="10702">
      <c r="B10702" s="9" t="n">
        <v>10700</v>
      </c>
      <c r="C10702" s="10" t="inlineStr">
        <is>
          <t>Chuyên viên - Phòng Hỗ trợ tín dụng SME - Specialist - SME Credit Support department - Khối Vận hành (HO26.81)</t>
        </is>
      </c>
      <c r="D10702" s="10" t="inlineStr">
        <is>
          <t>Ngân Hàng TMCP Quân Đội</t>
        </is>
      </c>
      <c r="E10702" s="10" t="inlineStr">
        <is>
          <t>Lương:Cạnh tranh</t>
        </is>
      </c>
      <c r="F10702" s="10" t="inlineStr">
        <is>
          <t>Hồ Chí Minh</t>
        </is>
      </c>
      <c r="G10702" s="10" t="inlineStr">
        <is>
          <t>13-04-2026</t>
        </is>
      </c>
      <c r="H10702" s="10" t="inlineStr">
        <is>
          <t>13/04/2026</t>
        </is>
      </c>
      <c r="I10702" s="10" t="inlineStr">
        <is>
          <t>17/03/2026</t>
        </is>
      </c>
      <c r="J10702" s="10" t="inlineStr">
        <is>
          <t>Ngân hàng, Tài chính / Đầu tư, Dịch vụ khách hàng</t>
        </is>
      </c>
      <c r="K10702" s="10" t="inlineStr">
        <is>
          <t>Trên 2 Năm</t>
        </is>
      </c>
      <c r="L10702" s="11">
        <f>HYPERLINK("https://careerviet.vn/vi/tim-viec-lam/chuyen-vien-phong-ho-tro-tin-dung-sme-specialist-sme-credit-support-department-khoi-van-hanh-ho26-81.35C6C8F6.html","Xem chi tiết")</f>
        <v/>
      </c>
      <c r="M10702" s="10" t="n"/>
    </row>
    <row r="10703">
      <c r="B10703" s="7" t="n">
        <v>10701</v>
      </c>
      <c r="C10703" t="inlineStr">
        <is>
          <t>CVC/CVCC Chính Sách Sản Phẩm</t>
        </is>
      </c>
      <c r="D10703" t="inlineStr">
        <is>
          <t>CÔNG TY CỔ PHẦN CHỨNG KHOÁN ASEAN</t>
        </is>
      </c>
      <c r="E10703" t="inlineStr">
        <is>
          <t>Lương:Cạnh tranh</t>
        </is>
      </c>
      <c r="F10703" t="inlineStr">
        <is>
          <t>Hà Nội</t>
        </is>
      </c>
      <c r="G10703" t="inlineStr">
        <is>
          <t>30-04-2026</t>
        </is>
      </c>
      <c r="H10703" t="inlineStr">
        <is>
          <t>30/04/2026</t>
        </is>
      </c>
      <c r="I10703" t="inlineStr">
        <is>
          <t>17/03/2026</t>
        </is>
      </c>
      <c r="J10703" t="inlineStr">
        <is>
          <t>Ngân hàng, Chứng khoán, Tài chính / Đầu tư</t>
        </is>
      </c>
      <c r="K10703" t="inlineStr">
        <is>
          <t>1 - 2 Năm</t>
        </is>
      </c>
      <c r="L10703" s="8">
        <f>HYPERLINK("https://careerviet.vn/vi/tim-viec-lam/cvc-cvcc-chinh-sach-san-pham.35C6C87F.html","Xem chi tiết")</f>
        <v/>
      </c>
    </row>
    <row r="10704">
      <c r="B10704" s="9" t="n">
        <v>10702</v>
      </c>
      <c r="C10704" s="10" t="inlineStr">
        <is>
          <t>Chuyên viên - Phòng Hỗ trợ tín dụng KHCN - Specialist - Retail Credit Support department - Khối Vận hành (HO26.82)</t>
        </is>
      </c>
      <c r="D10704" s="10" t="inlineStr">
        <is>
          <t>Ngân Hàng TMCP Quân Đội</t>
        </is>
      </c>
      <c r="E10704" s="10" t="inlineStr">
        <is>
          <t>Lương:Cạnh tranh</t>
        </is>
      </c>
      <c r="F10704" s="10" t="inlineStr">
        <is>
          <t>Hồ Chí Minh</t>
        </is>
      </c>
      <c r="G10704" s="10" t="inlineStr">
        <is>
          <t>13-04-2026</t>
        </is>
      </c>
      <c r="H10704" s="10" t="inlineStr">
        <is>
          <t>13/04/2026</t>
        </is>
      </c>
      <c r="I10704" s="10" t="inlineStr">
        <is>
          <t>17/03/2026</t>
        </is>
      </c>
      <c r="J10704" s="10" t="inlineStr">
        <is>
          <t>Ngân hàng, Tài chính / Đầu tư, Dịch vụ khách hàng</t>
        </is>
      </c>
      <c r="K10704" s="10" t="inlineStr">
        <is>
          <t>Trên 2 Năm</t>
        </is>
      </c>
      <c r="L10704" s="11">
        <f>HYPERLINK("https://careerviet.vn/vi/tim-viec-lam/chuyen-vien-phong-ho-tro-tin-dung-khcn-specialist-retail-credit-support-department-khoi-van-hanh-ho26-82.35C6C8F7.html","Xem chi tiết")</f>
        <v/>
      </c>
      <c r="M10704" s="10" t="n"/>
    </row>
    <row r="10705">
      <c r="B10705" s="7" t="n">
        <v>10703</v>
      </c>
      <c r="C10705" t="inlineStr">
        <is>
          <t>[HCM] - Nhân Viên Tư Vấn Trả Góp Điện máy/ Điện thoại</t>
        </is>
      </c>
      <c r="D10705" t="inlineStr">
        <is>
          <t>CÔNG TY CỔ PHẦN KREDIVO VIỆT NAM</t>
        </is>
      </c>
      <c r="E10705" t="inlineStr">
        <is>
          <t>Lương:7 Tr - 20 Tr VND</t>
        </is>
      </c>
      <c r="F10705" t="inlineStr">
        <is>
          <t>Hồ Chí Minh</t>
        </is>
      </c>
      <c r="G10705" t="inlineStr">
        <is>
          <t>14-04-2026</t>
        </is>
      </c>
      <c r="H10705" t="inlineStr">
        <is>
          <t>14/04/2026</t>
        </is>
      </c>
      <c r="I10705" t="inlineStr">
        <is>
          <t>17/03/2026</t>
        </is>
      </c>
      <c r="J10705" t="inlineStr">
        <is>
          <t>Bán hàng / Kinh doanh, Tư vấn, Tài chính / Đầu tư</t>
        </is>
      </c>
      <c r="K10705" t="inlineStr">
        <is>
          <t>N/A</t>
        </is>
      </c>
      <c r="L10705" s="8">
        <f>HYPERLINK("https://careerviet.vn/vi/tim-viec-lam/hcm-nhan-vien-tu-van-tra-gop-dien-may-dien-thoai.35C6C881.html","Xem chi tiết")</f>
        <v/>
      </c>
    </row>
    <row r="10706">
      <c r="B10706" s="9" t="n">
        <v>10704</v>
      </c>
      <c r="C10706" s="10" t="inlineStr">
        <is>
          <t>Chuyên gia nghiên cứu thị trường - Khối Chiến lược</t>
        </is>
      </c>
      <c r="D10706" s="10" t="inlineStr">
        <is>
          <t>Ngân hàng TMCP Đại Chúng Việt Nam - PVcomBank</t>
        </is>
      </c>
      <c r="E10706" s="10" t="inlineStr">
        <is>
          <t>Lương:Cạnh tranh</t>
        </is>
      </c>
      <c r="F10706" s="10" t="inlineStr">
        <is>
          <t>Hà Nội</t>
        </is>
      </c>
      <c r="G10706" s="10" t="inlineStr">
        <is>
          <t>23-04-2026</t>
        </is>
      </c>
      <c r="H10706" s="10" t="inlineStr">
        <is>
          <t>23/04/2026</t>
        </is>
      </c>
      <c r="I10706" s="10" t="inlineStr">
        <is>
          <t>17/03/2026</t>
        </is>
      </c>
      <c r="J10706" s="10" t="inlineStr">
        <is>
          <t>Ngân hàng, Tài chính / Đầu tư</t>
        </is>
      </c>
      <c r="K10706" s="10" t="inlineStr">
        <is>
          <t>5 - 10 Năm</t>
        </is>
      </c>
      <c r="L10706" s="11">
        <f>HYPERLINK("https://careerviet.vn/vi/tim-viec-lam/chuyen-gia-nghien-cuu-thi-truong-khoi-chien-luoc.35C6C90B.html","Xem chi tiết")</f>
        <v/>
      </c>
      <c r="M10706" s="10" t="n"/>
    </row>
    <row r="10707">
      <c r="B10707" s="7" t="n">
        <v>10705</v>
      </c>
      <c r="C10707" t="inlineStr">
        <is>
          <t>Nhân viên kế toán</t>
        </is>
      </c>
      <c r="D10707" t="inlineStr">
        <is>
          <t>CÔNG TY CỔ PHẦN ĐẦU TƯ VÀ XÂY DỰNG RPC GROUP</t>
        </is>
      </c>
      <c r="E10707" t="inlineStr">
        <is>
          <t>Lương:8 Tr - 15 Tr VND</t>
        </is>
      </c>
      <c r="F10707" t="inlineStr">
        <is>
          <t>Hà Nội</t>
        </is>
      </c>
      <c r="G10707" t="inlineStr">
        <is>
          <t>14-04-2026</t>
        </is>
      </c>
      <c r="H10707" t="inlineStr">
        <is>
          <t>14/04/2026</t>
        </is>
      </c>
      <c r="I10707" t="inlineStr">
        <is>
          <t>17/03/2026</t>
        </is>
      </c>
      <c r="J10707" t="inlineStr">
        <is>
          <t>Kế toán / Kiểm toán, Tài chính / Đầu tư</t>
        </is>
      </c>
      <c r="K10707" t="inlineStr">
        <is>
          <t>1 - 4 Năm</t>
        </is>
      </c>
      <c r="L10707" s="8">
        <f>HYPERLINK("https://careerviet.vn/vi/tim-viec-lam/nhan-vien-ke-toan.35C6C908.html","Xem chi tiết")</f>
        <v/>
      </c>
    </row>
    <row r="10708">
      <c r="B10708" s="9" t="n">
        <v>10706</v>
      </c>
      <c r="C10708" s="10" t="inlineStr">
        <is>
          <t>Chuyên gia Hoạch định Tài sản - Wealth Planning Advisor - Khối Khách hàng cá nhân (HO26.83)</t>
        </is>
      </c>
      <c r="D10708" s="10" t="inlineStr">
        <is>
          <t>Ngân Hàng TMCP Quân Đội</t>
        </is>
      </c>
      <c r="E10708" s="10" t="inlineStr">
        <is>
          <t>Lương:Cạnh tranh</t>
        </is>
      </c>
      <c r="F10708" s="10" t="inlineStr">
        <is>
          <t>Hà Nội</t>
        </is>
      </c>
      <c r="G10708" s="10" t="inlineStr">
        <is>
          <t>13-04-2026</t>
        </is>
      </c>
      <c r="H10708" s="10" t="inlineStr">
        <is>
          <t>13/04/2026</t>
        </is>
      </c>
      <c r="I10708" s="10" t="inlineStr">
        <is>
          <t>17/03/2026</t>
        </is>
      </c>
      <c r="J10708" s="10" t="inlineStr">
        <is>
          <t>Ngân hàng, Tài chính / Đầu tư, Luật / Pháp lý</t>
        </is>
      </c>
      <c r="K10708" s="10" t="inlineStr">
        <is>
          <t>8 - 10 Năm</t>
        </is>
      </c>
      <c r="L10708" s="11">
        <f>HYPERLINK("https://careerviet.vn/vi/tim-viec-lam/chuyen-gia-hoach-dinh-tai-san-wealth-planning-advisor-khoi-khach-hang-ca-nhan-ho26-83.35C6C8FB.html","Xem chi tiết")</f>
        <v/>
      </c>
      <c r="M10708" s="10" t="n"/>
    </row>
    <row r="10709">
      <c r="B10709" s="7" t="n">
        <v>10707</v>
      </c>
      <c r="C10709" t="inlineStr">
        <is>
          <t>Fulfillment Center Manager/ Trưởng Bộ Phận Vận Hành - TP. Hà Nội</t>
        </is>
      </c>
      <c r="D10709" t="inlineStr">
        <is>
          <t>Công Ty TNHH Kamereo</t>
        </is>
      </c>
      <c r="E10709" t="inlineStr">
        <is>
          <t>Lương:Cạnh tranh</t>
        </is>
      </c>
      <c r="F10709" t="inlineStr">
        <is>
          <t>Hà Nội</t>
        </is>
      </c>
      <c r="G10709" t="inlineStr">
        <is>
          <t>15-04-2026</t>
        </is>
      </c>
      <c r="H10709" t="inlineStr">
        <is>
          <t>15/04/2026</t>
        </is>
      </c>
      <c r="I10709" t="inlineStr">
        <is>
          <t>17/03/2026</t>
        </is>
      </c>
      <c r="J10709" t="inlineStr">
        <is>
          <t>Thực phẩm &amp; Đồ uống, Vận chuyển / Giao nhận / Kho vận, Dịch vụ khách hàng</t>
        </is>
      </c>
      <c r="K10709" t="inlineStr">
        <is>
          <t>3 - 4 Năm</t>
        </is>
      </c>
      <c r="L10709" s="8">
        <f>HYPERLINK("https://careerviet.vn/vi/tim-viec-lam/fulfillment-center-manager-truong-bo-phan-van-hanh-tp-ha-noi.35C6C90F.html","Xem chi tiết")</f>
        <v/>
      </c>
    </row>
    <row r="10710">
      <c r="B10710" s="9" t="n">
        <v>10708</v>
      </c>
      <c r="C10710" s="10" t="inlineStr">
        <is>
          <t>Chuyên viên Mua sắm (thông thạo Tiếng Trung &amp; Tiếng Anh)</t>
        </is>
      </c>
      <c r="D10710" s="10" t="inlineStr">
        <is>
          <t>Công ty cổ phần Tập đoàn Tài Tâm (Tài Tâm Group)</t>
        </is>
      </c>
      <c r="E10710" s="10" t="inlineStr">
        <is>
          <t>Lương:18 Tr - 25 Tr VND</t>
        </is>
      </c>
      <c r="F10710" s="10" t="inlineStr">
        <is>
          <t>Hà Nội</t>
        </is>
      </c>
      <c r="G10710" s="10" t="inlineStr">
        <is>
          <t>15-04-2026</t>
        </is>
      </c>
      <c r="H10710" s="10" t="inlineStr">
        <is>
          <t>15/04/2026</t>
        </is>
      </c>
      <c r="I10710" s="10" t="inlineStr">
        <is>
          <t>17/03/2026</t>
        </is>
      </c>
      <c r="J10710" s="10" t="inlineStr">
        <is>
          <t>Thu mua / Vật tư</t>
        </is>
      </c>
      <c r="K10710" s="10" t="inlineStr">
        <is>
          <t>2 - 5 Năm</t>
        </is>
      </c>
      <c r="L10710" s="11">
        <f>HYPERLINK("https://careerviet.vn/vi/tim-viec-lam/chuyen-vien-mua-sam-thong-thao-tieng-trung-tieng-anh.35C6C879.html","Xem chi tiết")</f>
        <v/>
      </c>
      <c r="M10710" s="10" t="n"/>
    </row>
    <row r="10711">
      <c r="B10711" s="7" t="n">
        <v>10709</v>
      </c>
      <c r="C10711" t="inlineStr">
        <is>
          <t>Nhân viên kho</t>
        </is>
      </c>
      <c r="D10711" t="inlineStr">
        <is>
          <t>CÔNG TY CỔ PHẦN GIẢI PHÁP  NAM VIỆT GROUP</t>
        </is>
      </c>
      <c r="E10711" t="inlineStr">
        <is>
          <t>Lương:9 Tr - 10 Tr VND</t>
        </is>
      </c>
      <c r="F10711" t="inlineStr">
        <is>
          <t>Hồ Chí Minh</t>
        </is>
      </c>
      <c r="G10711" t="inlineStr">
        <is>
          <t>13-06-2026</t>
        </is>
      </c>
      <c r="H10711" t="inlineStr">
        <is>
          <t>13/06/2026</t>
        </is>
      </c>
      <c r="I10711" t="inlineStr">
        <is>
          <t>17/03/2026</t>
        </is>
      </c>
      <c r="J10711" t="inlineStr">
        <is>
          <t>Vận chuyển / Giao nhận / Kho vận</t>
        </is>
      </c>
      <c r="K10711" t="inlineStr">
        <is>
          <t>Trên 2 Năm</t>
        </is>
      </c>
      <c r="L10711" s="8">
        <f>HYPERLINK("https://careerviet.vn/vi/tim-viec-lam/nhan-vien-kho.35C6C8F8.html","Xem chi tiết")</f>
        <v/>
      </c>
    </row>
    <row r="10712">
      <c r="B10712" s="9" t="n">
        <v>10710</v>
      </c>
      <c r="C10712" s="10" t="inlineStr">
        <is>
          <t>[Khánh Hòa] Chuyên Viên Kinh Doanh Bảo Hiểm Phi Nhân Thọ</t>
        </is>
      </c>
      <c r="D10712" s="10" t="inlineStr">
        <is>
          <t>Công Ty TNHH Bảo Hiểm Liberty</t>
        </is>
      </c>
      <c r="E10712" s="10" t="inlineStr">
        <is>
          <t>Lương:Cạnh tranh</t>
        </is>
      </c>
      <c r="F10712" s="10" t="inlineStr">
        <is>
          <t>Khánh Hòa</t>
        </is>
      </c>
      <c r="G10712" s="10" t="inlineStr">
        <is>
          <t>15-04-2026</t>
        </is>
      </c>
      <c r="H10712" s="10" t="inlineStr">
        <is>
          <t>15/04/2026</t>
        </is>
      </c>
      <c r="I10712" s="10" t="inlineStr">
        <is>
          <t>17/03/2026</t>
        </is>
      </c>
      <c r="J10712" s="10" t="inlineStr">
        <is>
          <t>Bán hàng / Kinh doanh, Bảo hiểm, Tài chính / Đầu tư</t>
        </is>
      </c>
      <c r="K10712" s="10" t="inlineStr">
        <is>
          <t>2 - 5 Năm</t>
        </is>
      </c>
      <c r="L10712" s="11">
        <f>HYPERLINK("https://careerviet.vn/vi/tim-viec-lam/khanh-hoa-chuyen-vien-kinh-doanh-bao-hiem-phi-nhan-tho.35C6C904.html","Xem chi tiết")</f>
        <v/>
      </c>
      <c r="M10712" s="10" t="n"/>
    </row>
    <row r="10713">
      <c r="B10713" s="7" t="n">
        <v>10711</v>
      </c>
      <c r="C10713" t="inlineStr">
        <is>
          <t>GIÁM SÁT BÁN HÀNG KÊNH MT - SIÊU THỊ</t>
        </is>
      </c>
      <c r="D10713" t="inlineStr">
        <is>
          <t>Công ty TNHH Chế biến thực phẩm Đông Đô</t>
        </is>
      </c>
      <c r="E10713" t="inlineStr">
        <is>
          <t>Lương:18 Tr - 25 Tr VND</t>
        </is>
      </c>
      <c r="F10713" t="inlineStr">
        <is>
          <t>Hà NộiDak Lak</t>
        </is>
      </c>
      <c r="G10713" t="inlineStr">
        <is>
          <t>20-04-2026</t>
        </is>
      </c>
      <c r="H10713" t="inlineStr">
        <is>
          <t>20/04/2026</t>
        </is>
      </c>
      <c r="I10713" t="inlineStr">
        <is>
          <t>17/03/2026</t>
        </is>
      </c>
      <c r="J10713" t="inlineStr">
        <is>
          <t>Bán lẻ / Bán sỉ, Bán hàng / Kinh doanh, Thực phẩm &amp; Đồ uống</t>
        </is>
      </c>
      <c r="K10713" t="inlineStr">
        <is>
          <t>2 - 3 Năm</t>
        </is>
      </c>
      <c r="L10713" s="8">
        <f>HYPERLINK("https://careerviet.vn/vi/tim-viec-lam/giam-sat-ban-hang-kenh-mt-sieu-thi.35C6C8EE.html","Xem chi tiết")</f>
        <v/>
      </c>
    </row>
    <row r="10714">
      <c r="B10714" s="9" t="n">
        <v>10712</v>
      </c>
      <c r="C10714" s="10" t="inlineStr">
        <is>
          <t>THỦ KHO KIÊM KẾ TOÁN KHO</t>
        </is>
      </c>
      <c r="D10714" s="10" t="inlineStr">
        <is>
          <t>Visingpack Packing Industries Ltd.</t>
        </is>
      </c>
      <c r="E10714" s="10" t="inlineStr">
        <is>
          <t>Lương:Cạnh tranh</t>
        </is>
      </c>
      <c r="F10714" s="10" t="inlineStr">
        <is>
          <t>Hồ Chí Minh</t>
        </is>
      </c>
      <c r="G10714" s="10" t="inlineStr">
        <is>
          <t>13-04-2026</t>
        </is>
      </c>
      <c r="H10714" s="10" t="inlineStr">
        <is>
          <t>13/04/2026</t>
        </is>
      </c>
      <c r="I10714" s="10" t="inlineStr">
        <is>
          <t>17/03/2026</t>
        </is>
      </c>
      <c r="J10714" s="10" t="inlineStr">
        <is>
          <t>Kế toán / Kiểm toán, Vận chuyển / Giao nhận / Kho vận</t>
        </is>
      </c>
      <c r="K10714" s="10" t="inlineStr">
        <is>
          <t>2 - 5 Năm</t>
        </is>
      </c>
      <c r="L10714" s="11">
        <f>HYPERLINK("https://careerviet.vn/vi/tim-viec-lam/thu-kho-kiem-ke-toan-kho.35C6C8F9.html","Xem chi tiết")</f>
        <v/>
      </c>
      <c r="M10714" s="10" t="n"/>
    </row>
    <row r="10715">
      <c r="B10715" s="7" t="n">
        <v>10713</v>
      </c>
      <c r="C10715" t="inlineStr">
        <is>
          <t>KỸ SƯ QS</t>
        </is>
      </c>
      <c r="D10715" t="inlineStr">
        <is>
          <t>CÔNG TY CỔ PHẦN ĐẦU TƯ VÀ XÂY DỰNG RPC GROUP</t>
        </is>
      </c>
      <c r="E10715" t="inlineStr">
        <is>
          <t>Lương:15 Tr - 25 Tr VND</t>
        </is>
      </c>
      <c r="F10715" t="inlineStr">
        <is>
          <t>Hà NộiBắc Giang</t>
        </is>
      </c>
      <c r="G10715" t="inlineStr">
        <is>
          <t>14-04-2026</t>
        </is>
      </c>
      <c r="H10715" t="inlineStr">
        <is>
          <t>14/04/2026</t>
        </is>
      </c>
      <c r="I10715" t="inlineStr">
        <is>
          <t>17/03/2026</t>
        </is>
      </c>
      <c r="J10715" t="inlineStr">
        <is>
          <t>Quản lý chất lượng (QA/QC)</t>
        </is>
      </c>
      <c r="K10715" t="inlineStr">
        <is>
          <t>1 - 10 Năm</t>
        </is>
      </c>
      <c r="L10715" s="8">
        <f>HYPERLINK("https://careerviet.vn/vi/tim-viec-lam/ky-su-qs.35C6C8F5.html","Xem chi tiết")</f>
        <v/>
      </c>
    </row>
    <row r="10716">
      <c r="B10716" s="9" t="n">
        <v>10714</v>
      </c>
      <c r="C10716" s="10" t="inlineStr">
        <is>
          <t>Chuyên Viên Pháp Lý Dự Án Khu Công Nghiệp</t>
        </is>
      </c>
      <c r="D10716" s="10" t="inlineStr">
        <is>
          <t>Bitex (Nhà phân phối độc quyền máy tính Casio tại Việt Nam)</t>
        </is>
      </c>
      <c r="E10716" s="10" t="inlineStr">
        <is>
          <t>Lương:Cạnh tranh</t>
        </is>
      </c>
      <c r="F10716" s="10" t="inlineStr">
        <is>
          <t>Hồ Chí Minh</t>
        </is>
      </c>
      <c r="G10716" s="10" t="inlineStr">
        <is>
          <t>12-04-2026</t>
        </is>
      </c>
      <c r="H10716" s="10" t="inlineStr">
        <is>
          <t>12/04/2026</t>
        </is>
      </c>
      <c r="I10716" s="10" t="inlineStr">
        <is>
          <t>17/03/2026</t>
        </is>
      </c>
      <c r="J10716" s="10" t="inlineStr">
        <is>
          <t>Luật / Pháp lý, Xây dựng, Bất động sản</t>
        </is>
      </c>
      <c r="K10716" s="10" t="inlineStr">
        <is>
          <t>3 - 5 Năm</t>
        </is>
      </c>
      <c r="L10716" s="11">
        <f>HYPERLINK("https://careerviet.vn/vi/tim-viec-lam/chuyen-vien-phap-ly-du-an-khu-cong-nghiep.35C6C8FA.html","Xem chi tiết")</f>
        <v/>
      </c>
      <c r="M10716" s="10" t="n"/>
    </row>
    <row r="10717">
      <c r="B10717" s="7" t="n">
        <v>10715</v>
      </c>
      <c r="C10717" t="inlineStr">
        <is>
          <t>Nhân Viên Kỹ Thuật QC</t>
        </is>
      </c>
      <c r="D10717" t="inlineStr">
        <is>
          <t>Công ty TNHH TOM Group Việt Nam</t>
        </is>
      </c>
      <c r="E10717" t="inlineStr">
        <is>
          <t>Lương:10 Tr - 14 Tr VND</t>
        </is>
      </c>
      <c r="F10717" t="inlineStr">
        <is>
          <t>Hồ Chí Minh</t>
        </is>
      </c>
      <c r="G10717" t="inlineStr">
        <is>
          <t>18-04-2026</t>
        </is>
      </c>
      <c r="H10717" t="inlineStr">
        <is>
          <t>18/04/2026</t>
        </is>
      </c>
      <c r="I10717" t="inlineStr">
        <is>
          <t>17/03/2026</t>
        </is>
      </c>
      <c r="J10717" t="inlineStr">
        <is>
          <t>Bán hàng / Kinh doanh, Bán Hàng Kỹ Thuật</t>
        </is>
      </c>
      <c r="K10717" t="inlineStr">
        <is>
          <t>1 - 3 Năm</t>
        </is>
      </c>
      <c r="L10717" s="8">
        <f>HYPERLINK("https://careerviet.vn/vi/tim-viec-lam/nhan-vien-ky-thuat-qc.35C6C8EB.html","Xem chi tiết")</f>
        <v/>
      </c>
    </row>
    <row r="10718">
      <c r="B10718" s="9" t="n">
        <v>10716</v>
      </c>
      <c r="C10718" s="10" t="inlineStr">
        <is>
          <t>KẾ TOÁN TRƯỞNG</t>
        </is>
      </c>
      <c r="D10718" s="10" t="inlineStr">
        <is>
          <t>CÔNG TY TNHH K-MEDICAL</t>
        </is>
      </c>
      <c r="E10718" s="10" t="inlineStr">
        <is>
          <t>Lương:25 Tr - 35 Tr VND</t>
        </is>
      </c>
      <c r="F10718" s="10" t="inlineStr">
        <is>
          <t>Hồ Chí Minh</t>
        </is>
      </c>
      <c r="G10718" s="10" t="inlineStr">
        <is>
          <t>13-04-2026</t>
        </is>
      </c>
      <c r="H10718" s="10" t="inlineStr">
        <is>
          <t>13/04/2026</t>
        </is>
      </c>
      <c r="I10718" s="10" t="inlineStr">
        <is>
          <t>17/03/2026</t>
        </is>
      </c>
      <c r="J10718" s="10" t="inlineStr">
        <is>
          <t>Y tế / Chăm sóc sức khỏe / Thẩm mỹ / Làm đẹp, Kế toán / Kiểm toán, Bán hàng / Kinh doanh</t>
        </is>
      </c>
      <c r="K10718" s="10" t="inlineStr">
        <is>
          <t>3 - 5 Năm</t>
        </is>
      </c>
      <c r="L10718" s="11">
        <f>HYPERLINK("https://careerviet.vn/vi/tim-viec-lam/ke-toan-truong.35C6C8F2.html","Xem chi tiết")</f>
        <v/>
      </c>
      <c r="M10718" s="10" t="n"/>
    </row>
    <row r="10719">
      <c r="B10719" s="7" t="n">
        <v>10717</v>
      </c>
      <c r="C10719" t="inlineStr">
        <is>
          <t>Kiểm soát viên khu vực Phúc Yên (Vĩnh Phúc cũ) - RB - MSB - 1C217</t>
        </is>
      </c>
      <c r="D10719" t="inlineStr">
        <is>
          <t>Ngân hàng Thương mại Cổ phần Hàng Hải Việt Nam (MSB)</t>
        </is>
      </c>
      <c r="E10719" t="inlineStr">
        <is>
          <t>Lương:Cạnh tranh</t>
        </is>
      </c>
      <c r="F10719" t="inlineStr">
        <is>
          <t>Vĩnh Phúc</t>
        </is>
      </c>
      <c r="G10719" t="inlineStr">
        <is>
          <t>30-04-2026</t>
        </is>
      </c>
      <c r="H10719" t="inlineStr">
        <is>
          <t>30/04/2026</t>
        </is>
      </c>
      <c r="I10719" t="inlineStr">
        <is>
          <t>17/03/2026</t>
        </is>
      </c>
      <c r="J10719" t="inlineStr">
        <is>
          <t>Ngân hàng</t>
        </is>
      </c>
      <c r="K10719" t="inlineStr">
        <is>
          <t>Trên 2 Năm</t>
        </is>
      </c>
      <c r="L10719" s="8">
        <f>HYPERLINK("https://careerviet.vn/vi/tim-viec-lam/kiem-soat-vien-khu-vuc-phuc-yen-vinh-phuc-cu-rb-msb-1c217.35C6C8E6.html","Xem chi tiết")</f>
        <v/>
      </c>
    </row>
    <row r="10720">
      <c r="B10720" s="9" t="n">
        <v>10718</v>
      </c>
      <c r="C10720" s="10" t="inlineStr">
        <is>
          <t>Nhân viên Kế hoạch sản xuất</t>
        </is>
      </c>
      <c r="D10720" s="10" t="inlineStr">
        <is>
          <t>Công Ty Cổ Phần Quốc Tế Sơn Hà</t>
        </is>
      </c>
      <c r="E10720" s="10" t="inlineStr">
        <is>
          <t>Lương:10 Tr - 15 Tr VND</t>
        </is>
      </c>
      <c r="F10720" s="10" t="inlineStr">
        <is>
          <t>Bắc Ninh</t>
        </is>
      </c>
      <c r="G10720" s="10" t="inlineStr">
        <is>
          <t>30-03-2026</t>
        </is>
      </c>
      <c r="H10720" s="10" t="inlineStr">
        <is>
          <t>30/03/2026</t>
        </is>
      </c>
      <c r="I10720" s="10" t="inlineStr">
        <is>
          <t>17/03/2026</t>
        </is>
      </c>
      <c r="J10720" s="10" t="inlineStr">
        <is>
          <t>Sản xuất / Vận hành sản xuất, Vận chuyển / Giao nhận / Kho vận, Thống kê</t>
        </is>
      </c>
      <c r="K10720" s="10" t="inlineStr">
        <is>
          <t>2 - 3 Năm</t>
        </is>
      </c>
      <c r="L10720" s="11">
        <f>HYPERLINK("https://careerviet.vn/vi/tim-viec-lam/nhan-vien-ke-hoach-san-xuat.35C6C8ED.html","Xem chi tiết")</f>
        <v/>
      </c>
      <c r="M10720" s="10" t="n"/>
    </row>
    <row r="10721">
      <c r="B10721" s="7" t="n">
        <v>10719</v>
      </c>
      <c r="C10721" t="inlineStr">
        <is>
          <t>Nhân Viên Thống Kê (On-Site &amp; Off-Site)/ Statistical Staff (On-site &amp; Off-site)</t>
        </is>
      </c>
      <c r="D10721" t="inlineStr">
        <is>
          <t>CÔNG TY TNHH TES-AMM (VIỆT NAM)</t>
        </is>
      </c>
      <c r="E10721" t="inlineStr">
        <is>
          <t>Lương:Trên 10 Tr VND</t>
        </is>
      </c>
      <c r="F10721" t="inlineStr">
        <is>
          <t>Hà Nội</t>
        </is>
      </c>
      <c r="G10721" t="inlineStr">
        <is>
          <t>12-04-2026</t>
        </is>
      </c>
      <c r="H10721" t="inlineStr">
        <is>
          <t>12/04/2026</t>
        </is>
      </c>
      <c r="I10721" t="inlineStr">
        <is>
          <t>17/03/2026</t>
        </is>
      </c>
      <c r="J10721" t="inlineStr">
        <is>
          <t>Vận chuyển / Giao nhận / Kho vận, Xuất nhập khẩu, Thống kê</t>
        </is>
      </c>
      <c r="K10721" t="inlineStr">
        <is>
          <t>Trên 2 Năm</t>
        </is>
      </c>
      <c r="L10721" s="8">
        <f>HYPERLINK("https://careerviet.vn/vi/tim-viec-lam/nhan-vien-thong-ke-on-site-off-site-statistical-staff-on-site-off-site.35C6C8E3.html","Xem chi tiết")</f>
        <v/>
      </c>
    </row>
    <row r="10722">
      <c r="B10722" s="9" t="n">
        <v>10720</v>
      </c>
      <c r="C10722" s="10" t="inlineStr">
        <is>
          <t>Procurement Intern</t>
        </is>
      </c>
      <c r="D10722" s="10" t="inlineStr">
        <is>
          <t>Công Ty TNHH SX Và TM Quân Đạt</t>
        </is>
      </c>
      <c r="E10722" s="10" t="inlineStr">
        <is>
          <t>Lương:Cạnh tranh</t>
        </is>
      </c>
      <c r="F10722" s="10" t="inlineStr">
        <is>
          <t>Hồ Chí Minh</t>
        </is>
      </c>
      <c r="G10722" s="10" t="inlineStr">
        <is>
          <t>14-04-2026</t>
        </is>
      </c>
      <c r="H10722" s="10" t="inlineStr">
        <is>
          <t>14/04/2026</t>
        </is>
      </c>
      <c r="I10722" s="10" t="inlineStr">
        <is>
          <t>17/03/2026</t>
        </is>
      </c>
      <c r="J10722" s="10" t="inlineStr">
        <is>
          <t>Thu mua / Vật tư, Xây dựng, Cơ khí / Ô tô / Tự động hóa</t>
        </is>
      </c>
      <c r="K10722" s="10" t="inlineStr">
        <is>
          <t>N/A</t>
        </is>
      </c>
      <c r="L10722" s="11">
        <f>HYPERLINK("https://careerviet.vn/vi/tim-viec-lam/procurement-intern.35C6C8DE.html","Xem chi tiết")</f>
        <v/>
      </c>
      <c r="M10722" s="10" t="n"/>
    </row>
    <row r="10723">
      <c r="B10723" s="7" t="n">
        <v>10721</v>
      </c>
      <c r="C10723" t="inlineStr">
        <is>
          <t>Nhân viên tuyển dụng</t>
        </is>
      </c>
      <c r="D10723" t="inlineStr">
        <is>
          <t>Công Ty Cổ Phần Quốc Tế Sơn Hà</t>
        </is>
      </c>
      <c r="E10723" t="inlineStr">
        <is>
          <t>Lương:9 Tr - 12 Tr VND</t>
        </is>
      </c>
      <c r="F10723" t="inlineStr">
        <is>
          <t>Bắc Ninh</t>
        </is>
      </c>
      <c r="G10723" t="inlineStr">
        <is>
          <t>30-03-2026</t>
        </is>
      </c>
      <c r="H10723" t="inlineStr">
        <is>
          <t>30/03/2026</t>
        </is>
      </c>
      <c r="I10723" t="inlineStr">
        <is>
          <t>17/03/2026</t>
        </is>
      </c>
      <c r="J10723" t="inlineStr">
        <is>
          <t>Hành chính / Thư ký, Nhân sự</t>
        </is>
      </c>
      <c r="K10723" t="inlineStr">
        <is>
          <t>1 - 2 Năm</t>
        </is>
      </c>
      <c r="L10723" s="8">
        <f>HYPERLINK("https://careerviet.vn/vi/tim-viec-lam/nhan-vien-tuyen-dung.35C6C8DF.html","Xem chi tiết")</f>
        <v/>
      </c>
    </row>
    <row r="10724">
      <c r="B10724" s="9" t="n">
        <v>10722</v>
      </c>
      <c r="C10724" s="10" t="inlineStr">
        <is>
          <t>Chuyên viên cao cấp Pháp lý Bất động sản - HO - 4T004</t>
        </is>
      </c>
      <c r="D10724" s="10" t="inlineStr">
        <is>
          <t>Tập đoàn ROX (ROX Group)</t>
        </is>
      </c>
      <c r="E10724" s="10" t="inlineStr">
        <is>
          <t>Lương:Cạnh tranh</t>
        </is>
      </c>
      <c r="F10724" s="10" t="inlineStr">
        <is>
          <t>Hà Nội</t>
        </is>
      </c>
      <c r="G10724" s="10" t="inlineStr">
        <is>
          <t>14-04-2026</t>
        </is>
      </c>
      <c r="H10724" s="10" t="inlineStr">
        <is>
          <t>14/04/2026</t>
        </is>
      </c>
      <c r="I10724" s="10" t="inlineStr">
        <is>
          <t>17/03/2026</t>
        </is>
      </c>
      <c r="J10724" s="10" t="inlineStr">
        <is>
          <t>Luật / Pháp lý</t>
        </is>
      </c>
      <c r="K10724" s="10" t="inlineStr">
        <is>
          <t>Trên 4 Năm</t>
        </is>
      </c>
      <c r="L10724" s="11">
        <f>HYPERLINK("https://careerviet.vn/vi/tim-viec-lam/chuyen-vien-cao-cap-phap-ly-bat-dong-san-ho-4t004.35C6C8D6.html","Xem chi tiết")</f>
        <v/>
      </c>
      <c r="M10724" s="10" t="n"/>
    </row>
    <row r="10725">
      <c r="B10725" s="7" t="n">
        <v>10723</v>
      </c>
      <c r="C10725" t="inlineStr">
        <is>
          <t>Nhân Viên Thư Ký Dự Án</t>
        </is>
      </c>
      <c r="D10725" t="inlineStr">
        <is>
          <t>CÔNG TY CỔ PHẦN GIẢI PHÁP CHIẾU SÁNG NAVITEK</t>
        </is>
      </c>
      <c r="E10725" t="inlineStr">
        <is>
          <t>Lương:11 Tr - 13 Tr VND</t>
        </is>
      </c>
      <c r="F10725" t="inlineStr">
        <is>
          <t>Hồ Chí Minh</t>
        </is>
      </c>
      <c r="G10725" t="inlineStr">
        <is>
          <t>13-04-2026</t>
        </is>
      </c>
      <c r="H10725" t="inlineStr">
        <is>
          <t>13/04/2026</t>
        </is>
      </c>
      <c r="I10725" t="inlineStr">
        <is>
          <t>17/03/2026</t>
        </is>
      </c>
      <c r="J10725" t="inlineStr">
        <is>
          <t>Hành chính / Thư ký, Xây dựng, Bán hàng / Kinh doanh</t>
        </is>
      </c>
      <c r="K10725" t="inlineStr">
        <is>
          <t>N/A</t>
        </is>
      </c>
      <c r="L10725" s="8">
        <f>HYPERLINK("https://careerviet.vn/vi/tim-viec-lam/nhan-vien-thu-ky-du-an.35C6C61C.html","Xem chi tiết")</f>
        <v/>
      </c>
    </row>
    <row r="10726">
      <c r="B10726" s="9" t="n">
        <v>10724</v>
      </c>
      <c r="C10726" s="10" t="inlineStr">
        <is>
          <t>TRƯỞNG PHÒNG NHÂN SỰ</t>
        </is>
      </c>
      <c r="D10726" s="10" t="inlineStr">
        <is>
          <t>CÔNG TY CP ĐẦU TƯ XÂY DỰNG VÀ CƠ ĐIỆN IEC</t>
        </is>
      </c>
      <c r="E10726" s="10" t="inlineStr">
        <is>
          <t>Lương:20 Tr - 30 Tr VND</t>
        </is>
      </c>
      <c r="F10726" s="10" t="inlineStr">
        <is>
          <t>Hà Nội</t>
        </is>
      </c>
      <c r="G10726" s="10" t="inlineStr">
        <is>
          <t>12-04-2026</t>
        </is>
      </c>
      <c r="H10726" s="10" t="inlineStr">
        <is>
          <t>12/04/2026</t>
        </is>
      </c>
      <c r="I10726" s="10" t="inlineStr">
        <is>
          <t>17/03/2026</t>
        </is>
      </c>
      <c r="J10726" s="10" t="inlineStr">
        <is>
          <t>Hành chính / Thư ký, Nhân sự, Bất động sản</t>
        </is>
      </c>
      <c r="K10726" s="10" t="inlineStr">
        <is>
          <t>3 - 5 Năm</t>
        </is>
      </c>
      <c r="L10726" s="11">
        <f>HYPERLINK("https://careerviet.vn/vi/tim-viec-lam/truong-phong-nhan-su.35C6C8D4.html","Xem chi tiết")</f>
        <v/>
      </c>
      <c r="M10726" s="10" t="n"/>
    </row>
    <row r="10727">
      <c r="B10727" s="7" t="n">
        <v>10725</v>
      </c>
      <c r="C10727" t="inlineStr">
        <is>
          <t>CHUYÊN VIÊN PHÁP CHẾ</t>
        </is>
      </c>
      <c r="D10727" t="inlineStr">
        <is>
          <t>CÔNG TY CP ĐẦU TƯ XÂY DỰNG VÀ CƠ ĐIỆN IEC</t>
        </is>
      </c>
      <c r="E10727" t="inlineStr">
        <is>
          <t>Lương:10 Tr - 18 Tr VND</t>
        </is>
      </c>
      <c r="F10727" t="inlineStr">
        <is>
          <t>Hà Nội</t>
        </is>
      </c>
      <c r="G10727" t="inlineStr">
        <is>
          <t>12-04-2026</t>
        </is>
      </c>
      <c r="H10727" t="inlineStr">
        <is>
          <t>12/04/2026</t>
        </is>
      </c>
      <c r="I10727" t="inlineStr">
        <is>
          <t>17/03/2026</t>
        </is>
      </c>
      <c r="J10727" t="inlineStr">
        <is>
          <t>Bất động sản, Xây dựng, Luật / Pháp lý</t>
        </is>
      </c>
      <c r="K10727" t="inlineStr">
        <is>
          <t>2 - 5 Năm</t>
        </is>
      </c>
      <c r="L10727" s="8">
        <f>HYPERLINK("https://careerviet.vn/vi/tim-viec-lam/chuyen-vien-phap-che.35C6C8D3.html","Xem chi tiết")</f>
        <v/>
      </c>
    </row>
    <row r="10728">
      <c r="B10728" s="9" t="n">
        <v>10726</v>
      </c>
      <c r="C10728" s="10" t="inlineStr">
        <is>
          <t>Bếp trưởng_ Quảng Ninh</t>
        </is>
      </c>
      <c r="D10728" s="10" t="inlineStr">
        <is>
          <t>CÔNG TY CỔ PHẦN THƯƠNG MẠI DỊCH VỤ AN ĐẠI DƯƠNG</t>
        </is>
      </c>
      <c r="E10728" s="10" t="inlineStr">
        <is>
          <t>Lương:17 Tr - 25 Tr VND</t>
        </is>
      </c>
      <c r="F10728" s="10" t="inlineStr">
        <is>
          <t>Quảng Ninh</t>
        </is>
      </c>
      <c r="G10728" s="10" t="inlineStr">
        <is>
          <t>30-04-2026</t>
        </is>
      </c>
      <c r="H10728" s="10" t="inlineStr">
        <is>
          <t>30/04/2026</t>
        </is>
      </c>
      <c r="I10728" s="10" t="inlineStr">
        <is>
          <t>17/03/2026</t>
        </is>
      </c>
      <c r="J10728" s="10" t="inlineStr">
        <is>
          <t>Nhà hàng / Khách sạn, Thực phẩm &amp; Đồ uống</t>
        </is>
      </c>
      <c r="K10728" s="10" t="inlineStr">
        <is>
          <t>2 - 10 Năm</t>
        </is>
      </c>
      <c r="L10728" s="11">
        <f>HYPERLINK("https://careerviet.vn/vi/tim-viec-lam/bep-truong_-quang-ninh.35C6C8D5.html","Xem chi tiết")</f>
        <v/>
      </c>
      <c r="M10728" s="10" t="n"/>
    </row>
    <row r="10729">
      <c r="B10729" s="7" t="n">
        <v>10727</v>
      </c>
      <c r="C10729" t="inlineStr">
        <is>
          <t>Đứng nấu Bếp CN_ Quảng Ninh</t>
        </is>
      </c>
      <c r="D10729" t="inlineStr">
        <is>
          <t>CÔNG TY CỔ PHẦN THƯƠNG MẠI DỊCH VỤ AN ĐẠI DƯƠNG</t>
        </is>
      </c>
      <c r="E10729" t="inlineStr">
        <is>
          <t>Lương:10 Tr - 18 Tr VND</t>
        </is>
      </c>
      <c r="F10729" t="inlineStr">
        <is>
          <t>Quảng Ninh</t>
        </is>
      </c>
      <c r="G10729" t="inlineStr">
        <is>
          <t>30-04-2026</t>
        </is>
      </c>
      <c r="H10729" t="inlineStr">
        <is>
          <t>30/04/2026</t>
        </is>
      </c>
      <c r="I10729" t="inlineStr">
        <is>
          <t>17/03/2026</t>
        </is>
      </c>
      <c r="J10729" t="inlineStr">
        <is>
          <t>Nhà hàng / Khách sạn, Thực phẩm &amp; Đồ uống</t>
        </is>
      </c>
      <c r="K10729" t="inlineStr">
        <is>
          <t>1 - 2 Năm</t>
        </is>
      </c>
      <c r="L10729" s="8">
        <f>HYPERLINK("https://careerviet.vn/vi/tim-viec-lam/dung-nau-bep-cn_-quang-ninh.35C6C8D1.html","Xem chi tiết")</f>
        <v/>
      </c>
    </row>
    <row r="10730">
      <c r="B10730" s="9" t="n">
        <v>10728</v>
      </c>
      <c r="C10730" s="10" t="inlineStr">
        <is>
          <t>B2B &amp; Corporate Sales Supervisor</t>
        </is>
      </c>
      <c r="D10730" s="10" t="inlineStr">
        <is>
          <t>Công Ty TNHH TaeYang Việt Nam Chi Nhánh Đồng Nai</t>
        </is>
      </c>
      <c r="E10730" s="10" t="inlineStr">
        <is>
          <t>Lương:Cạnh tranh</t>
        </is>
      </c>
      <c r="F10730" s="10" t="inlineStr">
        <is>
          <t>Hồ Chí Minh</t>
        </is>
      </c>
      <c r="G10730" s="10" t="inlineStr">
        <is>
          <t>13-04-2026</t>
        </is>
      </c>
      <c r="H10730" s="10" t="inlineStr">
        <is>
          <t>13/04/2026</t>
        </is>
      </c>
      <c r="I10730" s="10" t="inlineStr">
        <is>
          <t>17/03/2026</t>
        </is>
      </c>
      <c r="J10730" s="10" t="inlineStr">
        <is>
          <t>Bán hàng / Kinh doanh, Tiếp thị / Marketing, Quản lý điều hành</t>
        </is>
      </c>
      <c r="K10730" s="10" t="inlineStr">
        <is>
          <t>Trên 3 Năm</t>
        </is>
      </c>
      <c r="L10730" s="11">
        <f>HYPERLINK("https://careerviet.vn/vi/tim-viec-lam/b2b-corporate-sales-supervisor.35C6C89D.html","Xem chi tiết")</f>
        <v/>
      </c>
      <c r="M10730" s="10" t="n"/>
    </row>
    <row r="10731">
      <c r="B10731" s="7" t="n">
        <v>10729</v>
      </c>
      <c r="C10731" t="inlineStr">
        <is>
          <t>E-commerce Operation Executive (Vận hành sàn TMĐT)</t>
        </is>
      </c>
      <c r="D10731" t="inlineStr">
        <is>
          <t>HMK Eyewear</t>
        </is>
      </c>
      <c r="E10731" t="inlineStr">
        <is>
          <t>Lương:Cạnh tranh</t>
        </is>
      </c>
      <c r="F10731" t="inlineStr">
        <is>
          <t>Hồ Chí Minh</t>
        </is>
      </c>
      <c r="G10731" t="inlineStr">
        <is>
          <t>30-04-2026</t>
        </is>
      </c>
      <c r="H10731" t="inlineStr">
        <is>
          <t>30/04/2026</t>
        </is>
      </c>
      <c r="I10731" t="inlineStr">
        <is>
          <t>17/03/2026</t>
        </is>
      </c>
      <c r="J10731" t="inlineStr">
        <is>
          <t>Tiếp thị trực tuyến, Thương mại điện tử, Bán hàng / Kinh doanh</t>
        </is>
      </c>
      <c r="K10731" t="inlineStr">
        <is>
          <t>1 - 2 Năm</t>
        </is>
      </c>
      <c r="L10731" s="8">
        <f>HYPERLINK("https://careerviet.vn/vi/tim-viec-lam/e-commerce-operation-executive-van-hanh-san-tmdt.35C6C8CA.html","Xem chi tiết")</f>
        <v/>
      </c>
    </row>
    <row r="10732">
      <c r="B10732" s="9" t="n">
        <v>10730</v>
      </c>
      <c r="C10732" s="10" t="inlineStr">
        <is>
          <t>Nhân viên Kế toán bán hàng</t>
        </is>
      </c>
      <c r="D10732" s="10" t="inlineStr">
        <is>
          <t>CÔNG TY CỔ PHẦN THƯƠNG MẠI DỊCH VỤ AN ĐẠI DƯƠNG</t>
        </is>
      </c>
      <c r="E10732" s="10" t="inlineStr">
        <is>
          <t>Lương:9 Tr - 12 Tr VND</t>
        </is>
      </c>
      <c r="F10732" s="10" t="inlineStr">
        <is>
          <t>Quảng Ninh</t>
        </is>
      </c>
      <c r="G10732" s="10" t="inlineStr">
        <is>
          <t>30-04-2026</t>
        </is>
      </c>
      <c r="H10732" s="10" t="inlineStr">
        <is>
          <t>30/04/2026</t>
        </is>
      </c>
      <c r="I10732" s="10" t="inlineStr">
        <is>
          <t>17/03/2026</t>
        </is>
      </c>
      <c r="J10732" s="10" t="inlineStr">
        <is>
          <t>Kế toán / Kiểm toán</t>
        </is>
      </c>
      <c r="K10732" s="10" t="inlineStr">
        <is>
          <t>Chưa có kinh nghiệm</t>
        </is>
      </c>
      <c r="L10732" s="11">
        <f>HYPERLINK("https://careerviet.vn/vi/tim-viec-lam/nhan-vien-ke-toan-ban-hang.35C6C8C9.html","Xem chi tiết")</f>
        <v/>
      </c>
      <c r="M10732" s="10" t="n"/>
    </row>
    <row r="10733">
      <c r="B10733" s="7" t="n">
        <v>10731</v>
      </c>
      <c r="C10733" t="inlineStr">
        <is>
          <t>Communication Team Leader (Vita Clinic)</t>
        </is>
      </c>
      <c r="D10733" t="inlineStr">
        <is>
          <t>California Wellness Group</t>
        </is>
      </c>
      <c r="E10733" t="inlineStr">
        <is>
          <t>Lương:Cạnh tranh</t>
        </is>
      </c>
      <c r="F10733" t="inlineStr">
        <is>
          <t>Hồ Chí Minh</t>
        </is>
      </c>
      <c r="G10733" t="inlineStr">
        <is>
          <t>30-04-2026</t>
        </is>
      </c>
      <c r="H10733" t="inlineStr">
        <is>
          <t>30/04/2026</t>
        </is>
      </c>
      <c r="I10733" t="inlineStr">
        <is>
          <t>17/03/2026</t>
        </is>
      </c>
      <c r="J10733" t="inlineStr">
        <is>
          <t>Tiếp thị / Marketing</t>
        </is>
      </c>
      <c r="K10733" t="inlineStr">
        <is>
          <t>4 - 6 Năm</t>
        </is>
      </c>
      <c r="L10733" s="8">
        <f>HYPERLINK("https://careerviet.vn/vi/tim-viec-lam/communication-team-leader-vita-clinic.35C6C8CC.html","Xem chi tiết")</f>
        <v/>
      </c>
    </row>
    <row r="10734">
      <c r="B10734" s="9" t="n">
        <v>10732</v>
      </c>
      <c r="C10734" s="10" t="inlineStr">
        <is>
          <t>[Nova Hotels &amp; Resorts World] Chuyên viên Cao cấp Thiết kế Ý tưởng Kiến trúc</t>
        </is>
      </c>
      <c r="D10734" s="10" t="inlineStr">
        <is>
          <t>Nova Service Group - Công ty Cổ phần Tập đoàn Nova Services</t>
        </is>
      </c>
      <c r="E10734" s="10" t="inlineStr">
        <is>
          <t>Lương:Cạnh tranh</t>
        </is>
      </c>
      <c r="F10734" s="10" t="inlineStr">
        <is>
          <t>Hồ Chí Minh</t>
        </is>
      </c>
      <c r="G10734" s="10" t="inlineStr">
        <is>
          <t>15-04-2026</t>
        </is>
      </c>
      <c r="H10734" s="10" t="inlineStr">
        <is>
          <t>15/04/2026</t>
        </is>
      </c>
      <c r="I10734" s="10" t="inlineStr">
        <is>
          <t>17/03/2026</t>
        </is>
      </c>
      <c r="J10734" s="10" t="inlineStr">
        <is>
          <t>Nhà hàng / Khách sạn, Mỹ thuật / Nghệ thuật / Thiết kế, Kiến trúc</t>
        </is>
      </c>
      <c r="K10734" s="10" t="inlineStr">
        <is>
          <t>7 - 8 Năm</t>
        </is>
      </c>
      <c r="L10734" s="11">
        <f>HYPERLINK("https://careerviet.vn/vi/tim-viec-lam/nova-hotels-resorts-world-chuyen-vien-cao-cap-thiet-ke-y-tuong-kien-truc.35C6C8D2.html","Xem chi tiết")</f>
        <v/>
      </c>
      <c r="M10734" s="10" t="n"/>
    </row>
    <row r="10735">
      <c r="B10735" s="7" t="n">
        <v>10733</v>
      </c>
      <c r="C10735" t="inlineStr">
        <is>
          <t>Warehouse Customer Service Staff (Japanese Logistics Company)</t>
        </is>
      </c>
      <c r="D10735" t="inlineStr">
        <is>
          <t>Công ty LD TNHH Nippon Express (Việt Nam)</t>
        </is>
      </c>
      <c r="E10735" t="inlineStr">
        <is>
          <t>Lương:Cạnh tranh</t>
        </is>
      </c>
      <c r="F10735" t="inlineStr">
        <is>
          <t>Bình Dương</t>
        </is>
      </c>
      <c r="G10735" t="inlineStr">
        <is>
          <t>30-04-2026</t>
        </is>
      </c>
      <c r="H10735" t="inlineStr">
        <is>
          <t>30/04/2026</t>
        </is>
      </c>
      <c r="I10735" t="inlineStr">
        <is>
          <t>17/03/2026</t>
        </is>
      </c>
      <c r="J10735" t="inlineStr">
        <is>
          <t>Vận chuyển / Giao nhận / Kho vận, Xuất nhập khẩu</t>
        </is>
      </c>
      <c r="K10735" t="inlineStr">
        <is>
          <t>1 - 2 Năm</t>
        </is>
      </c>
      <c r="L10735" s="8">
        <f>HYPERLINK("https://careerviet.vn/vi/tim-viec-lam/warehouse-customer-service-staff-japanese-logistics-company.35C6C8CB.html","Xem chi tiết")</f>
        <v/>
      </c>
    </row>
    <row r="10736">
      <c r="B10736" s="9" t="n">
        <v>10734</v>
      </c>
      <c r="C10736" s="10" t="inlineStr">
        <is>
          <t>Data Analyst (Google Sheets / Power BI)</t>
        </is>
      </c>
      <c r="D10736" s="10" t="inlineStr">
        <is>
          <t>Công Ty TNHH Việt Mỹ-SSU</t>
        </is>
      </c>
      <c r="E10736" s="10" t="inlineStr">
        <is>
          <t>Lương:10 Tr - 12 Tr VND</t>
        </is>
      </c>
      <c r="F10736" s="10" t="inlineStr">
        <is>
          <t>Hồ Chí Minh</t>
        </is>
      </c>
      <c r="G10736" s="10" t="inlineStr">
        <is>
          <t>01-04-2026</t>
        </is>
      </c>
      <c r="H10736" s="10" t="inlineStr">
        <is>
          <t>01/04/2026</t>
        </is>
      </c>
      <c r="I10736" s="10" t="inlineStr">
        <is>
          <t>17/03/2026</t>
        </is>
      </c>
      <c r="J10736" s="10" t="inlineStr">
        <is>
          <t>CNTT - Phần mềm, Thương mại điện tử, CNTT - Phần cứng / Mạng</t>
        </is>
      </c>
      <c r="K10736" s="10" t="inlineStr">
        <is>
          <t>1 - 3 Năm</t>
        </is>
      </c>
      <c r="L10736" s="11">
        <f>HYPERLINK("https://careerviet.vn/vi/tim-viec-lam/data-analyst-google-sheets-power-bi.35C6C8E1.html","Xem chi tiết")</f>
        <v/>
      </c>
      <c r="M10736" s="10" t="n"/>
    </row>
    <row r="10737">
      <c r="B10737" s="7" t="n">
        <v>10735</v>
      </c>
      <c r="C10737" t="inlineStr">
        <is>
          <t>Giám Sát An Toàn Lao Động</t>
        </is>
      </c>
      <c r="D10737" t="inlineStr">
        <is>
          <t>CÔNG TY CỔ PHẦN DỊCH VỤ VÀ KỸ THUẬT SMC</t>
        </is>
      </c>
      <c r="E10737" t="inlineStr">
        <is>
          <t>Lương:Cạnh tranh</t>
        </is>
      </c>
      <c r="F10737" t="inlineStr">
        <is>
          <t>Hồ Chí Minh</t>
        </is>
      </c>
      <c r="G10737" t="inlineStr">
        <is>
          <t>13-04-2026</t>
        </is>
      </c>
      <c r="H10737" t="inlineStr">
        <is>
          <t>13/04/2026</t>
        </is>
      </c>
      <c r="I10737" t="inlineStr">
        <is>
          <t>17/03/2026</t>
        </is>
      </c>
      <c r="J10737" t="inlineStr">
        <is>
          <t>Điện / Điện tử / Điện lạnh / Điện công nghiệp, An toàn lao động, Dầu khí</t>
        </is>
      </c>
      <c r="K10737" t="inlineStr">
        <is>
          <t>Trên 1 Năm</t>
        </is>
      </c>
      <c r="L10737" s="8">
        <f>HYPERLINK("https://careerviet.vn/vi/tim-viec-lam/giam-sat-an-toan-lao-dong.35C6C8CD.html","Xem chi tiết")</f>
        <v/>
      </c>
    </row>
    <row r="10738">
      <c r="B10738" s="9" t="n">
        <v>10736</v>
      </c>
      <c r="C10738" s="10" t="inlineStr">
        <is>
          <t>Kế Toán Kho</t>
        </is>
      </c>
      <c r="D10738" s="10" t="inlineStr">
        <is>
          <t>Công ty CP ô tô Vũ Linh</t>
        </is>
      </c>
      <c r="E10738" s="10" t="inlineStr">
        <is>
          <t>Lương:10 Tr - 13 Tr VND</t>
        </is>
      </c>
      <c r="F10738" s="10" t="inlineStr">
        <is>
          <t>Bắc Ninh</t>
        </is>
      </c>
      <c r="G10738" s="10" t="inlineStr">
        <is>
          <t>13-04-2026</t>
        </is>
      </c>
      <c r="H10738" s="10" t="inlineStr">
        <is>
          <t>13/04/2026</t>
        </is>
      </c>
      <c r="I10738" s="10" t="inlineStr">
        <is>
          <t>17/03/2026</t>
        </is>
      </c>
      <c r="J10738" s="10" t="inlineStr">
        <is>
          <t>Kế toán / Kiểm toán, Tài chính / Đầu tư, Vận chuyển / Giao nhận / Kho vận</t>
        </is>
      </c>
      <c r="K10738" s="10" t="inlineStr">
        <is>
          <t>Trên 1 Năm</t>
        </is>
      </c>
      <c r="L10738" s="11">
        <f>HYPERLINK("https://careerviet.vn/vi/tim-viec-lam/ke-toan-kho.35C6C8A7.html","Xem chi tiết")</f>
        <v/>
      </c>
      <c r="M10738" s="10" t="n"/>
    </row>
    <row r="10739">
      <c r="B10739" s="7" t="n">
        <v>10737</v>
      </c>
      <c r="C10739" t="inlineStr">
        <is>
          <t>Kế toán công nợ</t>
        </is>
      </c>
      <c r="D10739" t="inlineStr">
        <is>
          <t>Royal Group - Tập Đoàn Hoàng Gia</t>
        </is>
      </c>
      <c r="E10739" t="inlineStr">
        <is>
          <t>Lương:13 Tr - 15 Tr VND</t>
        </is>
      </c>
      <c r="F10739" t="inlineStr">
        <is>
          <t>Hồ Chí Minh</t>
        </is>
      </c>
      <c r="G10739" t="inlineStr">
        <is>
          <t>17-04-2026</t>
        </is>
      </c>
      <c r="H10739" t="inlineStr">
        <is>
          <t>17/04/2026</t>
        </is>
      </c>
      <c r="I10739" t="inlineStr">
        <is>
          <t>17/03/2026</t>
        </is>
      </c>
      <c r="J10739" t="inlineStr">
        <is>
          <t>Kế toán / Kiểm toán, Ngân hàng, Tài chính / Đầu tư</t>
        </is>
      </c>
      <c r="K10739" t="inlineStr">
        <is>
          <t>1 - 2 Năm</t>
        </is>
      </c>
      <c r="L10739" s="8">
        <f>HYPERLINK("https://careerviet.vn/vi/tim-viec-lam/ke-toan-cong-no.35C6C8C4.html","Xem chi tiết")</f>
        <v/>
      </c>
    </row>
    <row r="10740">
      <c r="B10740" s="9" t="n">
        <v>10738</v>
      </c>
      <c r="C10740" s="10" t="inlineStr">
        <is>
          <t>Nhân viên Giám sát Bếp ăn công nghiệp_ Quảng Ninh</t>
        </is>
      </c>
      <c r="D10740" s="10" t="inlineStr">
        <is>
          <t>CÔNG TY CỔ PHẦN THƯƠNG MẠI DỊCH VỤ AN ĐẠI DƯƠNG</t>
        </is>
      </c>
      <c r="E10740" s="10" t="inlineStr">
        <is>
          <t>Lương:10 Tr - 14 Tr VND</t>
        </is>
      </c>
      <c r="F10740" s="10" t="inlineStr">
        <is>
          <t>Quảng Ninh</t>
        </is>
      </c>
      <c r="G10740" s="10" t="inlineStr">
        <is>
          <t>30-04-2026</t>
        </is>
      </c>
      <c r="H10740" s="10" t="inlineStr">
        <is>
          <t>30/04/2026</t>
        </is>
      </c>
      <c r="I10740" s="10" t="inlineStr">
        <is>
          <t>17/03/2026</t>
        </is>
      </c>
      <c r="J10740" s="10" t="inlineStr">
        <is>
          <t>Thực phẩm &amp; Đồ uống, Nhà hàng / Khách sạn, Công nghệ thực phẩm / Dinh dưỡng</t>
        </is>
      </c>
      <c r="K10740" s="10" t="inlineStr">
        <is>
          <t>1 - 2 Năm</t>
        </is>
      </c>
      <c r="L10740" s="11">
        <f>HYPERLINK("https://careerviet.vn/vi/tim-viec-lam/nhan-vien-giam-sat-bep-an-cong-nghiep_-quang-ninh.35C6C8C3.html","Xem chi tiết")</f>
        <v/>
      </c>
      <c r="M10740" s="10" t="n"/>
    </row>
    <row r="10741">
      <c r="B10741" s="7" t="n">
        <v>10739</v>
      </c>
      <c r="C10741" t="inlineStr">
        <is>
          <t>Chuyên Viên Kế Toán</t>
        </is>
      </c>
      <c r="D10741" t="inlineStr">
        <is>
          <t>CÔNG TY TNHH TƯ VẤN VÀ KIỂM TOÁN ICMA</t>
        </is>
      </c>
      <c r="E10741" t="inlineStr">
        <is>
          <t>Lương:10 Tr - 15 Tr VND</t>
        </is>
      </c>
      <c r="F10741" t="inlineStr">
        <is>
          <t>Hồ Chí Minh</t>
        </is>
      </c>
      <c r="G10741" t="inlineStr">
        <is>
          <t>12-04-2026</t>
        </is>
      </c>
      <c r="H10741" t="inlineStr">
        <is>
          <t>12/04/2026</t>
        </is>
      </c>
      <c r="I10741" t="inlineStr">
        <is>
          <t>17/03/2026</t>
        </is>
      </c>
      <c r="J10741" t="inlineStr">
        <is>
          <t>Kế toán / Kiểm toán, Tài chính / Đầu tư, Luật / Pháp lý</t>
        </is>
      </c>
      <c r="K10741" t="inlineStr">
        <is>
          <t>1 - 2 NămĐịa điểm</t>
        </is>
      </c>
      <c r="L10741" s="8">
        <f>HYPERLINK("https://careerviet.vn/vi/tim-viec-lam/chuyen-vien-ke-toan.35C6C8BE.html","Xem chi tiết")</f>
        <v/>
      </c>
    </row>
    <row r="10742">
      <c r="B10742" s="9" t="n">
        <v>10740</v>
      </c>
      <c r="C10742" s="10" t="inlineStr">
        <is>
          <t>QUẢN LÝ SAMPLING</t>
        </is>
      </c>
      <c r="D10742" s="10" t="inlineStr">
        <is>
          <t>Công ty TNHH Chế biến thực phẩm Đông Đô</t>
        </is>
      </c>
      <c r="E10742" s="10" t="inlineStr">
        <is>
          <t>Lương:14 Tr - 16 Tr VND</t>
        </is>
      </c>
      <c r="F10742" s="10" t="inlineStr">
        <is>
          <t>Hà NộiHồ Chí Minh</t>
        </is>
      </c>
      <c r="G10742" s="10" t="inlineStr">
        <is>
          <t>20-04-2026</t>
        </is>
      </c>
      <c r="H10742" s="10" t="inlineStr">
        <is>
          <t>20/04/2026</t>
        </is>
      </c>
      <c r="I10742" s="10" t="inlineStr">
        <is>
          <t>17/03/2026</t>
        </is>
      </c>
      <c r="J10742" s="10" t="inlineStr">
        <is>
          <t>Tiếp thị / Marketing, Truyền hình / Báo chí / Biên tập, Bán hàng / Kinh doanh</t>
        </is>
      </c>
      <c r="K10742" s="10" t="inlineStr">
        <is>
          <t>2 - 3 Năm</t>
        </is>
      </c>
      <c r="L10742" s="11">
        <f>HYPERLINK("https://careerviet.vn/vi/tim-viec-lam/quan-ly-sampling.35C6C8BF.html","Xem chi tiết")</f>
        <v/>
      </c>
      <c r="M10742" s="10" t="n"/>
    </row>
    <row r="10743">
      <c r="B10743" s="7" t="n">
        <v>10741</v>
      </c>
      <c r="C10743" t="inlineStr">
        <is>
          <t>Kỹ Sư QC/QS – Phụ Trách Mảng Cơ Điện - MEP</t>
        </is>
      </c>
      <c r="D10743" t="inlineStr">
        <is>
          <t>CÔNG TY CỔ PHẦN ĐẦU TƯ DANCO</t>
        </is>
      </c>
      <c r="E10743" t="inlineStr">
        <is>
          <t>Lương:29 Tr - 35 Tr VND</t>
        </is>
      </c>
      <c r="F10743" t="inlineStr">
        <is>
          <t>Hà Nội</t>
        </is>
      </c>
      <c r="G10743" t="inlineStr">
        <is>
          <t>01-05-2026</t>
        </is>
      </c>
      <c r="H10743" t="inlineStr">
        <is>
          <t>01/05/2026</t>
        </is>
      </c>
      <c r="I10743" t="inlineStr">
        <is>
          <t>17/03/2026</t>
        </is>
      </c>
      <c r="J10743" t="inlineStr">
        <is>
          <t>Kiến trúc, Xây dựng, Điện / Điện tử / Điện lạnh / Điện công nghiệp</t>
        </is>
      </c>
      <c r="K10743" t="inlineStr">
        <is>
          <t>2 - 5 Năm</t>
        </is>
      </c>
      <c r="L10743" s="8">
        <f>HYPERLINK("https://careerviet.vn/vi/tim-viec-lam/ky-su-qc-qs-phu-trach-mang-co-dien-mep.35C6C8BC.html","Xem chi tiết")</f>
        <v/>
      </c>
    </row>
    <row r="10744">
      <c r="B10744" s="9" t="n">
        <v>10742</v>
      </c>
      <c r="C10744" s="10" t="inlineStr">
        <is>
          <t>Chuyên viên Tài chính (Lĩnh Vực Xăng Dầu)</t>
        </is>
      </c>
      <c r="D10744" s="10" t="inlineStr">
        <is>
          <t>Công Ty Cổ Phần Tập Đoàn PELIO</t>
        </is>
      </c>
      <c r="E10744" s="10" t="inlineStr">
        <is>
          <t>Lương:Cạnh tranh</t>
        </is>
      </c>
      <c r="F10744" s="10" t="inlineStr">
        <is>
          <t>Hồ Chí Minh</t>
        </is>
      </c>
      <c r="G10744" s="10" t="inlineStr">
        <is>
          <t>30-04-2026</t>
        </is>
      </c>
      <c r="H10744" s="10" t="inlineStr">
        <is>
          <t>30/04/2026</t>
        </is>
      </c>
      <c r="I10744" s="10" t="inlineStr">
        <is>
          <t>17/03/2026</t>
        </is>
      </c>
      <c r="J10744" s="10" t="inlineStr">
        <is>
          <t>Kế toán / Kiểm toán, Tài chính / Đầu tư, Ngân hàng</t>
        </is>
      </c>
      <c r="K10744" s="10" t="inlineStr">
        <is>
          <t>2 - 4 Năm</t>
        </is>
      </c>
      <c r="L10744" s="11">
        <f>HYPERLINK("https://careerviet.vn/vi/tim-viec-lam/chuyen-vien-tai-chinh-linh-vuc-xang-dau.35C6C8BB.html","Xem chi tiết")</f>
        <v/>
      </c>
      <c r="M10744" s="10" t="n"/>
    </row>
    <row r="10745">
      <c r="B10745" s="7" t="n">
        <v>10743</v>
      </c>
      <c r="C10745" t="inlineStr">
        <is>
          <t>Kế toán- Địa bàn Quảng Ninh</t>
        </is>
      </c>
      <c r="D10745" t="inlineStr">
        <is>
          <t>CÔNG TY CỔ PHẦN THƯƠNG MẠI DỊCH VỤ AN ĐẠI DƯƠNG</t>
        </is>
      </c>
      <c r="E10745" t="inlineStr">
        <is>
          <t>Lương:10 Tr - 13 Tr VND</t>
        </is>
      </c>
      <c r="F10745" t="inlineStr">
        <is>
          <t>Quảng Ninh</t>
        </is>
      </c>
      <c r="G10745" t="inlineStr">
        <is>
          <t>30-04-2026</t>
        </is>
      </c>
      <c r="H10745" t="inlineStr">
        <is>
          <t>30/04/2026</t>
        </is>
      </c>
      <c r="I10745" t="inlineStr">
        <is>
          <t>17/03/2026</t>
        </is>
      </c>
      <c r="J10745" t="inlineStr">
        <is>
          <t>Kế toán / Kiểm toán</t>
        </is>
      </c>
      <c r="K10745" t="inlineStr">
        <is>
          <t>1 - 3 Năm</t>
        </is>
      </c>
      <c r="L10745" s="8">
        <f>HYPERLINK("https://careerviet.vn/vi/tim-viec-lam/ke-toan-dia-ban-quang-ninh.35C6C8C6.html","Xem chi tiết")</f>
        <v/>
      </c>
    </row>
    <row r="10746">
      <c r="B10746" s="9" t="n">
        <v>10744</v>
      </c>
      <c r="C10746" s="10" t="inlineStr">
        <is>
          <t>Nhân viên Tuyển dụng Mass (Khối cửa hàng)</t>
        </is>
      </c>
      <c r="D10746" s="10" t="inlineStr">
        <is>
          <t>THỜI TRANG LINING_CÔNG TY TNHH QUỐC TẾ HẢI LONG</t>
        </is>
      </c>
      <c r="E10746" s="10" t="inlineStr">
        <is>
          <t>Lương:11 Tr - 15 Tr VND</t>
        </is>
      </c>
      <c r="F10746" s="10" t="inlineStr">
        <is>
          <t>Hà Nội</t>
        </is>
      </c>
      <c r="G10746" s="10" t="inlineStr">
        <is>
          <t>14-04-2026</t>
        </is>
      </c>
      <c r="H10746" s="10" t="inlineStr">
        <is>
          <t>14/04/2026</t>
        </is>
      </c>
      <c r="I10746" s="10" t="inlineStr">
        <is>
          <t>17/03/2026</t>
        </is>
      </c>
      <c r="J10746" s="10" t="inlineStr">
        <is>
          <t>Hành chính / Thư ký, Nhân sự</t>
        </is>
      </c>
      <c r="K10746" s="10" t="inlineStr">
        <is>
          <t>2 - 3 Năm</t>
        </is>
      </c>
      <c r="L10746" s="11">
        <f>HYPERLINK("https://careerviet.vn/vi/tim-viec-lam/nhan-vien-tuyen-dung-mass-khoi-cua-hang.35C6C71C.html","Xem chi tiết")</f>
        <v/>
      </c>
      <c r="M10746" s="10" t="n"/>
    </row>
    <row r="10747">
      <c r="B10747" s="7" t="n">
        <v>10745</v>
      </c>
      <c r="C10747" t="inlineStr">
        <is>
          <t>Chuyên viên tuyển dụng</t>
        </is>
      </c>
      <c r="D10747" t="inlineStr">
        <is>
          <t>CÔNG TY CỔ PHẦN ABT HOMES</t>
        </is>
      </c>
      <c r="E10747" t="inlineStr">
        <is>
          <t>Lương:10 Tr - 15 Tr VND</t>
        </is>
      </c>
      <c r="F10747" t="inlineStr">
        <is>
          <t>Hà Nội</t>
        </is>
      </c>
      <c r="G10747" t="inlineStr">
        <is>
          <t>11-04-2026</t>
        </is>
      </c>
      <c r="H10747" t="inlineStr">
        <is>
          <t>11/04/2026</t>
        </is>
      </c>
      <c r="I10747" t="inlineStr">
        <is>
          <t>17/03/2026</t>
        </is>
      </c>
      <c r="J10747" t="inlineStr">
        <is>
          <t>Hành chính / Thư ký, Nhân sự</t>
        </is>
      </c>
      <c r="K10747" t="inlineStr">
        <is>
          <t>1 - 2 Năm</t>
        </is>
      </c>
      <c r="L10747" s="8">
        <f>HYPERLINK("https://careerviet.vn/vi/tim-viec-lam/chuyen-vien-tuyen-dung.35C6C19A.html","Xem chi tiết")</f>
        <v/>
      </c>
    </row>
    <row r="10748">
      <c r="B10748" s="9" t="n">
        <v>10746</v>
      </c>
      <c r="C10748" s="10" t="inlineStr">
        <is>
          <t>CHUYÊN VIÊN TƯ VẤN THIẾT KẾ KIẾN TRÚC – NỘI THẤT</t>
        </is>
      </c>
      <c r="D10748" s="10" t="inlineStr">
        <is>
          <t>CÔNG TY CỔ PHẦN ABT HOMES</t>
        </is>
      </c>
      <c r="E10748" s="10" t="inlineStr">
        <is>
          <t>Lương:12 Tr - 20 Tr VND</t>
        </is>
      </c>
      <c r="F10748" s="10" t="inlineStr">
        <is>
          <t>Hà Nội</t>
        </is>
      </c>
      <c r="G10748" s="10" t="inlineStr">
        <is>
          <t>20-05-2026</t>
        </is>
      </c>
      <c r="H10748" s="10" t="inlineStr">
        <is>
          <t>20/05/2026</t>
        </is>
      </c>
      <c r="I10748" s="10" t="inlineStr">
        <is>
          <t>17/03/2026</t>
        </is>
      </c>
      <c r="J10748" s="10" t="inlineStr">
        <is>
          <t>Tiếp thị / Marketing, Bán hàng / Kinh doanh, Tiếp thị trực tuyến</t>
        </is>
      </c>
      <c r="K10748" s="10" t="inlineStr">
        <is>
          <t>1 - 2 Năm</t>
        </is>
      </c>
      <c r="L10748" s="11">
        <f>HYPERLINK("https://careerviet.vn/vi/tim-viec-lam/chuyen-vien-tu-van-thiet-ke-kien-truc-noi-that.35C6C454.html","Xem chi tiết")</f>
        <v/>
      </c>
      <c r="M10748" s="10" t="n"/>
    </row>
    <row r="10749">
      <c r="B10749" s="7" t="n">
        <v>10747</v>
      </c>
      <c r="C10749" t="inlineStr">
        <is>
          <t>Quản lý Khách sạn</t>
        </is>
      </c>
      <c r="D10749" t="inlineStr">
        <is>
          <t>CÔNG TY TNHH PHÁT TRIỂN THƯƠNG MẠI BĐS NEWSTARLAND</t>
        </is>
      </c>
      <c r="E10749" t="inlineStr">
        <is>
          <t>Lương:Cạnh tranh</t>
        </is>
      </c>
      <c r="F10749" t="inlineStr">
        <is>
          <t>Hà NộiKiên Giang</t>
        </is>
      </c>
      <c r="G10749" t="inlineStr">
        <is>
          <t>30-03-2026</t>
        </is>
      </c>
      <c r="H10749" t="inlineStr">
        <is>
          <t>30/03/2026</t>
        </is>
      </c>
      <c r="I10749" t="inlineStr">
        <is>
          <t>17/03/2026</t>
        </is>
      </c>
      <c r="J10749" t="inlineStr">
        <is>
          <t>Nhà hàng / Khách sạn, Quản lý điều hành, Du lịch</t>
        </is>
      </c>
      <c r="K10749" t="inlineStr">
        <is>
          <t>5 - 10 Năm</t>
        </is>
      </c>
      <c r="L10749" s="8">
        <f>HYPERLINK("https://careerviet.vn/vi/tim-viec-lam/quan-ly-khach-san.35C6C8B8.html","Xem chi tiết")</f>
        <v/>
      </c>
    </row>
    <row r="10750">
      <c r="B10750" s="9" t="n">
        <v>10748</v>
      </c>
      <c r="C10750" s="10" t="inlineStr">
        <is>
          <t>Kế toán Tổng hợp - Mảng Bất động sản</t>
        </is>
      </c>
      <c r="D10750" s="10" t="inlineStr">
        <is>
          <t>CÔNG TY CỔ PHẦN ĐẦU TƯ VÀ KINH DOANH BẤT ĐỘNG SẢN MAINLAND</t>
        </is>
      </c>
      <c r="E10750" s="10" t="inlineStr">
        <is>
          <t>Lương:12 Tr - 18 Tr VND</t>
        </is>
      </c>
      <c r="F10750" s="10" t="inlineStr">
        <is>
          <t>Hà Nội</t>
        </is>
      </c>
      <c r="G10750" s="10" t="inlineStr">
        <is>
          <t>13-06-2026</t>
        </is>
      </c>
      <c r="H10750" s="10" t="inlineStr">
        <is>
          <t>13/06/2026</t>
        </is>
      </c>
      <c r="I10750" s="10" t="inlineStr">
        <is>
          <t>17/03/2026</t>
        </is>
      </c>
      <c r="J10750" s="10" t="inlineStr">
        <is>
          <t>Kế toán / Kiểm toán</t>
        </is>
      </c>
      <c r="K10750" s="10" t="inlineStr">
        <is>
          <t>2 - 5 Năm</t>
        </is>
      </c>
      <c r="L10750" s="11">
        <f>HYPERLINK("https://careerviet.vn/vi/tim-viec-lam/ke-toan-tong-hop-mang-bat-dong-san.35C6C8A5.html","Xem chi tiết")</f>
        <v/>
      </c>
      <c r="M10750" s="10" t="n"/>
    </row>
    <row r="10751">
      <c r="B10751" s="7" t="n">
        <v>10749</v>
      </c>
      <c r="C10751" t="inlineStr">
        <is>
          <t>Kiến trúc sư 3D/Nhân viên thiết kế nội thất</t>
        </is>
      </c>
      <c r="D10751" t="inlineStr">
        <is>
          <t>CÔNG TY CỔ PHẦN ABT HOMES</t>
        </is>
      </c>
      <c r="E10751" t="inlineStr">
        <is>
          <t>Lương:10 Tr - 30 Tr VND</t>
        </is>
      </c>
      <c r="F10751" t="inlineStr">
        <is>
          <t>Hồ Chí Minh</t>
        </is>
      </c>
      <c r="G10751" t="inlineStr">
        <is>
          <t>4</t>
        </is>
      </c>
      <c r="H10751" t="inlineStr">
        <is>
          <t>21/03/2026</t>
        </is>
      </c>
      <c r="I10751" t="inlineStr">
        <is>
          <t>17/03/2026</t>
        </is>
      </c>
      <c r="J10751" t="inlineStr">
        <is>
          <t>Kiến trúc, Xây dựng, Nội ngoại thất</t>
        </is>
      </c>
      <c r="K10751" t="inlineStr">
        <is>
          <t>1 - 2 Năm</t>
        </is>
      </c>
      <c r="L10751" s="8">
        <f>HYPERLINK("https://careerviet.vn/vi/tim-viec-lam/kien-truc-su-3d-nhan-vien-thiet-ke-noi-that.35C66251.html","Xem chi tiết")</f>
        <v/>
      </c>
    </row>
    <row r="10752">
      <c r="B10752" s="9" t="n">
        <v>10750</v>
      </c>
      <c r="C10752" s="10" t="inlineStr">
        <is>
          <t>Kỹ Sư QC/QS – Phụ Trách Mảng Xây Dựng</t>
        </is>
      </c>
      <c r="D10752" s="10" t="inlineStr">
        <is>
          <t>CÔNG TY CỔ PHẦN ĐẦU TƯ DANCO</t>
        </is>
      </c>
      <c r="E10752" s="10" t="inlineStr">
        <is>
          <t>Lương:28 Tr - 33 Tr VND</t>
        </is>
      </c>
      <c r="F10752" s="10" t="inlineStr">
        <is>
          <t>Hà Nội</t>
        </is>
      </c>
      <c r="G10752" s="10" t="inlineStr">
        <is>
          <t>09-05-2026</t>
        </is>
      </c>
      <c r="H10752" s="10" t="inlineStr">
        <is>
          <t>09/05/2026</t>
        </is>
      </c>
      <c r="I10752" s="10" t="inlineStr">
        <is>
          <t>17/03/2026</t>
        </is>
      </c>
      <c r="J10752" s="10" t="inlineStr">
        <is>
          <t>Kiến trúc, Xây dựng, Quản lý chất lượng (QA/QC)</t>
        </is>
      </c>
      <c r="K10752" s="10" t="inlineStr">
        <is>
          <t>3 - 5 Năm</t>
        </is>
      </c>
      <c r="L10752" s="11">
        <f>HYPERLINK("https://careerviet.vn/vi/tim-viec-lam/ky-su-qc-qs-phu-trach-mang-xay-dung.35C6C8BA.html","Xem chi tiết")</f>
        <v/>
      </c>
      <c r="M10752" s="10" t="n"/>
    </row>
    <row r="10753">
      <c r="B10753" s="7" t="n">
        <v>10751</v>
      </c>
      <c r="C10753" t="inlineStr">
        <is>
          <t>Nhân viên Hành chính (phụ trách Phòng cháy chữa cháy)</t>
        </is>
      </c>
      <c r="D10753" t="inlineStr">
        <is>
          <t>THỜI TRANG LINING_CÔNG TY TNHH QUỐC TẾ HẢI LONG</t>
        </is>
      </c>
      <c r="E10753" t="inlineStr">
        <is>
          <t>Lương:12 Tr - 16 Tr VND</t>
        </is>
      </c>
      <c r="F10753" t="inlineStr">
        <is>
          <t>Hà Nội</t>
        </is>
      </c>
      <c r="G10753" t="inlineStr">
        <is>
          <t>14-04-2026</t>
        </is>
      </c>
      <c r="H10753" t="inlineStr">
        <is>
          <t>14/04/2026</t>
        </is>
      </c>
      <c r="I10753" t="inlineStr">
        <is>
          <t>17/03/2026</t>
        </is>
      </c>
      <c r="J10753" t="inlineStr">
        <is>
          <t>Hành chính / Thư ký</t>
        </is>
      </c>
      <c r="K10753" t="inlineStr">
        <is>
          <t>2 - 3 Năm</t>
        </is>
      </c>
      <c r="L10753" s="8">
        <f>HYPERLINK("https://careerviet.vn/vi/tim-viec-lam/nhan-vien-hanh-chinh-phu-trach-phong-chay-chua-chay.35C6C712.html","Xem chi tiết")</f>
        <v/>
      </c>
    </row>
    <row r="10754">
      <c r="B10754" s="9" t="n">
        <v>10752</v>
      </c>
      <c r="C10754" s="10" t="inlineStr">
        <is>
          <t>Cán Bộ Phụ Trách Kế Hoạch - Kỹ Thuật</t>
        </is>
      </c>
      <c r="D10754" s="10" t="inlineStr">
        <is>
          <t>CÔNG TY CỔ PHẦN ĐẦU TƯ DANCO</t>
        </is>
      </c>
      <c r="E10754" s="10" t="inlineStr">
        <is>
          <t>Lương:29 Tr - 35 Tr VND</t>
        </is>
      </c>
      <c r="F10754" s="10" t="inlineStr">
        <is>
          <t>Hà Nội</t>
        </is>
      </c>
      <c r="G10754" s="10" t="inlineStr">
        <is>
          <t>01-05-2026</t>
        </is>
      </c>
      <c r="H10754" s="10" t="inlineStr">
        <is>
          <t>01/05/2026</t>
        </is>
      </c>
      <c r="I10754" s="10" t="inlineStr">
        <is>
          <t>17/03/2026</t>
        </is>
      </c>
      <c r="J10754" s="10" t="inlineStr">
        <is>
          <t>Kiến trúc, Xây dựng, Bất động sản</t>
        </is>
      </c>
      <c r="K10754" s="10" t="inlineStr">
        <is>
          <t>3 - 5 Năm</t>
        </is>
      </c>
      <c r="L10754" s="11">
        <f>HYPERLINK("https://careerviet.vn/vi/tim-viec-lam/can-bo-phu-trach-ke-hoach-ky-thuat.35C6C8B7.html","Xem chi tiết")</f>
        <v/>
      </c>
      <c r="M10754" s="10" t="n"/>
    </row>
    <row r="10755">
      <c r="B10755" s="7" t="n">
        <v>10753</v>
      </c>
      <c r="C10755" t="inlineStr">
        <is>
          <t>Thủ kho hàng hóa online  (sàn TMĐT)</t>
        </is>
      </c>
      <c r="D10755" t="inlineStr">
        <is>
          <t>THỜI TRANG LINING_CÔNG TY TNHH QUỐC TẾ HẢI LONG</t>
        </is>
      </c>
      <c r="E10755" t="inlineStr">
        <is>
          <t>Lương:12 Tr - 15 Tr VND</t>
        </is>
      </c>
      <c r="F10755" t="inlineStr">
        <is>
          <t>Hà Nội</t>
        </is>
      </c>
      <c r="G10755" t="inlineStr">
        <is>
          <t>14-04-2026</t>
        </is>
      </c>
      <c r="H10755" t="inlineStr">
        <is>
          <t>14/04/2026</t>
        </is>
      </c>
      <c r="I10755" t="inlineStr">
        <is>
          <t>17/03/2026</t>
        </is>
      </c>
      <c r="J10755" t="inlineStr">
        <is>
          <t>Kế toán / Kiểm toán</t>
        </is>
      </c>
      <c r="K10755" t="inlineStr">
        <is>
          <t>2 - 3 Năm</t>
        </is>
      </c>
      <c r="L10755" s="8">
        <f>HYPERLINK("https://careerviet.vn/vi/tim-viec-lam/thu-kho-hang-hoa-online-san-tmdt.35C6C717.html","Xem chi tiết")</f>
        <v/>
      </c>
    </row>
    <row r="10756">
      <c r="B10756" s="9" t="n">
        <v>10754</v>
      </c>
      <c r="C10756" s="10" t="inlineStr">
        <is>
          <t>Giám sát vận hành chuỗi cửa hàng (Up to 30M)</t>
        </is>
      </c>
      <c r="D10756" s="10" t="inlineStr">
        <is>
          <t>THỜI TRANG LINING_CÔNG TY TNHH QUỐC TẾ HẢI LONG</t>
        </is>
      </c>
      <c r="E10756" s="10" t="inlineStr">
        <is>
          <t>Lương:Cạnh tranh</t>
        </is>
      </c>
      <c r="F10756" s="10" t="inlineStr">
        <is>
          <t>Hà Nội</t>
        </is>
      </c>
      <c r="G10756" s="10" t="inlineStr">
        <is>
          <t>14-04-2026</t>
        </is>
      </c>
      <c r="H10756" s="10" t="inlineStr">
        <is>
          <t>14/04/2026</t>
        </is>
      </c>
      <c r="I10756" s="10" t="inlineStr">
        <is>
          <t>17/03/2026</t>
        </is>
      </c>
      <c r="J10756" s="10" t="inlineStr">
        <is>
          <t>Bán lẻ / Bán sỉ, Bán hàng / Kinh doanh, Dệt may / Da giày / Thời trang</t>
        </is>
      </c>
      <c r="K10756" s="10" t="inlineStr">
        <is>
          <t>5 - 7 Năm</t>
        </is>
      </c>
      <c r="L10756" s="11">
        <f>HYPERLINK("https://careerviet.vn/vi/tim-viec-lam/giam-sat-van-hanh-chuoi-cua-hang-up-to-30m.35C6C718.html","Xem chi tiết")</f>
        <v/>
      </c>
      <c r="M10756" s="10" t="n"/>
    </row>
    <row r="10757">
      <c r="B10757" s="7" t="n">
        <v>10755</v>
      </c>
      <c r="C10757" t="inlineStr">
        <is>
          <t>Nhân viên Vận hành và Điều phối phòng Live (TMĐT)</t>
        </is>
      </c>
      <c r="D10757" t="inlineStr">
        <is>
          <t>THỜI TRANG LINING_CÔNG TY TNHH QUỐC TẾ HẢI LONG</t>
        </is>
      </c>
      <c r="E10757" t="inlineStr">
        <is>
          <t>Lương:11 Tr - 13 Tr VND</t>
        </is>
      </c>
      <c r="F10757" t="inlineStr">
        <is>
          <t>Hà Nội</t>
        </is>
      </c>
      <c r="G10757" t="inlineStr">
        <is>
          <t>14-04-2026</t>
        </is>
      </c>
      <c r="H10757" t="inlineStr">
        <is>
          <t>14/04/2026</t>
        </is>
      </c>
      <c r="I10757" t="inlineStr">
        <is>
          <t>17/03/2026</t>
        </is>
      </c>
      <c r="J10757" t="inlineStr">
        <is>
          <t>Bán hàng / Kinh doanh, Thương mại điện tử</t>
        </is>
      </c>
      <c r="K10757" t="inlineStr">
        <is>
          <t>1 - 2 Năm</t>
        </is>
      </c>
      <c r="L10757" s="8">
        <f>HYPERLINK("https://careerviet.vn/vi/tim-viec-lam/nhan-vien-van-hanh-va-dieu-phoi-phong-live-tmdt.35C6C713.html","Xem chi tiết")</f>
        <v/>
      </c>
    </row>
    <row r="10758">
      <c r="B10758" s="9" t="n">
        <v>10756</v>
      </c>
      <c r="C10758" s="10" t="inlineStr">
        <is>
          <t>Chuyên viên Hiệu suất &amp; Đánh giá Nhân sự (Performance &amp; Evaluation Specialist)</t>
        </is>
      </c>
      <c r="D10758" s="10" t="inlineStr">
        <is>
          <t>THỜI TRANG LINING_CÔNG TY TNHH QUỐC TẾ HẢI LONG</t>
        </is>
      </c>
      <c r="E10758" s="10" t="inlineStr">
        <is>
          <t>Lương:18 Tr - 25 Tr VND</t>
        </is>
      </c>
      <c r="F10758" s="10" t="inlineStr">
        <is>
          <t>Hà Nội</t>
        </is>
      </c>
      <c r="G10758" s="10" t="inlineStr">
        <is>
          <t>30-04-2026</t>
        </is>
      </c>
      <c r="H10758" s="10" t="inlineStr">
        <is>
          <t>30/04/2026</t>
        </is>
      </c>
      <c r="I10758" s="10" t="inlineStr">
        <is>
          <t>17/03/2026</t>
        </is>
      </c>
      <c r="J10758" s="10" t="inlineStr">
        <is>
          <t>Nhân sự</t>
        </is>
      </c>
      <c r="K10758" s="10" t="inlineStr">
        <is>
          <t>Trên 4 Năm</t>
        </is>
      </c>
      <c r="L10758" s="11">
        <f>HYPERLINK("https://careerviet.vn/vi/tim-viec-lam/chuyen-vien-hieu-suat-danh-gia-nhan-su-performance-evaluation-specialist.35C6C716.html","Xem chi tiết")</f>
        <v/>
      </c>
      <c r="M10758" s="10" t="n"/>
    </row>
    <row r="10759">
      <c r="B10759" s="7" t="n">
        <v>10757</v>
      </c>
      <c r="C10759" t="inlineStr">
        <is>
          <t>Talent Acquisition Specialist (Upto 25M)</t>
        </is>
      </c>
      <c r="D10759" t="inlineStr">
        <is>
          <t>THỜI TRANG LINING_CÔNG TY TNHH QUỐC TẾ HẢI LONG</t>
        </is>
      </c>
      <c r="E10759" t="inlineStr">
        <is>
          <t>Lương:18 Tr - 25 Tr VND</t>
        </is>
      </c>
      <c r="F10759" t="inlineStr">
        <is>
          <t>Hà Nội</t>
        </is>
      </c>
      <c r="G10759" t="inlineStr">
        <is>
          <t>30-04-2026</t>
        </is>
      </c>
      <c r="H10759" t="inlineStr">
        <is>
          <t>30/04/2026</t>
        </is>
      </c>
      <c r="I10759" t="inlineStr">
        <is>
          <t>17/03/2026</t>
        </is>
      </c>
      <c r="J10759" t="inlineStr">
        <is>
          <t>Hành chính / Thư ký, Nhân sự, Dệt may / Da giày / Thời trang</t>
        </is>
      </c>
      <c r="K10759" t="inlineStr">
        <is>
          <t>Trên 4 Năm</t>
        </is>
      </c>
      <c r="L10759" s="8">
        <f>HYPERLINK("https://careerviet.vn/vi/tim-viec-lam/talent-acquisition-specialist-upto-25m.35C6C6F0.html","Xem chi tiết")</f>
        <v/>
      </c>
    </row>
    <row r="10760">
      <c r="B10760" s="9" t="n">
        <v>10758</v>
      </c>
      <c r="C10760" s="10" t="inlineStr">
        <is>
          <t>Organization Development Leader</t>
        </is>
      </c>
      <c r="D10760" s="10" t="inlineStr">
        <is>
          <t>THỜI TRANG LINING_CÔNG TY TNHH QUỐC TẾ HẢI LONG</t>
        </is>
      </c>
      <c r="E10760" s="10" t="inlineStr">
        <is>
          <t>Lương:35 Tr - 45 Tr VND</t>
        </is>
      </c>
      <c r="F10760" s="10" t="inlineStr">
        <is>
          <t>Hà Nội</t>
        </is>
      </c>
      <c r="G10760" s="10" t="inlineStr">
        <is>
          <t>30-04-2026</t>
        </is>
      </c>
      <c r="H10760" s="10" t="inlineStr">
        <is>
          <t>30/04/2026</t>
        </is>
      </c>
      <c r="I10760" s="10" t="inlineStr">
        <is>
          <t>17/03/2026</t>
        </is>
      </c>
      <c r="J10760" s="10" t="inlineStr">
        <is>
          <t>Nhân sự</t>
        </is>
      </c>
      <c r="K10760" s="10" t="inlineStr">
        <is>
          <t>Trên 5 Năm</t>
        </is>
      </c>
      <c r="L10760" s="11">
        <f>HYPERLINK("https://careerviet.vn/vi/tim-viec-lam/organization-development-leader.35C6C6EF.html","Xem chi tiết")</f>
        <v/>
      </c>
      <c r="M10760" s="10" t="n"/>
    </row>
    <row r="10761">
      <c r="B10761" s="7" t="n">
        <v>10759</v>
      </c>
      <c r="C10761" t="inlineStr">
        <is>
          <t>Trưởng phòng bán buôn (Thu nhập hấp dẫn)</t>
        </is>
      </c>
      <c r="D10761" t="inlineStr">
        <is>
          <t>THỜI TRANG LINING_CÔNG TY TNHH QUỐC TẾ HẢI LONG</t>
        </is>
      </c>
      <c r="E10761" t="inlineStr">
        <is>
          <t>Lương:60 Tr - 80 Tr VND</t>
        </is>
      </c>
      <c r="F10761" t="inlineStr">
        <is>
          <t>Hà Nội</t>
        </is>
      </c>
      <c r="G10761" t="inlineStr">
        <is>
          <t>30-04-2026</t>
        </is>
      </c>
      <c r="H10761" t="inlineStr">
        <is>
          <t>30/04/2026</t>
        </is>
      </c>
      <c r="I10761" t="inlineStr">
        <is>
          <t>17/03/2026</t>
        </is>
      </c>
      <c r="J10761" t="inlineStr">
        <is>
          <t>Tiếp thị / Marketing, Bán lẻ / Bán sỉ, Bán hàng / Kinh doanh</t>
        </is>
      </c>
      <c r="K10761" t="inlineStr">
        <is>
          <t>Trên 5 Năm</t>
        </is>
      </c>
      <c r="L10761" s="8">
        <f>HYPERLINK("https://careerviet.vn/vi/tim-viec-lam/truong-phong-ban-buon-thu-nhap-hap-dan.35C6C6F3.html","Xem chi tiết")</f>
        <v/>
      </c>
    </row>
    <row r="10762">
      <c r="B10762" s="9" t="n">
        <v>10760</v>
      </c>
      <c r="C10762" s="10" t="inlineStr">
        <is>
          <t>Chuyên viên KPI (Quản trị hiệu suất)</t>
        </is>
      </c>
      <c r="D10762" s="10" t="inlineStr">
        <is>
          <t>THỜI TRANG LINING_CÔNG TY TNHH QUỐC TẾ HẢI LONG</t>
        </is>
      </c>
      <c r="E10762" s="10" t="inlineStr">
        <is>
          <t>Lương:18 Tr - 25 Tr VND</t>
        </is>
      </c>
      <c r="F10762" s="10" t="inlineStr">
        <is>
          <t>Hà Nội</t>
        </is>
      </c>
      <c r="G10762" s="10" t="inlineStr">
        <is>
          <t>30-04-2026</t>
        </is>
      </c>
      <c r="H10762" s="10" t="inlineStr">
        <is>
          <t>30/04/2026</t>
        </is>
      </c>
      <c r="I10762" s="10" t="inlineStr">
        <is>
          <t>17/03/2026</t>
        </is>
      </c>
      <c r="J10762" s="10" t="inlineStr">
        <is>
          <t>Nhân sự</t>
        </is>
      </c>
      <c r="K10762" s="10" t="inlineStr">
        <is>
          <t>Trên 4 Năm</t>
        </is>
      </c>
      <c r="L10762" s="11">
        <f>HYPERLINK("https://careerviet.vn/vi/tim-viec-lam/chuyen-vien-kpi-quan-tri-hieu-suat.35C6C715.html","Xem chi tiết")</f>
        <v/>
      </c>
      <c r="M10762" s="10" t="n"/>
    </row>
    <row r="10763">
      <c r="B10763" s="7" t="n">
        <v>10761</v>
      </c>
      <c r="C10763" t="inlineStr">
        <is>
          <t>Sale Manager  (B2C)</t>
        </is>
      </c>
      <c r="D10763" t="inlineStr">
        <is>
          <t>THỜI TRANG LINING_CÔNG TY TNHH QUỐC TẾ HẢI LONG</t>
        </is>
      </c>
      <c r="E10763" t="inlineStr">
        <is>
          <t>Lương:65 Tr - 80 Tr VND</t>
        </is>
      </c>
      <c r="F10763" t="inlineStr">
        <is>
          <t>Hà Nội</t>
        </is>
      </c>
      <c r="G10763" t="inlineStr">
        <is>
          <t>30-04-2026</t>
        </is>
      </c>
      <c r="H10763" t="inlineStr">
        <is>
          <t>30/04/2026</t>
        </is>
      </c>
      <c r="I10763" t="inlineStr">
        <is>
          <t>17/03/2026</t>
        </is>
      </c>
      <c r="J10763" t="inlineStr">
        <is>
          <t>Tiếp thị / Marketing, Bán lẻ / Bán sỉ, Bán hàng / Kinh doanh</t>
        </is>
      </c>
      <c r="K10763" t="inlineStr">
        <is>
          <t>Trên 5 Năm</t>
        </is>
      </c>
      <c r="L10763" s="8">
        <f>HYPERLINK("https://careerviet.vn/vi/tim-viec-lam/sale-manager-b2c.35C6C6F4.html","Xem chi tiết")</f>
        <v/>
      </c>
    </row>
    <row r="10764">
      <c r="B10764" s="9" t="n">
        <v>10762</v>
      </c>
      <c r="C10764" s="10" t="inlineStr">
        <is>
          <t>TRƯỞNG PHÒNG KINH DOANH (thu nhập hấp dẫn)</t>
        </is>
      </c>
      <c r="D10764" s="10" t="inlineStr">
        <is>
          <t>THỜI TRANG LINING_CÔNG TY TNHH QUỐC TẾ HẢI LONG</t>
        </is>
      </c>
      <c r="E10764" s="10" t="inlineStr">
        <is>
          <t>Lương:65 Tr - 80 Tr VND</t>
        </is>
      </c>
      <c r="F10764" s="10" t="inlineStr">
        <is>
          <t>Hà Nội</t>
        </is>
      </c>
      <c r="G10764" s="10" t="inlineStr">
        <is>
          <t>30-04-2026</t>
        </is>
      </c>
      <c r="H10764" s="10" t="inlineStr">
        <is>
          <t>30/04/2026</t>
        </is>
      </c>
      <c r="I10764" s="10" t="inlineStr">
        <is>
          <t>17/03/2026</t>
        </is>
      </c>
      <c r="J10764" s="10" t="inlineStr">
        <is>
          <t>Tiếp thị / Marketing, Bán lẻ / Bán sỉ, Bán hàng / Kinh doanh</t>
        </is>
      </c>
      <c r="K10764" s="10" t="inlineStr">
        <is>
          <t>Trên 7 Năm</t>
        </is>
      </c>
      <c r="L10764" s="11">
        <f>HYPERLINK("https://careerviet.vn/vi/tim-viec-lam/truong-phong-kinh-doanh-thu-nhap-hap-dan.35C6C6F5.html","Xem chi tiết")</f>
        <v/>
      </c>
      <c r="M10764" s="10" t="n"/>
    </row>
    <row r="10765">
      <c r="B10765" s="7" t="n">
        <v>10763</v>
      </c>
      <c r="C10765" t="inlineStr">
        <is>
          <t>Kế toán tổng hợp thương mại</t>
        </is>
      </c>
      <c r="D10765" t="inlineStr">
        <is>
          <t>CÔNG TY TNHH THƯƠNG MẠI DỊCH VỤ N.K.MAY MẮN</t>
        </is>
      </c>
      <c r="E10765" t="inlineStr">
        <is>
          <t>Lương:Cạnh tranh</t>
        </is>
      </c>
      <c r="F10765" t="inlineStr">
        <is>
          <t>Hồ Chí Minh</t>
        </is>
      </c>
      <c r="G10765" t="inlineStr">
        <is>
          <t>15-04-2026</t>
        </is>
      </c>
      <c r="H10765" t="inlineStr">
        <is>
          <t>15/04/2026</t>
        </is>
      </c>
      <c r="I10765" t="inlineStr">
        <is>
          <t>17/03/2026</t>
        </is>
      </c>
      <c r="J10765" t="inlineStr">
        <is>
          <t>Bán hàng / Kinh doanh, Dược phẩm/ Hóa Mỹ Phẩm, Y tế / Chăm sóc sức khỏe / Thẩm mỹ / Làm đẹp</t>
        </is>
      </c>
      <c r="K10765" t="inlineStr">
        <is>
          <t>1 - 5 Năm</t>
        </is>
      </c>
      <c r="L10765" s="8">
        <f>HYPERLINK("https://careerviet.vn/vi/tim-viec-lam/ke-toan-tong-hop-thuong-mai.35C6C70B.html","Xem chi tiết")</f>
        <v/>
      </c>
    </row>
    <row r="10766">
      <c r="B10766" s="9" t="n">
        <v>10764</v>
      </c>
      <c r="C10766" s="10" t="inlineStr">
        <is>
          <t>Chuyên Viên Tuyển Dụng  (Upto 25M)</t>
        </is>
      </c>
      <c r="D10766" s="10" t="inlineStr">
        <is>
          <t>THỜI TRANG LINING_CÔNG TY TNHH QUỐC TẾ HẢI LONG</t>
        </is>
      </c>
      <c r="E10766" s="10" t="inlineStr">
        <is>
          <t>Lương:18 Tr - 25 Tr VND</t>
        </is>
      </c>
      <c r="F10766" s="10" t="inlineStr">
        <is>
          <t>Hà Nội</t>
        </is>
      </c>
      <c r="G10766" s="10" t="inlineStr">
        <is>
          <t>30-04-2026</t>
        </is>
      </c>
      <c r="H10766" s="10" t="inlineStr">
        <is>
          <t>30/04/2026</t>
        </is>
      </c>
      <c r="I10766" s="10" t="inlineStr">
        <is>
          <t>17/03/2026</t>
        </is>
      </c>
      <c r="J10766" s="10" t="inlineStr">
        <is>
          <t>Hành chính / Thư ký, Nhân sự</t>
        </is>
      </c>
      <c r="K10766" s="10" t="inlineStr">
        <is>
          <t>Trên 4 Năm</t>
        </is>
      </c>
      <c r="L10766" s="11">
        <f>HYPERLINK("https://careerviet.vn/vi/tim-viec-lam/chuyen-vien-tuyen-dung-upto-25m.35C6C6F2.html","Xem chi tiết")</f>
        <v/>
      </c>
      <c r="M10766" s="10" t="n"/>
    </row>
    <row r="10767">
      <c r="B10767" s="7" t="n">
        <v>10765</v>
      </c>
      <c r="C10767" t="inlineStr">
        <is>
          <t>Ecommerce Manager</t>
        </is>
      </c>
      <c r="D10767" t="inlineStr">
        <is>
          <t>THỜI TRANG LINING_CÔNG TY TNHH QUỐC TẾ HẢI LONG</t>
        </is>
      </c>
      <c r="E10767" t="inlineStr">
        <is>
          <t>Lương:60 Tr - 80 Tr VND</t>
        </is>
      </c>
      <c r="F10767" t="inlineStr">
        <is>
          <t>Hà Nội</t>
        </is>
      </c>
      <c r="G10767" t="inlineStr">
        <is>
          <t>30-04-2026</t>
        </is>
      </c>
      <c r="H10767" t="inlineStr">
        <is>
          <t>30/04/2026</t>
        </is>
      </c>
      <c r="I10767" t="inlineStr">
        <is>
          <t>17/03/2026</t>
        </is>
      </c>
      <c r="J10767" t="inlineStr">
        <is>
          <t>Tiếp thị / Marketing, Bán hàng / Kinh doanh, Tiếp thị trực tuyến</t>
        </is>
      </c>
      <c r="K10767" t="inlineStr">
        <is>
          <t>Trên 5 Năm</t>
        </is>
      </c>
      <c r="L10767" s="8">
        <f>HYPERLINK("https://careerviet.vn/vi/tim-viec-lam/ecommerce-manager.35C6C6F7.html","Xem chi tiết")</f>
        <v/>
      </c>
    </row>
    <row r="10768">
      <c r="B10768" s="9" t="n">
        <v>10766</v>
      </c>
      <c r="C10768" s="10" t="inlineStr">
        <is>
          <t>Trưởng phòng kinh doanh Online (Thương mại điện tử)</t>
        </is>
      </c>
      <c r="D10768" s="10" t="inlineStr">
        <is>
          <t>THỜI TRANG LINING_CÔNG TY TNHH QUỐC TẾ HẢI LONG</t>
        </is>
      </c>
      <c r="E10768" s="10" t="inlineStr">
        <is>
          <t>Lương:60 Tr - 80 Tr VND</t>
        </is>
      </c>
      <c r="F10768" s="10" t="inlineStr">
        <is>
          <t>Hà Nội</t>
        </is>
      </c>
      <c r="G10768" s="10" t="inlineStr">
        <is>
          <t>30-04-2026</t>
        </is>
      </c>
      <c r="H10768" s="10" t="inlineStr">
        <is>
          <t>30/04/2026</t>
        </is>
      </c>
      <c r="I10768" s="10" t="inlineStr">
        <is>
          <t>17/03/2026</t>
        </is>
      </c>
      <c r="J10768" s="10" t="inlineStr">
        <is>
          <t>Tiếp thị / Marketing, Bán hàng / Kinh doanh, Tiếp thị trực tuyến</t>
        </is>
      </c>
      <c r="K10768" s="10" t="inlineStr">
        <is>
          <t>Trên 4 Năm</t>
        </is>
      </c>
      <c r="L10768" s="11">
        <f>HYPERLINK("https://careerviet.vn/vi/tim-viec-lam/truong-phong-kinh-doanh-online-thuong-mai-dien-tu.35C6C6F6.html","Xem chi tiết")</f>
        <v/>
      </c>
      <c r="M10768" s="10" t="n"/>
    </row>
    <row r="10769">
      <c r="B10769" s="7" t="n">
        <v>10767</v>
      </c>
      <c r="C10769" t="inlineStr">
        <is>
          <t>Marketing Manager (Up 5000S)</t>
        </is>
      </c>
      <c r="D10769" t="inlineStr">
        <is>
          <t>THỜI TRANG LINING_CÔNG TY TNHH QUỐC TẾ HẢI LONG</t>
        </is>
      </c>
      <c r="E10769" t="inlineStr">
        <is>
          <t>Lương:4.000 - 5.000 USD</t>
        </is>
      </c>
      <c r="F10769" t="inlineStr">
        <is>
          <t>Hà Nội</t>
        </is>
      </c>
      <c r="G10769" t="inlineStr">
        <is>
          <t>30-04-2026</t>
        </is>
      </c>
      <c r="H10769" t="inlineStr">
        <is>
          <t>30/04/2026</t>
        </is>
      </c>
      <c r="I10769" t="inlineStr">
        <is>
          <t>17/03/2026</t>
        </is>
      </c>
      <c r="J10769" t="inlineStr">
        <is>
          <t>Tiếp thị / Marketing, Tiếp thị trực tuyến, Dệt may / Da giày / Thời trang</t>
        </is>
      </c>
      <c r="K10769" t="inlineStr">
        <is>
          <t>Trên 5 Năm</t>
        </is>
      </c>
      <c r="L10769" s="8">
        <f>HYPERLINK("https://careerviet.vn/vi/tim-viec-lam/marketing-manager-up-5000s.35C6C6F9.html","Xem chi tiết")</f>
        <v/>
      </c>
    </row>
    <row r="10770">
      <c r="B10770" s="9" t="n">
        <v>10768</v>
      </c>
      <c r="C10770" s="10" t="inlineStr">
        <is>
          <t>Trưởng nhóm thiết kế phát triển tổ chức (OD)</t>
        </is>
      </c>
      <c r="D10770" s="10" t="inlineStr">
        <is>
          <t>THỜI TRANG LINING_CÔNG TY TNHH QUỐC TẾ HẢI LONG</t>
        </is>
      </c>
      <c r="E10770" s="10" t="inlineStr">
        <is>
          <t>Lương:35 Tr - 45 Tr VND</t>
        </is>
      </c>
      <c r="F10770" s="10" t="inlineStr">
        <is>
          <t>Hà Nội</t>
        </is>
      </c>
      <c r="G10770" s="10" t="inlineStr">
        <is>
          <t>30-04-2026</t>
        </is>
      </c>
      <c r="H10770" s="10" t="inlineStr">
        <is>
          <t>30/04/2026</t>
        </is>
      </c>
      <c r="I10770" s="10" t="inlineStr">
        <is>
          <t>17/03/2026</t>
        </is>
      </c>
      <c r="J10770" s="10" t="inlineStr">
        <is>
          <t>Nhân sự</t>
        </is>
      </c>
      <c r="K10770" s="10" t="inlineStr">
        <is>
          <t>Trên 5 Năm</t>
        </is>
      </c>
      <c r="L10770" s="11">
        <f>HYPERLINK("https://careerviet.vn/vi/tim-viec-lam/truong-nhom-thiet-ke-phat-trien-to-chuc-od.35C6C6FB.html","Xem chi tiết")</f>
        <v/>
      </c>
      <c r="M10770" s="10" t="n"/>
    </row>
    <row r="10771">
      <c r="B10771" s="7" t="n">
        <v>10769</v>
      </c>
      <c r="C10771" t="inlineStr">
        <is>
          <t>Photographer  (team Media)</t>
        </is>
      </c>
      <c r="D10771" t="inlineStr">
        <is>
          <t>THỜI TRANG LINING_CÔNG TY TNHH QUỐC TẾ HẢI LONG</t>
        </is>
      </c>
      <c r="E10771" t="inlineStr">
        <is>
          <t>Lương:14 Tr - 18 Tr VND</t>
        </is>
      </c>
      <c r="F10771" t="inlineStr">
        <is>
          <t>Hà Nội</t>
        </is>
      </c>
      <c r="G10771" t="inlineStr">
        <is>
          <t>13-04-2026</t>
        </is>
      </c>
      <c r="H10771" t="inlineStr">
        <is>
          <t>13/04/2026</t>
        </is>
      </c>
      <c r="I10771" t="inlineStr">
        <is>
          <t>17/03/2026</t>
        </is>
      </c>
      <c r="J10771" t="inlineStr">
        <is>
          <t>Tiếp thị / Marketing, Mỹ thuật / Nghệ thuật / Thiết kế, Truyền hình / Báo chí / Biên tập</t>
        </is>
      </c>
      <c r="K10771" t="inlineStr">
        <is>
          <t>2 - 5 Năm</t>
        </is>
      </c>
      <c r="L10771" s="8">
        <f>HYPERLINK("https://careerviet.vn/vi/tim-viec-lam/photographer-team-media.35C6C70D.html","Xem chi tiết")</f>
        <v/>
      </c>
    </row>
    <row r="10772">
      <c r="B10772" s="9" t="n">
        <v>10770</v>
      </c>
      <c r="C10772" s="10" t="inlineStr">
        <is>
          <t>Kế toán trưởng (Chief Accountant)</t>
        </is>
      </c>
      <c r="D10772" s="10" t="inlineStr">
        <is>
          <t>THỜI TRANG LINING_CÔNG TY TNHH QUỐC TẾ HẢI LONG</t>
        </is>
      </c>
      <c r="E10772" s="10" t="inlineStr">
        <is>
          <t>Lương:Cạnh tranh</t>
        </is>
      </c>
      <c r="F10772" s="10" t="inlineStr">
        <is>
          <t>Hà Nội</t>
        </is>
      </c>
      <c r="G10772" s="10" t="inlineStr">
        <is>
          <t>30-04-2026</t>
        </is>
      </c>
      <c r="H10772" s="10" t="inlineStr">
        <is>
          <t>30/04/2026</t>
        </is>
      </c>
      <c r="I10772" s="10" t="inlineStr">
        <is>
          <t>17/03/2026</t>
        </is>
      </c>
      <c r="J10772" s="10" t="inlineStr">
        <is>
          <t>Kế toán / Kiểm toán, Tài chính / Đầu tư, Dệt may / Da giày / Thời trang</t>
        </is>
      </c>
      <c r="K10772" s="10" t="inlineStr">
        <is>
          <t>Trên 5 Năm</t>
        </is>
      </c>
      <c r="L10772" s="11">
        <f>HYPERLINK("https://careerviet.vn/vi/tim-viec-lam/ke-toan-truong-chief-accountant.35C6C6FC.html","Xem chi tiết")</f>
        <v/>
      </c>
      <c r="M10772" s="10" t="n"/>
    </row>
    <row r="10773">
      <c r="B10773" s="7" t="n">
        <v>10771</v>
      </c>
      <c r="C10773" t="inlineStr">
        <is>
          <t>CV / CVCC Thiết kế tổ chức (OD)</t>
        </is>
      </c>
      <c r="D10773" t="inlineStr">
        <is>
          <t>THỜI TRANG LINING_CÔNG TY TNHH QUỐC TẾ HẢI LONG</t>
        </is>
      </c>
      <c r="E10773" t="inlineStr">
        <is>
          <t>Lương:28 Tr - 35 Tr VND</t>
        </is>
      </c>
      <c r="F10773" t="inlineStr">
        <is>
          <t>Hà Nội</t>
        </is>
      </c>
      <c r="G10773" t="inlineStr">
        <is>
          <t>30-04-2026</t>
        </is>
      </c>
      <c r="H10773" t="inlineStr">
        <is>
          <t>30/04/2026</t>
        </is>
      </c>
      <c r="I10773" t="inlineStr">
        <is>
          <t>17/03/2026</t>
        </is>
      </c>
      <c r="J10773" t="inlineStr">
        <is>
          <t>Nhân sự</t>
        </is>
      </c>
      <c r="K10773" t="inlineStr">
        <is>
          <t>Trên 5 Năm</t>
        </is>
      </c>
      <c r="L10773" s="8">
        <f>HYPERLINK("https://careerviet.vn/vi/tim-viec-lam/cv-cvcc-thiet-ke-to-chuc-od.35C6C6FA.html","Xem chi tiết")</f>
        <v/>
      </c>
    </row>
    <row r="10774">
      <c r="B10774" s="9" t="n">
        <v>10772</v>
      </c>
      <c r="C10774" s="10" t="inlineStr">
        <is>
          <t>Kế Toán Trưởng (Thu Nhập Hấp Dẫn)</t>
        </is>
      </c>
      <c r="D10774" s="10" t="inlineStr">
        <is>
          <t>THỜI TRANG LINING_CÔNG TY TNHH QUỐC TẾ HẢI LONG</t>
        </is>
      </c>
      <c r="E10774" s="10" t="inlineStr">
        <is>
          <t>Lương:Cạnh tranh</t>
        </is>
      </c>
      <c r="F10774" s="10" t="inlineStr">
        <is>
          <t>Hà Nội</t>
        </is>
      </c>
      <c r="G10774" s="10" t="inlineStr">
        <is>
          <t>30-04-2026</t>
        </is>
      </c>
      <c r="H10774" s="10" t="inlineStr">
        <is>
          <t>30/04/2026</t>
        </is>
      </c>
      <c r="I10774" s="10" t="inlineStr">
        <is>
          <t>17/03/2026</t>
        </is>
      </c>
      <c r="J10774" s="10" t="inlineStr">
        <is>
          <t>Kế toán / Kiểm toán, Tài chính / Đầu tư, Dệt may / Da giày / Thời trang</t>
        </is>
      </c>
      <c r="K10774" s="10" t="inlineStr">
        <is>
          <t>Trên 5 Năm</t>
        </is>
      </c>
      <c r="L10774" s="11">
        <f>HYPERLINK("https://careerviet.vn/vi/tim-viec-lam/ke-toan-truong-thu-nhap-hap-dan.35C6C700.html","Xem chi tiết")</f>
        <v/>
      </c>
      <c r="M10774" s="10" t="n"/>
    </row>
    <row r="10775">
      <c r="B10775" s="7" t="n">
        <v>10773</v>
      </c>
      <c r="C10775" t="inlineStr">
        <is>
          <t>General Accountant (Remote)</t>
        </is>
      </c>
      <c r="D10775" t="inlineStr">
        <is>
          <t>Bảo mật</t>
        </is>
      </c>
      <c r="E10775" t="inlineStr">
        <is>
          <t>Lương:12 Tr - 17 Tr VND</t>
        </is>
      </c>
      <c r="F10775" t="inlineStr">
        <is>
          <t>Hồ Chí Minh</t>
        </is>
      </c>
      <c r="G10775" t="inlineStr">
        <is>
          <t>31-03-2026</t>
        </is>
      </c>
      <c r="H10775" t="inlineStr">
        <is>
          <t>31/03/2026</t>
        </is>
      </c>
      <c r="I10775" t="inlineStr">
        <is>
          <t>17/03/2026</t>
        </is>
      </c>
      <c r="J10775" t="inlineStr">
        <is>
          <t>Kế toán / Kiểm toán</t>
        </is>
      </c>
      <c r="K10775" t="inlineStr">
        <is>
          <t>3 - 10 Năm</t>
        </is>
      </c>
      <c r="L10775" s="8">
        <f>HYPERLINK("https://careerviet.vn/vi/tim-viec-lam/general-accountant-remote.35C6C6FF.html","Xem chi tiết")</f>
        <v/>
      </c>
    </row>
    <row r="10776">
      <c r="B10776" s="9" t="n">
        <v>10774</v>
      </c>
      <c r="C10776" s="10" t="inlineStr">
        <is>
          <t>TRƯỞNG PHÒNG MARKETING (Up net 5000S)</t>
        </is>
      </c>
      <c r="D10776" s="10" t="inlineStr">
        <is>
          <t>THỜI TRANG LINING_CÔNG TY TNHH QUỐC TẾ HẢI LONG</t>
        </is>
      </c>
      <c r="E10776" s="10" t="inlineStr">
        <is>
          <t>Lương:4.000 - 5.000 USD</t>
        </is>
      </c>
      <c r="F10776" s="10" t="inlineStr">
        <is>
          <t>Hà Nội</t>
        </is>
      </c>
      <c r="G10776" s="10" t="inlineStr">
        <is>
          <t>30-04-2026</t>
        </is>
      </c>
      <c r="H10776" s="10" t="inlineStr">
        <is>
          <t>30/04/2026</t>
        </is>
      </c>
      <c r="I10776" s="10" t="inlineStr">
        <is>
          <t>17/03/2026</t>
        </is>
      </c>
      <c r="J10776" s="10" t="inlineStr">
        <is>
          <t>Mỹ thuật / Nghệ thuật / Thiết kế, Truyền hình / Báo chí / Biên tập, Quảng cáo / Đối ngoại / Truyền Thông</t>
        </is>
      </c>
      <c r="K10776" s="10" t="inlineStr">
        <is>
          <t>Trên 5 Năm</t>
        </is>
      </c>
      <c r="L10776" s="11">
        <f>HYPERLINK("https://careerviet.vn/vi/tim-viec-lam/truong-phong-marketing-up-net-5000s.35C6C6F8.html","Xem chi tiết")</f>
        <v/>
      </c>
      <c r="M10776" s="10" t="n"/>
    </row>
    <row r="10777">
      <c r="B10777" s="7" t="n">
        <v>10775</v>
      </c>
      <c r="C10777" t="inlineStr">
        <is>
          <t>Planning Assistant Manager</t>
        </is>
      </c>
      <c r="D10777" t="inlineStr">
        <is>
          <t>Công Ty TNHH Go-Pak Việt Nam</t>
        </is>
      </c>
      <c r="E10777" t="inlineStr">
        <is>
          <t>Lương:Cạnh tranh</t>
        </is>
      </c>
      <c r="F10777" t="inlineStr">
        <is>
          <t>Bình Dương</t>
        </is>
      </c>
      <c r="G10777" t="inlineStr">
        <is>
          <t>31-03-2026</t>
        </is>
      </c>
      <c r="H10777" t="inlineStr">
        <is>
          <t>31/03/2026</t>
        </is>
      </c>
      <c r="I10777" t="inlineStr">
        <is>
          <t>17/03/2026</t>
        </is>
      </c>
      <c r="J10777" t="inlineStr">
        <is>
          <t>Vận chuyển / Giao nhận / Kho vận, Sản xuất / Vận hành sản xuất</t>
        </is>
      </c>
      <c r="K10777" t="inlineStr">
        <is>
          <t>5 - 7 Năm</t>
        </is>
      </c>
      <c r="L10777" s="8">
        <f>HYPERLINK("https://careerviet.vn/vi/tim-viec-lam/planning-assistant-manager.35C6917A.html","Xem chi tiết")</f>
        <v/>
      </c>
    </row>
    <row r="10778">
      <c r="B10778" s="9" t="n">
        <v>10776</v>
      </c>
      <c r="C10778" s="10" t="inlineStr">
        <is>
          <t>Trưởng Nhóm Tìm Kiếm, Tài Trợ Và Quản Lý Giải Đấu Thể Thao (MKT)</t>
        </is>
      </c>
      <c r="D10778" s="10" t="inlineStr">
        <is>
          <t>THỜI TRANG LINING_CÔNG TY TNHH QUỐC TẾ HẢI LONG</t>
        </is>
      </c>
      <c r="E10778" s="10" t="inlineStr">
        <is>
          <t>Lương:25 Tr - 35 Tr VND</t>
        </is>
      </c>
      <c r="F10778" s="10" t="inlineStr">
        <is>
          <t>Hà Nội</t>
        </is>
      </c>
      <c r="G10778" s="10" t="inlineStr">
        <is>
          <t>13-04-2026</t>
        </is>
      </c>
      <c r="H10778" s="10" t="inlineStr">
        <is>
          <t>13/04/2026</t>
        </is>
      </c>
      <c r="I10778" s="10" t="inlineStr">
        <is>
          <t>17/03/2026</t>
        </is>
      </c>
      <c r="J10778" s="10" t="inlineStr">
        <is>
          <t>Tiếp thị / Marketing</t>
        </is>
      </c>
      <c r="K10778" s="10" t="inlineStr">
        <is>
          <t>2 - 5 Năm</t>
        </is>
      </c>
      <c r="L10778" s="11">
        <f>HYPERLINK("https://careerviet.vn/vi/tim-viec-lam/truong-nhom-tim-kiem-tai-tro-va-quan-ly-giai-dau-the-thao-mkt.35C6C70A.html","Xem chi tiết")</f>
        <v/>
      </c>
      <c r="M10778" s="10" t="n"/>
    </row>
    <row r="10779">
      <c r="B10779" s="7" t="n">
        <v>10777</v>
      </c>
      <c r="C10779" t="inlineStr">
        <is>
          <t>Kế Toán Thuế</t>
        </is>
      </c>
      <c r="D10779" t="inlineStr">
        <is>
          <t>Công ty cổ phần Nu Việt Nam</t>
        </is>
      </c>
      <c r="E10779" t="inlineStr">
        <is>
          <t>Lương:12 Tr - 15 Tr VND</t>
        </is>
      </c>
      <c r="F10779" t="inlineStr">
        <is>
          <t>Hà Nội</t>
        </is>
      </c>
      <c r="G10779" t="inlineStr">
        <is>
          <t>31-03-2026</t>
        </is>
      </c>
      <c r="H10779" t="inlineStr">
        <is>
          <t>31/03/2026</t>
        </is>
      </c>
      <c r="I10779" t="inlineStr">
        <is>
          <t>17/03/2026</t>
        </is>
      </c>
      <c r="J10779" t="inlineStr">
        <is>
          <t>Hành chính / Thư ký, Kế toán / Kiểm toán, Tài chính / Đầu tư</t>
        </is>
      </c>
      <c r="K10779" t="inlineStr">
        <is>
          <t>Trên 3 Năm</t>
        </is>
      </c>
      <c r="L10779" s="8">
        <f>HYPERLINK("https://careerviet.vn/vi/tim-viec-lam/ke-toan-thue.35C6C6F1.html","Xem chi tiết")</f>
        <v/>
      </c>
    </row>
    <row r="10780">
      <c r="B10780" s="9" t="n">
        <v>10778</v>
      </c>
      <c r="C10780" s="10" t="inlineStr">
        <is>
          <t>Nhân viên QC</t>
        </is>
      </c>
      <c r="D10780" s="10" t="inlineStr">
        <is>
          <t>Công Ty TNHH INOAC Viet Nam</t>
        </is>
      </c>
      <c r="E10780" s="10" t="inlineStr">
        <is>
          <t>Lương:Cạnh tranh</t>
        </is>
      </c>
      <c r="F10780" s="10" t="inlineStr">
        <is>
          <t>Hà Nội</t>
        </is>
      </c>
      <c r="G10780" s="10" t="inlineStr">
        <is>
          <t>15-04-2026</t>
        </is>
      </c>
      <c r="H10780" s="10" t="inlineStr">
        <is>
          <t>15/04/2026</t>
        </is>
      </c>
      <c r="I10780" s="10" t="inlineStr">
        <is>
          <t>17/03/2026</t>
        </is>
      </c>
      <c r="J10780" s="10" t="inlineStr">
        <is>
          <t>Quản lý chất lượng (QA/QC)</t>
        </is>
      </c>
      <c r="K10780" s="10" t="inlineStr">
        <is>
          <t>1 - 5 Năm</t>
        </is>
      </c>
      <c r="L10780" s="11">
        <f>HYPERLINK("https://careerviet.vn/vi/tim-viec-lam/nhan-vien-qc.35C6C6D6.html","Xem chi tiết")</f>
        <v/>
      </c>
      <c r="M10780" s="10" t="n"/>
    </row>
    <row r="10781">
      <c r="B10781" s="7" t="n">
        <v>10779</v>
      </c>
      <c r="C10781" t="inlineStr">
        <is>
          <t>[Hà Nội] Trưởng Nhóm Tuyển Dụng (TA Leader)</t>
        </is>
      </c>
      <c r="D10781" t="inlineStr">
        <is>
          <t>Công Ty TNHH XNK Phát Triển Đông Dương</t>
        </is>
      </c>
      <c r="E10781" t="inlineStr">
        <is>
          <t>Lương:20 Tr - 30 Tr VND</t>
        </is>
      </c>
      <c r="F10781" t="inlineStr">
        <is>
          <t>Hà Nội</t>
        </is>
      </c>
      <c r="G10781" t="inlineStr">
        <is>
          <t>20-04-2026</t>
        </is>
      </c>
      <c r="H10781" t="inlineStr">
        <is>
          <t>20/04/2026</t>
        </is>
      </c>
      <c r="I10781" t="inlineStr">
        <is>
          <t>17/03/2026</t>
        </is>
      </c>
      <c r="J10781" t="inlineStr">
        <is>
          <t>Nhân sự</t>
        </is>
      </c>
      <c r="K10781" t="inlineStr">
        <is>
          <t>Trên 5 Năm</t>
        </is>
      </c>
      <c r="L10781" s="8">
        <f>HYPERLINK("https://careerviet.vn/vi/tim-viec-lam/ha-noi-truong-nhom-tuyen-dung-ta-leader.35C6C6E2.html","Xem chi tiết")</f>
        <v/>
      </c>
    </row>
    <row r="10782">
      <c r="B10782" s="9" t="n">
        <v>10780</v>
      </c>
      <c r="C10782" s="10" t="inlineStr">
        <is>
          <t>CHUYÊN VIÊN TỔNG HỢP VÀ PHÂN TÍCH DỮ LIỆU KINH DOANH - UP25M</t>
        </is>
      </c>
      <c r="D10782" s="10" t="inlineStr">
        <is>
          <t>THỜI TRANG LINING_CÔNG TY TNHH QUỐC TẾ HẢI LONG</t>
        </is>
      </c>
      <c r="E10782" s="10" t="inlineStr">
        <is>
          <t>Lương:20 Tr - 25 Tr VND</t>
        </is>
      </c>
      <c r="F10782" s="10" t="inlineStr">
        <is>
          <t>Hà Nội</t>
        </is>
      </c>
      <c r="G10782" s="10" t="inlineStr">
        <is>
          <t>30-04-2026</t>
        </is>
      </c>
      <c r="H10782" s="10" t="inlineStr">
        <is>
          <t>30/04/2026</t>
        </is>
      </c>
      <c r="I10782" s="10" t="inlineStr">
        <is>
          <t>17/03/2026</t>
        </is>
      </c>
      <c r="J10782" s="10" t="inlineStr">
        <is>
          <t>Bán hàng / Kinh doanh, Kế toán / Kiểm toán, Dệt may / Da giày / Thời trang</t>
        </is>
      </c>
      <c r="K10782" s="10" t="inlineStr">
        <is>
          <t>4 - 7 Năm</t>
        </is>
      </c>
      <c r="L10782" s="11">
        <f>HYPERLINK("https://careerviet.vn/vi/tim-viec-lam/chuyen-vien-tong-hop-va-phan-tich-du-lieu-kinh-doanh-up25m.35C6C6E8.html","Xem chi tiết")</f>
        <v/>
      </c>
      <c r="M10782" s="10" t="n"/>
    </row>
    <row r="10783">
      <c r="B10783" s="7" t="n">
        <v>10781</v>
      </c>
      <c r="C10783" t="inlineStr">
        <is>
          <t>CHUYÊN VIÊN ĐÀO TẠO - UP 20M NET</t>
        </is>
      </c>
      <c r="D10783" t="inlineStr">
        <is>
          <t>THỜI TRANG LINING_CÔNG TY TNHH QUỐC TẾ HẢI LONG</t>
        </is>
      </c>
      <c r="E10783" t="inlineStr">
        <is>
          <t>Lương:17 Tr - 20 Tr VND</t>
        </is>
      </c>
      <c r="F10783" t="inlineStr">
        <is>
          <t>Hà Nội</t>
        </is>
      </c>
      <c r="G10783" t="inlineStr">
        <is>
          <t>30-04-2026</t>
        </is>
      </c>
      <c r="H10783" t="inlineStr">
        <is>
          <t>30/04/2026</t>
        </is>
      </c>
      <c r="I10783" t="inlineStr">
        <is>
          <t>17/03/2026</t>
        </is>
      </c>
      <c r="J10783" t="inlineStr">
        <is>
          <t>Bán lẻ / Bán sỉ, Giáo dục / Đào tạo, Hành chính / Thư ký</t>
        </is>
      </c>
      <c r="K10783" t="inlineStr">
        <is>
          <t>3 - 5 Năm</t>
        </is>
      </c>
      <c r="L10783" s="8">
        <f>HYPERLINK("https://careerviet.vn/vi/tim-viec-lam/chuyen-vien-dao-tao-up-20m-net.35C6C6EA.html","Xem chi tiết")</f>
        <v/>
      </c>
    </row>
    <row r="10784">
      <c r="B10784" s="9" t="n">
        <v>10782</v>
      </c>
      <c r="C10784" s="10" t="inlineStr">
        <is>
          <t>Kế Toán Tổng Hợp (An Giang)</t>
        </is>
      </c>
      <c r="D10784" s="10" t="inlineStr">
        <is>
          <t>CÔNG TY CỔ PHẦN TẬP ĐOÀN UNIS</t>
        </is>
      </c>
      <c r="E10784" s="10" t="inlineStr">
        <is>
          <t>Lương:6,5 Tr - 7,5 Tr VND</t>
        </is>
      </c>
      <c r="F10784" s="10" t="inlineStr">
        <is>
          <t>An Giang</t>
        </is>
      </c>
      <c r="G10784" s="10" t="inlineStr">
        <is>
          <t>31-03-2026</t>
        </is>
      </c>
      <c r="H10784" s="10" t="inlineStr">
        <is>
          <t>31/03/2026</t>
        </is>
      </c>
      <c r="I10784" s="10" t="inlineStr">
        <is>
          <t>17/03/2026</t>
        </is>
      </c>
      <c r="J10784" s="10" t="inlineStr">
        <is>
          <t>Bán hàng / Kinh doanh, Kế toán / Kiểm toán</t>
        </is>
      </c>
      <c r="K10784" s="10" t="inlineStr">
        <is>
          <t>1 - 2 Năm</t>
        </is>
      </c>
      <c r="L10784" s="11">
        <f>HYPERLINK("https://careerviet.vn/vi/tim-viec-lam/ke-toan-tong-hop-an-giang.35C6C6E6.html","Xem chi tiết")</f>
        <v/>
      </c>
      <c r="M10784" s="10" t="n"/>
    </row>
    <row r="10785">
      <c r="B10785" s="7" t="n">
        <v>10783</v>
      </c>
      <c r="C10785" t="inlineStr">
        <is>
          <t>TRỢ LÝ HÀNH CHÍNH CEO</t>
        </is>
      </c>
      <c r="D10785" t="inlineStr">
        <is>
          <t>THỜI TRANG LINING_CÔNG TY TNHH QUỐC TẾ HẢI LONG</t>
        </is>
      </c>
      <c r="E10785" t="inlineStr">
        <is>
          <t>Lương:13 Tr - 16 Tr VND</t>
        </is>
      </c>
      <c r="F10785" t="inlineStr">
        <is>
          <t>Hà Nội</t>
        </is>
      </c>
      <c r="G10785" t="inlineStr">
        <is>
          <t>30-04-2026</t>
        </is>
      </c>
      <c r="H10785" t="inlineStr">
        <is>
          <t>30/04/2026</t>
        </is>
      </c>
      <c r="I10785" t="inlineStr">
        <is>
          <t>17/03/2026</t>
        </is>
      </c>
      <c r="J10785" t="inlineStr">
        <is>
          <t>Hành chính / Thư ký</t>
        </is>
      </c>
      <c r="K10785" t="inlineStr">
        <is>
          <t>2 - 3 Năm</t>
        </is>
      </c>
      <c r="L10785" s="8">
        <f>HYPERLINK("https://careerviet.vn/vi/tim-viec-lam/tro-ly-hanh-chinh-ceo.35C6C6EB.html","Xem chi tiết")</f>
        <v/>
      </c>
    </row>
    <row r="10786">
      <c r="B10786" s="9" t="n">
        <v>10784</v>
      </c>
      <c r="C10786" s="10" t="inlineStr">
        <is>
          <t>Data Analyst -  PHÂN TÍCH DỮ LIỆU KINH DOANH - UP25M</t>
        </is>
      </c>
      <c r="D10786" s="10" t="inlineStr">
        <is>
          <t>THỜI TRANG LINING_CÔNG TY TNHH QUỐC TẾ HẢI LONG</t>
        </is>
      </c>
      <c r="E10786" s="10" t="inlineStr">
        <is>
          <t>Lương:20 Tr - 25 Tr VND</t>
        </is>
      </c>
      <c r="F10786" s="10" t="inlineStr">
        <is>
          <t>Hà Nội</t>
        </is>
      </c>
      <c r="G10786" s="10" t="inlineStr">
        <is>
          <t>30-04-2026</t>
        </is>
      </c>
      <c r="H10786" s="10" t="inlineStr">
        <is>
          <t>30/04/2026</t>
        </is>
      </c>
      <c r="I10786" s="10" t="inlineStr">
        <is>
          <t>17/03/2026</t>
        </is>
      </c>
      <c r="J10786" s="10" t="inlineStr">
        <is>
          <t>Bán hàng / Kinh doanh, Kế toán / Kiểm toán, Dệt may / Da giày / Thời trang</t>
        </is>
      </c>
      <c r="K10786" s="10" t="inlineStr">
        <is>
          <t>3 - 5 Năm</t>
        </is>
      </c>
      <c r="L10786" s="11">
        <f>HYPERLINK("https://careerviet.vn/vi/tim-viec-lam/data-analyst-phan-tich-du-lieu-kinh-doanh-up25m.35C6C6E5.html","Xem chi tiết")</f>
        <v/>
      </c>
      <c r="M10786" s="10" t="n"/>
    </row>
    <row r="10787">
      <c r="B10787" s="7" t="n">
        <v>10785</v>
      </c>
      <c r="C10787" t="inlineStr">
        <is>
          <t>TRƯỞNG PHÒNG NHÂN SỰ HÀNH CHÍNH (CƯ M'GAR, ĐẮK LẮK)</t>
        </is>
      </c>
      <c r="D10787" t="inlineStr">
        <is>
          <t>CÔNG TY CỔ PHẦN TẬP ĐOÀN XUẤT - NHẬP KHẨU TRÁI CÂY CHÁNH THU</t>
        </is>
      </c>
      <c r="E10787" t="inlineStr">
        <is>
          <t>Lương:Cạnh tranh</t>
        </is>
      </c>
      <c r="F10787" t="inlineStr">
        <is>
          <t>Dak Lak</t>
        </is>
      </c>
      <c r="G10787" t="inlineStr">
        <is>
          <t>13-04-2026</t>
        </is>
      </c>
      <c r="H10787" t="inlineStr">
        <is>
          <t>13/04/2026</t>
        </is>
      </c>
      <c r="I10787" t="inlineStr">
        <is>
          <t>17/03/2026</t>
        </is>
      </c>
      <c r="J10787" t="inlineStr">
        <is>
          <t>Quản lý điều hành, Nhân sự, Sản xuất / Vận hành sản xuất</t>
        </is>
      </c>
      <c r="K10787" t="inlineStr">
        <is>
          <t>3 - 5 Năm</t>
        </is>
      </c>
      <c r="L10787" s="8">
        <f>HYPERLINK("https://careerviet.vn/vi/tim-viec-lam/truong-phong-nhan-su-hanh-chinh-cu-m-gar-dak-lak.35C6C6FE.html","Xem chi tiết")</f>
        <v/>
      </c>
    </row>
    <row r="10788">
      <c r="B10788" s="9" t="n">
        <v>10786</v>
      </c>
      <c r="C10788" s="10" t="inlineStr">
        <is>
          <t>Coordinator – Human Resources</t>
        </is>
      </c>
      <c r="D10788" s="10" t="inlineStr">
        <is>
          <t>Công Ty TNHH Interflour Việt Nam</t>
        </is>
      </c>
      <c r="E10788" s="10" t="inlineStr">
        <is>
          <t>Lương:Cạnh tranh</t>
        </is>
      </c>
      <c r="F10788" s="10" t="inlineStr">
        <is>
          <t>Hồ Chí Minh</t>
        </is>
      </c>
      <c r="G10788" s="10" t="inlineStr">
        <is>
          <t>13-04-2026</t>
        </is>
      </c>
      <c r="H10788" s="10" t="inlineStr">
        <is>
          <t>13/04/2026</t>
        </is>
      </c>
      <c r="I10788" s="10" t="inlineStr">
        <is>
          <t>17/03/2026</t>
        </is>
      </c>
      <c r="J10788" s="10" t="inlineStr">
        <is>
          <t>Nhân sự, Sản xuất / Vận hành sản xuất</t>
        </is>
      </c>
      <c r="K10788" s="10" t="inlineStr">
        <is>
          <t>2 - 3 Năm</t>
        </is>
      </c>
      <c r="L10788" s="11">
        <f>HYPERLINK("https://careerviet.vn/vi/tim-viec-lam/coordinator-human-resources.35C6C6DA.html","Xem chi tiết")</f>
        <v/>
      </c>
      <c r="M10788" s="10" t="n"/>
    </row>
    <row r="10789">
      <c r="B10789" s="7" t="n">
        <v>10787</v>
      </c>
      <c r="C10789" t="inlineStr">
        <is>
          <t>Hà Nội - Trưởng Nhóm Hỗ Trợ Thanh Toán Khoản Vay Qua Điện Thoại (Thu Hồi Nợ Qua Điện Thoại)</t>
        </is>
      </c>
      <c r="D10789" t="inlineStr">
        <is>
          <t>LOTTE FINANCE VIETNAM</t>
        </is>
      </c>
      <c r="E10789" t="inlineStr">
        <is>
          <t>Lương:Cạnh tranh</t>
        </is>
      </c>
      <c r="F10789" t="inlineStr">
        <is>
          <t>Hà Nội</t>
        </is>
      </c>
      <c r="G10789" t="inlineStr">
        <is>
          <t>30-04-2026</t>
        </is>
      </c>
      <c r="H10789" t="inlineStr">
        <is>
          <t>30/04/2026</t>
        </is>
      </c>
      <c r="I10789" t="inlineStr">
        <is>
          <t>17/03/2026</t>
        </is>
      </c>
      <c r="J10789" t="inlineStr">
        <is>
          <t>Ngân hàng, Bảo hiểm, Tài chính / Đầu tư</t>
        </is>
      </c>
      <c r="K10789" t="inlineStr">
        <is>
          <t>Trên 2 Năm</t>
        </is>
      </c>
      <c r="L10789" s="8">
        <f>HYPERLINK("https://careerviet.vn/vi/tim-viec-lam/ha-noi-truong-nhom-ho-tro-thanh-toan-khoan-vay-qua-dien-thoai-thu-hoi-no-qua-dien-thoai.35C6C702.html","Xem chi tiết")</f>
        <v/>
      </c>
    </row>
    <row r="10790">
      <c r="B10790" s="9" t="n">
        <v>10788</v>
      </c>
      <c r="C10790" s="10" t="inlineStr">
        <is>
          <t>TRƯỞNG NHÓM CHĂM SÓC KHÁCH HÀNG - mảng TMĐT (UP 25M)</t>
        </is>
      </c>
      <c r="D10790" s="10" t="inlineStr">
        <is>
          <t>THỜI TRANG LINING_CÔNG TY TNHH QUỐC TẾ HẢI LONG</t>
        </is>
      </c>
      <c r="E10790" s="10" t="inlineStr">
        <is>
          <t>Lương:20 Tr - 25 Tr VND</t>
        </is>
      </c>
      <c r="F10790" s="10" t="inlineStr">
        <is>
          <t>Hà Nội</t>
        </is>
      </c>
      <c r="G10790" s="10" t="inlineStr">
        <is>
          <t>30-04-2026</t>
        </is>
      </c>
      <c r="H10790" s="10" t="inlineStr">
        <is>
          <t>30/04/2026</t>
        </is>
      </c>
      <c r="I10790" s="10" t="inlineStr">
        <is>
          <t>17/03/2026</t>
        </is>
      </c>
      <c r="J10790" s="10" t="inlineStr">
        <is>
          <t>Tiếp thị / Marketing, Tiếp thị trực tuyến, Dịch vụ khách hàng</t>
        </is>
      </c>
      <c r="K10790" s="10" t="inlineStr">
        <is>
          <t>3 - 5 Năm</t>
        </is>
      </c>
      <c r="L10790" s="11">
        <f>HYPERLINK("https://careerviet.vn/vi/tim-viec-lam/truong-nhom-cham-soc-khach-hang-mang-tmdt-up-25m.35C6C6E3.html","Xem chi tiết")</f>
        <v/>
      </c>
      <c r="M10790" s="10" t="n"/>
    </row>
    <row r="10791">
      <c r="B10791" s="7" t="n">
        <v>10789</v>
      </c>
      <c r="C10791" t="inlineStr">
        <is>
          <t>Nhân viên kinh doanh (TDH) tại Tuyên Quang</t>
        </is>
      </c>
      <c r="D10791" t="inlineStr">
        <is>
          <t>Tập Đoàn Tân Á Đại Thành</t>
        </is>
      </c>
      <c r="E10791" t="inlineStr">
        <is>
          <t>Lương:10 Tr - 25 Tr VND</t>
        </is>
      </c>
      <c r="F10791" t="inlineStr">
        <is>
          <t>Tuyên Quang</t>
        </is>
      </c>
      <c r="G10791" t="inlineStr">
        <is>
          <t>11-04-2026</t>
        </is>
      </c>
      <c r="H10791" t="inlineStr">
        <is>
          <t>11/04/2026</t>
        </is>
      </c>
      <c r="I10791" t="inlineStr">
        <is>
          <t>17/03/2026</t>
        </is>
      </c>
      <c r="J10791" t="inlineStr">
        <is>
          <t>Bán hàng / Kinh doanh</t>
        </is>
      </c>
      <c r="K10791" t="inlineStr">
        <is>
          <t>N/A</t>
        </is>
      </c>
      <c r="L10791" s="8">
        <f>HYPERLINK("https://careerviet.vn/vi/tim-viec-lam/nhan-vien-kinh-doanh-tdh-tai-tuyen-quang.35C6C6E4.html","Xem chi tiết")</f>
        <v/>
      </c>
    </row>
    <row r="10792">
      <c r="B10792" s="9" t="n">
        <v>10790</v>
      </c>
      <c r="C10792" s="10" t="inlineStr">
        <is>
          <t>[TIỀN GIANG] TUYỂN 01  KẾ TOÁN TỔNG HỢP</t>
        </is>
      </c>
      <c r="D10792" s="10" t="inlineStr">
        <is>
          <t>CÔNG TY CỔ PHẦN TẬP ĐOÀN UNIS</t>
        </is>
      </c>
      <c r="E10792" s="10" t="inlineStr">
        <is>
          <t>Lương:6,5 Tr - 7,5 Tr VND</t>
        </is>
      </c>
      <c r="F10792" s="10" t="inlineStr">
        <is>
          <t>Tiền Giang</t>
        </is>
      </c>
      <c r="G10792" s="10" t="inlineStr">
        <is>
          <t>31-03-2026</t>
        </is>
      </c>
      <c r="H10792" s="10" t="inlineStr">
        <is>
          <t>31/03/2026</t>
        </is>
      </c>
      <c r="I10792" s="10" t="inlineStr">
        <is>
          <t>17/03/2026</t>
        </is>
      </c>
      <c r="J10792" s="10" t="inlineStr">
        <is>
          <t>Tiếp thị / Marketing, Bán hàng / Kinh doanh, Kế toán / Kiểm toán</t>
        </is>
      </c>
      <c r="K10792" s="10" t="inlineStr">
        <is>
          <t>1 - 2 Năm</t>
        </is>
      </c>
      <c r="L10792" s="11">
        <f>HYPERLINK("https://careerviet.vn/vi/tim-viec-lam/tien-giang-tuyen-01-ke-toan-tong-hop.35C6C6D8.html","Xem chi tiết")</f>
        <v/>
      </c>
      <c r="M10792" s="10" t="n"/>
    </row>
    <row r="10793">
      <c r="B10793" s="7" t="n">
        <v>10791</v>
      </c>
      <c r="C10793" t="inlineStr">
        <is>
          <t>IT Sales Manager (APAC Market)</t>
        </is>
      </c>
      <c r="D10793" t="inlineStr">
        <is>
          <t>Công ty cổ phần GMO-Z.com RUNSYSTEM</t>
        </is>
      </c>
      <c r="E10793" t="inlineStr">
        <is>
          <t>Lương:25 Tr - 30 Tr VND</t>
        </is>
      </c>
      <c r="F10793" t="inlineStr">
        <is>
          <t>Hà Nội</t>
        </is>
      </c>
      <c r="G10793" t="inlineStr">
        <is>
          <t>12-04-2026</t>
        </is>
      </c>
      <c r="H10793" t="inlineStr">
        <is>
          <t>12/04/2026</t>
        </is>
      </c>
      <c r="I10793" t="inlineStr">
        <is>
          <t>17/03/2026</t>
        </is>
      </c>
      <c r="J10793" t="inlineStr">
        <is>
          <t>CNTT - Phần mềm, Bán hàng / Kinh doanh</t>
        </is>
      </c>
      <c r="K10793" t="inlineStr">
        <is>
          <t>2 - 5 Năm</t>
        </is>
      </c>
      <c r="L10793" s="8">
        <f>HYPERLINK("https://careerviet.vn/vi/tim-viec-lam/it-sales-manager-apac-market.35C6C6DE.html","Xem chi tiết")</f>
        <v/>
      </c>
    </row>
    <row r="10794">
      <c r="B10794" s="9" t="n">
        <v>10792</v>
      </c>
      <c r="C10794" s="10" t="inlineStr">
        <is>
          <t>[HCM] CHUYÊN VIÊN MUA HÀNG THỜI TRANG - UP 25M</t>
        </is>
      </c>
      <c r="D10794" s="10" t="inlineStr">
        <is>
          <t>THỜI TRANG LINING_CÔNG TY TNHH QUỐC TẾ HẢI LONG</t>
        </is>
      </c>
      <c r="E10794" s="10" t="inlineStr">
        <is>
          <t>Lương:Cạnh tranh</t>
        </is>
      </c>
      <c r="F10794" s="10" t="inlineStr">
        <is>
          <t>Hà NộiHồ Chí Minh</t>
        </is>
      </c>
      <c r="G10794" s="10" t="inlineStr">
        <is>
          <t>30-04-2026</t>
        </is>
      </c>
      <c r="H10794" s="10" t="inlineStr">
        <is>
          <t>30/04/2026</t>
        </is>
      </c>
      <c r="I10794" s="10" t="inlineStr">
        <is>
          <t>17/03/2026</t>
        </is>
      </c>
      <c r="J10794" s="10" t="inlineStr">
        <is>
          <t>Bán hàng / Kinh doanh, Dệt may / Da giày / Thời trang</t>
        </is>
      </c>
      <c r="K10794" s="10" t="inlineStr">
        <is>
          <t>3 - 5 Năm</t>
        </is>
      </c>
      <c r="L10794" s="11">
        <f>HYPERLINK("https://careerviet.vn/vi/tim-viec-lam/hcm-chuyen-vien-mua-hang-thoi-trang-up-25m.35C6C6DC.html","Xem chi tiết")</f>
        <v/>
      </c>
      <c r="M10794" s="10" t="n"/>
    </row>
    <row r="10795">
      <c r="B10795" s="7" t="n">
        <v>10793</v>
      </c>
      <c r="C10795" t="inlineStr">
        <is>
          <t>Kế toán tổng hợp</t>
        </is>
      </c>
      <c r="D10795" t="inlineStr">
        <is>
          <t>Công Ty Cổ Phần BCG Energy</t>
        </is>
      </c>
      <c r="E10795" t="inlineStr">
        <is>
          <t>Lương:17 Tr - 20 Tr VND</t>
        </is>
      </c>
      <c r="F10795" t="inlineStr">
        <is>
          <t>Hồ Chí Minh</t>
        </is>
      </c>
      <c r="G10795" t="inlineStr">
        <is>
          <t>26-08-2026</t>
        </is>
      </c>
      <c r="H10795" t="inlineStr">
        <is>
          <t>26/08/2026</t>
        </is>
      </c>
      <c r="I10795" t="inlineStr">
        <is>
          <t>17/03/2026</t>
        </is>
      </c>
      <c r="J10795" t="inlineStr">
        <is>
          <t>Kế toán / Kiểm toán</t>
        </is>
      </c>
      <c r="K10795" t="inlineStr">
        <is>
          <t>Trên 2 Năm</t>
        </is>
      </c>
      <c r="L10795" s="8">
        <f>HYPERLINK("https://careerviet.vn/vi/tim-viec-lam/ke-toan-tong-hop.35C6C6D9.html","Xem chi tiết")</f>
        <v/>
      </c>
    </row>
    <row r="10796">
      <c r="B10796" s="9" t="n">
        <v>10794</v>
      </c>
      <c r="C10796" s="10" t="inlineStr">
        <is>
          <t>[HÀ NỘI] CHUYÊN VIÊN QUẢN LÝ HÀNG HÓA (Mạnh Mua Hàng)</t>
        </is>
      </c>
      <c r="D10796" s="10" t="inlineStr">
        <is>
          <t>THỜI TRANG LINING_CÔNG TY TNHH QUỐC TẾ HẢI LONG</t>
        </is>
      </c>
      <c r="E10796" s="10" t="inlineStr">
        <is>
          <t>Lương:18 Tr - 25 Tr VND</t>
        </is>
      </c>
      <c r="F10796" s="10" t="inlineStr">
        <is>
          <t>Hà Nội</t>
        </is>
      </c>
      <c r="G10796" s="10" t="inlineStr">
        <is>
          <t>30-04-2026</t>
        </is>
      </c>
      <c r="H10796" s="10" t="inlineStr">
        <is>
          <t>30/04/2026</t>
        </is>
      </c>
      <c r="I10796" s="10" t="inlineStr">
        <is>
          <t>17/03/2026</t>
        </is>
      </c>
      <c r="J10796" s="10" t="inlineStr">
        <is>
          <t>Bán hàng / Kinh doanh, Dệt may / Da giày / Thời trang, Thu mua / Vật tư</t>
        </is>
      </c>
      <c r="K10796" s="10" t="inlineStr">
        <is>
          <t>3 - 5 Năm</t>
        </is>
      </c>
      <c r="L10796" s="11">
        <f>HYPERLINK("https://careerviet.vn/vi/tim-viec-lam/ha-noi-chuyen-vien-quan-ly-hang-hoa-manh-mua-hang.35C6C6CE.html","Xem chi tiết")</f>
        <v/>
      </c>
      <c r="M10796" s="10" t="n"/>
    </row>
    <row r="10797">
      <c r="B10797" s="7" t="n">
        <v>10795</v>
      </c>
      <c r="C10797" t="inlineStr">
        <is>
          <t>Nhân viên kinh doanh (ngành hàng kim khí)</t>
        </is>
      </c>
      <c r="D10797" t="inlineStr">
        <is>
          <t>Tập Đoàn Tân Á Đại Thành</t>
        </is>
      </c>
      <c r="E10797" t="inlineStr">
        <is>
          <t>Lương:10 Tr - 25 Tr VND</t>
        </is>
      </c>
      <c r="F10797" t="inlineStr">
        <is>
          <t>Vĩnh PhúcPhú Thọ</t>
        </is>
      </c>
      <c r="G10797" t="inlineStr">
        <is>
          <t>11-04-2026</t>
        </is>
      </c>
      <c r="H10797" t="inlineStr">
        <is>
          <t>11/04/2026</t>
        </is>
      </c>
      <c r="I10797" t="inlineStr">
        <is>
          <t>17/03/2026</t>
        </is>
      </c>
      <c r="J10797" t="inlineStr">
        <is>
          <t>Bán hàng / Kinh doanh</t>
        </is>
      </c>
      <c r="K10797" t="inlineStr">
        <is>
          <t>N/A</t>
        </is>
      </c>
      <c r="L10797" s="8">
        <f>HYPERLINK("https://careerviet.vn/vi/tim-viec-lam/nhan-vien-kinh-doanh-nganh-hang-kim-khi.35C6C6B8.html","Xem chi tiết")</f>
        <v/>
      </c>
    </row>
    <row r="10798">
      <c r="B10798" s="9" t="n">
        <v>10796</v>
      </c>
      <c r="C10798" s="10" t="inlineStr">
        <is>
          <t>[HÀ NỘI] CHUYÊN VIÊN MUA HÀNG - UP 25M</t>
        </is>
      </c>
      <c r="D10798" s="10" t="inlineStr">
        <is>
          <t>THỜI TRANG LINING_CÔNG TY TNHH QUỐC TẾ HẢI LONG</t>
        </is>
      </c>
      <c r="E10798" s="10" t="inlineStr">
        <is>
          <t>Lương:18 Tr - 25 Tr VND</t>
        </is>
      </c>
      <c r="F10798" s="10" t="inlineStr">
        <is>
          <t>Hà Nội</t>
        </is>
      </c>
      <c r="G10798" s="10" t="inlineStr">
        <is>
          <t>30-04-2026</t>
        </is>
      </c>
      <c r="H10798" s="10" t="inlineStr">
        <is>
          <t>30/04/2026</t>
        </is>
      </c>
      <c r="I10798" s="10" t="inlineStr">
        <is>
          <t>17/03/2026</t>
        </is>
      </c>
      <c r="J10798" s="10" t="inlineStr">
        <is>
          <t>Bán hàng / Kinh doanh, Dệt may / Da giày / Thời trang, Thu mua / Vật tư</t>
        </is>
      </c>
      <c r="K10798" s="10" t="inlineStr">
        <is>
          <t>3 - 5 Năm</t>
        </is>
      </c>
      <c r="L10798" s="11">
        <f>HYPERLINK("https://careerviet.vn/vi/tim-viec-lam/ha-noi-chuyen-vien-mua-hang-up-25m.35C6C6DB.html","Xem chi tiết")</f>
        <v/>
      </c>
      <c r="M10798" s="10" t="n"/>
    </row>
    <row r="10799">
      <c r="B10799" s="7" t="n">
        <v>10797</v>
      </c>
      <c r="C10799" t="inlineStr">
        <is>
          <t>Kế Toán Trưởng</t>
        </is>
      </c>
      <c r="D10799" t="inlineStr">
        <is>
          <t>CÔNG TY TNHH ROYAL CARGO VIỆT NAM</t>
        </is>
      </c>
      <c r="E10799" t="inlineStr">
        <is>
          <t>Lương:Cạnh tranh</t>
        </is>
      </c>
      <c r="F10799" t="inlineStr">
        <is>
          <t>Hồ Chí Minh</t>
        </is>
      </c>
      <c r="G10799" t="inlineStr">
        <is>
          <t>12-04-2026</t>
        </is>
      </c>
      <c r="H10799" t="inlineStr">
        <is>
          <t>12/04/2026</t>
        </is>
      </c>
      <c r="I10799" t="inlineStr">
        <is>
          <t>17/03/2026</t>
        </is>
      </c>
      <c r="J10799" t="inlineStr">
        <is>
          <t>Kế toán / Kiểm toán, Tài chính / Đầu tư, Xuất nhập khẩu</t>
        </is>
      </c>
      <c r="K10799" t="inlineStr">
        <is>
          <t>Trên 3 Năm</t>
        </is>
      </c>
      <c r="L10799" s="8">
        <f>HYPERLINK("https://careerviet.vn/vi/tim-viec-lam/ke-toan-truong.35C6C6D4.html","Xem chi tiết")</f>
        <v/>
      </c>
    </row>
    <row r="10800">
      <c r="B10800" s="9" t="n">
        <v>10798</v>
      </c>
      <c r="C10800" s="10" t="inlineStr">
        <is>
          <t>NHÂN VIÊN TRUYỀN THÔNG NỘI BỘ</t>
        </is>
      </c>
      <c r="D10800" s="10" t="inlineStr">
        <is>
          <t>Công ty cổ phần GMO-Z.com RUNSYSTEM</t>
        </is>
      </c>
      <c r="E10800" s="10" t="inlineStr">
        <is>
          <t>Lương:12 Tr - 14 Tr VND</t>
        </is>
      </c>
      <c r="F10800" s="10" t="inlineStr">
        <is>
          <t>Hà Nội</t>
        </is>
      </c>
      <c r="G10800" s="10" t="inlineStr">
        <is>
          <t>10-04-2026</t>
        </is>
      </c>
      <c r="H10800" s="10" t="inlineStr">
        <is>
          <t>10/04/2026</t>
        </is>
      </c>
      <c r="I10800" s="10" t="inlineStr">
        <is>
          <t>17/03/2026</t>
        </is>
      </c>
      <c r="J10800" s="10" t="inlineStr">
        <is>
          <t>Tiếp thị / Marketing</t>
        </is>
      </c>
      <c r="K10800" s="10" t="inlineStr">
        <is>
          <t>1 - 3 Năm</t>
        </is>
      </c>
      <c r="L10800" s="11">
        <f>HYPERLINK("https://careerviet.vn/vi/tim-viec-lam/nhan-vien-truyen-thong-noi-bo.35C6C428.html","Xem chi tiết")</f>
        <v/>
      </c>
      <c r="M10800" s="10" t="n"/>
    </row>
    <row r="10801">
      <c r="B10801" s="7" t="n">
        <v>10799</v>
      </c>
      <c r="C10801" t="inlineStr">
        <is>
          <t>TRƯỞNG PHÒNG PHÂN TÍCH VĨ MÔ &amp; CHIẾN LƯỢC THỊ TRƯỜNG</t>
        </is>
      </c>
      <c r="D10801" t="inlineStr">
        <is>
          <t>CÔNG TY CỔ PHẦN CHỨNG KHOÁN ASEAN</t>
        </is>
      </c>
      <c r="E10801" t="inlineStr">
        <is>
          <t>Lương:Cạnh tranh</t>
        </is>
      </c>
      <c r="F10801" t="inlineStr">
        <is>
          <t>Hà Nội</t>
        </is>
      </c>
      <c r="G10801" t="inlineStr">
        <is>
          <t>30-04-2026</t>
        </is>
      </c>
      <c r="H10801" t="inlineStr">
        <is>
          <t>30/04/2026</t>
        </is>
      </c>
      <c r="I10801" t="inlineStr">
        <is>
          <t>17/03/2026</t>
        </is>
      </c>
      <c r="J10801" t="inlineStr">
        <is>
          <t>Chứng khoán, Tài chính / Đầu tư, Ngân hàng</t>
        </is>
      </c>
      <c r="K10801" t="inlineStr">
        <is>
          <t>5 - 6 Năm</t>
        </is>
      </c>
      <c r="L10801" s="8">
        <f>HYPERLINK("https://careerviet.vn/vi/tim-viec-lam/truong-phong-phan-tich-vi-mo-chien-luoc-thi-truong.35C6C82C.html","Xem chi tiết")</f>
        <v/>
      </c>
    </row>
    <row r="10802">
      <c r="B10802" s="9" t="n">
        <v>10800</v>
      </c>
      <c r="C10802" s="10" t="inlineStr">
        <is>
          <t>ĐIỀU DƯỠNG VIÊN</t>
        </is>
      </c>
      <c r="D10802" s="10" t="inlineStr">
        <is>
          <t>CÔNG TY TNHH ĐẦU TƯ Y TẾ QUỐC TẾ DND – SÀI GÒN</t>
        </is>
      </c>
      <c r="E10802" s="10" t="inlineStr">
        <is>
          <t>Lương:10 Tr - 15 Tr VND</t>
        </is>
      </c>
      <c r="F10802" s="10" t="inlineStr">
        <is>
          <t>Hồ Chí Minh</t>
        </is>
      </c>
      <c r="G10802" s="10" t="inlineStr">
        <is>
          <t>30-04-2026</t>
        </is>
      </c>
      <c r="H10802" s="10" t="inlineStr">
        <is>
          <t>30/04/2026</t>
        </is>
      </c>
      <c r="I10802" s="10" t="inlineStr">
        <is>
          <t>17/03/2026</t>
        </is>
      </c>
      <c r="J10802" s="10" t="inlineStr">
        <is>
          <t>Dược phẩm/ Hóa Mỹ Phẩm, Y tế / Chăm sóc sức khỏe / Thẩm mỹ / Làm đẹp</t>
        </is>
      </c>
      <c r="K10802" s="10" t="inlineStr">
        <is>
          <t>Trên 1 Năm</t>
        </is>
      </c>
      <c r="L10802" s="11">
        <f>HYPERLINK("https://careerviet.vn/vi/tim-viec-lam/dieu-duong-vien.35C6B60D.html","Xem chi tiết")</f>
        <v/>
      </c>
      <c r="M10802" s="10" t="n"/>
    </row>
    <row r="10803">
      <c r="B10803" s="7" t="n">
        <v>10801</v>
      </c>
      <c r="C10803" t="inlineStr">
        <is>
          <t>Nhân viên Văn phòng Hội đồng quản trị</t>
        </is>
      </c>
      <c r="D10803" t="inlineStr">
        <is>
          <t>Công Ty Cổ Phần Tập Đoàn Đèo Cả</t>
        </is>
      </c>
      <c r="E10803" t="inlineStr">
        <is>
          <t>Lương:15 Tr - 30 Tr VND</t>
        </is>
      </c>
      <c r="F10803" t="inlineStr">
        <is>
          <t>Hà NộiLạng SơnCao Bằng</t>
        </is>
      </c>
      <c r="G10803" t="inlineStr">
        <is>
          <t>30-04-2026</t>
        </is>
      </c>
      <c r="H10803" t="inlineStr">
        <is>
          <t>30/04/2026</t>
        </is>
      </c>
      <c r="I10803" t="inlineStr">
        <is>
          <t>17/03/2026</t>
        </is>
      </c>
      <c r="J10803" t="inlineStr">
        <is>
          <t>Xây dựng, Ngành khác</t>
        </is>
      </c>
      <c r="K10803" t="inlineStr">
        <is>
          <t>2 - 3 Năm</t>
        </is>
      </c>
      <c r="L10803" s="8">
        <f>HYPERLINK("https://careerviet.vn/vi/tim-viec-lam/nhan-vien-van-phong-hoi-dong-quan-tri.35C6C825.html","Xem chi tiết")</f>
        <v/>
      </c>
    </row>
    <row r="10804">
      <c r="B10804" s="9" t="n">
        <v>10802</v>
      </c>
      <c r="C10804" s="10" t="inlineStr">
        <is>
          <t>GIÁM ĐỐC/PGĐ KHỐI PHÂN TÍCH</t>
        </is>
      </c>
      <c r="D10804" s="10" t="inlineStr">
        <is>
          <t>CÔNG TY CỔ PHẦN CHỨNG KHOÁN ASEAN</t>
        </is>
      </c>
      <c r="E10804" s="10" t="inlineStr">
        <is>
          <t>Lương:Cạnh tranh</t>
        </is>
      </c>
      <c r="F10804" s="10" t="inlineStr">
        <is>
          <t>Hà Nội</t>
        </is>
      </c>
      <c r="G10804" s="10" t="inlineStr">
        <is>
          <t>30-04-2026</t>
        </is>
      </c>
      <c r="H10804" s="10" t="inlineStr">
        <is>
          <t>30/04/2026</t>
        </is>
      </c>
      <c r="I10804" s="10" t="inlineStr">
        <is>
          <t>17/03/2026</t>
        </is>
      </c>
      <c r="J10804" s="10" t="inlineStr">
        <is>
          <t>Chứng khoán, Tài chính / Đầu tư, Ngân hàng</t>
        </is>
      </c>
      <c r="K10804" s="10" t="inlineStr">
        <is>
          <t>5 - 6 Năm</t>
        </is>
      </c>
      <c r="L10804" s="11">
        <f>HYPERLINK("https://careerviet.vn/vi/tim-viec-lam/giam-doc-pgd-khoi-phan-tich.35C6C828.html","Xem chi tiết")</f>
        <v/>
      </c>
      <c r="M10804" s="10" t="n"/>
    </row>
    <row r="10805">
      <c r="B10805" s="7" t="n">
        <v>10803</v>
      </c>
      <c r="C10805" t="inlineStr">
        <is>
          <t>Nhân Viên Sales Admin - Ocean Edu Thoại Ngọc Hầu - Thu Nhập Từ 15 Triệu/Đi Làm Ngay</t>
        </is>
      </c>
      <c r="D10805" t="inlineStr">
        <is>
          <t>Công Ty CP Giáo Dục Đại Dương</t>
        </is>
      </c>
      <c r="E10805" t="inlineStr">
        <is>
          <t>Lương:14 Tr - 15 Tr VND</t>
        </is>
      </c>
      <c r="F10805" t="inlineStr">
        <is>
          <t>Hồ Chí Minh</t>
        </is>
      </c>
      <c r="G10805" t="inlineStr">
        <is>
          <t>30-03-2026</t>
        </is>
      </c>
      <c r="H10805" t="inlineStr">
        <is>
          <t>30/03/2026</t>
        </is>
      </c>
      <c r="I10805" t="inlineStr">
        <is>
          <t>17/03/2026</t>
        </is>
      </c>
      <c r="J10805" t="inlineStr">
        <is>
          <t>Kế toán / Kiểm toán, Giáo dục / Đào tạo</t>
        </is>
      </c>
      <c r="K10805" t="inlineStr">
        <is>
          <t>1 - 2 Năm</t>
        </is>
      </c>
      <c r="L10805" s="8">
        <f>HYPERLINK("https://careerviet.vn/vi/tim-viec-lam/nhan-vien-sales-admin-ocean-edu-thoai-ngoc-hau-thu-nhap-tu-15-trieu-di-lam-ngay.35C6C82D.html","Xem chi tiết")</f>
        <v/>
      </c>
    </row>
    <row r="10806">
      <c r="B10806" s="9" t="n">
        <v>10804</v>
      </c>
      <c r="C10806" s="10" t="inlineStr">
        <is>
          <t>Thực tập sinh nhân sự</t>
        </is>
      </c>
      <c r="D10806" s="10" t="inlineStr">
        <is>
          <t>CÔNG TY CỔ PHẦN ĐẦU TƯ BẤT ĐỘNG SẢN LÊ VIN LAND</t>
        </is>
      </c>
      <c r="E10806" s="10" t="inlineStr">
        <is>
          <t>Lương:Cạnh tranh</t>
        </is>
      </c>
      <c r="F10806" s="10" t="inlineStr">
        <is>
          <t>Hồ Chí Minh</t>
        </is>
      </c>
      <c r="G10806" s="10" t="inlineStr">
        <is>
          <t>31-03-2026</t>
        </is>
      </c>
      <c r="H10806" s="10" t="inlineStr">
        <is>
          <t>31/03/2026</t>
        </is>
      </c>
      <c r="I10806" s="10" t="inlineStr">
        <is>
          <t>17/03/2026</t>
        </is>
      </c>
      <c r="J10806" s="10" t="inlineStr">
        <is>
          <t>Bất động sản, Nhân sự</t>
        </is>
      </c>
      <c r="K10806" s="10" t="inlineStr">
        <is>
          <t>N/A</t>
        </is>
      </c>
      <c r="L10806" s="11">
        <f>HYPERLINK("https://careerviet.vn/vi/tim-viec-lam/thuc-tap-sinh-nhan-su.35C6C829.html","Xem chi tiết")</f>
        <v/>
      </c>
      <c r="M10806" s="10" t="n"/>
    </row>
    <row r="10807">
      <c r="B10807" s="7" t="n">
        <v>10805</v>
      </c>
      <c r="C10807" t="inlineStr">
        <is>
          <t>Trưởng nhóm Phân tích và Chiến lược thanh toán khoản vay (Collection)</t>
        </is>
      </c>
      <c r="D10807" t="inlineStr">
        <is>
          <t>LOTTE FINANCE VIETNAM</t>
        </is>
      </c>
      <c r="E10807" t="inlineStr">
        <is>
          <t>Lương:Cạnh tranh</t>
        </is>
      </c>
      <c r="F10807" t="inlineStr">
        <is>
          <t>Hồ Chí Minh</t>
        </is>
      </c>
      <c r="G10807" t="inlineStr">
        <is>
          <t>29-04-2026</t>
        </is>
      </c>
      <c r="H10807" t="inlineStr">
        <is>
          <t>29/04/2026</t>
        </is>
      </c>
      <c r="I10807" t="inlineStr">
        <is>
          <t>17/03/2026</t>
        </is>
      </c>
      <c r="J10807" t="inlineStr">
        <is>
          <t>Ngân hàng, Tài chính / Đầu tư</t>
        </is>
      </c>
      <c r="K10807" t="inlineStr">
        <is>
          <t>Trên 3 Năm</t>
        </is>
      </c>
      <c r="L10807" s="8">
        <f>HYPERLINK("https://careerviet.vn/vi/tim-viec-lam/truong-nhom-phan-tich-va-chien-luoc-thanh-toan-khoan-vay-collection.35C6C6D5.html","Xem chi tiết")</f>
        <v/>
      </c>
    </row>
    <row r="10808">
      <c r="B10808" s="9" t="n">
        <v>10806</v>
      </c>
      <c r="C10808" s="10" t="inlineStr">
        <is>
          <t>Trưởng Phòng Tái Cấu Trúc và M&amp;A</t>
        </is>
      </c>
      <c r="D10808" s="10" t="inlineStr">
        <is>
          <t>CÔNG TY CỔ PHẦN CHỨNG KHOÁN ASEAN</t>
        </is>
      </c>
      <c r="E10808" s="10" t="inlineStr">
        <is>
          <t>Lương:Cạnh tranh</t>
        </is>
      </c>
      <c r="F10808" s="10" t="inlineStr">
        <is>
          <t>Hà Nội</t>
        </is>
      </c>
      <c r="G10808" s="10" t="inlineStr">
        <is>
          <t>30-04-2026</t>
        </is>
      </c>
      <c r="H10808" s="10" t="inlineStr">
        <is>
          <t>30/04/2026</t>
        </is>
      </c>
      <c r="I10808" s="10" t="inlineStr">
        <is>
          <t>17/03/2026</t>
        </is>
      </c>
      <c r="J10808" s="10" t="inlineStr">
        <is>
          <t>Ngân hàng, Chứng khoán, Tài chính / Đầu tư</t>
        </is>
      </c>
      <c r="K10808" s="10" t="inlineStr">
        <is>
          <t>3 - 4 Năm</t>
        </is>
      </c>
      <c r="L10808" s="11">
        <f>HYPERLINK("https://careerviet.vn/vi/tim-viec-lam/truong-phong-tai-cau-truc-va-m-a.35C6C824.html","Xem chi tiết")</f>
        <v/>
      </c>
      <c r="M10808" s="10" t="n"/>
    </row>
    <row r="10809">
      <c r="B10809" s="7" t="n">
        <v>10807</v>
      </c>
      <c r="C10809" t="inlineStr">
        <is>
          <t>CVCC/Chuyên gia Tư Vấn Tài Chính Doanh Nghiệp (IB)</t>
        </is>
      </c>
      <c r="D10809" t="inlineStr">
        <is>
          <t>CÔNG TY CỔ PHẦN CHỨNG KHOÁN ASEAN</t>
        </is>
      </c>
      <c r="E10809" t="inlineStr">
        <is>
          <t>Lương:Cạnh tranh</t>
        </is>
      </c>
      <c r="F10809" t="inlineStr">
        <is>
          <t>Hà Nội</t>
        </is>
      </c>
      <c r="G10809" t="inlineStr">
        <is>
          <t>30-04-2026</t>
        </is>
      </c>
      <c r="H10809" t="inlineStr">
        <is>
          <t>30/04/2026</t>
        </is>
      </c>
      <c r="I10809" t="inlineStr">
        <is>
          <t>17/03/2026</t>
        </is>
      </c>
      <c r="J10809" t="inlineStr">
        <is>
          <t>Ngân hàng, Chứng khoán, Tài chính / Đầu tư</t>
        </is>
      </c>
      <c r="K10809" t="inlineStr">
        <is>
          <t>3 - 4 Năm</t>
        </is>
      </c>
      <c r="L10809" s="8">
        <f>HYPERLINK("https://careerviet.vn/vi/tim-viec-lam/cvcc-chuyen-gia-tu-van-tai-chinh-doanh-nghiep-ib.35C6C81B.html","Xem chi tiết")</f>
        <v/>
      </c>
    </row>
    <row r="10810">
      <c r="B10810" s="9" t="n">
        <v>10808</v>
      </c>
      <c r="C10810" s="10" t="inlineStr">
        <is>
          <t>Trưởng phòng Ngân Hàng Đầu Tư (IB)</t>
        </is>
      </c>
      <c r="D10810" s="10" t="inlineStr">
        <is>
          <t>CÔNG TY CỔ PHẦN CHỨNG KHOÁN ASEAN</t>
        </is>
      </c>
      <c r="E10810" s="10" t="inlineStr">
        <is>
          <t>Lương:Cạnh tranh</t>
        </is>
      </c>
      <c r="F10810" s="10" t="inlineStr">
        <is>
          <t>Hà Nội</t>
        </is>
      </c>
      <c r="G10810" s="10" t="inlineStr">
        <is>
          <t>30-04-2026</t>
        </is>
      </c>
      <c r="H10810" s="10" t="inlineStr">
        <is>
          <t>30/04/2026</t>
        </is>
      </c>
      <c r="I10810" s="10" t="inlineStr">
        <is>
          <t>17/03/2026</t>
        </is>
      </c>
      <c r="J10810" s="10" t="inlineStr">
        <is>
          <t>Ngân hàng, Chứng khoán, Tài chính / Đầu tư</t>
        </is>
      </c>
      <c r="K10810" s="10" t="inlineStr">
        <is>
          <t>3 - 3 Năm</t>
        </is>
      </c>
      <c r="L10810" s="11">
        <f>HYPERLINK("https://careerviet.vn/vi/tim-viec-lam/truong-phong-ngan-hang-dau-tu-ib.35C6C816.html","Xem chi tiết")</f>
        <v/>
      </c>
      <c r="M10810" s="10" t="n"/>
    </row>
    <row r="10811">
      <c r="B10811" s="7" t="n">
        <v>10809</v>
      </c>
      <c r="C10811" t="inlineStr">
        <is>
          <t>Trưởng/ Phó phòng Ngân Hàng Đầu Tư (IB)</t>
        </is>
      </c>
      <c r="D10811" t="inlineStr">
        <is>
          <t>CÔNG TY CỔ PHẦN CHỨNG KHOÁN ASEAN</t>
        </is>
      </c>
      <c r="E10811" t="inlineStr">
        <is>
          <t>Lương:Cạnh tranh</t>
        </is>
      </c>
      <c r="F10811" t="inlineStr">
        <is>
          <t>Hà Nội</t>
        </is>
      </c>
      <c r="G10811" t="inlineStr">
        <is>
          <t>30-04-2026</t>
        </is>
      </c>
      <c r="H10811" t="inlineStr">
        <is>
          <t>30/04/2026</t>
        </is>
      </c>
      <c r="I10811" t="inlineStr">
        <is>
          <t>17/03/2026</t>
        </is>
      </c>
      <c r="J10811" t="inlineStr">
        <is>
          <t>Ngân hàng, Chứng khoán, Tài chính / Đầu tư</t>
        </is>
      </c>
      <c r="K10811" t="inlineStr">
        <is>
          <t>3 - 4 Năm</t>
        </is>
      </c>
      <c r="L10811" s="8">
        <f>HYPERLINK("https://careerviet.vn/vi/tim-viec-lam/truong-pho-phong-ngan-hang-dau-tu-ib.35C6C81F.html","Xem chi tiết")</f>
        <v/>
      </c>
    </row>
    <row r="10812">
      <c r="B10812" s="9" t="n">
        <v>10810</v>
      </c>
      <c r="C10812" s="10" t="inlineStr">
        <is>
          <t>Kế toán kho</t>
        </is>
      </c>
      <c r="D10812" s="10" t="inlineStr">
        <is>
          <t>Công Ty TNHH May Thêu Giày An Phước</t>
        </is>
      </c>
      <c r="E10812" s="10" t="inlineStr">
        <is>
          <t>Lương:Cạnh tranh</t>
        </is>
      </c>
      <c r="F10812" s="10" t="inlineStr">
        <is>
          <t>Hồ Chí Minh</t>
        </is>
      </c>
      <c r="G10812" s="10" t="inlineStr">
        <is>
          <t>31-03-2026</t>
        </is>
      </c>
      <c r="H10812" s="10" t="inlineStr">
        <is>
          <t>31/03/2026</t>
        </is>
      </c>
      <c r="I10812" s="10" t="inlineStr">
        <is>
          <t>17/03/2026</t>
        </is>
      </c>
      <c r="J10812" s="10" t="inlineStr">
        <is>
          <t>Kế toán / Kiểm toán, Vận chuyển / Giao nhận / Kho vận, Hành chính / Thư ký</t>
        </is>
      </c>
      <c r="K10812" s="10" t="inlineStr">
        <is>
          <t>1 - 3 Năm</t>
        </is>
      </c>
      <c r="L10812" s="11">
        <f>HYPERLINK("https://careerviet.vn/vi/tim-viec-lam/ke-toan-kho.35C6C81A.html","Xem chi tiết")</f>
        <v/>
      </c>
      <c r="M10812" s="10" t="n"/>
    </row>
    <row r="10813">
      <c r="B10813" s="7" t="n">
        <v>10811</v>
      </c>
      <c r="C10813" t="inlineStr">
        <is>
          <t>GIÁM SÁT XÂY DỰNG - F&amp;B</t>
        </is>
      </c>
      <c r="D10813" t="inlineStr">
        <is>
          <t>Công Ty Cổ Phần Tầm Nhìn Quốc Tế Aladdin</t>
        </is>
      </c>
      <c r="E10813" t="inlineStr">
        <is>
          <t>Lương:Cạnh tranh</t>
        </is>
      </c>
      <c r="F10813" t="inlineStr">
        <is>
          <t>Hồ Chí Minh</t>
        </is>
      </c>
      <c r="G10813" t="inlineStr">
        <is>
          <t>13-04-2026</t>
        </is>
      </c>
      <c r="H10813" t="inlineStr">
        <is>
          <t>13/04/2026</t>
        </is>
      </c>
      <c r="I10813" t="inlineStr">
        <is>
          <t>17/03/2026</t>
        </is>
      </c>
      <c r="J10813" t="inlineStr">
        <is>
          <t>Nhà hàng / Khách sạn, Thực phẩm &amp; Đồ uống, Xây dựng</t>
        </is>
      </c>
      <c r="K10813" t="inlineStr">
        <is>
          <t>Trên 3 Năm</t>
        </is>
      </c>
      <c r="L10813" s="8">
        <f>HYPERLINK("https://careerviet.vn/vi/tim-viec-lam/giam-sat-xay-dung-f-b.35C6C80A.html","Xem chi tiết")</f>
        <v/>
      </c>
    </row>
    <row r="10814">
      <c r="B10814" s="9" t="n">
        <v>10812</v>
      </c>
      <c r="C10814" s="10" t="inlineStr">
        <is>
          <t>Bảo Mẫu Mầm Non</t>
        </is>
      </c>
      <c r="D10814" s="10" t="inlineStr">
        <is>
          <t>Công Ty TNHH Kindy City</t>
        </is>
      </c>
      <c r="E10814" s="10" t="inlineStr">
        <is>
          <t>Lương:6,5 Tr - 8 Tr VND</t>
        </is>
      </c>
      <c r="F10814" s="10" t="inlineStr">
        <is>
          <t>Hồ Chí Minh</t>
        </is>
      </c>
      <c r="G10814" s="10" t="inlineStr">
        <is>
          <t>5</t>
        </is>
      </c>
      <c r="H10814" s="10" t="inlineStr">
        <is>
          <t>22/03/2026</t>
        </is>
      </c>
      <c r="I10814" s="10" t="inlineStr">
        <is>
          <t>17/03/2026</t>
        </is>
      </c>
      <c r="J10814" s="10" t="inlineStr">
        <is>
          <t>Dịch vụ khách hàng, Giáo dục / Đào tạo, Hành chính / Thư ký</t>
        </is>
      </c>
      <c r="K10814" s="10" t="inlineStr">
        <is>
          <t>1 - 5 Năm</t>
        </is>
      </c>
      <c r="L10814" s="11">
        <f>HYPERLINK("https://careerviet.vn/vi/tim-viec-lam/bao-mau-mam-non.35C6C804.html","Xem chi tiết")</f>
        <v/>
      </c>
      <c r="M10814" s="10" t="n"/>
    </row>
    <row r="10815">
      <c r="B10815" s="7" t="n">
        <v>10813</v>
      </c>
      <c r="C10815" t="inlineStr">
        <is>
          <t>Nhân viên IT Helpdesk</t>
        </is>
      </c>
      <c r="D10815" t="inlineStr">
        <is>
          <t>CÔNG TY TNHH MĂMMY VIỆT NAM</t>
        </is>
      </c>
      <c r="E10815" t="inlineStr">
        <is>
          <t>Lương:10 Tr - 12 Tr VND</t>
        </is>
      </c>
      <c r="F10815" t="inlineStr">
        <is>
          <t>Hồ Chí Minh</t>
        </is>
      </c>
      <c r="G10815" t="inlineStr">
        <is>
          <t>13-03-2026</t>
        </is>
      </c>
      <c r="H10815" t="inlineStr">
        <is>
          <t>13/03/2026</t>
        </is>
      </c>
      <c r="I10815" t="inlineStr">
        <is>
          <t>17/03/2026</t>
        </is>
      </c>
      <c r="J10815" t="inlineStr">
        <is>
          <t>CNTT - Phần cứng / Mạng</t>
        </is>
      </c>
      <c r="K10815" t="inlineStr">
        <is>
          <t>1 - 2 Năm</t>
        </is>
      </c>
      <c r="L10815" s="8">
        <f>HYPERLINK("https://careerviet.vn/vi/tim-viec-lam/nhan-vien-it-helpdesk.35C6C800.html","Xem chi tiết")</f>
        <v/>
      </c>
    </row>
    <row r="10816">
      <c r="B10816" s="9" t="n">
        <v>10814</v>
      </c>
      <c r="C10816" s="10" t="inlineStr">
        <is>
          <t>Nhân viên pha chế</t>
        </is>
      </c>
      <c r="D10816" s="10" t="inlineStr">
        <is>
          <t>Công Ty TNHH Kindy City</t>
        </is>
      </c>
      <c r="E10816" s="10" t="inlineStr">
        <is>
          <t>Lương:Cạnh tranh</t>
        </is>
      </c>
      <c r="F10816" s="10" t="inlineStr">
        <is>
          <t>Hồ Chí Minh</t>
        </is>
      </c>
      <c r="G10816" s="10" t="inlineStr">
        <is>
          <t>09-04-2026</t>
        </is>
      </c>
      <c r="H10816" s="10" t="inlineStr">
        <is>
          <t>09/04/2026</t>
        </is>
      </c>
      <c r="I10816" s="10" t="inlineStr">
        <is>
          <t>17/03/2026</t>
        </is>
      </c>
      <c r="J10816" s="10" t="inlineStr">
        <is>
          <t>Bán hàng / Kinh doanh, Thực phẩm &amp; Đồ uống, Ngành khác</t>
        </is>
      </c>
      <c r="K10816" s="10" t="inlineStr">
        <is>
          <t>1 - 3 Năm</t>
        </is>
      </c>
      <c r="L10816" s="11">
        <f>HYPERLINK("https://careerviet.vn/vi/tim-viec-lam/nhan-vien-pha-che.35C6C80B.html","Xem chi tiết")</f>
        <v/>
      </c>
      <c r="M10816" s="10" t="n"/>
    </row>
    <row r="10817">
      <c r="B10817" s="7" t="n">
        <v>10815</v>
      </c>
      <c r="C10817" t="inlineStr">
        <is>
          <t>Chuyên viên/Chuyên viên Cao Cấp Tái Cấu Trúc và M&amp;A</t>
        </is>
      </c>
      <c r="D10817" t="inlineStr">
        <is>
          <t>CÔNG TY CỔ PHẦN CHỨNG KHOÁN ASEAN</t>
        </is>
      </c>
      <c r="E10817" t="inlineStr">
        <is>
          <t>Lương:Cạnh tranh</t>
        </is>
      </c>
      <c r="F10817" t="inlineStr">
        <is>
          <t>Hà Nội</t>
        </is>
      </c>
      <c r="G10817" t="inlineStr">
        <is>
          <t>30-04-2026</t>
        </is>
      </c>
      <c r="H10817" t="inlineStr">
        <is>
          <t>30/04/2026</t>
        </is>
      </c>
      <c r="I10817" t="inlineStr">
        <is>
          <t>17/03/2026</t>
        </is>
      </c>
      <c r="J10817" t="inlineStr">
        <is>
          <t>Ngân hàng, Chứng khoán, Tài chính / Đầu tư</t>
        </is>
      </c>
      <c r="K10817" t="inlineStr">
        <is>
          <t>2 - 3 Năm</t>
        </is>
      </c>
      <c r="L10817" s="8">
        <f>HYPERLINK("https://careerviet.vn/vi/tim-viec-lam/chuyen-vien-chuyen-vien-cao-cap-tai-cau-truc-va-m-a.35C6C821.html","Xem chi tiết")</f>
        <v/>
      </c>
    </row>
    <row r="10818">
      <c r="B10818" s="9" t="n">
        <v>10816</v>
      </c>
      <c r="C10818" s="10" t="inlineStr">
        <is>
          <t>Nhân Viên Bán Hàng Và Xuất Hóa Đơn, TP HCM</t>
        </is>
      </c>
      <c r="D10818" s="10" t="inlineStr">
        <is>
          <t>CÔNG TY CỔ PHẦN ACHAN</t>
        </is>
      </c>
      <c r="E10818" s="10" t="inlineStr">
        <is>
          <t>Lương:Trên 8 Tr VND</t>
        </is>
      </c>
      <c r="F10818" s="10" t="inlineStr">
        <is>
          <t>Hồ Chí Minh</t>
        </is>
      </c>
      <c r="G10818" s="10" t="inlineStr">
        <is>
          <t>13-04-2026</t>
        </is>
      </c>
      <c r="H10818" s="10" t="inlineStr">
        <is>
          <t>13/04/2026</t>
        </is>
      </c>
      <c r="I10818" s="10" t="inlineStr">
        <is>
          <t>17/03/2026</t>
        </is>
      </c>
      <c r="J10818" s="10" t="inlineStr">
        <is>
          <t>Bán hàng / Kinh doanh, Bán lẻ / Bán sỉ, Tiếp thị / Marketing</t>
        </is>
      </c>
      <c r="K10818" s="10" t="inlineStr">
        <is>
          <t>N/A</t>
        </is>
      </c>
      <c r="L10818" s="11">
        <f>HYPERLINK("https://careerviet.vn/vi/tim-viec-lam/nhan-vien-ban-hang-va-xuat-hoa-don-tp-hcm.35C6C76F.html","Xem chi tiết")</f>
        <v/>
      </c>
      <c r="M10818" s="10" t="n"/>
    </row>
    <row r="10819">
      <c r="B10819" s="7" t="n">
        <v>10817</v>
      </c>
      <c r="C10819" t="inlineStr">
        <is>
          <t>Hiệu Trưởng Trường Mầm Non</t>
        </is>
      </c>
      <c r="D10819" t="inlineStr">
        <is>
          <t>TỔNG CÔNG TY CỔ PHẦN THƯƠNG MẠI XÂY DỰNG</t>
        </is>
      </c>
      <c r="E10819" t="inlineStr">
        <is>
          <t>Lương:Cạnh tranh</t>
        </is>
      </c>
      <c r="F10819" t="inlineStr">
        <is>
          <t>Hà Nội</t>
        </is>
      </c>
      <c r="G10819" t="inlineStr">
        <is>
          <t>13-04-2026</t>
        </is>
      </c>
      <c r="H10819" t="inlineStr">
        <is>
          <t>13/04/2026</t>
        </is>
      </c>
      <c r="I10819" t="inlineStr">
        <is>
          <t>17/03/2026</t>
        </is>
      </c>
      <c r="J10819" t="inlineStr">
        <is>
          <t>Giáo dục / Đào tạo, Quản lý điều hành, Ngành khác</t>
        </is>
      </c>
      <c r="K10819" t="inlineStr">
        <is>
          <t>Trên 3 Năm</t>
        </is>
      </c>
      <c r="L10819" s="8">
        <f>HYPERLINK("https://careerviet.vn/vi/tim-viec-lam/hieu-truong-truong-mam-non.35C6C806.html","Xem chi tiết")</f>
        <v/>
      </c>
    </row>
    <row r="10820">
      <c r="B10820" s="9" t="n">
        <v>10818</v>
      </c>
      <c r="C10820" s="10" t="inlineStr">
        <is>
          <t>CVC/CVCC Truyền thông nội bộ</t>
        </is>
      </c>
      <c r="D10820" s="10" t="inlineStr">
        <is>
          <t>CÔNG TY CỔ PHẦN CHỨNG KHOÁN ASEAN</t>
        </is>
      </c>
      <c r="E10820" s="10" t="inlineStr">
        <is>
          <t>Lương:Cạnh tranh</t>
        </is>
      </c>
      <c r="F10820" s="10" t="inlineStr">
        <is>
          <t>Hà Nội</t>
        </is>
      </c>
      <c r="G10820" s="10" t="inlineStr">
        <is>
          <t>30-04-2026</t>
        </is>
      </c>
      <c r="H10820" s="10" t="inlineStr">
        <is>
          <t>30/04/2026</t>
        </is>
      </c>
      <c r="I10820" s="10" t="inlineStr">
        <is>
          <t>17/03/2026</t>
        </is>
      </c>
      <c r="J10820" s="10" t="inlineStr">
        <is>
          <t>Tiếp thị / Marketing, Truyền hình / Báo chí / Biên tập, Tổ chức sự kiện</t>
        </is>
      </c>
      <c r="K10820" s="10" t="inlineStr">
        <is>
          <t>2 - 5 Năm</t>
        </is>
      </c>
      <c r="L10820" s="11">
        <f>HYPERLINK("https://careerviet.vn/vi/tim-viec-lam/cvc-cvcc-truyen-thong-noi-bo.35C6C7FE.html","Xem chi tiết")</f>
        <v/>
      </c>
      <c r="M10820" s="10" t="n"/>
    </row>
    <row r="10821">
      <c r="B10821" s="7" t="n">
        <v>10819</v>
      </c>
      <c r="C10821" t="inlineStr">
        <is>
          <t>Chuyên viên/ Chuyên viên cao cấp SEO</t>
        </is>
      </c>
      <c r="D10821" t="inlineStr">
        <is>
          <t>CÔNG TY CỔ PHẦN CHỨNG KHOÁN ASEAN</t>
        </is>
      </c>
      <c r="E10821" t="inlineStr">
        <is>
          <t>Lương:Cạnh tranh</t>
        </is>
      </c>
      <c r="F10821" t="inlineStr">
        <is>
          <t>Hà Nội</t>
        </is>
      </c>
      <c r="G10821" t="inlineStr">
        <is>
          <t>30-04-2026</t>
        </is>
      </c>
      <c r="H10821" t="inlineStr">
        <is>
          <t>30/04/2026</t>
        </is>
      </c>
      <c r="I10821" t="inlineStr">
        <is>
          <t>17/03/2026</t>
        </is>
      </c>
      <c r="J10821" t="inlineStr">
        <is>
          <t>Tiếp thị / Marketing, Chứng khoán, Ngân hàng</t>
        </is>
      </c>
      <c r="K10821" t="inlineStr">
        <is>
          <t>3 - 4 Năm</t>
        </is>
      </c>
      <c r="L10821" s="8">
        <f>HYPERLINK("https://careerviet.vn/vi/tim-viec-lam/chuyen-vien-chuyen-vien-cao-cap-seo.35C6C7F8.html","Xem chi tiết")</f>
        <v/>
      </c>
    </row>
    <row r="10822">
      <c r="B10822" s="9" t="n">
        <v>10820</v>
      </c>
      <c r="C10822" s="10" t="inlineStr">
        <is>
          <t>Thực Tập Sinh Marketing</t>
        </is>
      </c>
      <c r="D10822" s="10" t="inlineStr">
        <is>
          <t>CÔNG TY CỔ PHẦN CHỨNG KHOÁN ASEAN</t>
        </is>
      </c>
      <c r="E10822" s="10" t="inlineStr">
        <is>
          <t>Lương:Cạnh tranh</t>
        </is>
      </c>
      <c r="F10822" s="10" t="inlineStr">
        <is>
          <t>Hà Nội</t>
        </is>
      </c>
      <c r="G10822" s="10" t="inlineStr">
        <is>
          <t>30-04-2026</t>
        </is>
      </c>
      <c r="H10822" s="10" t="inlineStr">
        <is>
          <t>30/04/2026</t>
        </is>
      </c>
      <c r="I10822" s="10" t="inlineStr">
        <is>
          <t>17/03/2026</t>
        </is>
      </c>
      <c r="J10822" s="10" t="inlineStr">
        <is>
          <t>Tiếp thị / Marketing, Chứng khoán, Truyền hình / Báo chí / Biên tập</t>
        </is>
      </c>
      <c r="K10822" s="10" t="inlineStr">
        <is>
          <t>N/A</t>
        </is>
      </c>
      <c r="L10822" s="11">
        <f>HYPERLINK("https://careerviet.vn/vi/tim-viec-lam/thuc-tap-sinh-marketing.35C6C80E.html","Xem chi tiết")</f>
        <v/>
      </c>
      <c r="M10822" s="10" t="n"/>
    </row>
    <row r="10823">
      <c r="B10823" s="7" t="n">
        <v>10821</v>
      </c>
      <c r="C10823" t="inlineStr">
        <is>
          <t>Chuyên viên Chính Content Marketing</t>
        </is>
      </c>
      <c r="D10823" t="inlineStr">
        <is>
          <t>CÔNG TY CỔ PHẦN CHỨNG KHOÁN ASEAN</t>
        </is>
      </c>
      <c r="E10823" t="inlineStr">
        <is>
          <t>Lương:Cạnh tranh</t>
        </is>
      </c>
      <c r="F10823" t="inlineStr">
        <is>
          <t>Hà Nội</t>
        </is>
      </c>
      <c r="G10823" t="inlineStr">
        <is>
          <t>30-04-2026</t>
        </is>
      </c>
      <c r="H10823" t="inlineStr">
        <is>
          <t>30/04/2026</t>
        </is>
      </c>
      <c r="I10823" t="inlineStr">
        <is>
          <t>17/03/2026</t>
        </is>
      </c>
      <c r="J10823" t="inlineStr">
        <is>
          <t>Tiếp thị / Marketing, Truyền hình / Báo chí / Biên tập, Quảng cáo / Đối ngoại / Truyền Thông</t>
        </is>
      </c>
      <c r="K10823" t="inlineStr">
        <is>
          <t>2 - 3 Năm</t>
        </is>
      </c>
      <c r="L10823" s="8">
        <f>HYPERLINK("https://careerviet.vn/vi/tim-viec-lam/chuyen-vien-chinh-content-marketing.35C6C7FC.html","Xem chi tiết")</f>
        <v/>
      </c>
    </row>
    <row r="10824">
      <c r="B10824" s="9" t="n">
        <v>10822</v>
      </c>
      <c r="C10824" s="10" t="inlineStr">
        <is>
          <t>Chuyên viên/ CVCC/ Chuyên Gia Ngân Hàng Đầu Tư</t>
        </is>
      </c>
      <c r="D10824" s="10" t="inlineStr">
        <is>
          <t>CÔNG TY CỔ PHẦN CHỨNG KHOÁN ASEAN</t>
        </is>
      </c>
      <c r="E10824" s="10" t="inlineStr">
        <is>
          <t>Lương:Cạnh tranh</t>
        </is>
      </c>
      <c r="F10824" s="10" t="inlineStr">
        <is>
          <t>Hà Nội</t>
        </is>
      </c>
      <c r="G10824" s="10" t="inlineStr">
        <is>
          <t>30-04-2026</t>
        </is>
      </c>
      <c r="H10824" s="10" t="inlineStr">
        <is>
          <t>30/04/2026</t>
        </is>
      </c>
      <c r="I10824" s="10" t="inlineStr">
        <is>
          <t>17/03/2026</t>
        </is>
      </c>
      <c r="J10824" s="10" t="inlineStr">
        <is>
          <t>Ngân hàng, Chứng khoán, Tài chính / Đầu tư</t>
        </is>
      </c>
      <c r="K10824" s="10" t="inlineStr">
        <is>
          <t>Trên 3 Năm</t>
        </is>
      </c>
      <c r="L10824" s="11">
        <f>HYPERLINK("https://careerviet.vn/vi/tim-viec-lam/chuyen-vien-cvcc-chuyen-gia-ngan-hang-dau-tu.35C6C818.html","Xem chi tiết")</f>
        <v/>
      </c>
      <c r="M10824" s="10" t="n"/>
    </row>
    <row r="10825">
      <c r="B10825" s="7" t="n">
        <v>10823</v>
      </c>
      <c r="C10825" t="inlineStr">
        <is>
          <t>(Hội sở- HCM - Khối QLRR) - Chuyên viên cao cấp Kiểm định và Quản lý rủi ro mô hình</t>
        </is>
      </c>
      <c r="D10825" t="inlineStr">
        <is>
          <t>Ngân hàng TMCP Phát triển TP.HCM (HDBank)</t>
        </is>
      </c>
      <c r="E10825" t="inlineStr">
        <is>
          <t>Lương:Cạnh tranh</t>
        </is>
      </c>
      <c r="F10825" t="inlineStr">
        <is>
          <t>Hồ Chí Minh</t>
        </is>
      </c>
      <c r="G10825" t="inlineStr">
        <is>
          <t>30-04-2026</t>
        </is>
      </c>
      <c r="H10825" t="inlineStr">
        <is>
          <t>30/04/2026</t>
        </is>
      </c>
      <c r="I10825" t="inlineStr">
        <is>
          <t>17/03/2026</t>
        </is>
      </c>
      <c r="J10825" t="inlineStr">
        <is>
          <t>Kế toán / Kiểm toán, Ngân hàng, Tài chính / Đầu tư</t>
        </is>
      </c>
      <c r="K10825" t="inlineStr">
        <is>
          <t>Chưa có kinh nghiệm</t>
        </is>
      </c>
      <c r="L10825" s="8">
        <f>HYPERLINK("https://careerviet.vn/vi/tim-viec-lam/hoi-so-hcm-khoi-qlrr-chuyen-vien-cao-cap-kiem-dinh-va-quan-ly-rui-ro-mo-hinh.35C6C7FB.html","Xem chi tiết")</f>
        <v/>
      </c>
    </row>
    <row r="10826">
      <c r="B10826" s="9" t="n">
        <v>10824</v>
      </c>
      <c r="C10826" s="10" t="inlineStr">
        <is>
          <t>Chuyên viên Tiền lương &amp; Chế độ Chính sách</t>
        </is>
      </c>
      <c r="D10826" s="10" t="inlineStr">
        <is>
          <t>Công Ty Cổ Phần Du Lịch Vietravel</t>
        </is>
      </c>
      <c r="E10826" s="10" t="inlineStr">
        <is>
          <t>Lương:Cạnh tranh</t>
        </is>
      </c>
      <c r="F10826" s="10" t="inlineStr">
        <is>
          <t>Hồ Chí Minh</t>
        </is>
      </c>
      <c r="G10826" s="10" t="inlineStr">
        <is>
          <t>23-04-2026</t>
        </is>
      </c>
      <c r="H10826" s="10" t="inlineStr">
        <is>
          <t>23/04/2026</t>
        </is>
      </c>
      <c r="I10826" s="10" t="inlineStr">
        <is>
          <t>17/03/2026</t>
        </is>
      </c>
      <c r="J10826" s="10" t="inlineStr">
        <is>
          <t>Nhân sự, Bảo hiểm, Du lịch</t>
        </is>
      </c>
      <c r="K10826" s="10" t="inlineStr">
        <is>
          <t>Trên 1 Năm</t>
        </is>
      </c>
      <c r="L10826" s="11">
        <f>HYPERLINK("https://careerviet.vn/vi/tim-viec-lam/chuyen-vien-tien-luong-che-do-chinh-sach.35C6C808.html","Xem chi tiết")</f>
        <v/>
      </c>
      <c r="M10826" s="10" t="n"/>
    </row>
    <row r="10827">
      <c r="B10827" s="7" t="n">
        <v>10825</v>
      </c>
      <c r="C10827" t="inlineStr">
        <is>
          <t>Chuyên Viên Tư Vấn Tuyển Sinh / Bán Hàng / Kinh Doanh / Sales/ Consultant - Thu Nhập từ 12 triệu đến không giới hạn - ILA Times City, Hà Nội</t>
        </is>
      </c>
      <c r="D10827" t="inlineStr">
        <is>
          <t>ILA Việt Nam</t>
        </is>
      </c>
      <c r="E10827" t="inlineStr">
        <is>
          <t>Lương:Cạnh tranh</t>
        </is>
      </c>
      <c r="F10827" t="inlineStr">
        <is>
          <t>Hà Nội</t>
        </is>
      </c>
      <c r="G10827" t="inlineStr">
        <is>
          <t>31-03-2026</t>
        </is>
      </c>
      <c r="H10827" t="inlineStr">
        <is>
          <t>31/03/2026</t>
        </is>
      </c>
      <c r="I10827" t="inlineStr">
        <is>
          <t>17/03/2026</t>
        </is>
      </c>
      <c r="J10827" t="inlineStr">
        <is>
          <t>Tư vấn, Dịch vụ khách hàng, Giáo dục / Đào tạo</t>
        </is>
      </c>
      <c r="K10827" t="inlineStr">
        <is>
          <t>1 - 2 Năm</t>
        </is>
      </c>
      <c r="L10827" s="8">
        <f>HYPERLINK("https://careerviet.vn/vi/tim-viec-lam/chuyen-vien-tu-van-tuyen-sinh-ban-hang-kinh-doanh-sales-consultant-thu-nhap-tu-12-trieu-den-khong-gioi-han-ila-times-city-ha-noi.35C6C7FF.html","Xem chi tiết")</f>
        <v/>
      </c>
    </row>
    <row r="10828">
      <c r="B10828" s="9" t="n">
        <v>10826</v>
      </c>
      <c r="C10828" s="10" t="inlineStr">
        <is>
          <t>Trưởng Phòng Marketing (mạnh về growth hoặc digital)</t>
        </is>
      </c>
      <c r="D10828" s="10" t="inlineStr">
        <is>
          <t>CÔNG TY CỔ PHẦN CHỨNG KHOÁN ASEAN</t>
        </is>
      </c>
      <c r="E10828" s="10" t="inlineStr">
        <is>
          <t>Lương:Cạnh tranh</t>
        </is>
      </c>
      <c r="F10828" s="10" t="inlineStr">
        <is>
          <t>Hà Nội</t>
        </is>
      </c>
      <c r="G10828" s="10" t="inlineStr">
        <is>
          <t>30-04-2026</t>
        </is>
      </c>
      <c r="H10828" s="10" t="inlineStr">
        <is>
          <t>30/04/2026</t>
        </is>
      </c>
      <c r="I10828" s="10" t="inlineStr">
        <is>
          <t>17/03/2026</t>
        </is>
      </c>
      <c r="J10828" s="10" t="inlineStr">
        <is>
          <t>Tiếp thị / Marketing, Chứng khoán, Ngân hàng</t>
        </is>
      </c>
      <c r="K10828" s="10" t="inlineStr">
        <is>
          <t>3 - 4 Năm</t>
        </is>
      </c>
      <c r="L10828" s="11">
        <f>HYPERLINK("https://careerviet.vn/vi/tim-viec-lam/truong-phong-marketing-manh-ve-growth-hoac-digital.35C6C7F7.html","Xem chi tiết")</f>
        <v/>
      </c>
      <c r="M10828" s="10" t="n"/>
    </row>
    <row r="10829">
      <c r="B10829" s="7" t="n">
        <v>10827</v>
      </c>
      <c r="C10829" t="inlineStr">
        <is>
          <t>Chuyên Viên Digital Marketing</t>
        </is>
      </c>
      <c r="D10829" t="inlineStr">
        <is>
          <t>CÔNG TY CỔ PHẦN CHỨNG KHOÁN ASEAN</t>
        </is>
      </c>
      <c r="E10829" t="inlineStr">
        <is>
          <t>Lương:Cạnh tranh</t>
        </is>
      </c>
      <c r="F10829" t="inlineStr">
        <is>
          <t>Hà Nội</t>
        </is>
      </c>
      <c r="G10829" t="inlineStr">
        <is>
          <t>30-04-2026</t>
        </is>
      </c>
      <c r="H10829" t="inlineStr">
        <is>
          <t>30/04/2026</t>
        </is>
      </c>
      <c r="I10829" t="inlineStr">
        <is>
          <t>17/03/2026</t>
        </is>
      </c>
      <c r="J10829" t="inlineStr">
        <is>
          <t>Tiếp thị / Marketing, Ngân hàng, Chứng khoán</t>
        </is>
      </c>
      <c r="K10829" t="inlineStr">
        <is>
          <t>3 - 4 Năm</t>
        </is>
      </c>
      <c r="L10829" s="8">
        <f>HYPERLINK("https://careerviet.vn/vi/tim-viec-lam/chuyen-vien-digital-marketing.35C6C801.html","Xem chi tiết")</f>
        <v/>
      </c>
    </row>
    <row r="10830">
      <c r="B10830" s="9" t="n">
        <v>10828</v>
      </c>
      <c r="C10830" s="10" t="inlineStr">
        <is>
          <t>Chuyên Viên Tư Vấn Tuyển Sinh / Bán Hàng / Kinh Doanh / Sales/ Consultant - Thu Nhập từ 12 triệu đến không giới hạn - ILA Thanh Xuân, Hà Nội</t>
        </is>
      </c>
      <c r="D10830" s="10" t="inlineStr">
        <is>
          <t>ILA Việt Nam</t>
        </is>
      </c>
      <c r="E10830" s="10" t="inlineStr">
        <is>
          <t>Lương:Cạnh tranh</t>
        </is>
      </c>
      <c r="F10830" s="10" t="inlineStr">
        <is>
          <t>Hà Nội</t>
        </is>
      </c>
      <c r="G10830" s="10" t="inlineStr">
        <is>
          <t>31-03-2026</t>
        </is>
      </c>
      <c r="H10830" s="10" t="inlineStr">
        <is>
          <t>31/03/2026</t>
        </is>
      </c>
      <c r="I10830" s="10" t="inlineStr">
        <is>
          <t>17/03/2026</t>
        </is>
      </c>
      <c r="J10830" s="10" t="inlineStr">
        <is>
          <t>Tư vấn, Dịch vụ khách hàng, Giáo dục / Đào tạo</t>
        </is>
      </c>
      <c r="K10830" s="10" t="inlineStr">
        <is>
          <t>1 - 2 Năm</t>
        </is>
      </c>
      <c r="L10830" s="11">
        <f>HYPERLINK("https://careerviet.vn/vi/tim-viec-lam/chuyen-vien-tu-van-tuyen-sinh-ban-hang-kinh-doanh-sales-consultant-thu-nhap-tu-12-trieu-den-khong-gioi-han-ila-thanh-xuan-ha-noi.35C6C80D.html","Xem chi tiết")</f>
        <v/>
      </c>
      <c r="M10830" s="10" t="n"/>
    </row>
    <row r="10831">
      <c r="B10831" s="7" t="n">
        <v>10829</v>
      </c>
      <c r="C10831" t="inlineStr">
        <is>
          <t>Account Executive</t>
        </is>
      </c>
      <c r="D10831" t="inlineStr">
        <is>
          <t>Công Ty TNHH JIGSAW</t>
        </is>
      </c>
      <c r="E10831" t="inlineStr">
        <is>
          <t>Lương:Cạnh tranh</t>
        </is>
      </c>
      <c r="F10831" t="inlineStr">
        <is>
          <t>Hồ Chí Minh</t>
        </is>
      </c>
      <c r="G10831" t="inlineStr">
        <is>
          <t>31-03-2026</t>
        </is>
      </c>
      <c r="H10831" t="inlineStr">
        <is>
          <t>31/03/2026</t>
        </is>
      </c>
      <c r="I10831" t="inlineStr">
        <is>
          <t>17/03/2026</t>
        </is>
      </c>
      <c r="J10831" t="inlineStr">
        <is>
          <t>Quảng cáo / Đối ngoại / Truyền Thông</t>
        </is>
      </c>
      <c r="K10831" t="inlineStr">
        <is>
          <t>1 - 2 Năm</t>
        </is>
      </c>
      <c r="L10831" s="8">
        <f>HYPERLINK("https://careerviet.vn/vi/tim-viec-lam/account-executive.35C6C567.html","Xem chi tiết")</f>
        <v/>
      </c>
    </row>
    <row r="10832">
      <c r="B10832" s="9" t="n">
        <v>10830</v>
      </c>
      <c r="C10832" s="10" t="inlineStr">
        <is>
          <t>CV chính/CVCC Data Scientist</t>
        </is>
      </c>
      <c r="D10832" s="10" t="inlineStr">
        <is>
          <t>CÔNG TY CỔ PHẦN CHỨNG KHOÁN ASEAN</t>
        </is>
      </c>
      <c r="E10832" s="10" t="inlineStr">
        <is>
          <t>Lương:Cạnh tranh</t>
        </is>
      </c>
      <c r="F10832" s="10" t="inlineStr">
        <is>
          <t>Hà Nội</t>
        </is>
      </c>
      <c r="G10832" s="10" t="inlineStr">
        <is>
          <t>30-04-2026</t>
        </is>
      </c>
      <c r="H10832" s="10" t="inlineStr">
        <is>
          <t>30/04/2026</t>
        </is>
      </c>
      <c r="I10832" s="10" t="inlineStr">
        <is>
          <t>17/03/2026</t>
        </is>
      </c>
      <c r="J10832" s="10" t="inlineStr">
        <is>
          <t>Chứng khoán, CNTT - Phần mềm</t>
        </is>
      </c>
      <c r="K10832" s="10" t="inlineStr">
        <is>
          <t>2 - 5 Năm</t>
        </is>
      </c>
      <c r="L10832" s="11">
        <f>HYPERLINK("https://careerviet.vn/vi/tim-viec-lam/cv-chinh-cvcc-data-scientist.35C6C7F6.html","Xem chi tiết")</f>
        <v/>
      </c>
      <c r="M10832" s="10" t="n"/>
    </row>
    <row r="10833">
      <c r="B10833" s="7" t="n">
        <v>10831</v>
      </c>
      <c r="C10833" t="inlineStr">
        <is>
          <t>Nhân Viên Quản Lý Chất Lượng (ISO IATF)</t>
        </is>
      </c>
      <c r="D10833" t="inlineStr">
        <is>
          <t>Công ty TNHH Vật liệu Nam châm Shin-Etsu Việt Nam</t>
        </is>
      </c>
      <c r="E10833" t="inlineStr">
        <is>
          <t>Lương:11 Tr - 13 Tr VND</t>
        </is>
      </c>
      <c r="F10833" t="inlineStr">
        <is>
          <t>Hải Phòng</t>
        </is>
      </c>
      <c r="G10833" t="inlineStr">
        <is>
          <t>13-04-2026</t>
        </is>
      </c>
      <c r="H10833" t="inlineStr">
        <is>
          <t>13/04/2026</t>
        </is>
      </c>
      <c r="I10833" t="inlineStr">
        <is>
          <t>17/03/2026</t>
        </is>
      </c>
      <c r="J10833" t="inlineStr">
        <is>
          <t>Hành chính / Thư ký, Điện / Điện tử / Điện lạnh / Điện công nghiệp, Bảo trì / Sửa chữa</t>
        </is>
      </c>
      <c r="K10833" t="inlineStr">
        <is>
          <t>N/A</t>
        </is>
      </c>
      <c r="L10833" s="8">
        <f>HYPERLINK("https://careerviet.vn/vi/tim-viec-lam/nhan-vien-quan-ly-chat-luong-iso-iatf.35C6C792.html","Xem chi tiết")</f>
        <v/>
      </c>
    </row>
    <row r="10834">
      <c r="B10834" s="9" t="n">
        <v>10832</v>
      </c>
      <c r="C10834" s="10" t="inlineStr">
        <is>
          <t>Nhân Viên An Toàn/ EHS Staff (Có Kinh Nghiệm)</t>
        </is>
      </c>
      <c r="D10834" s="10" t="inlineStr">
        <is>
          <t>Công ty TNHH Vật liệu Nam châm Shin-Etsu Việt Nam</t>
        </is>
      </c>
      <c r="E10834" s="10" t="inlineStr">
        <is>
          <t>Lương:10 Tr - 14 Tr VND</t>
        </is>
      </c>
      <c r="F10834" s="10" t="inlineStr">
        <is>
          <t>Hải Phòng</t>
        </is>
      </c>
      <c r="G10834" s="10" t="inlineStr">
        <is>
          <t>13-04-2026</t>
        </is>
      </c>
      <c r="H10834" s="10" t="inlineStr">
        <is>
          <t>13/04/2026</t>
        </is>
      </c>
      <c r="I10834" s="10" t="inlineStr">
        <is>
          <t>17/03/2026</t>
        </is>
      </c>
      <c r="J10834" s="10" t="inlineStr">
        <is>
          <t>Điện / Điện tử / Điện lạnh / Điện công nghiệp, Bảo trì / Sửa chữa, An toàn lao động</t>
        </is>
      </c>
      <c r="K10834" s="10" t="inlineStr">
        <is>
          <t>N/A</t>
        </is>
      </c>
      <c r="L10834" s="11">
        <f>HYPERLINK("https://careerviet.vn/vi/tim-viec-lam/nhan-vien-an-toan-ehs-staff-co-kinh-nghiem.35C6C787.html","Xem chi tiết")</f>
        <v/>
      </c>
      <c r="M10834" s="10" t="n"/>
    </row>
    <row r="10835">
      <c r="B10835" s="7" t="n">
        <v>10833</v>
      </c>
      <c r="C10835" t="inlineStr">
        <is>
          <t>(Hội sở- HCM - Khối QLRR) - Chuyên viên cao cấp Mô hình Quản lý rủi ro</t>
        </is>
      </c>
      <c r="D10835" t="inlineStr">
        <is>
          <t>Ngân hàng TMCP Phát triển TP.HCM (HDBank)</t>
        </is>
      </c>
      <c r="E10835" t="inlineStr">
        <is>
          <t>Lương:18 Tr - 24 Tr VND</t>
        </is>
      </c>
      <c r="F10835" t="inlineStr">
        <is>
          <t>Hồ Chí Minh</t>
        </is>
      </c>
      <c r="G10835" t="inlineStr">
        <is>
          <t>30-04-2026</t>
        </is>
      </c>
      <c r="H10835" t="inlineStr">
        <is>
          <t>30/04/2026</t>
        </is>
      </c>
      <c r="I10835" t="inlineStr">
        <is>
          <t>17/03/2026</t>
        </is>
      </c>
      <c r="J10835" t="inlineStr">
        <is>
          <t>Thương mại điện tử, Ngân hàng, CNTT - Phần mềm</t>
        </is>
      </c>
      <c r="K10835" t="inlineStr">
        <is>
          <t>2 - 3 Năm</t>
        </is>
      </c>
      <c r="L10835" s="8">
        <f>HYPERLINK("https://careerviet.vn/vi/tim-viec-lam/hoi-so-hcm-khoi-qlrr-chuyen-vien-cao-cap-mo-hinh-quan-ly-rui-ro.35C6C7F3.html","Xem chi tiết")</f>
        <v/>
      </c>
    </row>
    <row r="10836">
      <c r="B10836" s="9" t="n">
        <v>10834</v>
      </c>
      <c r="C10836" s="10" t="inlineStr">
        <is>
          <t>CHUYÊN VIÊN /CVC/CVCC CÔNG NGHỆ BIG DATA</t>
        </is>
      </c>
      <c r="D10836" s="10" t="inlineStr">
        <is>
          <t>CÔNG TY CỔ PHẦN CHỨNG KHOÁN ASEAN</t>
        </is>
      </c>
      <c r="E10836" s="10" t="inlineStr">
        <is>
          <t>Lương:Cạnh tranh</t>
        </is>
      </c>
      <c r="F10836" s="10" t="inlineStr">
        <is>
          <t>Hà Nội</t>
        </is>
      </c>
      <c r="G10836" s="10" t="inlineStr">
        <is>
          <t>30-04-2026</t>
        </is>
      </c>
      <c r="H10836" s="10" t="inlineStr">
        <is>
          <t>30/04/2026</t>
        </is>
      </c>
      <c r="I10836" s="10" t="inlineStr">
        <is>
          <t>17/03/2026</t>
        </is>
      </c>
      <c r="J10836" s="10" t="inlineStr">
        <is>
          <t>Tài chính / Đầu tư, CNTT - Phần mềm, CNTT - Phần cứng / Mạng</t>
        </is>
      </c>
      <c r="K10836" s="10" t="inlineStr">
        <is>
          <t>2 - 3 Năm</t>
        </is>
      </c>
      <c r="L10836" s="11">
        <f>HYPERLINK("https://careerviet.vn/vi/tim-viec-lam/chuyen-vien-cvc-cvcc-cong-nghe-big-data.35C6C7F4.html","Xem chi tiết")</f>
        <v/>
      </c>
      <c r="M10836" s="10" t="n"/>
    </row>
    <row r="10837">
      <c r="B10837" s="7" t="n">
        <v>10835</v>
      </c>
      <c r="C10837" t="inlineStr">
        <is>
          <t>[Tân An] Admin trung tâm kiêm CSKH</t>
        </is>
      </c>
      <c r="D10837" t="inlineStr">
        <is>
          <t>Công Ty Cổ Phần Vacxin Việt Nam</t>
        </is>
      </c>
      <c r="E10837" t="inlineStr">
        <is>
          <t>Lương:Cạnh tranh</t>
        </is>
      </c>
      <c r="F10837" t="inlineStr">
        <is>
          <t>Long An</t>
        </is>
      </c>
      <c r="G10837" t="inlineStr">
        <is>
          <t>30-04-2026</t>
        </is>
      </c>
      <c r="H10837" t="inlineStr">
        <is>
          <t>30/04/2026</t>
        </is>
      </c>
      <c r="I10837" t="inlineStr">
        <is>
          <t>17/03/2026</t>
        </is>
      </c>
      <c r="J10837" t="inlineStr">
        <is>
          <t>Dịch vụ khách hàng, Hành chính / Thư ký, Kế toán / Kiểm toán</t>
        </is>
      </c>
      <c r="K10837" t="inlineStr">
        <is>
          <t>1 - 3 Năm</t>
        </is>
      </c>
      <c r="L10837" s="8">
        <f>HYPERLINK("https://careerviet.vn/vi/tim-viec-lam/tan-an-admin-trung-tam-kiem-cskh.35C6C813.html","Xem chi tiết")</f>
        <v/>
      </c>
    </row>
    <row r="10838">
      <c r="B10838" s="9" t="n">
        <v>10836</v>
      </c>
      <c r="C10838" s="10" t="inlineStr">
        <is>
          <t>Data Analyst/BI Developer</t>
        </is>
      </c>
      <c r="D10838" s="10" t="inlineStr">
        <is>
          <t>CÔNG TY CỔ PHẦN CHỨNG KHOÁN ASEAN</t>
        </is>
      </c>
      <c r="E10838" s="10" t="inlineStr">
        <is>
          <t>Lương:Cạnh tranh</t>
        </is>
      </c>
      <c r="F10838" s="10" t="inlineStr">
        <is>
          <t>Hà Nội</t>
        </is>
      </c>
      <c r="G10838" s="10" t="inlineStr">
        <is>
          <t>30-04-2026</t>
        </is>
      </c>
      <c r="H10838" s="10" t="inlineStr">
        <is>
          <t>30/04/2026</t>
        </is>
      </c>
      <c r="I10838" s="10" t="inlineStr">
        <is>
          <t>17/03/2026</t>
        </is>
      </c>
      <c r="J10838" s="10" t="inlineStr">
        <is>
          <t>Chứng khoán, Tài chính / Đầu tư, CNTT - Phần mềm</t>
        </is>
      </c>
      <c r="K10838" s="10" t="inlineStr">
        <is>
          <t>2 - 3 Năm</t>
        </is>
      </c>
      <c r="L10838" s="11">
        <f>HYPERLINK("https://careerviet.vn/vi/tim-viec-lam/data-analyst-bi-developer.35C6C7F1.html","Xem chi tiết")</f>
        <v/>
      </c>
      <c r="M10838" s="10" t="n"/>
    </row>
    <row r="10839">
      <c r="B10839" s="7" t="n">
        <v>10837</v>
      </c>
      <c r="C10839" t="inlineStr">
        <is>
          <t>GIÁM ĐỐC BẾP TRUNG TÂM</t>
        </is>
      </c>
      <c r="D10839" t="inlineStr">
        <is>
          <t>Công Ty Cổ Phần Tầm Nhìn Quốc Tế Aladdin</t>
        </is>
      </c>
      <c r="E10839" t="inlineStr">
        <is>
          <t>Lương:Cạnh tranh</t>
        </is>
      </c>
      <c r="F10839" t="inlineStr">
        <is>
          <t>Hồ Chí Minh</t>
        </is>
      </c>
      <c r="G10839" t="inlineStr">
        <is>
          <t>13-04-2026</t>
        </is>
      </c>
      <c r="H10839" t="inlineStr">
        <is>
          <t>13/04/2026</t>
        </is>
      </c>
      <c r="I10839" t="inlineStr">
        <is>
          <t>17/03/2026</t>
        </is>
      </c>
      <c r="J10839" t="inlineStr">
        <is>
          <t>Nhà hàng / Khách sạn, Thực phẩm &amp; Đồ uống, Sản xuất / Vận hành sản xuất</t>
        </is>
      </c>
      <c r="K10839" t="inlineStr">
        <is>
          <t>Trên 4 Năm</t>
        </is>
      </c>
      <c r="L10839" s="8">
        <f>HYPERLINK("https://careerviet.vn/vi/tim-viec-lam/giam-doc-bep-trung-tam.35C6C7D8.html","Xem chi tiết")</f>
        <v/>
      </c>
    </row>
    <row r="10840">
      <c r="B10840" s="9" t="n">
        <v>10838</v>
      </c>
      <c r="C10840" s="10" t="inlineStr">
        <is>
          <t>Chuyên Viên Phân Tích Dữ Liệu (Python/ PowerBI)</t>
        </is>
      </c>
      <c r="D10840" s="10" t="inlineStr">
        <is>
          <t>CÔNG TY CỔ PHẦN CHỨNG KHOÁN ASEAN</t>
        </is>
      </c>
      <c r="E10840" s="10" t="inlineStr">
        <is>
          <t>Lương:Cạnh tranh</t>
        </is>
      </c>
      <c r="F10840" s="10" t="inlineStr">
        <is>
          <t>Hà Nội</t>
        </is>
      </c>
      <c r="G10840" s="10" t="inlineStr">
        <is>
          <t>30-04-2026</t>
        </is>
      </c>
      <c r="H10840" s="10" t="inlineStr">
        <is>
          <t>30/04/2026</t>
        </is>
      </c>
      <c r="I10840" s="10" t="inlineStr">
        <is>
          <t>17/03/2026</t>
        </is>
      </c>
      <c r="J10840" s="10" t="inlineStr">
        <is>
          <t>Ngân hàng, Chứng khoán, CNTT - Phần mềm</t>
        </is>
      </c>
      <c r="K10840" s="10" t="inlineStr">
        <is>
          <t>1 - 2 Năm</t>
        </is>
      </c>
      <c r="L10840" s="11">
        <f>HYPERLINK("https://careerviet.vn/vi/tim-viec-lam/chuyen-vien-phan-tich-du-lieu-python-powerbi.35C6C7F2.html","Xem chi tiết")</f>
        <v/>
      </c>
      <c r="M10840" s="10" t="n"/>
    </row>
    <row r="10841">
      <c r="B10841" s="7" t="n">
        <v>10839</v>
      </c>
      <c r="C10841" t="inlineStr">
        <is>
          <t>Lập Trình Viên (React Native)</t>
        </is>
      </c>
      <c r="D10841" t="inlineStr">
        <is>
          <t>CÔNG TY CỔ PHẦN CHỨNG KHOÁN ASEAN</t>
        </is>
      </c>
      <c r="E10841" t="inlineStr">
        <is>
          <t>Lương:Cạnh tranh</t>
        </is>
      </c>
      <c r="F10841" t="inlineStr">
        <is>
          <t>Hà Nội</t>
        </is>
      </c>
      <c r="G10841" t="inlineStr">
        <is>
          <t>30-04-2026</t>
        </is>
      </c>
      <c r="H10841" t="inlineStr">
        <is>
          <t>30/04/2026</t>
        </is>
      </c>
      <c r="I10841" t="inlineStr">
        <is>
          <t>17/03/2026</t>
        </is>
      </c>
      <c r="J10841" t="inlineStr">
        <is>
          <t>Chứng khoán, Tài chính / Đầu tư, CNTT - Phần mềm</t>
        </is>
      </c>
      <c r="K10841" t="inlineStr">
        <is>
          <t>2 - 3 Năm</t>
        </is>
      </c>
      <c r="L10841" s="8">
        <f>HYPERLINK("https://careerviet.vn/vi/tim-viec-lam/lap-trinh-vien-react-native.35C6C7EF.html","Xem chi tiết")</f>
        <v/>
      </c>
    </row>
    <row r="10842">
      <c r="B10842" s="9" t="n">
        <v>10840</v>
      </c>
      <c r="C10842" s="10" t="inlineStr">
        <is>
          <t>Nhân Viên Chất Lượng (QC Staff)</t>
        </is>
      </c>
      <c r="D10842" s="10" t="inlineStr">
        <is>
          <t>Công ty TNHH Vật liệu Nam châm Shin-Etsu Việt Nam</t>
        </is>
      </c>
      <c r="E10842" s="10" t="inlineStr">
        <is>
          <t>Lương:11 Tr - 13,5 Tr VND</t>
        </is>
      </c>
      <c r="F10842" s="10" t="inlineStr">
        <is>
          <t>Hải Phòng</t>
        </is>
      </c>
      <c r="G10842" s="10" t="inlineStr">
        <is>
          <t>13-04-2026</t>
        </is>
      </c>
      <c r="H10842" s="10" t="inlineStr">
        <is>
          <t>13/04/2026</t>
        </is>
      </c>
      <c r="I10842" s="10" t="inlineStr">
        <is>
          <t>17/03/2026</t>
        </is>
      </c>
      <c r="J10842" s="10" t="inlineStr">
        <is>
          <t>Hóa học, Sản xuất / Vận hành sản xuất, Quản lý chất lượng (QA/QC)</t>
        </is>
      </c>
      <c r="K10842" s="10" t="inlineStr">
        <is>
          <t>Lên đến 1 Năm</t>
        </is>
      </c>
      <c r="L10842" s="11">
        <f>HYPERLINK("https://careerviet.vn/vi/tim-viec-lam/nhan-vien-chat-luong-qc-staff.35C6C77E.html","Xem chi tiết")</f>
        <v/>
      </c>
      <c r="M10842" s="10" t="n"/>
    </row>
    <row r="10843">
      <c r="B10843" s="7" t="n">
        <v>10841</v>
      </c>
      <c r="C10843" t="inlineStr">
        <is>
          <t>CV/CVC/CVCC Lập trình tích hợp dữ liệu (SQL/PLSQL Developer)</t>
        </is>
      </c>
      <c r="D10843" t="inlineStr">
        <is>
          <t>CÔNG TY CỔ PHẦN CHỨNG KHOÁN ASEAN</t>
        </is>
      </c>
      <c r="E10843" t="inlineStr">
        <is>
          <t>Lương:Cạnh tranh</t>
        </is>
      </c>
      <c r="F10843" t="inlineStr">
        <is>
          <t>Hà Nội</t>
        </is>
      </c>
      <c r="G10843" t="inlineStr">
        <is>
          <t>30-04-2026</t>
        </is>
      </c>
      <c r="H10843" t="inlineStr">
        <is>
          <t>30/04/2026</t>
        </is>
      </c>
      <c r="I10843" t="inlineStr">
        <is>
          <t>17/03/2026</t>
        </is>
      </c>
      <c r="J10843" t="inlineStr">
        <is>
          <t>Ngân hàng, Chứng khoán, CNTT - Phần mềm</t>
        </is>
      </c>
      <c r="K10843" t="inlineStr">
        <is>
          <t>2 - 3 Năm</t>
        </is>
      </c>
      <c r="L10843" s="8">
        <f>HYPERLINK("https://careerviet.vn/vi/tim-viec-lam/cv-cvc-cvcc-lap-trinh-tich-hop-du-lieu-sql-plsql-developer.35C6C7F0.html","Xem chi tiết")</f>
        <v/>
      </c>
    </row>
    <row r="10844">
      <c r="B10844" s="9" t="n">
        <v>10842</v>
      </c>
      <c r="C10844" s="10" t="inlineStr">
        <is>
          <t>COSTING ACCOUNTANT</t>
        </is>
      </c>
      <c r="D10844" s="10" t="inlineStr">
        <is>
          <t>Action Composites Hightech Industries</t>
        </is>
      </c>
      <c r="E10844" s="10" t="inlineStr">
        <is>
          <t>Lương:Cạnh tranh</t>
        </is>
      </c>
      <c r="F10844" s="10" t="inlineStr">
        <is>
          <t>Đồng Nai</t>
        </is>
      </c>
      <c r="G10844" s="10" t="inlineStr">
        <is>
          <t>13-04-2026</t>
        </is>
      </c>
      <c r="H10844" s="10" t="inlineStr">
        <is>
          <t>13/04/2026</t>
        </is>
      </c>
      <c r="I10844" s="10" t="inlineStr">
        <is>
          <t>17/03/2026</t>
        </is>
      </c>
      <c r="J10844" s="10" t="inlineStr">
        <is>
          <t>Kế toán / Kiểm toán, Ngân hàng, Tài chính / Đầu tư</t>
        </is>
      </c>
      <c r="K10844" s="10" t="inlineStr">
        <is>
          <t>5 - 7 Năm</t>
        </is>
      </c>
      <c r="L10844" s="11">
        <f>HYPERLINK("https://careerviet.vn/vi/tim-viec-lam/costing-accountant.35C6C61F.html","Xem chi tiết")</f>
        <v/>
      </c>
      <c r="M10844" s="10" t="n"/>
    </row>
    <row r="10845">
      <c r="B10845" s="7" t="n">
        <v>10843</v>
      </c>
      <c r="C10845" t="inlineStr">
        <is>
          <t>CHUYÊN VIÊN TƯ VẤN ĐẦU TƯ KHCN (VŨNG TÀU)</t>
        </is>
      </c>
      <c r="D10845" t="inlineStr">
        <is>
          <t>VDSC - Công ty CP Chứng khoán Rồng Việt</t>
        </is>
      </c>
      <c r="E10845" t="inlineStr">
        <is>
          <t>Lương:7 Tr - 20 Tr VND</t>
        </is>
      </c>
      <c r="F10845" t="inlineStr">
        <is>
          <t>Bà Rịa - Vũng Tàu</t>
        </is>
      </c>
      <c r="G10845" t="inlineStr">
        <is>
          <t>30-04-2026</t>
        </is>
      </c>
      <c r="H10845" t="inlineStr">
        <is>
          <t>30/04/2026</t>
        </is>
      </c>
      <c r="I10845" t="inlineStr">
        <is>
          <t>17/03/2026</t>
        </is>
      </c>
      <c r="J10845" t="inlineStr">
        <is>
          <t>Ngân hàng, Chứng khoán, Tài chính / Đầu tư</t>
        </is>
      </c>
      <c r="K10845" t="inlineStr">
        <is>
          <t>Trên 1 Năm</t>
        </is>
      </c>
      <c r="L10845" s="8">
        <f>HYPERLINK("https://careerviet.vn/vi/tim-viec-lam/chuyen-vien-tu-van-dau-tu-khcn-vung-tau.35C6C7D2.html","Xem chi tiết")</f>
        <v/>
      </c>
    </row>
    <row r="10846">
      <c r="B10846" s="9" t="n">
        <v>10844</v>
      </c>
      <c r="C10846" s="10" t="inlineStr">
        <is>
          <t>Lập Trình Viên Mobile  (iOS/Android Developer)</t>
        </is>
      </c>
      <c r="D10846" s="10" t="inlineStr">
        <is>
          <t>CÔNG TY CỔ PHẦN CHỨNG KHOÁN ASEAN</t>
        </is>
      </c>
      <c r="E10846" s="10" t="inlineStr">
        <is>
          <t>Lương:Cạnh tranh</t>
        </is>
      </c>
      <c r="F10846" s="10" t="inlineStr">
        <is>
          <t>Hà Nội</t>
        </is>
      </c>
      <c r="G10846" s="10" t="inlineStr">
        <is>
          <t>30-04-2026</t>
        </is>
      </c>
      <c r="H10846" s="10" t="inlineStr">
        <is>
          <t>30/04/2026</t>
        </is>
      </c>
      <c r="I10846" s="10" t="inlineStr">
        <is>
          <t>17/03/2026</t>
        </is>
      </c>
      <c r="J10846" s="10" t="inlineStr">
        <is>
          <t>Ngân hàng, CNTT - Phần mềm, Tài chính / Đầu tư</t>
        </is>
      </c>
      <c r="K10846" s="10" t="inlineStr">
        <is>
          <t>2 - 1 Năm</t>
        </is>
      </c>
      <c r="L10846" s="11">
        <f>HYPERLINK("https://careerviet.vn/vi/tim-viec-lam/lap-trinh-vien-mobile-ios-android-developer.35C6C7EB.html","Xem chi tiết")</f>
        <v/>
      </c>
      <c r="M10846" s="10" t="n"/>
    </row>
    <row r="10847">
      <c r="B10847" s="7" t="n">
        <v>10845</v>
      </c>
      <c r="C10847" t="inlineStr">
        <is>
          <t>Lập Trình Viên (Next.js Developer)</t>
        </is>
      </c>
      <c r="D10847" t="inlineStr">
        <is>
          <t>CÔNG TY CỔ PHẦN CHỨNG KHOÁN ASEAN</t>
        </is>
      </c>
      <c r="E10847" t="inlineStr">
        <is>
          <t>Lương:Cạnh tranh</t>
        </is>
      </c>
      <c r="F10847" t="inlineStr">
        <is>
          <t>Hà Nội</t>
        </is>
      </c>
      <c r="G10847" t="inlineStr">
        <is>
          <t>30-04-2026</t>
        </is>
      </c>
      <c r="H10847" t="inlineStr">
        <is>
          <t>30/04/2026</t>
        </is>
      </c>
      <c r="I10847" t="inlineStr">
        <is>
          <t>17/03/2026</t>
        </is>
      </c>
      <c r="J10847" t="inlineStr">
        <is>
          <t>Ngân hàng, Chứng khoán, CNTT - Phần mềm</t>
        </is>
      </c>
      <c r="K10847" t="inlineStr">
        <is>
          <t>2 - 3 Năm</t>
        </is>
      </c>
      <c r="L10847" s="8">
        <f>HYPERLINK("https://careerviet.vn/vi/tim-viec-lam/lap-trinh-vien-next-js-developer.35C6C7E8.html","Xem chi tiết")</f>
        <v/>
      </c>
    </row>
    <row r="10848">
      <c r="B10848" s="9" t="n">
        <v>10846</v>
      </c>
      <c r="C10848" s="10" t="inlineStr">
        <is>
          <t>Kỹ sư Thiết kế cấp thoát nước</t>
        </is>
      </c>
      <c r="D10848" s="10" t="inlineStr">
        <is>
          <t>CÔNG TY TNHH ĐẦU TƯ VTCO</t>
        </is>
      </c>
      <c r="E10848" s="10" t="inlineStr">
        <is>
          <t>Lương:Cạnh tranh</t>
        </is>
      </c>
      <c r="F10848" s="10" t="inlineStr">
        <is>
          <t>Hà Nội</t>
        </is>
      </c>
      <c r="G10848" s="10" t="inlineStr">
        <is>
          <t>31-05-2026</t>
        </is>
      </c>
      <c r="H10848" s="10" t="inlineStr">
        <is>
          <t>31/05/2026</t>
        </is>
      </c>
      <c r="I10848" s="10" t="inlineStr">
        <is>
          <t>17/03/2026</t>
        </is>
      </c>
      <c r="J10848" s="10" t="inlineStr">
        <is>
          <t>Xây dựng, Bất động sản, Mới tốt nghiệp / Thực tập</t>
        </is>
      </c>
      <c r="K10848" s="10" t="inlineStr">
        <is>
          <t>3 - 5 Năm</t>
        </is>
      </c>
      <c r="L10848" s="11">
        <f>HYPERLINK("https://careerviet.vn/vi/tim-viec-lam/ky-su-thiet-ke-cap-thoat-nuoc.35C6C7E4.html","Xem chi tiết")</f>
        <v/>
      </c>
      <c r="M10848" s="10" t="n"/>
    </row>
    <row r="10849">
      <c r="B10849" s="7" t="n">
        <v>10847</v>
      </c>
      <c r="C10849" t="inlineStr">
        <is>
          <t>Cán bộ Tư vấn Giám sát - Nghệ An</t>
        </is>
      </c>
      <c r="D10849" t="inlineStr">
        <is>
          <t>CÔNG TY CỔ PHẦN EUROWINDOW HOLDING</t>
        </is>
      </c>
      <c r="E10849" t="inlineStr">
        <is>
          <t>Lương:Cạnh tranh</t>
        </is>
      </c>
      <c r="F10849" t="inlineStr">
        <is>
          <t>Nghệ An</t>
        </is>
      </c>
      <c r="G10849" t="inlineStr">
        <is>
          <t>13-04-2026</t>
        </is>
      </c>
      <c r="H10849" t="inlineStr">
        <is>
          <t>13/04/2026</t>
        </is>
      </c>
      <c r="I10849" t="inlineStr">
        <is>
          <t>17/03/2026</t>
        </is>
      </c>
      <c r="J10849" t="inlineStr">
        <is>
          <t>Kiến trúc, Xây dựng, Điện / Điện tử / Điện lạnh / Điện công nghiệp</t>
        </is>
      </c>
      <c r="K10849" t="inlineStr">
        <is>
          <t>3 - 5 Năm</t>
        </is>
      </c>
      <c r="L10849" s="8">
        <f>HYPERLINK("https://careerviet.vn/vi/tim-viec-lam/can-bo-tu-van-giam-sat-nghe-an.35C6C7D9.html","Xem chi tiết")</f>
        <v/>
      </c>
    </row>
    <row r="10850">
      <c r="B10850" s="9" t="n">
        <v>10848</v>
      </c>
      <c r="C10850" s="10" t="inlineStr">
        <is>
          <t>Nhân Viên Kế Toán Công Nợ - Quận 2</t>
        </is>
      </c>
      <c r="D10850" s="10" t="inlineStr">
        <is>
          <t>Công ty TNHH Sản xuất Thương mại &amp; Dịch vụ Hoa Xinh</t>
        </is>
      </c>
      <c r="E10850" s="10" t="inlineStr">
        <is>
          <t>Lương:Cạnh tranh</t>
        </is>
      </c>
      <c r="F10850" s="10" t="inlineStr">
        <is>
          <t>Hồ Chí Minh</t>
        </is>
      </c>
      <c r="G10850" s="10" t="inlineStr">
        <is>
          <t>30-04-2026</t>
        </is>
      </c>
      <c r="H10850" s="10" t="inlineStr">
        <is>
          <t>30/04/2026</t>
        </is>
      </c>
      <c r="I10850" s="10" t="inlineStr">
        <is>
          <t>17/03/2026</t>
        </is>
      </c>
      <c r="J10850" s="10" t="inlineStr">
        <is>
          <t>Kế toán / Kiểm toán</t>
        </is>
      </c>
      <c r="K10850" s="10" t="inlineStr">
        <is>
          <t>1 - 2 Năm</t>
        </is>
      </c>
      <c r="L10850" s="11">
        <f>HYPERLINK("https://careerviet.vn/vi/tim-viec-lam/nhan-vien-ke-toan-cong-no-quan-2.35C6C7DD.html","Xem chi tiết")</f>
        <v/>
      </c>
      <c r="M10850" s="10" t="n"/>
    </row>
    <row r="10851">
      <c r="B10851" s="7" t="n">
        <v>10849</v>
      </c>
      <c r="C10851" t="inlineStr">
        <is>
          <t>Lập trình Java (Backend Developer)</t>
        </is>
      </c>
      <c r="D10851" t="inlineStr">
        <is>
          <t>CÔNG TY CỔ PHẦN CHỨNG KHOÁN ASEAN</t>
        </is>
      </c>
      <c r="E10851" t="inlineStr">
        <is>
          <t>Lương:Cạnh tranh</t>
        </is>
      </c>
      <c r="F10851" t="inlineStr">
        <is>
          <t>Hà Nội</t>
        </is>
      </c>
      <c r="G10851" t="inlineStr">
        <is>
          <t>30-04-2026</t>
        </is>
      </c>
      <c r="H10851" t="inlineStr">
        <is>
          <t>30/04/2026</t>
        </is>
      </c>
      <c r="I10851" t="inlineStr">
        <is>
          <t>17/03/2026</t>
        </is>
      </c>
      <c r="J10851" t="inlineStr">
        <is>
          <t>Ngân hàng, Chứng khoán, CNTT - Phần mềm</t>
        </is>
      </c>
      <c r="K10851" t="inlineStr">
        <is>
          <t>2 - 3 Năm</t>
        </is>
      </c>
      <c r="L10851" s="8">
        <f>HYPERLINK("https://careerviet.vn/vi/tim-viec-lam/lap-trinh-java-backend-developer.35C6C7E6.html","Xem chi tiết")</f>
        <v/>
      </c>
    </row>
    <row r="10852">
      <c r="B10852" s="9" t="n">
        <v>10850</v>
      </c>
      <c r="C10852" s="10" t="inlineStr">
        <is>
          <t>Content Creator</t>
        </is>
      </c>
      <c r="D10852" s="10" t="inlineStr">
        <is>
          <t>Công ty Cổ phần XNK Phụ tùng Ô Tô TDC</t>
        </is>
      </c>
      <c r="E10852" s="10" t="inlineStr">
        <is>
          <t>Lương:Cạnh tranh</t>
        </is>
      </c>
      <c r="F10852" s="10" t="inlineStr">
        <is>
          <t>Hà Nội</t>
        </is>
      </c>
      <c r="G10852" s="10" t="inlineStr">
        <is>
          <t>13-04-2026</t>
        </is>
      </c>
      <c r="H10852" s="10" t="inlineStr">
        <is>
          <t>13/04/2026</t>
        </is>
      </c>
      <c r="I10852" s="10" t="inlineStr">
        <is>
          <t>17/03/2026</t>
        </is>
      </c>
      <c r="J10852" s="10" t="inlineStr">
        <is>
          <t>Tiếp thị / Marketing, Quảng cáo / Đối ngoại / Truyền Thông, Tiếp thị trực tuyến</t>
        </is>
      </c>
      <c r="K10852" s="10" t="inlineStr">
        <is>
          <t>N/A</t>
        </is>
      </c>
      <c r="L10852" s="11">
        <f>HYPERLINK("https://careerviet.vn/vi/tim-viec-lam/content-creator.35C6C7A1.html","Xem chi tiết")</f>
        <v/>
      </c>
      <c r="M10852" s="10" t="n"/>
    </row>
    <row r="10853">
      <c r="B10853" s="7" t="n">
        <v>10851</v>
      </c>
      <c r="C10853" t="inlineStr">
        <is>
          <t>Nhân viên quản lý sàn thương mại điện tử</t>
        </is>
      </c>
      <c r="D10853" t="inlineStr">
        <is>
          <t>Công ty Cổ phần CANIFA</t>
        </is>
      </c>
      <c r="E10853" t="inlineStr">
        <is>
          <t>Lương:12 Tr - 18 Tr VND</t>
        </is>
      </c>
      <c r="F10853" t="inlineStr">
        <is>
          <t>Hà Nội</t>
        </is>
      </c>
      <c r="G10853" t="inlineStr">
        <is>
          <t>30-04-2026</t>
        </is>
      </c>
      <c r="H10853" t="inlineStr">
        <is>
          <t>30/04/2026</t>
        </is>
      </c>
      <c r="I10853" t="inlineStr">
        <is>
          <t>17/03/2026</t>
        </is>
      </c>
      <c r="J10853" t="inlineStr">
        <is>
          <t>Thương mại điện tử, Tiếp thị / Marketing, Tiếp thị trực tuyến</t>
        </is>
      </c>
      <c r="K10853" t="inlineStr">
        <is>
          <t>2 - 5 Năm</t>
        </is>
      </c>
      <c r="L10853" s="8">
        <f>HYPERLINK("https://careerviet.vn/vi/tim-viec-lam/nhan-vien-quan-ly-san-thuong-mai-dien-tu.35C6C61B.html","Xem chi tiết")</f>
        <v/>
      </c>
    </row>
    <row r="10854">
      <c r="B10854" s="9" t="n">
        <v>10852</v>
      </c>
      <c r="C10854" s="10" t="inlineStr">
        <is>
          <t>Content Marketing Executive</t>
        </is>
      </c>
      <c r="D10854" s="10" t="inlineStr">
        <is>
          <t>Công ty TNHH Sản xuất Thương mại &amp; Dịch vụ Hoa Xinh</t>
        </is>
      </c>
      <c r="E10854" s="10" t="inlineStr">
        <is>
          <t>Lương:10 Tr - 12 Tr VND</t>
        </is>
      </c>
      <c r="F10854" s="10" t="inlineStr">
        <is>
          <t>Hồ Chí Minh</t>
        </is>
      </c>
      <c r="G10854" s="10" t="inlineStr">
        <is>
          <t>13-04-2026</t>
        </is>
      </c>
      <c r="H10854" s="10" t="inlineStr">
        <is>
          <t>13/04/2026</t>
        </is>
      </c>
      <c r="I10854" s="10" t="inlineStr">
        <is>
          <t>17/03/2026</t>
        </is>
      </c>
      <c r="J10854" s="10" t="inlineStr">
        <is>
          <t>Tiếp thị / Marketing</t>
        </is>
      </c>
      <c r="K10854" s="10" t="inlineStr">
        <is>
          <t>2 - 3 Năm</t>
        </is>
      </c>
      <c r="L10854" s="11">
        <f>HYPERLINK("https://careerviet.vn/vi/tim-viec-lam/content-marketing-executive.35C6C624.html","Xem chi tiết")</f>
        <v/>
      </c>
      <c r="M10854" s="10" t="n"/>
    </row>
    <row r="10855">
      <c r="B10855" s="7" t="n">
        <v>10853</v>
      </c>
      <c r="C10855" t="inlineStr">
        <is>
          <t>NHÂN VIÊN BẢO TRÌ NGÀNH GỖ NỘI THẤT</t>
        </is>
      </c>
      <c r="D10855" t="inlineStr">
        <is>
          <t>Công Ty CP Gỗ Minh Dương</t>
        </is>
      </c>
      <c r="E10855" t="inlineStr">
        <is>
          <t>Lương:Cạnh tranh</t>
        </is>
      </c>
      <c r="F10855" t="inlineStr">
        <is>
          <t>Hồ Chí Minh</t>
        </is>
      </c>
      <c r="G10855" t="inlineStr">
        <is>
          <t>13-04-2026</t>
        </is>
      </c>
      <c r="H10855" t="inlineStr">
        <is>
          <t>13/04/2026</t>
        </is>
      </c>
      <c r="I10855" t="inlineStr">
        <is>
          <t>17/03/2026</t>
        </is>
      </c>
      <c r="J10855" t="inlineStr">
        <is>
          <t>Bảo trì / Sửa chữa, Điện / Điện tử / Điện lạnh / Điện công nghiệp, Đồ gỗ</t>
        </is>
      </c>
      <c r="K10855" t="inlineStr">
        <is>
          <t>Trên 1 Năm</t>
        </is>
      </c>
      <c r="L10855" s="8">
        <f>HYPERLINK("https://careerviet.vn/vi/tim-viec-lam/nhan-vien-bao-tri-nganh-go-noi-that.35C6C5F1.html","Xem chi tiết")</f>
        <v/>
      </c>
    </row>
    <row r="10856">
      <c r="B10856" s="9" t="n">
        <v>10854</v>
      </c>
      <c r="C10856" s="10" t="inlineStr">
        <is>
          <t>Nhân viên Thu mua</t>
        </is>
      </c>
      <c r="D10856" s="10" t="inlineStr">
        <is>
          <t>CHI NHÁNH CÔNG TY TNHH DAEYOUNG EP VINA TẠI BÀ RỊA - VŨNG TÀU</t>
        </is>
      </c>
      <c r="E10856" s="10" t="inlineStr">
        <is>
          <t>Lương:8 Tr - 12 Tr VND</t>
        </is>
      </c>
      <c r="F10856" s="10" t="inlineStr">
        <is>
          <t>Bà Rịa - Vũng Tàu</t>
        </is>
      </c>
      <c r="G10856" s="10" t="inlineStr">
        <is>
          <t>30-03-2026</t>
        </is>
      </c>
      <c r="H10856" s="10" t="inlineStr">
        <is>
          <t>30/03/2026</t>
        </is>
      </c>
      <c r="I10856" s="10" t="inlineStr">
        <is>
          <t>17/03/2026</t>
        </is>
      </c>
      <c r="J10856" s="10" t="inlineStr">
        <is>
          <t>Điện / Điện tử / Điện lạnh / Điện công nghiệp</t>
        </is>
      </c>
      <c r="K10856" s="10" t="inlineStr">
        <is>
          <t>Lên đến 1 Năm</t>
        </is>
      </c>
      <c r="L10856" s="11">
        <f>HYPERLINK("https://careerviet.vn/vi/tim-viec-lam/nhan-vien-thu-mua.35C6C622.html","Xem chi tiết")</f>
        <v/>
      </c>
      <c r="M10856" s="10" t="n"/>
    </row>
    <row r="10857">
      <c r="B10857" s="7" t="n">
        <v>10855</v>
      </c>
      <c r="C10857" t="inlineStr">
        <is>
          <t>Lập trình Angular (Frontend Developer)</t>
        </is>
      </c>
      <c r="D10857" t="inlineStr">
        <is>
          <t>CÔNG TY CỔ PHẦN CHỨNG KHOÁN ASEAN</t>
        </is>
      </c>
      <c r="E10857" t="inlineStr">
        <is>
          <t>Lương:Cạnh tranh</t>
        </is>
      </c>
      <c r="F10857" t="inlineStr">
        <is>
          <t>Hà Nội</t>
        </is>
      </c>
      <c r="G10857" t="inlineStr">
        <is>
          <t>30-04-2026</t>
        </is>
      </c>
      <c r="H10857" t="inlineStr">
        <is>
          <t>30/04/2026</t>
        </is>
      </c>
      <c r="I10857" t="inlineStr">
        <is>
          <t>17/03/2026</t>
        </is>
      </c>
      <c r="J10857" t="inlineStr">
        <is>
          <t>Ngân hàng, Chứng khoán, CNTT - Phần mềm</t>
        </is>
      </c>
      <c r="K10857" t="inlineStr">
        <is>
          <t>2 - 3 Năm</t>
        </is>
      </c>
      <c r="L10857" s="8">
        <f>HYPERLINK("https://careerviet.vn/vi/tim-viec-lam/lap-trinh-angular-frontend-developer.35C6C7E3.html","Xem chi tiết")</f>
        <v/>
      </c>
    </row>
    <row r="10858">
      <c r="B10858" s="9" t="n">
        <v>10856</v>
      </c>
      <c r="C10858" s="10" t="inlineStr">
        <is>
          <t>TECHNICAL MANAGER</t>
        </is>
      </c>
      <c r="D10858" s="10" t="inlineStr">
        <is>
          <t>Action Composites Hightech Industries</t>
        </is>
      </c>
      <c r="E10858" s="10" t="inlineStr">
        <is>
          <t>Lương:Cạnh tranh</t>
        </is>
      </c>
      <c r="F10858" s="10" t="inlineStr">
        <is>
          <t>Đồng Nai</t>
        </is>
      </c>
      <c r="G10858" s="10" t="inlineStr">
        <is>
          <t>13-04-2026</t>
        </is>
      </c>
      <c r="H10858" s="10" t="inlineStr">
        <is>
          <t>13/04/2026</t>
        </is>
      </c>
      <c r="I10858" s="10" t="inlineStr">
        <is>
          <t>17/03/2026</t>
        </is>
      </c>
      <c r="J10858" s="10" t="inlineStr">
        <is>
          <t>Cơ khí / Ô tô / Tự động hóa, Sản xuất / Vận hành sản xuất, Quản lý chất lượng (QA/QC)</t>
        </is>
      </c>
      <c r="K10858" s="10" t="inlineStr">
        <is>
          <t>5 - 7 Năm</t>
        </is>
      </c>
      <c r="L10858" s="11">
        <f>HYPERLINK("https://careerviet.vn/vi/tim-viec-lam/technical-manager.35C6C618.html","Xem chi tiết")</f>
        <v/>
      </c>
      <c r="M10858" s="10" t="n"/>
    </row>
    <row r="10859">
      <c r="B10859" s="7" t="n">
        <v>10857</v>
      </c>
      <c r="C10859" t="inlineStr">
        <is>
          <t>Quản lý cửa hàng</t>
        </is>
      </c>
      <c r="D10859" t="inlineStr">
        <is>
          <t>Công ty cổ phần Okapi Việt Nam - Thương hiệu thời trang BADASS</t>
        </is>
      </c>
      <c r="E10859" t="inlineStr">
        <is>
          <t>Lương:10 Tr - 15 Tr VND</t>
        </is>
      </c>
      <c r="F10859" t="inlineStr">
        <is>
          <t>Thái Nguyên</t>
        </is>
      </c>
      <c r="G10859" t="inlineStr">
        <is>
          <t>31-03-2026</t>
        </is>
      </c>
      <c r="H10859" t="inlineStr">
        <is>
          <t>31/03/2026</t>
        </is>
      </c>
      <c r="I10859" t="inlineStr">
        <is>
          <t>17/03/2026</t>
        </is>
      </c>
      <c r="J10859" t="inlineStr">
        <is>
          <t>Bán lẻ / Bán sỉ, Dệt may / Da giày / Thời trang</t>
        </is>
      </c>
      <c r="K10859" t="inlineStr">
        <is>
          <t>1 - 2 Năm</t>
        </is>
      </c>
      <c r="L10859" s="8">
        <f>HYPERLINK("https://careerviet.vn/vi/tim-viec-lam/quan-ly-cua-hang.35C6C616.html","Xem chi tiết")</f>
        <v/>
      </c>
    </row>
    <row r="10860">
      <c r="B10860" s="9" t="n">
        <v>10858</v>
      </c>
      <c r="C10860" s="10" t="inlineStr">
        <is>
          <t>nhân viên R&amp;D</t>
        </is>
      </c>
      <c r="D10860" s="10" t="inlineStr">
        <is>
          <t>CHI NHÁNH CÔNG TY TNHH DAEYOUNG EP VINA TẠI BÀ RỊA - VŨNG TÀU</t>
        </is>
      </c>
      <c r="E10860" s="10" t="inlineStr">
        <is>
          <t>Lương:8 Tr - 12 Tr VND</t>
        </is>
      </c>
      <c r="F10860" s="10" t="inlineStr">
        <is>
          <t>Bà Rịa - Vũng Tàu</t>
        </is>
      </c>
      <c r="G10860" s="10" t="inlineStr">
        <is>
          <t>30-03-2026</t>
        </is>
      </c>
      <c r="H10860" s="10" t="inlineStr">
        <is>
          <t>30/03/2026</t>
        </is>
      </c>
      <c r="I10860" s="10" t="inlineStr">
        <is>
          <t>17/03/2026</t>
        </is>
      </c>
      <c r="J10860" s="10" t="inlineStr">
        <is>
          <t>Điện / Điện tử / Điện lạnh / Điện công nghiệp</t>
        </is>
      </c>
      <c r="K10860" s="10" t="inlineStr">
        <is>
          <t>1 - 2 Năm</t>
        </is>
      </c>
      <c r="L10860" s="11">
        <f>HYPERLINK("https://careerviet.vn/vi/tim-viec-lam/nhan-vien-r-d.35C6C61A.html","Xem chi tiết")</f>
        <v/>
      </c>
      <c r="M10860" s="10" t="n"/>
    </row>
    <row r="10861">
      <c r="B10861" s="7" t="n">
        <v>10859</v>
      </c>
      <c r="C10861" t="inlineStr">
        <is>
          <t>NPI PROJECT LEADER</t>
        </is>
      </c>
      <c r="D10861" t="inlineStr">
        <is>
          <t>Action Composites Hightech Industries</t>
        </is>
      </c>
      <c r="E10861" t="inlineStr">
        <is>
          <t>Lương:Cạnh tranh</t>
        </is>
      </c>
      <c r="F10861" t="inlineStr">
        <is>
          <t>Đồng Nai</t>
        </is>
      </c>
      <c r="G10861" t="inlineStr">
        <is>
          <t>13-04-2026</t>
        </is>
      </c>
      <c r="H10861" t="inlineStr">
        <is>
          <t>13/04/2026</t>
        </is>
      </c>
      <c r="I10861" t="inlineStr">
        <is>
          <t>17/03/2026</t>
        </is>
      </c>
      <c r="J10861" t="inlineStr">
        <is>
          <t>Cơ khí / Ô tô / Tự động hóa, Sản xuất / Vận hành sản xuất, Quản lý chất lượng (QA/QC)</t>
        </is>
      </c>
      <c r="K10861" t="inlineStr">
        <is>
          <t>5 - 7 Năm</t>
        </is>
      </c>
      <c r="L10861" s="8">
        <f>HYPERLINK("https://careerviet.vn/vi/tim-viec-lam/npi-project-leader.35C6C613.html","Xem chi tiết")</f>
        <v/>
      </c>
    </row>
    <row r="10862">
      <c r="B10862" s="9" t="n">
        <v>10860</v>
      </c>
      <c r="C10862" s="10" t="inlineStr">
        <is>
          <t>Chuyên viên QC</t>
        </is>
      </c>
      <c r="D10862" s="10" t="inlineStr">
        <is>
          <t>Công ty Cổ phần Cơ khí Xây dựng Thương mại Đại Dũng</t>
        </is>
      </c>
      <c r="E10862" s="10" t="inlineStr">
        <is>
          <t>Lương:18 Tr - 27 Tr VND</t>
        </is>
      </c>
      <c r="F10862" s="10" t="inlineStr">
        <is>
          <t>Hồ Chí Minh</t>
        </is>
      </c>
      <c r="G10862" s="10" t="inlineStr">
        <is>
          <t>13-04-2026</t>
        </is>
      </c>
      <c r="H10862" s="10" t="inlineStr">
        <is>
          <t>13/04/2026</t>
        </is>
      </c>
      <c r="I10862" s="10" t="inlineStr">
        <is>
          <t>17/03/2026</t>
        </is>
      </c>
      <c r="J10862" s="10" t="inlineStr">
        <is>
          <t>Quản lý chất lượng (QA/QC), Cơ khí / Ô tô / Tự động hóa, Hàng hải</t>
        </is>
      </c>
      <c r="K10862" s="10" t="inlineStr">
        <is>
          <t>N/A</t>
        </is>
      </c>
      <c r="L10862" s="11">
        <f>HYPERLINK("https://careerviet.vn/vi/tim-viec-lam/chuyen-vien-qc.35C6C5FC.html","Xem chi tiết")</f>
        <v/>
      </c>
      <c r="M10862" s="10" t="n"/>
    </row>
    <row r="10863">
      <c r="B10863" s="7" t="n">
        <v>10861</v>
      </c>
      <c r="C10863" t="inlineStr">
        <is>
          <t>Quản lý cửa hàng</t>
        </is>
      </c>
      <c r="D10863" t="inlineStr">
        <is>
          <t>Công ty cổ phần Okapi Việt Nam - Thương hiệu thời trang BADASS</t>
        </is>
      </c>
      <c r="E10863" t="inlineStr">
        <is>
          <t>Lương:10 Tr - 15 Tr VND</t>
        </is>
      </c>
      <c r="F10863" t="inlineStr">
        <is>
          <t>Hưng Yên</t>
        </is>
      </c>
      <c r="G10863" t="inlineStr">
        <is>
          <t>31-03-2026</t>
        </is>
      </c>
      <c r="H10863" t="inlineStr">
        <is>
          <t>31/03/2026</t>
        </is>
      </c>
      <c r="I10863" t="inlineStr">
        <is>
          <t>17/03/2026</t>
        </is>
      </c>
      <c r="J10863" t="inlineStr">
        <is>
          <t>Bán lẻ / Bán sỉ, Dệt may / Da giày / Thời trang</t>
        </is>
      </c>
      <c r="K10863" t="inlineStr">
        <is>
          <t>1 - 2 Năm</t>
        </is>
      </c>
      <c r="L10863" s="8">
        <f>HYPERLINK("https://careerviet.vn/vi/tim-viec-lam/quan-ly-cua-hang.35C6C614.html","Xem chi tiết")</f>
        <v/>
      </c>
    </row>
    <row r="10864">
      <c r="B10864" s="9" t="n">
        <v>10862</v>
      </c>
      <c r="C10864" s="10" t="inlineStr">
        <is>
          <t>Giám Sát Sản Xuất Kết Cấu Thép</t>
        </is>
      </c>
      <c r="D10864" s="10" t="inlineStr">
        <is>
          <t>Công ty Cổ phần Cơ khí Xây dựng Thương mại Đại Dũng</t>
        </is>
      </c>
      <c r="E10864" s="10" t="inlineStr">
        <is>
          <t>Lương:17 Tr - 22 Tr VND</t>
        </is>
      </c>
      <c r="F10864" s="10" t="inlineStr">
        <is>
          <t>Hồ Chí Minh</t>
        </is>
      </c>
      <c r="G10864" s="10" t="inlineStr">
        <is>
          <t>13-04-2026</t>
        </is>
      </c>
      <c r="H10864" s="10" t="inlineStr">
        <is>
          <t>13/04/2026</t>
        </is>
      </c>
      <c r="I10864" s="10" t="inlineStr">
        <is>
          <t>17/03/2026</t>
        </is>
      </c>
      <c r="J10864" s="10" t="inlineStr">
        <is>
          <t>Sản xuất / Vận hành sản xuất, Cơ khí / Ô tô / Tự động hóa, Điện / Điện tử / Điện lạnh / Điện công nghiệp</t>
        </is>
      </c>
      <c r="K10864" s="10" t="inlineStr">
        <is>
          <t>Trên 1 Năm</t>
        </is>
      </c>
      <c r="L10864" s="11">
        <f>HYPERLINK("https://careerviet.vn/vi/tim-viec-lam/giam-sat-san-xuat-ket-cau-thep.35C6C604.html","Xem chi tiết")</f>
        <v/>
      </c>
      <c r="M10864" s="10" t="n"/>
    </row>
    <row r="10865">
      <c r="B10865" s="7" t="n">
        <v>10863</v>
      </c>
      <c r="C10865" t="inlineStr">
        <is>
          <t>Investment Finance Specialist</t>
        </is>
      </c>
      <c r="D10865" t="inlineStr">
        <is>
          <t>Công ty Cổ phần Tập đoàn Meey Land</t>
        </is>
      </c>
      <c r="E10865" t="inlineStr">
        <is>
          <t>Lương:15 Tr - 25 Tr VND</t>
        </is>
      </c>
      <c r="F10865" t="inlineStr">
        <is>
          <t>Hà Nội</t>
        </is>
      </c>
      <c r="G10865" t="inlineStr">
        <is>
          <t>31-03-2026</t>
        </is>
      </c>
      <c r="H10865" t="inlineStr">
        <is>
          <t>31/03/2026</t>
        </is>
      </c>
      <c r="I10865" t="inlineStr">
        <is>
          <t>17/03/2026</t>
        </is>
      </c>
      <c r="J10865" t="inlineStr">
        <is>
          <t>Tài chính / Đầu tư</t>
        </is>
      </c>
      <c r="K10865" t="inlineStr">
        <is>
          <t>2 - 3 Năm</t>
        </is>
      </c>
      <c r="L10865" s="8">
        <f>HYPERLINK("https://careerviet.vn/vi/tim-viec-lam/investment-finance-specialist.35C6C612.html","Xem chi tiết")</f>
        <v/>
      </c>
    </row>
    <row r="10866">
      <c r="B10866" s="9" t="n">
        <v>10864</v>
      </c>
      <c r="C10866" s="10" t="inlineStr">
        <is>
          <t>Nhân viên Kinh doanh</t>
        </is>
      </c>
      <c r="D10866" s="10" t="inlineStr">
        <is>
          <t>CHI NHÁNH CÔNG TY TNHH DAEYOUNG EP VINA TẠI BÀ RỊA - VŨNG TÀU</t>
        </is>
      </c>
      <c r="E10866" s="10" t="inlineStr">
        <is>
          <t>Lương:Cạnh tranh</t>
        </is>
      </c>
      <c r="F10866" s="10" t="inlineStr">
        <is>
          <t>Bà Rịa - Vũng Tàu</t>
        </is>
      </c>
      <c r="G10866" s="10" t="inlineStr">
        <is>
          <t>30-03-2026</t>
        </is>
      </c>
      <c r="H10866" s="10" t="inlineStr">
        <is>
          <t>30/03/2026</t>
        </is>
      </c>
      <c r="I10866" s="10" t="inlineStr">
        <is>
          <t>17/03/2026</t>
        </is>
      </c>
      <c r="J10866" s="10" t="inlineStr">
        <is>
          <t>Điện / Điện tử / Điện lạnh / Điện công nghiệp</t>
        </is>
      </c>
      <c r="K10866" s="10" t="inlineStr">
        <is>
          <t>1 - 2 Năm</t>
        </is>
      </c>
      <c r="L10866" s="11">
        <f>HYPERLINK("https://careerviet.vn/vi/tim-viec-lam/nhan-vien-kinh-doanh.35C6C610.html","Xem chi tiết")</f>
        <v/>
      </c>
      <c r="M10866" s="10" t="n"/>
    </row>
    <row r="10867">
      <c r="B10867" s="7" t="n">
        <v>10865</v>
      </c>
      <c r="C10867" t="inlineStr">
        <is>
          <t>WHEEL R&amp;D ENGINEER</t>
        </is>
      </c>
      <c r="D10867" t="inlineStr">
        <is>
          <t>Action Composites Hightech Industries</t>
        </is>
      </c>
      <c r="E10867" t="inlineStr">
        <is>
          <t>Lương:Cạnh tranh</t>
        </is>
      </c>
      <c r="F10867" t="inlineStr">
        <is>
          <t>Đồng Nai</t>
        </is>
      </c>
      <c r="G10867" t="inlineStr">
        <is>
          <t>13-04-2026</t>
        </is>
      </c>
      <c r="H10867" t="inlineStr">
        <is>
          <t>13/04/2026</t>
        </is>
      </c>
      <c r="I10867" t="inlineStr">
        <is>
          <t>17/03/2026</t>
        </is>
      </c>
      <c r="J10867" t="inlineStr">
        <is>
          <t>Cơ khí / Ô tô / Tự động hóa, Bảo trì / Sửa chữa, Sản xuất / Vận hành sản xuất</t>
        </is>
      </c>
      <c r="K10867" t="inlineStr">
        <is>
          <t>3 - 5 Năm</t>
        </is>
      </c>
      <c r="L10867" s="8">
        <f>HYPERLINK("https://careerviet.vn/vi/tim-viec-lam/wheel-r-d-engineer.35C6C609.html","Xem chi tiết")</f>
        <v/>
      </c>
    </row>
    <row r="10868">
      <c r="B10868" s="9" t="n">
        <v>10866</v>
      </c>
      <c r="C10868" s="10" t="inlineStr">
        <is>
          <t>PAINTING/ COATING ENGINEER</t>
        </is>
      </c>
      <c r="D10868" s="10" t="inlineStr">
        <is>
          <t>Action Composites Hightech Industries</t>
        </is>
      </c>
      <c r="E10868" s="10" t="inlineStr">
        <is>
          <t>Lương:Cạnh tranh</t>
        </is>
      </c>
      <c r="F10868" s="10" t="inlineStr">
        <is>
          <t>Đồng Nai</t>
        </is>
      </c>
      <c r="G10868" s="10" t="inlineStr">
        <is>
          <t>13-04-2026</t>
        </is>
      </c>
      <c r="H10868" s="10" t="inlineStr">
        <is>
          <t>13/04/2026</t>
        </is>
      </c>
      <c r="I10868" s="10" t="inlineStr">
        <is>
          <t>17/03/2026</t>
        </is>
      </c>
      <c r="J10868" s="10" t="inlineStr">
        <is>
          <t>Cơ khí / Ô tô / Tự động hóa, Hóa học, Quản lý chất lượng (QA/QC)</t>
        </is>
      </c>
      <c r="K10868" s="10" t="inlineStr">
        <is>
          <t>3 - 5 Năm</t>
        </is>
      </c>
      <c r="L10868" s="11">
        <f>HYPERLINK("https://careerviet.vn/vi/tim-viec-lam/painting-coating-engineer.35C6C60A.html","Xem chi tiết")</f>
        <v/>
      </c>
      <c r="M10868" s="10" t="n"/>
    </row>
    <row r="10869">
      <c r="B10869" s="7" t="n">
        <v>10867</v>
      </c>
      <c r="C10869" t="inlineStr">
        <is>
          <t>Nhân viên Kế Hoạch</t>
        </is>
      </c>
      <c r="D10869" t="inlineStr">
        <is>
          <t>CHI NHÁNH CÔNG TY TNHH DAEYOUNG EP VINA TẠI BÀ RỊA - VŨNG TÀU</t>
        </is>
      </c>
      <c r="E10869" t="inlineStr">
        <is>
          <t>Lương:9 Tr - 12 Tr VND</t>
        </is>
      </c>
      <c r="F10869" t="inlineStr">
        <is>
          <t>Bà Rịa - Vũng Tàu</t>
        </is>
      </c>
      <c r="G10869" t="inlineStr">
        <is>
          <t>30-03-2026</t>
        </is>
      </c>
      <c r="H10869" t="inlineStr">
        <is>
          <t>30/03/2026</t>
        </is>
      </c>
      <c r="I10869" t="inlineStr">
        <is>
          <t>17/03/2026</t>
        </is>
      </c>
      <c r="J10869" t="inlineStr">
        <is>
          <t>Cơ khí / Ô tô / Tự động hóa, Điện / Điện tử / Điện lạnh / Điện công nghiệp</t>
        </is>
      </c>
      <c r="K10869" t="inlineStr">
        <is>
          <t>Lên đến 2 Năm</t>
        </is>
      </c>
      <c r="L10869" s="8">
        <f>HYPERLINK("https://careerviet.vn/vi/tim-viec-lam/nhan-vien-ke-hoach.35C6C60B.html","Xem chi tiết")</f>
        <v/>
      </c>
    </row>
    <row r="10870">
      <c r="B10870" s="9" t="n">
        <v>10868</v>
      </c>
      <c r="C10870" s="10" t="inlineStr">
        <is>
          <t>Trưởng nhóm tuyển dụng F&amp;B</t>
        </is>
      </c>
      <c r="D10870" s="10" t="inlineStr">
        <is>
          <t>Công Ty Cổ Phần Đầu Tư Viên Ngọc Mới</t>
        </is>
      </c>
      <c r="E10870" s="10" t="inlineStr">
        <is>
          <t>Lương:Cạnh tranh</t>
        </is>
      </c>
      <c r="F10870" s="10" t="inlineStr">
        <is>
          <t>Hồ Chí Minh</t>
        </is>
      </c>
      <c r="G10870" s="10" t="inlineStr">
        <is>
          <t>31-05-2026</t>
        </is>
      </c>
      <c r="H10870" s="10" t="inlineStr">
        <is>
          <t>31/05/2026</t>
        </is>
      </c>
      <c r="I10870" s="10" t="inlineStr">
        <is>
          <t>17/03/2026</t>
        </is>
      </c>
      <c r="J10870" s="10" t="inlineStr">
        <is>
          <t>Nhà hàng / Khách sạn, Nhân sự, Bán lẻ / Bán sỉ</t>
        </is>
      </c>
      <c r="K10870" s="10" t="inlineStr">
        <is>
          <t>2 - 5 Năm</t>
        </is>
      </c>
      <c r="L10870" s="11">
        <f>HYPERLINK("https://careerviet.vn/vi/tim-viec-lam/truong-nhom-tuyen-dung-f-b.35C6C605.html","Xem chi tiết")</f>
        <v/>
      </c>
      <c r="M10870" s="10" t="n"/>
    </row>
    <row r="10871">
      <c r="B10871" s="7" t="n">
        <v>10869</v>
      </c>
      <c r="C10871" t="inlineStr">
        <is>
          <t>Kế toán trưởng</t>
        </is>
      </c>
      <c r="D10871" t="inlineStr">
        <is>
          <t>Bảo mật</t>
        </is>
      </c>
      <c r="E10871" t="inlineStr">
        <is>
          <t>Lương:20 Tr - 25 Tr VND</t>
        </is>
      </c>
      <c r="F10871" t="inlineStr">
        <is>
          <t>Hồ Chí Minh</t>
        </is>
      </c>
      <c r="G10871" t="inlineStr">
        <is>
          <t>31-03-2026</t>
        </is>
      </c>
      <c r="H10871" t="inlineStr">
        <is>
          <t>31/03/2026</t>
        </is>
      </c>
      <c r="I10871" t="inlineStr">
        <is>
          <t>17/03/2026</t>
        </is>
      </c>
      <c r="J10871" t="inlineStr">
        <is>
          <t>Dược phẩm/ Hóa Mỹ Phẩm</t>
        </is>
      </c>
      <c r="K10871" t="inlineStr">
        <is>
          <t>5 - 10 Năm</t>
        </is>
      </c>
      <c r="L10871" s="8">
        <f>HYPERLINK("https://careerviet.vn/vi/tim-viec-lam/ke-toan-truong.35C6C60F.html","Xem chi tiết")</f>
        <v/>
      </c>
    </row>
    <row r="10872">
      <c r="B10872" s="9" t="n">
        <v>10870</v>
      </c>
      <c r="C10872" s="10" t="inlineStr">
        <is>
          <t>MOLD DESIGN ENGINEER</t>
        </is>
      </c>
      <c r="D10872" s="10" t="inlineStr">
        <is>
          <t>Action Composites Hightech Industries</t>
        </is>
      </c>
      <c r="E10872" s="10" t="inlineStr">
        <is>
          <t>Lương:Cạnh tranh</t>
        </is>
      </c>
      <c r="F10872" s="10" t="inlineStr">
        <is>
          <t>Đồng Nai</t>
        </is>
      </c>
      <c r="G10872" s="10" t="inlineStr">
        <is>
          <t>13-04-2026</t>
        </is>
      </c>
      <c r="H10872" s="10" t="inlineStr">
        <is>
          <t>13/04/2026</t>
        </is>
      </c>
      <c r="I10872" s="10" t="inlineStr">
        <is>
          <t>17/03/2026</t>
        </is>
      </c>
      <c r="J10872" s="10" t="inlineStr">
        <is>
          <t>Cơ khí / Ô tô / Tự động hóa, Mỹ thuật / Nghệ thuật / Thiết kế, Sản xuất / Vận hành sản xuất</t>
        </is>
      </c>
      <c r="K10872" s="10" t="inlineStr">
        <is>
          <t>2 - 4 Năm</t>
        </is>
      </c>
      <c r="L10872" s="11">
        <f>HYPERLINK("https://careerviet.vn/vi/tim-viec-lam/mold-design-engineer.35C6C5FB.html","Xem chi tiết")</f>
        <v/>
      </c>
      <c r="M10872" s="10" t="n"/>
    </row>
    <row r="10873">
      <c r="B10873" s="7" t="n">
        <v>10871</v>
      </c>
      <c r="C10873" t="inlineStr">
        <is>
          <t>PROCESS ENGINEER (Forming/Sanding/Gluing/Assembly)</t>
        </is>
      </c>
      <c r="D10873" t="inlineStr">
        <is>
          <t>Action Composites Hightech Industries</t>
        </is>
      </c>
      <c r="E10873" t="inlineStr">
        <is>
          <t>Lương:Cạnh tranh</t>
        </is>
      </c>
      <c r="F10873" t="inlineStr">
        <is>
          <t>Đồng Nai</t>
        </is>
      </c>
      <c r="G10873" t="inlineStr">
        <is>
          <t>13-04-2026</t>
        </is>
      </c>
      <c r="H10873" t="inlineStr">
        <is>
          <t>13/04/2026</t>
        </is>
      </c>
      <c r="I10873" t="inlineStr">
        <is>
          <t>17/03/2026</t>
        </is>
      </c>
      <c r="J10873" t="inlineStr">
        <is>
          <t>Cơ khí / Ô tô / Tự động hóa, Sản xuất / Vận hành sản xuất, Quản lý chất lượng (QA/QC)</t>
        </is>
      </c>
      <c r="K10873" t="inlineStr">
        <is>
          <t>3 - 5 Năm</t>
        </is>
      </c>
      <c r="L10873" s="8">
        <f>HYPERLINK("https://careerviet.vn/vi/tim-viec-lam/process-engineer-forming-sanding-gluing-assembly.35C6C60E.html","Xem chi tiết")</f>
        <v/>
      </c>
    </row>
    <row r="10874">
      <c r="B10874" s="9" t="n">
        <v>10872</v>
      </c>
      <c r="C10874" s="10" t="inlineStr">
        <is>
          <t>CNC PROGRAMMER</t>
        </is>
      </c>
      <c r="D10874" s="10" t="inlineStr">
        <is>
          <t>Action Composites Hightech Industries</t>
        </is>
      </c>
      <c r="E10874" s="10" t="inlineStr">
        <is>
          <t>Lương:Cạnh tranh</t>
        </is>
      </c>
      <c r="F10874" s="10" t="inlineStr">
        <is>
          <t>Đồng Nai</t>
        </is>
      </c>
      <c r="G10874" s="10" t="inlineStr">
        <is>
          <t>13-04-2026</t>
        </is>
      </c>
      <c r="H10874" s="10" t="inlineStr">
        <is>
          <t>13/04/2026</t>
        </is>
      </c>
      <c r="I10874" s="10" t="inlineStr">
        <is>
          <t>17/03/2026</t>
        </is>
      </c>
      <c r="J10874" s="10" t="inlineStr">
        <is>
          <t>Cơ khí / Ô tô / Tự động hóa, Điện / Điện tử / Điện lạnh / Điện công nghiệp, Bảo trì / Sửa chữa</t>
        </is>
      </c>
      <c r="K10874" s="10" t="inlineStr">
        <is>
          <t>2 - 5 Năm</t>
        </is>
      </c>
      <c r="L10874" s="11">
        <f>HYPERLINK("https://careerviet.vn/vi/tim-viec-lam/cnc-programmer.35C6C603.html","Xem chi tiết")</f>
        <v/>
      </c>
      <c r="M10874" s="10" t="n"/>
    </row>
    <row r="10875">
      <c r="B10875" s="7" t="n">
        <v>10873</v>
      </c>
      <c r="C10875" t="inlineStr">
        <is>
          <t>Trưởng nhóm kỹ thuật điện lạnh</t>
        </is>
      </c>
      <c r="D10875" t="inlineStr">
        <is>
          <t>Công ty TNHH Sản xuất Thương mại &amp; Dịch vụ Hoa Xinh</t>
        </is>
      </c>
      <c r="E10875" t="inlineStr">
        <is>
          <t>Lương:14 Tr - 20 Tr VND</t>
        </is>
      </c>
      <c r="F10875" t="inlineStr">
        <is>
          <t>Hồ Chí Minh</t>
        </is>
      </c>
      <c r="G10875" t="inlineStr">
        <is>
          <t>13-04-2026</t>
        </is>
      </c>
      <c r="H10875" t="inlineStr">
        <is>
          <t>13/04/2026</t>
        </is>
      </c>
      <c r="I10875" t="inlineStr">
        <is>
          <t>17/03/2026</t>
        </is>
      </c>
      <c r="J10875" t="inlineStr">
        <is>
          <t>Điện / Điện tử / Điện lạnh / Điện công nghiệp</t>
        </is>
      </c>
      <c r="K10875" t="inlineStr">
        <is>
          <t>5 - 7 Năm</t>
        </is>
      </c>
      <c r="L10875" s="8">
        <f>HYPERLINK("https://careerviet.vn/vi/tim-viec-lam/truong-nhom-ky-thuat-dien-lanh.35C6C5F8.html","Xem chi tiết")</f>
        <v/>
      </c>
    </row>
    <row r="10876">
      <c r="B10876" s="9" t="n">
        <v>10874</v>
      </c>
      <c r="C10876" s="10" t="inlineStr">
        <is>
          <t>Nhân viên Hành chính - Lễ tân</t>
        </is>
      </c>
      <c r="D10876" s="10" t="inlineStr">
        <is>
          <t>Tập Đoàn Karofi Holding</t>
        </is>
      </c>
      <c r="E10876" s="10" t="inlineStr">
        <is>
          <t>Lương:8 Tr - 8,5 Tr VND</t>
        </is>
      </c>
      <c r="F10876" s="10" t="inlineStr">
        <is>
          <t>Hà Nội</t>
        </is>
      </c>
      <c r="G10876" s="10" t="inlineStr">
        <is>
          <t>09-04-2026</t>
        </is>
      </c>
      <c r="H10876" s="10" t="inlineStr">
        <is>
          <t>09/04/2026</t>
        </is>
      </c>
      <c r="I10876" s="10" t="inlineStr">
        <is>
          <t>17/03/2026</t>
        </is>
      </c>
      <c r="J10876" s="10" t="inlineStr">
        <is>
          <t>Hành chính / Thư ký</t>
        </is>
      </c>
      <c r="K10876" s="10" t="inlineStr">
        <is>
          <t>Lên đến 1 Năm</t>
        </is>
      </c>
      <c r="L10876" s="11">
        <f>HYPERLINK("https://careerviet.vn/vi/tim-viec-lam/nhan-vien-hanh-chinh-le-tan.35C6C606.html","Xem chi tiết")</f>
        <v/>
      </c>
      <c r="M10876" s="10" t="n"/>
    </row>
    <row r="10877">
      <c r="B10877" s="7" t="n">
        <v>10875</v>
      </c>
      <c r="C10877" t="inlineStr">
        <is>
          <t>KẾ TOÁN TRƯỞNG</t>
        </is>
      </c>
      <c r="D10877" t="inlineStr">
        <is>
          <t>Công Ty TNHH Thương Mại Dịch Vụ Trần Toàn Phát</t>
        </is>
      </c>
      <c r="E10877" t="inlineStr">
        <is>
          <t>Lương:30 Tr - 40 Tr VND</t>
        </is>
      </c>
      <c r="F10877" t="inlineStr">
        <is>
          <t>Hồ Chí Minh</t>
        </is>
      </c>
      <c r="G10877" t="inlineStr">
        <is>
          <t>11-04-2026</t>
        </is>
      </c>
      <c r="H10877" t="inlineStr">
        <is>
          <t>11/04/2026</t>
        </is>
      </c>
      <c r="I10877" t="inlineStr">
        <is>
          <t>17/03/2026</t>
        </is>
      </c>
      <c r="J10877" t="inlineStr">
        <is>
          <t>Tài chính / Đầu tư, Kế toán / Kiểm toán</t>
        </is>
      </c>
      <c r="K10877" t="inlineStr">
        <is>
          <t>Trên 5 Năm</t>
        </is>
      </c>
      <c r="L10877" s="8">
        <f>HYPERLINK("https://careerviet.vn/vi/tim-viec-lam/ke-toan-truong.35C6C519.html","Xem chi tiết")</f>
        <v/>
      </c>
    </row>
    <row r="10878">
      <c r="B10878" s="9" t="n">
        <v>10876</v>
      </c>
      <c r="C10878" s="10" t="inlineStr">
        <is>
          <t>Administrative Specialist - Building Operation</t>
        </is>
      </c>
      <c r="D10878" s="10" t="inlineStr">
        <is>
          <t>Công ty TNHH Phát triển Phú Mỹ Hưng</t>
        </is>
      </c>
      <c r="E10878" s="10" t="inlineStr">
        <is>
          <t>Lương:18 Tr - 22 Tr VND</t>
        </is>
      </c>
      <c r="F10878" s="10" t="inlineStr">
        <is>
          <t>Hồ Chí Minh</t>
        </is>
      </c>
      <c r="G10878" s="10" t="inlineStr">
        <is>
          <t>15-04-2026</t>
        </is>
      </c>
      <c r="H10878" s="10" t="inlineStr">
        <is>
          <t>15/04/2026</t>
        </is>
      </c>
      <c r="I10878" s="10" t="inlineStr">
        <is>
          <t>17/03/2026</t>
        </is>
      </c>
      <c r="J10878" s="10" t="inlineStr">
        <is>
          <t>Bất động sản</t>
        </is>
      </c>
      <c r="K10878" s="10" t="inlineStr">
        <is>
          <t>4 - 10 Năm</t>
        </is>
      </c>
      <c r="L10878" s="11">
        <f>HYPERLINK("https://careerviet.vn/vi/tim-viec-lam/administrative-specialist-building-operation.35C6C5FD.html","Xem chi tiết")</f>
        <v/>
      </c>
      <c r="M10878" s="10" t="n"/>
    </row>
    <row r="10879">
      <c r="B10879" s="7" t="n">
        <v>10877</v>
      </c>
      <c r="C10879" t="inlineStr">
        <is>
          <t>CNC ENGINEER</t>
        </is>
      </c>
      <c r="D10879" t="inlineStr">
        <is>
          <t>Action Composites Hightech Industries</t>
        </is>
      </c>
      <c r="E10879" t="inlineStr">
        <is>
          <t>Lương:Cạnh tranh</t>
        </is>
      </c>
      <c r="F10879" t="inlineStr">
        <is>
          <t>Đồng Nai</t>
        </is>
      </c>
      <c r="G10879" t="inlineStr">
        <is>
          <t>13-04-2026</t>
        </is>
      </c>
      <c r="H10879" t="inlineStr">
        <is>
          <t>13/04/2026</t>
        </is>
      </c>
      <c r="I10879" t="inlineStr">
        <is>
          <t>17/03/2026</t>
        </is>
      </c>
      <c r="J10879" t="inlineStr">
        <is>
          <t>Cơ khí / Ô tô / Tự động hóa, Điện / Điện tử / Điện lạnh / Điện công nghiệp, Bảo trì / Sửa chữa</t>
        </is>
      </c>
      <c r="K10879" t="inlineStr">
        <is>
          <t>2 - 5 Năm</t>
        </is>
      </c>
      <c r="L10879" s="8">
        <f>HYPERLINK("https://careerviet.vn/vi/tim-viec-lam/cnc-engineer.35C6C5FF.html","Xem chi tiết")</f>
        <v/>
      </c>
    </row>
    <row r="10880">
      <c r="B10880" s="9" t="n">
        <v>10878</v>
      </c>
      <c r="C10880" s="10" t="inlineStr">
        <is>
          <t>Chuyên viên tuyển dụng F&amp;B</t>
        </is>
      </c>
      <c r="D10880" s="10" t="inlineStr">
        <is>
          <t>Công Ty Cổ Phần Đầu Tư Viên Ngọc Mới</t>
        </is>
      </c>
      <c r="E10880" s="10" t="inlineStr">
        <is>
          <t>Lương:Cạnh tranh</t>
        </is>
      </c>
      <c r="F10880" s="10" t="inlineStr">
        <is>
          <t>Hồ Chí Minh</t>
        </is>
      </c>
      <c r="G10880" s="10" t="inlineStr">
        <is>
          <t>31-05-2026</t>
        </is>
      </c>
      <c r="H10880" s="10" t="inlineStr">
        <is>
          <t>31/05/2026</t>
        </is>
      </c>
      <c r="I10880" s="10" t="inlineStr">
        <is>
          <t>17/03/2026</t>
        </is>
      </c>
      <c r="J10880" s="10" t="inlineStr">
        <is>
          <t>Nhà hàng / Khách sạn, Nhân sự, Bán lẻ / Bán sỉ</t>
        </is>
      </c>
      <c r="K10880" s="10" t="inlineStr">
        <is>
          <t>2 - 5 Năm</t>
        </is>
      </c>
      <c r="L10880" s="11">
        <f>HYPERLINK("https://careerviet.vn/vi/tim-viec-lam/chuyen-vien-tuyen-dung-f-b.35C6C5F6.html","Xem chi tiết")</f>
        <v/>
      </c>
      <c r="M10880" s="10" t="n"/>
    </row>
    <row r="10881">
      <c r="B10881" s="7" t="n">
        <v>10879</v>
      </c>
      <c r="C10881" t="inlineStr">
        <is>
          <t>Nhân viên Tuyển dụng</t>
        </is>
      </c>
      <c r="D10881" t="inlineStr">
        <is>
          <t>Công ty TNHH Xây Dựng Hoàng Liên Sơn</t>
        </is>
      </c>
      <c r="E10881" t="inlineStr">
        <is>
          <t>Lương:10 Tr - 14 Tr VND</t>
        </is>
      </c>
      <c r="F10881" t="inlineStr">
        <is>
          <t>Hồ Chí Minh</t>
        </is>
      </c>
      <c r="G10881" t="inlineStr">
        <is>
          <t>13-04-2026</t>
        </is>
      </c>
      <c r="H10881" t="inlineStr">
        <is>
          <t>13/04/2026</t>
        </is>
      </c>
      <c r="I10881" t="inlineStr">
        <is>
          <t>17/03/2026</t>
        </is>
      </c>
      <c r="J10881" t="inlineStr">
        <is>
          <t>Nhân sự, Luật / Pháp lý, Xây dựng</t>
        </is>
      </c>
      <c r="K10881" t="inlineStr">
        <is>
          <t>2 - 3 Năm</t>
        </is>
      </c>
      <c r="L10881" s="8">
        <f>HYPERLINK("https://careerviet.vn/vi/tim-viec-lam/nhan-vien-tuyen-dung.35C6C601.html","Xem chi tiết")</f>
        <v/>
      </c>
    </row>
    <row r="10882">
      <c r="B10882" s="9" t="n">
        <v>10880</v>
      </c>
      <c r="C10882" s="10" t="inlineStr">
        <is>
          <t>Nhân viên Kế hoạch Sản xuất</t>
        </is>
      </c>
      <c r="D10882" s="10" t="inlineStr">
        <is>
          <t>Công Ty Cổ Phần Tân Vĩnh Cửu (Tavico group)</t>
        </is>
      </c>
      <c r="E10882" s="10" t="inlineStr">
        <is>
          <t>Lương:Cạnh tranh</t>
        </is>
      </c>
      <c r="F10882" s="10" t="inlineStr">
        <is>
          <t>Đồng Nai</t>
        </is>
      </c>
      <c r="G10882" s="10" t="inlineStr">
        <is>
          <t>12-04-2026</t>
        </is>
      </c>
      <c r="H10882" s="10" t="inlineStr">
        <is>
          <t>12/04/2026</t>
        </is>
      </c>
      <c r="I10882" s="10" t="inlineStr">
        <is>
          <t>17/03/2026</t>
        </is>
      </c>
      <c r="J10882" s="10" t="inlineStr">
        <is>
          <t>Sản xuất / Vận hành sản xuất, Đồ gỗ, Thống kê</t>
        </is>
      </c>
      <c r="K10882" s="10" t="inlineStr">
        <is>
          <t>1 - 2 Năm</t>
        </is>
      </c>
      <c r="L10882" s="11">
        <f>HYPERLINK("https://careerviet.vn/vi/tim-viec-lam/nhan-vien-ke-hoach-san-xuat.35C6C5F4.html","Xem chi tiết")</f>
        <v/>
      </c>
      <c r="M10882" s="10" t="n"/>
    </row>
    <row r="10883">
      <c r="B10883" s="7" t="n">
        <v>10881</v>
      </c>
      <c r="C10883" t="inlineStr">
        <is>
          <t>Chuyên Viên Đầu Tư Tài Chính (IPO)</t>
        </is>
      </c>
      <c r="D10883" t="inlineStr">
        <is>
          <t>Công ty Cổ phần Tập đoàn Meey Land</t>
        </is>
      </c>
      <c r="E10883" t="inlineStr">
        <is>
          <t>Lương:15 Tr - 25 Tr VND</t>
        </is>
      </c>
      <c r="F10883" t="inlineStr">
        <is>
          <t>Hà Nội</t>
        </is>
      </c>
      <c r="G10883" t="inlineStr">
        <is>
          <t>14-04-2026</t>
        </is>
      </c>
      <c r="H10883" t="inlineStr">
        <is>
          <t>14/04/2026</t>
        </is>
      </c>
      <c r="I10883" t="inlineStr">
        <is>
          <t>17/03/2026</t>
        </is>
      </c>
      <c r="J10883" t="inlineStr">
        <is>
          <t>Tài chính / Đầu tư</t>
        </is>
      </c>
      <c r="K10883" t="inlineStr">
        <is>
          <t>Trên 2 Năm</t>
        </is>
      </c>
      <c r="L10883" s="8">
        <f>HYPERLINK("https://careerviet.vn/vi/tim-viec-lam/chuyen-vien-dau-tu-tai-chinh-ipo.35C6C5FE.html","Xem chi tiết")</f>
        <v/>
      </c>
    </row>
    <row r="10884">
      <c r="B10884" s="9" t="n">
        <v>10882</v>
      </c>
      <c r="C10884" s="10" t="inlineStr">
        <is>
          <t>Phiên Dịch Tiếng Hoa</t>
        </is>
      </c>
      <c r="D10884" s="10" t="inlineStr">
        <is>
          <t>CÔNG TY TNHH HWASEUNG VINA</t>
        </is>
      </c>
      <c r="E10884" s="10" t="inlineStr">
        <is>
          <t>Lương:Cạnh tranh</t>
        </is>
      </c>
      <c r="F10884" s="10" t="inlineStr">
        <is>
          <t>Đồng NaiHồ Chí Minh</t>
        </is>
      </c>
      <c r="G10884" s="10" t="inlineStr">
        <is>
          <t>31-03-2026</t>
        </is>
      </c>
      <c r="H10884" s="10" t="inlineStr">
        <is>
          <t>31/03/2026</t>
        </is>
      </c>
      <c r="I10884" s="10" t="inlineStr">
        <is>
          <t>17/03/2026</t>
        </is>
      </c>
      <c r="J10884" s="10" t="inlineStr">
        <is>
          <t>Biên phiên dịch, Dệt may / Da giày / Thời trang, Hành chính / Thư ký</t>
        </is>
      </c>
      <c r="K10884" s="10" t="inlineStr">
        <is>
          <t>1 - 3 Năm</t>
        </is>
      </c>
      <c r="L10884" s="11">
        <f>HYPERLINK("https://careerviet.vn/vi/tim-viec-lam/phien-dich-tieng-hoa.35C6C5EF.html","Xem chi tiết")</f>
        <v/>
      </c>
      <c r="M10884" s="10" t="n"/>
    </row>
    <row r="10885">
      <c r="B10885" s="7" t="n">
        <v>10883</v>
      </c>
      <c r="C10885" t="inlineStr">
        <is>
          <t>Chuyên viên Quản lý ngành hàng Thực phẩm Tươi sống (Fresh Food Merchandise Executive)</t>
        </is>
      </c>
      <c r="D10885" t="inlineStr">
        <is>
          <t>Food Retail</t>
        </is>
      </c>
      <c r="E10885" t="inlineStr">
        <is>
          <t>Lương:Cạnh tranh</t>
        </is>
      </c>
      <c r="F10885" t="inlineStr">
        <is>
          <t>Hồ Chí Minh</t>
        </is>
      </c>
      <c r="G10885" t="inlineStr">
        <is>
          <t>30-04-2026</t>
        </is>
      </c>
      <c r="H10885" t="inlineStr">
        <is>
          <t>30/04/2026</t>
        </is>
      </c>
      <c r="I10885" t="inlineStr">
        <is>
          <t>17/03/2026</t>
        </is>
      </c>
      <c r="J10885" t="inlineStr">
        <is>
          <t>Thu mua / Vật tư, Bán lẻ / Bán sỉ, Thực phẩm &amp; Đồ uống</t>
        </is>
      </c>
      <c r="K10885" t="inlineStr">
        <is>
          <t>2 - 3 Năm</t>
        </is>
      </c>
      <c r="L10885" s="8">
        <f>HYPERLINK("https://careerviet.vn/vi/tim-viec-lam/chuyen-vien-quan-ly-nganh-hang-thuc-pham-tuoi-song-fresh-food-merchandise-executive.35C6C5E6.html","Xem chi tiết")</f>
        <v/>
      </c>
    </row>
    <row r="10886">
      <c r="B10886" s="9" t="n">
        <v>10884</v>
      </c>
      <c r="C10886" s="10" t="inlineStr">
        <is>
          <t>Nhân Viên Kế Toán Công Nợ</t>
        </is>
      </c>
      <c r="D10886" s="10" t="inlineStr">
        <is>
          <t>CHI NHÁNH CÔNG TY TNHH DAEYOUNG EP VINA TẠI BÀ RỊA - VŨNG TÀU</t>
        </is>
      </c>
      <c r="E10886" s="10" t="inlineStr">
        <is>
          <t>Lương:8 Tr - 10 Tr VND</t>
        </is>
      </c>
      <c r="F10886" s="10" t="inlineStr">
        <is>
          <t>Bà Rịa - Vũng Tàu</t>
        </is>
      </c>
      <c r="G10886" s="10" t="inlineStr">
        <is>
          <t>30-03-2026</t>
        </is>
      </c>
      <c r="H10886" s="10" t="inlineStr">
        <is>
          <t>30/03/2026</t>
        </is>
      </c>
      <c r="I10886" s="10" t="inlineStr">
        <is>
          <t>17/03/2026</t>
        </is>
      </c>
      <c r="J10886" s="10" t="inlineStr">
        <is>
          <t>Điện / Điện tử / Điện lạnh / Điện công nghiệp</t>
        </is>
      </c>
      <c r="K10886" s="10" t="inlineStr">
        <is>
          <t>làm việc tại nhà máy, khu công nghiệp</t>
        </is>
      </c>
      <c r="L10886" s="11">
        <f>HYPERLINK("https://careerviet.vn/vi/tim-viec-lam/nhan-vien-ke-toan-cong-no.35C6C600.html","Xem chi tiết")</f>
        <v/>
      </c>
      <c r="M10886" s="10" t="n"/>
    </row>
    <row r="10887">
      <c r="B10887" s="7" t="n">
        <v>10885</v>
      </c>
      <c r="C10887" t="inlineStr">
        <is>
          <t>Process Engineer PCB</t>
        </is>
      </c>
      <c r="D10887" t="inlineStr">
        <is>
          <t>TNHH Sài Gòn Fabrication (Fab-9) Vietnam</t>
        </is>
      </c>
      <c r="E10887" t="inlineStr">
        <is>
          <t>Lương:11 Tr - 15 Tr VND</t>
        </is>
      </c>
      <c r="F10887" t="inlineStr">
        <is>
          <t>Bình Dương</t>
        </is>
      </c>
      <c r="G10887" t="inlineStr">
        <is>
          <t>27-04-2026</t>
        </is>
      </c>
      <c r="H10887" t="inlineStr">
        <is>
          <t>27/04/2026</t>
        </is>
      </c>
      <c r="I10887" t="inlineStr">
        <is>
          <t>17/03/2026</t>
        </is>
      </c>
      <c r="J10887" t="inlineStr">
        <is>
          <t>Điện / Điện tử / Điện lạnh / Điện công nghiệp</t>
        </is>
      </c>
      <c r="K10887" t="inlineStr">
        <is>
          <t>1 - 2 Năm</t>
        </is>
      </c>
      <c r="L10887" s="8">
        <f>HYPERLINK("https://careerviet.vn/vi/tim-viec-lam/process-engineer-pcb.35C6C3BB.html","Xem chi tiết")</f>
        <v/>
      </c>
    </row>
    <row r="10888">
      <c r="B10888" s="9" t="n">
        <v>10886</v>
      </c>
      <c r="C10888" s="10" t="inlineStr">
        <is>
          <t>[MEKONG] Cộng tác viên kinh doanh - kênh đồ ăn vặt</t>
        </is>
      </c>
      <c r="D10888" s="10" t="inlineStr">
        <is>
          <t>CÔNG TY CỔ PHẦN SẢN XUẤT, THƯƠNG MẠI VÀ DỊCH VỤ PHÚC THỊNH</t>
        </is>
      </c>
      <c r="E10888" s="10" t="inlineStr">
        <is>
          <t>Lương:Cạnh tranh</t>
        </is>
      </c>
      <c r="F10888" s="10" t="inlineStr">
        <is>
          <t>Toàn quốc</t>
        </is>
      </c>
      <c r="G10888" s="10" t="inlineStr">
        <is>
          <t>07-04-2026</t>
        </is>
      </c>
      <c r="H10888" s="10" t="inlineStr">
        <is>
          <t>07/04/2026</t>
        </is>
      </c>
      <c r="I10888" s="10" t="inlineStr">
        <is>
          <t>17/03/2026</t>
        </is>
      </c>
      <c r="J10888" s="10" t="inlineStr">
        <is>
          <t>Tiếp thị / Marketing, Bán hàng / Kinh doanh, Bán lẻ / Bán sỉ</t>
        </is>
      </c>
      <c r="K10888" s="10" t="inlineStr">
        <is>
          <t>Trên 1 Năm</t>
        </is>
      </c>
      <c r="L10888" s="11">
        <f>HYPERLINK("https://careerviet.vn/vi/tim-viec-lam/mekong-cong-tac-vien-kinh-doanh-kenh-do-an-vat.35C6C5EB.html","Xem chi tiết")</f>
        <v/>
      </c>
      <c r="M10888" s="10" t="n"/>
    </row>
    <row r="10889">
      <c r="B10889" s="7" t="n">
        <v>10887</v>
      </c>
      <c r="C10889" t="inlineStr">
        <is>
          <t>Nhân viên Thiết kế 2D</t>
        </is>
      </c>
      <c r="D10889" t="inlineStr">
        <is>
          <t>Công ty Cổ phần Tập Đoàn Picenza Viet Nam</t>
        </is>
      </c>
      <c r="E10889" t="inlineStr">
        <is>
          <t>Lương:13 Tr - 15 Tr VND</t>
        </is>
      </c>
      <c r="F10889" t="inlineStr">
        <is>
          <t>Hà Nội</t>
        </is>
      </c>
      <c r="G10889" t="inlineStr">
        <is>
          <t>11-04-2026</t>
        </is>
      </c>
      <c r="H10889" t="inlineStr">
        <is>
          <t>11/04/2026</t>
        </is>
      </c>
      <c r="I10889" t="inlineStr">
        <is>
          <t>17/03/2026</t>
        </is>
      </c>
      <c r="J10889" t="inlineStr">
        <is>
          <t>Mỹ thuật / Nghệ thuật / Thiết kế</t>
        </is>
      </c>
      <c r="K10889" t="inlineStr">
        <is>
          <t>Trên 2 Năm</t>
        </is>
      </c>
      <c r="L10889" s="8">
        <f>HYPERLINK("https://careerviet.vn/vi/tim-viec-lam/nhan-vien-thiet-ke-2d.35C6C5ED.html","Xem chi tiết")</f>
        <v/>
      </c>
    </row>
    <row r="10890">
      <c r="B10890" s="9" t="n">
        <v>10888</v>
      </c>
      <c r="C10890" s="10" t="inlineStr">
        <is>
          <t>Nhân viên Hành chính</t>
        </is>
      </c>
      <c r="D10890" s="10" t="inlineStr">
        <is>
          <t>Công Ty CP XNK Hóa Chất &amp; Thiết Bị Kim Ngưu</t>
        </is>
      </c>
      <c r="E10890" s="10" t="inlineStr">
        <is>
          <t>Lương:8 Tr - 15 Tr VND</t>
        </is>
      </c>
      <c r="F10890" s="10" t="inlineStr">
        <is>
          <t>Hà Nội</t>
        </is>
      </c>
      <c r="G10890" s="10" t="inlineStr">
        <is>
          <t>29-04-2026</t>
        </is>
      </c>
      <c r="H10890" s="10" t="inlineStr">
        <is>
          <t>29/04/2026</t>
        </is>
      </c>
      <c r="I10890" s="10" t="inlineStr">
        <is>
          <t>17/03/2026</t>
        </is>
      </c>
      <c r="J10890" s="10" t="inlineStr">
        <is>
          <t>Hành chính / Thư ký, Nhân sự, Sản xuất / Vận hành sản xuất</t>
        </is>
      </c>
      <c r="K10890" s="10" t="inlineStr">
        <is>
          <t>1 - 3 Năm</t>
        </is>
      </c>
      <c r="L10890" s="11">
        <f>HYPERLINK("https://careerviet.vn/vi/tim-viec-lam/nhan-vien-hanh-chinh.35C6C5DB.html","Xem chi tiết")</f>
        <v/>
      </c>
      <c r="M10890" s="10" t="n"/>
    </row>
    <row r="10891">
      <c r="B10891" s="7" t="n">
        <v>10889</v>
      </c>
      <c r="C10891" t="inlineStr">
        <is>
          <t>Nhân viên Thiết kế</t>
        </is>
      </c>
      <c r="D10891" t="inlineStr">
        <is>
          <t>CÔNG TY CP BIA &amp; NGK HẠ LONG</t>
        </is>
      </c>
      <c r="E10891" t="inlineStr">
        <is>
          <t>Lương:12 Tr - 16 Tr VND</t>
        </is>
      </c>
      <c r="F10891" t="inlineStr">
        <is>
          <t>Hà Nội</t>
        </is>
      </c>
      <c r="G10891" t="inlineStr">
        <is>
          <t>12-04-2026</t>
        </is>
      </c>
      <c r="H10891" t="inlineStr">
        <is>
          <t>12/04/2026</t>
        </is>
      </c>
      <c r="I10891" t="inlineStr">
        <is>
          <t>17/03/2026</t>
        </is>
      </c>
      <c r="J10891" t="inlineStr">
        <is>
          <t>Mỹ thuật / Nghệ thuật / Thiết kế, Thực phẩm &amp; Đồ uống</t>
        </is>
      </c>
      <c r="K10891" t="inlineStr">
        <is>
          <t>1 - 3 Năm</t>
        </is>
      </c>
      <c r="L10891" s="8">
        <f>HYPERLINK("https://careerviet.vn/vi/tim-viec-lam/nhan-vien-thiet-ke.35C6C5DD.html","Xem chi tiết")</f>
        <v/>
      </c>
    </row>
    <row r="10892">
      <c r="B10892" s="9" t="n">
        <v>10890</v>
      </c>
      <c r="C10892" s="10" t="inlineStr">
        <is>
          <t>Giám sát bán hàng kênh GT - Hà Nội</t>
        </is>
      </c>
      <c r="D10892" s="10" t="inlineStr">
        <is>
          <t>CÔNG TY CP BIA &amp; NGK HẠ LONG</t>
        </is>
      </c>
      <c r="E10892" s="10" t="inlineStr">
        <is>
          <t>Lương:20 Tr - 25 Tr VND</t>
        </is>
      </c>
      <c r="F10892" s="10" t="inlineStr">
        <is>
          <t>Hà Nội</t>
        </is>
      </c>
      <c r="G10892" s="10" t="inlineStr">
        <is>
          <t>31-03-2026</t>
        </is>
      </c>
      <c r="H10892" s="10" t="inlineStr">
        <is>
          <t>31/03/2026</t>
        </is>
      </c>
      <c r="I10892" s="10" t="inlineStr">
        <is>
          <t>17/03/2026</t>
        </is>
      </c>
      <c r="J10892" s="10" t="inlineStr">
        <is>
          <t>Tiếp thị / Marketing, Bán lẻ / Bán sỉ, Bán hàng / Kinh doanh</t>
        </is>
      </c>
      <c r="K10892" s="10" t="inlineStr">
        <is>
          <t>2 - 3 Năm</t>
        </is>
      </c>
      <c r="L10892" s="11">
        <f>HYPERLINK("https://careerviet.vn/vi/tim-viec-lam/giam-sat-ban-hang-kenh-gt-ha-noi.35C6B152.html","Xem chi tiết")</f>
        <v/>
      </c>
      <c r="M10892" s="10" t="n"/>
    </row>
    <row r="10893">
      <c r="B10893" s="7" t="n">
        <v>10891</v>
      </c>
      <c r="C10893" t="inlineStr">
        <is>
          <t>Trợ lý giám đốc</t>
        </is>
      </c>
      <c r="D10893" t="inlineStr">
        <is>
          <t>CÔNG TY TNHH TIMING - CHAIN QUỐC TẾ</t>
        </is>
      </c>
      <c r="E10893" t="inlineStr">
        <is>
          <t>Lương:9 Tr - 11 Tr VND</t>
        </is>
      </c>
      <c r="F10893" t="inlineStr">
        <is>
          <t>Hải Phòng</t>
        </is>
      </c>
      <c r="G10893" t="inlineStr">
        <is>
          <t>31-03-2026</t>
        </is>
      </c>
      <c r="H10893" t="inlineStr">
        <is>
          <t>31/03/2026</t>
        </is>
      </c>
      <c r="I10893" t="inlineStr">
        <is>
          <t>17/03/2026</t>
        </is>
      </c>
      <c r="J10893" t="inlineStr">
        <is>
          <t>Hành chính / Thư ký, Nhân sự, Mới tốt nghiệp / Thực tập</t>
        </is>
      </c>
      <c r="K10893" t="inlineStr">
        <is>
          <t>Chưa có kinh nghiệm</t>
        </is>
      </c>
      <c r="L10893" s="8">
        <f>HYPERLINK("https://careerviet.vn/vi/tim-viec-lam/tro-ly-giam-doc.35C6C5CF.html","Xem chi tiết")</f>
        <v/>
      </c>
    </row>
    <row r="10894">
      <c r="B10894" s="9" t="n">
        <v>10892</v>
      </c>
      <c r="C10894" s="10" t="inlineStr">
        <is>
          <t>PCBA Production Supervisor</t>
        </is>
      </c>
      <c r="D10894" s="10" t="inlineStr">
        <is>
          <t>CÔNG TY TNHH DYNAMIC TEST SOLUTIONS VIỆT NAM</t>
        </is>
      </c>
      <c r="E10894" s="10" t="inlineStr">
        <is>
          <t>Lương:28 Tr - 35 Tr VND</t>
        </is>
      </c>
      <c r="F10894" s="10" t="inlineStr">
        <is>
          <t>Hồ Chí Minh</t>
        </is>
      </c>
      <c r="G10894" s="10" t="inlineStr">
        <is>
          <t>30-04-2026</t>
        </is>
      </c>
      <c r="H10894" s="10" t="inlineStr">
        <is>
          <t>30/04/2026</t>
        </is>
      </c>
      <c r="I10894" s="10" t="inlineStr">
        <is>
          <t>17/03/2026</t>
        </is>
      </c>
      <c r="J10894" s="10" t="inlineStr">
        <is>
          <t>Điện / Điện tử / Điện lạnh / Điện công nghiệp, Sản xuất / Vận hành sản xuất</t>
        </is>
      </c>
      <c r="K10894" s="10" t="inlineStr">
        <is>
          <t>Trên 5 Năm</t>
        </is>
      </c>
      <c r="L10894" s="11">
        <f>HYPERLINK("https://careerviet.vn/vi/tim-viec-lam/pcba-production-supervisor.35C6C5D8.html","Xem chi tiết")</f>
        <v/>
      </c>
      <c r="M10894" s="10" t="n"/>
    </row>
    <row r="10895">
      <c r="B10895" s="7" t="n">
        <v>10893</v>
      </c>
      <c r="C10895" t="inlineStr">
        <is>
          <t>TUYỂN DỤNG KẾ TOÁN TRƯỞNG</t>
        </is>
      </c>
      <c r="D10895" t="inlineStr">
        <is>
          <t>CÔNG TY CỔ PHẦN ĐẦU TƯ THƯƠNG MẠI DỊCH VỤ TÂN THÁI THỊNH</t>
        </is>
      </c>
      <c r="E10895" t="inlineStr">
        <is>
          <t>Lương:Cạnh tranh</t>
        </is>
      </c>
      <c r="F10895" t="inlineStr">
        <is>
          <t>Hồ Chí Minh</t>
        </is>
      </c>
      <c r="G10895" t="inlineStr">
        <is>
          <t>30-04-2026</t>
        </is>
      </c>
      <c r="H10895" t="inlineStr">
        <is>
          <t>30/04/2026</t>
        </is>
      </c>
      <c r="I10895" t="inlineStr">
        <is>
          <t>17/03/2026</t>
        </is>
      </c>
      <c r="J10895" t="inlineStr">
        <is>
          <t>Xây dựng, Bất động sản, Kiến trúc</t>
        </is>
      </c>
      <c r="K10895" t="inlineStr">
        <is>
          <t>5 - 10 Năm</t>
        </is>
      </c>
      <c r="L10895" s="8">
        <f>HYPERLINK("https://careerviet.vn/vi/tim-viec-lam/tuyen-dung-ke-toan-truong.35C6C422.html","Xem chi tiết")</f>
        <v/>
      </c>
    </row>
    <row r="10896">
      <c r="B10896" s="9" t="n">
        <v>10894</v>
      </c>
      <c r="C10896" s="10" t="inlineStr">
        <is>
          <t>Kỹ Sư Bán Hàng - iLEAP</t>
        </is>
      </c>
      <c r="D10896" s="10" t="inlineStr">
        <is>
          <t>CÔNG TY CỔ PHẦN PHÁT TRIỂN CÔNG NGHỆ TECHPRO</t>
        </is>
      </c>
      <c r="E10896" s="10" t="inlineStr">
        <is>
          <t>Lương:15 Tr - 30 Tr VND</t>
        </is>
      </c>
      <c r="F10896" s="10" t="inlineStr">
        <is>
          <t>Hồ Chí Minh</t>
        </is>
      </c>
      <c r="G10896" s="10" t="inlineStr">
        <is>
          <t>12-04-2026</t>
        </is>
      </c>
      <c r="H10896" s="10" t="inlineStr">
        <is>
          <t>12/04/2026</t>
        </is>
      </c>
      <c r="I10896" s="10" t="inlineStr">
        <is>
          <t>17/03/2026</t>
        </is>
      </c>
      <c r="J10896" s="10" t="inlineStr">
        <is>
          <t>Bán hàng / Kinh doanh, CNTT - Phần mềm, Cơ khí / Ô tô / Tự động hóa</t>
        </is>
      </c>
      <c r="K10896" s="10" t="inlineStr">
        <is>
          <t>1 - 2 Năm</t>
        </is>
      </c>
      <c r="L10896" s="11">
        <f>HYPERLINK("https://careerviet.vn/vi/tim-viec-lam/ky-su-ban-hang-ileap.35C6C5D3.html","Xem chi tiết")</f>
        <v/>
      </c>
      <c r="M10896" s="10" t="n"/>
    </row>
    <row r="10897">
      <c r="B10897" s="7" t="n">
        <v>10895</v>
      </c>
      <c r="C10897" t="inlineStr">
        <is>
          <t>Nhân viên giám sát camera</t>
        </is>
      </c>
      <c r="D10897" t="inlineStr">
        <is>
          <t>Công ty TNHH PHD</t>
        </is>
      </c>
      <c r="E10897" t="inlineStr">
        <is>
          <t>Lương:7 Tr - 10 Tr VND</t>
        </is>
      </c>
      <c r="F10897" t="inlineStr">
        <is>
          <t>Hà Nội</t>
        </is>
      </c>
      <c r="G10897" t="inlineStr">
        <is>
          <t>10-04-2026</t>
        </is>
      </c>
      <c r="H10897" t="inlineStr">
        <is>
          <t>10/04/2026</t>
        </is>
      </c>
      <c r="I10897" t="inlineStr">
        <is>
          <t>17/03/2026</t>
        </is>
      </c>
      <c r="J10897" t="inlineStr">
        <is>
          <t>Bán lẻ / Bán sỉ, Hành chính / Thư ký, Thực phẩm &amp; Đồ uống</t>
        </is>
      </c>
      <c r="K10897" t="inlineStr">
        <is>
          <t>N/A</t>
        </is>
      </c>
      <c r="L10897" s="8">
        <f>HYPERLINK("https://careerviet.vn/vi/tim-viec-lam/nhan-vien-giam-sat-camera.35C6C5D6.html","Xem chi tiết")</f>
        <v/>
      </c>
    </row>
    <row r="10898">
      <c r="B10898" s="9" t="n">
        <v>10896</v>
      </c>
      <c r="C10898" s="10" t="inlineStr">
        <is>
          <t>Product Manager (Medical Devices/ Laboratory)</t>
        </is>
      </c>
      <c r="D10898" s="10" t="inlineStr">
        <is>
          <t>Bảo mật</t>
        </is>
      </c>
      <c r="E10898" s="10" t="inlineStr">
        <is>
          <t>Lương:Cạnh tranh</t>
        </is>
      </c>
      <c r="F10898" s="10" t="inlineStr">
        <is>
          <t>Hồ Chí Minh</t>
        </is>
      </c>
      <c r="G10898" s="10" t="inlineStr">
        <is>
          <t>31-03-2026</t>
        </is>
      </c>
      <c r="H10898" s="10" t="inlineStr">
        <is>
          <t>31/03/2026</t>
        </is>
      </c>
      <c r="I10898" s="10" t="inlineStr">
        <is>
          <t>17/03/2026</t>
        </is>
      </c>
      <c r="J10898" s="10" t="inlineStr">
        <is>
          <t>Dược phẩm/ Hóa Mỹ Phẩm, Y tế / Chăm sóc sức khỏe / Thẩm mỹ / Làm đẹp, Công nghệ sinh học</t>
        </is>
      </c>
      <c r="K10898" s="10" t="inlineStr">
        <is>
          <t>Trên 3 Năm</t>
        </is>
      </c>
      <c r="L10898" s="11">
        <f>HYPERLINK("https://careerviet.vn/vi/tim-viec-lam/product-manager-medical-devices-laboratory.35C6C5D5.html","Xem chi tiết")</f>
        <v/>
      </c>
      <c r="M10898" s="10" t="n"/>
    </row>
    <row r="10899">
      <c r="B10899" s="7" t="n">
        <v>10897</v>
      </c>
      <c r="C10899" t="inlineStr">
        <is>
          <t>Material Engineer</t>
        </is>
      </c>
      <c r="D10899" t="inlineStr">
        <is>
          <t>Wanek Furniture</t>
        </is>
      </c>
      <c r="E10899" t="inlineStr">
        <is>
          <t>Lương:Cạnh tranh</t>
        </is>
      </c>
      <c r="F10899" t="inlineStr">
        <is>
          <t>Bình Dương</t>
        </is>
      </c>
      <c r="G10899" t="inlineStr">
        <is>
          <t>11-04-2026</t>
        </is>
      </c>
      <c r="H10899" t="inlineStr">
        <is>
          <t>11/04/2026</t>
        </is>
      </c>
      <c r="I10899" t="inlineStr">
        <is>
          <t>17/03/2026</t>
        </is>
      </c>
      <c r="J10899" t="inlineStr">
        <is>
          <t>Thu mua / Vật tư, Sản xuất / Vận hành sản xuất, Nội ngoại thất</t>
        </is>
      </c>
      <c r="K10899" t="inlineStr">
        <is>
          <t>2 - 3 Năm</t>
        </is>
      </c>
      <c r="L10899" s="8">
        <f>HYPERLINK("https://careerviet.vn/vi/tim-viec-lam/material-engineer.35C6C33C.html","Xem chi tiết")</f>
        <v/>
      </c>
    </row>
    <row r="10900">
      <c r="B10900" s="9" t="n">
        <v>10898</v>
      </c>
      <c r="C10900" s="10" t="inlineStr">
        <is>
          <t>Senior System Engineer</t>
        </is>
      </c>
      <c r="D10900" s="10" t="inlineStr">
        <is>
          <t>Công ty TNHH Viettel - CHT</t>
        </is>
      </c>
      <c r="E10900" s="10" t="inlineStr">
        <is>
          <t>Lương:Cạnh tranh</t>
        </is>
      </c>
      <c r="F10900" s="10" t="inlineStr">
        <is>
          <t>Hà Nội</t>
        </is>
      </c>
      <c r="G10900" s="10" t="inlineStr">
        <is>
          <t>11-04-2026</t>
        </is>
      </c>
      <c r="H10900" s="10" t="inlineStr">
        <is>
          <t>11/04/2026</t>
        </is>
      </c>
      <c r="I10900" s="10" t="inlineStr">
        <is>
          <t>17/03/2026</t>
        </is>
      </c>
      <c r="J10900" s="10" t="inlineStr">
        <is>
          <t>CNTT - Phần mềm, CNTT - Phần cứng / Mạng</t>
        </is>
      </c>
      <c r="K10900" s="10" t="inlineStr">
        <is>
          <t>Trên 3 Năm</t>
        </is>
      </c>
      <c r="L10900" s="11">
        <f>HYPERLINK("https://careerviet.vn/vi/tim-viec-lam/senior-system-engineer.35C652F3.html","Xem chi tiết")</f>
        <v/>
      </c>
      <c r="M10900" s="10" t="n"/>
    </row>
    <row r="10901">
      <c r="B10901" s="7" t="n">
        <v>10899</v>
      </c>
      <c r="C10901" t="inlineStr">
        <is>
          <t>Accounting Staff</t>
        </is>
      </c>
      <c r="D10901" t="inlineStr">
        <is>
          <t>HR Vietnam’s ESS Client</t>
        </is>
      </c>
      <c r="E10901" t="inlineStr">
        <is>
          <t>Lương:Cạnh tranh</t>
        </is>
      </c>
      <c r="F10901" t="inlineStr">
        <is>
          <t>Hồ Chí Minh</t>
        </is>
      </c>
      <c r="G10901" t="inlineStr">
        <is>
          <t>11-04-2026</t>
        </is>
      </c>
      <c r="H10901" t="inlineStr">
        <is>
          <t>11/04/2026</t>
        </is>
      </c>
      <c r="I10901" t="inlineStr">
        <is>
          <t>17/03/2026</t>
        </is>
      </c>
      <c r="J10901" t="inlineStr">
        <is>
          <t>Kế toán / Kiểm toán</t>
        </is>
      </c>
      <c r="K10901" t="inlineStr">
        <is>
          <t>2 - 4 Năm</t>
        </is>
      </c>
      <c r="L10901" s="8">
        <f>HYPERLINK("https://careerviet.vn/vi/tim-viec-lam/accounting-staff.35C684A3.html","Xem chi tiết")</f>
        <v/>
      </c>
    </row>
    <row r="10902">
      <c r="B10902" s="9" t="n">
        <v>10900</v>
      </c>
      <c r="C10902" s="10" t="inlineStr">
        <is>
          <t>Tuyển dụng Kỹ sư ứng dụng Application</t>
        </is>
      </c>
      <c r="D10902" s="10" t="inlineStr">
        <is>
          <t>Công Ty TNHH Vật Tư Và Trang Thiết Bị Y Tế Hat -Med Việt Nam</t>
        </is>
      </c>
      <c r="E10902" s="10" t="inlineStr">
        <is>
          <t>Lương:12 Tr - 15 Tr VND</t>
        </is>
      </c>
      <c r="F10902" s="10" t="inlineStr">
        <is>
          <t>Hà Nội</t>
        </is>
      </c>
      <c r="G10902" s="10" t="inlineStr">
        <is>
          <t>11-04-2026</t>
        </is>
      </c>
      <c r="H10902" s="10" t="inlineStr">
        <is>
          <t>11/04/2026</t>
        </is>
      </c>
      <c r="I10902" s="10" t="inlineStr">
        <is>
          <t>17/03/2026</t>
        </is>
      </c>
      <c r="J10902" s="10" t="inlineStr">
        <is>
          <t>Y tế / Chăm sóc sức khỏe / Thẩm mỹ / Làm đẹp, Bảo trì / Sửa chữa, Điện / Điện tử / Điện lạnh / Điện công nghiệp</t>
        </is>
      </c>
      <c r="K10902" s="10" t="inlineStr">
        <is>
          <t>Trên 2 Năm</t>
        </is>
      </c>
      <c r="L10902" s="11">
        <f>HYPERLINK("https://careerviet.vn/vi/tim-viec-lam/tuyen-dung-ky-su-ung-dung-application.35C6C5D2.html","Xem chi tiết")</f>
        <v/>
      </c>
      <c r="M10902" s="10" t="n"/>
    </row>
    <row r="10903">
      <c r="B10903" s="7" t="n">
        <v>10901</v>
      </c>
      <c r="C10903" t="inlineStr">
        <is>
          <t>chuyên viên tài chính</t>
        </is>
      </c>
      <c r="D10903" t="inlineStr">
        <is>
          <t>CÔNG TY CỔ PHẦN TẬP ĐOÀN CƠ KHÍ CÔNG NGHỆ CAO SIBA</t>
        </is>
      </c>
      <c r="E10903" t="inlineStr">
        <is>
          <t>Lương:Cạnh tranh</t>
        </is>
      </c>
      <c r="F10903" t="inlineStr">
        <is>
          <t>Hồ Chí Minh</t>
        </is>
      </c>
      <c r="G10903" t="inlineStr">
        <is>
          <t>11-04-2026</t>
        </is>
      </c>
      <c r="H10903" t="inlineStr">
        <is>
          <t>11/04/2026</t>
        </is>
      </c>
      <c r="I10903" t="inlineStr">
        <is>
          <t>17/03/2026</t>
        </is>
      </c>
      <c r="J10903" t="inlineStr">
        <is>
          <t>Kế toán / Kiểm toán, Tài chính / Đầu tư</t>
        </is>
      </c>
      <c r="K10903" t="inlineStr">
        <is>
          <t>3 - 5 Năm</t>
        </is>
      </c>
      <c r="L10903" s="8">
        <f>HYPERLINK("https://careerviet.vn/vi/tim-viec-lam/chuyen-vien-tai-chinh.35C6855C.html","Xem chi tiết")</f>
        <v/>
      </c>
    </row>
    <row r="10904">
      <c r="B10904" s="9" t="n">
        <v>10902</v>
      </c>
      <c r="C10904" s="10" t="inlineStr">
        <is>
          <t>Electrical Quality Engineer</t>
        </is>
      </c>
      <c r="D10904" s="10" t="inlineStr">
        <is>
          <t>Wanek Furniture</t>
        </is>
      </c>
      <c r="E10904" s="10" t="inlineStr">
        <is>
          <t>Lương:Cạnh tranh</t>
        </is>
      </c>
      <c r="F10904" s="10" t="inlineStr">
        <is>
          <t>Bình Dương</t>
        </is>
      </c>
      <c r="G10904" s="10" t="inlineStr">
        <is>
          <t>11-04-2026</t>
        </is>
      </c>
      <c r="H10904" s="10" t="inlineStr">
        <is>
          <t>11/04/2026</t>
        </is>
      </c>
      <c r="I10904" s="10" t="inlineStr">
        <is>
          <t>17/03/2026</t>
        </is>
      </c>
      <c r="J10904" s="10" t="inlineStr">
        <is>
          <t>Quản lý chất lượng (QA/QC), Sản xuất / Vận hành sản xuất, Điện / Điện tử / Điện lạnh / Điện công nghiệp</t>
        </is>
      </c>
      <c r="K10904" s="10" t="inlineStr">
        <is>
          <t>3 - 4 Năm</t>
        </is>
      </c>
      <c r="L10904" s="11">
        <f>HYPERLINK("https://careerviet.vn/vi/tim-viec-lam/electrical-quality-engineer.35C6C2D5.html","Xem chi tiết")</f>
        <v/>
      </c>
      <c r="M10904" s="10" t="n"/>
    </row>
    <row r="10905">
      <c r="B10905" s="7" t="n">
        <v>10903</v>
      </c>
      <c r="C10905" t="inlineStr">
        <is>
          <t>Account Manager</t>
        </is>
      </c>
      <c r="D10905" t="inlineStr">
        <is>
          <t>Công Ty Cổ phần Tập Đoàn KIDO</t>
        </is>
      </c>
      <c r="E10905" t="inlineStr">
        <is>
          <t>Lương:Cạnh tranh</t>
        </is>
      </c>
      <c r="F10905" t="inlineStr">
        <is>
          <t>Hồ Chí Minh</t>
        </is>
      </c>
      <c r="G10905" t="inlineStr">
        <is>
          <t>11-04-2026</t>
        </is>
      </c>
      <c r="H10905" t="inlineStr">
        <is>
          <t>11/04/2026</t>
        </is>
      </c>
      <c r="I10905" t="inlineStr">
        <is>
          <t>17/03/2026</t>
        </is>
      </c>
      <c r="J10905" t="inlineStr">
        <is>
          <t>Giải trí, Quảng cáo / Đối ngoại / Truyền Thông, Tiếp thị trực tuyến</t>
        </is>
      </c>
      <c r="K10905" t="inlineStr">
        <is>
          <t>5 - 8 Năm</t>
        </is>
      </c>
      <c r="L10905" s="8">
        <f>HYPERLINK("https://careerviet.vn/vi/tim-viec-lam/account-manager.35C652F7.html","Xem chi tiết")</f>
        <v/>
      </c>
    </row>
    <row r="10906">
      <c r="B10906" s="9" t="n">
        <v>10904</v>
      </c>
      <c r="C10906" s="10" t="inlineStr">
        <is>
          <t>Chuyên Viên Nhân Sự Tổng Hợp - Thu Nhập Hấp Dẫn</t>
        </is>
      </c>
      <c r="D10906" s="10" t="inlineStr">
        <is>
          <t>Công Ty Cổ Phần Eurowindow</t>
        </is>
      </c>
      <c r="E10906" s="10" t="inlineStr">
        <is>
          <t>Lương:Cạnh tranh</t>
        </is>
      </c>
      <c r="F10906" s="10" t="inlineStr">
        <is>
          <t>Hà Nội</t>
        </is>
      </c>
      <c r="G10906" s="10" t="inlineStr">
        <is>
          <t>11-04-2026</t>
        </is>
      </c>
      <c r="H10906" s="10" t="inlineStr">
        <is>
          <t>11/04/2026</t>
        </is>
      </c>
      <c r="I10906" s="10" t="inlineStr">
        <is>
          <t>17/03/2026</t>
        </is>
      </c>
      <c r="J10906" s="10" t="inlineStr">
        <is>
          <t>Hành chính / Thư ký, Luật / Pháp lý, Nhân sự</t>
        </is>
      </c>
      <c r="K10906" s="10" t="inlineStr">
        <is>
          <t>3 - 5 Năm</t>
        </is>
      </c>
      <c r="L10906" s="11">
        <f>HYPERLINK("https://careerviet.vn/vi/tim-viec-lam/chuyen-vien-nhan-su-tong-hop-thu-nhap-hap-dan.35C68570.html","Xem chi tiết")</f>
        <v/>
      </c>
      <c r="M10906" s="10" t="n"/>
    </row>
    <row r="10907">
      <c r="B10907" s="7" t="n">
        <v>10905</v>
      </c>
      <c r="C10907" t="inlineStr">
        <is>
          <t>[GLOBAL X] Trưởng phòng C&amp;B (C&amp;B Manager)</t>
        </is>
      </c>
      <c r="D10907" t="inlineStr">
        <is>
          <t>Nova Service Group - Công ty Cổ phần Tập đoàn Nova Services</t>
        </is>
      </c>
      <c r="E10907" t="inlineStr">
        <is>
          <t>Lương:Cạnh tranh</t>
        </is>
      </c>
      <c r="F10907" t="inlineStr">
        <is>
          <t>Hồ Chí Minh</t>
        </is>
      </c>
      <c r="G10907" t="inlineStr">
        <is>
          <t>13-04-2026</t>
        </is>
      </c>
      <c r="H10907" t="inlineStr">
        <is>
          <t>13/04/2026</t>
        </is>
      </c>
      <c r="I10907" t="inlineStr">
        <is>
          <t>17/03/2026</t>
        </is>
      </c>
      <c r="J10907" t="inlineStr">
        <is>
          <t>Nhân sự</t>
        </is>
      </c>
      <c r="K10907" t="inlineStr">
        <is>
          <t>3 - 5 Năm</t>
        </is>
      </c>
      <c r="L10907" s="8">
        <f>HYPERLINK("https://careerviet.vn/vi/tim-viec-lam/global-x-truong-phong-c-b-c-b-manager.35C6C5D7.html","Xem chi tiết")</f>
        <v/>
      </c>
    </row>
    <row r="10908">
      <c r="B10908" s="9" t="n">
        <v>10906</v>
      </c>
      <c r="C10908" s="10" t="inlineStr">
        <is>
          <t>KỸ THUẬT VIÊN VẬN HÀNH MÁY - BÌNH DƯƠNG</t>
        </is>
      </c>
      <c r="D10908" s="10" t="inlineStr">
        <is>
          <t>Marico South East Asia Corporation</t>
        </is>
      </c>
      <c r="E10908" s="10" t="inlineStr">
        <is>
          <t>Lương:10 Tr - 12 Tr VND</t>
        </is>
      </c>
      <c r="F10908" s="10" t="inlineStr">
        <is>
          <t>Bình Dương</t>
        </is>
      </c>
      <c r="G10908" s="10" t="inlineStr">
        <is>
          <t>11-04-2026</t>
        </is>
      </c>
      <c r="H10908" s="10" t="inlineStr">
        <is>
          <t>11/04/2026</t>
        </is>
      </c>
      <c r="I10908" s="10" t="inlineStr">
        <is>
          <t>17/03/2026</t>
        </is>
      </c>
      <c r="J10908" s="10" t="inlineStr">
        <is>
          <t>Cơ khí / Ô tô / Tự động hóa, Sản xuất / Vận hành sản xuất, Điện / Điện tử / Điện lạnh / Điện công nghiệp</t>
        </is>
      </c>
      <c r="K10908" s="10" t="inlineStr">
        <is>
          <t>N/A</t>
        </is>
      </c>
      <c r="L10908" s="11">
        <f>HYPERLINK("https://careerviet.vn/vi/tim-viec-lam/ky-thuat-vien-van-hanh-may-binh-duong.35C6858D.html","Xem chi tiết")</f>
        <v/>
      </c>
      <c r="M10908" s="10" t="n"/>
    </row>
    <row r="10909">
      <c r="B10909" s="7" t="n">
        <v>10907</v>
      </c>
      <c r="C10909" t="inlineStr">
        <is>
          <t>Kỹ sư hệ thống (VHHT)</t>
        </is>
      </c>
      <c r="D10909" t="inlineStr">
        <is>
          <t>GTEL ICT</t>
        </is>
      </c>
      <c r="E10909" t="inlineStr">
        <is>
          <t>Lương:17 Tr - 37 Tr VND</t>
        </is>
      </c>
      <c r="F10909" t="inlineStr">
        <is>
          <t>Hà Nội</t>
        </is>
      </c>
      <c r="G10909" t="inlineStr">
        <is>
          <t>11-04-2026</t>
        </is>
      </c>
      <c r="H10909" t="inlineStr">
        <is>
          <t>11/04/2026</t>
        </is>
      </c>
      <c r="I10909" t="inlineStr">
        <is>
          <t>17/03/2026</t>
        </is>
      </c>
      <c r="J10909" t="inlineStr">
        <is>
          <t>CNTT - Phần mềm, CNTT - Phần cứng / Mạng</t>
        </is>
      </c>
      <c r="K10909" t="inlineStr">
        <is>
          <t>3 - 5 Năm</t>
        </is>
      </c>
      <c r="L10909" s="8">
        <f>HYPERLINK("https://careerviet.vn/vi/tim-viec-lam/ky-su-he-thong-vhht.35C684E7.html","Xem chi tiết")</f>
        <v/>
      </c>
    </row>
    <row r="10910">
      <c r="B10910" s="9" t="n">
        <v>10908</v>
      </c>
      <c r="C10910" s="10" t="inlineStr">
        <is>
          <t>Nhân Viên Vận Hành Máy</t>
        </is>
      </c>
      <c r="D10910" s="10" t="inlineStr">
        <is>
          <t>CÔNG TY TNHH KỸ THUẬT ASG VIỆT NAM</t>
        </is>
      </c>
      <c r="E10910" s="10" t="inlineStr">
        <is>
          <t>Lương:10 Tr - 13 Tr VND</t>
        </is>
      </c>
      <c r="F10910" s="10" t="inlineStr">
        <is>
          <t>Hà Nội</t>
        </is>
      </c>
      <c r="G10910" s="10" t="inlineStr">
        <is>
          <t>11-04-2026</t>
        </is>
      </c>
      <c r="H10910" s="10" t="inlineStr">
        <is>
          <t>11/04/2026</t>
        </is>
      </c>
      <c r="I10910" s="10" t="inlineStr">
        <is>
          <t>17/03/2026</t>
        </is>
      </c>
      <c r="J10910" s="10" t="inlineStr">
        <is>
          <t>Cơ khí / Ô tô / Tự động hóa</t>
        </is>
      </c>
      <c r="K10910" s="10" t="inlineStr">
        <is>
          <t>Chưa có kinh nghiệm</t>
        </is>
      </c>
      <c r="L10910" s="11">
        <f>HYPERLINK("https://careerviet.vn/vi/tim-viec-lam/nhan-vien-van-hanh-may.35C68562.html","Xem chi tiết")</f>
        <v/>
      </c>
      <c r="M10910" s="10" t="n"/>
    </row>
    <row r="10911">
      <c r="B10911" s="7" t="n">
        <v>10909</v>
      </c>
      <c r="C10911" t="inlineStr">
        <is>
          <t>Phó phòng kế toán/Kế toán trưởng</t>
        </is>
      </c>
      <c r="D10911" t="inlineStr">
        <is>
          <t>Công ty cổ phần Nafoods Bình Thuận</t>
        </is>
      </c>
      <c r="E10911" t="inlineStr">
        <is>
          <t>Lương:13 Tr - 24 Tr VND</t>
        </is>
      </c>
      <c r="F10911" t="inlineStr">
        <is>
          <t>Bình Thuận</t>
        </is>
      </c>
      <c r="G10911" t="inlineStr">
        <is>
          <t>11-04-2026</t>
        </is>
      </c>
      <c r="H10911" t="inlineStr">
        <is>
          <t>11/04/2026</t>
        </is>
      </c>
      <c r="I10911" t="inlineStr">
        <is>
          <t>17/03/2026</t>
        </is>
      </c>
      <c r="J10911" t="inlineStr">
        <is>
          <t>Kế toán / Kiểm toán</t>
        </is>
      </c>
      <c r="K10911" t="inlineStr">
        <is>
          <t>7 - 10 Năm</t>
        </is>
      </c>
      <c r="L10911" s="8">
        <f>HYPERLINK("https://careerviet.vn/vi/tim-viec-lam/pho-phong-ke-toan-ke-toan-truong.35C685F8.html","Xem chi tiết")</f>
        <v/>
      </c>
    </row>
    <row r="10912">
      <c r="B10912" s="9" t="n">
        <v>10910</v>
      </c>
      <c r="C10912" s="10" t="inlineStr">
        <is>
          <t>IPPTech - Partnership Development Manager for Humanoid Robot</t>
        </is>
      </c>
      <c r="D10912" s="10" t="inlineStr">
        <is>
          <t>Công Ty Cổ Phần Thời Trang &amp; Mỹ Phẩm Duy Anh (DAFC)</t>
        </is>
      </c>
      <c r="E10912" s="10" t="inlineStr">
        <is>
          <t>Lương:Cạnh tranh</t>
        </is>
      </c>
      <c r="F10912" s="10" t="inlineStr">
        <is>
          <t>Hồ Chí Minh</t>
        </is>
      </c>
      <c r="G10912" s="10" t="inlineStr">
        <is>
          <t>11-04-2026</t>
        </is>
      </c>
      <c r="H10912" s="10" t="inlineStr">
        <is>
          <t>11/04/2026</t>
        </is>
      </c>
      <c r="I10912" s="10" t="inlineStr">
        <is>
          <t>17/03/2026</t>
        </is>
      </c>
      <c r="J10912" s="10" t="inlineStr">
        <is>
          <t>Bán hàng / Kinh doanh, Giáo dục / Đào tạo, Cơ khí / Ô tô / Tự động hóa</t>
        </is>
      </c>
      <c r="K10912" s="10" t="inlineStr">
        <is>
          <t>5 Năm</t>
        </is>
      </c>
      <c r="L10912" s="11">
        <f>HYPERLINK("https://careerviet.vn/vi/tim-viec-lam/ipptech-partnership-development-manager-for-humanoid-robot.35C6846B.html","Xem chi tiết")</f>
        <v/>
      </c>
      <c r="M10912" s="10" t="n"/>
    </row>
    <row r="10913">
      <c r="B10913" s="7" t="n">
        <v>10911</v>
      </c>
      <c r="C10913" t="inlineStr">
        <is>
          <t>Trưởng nhóm tuyển dụng - Thu nhập upto 28M/tháng</t>
        </is>
      </c>
      <c r="D10913" t="inlineStr">
        <is>
          <t>Công ty Cổ phần thực phẩm và đồ uống Barett</t>
        </is>
      </c>
      <c r="E10913" t="inlineStr">
        <is>
          <t>Lương:25 Tr - 28 Tr VND</t>
        </is>
      </c>
      <c r="F10913" t="inlineStr">
        <is>
          <t>Hà Nội</t>
        </is>
      </c>
      <c r="G10913" t="inlineStr">
        <is>
          <t>11-04-2026</t>
        </is>
      </c>
      <c r="H10913" t="inlineStr">
        <is>
          <t>11/04/2026</t>
        </is>
      </c>
      <c r="I10913" t="inlineStr">
        <is>
          <t>17/03/2026</t>
        </is>
      </c>
      <c r="J10913" t="inlineStr">
        <is>
          <t>Thực phẩm &amp; Đồ uống, Nhân sự, Sản xuất / Vận hành sản xuất</t>
        </is>
      </c>
      <c r="K10913" t="inlineStr">
        <is>
          <t>3 - 5 Năm</t>
        </is>
      </c>
      <c r="L10913" s="8">
        <f>HYPERLINK("https://careerviet.vn/vi/tim-viec-lam/truong-nhom-tuyen-dung-thu-nhap-upto-28m-thang.35C68552.html","Xem chi tiết")</f>
        <v/>
      </c>
    </row>
    <row r="10914">
      <c r="B10914" s="9" t="n">
        <v>10912</v>
      </c>
      <c r="C10914" s="10" t="inlineStr">
        <is>
          <t>Nhân viên kế toán</t>
        </is>
      </c>
      <c r="D10914" s="10" t="inlineStr">
        <is>
          <t>CÔNG TY CỔ PHẦN ĐẦU TƯ VÀ PHÁT TRIỂN LẠC HỒNG</t>
        </is>
      </c>
      <c r="E10914" s="10" t="inlineStr">
        <is>
          <t>Lương:13 Tr - 15 Tr VND</t>
        </is>
      </c>
      <c r="F10914" s="10" t="inlineStr">
        <is>
          <t>Hà Nội</t>
        </is>
      </c>
      <c r="G10914" s="10" t="inlineStr">
        <is>
          <t>11-04-2026</t>
        </is>
      </c>
      <c r="H10914" s="10" t="inlineStr">
        <is>
          <t>11/04/2026</t>
        </is>
      </c>
      <c r="I10914" s="10" t="inlineStr">
        <is>
          <t>17/03/2026</t>
        </is>
      </c>
      <c r="J10914" s="10" t="inlineStr">
        <is>
          <t>Kế toán / Kiểm toán</t>
        </is>
      </c>
      <c r="K10914" s="10" t="inlineStr">
        <is>
          <t>2 - 5 Năm</t>
        </is>
      </c>
      <c r="L10914" s="11">
        <f>HYPERLINK("https://careerviet.vn/vi/tim-viec-lam/nhan-vien-ke-toan.35C683EB.html","Xem chi tiết")</f>
        <v/>
      </c>
      <c r="M10914" s="10" t="n"/>
    </row>
    <row r="10915">
      <c r="B10915" s="7" t="n">
        <v>10913</v>
      </c>
      <c r="C10915" t="inlineStr">
        <is>
          <t>Giáo Viên IELTS Dạy Tại Trường THPT</t>
        </is>
      </c>
      <c r="D10915" t="inlineStr">
        <is>
          <t>Công ty cổ phần SIMPACE Việt Nam</t>
        </is>
      </c>
      <c r="E10915" t="inlineStr">
        <is>
          <t>Lương:15 Tr - 25 Tr VND</t>
        </is>
      </c>
      <c r="F10915" t="inlineStr">
        <is>
          <t>Hà Nội</t>
        </is>
      </c>
      <c r="G10915" t="inlineStr">
        <is>
          <t>11-04-2026</t>
        </is>
      </c>
      <c r="H10915" t="inlineStr">
        <is>
          <t>11/04/2026</t>
        </is>
      </c>
      <c r="I10915" t="inlineStr">
        <is>
          <t>17/03/2026</t>
        </is>
      </c>
      <c r="J10915" t="inlineStr">
        <is>
          <t>Giáo dục / Đào tạo</t>
        </is>
      </c>
      <c r="K10915" t="inlineStr">
        <is>
          <t>2 - 5 Năm</t>
        </is>
      </c>
      <c r="L10915" s="8">
        <f>HYPERLINK("https://careerviet.vn/vi/tim-viec-lam/giao-vien-ielts-day-tai-truong-thpt.35C68566.html","Xem chi tiết")</f>
        <v/>
      </c>
    </row>
    <row r="10916">
      <c r="B10916" s="9" t="n">
        <v>10914</v>
      </c>
      <c r="C10916" s="10" t="inlineStr">
        <is>
          <t>Production Planning Engineer</t>
        </is>
      </c>
      <c r="D10916" s="10" t="inlineStr">
        <is>
          <t>Thermtrol Co., Ltd.</t>
        </is>
      </c>
      <c r="E10916" s="10" t="inlineStr">
        <is>
          <t>Lương:Cạnh tranh</t>
        </is>
      </c>
      <c r="F10916" s="10" t="inlineStr">
        <is>
          <t>Bình Dương</t>
        </is>
      </c>
      <c r="G10916" s="10" t="inlineStr">
        <is>
          <t>11-04-2026</t>
        </is>
      </c>
      <c r="H10916" s="10" t="inlineStr">
        <is>
          <t>11/04/2026</t>
        </is>
      </c>
      <c r="I10916" s="10" t="inlineStr">
        <is>
          <t>17/03/2026</t>
        </is>
      </c>
      <c r="J10916" s="10" t="inlineStr">
        <is>
          <t>Cơ khí / Ô tô / Tự động hóa, Sản xuất / Vận hành sản xuất, Điện / Điện tử / Điện lạnh / Điện công nghiệp</t>
        </is>
      </c>
      <c r="K10916" s="10" t="inlineStr">
        <is>
          <t>Lên đến 5 Năm</t>
        </is>
      </c>
      <c r="L10916" s="11">
        <f>HYPERLINK("https://careerviet.vn/vi/tim-viec-lam/production-planning-engineer.35C68574.html","Xem chi tiết")</f>
        <v/>
      </c>
      <c r="M10916" s="10" t="n"/>
    </row>
    <row r="10917">
      <c r="B10917" s="7" t="n">
        <v>10915</v>
      </c>
      <c r="C10917" t="inlineStr">
        <is>
          <t>Giáo viên mầm non (Bình Thạnh)</t>
        </is>
      </c>
      <c r="D10917" t="inlineStr">
        <is>
          <t>TRƯỜNG QUỐC TẾ BLUE RIDGE / BLUE RIDGE INTERNATIONAL SCHOOL (BRIS)</t>
        </is>
      </c>
      <c r="E10917" t="inlineStr">
        <is>
          <t>Lương:7 Tr - 9 Tr VND</t>
        </is>
      </c>
      <c r="F10917" t="inlineStr">
        <is>
          <t>Hồ Chí Minh</t>
        </is>
      </c>
      <c r="G10917" t="inlineStr">
        <is>
          <t>11-04-2026</t>
        </is>
      </c>
      <c r="H10917" t="inlineStr">
        <is>
          <t>11/04/2026</t>
        </is>
      </c>
      <c r="I10917" t="inlineStr">
        <is>
          <t>17/03/2026</t>
        </is>
      </c>
      <c r="J10917" t="inlineStr">
        <is>
          <t>Giáo dục / Đào tạo</t>
        </is>
      </c>
      <c r="K10917" t="inlineStr">
        <is>
          <t>N/A</t>
        </is>
      </c>
      <c r="L10917" s="8">
        <f>HYPERLINK("https://careerviet.vn/vi/tim-viec-lam/giao-vien-mam-non-binh-thanh.35C68481.html","Xem chi tiết")</f>
        <v/>
      </c>
    </row>
    <row r="10918">
      <c r="B10918" s="9" t="n">
        <v>10916</v>
      </c>
      <c r="C10918" s="10" t="inlineStr">
        <is>
          <t>BrSE (Hà Nội/Nhật Bản)</t>
        </is>
      </c>
      <c r="D10918" s="10" t="inlineStr">
        <is>
          <t>Công ty cổ phần GMO-Z.com RUNSYSTEM</t>
        </is>
      </c>
      <c r="E10918" s="10" t="inlineStr">
        <is>
          <t>Lương:Cạnh tranh</t>
        </is>
      </c>
      <c r="F10918" s="10" t="inlineStr">
        <is>
          <t>Hà NộiTokyo</t>
        </is>
      </c>
      <c r="G10918" s="10" t="inlineStr">
        <is>
          <t>11-04-2026</t>
        </is>
      </c>
      <c r="H10918" s="10" t="inlineStr">
        <is>
          <t>11/04/2026</t>
        </is>
      </c>
      <c r="I10918" s="10" t="inlineStr">
        <is>
          <t>17/03/2026</t>
        </is>
      </c>
      <c r="J10918" s="10" t="inlineStr">
        <is>
          <t>CNTT - Phần mềm</t>
        </is>
      </c>
      <c r="K10918" s="10" t="inlineStr">
        <is>
          <t>2 - 3 Năm</t>
        </is>
      </c>
      <c r="L10918" s="11">
        <f>HYPERLINK("https://careerviet.vn/vi/tim-viec-lam/brse-ha-noi-nhat-ban.35C68522.html","Xem chi tiết")</f>
        <v/>
      </c>
      <c r="M10918" s="10" t="n"/>
    </row>
    <row r="10919">
      <c r="B10919" s="7" t="n">
        <v>10917</v>
      </c>
      <c r="C10919" t="inlineStr">
        <is>
          <t>Project Administration Coordinator Officer (VLSC)</t>
        </is>
      </c>
      <c r="D10919" t="inlineStr">
        <is>
          <t>VLSC</t>
        </is>
      </c>
      <c r="E10919" t="inlineStr">
        <is>
          <t>Lương:Cạnh tranh</t>
        </is>
      </c>
      <c r="F10919" t="inlineStr">
        <is>
          <t>Hồ Chí Minh</t>
        </is>
      </c>
      <c r="G10919" t="inlineStr">
        <is>
          <t>11-04-2026</t>
        </is>
      </c>
      <c r="H10919" t="inlineStr">
        <is>
          <t>11/04/2026</t>
        </is>
      </c>
      <c r="I10919" t="inlineStr">
        <is>
          <t>17/03/2026</t>
        </is>
      </c>
      <c r="J10919" t="inlineStr">
        <is>
          <t>Vận chuyển / Giao nhận / Kho vận</t>
        </is>
      </c>
      <c r="K10919" t="inlineStr">
        <is>
          <t>1 - 3 Năm</t>
        </is>
      </c>
      <c r="L10919" s="8">
        <f>HYPERLINK("https://careerviet.vn/vi/tim-viec-lam/project-administration-coordinator-officer-vlsc.35C6857D.html","Xem chi tiết")</f>
        <v/>
      </c>
    </row>
    <row r="10920">
      <c r="B10920" s="9" t="n">
        <v>10918</v>
      </c>
      <c r="C10920" s="10" t="inlineStr">
        <is>
          <t>Kỹ sư kỹ thuật hồ sơ nội nghiệp</t>
        </is>
      </c>
      <c r="D10920" s="10" t="inlineStr">
        <is>
          <t>Tổng công ty Xây dựng Trường Sơn</t>
        </is>
      </c>
      <c r="E10920" s="10" t="inlineStr">
        <is>
          <t>Lương:20 Tr - 40 Tr VND</t>
        </is>
      </c>
      <c r="F10920" s="10" t="inlineStr">
        <is>
          <t>Toàn quốc</t>
        </is>
      </c>
      <c r="G10920" s="10" t="inlineStr">
        <is>
          <t>11-04-2026</t>
        </is>
      </c>
      <c r="H10920" s="10" t="inlineStr">
        <is>
          <t>11/04/2026</t>
        </is>
      </c>
      <c r="I10920" s="10" t="inlineStr">
        <is>
          <t>17/03/2026</t>
        </is>
      </c>
      <c r="J10920" s="10" t="inlineStr">
        <is>
          <t>Kiến trúc, Xây dựng</t>
        </is>
      </c>
      <c r="K10920" s="10" t="inlineStr">
        <is>
          <t>Trên 2 Năm</t>
        </is>
      </c>
      <c r="L10920" s="11">
        <f>HYPERLINK("https://careerviet.vn/vi/tim-viec-lam/ky-su-ky-thuat-ho-so-noi-nghiep.35C685B9.html","Xem chi tiết")</f>
        <v/>
      </c>
      <c r="M10920" s="10" t="n"/>
    </row>
    <row r="10921">
      <c r="B10921" s="7" t="n">
        <v>10919</v>
      </c>
      <c r="C10921" t="inlineStr">
        <is>
          <t>Giám sát thi công nội thất</t>
        </is>
      </c>
      <c r="D10921" t="inlineStr">
        <is>
          <t>CÔNG TY TNHH THIẾT KẾ XÂY DỰNG FINN</t>
        </is>
      </c>
      <c r="E10921" t="inlineStr">
        <is>
          <t>Lương:15 Tr - 20 Tr VND</t>
        </is>
      </c>
      <c r="F10921" t="inlineStr">
        <is>
          <t>Hồ Chí Minh</t>
        </is>
      </c>
      <c r="G10921" t="inlineStr">
        <is>
          <t>11-04-2026</t>
        </is>
      </c>
      <c r="H10921" t="inlineStr">
        <is>
          <t>11/04/2026</t>
        </is>
      </c>
      <c r="I10921" t="inlineStr">
        <is>
          <t>17/03/2026</t>
        </is>
      </c>
      <c r="J10921" t="inlineStr">
        <is>
          <t>Nội ngoại thất, Bảo trì / Sửa chữa, Xây dựng</t>
        </is>
      </c>
      <c r="K10921" t="inlineStr">
        <is>
          <t>1 - 3 Năm</t>
        </is>
      </c>
      <c r="L10921" s="8">
        <f>HYPERLINK("https://careerviet.vn/vi/tim-viec-lam/giam-sat-thi-cong-noi-that.35C6849C.html","Xem chi tiết")</f>
        <v/>
      </c>
    </row>
    <row r="10922">
      <c r="B10922" s="9" t="n">
        <v>10920</v>
      </c>
      <c r="C10922" s="10" t="inlineStr">
        <is>
          <t>Chuyên viên thiết kế nội thất (3D)</t>
        </is>
      </c>
      <c r="D10922" s="10" t="inlineStr">
        <is>
          <t>CÔNG TY TNHH THIẾT KẾ XÂY DỰNG FINN</t>
        </is>
      </c>
      <c r="E10922" s="10" t="inlineStr">
        <is>
          <t>Lương:15 Tr - 20 Tr VND</t>
        </is>
      </c>
      <c r="F10922" s="10" t="inlineStr">
        <is>
          <t>Hồ Chí Minh</t>
        </is>
      </c>
      <c r="G10922" s="10" t="inlineStr">
        <is>
          <t>11-04-2026</t>
        </is>
      </c>
      <c r="H10922" s="10" t="inlineStr">
        <is>
          <t>11/04/2026</t>
        </is>
      </c>
      <c r="I10922" s="10" t="inlineStr">
        <is>
          <t>17/03/2026</t>
        </is>
      </c>
      <c r="J10922" s="10" t="inlineStr">
        <is>
          <t>Mỹ thuật / Nghệ thuật / Thiết kế, Kiến trúc, Nội ngoại thất</t>
        </is>
      </c>
      <c r="K10922" s="10" t="inlineStr">
        <is>
          <t>2 - 3 Năm</t>
        </is>
      </c>
      <c r="L10922" s="11">
        <f>HYPERLINK("https://careerviet.vn/vi/tim-viec-lam/chuyen-vien-thiet-ke-noi-that-3d.35C6849A.html","Xem chi tiết")</f>
        <v/>
      </c>
      <c r="M10922" s="10" t="n"/>
    </row>
    <row r="10923">
      <c r="B10923" s="7" t="n">
        <v>10921</v>
      </c>
      <c r="C10923" t="inlineStr">
        <is>
          <t>NHÂN VIÊN KỸ THUẬT</t>
        </is>
      </c>
      <c r="D10923" t="inlineStr">
        <is>
          <t>CÔNG TY TNHH POUYUEN VIỆT NAM</t>
        </is>
      </c>
      <c r="E10923" t="inlineStr">
        <is>
          <t>Lương:Cạnh tranh</t>
        </is>
      </c>
      <c r="F10923" t="inlineStr">
        <is>
          <t>Hồ Chí Minh</t>
        </is>
      </c>
      <c r="G10923" t="inlineStr">
        <is>
          <t>11-04-2026</t>
        </is>
      </c>
      <c r="H10923" t="inlineStr">
        <is>
          <t>11/04/2026</t>
        </is>
      </c>
      <c r="I10923" t="inlineStr">
        <is>
          <t>17/03/2026</t>
        </is>
      </c>
      <c r="J10923" t="inlineStr">
        <is>
          <t>Điện / Điện tử / Điện lạnh / Điện công nghiệp, Bảo trì / Sửa chữa</t>
        </is>
      </c>
      <c r="K10923" t="inlineStr">
        <is>
          <t>Chưa có kinh nghiệm</t>
        </is>
      </c>
      <c r="L10923" s="8">
        <f>HYPERLINK("https://careerviet.vn/vi/tim-viec-lam/nhan-vien-ky-thuat.35C68525.html","Xem chi tiết")</f>
        <v/>
      </c>
    </row>
    <row r="10924">
      <c r="B10924" s="9" t="n">
        <v>10922</v>
      </c>
      <c r="C10924" s="10" t="inlineStr">
        <is>
          <t>Trưởng ban quản lý tòa nhà (Property Manager - Thấp Tầng)</t>
        </is>
      </c>
      <c r="D10924" s="10" t="inlineStr">
        <is>
          <t>Savills Vietnam</t>
        </is>
      </c>
      <c r="E10924" s="10" t="inlineStr">
        <is>
          <t>Lương:Cạnh tranh</t>
        </is>
      </c>
      <c r="F10924" s="10" t="inlineStr">
        <is>
          <t>Bình DươngHồ Chí Minh</t>
        </is>
      </c>
      <c r="G10924" s="10" t="inlineStr">
        <is>
          <t>11-04-2026</t>
        </is>
      </c>
      <c r="H10924" s="10" t="inlineStr">
        <is>
          <t>11/04/2026</t>
        </is>
      </c>
      <c r="I10924" s="10" t="inlineStr">
        <is>
          <t>17/03/2026</t>
        </is>
      </c>
      <c r="J10924" s="10" t="inlineStr">
        <is>
          <t>Quản lý điều hành, Nhân sự, Bất động sản</t>
        </is>
      </c>
      <c r="K10924" s="10" t="inlineStr">
        <is>
          <t>4 - 7 Năm</t>
        </is>
      </c>
      <c r="L10924" s="11">
        <f>HYPERLINK("https://careerviet.vn/vi/tim-viec-lam/truong-ban-quan-ly-toa-nha-property-manager-thap-tang.35C6853D.html","Xem chi tiết")</f>
        <v/>
      </c>
      <c r="M10924" s="10" t="n"/>
    </row>
    <row r="10925">
      <c r="B10925" s="7" t="n">
        <v>10923</v>
      </c>
      <c r="C10925" t="inlineStr">
        <is>
          <t>Key Account Executive (E-commerce)</t>
        </is>
      </c>
      <c r="D10925" t="inlineStr">
        <is>
          <t>Công ty TNHH Onpoint</t>
        </is>
      </c>
      <c r="E10925" t="inlineStr">
        <is>
          <t>Lương:Cạnh tranh</t>
        </is>
      </c>
      <c r="F10925" t="inlineStr">
        <is>
          <t>Hồ Chí Minh</t>
        </is>
      </c>
      <c r="G10925" t="inlineStr">
        <is>
          <t>11-04-2026</t>
        </is>
      </c>
      <c r="H10925" t="inlineStr">
        <is>
          <t>11/04/2026</t>
        </is>
      </c>
      <c r="I10925" t="inlineStr">
        <is>
          <t>17/03/2026</t>
        </is>
      </c>
      <c r="J10925" t="inlineStr">
        <is>
          <t>Tiếp thị trực tuyến, Thương mại điện tử, Hàng gia dụng / Chăm sóc cá nhân</t>
        </is>
      </c>
      <c r="K10925" t="inlineStr">
        <is>
          <t>Trên 1 Năm</t>
        </is>
      </c>
      <c r="L10925" s="8">
        <f>HYPERLINK("https://careerviet.vn/vi/tim-viec-lam/key-account-executive-e-commerce.35C684B6.html","Xem chi tiết")</f>
        <v/>
      </c>
    </row>
    <row r="10926">
      <c r="B10926" s="9" t="n">
        <v>10924</v>
      </c>
      <c r="C10926" s="10" t="inlineStr">
        <is>
          <t>Chuyên Viên Kinh Doanh (Thu nhập upto 50M)</t>
        </is>
      </c>
      <c r="D10926" s="10" t="inlineStr">
        <is>
          <t>CÔNG TY TNHH THIẾT KẾ XÂY DỰNG FINN</t>
        </is>
      </c>
      <c r="E10926" s="10" t="inlineStr">
        <is>
          <t>Lương:15 Tr - 50 Tr VND</t>
        </is>
      </c>
      <c r="F10926" s="10" t="inlineStr">
        <is>
          <t>Hồ Chí Minh</t>
        </is>
      </c>
      <c r="G10926" s="10" t="inlineStr">
        <is>
          <t>11-04-2026</t>
        </is>
      </c>
      <c r="H10926" s="10" t="inlineStr">
        <is>
          <t>11/04/2026</t>
        </is>
      </c>
      <c r="I10926" s="10" t="inlineStr">
        <is>
          <t>17/03/2026</t>
        </is>
      </c>
      <c r="J10926" s="10" t="inlineStr">
        <is>
          <t>Bán hàng / Kinh doanh, Tư vấn, Nội ngoại thất</t>
        </is>
      </c>
      <c r="K10926" s="10" t="inlineStr">
        <is>
          <t>Trên 2 Năm</t>
        </is>
      </c>
      <c r="L10926" s="11">
        <f>HYPERLINK("https://careerviet.vn/vi/tim-viec-lam/chuyen-vien-kinh-doanh-thu-nhap-upto-50m.35C68493.html","Xem chi tiết")</f>
        <v/>
      </c>
      <c r="M10926" s="10" t="n"/>
    </row>
    <row r="10927">
      <c r="B10927" s="7" t="n">
        <v>10925</v>
      </c>
      <c r="C10927" t="inlineStr">
        <is>
          <t>Nhân Viên Kinh Doanh / Sales Thị Trường Quảng Nam</t>
        </is>
      </c>
      <c r="D10927" t="inlineStr">
        <is>
          <t>NANOCO GROUP</t>
        </is>
      </c>
      <c r="E10927" t="inlineStr">
        <is>
          <t>Lương:Cạnh tranh</t>
        </is>
      </c>
      <c r="F10927" t="inlineStr">
        <is>
          <t>Quảng Nam</t>
        </is>
      </c>
      <c r="G10927" t="inlineStr">
        <is>
          <t>11-04-2026</t>
        </is>
      </c>
      <c r="H10927" t="inlineStr">
        <is>
          <t>11/04/2026</t>
        </is>
      </c>
      <c r="I10927" t="inlineStr">
        <is>
          <t>17/03/2026</t>
        </is>
      </c>
      <c r="J10927" t="inlineStr">
        <is>
          <t>Bán hàng / Kinh doanh, Bán lẻ / Bán sỉ, Tiếp thị / Marketing</t>
        </is>
      </c>
      <c r="K10927" t="inlineStr">
        <is>
          <t>1 - 10 Năm</t>
        </is>
      </c>
      <c r="L10927" s="8">
        <f>HYPERLINK("https://careerviet.vn/vi/tim-viec-lam/nhan-vien-kinh-doanh-sales-thi-truong-quang-nam.35C685C1.html","Xem chi tiết")</f>
        <v/>
      </c>
    </row>
    <row r="10928">
      <c r="B10928" s="9" t="n">
        <v>10926</v>
      </c>
      <c r="C10928" s="10" t="inlineStr">
        <is>
          <t>Chuyên Viên Marketing</t>
        </is>
      </c>
      <c r="D10928" s="10" t="inlineStr">
        <is>
          <t>Tập Đoàn An Phát Holdings</t>
        </is>
      </c>
      <c r="E10928" s="10" t="inlineStr">
        <is>
          <t>Lương:15 Tr - 18 Tr VND</t>
        </is>
      </c>
      <c r="F10928" s="10" t="inlineStr">
        <is>
          <t>Hà Nội</t>
        </is>
      </c>
      <c r="G10928" s="10" t="inlineStr">
        <is>
          <t>11-04-2026</t>
        </is>
      </c>
      <c r="H10928" s="10" t="inlineStr">
        <is>
          <t>11/04/2026</t>
        </is>
      </c>
      <c r="I10928" s="10" t="inlineStr">
        <is>
          <t>17/03/2026</t>
        </is>
      </c>
      <c r="J10928" s="10" t="inlineStr">
        <is>
          <t>Tiếp thị / Marketing, Truyền hình / Báo chí / Biên tập, Quảng cáo / Đối ngoại / Truyền Thông</t>
        </is>
      </c>
      <c r="K10928" s="10" t="inlineStr">
        <is>
          <t>4 - 5 Năm</t>
        </is>
      </c>
      <c r="L10928" s="11">
        <f>HYPERLINK("https://careerviet.vn/vi/tim-viec-lam/chuyen-vien-marketing.35C68579.html","Xem chi tiết")</f>
        <v/>
      </c>
      <c r="M10928" s="10" t="n"/>
    </row>
    <row r="10929">
      <c r="B10929" s="7" t="n">
        <v>10927</v>
      </c>
      <c r="C10929" t="inlineStr">
        <is>
          <t>[Bắc Cạn] - Phó Ban Quản lý Xây dựng &amp; Hạ tầng</t>
        </is>
      </c>
      <c r="D10929" t="inlineStr">
        <is>
          <t>CÔNG TY CỔ PHẦN TẬP ĐOÀN ONSEN FUJI</t>
        </is>
      </c>
      <c r="E10929" t="inlineStr">
        <is>
          <t>Lương:25 Tr - 35 Tr VND</t>
        </is>
      </c>
      <c r="F10929" t="inlineStr">
        <is>
          <t>Bắc Cạn</t>
        </is>
      </c>
      <c r="G10929" t="inlineStr">
        <is>
          <t>11-04-2026</t>
        </is>
      </c>
      <c r="H10929" t="inlineStr">
        <is>
          <t>11/04/2026</t>
        </is>
      </c>
      <c r="I10929" t="inlineStr">
        <is>
          <t>17/03/2026</t>
        </is>
      </c>
      <c r="J10929" t="inlineStr">
        <is>
          <t>Xây dựng, Bất động sản, Ngành khác</t>
        </is>
      </c>
      <c r="K10929" t="inlineStr">
        <is>
          <t>5 - 7 Năm</t>
        </is>
      </c>
      <c r="L10929" s="8">
        <f>HYPERLINK("https://careerviet.vn/vi/tim-viec-lam/bac-can-pho-ban-quan-ly-xay-dung-ha-tang.35C68489.html","Xem chi tiết")</f>
        <v/>
      </c>
    </row>
    <row r="10930">
      <c r="B10930" s="9" t="n">
        <v>10928</v>
      </c>
      <c r="C10930" s="10" t="inlineStr">
        <is>
          <t>Giám đốc Dịch vụ khách hàng</t>
        </is>
      </c>
      <c r="D10930" s="10" t="inlineStr">
        <is>
          <t>Ngân hàng TMCP Thịnh vượng và Phát triển - PGBank</t>
        </is>
      </c>
      <c r="E10930" s="10" t="inlineStr">
        <is>
          <t>Lương:18 Tr - 35 Tr VND</t>
        </is>
      </c>
      <c r="F10930" s="10" t="inlineStr">
        <is>
          <t>Quảng NinhHà Nội</t>
        </is>
      </c>
      <c r="G10930" s="10" t="inlineStr">
        <is>
          <t>11-04-2026</t>
        </is>
      </c>
      <c r="H10930" s="10" t="inlineStr">
        <is>
          <t>11/04/2026</t>
        </is>
      </c>
      <c r="I10930" s="10" t="inlineStr">
        <is>
          <t>17/03/2026</t>
        </is>
      </c>
      <c r="J10930" s="10" t="inlineStr">
        <is>
          <t>Dịch vụ khách hàng, Kế toán / Kiểm toán, Ngân hàng</t>
        </is>
      </c>
      <c r="K10930" s="10" t="inlineStr">
        <is>
          <t>1 - 10 Năm</t>
        </is>
      </c>
      <c r="L10930" s="11">
        <f>HYPERLINK("https://careerviet.vn/vi/tim-viec-lam/giam-doc-dich-vu-khach-hang.35C683BE.html","Xem chi tiết")</f>
        <v/>
      </c>
      <c r="M10930" s="10" t="n"/>
    </row>
    <row r="10931">
      <c r="B10931" s="7" t="n">
        <v>10929</v>
      </c>
      <c r="C10931" t="inlineStr">
        <is>
          <t>Kế toán thu chi trường mầm non (Bình Thạnh)</t>
        </is>
      </c>
      <c r="D10931" t="inlineStr">
        <is>
          <t>TRƯỜNG QUỐC TẾ BLUE RIDGE / BLUE RIDGE INTERNATIONAL SCHOOL (BRIS)</t>
        </is>
      </c>
      <c r="E10931" t="inlineStr">
        <is>
          <t>Lương:7 Tr - 9 Tr VND</t>
        </is>
      </c>
      <c r="F10931" t="inlineStr">
        <is>
          <t>Hồ Chí Minh</t>
        </is>
      </c>
      <c r="G10931" t="inlineStr">
        <is>
          <t>11-04-2026</t>
        </is>
      </c>
      <c r="H10931" t="inlineStr">
        <is>
          <t>11/04/2026</t>
        </is>
      </c>
      <c r="I10931" t="inlineStr">
        <is>
          <t>17/03/2026</t>
        </is>
      </c>
      <c r="J10931" t="inlineStr">
        <is>
          <t>Kế toán / Kiểm toán</t>
        </is>
      </c>
      <c r="K10931" t="inlineStr">
        <is>
          <t>1 - 2 Năm</t>
        </is>
      </c>
      <c r="L10931" s="8">
        <f>HYPERLINK("https://careerviet.vn/vi/tim-viec-lam/ke-toan-thu-chi-truong-mam-non-binh-thanh.35C6847F.html","Xem chi tiết")</f>
        <v/>
      </c>
    </row>
    <row r="10932">
      <c r="B10932" s="9" t="n">
        <v>10930</v>
      </c>
      <c r="C10932" s="10" t="inlineStr">
        <is>
          <t>Merchandiser</t>
        </is>
      </c>
      <c r="D10932" s="10" t="inlineStr">
        <is>
          <t>CHI NHÁNH BÌNH DƯƠNG - CÔNG TY TNHH TODA (THAILAND)</t>
        </is>
      </c>
      <c r="E10932" s="10" t="inlineStr">
        <is>
          <t>Lương:13 Tr - 20 Tr VND</t>
        </is>
      </c>
      <c r="F10932" s="10" t="inlineStr">
        <is>
          <t>Hồ Chí Minh</t>
        </is>
      </c>
      <c r="G10932" s="10" t="inlineStr">
        <is>
          <t>11-04-2026</t>
        </is>
      </c>
      <c r="H10932" s="10" t="inlineStr">
        <is>
          <t>11/04/2026</t>
        </is>
      </c>
      <c r="I10932" s="10" t="inlineStr">
        <is>
          <t>17/03/2026</t>
        </is>
      </c>
      <c r="J10932" s="10" t="inlineStr">
        <is>
          <t>Bán lẻ / Bán sỉ, Thu mua / Vật tư, Nội ngoại thất</t>
        </is>
      </c>
      <c r="K10932" s="10" t="inlineStr">
        <is>
          <t>Trên 1 Năm</t>
        </is>
      </c>
      <c r="L10932" s="11">
        <f>HYPERLINK("https://careerviet.vn/vi/tim-viec-lam/merchandiser.35C685F6.html","Xem chi tiết")</f>
        <v/>
      </c>
      <c r="M10932" s="10" t="n"/>
    </row>
    <row r="10933">
      <c r="B10933" s="7" t="n">
        <v>10931</v>
      </c>
      <c r="C10933" t="inlineStr">
        <is>
          <t>Chuyên viên kinh doanh</t>
        </is>
      </c>
      <c r="D10933" t="inlineStr">
        <is>
          <t>CÔNG TY TNHH FOCUS MEDIA (VIỆT NAM)</t>
        </is>
      </c>
      <c r="E10933" t="inlineStr">
        <is>
          <t>Lương:Cạnh tranh</t>
        </is>
      </c>
      <c r="F10933" t="inlineStr">
        <is>
          <t>Hồ Chí MinhHà Nội</t>
        </is>
      </c>
      <c r="G10933" t="inlineStr">
        <is>
          <t>11-04-2026</t>
        </is>
      </c>
      <c r="H10933" t="inlineStr">
        <is>
          <t>11/04/2026</t>
        </is>
      </c>
      <c r="I10933" t="inlineStr">
        <is>
          <t>17/03/2026</t>
        </is>
      </c>
      <c r="J10933" t="inlineStr">
        <is>
          <t>Quảng cáo / Đối ngoại / Truyền Thông</t>
        </is>
      </c>
      <c r="K10933" t="inlineStr">
        <is>
          <t>1 - 2 Năm</t>
        </is>
      </c>
      <c r="L10933" s="8">
        <f>HYPERLINK("https://careerviet.vn/vi/tim-viec-lam/chuyen-vien-kinh-doanh.35C68580.html","Xem chi tiết")</f>
        <v/>
      </c>
    </row>
    <row r="10934">
      <c r="B10934" s="9" t="n">
        <v>10932</v>
      </c>
      <c r="C10934" s="10" t="inlineStr">
        <is>
          <t>IT ACCOUNT MANAGER (TIẾNG HÀN)</t>
        </is>
      </c>
      <c r="D10934" s="10" t="inlineStr">
        <is>
          <t>Công ty cổ phần GMO-Z.com RUNSYSTEM</t>
        </is>
      </c>
      <c r="E10934" s="10" t="inlineStr">
        <is>
          <t>Lương:20 Tr - 35 Tr VND</t>
        </is>
      </c>
      <c r="F10934" s="10" t="inlineStr">
        <is>
          <t>Hà Nội</t>
        </is>
      </c>
      <c r="G10934" s="10" t="inlineStr">
        <is>
          <t>11-04-2026</t>
        </is>
      </c>
      <c r="H10934" s="10" t="inlineStr">
        <is>
          <t>11/04/2026</t>
        </is>
      </c>
      <c r="I10934" s="10" t="inlineStr">
        <is>
          <t>17/03/2026</t>
        </is>
      </c>
      <c r="J10934" s="10" t="inlineStr">
        <is>
          <t>Bán hàng / Kinh doanh, CNTT - Phần mềm</t>
        </is>
      </c>
      <c r="K10934" s="10" t="inlineStr">
        <is>
          <t>1 - 2 Năm</t>
        </is>
      </c>
      <c r="L10934" s="11">
        <f>HYPERLINK("https://careerviet.vn/vi/tim-viec-lam/it-account-manager-tieng-han.35C68563.html","Xem chi tiết")</f>
        <v/>
      </c>
      <c r="M10934" s="10" t="n"/>
    </row>
    <row r="10935">
      <c r="B10935" s="7" t="n">
        <v>10933</v>
      </c>
      <c r="C10935" t="inlineStr">
        <is>
          <t>[Hà Nội, Bắc Ninh, Hải Phòng, TP.HCM] Cộng Tác Viên kinh doanh - Mảng trả góp</t>
        </is>
      </c>
      <c r="D10935" t="inlineStr">
        <is>
          <t>CÔNG TY TÀI CHÍNH TÍN DỤNG TIÊU DÙNG TNHH MTV AEON</t>
        </is>
      </c>
      <c r="E10935" t="inlineStr">
        <is>
          <t>Lương:Cạnh tranh</t>
        </is>
      </c>
      <c r="F10935" t="inlineStr">
        <is>
          <t>Hà Nội</t>
        </is>
      </c>
      <c r="G10935" t="inlineStr">
        <is>
          <t>11-04-2026</t>
        </is>
      </c>
      <c r="H10935" t="inlineStr">
        <is>
          <t>11/04/2026</t>
        </is>
      </c>
      <c r="I10935" t="inlineStr">
        <is>
          <t>17/03/2026</t>
        </is>
      </c>
      <c r="J10935" t="inlineStr">
        <is>
          <t>Bán hàng / Kinh doanh, Tài chính / Đầu tư</t>
        </is>
      </c>
      <c r="K10935" t="inlineStr">
        <is>
          <t>N/A</t>
        </is>
      </c>
      <c r="L10935" s="8">
        <f>HYPERLINK("https://careerviet.vn/vi/tim-viec-lam/ha-noi-bac-ninh-hai-phong-tp-hcm-cong-tac-vien-kinh-doanh-mang-tra-gop.35C684C8.html","Xem chi tiết")</f>
        <v/>
      </c>
    </row>
    <row r="10936">
      <c r="B10936" s="9" t="n">
        <v>10934</v>
      </c>
      <c r="C10936" s="10" t="inlineStr">
        <is>
          <t>Senior Accountant</t>
        </is>
      </c>
      <c r="D10936" s="10" t="inlineStr">
        <is>
          <t>Công ty TNHH Onpoint</t>
        </is>
      </c>
      <c r="E10936" s="10" t="inlineStr">
        <is>
          <t>Lương:Cạnh tranh</t>
        </is>
      </c>
      <c r="F10936" s="10" t="inlineStr">
        <is>
          <t>Hồ Chí Minh</t>
        </is>
      </c>
      <c r="G10936" s="10" t="inlineStr">
        <is>
          <t>11-04-2026</t>
        </is>
      </c>
      <c r="H10936" s="10" t="inlineStr">
        <is>
          <t>11/04/2026</t>
        </is>
      </c>
      <c r="I10936" s="10" t="inlineStr">
        <is>
          <t>17/03/2026</t>
        </is>
      </c>
      <c r="J10936" s="10" t="inlineStr">
        <is>
          <t>Kế toán / Kiểm toán, Bán lẻ / Bán sỉ, Thương mại điện tử</t>
        </is>
      </c>
      <c r="K10936" s="10" t="inlineStr">
        <is>
          <t>2 - 4 Năm</t>
        </is>
      </c>
      <c r="L10936" s="11">
        <f>HYPERLINK("https://careerviet.vn/vi/tim-viec-lam/senior-accountant.35C68494.html","Xem chi tiết")</f>
        <v/>
      </c>
      <c r="M10936" s="10" t="n"/>
    </row>
    <row r="10937">
      <c r="B10937" s="7" t="n">
        <v>10935</v>
      </c>
      <c r="C10937" t="inlineStr">
        <is>
          <t>Junior Backend Developer</t>
        </is>
      </c>
      <c r="D10937" t="inlineStr">
        <is>
          <t>CÔNG TY TNHH SOLUM VINA HCMC</t>
        </is>
      </c>
      <c r="E10937" t="inlineStr">
        <is>
          <t>Lương:Cạnh tranh</t>
        </is>
      </c>
      <c r="F10937" t="inlineStr">
        <is>
          <t>Hà Nội</t>
        </is>
      </c>
      <c r="G10937" t="inlineStr">
        <is>
          <t>11-04-2026</t>
        </is>
      </c>
      <c r="H10937" t="inlineStr">
        <is>
          <t>11/04/2026</t>
        </is>
      </c>
      <c r="I10937" t="inlineStr">
        <is>
          <t>17/03/2026</t>
        </is>
      </c>
      <c r="J10937" t="inlineStr">
        <is>
          <t>CNTT - Phần mềm, CNTT - Phần cứng / Mạng</t>
        </is>
      </c>
      <c r="K10937" t="inlineStr">
        <is>
          <t>1 - 2 Năm</t>
        </is>
      </c>
      <c r="L10937" s="8">
        <f>HYPERLINK("https://careerviet.vn/vi/tim-viec-lam/junior-backend-developer.35C685DB.html","Xem chi tiết")</f>
        <v/>
      </c>
    </row>
    <row r="10938">
      <c r="B10938" s="9" t="n">
        <v>10936</v>
      </c>
      <c r="C10938" s="10" t="inlineStr">
        <is>
          <t>Kỹ sự kết cấu - Vietravel Invest</t>
        </is>
      </c>
      <c r="D10938" s="10" t="inlineStr">
        <is>
          <t>Công Ty Cổ Phần Du Lịch Vietravel</t>
        </is>
      </c>
      <c r="E10938" s="10" t="inlineStr">
        <is>
          <t>Lương:Cạnh tranh</t>
        </is>
      </c>
      <c r="F10938" s="10" t="inlineStr">
        <is>
          <t>Hồ Chí Minh</t>
        </is>
      </c>
      <c r="G10938" s="10" t="inlineStr">
        <is>
          <t>11-04-2026</t>
        </is>
      </c>
      <c r="H10938" s="10" t="inlineStr">
        <is>
          <t>11/04/2026</t>
        </is>
      </c>
      <c r="I10938" s="10" t="inlineStr">
        <is>
          <t>17/03/2026</t>
        </is>
      </c>
      <c r="J10938" s="10" t="inlineStr">
        <is>
          <t>Kiến trúc, Xây dựng</t>
        </is>
      </c>
      <c r="K10938" s="10" t="inlineStr">
        <is>
          <t>2 - 3 Năm</t>
        </is>
      </c>
      <c r="L10938" s="11">
        <f>HYPERLINK("https://careerviet.vn/vi/tim-viec-lam/ky-su-ket-cau-vietravel-invest.35C68572.html","Xem chi tiết")</f>
        <v/>
      </c>
      <c r="M10938" s="10" t="n"/>
    </row>
    <row r="10939">
      <c r="B10939" s="7" t="n">
        <v>10937</v>
      </c>
      <c r="C10939" t="inlineStr">
        <is>
          <t>Assistant Logistics Solution &amp; Innovation Manager (VLSC)</t>
        </is>
      </c>
      <c r="D10939" t="inlineStr">
        <is>
          <t>SABECO - Saigon Beer-Alcohol-Beverage Corporation</t>
        </is>
      </c>
      <c r="E10939" t="inlineStr">
        <is>
          <t>Lương:Cạnh tranh</t>
        </is>
      </c>
      <c r="F10939" t="inlineStr">
        <is>
          <t>Hồ Chí Minh</t>
        </is>
      </c>
      <c r="G10939" t="inlineStr">
        <is>
          <t>11-04-2026</t>
        </is>
      </c>
      <c r="H10939" t="inlineStr">
        <is>
          <t>11/04/2026</t>
        </is>
      </c>
      <c r="I10939" t="inlineStr">
        <is>
          <t>17/03/2026</t>
        </is>
      </c>
      <c r="J10939" t="inlineStr">
        <is>
          <t>CNTT - Phần mềm</t>
        </is>
      </c>
      <c r="K10939" t="inlineStr">
        <is>
          <t>5 - 10 Năm</t>
        </is>
      </c>
      <c r="L10939" s="8">
        <f>HYPERLINK("https://careerviet.vn/vi/tim-viec-lam/assistant-logistics-solution-innovation-manager-vlsc.35C6856F.html","Xem chi tiết")</f>
        <v/>
      </c>
    </row>
    <row r="10940">
      <c r="B10940" s="9" t="n">
        <v>10938</v>
      </c>
      <c r="C10940" s="10" t="inlineStr">
        <is>
          <t>Business Analyst</t>
        </is>
      </c>
      <c r="D10940" s="10" t="inlineStr">
        <is>
          <t>Công ty cổ phần GMO-Z.com RUNSYSTEM</t>
        </is>
      </c>
      <c r="E10940" s="10" t="inlineStr">
        <is>
          <t>Lương:20 Tr - 30 Tr VND</t>
        </is>
      </c>
      <c r="F10940" s="10" t="inlineStr">
        <is>
          <t>Hà Nội</t>
        </is>
      </c>
      <c r="G10940" s="10" t="inlineStr">
        <is>
          <t>11-04-2026</t>
        </is>
      </c>
      <c r="H10940" s="10" t="inlineStr">
        <is>
          <t>11/04/2026</t>
        </is>
      </c>
      <c r="I10940" s="10" t="inlineStr">
        <is>
          <t>17/03/2026</t>
        </is>
      </c>
      <c r="J10940" s="10" t="inlineStr">
        <is>
          <t>CNTT - Phần mềm</t>
        </is>
      </c>
      <c r="K10940" s="10" t="inlineStr">
        <is>
          <t>3 - 4 Năm</t>
        </is>
      </c>
      <c r="L10940" s="11">
        <f>HYPERLINK("https://careerviet.vn/vi/tim-viec-lam/business-analyst.35C6855D.html","Xem chi tiết")</f>
        <v/>
      </c>
      <c r="M10940" s="10" t="n"/>
    </row>
    <row r="10941">
      <c r="B10941" s="7" t="n">
        <v>10939</v>
      </c>
      <c r="C10941" t="inlineStr">
        <is>
          <t>Nhân Viên Kiểm Soát Chất Lượng</t>
        </is>
      </c>
      <c r="D10941" t="inlineStr">
        <is>
          <t>Công Ty Cổ Phần TEKCOM</t>
        </is>
      </c>
      <c r="E10941" t="inlineStr">
        <is>
          <t>Lương:Cạnh tranh</t>
        </is>
      </c>
      <c r="F10941" t="inlineStr">
        <is>
          <t>Bình Dương</t>
        </is>
      </c>
      <c r="G10941" t="inlineStr">
        <is>
          <t>11-04-2026</t>
        </is>
      </c>
      <c r="H10941" t="inlineStr">
        <is>
          <t>11/04/2026</t>
        </is>
      </c>
      <c r="I10941" t="inlineStr">
        <is>
          <t>17/03/2026</t>
        </is>
      </c>
      <c r="J10941" t="inlineStr">
        <is>
          <t>Sản xuất / Vận hành sản xuất, Quản lý chất lượng (QA/QC), Đồ gỗ</t>
        </is>
      </c>
      <c r="K10941" t="inlineStr">
        <is>
          <t>1 - 3 Năm</t>
        </is>
      </c>
      <c r="L10941" s="8">
        <f>HYPERLINK("https://careerviet.vn/vi/tim-viec-lam/nhan-vien-kiem-soat-chat-luong.35C68491.html","Xem chi tiết")</f>
        <v/>
      </c>
    </row>
    <row r="10942">
      <c r="B10942" s="9" t="n">
        <v>10940</v>
      </c>
      <c r="C10942" s="10" t="inlineStr">
        <is>
          <t>Nhân Viên Kinh Doanh (Sẵn sàng đào tạo sinh viên mới ra trường)</t>
        </is>
      </c>
      <c r="D10942" s="10" t="inlineStr">
        <is>
          <t>CÔNG TY TNHH METECNO (VIỆT NAM)</t>
        </is>
      </c>
      <c r="E10942" s="10" t="inlineStr">
        <is>
          <t>Lương:Cạnh tranh</t>
        </is>
      </c>
      <c r="F10942" s="10" t="inlineStr">
        <is>
          <t>Hồ Chí Minh</t>
        </is>
      </c>
      <c r="G10942" s="10" t="inlineStr">
        <is>
          <t>11-04-2026</t>
        </is>
      </c>
      <c r="H10942" s="10" t="inlineStr">
        <is>
          <t>11/04/2026</t>
        </is>
      </c>
      <c r="I10942" s="10" t="inlineStr">
        <is>
          <t>17/03/2026</t>
        </is>
      </c>
      <c r="J10942" s="10" t="inlineStr">
        <is>
          <t>Bán lẻ / Bán sỉ, Bán hàng / Kinh doanh, Thực phẩm &amp; Đồ uống</t>
        </is>
      </c>
      <c r="K10942" s="10" t="inlineStr">
        <is>
          <t>Trên 1 Năm</t>
        </is>
      </c>
      <c r="L10942" s="11">
        <f>HYPERLINK("https://careerviet.vn/vi/tim-viec-lam/nhan-vien-kinh-doanh-san-sang-dao-tao-sinh-vien-moi-ra-truong.35C685E1.html","Xem chi tiết")</f>
        <v/>
      </c>
      <c r="M10942" s="10" t="n"/>
    </row>
    <row r="10943">
      <c r="B10943" s="7" t="n">
        <v>10941</v>
      </c>
      <c r="C10943" t="inlineStr">
        <is>
          <t>Ecommerce – Senior Key Account Executive</t>
        </is>
      </c>
      <c r="D10943" t="inlineStr">
        <is>
          <t>Công ty TNHH Kimberly Clark Việt Nam</t>
        </is>
      </c>
      <c r="E10943" t="inlineStr">
        <is>
          <t>Lương:Cạnh tranh</t>
        </is>
      </c>
      <c r="F10943" t="inlineStr">
        <is>
          <t>Hồ Chí Minh</t>
        </is>
      </c>
      <c r="G10943" t="inlineStr">
        <is>
          <t>11-04-2026</t>
        </is>
      </c>
      <c r="H10943" t="inlineStr">
        <is>
          <t>11/04/2026</t>
        </is>
      </c>
      <c r="I10943" t="inlineStr">
        <is>
          <t>17/03/2026</t>
        </is>
      </c>
      <c r="J10943" t="inlineStr">
        <is>
          <t>Bán hàng / Kinh doanh</t>
        </is>
      </c>
      <c r="K10943" t="inlineStr">
        <is>
          <t>Trên 3 Năm</t>
        </is>
      </c>
      <c r="L10943" s="8">
        <f>HYPERLINK("https://careerviet.vn/vi/tim-viec-lam/ecommerce-senior-key-account-executive.35C6851B.html","Xem chi tiết")</f>
        <v/>
      </c>
    </row>
    <row r="10944">
      <c r="B10944" s="9" t="n">
        <v>10942</v>
      </c>
      <c r="C10944" s="10" t="inlineStr">
        <is>
          <t>Sales Admin Executive</t>
        </is>
      </c>
      <c r="D10944" s="10" t="inlineStr">
        <is>
          <t>CHI NHÁNH BÌNH DƯƠNG - CÔNG TY TNHH TODA (THAILAND)</t>
        </is>
      </c>
      <c r="E10944" s="10" t="inlineStr">
        <is>
          <t>Lương:12 Tr - 16 Tr VND</t>
        </is>
      </c>
      <c r="F10944" s="10" t="inlineStr">
        <is>
          <t>Hồ Chí Minh</t>
        </is>
      </c>
      <c r="G10944" s="10" t="inlineStr">
        <is>
          <t>11-04-2026</t>
        </is>
      </c>
      <c r="H10944" s="10" t="inlineStr">
        <is>
          <t>11/04/2026</t>
        </is>
      </c>
      <c r="I10944" s="10" t="inlineStr">
        <is>
          <t>17/03/2026</t>
        </is>
      </c>
      <c r="J10944" s="10" t="inlineStr">
        <is>
          <t>Bán lẻ / Bán sỉ, Bán hàng / Kinh doanh, Nội ngoại thất</t>
        </is>
      </c>
      <c r="K10944" s="10" t="inlineStr">
        <is>
          <t>Trên 1 Năm</t>
        </is>
      </c>
      <c r="L10944" s="11">
        <f>HYPERLINK("https://careerviet.vn/vi/tim-viec-lam/sales-admin-executive.35C685F5.html","Xem chi tiết")</f>
        <v/>
      </c>
      <c r="M10944" s="10" t="n"/>
    </row>
    <row r="10945">
      <c r="B10945" s="7" t="n">
        <v>10943</v>
      </c>
      <c r="C10945" t="inlineStr">
        <is>
          <t>Kỹ thuật viên vận hành máy (lọc-lên men)</t>
        </is>
      </c>
      <c r="D10945" t="inlineStr">
        <is>
          <t>Công ty Cổ phần thực phẩm và đồ uống Barett</t>
        </is>
      </c>
      <c r="E10945" t="inlineStr">
        <is>
          <t>Lương:15 Tr - 20 Tr VND</t>
        </is>
      </c>
      <c r="F10945" t="inlineStr">
        <is>
          <t>Hưng Yên</t>
        </is>
      </c>
      <c r="G10945" t="inlineStr">
        <is>
          <t>11-04-2026</t>
        </is>
      </c>
      <c r="H10945" t="inlineStr">
        <is>
          <t>11/04/2026</t>
        </is>
      </c>
      <c r="I10945" t="inlineStr">
        <is>
          <t>17/03/2026</t>
        </is>
      </c>
      <c r="J10945" t="inlineStr">
        <is>
          <t>Thực phẩm &amp; Đồ uống, Công nghệ thực phẩm / Dinh dưỡng, Sản xuất / Vận hành sản xuất</t>
        </is>
      </c>
      <c r="K10945" t="inlineStr">
        <is>
          <t>2 - 3 Năm</t>
        </is>
      </c>
      <c r="L10945" s="8">
        <f>HYPERLINK("https://careerviet.vn/vi/tim-viec-lam/ky-thuat-vien-van-hanh-may-loc-len-men.35C6855B.html","Xem chi tiết")</f>
        <v/>
      </c>
    </row>
    <row r="10946">
      <c r="B10946" s="9" t="n">
        <v>10944</v>
      </c>
      <c r="C10946" s="10" t="inlineStr">
        <is>
          <t>Chỉ Huy Trưởng/ Chỉ Huy Phó</t>
        </is>
      </c>
      <c r="D10946" s="10" t="inlineStr">
        <is>
          <t>CÔNG TY TNHH ĐẦU TƯ XÂY DỰNG PHÁT TRIỂN THÁI DƯƠNG</t>
        </is>
      </c>
      <c r="E10946" s="10" t="inlineStr">
        <is>
          <t>Lương:Cạnh tranh</t>
        </is>
      </c>
      <c r="F10946" s="10" t="inlineStr">
        <is>
          <t>Hồ Chí Minh</t>
        </is>
      </c>
      <c r="G10946" s="10" t="inlineStr">
        <is>
          <t>11-04-2026</t>
        </is>
      </c>
      <c r="H10946" s="10" t="inlineStr">
        <is>
          <t>11/04/2026</t>
        </is>
      </c>
      <c r="I10946" s="10" t="inlineStr">
        <is>
          <t>17/03/2026</t>
        </is>
      </c>
      <c r="J10946" s="10" t="inlineStr">
        <is>
          <t>Quản lý điều hành, Kiến trúc, Xây dựng</t>
        </is>
      </c>
      <c r="K10946" s="10" t="inlineStr">
        <is>
          <t>Trên 2 Năm</t>
        </is>
      </c>
      <c r="L10946" s="11">
        <f>HYPERLINK("https://careerviet.vn/vi/tim-viec-lam/chi-huy-truong-chi-huy-pho.35C6848C.html","Xem chi tiết")</f>
        <v/>
      </c>
      <c r="M10946" s="10" t="n"/>
    </row>
    <row r="10947">
      <c r="B10947" s="7" t="n">
        <v>10945</v>
      </c>
      <c r="C10947" t="inlineStr">
        <is>
          <t>Nhân viên kỹ thuật bảo trì</t>
        </is>
      </c>
      <c r="D10947" t="inlineStr">
        <is>
          <t>NANOCO GROUP</t>
        </is>
      </c>
      <c r="E10947" t="inlineStr">
        <is>
          <t>Lương:Cạnh tranh</t>
        </is>
      </c>
      <c r="F10947" t="inlineStr">
        <is>
          <t>Đồng Nai</t>
        </is>
      </c>
      <c r="G10947" t="inlineStr">
        <is>
          <t>11-04-2026</t>
        </is>
      </c>
      <c r="H10947" t="inlineStr">
        <is>
          <t>11/04/2026</t>
        </is>
      </c>
      <c r="I10947" t="inlineStr">
        <is>
          <t>17/03/2026</t>
        </is>
      </c>
      <c r="J10947" t="inlineStr">
        <is>
          <t>Sản xuất / Vận hành sản xuất, Điện / Điện tử / Điện lạnh / Điện công nghiệp, Bảo trì / Sửa chữa</t>
        </is>
      </c>
      <c r="K10947" t="inlineStr">
        <is>
          <t>1 - 3 Năm</t>
        </is>
      </c>
      <c r="L10947" s="8">
        <f>HYPERLINK("https://careerviet.vn/vi/tim-viec-lam/nhan-vien-ky-thuat-bao-tri.35C684CC.html","Xem chi tiết")</f>
        <v/>
      </c>
    </row>
    <row r="10948">
      <c r="B10948" s="9" t="n">
        <v>10946</v>
      </c>
      <c r="C10948" s="10" t="inlineStr">
        <is>
          <t>[Sapa] Trưởng ban Quản lý Dự án Mường Hoa</t>
        </is>
      </c>
      <c r="D10948" s="10" t="inlineStr">
        <is>
          <t>Alphanam Group</t>
        </is>
      </c>
      <c r="E10948" s="10" t="inlineStr">
        <is>
          <t>Lương:Cạnh tranh</t>
        </is>
      </c>
      <c r="F10948" s="10" t="inlineStr">
        <is>
          <t>Lào Cai</t>
        </is>
      </c>
      <c r="G10948" s="10" t="inlineStr">
        <is>
          <t>14-04-2026</t>
        </is>
      </c>
      <c r="H10948" s="10" t="inlineStr">
        <is>
          <t>14/04/2026</t>
        </is>
      </c>
      <c r="I10948" s="10" t="inlineStr">
        <is>
          <t>17/03/2026</t>
        </is>
      </c>
      <c r="J10948" s="10" t="inlineStr">
        <is>
          <t>Xây dựng, Bất động sản</t>
        </is>
      </c>
      <c r="K10948" s="10" t="inlineStr">
        <is>
          <t>7 - 10 Năm</t>
        </is>
      </c>
      <c r="L10948" s="11">
        <f>HYPERLINK("https://careerviet.vn/vi/tim-viec-lam/sapa-truong-ban-quan-ly-du-an-muong-hoa.35C6C777.html","Xem chi tiết")</f>
        <v/>
      </c>
      <c r="M10948" s="10" t="n"/>
    </row>
    <row r="10949">
      <c r="B10949" s="7" t="n">
        <v>10947</v>
      </c>
      <c r="C10949" t="inlineStr">
        <is>
          <t>Phó Giám đốc Kinh Doanh Tại Thanh Hóa</t>
        </is>
      </c>
      <c r="D10949" t="inlineStr">
        <is>
          <t>Tổng Công Ty Cổ Phần Bảo Hiểm Ngân Hàng TMCP Công Thương Việt Nam</t>
        </is>
      </c>
      <c r="E10949" t="inlineStr">
        <is>
          <t>Lương:Cạnh tranh</t>
        </is>
      </c>
      <c r="F10949" t="inlineStr">
        <is>
          <t>Thanh Hóa</t>
        </is>
      </c>
      <c r="G10949" t="inlineStr">
        <is>
          <t>11-04-2026</t>
        </is>
      </c>
      <c r="H10949" t="inlineStr">
        <is>
          <t>11/04/2026</t>
        </is>
      </c>
      <c r="I10949" t="inlineStr">
        <is>
          <t>17/03/2026</t>
        </is>
      </c>
      <c r="J10949" t="inlineStr">
        <is>
          <t>Bảo hiểm</t>
        </is>
      </c>
      <c r="K10949" t="inlineStr">
        <is>
          <t>3 - 5 Năm</t>
        </is>
      </c>
      <c r="L10949" s="8">
        <f>HYPERLINK("https://careerviet.vn/vi/tim-viec-lam/pho-giam-doc-kinh-doanh-tai-thanh-hoa.35C68603.html","Xem chi tiết")</f>
        <v/>
      </c>
    </row>
    <row r="10950">
      <c r="B10950" s="9" t="n">
        <v>10948</v>
      </c>
      <c r="C10950" s="10" t="inlineStr">
        <is>
          <t>Kế toán trưởng</t>
        </is>
      </c>
      <c r="D10950" s="10" t="inlineStr">
        <is>
          <t>Công Ty TNHH Xúc Tiến Thương Mại NBT Holdings</t>
        </is>
      </c>
      <c r="E10950" s="10" t="inlineStr">
        <is>
          <t>Lương:25 Tr - 30 Tr VND</t>
        </is>
      </c>
      <c r="F10950" s="10" t="inlineStr">
        <is>
          <t>Hà Nội</t>
        </is>
      </c>
      <c r="G10950" s="10" t="inlineStr">
        <is>
          <t>15-04-2026</t>
        </is>
      </c>
      <c r="H10950" s="10" t="inlineStr">
        <is>
          <t>15/04/2026</t>
        </is>
      </c>
      <c r="I10950" s="10" t="inlineStr">
        <is>
          <t>17/03/2026</t>
        </is>
      </c>
      <c r="J10950" s="10" t="inlineStr">
        <is>
          <t>Kế toán / Kiểm toán, Tài chính / Đầu tư, Luật / Pháp lý</t>
        </is>
      </c>
      <c r="K10950" s="10" t="inlineStr">
        <is>
          <t>3 - 5 Năm</t>
        </is>
      </c>
      <c r="L10950" s="11">
        <f>HYPERLINK("https://careerviet.vn/vi/tim-viec-lam/ke-toan-truong.35C6C665.html","Xem chi tiết")</f>
        <v/>
      </c>
      <c r="M10950" s="10" t="n"/>
    </row>
    <row r="10951">
      <c r="B10951" s="7" t="n">
        <v>10949</v>
      </c>
      <c r="C10951" t="inlineStr">
        <is>
          <t>Kỹ sư cơ điện (Bình Phước)</t>
        </is>
      </c>
      <c r="D10951" t="inlineStr">
        <is>
          <t>CÔNG TY CỔ PHẦN THÁI VIỆT CORPORATION</t>
        </is>
      </c>
      <c r="E10951" t="inlineStr">
        <is>
          <t>Lương:Cạnh tranh</t>
        </is>
      </c>
      <c r="F10951" t="inlineStr">
        <is>
          <t>Bình Phước</t>
        </is>
      </c>
      <c r="G10951" t="inlineStr">
        <is>
          <t>11-04-2026</t>
        </is>
      </c>
      <c r="H10951" t="inlineStr">
        <is>
          <t>11/04/2026</t>
        </is>
      </c>
      <c r="I10951" t="inlineStr">
        <is>
          <t>17/03/2026</t>
        </is>
      </c>
      <c r="J10951" t="inlineStr">
        <is>
          <t>Điện / Điện tử / Điện lạnh / Điện công nghiệp</t>
        </is>
      </c>
      <c r="K10951" t="inlineStr">
        <is>
          <t>2 - 3 Năm</t>
        </is>
      </c>
      <c r="L10951" s="8">
        <f>HYPERLINK("https://careerviet.vn/vi/tim-viec-lam/ky-su-co-dien-binh-phuoc.35C6850C.html","Xem chi tiết")</f>
        <v/>
      </c>
    </row>
    <row r="10952">
      <c r="B10952" s="9" t="n">
        <v>10950</v>
      </c>
      <c r="C10952" s="10" t="inlineStr">
        <is>
          <t>Electronics Technician (Work on shifts)</t>
        </is>
      </c>
      <c r="D10952" s="10" t="inlineStr">
        <is>
          <t>Sonion Vietnam</t>
        </is>
      </c>
      <c r="E10952" s="10" t="inlineStr">
        <is>
          <t>Lương:Cạnh tranh</t>
        </is>
      </c>
      <c r="F10952" s="10" t="inlineStr">
        <is>
          <t>Hồ Chí Minh</t>
        </is>
      </c>
      <c r="G10952" s="10" t="inlineStr">
        <is>
          <t>13-04-2026</t>
        </is>
      </c>
      <c r="H10952" s="10" t="inlineStr">
        <is>
          <t>13/04/2026</t>
        </is>
      </c>
      <c r="I10952" s="10" t="inlineStr">
        <is>
          <t>17/03/2026</t>
        </is>
      </c>
      <c r="J10952" s="10" t="inlineStr">
        <is>
          <t>Điện / Điện tử / Điện lạnh / Điện công nghiệp</t>
        </is>
      </c>
      <c r="K10952" s="10" t="inlineStr">
        <is>
          <t>2 - 3 Năm</t>
        </is>
      </c>
      <c r="L10952" s="11">
        <f>HYPERLINK("https://careerviet.vn/vi/tim-viec-lam/electronics-technician-work-on-shifts.35C6C773.html","Xem chi tiết")</f>
        <v/>
      </c>
      <c r="M10952" s="10" t="n"/>
    </row>
    <row r="10953">
      <c r="B10953" s="7" t="n">
        <v>10951</v>
      </c>
      <c r="C10953" t="inlineStr">
        <is>
          <t>Logistics Solutions Coordinator Officer (VLSC)</t>
        </is>
      </c>
      <c r="D10953" t="inlineStr">
        <is>
          <t>SABECO - Saigon Beer-Alcohol-Beverage Corporation</t>
        </is>
      </c>
      <c r="E10953" t="inlineStr">
        <is>
          <t>Lương:Cạnh tranh</t>
        </is>
      </c>
      <c r="F10953" t="inlineStr">
        <is>
          <t>Hồ Chí Minh</t>
        </is>
      </c>
      <c r="G10953" t="inlineStr">
        <is>
          <t>11-04-2026</t>
        </is>
      </c>
      <c r="H10953" t="inlineStr">
        <is>
          <t>11/04/2026</t>
        </is>
      </c>
      <c r="I10953" t="inlineStr">
        <is>
          <t>17/03/2026</t>
        </is>
      </c>
      <c r="J10953" t="inlineStr">
        <is>
          <t>CNTT - Phần mềm</t>
        </is>
      </c>
      <c r="K10953" t="inlineStr">
        <is>
          <t>2 - 4 Năm</t>
        </is>
      </c>
      <c r="L10953" s="8">
        <f>HYPERLINK("https://careerviet.vn/vi/tim-viec-lam/logistics-solutions-coordinator-officer-vlsc.35C68578.html","Xem chi tiết")</f>
        <v/>
      </c>
    </row>
    <row r="10954">
      <c r="B10954" s="9" t="n">
        <v>10952</v>
      </c>
      <c r="C10954" s="10" t="inlineStr">
        <is>
          <t>Chỉ huy trưởng (Kết Cấu Thép)</t>
        </is>
      </c>
      <c r="D10954" s="10" t="inlineStr">
        <is>
          <t>CÔNG TY TRÁCH NHIỆM HỮU HẠN THÉP QSB</t>
        </is>
      </c>
      <c r="E10954" s="10" t="inlineStr">
        <is>
          <t>Lương:20 Tr - 25 Tr VND</t>
        </is>
      </c>
      <c r="F10954" s="10" t="inlineStr">
        <is>
          <t>Khánh Hòa</t>
        </is>
      </c>
      <c r="G10954" s="10" t="inlineStr">
        <is>
          <t>30-03-2026</t>
        </is>
      </c>
      <c r="H10954" s="10" t="inlineStr">
        <is>
          <t>30/03/2026</t>
        </is>
      </c>
      <c r="I10954" s="10" t="inlineStr">
        <is>
          <t>17/03/2026</t>
        </is>
      </c>
      <c r="J10954" s="10" t="inlineStr">
        <is>
          <t>Cơ khí / Ô tô / Tự động hóa, Xây dựng</t>
        </is>
      </c>
      <c r="K10954" s="10" t="inlineStr">
        <is>
          <t>2 - 3 Năm</t>
        </is>
      </c>
      <c r="L10954" s="11">
        <f>HYPERLINK("https://careerviet.vn/vi/tim-viec-lam/chi-huy-truong-ket-cau-thep.35C6C755.html","Xem chi tiết")</f>
        <v/>
      </c>
      <c r="M10954" s="10" t="n"/>
    </row>
    <row r="10955">
      <c r="B10955" s="7" t="n">
        <v>10953</v>
      </c>
      <c r="C10955" t="inlineStr">
        <is>
          <t>Đại Diện Bán Hàng</t>
        </is>
      </c>
      <c r="D10955" t="inlineStr">
        <is>
          <t>Tập Đoàn Karofi Holding</t>
        </is>
      </c>
      <c r="E10955" t="inlineStr">
        <is>
          <t>Lương:16 Tr - 22 Tr VND</t>
        </is>
      </c>
      <c r="F10955" t="inlineStr">
        <is>
          <t>Ninh ThuậnKhánh HòaBình Định</t>
        </is>
      </c>
      <c r="G10955" t="inlineStr">
        <is>
          <t>29-04-2026</t>
        </is>
      </c>
      <c r="H10955" t="inlineStr">
        <is>
          <t>29/04/2026</t>
        </is>
      </c>
      <c r="I10955" t="inlineStr">
        <is>
          <t>17/03/2026</t>
        </is>
      </c>
      <c r="J10955" t="inlineStr">
        <is>
          <t>Hàng gia dụng / Chăm sóc cá nhân, Bán lẻ / Bán sỉ, Bán hàng / Kinh doanh</t>
        </is>
      </c>
      <c r="K10955" t="inlineStr">
        <is>
          <t>Trên 1 Năm</t>
        </is>
      </c>
      <c r="L10955" s="8">
        <f>HYPERLINK("https://careerviet.vn/vi/tim-viec-lam/dai-dien-ban-hang.35C6C768.html","Xem chi tiết")</f>
        <v/>
      </c>
    </row>
    <row r="10956">
      <c r="B10956" s="9" t="n">
        <v>10954</v>
      </c>
      <c r="C10956" s="10" t="inlineStr">
        <is>
          <t>Chuyên viên kế toán</t>
        </is>
      </c>
      <c r="D10956" s="10" t="inlineStr">
        <is>
          <t>Công ty TNHH MTV Sen Vàng Việt Nam</t>
        </is>
      </c>
      <c r="E10956" s="10" t="inlineStr">
        <is>
          <t>Lương:15 Tr - 18 Tr VND</t>
        </is>
      </c>
      <c r="F10956" s="10" t="inlineStr">
        <is>
          <t>Hồ Chí Minh</t>
        </is>
      </c>
      <c r="G10956" s="10" t="inlineStr">
        <is>
          <t>11-04-2026</t>
        </is>
      </c>
      <c r="H10956" s="10" t="inlineStr">
        <is>
          <t>11/04/2026</t>
        </is>
      </c>
      <c r="I10956" s="10" t="inlineStr">
        <is>
          <t>17/03/2026</t>
        </is>
      </c>
      <c r="J10956" s="10" t="inlineStr">
        <is>
          <t>Kế toán / Kiểm toán, Sản xuất / Vận hành sản xuất</t>
        </is>
      </c>
      <c r="K10956" s="10" t="inlineStr">
        <is>
          <t>2 - 3 Năm</t>
        </is>
      </c>
      <c r="L10956" s="11">
        <f>HYPERLINK("https://careerviet.vn/vi/tim-viec-lam/chuyen-vien-ke-toan.35C685E2.html","Xem chi tiết")</f>
        <v/>
      </c>
      <c r="M10956" s="10" t="n"/>
    </row>
    <row r="10957">
      <c r="B10957" s="7" t="n">
        <v>10955</v>
      </c>
      <c r="C10957" t="inlineStr">
        <is>
          <t>Nhân viên Kế toán bán hàng</t>
        </is>
      </c>
      <c r="D10957" t="inlineStr">
        <is>
          <t>Tập Đoàn Kim Tín</t>
        </is>
      </c>
      <c r="E10957" t="inlineStr">
        <is>
          <t>Lương:Cạnh tranh</t>
        </is>
      </c>
      <c r="F10957" t="inlineStr">
        <is>
          <t>Hồ Chí Minh</t>
        </is>
      </c>
      <c r="G10957" t="inlineStr">
        <is>
          <t>11-04-2026</t>
        </is>
      </c>
      <c r="H10957" t="inlineStr">
        <is>
          <t>11/04/2026</t>
        </is>
      </c>
      <c r="I10957" t="inlineStr">
        <is>
          <t>17/03/2026</t>
        </is>
      </c>
      <c r="J10957" t="inlineStr">
        <is>
          <t>Kế toán / Kiểm toán</t>
        </is>
      </c>
      <c r="K10957" t="inlineStr">
        <is>
          <t>1 - 3 Năm</t>
        </is>
      </c>
      <c r="L10957" s="8">
        <f>HYPERLINK("https://careerviet.vn/vi/tim-viec-lam/nhan-vien-ke-toan-ban-hang.35C6857A.html","Xem chi tiết")</f>
        <v/>
      </c>
    </row>
    <row r="10958">
      <c r="B10958" s="9" t="n">
        <v>10956</v>
      </c>
      <c r="C10958" s="10" t="inlineStr">
        <is>
          <t>Kế toán tổng hợp</t>
        </is>
      </c>
      <c r="D10958" s="10" t="inlineStr">
        <is>
          <t>CÔNG TY TNHH BỘT SƠN TĨNH ĐIỆN KIM THÀNH PHÁT</t>
        </is>
      </c>
      <c r="E10958" s="10" t="inlineStr">
        <is>
          <t>Lương:15 Tr - 20 Tr VND</t>
        </is>
      </c>
      <c r="F10958" s="10" t="inlineStr">
        <is>
          <t>Long An</t>
        </is>
      </c>
      <c r="G10958" s="10" t="inlineStr">
        <is>
          <t>13-04-2026</t>
        </is>
      </c>
      <c r="H10958" s="10" t="inlineStr">
        <is>
          <t>13/04/2026</t>
        </is>
      </c>
      <c r="I10958" s="10" t="inlineStr">
        <is>
          <t>17/03/2026</t>
        </is>
      </c>
      <c r="J10958" s="10" t="inlineStr">
        <is>
          <t>Kế toán / Kiểm toán</t>
        </is>
      </c>
      <c r="K10958" s="10" t="inlineStr">
        <is>
          <t>3 - 5 Năm</t>
        </is>
      </c>
      <c r="L10958" s="11">
        <f>HYPERLINK("https://careerviet.vn/vi/tim-viec-lam/ke-toan-tong-hop.35C6C761.html","Xem chi tiết")</f>
        <v/>
      </c>
      <c r="M10958" s="10" t="n"/>
    </row>
    <row r="10959">
      <c r="B10959" s="7" t="n">
        <v>10957</v>
      </c>
      <c r="C10959" t="inlineStr">
        <is>
          <t>Nhân Viên Nhân Sự</t>
        </is>
      </c>
      <c r="D10959" t="inlineStr">
        <is>
          <t>CÔNG TY TRÁCH NHIỆM HỮU HẠN TÂN HỒ TÚ</t>
        </is>
      </c>
      <c r="E10959" t="inlineStr">
        <is>
          <t>Lương:Cạnh tranh</t>
        </is>
      </c>
      <c r="F10959" t="inlineStr">
        <is>
          <t>Bình Dương</t>
        </is>
      </c>
      <c r="G10959" t="inlineStr">
        <is>
          <t>13-04-2026</t>
        </is>
      </c>
      <c r="H10959" t="inlineStr">
        <is>
          <t>13/04/2026</t>
        </is>
      </c>
      <c r="I10959" t="inlineStr">
        <is>
          <t>17/03/2026</t>
        </is>
      </c>
      <c r="J10959" t="inlineStr">
        <is>
          <t>Hành chính / Thư ký, Nhân sự, Quản lý điều hành</t>
        </is>
      </c>
      <c r="K10959" t="inlineStr">
        <is>
          <t>1 - 2 Năm</t>
        </is>
      </c>
      <c r="L10959" s="8">
        <f>HYPERLINK("https://careerviet.vn/vi/tim-viec-lam/nhan-vien-nhan-su.35C6C701.html","Xem chi tiết")</f>
        <v/>
      </c>
    </row>
    <row r="10960">
      <c r="B10960" s="9" t="n">
        <v>10958</v>
      </c>
      <c r="C10960" s="10" t="inlineStr">
        <is>
          <t>[KCN Tân Kim - Cần Giuộc] Nhân viên Kế toán</t>
        </is>
      </c>
      <c r="D10960" s="10" t="inlineStr">
        <is>
          <t>Công Ty Cổ Phần Y Tế Việt Tiến</t>
        </is>
      </c>
      <c r="E10960" s="10" t="inlineStr">
        <is>
          <t>Lương:Cạnh tranh</t>
        </is>
      </c>
      <c r="F10960" s="10" t="inlineStr">
        <is>
          <t>Long An</t>
        </is>
      </c>
      <c r="G10960" s="10" t="inlineStr">
        <is>
          <t>30-05-2026</t>
        </is>
      </c>
      <c r="H10960" s="10" t="inlineStr">
        <is>
          <t>30/05/2026</t>
        </is>
      </c>
      <c r="I10960" s="10" t="inlineStr">
        <is>
          <t>17/03/2026</t>
        </is>
      </c>
      <c r="J10960" s="10" t="inlineStr">
        <is>
          <t>Kế toán / Kiểm toán, Ngành khác</t>
        </is>
      </c>
      <c r="K10960" s="10" t="inlineStr">
        <is>
          <t>Trên 1 Năm</t>
        </is>
      </c>
      <c r="L10960" s="11">
        <f>HYPERLINK("https://careerviet.vn/vi/tim-viec-lam/kcn-tan-kim-can-giuoc-nhan-vien-ke-toan.35C6C75F.html","Xem chi tiết")</f>
        <v/>
      </c>
      <c r="M10960" s="10" t="n"/>
    </row>
    <row r="10961">
      <c r="B10961" s="7" t="n">
        <v>10959</v>
      </c>
      <c r="C10961" t="inlineStr">
        <is>
          <t>[Hà Nội, Hòa Bình] - Chuyên viên kế toán -  Accountant</t>
        </is>
      </c>
      <c r="D10961" t="inlineStr">
        <is>
          <t>Công ty TNHH Phát triển Phú Mỹ Hưng</t>
        </is>
      </c>
      <c r="E10961" t="inlineStr">
        <is>
          <t>Lương:Cạnh tranh</t>
        </is>
      </c>
      <c r="F10961" t="inlineStr">
        <is>
          <t>Hòa Bình</t>
        </is>
      </c>
      <c r="G10961" t="inlineStr">
        <is>
          <t>13-04-2026</t>
        </is>
      </c>
      <c r="H10961" t="inlineStr">
        <is>
          <t>13/04/2026</t>
        </is>
      </c>
      <c r="I10961" t="inlineStr">
        <is>
          <t>17/03/2026</t>
        </is>
      </c>
      <c r="J10961" t="inlineStr">
        <is>
          <t>Kế toán / Kiểm toán</t>
        </is>
      </c>
      <c r="K10961" t="inlineStr">
        <is>
          <t>3 - 5 Năm</t>
        </is>
      </c>
      <c r="L10961" s="8">
        <f>HYPERLINK("https://careerviet.vn/vi/tim-viec-lam/ha-noi-hoa-binh-chuyen-vien-ke-toan-accountant.35C6C765.html","Xem chi tiết")</f>
        <v/>
      </c>
    </row>
    <row r="10962">
      <c r="B10962" s="9" t="n">
        <v>10960</v>
      </c>
      <c r="C10962" s="10" t="inlineStr">
        <is>
          <t>Chỉ Huy Trưởng Dự Án</t>
        </is>
      </c>
      <c r="D10962" s="10" t="inlineStr">
        <is>
          <t>Công Ty Cổ Phần Thiết Kế Và Xây Dựng Giza Việt Nam</t>
        </is>
      </c>
      <c r="E10962" s="10" t="inlineStr">
        <is>
          <t>Lương:Cạnh tranh</t>
        </is>
      </c>
      <c r="F10962" s="10" t="inlineStr">
        <is>
          <t>Thái NguyênBắc NinhHải Dương</t>
        </is>
      </c>
      <c r="G10962" s="10" t="inlineStr">
        <is>
          <t>13-04-2026</t>
        </is>
      </c>
      <c r="H10962" s="10" t="inlineStr">
        <is>
          <t>13/04/2026</t>
        </is>
      </c>
      <c r="I10962" s="10" t="inlineStr">
        <is>
          <t>17/03/2026</t>
        </is>
      </c>
      <c r="J10962" s="10" t="inlineStr">
        <is>
          <t>Xây dựng, Kiến trúc, Bất động sản</t>
        </is>
      </c>
      <c r="K10962" s="10" t="inlineStr">
        <is>
          <t>Trên 5 Năm</t>
        </is>
      </c>
      <c r="L10962" s="11">
        <f>HYPERLINK("https://careerviet.vn/vi/tim-viec-lam/chi-huy-truong-du-an.35C6C731.html","Xem chi tiết")</f>
        <v/>
      </c>
      <c r="M10962" s="10" t="n"/>
    </row>
    <row r="10963">
      <c r="B10963" s="7" t="n">
        <v>10961</v>
      </c>
      <c r="C10963" t="inlineStr">
        <is>
          <t>Chuyên viên xuất nhập khẩu</t>
        </is>
      </c>
      <c r="D10963" t="inlineStr">
        <is>
          <t>CÔNG TY CỔ PHẦN SẢN XUẤT VÀ BẢO DƯỠNG THIẾT BỊ HÀNG KHÔNG</t>
        </is>
      </c>
      <c r="E10963" t="inlineStr">
        <is>
          <t>Lương:Cạnh tranh</t>
        </is>
      </c>
      <c r="F10963" t="inlineStr">
        <is>
          <t>Hà Nội</t>
        </is>
      </c>
      <c r="G10963" t="inlineStr">
        <is>
          <t>28-03-2026</t>
        </is>
      </c>
      <c r="H10963" t="inlineStr">
        <is>
          <t>28/03/2026</t>
        </is>
      </c>
      <c r="I10963" t="inlineStr">
        <is>
          <t>17/03/2026</t>
        </is>
      </c>
      <c r="J10963" t="inlineStr">
        <is>
          <t>Xuất nhập khẩu, Vận chuyển / Giao nhận / Kho vận</t>
        </is>
      </c>
      <c r="K10963" t="inlineStr">
        <is>
          <t>Trên 2 Năm</t>
        </is>
      </c>
      <c r="L10963" s="8">
        <f>HYPERLINK("https://careerviet.vn/vi/tim-viec-lam/chuyen-vien-xuat-nhap-khau.35C6C760.html","Xem chi tiết")</f>
        <v/>
      </c>
    </row>
    <row r="10964">
      <c r="B10964" s="9" t="n">
        <v>10962</v>
      </c>
      <c r="C10964" s="10" t="inlineStr">
        <is>
          <t>Chuyên viên Tiếp nhận và Bàn giao Bất động sản</t>
        </is>
      </c>
      <c r="D10964" s="10" t="inlineStr">
        <is>
          <t>Công Ty Cổ Phần Địa Ốc Phú Long</t>
        </is>
      </c>
      <c r="E10964" s="10" t="inlineStr">
        <is>
          <t>Lương:Cạnh tranh</t>
        </is>
      </c>
      <c r="F10964" s="10" t="inlineStr">
        <is>
          <t>Hồ Chí Minh</t>
        </is>
      </c>
      <c r="G10964" s="10" t="inlineStr">
        <is>
          <t>14-04-2026</t>
        </is>
      </c>
      <c r="H10964" s="10" t="inlineStr">
        <is>
          <t>14/04/2026</t>
        </is>
      </c>
      <c r="I10964" s="10" t="inlineStr">
        <is>
          <t>17/03/2026</t>
        </is>
      </c>
      <c r="J10964" s="10" t="inlineStr">
        <is>
          <t>Bất động sản, Xây dựng, Bảo trì / Sửa chữa</t>
        </is>
      </c>
      <c r="K10964" s="10" t="inlineStr">
        <is>
          <t>2 - 10 Năm</t>
        </is>
      </c>
      <c r="L10964" s="11">
        <f>HYPERLINK("https://careerviet.vn/vi/tim-viec-lam/chuyen-vien-tiep-nhan-va-ban-giao-bat-dong-san.35C6C75E.html","Xem chi tiết")</f>
        <v/>
      </c>
      <c r="M10964" s="10" t="n"/>
    </row>
    <row r="10965">
      <c r="B10965" s="7" t="n">
        <v>10963</v>
      </c>
      <c r="C10965" t="inlineStr">
        <is>
          <t>IT Support Officer</t>
        </is>
      </c>
      <c r="D10965" t="inlineStr">
        <is>
          <t>Công Ty TNHH Việt Nam Samho</t>
        </is>
      </c>
      <c r="E10965" t="inlineStr">
        <is>
          <t>Lương:10 Tr - 15 Tr VND</t>
        </is>
      </c>
      <c r="F10965" t="inlineStr">
        <is>
          <t>Hồ Chí Minh</t>
        </is>
      </c>
      <c r="G10965" t="inlineStr">
        <is>
          <t>11-04-2026</t>
        </is>
      </c>
      <c r="H10965" t="inlineStr">
        <is>
          <t>11/04/2026</t>
        </is>
      </c>
      <c r="I10965" t="inlineStr">
        <is>
          <t>17/03/2026</t>
        </is>
      </c>
      <c r="J10965" t="inlineStr">
        <is>
          <t>Bưu chính viễn thông, Sản xuất / Vận hành sản xuất, Bảo trì / Sửa chữa</t>
        </is>
      </c>
      <c r="K10965" t="inlineStr">
        <is>
          <t>N/A</t>
        </is>
      </c>
      <c r="L10965" s="8">
        <f>HYPERLINK("https://careerviet.vn/vi/tim-viec-lam/it-support-officer.35C6C763.html","Xem chi tiết")</f>
        <v/>
      </c>
    </row>
    <row r="10966">
      <c r="B10966" s="9" t="n">
        <v>10964</v>
      </c>
      <c r="C10966" s="10" t="inlineStr">
        <is>
          <t>Kế toán thuế - công nợ</t>
        </is>
      </c>
      <c r="D10966" s="10" t="inlineStr">
        <is>
          <t>Công Ty Cổ Phần Đầu Tư Viên Ngọc Mới</t>
        </is>
      </c>
      <c r="E10966" s="10" t="inlineStr">
        <is>
          <t>Lương:Cạnh tranh</t>
        </is>
      </c>
      <c r="F10966" s="10" t="inlineStr">
        <is>
          <t>Hồ Chí Minh</t>
        </is>
      </c>
      <c r="G10966" s="10" t="inlineStr">
        <is>
          <t>30-04-2026</t>
        </is>
      </c>
      <c r="H10966" s="10" t="inlineStr">
        <is>
          <t>30/04/2026</t>
        </is>
      </c>
      <c r="I10966" s="10" t="inlineStr">
        <is>
          <t>17/03/2026</t>
        </is>
      </c>
      <c r="J10966" s="10" t="inlineStr">
        <is>
          <t>Kế toán / Kiểm toán, Nhà hàng / Khách sạn</t>
        </is>
      </c>
      <c r="K10966" s="10" t="inlineStr">
        <is>
          <t>Trên 3 Năm</t>
        </is>
      </c>
      <c r="L10966" s="11">
        <f>HYPERLINK("https://careerviet.vn/vi/tim-viec-lam/ke-toan-thue-cong-no.35C6C76A.html","Xem chi tiết")</f>
        <v/>
      </c>
      <c r="M10966" s="10" t="n"/>
    </row>
    <row r="10967">
      <c r="B10967" s="7" t="n">
        <v>10965</v>
      </c>
      <c r="C10967" t="inlineStr">
        <is>
          <t>Chuyên viên Tuyển dụng</t>
        </is>
      </c>
      <c r="D10967" t="inlineStr">
        <is>
          <t>Công Ty CP Xây Dựng Số 1 (COFICO)</t>
        </is>
      </c>
      <c r="E10967" t="inlineStr">
        <is>
          <t>Lương:15 Tr - 25 Tr VND</t>
        </is>
      </c>
      <c r="F10967" t="inlineStr">
        <is>
          <t>Hồ Chí Minh</t>
        </is>
      </c>
      <c r="G10967" t="inlineStr">
        <is>
          <t>31-03-2026</t>
        </is>
      </c>
      <c r="H10967" t="inlineStr">
        <is>
          <t>31/03/2026</t>
        </is>
      </c>
      <c r="I10967" t="inlineStr">
        <is>
          <t>17/03/2026</t>
        </is>
      </c>
      <c r="J10967" t="inlineStr">
        <is>
          <t>Xây dựng, Nhân sự</t>
        </is>
      </c>
      <c r="K10967" t="inlineStr">
        <is>
          <t>5 - 10 Năm</t>
        </is>
      </c>
      <c r="L10967" s="8">
        <f>HYPERLINK("https://careerviet.vn/vi/tim-viec-lam/chuyen-vien-tuyen-dung.35C6C759.html","Xem chi tiết")</f>
        <v/>
      </c>
    </row>
    <row r="10968">
      <c r="B10968" s="9" t="n">
        <v>10966</v>
      </c>
      <c r="C10968" s="10" t="inlineStr">
        <is>
          <t>[KCN Tân Kim - Cần Giuộc] Nhân viên Mua hàng</t>
        </is>
      </c>
      <c r="D10968" s="10" t="inlineStr">
        <is>
          <t>Công Ty Cổ Phần Y Tế Việt Tiến</t>
        </is>
      </c>
      <c r="E10968" s="10" t="inlineStr">
        <is>
          <t>Lương:Cạnh tranh</t>
        </is>
      </c>
      <c r="F10968" s="10" t="inlineStr">
        <is>
          <t>Long An</t>
        </is>
      </c>
      <c r="G10968" s="10" t="inlineStr">
        <is>
          <t>30-05-2026</t>
        </is>
      </c>
      <c r="H10968" s="10" t="inlineStr">
        <is>
          <t>30/05/2026</t>
        </is>
      </c>
      <c r="I10968" s="10" t="inlineStr">
        <is>
          <t>17/03/2026</t>
        </is>
      </c>
      <c r="J10968" s="10" t="inlineStr">
        <is>
          <t>Ngành khác, Vận chuyển / Giao nhận / Kho vận, Thu mua / Vật tư</t>
        </is>
      </c>
      <c r="K10968" s="10" t="inlineStr">
        <is>
          <t>Trên 1 Năm</t>
        </is>
      </c>
      <c r="L10968" s="11">
        <f>HYPERLINK("https://careerviet.vn/vi/tim-viec-lam/kcn-tan-kim-can-giuoc-nhan-vien-mua-hang.35C6C75B.html","Xem chi tiết")</f>
        <v/>
      </c>
      <c r="M10968" s="10" t="n"/>
    </row>
    <row r="10969">
      <c r="B10969" s="7" t="n">
        <v>10967</v>
      </c>
      <c r="C10969" t="inlineStr">
        <is>
          <t>[KCN Tân Kim - Cần Giuộc] Chuyên viên mua hàng quốc tế</t>
        </is>
      </c>
      <c r="D10969" t="inlineStr">
        <is>
          <t>Công Ty Cổ Phần Y Tế Việt Tiến</t>
        </is>
      </c>
      <c r="E10969" t="inlineStr">
        <is>
          <t>Lương:Cạnh tranh</t>
        </is>
      </c>
      <c r="F10969" t="inlineStr">
        <is>
          <t>Long An</t>
        </is>
      </c>
      <c r="G10969" t="inlineStr">
        <is>
          <t>30-05-2026</t>
        </is>
      </c>
      <c r="H10969" t="inlineStr">
        <is>
          <t>30/05/2026</t>
        </is>
      </c>
      <c r="I10969" t="inlineStr">
        <is>
          <t>17/03/2026</t>
        </is>
      </c>
      <c r="J10969" t="inlineStr">
        <is>
          <t>Ngành khác, Vận chuyển / Giao nhận / Kho vận, Thu mua / Vật tư</t>
        </is>
      </c>
      <c r="K10969" t="inlineStr">
        <is>
          <t>Trên 1 Năm</t>
        </is>
      </c>
      <c r="L10969" s="8">
        <f>HYPERLINK("https://careerviet.vn/vi/tim-viec-lam/kcn-tan-kim-can-giuoc-chuyen-vien-mua-hang-quoc-te.35C6C75D.html","Xem chi tiết")</f>
        <v/>
      </c>
    </row>
    <row r="10970">
      <c r="B10970" s="9" t="n">
        <v>10968</v>
      </c>
      <c r="C10970" s="10" t="inlineStr">
        <is>
          <t>Nhân viên Nhân chính - Vietravel Vĩnh Long</t>
        </is>
      </c>
      <c r="D10970" s="10" t="inlineStr">
        <is>
          <t>Công Ty Cổ Phần Du Lịch Vietravel</t>
        </is>
      </c>
      <c r="E10970" s="10" t="inlineStr">
        <is>
          <t>Lương:Cạnh tranh</t>
        </is>
      </c>
      <c r="F10970" s="10" t="inlineStr">
        <is>
          <t>Vĩnh Long</t>
        </is>
      </c>
      <c r="G10970" s="10" t="inlineStr">
        <is>
          <t>25-04-2026</t>
        </is>
      </c>
      <c r="H10970" s="10" t="inlineStr">
        <is>
          <t>25/04/2026</t>
        </is>
      </c>
      <c r="I10970" s="10" t="inlineStr">
        <is>
          <t>17/03/2026</t>
        </is>
      </c>
      <c r="J10970" s="10" t="inlineStr">
        <is>
          <t>Hành chính / Thư ký, Bán hàng / Kinh doanh, Du lịch</t>
        </is>
      </c>
      <c r="K10970" s="10" t="inlineStr">
        <is>
          <t>2 - 3 Năm</t>
        </is>
      </c>
      <c r="L10970" s="11">
        <f>HYPERLINK("https://careerviet.vn/vi/tim-viec-lam/nhan-vien-nhan-chinh-vietravel-vinh-long.35C6C75A.html","Xem chi tiết")</f>
        <v/>
      </c>
      <c r="M10970" s="10" t="n"/>
    </row>
    <row r="10971">
      <c r="B10971" s="7" t="n">
        <v>10969</v>
      </c>
      <c r="C10971" t="inlineStr">
        <is>
          <t>Tài xế lái xe văn phòng</t>
        </is>
      </c>
      <c r="D10971" t="inlineStr">
        <is>
          <t>UNIEXPORT CO., LTD</t>
        </is>
      </c>
      <c r="E10971" t="inlineStr">
        <is>
          <t>Lương:Cạnh tranh</t>
        </is>
      </c>
      <c r="F10971" t="inlineStr">
        <is>
          <t>Hồ Chí Minh</t>
        </is>
      </c>
      <c r="G10971" t="inlineStr">
        <is>
          <t>31-03-2026</t>
        </is>
      </c>
      <c r="H10971" t="inlineStr">
        <is>
          <t>31/03/2026</t>
        </is>
      </c>
      <c r="I10971" t="inlineStr">
        <is>
          <t>17/03/2026</t>
        </is>
      </c>
      <c r="J10971" t="inlineStr">
        <is>
          <t>Vận chuyển / Giao nhận / Kho vận</t>
        </is>
      </c>
      <c r="K10971" t="inlineStr">
        <is>
          <t>5 - 7 Năm</t>
        </is>
      </c>
      <c r="L10971" s="8">
        <f>HYPERLINK("https://careerviet.vn/vi/tim-viec-lam/tai-xe-lai-xe-van-phong.35C6C749.html","Xem chi tiết")</f>
        <v/>
      </c>
    </row>
    <row r="10972">
      <c r="B10972" s="9" t="n">
        <v>10970</v>
      </c>
      <c r="C10972" s="10" t="inlineStr">
        <is>
          <t>Nhân viên Điều hành - Vietravel Vĩnh Long</t>
        </is>
      </c>
      <c r="D10972" s="10" t="inlineStr">
        <is>
          <t>Công Ty Cổ Phần Du Lịch Vietravel</t>
        </is>
      </c>
      <c r="E10972" s="10" t="inlineStr">
        <is>
          <t>Lương:Cạnh tranh</t>
        </is>
      </c>
      <c r="F10972" s="10" t="inlineStr">
        <is>
          <t>Vĩnh Long</t>
        </is>
      </c>
      <c r="G10972" s="10" t="inlineStr">
        <is>
          <t>25-04-2026</t>
        </is>
      </c>
      <c r="H10972" s="10" t="inlineStr">
        <is>
          <t>25/04/2026</t>
        </is>
      </c>
      <c r="I10972" s="10" t="inlineStr">
        <is>
          <t>17/03/2026</t>
        </is>
      </c>
      <c r="J10972" s="10" t="inlineStr">
        <is>
          <t>Kế toán / Kiểm toán, Bán hàng / Kinh doanh, Du lịch</t>
        </is>
      </c>
      <c r="K10972" s="10" t="inlineStr">
        <is>
          <t>2 - 3 Năm</t>
        </is>
      </c>
      <c r="L10972" s="11">
        <f>HYPERLINK("https://careerviet.vn/vi/tim-viec-lam/nhan-vien-dieu-hanh-vietravel-vinh-long.35C6C756.html","Xem chi tiết")</f>
        <v/>
      </c>
      <c r="M10972" s="10" t="n"/>
    </row>
    <row r="10973">
      <c r="B10973" s="7" t="n">
        <v>10971</v>
      </c>
      <c r="C10973" t="inlineStr">
        <is>
          <t>Trưởng phòng Hành chính Nhân sự - Bất động sản</t>
        </is>
      </c>
      <c r="D10973" t="inlineStr">
        <is>
          <t>Alphanam Group</t>
        </is>
      </c>
      <c r="E10973" t="inlineStr">
        <is>
          <t>Lương:Cạnh tranh</t>
        </is>
      </c>
      <c r="F10973" t="inlineStr">
        <is>
          <t>Hà NộiKV Bắc Trung Bộ</t>
        </is>
      </c>
      <c r="G10973" t="inlineStr">
        <is>
          <t>30-05-2026</t>
        </is>
      </c>
      <c r="H10973" t="inlineStr">
        <is>
          <t>30/05/2026</t>
        </is>
      </c>
      <c r="I10973" t="inlineStr">
        <is>
          <t>17/03/2026</t>
        </is>
      </c>
      <c r="J10973" t="inlineStr">
        <is>
          <t>Hành chính / Thư ký, Nhân sự, Bất động sản</t>
        </is>
      </c>
      <c r="K10973" t="inlineStr">
        <is>
          <t>3 - 5 Năm</t>
        </is>
      </c>
      <c r="L10973" s="8">
        <f>HYPERLINK("https://careerviet.vn/vi/tim-viec-lam/truong-phong-hanh-chinh-nhan-su-bat-dong-san.35C6C758.html","Xem chi tiết")</f>
        <v/>
      </c>
    </row>
    <row r="10974">
      <c r="B10974" s="9" t="n">
        <v>10972</v>
      </c>
      <c r="C10974" s="10" t="inlineStr">
        <is>
          <t>Chuyên viên Hành chính Nhân sự Tổng hợp</t>
        </is>
      </c>
      <c r="D10974" s="10" t="inlineStr">
        <is>
          <t>Alphanam Group</t>
        </is>
      </c>
      <c r="E10974" s="10" t="inlineStr">
        <is>
          <t>Lương:10 Tr - 15 Tr VND</t>
        </is>
      </c>
      <c r="F10974" s="10" t="inlineStr">
        <is>
          <t>Hà Nội</t>
        </is>
      </c>
      <c r="G10974" s="10" t="inlineStr">
        <is>
          <t>14-04-2026</t>
        </is>
      </c>
      <c r="H10974" s="10" t="inlineStr">
        <is>
          <t>14/04/2026</t>
        </is>
      </c>
      <c r="I10974" s="10" t="inlineStr">
        <is>
          <t>17/03/2026</t>
        </is>
      </c>
      <c r="J10974" s="10" t="inlineStr">
        <is>
          <t>Hành chính / Thư ký, Nhân sự</t>
        </is>
      </c>
      <c r="K10974" s="10" t="inlineStr">
        <is>
          <t>1 - 3 Năm</t>
        </is>
      </c>
      <c r="L10974" s="11">
        <f>HYPERLINK("https://careerviet.vn/vi/tim-viec-lam/chuyen-vien-hanh-chinh-nhan-su-tong-hop.35C6C74A.html","Xem chi tiết")</f>
        <v/>
      </c>
      <c r="M10974" s="10" t="n"/>
    </row>
    <row r="10975">
      <c r="B10975" s="7" t="n">
        <v>10973</v>
      </c>
      <c r="C10975" t="inlineStr">
        <is>
          <t>Quản lý dự án (PM) - Popplife - 4Z012</t>
        </is>
      </c>
      <c r="D10975" t="inlineStr">
        <is>
          <t>Tập đoàn ROX (ROX Group)</t>
        </is>
      </c>
      <c r="E10975" t="inlineStr">
        <is>
          <t>Lương:Cạnh tranh</t>
        </is>
      </c>
      <c r="F10975" t="inlineStr">
        <is>
          <t>Hà Nội</t>
        </is>
      </c>
      <c r="G10975" t="inlineStr">
        <is>
          <t>10-04-2026</t>
        </is>
      </c>
      <c r="H10975" t="inlineStr">
        <is>
          <t>10/04/2026</t>
        </is>
      </c>
      <c r="I10975" t="inlineStr">
        <is>
          <t>17/03/2026</t>
        </is>
      </c>
      <c r="J10975" t="inlineStr">
        <is>
          <t>CNTT - Phần mềm</t>
        </is>
      </c>
      <c r="K10975" t="inlineStr">
        <is>
          <t>Trên 5 Năm</t>
        </is>
      </c>
      <c r="L10975" s="8">
        <f>HYPERLINK("https://careerviet.vn/vi/tim-viec-lam/quan-ly-du-an-pm-popplife-4z012.35C6C74D.html","Xem chi tiết")</f>
        <v/>
      </c>
    </row>
    <row r="10976">
      <c r="B10976" s="9" t="n">
        <v>10974</v>
      </c>
      <c r="C10976" s="10" t="inlineStr">
        <is>
          <t>[Sapa] Chuyên viên Giám Sát Kỹ thuật (Ban QLDA) - Alphanam Group</t>
        </is>
      </c>
      <c r="D10976" s="10" t="inlineStr">
        <is>
          <t>Alphanam Group</t>
        </is>
      </c>
      <c r="E10976" s="10" t="inlineStr">
        <is>
          <t>Lương:25 Tr - 30 Tr VND</t>
        </is>
      </c>
      <c r="F10976" s="10" t="inlineStr">
        <is>
          <t>Lào Cai</t>
        </is>
      </c>
      <c r="G10976" s="10" t="inlineStr">
        <is>
          <t>14-04-2026</t>
        </is>
      </c>
      <c r="H10976" s="10" t="inlineStr">
        <is>
          <t>14/04/2026</t>
        </is>
      </c>
      <c r="I10976" s="10" t="inlineStr">
        <is>
          <t>17/03/2026</t>
        </is>
      </c>
      <c r="J10976" s="10" t="inlineStr">
        <is>
          <t>Xây dựng, Bất động sản, Nội ngoại thất</t>
        </is>
      </c>
      <c r="K10976" s="10" t="inlineStr">
        <is>
          <t>3 - 5 Năm</t>
        </is>
      </c>
      <c r="L10976" s="11">
        <f>HYPERLINK("https://careerviet.vn/vi/tim-viec-lam/sapa-chuyen-vien-giam-sat-ky-thuat-ban-qlda-alphanam-group.35C6C753.html","Xem chi tiết")</f>
        <v/>
      </c>
      <c r="M10976" s="10" t="n"/>
    </row>
    <row r="10977">
      <c r="B10977" s="7" t="n">
        <v>10975</v>
      </c>
      <c r="C10977" t="inlineStr">
        <is>
          <t>Chuyên Viên/Chuyên Viên Cao Cấp Khách Hàng Cá Nhân - Quận 1, Quận 4, Quận 7 - TP Hồ Chí Minh</t>
        </is>
      </c>
      <c r="D10977" t="inlineStr">
        <is>
          <t>Ngân hàng TMCP Phát triển TP.HCM (HDBank)</t>
        </is>
      </c>
      <c r="E10977" t="inlineStr">
        <is>
          <t>Lương:11 Tr - 20 Tr VND</t>
        </is>
      </c>
      <c r="F10977" t="inlineStr">
        <is>
          <t>Hồ Chí Minh</t>
        </is>
      </c>
      <c r="G10977" t="inlineStr">
        <is>
          <t>30-04-2026</t>
        </is>
      </c>
      <c r="H10977" t="inlineStr">
        <is>
          <t>30/04/2026</t>
        </is>
      </c>
      <c r="I10977" t="inlineStr">
        <is>
          <t>17/03/2026</t>
        </is>
      </c>
      <c r="J10977" t="inlineStr">
        <is>
          <t>Ngân hàng, Tài chính / Đầu tư, Bảo hiểm</t>
        </is>
      </c>
      <c r="K10977" t="inlineStr">
        <is>
          <t>1 - 5 Năm</t>
        </is>
      </c>
      <c r="L10977" s="8">
        <f>HYPERLINK("https://careerviet.vn/vi/tim-viec-lam/chuyen-vien-chuyen-vien-cao-cap-khach-hang-ca-nhan-quan-1-quan-4-quan-7-tp-ho-chi-minh.35C6C733.html","Xem chi tiết")</f>
        <v/>
      </c>
    </row>
    <row r="10978">
      <c r="B10978" s="9" t="n">
        <v>10976</v>
      </c>
      <c r="C10978" s="10" t="inlineStr">
        <is>
          <t>Chief Operating Officer</t>
        </is>
      </c>
      <c r="D10978" s="10" t="inlineStr">
        <is>
          <t>HR Vietnam’s ESS Client</t>
        </is>
      </c>
      <c r="E10978" s="10" t="inlineStr">
        <is>
          <t>Lương:Cạnh tranh</t>
        </is>
      </c>
      <c r="F10978" s="10" t="inlineStr">
        <is>
          <t>Hồ Chí Minh</t>
        </is>
      </c>
      <c r="G10978" s="10" t="inlineStr">
        <is>
          <t>22-04-2026</t>
        </is>
      </c>
      <c r="H10978" s="10" t="inlineStr">
        <is>
          <t>22/04/2026</t>
        </is>
      </c>
      <c r="I10978" s="10" t="inlineStr">
        <is>
          <t>17/03/2026</t>
        </is>
      </c>
      <c r="J10978" s="10" t="inlineStr">
        <is>
          <t>Quản lý điều hành, Quảng cáo / Đối ngoại / Truyền Thông</t>
        </is>
      </c>
      <c r="K10978" s="10" t="inlineStr">
        <is>
          <t>10 - 15 Năm</t>
        </is>
      </c>
      <c r="L10978" s="11">
        <f>HYPERLINK("https://careerviet.vn/vi/tim-viec-lam/chief-operating-officer.35C6C742.html","Xem chi tiết")</f>
        <v/>
      </c>
      <c r="M10978" s="10" t="n"/>
    </row>
    <row r="10979">
      <c r="B10979" s="7" t="n">
        <v>10977</v>
      </c>
      <c r="C10979" t="inlineStr">
        <is>
          <t>Chuyên Viên Hành Chính Nhân Sự - Quảng Trị</t>
        </is>
      </c>
      <c r="D10979" t="inlineStr">
        <is>
          <t>CÔNG TY CỔ PHẦN PHÁT TRIỂN GIÁO DỤC QUỐC TẾ GAIA</t>
        </is>
      </c>
      <c r="E10979" t="inlineStr">
        <is>
          <t>Lương:9 Tr - 12 Tr VND</t>
        </is>
      </c>
      <c r="F10979" t="inlineStr">
        <is>
          <t>Quảng Trị</t>
        </is>
      </c>
      <c r="G10979" t="inlineStr">
        <is>
          <t>12-04-2026</t>
        </is>
      </c>
      <c r="H10979" t="inlineStr">
        <is>
          <t>12/04/2026</t>
        </is>
      </c>
      <c r="I10979" t="inlineStr">
        <is>
          <t>17/03/2026</t>
        </is>
      </c>
      <c r="J10979" t="inlineStr">
        <is>
          <t>Hành chính / Thư ký, Nhân sự, Giáo dục / Đào tạo</t>
        </is>
      </c>
      <c r="K10979" t="inlineStr">
        <is>
          <t>Trên 1 Năm</t>
        </is>
      </c>
      <c r="L10979" s="8">
        <f>HYPERLINK("https://careerviet.vn/vi/tim-viec-lam/chuyen-vien-hanh-chinh-nhan-su-quang-tri.35C6C747.html","Xem chi tiết")</f>
        <v/>
      </c>
    </row>
    <row r="10980">
      <c r="B10980" s="9" t="n">
        <v>10978</v>
      </c>
      <c r="C10980" s="10" t="inlineStr">
        <is>
          <t>Admin Team Leader</t>
        </is>
      </c>
      <c r="D10980" s="10" t="inlineStr">
        <is>
          <t>CareerViet's client</t>
        </is>
      </c>
      <c r="E10980" s="10" t="inlineStr">
        <is>
          <t>Lương:Cạnh tranh</t>
        </is>
      </c>
      <c r="F10980" s="10" t="inlineStr">
        <is>
          <t>Bình Dương</t>
        </is>
      </c>
      <c r="G10980" s="10" t="inlineStr">
        <is>
          <t>13-04-2026</t>
        </is>
      </c>
      <c r="H10980" s="10" t="inlineStr">
        <is>
          <t>13/04/2026</t>
        </is>
      </c>
      <c r="I10980" s="10" t="inlineStr">
        <is>
          <t>17/03/2026</t>
        </is>
      </c>
      <c r="J10980" s="10" t="inlineStr">
        <is>
          <t>Hành chính / Thư ký, Nhân sự</t>
        </is>
      </c>
      <c r="K10980" s="10" t="inlineStr">
        <is>
          <t>1 - 3 Năm</t>
        </is>
      </c>
      <c r="L10980" s="11">
        <f>HYPERLINK("https://careerviet.vn/vi/tim-viec-lam/admin-team-leader.35C6C73F.html","Xem chi tiết")</f>
        <v/>
      </c>
      <c r="M10980" s="10" t="n"/>
    </row>
    <row r="10981">
      <c r="B10981" s="7" t="n">
        <v>10979</v>
      </c>
      <c r="C10981" t="inlineStr">
        <is>
          <t>Chuyên viên Giải phóng mặt bằng (Up to 28 triệu)</t>
        </is>
      </c>
      <c r="D10981" t="inlineStr">
        <is>
          <t>TỔNG CÔNG TY CỔ PHẦN THƯƠNG MẠI XÂY DỰNG</t>
        </is>
      </c>
      <c r="E10981" t="inlineStr">
        <is>
          <t>Lương:19 Tr - 28 Tr VND</t>
        </is>
      </c>
      <c r="F10981" t="inlineStr">
        <is>
          <t>Hà NộiHưng Yên</t>
        </is>
      </c>
      <c r="G10981" t="inlineStr">
        <is>
          <t>03-04-2026</t>
        </is>
      </c>
      <c r="H10981" t="inlineStr">
        <is>
          <t>03/04/2026</t>
        </is>
      </c>
      <c r="I10981" t="inlineStr">
        <is>
          <t>17/03/2026</t>
        </is>
      </c>
      <c r="J10981" t="inlineStr">
        <is>
          <t>Xây dựng, Bất động sản, Luật / Pháp lý</t>
        </is>
      </c>
      <c r="K10981" t="inlineStr">
        <is>
          <t>3 - 5 Năm</t>
        </is>
      </c>
      <c r="L10981" s="8">
        <f>HYPERLINK("https://careerviet.vn/vi/tim-viec-lam/chuyen-vien-giai-phong-mat-bang-up-to-28-trieu.35C6C6D3.html","Xem chi tiết")</f>
        <v/>
      </c>
    </row>
    <row r="10982">
      <c r="B10982" s="9" t="n">
        <v>10980</v>
      </c>
      <c r="C10982" s="10" t="inlineStr">
        <is>
          <t>Chuyên Viên/Chuyên Viên Cao Cấp Khách Hàng Cá Nhân - KV Quận Bình Tân, Quận Tân Phú, Quận 8,6,11- TP Hồ Chí Minh</t>
        </is>
      </c>
      <c r="D10982" s="10" t="inlineStr">
        <is>
          <t>Ngân hàng TMCP Phát triển TP.HCM (HDBank)</t>
        </is>
      </c>
      <c r="E10982" s="10" t="inlineStr">
        <is>
          <t>Lương:17 Tr - 24 Tr VND</t>
        </is>
      </c>
      <c r="F10982" s="10" t="inlineStr">
        <is>
          <t>Hồ Chí Minh</t>
        </is>
      </c>
      <c r="G10982" s="10" t="inlineStr">
        <is>
          <t>30-04-2026</t>
        </is>
      </c>
      <c r="H10982" s="10" t="inlineStr">
        <is>
          <t>30/04/2026</t>
        </is>
      </c>
      <c r="I10982" s="10" t="inlineStr">
        <is>
          <t>17/03/2026</t>
        </is>
      </c>
      <c r="J10982" s="10" t="inlineStr">
        <is>
          <t>Bán lẻ / Bán sỉ, Ngân hàng, Tài chính / Đầu tư</t>
        </is>
      </c>
      <c r="K10982" s="10" t="inlineStr">
        <is>
          <t>1 - 2 Năm</t>
        </is>
      </c>
      <c r="L10982" s="11">
        <f>HYPERLINK("https://careerviet.vn/vi/tim-viec-lam/chuyen-vien-chuyen-vien-cao-cap-khach-hang-ca-nhan-kv-quan-binh-tan-quan-tan-phu-quan-8-6-11-tp-ho-chi-minh.35C6C736.html","Xem chi tiết")</f>
        <v/>
      </c>
      <c r="M10982" s="10" t="n"/>
    </row>
    <row r="10983">
      <c r="B10983" s="7" t="n">
        <v>10981</v>
      </c>
      <c r="C10983" t="inlineStr">
        <is>
          <t>Thuyết minh viên kiêm Nhân viên bán hàng – Hué Plaza</t>
        </is>
      </c>
      <c r="D10983" t="inlineStr">
        <is>
          <t>Công Ty Cổ Phần Du Lịch Vietravel</t>
        </is>
      </c>
      <c r="E10983" t="inlineStr">
        <is>
          <t>Lương:Cạnh tranh</t>
        </is>
      </c>
      <c r="F10983" t="inlineStr">
        <is>
          <t>Thừa Thiên- Huế</t>
        </is>
      </c>
      <c r="G10983" t="inlineStr">
        <is>
          <t>25-04-2026</t>
        </is>
      </c>
      <c r="H10983" t="inlineStr">
        <is>
          <t>25/04/2026</t>
        </is>
      </c>
      <c r="I10983" t="inlineStr">
        <is>
          <t>17/03/2026</t>
        </is>
      </c>
      <c r="J10983" t="inlineStr">
        <is>
          <t>Bán lẻ / Bán sỉ, Bán hàng / Kinh doanh, Du lịch</t>
        </is>
      </c>
      <c r="K10983" t="inlineStr">
        <is>
          <t>1 - 2 Năm</t>
        </is>
      </c>
      <c r="L10983" s="8">
        <f>HYPERLINK("https://careerviet.vn/vi/tim-viec-lam/thuyet-minh-vien-kiem-nhan-vien-ban-hang-hue-plaza.35C6C73B.html","Xem chi tiết")</f>
        <v/>
      </c>
    </row>
    <row r="10984">
      <c r="B10984" s="9" t="n">
        <v>10982</v>
      </c>
      <c r="C10984" s="10" t="inlineStr">
        <is>
          <t>Lab Manager</t>
        </is>
      </c>
      <c r="D10984" s="10" t="inlineStr">
        <is>
          <t>Techtronic Industries Vietnam Manufacturing Company Limited</t>
        </is>
      </c>
      <c r="E10984" s="10" t="inlineStr">
        <is>
          <t>Lương:Cạnh tranh</t>
        </is>
      </c>
      <c r="F10984" s="10" t="inlineStr">
        <is>
          <t>Hồ Chí Minh</t>
        </is>
      </c>
      <c r="G10984" s="10" t="inlineStr">
        <is>
          <t>23-04-2026</t>
        </is>
      </c>
      <c r="H10984" s="10" t="inlineStr">
        <is>
          <t>23/04/2026</t>
        </is>
      </c>
      <c r="I10984" s="10" t="inlineStr">
        <is>
          <t>17/03/2026</t>
        </is>
      </c>
      <c r="J10984" s="10" t="inlineStr">
        <is>
          <t>Cơ khí / Ô tô / Tự động hóa, Điện / Điện tử / Điện lạnh / Điện công nghiệp</t>
        </is>
      </c>
      <c r="K10984" s="10" t="inlineStr">
        <is>
          <t>5 - 6 Năm</t>
        </is>
      </c>
      <c r="L10984" s="11">
        <f>HYPERLINK("https://careerviet.vn/vi/tim-viec-lam/lab-manager.35C6C72C.html","Xem chi tiết")</f>
        <v/>
      </c>
      <c r="M10984" s="10" t="n"/>
    </row>
    <row r="10985">
      <c r="B10985" s="7" t="n">
        <v>10983</v>
      </c>
      <c r="C10985" t="inlineStr">
        <is>
          <t>Thực Tập Sinh Kế Toán</t>
        </is>
      </c>
      <c r="D10985" t="inlineStr">
        <is>
          <t>Công ty TNHH Sản xuất Thương mại &amp; Dịch vụ Hoa Xinh</t>
        </is>
      </c>
      <c r="E10985" t="inlineStr">
        <is>
          <t>Lương:3 Tr - 5 Tr VND</t>
        </is>
      </c>
      <c r="F10985" t="inlineStr">
        <is>
          <t>Hồ Chí Minh</t>
        </is>
      </c>
      <c r="G10985" t="inlineStr">
        <is>
          <t>08-04-2026</t>
        </is>
      </c>
      <c r="H10985" t="inlineStr">
        <is>
          <t>08/04/2026</t>
        </is>
      </c>
      <c r="I10985" t="inlineStr">
        <is>
          <t>17/03/2026</t>
        </is>
      </c>
      <c r="J10985" t="inlineStr">
        <is>
          <t>Kế toán / Kiểm toán, Tài chính / Đầu tư, Mới tốt nghiệp / Thực tập</t>
        </is>
      </c>
      <c r="K10985" t="inlineStr">
        <is>
          <t>N/A</t>
        </is>
      </c>
      <c r="L10985" s="8">
        <f>HYPERLINK("https://careerviet.vn/vi/tim-viec-lam/thuc-tap-sinh-ke-toan.35C6C740.html","Xem chi tiết")</f>
        <v/>
      </c>
    </row>
    <row r="10986">
      <c r="B10986" s="9" t="n">
        <v>10984</v>
      </c>
      <c r="C10986" s="10" t="inlineStr">
        <is>
          <t>Nhân viên Cứu hộ bể bơi</t>
        </is>
      </c>
      <c r="D10986" s="10" t="inlineStr">
        <is>
          <t>TỔNG CÔNG TY CỔ PHẦN THƯƠNG MẠI XÂY DỰNG</t>
        </is>
      </c>
      <c r="E10986" s="10" t="inlineStr">
        <is>
          <t>Lương:9 Tr - 11 Tr VND</t>
        </is>
      </c>
      <c r="F10986" s="10" t="inlineStr">
        <is>
          <t>Hà Nội</t>
        </is>
      </c>
      <c r="G10986" s="10" t="inlineStr">
        <is>
          <t>13-04-2026</t>
        </is>
      </c>
      <c r="H10986" s="10" t="inlineStr">
        <is>
          <t>13/04/2026</t>
        </is>
      </c>
      <c r="I10986" s="10" t="inlineStr">
        <is>
          <t>17/03/2026</t>
        </is>
      </c>
      <c r="J10986" s="10" t="inlineStr">
        <is>
          <t>Y tế / Chăm sóc sức khỏe / Thẩm mỹ / Làm đẹp, Dịch vụ khách hàng, Nhà hàng / Khách sạn</t>
        </is>
      </c>
      <c r="K10986" s="10" t="inlineStr">
        <is>
          <t>Trên 1 Năm</t>
        </is>
      </c>
      <c r="L10986" s="11">
        <f>HYPERLINK("https://careerviet.vn/vi/tim-viec-lam/nhan-vien-cuu-ho-be-boi.35C6C748.html","Xem chi tiết")</f>
        <v/>
      </c>
      <c r="M10986" s="10" t="n"/>
    </row>
    <row r="10987">
      <c r="B10987" s="7" t="n">
        <v>10985</v>
      </c>
      <c r="C10987" t="inlineStr">
        <is>
          <t>[District 7] Contact Center - Quality Assurance Officer (QA) - Giám Sát Chất Lượng Cuộc Gọi</t>
        </is>
      </c>
      <c r="D10987" t="inlineStr">
        <is>
          <t>Shinhan Bank Vietnam</t>
        </is>
      </c>
      <c r="E10987" t="inlineStr">
        <is>
          <t>Lương:Cạnh tranh</t>
        </is>
      </c>
      <c r="F10987" t="inlineStr">
        <is>
          <t>Hồ Chí Minh</t>
        </is>
      </c>
      <c r="G10987" t="inlineStr">
        <is>
          <t>29-04-2026</t>
        </is>
      </c>
      <c r="H10987" t="inlineStr">
        <is>
          <t>29/04/2026</t>
        </is>
      </c>
      <c r="I10987" t="inlineStr">
        <is>
          <t>17/03/2026</t>
        </is>
      </c>
      <c r="J10987" t="inlineStr">
        <is>
          <t>Dịch vụ khách hàng, Ngân hàng</t>
        </is>
      </c>
      <c r="K10987" t="inlineStr">
        <is>
          <t>Lên đến 1 Năm</t>
        </is>
      </c>
      <c r="L10987" s="8">
        <f>HYPERLINK("https://careerviet.vn/vi/tim-viec-lam/district-7-contact-center-quality-assurance-officer-qa-giam-sat-chat-luong-cuoc-goi.35C6C732.html","Xem chi tiết")</f>
        <v/>
      </c>
    </row>
    <row r="10988">
      <c r="B10988" s="9" t="n">
        <v>10986</v>
      </c>
      <c r="C10988" s="10" t="inlineStr">
        <is>
          <t>[TPHCM - QUẬN 7] CHUYÊN VIÊN QUẢN TRỊ VẬN HÀNH HỆ THỐNG OMNI - CONTACT CENTER</t>
        </is>
      </c>
      <c r="D10988" s="10" t="inlineStr">
        <is>
          <t>Shinhan Bank Vietnam</t>
        </is>
      </c>
      <c r="E10988" s="10" t="inlineStr">
        <is>
          <t>Lương:Cạnh tranh</t>
        </is>
      </c>
      <c r="F10988" s="10" t="inlineStr">
        <is>
          <t>Hồ Chí Minh</t>
        </is>
      </c>
      <c r="G10988" s="10" t="inlineStr">
        <is>
          <t>30-05-2026</t>
        </is>
      </c>
      <c r="H10988" s="10" t="inlineStr">
        <is>
          <t>30/05/2026</t>
        </is>
      </c>
      <c r="I10988" s="10" t="inlineStr">
        <is>
          <t>17/03/2026</t>
        </is>
      </c>
      <c r="J10988" s="10" t="inlineStr">
        <is>
          <t>Dịch vụ khách hàng, Ngân hàng, Thống kê</t>
        </is>
      </c>
      <c r="K10988" s="10" t="inlineStr">
        <is>
          <t>Trên 1 Năm</t>
        </is>
      </c>
      <c r="L10988" s="11">
        <f>HYPERLINK("https://careerviet.vn/vi/tim-viec-lam/tphcm-quan-7-chuyen-vien-quan-tri-van-hanh-he-thong-omni-contact-center.35C6C737.html","Xem chi tiết")</f>
        <v/>
      </c>
      <c r="M10988" s="10" t="n"/>
    </row>
    <row r="10989">
      <c r="B10989" s="7" t="n">
        <v>10987</v>
      </c>
      <c r="C10989" t="inlineStr">
        <is>
          <t>Nhân Viên Kinh Doanh</t>
        </is>
      </c>
      <c r="D10989" t="inlineStr">
        <is>
          <t>CÔNG TY CỔ PHẦN TẬP ĐOÀN KKS</t>
        </is>
      </c>
      <c r="E10989" t="inlineStr">
        <is>
          <t>Lương:10 Tr - 20 Tr VND</t>
        </is>
      </c>
      <c r="F10989" t="inlineStr">
        <is>
          <t>Hồ Chí Minh</t>
        </is>
      </c>
      <c r="G10989" t="inlineStr">
        <is>
          <t>30-03-2026</t>
        </is>
      </c>
      <c r="H10989" t="inlineStr">
        <is>
          <t>30/03/2026</t>
        </is>
      </c>
      <c r="I10989" t="inlineStr">
        <is>
          <t>17/03/2026</t>
        </is>
      </c>
      <c r="J10989" t="inlineStr">
        <is>
          <t>Bán hàng / Kinh doanh, Xây dựng, Bán lẻ / Bán sỉ</t>
        </is>
      </c>
      <c r="K10989" t="inlineStr">
        <is>
          <t>N/A</t>
        </is>
      </c>
      <c r="L10989" s="8">
        <f>HYPERLINK("https://careerviet.vn/vi/tim-viec-lam/nhan-vien-kinh-doanh.35C6C72A.html","Xem chi tiết")</f>
        <v/>
      </c>
    </row>
    <row r="10990">
      <c r="B10990" s="9" t="n">
        <v>10988</v>
      </c>
      <c r="C10990" s="10" t="inlineStr">
        <is>
          <t>HÀ NỘI - CHUYÊN VIÊN TRADE MARKETING - UP 25M</t>
        </is>
      </c>
      <c r="D10990" s="10" t="inlineStr">
        <is>
          <t>THỜI TRANG LINING_CÔNG TY TNHH QUỐC TẾ HẢI LONG</t>
        </is>
      </c>
      <c r="E10990" s="10" t="inlineStr">
        <is>
          <t>Lương:20 Tr - 25 Tr VND</t>
        </is>
      </c>
      <c r="F10990" s="10" t="inlineStr">
        <is>
          <t>Hà Nội</t>
        </is>
      </c>
      <c r="G10990" s="10" t="inlineStr">
        <is>
          <t>30-04-2026</t>
        </is>
      </c>
      <c r="H10990" s="10" t="inlineStr">
        <is>
          <t>30/04/2026</t>
        </is>
      </c>
      <c r="I10990" s="10" t="inlineStr">
        <is>
          <t>17/03/2026</t>
        </is>
      </c>
      <c r="J10990" s="10" t="inlineStr">
        <is>
          <t>Tiếp thị / Marketing, Bán hàng / Kinh doanh, Tiếp thị trực tuyến</t>
        </is>
      </c>
      <c r="K10990" s="10" t="inlineStr">
        <is>
          <t>Trên 3 Năm</t>
        </is>
      </c>
      <c r="L10990" s="11">
        <f>HYPERLINK("https://careerviet.vn/vi/tim-viec-lam/ha-noi-chuyen-vien-trade-marketing-up-25m.35C6C727.html","Xem chi tiết")</f>
        <v/>
      </c>
      <c r="M10990" s="10" t="n"/>
    </row>
    <row r="10991">
      <c r="B10991" s="7" t="n">
        <v>10989</v>
      </c>
      <c r="C10991" t="inlineStr">
        <is>
          <t>CHUYÊN VIÊN XÂY DỰNG CHƯƠNG TRÌNH KHUYẾN MẠI  (UPTO 25M)</t>
        </is>
      </c>
      <c r="D10991" t="inlineStr">
        <is>
          <t>THỜI TRANG LINING_CÔNG TY TNHH QUỐC TẾ HẢI LONG</t>
        </is>
      </c>
      <c r="E10991" t="inlineStr">
        <is>
          <t>Lương:18 Tr - 25 Tr VND</t>
        </is>
      </c>
      <c r="F10991" t="inlineStr">
        <is>
          <t>Hà Nội</t>
        </is>
      </c>
      <c r="G10991" t="inlineStr">
        <is>
          <t>30-04-2026</t>
        </is>
      </c>
      <c r="H10991" t="inlineStr">
        <is>
          <t>30/04/2026</t>
        </is>
      </c>
      <c r="I10991" t="inlineStr">
        <is>
          <t>17/03/2026</t>
        </is>
      </c>
      <c r="J10991" t="inlineStr">
        <is>
          <t>Tiếp thị / Marketing, Bán hàng / Kinh doanh, Tiếp thị trực tuyến</t>
        </is>
      </c>
      <c r="K10991" t="inlineStr">
        <is>
          <t>Trên 3 Năm</t>
        </is>
      </c>
      <c r="L10991" s="8">
        <f>HYPERLINK("https://careerviet.vn/vi/tim-viec-lam/chuyen-vien-xay-dung-chuong-trinh-khuyen-mai-upto-25m.35C6C728.html","Xem chi tiết")</f>
        <v/>
      </c>
    </row>
    <row r="10992">
      <c r="B10992" s="9" t="n">
        <v>10990</v>
      </c>
      <c r="C10992" s="10" t="inlineStr">
        <is>
          <t>HÀ NỘI - SENIOR TRADE MARKETING - UP 28M</t>
        </is>
      </c>
      <c r="D10992" s="10" t="inlineStr">
        <is>
          <t>THỜI TRANG LINING_CÔNG TY TNHH QUỐC TẾ HẢI LONG</t>
        </is>
      </c>
      <c r="E10992" s="10" t="inlineStr">
        <is>
          <t>Lương:20 Tr - 28 Tr VND</t>
        </is>
      </c>
      <c r="F10992" s="10" t="inlineStr">
        <is>
          <t>Hà Nội</t>
        </is>
      </c>
      <c r="G10992" s="10" t="inlineStr">
        <is>
          <t>30-04-2026</t>
        </is>
      </c>
      <c r="H10992" s="10" t="inlineStr">
        <is>
          <t>30/04/2026</t>
        </is>
      </c>
      <c r="I10992" s="10" t="inlineStr">
        <is>
          <t>17/03/2026</t>
        </is>
      </c>
      <c r="J10992" s="10" t="inlineStr">
        <is>
          <t>Tiếp thị / Marketing, Bán hàng / Kinh doanh, Tiếp thị trực tuyến</t>
        </is>
      </c>
      <c r="K10992" s="10" t="inlineStr">
        <is>
          <t>Trên 3 Năm</t>
        </is>
      </c>
      <c r="L10992" s="11">
        <f>HYPERLINK("https://careerviet.vn/vi/tim-viec-lam/ha-noi-senior-trade-marketing-up-28m.35C6C726.html","Xem chi tiết")</f>
        <v/>
      </c>
      <c r="M10992" s="10" t="n"/>
    </row>
    <row r="10993">
      <c r="B10993" s="7" t="n">
        <v>10991</v>
      </c>
      <c r="C10993" t="inlineStr">
        <is>
          <t>[HCM] Visual Merchandise (Nhân viên Trưng bày sản phẩm)</t>
        </is>
      </c>
      <c r="D10993" t="inlineStr">
        <is>
          <t>THỜI TRANG LINING_CÔNG TY TNHH QUỐC TẾ HẢI LONG</t>
        </is>
      </c>
      <c r="E10993" t="inlineStr">
        <is>
          <t>Lương:14 Tr - 19 Tr VND</t>
        </is>
      </c>
      <c r="F10993" t="inlineStr">
        <is>
          <t>Hồ Chí Minh</t>
        </is>
      </c>
      <c r="G10993" t="inlineStr">
        <is>
          <t>30-04-2026</t>
        </is>
      </c>
      <c r="H10993" t="inlineStr">
        <is>
          <t>30/04/2026</t>
        </is>
      </c>
      <c r="I10993" t="inlineStr">
        <is>
          <t>17/03/2026</t>
        </is>
      </c>
      <c r="J10993" t="inlineStr">
        <is>
          <t>Dệt may / Da giày / Thời trang, Tiếp thị / Marketing</t>
        </is>
      </c>
      <c r="K10993" t="inlineStr">
        <is>
          <t>Trên 3 Năm</t>
        </is>
      </c>
      <c r="L10993" s="8">
        <f>HYPERLINK("https://careerviet.vn/vi/tim-viec-lam/hcm-visual-merchandise-nhan-vien-trung-bay-san-pham.35C6C725.html","Xem chi tiết")</f>
        <v/>
      </c>
    </row>
    <row r="10994">
      <c r="B10994" s="9" t="n">
        <v>10992</v>
      </c>
      <c r="C10994" s="10" t="inlineStr">
        <is>
          <t>Customer services Manager (HCMC &amp; Quy Nhon)</t>
        </is>
      </c>
      <c r="D10994" s="10" t="inlineStr">
        <is>
          <t>Công ty TNHH Gardenline International (VN)</t>
        </is>
      </c>
      <c r="E10994" s="10" t="inlineStr">
        <is>
          <t>Lương:Cạnh tranh</t>
        </is>
      </c>
      <c r="F10994" s="10" t="inlineStr">
        <is>
          <t>Hồ Chí MinhBình Định</t>
        </is>
      </c>
      <c r="G10994" s="10" t="inlineStr">
        <is>
          <t>13-04-2026</t>
        </is>
      </c>
      <c r="H10994" s="10" t="inlineStr">
        <is>
          <t>13/04/2026</t>
        </is>
      </c>
      <c r="I10994" s="10" t="inlineStr">
        <is>
          <t>17/03/2026</t>
        </is>
      </c>
      <c r="J10994" s="10" t="inlineStr">
        <is>
          <t>Dịch vụ khách hàng</t>
        </is>
      </c>
      <c r="K10994" s="10" t="inlineStr">
        <is>
          <t>10 - 15 Năm</t>
        </is>
      </c>
      <c r="L10994" s="11">
        <f>HYPERLINK("https://careerviet.vn/vi/tim-viec-lam/customer-services-manager-hcmc-quy-nhon.35C6C729.html","Xem chi tiết")</f>
        <v/>
      </c>
      <c r="M10994" s="10" t="n"/>
    </row>
    <row r="10995">
      <c r="B10995" s="7" t="n">
        <v>10993</v>
      </c>
      <c r="C10995" t="inlineStr">
        <is>
          <t>TRƯỞNG PHÒNG KINH DOANH THƯƠNG MẠI ĐIỆN TỬ</t>
        </is>
      </c>
      <c r="D10995" t="inlineStr">
        <is>
          <t>THỜI TRANG LINING_CÔNG TY TNHH QUỐC TẾ HẢI LONG</t>
        </is>
      </c>
      <c r="E10995" t="inlineStr">
        <is>
          <t>Lương:60 Tr - 80 Tr VND</t>
        </is>
      </c>
      <c r="F10995" t="inlineStr">
        <is>
          <t>Hà Nội</t>
        </is>
      </c>
      <c r="G10995" t="inlineStr">
        <is>
          <t>30-04-2026</t>
        </is>
      </c>
      <c r="H10995" t="inlineStr">
        <is>
          <t>30/04/2026</t>
        </is>
      </c>
      <c r="I10995" t="inlineStr">
        <is>
          <t>17/03/2026</t>
        </is>
      </c>
      <c r="J10995" t="inlineStr">
        <is>
          <t>Tiếp thị / Marketing, Bán hàng / Kinh doanh, Tiếp thị trực tuyến</t>
        </is>
      </c>
      <c r="K10995" t="inlineStr">
        <is>
          <t>Trên 5 Năm</t>
        </is>
      </c>
      <c r="L10995" s="8">
        <f>HYPERLINK("https://careerviet.vn/vi/tim-viec-lam/truong-phong-kinh-doanh-thuong-mai-dien-tu.35C6C723.html","Xem chi tiết")</f>
        <v/>
      </c>
    </row>
    <row r="10996">
      <c r="B10996" s="9" t="n">
        <v>10994</v>
      </c>
      <c r="C10996" s="10" t="inlineStr">
        <is>
          <t>HÀ NỘI - TRƯỞNG NHÓM QUẢN LÝ HÀNG HÓA - UP 35M NET</t>
        </is>
      </c>
      <c r="D10996" s="10" t="inlineStr">
        <is>
          <t>THỜI TRANG LINING_CÔNG TY TNHH QUỐC TẾ HẢI LONG</t>
        </is>
      </c>
      <c r="E10996" s="10" t="inlineStr">
        <is>
          <t>Lương:30 Tr - 35 Tr VND</t>
        </is>
      </c>
      <c r="F10996" s="10" t="inlineStr">
        <is>
          <t>Hà Nội</t>
        </is>
      </c>
      <c r="G10996" s="10" t="inlineStr">
        <is>
          <t>30-04-2026</t>
        </is>
      </c>
      <c r="H10996" s="10" t="inlineStr">
        <is>
          <t>30/04/2026</t>
        </is>
      </c>
      <c r="I10996" s="10" t="inlineStr">
        <is>
          <t>17/03/2026</t>
        </is>
      </c>
      <c r="J10996" s="10" t="inlineStr">
        <is>
          <t>Bán lẻ / Bán sỉ, Bán hàng / Kinh doanh, Dệt may / Da giày / Thời trang</t>
        </is>
      </c>
      <c r="K10996" s="10" t="inlineStr">
        <is>
          <t>5 - 10 Năm</t>
        </is>
      </c>
      <c r="L10996" s="11">
        <f>HYPERLINK("https://careerviet.vn/vi/tim-viec-lam/ha-noi-truong-nhom-quan-ly-hang-hoa-up-35m-net.35C6C6CD.html","Xem chi tiết")</f>
        <v/>
      </c>
      <c r="M10996" s="10" t="n"/>
    </row>
    <row r="10997">
      <c r="B10997" s="7" t="n">
        <v>10995</v>
      </c>
      <c r="C10997" t="inlineStr">
        <is>
          <t>Chuyên viên HRBP</t>
        </is>
      </c>
      <c r="D10997" t="inlineStr">
        <is>
          <t>THỜI TRANG LINING_CÔNG TY TNHH QUỐC TẾ HẢI LONG</t>
        </is>
      </c>
      <c r="E10997" t="inlineStr">
        <is>
          <t>Lương:Cạnh tranh</t>
        </is>
      </c>
      <c r="F10997" t="inlineStr">
        <is>
          <t>Hà Nội</t>
        </is>
      </c>
      <c r="G10997" t="inlineStr">
        <is>
          <t>30-04-2026</t>
        </is>
      </c>
      <c r="H10997" t="inlineStr">
        <is>
          <t>30/04/2026</t>
        </is>
      </c>
      <c r="I10997" t="inlineStr">
        <is>
          <t>17/03/2026</t>
        </is>
      </c>
      <c r="J10997" t="inlineStr">
        <is>
          <t>Nhân sự</t>
        </is>
      </c>
      <c r="K10997" t="inlineStr">
        <is>
          <t>Trên 5 Năm</t>
        </is>
      </c>
      <c r="L10997" s="8">
        <f>HYPERLINK("https://careerviet.vn/vi/tim-viec-lam/chuyen-vien-hrbp.35C6C71B.html","Xem chi tiết")</f>
        <v/>
      </c>
    </row>
    <row r="10998">
      <c r="B10998" s="9" t="n">
        <v>10996</v>
      </c>
      <c r="C10998" s="10" t="inlineStr">
        <is>
          <t>Trưởng phòng kinh doanh_Bán lẻ  (B2C)</t>
        </is>
      </c>
      <c r="D10998" s="10" t="inlineStr">
        <is>
          <t>THỜI TRANG LINING_CÔNG TY TNHH QUỐC TẾ HẢI LONG</t>
        </is>
      </c>
      <c r="E10998" s="10" t="inlineStr">
        <is>
          <t>Lương:65 Tr - 80 Tr VND</t>
        </is>
      </c>
      <c r="F10998" s="10" t="inlineStr">
        <is>
          <t>Hà Nội</t>
        </is>
      </c>
      <c r="G10998" s="10" t="inlineStr">
        <is>
          <t>30-04-2026</t>
        </is>
      </c>
      <c r="H10998" s="10" t="inlineStr">
        <is>
          <t>30/04/2026</t>
        </is>
      </c>
      <c r="I10998" s="10" t="inlineStr">
        <is>
          <t>17/03/2026</t>
        </is>
      </c>
      <c r="J10998" s="10" t="inlineStr">
        <is>
          <t>Tiếp thị / Marketing, Bán lẻ / Bán sỉ, Bán hàng / Kinh doanh</t>
        </is>
      </c>
      <c r="K10998" s="10" t="inlineStr">
        <is>
          <t>Trên 5 Năm</t>
        </is>
      </c>
      <c r="L10998" s="11">
        <f>HYPERLINK("https://careerviet.vn/vi/tim-viec-lam/truong-phong-kinh-doanh_ban-le-b2c.35C6C721.html","Xem chi tiết")</f>
        <v/>
      </c>
      <c r="M10998" s="10" t="n"/>
    </row>
    <row r="10999">
      <c r="B10999" s="7" t="n">
        <v>10997</v>
      </c>
      <c r="C10999" t="inlineStr">
        <is>
          <t>SALE MANAGER_B2B</t>
        </is>
      </c>
      <c r="D10999" t="inlineStr">
        <is>
          <t>THỜI TRANG LINING_CÔNG TY TNHH QUỐC TẾ HẢI LONG</t>
        </is>
      </c>
      <c r="E10999" t="inlineStr">
        <is>
          <t>Lương:60 Tr - 90 Tr VND</t>
        </is>
      </c>
      <c r="F10999" t="inlineStr">
        <is>
          <t>Hà Nội</t>
        </is>
      </c>
      <c r="G10999" t="inlineStr">
        <is>
          <t>30-04-2026</t>
        </is>
      </c>
      <c r="H10999" t="inlineStr">
        <is>
          <t>30/04/2026</t>
        </is>
      </c>
      <c r="I10999" t="inlineStr">
        <is>
          <t>17/03/2026</t>
        </is>
      </c>
      <c r="J10999" t="inlineStr">
        <is>
          <t>Tiếp thị / Marketing, Bán lẻ / Bán sỉ, Bán hàng / Kinh doanh</t>
        </is>
      </c>
      <c r="K10999" t="inlineStr">
        <is>
          <t>Trên 5 Năm</t>
        </is>
      </c>
      <c r="L10999" s="8">
        <f>HYPERLINK("https://careerviet.vn/vi/tim-viec-lam/sale-manager_b2b.35C6C722.html","Xem chi tiết")</f>
        <v/>
      </c>
    </row>
    <row r="11000">
      <c r="B11000" s="9" t="n">
        <v>10998</v>
      </c>
      <c r="C11000" s="10" t="inlineStr">
        <is>
          <t>[Hà Nội] Visual Merchandise (Nhân viên Trưng bày sản phẩm)</t>
        </is>
      </c>
      <c r="D11000" s="10" t="inlineStr">
        <is>
          <t>THỜI TRANG LINING_CÔNG TY TNHH QUỐC TẾ HẢI LONG</t>
        </is>
      </c>
      <c r="E11000" s="10" t="inlineStr">
        <is>
          <t>Lương:13 Tr - 18 Tr VND</t>
        </is>
      </c>
      <c r="F11000" s="10" t="inlineStr">
        <is>
          <t>Hà Nội</t>
        </is>
      </c>
      <c r="G11000" s="10" t="inlineStr">
        <is>
          <t>30-04-2026</t>
        </is>
      </c>
      <c r="H11000" s="10" t="inlineStr">
        <is>
          <t>30/04/2026</t>
        </is>
      </c>
      <c r="I11000" s="10" t="inlineStr">
        <is>
          <t>17/03/2026</t>
        </is>
      </c>
      <c r="J11000" s="10" t="inlineStr">
        <is>
          <t>Dệt may / Da giày / Thời trang, Tiếp thị / Marketing</t>
        </is>
      </c>
      <c r="K11000" s="10" t="inlineStr">
        <is>
          <t>Trên 3 Năm</t>
        </is>
      </c>
      <c r="L11000" s="11">
        <f>HYPERLINK("https://careerviet.vn/vi/tim-viec-lam/ha-noi-visual-merchandise-nhan-vien-trung-bay-san-pham.35C6C724.html","Xem chi tiết")</f>
        <v/>
      </c>
      <c r="M11000" s="10" t="n"/>
    </row>
    <row r="11001">
      <c r="B11001" s="7" t="n">
        <v>10999</v>
      </c>
      <c r="C11001" t="inlineStr">
        <is>
          <t>Chuyên viên cao cấp Quản trị hiệu suất</t>
        </is>
      </c>
      <c r="D11001" t="inlineStr">
        <is>
          <t>THỜI TRANG LINING_CÔNG TY TNHH QUỐC TẾ HẢI LONG</t>
        </is>
      </c>
      <c r="E11001" t="inlineStr">
        <is>
          <t>Lương:Cạnh tranh</t>
        </is>
      </c>
      <c r="F11001" t="inlineStr">
        <is>
          <t>Hà Nội</t>
        </is>
      </c>
      <c r="G11001" t="inlineStr">
        <is>
          <t>30-04-2026</t>
        </is>
      </c>
      <c r="H11001" t="inlineStr">
        <is>
          <t>30/04/2026</t>
        </is>
      </c>
      <c r="I11001" t="inlineStr">
        <is>
          <t>17/03/2026</t>
        </is>
      </c>
      <c r="J11001" t="inlineStr">
        <is>
          <t>Nhân sự</t>
        </is>
      </c>
      <c r="K11001" t="inlineStr">
        <is>
          <t>Trên 4 Năm</t>
        </is>
      </c>
      <c r="L11001" s="8">
        <f>HYPERLINK("https://careerviet.vn/vi/tim-viec-lam/chuyen-vien-cao-cap-quan-tri-hieu-suat.35C6C71D.html","Xem chi tiết")</f>
        <v/>
      </c>
    </row>
    <row r="11002">
      <c r="B11002" s="9" t="n">
        <v>11000</v>
      </c>
      <c r="C11002" s="10" t="inlineStr">
        <is>
          <t>[Aeon Mall Hà Đông] Quản lý Cửa Hàng Thời Trang Thể Thao</t>
        </is>
      </c>
      <c r="D11002" s="10" t="inlineStr">
        <is>
          <t>THỜI TRANG LINING_CÔNG TY TNHH QUỐC TẾ HẢI LONG</t>
        </is>
      </c>
      <c r="E11002" s="10" t="inlineStr">
        <is>
          <t>Lương:10 Tr - 12 Tr VND</t>
        </is>
      </c>
      <c r="F11002" s="10" t="inlineStr">
        <is>
          <t>Hà Nội</t>
        </is>
      </c>
      <c r="G11002" s="10" t="inlineStr">
        <is>
          <t>14-04-2026</t>
        </is>
      </c>
      <c r="H11002" s="10" t="inlineStr">
        <is>
          <t>14/04/2026</t>
        </is>
      </c>
      <c r="I11002" s="10" t="inlineStr">
        <is>
          <t>17/03/2026</t>
        </is>
      </c>
      <c r="J11002" s="10" t="inlineStr">
        <is>
          <t>Bán lẻ / Bán sỉ, Bán hàng / Kinh doanh</t>
        </is>
      </c>
      <c r="K11002" s="10" t="inlineStr">
        <is>
          <t>1 - 2 Năm</t>
        </is>
      </c>
      <c r="L11002" s="11">
        <f>HYPERLINK("https://careerviet.vn/vi/tim-viec-lam/aeon-mall-ha-dong-quan-ly-cua-hang-thoi-trang-the-thao.35C6C71F.html","Xem chi tiết")</f>
        <v/>
      </c>
      <c r="M11002" s="10" t="n"/>
    </row>
    <row r="11003">
      <c r="B11003" s="7" t="n">
        <v>11001</v>
      </c>
      <c r="C11003" t="inlineStr">
        <is>
          <t>Chuyên viên Thiết kế nội thất (Up to 22M)</t>
        </is>
      </c>
      <c r="D11003" t="inlineStr">
        <is>
          <t>THỜI TRANG LINING_CÔNG TY TNHH QUỐC TẾ HẢI LONG</t>
        </is>
      </c>
      <c r="E11003" t="inlineStr">
        <is>
          <t>Lương:18 Tr - 22 Tr VND</t>
        </is>
      </c>
      <c r="F11003" t="inlineStr">
        <is>
          <t>Hà Nội</t>
        </is>
      </c>
      <c r="G11003" t="inlineStr">
        <is>
          <t>30-04-2026</t>
        </is>
      </c>
      <c r="H11003" t="inlineStr">
        <is>
          <t>30/04/2026</t>
        </is>
      </c>
      <c r="I11003" t="inlineStr">
        <is>
          <t>17/03/2026</t>
        </is>
      </c>
      <c r="J11003" t="inlineStr">
        <is>
          <t>Mỹ thuật / Nghệ thuật / Thiết kế, Dệt may / Da giày / Thời trang, Kiến trúc</t>
        </is>
      </c>
      <c r="K11003" t="inlineStr">
        <is>
          <t>3 - 5 Năm</t>
        </is>
      </c>
      <c r="L11003" s="8">
        <f>HYPERLINK("https://careerviet.vn/vi/tim-viec-lam/chuyen-vien-thiet-ke-noi-that-up-to-22m.35C6C6CC.html","Xem chi tiết")</f>
        <v/>
      </c>
    </row>
    <row r="11004">
      <c r="B11004" s="9" t="n">
        <v>11002</v>
      </c>
      <c r="C11004" s="10" t="inlineStr">
        <is>
          <t>BÁC SĨ CHUYÊN KHOA MẮT</t>
        </is>
      </c>
      <c r="D11004" s="10" t="inlineStr">
        <is>
          <t>CÔNG TY TNHH ĐẦU TƯ Y TẾ QUỐC TẾ DND – SÀI GÒN</t>
        </is>
      </c>
      <c r="E11004" s="10" t="inlineStr">
        <is>
          <t>Lương:Cạnh tranh</t>
        </is>
      </c>
      <c r="F11004" s="10" t="inlineStr">
        <is>
          <t>Hồ Chí Minh</t>
        </is>
      </c>
      <c r="G11004" s="10" t="inlineStr">
        <is>
          <t>30-04-2026</t>
        </is>
      </c>
      <c r="H11004" s="10" t="inlineStr">
        <is>
          <t>30/04/2026</t>
        </is>
      </c>
      <c r="I11004" s="10" t="inlineStr">
        <is>
          <t>17/03/2026</t>
        </is>
      </c>
      <c r="J11004" s="10" t="inlineStr">
        <is>
          <t>Y tế / Chăm sóc sức khỏe / Thẩm mỹ / Làm đẹp, Dược phẩm/ Hóa Mỹ Phẩm</t>
        </is>
      </c>
      <c r="K11004" s="10" t="inlineStr">
        <is>
          <t>Trên 2 Năm</t>
        </is>
      </c>
      <c r="L11004" s="11">
        <f>HYPERLINK("https://careerviet.vn/vi/tim-viec-lam/bac-si-chuyen-khoa-mat.35C6B64E.html","Xem chi tiết")</f>
        <v/>
      </c>
      <c r="M11004" s="10" t="n"/>
    </row>
    <row r="11005">
      <c r="B11005" s="7" t="n">
        <v>11003</v>
      </c>
      <c r="C11005" t="inlineStr">
        <is>
          <t>[GLOBAL X] Kỹ sư Cao cấp Cơ điện</t>
        </is>
      </c>
      <c r="D11005" t="inlineStr">
        <is>
          <t>Nova Service Group - Công ty Cổ phần Tập đoàn Nova Services</t>
        </is>
      </c>
      <c r="E11005" t="inlineStr">
        <is>
          <t>Lương:Cạnh tranh</t>
        </is>
      </c>
      <c r="F11005" t="inlineStr">
        <is>
          <t>Hồ Chí Minh</t>
        </is>
      </c>
      <c r="G11005" t="inlineStr">
        <is>
          <t>14-04-2026</t>
        </is>
      </c>
      <c r="H11005" t="inlineStr">
        <is>
          <t>14/04/2026</t>
        </is>
      </c>
      <c r="I11005" t="inlineStr">
        <is>
          <t>17/03/2026</t>
        </is>
      </c>
      <c r="J11005" t="inlineStr">
        <is>
          <t>Điện / Điện tử / Điện lạnh / Điện công nghiệp</t>
        </is>
      </c>
      <c r="K11005" t="inlineStr">
        <is>
          <t>2 - 3 Năm</t>
        </is>
      </c>
      <c r="L11005" s="8">
        <f>HYPERLINK("https://careerviet.vn/vi/tim-viec-lam/global-x-ky-su-cao-cap-co-dien.35C6C6D0.html","Xem chi tiết")</f>
        <v/>
      </c>
    </row>
    <row r="11006">
      <c r="B11006" s="9" t="n">
        <v>11004</v>
      </c>
      <c r="C11006" s="10" t="inlineStr">
        <is>
          <t>TRƯỞNG PHÒNG KẾ HOẠCH TỔNG HỢP</t>
        </is>
      </c>
      <c r="D11006" s="10" t="inlineStr">
        <is>
          <t>CÔNG TY TNHH ĐẦU TƯ Y TẾ QUỐC TẾ DND – SÀI GÒN</t>
        </is>
      </c>
      <c r="E11006" s="10" t="inlineStr">
        <is>
          <t>Lương:20 Tr - 30 Tr VND</t>
        </is>
      </c>
      <c r="F11006" s="10" t="inlineStr">
        <is>
          <t>Hồ Chí Minh</t>
        </is>
      </c>
      <c r="G11006" s="10" t="inlineStr">
        <is>
          <t>30-04-2026</t>
        </is>
      </c>
      <c r="H11006" s="10" t="inlineStr">
        <is>
          <t>30/04/2026</t>
        </is>
      </c>
      <c r="I11006" s="10" t="inlineStr">
        <is>
          <t>17/03/2026</t>
        </is>
      </c>
      <c r="J11006" s="10" t="inlineStr">
        <is>
          <t>Y tế / Chăm sóc sức khỏe / Thẩm mỹ / Làm đẹp</t>
        </is>
      </c>
      <c r="K11006" s="10" t="inlineStr">
        <is>
          <t>3 - 5 Năm</t>
        </is>
      </c>
      <c r="L11006" s="11">
        <f>HYPERLINK("https://careerviet.vn/vi/tim-viec-lam/truong-phong-ke-hoach-tong-hop.35C6C6D1.html","Xem chi tiết")</f>
        <v/>
      </c>
      <c r="M11006" s="10" t="n"/>
    </row>
    <row r="11007">
      <c r="B11007" s="7" t="n">
        <v>11005</v>
      </c>
      <c r="C11007" t="inlineStr">
        <is>
          <t>[Aeon Mall Tân Phú] Quản lý Cửa Hàng Thời Trang Thể Thao</t>
        </is>
      </c>
      <c r="D11007" t="inlineStr">
        <is>
          <t>THỜI TRANG LINING_CÔNG TY TNHH QUỐC TẾ HẢI LONG</t>
        </is>
      </c>
      <c r="E11007" t="inlineStr">
        <is>
          <t>Lương:10 Tr - 12 Tr VND</t>
        </is>
      </c>
      <c r="F11007" t="inlineStr">
        <is>
          <t>Hồ Chí Minh</t>
        </is>
      </c>
      <c r="G11007" t="inlineStr">
        <is>
          <t>14-04-2026</t>
        </is>
      </c>
      <c r="H11007" t="inlineStr">
        <is>
          <t>14/04/2026</t>
        </is>
      </c>
      <c r="I11007" t="inlineStr">
        <is>
          <t>17/03/2026</t>
        </is>
      </c>
      <c r="J11007" t="inlineStr">
        <is>
          <t>Bán lẻ / Bán sỉ, Bán hàng / Kinh doanh</t>
        </is>
      </c>
      <c r="K11007" t="inlineStr">
        <is>
          <t>1 - 2 Năm</t>
        </is>
      </c>
      <c r="L11007" s="8">
        <f>HYPERLINK("https://careerviet.vn/vi/tim-viec-lam/aeon-mall-tan-phu-quan-ly-cua-hang-thoi-trang-the-thao.35C6C720.html","Xem chi tiết")</f>
        <v/>
      </c>
    </row>
    <row r="11008">
      <c r="B11008" s="9" t="n">
        <v>11006</v>
      </c>
      <c r="C11008" s="10" t="inlineStr">
        <is>
          <t>AI practitioner</t>
        </is>
      </c>
      <c r="D11008" s="10" t="inlineStr">
        <is>
          <t>Công ty cổ phần GMO-Z.com RUNSYSTEM</t>
        </is>
      </c>
      <c r="E11008" s="10" t="inlineStr">
        <is>
          <t>Lương:11 Tr - 13 Tr VND</t>
        </is>
      </c>
      <c r="F11008" s="10" t="inlineStr">
        <is>
          <t>Hà Nội</t>
        </is>
      </c>
      <c r="G11008" s="10" t="inlineStr">
        <is>
          <t>10-04-2026</t>
        </is>
      </c>
      <c r="H11008" s="10" t="inlineStr">
        <is>
          <t>10/04/2026</t>
        </is>
      </c>
      <c r="I11008" s="10" t="inlineStr">
        <is>
          <t>17/03/2026</t>
        </is>
      </c>
      <c r="J11008" s="10" t="inlineStr">
        <is>
          <t>CNTT - Phần mềm</t>
        </is>
      </c>
      <c r="K11008" s="10" t="inlineStr">
        <is>
          <t>Lên đến 1 Năm</t>
        </is>
      </c>
      <c r="L11008" s="11">
        <f>HYPERLINK("https://careerviet.vn/vi/tim-viec-lam/ai-practitioner.35C6C474.html","Xem chi tiết")</f>
        <v/>
      </c>
      <c r="M11008" s="10" t="n"/>
    </row>
    <row r="11009">
      <c r="B11009" s="7" t="n">
        <v>11007</v>
      </c>
      <c r="C11009" t="inlineStr">
        <is>
          <t>GIÁM SÁT TRỌNG TÀI  (CSKH)</t>
        </is>
      </c>
      <c r="D11009" t="inlineStr">
        <is>
          <t>Công Ty TNHH BEST Logistics Technology (Việt Nam)</t>
        </is>
      </c>
      <c r="E11009" t="inlineStr">
        <is>
          <t>Lương:12 Tr - 30 Tr VND</t>
        </is>
      </c>
      <c r="F11009" t="inlineStr">
        <is>
          <t>Hồ Chí Minh</t>
        </is>
      </c>
      <c r="G11009" t="inlineStr">
        <is>
          <t>13-04-2026</t>
        </is>
      </c>
      <c r="H11009" t="inlineStr">
        <is>
          <t>13/04/2026</t>
        </is>
      </c>
      <c r="I11009" t="inlineStr">
        <is>
          <t>17/03/2026</t>
        </is>
      </c>
      <c r="J11009" t="inlineStr">
        <is>
          <t>Thương mại điện tử, Vận chuyển / Giao nhận / Kho vận, Dịch vụ khách hàng</t>
        </is>
      </c>
      <c r="K11009" t="inlineStr">
        <is>
          <t>3 - 7 Năm</t>
        </is>
      </c>
      <c r="L11009" s="8">
        <f>HYPERLINK("https://careerviet.vn/vi/tim-viec-lam/giam-sat-trong-tai-cskh.35C6C6A8.html","Xem chi tiết")</f>
        <v/>
      </c>
    </row>
    <row r="11010">
      <c r="B11010" s="9" t="n">
        <v>11008</v>
      </c>
      <c r="C11010" s="10" t="inlineStr">
        <is>
          <t>HÀ NỘI - CHUYÊN VIÊN PHÁP CHẾ  (Up to 25M)</t>
        </is>
      </c>
      <c r="D11010" s="10" t="inlineStr">
        <is>
          <t>THỜI TRANG LINING_CÔNG TY TNHH QUỐC TẾ HẢI LONG</t>
        </is>
      </c>
      <c r="E11010" s="10" t="inlineStr">
        <is>
          <t>Lương:18 Tr - 25 Tr VND</t>
        </is>
      </c>
      <c r="F11010" s="10" t="inlineStr">
        <is>
          <t>Hà Nội</t>
        </is>
      </c>
      <c r="G11010" s="10" t="inlineStr">
        <is>
          <t>30-04-2026</t>
        </is>
      </c>
      <c r="H11010" s="10" t="inlineStr">
        <is>
          <t>30/04/2026</t>
        </is>
      </c>
      <c r="I11010" s="10" t="inlineStr">
        <is>
          <t>17/03/2026</t>
        </is>
      </c>
      <c r="J11010" s="10" t="inlineStr">
        <is>
          <t>Tư vấn, Luật / Pháp lý</t>
        </is>
      </c>
      <c r="K11010" s="10" t="inlineStr">
        <is>
          <t>4 - 7 Năm</t>
        </is>
      </c>
      <c r="L11010" s="11">
        <f>HYPERLINK("https://careerviet.vn/vi/tim-viec-lam/ha-noi-chuyen-vien-phap-che-up-to-25m.35C6C6C0.html","Xem chi tiết")</f>
        <v/>
      </c>
      <c r="M11010" s="10" t="n"/>
    </row>
    <row r="11011">
      <c r="B11011" s="7" t="n">
        <v>11009</v>
      </c>
      <c r="C11011" t="inlineStr">
        <is>
          <t>KỸ SƯ TRẮC ĐẠC</t>
        </is>
      </c>
      <c r="D11011" t="inlineStr">
        <is>
          <t>Công Ty Cổ Phần Tập Đoàn Đèo Cả</t>
        </is>
      </c>
      <c r="E11011" t="inlineStr">
        <is>
          <t>Lương:17 Tr - 25 Tr VND</t>
        </is>
      </c>
      <c r="F11011" t="inlineStr">
        <is>
          <t>Trà VinhTiền Giang</t>
        </is>
      </c>
      <c r="G11011" t="inlineStr">
        <is>
          <t>30-04-2026</t>
        </is>
      </c>
      <c r="H11011" t="inlineStr">
        <is>
          <t>30/04/2026</t>
        </is>
      </c>
      <c r="I11011" t="inlineStr">
        <is>
          <t>17/03/2026</t>
        </is>
      </c>
      <c r="J11011" t="inlineStr">
        <is>
          <t>Trắc địa / Địa Chất, Xây dựng</t>
        </is>
      </c>
      <c r="K11011" t="inlineStr">
        <is>
          <t>Trên 1 Năm</t>
        </is>
      </c>
      <c r="L11011" s="8">
        <f>HYPERLINK("https://careerviet.vn/vi/tim-viec-lam/ky-su-trac-dac.35C6C6BD.html","Xem chi tiết")</f>
        <v/>
      </c>
    </row>
    <row r="11012">
      <c r="B11012" s="9" t="n">
        <v>11010</v>
      </c>
      <c r="C11012" s="10" t="inlineStr">
        <is>
          <t>Kiến trúc sư</t>
        </is>
      </c>
      <c r="D11012" s="10" t="inlineStr">
        <is>
          <t>CÔNG TY TNHH THƯƠNG MẠI XÂY DỰNG ĐOÀN LỰC</t>
        </is>
      </c>
      <c r="E11012" s="10" t="inlineStr">
        <is>
          <t>Lương:16 Tr - 20 Tr VND</t>
        </is>
      </c>
      <c r="F11012" s="10" t="inlineStr">
        <is>
          <t>Bình Dương</t>
        </is>
      </c>
      <c r="G11012" s="10" t="inlineStr">
        <is>
          <t>13-04-2026</t>
        </is>
      </c>
      <c r="H11012" s="10" t="inlineStr">
        <is>
          <t>13/04/2026</t>
        </is>
      </c>
      <c r="I11012" s="10" t="inlineStr">
        <is>
          <t>17/03/2026</t>
        </is>
      </c>
      <c r="J11012" s="10" t="inlineStr">
        <is>
          <t>Kiến trúc, Xây dựng</t>
        </is>
      </c>
      <c r="K11012" s="10" t="inlineStr">
        <is>
          <t>Trên 1 Năm</t>
        </is>
      </c>
      <c r="L11012" s="11">
        <f>HYPERLINK("https://careerviet.vn/vi/tim-viec-lam/kien-truc-su.35C6C6C9.html","Xem chi tiết")</f>
        <v/>
      </c>
      <c r="M11012" s="10" t="n"/>
    </row>
    <row r="11013">
      <c r="B11013" s="7" t="n">
        <v>11011</v>
      </c>
      <c r="C11013" t="inlineStr">
        <is>
          <t>NHÂN VIÊN KINH DOANH</t>
        </is>
      </c>
      <c r="D11013" t="inlineStr">
        <is>
          <t>Công ty Cổ Phần Đầu Tư Kỹ Thuật Thương Mại Nam Trung</t>
        </is>
      </c>
      <c r="E11013" t="inlineStr">
        <is>
          <t>Lương:Cạnh tranh</t>
        </is>
      </c>
      <c r="F11013" t="inlineStr">
        <is>
          <t>Hồ Chí Minh</t>
        </is>
      </c>
      <c r="G11013" t="inlineStr">
        <is>
          <t>13-04-2026</t>
        </is>
      </c>
      <c r="H11013" t="inlineStr">
        <is>
          <t>13/04/2026</t>
        </is>
      </c>
      <c r="I11013" t="inlineStr">
        <is>
          <t>17/03/2026</t>
        </is>
      </c>
      <c r="J11013" t="inlineStr">
        <is>
          <t>Bán hàng / Kinh doanh, Dịch vụ khách hàng, Ngân hàng</t>
        </is>
      </c>
      <c r="K11013" t="inlineStr">
        <is>
          <t>Chưa có kinh nghiệm</t>
        </is>
      </c>
      <c r="L11013" s="8">
        <f>HYPERLINK("https://careerviet.vn/vi/tim-viec-lam/nhan-vien-kinh-doanh.35C6C6A7.html","Xem chi tiết")</f>
        <v/>
      </c>
    </row>
    <row r="11014">
      <c r="B11014" s="9" t="n">
        <v>11012</v>
      </c>
      <c r="C11014" s="10" t="inlineStr">
        <is>
          <t>KỸ SƯ APPROVAL DRAWING (Revit/AutoCAD)</t>
        </is>
      </c>
      <c r="D11014" s="10" t="inlineStr">
        <is>
          <t>CÔNG TY CỔ PHẦN KẾT CẤU THÉP QH PLUS (QHPS)</t>
        </is>
      </c>
      <c r="E11014" s="10" t="inlineStr">
        <is>
          <t>Lương:Cạnh tranh</t>
        </is>
      </c>
      <c r="F11014" s="10" t="inlineStr">
        <is>
          <t>Hồ Chí Minh</t>
        </is>
      </c>
      <c r="G11014" s="10" t="inlineStr">
        <is>
          <t>13-04-2026</t>
        </is>
      </c>
      <c r="H11014" s="10" t="inlineStr">
        <is>
          <t>13/04/2026</t>
        </is>
      </c>
      <c r="I11014" s="10" t="inlineStr">
        <is>
          <t>17/03/2026</t>
        </is>
      </c>
      <c r="J11014" s="10" t="inlineStr">
        <is>
          <t>Kiến trúc, Xây dựng</t>
        </is>
      </c>
      <c r="K11014" s="10" t="inlineStr">
        <is>
          <t>2 - 10 Năm</t>
        </is>
      </c>
      <c r="L11014" s="11">
        <f>HYPERLINK("https://careerviet.vn/vi/tim-viec-lam/ky-su-approval-drawing-revit-autocad.35C6C6C6.html","Xem chi tiết")</f>
        <v/>
      </c>
      <c r="M11014" s="10" t="n"/>
    </row>
    <row r="11015">
      <c r="B11015" s="7" t="n">
        <v>11013</v>
      </c>
      <c r="C11015" t="inlineStr">
        <is>
          <t>Nhân viên admin</t>
        </is>
      </c>
      <c r="D11015" t="inlineStr">
        <is>
          <t>Công Ty Cổ Phần Gỗ An Cường</t>
        </is>
      </c>
      <c r="E11015" t="inlineStr">
        <is>
          <t>Lương:Cạnh tranh</t>
        </is>
      </c>
      <c r="F11015" t="inlineStr">
        <is>
          <t>Hồ Chí Minh</t>
        </is>
      </c>
      <c r="G11015" t="inlineStr">
        <is>
          <t>13-04-2026</t>
        </is>
      </c>
      <c r="H11015" t="inlineStr">
        <is>
          <t>13/04/2026</t>
        </is>
      </c>
      <c r="I11015" t="inlineStr">
        <is>
          <t>17/03/2026</t>
        </is>
      </c>
      <c r="J11015" t="inlineStr">
        <is>
          <t>Hành chính / Thư ký, Nội ngoại thất, Sản xuất / Vận hành sản xuất</t>
        </is>
      </c>
      <c r="K11015" t="inlineStr">
        <is>
          <t>1 - 2 Năm</t>
        </is>
      </c>
      <c r="L11015" s="8">
        <f>HYPERLINK("https://careerviet.vn/vi/tim-viec-lam/nhan-vien-admin.35C6C6B9.html","Xem chi tiết")</f>
        <v/>
      </c>
    </row>
    <row r="11016">
      <c r="B11016" s="9" t="n">
        <v>11014</v>
      </c>
      <c r="C11016" s="10" t="inlineStr">
        <is>
          <t>[GLOBAL X] Kỹ sư Cao cấp Xây dựng</t>
        </is>
      </c>
      <c r="D11016" s="10" t="inlineStr">
        <is>
          <t>Nova Service Group - Công ty Cổ phần Tập đoàn Nova Services</t>
        </is>
      </c>
      <c r="E11016" s="10" t="inlineStr">
        <is>
          <t>Lương:Cạnh tranh</t>
        </is>
      </c>
      <c r="F11016" s="10" t="inlineStr">
        <is>
          <t>Hồ Chí Minh</t>
        </is>
      </c>
      <c r="G11016" s="10" t="inlineStr">
        <is>
          <t>14-04-2026</t>
        </is>
      </c>
      <c r="H11016" s="10" t="inlineStr">
        <is>
          <t>14/04/2026</t>
        </is>
      </c>
      <c r="I11016" s="10" t="inlineStr">
        <is>
          <t>17/03/2026</t>
        </is>
      </c>
      <c r="J11016" s="10" t="inlineStr">
        <is>
          <t>Xây dựng</t>
        </is>
      </c>
      <c r="K11016" s="10" t="inlineStr">
        <is>
          <t>5 - 6 Năm</t>
        </is>
      </c>
      <c r="L11016" s="11">
        <f>HYPERLINK("https://careerviet.vn/vi/tim-viec-lam/global-x-ky-su-cao-cap-xay-dung.35C6C6B7.html","Xem chi tiết")</f>
        <v/>
      </c>
      <c r="M11016" s="10" t="n"/>
    </row>
    <row r="11017">
      <c r="B11017" s="7" t="n">
        <v>11015</v>
      </c>
      <c r="C11017" t="inlineStr">
        <is>
          <t>HÀ NỘI - PHÓ PHÒNG HÀNH CHÍNH NHÂN SỰ</t>
        </is>
      </c>
      <c r="D11017" t="inlineStr">
        <is>
          <t>THỜI TRANG LINING_CÔNG TY TNHH QUỐC TẾ HẢI LONG</t>
        </is>
      </c>
      <c r="E11017" t="inlineStr">
        <is>
          <t>Lương:40 Tr - 50 Tr VND</t>
        </is>
      </c>
      <c r="F11017" t="inlineStr">
        <is>
          <t>Hà Nội</t>
        </is>
      </c>
      <c r="G11017" t="inlineStr">
        <is>
          <t>30-04-2026</t>
        </is>
      </c>
      <c r="H11017" t="inlineStr">
        <is>
          <t>30/04/2026</t>
        </is>
      </c>
      <c r="I11017" t="inlineStr">
        <is>
          <t>17/03/2026</t>
        </is>
      </c>
      <c r="J11017" t="inlineStr">
        <is>
          <t>Hành chính / Thư ký, Quản lý điều hành, Nhân sự</t>
        </is>
      </c>
      <c r="K11017" t="inlineStr">
        <is>
          <t>5 - 10 Năm</t>
        </is>
      </c>
      <c r="L11017" s="8">
        <f>HYPERLINK("https://careerviet.vn/vi/tim-viec-lam/ha-noi-pho-phong-hanh-chinh-nhan-su.35C6C6BC.html","Xem chi tiết")</f>
        <v/>
      </c>
    </row>
    <row r="11018">
      <c r="B11018" s="9" t="n">
        <v>11016</v>
      </c>
      <c r="C11018" s="10" t="inlineStr">
        <is>
          <t>Long An/ Đồng Tháp/ Tiền Giang - Trưởng Nhóm Hỗ Trợ Thanh Toán Khoản Vay Hiện Trường</t>
        </is>
      </c>
      <c r="D11018" s="10" t="inlineStr">
        <is>
          <t>LOTTE FINANCE VIETNAM</t>
        </is>
      </c>
      <c r="E11018" s="10" t="inlineStr">
        <is>
          <t>Lương:Cạnh tranh</t>
        </is>
      </c>
      <c r="F11018" s="10" t="inlineStr">
        <is>
          <t>Long AnĐồng ThápTiền Giang</t>
        </is>
      </c>
      <c r="G11018" s="10" t="inlineStr">
        <is>
          <t>02-04-2026</t>
        </is>
      </c>
      <c r="H11018" s="10" t="inlineStr">
        <is>
          <t>02/04/2026</t>
        </is>
      </c>
      <c r="I11018" s="10" t="inlineStr">
        <is>
          <t>17/03/2026</t>
        </is>
      </c>
      <c r="J11018" s="10" t="inlineStr">
        <is>
          <t>Kế toán / Kiểm toán, Ngân hàng, Tài chính / Đầu tư</t>
        </is>
      </c>
      <c r="K11018" s="10" t="inlineStr">
        <is>
          <t>Chưa có kinh nghiệm</t>
        </is>
      </c>
      <c r="L11018" s="11">
        <f>HYPERLINK("https://careerviet.vn/vi/tim-viec-lam/long-an-dong-thap-tien-giang-truong-nhom-ho-tro-thanh-toan-khoan-vay-hien-truong.35C6A3AF.html","Xem chi tiết")</f>
        <v/>
      </c>
      <c r="M11018" s="10" t="n"/>
    </row>
    <row r="11019">
      <c r="B11019" s="7" t="n">
        <v>11017</v>
      </c>
      <c r="C11019" t="inlineStr">
        <is>
          <t>HÀ NỘI - TRƯỞNG NHÓM CHẾ ĐỘ  &amp; CHÍNH SÁCH (C&amp;B) - up 35M</t>
        </is>
      </c>
      <c r="D11019" t="inlineStr">
        <is>
          <t>THỜI TRANG LINING_CÔNG TY TNHH QUỐC TẾ HẢI LONG</t>
        </is>
      </c>
      <c r="E11019" t="inlineStr">
        <is>
          <t>Lương:27 Tr - 35 Tr VND</t>
        </is>
      </c>
      <c r="F11019" t="inlineStr">
        <is>
          <t>Hà Nội</t>
        </is>
      </c>
      <c r="G11019" t="inlineStr">
        <is>
          <t>31-03-2026</t>
        </is>
      </c>
      <c r="H11019" t="inlineStr">
        <is>
          <t>31/03/2026</t>
        </is>
      </c>
      <c r="I11019" t="inlineStr">
        <is>
          <t>17/03/2026</t>
        </is>
      </c>
      <c r="J11019" t="inlineStr">
        <is>
          <t>Hành chính / Thư ký, Nhân sự</t>
        </is>
      </c>
      <c r="K11019" t="inlineStr">
        <is>
          <t>5 - 7 Năm</t>
        </is>
      </c>
      <c r="L11019" s="8">
        <f>HYPERLINK("https://careerviet.vn/vi/tim-viec-lam/ha-noi-truong-nhom-che-do-chinh-sach-c-b-up-35m.35C6C6B5.html","Xem chi tiết")</f>
        <v/>
      </c>
    </row>
    <row r="11020">
      <c r="B11020" s="9" t="n">
        <v>11018</v>
      </c>
      <c r="C11020" s="10" t="inlineStr">
        <is>
          <t>PHÓ PHÒNG HÀNG HÓA (mảng thời trang) - UP 45M</t>
        </is>
      </c>
      <c r="D11020" s="10" t="inlineStr">
        <is>
          <t>THỜI TRANG LINING_CÔNG TY TNHH QUỐC TẾ HẢI LONG</t>
        </is>
      </c>
      <c r="E11020" s="10" t="inlineStr">
        <is>
          <t>Lương:40 Tr - 45 Tr VND</t>
        </is>
      </c>
      <c r="F11020" s="10" t="inlineStr">
        <is>
          <t>Hà Nội</t>
        </is>
      </c>
      <c r="G11020" s="10" t="inlineStr">
        <is>
          <t>31-03-2026</t>
        </is>
      </c>
      <c r="H11020" s="10" t="inlineStr">
        <is>
          <t>31/03/2026</t>
        </is>
      </c>
      <c r="I11020" s="10" t="inlineStr">
        <is>
          <t>17/03/2026</t>
        </is>
      </c>
      <c r="J11020" s="10" t="inlineStr">
        <is>
          <t>Bán lẻ / Bán sỉ, Bán hàng / Kinh doanh, Dệt may / Da giày / Thời trang</t>
        </is>
      </c>
      <c r="K11020" s="10" t="inlineStr">
        <is>
          <t>5 - 10 Năm</t>
        </is>
      </c>
      <c r="L11020" s="11">
        <f>HYPERLINK("https://careerviet.vn/vi/tim-viec-lam/pho-phong-hang-hoa-mang-thoi-trang-up-45m.35C6C6BA.html","Xem chi tiết")</f>
        <v/>
      </c>
      <c r="M11020" s="10" t="n"/>
    </row>
    <row r="11021">
      <c r="B11021" s="7" t="n">
        <v>11019</v>
      </c>
      <c r="C11021" t="inlineStr">
        <is>
          <t>Chuyên viên Hành chính</t>
        </is>
      </c>
      <c r="D11021" t="inlineStr">
        <is>
          <t>Công Ty TNHH XNK Phát Triển Đông Dương</t>
        </is>
      </c>
      <c r="E11021" t="inlineStr">
        <is>
          <t>Lương:14 Tr - 17 Tr VND</t>
        </is>
      </c>
      <c r="F11021" t="inlineStr">
        <is>
          <t>Hồ Chí Minh</t>
        </is>
      </c>
      <c r="G11021" t="inlineStr">
        <is>
          <t>10-04-2026</t>
        </is>
      </c>
      <c r="H11021" t="inlineStr">
        <is>
          <t>10/04/2026</t>
        </is>
      </c>
      <c r="I11021" t="inlineStr">
        <is>
          <t>17/03/2026</t>
        </is>
      </c>
      <c r="J11021" t="inlineStr">
        <is>
          <t>Nhân sự, Hành chính / Thư ký</t>
        </is>
      </c>
      <c r="K11021" t="inlineStr">
        <is>
          <t>3 - 5 Năm</t>
        </is>
      </c>
      <c r="L11021" s="8">
        <f>HYPERLINK("https://careerviet.vn/vi/tim-viec-lam/chuyen-vien-hanh-chinh.35C6C6B0.html","Xem chi tiết")</f>
        <v/>
      </c>
    </row>
    <row r="11022">
      <c r="B11022" s="9" t="n">
        <v>11020</v>
      </c>
      <c r="C11022" s="10" t="inlineStr">
        <is>
          <t>Nhân viên kinh doanh phát triển thị trường Hà Nội (Máy lọc nước)</t>
        </is>
      </c>
      <c r="D11022" s="10" t="inlineStr">
        <is>
          <t>Tập Đoàn Karofi Holding</t>
        </is>
      </c>
      <c r="E11022" s="10" t="inlineStr">
        <is>
          <t>Lương:12 Tr - 20 Tr VND</t>
        </is>
      </c>
      <c r="F11022" s="10" t="inlineStr">
        <is>
          <t>Hà Nội</t>
        </is>
      </c>
      <c r="G11022" s="10" t="inlineStr">
        <is>
          <t>29-04-2026</t>
        </is>
      </c>
      <c r="H11022" s="10" t="inlineStr">
        <is>
          <t>29/04/2026</t>
        </is>
      </c>
      <c r="I11022" s="10" t="inlineStr">
        <is>
          <t>17/03/2026</t>
        </is>
      </c>
      <c r="J11022" s="10" t="inlineStr">
        <is>
          <t>Bán lẻ / Bán sỉ, Bán hàng / Kinh doanh, Điện / Điện tử / Điện lạnh / Điện công nghiệp</t>
        </is>
      </c>
      <c r="K11022" s="10" t="inlineStr">
        <is>
          <t>1 - 2 Năm</t>
        </is>
      </c>
      <c r="L11022" s="11">
        <f>HYPERLINK("https://careerviet.vn/vi/tim-viec-lam/nhan-vien-kinh-doanh-phat-trien-thi-truong-ha-noi-may-loc-nuoc.35C6C6B6.html","Xem chi tiết")</f>
        <v/>
      </c>
      <c r="M11022" s="10" t="n"/>
    </row>
    <row r="11023">
      <c r="B11023" s="7" t="n">
        <v>11021</v>
      </c>
      <c r="C11023" t="inlineStr">
        <is>
          <t>Site Engineer (Kỹ Sư Xây Dựng) Ưu Tiên Fresher/ứng Viên Mới Tốt Nghiệp</t>
        </is>
      </c>
      <c r="D11023" t="inlineStr">
        <is>
          <t>CÔNG TY TNHH TOYO QUỐC TẾ</t>
        </is>
      </c>
      <c r="E11023" t="inlineStr">
        <is>
          <t>Lương:Cạnh tranh</t>
        </is>
      </c>
      <c r="F11023" t="inlineStr">
        <is>
          <t>Hải Phòng</t>
        </is>
      </c>
      <c r="G11023" t="inlineStr">
        <is>
          <t>12-04-2026</t>
        </is>
      </c>
      <c r="H11023" t="inlineStr">
        <is>
          <t>12/04/2026</t>
        </is>
      </c>
      <c r="I11023" t="inlineStr">
        <is>
          <t>17/03/2026</t>
        </is>
      </c>
      <c r="J11023" t="inlineStr">
        <is>
          <t>Điện / Điện tử / Điện lạnh / Điện công nghiệp, Kiến trúc, Xây dựng</t>
        </is>
      </c>
      <c r="K11023" t="inlineStr">
        <is>
          <t>N/A</t>
        </is>
      </c>
      <c r="L11023" s="8">
        <f>HYPERLINK("https://careerviet.vn/vi/tim-viec-lam/site-engineer-ky-su-xay-dung-uu-tien-fresher-ung-vien-moi-tot-nghiep.35C6C6B3.html","Xem chi tiết")</f>
        <v/>
      </c>
    </row>
    <row r="11024">
      <c r="B11024" s="9" t="n">
        <v>11022</v>
      </c>
      <c r="C11024" s="10" t="inlineStr">
        <is>
          <t>Trưởng bộ phận Pháp lý dự án</t>
        </is>
      </c>
      <c r="D11024" s="10" t="inlineStr">
        <is>
          <t>CÔNG TY TNHH THƯƠNG MẠI XÂY DỰNG ĐOÀN LỰC</t>
        </is>
      </c>
      <c r="E11024" s="10" t="inlineStr">
        <is>
          <t>Lương:17 Tr - 22 Tr VND</t>
        </is>
      </c>
      <c r="F11024" s="10" t="inlineStr">
        <is>
          <t>Bình Dương</t>
        </is>
      </c>
      <c r="G11024" s="10" t="inlineStr">
        <is>
          <t>10-04-2026</t>
        </is>
      </c>
      <c r="H11024" s="10" t="inlineStr">
        <is>
          <t>10/04/2026</t>
        </is>
      </c>
      <c r="I11024" s="10" t="inlineStr">
        <is>
          <t>17/03/2026</t>
        </is>
      </c>
      <c r="J11024" s="10" t="inlineStr">
        <is>
          <t>Luật / Pháp lý, Kiến trúc, Xây dựng</t>
        </is>
      </c>
      <c r="K11024" s="10" t="inlineStr">
        <is>
          <t>Trên 2 Năm</t>
        </is>
      </c>
      <c r="L11024" s="11">
        <f>HYPERLINK("https://careerviet.vn/vi/tim-viec-lam/truong-bo-phan-phap-ly-du-an.35C6C6B4.html","Xem chi tiết")</f>
        <v/>
      </c>
      <c r="M11024" s="10" t="n"/>
    </row>
    <row r="11025">
      <c r="B11025" s="7" t="n">
        <v>11023</v>
      </c>
      <c r="C11025" t="inlineStr">
        <is>
          <t>Kỹ sư Trí tuệ nhân tạo (AI Engineer)</t>
        </is>
      </c>
      <c r="D11025" t="inlineStr">
        <is>
          <t>Công ty Cổ phần Tập đoàn Hoa Sen</t>
        </is>
      </c>
      <c r="E11025" t="inlineStr">
        <is>
          <t>Lương:Cạnh tranh</t>
        </is>
      </c>
      <c r="F11025" t="inlineStr">
        <is>
          <t>Hồ Chí Minh</t>
        </is>
      </c>
      <c r="G11025" t="inlineStr">
        <is>
          <t>11-04-2026</t>
        </is>
      </c>
      <c r="H11025" t="inlineStr">
        <is>
          <t>11/04/2026</t>
        </is>
      </c>
      <c r="I11025" t="inlineStr">
        <is>
          <t>17/03/2026</t>
        </is>
      </c>
      <c r="J11025" t="inlineStr">
        <is>
          <t>CNTT - Phần mềm, Bán lẻ / Bán sỉ, CNTT - Phần cứng / Mạng</t>
        </is>
      </c>
      <c r="K11025" t="inlineStr">
        <is>
          <t>2 - 3 Năm</t>
        </is>
      </c>
      <c r="L11025" s="8">
        <f>HYPERLINK("https://careerviet.vn/vi/tim-viec-lam/ky-su-tri-tue-nhan-tao-ai-engineer.35C6C6B1.html","Xem chi tiết")</f>
        <v/>
      </c>
    </row>
    <row r="11026">
      <c r="B11026" s="9" t="n">
        <v>11024</v>
      </c>
      <c r="C11026" s="10" t="inlineStr">
        <is>
          <t>Trưởng Nhóm Đóng Gói</t>
        </is>
      </c>
      <c r="D11026" s="10" t="inlineStr">
        <is>
          <t>Công Ty TNHH Interflour Việt Nam</t>
        </is>
      </c>
      <c r="E11026" s="10" t="inlineStr">
        <is>
          <t>Lương:Cạnh tranh</t>
        </is>
      </c>
      <c r="F11026" s="10" t="inlineStr">
        <is>
          <t>Bà Rịa - Vũng Tàu</t>
        </is>
      </c>
      <c r="G11026" s="10" t="inlineStr">
        <is>
          <t>12-04-2026</t>
        </is>
      </c>
      <c r="H11026" s="10" t="inlineStr">
        <is>
          <t>12/04/2026</t>
        </is>
      </c>
      <c r="I11026" s="10" t="inlineStr">
        <is>
          <t>17/03/2026</t>
        </is>
      </c>
      <c r="J11026" s="10" t="inlineStr">
        <is>
          <t>Sản xuất / Vận hành sản xuất</t>
        </is>
      </c>
      <c r="K11026" s="10" t="inlineStr">
        <is>
          <t>1 - 3 Năm</t>
        </is>
      </c>
      <c r="L11026" s="11">
        <f>HYPERLINK("https://careerviet.vn/vi/tim-viec-lam/truong-nhom-dong-goi.35C6C6AF.html","Xem chi tiết")</f>
        <v/>
      </c>
      <c r="M11026" s="10" t="n"/>
    </row>
    <row r="11027">
      <c r="B11027" s="7" t="n">
        <v>11025</v>
      </c>
      <c r="C11027" t="inlineStr">
        <is>
          <t>Nhân Viên Thủ Kho Vật Tư</t>
        </is>
      </c>
      <c r="D11027" t="inlineStr">
        <is>
          <t>Công Ty TNHH Xuất Nhập Khẩu Thái Châu</t>
        </is>
      </c>
      <c r="E11027" t="inlineStr">
        <is>
          <t>Lương:12 Tr - 15 Tr VND</t>
        </is>
      </c>
      <c r="F11027" t="inlineStr">
        <is>
          <t>Long An</t>
        </is>
      </c>
      <c r="G11027" t="inlineStr">
        <is>
          <t>12-04-2026</t>
        </is>
      </c>
      <c r="H11027" t="inlineStr">
        <is>
          <t>12/04/2026</t>
        </is>
      </c>
      <c r="I11027" t="inlineStr">
        <is>
          <t>17/03/2026</t>
        </is>
      </c>
      <c r="J11027" t="inlineStr">
        <is>
          <t>Thu mua / Vật tư, Xuất nhập khẩu, Cơ khí / Ô tô / Tự động hóa</t>
        </is>
      </c>
      <c r="K11027" t="inlineStr">
        <is>
          <t>1 - 3 Năm</t>
        </is>
      </c>
      <c r="L11027" s="8">
        <f>HYPERLINK("https://careerviet.vn/vi/tim-viec-lam/nhan-vien-thu-kho-vat-tu.35C6C6AE.html","Xem chi tiết")</f>
        <v/>
      </c>
    </row>
    <row r="11028">
      <c r="B11028" s="9" t="n">
        <v>11026</v>
      </c>
      <c r="C11028" s="10" t="inlineStr">
        <is>
          <t>Quản lý cửa hàng (Bán lẻ)</t>
        </is>
      </c>
      <c r="D11028" s="10" t="inlineStr">
        <is>
          <t>Công ty TNHH PHD</t>
        </is>
      </c>
      <c r="E11028" s="10" t="inlineStr">
        <is>
          <t>Lương:9 Tr - 15 Tr VND</t>
        </is>
      </c>
      <c r="F11028" s="10" t="inlineStr">
        <is>
          <t>Hà Nội</t>
        </is>
      </c>
      <c r="G11028" s="10" t="inlineStr">
        <is>
          <t>14-04-2026</t>
        </is>
      </c>
      <c r="H11028" s="10" t="inlineStr">
        <is>
          <t>14/04/2026</t>
        </is>
      </c>
      <c r="I11028" s="10" t="inlineStr">
        <is>
          <t>17/03/2026</t>
        </is>
      </c>
      <c r="J11028" s="10" t="inlineStr">
        <is>
          <t>Bán lẻ / Bán sỉ</t>
        </is>
      </c>
      <c r="K11028" s="10" t="inlineStr">
        <is>
          <t>1 - 3 Năm</t>
        </is>
      </c>
      <c r="L11028" s="11">
        <f>HYPERLINK("https://careerviet.vn/vi/tim-viec-lam/quan-ly-cua-hang-ban-le.35C6C5E8.html","Xem chi tiết")</f>
        <v/>
      </c>
      <c r="M11028" s="10" t="n"/>
    </row>
    <row r="11029">
      <c r="B11029" s="7" t="n">
        <v>11027</v>
      </c>
      <c r="C11029" t="inlineStr">
        <is>
          <t>Nhân Viên Hành Chính Nhân Sự</t>
        </is>
      </c>
      <c r="D11029" t="inlineStr">
        <is>
          <t>Công Ty TNHH Xuất Nhập Khẩu Thái Châu</t>
        </is>
      </c>
      <c r="E11029" t="inlineStr">
        <is>
          <t>Lương:Cạnh tranh</t>
        </is>
      </c>
      <c r="F11029" t="inlineStr">
        <is>
          <t>Long An</t>
        </is>
      </c>
      <c r="G11029" t="inlineStr">
        <is>
          <t>12-04-2026</t>
        </is>
      </c>
      <c r="H11029" t="inlineStr">
        <is>
          <t>12/04/2026</t>
        </is>
      </c>
      <c r="I11029" t="inlineStr">
        <is>
          <t>17/03/2026</t>
        </is>
      </c>
      <c r="J11029" t="inlineStr">
        <is>
          <t>Hành chính / Thư ký, Nhân sự</t>
        </is>
      </c>
      <c r="K11029" t="inlineStr">
        <is>
          <t>1 - 2 Năm</t>
        </is>
      </c>
      <c r="L11029" s="8">
        <f>HYPERLINK("https://careerviet.vn/vi/tim-viec-lam/nhan-vien-hanh-chinh-nhan-su.35C6C6AB.html","Xem chi tiết")</f>
        <v/>
      </c>
    </row>
    <row r="11030">
      <c r="B11030" s="9" t="n">
        <v>11028</v>
      </c>
      <c r="C11030" s="10" t="inlineStr">
        <is>
          <t>[GLOBAL X] Trưởng phòng Phụ trách Quản lý Xây dựng</t>
        </is>
      </c>
      <c r="D11030" s="10" t="inlineStr">
        <is>
          <t>Nova Service Group - Công ty Cổ phần Tập đoàn Nova Services</t>
        </is>
      </c>
      <c r="E11030" s="10" t="inlineStr">
        <is>
          <t>Lương:Cạnh tranh</t>
        </is>
      </c>
      <c r="F11030" s="10" t="inlineStr">
        <is>
          <t>Hồ Chí Minh</t>
        </is>
      </c>
      <c r="G11030" s="10" t="inlineStr">
        <is>
          <t>14-04-2026</t>
        </is>
      </c>
      <c r="H11030" s="10" t="inlineStr">
        <is>
          <t>14/04/2026</t>
        </is>
      </c>
      <c r="I11030" s="10" t="inlineStr">
        <is>
          <t>17/03/2026</t>
        </is>
      </c>
      <c r="J11030" s="10" t="inlineStr">
        <is>
          <t>Xây dựng</t>
        </is>
      </c>
      <c r="K11030" s="10" t="inlineStr">
        <is>
          <t>2 - 3 Năm</t>
        </is>
      </c>
      <c r="L11030" s="11">
        <f>HYPERLINK("https://careerviet.vn/vi/tim-viec-lam/global-x-truong-phong-phu-trach-quan-ly-xay-dung.35C6C6A5.html","Xem chi tiết")</f>
        <v/>
      </c>
      <c r="M11030" s="10" t="n"/>
    </row>
    <row r="11031">
      <c r="B11031" s="7" t="n">
        <v>11029</v>
      </c>
      <c r="C11031" t="inlineStr">
        <is>
          <t>Nhân Viên Giao Nhận Mẫu ( Dịch Vụ Y Tế) - SL: 05</t>
        </is>
      </c>
      <c r="D11031" t="inlineStr">
        <is>
          <t>Công ty Cổ phần Vật tư Khoa học BIOMEDIC</t>
        </is>
      </c>
      <c r="E11031" t="inlineStr">
        <is>
          <t>Lương:8 Tr - 10 Tr VND</t>
        </is>
      </c>
      <c r="F11031" t="inlineStr">
        <is>
          <t>Hà Nội</t>
        </is>
      </c>
      <c r="G11031" t="inlineStr">
        <is>
          <t>30-04-2026</t>
        </is>
      </c>
      <c r="H11031" t="inlineStr">
        <is>
          <t>30/04/2026</t>
        </is>
      </c>
      <c r="I11031" t="inlineStr">
        <is>
          <t>17/03/2026</t>
        </is>
      </c>
      <c r="J11031" t="inlineStr">
        <is>
          <t>Mới tốt nghiệp / Thực tập, Vận chuyển / Giao nhận / Kho vận, Lao động phổ thông</t>
        </is>
      </c>
      <c r="K11031" t="inlineStr">
        <is>
          <t>N/A</t>
        </is>
      </c>
      <c r="L11031" s="8">
        <f>HYPERLINK("https://careerviet.vn/vi/tim-viec-lam/nhan-vien-giao-nhan-mau-dich-vu-y-te-sl-05.35C6C697.html","Xem chi tiết")</f>
        <v/>
      </c>
    </row>
    <row r="11032">
      <c r="B11032" s="9" t="n">
        <v>11030</v>
      </c>
      <c r="C11032" s="10" t="inlineStr">
        <is>
          <t>Chuyên gia kiến trúc giải pháp - TNTech - 4Z011</t>
        </is>
      </c>
      <c r="D11032" s="10" t="inlineStr">
        <is>
          <t>Tập đoàn ROX (ROX Group)</t>
        </is>
      </c>
      <c r="E11032" s="10" t="inlineStr">
        <is>
          <t>Lương:Cạnh tranh</t>
        </is>
      </c>
      <c r="F11032" s="10" t="inlineStr">
        <is>
          <t>Hà Nội</t>
        </is>
      </c>
      <c r="G11032" s="10" t="inlineStr">
        <is>
          <t>10-04-2026</t>
        </is>
      </c>
      <c r="H11032" s="10" t="inlineStr">
        <is>
          <t>10/04/2026</t>
        </is>
      </c>
      <c r="I11032" s="10" t="inlineStr">
        <is>
          <t>17/03/2026</t>
        </is>
      </c>
      <c r="J11032" s="10" t="inlineStr">
        <is>
          <t>CNTT - Phần mềm</t>
        </is>
      </c>
      <c r="K11032" s="10" t="inlineStr">
        <is>
          <t>Trên 7 Năm</t>
        </is>
      </c>
      <c r="L11032" s="11">
        <f>HYPERLINK("https://careerviet.vn/vi/tim-viec-lam/chuyen-gia-kien-truc-giai-phap-tntech-4z011.35C6C6AA.html","Xem chi tiết")</f>
        <v/>
      </c>
      <c r="M11032" s="10" t="n"/>
    </row>
    <row r="11033">
      <c r="B11033" s="7" t="n">
        <v>11031</v>
      </c>
      <c r="C11033" t="inlineStr">
        <is>
          <t>Development Center Analyst - Pharma</t>
        </is>
      </c>
      <c r="D11033" t="inlineStr">
        <is>
          <t>CÔNG TY CỔ PHẦN GREEN SPEED</t>
        </is>
      </c>
      <c r="E11033" t="inlineStr">
        <is>
          <t>Lương:15,5 Tr - 16 Tr VND</t>
        </is>
      </c>
      <c r="F11033" t="inlineStr">
        <is>
          <t>Hồ Chí Minh</t>
        </is>
      </c>
      <c r="G11033" t="inlineStr">
        <is>
          <t>14-04-2026</t>
        </is>
      </c>
      <c r="H11033" t="inlineStr">
        <is>
          <t>14/04/2026</t>
        </is>
      </c>
      <c r="I11033" t="inlineStr">
        <is>
          <t>17/03/2026</t>
        </is>
      </c>
      <c r="J11033" t="inlineStr">
        <is>
          <t>Dược phẩm/ Hóa Mỹ Phẩm</t>
        </is>
      </c>
      <c r="K11033" t="inlineStr">
        <is>
          <t>1 - 2 Năm</t>
        </is>
      </c>
      <c r="L11033" s="8">
        <f>HYPERLINK("https://careerviet.vn/vi/tim-viec-lam/development-center-analyst-pharma.35C6C65B.html","Xem chi tiết")</f>
        <v/>
      </c>
    </row>
    <row r="11034">
      <c r="B11034" s="9" t="n">
        <v>11032</v>
      </c>
      <c r="C11034" s="10" t="inlineStr">
        <is>
          <t>Nhân Viên Mua Hàng (Tiếng Anh, Tiếng Trung)</t>
        </is>
      </c>
      <c r="D11034" s="10" t="inlineStr">
        <is>
          <t>Tập Đoàn An Phát Holdings</t>
        </is>
      </c>
      <c r="E11034" s="10" t="inlineStr">
        <is>
          <t>Lương:9 Tr - 12 Tr VND</t>
        </is>
      </c>
      <c r="F11034" s="10" t="inlineStr">
        <is>
          <t>Hải Dương</t>
        </is>
      </c>
      <c r="G11034" s="10" t="inlineStr">
        <is>
          <t>15-04-2026</t>
        </is>
      </c>
      <c r="H11034" s="10" t="inlineStr">
        <is>
          <t>15/04/2026</t>
        </is>
      </c>
      <c r="I11034" s="10" t="inlineStr">
        <is>
          <t>17/03/2026</t>
        </is>
      </c>
      <c r="J11034" s="10" t="inlineStr">
        <is>
          <t>Thu mua / Vật tư</t>
        </is>
      </c>
      <c r="K11034" s="10" t="inlineStr">
        <is>
          <t>1 - 3 Năm</t>
        </is>
      </c>
      <c r="L11034" s="11">
        <f>HYPERLINK("https://careerviet.vn/vi/tim-viec-lam/nhan-vien-mua-hang-tieng-anh-tieng-trung.35C6C6A3.html","Xem chi tiết")</f>
        <v/>
      </c>
      <c r="M11034" s="10" t="n"/>
    </row>
    <row r="11035">
      <c r="B11035" s="7" t="n">
        <v>11033</v>
      </c>
      <c r="C11035" t="inlineStr">
        <is>
          <t>Nhân viên Kiểm soát chất lượng - QC</t>
        </is>
      </c>
      <c r="D11035" t="inlineStr">
        <is>
          <t>Pfeiffer Vacuum+FAB Solutions Vietnam Co. Ltd</t>
        </is>
      </c>
      <c r="E11035" t="inlineStr">
        <is>
          <t>Lương:Cạnh tranh</t>
        </is>
      </c>
      <c r="F11035" t="inlineStr">
        <is>
          <t>Bình Dương</t>
        </is>
      </c>
      <c r="G11035" t="inlineStr">
        <is>
          <t>14-04-2026</t>
        </is>
      </c>
      <c r="H11035" t="inlineStr">
        <is>
          <t>14/04/2026</t>
        </is>
      </c>
      <c r="I11035" t="inlineStr">
        <is>
          <t>17/03/2026</t>
        </is>
      </c>
      <c r="J11035" t="inlineStr">
        <is>
          <t>Cơ khí / Ô tô / Tự động hóa, Điện / Điện tử / Điện lạnh / Điện công nghiệp, Sản xuất / Vận hành sản xuất</t>
        </is>
      </c>
      <c r="K11035" t="inlineStr">
        <is>
          <t>1 - 5 Năm</t>
        </is>
      </c>
      <c r="L11035" s="8">
        <f>HYPERLINK("https://careerviet.vn/vi/tim-viec-lam/nhan-vien-kiem-soat-chat-luong-qc.35C6C695.html","Xem chi tiết")</f>
        <v/>
      </c>
    </row>
    <row r="11036">
      <c r="B11036" s="9" t="n">
        <v>11034</v>
      </c>
      <c r="C11036" s="10" t="inlineStr">
        <is>
          <t>Chuyên Viên Kiểm Soát Chất Lượng - Lĩnh Vực QLVH BĐS (Lương 13 - 16 Triệu)</t>
        </is>
      </c>
      <c r="D11036" s="10" t="inlineStr">
        <is>
          <t>CÔNG TY CỔ PHẦN QUẢN LÝ VẬN HÀNH &amp; KHAI THÁC BẤT ĐỘNG SẢN GELEXIMCO</t>
        </is>
      </c>
      <c r="E11036" s="10" t="inlineStr">
        <is>
          <t>Lương:13 Tr - 16 Tr VND</t>
        </is>
      </c>
      <c r="F11036" s="10" t="inlineStr">
        <is>
          <t>Hà Nội</t>
        </is>
      </c>
      <c r="G11036" s="10" t="inlineStr">
        <is>
          <t>15-04-2026</t>
        </is>
      </c>
      <c r="H11036" s="10" t="inlineStr">
        <is>
          <t>15/04/2026</t>
        </is>
      </c>
      <c r="I11036" s="10" t="inlineStr">
        <is>
          <t>17/03/2026</t>
        </is>
      </c>
      <c r="J11036" s="10" t="inlineStr">
        <is>
          <t>Quản lý chất lượng (QA/QC), Bất động sản, Bảo trì / Sửa chữa</t>
        </is>
      </c>
      <c r="K11036" s="10" t="inlineStr">
        <is>
          <t>3 - 5 Năm</t>
        </is>
      </c>
      <c r="L11036" s="11">
        <f>HYPERLINK("https://careerviet.vn/vi/tim-viec-lam/chuyen-vien-kiem-soat-chat-luong-linh-vuc-qlvh-bds-luong-13-16-trieu.35C6C69F.html","Xem chi tiết")</f>
        <v/>
      </c>
      <c r="M11036" s="10" t="n"/>
    </row>
    <row r="11037">
      <c r="B11037" s="7" t="n">
        <v>11035</v>
      </c>
      <c r="C11037" t="inlineStr">
        <is>
          <t>KẾ TOÁN NỘI BỘ</t>
        </is>
      </c>
      <c r="D11037" t="inlineStr">
        <is>
          <t>MAC Media</t>
        </is>
      </c>
      <c r="E11037" t="inlineStr">
        <is>
          <t>Lương:Cạnh tranh</t>
        </is>
      </c>
      <c r="F11037" t="inlineStr">
        <is>
          <t>Hồ Chí Minh</t>
        </is>
      </c>
      <c r="G11037" t="inlineStr">
        <is>
          <t>10-04-2026</t>
        </is>
      </c>
      <c r="H11037" t="inlineStr">
        <is>
          <t>10/04/2026</t>
        </is>
      </c>
      <c r="I11037" t="inlineStr">
        <is>
          <t>17/03/2026</t>
        </is>
      </c>
      <c r="J11037" t="inlineStr">
        <is>
          <t>Kế toán / Kiểm toán</t>
        </is>
      </c>
      <c r="K11037" t="inlineStr">
        <is>
          <t>3 - 4 Năm</t>
        </is>
      </c>
      <c r="L11037" s="8">
        <f>HYPERLINK("https://careerviet.vn/vi/tim-viec-lam/ke-toan-noi-bo.35C6C69D.html","Xem chi tiết")</f>
        <v/>
      </c>
    </row>
    <row r="11038">
      <c r="B11038" s="9" t="n">
        <v>11036</v>
      </c>
      <c r="C11038" s="10" t="inlineStr">
        <is>
          <t>[GLOBAL X] NHÂN VIÊN LỄ TÂN</t>
        </is>
      </c>
      <c r="D11038" s="10" t="inlineStr">
        <is>
          <t>Nova Service Group - Công ty Cổ phần Tập đoàn Nova Services</t>
        </is>
      </c>
      <c r="E11038" s="10" t="inlineStr">
        <is>
          <t>Lương:Cạnh tranh</t>
        </is>
      </c>
      <c r="F11038" s="10" t="inlineStr">
        <is>
          <t>Hồ Chí Minh</t>
        </is>
      </c>
      <c r="G11038" s="10" t="inlineStr">
        <is>
          <t>30-04-2026</t>
        </is>
      </c>
      <c r="H11038" s="10" t="inlineStr">
        <is>
          <t>30/04/2026</t>
        </is>
      </c>
      <c r="I11038" s="10" t="inlineStr">
        <is>
          <t>17/03/2026</t>
        </is>
      </c>
      <c r="J11038" s="10" t="inlineStr">
        <is>
          <t>Y tế / Chăm sóc sức khỏe / Thẩm mỹ / Làm đẹp, Dịch vụ khách hàng, Nhà hàng / Khách sạn</t>
        </is>
      </c>
      <c r="K11038" s="10" t="inlineStr">
        <is>
          <t>N/A</t>
        </is>
      </c>
      <c r="L11038" s="11">
        <f>HYPERLINK("https://careerviet.vn/vi/tim-viec-lam/global-x-nhan-vien-le-tan.35C6C6A2.html","Xem chi tiết")</f>
        <v/>
      </c>
      <c r="M11038" s="10" t="n"/>
    </row>
    <row r="11039">
      <c r="B11039" s="7" t="n">
        <v>11037</v>
      </c>
      <c r="C11039" t="inlineStr">
        <is>
          <t>MEP SUPERVISOR/ Giám sát hệ cơ điện</t>
        </is>
      </c>
      <c r="D11039" t="inlineStr">
        <is>
          <t>CÔNG TY TNHH CƠ ĐIỆN XÂY DỰNG ĐỨC PHÁT</t>
        </is>
      </c>
      <c r="E11039" t="inlineStr">
        <is>
          <t>Lương:Cạnh tranh</t>
        </is>
      </c>
      <c r="F11039" t="inlineStr">
        <is>
          <t>Khác</t>
        </is>
      </c>
      <c r="G11039" t="inlineStr">
        <is>
          <t>12-04-2026</t>
        </is>
      </c>
      <c r="H11039" t="inlineStr">
        <is>
          <t>12/04/2026</t>
        </is>
      </c>
      <c r="I11039" t="inlineStr">
        <is>
          <t>17/03/2026</t>
        </is>
      </c>
      <c r="J11039" t="inlineStr">
        <is>
          <t>Xây dựng, Cơ khí / Ô tô / Tự động hóa, Điện / Điện tử / Điện lạnh / Điện công nghiệp</t>
        </is>
      </c>
      <c r="K11039" t="inlineStr">
        <is>
          <t>2 - 3 Năm</t>
        </is>
      </c>
      <c r="L11039" s="8">
        <f>HYPERLINK("https://careerviet.vn/vi/tim-viec-lam/mep-supervisor-giam-sat-he-co-dien.35C6C6A1.html","Xem chi tiết")</f>
        <v/>
      </c>
    </row>
    <row r="11040">
      <c r="B11040" s="9" t="n">
        <v>11038</v>
      </c>
      <c r="C11040" s="10" t="inlineStr">
        <is>
          <t>Nhân Viên Kế Toán  (Lương CB 10 - 12 Triệu)</t>
        </is>
      </c>
      <c r="D11040" s="10" t="inlineStr">
        <is>
          <t>CÔNG TY CỔ PHẦN QUẢN LÝ VẬN HÀNH &amp; KHAI THÁC BẤT ĐỘNG SẢN GELEXIMCO</t>
        </is>
      </c>
      <c r="E11040" s="10" t="inlineStr">
        <is>
          <t>Lương:10 Tr - 12 Tr VND</t>
        </is>
      </c>
      <c r="F11040" s="10" t="inlineStr">
        <is>
          <t>Hà Nội</t>
        </is>
      </c>
      <c r="G11040" s="10" t="inlineStr">
        <is>
          <t>31-03-2026</t>
        </is>
      </c>
      <c r="H11040" s="10" t="inlineStr">
        <is>
          <t>31/03/2026</t>
        </is>
      </c>
      <c r="I11040" s="10" t="inlineStr">
        <is>
          <t>17/03/2026</t>
        </is>
      </c>
      <c r="J11040" s="10" t="inlineStr">
        <is>
          <t>Kế toán / Kiểm toán, Tài chính / Đầu tư, Bất động sản</t>
        </is>
      </c>
      <c r="K11040" s="10" t="inlineStr">
        <is>
          <t>1 - 2 Năm</t>
        </is>
      </c>
      <c r="L11040" s="11">
        <f>HYPERLINK("https://careerviet.vn/vi/tim-viec-lam/nhan-vien-ke-toan-luong-cb-10-12-trieu.35C6C686.html","Xem chi tiết")</f>
        <v/>
      </c>
      <c r="M11040" s="10" t="n"/>
    </row>
    <row r="11041">
      <c r="B11041" s="7" t="n">
        <v>11039</v>
      </c>
      <c r="C11041" t="inlineStr">
        <is>
          <t>Chuyên viên kinh doanh NPP (Hàng gia dụng)</t>
        </is>
      </c>
      <c r="D11041" t="inlineStr">
        <is>
          <t>CÔNG TY TNNH THƯƠNG MẠI TIANXINGYUN VIỆT NAM</t>
        </is>
      </c>
      <c r="E11041" t="inlineStr">
        <is>
          <t>Lương:20 Tr - 30 Tr VND</t>
        </is>
      </c>
      <c r="F11041" t="inlineStr">
        <is>
          <t>Hồ Chí Minh</t>
        </is>
      </c>
      <c r="G11041" t="inlineStr">
        <is>
          <t>12-04-2026</t>
        </is>
      </c>
      <c r="H11041" t="inlineStr">
        <is>
          <t>12/04/2026</t>
        </is>
      </c>
      <c r="I11041" t="inlineStr">
        <is>
          <t>17/03/2026</t>
        </is>
      </c>
      <c r="J11041" t="inlineStr">
        <is>
          <t>Hàng gia dụng / Chăm sóc cá nhân, Bán hàng / Kinh doanh, Thực phẩm &amp; Đồ uống</t>
        </is>
      </c>
      <c r="K11041" t="inlineStr">
        <is>
          <t>2 - 3 Năm</t>
        </is>
      </c>
      <c r="L11041" s="8">
        <f>HYPERLINK("https://careerviet.vn/vi/tim-viec-lam/chuyen-vien-kinh-doanh-npp-hang-gia-dung.35C6C68C.html","Xem chi tiết")</f>
        <v/>
      </c>
    </row>
    <row r="11042">
      <c r="B11042" s="9" t="n">
        <v>11040</v>
      </c>
      <c r="C11042" s="10" t="inlineStr">
        <is>
          <t>Nhân Viên Kỹ Thuật – Bảo Trì Điện</t>
        </is>
      </c>
      <c r="D11042" s="10" t="inlineStr">
        <is>
          <t>Công Ty TNHH Xuất Nhập Khẩu Thái Châu</t>
        </is>
      </c>
      <c r="E11042" s="10" t="inlineStr">
        <is>
          <t>Lương:Cạnh tranh</t>
        </is>
      </c>
      <c r="F11042" s="10" t="inlineStr">
        <is>
          <t>Long An</t>
        </is>
      </c>
      <c r="G11042" s="10" t="inlineStr">
        <is>
          <t>12-04-2026</t>
        </is>
      </c>
      <c r="H11042" s="10" t="inlineStr">
        <is>
          <t>12/04/2026</t>
        </is>
      </c>
      <c r="I11042" s="10" t="inlineStr">
        <is>
          <t>17/03/2026</t>
        </is>
      </c>
      <c r="J11042" s="10" t="inlineStr">
        <is>
          <t>Điện / Điện tử / Điện lạnh / Điện công nghiệp, Bảo trì / Sửa chữa</t>
        </is>
      </c>
      <c r="K11042" s="10" t="inlineStr">
        <is>
          <t>Trên 2 Năm</t>
        </is>
      </c>
      <c r="L11042" s="11">
        <f>HYPERLINK("https://careerviet.vn/vi/tim-viec-lam/nhan-vien-ky-thuat-bao-tri-dien.35C6C6A9.html","Xem chi tiết")</f>
        <v/>
      </c>
      <c r="M11042" s="10" t="n"/>
    </row>
    <row r="11043">
      <c r="B11043" s="7" t="n">
        <v>11041</v>
      </c>
      <c r="C11043" t="inlineStr">
        <is>
          <t>Sales Admin/Nhân viên hỗ trợ kinh doanh (Hà Nội, Hải Phòng, Khánh Hòa, Cần Thơ)</t>
        </is>
      </c>
      <c r="D11043" t="inlineStr">
        <is>
          <t>CÔNG TY CỔ PHẦN GREEN SPEED</t>
        </is>
      </c>
      <c r="E11043" t="inlineStr">
        <is>
          <t>Lương:Trên 10 Tr VND</t>
        </is>
      </c>
      <c r="F11043" t="inlineStr">
        <is>
          <t>Hà NộiHải PhòngKhánh Hòa</t>
        </is>
      </c>
      <c r="G11043" t="inlineStr">
        <is>
          <t>13-04-2026</t>
        </is>
      </c>
      <c r="H11043" t="inlineStr">
        <is>
          <t>13/04/2026</t>
        </is>
      </c>
      <c r="I11043" t="inlineStr">
        <is>
          <t>17/03/2026</t>
        </is>
      </c>
      <c r="J11043" t="inlineStr">
        <is>
          <t>Bán hàng / Kinh doanh</t>
        </is>
      </c>
      <c r="K11043" t="inlineStr">
        <is>
          <t>N/A</t>
        </is>
      </c>
      <c r="L11043" s="8">
        <f>HYPERLINK("https://careerviet.vn/vi/tim-viec-lam/sales-admin-nhan-vien-ho-tro-kinh-doanh-ha-noi-hai-phong-khanh-hoa-can-tho.35C6C69A.html","Xem chi tiết")</f>
        <v/>
      </c>
    </row>
    <row r="11044">
      <c r="B11044" s="9" t="n">
        <v>11042</v>
      </c>
      <c r="C11044" s="10" t="inlineStr">
        <is>
          <t>Nhân Sự Tổng Hợp</t>
        </is>
      </c>
      <c r="D11044" s="10" t="inlineStr">
        <is>
          <t>CÔNG TY CỔ PHẦN TCELL</t>
        </is>
      </c>
      <c r="E11044" s="10" t="inlineStr">
        <is>
          <t>Lương:12 Tr - 17 Tr VND</t>
        </is>
      </c>
      <c r="F11044" s="10" t="inlineStr">
        <is>
          <t>Hồ Chí Minh</t>
        </is>
      </c>
      <c r="G11044" s="10" t="inlineStr">
        <is>
          <t>13-03-2026</t>
        </is>
      </c>
      <c r="H11044" s="10" t="inlineStr">
        <is>
          <t>13/03/2026</t>
        </is>
      </c>
      <c r="I11044" s="10" t="inlineStr">
        <is>
          <t>17/03/2026</t>
        </is>
      </c>
      <c r="J11044" s="10" t="inlineStr">
        <is>
          <t>Hành chính / Thư ký, Nhân sự, Quản lý điều hành</t>
        </is>
      </c>
      <c r="K11044" s="10" t="inlineStr">
        <is>
          <t>5 - 7 Năm</t>
        </is>
      </c>
      <c r="L11044" s="11">
        <f>HYPERLINK("https://careerviet.vn/vi/tim-viec-lam/nhan-su-tong-hop.35C6C68B.html","Xem chi tiết")</f>
        <v/>
      </c>
      <c r="M11044" s="10" t="n"/>
    </row>
    <row r="11045">
      <c r="B11045" s="7" t="n">
        <v>11043</v>
      </c>
      <c r="C11045" t="inlineStr">
        <is>
          <t>Hoài Đức ( Hà Nội)- Nhân viên lái xe vận chuyển</t>
        </is>
      </c>
      <c r="D11045" t="inlineStr">
        <is>
          <t>Cty TNHH Yakult Việt Nam</t>
        </is>
      </c>
      <c r="E11045" t="inlineStr">
        <is>
          <t>Lương:10 Tr - 14 Tr VND</t>
        </is>
      </c>
      <c r="F11045" t="inlineStr">
        <is>
          <t>Hà Nội</t>
        </is>
      </c>
      <c r="G11045" t="inlineStr">
        <is>
          <t>30-04-2026</t>
        </is>
      </c>
      <c r="H11045" t="inlineStr">
        <is>
          <t>30/04/2026</t>
        </is>
      </c>
      <c r="I11045" t="inlineStr">
        <is>
          <t>17/03/2026</t>
        </is>
      </c>
      <c r="J11045" t="inlineStr">
        <is>
          <t>Bán hàng / Kinh doanh</t>
        </is>
      </c>
      <c r="K11045" t="inlineStr">
        <is>
          <t>Chưa có kinh nghiệm</t>
        </is>
      </c>
      <c r="L11045" s="8">
        <f>HYPERLINK("https://careerviet.vn/vi/tim-viec-lam/hoai-duc-ha-noi-nhan-vien-lai-xe-van-chuyen.35C6C698.html","Xem chi tiết")</f>
        <v/>
      </c>
    </row>
    <row r="11046">
      <c r="B11046" s="9" t="n">
        <v>11044</v>
      </c>
      <c r="C11046" s="10" t="inlineStr">
        <is>
          <t>Nhân viên trực page</t>
        </is>
      </c>
      <c r="D11046" s="10" t="inlineStr">
        <is>
          <t>Viện Thẩm mỹ y khoa Dr Hải Lê</t>
        </is>
      </c>
      <c r="E11046" s="10" t="inlineStr">
        <is>
          <t>Lương:10 Tr - 15 Tr VND</t>
        </is>
      </c>
      <c r="F11046" s="10" t="inlineStr">
        <is>
          <t>Hà Nội</t>
        </is>
      </c>
      <c r="G11046" s="10" t="inlineStr">
        <is>
          <t>25-04-2026</t>
        </is>
      </c>
      <c r="H11046" s="10" t="inlineStr">
        <is>
          <t>25/04/2026</t>
        </is>
      </c>
      <c r="I11046" s="10" t="inlineStr">
        <is>
          <t>17/03/2026</t>
        </is>
      </c>
      <c r="J11046" s="10" t="inlineStr">
        <is>
          <t>Y tế / Chăm sóc sức khỏe / Thẩm mỹ / Làm đẹp, Tư vấn, Dịch vụ khách hàng</t>
        </is>
      </c>
      <c r="K11046" s="10" t="inlineStr">
        <is>
          <t>1 - 5 Năm</t>
        </is>
      </c>
      <c r="L11046" s="11">
        <f>HYPERLINK("https://careerviet.vn/vi/tim-viec-lam/nhan-vien-truc-page.35C6C690.html","Xem chi tiết")</f>
        <v/>
      </c>
      <c r="M11046" s="10" t="n"/>
    </row>
    <row r="11047">
      <c r="B11047" s="7" t="n">
        <v>11045</v>
      </c>
      <c r="C11047" t="inlineStr">
        <is>
          <t>[HÀ ĐÔNG] GIÁM SÁT RẠP CHIẾU PHIM</t>
        </is>
      </c>
      <c r="D11047" t="inlineStr">
        <is>
          <t>CÔNG TY TNHH LOTTECINEMA VIỆT NAM</t>
        </is>
      </c>
      <c r="E11047" t="inlineStr">
        <is>
          <t>Lương:8 Tr - 10 Tr VND</t>
        </is>
      </c>
      <c r="F11047" t="inlineStr">
        <is>
          <t>Hà Nội</t>
        </is>
      </c>
      <c r="G11047" t="inlineStr">
        <is>
          <t>12-04-2026</t>
        </is>
      </c>
      <c r="H11047" t="inlineStr">
        <is>
          <t>12/04/2026</t>
        </is>
      </c>
      <c r="I11047" t="inlineStr">
        <is>
          <t>17/03/2026</t>
        </is>
      </c>
      <c r="J11047" t="inlineStr">
        <is>
          <t>Dịch vụ khách hàng, Nhà hàng / Khách sạn, Giải trí</t>
        </is>
      </c>
      <c r="K11047" t="inlineStr">
        <is>
          <t>N/A</t>
        </is>
      </c>
      <c r="L11047" s="8">
        <f>HYPERLINK("https://careerviet.vn/vi/tim-viec-lam/ha-dong-giam-sat-rap-chieu-phim.35C6C689.html","Xem chi tiết")</f>
        <v/>
      </c>
    </row>
    <row r="11048">
      <c r="B11048" s="9" t="n">
        <v>11046</v>
      </c>
      <c r="C11048" s="10" t="inlineStr">
        <is>
          <t>SM/ Chỉ Huy Trưởng</t>
        </is>
      </c>
      <c r="D11048" s="10" t="inlineStr">
        <is>
          <t>CÔNG TY TNHH CƠ ĐIỆN XÂY DỰNG ĐỨC PHÁT</t>
        </is>
      </c>
      <c r="E11048" s="10" t="inlineStr">
        <is>
          <t>Lương:Cạnh tranh</t>
        </is>
      </c>
      <c r="F11048" s="10" t="inlineStr">
        <is>
          <t>Khác</t>
        </is>
      </c>
      <c r="G11048" s="10" t="inlineStr">
        <is>
          <t>12-04-2026</t>
        </is>
      </c>
      <c r="H11048" s="10" t="inlineStr">
        <is>
          <t>12/04/2026</t>
        </is>
      </c>
      <c r="I11048" s="10" t="inlineStr">
        <is>
          <t>17/03/2026</t>
        </is>
      </c>
      <c r="J11048" s="10" t="inlineStr">
        <is>
          <t>Xây dựng, Cơ khí / Ô tô / Tự động hóa, Điện / Điện tử / Điện lạnh / Điện công nghiệp</t>
        </is>
      </c>
      <c r="K11048" s="10" t="inlineStr">
        <is>
          <t>2 - 3 Năm</t>
        </is>
      </c>
      <c r="L11048" s="11">
        <f>HYPERLINK("https://careerviet.vn/vi/tim-viec-lam/sm-chi-huy-truong.35C6C69E.html","Xem chi tiết")</f>
        <v/>
      </c>
      <c r="M11048" s="10" t="n"/>
    </row>
    <row r="11049">
      <c r="B11049" s="7" t="n">
        <v>11047</v>
      </c>
      <c r="C11049" t="inlineStr">
        <is>
          <t>Trợ Lý Giám Đốc Kinh Doanh (Tiếng Trung - Đà Nẵng)</t>
        </is>
      </c>
      <c r="D11049" t="inlineStr">
        <is>
          <t>CÔNG TY TNHH PHÁT TRIỂN ĐỒ UỐNG AN VIỆT SÔNG HỒNG</t>
        </is>
      </c>
      <c r="E11049" t="inlineStr">
        <is>
          <t>Lương:15 Tr - 20 Tr VND</t>
        </is>
      </c>
      <c r="F11049" t="inlineStr">
        <is>
          <t>Đà Nẵng</t>
        </is>
      </c>
      <c r="G11049" t="inlineStr">
        <is>
          <t>13-04-2026</t>
        </is>
      </c>
      <c r="H11049" t="inlineStr">
        <is>
          <t>13/04/2026</t>
        </is>
      </c>
      <c r="I11049" t="inlineStr">
        <is>
          <t>17/03/2026</t>
        </is>
      </c>
      <c r="J11049" t="inlineStr">
        <is>
          <t>Tư vấn, Bán hàng / Kinh doanh, Bán lẻ / Bán sỉ</t>
        </is>
      </c>
      <c r="K11049" t="inlineStr">
        <is>
          <t>1 - 3 Năm</t>
        </is>
      </c>
      <c r="L11049" s="8">
        <f>HYPERLINK("https://careerviet.vn/vi/tim-viec-lam/tro-ly-giam-doc-kinh-doanh-tieng-trung-da-nang.35C6C693.html","Xem chi tiết")</f>
        <v/>
      </c>
    </row>
    <row r="11050">
      <c r="B11050" s="9" t="n">
        <v>11048</v>
      </c>
      <c r="C11050" s="10" t="inlineStr">
        <is>
          <t>MOLD ENGINEER (Purchasing Dept)</t>
        </is>
      </c>
      <c r="D11050" s="10" t="inlineStr">
        <is>
          <t>Action Composites Hightech Industries</t>
        </is>
      </c>
      <c r="E11050" s="10" t="inlineStr">
        <is>
          <t>Lương:Cạnh tranh</t>
        </is>
      </c>
      <c r="F11050" s="10" t="inlineStr">
        <is>
          <t>Đồng Nai</t>
        </is>
      </c>
      <c r="G11050" s="10" t="inlineStr">
        <is>
          <t>13-04-2026</t>
        </is>
      </c>
      <c r="H11050" s="10" t="inlineStr">
        <is>
          <t>13/04/2026</t>
        </is>
      </c>
      <c r="I11050" s="10" t="inlineStr">
        <is>
          <t>17/03/2026</t>
        </is>
      </c>
      <c r="J11050" s="10" t="inlineStr">
        <is>
          <t>Cơ khí / Ô tô / Tự động hóa, Thu mua / Vật tư, Bảo trì / Sửa chữa</t>
        </is>
      </c>
      <c r="K11050" s="10" t="inlineStr">
        <is>
          <t>5 - 7 Năm</t>
        </is>
      </c>
      <c r="L11050" s="11">
        <f>HYPERLINK("https://careerviet.vn/vi/tim-viec-lam/mold-engineer-purchasing-dept.35C6C643.html","Xem chi tiết")</f>
        <v/>
      </c>
      <c r="M11050" s="10" t="n"/>
    </row>
    <row r="11051">
      <c r="B11051" s="7" t="n">
        <v>11049</v>
      </c>
      <c r="C11051" t="inlineStr">
        <is>
          <t>CHUYÊN VIÊN HÀNH CHÍNH NHÂN SỰ</t>
        </is>
      </c>
      <c r="D11051" t="inlineStr">
        <is>
          <t>Công ty TNHH Starry Việt Nam</t>
        </is>
      </c>
      <c r="E11051" t="inlineStr">
        <is>
          <t>Lương:15 Tr - 20 Tr VND</t>
        </is>
      </c>
      <c r="F11051" t="inlineStr">
        <is>
          <t>Long An</t>
        </is>
      </c>
      <c r="G11051" t="inlineStr">
        <is>
          <t>31-03-2026</t>
        </is>
      </c>
      <c r="H11051" t="inlineStr">
        <is>
          <t>31/03/2026</t>
        </is>
      </c>
      <c r="I11051" t="inlineStr">
        <is>
          <t>17/03/2026</t>
        </is>
      </c>
      <c r="J11051" t="inlineStr">
        <is>
          <t>Dệt may / Da giày / Thời trang</t>
        </is>
      </c>
      <c r="K11051" t="inlineStr">
        <is>
          <t>Lên đến 5 Năm</t>
        </is>
      </c>
      <c r="L11051" s="8">
        <f>HYPERLINK("https://careerviet.vn/vi/tim-viec-lam/chuyen-vien-hanh-chinh-nhan-su.35C6C691.html","Xem chi tiết")</f>
        <v/>
      </c>
    </row>
    <row r="11052">
      <c r="B11052" s="9" t="n">
        <v>11050</v>
      </c>
      <c r="C11052" s="10" t="inlineStr">
        <is>
          <t>Nhân Viên Lập Trình .NET (Long Khánh - Đồng Nai)</t>
        </is>
      </c>
      <c r="D11052" s="10" t="inlineStr">
        <is>
          <t>Công Ty CP Liên Kết Quốc Tế INTERLINK (Trường Liên Kết Quốc Tế INschool &amp; Ngoại Ngữ Quốc Tế INS ENGLISH &amp; CHINESE)</t>
        </is>
      </c>
      <c r="E11052" s="10" t="inlineStr">
        <is>
          <t>Lương:10 Tr - 15 Tr VND</t>
        </is>
      </c>
      <c r="F11052" s="10" t="inlineStr">
        <is>
          <t>Đồng Nai</t>
        </is>
      </c>
      <c r="G11052" s="10" t="inlineStr">
        <is>
          <t>12-04-2026</t>
        </is>
      </c>
      <c r="H11052" s="10" t="inlineStr">
        <is>
          <t>12/04/2026</t>
        </is>
      </c>
      <c r="I11052" s="10" t="inlineStr">
        <is>
          <t>17/03/2026</t>
        </is>
      </c>
      <c r="J11052" s="10" t="inlineStr">
        <is>
          <t>CNTT - Phần mềm</t>
        </is>
      </c>
      <c r="K11052" s="10" t="inlineStr">
        <is>
          <t>Lên đến 1 Năm</t>
        </is>
      </c>
      <c r="L11052" s="11">
        <f>HYPERLINK("https://careerviet.vn/vi/tim-viec-lam/nhan-vien-lap-trinh-net-long-khanh-dong-nai.35C6C68D.html","Xem chi tiết")</f>
        <v/>
      </c>
      <c r="M11052" s="10" t="n"/>
    </row>
    <row r="11053">
      <c r="B11053" s="7" t="n">
        <v>11051</v>
      </c>
      <c r="C11053" t="inlineStr">
        <is>
          <t>HR Generalist</t>
        </is>
      </c>
      <c r="D11053" t="inlineStr">
        <is>
          <t>MAC Media</t>
        </is>
      </c>
      <c r="E11053" t="inlineStr">
        <is>
          <t>Lương:Cạnh tranh</t>
        </is>
      </c>
      <c r="F11053" t="inlineStr">
        <is>
          <t>Hồ Chí Minh</t>
        </is>
      </c>
      <c r="G11053" t="inlineStr">
        <is>
          <t>10-04-2026</t>
        </is>
      </c>
      <c r="H11053" t="inlineStr">
        <is>
          <t>10/04/2026</t>
        </is>
      </c>
      <c r="I11053" t="inlineStr">
        <is>
          <t>17/03/2026</t>
        </is>
      </c>
      <c r="J11053" t="inlineStr">
        <is>
          <t>Nhân sự</t>
        </is>
      </c>
      <c r="K11053" t="inlineStr">
        <is>
          <t>2 - 3 Năm</t>
        </is>
      </c>
      <c r="L11053" s="8">
        <f>HYPERLINK("https://careerviet.vn/vi/tim-viec-lam/hr-generalist.35C6C68A.html","Xem chi tiết")</f>
        <v/>
      </c>
    </row>
    <row r="11054">
      <c r="B11054" s="9" t="n">
        <v>11052</v>
      </c>
      <c r="C11054" s="10" t="inlineStr">
        <is>
          <t>HSE SUPERVISOR</t>
        </is>
      </c>
      <c r="D11054" s="10" t="inlineStr">
        <is>
          <t>Action Composites Hightech Industries</t>
        </is>
      </c>
      <c r="E11054" s="10" t="inlineStr">
        <is>
          <t>Lương:Cạnh tranh</t>
        </is>
      </c>
      <c r="F11054" s="10" t="inlineStr">
        <is>
          <t>Đồng Nai</t>
        </is>
      </c>
      <c r="G11054" s="10" t="inlineStr">
        <is>
          <t>13-04-2026</t>
        </is>
      </c>
      <c r="H11054" s="10" t="inlineStr">
        <is>
          <t>13/04/2026</t>
        </is>
      </c>
      <c r="I11054" s="10" t="inlineStr">
        <is>
          <t>17/03/2026</t>
        </is>
      </c>
      <c r="J11054" s="10" t="inlineStr">
        <is>
          <t>Sản xuất / Vận hành sản xuất, An toàn lao động, Môi trường</t>
        </is>
      </c>
      <c r="K11054" s="10" t="inlineStr">
        <is>
          <t>5 - 8 Năm</t>
        </is>
      </c>
      <c r="L11054" s="11">
        <f>HYPERLINK("https://careerviet.vn/vi/tim-viec-lam/hse-supervisor.35C6C684.html","Xem chi tiết")</f>
        <v/>
      </c>
      <c r="M11054" s="10" t="n"/>
    </row>
    <row r="11055">
      <c r="B11055" s="7" t="n">
        <v>11053</v>
      </c>
      <c r="C11055" t="inlineStr">
        <is>
          <t>Tuyển Gấp Nhân viên Telesale thẩm mỹ</t>
        </is>
      </c>
      <c r="D11055" t="inlineStr">
        <is>
          <t>Viện Thẩm mỹ y khoa Dr Hải Lê</t>
        </is>
      </c>
      <c r="E11055" t="inlineStr">
        <is>
          <t>Lương:12 Tr - 20 Tr VND</t>
        </is>
      </c>
      <c r="F11055" t="inlineStr">
        <is>
          <t>Hà Nội</t>
        </is>
      </c>
      <c r="G11055" t="inlineStr">
        <is>
          <t>25-04-2026</t>
        </is>
      </c>
      <c r="H11055" t="inlineStr">
        <is>
          <t>25/04/2026</t>
        </is>
      </c>
      <c r="I11055" t="inlineStr">
        <is>
          <t>17/03/2026</t>
        </is>
      </c>
      <c r="J11055" t="inlineStr">
        <is>
          <t>Tiếp thị trực tuyến, Y tế / Chăm sóc sức khỏe / Thẩm mỹ / Làm đẹp, Dịch vụ khách hàng</t>
        </is>
      </c>
      <c r="K11055" t="inlineStr">
        <is>
          <t>1 - 5 Năm</t>
        </is>
      </c>
      <c r="L11055" s="8">
        <f>HYPERLINK("https://careerviet.vn/vi/tim-viec-lam/tuyen-gap-nhan-vien-telesale-tham-my.35C6C67E.html","Xem chi tiết")</f>
        <v/>
      </c>
    </row>
    <row r="11056">
      <c r="B11056" s="9" t="n">
        <v>11054</v>
      </c>
      <c r="C11056" s="10" t="inlineStr">
        <is>
          <t>Customer Service Executive/ Sr. Planner</t>
        </is>
      </c>
      <c r="D11056" s="10" t="inlineStr">
        <is>
          <t>CÔNG TY TNHH C-HAWK TECHNOLOGY VIỆT NAM</t>
        </is>
      </c>
      <c r="E11056" s="10" t="inlineStr">
        <is>
          <t>Lương:700 - 1.500 USD</t>
        </is>
      </c>
      <c r="F11056" s="10" t="inlineStr">
        <is>
          <t>Bình Dương</t>
        </is>
      </c>
      <c r="G11056" s="10" t="inlineStr">
        <is>
          <t>31-03-2026</t>
        </is>
      </c>
      <c r="H11056" s="10" t="inlineStr">
        <is>
          <t>31/03/2026</t>
        </is>
      </c>
      <c r="I11056" s="10" t="inlineStr">
        <is>
          <t>17/03/2026</t>
        </is>
      </c>
      <c r="J11056" s="10" t="inlineStr">
        <is>
          <t>Tiếp thị / Marketing, Dịch vụ khách hàng, Điện / Điện tử / Điện lạnh / Điện công nghiệp</t>
        </is>
      </c>
      <c r="K11056" s="10" t="inlineStr">
        <is>
          <t>3 - 5 Năm</t>
        </is>
      </c>
      <c r="L11056" s="11">
        <f>HYPERLINK("https://careerviet.vn/vi/tim-viec-lam/customer-service-executive-sr-planner.35C6C670.html","Xem chi tiết")</f>
        <v/>
      </c>
      <c r="M11056" s="10" t="n"/>
    </row>
    <row r="11057">
      <c r="B11057" s="7" t="n">
        <v>11055</v>
      </c>
      <c r="C11057" t="inlineStr">
        <is>
          <t>Account Receivable Specialist</t>
        </is>
      </c>
      <c r="D11057" t="inlineStr">
        <is>
          <t>Công Ty CP Vàng Bạc Đá Quý Phú Nhuận - PNJ</t>
        </is>
      </c>
      <c r="E11057" t="inlineStr">
        <is>
          <t>Lương:Cạnh tranh</t>
        </is>
      </c>
      <c r="F11057" t="inlineStr">
        <is>
          <t>Hồ Chí Minh</t>
        </is>
      </c>
      <c r="G11057" t="inlineStr">
        <is>
          <t>15-04-2026</t>
        </is>
      </c>
      <c r="H11057" t="inlineStr">
        <is>
          <t>15/04/2026</t>
        </is>
      </c>
      <c r="I11057" t="inlineStr">
        <is>
          <t>17/03/2026</t>
        </is>
      </c>
      <c r="J11057" t="inlineStr">
        <is>
          <t>Kế toán / Kiểm toán, Bán lẻ / Bán sỉ, Tài chính / Đầu tư</t>
        </is>
      </c>
      <c r="K11057" t="inlineStr">
        <is>
          <t>2 - 4 Năm</t>
        </is>
      </c>
      <c r="L11057" s="8">
        <f>HYPERLINK("https://careerviet.vn/vi/tim-viec-lam/account-receivable-specialist.35C6C67C.html","Xem chi tiết")</f>
        <v/>
      </c>
    </row>
    <row r="11058">
      <c r="B11058" s="9" t="n">
        <v>11056</v>
      </c>
      <c r="C11058" s="10" t="inlineStr">
        <is>
          <t>Legal Specialist (Contract Management)</t>
        </is>
      </c>
      <c r="D11058" s="10" t="inlineStr">
        <is>
          <t>CÔNG TY TNHH CÔNG NGHỆ VÀ GIẢI PHÁP PHẦN MỀM CROSSIAN VIỆT NAM</t>
        </is>
      </c>
      <c r="E11058" s="10" t="inlineStr">
        <is>
          <t>Lương:Cạnh tranh</t>
        </is>
      </c>
      <c r="F11058" s="10" t="inlineStr">
        <is>
          <t>Hà Nội</t>
        </is>
      </c>
      <c r="G11058" s="10" t="inlineStr">
        <is>
          <t>12-04-2026</t>
        </is>
      </c>
      <c r="H11058" s="10" t="inlineStr">
        <is>
          <t>12/04/2026</t>
        </is>
      </c>
      <c r="I11058" s="10" t="inlineStr">
        <is>
          <t>17/03/2026</t>
        </is>
      </c>
      <c r="J11058" s="10" t="inlineStr">
        <is>
          <t>Luật / Pháp lý, Hành chính / Thư ký</t>
        </is>
      </c>
      <c r="K11058" s="10" t="inlineStr">
        <is>
          <t>3 - 5 Năm</t>
        </is>
      </c>
      <c r="L11058" s="11">
        <f>HYPERLINK("https://careerviet.vn/vi/tim-viec-lam/legal-specialist-contract-management.35C6C680.html","Xem chi tiết")</f>
        <v/>
      </c>
      <c r="M11058" s="10" t="n"/>
    </row>
    <row r="11059">
      <c r="B11059" s="7" t="n">
        <v>11057</v>
      </c>
      <c r="C11059" t="inlineStr">
        <is>
          <t>Nhân Viên Telesale</t>
        </is>
      </c>
      <c r="D11059" t="inlineStr">
        <is>
          <t>Viện Thẩm mỹ y khoa Dr Hải Lê</t>
        </is>
      </c>
      <c r="E11059" t="inlineStr">
        <is>
          <t>Lương:10 Tr - 25 Tr VND</t>
        </is>
      </c>
      <c r="F11059" t="inlineStr">
        <is>
          <t>Hà Nội</t>
        </is>
      </c>
      <c r="G11059" t="inlineStr">
        <is>
          <t>30-04-2026</t>
        </is>
      </c>
      <c r="H11059" t="inlineStr">
        <is>
          <t>30/04/2026</t>
        </is>
      </c>
      <c r="I11059" t="inlineStr">
        <is>
          <t>17/03/2026</t>
        </is>
      </c>
      <c r="J11059" t="inlineStr">
        <is>
          <t>Tiếp thị trực tuyến, Y tế / Chăm sóc sức khỏe / Thẩm mỹ / Làm đẹp, Dịch vụ khách hàng</t>
        </is>
      </c>
      <c r="K11059" t="inlineStr">
        <is>
          <t>1 - 2 Năm</t>
        </is>
      </c>
      <c r="L11059" s="8">
        <f>HYPERLINK("https://careerviet.vn/vi/tim-viec-lam/nhan-vien-telesale.35C6C677.html","Xem chi tiết")</f>
        <v/>
      </c>
    </row>
    <row r="11060">
      <c r="B11060" s="9" t="n">
        <v>11058</v>
      </c>
      <c r="C11060" s="10" t="inlineStr">
        <is>
          <t>Hành Chính Nhân Sự</t>
        </is>
      </c>
      <c r="D11060" s="10" t="inlineStr">
        <is>
          <t>CÔNG TY CỔ PHẦN CUNG ỨNG LẠNH VN</t>
        </is>
      </c>
      <c r="E11060" s="10" t="inlineStr">
        <is>
          <t>Lương:10 Tr - 15 Tr VND</t>
        </is>
      </c>
      <c r="F11060" s="10" t="inlineStr">
        <is>
          <t>Hà Nội</t>
        </is>
      </c>
      <c r="G11060" s="10" t="inlineStr">
        <is>
          <t>12-04-2026</t>
        </is>
      </c>
      <c r="H11060" s="10" t="inlineStr">
        <is>
          <t>12/04/2026</t>
        </is>
      </c>
      <c r="I11060" s="10" t="inlineStr">
        <is>
          <t>17/03/2026</t>
        </is>
      </c>
      <c r="J11060" s="10" t="inlineStr">
        <is>
          <t>Hành chính / Thư ký, Nhân sự, Quản lý điều hành</t>
        </is>
      </c>
      <c r="K11060" s="10" t="inlineStr">
        <is>
          <t>Trên 2 Năm</t>
        </is>
      </c>
      <c r="L11060" s="11">
        <f>HYPERLINK("https://careerviet.vn/vi/tim-viec-lam/hanh-chinh-nhan-su.35C6C66F.html","Xem chi tiết")</f>
        <v/>
      </c>
      <c r="M11060" s="10" t="n"/>
    </row>
    <row r="11061">
      <c r="B11061" s="7" t="n">
        <v>11059</v>
      </c>
      <c r="C11061" t="inlineStr">
        <is>
          <t>Chăm sóc khách hàng Tiktok Shop</t>
        </is>
      </c>
      <c r="D11061" t="inlineStr">
        <is>
          <t>Công ty CP Đầu tư Legacy</t>
        </is>
      </c>
      <c r="E11061" t="inlineStr">
        <is>
          <t>Lương:8 Tr - 15 Tr VND</t>
        </is>
      </c>
      <c r="F11061" t="inlineStr">
        <is>
          <t>Hà Nội</t>
        </is>
      </c>
      <c r="G11061" t="inlineStr">
        <is>
          <t>14-04-2026</t>
        </is>
      </c>
      <c r="H11061" t="inlineStr">
        <is>
          <t>14/04/2026</t>
        </is>
      </c>
      <c r="I11061" t="inlineStr">
        <is>
          <t>17/03/2026</t>
        </is>
      </c>
      <c r="J11061" t="inlineStr">
        <is>
          <t>Bán hàng / Kinh doanh, Thương mại điện tử, Tiếp thị / Marketing</t>
        </is>
      </c>
      <c r="K11061" t="inlineStr">
        <is>
          <t>Trên 1 Năm</t>
        </is>
      </c>
      <c r="L11061" s="8">
        <f>HYPERLINK("https://careerviet.vn/vi/tim-viec-lam/cham-soc-khach-hang-tiktok-shop.35C6C4CD.html","Xem chi tiết")</f>
        <v/>
      </c>
    </row>
    <row r="11062">
      <c r="B11062" s="9" t="n">
        <v>11060</v>
      </c>
      <c r="C11062" s="10" t="inlineStr">
        <is>
          <t>Thực tập sinh Marketing</t>
        </is>
      </c>
      <c r="D11062" s="10" t="inlineStr">
        <is>
          <t>Headhunter HRchannels Group</t>
        </is>
      </c>
      <c r="E11062" s="10" t="inlineStr">
        <is>
          <t>Lương:Cạnh tranh</t>
        </is>
      </c>
      <c r="F11062" s="10" t="inlineStr">
        <is>
          <t>Hà Nội</t>
        </is>
      </c>
      <c r="G11062" s="10" t="inlineStr">
        <is>
          <t>03-04-2026</t>
        </is>
      </c>
      <c r="H11062" s="10" t="inlineStr">
        <is>
          <t>03/04/2026</t>
        </is>
      </c>
      <c r="I11062" s="10" t="inlineStr">
        <is>
          <t>17/03/2026</t>
        </is>
      </c>
      <c r="J11062" s="10" t="inlineStr">
        <is>
          <t>Tiếp thị / Marketing, Mới tốt nghiệp / Thực tập</t>
        </is>
      </c>
      <c r="K11062" s="10" t="inlineStr">
        <is>
          <t>N/A</t>
        </is>
      </c>
      <c r="L11062" s="11">
        <f>HYPERLINK("https://careerviet.vn/vi/tim-viec-lam/thuc-tap-sinh-marketing.35C6C66C.html","Xem chi tiết")</f>
        <v/>
      </c>
      <c r="M11062" s="10" t="n"/>
    </row>
    <row r="11063">
      <c r="B11063" s="7" t="n">
        <v>11061</v>
      </c>
      <c r="C11063" t="inlineStr">
        <is>
          <t>Quản Lý Cửa Hàng Long Thành - Đồng Nai</t>
        </is>
      </c>
      <c r="D11063" t="inlineStr">
        <is>
          <t>CÔNG TY CỔ PHẦN VUA NỆM</t>
        </is>
      </c>
      <c r="E11063" t="inlineStr">
        <is>
          <t>Lương:12 Tr - 15 Tr VND</t>
        </is>
      </c>
      <c r="F11063" t="inlineStr">
        <is>
          <t>Đồng Nai</t>
        </is>
      </c>
      <c r="G11063" t="inlineStr">
        <is>
          <t>12-04-2026</t>
        </is>
      </c>
      <c r="H11063" t="inlineStr">
        <is>
          <t>12/04/2026</t>
        </is>
      </c>
      <c r="I11063" t="inlineStr">
        <is>
          <t>17/03/2026</t>
        </is>
      </c>
      <c r="J11063" t="inlineStr">
        <is>
          <t>Bán hàng / Kinh doanh, Tư vấn</t>
        </is>
      </c>
      <c r="K11063" t="inlineStr">
        <is>
          <t>2 - 10 Năm</t>
        </is>
      </c>
      <c r="L11063" s="8">
        <f>HYPERLINK("https://careerviet.vn/vi/tim-viec-lam/quan-ly-cua-hang-long-thanh-dong-nai.35C6C674.html","Xem chi tiết")</f>
        <v/>
      </c>
    </row>
    <row r="11064">
      <c r="B11064" s="9" t="n">
        <v>11062</v>
      </c>
      <c r="C11064" s="10" t="inlineStr">
        <is>
          <t>[Nova Service Group] Chuyên viên cao cấp Quản lý Kênh Digital  IC - EB</t>
        </is>
      </c>
      <c r="D11064" s="10" t="inlineStr">
        <is>
          <t>Nova Service Group - Công ty Cổ phần Tập đoàn Nova Services</t>
        </is>
      </c>
      <c r="E11064" s="10" t="inlineStr">
        <is>
          <t>Lương:Cạnh tranh</t>
        </is>
      </c>
      <c r="F11064" s="10" t="inlineStr">
        <is>
          <t>Hồ Chí Minh</t>
        </is>
      </c>
      <c r="G11064" s="10" t="inlineStr">
        <is>
          <t>15-04-2026</t>
        </is>
      </c>
      <c r="H11064" s="10" t="inlineStr">
        <is>
          <t>15/04/2026</t>
        </is>
      </c>
      <c r="I11064" s="10" t="inlineStr">
        <is>
          <t>17/03/2026</t>
        </is>
      </c>
      <c r="J11064" s="10" t="inlineStr">
        <is>
          <t>Quảng cáo / Đối ngoại / Truyền Thông, Tiếp thị / Marketing</t>
        </is>
      </c>
      <c r="K11064" s="10" t="inlineStr">
        <is>
          <t>5 - 7 Năm</t>
        </is>
      </c>
      <c r="L11064" s="11">
        <f>HYPERLINK("https://careerviet.vn/vi/tim-viec-lam/nova-service-group-chuyen-vien-cao-cap-quan-ly-kenh-digital-ic-eb.35C6C669.html","Xem chi tiết")</f>
        <v/>
      </c>
      <c r="M11064" s="10" t="n"/>
    </row>
    <row r="11065">
      <c r="B11065" s="7" t="n">
        <v>11063</v>
      </c>
      <c r="C11065" t="inlineStr">
        <is>
          <t>Nhân viên Bảo trì Thang máy - FujiAlpha</t>
        </is>
      </c>
      <c r="D11065" t="inlineStr">
        <is>
          <t>Alphanam Group</t>
        </is>
      </c>
      <c r="E11065" t="inlineStr">
        <is>
          <t>Lương:Cạnh tranh</t>
        </is>
      </c>
      <c r="F11065" t="inlineStr">
        <is>
          <t>Hà NộiHồ Chí MinhĐà Nẵng</t>
        </is>
      </c>
      <c r="G11065" t="inlineStr">
        <is>
          <t>14-04-2026</t>
        </is>
      </c>
      <c r="H11065" t="inlineStr">
        <is>
          <t>14/04/2026</t>
        </is>
      </c>
      <c r="I11065" t="inlineStr">
        <is>
          <t>17/03/2026</t>
        </is>
      </c>
      <c r="J11065" t="inlineStr">
        <is>
          <t>Cơ khí / Ô tô / Tự động hóa</t>
        </is>
      </c>
      <c r="K11065" t="inlineStr">
        <is>
          <t>N/A</t>
        </is>
      </c>
      <c r="L11065" s="8">
        <f>HYPERLINK("https://careerviet.vn/vi/tim-viec-lam/nhan-vien-bao-tri-thang-may-fujialpha.35C6C66B.html","Xem chi tiết")</f>
        <v/>
      </c>
    </row>
    <row r="11066">
      <c r="B11066" s="9" t="n">
        <v>11064</v>
      </c>
      <c r="C11066" s="10" t="inlineStr">
        <is>
          <t>[FECON RAITO] Chỉ huy trưởng dự án</t>
        </is>
      </c>
      <c r="D11066" s="10" t="inlineStr">
        <is>
          <t>Công ty Cổ phần FECON</t>
        </is>
      </c>
      <c r="E11066" s="10" t="inlineStr">
        <is>
          <t>Lương:Cạnh tranh</t>
        </is>
      </c>
      <c r="F11066" s="10" t="inlineStr">
        <is>
          <t>Toàn quốc</t>
        </is>
      </c>
      <c r="G11066" s="10" t="inlineStr">
        <is>
          <t>09-04-2026</t>
        </is>
      </c>
      <c r="H11066" s="10" t="inlineStr">
        <is>
          <t>09/04/2026</t>
        </is>
      </c>
      <c r="I11066" s="10" t="inlineStr">
        <is>
          <t>17/03/2026</t>
        </is>
      </c>
      <c r="J11066" s="10" t="inlineStr">
        <is>
          <t>Xây dựng</t>
        </is>
      </c>
      <c r="K11066" s="10" t="inlineStr">
        <is>
          <t>3 - 6 Năm</t>
        </is>
      </c>
      <c r="L11066" s="11">
        <f>HYPERLINK("https://careerviet.vn/vi/tim-viec-lam/fecon-raito-chi-huy-truong-du-an.35C6C661.html","Xem chi tiết")</f>
        <v/>
      </c>
      <c r="M11066" s="10" t="n"/>
    </row>
    <row r="11067">
      <c r="B11067" s="7" t="n">
        <v>11065</v>
      </c>
      <c r="C11067" t="inlineStr">
        <is>
          <t>[Hà Nội] Nhân viên Kế hoạch Kinh doanh</t>
        </is>
      </c>
      <c r="D11067" t="inlineStr">
        <is>
          <t>CÔNG TY TNHH DAESANG VIỆT NAM</t>
        </is>
      </c>
      <c r="E11067" t="inlineStr">
        <is>
          <t>Lương:Cạnh tranh</t>
        </is>
      </c>
      <c r="F11067" t="inlineStr">
        <is>
          <t>Hà Nội</t>
        </is>
      </c>
      <c r="G11067" t="inlineStr">
        <is>
          <t>30-03-2026</t>
        </is>
      </c>
      <c r="H11067" t="inlineStr">
        <is>
          <t>30/03/2026</t>
        </is>
      </c>
      <c r="I11067" t="inlineStr">
        <is>
          <t>17/03/2026</t>
        </is>
      </c>
      <c r="J11067" t="inlineStr">
        <is>
          <t>Bán lẻ / Bán sỉ, Bán hàng / Kinh doanh</t>
        </is>
      </c>
      <c r="K11067" t="inlineStr">
        <is>
          <t>1 - 2 Năm</t>
        </is>
      </c>
      <c r="L11067" s="8">
        <f>HYPERLINK("https://careerviet.vn/vi/tim-viec-lam/ha-noi-nhan-vien-ke-hoach-kinh-doanh.35C6C666.html","Xem chi tiết")</f>
        <v/>
      </c>
    </row>
    <row r="11068">
      <c r="B11068" s="9" t="n">
        <v>11066</v>
      </c>
      <c r="C11068" s="10" t="inlineStr">
        <is>
          <t>[Nova Travel] - Trưởng phòng Hỗ trợ Kinh doanh và Hậu Mãi</t>
        </is>
      </c>
      <c r="D11068" s="10" t="inlineStr">
        <is>
          <t>Nova Service Group - Công ty Cổ phần Tập đoàn Nova Services</t>
        </is>
      </c>
      <c r="E11068" s="10" t="inlineStr">
        <is>
          <t>Lương:Cạnh tranh</t>
        </is>
      </c>
      <c r="F11068" s="10" t="inlineStr">
        <is>
          <t>Hồ Chí Minh</t>
        </is>
      </c>
      <c r="G11068" s="10" t="inlineStr">
        <is>
          <t>30-04-2026</t>
        </is>
      </c>
      <c r="H11068" s="10" t="inlineStr">
        <is>
          <t>30/04/2026</t>
        </is>
      </c>
      <c r="I11068" s="10" t="inlineStr">
        <is>
          <t>17/03/2026</t>
        </is>
      </c>
      <c r="J11068" s="10" t="inlineStr">
        <is>
          <t>Du lịch, Bán hàng / Kinh doanh, Dịch vụ khách hàng</t>
        </is>
      </c>
      <c r="K11068" s="10" t="inlineStr">
        <is>
          <t>3 - 10 Năm</t>
        </is>
      </c>
      <c r="L11068" s="11">
        <f>HYPERLINK("https://careerviet.vn/vi/tim-viec-lam/nova-travel-truong-phong-ho-tro-kinh-doanh-va-hau-mai.35C6C66A.html","Xem chi tiết")</f>
        <v/>
      </c>
      <c r="M11068" s="10" t="n"/>
    </row>
    <row r="11069">
      <c r="B11069" s="7" t="n">
        <v>11067</v>
      </c>
      <c r="C11069" t="inlineStr">
        <is>
          <t>[HÀ NỘI] Chuyên viên mua hàng (Tiếng Trung)</t>
        </is>
      </c>
      <c r="D11069" t="inlineStr">
        <is>
          <t>THỜI TRANG LINING_CÔNG TY TNHH QUỐC TẾ HẢI LONG</t>
        </is>
      </c>
      <c r="E11069" t="inlineStr">
        <is>
          <t>Lương:18 Tr - 25 Tr VND</t>
        </is>
      </c>
      <c r="F11069" t="inlineStr">
        <is>
          <t>Hà Nội</t>
        </is>
      </c>
      <c r="G11069" t="inlineStr">
        <is>
          <t>15-04-2026</t>
        </is>
      </c>
      <c r="H11069" t="inlineStr">
        <is>
          <t>15/04/2026</t>
        </is>
      </c>
      <c r="I11069" t="inlineStr">
        <is>
          <t>17/03/2026</t>
        </is>
      </c>
      <c r="J11069" t="inlineStr">
        <is>
          <t>Bán lẻ / Bán sỉ, Bán hàng / Kinh doanh, Thu mua / Vật tư</t>
        </is>
      </c>
      <c r="K11069" t="inlineStr">
        <is>
          <t>2 - 5 Năm</t>
        </is>
      </c>
      <c r="L11069" s="8">
        <f>HYPERLINK("https://careerviet.vn/vi/tim-viec-lam/ha-noi-chuyen-vien-mua-hang-tieng-trung.35C6C65C.html","Xem chi tiết")</f>
        <v/>
      </c>
    </row>
    <row r="11070">
      <c r="B11070" s="9" t="n">
        <v>11068</v>
      </c>
      <c r="C11070" s="10" t="inlineStr">
        <is>
          <t>Chuyên Viên Kỹ Thuật</t>
        </is>
      </c>
      <c r="D11070" s="10" t="inlineStr">
        <is>
          <t>Công ty TNHH Sản xuất, lắp ráp Tuấn Nghĩa</t>
        </is>
      </c>
      <c r="E11070" s="10" t="inlineStr">
        <is>
          <t>Lương:16 Tr - 22 Tr VND</t>
        </is>
      </c>
      <c r="F11070" s="10" t="inlineStr">
        <is>
          <t>Hà Nội</t>
        </is>
      </c>
      <c r="G11070" s="10" t="inlineStr">
        <is>
          <t>13-04-2026</t>
        </is>
      </c>
      <c r="H11070" s="10" t="inlineStr">
        <is>
          <t>13/04/2026</t>
        </is>
      </c>
      <c r="I11070" s="10" t="inlineStr">
        <is>
          <t>17/03/2026</t>
        </is>
      </c>
      <c r="J11070" s="10" t="inlineStr">
        <is>
          <t>N/A</t>
        </is>
      </c>
      <c r="K11070" s="10" t="inlineStr">
        <is>
          <t>N/A</t>
        </is>
      </c>
      <c r="L11070" s="11">
        <f>HYPERLINK("https://careerviet.vn/vi/tim-viec-lam/chuyen-vien-ky-thuat.35C6C62E.html","Xem chi tiết")</f>
        <v/>
      </c>
      <c r="M11070" s="10" t="n"/>
    </row>
    <row r="11071">
      <c r="B11071" s="7" t="n">
        <v>11069</v>
      </c>
      <c r="C11071" t="inlineStr">
        <is>
          <t>Nhân viên Lắp đặt Thang máy - FujiAlpha</t>
        </is>
      </c>
      <c r="D11071" t="inlineStr">
        <is>
          <t>Alphanam Group</t>
        </is>
      </c>
      <c r="E11071" t="inlineStr">
        <is>
          <t>Lương:10 Tr - 15 Tr VND</t>
        </is>
      </c>
      <c r="F11071" t="inlineStr">
        <is>
          <t>Hà NộiHồ Chí MinhĐà Nẵng</t>
        </is>
      </c>
      <c r="G11071" t="inlineStr">
        <is>
          <t>14-04-2026</t>
        </is>
      </c>
      <c r="H11071" t="inlineStr">
        <is>
          <t>14/04/2026</t>
        </is>
      </c>
      <c r="I11071" t="inlineStr">
        <is>
          <t>17/03/2026</t>
        </is>
      </c>
      <c r="J11071" t="inlineStr">
        <is>
          <t>Cơ khí / Ô tô / Tự động hóa</t>
        </is>
      </c>
      <c r="K11071" t="inlineStr">
        <is>
          <t>N/A</t>
        </is>
      </c>
      <c r="L11071" s="8">
        <f>HYPERLINK("https://careerviet.vn/vi/tim-viec-lam/nhan-vien-lap-dat-thang-may-fujialpha.35C6C659.html","Xem chi tiết")</f>
        <v/>
      </c>
    </row>
    <row r="11072">
      <c r="B11072" s="9" t="n">
        <v>11070</v>
      </c>
      <c r="C11072" s="10" t="inlineStr">
        <is>
          <t>[FECON RAITO] Kỹ sư quản lý thiết bị (công trình xây dựng)</t>
        </is>
      </c>
      <c r="D11072" s="10" t="inlineStr">
        <is>
          <t>Công ty Cổ phần FECON</t>
        </is>
      </c>
      <c r="E11072" s="10" t="inlineStr">
        <is>
          <t>Lương:Cạnh tranh</t>
        </is>
      </c>
      <c r="F11072" s="10" t="inlineStr">
        <is>
          <t>Toàn quốcHà Nội</t>
        </is>
      </c>
      <c r="G11072" s="10" t="inlineStr">
        <is>
          <t>09-04-2026</t>
        </is>
      </c>
      <c r="H11072" s="10" t="inlineStr">
        <is>
          <t>09/04/2026</t>
        </is>
      </c>
      <c r="I11072" s="10" t="inlineStr">
        <is>
          <t>17/03/2026</t>
        </is>
      </c>
      <c r="J11072" s="10" t="inlineStr">
        <is>
          <t>Xây dựng, Bảo trì / Sửa chữa</t>
        </is>
      </c>
      <c r="K11072" s="10" t="inlineStr">
        <is>
          <t>1 - 3 Năm</t>
        </is>
      </c>
      <c r="L11072" s="11">
        <f>HYPERLINK("https://careerviet.vn/vi/tim-viec-lam/fecon-raito-ky-su-quan-ly-thiet-bi-cong-trinh-xay-dung.35C6C65D.html","Xem chi tiết")</f>
        <v/>
      </c>
      <c r="M11072" s="10" t="n"/>
    </row>
    <row r="11073">
      <c r="B11073" s="7" t="n">
        <v>11071</v>
      </c>
      <c r="C11073" t="inlineStr">
        <is>
          <t>[Hà Đông] Kế Toán Thu Ngân  (Ca hành chính)</t>
        </is>
      </c>
      <c r="D11073" t="inlineStr">
        <is>
          <t>THỜI TRANG LINING_CÔNG TY TNHH QUỐC TẾ HẢI LONG</t>
        </is>
      </c>
      <c r="E11073" t="inlineStr">
        <is>
          <t>Lương:9 Tr - 11 Tr VND</t>
        </is>
      </c>
      <c r="F11073" t="inlineStr">
        <is>
          <t>Hà Nội</t>
        </is>
      </c>
      <c r="G11073" t="inlineStr">
        <is>
          <t>15-04-2026</t>
        </is>
      </c>
      <c r="H11073" t="inlineStr">
        <is>
          <t>15/04/2026</t>
        </is>
      </c>
      <c r="I11073" t="inlineStr">
        <is>
          <t>17/03/2026</t>
        </is>
      </c>
      <c r="J11073" t="inlineStr">
        <is>
          <t>Kế toán / Kiểm toán</t>
        </is>
      </c>
      <c r="K11073" t="inlineStr">
        <is>
          <t>1 - 2 Năm</t>
        </is>
      </c>
      <c r="L11073" s="8">
        <f>HYPERLINK("https://careerviet.vn/vi/tim-viec-lam/ha-dong-ke-toan-thu-ngan-ca-hanh-chinh.35C6C657.html","Xem chi tiết")</f>
        <v/>
      </c>
    </row>
    <row r="11074">
      <c r="B11074" s="9" t="n">
        <v>11072</v>
      </c>
      <c r="C11074" s="10" t="inlineStr">
        <is>
          <t>Trợ lý hàng hóa_Tiếng Trung</t>
        </is>
      </c>
      <c r="D11074" s="10" t="inlineStr">
        <is>
          <t>THỜI TRANG LINING_CÔNG TY TNHH QUỐC TẾ HẢI LONG</t>
        </is>
      </c>
      <c r="E11074" s="10" t="inlineStr">
        <is>
          <t>Lương:18 Tr - 25 Tr VND</t>
        </is>
      </c>
      <c r="F11074" s="10" t="inlineStr">
        <is>
          <t>Hà Nội</t>
        </is>
      </c>
      <c r="G11074" s="10" t="inlineStr">
        <is>
          <t>15-04-2026</t>
        </is>
      </c>
      <c r="H11074" s="10" t="inlineStr">
        <is>
          <t>15/04/2026</t>
        </is>
      </c>
      <c r="I11074" s="10" t="inlineStr">
        <is>
          <t>17/03/2026</t>
        </is>
      </c>
      <c r="J11074" s="10" t="inlineStr">
        <is>
          <t>Bán lẻ / Bán sỉ, Bán hàng / Kinh doanh, Thu mua / Vật tư</t>
        </is>
      </c>
      <c r="K11074" s="10" t="inlineStr">
        <is>
          <t>3 - 5 Năm</t>
        </is>
      </c>
      <c r="L11074" s="11">
        <f>HYPERLINK("https://careerviet.vn/vi/tim-viec-lam/tro-ly-hang-hoa_tieng-trung.35C6C658.html","Xem chi tiết")</f>
        <v/>
      </c>
      <c r="M11074" s="10" t="n"/>
    </row>
    <row r="11075">
      <c r="B11075" s="7" t="n">
        <v>11073</v>
      </c>
      <c r="C11075" t="inlineStr">
        <is>
          <t>Kế Toán Viên</t>
        </is>
      </c>
      <c r="D11075" t="inlineStr">
        <is>
          <t>Công Ty TNHH Dược Phẩm Healthy Beauty</t>
        </is>
      </c>
      <c r="E11075" t="inlineStr">
        <is>
          <t>Lương:Cạnh tranh</t>
        </is>
      </c>
      <c r="F11075" t="inlineStr">
        <is>
          <t>Hồ Chí Minh</t>
        </is>
      </c>
      <c r="G11075" t="inlineStr">
        <is>
          <t>30-04-2026</t>
        </is>
      </c>
      <c r="H11075" t="inlineStr">
        <is>
          <t>30/04/2026</t>
        </is>
      </c>
      <c r="I11075" t="inlineStr">
        <is>
          <t>17/03/2026</t>
        </is>
      </c>
      <c r="J11075" t="inlineStr">
        <is>
          <t>Bán hàng / Kinh doanh, Dược phẩm/ Hóa Mỹ Phẩm, Kế toán / Kiểm toán</t>
        </is>
      </c>
      <c r="K11075" t="inlineStr">
        <is>
          <t>3 - 10 Năm</t>
        </is>
      </c>
      <c r="L11075" s="8">
        <f>HYPERLINK("https://careerviet.vn/vi/tim-viec-lam/ke-toan-vien.35C6C654.html","Xem chi tiết")</f>
        <v/>
      </c>
    </row>
    <row r="11076">
      <c r="B11076" s="9" t="n">
        <v>11074</v>
      </c>
      <c r="C11076" s="10" t="inlineStr">
        <is>
          <t>Chuyên viên Merchandise Planning</t>
        </is>
      </c>
      <c r="D11076" s="10" t="inlineStr">
        <is>
          <t>Công ty Cổ phần CANIFA</t>
        </is>
      </c>
      <c r="E11076" s="10" t="inlineStr">
        <is>
          <t>Lương:16 Tr - 25 Tr VND</t>
        </is>
      </c>
      <c r="F11076" s="10" t="inlineStr">
        <is>
          <t>Hà Nội</t>
        </is>
      </c>
      <c r="G11076" s="10" t="inlineStr">
        <is>
          <t>30-04-2026</t>
        </is>
      </c>
      <c r="H11076" s="10" t="inlineStr">
        <is>
          <t>30/04/2026</t>
        </is>
      </c>
      <c r="I11076" s="10" t="inlineStr">
        <is>
          <t>17/03/2026</t>
        </is>
      </c>
      <c r="J11076" s="10" t="inlineStr">
        <is>
          <t>Tiếp thị / Marketing, Bán lẻ / Bán sỉ, Bán hàng / Kinh doanh</t>
        </is>
      </c>
      <c r="K11076" s="10" t="inlineStr">
        <is>
          <t>2 - 4 Năm</t>
        </is>
      </c>
      <c r="L11076" s="11">
        <f>HYPERLINK("https://careerviet.vn/vi/tim-viec-lam/chuyen-vien-merchandise-planning.35C6C656.html","Xem chi tiết")</f>
        <v/>
      </c>
      <c r="M11076" s="10" t="n"/>
    </row>
    <row r="11077">
      <c r="B11077" s="7" t="n">
        <v>11075</v>
      </c>
      <c r="C11077" t="inlineStr">
        <is>
          <t>Kế Toán Tổng Hợp_Mảng Kinh doanh Online  (UPTO 35M NET)</t>
        </is>
      </c>
      <c r="D11077" t="inlineStr">
        <is>
          <t>THỜI TRANG LINING_CÔNG TY TNHH QUỐC TẾ HẢI LONG</t>
        </is>
      </c>
      <c r="E11077" t="inlineStr">
        <is>
          <t>Lương:30 Tr - 35 Tr VND</t>
        </is>
      </c>
      <c r="F11077" t="inlineStr">
        <is>
          <t>Hà Nội</t>
        </is>
      </c>
      <c r="G11077" t="inlineStr">
        <is>
          <t>15-04-2026</t>
        </is>
      </c>
      <c r="H11077" t="inlineStr">
        <is>
          <t>15/04/2026</t>
        </is>
      </c>
      <c r="I11077" t="inlineStr">
        <is>
          <t>17/03/2026</t>
        </is>
      </c>
      <c r="J11077" t="inlineStr">
        <is>
          <t>Kế toán / Kiểm toán</t>
        </is>
      </c>
      <c r="K11077" t="inlineStr">
        <is>
          <t>3 - 5 Năm</t>
        </is>
      </c>
      <c r="L11077" s="8">
        <f>HYPERLINK("https://careerviet.vn/vi/tim-viec-lam/ke-toan-tong-hop_mang-kinh-doanh-online-upto-35m-net.35C6C655.html","Xem chi tiết")</f>
        <v/>
      </c>
    </row>
    <row r="11078">
      <c r="B11078" s="9" t="n">
        <v>11076</v>
      </c>
      <c r="C11078" s="10" t="inlineStr">
        <is>
          <t>Export Manager</t>
        </is>
      </c>
      <c r="D11078" s="10" t="inlineStr">
        <is>
          <t>EVERICH VIETNAM</t>
        </is>
      </c>
      <c r="E11078" s="10" t="inlineStr">
        <is>
          <t>Lương:Cạnh tranh</t>
        </is>
      </c>
      <c r="F11078" s="10" t="inlineStr">
        <is>
          <t>Hải Phòng</t>
        </is>
      </c>
      <c r="G11078" s="10" t="inlineStr">
        <is>
          <t>13-04-2026</t>
        </is>
      </c>
      <c r="H11078" s="10" t="inlineStr">
        <is>
          <t>13/04/2026</t>
        </is>
      </c>
      <c r="I11078" s="10" t="inlineStr">
        <is>
          <t>17/03/2026</t>
        </is>
      </c>
      <c r="J11078" s="10" t="inlineStr">
        <is>
          <t>Xuất nhập khẩu, Vận chuyển / Giao nhận / Kho vận, Quản lý điều hành</t>
        </is>
      </c>
      <c r="K11078" s="10" t="inlineStr">
        <is>
          <t>Trên 5 Năm</t>
        </is>
      </c>
      <c r="L11078" s="11">
        <f>HYPERLINK("https://careerviet.vn/vi/tim-viec-lam/export-manager.35C6C619.html","Xem chi tiết")</f>
        <v/>
      </c>
      <c r="M11078" s="10" t="n"/>
    </row>
    <row r="11079">
      <c r="B11079" s="7" t="n">
        <v>11077</v>
      </c>
      <c r="C11079" t="inlineStr">
        <is>
          <t>Accountant Staff</t>
        </is>
      </c>
      <c r="D11079" t="inlineStr">
        <is>
          <t>LIXIL Global Manufacturing Vietnam</t>
        </is>
      </c>
      <c r="E11079" t="inlineStr">
        <is>
          <t>Lương:Cạnh tranh</t>
        </is>
      </c>
      <c r="F11079" t="inlineStr">
        <is>
          <t>Đồng Nai</t>
        </is>
      </c>
      <c r="G11079" t="inlineStr">
        <is>
          <t>13-04-2026</t>
        </is>
      </c>
      <c r="H11079" t="inlineStr">
        <is>
          <t>13/04/2026</t>
        </is>
      </c>
      <c r="I11079" t="inlineStr">
        <is>
          <t>17/03/2026</t>
        </is>
      </c>
      <c r="J11079" t="inlineStr">
        <is>
          <t>Kế toán / Kiểm toán</t>
        </is>
      </c>
      <c r="K11079" t="inlineStr">
        <is>
          <t>1 - 2 Năm</t>
        </is>
      </c>
      <c r="L11079" s="8">
        <f>HYPERLINK("https://careerviet.vn/vi/tim-viec-lam/accountant-staff.35C6C62B.html","Xem chi tiết")</f>
        <v/>
      </c>
    </row>
    <row r="11080">
      <c r="B11080" s="9" t="n">
        <v>11078</v>
      </c>
      <c r="C11080" s="10" t="inlineStr">
        <is>
          <t>Kế Toán Hàng hóa - Hóa đơn_Upto 15 tr/tháng</t>
        </is>
      </c>
      <c r="D11080" s="10" t="inlineStr">
        <is>
          <t>THỜI TRANG LINING_CÔNG TY TNHH QUỐC TẾ HẢI LONG</t>
        </is>
      </c>
      <c r="E11080" s="10" t="inlineStr">
        <is>
          <t>Lương:12 Tr - 14 Tr VND</t>
        </is>
      </c>
      <c r="F11080" s="10" t="inlineStr">
        <is>
          <t>Hà Nội</t>
        </is>
      </c>
      <c r="G11080" s="10" t="inlineStr">
        <is>
          <t>15-04-2026</t>
        </is>
      </c>
      <c r="H11080" s="10" t="inlineStr">
        <is>
          <t>15/04/2026</t>
        </is>
      </c>
      <c r="I11080" s="10" t="inlineStr">
        <is>
          <t>17/03/2026</t>
        </is>
      </c>
      <c r="J11080" s="10" t="inlineStr">
        <is>
          <t>Kế toán / Kiểm toán</t>
        </is>
      </c>
      <c r="K11080" s="10" t="inlineStr">
        <is>
          <t>3 - 5 Năm</t>
        </is>
      </c>
      <c r="L11080" s="11">
        <f>HYPERLINK("https://careerviet.vn/vi/tim-viec-lam/ke-toan-hang-hoa-hoa-don_upto-15-tr-thang.35C6C64D.html","Xem chi tiết")</f>
        <v/>
      </c>
      <c r="M11080" s="10" t="n"/>
    </row>
    <row r="11081">
      <c r="B11081" s="7" t="n">
        <v>11079</v>
      </c>
      <c r="C11081" t="inlineStr">
        <is>
          <t>PCC Development and Commercialization – Kỹ thuật phát triển giày</t>
        </is>
      </c>
      <c r="D11081" t="inlineStr">
        <is>
          <t>Công ty TNHH Giầy Chingluh Việt Nam</t>
        </is>
      </c>
      <c r="E11081" t="inlineStr">
        <is>
          <t>Lương:Cạnh tranh</t>
        </is>
      </c>
      <c r="F11081" t="inlineStr">
        <is>
          <t>Long An</t>
        </is>
      </c>
      <c r="G11081" t="inlineStr">
        <is>
          <t>30-04-2026</t>
        </is>
      </c>
      <c r="H11081" t="inlineStr">
        <is>
          <t>30/04/2026</t>
        </is>
      </c>
      <c r="I11081" t="inlineStr">
        <is>
          <t>17/03/2026</t>
        </is>
      </c>
      <c r="J11081" t="inlineStr">
        <is>
          <t>Dệt may / Da giày / Thời trang</t>
        </is>
      </c>
      <c r="K11081" t="inlineStr">
        <is>
          <t>3 - 5 Năm</t>
        </is>
      </c>
      <c r="L11081" s="8">
        <f>HYPERLINK("https://careerviet.vn/vi/tim-viec-lam/pcc-development-and-commercialization-ky-thuat-phat-trien-giay.35C6C645.html","Xem chi tiết")</f>
        <v/>
      </c>
    </row>
    <row r="11082">
      <c r="B11082" s="9" t="n">
        <v>11080</v>
      </c>
      <c r="C11082" s="10" t="inlineStr">
        <is>
          <t>Kế Toán Tổng Hợp</t>
        </is>
      </c>
      <c r="D11082" s="10" t="inlineStr">
        <is>
          <t>CÔNG TY CỔ PHẦN NÔNG NGHIỆP AGRIZEN</t>
        </is>
      </c>
      <c r="E11082" s="10" t="inlineStr">
        <is>
          <t>Lương:10 Tr - 20 Tr VND</t>
        </is>
      </c>
      <c r="F11082" s="10" t="inlineStr">
        <is>
          <t>Hồ Chí Minh</t>
        </is>
      </c>
      <c r="G11082" s="10" t="inlineStr">
        <is>
          <t>30-04-2026</t>
        </is>
      </c>
      <c r="H11082" s="10" t="inlineStr">
        <is>
          <t>30/04/2026</t>
        </is>
      </c>
      <c r="I11082" s="10" t="inlineStr">
        <is>
          <t>17/03/2026</t>
        </is>
      </c>
      <c r="J11082" s="10" t="inlineStr">
        <is>
          <t>Kế toán / Kiểm toán</t>
        </is>
      </c>
      <c r="K11082" s="10" t="inlineStr">
        <is>
          <t>1 - 2 Năm</t>
        </is>
      </c>
      <c r="L11082" s="11">
        <f>HYPERLINK("https://careerviet.vn/vi/tim-viec-lam/ke-toan-tong-hop.35C6C64B.html","Xem chi tiết")</f>
        <v/>
      </c>
      <c r="M11082" s="10" t="n"/>
    </row>
    <row r="11083">
      <c r="B11083" s="7" t="n">
        <v>11081</v>
      </c>
      <c r="C11083" t="inlineStr">
        <is>
          <t>TRƯỞNG NHÓM KẾ TOÁN (Mảng Thương mại điện tử)_UP 35M NET</t>
        </is>
      </c>
      <c r="D11083" t="inlineStr">
        <is>
          <t>THỜI TRANG LINING_CÔNG TY TNHH QUỐC TẾ HẢI LONG</t>
        </is>
      </c>
      <c r="E11083" t="inlineStr">
        <is>
          <t>Lương:30 Tr - 35 Tr VND</t>
        </is>
      </c>
      <c r="F11083" t="inlineStr">
        <is>
          <t>Hà Nội</t>
        </is>
      </c>
      <c r="G11083" t="inlineStr">
        <is>
          <t>15-04-2026</t>
        </is>
      </c>
      <c r="H11083" t="inlineStr">
        <is>
          <t>15/04/2026</t>
        </is>
      </c>
      <c r="I11083" t="inlineStr">
        <is>
          <t>17/03/2026</t>
        </is>
      </c>
      <c r="J11083" t="inlineStr">
        <is>
          <t>Bán lẻ / Bán sỉ, Bán hàng / Kinh doanh, Kế toán / Kiểm toán</t>
        </is>
      </c>
      <c r="K11083" t="inlineStr">
        <is>
          <t>3 - 5 Năm</t>
        </is>
      </c>
      <c r="L11083" s="8">
        <f>HYPERLINK("https://careerviet.vn/vi/tim-viec-lam/truong-nhom-ke-toan-mang-thuong-mai-dien-tu-_up-35m-net.35C6C651.html","Xem chi tiết")</f>
        <v/>
      </c>
    </row>
    <row r="11084">
      <c r="B11084" s="9" t="n">
        <v>11082</v>
      </c>
      <c r="C11084" s="10" t="inlineStr">
        <is>
          <t>Kế Toán Tổng Hợp_Hộ Kinh Doanh_Upto 18 triệu/tháng</t>
        </is>
      </c>
      <c r="D11084" s="10" t="inlineStr">
        <is>
          <t>THỜI TRANG LINING_CÔNG TY TNHH QUỐC TẾ HẢI LONG</t>
        </is>
      </c>
      <c r="E11084" s="10" t="inlineStr">
        <is>
          <t>Lương:15 Tr - 18 Tr VND</t>
        </is>
      </c>
      <c r="F11084" s="10" t="inlineStr">
        <is>
          <t>Hà Nội</t>
        </is>
      </c>
      <c r="G11084" s="10" t="inlineStr">
        <is>
          <t>15-04-2026</t>
        </is>
      </c>
      <c r="H11084" s="10" t="inlineStr">
        <is>
          <t>15/04/2026</t>
        </is>
      </c>
      <c r="I11084" s="10" t="inlineStr">
        <is>
          <t>17/03/2026</t>
        </is>
      </c>
      <c r="J11084" s="10" t="inlineStr">
        <is>
          <t>Kế toán / Kiểm toán</t>
        </is>
      </c>
      <c r="K11084" s="10" t="inlineStr">
        <is>
          <t>3 - 5 Năm</t>
        </is>
      </c>
      <c r="L11084" s="11">
        <f>HYPERLINK("https://careerviet.vn/vi/tim-viec-lam/ke-toan-tong-hop_ho-kinh-doanh_upto-18-trieu-thang.35C6C653.html","Xem chi tiết")</f>
        <v/>
      </c>
      <c r="M11084" s="10" t="n"/>
    </row>
    <row r="11085">
      <c r="B11085" s="7" t="n">
        <v>11083</v>
      </c>
      <c r="C11085" t="inlineStr">
        <is>
          <t>Chuyên Viên Chính Sách Và Tiền Lương (C&amp;B)</t>
        </is>
      </c>
      <c r="D11085" t="inlineStr">
        <is>
          <t>THỜI TRANG LINING_CÔNG TY TNHH QUỐC TẾ HẢI LONG</t>
        </is>
      </c>
      <c r="E11085" t="inlineStr">
        <is>
          <t>Lương:15 Tr - 18 Tr VND</t>
        </is>
      </c>
      <c r="F11085" t="inlineStr">
        <is>
          <t>Hà Nội</t>
        </is>
      </c>
      <c r="G11085" t="inlineStr">
        <is>
          <t>15-04-2026</t>
        </is>
      </c>
      <c r="H11085" t="inlineStr">
        <is>
          <t>15/04/2026</t>
        </is>
      </c>
      <c r="I11085" t="inlineStr">
        <is>
          <t>17/03/2026</t>
        </is>
      </c>
      <c r="J11085" t="inlineStr">
        <is>
          <t>Nhân sự</t>
        </is>
      </c>
      <c r="K11085" t="inlineStr">
        <is>
          <t>3 - 5 Năm</t>
        </is>
      </c>
      <c r="L11085" s="8">
        <f>HYPERLINK("https://careerviet.vn/vi/tim-viec-lam/chuyen-vien-chinh-sach-va-tien-luong-c-b.35C6C64E.html","Xem chi tiết")</f>
        <v/>
      </c>
    </row>
    <row r="11086">
      <c r="B11086" s="9" t="n">
        <v>11084</v>
      </c>
      <c r="C11086" s="10" t="inlineStr">
        <is>
          <t>Footwear Developer - Chuyên viên khai thác giày</t>
        </is>
      </c>
      <c r="D11086" s="10" t="inlineStr">
        <is>
          <t>Công ty TNHH Giầy Chingluh Việt Nam</t>
        </is>
      </c>
      <c r="E11086" s="10" t="inlineStr">
        <is>
          <t>Lương:Cạnh tranh</t>
        </is>
      </c>
      <c r="F11086" s="10" t="inlineStr">
        <is>
          <t>Long An</t>
        </is>
      </c>
      <c r="G11086" s="10" t="inlineStr">
        <is>
          <t>30-04-2026</t>
        </is>
      </c>
      <c r="H11086" s="10" t="inlineStr">
        <is>
          <t>30/04/2026</t>
        </is>
      </c>
      <c r="I11086" s="10" t="inlineStr">
        <is>
          <t>17/03/2026</t>
        </is>
      </c>
      <c r="J11086" s="10" t="inlineStr">
        <is>
          <t>Dệt may / Da giày / Thời trang, Sản xuất / Vận hành sản xuất, Quản lý chất lượng (QA/QC)</t>
        </is>
      </c>
      <c r="K11086" s="10" t="inlineStr">
        <is>
          <t>2 - 5 Năm</t>
        </is>
      </c>
      <c r="L11086" s="11">
        <f>HYPERLINK("https://careerviet.vn/vi/tim-viec-lam/footwear-developer-chuyen-vien-khai-thac-giay.35C6C636.html","Xem chi tiết")</f>
        <v/>
      </c>
      <c r="M11086" s="10" t="n"/>
    </row>
    <row r="11087">
      <c r="B11087" s="7" t="n">
        <v>11085</v>
      </c>
      <c r="C11087" t="inlineStr">
        <is>
          <t>Nhân viên Lễ tân</t>
        </is>
      </c>
      <c r="D11087" t="inlineStr">
        <is>
          <t>Tổng Công ty Vận Tải Thủy</t>
        </is>
      </c>
      <c r="E11087" t="inlineStr">
        <is>
          <t>Lương:10 Tr - 15 Tr VND</t>
        </is>
      </c>
      <c r="F11087" t="inlineStr">
        <is>
          <t>Hà Nội</t>
        </is>
      </c>
      <c r="G11087" t="inlineStr">
        <is>
          <t>10-04-2026</t>
        </is>
      </c>
      <c r="H11087" t="inlineStr">
        <is>
          <t>10/04/2026</t>
        </is>
      </c>
      <c r="I11087" t="inlineStr">
        <is>
          <t>17/03/2026</t>
        </is>
      </c>
      <c r="J11087" t="inlineStr">
        <is>
          <t>Hành chính / Thư ký</t>
        </is>
      </c>
      <c r="K11087" t="inlineStr">
        <is>
          <t>N/A</t>
        </is>
      </c>
      <c r="L11087" s="8">
        <f>HYPERLINK("https://careerviet.vn/vi/tim-viec-lam/nhan-vien-le-tan.35C6C649.html","Xem chi tiết")</f>
        <v/>
      </c>
    </row>
    <row r="11088">
      <c r="B11088" s="9" t="n">
        <v>11086</v>
      </c>
      <c r="C11088" s="10" t="inlineStr">
        <is>
          <t>GIÁM SÁT THI CÔNG CHUỖI CỬA HÀNG_UP 23M</t>
        </is>
      </c>
      <c r="D11088" s="10" t="inlineStr">
        <is>
          <t>THỜI TRANG LINING_CÔNG TY TNHH QUỐC TẾ HẢI LONG</t>
        </is>
      </c>
      <c r="E11088" s="10" t="inlineStr">
        <is>
          <t>Lương:18 Tr - 23 Tr VND</t>
        </is>
      </c>
      <c r="F11088" s="10" t="inlineStr">
        <is>
          <t>Hà Nội</t>
        </is>
      </c>
      <c r="G11088" s="10" t="inlineStr">
        <is>
          <t>15-04-2026</t>
        </is>
      </c>
      <c r="H11088" s="10" t="inlineStr">
        <is>
          <t>15/04/2026</t>
        </is>
      </c>
      <c r="I11088" s="10" t="inlineStr">
        <is>
          <t>17/03/2026</t>
        </is>
      </c>
      <c r="J11088" s="10" t="inlineStr">
        <is>
          <t>Xây dựng, Bán hàng / Kinh doanh, Nội ngoại thất</t>
        </is>
      </c>
      <c r="K11088" s="10" t="inlineStr">
        <is>
          <t>3 - 5 Năm</t>
        </is>
      </c>
      <c r="L11088" s="11">
        <f>HYPERLINK("https://careerviet.vn/vi/tim-viec-lam/giam-sat-thi-cong-chuoi-cua-hang_up-23m.35C6C642.html","Xem chi tiết")</f>
        <v/>
      </c>
      <c r="M11088" s="10" t="n"/>
    </row>
    <row r="11089">
      <c r="B11089" s="7" t="n">
        <v>11087</v>
      </c>
      <c r="C11089" t="inlineStr">
        <is>
          <t>SENIOR MOLD PURCHASER</t>
        </is>
      </c>
      <c r="D11089" t="inlineStr">
        <is>
          <t>Action Composites Hightech Industries</t>
        </is>
      </c>
      <c r="E11089" t="inlineStr">
        <is>
          <t>Lương:Cạnh tranh</t>
        </is>
      </c>
      <c r="F11089" t="inlineStr">
        <is>
          <t>Đồng Nai</t>
        </is>
      </c>
      <c r="G11089" t="inlineStr">
        <is>
          <t>13-04-2026</t>
        </is>
      </c>
      <c r="H11089" t="inlineStr">
        <is>
          <t>13/04/2026</t>
        </is>
      </c>
      <c r="I11089" t="inlineStr">
        <is>
          <t>17/03/2026</t>
        </is>
      </c>
      <c r="J11089" t="inlineStr">
        <is>
          <t>Cơ khí / Ô tô / Tự động hóa, Thu mua / Vật tư, Bảo trì / Sửa chữa</t>
        </is>
      </c>
      <c r="K11089" t="inlineStr">
        <is>
          <t>5 - 7 Năm</t>
        </is>
      </c>
      <c r="L11089" s="8">
        <f>HYPERLINK("https://careerviet.vn/vi/tim-viec-lam/senior-mold-purchaser.35C6C641.html","Xem chi tiết")</f>
        <v/>
      </c>
    </row>
    <row r="11090">
      <c r="B11090" s="9" t="n">
        <v>11088</v>
      </c>
      <c r="C11090" s="10" t="inlineStr">
        <is>
          <t>NHÂN VIÊN KẾ TOÁN</t>
        </is>
      </c>
      <c r="D11090" s="10" t="inlineStr">
        <is>
          <t>Action Composites Hightech Industries</t>
        </is>
      </c>
      <c r="E11090" s="10" t="inlineStr">
        <is>
          <t>Lương:Cạnh tranh</t>
        </is>
      </c>
      <c r="F11090" s="10" t="inlineStr">
        <is>
          <t>Đồng Nai</t>
        </is>
      </c>
      <c r="G11090" s="10" t="inlineStr">
        <is>
          <t>01-04-2026</t>
        </is>
      </c>
      <c r="H11090" s="10" t="inlineStr">
        <is>
          <t>01/04/2026</t>
        </is>
      </c>
      <c r="I11090" s="10" t="inlineStr">
        <is>
          <t>17/03/2026</t>
        </is>
      </c>
      <c r="J11090" s="10" t="inlineStr">
        <is>
          <t>Hành chính / Thư ký, Kế toán / Kiểm toán, Tài chính / Đầu tư</t>
        </is>
      </c>
      <c r="K11090" s="10" t="inlineStr">
        <is>
          <t>1 - 3 Năm</t>
        </is>
      </c>
      <c r="L11090" s="11">
        <f>HYPERLINK("https://careerviet.vn/vi/tim-viec-lam/nhan-vien-ke-toan.35C6C62F.html","Xem chi tiết")</f>
        <v/>
      </c>
      <c r="M11090" s="10" t="n"/>
    </row>
    <row r="11091">
      <c r="B11091" s="7" t="n">
        <v>11089</v>
      </c>
      <c r="C11091" t="inlineStr">
        <is>
          <t>CHUYÊN VIÊN CAO CẤP QA (Xây dựng Quy trình - upto 25M)</t>
        </is>
      </c>
      <c r="D11091" t="inlineStr">
        <is>
          <t>THỜI TRANG LINING_CÔNG TY TNHH QUỐC TẾ HẢI LONG</t>
        </is>
      </c>
      <c r="E11091" t="inlineStr">
        <is>
          <t>Lương:17 Tr - 25 Tr VND</t>
        </is>
      </c>
      <c r="F11091" t="inlineStr">
        <is>
          <t>Hà Nội</t>
        </is>
      </c>
      <c r="G11091" t="inlineStr">
        <is>
          <t>15-04-2026</t>
        </is>
      </c>
      <c r="H11091" t="inlineStr">
        <is>
          <t>15/04/2026</t>
        </is>
      </c>
      <c r="I11091" t="inlineStr">
        <is>
          <t>17/03/2026</t>
        </is>
      </c>
      <c r="J11091" t="inlineStr">
        <is>
          <t>Bán lẻ / Bán sỉ, Bán hàng / Kinh doanh, Dệt may / Da giày / Thời trang</t>
        </is>
      </c>
      <c r="K11091" t="inlineStr">
        <is>
          <t>3 - 5 Năm</t>
        </is>
      </c>
      <c r="L11091" s="8">
        <f>HYPERLINK("https://careerviet.vn/vi/tim-viec-lam/chuyen-vien-cao-cap-qa-xay-dung-quy-trinh-upto-25m.35C6C64A.html","Xem chi tiết")</f>
        <v/>
      </c>
    </row>
    <row r="11092">
      <c r="B11092" s="9" t="n">
        <v>11090</v>
      </c>
      <c r="C11092" s="10" t="inlineStr">
        <is>
          <t>Hospitality Project Management</t>
        </is>
      </c>
      <c r="D11092" s="10" t="inlineStr">
        <is>
          <t>Vietnam Furniture Resources (VFR)</t>
        </is>
      </c>
      <c r="E11092" s="10" t="inlineStr">
        <is>
          <t>Lương:Cạnh tranh</t>
        </is>
      </c>
      <c r="F11092" s="10" t="inlineStr">
        <is>
          <t>Bình Dương</t>
        </is>
      </c>
      <c r="G11092" s="10" t="inlineStr">
        <is>
          <t>30-04-2026</t>
        </is>
      </c>
      <c r="H11092" s="10" t="inlineStr">
        <is>
          <t>30/04/2026</t>
        </is>
      </c>
      <c r="I11092" s="10" t="inlineStr">
        <is>
          <t>17/03/2026</t>
        </is>
      </c>
      <c r="J11092" s="10" t="inlineStr">
        <is>
          <t>Đồ gỗ, Nội ngoại thất</t>
        </is>
      </c>
      <c r="K11092" s="10" t="inlineStr">
        <is>
          <t>5 - 10 Năm</t>
        </is>
      </c>
      <c r="L11092" s="11">
        <f>HYPERLINK("https://careerviet.vn/vi/tim-viec-lam/hospitality-project-management.35C6C646.html","Xem chi tiết")</f>
        <v/>
      </c>
      <c r="M11092" s="10" t="n"/>
    </row>
    <row r="11093">
      <c r="B11093" s="7" t="n">
        <v>11091</v>
      </c>
      <c r="C11093" t="inlineStr">
        <is>
          <t>Business Consultant - Kênh Nhà Thuốc (Hà Nội)</t>
        </is>
      </c>
      <c r="D11093" t="inlineStr">
        <is>
          <t>Zuellig Pharma Viet Nam</t>
        </is>
      </c>
      <c r="E11093" t="inlineStr">
        <is>
          <t>Lương:Cạnh tranh</t>
        </is>
      </c>
      <c r="F11093" t="inlineStr">
        <is>
          <t>Hà Nội</t>
        </is>
      </c>
      <c r="G11093" t="inlineStr">
        <is>
          <t>30-04-2026</t>
        </is>
      </c>
      <c r="H11093" t="inlineStr">
        <is>
          <t>30/04/2026</t>
        </is>
      </c>
      <c r="I11093" t="inlineStr">
        <is>
          <t>17/03/2026</t>
        </is>
      </c>
      <c r="J11093" t="inlineStr">
        <is>
          <t>Dược phẩm/ Hóa Mỹ Phẩm, Y tế / Chăm sóc sức khỏe / Thẩm mỹ / Làm đẹp</t>
        </is>
      </c>
      <c r="K11093" t="inlineStr">
        <is>
          <t>1 - 3 Năm</t>
        </is>
      </c>
      <c r="L11093" s="8">
        <f>HYPERLINK("https://careerviet.vn/vi/tim-viec-lam/business-consultant-kenh-nha-thuoc-ha-noi.35C6C63A.html","Xem chi tiết")</f>
        <v/>
      </c>
    </row>
    <row r="11094">
      <c r="B11094" s="9" t="n">
        <v>11092</v>
      </c>
      <c r="C11094" s="10" t="inlineStr">
        <is>
          <t>Kế Toán Doanh Thu, Hàng Hóa_Upto 15tr/tháng</t>
        </is>
      </c>
      <c r="D11094" s="10" t="inlineStr">
        <is>
          <t>THỜI TRANG LINING_CÔNG TY TNHH QUỐC TẾ HẢI LONG</t>
        </is>
      </c>
      <c r="E11094" s="10" t="inlineStr">
        <is>
          <t>Lương:12 Tr - 15 Tr VND</t>
        </is>
      </c>
      <c r="F11094" s="10" t="inlineStr">
        <is>
          <t>Hà Nội</t>
        </is>
      </c>
      <c r="G11094" s="10" t="inlineStr">
        <is>
          <t>15-04-2026</t>
        </is>
      </c>
      <c r="H11094" s="10" t="inlineStr">
        <is>
          <t>15/04/2026</t>
        </is>
      </c>
      <c r="I11094" s="10" t="inlineStr">
        <is>
          <t>17/03/2026</t>
        </is>
      </c>
      <c r="J11094" s="10" t="inlineStr">
        <is>
          <t>Kế toán / Kiểm toán</t>
        </is>
      </c>
      <c r="K11094" s="10" t="inlineStr">
        <is>
          <t>2 - 5 Năm</t>
        </is>
      </c>
      <c r="L11094" s="11">
        <f>HYPERLINK("https://careerviet.vn/vi/tim-viec-lam/ke-toan-doanh-thu-hang-hoa_upto-15tr-thang.35C6C639.html","Xem chi tiết")</f>
        <v/>
      </c>
      <c r="M11094" s="10" t="n"/>
    </row>
    <row r="11095">
      <c r="B11095" s="7" t="n">
        <v>11093</v>
      </c>
      <c r="C11095" t="inlineStr">
        <is>
          <t>Pattern Leader - Garment</t>
        </is>
      </c>
      <c r="D11095" t="inlineStr">
        <is>
          <t>HR Vietnam’s ESS Client</t>
        </is>
      </c>
      <c r="E11095" t="inlineStr">
        <is>
          <t>Lương:50 Tr - 60 Tr VND</t>
        </is>
      </c>
      <c r="F11095" t="inlineStr">
        <is>
          <t>Bà Rịa - Vũng Tàu</t>
        </is>
      </c>
      <c r="G11095" t="inlineStr">
        <is>
          <t>29-04-2026</t>
        </is>
      </c>
      <c r="H11095" t="inlineStr">
        <is>
          <t>29/04/2026</t>
        </is>
      </c>
      <c r="I11095" t="inlineStr">
        <is>
          <t>17/03/2026</t>
        </is>
      </c>
      <c r="J11095" t="inlineStr">
        <is>
          <t>Dệt may / Da giày / Thời trang</t>
        </is>
      </c>
      <c r="K11095" t="inlineStr">
        <is>
          <t>Trên 7 Năm</t>
        </is>
      </c>
      <c r="L11095" s="8">
        <f>HYPERLINK("https://careerviet.vn/vi/tim-viec-lam/pattern-leader-garment.35C6C63E.html","Xem chi tiết")</f>
        <v/>
      </c>
    </row>
    <row r="11096">
      <c r="B11096" s="9" t="n">
        <v>11094</v>
      </c>
      <c r="C11096" s="10" t="inlineStr">
        <is>
          <t>Nhân Viên Bảo Trì Điện</t>
        </is>
      </c>
      <c r="D11096" s="10" t="inlineStr">
        <is>
          <t>CHI NHÁNH CÔNG TY TNHH DAEYOUNG EP VINA TẠI BÀ RỊA - VŨNG TÀU</t>
        </is>
      </c>
      <c r="E11096" s="10" t="inlineStr">
        <is>
          <t>Lương:8 Tr - 12 Tr VND</t>
        </is>
      </c>
      <c r="F11096" s="10" t="inlineStr">
        <is>
          <t>Bà Rịa - Vũng Tàu</t>
        </is>
      </c>
      <c r="G11096" s="10" t="inlineStr">
        <is>
          <t>30-03-2026</t>
        </is>
      </c>
      <c r="H11096" s="10" t="inlineStr">
        <is>
          <t>30/03/2026</t>
        </is>
      </c>
      <c r="I11096" s="10" t="inlineStr">
        <is>
          <t>17/03/2026</t>
        </is>
      </c>
      <c r="J11096" s="10" t="inlineStr">
        <is>
          <t>Điện / Điện tử / Điện lạnh / Điện công nghiệp</t>
        </is>
      </c>
      <c r="K11096" s="10" t="inlineStr">
        <is>
          <t>1 - 3 Năm</t>
        </is>
      </c>
      <c r="L11096" s="11">
        <f>HYPERLINK("https://careerviet.vn/vi/tim-viec-lam/nhan-vien-bao-tri-dien.35C6C629.html","Xem chi tiết")</f>
        <v/>
      </c>
      <c r="M11096" s="10" t="n"/>
    </row>
    <row r="11097">
      <c r="B11097" s="7" t="n">
        <v>11095</v>
      </c>
      <c r="C11097" t="inlineStr">
        <is>
          <t>Nhân viên lái xe ô tô giao vận_Lương 12 triệu ++</t>
        </is>
      </c>
      <c r="D11097" t="inlineStr">
        <is>
          <t>THỜI TRANG LINING_CÔNG TY TNHH QUỐC TẾ HẢI LONG</t>
        </is>
      </c>
      <c r="E11097" t="inlineStr">
        <is>
          <t>Lương:10 Tr - 12 Tr VND</t>
        </is>
      </c>
      <c r="F11097" t="inlineStr">
        <is>
          <t>Hà Nội</t>
        </is>
      </c>
      <c r="G11097" t="inlineStr">
        <is>
          <t>15-04-2026</t>
        </is>
      </c>
      <c r="H11097" t="inlineStr">
        <is>
          <t>15/04/2026</t>
        </is>
      </c>
      <c r="I11097" t="inlineStr">
        <is>
          <t>17/03/2026</t>
        </is>
      </c>
      <c r="J11097" t="inlineStr">
        <is>
          <t>Vận chuyển / Giao nhận / Kho vận</t>
        </is>
      </c>
      <c r="K11097" t="inlineStr">
        <is>
          <t>1 - 2 Năm</t>
        </is>
      </c>
      <c r="L11097" s="8">
        <f>HYPERLINK("https://careerviet.vn/vi/tim-viec-lam/nhan-vien-lai-xe-o-to-giao-van_luong-12-trieu.35C6C640.html","Xem chi tiết")</f>
        <v/>
      </c>
    </row>
    <row r="11098">
      <c r="B11098" s="9" t="n">
        <v>11096</v>
      </c>
      <c r="C11098" s="10" t="inlineStr">
        <is>
          <t>Trưởng phòng Kinh doanh Dịch vụ logistics</t>
        </is>
      </c>
      <c r="D11098" s="10" t="inlineStr">
        <is>
          <t>Công Ty Cổ Phần Tập Đoàn Trường Hải</t>
        </is>
      </c>
      <c r="E11098" s="10" t="inlineStr">
        <is>
          <t>Lương:Cạnh tranh</t>
        </is>
      </c>
      <c r="F11098" s="10" t="inlineStr">
        <is>
          <t>Hồ Chí Minh</t>
        </is>
      </c>
      <c r="G11098" s="10" t="inlineStr">
        <is>
          <t>12-04-2026</t>
        </is>
      </c>
      <c r="H11098" s="10" t="inlineStr">
        <is>
          <t>12/04/2026</t>
        </is>
      </c>
      <c r="I11098" s="10" t="inlineStr">
        <is>
          <t>17/03/2026</t>
        </is>
      </c>
      <c r="J11098" s="10" t="inlineStr">
        <is>
          <t>Bán hàng / Kinh doanh, Xuất nhập khẩu, Vận chuyển / Giao nhận / Kho vận</t>
        </is>
      </c>
      <c r="K11098" s="10" t="inlineStr">
        <is>
          <t>3 - 5 Năm</t>
        </is>
      </c>
      <c r="L11098" s="11">
        <f>HYPERLINK("https://careerviet.vn/vi/tim-viec-lam/truong-phong-kinh-doanh-dich-vu-logistics.35C6C630.html","Xem chi tiết")</f>
        <v/>
      </c>
      <c r="M11098" s="10" t="n"/>
    </row>
    <row r="11099">
      <c r="B11099" s="7" t="n">
        <v>11097</v>
      </c>
      <c r="C11099" t="inlineStr">
        <is>
          <t>PAYABLE ACCOUNTANT</t>
        </is>
      </c>
      <c r="D11099" t="inlineStr">
        <is>
          <t>Action Composites Hightech Industries</t>
        </is>
      </c>
      <c r="E11099" t="inlineStr">
        <is>
          <t>Lương:Cạnh tranh</t>
        </is>
      </c>
      <c r="F11099" t="inlineStr">
        <is>
          <t>Đồng Nai</t>
        </is>
      </c>
      <c r="G11099" t="inlineStr">
        <is>
          <t>01-04-2026</t>
        </is>
      </c>
      <c r="H11099" t="inlineStr">
        <is>
          <t>01/04/2026</t>
        </is>
      </c>
      <c r="I11099" t="inlineStr">
        <is>
          <t>17/03/2026</t>
        </is>
      </c>
      <c r="J11099" t="inlineStr">
        <is>
          <t>Hành chính / Thư ký, Kế toán / Kiểm toán, Tài chính / Đầu tư</t>
        </is>
      </c>
      <c r="K11099" t="inlineStr">
        <is>
          <t>1 - 3 Năm</t>
        </is>
      </c>
      <c r="L11099" s="8">
        <f>HYPERLINK("https://careerviet.vn/vi/tim-viec-lam/payable-accountant.35C6C62A.html","Xem chi tiết")</f>
        <v/>
      </c>
    </row>
    <row r="11100">
      <c r="B11100" s="9" t="n">
        <v>11098</v>
      </c>
      <c r="C11100" s="10" t="inlineStr">
        <is>
          <t>Nhân Viên Kế Toán Thuế (Tổng Hợp)</t>
        </is>
      </c>
      <c r="D11100" s="10" t="inlineStr">
        <is>
          <t>CÔNG TY CỔ PHẦN TẬP ĐOÀN UNIS</t>
        </is>
      </c>
      <c r="E11100" s="10" t="inlineStr">
        <is>
          <t>Lương:Cạnh tranh</t>
        </is>
      </c>
      <c r="F11100" s="10" t="inlineStr">
        <is>
          <t>Hồ Chí Minh</t>
        </is>
      </c>
      <c r="G11100" s="10" t="inlineStr">
        <is>
          <t>30-04-2026</t>
        </is>
      </c>
      <c r="H11100" s="10" t="inlineStr">
        <is>
          <t>30/04/2026</t>
        </is>
      </c>
      <c r="I11100" s="10" t="inlineStr">
        <is>
          <t>17/03/2026</t>
        </is>
      </c>
      <c r="J11100" s="10" t="inlineStr">
        <is>
          <t>Kế toán / Kiểm toán</t>
        </is>
      </c>
      <c r="K11100" s="10" t="inlineStr">
        <is>
          <t>2 - 3 Năm</t>
        </is>
      </c>
      <c r="L11100" s="11">
        <f>HYPERLINK("https://careerviet.vn/vi/tim-viec-lam/nhan-vien-ke-toan-thue-tong-hop.35C6A539.html","Xem chi tiết")</f>
        <v/>
      </c>
      <c r="M11100" s="10" t="n"/>
    </row>
    <row r="11101">
      <c r="B11101" s="7" t="n">
        <v>11099</v>
      </c>
      <c r="C11101" t="inlineStr">
        <is>
          <t>Nhân Viên Quản Lý Đơn Hàng</t>
        </is>
      </c>
      <c r="D11101" t="inlineStr">
        <is>
          <t>Công ty TNHH Thiết bị y tế Phương Đông</t>
        </is>
      </c>
      <c r="E11101" t="inlineStr">
        <is>
          <t>Lương:Cạnh tranh</t>
        </is>
      </c>
      <c r="F11101" t="inlineStr">
        <is>
          <t>Hồ Chí Minh</t>
        </is>
      </c>
      <c r="G11101" t="inlineStr">
        <is>
          <t>30-03-2026</t>
        </is>
      </c>
      <c r="H11101" t="inlineStr">
        <is>
          <t>30/03/2026</t>
        </is>
      </c>
      <c r="I11101" t="inlineStr">
        <is>
          <t>17/03/2026</t>
        </is>
      </c>
      <c r="J11101" t="inlineStr">
        <is>
          <t>Dịch vụ khách hàng, Ngân hàng, Bán hàng / Kinh doanh</t>
        </is>
      </c>
      <c r="K11101" t="inlineStr">
        <is>
          <t>1 - 2 Năm</t>
        </is>
      </c>
      <c r="L11101" s="8">
        <f>HYPERLINK("https://careerviet.vn/vi/tim-viec-lam/nhan-vien-quan-ly-don-hang.35C6C626.html","Xem chi tiết")</f>
        <v/>
      </c>
    </row>
    <row r="11102">
      <c r="B11102" s="9" t="n">
        <v>11100</v>
      </c>
      <c r="C11102" s="10" t="inlineStr">
        <is>
          <t>Trưởng Phòng Bảo Trì</t>
        </is>
      </c>
      <c r="D11102" s="10" t="inlineStr">
        <is>
          <t>Công ty Cổ phần Cơ khí Xây dựng Thương mại Đại Dũng</t>
        </is>
      </c>
      <c r="E11102" s="10" t="inlineStr">
        <is>
          <t>Lương:35 Tr - 40 Tr VND</t>
        </is>
      </c>
      <c r="F11102" s="10" t="inlineStr">
        <is>
          <t>Hồ Chí Minh</t>
        </is>
      </c>
      <c r="G11102" s="10" t="inlineStr">
        <is>
          <t>12-04-2026</t>
        </is>
      </c>
      <c r="H11102" s="10" t="inlineStr">
        <is>
          <t>12/04/2026</t>
        </is>
      </c>
      <c r="I11102" s="10" t="inlineStr">
        <is>
          <t>17/03/2026</t>
        </is>
      </c>
      <c r="J11102" s="10" t="inlineStr">
        <is>
          <t>Quản lý điều hành, Cơ khí / Ô tô / Tự động hóa, Điện / Điện tử / Điện lạnh / Điện công nghiệp</t>
        </is>
      </c>
      <c r="K11102" s="10" t="inlineStr">
        <is>
          <t>Trên 3 Năm</t>
        </is>
      </c>
      <c r="L11102" s="11">
        <f>HYPERLINK("https://careerviet.vn/vi/tim-viec-lam/truong-phong-bao-tri.35C6C874.html","Xem chi tiết")</f>
        <v/>
      </c>
      <c r="M11102" s="10" t="n"/>
    </row>
    <row r="11103">
      <c r="B11103" s="7" t="n">
        <v>11101</v>
      </c>
      <c r="C11103" t="inlineStr">
        <is>
          <t>Trưởng Phòng Đầu tư - CĐT Bất Động Sản</t>
        </is>
      </c>
      <c r="D11103" t="inlineStr">
        <is>
          <t>CÔNG TY CỔ PHẦN ĐẦU TƯ DANCO</t>
        </is>
      </c>
      <c r="E11103" t="inlineStr">
        <is>
          <t>Lương:35 Tr - 45 Tr VND</t>
        </is>
      </c>
      <c r="F11103" t="inlineStr">
        <is>
          <t>Hà Nội</t>
        </is>
      </c>
      <c r="G11103" t="inlineStr">
        <is>
          <t>04-06-2026</t>
        </is>
      </c>
      <c r="H11103" t="inlineStr">
        <is>
          <t>04/06/2026</t>
        </is>
      </c>
      <c r="I11103" t="inlineStr">
        <is>
          <t>17/03/2026</t>
        </is>
      </c>
      <c r="J11103" t="inlineStr">
        <is>
          <t>Tài chính / Đầu tư, Xây dựng, Bất động sản</t>
        </is>
      </c>
      <c r="K11103" t="inlineStr">
        <is>
          <t>5 - 7 Năm</t>
        </is>
      </c>
      <c r="L11103" s="8">
        <f>HYPERLINK("https://careerviet.vn/vi/tim-viec-lam/truong-phong-dau-tu-cdt-bat-dong-san.35C6C86F.html","Xem chi tiết")</f>
        <v/>
      </c>
    </row>
    <row r="11104">
      <c r="B11104" s="9" t="n">
        <v>11102</v>
      </c>
      <c r="C11104" s="10" t="inlineStr">
        <is>
          <t>Chuyên Viên Phân Tích Nghiệp Vụ (Business Analyst)</t>
        </is>
      </c>
      <c r="D11104" s="10" t="inlineStr">
        <is>
          <t>CÔNG TY CỔ PHẦN CHỨNG KHOÁN ASEAN</t>
        </is>
      </c>
      <c r="E11104" s="10" t="inlineStr">
        <is>
          <t>Lương:Cạnh tranh</t>
        </is>
      </c>
      <c r="F11104" s="10" t="inlineStr">
        <is>
          <t>Hà Nội</t>
        </is>
      </c>
      <c r="G11104" s="10" t="inlineStr">
        <is>
          <t>30-04-2026</t>
        </is>
      </c>
      <c r="H11104" s="10" t="inlineStr">
        <is>
          <t>30/04/2026</t>
        </is>
      </c>
      <c r="I11104" s="10" t="inlineStr">
        <is>
          <t>17/03/2026</t>
        </is>
      </c>
      <c r="J11104" s="10" t="inlineStr">
        <is>
          <t>Chứng khoán, Tài chính / Đầu tư, CNTT - Phần mềm</t>
        </is>
      </c>
      <c r="K11104" s="10" t="inlineStr">
        <is>
          <t>2 - 3 Năm</t>
        </is>
      </c>
      <c r="L11104" s="11">
        <f>HYPERLINK("https://careerviet.vn/vi/tim-viec-lam/chuyen-vien-phan-tich-nghiep-vu-business-analyst.35C6C877.html","Xem chi tiết")</f>
        <v/>
      </c>
      <c r="M11104" s="10" t="n"/>
    </row>
    <row r="11105">
      <c r="B11105" s="7" t="n">
        <v>11103</v>
      </c>
      <c r="C11105" t="inlineStr">
        <is>
          <t>Giám đốc kinh doanh khu vực (BĐS)</t>
        </is>
      </c>
      <c r="D11105" t="inlineStr">
        <is>
          <t>Bảo mật</t>
        </is>
      </c>
      <c r="E11105" t="inlineStr">
        <is>
          <t>Lương:40 Tr - 100 Tr VND</t>
        </is>
      </c>
      <c r="F11105" t="inlineStr">
        <is>
          <t>Hồ Chí Minh</t>
        </is>
      </c>
      <c r="G11105" t="inlineStr">
        <is>
          <t>30-04-2026</t>
        </is>
      </c>
      <c r="H11105" t="inlineStr">
        <is>
          <t>30/04/2026</t>
        </is>
      </c>
      <c r="I11105" t="inlineStr">
        <is>
          <t>17/03/2026</t>
        </is>
      </c>
      <c r="J11105" t="inlineStr">
        <is>
          <t>Bất động sản</t>
        </is>
      </c>
      <c r="K11105" t="inlineStr">
        <is>
          <t>3 - 5 Năm</t>
        </is>
      </c>
      <c r="L11105" s="8">
        <f>HYPERLINK("https://careerviet.vn/vi/tim-viec-lam/giam-doc-kinh-doanh-khu-vuc-bds.35C6C86E.html","Xem chi tiết")</f>
        <v/>
      </c>
    </row>
    <row r="11106">
      <c r="B11106" s="9" t="n">
        <v>11104</v>
      </c>
      <c r="C11106" s="10" t="inlineStr">
        <is>
          <t>Nhân Viên Bảo trì Cơ Khí</t>
        </is>
      </c>
      <c r="D11106" s="10" t="inlineStr">
        <is>
          <t>CHI NHÁNH CÔNG TY TNHH DAEYOUNG EP VINA TẠI BÀ RỊA - VŨNG TÀU</t>
        </is>
      </c>
      <c r="E11106" s="10" t="inlineStr">
        <is>
          <t>Lương:7 Tr - 12 Tr VND</t>
        </is>
      </c>
      <c r="F11106" s="10" t="inlineStr">
        <is>
          <t>Bà Rịa - Vũng Tàu</t>
        </is>
      </c>
      <c r="G11106" s="10" t="inlineStr">
        <is>
          <t>30-03-2026</t>
        </is>
      </c>
      <c r="H11106" s="10" t="inlineStr">
        <is>
          <t>30/03/2026</t>
        </is>
      </c>
      <c r="I11106" s="10" t="inlineStr">
        <is>
          <t>17/03/2026</t>
        </is>
      </c>
      <c r="J11106" s="10" t="inlineStr">
        <is>
          <t>Cơ khí / Ô tô / Tự động hóa, Bảo trì / Sửa chữa</t>
        </is>
      </c>
      <c r="K11106" s="10" t="inlineStr">
        <is>
          <t>Lên đến 2 Năm</t>
        </is>
      </c>
      <c r="L11106" s="11">
        <f>HYPERLINK("https://careerviet.vn/vi/tim-viec-lam/nhan-vien-bao-tri-co-khi.35C6C62C.html","Xem chi tiết")</f>
        <v/>
      </c>
      <c r="M11106" s="10" t="n"/>
    </row>
    <row r="11107">
      <c r="B11107" s="7" t="n">
        <v>11105</v>
      </c>
      <c r="C11107" t="inlineStr">
        <is>
          <t>Chuyên Viên/ CVCC Phát Triển Sản Phẩm (Product Owner/ Product Development)</t>
        </is>
      </c>
      <c r="D11107" t="inlineStr">
        <is>
          <t>CÔNG TY CỔ PHẦN CHỨNG KHOÁN ASEAN</t>
        </is>
      </c>
      <c r="E11107" t="inlineStr">
        <is>
          <t>Lương:Cạnh tranh</t>
        </is>
      </c>
      <c r="F11107" t="inlineStr">
        <is>
          <t>Hà Nội</t>
        </is>
      </c>
      <c r="G11107" t="inlineStr">
        <is>
          <t>30-04-2026</t>
        </is>
      </c>
      <c r="H11107" t="inlineStr">
        <is>
          <t>30/04/2026</t>
        </is>
      </c>
      <c r="I11107" t="inlineStr">
        <is>
          <t>17/03/2026</t>
        </is>
      </c>
      <c r="J11107" t="inlineStr">
        <is>
          <t>Ngân hàng, Chứng khoán, Tài chính / Đầu tư</t>
        </is>
      </c>
      <c r="K11107" t="inlineStr">
        <is>
          <t>3 - 4 Năm</t>
        </is>
      </c>
      <c r="L11107" s="8">
        <f>HYPERLINK("https://careerviet.vn/vi/tim-viec-lam/chuyen-vien-cvcc-phat-trien-san-pham-product-owner-product-development.35C6C87C.html","Xem chi tiết")</f>
        <v/>
      </c>
    </row>
    <row r="11108">
      <c r="B11108" s="9" t="n">
        <v>11106</v>
      </c>
      <c r="C11108" s="10" t="inlineStr">
        <is>
          <t>Chuyên Viên Kiểm Soát Nội Bộ</t>
        </is>
      </c>
      <c r="D11108" s="10" t="inlineStr">
        <is>
          <t>CÔNG TY CỔ PHẦN CHỨNG KHOÁN ASEAN</t>
        </is>
      </c>
      <c r="E11108" s="10" t="inlineStr">
        <is>
          <t>Lương:Cạnh tranh</t>
        </is>
      </c>
      <c r="F11108" s="10" t="inlineStr">
        <is>
          <t>Hà Nội</t>
        </is>
      </c>
      <c r="G11108" s="10" t="inlineStr">
        <is>
          <t>30-04-2026</t>
        </is>
      </c>
      <c r="H11108" s="10" t="inlineStr">
        <is>
          <t>30/04/2026</t>
        </is>
      </c>
      <c r="I11108" s="10" t="inlineStr">
        <is>
          <t>17/03/2026</t>
        </is>
      </c>
      <c r="J11108" s="10" t="inlineStr">
        <is>
          <t>Luật / Pháp lý, Kế toán / Kiểm toán, Chứng khoán</t>
        </is>
      </c>
      <c r="K11108" s="10" t="inlineStr">
        <is>
          <t>2 - 3 Năm</t>
        </is>
      </c>
      <c r="L11108" s="11">
        <f>HYPERLINK("https://careerviet.vn/vi/tim-viec-lam/chuyen-vien-kiem-soat-noi-bo.35C6C875.html","Xem chi tiết")</f>
        <v/>
      </c>
      <c r="M11108" s="10" t="n"/>
    </row>
    <row r="11109">
      <c r="B11109" s="7" t="n">
        <v>11107</v>
      </c>
      <c r="C11109" t="inlineStr">
        <is>
          <t>Chuyên Viên/ Chuyên Viên Cao Cấp Pháp Chế &amp; Tuân Thủ</t>
        </is>
      </c>
      <c r="D11109" t="inlineStr">
        <is>
          <t>CÔNG TY CỔ PHẦN CHỨNG KHOÁN ASEAN</t>
        </is>
      </c>
      <c r="E11109" t="inlineStr">
        <is>
          <t>Lương:Cạnh tranh</t>
        </is>
      </c>
      <c r="F11109" t="inlineStr">
        <is>
          <t>Hà Nội</t>
        </is>
      </c>
      <c r="G11109" t="inlineStr">
        <is>
          <t>30-04-2026</t>
        </is>
      </c>
      <c r="H11109" t="inlineStr">
        <is>
          <t>30/04/2026</t>
        </is>
      </c>
      <c r="I11109" t="inlineStr">
        <is>
          <t>17/03/2026</t>
        </is>
      </c>
      <c r="J11109" t="inlineStr">
        <is>
          <t>Luật / Pháp lý, Chứng khoán, Tài chính / Đầu tư</t>
        </is>
      </c>
      <c r="K11109" t="inlineStr">
        <is>
          <t>3 - 4 Năm</t>
        </is>
      </c>
      <c r="L11109" s="8">
        <f>HYPERLINK("https://careerviet.vn/vi/tim-viec-lam/chuyen-vien-chuyen-vien-cao-cap-phap-che-tuan-thu.35C6C870.html","Xem chi tiết")</f>
        <v/>
      </c>
    </row>
    <row r="11110">
      <c r="B11110" s="9" t="n">
        <v>11108</v>
      </c>
      <c r="C11110" s="10" t="inlineStr">
        <is>
          <t>Nhân viên Mua sắm</t>
        </is>
      </c>
      <c r="D11110" s="10" t="inlineStr">
        <is>
          <t>Công ty cổ phần Tập đoàn Tài Tâm (Tài Tâm Group)</t>
        </is>
      </c>
      <c r="E11110" s="10" t="inlineStr">
        <is>
          <t>Lương:12 Tr - 16 Tr VND</t>
        </is>
      </c>
      <c r="F11110" s="10" t="inlineStr">
        <is>
          <t>Hà Nội</t>
        </is>
      </c>
      <c r="G11110" s="10" t="inlineStr">
        <is>
          <t>14-04-2026</t>
        </is>
      </c>
      <c r="H11110" s="10" t="inlineStr">
        <is>
          <t>14/04/2026</t>
        </is>
      </c>
      <c r="I11110" s="10" t="inlineStr">
        <is>
          <t>17/03/2026</t>
        </is>
      </c>
      <c r="J11110" s="10" t="inlineStr">
        <is>
          <t>Thu mua / Vật tư, Bất động sản, Xây dựng</t>
        </is>
      </c>
      <c r="K11110" s="10" t="inlineStr">
        <is>
          <t>1 - 3 Năm</t>
        </is>
      </c>
      <c r="L11110" s="11">
        <f>HYPERLINK("https://careerviet.vn/vi/tim-viec-lam/nhan-vien-mua-sam.35C6C85F.html","Xem chi tiết")</f>
        <v/>
      </c>
      <c r="M11110" s="10" t="n"/>
    </row>
    <row r="11111">
      <c r="B11111" s="7" t="n">
        <v>11109</v>
      </c>
      <c r="C11111" t="inlineStr">
        <is>
          <t>Trưởng Phòng  Nghiên Cứu Phát Triển Thị Trường &amp; Đầu Tư</t>
        </is>
      </c>
      <c r="D11111" t="inlineStr">
        <is>
          <t>CÔNG TY CỔ PHẦN ĐẦU TƯ DANCO</t>
        </is>
      </c>
      <c r="E11111" t="inlineStr">
        <is>
          <t>Lương:40 Tr - 50 Tr VND</t>
        </is>
      </c>
      <c r="F11111" t="inlineStr">
        <is>
          <t>Hà Nội</t>
        </is>
      </c>
      <c r="G11111" t="inlineStr">
        <is>
          <t>30-05-2026</t>
        </is>
      </c>
      <c r="H11111" t="inlineStr">
        <is>
          <t>30/05/2026</t>
        </is>
      </c>
      <c r="I11111" t="inlineStr">
        <is>
          <t>17/03/2026</t>
        </is>
      </c>
      <c r="J11111" t="inlineStr">
        <is>
          <t>Bất động sản, Tài chính / Đầu tư, Xây dựng</t>
        </is>
      </c>
      <c r="K11111" t="inlineStr">
        <is>
          <t>3 - 5 Năm</t>
        </is>
      </c>
      <c r="L11111" s="8">
        <f>HYPERLINK("https://careerviet.vn/vi/tim-viec-lam/truong-phong-nghien-cuu-phat-trien-thi-truong-dau-tu.35C6C868.html","Xem chi tiết")</f>
        <v/>
      </c>
    </row>
    <row r="11112">
      <c r="B11112" s="9" t="n">
        <v>11110</v>
      </c>
      <c r="C11112" s="10" t="inlineStr">
        <is>
          <t>Phó Phòng HSE &amp; 5S</t>
        </is>
      </c>
      <c r="D11112" s="10" t="inlineStr">
        <is>
          <t>Công ty Cổ phần Cơ khí Xây dựng Thương mại Đại Dũng</t>
        </is>
      </c>
      <c r="E11112" s="10" t="inlineStr">
        <is>
          <t>Lương:28 Tr - 35 Tr VND</t>
        </is>
      </c>
      <c r="F11112" s="10" t="inlineStr">
        <is>
          <t>Hồ Chí Minh</t>
        </is>
      </c>
      <c r="G11112" s="10" t="inlineStr">
        <is>
          <t>12-04-2026</t>
        </is>
      </c>
      <c r="H11112" s="10" t="inlineStr">
        <is>
          <t>12/04/2026</t>
        </is>
      </c>
      <c r="I11112" s="10" t="inlineStr">
        <is>
          <t>17/03/2026</t>
        </is>
      </c>
      <c r="J11112" s="10" t="inlineStr">
        <is>
          <t>Cơ khí / Ô tô / Tự động hóa, Môi trường, An toàn lao động</t>
        </is>
      </c>
      <c r="K11112" s="10" t="inlineStr">
        <is>
          <t>Trên 3 Năm</t>
        </is>
      </c>
      <c r="L11112" s="11">
        <f>HYPERLINK("https://careerviet.vn/vi/tim-viec-lam/pho-phong-hse-5s.35C6C86D.html","Xem chi tiết")</f>
        <v/>
      </c>
      <c r="M11112" s="10" t="n"/>
    </row>
    <row r="11113">
      <c r="B11113" s="7" t="n">
        <v>11111</v>
      </c>
      <c r="C11113" t="inlineStr">
        <is>
          <t>Giám đốc quản trị rủi ro</t>
        </is>
      </c>
      <c r="D11113" t="inlineStr">
        <is>
          <t>CÔNG TY CỔ PHẦN CHỨNG KHOÁN ASEAN</t>
        </is>
      </c>
      <c r="E11113" t="inlineStr">
        <is>
          <t>Lương:Cạnh tranh</t>
        </is>
      </c>
      <c r="F11113" t="inlineStr">
        <is>
          <t>Hà Nội</t>
        </is>
      </c>
      <c r="G11113" t="inlineStr">
        <is>
          <t>30-04-2026</t>
        </is>
      </c>
      <c r="H11113" t="inlineStr">
        <is>
          <t>30/04/2026</t>
        </is>
      </c>
      <c r="I11113" t="inlineStr">
        <is>
          <t>17/03/2026</t>
        </is>
      </c>
      <c r="J11113" t="inlineStr">
        <is>
          <t>Chứng khoán, Tài chính / Đầu tư, Luật / Pháp lý</t>
        </is>
      </c>
      <c r="K11113" t="inlineStr">
        <is>
          <t>3 - 4 Năm</t>
        </is>
      </c>
      <c r="L11113" s="8">
        <f>HYPERLINK("https://careerviet.vn/vi/tim-viec-lam/giam-doc-quan-tri-rui-ro.35C6C865.html","Xem chi tiết")</f>
        <v/>
      </c>
    </row>
    <row r="11114">
      <c r="B11114" s="9" t="n">
        <v>11112</v>
      </c>
      <c r="C11114" s="10" t="inlineStr">
        <is>
          <t>Trưởng Bộ Phận Pháp Chế &amp; Tuân Thủ</t>
        </is>
      </c>
      <c r="D11114" s="10" t="inlineStr">
        <is>
          <t>CÔNG TY CỔ PHẦN CHỨNG KHOÁN ASEAN</t>
        </is>
      </c>
      <c r="E11114" s="10" t="inlineStr">
        <is>
          <t>Lương:Cạnh tranh</t>
        </is>
      </c>
      <c r="F11114" s="10" t="inlineStr">
        <is>
          <t>Hà Nội</t>
        </is>
      </c>
      <c r="G11114" s="10" t="inlineStr">
        <is>
          <t>30-04-2026</t>
        </is>
      </c>
      <c r="H11114" s="10" t="inlineStr">
        <is>
          <t>30/04/2026</t>
        </is>
      </c>
      <c r="I11114" s="10" t="inlineStr">
        <is>
          <t>17/03/2026</t>
        </is>
      </c>
      <c r="J11114" s="10" t="inlineStr">
        <is>
          <t>Luật / Pháp lý, Chứng khoán, Tài chính / Đầu tư</t>
        </is>
      </c>
      <c r="K11114" s="10" t="inlineStr">
        <is>
          <t>5 - 6 Năm</t>
        </is>
      </c>
      <c r="L11114" s="11">
        <f>HYPERLINK("https://careerviet.vn/vi/tim-viec-lam/truong-bo-phan-phap-che-tuan-thu.35C6C86B.html","Xem chi tiết")</f>
        <v/>
      </c>
      <c r="M11114" s="10" t="n"/>
    </row>
    <row r="11115">
      <c r="B11115" s="7" t="n">
        <v>11113</v>
      </c>
      <c r="C11115" t="inlineStr">
        <is>
          <t>Phó phòng Nhân sự (Quản trị hiệu suất &amp; Phát triển tổ chức)</t>
        </is>
      </c>
      <c r="D11115" t="inlineStr">
        <is>
          <t>Công ty CP IIG Việt Nam</t>
        </is>
      </c>
      <c r="E11115" t="inlineStr">
        <is>
          <t>Lương:Cạnh tranh</t>
        </is>
      </c>
      <c r="F11115" t="inlineStr">
        <is>
          <t>Hà Nội</t>
        </is>
      </c>
      <c r="G11115" t="inlineStr">
        <is>
          <t>30-04-2026</t>
        </is>
      </c>
      <c r="H11115" t="inlineStr">
        <is>
          <t>30/04/2026</t>
        </is>
      </c>
      <c r="I11115" t="inlineStr">
        <is>
          <t>17/03/2026</t>
        </is>
      </c>
      <c r="J11115" t="inlineStr">
        <is>
          <t>Nhân sự, Giáo dục / Đào tạo, Ngân hàng</t>
        </is>
      </c>
      <c r="K11115" t="inlineStr">
        <is>
          <t>3 - 5 Năm</t>
        </is>
      </c>
      <c r="L11115" s="8">
        <f>HYPERLINK("https://careerviet.vn/vi/tim-viec-lam/pho-phong-nhan-su-quan-tri-hieu-suat-phat-trien-to-chuc.35C6C86C.html","Xem chi tiết")</f>
        <v/>
      </c>
    </row>
    <row r="11116">
      <c r="B11116" s="9" t="n">
        <v>11114</v>
      </c>
      <c r="C11116" s="10" t="inlineStr">
        <is>
          <t>Chuyên Viên Content (12-15M)</t>
        </is>
      </c>
      <c r="D11116" s="10" t="inlineStr">
        <is>
          <t>CÔNG TY CỔ PHẦN VUA NỆM</t>
        </is>
      </c>
      <c r="E11116" s="10" t="inlineStr">
        <is>
          <t>Lương:12 Tr - 15 Tr VND</t>
        </is>
      </c>
      <c r="F11116" s="10" t="inlineStr">
        <is>
          <t>Hà Nội</t>
        </is>
      </c>
      <c r="G11116" s="10" t="inlineStr">
        <is>
          <t>11-04-2026</t>
        </is>
      </c>
      <c r="H11116" s="10" t="inlineStr">
        <is>
          <t>11/04/2026</t>
        </is>
      </c>
      <c r="I11116" s="10" t="inlineStr">
        <is>
          <t>17/03/2026</t>
        </is>
      </c>
      <c r="J11116" s="10" t="inlineStr">
        <is>
          <t>Tiếp thị / Marketing, Bán lẻ / Bán sỉ</t>
        </is>
      </c>
      <c r="K11116" s="10" t="inlineStr">
        <is>
          <t>2 - 3 Năm</t>
        </is>
      </c>
      <c r="L11116" s="11">
        <f>HYPERLINK("https://careerviet.vn/vi/tim-viec-lam/chuyen-vien-content-12-15m.35C6C85C.html","Xem chi tiết")</f>
        <v/>
      </c>
      <c r="M11116" s="10" t="n"/>
    </row>
    <row r="11117">
      <c r="B11117" s="7" t="n">
        <v>11115</v>
      </c>
      <c r="C11117" t="inlineStr">
        <is>
          <t>CVC/CVCC Phát triển kinh doanh sản phẩm số</t>
        </is>
      </c>
      <c r="D11117" t="inlineStr">
        <is>
          <t>CÔNG TY CỔ PHẦN CHỨNG KHOÁN ASEAN</t>
        </is>
      </c>
      <c r="E11117" t="inlineStr">
        <is>
          <t>Lương:Cạnh tranh</t>
        </is>
      </c>
      <c r="F11117" t="inlineStr">
        <is>
          <t>Hà Nội</t>
        </is>
      </c>
      <c r="G11117" t="inlineStr">
        <is>
          <t>30-04-2026</t>
        </is>
      </c>
      <c r="H11117" t="inlineStr">
        <is>
          <t>30/04/2026</t>
        </is>
      </c>
      <c r="I11117" t="inlineStr">
        <is>
          <t>17/03/2026</t>
        </is>
      </c>
      <c r="J11117" t="inlineStr">
        <is>
          <t>Tư vấn, Dịch vụ khách hàng, Chứng khoán</t>
        </is>
      </c>
      <c r="K11117" t="inlineStr">
        <is>
          <t>1 - 2 Năm</t>
        </is>
      </c>
      <c r="L11117" s="8">
        <f>HYPERLINK("https://careerviet.vn/vi/tim-viec-lam/cvc-cvcc-phat-trien-kinh-doanh-san-pham-so.35C6C85E.html","Xem chi tiết")</f>
        <v/>
      </c>
    </row>
    <row r="11118">
      <c r="B11118" s="9" t="n">
        <v>11116</v>
      </c>
      <c r="C11118" s="10" t="inlineStr">
        <is>
          <t>Thực Tập Sinh Kinh Doanh Số (Digital Business Intern)</t>
        </is>
      </c>
      <c r="D11118" s="10" t="inlineStr">
        <is>
          <t>CÔNG TY CỔ PHẦN CHỨNG KHOÁN ASEAN</t>
        </is>
      </c>
      <c r="E11118" s="10" t="inlineStr">
        <is>
          <t>Lương:Cạnh tranh</t>
        </is>
      </c>
      <c r="F11118" s="10" t="inlineStr">
        <is>
          <t>Hà Nội</t>
        </is>
      </c>
      <c r="G11118" s="10" t="inlineStr">
        <is>
          <t>30-04-2026</t>
        </is>
      </c>
      <c r="H11118" s="10" t="inlineStr">
        <is>
          <t>30/04/2026</t>
        </is>
      </c>
      <c r="I11118" s="10" t="inlineStr">
        <is>
          <t>17/03/2026</t>
        </is>
      </c>
      <c r="J11118" s="10" t="inlineStr">
        <is>
          <t>Tiếp thị / Marketing, Bán hàng / Kinh doanh, Tài chính / Đầu tư</t>
        </is>
      </c>
      <c r="K11118" s="10" t="inlineStr">
        <is>
          <t>N/A</t>
        </is>
      </c>
      <c r="L11118" s="11">
        <f>HYPERLINK("https://careerviet.vn/vi/tim-viec-lam/thuc-tap-sinh-kinh-doanh-so-digital-business-intern.35C6C861.html","Xem chi tiết")</f>
        <v/>
      </c>
      <c r="M11118" s="10" t="n"/>
    </row>
    <row r="11119">
      <c r="B11119" s="7" t="n">
        <v>11117</v>
      </c>
      <c r="C11119" t="inlineStr">
        <is>
          <t>TRƯỞNG PHÒNG KINH DOANH SỐ</t>
        </is>
      </c>
      <c r="D11119" t="inlineStr">
        <is>
          <t>CÔNG TY CỔ PHẦN CHỨNG KHOÁN ASEAN</t>
        </is>
      </c>
      <c r="E11119" t="inlineStr">
        <is>
          <t>Lương:Cạnh tranh</t>
        </is>
      </c>
      <c r="F11119" t="inlineStr">
        <is>
          <t>Hà Nội</t>
        </is>
      </c>
      <c r="G11119" t="inlineStr">
        <is>
          <t>30-04-2026</t>
        </is>
      </c>
      <c r="H11119" t="inlineStr">
        <is>
          <t>30/04/2026</t>
        </is>
      </c>
      <c r="I11119" t="inlineStr">
        <is>
          <t>17/03/2026</t>
        </is>
      </c>
      <c r="J11119" t="inlineStr">
        <is>
          <t>Bán hàng / Kinh doanh, Tài chính / Đầu tư, Chứng khoán</t>
        </is>
      </c>
      <c r="K11119" t="inlineStr">
        <is>
          <t>5 - 6 Năm</t>
        </is>
      </c>
      <c r="L11119" s="8">
        <f>HYPERLINK("https://careerviet.vn/vi/tim-viec-lam/truong-phong-kinh-doanh-so.35C6C85A.html","Xem chi tiết")</f>
        <v/>
      </c>
    </row>
    <row r="11120">
      <c r="B11120" s="9" t="n">
        <v>11118</v>
      </c>
      <c r="C11120" s="10" t="inlineStr">
        <is>
          <t>Leader Trade Marketing</t>
        </is>
      </c>
      <c r="D11120" s="10" t="inlineStr">
        <is>
          <t>Công ty TNHH Thương mại NTB Pharma New</t>
        </is>
      </c>
      <c r="E11120" s="10" t="inlineStr">
        <is>
          <t>Lương:12 Tr - 15 Tr VND</t>
        </is>
      </c>
      <c r="F11120" s="10" t="inlineStr">
        <is>
          <t>Hà Nội</t>
        </is>
      </c>
      <c r="G11120" s="10" t="inlineStr">
        <is>
          <t>13-04-2026</t>
        </is>
      </c>
      <c r="H11120" s="10" t="inlineStr">
        <is>
          <t>13/04/2026</t>
        </is>
      </c>
      <c r="I11120" s="10" t="inlineStr">
        <is>
          <t>17/03/2026</t>
        </is>
      </c>
      <c r="J11120" s="10" t="inlineStr">
        <is>
          <t>Tiếp thị / Marketing, Bán hàng / Kinh doanh, Dược phẩm/ Hóa Mỹ Phẩm</t>
        </is>
      </c>
      <c r="K11120" s="10" t="inlineStr">
        <is>
          <t>2 - 3 Năm</t>
        </is>
      </c>
      <c r="L11120" s="11">
        <f>HYPERLINK("https://careerviet.vn/vi/tim-viec-lam/leader-trade-marketing.35C6C7D7.html","Xem chi tiết")</f>
        <v/>
      </c>
      <c r="M11120" s="10" t="n"/>
    </row>
    <row r="11121">
      <c r="B11121" s="7" t="n">
        <v>11119</v>
      </c>
      <c r="C11121" t="inlineStr">
        <is>
          <t>DSM – Quản Lý Kinh Doanh Khu Vực OTC (Hà Nội)</t>
        </is>
      </c>
      <c r="D11121" t="inlineStr">
        <is>
          <t>Công ty TNHH Thương mại NTB Pharma New</t>
        </is>
      </c>
      <c r="E11121" t="inlineStr">
        <is>
          <t>Lương:Cạnh tranh</t>
        </is>
      </c>
      <c r="F11121" t="inlineStr">
        <is>
          <t>Hà Nội</t>
        </is>
      </c>
      <c r="G11121" t="inlineStr">
        <is>
          <t>13-04-2026</t>
        </is>
      </c>
      <c r="H11121" t="inlineStr">
        <is>
          <t>13/04/2026</t>
        </is>
      </c>
      <c r="I11121" t="inlineStr">
        <is>
          <t>17/03/2026</t>
        </is>
      </c>
      <c r="J11121" t="inlineStr">
        <is>
          <t>Bán hàng / Kinh doanh, Quản lý điều hành, Tiếp thị / Marketing</t>
        </is>
      </c>
      <c r="K11121" t="inlineStr">
        <is>
          <t>3 - 5 Năm</t>
        </is>
      </c>
      <c r="L11121" s="8">
        <f>HYPERLINK("https://careerviet.vn/vi/tim-viec-lam/dsm-quan-ly-kinh-doanh-khu-vuc-otc-ha-noi.35C6C7B4.html","Xem chi tiết")</f>
        <v/>
      </c>
    </row>
    <row r="11122">
      <c r="B11122" s="9" t="n">
        <v>11120</v>
      </c>
      <c r="C11122" s="10" t="inlineStr">
        <is>
          <t>Chuyên Viên Kinh Doanh Số</t>
        </is>
      </c>
      <c r="D11122" s="10" t="inlineStr">
        <is>
          <t>CÔNG TY CỔ PHẦN CHỨNG KHOÁN ASEAN</t>
        </is>
      </c>
      <c r="E11122" s="10" t="inlineStr">
        <is>
          <t>Lương:Cạnh tranh</t>
        </is>
      </c>
      <c r="F11122" s="10" t="inlineStr">
        <is>
          <t>Hà Nội</t>
        </is>
      </c>
      <c r="G11122" s="10" t="inlineStr">
        <is>
          <t>30-04-2026</t>
        </is>
      </c>
      <c r="H11122" s="10" t="inlineStr">
        <is>
          <t>30/04/2026</t>
        </is>
      </c>
      <c r="I11122" s="10" t="inlineStr">
        <is>
          <t>17/03/2026</t>
        </is>
      </c>
      <c r="J11122" s="10" t="inlineStr">
        <is>
          <t>Tư vấn, Dịch vụ khách hàng, Chứng khoán</t>
        </is>
      </c>
      <c r="K11122" s="10" t="inlineStr">
        <is>
          <t>1 - 2 Năm</t>
        </is>
      </c>
      <c r="L11122" s="11">
        <f>HYPERLINK("https://careerviet.vn/vi/tim-viec-lam/chuyen-vien-kinh-doanh-so.35C6C85D.html","Xem chi tiết")</f>
        <v/>
      </c>
      <c r="M11122" s="10" t="n"/>
    </row>
    <row r="11123">
      <c r="B11123" s="7" t="n">
        <v>11121</v>
      </c>
      <c r="C11123" t="inlineStr">
        <is>
          <t>Trình Dược Viên (TDV) – Kênh ETC</t>
        </is>
      </c>
      <c r="D11123" t="inlineStr">
        <is>
          <t>Công ty TNHH Thương mại NTB Pharma New</t>
        </is>
      </c>
      <c r="E11123" t="inlineStr">
        <is>
          <t>Lương:10 Tr - 20 Tr VND</t>
        </is>
      </c>
      <c r="F11123" t="inlineStr">
        <is>
          <t>Hà Nội</t>
        </is>
      </c>
      <c r="G11123" t="inlineStr">
        <is>
          <t>13-04-2026</t>
        </is>
      </c>
      <c r="H11123" t="inlineStr">
        <is>
          <t>13/04/2026</t>
        </is>
      </c>
      <c r="I11123" t="inlineStr">
        <is>
          <t>17/03/2026</t>
        </is>
      </c>
      <c r="J11123" t="inlineStr">
        <is>
          <t>Y tế / Chăm sóc sức khỏe / Thẩm mỹ / Làm đẹp, Bán hàng / Kinh doanh, Dược phẩm/ Hóa Mỹ Phẩm</t>
        </is>
      </c>
      <c r="K11123" t="inlineStr">
        <is>
          <t>N/A</t>
        </is>
      </c>
      <c r="L11123" s="8">
        <f>HYPERLINK("https://careerviet.vn/vi/tim-viec-lam/trinh-duoc-vien-tdv-kenh-etc.35C6C7CE.html","Xem chi tiết")</f>
        <v/>
      </c>
    </row>
    <row r="11124">
      <c r="B11124" s="9" t="n">
        <v>11122</v>
      </c>
      <c r="C11124" s="10" t="inlineStr">
        <is>
          <t>Academic Coach (Cố Vấn Học Tập)  - District 3</t>
        </is>
      </c>
      <c r="D11124" s="10" t="inlineStr">
        <is>
          <t>Wall Street English</t>
        </is>
      </c>
      <c r="E11124" s="10" t="inlineStr">
        <is>
          <t>Lương:10 Tr - 12 Tr VND</t>
        </is>
      </c>
      <c r="F11124" s="10" t="inlineStr">
        <is>
          <t>Hồ Chí Minh</t>
        </is>
      </c>
      <c r="G11124" s="10" t="inlineStr">
        <is>
          <t>13-04-2026</t>
        </is>
      </c>
      <c r="H11124" s="10" t="inlineStr">
        <is>
          <t>13/04/2026</t>
        </is>
      </c>
      <c r="I11124" s="10" t="inlineStr">
        <is>
          <t>17/03/2026</t>
        </is>
      </c>
      <c r="J11124" s="10" t="inlineStr">
        <is>
          <t>Tư vấn, Dịch vụ khách hàng, Giáo dục / Đào tạo</t>
        </is>
      </c>
      <c r="K11124" s="10" t="inlineStr">
        <is>
          <t>2 - 3 Năm</t>
        </is>
      </c>
      <c r="L11124" s="11">
        <f>HYPERLINK("https://careerviet.vn/vi/tim-viec-lam/academic-coach-co-van-hoc-tap-district-3.35C6C873.html","Xem chi tiết")</f>
        <v/>
      </c>
      <c r="M11124" s="10" t="n"/>
    </row>
    <row r="11125">
      <c r="B11125" s="7" t="n">
        <v>11123</v>
      </c>
      <c r="C11125" t="inlineStr">
        <is>
          <t>Kế Toán Bán Hàng – Thủ Quỹ</t>
        </is>
      </c>
      <c r="D11125" t="inlineStr">
        <is>
          <t>Công ty TNHH Thương mại NTB Pharma New</t>
        </is>
      </c>
      <c r="E11125" t="inlineStr">
        <is>
          <t>Lương:12 Tr - 15 Tr VND</t>
        </is>
      </c>
      <c r="F11125" t="inlineStr">
        <is>
          <t>Hà Nội</t>
        </is>
      </c>
      <c r="G11125" t="inlineStr">
        <is>
          <t>13-04-2026</t>
        </is>
      </c>
      <c r="H11125" t="inlineStr">
        <is>
          <t>13/04/2026</t>
        </is>
      </c>
      <c r="I11125" t="inlineStr">
        <is>
          <t>17/03/2026</t>
        </is>
      </c>
      <c r="J11125" t="inlineStr">
        <is>
          <t>Kế toán / Kiểm toán, Tài chính / Đầu tư, Hành chính / Thư ký</t>
        </is>
      </c>
      <c r="K11125" t="inlineStr">
        <is>
          <t>Trên 2 Năm</t>
        </is>
      </c>
      <c r="L11125" s="8">
        <f>HYPERLINK("https://careerviet.vn/vi/tim-viec-lam/ke-toan-ban-hang-thu-quy.35C6C7C6.html","Xem chi tiết")</f>
        <v/>
      </c>
    </row>
    <row r="11126">
      <c r="B11126" s="9" t="n">
        <v>11124</v>
      </c>
      <c r="C11126" s="10" t="inlineStr">
        <is>
          <t>Chuyên Viên Dịch Vụ Khách Hàng</t>
        </is>
      </c>
      <c r="D11126" s="10" t="inlineStr">
        <is>
          <t>CÔNG TY CỔ PHẦN CHỨNG KHOÁN ASEAN</t>
        </is>
      </c>
      <c r="E11126" s="10" t="inlineStr">
        <is>
          <t>Lương:Cạnh tranh</t>
        </is>
      </c>
      <c r="F11126" s="10" t="inlineStr">
        <is>
          <t>Hà Nội</t>
        </is>
      </c>
      <c r="G11126" s="10" t="inlineStr">
        <is>
          <t>30-04-2026</t>
        </is>
      </c>
      <c r="H11126" s="10" t="inlineStr">
        <is>
          <t>30/04/2026</t>
        </is>
      </c>
      <c r="I11126" s="10" t="inlineStr">
        <is>
          <t>17/03/2026</t>
        </is>
      </c>
      <c r="J11126" s="10" t="inlineStr">
        <is>
          <t>Dịch vụ khách hàng, Chứng khoán, Tài chính / Đầu tư</t>
        </is>
      </c>
      <c r="K11126" s="10" t="inlineStr">
        <is>
          <t>1 - 2 Năm</t>
        </is>
      </c>
      <c r="L11126" s="11">
        <f>HYPERLINK("https://careerviet.vn/vi/tim-viec-lam/chuyen-vien-dich-vu-khach-hang.35C6C851.html","Xem chi tiết")</f>
        <v/>
      </c>
      <c r="M11126" s="10" t="n"/>
    </row>
    <row r="11127">
      <c r="B11127" s="7" t="n">
        <v>11125</v>
      </c>
      <c r="C11127" t="inlineStr">
        <is>
          <t>Content Marketing</t>
        </is>
      </c>
      <c r="D11127" t="inlineStr">
        <is>
          <t>Công ty TNHH Thương mại NTB Pharma New</t>
        </is>
      </c>
      <c r="E11127" t="inlineStr">
        <is>
          <t>Lương:10 Tr - 15 Tr VND</t>
        </is>
      </c>
      <c r="F11127" t="inlineStr">
        <is>
          <t>Hà Nội</t>
        </is>
      </c>
      <c r="G11127" t="inlineStr">
        <is>
          <t>13-04-2026</t>
        </is>
      </c>
      <c r="H11127" t="inlineStr">
        <is>
          <t>13/04/2026</t>
        </is>
      </c>
      <c r="I11127" t="inlineStr">
        <is>
          <t>17/03/2026</t>
        </is>
      </c>
      <c r="J11127" t="inlineStr">
        <is>
          <t>Tiếp thị / Marketing, Quảng cáo / Đối ngoại / Truyền Thông, Dược phẩm/ Hóa Mỹ Phẩm</t>
        </is>
      </c>
      <c r="K11127" t="inlineStr">
        <is>
          <t>1 - 2 Năm</t>
        </is>
      </c>
      <c r="L11127" s="8">
        <f>HYPERLINK("https://careerviet.vn/vi/tim-viec-lam/content-marketing.35C6C7E2.html","Xem chi tiết")</f>
        <v/>
      </c>
    </row>
    <row r="11128">
      <c r="B11128" s="9" t="n">
        <v>11126</v>
      </c>
      <c r="C11128" s="10" t="inlineStr">
        <is>
          <t>Giám Đốc Chi Nhánh Hồ Chí Minh</t>
        </is>
      </c>
      <c r="D11128" s="10" t="inlineStr">
        <is>
          <t>CÔNG TY CỔ PHẦN CHỨNG KHOÁN ASEAN</t>
        </is>
      </c>
      <c r="E11128" s="10" t="inlineStr">
        <is>
          <t>Lương:Cạnh tranh</t>
        </is>
      </c>
      <c r="F11128" s="10" t="inlineStr">
        <is>
          <t>Hồ Chí Minh</t>
        </is>
      </c>
      <c r="G11128" s="10" t="inlineStr">
        <is>
          <t>30-04-2026</t>
        </is>
      </c>
      <c r="H11128" s="10" t="inlineStr">
        <is>
          <t>30/04/2026</t>
        </is>
      </c>
      <c r="I11128" s="10" t="inlineStr">
        <is>
          <t>17/03/2026</t>
        </is>
      </c>
      <c r="J11128" s="10" t="inlineStr">
        <is>
          <t>Chứng khoán, Tài chính / Đầu tư, Ngân hàng</t>
        </is>
      </c>
      <c r="K11128" s="10" t="inlineStr">
        <is>
          <t>5 - 6 Năm</t>
        </is>
      </c>
      <c r="L11128" s="11">
        <f>HYPERLINK("https://careerviet.vn/vi/tim-viec-lam/giam-doc-chi-nhanh-ho-chi-minh.35C6C857.html","Xem chi tiết")</f>
        <v/>
      </c>
      <c r="M11128" s="10" t="n"/>
    </row>
    <row r="11129">
      <c r="B11129" s="7" t="n">
        <v>11127</v>
      </c>
      <c r="C11129" t="inlineStr">
        <is>
          <t>Phó Tổng Giám Đốc</t>
        </is>
      </c>
      <c r="D11129" t="inlineStr">
        <is>
          <t>CÔNG TY CỔ PHẦN CHỨNG KHOÁN ASEAN</t>
        </is>
      </c>
      <c r="E11129" t="inlineStr">
        <is>
          <t>Lương:Cạnh tranh</t>
        </is>
      </c>
      <c r="F11129" t="inlineStr">
        <is>
          <t>Hà NộiHồ Chí Minh</t>
        </is>
      </c>
      <c r="G11129" t="inlineStr">
        <is>
          <t>30-04-2026</t>
        </is>
      </c>
      <c r="H11129" t="inlineStr">
        <is>
          <t>30/04/2026</t>
        </is>
      </c>
      <c r="I11129" t="inlineStr">
        <is>
          <t>17/03/2026</t>
        </is>
      </c>
      <c r="J11129" t="inlineStr">
        <is>
          <t>Ngân hàng, Chứng khoán, Tài chính / Đầu tư</t>
        </is>
      </c>
      <c r="K11129" t="inlineStr">
        <is>
          <t>7 - 8 Năm</t>
        </is>
      </c>
      <c r="L11129" s="8">
        <f>HYPERLINK("https://careerviet.vn/vi/tim-viec-lam/pho-tong-giam-doc.35C6C856.html","Xem chi tiết")</f>
        <v/>
      </c>
    </row>
    <row r="11130">
      <c r="B11130" s="9" t="n">
        <v>11128</v>
      </c>
      <c r="C11130" s="10" t="inlineStr">
        <is>
          <t>Nhân Viên Tuyển Dụng - Đào Tạo</t>
        </is>
      </c>
      <c r="D11130" s="10" t="inlineStr">
        <is>
          <t>Công ty TNHH Thương mại NTB Pharma New</t>
        </is>
      </c>
      <c r="E11130" s="10" t="inlineStr">
        <is>
          <t>Lương:12 Tr - 18 Tr VND</t>
        </is>
      </c>
      <c r="F11130" s="10" t="inlineStr">
        <is>
          <t>Hà Nội</t>
        </is>
      </c>
      <c r="G11130" s="10" t="inlineStr">
        <is>
          <t>13-04-2026</t>
        </is>
      </c>
      <c r="H11130" s="10" t="inlineStr">
        <is>
          <t>13/04/2026</t>
        </is>
      </c>
      <c r="I11130" s="10" t="inlineStr">
        <is>
          <t>17/03/2026</t>
        </is>
      </c>
      <c r="J11130" s="10" t="inlineStr">
        <is>
          <t>/Sản phẩm/Lĩnh vực/...) Ưu tiên 1: Đã có 2 - 3</t>
        </is>
      </c>
      <c r="K11130" s="10" t="inlineStr">
        <is>
          <t>2 - 3 Năm</t>
        </is>
      </c>
      <c r="L11130" s="11">
        <f>HYPERLINK("https://careerviet.vn/vi/tim-viec-lam/nhan-vien-tuyen-dung-dao-tao.35C6C7ED.html","Xem chi tiết")</f>
        <v/>
      </c>
      <c r="M11130" s="10" t="n"/>
    </row>
    <row r="11131">
      <c r="B11131" s="7" t="n">
        <v>11129</v>
      </c>
      <c r="C11131" t="inlineStr">
        <is>
          <t>Chuyên viên Nghiệp vụ chứng khoán</t>
        </is>
      </c>
      <c r="D11131" t="inlineStr">
        <is>
          <t>CÔNG TY CỔ PHẦN CHỨNG KHOÁN ASEAN</t>
        </is>
      </c>
      <c r="E11131" t="inlineStr">
        <is>
          <t>Lương:Cạnh tranh</t>
        </is>
      </c>
      <c r="F11131" t="inlineStr">
        <is>
          <t>Hà Nội</t>
        </is>
      </c>
      <c r="G11131" t="inlineStr">
        <is>
          <t>30-04-2026</t>
        </is>
      </c>
      <c r="H11131" t="inlineStr">
        <is>
          <t>30/04/2026</t>
        </is>
      </c>
      <c r="I11131" t="inlineStr">
        <is>
          <t>17/03/2026</t>
        </is>
      </c>
      <c r="J11131" t="inlineStr">
        <is>
          <t>Ngân hàng, Chứng khoán, Tài chính / Đầu tư</t>
        </is>
      </c>
      <c r="K11131" t="inlineStr">
        <is>
          <t>2 - 3 Năm</t>
        </is>
      </c>
      <c r="L11131" s="8">
        <f>HYPERLINK("https://careerviet.vn/vi/tim-viec-lam/chuyen-vien-nghiep-vu-chung-khoan.35C6C854.html","Xem chi tiết")</f>
        <v/>
      </c>
    </row>
    <row r="11132">
      <c r="B11132" s="9" t="n">
        <v>11130</v>
      </c>
      <c r="C11132" s="10" t="inlineStr">
        <is>
          <t>Costing team leader - Tính giá nội thất</t>
        </is>
      </c>
      <c r="D11132" s="10" t="inlineStr">
        <is>
          <t>Công Ty TNHH Interwood Việt Nam</t>
        </is>
      </c>
      <c r="E11132" s="10" t="inlineStr">
        <is>
          <t>Lương:Cạnh tranh</t>
        </is>
      </c>
      <c r="F11132" s="10" t="inlineStr">
        <is>
          <t>Bình Dương</t>
        </is>
      </c>
      <c r="G11132" s="10" t="inlineStr">
        <is>
          <t>16-04-2026</t>
        </is>
      </c>
      <c r="H11132" s="10" t="inlineStr">
        <is>
          <t>16/04/2026</t>
        </is>
      </c>
      <c r="I11132" s="10" t="inlineStr">
        <is>
          <t>17/03/2026</t>
        </is>
      </c>
      <c r="J11132" s="10" t="inlineStr">
        <is>
          <t>Đồ gỗ, Nội ngoại thất, Sản xuất / Vận hành sản xuất</t>
        </is>
      </c>
      <c r="K11132" s="10" t="inlineStr">
        <is>
          <t>4 - 10 Năm</t>
        </is>
      </c>
      <c r="L11132" s="11">
        <f>HYPERLINK("https://careerviet.vn/vi/tim-viec-lam/costing-team-leader-tinh-gia-noi-that.35C6C850.html","Xem chi tiết")</f>
        <v/>
      </c>
      <c r="M11132" s="10" t="n"/>
    </row>
    <row r="11133">
      <c r="B11133" s="7" t="n">
        <v>11131</v>
      </c>
      <c r="C11133" t="inlineStr">
        <is>
          <t>Chuyên viên Quản lý Quy trình Kinh doanh (Business Process Manager)</t>
        </is>
      </c>
      <c r="D11133" t="inlineStr">
        <is>
          <t>CÔNG TY CỔ PHẦN CHỨNG KHOÁN ASEAN</t>
        </is>
      </c>
      <c r="E11133" t="inlineStr">
        <is>
          <t>Lương:Cạnh tranh</t>
        </is>
      </c>
      <c r="F11133" t="inlineStr">
        <is>
          <t>Hà Nội</t>
        </is>
      </c>
      <c r="G11133" t="inlineStr">
        <is>
          <t>30-04-2026</t>
        </is>
      </c>
      <c r="H11133" t="inlineStr">
        <is>
          <t>30/04/2026</t>
        </is>
      </c>
      <c r="I11133" t="inlineStr">
        <is>
          <t>17/03/2026</t>
        </is>
      </c>
      <c r="J11133" t="inlineStr">
        <is>
          <t>Bán hàng / Kinh doanh, Quản lý điều hành, Chứng khoán</t>
        </is>
      </c>
      <c r="K11133" t="inlineStr">
        <is>
          <t>3 - 4 Năm</t>
        </is>
      </c>
      <c r="L11133" s="8">
        <f>HYPERLINK("https://careerviet.vn/vi/tim-viec-lam/chuyen-vien-quan-ly-quy-trinh-kinh-doanh-business-process-manager.35C6C84C.html","Xem chi tiết")</f>
        <v/>
      </c>
    </row>
    <row r="11134">
      <c r="B11134" s="9" t="n">
        <v>11132</v>
      </c>
      <c r="C11134" s="10" t="inlineStr">
        <is>
          <t>Nhân viên Hành chính đội xe</t>
        </is>
      </c>
      <c r="D11134" s="10" t="inlineStr">
        <is>
          <t>Công Ty Cổ Phần Eurowindow</t>
        </is>
      </c>
      <c r="E11134" s="10" t="inlineStr">
        <is>
          <t>Lương:Cạnh tranh</t>
        </is>
      </c>
      <c r="F11134" s="10" t="inlineStr">
        <is>
          <t>Bình Dương</t>
        </is>
      </c>
      <c r="G11134" s="10" t="inlineStr">
        <is>
          <t>29-04-2026</t>
        </is>
      </c>
      <c r="H11134" s="10" t="inlineStr">
        <is>
          <t>29/04/2026</t>
        </is>
      </c>
      <c r="I11134" s="10" t="inlineStr">
        <is>
          <t>17/03/2026</t>
        </is>
      </c>
      <c r="J11134" s="10" t="inlineStr">
        <is>
          <t>Hành chính / Thư ký, Quản lý điều hành, Sản xuất / Vận hành sản xuất</t>
        </is>
      </c>
      <c r="K11134" s="10" t="inlineStr">
        <is>
          <t>Lên đến 1 Năm</t>
        </is>
      </c>
      <c r="L11134" s="11">
        <f>HYPERLINK("https://careerviet.vn/vi/tim-viec-lam/nhan-vien-hanh-chinh-doi-xe.35C6C84F.html","Xem chi tiết")</f>
        <v/>
      </c>
      <c r="M11134" s="10" t="n"/>
    </row>
    <row r="11135">
      <c r="B11135" s="7" t="n">
        <v>11133</v>
      </c>
      <c r="C11135" t="inlineStr">
        <is>
          <t>Chuyên viên kiểm soát tín dụng khách hàng cá nhân - Hà Nội</t>
        </is>
      </c>
      <c r="D11135" t="inlineStr">
        <is>
          <t>Ngân hàng TMCP Đại Chúng Việt Nam - PVcomBank</t>
        </is>
      </c>
      <c r="E11135" t="inlineStr">
        <is>
          <t>Lương:Cạnh tranh</t>
        </is>
      </c>
      <c r="F11135" t="inlineStr">
        <is>
          <t>Hà Nội</t>
        </is>
      </c>
      <c r="G11135" t="inlineStr">
        <is>
          <t>14-04-2026</t>
        </is>
      </c>
      <c r="H11135" t="inlineStr">
        <is>
          <t>14/04/2026</t>
        </is>
      </c>
      <c r="I11135" t="inlineStr">
        <is>
          <t>17/03/2026</t>
        </is>
      </c>
      <c r="J11135" t="inlineStr">
        <is>
          <t>Ngân hàng, Bán hàng / Kinh doanh, Tài chính / Đầu tư</t>
        </is>
      </c>
      <c r="K11135" t="inlineStr">
        <is>
          <t>1 - 5 Năm</t>
        </is>
      </c>
      <c r="L11135" s="8">
        <f>HYPERLINK("https://careerviet.vn/vi/tim-viec-lam/chuyen-vien-kiem-soat-tin-dung-khach-hang-ca-nhan-ha-noi.35C6C84B.html","Xem chi tiết")</f>
        <v/>
      </c>
    </row>
    <row r="11136">
      <c r="B11136" s="9" t="n">
        <v>11134</v>
      </c>
      <c r="C11136" s="10" t="inlineStr">
        <is>
          <t>Chuyên viên Cải Tiến Và Số Hóa Quy Trình Nghiệp Vụ (Business Process Manager)</t>
        </is>
      </c>
      <c r="D11136" s="10" t="inlineStr">
        <is>
          <t>CÔNG TY CỔ PHẦN CHỨNG KHOÁN ASEAN</t>
        </is>
      </c>
      <c r="E11136" s="10" t="inlineStr">
        <is>
          <t>Lương:Cạnh tranh</t>
        </is>
      </c>
      <c r="F11136" s="10" t="inlineStr">
        <is>
          <t>Hà Nội</t>
        </is>
      </c>
      <c r="G11136" s="10" t="inlineStr">
        <is>
          <t>30-04-2026</t>
        </is>
      </c>
      <c r="H11136" s="10" t="inlineStr">
        <is>
          <t>30/04/2026</t>
        </is>
      </c>
      <c r="I11136" s="10" t="inlineStr">
        <is>
          <t>17/03/2026</t>
        </is>
      </c>
      <c r="J11136" s="10" t="inlineStr">
        <is>
          <t>Bán hàng / Kinh doanh, Quản lý điều hành, Chứng khoán</t>
        </is>
      </c>
      <c r="K11136" s="10" t="inlineStr">
        <is>
          <t>3 - 4 Năm</t>
        </is>
      </c>
      <c r="L11136" s="11">
        <f>HYPERLINK("https://careerviet.vn/vi/tim-viec-lam/chuyen-vien-cai-tien-va-so-hoa-quy-trinh-nghiep-vu-business-process-manager.35C6C84A.html","Xem chi tiết")</f>
        <v/>
      </c>
      <c r="M11136" s="10" t="n"/>
    </row>
    <row r="11137">
      <c r="B11137" s="7" t="n">
        <v>11135</v>
      </c>
      <c r="C11137" t="inlineStr">
        <is>
          <t>Nhân viên bán hàng thời trang (brand LYN, Fred Perry, Marimekko, Marithe)</t>
        </is>
      </c>
      <c r="D11137" t="inlineStr">
        <is>
          <t>CÔNG TY TNHH JPS FASHIONS (VIỆT NAM)</t>
        </is>
      </c>
      <c r="E11137" t="inlineStr">
        <is>
          <t>Lương:6 Tr - 7 Tr VND</t>
        </is>
      </c>
      <c r="F11137" t="inlineStr">
        <is>
          <t>Hồ Chí Minh</t>
        </is>
      </c>
      <c r="G11137" t="inlineStr">
        <is>
          <t>31-03-2026</t>
        </is>
      </c>
      <c r="H11137" t="inlineStr">
        <is>
          <t>31/03/2026</t>
        </is>
      </c>
      <c r="I11137" t="inlineStr">
        <is>
          <t>17/03/2026</t>
        </is>
      </c>
      <c r="J11137" t="inlineStr">
        <is>
          <t>Bán lẻ / Bán sỉ, Bán hàng / Kinh doanh, Tư vấn</t>
        </is>
      </c>
      <c r="K11137" t="inlineStr">
        <is>
          <t>Trên 1 Năm</t>
        </is>
      </c>
      <c r="L11137" s="8">
        <f>HYPERLINK("https://careerviet.vn/vi/tim-viec-lam/nhan-vien-ban-hang-thoi-trang-brand-lyn-fred-perry-marimekko-marithe.35C6C309.html","Xem chi tiết")</f>
        <v/>
      </c>
    </row>
    <row r="11138">
      <c r="B11138" s="9" t="n">
        <v>11136</v>
      </c>
      <c r="C11138" s="10" t="inlineStr">
        <is>
          <t>CVC/CVCC/Chuyên Gia Phân Tích Ngành &amp; Doanh Nghiệp</t>
        </is>
      </c>
      <c r="D11138" s="10" t="inlineStr">
        <is>
          <t>CÔNG TY CỔ PHẦN CHỨNG KHOÁN ASEAN</t>
        </is>
      </c>
      <c r="E11138" s="10" t="inlineStr">
        <is>
          <t>Lương:Cạnh tranh</t>
        </is>
      </c>
      <c r="F11138" s="10" t="inlineStr">
        <is>
          <t>Hà Nội</t>
        </is>
      </c>
      <c r="G11138" s="10" t="inlineStr">
        <is>
          <t>30-04-2026</t>
        </is>
      </c>
      <c r="H11138" s="10" t="inlineStr">
        <is>
          <t>30/04/2026</t>
        </is>
      </c>
      <c r="I11138" s="10" t="inlineStr">
        <is>
          <t>17/03/2026</t>
        </is>
      </c>
      <c r="J11138" s="10" t="inlineStr">
        <is>
          <t>Ngân hàng, Chứng khoán, Tài chính / Đầu tư</t>
        </is>
      </c>
      <c r="K11138" s="10" t="inlineStr">
        <is>
          <t>5 - 6 Năm</t>
        </is>
      </c>
      <c r="L11138" s="11">
        <f>HYPERLINK("https://careerviet.vn/vi/tim-viec-lam/cvc-cvcc-chuyen-gia-phan-tich-nganh-doanh-nghiep.35C6C83F.html","Xem chi tiết")</f>
        <v/>
      </c>
      <c r="M11138" s="10" t="n"/>
    </row>
    <row r="11139">
      <c r="B11139" s="7" t="n">
        <v>11137</v>
      </c>
      <c r="C11139" t="inlineStr">
        <is>
          <t>Chuyên viên cao cấp Chiến lược thị trường</t>
        </is>
      </c>
      <c r="D11139" t="inlineStr">
        <is>
          <t>CÔNG TY CỔ PHẦN CHỨNG KHOÁN ASEAN</t>
        </is>
      </c>
      <c r="E11139" t="inlineStr">
        <is>
          <t>Lương:Cạnh tranh</t>
        </is>
      </c>
      <c r="F11139" t="inlineStr">
        <is>
          <t>Hà Nội</t>
        </is>
      </c>
      <c r="G11139" t="inlineStr">
        <is>
          <t>30-04-2026</t>
        </is>
      </c>
      <c r="H11139" t="inlineStr">
        <is>
          <t>30/04/2026</t>
        </is>
      </c>
      <c r="I11139" t="inlineStr">
        <is>
          <t>17/03/2026</t>
        </is>
      </c>
      <c r="J11139" t="inlineStr">
        <is>
          <t>Ngân hàng, Chứng khoán, Tài chính / Đầu tư</t>
        </is>
      </c>
      <c r="K11139" t="inlineStr">
        <is>
          <t>4 - 5 Năm</t>
        </is>
      </c>
      <c r="L11139" s="8">
        <f>HYPERLINK("https://careerviet.vn/vi/tim-viec-lam/chuyen-vien-cao-cap-chien-luoc-thi-truong.35C6C843.html","Xem chi tiết")</f>
        <v/>
      </c>
    </row>
    <row r="11140">
      <c r="B11140" s="9" t="n">
        <v>11138</v>
      </c>
      <c r="C11140" s="10" t="inlineStr">
        <is>
          <t>Chuyên viên Phát triển dự án</t>
        </is>
      </c>
      <c r="D11140" s="10" t="inlineStr">
        <is>
          <t>TỔNG CÔNG TY CỔ PHẦN THƯƠNG MẠI XÂY DỰNG</t>
        </is>
      </c>
      <c r="E11140" s="10" t="inlineStr">
        <is>
          <t>Lương:Cạnh tranh</t>
        </is>
      </c>
      <c r="F11140" s="10" t="inlineStr">
        <is>
          <t>Hà Nội</t>
        </is>
      </c>
      <c r="G11140" s="10" t="inlineStr">
        <is>
          <t>13-04-2026</t>
        </is>
      </c>
      <c r="H11140" s="10" t="inlineStr">
        <is>
          <t>13/04/2026</t>
        </is>
      </c>
      <c r="I11140" s="10" t="inlineStr">
        <is>
          <t>17/03/2026</t>
        </is>
      </c>
      <c r="J11140" s="10" t="inlineStr">
        <is>
          <t>Xây dựng, Bất động sản, Kiến trúc</t>
        </is>
      </c>
      <c r="K11140" s="10" t="inlineStr">
        <is>
          <t>3 - 5 Năm</t>
        </is>
      </c>
      <c r="L11140" s="11">
        <f>HYPERLINK("https://careerviet.vn/vi/tim-viec-lam/chuyen-vien-phat-trien-du-an.35C6C842.html","Xem chi tiết")</f>
        <v/>
      </c>
      <c r="M11140" s="10" t="n"/>
    </row>
    <row r="11141">
      <c r="B11141" s="7" t="n">
        <v>11139</v>
      </c>
      <c r="C11141" t="inlineStr">
        <is>
          <t>THỰC TẬP SINH MARKETING</t>
        </is>
      </c>
      <c r="D11141" t="inlineStr">
        <is>
          <t>CÔNG TY CỔ PHẦN ĐẦU TƯ BẤT ĐỘNG SẢN LÊ VIN LAND</t>
        </is>
      </c>
      <c r="E11141" t="inlineStr">
        <is>
          <t>Lương:Cạnh tranh</t>
        </is>
      </c>
      <c r="F11141" t="inlineStr">
        <is>
          <t>Hồ Chí Minh</t>
        </is>
      </c>
      <c r="G11141" t="inlineStr">
        <is>
          <t>31-03-2026</t>
        </is>
      </c>
      <c r="H11141" t="inlineStr">
        <is>
          <t>31/03/2026</t>
        </is>
      </c>
      <c r="I11141" t="inlineStr">
        <is>
          <t>17/03/2026</t>
        </is>
      </c>
      <c r="J11141" t="inlineStr">
        <is>
          <t>Tiếp thị / Marketing, Tiếp thị trực tuyến, Bất động sản</t>
        </is>
      </c>
      <c r="K11141" t="inlineStr">
        <is>
          <t>N/A</t>
        </is>
      </c>
      <c r="L11141" s="8">
        <f>HYPERLINK("https://careerviet.vn/vi/tim-viec-lam/thuc-tap-sinh-marketing.35C6C837.html","Xem chi tiết")</f>
        <v/>
      </c>
    </row>
    <row r="11142">
      <c r="B11142" s="9" t="n">
        <v>11140</v>
      </c>
      <c r="C11142" s="10" t="inlineStr">
        <is>
          <t>Chuyên viên/CVCC Phân Tích Ngành (Ưu tiên Phân tích ngành Ngân Hàng/Chứng khoán/ BĐS)</t>
        </is>
      </c>
      <c r="D11142" s="10" t="inlineStr">
        <is>
          <t>CÔNG TY CỔ PHẦN CHỨNG KHOÁN ASEAN</t>
        </is>
      </c>
      <c r="E11142" s="10" t="inlineStr">
        <is>
          <t>Lương:Cạnh tranh</t>
        </is>
      </c>
      <c r="F11142" s="10" t="inlineStr">
        <is>
          <t>Hà Nội</t>
        </is>
      </c>
      <c r="G11142" s="10" t="inlineStr">
        <is>
          <t>30-04-2026</t>
        </is>
      </c>
      <c r="H11142" s="10" t="inlineStr">
        <is>
          <t>30/04/2026</t>
        </is>
      </c>
      <c r="I11142" s="10" t="inlineStr">
        <is>
          <t>17/03/2026</t>
        </is>
      </c>
      <c r="J11142" s="10" t="inlineStr">
        <is>
          <t>Ngân hàng, Chứng khoán, Tài chính / Đầu tư</t>
        </is>
      </c>
      <c r="K11142" s="10" t="inlineStr">
        <is>
          <t>3 - 4 Năm</t>
        </is>
      </c>
      <c r="L11142" s="11">
        <f>HYPERLINK("https://careerviet.vn/vi/tim-viec-lam/chuyen-vien-cvcc-phan-tich-nganh-uu-tien-phan-tich-nganh-ngan-hang-chung-khoan-bds.35C6C83C.html","Xem chi tiết")</f>
        <v/>
      </c>
      <c r="M11142" s="10" t="n"/>
    </row>
    <row r="11143">
      <c r="B11143" s="7" t="n">
        <v>11141</v>
      </c>
      <c r="C11143" t="inlineStr">
        <is>
          <t>Chuyên Viên/ CVCC Phân Tích Kỹ Thuật</t>
        </is>
      </c>
      <c r="D11143" t="inlineStr">
        <is>
          <t>CÔNG TY CỔ PHẦN CHỨNG KHOÁN ASEAN</t>
        </is>
      </c>
      <c r="E11143" t="inlineStr">
        <is>
          <t>Lương:Cạnh tranh</t>
        </is>
      </c>
      <c r="F11143" t="inlineStr">
        <is>
          <t>Hà Nội</t>
        </is>
      </c>
      <c r="G11143" t="inlineStr">
        <is>
          <t>30-04-2026</t>
        </is>
      </c>
      <c r="H11143" t="inlineStr">
        <is>
          <t>30/04/2026</t>
        </is>
      </c>
      <c r="I11143" t="inlineStr">
        <is>
          <t>17/03/2026</t>
        </is>
      </c>
      <c r="J11143" t="inlineStr">
        <is>
          <t>Chứng khoán, Tài chính / Đầu tư</t>
        </is>
      </c>
      <c r="K11143" t="inlineStr">
        <is>
          <t>4 - 5 Năm</t>
        </is>
      </c>
      <c r="L11143" s="8">
        <f>HYPERLINK("https://careerviet.vn/vi/tim-viec-lam/chuyen-vien-cvcc-phan-tich-ky-thuat.35C6C834.html","Xem chi tiết")</f>
        <v/>
      </c>
    </row>
    <row r="11144">
      <c r="B11144" s="9" t="n">
        <v>11142</v>
      </c>
      <c r="C11144" s="10" t="inlineStr">
        <is>
          <t>Chuyên viên cao cấp Phân tích Vĩ mô</t>
        </is>
      </c>
      <c r="D11144" s="10" t="inlineStr">
        <is>
          <t>CÔNG TY CỔ PHẦN CHỨNG KHOÁN ASEAN</t>
        </is>
      </c>
      <c r="E11144" s="10" t="inlineStr">
        <is>
          <t>Lương:Cạnh tranh</t>
        </is>
      </c>
      <c r="F11144" s="10" t="inlineStr">
        <is>
          <t>Hà Nội</t>
        </is>
      </c>
      <c r="G11144" s="10" t="inlineStr">
        <is>
          <t>30-04-2026</t>
        </is>
      </c>
      <c r="H11144" s="10" t="inlineStr">
        <is>
          <t>30/04/2026</t>
        </is>
      </c>
      <c r="I11144" s="10" t="inlineStr">
        <is>
          <t>17/03/2026</t>
        </is>
      </c>
      <c r="J11144" s="10" t="inlineStr">
        <is>
          <t>Ngân hàng, Chứng khoán, Tài chính / Đầu tư</t>
        </is>
      </c>
      <c r="K11144" s="10" t="inlineStr">
        <is>
          <t>4 - 5 Năm</t>
        </is>
      </c>
      <c r="L11144" s="11">
        <f>HYPERLINK("https://careerviet.vn/vi/tim-viec-lam/chuyen-vien-cao-cap-phan-tich-vi-mo.35C6C848.html","Xem chi tiết")</f>
        <v/>
      </c>
      <c r="M11144" s="10" t="n"/>
    </row>
    <row r="11145">
      <c r="B11145" s="7" t="n">
        <v>11143</v>
      </c>
      <c r="C11145" t="inlineStr">
        <is>
          <t>Kỹ Sư Giao Thông</t>
        </is>
      </c>
      <c r="D11145" t="inlineStr">
        <is>
          <t>CÔNG TY CỔ PHẦN TƯ VẤN XÂY DỰNG LONG KHANG</t>
        </is>
      </c>
      <c r="E11145" t="inlineStr">
        <is>
          <t>Lương:Cạnh tranh</t>
        </is>
      </c>
      <c r="F11145" t="inlineStr">
        <is>
          <t>Hồ Chí Minh</t>
        </is>
      </c>
      <c r="G11145" t="inlineStr">
        <is>
          <t>30-07-2026</t>
        </is>
      </c>
      <c r="H11145" t="inlineStr">
        <is>
          <t>30/07/2026</t>
        </is>
      </c>
      <c r="I11145" t="inlineStr">
        <is>
          <t>17/03/2026</t>
        </is>
      </c>
      <c r="J11145" t="inlineStr">
        <is>
          <t>Xây dựng</t>
        </is>
      </c>
      <c r="K11145" t="inlineStr">
        <is>
          <t>3 - 5 Năm</t>
        </is>
      </c>
      <c r="L11145" s="8">
        <f>HYPERLINK("https://careerviet.vn/vi/tim-viec-lam/ky-su-giao-thong.35C6C836.html","Xem chi tiết")</f>
        <v/>
      </c>
    </row>
    <row r="11146">
      <c r="B11146" s="9" t="n">
        <v>11144</v>
      </c>
      <c r="C11146" s="10" t="inlineStr">
        <is>
          <t>Data Engineer (Graduate/ Entry-Level)</t>
        </is>
      </c>
      <c r="D11146" s="10" t="inlineStr">
        <is>
          <t>CÔNG TY TNHH GALAXY DIGITAL HOLDINGS</t>
        </is>
      </c>
      <c r="E11146" s="10" t="inlineStr">
        <is>
          <t>Lương:Cạnh tranh</t>
        </is>
      </c>
      <c r="F11146" s="10" t="inlineStr">
        <is>
          <t>Hồ Chí Minh</t>
        </is>
      </c>
      <c r="G11146" s="10" t="inlineStr">
        <is>
          <t>14-04-2026</t>
        </is>
      </c>
      <c r="H11146" s="10" t="inlineStr">
        <is>
          <t>14/04/2026</t>
        </is>
      </c>
      <c r="I11146" s="10" t="inlineStr">
        <is>
          <t>17/03/2026</t>
        </is>
      </c>
      <c r="J11146" s="10" t="inlineStr">
        <is>
          <t>CNTT - Phần mềm, CNTT - Phần cứng / Mạng</t>
        </is>
      </c>
      <c r="K11146" s="10" t="inlineStr">
        <is>
          <t>Chưa có kinh nghiệm</t>
        </is>
      </c>
      <c r="L11146" s="11">
        <f>HYPERLINK("https://careerviet.vn/vi/tim-viec-lam/data-engineer-graduate-entry-level.35C6C82F.html","Xem chi tiết")</f>
        <v/>
      </c>
      <c r="M11146" s="10" t="n"/>
    </row>
    <row r="11147">
      <c r="B11147" s="7" t="n">
        <v>11145</v>
      </c>
      <c r="C11147" t="inlineStr">
        <is>
          <t>THỰC TẬP SINH KINH DOANH</t>
        </is>
      </c>
      <c r="D11147" t="inlineStr">
        <is>
          <t>CÔNG TY CỔ PHẦN ĐẦU TƯ BẤT ĐỘNG SẢN LÊ VIN LAND</t>
        </is>
      </c>
      <c r="E11147" t="inlineStr">
        <is>
          <t>Lương:Cạnh tranh</t>
        </is>
      </c>
      <c r="F11147" t="inlineStr">
        <is>
          <t>Hồ Chí Minh</t>
        </is>
      </c>
      <c r="G11147" t="inlineStr">
        <is>
          <t>31-03-2026</t>
        </is>
      </c>
      <c r="H11147" t="inlineStr">
        <is>
          <t>31/03/2026</t>
        </is>
      </c>
      <c r="I11147" t="inlineStr">
        <is>
          <t>17/03/2026</t>
        </is>
      </c>
      <c r="J11147" t="inlineStr">
        <is>
          <t>Tiếp thị / Marketing, Bán lẻ / Bán sỉ, Bán hàng / Kinh doanh</t>
        </is>
      </c>
      <c r="K11147" t="inlineStr">
        <is>
          <t>Không yêu cầu kinh nghiệm</t>
        </is>
      </c>
      <c r="L11147" s="8">
        <f>HYPERLINK("https://careerviet.vn/vi/tim-viec-lam/thuc-tap-sinh-kinh-doanh.35C6C840.html","Xem chi tiết")</f>
        <v/>
      </c>
    </row>
    <row r="11148">
      <c r="B11148" s="9" t="n">
        <v>11146</v>
      </c>
      <c r="C11148" s="10" t="inlineStr">
        <is>
          <t>Chuyên viên Quy hoạch</t>
        </is>
      </c>
      <c r="D11148" s="10" t="inlineStr">
        <is>
          <t>TỔNG CÔNG TY CỔ PHẦN THƯƠNG MẠI XÂY DỰNG</t>
        </is>
      </c>
      <c r="E11148" s="10" t="inlineStr">
        <is>
          <t>Lương:Cạnh tranh</t>
        </is>
      </c>
      <c r="F11148" s="10" t="inlineStr">
        <is>
          <t>Hà Nội</t>
        </is>
      </c>
      <c r="G11148" s="10" t="inlineStr">
        <is>
          <t>13-04-2026</t>
        </is>
      </c>
      <c r="H11148" s="10" t="inlineStr">
        <is>
          <t>13/04/2026</t>
        </is>
      </c>
      <c r="I11148" s="10" t="inlineStr">
        <is>
          <t>17/03/2026</t>
        </is>
      </c>
      <c r="J11148" s="10" t="inlineStr">
        <is>
          <t>Xây dựng, Bất động sản, Kiến trúc</t>
        </is>
      </c>
      <c r="K11148" s="10" t="inlineStr">
        <is>
          <t>3 - 5 Năm</t>
        </is>
      </c>
      <c r="L11148" s="11">
        <f>HYPERLINK("https://careerviet.vn/vi/tim-viec-lam/chuyen-vien-quy-hoach.35C6C82B.html","Xem chi tiết")</f>
        <v/>
      </c>
      <c r="M11148" s="10" t="n"/>
    </row>
    <row r="11149">
      <c r="B11149" s="7" t="n">
        <v>11147</v>
      </c>
      <c r="C11149" t="inlineStr">
        <is>
          <t>CHUYÊN VIÊN TRADE MARKETING</t>
        </is>
      </c>
      <c r="D11149" t="inlineStr">
        <is>
          <t>Công ty TNHH Chế biến thực phẩm Đông Đô</t>
        </is>
      </c>
      <c r="E11149" t="inlineStr">
        <is>
          <t>Lương:14 Tr - 16 Tr VND</t>
        </is>
      </c>
      <c r="F11149" t="inlineStr">
        <is>
          <t>Hà NộiHồ Chí Minh</t>
        </is>
      </c>
      <c r="G11149" t="inlineStr">
        <is>
          <t>20-04-2026</t>
        </is>
      </c>
      <c r="H11149" t="inlineStr">
        <is>
          <t>20/04/2026</t>
        </is>
      </c>
      <c r="I11149" t="inlineStr">
        <is>
          <t>17/03/2026</t>
        </is>
      </c>
      <c r="J11149" t="inlineStr">
        <is>
          <t>Tiếp thị / Marketing, Truyền hình / Báo chí / Biên tập, Thực phẩm &amp; Đồ uống</t>
        </is>
      </c>
      <c r="K11149" t="inlineStr">
        <is>
          <t>2 - 3 Năm</t>
        </is>
      </c>
      <c r="L11149" s="8">
        <f>HYPERLINK("https://careerviet.vn/vi/tim-viec-lam/chuyen-vien-trade-marketing.35C6C830.html","Xem chi tiết")</f>
        <v/>
      </c>
    </row>
    <row r="11150">
      <c r="B11150" s="9" t="n">
        <v>11148</v>
      </c>
      <c r="C11150" s="10" t="inlineStr">
        <is>
          <t>NHÂN VIÊN KẾ TOÁN (Làm việc tại Gia Lai)</t>
        </is>
      </c>
      <c r="D11150" s="10" t="inlineStr">
        <is>
          <t>Công ty CP Thành Thành Công - Biên Hòa</t>
        </is>
      </c>
      <c r="E11150" s="10" t="inlineStr">
        <is>
          <t>Lương:8 Tr - 10 Tr VND</t>
        </is>
      </c>
      <c r="F11150" s="10" t="inlineStr">
        <is>
          <t>Gia Lai</t>
        </is>
      </c>
      <c r="G11150" s="10" t="inlineStr">
        <is>
          <t>12-04-2026</t>
        </is>
      </c>
      <c r="H11150" s="10" t="inlineStr">
        <is>
          <t>12/04/2026</t>
        </is>
      </c>
      <c r="I11150" s="10" t="inlineStr">
        <is>
          <t>17/03/2026</t>
        </is>
      </c>
      <c r="J11150" s="10" t="inlineStr">
        <is>
          <t>Kế toán / Kiểm toán, Tài chính / Đầu tư</t>
        </is>
      </c>
      <c r="K11150" s="10" t="inlineStr">
        <is>
          <t>1 - 2 Năm</t>
        </is>
      </c>
      <c r="L11150" s="11">
        <f>HYPERLINK("https://careerviet.vn/vi/tim-viec-lam/nhan-vien-ke-toan-lam-viec-tai-gia-lai.35C6C832.html","Xem chi tiết")</f>
        <v/>
      </c>
      <c r="M11150" s="10" t="n"/>
    </row>
    <row r="11151">
      <c r="B11151" s="7" t="n">
        <v>11149</v>
      </c>
      <c r="C11151" t="inlineStr">
        <is>
          <t>Sales Admin</t>
        </is>
      </c>
      <c r="D11151" t="inlineStr">
        <is>
          <t>CÔNG TY TNHH HORA TECH VIỆT NAM</t>
        </is>
      </c>
      <c r="E11151" t="inlineStr">
        <is>
          <t>Lương:12 Tr - 25 Tr VND</t>
        </is>
      </c>
      <c r="F11151" t="inlineStr">
        <is>
          <t>Hồ Chí Minh</t>
        </is>
      </c>
      <c r="G11151" t="inlineStr">
        <is>
          <t>31-03-2026</t>
        </is>
      </c>
      <c r="H11151" t="inlineStr">
        <is>
          <t>31/03/2026</t>
        </is>
      </c>
      <c r="I11151" t="inlineStr">
        <is>
          <t>17/03/2026</t>
        </is>
      </c>
      <c r="J11151" t="inlineStr">
        <is>
          <t>Bán lẻ / Bán sỉ, Bán hàng / Kinh doanh, Tiếp thị / Marketing</t>
        </is>
      </c>
      <c r="K11151" t="inlineStr">
        <is>
          <t>1 - 2 Năm</t>
        </is>
      </c>
      <c r="L11151" s="8">
        <f>HYPERLINK("https://careerviet.vn/vi/tim-viec-lam/sales-admin.35C6C7E0.html","Xem chi tiết")</f>
        <v/>
      </c>
    </row>
    <row r="11152">
      <c r="B11152" s="9" t="n">
        <v>11150</v>
      </c>
      <c r="C11152" s="10" t="inlineStr">
        <is>
          <t>Chuyên viên/Chuyên viên cao cấp Quản Lý Dự Án CNTT</t>
        </is>
      </c>
      <c r="D11152" s="10" t="inlineStr">
        <is>
          <t>CÔNG TY CỔ PHẦN CHỨNG KHOÁN ASEAN</t>
        </is>
      </c>
      <c r="E11152" s="10" t="inlineStr">
        <is>
          <t>Lương:Cạnh tranh</t>
        </is>
      </c>
      <c r="F11152" s="10" t="inlineStr">
        <is>
          <t>Hà Nội</t>
        </is>
      </c>
      <c r="G11152" s="10" t="inlineStr">
        <is>
          <t>30-04-2026</t>
        </is>
      </c>
      <c r="H11152" s="10" t="inlineStr">
        <is>
          <t>30/04/2026</t>
        </is>
      </c>
      <c r="I11152" s="10" t="inlineStr">
        <is>
          <t>17/03/2026</t>
        </is>
      </c>
      <c r="J11152" s="10" t="inlineStr">
        <is>
          <t>Chứng khoán, Tài chính / Đầu tư, CNTT - Phần mềm</t>
        </is>
      </c>
      <c r="K11152" s="10" t="inlineStr">
        <is>
          <t>1 - 3 Năm</t>
        </is>
      </c>
      <c r="L11152" s="11">
        <f>HYPERLINK("https://careerviet.vn/vi/tim-viec-lam/chuyen-vien-chuyen-vien-cao-cap-quan-ly-du-an-cntt.35C6C7DA.html","Xem chi tiết")</f>
        <v/>
      </c>
      <c r="M11152" s="10" t="n"/>
    </row>
    <row r="11153">
      <c r="B11153" s="7" t="n">
        <v>11151</v>
      </c>
      <c r="C11153" t="inlineStr">
        <is>
          <t>KẾ TOÁN TỔNG HỢP HỌC VIỆC</t>
        </is>
      </c>
      <c r="D11153" t="inlineStr">
        <is>
          <t>CÔNG TY TNHH DV KẾ TOÁN THUẾ VÀ CULD QUANG HUY</t>
        </is>
      </c>
      <c r="E11153" t="inlineStr">
        <is>
          <t>Lương:5 Tr - 10 Tr VND</t>
        </is>
      </c>
      <c r="F11153" t="inlineStr">
        <is>
          <t>Hồ Chí Minh</t>
        </is>
      </c>
      <c r="G11153" t="inlineStr">
        <is>
          <t>13-04-2026</t>
        </is>
      </c>
      <c r="H11153" t="inlineStr">
        <is>
          <t>13/04/2026</t>
        </is>
      </c>
      <c r="I11153" t="inlineStr">
        <is>
          <t>17/03/2026</t>
        </is>
      </c>
      <c r="J11153" t="inlineStr">
        <is>
          <t>Kế toán / Kiểm toán, Luật / Pháp lý, Sản xuất / Vận hành sản xuất</t>
        </is>
      </c>
      <c r="K11153" t="inlineStr">
        <is>
          <t>N/A</t>
        </is>
      </c>
      <c r="L11153" s="8">
        <f>HYPERLINK("https://careerviet.vn/vi/tim-viec-lam/ke-toan-tong-hop-hoc-viec.35C6C839.html","Xem chi tiết")</f>
        <v/>
      </c>
    </row>
    <row r="11154">
      <c r="B11154" s="9" t="n">
        <v>11152</v>
      </c>
      <c r="C11154" s="10" t="inlineStr">
        <is>
          <t>Chuyên viên/ CVCC Quản trị mạng (IT Network)</t>
        </is>
      </c>
      <c r="D11154" s="10" t="inlineStr">
        <is>
          <t>CÔNG TY CỔ PHẦN CHỨNG KHOÁN ASEAN</t>
        </is>
      </c>
      <c r="E11154" s="10" t="inlineStr">
        <is>
          <t>Lương:Cạnh tranh</t>
        </is>
      </c>
      <c r="F11154" s="10" t="inlineStr">
        <is>
          <t>Hà Nội</t>
        </is>
      </c>
      <c r="G11154" s="10" t="inlineStr">
        <is>
          <t>30-04-2026</t>
        </is>
      </c>
      <c r="H11154" s="10" t="inlineStr">
        <is>
          <t>30/04/2026</t>
        </is>
      </c>
      <c r="I11154" s="10" t="inlineStr">
        <is>
          <t>17/03/2026</t>
        </is>
      </c>
      <c r="J11154" s="10" t="inlineStr">
        <is>
          <t>Tài chính / Đầu tư, CNTT - Phần mềm, CNTT - Phần cứng / Mạng</t>
        </is>
      </c>
      <c r="K11154" s="10" t="inlineStr">
        <is>
          <t>3 - 4 Năm</t>
        </is>
      </c>
      <c r="L11154" s="11">
        <f>HYPERLINK("https://careerviet.vn/vi/tim-viec-lam/chuyen-vien-cvcc-quan-tri-mang-it-network.35C6C7D6.html","Xem chi tiết")</f>
        <v/>
      </c>
      <c r="M11154" s="10" t="n"/>
    </row>
    <row r="11155">
      <c r="B11155" s="7" t="n">
        <v>11153</v>
      </c>
      <c r="C11155" t="inlineStr">
        <is>
          <t>Thực Tập sinh Kế Toán</t>
        </is>
      </c>
      <c r="D11155" t="inlineStr">
        <is>
          <t>CÔNG TY CỔ PHẦN ULTD THỊNH PHÁT</t>
        </is>
      </c>
      <c r="E11155" t="inlineStr">
        <is>
          <t>Lương:2,5 Tr - 2,5 Tr VND</t>
        </is>
      </c>
      <c r="F11155" t="inlineStr">
        <is>
          <t>Hà Nội</t>
        </is>
      </c>
      <c r="G11155" t="inlineStr">
        <is>
          <t>31-03-2026</t>
        </is>
      </c>
      <c r="H11155" t="inlineStr">
        <is>
          <t>31/03/2026</t>
        </is>
      </c>
      <c r="I11155" t="inlineStr">
        <is>
          <t>17/03/2026</t>
        </is>
      </c>
      <c r="J11155" t="inlineStr">
        <is>
          <t>Kế toán / Kiểm toán</t>
        </is>
      </c>
      <c r="K11155" t="inlineStr">
        <is>
          <t>N/A</t>
        </is>
      </c>
      <c r="L11155" s="8">
        <f>HYPERLINK("https://careerviet.vn/vi/tim-viec-lam/thuc-tap-sinh-ke-toan.35C6C7D1.html","Xem chi tiết")</f>
        <v/>
      </c>
    </row>
    <row r="11156">
      <c r="B11156" s="9" t="n">
        <v>11154</v>
      </c>
      <c r="C11156" s="10" t="inlineStr">
        <is>
          <t>Nhân Viên Shop Drawing (Hệ Thống Xử Lý Nước)</t>
        </is>
      </c>
      <c r="D11156" s="10" t="inlineStr">
        <is>
          <t>CÔNG TY TNHH CÔNG NGHỆ MÔI TRƯỜNG NÔNG LÂM</t>
        </is>
      </c>
      <c r="E11156" s="10" t="inlineStr">
        <is>
          <t>Lương:Cạnh tranh</t>
        </is>
      </c>
      <c r="F11156" s="10" t="inlineStr">
        <is>
          <t>Hồ Chí Minh</t>
        </is>
      </c>
      <c r="G11156" s="10" t="inlineStr">
        <is>
          <t>13-04-2026</t>
        </is>
      </c>
      <c r="H11156" s="10" t="inlineStr">
        <is>
          <t>13/04/2026</t>
        </is>
      </c>
      <c r="I11156" s="10" t="inlineStr">
        <is>
          <t>17/03/2026</t>
        </is>
      </c>
      <c r="J11156" s="10" t="inlineStr">
        <is>
          <t>Mỹ thuật / Nghệ thuật / Thiết kế, Môi trường, Kiến trúc</t>
        </is>
      </c>
      <c r="K11156" s="10" t="inlineStr">
        <is>
          <t>Trên 1 Năm</t>
        </is>
      </c>
      <c r="L11156" s="11">
        <f>HYPERLINK("https://careerviet.vn/vi/tim-viec-lam/nhan-vien-shop-drawing-he-thong-xu-ly-nuoc.35C6C798.html","Xem chi tiết")</f>
        <v/>
      </c>
      <c r="M11156" s="10" t="n"/>
    </row>
    <row r="11157">
      <c r="B11157" s="7" t="n">
        <v>11155</v>
      </c>
      <c r="C11157" t="inlineStr">
        <is>
          <t>Chuyên Viên Quản Trị Hệ Thống</t>
        </is>
      </c>
      <c r="D11157" t="inlineStr">
        <is>
          <t>CÔNG TY CỔ PHẦN CHỨNG KHOÁN ASEAN</t>
        </is>
      </c>
      <c r="E11157" t="inlineStr">
        <is>
          <t>Lương:Cạnh tranh</t>
        </is>
      </c>
      <c r="F11157" t="inlineStr">
        <is>
          <t>Hà Nội</t>
        </is>
      </c>
      <c r="G11157" t="inlineStr">
        <is>
          <t>30-04-2026</t>
        </is>
      </c>
      <c r="H11157" t="inlineStr">
        <is>
          <t>30/04/2026</t>
        </is>
      </c>
      <c r="I11157" t="inlineStr">
        <is>
          <t>17/03/2026</t>
        </is>
      </c>
      <c r="J11157" t="inlineStr">
        <is>
          <t>Bưu chính viễn thông, CNTT - Phần mềm, CNTT - Phần cứng / Mạng</t>
        </is>
      </c>
      <c r="K11157" t="inlineStr">
        <is>
          <t>2 - 3 Năm</t>
        </is>
      </c>
      <c r="L11157" s="8">
        <f>HYPERLINK("https://careerviet.vn/vi/tim-viec-lam/chuyen-vien-quan-tri-he-thong.35C6C7D4.html","Xem chi tiết")</f>
        <v/>
      </c>
    </row>
    <row r="11158">
      <c r="B11158" s="9" t="n">
        <v>11156</v>
      </c>
      <c r="C11158" s="10" t="inlineStr">
        <is>
          <t>Nhân Viên/Chuyên Viên/ Trợ lý Quản Lý Dự Án</t>
        </is>
      </c>
      <c r="D11158" s="10" t="inlineStr">
        <is>
          <t>CÔNG TY CỔ PHẦN CHỨNG KHOÁN ASEAN</t>
        </is>
      </c>
      <c r="E11158" s="10" t="inlineStr">
        <is>
          <t>Lương:Cạnh tranh</t>
        </is>
      </c>
      <c r="F11158" s="10" t="inlineStr">
        <is>
          <t>Hà Nội</t>
        </is>
      </c>
      <c r="G11158" s="10" t="inlineStr">
        <is>
          <t>30-04-2026</t>
        </is>
      </c>
      <c r="H11158" s="10" t="inlineStr">
        <is>
          <t>30/04/2026</t>
        </is>
      </c>
      <c r="I11158" s="10" t="inlineStr">
        <is>
          <t>17/03/2026</t>
        </is>
      </c>
      <c r="J11158" s="10" t="inlineStr">
        <is>
          <t>Tài chính / Đầu tư, CNTT - Phần mềm, CNTT - Phần cứng / Mạng</t>
        </is>
      </c>
      <c r="K11158" s="10" t="inlineStr">
        <is>
          <t>1 - 3 Năm</t>
        </is>
      </c>
      <c r="L11158" s="11">
        <f>HYPERLINK("https://careerviet.vn/vi/tim-viec-lam/nhan-vien-chuyen-vien-tro-ly-quan-ly-du-an.35C6C7DC.html","Xem chi tiết")</f>
        <v/>
      </c>
      <c r="M11158" s="10" t="n"/>
    </row>
    <row r="11159">
      <c r="B11159" s="7" t="n">
        <v>11157</v>
      </c>
      <c r="C11159" t="inlineStr">
        <is>
          <t>Chỉ Huy Trưởng/ Giám Sát Thi Công</t>
        </is>
      </c>
      <c r="D11159" t="inlineStr">
        <is>
          <t>CÔNG TY TNHH CÔNG NGHỆ MÔI TRƯỜNG NÔNG LÂM</t>
        </is>
      </c>
      <c r="E11159" t="inlineStr">
        <is>
          <t>Lương:Cạnh tranh</t>
        </is>
      </c>
      <c r="F11159" t="inlineStr">
        <is>
          <t>Hồ Chí Minh</t>
        </is>
      </c>
      <c r="G11159" t="inlineStr">
        <is>
          <t>13-04-2026</t>
        </is>
      </c>
      <c r="H11159" t="inlineStr">
        <is>
          <t>13/04/2026</t>
        </is>
      </c>
      <c r="I11159" t="inlineStr">
        <is>
          <t>17/03/2026</t>
        </is>
      </c>
      <c r="J11159" t="inlineStr">
        <is>
          <t>Quản lý điều hành, Xây dựng, Kiến trúc</t>
        </is>
      </c>
      <c r="K11159" t="inlineStr">
        <is>
          <t>N/A</t>
        </is>
      </c>
      <c r="L11159" s="8">
        <f>HYPERLINK("https://careerviet.vn/vi/tim-viec-lam/chi-huy-truong-giam-sat-thi-cong.35C6C791.html","Xem chi tiết")</f>
        <v/>
      </c>
    </row>
    <row r="11160">
      <c r="B11160" s="9" t="n">
        <v>11158</v>
      </c>
      <c r="C11160" s="10" t="inlineStr">
        <is>
          <t>Environment &amp; Sustainability Engineer</t>
        </is>
      </c>
      <c r="D11160" s="10" t="inlineStr">
        <is>
          <t>Công ty TNHH Kimberly Clark Việt Nam</t>
        </is>
      </c>
      <c r="E11160" s="10" t="inlineStr">
        <is>
          <t>Lương:25 Tr - 33 Tr VND</t>
        </is>
      </c>
      <c r="F11160" s="10" t="inlineStr">
        <is>
          <t>Bình Dương</t>
        </is>
      </c>
      <c r="G11160" s="10" t="inlineStr">
        <is>
          <t>12-04-2026</t>
        </is>
      </c>
      <c r="H11160" s="10" t="inlineStr">
        <is>
          <t>12/04/2026</t>
        </is>
      </c>
      <c r="I11160" s="10" t="inlineStr">
        <is>
          <t>17/03/2026</t>
        </is>
      </c>
      <c r="J11160" s="10" t="inlineStr">
        <is>
          <t>Môi trường, An toàn lao động</t>
        </is>
      </c>
      <c r="K11160" s="10" t="inlineStr">
        <is>
          <t>2 - 5 Năm</t>
        </is>
      </c>
      <c r="L11160" s="11">
        <f>HYPERLINK("https://careerviet.vn/vi/tim-viec-lam/environment-sustainability-engineer.35C6C7E1.html","Xem chi tiết")</f>
        <v/>
      </c>
      <c r="M11160" s="10" t="n"/>
    </row>
    <row r="11161">
      <c r="B11161" s="7" t="n">
        <v>11159</v>
      </c>
      <c r="C11161" t="inlineStr">
        <is>
          <t>Nhân viên kỹ thuật bảo trì</t>
        </is>
      </c>
      <c r="D11161" t="inlineStr">
        <is>
          <t>Wanek Furniture</t>
        </is>
      </c>
      <c r="E11161" t="inlineStr">
        <is>
          <t>Lương:Cạnh tranh</t>
        </is>
      </c>
      <c r="F11161" t="inlineStr">
        <is>
          <t>Bình Dương</t>
        </is>
      </c>
      <c r="G11161" t="inlineStr">
        <is>
          <t>13-04-2026</t>
        </is>
      </c>
      <c r="H11161" t="inlineStr">
        <is>
          <t>13/04/2026</t>
        </is>
      </c>
      <c r="I11161" t="inlineStr">
        <is>
          <t>17/03/2026</t>
        </is>
      </c>
      <c r="J11161" t="inlineStr">
        <is>
          <t>Điện / Điện tử / Điện lạnh / Điện công nghiệp, Bảo trì / Sửa chữa, Đồ gỗ</t>
        </is>
      </c>
      <c r="K11161" t="inlineStr">
        <is>
          <t>1 - 2 Năm</t>
        </is>
      </c>
      <c r="L11161" s="8">
        <f>HYPERLINK("https://careerviet.vn/vi/tim-viec-lam/nhan-vien-ky-thuat-bao-tri.35C6C7C3.html","Xem chi tiết")</f>
        <v/>
      </c>
    </row>
    <row r="11162">
      <c r="B11162" s="9" t="n">
        <v>11160</v>
      </c>
      <c r="C11162" s="10" t="inlineStr">
        <is>
          <t>Chuyên Viên/ CVCC Phân Tích Vĩ mô &amp; Thị trường</t>
        </is>
      </c>
      <c r="D11162" s="10" t="inlineStr">
        <is>
          <t>CÔNG TY CỔ PHẦN CHỨNG KHOÁN ASEAN</t>
        </is>
      </c>
      <c r="E11162" s="10" t="inlineStr">
        <is>
          <t>Lương:Cạnh tranh</t>
        </is>
      </c>
      <c r="F11162" s="10" t="inlineStr">
        <is>
          <t>Hà Nội</t>
        </is>
      </c>
      <c r="G11162" s="10" t="inlineStr">
        <is>
          <t>30-04-2026</t>
        </is>
      </c>
      <c r="H11162" s="10" t="inlineStr">
        <is>
          <t>30/04/2026</t>
        </is>
      </c>
      <c r="I11162" s="10" t="inlineStr">
        <is>
          <t>17/03/2026</t>
        </is>
      </c>
      <c r="J11162" s="10" t="inlineStr">
        <is>
          <t>Chứng khoán, Tài chính / Đầu tư, Ngân hàng</t>
        </is>
      </c>
      <c r="K11162" s="10" t="inlineStr">
        <is>
          <t>4 - 5 Năm</t>
        </is>
      </c>
      <c r="L11162" s="11">
        <f>HYPERLINK("https://careerviet.vn/vi/tim-viec-lam/chuyen-vien-cvcc-phan-tich-vi-mo-thi-truong.35C6C831.html","Xem chi tiết")</f>
        <v/>
      </c>
      <c r="M11162" s="10" t="n"/>
    </row>
    <row r="11163">
      <c r="B11163" s="7" t="n">
        <v>11161</v>
      </c>
      <c r="C11163" t="inlineStr">
        <is>
          <t>Giám Đốc Xưởng Nguyên Liệu Đặc Biệt</t>
        </is>
      </c>
      <c r="D11163" t="inlineStr">
        <is>
          <t>Công ty TNHH Worldon (Việt Nam)</t>
        </is>
      </c>
      <c r="E11163" t="inlineStr">
        <is>
          <t>Lương:Cạnh tranh</t>
        </is>
      </c>
      <c r="F11163" t="inlineStr">
        <is>
          <t>Hồ Chí Minh</t>
        </is>
      </c>
      <c r="G11163" t="inlineStr">
        <is>
          <t>1</t>
        </is>
      </c>
      <c r="H11163" t="inlineStr">
        <is>
          <t>18/03/2026</t>
        </is>
      </c>
      <c r="I11163" t="inlineStr">
        <is>
          <t>17/03/2026</t>
        </is>
      </c>
      <c r="J11163" t="inlineStr">
        <is>
          <t>Sản xuất / Vận hành sản xuất, Quản lý điều hành, Dệt may / Da giày / Thời trang</t>
        </is>
      </c>
      <c r="K11163" t="inlineStr">
        <is>
          <t>Trên 10 Năm</t>
        </is>
      </c>
      <c r="L11163" s="8">
        <f>HYPERLINK("https://careerviet.vn/vi/tim-viec-lam/giam-doc-xuong-nguyen-lieu-dac-biet.35C6C7B2.html","Xem chi tiết")</f>
        <v/>
      </c>
    </row>
    <row r="11164">
      <c r="B11164" s="9" t="n">
        <v>11162</v>
      </c>
      <c r="C11164" s="10" t="inlineStr">
        <is>
          <t>Chuyên viên Cao cấp Chính sách Rủi ro Tín dụng - Hội sở HCM</t>
        </is>
      </c>
      <c r="D11164" s="10" t="inlineStr">
        <is>
          <t>Ngân hàng TMCP Phát triển TP.HCM (HDBank)</t>
        </is>
      </c>
      <c r="E11164" s="10" t="inlineStr">
        <is>
          <t>Lương:20 Tr - 30 Tr VND</t>
        </is>
      </c>
      <c r="F11164" s="10" t="inlineStr">
        <is>
          <t>Hồ Chí Minh</t>
        </is>
      </c>
      <c r="G11164" s="10" t="inlineStr">
        <is>
          <t>30-04-2026</t>
        </is>
      </c>
      <c r="H11164" s="10" t="inlineStr">
        <is>
          <t>30/04/2026</t>
        </is>
      </c>
      <c r="I11164" s="10" t="inlineStr">
        <is>
          <t>17/03/2026</t>
        </is>
      </c>
      <c r="J11164" s="10" t="inlineStr">
        <is>
          <t>Luật / Pháp lý, Ngân hàng, Tài chính / Đầu tư</t>
        </is>
      </c>
      <c r="K11164" s="10" t="inlineStr">
        <is>
          <t>5 - 10 Năm</t>
        </is>
      </c>
      <c r="L11164" s="11">
        <f>HYPERLINK("https://careerviet.vn/vi/tim-viec-lam/chuyen-vien-cao-cap-chinh-sach-rui-ro-tin-dung-hoi-so-hcm.35C6C7C9.html","Xem chi tiết")</f>
        <v/>
      </c>
      <c r="M11164" s="10" t="n"/>
    </row>
    <row r="11165">
      <c r="B11165" s="7" t="n">
        <v>11163</v>
      </c>
      <c r="C11165" t="inlineStr">
        <is>
          <t>Kiến trúc sư chủ trì [Xhome Việt Nam]</t>
        </is>
      </c>
      <c r="D11165" t="inlineStr">
        <is>
          <t>Công ty CP XHOME Việt Nam</t>
        </is>
      </c>
      <c r="E11165" t="inlineStr">
        <is>
          <t>Lương:20 Tr - 35 Tr VND</t>
        </is>
      </c>
      <c r="F11165" t="inlineStr">
        <is>
          <t>Hà Nội</t>
        </is>
      </c>
      <c r="G11165" t="inlineStr">
        <is>
          <t>15-04-2026</t>
        </is>
      </c>
      <c r="H11165" t="inlineStr">
        <is>
          <t>15/04/2026</t>
        </is>
      </c>
      <c r="I11165" t="inlineStr">
        <is>
          <t>17/03/2026</t>
        </is>
      </c>
      <c r="J11165" t="inlineStr">
        <is>
          <t>Xây dựng, Nội ngoại thất</t>
        </is>
      </c>
      <c r="K11165" t="inlineStr">
        <is>
          <t>2 - 3 Năm</t>
        </is>
      </c>
      <c r="L11165" s="8">
        <f>HYPERLINK("https://careerviet.vn/vi/tim-viec-lam/kien-truc-su-chu-tri-xhome-viet-nam.35C6C7C1.html","Xem chi tiết")</f>
        <v/>
      </c>
    </row>
    <row r="11166">
      <c r="B11166" s="9" t="n">
        <v>11164</v>
      </c>
      <c r="C11166" s="10" t="inlineStr">
        <is>
          <t>Dược Sĩ Cho Phòng Khám Quốc Tế</t>
        </is>
      </c>
      <c r="D11166" s="10" t="inlineStr">
        <is>
          <t>CÔNG TY TNHH Y TẾ H PLUS</t>
        </is>
      </c>
      <c r="E11166" s="10" t="inlineStr">
        <is>
          <t>Lương:Cạnh tranh</t>
        </is>
      </c>
      <c r="F11166" s="10" t="inlineStr">
        <is>
          <t>Hà Nội</t>
        </is>
      </c>
      <c r="G11166" s="10" t="inlineStr">
        <is>
          <t>30-04-2026</t>
        </is>
      </c>
      <c r="H11166" s="10" t="inlineStr">
        <is>
          <t>30/04/2026</t>
        </is>
      </c>
      <c r="I11166" s="10" t="inlineStr">
        <is>
          <t>17/03/2026</t>
        </is>
      </c>
      <c r="J11166" s="10" t="inlineStr">
        <is>
          <t>Y tế / Chăm sóc sức khỏe / Thẩm mỹ / Làm đẹp, Tư vấn, Dịch vụ khách hàng</t>
        </is>
      </c>
      <c r="K11166" s="10" t="inlineStr">
        <is>
          <t>2 - 5 Năm</t>
        </is>
      </c>
      <c r="L11166" s="11">
        <f>HYPERLINK("https://careerviet.vn/vi/tim-viec-lam/duoc-si-cho-phong-kham-quoc-te.35C6C7A8.html","Xem chi tiết")</f>
        <v/>
      </c>
      <c r="M11166" s="10" t="n"/>
    </row>
    <row r="11167">
      <c r="B11167" s="7" t="n">
        <v>11165</v>
      </c>
      <c r="C11167" t="inlineStr">
        <is>
          <t>Trưởng Phòng Phát Triển Ứng Dụng</t>
        </is>
      </c>
      <c r="D11167" t="inlineStr">
        <is>
          <t>CÔNG TY CỔ PHẦN CHỨNG KHOÁN ASEAN</t>
        </is>
      </c>
      <c r="E11167" t="inlineStr">
        <is>
          <t>Lương:Cạnh tranh</t>
        </is>
      </c>
      <c r="F11167" t="inlineStr">
        <is>
          <t>Hà Nội</t>
        </is>
      </c>
      <c r="G11167" t="inlineStr">
        <is>
          <t>30-04-2026</t>
        </is>
      </c>
      <c r="H11167" t="inlineStr">
        <is>
          <t>30/04/2026</t>
        </is>
      </c>
      <c r="I11167" t="inlineStr">
        <is>
          <t>17/03/2026</t>
        </is>
      </c>
      <c r="J11167" t="inlineStr">
        <is>
          <t>Chứng khoán, Tài chính / Đầu tư, CNTT - Phần mềm</t>
        </is>
      </c>
      <c r="K11167" t="inlineStr">
        <is>
          <t>4 - 5 Năm</t>
        </is>
      </c>
      <c r="L11167" s="8">
        <f>HYPERLINK("https://careerviet.vn/vi/tim-viec-lam/truong-phong-phat-trien-ung-dung.35C6C7DF.html","Xem chi tiết")</f>
        <v/>
      </c>
    </row>
    <row r="11168">
      <c r="B11168" s="9" t="n">
        <v>11166</v>
      </c>
      <c r="C11168" s="10" t="inlineStr">
        <is>
          <t>Chuyên Viên/CVCC Bảo Mật Hệ Thống</t>
        </is>
      </c>
      <c r="D11168" s="10" t="inlineStr">
        <is>
          <t>CÔNG TY CỔ PHẦN CHỨNG KHOÁN ASEAN</t>
        </is>
      </c>
      <c r="E11168" s="10" t="inlineStr">
        <is>
          <t>Lương:Cạnh tranh</t>
        </is>
      </c>
      <c r="F11168" s="10" t="inlineStr">
        <is>
          <t>Hà Nội</t>
        </is>
      </c>
      <c r="G11168" s="10" t="inlineStr">
        <is>
          <t>30-04-2026</t>
        </is>
      </c>
      <c r="H11168" s="10" t="inlineStr">
        <is>
          <t>30/04/2026</t>
        </is>
      </c>
      <c r="I11168" s="10" t="inlineStr">
        <is>
          <t>17/03/2026</t>
        </is>
      </c>
      <c r="J11168" s="10" t="inlineStr">
        <is>
          <t>Bưu chính viễn thông, CNTT - Phần cứng / Mạng, CNTT - Phần mềm</t>
        </is>
      </c>
      <c r="K11168" s="10" t="inlineStr">
        <is>
          <t>3 - 4 Năm</t>
        </is>
      </c>
      <c r="L11168" s="11">
        <f>HYPERLINK("https://careerviet.vn/vi/tim-viec-lam/chuyen-vien-cvcc-bao-mat-he-thong.35C6C7CF.html","Xem chi tiết")</f>
        <v/>
      </c>
      <c r="M11168" s="10" t="n"/>
    </row>
    <row r="11169">
      <c r="B11169" s="7" t="n">
        <v>11167</v>
      </c>
      <c r="C11169" t="inlineStr">
        <is>
          <t>Nhân Viên Bảo Trì Cơ Khí</t>
        </is>
      </c>
      <c r="D11169" t="inlineStr">
        <is>
          <t>Công ty Cổ phần Tôn Đông Á</t>
        </is>
      </c>
      <c r="E11169" t="inlineStr">
        <is>
          <t>Lương:11 Tr - 15 Tr VND</t>
        </is>
      </c>
      <c r="F11169" t="inlineStr">
        <is>
          <t>Bình Dương</t>
        </is>
      </c>
      <c r="G11169" t="inlineStr">
        <is>
          <t>22-05-2026</t>
        </is>
      </c>
      <c r="H11169" t="inlineStr">
        <is>
          <t>22/05/2026</t>
        </is>
      </c>
      <c r="I11169" t="inlineStr">
        <is>
          <t>17/03/2026</t>
        </is>
      </c>
      <c r="J11169" t="inlineStr">
        <is>
          <t>Bảo trì / Sửa chữa, Cơ khí / Ô tô / Tự động hóa, Sản xuất / Vận hành sản xuất</t>
        </is>
      </c>
      <c r="K11169" t="inlineStr">
        <is>
          <t>1 - 2 Năm</t>
        </is>
      </c>
      <c r="L11169" s="8">
        <f>HYPERLINK("https://careerviet.vn/vi/tim-viec-lam/nhan-vien-bao-tri-co-khi.35C6C7BD.html","Xem chi tiết")</f>
        <v/>
      </c>
    </row>
    <row r="11170">
      <c r="B11170" s="9" t="n">
        <v>11168</v>
      </c>
      <c r="C11170" s="10" t="inlineStr">
        <is>
          <t>Trưởng bộ phận An ninh thông tin</t>
        </is>
      </c>
      <c r="D11170" s="10" t="inlineStr">
        <is>
          <t>CÔNG TY CỔ PHẦN CHỨNG KHOÁN ASEAN</t>
        </is>
      </c>
      <c r="E11170" s="10" t="inlineStr">
        <is>
          <t>Lương:Cạnh tranh</t>
        </is>
      </c>
      <c r="F11170" s="10" t="inlineStr">
        <is>
          <t>Hà Nội</t>
        </is>
      </c>
      <c r="G11170" s="10" t="inlineStr">
        <is>
          <t>30-04-2026</t>
        </is>
      </c>
      <c r="H11170" s="10" t="inlineStr">
        <is>
          <t>30/04/2026</t>
        </is>
      </c>
      <c r="I11170" s="10" t="inlineStr">
        <is>
          <t>17/03/2026</t>
        </is>
      </c>
      <c r="J11170" s="10" t="inlineStr">
        <is>
          <t>Chứng khoán, CNTT - Phần mềm, CNTT - Phần cứng / Mạng</t>
        </is>
      </c>
      <c r="K11170" s="10" t="inlineStr">
        <is>
          <t>5 - 10 Năm</t>
        </is>
      </c>
      <c r="L11170" s="11">
        <f>HYPERLINK("https://careerviet.vn/vi/tim-viec-lam/truong-bo-phan-an-ninh-thong-tin.35C6C7BF.html","Xem chi tiết")</f>
        <v/>
      </c>
      <c r="M11170" s="10" t="n"/>
    </row>
    <row r="11171">
      <c r="B11171" s="7" t="n">
        <v>11169</v>
      </c>
      <c r="C11171" t="inlineStr">
        <is>
          <t>Chuyên Viên Vận Hành Hệ Thống Công Nghệ Thông Tin</t>
        </is>
      </c>
      <c r="D11171" t="inlineStr">
        <is>
          <t>CÔNG TY CỔ PHẦN CHỨNG KHOÁN ASEAN</t>
        </is>
      </c>
      <c r="E11171" t="inlineStr">
        <is>
          <t>Lương:Cạnh tranh</t>
        </is>
      </c>
      <c r="F11171" t="inlineStr">
        <is>
          <t>Hà Nội</t>
        </is>
      </c>
      <c r="G11171" t="inlineStr">
        <is>
          <t>30-04-2026</t>
        </is>
      </c>
      <c r="H11171" t="inlineStr">
        <is>
          <t>30/04/2026</t>
        </is>
      </c>
      <c r="I11171" t="inlineStr">
        <is>
          <t>17/03/2026</t>
        </is>
      </c>
      <c r="J11171" t="inlineStr">
        <is>
          <t>Chứng khoán, CNTT - Phần cứng / Mạng, Tài chính / Đầu tư</t>
        </is>
      </c>
      <c r="K11171" t="inlineStr">
        <is>
          <t>2 - 5 Năm</t>
        </is>
      </c>
      <c r="L11171" s="8">
        <f>HYPERLINK("https://careerviet.vn/vi/tim-viec-lam/chuyen-vien-van-hanh-he-thong-cong-nghe-thong-tin.35C6C7C7.html","Xem chi tiết")</f>
        <v/>
      </c>
    </row>
    <row r="11172">
      <c r="B11172" s="9" t="n">
        <v>11170</v>
      </c>
      <c r="C11172" s="10" t="inlineStr">
        <is>
          <t>Chuyên viên Cao Cấp Cung ứng - Food</t>
        </is>
      </c>
      <c r="D11172" s="10" t="inlineStr">
        <is>
          <t>Nova Service Group - Công ty Cổ phần Tập đoàn Nova Services</t>
        </is>
      </c>
      <c r="E11172" s="10" t="inlineStr">
        <is>
          <t>Lương:Cạnh tranh</t>
        </is>
      </c>
      <c r="F11172" s="10" t="inlineStr">
        <is>
          <t>Hồ Chí Minh</t>
        </is>
      </c>
      <c r="G11172" s="10" t="inlineStr">
        <is>
          <t>22-04-2026</t>
        </is>
      </c>
      <c r="H11172" s="10" t="inlineStr">
        <is>
          <t>22/04/2026</t>
        </is>
      </c>
      <c r="I11172" s="10" t="inlineStr">
        <is>
          <t>17/03/2026</t>
        </is>
      </c>
      <c r="J11172" s="10" t="inlineStr">
        <is>
          <t>Thu mua / Vật tư</t>
        </is>
      </c>
      <c r="K11172" s="10" t="inlineStr">
        <is>
          <t>3 - 5 Năm</t>
        </is>
      </c>
      <c r="L11172" s="11">
        <f>HYPERLINK("https://careerviet.vn/vi/tim-viec-lam/chuyen-vien-cao-cap-cung-ung-food.35C6C7C4.html","Xem chi tiết")</f>
        <v/>
      </c>
      <c r="M11172" s="10" t="n"/>
    </row>
    <row r="11173">
      <c r="B11173" s="7" t="n">
        <v>11171</v>
      </c>
      <c r="C11173" t="inlineStr">
        <is>
          <t>Chuyên viên Quản lý danh mục sản phẩm ký quỹ (Margin)</t>
        </is>
      </c>
      <c r="D11173" t="inlineStr">
        <is>
          <t>Công ty TNHH Chứng khoán Ngân hàng TMCP Ngoại thương Việt Nam (VCBS - Vietcombank Securities)</t>
        </is>
      </c>
      <c r="E11173" t="inlineStr">
        <is>
          <t>Lương:Cạnh tranh</t>
        </is>
      </c>
      <c r="F11173" t="inlineStr">
        <is>
          <t>Hà Nội</t>
        </is>
      </c>
      <c r="G11173" t="inlineStr">
        <is>
          <t>29-04-2026</t>
        </is>
      </c>
      <c r="H11173" t="inlineStr">
        <is>
          <t>29/04/2026</t>
        </is>
      </c>
      <c r="I11173" t="inlineStr">
        <is>
          <t>17/03/2026</t>
        </is>
      </c>
      <c r="J11173" t="inlineStr">
        <is>
          <t>Quản lý điều hành, Chứng khoán</t>
        </is>
      </c>
      <c r="K11173" t="inlineStr">
        <is>
          <t>Trên 1 Năm</t>
        </is>
      </c>
      <c r="L11173" s="8">
        <f>HYPERLINK("https://careerviet.vn/vi/tim-viec-lam/chuyen-vien-quan-ly-danh-muc-san-pham-ky-quy-margin.35C6C7C2.html","Xem chi tiết")</f>
        <v/>
      </c>
    </row>
    <row r="11174">
      <c r="B11174" s="9" t="n">
        <v>11172</v>
      </c>
      <c r="C11174" s="10" t="inlineStr">
        <is>
          <t>Kế toán tổng hợp kiêm kế toán thuế</t>
        </is>
      </c>
      <c r="D11174" s="10" t="inlineStr">
        <is>
          <t>Công Ty Cổ Phần MC-Bifi Bauchemie</t>
        </is>
      </c>
      <c r="E11174" s="10" t="inlineStr">
        <is>
          <t>Lương:18 Tr - 23 Tr VND</t>
        </is>
      </c>
      <c r="F11174" s="10" t="inlineStr">
        <is>
          <t>Hà Nội</t>
        </is>
      </c>
      <c r="G11174" s="10" t="inlineStr">
        <is>
          <t>30-04-2026</t>
        </is>
      </c>
      <c r="H11174" s="10" t="inlineStr">
        <is>
          <t>30/04/2026</t>
        </is>
      </c>
      <c r="I11174" s="10" t="inlineStr">
        <is>
          <t>17/03/2026</t>
        </is>
      </c>
      <c r="J11174" s="10" t="inlineStr">
        <is>
          <t>Kế toán / Kiểm toán</t>
        </is>
      </c>
      <c r="K11174" s="10" t="inlineStr">
        <is>
          <t>Trên 5 Năm</t>
        </is>
      </c>
      <c r="L11174" s="11">
        <f>HYPERLINK("https://careerviet.vn/vi/tim-viec-lam/ke-toan-tong-hop-kiem-ke-toan-thue.35C6C7C5.html","Xem chi tiết")</f>
        <v/>
      </c>
      <c r="M11174" s="10" t="n"/>
    </row>
    <row r="11175">
      <c r="B11175" s="7" t="n">
        <v>11173</v>
      </c>
      <c r="C11175" t="inlineStr">
        <is>
          <t>Chuyên viên Vận hành An toàn Thông tin</t>
        </is>
      </c>
      <c r="D11175" t="inlineStr">
        <is>
          <t>CÔNG TY CỔ PHẦN CHỨNG KHOÁN ASEAN</t>
        </is>
      </c>
      <c r="E11175" t="inlineStr">
        <is>
          <t>Lương:Cạnh tranh</t>
        </is>
      </c>
      <c r="F11175" t="inlineStr">
        <is>
          <t>Hà Nội</t>
        </is>
      </c>
      <c r="G11175" t="inlineStr">
        <is>
          <t>30-04-2026</t>
        </is>
      </c>
      <c r="H11175" t="inlineStr">
        <is>
          <t>30/04/2026</t>
        </is>
      </c>
      <c r="I11175" t="inlineStr">
        <is>
          <t>17/03/2026</t>
        </is>
      </c>
      <c r="J11175" t="inlineStr">
        <is>
          <t>Chứng khoán, CNTT - Phần cứng / Mạng</t>
        </is>
      </c>
      <c r="K11175" t="inlineStr">
        <is>
          <t>3 - 4 Năm</t>
        </is>
      </c>
      <c r="L11175" s="8">
        <f>HYPERLINK("https://careerviet.vn/vi/tim-viec-lam/chuyen-vien-van-hanh-an-toan-thong-tin.35C6C7CB.html","Xem chi tiết")</f>
        <v/>
      </c>
    </row>
    <row r="11176">
      <c r="B11176" s="9" t="n">
        <v>11174</v>
      </c>
      <c r="C11176" s="10" t="inlineStr">
        <is>
          <t>Nhân viên kĩ thuật [Xhome Việt Nam]</t>
        </is>
      </c>
      <c r="D11176" s="10" t="inlineStr">
        <is>
          <t>Công ty CP XHOME Việt Nam</t>
        </is>
      </c>
      <c r="E11176" s="10" t="inlineStr">
        <is>
          <t>Lương:15 Tr - 20 Tr VND</t>
        </is>
      </c>
      <c r="F11176" s="10" t="inlineStr">
        <is>
          <t>Hà Nội</t>
        </is>
      </c>
      <c r="G11176" s="10" t="inlineStr">
        <is>
          <t>15-04-2026</t>
        </is>
      </c>
      <c r="H11176" s="10" t="inlineStr">
        <is>
          <t>15/04/2026</t>
        </is>
      </c>
      <c r="I11176" s="10" t="inlineStr">
        <is>
          <t>17/03/2026</t>
        </is>
      </c>
      <c r="J11176" s="10" t="inlineStr">
        <is>
          <t>Nội ngoại thất, Xây dựng</t>
        </is>
      </c>
      <c r="K11176" s="10" t="inlineStr">
        <is>
          <t>2 - 3 Năm</t>
        </is>
      </c>
      <c r="L11176" s="11">
        <f>HYPERLINK("https://careerviet.vn/vi/tim-viec-lam/nhan-vien-ki-thuat-xhome-viet-nam.35C6C7BA.html","Xem chi tiết")</f>
        <v/>
      </c>
      <c r="M11176" s="10" t="n"/>
    </row>
    <row r="11177">
      <c r="B11177" s="7" t="n">
        <v>11175</v>
      </c>
      <c r="C11177" t="inlineStr">
        <is>
          <t>Nhân Viên Xuất Nhập Khẩu</t>
        </is>
      </c>
      <c r="D11177" t="inlineStr">
        <is>
          <t>Công Ty TNHH Tập Đoàn Rita Võ</t>
        </is>
      </c>
      <c r="E11177" t="inlineStr">
        <is>
          <t>Lương:Cạnh tranh</t>
        </is>
      </c>
      <c r="F11177" t="inlineStr">
        <is>
          <t>Hồ Chí Minh</t>
        </is>
      </c>
      <c r="G11177" t="inlineStr">
        <is>
          <t>16-04-2026</t>
        </is>
      </c>
      <c r="H11177" t="inlineStr">
        <is>
          <t>16/04/2026</t>
        </is>
      </c>
      <c r="I11177" t="inlineStr">
        <is>
          <t>17/03/2026</t>
        </is>
      </c>
      <c r="J11177" t="inlineStr">
        <is>
          <t>Xuất nhập khẩu, Thu mua / Vật tư</t>
        </is>
      </c>
      <c r="K11177" t="inlineStr">
        <is>
          <t>2 - 3 Năm</t>
        </is>
      </c>
      <c r="L11177" s="8">
        <f>HYPERLINK("https://careerviet.vn/vi/tim-viec-lam/nhan-vien-xuat-nhap-khau.35C6C7BE.html","Xem chi tiết")</f>
        <v/>
      </c>
    </row>
    <row r="11178">
      <c r="B11178" s="9" t="n">
        <v>11176</v>
      </c>
      <c r="C11178" s="10" t="inlineStr">
        <is>
          <t>Thiết Lập Phần Mềm Pha Mầu Tự Động</t>
        </is>
      </c>
      <c r="D11178" s="10" t="inlineStr">
        <is>
          <t>CÔNG TY CỔ PHẦN ĐẦU TƯ VÀ PHÁT TRIỂN LUCKY HOUSE</t>
        </is>
      </c>
      <c r="E11178" s="10" t="inlineStr">
        <is>
          <t>Lương:12 Tr - 17 Tr VND</t>
        </is>
      </c>
      <c r="F11178" s="10" t="inlineStr">
        <is>
          <t>Hà Nội</t>
        </is>
      </c>
      <c r="G11178" s="10" t="inlineStr">
        <is>
          <t>13-04-2026</t>
        </is>
      </c>
      <c r="H11178" s="10" t="inlineStr">
        <is>
          <t>13/04/2026</t>
        </is>
      </c>
      <c r="I11178" s="10" t="inlineStr">
        <is>
          <t>17/03/2026</t>
        </is>
      </c>
      <c r="J11178" s="10" t="inlineStr">
        <is>
          <t>Cơ khí / Ô tô / Tự động hóa, Hóa học, CNTT - Phần mềm</t>
        </is>
      </c>
      <c r="K11178" s="10" t="inlineStr">
        <is>
          <t>2 - 3 Năm</t>
        </is>
      </c>
      <c r="L11178" s="11">
        <f>HYPERLINK("https://careerviet.vn/vi/tim-viec-lam/thiet-lap-phan-mem-pha-mau-tu-dong.35C6C788.html","Xem chi tiết")</f>
        <v/>
      </c>
      <c r="M11178" s="10" t="n"/>
    </row>
    <row r="11179">
      <c r="B11179" s="7" t="n">
        <v>11177</v>
      </c>
      <c r="C11179" t="inlineStr">
        <is>
          <t>Nhân Viên Sale Admin (Mảng Du lịch)</t>
        </is>
      </c>
      <c r="D11179" t="inlineStr">
        <is>
          <t>CÔNG TY CỔ PHẦN TẬP ĐOÀN ONSEN FUJI</t>
        </is>
      </c>
      <c r="E11179" t="inlineStr">
        <is>
          <t>Lương:Cạnh tranh</t>
        </is>
      </c>
      <c r="F11179" t="inlineStr">
        <is>
          <t>Hà Nội</t>
        </is>
      </c>
      <c r="G11179" t="inlineStr">
        <is>
          <t>13-04-2026</t>
        </is>
      </c>
      <c r="H11179" t="inlineStr">
        <is>
          <t>13/04/2026</t>
        </is>
      </c>
      <c r="I11179" t="inlineStr">
        <is>
          <t>17/03/2026</t>
        </is>
      </c>
      <c r="J11179" t="inlineStr">
        <is>
          <t>Bán hàng / Kinh doanh, Nhà hàng / Khách sạn</t>
        </is>
      </c>
      <c r="K11179" t="inlineStr">
        <is>
          <t>1 - 2 Năm</t>
        </is>
      </c>
      <c r="L11179" s="8">
        <f>HYPERLINK("https://careerviet.vn/vi/tim-viec-lam/nhan-vien-sale-admin-mang-du-lich.35C6C7A3.html","Xem chi tiết")</f>
        <v/>
      </c>
    </row>
    <row r="11180">
      <c r="B11180" s="9" t="n">
        <v>11178</v>
      </c>
      <c r="C11180" s="10" t="inlineStr">
        <is>
          <t>Chuyên viên Tư vấn tài chính doanh nghiệp</t>
        </is>
      </c>
      <c r="D11180" s="10" t="inlineStr">
        <is>
          <t>Công ty TNHH Chứng khoán Ngân hàng TMCP Ngoại thương Việt Nam (VCBS - Vietcombank Securities)</t>
        </is>
      </c>
      <c r="E11180" s="10" t="inlineStr">
        <is>
          <t>Lương:Cạnh tranh</t>
        </is>
      </c>
      <c r="F11180" s="10" t="inlineStr">
        <is>
          <t>Hà Nội</t>
        </is>
      </c>
      <c r="G11180" s="10" t="inlineStr">
        <is>
          <t>29-04-2026</t>
        </is>
      </c>
      <c r="H11180" s="10" t="inlineStr">
        <is>
          <t>29/04/2026</t>
        </is>
      </c>
      <c r="I11180" s="10" t="inlineStr">
        <is>
          <t>17/03/2026</t>
        </is>
      </c>
      <c r="J11180" s="10" t="inlineStr">
        <is>
          <t>Chứng khoán, Tài chính / Đầu tư</t>
        </is>
      </c>
      <c r="K11180" s="10" t="inlineStr">
        <is>
          <t>N/A</t>
        </is>
      </c>
      <c r="L11180" s="11">
        <f>HYPERLINK("https://careerviet.vn/vi/tim-viec-lam/chuyen-vien-tu-van-tai-chinh-doanh-nghiep.35C6C7BB.html","Xem chi tiết")</f>
        <v/>
      </c>
      <c r="M11180" s="10" t="n"/>
    </row>
    <row r="11181">
      <c r="B11181" s="7" t="n">
        <v>11179</v>
      </c>
      <c r="C11181" t="inlineStr">
        <is>
          <t>Trưởng/ Phó phòng An Toàn thông tin</t>
        </is>
      </c>
      <c r="D11181" t="inlineStr">
        <is>
          <t>CÔNG TY CỔ PHẦN CHỨNG KHOÁN ASEAN</t>
        </is>
      </c>
      <c r="E11181" t="inlineStr">
        <is>
          <t>Lương:Cạnh tranh</t>
        </is>
      </c>
      <c r="F11181" t="inlineStr">
        <is>
          <t>Hà Nội</t>
        </is>
      </c>
      <c r="G11181" t="inlineStr">
        <is>
          <t>30-04-2026</t>
        </is>
      </c>
      <c r="H11181" t="inlineStr">
        <is>
          <t>30/04/2026</t>
        </is>
      </c>
      <c r="I11181" t="inlineStr">
        <is>
          <t>17/03/2026</t>
        </is>
      </c>
      <c r="J11181" t="inlineStr">
        <is>
          <t>Chứng khoán, CNTT - Phần mềm, CNTT - Phần cứng / Mạng</t>
        </is>
      </c>
      <c r="K11181" t="inlineStr">
        <is>
          <t>5 - 10 Năm</t>
        </is>
      </c>
      <c r="L11181" s="8">
        <f>HYPERLINK("https://careerviet.vn/vi/tim-viec-lam/truong-pho-phong-an-toan-thong-tin.35C6C7B3.html","Xem chi tiết")</f>
        <v/>
      </c>
    </row>
    <row r="11182">
      <c r="B11182" s="9" t="n">
        <v>11180</v>
      </c>
      <c r="C11182" s="10" t="inlineStr">
        <is>
          <t>Kế toán Trưởng (Buôn Ma Thuột - Đắk Lắk)</t>
        </is>
      </c>
      <c r="D11182" s="10" t="inlineStr">
        <is>
          <t>Công Ty CP Liên Kết Quốc Tế INTERLINK (Trường Liên Kết Quốc Tế INschool &amp; Ngoại Ngữ Quốc Tế INS ENGLISH &amp; CHINESE)</t>
        </is>
      </c>
      <c r="E11182" s="10" t="inlineStr">
        <is>
          <t>Lương:Cạnh tranh</t>
        </is>
      </c>
      <c r="F11182" s="10" t="inlineStr">
        <is>
          <t>Dak Lak</t>
        </is>
      </c>
      <c r="G11182" s="10" t="inlineStr">
        <is>
          <t>12-04-2026</t>
        </is>
      </c>
      <c r="H11182" s="10" t="inlineStr">
        <is>
          <t>12/04/2026</t>
        </is>
      </c>
      <c r="I11182" s="10" t="inlineStr">
        <is>
          <t>17/03/2026</t>
        </is>
      </c>
      <c r="J11182" s="10" t="inlineStr">
        <is>
          <t>Quản lý điều hành, Kế toán / Kiểm toán, Tài chính / Đầu tư</t>
        </is>
      </c>
      <c r="K11182" s="10" t="inlineStr">
        <is>
          <t>3 - 4 Năm</t>
        </is>
      </c>
      <c r="L11182" s="11">
        <f>HYPERLINK("https://careerviet.vn/vi/tim-viec-lam/ke-toan-truong-buon-ma-thuot-dak-lak.35C6C7B1.html","Xem chi tiết")</f>
        <v/>
      </c>
      <c r="M11182" s="10" t="n"/>
    </row>
    <row r="11183">
      <c r="B11183" s="7" t="n">
        <v>11181</v>
      </c>
      <c r="C11183" t="inlineStr">
        <is>
          <t>Kế toán trưởng</t>
        </is>
      </c>
      <c r="D11183" t="inlineStr">
        <is>
          <t>Công ty Cổ phần Thiết kế và Quản lý Kỹ thuật IMP</t>
        </is>
      </c>
      <c r="E11183" t="inlineStr">
        <is>
          <t>Lương:25 Tr - 30 Tr VND</t>
        </is>
      </c>
      <c r="F11183" t="inlineStr">
        <is>
          <t>Bình Dương</t>
        </is>
      </c>
      <c r="G11183" t="inlineStr">
        <is>
          <t>13-04-2026</t>
        </is>
      </c>
      <c r="H11183" t="inlineStr">
        <is>
          <t>13/04/2026</t>
        </is>
      </c>
      <c r="I11183" t="inlineStr">
        <is>
          <t>17/03/2026</t>
        </is>
      </c>
      <c r="J11183" t="inlineStr">
        <is>
          <t>Kế toán / Kiểm toán, Xây dựng, Bất động sản</t>
        </is>
      </c>
      <c r="K11183" t="inlineStr">
        <is>
          <t>5 - 7 Năm</t>
        </is>
      </c>
      <c r="L11183" s="8">
        <f>HYPERLINK("https://careerviet.vn/vi/tim-viec-lam/ke-toan-truong.35C6C7A6.html","Xem chi tiết")</f>
        <v/>
      </c>
    </row>
    <row r="11184">
      <c r="B11184" s="9" t="n">
        <v>11182</v>
      </c>
      <c r="C11184" s="10" t="inlineStr">
        <is>
          <t>Chuyên viên Chính sách sản phẩm</t>
        </is>
      </c>
      <c r="D11184" s="10" t="inlineStr">
        <is>
          <t>Công ty TNHH Chứng khoán Ngân hàng TMCP Ngoại thương Việt Nam (VCBS - Vietcombank Securities)</t>
        </is>
      </c>
      <c r="E11184" s="10" t="inlineStr">
        <is>
          <t>Lương:Cạnh tranh</t>
        </is>
      </c>
      <c r="F11184" s="10" t="inlineStr">
        <is>
          <t>Hà Nội</t>
        </is>
      </c>
      <c r="G11184" s="10" t="inlineStr">
        <is>
          <t>29-04-2026</t>
        </is>
      </c>
      <c r="H11184" s="10" t="inlineStr">
        <is>
          <t>29/04/2026</t>
        </is>
      </c>
      <c r="I11184" s="10" t="inlineStr">
        <is>
          <t>17/03/2026</t>
        </is>
      </c>
      <c r="J11184" s="10" t="inlineStr">
        <is>
          <t>Quản lý điều hành, Chứng khoán</t>
        </is>
      </c>
      <c r="K11184" s="10" t="inlineStr">
        <is>
          <t>Trên 1 Năm</t>
        </is>
      </c>
      <c r="L11184" s="11">
        <f>HYPERLINK("https://careerviet.vn/vi/tim-viec-lam/chuyen-vien-chinh-sach-san-pham.35C6C7B9.html","Xem chi tiết")</f>
        <v/>
      </c>
      <c r="M11184" s="10" t="n"/>
    </row>
    <row r="11185">
      <c r="B11185" s="7" t="n">
        <v>11183</v>
      </c>
      <c r="C11185" t="inlineStr">
        <is>
          <t>Chuyên Viên Kế Toán Quản Trị &amp; Ngân Sách</t>
        </is>
      </c>
      <c r="D11185" t="inlineStr">
        <is>
          <t>CÔNG TY CỔ PHẦN CHỨNG KHOÁN ASEAN</t>
        </is>
      </c>
      <c r="E11185" t="inlineStr">
        <is>
          <t>Lương:Cạnh tranh</t>
        </is>
      </c>
      <c r="F11185" t="inlineStr">
        <is>
          <t>Hà Nội</t>
        </is>
      </c>
      <c r="G11185" t="inlineStr">
        <is>
          <t>30-04-2026</t>
        </is>
      </c>
      <c r="H11185" t="inlineStr">
        <is>
          <t>30/04/2026</t>
        </is>
      </c>
      <c r="I11185" t="inlineStr">
        <is>
          <t>17/03/2026</t>
        </is>
      </c>
      <c r="J11185" t="inlineStr">
        <is>
          <t>Kế toán / Kiểm toán, Chứng khoán, Tài chính / Đầu tư</t>
        </is>
      </c>
      <c r="K11185" t="inlineStr">
        <is>
          <t>3 - 6 Năm</t>
        </is>
      </c>
      <c r="L11185" s="8">
        <f>HYPERLINK("https://careerviet.vn/vi/tim-viec-lam/chuyen-vien-ke-toan-quan-tri-ngan-sach.35C6C7AA.html","Xem chi tiết")</f>
        <v/>
      </c>
    </row>
    <row r="11186">
      <c r="B11186" s="9" t="n">
        <v>11184</v>
      </c>
      <c r="C11186" s="10" t="inlineStr">
        <is>
          <t>Nhân viên bảo trì cơ điện</t>
        </is>
      </c>
      <c r="D11186" s="10" t="inlineStr">
        <is>
          <t>Unilever Vietnam International</t>
        </is>
      </c>
      <c r="E11186" s="10" t="inlineStr">
        <is>
          <t>Lương:9 Tr - 12 Tr VND</t>
        </is>
      </c>
      <c r="F11186" s="10" t="inlineStr">
        <is>
          <t>Hồ Chí Minh</t>
        </is>
      </c>
      <c r="G11186" s="10" t="inlineStr">
        <is>
          <t>05-04-2026</t>
        </is>
      </c>
      <c r="H11186" s="10" t="inlineStr">
        <is>
          <t>05/04/2026</t>
        </is>
      </c>
      <c r="I11186" s="10" t="inlineStr">
        <is>
          <t>17/03/2026</t>
        </is>
      </c>
      <c r="J11186" s="10" t="inlineStr">
        <is>
          <t>Bảo trì / Sửa chữa</t>
        </is>
      </c>
      <c r="K11186" s="10" t="inlineStr">
        <is>
          <t>1 - 2 Năm</t>
        </is>
      </c>
      <c r="L11186" s="11">
        <f>HYPERLINK("https://careerviet.vn/vi/tim-viec-lam/nhan-vien-bao-tri-co-dien.35C6C7AD.html","Xem chi tiết")</f>
        <v/>
      </c>
      <c r="M11186" s="10" t="n"/>
    </row>
    <row r="11187">
      <c r="B11187" s="7" t="n">
        <v>11185</v>
      </c>
      <c r="C11187" t="inlineStr">
        <is>
          <t>ACCOUNTANT/NHÂN VIÊN KẾ TOÁN</t>
        </is>
      </c>
      <c r="D11187" t="inlineStr">
        <is>
          <t>CÔNG TY TNHH NOBLAND VIỆT NAM</t>
        </is>
      </c>
      <c r="E11187" t="inlineStr">
        <is>
          <t>Lương:Trên 11 Tr VND</t>
        </is>
      </c>
      <c r="F11187" t="inlineStr">
        <is>
          <t>Hồ Chí Minh</t>
        </is>
      </c>
      <c r="G11187" t="inlineStr">
        <is>
          <t>30-04-2026</t>
        </is>
      </c>
      <c r="H11187" t="inlineStr">
        <is>
          <t>30/04/2026</t>
        </is>
      </c>
      <c r="I11187" t="inlineStr">
        <is>
          <t>17/03/2026</t>
        </is>
      </c>
      <c r="J11187" t="inlineStr">
        <is>
          <t>Kế toán / Kiểm toán, Sản xuất / Vận hành sản xuất, Dệt may / Da giày / Thời trang</t>
        </is>
      </c>
      <c r="K11187" t="inlineStr">
        <is>
          <t>1 - 5 Năm</t>
        </is>
      </c>
      <c r="L11187" s="8">
        <f>HYPERLINK("https://careerviet.vn/vi/tim-viec-lam/accountant-nhan-vien-ke-toan.35C6C7A4.html","Xem chi tiết")</f>
        <v/>
      </c>
    </row>
    <row r="11188">
      <c r="B11188" s="9" t="n">
        <v>11186</v>
      </c>
      <c r="C11188" s="10" t="inlineStr">
        <is>
          <t>Alternative Distribution Planning</t>
        </is>
      </c>
      <c r="D11188" s="10" t="inlineStr">
        <is>
          <t>Dai-ichi Life Việt Nam</t>
        </is>
      </c>
      <c r="E11188" s="10" t="inlineStr">
        <is>
          <t>Lương:Cạnh tranh</t>
        </is>
      </c>
      <c r="F11188" s="10" t="inlineStr">
        <is>
          <t>Hồ Chí Minh</t>
        </is>
      </c>
      <c r="G11188" s="10" t="inlineStr">
        <is>
          <t>11-04-2026</t>
        </is>
      </c>
      <c r="H11188" s="10" t="inlineStr">
        <is>
          <t>11/04/2026</t>
        </is>
      </c>
      <c r="I11188" s="10" t="inlineStr">
        <is>
          <t>17/03/2026</t>
        </is>
      </c>
      <c r="J11188" s="10" t="inlineStr">
        <is>
          <t>Bảo hiểm</t>
        </is>
      </c>
      <c r="K11188" s="10" t="inlineStr">
        <is>
          <t>2 - 4 Năm</t>
        </is>
      </c>
      <c r="L11188" s="11">
        <f>HYPERLINK("https://careerviet.vn/vi/tim-viec-lam/alternative-distribution-planning.35C6C7A2.html","Xem chi tiết")</f>
        <v/>
      </c>
      <c r="M11188" s="10" t="n"/>
    </row>
    <row r="11189">
      <c r="B11189" s="7" t="n">
        <v>11187</v>
      </c>
      <c r="C11189" t="inlineStr">
        <is>
          <t>Kỹ Sư Hóa</t>
        </is>
      </c>
      <c r="D11189" t="inlineStr">
        <is>
          <t>CÔNG TY CỔ PHẦN ĐẦU TƯ VÀ PHÁT TRIỂN LUCKY HOUSE</t>
        </is>
      </c>
      <c r="E11189" t="inlineStr">
        <is>
          <t>Lương:13 Tr - 17 Tr VND</t>
        </is>
      </c>
      <c r="F11189" t="inlineStr">
        <is>
          <t>Hà Nội</t>
        </is>
      </c>
      <c r="G11189" t="inlineStr">
        <is>
          <t>13-04-2026</t>
        </is>
      </c>
      <c r="H11189" t="inlineStr">
        <is>
          <t>13/04/2026</t>
        </is>
      </c>
      <c r="I11189" t="inlineStr">
        <is>
          <t>17/03/2026</t>
        </is>
      </c>
      <c r="J11189" t="inlineStr">
        <is>
          <t>Hóa học, Bán hàng / Kinh doanh, Xây dựng</t>
        </is>
      </c>
      <c r="K11189" t="inlineStr">
        <is>
          <t>2 - 3 Năm</t>
        </is>
      </c>
      <c r="L11189" s="8">
        <f>HYPERLINK("https://careerviet.vn/vi/tim-viec-lam/ky-su-hoa.35C6C786.html","Xem chi tiết")</f>
        <v/>
      </c>
    </row>
    <row r="11190">
      <c r="B11190" s="9" t="n">
        <v>11188</v>
      </c>
      <c r="C11190" s="10" t="inlineStr">
        <is>
          <t>Chuyên viên Theo dõi đơn hàng sản xuất</t>
        </is>
      </c>
      <c r="D11190" s="10" t="inlineStr">
        <is>
          <t>Công ty Cổ phần Thời Trang YODY</t>
        </is>
      </c>
      <c r="E11190" s="10" t="inlineStr">
        <is>
          <t>Lương:Cạnh tranh</t>
        </is>
      </c>
      <c r="F11190" s="10" t="inlineStr">
        <is>
          <t>Hải Dương</t>
        </is>
      </c>
      <c r="G11190" s="10" t="inlineStr">
        <is>
          <t>30-04-2026</t>
        </is>
      </c>
      <c r="H11190" s="10" t="inlineStr">
        <is>
          <t>30/04/2026</t>
        </is>
      </c>
      <c r="I11190" s="10" t="inlineStr">
        <is>
          <t>17/03/2026</t>
        </is>
      </c>
      <c r="J11190" s="10" t="inlineStr">
        <is>
          <t>Dệt may / Da giày / Thời trang, Sản xuất / Vận hành sản xuất</t>
        </is>
      </c>
      <c r="K11190" s="10" t="inlineStr">
        <is>
          <t>2 - 3 Năm</t>
        </is>
      </c>
      <c r="L11190" s="11">
        <f>HYPERLINK("https://careerviet.vn/vi/tim-viec-lam/chuyen-vien-theo-doi-don-hang-san-xuat.35C6C789.html","Xem chi tiết")</f>
        <v/>
      </c>
      <c r="M11190" s="10" t="n"/>
    </row>
    <row r="11191">
      <c r="B11191" s="7" t="n">
        <v>11189</v>
      </c>
      <c r="C11191" t="inlineStr">
        <is>
          <t>Nhân Viên Kỹ Thuật Toà Nhà</t>
        </is>
      </c>
      <c r="D11191" t="inlineStr">
        <is>
          <t>TẬP ĐOÀN ĐẦU TƯ KINH ĐÔ</t>
        </is>
      </c>
      <c r="E11191" t="inlineStr">
        <is>
          <t>Lương:7,5 Tr - 10 Tr VND</t>
        </is>
      </c>
      <c r="F11191" t="inlineStr">
        <is>
          <t>Hà Nội</t>
        </is>
      </c>
      <c r="G11191" t="inlineStr">
        <is>
          <t>31-03-2026</t>
        </is>
      </c>
      <c r="H11191" t="inlineStr">
        <is>
          <t>31/03/2026</t>
        </is>
      </c>
      <c r="I11191" t="inlineStr">
        <is>
          <t>17/03/2026</t>
        </is>
      </c>
      <c r="J11191" t="inlineStr">
        <is>
          <t>Cơ khí / Ô tô / Tự động hóa, Điện / Điện tử / Điện lạnh / Điện công nghiệp, Bảo trì / Sửa chữa</t>
        </is>
      </c>
      <c r="K11191" t="inlineStr">
        <is>
          <t>1 - 2 Năm</t>
        </is>
      </c>
      <c r="L11191" s="8">
        <f>HYPERLINK("https://careerviet.vn/vi/tim-viec-lam/nhan-vien-ky-thuat-toa-nha.35C6C78F.html","Xem chi tiết")</f>
        <v/>
      </c>
    </row>
    <row r="11192">
      <c r="B11192" s="9" t="n">
        <v>11190</v>
      </c>
      <c r="C11192" s="10" t="inlineStr">
        <is>
          <t>Giám đốc công nghệ thông tin</t>
        </is>
      </c>
      <c r="D11192" s="10" t="inlineStr">
        <is>
          <t>BỆNH VIỆN ĐA KHOA PHƯƠNG NAM</t>
        </is>
      </c>
      <c r="E11192" s="10" t="inlineStr">
        <is>
          <t>Lương:Cạnh tranh</t>
        </is>
      </c>
      <c r="F11192" s="10" t="inlineStr">
        <is>
          <t>Hồ Chí Minh</t>
        </is>
      </c>
      <c r="G11192" s="10" t="inlineStr">
        <is>
          <t>30-04-2026</t>
        </is>
      </c>
      <c r="H11192" s="10" t="inlineStr">
        <is>
          <t>30/04/2026</t>
        </is>
      </c>
      <c r="I11192" s="10" t="inlineStr">
        <is>
          <t>17/03/2026</t>
        </is>
      </c>
      <c r="J11192" s="10" t="inlineStr">
        <is>
          <t>Y tế / Chăm sóc sức khỏe / Thẩm mỹ / Làm đẹp, CNTT - Phần mềm, CNTT - Phần cứng / Mạng</t>
        </is>
      </c>
      <c r="K11192" s="10" t="inlineStr">
        <is>
          <t>2 - 3 Năm</t>
        </is>
      </c>
      <c r="L11192" s="11">
        <f>HYPERLINK("https://careerviet.vn/vi/tim-viec-lam/giam-doc-cong-nghe-thong-tin.35C6C78D.html","Xem chi tiết")</f>
        <v/>
      </c>
      <c r="M11192" s="10" t="n"/>
    </row>
    <row r="11193">
      <c r="B11193" s="7" t="n">
        <v>11191</v>
      </c>
      <c r="C11193" t="inlineStr">
        <is>
          <t>TỔ TRƯỞNG QC (THỰC PHẨM)</t>
        </is>
      </c>
      <c r="D11193" t="inlineStr">
        <is>
          <t>CÔNG TY TNHH DENIS G.M.</t>
        </is>
      </c>
      <c r="E11193" t="inlineStr">
        <is>
          <t>Lương:11 Tr - 13 Tr VND</t>
        </is>
      </c>
      <c r="F11193" t="inlineStr">
        <is>
          <t>Bình Dương</t>
        </is>
      </c>
      <c r="G11193" t="inlineStr">
        <is>
          <t>4</t>
        </is>
      </c>
      <c r="H11193" t="inlineStr">
        <is>
          <t>21/03/2026</t>
        </is>
      </c>
      <c r="I11193" t="inlineStr">
        <is>
          <t>17/03/2026</t>
        </is>
      </c>
      <c r="J11193" t="inlineStr">
        <is>
          <t>Thực phẩm &amp; Đồ uống, Quản lý chất lượng (QA/QC), Ngành khác</t>
        </is>
      </c>
      <c r="K11193" t="inlineStr">
        <is>
          <t>1 - 2 Năm</t>
        </is>
      </c>
      <c r="L11193" s="8">
        <f>HYPERLINK("https://careerviet.vn/vi/tim-viec-lam/to-truong-qc-thuc-pham.35C661DB.html","Xem chi tiết")</f>
        <v/>
      </c>
    </row>
    <row r="11194">
      <c r="B11194" s="9" t="n">
        <v>11192</v>
      </c>
      <c r="C11194" s="10" t="inlineStr">
        <is>
          <t>Chuyên viên Đào tạo Sản phẩm (Product Training Specialist)</t>
        </is>
      </c>
      <c r="D11194" s="10" t="inlineStr">
        <is>
          <t>Công ty Cổ phần Sữa VitaDairy Việt Nam</t>
        </is>
      </c>
      <c r="E11194" s="10" t="inlineStr">
        <is>
          <t>Lương:Cạnh tranh</t>
        </is>
      </c>
      <c r="F11194" s="10" t="inlineStr">
        <is>
          <t>Hồ Chí Minh</t>
        </is>
      </c>
      <c r="G11194" s="10" t="inlineStr">
        <is>
          <t>31-03-2026</t>
        </is>
      </c>
      <c r="H11194" s="10" t="inlineStr">
        <is>
          <t>31/03/2026</t>
        </is>
      </c>
      <c r="I11194" s="10" t="inlineStr">
        <is>
          <t>17/03/2026</t>
        </is>
      </c>
      <c r="J11194" s="10" t="inlineStr">
        <is>
          <t>Dược phẩm/ Hóa Mỹ Phẩm, Y tế / Chăm sóc sức khỏe / Thẩm mỹ / Làm đẹp, Công nghệ thực phẩm / Dinh dưỡng</t>
        </is>
      </c>
      <c r="K11194" s="10" t="inlineStr">
        <is>
          <t>2 - 3 Năm</t>
        </is>
      </c>
      <c r="L11194" s="11">
        <f>HYPERLINK("https://careerviet.vn/vi/tim-viec-lam/chuyen-vien-dao-tao-san-pham-product-training-specialist.35C6C795.html","Xem chi tiết")</f>
        <v/>
      </c>
      <c r="M11194" s="10" t="n"/>
    </row>
    <row r="11195">
      <c r="B11195" s="7" t="n">
        <v>11193</v>
      </c>
      <c r="C11195" t="inlineStr">
        <is>
          <t>System Engineer</t>
        </is>
      </c>
      <c r="D11195" t="inlineStr">
        <is>
          <t>Công ty TNHH Viettel - CHT</t>
        </is>
      </c>
      <c r="E11195" t="inlineStr">
        <is>
          <t>Lương:Cạnh tranh</t>
        </is>
      </c>
      <c r="F11195" t="inlineStr">
        <is>
          <t>Hà Nội</t>
        </is>
      </c>
      <c r="G11195" t="inlineStr">
        <is>
          <t>29-04-2026</t>
        </is>
      </c>
      <c r="H11195" t="inlineStr">
        <is>
          <t>29/04/2026</t>
        </is>
      </c>
      <c r="I11195" t="inlineStr">
        <is>
          <t>17/03/2026</t>
        </is>
      </c>
      <c r="J11195" t="inlineStr">
        <is>
          <t>CNTT - Phần cứng / Mạng</t>
        </is>
      </c>
      <c r="K11195" t="inlineStr">
        <is>
          <t>Trên 1 Năm</t>
        </is>
      </c>
      <c r="L11195" s="8">
        <f>HYPERLINK("https://careerviet.vn/vi/tim-viec-lam/system-engineer.35C6C797.html","Xem chi tiết")</f>
        <v/>
      </c>
    </row>
    <row r="11196">
      <c r="B11196" s="9" t="n">
        <v>11194</v>
      </c>
      <c r="C11196" s="10" t="inlineStr">
        <is>
          <t>Nhân viên kinh doanh xuất khẩu</t>
        </is>
      </c>
      <c r="D11196" s="10" t="inlineStr">
        <is>
          <t>Công Ty TNHH Xúc Tiến Thương Mại NBT Holdings</t>
        </is>
      </c>
      <c r="E11196" s="10" t="inlineStr">
        <is>
          <t>Lương:8 Tr - 15 Tr VND</t>
        </is>
      </c>
      <c r="F11196" s="10" t="inlineStr">
        <is>
          <t>Hà Nội</t>
        </is>
      </c>
      <c r="G11196" s="10" t="inlineStr">
        <is>
          <t>10-04-2026</t>
        </is>
      </c>
      <c r="H11196" s="10" t="inlineStr">
        <is>
          <t>10/04/2026</t>
        </is>
      </c>
      <c r="I11196" s="10" t="inlineStr">
        <is>
          <t>17/03/2026</t>
        </is>
      </c>
      <c r="J11196" s="10" t="inlineStr">
        <is>
          <t>Bán hàng / Kinh doanh, Tư vấn, Xuất nhập khẩu</t>
        </is>
      </c>
      <c r="K11196" s="10" t="inlineStr">
        <is>
          <t>N/A</t>
        </is>
      </c>
      <c r="L11196" s="11">
        <f>HYPERLINK("https://careerviet.vn/vi/tim-viec-lam/nhan-vien-kinh-doanh-xuat-khau.35C6C78C.html","Xem chi tiết")</f>
        <v/>
      </c>
      <c r="M11196" s="10" t="n"/>
    </row>
    <row r="11197">
      <c r="B11197" s="7" t="n">
        <v>11195</v>
      </c>
      <c r="C11197" t="inlineStr">
        <is>
          <t>Nhân viên Bảo dưỡng thiết bị</t>
        </is>
      </c>
      <c r="D11197" t="inlineStr">
        <is>
          <t>Công Ty Cổ Phần Eurowindow</t>
        </is>
      </c>
      <c r="E11197" t="inlineStr">
        <is>
          <t>Lương:Cạnh tranh</t>
        </is>
      </c>
      <c r="F11197" t="inlineStr">
        <is>
          <t>Bình Dương</t>
        </is>
      </c>
      <c r="G11197" t="inlineStr">
        <is>
          <t>29-04-2026</t>
        </is>
      </c>
      <c r="H11197" t="inlineStr">
        <is>
          <t>29/04/2026</t>
        </is>
      </c>
      <c r="I11197" t="inlineStr">
        <is>
          <t>17/03/2026</t>
        </is>
      </c>
      <c r="J11197" t="inlineStr">
        <is>
          <t>Cơ khí / Ô tô / Tự động hóa, Sản xuất / Vận hành sản xuất, Bảo trì / Sửa chữa</t>
        </is>
      </c>
      <c r="K11197" t="inlineStr">
        <is>
          <t>Lên đến 1 Năm</t>
        </is>
      </c>
      <c r="L11197" s="8">
        <f>HYPERLINK("https://careerviet.vn/vi/tim-viec-lam/nhan-vien-bao-duong-thiet-bi.35C6C78A.html","Xem chi tiết")</f>
        <v/>
      </c>
    </row>
    <row r="11198">
      <c r="B11198" s="9" t="n">
        <v>11196</v>
      </c>
      <c r="C11198" s="10" t="inlineStr">
        <is>
          <t>NHÂN VIÊN MÔI TRƯỜNG (Xử lỹ Nước thải Công nghiệp)</t>
        </is>
      </c>
      <c r="D11198" s="10" t="inlineStr">
        <is>
          <t>CÔNG TY TNHH MTV CHẾ TÁC VÀ KINH DOANH TRANG SỨC PNJ</t>
        </is>
      </c>
      <c r="E11198" s="10" t="inlineStr">
        <is>
          <t>Lương:9 Tr - 12 Tr VND</t>
        </is>
      </c>
      <c r="F11198" s="10" t="inlineStr">
        <is>
          <t>Long An</t>
        </is>
      </c>
      <c r="G11198" s="10" t="inlineStr">
        <is>
          <t>30-04-2026</t>
        </is>
      </c>
      <c r="H11198" s="10" t="inlineStr">
        <is>
          <t>30/04/2026</t>
        </is>
      </c>
      <c r="I11198" s="10" t="inlineStr">
        <is>
          <t>17/03/2026</t>
        </is>
      </c>
      <c r="J11198" s="10" t="inlineStr">
        <is>
          <t>An toàn lao động, Sản xuất / Vận hành sản xuất</t>
        </is>
      </c>
      <c r="K11198" s="10" t="inlineStr">
        <is>
          <t>1 - 3 Năm</t>
        </is>
      </c>
      <c r="L11198" s="11">
        <f>HYPERLINK("https://careerviet.vn/vi/tim-viec-lam/nhan-vien-moi-truong-xu-ly-nuoc-thai-cong-nghiep.35C6C785.html","Xem chi tiết")</f>
        <v/>
      </c>
      <c r="M11198" s="10" t="n"/>
    </row>
    <row r="11199">
      <c r="B11199" s="7" t="n">
        <v>11197</v>
      </c>
      <c r="C11199" t="inlineStr">
        <is>
          <t>Inventory Staff / Nhân viên kiểm kê tồn kho</t>
        </is>
      </c>
      <c r="D11199" t="inlineStr">
        <is>
          <t>RHENUS LOGISTICS LTD,.</t>
        </is>
      </c>
      <c r="E11199" t="inlineStr">
        <is>
          <t>Lương:9 Tr - 12 Tr VND</t>
        </is>
      </c>
      <c r="F11199" t="inlineStr">
        <is>
          <t>Bình Dương</t>
        </is>
      </c>
      <c r="G11199" t="inlineStr">
        <is>
          <t>30-04-2026</t>
        </is>
      </c>
      <c r="H11199" t="inlineStr">
        <is>
          <t>30/04/2026</t>
        </is>
      </c>
      <c r="I11199" t="inlineStr">
        <is>
          <t>17/03/2026</t>
        </is>
      </c>
      <c r="J11199" t="inlineStr">
        <is>
          <t>Vận chuyển / Giao nhận / Kho vận, Bán hàng / Kinh doanh</t>
        </is>
      </c>
      <c r="K11199" t="inlineStr">
        <is>
          <t>Lên đến 1 Năm</t>
        </is>
      </c>
      <c r="L11199" s="8">
        <f>HYPERLINK("https://careerviet.vn/vi/tim-viec-lam/inventory-staff-nhan-vien-kiem-ke-ton-kho.35C6C6B2.html","Xem chi tiết")</f>
        <v/>
      </c>
    </row>
    <row r="11200">
      <c r="B11200" s="9" t="n">
        <v>11198</v>
      </c>
      <c r="C11200" s="10" t="inlineStr">
        <is>
          <t>Trưởng nhóm mua hàng</t>
        </is>
      </c>
      <c r="D11200" s="10" t="inlineStr">
        <is>
          <t>Công ty Cổ phần thực phẩm và đồ uống Barett</t>
        </is>
      </c>
      <c r="E11200" s="10" t="inlineStr">
        <is>
          <t>Lương:20 Tr - 25 Tr VND</t>
        </is>
      </c>
      <c r="F11200" s="10" t="inlineStr">
        <is>
          <t>Hà Nội</t>
        </is>
      </c>
      <c r="G11200" s="10" t="inlineStr">
        <is>
          <t>11-04-2026</t>
        </is>
      </c>
      <c r="H11200" s="10" t="inlineStr">
        <is>
          <t>11/04/2026</t>
        </is>
      </c>
      <c r="I11200" s="10" t="inlineStr">
        <is>
          <t>17/03/2026</t>
        </is>
      </c>
      <c r="J11200" s="10" t="inlineStr">
        <is>
          <t>Thực phẩm &amp; Đồ uống, Sản xuất / Vận hành sản xuất, Thu mua / Vật tư</t>
        </is>
      </c>
      <c r="K11200" s="10" t="inlineStr">
        <is>
          <t>3 - 5 Năm</t>
        </is>
      </c>
      <c r="L11200" s="11">
        <f>HYPERLINK("https://careerviet.vn/vi/tim-viec-lam/truong-nhom-mua-hang.35C68550.html","Xem chi tiết")</f>
        <v/>
      </c>
      <c r="M11200" s="10" t="n"/>
    </row>
    <row r="11201">
      <c r="B11201" s="7" t="n">
        <v>11199</v>
      </c>
      <c r="C11201" t="inlineStr">
        <is>
          <t>Chỉ huy trưởng Công trình Nội thất Văn phòng</t>
        </is>
      </c>
      <c r="D11201" t="inlineStr">
        <is>
          <t>AKI DESIGN</t>
        </is>
      </c>
      <c r="E11201" t="inlineStr">
        <is>
          <t>Lương:Cạnh tranh</t>
        </is>
      </c>
      <c r="F11201" t="inlineStr">
        <is>
          <t>Hồ Chí MinhHà Nội</t>
        </is>
      </c>
      <c r="G11201" t="inlineStr">
        <is>
          <t>13-04-2026</t>
        </is>
      </c>
      <c r="H11201" t="inlineStr">
        <is>
          <t>13/04/2026</t>
        </is>
      </c>
      <c r="I11201" t="inlineStr">
        <is>
          <t>17/03/2026</t>
        </is>
      </c>
      <c r="J11201" t="inlineStr">
        <is>
          <t>Kiến trúc, Xây dựng, Nội ngoại thất</t>
        </is>
      </c>
      <c r="K11201" t="inlineStr">
        <is>
          <t>5 - 7 Năm</t>
        </is>
      </c>
      <c r="L11201" s="8">
        <f>HYPERLINK("https://careerviet.vn/vi/tim-viec-lam/chi-huy-truong-cong-trinh-noi-that-van-phong.35C6C776.html","Xem chi tiết")</f>
        <v/>
      </c>
    </row>
    <row r="11202">
      <c r="B11202" s="9" t="n">
        <v>11200</v>
      </c>
      <c r="C11202" s="10" t="inlineStr">
        <is>
          <t>Giám sát Thi công Nội thất Văn phòng</t>
        </is>
      </c>
      <c r="D11202" s="10" t="inlineStr">
        <is>
          <t>AKI DESIGN</t>
        </is>
      </c>
      <c r="E11202" s="10" t="inlineStr">
        <is>
          <t>Lương:14 Tr - 20 Tr VND</t>
        </is>
      </c>
      <c r="F11202" s="10" t="inlineStr">
        <is>
          <t>Hà NộiHồ Chí Minh</t>
        </is>
      </c>
      <c r="G11202" s="10" t="inlineStr">
        <is>
          <t>12-04-2026</t>
        </is>
      </c>
      <c r="H11202" s="10" t="inlineStr">
        <is>
          <t>12/04/2026</t>
        </is>
      </c>
      <c r="I11202" s="10" t="inlineStr">
        <is>
          <t>17/03/2026</t>
        </is>
      </c>
      <c r="J11202" s="10" t="inlineStr">
        <is>
          <t>Kiến trúc, Xây dựng</t>
        </is>
      </c>
      <c r="K11202" s="10" t="inlineStr">
        <is>
          <t>3 - 5 Năm</t>
        </is>
      </c>
      <c r="L11202" s="11">
        <f>HYPERLINK("https://careerviet.vn/vi/tim-viec-lam/giam-sat-thi-cong-noi-that-van-phong.35C6C77C.html","Xem chi tiết")</f>
        <v/>
      </c>
      <c r="M11202" s="10" t="n"/>
    </row>
    <row r="11203">
      <c r="B11203" s="7" t="n">
        <v>11201</v>
      </c>
      <c r="C11203" t="inlineStr">
        <is>
          <t>Nhân viên Kỹ thuật công nghệ</t>
        </is>
      </c>
      <c r="D11203" t="inlineStr">
        <is>
          <t>Công Ty Cổ Phần Eurowindow</t>
        </is>
      </c>
      <c r="E11203" t="inlineStr">
        <is>
          <t>Lương:Cạnh tranh</t>
        </is>
      </c>
      <c r="F11203" t="inlineStr">
        <is>
          <t>Bình Dương</t>
        </is>
      </c>
      <c r="G11203" t="inlineStr">
        <is>
          <t>29-04-2026</t>
        </is>
      </c>
      <c r="H11203" t="inlineStr">
        <is>
          <t>29/04/2026</t>
        </is>
      </c>
      <c r="I11203" t="inlineStr">
        <is>
          <t>17/03/2026</t>
        </is>
      </c>
      <c r="J11203" t="inlineStr">
        <is>
          <t>Cơ khí / Ô tô / Tự động hóa, Sản xuất / Vận hành sản xuất, Bảo trì / Sửa chữa</t>
        </is>
      </c>
      <c r="K11203" t="inlineStr">
        <is>
          <t>1 - 2 Năm</t>
        </is>
      </c>
      <c r="L11203" s="8">
        <f>HYPERLINK("https://careerviet.vn/vi/tim-viec-lam/nhan-vien-ky-thuat-cong-nghe.35C6C784.html","Xem chi tiết")</f>
        <v/>
      </c>
    </row>
    <row r="11204">
      <c r="B11204" s="9" t="n">
        <v>11202</v>
      </c>
      <c r="C11204" s="10" t="inlineStr">
        <is>
          <t>Nhân Viên Kinh Doanh / Sales Thị Trường Nghệ An</t>
        </is>
      </c>
      <c r="D11204" s="10" t="inlineStr">
        <is>
          <t>NANOCO GROUP</t>
        </is>
      </c>
      <c r="E11204" s="10" t="inlineStr">
        <is>
          <t>Lương:Cạnh tranh</t>
        </is>
      </c>
      <c r="F11204" s="10" t="inlineStr">
        <is>
          <t>Nghệ An</t>
        </is>
      </c>
      <c r="G11204" s="10" t="inlineStr">
        <is>
          <t>11-04-2026</t>
        </is>
      </c>
      <c r="H11204" s="10" t="inlineStr">
        <is>
          <t>11/04/2026</t>
        </is>
      </c>
      <c r="I11204" s="10" t="inlineStr">
        <is>
          <t>17/03/2026</t>
        </is>
      </c>
      <c r="J11204" s="10" t="inlineStr">
        <is>
          <t>Bán hàng / Kinh doanh, Bán lẻ / Bán sỉ, Tiếp thị / Marketing</t>
        </is>
      </c>
      <c r="K11204" s="10" t="inlineStr">
        <is>
          <t>1 - 10 Năm</t>
        </is>
      </c>
      <c r="L11204" s="11">
        <f>HYPERLINK("https://careerviet.vn/vi/tim-viec-lam/nhan-vien-kinh-doanh-sales-thi-truong-nghe-an.35C685BE.html","Xem chi tiết")</f>
        <v/>
      </c>
      <c r="M11204" s="10" t="n"/>
    </row>
    <row r="11205">
      <c r="B11205" s="7" t="n">
        <v>11203</v>
      </c>
      <c r="C11205" t="inlineStr">
        <is>
          <t>Trưởng phòng tuyển sinh (Thu nhập không giới hạn)</t>
        </is>
      </c>
      <c r="D11205" t="inlineStr">
        <is>
          <t>HỆ THỐNG GIÁO DỤC EDUFIT</t>
        </is>
      </c>
      <c r="E11205" t="inlineStr">
        <is>
          <t>Lương:Cạnh tranh</t>
        </is>
      </c>
      <c r="F11205" t="inlineStr">
        <is>
          <t>Hà Nội</t>
        </is>
      </c>
      <c r="G11205" t="inlineStr">
        <is>
          <t>11-04-2026</t>
        </is>
      </c>
      <c r="H11205" t="inlineStr">
        <is>
          <t>11/04/2026</t>
        </is>
      </c>
      <c r="I11205" t="inlineStr">
        <is>
          <t>17/03/2026</t>
        </is>
      </c>
      <c r="J11205" t="inlineStr">
        <is>
          <t>Giáo dục / Đào tạo, Tư vấn</t>
        </is>
      </c>
      <c r="K11205" t="inlineStr">
        <is>
          <t>1 - 5 Năm</t>
        </is>
      </c>
      <c r="L11205" s="8">
        <f>HYPERLINK("https://careerviet.vn/vi/tim-viec-lam/truong-phong-tuyen-sinh-thu-nhap-khong-gioi-han.35C676A9.html","Xem chi tiết")</f>
        <v/>
      </c>
    </row>
    <row r="11206">
      <c r="B11206" s="9" t="n">
        <v>11204</v>
      </c>
      <c r="C11206" s="10" t="inlineStr">
        <is>
          <t>VNVC Gia Nghĩa Đắk Nông-Nhân viên Chăm sóc khách hàng (Lễ tân-Tư vấn-Thu ngân)</t>
        </is>
      </c>
      <c r="D11206" s="10" t="inlineStr">
        <is>
          <t>Công Ty Cổ Phần Vacxin Việt Nam</t>
        </is>
      </c>
      <c r="E11206" s="10" t="inlineStr">
        <is>
          <t>Lương:7 Tr - 8 Tr VND</t>
        </is>
      </c>
      <c r="F11206" s="10" t="inlineStr">
        <is>
          <t>Dak Nông</t>
        </is>
      </c>
      <c r="G11206" s="10" t="inlineStr">
        <is>
          <t>11-04-2026</t>
        </is>
      </c>
      <c r="H11206" s="10" t="inlineStr">
        <is>
          <t>11/04/2026</t>
        </is>
      </c>
      <c r="I11206" s="10" t="inlineStr">
        <is>
          <t>17/03/2026</t>
        </is>
      </c>
      <c r="J11206" s="10" t="inlineStr">
        <is>
          <t>Y tế / Chăm sóc sức khỏe / Thẩm mỹ / Làm đẹp, Tư vấn, Dịch vụ khách hàng</t>
        </is>
      </c>
      <c r="K11206" s="10" t="inlineStr">
        <is>
          <t>1 - 2 Năm</t>
        </is>
      </c>
      <c r="L11206" s="11">
        <f>HYPERLINK("https://careerviet.vn/vi/tim-viec-lam/vnvc-gia-nghia-dak-nong-nhan-vien-cham-soc-khach-hang-le-tan-tu-van-thu-ngan.35C684A2.html","Xem chi tiết")</f>
        <v/>
      </c>
      <c r="M11206" s="10" t="n"/>
    </row>
    <row r="11207">
      <c r="B11207" s="7" t="n">
        <v>11205</v>
      </c>
      <c r="C11207" t="inlineStr">
        <is>
          <t>VNVC Buôn Ma Thuột-Nhân viên Chăm sóc khách hàng (Lễ tân-Tư vấn-Thu ngân)</t>
        </is>
      </c>
      <c r="D11207" t="inlineStr">
        <is>
          <t>Công Ty Cổ Phần Vacxin Việt Nam</t>
        </is>
      </c>
      <c r="E11207" t="inlineStr">
        <is>
          <t>Lương:7 Tr - 8 Tr VND</t>
        </is>
      </c>
      <c r="F11207" t="inlineStr">
        <is>
          <t>Dak Lak</t>
        </is>
      </c>
      <c r="G11207" t="inlineStr">
        <is>
          <t>11-04-2026</t>
        </is>
      </c>
      <c r="H11207" t="inlineStr">
        <is>
          <t>11/04/2026</t>
        </is>
      </c>
      <c r="I11207" t="inlineStr">
        <is>
          <t>17/03/2026</t>
        </is>
      </c>
      <c r="J11207" t="inlineStr">
        <is>
          <t>Y tế / Chăm sóc sức khỏe / Thẩm mỹ / Làm đẹp, Tư vấn, Dịch vụ khách hàng</t>
        </is>
      </c>
      <c r="K11207" t="inlineStr">
        <is>
          <t>1 - 2 Năm</t>
        </is>
      </c>
      <c r="L11207" s="8">
        <f>HYPERLINK("https://careerviet.vn/vi/tim-viec-lam/vnvc-buon-ma-thuot-nhan-vien-cham-soc-khach-hang-le-tan-tu-van-thu-ngan.35C6849D.html","Xem chi tiết")</f>
        <v/>
      </c>
    </row>
    <row r="11208">
      <c r="B11208" s="9" t="n">
        <v>11206</v>
      </c>
      <c r="C11208" s="10" t="inlineStr">
        <is>
          <t>[Hà Nội]  Trưởng nhóm Khách hàng cá nhân</t>
        </is>
      </c>
      <c r="D11208" s="10" t="inlineStr">
        <is>
          <t>Ngân Hàng TMCP Tiên Phong (TPBank)</t>
        </is>
      </c>
      <c r="E11208" s="10" t="inlineStr">
        <is>
          <t>Lương:20 Tr - 30 Tr VND</t>
        </is>
      </c>
      <c r="F11208" s="10" t="inlineStr">
        <is>
          <t>Hà Nội</t>
        </is>
      </c>
      <c r="G11208" s="10" t="inlineStr">
        <is>
          <t>11-04-2026</t>
        </is>
      </c>
      <c r="H11208" s="10" t="inlineStr">
        <is>
          <t>11/04/2026</t>
        </is>
      </c>
      <c r="I11208" s="10" t="inlineStr">
        <is>
          <t>17/03/2026</t>
        </is>
      </c>
      <c r="J11208" s="10" t="inlineStr">
        <is>
          <t>Bán hàng / Kinh doanh, Ngân hàng, Tài chính / Đầu tư</t>
        </is>
      </c>
      <c r="K11208" s="10" t="inlineStr">
        <is>
          <t>2 - 3 Năm</t>
        </is>
      </c>
      <c r="L11208" s="11">
        <f>HYPERLINK("https://careerviet.vn/vi/tim-viec-lam/ha-noi-truong-nhom-khach-hang-ca-nhan.35C68594.html","Xem chi tiết")</f>
        <v/>
      </c>
      <c r="M11208" s="10" t="n"/>
    </row>
    <row r="11209">
      <c r="B11209" s="7" t="n">
        <v>11207</v>
      </c>
      <c r="C11209" t="inlineStr">
        <is>
          <t>CVCC/CVC Quản Lý Danh Mục Phân Khúc_TA159 (2001)</t>
        </is>
      </c>
      <c r="D11209" t="inlineStr">
        <is>
          <t>Ngân Hàng TMCP Việt Nam Thịnh Vượng - VPBANK</t>
        </is>
      </c>
      <c r="E11209" t="inlineStr">
        <is>
          <t>Lương:20 Tr - 30 Tr VND</t>
        </is>
      </c>
      <c r="F11209" t="inlineStr">
        <is>
          <t>Hồ Chí Minh</t>
        </is>
      </c>
      <c r="G11209" t="inlineStr">
        <is>
          <t>11-04-2026</t>
        </is>
      </c>
      <c r="H11209" t="inlineStr">
        <is>
          <t>11/04/2026</t>
        </is>
      </c>
      <c r="I11209" t="inlineStr">
        <is>
          <t>17/03/2026</t>
        </is>
      </c>
      <c r="J11209" t="inlineStr">
        <is>
          <t>Ngân hàng, Tài chính / Đầu tư</t>
        </is>
      </c>
      <c r="K11209" t="inlineStr">
        <is>
          <t>Trên 2 Năm</t>
        </is>
      </c>
      <c r="L11209" s="8">
        <f>HYPERLINK("https://careerviet.vn/vi/tim-viec-lam/cvcc-cvc-quan-ly-danh-muc-phan-khuc_ta159-2001.35C685EE.html","Xem chi tiết")</f>
        <v/>
      </c>
    </row>
    <row r="11210">
      <c r="B11210" s="9" t="n">
        <v>11208</v>
      </c>
      <c r="C11210" s="10" t="inlineStr">
        <is>
          <t>Kế toán công nợ</t>
        </is>
      </c>
      <c r="D11210" s="10" t="inlineStr">
        <is>
          <t>UrBox - Công ty Cổ phần Tiếp Thị Số Tô Quà</t>
        </is>
      </c>
      <c r="E11210" s="10" t="inlineStr">
        <is>
          <t>Lương:12 Tr - 20 Tr VND</t>
        </is>
      </c>
      <c r="F11210" s="10" t="inlineStr">
        <is>
          <t>Hà Nội</t>
        </is>
      </c>
      <c r="G11210" s="10" t="inlineStr">
        <is>
          <t>11-04-2026</t>
        </is>
      </c>
      <c r="H11210" s="10" t="inlineStr">
        <is>
          <t>11/04/2026</t>
        </is>
      </c>
      <c r="I11210" s="10" t="inlineStr">
        <is>
          <t>17/03/2026</t>
        </is>
      </c>
      <c r="J11210" s="10" t="inlineStr">
        <is>
          <t>Kế toán / Kiểm toán, Tài chính / Đầu tư</t>
        </is>
      </c>
      <c r="K11210" s="10" t="inlineStr">
        <is>
          <t>2 - 5 Năm</t>
        </is>
      </c>
      <c r="L11210" s="11">
        <f>HYPERLINK("https://careerviet.vn/vi/tim-viec-lam/ke-toan-cong-no.35C6850E.html","Xem chi tiết")</f>
        <v/>
      </c>
      <c r="M11210" s="10" t="n"/>
    </row>
    <row r="11211">
      <c r="B11211" s="7" t="n">
        <v>11209</v>
      </c>
      <c r="C11211" t="inlineStr">
        <is>
          <t>Chuyên viên tuyển dụng</t>
        </is>
      </c>
      <c r="D11211" t="inlineStr">
        <is>
          <t>CÔNG TY TNHH BBQ VIỆT NAM</t>
        </is>
      </c>
      <c r="E11211" t="inlineStr">
        <is>
          <t>Lương:9 Tr - 13 Tr VND</t>
        </is>
      </c>
      <c r="F11211" t="inlineStr">
        <is>
          <t>Hà Nội</t>
        </is>
      </c>
      <c r="G11211" t="inlineStr">
        <is>
          <t>11-04-2026</t>
        </is>
      </c>
      <c r="H11211" t="inlineStr">
        <is>
          <t>11/04/2026</t>
        </is>
      </c>
      <c r="I11211" t="inlineStr">
        <is>
          <t>17/03/2026</t>
        </is>
      </c>
      <c r="J11211" t="inlineStr">
        <is>
          <t>Nhân sự, Nhà hàng / Khách sạn</t>
        </is>
      </c>
      <c r="K11211" t="inlineStr">
        <is>
          <t>1 - 2 Năm</t>
        </is>
      </c>
      <c r="L11211" s="8">
        <f>HYPERLINK("https://careerviet.vn/vi/tim-viec-lam/chuyen-vien-tuyen-dung.35C685A9.html","Xem chi tiết")</f>
        <v/>
      </c>
    </row>
    <row r="11212">
      <c r="B11212" s="9" t="n">
        <v>11210</v>
      </c>
      <c r="C11212" s="10" t="inlineStr">
        <is>
          <t>Assistant Manager (for Construction Department)</t>
        </is>
      </c>
      <c r="D11212" s="10" t="inlineStr">
        <is>
          <t>Công ty TNHH Frontier Consulting Việt Nam</t>
        </is>
      </c>
      <c r="E11212" s="10" t="inlineStr">
        <is>
          <t>Lương:Cạnh tranh</t>
        </is>
      </c>
      <c r="F11212" s="10" t="inlineStr">
        <is>
          <t>Hồ Chí Minh</t>
        </is>
      </c>
      <c r="G11212" s="10" t="inlineStr">
        <is>
          <t>11-04-2026</t>
        </is>
      </c>
      <c r="H11212" s="10" t="inlineStr">
        <is>
          <t>11/04/2026</t>
        </is>
      </c>
      <c r="I11212" s="10" t="inlineStr">
        <is>
          <t>17/03/2026</t>
        </is>
      </c>
      <c r="J11212" s="10" t="inlineStr">
        <is>
          <t>Nội ngoại thất, Xây dựng, Kiến trúc</t>
        </is>
      </c>
      <c r="K11212" s="10" t="inlineStr">
        <is>
          <t>5 - 7 Năm</t>
        </is>
      </c>
      <c r="L11212" s="11">
        <f>HYPERLINK("https://careerviet.vn/vi/tim-viec-lam/assistant-manager-for-construction-department.35C684B1.html","Xem chi tiết")</f>
        <v/>
      </c>
      <c r="M11212" s="10" t="n"/>
    </row>
    <row r="11213">
      <c r="B11213" s="7" t="n">
        <v>11211</v>
      </c>
      <c r="C11213" t="inlineStr">
        <is>
          <t>Chuyên viên Giám định Xe cơ giới tại địa bàn An Giang - Khối Giám định bồi thường</t>
        </is>
      </c>
      <c r="D11213" t="inlineStr">
        <is>
          <t>Tổng Công ty Cổ phần Bảo hiểm Quân đội (MIC)</t>
        </is>
      </c>
      <c r="E11213" t="inlineStr">
        <is>
          <t>Lương:Cạnh tranh</t>
        </is>
      </c>
      <c r="F11213" t="inlineStr">
        <is>
          <t>An Giang</t>
        </is>
      </c>
      <c r="G11213" t="inlineStr">
        <is>
          <t>11-04-2026</t>
        </is>
      </c>
      <c r="H11213" t="inlineStr">
        <is>
          <t>11/04/2026</t>
        </is>
      </c>
      <c r="I11213" t="inlineStr">
        <is>
          <t>17/03/2026</t>
        </is>
      </c>
      <c r="J11213" t="inlineStr">
        <is>
          <t>Bảo hiểm, Bảo trì / Sửa chữa</t>
        </is>
      </c>
      <c r="K11213" t="inlineStr">
        <is>
          <t>1 - 10 Năm</t>
        </is>
      </c>
      <c r="L11213" s="8">
        <f>HYPERLINK("https://careerviet.vn/vi/tim-viec-lam/chuyen-vien-giam-dinh-xe-co-gioi-tai-dia-ban-an-giang-khoi-giam-dinh-boi-thuong.35C685A5.html","Xem chi tiết")</f>
        <v/>
      </c>
    </row>
    <row r="11214">
      <c r="B11214" s="9" t="n">
        <v>11212</v>
      </c>
      <c r="C11214" s="10" t="inlineStr">
        <is>
          <t>Nhân viên Tư vấn tuyển sinh (Khoá học toán)</t>
        </is>
      </c>
      <c r="D11214" s="10" t="inlineStr">
        <is>
          <t>Công ty CP Công nghệ giáo dục Trường học trực tuyến (ONSCHOOL)</t>
        </is>
      </c>
      <c r="E11214" s="10" t="inlineStr">
        <is>
          <t>Lương:15 Tr - 20 Tr VND</t>
        </is>
      </c>
      <c r="F11214" s="10" t="inlineStr">
        <is>
          <t>Hà Nội</t>
        </is>
      </c>
      <c r="G11214" s="10" t="inlineStr">
        <is>
          <t>11-04-2026</t>
        </is>
      </c>
      <c r="H11214" s="10" t="inlineStr">
        <is>
          <t>11/04/2026</t>
        </is>
      </c>
      <c r="I11214" s="10" t="inlineStr">
        <is>
          <t>17/03/2026</t>
        </is>
      </c>
      <c r="J11214" s="10" t="inlineStr">
        <is>
          <t>Bán hàng / Kinh doanh, Tư vấn, Giáo dục / Đào tạo</t>
        </is>
      </c>
      <c r="K11214" s="10" t="inlineStr">
        <is>
          <t>1 - 2 Năm</t>
        </is>
      </c>
      <c r="L11214" s="11">
        <f>HYPERLINK("https://careerviet.vn/vi/tim-viec-lam/nhan-vien-tu-van-tuyen-sinh-khoa-hoc-toan.35C685D6.html","Xem chi tiết")</f>
        <v/>
      </c>
      <c r="M11214" s="10" t="n"/>
    </row>
    <row r="11215">
      <c r="B11215" s="7" t="n">
        <v>11213</v>
      </c>
      <c r="C11215" t="inlineStr">
        <is>
          <t>Warehouse Operation Associate (VLSC)</t>
        </is>
      </c>
      <c r="D11215" t="inlineStr">
        <is>
          <t>SABECO - Saigon Beer-Alcohol-Beverage Corporation</t>
        </is>
      </c>
      <c r="E11215" t="inlineStr">
        <is>
          <t>Lương:Cạnh tranh</t>
        </is>
      </c>
      <c r="F11215" t="inlineStr">
        <is>
          <t>Hồ Chí Minh</t>
        </is>
      </c>
      <c r="G11215" t="inlineStr">
        <is>
          <t>11-04-2026</t>
        </is>
      </c>
      <c r="H11215" t="inlineStr">
        <is>
          <t>11/04/2026</t>
        </is>
      </c>
      <c r="I11215" t="inlineStr">
        <is>
          <t>17/03/2026</t>
        </is>
      </c>
      <c r="J11215" t="inlineStr">
        <is>
          <t>Vận chuyển / Giao nhận / Kho vận</t>
        </is>
      </c>
      <c r="K11215" t="inlineStr">
        <is>
          <t>1 - 5 Năm</t>
        </is>
      </c>
      <c r="L11215" s="8">
        <f>HYPERLINK("https://careerviet.vn/vi/tim-viec-lam/warehouse-operation-associate-vlsc.35C6857F.html","Xem chi tiết")</f>
        <v/>
      </c>
    </row>
    <row r="11216">
      <c r="B11216" s="9" t="n">
        <v>11214</v>
      </c>
      <c r="C11216" s="10" t="inlineStr">
        <is>
          <t>VNVC Gò Dầu Tây Ninh-Nhân viên Chăm sóc khách hàng (Lễ tân-Tư vấn-Thu ngân)</t>
        </is>
      </c>
      <c r="D11216" s="10" t="inlineStr">
        <is>
          <t>Công Ty Cổ Phần Vacxin Việt Nam</t>
        </is>
      </c>
      <c r="E11216" s="10" t="inlineStr">
        <is>
          <t>Lương:7 Tr - 8 Tr VND</t>
        </is>
      </c>
      <c r="F11216" s="10" t="inlineStr">
        <is>
          <t>Tây Ninh</t>
        </is>
      </c>
      <c r="G11216" s="10" t="inlineStr">
        <is>
          <t>11-04-2026</t>
        </is>
      </c>
      <c r="H11216" s="10" t="inlineStr">
        <is>
          <t>11/04/2026</t>
        </is>
      </c>
      <c r="I11216" s="10" t="inlineStr">
        <is>
          <t>17/03/2026</t>
        </is>
      </c>
      <c r="J11216" s="10" t="inlineStr">
        <is>
          <t>Y tế / Chăm sóc sức khỏe / Thẩm mỹ / Làm đẹp, Tư vấn, Dịch vụ khách hàng</t>
        </is>
      </c>
      <c r="K11216" s="10" t="inlineStr">
        <is>
          <t>1 - 2 Năm</t>
        </is>
      </c>
      <c r="L11216" s="11">
        <f>HYPERLINK("https://careerviet.vn/vi/tim-viec-lam/vnvc-go-dau-tay-ninh-nhan-vien-cham-soc-khach-hang-le-tan-tu-van-thu-ngan.35C684A6.html","Xem chi tiết")</f>
        <v/>
      </c>
      <c r="M11216" s="10" t="n"/>
    </row>
    <row r="11217">
      <c r="B11217" s="7" t="n">
        <v>11215</v>
      </c>
      <c r="C11217" t="inlineStr">
        <is>
          <t>CHUYÊN VIÊN KẾ TOÁN TỔNG HỢP</t>
        </is>
      </c>
      <c r="D11217" t="inlineStr">
        <is>
          <t>Công ty Cổ Phần Thành Thành Nam</t>
        </is>
      </c>
      <c r="E11217" t="inlineStr">
        <is>
          <t>Lương:15 Tr - 21 Tr VND</t>
        </is>
      </c>
      <c r="F11217" t="inlineStr">
        <is>
          <t>Hồ Chí Minh</t>
        </is>
      </c>
      <c r="G11217" t="inlineStr">
        <is>
          <t>11-04-2026</t>
        </is>
      </c>
      <c r="H11217" t="inlineStr">
        <is>
          <t>11/04/2026</t>
        </is>
      </c>
      <c r="I11217" t="inlineStr">
        <is>
          <t>17/03/2026</t>
        </is>
      </c>
      <c r="J11217" t="inlineStr">
        <is>
          <t>Kế toán / Kiểm toán, Tài chính / Đầu tư, Bán hàng / Kinh doanh</t>
        </is>
      </c>
      <c r="K11217" t="inlineStr">
        <is>
          <t>Trên 2 Năm</t>
        </is>
      </c>
      <c r="L11217" s="8">
        <f>HYPERLINK("https://careerviet.vn/vi/tim-viec-lam/chuyen-vien-ke-toan-tong-hop.35C68514.html","Xem chi tiết")</f>
        <v/>
      </c>
    </row>
    <row r="11218">
      <c r="B11218" s="9" t="n">
        <v>11216</v>
      </c>
      <c r="C11218" s="10" t="inlineStr">
        <is>
          <t>Trợ lý Phó Tổng Giám Đốc</t>
        </is>
      </c>
      <c r="D11218" s="10" t="inlineStr">
        <is>
          <t>Công Ty Cổ Phần Cơ Khí Xây Dựng Thương Mại Đại Dũng</t>
        </is>
      </c>
      <c r="E11218" s="10" t="inlineStr">
        <is>
          <t>Lương:Cạnh tranh</t>
        </is>
      </c>
      <c r="F11218" s="10" t="inlineStr">
        <is>
          <t>Hồ Chí Minh</t>
        </is>
      </c>
      <c r="G11218" s="10" t="inlineStr">
        <is>
          <t>11-04-2026</t>
        </is>
      </c>
      <c r="H11218" s="10" t="inlineStr">
        <is>
          <t>11/04/2026</t>
        </is>
      </c>
      <c r="I11218" s="10" t="inlineStr">
        <is>
          <t>17/03/2026</t>
        </is>
      </c>
      <c r="J11218" s="10" t="inlineStr">
        <is>
          <t>Hành chính / Thư ký, Xây dựng</t>
        </is>
      </c>
      <c r="K11218" s="10" t="inlineStr">
        <is>
          <t>3 - 5 Năm</t>
        </is>
      </c>
      <c r="L11218" s="11">
        <f>HYPERLINK("https://careerviet.vn/vi/tim-viec-lam/tro-ly-pho-tong-giam-doc.35C685C5.html","Xem chi tiết")</f>
        <v/>
      </c>
      <c r="M11218" s="10" t="n"/>
    </row>
    <row r="11219">
      <c r="B11219" s="7" t="n">
        <v>11217</v>
      </c>
      <c r="C11219" t="inlineStr">
        <is>
          <t>Chuyên viên Khách hàng cá nhân - Hồ Chí Minh (Q1,3,4,5,7, Tân Bình, Thủ Đức, Bình Chánh)</t>
        </is>
      </c>
      <c r="D11219" t="inlineStr">
        <is>
          <t>Ngân hàng Thương mại cổ phần Đông Nam Á (SeABank)</t>
        </is>
      </c>
      <c r="E11219" t="inlineStr">
        <is>
          <t>Lương:Cạnh tranh</t>
        </is>
      </c>
      <c r="F11219" t="inlineStr">
        <is>
          <t>Hồ Chí Minh</t>
        </is>
      </c>
      <c r="G11219" t="inlineStr">
        <is>
          <t>11-04-2026</t>
        </is>
      </c>
      <c r="H11219" t="inlineStr">
        <is>
          <t>11/04/2026</t>
        </is>
      </c>
      <c r="I11219" t="inlineStr">
        <is>
          <t>17/03/2026</t>
        </is>
      </c>
      <c r="J11219" t="inlineStr">
        <is>
          <t>Ngân hàng</t>
        </is>
      </c>
      <c r="K11219" t="inlineStr">
        <is>
          <t>1 - 5 Năm</t>
        </is>
      </c>
      <c r="L11219" s="8">
        <f>HYPERLINK("https://careerviet.vn/vi/tim-viec-lam/chuyen-vien-khach-hang-ca-nhan-ho-chi-minh-q1-3-4-5-7-tan-binh-thu-duc-binh-chanh.35C652F1.html","Xem chi tiết")</f>
        <v/>
      </c>
    </row>
    <row r="11220">
      <c r="B11220" s="9" t="n">
        <v>11218</v>
      </c>
      <c r="C11220" s="10" t="inlineStr">
        <is>
          <t>Bảo trì trang trại (Bình Phước)</t>
        </is>
      </c>
      <c r="D11220" s="10" t="inlineStr">
        <is>
          <t>CÔNG TY CỔ PHẦN THÁI VIỆT CORPORATION</t>
        </is>
      </c>
      <c r="E11220" s="10" t="inlineStr">
        <is>
          <t>Lương:13 Tr - 16 Tr VND</t>
        </is>
      </c>
      <c r="F11220" s="10" t="inlineStr">
        <is>
          <t>Bình Phước</t>
        </is>
      </c>
      <c r="G11220" s="10" t="inlineStr">
        <is>
          <t>11-04-2026</t>
        </is>
      </c>
      <c r="H11220" s="10" t="inlineStr">
        <is>
          <t>11/04/2026</t>
        </is>
      </c>
      <c r="I11220" s="10" t="inlineStr">
        <is>
          <t>17/03/2026</t>
        </is>
      </c>
      <c r="J11220" s="10" t="inlineStr">
        <is>
          <t>Cơ khí / Ô tô / Tự động hóa, Điện / Điện tử / Điện lạnh / Điện công nghiệp, Ngành khác</t>
        </is>
      </c>
      <c r="K11220" s="10" t="inlineStr">
        <is>
          <t>N/A</t>
        </is>
      </c>
      <c r="L11220" s="11">
        <f>HYPERLINK("https://careerviet.vn/vi/tim-viec-lam/bao-tri-trang-trai-binh-phuoc.35C6850D.html","Xem chi tiết")</f>
        <v/>
      </c>
      <c r="M11220" s="10" t="n"/>
    </row>
    <row r="11221">
      <c r="B11221" s="7" t="n">
        <v>11219</v>
      </c>
      <c r="C11221" t="inlineStr">
        <is>
          <t>Chuyên gia Quản lý sản phẩm và giải pháp thanh toán - TA126</t>
        </is>
      </c>
      <c r="D11221" t="inlineStr">
        <is>
          <t>Ngân Hàng TMCP Việt Nam Thịnh Vượng - VPBANK</t>
        </is>
      </c>
      <c r="E11221" t="inlineStr">
        <is>
          <t>Lương:20 Tr - 30 Tr VND</t>
        </is>
      </c>
      <c r="F11221" t="inlineStr">
        <is>
          <t>Hà Nội</t>
        </is>
      </c>
      <c r="G11221" t="inlineStr">
        <is>
          <t>11-04-2026</t>
        </is>
      </c>
      <c r="H11221" t="inlineStr">
        <is>
          <t>11/04/2026</t>
        </is>
      </c>
      <c r="I11221" t="inlineStr">
        <is>
          <t>17/03/2026</t>
        </is>
      </c>
      <c r="J11221" t="inlineStr">
        <is>
          <t>Ngân hàng</t>
        </is>
      </c>
      <c r="K11221" t="inlineStr">
        <is>
          <t>Trên 2 Năm</t>
        </is>
      </c>
      <c r="L11221" s="8">
        <f>HYPERLINK("https://careerviet.vn/vi/tim-viec-lam/chuyen-gia-quan-ly-san-pham-va-giai-phap-thanh-toan-ta126.35C685F2.html","Xem chi tiết")</f>
        <v/>
      </c>
    </row>
    <row r="11222">
      <c r="B11222" s="9" t="n">
        <v>11220</v>
      </c>
      <c r="C11222" s="10" t="inlineStr">
        <is>
          <t>[Đức Trọng - Lâm Đồng] Giao dịch viên</t>
        </is>
      </c>
      <c r="D11222" s="10" t="inlineStr">
        <is>
          <t>Ngân hàng TMCP Đại Chúng Việt Nam - PVcomBank</t>
        </is>
      </c>
      <c r="E11222" s="10" t="inlineStr">
        <is>
          <t>Lương:Cạnh tranh</t>
        </is>
      </c>
      <c r="F11222" s="10" t="inlineStr">
        <is>
          <t>Lâm ĐồngKV Nam Trung Bộ</t>
        </is>
      </c>
      <c r="G11222" s="10" t="inlineStr">
        <is>
          <t>11-04-2026</t>
        </is>
      </c>
      <c r="H11222" s="10" t="inlineStr">
        <is>
          <t>11/04/2026</t>
        </is>
      </c>
      <c r="I11222" s="10" t="inlineStr">
        <is>
          <t>17/03/2026</t>
        </is>
      </c>
      <c r="J11222" s="10" t="inlineStr">
        <is>
          <t>Bán hàng / Kinh doanh, Ngân hàng, Tài chính / Đầu tư</t>
        </is>
      </c>
      <c r="K11222" s="10" t="inlineStr">
        <is>
          <t>Trên 1 Năm</t>
        </is>
      </c>
      <c r="L11222" s="11">
        <f>HYPERLINK("https://careerviet.vn/vi/tim-viec-lam/duc-trong-lam-dong-giao-dich-vien.35C68488.html","Xem chi tiết")</f>
        <v/>
      </c>
      <c r="M11222" s="10" t="n"/>
    </row>
    <row r="11223">
      <c r="B11223" s="7" t="n">
        <v>11221</v>
      </c>
      <c r="C11223" t="inlineStr">
        <is>
          <t>Kỹ sư kỹ thuật hiện trường</t>
        </is>
      </c>
      <c r="D11223" t="inlineStr">
        <is>
          <t>Tổng công ty Xây dựng Trường Sơn</t>
        </is>
      </c>
      <c r="E11223" t="inlineStr">
        <is>
          <t>Lương:20 Tr - 40 Tr VND</t>
        </is>
      </c>
      <c r="F11223" t="inlineStr">
        <is>
          <t>Toàn quốc</t>
        </is>
      </c>
      <c r="G11223" t="inlineStr">
        <is>
          <t>11-04-2026</t>
        </is>
      </c>
      <c r="H11223" t="inlineStr">
        <is>
          <t>11/04/2026</t>
        </is>
      </c>
      <c r="I11223" t="inlineStr">
        <is>
          <t>17/03/2026</t>
        </is>
      </c>
      <c r="J11223" t="inlineStr">
        <is>
          <t>Kiến trúc, Xây dựng</t>
        </is>
      </c>
      <c r="K11223" t="inlineStr">
        <is>
          <t>Chưa có kinh nghiệm</t>
        </is>
      </c>
      <c r="L11223" s="8">
        <f>HYPERLINK("https://careerviet.vn/vi/tim-viec-lam/ky-su-ky-thuat-hien-truong.35C685B6.html","Xem chi tiết")</f>
        <v/>
      </c>
    </row>
    <row r="11224">
      <c r="B11224" s="9" t="n">
        <v>11222</v>
      </c>
      <c r="C11224" s="10" t="inlineStr">
        <is>
          <t>Tiktok Content Creator</t>
        </is>
      </c>
      <c r="D11224" s="10" t="inlineStr">
        <is>
          <t>Công ty TNHH Sản xuất Thương mại &amp; Dịch vụ Hoa Xinh</t>
        </is>
      </c>
      <c r="E11224" s="10" t="inlineStr">
        <is>
          <t>Lương:10 Tr - 16 Tr VND</t>
        </is>
      </c>
      <c r="F11224" s="10" t="inlineStr">
        <is>
          <t>Hồ Chí Minh</t>
        </is>
      </c>
      <c r="G11224" s="10" t="inlineStr">
        <is>
          <t>11-04-2026</t>
        </is>
      </c>
      <c r="H11224" s="10" t="inlineStr">
        <is>
          <t>11/04/2026</t>
        </is>
      </c>
      <c r="I11224" s="10" t="inlineStr">
        <is>
          <t>17/03/2026</t>
        </is>
      </c>
      <c r="J11224" s="10" t="inlineStr">
        <is>
          <t>Tiếp thị / Marketing, Bán hàng / Kinh doanh, Tiếp thị trực tuyến</t>
        </is>
      </c>
      <c r="K11224" s="10" t="inlineStr">
        <is>
          <t>1 - 10 Năm</t>
        </is>
      </c>
      <c r="L11224" s="11">
        <f>HYPERLINK("https://careerviet.vn/vi/tim-viec-lam/tiktok-content-creator.35C684AC.html","Xem chi tiết")</f>
        <v/>
      </c>
      <c r="M11224" s="10" t="n"/>
    </row>
    <row r="11225">
      <c r="B11225" s="7" t="n">
        <v>11223</v>
      </c>
      <c r="C11225" t="inlineStr">
        <is>
          <t>KEY ACCOUNT DEDICATED CUSTOMER SERVICE REPRESENTATIVE- Chinese  (Ho Chi Minh)</t>
        </is>
      </c>
      <c r="D11225" t="inlineStr">
        <is>
          <t>S.F. EXPRESS LTD.</t>
        </is>
      </c>
      <c r="E11225" t="inlineStr">
        <is>
          <t>Lương:20 Tr - 25 Tr VND</t>
        </is>
      </c>
      <c r="F11225" t="inlineStr">
        <is>
          <t>Hồ Chí Minh</t>
        </is>
      </c>
      <c r="G11225" t="inlineStr">
        <is>
          <t>11-04-2026</t>
        </is>
      </c>
      <c r="H11225" t="inlineStr">
        <is>
          <t>11/04/2026</t>
        </is>
      </c>
      <c r="I11225" t="inlineStr">
        <is>
          <t>17/03/2026</t>
        </is>
      </c>
      <c r="J11225" t="inlineStr">
        <is>
          <t>Tiếp thị / Marketing, Vận chuyển / Giao nhận / Kho vận, Xuất nhập khẩu</t>
        </is>
      </c>
      <c r="K11225" t="inlineStr">
        <is>
          <t>2 - 5 Năm</t>
        </is>
      </c>
      <c r="L11225" s="8">
        <f>HYPERLINK("https://careerviet.vn/vi/tim-viec-lam/key-account-dedicated-customer-service-representative-chinese-ho-chi-minh.35C68602.html","Xem chi tiết")</f>
        <v/>
      </c>
    </row>
    <row r="11226">
      <c r="B11226" s="9" t="n">
        <v>11224</v>
      </c>
      <c r="C11226" s="10" t="inlineStr">
        <is>
          <t>Bảo trì trang trại (Bình Phước, Đăk Nông)</t>
        </is>
      </c>
      <c r="D11226" s="10" t="inlineStr">
        <is>
          <t>CÔNG TY CỔ PHẦN THÁI VIỆT CORPORATION</t>
        </is>
      </c>
      <c r="E11226" s="10" t="inlineStr">
        <is>
          <t>Lương:13 Tr - 16 Tr VND</t>
        </is>
      </c>
      <c r="F11226" s="10" t="inlineStr">
        <is>
          <t>Bình PhướcDak Nông</t>
        </is>
      </c>
      <c r="G11226" s="10" t="inlineStr">
        <is>
          <t>11-04-2026</t>
        </is>
      </c>
      <c r="H11226" s="10" t="inlineStr">
        <is>
          <t>11/04/2026</t>
        </is>
      </c>
      <c r="I11226" s="10" t="inlineStr">
        <is>
          <t>17/03/2026</t>
        </is>
      </c>
      <c r="J11226" s="10" t="inlineStr">
        <is>
          <t>Cơ khí / Ô tô / Tự động hóa, Điện / Điện tử / Điện lạnh / Điện công nghiệp, Ngành khác</t>
        </is>
      </c>
      <c r="K11226" s="10" t="inlineStr">
        <is>
          <t>N/A</t>
        </is>
      </c>
      <c r="L11226" s="11">
        <f>HYPERLINK("https://careerviet.vn/vi/tim-viec-lam/bao-tri-trang-trai-binh-phuoc-dak-nong.35C68511.html","Xem chi tiết")</f>
        <v/>
      </c>
      <c r="M11226" s="10" t="n"/>
    </row>
    <row r="11227">
      <c r="B11227" s="7" t="n">
        <v>11225</v>
      </c>
      <c r="C11227" t="inlineStr">
        <is>
          <t>QC Coordinator</t>
        </is>
      </c>
      <c r="D11227" t="inlineStr">
        <is>
          <t>Wanek Furniture</t>
        </is>
      </c>
      <c r="E11227" t="inlineStr">
        <is>
          <t>Lương:Cạnh tranh</t>
        </is>
      </c>
      <c r="F11227" t="inlineStr">
        <is>
          <t>Bình Dương</t>
        </is>
      </c>
      <c r="G11227" t="inlineStr">
        <is>
          <t>11-04-2026</t>
        </is>
      </c>
      <c r="H11227" t="inlineStr">
        <is>
          <t>11/04/2026</t>
        </is>
      </c>
      <c r="I11227" t="inlineStr">
        <is>
          <t>17/03/2026</t>
        </is>
      </c>
      <c r="J11227" t="inlineStr">
        <is>
          <t>Sản xuất / Vận hành sản xuất, Quản lý chất lượng (QA/QC), Nội ngoại thất</t>
        </is>
      </c>
      <c r="K11227" t="inlineStr">
        <is>
          <t>1 - 2 Năm</t>
        </is>
      </c>
      <c r="L11227" s="8">
        <f>HYPERLINK("https://careerviet.vn/vi/tim-viec-lam/qc-coordinator.35C684CE.html","Xem chi tiết")</f>
        <v/>
      </c>
    </row>
    <row r="11228">
      <c r="B11228" s="9" t="n">
        <v>11226</v>
      </c>
      <c r="C11228" s="10" t="inlineStr">
        <is>
          <t>Operations Excellence Executive</t>
        </is>
      </c>
      <c r="D11228" s="10" t="inlineStr">
        <is>
          <t>Linfox Logistics Vietnam</t>
        </is>
      </c>
      <c r="E11228" s="10" t="inlineStr">
        <is>
          <t>Lương:Cạnh tranh</t>
        </is>
      </c>
      <c r="F11228" s="10" t="inlineStr">
        <is>
          <t>Hồ Chí Minh</t>
        </is>
      </c>
      <c r="G11228" s="10" t="inlineStr">
        <is>
          <t>11-04-2026</t>
        </is>
      </c>
      <c r="H11228" s="10" t="inlineStr">
        <is>
          <t>11/04/2026</t>
        </is>
      </c>
      <c r="I11228" s="10" t="inlineStr">
        <is>
          <t>17/03/2026</t>
        </is>
      </c>
      <c r="J11228" s="10" t="inlineStr">
        <is>
          <t>Vận chuyển / Giao nhận / Kho vận</t>
        </is>
      </c>
      <c r="K11228" s="10" t="inlineStr">
        <is>
          <t>2 - 3 Năm</t>
        </is>
      </c>
      <c r="L11228" s="11">
        <f>HYPERLINK("https://careerviet.vn/vi/tim-viec-lam/operations-excellence-executive.35C685DA.html","Xem chi tiết")</f>
        <v/>
      </c>
      <c r="M11228" s="10" t="n"/>
    </row>
    <row r="11229">
      <c r="B11229" s="7" t="n">
        <v>11227</v>
      </c>
      <c r="C11229" t="inlineStr">
        <is>
          <t>TRƯỞNG PHÒNG KINH DOANH TMĐT</t>
        </is>
      </c>
      <c r="D11229" t="inlineStr">
        <is>
          <t>CÔNG TY CỔ PHẦN TẬP ĐOÀN VIANCO</t>
        </is>
      </c>
      <c r="E11229" t="inlineStr">
        <is>
          <t>Lương:20 Tr - 40 Tr VND</t>
        </is>
      </c>
      <c r="F11229" t="inlineStr">
        <is>
          <t>Hà Nội</t>
        </is>
      </c>
      <c r="G11229" t="inlineStr">
        <is>
          <t>11-04-2026</t>
        </is>
      </c>
      <c r="H11229" t="inlineStr">
        <is>
          <t>11/04/2026</t>
        </is>
      </c>
      <c r="I11229" t="inlineStr">
        <is>
          <t>17/03/2026</t>
        </is>
      </c>
      <c r="J11229" t="inlineStr">
        <is>
          <t>Thương mại điện tử, Hàng gia dụng / Chăm sóc cá nhân, Điện / Điện tử / Điện lạnh / Điện công nghiệp</t>
        </is>
      </c>
      <c r="K11229" t="inlineStr">
        <is>
          <t>2 - 3 Năm</t>
        </is>
      </c>
      <c r="L11229" s="8">
        <f>HYPERLINK("https://careerviet.vn/vi/tim-viec-lam/truong-phong-kinh-doanh-tmdt.35C684C7.html","Xem chi tiết")</f>
        <v/>
      </c>
    </row>
    <row r="11230">
      <c r="B11230" s="9" t="n">
        <v>11228</v>
      </c>
      <c r="C11230" s="10" t="inlineStr">
        <is>
          <t>CHUYÊN VIÊN PHÁP CHẾ</t>
        </is>
      </c>
      <c r="D11230" s="10" t="inlineStr">
        <is>
          <t>Tổng công ty Xây dựng số 1 – CTCP</t>
        </is>
      </c>
      <c r="E11230" s="10" t="inlineStr">
        <is>
          <t>Lương:Cạnh tranh</t>
        </is>
      </c>
      <c r="F11230" s="10" t="inlineStr">
        <is>
          <t>Hồ Chí Minh</t>
        </is>
      </c>
      <c r="G11230" s="10" t="inlineStr">
        <is>
          <t>11-04-2026</t>
        </is>
      </c>
      <c r="H11230" s="10" t="inlineStr">
        <is>
          <t>11/04/2026</t>
        </is>
      </c>
      <c r="I11230" s="10" t="inlineStr">
        <is>
          <t>17/03/2026</t>
        </is>
      </c>
      <c r="J11230" s="10" t="inlineStr">
        <is>
          <t>Luật / Pháp lý</t>
        </is>
      </c>
      <c r="K11230" s="10" t="inlineStr">
        <is>
          <t>Trên 4 Năm</t>
        </is>
      </c>
      <c r="L11230" s="11">
        <f>HYPERLINK("https://careerviet.vn/vi/tim-viec-lam/chuyen-vien-phap-che.35C68547.html","Xem chi tiết")</f>
        <v/>
      </c>
      <c r="M11230" s="10" t="n"/>
    </row>
    <row r="11231">
      <c r="B11231" s="7" t="n">
        <v>11229</v>
      </c>
      <c r="C11231" t="inlineStr">
        <is>
          <t>Trưởng bộ phận Cải tiến sản xuất</t>
        </is>
      </c>
      <c r="D11231" t="inlineStr">
        <is>
          <t>CÔNG TY CP BIA &amp; NGK HẠ LONG</t>
        </is>
      </c>
      <c r="E11231" t="inlineStr">
        <is>
          <t>Lương:Cạnh tranh</t>
        </is>
      </c>
      <c r="F11231" t="inlineStr">
        <is>
          <t>Quảng Ninh</t>
        </is>
      </c>
      <c r="G11231" t="inlineStr">
        <is>
          <t>11-04-2026</t>
        </is>
      </c>
      <c r="H11231" t="inlineStr">
        <is>
          <t>11/04/2026</t>
        </is>
      </c>
      <c r="I11231" t="inlineStr">
        <is>
          <t>17/03/2026</t>
        </is>
      </c>
      <c r="J11231" t="inlineStr">
        <is>
          <t>Thực phẩm &amp; Đồ uống</t>
        </is>
      </c>
      <c r="K11231" t="inlineStr">
        <is>
          <t>3 - 5 Năm</t>
        </is>
      </c>
      <c r="L11231" s="8">
        <f>HYPERLINK("https://careerviet.vn/vi/tim-viec-lam/truong-bo-phan-cai-tien-san-xuat.35C6859C.html","Xem chi tiết")</f>
        <v/>
      </c>
    </row>
    <row r="11232">
      <c r="B11232" s="9" t="n">
        <v>11230</v>
      </c>
      <c r="C11232" s="10" t="inlineStr">
        <is>
          <t>CHUYÊN VIÊN SOCIAL MEDIA</t>
        </is>
      </c>
      <c r="D11232" s="10" t="inlineStr">
        <is>
          <t>Công ty TNHH Sản xuất Thương mại &amp; Dịch vụ Hoa Xinh</t>
        </is>
      </c>
      <c r="E11232" s="10" t="inlineStr">
        <is>
          <t>Lương:10 Tr - 16 Tr VND</t>
        </is>
      </c>
      <c r="F11232" s="10" t="inlineStr">
        <is>
          <t>Hồ Chí Minh</t>
        </is>
      </c>
      <c r="G11232" s="10" t="inlineStr">
        <is>
          <t>11-04-2026</t>
        </is>
      </c>
      <c r="H11232" s="10" t="inlineStr">
        <is>
          <t>11/04/2026</t>
        </is>
      </c>
      <c r="I11232" s="10" t="inlineStr">
        <is>
          <t>17/03/2026</t>
        </is>
      </c>
      <c r="J11232" s="10" t="inlineStr">
        <is>
          <t>Tiếp thị / Marketing, Tiếp thị trực tuyến, Thương mại điện tử</t>
        </is>
      </c>
      <c r="K11232" s="10" t="inlineStr">
        <is>
          <t>2 - 5 Năm</t>
        </is>
      </c>
      <c r="L11232" s="11">
        <f>HYPERLINK("https://careerviet.vn/vi/tim-viec-lam/chuyen-vien-social-media.35C684AE.html","Xem chi tiết")</f>
        <v/>
      </c>
      <c r="M11232" s="10" t="n"/>
    </row>
    <row r="11233">
      <c r="B11233" s="7" t="n">
        <v>11231</v>
      </c>
      <c r="C11233" t="inlineStr">
        <is>
          <t>NHÂN VIÊN Y TÁ</t>
        </is>
      </c>
      <c r="D11233" t="inlineStr">
        <is>
          <t>CÔNG TY TNHH INZI VINA</t>
        </is>
      </c>
      <c r="E11233" t="inlineStr">
        <is>
          <t>Lương:Cạnh tranh</t>
        </is>
      </c>
      <c r="F11233" t="inlineStr">
        <is>
          <t>Đồng Nai</t>
        </is>
      </c>
      <c r="G11233" t="inlineStr">
        <is>
          <t>11-04-2026</t>
        </is>
      </c>
      <c r="H11233" t="inlineStr">
        <is>
          <t>11/04/2026</t>
        </is>
      </c>
      <c r="I11233" t="inlineStr">
        <is>
          <t>17/03/2026</t>
        </is>
      </c>
      <c r="J11233" t="inlineStr">
        <is>
          <t>Y tế / Chăm sóc sức khỏe / Thẩm mỹ / Làm đẹp, Hành chính / Thư ký, Sản xuất / Vận hành sản xuất</t>
        </is>
      </c>
      <c r="K11233" t="inlineStr">
        <is>
          <t>1 - 5 Năm</t>
        </is>
      </c>
      <c r="L11233" s="8">
        <f>HYPERLINK("https://careerviet.vn/vi/tim-viec-lam/nhan-vien-y-ta.35C6852F.html","Xem chi tiết")</f>
        <v/>
      </c>
    </row>
    <row r="11234">
      <c r="B11234" s="9" t="n">
        <v>11232</v>
      </c>
      <c r="C11234" s="10" t="inlineStr">
        <is>
          <t>Senior Executive Marketing</t>
        </is>
      </c>
      <c r="D11234" s="10" t="inlineStr">
        <is>
          <t>HỆ THỐNG TRƯỜNG MẦM NON - TIỂU HỌC ICS</t>
        </is>
      </c>
      <c r="E11234" s="10" t="inlineStr">
        <is>
          <t>Lương:14 Tr - 18 Tr VND</t>
        </is>
      </c>
      <c r="F11234" s="10" t="inlineStr">
        <is>
          <t>Hồ Chí Minh</t>
        </is>
      </c>
      <c r="G11234" s="10" t="inlineStr">
        <is>
          <t>11-04-2026</t>
        </is>
      </c>
      <c r="H11234" s="10" t="inlineStr">
        <is>
          <t>11/04/2026</t>
        </is>
      </c>
      <c r="I11234" s="10" t="inlineStr">
        <is>
          <t>17/03/2026</t>
        </is>
      </c>
      <c r="J11234" s="10" t="inlineStr">
        <is>
          <t>Tiếp thị / Marketing, Quảng cáo / Đối ngoại / Truyền Thông, Tổ chức sự kiện</t>
        </is>
      </c>
      <c r="K11234" s="10" t="inlineStr">
        <is>
          <t>2 - 4 Năm</t>
        </is>
      </c>
      <c r="L11234" s="11">
        <f>HYPERLINK("https://careerviet.vn/vi/tim-viec-lam/senior-executive-marketing.35C68545.html","Xem chi tiết")</f>
        <v/>
      </c>
      <c r="M11234" s="10" t="n"/>
    </row>
    <row r="11235">
      <c r="B11235" s="7" t="n">
        <v>11233</v>
      </c>
      <c r="C11235" t="inlineStr">
        <is>
          <t>Phó Giám đốc Kinh Doanh Tại Hà Nội</t>
        </is>
      </c>
      <c r="D11235" t="inlineStr">
        <is>
          <t>Tổng Công Ty Cổ Phần Bảo Hiểm Ngân Hàng TMCP Công Thương Việt Nam</t>
        </is>
      </c>
      <c r="E11235" t="inlineStr">
        <is>
          <t>Lương:Cạnh tranh</t>
        </is>
      </c>
      <c r="F11235" t="inlineStr">
        <is>
          <t>Hà Nội</t>
        </is>
      </c>
      <c r="G11235" t="inlineStr">
        <is>
          <t>11-04-2026</t>
        </is>
      </c>
      <c r="H11235" t="inlineStr">
        <is>
          <t>11/04/2026</t>
        </is>
      </c>
      <c r="I11235" t="inlineStr">
        <is>
          <t>17/03/2026</t>
        </is>
      </c>
      <c r="J11235" t="inlineStr">
        <is>
          <t>Bảo hiểm</t>
        </is>
      </c>
      <c r="K11235" t="inlineStr">
        <is>
          <t>3 - 5 Năm</t>
        </is>
      </c>
      <c r="L11235" s="8">
        <f>HYPERLINK("https://careerviet.vn/vi/tim-viec-lam/pho-giam-doc-kinh-doanh-tai-ha-noi.35C685F4.html","Xem chi tiết")</f>
        <v/>
      </c>
    </row>
    <row r="11236">
      <c r="B11236" s="9" t="n">
        <v>11234</v>
      </c>
      <c r="C11236" s="10" t="inlineStr">
        <is>
          <t>Chuyên Viên Chính/Chuyên Viên Cao Cấp Dịch Vụ Khách Hàng - Long An, Ninh Kiều, Sóc Trăng, Tiền Giang - TA177</t>
        </is>
      </c>
      <c r="D11236" s="10" t="inlineStr">
        <is>
          <t>Ngân Hàng TMCP Việt Nam Thịnh Vượng - VPBANK</t>
        </is>
      </c>
      <c r="E11236" s="10" t="inlineStr">
        <is>
          <t>Lương:Cạnh tranh</t>
        </is>
      </c>
      <c r="F11236" s="10" t="inlineStr">
        <is>
          <t>Long AnAn GiangCần Thơ</t>
        </is>
      </c>
      <c r="G11236" s="10" t="inlineStr">
        <is>
          <t>11-04-2026</t>
        </is>
      </c>
      <c r="H11236" s="10" t="inlineStr">
        <is>
          <t>11/04/2026</t>
        </is>
      </c>
      <c r="I11236" s="10" t="inlineStr">
        <is>
          <t>17/03/2026</t>
        </is>
      </c>
      <c r="J11236" s="10" t="inlineStr">
        <is>
          <t>Ngân hàng, Tài chính / Đầu tư</t>
        </is>
      </c>
      <c r="K11236" s="10" t="inlineStr">
        <is>
          <t>1 - 2 Năm</t>
        </is>
      </c>
      <c r="L11236" s="11">
        <f>HYPERLINK("https://careerviet.vn/vi/tim-viec-lam/chuyen-vien-chinh-chuyen-vien-cao-cap-dich-vu-khach-hang-long-an-ninh-kieu-soc-trang-tien-giang-ta177.35C685B0.html","Xem chi tiết")</f>
        <v/>
      </c>
      <c r="M11236" s="10" t="n"/>
    </row>
    <row r="11237">
      <c r="B11237" s="7" t="n">
        <v>11235</v>
      </c>
      <c r="C11237" t="inlineStr">
        <is>
          <t>Phó phòng Kỹ thuật - Công nghệ và Cải tiến sản xuất</t>
        </is>
      </c>
      <c r="D11237" t="inlineStr">
        <is>
          <t>CÔNG TY CP BIA &amp; NGK HẠ LONG</t>
        </is>
      </c>
      <c r="E11237" t="inlineStr">
        <is>
          <t>Lương:Cạnh tranh</t>
        </is>
      </c>
      <c r="F11237" t="inlineStr">
        <is>
          <t>Quảng Ninh</t>
        </is>
      </c>
      <c r="G11237" t="inlineStr">
        <is>
          <t>11-04-2026</t>
        </is>
      </c>
      <c r="H11237" t="inlineStr">
        <is>
          <t>11/04/2026</t>
        </is>
      </c>
      <c r="I11237" t="inlineStr">
        <is>
          <t>17/03/2026</t>
        </is>
      </c>
      <c r="J11237" t="inlineStr">
        <is>
          <t>Thực phẩm &amp; Đồ uống, Quản lý chất lượng (QA/QC)</t>
        </is>
      </c>
      <c r="K11237" t="inlineStr">
        <is>
          <t>5 - 7 Năm</t>
        </is>
      </c>
      <c r="L11237" s="8">
        <f>HYPERLINK("https://careerviet.vn/vi/tim-viec-lam/pho-phong-ky-thuat-cong-nghe-va-cai-tien-san-xuat.35C68599.html","Xem chi tiết")</f>
        <v/>
      </c>
    </row>
    <row r="11238">
      <c r="B11238" s="9" t="n">
        <v>11236</v>
      </c>
      <c r="C11238" s="10" t="inlineStr">
        <is>
          <t>Điều Dưỡng/ Hộ Sinh / Y Sĩ Lấy Máu Tại Chi Nhánh (Quận 1)</t>
        </is>
      </c>
      <c r="D11238" s="10" t="inlineStr">
        <is>
          <t>DIAG</t>
        </is>
      </c>
      <c r="E11238" s="10" t="inlineStr">
        <is>
          <t>Lương:11 Tr - 15 Tr VND</t>
        </is>
      </c>
      <c r="F11238" s="10" t="inlineStr">
        <is>
          <t>Tiền Giang</t>
        </is>
      </c>
      <c r="G11238" s="10" t="inlineStr">
        <is>
          <t>11-04-2026</t>
        </is>
      </c>
      <c r="H11238" s="10" t="inlineStr">
        <is>
          <t>11/04/2026</t>
        </is>
      </c>
      <c r="I11238" s="10" t="inlineStr">
        <is>
          <t>17/03/2026</t>
        </is>
      </c>
      <c r="J11238" s="10" t="inlineStr">
        <is>
          <t>Dược phẩm/ Hóa Mỹ Phẩm, Y tế / Chăm sóc sức khỏe / Thẩm mỹ / Làm đẹp, Dịch vụ khách hàng</t>
        </is>
      </c>
      <c r="K11238" s="10" t="inlineStr">
        <is>
          <t>Lên đến 1 Năm</t>
        </is>
      </c>
      <c r="L11238" s="11">
        <f>HYPERLINK("https://careerviet.vn/vi/tim-viec-lam/dieu-duong-ho-sinh-y-si-lay-mau-tai-chi-nhanh-quan-1.35C652EC.html","Xem chi tiết")</f>
        <v/>
      </c>
      <c r="M11238" s="10" t="n"/>
    </row>
    <row r="11239">
      <c r="B11239" s="7" t="n">
        <v>11237</v>
      </c>
      <c r="C11239" t="inlineStr">
        <is>
          <t>Giám sát dữ liệu (Bắc Ninh)</t>
        </is>
      </c>
      <c r="D11239" t="inlineStr">
        <is>
          <t>Linfox Logistics Vietnam</t>
        </is>
      </c>
      <c r="E11239" t="inlineStr">
        <is>
          <t>Lương:Cạnh tranh</t>
        </is>
      </c>
      <c r="F11239" t="inlineStr">
        <is>
          <t>Bắc Ninh</t>
        </is>
      </c>
      <c r="G11239" t="inlineStr">
        <is>
          <t>11-04-2026</t>
        </is>
      </c>
      <c r="H11239" t="inlineStr">
        <is>
          <t>11/04/2026</t>
        </is>
      </c>
      <c r="I11239" t="inlineStr">
        <is>
          <t>17/03/2026</t>
        </is>
      </c>
      <c r="J11239" t="inlineStr">
        <is>
          <t>Vận chuyển / Giao nhận / Kho vận</t>
        </is>
      </c>
      <c r="K11239" t="inlineStr">
        <is>
          <t>1 - 3 Năm</t>
        </is>
      </c>
      <c r="L11239" s="8">
        <f>HYPERLINK("https://careerviet.vn/vi/tim-viec-lam/giam-sat-du-lieu-bac-ninh.35C685D0.html","Xem chi tiết")</f>
        <v/>
      </c>
    </row>
    <row r="11240">
      <c r="B11240" s="9" t="n">
        <v>11238</v>
      </c>
      <c r="C11240" s="10" t="inlineStr">
        <is>
          <t>Chỉ Huy Trưởng Công Trình</t>
        </is>
      </c>
      <c r="D11240" s="10" t="inlineStr">
        <is>
          <t>CÔNG TY CỔ PHẦN ĐẦU TƯ VÀ PHÁT TRIỂN LẠC HỒNG</t>
        </is>
      </c>
      <c r="E11240" s="10" t="inlineStr">
        <is>
          <t>Lương:20 Tr - 25 Tr VND</t>
        </is>
      </c>
      <c r="F11240" s="10" t="inlineStr">
        <is>
          <t>Bắc CạnHòa BìnhPhú Thọ</t>
        </is>
      </c>
      <c r="G11240" s="10" t="inlineStr">
        <is>
          <t>11-04-2026</t>
        </is>
      </c>
      <c r="H11240" s="10" t="inlineStr">
        <is>
          <t>11/04/2026</t>
        </is>
      </c>
      <c r="I11240" s="10" t="inlineStr">
        <is>
          <t>17/03/2026</t>
        </is>
      </c>
      <c r="J11240" s="10" t="inlineStr">
        <is>
          <t>Xây dựng</t>
        </is>
      </c>
      <c r="K11240" s="10" t="inlineStr">
        <is>
          <t>3 - 5 Năm</t>
        </is>
      </c>
      <c r="L11240" s="11">
        <f>HYPERLINK("https://careerviet.vn/vi/tim-viec-lam/chi-huy-truong-cong-trinh.35C683EE.html","Xem chi tiết")</f>
        <v/>
      </c>
      <c r="M11240" s="10" t="n"/>
    </row>
    <row r="11241">
      <c r="B11241" s="7" t="n">
        <v>11239</v>
      </c>
      <c r="C11241" t="inlineStr">
        <is>
          <t>Kỹ Sư Vận Hành Máy</t>
        </is>
      </c>
      <c r="D11241" t="inlineStr">
        <is>
          <t>CÔNG TY CỔ PHẦN TẬP ĐOÀN CƠ KHÍ CÔNG NGHỆ CAO SIBA</t>
        </is>
      </c>
      <c r="E11241" t="inlineStr">
        <is>
          <t>Lương:Cạnh tranh</t>
        </is>
      </c>
      <c r="F11241" t="inlineStr">
        <is>
          <t>Bà Rịa - Vũng Tàu</t>
        </is>
      </c>
      <c r="G11241" t="inlineStr">
        <is>
          <t>11-04-2026</t>
        </is>
      </c>
      <c r="H11241" t="inlineStr">
        <is>
          <t>11/04/2026</t>
        </is>
      </c>
      <c r="I11241" t="inlineStr">
        <is>
          <t>17/03/2026</t>
        </is>
      </c>
      <c r="J11241" t="inlineStr">
        <is>
          <t>Cơ khí / Ô tô / Tự động hóa</t>
        </is>
      </c>
      <c r="K11241" t="inlineStr">
        <is>
          <t>2 - 5 Năm</t>
        </is>
      </c>
      <c r="L11241" s="8">
        <f>HYPERLINK("https://careerviet.vn/vi/tim-viec-lam/ky-su-van-hanh-may.35C68559.html","Xem chi tiết")</f>
        <v/>
      </c>
    </row>
    <row r="11242">
      <c r="B11242" s="9" t="n">
        <v>11240</v>
      </c>
      <c r="C11242" s="10" t="inlineStr">
        <is>
          <t>Giám đốc nhà máy</t>
        </is>
      </c>
      <c r="D11242" s="10" t="inlineStr">
        <is>
          <t>CÔNG TY CỔ PHẦN TẬP ĐOÀN CƠ KHÍ CÔNG NGHỆ CAO SIBA</t>
        </is>
      </c>
      <c r="E11242" s="10" t="inlineStr">
        <is>
          <t>Lương:Cạnh tranh</t>
        </is>
      </c>
      <c r="F11242" s="10" t="inlineStr">
        <is>
          <t>Bà Rịa - Vũng Tàu</t>
        </is>
      </c>
      <c r="G11242" s="10" t="inlineStr">
        <is>
          <t>11-04-2026</t>
        </is>
      </c>
      <c r="H11242" s="10" t="inlineStr">
        <is>
          <t>11/04/2026</t>
        </is>
      </c>
      <c r="I11242" s="10" t="inlineStr">
        <is>
          <t>17/03/2026</t>
        </is>
      </c>
      <c r="J11242" s="10" t="inlineStr">
        <is>
          <t>Cơ khí / Ô tô / Tự động hóa</t>
        </is>
      </c>
      <c r="K11242" s="10" t="inlineStr">
        <is>
          <t>5 - 10 Năm</t>
        </is>
      </c>
      <c r="L11242" s="11">
        <f>HYPERLINK("https://careerviet.vn/vi/tim-viec-lam/giam-doc-nha-may.35C6854B.html","Xem chi tiết")</f>
        <v/>
      </c>
      <c r="M11242" s="10" t="n"/>
    </row>
    <row r="11243">
      <c r="B11243" s="7" t="n">
        <v>11241</v>
      </c>
      <c r="C11243" t="inlineStr">
        <is>
          <t>HSE Specialist</t>
        </is>
      </c>
      <c r="D11243" t="inlineStr">
        <is>
          <t>Bảo mật</t>
        </is>
      </c>
      <c r="E11243" t="inlineStr">
        <is>
          <t>Lương:1.000 - 1.200 USD</t>
        </is>
      </c>
      <c r="F11243" t="inlineStr">
        <is>
          <t>Bình Dương</t>
        </is>
      </c>
      <c r="G11243" t="inlineStr">
        <is>
          <t>11-04-2026</t>
        </is>
      </c>
      <c r="H11243" t="inlineStr">
        <is>
          <t>11/04/2026</t>
        </is>
      </c>
      <c r="I11243" t="inlineStr">
        <is>
          <t>17/03/2026</t>
        </is>
      </c>
      <c r="J11243" t="inlineStr">
        <is>
          <t>An toàn lao động</t>
        </is>
      </c>
      <c r="K11243" t="inlineStr">
        <is>
          <t>2 - 3 Năm</t>
        </is>
      </c>
      <c r="L11243" s="8">
        <f>HYPERLINK("https://careerviet.vn/vi/tim-viec-lam/hse-specialist.35C6858A.html","Xem chi tiết")</f>
        <v/>
      </c>
    </row>
    <row r="11244">
      <c r="B11244" s="9" t="n">
        <v>11242</v>
      </c>
      <c r="C11244" s="10" t="inlineStr">
        <is>
          <t>Hardware Design Engineer</t>
        </is>
      </c>
      <c r="D11244" s="10" t="inlineStr">
        <is>
          <t>Friwo Vietnam Co., Ltd</t>
        </is>
      </c>
      <c r="E11244" s="10" t="inlineStr">
        <is>
          <t>Lương:Cạnh tranh</t>
        </is>
      </c>
      <c r="F11244" s="10" t="inlineStr">
        <is>
          <t>Hồ Chí Minh</t>
        </is>
      </c>
      <c r="G11244" s="10" t="inlineStr">
        <is>
          <t>11-04-2026</t>
        </is>
      </c>
      <c r="H11244" s="10" t="inlineStr">
        <is>
          <t>11/04/2026</t>
        </is>
      </c>
      <c r="I11244" s="10" t="inlineStr">
        <is>
          <t>17/03/2026</t>
        </is>
      </c>
      <c r="J11244" s="10" t="inlineStr">
        <is>
          <t>Điện / Điện tử / Điện lạnh / Điện công nghiệp, Sản xuất / Vận hành sản xuất</t>
        </is>
      </c>
      <c r="K11244" s="10" t="inlineStr">
        <is>
          <t>2 - 5 Năm</t>
        </is>
      </c>
      <c r="L11244" s="11">
        <f>HYPERLINK("https://careerviet.vn/vi/tim-viec-lam/hardware-design-engineer.35C68483.html","Xem chi tiết")</f>
        <v/>
      </c>
      <c r="M11244" s="10" t="n"/>
    </row>
    <row r="11245">
      <c r="B11245" s="7" t="n">
        <v>11243</v>
      </c>
      <c r="C11245" t="inlineStr">
        <is>
          <t>Kỹ sư trắc đạc công trình</t>
        </is>
      </c>
      <c r="D11245" t="inlineStr">
        <is>
          <t>Tổng công ty Xây dựng Trường Sơn</t>
        </is>
      </c>
      <c r="E11245" t="inlineStr">
        <is>
          <t>Lương:20 Tr - 40 Tr VND</t>
        </is>
      </c>
      <c r="F11245" t="inlineStr">
        <is>
          <t>Toàn quốc</t>
        </is>
      </c>
      <c r="G11245" t="inlineStr">
        <is>
          <t>11-04-2026</t>
        </is>
      </c>
      <c r="H11245" t="inlineStr">
        <is>
          <t>11/04/2026</t>
        </is>
      </c>
      <c r="I11245" t="inlineStr">
        <is>
          <t>17/03/2026</t>
        </is>
      </c>
      <c r="J11245" t="inlineStr">
        <is>
          <t>Kiến trúc, Xây dựng</t>
        </is>
      </c>
      <c r="K11245" t="inlineStr">
        <is>
          <t>Trên 2 Năm</t>
        </is>
      </c>
      <c r="L11245" s="8">
        <f>HYPERLINK("https://careerviet.vn/vi/tim-viec-lam/ky-su-trac-dac-cong-trinh.35C685BD.html","Xem chi tiết")</f>
        <v/>
      </c>
    </row>
    <row r="11246">
      <c r="B11246" s="9" t="n">
        <v>11244</v>
      </c>
      <c r="C11246" s="10" t="inlineStr">
        <is>
          <t>Chuyên Viên Hành Chính Nhân Sự Tổng Hợp</t>
        </is>
      </c>
      <c r="D11246" s="10" t="inlineStr">
        <is>
          <t>Cty TNHH Quảng Cáo &amp; Truyền Thông Trí Việt</t>
        </is>
      </c>
      <c r="E11246" s="10" t="inlineStr">
        <is>
          <t>Lương:12 Tr - 14 Tr VND</t>
        </is>
      </c>
      <c r="F11246" s="10" t="inlineStr">
        <is>
          <t>Hà Nội</t>
        </is>
      </c>
      <c r="G11246" s="10" t="inlineStr">
        <is>
          <t>11-04-2026</t>
        </is>
      </c>
      <c r="H11246" s="10" t="inlineStr">
        <is>
          <t>11/04/2026</t>
        </is>
      </c>
      <c r="I11246" s="10" t="inlineStr">
        <is>
          <t>17/03/2026</t>
        </is>
      </c>
      <c r="J11246" s="10" t="inlineStr">
        <is>
          <t>Hành chính / Thư ký, Nhân sự, Ngành khác</t>
        </is>
      </c>
      <c r="K11246" s="10" t="inlineStr">
        <is>
          <t>Trên 1 Năm</t>
        </is>
      </c>
      <c r="L11246" s="11">
        <f>HYPERLINK("https://careerviet.vn/vi/tim-viec-lam/chuyen-vien-hanh-chinh-nhan-su-tong-hop.35C685FA.html","Xem chi tiết")</f>
        <v/>
      </c>
      <c r="M11246" s="10" t="n"/>
    </row>
    <row r="11247">
      <c r="B11247" s="7" t="n">
        <v>11245</v>
      </c>
      <c r="C11247" t="inlineStr">
        <is>
          <t>Chuyên Viên Chính/Chuyên Viên Cao Cấp Quan Hệ Khách Hàng Ưu Tiên - HCM - TA177</t>
        </is>
      </c>
      <c r="D11247" t="inlineStr">
        <is>
          <t>Ngân Hàng TMCP Việt Nam Thịnh Vượng - VPBANK</t>
        </is>
      </c>
      <c r="E11247" t="inlineStr">
        <is>
          <t>Lương:Cạnh tranh</t>
        </is>
      </c>
      <c r="F11247" t="inlineStr">
        <is>
          <t>Hồ Chí Minh</t>
        </is>
      </c>
      <c r="G11247" t="inlineStr">
        <is>
          <t>11-04-2026</t>
        </is>
      </c>
      <c r="H11247" t="inlineStr">
        <is>
          <t>11/04/2026</t>
        </is>
      </c>
      <c r="I11247" t="inlineStr">
        <is>
          <t>17/03/2026</t>
        </is>
      </c>
      <c r="J11247" t="inlineStr">
        <is>
          <t>Bán hàng / Kinh doanh, Ngân hàng</t>
        </is>
      </c>
      <c r="K11247" t="inlineStr">
        <is>
          <t>2 - 3 Năm</t>
        </is>
      </c>
      <c r="L11247" s="8">
        <f>HYPERLINK("https://careerviet.vn/vi/tim-viec-lam/chuyen-vien-chinh-chuyen-vien-cao-cap-quan-he-khach-hang-uu-tien-hcm-ta177.35C685A2.html","Xem chi tiết")</f>
        <v/>
      </c>
    </row>
    <row r="11248">
      <c r="B11248" s="9" t="n">
        <v>11246</v>
      </c>
      <c r="C11248" s="10" t="inlineStr">
        <is>
          <t>Chuyên viên Giám định Xe cơ giới tại địa bàn Long An - Khối Giám định bồi thường</t>
        </is>
      </c>
      <c r="D11248" s="10" t="inlineStr">
        <is>
          <t>Tổng Công ty Cổ phần Bảo hiểm Quân đội (MIC)</t>
        </is>
      </c>
      <c r="E11248" s="10" t="inlineStr">
        <is>
          <t>Lương:Cạnh tranh</t>
        </is>
      </c>
      <c r="F11248" s="10" t="inlineStr">
        <is>
          <t>Long An</t>
        </is>
      </c>
      <c r="G11248" s="10" t="inlineStr">
        <is>
          <t>11-04-2026</t>
        </is>
      </c>
      <c r="H11248" s="10" t="inlineStr">
        <is>
          <t>11/04/2026</t>
        </is>
      </c>
      <c r="I11248" s="10" t="inlineStr">
        <is>
          <t>17/03/2026</t>
        </is>
      </c>
      <c r="J11248" s="10" t="inlineStr">
        <is>
          <t>Bảo hiểm, Bảo trì / Sửa chữa</t>
        </is>
      </c>
      <c r="K11248" s="10" t="inlineStr">
        <is>
          <t>1 - 10 Năm</t>
        </is>
      </c>
      <c r="L11248" s="11">
        <f>HYPERLINK("https://careerviet.vn/vi/tim-viec-lam/chuyen-vien-giam-dinh-xe-co-gioi-tai-dia-ban-long-an-khoi-giam-dinh-boi-thuong.35C685A7.html","Xem chi tiết")</f>
        <v/>
      </c>
      <c r="M11248" s="10" t="n"/>
    </row>
    <row r="11249">
      <c r="B11249" s="7" t="n">
        <v>11247</v>
      </c>
      <c r="C11249" t="inlineStr">
        <is>
          <t>Medical Representative (Aesthetics)</t>
        </is>
      </c>
      <c r="D11249" t="inlineStr">
        <is>
          <t>CÔNG TY TNHH MINTHACARE</t>
        </is>
      </c>
      <c r="E11249" t="inlineStr">
        <is>
          <t>Lương:Cạnh tranh</t>
        </is>
      </c>
      <c r="F11249" t="inlineStr">
        <is>
          <t>Hà Nội</t>
        </is>
      </c>
      <c r="G11249" t="inlineStr">
        <is>
          <t>11-04-2026</t>
        </is>
      </c>
      <c r="H11249" t="inlineStr">
        <is>
          <t>11/04/2026</t>
        </is>
      </c>
      <c r="I11249" t="inlineStr">
        <is>
          <t>17/03/2026</t>
        </is>
      </c>
      <c r="J11249" t="inlineStr">
        <is>
          <t>Bán lẻ / Bán sỉ, Bán hàng / Kinh doanh, Y tế / Chăm sóc sức khỏe / Thẩm mỹ / Làm đẹp</t>
        </is>
      </c>
      <c r="K11249" t="inlineStr">
        <is>
          <t>1 - 5 Năm</t>
        </is>
      </c>
      <c r="L11249" s="8">
        <f>HYPERLINK("https://careerviet.vn/vi/tim-viec-lam/medical-representative-aesthetics.35C6852C.html","Xem chi tiết")</f>
        <v/>
      </c>
    </row>
    <row r="11250">
      <c r="B11250" s="9" t="n">
        <v>11248</v>
      </c>
      <c r="C11250" s="10" t="inlineStr">
        <is>
          <t>Import Export Specialist (Hà Nội)</t>
        </is>
      </c>
      <c r="D11250" s="10" t="inlineStr">
        <is>
          <t>Công ty Cổ phần Sữa VitaDairy Việt Nam</t>
        </is>
      </c>
      <c r="E11250" s="10" t="inlineStr">
        <is>
          <t>Lương:Cạnh tranh</t>
        </is>
      </c>
      <c r="F11250" s="10" t="inlineStr">
        <is>
          <t>Hà Nội</t>
        </is>
      </c>
      <c r="G11250" s="10" t="inlineStr">
        <is>
          <t>11-04-2026</t>
        </is>
      </c>
      <c r="H11250" s="10" t="inlineStr">
        <is>
          <t>11/04/2026</t>
        </is>
      </c>
      <c r="I11250" s="10" t="inlineStr">
        <is>
          <t>17/03/2026</t>
        </is>
      </c>
      <c r="J11250" s="10" t="inlineStr">
        <is>
          <t>Hàng gia dụng / Chăm sóc cá nhân, Thực phẩm &amp; Đồ uống, Xuất nhập khẩu</t>
        </is>
      </c>
      <c r="K11250" s="10" t="inlineStr">
        <is>
          <t>2 - 3 Năm</t>
        </is>
      </c>
      <c r="L11250" s="11">
        <f>HYPERLINK("https://careerviet.vn/vi/tim-viec-lam/import-export-specialist-ha-noi.35C684F4.html","Xem chi tiết")</f>
        <v/>
      </c>
      <c r="M11250" s="10" t="n"/>
    </row>
    <row r="11251">
      <c r="B11251" s="7" t="n">
        <v>11249</v>
      </c>
      <c r="C11251" t="inlineStr">
        <is>
          <t>Sales &amp; Marketing Manager (Food &amp; Beverage)</t>
        </is>
      </c>
      <c r="D11251" t="inlineStr">
        <is>
          <t>Công Ty TNHH Red Bull (Việt Nam)</t>
        </is>
      </c>
      <c r="E11251" t="inlineStr">
        <is>
          <t>Lương:Cạnh tranh</t>
        </is>
      </c>
      <c r="F11251" t="inlineStr">
        <is>
          <t>Bình DươngHồ Chí MinhĐồng Nai</t>
        </is>
      </c>
      <c r="G11251" t="inlineStr">
        <is>
          <t>11-04-2026</t>
        </is>
      </c>
      <c r="H11251" t="inlineStr">
        <is>
          <t>11/04/2026</t>
        </is>
      </c>
      <c r="I11251" t="inlineStr">
        <is>
          <t>17/03/2026</t>
        </is>
      </c>
      <c r="J11251" t="inlineStr">
        <is>
          <t>Bán hàng / Kinh doanh, Tiếp thị / Marketing, Thực phẩm &amp; Đồ uống</t>
        </is>
      </c>
      <c r="K11251" t="inlineStr">
        <is>
          <t>Trên 3 Năm</t>
        </is>
      </c>
      <c r="L11251" s="8">
        <f>HYPERLINK("https://careerviet.vn/vi/tim-viec-lam/sales-marketing-manager-food-beverage.35C6854F.html","Xem chi tiết")</f>
        <v/>
      </c>
    </row>
    <row r="11252">
      <c r="B11252" s="9" t="n">
        <v>11250</v>
      </c>
      <c r="C11252" s="10" t="inlineStr">
        <is>
          <t>Giám Sát Kinh Doanh (Distributor Account Supervisor/Manager) GT - Thanh Hóa</t>
        </is>
      </c>
      <c r="D11252" s="10" t="inlineStr">
        <is>
          <t>Marico South East Asia Corporation</t>
        </is>
      </c>
      <c r="E11252" s="10" t="inlineStr">
        <is>
          <t>Lương:Cạnh tranh</t>
        </is>
      </c>
      <c r="F11252" s="10" t="inlineStr">
        <is>
          <t>Khác</t>
        </is>
      </c>
      <c r="G11252" s="10" t="inlineStr">
        <is>
          <t>11-04-2026</t>
        </is>
      </c>
      <c r="H11252" s="10" t="inlineStr">
        <is>
          <t>11/04/2026</t>
        </is>
      </c>
      <c r="I11252" s="10" t="inlineStr">
        <is>
          <t>17/03/2026</t>
        </is>
      </c>
      <c r="J11252" s="10" t="inlineStr">
        <is>
          <t>Bán hàng / Kinh doanh</t>
        </is>
      </c>
      <c r="K11252" s="10" t="inlineStr">
        <is>
          <t>Trên 3 Năm</t>
        </is>
      </c>
      <c r="L11252" s="11">
        <f>HYPERLINK("https://careerviet.vn/vi/tim-viec-lam/giam-sat-kinh-doanh-distributor-account-supervisor-manager-gt-thanh-hoa.35C6857B.html","Xem chi tiết")</f>
        <v/>
      </c>
      <c r="M11252" s="10" t="n"/>
    </row>
    <row r="11253">
      <c r="B11253" s="7" t="n">
        <v>11251</v>
      </c>
      <c r="C11253" t="inlineStr">
        <is>
          <t>Production Planning Supervisor</t>
        </is>
      </c>
      <c r="D11253" t="inlineStr">
        <is>
          <t>Công Ty TNHH Metkraft</t>
        </is>
      </c>
      <c r="E11253" t="inlineStr">
        <is>
          <t>Lương:Cạnh tranh</t>
        </is>
      </c>
      <c r="F11253" t="inlineStr">
        <is>
          <t>Hồ Chí Minh</t>
        </is>
      </c>
      <c r="G11253" t="inlineStr">
        <is>
          <t>11-04-2026</t>
        </is>
      </c>
      <c r="H11253" t="inlineStr">
        <is>
          <t>11/04/2026</t>
        </is>
      </c>
      <c r="I11253" t="inlineStr">
        <is>
          <t>17/03/2026</t>
        </is>
      </c>
      <c r="J11253" t="inlineStr">
        <is>
          <t>Sản xuất / Vận hành sản xuất, Cơ khí / Ô tô / Tự động hóa, Kế toán / Kiểm toán</t>
        </is>
      </c>
      <c r="K11253" t="inlineStr">
        <is>
          <t>3 - 7 Năm</t>
        </is>
      </c>
      <c r="L11253" s="8">
        <f>HYPERLINK("https://careerviet.vn/vi/tim-viec-lam/production-planning-supervisor.35C68568.html","Xem chi tiết")</f>
        <v/>
      </c>
    </row>
    <row r="11254">
      <c r="B11254" s="9" t="n">
        <v>11252</v>
      </c>
      <c r="C11254" s="10" t="inlineStr">
        <is>
          <t>Nhân viên thiết kế đồ họa/Graphic Designer- Làm việc tại Cái Bè</t>
        </is>
      </c>
      <c r="D11254" s="10" t="inlineStr">
        <is>
          <t>CÔNG TY TNHH MỘT THÀNH VIÊN DREAM MEKONG</t>
        </is>
      </c>
      <c r="E11254" s="10" t="inlineStr">
        <is>
          <t>Lương:Cạnh tranh</t>
        </is>
      </c>
      <c r="F11254" s="10" t="inlineStr">
        <is>
          <t>Tiền Giang</t>
        </is>
      </c>
      <c r="G11254" s="10" t="inlineStr">
        <is>
          <t>11-04-2026</t>
        </is>
      </c>
      <c r="H11254" s="10" t="inlineStr">
        <is>
          <t>11/04/2026</t>
        </is>
      </c>
      <c r="I11254" s="10" t="inlineStr">
        <is>
          <t>17/03/2026</t>
        </is>
      </c>
      <c r="J11254" s="10" t="inlineStr">
        <is>
          <t>Nhân sự, Mỹ thuật / Nghệ thuật / Thiết kế, In ấn / Xuất bản</t>
        </is>
      </c>
      <c r="K11254" s="10" t="inlineStr">
        <is>
          <t>N/A</t>
        </is>
      </c>
      <c r="L11254" s="11">
        <f>HYPERLINK("https://careerviet.vn/vi/tim-viec-lam/nhan-vien-thiet-ke-do-hoa-graphic-designer-lam-viec-tai-cai-be.35C5B746.html","Xem chi tiết")</f>
        <v/>
      </c>
      <c r="M11254" s="10" t="n"/>
    </row>
    <row r="11255">
      <c r="B11255" s="7" t="n">
        <v>11253</v>
      </c>
      <c r="C11255" t="inlineStr">
        <is>
          <t>Sales Admin</t>
        </is>
      </c>
      <c r="D11255" t="inlineStr">
        <is>
          <t>CÔNG TY CP BIA &amp; NGK HẠ LONG</t>
        </is>
      </c>
      <c r="E11255" t="inlineStr">
        <is>
          <t>Lương:10 Tr - 12 Tr VND</t>
        </is>
      </c>
      <c r="F11255" t="inlineStr">
        <is>
          <t>Hà Nội</t>
        </is>
      </c>
      <c r="G11255" t="inlineStr">
        <is>
          <t>11-04-2026</t>
        </is>
      </c>
      <c r="H11255" t="inlineStr">
        <is>
          <t>11/04/2026</t>
        </is>
      </c>
      <c r="I11255" t="inlineStr">
        <is>
          <t>17/03/2026</t>
        </is>
      </c>
      <c r="J11255" t="inlineStr">
        <is>
          <t>Thực phẩm &amp; Đồ uống</t>
        </is>
      </c>
      <c r="K11255" t="inlineStr">
        <is>
          <t>1 - 2 Năm</t>
        </is>
      </c>
      <c r="L11255" s="8">
        <f>HYPERLINK("https://careerviet.vn/vi/tim-viec-lam/sales-admin.35C6859D.html","Xem chi tiết")</f>
        <v/>
      </c>
    </row>
    <row r="11256">
      <c r="B11256" s="9" t="n">
        <v>11254</v>
      </c>
      <c r="C11256" s="10" t="inlineStr">
        <is>
          <t>Logistics Operation Staff</t>
        </is>
      </c>
      <c r="D11256" s="10" t="inlineStr">
        <is>
          <t>CÔNG TY TNHH LOGICALL VIỆT NAM</t>
        </is>
      </c>
      <c r="E11256" s="10" t="inlineStr">
        <is>
          <t>Lương:Cạnh tranh</t>
        </is>
      </c>
      <c r="F11256" s="10" t="inlineStr">
        <is>
          <t>Hồ Chí Minh</t>
        </is>
      </c>
      <c r="G11256" s="10" t="inlineStr">
        <is>
          <t>11-04-2026</t>
        </is>
      </c>
      <c r="H11256" s="10" t="inlineStr">
        <is>
          <t>11/04/2026</t>
        </is>
      </c>
      <c r="I11256" s="10" t="inlineStr">
        <is>
          <t>17/03/2026</t>
        </is>
      </c>
      <c r="J11256" s="10" t="inlineStr">
        <is>
          <t>Vận chuyển / Giao nhận / Kho vận, Xuất nhập khẩu</t>
        </is>
      </c>
      <c r="K11256" s="10" t="inlineStr">
        <is>
          <t>2 - 3 Năm</t>
        </is>
      </c>
      <c r="L11256" s="11">
        <f>HYPERLINK("https://careerviet.vn/vi/tim-viec-lam/logistics-operation-staff.35C68528.html","Xem chi tiết")</f>
        <v/>
      </c>
      <c r="M11256" s="10" t="n"/>
    </row>
    <row r="11257">
      <c r="B11257" s="7" t="n">
        <v>11255</v>
      </c>
      <c r="C11257" t="inlineStr">
        <is>
          <t>Nhân viên An toàn lao động / HSE Officer</t>
        </is>
      </c>
      <c r="D11257" t="inlineStr">
        <is>
          <t>Savills Vietnam</t>
        </is>
      </c>
      <c r="E11257" t="inlineStr">
        <is>
          <t>Lương:Cạnh tranh</t>
        </is>
      </c>
      <c r="F11257" t="inlineStr">
        <is>
          <t>Hồ Chí Minh</t>
        </is>
      </c>
      <c r="G11257" t="inlineStr">
        <is>
          <t>11-04-2026</t>
        </is>
      </c>
      <c r="H11257" t="inlineStr">
        <is>
          <t>11/04/2026</t>
        </is>
      </c>
      <c r="I11257" t="inlineStr">
        <is>
          <t>17/03/2026</t>
        </is>
      </c>
      <c r="J11257" t="inlineStr">
        <is>
          <t>An toàn lao động, Bất động sản</t>
        </is>
      </c>
      <c r="K11257" t="inlineStr">
        <is>
          <t>3 - 4 Năm</t>
        </is>
      </c>
      <c r="L11257" s="8">
        <f>HYPERLINK("https://careerviet.vn/vi/tim-viec-lam/nhan-vien-an-toan-lao-dong-hse-officer.35C67E8F.html","Xem chi tiết")</f>
        <v/>
      </c>
    </row>
    <row r="11258">
      <c r="B11258" s="9" t="n">
        <v>11256</v>
      </c>
      <c r="C11258" s="10" t="inlineStr">
        <is>
          <t>Player Support Specialist - Gaming Account</t>
        </is>
      </c>
      <c r="D11258" s="10" t="inlineStr">
        <is>
          <t>TDCX Malaysia (Teledirect Telecommerce Sdn Bhd)</t>
        </is>
      </c>
      <c r="E11258" s="10" t="inlineStr">
        <is>
          <t>Lương:8 Tr - 12 Tr VND</t>
        </is>
      </c>
      <c r="F11258" s="10" t="inlineStr">
        <is>
          <t>Hồ Chí Minh</t>
        </is>
      </c>
      <c r="G11258" s="10" t="inlineStr">
        <is>
          <t>11-04-2026</t>
        </is>
      </c>
      <c r="H11258" s="10" t="inlineStr">
        <is>
          <t>11/04/2026</t>
        </is>
      </c>
      <c r="I11258" s="10" t="inlineStr">
        <is>
          <t>17/03/2026</t>
        </is>
      </c>
      <c r="J11258" s="10" t="inlineStr">
        <is>
          <t>Dịch vụ khách hàng</t>
        </is>
      </c>
      <c r="K11258" s="10" t="inlineStr">
        <is>
          <t>Không yêu cầu kinh nghiệm</t>
        </is>
      </c>
      <c r="L11258" s="11">
        <f>HYPERLINK("https://careerviet.vn/vi/tim-viec-lam/player-support-specialist-gaming-account.35C684BA.html","Xem chi tiết")</f>
        <v/>
      </c>
      <c r="M11258" s="10" t="n"/>
    </row>
    <row r="11259">
      <c r="B11259" s="7" t="n">
        <v>11257</v>
      </c>
      <c r="C11259" t="inlineStr">
        <is>
          <t>Master Data Executive</t>
        </is>
      </c>
      <c r="D11259" t="inlineStr">
        <is>
          <t>Viet Thai International</t>
        </is>
      </c>
      <c r="E11259" t="inlineStr">
        <is>
          <t>Lương:Cạnh tranh</t>
        </is>
      </c>
      <c r="F11259" t="inlineStr">
        <is>
          <t>Hồ Chí Minh</t>
        </is>
      </c>
      <c r="G11259" t="inlineStr">
        <is>
          <t>11-04-2026</t>
        </is>
      </c>
      <c r="H11259" t="inlineStr">
        <is>
          <t>11/04/2026</t>
        </is>
      </c>
      <c r="I11259" t="inlineStr">
        <is>
          <t>17/03/2026</t>
        </is>
      </c>
      <c r="J11259" t="inlineStr">
        <is>
          <t>CNTT - Phần mềm</t>
        </is>
      </c>
      <c r="K11259" t="inlineStr">
        <is>
          <t>1 - 2 Năm</t>
        </is>
      </c>
      <c r="L11259" s="8">
        <f>HYPERLINK("https://careerviet.vn/vi/tim-viec-lam/master-data-executive.35C684B7.html","Xem chi tiết")</f>
        <v/>
      </c>
    </row>
    <row r="11260">
      <c r="B11260" s="9" t="n">
        <v>11258</v>
      </c>
      <c r="C11260" s="10" t="inlineStr">
        <is>
          <t>Phó Giám đốc Kinh Doanh Tại Nam Định</t>
        </is>
      </c>
      <c r="D11260" s="10" t="inlineStr">
        <is>
          <t>Tổng Công Ty Cổ Phần Bảo Hiểm Ngân Hàng TMCP Công Thương Việt Nam</t>
        </is>
      </c>
      <c r="E11260" s="10" t="inlineStr">
        <is>
          <t>Lương:Cạnh tranh</t>
        </is>
      </c>
      <c r="F11260" s="10" t="inlineStr">
        <is>
          <t>Hồ Chí Minh</t>
        </is>
      </c>
      <c r="G11260" s="10" t="inlineStr">
        <is>
          <t>11-04-2026</t>
        </is>
      </c>
      <c r="H11260" s="10" t="inlineStr">
        <is>
          <t>11/04/2026</t>
        </is>
      </c>
      <c r="I11260" s="10" t="inlineStr">
        <is>
          <t>17/03/2026</t>
        </is>
      </c>
      <c r="J11260" s="10" t="inlineStr">
        <is>
          <t>Bảo hiểm</t>
        </is>
      </c>
      <c r="K11260" s="10" t="inlineStr">
        <is>
          <t>3 - 5 Năm</t>
        </is>
      </c>
      <c r="L11260" s="11">
        <f>HYPERLINK("https://careerviet.vn/vi/tim-viec-lam/pho-giam-doc-kinh-doanh-tai-nam-dinh.35C68605.html","Xem chi tiết")</f>
        <v/>
      </c>
      <c r="M11260" s="10" t="n"/>
    </row>
    <row r="11261">
      <c r="B11261" s="7" t="n">
        <v>11259</v>
      </c>
      <c r="C11261" t="inlineStr">
        <is>
          <t>Giao dịch Viên -  Cầu Giấy - Hà Nội</t>
        </is>
      </c>
      <c r="D11261" t="inlineStr">
        <is>
          <t>Ngân hàng TMCP Thịnh vượng và Phát triển - PGBank</t>
        </is>
      </c>
      <c r="E11261" t="inlineStr">
        <is>
          <t>Lương:8 Tr - 15 Tr VND</t>
        </is>
      </c>
      <c r="F11261" t="inlineStr">
        <is>
          <t>Hà Nội</t>
        </is>
      </c>
      <c r="G11261" t="inlineStr">
        <is>
          <t>11-04-2026</t>
        </is>
      </c>
      <c r="H11261" t="inlineStr">
        <is>
          <t>11/04/2026</t>
        </is>
      </c>
      <c r="I11261" t="inlineStr">
        <is>
          <t>17/03/2026</t>
        </is>
      </c>
      <c r="J11261" t="inlineStr">
        <is>
          <t>Ngân hàng, Dịch vụ khách hàng</t>
        </is>
      </c>
      <c r="K11261" t="inlineStr">
        <is>
          <t>Lên đến 1 Năm</t>
        </is>
      </c>
      <c r="L11261" s="8">
        <f>HYPERLINK("https://careerviet.vn/vi/tim-viec-lam/giao-dich-vien-cau-giay-ha-noi.35C67EA7.html","Xem chi tiết")</f>
        <v/>
      </c>
    </row>
    <row r="11262">
      <c r="B11262" s="9" t="n">
        <v>11260</v>
      </c>
      <c r="C11262" s="10" t="inlineStr">
        <is>
          <t>Receivable Accountant Executive (Contractor)</t>
        </is>
      </c>
      <c r="D11262" s="10" t="inlineStr">
        <is>
          <t>Marico South East Asia Corporation</t>
        </is>
      </c>
      <c r="E11262" s="10" t="inlineStr">
        <is>
          <t>Lương:Cạnh tranh</t>
        </is>
      </c>
      <c r="F11262" s="10" t="inlineStr">
        <is>
          <t>Hồ Chí Minh</t>
        </is>
      </c>
      <c r="G11262" s="10" t="inlineStr">
        <is>
          <t>11-04-2026</t>
        </is>
      </c>
      <c r="H11262" s="10" t="inlineStr">
        <is>
          <t>11/04/2026</t>
        </is>
      </c>
      <c r="I11262" s="10" t="inlineStr">
        <is>
          <t>17/03/2026</t>
        </is>
      </c>
      <c r="J11262" s="10" t="inlineStr">
        <is>
          <t>Kế toán / Kiểm toán</t>
        </is>
      </c>
      <c r="K11262" s="10" t="inlineStr">
        <is>
          <t>1 - 4 Năm</t>
        </is>
      </c>
      <c r="L11262" s="11">
        <f>HYPERLINK("https://careerviet.vn/vi/tim-viec-lam/receivable-accountant-executive-contractor.35C68569.html","Xem chi tiết")</f>
        <v/>
      </c>
      <c r="M11262" s="10" t="n"/>
    </row>
    <row r="11263">
      <c r="B11263" s="7" t="n">
        <v>11261</v>
      </c>
      <c r="C11263" t="inlineStr">
        <is>
          <t>Creative Content Specialist (Publishing)</t>
        </is>
      </c>
      <c r="D11263" t="inlineStr">
        <is>
          <t>Công Ty Cổ Phần TEECOM</t>
        </is>
      </c>
      <c r="E11263" t="inlineStr">
        <is>
          <t>Lương:Cạnh tranh</t>
        </is>
      </c>
      <c r="F11263" t="inlineStr">
        <is>
          <t>Hồ Chí Minh</t>
        </is>
      </c>
      <c r="G11263" t="inlineStr">
        <is>
          <t>11-04-2026</t>
        </is>
      </c>
      <c r="H11263" t="inlineStr">
        <is>
          <t>11/04/2026</t>
        </is>
      </c>
      <c r="I11263" t="inlineStr">
        <is>
          <t>17/03/2026</t>
        </is>
      </c>
      <c r="J11263" t="inlineStr">
        <is>
          <t>Thương mại điện tử, Mỹ thuật / Nghệ thuật / Thiết kế, Truyền hình / Báo chí / Biên tập</t>
        </is>
      </c>
      <c r="K11263" t="inlineStr">
        <is>
          <t>3 - 4 Năm</t>
        </is>
      </c>
      <c r="L11263" s="8">
        <f>HYPERLINK("https://careerviet.vn/vi/tim-viec-lam/creative-content-specialist-publishing.35C685AD.html","Xem chi tiết")</f>
        <v/>
      </c>
    </row>
    <row r="11264">
      <c r="B11264" s="9" t="n">
        <v>11262</v>
      </c>
      <c r="C11264" s="10" t="inlineStr">
        <is>
          <t>[Hà Nội] Chuyên viên/Chuyên viên cao cấp Khách hàng Doanh nghiệp</t>
        </is>
      </c>
      <c r="D11264" s="10" t="inlineStr">
        <is>
          <t>Ngân Hàng TMCP Tiên Phong (TPBank)</t>
        </is>
      </c>
      <c r="E11264" s="10" t="inlineStr">
        <is>
          <t>Lương:12 Tr - 20 Tr VND</t>
        </is>
      </c>
      <c r="F11264" s="10" t="inlineStr">
        <is>
          <t>Hà Nội</t>
        </is>
      </c>
      <c r="G11264" s="10" t="inlineStr">
        <is>
          <t>11-04-2026</t>
        </is>
      </c>
      <c r="H11264" s="10" t="inlineStr">
        <is>
          <t>11/04/2026</t>
        </is>
      </c>
      <c r="I11264" s="10" t="inlineStr">
        <is>
          <t>17/03/2026</t>
        </is>
      </c>
      <c r="J11264" s="10" t="inlineStr">
        <is>
          <t>Ngân hàng, Tài chính / Đầu tư</t>
        </is>
      </c>
      <c r="K11264" s="10" t="inlineStr">
        <is>
          <t>1 - 3 Năm</t>
        </is>
      </c>
      <c r="L11264" s="11">
        <f>HYPERLINK("https://careerviet.vn/vi/tim-viec-lam/ha-noi-chuyen-vien-chuyen-vien-cao-cap-khach-hang-doanh-nghiep.35C68598.html","Xem chi tiết")</f>
        <v/>
      </c>
      <c r="M11264" s="10" t="n"/>
    </row>
    <row r="11265">
      <c r="B11265" s="7" t="n">
        <v>11263</v>
      </c>
      <c r="C11265" t="inlineStr">
        <is>
          <t>[Mega Hiệp Phú] NHÂN VIÊN CHĂM SÓC HÀNG HÓA SIÊU THỊ (Pg/Pb) nhận việc sau tết</t>
        </is>
      </c>
      <c r="D11265" t="inlineStr">
        <is>
          <t>CÔNG TY TNHH DAESANG VIỆT NAM</t>
        </is>
      </c>
      <c r="E11265" t="inlineStr">
        <is>
          <t>Lương:9,5 Tr - 12,5 Tr VND</t>
        </is>
      </c>
      <c r="F11265" t="inlineStr">
        <is>
          <t>Hồ Chí Minh</t>
        </is>
      </c>
      <c r="G11265" t="inlineStr">
        <is>
          <t>11-04-2026</t>
        </is>
      </c>
      <c r="H11265" t="inlineStr">
        <is>
          <t>11/04/2026</t>
        </is>
      </c>
      <c r="I11265" t="inlineStr">
        <is>
          <t>17/03/2026</t>
        </is>
      </c>
      <c r="J11265" t="inlineStr">
        <is>
          <t>Tiếp thị / Marketing, Bán hàng / Kinh doanh, Tiếp thị trực tuyến</t>
        </is>
      </c>
      <c r="K11265" t="inlineStr">
        <is>
          <t>N/A</t>
        </is>
      </c>
      <c r="L11265" s="8">
        <f>HYPERLINK("https://careerviet.vn/vi/tim-viec-lam/mega-hiep-phu-nhan-vien-cham-soc-hang-hoa-sieu-thi-pg-pb-nhan-viec-sau-tet.35C685EA.html","Xem chi tiết")</f>
        <v/>
      </c>
    </row>
    <row r="11266">
      <c r="B11266" s="9" t="n">
        <v>11264</v>
      </c>
      <c r="C11266" s="10" t="inlineStr">
        <is>
          <t>MCN Project Manager</t>
        </is>
      </c>
      <c r="D11266" s="10" t="inlineStr">
        <is>
          <t>CÔNG TY TNHH GIP GROUP</t>
        </is>
      </c>
      <c r="E11266" s="10" t="inlineStr">
        <is>
          <t>Lương:Trên 80 Tr VND</t>
        </is>
      </c>
      <c r="F11266" s="10" t="inlineStr">
        <is>
          <t>Hà NộiHồ Chí Minh</t>
        </is>
      </c>
      <c r="G11266" s="10" t="inlineStr">
        <is>
          <t>11-04-2026</t>
        </is>
      </c>
      <c r="H11266" s="10" t="inlineStr">
        <is>
          <t>11/04/2026</t>
        </is>
      </c>
      <c r="I11266" s="10" t="inlineStr">
        <is>
          <t>17/03/2026</t>
        </is>
      </c>
      <c r="J11266" s="10" t="inlineStr">
        <is>
          <t>Bán hàng / Kinh doanh, Thương mại điện tử, Quảng cáo / Đối ngoại / Truyền Thông</t>
        </is>
      </c>
      <c r="K11266" s="10" t="inlineStr">
        <is>
          <t>Trên 2 Năm</t>
        </is>
      </c>
      <c r="L11266" s="11">
        <f>HYPERLINK("https://careerviet.vn/vi/tim-viec-lam/mcn-project-manager.35C68527.html","Xem chi tiết")</f>
        <v/>
      </c>
      <c r="M11266" s="10" t="n"/>
    </row>
    <row r="11267">
      <c r="B11267" s="7" t="n">
        <v>11265</v>
      </c>
      <c r="C11267" t="inlineStr">
        <is>
          <t>Chuyên Viên khai triển Nội Thất</t>
        </is>
      </c>
      <c r="D11267" t="inlineStr">
        <is>
          <t>CÔNG TY TNHH THIẾT KẾ XÂY DỰNG FINN</t>
        </is>
      </c>
      <c r="E11267" t="inlineStr">
        <is>
          <t>Lương:15 Tr - 20 Tr VND</t>
        </is>
      </c>
      <c r="F11267" t="inlineStr">
        <is>
          <t>Hồ Chí Minh</t>
        </is>
      </c>
      <c r="G11267" t="inlineStr">
        <is>
          <t>11-04-2026</t>
        </is>
      </c>
      <c r="H11267" t="inlineStr">
        <is>
          <t>11/04/2026</t>
        </is>
      </c>
      <c r="I11267" t="inlineStr">
        <is>
          <t>17/03/2026</t>
        </is>
      </c>
      <c r="J11267" t="inlineStr">
        <is>
          <t>Nội ngoại thất, Kiến trúc, Mỹ thuật / Nghệ thuật / Thiết kế</t>
        </is>
      </c>
      <c r="K11267" t="inlineStr">
        <is>
          <t>Trên 2 Năm</t>
        </is>
      </c>
      <c r="L11267" s="8">
        <f>HYPERLINK("https://careerviet.vn/vi/tim-viec-lam/chuyen-vien-khai-trien-noi-that.35C68497.html","Xem chi tiết")</f>
        <v/>
      </c>
    </row>
    <row r="11268">
      <c r="B11268" s="9" t="n">
        <v>11266</v>
      </c>
      <c r="C11268" s="10" t="inlineStr">
        <is>
          <t>Nhân viên kế toán, thống kê</t>
        </is>
      </c>
      <c r="D11268" s="10" t="inlineStr">
        <is>
          <t>Tổng công ty Xây dựng Trường Sơn</t>
        </is>
      </c>
      <c r="E11268" s="10" t="inlineStr">
        <is>
          <t>Lương:20 Tr - 40 Tr VND</t>
        </is>
      </c>
      <c r="F11268" s="10" t="inlineStr">
        <is>
          <t>Toàn quốc</t>
        </is>
      </c>
      <c r="G11268" s="10" t="inlineStr">
        <is>
          <t>11-04-2026</t>
        </is>
      </c>
      <c r="H11268" s="10" t="inlineStr">
        <is>
          <t>11/04/2026</t>
        </is>
      </c>
      <c r="I11268" s="10" t="inlineStr">
        <is>
          <t>17/03/2026</t>
        </is>
      </c>
      <c r="J11268" s="10" t="inlineStr">
        <is>
          <t>Kế toán / Kiểm toán, Kiến trúc, Xây dựng</t>
        </is>
      </c>
      <c r="K11268" s="10" t="inlineStr">
        <is>
          <t>Trên 1 Năm</t>
        </is>
      </c>
      <c r="L11268" s="11">
        <f>HYPERLINK("https://careerviet.vn/vi/tim-viec-lam/nhan-vien-ke-toan-thong-ke.35C685C9.html","Xem chi tiết")</f>
        <v/>
      </c>
      <c r="M11268" s="10" t="n"/>
    </row>
    <row r="11269">
      <c r="B11269" s="7" t="n">
        <v>11267</v>
      </c>
      <c r="C11269" t="inlineStr">
        <is>
          <t>Trưởng phòng Hành chính nhân sự - Xã Hòa Khánh, Tỉnh Tây Ninh (Long An Cũ)</t>
        </is>
      </c>
      <c r="D11269" t="inlineStr">
        <is>
          <t>Bảo mật</t>
        </is>
      </c>
      <c r="E11269" t="inlineStr">
        <is>
          <t>Lương:Cạnh tranh</t>
        </is>
      </c>
      <c r="F11269" t="inlineStr">
        <is>
          <t>Long An</t>
        </is>
      </c>
      <c r="G11269" t="inlineStr">
        <is>
          <t>11-04-2026</t>
        </is>
      </c>
      <c r="H11269" t="inlineStr">
        <is>
          <t>11/04/2026</t>
        </is>
      </c>
      <c r="I11269" t="inlineStr">
        <is>
          <t>17/03/2026</t>
        </is>
      </c>
      <c r="J11269" t="inlineStr">
        <is>
          <t>Hành chính / Thư ký, Quản lý điều hành, Nhân sự</t>
        </is>
      </c>
      <c r="K11269" t="inlineStr">
        <is>
          <t>2 - 3 Năm</t>
        </is>
      </c>
      <c r="L11269" s="8">
        <f>HYPERLINK("https://careerviet.vn/vi/tim-viec-lam/truong-phong-hanh-chinh-nhan-su-xa-hoa-khanh-tinh-tay-ninh-long-an-cu.35C685E8.html","Xem chi tiết")</f>
        <v/>
      </c>
    </row>
    <row r="11270">
      <c r="B11270" s="9" t="n">
        <v>11268</v>
      </c>
      <c r="C11270" s="10" t="inlineStr">
        <is>
          <t>Chuyên viên Công nghệ</t>
        </is>
      </c>
      <c r="D11270" s="10" t="inlineStr">
        <is>
          <t>CÔNG TY CP BIA &amp; NGK HẠ LONG</t>
        </is>
      </c>
      <c r="E11270" s="10" t="inlineStr">
        <is>
          <t>Lương:Cạnh tranh</t>
        </is>
      </c>
      <c r="F11270" s="10" t="inlineStr">
        <is>
          <t>Quảng Ninh</t>
        </is>
      </c>
      <c r="G11270" s="10" t="inlineStr">
        <is>
          <t>11-04-2026</t>
        </is>
      </c>
      <c r="H11270" s="10" t="inlineStr">
        <is>
          <t>11/04/2026</t>
        </is>
      </c>
      <c r="I11270" s="10" t="inlineStr">
        <is>
          <t>17/03/2026</t>
        </is>
      </c>
      <c r="J11270" s="10" t="inlineStr">
        <is>
          <t>Hóa học</t>
        </is>
      </c>
      <c r="K11270" s="10" t="inlineStr">
        <is>
          <t>3 - 5 Năm</t>
        </is>
      </c>
      <c r="L11270" s="11">
        <f>HYPERLINK("https://careerviet.vn/vi/tim-viec-lam/chuyen-vien-cong-nghe.35C6859B.html","Xem chi tiết")</f>
        <v/>
      </c>
      <c r="M11270" s="10" t="n"/>
    </row>
    <row r="11271">
      <c r="B11271" s="7" t="n">
        <v>11269</v>
      </c>
      <c r="C11271" t="inlineStr">
        <is>
          <t>Thư Ký Kinh Doanh</t>
        </is>
      </c>
      <c r="D11271" t="inlineStr">
        <is>
          <t>Công Ty Cổ Phần Đông Tây Land</t>
        </is>
      </c>
      <c r="E11271" t="inlineStr">
        <is>
          <t>Lương:10 Tr - 12 Tr VND</t>
        </is>
      </c>
      <c r="F11271" t="inlineStr">
        <is>
          <t>Hồ Chí Minh</t>
        </is>
      </c>
      <c r="G11271" t="inlineStr">
        <is>
          <t>11-04-2026</t>
        </is>
      </c>
      <c r="H11271" t="inlineStr">
        <is>
          <t>11/04/2026</t>
        </is>
      </c>
      <c r="I11271" t="inlineStr">
        <is>
          <t>17/03/2026</t>
        </is>
      </c>
      <c r="J11271" t="inlineStr">
        <is>
          <t>Hành chính / Thư ký, Nhân sự, Bất động sản</t>
        </is>
      </c>
      <c r="K11271" t="inlineStr">
        <is>
          <t>1 - 2 Năm</t>
        </is>
      </c>
      <c r="L11271" s="8">
        <f>HYPERLINK("https://careerviet.vn/vi/tim-viec-lam/thu-ky-kinh-doanh.35C684D0.html","Xem chi tiết")</f>
        <v/>
      </c>
    </row>
    <row r="11272">
      <c r="B11272" s="9" t="n">
        <v>11270</v>
      </c>
      <c r="C11272" s="10" t="inlineStr">
        <is>
          <t>Chuyên viên Trade Marketing - thu nhập upto 18triệu/tháng</t>
        </is>
      </c>
      <c r="D11272" s="10" t="inlineStr">
        <is>
          <t>Công ty Cổ phần thực phẩm và đồ uống Barett</t>
        </is>
      </c>
      <c r="E11272" s="10" t="inlineStr">
        <is>
          <t>Lương:13 Tr - 18 Tr VND</t>
        </is>
      </c>
      <c r="F11272" s="10" t="inlineStr">
        <is>
          <t>Hà Nội</t>
        </is>
      </c>
      <c r="G11272" s="10" t="inlineStr">
        <is>
          <t>11-04-2026</t>
        </is>
      </c>
      <c r="H11272" s="10" t="inlineStr">
        <is>
          <t>11/04/2026</t>
        </is>
      </c>
      <c r="I11272" s="10" t="inlineStr">
        <is>
          <t>17/03/2026</t>
        </is>
      </c>
      <c r="J11272" s="10" t="inlineStr">
        <is>
          <t>Tiếp thị / Marketing, Bán hàng / Kinh doanh, Thực phẩm &amp; Đồ uống</t>
        </is>
      </c>
      <c r="K11272" s="10" t="inlineStr">
        <is>
          <t>2 - 3 Năm</t>
        </is>
      </c>
      <c r="L11272" s="11">
        <f>HYPERLINK("https://careerviet.vn/vi/tim-viec-lam/chuyen-vien-trade-marketing-thu-nhap-upto-18trieu-thang.35C68533.html","Xem chi tiết")</f>
        <v/>
      </c>
      <c r="M11272" s="10" t="n"/>
    </row>
    <row r="11273">
      <c r="B11273" s="7" t="n">
        <v>11271</v>
      </c>
      <c r="C11273" t="inlineStr">
        <is>
          <t>C&amp;B Supervisor - Ngành F&amp;B</t>
        </is>
      </c>
      <c r="D11273" t="inlineStr">
        <is>
          <t>Công ty TNHH Sản xuất Thương mại &amp; Dịch vụ Hoa Xinh</t>
        </is>
      </c>
      <c r="E11273" t="inlineStr">
        <is>
          <t>Lương:Cạnh tranh</t>
        </is>
      </c>
      <c r="F11273" t="inlineStr">
        <is>
          <t>Hồ Chí Minh</t>
        </is>
      </c>
      <c r="G11273" t="inlineStr">
        <is>
          <t>11-04-2026</t>
        </is>
      </c>
      <c r="H11273" t="inlineStr">
        <is>
          <t>11/04/2026</t>
        </is>
      </c>
      <c r="I11273" t="inlineStr">
        <is>
          <t>17/03/2026</t>
        </is>
      </c>
      <c r="J11273" t="inlineStr">
        <is>
          <t>Dịch vụ khách hàng, Hành chính / Thư ký, Nhân sự</t>
        </is>
      </c>
      <c r="K11273" t="inlineStr">
        <is>
          <t>2 - 5 Năm</t>
        </is>
      </c>
      <c r="L11273" s="8">
        <f>HYPERLINK("https://careerviet.vn/vi/tim-viec-lam/c-b-supervisor-nganh-f-b.35C68520.html","Xem chi tiết")</f>
        <v/>
      </c>
    </row>
    <row r="11274">
      <c r="B11274" s="9" t="n">
        <v>11272</v>
      </c>
      <c r="C11274" s="10" t="inlineStr">
        <is>
          <t>Chief Accountant/ Kế Toán Trưởng</t>
        </is>
      </c>
      <c r="D11274" s="10" t="inlineStr">
        <is>
          <t>Công Ty Hoàng An Nhiên</t>
        </is>
      </c>
      <c r="E11274" s="10" t="inlineStr">
        <is>
          <t>Lương:Cạnh tranh</t>
        </is>
      </c>
      <c r="F11274" s="10" t="inlineStr">
        <is>
          <t>Hà Nội</t>
        </is>
      </c>
      <c r="G11274" s="10" t="inlineStr">
        <is>
          <t>11-04-2026</t>
        </is>
      </c>
      <c r="H11274" s="10" t="inlineStr">
        <is>
          <t>11/04/2026</t>
        </is>
      </c>
      <c r="I11274" s="10" t="inlineStr">
        <is>
          <t>17/03/2026</t>
        </is>
      </c>
      <c r="J11274" s="10" t="inlineStr">
        <is>
          <t>Thực phẩm &amp; Đồ uống, Nhà hàng / Khách sạn</t>
        </is>
      </c>
      <c r="K11274" s="10" t="inlineStr">
        <is>
          <t>7 - 10 Năm</t>
        </is>
      </c>
      <c r="L11274" s="11">
        <f>HYPERLINK("https://careerviet.vn/vi/tim-viec-lam/chief-accountant-ke-toan-truong.35C6852A.html","Xem chi tiết")</f>
        <v/>
      </c>
      <c r="M11274" s="10" t="n"/>
    </row>
    <row r="11275">
      <c r="B11275" s="7" t="n">
        <v>11273</v>
      </c>
      <c r="C11275" t="inlineStr">
        <is>
          <t>Marketing Executive - Korean  (biết tiếng Hàn)</t>
        </is>
      </c>
      <c r="D11275" t="inlineStr">
        <is>
          <t>Công ty TNHH VK Soho Offices</t>
        </is>
      </c>
      <c r="E11275" t="inlineStr">
        <is>
          <t>Lương:15 Tr - 17 Tr VND</t>
        </is>
      </c>
      <c r="F11275" t="inlineStr">
        <is>
          <t>Hồ Chí MinhĐà Nẵng</t>
        </is>
      </c>
      <c r="G11275" t="inlineStr">
        <is>
          <t>11-04-2026</t>
        </is>
      </c>
      <c r="H11275" t="inlineStr">
        <is>
          <t>11/04/2026</t>
        </is>
      </c>
      <c r="I11275" t="inlineStr">
        <is>
          <t>17/03/2026</t>
        </is>
      </c>
      <c r="J11275" t="inlineStr">
        <is>
          <t>Tiếp thị / Marketing, Biên phiên dịch, Quảng cáo / Đối ngoại / Truyền Thông</t>
        </is>
      </c>
      <c r="K11275" t="inlineStr">
        <is>
          <t>Chưa có kinh nghiệm</t>
        </is>
      </c>
      <c r="L11275" s="8">
        <f>HYPERLINK("https://careerviet.vn/vi/tim-viec-lam/marketing-executive-korean-biet-tieng-han.35C684D2.html","Xem chi tiết")</f>
        <v/>
      </c>
    </row>
    <row r="11276">
      <c r="B11276" s="9" t="n">
        <v>11274</v>
      </c>
      <c r="C11276" s="10" t="inlineStr">
        <is>
          <t>HRBP Assistant Manager</t>
        </is>
      </c>
      <c r="D11276" s="10" t="inlineStr">
        <is>
          <t>Công Ty Cổ Phần Thời Trang &amp; Mỹ Phẩm Duy Anh (DAFC)</t>
        </is>
      </c>
      <c r="E11276" s="10" t="inlineStr">
        <is>
          <t>Lương:Cạnh tranh</t>
        </is>
      </c>
      <c r="F11276" s="10" t="inlineStr">
        <is>
          <t>Hà Nội</t>
        </is>
      </c>
      <c r="G11276" s="10" t="inlineStr">
        <is>
          <t>11-04-2026</t>
        </is>
      </c>
      <c r="H11276" s="10" t="inlineStr">
        <is>
          <t>11/04/2026</t>
        </is>
      </c>
      <c r="I11276" s="10" t="inlineStr">
        <is>
          <t>17/03/2026</t>
        </is>
      </c>
      <c r="J11276" s="10" t="inlineStr">
        <is>
          <t>Hành chính / Thư ký, Quản lý điều hành, Nhân sự</t>
        </is>
      </c>
      <c r="K11276" s="10" t="inlineStr">
        <is>
          <t>3 - 5 Năm</t>
        </is>
      </c>
      <c r="L11276" s="11">
        <f>HYPERLINK("https://careerviet.vn/vi/tim-viec-lam/hrbp-assistant-manager.35C68539.html","Xem chi tiết")</f>
        <v/>
      </c>
      <c r="M11276" s="10" t="n"/>
    </row>
    <row r="11277">
      <c r="B11277" s="7" t="n">
        <v>11275</v>
      </c>
      <c r="C11277" t="inlineStr">
        <is>
          <t>Pattern &amp; Consumption Manager</t>
        </is>
      </c>
      <c r="D11277" t="inlineStr">
        <is>
          <t>CÔNG TY TNHH EVOLUTION ENTERPRISES</t>
        </is>
      </c>
      <c r="E11277" t="inlineStr">
        <is>
          <t>Lương:30 Tr - 35 Tr VND</t>
        </is>
      </c>
      <c r="F11277" t="inlineStr">
        <is>
          <t>Hồ Chí Minh</t>
        </is>
      </c>
      <c r="G11277" t="inlineStr">
        <is>
          <t>11-04-2026</t>
        </is>
      </c>
      <c r="H11277" t="inlineStr">
        <is>
          <t>11/04/2026</t>
        </is>
      </c>
      <c r="I11277" t="inlineStr">
        <is>
          <t>17/03/2026</t>
        </is>
      </c>
      <c r="J11277" t="inlineStr">
        <is>
          <t>Sản xuất / Vận hành sản xuất, Dệt may / Da giày / Thời trang</t>
        </is>
      </c>
      <c r="K11277" t="inlineStr">
        <is>
          <t>3 - 5 Năm</t>
        </is>
      </c>
      <c r="L11277" s="8">
        <f>HYPERLINK("https://careerviet.vn/vi/tim-viec-lam/pattern-consumption-manager.35C684A8.html","Xem chi tiết")</f>
        <v/>
      </c>
    </row>
    <row r="11278">
      <c r="B11278" s="9" t="n">
        <v>11276</v>
      </c>
      <c r="C11278" s="10" t="inlineStr">
        <is>
          <t>ACCOUNT MANAGER (AGENCY)</t>
        </is>
      </c>
      <c r="D11278" s="10" t="inlineStr">
        <is>
          <t>Công ty TNHH Sản xuất Thương mại &amp; Dịch vụ Hoa Xinh</t>
        </is>
      </c>
      <c r="E11278" s="10" t="inlineStr">
        <is>
          <t>Lương:Cạnh tranh</t>
        </is>
      </c>
      <c r="F11278" s="10" t="inlineStr">
        <is>
          <t>Hồ Chí Minh</t>
        </is>
      </c>
      <c r="G11278" s="10" t="inlineStr">
        <is>
          <t>11-04-2026</t>
        </is>
      </c>
      <c r="H11278" s="10" t="inlineStr">
        <is>
          <t>11/04/2026</t>
        </is>
      </c>
      <c r="I11278" s="10" t="inlineStr">
        <is>
          <t>17/03/2026</t>
        </is>
      </c>
      <c r="J11278" s="10" t="inlineStr">
        <is>
          <t>Tiếp thị / Marketing, Tiếp thị trực tuyến, Thương mại điện tử</t>
        </is>
      </c>
      <c r="K11278" s="10" t="inlineStr">
        <is>
          <t>3 - 5 Năm</t>
        </is>
      </c>
      <c r="L11278" s="11">
        <f>HYPERLINK("https://careerviet.vn/vi/tim-viec-lam/account-manager-agency.35C6851F.html","Xem chi tiết")</f>
        <v/>
      </c>
      <c r="M11278" s="10" t="n"/>
    </row>
    <row r="11279">
      <c r="B11279" s="7" t="n">
        <v>11277</v>
      </c>
      <c r="C11279" t="inlineStr">
        <is>
          <t>Trưởng Phòng Thiết Kế  Nội Thất</t>
        </is>
      </c>
      <c r="D11279" t="inlineStr">
        <is>
          <t>CÔNG TY TNHH THIẾT KẾ XÂY DỰNG FINN</t>
        </is>
      </c>
      <c r="E11279" t="inlineStr">
        <is>
          <t>Lương:20 Tr - 30 Tr VND</t>
        </is>
      </c>
      <c r="F11279" t="inlineStr">
        <is>
          <t>Hồ Chí Minh</t>
        </is>
      </c>
      <c r="G11279" t="inlineStr">
        <is>
          <t>11-04-2026</t>
        </is>
      </c>
      <c r="H11279" t="inlineStr">
        <is>
          <t>11/04/2026</t>
        </is>
      </c>
      <c r="I11279" t="inlineStr">
        <is>
          <t>17/03/2026</t>
        </is>
      </c>
      <c r="J11279" t="inlineStr">
        <is>
          <t>Mỹ thuật / Nghệ thuật / Thiết kế, Kiến trúc, Nội ngoại thất</t>
        </is>
      </c>
      <c r="K11279" t="inlineStr">
        <is>
          <t>Trên 4 Năm</t>
        </is>
      </c>
      <c r="L11279" s="8">
        <f>HYPERLINK("https://careerviet.vn/vi/tim-viec-lam/truong-phong-thiet-ke-noi-that.35C68492.html","Xem chi tiết")</f>
        <v/>
      </c>
    </row>
    <row r="11280">
      <c r="B11280" s="9" t="n">
        <v>11278</v>
      </c>
      <c r="C11280" s="10" t="inlineStr">
        <is>
          <t>Chuyên viên Nhân sự</t>
        </is>
      </c>
      <c r="D11280" s="10" t="inlineStr">
        <is>
          <t>Công ty TNHH Lạc việt Quy Nhơn</t>
        </is>
      </c>
      <c r="E11280" s="10" t="inlineStr">
        <is>
          <t>Lương:15 Tr - 20 Tr VND</t>
        </is>
      </c>
      <c r="F11280" s="10" t="inlineStr">
        <is>
          <t>Hà Nội</t>
        </is>
      </c>
      <c r="G11280" s="10" t="inlineStr">
        <is>
          <t>11-04-2026</t>
        </is>
      </c>
      <c r="H11280" s="10" t="inlineStr">
        <is>
          <t>11/04/2026</t>
        </is>
      </c>
      <c r="I11280" s="10" t="inlineStr">
        <is>
          <t>17/03/2026</t>
        </is>
      </c>
      <c r="J11280" s="10" t="inlineStr">
        <is>
          <t>Nhân sự</t>
        </is>
      </c>
      <c r="K11280" s="10" t="inlineStr">
        <is>
          <t>2 - 3 Năm</t>
        </is>
      </c>
      <c r="L11280" s="11">
        <f>HYPERLINK("https://careerviet.vn/vi/tim-viec-lam/chuyen-vien-nhan-su.35C685E3.html","Xem chi tiết")</f>
        <v/>
      </c>
      <c r="M11280" s="10" t="n"/>
    </row>
    <row r="11281">
      <c r="B11281" s="7" t="n">
        <v>11279</v>
      </c>
      <c r="C11281" t="inlineStr">
        <is>
          <t>PYTHON DEVELOPER (ODOO)</t>
        </is>
      </c>
      <c r="D11281" t="inlineStr">
        <is>
          <t>Công ty cổ phần GMO-Z.com RUNSYSTEM</t>
        </is>
      </c>
      <c r="E11281" t="inlineStr">
        <is>
          <t>Lương:20 Tr - 30 Tr VND</t>
        </is>
      </c>
      <c r="F11281" t="inlineStr">
        <is>
          <t>Hà Nội</t>
        </is>
      </c>
      <c r="G11281" t="inlineStr">
        <is>
          <t>11-04-2026</t>
        </is>
      </c>
      <c r="H11281" t="inlineStr">
        <is>
          <t>11/04/2026</t>
        </is>
      </c>
      <c r="I11281" t="inlineStr">
        <is>
          <t>17/03/2026</t>
        </is>
      </c>
      <c r="J11281" t="inlineStr">
        <is>
          <t>CNTT - Phần mềm</t>
        </is>
      </c>
      <c r="K11281" t="inlineStr">
        <is>
          <t>3 - 5 Năm</t>
        </is>
      </c>
      <c r="L11281" s="8">
        <f>HYPERLINK("https://careerviet.vn/vi/tim-viec-lam/python-developer-odoo.35C68564.html","Xem chi tiết")</f>
        <v/>
      </c>
    </row>
    <row r="11282">
      <c r="B11282" s="9" t="n">
        <v>11280</v>
      </c>
      <c r="C11282" s="10" t="inlineStr">
        <is>
          <t>Phó Giám đốc Kinh Doanh Tại Nam Định</t>
        </is>
      </c>
      <c r="D11282" s="10" t="inlineStr">
        <is>
          <t>Tổng Công Ty Cổ Phần Bảo Hiểm Ngân Hàng TMCP Công Thương Việt Nam</t>
        </is>
      </c>
      <c r="E11282" s="10" t="inlineStr">
        <is>
          <t>Lương:Cạnh tranh</t>
        </is>
      </c>
      <c r="F11282" s="10" t="inlineStr">
        <is>
          <t>Nam Định</t>
        </is>
      </c>
      <c r="G11282" s="10" t="inlineStr">
        <is>
          <t>11-04-2026</t>
        </is>
      </c>
      <c r="H11282" s="10" t="inlineStr">
        <is>
          <t>11/04/2026</t>
        </is>
      </c>
      <c r="I11282" s="10" t="inlineStr">
        <is>
          <t>17/03/2026</t>
        </is>
      </c>
      <c r="J11282" s="10" t="inlineStr">
        <is>
          <t>Bảo hiểm</t>
        </is>
      </c>
      <c r="K11282" s="10" t="inlineStr">
        <is>
          <t>3 - 5 Năm</t>
        </is>
      </c>
      <c r="L11282" s="11">
        <f>HYPERLINK("https://careerviet.vn/vi/tim-viec-lam/pho-giam-doc-kinh-doanh-tai-nam-dinh.35C68604.html","Xem chi tiết")</f>
        <v/>
      </c>
      <c r="M11282" s="10" t="n"/>
    </row>
    <row r="11283">
      <c r="B11283" s="7" t="n">
        <v>11281</v>
      </c>
      <c r="C11283" t="inlineStr">
        <is>
          <t>Chuyên Viên Chính/Chuyên Viên Cao Cấp Quan Hệ Khách Hàng Ưu Tiên - Kiên Giang, Đồng Tháp, Tiền Giang, Bến Tre - TA177</t>
        </is>
      </c>
      <c r="D11283" t="inlineStr">
        <is>
          <t>Ngân Hàng TMCP Việt Nam Thịnh Vượng - VPBANK</t>
        </is>
      </c>
      <c r="E11283" t="inlineStr">
        <is>
          <t>Lương:Cạnh tranh</t>
        </is>
      </c>
      <c r="F11283" t="inlineStr">
        <is>
          <t>Long An</t>
        </is>
      </c>
      <c r="G11283" t="inlineStr">
        <is>
          <t>11-04-2026</t>
        </is>
      </c>
      <c r="H11283" t="inlineStr">
        <is>
          <t>11/04/2026</t>
        </is>
      </c>
      <c r="I11283" t="inlineStr">
        <is>
          <t>17/03/2026</t>
        </is>
      </c>
      <c r="J11283" t="inlineStr">
        <is>
          <t>Bán hàng / Kinh doanh, Ngân hàng</t>
        </is>
      </c>
      <c r="K11283" t="inlineStr">
        <is>
          <t>2 - 3 Năm</t>
        </is>
      </c>
      <c r="L11283" s="8">
        <f>HYPERLINK("https://careerviet.vn/vi/tim-viec-lam/chuyen-vien-chinh-chuyen-vien-cao-cap-quan-he-khach-hang-uu-tien-kien-giang-dong-thap-tien-giang-ben-tre-ta177.35C685A3.html","Xem chi tiết")</f>
        <v/>
      </c>
    </row>
    <row r="11284">
      <c r="B11284" s="9" t="n">
        <v>11282</v>
      </c>
      <c r="C11284" s="10" t="inlineStr">
        <is>
          <t>Sales &amp; Marketing Supervisor (MT channel)</t>
        </is>
      </c>
      <c r="D11284" s="10" t="inlineStr">
        <is>
          <t>Công Ty TNHH Red Bull (Việt Nam)</t>
        </is>
      </c>
      <c r="E11284" s="10" t="inlineStr">
        <is>
          <t>Lương:Cạnh tranh</t>
        </is>
      </c>
      <c r="F11284" s="10" t="inlineStr">
        <is>
          <t>Bình DươngHồ Chí MinhĐồng Nai</t>
        </is>
      </c>
      <c r="G11284" s="10" t="inlineStr">
        <is>
          <t>11-04-2026</t>
        </is>
      </c>
      <c r="H11284" s="10" t="inlineStr">
        <is>
          <t>11/04/2026</t>
        </is>
      </c>
      <c r="I11284" s="10" t="inlineStr">
        <is>
          <t>17/03/2026</t>
        </is>
      </c>
      <c r="J11284" s="10" t="inlineStr">
        <is>
          <t>Bán lẻ / Bán sỉ, Bán hàng / Kinh doanh, Dịch vụ khách hàng</t>
        </is>
      </c>
      <c r="K11284" s="10" t="inlineStr">
        <is>
          <t>Trên 2 Năm</t>
        </is>
      </c>
      <c r="L11284" s="11">
        <f>HYPERLINK("https://careerviet.vn/vi/tim-viec-lam/sales-marketing-supervisor-mt-channel.35C68549.html","Xem chi tiết")</f>
        <v/>
      </c>
      <c r="M11284" s="10" t="n"/>
    </row>
    <row r="11285">
      <c r="B11285" s="7" t="n">
        <v>11283</v>
      </c>
      <c r="C11285" t="inlineStr">
        <is>
          <t>Nhân viên kinh doanh máy biến áp</t>
        </is>
      </c>
      <c r="D11285" t="inlineStr">
        <is>
          <t>CÔNG TY TNHH THIẾT BỊ ĐIỆN SHIHLIN VIỆT NAM</t>
        </is>
      </c>
      <c r="E11285" t="inlineStr">
        <is>
          <t>Lương:9 Tr - 15 Tr VND</t>
        </is>
      </c>
      <c r="F11285" t="inlineStr">
        <is>
          <t>Hồ Chí Minh</t>
        </is>
      </c>
      <c r="G11285" t="inlineStr">
        <is>
          <t>11-04-2026</t>
        </is>
      </c>
      <c r="H11285" t="inlineStr">
        <is>
          <t>11/04/2026</t>
        </is>
      </c>
      <c r="I11285" t="inlineStr">
        <is>
          <t>17/03/2026</t>
        </is>
      </c>
      <c r="J11285" t="inlineStr">
        <is>
          <t>Bán hàng / Kinh doanh, Điện / Điện tử / Điện lạnh / Điện công nghiệp</t>
        </is>
      </c>
      <c r="K11285" t="inlineStr">
        <is>
          <t>N/A</t>
        </is>
      </c>
      <c r="L11285" s="8">
        <f>HYPERLINK("https://careerviet.vn/vi/tim-viec-lam/nhan-vien-kinh-doanh-may-bien-ap.35C685DE.html","Xem chi tiết")</f>
        <v/>
      </c>
    </row>
    <row r="11286">
      <c r="B11286" s="9" t="n">
        <v>11284</v>
      </c>
      <c r="C11286" s="10" t="inlineStr">
        <is>
          <t>Nhân viên thu hồi nợ qua điện thoại (Hà Nội)</t>
        </is>
      </c>
      <c r="D11286" s="10" t="inlineStr">
        <is>
          <t>Công Ty Quản Lý Nợ Và Khai Thác Tài Sản - Ngân Hàng TMCP Quân Đội</t>
        </is>
      </c>
      <c r="E11286" s="10" t="inlineStr">
        <is>
          <t>Lương:Cạnh tranh</t>
        </is>
      </c>
      <c r="F11286" s="10" t="inlineStr">
        <is>
          <t>Hà Nội</t>
        </is>
      </c>
      <c r="G11286" s="10" t="inlineStr">
        <is>
          <t>11-04-2026</t>
        </is>
      </c>
      <c r="H11286" s="10" t="inlineStr">
        <is>
          <t>11/04/2026</t>
        </is>
      </c>
      <c r="I11286" s="10" t="inlineStr">
        <is>
          <t>17/03/2026</t>
        </is>
      </c>
      <c r="J11286" s="10" t="inlineStr">
        <is>
          <t>Luật / Pháp lý, Ngân hàng, Tài chính / Đầu tư</t>
        </is>
      </c>
      <c r="K11286" s="10" t="inlineStr">
        <is>
          <t>N/A</t>
        </is>
      </c>
      <c r="L11286" s="11">
        <f>HYPERLINK("https://careerviet.vn/vi/tim-viec-lam/nhan-vien-thu-hoi-no-qua-dien-thoai-ha-noi.35C6855A.html","Xem chi tiết")</f>
        <v/>
      </c>
      <c r="M11286" s="10" t="n"/>
    </row>
    <row r="11287">
      <c r="B11287" s="7" t="n">
        <v>11285</v>
      </c>
      <c r="C11287" t="inlineStr">
        <is>
          <t>Chuyên viên C&amp;B</t>
        </is>
      </c>
      <c r="D11287" t="inlineStr">
        <is>
          <t>CÔNG TY TNHH Y TẾ H PLUS</t>
        </is>
      </c>
      <c r="E11287" t="inlineStr">
        <is>
          <t>Lương:15 Tr - 18 Tr VND</t>
        </is>
      </c>
      <c r="F11287" t="inlineStr">
        <is>
          <t>Hà Nội</t>
        </is>
      </c>
      <c r="G11287" t="inlineStr">
        <is>
          <t>11-04-2026</t>
        </is>
      </c>
      <c r="H11287" t="inlineStr">
        <is>
          <t>11/04/2026</t>
        </is>
      </c>
      <c r="I11287" t="inlineStr">
        <is>
          <t>17/03/2026</t>
        </is>
      </c>
      <c r="J11287" t="inlineStr">
        <is>
          <t>Hành chính / Thư ký, Nhân sự, Kế toán / Kiểm toán</t>
        </is>
      </c>
      <c r="K11287" t="inlineStr">
        <is>
          <t>Trên 3 Năm</t>
        </is>
      </c>
      <c r="L11287" s="8">
        <f>HYPERLINK("https://careerviet.vn/vi/tim-viec-lam/chuyen-vien-c-b.35C68582.html","Xem chi tiết")</f>
        <v/>
      </c>
    </row>
    <row r="11288">
      <c r="B11288" s="9" t="n">
        <v>11286</v>
      </c>
      <c r="C11288" s="10" t="inlineStr">
        <is>
          <t>Nhân Viên Kho Nhà Máy</t>
        </is>
      </c>
      <c r="D11288" s="10" t="inlineStr">
        <is>
          <t>Công ty TNHH Chế biến thực phẩm Đông Đô</t>
        </is>
      </c>
      <c r="E11288" s="10" t="inlineStr">
        <is>
          <t>Lương:7 Tr - 9 Tr VND</t>
        </is>
      </c>
      <c r="F11288" s="10" t="inlineStr">
        <is>
          <t>Hà Nội</t>
        </is>
      </c>
      <c r="G11288" s="10" t="inlineStr">
        <is>
          <t>11-04-2026</t>
        </is>
      </c>
      <c r="H11288" s="10" t="inlineStr">
        <is>
          <t>11/04/2026</t>
        </is>
      </c>
      <c r="I11288" s="10" t="inlineStr">
        <is>
          <t>17/03/2026</t>
        </is>
      </c>
      <c r="J11288" s="10" t="inlineStr">
        <is>
          <t>Sản xuất / Vận hành sản xuất, Vận chuyển / Giao nhận / Kho vận, Thực phẩm &amp; Đồ uống</t>
        </is>
      </c>
      <c r="K11288" s="10" t="inlineStr">
        <is>
          <t>N/A</t>
        </is>
      </c>
      <c r="L11288" s="11">
        <f>HYPERLINK("https://careerviet.vn/vi/tim-viec-lam/nhan-vien-kho-nha-may.35C68538.html","Xem chi tiết")</f>
        <v/>
      </c>
      <c r="M11288" s="10" t="n"/>
    </row>
    <row r="11289">
      <c r="B11289" s="7" t="n">
        <v>11287</v>
      </c>
      <c r="C11289" t="inlineStr">
        <is>
          <t>Nhân Viên Kinh Doanh / Sales Thị Trường Quảng Trị</t>
        </is>
      </c>
      <c r="D11289" t="inlineStr">
        <is>
          <t>NANOCO GROUP</t>
        </is>
      </c>
      <c r="E11289" t="inlineStr">
        <is>
          <t>Lương:Cạnh tranh</t>
        </is>
      </c>
      <c r="F11289" t="inlineStr">
        <is>
          <t>Quảng Trị</t>
        </is>
      </c>
      <c r="G11289" t="inlineStr">
        <is>
          <t>11-04-2026</t>
        </is>
      </c>
      <c r="H11289" t="inlineStr">
        <is>
          <t>11/04/2026</t>
        </is>
      </c>
      <c r="I11289" t="inlineStr">
        <is>
          <t>17/03/2026</t>
        </is>
      </c>
      <c r="J11289" t="inlineStr">
        <is>
          <t>Bán hàng / Kinh doanh, Bán lẻ / Bán sỉ, Tiếp thị / Marketing</t>
        </is>
      </c>
      <c r="K11289" t="inlineStr">
        <is>
          <t>1 - 10 Năm</t>
        </is>
      </c>
      <c r="L11289" s="8">
        <f>HYPERLINK("https://careerviet.vn/vi/tim-viec-lam/nhan-vien-kinh-doanh-sales-thi-truong-quang-tri.35C685C2.html","Xem chi tiết")</f>
        <v/>
      </c>
    </row>
    <row r="11290">
      <c r="B11290" s="9" t="n">
        <v>11288</v>
      </c>
      <c r="C11290" s="10" t="inlineStr">
        <is>
          <t>Nhân Viên Kinh Doanh / Sales Thị Trường Thanh Hóa</t>
        </is>
      </c>
      <c r="D11290" s="10" t="inlineStr">
        <is>
          <t>NANOCO GROUP</t>
        </is>
      </c>
      <c r="E11290" s="10" t="inlineStr">
        <is>
          <t>Lương:Cạnh tranh</t>
        </is>
      </c>
      <c r="F11290" s="10" t="inlineStr">
        <is>
          <t>Thanh Hóa</t>
        </is>
      </c>
      <c r="G11290" s="10" t="inlineStr">
        <is>
          <t>11-04-2026</t>
        </is>
      </c>
      <c r="H11290" s="10" t="inlineStr">
        <is>
          <t>11/04/2026</t>
        </is>
      </c>
      <c r="I11290" s="10" t="inlineStr">
        <is>
          <t>17/03/2026</t>
        </is>
      </c>
      <c r="J11290" s="10" t="inlineStr">
        <is>
          <t>Bán hàng / Kinh doanh, Bán lẻ / Bán sỉ, Tiếp thị / Marketing</t>
        </is>
      </c>
      <c r="K11290" s="10" t="inlineStr">
        <is>
          <t>1 - 10 Năm</t>
        </is>
      </c>
      <c r="L11290" s="11">
        <f>HYPERLINK("https://careerviet.vn/vi/tim-viec-lam/nhan-vien-kinh-doanh-sales-thi-truong-thanh-hoa.35C685BA.html","Xem chi tiết")</f>
        <v/>
      </c>
      <c r="M11290" s="10" t="n"/>
    </row>
    <row r="11291">
      <c r="B11291" s="7" t="n">
        <v>11289</v>
      </c>
      <c r="C11291" t="inlineStr">
        <is>
          <t>Trưởng Phòng Hành Chính Nhân Sự</t>
        </is>
      </c>
      <c r="D11291" t="inlineStr">
        <is>
          <t>CÔNG TY TNHH KỸ THUẬT ASG VIỆT NAM</t>
        </is>
      </c>
      <c r="E11291" t="inlineStr">
        <is>
          <t>Lương:18 Tr - 23 Tr VND</t>
        </is>
      </c>
      <c r="F11291" t="inlineStr">
        <is>
          <t>Hà Nội</t>
        </is>
      </c>
      <c r="G11291" t="inlineStr">
        <is>
          <t>11-04-2026</t>
        </is>
      </c>
      <c r="H11291" t="inlineStr">
        <is>
          <t>11/04/2026</t>
        </is>
      </c>
      <c r="I11291" t="inlineStr">
        <is>
          <t>17/03/2026</t>
        </is>
      </c>
      <c r="J11291" t="inlineStr">
        <is>
          <t>Hành chính / Thư ký, Quản lý điều hành, Nhân sự</t>
        </is>
      </c>
      <c r="K11291" t="inlineStr">
        <is>
          <t>Trên 3 Năm</t>
        </is>
      </c>
      <c r="L11291" s="8">
        <f>HYPERLINK("https://careerviet.vn/vi/tim-viec-lam/truong-phong-hanh-chinh-nhan-su.35C6854D.html","Xem chi tiết")</f>
        <v/>
      </c>
    </row>
    <row r="11292">
      <c r="B11292" s="9" t="n">
        <v>11290</v>
      </c>
      <c r="C11292" s="10" t="inlineStr">
        <is>
          <t>Chuyên Viên Kinh Doanh – Hóa Chất Xét Nghiệm (trên 25 triệu)</t>
        </is>
      </c>
      <c r="D11292" s="10" t="inlineStr">
        <is>
          <t>CÔNG TY TNHH XÉT NGHIỆM VÀ CHẨN ĐOÁN HÌNH ẢNH PHÚC AN</t>
        </is>
      </c>
      <c r="E11292" s="10" t="inlineStr">
        <is>
          <t>Lương:Trên 25 Tr VND</t>
        </is>
      </c>
      <c r="F11292" s="10" t="inlineStr">
        <is>
          <t>Hà NộiNghệ AnThanh Hóa</t>
        </is>
      </c>
      <c r="G11292" s="10" t="inlineStr">
        <is>
          <t>10-04-2026</t>
        </is>
      </c>
      <c r="H11292" s="10" t="inlineStr">
        <is>
          <t>10/04/2026</t>
        </is>
      </c>
      <c r="I11292" s="10" t="inlineStr">
        <is>
          <t>17/03/2026</t>
        </is>
      </c>
      <c r="J11292" s="10" t="inlineStr">
        <is>
          <t>Y tế / Chăm sóc sức khỏe / Thẩm mỹ / Làm đẹp, Hóa học, Dược phẩm/ Hóa Mỹ Phẩm</t>
        </is>
      </c>
      <c r="K11292" s="10" t="inlineStr">
        <is>
          <t>Trên 3 Năm</t>
        </is>
      </c>
      <c r="L11292" s="11">
        <f>HYPERLINK("https://careerviet.vn/vi/tim-viec-lam/chuyen-vien-kinh-doanh-hoa-chat-xet-nghiem-tren-25-trieu.35C683C5.html","Xem chi tiết")</f>
        <v/>
      </c>
      <c r="M11292" s="10" t="n"/>
    </row>
    <row r="11293">
      <c r="B11293" s="7" t="n">
        <v>11291</v>
      </c>
      <c r="C11293" t="inlineStr">
        <is>
          <t>Phó Giám đốc Kinh Doanh Tại Đồng Nai</t>
        </is>
      </c>
      <c r="D11293" t="inlineStr">
        <is>
          <t>Tổng Công Ty Cổ Phần Bảo Hiểm Ngân Hàng TMCP Công Thương Việt Nam</t>
        </is>
      </c>
      <c r="E11293" t="inlineStr">
        <is>
          <t>Lương:Cạnh tranh</t>
        </is>
      </c>
      <c r="F11293" t="inlineStr">
        <is>
          <t>Đồng Nai</t>
        </is>
      </c>
      <c r="G11293" t="inlineStr">
        <is>
          <t>11-04-2026</t>
        </is>
      </c>
      <c r="H11293" t="inlineStr">
        <is>
          <t>11/04/2026</t>
        </is>
      </c>
      <c r="I11293" t="inlineStr">
        <is>
          <t>17/03/2026</t>
        </is>
      </c>
      <c r="J11293" t="inlineStr">
        <is>
          <t>Bảo hiểm</t>
        </is>
      </c>
      <c r="K11293" t="inlineStr">
        <is>
          <t>3 - 5 Năm</t>
        </is>
      </c>
      <c r="L11293" s="8">
        <f>HYPERLINK("https://careerviet.vn/vi/tim-viec-lam/pho-giam-doc-kinh-doanh-tai-dong-nai.35C685F7.html","Xem chi tiết")</f>
        <v/>
      </c>
    </row>
    <row r="11294">
      <c r="B11294" s="9" t="n">
        <v>11292</v>
      </c>
      <c r="C11294" s="10" t="inlineStr">
        <is>
          <t>Giám sát kho (Bắc Ninh)</t>
        </is>
      </c>
      <c r="D11294" s="10" t="inlineStr">
        <is>
          <t>Linfox Logistics Vietnam</t>
        </is>
      </c>
      <c r="E11294" s="10" t="inlineStr">
        <is>
          <t>Lương:Cạnh tranh</t>
        </is>
      </c>
      <c r="F11294" s="10" t="inlineStr">
        <is>
          <t>Bắc Ninh</t>
        </is>
      </c>
      <c r="G11294" s="10" t="inlineStr">
        <is>
          <t>11-04-2026</t>
        </is>
      </c>
      <c r="H11294" s="10" t="inlineStr">
        <is>
          <t>11/04/2026</t>
        </is>
      </c>
      <c r="I11294" s="10" t="inlineStr">
        <is>
          <t>17/03/2026</t>
        </is>
      </c>
      <c r="J11294" s="10" t="inlineStr">
        <is>
          <t>Vận chuyển / Giao nhận / Kho vận</t>
        </is>
      </c>
      <c r="K11294" s="10" t="inlineStr">
        <is>
          <t>1 - 3 Năm</t>
        </is>
      </c>
      <c r="L11294" s="11">
        <f>HYPERLINK("https://careerviet.vn/vi/tim-viec-lam/giam-sat-kho-bac-ninh.35C685C6.html","Xem chi tiết")</f>
        <v/>
      </c>
      <c r="M11294" s="10" t="n"/>
    </row>
    <row r="11295">
      <c r="B11295" s="7" t="n">
        <v>11293</v>
      </c>
      <c r="C11295" t="inlineStr">
        <is>
          <t>Content Executive</t>
        </is>
      </c>
      <c r="D11295" t="inlineStr">
        <is>
          <t>Công ty CP Bệnh Viện Đa Khoa Quốc Tế Vinmec</t>
        </is>
      </c>
      <c r="E11295" t="inlineStr">
        <is>
          <t>Lương:Cạnh tranh</t>
        </is>
      </c>
      <c r="F11295" t="inlineStr">
        <is>
          <t>Hà Nội</t>
        </is>
      </c>
      <c r="G11295" t="inlineStr">
        <is>
          <t>11-04-2026</t>
        </is>
      </c>
      <c r="H11295" t="inlineStr">
        <is>
          <t>11/04/2026</t>
        </is>
      </c>
      <c r="I11295" t="inlineStr">
        <is>
          <t>17/03/2026</t>
        </is>
      </c>
      <c r="J11295" t="inlineStr">
        <is>
          <t>Tiếp thị / Marketing</t>
        </is>
      </c>
      <c r="K11295" t="inlineStr">
        <is>
          <t>2 - 5 Năm</t>
        </is>
      </c>
      <c r="L11295" s="8">
        <f>HYPERLINK("https://careerviet.vn/vi/tim-viec-lam/content-executive.35C684B5.html","Xem chi tiết")</f>
        <v/>
      </c>
    </row>
    <row r="11296">
      <c r="B11296" s="9" t="n">
        <v>11294</v>
      </c>
      <c r="C11296" s="10" t="inlineStr">
        <is>
          <t>Trưởng phòng Kỹ thuật - Công nghệ và Cải tiến sản xuất</t>
        </is>
      </c>
      <c r="D11296" s="10" t="inlineStr">
        <is>
          <t>CÔNG TY CP BIA &amp; NGK HẠ LONG</t>
        </is>
      </c>
      <c r="E11296" s="10" t="inlineStr">
        <is>
          <t>Lương:Cạnh tranh</t>
        </is>
      </c>
      <c r="F11296" s="10" t="inlineStr">
        <is>
          <t>Quảng Ninh</t>
        </is>
      </c>
      <c r="G11296" s="10" t="inlineStr">
        <is>
          <t>11-04-2026</t>
        </is>
      </c>
      <c r="H11296" s="10" t="inlineStr">
        <is>
          <t>11/04/2026</t>
        </is>
      </c>
      <c r="I11296" s="10" t="inlineStr">
        <is>
          <t>17/03/2026</t>
        </is>
      </c>
      <c r="J11296" s="10" t="inlineStr">
        <is>
          <t>Thực phẩm &amp; Đồ uống, Quản lý chất lượng (QA/QC)</t>
        </is>
      </c>
      <c r="K11296" s="10" t="inlineStr">
        <is>
          <t>5 - 7 Năm</t>
        </is>
      </c>
      <c r="L11296" s="11">
        <f>HYPERLINK("https://careerviet.vn/vi/tim-viec-lam/truong-phong-ky-thuat-cong-nghe-va-cai-tien-san-xuat.35C68595.html","Xem chi tiết")</f>
        <v/>
      </c>
      <c r="M11296" s="10" t="n"/>
    </row>
    <row r="11297">
      <c r="B11297" s="7" t="n">
        <v>11295</v>
      </c>
      <c r="C11297" t="inlineStr">
        <is>
          <t>Quản lý kinh doanh ngành hàng/Category manager</t>
        </is>
      </c>
      <c r="D11297" t="inlineStr">
        <is>
          <t>Công Ty TNHH May Thêu Giày An Phước</t>
        </is>
      </c>
      <c r="E11297" t="inlineStr">
        <is>
          <t>Lương:Cạnh tranh</t>
        </is>
      </c>
      <c r="F11297" t="inlineStr">
        <is>
          <t>Hồ Chí Minh</t>
        </is>
      </c>
      <c r="G11297" t="inlineStr">
        <is>
          <t>11-04-2026</t>
        </is>
      </c>
      <c r="H11297" t="inlineStr">
        <is>
          <t>11/04/2026</t>
        </is>
      </c>
      <c r="I11297" t="inlineStr">
        <is>
          <t>17/03/2026</t>
        </is>
      </c>
      <c r="J11297" t="inlineStr">
        <is>
          <t>Bán lẻ / Bán sỉ, Dệt may / Da giày / Thời trang, Tiếp thị trực tuyến</t>
        </is>
      </c>
      <c r="K11297" t="inlineStr">
        <is>
          <t>5 - 10 Năm</t>
        </is>
      </c>
      <c r="L11297" s="8">
        <f>HYPERLINK("https://careerviet.vn/vi/tim-viec-lam/quan-ly-kinh-doanh-nganh-hang-category-manager.35C684BF.html","Xem chi tiết")</f>
        <v/>
      </c>
    </row>
    <row r="11298">
      <c r="B11298" s="9" t="n">
        <v>11296</v>
      </c>
      <c r="C11298" s="10" t="inlineStr">
        <is>
          <t>Nhân viên bảo trì Điện - Cơ khí</t>
        </is>
      </c>
      <c r="D11298" s="10" t="inlineStr">
        <is>
          <t>Công ty TNHH BK Vina</t>
        </is>
      </c>
      <c r="E11298" s="10" t="inlineStr">
        <is>
          <t>Lương:8 Tr - 14 Tr VND</t>
        </is>
      </c>
      <c r="F11298" s="10" t="inlineStr">
        <is>
          <t>Bình Dương</t>
        </is>
      </c>
      <c r="G11298" s="10" t="inlineStr">
        <is>
          <t>11-04-2026</t>
        </is>
      </c>
      <c r="H11298" s="10" t="inlineStr">
        <is>
          <t>11/04/2026</t>
        </is>
      </c>
      <c r="I11298" s="10" t="inlineStr">
        <is>
          <t>17/03/2026</t>
        </is>
      </c>
      <c r="J11298" s="10" t="inlineStr">
        <is>
          <t>Cơ khí / Ô tô / Tự động hóa, Bảo trì / Sửa chữa, Sản xuất / Vận hành sản xuất</t>
        </is>
      </c>
      <c r="K11298" s="10" t="inlineStr">
        <is>
          <t>1 - 2 Năm</t>
        </is>
      </c>
      <c r="L11298" s="11">
        <f>HYPERLINK("https://careerviet.vn/vi/tim-viec-lam/nhan-vien-bao-tri-dien-co-khi.35C684C1.html","Xem chi tiết")</f>
        <v/>
      </c>
      <c r="M11298" s="10" t="n"/>
    </row>
    <row r="11299">
      <c r="B11299" s="7" t="n">
        <v>11297</v>
      </c>
      <c r="C11299" t="inlineStr">
        <is>
          <t>NHÂN VIÊN VĂN PHÒNG</t>
        </is>
      </c>
      <c r="D11299" t="inlineStr">
        <is>
          <t>CÔNG TY TNHH POUYUEN VIỆT NAM</t>
        </is>
      </c>
      <c r="E11299" t="inlineStr">
        <is>
          <t>Lương:Cạnh tranh</t>
        </is>
      </c>
      <c r="F11299" t="inlineStr">
        <is>
          <t>Hồ Chí Minh</t>
        </is>
      </c>
      <c r="G11299" t="inlineStr">
        <is>
          <t>11-04-2026</t>
        </is>
      </c>
      <c r="H11299" t="inlineStr">
        <is>
          <t>11/04/2026</t>
        </is>
      </c>
      <c r="I11299" t="inlineStr">
        <is>
          <t>17/03/2026</t>
        </is>
      </c>
      <c r="J11299" t="inlineStr">
        <is>
          <t>Bán Hàng Kỹ Thuật, Tư vấn</t>
        </is>
      </c>
      <c r="K11299" t="inlineStr">
        <is>
          <t>N/A</t>
        </is>
      </c>
      <c r="L11299" s="8">
        <f>HYPERLINK("https://careerviet.vn/vi/tim-viec-lam/nhan-vien-van-phong.35C68526.html","Xem chi tiết")</f>
        <v/>
      </c>
    </row>
    <row r="11300">
      <c r="B11300" s="9" t="n">
        <v>11298</v>
      </c>
      <c r="C11300" s="10" t="inlineStr">
        <is>
          <t>Purchasing Executive (Nhân Viên Thu Mua)</t>
        </is>
      </c>
      <c r="D11300" s="10" t="inlineStr">
        <is>
          <t>CÔNG TY TNHH QUỐC TẾ HAI NAN</t>
        </is>
      </c>
      <c r="E11300" s="10" t="inlineStr">
        <is>
          <t>Lương:11 Tr - 14 Tr VND</t>
        </is>
      </c>
      <c r="F11300" s="10" t="inlineStr">
        <is>
          <t>Hồ Chí Minh</t>
        </is>
      </c>
      <c r="G11300" s="10" t="inlineStr">
        <is>
          <t>31-05-2026</t>
        </is>
      </c>
      <c r="H11300" s="10" t="inlineStr">
        <is>
          <t>31/05/2026</t>
        </is>
      </c>
      <c r="I11300" s="10" t="inlineStr">
        <is>
          <t>17/03/2026</t>
        </is>
      </c>
      <c r="J11300" s="10" t="inlineStr">
        <is>
          <t>Xuất nhập khẩu, Bán lẻ / Bán sỉ</t>
        </is>
      </c>
      <c r="K11300" s="10" t="inlineStr">
        <is>
          <t>1 - 2 Năm</t>
        </is>
      </c>
      <c r="L11300" s="11">
        <f>HYPERLINK("https://careerviet.vn/vi/tim-viec-lam/purchasing-executive-nhan-vien-thu-mua.35C6A0FF.html","Xem chi tiết")</f>
        <v/>
      </c>
      <c r="M11300" s="10" t="n"/>
    </row>
    <row r="11301">
      <c r="B11301" s="7" t="n">
        <v>11299</v>
      </c>
      <c r="C11301" t="inlineStr">
        <is>
          <t>Collection Planning &amp; Strategy Executive - Chuyên Viên Phân Tích Dữ Liệu Thu Hồi Nợ</t>
        </is>
      </c>
      <c r="D11301" t="inlineStr">
        <is>
          <t>Công Ty Tài Chính Mirae Asset (Việt Nam)</t>
        </is>
      </c>
      <c r="E11301" t="inlineStr">
        <is>
          <t>Lương:Cạnh tranh</t>
        </is>
      </c>
      <c r="F11301" t="inlineStr">
        <is>
          <t>Hồ Chí Minh</t>
        </is>
      </c>
      <c r="G11301" t="inlineStr">
        <is>
          <t>29-03-2026</t>
        </is>
      </c>
      <c r="H11301" t="inlineStr">
        <is>
          <t>29/03/2026</t>
        </is>
      </c>
      <c r="I11301" t="inlineStr">
        <is>
          <t>17/03/2026</t>
        </is>
      </c>
      <c r="J11301" t="inlineStr">
        <is>
          <t>Bán lẻ / Bán sỉ, Bán hàng / Kinh doanh, Chứng khoán</t>
        </is>
      </c>
      <c r="K11301" t="inlineStr">
        <is>
          <t>3 - 5 Năm</t>
        </is>
      </c>
      <c r="L11301" s="8">
        <f>HYPERLINK("https://careerviet.vn/vi/tim-viec-lam/collection-planning-strategy-executive-chuyen-vien-phan-tich-du-lieu-thu-hoi-no.35C69E87.html","Xem chi tiết")</f>
        <v/>
      </c>
    </row>
    <row r="11302">
      <c r="B11302" s="9" t="n">
        <v>11300</v>
      </c>
      <c r="C11302" s="10" t="inlineStr">
        <is>
          <t>Kỹ thuật khai thác khuôn mẫu | PCC Technical Engineer Footwear - Tooling</t>
        </is>
      </c>
      <c r="D11302" s="10" t="inlineStr">
        <is>
          <t>Công ty TNHH Giầy Chingluh Việt Nam</t>
        </is>
      </c>
      <c r="E11302" s="10" t="inlineStr">
        <is>
          <t>Lương:Cạnh tranh</t>
        </is>
      </c>
      <c r="F11302" s="10" t="inlineStr">
        <is>
          <t>Long An</t>
        </is>
      </c>
      <c r="G11302" s="10" t="inlineStr">
        <is>
          <t>31-03-2026</t>
        </is>
      </c>
      <c r="H11302" s="10" t="inlineStr">
        <is>
          <t>31/03/2026</t>
        </is>
      </c>
      <c r="I11302" s="10" t="inlineStr">
        <is>
          <t>17/03/2026</t>
        </is>
      </c>
      <c r="J11302" s="10" t="inlineStr">
        <is>
          <t>Cơ khí / Ô tô / Tự động hóa, Dệt may / Da giày / Thời trang</t>
        </is>
      </c>
      <c r="K11302" s="10" t="inlineStr">
        <is>
          <t>1 - 3 Năm</t>
        </is>
      </c>
      <c r="L11302" s="11">
        <f>HYPERLINK("https://careerviet.vn/vi/tim-viec-lam/ky-thuat-khai-thac-khuon-mau-pcc-technical-engineer-footwear-tooling.35C69F0A.html","Xem chi tiết")</f>
        <v/>
      </c>
      <c r="M11302" s="10" t="n"/>
    </row>
    <row r="11303">
      <c r="B11303" s="7" t="n">
        <v>11301</v>
      </c>
      <c r="C11303" t="inlineStr">
        <is>
          <t>PATTERN ENGINEER</t>
        </is>
      </c>
      <c r="D11303" t="inlineStr">
        <is>
          <t>Công Ty TNHH Việt Nam Samho</t>
        </is>
      </c>
      <c r="E11303" t="inlineStr">
        <is>
          <t>Lương:15 Tr - 30 Tr VND</t>
        </is>
      </c>
      <c r="F11303" t="inlineStr">
        <is>
          <t>Hồ Chí Minh</t>
        </is>
      </c>
      <c r="G11303" t="inlineStr">
        <is>
          <t>30-04-2026</t>
        </is>
      </c>
      <c r="H11303" t="inlineStr">
        <is>
          <t>30/04/2026</t>
        </is>
      </c>
      <c r="I11303" t="inlineStr">
        <is>
          <t>17/03/2026</t>
        </is>
      </c>
      <c r="J11303" t="inlineStr">
        <is>
          <t>Dệt may / Da giày / Thời trang</t>
        </is>
      </c>
      <c r="K11303" t="inlineStr">
        <is>
          <t>3 - 4 Năm</t>
        </is>
      </c>
      <c r="L11303" s="8">
        <f>HYPERLINK("https://careerviet.vn/vi/tim-viec-lam/pattern-engineer.35BA9E3F.html","Xem chi tiết")</f>
        <v/>
      </c>
    </row>
    <row r="11304">
      <c r="B11304" s="9" t="n">
        <v>11302</v>
      </c>
      <c r="C11304" s="10" t="inlineStr">
        <is>
          <t>Technical Service Engineer</t>
        </is>
      </c>
      <c r="D11304" s="10" t="inlineStr">
        <is>
          <t>CÔNG TY TNHH JOB HOUSE</t>
        </is>
      </c>
      <c r="E11304" s="10" t="inlineStr">
        <is>
          <t>Lương:15 Tr - 30 Tr VND</t>
        </is>
      </c>
      <c r="F11304" s="10" t="inlineStr">
        <is>
          <t>Hà NộiHưng Yên</t>
        </is>
      </c>
      <c r="G11304" s="10" t="inlineStr">
        <is>
          <t>30-03-2026</t>
        </is>
      </c>
      <c r="H11304" s="10" t="inlineStr">
        <is>
          <t>30/03/2026</t>
        </is>
      </c>
      <c r="I11304" s="10" t="inlineStr">
        <is>
          <t>17/03/2026</t>
        </is>
      </c>
      <c r="J11304" s="10" t="inlineStr">
        <is>
          <t>Cơ khí / Ô tô / Tự động hóa, Bảo trì / Sửa chữa, Điện / Điện tử / Điện lạnh / Điện công nghiệp</t>
        </is>
      </c>
      <c r="K11304" s="10" t="inlineStr">
        <is>
          <t>Trên 3 Năm</t>
        </is>
      </c>
      <c r="L11304" s="11">
        <f>HYPERLINK("https://careerviet.vn/vi/tim-viec-lam/technical-service-engineer.35C69EE4.html","Xem chi tiết")</f>
        <v/>
      </c>
      <c r="M11304" s="10" t="n"/>
    </row>
    <row r="11305">
      <c r="B11305" s="7" t="n">
        <v>11303</v>
      </c>
      <c r="C11305" t="inlineStr">
        <is>
          <t>[HCM] Chuyên Viên Phát Triển Đối Tác - Relationship Manager</t>
        </is>
      </c>
      <c r="D11305" t="inlineStr">
        <is>
          <t>Công ty Cố phần giải pháp công nghệ ITE</t>
        </is>
      </c>
      <c r="E11305" t="inlineStr">
        <is>
          <t>Lương:10 Tr - 25 Tr VND</t>
        </is>
      </c>
      <c r="F11305" t="inlineStr">
        <is>
          <t>Hồ Chí Minh</t>
        </is>
      </c>
      <c r="G11305" t="inlineStr">
        <is>
          <t>11-04-2026</t>
        </is>
      </c>
      <c r="H11305" t="inlineStr">
        <is>
          <t>11/04/2026</t>
        </is>
      </c>
      <c r="I11305" t="inlineStr">
        <is>
          <t>17/03/2026</t>
        </is>
      </c>
      <c r="J11305" t="inlineStr">
        <is>
          <t>Bán hàng / Kinh doanh, Tư vấn, Dịch vụ khách hàng</t>
        </is>
      </c>
      <c r="K11305" t="inlineStr">
        <is>
          <t>1 - 4 Năm</t>
        </is>
      </c>
      <c r="L11305" s="8">
        <f>HYPERLINK("https://careerviet.vn/vi/tim-viec-lam/hcm-chuyen-vien-phat-trien-doi-tac-relationship-manager.35C685DC.html","Xem chi tiết")</f>
        <v/>
      </c>
    </row>
    <row r="11306">
      <c r="B11306" s="9" t="n">
        <v>11304</v>
      </c>
      <c r="C11306" s="10" t="inlineStr">
        <is>
          <t>Phó phòng tài chính kế toán (Sản xuất/xuất khẩu ngành F&amp;B, FMCG)</t>
        </is>
      </c>
      <c r="D11306" s="10" t="inlineStr">
        <is>
          <t>Bảo mật</t>
        </is>
      </c>
      <c r="E11306" s="10" t="inlineStr">
        <is>
          <t>Lương:Cạnh tranh</t>
        </is>
      </c>
      <c r="F11306" s="10" t="inlineStr">
        <is>
          <t>Hồ Chí Minh</t>
        </is>
      </c>
      <c r="G11306" s="10" t="inlineStr">
        <is>
          <t>27-03-2026</t>
        </is>
      </c>
      <c r="H11306" s="10" t="inlineStr">
        <is>
          <t>27/03/2026</t>
        </is>
      </c>
      <c r="I11306" s="10" t="inlineStr">
        <is>
          <t>17/03/2026</t>
        </is>
      </c>
      <c r="J11306" s="10" t="inlineStr">
        <is>
          <t>Thực phẩm &amp; Đồ uống, Kế toán / Kiểm toán, Xuất nhập khẩu</t>
        </is>
      </c>
      <c r="K11306" s="10" t="inlineStr">
        <is>
          <t>3 - 10 Năm</t>
        </is>
      </c>
      <c r="L11306" s="11">
        <f>HYPERLINK("https://careerviet.vn/vi/tim-viec-lam/pho-phong-tai-chinh-ke-toan-san-xuat-xuat-khau-nganh-f-b-fmcg.35C623AC.html","Xem chi tiết")</f>
        <v/>
      </c>
      <c r="M11306" s="10" t="n"/>
    </row>
    <row r="11307">
      <c r="B11307" s="7" t="n">
        <v>11305</v>
      </c>
      <c r="C11307" t="inlineStr">
        <is>
          <t>Nhân viên kế toán kho</t>
        </is>
      </c>
      <c r="D11307" t="inlineStr">
        <is>
          <t>CÔNG TY TNHH ĐẦU TƯ XNK TÍN VIỆT</t>
        </is>
      </c>
      <c r="E11307" t="inlineStr">
        <is>
          <t>Lương:Trên 7,5 Tr VND</t>
        </is>
      </c>
      <c r="F11307" t="inlineStr">
        <is>
          <t>Hồ Chí Minh</t>
        </is>
      </c>
      <c r="G11307" t="inlineStr">
        <is>
          <t>31-03-2026</t>
        </is>
      </c>
      <c r="H11307" t="inlineStr">
        <is>
          <t>31/03/2026</t>
        </is>
      </c>
      <c r="I11307" t="inlineStr">
        <is>
          <t>17/03/2026</t>
        </is>
      </c>
      <c r="J11307" t="inlineStr">
        <is>
          <t>Kế toán / Kiểm toán, Vận chuyển / Giao nhận / Kho vận, Ngân hàng</t>
        </is>
      </c>
      <c r="K11307" t="inlineStr">
        <is>
          <t>Trên 1 Năm</t>
        </is>
      </c>
      <c r="L11307" s="8">
        <f>HYPERLINK("https://careerviet.vn/vi/tim-viec-lam/nhan-vien-ke-toan-kho.35C69F63.html","Xem chi tiết")</f>
        <v/>
      </c>
    </row>
    <row r="11308">
      <c r="B11308" s="9" t="n">
        <v>11306</v>
      </c>
      <c r="C11308" s="10" t="inlineStr">
        <is>
          <t>Nghiên Cứu Viên</t>
        </is>
      </c>
      <c r="D11308" s="10" t="inlineStr">
        <is>
          <t>Công Ty TNHH Tư Vấn Y Dược Quốc Tế</t>
        </is>
      </c>
      <c r="E11308" s="10" t="inlineStr">
        <is>
          <t>Lương:Cạnh tranh</t>
        </is>
      </c>
      <c r="F11308" s="10" t="inlineStr">
        <is>
          <t>Hà Nội</t>
        </is>
      </c>
      <c r="G11308" s="10" t="inlineStr">
        <is>
          <t>27-03-2026</t>
        </is>
      </c>
      <c r="H11308" s="10" t="inlineStr">
        <is>
          <t>27/03/2026</t>
        </is>
      </c>
      <c r="I11308" s="10" t="inlineStr">
        <is>
          <t>17/03/2026</t>
        </is>
      </c>
      <c r="J11308" s="10" t="inlineStr">
        <is>
          <t>Y tế / Chăm sóc sức khỏe / Thẩm mỹ / Làm đẹp, Công nghệ sinh học, Dược phẩm/ Hóa Mỹ Phẩm</t>
        </is>
      </c>
      <c r="K11308" s="10" t="inlineStr">
        <is>
          <t>N/A</t>
        </is>
      </c>
      <c r="L11308" s="11">
        <f>HYPERLINK("https://careerviet.vn/vi/tim-viec-lam/nghien-cuu-vien.35C69EB6.html","Xem chi tiết")</f>
        <v/>
      </c>
      <c r="M11308" s="10" t="n"/>
    </row>
    <row r="11309">
      <c r="B11309" s="7" t="n">
        <v>11307</v>
      </c>
      <c r="C11309" t="inlineStr">
        <is>
          <t>Nhân viên kiểm soát nội bộ/Kiểm tra tuân thủ</t>
        </is>
      </c>
      <c r="D11309" t="inlineStr">
        <is>
          <t>Công Ty TNHH May Thêu Giày An Phước</t>
        </is>
      </c>
      <c r="E11309" t="inlineStr">
        <is>
          <t>Lương:Cạnh tranh</t>
        </is>
      </c>
      <c r="F11309" t="inlineStr">
        <is>
          <t>Hồ Chí Minh</t>
        </is>
      </c>
      <c r="G11309" t="inlineStr">
        <is>
          <t>31-03-2026</t>
        </is>
      </c>
      <c r="H11309" t="inlineStr">
        <is>
          <t>31/03/2026</t>
        </is>
      </c>
      <c r="I11309" t="inlineStr">
        <is>
          <t>17/03/2026</t>
        </is>
      </c>
      <c r="J11309" t="inlineStr">
        <is>
          <t>Kế toán / Kiểm toán, Dệt may / Da giày / Thời trang, Bán lẻ / Bán sỉ</t>
        </is>
      </c>
      <c r="K11309" t="inlineStr">
        <is>
          <t>3 - 5 Năm</t>
        </is>
      </c>
      <c r="L11309" s="8">
        <f>HYPERLINK("https://careerviet.vn/vi/tim-viec-lam/nhan-vien-kiem-soat-noi-bo-kiem-tra-tuan-thu.35C6A021.html","Xem chi tiết")</f>
        <v/>
      </c>
    </row>
    <row r="11310">
      <c r="B11310" s="9" t="n">
        <v>11308</v>
      </c>
      <c r="C11310" s="10" t="inlineStr">
        <is>
          <t>CSR factory / Social Compliance</t>
        </is>
      </c>
      <c r="D11310" s="10" t="inlineStr">
        <is>
          <t>CÔNG TY TNHH EVOLUTION ENTERPRISES</t>
        </is>
      </c>
      <c r="E11310" s="10" t="inlineStr">
        <is>
          <t>Lương:12 Tr - 15 Tr VND</t>
        </is>
      </c>
      <c r="F11310" s="10" t="inlineStr">
        <is>
          <t>Hồ Chí Minh</t>
        </is>
      </c>
      <c r="G11310" s="10" t="inlineStr">
        <is>
          <t>11-04-2026</t>
        </is>
      </c>
      <c r="H11310" s="10" t="inlineStr">
        <is>
          <t>11/04/2026</t>
        </is>
      </c>
      <c r="I11310" s="10" t="inlineStr">
        <is>
          <t>17/03/2026</t>
        </is>
      </c>
      <c r="J11310" s="10" t="inlineStr">
        <is>
          <t>Sản xuất / Vận hành sản xuất, Dệt may / Da giày / Thời trang, An toàn lao động</t>
        </is>
      </c>
      <c r="K11310" s="10" t="inlineStr">
        <is>
          <t>2 - 5 Năm</t>
        </is>
      </c>
      <c r="L11310" s="11">
        <f>HYPERLINK("https://careerviet.vn/vi/tim-viec-lam/csr-factory-social-compliance.35C684A9.html","Xem chi tiết")</f>
        <v/>
      </c>
      <c r="M11310" s="10" t="n"/>
    </row>
    <row r="11311">
      <c r="B11311" s="7" t="n">
        <v>11309</v>
      </c>
      <c r="C11311" t="inlineStr">
        <is>
          <t>Nhân viên xuất nhập khẩu</t>
        </is>
      </c>
      <c r="D11311" t="inlineStr">
        <is>
          <t>CÔNG TY TNHH YURA CORPORATION TÂY NINH</t>
        </is>
      </c>
      <c r="E11311" t="inlineStr">
        <is>
          <t>Lương:14 Tr - 17 Tr VND</t>
        </is>
      </c>
      <c r="F11311" t="inlineStr">
        <is>
          <t>Tây Ninh</t>
        </is>
      </c>
      <c r="G11311" t="inlineStr">
        <is>
          <t>03-04-2026</t>
        </is>
      </c>
      <c r="H11311" t="inlineStr">
        <is>
          <t>03/04/2026</t>
        </is>
      </c>
      <c r="I11311" t="inlineStr">
        <is>
          <t>17/03/2026</t>
        </is>
      </c>
      <c r="J11311" t="inlineStr">
        <is>
          <t>Xuất nhập khẩu</t>
        </is>
      </c>
      <c r="K11311" t="inlineStr">
        <is>
          <t>3 - 5 Năm</t>
        </is>
      </c>
      <c r="L11311" s="8">
        <f>HYPERLINK("https://careerviet.vn/vi/tim-viec-lam/nhan-vien-xuat-nhap-khau.35C69EBF.html","Xem chi tiết")</f>
        <v/>
      </c>
    </row>
    <row r="11312">
      <c r="B11312" s="9" t="n">
        <v>11310</v>
      </c>
      <c r="C11312" s="10" t="inlineStr">
        <is>
          <t>NHÂN VIÊN KỸ THUẬT</t>
        </is>
      </c>
      <c r="D11312" s="10" t="inlineStr">
        <is>
          <t>CÔNG TY TNHH POUYUEN VIỆT NAM</t>
        </is>
      </c>
      <c r="E11312" s="10" t="inlineStr">
        <is>
          <t>Lương:Cạnh tranh</t>
        </is>
      </c>
      <c r="F11312" s="10" t="inlineStr">
        <is>
          <t>Hồ Chí Minh</t>
        </is>
      </c>
      <c r="G11312" s="10" t="inlineStr">
        <is>
          <t>11-04-2026</t>
        </is>
      </c>
      <c r="H11312" s="10" t="inlineStr">
        <is>
          <t>11/04/2026</t>
        </is>
      </c>
      <c r="I11312" s="10" t="inlineStr">
        <is>
          <t>17/03/2026</t>
        </is>
      </c>
      <c r="J11312" s="10" t="inlineStr">
        <is>
          <t>Cơ khí / Ô tô / Tự động hóa, Điện / Điện tử / Điện lạnh / Điện công nghiệp, Bảo trì / Sửa chữa</t>
        </is>
      </c>
      <c r="K11312" s="10" t="inlineStr">
        <is>
          <t>Không yêu cầu kinh nghiệmĐịa điểm</t>
        </is>
      </c>
      <c r="L11312" s="11">
        <f>HYPERLINK("https://careerviet.vn/vi/tim-viec-lam/nhan-vien-ky-thuat.35C6851C.html","Xem chi tiết")</f>
        <v/>
      </c>
      <c r="M11312" s="10" t="n"/>
    </row>
    <row r="11313">
      <c r="B11313" s="7" t="n">
        <v>11311</v>
      </c>
      <c r="C11313" t="inlineStr">
        <is>
          <t>Quản Lý Doanh Thu/ Revenue Manager (Mảng Khách sạn - Nghỉ dưỡng)</t>
        </is>
      </c>
      <c r="D11313" t="inlineStr">
        <is>
          <t>CÔNG TY CỔ PHẦN TẬP ĐOÀN ONSEN FUJI</t>
        </is>
      </c>
      <c r="E11313" t="inlineStr">
        <is>
          <t>Lương:30 Tr - 40 Tr VND</t>
        </is>
      </c>
      <c r="F11313" t="inlineStr">
        <is>
          <t>Hà Nội</t>
        </is>
      </c>
      <c r="G11313" t="inlineStr">
        <is>
          <t>31-03-2026</t>
        </is>
      </c>
      <c r="H11313" t="inlineStr">
        <is>
          <t>31/03/2026</t>
        </is>
      </c>
      <c r="I11313" t="inlineStr">
        <is>
          <t>17/03/2026</t>
        </is>
      </c>
      <c r="J11313" t="inlineStr">
        <is>
          <t>Nhà hàng / Khách sạn</t>
        </is>
      </c>
      <c r="K11313" t="inlineStr">
        <is>
          <t>3 - 5 Năm</t>
        </is>
      </c>
      <c r="L11313" s="8">
        <f>HYPERLINK("https://careerviet.vn/vi/tim-viec-lam/quan-ly-doanh-thu-revenue-manager-mang-khach-san-nghi-duong.35C69FB9.html","Xem chi tiết")</f>
        <v/>
      </c>
    </row>
    <row r="11314">
      <c r="B11314" s="9" t="n">
        <v>11312</v>
      </c>
      <c r="C11314" s="10" t="inlineStr">
        <is>
          <t>Cán bộ QC Cơ điện</t>
        </is>
      </c>
      <c r="D11314" s="10" t="inlineStr">
        <is>
          <t>Công Ty Cổ Phần Xây Dựng CDC</t>
        </is>
      </c>
      <c r="E11314" s="10" t="inlineStr">
        <is>
          <t>Lương:Cạnh tranh</t>
        </is>
      </c>
      <c r="F11314" s="10" t="inlineStr">
        <is>
          <t>Hồ Chí Minh</t>
        </is>
      </c>
      <c r="G11314" s="10" t="inlineStr">
        <is>
          <t>27-03-2026</t>
        </is>
      </c>
      <c r="H11314" s="10" t="inlineStr">
        <is>
          <t>27/03/2026</t>
        </is>
      </c>
      <c r="I11314" s="10" t="inlineStr">
        <is>
          <t>17/03/2026</t>
        </is>
      </c>
      <c r="J11314" s="10" t="inlineStr">
        <is>
          <t>Xây dựng</t>
        </is>
      </c>
      <c r="K11314" s="10" t="inlineStr">
        <is>
          <t>2 - 5 Năm</t>
        </is>
      </c>
      <c r="L11314" s="11">
        <f>HYPERLINK("https://careerviet.vn/vi/tim-viec-lam/can-bo-qc-co-dien.35C6A020.html","Xem chi tiết")</f>
        <v/>
      </c>
      <c r="M11314" s="10" t="n"/>
    </row>
    <row r="11315">
      <c r="B11315" s="7" t="n">
        <v>11313</v>
      </c>
      <c r="C11315" t="inlineStr">
        <is>
          <t>Nhân viên QA (mỹ phẩm)</t>
        </is>
      </c>
      <c r="D11315" t="inlineStr">
        <is>
          <t>Công Ty TNHH PEROMA Việt Nam</t>
        </is>
      </c>
      <c r="E11315" t="inlineStr">
        <is>
          <t>Lương:12 Tr - 20 Tr VND</t>
        </is>
      </c>
      <c r="F11315" t="inlineStr">
        <is>
          <t>Long An</t>
        </is>
      </c>
      <c r="G11315" t="inlineStr">
        <is>
          <t>31-03-2026</t>
        </is>
      </c>
      <c r="H11315" t="inlineStr">
        <is>
          <t>31/03/2026</t>
        </is>
      </c>
      <c r="I11315" t="inlineStr">
        <is>
          <t>17/03/2026</t>
        </is>
      </c>
      <c r="J11315" t="inlineStr">
        <is>
          <t>Dược phẩm/ Hóa Mỹ Phẩm, Y tế / Chăm sóc sức khỏe / Thẩm mỹ / Làm đẹp, Công nghệ sinh học</t>
        </is>
      </c>
      <c r="K11315" t="inlineStr">
        <is>
          <t>2 - 5 Năm</t>
        </is>
      </c>
      <c r="L11315" s="8">
        <f>HYPERLINK("https://careerviet.vn/vi/tim-viec-lam/nhan-vien-qa-my-pham.35C6A04F.html","Xem chi tiết")</f>
        <v/>
      </c>
    </row>
    <row r="11316">
      <c r="B11316" s="9" t="n">
        <v>11314</v>
      </c>
      <c r="C11316" s="10" t="inlineStr">
        <is>
          <t>Seaonics Electrical And Automation Engineer</t>
        </is>
      </c>
      <c r="D11316" s="10" t="inlineStr">
        <is>
          <t>CÔNG TY TNHH VARD VŨNG TÀU</t>
        </is>
      </c>
      <c r="E11316" s="10" t="inlineStr">
        <is>
          <t>Lương:Cạnh tranh</t>
        </is>
      </c>
      <c r="F11316" s="10" t="inlineStr">
        <is>
          <t>Bà Rịa - Vũng Tàu</t>
        </is>
      </c>
      <c r="G11316" s="10" t="inlineStr">
        <is>
          <t>27-03-2026</t>
        </is>
      </c>
      <c r="H11316" s="10" t="inlineStr">
        <is>
          <t>27/03/2026</t>
        </is>
      </c>
      <c r="I11316" s="10" t="inlineStr">
        <is>
          <t>17/03/2026</t>
        </is>
      </c>
      <c r="J11316" s="10" t="inlineStr">
        <is>
          <t>Hàng hải, Cơ khí / Ô tô / Tự động hóa, Điện / Điện tử / Điện lạnh / Điện công nghiệp</t>
        </is>
      </c>
      <c r="K11316" s="10" t="inlineStr">
        <is>
          <t>N/A</t>
        </is>
      </c>
      <c r="L11316" s="11">
        <f>HYPERLINK("https://careerviet.vn/vi/tim-viec-lam/seaonics-electrical-and-automation-engineer.35C69F6F.html","Xem chi tiết")</f>
        <v/>
      </c>
      <c r="M11316" s="10" t="n"/>
    </row>
    <row r="11317">
      <c r="B11317" s="7" t="n">
        <v>11315</v>
      </c>
      <c r="C11317" t="inlineStr">
        <is>
          <t>Chuyên viên tuyển dụng</t>
        </is>
      </c>
      <c r="D11317" t="inlineStr">
        <is>
          <t>Công ty Cổ phần Đồng phục Phương Thảo</t>
        </is>
      </c>
      <c r="E11317" t="inlineStr">
        <is>
          <t>Lương:12 Tr - 15 Tr VND</t>
        </is>
      </c>
      <c r="F11317" t="inlineStr">
        <is>
          <t>Hà Nội</t>
        </is>
      </c>
      <c r="G11317" t="inlineStr">
        <is>
          <t>12-03-2026</t>
        </is>
      </c>
      <c r="H11317" t="inlineStr">
        <is>
          <t>14/03/2026</t>
        </is>
      </c>
      <c r="I11317" t="inlineStr">
        <is>
          <t>17/03/2026</t>
        </is>
      </c>
      <c r="J11317" t="inlineStr">
        <is>
          <t>Nhân sự, Hành chính / Thư ký</t>
        </is>
      </c>
      <c r="K11317" t="inlineStr">
        <is>
          <t>2 - 3 Năm</t>
        </is>
      </c>
      <c r="L11317" s="8">
        <f>HYPERLINK("https://careerviet.vn/vi/tim-viec-lam/chuyen-vien-tuyen-dung.35C6A0D2.html","Xem chi tiết")</f>
        <v/>
      </c>
    </row>
    <row r="11318">
      <c r="B11318" s="9" t="n">
        <v>11316</v>
      </c>
      <c r="C11318" s="10" t="inlineStr">
        <is>
          <t>Kế toán thuế</t>
        </is>
      </c>
      <c r="D11318" s="10" t="inlineStr">
        <is>
          <t>Công ty Cổ phần Đồng phục Phương Thảo</t>
        </is>
      </c>
      <c r="E11318" s="10" t="inlineStr">
        <is>
          <t>Lương:15 Tr - 20 Tr VND</t>
        </is>
      </c>
      <c r="F11318" s="10" t="inlineStr">
        <is>
          <t>Hà Nội</t>
        </is>
      </c>
      <c r="G11318" s="10" t="inlineStr">
        <is>
          <t>12-03-2026</t>
        </is>
      </c>
      <c r="H11318" s="10" t="inlineStr">
        <is>
          <t>14/03/2026</t>
        </is>
      </c>
      <c r="I11318" s="10" t="inlineStr">
        <is>
          <t>17/03/2026</t>
        </is>
      </c>
      <c r="J11318" s="10" t="inlineStr">
        <is>
          <t>Kế toán / Kiểm toán, Dệt may / Da giày / Thời trang</t>
        </is>
      </c>
      <c r="K11318" s="10" t="inlineStr">
        <is>
          <t>3 - 4 Năm</t>
        </is>
      </c>
      <c r="L11318" s="11">
        <f>HYPERLINK("https://careerviet.vn/vi/tim-viec-lam/ke-toan-thue.35C6A0C3.html","Xem chi tiết")</f>
        <v/>
      </c>
      <c r="M11318" s="10" t="n"/>
    </row>
    <row r="11319">
      <c r="B11319" s="7" t="n">
        <v>11317</v>
      </c>
      <c r="C11319" t="inlineStr">
        <is>
          <t>Chuyên viên Nhân sự Tổng hợp (Tân An - Buôn Ma Thuột)</t>
        </is>
      </c>
      <c r="D11319" t="inlineStr">
        <is>
          <t>Công Ty CP Liên Kết Quốc Tế INTERLINK (Trường Liên Kết Quốc Tế INschool &amp; Ngoại Ngữ Quốc Tế INS ENGLISH &amp; CHINESE)</t>
        </is>
      </c>
      <c r="E11319" t="inlineStr">
        <is>
          <t>Lương:9 Tr - 15 Tr VND</t>
        </is>
      </c>
      <c r="F11319" t="inlineStr">
        <is>
          <t>Dak Lak</t>
        </is>
      </c>
      <c r="G11319" t="inlineStr">
        <is>
          <t>26-03-2026</t>
        </is>
      </c>
      <c r="H11319" t="inlineStr">
        <is>
          <t>26/03/2026</t>
        </is>
      </c>
      <c r="I11319" t="inlineStr">
        <is>
          <t>17/03/2026</t>
        </is>
      </c>
      <c r="J11319" t="inlineStr">
        <is>
          <t>Nhân sự</t>
        </is>
      </c>
      <c r="K11319" t="inlineStr">
        <is>
          <t>2 - 3 Năm</t>
        </is>
      </c>
      <c r="L11319" s="8">
        <f>HYPERLINK("https://careerviet.vn/vi/tim-viec-lam/chuyen-vien-nhan-su-tong-hop-tan-an-buon-ma-thuot.35C69DBE.html","Xem chi tiết")</f>
        <v/>
      </c>
    </row>
    <row r="11320">
      <c r="B11320" s="9" t="n">
        <v>11318</v>
      </c>
      <c r="C11320" s="10" t="inlineStr">
        <is>
          <t>Kế toán tổng hợp kiêm kế toán trưởng</t>
        </is>
      </c>
      <c r="D11320" s="10" t="inlineStr">
        <is>
          <t>CÔNG TY TNHH GLOBAL INVESTORS</t>
        </is>
      </c>
      <c r="E11320" s="10" t="inlineStr">
        <is>
          <t>Lương:18 Tr - 27 Tr VND</t>
        </is>
      </c>
      <c r="F11320" s="10" t="inlineStr">
        <is>
          <t>Hồ Chí Minh</t>
        </is>
      </c>
      <c r="G11320" s="10" t="inlineStr">
        <is>
          <t>29-03-2026</t>
        </is>
      </c>
      <c r="H11320" s="10" t="inlineStr">
        <is>
          <t>29/03/2026</t>
        </is>
      </c>
      <c r="I11320" s="10" t="inlineStr">
        <is>
          <t>17/03/2026</t>
        </is>
      </c>
      <c r="J11320" s="10" t="inlineStr">
        <is>
          <t>Kế toán / Kiểm toán, Tài chính / Đầu tư</t>
        </is>
      </c>
      <c r="K11320" s="10" t="inlineStr">
        <is>
          <t>1 - 2 Năm</t>
        </is>
      </c>
      <c r="L11320" s="11">
        <f>HYPERLINK("https://careerviet.vn/vi/tim-viec-lam/ke-toan-tong-hop-kiem-ke-toan-truong.35C69F2D.html","Xem chi tiết")</f>
        <v/>
      </c>
      <c r="M11320" s="10" t="n"/>
    </row>
    <row r="11321">
      <c r="B11321" s="7" t="n">
        <v>11319</v>
      </c>
      <c r="C11321" t="inlineStr">
        <is>
          <t>[Đà Nẵng] Trưởng bộ phận Khách hàng ưu tiên</t>
        </is>
      </c>
      <c r="D11321" t="inlineStr">
        <is>
          <t>Ngân hàng TMCP Đại Chúng Việt Nam - PVcomBank</t>
        </is>
      </c>
      <c r="E11321" t="inlineStr">
        <is>
          <t>Lương:Cạnh tranh</t>
        </is>
      </c>
      <c r="F11321" t="inlineStr">
        <is>
          <t>Đà Nẵng</t>
        </is>
      </c>
      <c r="G11321" t="inlineStr">
        <is>
          <t>29-03-2026</t>
        </is>
      </c>
      <c r="H11321" t="inlineStr">
        <is>
          <t>29/03/2026</t>
        </is>
      </c>
      <c r="I11321" t="inlineStr">
        <is>
          <t>17/03/2026</t>
        </is>
      </c>
      <c r="J11321" t="inlineStr">
        <is>
          <t>Ngân hàng, Tài chính / Đầu tư</t>
        </is>
      </c>
      <c r="K11321" t="inlineStr">
        <is>
          <t>Trên 2 Năm</t>
        </is>
      </c>
      <c r="L11321" s="8">
        <f>HYPERLINK("https://careerviet.vn/vi/tim-viec-lam/da-nang-truong-bo-phan-khach-hang-uu-tien.35C69EA7.html","Xem chi tiết")</f>
        <v/>
      </c>
    </row>
    <row r="11322">
      <c r="B11322" s="9" t="n">
        <v>11320</v>
      </c>
      <c r="C11322" s="10" t="inlineStr">
        <is>
          <t>Nhân viên tư vấn tại cửa hàng - Hải Phòng</t>
        </is>
      </c>
      <c r="D11322" s="10" t="inlineStr">
        <is>
          <t>HMK Eyewear</t>
        </is>
      </c>
      <c r="E11322" s="10" t="inlineStr">
        <is>
          <t>Lương:8 Tr - 15 Tr VND</t>
        </is>
      </c>
      <c r="F11322" s="10" t="inlineStr">
        <is>
          <t>Hải Phòng</t>
        </is>
      </c>
      <c r="G11322" s="10" t="inlineStr">
        <is>
          <t>30-04-2026</t>
        </is>
      </c>
      <c r="H11322" s="10" t="inlineStr">
        <is>
          <t>30/04/2026</t>
        </is>
      </c>
      <c r="I11322" s="10" t="inlineStr">
        <is>
          <t>17/03/2026</t>
        </is>
      </c>
      <c r="J11322" s="10" t="inlineStr">
        <is>
          <t>Tiếp thị / Marketing, Bán lẻ / Bán sỉ, Bán hàng / Kinh doanh</t>
        </is>
      </c>
      <c r="K11322" s="10" t="inlineStr">
        <is>
          <t>Chưa có kinh nghiệm</t>
        </is>
      </c>
      <c r="L11322" s="11">
        <f>HYPERLINK("https://careerviet.vn/vi/tim-viec-lam/nhan-vien-tu-van-tai-cua-hang-hai-phong.35C6585A.html","Xem chi tiết")</f>
        <v/>
      </c>
      <c r="M11322" s="10" t="n"/>
    </row>
    <row r="11323">
      <c r="B11323" s="7" t="n">
        <v>11321</v>
      </c>
      <c r="C11323" t="inlineStr">
        <is>
          <t>KẾ TOÁN TRƯỞNG</t>
        </is>
      </c>
      <c r="D11323" t="inlineStr">
        <is>
          <t>CÔNG TY TNHH ĐẦU TƯ ITS</t>
        </is>
      </c>
      <c r="E11323" t="inlineStr">
        <is>
          <t>Lương:25 Tr - 30 Tr VND</t>
        </is>
      </c>
      <c r="F11323" t="inlineStr">
        <is>
          <t>Hồ Chí Minh</t>
        </is>
      </c>
      <c r="G11323" t="inlineStr">
        <is>
          <t>31-03-2026</t>
        </is>
      </c>
      <c r="H11323" t="inlineStr">
        <is>
          <t>31/03/2026</t>
        </is>
      </c>
      <c r="I11323" t="inlineStr">
        <is>
          <t>17/03/2026</t>
        </is>
      </c>
      <c r="J11323" t="inlineStr">
        <is>
          <t>Kế toán / Kiểm toán, Sản xuất / Vận hành sản xuất, Cơ khí / Ô tô / Tự động hóa</t>
        </is>
      </c>
      <c r="K11323" t="inlineStr">
        <is>
          <t>5 - 10 Năm</t>
        </is>
      </c>
      <c r="L11323" s="8">
        <f>HYPERLINK("https://careerviet.vn/vi/tim-viec-lam/ke-toan-truong.35C6A096.html","Xem chi tiết")</f>
        <v/>
      </c>
    </row>
    <row r="11324">
      <c r="B11324" s="9" t="n">
        <v>11322</v>
      </c>
      <c r="C11324" s="10" t="inlineStr">
        <is>
          <t>Nhân Viên Thiết Kế Thời Trang (Hàng xuất khẩu)</t>
        </is>
      </c>
      <c r="D11324" s="10" t="inlineStr">
        <is>
          <t>Công Ty TNHH T.M.G</t>
        </is>
      </c>
      <c r="E11324" s="10" t="inlineStr">
        <is>
          <t>Lương:Cạnh tranh</t>
        </is>
      </c>
      <c r="F11324" s="10" t="inlineStr">
        <is>
          <t>Hồ Chí Minh</t>
        </is>
      </c>
      <c r="G11324" s="10" t="inlineStr">
        <is>
          <t>27-03-2026</t>
        </is>
      </c>
      <c r="H11324" s="10" t="inlineStr">
        <is>
          <t>27/03/2026</t>
        </is>
      </c>
      <c r="I11324" s="10" t="inlineStr">
        <is>
          <t>17/03/2026</t>
        </is>
      </c>
      <c r="J11324" s="10" t="inlineStr">
        <is>
          <t>Dệt may / Da giày / Thời trang, Mỹ thuật / Nghệ thuật / Thiết kế</t>
        </is>
      </c>
      <c r="K11324" s="10" t="inlineStr">
        <is>
          <t>1 - 3 Năm</t>
        </is>
      </c>
      <c r="L11324" s="11">
        <f>HYPERLINK("https://careerviet.vn/vi/tim-viec-lam/nhan-vien-thiet-ke-thoi-trang-hang-xuat-khau.35C69DC6.html","Xem chi tiết")</f>
        <v/>
      </c>
      <c r="M11324" s="10" t="n"/>
    </row>
    <row r="11325">
      <c r="B11325" s="7" t="n">
        <v>11323</v>
      </c>
      <c r="C11325" t="inlineStr">
        <is>
          <t>Trưởng nhóm Digital Marketing</t>
        </is>
      </c>
      <c r="D11325" t="inlineStr">
        <is>
          <t>NHÀ SÁCH TIẾN THỌ</t>
        </is>
      </c>
      <c r="E11325" t="inlineStr">
        <is>
          <t>Lương:Cạnh tranh</t>
        </is>
      </c>
      <c r="F11325" t="inlineStr">
        <is>
          <t>Hà Nội</t>
        </is>
      </c>
      <c r="G11325" t="inlineStr">
        <is>
          <t>31-03-2026</t>
        </is>
      </c>
      <c r="H11325" t="inlineStr">
        <is>
          <t>31/03/2026</t>
        </is>
      </c>
      <c r="I11325" t="inlineStr">
        <is>
          <t>17/03/2026</t>
        </is>
      </c>
      <c r="J11325" t="inlineStr">
        <is>
          <t>Tiếp thị / Marketing, Bán lẻ / Bán sỉ, Bán hàng / Kinh doanh</t>
        </is>
      </c>
      <c r="K11325" t="inlineStr">
        <is>
          <t>Trên 2 Năm</t>
        </is>
      </c>
      <c r="L11325" s="8">
        <f>HYPERLINK("https://careerviet.vn/vi/tim-viec-lam/truong-nhom-digital-marketing.35C69F77.html","Xem chi tiết")</f>
        <v/>
      </c>
    </row>
    <row r="11326">
      <c r="B11326" s="9" t="n">
        <v>11324</v>
      </c>
      <c r="C11326" s="10" t="inlineStr">
        <is>
          <t>TRƯỞNG PHÒNG KINH TẾ KẾ HOẠCH</t>
        </is>
      </c>
      <c r="D11326" s="10" t="inlineStr">
        <is>
          <t>CÔNG TY CỔ PHẦN TƯ VẤN THIẾT KẾ VÀ XÂY DỰNG GREENHN</t>
        </is>
      </c>
      <c r="E11326" s="10" t="inlineStr">
        <is>
          <t>Lương:18 Tr - 25 Tr VND</t>
        </is>
      </c>
      <c r="F11326" s="10" t="inlineStr">
        <is>
          <t>Hà Nội</t>
        </is>
      </c>
      <c r="G11326" s="10" t="inlineStr">
        <is>
          <t>31-03-2026</t>
        </is>
      </c>
      <c r="H11326" s="10" t="inlineStr">
        <is>
          <t>31/03/2026</t>
        </is>
      </c>
      <c r="I11326" s="10" t="inlineStr">
        <is>
          <t>17/03/2026</t>
        </is>
      </c>
      <c r="J11326" s="10" t="inlineStr">
        <is>
          <t>Quản lý chất lượng (QA/QC), Thu mua / Vật tư, Xây dựng</t>
        </is>
      </c>
      <c r="K11326" s="10" t="inlineStr">
        <is>
          <t>5 - 7 Năm</t>
        </is>
      </c>
      <c r="L11326" s="11">
        <f>HYPERLINK("https://careerviet.vn/vi/tim-viec-lam/truong-phong-kinh-te-ke-hoach.35C69D56.html","Xem chi tiết")</f>
        <v/>
      </c>
      <c r="M11326" s="10" t="n"/>
    </row>
    <row r="11327">
      <c r="B11327" s="7" t="n">
        <v>11325</v>
      </c>
      <c r="C11327" t="inlineStr">
        <is>
          <t>Nhân viên bán hàng</t>
        </is>
      </c>
      <c r="D11327" t="inlineStr">
        <is>
          <t>Dalat Hasfarm</t>
        </is>
      </c>
      <c r="E11327" t="inlineStr">
        <is>
          <t>Lương:Cạnh tranh</t>
        </is>
      </c>
      <c r="F11327" t="inlineStr">
        <is>
          <t>Hồ Chí Minh</t>
        </is>
      </c>
      <c r="G11327" t="inlineStr">
        <is>
          <t>25-03-2026</t>
        </is>
      </c>
      <c r="H11327" t="inlineStr">
        <is>
          <t>25/03/2026</t>
        </is>
      </c>
      <c r="I11327" t="inlineStr">
        <is>
          <t>17/03/2026</t>
        </is>
      </c>
      <c r="J11327" t="inlineStr">
        <is>
          <t>Bán lẻ / Bán sỉ, Bán hàng / Kinh doanh, Tư vấn</t>
        </is>
      </c>
      <c r="K11327" t="inlineStr">
        <is>
          <t>N/A</t>
        </is>
      </c>
      <c r="L11327" s="8">
        <f>HYPERLINK("https://careerviet.vn/vi/tim-viec-lam/nhan-vien-ban-hang.35C69FD8.html","Xem chi tiết")</f>
        <v/>
      </c>
    </row>
    <row r="11328">
      <c r="B11328" s="9" t="n">
        <v>11326</v>
      </c>
      <c r="C11328" s="10" t="inlineStr">
        <is>
          <t>Nhân viên bán hàng tại Hà Nội</t>
        </is>
      </c>
      <c r="D11328" s="10" t="inlineStr">
        <is>
          <t>HMK Eyewear</t>
        </is>
      </c>
      <c r="E11328" s="10" t="inlineStr">
        <is>
          <t>Lương:8 Tr - 15 Tr VND</t>
        </is>
      </c>
      <c r="F11328" s="10" t="inlineStr">
        <is>
          <t>Hà Nội</t>
        </is>
      </c>
      <c r="G11328" s="10" t="inlineStr">
        <is>
          <t>31-03-2026</t>
        </is>
      </c>
      <c r="H11328" s="10" t="inlineStr">
        <is>
          <t>31/03/2026</t>
        </is>
      </c>
      <c r="I11328" s="10" t="inlineStr">
        <is>
          <t>17/03/2026</t>
        </is>
      </c>
      <c r="J11328" s="10" t="inlineStr">
        <is>
          <t>Tiếp thị / Marketing, Bán lẻ / Bán sỉ, Bán hàng / Kinh doanh</t>
        </is>
      </c>
      <c r="K11328" s="10" t="inlineStr">
        <is>
          <t>Chưa có kinh nghiệm</t>
        </is>
      </c>
      <c r="L11328" s="11">
        <f>HYPERLINK("https://careerviet.vn/vi/tim-viec-lam/nhan-vien-ban-hang-tai-ha-noi.35C6A08A.html","Xem chi tiết")</f>
        <v/>
      </c>
      <c r="M11328" s="10" t="n"/>
    </row>
    <row r="11329">
      <c r="B11329" s="7" t="n">
        <v>11327</v>
      </c>
      <c r="C11329" t="inlineStr">
        <is>
          <t>PROCUREMENT STAFF</t>
        </is>
      </c>
      <c r="D11329" t="inlineStr">
        <is>
          <t>S.F. EXPRESS LTD.</t>
        </is>
      </c>
      <c r="E11329" t="inlineStr">
        <is>
          <t>Lương:Cạnh tranh</t>
        </is>
      </c>
      <c r="F11329" t="inlineStr">
        <is>
          <t>Hồ Chí Minh</t>
        </is>
      </c>
      <c r="G11329" t="inlineStr">
        <is>
          <t>30-04-2026</t>
        </is>
      </c>
      <c r="H11329" t="inlineStr">
        <is>
          <t>30/04/2026</t>
        </is>
      </c>
      <c r="I11329" t="inlineStr">
        <is>
          <t>17/03/2026</t>
        </is>
      </c>
      <c r="J11329" t="inlineStr">
        <is>
          <t>Vận chuyển / Giao nhận / Kho vận, Hành chính / Thư ký, Thu mua / Vật tư</t>
        </is>
      </c>
      <c r="K11329" t="inlineStr">
        <is>
          <t>2 - 4 Năm</t>
        </is>
      </c>
      <c r="L11329" s="8">
        <f>HYPERLINK("https://careerviet.vn/vi/tim-viec-lam/procurement-staff.35C6A05E.html","Xem chi tiết")</f>
        <v/>
      </c>
    </row>
    <row r="11330">
      <c r="B11330" s="9" t="n">
        <v>11328</v>
      </c>
      <c r="C11330" s="10" t="inlineStr">
        <is>
          <t>项目助理</t>
        </is>
      </c>
      <c r="D11330" s="10" t="inlineStr">
        <is>
          <t>CÔNG TY TNHH RYDER INDUSTRIES VIỆT NAM</t>
        </is>
      </c>
      <c r="E11330" s="10" t="inlineStr">
        <is>
          <t>Lương:19 Tr - 22 Tr VND</t>
        </is>
      </c>
      <c r="F11330" s="10" t="inlineStr">
        <is>
          <t>Đồng Nai</t>
        </is>
      </c>
      <c r="G11330" s="10" t="inlineStr">
        <is>
          <t>27-03-2026</t>
        </is>
      </c>
      <c r="H11330" s="10" t="inlineStr">
        <is>
          <t>27/03/2026</t>
        </is>
      </c>
      <c r="I11330" s="10" t="inlineStr">
        <is>
          <t>17/03/2026</t>
        </is>
      </c>
      <c r="J11330" s="10" t="inlineStr">
        <is>
          <t>Sản xuất / Vận hành sản xuất</t>
        </is>
      </c>
      <c r="K11330" s="10" t="inlineStr">
        <is>
          <t>N/A</t>
        </is>
      </c>
      <c r="L11330" s="11">
        <f>HYPERLINK("https://careerviet.vn/vi/tim-viec-lam/info.35C69E47.html","Xem chi tiết")</f>
        <v/>
      </c>
      <c r="M11330" s="10" t="n"/>
    </row>
    <row r="11331">
      <c r="B11331" s="7" t="n">
        <v>11329</v>
      </c>
      <c r="C11331" t="inlineStr">
        <is>
          <t>Trưởng Nhóm Triển Khai Cơ Điện - MEP [XHOME SG]</t>
        </is>
      </c>
      <c r="D11331" t="inlineStr">
        <is>
          <t>Công ty CP XHOME Việt Nam</t>
        </is>
      </c>
      <c r="E11331" t="inlineStr">
        <is>
          <t>Lương:22 Tr - 30 Tr VND</t>
        </is>
      </c>
      <c r="F11331" t="inlineStr">
        <is>
          <t>Hồ Chí Minh</t>
        </is>
      </c>
      <c r="G11331" t="inlineStr">
        <is>
          <t>30-03-2026</t>
        </is>
      </c>
      <c r="H11331" t="inlineStr">
        <is>
          <t>30/03/2026</t>
        </is>
      </c>
      <c r="I11331" t="inlineStr">
        <is>
          <t>17/03/2026</t>
        </is>
      </c>
      <c r="J11331" t="inlineStr">
        <is>
          <t>Điện / Điện tử / Điện lạnh / Điện công nghiệp, Xây dựng, Nội ngoại thất</t>
        </is>
      </c>
      <c r="K11331" t="inlineStr">
        <is>
          <t>2 - 3 Năm</t>
        </is>
      </c>
      <c r="L11331" s="8">
        <f>HYPERLINK("https://careerviet.vn/vi/tim-viec-lam/truong-nhom-trien-khai-co-dien-mep-xhome-sg.35C6A013.html","Xem chi tiết")</f>
        <v/>
      </c>
    </row>
    <row r="11332">
      <c r="B11332" s="9" t="n">
        <v>11330</v>
      </c>
      <c r="C11332" s="10" t="inlineStr">
        <is>
          <t>KỸ SƯ ĐIỆN NĂNG LƯỢNG</t>
        </is>
      </c>
      <c r="D11332" s="10" t="inlineStr">
        <is>
          <t>CÔNG TY CỔ PHẦN ĐẦU TƯ XÂY DỰNG TRUNG NAM  - TRUNGNAM</t>
        </is>
      </c>
      <c r="E11332" s="10" t="inlineStr">
        <is>
          <t>Lương:Cạnh tranh</t>
        </is>
      </c>
      <c r="F11332" s="10" t="inlineStr">
        <is>
          <t>Hồ Chí Minh</t>
        </is>
      </c>
      <c r="G11332" s="10" t="inlineStr">
        <is>
          <t>26-03-2026</t>
        </is>
      </c>
      <c r="H11332" s="10" t="inlineStr">
        <is>
          <t>26/03/2026</t>
        </is>
      </c>
      <c r="I11332" s="10" t="inlineStr">
        <is>
          <t>17/03/2026</t>
        </is>
      </c>
      <c r="J11332" s="10" t="inlineStr">
        <is>
          <t>Điện / Điện tử / Điện lạnh / Điện công nghiệp, Xây dựng, Nhân sự</t>
        </is>
      </c>
      <c r="K11332" s="10" t="inlineStr">
        <is>
          <t>Trên 3 Năm</t>
        </is>
      </c>
      <c r="L11332" s="11">
        <f>HYPERLINK("https://careerviet.vn/vi/tim-viec-lam/ky-su-dien-nang-luong.35C6A038.html","Xem chi tiết")</f>
        <v/>
      </c>
      <c r="M11332" s="10" t="n"/>
    </row>
    <row r="11333">
      <c r="B11333" s="7" t="n">
        <v>11331</v>
      </c>
      <c r="C11333" t="inlineStr">
        <is>
          <t>Chuyên viên chăm sóc khách hàng</t>
        </is>
      </c>
      <c r="D11333" t="inlineStr">
        <is>
          <t>Công ty TNHH Sản xuất, lắp ráp Tuấn Nghĩa</t>
        </is>
      </c>
      <c r="E11333" t="inlineStr">
        <is>
          <t>Lương:10 Tr - 13 Tr VND</t>
        </is>
      </c>
      <c r="F11333" t="inlineStr">
        <is>
          <t>Hà Nội</t>
        </is>
      </c>
      <c r="G11333" t="inlineStr">
        <is>
          <t>29-03-2026</t>
        </is>
      </c>
      <c r="H11333" t="inlineStr">
        <is>
          <t>29/03/2026</t>
        </is>
      </c>
      <c r="I11333" t="inlineStr">
        <is>
          <t>17/03/2026</t>
        </is>
      </c>
      <c r="J11333" t="inlineStr">
        <is>
          <t>Dịch vụ khách hàng, Hàng gia dụng / Chăm sóc cá nhân, Bảo trì / Sửa chữa</t>
        </is>
      </c>
      <c r="K11333" t="inlineStr">
        <is>
          <t>Trên 1 Năm</t>
        </is>
      </c>
      <c r="L11333" s="8">
        <f>HYPERLINK("https://careerviet.vn/vi/tim-viec-lam/chuyen-vien-cham-soc-khach-hang.35C6A057.html","Xem chi tiết")</f>
        <v/>
      </c>
    </row>
    <row r="11334">
      <c r="B11334" s="9" t="n">
        <v>11332</v>
      </c>
      <c r="C11334" s="10" t="inlineStr">
        <is>
          <t>Nhân Viên Vận Hành Máy</t>
        </is>
      </c>
      <c r="D11334" s="10" t="inlineStr">
        <is>
          <t>Công Ty TNHH Khuôn Mẫu Chính Xác DK</t>
        </is>
      </c>
      <c r="E11334" s="10" t="inlineStr">
        <is>
          <t>Lương:Cạnh tranh</t>
        </is>
      </c>
      <c r="F11334" s="10" t="inlineStr">
        <is>
          <t>Bình Dương</t>
        </is>
      </c>
      <c r="G11334" s="10" t="inlineStr">
        <is>
          <t>31-03-2026</t>
        </is>
      </c>
      <c r="H11334" s="10" t="inlineStr">
        <is>
          <t>31/03/2026</t>
        </is>
      </c>
      <c r="I11334" s="10" t="inlineStr">
        <is>
          <t>17/03/2026</t>
        </is>
      </c>
      <c r="J11334" s="10" t="inlineStr">
        <is>
          <t>Cơ khí / Ô tô / Tự động hóa</t>
        </is>
      </c>
      <c r="K11334" s="10" t="inlineStr">
        <is>
          <t>1 - 5 Năm</t>
        </is>
      </c>
      <c r="L11334" s="11">
        <f>HYPERLINK("https://careerviet.vn/vi/tim-viec-lam/nhan-vien-van-hanh-may.35C69FBE.html","Xem chi tiết")</f>
        <v/>
      </c>
      <c r="M11334" s="10" t="n"/>
    </row>
    <row r="11335">
      <c r="B11335" s="7" t="n">
        <v>11333</v>
      </c>
      <c r="C11335" t="inlineStr">
        <is>
          <t>Cửa hàng trưởng</t>
        </is>
      </c>
      <c r="D11335" t="inlineStr">
        <is>
          <t>Công ty Cổ phần Đồng phục Phương Thảo</t>
        </is>
      </c>
      <c r="E11335" t="inlineStr">
        <is>
          <t>Lương:8 Tr - 15 Tr VND</t>
        </is>
      </c>
      <c r="F11335" t="inlineStr">
        <is>
          <t>Hà Nội</t>
        </is>
      </c>
      <c r="G11335" t="inlineStr">
        <is>
          <t>31-03-2026</t>
        </is>
      </c>
      <c r="H11335" t="inlineStr">
        <is>
          <t>31/03/2026</t>
        </is>
      </c>
      <c r="I11335" t="inlineStr">
        <is>
          <t>17/03/2026</t>
        </is>
      </c>
      <c r="J11335" t="inlineStr">
        <is>
          <t>Bán hàng / Kinh doanh, Bán lẻ / Bán sỉ, Dệt may / Da giày / Thời trang</t>
        </is>
      </c>
      <c r="K11335" t="inlineStr">
        <is>
          <t>1 - 2 Năm</t>
        </is>
      </c>
      <c r="L11335" s="8">
        <f>HYPERLINK("https://careerviet.vn/vi/tim-viec-lam/cua-hang-truong.35C6A0CF.html","Xem chi tiết")</f>
        <v/>
      </c>
    </row>
    <row r="11336">
      <c r="B11336" s="9" t="n">
        <v>11334</v>
      </c>
      <c r="C11336" s="10" t="inlineStr">
        <is>
          <t>CHUYÊN VIÊN KẾ TOÁN (Q7, HCM)</t>
        </is>
      </c>
      <c r="D11336" s="10" t="inlineStr">
        <is>
          <t>CÔNG TY CỔ PHẦN TẬP ĐOÀN XUẤT - NHẬP KHẨU TRÁI CÂY CHÁNH THU</t>
        </is>
      </c>
      <c r="E11336" s="10" t="inlineStr">
        <is>
          <t>Lương:Cạnh tranh</t>
        </is>
      </c>
      <c r="F11336" s="10" t="inlineStr">
        <is>
          <t>Hồ Chí Minh</t>
        </is>
      </c>
      <c r="G11336" s="10" t="inlineStr">
        <is>
          <t>27-03-2026</t>
        </is>
      </c>
      <c r="H11336" s="10" t="inlineStr">
        <is>
          <t>27/03/2026</t>
        </is>
      </c>
      <c r="I11336" s="10" t="inlineStr">
        <is>
          <t>17/03/2026</t>
        </is>
      </c>
      <c r="J11336" s="10" t="inlineStr">
        <is>
          <t>Kế toán / Kiểm toán, Xuất nhập khẩu, Sản xuất / Vận hành sản xuất</t>
        </is>
      </c>
      <c r="K11336" s="10" t="inlineStr">
        <is>
          <t>1 - 2 Năm</t>
        </is>
      </c>
      <c r="L11336" s="11">
        <f>HYPERLINK("https://careerviet.vn/vi/tim-viec-lam/chuyen-vien-ke-toan-q7-hcm.35C69E5B.html","Xem chi tiết")</f>
        <v/>
      </c>
      <c r="M11336" s="10" t="n"/>
    </row>
    <row r="11337">
      <c r="B11337" s="7" t="n">
        <v>11335</v>
      </c>
      <c r="C11337" t="inlineStr">
        <is>
          <t>Giám Sát Cơ Điện - MEP [XHOME SG]</t>
        </is>
      </c>
      <c r="D11337" t="inlineStr">
        <is>
          <t>Công ty CP XHOME Việt Nam</t>
        </is>
      </c>
      <c r="E11337" t="inlineStr">
        <is>
          <t>Lương:17 Tr - 20 Tr VND</t>
        </is>
      </c>
      <c r="F11337" t="inlineStr">
        <is>
          <t>Hồ Chí Minh</t>
        </is>
      </c>
      <c r="G11337" t="inlineStr">
        <is>
          <t>30-03-2026</t>
        </is>
      </c>
      <c r="H11337" t="inlineStr">
        <is>
          <t>30/03/2026</t>
        </is>
      </c>
      <c r="I11337" t="inlineStr">
        <is>
          <t>17/03/2026</t>
        </is>
      </c>
      <c r="J11337" t="inlineStr">
        <is>
          <t>Điện / Điện tử / Điện lạnh / Điện công nghiệp, Xây dựng, Nội ngoại thất</t>
        </is>
      </c>
      <c r="K11337" t="inlineStr">
        <is>
          <t>2 - 3 Năm</t>
        </is>
      </c>
      <c r="L11337" s="8">
        <f>HYPERLINK("https://careerviet.vn/vi/tim-viec-lam/giam-sat-co-dien-mep-xhome-sg.35C6A00F.html","Xem chi tiết")</f>
        <v/>
      </c>
    </row>
    <row r="11338">
      <c r="B11338" s="9" t="n">
        <v>11336</v>
      </c>
      <c r="C11338" s="10" t="inlineStr">
        <is>
          <t>Nhân viên VS Công cộng @ Oakwood Residence Saigon</t>
        </is>
      </c>
      <c r="D11338" s="10" t="inlineStr">
        <is>
          <t>SOMERSET SERVICED RESIDENCE</t>
        </is>
      </c>
      <c r="E11338" s="10" t="inlineStr">
        <is>
          <t>Lương:Cạnh tranh</t>
        </is>
      </c>
      <c r="F11338" s="10" t="inlineStr">
        <is>
          <t>Hồ Chí Minh</t>
        </is>
      </c>
      <c r="G11338" s="10" t="inlineStr">
        <is>
          <t>28-03-2026</t>
        </is>
      </c>
      <c r="H11338" s="10" t="inlineStr">
        <is>
          <t>28/03/2026</t>
        </is>
      </c>
      <c r="I11338" s="10" t="inlineStr">
        <is>
          <t>17/03/2026</t>
        </is>
      </c>
      <c r="J11338" s="10" t="inlineStr">
        <is>
          <t>Nhà hàng / Khách sạn</t>
        </is>
      </c>
      <c r="K11338" s="10" t="inlineStr">
        <is>
          <t>Chưa có kinh nghiệm</t>
        </is>
      </c>
      <c r="L11338" s="11">
        <f>HYPERLINK("https://careerviet.vn/vi/tim-viec-lam/nhan-vien-vs-cong-cong-oakwood-residence-saigon.35C69FCD.html","Xem chi tiết")</f>
        <v/>
      </c>
      <c r="M11338" s="10" t="n"/>
    </row>
    <row r="11339">
      <c r="B11339" s="7" t="n">
        <v>11337</v>
      </c>
      <c r="C11339" t="inlineStr">
        <is>
          <t>Nhân viên kế toán bán hàng</t>
        </is>
      </c>
      <c r="D11339" t="inlineStr">
        <is>
          <t>CÔNG TY CỔ PHẦN THƯƠNG MẠI DỊCH VỤ AN ĐẠI DƯƠNG</t>
        </is>
      </c>
      <c r="E11339" t="inlineStr">
        <is>
          <t>Lương:10 Tr - 12 Tr VND</t>
        </is>
      </c>
      <c r="F11339" t="inlineStr">
        <is>
          <t>Hà Nội</t>
        </is>
      </c>
      <c r="G11339" t="inlineStr">
        <is>
          <t>31-03-2026</t>
        </is>
      </c>
      <c r="H11339" t="inlineStr">
        <is>
          <t>31/03/2026</t>
        </is>
      </c>
      <c r="I11339" t="inlineStr">
        <is>
          <t>17/03/2026</t>
        </is>
      </c>
      <c r="J11339" t="inlineStr">
        <is>
          <t>Kế toán / Kiểm toán</t>
        </is>
      </c>
      <c r="K11339" t="inlineStr">
        <is>
          <t>1 - 2 Năm</t>
        </is>
      </c>
      <c r="L11339" s="8">
        <f>HYPERLINK("https://careerviet.vn/vi/tim-viec-lam/nhan-vien-ke-toan-ban-hang.35C69EE1.html","Xem chi tiết")</f>
        <v/>
      </c>
    </row>
    <row r="11340">
      <c r="B11340" s="9" t="n">
        <v>11338</v>
      </c>
      <c r="C11340" s="10" t="inlineStr">
        <is>
          <t>Trưởng phòng Kỹ thuật Vận hành KĐT</t>
        </is>
      </c>
      <c r="D11340" s="10" t="inlineStr">
        <is>
          <t>Công ty cổ phần Tập đoàn Danko</t>
        </is>
      </c>
      <c r="E11340" s="10" t="inlineStr">
        <is>
          <t>Lương:25 Tr - 35 Tr VND</t>
        </is>
      </c>
      <c r="F11340" s="10" t="inlineStr">
        <is>
          <t>Thái Nguyên</t>
        </is>
      </c>
      <c r="G11340" s="10" t="inlineStr">
        <is>
          <t>31-03-2026</t>
        </is>
      </c>
      <c r="H11340" s="10" t="inlineStr">
        <is>
          <t>31/03/2026</t>
        </is>
      </c>
      <c r="I11340" s="10" t="inlineStr">
        <is>
          <t>17/03/2026</t>
        </is>
      </c>
      <c r="J11340" s="10" t="inlineStr">
        <is>
          <t>Điện / Điện tử / Điện lạnh / Điện công nghiệp, Xây dựng</t>
        </is>
      </c>
      <c r="K11340" s="10" t="inlineStr">
        <is>
          <t>Trên 7 Năm</t>
        </is>
      </c>
      <c r="L11340" s="11">
        <f>HYPERLINK("https://careerviet.vn/vi/tim-viec-lam/truong-phong-ky-thuat-van-hanh-kdt.35C69E26.html","Xem chi tiết")</f>
        <v/>
      </c>
      <c r="M11340" s="10" t="n"/>
    </row>
    <row r="11341">
      <c r="B11341" s="7" t="n">
        <v>11339</v>
      </c>
      <c r="C11341" t="inlineStr">
        <is>
          <t>Nhân viên kế toán</t>
        </is>
      </c>
      <c r="D11341" t="inlineStr">
        <is>
          <t>Tập Đoàn Tân Á Đại Thành</t>
        </is>
      </c>
      <c r="E11341" t="inlineStr">
        <is>
          <t>Lương:10 Tr - 11 Tr VND</t>
        </is>
      </c>
      <c r="F11341" t="inlineStr">
        <is>
          <t>Hà Nội</t>
        </is>
      </c>
      <c r="G11341" t="inlineStr">
        <is>
          <t>26-03-2026</t>
        </is>
      </c>
      <c r="H11341" t="inlineStr">
        <is>
          <t>26/03/2026</t>
        </is>
      </c>
      <c r="I11341" t="inlineStr">
        <is>
          <t>17/03/2026</t>
        </is>
      </c>
      <c r="J11341" t="inlineStr">
        <is>
          <t>Kế toán / Kiểm toán</t>
        </is>
      </c>
      <c r="K11341" t="inlineStr">
        <is>
          <t>2 - 3 Năm</t>
        </is>
      </c>
      <c r="L11341" s="8">
        <f>HYPERLINK("https://careerviet.vn/vi/tim-viec-lam/nhan-vien-ke-toan.35C69EDF.html","Xem chi tiết")</f>
        <v/>
      </c>
    </row>
    <row r="11342">
      <c r="B11342" s="9" t="n">
        <v>11340</v>
      </c>
      <c r="C11342" s="10" t="inlineStr">
        <is>
          <t>Kỹ Sư Tự Động Hóa (PLC)</t>
        </is>
      </c>
      <c r="D11342" s="10" t="inlineStr">
        <is>
          <t>Công ty Cổ phần Thiết bị và Giải pháp cơ khí Automech</t>
        </is>
      </c>
      <c r="E11342" s="10" t="inlineStr">
        <is>
          <t>Lương:10 Tr - 20 Tr VND</t>
        </is>
      </c>
      <c r="F11342" s="10" t="inlineStr">
        <is>
          <t>Hà Nội</t>
        </is>
      </c>
      <c r="G11342" s="10" t="inlineStr">
        <is>
          <t>27-03-2026</t>
        </is>
      </c>
      <c r="H11342" s="10" t="inlineStr">
        <is>
          <t>27/03/2026</t>
        </is>
      </c>
      <c r="I11342" s="10" t="inlineStr">
        <is>
          <t>17/03/2026</t>
        </is>
      </c>
      <c r="J11342" s="10" t="inlineStr">
        <is>
          <t>Cơ khí / Ô tô / Tự động hóa, Điện / Điện tử / Điện lạnh / Điện công nghiệp, Thương mại điện tử</t>
        </is>
      </c>
      <c r="K11342" s="10" t="inlineStr">
        <is>
          <t>Trên 1 Năm</t>
        </is>
      </c>
      <c r="L11342" s="11">
        <f>HYPERLINK("https://careerviet.vn/vi/tim-viec-lam/ky-su-tu-dong-hoa-plc.35C69E0F.html","Xem chi tiết")</f>
        <v/>
      </c>
      <c r="M11342" s="10" t="n"/>
    </row>
    <row r="11343">
      <c r="B11343" s="7" t="n">
        <v>11341</v>
      </c>
      <c r="C11343" t="inlineStr">
        <is>
          <t>Lễ tân</t>
        </is>
      </c>
      <c r="D11343" t="inlineStr">
        <is>
          <t>Công ty cổ phần sản xuất và xuất khẩu Quế hồi Việt Nam</t>
        </is>
      </c>
      <c r="E11343" t="inlineStr">
        <is>
          <t>Lương:8 Tr - 15 Tr VND</t>
        </is>
      </c>
      <c r="F11343" t="inlineStr">
        <is>
          <t>Hà Nội</t>
        </is>
      </c>
      <c r="G11343" t="inlineStr">
        <is>
          <t>31-03-2026</t>
        </is>
      </c>
      <c r="H11343" t="inlineStr">
        <is>
          <t>31/03/2026</t>
        </is>
      </c>
      <c r="I11343" t="inlineStr">
        <is>
          <t>17/03/2026</t>
        </is>
      </c>
      <c r="J11343" t="inlineStr">
        <is>
          <t>Tiếp thị / Marketing, Y tế / Chăm sóc sức khỏe / Thẩm mỹ / Làm đẹp, Dịch vụ khách hàng</t>
        </is>
      </c>
      <c r="K11343" t="inlineStr">
        <is>
          <t>1 - 2 Năm</t>
        </is>
      </c>
      <c r="L11343" s="8">
        <f>HYPERLINK("https://careerviet.vn/vi/tim-viec-lam/le-tan.35C69FED.html","Xem chi tiết")</f>
        <v/>
      </c>
    </row>
    <row r="11344">
      <c r="B11344" s="9" t="n">
        <v>11342</v>
      </c>
      <c r="C11344" s="10" t="inlineStr">
        <is>
          <t>[Tân Phú] Tuyển Nhân Viên Bán Hàng - Chuỗi Cửa Hàng Bán Lẻ Thiết Bị Sức Khỏe</t>
        </is>
      </c>
      <c r="D11344" s="10" t="inlineStr">
        <is>
          <t>Công Ty TNHH XNK Phát Triển Đông Dương</t>
        </is>
      </c>
      <c r="E11344" s="10" t="inlineStr">
        <is>
          <t>Lương:12 Tr - 20 Tr VND</t>
        </is>
      </c>
      <c r="F11344" s="10" t="inlineStr">
        <is>
          <t>Hồ Chí Minh</t>
        </is>
      </c>
      <c r="G11344" s="10" t="inlineStr">
        <is>
          <t>31-03-2026</t>
        </is>
      </c>
      <c r="H11344" s="10" t="inlineStr">
        <is>
          <t>31/03/2026</t>
        </is>
      </c>
      <c r="I11344" s="10" t="inlineStr">
        <is>
          <t>17/03/2026</t>
        </is>
      </c>
      <c r="J11344" s="10" t="inlineStr">
        <is>
          <t>Bán lẻ / Bán sỉ, Bán hàng / Kinh doanh, Tư vấn</t>
        </is>
      </c>
      <c r="K11344" s="10" t="inlineStr">
        <is>
          <t>N/A</t>
        </is>
      </c>
      <c r="L11344" s="11">
        <f>HYPERLINK("https://careerviet.vn/vi/tim-viec-lam/tan-phu-tuyen-nhan-vien-ban-hang-chuoi-cua-hang-ban-le-thiet-bi-suc-khoe.35C6A0B2.html","Xem chi tiết")</f>
        <v/>
      </c>
      <c r="M11344" s="10" t="n"/>
    </row>
    <row r="11345">
      <c r="B11345" s="7" t="n">
        <v>11343</v>
      </c>
      <c r="C11345" t="inlineStr">
        <is>
          <t>Chuyên viên pháp chế</t>
        </is>
      </c>
      <c r="D11345" t="inlineStr">
        <is>
          <t>Công ty TNHH Giầy Chingluh Việt Nam</t>
        </is>
      </c>
      <c r="E11345" t="inlineStr">
        <is>
          <t>Lương:Cạnh tranh</t>
        </is>
      </c>
      <c r="F11345" t="inlineStr">
        <is>
          <t>Long An</t>
        </is>
      </c>
      <c r="G11345" t="inlineStr">
        <is>
          <t>31-03-2026</t>
        </is>
      </c>
      <c r="H11345" t="inlineStr">
        <is>
          <t>31/03/2026</t>
        </is>
      </c>
      <c r="I11345" t="inlineStr">
        <is>
          <t>17/03/2026</t>
        </is>
      </c>
      <c r="J11345" t="inlineStr">
        <is>
          <t>Luật / Pháp lý, Sản xuất / Vận hành sản xuất, Xây dựng</t>
        </is>
      </c>
      <c r="K11345" t="inlineStr">
        <is>
          <t>1 - 2 Năm</t>
        </is>
      </c>
      <c r="L11345" s="8">
        <f>HYPERLINK("https://careerviet.vn/vi/tim-viec-lam/chuyen-vien-phap-che.35C69F00.html","Xem chi tiết")</f>
        <v/>
      </c>
    </row>
    <row r="11346">
      <c r="B11346" s="9" t="n">
        <v>11344</v>
      </c>
      <c r="C11346" s="10" t="inlineStr">
        <is>
          <t>Nhân viên y tế (Clinic Staff)</t>
        </is>
      </c>
      <c r="D11346" s="10" t="inlineStr">
        <is>
          <t>Vietnam Furniture Resources (VFR)</t>
        </is>
      </c>
      <c r="E11346" s="10" t="inlineStr">
        <is>
          <t>Lương:Cạnh tranh</t>
        </is>
      </c>
      <c r="F11346" s="10" t="inlineStr">
        <is>
          <t>Bình Dương</t>
        </is>
      </c>
      <c r="G11346" s="10" t="inlineStr">
        <is>
          <t>28-03-2026</t>
        </is>
      </c>
      <c r="H11346" s="10" t="inlineStr">
        <is>
          <t>28/03/2026</t>
        </is>
      </c>
      <c r="I11346" s="10" t="inlineStr">
        <is>
          <t>17/03/2026</t>
        </is>
      </c>
      <c r="J11346" s="10" t="inlineStr">
        <is>
          <t>Dược phẩm/ Hóa Mỹ Phẩm, Y tế / Chăm sóc sức khỏe / Thẩm mỹ / Làm đẹp</t>
        </is>
      </c>
      <c r="K11346" s="10" t="inlineStr">
        <is>
          <t>2 - 5 Năm</t>
        </is>
      </c>
      <c r="L11346" s="11">
        <f>HYPERLINK("https://careerviet.vn/vi/tim-viec-lam/nhan-vien-y-te-clinic-staff.35C69FE7.html","Xem chi tiết")</f>
        <v/>
      </c>
      <c r="M11346" s="10" t="n"/>
    </row>
    <row r="11347">
      <c r="B11347" s="7" t="n">
        <v>11345</v>
      </c>
      <c r="C11347" t="inlineStr">
        <is>
          <t>Nhân Viên Bảo trì (Hà Nội)</t>
        </is>
      </c>
      <c r="D11347" t="inlineStr">
        <is>
          <t>Concung.com - Con Cung Joint Stock Company</t>
        </is>
      </c>
      <c r="E11347" t="inlineStr">
        <is>
          <t>Lương:Cạnh tranh</t>
        </is>
      </c>
      <c r="F11347" t="inlineStr">
        <is>
          <t>Hà Nội</t>
        </is>
      </c>
      <c r="G11347" t="inlineStr">
        <is>
          <t>27-03-2026</t>
        </is>
      </c>
      <c r="H11347" t="inlineStr">
        <is>
          <t>27/03/2026</t>
        </is>
      </c>
      <c r="I11347" t="inlineStr">
        <is>
          <t>17/03/2026</t>
        </is>
      </c>
      <c r="J11347" t="inlineStr">
        <is>
          <t>Điện / Điện tử / Điện lạnh / Điện công nghiệp, Bảo trì / Sửa chữa, Xây dựng</t>
        </is>
      </c>
      <c r="K11347" t="inlineStr">
        <is>
          <t>Trên 1 Năm</t>
        </is>
      </c>
      <c r="L11347" s="8">
        <f>HYPERLINK("https://careerviet.vn/vi/tim-viec-lam/nhan-vien-bao-tri-ha-noi.35C6A109.html","Xem chi tiết")</f>
        <v/>
      </c>
    </row>
    <row r="11348">
      <c r="B11348" s="9" t="n">
        <v>11346</v>
      </c>
      <c r="C11348" s="10" t="inlineStr">
        <is>
          <t>Sales Admin Quốc tế</t>
        </is>
      </c>
      <c r="D11348" s="10" t="inlineStr">
        <is>
          <t>CÔNG TY TNHH XUẤT NHẬP KHẨU MT GROUP</t>
        </is>
      </c>
      <c r="E11348" s="10" t="inlineStr">
        <is>
          <t>Lương:9 Tr - 13 Tr VND</t>
        </is>
      </c>
      <c r="F11348" s="10" t="inlineStr">
        <is>
          <t>Hồ Chí Minh</t>
        </is>
      </c>
      <c r="G11348" s="10" t="inlineStr">
        <is>
          <t>31-03-2026</t>
        </is>
      </c>
      <c r="H11348" s="10" t="inlineStr">
        <is>
          <t>31/03/2026</t>
        </is>
      </c>
      <c r="I11348" s="10" t="inlineStr">
        <is>
          <t>17/03/2026</t>
        </is>
      </c>
      <c r="J11348" s="10" t="inlineStr">
        <is>
          <t>Bán hàng / Kinh doanh, Bán lẻ / Bán sỉ, Xuất nhập khẩu</t>
        </is>
      </c>
      <c r="K11348" s="10" t="inlineStr">
        <is>
          <t>1 - 3 Năm</t>
        </is>
      </c>
      <c r="L11348" s="11">
        <f>HYPERLINK("https://careerviet.vn/vi/tim-viec-lam/sales-admin-quoc-te.35C69D1A.html","Xem chi tiết")</f>
        <v/>
      </c>
      <c r="M11348" s="10" t="n"/>
    </row>
    <row r="11349">
      <c r="B11349" s="7" t="n">
        <v>11347</v>
      </c>
      <c r="C11349" t="inlineStr">
        <is>
          <t>Kỹ Thuật Giải Pháp Nhà Máy</t>
        </is>
      </c>
      <c r="D11349" t="inlineStr">
        <is>
          <t>CÔNG TY CỔ PHẦN PHÁT TRIỂN CÔNG NGHỆ TECHPRO</t>
        </is>
      </c>
      <c r="E11349" t="inlineStr">
        <is>
          <t>Lương:15 Tr - 20 Tr VND</t>
        </is>
      </c>
      <c r="F11349" t="inlineStr">
        <is>
          <t>Hồ Chí Minh</t>
        </is>
      </c>
      <c r="G11349" t="inlineStr">
        <is>
          <t>12-04-2026</t>
        </is>
      </c>
      <c r="H11349" t="inlineStr">
        <is>
          <t>12/04/2026</t>
        </is>
      </c>
      <c r="I11349" t="inlineStr">
        <is>
          <t>17/03/2026</t>
        </is>
      </c>
      <c r="J11349" t="inlineStr">
        <is>
          <t>CNTT - Phần mềm, Điện / Điện tử / Điện lạnh / Điện công nghiệp, Cơ khí / Ô tô / Tự động hóa</t>
        </is>
      </c>
      <c r="K11349" t="inlineStr">
        <is>
          <t>Lên đến 2 Năm</t>
        </is>
      </c>
      <c r="L11349" s="8">
        <f>HYPERLINK("https://careerviet.vn/vi/tim-viec-lam/ky-thuat-giai-phap-nha-may.35C6C5D1.html","Xem chi tiết")</f>
        <v/>
      </c>
    </row>
    <row r="11350">
      <c r="B11350" s="9" t="n">
        <v>11348</v>
      </c>
      <c r="C11350" s="10" t="inlineStr">
        <is>
          <t>Trưởng phòng Marketing</t>
        </is>
      </c>
      <c r="D11350" s="10" t="inlineStr">
        <is>
          <t>NHÀ SÁCH TIẾN THỌ</t>
        </is>
      </c>
      <c r="E11350" s="10" t="inlineStr">
        <is>
          <t>Lương:Cạnh tranh</t>
        </is>
      </c>
      <c r="F11350" s="10" t="inlineStr">
        <is>
          <t>Hà Nội</t>
        </is>
      </c>
      <c r="G11350" s="10" t="inlineStr">
        <is>
          <t>31-03-2026</t>
        </is>
      </c>
      <c r="H11350" s="10" t="inlineStr">
        <is>
          <t>31/03/2026</t>
        </is>
      </c>
      <c r="I11350" s="10" t="inlineStr">
        <is>
          <t>17/03/2026</t>
        </is>
      </c>
      <c r="J11350" s="10" t="inlineStr">
        <is>
          <t>Tiếp thị / Marketing, Bán lẻ / Bán sỉ, Quảng cáo / Đối ngoại / Truyền Thông</t>
        </is>
      </c>
      <c r="K11350" s="10" t="inlineStr">
        <is>
          <t>Trên 2 Năm</t>
        </is>
      </c>
      <c r="L11350" s="11">
        <f>HYPERLINK("https://careerviet.vn/vi/tim-viec-lam/truong-phong-marketing.35C69F45.html","Xem chi tiết")</f>
        <v/>
      </c>
      <c r="M11350" s="10" t="n"/>
    </row>
    <row r="11351">
      <c r="B11351" s="7" t="n">
        <v>11349</v>
      </c>
      <c r="C11351" t="inlineStr">
        <is>
          <t>Bình Dương_Nhân viên Quản lý vật liệu Nội thất</t>
        </is>
      </c>
      <c r="D11351" t="inlineStr">
        <is>
          <t>TTT Corporation</t>
        </is>
      </c>
      <c r="E11351" t="inlineStr">
        <is>
          <t>Lương:13 Tr - 18 Tr VND</t>
        </is>
      </c>
      <c r="F11351" t="inlineStr">
        <is>
          <t>Bình Dương</t>
        </is>
      </c>
      <c r="G11351" t="inlineStr">
        <is>
          <t>31-03-2026</t>
        </is>
      </c>
      <c r="H11351" t="inlineStr">
        <is>
          <t>31/03/2026</t>
        </is>
      </c>
      <c r="I11351" t="inlineStr">
        <is>
          <t>17/03/2026</t>
        </is>
      </c>
      <c r="J11351" t="inlineStr">
        <is>
          <t>Nội ngoại thất, Đồ gỗ, Thư viện</t>
        </is>
      </c>
      <c r="K11351" t="inlineStr">
        <is>
          <t>2 - 3 Năm</t>
        </is>
      </c>
      <c r="L11351" s="8">
        <f>HYPERLINK("https://careerviet.vn/vi/tim-viec-lam/binh-duong_nhan-vien-quan-ly-vat-lieu-noi-that.35C69E61.html","Xem chi tiết")</f>
        <v/>
      </c>
    </row>
    <row r="11352">
      <c r="B11352" s="9" t="n">
        <v>11350</v>
      </c>
      <c r="C11352" s="10" t="inlineStr">
        <is>
          <t>(Hà Nội) Cố Vấn Dịch Vụ Ôtô tại Long Biên (Từ 10 -15 triệu/tháng)</t>
        </is>
      </c>
      <c r="D11352" s="10" t="inlineStr">
        <is>
          <t>Công Ty TNHH Tập Đoàn Rita Võ</t>
        </is>
      </c>
      <c r="E11352" s="10" t="inlineStr">
        <is>
          <t>Lương:10 Tr - 15 Tr VND</t>
        </is>
      </c>
      <c r="F11352" s="10" t="inlineStr">
        <is>
          <t>Hà Nội</t>
        </is>
      </c>
      <c r="G11352" s="10" t="inlineStr">
        <is>
          <t>31-03-2026</t>
        </is>
      </c>
      <c r="H11352" s="10" t="inlineStr">
        <is>
          <t>31/03/2026</t>
        </is>
      </c>
      <c r="I11352" s="10" t="inlineStr">
        <is>
          <t>17/03/2026</t>
        </is>
      </c>
      <c r="J11352" s="10" t="inlineStr">
        <is>
          <t>Cơ khí / Ô tô / Tự động hóa, Dịch vụ khách hàng, Tư vấn</t>
        </is>
      </c>
      <c r="K11352" s="10" t="inlineStr">
        <is>
          <t>1 - 3 Năm</t>
        </is>
      </c>
      <c r="L11352" s="11">
        <f>HYPERLINK("https://careerviet.vn/vi/tim-viec-lam/ha-noi-co-van-dich-vu-oto-tai-long-bien-tu-10-15-trieu-thang.35C69FCF.html","Xem chi tiết")</f>
        <v/>
      </c>
      <c r="M11352" s="10" t="n"/>
    </row>
    <row r="11353">
      <c r="B11353" s="7" t="n">
        <v>11351</v>
      </c>
      <c r="C11353" t="inlineStr">
        <is>
          <t>Nhân Viên Chăm Sóc Khách Hàng</t>
        </is>
      </c>
      <c r="D11353" t="inlineStr">
        <is>
          <t>CÔNG TY TNHH BRIGHT MARKETING</t>
        </is>
      </c>
      <c r="E11353" t="inlineStr">
        <is>
          <t>Lương:10 Tr - 40 Tr VND</t>
        </is>
      </c>
      <c r="F11353" t="inlineStr">
        <is>
          <t>Hồ Chí Minh</t>
        </is>
      </c>
      <c r="G11353" t="inlineStr">
        <is>
          <t>30-03-2026</t>
        </is>
      </c>
      <c r="H11353" t="inlineStr">
        <is>
          <t>30/03/2026</t>
        </is>
      </c>
      <c r="I11353" t="inlineStr">
        <is>
          <t>17/03/2026</t>
        </is>
      </c>
      <c r="J11353" t="inlineStr">
        <is>
          <t>Dịch vụ khách hàng, Hành chính / Thư ký, Tiếp thị / Marketing</t>
        </is>
      </c>
      <c r="K11353" t="inlineStr">
        <is>
          <t>N/A</t>
        </is>
      </c>
      <c r="L11353" s="8">
        <f>HYPERLINK("https://careerviet.vn/vi/tim-viec-lam/nhan-vien-cham-soc-khach-hang.35C69DCA.html","Xem chi tiết")</f>
        <v/>
      </c>
    </row>
    <row r="11354">
      <c r="B11354" s="9" t="n">
        <v>11352</v>
      </c>
      <c r="C11354" s="10" t="inlineStr">
        <is>
          <t>[MEKONG] GIÁM SÁT KINH DOANH KÊNH SIÊU THỊ</t>
        </is>
      </c>
      <c r="D11354" s="10" t="inlineStr">
        <is>
          <t>CÔNG TY CỔ PHẦN SẢN XUẤT, THƯƠNG MẠI VÀ DỊCH VỤ PHÚC THỊNH</t>
        </is>
      </c>
      <c r="E11354" s="10" t="inlineStr">
        <is>
          <t>Lương:12 Tr - 20 Tr VND</t>
        </is>
      </c>
      <c r="F11354" s="10" t="inlineStr">
        <is>
          <t>Toàn quốc</t>
        </is>
      </c>
      <c r="G11354" s="10" t="inlineStr">
        <is>
          <t>06-04-2026</t>
        </is>
      </c>
      <c r="H11354" s="10" t="inlineStr">
        <is>
          <t>06/04/2026</t>
        </is>
      </c>
      <c r="I11354" s="10" t="inlineStr">
        <is>
          <t>17/03/2026</t>
        </is>
      </c>
      <c r="J11354" s="10" t="inlineStr">
        <is>
          <t>Bán lẻ / Bán sỉ, Bán hàng / Kinh doanh, Thực phẩm &amp; Đồ uống</t>
        </is>
      </c>
      <c r="K11354" s="10" t="inlineStr">
        <is>
          <t>1 - 2 Năm</t>
        </is>
      </c>
      <c r="L11354" s="11">
        <f>HYPERLINK("https://careerviet.vn/vi/tim-viec-lam/mekong-giam-sat-kinh-doanh-kenh-sieu-thi.35C6C5C4.html","Xem chi tiết")</f>
        <v/>
      </c>
      <c r="M11354" s="10" t="n"/>
    </row>
    <row r="11355">
      <c r="B11355" s="7" t="n">
        <v>11353</v>
      </c>
      <c r="C11355" t="inlineStr">
        <is>
          <t>Shipping / Receiving Coordinator</t>
        </is>
      </c>
      <c r="D11355" t="inlineStr">
        <is>
          <t>CÔNG TY TNHH DYNAMIC TEST SOLUTIONS VIỆT NAM</t>
        </is>
      </c>
      <c r="E11355" t="inlineStr">
        <is>
          <t>Lương:20 Tr - 40 Tr VND</t>
        </is>
      </c>
      <c r="F11355" t="inlineStr">
        <is>
          <t>Hồ Chí Minh</t>
        </is>
      </c>
      <c r="G11355" t="inlineStr">
        <is>
          <t>30-04-2026</t>
        </is>
      </c>
      <c r="H11355" t="inlineStr">
        <is>
          <t>30/04/2026</t>
        </is>
      </c>
      <c r="I11355" t="inlineStr">
        <is>
          <t>17/03/2026</t>
        </is>
      </c>
      <c r="J11355" t="inlineStr">
        <is>
          <t>Điện / Điện tử / Điện lạnh / Điện công nghiệp, Sản xuất / Vận hành sản xuất, Xuất nhập khẩu</t>
        </is>
      </c>
      <c r="K11355" t="inlineStr">
        <is>
          <t>Trên 2 Năm</t>
        </is>
      </c>
      <c r="L11355" s="8">
        <f>HYPERLINK("https://careerviet.vn/vi/tim-viec-lam/shipping-receiving-coordinator.35C6C5CA.html","Xem chi tiết")</f>
        <v/>
      </c>
    </row>
    <row r="11356">
      <c r="B11356" s="9" t="n">
        <v>11354</v>
      </c>
      <c r="C11356" s="10" t="inlineStr">
        <is>
          <t>SUPPLIER QUALITY SECTION MANAGER</t>
        </is>
      </c>
      <c r="D11356" s="10" t="inlineStr">
        <is>
          <t>Action Composites Hightech Industries</t>
        </is>
      </c>
      <c r="E11356" s="10" t="inlineStr">
        <is>
          <t>Lương:Cạnh tranh</t>
        </is>
      </c>
      <c r="F11356" s="10" t="inlineStr">
        <is>
          <t>Đồng Nai</t>
        </is>
      </c>
      <c r="G11356" s="10" t="inlineStr">
        <is>
          <t>13-04-2026</t>
        </is>
      </c>
      <c r="H11356" s="10" t="inlineStr">
        <is>
          <t>13/04/2026</t>
        </is>
      </c>
      <c r="I11356" s="10" t="inlineStr">
        <is>
          <t>17/03/2026</t>
        </is>
      </c>
      <c r="J11356" s="10" t="inlineStr">
        <is>
          <t>Cơ khí / Ô tô / Tự động hóa, Sản xuất / Vận hành sản xuất, Quản lý chất lượng (QA/QC)</t>
        </is>
      </c>
      <c r="K11356" s="10" t="inlineStr">
        <is>
          <t>5 - 7 Năm</t>
        </is>
      </c>
      <c r="L11356" s="11">
        <f>HYPERLINK("https://careerviet.vn/vi/tim-viec-lam/supplier-quality-section-manager.35C6C5CC.html","Xem chi tiết")</f>
        <v/>
      </c>
      <c r="M11356" s="10" t="n"/>
    </row>
    <row r="11357">
      <c r="B11357" s="7" t="n">
        <v>11355</v>
      </c>
      <c r="C11357" t="inlineStr">
        <is>
          <t>QUALITY ENGINEER</t>
        </is>
      </c>
      <c r="D11357" t="inlineStr">
        <is>
          <t>Action Composites Hightech Industries</t>
        </is>
      </c>
      <c r="E11357" t="inlineStr">
        <is>
          <t>Lương:Cạnh tranh</t>
        </is>
      </c>
      <c r="F11357" t="inlineStr">
        <is>
          <t>Đồng Nai</t>
        </is>
      </c>
      <c r="G11357" t="inlineStr">
        <is>
          <t>13-04-2026</t>
        </is>
      </c>
      <c r="H11357" t="inlineStr">
        <is>
          <t>13/04/2026</t>
        </is>
      </c>
      <c r="I11357" t="inlineStr">
        <is>
          <t>17/03/2026</t>
        </is>
      </c>
      <c r="J11357" t="inlineStr">
        <is>
          <t>Cơ khí / Ô tô / Tự động hóa, Quản lý chất lượng (QA/QC), Đồ gỗ</t>
        </is>
      </c>
      <c r="K11357" t="inlineStr">
        <is>
          <t>3 - 5 Năm</t>
        </is>
      </c>
      <c r="L11357" s="8">
        <f>HYPERLINK("https://careerviet.vn/vi/tim-viec-lam/quality-engineer.35C6C5C9.html","Xem chi tiết")</f>
        <v/>
      </c>
    </row>
    <row r="11358">
      <c r="B11358" s="9" t="n">
        <v>11356</v>
      </c>
      <c r="C11358" s="10" t="inlineStr">
        <is>
          <t>Thực Tập Sinh Tuyển Dụng - TP. Hồ Chí Minh (Có hỗ trợ chi phí Thực tập)</t>
        </is>
      </c>
      <c r="D11358" s="10" t="inlineStr">
        <is>
          <t>Ngân hàng TMCP Phát triển TP.HCM (HDBank)</t>
        </is>
      </c>
      <c r="E11358" s="10" t="inlineStr">
        <is>
          <t>Lương:1 Tr - 2 Tr VND</t>
        </is>
      </c>
      <c r="F11358" s="10" t="inlineStr">
        <is>
          <t>Hồ Chí Minh</t>
        </is>
      </c>
      <c r="G11358" s="10" t="inlineStr">
        <is>
          <t>31-03-2026</t>
        </is>
      </c>
      <c r="H11358" s="10" t="inlineStr">
        <is>
          <t>31/03/2026</t>
        </is>
      </c>
      <c r="I11358" s="10" t="inlineStr">
        <is>
          <t>17/03/2026</t>
        </is>
      </c>
      <c r="J11358" s="10" t="inlineStr">
        <is>
          <t>Nhân sự, Ngân hàng, Tài chính / Đầu tư</t>
        </is>
      </c>
      <c r="K11358" s="10" t="inlineStr">
        <is>
          <t>N/A</t>
        </is>
      </c>
      <c r="L11358" s="11">
        <f>HYPERLINK("https://careerviet.vn/vi/tim-viec-lam/thuc-tap-sinh-tuyen-dung-tp-ho-chi-minh-co-ho-tro-chi-phi-thuc-tap.35C6C5C3.html","Xem chi tiết")</f>
        <v/>
      </c>
      <c r="M11358" s="10" t="n"/>
    </row>
    <row r="11359">
      <c r="B11359" s="7" t="n">
        <v>11357</v>
      </c>
      <c r="C11359" t="inlineStr">
        <is>
          <t>TỔNG GIÁM ĐỐC ĐIỀU HÀNH</t>
        </is>
      </c>
      <c r="D11359" t="inlineStr">
        <is>
          <t>HR Vietnam’s ESS Client</t>
        </is>
      </c>
      <c r="E11359" t="inlineStr">
        <is>
          <t>Lương:Cạnh tranh</t>
        </is>
      </c>
      <c r="F11359" t="inlineStr">
        <is>
          <t>Hồ Chí Minh</t>
        </is>
      </c>
      <c r="G11359" t="inlineStr">
        <is>
          <t>15-04-2026</t>
        </is>
      </c>
      <c r="H11359" t="inlineStr">
        <is>
          <t>15/04/2026</t>
        </is>
      </c>
      <c r="I11359" t="inlineStr">
        <is>
          <t>17/03/2026</t>
        </is>
      </c>
      <c r="J11359" t="inlineStr">
        <is>
          <t>Quản lý điều hành, Bất động sản</t>
        </is>
      </c>
      <c r="K11359" t="inlineStr">
        <is>
          <t>15 - 25 Năm</t>
        </is>
      </c>
      <c r="L11359" s="8">
        <f>HYPERLINK("https://careerviet.vn/vi/tim-viec-lam/tong-giam-doc-dieu-hanh.35C6C5C1.html","Xem chi tiết")</f>
        <v/>
      </c>
    </row>
    <row r="11360">
      <c r="B11360" s="9" t="n">
        <v>11358</v>
      </c>
      <c r="C11360" s="10" t="inlineStr">
        <is>
          <t>Tuyển dụng Kỹ sư thiết bị y tế</t>
        </is>
      </c>
      <c r="D11360" s="10" t="inlineStr">
        <is>
          <t>Công Ty TNHH Vật Tư Và Trang Thiết Bị Y Tế Hat -Med Việt Nam</t>
        </is>
      </c>
      <c r="E11360" s="10" t="inlineStr">
        <is>
          <t>Lương:9 Tr - 15 Tr VND</t>
        </is>
      </c>
      <c r="F11360" s="10" t="inlineStr">
        <is>
          <t>Hà Nội</t>
        </is>
      </c>
      <c r="G11360" s="10" t="inlineStr">
        <is>
          <t>11-04-2026</t>
        </is>
      </c>
      <c r="H11360" s="10" t="inlineStr">
        <is>
          <t>11/04/2026</t>
        </is>
      </c>
      <c r="I11360" s="10" t="inlineStr">
        <is>
          <t>17/03/2026</t>
        </is>
      </c>
      <c r="J11360" s="10" t="inlineStr">
        <is>
          <t>Y tế / Chăm sóc sức khỏe / Thẩm mỹ / Làm đẹp, Điện / Điện tử / Điện lạnh / Điện công nghiệp, Bảo trì / Sửa chữa</t>
        </is>
      </c>
      <c r="K11360" s="10" t="inlineStr">
        <is>
          <t>Trên 1 Năm</t>
        </is>
      </c>
      <c r="L11360" s="11">
        <f>HYPERLINK("https://careerviet.vn/vi/tim-viec-lam/tuyen-dung-ky-su-thiet-bi-y-te.35C6C5B1.html","Xem chi tiết")</f>
        <v/>
      </c>
      <c r="M11360" s="10" t="n"/>
    </row>
    <row r="11361">
      <c r="B11361" s="7" t="n">
        <v>11359</v>
      </c>
      <c r="C11361" t="inlineStr">
        <is>
          <t>MECHANICAL TESTING ENGINEER</t>
        </is>
      </c>
      <c r="D11361" t="inlineStr">
        <is>
          <t>Action Composites Hightech Industries</t>
        </is>
      </c>
      <c r="E11361" t="inlineStr">
        <is>
          <t>Lương:Cạnh tranh</t>
        </is>
      </c>
      <c r="F11361" t="inlineStr">
        <is>
          <t>Đồng Nai</t>
        </is>
      </c>
      <c r="G11361" t="inlineStr">
        <is>
          <t>13-04-2026</t>
        </is>
      </c>
      <c r="H11361" t="inlineStr">
        <is>
          <t>13/04/2026</t>
        </is>
      </c>
      <c r="I11361" t="inlineStr">
        <is>
          <t>17/03/2026</t>
        </is>
      </c>
      <c r="J11361" t="inlineStr">
        <is>
          <t>Quản lý chất lượng (QA/QC), Sản xuất / Vận hành sản xuất, Cơ khí / Ô tô / Tự động hóa</t>
        </is>
      </c>
      <c r="K11361" t="inlineStr">
        <is>
          <t>3 - 5 Năm</t>
        </is>
      </c>
      <c r="L11361" s="8">
        <f>HYPERLINK("https://careerviet.vn/vi/tim-viec-lam/mechanical-testing-engineer.35C6C5C0.html","Xem chi tiết")</f>
        <v/>
      </c>
    </row>
    <row r="11362">
      <c r="B11362" s="9" t="n">
        <v>11360</v>
      </c>
      <c r="C11362" s="10" t="inlineStr">
        <is>
          <t>MECHANICAL LAB ENGINEER</t>
        </is>
      </c>
      <c r="D11362" s="10" t="inlineStr">
        <is>
          <t>Action Composites Hightech Industries</t>
        </is>
      </c>
      <c r="E11362" s="10" t="inlineStr">
        <is>
          <t>Lương:Cạnh tranh</t>
        </is>
      </c>
      <c r="F11362" s="10" t="inlineStr">
        <is>
          <t>Đồng Nai</t>
        </is>
      </c>
      <c r="G11362" s="10" t="inlineStr">
        <is>
          <t>13-04-2026</t>
        </is>
      </c>
      <c r="H11362" s="10" t="inlineStr">
        <is>
          <t>13/04/2026</t>
        </is>
      </c>
      <c r="I11362" s="10" t="inlineStr">
        <is>
          <t>17/03/2026</t>
        </is>
      </c>
      <c r="J11362" s="10" t="inlineStr">
        <is>
          <t>Cơ khí / Ô tô / Tự động hóa, Bảo trì / Sửa chữa, Quản lý chất lượng (QA/QC)</t>
        </is>
      </c>
      <c r="K11362" s="10" t="inlineStr">
        <is>
          <t>3 - 5 Năm</t>
        </is>
      </c>
      <c r="L11362" s="11">
        <f>HYPERLINK("https://careerviet.vn/vi/tim-viec-lam/mechanical-lab-engineer.35C6C5BE.html","Xem chi tiết")</f>
        <v/>
      </c>
      <c r="M11362" s="10" t="n"/>
    </row>
    <row r="11363">
      <c r="B11363" s="7" t="n">
        <v>11361</v>
      </c>
      <c r="C11363" t="inlineStr">
        <is>
          <t>Chuyên Viên Cao Cấp Kinh Doanh (VP PNJ 123 Hùng Vương, Đà Nẵng)</t>
        </is>
      </c>
      <c r="D11363" t="inlineStr">
        <is>
          <t>Công Ty CP Vàng Bạc Đá Quý Phú Nhuận - PNJ</t>
        </is>
      </c>
      <c r="E11363" t="inlineStr">
        <is>
          <t>Lương:Cạnh tranh</t>
        </is>
      </c>
      <c r="F11363" t="inlineStr">
        <is>
          <t>Đà Nẵng</t>
        </is>
      </c>
      <c r="G11363" t="inlineStr">
        <is>
          <t>03-06-2026</t>
        </is>
      </c>
      <c r="H11363" t="inlineStr">
        <is>
          <t>03/06/2026</t>
        </is>
      </c>
      <c r="I11363" t="inlineStr">
        <is>
          <t>17/03/2026</t>
        </is>
      </c>
      <c r="J11363" t="inlineStr">
        <is>
          <t>Kế toán / Kiểm toán, Bán lẻ / Bán sỉ, Bán hàng / Kinh doanh</t>
        </is>
      </c>
      <c r="K11363" t="inlineStr">
        <is>
          <t>2 - 5 Năm</t>
        </is>
      </c>
      <c r="L11363" s="8">
        <f>HYPERLINK("https://careerviet.vn/vi/tim-viec-lam/chuyen-vien-cao-cap-kinh-doanh-vp-pnj-123-hung-vuong-da-nang.35C6C5BF.html","Xem chi tiết")</f>
        <v/>
      </c>
    </row>
    <row r="11364">
      <c r="B11364" s="9" t="n">
        <v>11362</v>
      </c>
      <c r="C11364" s="10" t="inlineStr">
        <is>
          <t>METAL PART VENDOR QUALITY ENGINEER</t>
        </is>
      </c>
      <c r="D11364" s="10" t="inlineStr">
        <is>
          <t>Action Composites Hightech Industries</t>
        </is>
      </c>
      <c r="E11364" s="10" t="inlineStr">
        <is>
          <t>Lương:Cạnh tranh</t>
        </is>
      </c>
      <c r="F11364" s="10" t="inlineStr">
        <is>
          <t>Đồng Nai</t>
        </is>
      </c>
      <c r="G11364" s="10" t="inlineStr">
        <is>
          <t>13-04-2026</t>
        </is>
      </c>
      <c r="H11364" s="10" t="inlineStr">
        <is>
          <t>13/04/2026</t>
        </is>
      </c>
      <c r="I11364" s="10" t="inlineStr">
        <is>
          <t>17/03/2026</t>
        </is>
      </c>
      <c r="J11364" s="10" t="inlineStr">
        <is>
          <t>Cơ khí / Ô tô / Tự động hóa, Quản lý chất lượng (QA/QC), Thu mua / Vật tư</t>
        </is>
      </c>
      <c r="K11364" s="10" t="inlineStr">
        <is>
          <t>2 - 5 Năm</t>
        </is>
      </c>
      <c r="L11364" s="11">
        <f>HYPERLINK("https://careerviet.vn/vi/tim-viec-lam/metal-part-vendor-quality-engineer.35C6C5C5.html","Xem chi tiết")</f>
        <v/>
      </c>
      <c r="M11364" s="10" t="n"/>
    </row>
    <row r="11365">
      <c r="B11365" s="7" t="n">
        <v>11363</v>
      </c>
      <c r="C11365" t="inlineStr">
        <is>
          <t>GIÁO VIÊN TIẾNG ANH &amp; SAT (ONLINE &amp; OFFLINE)</t>
        </is>
      </c>
      <c r="D11365" t="inlineStr">
        <is>
          <t>Công ty TNHH MTV Giáo Dục Việt Mỹ</t>
        </is>
      </c>
      <c r="E11365" t="inlineStr">
        <is>
          <t>Lương:10 Tr - 20 Tr VND</t>
        </is>
      </c>
      <c r="F11365" t="inlineStr">
        <is>
          <t>Đồng Nai</t>
        </is>
      </c>
      <c r="G11365" t="inlineStr">
        <is>
          <t>29-04-2026</t>
        </is>
      </c>
      <c r="H11365" t="inlineStr">
        <is>
          <t>29/04/2026</t>
        </is>
      </c>
      <c r="I11365" t="inlineStr">
        <is>
          <t>17/03/2026</t>
        </is>
      </c>
      <c r="J11365" t="inlineStr">
        <is>
          <t>Giáo dục / Đào tạo, Biên phiên dịch, Ngành khác</t>
        </is>
      </c>
      <c r="K11365" t="inlineStr">
        <is>
          <t>2 - 3 Năm</t>
        </is>
      </c>
      <c r="L11365" s="8">
        <f>HYPERLINK("https://careerviet.vn/vi/tim-viec-lam/giao-vien-tieng-anh-sat-online-offline.35C6C5B6.html","Xem chi tiết")</f>
        <v/>
      </c>
    </row>
    <row r="11366">
      <c r="B11366" s="9" t="n">
        <v>11364</v>
      </c>
      <c r="C11366" s="10" t="inlineStr">
        <is>
          <t>SUPPLIER QUALITY ENGINEER</t>
        </is>
      </c>
      <c r="D11366" s="10" t="inlineStr">
        <is>
          <t>Action Composites Hightech Industries</t>
        </is>
      </c>
      <c r="E11366" s="10" t="inlineStr">
        <is>
          <t>Lương:Cạnh tranh</t>
        </is>
      </c>
      <c r="F11366" s="10" t="inlineStr">
        <is>
          <t>Đồng Nai</t>
        </is>
      </c>
      <c r="G11366" s="10" t="inlineStr">
        <is>
          <t>13-04-2026</t>
        </is>
      </c>
      <c r="H11366" s="10" t="inlineStr">
        <is>
          <t>13/04/2026</t>
        </is>
      </c>
      <c r="I11366" s="10" t="inlineStr">
        <is>
          <t>17/03/2026</t>
        </is>
      </c>
      <c r="J11366" s="10" t="inlineStr">
        <is>
          <t>Cơ khí / Ô tô / Tự động hóa, Quản lý chất lượng (QA/QC), Hóa học</t>
        </is>
      </c>
      <c r="K11366" s="10" t="inlineStr">
        <is>
          <t>2 - 5 Năm</t>
        </is>
      </c>
      <c r="L11366" s="11">
        <f>HYPERLINK("https://careerviet.vn/vi/tim-viec-lam/supplier-quality-engineer.35C6C5C7.html","Xem chi tiết")</f>
        <v/>
      </c>
      <c r="M11366" s="10" t="n"/>
    </row>
    <row r="11367">
      <c r="B11367" s="7" t="n">
        <v>11365</v>
      </c>
      <c r="C11367" t="inlineStr">
        <is>
          <t>Quản lý dự án (PM) - Khối Chuyển đổi</t>
        </is>
      </c>
      <c r="D11367" t="inlineStr">
        <is>
          <t>Ngân Hàng TMCP Sài Gòn - Hà Nội ( SHB )</t>
        </is>
      </c>
      <c r="E11367" t="inlineStr">
        <is>
          <t>Lương:Cạnh tranh</t>
        </is>
      </c>
      <c r="F11367" t="inlineStr">
        <is>
          <t>Hà Nội</t>
        </is>
      </c>
      <c r="G11367" t="inlineStr">
        <is>
          <t>10-04-2026</t>
        </is>
      </c>
      <c r="H11367" t="inlineStr">
        <is>
          <t>10/04/2026</t>
        </is>
      </c>
      <c r="I11367" t="inlineStr">
        <is>
          <t>17/03/2026</t>
        </is>
      </c>
      <c r="J11367" t="inlineStr">
        <is>
          <t>Ngân hàng, Luật / Pháp lý</t>
        </is>
      </c>
      <c r="K11367" t="inlineStr">
        <is>
          <t>Trên 3 Năm</t>
        </is>
      </c>
      <c r="L11367" s="8">
        <f>HYPERLINK("https://careerviet.vn/vi/tim-viec-lam/quan-ly-du-an-pm-khoi-chuyen-doi.35C6C5B9.html","Xem chi tiết")</f>
        <v/>
      </c>
    </row>
    <row r="11368">
      <c r="B11368" s="9" t="n">
        <v>11366</v>
      </c>
      <c r="C11368" s="10" t="inlineStr">
        <is>
          <t>Nhân viên lái xe</t>
        </is>
      </c>
      <c r="D11368" s="10" t="inlineStr">
        <is>
          <t>Công Ty TNHH Vật Tư Và Trang Thiết Bị Y Tế Hat -Med Việt Nam</t>
        </is>
      </c>
      <c r="E11368" s="10" t="inlineStr">
        <is>
          <t>Lương:11 Tr - 16 Tr VND</t>
        </is>
      </c>
      <c r="F11368" s="10" t="inlineStr">
        <is>
          <t>Hà Nội</t>
        </is>
      </c>
      <c r="G11368" s="10" t="inlineStr">
        <is>
          <t>11-04-2026</t>
        </is>
      </c>
      <c r="H11368" s="10" t="inlineStr">
        <is>
          <t>11/04/2026</t>
        </is>
      </c>
      <c r="I11368" s="10" t="inlineStr">
        <is>
          <t>17/03/2026</t>
        </is>
      </c>
      <c r="J11368" s="10" t="inlineStr">
        <is>
          <t>Vận chuyển / Giao nhận / Kho vận, Lao động phổ thông, An Ninh / Bảo Vệ</t>
        </is>
      </c>
      <c r="K11368" s="10" t="inlineStr">
        <is>
          <t>Trên 3 Năm</t>
        </is>
      </c>
      <c r="L11368" s="11">
        <f>HYPERLINK("https://careerviet.vn/vi/tim-viec-lam/nhan-vien-lai-xe.35C6C5A7.html","Xem chi tiết")</f>
        <v/>
      </c>
      <c r="M11368" s="10" t="n"/>
    </row>
    <row r="11369">
      <c r="B11369" s="7" t="n">
        <v>11367</v>
      </c>
      <c r="C11369" t="inlineStr">
        <is>
          <t>[GO_Tây Nam Bộ] CV/CVCC Quan hệ Khách hàng Doanh nghiệp</t>
        </is>
      </c>
      <c r="D11369" t="inlineStr">
        <is>
          <t>Ngân hàng TMCP Phát triển TP.HCM (HDBank)</t>
        </is>
      </c>
      <c r="E11369" t="inlineStr">
        <is>
          <t>Lương:Cạnh tranh</t>
        </is>
      </c>
      <c r="F11369" t="inlineStr">
        <is>
          <t>Bạc LiêuSóc Trăng</t>
        </is>
      </c>
      <c r="G11369" t="inlineStr">
        <is>
          <t>31-03-2026</t>
        </is>
      </c>
      <c r="H11369" t="inlineStr">
        <is>
          <t>31/03/2026</t>
        </is>
      </c>
      <c r="I11369" t="inlineStr">
        <is>
          <t>17/03/2026</t>
        </is>
      </c>
      <c r="J11369" t="inlineStr">
        <is>
          <t>Bán hàng / Kinh doanh, Ngân hàng, Tài chính / Đầu tư</t>
        </is>
      </c>
      <c r="K11369" t="inlineStr">
        <is>
          <t>1 - 4 Năm</t>
        </is>
      </c>
      <c r="L11369" s="8">
        <f>HYPERLINK("https://careerviet.vn/vi/tim-viec-lam/go_tay-nam-bo-cv-cvcc-quan-he-khach-hang-doanh-nghiep.35C6C5B4.html","Xem chi tiết")</f>
        <v/>
      </c>
    </row>
    <row r="11370">
      <c r="B11370" s="9" t="n">
        <v>11368</v>
      </c>
      <c r="C11370" s="10" t="inlineStr">
        <is>
          <t>Chuyên viên cao cấp Thẩm định Khách hàng doanh nghiệp - Khối Quản lý tín dụng</t>
        </is>
      </c>
      <c r="D11370" s="10" t="inlineStr">
        <is>
          <t>Ngân Hàng TMCP Sài Gòn - Hà Nội ( SHB )</t>
        </is>
      </c>
      <c r="E11370" s="10" t="inlineStr">
        <is>
          <t>Lương:Cạnh tranh</t>
        </is>
      </c>
      <c r="F11370" s="10" t="inlineStr">
        <is>
          <t>Hà Nội</t>
        </is>
      </c>
      <c r="G11370" s="10" t="inlineStr">
        <is>
          <t>10-04-2026</t>
        </is>
      </c>
      <c r="H11370" s="10" t="inlineStr">
        <is>
          <t>10/04/2026</t>
        </is>
      </c>
      <c r="I11370" s="10" t="inlineStr">
        <is>
          <t>17/03/2026</t>
        </is>
      </c>
      <c r="J11370" s="10" t="inlineStr">
        <is>
          <t>Ngân hàng, Bán hàng / Kinh doanh</t>
        </is>
      </c>
      <c r="K11370" s="10" t="inlineStr">
        <is>
          <t>Trên 2 Năm</t>
        </is>
      </c>
      <c r="L11370" s="11">
        <f>HYPERLINK("https://careerviet.vn/vi/tim-viec-lam/chuyen-vien-cao-cap-tham-dinh-khach-hang-doanh-nghiep-khoi-quan-ly-tin-dung.35C6C5AF.html","Xem chi tiết")</f>
        <v/>
      </c>
      <c r="M11370" s="10" t="n"/>
    </row>
    <row r="11371">
      <c r="B11371" s="7" t="n">
        <v>11369</v>
      </c>
      <c r="C11371" t="inlineStr">
        <is>
          <t>QC SUPERVISOR</t>
        </is>
      </c>
      <c r="D11371" t="inlineStr">
        <is>
          <t>Action Composites Hightech Industries</t>
        </is>
      </c>
      <c r="E11371" t="inlineStr">
        <is>
          <t>Lương:Cạnh tranh</t>
        </is>
      </c>
      <c r="F11371" t="inlineStr">
        <is>
          <t>Đồng Nai</t>
        </is>
      </c>
      <c r="G11371" t="inlineStr">
        <is>
          <t>13-04-2026</t>
        </is>
      </c>
      <c r="H11371" t="inlineStr">
        <is>
          <t>13/04/2026</t>
        </is>
      </c>
      <c r="I11371" t="inlineStr">
        <is>
          <t>17/03/2026</t>
        </is>
      </c>
      <c r="J11371" t="inlineStr">
        <is>
          <t>Cơ khí / Ô tô / Tự động hóa, Hóa học, Quản lý chất lượng (QA/QC)</t>
        </is>
      </c>
      <c r="K11371" t="inlineStr">
        <is>
          <t>5 - 7 Năm</t>
        </is>
      </c>
      <c r="L11371" s="8">
        <f>HYPERLINK("https://careerviet.vn/vi/tim-viec-lam/qc-supervisor.35C6C5BA.html","Xem chi tiết")</f>
        <v/>
      </c>
    </row>
    <row r="11372">
      <c r="B11372" s="9" t="n">
        <v>11370</v>
      </c>
      <c r="C11372" s="10" t="inlineStr">
        <is>
          <t>Chuyên Viên ESG</t>
        </is>
      </c>
      <c r="D11372" s="10" t="inlineStr">
        <is>
          <t>Công Ty Cổ Phần Sản Xuất Nhựa Duy Tân</t>
        </is>
      </c>
      <c r="E11372" s="10" t="inlineStr">
        <is>
          <t>Lương:Cạnh tranh</t>
        </is>
      </c>
      <c r="F11372" s="10" t="inlineStr">
        <is>
          <t>Hồ Chí Minh</t>
        </is>
      </c>
      <c r="G11372" s="10" t="inlineStr">
        <is>
          <t>12-04-2026</t>
        </is>
      </c>
      <c r="H11372" s="10" t="inlineStr">
        <is>
          <t>12/04/2026</t>
        </is>
      </c>
      <c r="I11372" s="10" t="inlineStr">
        <is>
          <t>17/03/2026</t>
        </is>
      </c>
      <c r="J11372" s="10" t="inlineStr">
        <is>
          <t>An toàn lao động</t>
        </is>
      </c>
      <c r="K11372" s="10" t="inlineStr">
        <is>
          <t>1 - 3 Năm</t>
        </is>
      </c>
      <c r="L11372" s="11">
        <f>HYPERLINK("https://careerviet.vn/vi/tim-viec-lam/chuyen-vien-esg.35C6C5B2.html","Xem chi tiết")</f>
        <v/>
      </c>
      <c r="M11372" s="10" t="n"/>
    </row>
    <row r="11373">
      <c r="B11373" s="7" t="n">
        <v>11371</v>
      </c>
      <c r="C11373" t="inlineStr">
        <is>
          <t>Chuyên viên Cao cấp Sản phẩm KHDN vừa và nhỏ (Mảng dự án số – DIGITAL PRODUCT SME)</t>
        </is>
      </c>
      <c r="D11373" t="inlineStr">
        <is>
          <t>Ngân Hàng TMCP Sài Gòn - Hà Nội ( SHB )</t>
        </is>
      </c>
      <c r="E11373" t="inlineStr">
        <is>
          <t>Lương:Cạnh tranh</t>
        </is>
      </c>
      <c r="F11373" t="inlineStr">
        <is>
          <t>Hà Nội</t>
        </is>
      </c>
      <c r="G11373" t="inlineStr">
        <is>
          <t>10-04-2026</t>
        </is>
      </c>
      <c r="H11373" t="inlineStr">
        <is>
          <t>10/04/2026</t>
        </is>
      </c>
      <c r="I11373" t="inlineStr">
        <is>
          <t>17/03/2026</t>
        </is>
      </c>
      <c r="J11373" t="inlineStr">
        <is>
          <t>Ngân hàng, Tài chính / Đầu tư</t>
        </is>
      </c>
      <c r="K11373" t="inlineStr">
        <is>
          <t>Trên 3 Năm</t>
        </is>
      </c>
      <c r="L11373" s="8">
        <f>HYPERLINK("https://careerviet.vn/vi/tim-viec-lam/chuyen-vien-cao-cap-san-pham-khdn-vua-va-nho-mang-du-an-so-digital-product-sme.35C6C5AD.html","Xem chi tiết")</f>
        <v/>
      </c>
    </row>
    <row r="11374">
      <c r="B11374" s="9" t="n">
        <v>11372</v>
      </c>
      <c r="C11374" s="10" t="inlineStr">
        <is>
          <t>Giám đốc/Trưởng phòng cấp cao kinh doanh tiêu dùng nội địa</t>
        </is>
      </c>
      <c r="D11374" s="10" t="inlineStr">
        <is>
          <t>CÔNG TY TNHH THE SUN COSMECTICS</t>
        </is>
      </c>
      <c r="E11374" s="10" t="inlineStr">
        <is>
          <t>Lương:Cạnh tranh</t>
        </is>
      </c>
      <c r="F11374" s="10" t="inlineStr">
        <is>
          <t>Hồ Chí Minh</t>
        </is>
      </c>
      <c r="G11374" s="10" t="inlineStr">
        <is>
          <t>30-04-2026</t>
        </is>
      </c>
      <c r="H11374" s="10" t="inlineStr">
        <is>
          <t>30/04/2026</t>
        </is>
      </c>
      <c r="I11374" s="10" t="inlineStr">
        <is>
          <t>17/03/2026</t>
        </is>
      </c>
      <c r="J11374" s="10" t="inlineStr">
        <is>
          <t>Bán hàng / Kinh doanh, Bán lẻ / Bán sỉ, Tài chính / Đầu tư</t>
        </is>
      </c>
      <c r="K11374" s="10" t="inlineStr">
        <is>
          <t>5 - 8 Năm</t>
        </is>
      </c>
      <c r="L11374" s="11">
        <f>HYPERLINK("https://careerviet.vn/vi/tim-viec-lam/giam-doc-truong-phong-cap-cao-kinh-doanh-tieu-dung-noi-dia.35C6C5B7.html","Xem chi tiết")</f>
        <v/>
      </c>
      <c r="M11374" s="10" t="n"/>
    </row>
    <row r="11375">
      <c r="B11375" s="7" t="n">
        <v>11373</v>
      </c>
      <c r="C11375" t="inlineStr">
        <is>
          <t>TỔ TRƯỞNG QC ĐO LƯỜNG</t>
        </is>
      </c>
      <c r="D11375" t="inlineStr">
        <is>
          <t>Action Composites Hightech Industries</t>
        </is>
      </c>
      <c r="E11375" t="inlineStr">
        <is>
          <t>Lương:Cạnh tranh</t>
        </is>
      </c>
      <c r="F11375" t="inlineStr">
        <is>
          <t>Đồng Nai</t>
        </is>
      </c>
      <c r="G11375" t="inlineStr">
        <is>
          <t>13-04-2026</t>
        </is>
      </c>
      <c r="H11375" t="inlineStr">
        <is>
          <t>13/04/2026</t>
        </is>
      </c>
      <c r="I11375" t="inlineStr">
        <is>
          <t>17/03/2026</t>
        </is>
      </c>
      <c r="J11375" t="inlineStr">
        <is>
          <t>Cơ khí / Ô tô / Tự động hóa, Điện / Điện tử / Điện lạnh / Điện công nghiệp, Quản lý chất lượng (QA/QC)</t>
        </is>
      </c>
      <c r="K11375" t="inlineStr">
        <is>
          <t>3 - 5 Năm</t>
        </is>
      </c>
      <c r="L11375" s="8">
        <f>HYPERLINK("https://careerviet.vn/vi/tim-viec-lam/to-truong-qc-do-luong.35C6C5B3.html","Xem chi tiết")</f>
        <v/>
      </c>
    </row>
    <row r="11376">
      <c r="B11376" s="9" t="n">
        <v>11374</v>
      </c>
      <c r="C11376" s="10" t="inlineStr">
        <is>
          <t>PRODUCTION SUPERVISOR</t>
        </is>
      </c>
      <c r="D11376" s="10" t="inlineStr">
        <is>
          <t>Action Composites Hightech Industries</t>
        </is>
      </c>
      <c r="E11376" s="10" t="inlineStr">
        <is>
          <t>Lương:Cạnh tranh</t>
        </is>
      </c>
      <c r="F11376" s="10" t="inlineStr">
        <is>
          <t>Đồng Nai</t>
        </is>
      </c>
      <c r="G11376" s="10" t="inlineStr">
        <is>
          <t>13-04-2026</t>
        </is>
      </c>
      <c r="H11376" s="10" t="inlineStr">
        <is>
          <t>13/04/2026</t>
        </is>
      </c>
      <c r="I11376" s="10" t="inlineStr">
        <is>
          <t>17/03/2026</t>
        </is>
      </c>
      <c r="J11376" s="10" t="inlineStr">
        <is>
          <t>Cơ khí / Ô tô / Tự động hóa, Bảo trì / Sửa chữa, Sản xuất / Vận hành sản xuất</t>
        </is>
      </c>
      <c r="K11376" s="10" t="inlineStr">
        <is>
          <t>5 - 7 Năm</t>
        </is>
      </c>
      <c r="L11376" s="11">
        <f>HYPERLINK("https://careerviet.vn/vi/tim-viec-lam/production-supervisor.35C6C5AB.html","Xem chi tiết")</f>
        <v/>
      </c>
      <c r="M11376" s="10" t="n"/>
    </row>
    <row r="11377">
      <c r="B11377" s="7" t="n">
        <v>11375</v>
      </c>
      <c r="C11377" t="inlineStr">
        <is>
          <t>Chuyên viên Cao cấp Sản phẩm KHDN vừa và nhỏ (Mảng huy động - Dịch vụ tài khoản)</t>
        </is>
      </c>
      <c r="D11377" t="inlineStr">
        <is>
          <t>Ngân Hàng TMCP Sài Gòn - Hà Nội ( SHB )</t>
        </is>
      </c>
      <c r="E11377" t="inlineStr">
        <is>
          <t>Lương:Cạnh tranh</t>
        </is>
      </c>
      <c r="F11377" t="inlineStr">
        <is>
          <t>Hà Nội</t>
        </is>
      </c>
      <c r="G11377" t="inlineStr">
        <is>
          <t>10-04-2026</t>
        </is>
      </c>
      <c r="H11377" t="inlineStr">
        <is>
          <t>10/04/2026</t>
        </is>
      </c>
      <c r="I11377" t="inlineStr">
        <is>
          <t>17/03/2026</t>
        </is>
      </c>
      <c r="J11377" t="inlineStr">
        <is>
          <t>Ngân hàng, Tài chính / Đầu tư</t>
        </is>
      </c>
      <c r="K11377" t="inlineStr">
        <is>
          <t>Trên 3 Năm</t>
        </is>
      </c>
      <c r="L11377" s="8">
        <f>HYPERLINK("https://careerviet.vn/vi/tim-viec-lam/chuyen-vien-cao-cap-san-pham-khdn-vua-va-nho-mang-huy-dong-dich-vu-tai-khoan.35C6C5B0.html","Xem chi tiết")</f>
        <v/>
      </c>
    </row>
    <row r="11378">
      <c r="B11378" s="9" t="n">
        <v>11376</v>
      </c>
      <c r="C11378" s="10" t="inlineStr">
        <is>
          <t>GIẢNG VIÊN ĐÀO TẠO TESOL (TESOL TRAINER)</t>
        </is>
      </c>
      <c r="D11378" s="10" t="inlineStr">
        <is>
          <t>Công ty TNHH MTV Giáo Dục Việt Mỹ</t>
        </is>
      </c>
      <c r="E11378" s="10" t="inlineStr">
        <is>
          <t>Lương:Cạnh tranh</t>
        </is>
      </c>
      <c r="F11378" s="10" t="inlineStr">
        <is>
          <t>Đồng Nai</t>
        </is>
      </c>
      <c r="G11378" s="10" t="inlineStr">
        <is>
          <t>29-04-2026</t>
        </is>
      </c>
      <c r="H11378" s="10" t="inlineStr">
        <is>
          <t>29/04/2026</t>
        </is>
      </c>
      <c r="I11378" s="10" t="inlineStr">
        <is>
          <t>17/03/2026</t>
        </is>
      </c>
      <c r="J11378" s="10" t="inlineStr">
        <is>
          <t>Giáo dục / Đào tạo, Biên phiên dịch, Ngành khác</t>
        </is>
      </c>
      <c r="K11378" s="10" t="inlineStr">
        <is>
          <t>2 - 3 Năm</t>
        </is>
      </c>
      <c r="L11378" s="11">
        <f>HYPERLINK("https://careerviet.vn/vi/tim-viec-lam/giang-vien-dao-tao-tesol-tesol-trainer.35C6C5A3.html","Xem chi tiết")</f>
        <v/>
      </c>
      <c r="M11378" s="10" t="n"/>
    </row>
    <row r="11379">
      <c r="B11379" s="7" t="n">
        <v>11377</v>
      </c>
      <c r="C11379" t="inlineStr">
        <is>
          <t>Giám đốc Trung tâm Khách hàng Cá nhân Cao cấp</t>
        </is>
      </c>
      <c r="D11379" t="inlineStr">
        <is>
          <t>Ngân Hàng TMCP Sài Gòn - Hà Nội ( SHB )</t>
        </is>
      </c>
      <c r="E11379" t="inlineStr">
        <is>
          <t>Lương:Cạnh tranh</t>
        </is>
      </c>
      <c r="F11379" t="inlineStr">
        <is>
          <t>Hà Nội</t>
        </is>
      </c>
      <c r="G11379" t="inlineStr">
        <is>
          <t>10-04-2026</t>
        </is>
      </c>
      <c r="H11379" t="inlineStr">
        <is>
          <t>10/04/2026</t>
        </is>
      </c>
      <c r="I11379" t="inlineStr">
        <is>
          <t>17/03/2026</t>
        </is>
      </c>
      <c r="J11379" t="inlineStr">
        <is>
          <t>Dịch vụ khách hàng, Ngân hàng, Bán lẻ / Bán sỉ</t>
        </is>
      </c>
      <c r="K11379" t="inlineStr">
        <is>
          <t>Trên 9 Năm</t>
        </is>
      </c>
      <c r="L11379" s="8">
        <f>HYPERLINK("https://careerviet.vn/vi/tim-viec-lam/giam-doc-trung-tam-khach-hang-ca-nhan-cao-cap.35C6C5AC.html","Xem chi tiết")</f>
        <v/>
      </c>
    </row>
    <row r="11380">
      <c r="B11380" s="9" t="n">
        <v>11378</v>
      </c>
      <c r="C11380" s="10" t="inlineStr">
        <is>
          <t>PRODUCTION SHIFT LEADER</t>
        </is>
      </c>
      <c r="D11380" s="10" t="inlineStr">
        <is>
          <t>Action Composites Hightech Industries</t>
        </is>
      </c>
      <c r="E11380" s="10" t="inlineStr">
        <is>
          <t>Lương:Cạnh tranh</t>
        </is>
      </c>
      <c r="F11380" s="10" t="inlineStr">
        <is>
          <t>Đồng Nai</t>
        </is>
      </c>
      <c r="G11380" s="10" t="inlineStr">
        <is>
          <t>13-04-2026</t>
        </is>
      </c>
      <c r="H11380" s="10" t="inlineStr">
        <is>
          <t>13/04/2026</t>
        </is>
      </c>
      <c r="I11380" s="10" t="inlineStr">
        <is>
          <t>17/03/2026</t>
        </is>
      </c>
      <c r="J11380" s="10" t="inlineStr">
        <is>
          <t>Cơ khí / Ô tô / Tự động hóa, Sản xuất / Vận hành sản xuất, Quản lý chất lượng (QA/QC)</t>
        </is>
      </c>
      <c r="K11380" s="10" t="inlineStr">
        <is>
          <t>2 - 5 Năm</t>
        </is>
      </c>
      <c r="L11380" s="11">
        <f>HYPERLINK("https://careerviet.vn/vi/tim-viec-lam/production-shift-leader.35C6C59E.html","Xem chi tiết")</f>
        <v/>
      </c>
      <c r="M11380" s="10" t="n"/>
    </row>
    <row r="11381">
      <c r="B11381" s="7" t="n">
        <v>11379</v>
      </c>
      <c r="C11381" t="inlineStr">
        <is>
          <t>INDUSTRIAL ENGINEER</t>
        </is>
      </c>
      <c r="D11381" t="inlineStr">
        <is>
          <t>Action Composites Hightech Industries</t>
        </is>
      </c>
      <c r="E11381" t="inlineStr">
        <is>
          <t>Lương:Cạnh tranh</t>
        </is>
      </c>
      <c r="F11381" t="inlineStr">
        <is>
          <t>Đồng Nai</t>
        </is>
      </c>
      <c r="G11381" t="inlineStr">
        <is>
          <t>13-04-2026</t>
        </is>
      </c>
      <c r="H11381" t="inlineStr">
        <is>
          <t>13/04/2026</t>
        </is>
      </c>
      <c r="I11381" t="inlineStr">
        <is>
          <t>17/03/2026</t>
        </is>
      </c>
      <c r="J11381" t="inlineStr">
        <is>
          <t>Cơ khí / Ô tô / Tự động hóa, Sản xuất / Vận hành sản xuất, Điện / Điện tử / Điện lạnh / Điện công nghiệp</t>
        </is>
      </c>
      <c r="K11381" t="inlineStr">
        <is>
          <t>3 - 5 Năm</t>
        </is>
      </c>
      <c r="L11381" s="8">
        <f>HYPERLINK("https://careerviet.vn/vi/tim-viec-lam/industrial-engineer.35C6C5A6.html","Xem chi tiết")</f>
        <v/>
      </c>
    </row>
    <row r="11382">
      <c r="B11382" s="9" t="n">
        <v>11380</v>
      </c>
      <c r="C11382" s="10" t="inlineStr">
        <is>
          <t>Senior Devops</t>
        </is>
      </c>
      <c r="D11382" s="10" t="inlineStr">
        <is>
          <t>Ngân Hàng TMCP Sài Gòn - Hà Nội ( SHB )</t>
        </is>
      </c>
      <c r="E11382" s="10" t="inlineStr">
        <is>
          <t>Lương:Cạnh tranh</t>
        </is>
      </c>
      <c r="F11382" s="10" t="inlineStr">
        <is>
          <t>Hà Nội</t>
        </is>
      </c>
      <c r="G11382" s="10" t="inlineStr">
        <is>
          <t>10-04-2026</t>
        </is>
      </c>
      <c r="H11382" s="10" t="inlineStr">
        <is>
          <t>10/04/2026</t>
        </is>
      </c>
      <c r="I11382" s="10" t="inlineStr">
        <is>
          <t>17/03/2026</t>
        </is>
      </c>
      <c r="J11382" s="10" t="inlineStr">
        <is>
          <t>CNTT - Phần mềm, Ngân hàng</t>
        </is>
      </c>
      <c r="K11382" s="10" t="inlineStr">
        <is>
          <t>Trên 2 Năm</t>
        </is>
      </c>
      <c r="L11382" s="11">
        <f>HYPERLINK("https://careerviet.vn/vi/tim-viec-lam/senior-devops.35C6C5A9.html","Xem chi tiết")</f>
        <v/>
      </c>
      <c r="M11382" s="10" t="n"/>
    </row>
    <row r="11383">
      <c r="B11383" s="7" t="n">
        <v>11381</v>
      </c>
      <c r="C11383" t="inlineStr">
        <is>
          <t>PRODUCTION DATA ANALYSIS ENGINEER</t>
        </is>
      </c>
      <c r="D11383" t="inlineStr">
        <is>
          <t>Action Composites Hightech Industries</t>
        </is>
      </c>
      <c r="E11383" t="inlineStr">
        <is>
          <t>Lương:Cạnh tranh</t>
        </is>
      </c>
      <c r="F11383" t="inlineStr">
        <is>
          <t>Đồng Nai</t>
        </is>
      </c>
      <c r="G11383" t="inlineStr">
        <is>
          <t>13-04-2026</t>
        </is>
      </c>
      <c r="H11383" t="inlineStr">
        <is>
          <t>13/04/2026</t>
        </is>
      </c>
      <c r="I11383" t="inlineStr">
        <is>
          <t>17/03/2026</t>
        </is>
      </c>
      <c r="J11383" t="inlineStr">
        <is>
          <t>Cơ khí / Ô tô / Tự động hóa, Sản xuất / Vận hành sản xuất, Điện / Điện tử / Điện lạnh / Điện công nghiệp</t>
        </is>
      </c>
      <c r="K11383" t="inlineStr">
        <is>
          <t>3 - 5 Năm</t>
        </is>
      </c>
      <c r="L11383" s="8">
        <f>HYPERLINK("https://careerviet.vn/vi/tim-viec-lam/production-data-analysis-engineer.35C6C5A5.html","Xem chi tiết")</f>
        <v/>
      </c>
    </row>
    <row r="11384">
      <c r="B11384" s="9" t="n">
        <v>11382</v>
      </c>
      <c r="C11384" s="10" t="inlineStr">
        <is>
          <t>Chuyên viên Tư vấn Tài chính Cá nhân</t>
        </is>
      </c>
      <c r="D11384" s="10" t="inlineStr">
        <is>
          <t>Ngân Hàng TMCP Sài Gòn - Hà Nội ( SHB )</t>
        </is>
      </c>
      <c r="E11384" s="10" t="inlineStr">
        <is>
          <t>Lương:Cạnh tranh</t>
        </is>
      </c>
      <c r="F11384" s="10" t="inlineStr">
        <is>
          <t>Bình ThuậnDak LakBắc Ninh</t>
        </is>
      </c>
      <c r="G11384" s="10" t="inlineStr">
        <is>
          <t>10-04-2026</t>
        </is>
      </c>
      <c r="H11384" s="10" t="inlineStr">
        <is>
          <t>10/04/2026</t>
        </is>
      </c>
      <c r="I11384" s="10" t="inlineStr">
        <is>
          <t>17/03/2026</t>
        </is>
      </c>
      <c r="J11384" s="10" t="inlineStr">
        <is>
          <t>Ngân hàng</t>
        </is>
      </c>
      <c r="K11384" s="10" t="inlineStr">
        <is>
          <t>Trên 1 Năm</t>
        </is>
      </c>
      <c r="L11384" s="11">
        <f>HYPERLINK("https://careerviet.vn/vi/tim-viec-lam/chuyen-vien-tu-van-tai-chinh-ca-nhan.35C6C5A2.html","Xem chi tiết")</f>
        <v/>
      </c>
      <c r="M11384" s="10" t="n"/>
    </row>
    <row r="11385">
      <c r="B11385" s="7" t="n">
        <v>11383</v>
      </c>
      <c r="C11385" t="inlineStr">
        <is>
          <t>TRƯỞNG PHÒNG CHĂM SÓC KHÁCH HÀNG</t>
        </is>
      </c>
      <c r="D11385" t="inlineStr">
        <is>
          <t>Công ty TNHH MTV Giáo Dục Việt Mỹ</t>
        </is>
      </c>
      <c r="E11385" t="inlineStr">
        <is>
          <t>Lương:20 Tr - 30 Tr VND</t>
        </is>
      </c>
      <c r="F11385" t="inlineStr">
        <is>
          <t>Đồng Nai</t>
        </is>
      </c>
      <c r="G11385" t="inlineStr">
        <is>
          <t>29-04-2026</t>
        </is>
      </c>
      <c r="H11385" t="inlineStr">
        <is>
          <t>29/04/2026</t>
        </is>
      </c>
      <c r="I11385" t="inlineStr">
        <is>
          <t>17/03/2026</t>
        </is>
      </c>
      <c r="J11385" t="inlineStr">
        <is>
          <t>Dịch vụ khách hàng, Bán hàng / Kinh doanh, Tiếp thị / Marketing</t>
        </is>
      </c>
      <c r="K11385" t="inlineStr">
        <is>
          <t>3 - 5 Năm</t>
        </is>
      </c>
      <c r="L11385" s="8">
        <f>HYPERLINK("https://careerviet.vn/vi/tim-viec-lam/truong-phong-cham-soc-khach-hang.35C6C59A.html","Xem chi tiết")</f>
        <v/>
      </c>
    </row>
    <row r="11386">
      <c r="B11386" s="9" t="n">
        <v>11384</v>
      </c>
      <c r="C11386" s="10" t="inlineStr">
        <is>
          <t>TRƯỞNG CA SẢN XUẤT</t>
        </is>
      </c>
      <c r="D11386" s="10" t="inlineStr">
        <is>
          <t>Action Composites Hightech Industries</t>
        </is>
      </c>
      <c r="E11386" s="10" t="inlineStr">
        <is>
          <t>Lương:Cạnh tranh</t>
        </is>
      </c>
      <c r="F11386" s="10" t="inlineStr">
        <is>
          <t>Đồng Nai</t>
        </is>
      </c>
      <c r="G11386" s="10" t="inlineStr">
        <is>
          <t>13-04-2026</t>
        </is>
      </c>
      <c r="H11386" s="10" t="inlineStr">
        <is>
          <t>13/04/2026</t>
        </is>
      </c>
      <c r="I11386" s="10" t="inlineStr">
        <is>
          <t>17/03/2026</t>
        </is>
      </c>
      <c r="J11386" s="10" t="inlineStr">
        <is>
          <t>Cơ khí / Ô tô / Tự động hóa, Sản xuất / Vận hành sản xuất, Quản lý chất lượng (QA/QC)</t>
        </is>
      </c>
      <c r="K11386" s="10" t="inlineStr">
        <is>
          <t>2 - 5 Năm</t>
        </is>
      </c>
      <c r="L11386" s="11">
        <f>HYPERLINK("https://careerviet.vn/vi/tim-viec-lam/truong-ca-san-xuat.35C6C599.html","Xem chi tiết")</f>
        <v/>
      </c>
      <c r="M11386" s="10" t="n"/>
    </row>
    <row r="11387">
      <c r="B11387" s="7" t="n">
        <v>11385</v>
      </c>
      <c r="C11387" t="inlineStr">
        <is>
          <t>CHUYÊN VIÊN TƯ VẤN ĐẦU TƯ CHỨNG KHOÁN HCM</t>
        </is>
      </c>
      <c r="D11387" t="inlineStr">
        <is>
          <t>VDSC - Công ty CP Chứng khoán Rồng Việt</t>
        </is>
      </c>
      <c r="E11387" t="inlineStr">
        <is>
          <t>Lương:7 Tr - 20 Tr VND</t>
        </is>
      </c>
      <c r="F11387" t="inlineStr">
        <is>
          <t>Hồ Chí Minh</t>
        </is>
      </c>
      <c r="G11387" t="inlineStr">
        <is>
          <t>30-04-2026</t>
        </is>
      </c>
      <c r="H11387" t="inlineStr">
        <is>
          <t>30/04/2026</t>
        </is>
      </c>
      <c r="I11387" t="inlineStr">
        <is>
          <t>17/03/2026</t>
        </is>
      </c>
      <c r="J11387" t="inlineStr">
        <is>
          <t>Ngân hàng, Chứng khoán, Tài chính / Đầu tư</t>
        </is>
      </c>
      <c r="K11387" t="inlineStr">
        <is>
          <t>N/A</t>
        </is>
      </c>
      <c r="L11387" s="8">
        <f>HYPERLINK("https://careerviet.vn/vi/tim-viec-lam/chuyen-vien-tu-van-dau-tu-chung-khoan-hcm.35C6C594.html","Xem chi tiết")</f>
        <v/>
      </c>
    </row>
    <row r="11388">
      <c r="B11388" s="9" t="n">
        <v>11386</v>
      </c>
      <c r="C11388" s="10" t="inlineStr">
        <is>
          <t>Chuyên viên Cao cấp Giám sát và Quản lý danh mục tín dụng</t>
        </is>
      </c>
      <c r="D11388" s="10" t="inlineStr">
        <is>
          <t>Ngân Hàng TMCP Sài Gòn - Hà Nội ( SHB )</t>
        </is>
      </c>
      <c r="E11388" s="10" t="inlineStr">
        <is>
          <t>Lương:Cạnh tranh</t>
        </is>
      </c>
      <c r="F11388" s="10" t="inlineStr">
        <is>
          <t>Hà Nội</t>
        </is>
      </c>
      <c r="G11388" s="10" t="inlineStr">
        <is>
          <t>10-04-2026</t>
        </is>
      </c>
      <c r="H11388" s="10" t="inlineStr">
        <is>
          <t>10/04/2026</t>
        </is>
      </c>
      <c r="I11388" s="10" t="inlineStr">
        <is>
          <t>17/03/2026</t>
        </is>
      </c>
      <c r="J11388" s="10" t="inlineStr">
        <is>
          <t>Ngân hàng</t>
        </is>
      </c>
      <c r="K11388" s="10" t="inlineStr">
        <is>
          <t>3 - 5 Năm</t>
        </is>
      </c>
      <c r="L11388" s="11">
        <f>HYPERLINK("https://careerviet.vn/vi/tim-viec-lam/chuyen-vien-cao-cap-giam-sat-va-quan-ly-danh-muc-tin-dung.35C6C5A1.html","Xem chi tiết")</f>
        <v/>
      </c>
      <c r="M11388" s="10" t="n"/>
    </row>
    <row r="11389">
      <c r="B11389" s="7" t="n">
        <v>11387</v>
      </c>
      <c r="C11389" t="inlineStr">
        <is>
          <t>Nhân viên Thiết kế</t>
        </is>
      </c>
      <c r="D11389" t="inlineStr">
        <is>
          <t>Công ty TNHH Thương Mại &amp; Dịch Vụ Tri Linh</t>
        </is>
      </c>
      <c r="E11389" t="inlineStr">
        <is>
          <t>Lương:8 Tr - 11 Tr VND</t>
        </is>
      </c>
      <c r="F11389" t="inlineStr">
        <is>
          <t>Hồ Chí Minh</t>
        </is>
      </c>
      <c r="G11389" t="inlineStr">
        <is>
          <t>30-04-2026</t>
        </is>
      </c>
      <c r="H11389" t="inlineStr">
        <is>
          <t>30/04/2026</t>
        </is>
      </c>
      <c r="I11389" t="inlineStr">
        <is>
          <t>17/03/2026</t>
        </is>
      </c>
      <c r="J11389" t="inlineStr">
        <is>
          <t>Giáo dục / Đào tạo</t>
        </is>
      </c>
      <c r="K11389" t="inlineStr">
        <is>
          <t>N/A</t>
        </is>
      </c>
      <c r="L11389" s="8">
        <f>HYPERLINK("https://careerviet.vn/vi/tim-viec-lam/nhan-vien-thiet-ke.35C6C590.html","Xem chi tiết")</f>
        <v/>
      </c>
    </row>
    <row r="11390">
      <c r="B11390" s="9" t="n">
        <v>11388</v>
      </c>
      <c r="C11390" s="10" t="inlineStr">
        <is>
          <t>Thư Ký Dự án</t>
        </is>
      </c>
      <c r="D11390" s="10" t="inlineStr">
        <is>
          <t>Công ty Cổ phần Đầu tư Xây dựng Ricons</t>
        </is>
      </c>
      <c r="E11390" s="10" t="inlineStr">
        <is>
          <t>Lương:Cạnh tranh</t>
        </is>
      </c>
      <c r="F11390" s="10" t="inlineStr">
        <is>
          <t>Đồng Nai</t>
        </is>
      </c>
      <c r="G11390" s="10" t="inlineStr">
        <is>
          <t>13-04-2026</t>
        </is>
      </c>
      <c r="H11390" s="10" t="inlineStr">
        <is>
          <t>13/04/2026</t>
        </is>
      </c>
      <c r="I11390" s="10" t="inlineStr">
        <is>
          <t>17/03/2026</t>
        </is>
      </c>
      <c r="J11390" s="10" t="inlineStr">
        <is>
          <t>Kế toán / Kiểm toán, Xây dựng, Hành chính / Thư ký</t>
        </is>
      </c>
      <c r="K11390" s="10" t="inlineStr">
        <is>
          <t>N/A</t>
        </is>
      </c>
      <c r="L11390" s="11">
        <f>HYPERLINK("https://careerviet.vn/vi/tim-viec-lam/thu-ky-du-an.35C6C596.html","Xem chi tiết")</f>
        <v/>
      </c>
      <c r="M11390" s="10" t="n"/>
    </row>
    <row r="11391">
      <c r="B11391" s="7" t="n">
        <v>11389</v>
      </c>
      <c r="C11391" t="inlineStr">
        <is>
          <t>Chuyên viên kinh doanh thiết bị gia dụng (Lọc tổng)</t>
        </is>
      </c>
      <c r="D11391" t="inlineStr">
        <is>
          <t>Tập Đoàn Karofi Holding</t>
        </is>
      </c>
      <c r="E11391" t="inlineStr">
        <is>
          <t>Lương:18 Tr - 25 Tr VND</t>
        </is>
      </c>
      <c r="F11391" t="inlineStr">
        <is>
          <t>Hà NộiHồ Chí Minh</t>
        </is>
      </c>
      <c r="G11391" t="inlineStr">
        <is>
          <t>29-04-2026</t>
        </is>
      </c>
      <c r="H11391" t="inlineStr">
        <is>
          <t>29/04/2026</t>
        </is>
      </c>
      <c r="I11391" t="inlineStr">
        <is>
          <t>17/03/2026</t>
        </is>
      </c>
      <c r="J11391" t="inlineStr">
        <is>
          <t>Hàng gia dụng / Chăm sóc cá nhân, Bán lẻ / Bán sỉ, Bán hàng / Kinh doanh</t>
        </is>
      </c>
      <c r="K11391" t="inlineStr">
        <is>
          <t>Trên 1 Năm</t>
        </is>
      </c>
      <c r="L11391" s="8">
        <f>HYPERLINK("https://careerviet.vn/vi/tim-viec-lam/chuyen-vien-kinh-doanh-thiet-bi-gia-dung-loc-tong.35C6C598.html","Xem chi tiết")</f>
        <v/>
      </c>
    </row>
    <row r="11392">
      <c r="B11392" s="9" t="n">
        <v>11390</v>
      </c>
      <c r="C11392" s="10" t="inlineStr">
        <is>
          <t>GIÁM ĐỐC TRUNG TÂM ANH NGỮ</t>
        </is>
      </c>
      <c r="D11392" s="10" t="inlineStr">
        <is>
          <t>Công ty TNHH MTV Giáo Dục Việt Mỹ</t>
        </is>
      </c>
      <c r="E11392" s="10" t="inlineStr">
        <is>
          <t>Lương:20 Tr - 30 Tr VND</t>
        </is>
      </c>
      <c r="F11392" s="10" t="inlineStr">
        <is>
          <t>Đồng NaiBình PhướcKiên Giang</t>
        </is>
      </c>
      <c r="G11392" s="10" t="inlineStr">
        <is>
          <t>29-04-2026</t>
        </is>
      </c>
      <c r="H11392" s="10" t="inlineStr">
        <is>
          <t>29/04/2026</t>
        </is>
      </c>
      <c r="I11392" s="10" t="inlineStr">
        <is>
          <t>17/03/2026</t>
        </is>
      </c>
      <c r="J11392" s="10" t="inlineStr">
        <is>
          <t>Bán hàng / Kinh doanh, Quản lý điều hành, Tiếp thị / Marketing</t>
        </is>
      </c>
      <c r="K11392" s="10" t="inlineStr">
        <is>
          <t>3 - 5 Năm</t>
        </is>
      </c>
      <c r="L11392" s="11">
        <f>HYPERLINK("https://careerviet.vn/vi/tim-viec-lam/giam-doc-trung-tam-anh-ngu.35C6C592.html","Xem chi tiết")</f>
        <v/>
      </c>
      <c r="M11392" s="10" t="n"/>
    </row>
    <row r="11393">
      <c r="B11393" s="7" t="n">
        <v>11391</v>
      </c>
      <c r="C11393" t="inlineStr">
        <is>
          <t>Giám đốc kinh doanh - Cải tạo xây dựng , cơ điện , PCCC nhà xưởng công nghiệp</t>
        </is>
      </c>
      <c r="D11393" t="inlineStr">
        <is>
          <t>Công ty TNHH Cơ Điện Lạnh EEP Việt Nam</t>
        </is>
      </c>
      <c r="E11393" t="inlineStr">
        <is>
          <t>Lương:25 Tr - 45 Tr VND</t>
        </is>
      </c>
      <c r="F11393" t="inlineStr">
        <is>
          <t>Hà Nội</t>
        </is>
      </c>
      <c r="G11393" t="inlineStr">
        <is>
          <t>11-04-2026</t>
        </is>
      </c>
      <c r="H11393" t="inlineStr">
        <is>
          <t>11/04/2026</t>
        </is>
      </c>
      <c r="I11393" t="inlineStr">
        <is>
          <t>17/03/2026</t>
        </is>
      </c>
      <c r="J11393" t="inlineStr">
        <is>
          <t>Bán hàng / Kinh doanh, Quản lý điều hành, Quảng cáo / Đối ngoại / Truyền Thông</t>
        </is>
      </c>
      <c r="K11393" t="inlineStr">
        <is>
          <t>1 - 5 Năm</t>
        </is>
      </c>
      <c r="L11393" s="8">
        <f>HYPERLINK("https://careerviet.vn/vi/tim-viec-lam/giam-doc-kinh-doanh-cai-tao-xay-dung-co-dien-pccc-nha-xuong-cong-nghiep.35C6C58C.html","Xem chi tiết")</f>
        <v/>
      </c>
    </row>
    <row r="11394">
      <c r="B11394" s="9" t="n">
        <v>11392</v>
      </c>
      <c r="C11394" s="10" t="inlineStr">
        <is>
          <t>Production Supervisor Leader</t>
        </is>
      </c>
      <c r="D11394" s="10" t="inlineStr">
        <is>
          <t>Coherent Corp.</t>
        </is>
      </c>
      <c r="E11394" s="10" t="inlineStr">
        <is>
          <t>Lương:1.500 - 2.000 USD</t>
        </is>
      </c>
      <c r="F11394" s="10" t="inlineStr">
        <is>
          <t>Hồ Chí Minh</t>
        </is>
      </c>
      <c r="G11394" s="10" t="inlineStr">
        <is>
          <t>13-04-2026</t>
        </is>
      </c>
      <c r="H11394" s="10" t="inlineStr">
        <is>
          <t>13/04/2026</t>
        </is>
      </c>
      <c r="I11394" s="10" t="inlineStr">
        <is>
          <t>17/03/2026</t>
        </is>
      </c>
      <c r="J11394" s="10" t="inlineStr">
        <is>
          <t>Sản xuất / Vận hành sản xuất</t>
        </is>
      </c>
      <c r="K11394" s="10" t="inlineStr">
        <is>
          <t>5 - 8 Năm</t>
        </is>
      </c>
      <c r="L11394" s="11">
        <f>HYPERLINK("https://careerviet.vn/vi/tim-viec-lam/production-supervisor-leader.35C6C58F.html","Xem chi tiết")</f>
        <v/>
      </c>
      <c r="M11394" s="10" t="n"/>
    </row>
    <row r="11395">
      <c r="B11395" s="7" t="n">
        <v>11393</v>
      </c>
      <c r="C11395" t="inlineStr">
        <is>
          <t>TRƯỞNG PHÒNG MARKETING</t>
        </is>
      </c>
      <c r="D11395" t="inlineStr">
        <is>
          <t>Công ty TNHH MTV Giáo Dục Việt Mỹ</t>
        </is>
      </c>
      <c r="E11395" t="inlineStr">
        <is>
          <t>Lương:20 Tr - 30 Tr VND</t>
        </is>
      </c>
      <c r="F11395" t="inlineStr">
        <is>
          <t>Đồng Nai</t>
        </is>
      </c>
      <c r="G11395" t="inlineStr">
        <is>
          <t>29-04-2026</t>
        </is>
      </c>
      <c r="H11395" t="inlineStr">
        <is>
          <t>29/04/2026</t>
        </is>
      </c>
      <c r="I11395" t="inlineStr">
        <is>
          <t>17/03/2026</t>
        </is>
      </c>
      <c r="J11395" t="inlineStr">
        <is>
          <t>Tiếp thị / Marketing, Tiếp thị trực tuyến, Ngành khác</t>
        </is>
      </c>
      <c r="K11395" t="inlineStr">
        <is>
          <t>3 - 5 Năm</t>
        </is>
      </c>
      <c r="L11395" s="8">
        <f>HYPERLINK("https://careerviet.vn/vi/tim-viec-lam/truong-phong-marketing.35C6C595.html","Xem chi tiết")</f>
        <v/>
      </c>
    </row>
    <row r="11396">
      <c r="B11396" s="9" t="n">
        <v>11394</v>
      </c>
      <c r="C11396" s="10" t="inlineStr">
        <is>
          <t>Chuyên Viên Chính/Chuyên Viên Cao Cấp Bán Sản Phẩm Cho Vay - HCM - TA177</t>
        </is>
      </c>
      <c r="D11396" s="10" t="inlineStr">
        <is>
          <t>Ngân Hàng TMCP Việt Nam Thịnh Vượng - VPBANK</t>
        </is>
      </c>
      <c r="E11396" s="10" t="inlineStr">
        <is>
          <t>Lương:Cạnh tranh</t>
        </is>
      </c>
      <c r="F11396" s="10" t="inlineStr">
        <is>
          <t>Hồ Chí Minh</t>
        </is>
      </c>
      <c r="G11396" s="10" t="inlineStr">
        <is>
          <t>11-04-2026</t>
        </is>
      </c>
      <c r="H11396" s="10" t="inlineStr">
        <is>
          <t>11/04/2026</t>
        </is>
      </c>
      <c r="I11396" s="10" t="inlineStr">
        <is>
          <t>17/03/2026</t>
        </is>
      </c>
      <c r="J11396" s="10" t="inlineStr">
        <is>
          <t>Bán hàng / Kinh doanh, Bất động sản, Ngân hàng</t>
        </is>
      </c>
      <c r="K11396" s="10" t="inlineStr">
        <is>
          <t>2 - 3 Năm</t>
        </is>
      </c>
      <c r="L11396" s="11">
        <f>HYPERLINK("https://careerviet.vn/vi/tim-viec-lam/chuyen-vien-chinh-chuyen-vien-cao-cap-ban-san-pham-cho-vay-hcm-ta177.35C6859E.html","Xem chi tiết")</f>
        <v/>
      </c>
      <c r="M11396" s="10" t="n"/>
    </row>
    <row r="11397">
      <c r="B11397" s="7" t="n">
        <v>11395</v>
      </c>
      <c r="C11397" t="inlineStr">
        <is>
          <t>Chuyên viên Thiết kế Sáng tạo (Creative Designer)</t>
        </is>
      </c>
      <c r="D11397" t="inlineStr">
        <is>
          <t>HỆ THỐNG TRƯỜNG LIÊN CẤP SONG NGỮ ICS</t>
        </is>
      </c>
      <c r="E11397" t="inlineStr">
        <is>
          <t>Lương:12 Tr - 16 Tr VND</t>
        </is>
      </c>
      <c r="F11397" t="inlineStr">
        <is>
          <t>Hồ Chí Minh</t>
        </is>
      </c>
      <c r="G11397" t="inlineStr">
        <is>
          <t>11-04-2026</t>
        </is>
      </c>
      <c r="H11397" t="inlineStr">
        <is>
          <t>11/04/2026</t>
        </is>
      </c>
      <c r="I11397" t="inlineStr">
        <is>
          <t>17/03/2026</t>
        </is>
      </c>
      <c r="J11397" t="inlineStr">
        <is>
          <t>Tiếp thị / Marketing, Mỹ thuật / Nghệ thuật / Thiết kế</t>
        </is>
      </c>
      <c r="K11397" t="inlineStr">
        <is>
          <t>2 - 5 Năm</t>
        </is>
      </c>
      <c r="L11397" s="8">
        <f>HYPERLINK("https://careerviet.vn/vi/tim-viec-lam/chuyen-vien-thiet-ke-sang-tao-creative-designer.35C68548.html","Xem chi tiết")</f>
        <v/>
      </c>
    </row>
    <row r="11398">
      <c r="B11398" s="9" t="n">
        <v>11396</v>
      </c>
      <c r="C11398" s="10" t="inlineStr">
        <is>
          <t>Chuyên viên quay dựng</t>
        </is>
      </c>
      <c r="D11398" s="10" t="inlineStr">
        <is>
          <t>CÔNG TY TNHH THIẾT KẾ XÂY DỰNG FINN</t>
        </is>
      </c>
      <c r="E11398" s="10" t="inlineStr">
        <is>
          <t>Lương:13 Tr - 20 Tr VND</t>
        </is>
      </c>
      <c r="F11398" s="10" t="inlineStr">
        <is>
          <t>Hồ Chí Minh</t>
        </is>
      </c>
      <c r="G11398" s="10" t="inlineStr">
        <is>
          <t>11-04-2026</t>
        </is>
      </c>
      <c r="H11398" s="10" t="inlineStr">
        <is>
          <t>11/04/2026</t>
        </is>
      </c>
      <c r="I11398" s="10" t="inlineStr">
        <is>
          <t>17/03/2026</t>
        </is>
      </c>
      <c r="J11398" s="10" t="inlineStr">
        <is>
          <t>Mỹ thuật / Nghệ thuật / Thiết kế, Tiếp thị / Marketing, Tổ chức sự kiện</t>
        </is>
      </c>
      <c r="K11398" s="10" t="inlineStr">
        <is>
          <t>Trên 2 Năm</t>
        </is>
      </c>
      <c r="L11398" s="11">
        <f>HYPERLINK("https://careerviet.vn/vi/tim-viec-lam/chuyen-vien-quay-dung.35C68496.html","Xem chi tiết")</f>
        <v/>
      </c>
      <c r="M11398" s="10" t="n"/>
    </row>
    <row r="11399">
      <c r="B11399" s="7" t="n">
        <v>11397</v>
      </c>
      <c r="C11399" t="inlineStr">
        <is>
          <t>QA/QC Manager</t>
        </is>
      </c>
      <c r="D11399" t="inlineStr">
        <is>
          <t>CÔNG TY TNHH UWINFLY VIETNAM INDUSTRIES</t>
        </is>
      </c>
      <c r="E11399" t="inlineStr">
        <is>
          <t>Lương:1.200 - 2.000 USD</t>
        </is>
      </c>
      <c r="F11399" t="inlineStr">
        <is>
          <t>Hồ Chí Minh</t>
        </is>
      </c>
      <c r="G11399" t="inlineStr">
        <is>
          <t>11-04-2026</t>
        </is>
      </c>
      <c r="H11399" t="inlineStr">
        <is>
          <t>11/04/2026</t>
        </is>
      </c>
      <c r="I11399" t="inlineStr">
        <is>
          <t>17/03/2026</t>
        </is>
      </c>
      <c r="J11399" t="inlineStr">
        <is>
          <t>Sản xuất / Vận hành sản xuất, Quản lý chất lượng (QA/QC)</t>
        </is>
      </c>
      <c r="K11399" t="inlineStr">
        <is>
          <t>5 - 7 Năm</t>
        </is>
      </c>
      <c r="L11399" s="8">
        <f>HYPERLINK("https://careerviet.vn/vi/tim-viec-lam/qa-qc-manager.35C6852E.html","Xem chi tiết")</f>
        <v/>
      </c>
    </row>
    <row r="11400">
      <c r="B11400" s="9" t="n">
        <v>11398</v>
      </c>
      <c r="C11400" s="10" t="inlineStr">
        <is>
          <t>Trưởng nhóm tuyển dụng (chủ đầu tư BĐS)</t>
        </is>
      </c>
      <c r="D11400" s="10" t="inlineStr">
        <is>
          <t>Tập Đoàn Tân Á Đại Thành</t>
        </is>
      </c>
      <c r="E11400" s="10" t="inlineStr">
        <is>
          <t>Lương:25 Tr - 30 Tr VND</t>
        </is>
      </c>
      <c r="F11400" s="10" t="inlineStr">
        <is>
          <t>Hà Nội</t>
        </is>
      </c>
      <c r="G11400" s="10" t="inlineStr">
        <is>
          <t>05-04-2026</t>
        </is>
      </c>
      <c r="H11400" s="10" t="inlineStr">
        <is>
          <t>05/04/2026</t>
        </is>
      </c>
      <c r="I11400" s="10" t="inlineStr">
        <is>
          <t>17/03/2026</t>
        </is>
      </c>
      <c r="J11400" s="10" t="inlineStr">
        <is>
          <t>Nhân sự, Hành chính / Thư ký, Luật / Pháp lý</t>
        </is>
      </c>
      <c r="K11400" s="10" t="inlineStr">
        <is>
          <t>Trên 5 Năm</t>
        </is>
      </c>
      <c r="L11400" s="11">
        <f>HYPERLINK("https://careerviet.vn/vi/tim-viec-lam/truong-nhom-tuyen-dung-chu-dau-tu-bds.35C6A0D3.html","Xem chi tiết")</f>
        <v/>
      </c>
      <c r="M11400" s="10" t="n"/>
    </row>
    <row r="11401">
      <c r="B11401" s="7" t="n">
        <v>11399</v>
      </c>
      <c r="C11401" t="inlineStr">
        <is>
          <t>Leasing Executive/ Sale  (Chinese Speaking)</t>
        </is>
      </c>
      <c r="D11401" t="inlineStr">
        <is>
          <t>Khải Toàn Group</t>
        </is>
      </c>
      <c r="E11401" t="inlineStr">
        <is>
          <t>Lương:Cạnh tranh</t>
        </is>
      </c>
      <c r="F11401" t="inlineStr">
        <is>
          <t>Hồ Chí Minh</t>
        </is>
      </c>
      <c r="G11401" t="inlineStr">
        <is>
          <t>31-03-2026</t>
        </is>
      </c>
      <c r="H11401" t="inlineStr">
        <is>
          <t>31/03/2026</t>
        </is>
      </c>
      <c r="I11401" t="inlineStr">
        <is>
          <t>17/03/2026</t>
        </is>
      </c>
      <c r="J11401" t="inlineStr">
        <is>
          <t>Bán hàng / Kinh doanh, Bất động sản</t>
        </is>
      </c>
      <c r="K11401" t="inlineStr">
        <is>
          <t>1 - 2 Năm</t>
        </is>
      </c>
      <c r="L11401" s="8">
        <f>HYPERLINK("https://careerviet.vn/vi/tim-viec-lam/leasing-executive-sale-chinese-speaking.35C69EEC.html","Xem chi tiết")</f>
        <v/>
      </c>
    </row>
    <row r="11402">
      <c r="B11402" s="9" t="n">
        <v>11400</v>
      </c>
      <c r="C11402" s="10" t="inlineStr">
        <is>
          <t>Kỹ sư nội nghiệp ngành Xây Dựng Cầu Đường tại Hà Nội</t>
        </is>
      </c>
      <c r="D11402" s="10" t="inlineStr">
        <is>
          <t>CÔNG TY CỔ PHẦN ĐẦU TƯ VÀ PHÁT TRIỂN LẠC HỒNG</t>
        </is>
      </c>
      <c r="E11402" s="10" t="inlineStr">
        <is>
          <t>Lương:15 Tr - 20 Tr VND</t>
        </is>
      </c>
      <c r="F11402" s="10" t="inlineStr">
        <is>
          <t>Hà Nội</t>
        </is>
      </c>
      <c r="G11402" s="10" t="inlineStr">
        <is>
          <t>11-04-2026</t>
        </is>
      </c>
      <c r="H11402" s="10" t="inlineStr">
        <is>
          <t>11/04/2026</t>
        </is>
      </c>
      <c r="I11402" s="10" t="inlineStr">
        <is>
          <t>17/03/2026</t>
        </is>
      </c>
      <c r="J11402" s="10" t="inlineStr">
        <is>
          <t>Xây dựng</t>
        </is>
      </c>
      <c r="K11402" s="10" t="inlineStr">
        <is>
          <t>1 - 5 Năm</t>
        </is>
      </c>
      <c r="L11402" s="11">
        <f>HYPERLINK("https://careerviet.vn/vi/tim-viec-lam/ky-su-noi-nghiep-nganh-xay-dung-cau-duong-tai-ha-noi.35C683FB.html","Xem chi tiết")</f>
        <v/>
      </c>
      <c r="M11402" s="10" t="n"/>
    </row>
    <row r="11403">
      <c r="B11403" s="7" t="n">
        <v>11401</v>
      </c>
      <c r="C11403" t="inlineStr">
        <is>
          <t>Nam Nhân Viên Kho Hàng Gia Dụng</t>
        </is>
      </c>
      <c r="D11403" t="inlineStr">
        <is>
          <t>JoyMall - Nhà Phân Phối Locknlock</t>
        </is>
      </c>
      <c r="E11403" t="inlineStr">
        <is>
          <t>Lương:7 Tr - 9 Tr VND</t>
        </is>
      </c>
      <c r="F11403" t="inlineStr">
        <is>
          <t>Hồ Chí Minh</t>
        </is>
      </c>
      <c r="G11403" t="inlineStr">
        <is>
          <t>31-03-2026</t>
        </is>
      </c>
      <c r="H11403" t="inlineStr">
        <is>
          <t>31/03/2026</t>
        </is>
      </c>
      <c r="I11403" t="inlineStr">
        <is>
          <t>17/03/2026</t>
        </is>
      </c>
      <c r="J11403" t="inlineStr">
        <is>
          <t>Vận chuyển / Giao nhận / Kho vận, Thương mại điện tử, Lao động phổ thông</t>
        </is>
      </c>
      <c r="K11403" t="inlineStr">
        <is>
          <t>Lên đến 1 Năm</t>
        </is>
      </c>
      <c r="L11403" s="8">
        <f>HYPERLINK("https://careerviet.vn/vi/tim-viec-lam/nam-nhan-vien-kho-hang-gia-dung.35C69ED5.html","Xem chi tiết")</f>
        <v/>
      </c>
    </row>
    <row r="11404">
      <c r="B11404" s="9" t="n">
        <v>11402</v>
      </c>
      <c r="C11404" s="10" t="inlineStr">
        <is>
          <t>Talent Acquisition Executive (6 month contract)</t>
        </is>
      </c>
      <c r="D11404" s="10" t="inlineStr">
        <is>
          <t>Wall Street English</t>
        </is>
      </c>
      <c r="E11404" s="10" t="inlineStr">
        <is>
          <t>Lương:Cạnh tranh</t>
        </is>
      </c>
      <c r="F11404" s="10" t="inlineStr">
        <is>
          <t>Hồ Chí Minh</t>
        </is>
      </c>
      <c r="G11404" s="10" t="inlineStr">
        <is>
          <t>31-03-2026</t>
        </is>
      </c>
      <c r="H11404" s="10" t="inlineStr">
        <is>
          <t>31/03/2026</t>
        </is>
      </c>
      <c r="I11404" s="10" t="inlineStr">
        <is>
          <t>17/03/2026</t>
        </is>
      </c>
      <c r="J11404" s="10" t="inlineStr">
        <is>
          <t>Giáo dục / Đào tạo, Hành chính / Thư ký, Nhân sự</t>
        </is>
      </c>
      <c r="K11404" s="10" t="inlineStr">
        <is>
          <t>3 - 5 Năm</t>
        </is>
      </c>
      <c r="L11404" s="11">
        <f>HYPERLINK("https://careerviet.vn/vi/tim-viec-lam/talent-acquisition-executive-6-month-contract.35C69EA1.html","Xem chi tiết")</f>
        <v/>
      </c>
      <c r="M11404" s="10" t="n"/>
    </row>
    <row r="11405">
      <c r="B11405" s="7" t="n">
        <v>11403</v>
      </c>
      <c r="C11405" t="inlineStr">
        <is>
          <t>SƠN HÀ NGHỆ AN - TUYỂN DỤNG KẾ TOÁN</t>
        </is>
      </c>
      <c r="D11405" t="inlineStr">
        <is>
          <t>Công Ty Cổ Phần Quốc Tế Sơn Hà</t>
        </is>
      </c>
      <c r="E11405" t="inlineStr">
        <is>
          <t>Lương:Cạnh tranh</t>
        </is>
      </c>
      <c r="F11405" t="inlineStr">
        <is>
          <t>Nghệ An</t>
        </is>
      </c>
      <c r="G11405" t="inlineStr">
        <is>
          <t>29-03-2026</t>
        </is>
      </c>
      <c r="H11405" t="inlineStr">
        <is>
          <t>29/03/2026</t>
        </is>
      </c>
      <c r="I11405" t="inlineStr">
        <is>
          <t>17/03/2026</t>
        </is>
      </c>
      <c r="J11405" t="inlineStr">
        <is>
          <t>Kế toán / Kiểm toán</t>
        </is>
      </c>
      <c r="K11405" t="inlineStr">
        <is>
          <t>Trên 2 Năm</t>
        </is>
      </c>
      <c r="L11405" s="8">
        <f>HYPERLINK("https://careerviet.vn/vi/tim-viec-lam/son-ha-nghe-an-tuyen-dung-ke-toan.35C69E3E.html","Xem chi tiết")</f>
        <v/>
      </c>
    </row>
    <row r="11406">
      <c r="B11406" s="9" t="n">
        <v>11404</v>
      </c>
      <c r="C11406" s="10" t="inlineStr">
        <is>
          <t>[Gò Vấp] Tuyển Nhân Viên Bán Hàng - Chuỗi Cửa Hàng Bán Lẻ Thiết Bị Sức Khỏe</t>
        </is>
      </c>
      <c r="D11406" s="10" t="inlineStr">
        <is>
          <t>Công Ty TNHH XNK Phát Triển Đông Dương</t>
        </is>
      </c>
      <c r="E11406" s="10" t="inlineStr">
        <is>
          <t>Lương:12 Tr - 20 Tr VND</t>
        </is>
      </c>
      <c r="F11406" s="10" t="inlineStr">
        <is>
          <t>Hồ Chí Minh</t>
        </is>
      </c>
      <c r="G11406" s="10" t="inlineStr">
        <is>
          <t>31-03-2026</t>
        </is>
      </c>
      <c r="H11406" s="10" t="inlineStr">
        <is>
          <t>31/03/2026</t>
        </is>
      </c>
      <c r="I11406" s="10" t="inlineStr">
        <is>
          <t>17/03/2026</t>
        </is>
      </c>
      <c r="J11406" s="10" t="inlineStr">
        <is>
          <t>Bán lẻ / Bán sỉ, Bán hàng / Kinh doanh, Tư vấn</t>
        </is>
      </c>
      <c r="K11406" s="10" t="inlineStr">
        <is>
          <t>N/A</t>
        </is>
      </c>
      <c r="L11406" s="11">
        <f>HYPERLINK("https://careerviet.vn/vi/tim-viec-lam/go-vap-tuyen-nhan-vien-ban-hang-chuoi-cua-hang-ban-le-thiet-bi-suc-khoe.35C6A0B3.html","Xem chi tiết")</f>
        <v/>
      </c>
      <c r="M11406" s="10" t="n"/>
    </row>
    <row r="11407">
      <c r="B11407" s="7" t="n">
        <v>11405</v>
      </c>
      <c r="C11407" t="inlineStr">
        <is>
          <t>Kế toán kho</t>
        </is>
      </c>
      <c r="D11407" t="inlineStr">
        <is>
          <t>HỘ KINH DOANH MONO TALK</t>
        </is>
      </c>
      <c r="E11407" t="inlineStr">
        <is>
          <t>Lương:9 Tr - 11 Tr VND</t>
        </is>
      </c>
      <c r="F11407" t="inlineStr">
        <is>
          <t>Hà Nội</t>
        </is>
      </c>
      <c r="G11407" t="inlineStr">
        <is>
          <t>11-04-2026</t>
        </is>
      </c>
      <c r="H11407" t="inlineStr">
        <is>
          <t>11/04/2026</t>
        </is>
      </c>
      <c r="I11407" t="inlineStr">
        <is>
          <t>17/03/2026</t>
        </is>
      </c>
      <c r="J11407" t="inlineStr">
        <is>
          <t>Kế toán / Kiểm toán</t>
        </is>
      </c>
      <c r="K11407" t="inlineStr">
        <is>
          <t>1 - 2 Năm</t>
        </is>
      </c>
      <c r="L11407" s="8">
        <f>HYPERLINK("https://careerviet.vn/vi/tim-viec-lam/ke-toan-kho.35C684C0.html","Xem chi tiết")</f>
        <v/>
      </c>
    </row>
    <row r="11408">
      <c r="B11408" s="9" t="n">
        <v>11406</v>
      </c>
      <c r="C11408" s="10" t="inlineStr">
        <is>
          <t>Nhân viên phụ kho</t>
        </is>
      </c>
      <c r="D11408" s="10" t="inlineStr">
        <is>
          <t>Công ty Cổ phần Đồng phục Phương Thảo</t>
        </is>
      </c>
      <c r="E11408" s="10" t="inlineStr">
        <is>
          <t>Lương:8 Tr - 11 Tr VND</t>
        </is>
      </c>
      <c r="F11408" s="10" t="inlineStr">
        <is>
          <t>Hà Nội</t>
        </is>
      </c>
      <c r="G11408" s="10" t="inlineStr">
        <is>
          <t>31-03-2026</t>
        </is>
      </c>
      <c r="H11408" s="10" t="inlineStr">
        <is>
          <t>31/03/2026</t>
        </is>
      </c>
      <c r="I11408" s="10" t="inlineStr">
        <is>
          <t>17/03/2026</t>
        </is>
      </c>
      <c r="J11408" s="10" t="inlineStr">
        <is>
          <t>Vận chuyển / Giao nhận / Kho vận, Dệt may / Da giày / Thời trang</t>
        </is>
      </c>
      <c r="K11408" s="10" t="inlineStr">
        <is>
          <t>N/A</t>
        </is>
      </c>
      <c r="L11408" s="11">
        <f>HYPERLINK("https://careerviet.vn/vi/tim-viec-lam/nhan-vien-phu-kho.35C6A0A0.html","Xem chi tiết")</f>
        <v/>
      </c>
      <c r="M11408" s="10" t="n"/>
    </row>
    <row r="11409">
      <c r="B11409" s="7" t="n">
        <v>11407</v>
      </c>
      <c r="C11409" t="inlineStr">
        <is>
          <t>[Vĩnh Long] Trưởng phòng Khách hàng cá nhân</t>
        </is>
      </c>
      <c r="D11409" t="inlineStr">
        <is>
          <t>Ngân hàng TMCP Đại Chúng Việt Nam - PVcomBank</t>
        </is>
      </c>
      <c r="E11409" t="inlineStr">
        <is>
          <t>Lương:Cạnh tranh</t>
        </is>
      </c>
      <c r="F11409" t="inlineStr">
        <is>
          <t>Vĩnh Long</t>
        </is>
      </c>
      <c r="G11409" t="inlineStr">
        <is>
          <t>29-03-2026</t>
        </is>
      </c>
      <c r="H11409" t="inlineStr">
        <is>
          <t>29/03/2026</t>
        </is>
      </c>
      <c r="I11409" t="inlineStr">
        <is>
          <t>17/03/2026</t>
        </is>
      </c>
      <c r="J11409" t="inlineStr">
        <is>
          <t>Ngân hàng, Tài chính / Đầu tư</t>
        </is>
      </c>
      <c r="K11409" t="inlineStr">
        <is>
          <t>Trên 2 Năm</t>
        </is>
      </c>
      <c r="L11409" s="8">
        <f>HYPERLINK("https://careerviet.vn/vi/tim-viec-lam/vinh-long-truong-phong-khach-hang-ca-nhan.35C69EA0.html","Xem chi tiết")</f>
        <v/>
      </c>
    </row>
    <row r="11410">
      <c r="B11410" s="9" t="n">
        <v>11408</v>
      </c>
      <c r="C11410" s="10" t="inlineStr">
        <is>
          <t>Chuyên viên C&amp;B</t>
        </is>
      </c>
      <c r="D11410" s="10" t="inlineStr">
        <is>
          <t>Công Ty TNHH Xúc Tiến Thương Mại NBT Holdings</t>
        </is>
      </c>
      <c r="E11410" s="10" t="inlineStr">
        <is>
          <t>Lương:12 Tr - 15 Tr VND</t>
        </is>
      </c>
      <c r="F11410" s="10" t="inlineStr">
        <is>
          <t>Hà Nội</t>
        </is>
      </c>
      <c r="G11410" s="10" t="inlineStr">
        <is>
          <t>12-03-2026</t>
        </is>
      </c>
      <c r="H11410" s="10" t="inlineStr">
        <is>
          <t>15/03/2026</t>
        </is>
      </c>
      <c r="I11410" s="10" t="inlineStr">
        <is>
          <t>17/03/2026</t>
        </is>
      </c>
      <c r="J11410" s="10" t="inlineStr">
        <is>
          <t>Nhân sự, Luật / Pháp lý, Hành chính / Thư ký</t>
        </is>
      </c>
      <c r="K11410" s="10" t="inlineStr">
        <is>
          <t>1 - 2 Năm</t>
        </is>
      </c>
      <c r="L11410" s="11">
        <f>HYPERLINK("https://careerviet.vn/vi/tim-viec-lam/chuyen-vien-c-b.35C69E80.html","Xem chi tiết")</f>
        <v/>
      </c>
      <c r="M11410" s="10" t="n"/>
    </row>
    <row r="11411">
      <c r="B11411" s="7" t="n">
        <v>11409</v>
      </c>
      <c r="C11411" t="inlineStr">
        <is>
          <t>Sale Admin</t>
        </is>
      </c>
      <c r="D11411" t="inlineStr">
        <is>
          <t>CÔNG TY TNHH KHOA HỌC KỸ THUẬT VIETLAB</t>
        </is>
      </c>
      <c r="E11411" t="inlineStr">
        <is>
          <t>Lương:9 Tr - 15 Tr VND</t>
        </is>
      </c>
      <c r="F11411" t="inlineStr">
        <is>
          <t>Hà Nội</t>
        </is>
      </c>
      <c r="G11411" t="inlineStr">
        <is>
          <t>27-03-2026</t>
        </is>
      </c>
      <c r="H11411" t="inlineStr">
        <is>
          <t>27/03/2026</t>
        </is>
      </c>
      <c r="I11411" t="inlineStr">
        <is>
          <t>17/03/2026</t>
        </is>
      </c>
      <c r="J11411" t="inlineStr">
        <is>
          <t>Bán lẻ / Bán sỉ, Bán hàng / Kinh doanh, Dịch vụ khách hàng</t>
        </is>
      </c>
      <c r="K11411" t="inlineStr">
        <is>
          <t>Trên 1 Năm</t>
        </is>
      </c>
      <c r="L11411" s="8">
        <f>HYPERLINK("https://careerviet.vn/vi/tim-viec-lam/sale-admin.35C69FE3.html","Xem chi tiết")</f>
        <v/>
      </c>
    </row>
    <row r="11412">
      <c r="B11412" s="9" t="n">
        <v>11410</v>
      </c>
      <c r="C11412" s="10" t="inlineStr">
        <is>
          <t>Nhân viên Kinh Doanh - Mảng năng lượng (Upto 25 Triệu)</t>
        </is>
      </c>
      <c r="D11412" s="10" t="inlineStr">
        <is>
          <t>Xuân Cầu Holdings</t>
        </is>
      </c>
      <c r="E11412" s="10" t="inlineStr">
        <is>
          <t>Lương:Cạnh tranh</t>
        </is>
      </c>
      <c r="F11412" s="10" t="inlineStr">
        <is>
          <t>Hà Nội</t>
        </is>
      </c>
      <c r="G11412" s="10" t="inlineStr">
        <is>
          <t>31-03-2026</t>
        </is>
      </c>
      <c r="H11412" s="10" t="inlineStr">
        <is>
          <t>31/03/2026</t>
        </is>
      </c>
      <c r="I11412" s="10" t="inlineStr">
        <is>
          <t>17/03/2026</t>
        </is>
      </c>
      <c r="J11412" s="10" t="inlineStr">
        <is>
          <t>Bán hàng / Kinh doanh</t>
        </is>
      </c>
      <c r="K11412" s="10" t="inlineStr">
        <is>
          <t>2 - 10 Năm</t>
        </is>
      </c>
      <c r="L11412" s="11">
        <f>HYPERLINK("https://careerviet.vn/vi/tim-viec-lam/nhan-vien-kinh-doanh-mang-nang-luong-upto-25-trieu.35C69F20.html","Xem chi tiết")</f>
        <v/>
      </c>
      <c r="M11412" s="10" t="n"/>
    </row>
    <row r="11413">
      <c r="B11413" s="7" t="n">
        <v>11411</v>
      </c>
      <c r="C11413" t="inlineStr">
        <is>
          <t>Chuyên viên Marketing thương hiệu</t>
        </is>
      </c>
      <c r="D11413" t="inlineStr">
        <is>
          <t>CÔNG TY TNHH HÀNG KHÔNG SƠN HẢI</t>
        </is>
      </c>
      <c r="E11413" t="inlineStr">
        <is>
          <t>Lương:11 Tr - 16 Tr VND</t>
        </is>
      </c>
      <c r="F11413" t="inlineStr">
        <is>
          <t>Hồ Chí Minh</t>
        </is>
      </c>
      <c r="G11413" t="inlineStr">
        <is>
          <t>31-03-2026</t>
        </is>
      </c>
      <c r="H11413" t="inlineStr">
        <is>
          <t>31/03/2026</t>
        </is>
      </c>
      <c r="I11413" t="inlineStr">
        <is>
          <t>17/03/2026</t>
        </is>
      </c>
      <c r="J11413" t="inlineStr">
        <is>
          <t>Tiếp thị / Marketing</t>
        </is>
      </c>
      <c r="K11413" t="inlineStr">
        <is>
          <t>2 - 3 Năm</t>
        </is>
      </c>
      <c r="L11413" s="8">
        <f>HYPERLINK("https://careerviet.vn/vi/tim-viec-lam/chuyen-vien-marketing-thuong-hieu.35C6A045.html","Xem chi tiết")</f>
        <v/>
      </c>
    </row>
    <row r="11414">
      <c r="B11414" s="9" t="n">
        <v>11412</v>
      </c>
      <c r="C11414" s="10" t="inlineStr">
        <is>
          <t>KỸ SƯ M&amp;E/ TỰ ĐỘNG HÓA</t>
        </is>
      </c>
      <c r="D11414" s="10" t="inlineStr">
        <is>
          <t>CÔNG TY CỔ PHẦN ĐẦU TƯ XÂY DỰNG TRUNG NAM  - TRUNGNAM</t>
        </is>
      </c>
      <c r="E11414" s="10" t="inlineStr">
        <is>
          <t>Lương:Cạnh tranh</t>
        </is>
      </c>
      <c r="F11414" s="10" t="inlineStr">
        <is>
          <t>Hồ Chí Minh</t>
        </is>
      </c>
      <c r="G11414" s="10" t="inlineStr">
        <is>
          <t>26-03-2026</t>
        </is>
      </c>
      <c r="H11414" s="10" t="inlineStr">
        <is>
          <t>26/03/2026</t>
        </is>
      </c>
      <c r="I11414" s="10" t="inlineStr">
        <is>
          <t>17/03/2026</t>
        </is>
      </c>
      <c r="J11414" s="10" t="inlineStr">
        <is>
          <t>Xây dựng, Điện / Điện tử / Điện lạnh / Điện công nghiệp, Cơ khí / Ô tô / Tự động hóa</t>
        </is>
      </c>
      <c r="K11414" s="10" t="inlineStr">
        <is>
          <t>Trên 3 Năm</t>
        </is>
      </c>
      <c r="L11414" s="11">
        <f>HYPERLINK("https://careerviet.vn/vi/tim-viec-lam/ky-su-m-e-tu-dong-hoa.35C6A026.html","Xem chi tiết")</f>
        <v/>
      </c>
      <c r="M11414" s="10" t="n"/>
    </row>
    <row r="11415">
      <c r="B11415" s="7" t="n">
        <v>11413</v>
      </c>
      <c r="C11415" t="inlineStr">
        <is>
          <t>Chỉ Huy Phó Xây Dựng</t>
        </is>
      </c>
      <c r="D11415" t="inlineStr">
        <is>
          <t>Công Ty Cổ Phần Xây Dựng CDC</t>
        </is>
      </c>
      <c r="E11415" t="inlineStr">
        <is>
          <t>Lương:20 Tr - 25 Tr VND</t>
        </is>
      </c>
      <c r="F11415" t="inlineStr">
        <is>
          <t>Quảng NinhHà Nội</t>
        </is>
      </c>
      <c r="G11415" t="inlineStr">
        <is>
          <t>28-04-2026</t>
        </is>
      </c>
      <c r="H11415" t="inlineStr">
        <is>
          <t>28/04/2026</t>
        </is>
      </c>
      <c r="I11415" t="inlineStr">
        <is>
          <t>17/03/2026</t>
        </is>
      </c>
      <c r="J11415" t="inlineStr">
        <is>
          <t>Xây dựng</t>
        </is>
      </c>
      <c r="K11415" t="inlineStr">
        <is>
          <t>3 - 5 Năm</t>
        </is>
      </c>
      <c r="L11415" s="8">
        <f>HYPERLINK("https://careerviet.vn/vi/tim-viec-lam/chi-huy-pho-xay-dung.35C5FD1A.html","Xem chi tiết")</f>
        <v/>
      </c>
    </row>
    <row r="11416">
      <c r="B11416" s="9" t="n">
        <v>11414</v>
      </c>
      <c r="C11416" s="10" t="inlineStr">
        <is>
          <t>Giám sát kinh doanh - Thương hiệu Wilson</t>
        </is>
      </c>
      <c r="D11416" s="10" t="inlineStr">
        <is>
          <t>CÔNG TY TNHH ANTA SPORTS VIỆT NAM</t>
        </is>
      </c>
      <c r="E11416" s="10" t="inlineStr">
        <is>
          <t>Lương:30 Tr - 35 Tr VND</t>
        </is>
      </c>
      <c r="F11416" s="10" t="inlineStr">
        <is>
          <t>Hồ Chí Minh</t>
        </is>
      </c>
      <c r="G11416" s="10" t="inlineStr">
        <is>
          <t>26-03-2026</t>
        </is>
      </c>
      <c r="H11416" s="10" t="inlineStr">
        <is>
          <t>26/03/2026</t>
        </is>
      </c>
      <c r="I11416" s="10" t="inlineStr">
        <is>
          <t>17/03/2026</t>
        </is>
      </c>
      <c r="J11416" s="10" t="inlineStr">
        <is>
          <t>Bán hàng / Kinh doanh, Bán lẻ / Bán sỉ, Tiếp thị / Marketing</t>
        </is>
      </c>
      <c r="K11416" s="10" t="inlineStr">
        <is>
          <t>3 - 5 Năm</t>
        </is>
      </c>
      <c r="L11416" s="11">
        <f>HYPERLINK("https://careerviet.vn/vi/tim-viec-lam/giam-sat-kinh-doanh-thuong-hieu-wilson.35C69D68.html","Xem chi tiết")</f>
        <v/>
      </c>
      <c r="M11416" s="10" t="n"/>
    </row>
    <row r="11417">
      <c r="B11417" s="7" t="n">
        <v>11415</v>
      </c>
      <c r="C11417" t="inlineStr">
        <is>
          <t>Chuyên Viên Chính/Chuyên Viên Cao Cấp Bán Sản Phẩm Cho Vay - Cần Thơ - TA177</t>
        </is>
      </c>
      <c r="D11417" t="inlineStr">
        <is>
          <t>Ngân Hàng TMCP Việt Nam Thịnh Vượng - VPBANK</t>
        </is>
      </c>
      <c r="E11417" t="inlineStr">
        <is>
          <t>Lương:Cạnh tranh</t>
        </is>
      </c>
      <c r="F11417" t="inlineStr">
        <is>
          <t>Tiền GiangVĩnh LongCần Thơ</t>
        </is>
      </c>
      <c r="G11417" t="inlineStr">
        <is>
          <t>11-04-2026</t>
        </is>
      </c>
      <c r="H11417" t="inlineStr">
        <is>
          <t>11/04/2026</t>
        </is>
      </c>
      <c r="I11417" t="inlineStr">
        <is>
          <t>17/03/2026</t>
        </is>
      </c>
      <c r="J11417" t="inlineStr">
        <is>
          <t>Bán hàng / Kinh doanh, Bất động sản, Ngân hàng</t>
        </is>
      </c>
      <c r="K11417" t="inlineStr">
        <is>
          <t>2 - 3 Năm</t>
        </is>
      </c>
      <c r="L11417" s="8">
        <f>HYPERLINK("https://careerviet.vn/vi/tim-viec-lam/chuyen-vien-chinh-chuyen-vien-cao-cap-ban-san-pham-cho-vay-can-tho-ta177.35C6859F.html","Xem chi tiết")</f>
        <v/>
      </c>
    </row>
    <row r="11418">
      <c r="B11418" s="9" t="n">
        <v>11416</v>
      </c>
      <c r="C11418" s="10" t="inlineStr">
        <is>
          <t>Chuyên Viên Kinh Doanh B2B</t>
        </is>
      </c>
      <c r="D11418" s="10" t="inlineStr">
        <is>
          <t>DNTN Sản Xuất Cọ Sơn Thanh Bình</t>
        </is>
      </c>
      <c r="E11418" s="10" t="inlineStr">
        <is>
          <t>Lương:8 Tr - 10 Tr VND</t>
        </is>
      </c>
      <c r="F11418" s="10" t="inlineStr">
        <is>
          <t>Hồ Chí Minh</t>
        </is>
      </c>
      <c r="G11418" s="10" t="inlineStr">
        <is>
          <t>26-03-2026</t>
        </is>
      </c>
      <c r="H11418" s="10" t="inlineStr">
        <is>
          <t>26/03/2026</t>
        </is>
      </c>
      <c r="I11418" s="10" t="inlineStr">
        <is>
          <t>17/03/2026</t>
        </is>
      </c>
      <c r="J11418" s="10" t="inlineStr">
        <is>
          <t>Bán hàng / Kinh doanh, Tiếp thị / Marketing, Dịch vụ khách hàng</t>
        </is>
      </c>
      <c r="K11418" s="10" t="inlineStr">
        <is>
          <t>Trên 1 Năm</t>
        </is>
      </c>
      <c r="L11418" s="11">
        <f>HYPERLINK("https://careerviet.vn/vi/tim-viec-lam/chuyen-vien-kinh-doanh-b2b.35C69EFC.html","Xem chi tiết")</f>
        <v/>
      </c>
      <c r="M11418" s="10" t="n"/>
    </row>
    <row r="11419">
      <c r="B11419" s="7" t="n">
        <v>11417</v>
      </c>
      <c r="C11419" t="inlineStr">
        <is>
          <t>Giám sát bán hàng Bắc Ninh</t>
        </is>
      </c>
      <c r="D11419" t="inlineStr">
        <is>
          <t>Công ty cổ phần văn phòng phẩm Hồng Hà</t>
        </is>
      </c>
      <c r="E11419" t="inlineStr">
        <is>
          <t>Lương:12 Tr - 25 Tr VND</t>
        </is>
      </c>
      <c r="F11419" t="inlineStr">
        <is>
          <t>Bắc Ninh</t>
        </is>
      </c>
      <c r="G11419" t="inlineStr">
        <is>
          <t>31-03-2026</t>
        </is>
      </c>
      <c r="H11419" t="inlineStr">
        <is>
          <t>31/03/2026</t>
        </is>
      </c>
      <c r="I11419" t="inlineStr">
        <is>
          <t>17/03/2026</t>
        </is>
      </c>
      <c r="J11419" t="inlineStr">
        <is>
          <t>Tiếp thị / Marketing, Bán lẻ / Bán sỉ, Bán hàng / Kinh doanh</t>
        </is>
      </c>
      <c r="K11419" t="inlineStr">
        <is>
          <t>1 - 3 Năm</t>
        </is>
      </c>
      <c r="L11419" s="8">
        <f>HYPERLINK("https://careerviet.vn/vi/tim-viec-lam/giam-sat-ban-hang-bac-ninh.35C69D62.html","Xem chi tiết")</f>
        <v/>
      </c>
    </row>
    <row r="11420">
      <c r="B11420" s="9" t="n">
        <v>11418</v>
      </c>
      <c r="C11420" s="10" t="inlineStr">
        <is>
          <t>P&amp;M Assistant cum Korean Interpreter</t>
        </is>
      </c>
      <c r="D11420" s="10" t="inlineStr">
        <is>
          <t>CJ Foodville Việt Nam</t>
        </is>
      </c>
      <c r="E11420" s="10" t="inlineStr">
        <is>
          <t>Lương:Cạnh tranh</t>
        </is>
      </c>
      <c r="F11420" s="10" t="inlineStr">
        <is>
          <t>Hồ Chí Minh</t>
        </is>
      </c>
      <c r="G11420" s="10" t="inlineStr">
        <is>
          <t>29-03-2026</t>
        </is>
      </c>
      <c r="H11420" s="10" t="inlineStr">
        <is>
          <t>29/03/2026</t>
        </is>
      </c>
      <c r="I11420" s="10" t="inlineStr">
        <is>
          <t>17/03/2026</t>
        </is>
      </c>
      <c r="J11420" s="10" t="inlineStr">
        <is>
          <t>Thực phẩm &amp; Đồ uống, Bán hàng / Kinh doanh, Biên phiên dịch</t>
        </is>
      </c>
      <c r="K11420" s="10" t="inlineStr">
        <is>
          <t>1 - 5 Năm</t>
        </is>
      </c>
      <c r="L11420" s="11">
        <f>HYPERLINK("https://careerviet.vn/vi/tim-viec-lam/p-m-assistant-cum-korean-interpreter.35C69E7D.html","Xem chi tiết")</f>
        <v/>
      </c>
      <c r="M11420" s="10" t="n"/>
    </row>
    <row r="11421">
      <c r="B11421" s="7" t="n">
        <v>11419</v>
      </c>
      <c r="C11421" t="inlineStr">
        <is>
          <t>MECHANICAL VICE MANAGER</t>
        </is>
      </c>
      <c r="D11421" t="inlineStr">
        <is>
          <t>Công Ty TNHH Taisun Việt Nam</t>
        </is>
      </c>
      <c r="E11421" t="inlineStr">
        <is>
          <t>Lương:Cạnh tranh</t>
        </is>
      </c>
      <c r="F11421" t="inlineStr">
        <is>
          <t>Hồ Chí Minh</t>
        </is>
      </c>
      <c r="G11421" t="inlineStr">
        <is>
          <t>29-03-2026</t>
        </is>
      </c>
      <c r="H11421" t="inlineStr">
        <is>
          <t>29/03/2026</t>
        </is>
      </c>
      <c r="I11421" t="inlineStr">
        <is>
          <t>17/03/2026</t>
        </is>
      </c>
      <c r="J11421" t="inlineStr">
        <is>
          <t>Cơ khí / Ô tô / Tự động hóa, Ngành khác, Điện / Điện tử / Điện lạnh / Điện công nghiệp</t>
        </is>
      </c>
      <c r="K11421" t="inlineStr">
        <is>
          <t>4 - 5 Năm</t>
        </is>
      </c>
      <c r="L11421" s="8">
        <f>HYPERLINK("https://careerviet.vn/vi/tim-viec-lam/mechanical-vice-manager.35C6A01D.html","Xem chi tiết")</f>
        <v/>
      </c>
    </row>
    <row r="11422">
      <c r="B11422" s="9" t="n">
        <v>11420</v>
      </c>
      <c r="C11422" s="10" t="inlineStr">
        <is>
          <t>Sales Admin</t>
        </is>
      </c>
      <c r="D11422" s="10" t="inlineStr">
        <is>
          <t>Trung Tâm Kiểm Định Hiệu Chuẩn Đo Lường Miền Nam</t>
        </is>
      </c>
      <c r="E11422" s="10" t="inlineStr">
        <is>
          <t>Lương:Cạnh tranh</t>
        </is>
      </c>
      <c r="F11422" s="10" t="inlineStr">
        <is>
          <t>Hồ Chí Minh</t>
        </is>
      </c>
      <c r="G11422" s="10" t="inlineStr">
        <is>
          <t>3</t>
        </is>
      </c>
      <c r="H11422" s="10" t="inlineStr">
        <is>
          <t>20/03/2026</t>
        </is>
      </c>
      <c r="I11422" s="10" t="inlineStr">
        <is>
          <t>17/03/2026</t>
        </is>
      </c>
      <c r="J11422" s="10" t="inlineStr">
        <is>
          <t>Tư vấn, Dịch vụ khách hàng, Hành chính / Thư ký</t>
        </is>
      </c>
      <c r="K11422" s="10" t="inlineStr">
        <is>
          <t>Trên 1 Năm</t>
        </is>
      </c>
      <c r="L11422" s="11">
        <f>HYPERLINK("https://careerviet.vn/vi/tim-viec-lam/sales-admin.35C69E53.html","Xem chi tiết")</f>
        <v/>
      </c>
      <c r="M11422" s="10" t="n"/>
    </row>
    <row r="11423">
      <c r="B11423" s="7" t="n">
        <v>11421</v>
      </c>
      <c r="C11423" t="inlineStr">
        <is>
          <t>Nhân viên tư vấn</t>
        </is>
      </c>
      <c r="D11423" t="inlineStr">
        <is>
          <t>Công Ty TNHH T.M.G</t>
        </is>
      </c>
      <c r="E11423" t="inlineStr">
        <is>
          <t>Lương:6 Tr - 15 Tr VND</t>
        </is>
      </c>
      <c r="F11423" t="inlineStr">
        <is>
          <t>Đà Nẵng</t>
        </is>
      </c>
      <c r="G11423" t="inlineStr">
        <is>
          <t>29-03-2026</t>
        </is>
      </c>
      <c r="H11423" t="inlineStr">
        <is>
          <t>29/03/2026</t>
        </is>
      </c>
      <c r="I11423" t="inlineStr">
        <is>
          <t>17/03/2026</t>
        </is>
      </c>
      <c r="J11423" t="inlineStr">
        <is>
          <t>Bán hàng / Kinh doanh, Giáo dục / Đào tạo</t>
        </is>
      </c>
      <c r="K11423" t="inlineStr">
        <is>
          <t>N/A</t>
        </is>
      </c>
      <c r="L11423" s="8">
        <f>HYPERLINK("https://careerviet.vn/vi/tim-viec-lam/nhan-vien-tu-van.35C6A0FB.html","Xem chi tiết")</f>
        <v/>
      </c>
    </row>
    <row r="11424">
      <c r="B11424" s="9" t="n">
        <v>11422</v>
      </c>
      <c r="C11424" s="10" t="inlineStr">
        <is>
          <t>SUPPLIER DEVELOPMENT SPECIALIST</t>
        </is>
      </c>
      <c r="D11424" s="10" t="inlineStr">
        <is>
          <t>Công ty TNHH Starry Việt Nam</t>
        </is>
      </c>
      <c r="E11424" s="10" t="inlineStr">
        <is>
          <t>Lương:20 Tr - 35 Tr VND</t>
        </is>
      </c>
      <c r="F11424" s="10" t="inlineStr">
        <is>
          <t>Long An</t>
        </is>
      </c>
      <c r="G11424" s="10" t="inlineStr">
        <is>
          <t>31-03-2026</t>
        </is>
      </c>
      <c r="H11424" s="10" t="inlineStr">
        <is>
          <t>31/03/2026</t>
        </is>
      </c>
      <c r="I11424" s="10" t="inlineStr">
        <is>
          <t>17/03/2026</t>
        </is>
      </c>
      <c r="J11424" s="10" t="inlineStr">
        <is>
          <t>Thu mua / Vật tư, Quản lý chất lượng (QA/QC), Sản xuất / Vận hành sản xuất</t>
        </is>
      </c>
      <c r="K11424" s="10" t="inlineStr">
        <is>
          <t>2 - 5 Năm</t>
        </is>
      </c>
      <c r="L11424" s="11">
        <f>HYPERLINK("https://careerviet.vn/vi/tim-viec-lam/supplier-development-specialist.35C69D8C.html","Xem chi tiết")</f>
        <v/>
      </c>
      <c r="M11424" s="10" t="n"/>
    </row>
    <row r="11425">
      <c r="B11425" s="7" t="n">
        <v>11423</v>
      </c>
      <c r="C11425" t="inlineStr">
        <is>
          <t>Sales Manager (FMCG) upto 60M</t>
        </is>
      </c>
      <c r="D11425" t="inlineStr">
        <is>
          <t>CÔNG TY TNHH JOB HOUSE</t>
        </is>
      </c>
      <c r="E11425" t="inlineStr">
        <is>
          <t>Lương:40 Tr - 60 Tr VND</t>
        </is>
      </c>
      <c r="F11425" t="inlineStr">
        <is>
          <t>Hồ Chí Minh</t>
        </is>
      </c>
      <c r="G11425" t="inlineStr">
        <is>
          <t>31-03-2026</t>
        </is>
      </c>
      <c r="H11425" t="inlineStr">
        <is>
          <t>31/03/2026</t>
        </is>
      </c>
      <c r="I11425" t="inlineStr">
        <is>
          <t>17/03/2026</t>
        </is>
      </c>
      <c r="J11425" t="inlineStr">
        <is>
          <t>Bán lẻ / Bán sỉ, Bán hàng / Kinh doanh, Dược phẩm/ Hóa Mỹ Phẩm</t>
        </is>
      </c>
      <c r="K11425" t="inlineStr">
        <is>
          <t>Trên 5 Năm</t>
        </is>
      </c>
      <c r="L11425" s="8">
        <f>HYPERLINK("https://careerviet.vn/vi/tim-viec-lam/sales-manager-fmcg-upto-60m.35C69F52.html","Xem chi tiết")</f>
        <v/>
      </c>
    </row>
    <row r="11426">
      <c r="B11426" s="9" t="n">
        <v>11424</v>
      </c>
      <c r="C11426" s="10" t="inlineStr">
        <is>
          <t>Kiến trúc sư quy hoạch</t>
        </is>
      </c>
      <c r="D11426" s="10" t="inlineStr">
        <is>
          <t>CÔNG TY CP ĐẦU TƯ HẠ TẦNG KHU CÔNG NGHIỆP HÀ NỘI - BẮC GIANG</t>
        </is>
      </c>
      <c r="E11426" s="10" t="inlineStr">
        <is>
          <t>Lương:20 Tr - 30 Tr VND</t>
        </is>
      </c>
      <c r="F11426" s="10" t="inlineStr">
        <is>
          <t>Hà Nội</t>
        </is>
      </c>
      <c r="G11426" s="10" t="inlineStr">
        <is>
          <t>01-05-2026</t>
        </is>
      </c>
      <c r="H11426" s="10" t="inlineStr">
        <is>
          <t>01/05/2026</t>
        </is>
      </c>
      <c r="I11426" s="10" t="inlineStr">
        <is>
          <t>17/03/2026</t>
        </is>
      </c>
      <c r="J11426" s="10" t="inlineStr">
        <is>
          <t>Kiến trúc, Xây dựng, Luật / Pháp lý</t>
        </is>
      </c>
      <c r="K11426" s="10" t="inlineStr">
        <is>
          <t>3 - 5 Năm</t>
        </is>
      </c>
      <c r="L11426" s="11">
        <f>HYPERLINK("https://careerviet.vn/vi/tim-viec-lam/kien-truc-su-quy-hoach.35C69DF1.html","Xem chi tiết")</f>
        <v/>
      </c>
      <c r="M11426" s="10" t="n"/>
    </row>
    <row r="11427">
      <c r="B11427" s="7" t="n">
        <v>11425</v>
      </c>
      <c r="C11427" t="inlineStr">
        <is>
          <t>Kế Toán Tổng Hợp</t>
        </is>
      </c>
      <c r="D11427" t="inlineStr">
        <is>
          <t>CÔNG TY CỔ PHẦN CATINA AUTO PARTS</t>
        </is>
      </c>
      <c r="E11427" t="inlineStr">
        <is>
          <t>Lương:Cạnh tranh</t>
        </is>
      </c>
      <c r="F11427" t="inlineStr">
        <is>
          <t>Hồ Chí Minh</t>
        </is>
      </c>
      <c r="G11427" t="inlineStr">
        <is>
          <t>27-03-2026</t>
        </is>
      </c>
      <c r="H11427" t="inlineStr">
        <is>
          <t>27/03/2026</t>
        </is>
      </c>
      <c r="I11427" t="inlineStr">
        <is>
          <t>17/03/2026</t>
        </is>
      </c>
      <c r="J11427" t="inlineStr">
        <is>
          <t>Kế toán / Kiểm toán, Thống kê, Tài chính / Đầu tư</t>
        </is>
      </c>
      <c r="K11427" t="inlineStr">
        <is>
          <t>2 - 3 Năm</t>
        </is>
      </c>
      <c r="L11427" s="8">
        <f>HYPERLINK("https://careerviet.vn/vi/tim-viec-lam/ke-toan-tong-hop.35C6A039.html","Xem chi tiết")</f>
        <v/>
      </c>
    </row>
    <row r="11428">
      <c r="B11428" s="9" t="n">
        <v>11426</v>
      </c>
      <c r="C11428" s="10" t="inlineStr">
        <is>
          <t>Nhân viên giao hàng</t>
        </is>
      </c>
      <c r="D11428" s="10" t="inlineStr">
        <is>
          <t>Công ty TNHH Sao Đỏ Việt Nam - Chi nhánh CMS</t>
        </is>
      </c>
      <c r="E11428" s="10" t="inlineStr">
        <is>
          <t>Lương:10 Tr - 12 Tr VND</t>
        </is>
      </c>
      <c r="F11428" s="10" t="inlineStr">
        <is>
          <t>Hồ Chí Minh</t>
        </is>
      </c>
      <c r="G11428" s="10" t="inlineStr">
        <is>
          <t>31-03-2026</t>
        </is>
      </c>
      <c r="H11428" s="10" t="inlineStr">
        <is>
          <t>31/03/2026</t>
        </is>
      </c>
      <c r="I11428" s="10" t="inlineStr">
        <is>
          <t>17/03/2026</t>
        </is>
      </c>
      <c r="J11428" s="10" t="inlineStr">
        <is>
          <t>Vận chuyển / Giao nhận / Kho vận</t>
        </is>
      </c>
      <c r="K11428" s="10" t="inlineStr">
        <is>
          <t>1 - 2 Năm</t>
        </is>
      </c>
      <c r="L11428" s="11">
        <f>HYPERLINK("https://careerviet.vn/vi/tim-viec-lam/nhan-vien-giao-hang.35C6A097.html","Xem chi tiết")</f>
        <v/>
      </c>
      <c r="M11428" s="10" t="n"/>
    </row>
    <row r="11429">
      <c r="B11429" s="7" t="n">
        <v>11427</v>
      </c>
      <c r="C11429" t="inlineStr">
        <is>
          <t>Kỹ Sư PE</t>
        </is>
      </c>
      <c r="D11429" t="inlineStr">
        <is>
          <t>CÔNG TY TNHH RYDER INDUSTRIES VIỆT NAM</t>
        </is>
      </c>
      <c r="E11429" t="inlineStr">
        <is>
          <t>Lương:30 Tr - 40 Tr VND</t>
        </is>
      </c>
      <c r="F11429" t="inlineStr">
        <is>
          <t>Đồng Nai</t>
        </is>
      </c>
      <c r="G11429" t="inlineStr">
        <is>
          <t>27-03-2026</t>
        </is>
      </c>
      <c r="H11429" t="inlineStr">
        <is>
          <t>27/03/2026</t>
        </is>
      </c>
      <c r="I11429" t="inlineStr">
        <is>
          <t>17/03/2026</t>
        </is>
      </c>
      <c r="J11429" t="inlineStr">
        <is>
          <t>Sản xuất / Vận hành sản xuất, Cơ khí / Ô tô / Tự động hóa, Điện / Điện tử / Điện lạnh / Điện công nghiệp</t>
        </is>
      </c>
      <c r="K11429" t="inlineStr">
        <is>
          <t>Trên 2 Năm</t>
        </is>
      </c>
      <c r="L11429" s="8">
        <f>HYPERLINK("https://careerviet.vn/vi/tim-viec-lam/ky-su-pe.35C69E34.html","Xem chi tiết")</f>
        <v/>
      </c>
    </row>
    <row r="11430">
      <c r="B11430" s="9" t="n">
        <v>11428</v>
      </c>
      <c r="C11430" s="10" t="inlineStr">
        <is>
          <t>Chuyên Viên Tư Vấn (AC) - Ngành Làm Đẹp/Hà Nội</t>
        </is>
      </c>
      <c r="D11430" s="10" t="inlineStr">
        <is>
          <t>PPP Laser Clinic Viet Nam</t>
        </is>
      </c>
      <c r="E11430" s="10" t="inlineStr">
        <is>
          <t>Lương:15 Tr - 40 Tr VND</t>
        </is>
      </c>
      <c r="F11430" s="10" t="inlineStr">
        <is>
          <t>Hà Nội</t>
        </is>
      </c>
      <c r="G11430" s="10" t="inlineStr">
        <is>
          <t>30-03-2026</t>
        </is>
      </c>
      <c r="H11430" s="10" t="inlineStr">
        <is>
          <t>30/03/2026</t>
        </is>
      </c>
      <c r="I11430" s="10" t="inlineStr">
        <is>
          <t>17/03/2026</t>
        </is>
      </c>
      <c r="J11430" s="10" t="inlineStr">
        <is>
          <t>Bán hàng / Kinh doanh, Y tế / Chăm sóc sức khỏe / Thẩm mỹ / Làm đẹp, Ngân hàng</t>
        </is>
      </c>
      <c r="K11430" s="10" t="inlineStr">
        <is>
          <t>1 - 3 Năm</t>
        </is>
      </c>
      <c r="L11430" s="11">
        <f>HYPERLINK("https://careerviet.vn/vi/tim-viec-lam/chuyen-vien-tu-van-ac-nganh-lam-dep-ha-noi.35C6A0CC.html","Xem chi tiết")</f>
        <v/>
      </c>
      <c r="M11430" s="10" t="n"/>
    </row>
    <row r="11431">
      <c r="B11431" s="7" t="n">
        <v>11429</v>
      </c>
      <c r="C11431" t="inlineStr">
        <is>
          <t>Họa viên 2D Nội thất</t>
        </is>
      </c>
      <c r="D11431" t="inlineStr">
        <is>
          <t>TTT Corporation</t>
        </is>
      </c>
      <c r="E11431" t="inlineStr">
        <is>
          <t>Lương:Cạnh tranh</t>
        </is>
      </c>
      <c r="F11431" t="inlineStr">
        <is>
          <t>Hồ Chí Minh</t>
        </is>
      </c>
      <c r="G11431" t="inlineStr">
        <is>
          <t>27-03-2026</t>
        </is>
      </c>
      <c r="H11431" t="inlineStr">
        <is>
          <t>27/03/2026</t>
        </is>
      </c>
      <c r="I11431" t="inlineStr">
        <is>
          <t>17/03/2026</t>
        </is>
      </c>
      <c r="J11431" t="inlineStr">
        <is>
          <t>Kiến trúc, Nội ngoại thất, Xây dựng</t>
        </is>
      </c>
      <c r="K11431" t="inlineStr">
        <is>
          <t>1 - 3 Năm</t>
        </is>
      </c>
      <c r="L11431" s="8">
        <f>HYPERLINK("https://careerviet.vn/vi/tim-viec-lam/hoa-vien-2d-noi-that.35C69EF7.html","Xem chi tiết")</f>
        <v/>
      </c>
    </row>
    <row r="11432">
      <c r="B11432" s="9" t="n">
        <v>11430</v>
      </c>
      <c r="C11432" s="10" t="inlineStr">
        <is>
          <t>[Quận 7] Tuyển Nhân Viên Bán Hàng - Chuỗi Cửa Hàng Bán Lẻ Thiết Bị Sức Khỏe</t>
        </is>
      </c>
      <c r="D11432" s="10" t="inlineStr">
        <is>
          <t>Công Ty TNHH XNK Phát Triển Đông Dương</t>
        </is>
      </c>
      <c r="E11432" s="10" t="inlineStr">
        <is>
          <t>Lương:12 Tr - 20 Tr VND</t>
        </is>
      </c>
      <c r="F11432" s="10" t="inlineStr">
        <is>
          <t>Hồ Chí Minh</t>
        </is>
      </c>
      <c r="G11432" s="10" t="inlineStr">
        <is>
          <t>31-03-2026</t>
        </is>
      </c>
      <c r="H11432" s="10" t="inlineStr">
        <is>
          <t>31/03/2026</t>
        </is>
      </c>
      <c r="I11432" s="10" t="inlineStr">
        <is>
          <t>17/03/2026</t>
        </is>
      </c>
      <c r="J11432" s="10" t="inlineStr">
        <is>
          <t>Bán lẻ / Bán sỉ, Bán hàng / Kinh doanh, Tư vấn</t>
        </is>
      </c>
      <c r="K11432" s="10" t="inlineStr">
        <is>
          <t>N/A</t>
        </is>
      </c>
      <c r="L11432" s="11">
        <f>HYPERLINK("https://careerviet.vn/vi/tim-viec-lam/quan-7-tuyen-nhan-vien-ban-hang-chuoi-cua-hang-ban-le-thiet-bi-suc-khoe.35C6A0A4.html","Xem chi tiết")</f>
        <v/>
      </c>
      <c r="M11432" s="10" t="n"/>
    </row>
    <row r="11433">
      <c r="B11433" s="7" t="n">
        <v>11431</v>
      </c>
      <c r="C11433" t="inlineStr">
        <is>
          <t>Branding Officer</t>
        </is>
      </c>
      <c r="D11433" t="inlineStr">
        <is>
          <t>CÔNG TY TNHH VARD VŨNG TÀU</t>
        </is>
      </c>
      <c r="E11433" t="inlineStr">
        <is>
          <t>Lương:Cạnh tranh</t>
        </is>
      </c>
      <c r="F11433" t="inlineStr">
        <is>
          <t>Bà Rịa - Vũng Tàu</t>
        </is>
      </c>
      <c r="G11433" t="inlineStr">
        <is>
          <t>27-03-2026</t>
        </is>
      </c>
      <c r="H11433" t="inlineStr">
        <is>
          <t>27/03/2026</t>
        </is>
      </c>
      <c r="I11433" t="inlineStr">
        <is>
          <t>17/03/2026</t>
        </is>
      </c>
      <c r="J11433" t="inlineStr">
        <is>
          <t>Tiếp thị trực tuyến, Truyền hình / Báo chí / Biên tập, Quảng cáo / Đối ngoại / Truyền Thông</t>
        </is>
      </c>
      <c r="K11433" t="inlineStr">
        <is>
          <t>Trên 2 Năm</t>
        </is>
      </c>
      <c r="L11433" s="8">
        <f>HYPERLINK("https://careerviet.vn/vi/tim-viec-lam/branding-officer.35C69FAE.html","Xem chi tiết")</f>
        <v/>
      </c>
    </row>
    <row r="11434">
      <c r="B11434" s="9" t="n">
        <v>11432</v>
      </c>
      <c r="C11434" s="10" t="inlineStr">
        <is>
          <t>SALE STAFF</t>
        </is>
      </c>
      <c r="D11434" s="10" t="inlineStr">
        <is>
          <t>HR Vietnam’s ESS Client</t>
        </is>
      </c>
      <c r="E11434" s="10" t="inlineStr">
        <is>
          <t>Lương:Cạnh tranh</t>
        </is>
      </c>
      <c r="F11434" s="10" t="inlineStr">
        <is>
          <t>Hồ Chí Minh</t>
        </is>
      </c>
      <c r="G11434" s="10" t="inlineStr">
        <is>
          <t>29-03-2026</t>
        </is>
      </c>
      <c r="H11434" s="10" t="inlineStr">
        <is>
          <t>29/03/2026</t>
        </is>
      </c>
      <c r="I11434" s="10" t="inlineStr">
        <is>
          <t>17/03/2026</t>
        </is>
      </c>
      <c r="J11434" s="10" t="inlineStr">
        <is>
          <t>Bán hàng / Kinh doanh, Vận chuyển / Giao nhận / Kho vận</t>
        </is>
      </c>
      <c r="K11434" s="10" t="inlineStr">
        <is>
          <t>2 - 3 Năm</t>
        </is>
      </c>
      <c r="L11434" s="11">
        <f>HYPERLINK("https://careerviet.vn/vi/tim-viec-lam/sale-staff.35C69E72.html","Xem chi tiết")</f>
        <v/>
      </c>
      <c r="M11434" s="10" t="n"/>
    </row>
    <row r="11435">
      <c r="B11435" s="7" t="n">
        <v>11433</v>
      </c>
      <c r="C11435" t="inlineStr">
        <is>
          <t>NHÂN SỰ TỔNG HỢP</t>
        </is>
      </c>
      <c r="D11435" t="inlineStr">
        <is>
          <t>Công ty TNHH Thiết bị Khoa học Kỹ thuật Việt Huy</t>
        </is>
      </c>
      <c r="E11435" t="inlineStr">
        <is>
          <t>Lương:10 Tr - 15 Tr VND</t>
        </is>
      </c>
      <c r="F11435" t="inlineStr">
        <is>
          <t>Hồ Chí Minh</t>
        </is>
      </c>
      <c r="G11435" t="inlineStr">
        <is>
          <t>31-03-2026</t>
        </is>
      </c>
      <c r="H11435" t="inlineStr">
        <is>
          <t>31/03/2026</t>
        </is>
      </c>
      <c r="I11435" t="inlineStr">
        <is>
          <t>17/03/2026</t>
        </is>
      </c>
      <c r="J11435" t="inlineStr">
        <is>
          <t>Y tế / Chăm sóc sức khỏe / Thẩm mỹ / Làm đẹp, Hành chính / Thư ký, Nhân sự</t>
        </is>
      </c>
      <c r="K11435" t="inlineStr">
        <is>
          <t>2 - 5 Năm</t>
        </is>
      </c>
      <c r="L11435" s="8">
        <f>HYPERLINK("https://careerviet.vn/vi/tim-viec-lam/nhan-su-tong-hop.35C69DE3.html","Xem chi tiết")</f>
        <v/>
      </c>
    </row>
    <row r="11436">
      <c r="B11436" s="9" t="n">
        <v>11434</v>
      </c>
      <c r="C11436" s="10" t="inlineStr">
        <is>
          <t>Digital Marketing Specialist</t>
        </is>
      </c>
      <c r="D11436" s="10" t="inlineStr">
        <is>
          <t>CÔNG TY TNHH TAESAM GLOBAL</t>
        </is>
      </c>
      <c r="E11436" s="10" t="inlineStr">
        <is>
          <t>Lương:10 Tr - 15 Tr VND</t>
        </is>
      </c>
      <c r="F11436" s="10" t="inlineStr">
        <is>
          <t>Hồ Chí Minh</t>
        </is>
      </c>
      <c r="G11436" s="10" t="inlineStr">
        <is>
          <t>31-03-2026</t>
        </is>
      </c>
      <c r="H11436" s="10" t="inlineStr">
        <is>
          <t>31/03/2026</t>
        </is>
      </c>
      <c r="I11436" s="10" t="inlineStr">
        <is>
          <t>17/03/2026</t>
        </is>
      </c>
      <c r="J11436" s="10" t="inlineStr">
        <is>
          <t>Tiếp thị / Marketing, Thương mại điện tử, Tiếp thị trực tuyến</t>
        </is>
      </c>
      <c r="K11436" s="10" t="inlineStr">
        <is>
          <t>2 - 3 Năm</t>
        </is>
      </c>
      <c r="L11436" s="11">
        <f>HYPERLINK("https://careerviet.vn/vi/tim-viec-lam/digital-marketing-specialist.35C69ECF.html","Xem chi tiết")</f>
        <v/>
      </c>
      <c r="M11436" s="10" t="n"/>
    </row>
    <row r="11437">
      <c r="B11437" s="7" t="n">
        <v>11435</v>
      </c>
      <c r="C11437" t="inlineStr">
        <is>
          <t>Nhân Viên Kinh Doanh B2B</t>
        </is>
      </c>
      <c r="D11437" t="inlineStr">
        <is>
          <t>Trung Tâm Kiểm Định Hiệu Chuẩn Đo Lường Miền Nam</t>
        </is>
      </c>
      <c r="E11437" t="inlineStr">
        <is>
          <t>Lương:8 Tr - 20 Tr VND</t>
        </is>
      </c>
      <c r="F11437" t="inlineStr">
        <is>
          <t>Hồ Chí MinhĐà Nẵng</t>
        </is>
      </c>
      <c r="G11437" t="inlineStr">
        <is>
          <t>31-03-2026</t>
        </is>
      </c>
      <c r="H11437" t="inlineStr">
        <is>
          <t>31/03/2026</t>
        </is>
      </c>
      <c r="I11437" t="inlineStr">
        <is>
          <t>17/03/2026</t>
        </is>
      </c>
      <c r="J11437" t="inlineStr">
        <is>
          <t>Tiếp thị / Marketing, Tư vấn, Dịch vụ khách hàng</t>
        </is>
      </c>
      <c r="K11437" t="inlineStr">
        <is>
          <t>Trên 1 Năm</t>
        </is>
      </c>
      <c r="L11437" s="8">
        <f>HYPERLINK("https://careerviet.vn/vi/tim-viec-lam/nhan-vien-kinh-doanh-b2b.35C69E50.html","Xem chi tiết")</f>
        <v/>
      </c>
    </row>
    <row r="11438">
      <c r="B11438" s="9" t="n">
        <v>11436</v>
      </c>
      <c r="C11438" s="10" t="inlineStr">
        <is>
          <t>Nhân viên Bảo trì @ Oakwood Residence Saigon D7</t>
        </is>
      </c>
      <c r="D11438" s="10" t="inlineStr">
        <is>
          <t>SOMERSET SERVICED RESIDENCE</t>
        </is>
      </c>
      <c r="E11438" s="10" t="inlineStr">
        <is>
          <t>Lương:Cạnh tranh</t>
        </is>
      </c>
      <c r="F11438" s="10" t="inlineStr">
        <is>
          <t>Hồ Chí Minh</t>
        </is>
      </c>
      <c r="G11438" s="10" t="inlineStr">
        <is>
          <t>28-03-2026</t>
        </is>
      </c>
      <c r="H11438" s="10" t="inlineStr">
        <is>
          <t>28/03/2026</t>
        </is>
      </c>
      <c r="I11438" s="10" t="inlineStr">
        <is>
          <t>17/03/2026</t>
        </is>
      </c>
      <c r="J11438" s="10" t="inlineStr">
        <is>
          <t>Bảo trì / Sửa chữa, Nhà hàng / Khách sạn, Bất động sản</t>
        </is>
      </c>
      <c r="K11438" s="10" t="inlineStr">
        <is>
          <t>Chưa có kinh nghiệm</t>
        </is>
      </c>
      <c r="L11438" s="11">
        <f>HYPERLINK("https://careerviet.vn/vi/tim-viec-lam/nhan-vien-bao-tri-oakwood-residence-saigon-d7.35C69FB5.html","Xem chi tiết")</f>
        <v/>
      </c>
      <c r="M11438" s="10" t="n"/>
    </row>
    <row r="11439">
      <c r="B11439" s="7" t="n">
        <v>11437</v>
      </c>
      <c r="C11439" t="inlineStr">
        <is>
          <t>IT Engineer</t>
        </is>
      </c>
      <c r="D11439" t="inlineStr">
        <is>
          <t>OMV Co., Ltd</t>
        </is>
      </c>
      <c r="E11439" t="inlineStr">
        <is>
          <t>Lương:Cạnh tranh</t>
        </is>
      </c>
      <c r="F11439" t="inlineStr">
        <is>
          <t>Long An</t>
        </is>
      </c>
      <c r="G11439" t="inlineStr">
        <is>
          <t>25-03-2026</t>
        </is>
      </c>
      <c r="H11439" t="inlineStr">
        <is>
          <t>25/03/2026</t>
        </is>
      </c>
      <c r="I11439" t="inlineStr">
        <is>
          <t>17/03/2026</t>
        </is>
      </c>
      <c r="J11439" t="inlineStr">
        <is>
          <t>CNTT - Phần cứng / Mạng</t>
        </is>
      </c>
      <c r="K11439" t="inlineStr">
        <is>
          <t>3 - 5 Năm</t>
        </is>
      </c>
      <c r="L11439" s="8">
        <f>HYPERLINK("https://careerviet.vn/vi/tim-viec-lam/it-engineer.35C69D58.html","Xem chi tiết")</f>
        <v/>
      </c>
    </row>
    <row r="11440">
      <c r="B11440" s="9" t="n">
        <v>11438</v>
      </c>
      <c r="C11440" s="10" t="inlineStr">
        <is>
          <t>Nhân Viên Sales Tư Vấn Khóa Học (Vũng Tàu)</t>
        </is>
      </c>
      <c r="D11440" s="10" t="inlineStr">
        <is>
          <t>Cổ Phần Quốc Tế Anh Văn Hội Việt Mỹ (VUS)</t>
        </is>
      </c>
      <c r="E11440" s="10" t="inlineStr">
        <is>
          <t>Lương:8 Tr - 12 Tr VND</t>
        </is>
      </c>
      <c r="F11440" s="10" t="inlineStr">
        <is>
          <t>Bà Rịa - Vũng Tàu</t>
        </is>
      </c>
      <c r="G11440" s="10" t="inlineStr">
        <is>
          <t>27-03-2026</t>
        </is>
      </c>
      <c r="H11440" s="10" t="inlineStr">
        <is>
          <t>27/03/2026</t>
        </is>
      </c>
      <c r="I11440" s="10" t="inlineStr">
        <is>
          <t>17/03/2026</t>
        </is>
      </c>
      <c r="J11440" s="10" t="inlineStr">
        <is>
          <t>Bán hàng / Kinh doanh, Dịch vụ khách hàng, Giáo dục / Đào tạo</t>
        </is>
      </c>
      <c r="K11440" s="10" t="inlineStr">
        <is>
          <t>1 - 2 Năm</t>
        </is>
      </c>
      <c r="L11440" s="11">
        <f>HYPERLINK("https://careerviet.vn/vi/tim-viec-lam/nhan-vien-sales-tu-van-khoa-hoc-vung-tau.35C69F8A.html","Xem chi tiết")</f>
        <v/>
      </c>
      <c r="M11440" s="10" t="n"/>
    </row>
    <row r="11441">
      <c r="B11441" s="7" t="n">
        <v>11439</v>
      </c>
      <c r="C11441" t="inlineStr">
        <is>
          <t>Chuyên viên chính Tài trợ Thương Mại</t>
        </is>
      </c>
      <c r="D11441" t="inlineStr">
        <is>
          <t>Ngân hàng TMCP Thịnh vượng và Phát triển - PGBank</t>
        </is>
      </c>
      <c r="E11441" t="inlineStr">
        <is>
          <t>Lương:10 Tr - 25 Tr VND</t>
        </is>
      </c>
      <c r="F11441" t="inlineStr">
        <is>
          <t>Hà Nội</t>
        </is>
      </c>
      <c r="G11441" t="inlineStr">
        <is>
          <t>12-03-2026</t>
        </is>
      </c>
      <c r="H11441" t="inlineStr">
        <is>
          <t>06/03/2026</t>
        </is>
      </c>
      <c r="I11441" t="inlineStr">
        <is>
          <t>17/03/2026</t>
        </is>
      </c>
      <c r="J11441" t="inlineStr">
        <is>
          <t>Ngân hàng</t>
        </is>
      </c>
      <c r="K11441" t="inlineStr">
        <is>
          <t>N/A</t>
        </is>
      </c>
      <c r="L11441" s="8">
        <f>HYPERLINK("https://careerviet.vn/vi/tim-viec-lam/chuyen-vien-chinh-tai-tro-thuong-mai.35C69F27.html","Xem chi tiết")</f>
        <v/>
      </c>
    </row>
    <row r="11442">
      <c r="B11442" s="9" t="n">
        <v>11440</v>
      </c>
      <c r="C11442" s="10" t="inlineStr">
        <is>
          <t>Kế toán tổng hợp [XHOME Quảng Ninh]</t>
        </is>
      </c>
      <c r="D11442" s="10" t="inlineStr">
        <is>
          <t>Công ty CP XHOME Việt Nam</t>
        </is>
      </c>
      <c r="E11442" s="10" t="inlineStr">
        <is>
          <t>Lương:10 Tr - 12 Tr VND</t>
        </is>
      </c>
      <c r="F11442" s="10" t="inlineStr">
        <is>
          <t>Quảng Ninh</t>
        </is>
      </c>
      <c r="G11442" s="10" t="inlineStr">
        <is>
          <t>30-03-2026</t>
        </is>
      </c>
      <c r="H11442" s="10" t="inlineStr">
        <is>
          <t>30/03/2026</t>
        </is>
      </c>
      <c r="I11442" s="10" t="inlineStr">
        <is>
          <t>17/03/2026</t>
        </is>
      </c>
      <c r="J11442" s="10" t="inlineStr">
        <is>
          <t>Kế toán / Kiểm toán</t>
        </is>
      </c>
      <c r="K11442" s="10" t="inlineStr">
        <is>
          <t>3 - 4 Năm</t>
        </is>
      </c>
      <c r="L11442" s="11">
        <f>HYPERLINK("https://careerviet.vn/vi/tim-viec-lam/ke-toan-tong-hop-xhome-quang-ninh.35C69FBA.html","Xem chi tiết")</f>
        <v/>
      </c>
      <c r="M11442" s="10" t="n"/>
    </row>
    <row r="11443">
      <c r="B11443" s="7" t="n">
        <v>11441</v>
      </c>
      <c r="C11443" t="inlineStr">
        <is>
          <t>Trưởng phòng sản xuất (Mảng đóng tàu du thuyền)</t>
        </is>
      </c>
      <c r="D11443" t="inlineStr">
        <is>
          <t>Công Ty Cổ Phần Quốc Tế Sơn Hà</t>
        </is>
      </c>
      <c r="E11443" t="inlineStr">
        <is>
          <t>Lương:Cạnh tranh</t>
        </is>
      </c>
      <c r="F11443" t="inlineStr">
        <is>
          <t>Bắc Ninh</t>
        </is>
      </c>
      <c r="G11443" t="inlineStr">
        <is>
          <t>29-03-2026</t>
        </is>
      </c>
      <c r="H11443" t="inlineStr">
        <is>
          <t>29/03/2026</t>
        </is>
      </c>
      <c r="I11443" t="inlineStr">
        <is>
          <t>17/03/2026</t>
        </is>
      </c>
      <c r="J11443" t="inlineStr">
        <is>
          <t>Cơ khí / Ô tô / Tự động hóa, Sản xuất / Vận hành sản xuất</t>
        </is>
      </c>
      <c r="K11443" t="inlineStr">
        <is>
          <t>2 - 3 Năm</t>
        </is>
      </c>
      <c r="L11443" s="8">
        <f>HYPERLINK("https://careerviet.vn/vi/tim-viec-lam/truong-phong-san-xuat-mang-dong-tau-du-thuyen.35C69EBD.html","Xem chi tiết")</f>
        <v/>
      </c>
    </row>
    <row r="11444">
      <c r="B11444" s="9" t="n">
        <v>11442</v>
      </c>
      <c r="C11444" s="10" t="inlineStr">
        <is>
          <t>Nhân Viên Triển Khai Cơ Điện - MEP [XHOME SG]</t>
        </is>
      </c>
      <c r="D11444" s="10" t="inlineStr">
        <is>
          <t>Công ty CP XHOME Việt Nam</t>
        </is>
      </c>
      <c r="E11444" s="10" t="inlineStr">
        <is>
          <t>Lương:20 Tr - 25 Tr VND</t>
        </is>
      </c>
      <c r="F11444" s="10" t="inlineStr">
        <is>
          <t>Hồ Chí Minh</t>
        </is>
      </c>
      <c r="G11444" s="10" t="inlineStr">
        <is>
          <t>30-03-2026</t>
        </is>
      </c>
      <c r="H11444" s="10" t="inlineStr">
        <is>
          <t>30/03/2026</t>
        </is>
      </c>
      <c r="I11444" s="10" t="inlineStr">
        <is>
          <t>17/03/2026</t>
        </is>
      </c>
      <c r="J11444" s="10" t="inlineStr">
        <is>
          <t>Điện / Điện tử / Điện lạnh / Điện công nghiệp, Xây dựng, Nội ngoại thất</t>
        </is>
      </c>
      <c r="K11444" s="10" t="inlineStr">
        <is>
          <t>2 - 3 Năm</t>
        </is>
      </c>
      <c r="L11444" s="11">
        <f>HYPERLINK("https://careerviet.vn/vi/tim-viec-lam/nhan-vien-trien-khai-co-dien-mep-xhome-sg.35C6A010.html","Xem chi tiết")</f>
        <v/>
      </c>
      <c r="M11444" s="10" t="n"/>
    </row>
    <row r="11445">
      <c r="B11445" s="7" t="n">
        <v>11443</v>
      </c>
      <c r="C11445" t="inlineStr">
        <is>
          <t>Senior Transformation Project Management Specialist</t>
        </is>
      </c>
      <c r="D11445" t="inlineStr">
        <is>
          <t>FE CREDIT</t>
        </is>
      </c>
      <c r="E11445" t="inlineStr">
        <is>
          <t>Lương:Cạnh tranh</t>
        </is>
      </c>
      <c r="F11445" t="inlineStr">
        <is>
          <t>Hồ Chí Minh</t>
        </is>
      </c>
      <c r="G11445" t="inlineStr">
        <is>
          <t>27-03-2026</t>
        </is>
      </c>
      <c r="H11445" t="inlineStr">
        <is>
          <t>27/03/2026</t>
        </is>
      </c>
      <c r="I11445" t="inlineStr">
        <is>
          <t>17/03/2026</t>
        </is>
      </c>
      <c r="J11445" t="inlineStr">
        <is>
          <t>Ngân hàng, Tài chính / Đầu tư, Quản lý điều hành</t>
        </is>
      </c>
      <c r="K11445" t="inlineStr">
        <is>
          <t>3 - 5 Năm</t>
        </is>
      </c>
      <c r="L11445" s="8">
        <f>HYPERLINK("https://careerviet.vn/vi/tim-viec-lam/senior-transformation-project-management-specialist.35C6A08E.html","Xem chi tiết")</f>
        <v/>
      </c>
    </row>
    <row r="11446">
      <c r="B11446" s="9" t="n">
        <v>11444</v>
      </c>
      <c r="C11446" s="10" t="inlineStr">
        <is>
          <t>Trợ lý Phó Chủ tịch</t>
        </is>
      </c>
      <c r="D11446" s="10" t="inlineStr">
        <is>
          <t>CÔNG TY TNHH CÔNG NGHỆ VNTRIP</t>
        </is>
      </c>
      <c r="E11446" s="10" t="inlineStr">
        <is>
          <t>Lương:1.000 - 1.500 USD</t>
        </is>
      </c>
      <c r="F11446" s="10" t="inlineStr">
        <is>
          <t>Hà Nội</t>
        </is>
      </c>
      <c r="G11446" s="10" t="inlineStr">
        <is>
          <t>31-03-2026</t>
        </is>
      </c>
      <c r="H11446" s="10" t="inlineStr">
        <is>
          <t>31/03/2026</t>
        </is>
      </c>
      <c r="I11446" s="10" t="inlineStr">
        <is>
          <t>17/03/2026</t>
        </is>
      </c>
      <c r="J11446" s="10" t="inlineStr">
        <is>
          <t>Giáo dục / Đào tạo, Hành chính / Thư ký, Biên phiên dịch</t>
        </is>
      </c>
      <c r="K11446" s="10" t="inlineStr">
        <is>
          <t>Trên 3 Năm</t>
        </is>
      </c>
      <c r="L11446" s="11">
        <f>HYPERLINK("https://careerviet.vn/vi/tim-viec-lam/tro-ly-pho-chu-tich.35C6A077.html","Xem chi tiết")</f>
        <v/>
      </c>
      <c r="M11446" s="10" t="n"/>
    </row>
    <row r="11447">
      <c r="B11447" s="7" t="n">
        <v>11445</v>
      </c>
      <c r="C11447" t="inlineStr">
        <is>
          <t>Chuyên viên C&amp;B (chủ đầu tư BĐS)</t>
        </is>
      </c>
      <c r="D11447" t="inlineStr">
        <is>
          <t>Tập Đoàn Tân Á Đại Thành</t>
        </is>
      </c>
      <c r="E11447" t="inlineStr">
        <is>
          <t>Lương:Trên 15 Tr VND</t>
        </is>
      </c>
      <c r="F11447" t="inlineStr">
        <is>
          <t>Hà Nội</t>
        </is>
      </c>
      <c r="G11447" t="inlineStr">
        <is>
          <t>29-03-2026</t>
        </is>
      </c>
      <c r="H11447" t="inlineStr">
        <is>
          <t>29/03/2026</t>
        </is>
      </c>
      <c r="I11447" t="inlineStr">
        <is>
          <t>17/03/2026</t>
        </is>
      </c>
      <c r="J11447" t="inlineStr">
        <is>
          <t>Nhân sự, Hành chính / Thư ký, Luật / Pháp lý</t>
        </is>
      </c>
      <c r="K11447" t="inlineStr">
        <is>
          <t>Trên 3 Năm</t>
        </is>
      </c>
      <c r="L11447" s="8">
        <f>HYPERLINK("https://careerviet.vn/vi/tim-viec-lam/chuyen-vien-c-b-chu-dau-tu-bds.35C6A0C4.html","Xem chi tiết")</f>
        <v/>
      </c>
    </row>
    <row r="11448">
      <c r="B11448" s="9" t="n">
        <v>11446</v>
      </c>
      <c r="C11448" s="10" t="inlineStr">
        <is>
          <t>NHÂN VIÊN CHĂM SÓC KHÁCH HÀNG DỰ ÁN TECHCOMBANK</t>
        </is>
      </c>
      <c r="D11448" s="10" t="inlineStr">
        <is>
          <t>BellSystem24-Việt Nam</t>
        </is>
      </c>
      <c r="E11448" s="10" t="inlineStr">
        <is>
          <t>Lương:7,5 Tr - 9 Tr VND</t>
        </is>
      </c>
      <c r="F11448" s="10" t="inlineStr">
        <is>
          <t>Hà Nội</t>
        </is>
      </c>
      <c r="G11448" s="10" t="inlineStr">
        <is>
          <t>25-03-2026</t>
        </is>
      </c>
      <c r="H11448" s="10" t="inlineStr">
        <is>
          <t>25/03/2026</t>
        </is>
      </c>
      <c r="I11448" s="10" t="inlineStr">
        <is>
          <t>17/03/2026</t>
        </is>
      </c>
      <c r="J11448" s="10" t="inlineStr">
        <is>
          <t>Mới tốt nghiệp / Thực tập, Quản lý chất lượng (QA/QC), Y tế / Chăm sóc sức khỏe / Thẩm mỹ / Làm đẹp</t>
        </is>
      </c>
      <c r="K11448" s="10" t="inlineStr">
        <is>
          <t>N/A</t>
        </is>
      </c>
      <c r="L11448" s="11">
        <f>HYPERLINK("https://careerviet.vn/vi/tim-viec-lam/nhan-vien-cham-soc-khach-hang-du-an-techcombank.35C69DB5.html","Xem chi tiết")</f>
        <v/>
      </c>
      <c r="M11448" s="10" t="n"/>
    </row>
    <row r="11449">
      <c r="B11449" s="7" t="n">
        <v>11447</v>
      </c>
      <c r="C11449" t="inlineStr">
        <is>
          <t>Nhân viên Bán Hàng kính mắt</t>
        </is>
      </c>
      <c r="D11449" t="inlineStr">
        <is>
          <t>CÔNG TY CỔ PHẦN ULTD THỊNH PHÁT</t>
        </is>
      </c>
      <c r="E11449" t="inlineStr">
        <is>
          <t>Lương:6 Tr - 10 Tr VND</t>
        </is>
      </c>
      <c r="F11449" t="inlineStr">
        <is>
          <t>Hồ Chí Minh</t>
        </is>
      </c>
      <c r="G11449" t="inlineStr">
        <is>
          <t>27-03-2026</t>
        </is>
      </c>
      <c r="H11449" t="inlineStr">
        <is>
          <t>27/03/2026</t>
        </is>
      </c>
      <c r="I11449" t="inlineStr">
        <is>
          <t>17/03/2026</t>
        </is>
      </c>
      <c r="J11449" t="inlineStr">
        <is>
          <t>Bán lẻ / Bán sỉ, Dệt may / Da giày / Thời trang</t>
        </is>
      </c>
      <c r="K11449" t="inlineStr">
        <is>
          <t>N/A</t>
        </is>
      </c>
      <c r="L11449" s="8">
        <f>HYPERLINK("https://careerviet.vn/vi/tim-viec-lam/nhan-vien-ban-hang-kinh-mat.35C644BB.html","Xem chi tiết")</f>
        <v/>
      </c>
    </row>
    <row r="11450">
      <c r="B11450" s="9" t="n">
        <v>11448</v>
      </c>
      <c r="C11450" s="10" t="inlineStr">
        <is>
          <t>Nhân viên CAD (Xhome Việt Nam)</t>
        </is>
      </c>
      <c r="D11450" s="10" t="inlineStr">
        <is>
          <t>Công ty CP XHOME Việt Nam</t>
        </is>
      </c>
      <c r="E11450" s="10" t="inlineStr">
        <is>
          <t>Lương:20 Tr - 25 Tr VND</t>
        </is>
      </c>
      <c r="F11450" s="10" t="inlineStr">
        <is>
          <t>Hà Nội</t>
        </is>
      </c>
      <c r="G11450" s="10" t="inlineStr">
        <is>
          <t>30-03-2026</t>
        </is>
      </c>
      <c r="H11450" s="10" t="inlineStr">
        <is>
          <t>30/03/2026</t>
        </is>
      </c>
      <c r="I11450" s="10" t="inlineStr">
        <is>
          <t>17/03/2026</t>
        </is>
      </c>
      <c r="J11450" s="10" t="inlineStr">
        <is>
          <t>Nội ngoại thất</t>
        </is>
      </c>
      <c r="K11450" s="10" t="inlineStr">
        <is>
          <t>2 - 3 Năm</t>
        </is>
      </c>
      <c r="L11450" s="11">
        <f>HYPERLINK("https://careerviet.vn/vi/tim-viec-lam/nhan-vien-cad-xhome-viet-nam.35C69FD7.html","Xem chi tiết")</f>
        <v/>
      </c>
      <c r="M11450" s="10" t="n"/>
    </row>
    <row r="11451">
      <c r="B11451" s="7" t="n">
        <v>11449</v>
      </c>
      <c r="C11451" t="inlineStr">
        <is>
          <t>Kế toán nội bộ doanh nghiệp XNK - Thương mại B2B</t>
        </is>
      </c>
      <c r="D11451" t="inlineStr">
        <is>
          <t>CÔNG TY TNHH XUẤT NHẬP KHẨU MT GROUP</t>
        </is>
      </c>
      <c r="E11451" t="inlineStr">
        <is>
          <t>Lương:9 Tr - 13 Tr VND</t>
        </is>
      </c>
      <c r="F11451" t="inlineStr">
        <is>
          <t>Hồ Chí Minh</t>
        </is>
      </c>
      <c r="G11451" t="inlineStr">
        <is>
          <t>31-03-2026</t>
        </is>
      </c>
      <c r="H11451" t="inlineStr">
        <is>
          <t>31/03/2026</t>
        </is>
      </c>
      <c r="I11451" t="inlineStr">
        <is>
          <t>17/03/2026</t>
        </is>
      </c>
      <c r="J11451" t="inlineStr">
        <is>
          <t>Kế toán / Kiểm toán, Tài chính / Đầu tư</t>
        </is>
      </c>
      <c r="K11451" t="inlineStr">
        <is>
          <t>1 - 3 Năm</t>
        </is>
      </c>
      <c r="L11451" s="8">
        <f>HYPERLINK("https://careerviet.vn/vi/tim-viec-lam/ke-toan-noi-bo-doanh-nghiep-xnk-thuong-mai-b2b.35C69D16.html","Xem chi tiết")</f>
        <v/>
      </c>
    </row>
    <row r="11452">
      <c r="B11452" s="9" t="n">
        <v>11450</v>
      </c>
      <c r="C11452" s="10" t="inlineStr">
        <is>
          <t>Nhân viên kinh doanh</t>
        </is>
      </c>
      <c r="D11452" s="10" t="inlineStr">
        <is>
          <t>Công ty Cổ phần Đồng phục Phương Thảo</t>
        </is>
      </c>
      <c r="E11452" s="10" t="inlineStr">
        <is>
          <t>Lương:10 Tr - 30 Tr VND</t>
        </is>
      </c>
      <c r="F11452" s="10" t="inlineStr">
        <is>
          <t>Hà Nội</t>
        </is>
      </c>
      <c r="G11452" s="10" t="inlineStr">
        <is>
          <t>31-03-2026</t>
        </is>
      </c>
      <c r="H11452" s="10" t="inlineStr">
        <is>
          <t>31/03/2026</t>
        </is>
      </c>
      <c r="I11452" s="10" t="inlineStr">
        <is>
          <t>17/03/2026</t>
        </is>
      </c>
      <c r="J11452" s="10" t="inlineStr">
        <is>
          <t>Bán hàng / Kinh doanh, Dệt may / Da giày / Thời trang</t>
        </is>
      </c>
      <c r="K11452" s="10" t="inlineStr">
        <is>
          <t>2 - 3 Năm</t>
        </is>
      </c>
      <c r="L11452" s="11">
        <f>HYPERLINK("https://careerviet.vn/vi/tim-viec-lam/nhan-vien-kinh-doanh.35C6A0B7.html","Xem chi tiết")</f>
        <v/>
      </c>
      <c r="M11452" s="10" t="n"/>
    </row>
    <row r="11453">
      <c r="B11453" s="7" t="n">
        <v>11451</v>
      </c>
      <c r="C11453" t="inlineStr">
        <is>
          <t>Team Leader Merchandiser (Baby OTC &amp; Derma Beauty Category)</t>
        </is>
      </c>
      <c r="D11453" t="inlineStr">
        <is>
          <t>Concung.com - Con Cung Joint Stock Company</t>
        </is>
      </c>
      <c r="E11453" t="inlineStr">
        <is>
          <t>Lương:Cạnh tranh</t>
        </is>
      </c>
      <c r="F11453" t="inlineStr">
        <is>
          <t>Hồ Chí Minh</t>
        </is>
      </c>
      <c r="G11453" t="inlineStr">
        <is>
          <t>31-03-2026</t>
        </is>
      </c>
      <c r="H11453" t="inlineStr">
        <is>
          <t>31/03/2026</t>
        </is>
      </c>
      <c r="I11453" t="inlineStr">
        <is>
          <t>17/03/2026</t>
        </is>
      </c>
      <c r="J11453" t="inlineStr">
        <is>
          <t>Bán lẻ / Bán sỉ, Dược phẩm/ Hóa Mỹ Phẩm, Hàng gia dụng / Chăm sóc cá nhân</t>
        </is>
      </c>
      <c r="K11453" t="inlineStr">
        <is>
          <t>Trên 3 Năm</t>
        </is>
      </c>
      <c r="L11453" s="8">
        <f>HYPERLINK("https://careerviet.vn/vi/tim-viec-lam/team-leader-merchandiser-baby-otc-derma-beauty-category.35C69D61.html","Xem chi tiết")</f>
        <v/>
      </c>
    </row>
    <row r="11454">
      <c r="B11454" s="9" t="n">
        <v>11452</v>
      </c>
      <c r="C11454" s="10" t="inlineStr">
        <is>
          <t>Visual Merchandiser Executive</t>
        </is>
      </c>
      <c r="D11454" s="10" t="inlineStr">
        <is>
          <t>CÔNG TY CỔ PHẦN VUA NỆM</t>
        </is>
      </c>
      <c r="E11454" s="10" t="inlineStr">
        <is>
          <t>Lương:15 Tr - 18 Tr VND</t>
        </is>
      </c>
      <c r="F11454" s="10" t="inlineStr">
        <is>
          <t>Hồ Chí Minh</t>
        </is>
      </c>
      <c r="G11454" s="10" t="inlineStr">
        <is>
          <t>31-03-2026</t>
        </is>
      </c>
      <c r="H11454" s="10" t="inlineStr">
        <is>
          <t>31/03/2026</t>
        </is>
      </c>
      <c r="I11454" s="10" t="inlineStr">
        <is>
          <t>17/03/2026</t>
        </is>
      </c>
      <c r="J11454" s="10" t="inlineStr">
        <is>
          <t>Tiếp thị / Marketing, Bán lẻ / Bán sỉ</t>
        </is>
      </c>
      <c r="K11454" s="10" t="inlineStr">
        <is>
          <t>1 - 2 Năm</t>
        </is>
      </c>
      <c r="L11454" s="11">
        <f>HYPERLINK("https://careerviet.vn/vi/tim-viec-lam/visual-merchandiser-executive.35C69F1C.html","Xem chi tiết")</f>
        <v/>
      </c>
      <c r="M11454" s="10" t="n"/>
    </row>
    <row r="11455">
      <c r="B11455" s="7" t="n">
        <v>11453</v>
      </c>
      <c r="C11455" t="inlineStr">
        <is>
          <t>Nhân  Viên Kinh Doanh</t>
        </is>
      </c>
      <c r="D11455" t="inlineStr">
        <is>
          <t>Tập đoàn Nhựa Bình Thuận</t>
        </is>
      </c>
      <c r="E11455" t="inlineStr">
        <is>
          <t>Lương:9 Tr - 30 Tr VND</t>
        </is>
      </c>
      <c r="F11455" t="inlineStr">
        <is>
          <t>Hà Nội</t>
        </is>
      </c>
      <c r="G11455" t="inlineStr">
        <is>
          <t>31-03-2026</t>
        </is>
      </c>
      <c r="H11455" t="inlineStr">
        <is>
          <t>31/03/2026</t>
        </is>
      </c>
      <c r="I11455" t="inlineStr">
        <is>
          <t>17/03/2026</t>
        </is>
      </c>
      <c r="J11455" t="inlineStr">
        <is>
          <t>Bán hàng / Kinh doanh</t>
        </is>
      </c>
      <c r="K11455" t="inlineStr">
        <is>
          <t>N/A</t>
        </is>
      </c>
      <c r="L11455" s="8">
        <f>HYPERLINK("https://careerviet.vn/vi/tim-viec-lam/nhan-vien-kinh-doanh.35C69DB4.html","Xem chi tiết")</f>
        <v/>
      </c>
    </row>
    <row r="11456">
      <c r="B11456" s="9" t="n">
        <v>11454</v>
      </c>
      <c r="C11456" s="10" t="inlineStr">
        <is>
          <t>Đại diện thương mại - Đà Nẵng - Quảng Nam</t>
        </is>
      </c>
      <c r="D11456" s="10" t="inlineStr">
        <is>
          <t>Công ty Cổ Phần Tập Đoàn Điện Quang</t>
        </is>
      </c>
      <c r="E11456" s="10" t="inlineStr">
        <is>
          <t>Lương:Cạnh tranh</t>
        </is>
      </c>
      <c r="F11456" s="10" t="inlineStr">
        <is>
          <t>Đà NẵngQuảng Nam</t>
        </is>
      </c>
      <c r="G11456" s="10" t="inlineStr">
        <is>
          <t>29-03-2026</t>
        </is>
      </c>
      <c r="H11456" s="10" t="inlineStr">
        <is>
          <t>29/03/2026</t>
        </is>
      </c>
      <c r="I11456" s="10" t="inlineStr">
        <is>
          <t>17/03/2026</t>
        </is>
      </c>
      <c r="J11456" s="10" t="inlineStr">
        <is>
          <t>Dịch vụ khách hàng, Bán lẻ / Bán sỉ, Bán hàng / Kinh doanh</t>
        </is>
      </c>
      <c r="K11456" s="10" t="inlineStr">
        <is>
          <t>1 - 2 Năm</t>
        </is>
      </c>
      <c r="L11456" s="11">
        <f>HYPERLINK("https://careerviet.vn/vi/tim-viec-lam/dai-dien-thuong-mai-da-nang-quang-nam.35C69F38.html","Xem chi tiết")</f>
        <v/>
      </c>
      <c r="M11456" s="10" t="n"/>
    </row>
    <row r="11457">
      <c r="B11457" s="7" t="n">
        <v>11455</v>
      </c>
      <c r="C11457" t="inlineStr">
        <is>
          <t>Chuyên Viên Thu Mua</t>
        </is>
      </c>
      <c r="D11457" t="inlineStr">
        <is>
          <t>CÔNG TY TNHH CÔNG NGHỆ DEWIN</t>
        </is>
      </c>
      <c r="E11457" t="inlineStr">
        <is>
          <t>Lương:15 Tr - 25 Tr VND</t>
        </is>
      </c>
      <c r="F11457" t="inlineStr">
        <is>
          <t>Hồ Chí Minh</t>
        </is>
      </c>
      <c r="G11457" t="inlineStr">
        <is>
          <t>26-03-2026</t>
        </is>
      </c>
      <c r="H11457" t="inlineStr">
        <is>
          <t>26/03/2026</t>
        </is>
      </c>
      <c r="I11457" t="inlineStr">
        <is>
          <t>17/03/2026</t>
        </is>
      </c>
      <c r="J11457" t="inlineStr">
        <is>
          <t>Thu mua / Vật tư, Nội ngoại thất, Cơ khí / Ô tô / Tự động hóa</t>
        </is>
      </c>
      <c r="K11457" t="inlineStr">
        <is>
          <t>Trên 2 Năm</t>
        </is>
      </c>
      <c r="L11457" s="8">
        <f>HYPERLINK("https://careerviet.vn/vi/tim-viec-lam/chuyen-vien-thu-mua.35C69DEA.html","Xem chi tiết")</f>
        <v/>
      </c>
    </row>
    <row r="11458">
      <c r="B11458" s="9" t="n">
        <v>11456</v>
      </c>
      <c r="C11458" s="10" t="inlineStr">
        <is>
          <t>Giám đốc Kinh doanh - Ngành Phụ kiện ô tô</t>
        </is>
      </c>
      <c r="D11458" s="10" t="inlineStr">
        <is>
          <t>CÔNG TY TNHH XUẤT NHẬP KHẨU MT GROUP</t>
        </is>
      </c>
      <c r="E11458" s="10" t="inlineStr">
        <is>
          <t>Lương:25 Tr - 50 Tr VND</t>
        </is>
      </c>
      <c r="F11458" s="10" t="inlineStr">
        <is>
          <t>Hồ Chí Minh</t>
        </is>
      </c>
      <c r="G11458" s="10" t="inlineStr">
        <is>
          <t>30-04-2026</t>
        </is>
      </c>
      <c r="H11458" s="10" t="inlineStr">
        <is>
          <t>30/04/2026</t>
        </is>
      </c>
      <c r="I11458" s="10" t="inlineStr">
        <is>
          <t>17/03/2026</t>
        </is>
      </c>
      <c r="J11458" s="10" t="inlineStr">
        <is>
          <t>Bán hàng / Kinh doanh, Bán lẻ / Bán sỉ, Cơ khí / Ô tô / Tự động hóa</t>
        </is>
      </c>
      <c r="K11458" s="10" t="inlineStr">
        <is>
          <t>5 - 10 Năm</t>
        </is>
      </c>
      <c r="L11458" s="11">
        <f>HYPERLINK("https://careerviet.vn/vi/tim-viec-lam/giam-doc-kinh-doanh-nganh-phu-kien-o-to.35C69D17.html","Xem chi tiết")</f>
        <v/>
      </c>
      <c r="M11458" s="10" t="n"/>
    </row>
    <row r="11459">
      <c r="B11459" s="7" t="n">
        <v>11457</v>
      </c>
      <c r="C11459" t="inlineStr">
        <is>
          <t>Kỹ sư Giám sát Xây dựng</t>
        </is>
      </c>
      <c r="D11459" t="inlineStr">
        <is>
          <t>Công ty cổ phần Tập đoàn Danko</t>
        </is>
      </c>
      <c r="E11459" t="inlineStr">
        <is>
          <t>Lương:25 Tr - 30 Tr VND</t>
        </is>
      </c>
      <c r="F11459" t="inlineStr">
        <is>
          <t>Bắc GiangThái NguyênTuyên Quang</t>
        </is>
      </c>
      <c r="G11459" t="inlineStr">
        <is>
          <t>31-03-2026</t>
        </is>
      </c>
      <c r="H11459" t="inlineStr">
        <is>
          <t>31/03/2026</t>
        </is>
      </c>
      <c r="I11459" t="inlineStr">
        <is>
          <t>17/03/2026</t>
        </is>
      </c>
      <c r="J11459" t="inlineStr">
        <is>
          <t>Xây dựng</t>
        </is>
      </c>
      <c r="K11459" t="inlineStr">
        <is>
          <t>5 - 10 Năm</t>
        </is>
      </c>
      <c r="L11459" s="8">
        <f>HYPERLINK("https://careerviet.vn/vi/tim-viec-lam/ky-su-giam-sat-xay-dung.35C69E29.html","Xem chi tiết")</f>
        <v/>
      </c>
    </row>
    <row r="11460">
      <c r="B11460" s="9" t="n">
        <v>11458</v>
      </c>
      <c r="C11460" s="10" t="inlineStr">
        <is>
          <t>Machinery &amp; Pipe Engineer</t>
        </is>
      </c>
      <c r="D11460" s="10" t="inlineStr">
        <is>
          <t>CÔNG TY TNHH VARD VŨNG TÀU</t>
        </is>
      </c>
      <c r="E11460" s="10" t="inlineStr">
        <is>
          <t>Lương:Cạnh tranh</t>
        </is>
      </c>
      <c r="F11460" s="10" t="inlineStr">
        <is>
          <t>Bà Rịa - Vũng Tàu</t>
        </is>
      </c>
      <c r="G11460" s="10" t="inlineStr">
        <is>
          <t>27-03-2026</t>
        </is>
      </c>
      <c r="H11460" s="10" t="inlineStr">
        <is>
          <t>27/03/2026</t>
        </is>
      </c>
      <c r="I11460" s="10" t="inlineStr">
        <is>
          <t>17/03/2026</t>
        </is>
      </c>
      <c r="J11460" s="10" t="inlineStr">
        <is>
          <t>Hàng hải, Cơ khí / Ô tô / Tự động hóa, Bảo trì / Sửa chữa</t>
        </is>
      </c>
      <c r="K11460" s="10" t="inlineStr">
        <is>
          <t>N/A</t>
        </is>
      </c>
      <c r="L11460" s="11">
        <f>HYPERLINK("https://careerviet.vn/vi/tim-viec-lam/machinery-pipe-engineer.35C69F4A.html","Xem chi tiết")</f>
        <v/>
      </c>
      <c r="M11460" s="10" t="n"/>
    </row>
    <row r="11461">
      <c r="B11461" s="7" t="n">
        <v>11459</v>
      </c>
      <c r="C11461" t="inlineStr">
        <is>
          <t>Chuyên Viên Xây Dựng &amp; Bảo Trì Chuỗi Siêu Thị (Nam Định)</t>
        </is>
      </c>
      <c r="D11461" t="inlineStr">
        <is>
          <t>Concung.com - Con Cung Joint Stock Company</t>
        </is>
      </c>
      <c r="E11461" t="inlineStr">
        <is>
          <t>Lương:Cạnh tranh</t>
        </is>
      </c>
      <c r="F11461" t="inlineStr">
        <is>
          <t>Nam Định</t>
        </is>
      </c>
      <c r="G11461" t="inlineStr">
        <is>
          <t>24-03-2026</t>
        </is>
      </c>
      <c r="H11461" t="inlineStr">
        <is>
          <t>24/03/2026</t>
        </is>
      </c>
      <c r="I11461" t="inlineStr">
        <is>
          <t>17/03/2026</t>
        </is>
      </c>
      <c r="J11461" t="inlineStr">
        <is>
          <t>Bảo trì / Sửa chữa, Kiến trúc, Xây dựng</t>
        </is>
      </c>
      <c r="K11461" t="inlineStr">
        <is>
          <t>1 - 3 Năm</t>
        </is>
      </c>
      <c r="L11461" s="8">
        <f>HYPERLINK("https://careerviet.vn/vi/tim-viec-lam/chuyen-vien-xay-dung-bao-tri-chuoi-sieu-thi-nam-dinh.35C69EDB.html","Xem chi tiết")</f>
        <v/>
      </c>
    </row>
    <row r="11462">
      <c r="B11462" s="9" t="n">
        <v>11460</v>
      </c>
      <c r="C11462" s="10" t="inlineStr">
        <is>
          <t>Thư Ký Hành Chính</t>
        </is>
      </c>
      <c r="D11462" s="10" t="inlineStr">
        <is>
          <t>Techtronic Industries Vietnam Manufacturing Company Limited</t>
        </is>
      </c>
      <c r="E11462" s="10" t="inlineStr">
        <is>
          <t>Lương:Cạnh tranh</t>
        </is>
      </c>
      <c r="F11462" s="10" t="inlineStr">
        <is>
          <t>Hồ Chí Minh</t>
        </is>
      </c>
      <c r="G11462" s="10" t="inlineStr">
        <is>
          <t>29-03-2026</t>
        </is>
      </c>
      <c r="H11462" s="10" t="inlineStr">
        <is>
          <t>29/03/2026</t>
        </is>
      </c>
      <c r="I11462" s="10" t="inlineStr">
        <is>
          <t>17/03/2026</t>
        </is>
      </c>
      <c r="J11462" s="10" t="inlineStr">
        <is>
          <t>Hành chính / Thư ký, Nhân sự</t>
        </is>
      </c>
      <c r="K11462" s="10" t="inlineStr">
        <is>
          <t>1 - 2 Năm</t>
        </is>
      </c>
      <c r="L11462" s="11">
        <f>HYPERLINK("https://careerviet.vn/vi/tim-viec-lam/thu-ky-hanh-chinh.35C69FEB.html","Xem chi tiết")</f>
        <v/>
      </c>
      <c r="M11462" s="10" t="n"/>
    </row>
    <row r="11463">
      <c r="B11463" s="7" t="n">
        <v>11461</v>
      </c>
      <c r="C11463" t="inlineStr">
        <is>
          <t>Nhân viên Thủ kho</t>
        </is>
      </c>
      <c r="D11463" t="inlineStr">
        <is>
          <t>CÔNG TY TNHH TRỐNG ĐỒNG VIỆT NAM</t>
        </is>
      </c>
      <c r="E11463" t="inlineStr">
        <is>
          <t>Lương:13 Tr - 15 Tr VND</t>
        </is>
      </c>
      <c r="F11463" t="inlineStr">
        <is>
          <t>Hà Nội</t>
        </is>
      </c>
      <c r="G11463" t="inlineStr">
        <is>
          <t>31-03-2026</t>
        </is>
      </c>
      <c r="H11463" t="inlineStr">
        <is>
          <t>31/03/2026</t>
        </is>
      </c>
      <c r="I11463" t="inlineStr">
        <is>
          <t>17/03/2026</t>
        </is>
      </c>
      <c r="J11463" t="inlineStr">
        <is>
          <t>Kế toán / Kiểm toán, Bán hàng / Kinh doanh, Bán lẻ / Bán sỉ</t>
        </is>
      </c>
      <c r="K11463" t="inlineStr">
        <is>
          <t>1 - 2 Năm</t>
        </is>
      </c>
      <c r="L11463" s="8">
        <f>HYPERLINK("https://careerviet.vn/vi/tim-viec-lam/nhan-vien-thu-kho.35C69DF9.html","Xem chi tiết")</f>
        <v/>
      </c>
    </row>
    <row r="11464">
      <c r="B11464" s="9" t="n">
        <v>11462</v>
      </c>
      <c r="C11464" s="10" t="inlineStr">
        <is>
          <t>Nhân viên thiết kế rập (Pattern All Level)</t>
        </is>
      </c>
      <c r="D11464" s="10" t="inlineStr">
        <is>
          <t>CÔNG TY TNHH HWASEUNG VINA</t>
        </is>
      </c>
      <c r="E11464" s="10" t="inlineStr">
        <is>
          <t>Lương:Cạnh tranh</t>
        </is>
      </c>
      <c r="F11464" s="10" t="inlineStr">
        <is>
          <t>Đồng NaiHồ Chí MinhBình Dương</t>
        </is>
      </c>
      <c r="G11464" s="10" t="inlineStr">
        <is>
          <t>31-03-2026</t>
        </is>
      </c>
      <c r="H11464" s="10" t="inlineStr">
        <is>
          <t>31/03/2026</t>
        </is>
      </c>
      <c r="I11464" s="10" t="inlineStr">
        <is>
          <t>17/03/2026</t>
        </is>
      </c>
      <c r="J11464" s="10" t="inlineStr">
        <is>
          <t>Mỹ thuật / Nghệ thuật / Thiết kế, Dệt may / Da giày / Thời trang, Mới tốt nghiệp / Thực tập</t>
        </is>
      </c>
      <c r="K11464" s="10" t="inlineStr">
        <is>
          <t>1 - 10 Năm</t>
        </is>
      </c>
      <c r="L11464" s="11">
        <f>HYPERLINK("https://careerviet.vn/vi/tim-viec-lam/nhan-vien-thiet-ke-rap-pattern-all-level.35C69DF0.html","Xem chi tiết")</f>
        <v/>
      </c>
      <c r="M11464" s="10" t="n"/>
    </row>
    <row r="11465">
      <c r="B11465" s="7" t="n">
        <v>11463</v>
      </c>
      <c r="C11465" t="inlineStr">
        <is>
          <t>Seaonics Commissioning And Service Engineer</t>
        </is>
      </c>
      <c r="D11465" t="inlineStr">
        <is>
          <t>CÔNG TY TNHH VARD VŨNG TÀU</t>
        </is>
      </c>
      <c r="E11465" t="inlineStr">
        <is>
          <t>Lương:Cạnh tranh</t>
        </is>
      </c>
      <c r="F11465" t="inlineStr">
        <is>
          <t>Bà Rịa - Vũng Tàu</t>
        </is>
      </c>
      <c r="G11465" t="inlineStr">
        <is>
          <t>27-03-2026</t>
        </is>
      </c>
      <c r="H11465" t="inlineStr">
        <is>
          <t>27/03/2026</t>
        </is>
      </c>
      <c r="I11465" t="inlineStr">
        <is>
          <t>17/03/2026</t>
        </is>
      </c>
      <c r="J11465" t="inlineStr">
        <is>
          <t>Hàng hải, Cơ khí / Ô tô / Tự động hóa, Điện / Điện tử / Điện lạnh / Điện công nghiệp</t>
        </is>
      </c>
      <c r="K11465" t="inlineStr">
        <is>
          <t>N/A</t>
        </is>
      </c>
      <c r="L11465" s="8">
        <f>HYPERLINK("https://careerviet.vn/vi/tim-viec-lam/seaonics-commissioning-and-service-engineer.35C69F5A.html","Xem chi tiết")</f>
        <v/>
      </c>
    </row>
    <row r="11466">
      <c r="B11466" s="9" t="n">
        <v>11464</v>
      </c>
      <c r="C11466" s="10" t="inlineStr">
        <is>
          <t>KỸ SƯ XÂY DỰNG/ KỸ SƯ HIỆN TRƯỜNG</t>
        </is>
      </c>
      <c r="D11466" s="10" t="inlineStr">
        <is>
          <t>Công ty TNHH Xây Dựng Lê Thy</t>
        </is>
      </c>
      <c r="E11466" s="10" t="inlineStr">
        <is>
          <t>Lương:Cạnh tranh</t>
        </is>
      </c>
      <c r="F11466" s="10" t="inlineStr">
        <is>
          <t>Bình DươngKhánh Hòa</t>
        </is>
      </c>
      <c r="G11466" s="10" t="inlineStr">
        <is>
          <t>31-03-2026</t>
        </is>
      </c>
      <c r="H11466" s="10" t="inlineStr">
        <is>
          <t>31/03/2026</t>
        </is>
      </c>
      <c r="I11466" s="10" t="inlineStr">
        <is>
          <t>17/03/2026</t>
        </is>
      </c>
      <c r="J11466" s="10" t="inlineStr">
        <is>
          <t>Xây dựng</t>
        </is>
      </c>
      <c r="K11466" s="10" t="inlineStr">
        <is>
          <t>2 - 3 Năm</t>
        </is>
      </c>
      <c r="L11466" s="11">
        <f>HYPERLINK("https://careerviet.vn/vi/tim-viec-lam/ky-su-xay-dung-ky-su-hien-truong.35C69CB8.html","Xem chi tiết")</f>
        <v/>
      </c>
      <c r="M11466" s="10" t="n"/>
    </row>
    <row r="11467">
      <c r="B11467" s="7" t="n">
        <v>11465</v>
      </c>
      <c r="C11467" t="inlineStr">
        <is>
          <t>Kế toán Dự án</t>
        </is>
      </c>
      <c r="D11467" t="inlineStr">
        <is>
          <t>Công ty cổ phần Tập đoàn Danko</t>
        </is>
      </c>
      <c r="E11467" t="inlineStr">
        <is>
          <t>Lương:9 Tr - 15 Tr VND</t>
        </is>
      </c>
      <c r="F11467" t="inlineStr">
        <is>
          <t>Tuyên QuangBắc GiangThanh Hóa</t>
        </is>
      </c>
      <c r="G11467" t="inlineStr">
        <is>
          <t>30-03-2026</t>
        </is>
      </c>
      <c r="H11467" t="inlineStr">
        <is>
          <t>30/03/2026</t>
        </is>
      </c>
      <c r="I11467" t="inlineStr">
        <is>
          <t>17/03/2026</t>
        </is>
      </c>
      <c r="J11467" t="inlineStr">
        <is>
          <t>Kế toán / Kiểm toán</t>
        </is>
      </c>
      <c r="K11467" t="inlineStr">
        <is>
          <t>Trên 3 Năm</t>
        </is>
      </c>
      <c r="L11467" s="8">
        <f>HYPERLINK("https://careerviet.vn/vi/tim-viec-lam/ke-toan-du-an.35C69D99.html","Xem chi tiết")</f>
        <v/>
      </c>
    </row>
    <row r="11468">
      <c r="B11468" s="9" t="n">
        <v>11466</v>
      </c>
      <c r="C11468" s="10" t="inlineStr">
        <is>
          <t>Chuyên Viên Ecommerce (Mảng Khách sạn - Nghỉ dưỡng)</t>
        </is>
      </c>
      <c r="D11468" s="10" t="inlineStr">
        <is>
          <t>CÔNG TY CỔ PHẦN TẬP ĐOÀN ONSEN FUJI</t>
        </is>
      </c>
      <c r="E11468" s="10" t="inlineStr">
        <is>
          <t>Lương:Cạnh tranh</t>
        </is>
      </c>
      <c r="F11468" s="10" t="inlineStr">
        <is>
          <t>Hà Nội</t>
        </is>
      </c>
      <c r="G11468" s="10" t="inlineStr">
        <is>
          <t>31-03-2026</t>
        </is>
      </c>
      <c r="H11468" s="10" t="inlineStr">
        <is>
          <t>31/03/2026</t>
        </is>
      </c>
      <c r="I11468" s="10" t="inlineStr">
        <is>
          <t>17/03/2026</t>
        </is>
      </c>
      <c r="J11468" s="10" t="inlineStr">
        <is>
          <t>Bán hàng / Kinh doanh, Du lịch, Nhà hàng / Khách sạn</t>
        </is>
      </c>
      <c r="K11468" s="10" t="inlineStr">
        <is>
          <t>1 - 2 Năm</t>
        </is>
      </c>
      <c r="L11468" s="11">
        <f>HYPERLINK("https://careerviet.vn/vi/tim-viec-lam/chuyen-vien-ecommerce-mang-khach-san-nghi-duong.35C69FDE.html","Xem chi tiết")</f>
        <v/>
      </c>
      <c r="M11468" s="10" t="n"/>
    </row>
    <row r="11469">
      <c r="B11469" s="7" t="n">
        <v>11467</v>
      </c>
      <c r="C11469" t="inlineStr">
        <is>
          <t>Chuyên Viên OTA (Mảng Khách sạn - Nghỉ dưỡng)</t>
        </is>
      </c>
      <c r="D11469" t="inlineStr">
        <is>
          <t>CÔNG TY CỔ PHẦN TẬP ĐOÀN ONSEN FUJI</t>
        </is>
      </c>
      <c r="E11469" t="inlineStr">
        <is>
          <t>Lương:Cạnh tranh</t>
        </is>
      </c>
      <c r="F11469" t="inlineStr">
        <is>
          <t>Hà Nội</t>
        </is>
      </c>
      <c r="G11469" t="inlineStr">
        <is>
          <t>31-03-2026</t>
        </is>
      </c>
      <c r="H11469" t="inlineStr">
        <is>
          <t>31/03/2026</t>
        </is>
      </c>
      <c r="I11469" t="inlineStr">
        <is>
          <t>17/03/2026</t>
        </is>
      </c>
      <c r="J11469" t="inlineStr">
        <is>
          <t>Du lịch</t>
        </is>
      </c>
      <c r="K11469" t="inlineStr">
        <is>
          <t>1 - 2 Năm</t>
        </is>
      </c>
      <c r="L11469" s="8">
        <f>HYPERLINK("https://careerviet.vn/vi/tim-viec-lam/chuyen-vien-ota-mang-khach-san-nghi-duong.35C6A03A.html","Xem chi tiết")</f>
        <v/>
      </c>
    </row>
    <row r="11470">
      <c r="B11470" s="9" t="n">
        <v>11468</v>
      </c>
      <c r="C11470" s="10" t="inlineStr">
        <is>
          <t>Cửa hàng trưởng</t>
        </is>
      </c>
      <c r="D11470" s="10" t="inlineStr">
        <is>
          <t>CÔNG TY CỔ PHẦN ULTD THỊNH PHÁT</t>
        </is>
      </c>
      <c r="E11470" s="10" t="inlineStr">
        <is>
          <t>Lương:9 Tr - 12 Tr VND</t>
        </is>
      </c>
      <c r="F11470" s="10" t="inlineStr">
        <is>
          <t>Nghệ An</t>
        </is>
      </c>
      <c r="G11470" s="10" t="inlineStr">
        <is>
          <t>31-03-2026</t>
        </is>
      </c>
      <c r="H11470" s="10" t="inlineStr">
        <is>
          <t>31/03/2026</t>
        </is>
      </c>
      <c r="I11470" s="10" t="inlineStr">
        <is>
          <t>17/03/2026</t>
        </is>
      </c>
      <c r="J11470" s="10" t="inlineStr">
        <is>
          <t>Bán lẻ / Bán sỉ, Bán hàng / Kinh doanh</t>
        </is>
      </c>
      <c r="K11470" s="10" t="inlineStr">
        <is>
          <t>1 - 2 Năm</t>
        </is>
      </c>
      <c r="L11470" s="11">
        <f>HYPERLINK("https://careerviet.vn/vi/tim-viec-lam/cua-hang-truong.35C6A09B.html","Xem chi tiết")</f>
        <v/>
      </c>
      <c r="M11470" s="10" t="n"/>
    </row>
    <row r="11471">
      <c r="B11471" s="7" t="n">
        <v>11469</v>
      </c>
      <c r="C11471" t="inlineStr">
        <is>
          <t>Trưởng ban Đấu thầu</t>
        </is>
      </c>
      <c r="D11471" t="inlineStr">
        <is>
          <t>Công ty cổ phần Tập đoàn Danko</t>
        </is>
      </c>
      <c r="E11471" t="inlineStr">
        <is>
          <t>Lương:60 Tr - 80 Tr VND</t>
        </is>
      </c>
      <c r="F11471" t="inlineStr">
        <is>
          <t>Hà Nội</t>
        </is>
      </c>
      <c r="G11471" t="inlineStr">
        <is>
          <t>31-03-2026</t>
        </is>
      </c>
      <c r="H11471" t="inlineStr">
        <is>
          <t>31/03/2026</t>
        </is>
      </c>
      <c r="I11471" t="inlineStr">
        <is>
          <t>17/03/2026</t>
        </is>
      </c>
      <c r="J11471" t="inlineStr">
        <is>
          <t>Xây dựng, Bất động sản</t>
        </is>
      </c>
      <c r="K11471" t="inlineStr">
        <is>
          <t>Trên 10 Năm</t>
        </is>
      </c>
      <c r="L11471" s="8">
        <f>HYPERLINK("https://careerviet.vn/vi/tim-viec-lam/truong-ban-dau-thau.35C69E1B.html","Xem chi tiết")</f>
        <v/>
      </c>
    </row>
    <row r="11472">
      <c r="B11472" s="9" t="n">
        <v>11470</v>
      </c>
      <c r="C11472" s="10" t="inlineStr">
        <is>
          <t>Giám Sát Thi Công Nội Thất</t>
        </is>
      </c>
      <c r="D11472" s="10" t="inlineStr">
        <is>
          <t>CÔNG TY CỔ PHẦN THIẾT KẾ NỘI THẤT ICON</t>
        </is>
      </c>
      <c r="E11472" s="10" t="inlineStr">
        <is>
          <t>Lương:10 Tr - 15 Tr VND</t>
        </is>
      </c>
      <c r="F11472" s="10" t="inlineStr">
        <is>
          <t>Hồ Chí Minh</t>
        </is>
      </c>
      <c r="G11472" s="10" t="inlineStr">
        <is>
          <t>31-03-2026</t>
        </is>
      </c>
      <c r="H11472" s="10" t="inlineStr">
        <is>
          <t>31/03/2026</t>
        </is>
      </c>
      <c r="I11472" s="10" t="inlineStr">
        <is>
          <t>17/03/2026</t>
        </is>
      </c>
      <c r="J11472" s="10" t="inlineStr">
        <is>
          <t>Nội ngoại thất, Xây dựng</t>
        </is>
      </c>
      <c r="K11472" s="10" t="inlineStr">
        <is>
          <t>1 - 3 Năm</t>
        </is>
      </c>
      <c r="L11472" s="11">
        <f>HYPERLINK("https://careerviet.vn/vi/tim-viec-lam/giam-sat-thi-cong-noi-that.35C69F88.html","Xem chi tiết")</f>
        <v/>
      </c>
      <c r="M11472" s="10" t="n"/>
    </row>
    <row r="11473">
      <c r="B11473" s="7" t="n">
        <v>11471</v>
      </c>
      <c r="C11473" t="inlineStr">
        <is>
          <t>Kế toán thuế doanh nghiệp XNK - Thương mại B2B</t>
        </is>
      </c>
      <c r="D11473" t="inlineStr">
        <is>
          <t>CÔNG TY TNHH XUẤT NHẬP KHẨU MT GROUP</t>
        </is>
      </c>
      <c r="E11473" t="inlineStr">
        <is>
          <t>Lương:12 Tr - 15 Tr VND</t>
        </is>
      </c>
      <c r="F11473" t="inlineStr">
        <is>
          <t>Hồ Chí Minh</t>
        </is>
      </c>
      <c r="G11473" t="inlineStr">
        <is>
          <t>30-04-2026</t>
        </is>
      </c>
      <c r="H11473" t="inlineStr">
        <is>
          <t>30/04/2026</t>
        </is>
      </c>
      <c r="I11473" t="inlineStr">
        <is>
          <t>17/03/2026</t>
        </is>
      </c>
      <c r="J11473" t="inlineStr">
        <is>
          <t>Kế toán / Kiểm toán</t>
        </is>
      </c>
      <c r="K11473" t="inlineStr">
        <is>
          <t>2 - 4 Năm</t>
        </is>
      </c>
      <c r="L11473" s="8">
        <f>HYPERLINK("https://careerviet.vn/vi/tim-viec-lam/ke-toan-thue-doanh-nghiep-xnk-thuong-mai-b2b.35C69D15.html","Xem chi tiết")</f>
        <v/>
      </c>
    </row>
    <row r="11474">
      <c r="B11474" s="9" t="n">
        <v>11472</v>
      </c>
      <c r="C11474" s="10" t="inlineStr">
        <is>
          <t>Kế Toán Tổng Hợp (Mảng Khách sạn - Nghỉ dưỡng)</t>
        </is>
      </c>
      <c r="D11474" s="10" t="inlineStr">
        <is>
          <t>CÔNG TY CỔ PHẦN TẬP ĐOÀN ONSEN FUJI</t>
        </is>
      </c>
      <c r="E11474" s="10" t="inlineStr">
        <is>
          <t>Lương:15 Tr - 20 Tr VND</t>
        </is>
      </c>
      <c r="F11474" s="10" t="inlineStr">
        <is>
          <t>Hà Nội</t>
        </is>
      </c>
      <c r="G11474" s="10" t="inlineStr">
        <is>
          <t>01-04-2026</t>
        </is>
      </c>
      <c r="H11474" s="10" t="inlineStr">
        <is>
          <t>01/04/2026</t>
        </is>
      </c>
      <c r="I11474" s="10" t="inlineStr">
        <is>
          <t>17/03/2026</t>
        </is>
      </c>
      <c r="J11474" s="10" t="inlineStr">
        <is>
          <t>Kế toán / Kiểm toán</t>
        </is>
      </c>
      <c r="K11474" s="10" t="inlineStr">
        <is>
          <t>3 - 5 Năm</t>
        </is>
      </c>
      <c r="L11474" s="11">
        <f>HYPERLINK("https://careerviet.vn/vi/tim-viec-lam/ke-toan-tong-hop-mang-khach-san-nghi-duong.35C69F7C.html","Xem chi tiết")</f>
        <v/>
      </c>
      <c r="M11474" s="10" t="n"/>
    </row>
    <row r="11475">
      <c r="B11475" s="7" t="n">
        <v>11473</v>
      </c>
      <c r="C11475" t="inlineStr">
        <is>
          <t>Nhân Viên Sales Tư Vấn Khóa Học (Long Thành, Bến Cát)</t>
        </is>
      </c>
      <c r="D11475" t="inlineStr">
        <is>
          <t>Cổ Phần Quốc Tế Anh Văn Hội Việt Mỹ (VUS)</t>
        </is>
      </c>
      <c r="E11475" t="inlineStr">
        <is>
          <t>Lương:8 Tr - 12 Tr VND</t>
        </is>
      </c>
      <c r="F11475" t="inlineStr">
        <is>
          <t>Đồng NaiBình Dương</t>
        </is>
      </c>
      <c r="G11475" t="inlineStr">
        <is>
          <t>27-03-2026</t>
        </is>
      </c>
      <c r="H11475" t="inlineStr">
        <is>
          <t>27/03/2026</t>
        </is>
      </c>
      <c r="I11475" t="inlineStr">
        <is>
          <t>17/03/2026</t>
        </is>
      </c>
      <c r="J11475" t="inlineStr">
        <is>
          <t>Bán hàng / Kinh doanh, Giáo dục / Đào tạo, Dịch vụ khách hàng</t>
        </is>
      </c>
      <c r="K11475" t="inlineStr">
        <is>
          <t>1 - 2 Năm</t>
        </is>
      </c>
      <c r="L11475" s="8">
        <f>HYPERLINK("https://careerviet.vn/vi/tim-viec-lam/nhan-vien-sales-tu-van-khoa-hoc-long-thanh-ben-cat.35C69F9A.html","Xem chi tiết")</f>
        <v/>
      </c>
    </row>
    <row r="11476">
      <c r="B11476" s="9" t="n">
        <v>11474</v>
      </c>
      <c r="C11476" s="10" t="inlineStr">
        <is>
          <t>Nhân viên Buồng phòng @ Oakwood Residence Saigon</t>
        </is>
      </c>
      <c r="D11476" s="10" t="inlineStr">
        <is>
          <t>SOMERSET SERVICED RESIDENCE</t>
        </is>
      </c>
      <c r="E11476" s="10" t="inlineStr">
        <is>
          <t>Lương:Cạnh tranh</t>
        </is>
      </c>
      <c r="F11476" s="10" t="inlineStr">
        <is>
          <t>Hồ Chí Minh</t>
        </is>
      </c>
      <c r="G11476" s="10" t="inlineStr">
        <is>
          <t>28-03-2026</t>
        </is>
      </c>
      <c r="H11476" s="10" t="inlineStr">
        <is>
          <t>28/03/2026</t>
        </is>
      </c>
      <c r="I11476" s="10" t="inlineStr">
        <is>
          <t>17/03/2026</t>
        </is>
      </c>
      <c r="J11476" s="10" t="inlineStr">
        <is>
          <t>Nhà hàng / Khách sạn</t>
        </is>
      </c>
      <c r="K11476" s="10" t="inlineStr">
        <is>
          <t>Chưa có kinh nghiệm</t>
        </is>
      </c>
      <c r="L11476" s="11">
        <f>HYPERLINK("https://careerviet.vn/vi/tim-viec-lam/nhan-vien-buong-phong-oakwood-residence-saigon.35C69FC5.html","Xem chi tiết")</f>
        <v/>
      </c>
      <c r="M11476" s="10" t="n"/>
    </row>
    <row r="11477">
      <c r="B11477" s="7" t="n">
        <v>11475</v>
      </c>
      <c r="C11477" t="inlineStr">
        <is>
          <t>HCM_Nhân viên tìm kiếm, phát triển mặt bằng kinh doanh</t>
        </is>
      </c>
      <c r="D11477" t="inlineStr">
        <is>
          <t>THỜI TRANG LINING_CÔNG TY TNHH QUỐC TẾ HẢI LONG</t>
        </is>
      </c>
      <c r="E11477" t="inlineStr">
        <is>
          <t>Lương:15 Tr - 20 Tr VND</t>
        </is>
      </c>
      <c r="F11477" t="inlineStr">
        <is>
          <t>Hồ Chí Minh</t>
        </is>
      </c>
      <c r="G11477" t="inlineStr">
        <is>
          <t>28-03-2026</t>
        </is>
      </c>
      <c r="H11477" t="inlineStr">
        <is>
          <t>28/03/2026</t>
        </is>
      </c>
      <c r="I11477" t="inlineStr">
        <is>
          <t>17/03/2026</t>
        </is>
      </c>
      <c r="J11477" t="inlineStr">
        <is>
          <t>Tiếp thị / Marketing, Tư vấn, Bất động sản</t>
        </is>
      </c>
      <c r="K11477" t="inlineStr">
        <is>
          <t>3 - 5 Năm</t>
        </is>
      </c>
      <c r="L11477" s="8">
        <f>HYPERLINK("https://careerviet.vn/vi/tim-viec-lam/hcm_nhan-vien-tim-kiem-phat-trien-mat-bang-kinh-doanh.35C69F09.html","Xem chi tiết")</f>
        <v/>
      </c>
    </row>
    <row r="11478">
      <c r="B11478" s="9" t="n">
        <v>11476</v>
      </c>
      <c r="C11478" s="10" t="inlineStr">
        <is>
          <t>[LONG WANG] BẾP TRƯỞNG / BẾP PHÓ</t>
        </is>
      </c>
      <c r="D11478" s="10" t="inlineStr">
        <is>
          <t>Công Ty Cổ Phần Tầm Nhìn Quốc Tế Aladdin</t>
        </is>
      </c>
      <c r="E11478" s="10" t="inlineStr">
        <is>
          <t>Lương:12 Tr - 20 Tr VND</t>
        </is>
      </c>
      <c r="F11478" s="10" t="inlineStr">
        <is>
          <t>Hồ Chí MinhKhánh Hòa</t>
        </is>
      </c>
      <c r="G11478" s="10" t="inlineStr">
        <is>
          <t>27-03-2026</t>
        </is>
      </c>
      <c r="H11478" s="10" t="inlineStr">
        <is>
          <t>27/03/2026</t>
        </is>
      </c>
      <c r="I11478" s="10" t="inlineStr">
        <is>
          <t>17/03/2026</t>
        </is>
      </c>
      <c r="J11478" s="10" t="inlineStr">
        <is>
          <t>Thực phẩm &amp; Đồ uống, Nhà hàng / Khách sạn, Quản lý điều hành</t>
        </is>
      </c>
      <c r="K11478" s="10" t="inlineStr">
        <is>
          <t>Trên 2 Năm</t>
        </is>
      </c>
      <c r="L11478" s="11">
        <f>HYPERLINK("https://careerviet.vn/vi/tim-viec-lam/long-wang-bep-truong-bep-pho.35C6A0FD.html","Xem chi tiết")</f>
        <v/>
      </c>
      <c r="M11478" s="10" t="n"/>
    </row>
    <row r="11479">
      <c r="B11479" s="7" t="n">
        <v>11477</v>
      </c>
      <c r="C11479" t="inlineStr">
        <is>
          <t>Nhân Viên Sáng Tạo Nội Dung / Content Creator</t>
        </is>
      </c>
      <c r="D11479" t="inlineStr">
        <is>
          <t>JoyMall - Nhà Phân Phối Locknlock</t>
        </is>
      </c>
      <c r="E11479" t="inlineStr">
        <is>
          <t>Lương:7 Tr - 12 Tr VND</t>
        </is>
      </c>
      <c r="F11479" t="inlineStr">
        <is>
          <t>Hồ Chí Minh</t>
        </is>
      </c>
      <c r="G11479" t="inlineStr">
        <is>
          <t>31-03-2026</t>
        </is>
      </c>
      <c r="H11479" t="inlineStr">
        <is>
          <t>31/03/2026</t>
        </is>
      </c>
      <c r="I11479" t="inlineStr">
        <is>
          <t>17/03/2026</t>
        </is>
      </c>
      <c r="J11479" t="inlineStr">
        <is>
          <t>Tiếp thị / Marketing, Quảng cáo / Đối ngoại / Truyền Thông, Truyền hình / Báo chí / Biên tập</t>
        </is>
      </c>
      <c r="K11479" t="inlineStr">
        <is>
          <t>Lên đến 1 Năm</t>
        </is>
      </c>
      <c r="L11479" s="8">
        <f>HYPERLINK("https://careerviet.vn/vi/tim-viec-lam/nhan-vien-sang-tao-noi-dung-content-creator.35C69FE6.html","Xem chi tiết")</f>
        <v/>
      </c>
    </row>
    <row r="11480">
      <c r="B11480" s="9" t="n">
        <v>11478</v>
      </c>
      <c r="C11480" s="10" t="inlineStr">
        <is>
          <t>Chuyên viên Khách hàng lớn - CN. Đồng Nai (CN26.22)</t>
        </is>
      </c>
      <c r="D11480" s="10" t="inlineStr">
        <is>
          <t>Ngân Hàng TMCP Quân Đội</t>
        </is>
      </c>
      <c r="E11480" s="10" t="inlineStr">
        <is>
          <t>Lương:Cạnh tranh</t>
        </is>
      </c>
      <c r="F11480" s="10" t="inlineStr">
        <is>
          <t>Đồng Nai</t>
        </is>
      </c>
      <c r="G11480" s="10" t="inlineStr">
        <is>
          <t>31-03-2026</t>
        </is>
      </c>
      <c r="H11480" s="10" t="inlineStr">
        <is>
          <t>31/03/2026</t>
        </is>
      </c>
      <c r="I11480" s="10" t="inlineStr">
        <is>
          <t>17/03/2026</t>
        </is>
      </c>
      <c r="J11480" s="10" t="inlineStr">
        <is>
          <t>Ngân hàng</t>
        </is>
      </c>
      <c r="K11480" s="10" t="inlineStr">
        <is>
          <t>3 Năm</t>
        </is>
      </c>
      <c r="L11480" s="11">
        <f>HYPERLINK("https://careerviet.vn/vi/tim-viec-lam/chuyen-vien-khach-hang-lon-cn-dong-nai-cn26-22.35C6A053.html","Xem chi tiết")</f>
        <v/>
      </c>
      <c r="M11480" s="10" t="n"/>
    </row>
    <row r="11481">
      <c r="B11481" s="7" t="n">
        <v>11479</v>
      </c>
      <c r="C11481" t="inlineStr">
        <is>
          <t>Chuyên Viên Tuyển Dụng Đào Tạo</t>
        </is>
      </c>
      <c r="D11481" t="inlineStr">
        <is>
          <t>CÔNG TY TNHH RYDER INDUSTRIES VIỆT NAM</t>
        </is>
      </c>
      <c r="E11481" t="inlineStr">
        <is>
          <t>Lương:Cạnh tranh</t>
        </is>
      </c>
      <c r="F11481" t="inlineStr">
        <is>
          <t>Đồng Nai</t>
        </is>
      </c>
      <c r="G11481" t="inlineStr">
        <is>
          <t>27-03-2026</t>
        </is>
      </c>
      <c r="H11481" t="inlineStr">
        <is>
          <t>27/03/2026</t>
        </is>
      </c>
      <c r="I11481" t="inlineStr">
        <is>
          <t>17/03/2026</t>
        </is>
      </c>
      <c r="J11481" t="inlineStr">
        <is>
          <t>Sản xuất / Vận hành sản xuất, Nhân sự, Hành chính / Thư ký</t>
        </is>
      </c>
      <c r="K11481" t="inlineStr">
        <is>
          <t>Trên 1 Năm</t>
        </is>
      </c>
      <c r="L11481" s="8">
        <f>HYPERLINK("https://careerviet.vn/vi/tim-viec-lam/chuyen-vien-tuyen-dung-dao-tao.35C69E17.html","Xem chi tiết")</f>
        <v/>
      </c>
    </row>
    <row r="11482">
      <c r="B11482" s="9" t="n">
        <v>11480</v>
      </c>
      <c r="C11482" s="10" t="inlineStr">
        <is>
          <t>Chuyên viên Tuyển dụng</t>
        </is>
      </c>
      <c r="D11482" s="10" t="inlineStr">
        <is>
          <t>Công ty cổ phần Tập đoàn Danko</t>
        </is>
      </c>
      <c r="E11482" s="10" t="inlineStr">
        <is>
          <t>Lương:17 Tr - 25 Tr VND</t>
        </is>
      </c>
      <c r="F11482" s="10" t="inlineStr">
        <is>
          <t>Hà Nội</t>
        </is>
      </c>
      <c r="G11482" s="10" t="inlineStr">
        <is>
          <t>31-03-2026</t>
        </is>
      </c>
      <c r="H11482" s="10" t="inlineStr">
        <is>
          <t>31/03/2026</t>
        </is>
      </c>
      <c r="I11482" s="10" t="inlineStr">
        <is>
          <t>17/03/2026</t>
        </is>
      </c>
      <c r="J11482" s="10" t="inlineStr">
        <is>
          <t>Nhân sự</t>
        </is>
      </c>
      <c r="K11482" s="10" t="inlineStr">
        <is>
          <t>Trên 5 Năm</t>
        </is>
      </c>
      <c r="L11482" s="11">
        <f>HYPERLINK("https://careerviet.vn/vi/tim-viec-lam/chuyen-vien-tuyen-dung.35C69DC5.html","Xem chi tiết")</f>
        <v/>
      </c>
      <c r="M11482" s="10" t="n"/>
    </row>
    <row r="11483">
      <c r="B11483" s="7" t="n">
        <v>11481</v>
      </c>
      <c r="C11483" t="inlineStr">
        <is>
          <t>Kỹ Sư IE</t>
        </is>
      </c>
      <c r="D11483" t="inlineStr">
        <is>
          <t>CÔNG TY TNHH RYDER INDUSTRIES VIỆT NAM</t>
        </is>
      </c>
      <c r="E11483" t="inlineStr">
        <is>
          <t>Lương:30 Tr - 40 Tr VND</t>
        </is>
      </c>
      <c r="F11483" t="inlineStr">
        <is>
          <t>Đồng Nai</t>
        </is>
      </c>
      <c r="G11483" t="inlineStr">
        <is>
          <t>27-03-2026</t>
        </is>
      </c>
      <c r="H11483" t="inlineStr">
        <is>
          <t>27/03/2026</t>
        </is>
      </c>
      <c r="I11483" t="inlineStr">
        <is>
          <t>17/03/2026</t>
        </is>
      </c>
      <c r="J11483" t="inlineStr">
        <is>
          <t>Sản xuất / Vận hành sản xuất, Cơ khí / Ô tô / Tự động hóa, Điện / Điện tử / Điện lạnh / Điện công nghiệp</t>
        </is>
      </c>
      <c r="K11483" t="inlineStr">
        <is>
          <t>Trên 5 Năm</t>
        </is>
      </c>
      <c r="L11483" s="8">
        <f>HYPERLINK("https://careerviet.vn/vi/tim-viec-lam/ky-su-ie.35C69E31.html","Xem chi tiết")</f>
        <v/>
      </c>
    </row>
    <row r="11484">
      <c r="B11484" s="9" t="n">
        <v>11482</v>
      </c>
      <c r="C11484" s="10" t="inlineStr">
        <is>
          <t>Bình Dương_Nhân viên Thiết kế xưởng Nội thất (hàng dự án)</t>
        </is>
      </c>
      <c r="D11484" s="10" t="inlineStr">
        <is>
          <t>TTT Corporation</t>
        </is>
      </c>
      <c r="E11484" s="10" t="inlineStr">
        <is>
          <t>Lương:12 Tr - 17 Tr VND</t>
        </is>
      </c>
      <c r="F11484" s="10" t="inlineStr">
        <is>
          <t>Bình Dương</t>
        </is>
      </c>
      <c r="G11484" s="10" t="inlineStr">
        <is>
          <t>31-03-2026</t>
        </is>
      </c>
      <c r="H11484" s="10" t="inlineStr">
        <is>
          <t>31/03/2026</t>
        </is>
      </c>
      <c r="I11484" s="10" t="inlineStr">
        <is>
          <t>17/03/2026</t>
        </is>
      </c>
      <c r="J11484" s="10" t="inlineStr">
        <is>
          <t>Đồ gỗ, Nội ngoại thất</t>
        </is>
      </c>
      <c r="K11484" s="10" t="inlineStr">
        <is>
          <t>2 - 4 Năm</t>
        </is>
      </c>
      <c r="L11484" s="11">
        <f>HYPERLINK("https://careerviet.vn/vi/tim-viec-lam/binh-duong_nhan-vien-thiet-ke-xuong-noi-that-hang-du-an.35C69E6F.html","Xem chi tiết")</f>
        <v/>
      </c>
      <c r="M11484" s="10" t="n"/>
    </row>
    <row r="11485">
      <c r="B11485" s="7" t="n">
        <v>11483</v>
      </c>
      <c r="C11485" t="inlineStr">
        <is>
          <t>Nữ Admin Kho Hàng Gia Dụng</t>
        </is>
      </c>
      <c r="D11485" t="inlineStr">
        <is>
          <t>JoyMall - Nhà Phân Phối Locknlock</t>
        </is>
      </c>
      <c r="E11485" t="inlineStr">
        <is>
          <t>Lương:7 Tr - 10 Tr VND</t>
        </is>
      </c>
      <c r="F11485" t="inlineStr">
        <is>
          <t>Hồ Chí Minh</t>
        </is>
      </c>
      <c r="G11485" t="inlineStr">
        <is>
          <t>31-03-2026</t>
        </is>
      </c>
      <c r="H11485" t="inlineStr">
        <is>
          <t>31/03/2026</t>
        </is>
      </c>
      <c r="I11485" t="inlineStr">
        <is>
          <t>17/03/2026</t>
        </is>
      </c>
      <c r="J11485" t="inlineStr">
        <is>
          <t>Vận chuyển / Giao nhận / Kho vận, Thương mại điện tử, Lao động phổ thông</t>
        </is>
      </c>
      <c r="K11485" t="inlineStr">
        <is>
          <t>Lên đến 1 Năm</t>
        </is>
      </c>
      <c r="L11485" s="8">
        <f>HYPERLINK("https://careerviet.vn/vi/tim-viec-lam/nu-admin-kho-hang-gia-dung.35C69E68.html","Xem chi tiết")</f>
        <v/>
      </c>
    </row>
    <row r="11486">
      <c r="B11486" s="9" t="n">
        <v>11484</v>
      </c>
      <c r="C11486" s="10" t="inlineStr">
        <is>
          <t>Phó Bộ Phận Buồng Phòng (Phú Thọ)</t>
        </is>
      </c>
      <c r="D11486" s="10" t="inlineStr">
        <is>
          <t>CÔNG TY CỔ PHẦN TẬP ĐOÀN ONSEN FUJI</t>
        </is>
      </c>
      <c r="E11486" s="10" t="inlineStr">
        <is>
          <t>Lương:20 Tr - 30 Tr VND</t>
        </is>
      </c>
      <c r="F11486" s="10" t="inlineStr">
        <is>
          <t>Phú Thọ</t>
        </is>
      </c>
      <c r="G11486" s="10" t="inlineStr">
        <is>
          <t>31-03-2026</t>
        </is>
      </c>
      <c r="H11486" s="10" t="inlineStr">
        <is>
          <t>31/03/2026</t>
        </is>
      </c>
      <c r="I11486" s="10" t="inlineStr">
        <is>
          <t>17/03/2026</t>
        </is>
      </c>
      <c r="J11486" s="10" t="inlineStr">
        <is>
          <t>Nhà hàng / Khách sạn</t>
        </is>
      </c>
      <c r="K11486" s="10" t="inlineStr">
        <is>
          <t>3 - 5 Năm</t>
        </is>
      </c>
      <c r="L11486" s="11">
        <f>HYPERLINK("https://careerviet.vn/vi/tim-viec-lam/pho-bo-phan-buong-phong-phu-tho.35C6A098.html","Xem chi tiết")</f>
        <v/>
      </c>
      <c r="M11486" s="10" t="n"/>
    </row>
    <row r="11487">
      <c r="B11487" s="7" t="n">
        <v>11485</v>
      </c>
      <c r="C11487" t="inlineStr">
        <is>
          <t>Kỹ Sư Hạ Tầng Giao Thông</t>
        </is>
      </c>
      <c r="D11487" t="inlineStr">
        <is>
          <t>Công ty cổ phần Tập đoàn Danko</t>
        </is>
      </c>
      <c r="E11487" t="inlineStr">
        <is>
          <t>Lương:22 Tr - 30 Tr VND</t>
        </is>
      </c>
      <c r="F11487" t="inlineStr">
        <is>
          <t>Tuyên QuangThái Nguyên</t>
        </is>
      </c>
      <c r="G11487" t="inlineStr">
        <is>
          <t>30-03-2026</t>
        </is>
      </c>
      <c r="H11487" t="inlineStr">
        <is>
          <t>30/03/2026</t>
        </is>
      </c>
      <c r="I11487" t="inlineStr">
        <is>
          <t>17/03/2026</t>
        </is>
      </c>
      <c r="J11487" t="inlineStr">
        <is>
          <t>Xây dựng, Bất động sản, Kiến trúc</t>
        </is>
      </c>
      <c r="K11487" t="inlineStr">
        <is>
          <t>5 - 10 Năm</t>
        </is>
      </c>
      <c r="L11487" s="8">
        <f>HYPERLINK("https://careerviet.vn/vi/tim-viec-lam/ky-su-ha-tang-giao-thong.35C69E20.html","Xem chi tiết")</f>
        <v/>
      </c>
    </row>
    <row r="11488">
      <c r="B11488" s="9" t="n">
        <v>11486</v>
      </c>
      <c r="C11488" s="10" t="inlineStr">
        <is>
          <t>Nhân viên Thiết Kế Cơ Khí (2D, 3D, Solidworks)</t>
        </is>
      </c>
      <c r="D11488" s="10" t="inlineStr">
        <is>
          <t>Sunlight Electrical (Vietnam) Co., Ltd.</t>
        </is>
      </c>
      <c r="E11488" s="10" t="inlineStr">
        <is>
          <t>Lương:8 Tr - 12 Tr VND</t>
        </is>
      </c>
      <c r="F11488" s="10" t="inlineStr">
        <is>
          <t>Bình Dương</t>
        </is>
      </c>
      <c r="G11488" s="10" t="inlineStr">
        <is>
          <t>28-03-2026</t>
        </is>
      </c>
      <c r="H11488" s="10" t="inlineStr">
        <is>
          <t>28/03/2026</t>
        </is>
      </c>
      <c r="I11488" s="10" t="inlineStr">
        <is>
          <t>17/03/2026</t>
        </is>
      </c>
      <c r="J11488" s="10" t="inlineStr">
        <is>
          <t>Cơ khí / Ô tô / Tự động hóa, Điện / Điện tử / Điện lạnh / Điện công nghiệp</t>
        </is>
      </c>
      <c r="K11488" s="10" t="inlineStr">
        <is>
          <t>N/A</t>
        </is>
      </c>
      <c r="L11488" s="11">
        <f>HYPERLINK("https://careerviet.vn/vi/tim-viec-lam/nhan-vien-thiet-ke-co-khi-2d-3d-solidworks.35C69FB3.html","Xem chi tiết")</f>
        <v/>
      </c>
      <c r="M11488" s="10" t="n"/>
    </row>
    <row r="11489">
      <c r="B11489" s="7" t="n">
        <v>11487</v>
      </c>
      <c r="C11489" t="inlineStr">
        <is>
          <t>Nhân viên sản xuất - Lắp ráp điện tử</t>
        </is>
      </c>
      <c r="D11489" t="inlineStr">
        <is>
          <t>CÔNG TY CỔ PHẦN GREMSY</t>
        </is>
      </c>
      <c r="E11489" t="inlineStr">
        <is>
          <t>Lương:7 Tr - 10 Tr VND</t>
        </is>
      </c>
      <c r="F11489" t="inlineStr">
        <is>
          <t>Hồ Chí Minh</t>
        </is>
      </c>
      <c r="G11489" t="inlineStr">
        <is>
          <t>31-03-2026</t>
        </is>
      </c>
      <c r="H11489" t="inlineStr">
        <is>
          <t>31/03/2026</t>
        </is>
      </c>
      <c r="I11489" t="inlineStr">
        <is>
          <t>17/03/2026</t>
        </is>
      </c>
      <c r="J11489" t="inlineStr">
        <is>
          <t>Điện / Điện tử / Điện lạnh / Điện công nghiệp, Sản xuất / Vận hành sản xuất</t>
        </is>
      </c>
      <c r="K11489" t="inlineStr">
        <is>
          <t>Chưa có kinh nghiệm</t>
        </is>
      </c>
      <c r="L11489" s="8">
        <f>HYPERLINK("https://careerviet.vn/vi/tim-viec-lam/nhan-vien-san-xuat-lap-rap-dien-tu.35C6A0CD.html","Xem chi tiết")</f>
        <v/>
      </c>
    </row>
    <row r="11490">
      <c r="B11490" s="9" t="n">
        <v>11488</v>
      </c>
      <c r="C11490" s="10" t="inlineStr">
        <is>
          <t>Đại diện bán hàng cho hãng đồ uống của Nhật- 5 vị trí tại Hà Nội, Đà Nẵng, Hội An</t>
        </is>
      </c>
      <c r="D11490" s="10" t="inlineStr">
        <is>
          <t>Công ty TNHH AOBA Việt Nam</t>
        </is>
      </c>
      <c r="E11490" s="10" t="inlineStr">
        <is>
          <t>Lương:Cạnh tranh</t>
        </is>
      </c>
      <c r="F11490" s="10" t="inlineStr">
        <is>
          <t>Hà Nội</t>
        </is>
      </c>
      <c r="G11490" s="10" t="inlineStr">
        <is>
          <t>31-03-2026</t>
        </is>
      </c>
      <c r="H11490" s="10" t="inlineStr">
        <is>
          <t>31/03/2026</t>
        </is>
      </c>
      <c r="I11490" s="10" t="inlineStr">
        <is>
          <t>17/03/2026</t>
        </is>
      </c>
      <c r="J11490" s="10" t="inlineStr">
        <is>
          <t>Tiếp thị / Marketing, Bán lẻ / Bán sỉ, Bán hàng / Kinh doanh</t>
        </is>
      </c>
      <c r="K11490" s="10" t="inlineStr">
        <is>
          <t>N/A</t>
        </is>
      </c>
      <c r="L11490" s="11">
        <f>HYPERLINK("https://careerviet.vn/vi/tim-viec-lam/dai-dien-ban-hang-cho-hang-do-uong-cua-nhat-5-vi-tri-tai-ha-noi-da-nang-hoi-an.35C69FBF.html","Xem chi tiết")</f>
        <v/>
      </c>
      <c r="M11490" s="10" t="n"/>
    </row>
    <row r="11491">
      <c r="B11491" s="7" t="n">
        <v>11489</v>
      </c>
      <c r="C11491" t="inlineStr">
        <is>
          <t>QC Online/ Nhân Viên Kiểm Tra Chất Lượng Trên Chuyền</t>
        </is>
      </c>
      <c r="D11491" t="inlineStr">
        <is>
          <t>Công Ty TNHH Detmold Packaging Vietnam</t>
        </is>
      </c>
      <c r="E11491" t="inlineStr">
        <is>
          <t>Lương:Cạnh tranh</t>
        </is>
      </c>
      <c r="F11491" t="inlineStr">
        <is>
          <t>Bình Dương</t>
        </is>
      </c>
      <c r="G11491" t="inlineStr">
        <is>
          <t>30-04-2026</t>
        </is>
      </c>
      <c r="H11491" t="inlineStr">
        <is>
          <t>30/04/2026</t>
        </is>
      </c>
      <c r="I11491" t="inlineStr">
        <is>
          <t>17/03/2026</t>
        </is>
      </c>
      <c r="J11491" t="inlineStr">
        <is>
          <t>Thực phẩm &amp; Đồ uống, Quản lý chất lượng (QA/QC)</t>
        </is>
      </c>
      <c r="K11491" t="inlineStr">
        <is>
          <t>Chưa có kinh nghiệm</t>
        </is>
      </c>
      <c r="L11491" s="8">
        <f>HYPERLINK("https://careerviet.vn/vi/tim-viec-lam/qc-online-nhan-vien-kiem-tra-chat-luong-tren-chuyen.35C6A004.html","Xem chi tiết")</f>
        <v/>
      </c>
    </row>
    <row r="11492">
      <c r="B11492" s="9" t="n">
        <v>11490</v>
      </c>
      <c r="C11492" s="10" t="inlineStr">
        <is>
          <t>Nữ Nhân Viên Hậu Mãi Kho</t>
        </is>
      </c>
      <c r="D11492" s="10" t="inlineStr">
        <is>
          <t>JoyMall - Nhà Phân Phối Locknlock</t>
        </is>
      </c>
      <c r="E11492" s="10" t="inlineStr">
        <is>
          <t>Lương:6 Tr - 9 Tr VND</t>
        </is>
      </c>
      <c r="F11492" s="10" t="inlineStr">
        <is>
          <t>Hồ Chí Minh</t>
        </is>
      </c>
      <c r="G11492" s="10" t="inlineStr">
        <is>
          <t>31-03-2026</t>
        </is>
      </c>
      <c r="H11492" s="10" t="inlineStr">
        <is>
          <t>31/03/2026</t>
        </is>
      </c>
      <c r="I11492" s="10" t="inlineStr">
        <is>
          <t>17/03/2026</t>
        </is>
      </c>
      <c r="J11492" s="10" t="inlineStr">
        <is>
          <t>Vận chuyển / Giao nhận / Kho vận, Thương mại điện tử, Lao động phổ thông</t>
        </is>
      </c>
      <c r="K11492" s="10" t="inlineStr">
        <is>
          <t>Lên đến 1 Năm</t>
        </is>
      </c>
      <c r="L11492" s="11">
        <f>HYPERLINK("https://careerviet.vn/vi/tim-viec-lam/nu-nhan-vien-hau-mai-kho.35C69ECB.html","Xem chi tiết")</f>
        <v/>
      </c>
      <c r="M11492" s="10" t="n"/>
    </row>
    <row r="11493">
      <c r="B11493" s="7" t="n">
        <v>11491</v>
      </c>
      <c r="C11493" t="inlineStr">
        <is>
          <t>CHUYÊN VIÊN MUA HÀNG THƯƠNG MẠI (mặt hàng kỹ thuật)</t>
        </is>
      </c>
      <c r="D11493" t="inlineStr">
        <is>
          <t>Công ty Cổ phần Inmatech</t>
        </is>
      </c>
      <c r="E11493" t="inlineStr">
        <is>
          <t>Lương:14 Tr - 25 Tr VND</t>
        </is>
      </c>
      <c r="F11493" t="inlineStr">
        <is>
          <t>Hồ Chí MinhHải Phòng</t>
        </is>
      </c>
      <c r="G11493" t="inlineStr">
        <is>
          <t>30-03-2026</t>
        </is>
      </c>
      <c r="H11493" t="inlineStr">
        <is>
          <t>30/03/2026</t>
        </is>
      </c>
      <c r="I11493" t="inlineStr">
        <is>
          <t>17/03/2026</t>
        </is>
      </c>
      <c r="J11493" t="inlineStr">
        <is>
          <t>Điện / Điện tử / Điện lạnh / Điện công nghiệp, Thu mua / Vật tư, Cơ khí / Ô tô / Tự động hóa</t>
        </is>
      </c>
      <c r="K11493" t="inlineStr">
        <is>
          <t>2 - 5 Năm</t>
        </is>
      </c>
      <c r="L11493" s="8">
        <f>HYPERLINK("https://careerviet.vn/vi/tim-viec-lam/chuyen-vien-mua-hang-thuong-mai-mat-hang-ky-thuat.35C69E73.html","Xem chi tiết")</f>
        <v/>
      </c>
    </row>
    <row r="11494">
      <c r="B11494" s="9" t="n">
        <v>11492</v>
      </c>
      <c r="C11494" s="10" t="inlineStr">
        <is>
          <t>Nhân Viên Admin Kho Thương Mại Điện Tử</t>
        </is>
      </c>
      <c r="D11494" s="10" t="inlineStr">
        <is>
          <t>JoyMall - Nhà Phân Phối Locknlock</t>
        </is>
      </c>
      <c r="E11494" s="10" t="inlineStr">
        <is>
          <t>Lương:7 Tr - 10 Tr VND</t>
        </is>
      </c>
      <c r="F11494" s="10" t="inlineStr">
        <is>
          <t>Hồ Chí Minh</t>
        </is>
      </c>
      <c r="G11494" s="10" t="inlineStr">
        <is>
          <t>31-03-2026</t>
        </is>
      </c>
      <c r="H11494" s="10" t="inlineStr">
        <is>
          <t>31/03/2026</t>
        </is>
      </c>
      <c r="I11494" s="10" t="inlineStr">
        <is>
          <t>17/03/2026</t>
        </is>
      </c>
      <c r="J11494" s="10" t="inlineStr">
        <is>
          <t>Vận chuyển / Giao nhận / Kho vận, Thương mại điện tử, Sản xuất / Vận hành sản xuất</t>
        </is>
      </c>
      <c r="K11494" s="10" t="inlineStr">
        <is>
          <t>Lên đến 1 Năm</t>
        </is>
      </c>
      <c r="L11494" s="11">
        <f>HYPERLINK("https://careerviet.vn/vi/tim-viec-lam/nhan-vien-admin-kho-thuong-mai-dien-tu.35C6A028.html","Xem chi tiết")</f>
        <v/>
      </c>
      <c r="M11494" s="10" t="n"/>
    </row>
    <row r="11495">
      <c r="B11495" s="7" t="n">
        <v>11493</v>
      </c>
      <c r="C11495" t="inlineStr">
        <is>
          <t>KỸ SƯ ĐIỆN TỬ HÀNG HẢI</t>
        </is>
      </c>
      <c r="D11495" t="inlineStr">
        <is>
          <t>Công ty Cổ phần Inmatech</t>
        </is>
      </c>
      <c r="E11495" t="inlineStr">
        <is>
          <t>Lương:Cạnh tranh</t>
        </is>
      </c>
      <c r="F11495" t="inlineStr">
        <is>
          <t>Hải Phòng</t>
        </is>
      </c>
      <c r="G11495" t="inlineStr">
        <is>
          <t>30-03-2026</t>
        </is>
      </c>
      <c r="H11495" t="inlineStr">
        <is>
          <t>30/03/2026</t>
        </is>
      </c>
      <c r="I11495" t="inlineStr">
        <is>
          <t>17/03/2026</t>
        </is>
      </c>
      <c r="J11495" t="inlineStr">
        <is>
          <t>Điện / Điện tử / Điện lạnh / Điện công nghiệp, Hàng hải, Bưu chính viễn thông</t>
        </is>
      </c>
      <c r="K11495" t="inlineStr">
        <is>
          <t>3 - 5 Năm</t>
        </is>
      </c>
      <c r="L11495" s="8">
        <f>HYPERLINK("https://careerviet.vn/vi/tim-viec-lam/ky-su-dien-tu-hang-hai.35C69DA8.html","Xem chi tiết")</f>
        <v/>
      </c>
    </row>
    <row r="11496">
      <c r="B11496" s="9" t="n">
        <v>11494</v>
      </c>
      <c r="C11496" s="10" t="inlineStr">
        <is>
          <t>Kế toán trưởng (Tiếng Trung) - Chief Accountant (Chinese)</t>
        </is>
      </c>
      <c r="D11496" s="10" t="inlineStr">
        <is>
          <t>Công ty TNHH Giầy Chingluh Việt Nam</t>
        </is>
      </c>
      <c r="E11496" s="10" t="inlineStr">
        <is>
          <t>Lương:Cạnh tranh</t>
        </is>
      </c>
      <c r="F11496" s="10" t="inlineStr">
        <is>
          <t>Long An</t>
        </is>
      </c>
      <c r="G11496" s="10" t="inlineStr">
        <is>
          <t>31-03-2026</t>
        </is>
      </c>
      <c r="H11496" s="10" t="inlineStr">
        <is>
          <t>31/03/2026</t>
        </is>
      </c>
      <c r="I11496" s="10" t="inlineStr">
        <is>
          <t>17/03/2026</t>
        </is>
      </c>
      <c r="J11496" s="10" t="inlineStr">
        <is>
          <t>Kế toán / Kiểm toán, Sản xuất / Vận hành sản xuất, Biên phiên dịch</t>
        </is>
      </c>
      <c r="K11496" s="10" t="inlineStr">
        <is>
          <t>5 - 7 Năm</t>
        </is>
      </c>
      <c r="L11496" s="11">
        <f>HYPERLINK("https://careerviet.vn/vi/tim-viec-lam/ke-toan-truong-tieng-trung-chief-accountant-chinese.35C69F1B.html","Xem chi tiết")</f>
        <v/>
      </c>
      <c r="M11496" s="10" t="n"/>
    </row>
    <row r="11497">
      <c r="B11497" s="7" t="n">
        <v>11495</v>
      </c>
      <c r="C11497" t="inlineStr">
        <is>
          <t>Nhân Viên ứng dụng thiết Bị Y Tế, phòng LAB</t>
        </is>
      </c>
      <c r="D11497" t="inlineStr">
        <is>
          <t>CÔNG TY TNHH THIẾT BỊ CÔNG NGHỆ VÀ ĐẦU TƯ MDC</t>
        </is>
      </c>
      <c r="E11497" t="inlineStr">
        <is>
          <t>Lương:Trên 12 Tr VND</t>
        </is>
      </c>
      <c r="F11497" t="inlineStr">
        <is>
          <t>Hà Nội</t>
        </is>
      </c>
      <c r="G11497" t="inlineStr">
        <is>
          <t>31-03-2026</t>
        </is>
      </c>
      <c r="H11497" t="inlineStr">
        <is>
          <t>31/03/2026</t>
        </is>
      </c>
      <c r="I11497" t="inlineStr">
        <is>
          <t>17/03/2026</t>
        </is>
      </c>
      <c r="J11497" t="inlineStr">
        <is>
          <t>Bán hàng / Kinh doanh, Y tế / Chăm sóc sức khỏe / Thẩm mỹ / Làm đẹp, Bán Hàng Kỹ Thuật</t>
        </is>
      </c>
      <c r="K11497" t="inlineStr">
        <is>
          <t>Trên 1 Năm</t>
        </is>
      </c>
      <c r="L11497" s="8">
        <f>HYPERLINK("https://careerviet.vn/vi/tim-viec-lam/nhan-vien-ung-dung-thiet-bi-y-te-phong-lab.35C69DB3.html","Xem chi tiết")</f>
        <v/>
      </c>
    </row>
    <row r="11498">
      <c r="B11498" s="9" t="n">
        <v>11496</v>
      </c>
      <c r="C11498" s="10" t="inlineStr">
        <is>
          <t>Senior Brand Manager (Retail - Chuỗi 300 cửa hàng bán lẻ thiết bị sức khỏe)</t>
        </is>
      </c>
      <c r="D11498" s="10" t="inlineStr">
        <is>
          <t>Công Ty TNHH XNK Phát Triển Đông Dương</t>
        </is>
      </c>
      <c r="E11498" s="10" t="inlineStr">
        <is>
          <t>Lương:Cạnh tranh</t>
        </is>
      </c>
      <c r="F11498" s="10" t="inlineStr">
        <is>
          <t>Hồ Chí Minh</t>
        </is>
      </c>
      <c r="G11498" s="10" t="inlineStr">
        <is>
          <t>31-03-2026</t>
        </is>
      </c>
      <c r="H11498" s="10" t="inlineStr">
        <is>
          <t>31/03/2026</t>
        </is>
      </c>
      <c r="I11498" s="10" t="inlineStr">
        <is>
          <t>17/03/2026</t>
        </is>
      </c>
      <c r="J11498" s="10" t="inlineStr">
        <is>
          <t>Tiếp thị / Marketing, Bán lẻ / Bán sỉ, Quảng cáo / Đối ngoại / Truyền Thông</t>
        </is>
      </c>
      <c r="K11498" s="10" t="inlineStr">
        <is>
          <t>3 - 5 Năm</t>
        </is>
      </c>
      <c r="L11498" s="11">
        <f>HYPERLINK("https://careerviet.vn/vi/tim-viec-lam/senior-brand-manager-retail-chuoi-300-cua-hang-ban-le-thiet-bi-suc-khoe.35C6A01B.html","Xem chi tiết")</f>
        <v/>
      </c>
      <c r="M11498" s="10" t="n"/>
    </row>
    <row r="11499">
      <c r="B11499" s="7" t="n">
        <v>11497</v>
      </c>
      <c r="C11499" t="inlineStr">
        <is>
          <t>Nhân viên bán hàng</t>
        </is>
      </c>
      <c r="D11499" t="inlineStr">
        <is>
          <t>Công Ty TNHH Banyan Việt Nam</t>
        </is>
      </c>
      <c r="E11499" t="inlineStr">
        <is>
          <t>Lương:7 Tr - 10 Tr VND</t>
        </is>
      </c>
      <c r="F11499" t="inlineStr">
        <is>
          <t>Đà Nẵng</t>
        </is>
      </c>
      <c r="G11499" t="inlineStr">
        <is>
          <t>26-03-2026</t>
        </is>
      </c>
      <c r="H11499" t="inlineStr">
        <is>
          <t>26/03/2026</t>
        </is>
      </c>
      <c r="I11499" t="inlineStr">
        <is>
          <t>17/03/2026</t>
        </is>
      </c>
      <c r="J11499" t="inlineStr">
        <is>
          <t>Bán lẻ / Bán sỉ, Bán hàng / Kinh doanh, Dịch vụ khách hàng</t>
        </is>
      </c>
      <c r="K11499" t="inlineStr">
        <is>
          <t>1 - 2 Năm</t>
        </is>
      </c>
      <c r="L11499" s="8">
        <f>HYPERLINK("https://careerviet.vn/vi/tim-viec-lam/nhan-vien-ban-hang.35C69D6E.html","Xem chi tiết")</f>
        <v/>
      </c>
    </row>
    <row r="11500">
      <c r="B11500" s="9" t="n">
        <v>11498</v>
      </c>
      <c r="C11500" s="10" t="inlineStr">
        <is>
          <t>Trợ Lý Kinh Doanh</t>
        </is>
      </c>
      <c r="D11500" s="10" t="inlineStr">
        <is>
          <t>Công Ty TNHH Thương Mại Và Dịch Vụ Nguyễn Huy</t>
        </is>
      </c>
      <c r="E11500" s="10" t="inlineStr">
        <is>
          <t>Lương:Trên 12 Tr VND</t>
        </is>
      </c>
      <c r="F11500" s="10" t="inlineStr">
        <is>
          <t>Hà Nội</t>
        </is>
      </c>
      <c r="G11500" s="10" t="inlineStr">
        <is>
          <t>30-03-2026</t>
        </is>
      </c>
      <c r="H11500" s="10" t="inlineStr">
        <is>
          <t>30/03/2026</t>
        </is>
      </c>
      <c r="I11500" s="10" t="inlineStr">
        <is>
          <t>17/03/2026</t>
        </is>
      </c>
      <c r="J11500" s="10" t="inlineStr">
        <is>
          <t>Bán hàng / Kinh doanh, Bán lẻ / Bán sỉ, Hành chính / Thư ký</t>
        </is>
      </c>
      <c r="K11500" s="10" t="inlineStr">
        <is>
          <t>Trên 1 Năm</t>
        </is>
      </c>
      <c r="L11500" s="11">
        <f>HYPERLINK("https://careerviet.vn/vi/tim-viec-lam/tro-ly-kinh-doanh.35C6A0E1.html","Xem chi tiết")</f>
        <v/>
      </c>
      <c r="M11500" s="10" t="n"/>
    </row>
    <row r="11501">
      <c r="B11501" s="7" t="n">
        <v>11499</v>
      </c>
      <c r="C11501" t="inlineStr">
        <is>
          <t>Nhân viên Dịch vụ khách hàng - Patient Service Officer</t>
        </is>
      </c>
      <c r="D11501" t="inlineStr">
        <is>
          <t>American International Hospital (AIH)</t>
        </is>
      </c>
      <c r="E11501" t="inlineStr">
        <is>
          <t>Lương:10 Tr - 13 Tr VND</t>
        </is>
      </c>
      <c r="F11501" t="inlineStr">
        <is>
          <t>Hồ Chí Minh</t>
        </is>
      </c>
      <c r="G11501" t="inlineStr">
        <is>
          <t>25-03-2026</t>
        </is>
      </c>
      <c r="H11501" t="inlineStr">
        <is>
          <t>25/03/2026</t>
        </is>
      </c>
      <c r="I11501" t="inlineStr">
        <is>
          <t>17/03/2026</t>
        </is>
      </c>
      <c r="J11501" t="inlineStr">
        <is>
          <t>Y tế / Chăm sóc sức khỏe / Thẩm mỹ / Làm đẹp, Dịch vụ khách hàng</t>
        </is>
      </c>
      <c r="K11501" t="inlineStr">
        <is>
          <t>1 - 5 Năm</t>
        </is>
      </c>
      <c r="L11501" s="8">
        <f>HYPERLINK("https://careerviet.vn/vi/tim-viec-lam/nhan-vien-dich-vu-khach-hang-patient-service-officer.35C6A073.html","Xem chi tiết")</f>
        <v/>
      </c>
    </row>
    <row r="11502">
      <c r="B11502" s="9" t="n">
        <v>11500</v>
      </c>
      <c r="C11502" s="10" t="inlineStr">
        <is>
          <t>CHUYÊN VIÊN KINH TẾ KẾ HOẠCH</t>
        </is>
      </c>
      <c r="D11502" s="10" t="inlineStr">
        <is>
          <t>CÔNG TY CỔ PHẦN ĐẦU TƯ XÂY DỰNG TRUNG NAM  - TRUNGNAM</t>
        </is>
      </c>
      <c r="E11502" s="10" t="inlineStr">
        <is>
          <t>Lương:Cạnh tranh</t>
        </is>
      </c>
      <c r="F11502" s="10" t="inlineStr">
        <is>
          <t>Hồ Chí MinhGia Lai</t>
        </is>
      </c>
      <c r="G11502" s="10" t="inlineStr">
        <is>
          <t>26-03-2026</t>
        </is>
      </c>
      <c r="H11502" s="10" t="inlineStr">
        <is>
          <t>26/03/2026</t>
        </is>
      </c>
      <c r="I11502" s="10" t="inlineStr">
        <is>
          <t>17/03/2026</t>
        </is>
      </c>
      <c r="J11502" s="10" t="inlineStr">
        <is>
          <t>Quản lý chất lượng (QA/QC), Xây dựng, Kế toán / Kiểm toán</t>
        </is>
      </c>
      <c r="K11502" s="10" t="inlineStr">
        <is>
          <t>Trên 3 Năm</t>
        </is>
      </c>
      <c r="L11502" s="11">
        <f>HYPERLINK("https://careerviet.vn/vi/tim-viec-lam/chuyen-vien-kinh-te-ke-hoach.35C6A031.html","Xem chi tiết")</f>
        <v/>
      </c>
      <c r="M11502" s="10" t="n"/>
    </row>
    <row r="11503">
      <c r="B11503" s="7" t="n">
        <v>11501</v>
      </c>
      <c r="C11503" t="inlineStr">
        <is>
          <t>Trưởng bộ phận Marketing</t>
        </is>
      </c>
      <c r="D11503" t="inlineStr">
        <is>
          <t>Công ty Cổ phần Victory Group</t>
        </is>
      </c>
      <c r="E11503" t="inlineStr">
        <is>
          <t>Lương:22 Tr - 28 Tr VND</t>
        </is>
      </c>
      <c r="F11503" t="inlineStr">
        <is>
          <t>Hồ Chí Minh</t>
        </is>
      </c>
      <c r="G11503" t="inlineStr">
        <is>
          <t>30-04-2026</t>
        </is>
      </c>
      <c r="H11503" t="inlineStr">
        <is>
          <t>30/04/2026</t>
        </is>
      </c>
      <c r="I11503" t="inlineStr">
        <is>
          <t>17/03/2026</t>
        </is>
      </c>
      <c r="J11503" t="inlineStr">
        <is>
          <t>Tiếp thị / Marketing, Bất động sản</t>
        </is>
      </c>
      <c r="K11503" t="inlineStr">
        <is>
          <t>2 - 3 Năm</t>
        </is>
      </c>
      <c r="L11503" s="8">
        <f>HYPERLINK("https://careerviet.vn/vi/tim-viec-lam/truong-bo-phan-marketing.35C69FD4.html","Xem chi tiết")</f>
        <v/>
      </c>
    </row>
    <row r="11504">
      <c r="B11504" s="9" t="n">
        <v>11502</v>
      </c>
      <c r="C11504" s="10" t="inlineStr">
        <is>
          <t>Kiến trúc sư [Xhome Bắc Ninh]</t>
        </is>
      </c>
      <c r="D11504" s="10" t="inlineStr">
        <is>
          <t>Công ty CP XHOME Việt Nam</t>
        </is>
      </c>
      <c r="E11504" s="10" t="inlineStr">
        <is>
          <t>Lương:12 Tr - 15 Tr VND</t>
        </is>
      </c>
      <c r="F11504" s="10" t="inlineStr">
        <is>
          <t>Bắc Ninh</t>
        </is>
      </c>
      <c r="G11504" s="10" t="inlineStr">
        <is>
          <t>30-03-2026</t>
        </is>
      </c>
      <c r="H11504" s="10" t="inlineStr">
        <is>
          <t>30/03/2026</t>
        </is>
      </c>
      <c r="I11504" s="10" t="inlineStr">
        <is>
          <t>17/03/2026</t>
        </is>
      </c>
      <c r="J11504" s="10" t="inlineStr">
        <is>
          <t>Kiến trúc, Xây dựng, Nội ngoại thất</t>
        </is>
      </c>
      <c r="K11504" s="10" t="inlineStr">
        <is>
          <t>1 - 2 Năm</t>
        </is>
      </c>
      <c r="L11504" s="11">
        <f>HYPERLINK("https://careerviet.vn/vi/tim-viec-lam/kien-truc-su-xhome-bac-ninh.35C69F98.html","Xem chi tiết")</f>
        <v/>
      </c>
      <c r="M11504" s="10" t="n"/>
    </row>
    <row r="11505">
      <c r="B11505" s="7" t="n">
        <v>11503</v>
      </c>
      <c r="C11505" t="inlineStr">
        <is>
          <t>Chuyên viên kinh doanh (Lĩnh vực BĐS Công nghiệp)</t>
        </is>
      </c>
      <c r="D11505" t="inlineStr">
        <is>
          <t>Xuân Cầu Holdings</t>
        </is>
      </c>
      <c r="E11505" t="inlineStr">
        <is>
          <t>Lương:30 Tr - 35 Tr VND</t>
        </is>
      </c>
      <c r="F11505" t="inlineStr">
        <is>
          <t>Hà Nội</t>
        </is>
      </c>
      <c r="G11505" t="inlineStr">
        <is>
          <t>31-03-2026</t>
        </is>
      </c>
      <c r="H11505" t="inlineStr">
        <is>
          <t>31/03/2026</t>
        </is>
      </c>
      <c r="I11505" t="inlineStr">
        <is>
          <t>17/03/2026</t>
        </is>
      </c>
      <c r="J11505" t="inlineStr">
        <is>
          <t>Bán hàng / Kinh doanh</t>
        </is>
      </c>
      <c r="K11505" t="inlineStr">
        <is>
          <t>3 - 10 Năm</t>
        </is>
      </c>
      <c r="L11505" s="8">
        <f>HYPERLINK("https://careerviet.vn/vi/tim-viec-lam/chuyen-vien-kinh-doanh-linh-vuc-bds-cong-nghiep.35C6A0AB.html","Xem chi tiết")</f>
        <v/>
      </c>
    </row>
    <row r="11506">
      <c r="B11506" s="9" t="n">
        <v>11504</v>
      </c>
      <c r="C11506" s="10" t="inlineStr">
        <is>
          <t>Nhân Viên Xử Lý Khiếu Nại Sàn TMĐT</t>
        </is>
      </c>
      <c r="D11506" s="10" t="inlineStr">
        <is>
          <t>Công Ty TNHH Việt Mỹ-SSU</t>
        </is>
      </c>
      <c r="E11506" s="10" t="inlineStr">
        <is>
          <t>Lương:6 Tr - 9 Tr VND</t>
        </is>
      </c>
      <c r="F11506" s="10" t="inlineStr">
        <is>
          <t>Hồ Chí Minh</t>
        </is>
      </c>
      <c r="G11506" s="10" t="inlineStr">
        <is>
          <t>31-03-2026</t>
        </is>
      </c>
      <c r="H11506" s="10" t="inlineStr">
        <is>
          <t>31/03/2026</t>
        </is>
      </c>
      <c r="I11506" s="10" t="inlineStr">
        <is>
          <t>17/03/2026</t>
        </is>
      </c>
      <c r="J11506" s="10" t="inlineStr">
        <is>
          <t>Dịch vụ khách hàng</t>
        </is>
      </c>
      <c r="K11506" s="10" t="inlineStr">
        <is>
          <t>Lên đến 1 Năm</t>
        </is>
      </c>
      <c r="L11506" s="11">
        <f>HYPERLINK("https://careerviet.vn/vi/tim-viec-lam/nhan-vien-xu-ly-khieu-nai-san-tmdt.35C69E7A.html","Xem chi tiết")</f>
        <v/>
      </c>
      <c r="M11506" s="10" t="n"/>
    </row>
    <row r="11507">
      <c r="B11507" s="7" t="n">
        <v>11505</v>
      </c>
      <c r="C11507" t="inlineStr">
        <is>
          <t>NHÂN VIÊN DỰ TOÁN - QS [XHOME SG]</t>
        </is>
      </c>
      <c r="D11507" t="inlineStr">
        <is>
          <t>Công ty CP XHOME Việt Nam</t>
        </is>
      </c>
      <c r="E11507" t="inlineStr">
        <is>
          <t>Lương:20 Tr - 30 Tr VND</t>
        </is>
      </c>
      <c r="F11507" t="inlineStr">
        <is>
          <t>Hồ Chí Minh</t>
        </is>
      </c>
      <c r="G11507" t="inlineStr">
        <is>
          <t>30-03-2026</t>
        </is>
      </c>
      <c r="H11507" t="inlineStr">
        <is>
          <t>30/03/2026</t>
        </is>
      </c>
      <c r="I11507" t="inlineStr">
        <is>
          <t>17/03/2026</t>
        </is>
      </c>
      <c r="J11507" t="inlineStr">
        <is>
          <t>Kiến trúc, Xây dựng, Nội ngoại thất</t>
        </is>
      </c>
      <c r="K11507" t="inlineStr">
        <is>
          <t>2 - 3 Năm</t>
        </is>
      </c>
      <c r="L11507" s="8">
        <f>HYPERLINK("https://careerviet.vn/vi/tim-viec-lam/nhan-vien-du-toan-qs-xhome-sg.35C6A005.html","Xem chi tiết")</f>
        <v/>
      </c>
    </row>
    <row r="11508">
      <c r="B11508" s="9" t="n">
        <v>11506</v>
      </c>
      <c r="C11508" s="10" t="inlineStr">
        <is>
          <t>GIÁM SÁT THI CÔNG [XHOME SG]</t>
        </is>
      </c>
      <c r="D11508" s="10" t="inlineStr">
        <is>
          <t>Công ty CP XHOME Việt Nam</t>
        </is>
      </c>
      <c r="E11508" s="10" t="inlineStr">
        <is>
          <t>Lương:17 Tr - 20 Tr VND</t>
        </is>
      </c>
      <c r="F11508" s="10" t="inlineStr">
        <is>
          <t>Hồ Chí Minh</t>
        </is>
      </c>
      <c r="G11508" s="10" t="inlineStr">
        <is>
          <t>30-03-2026</t>
        </is>
      </c>
      <c r="H11508" s="10" t="inlineStr">
        <is>
          <t>30/03/2026</t>
        </is>
      </c>
      <c r="I11508" s="10" t="inlineStr">
        <is>
          <t>17/03/2026</t>
        </is>
      </c>
      <c r="J11508" s="10" t="inlineStr">
        <is>
          <t>Kiến trúc, Xây dựng, Nội ngoại thất</t>
        </is>
      </c>
      <c r="K11508" s="10" t="inlineStr">
        <is>
          <t>2 - 3 Năm</t>
        </is>
      </c>
      <c r="L11508" s="11">
        <f>HYPERLINK("https://careerviet.vn/vi/tim-viec-lam/giam-sat-thi-cong-xhome-sg.35C6A002.html","Xem chi tiết")</f>
        <v/>
      </c>
      <c r="M11508" s="10" t="n"/>
    </row>
    <row r="11509">
      <c r="B11509" s="7" t="n">
        <v>11507</v>
      </c>
      <c r="C11509" t="inlineStr">
        <is>
          <t>Trưởng phòng Nghiên cứu phát triển sản phẩm (R&amp;D) đồ uống</t>
        </is>
      </c>
      <c r="D11509" t="inlineStr">
        <is>
          <t>CÔNG TY CỔ PHẦN THƯƠNG MẠI KIỀM SAPHIA PHARMA</t>
        </is>
      </c>
      <c r="E11509" t="inlineStr">
        <is>
          <t>Lương:30 Tr - 45 Tr VND</t>
        </is>
      </c>
      <c r="F11509" t="inlineStr">
        <is>
          <t>Hà Nội</t>
        </is>
      </c>
      <c r="G11509" t="inlineStr">
        <is>
          <t>31-03-2026</t>
        </is>
      </c>
      <c r="H11509" t="inlineStr">
        <is>
          <t>31/03/2026</t>
        </is>
      </c>
      <c r="I11509" t="inlineStr">
        <is>
          <t>17/03/2026</t>
        </is>
      </c>
      <c r="J11509" t="inlineStr">
        <is>
          <t>Thực phẩm &amp; Đồ uống</t>
        </is>
      </c>
      <c r="K11509" t="inlineStr">
        <is>
          <t>5 - 10 Năm</t>
        </is>
      </c>
      <c r="L11509" s="8">
        <f>HYPERLINK("https://careerviet.vn/vi/tim-viec-lam/truong-phong-nghien-cuu-phat-trien-san-pham-r-d-do-uong.35C69D35.html","Xem chi tiết")</f>
        <v/>
      </c>
    </row>
    <row r="11510">
      <c r="B11510" s="9" t="n">
        <v>11508</v>
      </c>
      <c r="C11510" s="10" t="inlineStr">
        <is>
          <t>Chuyên viên cao cấp Chính sách Nhân sự</t>
        </is>
      </c>
      <c r="D11510" s="10" t="inlineStr">
        <is>
          <t>Ngân Hàng TMCP Sài Gòn - Hà Nội ( SHB )</t>
        </is>
      </c>
      <c r="E11510" s="10" t="inlineStr">
        <is>
          <t>Lương:Cạnh tranh</t>
        </is>
      </c>
      <c r="F11510" s="10" t="inlineStr">
        <is>
          <t>Hà Nội</t>
        </is>
      </c>
      <c r="G11510" s="10" t="inlineStr">
        <is>
          <t>29-03-2026</t>
        </is>
      </c>
      <c r="H11510" s="10" t="inlineStr">
        <is>
          <t>29/03/2026</t>
        </is>
      </c>
      <c r="I11510" s="10" t="inlineStr">
        <is>
          <t>17/03/2026</t>
        </is>
      </c>
      <c r="J11510" s="10" t="inlineStr">
        <is>
          <t>Ngân hàng, Nhân sự</t>
        </is>
      </c>
      <c r="K11510" s="10" t="inlineStr">
        <is>
          <t>Trên 5 Năm</t>
        </is>
      </c>
      <c r="L11510" s="11">
        <f>HYPERLINK("https://careerviet.vn/vi/tim-viec-lam/chuyen-vien-cao-cap-chinh-sach-nhan-su.35C69F03.html","Xem chi tiết")</f>
        <v/>
      </c>
      <c r="M11510" s="10" t="n"/>
    </row>
    <row r="11511">
      <c r="B11511" s="7" t="n">
        <v>11509</v>
      </c>
      <c r="C11511" t="inlineStr">
        <is>
          <t>Quản Lý Cư Dân (Mảng Khách sạn - Nghỉ dưỡng)</t>
        </is>
      </c>
      <c r="D11511" t="inlineStr">
        <is>
          <t>CÔNG TY CỔ PHẦN TẬP ĐOÀN ONSEN FUJI</t>
        </is>
      </c>
      <c r="E11511" t="inlineStr">
        <is>
          <t>Lương:25 Tr - 35 Tr VND</t>
        </is>
      </c>
      <c r="F11511" t="inlineStr">
        <is>
          <t>Hà Nội</t>
        </is>
      </c>
      <c r="G11511" t="inlineStr">
        <is>
          <t>31-03-2026</t>
        </is>
      </c>
      <c r="H11511" t="inlineStr">
        <is>
          <t>31/03/2026</t>
        </is>
      </c>
      <c r="I11511" t="inlineStr">
        <is>
          <t>17/03/2026</t>
        </is>
      </c>
      <c r="J11511" t="inlineStr">
        <is>
          <t>Nhà hàng / Khách sạn, Du lịch</t>
        </is>
      </c>
      <c r="K11511" t="inlineStr">
        <is>
          <t>3 - 5 Năm</t>
        </is>
      </c>
      <c r="L11511" s="8">
        <f>HYPERLINK("https://careerviet.vn/vi/tim-viec-lam/quan-ly-cu-dan-mang-khach-san-nghi-duong.35C6A044.html","Xem chi tiết")</f>
        <v/>
      </c>
    </row>
    <row r="11512">
      <c r="B11512" s="9" t="n">
        <v>11510</v>
      </c>
      <c r="C11512" s="10" t="inlineStr">
        <is>
          <t>[Đà Nẵng] Chuyên viên Khách hàng ưu tiên</t>
        </is>
      </c>
      <c r="D11512" s="10" t="inlineStr">
        <is>
          <t>Ngân hàng TMCP Đại Chúng Việt Nam - PVcomBank</t>
        </is>
      </c>
      <c r="E11512" s="10" t="inlineStr">
        <is>
          <t>Lương:Cạnh tranh</t>
        </is>
      </c>
      <c r="F11512" s="10" t="inlineStr">
        <is>
          <t>Đà NẵngKV Nam Trung Bộ</t>
        </is>
      </c>
      <c r="G11512" s="10" t="inlineStr">
        <is>
          <t>29-03-2026</t>
        </is>
      </c>
      <c r="H11512" s="10" t="inlineStr">
        <is>
          <t>29/03/2026</t>
        </is>
      </c>
      <c r="I11512" s="10" t="inlineStr">
        <is>
          <t>17/03/2026</t>
        </is>
      </c>
      <c r="J11512" s="10" t="inlineStr">
        <is>
          <t>Ngân hàng, Bán hàng / Kinh doanh</t>
        </is>
      </c>
      <c r="K11512" s="10" t="inlineStr">
        <is>
          <t>Trên 1 Năm</t>
        </is>
      </c>
      <c r="L11512" s="11">
        <f>HYPERLINK("https://careerviet.vn/vi/tim-viec-lam/da-nang-chuyen-vien-khach-hang-uu-tien.35C69EA5.html","Xem chi tiết")</f>
        <v/>
      </c>
      <c r="M11512" s="10" t="n"/>
    </row>
    <row r="11513">
      <c r="B11513" s="7" t="n">
        <v>11511</v>
      </c>
      <c r="C11513" t="inlineStr">
        <is>
          <t>Tổ trưởng sản xuất</t>
        </is>
      </c>
      <c r="D11513" t="inlineStr">
        <is>
          <t>CÔNG TY CP HÀ YẾN</t>
        </is>
      </c>
      <c r="E11513" t="inlineStr">
        <is>
          <t>Lương:Cạnh tranh</t>
        </is>
      </c>
      <c r="F11513" t="inlineStr">
        <is>
          <t>Hưng Yên</t>
        </is>
      </c>
      <c r="G11513" t="inlineStr">
        <is>
          <t>29-03-2026</t>
        </is>
      </c>
      <c r="H11513" t="inlineStr">
        <is>
          <t>29/03/2026</t>
        </is>
      </c>
      <c r="I11513" t="inlineStr">
        <is>
          <t>17/03/2026</t>
        </is>
      </c>
      <c r="J11513" t="inlineStr">
        <is>
          <t>Cơ khí / Ô tô / Tự động hóa</t>
        </is>
      </c>
      <c r="K11513" t="inlineStr">
        <is>
          <t>2 - 3 Năm</t>
        </is>
      </c>
      <c r="L11513" s="8">
        <f>HYPERLINK("https://careerviet.vn/vi/tim-viec-lam/to-truong-san-xuat.35C69DDF.html","Xem chi tiết")</f>
        <v/>
      </c>
    </row>
    <row r="11514">
      <c r="B11514" s="9" t="n">
        <v>11512</v>
      </c>
      <c r="C11514" s="10" t="inlineStr">
        <is>
          <t>Kế toán tổng hợp</t>
        </is>
      </c>
      <c r="D11514" s="10" t="inlineStr">
        <is>
          <t>CÔNG TY CỔ PHẦN XÂY DỰNG VÀ THIẾT KẾ BẮC TRUNG NAM</t>
        </is>
      </c>
      <c r="E11514" s="10" t="inlineStr">
        <is>
          <t>Lương:15 Tr - 18 Tr VND</t>
        </is>
      </c>
      <c r="F11514" s="10" t="inlineStr">
        <is>
          <t>Hồ Chí Minh</t>
        </is>
      </c>
      <c r="G11514" s="10" t="inlineStr">
        <is>
          <t>31-03-2026</t>
        </is>
      </c>
      <c r="H11514" s="10" t="inlineStr">
        <is>
          <t>31/03/2026</t>
        </is>
      </c>
      <c r="I11514" s="10" t="inlineStr">
        <is>
          <t>17/03/2026</t>
        </is>
      </c>
      <c r="J11514" s="10" t="inlineStr">
        <is>
          <t>Kế toán / Kiểm toán, Tài chính / Đầu tư</t>
        </is>
      </c>
      <c r="K11514" s="10" t="inlineStr">
        <is>
          <t>2 - 5 Năm</t>
        </is>
      </c>
      <c r="L11514" s="11">
        <f>HYPERLINK("https://careerviet.vn/vi/tim-viec-lam/ke-toan-tong-hop.35C69E10.html","Xem chi tiết")</f>
        <v/>
      </c>
      <c r="M11514" s="10" t="n"/>
    </row>
    <row r="11515">
      <c r="B11515" s="7" t="n">
        <v>11513</v>
      </c>
      <c r="C11515" t="inlineStr">
        <is>
          <t>Nhân viên kinh doanh (ngành hàng kim khí)</t>
        </is>
      </c>
      <c r="D11515" t="inlineStr">
        <is>
          <t>Tập Đoàn Tân Á Đại Thành</t>
        </is>
      </c>
      <c r="E11515" t="inlineStr">
        <is>
          <t>Lương:8 Tr - 15 Tr VND</t>
        </is>
      </c>
      <c r="F11515" t="inlineStr">
        <is>
          <t>Hải DươngBà Rịa - Vũng Tàu</t>
        </is>
      </c>
      <c r="G11515" t="inlineStr">
        <is>
          <t>26-03-2026</t>
        </is>
      </c>
      <c r="H11515" t="inlineStr">
        <is>
          <t>26/03/2026</t>
        </is>
      </c>
      <c r="I11515" t="inlineStr">
        <is>
          <t>17/03/2026</t>
        </is>
      </c>
      <c r="J11515" t="inlineStr">
        <is>
          <t>Bán hàng / Kinh doanh</t>
        </is>
      </c>
      <c r="K11515" t="inlineStr">
        <is>
          <t>N/A</t>
        </is>
      </c>
      <c r="L11515" s="8">
        <f>HYPERLINK("https://careerviet.vn/vi/tim-viec-lam/nhan-vien-kinh-doanh-nganh-hang-kim-khi.35C69D74.html","Xem chi tiết")</f>
        <v/>
      </c>
    </row>
    <row r="11516">
      <c r="B11516" s="9" t="n">
        <v>11514</v>
      </c>
      <c r="C11516" s="10" t="inlineStr">
        <is>
          <t>Kế Toán Hồ Sơ</t>
        </is>
      </c>
      <c r="D11516" s="10" t="inlineStr">
        <is>
          <t>Tập đoàn Nhựa Bình Thuận</t>
        </is>
      </c>
      <c r="E11516" s="10" t="inlineStr">
        <is>
          <t>Lương:7 Tr - 8 Tr VND</t>
        </is>
      </c>
      <c r="F11516" s="10" t="inlineStr">
        <is>
          <t>Hà Nội</t>
        </is>
      </c>
      <c r="G11516" s="10" t="inlineStr">
        <is>
          <t>27-03-2026</t>
        </is>
      </c>
      <c r="H11516" s="10" t="inlineStr">
        <is>
          <t>27/03/2026</t>
        </is>
      </c>
      <c r="I11516" s="10" t="inlineStr">
        <is>
          <t>17/03/2026</t>
        </is>
      </c>
      <c r="J11516" s="10" t="inlineStr">
        <is>
          <t>Kế toán / Kiểm toán</t>
        </is>
      </c>
      <c r="K11516" s="10" t="inlineStr">
        <is>
          <t>N/A</t>
        </is>
      </c>
      <c r="L11516" s="11">
        <f>HYPERLINK("https://careerviet.vn/vi/tim-viec-lam/ke-toan-ho-so.35C69D76.html","Xem chi tiết")</f>
        <v/>
      </c>
      <c r="M11516" s="10" t="n"/>
    </row>
    <row r="11517">
      <c r="B11517" s="7" t="n">
        <v>11515</v>
      </c>
      <c r="C11517" t="inlineStr">
        <is>
          <t>Trưởng phòng Đấu thầu</t>
        </is>
      </c>
      <c r="D11517" t="inlineStr">
        <is>
          <t>Công ty cổ phần Tập đoàn Danko</t>
        </is>
      </c>
      <c r="E11517" t="inlineStr">
        <is>
          <t>Lương:40 Tr - 60 Tr VND</t>
        </is>
      </c>
      <c r="F11517" t="inlineStr">
        <is>
          <t>Hà Nội</t>
        </is>
      </c>
      <c r="G11517" t="inlineStr">
        <is>
          <t>31-03-2026</t>
        </is>
      </c>
      <c r="H11517" t="inlineStr">
        <is>
          <t>31/03/2026</t>
        </is>
      </c>
      <c r="I11517" t="inlineStr">
        <is>
          <t>17/03/2026</t>
        </is>
      </c>
      <c r="J11517" t="inlineStr">
        <is>
          <t>Xây dựng</t>
        </is>
      </c>
      <c r="K11517" t="inlineStr">
        <is>
          <t>Trên 10 Năm</t>
        </is>
      </c>
      <c r="L11517" s="8">
        <f>HYPERLINK("https://careerviet.vn/vi/tim-viec-lam/truong-phong-dau-thau.35C69E2D.html","Xem chi tiết")</f>
        <v/>
      </c>
    </row>
    <row r="11518">
      <c r="B11518" s="9" t="n">
        <v>11516</v>
      </c>
      <c r="C11518" s="10" t="inlineStr">
        <is>
          <t>Marketing Manager (ngành phụ kiện ô tô)</t>
        </is>
      </c>
      <c r="D11518" s="10" t="inlineStr">
        <is>
          <t>CÔNG TY TNHH XUẤT NHẬP KHẨU MT GROUP</t>
        </is>
      </c>
      <c r="E11518" s="10" t="inlineStr">
        <is>
          <t>Lương:20 Tr - 25 Tr VND</t>
        </is>
      </c>
      <c r="F11518" s="10" t="inlineStr">
        <is>
          <t>Hồ Chí Minh</t>
        </is>
      </c>
      <c r="G11518" s="10" t="inlineStr">
        <is>
          <t>31-03-2026</t>
        </is>
      </c>
      <c r="H11518" s="10" t="inlineStr">
        <is>
          <t>31/03/2026</t>
        </is>
      </c>
      <c r="I11518" s="10" t="inlineStr">
        <is>
          <t>17/03/2026</t>
        </is>
      </c>
      <c r="J11518" s="10" t="inlineStr">
        <is>
          <t>Tiếp thị / Marketing, Quảng cáo / Đối ngoại / Truyền Thông, Cơ khí / Ô tô / Tự động hóa</t>
        </is>
      </c>
      <c r="K11518" s="10" t="inlineStr">
        <is>
          <t>5 - 7 Năm</t>
        </is>
      </c>
      <c r="L11518" s="11">
        <f>HYPERLINK("https://careerviet.vn/vi/tim-viec-lam/marketing-manager-nganh-phu-kien-o-to.35C6A06F.html","Xem chi tiết")</f>
        <v/>
      </c>
      <c r="M11518" s="10" t="n"/>
    </row>
    <row r="11519">
      <c r="B11519" s="7" t="n">
        <v>11517</v>
      </c>
      <c r="C11519" t="inlineStr">
        <is>
          <t>Dự toán xây dựng [Quảng Ninh]</t>
        </is>
      </c>
      <c r="D11519" t="inlineStr">
        <is>
          <t>Công ty CP XHOME Việt Nam</t>
        </is>
      </c>
      <c r="E11519" t="inlineStr">
        <is>
          <t>Lương:10 Tr - 15 Tr VND</t>
        </is>
      </c>
      <c r="F11519" t="inlineStr">
        <is>
          <t>Quảng Ninh</t>
        </is>
      </c>
      <c r="G11519" t="inlineStr">
        <is>
          <t>30-03-2026</t>
        </is>
      </c>
      <c r="H11519" t="inlineStr">
        <is>
          <t>30/03/2026</t>
        </is>
      </c>
      <c r="I11519" t="inlineStr">
        <is>
          <t>17/03/2026</t>
        </is>
      </c>
      <c r="J11519" t="inlineStr">
        <is>
          <t>Xây dựng</t>
        </is>
      </c>
      <c r="K11519" t="inlineStr">
        <is>
          <t>2 - 3 Năm</t>
        </is>
      </c>
      <c r="L11519" s="8">
        <f>HYPERLINK("https://careerviet.vn/vi/tim-viec-lam/du-toan-xay-dung-quang-ninh.35C69FDA.html","Xem chi tiết")</f>
        <v/>
      </c>
    </row>
    <row r="11520">
      <c r="B11520" s="9" t="n">
        <v>11518</v>
      </c>
      <c r="C11520" s="10" t="inlineStr">
        <is>
          <t>Nhân Viên Kiểm Soát Nội Bộ</t>
        </is>
      </c>
      <c r="D11520" s="10" t="inlineStr">
        <is>
          <t>Công Ty TNHH Xúc Tiến Thương Mại NBT Holdings</t>
        </is>
      </c>
      <c r="E11520" s="10" t="inlineStr">
        <is>
          <t>Lương:13 Tr - 20 Tr VND</t>
        </is>
      </c>
      <c r="F11520" s="10" t="inlineStr">
        <is>
          <t>Hà Nội</t>
        </is>
      </c>
      <c r="G11520" s="10" t="inlineStr">
        <is>
          <t>12-03-2026</t>
        </is>
      </c>
      <c r="H11520" s="10" t="inlineStr">
        <is>
          <t>15/03/2026</t>
        </is>
      </c>
      <c r="I11520" s="10" t="inlineStr">
        <is>
          <t>17/03/2026</t>
        </is>
      </c>
      <c r="J11520" s="10" t="inlineStr">
        <is>
          <t>Kế toán / Kiểm toán, Hành chính / Thư ký, Xuất nhập khẩu</t>
        </is>
      </c>
      <c r="K11520" s="10" t="inlineStr">
        <is>
          <t>2 - 5 Năm</t>
        </is>
      </c>
      <c r="L11520" s="11">
        <f>HYPERLINK("https://careerviet.vn/vi/tim-viec-lam/nhan-vien-kiem-soat-noi-bo.35C69E96.html","Xem chi tiết")</f>
        <v/>
      </c>
      <c r="M11520" s="10" t="n"/>
    </row>
    <row r="11521">
      <c r="B11521" s="7" t="n">
        <v>11519</v>
      </c>
      <c r="C11521" t="inlineStr">
        <is>
          <t>Giám Sát Buồng Phòng (Phú Thọ)</t>
        </is>
      </c>
      <c r="D11521" t="inlineStr">
        <is>
          <t>CÔNG TY CỔ PHẦN TẬP ĐOÀN ONSEN FUJI</t>
        </is>
      </c>
      <c r="E11521" t="inlineStr">
        <is>
          <t>Lương:12 Tr - 18 Tr VND</t>
        </is>
      </c>
      <c r="F11521" t="inlineStr">
        <is>
          <t>Phú Thọ</t>
        </is>
      </c>
      <c r="G11521" t="inlineStr">
        <is>
          <t>31-03-2026</t>
        </is>
      </c>
      <c r="H11521" t="inlineStr">
        <is>
          <t>31/03/2026</t>
        </is>
      </c>
      <c r="I11521" t="inlineStr">
        <is>
          <t>17/03/2026</t>
        </is>
      </c>
      <c r="J11521" t="inlineStr">
        <is>
          <t>Nhà hàng / Khách sạn</t>
        </is>
      </c>
      <c r="K11521" t="inlineStr">
        <is>
          <t>2 - 3 Năm</t>
        </is>
      </c>
      <c r="L11521" s="8">
        <f>HYPERLINK("https://careerviet.vn/vi/tim-viec-lam/giam-sat-buong-phong-phu-tho.35C6A08B.html","Xem chi tiết")</f>
        <v/>
      </c>
    </row>
    <row r="11522">
      <c r="B11522" s="9" t="n">
        <v>11520</v>
      </c>
      <c r="C11522" s="10" t="inlineStr">
        <is>
          <t>IT Presales Engineer</t>
        </is>
      </c>
      <c r="D11522" s="10" t="inlineStr">
        <is>
          <t>EAST SEA ENERGY ENVIRONMENT COMPANY LIMITED</t>
        </is>
      </c>
      <c r="E11522" s="10" t="inlineStr">
        <is>
          <t>Lương:Cạnh tranh</t>
        </is>
      </c>
      <c r="F11522" s="10" t="inlineStr">
        <is>
          <t>Hồ Chí Minh</t>
        </is>
      </c>
      <c r="G11522" s="10" t="inlineStr">
        <is>
          <t>31-03-2026</t>
        </is>
      </c>
      <c r="H11522" s="10" t="inlineStr">
        <is>
          <t>31/03/2026</t>
        </is>
      </c>
      <c r="I11522" s="10" t="inlineStr">
        <is>
          <t>17/03/2026</t>
        </is>
      </c>
      <c r="J11522" s="10" t="inlineStr">
        <is>
          <t>CNTT - Phần mềm, CNTT - Phần cứng / Mạng, Bán Hàng Kỹ Thuật</t>
        </is>
      </c>
      <c r="K11522" s="10" t="inlineStr">
        <is>
          <t>3 - 5 Năm</t>
        </is>
      </c>
      <c r="L11522" s="11">
        <f>HYPERLINK("https://careerviet.vn/vi/tim-viec-lam/it-presales-engineer.35C69FCC.html","Xem chi tiết")</f>
        <v/>
      </c>
      <c r="M11522" s="10" t="n"/>
    </row>
    <row r="11523">
      <c r="B11523" s="7" t="n">
        <v>11521</v>
      </c>
      <c r="C11523" t="inlineStr">
        <is>
          <t>Warehouse supervisor</t>
        </is>
      </c>
      <c r="D11523" t="inlineStr">
        <is>
          <t>Công Ty TNHH Nyan Kids Đồng Nai</t>
        </is>
      </c>
      <c r="E11523" t="inlineStr">
        <is>
          <t>Lương:Cạnh tranh</t>
        </is>
      </c>
      <c r="F11523" t="inlineStr">
        <is>
          <t>Đồng Nai</t>
        </is>
      </c>
      <c r="G11523" t="inlineStr">
        <is>
          <t>30-04-2026</t>
        </is>
      </c>
      <c r="H11523" t="inlineStr">
        <is>
          <t>30/04/2026</t>
        </is>
      </c>
      <c r="I11523" t="inlineStr">
        <is>
          <t>17/03/2026</t>
        </is>
      </c>
      <c r="J11523" t="inlineStr">
        <is>
          <t>Dệt may / Da giày / Thời trang, Sản xuất / Vận hành sản xuất</t>
        </is>
      </c>
      <c r="K11523" t="inlineStr">
        <is>
          <t>2 - 5 Năm</t>
        </is>
      </c>
      <c r="L11523" s="8">
        <f>HYPERLINK("https://careerviet.vn/vi/tim-viec-lam/warehouse-supervisor.35C69E15.html","Xem chi tiết")</f>
        <v/>
      </c>
    </row>
    <row r="11524">
      <c r="B11524" s="9" t="n">
        <v>11522</v>
      </c>
      <c r="C11524" s="10" t="inlineStr">
        <is>
          <t>Nhân Viên C&amp;B/ Hành chính nhân sự tổng hợp</t>
        </is>
      </c>
      <c r="D11524" s="10" t="inlineStr">
        <is>
          <t>THẨM MỸ VIỆN DR DOHYUN</t>
        </is>
      </c>
      <c r="E11524" s="10" t="inlineStr">
        <is>
          <t>Lương:12 Tr - 15 Tr VND</t>
        </is>
      </c>
      <c r="F11524" s="10" t="inlineStr">
        <is>
          <t>Hồ Chí Minh</t>
        </is>
      </c>
      <c r="G11524" s="10" t="inlineStr">
        <is>
          <t>30-04-2026</t>
        </is>
      </c>
      <c r="H11524" s="10" t="inlineStr">
        <is>
          <t>30/04/2026</t>
        </is>
      </c>
      <c r="I11524" s="10" t="inlineStr">
        <is>
          <t>17/03/2026</t>
        </is>
      </c>
      <c r="J11524" s="10" t="inlineStr">
        <is>
          <t>Y tế / Chăm sóc sức khỏe / Thẩm mỹ / Làm đẹp, Dược phẩm/ Hóa Mỹ Phẩm, Nhân sự</t>
        </is>
      </c>
      <c r="K11524" s="10" t="inlineStr">
        <is>
          <t>3 - 5 Năm</t>
        </is>
      </c>
      <c r="L11524" s="11">
        <f>HYPERLINK("https://careerviet.vn/vi/tim-viec-lam/nhan-vien-c-b-hanh-chinh-nhan-su-tong-hop.35C69EC5.html","Xem chi tiết")</f>
        <v/>
      </c>
      <c r="M11524" s="10" t="n"/>
    </row>
    <row r="11525">
      <c r="B11525" s="7" t="n">
        <v>11523</v>
      </c>
      <c r="C11525" t="inlineStr">
        <is>
          <t>Nhân viên Telesales kênh GT</t>
        </is>
      </c>
      <c r="D11525" t="inlineStr">
        <is>
          <t>CÔNG TY CỔ PHẦN PHÁT TRIỂN CƠ ĐIỆN LẠNH HOÀNG ĐẠT</t>
        </is>
      </c>
      <c r="E11525" t="inlineStr">
        <is>
          <t>Lương:15 Tr - 25 Tr VND</t>
        </is>
      </c>
      <c r="F11525" t="inlineStr">
        <is>
          <t>Hà Nội</t>
        </is>
      </c>
      <c r="G11525" t="inlineStr">
        <is>
          <t>31-03-2026</t>
        </is>
      </c>
      <c r="H11525" t="inlineStr">
        <is>
          <t>31/03/2026</t>
        </is>
      </c>
      <c r="I11525" t="inlineStr">
        <is>
          <t>17/03/2026</t>
        </is>
      </c>
      <c r="J11525" t="inlineStr">
        <is>
          <t>Bán hàng / Kinh doanh, Xây dựng</t>
        </is>
      </c>
      <c r="K11525" t="inlineStr">
        <is>
          <t>1 - 3 Năm</t>
        </is>
      </c>
      <c r="L11525" s="8">
        <f>HYPERLINK("https://careerviet.vn/vi/tim-viec-lam/nhan-vien-telesales-kenh-gt.35C6A108.html","Xem chi tiết")</f>
        <v/>
      </c>
    </row>
    <row r="11526">
      <c r="B11526" s="9" t="n">
        <v>11524</v>
      </c>
      <c r="C11526" s="10" t="inlineStr">
        <is>
          <t>NHÂN VIÊN KINH DOANH – THIẾT BỊ</t>
        </is>
      </c>
      <c r="D11526" s="10" t="inlineStr">
        <is>
          <t>Công ty TNHH Cobi One</t>
        </is>
      </c>
      <c r="E11526" s="10" t="inlineStr">
        <is>
          <t>Lương:10 Tr - 20 Tr VND</t>
        </is>
      </c>
      <c r="F11526" s="10" t="inlineStr">
        <is>
          <t>Hà Nội</t>
        </is>
      </c>
      <c r="G11526" s="10" t="inlineStr">
        <is>
          <t>30-04-2026</t>
        </is>
      </c>
      <c r="H11526" s="10" t="inlineStr">
        <is>
          <t>30/04/2026</t>
        </is>
      </c>
      <c r="I11526" s="10" t="inlineStr">
        <is>
          <t>17/03/2026</t>
        </is>
      </c>
      <c r="J11526" s="10" t="inlineStr">
        <is>
          <t>Bán hàng / Kinh doanh</t>
        </is>
      </c>
      <c r="K11526" s="10" t="inlineStr">
        <is>
          <t>1 - 2 Năm</t>
        </is>
      </c>
      <c r="L11526" s="11">
        <f>HYPERLINK("https://careerviet.vn/vi/tim-viec-lam/nhan-vien-kinh-doanh-thiet-bi.35C69FD1.html","Xem chi tiết")</f>
        <v/>
      </c>
      <c r="M11526" s="10" t="n"/>
    </row>
    <row r="11527">
      <c r="B11527" s="7" t="n">
        <v>11525</v>
      </c>
      <c r="C11527" t="inlineStr">
        <is>
          <t>Nhân viên hành chính nhân sự</t>
        </is>
      </c>
      <c r="D11527" t="inlineStr">
        <is>
          <t>CÔNG TY CỔ PHẦN ẨM THỰC SAO PHƯƠNG NAM GROUP</t>
        </is>
      </c>
      <c r="E11527" t="inlineStr">
        <is>
          <t>Lương:8 Tr - 9 Tr VND</t>
        </is>
      </c>
      <c r="F11527" t="inlineStr">
        <is>
          <t>Hà Nội</t>
        </is>
      </c>
      <c r="G11527" t="inlineStr">
        <is>
          <t>31-03-2026</t>
        </is>
      </c>
      <c r="H11527" t="inlineStr">
        <is>
          <t>31/03/2026</t>
        </is>
      </c>
      <c r="I11527" t="inlineStr">
        <is>
          <t>17/03/2026</t>
        </is>
      </c>
      <c r="J11527" t="inlineStr">
        <is>
          <t>Nhân sự</t>
        </is>
      </c>
      <c r="K11527" t="inlineStr">
        <is>
          <t>1 - 2 Năm</t>
        </is>
      </c>
      <c r="L11527" s="8">
        <f>HYPERLINK("https://careerviet.vn/vi/tim-viec-lam/nhan-vien-hanh-chinh-nhan-su.35C69F5F.html","Xem chi tiết")</f>
        <v/>
      </c>
    </row>
    <row r="11528">
      <c r="B11528" s="9" t="n">
        <v>11526</v>
      </c>
      <c r="C11528" s="10" t="inlineStr">
        <is>
          <t>Sales Supervisor - Giám Sát Kinh Doanh (KV Thanh Hóa)</t>
        </is>
      </c>
      <c r="D11528" s="10" t="inlineStr">
        <is>
          <t>Công Ty TNHH Sơn TOA Việt Nam</t>
        </is>
      </c>
      <c r="E11528" s="10" t="inlineStr">
        <is>
          <t>Lương:Cạnh tranh</t>
        </is>
      </c>
      <c r="F11528" s="10" t="inlineStr">
        <is>
          <t>Thanh Hóa</t>
        </is>
      </c>
      <c r="G11528" s="10" t="inlineStr">
        <is>
          <t>31-03-2026</t>
        </is>
      </c>
      <c r="H11528" s="10" t="inlineStr">
        <is>
          <t>31/03/2026</t>
        </is>
      </c>
      <c r="I11528" s="10" t="inlineStr">
        <is>
          <t>17/03/2026</t>
        </is>
      </c>
      <c r="J11528" s="10" t="inlineStr">
        <is>
          <t>Bán lẻ / Bán sỉ, Bán hàng / Kinh doanh, Xây dựng</t>
        </is>
      </c>
      <c r="K11528" s="10" t="inlineStr">
        <is>
          <t>3 - 6 Năm</t>
        </is>
      </c>
      <c r="L11528" s="11">
        <f>HYPERLINK("https://careerviet.vn/vi/tim-viec-lam/sales-supervisor-giam-sat-kinh-doanh-kv-thanh-hoa.35C69D32.html","Xem chi tiết")</f>
        <v/>
      </c>
      <c r="M11528" s="10" t="n"/>
    </row>
    <row r="11529">
      <c r="B11529" s="7" t="n">
        <v>11527</v>
      </c>
      <c r="C11529" t="inlineStr">
        <is>
          <t>Senior Digital Marketing (Ưu tiên nhận việc ngay)</t>
        </is>
      </c>
      <c r="D11529" t="inlineStr">
        <is>
          <t>Công Ty TNHH Muse Medical</t>
        </is>
      </c>
      <c r="E11529" t="inlineStr">
        <is>
          <t>Lương:Cạnh tranh</t>
        </is>
      </c>
      <c r="F11529" t="inlineStr">
        <is>
          <t>Hồ Chí Minh</t>
        </is>
      </c>
      <c r="G11529" t="inlineStr">
        <is>
          <t>31-03-2026</t>
        </is>
      </c>
      <c r="H11529" t="inlineStr">
        <is>
          <t>31/03/2026</t>
        </is>
      </c>
      <c r="I11529" t="inlineStr">
        <is>
          <t>17/03/2026</t>
        </is>
      </c>
      <c r="J11529" t="inlineStr">
        <is>
          <t>Tiếp thị / Marketing, Y tế / Chăm sóc sức khỏe / Thẩm mỹ / Làm đẹp, Quảng cáo / Đối ngoại / Truyền Thông</t>
        </is>
      </c>
      <c r="K11529" t="inlineStr">
        <is>
          <t>Trên 2 Năm</t>
        </is>
      </c>
      <c r="L11529" s="8">
        <f>HYPERLINK("https://careerviet.vn/vi/tim-viec-lam/senior-digital-marketing-uu-tien-nhan-viec-ngay.35C6A0D6.html","Xem chi tiết")</f>
        <v/>
      </c>
    </row>
    <row r="11530">
      <c r="B11530" s="9" t="n">
        <v>11528</v>
      </c>
      <c r="C11530" s="10" t="inlineStr">
        <is>
          <t>Phó Quản Lý Cửa Hàng  - ABM/Hồ Chí Minh</t>
        </is>
      </c>
      <c r="D11530" s="10" t="inlineStr">
        <is>
          <t>PPP Laser Clinic Viet Nam</t>
        </is>
      </c>
      <c r="E11530" s="10" t="inlineStr">
        <is>
          <t>Lương:20 Tr - 50 Tr VND</t>
        </is>
      </c>
      <c r="F11530" s="10" t="inlineStr">
        <is>
          <t>Hồ Chí Minh</t>
        </is>
      </c>
      <c r="G11530" s="10" t="inlineStr">
        <is>
          <t>31-03-2026</t>
        </is>
      </c>
      <c r="H11530" s="10" t="inlineStr">
        <is>
          <t>31/03/2026</t>
        </is>
      </c>
      <c r="I11530" s="10" t="inlineStr">
        <is>
          <t>17/03/2026</t>
        </is>
      </c>
      <c r="J11530" s="10" t="inlineStr">
        <is>
          <t>Y tế / Chăm sóc sức khỏe / Thẩm mỹ / Làm đẹp, Ngân hàng, Bảo hiểm</t>
        </is>
      </c>
      <c r="K11530" s="10" t="inlineStr">
        <is>
          <t>4 - 6 Năm</t>
        </is>
      </c>
      <c r="L11530" s="11">
        <f>HYPERLINK("https://careerviet.vn/vi/tim-viec-lam/pho-quan-ly-cua-hang-abm-ho-chi-minh.35C6A0C5.html","Xem chi tiết")</f>
        <v/>
      </c>
      <c r="M11530" s="10" t="n"/>
    </row>
    <row r="11531">
      <c r="B11531" s="7" t="n">
        <v>11529</v>
      </c>
      <c r="C11531" t="inlineStr">
        <is>
          <t>Nhân viên vận hành CNC</t>
        </is>
      </c>
      <c r="D11531" t="inlineStr">
        <is>
          <t>Công Ty TNHH Khuôn Mẫu Chính Xác DK</t>
        </is>
      </c>
      <c r="E11531" t="inlineStr">
        <is>
          <t>Lương:Cạnh tranh</t>
        </is>
      </c>
      <c r="F11531" t="inlineStr">
        <is>
          <t>Bình Dương</t>
        </is>
      </c>
      <c r="G11531" t="inlineStr">
        <is>
          <t>31-03-2026</t>
        </is>
      </c>
      <c r="H11531" t="inlineStr">
        <is>
          <t>31/03/2026</t>
        </is>
      </c>
      <c r="I11531" t="inlineStr">
        <is>
          <t>17/03/2026</t>
        </is>
      </c>
      <c r="J11531" t="inlineStr">
        <is>
          <t>Cơ khí / Ô tô / Tự động hóa</t>
        </is>
      </c>
      <c r="K11531" t="inlineStr">
        <is>
          <t>N/A</t>
        </is>
      </c>
      <c r="L11531" s="8">
        <f>HYPERLINK("https://careerviet.vn/vi/tim-viec-lam/nhan-vien-van-hanh-cnc.35C69FDC.html","Xem chi tiết")</f>
        <v/>
      </c>
    </row>
    <row r="11532">
      <c r="B11532" s="9" t="n">
        <v>11530</v>
      </c>
      <c r="C11532" s="10" t="inlineStr">
        <is>
          <t>Kiến Trúc Sư Thiết Kế Ý Tưởng (HN, ĐN, HCM)</t>
        </is>
      </c>
      <c r="D11532" s="10" t="inlineStr">
        <is>
          <t>CÔNG TY TNHH THIẾT KẾ HPA &amp; PARTNERS (VIÊT NAM)</t>
        </is>
      </c>
      <c r="E11532" s="10" t="inlineStr">
        <is>
          <t>Lương:Trên 20 Tr VND</t>
        </is>
      </c>
      <c r="F11532" s="10" t="inlineStr">
        <is>
          <t>Hà NộiHồ Chí MinhĐà Nẵng</t>
        </is>
      </c>
      <c r="G11532" s="10" t="inlineStr">
        <is>
          <t>27-03-2026</t>
        </is>
      </c>
      <c r="H11532" s="10" t="inlineStr">
        <is>
          <t>27/03/2026</t>
        </is>
      </c>
      <c r="I11532" s="10" t="inlineStr">
        <is>
          <t>17/03/2026</t>
        </is>
      </c>
      <c r="J11532" s="10" t="inlineStr">
        <is>
          <t>Kiến trúc, Xây dựng, Mỹ thuật / Nghệ thuật / Thiết kế</t>
        </is>
      </c>
      <c r="K11532" s="10" t="inlineStr">
        <is>
          <t>Trên 5 Năm</t>
        </is>
      </c>
      <c r="L11532" s="11">
        <f>HYPERLINK("https://careerviet.vn/vi/tim-viec-lam/kien-truc-su-thiet-ke-y-tuong-hn-dn-hcm.35C69F6A.html","Xem chi tiết")</f>
        <v/>
      </c>
      <c r="M11532" s="10" t="n"/>
    </row>
    <row r="11533">
      <c r="B11533" s="7" t="n">
        <v>11531</v>
      </c>
      <c r="C11533" t="inlineStr">
        <is>
          <t>Chuyên viên kinh doanh dự án (bán kênh tổng thầu, nhà thầu lớn)</t>
        </is>
      </c>
      <c r="D11533" t="inlineStr">
        <is>
          <t>CÔNG TY CỔ PHẦN PHÁT TRIỂN CƠ ĐIỆN LẠNH HOÀNG ĐẠT</t>
        </is>
      </c>
      <c r="E11533" t="inlineStr">
        <is>
          <t>Lương:30 Tr - 50 Tr VND</t>
        </is>
      </c>
      <c r="F11533" t="inlineStr">
        <is>
          <t>Hà Nội</t>
        </is>
      </c>
      <c r="G11533" t="inlineStr">
        <is>
          <t>31-03-2026</t>
        </is>
      </c>
      <c r="H11533" t="inlineStr">
        <is>
          <t>31/03/2026</t>
        </is>
      </c>
      <c r="I11533" t="inlineStr">
        <is>
          <t>17/03/2026</t>
        </is>
      </c>
      <c r="J11533" t="inlineStr">
        <is>
          <t>Bán hàng / Kinh doanh, Xây dựng, Điện / Điện tử / Điện lạnh / Điện công nghiệp</t>
        </is>
      </c>
      <c r="K11533" t="inlineStr">
        <is>
          <t>1 - 3 Năm</t>
        </is>
      </c>
      <c r="L11533" s="8">
        <f>HYPERLINK("https://careerviet.vn/vi/tim-viec-lam/chuyen-vien-kinh-doanh-du-an-ban-kenh-tong-thau-nha-thau-lon.35C6A10A.html","Xem chi tiết")</f>
        <v/>
      </c>
    </row>
    <row r="11534">
      <c r="B11534" s="9" t="n">
        <v>11532</v>
      </c>
      <c r="C11534" s="10" t="inlineStr">
        <is>
          <t>CHUYÊN VIÊN PHÂN TÍCH KINH DOANH (SALE PLANNING)</t>
        </is>
      </c>
      <c r="D11534" s="10" t="inlineStr">
        <is>
          <t>CÔNG TY CỔ PHẦN CẢNG TÀU KHÁCH QUỐC TẾ TUẦN CHÂU</t>
        </is>
      </c>
      <c r="E11534" s="10" t="inlineStr">
        <is>
          <t>Lương:Cạnh tranh</t>
        </is>
      </c>
      <c r="F11534" s="10" t="inlineStr">
        <is>
          <t>Hà Nội</t>
        </is>
      </c>
      <c r="G11534" s="10" t="inlineStr">
        <is>
          <t>29-03-2026</t>
        </is>
      </c>
      <c r="H11534" s="10" t="inlineStr">
        <is>
          <t>29/03/2026</t>
        </is>
      </c>
      <c r="I11534" s="10" t="inlineStr">
        <is>
          <t>17/03/2026</t>
        </is>
      </c>
      <c r="J11534" s="10" t="inlineStr">
        <is>
          <t>Kế toán / Kiểm toán, Bán hàng / Kinh doanh, Thống kê</t>
        </is>
      </c>
      <c r="K11534" s="10" t="inlineStr">
        <is>
          <t>1 - 2 Năm</t>
        </is>
      </c>
      <c r="L11534" s="11">
        <f>HYPERLINK("https://careerviet.vn/vi/tim-viec-lam/chuyen-vien-phan-tich-kinh-doanh-sale-planning.35C69F90.html","Xem chi tiết")</f>
        <v/>
      </c>
      <c r="M11534" s="10" t="n"/>
    </row>
    <row r="11535">
      <c r="B11535" s="7" t="n">
        <v>11533</v>
      </c>
      <c r="C11535" t="inlineStr">
        <is>
          <t>Hull &amp; Outfitting Engineer</t>
        </is>
      </c>
      <c r="D11535" t="inlineStr">
        <is>
          <t>CÔNG TY TNHH VARD VŨNG TÀU</t>
        </is>
      </c>
      <c r="E11535" t="inlineStr">
        <is>
          <t>Lương:Cạnh tranh</t>
        </is>
      </c>
      <c r="F11535" t="inlineStr">
        <is>
          <t>Bà Rịa - Vũng Tàu</t>
        </is>
      </c>
      <c r="G11535" t="inlineStr">
        <is>
          <t>27-03-2026</t>
        </is>
      </c>
      <c r="H11535" t="inlineStr">
        <is>
          <t>27/03/2026</t>
        </is>
      </c>
      <c r="I11535" t="inlineStr">
        <is>
          <t>17/03/2026</t>
        </is>
      </c>
      <c r="J11535" t="inlineStr">
        <is>
          <t>Hàng hải, Cơ khí / Ô tô / Tự động hóa, Bảo trì / Sửa chữa</t>
        </is>
      </c>
      <c r="K11535" t="inlineStr">
        <is>
          <t>N/A</t>
        </is>
      </c>
      <c r="L11535" s="8">
        <f>HYPERLINK("https://careerviet.vn/vi/tim-viec-lam/hull-outfitting-engineer.35C69FC3.html","Xem chi tiết")</f>
        <v/>
      </c>
    </row>
    <row r="11536">
      <c r="B11536" s="9" t="n">
        <v>11534</v>
      </c>
      <c r="C11536" s="10" t="inlineStr">
        <is>
          <t>CHUYÊN VIÊN MUA HÀNG VẬT TƯ  [CỦ CHI]</t>
        </is>
      </c>
      <c r="D11536" s="10" t="inlineStr">
        <is>
          <t>CÔNG TY CP SAIGON AUTO SUPPORTING INDUSTRY</t>
        </is>
      </c>
      <c r="E11536" s="10" t="inlineStr">
        <is>
          <t>Lương:Cạnh tranh</t>
        </is>
      </c>
      <c r="F11536" s="10" t="inlineStr">
        <is>
          <t>Hồ Chí Minh</t>
        </is>
      </c>
      <c r="G11536" s="10" t="inlineStr">
        <is>
          <t>31-03-2026</t>
        </is>
      </c>
      <c r="H11536" s="10" t="inlineStr">
        <is>
          <t>31/03/2026</t>
        </is>
      </c>
      <c r="I11536" s="10" t="inlineStr">
        <is>
          <t>17/03/2026</t>
        </is>
      </c>
      <c r="J11536" s="10" t="inlineStr">
        <is>
          <t>Cơ khí / Ô tô / Tự động hóa, Thu mua / Vật tư, Bán Hàng Kỹ Thuật</t>
        </is>
      </c>
      <c r="K11536" s="10" t="inlineStr">
        <is>
          <t>1 - 3 Năm</t>
        </is>
      </c>
      <c r="L11536" s="11">
        <f>HYPERLINK("https://careerviet.vn/vi/tim-viec-lam/chuyen-vien-mua-hang-vat-tu-cu-chi.35C69DD2.html","Xem chi tiết")</f>
        <v/>
      </c>
      <c r="M11536" s="10" t="n"/>
    </row>
    <row r="11537">
      <c r="B11537" s="7" t="n">
        <v>11535</v>
      </c>
      <c r="C11537" t="inlineStr">
        <is>
          <t>HỌA VIÊN KIẾN TRÚC</t>
        </is>
      </c>
      <c r="D11537" t="inlineStr">
        <is>
          <t>CÔNG TY CỔ PHẦN TƯ VẤN THIẾT KẾ VÀ XÂY DỰNG GREENHN</t>
        </is>
      </c>
      <c r="E11537" t="inlineStr">
        <is>
          <t>Lương:14 Tr - 20 Tr VND</t>
        </is>
      </c>
      <c r="F11537" t="inlineStr">
        <is>
          <t>Hồ Chí Minh</t>
        </is>
      </c>
      <c r="G11537" t="inlineStr">
        <is>
          <t>31-03-2026</t>
        </is>
      </c>
      <c r="H11537" t="inlineStr">
        <is>
          <t>31/03/2026</t>
        </is>
      </c>
      <c r="I11537" t="inlineStr">
        <is>
          <t>17/03/2026</t>
        </is>
      </c>
      <c r="J11537" t="inlineStr">
        <is>
          <t>Kiến trúc, Xây dựng, Nội ngoại thất</t>
        </is>
      </c>
      <c r="K11537" t="inlineStr">
        <is>
          <t>3 - 5 Năm</t>
        </is>
      </c>
      <c r="L11537" s="8">
        <f>HYPERLINK("https://careerviet.vn/vi/tim-viec-lam/hoa-vien-kien-truc.35C69D3D.html","Xem chi tiết")</f>
        <v/>
      </c>
    </row>
    <row r="11538">
      <c r="B11538" s="9" t="n">
        <v>11536</v>
      </c>
      <c r="C11538" s="10" t="inlineStr">
        <is>
          <t>[HN&amp;HCM] Nhân viên Chăm sóc Khách hàng tại Ngân Hàng TP Bank</t>
        </is>
      </c>
      <c r="D11538" s="10" t="inlineStr">
        <is>
          <t>BellSystem24-Việt Nam</t>
        </is>
      </c>
      <c r="E11538" s="10" t="inlineStr">
        <is>
          <t>Lương:7 Tr - 9 Tr VND</t>
        </is>
      </c>
      <c r="F11538" s="10" t="inlineStr">
        <is>
          <t>Hà NộiHồ Chí Minh</t>
        </is>
      </c>
      <c r="G11538" s="10" t="inlineStr">
        <is>
          <t>31-03-2026</t>
        </is>
      </c>
      <c r="H11538" s="10" t="inlineStr">
        <is>
          <t>31/03/2026</t>
        </is>
      </c>
      <c r="I11538" s="10" t="inlineStr">
        <is>
          <t>17/03/2026</t>
        </is>
      </c>
      <c r="J11538" s="10" t="inlineStr">
        <is>
          <t>Mới tốt nghiệp / Thực tập, Ngân hàng, Dịch vụ khách hàng</t>
        </is>
      </c>
      <c r="K11538" s="10" t="inlineStr">
        <is>
          <t>N/A</t>
        </is>
      </c>
      <c r="L11538" s="11">
        <f>HYPERLINK("https://careerviet.vn/vi/tim-viec-lam/hn-hcm-nhan-vien-cham-soc-khach-hang-tai-ngan-hang-tp-bank.35C69DAF.html","Xem chi tiết")</f>
        <v/>
      </c>
      <c r="M11538" s="10" t="n"/>
    </row>
    <row r="11539">
      <c r="B11539" s="7" t="n">
        <v>11537</v>
      </c>
      <c r="C11539" t="inlineStr">
        <is>
          <t>Trung tâm Thu hồi nợ RB_CV/CVCC xử lý nợ khách hàng cá nhân (Có TSĐB)</t>
        </is>
      </c>
      <c r="D11539" t="inlineStr">
        <is>
          <t>Ngân Hàng TMCP Phương Đông - OCB</t>
        </is>
      </c>
      <c r="E11539" t="inlineStr">
        <is>
          <t>Lương:Cạnh tranh</t>
        </is>
      </c>
      <c r="F11539" t="inlineStr">
        <is>
          <t>Hồ Chí MinhĐồng Bằng Sông Cửu LongKV Nam Trung Bộ</t>
        </is>
      </c>
      <c r="G11539" t="inlineStr">
        <is>
          <t>31-03-2026</t>
        </is>
      </c>
      <c r="H11539" t="inlineStr">
        <is>
          <t>31/03/2026</t>
        </is>
      </c>
      <c r="I11539" t="inlineStr">
        <is>
          <t>17/03/2026</t>
        </is>
      </c>
      <c r="J11539" t="inlineStr">
        <is>
          <t>Luật / Pháp lý, Ngân hàng</t>
        </is>
      </c>
      <c r="K11539" t="inlineStr">
        <is>
          <t>1 - 10 Năm</t>
        </is>
      </c>
      <c r="L11539" s="8">
        <f>HYPERLINK("https://careerviet.vn/vi/tim-viec-lam/trung-tam-thu-hoi-no-rb_cv-cvcc-xu-ly-no-khach-hang-ca-nhan-co-tsdb.35C6A0E0.html","Xem chi tiết")</f>
        <v/>
      </c>
    </row>
    <row r="11540">
      <c r="B11540" s="9" t="n">
        <v>11538</v>
      </c>
      <c r="C11540" s="10" t="inlineStr">
        <is>
          <t>Chuyên gia Quản lý yêu cầu (ITDM)  - HO - 2V055</t>
        </is>
      </c>
      <c r="D11540" s="10" t="inlineStr">
        <is>
          <t>Tập đoàn ROX (ROX Group)</t>
        </is>
      </c>
      <c r="E11540" s="10" t="inlineStr">
        <is>
          <t>Lương:Cạnh tranh</t>
        </is>
      </c>
      <c r="F11540" s="10" t="inlineStr">
        <is>
          <t>Hà Nội</t>
        </is>
      </c>
      <c r="G11540" s="10" t="inlineStr">
        <is>
          <t>29-03-2026</t>
        </is>
      </c>
      <c r="H11540" s="10" t="inlineStr">
        <is>
          <t>29/03/2026</t>
        </is>
      </c>
      <c r="I11540" s="10" t="inlineStr">
        <is>
          <t>17/03/2026</t>
        </is>
      </c>
      <c r="J11540" s="10" t="inlineStr">
        <is>
          <t>CNTT - Phần mềm</t>
        </is>
      </c>
      <c r="K11540" s="10" t="inlineStr">
        <is>
          <t>Trên 5 Năm</t>
        </is>
      </c>
      <c r="L11540" s="11">
        <f>HYPERLINK("https://careerviet.vn/vi/tim-viec-lam/chuyen-gia-quan-ly-yeu-cau-itdm-ho-2v055.35C6A0B0.html","Xem chi tiết")</f>
        <v/>
      </c>
      <c r="M11540" s="10" t="n"/>
    </row>
    <row r="11541">
      <c r="B11541" s="7" t="n">
        <v>11539</v>
      </c>
      <c r="C11541" t="inlineStr">
        <is>
          <t>NHÂN VIÊN PHÁT TRIỂN VẢI (HÀNG MAY MẶC)</t>
        </is>
      </c>
      <c r="D11541" t="inlineStr">
        <is>
          <t>Công Ty TNHH T.M.G</t>
        </is>
      </c>
      <c r="E11541" t="inlineStr">
        <is>
          <t>Lương:Cạnh tranh</t>
        </is>
      </c>
      <c r="F11541" t="inlineStr">
        <is>
          <t>Hồ Chí Minh</t>
        </is>
      </c>
      <c r="G11541" t="inlineStr">
        <is>
          <t>30-04-2026</t>
        </is>
      </c>
      <c r="H11541" t="inlineStr">
        <is>
          <t>30/04/2026</t>
        </is>
      </c>
      <c r="I11541" t="inlineStr">
        <is>
          <t>17/03/2026</t>
        </is>
      </c>
      <c r="J11541" t="inlineStr">
        <is>
          <t>Bán lẻ / Bán sỉ, Dệt may / Da giày / Thời trang, Mỹ thuật / Nghệ thuật / Thiết kế</t>
        </is>
      </c>
      <c r="K11541" t="inlineStr">
        <is>
          <t>Trên 3 Năm</t>
        </is>
      </c>
      <c r="L11541" s="8">
        <f>HYPERLINK("https://careerviet.vn/vi/tim-viec-lam/nhan-vien-phat-trien-vai-hang-may-mac.35C6A094.html","Xem chi tiết")</f>
        <v/>
      </c>
    </row>
    <row r="11542">
      <c r="B11542" s="9" t="n">
        <v>11540</v>
      </c>
      <c r="C11542" s="10" t="inlineStr">
        <is>
          <t>PE工程师</t>
        </is>
      </c>
      <c r="D11542" s="10" t="inlineStr">
        <is>
          <t>CÔNG TY TNHH RYDER INDUSTRIES VIỆT NAM</t>
        </is>
      </c>
      <c r="E11542" s="10" t="inlineStr">
        <is>
          <t>Lương:40 Tr - 45 Tr VND</t>
        </is>
      </c>
      <c r="F11542" s="10" t="inlineStr">
        <is>
          <t>Đồng Nai</t>
        </is>
      </c>
      <c r="G11542" s="10" t="inlineStr">
        <is>
          <t>26-03-2026</t>
        </is>
      </c>
      <c r="H11542" s="10" t="inlineStr">
        <is>
          <t>26/03/2026</t>
        </is>
      </c>
      <c r="I11542" s="10" t="inlineStr">
        <is>
          <t>17/03/2026</t>
        </is>
      </c>
      <c r="J11542" s="10" t="inlineStr">
        <is>
          <t>Sản xuất / Vận hành sản xuất</t>
        </is>
      </c>
      <c r="K11542" s="10" t="inlineStr">
        <is>
          <t>Chưa có kinh nghiệm</t>
        </is>
      </c>
      <c r="L11542" s="11">
        <f>HYPERLINK("https://careerviet.vn/vi/tim-viec-lam/pe.35C69E40.html","Xem chi tiết")</f>
        <v/>
      </c>
      <c r="M11542" s="10" t="n"/>
    </row>
    <row r="11543">
      <c r="B11543" s="7" t="n">
        <v>11541</v>
      </c>
      <c r="C11543" t="inlineStr">
        <is>
          <t>Giám Sát Bán Hàng - Hải Phòng - Hải Dương - Bắc Giang - Bắc Ninh - Quảng Ninh</t>
        </is>
      </c>
      <c r="D11543" t="inlineStr">
        <is>
          <t>Công ty Cổ Phần Tập Đoàn Điện Quang</t>
        </is>
      </c>
      <c r="E11543" t="inlineStr">
        <is>
          <t>Lương:Cạnh tranh</t>
        </is>
      </c>
      <c r="F11543" t="inlineStr">
        <is>
          <t>Hải PhòngHải DươngQuảng Ninh</t>
        </is>
      </c>
      <c r="G11543" t="inlineStr">
        <is>
          <t>29-03-2026</t>
        </is>
      </c>
      <c r="H11543" t="inlineStr">
        <is>
          <t>29/03/2026</t>
        </is>
      </c>
      <c r="I11543" t="inlineStr">
        <is>
          <t>17/03/2026</t>
        </is>
      </c>
      <c r="J11543" t="inlineStr">
        <is>
          <t>Bán lẻ / Bán sỉ, Bán hàng / Kinh doanh</t>
        </is>
      </c>
      <c r="K11543" t="inlineStr">
        <is>
          <t>2 - 3 Năm</t>
        </is>
      </c>
      <c r="L11543" s="8">
        <f>HYPERLINK("https://careerviet.vn/vi/tim-viec-lam/giam-sat-ban-hang-hai-phong-hai-duong-bac-giang-bac-ninh-quang-ninh.35C69F32.html","Xem chi tiết")</f>
        <v/>
      </c>
    </row>
    <row r="11544">
      <c r="B11544" s="9" t="n">
        <v>11542</v>
      </c>
      <c r="C11544" s="10" t="inlineStr">
        <is>
          <t>Kế Toán Bán Hàng (Mảng Bất Động Sản)</t>
        </is>
      </c>
      <c r="D11544" s="10" t="inlineStr">
        <is>
          <t>CÔNG TY CỔ PHẦN TẬP ĐOÀN ONSEN FUJI</t>
        </is>
      </c>
      <c r="E11544" s="10" t="inlineStr">
        <is>
          <t>Lương:14 Tr - 18 Tr VND</t>
        </is>
      </c>
      <c r="F11544" s="10" t="inlineStr">
        <is>
          <t>Hà Nội</t>
        </is>
      </c>
      <c r="G11544" s="10" t="inlineStr">
        <is>
          <t>31-03-2026</t>
        </is>
      </c>
      <c r="H11544" s="10" t="inlineStr">
        <is>
          <t>31/03/2026</t>
        </is>
      </c>
      <c r="I11544" s="10" t="inlineStr">
        <is>
          <t>17/03/2026</t>
        </is>
      </c>
      <c r="J11544" s="10" t="inlineStr">
        <is>
          <t>Kế toán / Kiểm toán, Xây dựng, Bất động sản</t>
        </is>
      </c>
      <c r="K11544" s="10" t="inlineStr">
        <is>
          <t>3 - 5 Năm</t>
        </is>
      </c>
      <c r="L11544" s="11">
        <f>HYPERLINK("https://careerviet.vn/vi/tim-viec-lam/ke-toan-ban-hang-mang-bat-dong-san.35C69DD8.html","Xem chi tiết")</f>
        <v/>
      </c>
      <c r="M11544" s="10" t="n"/>
    </row>
    <row r="11545">
      <c r="B11545" s="7" t="n">
        <v>11543</v>
      </c>
      <c r="C11545" t="inlineStr">
        <is>
          <t>Kỹ Sư PIE</t>
        </is>
      </c>
      <c r="D11545" t="inlineStr">
        <is>
          <t>CÔNG TY TNHH RYDER INDUSTRIES VIỆT NAM</t>
        </is>
      </c>
      <c r="E11545" t="inlineStr">
        <is>
          <t>Lương:30 Tr - 40 Tr VND</t>
        </is>
      </c>
      <c r="F11545" t="inlineStr">
        <is>
          <t>Đồng Nai</t>
        </is>
      </c>
      <c r="G11545" t="inlineStr">
        <is>
          <t>27-03-2026</t>
        </is>
      </c>
      <c r="H11545" t="inlineStr">
        <is>
          <t>27/03/2026</t>
        </is>
      </c>
      <c r="I11545" t="inlineStr">
        <is>
          <t>17/03/2026</t>
        </is>
      </c>
      <c r="J11545" t="inlineStr">
        <is>
          <t>Sản xuất / Vận hành sản xuất, Cơ khí / Ô tô / Tự động hóa, Điện / Điện tử / Điện lạnh / Điện công nghiệp</t>
        </is>
      </c>
      <c r="K11545" t="inlineStr">
        <is>
          <t>Trên 5 Năm</t>
        </is>
      </c>
      <c r="L11545" s="8">
        <f>HYPERLINK("https://careerviet.vn/vi/tim-viec-lam/ky-su-pie.35C69E24.html","Xem chi tiết")</f>
        <v/>
      </c>
    </row>
    <row r="11546">
      <c r="B11546" s="9" t="n">
        <v>11544</v>
      </c>
      <c r="C11546" s="10" t="inlineStr">
        <is>
          <t>Vận hành sàn Tiktok Fulltime</t>
        </is>
      </c>
      <c r="D11546" s="10" t="inlineStr">
        <is>
          <t>Công ty CP Đầu tư Legacy</t>
        </is>
      </c>
      <c r="E11546" s="10" t="inlineStr">
        <is>
          <t>Lương:7 Tr - 10 Tr VND</t>
        </is>
      </c>
      <c r="F11546" s="10" t="inlineStr">
        <is>
          <t>Hà Nội</t>
        </is>
      </c>
      <c r="G11546" s="10" t="inlineStr">
        <is>
          <t>27-03-2026</t>
        </is>
      </c>
      <c r="H11546" s="10" t="inlineStr">
        <is>
          <t>27/03/2026</t>
        </is>
      </c>
      <c r="I11546" s="10" t="inlineStr">
        <is>
          <t>17/03/2026</t>
        </is>
      </c>
      <c r="J11546" s="10" t="inlineStr">
        <is>
          <t>Tiếp thị trực tuyến, Thương mại điện tử, Ngành khác</t>
        </is>
      </c>
      <c r="K11546" s="10" t="inlineStr">
        <is>
          <t>Chưa có kinh nghiệm</t>
        </is>
      </c>
      <c r="L11546" s="11">
        <f>HYPERLINK("https://careerviet.vn/vi/tim-viec-lam/van-hanh-san-tiktok-fulltime.35C69E5C.html","Xem chi tiết")</f>
        <v/>
      </c>
      <c r="M11546" s="10" t="n"/>
    </row>
    <row r="11547">
      <c r="B11547" s="7" t="n">
        <v>11545</v>
      </c>
      <c r="C11547" t="inlineStr">
        <is>
          <t>Nhân Viên Bảo Trì Cơ Khí</t>
        </is>
      </c>
      <c r="D11547" t="inlineStr">
        <is>
          <t>Công Ty TNHH Taisun Việt Nam</t>
        </is>
      </c>
      <c r="E11547" t="inlineStr">
        <is>
          <t>Lương:Cạnh tranh</t>
        </is>
      </c>
      <c r="F11547" t="inlineStr">
        <is>
          <t>Hồ Chí Minh</t>
        </is>
      </c>
      <c r="G11547" t="inlineStr">
        <is>
          <t>29-03-2026</t>
        </is>
      </c>
      <c r="H11547" t="inlineStr">
        <is>
          <t>29/03/2026</t>
        </is>
      </c>
      <c r="I11547" t="inlineStr">
        <is>
          <t>17/03/2026</t>
        </is>
      </c>
      <c r="J11547" t="inlineStr">
        <is>
          <t>Cơ khí / Ô tô / Tự động hóa, Ngành khác, Bảo trì / Sửa chữa</t>
        </is>
      </c>
      <c r="K11547" t="inlineStr">
        <is>
          <t>3 - 5 Năm</t>
        </is>
      </c>
      <c r="L11547" s="8">
        <f>HYPERLINK("https://careerviet.vn/vi/tim-viec-lam/nhan-vien-bao-tri-co-khi.35C69FE5.html","Xem chi tiết")</f>
        <v/>
      </c>
    </row>
    <row r="11548">
      <c r="B11548" s="9" t="n">
        <v>11546</v>
      </c>
      <c r="C11548" s="10" t="inlineStr">
        <is>
          <t>Nhân Viên Lễ Tân Kiêm Thu Ngân</t>
        </is>
      </c>
      <c r="D11548" s="10" t="inlineStr">
        <is>
          <t>Sai Gon Hikari Eye Center</t>
        </is>
      </c>
      <c r="E11548" s="10" t="inlineStr">
        <is>
          <t>Lương:Cạnh tranh</t>
        </is>
      </c>
      <c r="F11548" s="10" t="inlineStr">
        <is>
          <t>Hồ Chí Minh</t>
        </is>
      </c>
      <c r="G11548" s="10" t="inlineStr">
        <is>
          <t>31-03-2026</t>
        </is>
      </c>
      <c r="H11548" s="10" t="inlineStr">
        <is>
          <t>31/03/2026</t>
        </is>
      </c>
      <c r="I11548" s="10" t="inlineStr">
        <is>
          <t>17/03/2026</t>
        </is>
      </c>
      <c r="J11548" s="10" t="inlineStr">
        <is>
          <t>Dịch vụ khách hàng, Y tế / Chăm sóc sức khỏe / Thẩm mỹ / Làm đẹp, Tư vấn</t>
        </is>
      </c>
      <c r="K11548" s="10" t="inlineStr">
        <is>
          <t>Chưa có kinh nghiệm</t>
        </is>
      </c>
      <c r="L11548" s="11">
        <f>HYPERLINK("https://careerviet.vn/vi/tim-viec-lam/nhan-vien-le-tan-kiem-thu-ngan.35C69EAD.html","Xem chi tiết")</f>
        <v/>
      </c>
      <c r="M11548" s="10" t="n"/>
    </row>
    <row r="11549">
      <c r="B11549" s="7" t="n">
        <v>11547</v>
      </c>
      <c r="C11549" t="inlineStr">
        <is>
          <t>NHÂN VIÊN NHÂN SỰ TỔNG HỢP</t>
        </is>
      </c>
      <c r="D11549" t="inlineStr">
        <is>
          <t>CÔNG TY TNHH SẢN XUẤT TẬP ĐOÀN ĐẠI VIỆT</t>
        </is>
      </c>
      <c r="E11549" t="inlineStr">
        <is>
          <t>Lương:12 Tr - 15 Tr VND</t>
        </is>
      </c>
      <c r="F11549" t="inlineStr">
        <is>
          <t>Long An</t>
        </is>
      </c>
      <c r="G11549" t="inlineStr">
        <is>
          <t>12-03-2026</t>
        </is>
      </c>
      <c r="H11549" t="inlineStr">
        <is>
          <t>15/03/2026</t>
        </is>
      </c>
      <c r="I11549" t="inlineStr">
        <is>
          <t>17/03/2026</t>
        </is>
      </c>
      <c r="J11549" t="inlineStr">
        <is>
          <t>Nhân sự</t>
        </is>
      </c>
      <c r="K11549" t="inlineStr">
        <is>
          <t>Chưa có kinh nghiệm</t>
        </is>
      </c>
      <c r="L11549" s="8">
        <f>HYPERLINK("https://careerviet.vn/vi/tim-viec-lam/nhan-vien-nhan-su-tong-hop.35C6A0C0.html","Xem chi tiết")</f>
        <v/>
      </c>
    </row>
    <row r="11550">
      <c r="B11550" s="9" t="n">
        <v>11548</v>
      </c>
      <c r="C11550" s="10" t="inlineStr">
        <is>
          <t>Dinh dưỡng viên Mua hàng thực phẩm</t>
        </is>
      </c>
      <c r="D11550" s="10" t="inlineStr">
        <is>
          <t>CÔNG TY CỔ PHẦN THƯƠNG MẠI DỊCH VỤ AN ĐẠI DƯƠNG</t>
        </is>
      </c>
      <c r="E11550" s="10" t="inlineStr">
        <is>
          <t>Lương:9 Tr - 12 Tr VND</t>
        </is>
      </c>
      <c r="F11550" s="10" t="inlineStr">
        <is>
          <t>Hà Nội</t>
        </is>
      </c>
      <c r="G11550" s="10" t="inlineStr">
        <is>
          <t>31-03-2026</t>
        </is>
      </c>
      <c r="H11550" s="10" t="inlineStr">
        <is>
          <t>31/03/2026</t>
        </is>
      </c>
      <c r="I11550" s="10" t="inlineStr">
        <is>
          <t>17/03/2026</t>
        </is>
      </c>
      <c r="J11550" s="10" t="inlineStr">
        <is>
          <t>Công nghệ thực phẩm / Dinh dưỡng, Thu mua / Vật tư</t>
        </is>
      </c>
      <c r="K11550" s="10" t="inlineStr">
        <is>
          <t>1 - 2 Năm</t>
        </is>
      </c>
      <c r="L11550" s="11">
        <f>HYPERLINK("https://careerviet.vn/vi/tim-viec-lam/dinh-duong-vien-mua-hang-thuc-pham.35C69EE2.html","Xem chi tiết")</f>
        <v/>
      </c>
      <c r="M11550" s="10" t="n"/>
    </row>
    <row r="11551">
      <c r="B11551" s="7" t="n">
        <v>11549</v>
      </c>
      <c r="C11551" t="inlineStr">
        <is>
          <t>(HCM) Trưởng Nhóm Thiết Kế Kiến Trúc</t>
        </is>
      </c>
      <c r="D11551" t="inlineStr">
        <is>
          <t>Công Ty TNHH Tập Đoàn Rita Võ</t>
        </is>
      </c>
      <c r="E11551" t="inlineStr">
        <is>
          <t>Lương:Cạnh tranh</t>
        </is>
      </c>
      <c r="F11551" t="inlineStr">
        <is>
          <t>Hồ Chí Minh</t>
        </is>
      </c>
      <c r="G11551" t="inlineStr">
        <is>
          <t>27-03-2026</t>
        </is>
      </c>
      <c r="H11551" t="inlineStr">
        <is>
          <t>27/03/2026</t>
        </is>
      </c>
      <c r="I11551" t="inlineStr">
        <is>
          <t>17/03/2026</t>
        </is>
      </c>
      <c r="J11551" t="inlineStr">
        <is>
          <t>Kiến trúc, Nội ngoại thất</t>
        </is>
      </c>
      <c r="K11551" t="inlineStr">
        <is>
          <t>2 - 3 Năm</t>
        </is>
      </c>
      <c r="L11551" s="8">
        <f>HYPERLINK("https://careerviet.vn/vi/tim-viec-lam/hcm-truong-nhom-thiet-ke-kien-truc.35C69E0B.html","Xem chi tiết")</f>
        <v/>
      </c>
    </row>
    <row r="11552">
      <c r="B11552" s="9" t="n">
        <v>11550</v>
      </c>
      <c r="C11552" s="10" t="inlineStr">
        <is>
          <t>Nhân viên Truyền thông và Sự kiện</t>
        </is>
      </c>
      <c r="D11552" s="10" t="inlineStr">
        <is>
          <t>BỆNH VIỆN ĐA KHOA PHƯƠNG ĐÔNG</t>
        </is>
      </c>
      <c r="E11552" s="10" t="inlineStr">
        <is>
          <t>Lương:8 Tr - 12 Tr VND</t>
        </is>
      </c>
      <c r="F11552" s="10" t="inlineStr">
        <is>
          <t>Hà Nội</t>
        </is>
      </c>
      <c r="G11552" s="10" t="inlineStr">
        <is>
          <t>30-04-2026</t>
        </is>
      </c>
      <c r="H11552" s="10" t="inlineStr">
        <is>
          <t>30/04/2026</t>
        </is>
      </c>
      <c r="I11552" s="10" t="inlineStr">
        <is>
          <t>17/03/2026</t>
        </is>
      </c>
      <c r="J11552" s="10" t="inlineStr">
        <is>
          <t>Y tế / Chăm sóc sức khỏe / Thẩm mỹ / Làm đẹp</t>
        </is>
      </c>
      <c r="K11552" s="10" t="inlineStr">
        <is>
          <t>1 - 2 Năm</t>
        </is>
      </c>
      <c r="L11552" s="11">
        <f>HYPERLINK("https://careerviet.vn/vi/tim-viec-lam/nhan-vien-truyen-thong-va-su-kien.35C69E7F.html","Xem chi tiết")</f>
        <v/>
      </c>
      <c r="M11552" s="10" t="n"/>
    </row>
    <row r="11553">
      <c r="B11553" s="7" t="n">
        <v>11551</v>
      </c>
      <c r="C11553" t="inlineStr">
        <is>
          <t>Chuyên Viên Nhân Sự (Ngắn hạn 1 năm)</t>
        </is>
      </c>
      <c r="D11553" t="inlineStr">
        <is>
          <t>Công ty TNHH Chứng khoán Yuanta Việt Nam</t>
        </is>
      </c>
      <c r="E11553" t="inlineStr">
        <is>
          <t>Lương:15 Tr - 25 Tr VND</t>
        </is>
      </c>
      <c r="F11553" t="inlineStr">
        <is>
          <t>Hồ Chí Minh</t>
        </is>
      </c>
      <c r="G11553" t="inlineStr">
        <is>
          <t>31-03-2026</t>
        </is>
      </c>
      <c r="H11553" t="inlineStr">
        <is>
          <t>31/03/2026</t>
        </is>
      </c>
      <c r="I11553" t="inlineStr">
        <is>
          <t>17/03/2026</t>
        </is>
      </c>
      <c r="J11553" t="inlineStr">
        <is>
          <t>Nhân sự, Hành chính / Thư ký</t>
        </is>
      </c>
      <c r="K11553" t="inlineStr">
        <is>
          <t>Trên 3 Năm</t>
        </is>
      </c>
      <c r="L11553" s="8">
        <f>HYPERLINK("https://careerviet.vn/vi/tim-viec-lam/chuyen-vien-nhan-su-ngan-han-1-nam.35C6A076.html","Xem chi tiết")</f>
        <v/>
      </c>
    </row>
    <row r="11554">
      <c r="B11554" s="9" t="n">
        <v>11552</v>
      </c>
      <c r="C11554" s="10" t="inlineStr">
        <is>
          <t>Chuyên Viên Xây Dựng &amp; Bảo Trì Chuỗi Siêu Thị (Hà Nội)</t>
        </is>
      </c>
      <c r="D11554" s="10" t="inlineStr">
        <is>
          <t>Concung.com - Con Cung Joint Stock Company</t>
        </is>
      </c>
      <c r="E11554" s="10" t="inlineStr">
        <is>
          <t>Lương:Cạnh tranh</t>
        </is>
      </c>
      <c r="F11554" s="10" t="inlineStr">
        <is>
          <t>Hà Nội</t>
        </is>
      </c>
      <c r="G11554" s="10" t="inlineStr">
        <is>
          <t>24-03-2026</t>
        </is>
      </c>
      <c r="H11554" s="10" t="inlineStr">
        <is>
          <t>24/03/2026</t>
        </is>
      </c>
      <c r="I11554" s="10" t="inlineStr">
        <is>
          <t>17/03/2026</t>
        </is>
      </c>
      <c r="J11554" s="10" t="inlineStr">
        <is>
          <t>Bảo trì / Sửa chữa, Kiến trúc, Xây dựng</t>
        </is>
      </c>
      <c r="K11554" s="10" t="inlineStr">
        <is>
          <t>1 - 3 Năm</t>
        </is>
      </c>
      <c r="L11554" s="11">
        <f>HYPERLINK("https://careerviet.vn/vi/tim-viec-lam/chuyen-vien-xay-dung-bao-tri-chuoi-sieu-thi-ha-noi.35C69EDD.html","Xem chi tiết")</f>
        <v/>
      </c>
      <c r="M11554" s="10" t="n"/>
    </row>
    <row r="11555">
      <c r="B11555" s="7" t="n">
        <v>11553</v>
      </c>
      <c r="C11555" t="inlineStr">
        <is>
          <t>NhÂN VIÊN NHÂN SỰ (làm việc tại Dương Nội, Hà đông)</t>
        </is>
      </c>
      <c r="D11555" t="inlineStr">
        <is>
          <t>Công ty Cổ phần Govi Việt Nam</t>
        </is>
      </c>
      <c r="E11555" t="inlineStr">
        <is>
          <t>Lương:9 Tr - 11 Tr VND</t>
        </is>
      </c>
      <c r="F11555" t="inlineStr">
        <is>
          <t>Hà Nội</t>
        </is>
      </c>
      <c r="G11555" t="inlineStr">
        <is>
          <t>31-03-2026</t>
        </is>
      </c>
      <c r="H11555" t="inlineStr">
        <is>
          <t>31/03/2026</t>
        </is>
      </c>
      <c r="I11555" t="inlineStr">
        <is>
          <t>17/03/2026</t>
        </is>
      </c>
      <c r="J11555" t="inlineStr">
        <is>
          <t>Hành chính / Thư ký, Nhân sự, Mới tốt nghiệp / Thực tập</t>
        </is>
      </c>
      <c r="K11555" t="inlineStr">
        <is>
          <t>Trên 1 Năm</t>
        </is>
      </c>
      <c r="L11555" s="8">
        <f>HYPERLINK("https://careerviet.vn/vi/tim-viec-lam/nhan-vien-nhan-su-lam-viec-tai-duong-noi-ha-dong.35C6A0AE.html","Xem chi tiết")</f>
        <v/>
      </c>
    </row>
    <row r="11556">
      <c r="B11556" s="9" t="n">
        <v>11554</v>
      </c>
      <c r="C11556" s="10" t="inlineStr">
        <is>
          <t>Merchandising Officer (Sample)</t>
        </is>
      </c>
      <c r="D11556" s="10" t="inlineStr">
        <is>
          <t>MOTIVES VIETNAM CORPORATION</t>
        </is>
      </c>
      <c r="E11556" s="10" t="inlineStr">
        <is>
          <t>Lương:Cạnh tranh</t>
        </is>
      </c>
      <c r="F11556" s="10" t="inlineStr">
        <is>
          <t>Hồ Chí Minh</t>
        </is>
      </c>
      <c r="G11556" s="10" t="inlineStr">
        <is>
          <t>31-03-2026</t>
        </is>
      </c>
      <c r="H11556" s="10" t="inlineStr">
        <is>
          <t>31/03/2026</t>
        </is>
      </c>
      <c r="I11556" s="10" t="inlineStr">
        <is>
          <t>17/03/2026</t>
        </is>
      </c>
      <c r="J11556" s="10" t="inlineStr">
        <is>
          <t>Dệt may / Da giày / Thời trang</t>
        </is>
      </c>
      <c r="K11556" s="10" t="inlineStr">
        <is>
          <t>1 - 3 Năm</t>
        </is>
      </c>
      <c r="L11556" s="11">
        <f>HYPERLINK("https://careerviet.vn/vi/tim-viec-lam/merchandising-officer-sample.35C69E71.html","Xem chi tiết")</f>
        <v/>
      </c>
      <c r="M11556" s="10" t="n"/>
    </row>
    <row r="11557">
      <c r="B11557" s="7" t="n">
        <v>11555</v>
      </c>
      <c r="C11557" t="inlineStr">
        <is>
          <t>Seaonics Mechanical Engineer</t>
        </is>
      </c>
      <c r="D11557" t="inlineStr">
        <is>
          <t>CÔNG TY TNHH VARD VŨNG TÀU</t>
        </is>
      </c>
      <c r="E11557" t="inlineStr">
        <is>
          <t>Lương:Cạnh tranh</t>
        </is>
      </c>
      <c r="F11557" t="inlineStr">
        <is>
          <t>Bà Rịa - Vũng Tàu</t>
        </is>
      </c>
      <c r="G11557" t="inlineStr">
        <is>
          <t>27-03-2026</t>
        </is>
      </c>
      <c r="H11557" t="inlineStr">
        <is>
          <t>27/03/2026</t>
        </is>
      </c>
      <c r="I11557" t="inlineStr">
        <is>
          <t>17/03/2026</t>
        </is>
      </c>
      <c r="J11557" t="inlineStr">
        <is>
          <t>Cơ khí / Ô tô / Tự động hóa, Điện / Điện tử / Điện lạnh / Điện công nghiệp, Hàng hải</t>
        </is>
      </c>
      <c r="K11557" t="inlineStr">
        <is>
          <t>Trên 5 Năm</t>
        </is>
      </c>
      <c r="L11557" s="8">
        <f>HYPERLINK("https://careerviet.vn/vi/tim-viec-lam/seaonics-mechanical-engineer.35C69FA1.html","Xem chi tiết")</f>
        <v/>
      </c>
    </row>
    <row r="11558">
      <c r="B11558" s="9" t="n">
        <v>11556</v>
      </c>
      <c r="C11558" s="10" t="inlineStr">
        <is>
          <t>Chuyên Viên Xây Dựng &amp; Bảo Trì Chuỗi Siêu Thị (Hà Nam)</t>
        </is>
      </c>
      <c r="D11558" s="10" t="inlineStr">
        <is>
          <t>Concung.com - Con Cung Joint Stock Company</t>
        </is>
      </c>
      <c r="E11558" s="10" t="inlineStr">
        <is>
          <t>Lương:Cạnh tranh</t>
        </is>
      </c>
      <c r="F11558" s="10" t="inlineStr">
        <is>
          <t>Hà Nam</t>
        </is>
      </c>
      <c r="G11558" s="10" t="inlineStr">
        <is>
          <t>24-03-2026</t>
        </is>
      </c>
      <c r="H11558" s="10" t="inlineStr">
        <is>
          <t>24/03/2026</t>
        </is>
      </c>
      <c r="I11558" s="10" t="inlineStr">
        <is>
          <t>17/03/2026</t>
        </is>
      </c>
      <c r="J11558" s="10" t="inlineStr">
        <is>
          <t>Bảo trì / Sửa chữa, Kiến trúc, Xây dựng</t>
        </is>
      </c>
      <c r="K11558" s="10" t="inlineStr">
        <is>
          <t>1 - 3 Năm</t>
        </is>
      </c>
      <c r="L11558" s="11">
        <f>HYPERLINK("https://careerviet.vn/vi/tim-viec-lam/chuyen-vien-xay-dung-bao-tri-chuoi-sieu-thi-ha-nam.35C69ED9.html","Xem chi tiết")</f>
        <v/>
      </c>
      <c r="M11558" s="10" t="n"/>
    </row>
    <row r="11559">
      <c r="B11559" s="7" t="n">
        <v>11557</v>
      </c>
      <c r="C11559" t="inlineStr">
        <is>
          <t>Trưởng Nhóm Tuyển Dụng (Khối sản xuất)</t>
        </is>
      </c>
      <c r="D11559" t="inlineStr">
        <is>
          <t>CÔNG TY CỔ PHẦN KẾT CẤU THÉP QH PLUS (QHPS)</t>
        </is>
      </c>
      <c r="E11559" t="inlineStr">
        <is>
          <t>Lương:14 Tr - 18 Tr VND</t>
        </is>
      </c>
      <c r="F11559" t="inlineStr">
        <is>
          <t>Bà Rịa - Vũng Tàu</t>
        </is>
      </c>
      <c r="G11559" t="inlineStr">
        <is>
          <t>31-03-2026</t>
        </is>
      </c>
      <c r="H11559" t="inlineStr">
        <is>
          <t>31/03/2026</t>
        </is>
      </c>
      <c r="I11559" t="inlineStr">
        <is>
          <t>17/03/2026</t>
        </is>
      </c>
      <c r="J11559" t="inlineStr">
        <is>
          <t>Nhân sự</t>
        </is>
      </c>
      <c r="K11559" t="inlineStr">
        <is>
          <t>3 - 5 Năm</t>
        </is>
      </c>
      <c r="L11559" s="8">
        <f>HYPERLINK("https://careerviet.vn/vi/tim-viec-lam/truong-nhom-tuyen-dung-khoi-san-xuat.35C69E08.html","Xem chi tiết")</f>
        <v/>
      </c>
    </row>
    <row r="11560">
      <c r="B11560" s="9" t="n">
        <v>11558</v>
      </c>
      <c r="C11560" s="10" t="inlineStr">
        <is>
          <t>Kiểm Nghiệm Viên Phòng Vi Sinh - Trung Tâm Kiểm Nghiệm</t>
        </is>
      </c>
      <c r="D11560" s="10" t="inlineStr">
        <is>
          <t>Công Ty TNHH Tư Vấn Y Dược Quốc Tế</t>
        </is>
      </c>
      <c r="E11560" s="10" t="inlineStr">
        <is>
          <t>Lương:Cạnh tranh</t>
        </is>
      </c>
      <c r="F11560" s="10" t="inlineStr">
        <is>
          <t>Hà Nội</t>
        </is>
      </c>
      <c r="G11560" s="10" t="inlineStr">
        <is>
          <t>27-03-2026</t>
        </is>
      </c>
      <c r="H11560" s="10" t="inlineStr">
        <is>
          <t>27/03/2026</t>
        </is>
      </c>
      <c r="I11560" s="10" t="inlineStr">
        <is>
          <t>17/03/2026</t>
        </is>
      </c>
      <c r="J11560" s="10" t="inlineStr">
        <is>
          <t>Y tế / Chăm sóc sức khỏe / Thẩm mỹ / Làm đẹp, Công nghệ sinh học, Dược phẩm/ Hóa Mỹ Phẩm</t>
        </is>
      </c>
      <c r="K11560" s="10" t="inlineStr">
        <is>
          <t>N/A</t>
        </is>
      </c>
      <c r="L11560" s="11">
        <f>HYPERLINK("https://careerviet.vn/vi/tim-viec-lam/kiem-nghiem-vien-phong-vi-sinh-trung-tam-kiem-nghiem.35C69EB8.html","Xem chi tiết")</f>
        <v/>
      </c>
      <c r="M11560" s="10" t="n"/>
    </row>
    <row r="11561">
      <c r="B11561" s="7" t="n">
        <v>11559</v>
      </c>
      <c r="C11561" t="inlineStr">
        <is>
          <t>Nhân Sự Tính Lương (C&amp;B)</t>
        </is>
      </c>
      <c r="D11561" t="inlineStr">
        <is>
          <t>CÔNG TY TNHH RYDER INDUSTRIES VIỆT NAM</t>
        </is>
      </c>
      <c r="E11561" t="inlineStr">
        <is>
          <t>Lương:Cạnh tranh</t>
        </is>
      </c>
      <c r="F11561" t="inlineStr">
        <is>
          <t>Đồng Nai</t>
        </is>
      </c>
      <c r="G11561" t="inlineStr">
        <is>
          <t>27-03-2026</t>
        </is>
      </c>
      <c r="H11561" t="inlineStr">
        <is>
          <t>27/03/2026</t>
        </is>
      </c>
      <c r="I11561" t="inlineStr">
        <is>
          <t>17/03/2026</t>
        </is>
      </c>
      <c r="J11561" t="inlineStr">
        <is>
          <t>Sản xuất / Vận hành sản xuất, Nhân sự, Hành chính / Thư ký</t>
        </is>
      </c>
      <c r="K11561" t="inlineStr">
        <is>
          <t>Trên 1 Năm</t>
        </is>
      </c>
      <c r="L11561" s="8">
        <f>HYPERLINK("https://careerviet.vn/vi/tim-viec-lam/nhan-su-tinh-luong-c-b.35C69E1C.html","Xem chi tiết")</f>
        <v/>
      </c>
    </row>
    <row r="11562">
      <c r="B11562" s="9" t="n">
        <v>11560</v>
      </c>
      <c r="C11562" s="10" t="inlineStr">
        <is>
          <t>Nhân viên Bảo trì (Thành Phố Cà Mau)</t>
        </is>
      </c>
      <c r="D11562" s="10" t="inlineStr">
        <is>
          <t>Concung.com - Con Cung Joint Stock Company</t>
        </is>
      </c>
      <c r="E11562" s="10" t="inlineStr">
        <is>
          <t>Lương:Cạnh tranh</t>
        </is>
      </c>
      <c r="F11562" s="10" t="inlineStr">
        <is>
          <t>Cà Mau</t>
        </is>
      </c>
      <c r="G11562" s="10" t="inlineStr">
        <is>
          <t>27-03-2026</t>
        </is>
      </c>
      <c r="H11562" s="10" t="inlineStr">
        <is>
          <t>27/03/2026</t>
        </is>
      </c>
      <c r="I11562" s="10" t="inlineStr">
        <is>
          <t>17/03/2026</t>
        </is>
      </c>
      <c r="J11562" s="10" t="inlineStr">
        <is>
          <t>Điện / Điện tử / Điện lạnh / Điện công nghiệp, Bảo trì / Sửa chữa, Xây dựng</t>
        </is>
      </c>
      <c r="K11562" s="10" t="inlineStr">
        <is>
          <t>Trên 1 Năm</t>
        </is>
      </c>
      <c r="L11562" s="11">
        <f>HYPERLINK("https://careerviet.vn/vi/tim-viec-lam/nhan-vien-bao-tri-thanh-pho-ca-mau.35C6A100.html","Xem chi tiết")</f>
        <v/>
      </c>
      <c r="M11562" s="10" t="n"/>
    </row>
    <row r="11563">
      <c r="B11563" s="7" t="n">
        <v>11561</v>
      </c>
      <c r="C11563" t="inlineStr">
        <is>
          <t>Nhân Viên Tuyển Dụng Biết Tiếng Anh</t>
        </is>
      </c>
      <c r="D11563" t="inlineStr">
        <is>
          <t>CÔNG TY CP THỰC PHẨM VÀ NƯỚC GIẢI KHÁT NAM VIỆT</t>
        </is>
      </c>
      <c r="E11563" t="inlineStr">
        <is>
          <t>Lương:11 Tr - 15 Tr VND</t>
        </is>
      </c>
      <c r="F11563" t="inlineStr">
        <is>
          <t>Bình Dương</t>
        </is>
      </c>
      <c r="G11563" t="inlineStr">
        <is>
          <t>28-03-2026</t>
        </is>
      </c>
      <c r="H11563" t="inlineStr">
        <is>
          <t>28/03/2026</t>
        </is>
      </c>
      <c r="I11563" t="inlineStr">
        <is>
          <t>17/03/2026</t>
        </is>
      </c>
      <c r="J11563" t="inlineStr">
        <is>
          <t>Nhân sự</t>
        </is>
      </c>
      <c r="K11563" t="inlineStr">
        <is>
          <t>2 - 3 Năm</t>
        </is>
      </c>
      <c r="L11563" s="8">
        <f>HYPERLINK("https://careerviet.vn/vi/tim-viec-lam/nhan-vien-tuyen-dung-biet-tieng-anh.35C69B6A.html","Xem chi tiết")</f>
        <v/>
      </c>
    </row>
    <row r="11564">
      <c r="B11564" s="9" t="n">
        <v>11562</v>
      </c>
      <c r="C11564" s="10" t="inlineStr">
        <is>
          <t>Tiền Giang/ Cần Thơ - Nhân viên Hỗ trợ Thanh Toán khoản vay hiện trường</t>
        </is>
      </c>
      <c r="D11564" s="10" t="inlineStr">
        <is>
          <t>LOTTE FINANCE VIETNAM</t>
        </is>
      </c>
      <c r="E11564" s="10" t="inlineStr">
        <is>
          <t>Lương:Cạnh tranh</t>
        </is>
      </c>
      <c r="F11564" s="10" t="inlineStr">
        <is>
          <t>Tiền GiangCần Thơ</t>
        </is>
      </c>
      <c r="G11564" s="10" t="inlineStr">
        <is>
          <t>29-03-2026</t>
        </is>
      </c>
      <c r="H11564" s="10" t="inlineStr">
        <is>
          <t>29/03/2026</t>
        </is>
      </c>
      <c r="I11564" s="10" t="inlineStr">
        <is>
          <t>17/03/2026</t>
        </is>
      </c>
      <c r="J11564" s="10" t="inlineStr">
        <is>
          <t>Bảo hiểm, Luật / Pháp lý, Bán hàng / Kinh doanh</t>
        </is>
      </c>
      <c r="K11564" s="10" t="inlineStr">
        <is>
          <t>1 - 3 Năm</t>
        </is>
      </c>
      <c r="L11564" s="11">
        <f>HYPERLINK("https://careerviet.vn/vi/tim-viec-lam/tien-giang-can-tho-nhan-vien-ho-tro-thanh-toan-khoan-vay-hien-truong.35C6A0AD.html","Xem chi tiết")</f>
        <v/>
      </c>
      <c r="M11564" s="10" t="n"/>
    </row>
    <row r="11565">
      <c r="B11565" s="7" t="n">
        <v>11563</v>
      </c>
      <c r="C11565" t="inlineStr">
        <is>
          <t>Nhân Viên Kinh Doanh Dự Án</t>
        </is>
      </c>
      <c r="D11565" t="inlineStr">
        <is>
          <t>Công ty Cổ phần Đầu tư Ngôi sao Châu á</t>
        </is>
      </c>
      <c r="E11565" t="inlineStr">
        <is>
          <t>Lương:15 Tr - 20 Tr VND</t>
        </is>
      </c>
      <c r="F11565" t="inlineStr">
        <is>
          <t>Hà Nội</t>
        </is>
      </c>
      <c r="G11565" t="inlineStr">
        <is>
          <t>31-03-2026</t>
        </is>
      </c>
      <c r="H11565" t="inlineStr">
        <is>
          <t>31/03/2026</t>
        </is>
      </c>
      <c r="I11565" t="inlineStr">
        <is>
          <t>17/03/2026</t>
        </is>
      </c>
      <c r="J11565" t="inlineStr">
        <is>
          <t>Tiếp thị / Marketing, Bán hàng / Kinh doanh, Xây dựng</t>
        </is>
      </c>
      <c r="K11565" t="inlineStr">
        <is>
          <t>2 - 3 Năm</t>
        </is>
      </c>
      <c r="L11565" s="8">
        <f>HYPERLINK("https://careerviet.vn/vi/tim-viec-lam/nhan-vien-kinh-doanh-du-an.35C69E03.html","Xem chi tiết")</f>
        <v/>
      </c>
    </row>
    <row r="11566">
      <c r="B11566" s="9" t="n">
        <v>11564</v>
      </c>
      <c r="C11566" s="10" t="inlineStr">
        <is>
          <t>K.VH - P. Thanh toán_Chuyên viên Thanh toán nước ngoài</t>
        </is>
      </c>
      <c r="D11566" s="10" t="inlineStr">
        <is>
          <t>Ngân Hàng TMCP Phương Đông - OCB</t>
        </is>
      </c>
      <c r="E11566" s="10" t="inlineStr">
        <is>
          <t>Lương:Cạnh tranh</t>
        </is>
      </c>
      <c r="F11566" s="10" t="inlineStr">
        <is>
          <t>Hồ Chí Minh</t>
        </is>
      </c>
      <c r="G11566" s="10" t="inlineStr">
        <is>
          <t>31-03-2026</t>
        </is>
      </c>
      <c r="H11566" s="10" t="inlineStr">
        <is>
          <t>31/03/2026</t>
        </is>
      </c>
      <c r="I11566" s="10" t="inlineStr">
        <is>
          <t>17/03/2026</t>
        </is>
      </c>
      <c r="J11566" s="10" t="inlineStr">
        <is>
          <t>Tài chính / Đầu tư, Ngân hàng, Xuất nhập khẩu</t>
        </is>
      </c>
      <c r="K11566" s="10" t="inlineStr">
        <is>
          <t>1 - 5 Năm</t>
        </is>
      </c>
      <c r="L11566" s="11">
        <f>HYPERLINK("https://careerviet.vn/vi/tim-viec-lam/k-vh-p-thanh-toan_chuyen-vien-thanh-toan-nuoc-ngoai.35C6A0E2.html","Xem chi tiết")</f>
        <v/>
      </c>
      <c r="M11566" s="10" t="n"/>
    </row>
    <row r="11567">
      <c r="B11567" s="7" t="n">
        <v>11565</v>
      </c>
      <c r="C11567" t="inlineStr">
        <is>
          <t>Nhân Viên Bảo trì (Thành Phố Cao Lãnh - Đồng Tháp)</t>
        </is>
      </c>
      <c r="D11567" t="inlineStr">
        <is>
          <t>Concung.com - Con Cung Joint Stock Company</t>
        </is>
      </c>
      <c r="E11567" t="inlineStr">
        <is>
          <t>Lương:Cạnh tranh</t>
        </is>
      </c>
      <c r="F11567" t="inlineStr">
        <is>
          <t>Đồng Tháp</t>
        </is>
      </c>
      <c r="G11567" t="inlineStr">
        <is>
          <t>27-03-2026</t>
        </is>
      </c>
      <c r="H11567" t="inlineStr">
        <is>
          <t>27/03/2026</t>
        </is>
      </c>
      <c r="I11567" t="inlineStr">
        <is>
          <t>17/03/2026</t>
        </is>
      </c>
      <c r="J11567" t="inlineStr">
        <is>
          <t>Điện / Điện tử / Điện lạnh / Điện công nghiệp, Bảo trì / Sửa chữa, Xây dựng</t>
        </is>
      </c>
      <c r="K11567" t="inlineStr">
        <is>
          <t>Trên 1 Năm</t>
        </is>
      </c>
      <c r="L11567" s="8">
        <f>HYPERLINK("https://careerviet.vn/vi/tim-viec-lam/nhan-vien-bao-tri-thanh-pho-cao-lanh-dong-thap.35C6A107.html","Xem chi tiết")</f>
        <v/>
      </c>
    </row>
    <row r="11568">
      <c r="B11568" s="9" t="n">
        <v>11566</v>
      </c>
      <c r="C11568" s="10" t="inlineStr">
        <is>
          <t>[Can Tho] Business Development Executive, Testing Service</t>
        </is>
      </c>
      <c r="D11568" s="10" t="inlineStr">
        <is>
          <t>EUROFINS VIETNAM</t>
        </is>
      </c>
      <c r="E11568" s="10" t="inlineStr">
        <is>
          <t>Lương:Cạnh tranh</t>
        </is>
      </c>
      <c r="F11568" s="10" t="inlineStr">
        <is>
          <t>Cần Thơ</t>
        </is>
      </c>
      <c r="G11568" s="10" t="inlineStr">
        <is>
          <t>24-03-2026</t>
        </is>
      </c>
      <c r="H11568" s="10" t="inlineStr">
        <is>
          <t>24/03/2026</t>
        </is>
      </c>
      <c r="I11568" s="10" t="inlineStr">
        <is>
          <t>17/03/2026</t>
        </is>
      </c>
      <c r="J11568" s="10" t="inlineStr">
        <is>
          <t>Bán hàng / Kinh doanh, Công nghệ sinh học, Hóa học</t>
        </is>
      </c>
      <c r="K11568" s="10" t="inlineStr">
        <is>
          <t>1 - 2 Năm</t>
        </is>
      </c>
      <c r="L11568" s="11">
        <f>HYPERLINK("https://careerviet.vn/vi/tim-viec-lam/can-tho-business-development-executive-testing-service.35C69ECC.html","Xem chi tiết")</f>
        <v/>
      </c>
      <c r="M11568" s="10" t="n"/>
    </row>
    <row r="11569">
      <c r="B11569" s="7" t="n">
        <v>11567</v>
      </c>
      <c r="C11569" t="inlineStr">
        <is>
          <t>Nhân viên tư vấn</t>
        </is>
      </c>
      <c r="D11569" t="inlineStr">
        <is>
          <t>Công Ty TNHH T.M.G</t>
        </is>
      </c>
      <c r="E11569" t="inlineStr">
        <is>
          <t>Lương:7 Tr - 15 Tr VND</t>
        </is>
      </c>
      <c r="F11569" t="inlineStr">
        <is>
          <t>Hồ Chí Minh</t>
        </is>
      </c>
      <c r="G11569" t="inlineStr">
        <is>
          <t>29-03-2026</t>
        </is>
      </c>
      <c r="H11569" t="inlineStr">
        <is>
          <t>29/03/2026</t>
        </is>
      </c>
      <c r="I11569" t="inlineStr">
        <is>
          <t>17/03/2026</t>
        </is>
      </c>
      <c r="J11569" t="inlineStr">
        <is>
          <t>Bán hàng / Kinh doanh, Giáo dục / Đào tạo</t>
        </is>
      </c>
      <c r="K11569" t="inlineStr">
        <is>
          <t>N/A</t>
        </is>
      </c>
      <c r="L11569" s="8">
        <f>HYPERLINK("https://careerviet.vn/vi/tim-viec-lam/nhan-vien-tu-van.35C6A0F9.html","Xem chi tiết")</f>
        <v/>
      </c>
    </row>
    <row r="11570">
      <c r="B11570" s="9" t="n">
        <v>11568</v>
      </c>
      <c r="C11570" s="10" t="inlineStr">
        <is>
          <t>[HCM] Trưởng phòng Khách hàng cá nhân</t>
        </is>
      </c>
      <c r="D11570" s="10" t="inlineStr">
        <is>
          <t>Ngân hàng TMCP Đại Chúng Việt Nam - PVcomBank</t>
        </is>
      </c>
      <c r="E11570" s="10" t="inlineStr">
        <is>
          <t>Lương:Cạnh tranh</t>
        </is>
      </c>
      <c r="F11570" s="10" t="inlineStr">
        <is>
          <t>Hồ Chí Minh</t>
        </is>
      </c>
      <c r="G11570" s="10" t="inlineStr">
        <is>
          <t>29-03-2026</t>
        </is>
      </c>
      <c r="H11570" s="10" t="inlineStr">
        <is>
          <t>29/03/2026</t>
        </is>
      </c>
      <c r="I11570" s="10" t="inlineStr">
        <is>
          <t>17/03/2026</t>
        </is>
      </c>
      <c r="J11570" s="10" t="inlineStr">
        <is>
          <t>Ngân hàng, Tài chính / Đầu tư</t>
        </is>
      </c>
      <c r="K11570" s="10" t="inlineStr">
        <is>
          <t>Trên 2 Năm</t>
        </is>
      </c>
      <c r="L11570" s="11">
        <f>HYPERLINK("https://careerviet.vn/vi/tim-viec-lam/hcm-truong-phong-khach-hang-ca-nhan.35C69EA4.html","Xem chi tiết")</f>
        <v/>
      </c>
      <c r="M11570" s="10" t="n"/>
    </row>
    <row r="11571">
      <c r="B11571" s="7" t="n">
        <v>11569</v>
      </c>
      <c r="C11571" t="inlineStr">
        <is>
          <t>Kỹ Sư Xây Dựng</t>
        </is>
      </c>
      <c r="D11571" t="inlineStr">
        <is>
          <t>CÔNG TY TRÁCH NHIỆM HỮU HẠN TÂN HỒ TÚ</t>
        </is>
      </c>
      <c r="E11571" t="inlineStr">
        <is>
          <t>Lương:Cạnh tranh</t>
        </is>
      </c>
      <c r="F11571" t="inlineStr">
        <is>
          <t>Bình Dương</t>
        </is>
      </c>
      <c r="G11571" t="inlineStr">
        <is>
          <t>27-03-2026</t>
        </is>
      </c>
      <c r="H11571" t="inlineStr">
        <is>
          <t>27/03/2026</t>
        </is>
      </c>
      <c r="I11571" t="inlineStr">
        <is>
          <t>17/03/2026</t>
        </is>
      </c>
      <c r="J11571" t="inlineStr">
        <is>
          <t>Kiến trúc, Xây dựng, An toàn lao động</t>
        </is>
      </c>
      <c r="K11571" t="inlineStr">
        <is>
          <t>N/A</t>
        </is>
      </c>
      <c r="L11571" s="8">
        <f>HYPERLINK("https://careerviet.vn/vi/tim-viec-lam/ky-su-xay-dung.35C69E90.html","Xem chi tiết")</f>
        <v/>
      </c>
    </row>
    <row r="11572">
      <c r="B11572" s="9" t="n">
        <v>11570</v>
      </c>
      <c r="C11572" s="10" t="inlineStr">
        <is>
          <t>Trưởng Phòng/ Giám Đốc Quan Hệ Khách Hàng (RM)</t>
        </is>
      </c>
      <c r="D11572" s="10" t="inlineStr">
        <is>
          <t>Công Ty CP Chứng Khoán VNDIRECT</t>
        </is>
      </c>
      <c r="E11572" s="10" t="inlineStr">
        <is>
          <t>Lương:Cạnh tranh</t>
        </is>
      </c>
      <c r="F11572" s="10" t="inlineStr">
        <is>
          <t>Hà NộiHồ Chí Minh</t>
        </is>
      </c>
      <c r="G11572" s="10" t="inlineStr">
        <is>
          <t>29-03-2026</t>
        </is>
      </c>
      <c r="H11572" s="10" t="inlineStr">
        <is>
          <t>29/03/2026</t>
        </is>
      </c>
      <c r="I11572" s="10" t="inlineStr">
        <is>
          <t>17/03/2026</t>
        </is>
      </c>
      <c r="J11572" s="10" t="inlineStr">
        <is>
          <t>Bảo hiểm, Bán hàng / Kinh doanh, Chứng khoán</t>
        </is>
      </c>
      <c r="K11572" s="10" t="inlineStr">
        <is>
          <t>Trên 3 Năm</t>
        </is>
      </c>
      <c r="L11572" s="11">
        <f>HYPERLINK("https://careerviet.vn/vi/tim-viec-lam/truong-phong-giam-doc-quan-he-khach-hang-rm.35C69D4F.html","Xem chi tiết")</f>
        <v/>
      </c>
      <c r="M11572" s="10" t="n"/>
    </row>
    <row r="11573">
      <c r="B11573" s="7" t="n">
        <v>11571</v>
      </c>
      <c r="C11573" t="inlineStr">
        <is>
          <t>Nhân viên Bảo trì (Thành Phố Buôn Mê Thuột)</t>
        </is>
      </c>
      <c r="D11573" t="inlineStr">
        <is>
          <t>Concung.com - Con Cung Joint Stock Company</t>
        </is>
      </c>
      <c r="E11573" t="inlineStr">
        <is>
          <t>Lương:Cạnh tranh</t>
        </is>
      </c>
      <c r="F11573" t="inlineStr">
        <is>
          <t>Dak Lak</t>
        </is>
      </c>
      <c r="G11573" t="inlineStr">
        <is>
          <t>27-03-2026</t>
        </is>
      </c>
      <c r="H11573" t="inlineStr">
        <is>
          <t>27/03/2026</t>
        </is>
      </c>
      <c r="I11573" t="inlineStr">
        <is>
          <t>17/03/2026</t>
        </is>
      </c>
      <c r="J11573" t="inlineStr">
        <is>
          <t>Điện / Điện tử / Điện lạnh / Điện công nghiệp, Bảo trì / Sửa chữa, Xây dựng</t>
        </is>
      </c>
      <c r="K11573" t="inlineStr">
        <is>
          <t>Trên 1 Năm</t>
        </is>
      </c>
      <c r="L11573" s="8">
        <f>HYPERLINK("https://careerviet.vn/vi/tim-viec-lam/nhan-vien-bao-tri-thanh-pho-buon-me-thuot.35C6A105.html","Xem chi tiết")</f>
        <v/>
      </c>
    </row>
    <row r="11574">
      <c r="B11574" s="9" t="n">
        <v>11572</v>
      </c>
      <c r="C11574" s="10" t="inlineStr">
        <is>
          <t>Dự toán nội thất [Xhome Việt Nam]</t>
        </is>
      </c>
      <c r="D11574" s="10" t="inlineStr">
        <is>
          <t>Công ty CP XHOME Việt Nam</t>
        </is>
      </c>
      <c r="E11574" s="10" t="inlineStr">
        <is>
          <t>Lương:20 Tr - 25 Tr VND</t>
        </is>
      </c>
      <c r="F11574" s="10" t="inlineStr">
        <is>
          <t>Hà Nội</t>
        </is>
      </c>
      <c r="G11574" s="10" t="inlineStr">
        <is>
          <t>30-03-2026</t>
        </is>
      </c>
      <c r="H11574" s="10" t="inlineStr">
        <is>
          <t>30/03/2026</t>
        </is>
      </c>
      <c r="I11574" s="10" t="inlineStr">
        <is>
          <t>17/03/2026</t>
        </is>
      </c>
      <c r="J11574" s="10" t="inlineStr">
        <is>
          <t>Xây dựng, Nội ngoại thất</t>
        </is>
      </c>
      <c r="K11574" s="10" t="inlineStr">
        <is>
          <t>3 - 5 Năm</t>
        </is>
      </c>
      <c r="L11574" s="11">
        <f>HYPERLINK("https://careerviet.vn/vi/tim-viec-lam/du-toan-noi-that-xhome-viet-nam.35C69FE1.html","Xem chi tiết")</f>
        <v/>
      </c>
      <c r="M11574" s="10" t="n"/>
    </row>
    <row r="11575">
      <c r="B11575" s="7" t="n">
        <v>11573</v>
      </c>
      <c r="C11575" t="inlineStr">
        <is>
          <t>HVAC &amp; Accommodation Engineer</t>
        </is>
      </c>
      <c r="D11575" t="inlineStr">
        <is>
          <t>CÔNG TY TNHH VARD VŨNG TÀU</t>
        </is>
      </c>
      <c r="E11575" t="inlineStr">
        <is>
          <t>Lương:Cạnh tranh</t>
        </is>
      </c>
      <c r="F11575" t="inlineStr">
        <is>
          <t>Bà Rịa - Vũng Tàu</t>
        </is>
      </c>
      <c r="G11575" t="inlineStr">
        <is>
          <t>27-03-2026</t>
        </is>
      </c>
      <c r="H11575" t="inlineStr">
        <is>
          <t>27/03/2026</t>
        </is>
      </c>
      <c r="I11575" t="inlineStr">
        <is>
          <t>17/03/2026</t>
        </is>
      </c>
      <c r="J11575" t="inlineStr">
        <is>
          <t>Cơ khí / Ô tô / Tự động hóa, Kiến trúc, Điện / Điện tử / Điện lạnh / Điện công nghiệp</t>
        </is>
      </c>
      <c r="K11575" t="inlineStr">
        <is>
          <t>N/A</t>
        </is>
      </c>
      <c r="L11575" s="8">
        <f>HYPERLINK("https://careerviet.vn/vi/tim-viec-lam/hvac-accommodation-engineer.35C69FCA.html","Xem chi tiết")</f>
        <v/>
      </c>
    </row>
    <row r="11576">
      <c r="B11576" s="9" t="n">
        <v>11574</v>
      </c>
      <c r="C11576" s="10" t="inlineStr">
        <is>
          <t>Nhân Viên Hành Chính Nhân Sự</t>
        </is>
      </c>
      <c r="D11576" s="10" t="inlineStr">
        <is>
          <t>JoyMall - Nhà Phân Phối Locknlock</t>
        </is>
      </c>
      <c r="E11576" s="10" t="inlineStr">
        <is>
          <t>Lương:7 Tr - 10 Tr VND</t>
        </is>
      </c>
      <c r="F11576" s="10" t="inlineStr">
        <is>
          <t>Hồ Chí Minh</t>
        </is>
      </c>
      <c r="G11576" s="10" t="inlineStr">
        <is>
          <t>31-03-2026</t>
        </is>
      </c>
      <c r="H11576" s="10" t="inlineStr">
        <is>
          <t>31/03/2026</t>
        </is>
      </c>
      <c r="I11576" s="10" t="inlineStr">
        <is>
          <t>17/03/2026</t>
        </is>
      </c>
      <c r="J11576" s="10" t="inlineStr">
        <is>
          <t>Nhân sự, Hành chính / Thư ký, Tổ chức sự kiện</t>
        </is>
      </c>
      <c r="K11576" s="10" t="inlineStr">
        <is>
          <t>Lên đến 1 Năm</t>
        </is>
      </c>
      <c r="L11576" s="11">
        <f>HYPERLINK("https://careerviet.vn/vi/tim-viec-lam/nhan-vien-hanh-chinh-nhan-su.35C69F59.html","Xem chi tiết")</f>
        <v/>
      </c>
      <c r="M11576" s="10" t="n"/>
    </row>
    <row r="11577">
      <c r="B11577" s="7" t="n">
        <v>11575</v>
      </c>
      <c r="C11577" t="inlineStr">
        <is>
          <t>Trưởng Phòng/ Giám Đốc Quan Hệ Khách Hàng (RM)</t>
        </is>
      </c>
      <c r="D11577" t="inlineStr">
        <is>
          <t>CÔNG TY CỔ PHẦN TẬP ĐOÀN ĐẦU TƯ I.P.A</t>
        </is>
      </c>
      <c r="E11577" t="inlineStr">
        <is>
          <t>Lương:Cạnh tranh</t>
        </is>
      </c>
      <c r="F11577" t="inlineStr">
        <is>
          <t>Hà NộiHồ Chí Minh</t>
        </is>
      </c>
      <c r="G11577" t="inlineStr">
        <is>
          <t>31-03-2026</t>
        </is>
      </c>
      <c r="H11577" t="inlineStr">
        <is>
          <t>31/03/2026</t>
        </is>
      </c>
      <c r="I11577" t="inlineStr">
        <is>
          <t>17/03/2026</t>
        </is>
      </c>
      <c r="J11577" t="inlineStr">
        <is>
          <t>Ngân hàng, Tài chính / Đầu tư, Chứng khoán</t>
        </is>
      </c>
      <c r="K11577" t="inlineStr">
        <is>
          <t>Trên 8 Năm</t>
        </is>
      </c>
      <c r="L11577" s="8">
        <f>HYPERLINK("https://careerviet.vn/vi/tim-viec-lam/truong-phong-giam-doc-quan-he-khach-hang-rm.35C69D4D.html","Xem chi tiết")</f>
        <v/>
      </c>
    </row>
    <row r="11578">
      <c r="B11578" s="9" t="n">
        <v>11576</v>
      </c>
      <c r="C11578" s="10" t="inlineStr">
        <is>
          <t>Nhân viên thủ kho thành phẩm</t>
        </is>
      </c>
      <c r="D11578" s="10" t="inlineStr">
        <is>
          <t>Công Ty Cổ Phần Quốc Tế Sơn Hà</t>
        </is>
      </c>
      <c r="E11578" s="10" t="inlineStr">
        <is>
          <t>Lương:Cạnh tranh</t>
        </is>
      </c>
      <c r="F11578" s="10" t="inlineStr">
        <is>
          <t>Bắc Ninh</t>
        </is>
      </c>
      <c r="G11578" s="10" t="inlineStr">
        <is>
          <t>30-03-2026</t>
        </is>
      </c>
      <c r="H11578" s="10" t="inlineStr">
        <is>
          <t>30/03/2026</t>
        </is>
      </c>
      <c r="I11578" s="10" t="inlineStr">
        <is>
          <t>17/03/2026</t>
        </is>
      </c>
      <c r="J11578" s="10" t="inlineStr">
        <is>
          <t>Hàng gia dụng / Chăm sóc cá nhân, Cơ khí / Ô tô / Tự động hóa, Vận chuyển / Giao nhận / Kho vận</t>
        </is>
      </c>
      <c r="K11578" s="10" t="inlineStr">
        <is>
          <t>Lên đến 1 Năm</t>
        </is>
      </c>
      <c r="L11578" s="11">
        <f>HYPERLINK("https://careerviet.vn/vi/tim-viec-lam/nhan-vien-thu-kho-thanh-pham.35C69D64.html","Xem chi tiết")</f>
        <v/>
      </c>
      <c r="M11578" s="10" t="n"/>
    </row>
    <row r="11579">
      <c r="B11579" s="7" t="n">
        <v>11577</v>
      </c>
      <c r="C11579" t="inlineStr">
        <is>
          <t>Trưởng Bộ Phận Đặt Phòng (Mảng Khách sạn - Nghỉ dưỡng)</t>
        </is>
      </c>
      <c r="D11579" t="inlineStr">
        <is>
          <t>CÔNG TY CỔ PHẦN TẬP ĐOÀN ONSEN FUJI</t>
        </is>
      </c>
      <c r="E11579" t="inlineStr">
        <is>
          <t>Lương:25 Tr - 30 Tr VND</t>
        </is>
      </c>
      <c r="F11579" t="inlineStr">
        <is>
          <t>Hà Nội</t>
        </is>
      </c>
      <c r="G11579" t="inlineStr">
        <is>
          <t>31-03-2026</t>
        </is>
      </c>
      <c r="H11579" t="inlineStr">
        <is>
          <t>31/03/2026</t>
        </is>
      </c>
      <c r="I11579" t="inlineStr">
        <is>
          <t>17/03/2026</t>
        </is>
      </c>
      <c r="J11579" t="inlineStr">
        <is>
          <t>Nhà hàng / Khách sạn, Du lịch</t>
        </is>
      </c>
      <c r="K11579" t="inlineStr">
        <is>
          <t>3 - 5 Năm</t>
        </is>
      </c>
      <c r="L11579" s="8">
        <f>HYPERLINK("https://careerviet.vn/vi/tim-viec-lam/truong-bo-phan-dat-phong-mang-khach-san-nghi-duong.35C6A03E.html","Xem chi tiết")</f>
        <v/>
      </c>
    </row>
    <row r="11580">
      <c r="B11580" s="9" t="n">
        <v>11578</v>
      </c>
      <c r="C11580" s="10" t="inlineStr">
        <is>
          <t>Chuyên Viên Kế Toán (Mảng Khách sạn - Nghỉ dưỡng)</t>
        </is>
      </c>
      <c r="D11580" s="10" t="inlineStr">
        <is>
          <t>CÔNG TY CỔ PHẦN TẬP ĐOÀN ONSEN FUJI</t>
        </is>
      </c>
      <c r="E11580" s="10" t="inlineStr">
        <is>
          <t>Lương:10 Tr - 15 Tr VND</t>
        </is>
      </c>
      <c r="F11580" s="10" t="inlineStr">
        <is>
          <t>Hà Nội</t>
        </is>
      </c>
      <c r="G11580" s="10" t="inlineStr">
        <is>
          <t>01-04-2026</t>
        </is>
      </c>
      <c r="H11580" s="10" t="inlineStr">
        <is>
          <t>01/04/2026</t>
        </is>
      </c>
      <c r="I11580" s="10" t="inlineStr">
        <is>
          <t>17/03/2026</t>
        </is>
      </c>
      <c r="J11580" s="10" t="inlineStr">
        <is>
          <t>Kế toán / Kiểm toán</t>
        </is>
      </c>
      <c r="K11580" s="10" t="inlineStr">
        <is>
          <t>1 - 2 Năm</t>
        </is>
      </c>
      <c r="L11580" s="11">
        <f>HYPERLINK("https://careerviet.vn/vi/tim-viec-lam/chuyen-vien-ke-toan-mang-khach-san-nghi-duong.35C69FA5.html","Xem chi tiết")</f>
        <v/>
      </c>
      <c r="M11580" s="10" t="n"/>
    </row>
    <row r="11581">
      <c r="B11581" s="7" t="n">
        <v>11579</v>
      </c>
      <c r="C11581" t="inlineStr">
        <is>
          <t>Senior Direct Sales Analysis Specialist</t>
        </is>
      </c>
      <c r="D11581" t="inlineStr">
        <is>
          <t>FE CREDIT</t>
        </is>
      </c>
      <c r="E11581" t="inlineStr">
        <is>
          <t>Lương:Cạnh tranh</t>
        </is>
      </c>
      <c r="F11581" t="inlineStr">
        <is>
          <t>Hồ Chí Minh</t>
        </is>
      </c>
      <c r="G11581" t="inlineStr">
        <is>
          <t>31-03-2026</t>
        </is>
      </c>
      <c r="H11581" t="inlineStr">
        <is>
          <t>31/03/2026</t>
        </is>
      </c>
      <c r="I11581" t="inlineStr">
        <is>
          <t>17/03/2026</t>
        </is>
      </c>
      <c r="J11581" t="inlineStr">
        <is>
          <t>Ngân hàng, Tài chính / Đầu tư</t>
        </is>
      </c>
      <c r="K11581" t="inlineStr">
        <is>
          <t>3 - 5 Năm</t>
        </is>
      </c>
      <c r="L11581" s="8">
        <f>HYPERLINK("https://careerviet.vn/vi/tim-viec-lam/senior-direct-sales-analysis-specialist.35C6A091.html","Xem chi tiết")</f>
        <v/>
      </c>
    </row>
    <row r="11582">
      <c r="B11582" s="9" t="n">
        <v>11580</v>
      </c>
      <c r="C11582" s="10" t="inlineStr">
        <is>
          <t>Nhân viên Kiến trúc sư nội thất</t>
        </is>
      </c>
      <c r="D11582" s="10" t="inlineStr">
        <is>
          <t>CÔNG TY CỔ PHẦN ẨM THỰC SAO PHƯƠNG NAM GROUP</t>
        </is>
      </c>
      <c r="E11582" s="10" t="inlineStr">
        <is>
          <t>Lương:12 Tr - 20 Tr VND</t>
        </is>
      </c>
      <c r="F11582" s="10" t="inlineStr">
        <is>
          <t>Hà Nội</t>
        </is>
      </c>
      <c r="G11582" s="10" t="inlineStr">
        <is>
          <t>31-03-2026</t>
        </is>
      </c>
      <c r="H11582" s="10" t="inlineStr">
        <is>
          <t>31/03/2026</t>
        </is>
      </c>
      <c r="I11582" s="10" t="inlineStr">
        <is>
          <t>17/03/2026</t>
        </is>
      </c>
      <c r="J11582" s="10" t="inlineStr">
        <is>
          <t>Kiến trúc, Xây dựng</t>
        </is>
      </c>
      <c r="K11582" s="10" t="inlineStr">
        <is>
          <t>1 - 2 Năm</t>
        </is>
      </c>
      <c r="L11582" s="11">
        <f>HYPERLINK("https://careerviet.vn/vi/tim-viec-lam/nhan-vien-kien-truc-su-noi-that.35C69F26.html","Xem chi tiết")</f>
        <v/>
      </c>
      <c r="M11582" s="10" t="n"/>
    </row>
    <row r="11583">
      <c r="B11583" s="7" t="n">
        <v>11581</v>
      </c>
      <c r="C11583" t="inlineStr">
        <is>
          <t>Nhân viên vận đơn (Sales Admin)</t>
        </is>
      </c>
      <c r="D11583" t="inlineStr">
        <is>
          <t>CÔNG TY CỔ PHẦN PHÁT TRIỂN CƠ ĐIỆN LẠNH HOÀNG ĐẠT</t>
        </is>
      </c>
      <c r="E11583" t="inlineStr">
        <is>
          <t>Lương:12 Tr - 14 Tr VND</t>
        </is>
      </c>
      <c r="F11583" t="inlineStr">
        <is>
          <t>Hà Nội</t>
        </is>
      </c>
      <c r="G11583" t="inlineStr">
        <is>
          <t>31-03-2026</t>
        </is>
      </c>
      <c r="H11583" t="inlineStr">
        <is>
          <t>31/03/2026</t>
        </is>
      </c>
      <c r="I11583" t="inlineStr">
        <is>
          <t>17/03/2026</t>
        </is>
      </c>
      <c r="J11583" t="inlineStr">
        <is>
          <t>Bán hàng / Kinh doanh</t>
        </is>
      </c>
      <c r="K11583" t="inlineStr">
        <is>
          <t>1 - 2 Năm</t>
        </is>
      </c>
      <c r="L11583" s="8">
        <f>HYPERLINK("https://careerviet.vn/vi/tim-viec-lam/nhan-vien-van-don-sales-admin.35C6A102.html","Xem chi tiết")</f>
        <v/>
      </c>
    </row>
    <row r="11584">
      <c r="B11584" s="9" t="n">
        <v>11582</v>
      </c>
      <c r="C11584" s="10" t="inlineStr">
        <is>
          <t>Thực tập sinh Hành chính</t>
        </is>
      </c>
      <c r="D11584" s="10" t="inlineStr">
        <is>
          <t>CÔNG TY CỔ PHẦN VUA NỆM</t>
        </is>
      </c>
      <c r="E11584" s="10" t="inlineStr">
        <is>
          <t>Lương:1 Tr - 2 Tr VND</t>
        </is>
      </c>
      <c r="F11584" s="10" t="inlineStr">
        <is>
          <t>Hà Nội</t>
        </is>
      </c>
      <c r="G11584" s="10" t="inlineStr">
        <is>
          <t>28-03-2026</t>
        </is>
      </c>
      <c r="H11584" s="10" t="inlineStr">
        <is>
          <t>28/03/2026</t>
        </is>
      </c>
      <c r="I11584" s="10" t="inlineStr">
        <is>
          <t>17/03/2026</t>
        </is>
      </c>
      <c r="J11584" s="10" t="inlineStr">
        <is>
          <t>Nhân sự, Hành chính / Thư ký</t>
        </is>
      </c>
      <c r="K11584" s="10" t="inlineStr">
        <is>
          <t>N/A</t>
        </is>
      </c>
      <c r="L11584" s="11">
        <f>HYPERLINK("https://careerviet.vn/vi/tim-viec-lam/thuc-tap-sinh-hanh-chinh.35C69DCB.html","Xem chi tiết")</f>
        <v/>
      </c>
      <c r="M11584" s="10" t="n"/>
    </row>
    <row r="11585">
      <c r="B11585" s="7" t="n">
        <v>11583</v>
      </c>
      <c r="C11585" t="inlineStr">
        <is>
          <t>Kỹ sư thiết kế (cơ khí/điện/xây dựng)</t>
        </is>
      </c>
      <c r="D11585" t="inlineStr">
        <is>
          <t>CÔNG TY TNHH JOB HOUSE</t>
        </is>
      </c>
      <c r="E11585" t="inlineStr">
        <is>
          <t>Lương:Lên đến 20 Tr VND</t>
        </is>
      </c>
      <c r="F11585" t="inlineStr">
        <is>
          <t>Hà NộiHưng YênĐồng Nai</t>
        </is>
      </c>
      <c r="G11585" t="inlineStr">
        <is>
          <t>30-04-2026</t>
        </is>
      </c>
      <c r="H11585" t="inlineStr">
        <is>
          <t>30/04/2026</t>
        </is>
      </c>
      <c r="I11585" t="inlineStr">
        <is>
          <t>17/03/2026</t>
        </is>
      </c>
      <c r="J11585" t="inlineStr">
        <is>
          <t>Cơ khí / Ô tô / Tự động hóa, Điện / Điện tử / Điện lạnh / Điện công nghiệp, Xây dựng</t>
        </is>
      </c>
      <c r="K11585" t="inlineStr">
        <is>
          <t>Trên 2 Năm</t>
        </is>
      </c>
      <c r="L11585" s="8">
        <f>HYPERLINK("https://careerviet.vn/vi/tim-viec-lam/ky-su-thiet-ke-co-khi-dien-xay-dung.35C69F0C.html","Xem chi tiết")</f>
        <v/>
      </c>
    </row>
    <row r="11586">
      <c r="B11586" s="9" t="n">
        <v>11584</v>
      </c>
      <c r="C11586" s="10" t="inlineStr">
        <is>
          <t>Nhân viên Sản xuất - Lắp ráp cơ khí</t>
        </is>
      </c>
      <c r="D11586" s="10" t="inlineStr">
        <is>
          <t>CÔNG TY CỔ PHẦN GREMSY</t>
        </is>
      </c>
      <c r="E11586" s="10" t="inlineStr">
        <is>
          <t>Lương:7 Tr - 10 Tr VND</t>
        </is>
      </c>
      <c r="F11586" s="10" t="inlineStr">
        <is>
          <t>Hồ Chí Minh</t>
        </is>
      </c>
      <c r="G11586" s="10" t="inlineStr">
        <is>
          <t>31-03-2026</t>
        </is>
      </c>
      <c r="H11586" s="10" t="inlineStr">
        <is>
          <t>31/03/2026</t>
        </is>
      </c>
      <c r="I11586" s="10" t="inlineStr">
        <is>
          <t>17/03/2026</t>
        </is>
      </c>
      <c r="J11586" s="10" t="inlineStr">
        <is>
          <t>Cơ khí / Ô tô / Tự động hóa, Sản xuất / Vận hành sản xuất</t>
        </is>
      </c>
      <c r="K11586" s="10" t="inlineStr">
        <is>
          <t>Chưa có kinh nghiệm</t>
        </is>
      </c>
      <c r="L11586" s="11">
        <f>HYPERLINK("https://careerviet.vn/vi/tim-viec-lam/nhan-vien-san-xuat-lap-rap-co-khi.35C6A0CE.html","Xem chi tiết")</f>
        <v/>
      </c>
      <c r="M11586" s="10" t="n"/>
    </row>
    <row r="11587">
      <c r="B11587" s="7" t="n">
        <v>11585</v>
      </c>
      <c r="C11587" t="inlineStr">
        <is>
          <t>CVCC/TRƯỞNG NHÓM TIỀN LƯƠNG VÀ PHÚC LỢI (SENIOR C&amp;B)</t>
        </is>
      </c>
      <c r="D11587" t="inlineStr">
        <is>
          <t>CÔNG TY CỔ PHẦN CẢNG TÀU KHÁCH QUỐC TẾ TUẦN CHÂU</t>
        </is>
      </c>
      <c r="E11587" t="inlineStr">
        <is>
          <t>Lương:Cạnh tranh</t>
        </is>
      </c>
      <c r="F11587" t="inlineStr">
        <is>
          <t>Hà Nội</t>
        </is>
      </c>
      <c r="G11587" t="inlineStr">
        <is>
          <t>29-03-2026</t>
        </is>
      </c>
      <c r="H11587" t="inlineStr">
        <is>
          <t>29/03/2026</t>
        </is>
      </c>
      <c r="I11587" t="inlineStr">
        <is>
          <t>17/03/2026</t>
        </is>
      </c>
      <c r="J11587" t="inlineStr">
        <is>
          <t>Nhân sự</t>
        </is>
      </c>
      <c r="K11587" t="inlineStr">
        <is>
          <t>5 - 7 Năm</t>
        </is>
      </c>
      <c r="L11587" s="8">
        <f>HYPERLINK("https://careerviet.vn/vi/tim-viec-lam/cvcc-truong-nhom-tien-luong-va-phuc-loi-senior-c-b.35C6A0DF.html","Xem chi tiết")</f>
        <v/>
      </c>
    </row>
    <row r="11588">
      <c r="B11588" s="9" t="n">
        <v>11586</v>
      </c>
      <c r="C11588" s="10" t="inlineStr">
        <is>
          <t>Chuyên viên Phát triển thị trường</t>
        </is>
      </c>
      <c r="D11588" s="10" t="inlineStr">
        <is>
          <t>Công ty TNHH Sản xuất, lắp ráp Tuấn Nghĩa</t>
        </is>
      </c>
      <c r="E11588" s="10" t="inlineStr">
        <is>
          <t>Lương:12 Tr - 15 Tr VND</t>
        </is>
      </c>
      <c r="F11588" s="10" t="inlineStr">
        <is>
          <t>Hà Nội</t>
        </is>
      </c>
      <c r="G11588" s="10" t="inlineStr">
        <is>
          <t>29-03-2026</t>
        </is>
      </c>
      <c r="H11588" s="10" t="inlineStr">
        <is>
          <t>29/03/2026</t>
        </is>
      </c>
      <c r="I11588" s="10" t="inlineStr">
        <is>
          <t>17/03/2026</t>
        </is>
      </c>
      <c r="J11588" s="10" t="inlineStr">
        <is>
          <t>Bán hàng / Kinh doanh</t>
        </is>
      </c>
      <c r="K11588" s="10" t="inlineStr">
        <is>
          <t>Trên 2 Năm</t>
        </is>
      </c>
      <c r="L11588" s="11">
        <f>HYPERLINK("https://careerviet.vn/vi/tim-viec-lam/chuyen-vien-phat-trien-thi-truong.35C6A068.html","Xem chi tiết")</f>
        <v/>
      </c>
      <c r="M11588" s="10" t="n"/>
    </row>
    <row r="11589">
      <c r="B11589" s="7" t="n">
        <v>11587</v>
      </c>
      <c r="C11589" t="inlineStr">
        <is>
          <t>Nhân viên RD (phối màu ngành bột sơn)</t>
        </is>
      </c>
      <c r="D11589" t="inlineStr">
        <is>
          <t>CÔNG TY TNHH BỘT SƠN TĨNH ĐIỆN KIM THÀNH PHÁT</t>
        </is>
      </c>
      <c r="E11589" t="inlineStr">
        <is>
          <t>Lương:Cạnh tranh</t>
        </is>
      </c>
      <c r="F11589" t="inlineStr">
        <is>
          <t>Tây Ninh</t>
        </is>
      </c>
      <c r="G11589" t="inlineStr">
        <is>
          <t>27-03-2026</t>
        </is>
      </c>
      <c r="H11589" t="inlineStr">
        <is>
          <t>27/03/2026</t>
        </is>
      </c>
      <c r="I11589" t="inlineStr">
        <is>
          <t>17/03/2026</t>
        </is>
      </c>
      <c r="J11589" t="inlineStr">
        <is>
          <t>Hóa học</t>
        </is>
      </c>
      <c r="K11589" t="inlineStr">
        <is>
          <t>1 - 3 Năm</t>
        </is>
      </c>
      <c r="L11589" s="8">
        <f>HYPERLINK("https://careerviet.vn/vi/tim-viec-lam/nhan-vien-rd-phoi-mau-nganh-bot-son.35C69FC1.html","Xem chi tiết")</f>
        <v/>
      </c>
    </row>
    <row r="11590">
      <c r="B11590" s="9" t="n">
        <v>11588</v>
      </c>
      <c r="C11590" s="10" t="inlineStr">
        <is>
          <t>[Phú Nhuận] Tuyển Nhân Viên Bán Hàng - Chuỗi Cửa Hàng Bán Lẻ Thiết Bị Sức Khỏe</t>
        </is>
      </c>
      <c r="D11590" s="10" t="inlineStr">
        <is>
          <t>Công Ty TNHH XNK Phát Triển Đông Dương</t>
        </is>
      </c>
      <c r="E11590" s="10" t="inlineStr">
        <is>
          <t>Lương:12 Tr - 20 Tr VND</t>
        </is>
      </c>
      <c r="F11590" s="10" t="inlineStr">
        <is>
          <t>Hồ Chí Minh</t>
        </is>
      </c>
      <c r="G11590" s="10" t="inlineStr">
        <is>
          <t>31-03-2026</t>
        </is>
      </c>
      <c r="H11590" s="10" t="inlineStr">
        <is>
          <t>31/03/2026</t>
        </is>
      </c>
      <c r="I11590" s="10" t="inlineStr">
        <is>
          <t>17/03/2026</t>
        </is>
      </c>
      <c r="J11590" s="10" t="inlineStr">
        <is>
          <t>Bán lẻ / Bán sỉ, Bán hàng / Kinh doanh, Tư vấn</t>
        </is>
      </c>
      <c r="K11590" s="10" t="inlineStr">
        <is>
          <t>N/A</t>
        </is>
      </c>
      <c r="L11590" s="11">
        <f>HYPERLINK("https://careerviet.vn/vi/tim-viec-lam/phu-nhuan-tuyen-nhan-vien-ban-hang-chuoi-cua-hang-ban-le-thiet-bi-suc-khoe.35C6A0A9.html","Xem chi tiết")</f>
        <v/>
      </c>
      <c r="M11590" s="10" t="n"/>
    </row>
    <row r="11591">
      <c r="B11591" s="7" t="n">
        <v>11589</v>
      </c>
      <c r="C11591" t="inlineStr">
        <is>
          <t>Kế Toán Nội Bộ</t>
        </is>
      </c>
      <c r="D11591" t="inlineStr">
        <is>
          <t>CÔNG TY TNHH XÂY LẮP THƯƠNG MẠI SONG ANH</t>
        </is>
      </c>
      <c r="E11591" t="inlineStr">
        <is>
          <t>Lương:Cạnh tranh</t>
        </is>
      </c>
      <c r="F11591" t="inlineStr">
        <is>
          <t>Hải Phòng</t>
        </is>
      </c>
      <c r="G11591" t="inlineStr">
        <is>
          <t>27-03-2026</t>
        </is>
      </c>
      <c r="H11591" t="inlineStr">
        <is>
          <t>27/03/2026</t>
        </is>
      </c>
      <c r="I11591" t="inlineStr">
        <is>
          <t>17/03/2026</t>
        </is>
      </c>
      <c r="J11591" t="inlineStr">
        <is>
          <t>Kế toán / Kiểm toán, Tài chính / Đầu tư, Luật / Pháp lý</t>
        </is>
      </c>
      <c r="K11591" t="inlineStr">
        <is>
          <t>1 - 2 Năm</t>
        </is>
      </c>
      <c r="L11591" s="8">
        <f>HYPERLINK("https://careerviet.vn/vi/tim-viec-lam/ke-toan-noi-bo.35C6A064.html","Xem chi tiết")</f>
        <v/>
      </c>
    </row>
    <row r="11592">
      <c r="B11592" s="9" t="n">
        <v>11590</v>
      </c>
      <c r="C11592" s="10" t="inlineStr">
        <is>
          <t>Nhân Viên Phát Triển Đối Tác - Business Development (Mảng Trung Gian Thanh Toán)</t>
        </is>
      </c>
      <c r="D11592" s="10" t="inlineStr">
        <is>
          <t>Công ty Cố phần giải pháp công nghệ ITE</t>
        </is>
      </c>
      <c r="E11592" s="10" t="inlineStr">
        <is>
          <t>Lương:15 Tr - 20 Tr VND</t>
        </is>
      </c>
      <c r="F11592" s="10" t="inlineStr">
        <is>
          <t>Hà Nội</t>
        </is>
      </c>
      <c r="G11592" s="10" t="inlineStr">
        <is>
          <t>27-03-2026</t>
        </is>
      </c>
      <c r="H11592" s="10" t="inlineStr">
        <is>
          <t>27/03/2026</t>
        </is>
      </c>
      <c r="I11592" s="10" t="inlineStr">
        <is>
          <t>17/03/2026</t>
        </is>
      </c>
      <c r="J11592" s="10" t="inlineStr">
        <is>
          <t>Bán hàng / Kinh doanh, Tư vấn, Dịch vụ khách hàng</t>
        </is>
      </c>
      <c r="K11592" s="10" t="inlineStr">
        <is>
          <t>1 - 3 Năm</t>
        </is>
      </c>
      <c r="L11592" s="11">
        <f>HYPERLINK("https://careerviet.vn/vi/tim-viec-lam/nhan-vien-phat-trien-doi-tac-business-development-mang-trung-gian-thanh-toan.35C6A0B8.html","Xem chi tiết")</f>
        <v/>
      </c>
      <c r="M11592" s="10" t="n"/>
    </row>
    <row r="11593">
      <c r="B11593" s="7" t="n">
        <v>11591</v>
      </c>
      <c r="C11593" t="inlineStr">
        <is>
          <t>KỸ SƯ HIỆN TRƯỜNG XÂY DỰNG</t>
        </is>
      </c>
      <c r="D11593" t="inlineStr">
        <is>
          <t>Công Ty Cổ Phần Tập đoàn Xây dựng Thành Đô</t>
        </is>
      </c>
      <c r="E11593" t="inlineStr">
        <is>
          <t>Lương:15 Tr - 18 Tr VND</t>
        </is>
      </c>
      <c r="F11593" t="inlineStr">
        <is>
          <t>Vĩnh LongHồ Chí Minh</t>
        </is>
      </c>
      <c r="G11593" t="inlineStr">
        <is>
          <t>31-03-2026</t>
        </is>
      </c>
      <c r="H11593" t="inlineStr">
        <is>
          <t>31/03/2026</t>
        </is>
      </c>
      <c r="I11593" t="inlineStr">
        <is>
          <t>17/03/2026</t>
        </is>
      </c>
      <c r="J11593" t="inlineStr">
        <is>
          <t>Xây dựng, Kiến trúc</t>
        </is>
      </c>
      <c r="K11593" t="inlineStr">
        <is>
          <t>Trên 3 Năm</t>
        </is>
      </c>
      <c r="L11593" s="8">
        <f>HYPERLINK("https://careerviet.vn/vi/tim-viec-lam/ky-su-hien-truong-xay-dung.35C69F61.html","Xem chi tiết")</f>
        <v/>
      </c>
    </row>
    <row r="11594">
      <c r="B11594" s="9" t="n">
        <v>11592</v>
      </c>
      <c r="C11594" s="10" t="inlineStr">
        <is>
          <t>Trợ Lý Hạng Mục (PA)</t>
        </is>
      </c>
      <c r="D11594" s="10" t="inlineStr">
        <is>
          <t>CÔNG TY TNHH RYDER INDUSTRIES VIỆT NAM</t>
        </is>
      </c>
      <c r="E11594" s="10" t="inlineStr">
        <is>
          <t>Lương:Cạnh tranh</t>
        </is>
      </c>
      <c r="F11594" s="10" t="inlineStr">
        <is>
          <t>Đồng Nai</t>
        </is>
      </c>
      <c r="G11594" s="10" t="inlineStr">
        <is>
          <t>27-03-2026</t>
        </is>
      </c>
      <c r="H11594" s="10" t="inlineStr">
        <is>
          <t>27/03/2026</t>
        </is>
      </c>
      <c r="I11594" s="10" t="inlineStr">
        <is>
          <t>17/03/2026</t>
        </is>
      </c>
      <c r="J11594" s="10" t="inlineStr">
        <is>
          <t>Sản xuất / Vận hành sản xuất, Cơ khí / Ô tô / Tự động hóa, Bán Hàng Kỹ Thuật</t>
        </is>
      </c>
      <c r="K11594" s="10" t="inlineStr">
        <is>
          <t>Trên 1 Năm</t>
        </is>
      </c>
      <c r="L11594" s="11">
        <f>HYPERLINK("https://careerviet.vn/vi/tim-viec-lam/tro-ly-hang-muc-pa.35C69E13.html","Xem chi tiết")</f>
        <v/>
      </c>
      <c r="M11594" s="10" t="n"/>
    </row>
    <row r="11595">
      <c r="B11595" s="7" t="n">
        <v>11593</v>
      </c>
      <c r="C11595" t="inlineStr">
        <is>
          <t>Kỹ Sư Cơ</t>
        </is>
      </c>
      <c r="D11595" t="inlineStr">
        <is>
          <t>CÔNG TY TNHH XÂY LẮP THƯƠNG MẠI SONG ANH</t>
        </is>
      </c>
      <c r="E11595" t="inlineStr">
        <is>
          <t>Lương:Cạnh tranh</t>
        </is>
      </c>
      <c r="F11595" t="inlineStr">
        <is>
          <t>Hải Phòng</t>
        </is>
      </c>
      <c r="G11595" t="inlineStr">
        <is>
          <t>27-03-2026</t>
        </is>
      </c>
      <c r="H11595" t="inlineStr">
        <is>
          <t>27/03/2026</t>
        </is>
      </c>
      <c r="I11595" t="inlineStr">
        <is>
          <t>17/03/2026</t>
        </is>
      </c>
      <c r="J11595" t="inlineStr">
        <is>
          <t>Cơ khí / Ô tô / Tự động hóa, Mỹ thuật / Nghệ thuật / Thiết kế, Điện / Điện tử / Điện lạnh / Điện công nghiệp</t>
        </is>
      </c>
      <c r="K11595" t="inlineStr">
        <is>
          <t>Trên 2 Năm</t>
        </is>
      </c>
      <c r="L11595" s="8">
        <f>HYPERLINK("https://careerviet.vn/vi/tim-viec-lam/ky-su-co.35C6A06D.html","Xem chi tiết")</f>
        <v/>
      </c>
    </row>
    <row r="11596">
      <c r="B11596" s="9" t="n">
        <v>11594</v>
      </c>
      <c r="C11596" s="10" t="inlineStr">
        <is>
          <t>TẬP ĐOÀN SƠN HÀ TUYỂN DUNG NHÂN VIÊN KINH DOANH TẠI THANH HÓA</t>
        </is>
      </c>
      <c r="D11596" s="10" t="inlineStr">
        <is>
          <t>Công Ty Cổ Phần Quốc Tế Sơn Hà</t>
        </is>
      </c>
      <c r="E11596" s="10" t="inlineStr">
        <is>
          <t>Lương:Cạnh tranh</t>
        </is>
      </c>
      <c r="F11596" s="10" t="inlineStr">
        <is>
          <t>Thanh Hóa</t>
        </is>
      </c>
      <c r="G11596" s="10" t="inlineStr">
        <is>
          <t>29-03-2026</t>
        </is>
      </c>
      <c r="H11596" s="10" t="inlineStr">
        <is>
          <t>29/03/2026</t>
        </is>
      </c>
      <c r="I11596" s="10" t="inlineStr">
        <is>
          <t>17/03/2026</t>
        </is>
      </c>
      <c r="J11596" s="10" t="inlineStr">
        <is>
          <t>Bán hàng / Kinh doanh</t>
        </is>
      </c>
      <c r="K11596" s="10" t="inlineStr">
        <is>
          <t>N/A</t>
        </is>
      </c>
      <c r="L11596" s="11">
        <f>HYPERLINK("https://careerviet.vn/vi/tim-viec-lam/tap-doan-son-ha-tuyen-dung-nhan-vien-kinh-doanh-tai-thanh-hoa.35C6A070.html","Xem chi tiết")</f>
        <v/>
      </c>
      <c r="M11596" s="10" t="n"/>
    </row>
    <row r="11597">
      <c r="B11597" s="7" t="n">
        <v>11595</v>
      </c>
      <c r="C11597" t="inlineStr">
        <is>
          <t>Nhân viên QC</t>
        </is>
      </c>
      <c r="D11597" t="inlineStr">
        <is>
          <t>Công ty Cổ phần Đồng phục Phương Thảo</t>
        </is>
      </c>
      <c r="E11597" t="inlineStr">
        <is>
          <t>Lương:12 Tr - 15 Tr VND</t>
        </is>
      </c>
      <c r="F11597" t="inlineStr">
        <is>
          <t>Hà Nội</t>
        </is>
      </c>
      <c r="G11597" t="inlineStr">
        <is>
          <t>31-03-2026</t>
        </is>
      </c>
      <c r="H11597" t="inlineStr">
        <is>
          <t>31/03/2026</t>
        </is>
      </c>
      <c r="I11597" t="inlineStr">
        <is>
          <t>17/03/2026</t>
        </is>
      </c>
      <c r="J11597" t="inlineStr">
        <is>
          <t>Dệt may / Da giày / Thời trang, Quản lý chất lượng (QA/QC)</t>
        </is>
      </c>
      <c r="K11597" t="inlineStr">
        <is>
          <t>2 - 3 Năm</t>
        </is>
      </c>
      <c r="L11597" s="8">
        <f>HYPERLINK("https://careerviet.vn/vi/tim-viec-lam/nhan-vien-qc.35C6A0A2.html","Xem chi tiết")</f>
        <v/>
      </c>
    </row>
    <row r="11598">
      <c r="B11598" s="9" t="n">
        <v>11596</v>
      </c>
      <c r="C11598" s="10" t="inlineStr">
        <is>
          <t>Kỹ sư thiết bị y tế</t>
        </is>
      </c>
      <c r="D11598" s="10" t="inlineStr">
        <is>
          <t>CÔNG TY TNHH THIẾT BỊ CÔNG NGHỆ VÀ ĐẦU TƯ MDC</t>
        </is>
      </c>
      <c r="E11598" s="10" t="inlineStr">
        <is>
          <t>Lương:Trên 12 Tr VND</t>
        </is>
      </c>
      <c r="F11598" s="10" t="inlineStr">
        <is>
          <t>Hồ Chí Minh</t>
        </is>
      </c>
      <c r="G11598" s="10" t="inlineStr">
        <is>
          <t>31-03-2026</t>
        </is>
      </c>
      <c r="H11598" s="10" t="inlineStr">
        <is>
          <t>31/03/2026</t>
        </is>
      </c>
      <c r="I11598" s="10" t="inlineStr">
        <is>
          <t>17/03/2026</t>
        </is>
      </c>
      <c r="J11598" s="10" t="inlineStr">
        <is>
          <t>Y tế / Chăm sóc sức khỏe / Thẩm mỹ / Làm đẹp, Bảo trì / Sửa chữa</t>
        </is>
      </c>
      <c r="K11598" s="10" t="inlineStr">
        <is>
          <t>Trên 2 Năm</t>
        </is>
      </c>
      <c r="L11598" s="11">
        <f>HYPERLINK("https://careerviet.vn/vi/tim-viec-lam/ky-su-thiet-bi-y-te.35C69DC3.html","Xem chi tiết")</f>
        <v/>
      </c>
      <c r="M11598" s="10" t="n"/>
    </row>
    <row r="11599">
      <c r="B11599" s="7" t="n">
        <v>11597</v>
      </c>
      <c r="C11599" t="inlineStr">
        <is>
          <t>Nhân Viên Bảo trì (Thành Phố Quảng Ngãi)</t>
        </is>
      </c>
      <c r="D11599" t="inlineStr">
        <is>
          <t>Concung.com - Con Cung Joint Stock Company</t>
        </is>
      </c>
      <c r="E11599" t="inlineStr">
        <is>
          <t>Lương:Cạnh tranh</t>
        </is>
      </c>
      <c r="F11599" t="inlineStr">
        <is>
          <t>Quảng Ngãi</t>
        </is>
      </c>
      <c r="G11599" t="inlineStr">
        <is>
          <t>27-03-2026</t>
        </is>
      </c>
      <c r="H11599" t="inlineStr">
        <is>
          <t>27/03/2026</t>
        </is>
      </c>
      <c r="I11599" t="inlineStr">
        <is>
          <t>17/03/2026</t>
        </is>
      </c>
      <c r="J11599" t="inlineStr">
        <is>
          <t>Điện / Điện tử / Điện lạnh / Điện công nghiệp, Bảo trì / Sửa chữa, Xây dựng</t>
        </is>
      </c>
      <c r="K11599" t="inlineStr">
        <is>
          <t>Trên 1 Năm</t>
        </is>
      </c>
      <c r="L11599" s="8">
        <f>HYPERLINK("https://careerviet.vn/vi/tim-viec-lam/nhan-vien-bao-tri-thanh-pho-quang-ngai.35C6A10B.html","Xem chi tiết")</f>
        <v/>
      </c>
    </row>
    <row r="11600">
      <c r="B11600" s="9" t="n">
        <v>11598</v>
      </c>
      <c r="C11600" s="10" t="inlineStr">
        <is>
          <t>Chuyên viên Content</t>
        </is>
      </c>
      <c r="D11600" s="10" t="inlineStr">
        <is>
          <t>Công ty Cổ phần Nha khoa quốc tế Sing</t>
        </is>
      </c>
      <c r="E11600" s="10" t="inlineStr">
        <is>
          <t>Lương:15 Tr - 20 Tr VND</t>
        </is>
      </c>
      <c r="F11600" s="10" t="inlineStr">
        <is>
          <t>Hà Nội</t>
        </is>
      </c>
      <c r="G11600" s="10" t="inlineStr">
        <is>
          <t>31-03-2026</t>
        </is>
      </c>
      <c r="H11600" s="10" t="inlineStr">
        <is>
          <t>31/03/2026</t>
        </is>
      </c>
      <c r="I11600" s="10" t="inlineStr">
        <is>
          <t>17/03/2026</t>
        </is>
      </c>
      <c r="J11600" s="10" t="inlineStr">
        <is>
          <t>Tiếp thị / Marketing, Tiếp thị trực tuyến, Y tế / Chăm sóc sức khỏe / Thẩm mỹ / Làm đẹp</t>
        </is>
      </c>
      <c r="K11600" s="10" t="inlineStr">
        <is>
          <t>2 - 3 Năm</t>
        </is>
      </c>
      <c r="L11600" s="11">
        <f>HYPERLINK("https://careerviet.vn/vi/tim-viec-lam/chuyen-vien-content.35C6A011.html","Xem chi tiết")</f>
        <v/>
      </c>
      <c r="M11600" s="10" t="n"/>
    </row>
    <row r="11601">
      <c r="B11601" s="7" t="n">
        <v>11599</v>
      </c>
      <c r="C11601" t="inlineStr">
        <is>
          <t>Marketing Leader (Digital Focus)</t>
        </is>
      </c>
      <c r="D11601" t="inlineStr">
        <is>
          <t>Công Ty TNHH T.M.G</t>
        </is>
      </c>
      <c r="E11601" t="inlineStr">
        <is>
          <t>Lương:Cạnh tranh</t>
        </is>
      </c>
      <c r="F11601" t="inlineStr">
        <is>
          <t>Hồ Chí Minh</t>
        </is>
      </c>
      <c r="G11601" t="inlineStr">
        <is>
          <t>29-03-2026</t>
        </is>
      </c>
      <c r="H11601" t="inlineStr">
        <is>
          <t>29/03/2026</t>
        </is>
      </c>
      <c r="I11601" t="inlineStr">
        <is>
          <t>17/03/2026</t>
        </is>
      </c>
      <c r="J11601" t="inlineStr">
        <is>
          <t>Giáo dục / Đào tạo</t>
        </is>
      </c>
      <c r="K11601" t="inlineStr">
        <is>
          <t>2 - 3 Năm</t>
        </is>
      </c>
      <c r="L11601" s="8">
        <f>HYPERLINK("https://careerviet.vn/vi/tim-viec-lam/marketing-leader-digital-focus.35C6A0F8.html","Xem chi tiết")</f>
        <v/>
      </c>
    </row>
    <row r="11602">
      <c r="B11602" s="9" t="n">
        <v>11600</v>
      </c>
      <c r="C11602" s="10" t="inlineStr">
        <is>
          <t>Nhân viên nhân sự</t>
        </is>
      </c>
      <c r="D11602" s="10" t="inlineStr">
        <is>
          <t>H. Nicholas &amp; Co Joint Stock Company</t>
        </is>
      </c>
      <c r="E11602" s="10" t="inlineStr">
        <is>
          <t>Lương:8 Tr - 12 Tr VND</t>
        </is>
      </c>
      <c r="F11602" s="10" t="inlineStr">
        <is>
          <t>Bình Dương</t>
        </is>
      </c>
      <c r="G11602" s="10" t="inlineStr">
        <is>
          <t>12-03-2026</t>
        </is>
      </c>
      <c r="H11602" s="10" t="inlineStr">
        <is>
          <t>27/02/2026</t>
        </is>
      </c>
      <c r="I11602" s="10" t="inlineStr">
        <is>
          <t>17/03/2026</t>
        </is>
      </c>
      <c r="J11602" s="10" t="inlineStr">
        <is>
          <t>Hành chính / Thư ký, Nhân sự</t>
        </is>
      </c>
      <c r="K11602" s="10" t="inlineStr">
        <is>
          <t>Lên đến 1 Năm</t>
        </is>
      </c>
      <c r="L11602" s="11">
        <f>HYPERLINK("https://careerviet.vn/vi/tim-viec-lam/nhan-vien-nhan-su.35C69FC4.html","Xem chi tiết")</f>
        <v/>
      </c>
      <c r="M11602" s="10" t="n"/>
    </row>
    <row r="11603">
      <c r="B11603" s="7" t="n">
        <v>11601</v>
      </c>
      <c r="C11603" t="inlineStr">
        <is>
          <t>Nhân viên Kỹ thuật</t>
        </is>
      </c>
      <c r="D11603" t="inlineStr">
        <is>
          <t>Công Ty Cổ Phần Quốc Tế Sơn Hà</t>
        </is>
      </c>
      <c r="E11603" t="inlineStr">
        <is>
          <t>Lương:Cạnh tranh</t>
        </is>
      </c>
      <c r="F11603" t="inlineStr">
        <is>
          <t>Bắc Ninh</t>
        </is>
      </c>
      <c r="G11603" t="inlineStr">
        <is>
          <t>01-04-2026</t>
        </is>
      </c>
      <c r="H11603" t="inlineStr">
        <is>
          <t>01/04/2026</t>
        </is>
      </c>
      <c r="I11603" t="inlineStr">
        <is>
          <t>17/03/2026</t>
        </is>
      </c>
      <c r="J11603" t="inlineStr">
        <is>
          <t>Hàng gia dụng / Chăm sóc cá nhân, Cơ khí / Ô tô / Tự động hóa, Điện / Điện tử / Điện lạnh / Điện công nghiệp</t>
        </is>
      </c>
      <c r="K11603" t="inlineStr">
        <is>
          <t>Trên 3 Năm</t>
        </is>
      </c>
      <c r="L11603" s="8">
        <f>HYPERLINK("https://careerviet.vn/vi/tim-viec-lam/nhan-vien-ky-thuat.35C69D3E.html","Xem chi tiết")</f>
        <v/>
      </c>
    </row>
    <row r="11604">
      <c r="B11604" s="9" t="n">
        <v>11602</v>
      </c>
      <c r="C11604" s="10" t="inlineStr">
        <is>
          <t>Nhân Viên Kế Toán Kho Hàng</t>
        </is>
      </c>
      <c r="D11604" s="10" t="inlineStr">
        <is>
          <t>Công ty TNHH Thực Phẩm Sạch Thương Mại T&amp;P</t>
        </is>
      </c>
      <c r="E11604" s="10" t="inlineStr">
        <is>
          <t>Lương:8 Tr - 10 Tr VND</t>
        </is>
      </c>
      <c r="F11604" s="10" t="inlineStr">
        <is>
          <t>Hà Nội</t>
        </is>
      </c>
      <c r="G11604" s="10" t="inlineStr">
        <is>
          <t>31-03-2026</t>
        </is>
      </c>
      <c r="H11604" s="10" t="inlineStr">
        <is>
          <t>31/03/2026</t>
        </is>
      </c>
      <c r="I11604" s="10" t="inlineStr">
        <is>
          <t>17/03/2026</t>
        </is>
      </c>
      <c r="J11604" s="10" t="inlineStr">
        <is>
          <t>Kế toán / Kiểm toán, Ngân hàng, Thống kê</t>
        </is>
      </c>
      <c r="K11604" s="10" t="inlineStr">
        <is>
          <t>N/A</t>
        </is>
      </c>
      <c r="L11604" s="11">
        <f>HYPERLINK("https://careerviet.vn/vi/tim-viec-lam/nhan-vien-ke-toan-kho-hang.35C69FCB.html","Xem chi tiết")</f>
        <v/>
      </c>
      <c r="M11604" s="10" t="n"/>
    </row>
    <row r="11605">
      <c r="B11605" s="7" t="n">
        <v>11603</v>
      </c>
      <c r="C11605" t="inlineStr">
        <is>
          <t>Chuyên viên Marketing (Thanh Hóa, Tuyên Quang)</t>
        </is>
      </c>
      <c r="D11605" t="inlineStr">
        <is>
          <t>Công ty cổ phần Tập đoàn Danko</t>
        </is>
      </c>
      <c r="E11605" t="inlineStr">
        <is>
          <t>Lương:10 Tr - 17 Tr VND</t>
        </is>
      </c>
      <c r="F11605" t="inlineStr">
        <is>
          <t>Tuyên QuangThanh Hóa</t>
        </is>
      </c>
      <c r="G11605" t="inlineStr">
        <is>
          <t>30-03-2026</t>
        </is>
      </c>
      <c r="H11605" t="inlineStr">
        <is>
          <t>30/03/2026</t>
        </is>
      </c>
      <c r="I11605" t="inlineStr">
        <is>
          <t>17/03/2026</t>
        </is>
      </c>
      <c r="J11605" t="inlineStr">
        <is>
          <t>Tiếp thị / Marketing, Truyền hình / Báo chí / Biên tập, Quảng cáo / Đối ngoại / Truyền Thông</t>
        </is>
      </c>
      <c r="K11605" t="inlineStr">
        <is>
          <t>Trên 2 Năm</t>
        </is>
      </c>
      <c r="L11605" s="8">
        <f>HYPERLINK("https://careerviet.vn/vi/tim-viec-lam/chuyen-vien-marketing-thanh-hoa-tuyen-quang.35C69DB9.html","Xem chi tiết")</f>
        <v/>
      </c>
    </row>
    <row r="11606">
      <c r="B11606" s="9" t="n">
        <v>11604</v>
      </c>
      <c r="C11606" s="10" t="inlineStr">
        <is>
          <t>Nhân viên HCNS mạnh C&amp;B</t>
        </is>
      </c>
      <c r="D11606" s="10" t="inlineStr">
        <is>
          <t>CÔNG TY CỔ PHẦN XUẤT NHẬP KHẨU VÀ THƯƠNG MẠI FOREVER</t>
        </is>
      </c>
      <c r="E11606" s="10" t="inlineStr">
        <is>
          <t>Lương:9 Tr - 15 Tr VND</t>
        </is>
      </c>
      <c r="F11606" s="10" t="inlineStr">
        <is>
          <t>Hà Nội</t>
        </is>
      </c>
      <c r="G11606" s="10" t="inlineStr">
        <is>
          <t>31-03-2026</t>
        </is>
      </c>
      <c r="H11606" s="10" t="inlineStr">
        <is>
          <t>31/03/2026</t>
        </is>
      </c>
      <c r="I11606" s="10" t="inlineStr">
        <is>
          <t>17/03/2026</t>
        </is>
      </c>
      <c r="J11606" s="10" t="inlineStr">
        <is>
          <t>Nhân sự</t>
        </is>
      </c>
      <c r="K11606" s="10" t="inlineStr">
        <is>
          <t>Trên 1 Năm</t>
        </is>
      </c>
      <c r="L11606" s="11">
        <f>HYPERLINK("https://careerviet.vn/vi/tim-viec-lam/nhan-vien-hcns-manh-c-b.35C6A062.html","Xem chi tiết")</f>
        <v/>
      </c>
      <c r="M11606" s="10" t="n"/>
    </row>
    <row r="11607">
      <c r="B11607" s="7" t="n">
        <v>11605</v>
      </c>
      <c r="C11607" t="inlineStr">
        <is>
          <t>Nhân Viên HSE</t>
        </is>
      </c>
      <c r="D11607" t="inlineStr">
        <is>
          <t>Công Ty TNHH Scansia Pacific</t>
        </is>
      </c>
      <c r="E11607" t="inlineStr">
        <is>
          <t>Lương:10 Tr - 15 Tr VND</t>
        </is>
      </c>
      <c r="F11607" t="inlineStr">
        <is>
          <t>Đồng Nai</t>
        </is>
      </c>
      <c r="G11607" t="inlineStr">
        <is>
          <t>31-03-2026</t>
        </is>
      </c>
      <c r="H11607" t="inlineStr">
        <is>
          <t>31/03/2026</t>
        </is>
      </c>
      <c r="I11607" t="inlineStr">
        <is>
          <t>17/03/2026</t>
        </is>
      </c>
      <c r="J11607" t="inlineStr">
        <is>
          <t>Nhân sự, Môi trường, An toàn lao động</t>
        </is>
      </c>
      <c r="K11607" t="inlineStr">
        <is>
          <t>N/A</t>
        </is>
      </c>
      <c r="L11607" s="8">
        <f>HYPERLINK("https://careerviet.vn/vi/tim-viec-lam/nhan-vien-hse.35C69EB1.html","Xem chi tiết")</f>
        <v/>
      </c>
    </row>
    <row r="11608">
      <c r="B11608" s="9" t="n">
        <v>11606</v>
      </c>
      <c r="C11608" s="10" t="inlineStr">
        <is>
          <t>Nhân Viên Kỹ Thuật Sửa Chữa Thiết Bị Kho Quỹ</t>
        </is>
      </c>
      <c r="D11608" s="10" t="inlineStr">
        <is>
          <t>Công Ty TNHH Thương Mại Và Dịch Vụ Nguyễn Huy</t>
        </is>
      </c>
      <c r="E11608" s="10" t="inlineStr">
        <is>
          <t>Lương:12 Tr - 15 Tr VND</t>
        </is>
      </c>
      <c r="F11608" s="10" t="inlineStr">
        <is>
          <t>Hà Nội</t>
        </is>
      </c>
      <c r="G11608" s="10" t="inlineStr">
        <is>
          <t>30-03-2026</t>
        </is>
      </c>
      <c r="H11608" s="10" t="inlineStr">
        <is>
          <t>30/03/2026</t>
        </is>
      </c>
      <c r="I11608" s="10" t="inlineStr">
        <is>
          <t>17/03/2026</t>
        </is>
      </c>
      <c r="J11608" s="10" t="inlineStr">
        <is>
          <t>Điện / Điện tử / Điện lạnh / Điện công nghiệp, Bảo trì / Sửa chữa, Cơ khí / Ô tô / Tự động hóa</t>
        </is>
      </c>
      <c r="K11608" s="10" t="inlineStr">
        <is>
          <t>N/A</t>
        </is>
      </c>
      <c r="L11608" s="11">
        <f>HYPERLINK("https://careerviet.vn/vi/tim-viec-lam/nhan-vien-ky-thua-t-sua-chua-thiet-bi-kho-quy.35C6A0E5.html","Xem chi tiết")</f>
        <v/>
      </c>
      <c r="M11608" s="10" t="n"/>
    </row>
    <row r="11609">
      <c r="B11609" s="7" t="n">
        <v>11607</v>
      </c>
      <c r="C11609" t="inlineStr">
        <is>
          <t>Chuyên viên Kế hoạch KPI (chủ đầu tư BĐS)</t>
        </is>
      </c>
      <c r="D11609" t="inlineStr">
        <is>
          <t>Công Ty CP Đầu Tư IMG</t>
        </is>
      </c>
      <c r="E11609" t="inlineStr">
        <is>
          <t>Lương:20 Tr - 25 Tr VND</t>
        </is>
      </c>
      <c r="F11609" t="inlineStr">
        <is>
          <t>Hồ Chí Minh</t>
        </is>
      </c>
      <c r="G11609" t="inlineStr">
        <is>
          <t>3</t>
        </is>
      </c>
      <c r="H11609" t="inlineStr">
        <is>
          <t>20/03/2026</t>
        </is>
      </c>
      <c r="I11609" t="inlineStr">
        <is>
          <t>17/03/2026</t>
        </is>
      </c>
      <c r="J11609" t="inlineStr">
        <is>
          <t>Bất động sản, Nhân sự, Xây dựng</t>
        </is>
      </c>
      <c r="K11609" t="inlineStr">
        <is>
          <t>3 - 10 Năm</t>
        </is>
      </c>
      <c r="L11609" s="8">
        <f>HYPERLINK("https://careerviet.vn/vi/tim-viec-lam/chuyen-vien-ke-hoach-kpi-chu-dau-tu-bds.35C6A03D.html","Xem chi tiết")</f>
        <v/>
      </c>
    </row>
    <row r="11610">
      <c r="B11610" s="9" t="n">
        <v>11608</v>
      </c>
      <c r="C11610" s="10" t="inlineStr">
        <is>
          <t>Senior Supply Planner</t>
        </is>
      </c>
      <c r="D11610" s="10" t="inlineStr">
        <is>
          <t>Công Ty TNHH Taisun Việt Nam</t>
        </is>
      </c>
      <c r="E11610" s="10" t="inlineStr">
        <is>
          <t>Lương:Cạnh tranh</t>
        </is>
      </c>
      <c r="F11610" s="10" t="inlineStr">
        <is>
          <t>Hồ Chí Minh</t>
        </is>
      </c>
      <c r="G11610" s="10" t="inlineStr">
        <is>
          <t>12-03-2026</t>
        </is>
      </c>
      <c r="H11610" s="10" t="inlineStr">
        <is>
          <t>27/02/2026</t>
        </is>
      </c>
      <c r="I11610" s="10" t="inlineStr">
        <is>
          <t>17/03/2026</t>
        </is>
      </c>
      <c r="J11610" s="10" t="inlineStr">
        <is>
          <t>Bán hàng / Kinh doanh, Thu mua / Vật tư, Bán lẻ / Bán sỉ</t>
        </is>
      </c>
      <c r="K11610" s="10" t="inlineStr">
        <is>
          <t>5 - 8 Năm</t>
        </is>
      </c>
      <c r="L11610" s="11">
        <f>HYPERLINK("https://careerviet.vn/vi/tim-viec-lam/senior-supply-planner.35C69DA5.html","Xem chi tiết")</f>
        <v/>
      </c>
      <c r="M11610" s="10" t="n"/>
    </row>
    <row r="11611">
      <c r="B11611" s="7" t="n">
        <v>11609</v>
      </c>
      <c r="C11611" t="inlineStr">
        <is>
          <t>Chuyên Viên Pháp Chế</t>
        </is>
      </c>
      <c r="D11611" t="inlineStr">
        <is>
          <t>Công Ty TNHH Thương Mại Giải Pháp Ưu Việt</t>
        </is>
      </c>
      <c r="E11611" t="inlineStr">
        <is>
          <t>Lương:15 Tr - 20 Tr VND</t>
        </is>
      </c>
      <c r="F11611" t="inlineStr">
        <is>
          <t>Hồ Chí Minh</t>
        </is>
      </c>
      <c r="G11611" t="inlineStr">
        <is>
          <t>29-03-2026</t>
        </is>
      </c>
      <c r="H11611" t="inlineStr">
        <is>
          <t>29/03/2026</t>
        </is>
      </c>
      <c r="I11611" t="inlineStr">
        <is>
          <t>17/03/2026</t>
        </is>
      </c>
      <c r="J11611" t="inlineStr">
        <is>
          <t>Luật / Pháp lý, Xây dựng, Nội ngoại thất</t>
        </is>
      </c>
      <c r="K11611" t="inlineStr">
        <is>
          <t>3 - 5 Năm</t>
        </is>
      </c>
      <c r="L11611" s="8">
        <f>HYPERLINK("https://careerviet.vn/vi/tim-viec-lam/chuyen-vien-phap-che.35C69FDB.html","Xem chi tiết")</f>
        <v/>
      </c>
    </row>
    <row r="11612">
      <c r="B11612" s="9" t="n">
        <v>11610</v>
      </c>
      <c r="C11612" s="10" t="inlineStr">
        <is>
          <t>Nhân Viên Kinh Doanh Thực Phẩm Khu vực Đà Nẵng</t>
        </is>
      </c>
      <c r="D11612" s="10" t="inlineStr">
        <is>
          <t>CÔNG TY CỔ PHẦN THƯƠNG MẠI VÀ CÔNG NGHỆ THỰC PHẨM HOÀNG LÂM</t>
        </is>
      </c>
      <c r="E11612" s="10" t="inlineStr">
        <is>
          <t>Lương:Trên 20 Tr VND</t>
        </is>
      </c>
      <c r="F11612" s="10" t="inlineStr">
        <is>
          <t>Đà Nẵng</t>
        </is>
      </c>
      <c r="G11612" s="10" t="inlineStr">
        <is>
          <t>31-03-2026</t>
        </is>
      </c>
      <c r="H11612" s="10" t="inlineStr">
        <is>
          <t>31/03/2026</t>
        </is>
      </c>
      <c r="I11612" s="10" t="inlineStr">
        <is>
          <t>17/03/2026</t>
        </is>
      </c>
      <c r="J11612" s="10" t="inlineStr">
        <is>
          <t>Bán hàng / Kinh doanh, Thực phẩm &amp; Đồ uống, Công nghệ thực phẩm / Dinh dưỡng</t>
        </is>
      </c>
      <c r="K11612" s="10" t="inlineStr">
        <is>
          <t>1 - 2 Năm</t>
        </is>
      </c>
      <c r="L11612" s="11">
        <f>HYPERLINK("https://careerviet.vn/vi/tim-viec-lam/nhan-vien-kinh-doanh-thuc-pham-khu-vuc-da-nang.35C69D1F.html","Xem chi tiết")</f>
        <v/>
      </c>
      <c r="M11612" s="10" t="n"/>
    </row>
    <row r="11613">
      <c r="B11613" s="7" t="n">
        <v>11611</v>
      </c>
      <c r="C11613" t="inlineStr">
        <is>
          <t>Nhân Viên Training Bot Shop</t>
        </is>
      </c>
      <c r="D11613" t="inlineStr">
        <is>
          <t>Công Ty TNHH Việt Mỹ-SSU</t>
        </is>
      </c>
      <c r="E11613" t="inlineStr">
        <is>
          <t>Lương:6 Tr - 7,5 Tr VND</t>
        </is>
      </c>
      <c r="F11613" t="inlineStr">
        <is>
          <t>Hồ Chí Minh</t>
        </is>
      </c>
      <c r="G11613" t="inlineStr">
        <is>
          <t>31-03-2026</t>
        </is>
      </c>
      <c r="H11613" t="inlineStr">
        <is>
          <t>31/03/2026</t>
        </is>
      </c>
      <c r="I11613" t="inlineStr">
        <is>
          <t>17/03/2026</t>
        </is>
      </c>
      <c r="J11613" t="inlineStr">
        <is>
          <t>Dịch vụ khách hàng</t>
        </is>
      </c>
      <c r="K11613" t="inlineStr">
        <is>
          <t>Lên đến 1 Năm</t>
        </is>
      </c>
      <c r="L11613" s="8">
        <f>HYPERLINK("https://careerviet.vn/vi/tim-viec-lam/nhan-vien-training-bot-shop.35C69E7E.html","Xem chi tiết")</f>
        <v/>
      </c>
    </row>
    <row r="11614">
      <c r="B11614" s="9" t="n">
        <v>11612</v>
      </c>
      <c r="C11614" s="10" t="inlineStr">
        <is>
          <t>Nhân viên triển khai 2D nội thất</t>
        </is>
      </c>
      <c r="D11614" s="10" t="inlineStr">
        <is>
          <t>CÔNG TY CỔ PHẦN THIẾT KẾ NỘI THẤT ICON</t>
        </is>
      </c>
      <c r="E11614" s="10" t="inlineStr">
        <is>
          <t>Lương:Cạnh tranh</t>
        </is>
      </c>
      <c r="F11614" s="10" t="inlineStr">
        <is>
          <t>Hồ Chí Minh</t>
        </is>
      </c>
      <c r="G11614" s="10" t="inlineStr">
        <is>
          <t>31-03-2026</t>
        </is>
      </c>
      <c r="H11614" s="10" t="inlineStr">
        <is>
          <t>31/03/2026</t>
        </is>
      </c>
      <c r="I11614" s="10" t="inlineStr">
        <is>
          <t>17/03/2026</t>
        </is>
      </c>
      <c r="J11614" s="10" t="inlineStr">
        <is>
          <t>Xây dựng, Hành chính / Thư ký, Nội ngoại thất</t>
        </is>
      </c>
      <c r="K11614" s="10" t="inlineStr">
        <is>
          <t>1 - 3 Năm</t>
        </is>
      </c>
      <c r="L11614" s="11">
        <f>HYPERLINK("https://careerviet.vn/vi/tim-viec-lam/nhan-vien-trien-khai-2d-noi-that.35C69ECA.html","Xem chi tiết")</f>
        <v/>
      </c>
      <c r="M11614" s="10" t="n"/>
    </row>
    <row r="11615">
      <c r="B11615" s="7" t="n">
        <v>11613</v>
      </c>
      <c r="C11615" t="inlineStr">
        <is>
          <t>Nhân viên Sourcing</t>
        </is>
      </c>
      <c r="D11615" t="inlineStr">
        <is>
          <t>Cty CP Kỹ Nghệ Thực Phẩm Việt Nam - VIFON</t>
        </is>
      </c>
      <c r="E11615" t="inlineStr">
        <is>
          <t>Lương:12 Tr - 14 Tr VND</t>
        </is>
      </c>
      <c r="F11615" t="inlineStr">
        <is>
          <t>Hồ Chí Minh</t>
        </is>
      </c>
      <c r="G11615" t="inlineStr">
        <is>
          <t>30-04-2026</t>
        </is>
      </c>
      <c r="H11615" t="inlineStr">
        <is>
          <t>30/04/2026</t>
        </is>
      </c>
      <c r="I11615" t="inlineStr">
        <is>
          <t>17/03/2026</t>
        </is>
      </c>
      <c r="J11615" t="inlineStr">
        <is>
          <t>Bán hàng / Kinh doanhBằng cấpĐại họcĐộ tuổiKhông giới hạn tuổi</t>
        </is>
      </c>
      <c r="K11615" t="inlineStr">
        <is>
          <t>N/A</t>
        </is>
      </c>
      <c r="L11615" s="8">
        <f>HYPERLINK("https://careerviet.vn/vi/tim-viec-lam/nhan-vien-sourcing.35C6B4C5.html","Xem chi tiết")</f>
        <v/>
      </c>
    </row>
    <row r="11616">
      <c r="B11616" s="9" t="n">
        <v>11614</v>
      </c>
      <c r="C11616" s="10" t="inlineStr">
        <is>
          <t>[CITIGYM] CHUYÊN VIÊN CAO CẤP QUẢN TRỊ MẠNG</t>
        </is>
      </c>
      <c r="D11616" s="10" t="inlineStr">
        <is>
          <t>Nova Service Group - Công ty Cổ phần Tập đoàn Nova Services</t>
        </is>
      </c>
      <c r="E11616" s="10" t="inlineStr">
        <is>
          <t>Lương:Cạnh tranh</t>
        </is>
      </c>
      <c r="F11616" s="10" t="inlineStr">
        <is>
          <t>Hồ Chí Minh</t>
        </is>
      </c>
      <c r="G11616" s="10" t="inlineStr">
        <is>
          <t>06-04-2026</t>
        </is>
      </c>
      <c r="H11616" s="10" t="inlineStr">
        <is>
          <t>06/04/2026</t>
        </is>
      </c>
      <c r="I11616" s="10" t="inlineStr">
        <is>
          <t>17/03/2026</t>
        </is>
      </c>
      <c r="J11616" s="10" t="inlineStr">
        <is>
          <t>Bán hàng / Kinh doanh, Dịch vụ khách hàng, Y tế / Chăm sóc sức khỏe / Thẩm mỹ / Làm đẹp</t>
        </is>
      </c>
      <c r="K11616" s="10" t="inlineStr">
        <is>
          <t>3 - 4 Năm</t>
        </is>
      </c>
      <c r="L11616" s="11">
        <f>HYPERLINK("https://careerviet.vn/vi/tim-viec-lam/citigym-chuyen-vien-cao-cap-quan-tri-mang.35C6B339.html","Xem chi tiết")</f>
        <v/>
      </c>
      <c r="M11616" s="10" t="n"/>
    </row>
    <row r="11617">
      <c r="B11617" s="7" t="n">
        <v>11615</v>
      </c>
      <c r="C11617" t="inlineStr">
        <is>
          <t>Kế toán tổng hợp thương mại</t>
        </is>
      </c>
      <c r="D11617" t="inlineStr">
        <is>
          <t>CÔNG TY TNHH ECO PAK</t>
        </is>
      </c>
      <c r="E11617" t="inlineStr">
        <is>
          <t>Lương:Cạnh tranh</t>
        </is>
      </c>
      <c r="F11617" t="inlineStr">
        <is>
          <t>Hồ Chí Minh</t>
        </is>
      </c>
      <c r="G11617" t="inlineStr">
        <is>
          <t>6</t>
        </is>
      </c>
      <c r="H11617" t="inlineStr">
        <is>
          <t>23/03/2026</t>
        </is>
      </c>
      <c r="I11617" t="inlineStr">
        <is>
          <t>17/03/2026</t>
        </is>
      </c>
      <c r="J11617" t="inlineStr">
        <is>
          <t>Kế toán / Kiểm toán, Bán hàng / Kinh doanh, Bán lẻ / Bán sỉ</t>
        </is>
      </c>
      <c r="K11617" t="inlineStr">
        <is>
          <t>1 - 5 Năm</t>
        </is>
      </c>
      <c r="L11617" s="8">
        <f>HYPERLINK("https://careerviet.vn/vi/tim-viec-lam/ke-toan-tong-hop-thuong-mai.35C6B577.html","Xem chi tiết")</f>
        <v/>
      </c>
    </row>
    <row r="11618">
      <c r="B11618" s="9" t="n">
        <v>11616</v>
      </c>
      <c r="C11618" s="10" t="inlineStr">
        <is>
          <t>QUẢN LÝ NHÓM- KẾ TOÁN TỔNG HỢP</t>
        </is>
      </c>
      <c r="D11618" s="10" t="inlineStr">
        <is>
          <t>Công Ty CP Vàng Bạc Đá Quý Phú Nhuận - PNJ</t>
        </is>
      </c>
      <c r="E11618" s="10" t="inlineStr">
        <is>
          <t>Lương:Cạnh tranh</t>
        </is>
      </c>
      <c r="F11618" s="10" t="inlineStr">
        <is>
          <t>Hà Nội</t>
        </is>
      </c>
      <c r="G11618" s="10" t="inlineStr">
        <is>
          <t>20-04-2026</t>
        </is>
      </c>
      <c r="H11618" s="10" t="inlineStr">
        <is>
          <t>20/04/2026</t>
        </is>
      </c>
      <c r="I11618" s="10" t="inlineStr">
        <is>
          <t>17/03/2026</t>
        </is>
      </c>
      <c r="J11618" s="10" t="inlineStr">
        <is>
          <t>Kế toán / Kiểm toán</t>
        </is>
      </c>
      <c r="K11618" s="10" t="inlineStr">
        <is>
          <t>3 - 10 Năm</t>
        </is>
      </c>
      <c r="L11618" s="11">
        <f>HYPERLINK("https://careerviet.vn/vi/tim-viec-lam/quan-ly-nhom-ke-toan-tong-hop.35C6B3E2.html","Xem chi tiết")</f>
        <v/>
      </c>
      <c r="M11618" s="10" t="n"/>
    </row>
    <row r="11619">
      <c r="B11619" s="7" t="n">
        <v>11617</v>
      </c>
      <c r="C11619" t="inlineStr">
        <is>
          <t>Kế Toán Nội Bộ</t>
        </is>
      </c>
      <c r="D11619" t="inlineStr">
        <is>
          <t>Công Ty TNHH Xe Nâng Bình Minh</t>
        </is>
      </c>
      <c r="E11619" t="inlineStr">
        <is>
          <t>Lương:10 Tr - 15 Tr VND</t>
        </is>
      </c>
      <c r="F11619" t="inlineStr">
        <is>
          <t>Hà Nội</t>
        </is>
      </c>
      <c r="G11619" t="inlineStr">
        <is>
          <t>30-04-2026</t>
        </is>
      </c>
      <c r="H11619" t="inlineStr">
        <is>
          <t>30/04/2026</t>
        </is>
      </c>
      <c r="I11619" t="inlineStr">
        <is>
          <t>17/03/2026</t>
        </is>
      </c>
      <c r="J11619" t="inlineStr">
        <is>
          <t>Kế toán / Kiểm toán</t>
        </is>
      </c>
      <c r="K11619" t="inlineStr">
        <is>
          <t>1 - 2 Năm</t>
        </is>
      </c>
      <c r="L11619" s="8">
        <f>HYPERLINK("https://careerviet.vn/vi/tim-viec-lam/ke-toan-noi-bo.35C6B34B.html","Xem chi tiết")</f>
        <v/>
      </c>
    </row>
    <row r="11620">
      <c r="B11620" s="9" t="n">
        <v>11618</v>
      </c>
      <c r="C11620" s="10" t="inlineStr">
        <is>
          <t>Chuyên viên Kinh doanh Điều hành Tour nội địa</t>
        </is>
      </c>
      <c r="D11620" s="10" t="inlineStr">
        <is>
          <t>CÔNG TY TNHH CÔNG NGHỆ VNTRIP</t>
        </is>
      </c>
      <c r="E11620" s="10" t="inlineStr">
        <is>
          <t>Lương:10 Tr - 16 Tr VND</t>
        </is>
      </c>
      <c r="F11620" s="10" t="inlineStr">
        <is>
          <t>Hà Nội</t>
        </is>
      </c>
      <c r="G11620" s="10" t="inlineStr">
        <is>
          <t>14-04-2026</t>
        </is>
      </c>
      <c r="H11620" s="10" t="inlineStr">
        <is>
          <t>14/04/2026</t>
        </is>
      </c>
      <c r="I11620" s="10" t="inlineStr">
        <is>
          <t>17/03/2026</t>
        </is>
      </c>
      <c r="J11620" s="10" t="inlineStr">
        <is>
          <t>Bán hàng / Kinh doanh, Nhà hàng / Khách sạn, Du lịch</t>
        </is>
      </c>
      <c r="K11620" s="10" t="inlineStr">
        <is>
          <t>1 - 2 Năm</t>
        </is>
      </c>
      <c r="L11620" s="11">
        <f>HYPERLINK("https://careerviet.vn/vi/tim-viec-lam/chuyen-vien-kinh-doanh-dieu-hanh-tour-noi-dia.35C6B2FE.html","Xem chi tiết")</f>
        <v/>
      </c>
      <c r="M11620" s="10" t="n"/>
    </row>
    <row r="11621">
      <c r="B11621" s="7" t="n">
        <v>11619</v>
      </c>
      <c r="C11621" t="inlineStr">
        <is>
          <t>Kỹ Sư An Toàn Dự Án</t>
        </is>
      </c>
      <c r="D11621" t="inlineStr">
        <is>
          <t>Công Ty Cổ Phần Thiết Kế Và Xây Dựng Giza Việt Nam</t>
        </is>
      </c>
      <c r="E11621" t="inlineStr">
        <is>
          <t>Lương:Cạnh tranh</t>
        </is>
      </c>
      <c r="F11621" t="inlineStr">
        <is>
          <t>Hải DươngThái Nguyên</t>
        </is>
      </c>
      <c r="G11621" t="inlineStr">
        <is>
          <t>06-04-2026</t>
        </is>
      </c>
      <c r="H11621" t="inlineStr">
        <is>
          <t>06/04/2026</t>
        </is>
      </c>
      <c r="I11621" t="inlineStr">
        <is>
          <t>17/03/2026</t>
        </is>
      </c>
      <c r="J11621" t="inlineStr">
        <is>
          <t>Xây dựng, Quản lý chất lượng (QA/QC), An toàn lao động</t>
        </is>
      </c>
      <c r="K11621" t="inlineStr">
        <is>
          <t>Lên đến 1 Năm</t>
        </is>
      </c>
      <c r="L11621" s="8">
        <f>HYPERLINK("https://careerviet.vn/vi/tim-viec-lam/ky-su-an-toan-du-an.35C6B4B9.html","Xem chi tiết")</f>
        <v/>
      </c>
    </row>
    <row r="11622">
      <c r="B11622" s="9" t="n">
        <v>11620</v>
      </c>
      <c r="C11622" s="10" t="inlineStr">
        <is>
          <t>Lab Technician - Open for Fresher (Night Shift)</t>
        </is>
      </c>
      <c r="D11622" s="10" t="inlineStr">
        <is>
          <t>Cty SGS Việt Nam TNHH</t>
        </is>
      </c>
      <c r="E11622" s="10" t="inlineStr">
        <is>
          <t>Lương:Cạnh tranh</t>
        </is>
      </c>
      <c r="F11622" s="10" t="inlineStr">
        <is>
          <t>Hồ Chí Minh</t>
        </is>
      </c>
      <c r="G11622" s="10" t="inlineStr">
        <is>
          <t>11-04-2026</t>
        </is>
      </c>
      <c r="H11622" s="10" t="inlineStr">
        <is>
          <t>11/04/2026</t>
        </is>
      </c>
      <c r="I11622" s="10" t="inlineStr">
        <is>
          <t>17/03/2026</t>
        </is>
      </c>
      <c r="J11622" s="10" t="inlineStr">
        <is>
          <t>Hóa học, Công nghệ thực phẩm / Dinh dưỡng, Công nghệ sinh học</t>
        </is>
      </c>
      <c r="K11622" s="10" t="inlineStr">
        <is>
          <t>Chưa có kinh nghiệm</t>
        </is>
      </c>
      <c r="L11622" s="11">
        <f>HYPERLINK("https://careerviet.vn/vi/tim-viec-lam/lab-technician-open-for-fresher-night-shift.35C6B4BB.html","Xem chi tiết")</f>
        <v/>
      </c>
      <c r="M11622" s="10" t="n"/>
    </row>
    <row r="11623">
      <c r="B11623" s="7" t="n">
        <v>11621</v>
      </c>
      <c r="C11623" t="inlineStr">
        <is>
          <t>Business Development Manager</t>
        </is>
      </c>
      <c r="D11623" t="inlineStr">
        <is>
          <t>PPP Laser Clinic Viet Nam</t>
        </is>
      </c>
      <c r="E11623" t="inlineStr">
        <is>
          <t>Lương:40 Tr - 60 Tr VND</t>
        </is>
      </c>
      <c r="F11623" t="inlineStr">
        <is>
          <t>Hồ Chí Minh</t>
        </is>
      </c>
      <c r="G11623" t="inlineStr">
        <is>
          <t>30-03-2026</t>
        </is>
      </c>
      <c r="H11623" t="inlineStr">
        <is>
          <t>30/03/2026</t>
        </is>
      </c>
      <c r="I11623" t="inlineStr">
        <is>
          <t>17/03/2026</t>
        </is>
      </c>
      <c r="J11623" t="inlineStr">
        <is>
          <t>Bán hàng / Kinh doanh, Ngân hàng, Y tế / Chăm sóc sức khỏe / Thẩm mỹ / Làm đẹp</t>
        </is>
      </c>
      <c r="K11623" t="inlineStr">
        <is>
          <t>5 - 10 Năm</t>
        </is>
      </c>
      <c r="L11623" s="8">
        <f>HYPERLINK("https://careerviet.vn/vi/tim-viec-lam/business-development-manager.35C6B431.html","Xem chi tiết")</f>
        <v/>
      </c>
    </row>
    <row r="11624">
      <c r="B11624" s="9" t="n">
        <v>11622</v>
      </c>
      <c r="C11624" s="10" t="inlineStr">
        <is>
          <t>Chuyên viên, Chuyên viên cao cấp Quản trị rủi ro công nghệ - Senior IT Risks Management Specialist - Khối Quản trị rủi ro (HO26.70)</t>
        </is>
      </c>
      <c r="D11624" s="10" t="inlineStr">
        <is>
          <t>Ngân Hàng TMCP Quân Đội</t>
        </is>
      </c>
      <c r="E11624" s="10" t="inlineStr">
        <is>
          <t>Lương:Cạnh tranh</t>
        </is>
      </c>
      <c r="F11624" s="10" t="inlineStr">
        <is>
          <t>Hà Nội</t>
        </is>
      </c>
      <c r="G11624" s="10" t="inlineStr">
        <is>
          <t>05-04-2026</t>
        </is>
      </c>
      <c r="H11624" s="10" t="inlineStr">
        <is>
          <t>05/04/2026</t>
        </is>
      </c>
      <c r="I11624" s="10" t="inlineStr">
        <is>
          <t>17/03/2026</t>
        </is>
      </c>
      <c r="J11624" s="10" t="inlineStr">
        <is>
          <t>Ngân hàng, CNTT - Phần mềm, CNTT - Phần cứng / Mạng</t>
        </is>
      </c>
      <c r="K11624" s="10" t="inlineStr">
        <is>
          <t>N/A</t>
        </is>
      </c>
      <c r="L11624" s="11">
        <f>HYPERLINK("https://careerviet.vn/vi/tim-viec-lam/chuyen-vien-chuyen-vien-cao-cap-quan-tri-rui-ro-cong-nghe-senior-it-risks-management-specialist-khoi-quan-tri-rui-ro-ho26-70.35C6B317.html","Xem chi tiết")</f>
        <v/>
      </c>
      <c r="M11624" s="10" t="n"/>
    </row>
    <row r="11625">
      <c r="B11625" s="7" t="n">
        <v>11623</v>
      </c>
      <c r="C11625" t="inlineStr">
        <is>
          <t>Chuyên viên R&amp;D Sữa nước  (Hà Nội)</t>
        </is>
      </c>
      <c r="D11625" t="inlineStr">
        <is>
          <t>Công ty Cổ phần Sữa VitaDairy Việt Nam</t>
        </is>
      </c>
      <c r="E11625" t="inlineStr">
        <is>
          <t>Lương:Cạnh tranh</t>
        </is>
      </c>
      <c r="F11625" t="inlineStr">
        <is>
          <t>Hà Nội</t>
        </is>
      </c>
      <c r="G11625" t="inlineStr">
        <is>
          <t>31-03-2026</t>
        </is>
      </c>
      <c r="H11625" t="inlineStr">
        <is>
          <t>31/03/2026</t>
        </is>
      </c>
      <c r="I11625" t="inlineStr">
        <is>
          <t>17/03/2026</t>
        </is>
      </c>
      <c r="J11625" t="inlineStr">
        <is>
          <t>Công nghệ sinh học, Công nghệ thực phẩm / Dinh dưỡng, Quản lý chất lượng (QA/QC)</t>
        </is>
      </c>
      <c r="K11625" t="inlineStr">
        <is>
          <t>2 - 3 Năm</t>
        </is>
      </c>
      <c r="L11625" s="8">
        <f>HYPERLINK("https://careerviet.vn/vi/tim-viec-lam/chuyen-vien-r-d-sua-nuoc-ha-noi.35C6B51C.html","Xem chi tiết")</f>
        <v/>
      </c>
    </row>
    <row r="11626">
      <c r="B11626" s="9" t="n">
        <v>11624</v>
      </c>
      <c r="C11626" s="10" t="inlineStr">
        <is>
          <t>CONTENT CREATOR - VIDEO &amp; PHOTO  (SOCIAL MEDIA)</t>
        </is>
      </c>
      <c r="D11626" s="10" t="inlineStr">
        <is>
          <t>CÔNG TY TNHH THƯƠNG MẠI DỊCH VỤ SUMSUM</t>
        </is>
      </c>
      <c r="E11626" s="10" t="inlineStr">
        <is>
          <t>Lương:10 Tr - 13 Tr VND</t>
        </is>
      </c>
      <c r="F11626" s="10" t="inlineStr">
        <is>
          <t>Hồ Chí Minh</t>
        </is>
      </c>
      <c r="G11626" s="10" t="inlineStr">
        <is>
          <t>31-03-2026</t>
        </is>
      </c>
      <c r="H11626" s="10" t="inlineStr">
        <is>
          <t>31/03/2026</t>
        </is>
      </c>
      <c r="I11626" s="10" t="inlineStr">
        <is>
          <t>17/03/2026</t>
        </is>
      </c>
      <c r="J11626" s="10" t="inlineStr">
        <is>
          <t>Tiếp thị / Marketing, Bán hàng / Kinh doanh, Thương mại điện tử</t>
        </is>
      </c>
      <c r="K11626" s="10" t="inlineStr">
        <is>
          <t>1 - 3 Năm</t>
        </is>
      </c>
      <c r="L11626" s="11">
        <f>HYPERLINK("https://careerviet.vn/vi/tim-viec-lam/content-creator-video-photo-social-media.35C6B536.html","Xem chi tiết")</f>
        <v/>
      </c>
      <c r="M11626" s="10" t="n"/>
    </row>
    <row r="11627">
      <c r="B11627" s="7" t="n">
        <v>11625</v>
      </c>
      <c r="C11627" t="inlineStr">
        <is>
          <t>Overseas Key Account</t>
        </is>
      </c>
      <c r="D11627" t="inlineStr">
        <is>
          <t>Công Ty TNHH Andashun Amazing Logistics</t>
        </is>
      </c>
      <c r="E11627" t="inlineStr">
        <is>
          <t>Lương:Cạnh tranh</t>
        </is>
      </c>
      <c r="F11627" t="inlineStr">
        <is>
          <t>Hồ Chí MinhHà Nội</t>
        </is>
      </c>
      <c r="G11627" t="inlineStr">
        <is>
          <t>01-05-2026</t>
        </is>
      </c>
      <c r="H11627" t="inlineStr">
        <is>
          <t>01/05/2026</t>
        </is>
      </c>
      <c r="I11627" t="inlineStr">
        <is>
          <t>17/03/2026</t>
        </is>
      </c>
      <c r="J11627" t="inlineStr">
        <is>
          <t>Bán hàng / Kinh doanh, Vận chuyển / Giao nhận / Kho vận, Xuất nhập khẩu</t>
        </is>
      </c>
      <c r="K11627" t="inlineStr">
        <is>
          <t>N/A</t>
        </is>
      </c>
      <c r="L11627" s="8">
        <f>HYPERLINK("https://careerviet.vn/vi/tim-viec-lam/overseas-key-account.35C6B472.html","Xem chi tiết")</f>
        <v/>
      </c>
    </row>
    <row r="11628">
      <c r="B11628" s="9" t="n">
        <v>11626</v>
      </c>
      <c r="C11628" s="10" t="inlineStr">
        <is>
          <t>Nhân Viên Kinh Doanh Kênh Đại Lý - TPHCM</t>
        </is>
      </c>
      <c r="D11628" s="10" t="inlineStr">
        <is>
          <t>Công ty TNHH Minh Long I</t>
        </is>
      </c>
      <c r="E11628" s="10" t="inlineStr">
        <is>
          <t>Lương:15 Tr - 20 Tr VND</t>
        </is>
      </c>
      <c r="F11628" s="10" t="inlineStr">
        <is>
          <t>Hồ Chí Minh</t>
        </is>
      </c>
      <c r="G11628" s="10" t="inlineStr">
        <is>
          <t>06-04-2026</t>
        </is>
      </c>
      <c r="H11628" s="10" t="inlineStr">
        <is>
          <t>06/04/2026</t>
        </is>
      </c>
      <c r="I11628" s="10" t="inlineStr">
        <is>
          <t>17/03/2026</t>
        </is>
      </c>
      <c r="J11628" s="10" t="inlineStr">
        <is>
          <t>Bán lẻ / Bán sỉ, Bán hàng / Kinh doanh</t>
        </is>
      </c>
      <c r="K11628" s="10" t="inlineStr">
        <is>
          <t>N/A</t>
        </is>
      </c>
      <c r="L11628" s="11">
        <f>HYPERLINK("https://careerviet.vn/vi/tim-viec-lam/nhan-vien-kinh-doanh-kenh-dai-ly-tphcm.35C6B46A.html","Xem chi tiết")</f>
        <v/>
      </c>
      <c r="M11628" s="10" t="n"/>
    </row>
    <row r="11629">
      <c r="B11629" s="7" t="n">
        <v>11627</v>
      </c>
      <c r="C11629" t="inlineStr">
        <is>
          <t>KẾ TOÁN BÁN HÀNG</t>
        </is>
      </c>
      <c r="D11629" t="inlineStr">
        <is>
          <t>CÔNG TY CỔ PHẦN DƯỢC PHẨM REVO</t>
        </is>
      </c>
      <c r="E11629" t="inlineStr">
        <is>
          <t>Lương:8 Tr - 13 Tr VND</t>
        </is>
      </c>
      <c r="F11629" t="inlineStr">
        <is>
          <t>Hà Nội</t>
        </is>
      </c>
      <c r="G11629" t="inlineStr">
        <is>
          <t>06-04-2026</t>
        </is>
      </c>
      <c r="H11629" t="inlineStr">
        <is>
          <t>06/04/2026</t>
        </is>
      </c>
      <c r="I11629" t="inlineStr">
        <is>
          <t>17/03/2026</t>
        </is>
      </c>
      <c r="J11629" t="inlineStr">
        <is>
          <t>Bán hàng / Kinh doanh, Dược phẩm/ Hóa Mỹ Phẩm, Kế toán / Kiểm toán</t>
        </is>
      </c>
      <c r="K11629" t="inlineStr">
        <is>
          <t>Trên 1 Năm</t>
        </is>
      </c>
      <c r="L11629" s="8">
        <f>HYPERLINK("https://careerviet.vn/vi/tim-viec-lam/ke-toan-ban-hang.35C6B2B6.html","Xem chi tiết")</f>
        <v/>
      </c>
    </row>
    <row r="11630">
      <c r="B11630" s="9" t="n">
        <v>11628</v>
      </c>
      <c r="C11630" s="10" t="inlineStr">
        <is>
          <t>Nhân viên Bảo trì trang trại</t>
        </is>
      </c>
      <c r="D11630" s="10" t="inlineStr">
        <is>
          <t>Công Ty Cổ Phần GreenFeed Việt Nam</t>
        </is>
      </c>
      <c r="E11630" s="10" t="inlineStr">
        <is>
          <t>Lương:Cạnh tranh</t>
        </is>
      </c>
      <c r="F11630" s="10" t="inlineStr">
        <is>
          <t>Bình ThuậnTây NinhDak Nông</t>
        </is>
      </c>
      <c r="G11630" s="10" t="inlineStr">
        <is>
          <t>30-03-2026</t>
        </is>
      </c>
      <c r="H11630" s="10" t="inlineStr">
        <is>
          <t>30/03/2026</t>
        </is>
      </c>
      <c r="I11630" s="10" t="inlineStr">
        <is>
          <t>17/03/2026</t>
        </is>
      </c>
      <c r="J11630" s="10" t="inlineStr">
        <is>
          <t>Nông nghiệp, Sản xuất / Vận hành sản xuất, Chăn nuôi / Thú y</t>
        </is>
      </c>
      <c r="K11630" s="10" t="inlineStr">
        <is>
          <t>Chưa có kinh nghiệm</t>
        </is>
      </c>
      <c r="L11630" s="11">
        <f>HYPERLINK("https://careerviet.vn/vi/tim-viec-lam/nhan-vien-bao-tri-trang-trai.35C6B45D.html","Xem chi tiết")</f>
        <v/>
      </c>
      <c r="M11630" s="10" t="n"/>
    </row>
    <row r="11631">
      <c r="B11631" s="7" t="n">
        <v>11629</v>
      </c>
      <c r="C11631" t="inlineStr">
        <is>
          <t>Chuyên Viên Pháp Lý Công Nợ</t>
        </is>
      </c>
      <c r="D11631" t="inlineStr">
        <is>
          <t>Tập Đoàn Lộc Trời</t>
        </is>
      </c>
      <c r="E11631" t="inlineStr">
        <is>
          <t>Lương:Cạnh tranh</t>
        </is>
      </c>
      <c r="F11631" t="inlineStr">
        <is>
          <t>Hồ Chí Minh</t>
        </is>
      </c>
      <c r="G11631" t="inlineStr">
        <is>
          <t>06-04-2026</t>
        </is>
      </c>
      <c r="H11631" t="inlineStr">
        <is>
          <t>06/04/2026</t>
        </is>
      </c>
      <c r="I11631" t="inlineStr">
        <is>
          <t>17/03/2026</t>
        </is>
      </c>
      <c r="J11631" t="inlineStr">
        <is>
          <t>Luật / Pháp lý, Nông nghiệp</t>
        </is>
      </c>
      <c r="K11631" t="inlineStr">
        <is>
          <t>2 - 3 Năm</t>
        </is>
      </c>
      <c r="L11631" s="8">
        <f>HYPERLINK("https://careerviet.vn/vi/tim-viec-lam/chuyen-vien-phap-ly-cong-no.35C6B4C6.html","Xem chi tiết")</f>
        <v/>
      </c>
    </row>
    <row r="11632">
      <c r="B11632" s="9" t="n">
        <v>11630</v>
      </c>
      <c r="C11632" s="10" t="inlineStr">
        <is>
          <t>Quản lý An toàn Sức Khỏe Nghề Nghiệp | OHS Lead</t>
        </is>
      </c>
      <c r="D11632" s="10" t="inlineStr">
        <is>
          <t>Công ty TNHH Giầy Chingluh Việt Nam</t>
        </is>
      </c>
      <c r="E11632" s="10" t="inlineStr">
        <is>
          <t>Lương:Cạnh tranh</t>
        </is>
      </c>
      <c r="F11632" s="10" t="inlineStr">
        <is>
          <t>Long An</t>
        </is>
      </c>
      <c r="G11632" s="10" t="inlineStr">
        <is>
          <t>31-05-2026</t>
        </is>
      </c>
      <c r="H11632" s="10" t="inlineStr">
        <is>
          <t>31/05/2026</t>
        </is>
      </c>
      <c r="I11632" s="10" t="inlineStr">
        <is>
          <t>17/03/2026</t>
        </is>
      </c>
      <c r="J11632" s="10" t="inlineStr">
        <is>
          <t>Sản xuất / Vận hành sản xuất, Quản lý chất lượng (QA/QC), An toàn lao động</t>
        </is>
      </c>
      <c r="K11632" s="10" t="inlineStr">
        <is>
          <t>Trên 5 Năm</t>
        </is>
      </c>
      <c r="L11632" s="11">
        <f>HYPERLINK("https://careerviet.vn/vi/tim-viec-lam/quan-ly-an-toan-suc-khoe-nghe-nghiep-ohs-lead.35C6B4E6.html","Xem chi tiết")</f>
        <v/>
      </c>
      <c r="M11632" s="10" t="n"/>
    </row>
    <row r="11633">
      <c r="B11633" s="7" t="n">
        <v>11631</v>
      </c>
      <c r="C11633" t="inlineStr">
        <is>
          <t>GIÁM SÁT BÁN HÀNG NGÀNH FMCG KÊNH MT, GT, FS</t>
        </is>
      </c>
      <c r="D11633" t="inlineStr">
        <is>
          <t>CÔNG TY CỔ PHẦN THỰC PHẨM CHOLIMEX</t>
        </is>
      </c>
      <c r="E11633" t="inlineStr">
        <is>
          <t>Lương:19 Tr - 20 Tr VND</t>
        </is>
      </c>
      <c r="F11633" t="inlineStr">
        <is>
          <t>Hồ Chí Minh</t>
        </is>
      </c>
      <c r="G11633" t="inlineStr">
        <is>
          <t>31-03-2026</t>
        </is>
      </c>
      <c r="H11633" t="inlineStr">
        <is>
          <t>31/03/2026</t>
        </is>
      </c>
      <c r="I11633" t="inlineStr">
        <is>
          <t>17/03/2026</t>
        </is>
      </c>
      <c r="J11633" t="inlineStr">
        <is>
          <t>Bán hàng / Kinh doanh, Thực phẩm &amp; Đồ uống</t>
        </is>
      </c>
      <c r="K11633" t="inlineStr">
        <is>
          <t>1 - 2 Năm</t>
        </is>
      </c>
      <c r="L11633" s="8">
        <f>HYPERLINK("https://careerviet.vn/vi/tim-viec-lam/giam-sat-ban-hang-nganh-fmcg-kenh-mt-gt-fs.35C6B578.html","Xem chi tiết")</f>
        <v/>
      </c>
    </row>
    <row r="11634">
      <c r="B11634" s="9" t="n">
        <v>11632</v>
      </c>
      <c r="C11634" s="10" t="inlineStr">
        <is>
          <t>[NLE] Chuyên viên cao cấp Quản lý tài sản</t>
        </is>
      </c>
      <c r="D11634" s="10" t="inlineStr">
        <is>
          <t>Nova Service Group - Công ty Cổ phần Tập đoàn Nova Services</t>
        </is>
      </c>
      <c r="E11634" s="10" t="inlineStr">
        <is>
          <t>Lương:Cạnh tranh</t>
        </is>
      </c>
      <c r="F11634" s="10" t="inlineStr">
        <is>
          <t>Hồ Chí Minh</t>
        </is>
      </c>
      <c r="G11634" s="10" t="inlineStr">
        <is>
          <t>30-04-2026</t>
        </is>
      </c>
      <c r="H11634" s="10" t="inlineStr">
        <is>
          <t>30/04/2026</t>
        </is>
      </c>
      <c r="I11634" s="10" t="inlineStr">
        <is>
          <t>17/03/2026</t>
        </is>
      </c>
      <c r="J11634" s="10" t="inlineStr">
        <is>
          <t>Bất động sản, Luật / Pháp lý, Nhà hàng / Khách sạn</t>
        </is>
      </c>
      <c r="K11634" s="10" t="inlineStr">
        <is>
          <t>5 - 7 Năm</t>
        </is>
      </c>
      <c r="L11634" s="11">
        <f>HYPERLINK("https://careerviet.vn/vi/tim-viec-lam/nle-chuyen-vien-cao-cap-quan-ly-tai-san.35C6B554.html","Xem chi tiết")</f>
        <v/>
      </c>
      <c r="M11634" s="10" t="n"/>
    </row>
    <row r="11635">
      <c r="B11635" s="7" t="n">
        <v>11633</v>
      </c>
      <c r="C11635" t="inlineStr">
        <is>
          <t>Kế Toán Thanh Toán (Account Payable Staff)</t>
        </is>
      </c>
      <c r="D11635" t="inlineStr">
        <is>
          <t>DP Systems Electronic Mechanical Technology Vietnam Co., Ltd</t>
        </is>
      </c>
      <c r="E11635" t="inlineStr">
        <is>
          <t>Lương:Cạnh tranh</t>
        </is>
      </c>
      <c r="F11635" t="inlineStr">
        <is>
          <t>Bình Dương</t>
        </is>
      </c>
      <c r="G11635" t="inlineStr">
        <is>
          <t>06-04-2026</t>
        </is>
      </c>
      <c r="H11635" t="inlineStr">
        <is>
          <t>06/04/2026</t>
        </is>
      </c>
      <c r="I11635" t="inlineStr">
        <is>
          <t>17/03/2026</t>
        </is>
      </c>
      <c r="J11635" t="inlineStr">
        <is>
          <t>Kế toán / Kiểm toán, Ngân hàng, Tài chính / Đầu tư</t>
        </is>
      </c>
      <c r="K11635" t="inlineStr">
        <is>
          <t>N/A</t>
        </is>
      </c>
      <c r="L11635" s="8">
        <f>HYPERLINK("https://careerviet.vn/vi/tim-viec-lam/ke-toan-thanh-toan-account-payable-staff.35C6B3B5.html","Xem chi tiết")</f>
        <v/>
      </c>
    </row>
    <row r="11636">
      <c r="B11636" s="9" t="n">
        <v>11634</v>
      </c>
      <c r="C11636" s="10" t="inlineStr">
        <is>
          <t>Kế toán thuế</t>
        </is>
      </c>
      <c r="D11636" s="10" t="inlineStr">
        <is>
          <t>Bảo mật</t>
        </is>
      </c>
      <c r="E11636" s="10" t="inlineStr">
        <is>
          <t>Lương:11 Tr - 15 Tr VND</t>
        </is>
      </c>
      <c r="F11636" s="10" t="inlineStr">
        <is>
          <t>Hồ Chí Minh</t>
        </is>
      </c>
      <c r="G11636" s="10" t="inlineStr">
        <is>
          <t>31-03-2026</t>
        </is>
      </c>
      <c r="H11636" s="10" t="inlineStr">
        <is>
          <t>31/03/2026</t>
        </is>
      </c>
      <c r="I11636" s="10" t="inlineStr">
        <is>
          <t>17/03/2026</t>
        </is>
      </c>
      <c r="J11636" s="10" t="inlineStr">
        <is>
          <t>Kế toán / Kiểm toán</t>
        </is>
      </c>
      <c r="K11636" s="10" t="inlineStr">
        <is>
          <t>2 - 3 Năm</t>
        </is>
      </c>
      <c r="L11636" s="11">
        <f>HYPERLINK("https://careerviet.vn/vi/tim-viec-lam/ke-toan-thue.35C6B2E3.html","Xem chi tiết")</f>
        <v/>
      </c>
      <c r="M11636" s="10" t="n"/>
    </row>
    <row r="11637">
      <c r="B11637" s="7" t="n">
        <v>11635</v>
      </c>
      <c r="C11637" t="inlineStr">
        <is>
          <t>NHÂN VIÊN KINH DOANH THỊ TRƯỜNG</t>
        </is>
      </c>
      <c r="D11637" t="inlineStr">
        <is>
          <t>Công ty cổ phần thương mại kỹ thuật An Việt</t>
        </is>
      </c>
      <c r="E11637" t="inlineStr">
        <is>
          <t>Lương:15 Tr - 30 Tr VND</t>
        </is>
      </c>
      <c r="F11637" t="inlineStr">
        <is>
          <t>Hà NộiHồ Chí Minh</t>
        </is>
      </c>
      <c r="G11637" t="inlineStr">
        <is>
          <t>31-03-2026</t>
        </is>
      </c>
      <c r="H11637" t="inlineStr">
        <is>
          <t>31/03/2026</t>
        </is>
      </c>
      <c r="I11637" t="inlineStr">
        <is>
          <t>17/03/2026</t>
        </is>
      </c>
      <c r="J11637" t="inlineStr">
        <is>
          <t>Tiếp thị / Marketing, Bán lẻ / Bán sỉ, Bán hàng / Kinh doanh</t>
        </is>
      </c>
      <c r="K11637" t="inlineStr">
        <is>
          <t>1 - 3 Năm</t>
        </is>
      </c>
      <c r="L11637" s="8">
        <f>HYPERLINK("https://careerviet.vn/vi/tim-viec-lam/nhan-vien-kinh-doanh-thi-truong.35C6B4D4.html","Xem chi tiết")</f>
        <v/>
      </c>
    </row>
    <row r="11638">
      <c r="B11638" s="9" t="n">
        <v>11636</v>
      </c>
      <c r="C11638" s="10" t="inlineStr">
        <is>
          <t>Trade Manager (Beauty/ Cosmetic)</t>
        </is>
      </c>
      <c r="D11638" s="10" t="inlineStr">
        <is>
          <t>Công Ty TNHH Thương Mại Dịch Vụ Xuất Nhập Khẩu The Vigo</t>
        </is>
      </c>
      <c r="E11638" s="10" t="inlineStr">
        <is>
          <t>Lương:Cạnh tranh</t>
        </is>
      </c>
      <c r="F11638" s="10" t="inlineStr">
        <is>
          <t>Hồ Chí Minh</t>
        </is>
      </c>
      <c r="G11638" s="10" t="inlineStr">
        <is>
          <t>15-04-2026</t>
        </is>
      </c>
      <c r="H11638" s="10" t="inlineStr">
        <is>
          <t>15/04/2026</t>
        </is>
      </c>
      <c r="I11638" s="10" t="inlineStr">
        <is>
          <t>17/03/2026</t>
        </is>
      </c>
      <c r="J11638" s="10" t="inlineStr">
        <is>
          <t>Tiếp thị / Marketing, Dược phẩm/ Hóa Mỹ Phẩm, Y tế / Chăm sóc sức khỏe / Thẩm mỹ / Làm đẹp</t>
        </is>
      </c>
      <c r="K11638" s="10" t="inlineStr">
        <is>
          <t>3 - 5 Năm</t>
        </is>
      </c>
      <c r="L11638" s="11">
        <f>HYPERLINK("https://careerviet.vn/vi/tim-viec-lam/trade-manager-beauty-cosmetic.35C6B39F.html","Xem chi tiết")</f>
        <v/>
      </c>
      <c r="M11638" s="10" t="n"/>
    </row>
    <row r="11639">
      <c r="B11639" s="7" t="n">
        <v>11637</v>
      </c>
      <c r="C11639" t="inlineStr">
        <is>
          <t>Purchasing Staff</t>
        </is>
      </c>
      <c r="D11639" t="inlineStr">
        <is>
          <t>Vietnam Furniture Resources (VFR)</t>
        </is>
      </c>
      <c r="E11639" t="inlineStr">
        <is>
          <t>Lương:Cạnh tranh</t>
        </is>
      </c>
      <c r="F11639" t="inlineStr">
        <is>
          <t>Bình Dương</t>
        </is>
      </c>
      <c r="G11639" t="inlineStr">
        <is>
          <t>07-04-2026</t>
        </is>
      </c>
      <c r="H11639" t="inlineStr">
        <is>
          <t>07/04/2026</t>
        </is>
      </c>
      <c r="I11639" t="inlineStr">
        <is>
          <t>17/03/2026</t>
        </is>
      </c>
      <c r="J11639" t="inlineStr">
        <is>
          <t>Đồ gỗ, Thu mua / Vật tư, Nội ngoại thất</t>
        </is>
      </c>
      <c r="K11639" t="inlineStr">
        <is>
          <t>2 - 3 Năm</t>
        </is>
      </c>
      <c r="L11639" s="8">
        <f>HYPERLINK("https://careerviet.vn/vi/tim-viec-lam/purchasing-staff.35C6B3E7.html","Xem chi tiết")</f>
        <v/>
      </c>
    </row>
    <row r="11640">
      <c r="B11640" s="9" t="n">
        <v>11638</v>
      </c>
      <c r="C11640" s="10" t="inlineStr">
        <is>
          <t>Kỹ thuật viên vật lý trị liệu</t>
        </is>
      </c>
      <c r="D11640" s="10" t="inlineStr">
        <is>
          <t>CÔNG TY CỔ PHẦN GIẢI PHÁP THANH TOÁN VIỆT TÍN</t>
        </is>
      </c>
      <c r="E11640" s="10" t="inlineStr">
        <is>
          <t>Lương:15 Tr - 15 Tr VND</t>
        </is>
      </c>
      <c r="F11640" s="10" t="inlineStr">
        <is>
          <t>Hồ Chí Minh</t>
        </is>
      </c>
      <c r="G11640" s="10" t="inlineStr">
        <is>
          <t>15-04-2026</t>
        </is>
      </c>
      <c r="H11640" s="10" t="inlineStr">
        <is>
          <t>15/04/2026</t>
        </is>
      </c>
      <c r="I11640" s="10" t="inlineStr">
        <is>
          <t>17/03/2026</t>
        </is>
      </c>
      <c r="J11640" s="10" t="inlineStr">
        <is>
          <t>Y tế / Chăm sóc sức khỏe / Thẩm mỹ / Làm đẹp, Ngành khác</t>
        </is>
      </c>
      <c r="K11640" s="10" t="inlineStr">
        <is>
          <t>1 - 5 Năm</t>
        </is>
      </c>
      <c r="L11640" s="11">
        <f>HYPERLINK("https://careerviet.vn/vi/tim-viec-lam/ky-thuat-vien-vat-ly-tri-lieu.35C6B348.html","Xem chi tiết")</f>
        <v/>
      </c>
      <c r="M11640" s="10" t="n"/>
    </row>
    <row r="11641">
      <c r="B11641" s="7" t="n">
        <v>11639</v>
      </c>
      <c r="C11641" t="inlineStr">
        <is>
          <t>[Tân Phú - HCM] Senior Lab Technician (Textile &amp; Footwear Chemistry)</t>
        </is>
      </c>
      <c r="D11641" t="inlineStr">
        <is>
          <t>EUROFINS VIETNAM</t>
        </is>
      </c>
      <c r="E11641" t="inlineStr">
        <is>
          <t>Lương:Cạnh tranh</t>
        </is>
      </c>
      <c r="F11641" t="inlineStr">
        <is>
          <t>Hồ Chí Minh</t>
        </is>
      </c>
      <c r="G11641" t="inlineStr">
        <is>
          <t>31-03-2026</t>
        </is>
      </c>
      <c r="H11641" t="inlineStr">
        <is>
          <t>31/03/2026</t>
        </is>
      </c>
      <c r="I11641" t="inlineStr">
        <is>
          <t>17/03/2026</t>
        </is>
      </c>
      <c r="J11641" t="inlineStr">
        <is>
          <t>Dược phẩm/ Hóa Mỹ Phẩm, Điện / Điện tử / Điện lạnh / Điện công nghiệp, Hóa học</t>
        </is>
      </c>
      <c r="K11641" t="inlineStr">
        <is>
          <t>2 - 3 Năm</t>
        </is>
      </c>
      <c r="L11641" s="8">
        <f>HYPERLINK("https://careerviet.vn/vi/tim-viec-lam/tan-phu-hcm-senior-lab-technician-textile-footwear-chemistry.35C6B43C.html","Xem chi tiết")</f>
        <v/>
      </c>
    </row>
    <row r="11642">
      <c r="B11642" s="9" t="n">
        <v>11640</v>
      </c>
      <c r="C11642" s="10" t="inlineStr">
        <is>
          <t>Sales Operation Lead</t>
        </is>
      </c>
      <c r="D11642" s="10" t="inlineStr">
        <is>
          <t>DIAG</t>
        </is>
      </c>
      <c r="E11642" s="10" t="inlineStr">
        <is>
          <t>Lương:Cạnh tranh</t>
        </is>
      </c>
      <c r="F11642" s="10" t="inlineStr">
        <is>
          <t>Hồ Chí Minh</t>
        </is>
      </c>
      <c r="G11642" s="10" t="inlineStr">
        <is>
          <t>31-03-2026</t>
        </is>
      </c>
      <c r="H11642" s="10" t="inlineStr">
        <is>
          <t>31/03/2026</t>
        </is>
      </c>
      <c r="I11642" s="10" t="inlineStr">
        <is>
          <t>17/03/2026</t>
        </is>
      </c>
      <c r="J11642" s="10" t="inlineStr">
        <is>
          <t>Bán lẻ / Bán sỉ, Bán hàng / Kinh doanh, Thương mại điện tử</t>
        </is>
      </c>
      <c r="K11642" s="10" t="inlineStr">
        <is>
          <t>5 - 10 Năm</t>
        </is>
      </c>
      <c r="L11642" s="11">
        <f>HYPERLINK("https://careerviet.vn/vi/tim-viec-lam/sales-operation-lead.35C6B4E9.html","Xem chi tiết")</f>
        <v/>
      </c>
      <c r="M11642" s="10" t="n"/>
    </row>
    <row r="11643">
      <c r="B11643" s="7" t="n">
        <v>11641</v>
      </c>
      <c r="C11643" t="inlineStr">
        <is>
          <t>Thực Tập Sinh Booking KOC/KOL</t>
        </is>
      </c>
      <c r="D11643" t="inlineStr">
        <is>
          <t>CÔNG TY TNHH MỘT THÀNH VIÊN TIKPLUS VIỆT NAM</t>
        </is>
      </c>
      <c r="E11643" t="inlineStr">
        <is>
          <t>Lương:1 Tr - 3 Tr VND</t>
        </is>
      </c>
      <c r="F11643" t="inlineStr">
        <is>
          <t>Hồ Chí Minh</t>
        </is>
      </c>
      <c r="G11643" t="inlineStr">
        <is>
          <t>31-03-2026</t>
        </is>
      </c>
      <c r="H11643" t="inlineStr">
        <is>
          <t>31/03/2026</t>
        </is>
      </c>
      <c r="I11643" t="inlineStr">
        <is>
          <t>17/03/2026</t>
        </is>
      </c>
      <c r="J11643" t="inlineStr">
        <is>
          <t>Tiếp thị / Marketing, Quảng cáo / Đối ngoại / Truyền Thông, Mới tốt nghiệp / Thực tập</t>
        </is>
      </c>
      <c r="K11643" t="inlineStr">
        <is>
          <t>N/A</t>
        </is>
      </c>
      <c r="L11643" s="8">
        <f>HYPERLINK("https://careerviet.vn/vi/tim-viec-lam/thuc-tap-sinh-booking-koc-kol.35C6B540.html","Xem chi tiết")</f>
        <v/>
      </c>
    </row>
    <row r="11644">
      <c r="B11644" s="9" t="n">
        <v>11642</v>
      </c>
      <c r="C11644" s="10" t="inlineStr">
        <is>
          <t>Kiến trúc sư 3D [Xhome Việt Nam]</t>
        </is>
      </c>
      <c r="D11644" s="10" t="inlineStr">
        <is>
          <t>Công ty CP XHOME Việt Nam</t>
        </is>
      </c>
      <c r="E11644" s="10" t="inlineStr">
        <is>
          <t>Lương:10 Tr - 15 Tr VND</t>
        </is>
      </c>
      <c r="F11644" s="10" t="inlineStr">
        <is>
          <t>Hà Nội</t>
        </is>
      </c>
      <c r="G11644" s="10" t="inlineStr">
        <is>
          <t>05-04-2026</t>
        </is>
      </c>
      <c r="H11644" s="10" t="inlineStr">
        <is>
          <t>05/04/2026</t>
        </is>
      </c>
      <c r="I11644" s="10" t="inlineStr">
        <is>
          <t>17/03/2026</t>
        </is>
      </c>
      <c r="J11644" s="10" t="inlineStr">
        <is>
          <t>Nội ngoại thất</t>
        </is>
      </c>
      <c r="K11644" s="10" t="inlineStr">
        <is>
          <t>2 - 3 Năm</t>
        </is>
      </c>
      <c r="L11644" s="11">
        <f>HYPERLINK("https://careerviet.vn/vi/tim-viec-lam/kien-truc-su-3d-xhome-viet-nam.35C6B4F0.html","Xem chi tiết")</f>
        <v/>
      </c>
      <c r="M11644" s="10" t="n"/>
    </row>
    <row r="11645">
      <c r="B11645" s="7" t="n">
        <v>11643</v>
      </c>
      <c r="C11645" t="inlineStr">
        <is>
          <t>Nhân viên Hành chính nhân sự</t>
        </is>
      </c>
      <c r="D11645" t="inlineStr">
        <is>
          <t>CÔNG TY TNHH MỘT THÀNH VIÊN VẬN TẢI VÀ DU LỊCH JAC</t>
        </is>
      </c>
      <c r="E11645" t="inlineStr">
        <is>
          <t>Lương:Cạnh tranh</t>
        </is>
      </c>
      <c r="F11645" t="inlineStr">
        <is>
          <t>Hà Nội</t>
        </is>
      </c>
      <c r="G11645" t="inlineStr">
        <is>
          <t>15-04-2026</t>
        </is>
      </c>
      <c r="H11645" t="inlineStr">
        <is>
          <t>15/04/2026</t>
        </is>
      </c>
      <c r="I11645" t="inlineStr">
        <is>
          <t>17/03/2026</t>
        </is>
      </c>
      <c r="J11645" t="inlineStr">
        <is>
          <t>Nhân sự, Hành chính / Thư ký, Kế toán / Kiểm toán</t>
        </is>
      </c>
      <c r="K11645" t="inlineStr">
        <is>
          <t>Trên 1 Năm</t>
        </is>
      </c>
      <c r="L11645" s="8">
        <f>HYPERLINK("https://careerviet.vn/vi/tim-viec-lam/nhan-vien-hanh-chinh-nhan-su.35C6B545.html","Xem chi tiết")</f>
        <v/>
      </c>
    </row>
    <row r="11646">
      <c r="B11646" s="9" t="n">
        <v>11644</v>
      </c>
      <c r="C11646" s="10" t="inlineStr">
        <is>
          <t>INFLUENCER MARKETING LEAD</t>
        </is>
      </c>
      <c r="D11646" s="10" t="inlineStr">
        <is>
          <t>Công Ty TNHH Daily Effect</t>
        </is>
      </c>
      <c r="E11646" s="10" t="inlineStr">
        <is>
          <t>Lương:Cạnh tranh</t>
        </is>
      </c>
      <c r="F11646" s="10" t="inlineStr">
        <is>
          <t>Hồ Chí Minh</t>
        </is>
      </c>
      <c r="G11646" s="10" t="inlineStr">
        <is>
          <t>03-04-2026</t>
        </is>
      </c>
      <c r="H11646" s="10" t="inlineStr">
        <is>
          <t>03/04/2026</t>
        </is>
      </c>
      <c r="I11646" s="10" t="inlineStr">
        <is>
          <t>17/03/2026</t>
        </is>
      </c>
      <c r="J11646" s="10" t="inlineStr">
        <is>
          <t>Tiếp thị / Marketing, Quảng cáo / Đối ngoại / Truyền Thông, Tổ chức sự kiện</t>
        </is>
      </c>
      <c r="K11646" s="10" t="inlineStr">
        <is>
          <t>1 - 2 Năm</t>
        </is>
      </c>
      <c r="L11646" s="11">
        <f>HYPERLINK("https://careerviet.vn/vi/tim-viec-lam/influencer-marketing-lead.35C6B435.html","Xem chi tiết")</f>
        <v/>
      </c>
      <c r="M11646" s="10" t="n"/>
    </row>
    <row r="11647">
      <c r="B11647" s="7" t="n">
        <v>11645</v>
      </c>
      <c r="C11647" t="inlineStr">
        <is>
          <t>Trưởng Nhóm Chứng Từ Xuất Nhập Khẩu (Freight Forwarding)</t>
        </is>
      </c>
      <c r="D11647" t="inlineStr">
        <is>
          <t>CÔNG TY TNHH KINGFISHER LOGISTICS</t>
        </is>
      </c>
      <c r="E11647" t="inlineStr">
        <is>
          <t>Lương:Cạnh tranh</t>
        </is>
      </c>
      <c r="F11647" t="inlineStr">
        <is>
          <t>Hồ Chí Minh</t>
        </is>
      </c>
      <c r="G11647" t="inlineStr">
        <is>
          <t>05-04-2026</t>
        </is>
      </c>
      <c r="H11647" t="inlineStr">
        <is>
          <t>05/04/2026</t>
        </is>
      </c>
      <c r="I11647" t="inlineStr">
        <is>
          <t>17/03/2026</t>
        </is>
      </c>
      <c r="J11647" t="inlineStr">
        <is>
          <t>Vận chuyển / Giao nhận / Kho vận, Xuất nhập khẩu, Dịch vụ khách hàng</t>
        </is>
      </c>
      <c r="K11647" t="inlineStr">
        <is>
          <t>2 - 5 Năm</t>
        </is>
      </c>
      <c r="L11647" s="8">
        <f>HYPERLINK("https://careerviet.vn/vi/tim-viec-lam/truong-nhom-chung-tu-xuat-nhap-khau-freight-forwarding.35C6B437.html","Xem chi tiết")</f>
        <v/>
      </c>
    </row>
    <row r="11648">
      <c r="B11648" s="9" t="n">
        <v>11646</v>
      </c>
      <c r="C11648" s="10" t="inlineStr">
        <is>
          <t>Digital Acquisition &amp; Transformation Manager</t>
        </is>
      </c>
      <c r="D11648" s="10" t="inlineStr">
        <is>
          <t>FE CREDIT</t>
        </is>
      </c>
      <c r="E11648" s="10" t="inlineStr">
        <is>
          <t>Lương:Cạnh tranh</t>
        </is>
      </c>
      <c r="F11648" s="10" t="inlineStr">
        <is>
          <t>Hồ Chí Minh</t>
        </is>
      </c>
      <c r="G11648" s="10" t="inlineStr">
        <is>
          <t>30-04-2026</t>
        </is>
      </c>
      <c r="H11648" s="10" t="inlineStr">
        <is>
          <t>30/04/2026</t>
        </is>
      </c>
      <c r="I11648" s="10" t="inlineStr">
        <is>
          <t>17/03/2026</t>
        </is>
      </c>
      <c r="J11648" s="10" t="inlineStr">
        <is>
          <t>Tiếp thị / Marketing, Ngân hàng, Tài chính / Đầu tư</t>
        </is>
      </c>
      <c r="K11648" s="10" t="inlineStr">
        <is>
          <t>5 - 7 Năm</t>
        </is>
      </c>
      <c r="L11648" s="11">
        <f>HYPERLINK("https://careerviet.vn/vi/tim-viec-lam/digital-acquisition-transformation-manager.35C6B445.html","Xem chi tiết")</f>
        <v/>
      </c>
      <c r="M11648" s="10" t="n"/>
    </row>
    <row r="11649">
      <c r="B11649" s="7" t="n">
        <v>11647</v>
      </c>
      <c r="C11649" t="inlineStr">
        <is>
          <t>Nhân viên đăng ký thuốc (R.A Executive)</t>
        </is>
      </c>
      <c r="D11649" t="inlineStr">
        <is>
          <t>CÔNG TY TNHH Y-MED HEALTHCARE</t>
        </is>
      </c>
      <c r="E11649" t="inlineStr">
        <is>
          <t>Lương:13 Tr - 20 Tr VND</t>
        </is>
      </c>
      <c r="F11649" t="inlineStr">
        <is>
          <t>Hồ Chí Minh</t>
        </is>
      </c>
      <c r="G11649" t="inlineStr">
        <is>
          <t>30-04-2026</t>
        </is>
      </c>
      <c r="H11649" t="inlineStr">
        <is>
          <t>30/04/2026</t>
        </is>
      </c>
      <c r="I11649" t="inlineStr">
        <is>
          <t>17/03/2026</t>
        </is>
      </c>
      <c r="J11649" t="inlineStr">
        <is>
          <t>Dược phẩm/ Hóa Mỹ Phẩm, Y tế / Chăm sóc sức khỏe / Thẩm mỹ / Làm đẹp</t>
        </is>
      </c>
      <c r="K11649" t="inlineStr">
        <is>
          <t>Trên 2 Năm</t>
        </is>
      </c>
      <c r="L11649" s="8">
        <f>HYPERLINK("https://careerviet.vn/vi/tim-viec-lam/nhan-vien-dang-ky-thuoc-r-a-executive.35C6B417.html","Xem chi tiết")</f>
        <v/>
      </c>
    </row>
    <row r="11650">
      <c r="B11650" s="9" t="n">
        <v>11648</v>
      </c>
      <c r="C11650" s="10" t="inlineStr">
        <is>
          <t>Kỹ sư giám sát thi công</t>
        </is>
      </c>
      <c r="D11650" s="10" t="inlineStr">
        <is>
          <t>CÔNG TY CỔ PHẦN XÂY DỰNG TC BÌNH ĐỊNH</t>
        </is>
      </c>
      <c r="E11650" s="10" t="inlineStr">
        <is>
          <t>Lương:Cạnh tranh</t>
        </is>
      </c>
      <c r="F11650" s="10" t="inlineStr">
        <is>
          <t>Gia Lai</t>
        </is>
      </c>
      <c r="G11650" s="10" t="inlineStr">
        <is>
          <t>30-06-2026</t>
        </is>
      </c>
      <c r="H11650" s="10" t="inlineStr">
        <is>
          <t>30/06/2026</t>
        </is>
      </c>
      <c r="I11650" s="10" t="inlineStr">
        <is>
          <t>17/03/2026</t>
        </is>
      </c>
      <c r="J11650" s="10" t="inlineStr">
        <is>
          <t>Xây dựng, Cơ khí / Ô tô / Tự động hóa, Khoáng sản</t>
        </is>
      </c>
      <c r="K11650" s="10" t="inlineStr">
        <is>
          <t>Trên 3 Năm</t>
        </is>
      </c>
      <c r="L11650" s="11">
        <f>HYPERLINK("https://careerviet.vn/vi/tim-viec-lam/ky-su-giam-sat-thi-cong.35C6B4ED.html","Xem chi tiết")</f>
        <v/>
      </c>
      <c r="M11650" s="10" t="n"/>
    </row>
    <row r="11651">
      <c r="B11651" s="7" t="n">
        <v>11649</v>
      </c>
      <c r="C11651" t="inlineStr">
        <is>
          <t>Kế toán trưởng</t>
        </is>
      </c>
      <c r="D11651" t="inlineStr">
        <is>
          <t>CÔNG TY CỔ PHẦN ĐẦU TƯ XÂY DỰNG ENTIZ</t>
        </is>
      </c>
      <c r="E11651" t="inlineStr">
        <is>
          <t>Lương:25 Tr - 40 Tr VND</t>
        </is>
      </c>
      <c r="F11651" t="inlineStr">
        <is>
          <t>Hà Nội</t>
        </is>
      </c>
      <c r="G11651" t="inlineStr">
        <is>
          <t>04-04-2026</t>
        </is>
      </c>
      <c r="H11651" t="inlineStr">
        <is>
          <t>04/04/2026</t>
        </is>
      </c>
      <c r="I11651" t="inlineStr">
        <is>
          <t>17/03/2026</t>
        </is>
      </c>
      <c r="J11651" t="inlineStr">
        <is>
          <t>Kế toán / Kiểm toán, Xây dựng, Bán hàng / Kinh doanh</t>
        </is>
      </c>
      <c r="K11651" t="inlineStr">
        <is>
          <t>5 - 10 Năm</t>
        </is>
      </c>
      <c r="L11651" s="8">
        <f>HYPERLINK("https://careerviet.vn/vi/tim-viec-lam/ke-toan-truong.35C6B149.html","Xem chi tiết")</f>
        <v/>
      </c>
    </row>
    <row r="11652">
      <c r="B11652" s="9" t="n">
        <v>11650</v>
      </c>
      <c r="C11652" s="10" t="inlineStr">
        <is>
          <t>Nhân viên Sales Marketing trong nước (Lương từ 9-15 triệu)</t>
        </is>
      </c>
      <c r="D11652" s="10" t="inlineStr">
        <is>
          <t>CÔNG TY CỔ PHẦN AUSAVINA</t>
        </is>
      </c>
      <c r="E11652" s="10" t="inlineStr">
        <is>
          <t>Lương:9 Tr - 15 Tr VND</t>
        </is>
      </c>
      <c r="F11652" s="10" t="inlineStr">
        <is>
          <t>Bình DươngHồ Chí MinhĐồng Nai</t>
        </is>
      </c>
      <c r="G11652" s="10" t="inlineStr">
        <is>
          <t>30-04-2026</t>
        </is>
      </c>
      <c r="H11652" s="10" t="inlineStr">
        <is>
          <t>30/04/2026</t>
        </is>
      </c>
      <c r="I11652" s="10" t="inlineStr">
        <is>
          <t>17/03/2026</t>
        </is>
      </c>
      <c r="J11652" s="10" t="inlineStr">
        <is>
          <t>Tiếp thị / Marketing, Bán hàng / Kinh doanh, Tiếp thị trực tuyến</t>
        </is>
      </c>
      <c r="K11652" s="10" t="inlineStr">
        <is>
          <t>2 - 3 Năm</t>
        </is>
      </c>
      <c r="L11652" s="11">
        <f>HYPERLINK("https://careerviet.vn/vi/tim-viec-lam/nhan-vien-sales-marketing-trong-nuoc-luong-tu-9-15-trieu.35C69E69.html","Xem chi tiết")</f>
        <v/>
      </c>
      <c r="M11652" s="10" t="n"/>
    </row>
    <row r="11653">
      <c r="B11653" s="7" t="n">
        <v>11651</v>
      </c>
      <c r="C11653" t="inlineStr">
        <is>
          <t>Chuyên viên Nhân sự - Tiếng Trung</t>
        </is>
      </c>
      <c r="D11653" t="inlineStr">
        <is>
          <t>CÔNG TY TNHH COTG FOOD TECH VIỆT NAM</t>
        </is>
      </c>
      <c r="E11653" t="inlineStr">
        <is>
          <t>Lương:12 Tr - 18 Tr VND</t>
        </is>
      </c>
      <c r="F11653" t="inlineStr">
        <is>
          <t>Hồ Chí Minh</t>
        </is>
      </c>
      <c r="G11653" t="inlineStr">
        <is>
          <t>05-04-2026</t>
        </is>
      </c>
      <c r="H11653" t="inlineStr">
        <is>
          <t>05/04/2026</t>
        </is>
      </c>
      <c r="I11653" t="inlineStr">
        <is>
          <t>17/03/2026</t>
        </is>
      </c>
      <c r="J11653" t="inlineStr">
        <is>
          <t>Nhân sự, Thực phẩm &amp; Đồ uống, Biên phiên dịch</t>
        </is>
      </c>
      <c r="K11653" t="inlineStr">
        <is>
          <t>1 - 3 Năm</t>
        </is>
      </c>
      <c r="L11653" s="8">
        <f>HYPERLINK("https://careerviet.vn/vi/tim-viec-lam/chuyen-vien-nhan-su-tieng-trung.35C6B4AB.html","Xem chi tiết")</f>
        <v/>
      </c>
    </row>
    <row r="11654">
      <c r="B11654" s="9" t="n">
        <v>11652</v>
      </c>
      <c r="C11654" s="10" t="inlineStr">
        <is>
          <t>Chuyên viên Kế toán - Hué Plaza</t>
        </is>
      </c>
      <c r="D11654" s="10" t="inlineStr">
        <is>
          <t>Công Ty Cổ Phần Du Lịch Vietravel</t>
        </is>
      </c>
      <c r="E11654" s="10" t="inlineStr">
        <is>
          <t>Lương:Cạnh tranh</t>
        </is>
      </c>
      <c r="F11654" s="10" t="inlineStr">
        <is>
          <t>Thừa Thiên- Huế</t>
        </is>
      </c>
      <c r="G11654" s="10" t="inlineStr">
        <is>
          <t>27-03-2026</t>
        </is>
      </c>
      <c r="H11654" s="10" t="inlineStr">
        <is>
          <t>27/03/2026</t>
        </is>
      </c>
      <c r="I11654" s="10" t="inlineStr">
        <is>
          <t>17/03/2026</t>
        </is>
      </c>
      <c r="J11654" s="10" t="inlineStr">
        <is>
          <t>Kế toán / Kiểm toán</t>
        </is>
      </c>
      <c r="K11654" s="10" t="inlineStr">
        <is>
          <t>2 - 5 Năm</t>
        </is>
      </c>
      <c r="L11654" s="11">
        <f>HYPERLINK("https://careerviet.vn/vi/tim-viec-lam/chuyen-vien-ke-toan-hue-plaza.35C69D9D.html","Xem chi tiết")</f>
        <v/>
      </c>
      <c r="M11654" s="10" t="n"/>
    </row>
    <row r="11655">
      <c r="B11655" s="7" t="n">
        <v>11653</v>
      </c>
      <c r="C11655" t="inlineStr">
        <is>
          <t>Trung tâm FDI Miền Nam - Giám đốc Quan hệ khách hàng FDI</t>
        </is>
      </c>
      <c r="D11655" t="inlineStr">
        <is>
          <t>Ngân Hàng TMCP Phương Đông - OCB</t>
        </is>
      </c>
      <c r="E11655" t="inlineStr">
        <is>
          <t>Lương:Cạnh tranh</t>
        </is>
      </c>
      <c r="F11655" t="inlineStr">
        <is>
          <t>Hồ Chí Minh</t>
        </is>
      </c>
      <c r="G11655" t="inlineStr">
        <is>
          <t>31-03-2026</t>
        </is>
      </c>
      <c r="H11655" t="inlineStr">
        <is>
          <t>31/03/2026</t>
        </is>
      </c>
      <c r="I11655" t="inlineStr">
        <is>
          <t>17/03/2026</t>
        </is>
      </c>
      <c r="J11655" t="inlineStr">
        <is>
          <t>Ngành khác, Tài chính / Đầu tư</t>
        </is>
      </c>
      <c r="K11655" t="inlineStr">
        <is>
          <t>5 - 10 Năm</t>
        </is>
      </c>
      <c r="L11655" s="8">
        <f>HYPERLINK("https://careerviet.vn/vi/tim-viec-lam/trung-tam-fdi-mien-nam-giam-doc-quan-he-khach-hang-fdi.35C69DE0.html","Xem chi tiết")</f>
        <v/>
      </c>
    </row>
    <row r="11656">
      <c r="B11656" s="9" t="n">
        <v>11654</v>
      </c>
      <c r="C11656" s="10" t="inlineStr">
        <is>
          <t>Senior Manager Trade Planner</t>
        </is>
      </c>
      <c r="D11656" s="10" t="inlineStr">
        <is>
          <t>Concung.com - Con Cung Joint Stock Company</t>
        </is>
      </c>
      <c r="E11656" s="10" t="inlineStr">
        <is>
          <t>Lương:Cạnh tranh</t>
        </is>
      </c>
      <c r="F11656" s="10" t="inlineStr">
        <is>
          <t>Hồ Chí Minh</t>
        </is>
      </c>
      <c r="G11656" s="10" t="inlineStr">
        <is>
          <t>31-03-2026</t>
        </is>
      </c>
      <c r="H11656" s="10" t="inlineStr">
        <is>
          <t>31/03/2026</t>
        </is>
      </c>
      <c r="I11656" s="10" t="inlineStr">
        <is>
          <t>17/03/2026</t>
        </is>
      </c>
      <c r="J11656" s="10" t="inlineStr">
        <is>
          <t>Tiếp thị / Marketing, Bán hàng / Kinh doanh, Tài chính / Đầu tư</t>
        </is>
      </c>
      <c r="K11656" s="10" t="inlineStr">
        <is>
          <t>Trên 6 Năm</t>
        </is>
      </c>
      <c r="L11656" s="11">
        <f>HYPERLINK("https://careerviet.vn/vi/tim-viec-lam/senior-manager-trade-planner.35C69D5D.html","Xem chi tiết")</f>
        <v/>
      </c>
      <c r="M11656" s="10" t="n"/>
    </row>
    <row r="11657">
      <c r="B11657" s="7" t="n">
        <v>11655</v>
      </c>
      <c r="C11657" t="inlineStr">
        <is>
          <t>Kỹ sư Shopdrawing</t>
        </is>
      </c>
      <c r="D11657" t="inlineStr">
        <is>
          <t>CÔNG TY CỔ PHẦN TẬP ĐOÀN GDC</t>
        </is>
      </c>
      <c r="E11657" t="inlineStr">
        <is>
          <t>Lương:18 Tr - 27 Tr VND</t>
        </is>
      </c>
      <c r="F11657" t="inlineStr">
        <is>
          <t>Hải DươngDak LakHải Phòng</t>
        </is>
      </c>
      <c r="G11657" t="inlineStr">
        <is>
          <t>27-03-2026</t>
        </is>
      </c>
      <c r="H11657" t="inlineStr">
        <is>
          <t>27/03/2026</t>
        </is>
      </c>
      <c r="I11657" t="inlineStr">
        <is>
          <t>17/03/2026</t>
        </is>
      </c>
      <c r="J11657" t="inlineStr">
        <is>
          <t>Xây dựng, Kiến trúc</t>
        </is>
      </c>
      <c r="K11657" t="inlineStr">
        <is>
          <t>1 - 15 Năm</t>
        </is>
      </c>
      <c r="L11657" s="8">
        <f>HYPERLINK("https://careerviet.vn/vi/tim-viec-lam/ky-su-shopdrawing.35C69EF0.html","Xem chi tiết")</f>
        <v/>
      </c>
    </row>
    <row r="11658">
      <c r="B11658" s="9" t="n">
        <v>11656</v>
      </c>
      <c r="C11658" s="10" t="inlineStr">
        <is>
          <t>Trưởng nhóm Marketing</t>
        </is>
      </c>
      <c r="D11658" s="10" t="inlineStr">
        <is>
          <t>Xuân Cầu Holdings</t>
        </is>
      </c>
      <c r="E11658" s="10" t="inlineStr">
        <is>
          <t>Lương:25 Tr - 30 Tr VND</t>
        </is>
      </c>
      <c r="F11658" s="10" t="inlineStr">
        <is>
          <t>Hà Nội</t>
        </is>
      </c>
      <c r="G11658" s="10" t="inlineStr">
        <is>
          <t>31-03-2026</t>
        </is>
      </c>
      <c r="H11658" s="10" t="inlineStr">
        <is>
          <t>31/03/2026</t>
        </is>
      </c>
      <c r="I11658" s="10" t="inlineStr">
        <is>
          <t>17/03/2026</t>
        </is>
      </c>
      <c r="J11658" s="10" t="inlineStr">
        <is>
          <t>Tiếp thị / Marketing</t>
        </is>
      </c>
      <c r="K11658" s="10" t="inlineStr">
        <is>
          <t>3 - 10 Năm</t>
        </is>
      </c>
      <c r="L11658" s="11">
        <f>HYPERLINK("https://careerviet.vn/vi/tim-viec-lam/truong-nhom-marketing.35C6A0A3.html","Xem chi tiết")</f>
        <v/>
      </c>
      <c r="M11658" s="10" t="n"/>
    </row>
    <row r="11659">
      <c r="B11659" s="7" t="n">
        <v>11657</v>
      </c>
      <c r="C11659" t="inlineStr">
        <is>
          <t>Nhân viên Kho</t>
        </is>
      </c>
      <c r="D11659" t="inlineStr">
        <is>
          <t>CÔNG TY CỔ PHẦN THƯƠNG MẠI DỊCH VỤ AN ĐẠI DƯƠNG</t>
        </is>
      </c>
      <c r="E11659" t="inlineStr">
        <is>
          <t>Lương:9 Tr - 12 Tr VND</t>
        </is>
      </c>
      <c r="F11659" t="inlineStr">
        <is>
          <t>Ninh Bình</t>
        </is>
      </c>
      <c r="G11659" t="inlineStr">
        <is>
          <t>31-03-2026</t>
        </is>
      </c>
      <c r="H11659" t="inlineStr">
        <is>
          <t>31/03/2026</t>
        </is>
      </c>
      <c r="I11659" t="inlineStr">
        <is>
          <t>17/03/2026</t>
        </is>
      </c>
      <c r="J11659" t="inlineStr">
        <is>
          <t>Vận chuyển / Giao nhận / Kho vận</t>
        </is>
      </c>
      <c r="K11659" t="inlineStr">
        <is>
          <t>Chưa có kinh nghiệm</t>
        </is>
      </c>
      <c r="L11659" s="8">
        <f>HYPERLINK("https://careerviet.vn/vi/tim-viec-lam/nhan-vien-kho.35C69EEF.html","Xem chi tiết")</f>
        <v/>
      </c>
    </row>
    <row r="11660">
      <c r="B11660" s="9" t="n">
        <v>11658</v>
      </c>
      <c r="C11660" s="10" t="inlineStr">
        <is>
          <t>South - Area Manager ETC</t>
        </is>
      </c>
      <c r="D11660" s="10" t="inlineStr">
        <is>
          <t>Mega Lifesciences (Vietnam)</t>
        </is>
      </c>
      <c r="E11660" s="10" t="inlineStr">
        <is>
          <t>Lương:Cạnh tranh</t>
        </is>
      </c>
      <c r="F11660" s="10" t="inlineStr">
        <is>
          <t>Hồ Chí Minh</t>
        </is>
      </c>
      <c r="G11660" s="10" t="inlineStr">
        <is>
          <t>26-03-2026</t>
        </is>
      </c>
      <c r="H11660" s="10" t="inlineStr">
        <is>
          <t>26/03/2026</t>
        </is>
      </c>
      <c r="I11660" s="10" t="inlineStr">
        <is>
          <t>17/03/2026</t>
        </is>
      </c>
      <c r="J11660" s="10" t="inlineStr">
        <is>
          <t>Y tế / Chăm sóc sức khỏe / Thẩm mỹ / Làm đẹp, Dược phẩm/ Hóa Mỹ Phẩm, Bán hàng / Kinh doanh</t>
        </is>
      </c>
      <c r="K11660" s="10" t="inlineStr">
        <is>
          <t>1 - 5 Năm</t>
        </is>
      </c>
      <c r="L11660" s="11">
        <f>HYPERLINK("https://careerviet.vn/vi/tim-viec-lam/south-area-manager-etc.35C69CC4.html","Xem chi tiết")</f>
        <v/>
      </c>
      <c r="M11660" s="10" t="n"/>
    </row>
    <row r="11661">
      <c r="B11661" s="7" t="n">
        <v>11659</v>
      </c>
      <c r="C11661" t="inlineStr">
        <is>
          <t>Kế toán thanh toán - Alphanam Group</t>
        </is>
      </c>
      <c r="D11661" t="inlineStr">
        <is>
          <t>Alphanam Group</t>
        </is>
      </c>
      <c r="E11661" t="inlineStr">
        <is>
          <t>Lương:Cạnh tranh</t>
        </is>
      </c>
      <c r="F11661" t="inlineStr">
        <is>
          <t>Hà Nội</t>
        </is>
      </c>
      <c r="G11661" t="inlineStr">
        <is>
          <t>29-03-2026</t>
        </is>
      </c>
      <c r="H11661" t="inlineStr">
        <is>
          <t>29/03/2026</t>
        </is>
      </c>
      <c r="I11661" t="inlineStr">
        <is>
          <t>17/03/2026</t>
        </is>
      </c>
      <c r="J11661" t="inlineStr">
        <is>
          <t>Kế toán / Kiểm toán</t>
        </is>
      </c>
      <c r="K11661" t="inlineStr">
        <is>
          <t>3 - 5 Năm</t>
        </is>
      </c>
      <c r="L11661" s="8">
        <f>HYPERLINK("https://careerviet.vn/vi/tim-viec-lam/ke-toan-thanh-toan-alphanam-group.35C69D8B.html","Xem chi tiết")</f>
        <v/>
      </c>
    </row>
    <row r="11662">
      <c r="B11662" s="9" t="n">
        <v>11660</v>
      </c>
      <c r="C11662" s="10" t="inlineStr">
        <is>
          <t>Nhân viên kỹ thuật giác sơ đồ</t>
        </is>
      </c>
      <c r="D11662" s="10" t="inlineStr">
        <is>
          <t>Công ty Cổ phần Đồng phục Phương Thảo</t>
        </is>
      </c>
      <c r="E11662" s="10" t="inlineStr">
        <is>
          <t>Lương:12 Tr - 18 Tr VND</t>
        </is>
      </c>
      <c r="F11662" s="10" t="inlineStr">
        <is>
          <t>Hà Nội</t>
        </is>
      </c>
      <c r="G11662" s="10" t="inlineStr">
        <is>
          <t>31-03-2026</t>
        </is>
      </c>
      <c r="H11662" s="10" t="inlineStr">
        <is>
          <t>31/03/2026</t>
        </is>
      </c>
      <c r="I11662" s="10" t="inlineStr">
        <is>
          <t>17/03/2026</t>
        </is>
      </c>
      <c r="J11662" s="10" t="inlineStr">
        <is>
          <t>Dệt may / Da giày / Thời trang</t>
        </is>
      </c>
      <c r="K11662" s="10" t="inlineStr">
        <is>
          <t>2 - 3 Năm</t>
        </is>
      </c>
      <c r="L11662" s="11">
        <f>HYPERLINK("https://careerviet.vn/vi/tim-viec-lam/nhan-vien-ky-thuat-giac-so-do.35C6A0B1.html","Xem chi tiết")</f>
        <v/>
      </c>
      <c r="M11662" s="10" t="n"/>
    </row>
    <row r="11663">
      <c r="B11663" s="7" t="n">
        <v>11661</v>
      </c>
      <c r="C11663" t="inlineStr">
        <is>
          <t>Graphic Designer &amp; Video Editor</t>
        </is>
      </c>
      <c r="D11663" t="inlineStr">
        <is>
          <t>Wanek Furniture</t>
        </is>
      </c>
      <c r="E11663" t="inlineStr">
        <is>
          <t>Lương:Cạnh tranh</t>
        </is>
      </c>
      <c r="F11663" t="inlineStr">
        <is>
          <t>Bình Dương</t>
        </is>
      </c>
      <c r="G11663" t="inlineStr">
        <is>
          <t>28-03-2026</t>
        </is>
      </c>
      <c r="H11663" t="inlineStr">
        <is>
          <t>28/03/2026</t>
        </is>
      </c>
      <c r="I11663" t="inlineStr">
        <is>
          <t>17/03/2026</t>
        </is>
      </c>
      <c r="J11663" t="inlineStr">
        <is>
          <t>Mỹ thuật / Nghệ thuật / Thiết kế, Quảng cáo / Đối ngoại / Truyền Thông, Tổ chức sự kiện</t>
        </is>
      </c>
      <c r="K11663" t="inlineStr">
        <is>
          <t>2 - 3 Năm</t>
        </is>
      </c>
      <c r="L11663" s="8">
        <f>HYPERLINK("https://careerviet.vn/vi/tim-viec-lam/graphic-designer-video-editor.35C69A38.html","Xem chi tiết")</f>
        <v/>
      </c>
    </row>
    <row r="11664">
      <c r="B11664" s="9" t="n">
        <v>11662</v>
      </c>
      <c r="C11664" s="10" t="inlineStr">
        <is>
          <t>Nhân viên Telemarketing/Telesale Khóa học  (Tân Phú)</t>
        </is>
      </c>
      <c r="D11664" s="10" t="inlineStr">
        <is>
          <t>Cổ Phần Quốc Tế Anh Văn Hội Việt Mỹ (VUS)</t>
        </is>
      </c>
      <c r="E11664" s="10" t="inlineStr">
        <is>
          <t>Lương:7 Tr - 10 Tr VND</t>
        </is>
      </c>
      <c r="F11664" s="10" t="inlineStr">
        <is>
          <t>Hồ Chí Minh</t>
        </is>
      </c>
      <c r="G11664" s="10" t="inlineStr">
        <is>
          <t>3</t>
        </is>
      </c>
      <c r="H11664" s="10" t="inlineStr">
        <is>
          <t>20/03/2026</t>
        </is>
      </c>
      <c r="I11664" s="10" t="inlineStr">
        <is>
          <t>17/03/2026</t>
        </is>
      </c>
      <c r="J11664" s="10" t="inlineStr">
        <is>
          <t>Tiếp thị / Marketing, Bán hàng / Kinh doanh, Giáo dục / Đào tạo</t>
        </is>
      </c>
      <c r="K11664" s="10" t="inlineStr">
        <is>
          <t>N/A</t>
        </is>
      </c>
      <c r="L11664" s="11">
        <f>HYPERLINK("https://careerviet.vn/vi/tim-viec-lam/nhan-vien-telemarketing-telesale-khoa-hoc-tan-phu.35C69F17.html","Xem chi tiết")</f>
        <v/>
      </c>
      <c r="M11664" s="10" t="n"/>
    </row>
    <row r="11665">
      <c r="B11665" s="7" t="n">
        <v>11663</v>
      </c>
      <c r="C11665" t="inlineStr">
        <is>
          <t>Nhân Viên Lập Trình Máy CNC</t>
        </is>
      </c>
      <c r="D11665" t="inlineStr">
        <is>
          <t>Công Ty TNHH Khuôn Mẫu Chính Xác DK</t>
        </is>
      </c>
      <c r="E11665" t="inlineStr">
        <is>
          <t>Lương:Cạnh tranh</t>
        </is>
      </c>
      <c r="F11665" t="inlineStr">
        <is>
          <t>Bình Dương</t>
        </is>
      </c>
      <c r="G11665" t="inlineStr">
        <is>
          <t>31-03-2026</t>
        </is>
      </c>
      <c r="H11665" t="inlineStr">
        <is>
          <t>31/03/2026</t>
        </is>
      </c>
      <c r="I11665" t="inlineStr">
        <is>
          <t>17/03/2026</t>
        </is>
      </c>
      <c r="J11665" t="inlineStr">
        <is>
          <t>Cơ khí / Ô tô / Tự động hóa</t>
        </is>
      </c>
      <c r="K11665" t="inlineStr">
        <is>
          <t>1 - 3 Năm</t>
        </is>
      </c>
      <c r="L11665" s="8">
        <f>HYPERLINK("https://careerviet.vn/vi/tim-viec-lam/nhan-vien-lap-trinh-may-cnc.35C38FD6.html","Xem chi tiết")</f>
        <v/>
      </c>
    </row>
    <row r="11666">
      <c r="B11666" s="9" t="n">
        <v>11664</v>
      </c>
      <c r="C11666" s="10" t="inlineStr">
        <is>
          <t>Chuyên viên tài chính</t>
        </is>
      </c>
      <c r="D11666" s="10" t="inlineStr">
        <is>
          <t>Tập Đoàn Lộc Trời</t>
        </is>
      </c>
      <c r="E11666" s="10" t="inlineStr">
        <is>
          <t>Lương:Cạnh tranh</t>
        </is>
      </c>
      <c r="F11666" s="10" t="inlineStr">
        <is>
          <t>Hồ Chí Minh</t>
        </is>
      </c>
      <c r="G11666" s="10" t="inlineStr">
        <is>
          <t>27-03-2026</t>
        </is>
      </c>
      <c r="H11666" s="10" t="inlineStr">
        <is>
          <t>27/03/2026</t>
        </is>
      </c>
      <c r="I11666" s="10" t="inlineStr">
        <is>
          <t>17/03/2026</t>
        </is>
      </c>
      <c r="J11666" s="10" t="inlineStr">
        <is>
          <t>Tài chính / Đầu tư, Kế toán / Kiểm toán, Thống kê</t>
        </is>
      </c>
      <c r="K11666" s="10" t="inlineStr">
        <is>
          <t>2 Năm</t>
        </is>
      </c>
      <c r="L11666" s="11">
        <f>HYPERLINK("https://careerviet.vn/vi/tim-viec-lam/chuyen-vien-tai-chinh.35C6A058.html","Xem chi tiết")</f>
        <v/>
      </c>
      <c r="M11666" s="10" t="n"/>
    </row>
    <row r="11667">
      <c r="B11667" s="7" t="n">
        <v>11665</v>
      </c>
      <c r="C11667" t="inlineStr">
        <is>
          <t>KIẾN TRÚC SƯ CHỦ TRÌ [XHOME SG]</t>
        </is>
      </c>
      <c r="D11667" t="inlineStr">
        <is>
          <t>Công ty CP XHOME Việt Nam</t>
        </is>
      </c>
      <c r="E11667" t="inlineStr">
        <is>
          <t>Lương:30 Tr - 50 Tr VND</t>
        </is>
      </c>
      <c r="F11667" t="inlineStr">
        <is>
          <t>Hồ Chí Minh</t>
        </is>
      </c>
      <c r="G11667" t="inlineStr">
        <is>
          <t>30-03-2026</t>
        </is>
      </c>
      <c r="H11667" t="inlineStr">
        <is>
          <t>30/03/2026</t>
        </is>
      </c>
      <c r="I11667" t="inlineStr">
        <is>
          <t>17/03/2026</t>
        </is>
      </c>
      <c r="J11667" t="inlineStr">
        <is>
          <t>Kiến trúc, Xây dựng, Nội ngoại thất</t>
        </is>
      </c>
      <c r="K11667" t="inlineStr">
        <is>
          <t>5 - 6 Năm</t>
        </is>
      </c>
      <c r="L11667" s="8">
        <f>HYPERLINK("https://careerviet.vn/vi/tim-viec-lam/kien-truc-su-chu-tri-xhome-sg.35C69FFA.html","Xem chi tiết")</f>
        <v/>
      </c>
    </row>
    <row r="11668">
      <c r="B11668" s="9" t="n">
        <v>11666</v>
      </c>
      <c r="C11668" s="10" t="inlineStr">
        <is>
          <t>Chuyên Viên Marketing</t>
        </is>
      </c>
      <c r="D11668" s="10" t="inlineStr">
        <is>
          <t>Công ty Cổ phần Thiết bị và Giải pháp cơ khí Automech</t>
        </is>
      </c>
      <c r="E11668" s="10" t="inlineStr">
        <is>
          <t>Lương:Trên 12 Tr VND</t>
        </is>
      </c>
      <c r="F11668" s="10" t="inlineStr">
        <is>
          <t>Hà Nội</t>
        </is>
      </c>
      <c r="G11668" s="10" t="inlineStr">
        <is>
          <t>27-03-2026</t>
        </is>
      </c>
      <c r="H11668" s="10" t="inlineStr">
        <is>
          <t>27/03/2026</t>
        </is>
      </c>
      <c r="I11668" s="10" t="inlineStr">
        <is>
          <t>17/03/2026</t>
        </is>
      </c>
      <c r="J11668" s="10" t="inlineStr">
        <is>
          <t>Tiếp thị / Marketing, Quảng cáo / Đối ngoại / Truyền Thông, Tiếp thị trực tuyến</t>
        </is>
      </c>
      <c r="K11668" s="10" t="inlineStr">
        <is>
          <t>Trên 1 Năm</t>
        </is>
      </c>
      <c r="L11668" s="11">
        <f>HYPERLINK("https://careerviet.vn/vi/tim-viec-lam/chuyen-vien-marketing.35C69DEB.html","Xem chi tiết")</f>
        <v/>
      </c>
      <c r="M11668" s="10" t="n"/>
    </row>
    <row r="11669">
      <c r="B11669" s="7" t="n">
        <v>11667</v>
      </c>
      <c r="C11669" t="inlineStr">
        <is>
          <t>Nhân Viên Cắm Hoa - Hợp đồng 6 tháng</t>
        </is>
      </c>
      <c r="D11669" t="inlineStr">
        <is>
          <t>Dalat Hasfarm</t>
        </is>
      </c>
      <c r="E11669" t="inlineStr">
        <is>
          <t>Lương:10 Tr - 12 Tr VND</t>
        </is>
      </c>
      <c r="F11669" t="inlineStr">
        <is>
          <t>Đà Nẵng</t>
        </is>
      </c>
      <c r="G11669" t="inlineStr">
        <is>
          <t>27-03-2026</t>
        </is>
      </c>
      <c r="H11669" t="inlineStr">
        <is>
          <t>27/03/2026</t>
        </is>
      </c>
      <c r="I11669" t="inlineStr">
        <is>
          <t>17/03/2026</t>
        </is>
      </c>
      <c r="J11669" t="inlineStr">
        <is>
          <t>Mỹ thuật / Nghệ thuật / Thiết kế</t>
        </is>
      </c>
      <c r="K11669" t="inlineStr">
        <is>
          <t>1 - 2 Năm</t>
        </is>
      </c>
      <c r="L11669" s="8">
        <f>HYPERLINK("https://careerviet.vn/vi/tim-viec-lam/nhan-vien-cam-hoa-hop-dong-6-thang.35C69D25.html","Xem chi tiết")</f>
        <v/>
      </c>
    </row>
    <row r="11670">
      <c r="B11670" s="9" t="n">
        <v>11668</v>
      </c>
      <c r="C11670" s="10" t="inlineStr">
        <is>
          <t>Nhân viên kế toán thuế</t>
        </is>
      </c>
      <c r="D11670" s="10" t="inlineStr">
        <is>
          <t>CÔNG TY CỔ PHẦN PHÁT TRIỂN CƠ ĐIỆN LẠNH HOÀNG ĐẠT</t>
        </is>
      </c>
      <c r="E11670" s="10" t="inlineStr">
        <is>
          <t>Lương:12 Tr - 15 Tr VND</t>
        </is>
      </c>
      <c r="F11670" s="10" t="inlineStr">
        <is>
          <t>Hà Nội</t>
        </is>
      </c>
      <c r="G11670" s="10" t="inlineStr">
        <is>
          <t>31-03-2026</t>
        </is>
      </c>
      <c r="H11670" s="10" t="inlineStr">
        <is>
          <t>31/03/2026</t>
        </is>
      </c>
      <c r="I11670" s="10" t="inlineStr">
        <is>
          <t>17/03/2026</t>
        </is>
      </c>
      <c r="J11670" s="10" t="inlineStr">
        <is>
          <t>Kế toán / Kiểm toán</t>
        </is>
      </c>
      <c r="K11670" s="10" t="inlineStr">
        <is>
          <t>1 - 2 Năm</t>
        </is>
      </c>
      <c r="L11670" s="11">
        <f>HYPERLINK("https://careerviet.vn/vi/tim-viec-lam/nhan-vien-ke-toan-thue.35C6A106.html","Xem chi tiết")</f>
        <v/>
      </c>
      <c r="M11670" s="10" t="n"/>
    </row>
    <row r="11671">
      <c r="B11671" s="7" t="n">
        <v>11669</v>
      </c>
      <c r="C11671" t="inlineStr">
        <is>
          <t>[NSG] Nhân viên Tổ chức Thu hút Nhân tài (TA support)</t>
        </is>
      </c>
      <c r="D11671" t="inlineStr">
        <is>
          <t>Nova Service Group - Công ty Cổ phần Tập đoàn Nova Services</t>
        </is>
      </c>
      <c r="E11671" t="inlineStr">
        <is>
          <t>Lương:10 Tr - 17 Tr VND</t>
        </is>
      </c>
      <c r="F11671" t="inlineStr">
        <is>
          <t>Hồ Chí Minh</t>
        </is>
      </c>
      <c r="G11671" t="inlineStr">
        <is>
          <t>27-03-2026</t>
        </is>
      </c>
      <c r="H11671" t="inlineStr">
        <is>
          <t>27/03/2026</t>
        </is>
      </c>
      <c r="I11671" t="inlineStr">
        <is>
          <t>17/03/2026</t>
        </is>
      </c>
      <c r="J11671" t="inlineStr">
        <is>
          <t>Hành chính / Thư ký, Nhân sự</t>
        </is>
      </c>
      <c r="K11671" t="inlineStr">
        <is>
          <t>3 - 5 Năm</t>
        </is>
      </c>
      <c r="L11671" s="8">
        <f>HYPERLINK("https://careerviet.vn/vi/tim-viec-lam/nsg-nhan-vien-to-chuc-thu-hut-nhan-tai-ta-support.35C6A061.html","Xem chi tiết")</f>
        <v/>
      </c>
    </row>
    <row r="11672">
      <c r="B11672" s="9" t="n">
        <v>11670</v>
      </c>
      <c r="C11672" s="10" t="inlineStr">
        <is>
          <t>Chuyên viên Tiếp thị và Khách hàng Doanh nghiệp - Chi nhánh Hà Nội</t>
        </is>
      </c>
      <c r="D11672" s="10" t="inlineStr">
        <is>
          <t>Indovina Bank Ltd.</t>
        </is>
      </c>
      <c r="E11672" s="10" t="inlineStr">
        <is>
          <t>Lương:Cạnh tranh</t>
        </is>
      </c>
      <c r="F11672" s="10" t="inlineStr">
        <is>
          <t>Hà Nội</t>
        </is>
      </c>
      <c r="G11672" s="10" t="inlineStr">
        <is>
          <t>31-03-2026</t>
        </is>
      </c>
      <c r="H11672" s="10" t="inlineStr">
        <is>
          <t>31/03/2026</t>
        </is>
      </c>
      <c r="I11672" s="10" t="inlineStr">
        <is>
          <t>17/03/2026</t>
        </is>
      </c>
      <c r="J11672" s="10" t="inlineStr">
        <is>
          <t>Bán hàng / Kinh doanh, Ngân hàng, Tài chính / Đầu tư</t>
        </is>
      </c>
      <c r="K11672" s="10" t="inlineStr">
        <is>
          <t>1 - 2 Năm</t>
        </is>
      </c>
      <c r="L11672" s="11">
        <f>HYPERLINK("https://careerviet.vn/vi/tim-viec-lam/chuyen-vien-tiep-thi-va-khach-hang-doanh-nghiep-chi-nhanh-ha-noi.35C69EFD.html","Xem chi tiết")</f>
        <v/>
      </c>
      <c r="M11672" s="10" t="n"/>
    </row>
    <row r="11673">
      <c r="B11673" s="7" t="n">
        <v>11671</v>
      </c>
      <c r="C11673" t="inlineStr">
        <is>
          <t>Senior CRM Specialist</t>
        </is>
      </c>
      <c r="D11673" t="inlineStr">
        <is>
          <t>Công ty Cổ phần Sữa VitaDairy Việt Nam</t>
        </is>
      </c>
      <c r="E11673" t="inlineStr">
        <is>
          <t>Lương:Cạnh tranh</t>
        </is>
      </c>
      <c r="F11673" t="inlineStr">
        <is>
          <t>Hồ Chí Minh</t>
        </is>
      </c>
      <c r="G11673" t="inlineStr">
        <is>
          <t>3</t>
        </is>
      </c>
      <c r="H11673" t="inlineStr">
        <is>
          <t>20/03/2026</t>
        </is>
      </c>
      <c r="I11673" t="inlineStr">
        <is>
          <t>17/03/2026</t>
        </is>
      </c>
      <c r="J11673" t="inlineStr">
        <is>
          <t>Tiếp thị / Marketing, Dịch vụ khách hàng, CNTT - Phần mềm</t>
        </is>
      </c>
      <c r="K11673" t="inlineStr">
        <is>
          <t>2 - 3 Năm</t>
        </is>
      </c>
      <c r="L11673" s="8">
        <f>HYPERLINK("https://careerviet.vn/vi/tim-viec-lam/senior-crm-specialist.35C69EF2.html","Xem chi tiết")</f>
        <v/>
      </c>
    </row>
    <row r="11674">
      <c r="B11674" s="9" t="n">
        <v>11672</v>
      </c>
      <c r="C11674" s="10" t="inlineStr">
        <is>
          <t>Chuyên viên chính Kế toán nội bộ</t>
        </is>
      </c>
      <c r="D11674" s="10" t="inlineStr">
        <is>
          <t>Ngân hàng TMCP Thịnh vượng và Phát triển - PGBank</t>
        </is>
      </c>
      <c r="E11674" s="10" t="inlineStr">
        <is>
          <t>Lương:10 Tr - 25 Tr VND</t>
        </is>
      </c>
      <c r="F11674" s="10" t="inlineStr">
        <is>
          <t>Hà Nội</t>
        </is>
      </c>
      <c r="G11674" s="10" t="inlineStr">
        <is>
          <t>31-03-2026</t>
        </is>
      </c>
      <c r="H11674" s="10" t="inlineStr">
        <is>
          <t>31/03/2026</t>
        </is>
      </c>
      <c r="I11674" s="10" t="inlineStr">
        <is>
          <t>17/03/2026</t>
        </is>
      </c>
      <c r="J11674" s="10" t="inlineStr">
        <is>
          <t>Ngân hàng, Kế toán / Kiểm toán</t>
        </is>
      </c>
      <c r="K11674" s="10" t="inlineStr">
        <is>
          <t>N/A</t>
        </is>
      </c>
      <c r="L11674" s="11">
        <f>HYPERLINK("https://careerviet.vn/vi/tim-viec-lam/chuyen-vien-chinh-ke-toan-noi-bo.35C69F33.html","Xem chi tiết")</f>
        <v/>
      </c>
      <c r="M11674" s="10" t="n"/>
    </row>
    <row r="11675">
      <c r="B11675" s="7" t="n">
        <v>11673</v>
      </c>
      <c r="C11675" t="inlineStr">
        <is>
          <t>Operations Director (Manufacturing &amp; Supply Chain)</t>
        </is>
      </c>
      <c r="D11675" t="inlineStr">
        <is>
          <t>CÔNG TY TNHH SX TM DV ĐẶNG GIA TRANG</t>
        </is>
      </c>
      <c r="E11675" t="inlineStr">
        <is>
          <t>Lương:Cạnh tranh</t>
        </is>
      </c>
      <c r="F11675" t="inlineStr">
        <is>
          <t>Hồ Chí Minh</t>
        </is>
      </c>
      <c r="G11675" t="inlineStr">
        <is>
          <t>26-03-2026</t>
        </is>
      </c>
      <c r="H11675" t="inlineStr">
        <is>
          <t>26/03/2026</t>
        </is>
      </c>
      <c r="I11675" t="inlineStr">
        <is>
          <t>17/03/2026</t>
        </is>
      </c>
      <c r="J11675" t="inlineStr">
        <is>
          <t>Sản xuất / Vận hành sản xuất</t>
        </is>
      </c>
      <c r="K11675" t="inlineStr">
        <is>
          <t>Trên 3 Năm</t>
        </is>
      </c>
      <c r="L11675" s="8">
        <f>HYPERLINK("https://careerviet.vn/vi/tim-viec-lam/operations-director-manufacturing-supply-chain.35C69C06.html","Xem chi tiết")</f>
        <v/>
      </c>
    </row>
    <row r="11676">
      <c r="B11676" s="9" t="n">
        <v>11674</v>
      </c>
      <c r="C11676" s="10" t="inlineStr">
        <is>
          <t>Sales Manager</t>
        </is>
      </c>
      <c r="D11676" s="10" t="inlineStr">
        <is>
          <t>CÔNG TY CỔ PHẦN NISO</t>
        </is>
      </c>
      <c r="E11676" s="10" t="inlineStr">
        <is>
          <t>Lương:30 Tr - 40 Tr VND</t>
        </is>
      </c>
      <c r="F11676" s="10" t="inlineStr">
        <is>
          <t>Hồ Chí Minh</t>
        </is>
      </c>
      <c r="G11676" s="10" t="inlineStr">
        <is>
          <t>27-03-2026</t>
        </is>
      </c>
      <c r="H11676" s="10" t="inlineStr">
        <is>
          <t>27/03/2026</t>
        </is>
      </c>
      <c r="I11676" s="10" t="inlineStr">
        <is>
          <t>17/03/2026</t>
        </is>
      </c>
      <c r="J11676" s="10" t="inlineStr">
        <is>
          <t>Bán lẻ / Bán sỉ, Bán hàng / Kinh doanh, Thực phẩm &amp; Đồ uống</t>
        </is>
      </c>
      <c r="K11676" s="10" t="inlineStr">
        <is>
          <t>3 - 5 Năm</t>
        </is>
      </c>
      <c r="L11676" s="11">
        <f>HYPERLINK("https://careerviet.vn/vi/tim-viec-lam/sales-manager.35C69DB7.html","Xem chi tiết")</f>
        <v/>
      </c>
      <c r="M11676" s="10" t="n"/>
    </row>
    <row r="11677">
      <c r="B11677" s="7" t="n">
        <v>11675</v>
      </c>
      <c r="C11677" t="inlineStr">
        <is>
          <t>[Cần Thơ]_Chuyên viên / Chuyên viên Cao cấp Xử lý nợ</t>
        </is>
      </c>
      <c r="D11677" t="inlineStr">
        <is>
          <t>Ngân hàng TMCP Phát triển TP.HCM (HDBank)</t>
        </is>
      </c>
      <c r="E11677" t="inlineStr">
        <is>
          <t>Lương:20 Tr - 28 Tr VND</t>
        </is>
      </c>
      <c r="F11677" t="inlineStr">
        <is>
          <t>Cần Thơ</t>
        </is>
      </c>
      <c r="G11677" t="inlineStr">
        <is>
          <t>31-03-2026</t>
        </is>
      </c>
      <c r="H11677" t="inlineStr">
        <is>
          <t>31/03/2026</t>
        </is>
      </c>
      <c r="I11677" t="inlineStr">
        <is>
          <t>17/03/2026</t>
        </is>
      </c>
      <c r="J11677" t="inlineStr">
        <is>
          <t>Luật / Pháp lý, Ngân hàng, Tài chính / Đầu tư</t>
        </is>
      </c>
      <c r="K11677" t="inlineStr">
        <is>
          <t>2 - 8 Năm</t>
        </is>
      </c>
      <c r="L11677" s="8">
        <f>HYPERLINK("https://careerviet.vn/vi/tim-viec-lam/can-tho-_chuyen-vien-chuyen-vien-cao-cap-xu-ly-no.35C69FF9.html","Xem chi tiết")</f>
        <v/>
      </c>
    </row>
    <row r="11678">
      <c r="B11678" s="9" t="n">
        <v>11676</v>
      </c>
      <c r="C11678" s="10" t="inlineStr">
        <is>
          <t>CS Executive</t>
        </is>
      </c>
      <c r="D11678" s="10" t="inlineStr">
        <is>
          <t>Công ty TNHH Gardenline International (VN)</t>
        </is>
      </c>
      <c r="E11678" s="10" t="inlineStr">
        <is>
          <t>Lương:Cạnh tranh</t>
        </is>
      </c>
      <c r="F11678" s="10" t="inlineStr">
        <is>
          <t>Hồ Chí Minh</t>
        </is>
      </c>
      <c r="G11678" s="10" t="inlineStr">
        <is>
          <t>31-03-2026</t>
        </is>
      </c>
      <c r="H11678" s="10" t="inlineStr">
        <is>
          <t>31/03/2026</t>
        </is>
      </c>
      <c r="I11678" s="10" t="inlineStr">
        <is>
          <t>17/03/2026</t>
        </is>
      </c>
      <c r="J11678" s="10" t="inlineStr">
        <is>
          <t>Bán hàng / Kinh doanh, Dịch vụ khách hàng, Đồ gỗ</t>
        </is>
      </c>
      <c r="K11678" s="10" t="inlineStr">
        <is>
          <t>3 - 5 Năm</t>
        </is>
      </c>
      <c r="L11678" s="11">
        <f>HYPERLINK("https://careerviet.vn/vi/tim-viec-lam/cs-executive.35C69DC1.html","Xem chi tiết")</f>
        <v/>
      </c>
      <c r="M11678" s="10" t="n"/>
    </row>
    <row r="11679">
      <c r="B11679" s="7" t="n">
        <v>11677</v>
      </c>
      <c r="C11679" t="inlineStr">
        <is>
          <t>Giám đốc Ban Marketing</t>
        </is>
      </c>
      <c r="D11679" t="inlineStr">
        <is>
          <t>Công ty cổ phần Tập đoàn Danko</t>
        </is>
      </c>
      <c r="E11679" t="inlineStr">
        <is>
          <t>Lương:50 Tr - 80 Tr VND</t>
        </is>
      </c>
      <c r="F11679" t="inlineStr">
        <is>
          <t>Hà Nội</t>
        </is>
      </c>
      <c r="G11679" t="inlineStr">
        <is>
          <t>31-03-2026</t>
        </is>
      </c>
      <c r="H11679" t="inlineStr">
        <is>
          <t>31/03/2026</t>
        </is>
      </c>
      <c r="I11679" t="inlineStr">
        <is>
          <t>17/03/2026</t>
        </is>
      </c>
      <c r="J11679" t="inlineStr">
        <is>
          <t>Tiếp thị / Marketing, Bất động sản</t>
        </is>
      </c>
      <c r="K11679" t="inlineStr">
        <is>
          <t>Trên 10 Năm</t>
        </is>
      </c>
      <c r="L11679" s="8">
        <f>HYPERLINK("https://careerviet.vn/vi/tim-viec-lam/giam-doc-ban-marketing.35C69E44.html","Xem chi tiết")</f>
        <v/>
      </c>
    </row>
    <row r="11680">
      <c r="B11680" s="9" t="n">
        <v>11678</v>
      </c>
      <c r="C11680" s="10" t="inlineStr">
        <is>
          <t>Kế toán trưởng nhà máy</t>
        </is>
      </c>
      <c r="D11680" s="10" t="inlineStr">
        <is>
          <t>CÔNG TY CỔ PHẦN PHÁT TRIỂN CƠ ĐIỆN LẠNH HOÀNG ĐẠT</t>
        </is>
      </c>
      <c r="E11680" s="10" t="inlineStr">
        <is>
          <t>Lương:30 Tr - 40 Tr VND</t>
        </is>
      </c>
      <c r="F11680" s="10" t="inlineStr">
        <is>
          <t>Hà NộiBắc Ninh</t>
        </is>
      </c>
      <c r="G11680" s="10" t="inlineStr">
        <is>
          <t>31-03-2026</t>
        </is>
      </c>
      <c r="H11680" s="10" t="inlineStr">
        <is>
          <t>31/03/2026</t>
        </is>
      </c>
      <c r="I11680" s="10" t="inlineStr">
        <is>
          <t>17/03/2026</t>
        </is>
      </c>
      <c r="J11680" s="10" t="inlineStr">
        <is>
          <t>Kế toán / Kiểm toán</t>
        </is>
      </c>
      <c r="K11680" s="10" t="inlineStr">
        <is>
          <t>6 - 10 Năm</t>
        </is>
      </c>
      <c r="L11680" s="11">
        <f>HYPERLINK("https://careerviet.vn/vi/tim-viec-lam/ke-toan-truong-nha-may.35C6A10C.html","Xem chi tiết")</f>
        <v/>
      </c>
      <c r="M11680" s="10" t="n"/>
    </row>
    <row r="11681">
      <c r="B11681" s="7" t="n">
        <v>11679</v>
      </c>
      <c r="C11681" t="inlineStr">
        <is>
          <t>Nhân viên Kỹ thuật tòa nhà</t>
        </is>
      </c>
      <c r="D11681" t="inlineStr">
        <is>
          <t>CÔNG TY CỔ PHẦN DỊCH VỤ CIRCO</t>
        </is>
      </c>
      <c r="E11681" t="inlineStr">
        <is>
          <t>Lương:11 Tr - 13 Tr VND</t>
        </is>
      </c>
      <c r="F11681" t="inlineStr">
        <is>
          <t>Hồ Chí Minh</t>
        </is>
      </c>
      <c r="G11681" t="inlineStr">
        <is>
          <t>27-03-2026</t>
        </is>
      </c>
      <c r="H11681" t="inlineStr">
        <is>
          <t>27/03/2026</t>
        </is>
      </c>
      <c r="I11681" t="inlineStr">
        <is>
          <t>17/03/2026</t>
        </is>
      </c>
      <c r="J11681" t="inlineStr">
        <is>
          <t>Nhà hàng / Khách sạn, Điện / Điện tử / Điện lạnh / Điện công nghiệp, Bảo trì / Sửa chữa</t>
        </is>
      </c>
      <c r="K11681" t="inlineStr">
        <is>
          <t>1 - 2 Năm</t>
        </is>
      </c>
      <c r="L11681" s="8">
        <f>HYPERLINK("https://careerviet.vn/vi/tim-viec-lam/nhan-vien-ky-thuat-toa-nha.35C69EE7.html","Xem chi tiết")</f>
        <v/>
      </c>
    </row>
    <row r="11682">
      <c r="B11682" s="9" t="n">
        <v>11680</v>
      </c>
      <c r="C11682" s="10" t="inlineStr">
        <is>
          <t>Nhân Viên Chăm Sóc Khách Hàng  (Sales Admin)</t>
        </is>
      </c>
      <c r="D11682" s="10" t="inlineStr">
        <is>
          <t>Công ty TNHH Cơ Khí Xây Dựng Du Lịch Bách Tùng</t>
        </is>
      </c>
      <c r="E11682" s="10" t="inlineStr">
        <is>
          <t>Lương:10 Tr - 15 Tr VND</t>
        </is>
      </c>
      <c r="F11682" s="10" t="inlineStr">
        <is>
          <t>Bình DươngHồ Chí Minh</t>
        </is>
      </c>
      <c r="G11682" s="10" t="inlineStr">
        <is>
          <t>27-03-2026</t>
        </is>
      </c>
      <c r="H11682" s="10" t="inlineStr">
        <is>
          <t>27/03/2026</t>
        </is>
      </c>
      <c r="I11682" s="10" t="inlineStr">
        <is>
          <t>17/03/2026</t>
        </is>
      </c>
      <c r="J11682" s="10" t="inlineStr">
        <is>
          <t>Kế toán / Kiểm toán, Thống kê, Cơ khí / Ô tô / Tự động hóa</t>
        </is>
      </c>
      <c r="K11682" s="10" t="inlineStr">
        <is>
          <t>1 - 2 Năm</t>
        </is>
      </c>
      <c r="L11682" s="11">
        <f>HYPERLINK("https://careerviet.vn/vi/tim-viec-lam/nhan-vien-cham-soc-khach-hang-sales-admin.35C69EC4.html","Xem chi tiết")</f>
        <v/>
      </c>
      <c r="M11682" s="10" t="n"/>
    </row>
    <row r="11683">
      <c r="B11683" s="7" t="n">
        <v>11681</v>
      </c>
      <c r="C11683" t="inlineStr">
        <is>
          <t>Education Consultant</t>
        </is>
      </c>
      <c r="D11683" t="inlineStr">
        <is>
          <t>Công ty CP Công nghệ giáo dục Trường học trực tuyến (ONSCHOOL)</t>
        </is>
      </c>
      <c r="E11683" t="inlineStr">
        <is>
          <t>Lương:15 Tr - 30 Tr VND</t>
        </is>
      </c>
      <c r="F11683" t="inlineStr">
        <is>
          <t>Hà Nội</t>
        </is>
      </c>
      <c r="G11683" t="inlineStr">
        <is>
          <t>12-03-2026</t>
        </is>
      </c>
      <c r="H11683" t="inlineStr">
        <is>
          <t>08/03/2026</t>
        </is>
      </c>
      <c r="I11683" t="inlineStr">
        <is>
          <t>17/03/2026</t>
        </is>
      </c>
      <c r="J11683" t="inlineStr">
        <is>
          <t>Bán hàng / Kinh doanh, Tư vấn, Giáo dục / Đào tạo</t>
        </is>
      </c>
      <c r="K11683" t="inlineStr">
        <is>
          <t>Trên 1 Năm</t>
        </is>
      </c>
      <c r="L11683" s="8">
        <f>HYPERLINK("https://careerviet.vn/vi/tim-viec-lam/education-consultant.35C69D98.html","Xem chi tiết")</f>
        <v/>
      </c>
    </row>
    <row r="11684">
      <c r="B11684" s="9" t="n">
        <v>11682</v>
      </c>
      <c r="C11684" s="10" t="inlineStr">
        <is>
          <t>Sales tiếng Nhật</t>
        </is>
      </c>
      <c r="D11684" s="10" t="inlineStr">
        <is>
          <t>CÔNG TY TNHH JOB HOUSE</t>
        </is>
      </c>
      <c r="E11684" s="10" t="inlineStr">
        <is>
          <t>Lương:1.000 - 2.000 USD</t>
        </is>
      </c>
      <c r="F11684" s="10" t="inlineStr">
        <is>
          <t>Hà NộiHồ Chí Minh</t>
        </is>
      </c>
      <c r="G11684" s="10" t="inlineStr">
        <is>
          <t>31-03-2026</t>
        </is>
      </c>
      <c r="H11684" s="10" t="inlineStr">
        <is>
          <t>31/03/2026</t>
        </is>
      </c>
      <c r="I11684" s="10" t="inlineStr">
        <is>
          <t>17/03/2026</t>
        </is>
      </c>
      <c r="J11684" s="10" t="inlineStr">
        <is>
          <t>Bán hàng / Kinh doanh, Bán Hàng Kỹ Thuật, Tài chính / Đầu tư</t>
        </is>
      </c>
      <c r="K11684" s="10" t="inlineStr">
        <is>
          <t>Trên 2 Năm</t>
        </is>
      </c>
      <c r="L11684" s="11">
        <f>HYPERLINK("https://careerviet.vn/vi/tim-viec-lam/sales-tieng-nhat.35C6A05D.html","Xem chi tiết")</f>
        <v/>
      </c>
      <c r="M11684" s="10" t="n"/>
    </row>
    <row r="11685">
      <c r="B11685" s="7" t="n">
        <v>11683</v>
      </c>
      <c r="C11685" t="inlineStr">
        <is>
          <t>[TIAN LONG] BẾP TRƯỞNG / BẾP PHÓ</t>
        </is>
      </c>
      <c r="D11685" t="inlineStr">
        <is>
          <t>Công Ty Cổ Phần Tầm Nhìn Quốc Tế Aladdin</t>
        </is>
      </c>
      <c r="E11685" t="inlineStr">
        <is>
          <t>Lương:12 Tr - 20 Tr VND</t>
        </is>
      </c>
      <c r="F11685" t="inlineStr">
        <is>
          <t>Hồ Chí Minh</t>
        </is>
      </c>
      <c r="G11685" t="inlineStr">
        <is>
          <t>27-03-2026</t>
        </is>
      </c>
      <c r="H11685" t="inlineStr">
        <is>
          <t>27/03/2026</t>
        </is>
      </c>
      <c r="I11685" t="inlineStr">
        <is>
          <t>17/03/2026</t>
        </is>
      </c>
      <c r="J11685" t="inlineStr">
        <is>
          <t>Thực phẩm &amp; Đồ uống, Nhà hàng / Khách sạn, Quản lý điều hành</t>
        </is>
      </c>
      <c r="K11685" t="inlineStr">
        <is>
          <t>Trên 2 Năm</t>
        </is>
      </c>
      <c r="L11685" s="8">
        <f>HYPERLINK("https://careerviet.vn/vi/tim-viec-lam/tian-long-bep-truong-bep-pho.35C6A0FC.html","Xem chi tiết")</f>
        <v/>
      </c>
    </row>
    <row r="11686">
      <c r="B11686" s="9" t="n">
        <v>11684</v>
      </c>
      <c r="C11686" s="10" t="inlineStr">
        <is>
          <t>Kế toán trưởng - Hué Plaza</t>
        </is>
      </c>
      <c r="D11686" s="10" t="inlineStr">
        <is>
          <t>Công Ty Cổ Phần Du Lịch Vietravel</t>
        </is>
      </c>
      <c r="E11686" s="10" t="inlineStr">
        <is>
          <t>Lương:Cạnh tranh</t>
        </is>
      </c>
      <c r="F11686" s="10" t="inlineStr">
        <is>
          <t>Thừa Thiên- Huế</t>
        </is>
      </c>
      <c r="G11686" s="10" t="inlineStr">
        <is>
          <t>26-03-2026</t>
        </is>
      </c>
      <c r="H11686" s="10" t="inlineStr">
        <is>
          <t>26/03/2026</t>
        </is>
      </c>
      <c r="I11686" s="10" t="inlineStr">
        <is>
          <t>17/03/2026</t>
        </is>
      </c>
      <c r="J11686" s="10" t="inlineStr">
        <is>
          <t>Kế toán / Kiểm toán</t>
        </is>
      </c>
      <c r="K11686" s="10" t="inlineStr">
        <is>
          <t>2 - 5 Năm</t>
        </is>
      </c>
      <c r="L11686" s="11">
        <f>HYPERLINK("https://careerviet.vn/vi/tim-viec-lam/ke-toan-truong-hue-plaza.35C69D89.html","Xem chi tiết")</f>
        <v/>
      </c>
      <c r="M11686" s="10" t="n"/>
    </row>
    <row r="11687">
      <c r="B11687" s="7" t="n">
        <v>11685</v>
      </c>
      <c r="C11687" t="inlineStr">
        <is>
          <t>Nhân viên Phụ Bếp- Đồng Văn Hà Nam</t>
        </is>
      </c>
      <c r="D11687" t="inlineStr">
        <is>
          <t>CÔNG TY CỔ PHẦN THƯƠNG MẠI DỊCH VỤ AN ĐẠI DƯƠNG</t>
        </is>
      </c>
      <c r="E11687" t="inlineStr">
        <is>
          <t>Lương:5 Tr - 6 Tr VND</t>
        </is>
      </c>
      <c r="F11687" t="inlineStr">
        <is>
          <t>Ninh Bình</t>
        </is>
      </c>
      <c r="G11687" t="inlineStr">
        <is>
          <t>31-03-2026</t>
        </is>
      </c>
      <c r="H11687" t="inlineStr">
        <is>
          <t>31/03/2026</t>
        </is>
      </c>
      <c r="I11687" t="inlineStr">
        <is>
          <t>17/03/2026</t>
        </is>
      </c>
      <c r="J11687" t="inlineStr">
        <is>
          <t>Lao động phổ thông</t>
        </is>
      </c>
      <c r="K11687" t="inlineStr">
        <is>
          <t>N/A</t>
        </is>
      </c>
      <c r="L11687" s="8">
        <f>HYPERLINK("https://careerviet.vn/vi/tim-viec-lam/nhan-vien-phu-bep-dong-van-ha-nam.35C69EF5.html","Xem chi tiết")</f>
        <v/>
      </c>
    </row>
    <row r="11688">
      <c r="B11688" s="9" t="n">
        <v>11686</v>
      </c>
      <c r="C11688" s="10" t="inlineStr">
        <is>
          <t>KEY ACCOUNT EXECUTIVE (ETC) - HUẾ/ QUẢNG TRỊ</t>
        </is>
      </c>
      <c r="D11688" s="10" t="inlineStr">
        <is>
          <t>Mega Lifesciences (Vietnam)</t>
        </is>
      </c>
      <c r="E11688" s="10" t="inlineStr">
        <is>
          <t>Lương:Cạnh tranh</t>
        </is>
      </c>
      <c r="F11688" s="10" t="inlineStr">
        <is>
          <t>Thừa Thiên- Huế</t>
        </is>
      </c>
      <c r="G11688" s="10" t="inlineStr">
        <is>
          <t>12-03-2026</t>
        </is>
      </c>
      <c r="H11688" s="10" t="inlineStr">
        <is>
          <t>05/03/2026</t>
        </is>
      </c>
      <c r="I11688" s="10" t="inlineStr">
        <is>
          <t>17/03/2026</t>
        </is>
      </c>
      <c r="J11688" s="10" t="inlineStr">
        <is>
          <t>Bán hàng / Kinh doanh, Dược phẩm/ Hóa Mỹ Phẩm, Y tế / Chăm sóc sức khỏe / Thẩm mỹ / Làm đẹp</t>
        </is>
      </c>
      <c r="K11688" s="10" t="inlineStr">
        <is>
          <t>1 - 2 Năm</t>
        </is>
      </c>
      <c r="L11688" s="11">
        <f>HYPERLINK("https://careerviet.vn/vi/tim-viec-lam/key-account-executive-etc-hue-quang-tri.35C676F2.html","Xem chi tiết")</f>
        <v/>
      </c>
      <c r="M11688" s="10" t="n"/>
    </row>
    <row r="11689">
      <c r="B11689" s="7" t="n">
        <v>11687</v>
      </c>
      <c r="C11689" t="inlineStr">
        <is>
          <t>Chuyên viên xuất nhập khẩu</t>
        </is>
      </c>
      <c r="D11689" t="inlineStr">
        <is>
          <t>CÔNG TY TNHH DƯỢC PHẨM THÚ Y THỊNH VƯỢNG</t>
        </is>
      </c>
      <c r="E11689" t="inlineStr">
        <is>
          <t>Lương:18 Tr - 20 Tr VND</t>
        </is>
      </c>
      <c r="F11689" t="inlineStr">
        <is>
          <t>Hà Nội</t>
        </is>
      </c>
      <c r="G11689" t="inlineStr">
        <is>
          <t>27-03-2026</t>
        </is>
      </c>
      <c r="H11689" t="inlineStr">
        <is>
          <t>27/03/2026</t>
        </is>
      </c>
      <c r="I11689" t="inlineStr">
        <is>
          <t>17/03/2026</t>
        </is>
      </c>
      <c r="J11689" t="inlineStr">
        <is>
          <t>Xuất nhập khẩu, Vận chuyển / Giao nhận / Kho vận, Quảng cáo / Đối ngoại / Truyền Thông</t>
        </is>
      </c>
      <c r="K11689" t="inlineStr">
        <is>
          <t>5 - 10 Năm</t>
        </is>
      </c>
      <c r="L11689" s="8">
        <f>HYPERLINK("https://careerviet.vn/vi/tim-viec-lam/chuyen-vien-xuat-nhap-khau.35C69E52.html","Xem chi tiết")</f>
        <v/>
      </c>
    </row>
    <row r="11690">
      <c r="B11690" s="9" t="n">
        <v>11688</v>
      </c>
      <c r="C11690" s="10" t="inlineStr">
        <is>
          <t>Trưởng nhóm tuyển dụng</t>
        </is>
      </c>
      <c r="D11690" s="10" t="inlineStr">
        <is>
          <t>Công ty Cổ phần Đồng phục Phương Thảo</t>
        </is>
      </c>
      <c r="E11690" s="10" t="inlineStr">
        <is>
          <t>Lương:15 Tr - 20 Tr VND</t>
        </is>
      </c>
      <c r="F11690" s="10" t="inlineStr">
        <is>
          <t>Hà Nội</t>
        </is>
      </c>
      <c r="G11690" s="10" t="inlineStr">
        <is>
          <t>31-03-2026</t>
        </is>
      </c>
      <c r="H11690" s="10" t="inlineStr">
        <is>
          <t>31/03/2026</t>
        </is>
      </c>
      <c r="I11690" s="10" t="inlineStr">
        <is>
          <t>17/03/2026</t>
        </is>
      </c>
      <c r="J11690" s="10" t="inlineStr">
        <is>
          <t>Nhân sự, Hành chính / Thư ký, Dệt may / Da giày / Thời trang</t>
        </is>
      </c>
      <c r="K11690" s="10" t="inlineStr">
        <is>
          <t>2 - 3 Năm</t>
        </is>
      </c>
      <c r="L11690" s="11">
        <f>HYPERLINK("https://careerviet.vn/vi/tim-viec-lam/truong-nhom-tuyen-dung.35C6A0BC.html","Xem chi tiết")</f>
        <v/>
      </c>
      <c r="M11690" s="10" t="n"/>
    </row>
    <row r="11691">
      <c r="B11691" s="7" t="n">
        <v>11689</v>
      </c>
      <c r="C11691" t="inlineStr">
        <is>
          <t>KẾ TOÁN NGUYÊN VẬT LIỆU (CHỢ LÁCH, BẾN TRE)</t>
        </is>
      </c>
      <c r="D11691" t="inlineStr">
        <is>
          <t>CÔNG TY CỔ PHẦN TẬP ĐOÀN XUẤT - NHẬP KHẨU TRÁI CÂY CHÁNH THU</t>
        </is>
      </c>
      <c r="E11691" t="inlineStr">
        <is>
          <t>Lương:Cạnh tranh</t>
        </is>
      </c>
      <c r="F11691" t="inlineStr">
        <is>
          <t>Bến Tre</t>
        </is>
      </c>
      <c r="G11691" t="inlineStr">
        <is>
          <t>27-03-2026</t>
        </is>
      </c>
      <c r="H11691" t="inlineStr">
        <is>
          <t>27/03/2026</t>
        </is>
      </c>
      <c r="I11691" t="inlineStr">
        <is>
          <t>17/03/2026</t>
        </is>
      </c>
      <c r="J11691" t="inlineStr">
        <is>
          <t>Kế toán / Kiểm toán, Xuất nhập khẩu, Sản xuất / Vận hành sản xuất</t>
        </is>
      </c>
      <c r="K11691" t="inlineStr">
        <is>
          <t>1 - 2 Năm</t>
        </is>
      </c>
      <c r="L11691" s="8">
        <f>HYPERLINK("https://careerviet.vn/vi/tim-viec-lam/ke-toan-nguyen-vat-lieu-cho-lach-ben-tre.35C69E6C.html","Xem chi tiết")</f>
        <v/>
      </c>
    </row>
    <row r="11692">
      <c r="B11692" s="9" t="n">
        <v>11690</v>
      </c>
      <c r="C11692" s="10" t="inlineStr">
        <is>
          <t>[NLE] Senior Talent Acquisition</t>
        </is>
      </c>
      <c r="D11692" s="10" t="inlineStr">
        <is>
          <t>Nova Service Group - Công ty Cổ phần Tập đoàn Nova Services</t>
        </is>
      </c>
      <c r="E11692" s="10" t="inlineStr">
        <is>
          <t>Lương:15 Tr - 20 Tr VND</t>
        </is>
      </c>
      <c r="F11692" s="10" t="inlineStr">
        <is>
          <t>Hồ Chí Minh</t>
        </is>
      </c>
      <c r="G11692" s="10" t="inlineStr">
        <is>
          <t>31-03-2026</t>
        </is>
      </c>
      <c r="H11692" s="10" t="inlineStr">
        <is>
          <t>31/03/2026</t>
        </is>
      </c>
      <c r="I11692" s="10" t="inlineStr">
        <is>
          <t>17/03/2026</t>
        </is>
      </c>
      <c r="J11692" s="10" t="inlineStr">
        <is>
          <t>Nhân sự</t>
        </is>
      </c>
      <c r="K11692" s="10" t="inlineStr">
        <is>
          <t>2 - 3 Năm</t>
        </is>
      </c>
      <c r="L11692" s="11">
        <f>HYPERLINK("https://careerviet.vn/vi/tim-viec-lam/nle-senior-talent-acquisition.35C69E07.html","Xem chi tiết")</f>
        <v/>
      </c>
      <c r="M11692" s="10" t="n"/>
    </row>
    <row r="11693">
      <c r="B11693" s="7" t="n">
        <v>11691</v>
      </c>
      <c r="C11693" t="inlineStr">
        <is>
          <t>Junior HR</t>
        </is>
      </c>
      <c r="D11693" t="inlineStr">
        <is>
          <t>JoyMall - Nhà Phân Phối Locknlock</t>
        </is>
      </c>
      <c r="E11693" t="inlineStr">
        <is>
          <t>Lương:7 Tr - 10 Tr VND</t>
        </is>
      </c>
      <c r="F11693" t="inlineStr">
        <is>
          <t>Hồ Chí Minh</t>
        </is>
      </c>
      <c r="G11693" t="inlineStr">
        <is>
          <t>31-03-2026</t>
        </is>
      </c>
      <c r="H11693" t="inlineStr">
        <is>
          <t>31/03/2026</t>
        </is>
      </c>
      <c r="I11693" t="inlineStr">
        <is>
          <t>17/03/2026</t>
        </is>
      </c>
      <c r="J11693" t="inlineStr">
        <is>
          <t>Hành chính / Thư ký, Nhân sự, Tổ chức sự kiện</t>
        </is>
      </c>
      <c r="K11693" t="inlineStr">
        <is>
          <t>Lên đến 1 Năm</t>
        </is>
      </c>
      <c r="L11693" s="8">
        <f>HYPERLINK("https://careerviet.vn/vi/tim-viec-lam/junior-hr.35C69F73.html","Xem chi tiết")</f>
        <v/>
      </c>
    </row>
    <row r="11694">
      <c r="B11694" s="9" t="n">
        <v>11692</v>
      </c>
      <c r="C11694" s="10" t="inlineStr">
        <is>
          <t>RB - Phòng Giải pháp Tiết kiệm và Đầu tư_CVCC Giải pháp tiết kiệm và đầu tư</t>
        </is>
      </c>
      <c r="D11694" s="10" t="inlineStr">
        <is>
          <t>Ngân Hàng TMCP Phương Đông - OCB</t>
        </is>
      </c>
      <c r="E11694" s="10" t="inlineStr">
        <is>
          <t>Lương:Cạnh tranh</t>
        </is>
      </c>
      <c r="F11694" s="10" t="inlineStr">
        <is>
          <t>Hà NộiHồ Chí Minh</t>
        </is>
      </c>
      <c r="G11694" s="10" t="inlineStr">
        <is>
          <t>31-03-2026</t>
        </is>
      </c>
      <c r="H11694" s="10" t="inlineStr">
        <is>
          <t>31/03/2026</t>
        </is>
      </c>
      <c r="I11694" s="10" t="inlineStr">
        <is>
          <t>17/03/2026</t>
        </is>
      </c>
      <c r="J11694" s="10" t="inlineStr">
        <is>
          <t>Ngân hàng</t>
        </is>
      </c>
      <c r="K11694" s="10" t="inlineStr">
        <is>
          <t>3 - 10 Năm</t>
        </is>
      </c>
      <c r="L11694" s="11">
        <f>HYPERLINK("https://careerviet.vn/vi/tim-viec-lam/rb-phong-giai-phap-tiet-kiem-va-dau-tu_cvcc-giai-phap-tiet-kiem-va-dau-tu.35C69DAD.html","Xem chi tiết")</f>
        <v/>
      </c>
      <c r="M11694" s="10" t="n"/>
    </row>
    <row r="11695">
      <c r="B11695" s="7" t="n">
        <v>11693</v>
      </c>
      <c r="C11695" t="inlineStr">
        <is>
          <t>Nhân Viên Sales Logistic ( Hà Nội)</t>
        </is>
      </c>
      <c r="D11695" t="inlineStr">
        <is>
          <t>CÔNG TY TNHH VIỆT NAM MAXWIDE LOGISTICS</t>
        </is>
      </c>
      <c r="E11695" t="inlineStr">
        <is>
          <t>Lương:10 Tr - 15 Tr VND</t>
        </is>
      </c>
      <c r="F11695" t="inlineStr">
        <is>
          <t>Hà Nội</t>
        </is>
      </c>
      <c r="G11695" t="inlineStr">
        <is>
          <t>27-03-2026</t>
        </is>
      </c>
      <c r="H11695" t="inlineStr">
        <is>
          <t>27/03/2026</t>
        </is>
      </c>
      <c r="I11695" t="inlineStr">
        <is>
          <t>17/03/2026</t>
        </is>
      </c>
      <c r="J11695" t="inlineStr">
        <is>
          <t>Bán hàng / Kinh doanh, Vận chuyển / Giao nhận / Kho vận, Xuất nhập khẩu</t>
        </is>
      </c>
      <c r="K11695" t="inlineStr">
        <is>
          <t>1 - 2 Năm</t>
        </is>
      </c>
      <c r="L11695" s="8">
        <f>HYPERLINK("https://careerviet.vn/vi/tim-viec-lam/nhan-vien-sales-logistic-ha-noi.35C69F4C.html","Xem chi tiết")</f>
        <v/>
      </c>
    </row>
    <row r="11696">
      <c r="B11696" s="9" t="n">
        <v>11694</v>
      </c>
      <c r="C11696" s="10" t="inlineStr">
        <is>
          <t>Content Performance Specialist (Vita Clinic)</t>
        </is>
      </c>
      <c r="D11696" s="10" t="inlineStr">
        <is>
          <t>California Wellness Group</t>
        </is>
      </c>
      <c r="E11696" s="10" t="inlineStr">
        <is>
          <t>Lương:15 Tr - 18 Tr VND</t>
        </is>
      </c>
      <c r="F11696" s="10" t="inlineStr">
        <is>
          <t>Hồ Chí Minh</t>
        </is>
      </c>
      <c r="G11696" s="10" t="inlineStr">
        <is>
          <t>30-04-2026</t>
        </is>
      </c>
      <c r="H11696" s="10" t="inlineStr">
        <is>
          <t>30/04/2026</t>
        </is>
      </c>
      <c r="I11696" s="10" t="inlineStr">
        <is>
          <t>17/03/2026</t>
        </is>
      </c>
      <c r="J11696" s="10" t="inlineStr">
        <is>
          <t>Y tế / Chăm sóc sức khỏe / Thẩm mỹ / Làm đẹp, Tiếp thị trực tuyến, Quảng cáo / Đối ngoại / Truyền Thông</t>
        </is>
      </c>
      <c r="K11696" s="10" t="inlineStr">
        <is>
          <t>3 - 4 Năm</t>
        </is>
      </c>
      <c r="L11696" s="11">
        <f>HYPERLINK("https://careerviet.vn/vi/tim-viec-lam/content-performance-specialist-vita-clinic.35C6A086.html","Xem chi tiết")</f>
        <v/>
      </c>
      <c r="M11696" s="10" t="n"/>
    </row>
    <row r="11697">
      <c r="B11697" s="7" t="n">
        <v>11695</v>
      </c>
      <c r="C11697" t="inlineStr">
        <is>
          <t>Nhân viên Chăm sóc khách hàng [Xhome Bắc Ninh]</t>
        </is>
      </c>
      <c r="D11697" t="inlineStr">
        <is>
          <t>Công ty CP XHOME Việt Nam</t>
        </is>
      </c>
      <c r="E11697" t="inlineStr">
        <is>
          <t>Lương:12 Tr - 15 Tr VND</t>
        </is>
      </c>
      <c r="F11697" t="inlineStr">
        <is>
          <t>Bắc Ninh</t>
        </is>
      </c>
      <c r="G11697" t="inlineStr">
        <is>
          <t>30-03-2026</t>
        </is>
      </c>
      <c r="H11697" t="inlineStr">
        <is>
          <t>30/03/2026</t>
        </is>
      </c>
      <c r="I11697" t="inlineStr">
        <is>
          <t>17/03/2026</t>
        </is>
      </c>
      <c r="J11697" t="inlineStr">
        <is>
          <t>Kiến trúc, Xây dựng, Nội ngoại thất</t>
        </is>
      </c>
      <c r="K11697" t="inlineStr">
        <is>
          <t>Chưa có kinh nghiệm</t>
        </is>
      </c>
      <c r="L11697" s="8">
        <f>HYPERLINK("https://careerviet.vn/vi/tim-viec-lam/nhan-vien-cham-soc-khach-hang-xhome-bac-ninh.35C69FD2.html","Xem chi tiết")</f>
        <v/>
      </c>
    </row>
    <row r="11698">
      <c r="B11698" s="9" t="n">
        <v>11696</v>
      </c>
      <c r="C11698" s="10" t="inlineStr">
        <is>
          <t>Nhân Viên Kinh Doanh Nha Khoa Lưu Loát Tiếng Anh</t>
        </is>
      </c>
      <c r="D11698" s="10" t="inlineStr">
        <is>
          <t>Nha khoa Dr. Care</t>
        </is>
      </c>
      <c r="E11698" s="10" t="inlineStr">
        <is>
          <t>Lương:11 Tr - 32 Tr VND</t>
        </is>
      </c>
      <c r="F11698" s="10" t="inlineStr">
        <is>
          <t>Hồ Chí Minh</t>
        </is>
      </c>
      <c r="G11698" s="10" t="inlineStr">
        <is>
          <t>31-03-2026</t>
        </is>
      </c>
      <c r="H11698" s="10" t="inlineStr">
        <is>
          <t>31/03/2026</t>
        </is>
      </c>
      <c r="I11698" s="10" t="inlineStr">
        <is>
          <t>17/03/2026</t>
        </is>
      </c>
      <c r="J11698" s="10" t="inlineStr">
        <is>
          <t>Bán hàng / Kinh doanh, Y tế / Chăm sóc sức khỏe / Thẩm mỹ / Làm đẹp, Dịch vụ khách hàng</t>
        </is>
      </c>
      <c r="K11698" s="10" t="inlineStr">
        <is>
          <t>1 - 3 Năm</t>
        </is>
      </c>
      <c r="L11698" s="11">
        <f>HYPERLINK("https://careerviet.vn/vi/tim-viec-lam/nhan-vien-kinh-doanh-nha-khoa-luu-loat-tieng-anh.35C69F51.html","Xem chi tiết")</f>
        <v/>
      </c>
      <c r="M11698" s="10" t="n"/>
    </row>
    <row r="11699">
      <c r="B11699" s="7" t="n">
        <v>11697</v>
      </c>
      <c r="C11699" t="inlineStr">
        <is>
          <t>Nhân Viên Kinh Doanh Online</t>
        </is>
      </c>
      <c r="D11699" t="inlineStr">
        <is>
          <t>Công ty Cổ phần Thiết bị và Giải pháp cơ khí Automech</t>
        </is>
      </c>
      <c r="E11699" t="inlineStr">
        <is>
          <t>Lương:10 Tr - 20 Tr VND</t>
        </is>
      </c>
      <c r="F11699" t="inlineStr">
        <is>
          <t>Hà NộiHồ Chí Minh</t>
        </is>
      </c>
      <c r="G11699" t="inlineStr">
        <is>
          <t>27-03-2026</t>
        </is>
      </c>
      <c r="H11699" t="inlineStr">
        <is>
          <t>27/03/2026</t>
        </is>
      </c>
      <c r="I11699" t="inlineStr">
        <is>
          <t>17/03/2026</t>
        </is>
      </c>
      <c r="J11699" t="inlineStr">
        <is>
          <t>Bán hàng / Kinh doanh, Tiếp thị trực tuyến, Bán lẻ / Bán sỉ</t>
        </is>
      </c>
      <c r="K11699" t="inlineStr">
        <is>
          <t>N/A</t>
        </is>
      </c>
      <c r="L11699" s="8">
        <f>HYPERLINK("https://careerviet.vn/vi/tim-viec-lam/nhan-vien-kinh-doanh-online.35C69E0C.html","Xem chi tiết")</f>
        <v/>
      </c>
    </row>
    <row r="11700">
      <c r="B11700" s="9" t="n">
        <v>11698</v>
      </c>
      <c r="C11700" s="10" t="inlineStr">
        <is>
          <t>Chuyên viên chuyển đổi số  (Larksuite) Thu nhập 15-20tr</t>
        </is>
      </c>
      <c r="D11700" s="10" t="inlineStr">
        <is>
          <t>Công ty Cổ phần TP Solar</t>
        </is>
      </c>
      <c r="E11700" s="10" t="inlineStr">
        <is>
          <t>Lương:15 Tr - 20 Tr VND</t>
        </is>
      </c>
      <c r="F11700" s="10" t="inlineStr">
        <is>
          <t>Hà Nội</t>
        </is>
      </c>
      <c r="G11700" s="10" t="inlineStr">
        <is>
          <t>31-03-2026</t>
        </is>
      </c>
      <c r="H11700" s="10" t="inlineStr">
        <is>
          <t>31/03/2026</t>
        </is>
      </c>
      <c r="I11700" s="10" t="inlineStr">
        <is>
          <t>17/03/2026</t>
        </is>
      </c>
      <c r="J11700" s="10" t="inlineStr">
        <is>
          <t>CNTT - Phần mềm, CNTT - Phần cứng / Mạng</t>
        </is>
      </c>
      <c r="K11700" s="10" t="inlineStr">
        <is>
          <t>Trên 1 Năm</t>
        </is>
      </c>
      <c r="L11700" s="11">
        <f>HYPERLINK("https://careerviet.vn/vi/tim-viec-lam/chuyen-vien-chuyen-doi-so-larksuite-thu-nhap-15-20tr.35C69F8D.html","Xem chi tiết")</f>
        <v/>
      </c>
      <c r="M11700" s="10" t="n"/>
    </row>
    <row r="11701">
      <c r="B11701" s="7" t="n">
        <v>11699</v>
      </c>
      <c r="C11701" t="inlineStr">
        <is>
          <t>Nhân viên kinh doanh</t>
        </is>
      </c>
      <c r="D11701" t="inlineStr">
        <is>
          <t>CÔNG TY TNHH DƯỢC PHẨM THÚ Y THỊNH VƯỢNG</t>
        </is>
      </c>
      <c r="E11701" t="inlineStr">
        <is>
          <t>Lương:15 Tr - 40 Tr VND</t>
        </is>
      </c>
      <c r="F11701" t="inlineStr">
        <is>
          <t>Toàn quốcHà NộiHồ Chí Minh</t>
        </is>
      </c>
      <c r="G11701" t="inlineStr">
        <is>
          <t>29-03-2026</t>
        </is>
      </c>
      <c r="H11701" t="inlineStr">
        <is>
          <t>29/03/2026</t>
        </is>
      </c>
      <c r="I11701" t="inlineStr">
        <is>
          <t>17/03/2026</t>
        </is>
      </c>
      <c r="J11701" t="inlineStr">
        <is>
          <t>Chăn nuôi / Thú y, Bán hàng / Kinh doanh, Bán Hàng Kỹ Thuật</t>
        </is>
      </c>
      <c r="K11701" t="inlineStr">
        <is>
          <t>3 - 5 Năm</t>
        </is>
      </c>
      <c r="L11701" s="8">
        <f>HYPERLINK("https://careerviet.vn/vi/tim-viec-lam/nhan-vien-kinh-doanh.35C69E66.html","Xem chi tiết")</f>
        <v/>
      </c>
    </row>
    <row r="11702">
      <c r="B11702" s="9" t="n">
        <v>11700</v>
      </c>
      <c r="C11702" s="10" t="inlineStr">
        <is>
          <t>Nhân Viên Nữ Đóng Gói Kho Hàng</t>
        </is>
      </c>
      <c r="D11702" s="10" t="inlineStr">
        <is>
          <t>JoyMall - Nhà Phân Phối Locknlock</t>
        </is>
      </c>
      <c r="E11702" s="10" t="inlineStr">
        <is>
          <t>Lương:6 Tr - 8 Tr VND</t>
        </is>
      </c>
      <c r="F11702" s="10" t="inlineStr">
        <is>
          <t>Hồ Chí Minh</t>
        </is>
      </c>
      <c r="G11702" s="10" t="inlineStr">
        <is>
          <t>31-03-2026</t>
        </is>
      </c>
      <c r="H11702" s="10" t="inlineStr">
        <is>
          <t>31/03/2026</t>
        </is>
      </c>
      <c r="I11702" s="10" t="inlineStr">
        <is>
          <t>17/03/2026</t>
        </is>
      </c>
      <c r="J11702" s="10" t="inlineStr">
        <is>
          <t>Lao động phổ thông, Thương mại điện tử, Vận chuyển / Giao nhận / Kho vận</t>
        </is>
      </c>
      <c r="K11702" s="10" t="inlineStr">
        <is>
          <t>Lên đến 1 Năm</t>
        </is>
      </c>
      <c r="L11702" s="11">
        <f>HYPERLINK("https://careerviet.vn/vi/tim-viec-lam/nhan-vien-nu-dong-goi-kho-hang.35C69F53.html","Xem chi tiết")</f>
        <v/>
      </c>
      <c r="M11702" s="10" t="n"/>
    </row>
    <row r="11703">
      <c r="B11703" s="7" t="n">
        <v>11701</v>
      </c>
      <c r="C11703" t="inlineStr">
        <is>
          <t>Cộng Tác Viên Livestream Thời Trang (Wilson)</t>
        </is>
      </c>
      <c r="D11703" t="inlineStr">
        <is>
          <t>CÔNG TY TNHH ANTA SPORTS VIỆT NAM</t>
        </is>
      </c>
      <c r="E11703" t="inlineStr">
        <is>
          <t>Lương:10 Tr - 12 Tr VND</t>
        </is>
      </c>
      <c r="F11703" t="inlineStr">
        <is>
          <t>Hồ Chí Minh</t>
        </is>
      </c>
      <c r="G11703" t="inlineStr">
        <is>
          <t>31-03-2026</t>
        </is>
      </c>
      <c r="H11703" t="inlineStr">
        <is>
          <t>31/03/2026</t>
        </is>
      </c>
      <c r="I11703" t="inlineStr">
        <is>
          <t>17/03/2026</t>
        </is>
      </c>
      <c r="J11703" t="inlineStr">
        <is>
          <t>Thương mại điện tử, Tiếp thị / Marketing, Tiếp thị trực tuyến</t>
        </is>
      </c>
      <c r="K11703" t="inlineStr">
        <is>
          <t>Trên 1 Năm</t>
        </is>
      </c>
      <c r="L11703" s="8">
        <f>HYPERLINK("https://careerviet.vn/vi/tim-viec-lam/cong-tac-vien-livestream-thoi-trang-wilson.35C69ED3.html","Xem chi tiết")</f>
        <v/>
      </c>
    </row>
    <row r="11704">
      <c r="B11704" s="9" t="n">
        <v>11702</v>
      </c>
      <c r="C11704" s="10" t="inlineStr">
        <is>
          <t>Nhân viên Marketing</t>
        </is>
      </c>
      <c r="D11704" s="10" t="inlineStr">
        <is>
          <t>CÔNG TY TNHH DỆT LIÊN CHÂU</t>
        </is>
      </c>
      <c r="E11704" s="10" t="inlineStr">
        <is>
          <t>Lương:12 Tr - 15 Tr VND</t>
        </is>
      </c>
      <c r="F11704" s="10" t="inlineStr">
        <is>
          <t>Bình Dương</t>
        </is>
      </c>
      <c r="G11704" s="10" t="inlineStr">
        <is>
          <t>31-03-2026</t>
        </is>
      </c>
      <c r="H11704" s="10" t="inlineStr">
        <is>
          <t>31/03/2026</t>
        </is>
      </c>
      <c r="I11704" s="10" t="inlineStr">
        <is>
          <t>17/03/2026</t>
        </is>
      </c>
      <c r="J11704" s="10" t="inlineStr">
        <is>
          <t>Tiếp thị / Marketing, Sản xuất / Vận hành sản xuất, Dệt may / Da giày / Thời trang</t>
        </is>
      </c>
      <c r="K11704" s="10" t="inlineStr">
        <is>
          <t>1 - 2 Năm</t>
        </is>
      </c>
      <c r="L11704" s="11">
        <f>HYPERLINK("https://careerviet.vn/vi/tim-viec-lam/nhan-vien-marketing.35C69D2C.html","Xem chi tiết")</f>
        <v/>
      </c>
      <c r="M11704" s="10" t="n"/>
    </row>
    <row r="11705">
      <c r="B11705" s="7" t="n">
        <v>11703</v>
      </c>
      <c r="C11705" t="inlineStr">
        <is>
          <t>Kỹ thuật viên ME</t>
        </is>
      </c>
      <c r="D11705" t="inlineStr">
        <is>
          <t>CÔNG TY TNHH QISDA VIỆT NAM</t>
        </is>
      </c>
      <c r="E11705" t="inlineStr">
        <is>
          <t>Lương:Cạnh tranh</t>
        </is>
      </c>
      <c r="F11705" t="inlineStr">
        <is>
          <t>Hà Nam</t>
        </is>
      </c>
      <c r="G11705" t="inlineStr">
        <is>
          <t>29-03-2026</t>
        </is>
      </c>
      <c r="H11705" t="inlineStr">
        <is>
          <t>29/03/2026</t>
        </is>
      </c>
      <c r="I11705" t="inlineStr">
        <is>
          <t>17/03/2026</t>
        </is>
      </c>
      <c r="J11705" t="inlineStr">
        <is>
          <t>Cơ khí / Ô tô / Tự động hóa, Điện / Điện tử / Điện lạnh / Điện công nghiệp</t>
        </is>
      </c>
      <c r="K11705" t="inlineStr">
        <is>
          <t>1 - 2 Năm</t>
        </is>
      </c>
      <c r="L11705" s="8">
        <f>HYPERLINK("https://careerviet.vn/vi/tim-viec-lam/ky-thuat-vien-me.35C69F1E.html","Xem chi tiết")</f>
        <v/>
      </c>
    </row>
    <row r="11706">
      <c r="B11706" s="9" t="n">
        <v>11704</v>
      </c>
      <c r="C11706" s="10" t="inlineStr">
        <is>
          <t>Cán bộ đấu thầu cơ điện MEP tại văn phòng Hà Nội</t>
        </is>
      </c>
      <c r="D11706" s="10" t="inlineStr">
        <is>
          <t>CÔNG TY CỔ PHẦN XÂY DỰNG MEGASPACE</t>
        </is>
      </c>
      <c r="E11706" s="10" t="inlineStr">
        <is>
          <t>Lương:15 Tr - 25 Tr VND</t>
        </is>
      </c>
      <c r="F11706" s="10" t="inlineStr">
        <is>
          <t>Hà Nội</t>
        </is>
      </c>
      <c r="G11706" s="10" t="inlineStr">
        <is>
          <t>31-03-2026</t>
        </is>
      </c>
      <c r="H11706" s="10" t="inlineStr">
        <is>
          <t>31/03/2026</t>
        </is>
      </c>
      <c r="I11706" s="10" t="inlineStr">
        <is>
          <t>17/03/2026</t>
        </is>
      </c>
      <c r="J11706" s="10" t="inlineStr">
        <is>
          <t>Điện / Điện tử / Điện lạnh / Điện công nghiệp</t>
        </is>
      </c>
      <c r="K11706" s="10" t="inlineStr">
        <is>
          <t>Trên 5 Năm</t>
        </is>
      </c>
      <c r="L11706" s="11">
        <f>HYPERLINK("https://careerviet.vn/vi/tim-viec-lam/can-bo-dau-thau-co-dien-mep-tai-van-phong-ha-noi.35C69F2E.html","Xem chi tiết")</f>
        <v/>
      </c>
      <c r="M11706" s="10" t="n"/>
    </row>
    <row r="11707">
      <c r="B11707" s="7" t="n">
        <v>11705</v>
      </c>
      <c r="C11707" t="inlineStr">
        <is>
          <t>CHUYÊN VIÊN CƠ SỞ HẠ TẦNG (FACILITIES ASSISTANT OFFICER)</t>
        </is>
      </c>
      <c r="D11707" t="inlineStr">
        <is>
          <t>CÔNG TY TNHH CRYSTAL ELEGANCE TEXTILES VIỆT NAM</t>
        </is>
      </c>
      <c r="E11707" t="inlineStr">
        <is>
          <t>Lương:Cạnh tranh</t>
        </is>
      </c>
      <c r="F11707" t="inlineStr">
        <is>
          <t>Bình Dương</t>
        </is>
      </c>
      <c r="G11707" t="inlineStr">
        <is>
          <t>31-03-2026</t>
        </is>
      </c>
      <c r="H11707" t="inlineStr">
        <is>
          <t>31/03/2026</t>
        </is>
      </c>
      <c r="I11707" t="inlineStr">
        <is>
          <t>17/03/2026</t>
        </is>
      </c>
      <c r="J11707" t="inlineStr">
        <is>
          <t>Cơ khí / Ô tô / Tự động hóa, Điện / Điện tử / Điện lạnh / Điện công nghiệp, Xây dựng</t>
        </is>
      </c>
      <c r="K11707" t="inlineStr">
        <is>
          <t>2 - 3 Năm</t>
        </is>
      </c>
      <c r="L11707" s="8">
        <f>HYPERLINK("https://careerviet.vn/vi/tim-viec-lam/chuyen-vien-co-so-ha-tang-facilities-assistant-officer.35C69EE9.html","Xem chi tiết")</f>
        <v/>
      </c>
    </row>
    <row r="11708">
      <c r="B11708" s="9" t="n">
        <v>11706</v>
      </c>
      <c r="C11708" s="10" t="inlineStr">
        <is>
          <t>[Đà Nẵng] Trưởng phòng Khách hàng cá nhân</t>
        </is>
      </c>
      <c r="D11708" s="10" t="inlineStr">
        <is>
          <t>Ngân hàng TMCP Đại Chúng Việt Nam - PVcomBank</t>
        </is>
      </c>
      <c r="E11708" s="10" t="inlineStr">
        <is>
          <t>Lương:Cạnh tranh</t>
        </is>
      </c>
      <c r="F11708" s="10" t="inlineStr">
        <is>
          <t>Đà Nẵng</t>
        </is>
      </c>
      <c r="G11708" s="10" t="inlineStr">
        <is>
          <t>29-03-2026</t>
        </is>
      </c>
      <c r="H11708" s="10" t="inlineStr">
        <is>
          <t>29/03/2026</t>
        </is>
      </c>
      <c r="I11708" s="10" t="inlineStr">
        <is>
          <t>17/03/2026</t>
        </is>
      </c>
      <c r="J11708" s="10" t="inlineStr">
        <is>
          <t>Ngân hàng, Tài chính / Đầu tư</t>
        </is>
      </c>
      <c r="K11708" s="10" t="inlineStr">
        <is>
          <t>Trên 2 Năm</t>
        </is>
      </c>
      <c r="L11708" s="11">
        <f>HYPERLINK("https://careerviet.vn/vi/tim-viec-lam/da-nang-truong-phong-khach-hang-ca-nhan.35C69EA3.html","Xem chi tiết")</f>
        <v/>
      </c>
      <c r="M11708" s="10" t="n"/>
    </row>
    <row r="11709">
      <c r="B11709" s="7" t="n">
        <v>11707</v>
      </c>
      <c r="C11709" t="inlineStr">
        <is>
          <t>Nhân Viên Kinh Doanh B2B_Phụ Kiện Thời Trang</t>
        </is>
      </c>
      <c r="D11709" t="inlineStr">
        <is>
          <t>CÔNG TY TNHH MẮT VIỆT GROUP</t>
        </is>
      </c>
      <c r="E11709" t="inlineStr">
        <is>
          <t>Lương:20 Tr - 60 Tr VND</t>
        </is>
      </c>
      <c r="F11709" t="inlineStr">
        <is>
          <t>Hồ Chí Minh</t>
        </is>
      </c>
      <c r="G11709" t="inlineStr">
        <is>
          <t>31-03-2026</t>
        </is>
      </c>
      <c r="H11709" t="inlineStr">
        <is>
          <t>31/03/2026</t>
        </is>
      </c>
      <c r="I11709" t="inlineStr">
        <is>
          <t>17/03/2026</t>
        </is>
      </c>
      <c r="J11709" t="inlineStr">
        <is>
          <t>Bán lẻ / Bán sỉ, Bán hàng / Kinh doanh, Dược phẩm/ Hóa Mỹ Phẩm</t>
        </is>
      </c>
      <c r="K11709" t="inlineStr">
        <is>
          <t>2 - 3 Năm</t>
        </is>
      </c>
      <c r="L11709" s="8">
        <f>HYPERLINK("https://careerviet.vn/vi/tim-viec-lam/nhan-vien-kinh-doanh-b2b_phu-kien-thoi-trang.35C69E84.html","Xem chi tiết")</f>
        <v/>
      </c>
    </row>
    <row r="11710">
      <c r="B11710" s="9" t="n">
        <v>11708</v>
      </c>
      <c r="C11710" s="10" t="inlineStr">
        <is>
          <t>Kỹ Sư Điện Giám Sát Thi Công (EVN)</t>
        </is>
      </c>
      <c r="D11710" s="10" t="inlineStr">
        <is>
          <t>Công ty CP thiết bị điện và xây dựng công nghiệp Việt Nam</t>
        </is>
      </c>
      <c r="E11710" s="10" t="inlineStr">
        <is>
          <t>Lương:16 Tr - 25 Tr VND</t>
        </is>
      </c>
      <c r="F11710" s="10" t="inlineStr">
        <is>
          <t>Hà Nội</t>
        </is>
      </c>
      <c r="G11710" s="10" t="inlineStr">
        <is>
          <t>31-03-2026</t>
        </is>
      </c>
      <c r="H11710" s="10" t="inlineStr">
        <is>
          <t>31/03/2026</t>
        </is>
      </c>
      <c r="I11710" s="10" t="inlineStr">
        <is>
          <t>17/03/2026</t>
        </is>
      </c>
      <c r="J11710" s="10" t="inlineStr">
        <is>
          <t>Kế toán / Kiểm toán, Điện / Điện tử / Điện lạnh / Điện công nghiệp, Xây dựng</t>
        </is>
      </c>
      <c r="K11710" s="10" t="inlineStr">
        <is>
          <t>2 - 5 Năm</t>
        </is>
      </c>
      <c r="L11710" s="11">
        <f>HYPERLINK("https://careerviet.vn/vi/tim-viec-lam/ky-su-dien-giam-sat-thi-cong-evn.35C6A015.html","Xem chi tiết")</f>
        <v/>
      </c>
      <c r="M11710" s="10" t="n"/>
    </row>
    <row r="11711">
      <c r="B11711" s="7" t="n">
        <v>11709</v>
      </c>
      <c r="C11711" t="inlineStr">
        <is>
          <t>Nhân viên Quản lý chất lượng</t>
        </is>
      </c>
      <c r="D11711" t="inlineStr">
        <is>
          <t>CÔNG TY CP HÀ YẾN</t>
        </is>
      </c>
      <c r="E11711" t="inlineStr">
        <is>
          <t>Lương:Cạnh tranh</t>
        </is>
      </c>
      <c r="F11711" t="inlineStr">
        <is>
          <t>Hưng Yên</t>
        </is>
      </c>
      <c r="G11711" t="inlineStr">
        <is>
          <t>28-03-2026</t>
        </is>
      </c>
      <c r="H11711" t="inlineStr">
        <is>
          <t>28/03/2026</t>
        </is>
      </c>
      <c r="I11711" t="inlineStr">
        <is>
          <t>17/03/2026</t>
        </is>
      </c>
      <c r="J11711" t="inlineStr">
        <is>
          <t>Cơ khí / Ô tô / Tự động hóa, Quản lý chất lượng (QA/QC), Điện / Điện tử / Điện lạnh / Điện công nghiệp</t>
        </is>
      </c>
      <c r="K11711" t="inlineStr">
        <is>
          <t>N/A</t>
        </is>
      </c>
      <c r="L11711" s="8">
        <f>HYPERLINK("https://careerviet.vn/vi/tim-viec-lam/nhan-vien-quan-ly-chat-luong.35C69DD6.html","Xem chi tiết")</f>
        <v/>
      </c>
    </row>
    <row r="11712">
      <c r="B11712" s="9" t="n">
        <v>11710</v>
      </c>
      <c r="C11712" s="10" t="inlineStr">
        <is>
          <t>Bình Dương - Nhân viên audit</t>
        </is>
      </c>
      <c r="D11712" s="10" t="inlineStr">
        <is>
          <t>CÔNG TY TNHH POLYTEX FAR EASTERN (VIỆT NAM)</t>
        </is>
      </c>
      <c r="E11712" s="10" t="inlineStr">
        <is>
          <t>Lương:13 Tr - 17 Tr VND</t>
        </is>
      </c>
      <c r="F11712" s="10" t="inlineStr">
        <is>
          <t>Bình Dương</t>
        </is>
      </c>
      <c r="G11712" s="10" t="inlineStr">
        <is>
          <t>31-03-2026</t>
        </is>
      </c>
      <c r="H11712" s="10" t="inlineStr">
        <is>
          <t>31/03/2026</t>
        </is>
      </c>
      <c r="I11712" s="10" t="inlineStr">
        <is>
          <t>17/03/2026</t>
        </is>
      </c>
      <c r="J11712" s="10" t="inlineStr">
        <is>
          <t>Luật / Pháp lý, Kế toán / Kiểm toán, Tài chính / Đầu tư</t>
        </is>
      </c>
      <c r="K11712" s="10" t="inlineStr">
        <is>
          <t>1 - 3 Năm</t>
        </is>
      </c>
      <c r="L11712" s="11">
        <f>HYPERLINK("https://careerviet.vn/vi/tim-viec-lam/binh-duong-nhan-vien-audit.35C69DD5.html","Xem chi tiết")</f>
        <v/>
      </c>
      <c r="M11712" s="10" t="n"/>
    </row>
    <row r="11713">
      <c r="B11713" s="7" t="n">
        <v>11711</v>
      </c>
      <c r="C11713" t="inlineStr">
        <is>
          <t>Nhân Viên Marketing Thương Mại Điện Tử</t>
        </is>
      </c>
      <c r="D11713" t="inlineStr">
        <is>
          <t>JoyMall - Nhà Phân Phối Locknlock</t>
        </is>
      </c>
      <c r="E11713" t="inlineStr">
        <is>
          <t>Lương:7 Tr - 12 Tr VND</t>
        </is>
      </c>
      <c r="F11713" t="inlineStr">
        <is>
          <t>Hồ Chí Minh</t>
        </is>
      </c>
      <c r="G11713" t="inlineStr">
        <is>
          <t>31-03-2026</t>
        </is>
      </c>
      <c r="H11713" t="inlineStr">
        <is>
          <t>31/03/2026</t>
        </is>
      </c>
      <c r="I11713" t="inlineStr">
        <is>
          <t>17/03/2026</t>
        </is>
      </c>
      <c r="J11713" t="inlineStr">
        <is>
          <t>Tiếp thị / Marketing, Thương mại điện tử, Quảng cáo / Đối ngoại / Truyền Thông</t>
        </is>
      </c>
      <c r="K11713" t="inlineStr">
        <is>
          <t>Lên đến 1 Năm</t>
        </is>
      </c>
      <c r="L11713" s="8">
        <f>HYPERLINK("https://careerviet.vn/vi/tim-viec-lam/nhan-vien-marketing-thuong-mai-dien-tu.35C6A00D.html","Xem chi tiết")</f>
        <v/>
      </c>
    </row>
    <row r="11714">
      <c r="B11714" s="9" t="n">
        <v>11712</v>
      </c>
      <c r="C11714" s="10" t="inlineStr">
        <is>
          <t>Field Sales Trainer  (1 HCM, 1 Hà Nội)</t>
        </is>
      </c>
      <c r="D11714" s="10" t="inlineStr">
        <is>
          <t>CÔNG TY CỔ PHẦN GREEN SPEED</t>
        </is>
      </c>
      <c r="E11714" s="10" t="inlineStr">
        <is>
          <t>Lương:15 Tr - 16 Tr VND</t>
        </is>
      </c>
      <c r="F11714" s="10" t="inlineStr">
        <is>
          <t>Hồ Chí MinhHà Nội</t>
        </is>
      </c>
      <c r="G11714" s="10" t="inlineStr">
        <is>
          <t>28-03-2026</t>
        </is>
      </c>
      <c r="H11714" s="10" t="inlineStr">
        <is>
          <t>28/03/2026</t>
        </is>
      </c>
      <c r="I11714" s="10" t="inlineStr">
        <is>
          <t>17/03/2026</t>
        </is>
      </c>
      <c r="J11714" s="10" t="inlineStr">
        <is>
          <t>Bán hàng / Kinh doanh</t>
        </is>
      </c>
      <c r="K11714" s="10" t="inlineStr">
        <is>
          <t>1 - 2 Năm</t>
        </is>
      </c>
      <c r="L11714" s="11">
        <f>HYPERLINK("https://careerviet.vn/vi/tim-viec-lam/field-sales-trainer-1-hcm-1-ha-noi.35C69EFA.html","Xem chi tiết")</f>
        <v/>
      </c>
      <c r="M11714" s="10" t="n"/>
    </row>
    <row r="11715">
      <c r="B11715" s="7" t="n">
        <v>11713</v>
      </c>
      <c r="C11715" t="inlineStr">
        <is>
          <t>Sea Freight Excutive</t>
        </is>
      </c>
      <c r="D11715" t="inlineStr">
        <is>
          <t>Indo Trans Logistics</t>
        </is>
      </c>
      <c r="E11715" t="inlineStr">
        <is>
          <t>Lương:Cạnh tranh</t>
        </is>
      </c>
      <c r="F11715" t="inlineStr">
        <is>
          <t>Hồ Chí Minh</t>
        </is>
      </c>
      <c r="G11715" t="inlineStr">
        <is>
          <t>31-03-2026</t>
        </is>
      </c>
      <c r="H11715" t="inlineStr">
        <is>
          <t>31/03/2026</t>
        </is>
      </c>
      <c r="I11715" t="inlineStr">
        <is>
          <t>17/03/2026</t>
        </is>
      </c>
      <c r="J11715" t="inlineStr">
        <is>
          <t>Vận chuyển / Giao nhận / Kho vận</t>
        </is>
      </c>
      <c r="K11715" t="inlineStr">
        <is>
          <t>Trên 3 Năm</t>
        </is>
      </c>
      <c r="L11715" s="8">
        <f>HYPERLINK("https://careerviet.vn/vi/tim-viec-lam/sea-freight-excutive.35C69AE4.html","Xem chi tiết")</f>
        <v/>
      </c>
    </row>
    <row r="11716">
      <c r="B11716" s="9" t="n">
        <v>11714</v>
      </c>
      <c r="C11716" s="10" t="inlineStr">
        <is>
          <t>KẾ TOÁN TỔNG HỢP</t>
        </is>
      </c>
      <c r="D11716" s="10" t="inlineStr">
        <is>
          <t>Vietnam Tourist</t>
        </is>
      </c>
      <c r="E11716" s="10" t="inlineStr">
        <is>
          <t>Lương:8 Tr - 12 Tr VND</t>
        </is>
      </c>
      <c r="F11716" s="10" t="inlineStr">
        <is>
          <t>Hà Nội</t>
        </is>
      </c>
      <c r="G11716" s="10" t="inlineStr">
        <is>
          <t>31-03-2026</t>
        </is>
      </c>
      <c r="H11716" s="10" t="inlineStr">
        <is>
          <t>31/03/2026</t>
        </is>
      </c>
      <c r="I11716" s="10" t="inlineStr">
        <is>
          <t>17/03/2026</t>
        </is>
      </c>
      <c r="J11716" s="10" t="inlineStr">
        <is>
          <t>Du lịch, Kế toán / Kiểm toán</t>
        </is>
      </c>
      <c r="K11716" s="10" t="inlineStr">
        <is>
          <t>1 - 5 Năm</t>
        </is>
      </c>
      <c r="L11716" s="11">
        <f>HYPERLINK("https://careerviet.vn/vi/tim-viec-lam/ke-toan-tong-hop.35C69D93.html","Xem chi tiết")</f>
        <v/>
      </c>
      <c r="M11716" s="10" t="n"/>
    </row>
    <row r="11717">
      <c r="B11717" s="7" t="n">
        <v>11715</v>
      </c>
      <c r="C11717" t="inlineStr">
        <is>
          <t>CHUYÊN VIÊN NHÂN SỰ/ CHUYÊN VIÊN C&amp;B</t>
        </is>
      </c>
      <c r="D11717" t="inlineStr">
        <is>
          <t>CÔNG TY TNHH TẬP ĐOÀN ĐỊNH AN</t>
        </is>
      </c>
      <c r="E11717" t="inlineStr">
        <is>
          <t>Lương:13 Tr - 18 Tr VND</t>
        </is>
      </c>
      <c r="F11717" t="inlineStr">
        <is>
          <t>Hà Nội</t>
        </is>
      </c>
      <c r="G11717" t="inlineStr">
        <is>
          <t>27-03-2026</t>
        </is>
      </c>
      <c r="H11717" t="inlineStr">
        <is>
          <t>27/03/2026</t>
        </is>
      </c>
      <c r="I11717" t="inlineStr">
        <is>
          <t>17/03/2026</t>
        </is>
      </c>
      <c r="J11717" t="inlineStr">
        <is>
          <t>Nhân sự, Kế toán / Kiểm toán, Hành chính / Thư ký</t>
        </is>
      </c>
      <c r="K11717" t="inlineStr">
        <is>
          <t>Trên 2 Năm</t>
        </is>
      </c>
      <c r="L11717" s="8">
        <f>HYPERLINK("https://careerviet.vn/vi/tim-viec-lam/chuyen-vien-nhan-su-chuyen-vien-c-b.35C69DBB.html","Xem chi tiết")</f>
        <v/>
      </c>
    </row>
    <row r="11718">
      <c r="B11718" s="9" t="n">
        <v>11716</v>
      </c>
      <c r="C11718" s="10" t="inlineStr">
        <is>
          <t>Nhân Viên Kỹ Thuật/Giám sát thi công - Hà Nội</t>
        </is>
      </c>
      <c r="D11718" s="10" t="inlineStr">
        <is>
          <t>Công ty TNHH Phòng cháy chữa cháy và cứu nạn cứu hộ Việt Nam</t>
        </is>
      </c>
      <c r="E11718" s="10" t="inlineStr">
        <is>
          <t>Lương:17 Tr - 20 Tr VND</t>
        </is>
      </c>
      <c r="F11718" s="10" t="inlineStr">
        <is>
          <t>Hà Nội</t>
        </is>
      </c>
      <c r="G11718" s="10" t="inlineStr">
        <is>
          <t>31-03-2026</t>
        </is>
      </c>
      <c r="H11718" s="10" t="inlineStr">
        <is>
          <t>31/03/2026</t>
        </is>
      </c>
      <c r="I11718" s="10" t="inlineStr">
        <is>
          <t>17/03/2026</t>
        </is>
      </c>
      <c r="J11718" s="10" t="inlineStr">
        <is>
          <t>Xây dựng, Kiến trúc, Điện / Điện tử / Điện lạnh / Điện công nghiệp</t>
        </is>
      </c>
      <c r="K11718" s="10" t="inlineStr">
        <is>
          <t>2 - 10 Năm</t>
        </is>
      </c>
      <c r="L11718" s="11">
        <f>HYPERLINK("https://careerviet.vn/vi/tim-viec-lam/nhan-vien-ky-thuat-giam-sat-thi-cong-ha-noi.35C69DF5.html","Xem chi tiết")</f>
        <v/>
      </c>
      <c r="M11718" s="10" t="n"/>
    </row>
    <row r="11719">
      <c r="B11719" s="7" t="n">
        <v>11717</v>
      </c>
      <c r="C11719" t="inlineStr">
        <is>
          <t>Nhân Viên Tiếng Nhật</t>
        </is>
      </c>
      <c r="D11719" t="inlineStr">
        <is>
          <t>CÔNG TY TNHH JOB HOUSE</t>
        </is>
      </c>
      <c r="E11719" t="inlineStr">
        <is>
          <t>Lương:Lên đến 20 Tr VND</t>
        </is>
      </c>
      <c r="F11719" t="inlineStr">
        <is>
          <t>Hà NộiHồ Chí MinhHưng Yên</t>
        </is>
      </c>
      <c r="G11719" t="inlineStr">
        <is>
          <t>31-03-2026</t>
        </is>
      </c>
      <c r="H11719" t="inlineStr">
        <is>
          <t>31/03/2026</t>
        </is>
      </c>
      <c r="I11719" t="inlineStr">
        <is>
          <t>17/03/2026</t>
        </is>
      </c>
      <c r="J11719" t="inlineStr">
        <is>
          <t>Biên phiên dịch, Bán hàng / Kinh doanh, Xuất nhập khẩu</t>
        </is>
      </c>
      <c r="K11719" t="inlineStr">
        <is>
          <t>Trên 2 Năm</t>
        </is>
      </c>
      <c r="L11719" s="8">
        <f>HYPERLINK("https://careerviet.vn/vi/tim-viec-lam/nhan-vien-tieng-nhat.35C69EF6.html","Xem chi tiết")</f>
        <v/>
      </c>
    </row>
    <row r="11720">
      <c r="B11720" s="9" t="n">
        <v>11718</v>
      </c>
      <c r="C11720" s="10" t="inlineStr">
        <is>
          <t>Chuyên Viên Phát Triển Dự Án - Ban Năng Lượng</t>
        </is>
      </c>
      <c r="D11720" s="10" t="inlineStr">
        <is>
          <t>Xuân Cầu Holdings</t>
        </is>
      </c>
      <c r="E11720" s="10" t="inlineStr">
        <is>
          <t>Lương:25 Tr - 40 Tr VND</t>
        </is>
      </c>
      <c r="F11720" s="10" t="inlineStr">
        <is>
          <t>Hà Nội</t>
        </is>
      </c>
      <c r="G11720" s="10" t="inlineStr">
        <is>
          <t>12-03-2026</t>
        </is>
      </c>
      <c r="H11720" s="10" t="inlineStr">
        <is>
          <t>28/02/2026</t>
        </is>
      </c>
      <c r="I11720" s="10" t="inlineStr">
        <is>
          <t>17/03/2026</t>
        </is>
      </c>
      <c r="J11720" s="10" t="inlineStr">
        <is>
          <t>Điện / Điện tử / Điện lạnh / Điện công nghiệp, Xây dựng</t>
        </is>
      </c>
      <c r="K11720" s="10" t="inlineStr">
        <is>
          <t>3 - 12 Năm</t>
        </is>
      </c>
      <c r="L11720" s="11">
        <f>HYPERLINK("https://careerviet.vn/vi/tim-viec-lam/chuyen-vien-phat-trien-du-an-ban-nang-luong.35C69E86.html","Xem chi tiết")</f>
        <v/>
      </c>
      <c r="M11720" s="10" t="n"/>
    </row>
    <row r="11721">
      <c r="B11721" s="7" t="n">
        <v>11719</v>
      </c>
      <c r="C11721" t="inlineStr">
        <is>
          <t>Trưởng Nhóm Chiến Lược Sáng Tạo Nội Dung</t>
        </is>
      </c>
      <c r="D11721" t="inlineStr">
        <is>
          <t>JoyMall - Nhà Phân Phối Locknlock</t>
        </is>
      </c>
      <c r="E11721" t="inlineStr">
        <is>
          <t>Lương:12 Tr - 20 Tr VND</t>
        </is>
      </c>
      <c r="F11721" t="inlineStr">
        <is>
          <t>Hồ Chí Minh</t>
        </is>
      </c>
      <c r="G11721" t="inlineStr">
        <is>
          <t>31-03-2026</t>
        </is>
      </c>
      <c r="H11721" t="inlineStr">
        <is>
          <t>31/03/2026</t>
        </is>
      </c>
      <c r="I11721" t="inlineStr">
        <is>
          <t>17/03/2026</t>
        </is>
      </c>
      <c r="J11721" t="inlineStr">
        <is>
          <t>Tiếp thị / Marketing, Thương mại điện tử, Quảng cáo / Đối ngoại / Truyền Thông</t>
        </is>
      </c>
      <c r="K11721" t="inlineStr">
        <is>
          <t>Lên đến 1 Năm</t>
        </is>
      </c>
      <c r="L11721" s="8">
        <f>HYPERLINK("https://careerviet.vn/vi/tim-viec-lam/truong-nhom-chien-luoc-sang-tao-noi-dung.35C69DF3.html","Xem chi tiết")</f>
        <v/>
      </c>
    </row>
    <row r="11722">
      <c r="B11722" s="9" t="n">
        <v>11720</v>
      </c>
      <c r="C11722" s="10" t="inlineStr">
        <is>
          <t>Kỹ Sư/ Kỹ Thuật Giám Sát</t>
        </is>
      </c>
      <c r="D11722" s="10" t="inlineStr">
        <is>
          <t>DECOFI - Công Ty CP Xây Dựng &amp; Thiết Kế Số 1</t>
        </is>
      </c>
      <c r="E11722" s="10" t="inlineStr">
        <is>
          <t>Lương:Cạnh tranh</t>
        </is>
      </c>
      <c r="F11722" s="10" t="inlineStr">
        <is>
          <t>Hồ Chí MinhĐà Nẵng</t>
        </is>
      </c>
      <c r="G11722" s="10" t="inlineStr">
        <is>
          <t>29-03-2026</t>
        </is>
      </c>
      <c r="H11722" s="10" t="inlineStr">
        <is>
          <t>29/03/2026</t>
        </is>
      </c>
      <c r="I11722" s="10" t="inlineStr">
        <is>
          <t>17/03/2026</t>
        </is>
      </c>
      <c r="J11722" s="10" t="inlineStr">
        <is>
          <t>Kiến trúc, Xây dựng</t>
        </is>
      </c>
      <c r="K11722" s="10" t="inlineStr">
        <is>
          <t>2 - 4 Năm</t>
        </is>
      </c>
      <c r="L11722" s="11">
        <f>HYPERLINK("https://careerviet.vn/vi/tim-viec-lam/ky-su-ky-thuat-giam-sat.35C69DFE.html","Xem chi tiết")</f>
        <v/>
      </c>
      <c r="M11722" s="10" t="n"/>
    </row>
    <row r="11723">
      <c r="B11723" s="7" t="n">
        <v>11721</v>
      </c>
      <c r="C11723" t="inlineStr">
        <is>
          <t>Nhân viên marketing - admin</t>
        </is>
      </c>
      <c r="D11723" t="inlineStr">
        <is>
          <t>Công ty Cổ Phần Nhựa Thiếu Niên Tiền Phong Phía Nam</t>
        </is>
      </c>
      <c r="E11723" t="inlineStr">
        <is>
          <t>Lương:Cạnh tranh</t>
        </is>
      </c>
      <c r="F11723" t="inlineStr">
        <is>
          <t>Hồ Chí Minh</t>
        </is>
      </c>
      <c r="G11723" t="inlineStr">
        <is>
          <t>29-03-2026</t>
        </is>
      </c>
      <c r="H11723" t="inlineStr">
        <is>
          <t>29/03/2026</t>
        </is>
      </c>
      <c r="I11723" t="inlineStr">
        <is>
          <t>17/03/2026</t>
        </is>
      </c>
      <c r="J11723" t="inlineStr">
        <is>
          <t>Tiếp thị / Marketing</t>
        </is>
      </c>
      <c r="K11723" t="inlineStr">
        <is>
          <t>1 - 2 Năm</t>
        </is>
      </c>
      <c r="L11723" s="8">
        <f>HYPERLINK("https://careerviet.vn/vi/tim-viec-lam/nhan-vien-marketing-admin.35C69E49.html","Xem chi tiết")</f>
        <v/>
      </c>
    </row>
    <row r="11724">
      <c r="B11724" s="9" t="n">
        <v>11722</v>
      </c>
      <c r="C11724" s="10" t="inlineStr">
        <is>
          <t>Nhân Viên Hành Chính – Lễ Tân</t>
        </is>
      </c>
      <c r="D11724" s="10" t="inlineStr">
        <is>
          <t>Công ty Cổ phần Thiết bị và Giải pháp cơ khí Automech</t>
        </is>
      </c>
      <c r="E11724" s="10" t="inlineStr">
        <is>
          <t>Lương:10 Tr - 15 Tr VND</t>
        </is>
      </c>
      <c r="F11724" s="10" t="inlineStr">
        <is>
          <t>Hà Nội</t>
        </is>
      </c>
      <c r="G11724" s="10" t="inlineStr">
        <is>
          <t>27-03-2026</t>
        </is>
      </c>
      <c r="H11724" s="10" t="inlineStr">
        <is>
          <t>27/03/2026</t>
        </is>
      </c>
      <c r="I11724" s="10" t="inlineStr">
        <is>
          <t>17/03/2026</t>
        </is>
      </c>
      <c r="J11724" s="10" t="inlineStr">
        <is>
          <t>Hành chính / Thư ký, Dịch vụ khách hàng, Tư vấn</t>
        </is>
      </c>
      <c r="K11724" s="10" t="inlineStr">
        <is>
          <t>N/A</t>
        </is>
      </c>
      <c r="L11724" s="11">
        <f>HYPERLINK("https://careerviet.vn/vi/tim-viec-lam/nhan-vien-hanh-chinh-le-tan.35C69E1D.html","Xem chi tiết")</f>
        <v/>
      </c>
      <c r="M11724" s="10" t="n"/>
    </row>
    <row r="11725">
      <c r="B11725" s="7" t="n">
        <v>11723</v>
      </c>
      <c r="C11725" t="inlineStr">
        <is>
          <t>[NLE] Talent Acquisition Manager</t>
        </is>
      </c>
      <c r="D11725" t="inlineStr">
        <is>
          <t>Nova Service Group - Công ty Cổ phần Tập đoàn Nova Services</t>
        </is>
      </c>
      <c r="E11725" t="inlineStr">
        <is>
          <t>Lương:Cạnh tranh</t>
        </is>
      </c>
      <c r="F11725" t="inlineStr">
        <is>
          <t>Hồ Chí Minh</t>
        </is>
      </c>
      <c r="G11725" t="inlineStr">
        <is>
          <t>27-03-2026</t>
        </is>
      </c>
      <c r="H11725" t="inlineStr">
        <is>
          <t>27/03/2026</t>
        </is>
      </c>
      <c r="I11725" t="inlineStr">
        <is>
          <t>17/03/2026</t>
        </is>
      </c>
      <c r="J11725" t="inlineStr">
        <is>
          <t>Dịch vụ khách hàng, Nhân sự, Nhà hàng / Khách sạn</t>
        </is>
      </c>
      <c r="K11725" t="inlineStr">
        <is>
          <t>7 - 9 Năm</t>
        </is>
      </c>
      <c r="L11725" s="8">
        <f>HYPERLINK("https://careerviet.vn/vi/tim-viec-lam/nle-talent-acquisition-manager.35C69DF7.html","Xem chi tiết")</f>
        <v/>
      </c>
    </row>
    <row r="11726">
      <c r="B11726" s="9" t="n">
        <v>11724</v>
      </c>
      <c r="C11726" s="10" t="inlineStr">
        <is>
          <t>Finance Temp. (10 Months)/ Nhân Viên Kế Toán Thời Vụ</t>
        </is>
      </c>
      <c r="D11726" s="10" t="inlineStr">
        <is>
          <t>Cty TNHH Top Solvent (Việt Nam)</t>
        </is>
      </c>
      <c r="E11726" s="10" t="inlineStr">
        <is>
          <t>Lương:Lên đến 15 Tr VND</t>
        </is>
      </c>
      <c r="F11726" s="10" t="inlineStr">
        <is>
          <t>Hồ Chí Minh</t>
        </is>
      </c>
      <c r="G11726" s="10" t="inlineStr">
        <is>
          <t>26-03-2026</t>
        </is>
      </c>
      <c r="H11726" s="10" t="inlineStr">
        <is>
          <t>26/03/2026</t>
        </is>
      </c>
      <c r="I11726" s="10" t="inlineStr">
        <is>
          <t>17/03/2026</t>
        </is>
      </c>
      <c r="J11726" s="10" t="inlineStr">
        <is>
          <t>Kế toán / Kiểm toán, Tài chính / Đầu tư, Luật / Pháp lý</t>
        </is>
      </c>
      <c r="K11726" s="10" t="inlineStr">
        <is>
          <t>N/A</t>
        </is>
      </c>
      <c r="L11726" s="11">
        <f>HYPERLINK("https://careerviet.vn/vi/tim-viec-lam/finance-temp-10-months-nhan-vien-ke-toan-thoi-vu.35C69DC8.html","Xem chi tiết")</f>
        <v/>
      </c>
      <c r="M11726" s="10" t="n"/>
    </row>
    <row r="11727">
      <c r="B11727" s="7" t="n">
        <v>11725</v>
      </c>
      <c r="C11727" t="inlineStr">
        <is>
          <t>Nhân Viên Giám Sát Camera</t>
        </is>
      </c>
      <c r="D11727" t="inlineStr">
        <is>
          <t>NHÀ SÁCH TIẾN THỌ</t>
        </is>
      </c>
      <c r="E11727" t="inlineStr">
        <is>
          <t>Lương:9 Tr - 11 Tr VND</t>
        </is>
      </c>
      <c r="F11727" t="inlineStr">
        <is>
          <t>Hà Nội</t>
        </is>
      </c>
      <c r="G11727" t="inlineStr">
        <is>
          <t>12-03-2026</t>
        </is>
      </c>
      <c r="H11727" t="inlineStr">
        <is>
          <t>13/03/2026</t>
        </is>
      </c>
      <c r="I11727" t="inlineStr">
        <is>
          <t>17/03/2026</t>
        </is>
      </c>
      <c r="J11727" t="inlineStr">
        <is>
          <t>Bán lẻ / Bán sỉ</t>
        </is>
      </c>
      <c r="K11727" t="inlineStr">
        <is>
          <t>N/A</t>
        </is>
      </c>
      <c r="L11727" s="8">
        <f>HYPERLINK("https://careerviet.vn/vi/tim-viec-lam/nhan-vien-giam-sat-camera.35C69D9E.html","Xem chi tiết")</f>
        <v/>
      </c>
    </row>
    <row r="11728">
      <c r="B11728" s="9" t="n">
        <v>11726</v>
      </c>
      <c r="C11728" s="10" t="inlineStr">
        <is>
          <t>Nhân Viên Bán Hàng Nhựa Đường</t>
        </is>
      </c>
      <c r="D11728" s="10" t="inlineStr">
        <is>
          <t>CÔNG TY CỔ PHẦN THƯƠNG MẠI VÀ XUẤT NHẬP KHẨU VẬT TƯ GIAO THÔNG</t>
        </is>
      </c>
      <c r="E11728" s="10" t="inlineStr">
        <is>
          <t>Lương:15 Tr - 30 Tr VND</t>
        </is>
      </c>
      <c r="F11728" s="10" t="inlineStr">
        <is>
          <t>Hà NộiHồ Chí Minh</t>
        </is>
      </c>
      <c r="G11728" s="10" t="inlineStr">
        <is>
          <t>31-03-2026</t>
        </is>
      </c>
      <c r="H11728" s="10" t="inlineStr">
        <is>
          <t>31/03/2026</t>
        </is>
      </c>
      <c r="I11728" s="10" t="inlineStr">
        <is>
          <t>17/03/2026</t>
        </is>
      </c>
      <c r="J11728" s="10" t="inlineStr">
        <is>
          <t>Bán hàng / Kinh doanh, Tư vấn, Xây dựng</t>
        </is>
      </c>
      <c r="K11728" s="10" t="inlineStr">
        <is>
          <t>2 - 5 Năm</t>
        </is>
      </c>
      <c r="L11728" s="11">
        <f>HYPERLINK("https://careerviet.vn/vi/tim-viec-lam/nhan-vien-ban-hang-nhua-duong.35C5A415.html","Xem chi tiết")</f>
        <v/>
      </c>
      <c r="M11728" s="10" t="n"/>
    </row>
    <row r="11729">
      <c r="B11729" s="7" t="n">
        <v>11727</v>
      </c>
      <c r="C11729" t="inlineStr">
        <is>
          <t>Kế Toán Trưởng  (Ưu tiên nhận việc ngay)</t>
        </is>
      </c>
      <c r="D11729" t="inlineStr">
        <is>
          <t>Công Ty TNHH Muse Medical</t>
        </is>
      </c>
      <c r="E11729" t="inlineStr">
        <is>
          <t>Lương:Cạnh tranh</t>
        </is>
      </c>
      <c r="F11729" t="inlineStr">
        <is>
          <t>Hồ Chí Minh</t>
        </is>
      </c>
      <c r="G11729" t="inlineStr">
        <is>
          <t>31-03-2026</t>
        </is>
      </c>
      <c r="H11729" t="inlineStr">
        <is>
          <t>31/03/2026</t>
        </is>
      </c>
      <c r="I11729" t="inlineStr">
        <is>
          <t>17/03/2026</t>
        </is>
      </c>
      <c r="J11729" t="inlineStr">
        <is>
          <t>Kế toán / Kiểm toán, Tài chính / Đầu tư, Y tế / Chăm sóc sức khỏe / Thẩm mỹ / Làm đẹp</t>
        </is>
      </c>
      <c r="K11729" t="inlineStr">
        <is>
          <t>Trên 5 Năm</t>
        </is>
      </c>
      <c r="L11729" s="8">
        <f>HYPERLINK("https://careerviet.vn/vi/tim-viec-lam/ke-toan-truong-uu-tien-nhan-viec-ngay.35C6A0C2.html","Xem chi tiết")</f>
        <v/>
      </c>
    </row>
    <row r="11730">
      <c r="B11730" s="9" t="n">
        <v>11728</v>
      </c>
      <c r="C11730" s="10" t="inlineStr">
        <is>
          <t>Kiến trúc sư</t>
        </is>
      </c>
      <c r="D11730" s="10" t="inlineStr">
        <is>
          <t>CÔNG TY CỔ PHẦN TƯ VẤN THIẾT KẾ VÀ XÂY DỰNG GREENHN</t>
        </is>
      </c>
      <c r="E11730" s="10" t="inlineStr">
        <is>
          <t>Lương:13 Tr - 20 Tr VND</t>
        </is>
      </c>
      <c r="F11730" s="10" t="inlineStr">
        <is>
          <t>Hà NộiHồ Chí Minh</t>
        </is>
      </c>
      <c r="G11730" s="10" t="inlineStr">
        <is>
          <t>31-03-2026</t>
        </is>
      </c>
      <c r="H11730" s="10" t="inlineStr">
        <is>
          <t>31/03/2026</t>
        </is>
      </c>
      <c r="I11730" s="10" t="inlineStr">
        <is>
          <t>17/03/2026</t>
        </is>
      </c>
      <c r="J11730" s="10" t="inlineStr">
        <is>
          <t>Kiến trúc, Xây dựng, Nội ngoại thất</t>
        </is>
      </c>
      <c r="K11730" s="10" t="inlineStr">
        <is>
          <t>2 - 5 Năm</t>
        </is>
      </c>
      <c r="L11730" s="11">
        <f>HYPERLINK("https://careerviet.vn/vi/tim-viec-lam/kien-truc-su.35C69D5A.html","Xem chi tiết")</f>
        <v/>
      </c>
      <c r="M11730" s="10" t="n"/>
    </row>
    <row r="11731">
      <c r="B11731" s="7" t="n">
        <v>11729</v>
      </c>
      <c r="C11731" t="inlineStr">
        <is>
          <t>Cán bộ Kỹ thuật hiện trường (xây dựng)</t>
        </is>
      </c>
      <c r="D11731" t="inlineStr">
        <is>
          <t>CÔNG TY CỔ PHẦN XÂY DỰNG VÀ THIẾT KẾ BẮC TRUNG NAM</t>
        </is>
      </c>
      <c r="E11731" t="inlineStr">
        <is>
          <t>Lương:15 Tr - 18 Tr VND</t>
        </is>
      </c>
      <c r="F11731" t="inlineStr">
        <is>
          <t>Đồng Nai</t>
        </is>
      </c>
      <c r="G11731" t="inlineStr">
        <is>
          <t>31-03-2026</t>
        </is>
      </c>
      <c r="H11731" t="inlineStr">
        <is>
          <t>31/03/2026</t>
        </is>
      </c>
      <c r="I11731" t="inlineStr">
        <is>
          <t>17/03/2026</t>
        </is>
      </c>
      <c r="J11731" t="inlineStr">
        <is>
          <t>Xây dựng</t>
        </is>
      </c>
      <c r="K11731" t="inlineStr">
        <is>
          <t>Chưa có kinh nghiệm</t>
        </is>
      </c>
      <c r="L11731" s="8">
        <f>HYPERLINK("https://careerviet.vn/vi/tim-viec-lam/can-bo-ky-thuat-hien-truong-xay-dung.35C69DBD.html","Xem chi tiết")</f>
        <v/>
      </c>
    </row>
    <row r="11732">
      <c r="B11732" s="9" t="n">
        <v>11730</v>
      </c>
      <c r="C11732" s="10" t="inlineStr">
        <is>
          <t>Kỹ Sư Kinh Tế Xây Dựng</t>
        </is>
      </c>
      <c r="D11732" s="10" t="inlineStr">
        <is>
          <t>Công ty Cổ phần Devyt</t>
        </is>
      </c>
      <c r="E11732" s="10" t="inlineStr">
        <is>
          <t>Lương:Lên đến 25 Tr VND</t>
        </is>
      </c>
      <c r="F11732" s="10" t="inlineStr">
        <is>
          <t>Hà Nội</t>
        </is>
      </c>
      <c r="G11732" s="10" t="inlineStr">
        <is>
          <t>31-03-2026</t>
        </is>
      </c>
      <c r="H11732" s="10" t="inlineStr">
        <is>
          <t>31/03/2026</t>
        </is>
      </c>
      <c r="I11732" s="10" t="inlineStr">
        <is>
          <t>17/03/2026</t>
        </is>
      </c>
      <c r="J11732" s="10" t="inlineStr">
        <is>
          <t>Xây dựng, Luật / Pháp lý, Tài chính / Đầu tư</t>
        </is>
      </c>
      <c r="K11732" s="10" t="inlineStr">
        <is>
          <t>Lên đến 1 Năm</t>
        </is>
      </c>
      <c r="L11732" s="11">
        <f>HYPERLINK("https://careerviet.vn/vi/tim-viec-lam/ky-su-kinh-te-xay-dung.35C69E02.html","Xem chi tiết")</f>
        <v/>
      </c>
      <c r="M11732" s="10" t="n"/>
    </row>
    <row r="11733">
      <c r="B11733" s="7" t="n">
        <v>11731</v>
      </c>
      <c r="C11733" t="inlineStr">
        <is>
          <t>Nhân Viên Kinh Doanh Quốc Tế</t>
        </is>
      </c>
      <c r="D11733" t="inlineStr">
        <is>
          <t>Antesco</t>
        </is>
      </c>
      <c r="E11733" t="inlineStr">
        <is>
          <t>Lương:Cạnh tranh</t>
        </is>
      </c>
      <c r="F11733" t="inlineStr">
        <is>
          <t>Hồ Chí MinhAn Giang</t>
        </is>
      </c>
      <c r="G11733" t="inlineStr">
        <is>
          <t>31-03-2026</t>
        </is>
      </c>
      <c r="H11733" t="inlineStr">
        <is>
          <t>31/03/2026</t>
        </is>
      </c>
      <c r="I11733" t="inlineStr">
        <is>
          <t>17/03/2026</t>
        </is>
      </c>
      <c r="J11733" t="inlineStr">
        <is>
          <t>Xuất nhập khẩu, Bán hàng / Kinh doanh, Tiếp thị / Marketing</t>
        </is>
      </c>
      <c r="K11733" t="inlineStr">
        <is>
          <t>1 - 2 Năm</t>
        </is>
      </c>
      <c r="L11733" s="8">
        <f>HYPERLINK("https://careerviet.vn/vi/tim-viec-lam/nhan-vien-kinh-doanh-quoc-te.35C69D8F.html","Xem chi tiết")</f>
        <v/>
      </c>
    </row>
    <row r="11734">
      <c r="B11734" s="9" t="n">
        <v>11732</v>
      </c>
      <c r="C11734" s="10" t="inlineStr">
        <is>
          <t>Trưởng nhóm kinh doanh</t>
        </is>
      </c>
      <c r="D11734" s="10" t="inlineStr">
        <is>
          <t>CÔNG TY CỔ PHẦN ABT HOMES</t>
        </is>
      </c>
      <c r="E11734" s="10" t="inlineStr">
        <is>
          <t>Lương:20 Tr - 40 Tr VND</t>
        </is>
      </c>
      <c r="F11734" s="10" t="inlineStr">
        <is>
          <t>Hà Nội</t>
        </is>
      </c>
      <c r="G11734" s="10" t="inlineStr">
        <is>
          <t>31-03-2026</t>
        </is>
      </c>
      <c r="H11734" s="10" t="inlineStr">
        <is>
          <t>31/03/2026</t>
        </is>
      </c>
      <c r="I11734" s="10" t="inlineStr">
        <is>
          <t>17/03/2026</t>
        </is>
      </c>
      <c r="J11734" s="10" t="inlineStr">
        <is>
          <t>Nội ngoại thất, Kiến trúc, Xây dựng</t>
        </is>
      </c>
      <c r="K11734" s="10" t="inlineStr">
        <is>
          <t>1 - 2 Năm</t>
        </is>
      </c>
      <c r="L11734" s="11">
        <f>HYPERLINK("https://careerviet.vn/vi/tim-viec-lam/truong-nhom-kinh-doanh.35C69D9A.html","Xem chi tiết")</f>
        <v/>
      </c>
      <c r="M11734" s="10" t="n"/>
    </row>
    <row r="11735">
      <c r="B11735" s="7" t="n">
        <v>11733</v>
      </c>
      <c r="C11735" t="inlineStr">
        <is>
          <t>[HCM] Store Manager (Cửa hàng trưởng cửa hàng thời trang)</t>
        </is>
      </c>
      <c r="D11735" t="inlineStr">
        <is>
          <t>CÔNG TY TNHH SEMIR INTERNATIONAL VIỆT NAM</t>
        </is>
      </c>
      <c r="E11735" t="inlineStr">
        <is>
          <t>Lương:Cạnh tranh</t>
        </is>
      </c>
      <c r="F11735" t="inlineStr">
        <is>
          <t>Hồ Chí Minh</t>
        </is>
      </c>
      <c r="G11735" t="inlineStr">
        <is>
          <t>12-03-2026</t>
        </is>
      </c>
      <c r="H11735" t="inlineStr">
        <is>
          <t>14/03/2026</t>
        </is>
      </c>
      <c r="I11735" t="inlineStr">
        <is>
          <t>17/03/2026</t>
        </is>
      </c>
      <c r="J11735" t="inlineStr">
        <is>
          <t>Bán lẻ / Bán sỉ, Bán hàng / Kinh doanh</t>
        </is>
      </c>
      <c r="K11735" t="inlineStr">
        <is>
          <t>3 - 5 Năm</t>
        </is>
      </c>
      <c r="L11735" s="8">
        <f>HYPERLINK("https://careerviet.vn/vi/tim-viec-lam/hcm-store-manager-cua-hang-truong-cua-hang-thoi-trang.35C69EC3.html","Xem chi tiết")</f>
        <v/>
      </c>
    </row>
    <row r="11736">
      <c r="B11736" s="9" t="n">
        <v>11734</v>
      </c>
      <c r="C11736" s="10" t="inlineStr">
        <is>
          <t>Bảo Vệ - Quận 5</t>
        </is>
      </c>
      <c r="D11736" s="10" t="inlineStr">
        <is>
          <t>Công Ty TNHH Kindy City</t>
        </is>
      </c>
      <c r="E11736" s="10" t="inlineStr">
        <is>
          <t>Lương:7,5 Tr - 9 Tr VND</t>
        </is>
      </c>
      <c r="F11736" s="10" t="inlineStr">
        <is>
          <t>Hồ Chí Minh</t>
        </is>
      </c>
      <c r="G11736" s="10" t="inlineStr">
        <is>
          <t>26-03-2026</t>
        </is>
      </c>
      <c r="H11736" s="10" t="inlineStr">
        <is>
          <t>26/03/2026</t>
        </is>
      </c>
      <c r="I11736" s="10" t="inlineStr">
        <is>
          <t>17/03/2026</t>
        </is>
      </c>
      <c r="J11736" s="10" t="inlineStr">
        <is>
          <t>An Ninh / Bảo Vệ, Giáo dục / Đào tạo</t>
        </is>
      </c>
      <c r="K11736" s="10" t="inlineStr">
        <is>
          <t>2 - 4 Năm</t>
        </is>
      </c>
      <c r="L11736" s="11">
        <f>HYPERLINK("https://careerviet.vn/vi/tim-viec-lam/bao-ve-quan-5.35C6A04B.html","Xem chi tiết")</f>
        <v/>
      </c>
      <c r="M11736" s="10" t="n"/>
    </row>
    <row r="11737">
      <c r="B11737" s="7" t="n">
        <v>11735</v>
      </c>
      <c r="C11737" t="inlineStr">
        <is>
          <t>Nhân viên Chăm Sóc Khách Hàng (Lĩnh vực Nha Khoa)</t>
        </is>
      </c>
      <c r="D11737" t="inlineStr">
        <is>
          <t>CÔNG TY TNHH NHA KHOA QUỐC TẾ SQ GROUP</t>
        </is>
      </c>
      <c r="E11737" t="inlineStr">
        <is>
          <t>Lương:8 Tr - 15 Tr VND</t>
        </is>
      </c>
      <c r="F11737" t="inlineStr">
        <is>
          <t>Hồ Chí Minh</t>
        </is>
      </c>
      <c r="G11737" t="inlineStr">
        <is>
          <t>25-03-2026</t>
        </is>
      </c>
      <c r="H11737" t="inlineStr">
        <is>
          <t>25/03/2026</t>
        </is>
      </c>
      <c r="I11737" t="inlineStr">
        <is>
          <t>17/03/2026</t>
        </is>
      </c>
      <c r="J11737" t="inlineStr">
        <is>
          <t>Tư vấn, Y tế / Chăm sóc sức khỏe / Thẩm mỹ / Làm đẹp, Bán hàng / Kinh doanh</t>
        </is>
      </c>
      <c r="K11737" t="inlineStr">
        <is>
          <t>Lên đến 1 Năm</t>
        </is>
      </c>
      <c r="L11737" s="8">
        <f>HYPERLINK("https://careerviet.vn/vi/tim-viec-lam/nhan-vien-cham-soc-khach-hang-linh-vuc-nha-khoa.35C69D43.html","Xem chi tiết")</f>
        <v/>
      </c>
    </row>
    <row r="11738">
      <c r="B11738" s="9" t="n">
        <v>11736</v>
      </c>
      <c r="C11738" s="10" t="inlineStr">
        <is>
          <t>Trợ lý Tổng Giám đốc (biết Tiếng Anh, tiếng Trung)</t>
        </is>
      </c>
      <c r="D11738" s="10" t="inlineStr">
        <is>
          <t>CÔNG TY CỔ PHẦN THƯƠNG MẠI KIỀM SAPHIA PHARMA</t>
        </is>
      </c>
      <c r="E11738" s="10" t="inlineStr">
        <is>
          <t>Lương:18 Tr - 25 Tr VND</t>
        </is>
      </c>
      <c r="F11738" s="10" t="inlineStr">
        <is>
          <t>Hà Nội</t>
        </is>
      </c>
      <c r="G11738" s="10" t="inlineStr">
        <is>
          <t>31-03-2026</t>
        </is>
      </c>
      <c r="H11738" s="10" t="inlineStr">
        <is>
          <t>31/03/2026</t>
        </is>
      </c>
      <c r="I11738" s="10" t="inlineStr">
        <is>
          <t>17/03/2026</t>
        </is>
      </c>
      <c r="J11738" s="10" t="inlineStr">
        <is>
          <t>Quản lý điều hành</t>
        </is>
      </c>
      <c r="K11738" s="10" t="inlineStr">
        <is>
          <t>5 - 10 Năm</t>
        </is>
      </c>
      <c r="L11738" s="11">
        <f>HYPERLINK("https://careerviet.vn/vi/tim-viec-lam/tro-ly-tong-giam-doc-biet-tieng-anh-tieng-trung.35C69D33.html","Xem chi tiết")</f>
        <v/>
      </c>
      <c r="M11738" s="10" t="n"/>
    </row>
    <row r="11739">
      <c r="B11739" s="7" t="n">
        <v>11737</v>
      </c>
      <c r="C11739" t="inlineStr">
        <is>
          <t>Kiến trúc sư triển khai</t>
        </is>
      </c>
      <c r="D11739" t="inlineStr">
        <is>
          <t>CÔNG TY CỔ PHẦN TƯ VẤN THIẾT KẾ VÀ XÂY DỰNG GREENHN</t>
        </is>
      </c>
      <c r="E11739" t="inlineStr">
        <is>
          <t>Lương:14 Tr - 20 Tr VND</t>
        </is>
      </c>
      <c r="F11739" t="inlineStr">
        <is>
          <t>Hồ Chí MinhHà Nội</t>
        </is>
      </c>
      <c r="G11739" t="inlineStr">
        <is>
          <t>31-03-2026</t>
        </is>
      </c>
      <c r="H11739" t="inlineStr">
        <is>
          <t>31/03/2026</t>
        </is>
      </c>
      <c r="I11739" t="inlineStr">
        <is>
          <t>17/03/2026</t>
        </is>
      </c>
      <c r="J11739" t="inlineStr">
        <is>
          <t>Kiến trúc, Xây dựng, Nội ngoại thất</t>
        </is>
      </c>
      <c r="K11739" t="inlineStr">
        <is>
          <t>2 - 5 Năm</t>
        </is>
      </c>
      <c r="L11739" s="8">
        <f>HYPERLINK("https://careerviet.vn/vi/tim-viec-lam/kien-truc-su-trien-khai.35C69D60.html","Xem chi tiết")</f>
        <v/>
      </c>
    </row>
    <row r="11740">
      <c r="B11740" s="9" t="n">
        <v>11738</v>
      </c>
      <c r="C11740" s="10" t="inlineStr">
        <is>
          <t>Nhân Viên Sản Xuất</t>
        </is>
      </c>
      <c r="D11740" s="10" t="inlineStr">
        <is>
          <t>Công Ty TNHH Tư Vấn Y Dược Quốc Tế</t>
        </is>
      </c>
      <c r="E11740" s="10" t="inlineStr">
        <is>
          <t>Lương:Cạnh tranh</t>
        </is>
      </c>
      <c r="F11740" s="10" t="inlineStr">
        <is>
          <t>Hà Nội</t>
        </is>
      </c>
      <c r="G11740" s="10" t="inlineStr">
        <is>
          <t>27-03-2026</t>
        </is>
      </c>
      <c r="H11740" s="10" t="inlineStr">
        <is>
          <t>27/03/2026</t>
        </is>
      </c>
      <c r="I11740" s="10" t="inlineStr">
        <is>
          <t>17/03/2026</t>
        </is>
      </c>
      <c r="J11740" s="10" t="inlineStr">
        <is>
          <t>Y tế / Chăm sóc sức khỏe / Thẩm mỹ / Làm đẹp, Công nghệ sinh học, Sản xuất / Vận hành sản xuất</t>
        </is>
      </c>
      <c r="K11740" s="10" t="inlineStr">
        <is>
          <t>N/A</t>
        </is>
      </c>
      <c r="L11740" s="11">
        <f>HYPERLINK("https://careerviet.vn/vi/tim-viec-lam/nhan-vien-san-xuat.35C69EB5.html","Xem chi tiết")</f>
        <v/>
      </c>
      <c r="M11740" s="10" t="n"/>
    </row>
    <row r="11741">
      <c r="B11741" s="7" t="n">
        <v>11739</v>
      </c>
      <c r="C11741" t="inlineStr">
        <is>
          <t>Nhân viên kinh doanh Sơn, Thiết bị nhà tắm - Thiết bị vệ sinh</t>
        </is>
      </c>
      <c r="D11741" t="inlineStr">
        <is>
          <t>CÔNG TY CỔ PHẦN TẬP ĐOÀN HOA SEN</t>
        </is>
      </c>
      <c r="E11741" t="inlineStr">
        <is>
          <t>Lương:12 Tr - 18 Tr VND</t>
        </is>
      </c>
      <c r="F11741" t="inlineStr">
        <is>
          <t>Bình Định</t>
        </is>
      </c>
      <c r="G11741" t="inlineStr">
        <is>
          <t>12-03-2026</t>
        </is>
      </c>
      <c r="H11741" t="inlineStr">
        <is>
          <t>15/03/2026</t>
        </is>
      </c>
      <c r="I11741" t="inlineStr">
        <is>
          <t>17/03/2026</t>
        </is>
      </c>
      <c r="J11741" t="inlineStr">
        <is>
          <t>Bán hàng / Kinh doanh</t>
        </is>
      </c>
      <c r="K11741" t="inlineStr">
        <is>
          <t>1 - 2 Năm</t>
        </is>
      </c>
      <c r="L11741" s="8">
        <f>HYPERLINK("https://careerviet.vn/vi/tim-viec-lam/nhan-vien-kinh-doanh-son-thiet-bi-nha-tam-thiet-bi-ve-sinh.35C69D1E.html","Xem chi tiết")</f>
        <v/>
      </c>
    </row>
    <row r="11742">
      <c r="B11742" s="9" t="n">
        <v>11740</v>
      </c>
      <c r="C11742" s="10" t="inlineStr">
        <is>
          <t>Quản lý kênh bán Nhà phân phối - Ngành phụ kiện ô tô</t>
        </is>
      </c>
      <c r="D11742" s="10" t="inlineStr">
        <is>
          <t>CÔNG TY TNHH XUẤT NHẬP KHẨU MT GROUP</t>
        </is>
      </c>
      <c r="E11742" s="10" t="inlineStr">
        <is>
          <t>Lương:20 Tr - 25 Tr VND</t>
        </is>
      </c>
      <c r="F11742" s="10" t="inlineStr">
        <is>
          <t>Hồ Chí Minh</t>
        </is>
      </c>
      <c r="G11742" s="10" t="inlineStr">
        <is>
          <t>31-03-2026</t>
        </is>
      </c>
      <c r="H11742" s="10" t="inlineStr">
        <is>
          <t>31/03/2026</t>
        </is>
      </c>
      <c r="I11742" s="10" t="inlineStr">
        <is>
          <t>17/03/2026</t>
        </is>
      </c>
      <c r="J11742" s="10" t="inlineStr">
        <is>
          <t>Cơ khí / Ô tô / Tự động hóa, Bán hàng / Kinh doanh, Bán lẻ / Bán sỉ</t>
        </is>
      </c>
      <c r="K11742" s="10" t="inlineStr">
        <is>
          <t>3 - 5 Năm</t>
        </is>
      </c>
      <c r="L11742" s="11">
        <f>HYPERLINK("https://careerviet.vn/vi/tim-viec-lam/quan-ly-kenh-ban-nha-phan-phoi-nganh-phu-kien-o-to.35C69D19.html","Xem chi tiết")</f>
        <v/>
      </c>
      <c r="M11742" s="10" t="n"/>
    </row>
    <row r="11743">
      <c r="B11743" s="7" t="n">
        <v>11741</v>
      </c>
      <c r="C11743" t="inlineStr">
        <is>
          <t>Chuyên viên C&amp;B (Bán lẻ)</t>
        </is>
      </c>
      <c r="D11743" t="inlineStr">
        <is>
          <t>CÔNG TY TNHH ANTA SPORTS VIỆT NAM</t>
        </is>
      </c>
      <c r="E11743" t="inlineStr">
        <is>
          <t>Lương:17 Tr - 20 Tr VND</t>
        </is>
      </c>
      <c r="F11743" t="inlineStr">
        <is>
          <t>Hà Nội</t>
        </is>
      </c>
      <c r="G11743" t="inlineStr">
        <is>
          <t>26-03-2026</t>
        </is>
      </c>
      <c r="H11743" t="inlineStr">
        <is>
          <t>26/03/2026</t>
        </is>
      </c>
      <c r="I11743" t="inlineStr">
        <is>
          <t>17/03/2026</t>
        </is>
      </c>
      <c r="J11743" t="inlineStr">
        <is>
          <t>Nhân sự</t>
        </is>
      </c>
      <c r="K11743" t="inlineStr">
        <is>
          <t>3 - 5 Năm</t>
        </is>
      </c>
      <c r="L11743" s="8">
        <f>HYPERLINK("https://careerviet.vn/vi/tim-viec-lam/chuyen-vien-c-b-ban-le.35C69D34.html","Xem chi tiết")</f>
        <v/>
      </c>
    </row>
    <row r="11744">
      <c r="B11744" s="9" t="n">
        <v>11742</v>
      </c>
      <c r="C11744" s="10" t="inlineStr">
        <is>
          <t>Chuyên Viên đấu thầu và thực hiện hợp đồng</t>
        </is>
      </c>
      <c r="D11744" s="10" t="inlineStr">
        <is>
          <t>Công ty CP thiết bị điện và xây dựng công nghiệp Việt Nam</t>
        </is>
      </c>
      <c r="E11744" s="10" t="inlineStr">
        <is>
          <t>Lương:12 Tr - 20 Tr VND</t>
        </is>
      </c>
      <c r="F11744" s="10" t="inlineStr">
        <is>
          <t>Hà Nội</t>
        </is>
      </c>
      <c r="G11744" s="10" t="inlineStr">
        <is>
          <t>31-03-2026</t>
        </is>
      </c>
      <c r="H11744" s="10" t="inlineStr">
        <is>
          <t>31/03/2026</t>
        </is>
      </c>
      <c r="I11744" s="10" t="inlineStr">
        <is>
          <t>17/03/2026</t>
        </is>
      </c>
      <c r="J11744" s="10" t="inlineStr">
        <is>
          <t>Điện / Điện tử / Điện lạnh / Điện công nghiệp, Xây dựng, Cơ khí / Ô tô / Tự động hóa</t>
        </is>
      </c>
      <c r="K11744" s="10" t="inlineStr">
        <is>
          <t>1 - 2 Năm</t>
        </is>
      </c>
      <c r="L11744" s="11">
        <f>HYPERLINK("https://careerviet.vn/vi/tim-viec-lam/chuyen-vien-dau-thau-va-thuc-hien-hop-dong.35C6A012.html","Xem chi tiết")</f>
        <v/>
      </c>
      <c r="M11744" s="10" t="n"/>
    </row>
    <row r="11745">
      <c r="B11745" s="7" t="n">
        <v>11743</v>
      </c>
      <c r="C11745" t="inlineStr">
        <is>
          <t>Chuyên viên tuyển dụng</t>
        </is>
      </c>
      <c r="D11745" t="inlineStr">
        <is>
          <t>CÔNG TY TNHH AUSSCO VIỆT NAM</t>
        </is>
      </c>
      <c r="E11745" t="inlineStr">
        <is>
          <t>Lương:12 Tr - 25 Tr VND</t>
        </is>
      </c>
      <c r="F11745" t="inlineStr">
        <is>
          <t>Hồ Chí Minh</t>
        </is>
      </c>
      <c r="G11745" t="inlineStr">
        <is>
          <t>31-03-2026</t>
        </is>
      </c>
      <c r="H11745" t="inlineStr">
        <is>
          <t>31/03/2026</t>
        </is>
      </c>
      <c r="I11745" t="inlineStr">
        <is>
          <t>17/03/2026</t>
        </is>
      </c>
      <c r="J11745" t="inlineStr">
        <is>
          <t>Hành chính / Thư ký</t>
        </is>
      </c>
      <c r="K11745" t="inlineStr">
        <is>
          <t>Lên đến 1 Năm</t>
        </is>
      </c>
      <c r="L11745" s="8">
        <f>HYPERLINK("https://careerviet.vn/vi/tim-viec-lam/chuyen-vien-tuyen-dung.35C69ED4.html","Xem chi tiết")</f>
        <v/>
      </c>
    </row>
    <row r="11746">
      <c r="B11746" s="9" t="n">
        <v>11744</v>
      </c>
      <c r="C11746" s="10" t="inlineStr">
        <is>
          <t>[Hà Nội] Chuyên viên thiết kế</t>
        </is>
      </c>
      <c r="D11746" s="10" t="inlineStr">
        <is>
          <t>Tập Đoàn Tân Á Đại Thành</t>
        </is>
      </c>
      <c r="E11746" s="10" t="inlineStr">
        <is>
          <t>Lương:16 Tr - 18 Tr VND</t>
        </is>
      </c>
      <c r="F11746" s="10" t="inlineStr">
        <is>
          <t>Hà Nội</t>
        </is>
      </c>
      <c r="G11746" s="10" t="inlineStr">
        <is>
          <t>31-03-2026</t>
        </is>
      </c>
      <c r="H11746" s="10" t="inlineStr">
        <is>
          <t>31/03/2026</t>
        </is>
      </c>
      <c r="I11746" s="10" t="inlineStr">
        <is>
          <t>17/03/2026</t>
        </is>
      </c>
      <c r="J11746" s="10" t="inlineStr">
        <is>
          <t>Mỹ thuật / Nghệ thuật / Thiết kế</t>
        </is>
      </c>
      <c r="K11746" s="10" t="inlineStr">
        <is>
          <t>2 - 3 Năm</t>
        </is>
      </c>
      <c r="L11746" s="11">
        <f>HYPERLINK("https://careerviet.vn/vi/tim-viec-lam/ha-noi-chuyen-vien-thiet-ke.35C126F9.html","Xem chi tiết")</f>
        <v/>
      </c>
      <c r="M11746" s="10" t="n"/>
    </row>
    <row r="11747">
      <c r="B11747" s="7" t="n">
        <v>11745</v>
      </c>
      <c r="C11747" t="inlineStr">
        <is>
          <t>Nhân viên QA/QC</t>
        </is>
      </c>
      <c r="D11747" t="inlineStr">
        <is>
          <t>Công Ty TNHH Tư Vấn Y Dược Quốc Tế</t>
        </is>
      </c>
      <c r="E11747" t="inlineStr">
        <is>
          <t>Lương:Cạnh tranh</t>
        </is>
      </c>
      <c r="F11747" t="inlineStr">
        <is>
          <t>Hà Nội</t>
        </is>
      </c>
      <c r="G11747" t="inlineStr">
        <is>
          <t>27-03-2026</t>
        </is>
      </c>
      <c r="H11747" t="inlineStr">
        <is>
          <t>27/03/2026</t>
        </is>
      </c>
      <c r="I11747" t="inlineStr">
        <is>
          <t>17/03/2026</t>
        </is>
      </c>
      <c r="J11747" t="inlineStr">
        <is>
          <t>Quản lý chất lượng (QA/QC), Y tế / Chăm sóc sức khỏe / Thẩm mỹ / Làm đẹp, Công nghệ sinh học</t>
        </is>
      </c>
      <c r="K11747" t="inlineStr">
        <is>
          <t>N/A</t>
        </is>
      </c>
      <c r="L11747" s="8">
        <f>HYPERLINK("https://careerviet.vn/vi/tim-viec-lam/nhan-vien-qa-qc.35C69EB4.html","Xem chi tiết")</f>
        <v/>
      </c>
    </row>
    <row r="11748">
      <c r="B11748" s="9" t="n">
        <v>11746</v>
      </c>
      <c r="C11748" s="10" t="inlineStr">
        <is>
          <t>Thủ kho</t>
        </is>
      </c>
      <c r="D11748" s="10" t="inlineStr">
        <is>
          <t>Công ty Cổ phần Đồng phục Phương Thảo</t>
        </is>
      </c>
      <c r="E11748" s="10" t="inlineStr">
        <is>
          <t>Lương:10 Tr - 15 Tr VND</t>
        </is>
      </c>
      <c r="F11748" s="10" t="inlineStr">
        <is>
          <t>Hà Nội</t>
        </is>
      </c>
      <c r="G11748" s="10" t="inlineStr">
        <is>
          <t>31-03-2026</t>
        </is>
      </c>
      <c r="H11748" s="10" t="inlineStr">
        <is>
          <t>31/03/2026</t>
        </is>
      </c>
      <c r="I11748" s="10" t="inlineStr">
        <is>
          <t>17/03/2026</t>
        </is>
      </c>
      <c r="J11748" s="10" t="inlineStr">
        <is>
          <t>Vận chuyển / Giao nhận / Kho vận, Dệt may / Da giày / Thời trang</t>
        </is>
      </c>
      <c r="K11748" s="10" t="inlineStr">
        <is>
          <t>2 - 3 Năm</t>
        </is>
      </c>
      <c r="L11748" s="11">
        <f>HYPERLINK("https://careerviet.vn/vi/tim-viec-lam/thu-kho.35C6A075.html","Xem chi tiết")</f>
        <v/>
      </c>
      <c r="M11748" s="10" t="n"/>
    </row>
    <row r="11749">
      <c r="B11749" s="7" t="n">
        <v>11747</v>
      </c>
      <c r="C11749" t="inlineStr">
        <is>
          <t>Human Resource Executive (Nhân Viên Nhân Sự)</t>
        </is>
      </c>
      <c r="D11749" t="inlineStr">
        <is>
          <t>CÔNG TY TNHH QUỐC TẾ HAI NAN</t>
        </is>
      </c>
      <c r="E11749" t="inlineStr">
        <is>
          <t>Lương:10 Tr - 12 Tr VND</t>
        </is>
      </c>
      <c r="F11749" t="inlineStr">
        <is>
          <t>Hồ Chí Minh</t>
        </is>
      </c>
      <c r="G11749" t="inlineStr">
        <is>
          <t>30-05-2026</t>
        </is>
      </c>
      <c r="H11749" t="inlineStr">
        <is>
          <t>30/05/2026</t>
        </is>
      </c>
      <c r="I11749" t="inlineStr">
        <is>
          <t>17/03/2026</t>
        </is>
      </c>
      <c r="J11749" t="inlineStr">
        <is>
          <t>Bán hàng / Kinh doanh, Bán lẻ / Bán sỉ</t>
        </is>
      </c>
      <c r="K11749" t="inlineStr">
        <is>
          <t>N/A</t>
        </is>
      </c>
      <c r="L11749" s="8">
        <f>HYPERLINK("https://careerviet.vn/vi/tim-viec-lam/human-resource-executive-nhan-vien-nhan-su.35C69D13.html","Xem chi tiết")</f>
        <v/>
      </c>
    </row>
    <row r="11750">
      <c r="B11750" s="9" t="n">
        <v>11748</v>
      </c>
      <c r="C11750" s="10" t="inlineStr">
        <is>
          <t>Dinh dưỡng viên</t>
        </is>
      </c>
      <c r="D11750" s="10" t="inlineStr">
        <is>
          <t>CÔNG TY CỔ PHẦN THƯƠNG MẠI DỊCH VỤ AN ĐẠI DƯƠNG</t>
        </is>
      </c>
      <c r="E11750" s="10" t="inlineStr">
        <is>
          <t>Lương:9 Tr - 13 Tr VND</t>
        </is>
      </c>
      <c r="F11750" s="10" t="inlineStr">
        <is>
          <t>Ninh Bình</t>
        </is>
      </c>
      <c r="G11750" s="10" t="inlineStr">
        <is>
          <t>31-03-2026</t>
        </is>
      </c>
      <c r="H11750" s="10" t="inlineStr">
        <is>
          <t>31/03/2026</t>
        </is>
      </c>
      <c r="I11750" s="10" t="inlineStr">
        <is>
          <t>17/03/2026</t>
        </is>
      </c>
      <c r="J11750" s="10" t="inlineStr">
        <is>
          <t>Công nghệ thực phẩm / Dinh dưỡng</t>
        </is>
      </c>
      <c r="K11750" s="10" t="inlineStr">
        <is>
          <t>1 - 2 Năm</t>
        </is>
      </c>
      <c r="L11750" s="11">
        <f>HYPERLINK("https://careerviet.vn/vi/tim-viec-lam/dinh-duong-vien.35C69EEE.html","Xem chi tiết")</f>
        <v/>
      </c>
      <c r="M11750" s="10" t="n"/>
    </row>
    <row r="11751">
      <c r="B11751" s="7" t="n">
        <v>11749</v>
      </c>
      <c r="C11751" t="inlineStr">
        <is>
          <t>GIÁM SÁT BÁN HÀNG (Khu vực Hồ Chí Minh)</t>
        </is>
      </c>
      <c r="D11751" t="inlineStr">
        <is>
          <t>CÔNG TY TNHH ĐẦU TƯ XNK TÍN VIỆT</t>
        </is>
      </c>
      <c r="E11751" t="inlineStr">
        <is>
          <t>Lương:Cạnh tranh</t>
        </is>
      </c>
      <c r="F11751" t="inlineStr">
        <is>
          <t>Hồ Chí Minh</t>
        </is>
      </c>
      <c r="G11751" t="inlineStr">
        <is>
          <t>31-03-2026</t>
        </is>
      </c>
      <c r="H11751" t="inlineStr">
        <is>
          <t>31/03/2026</t>
        </is>
      </c>
      <c r="I11751" t="inlineStr">
        <is>
          <t>17/03/2026</t>
        </is>
      </c>
      <c r="J11751" t="inlineStr">
        <is>
          <t>Bán hàng / Kinh doanh, Tiếp thị / Marketing, Bán lẻ / Bán sỉ</t>
        </is>
      </c>
      <c r="K11751" t="inlineStr">
        <is>
          <t>1 - 3 Năm</t>
        </is>
      </c>
      <c r="L11751" s="8">
        <f>HYPERLINK("https://careerviet.vn/vi/tim-viec-lam/giam-sat-ban-hang-khu-vuc-ho-chi-minh.35C69E00.html","Xem chi tiết")</f>
        <v/>
      </c>
    </row>
    <row r="11752">
      <c r="B11752" s="9" t="n">
        <v>11750</v>
      </c>
      <c r="C11752" s="10" t="inlineStr">
        <is>
          <t>[Long An] Kỹ Sư Hoá</t>
        </is>
      </c>
      <c r="D11752" s="10" t="inlineStr">
        <is>
          <t>Tập Đoàn Tân Á Đại Thành</t>
        </is>
      </c>
      <c r="E11752" s="10" t="inlineStr">
        <is>
          <t>Lương:13 Tr - 16 Tr VND</t>
        </is>
      </c>
      <c r="F11752" s="10" t="inlineStr">
        <is>
          <t>Long An</t>
        </is>
      </c>
      <c r="G11752" s="10" t="inlineStr">
        <is>
          <t>31-03-2026</t>
        </is>
      </c>
      <c r="H11752" s="10" t="inlineStr">
        <is>
          <t>31/03/2026</t>
        </is>
      </c>
      <c r="I11752" s="10" t="inlineStr">
        <is>
          <t>17/03/2026</t>
        </is>
      </c>
      <c r="J11752" s="10" t="inlineStr">
        <is>
          <t>Cơ khí / Ô tô / Tự động hóa</t>
        </is>
      </c>
      <c r="K11752" s="10" t="inlineStr">
        <is>
          <t>1 - 3 Năm</t>
        </is>
      </c>
      <c r="L11752" s="11">
        <f>HYPERLINK("https://careerviet.vn/vi/tim-viec-lam/long-an-ky-su-hoa.35C69D2F.html","Xem chi tiết")</f>
        <v/>
      </c>
      <c r="M11752" s="10" t="n"/>
    </row>
    <row r="11753">
      <c r="B11753" s="7" t="n">
        <v>11751</v>
      </c>
      <c r="C11753" t="inlineStr">
        <is>
          <t>Business Development Manager</t>
        </is>
      </c>
      <c r="D11753" t="inlineStr">
        <is>
          <t>Công Ty Cổ phần NDS VIETNAM</t>
        </is>
      </c>
      <c r="E11753" t="inlineStr">
        <is>
          <t>Lương:Cạnh tranh</t>
        </is>
      </c>
      <c r="F11753" t="inlineStr">
        <is>
          <t>Hồ Chí Minh</t>
        </is>
      </c>
      <c r="G11753" t="inlineStr">
        <is>
          <t>31-03-2026</t>
        </is>
      </c>
      <c r="H11753" t="inlineStr">
        <is>
          <t>31/03/2026</t>
        </is>
      </c>
      <c r="I11753" t="inlineStr">
        <is>
          <t>17/03/2026</t>
        </is>
      </c>
      <c r="J11753" t="inlineStr">
        <is>
          <t>CNTT - Phần mềm, Bán hàng / Kinh doanh, Tiếp thị / Marketing</t>
        </is>
      </c>
      <c r="K11753" t="inlineStr">
        <is>
          <t>3 - 10 Năm</t>
        </is>
      </c>
      <c r="L11753" s="8">
        <f>HYPERLINK("https://careerviet.vn/vi/tim-viec-lam/business-development-manager.35C671E9.html","Xem chi tiết")</f>
        <v/>
      </c>
    </row>
    <row r="11754">
      <c r="B11754" s="9" t="n">
        <v>11752</v>
      </c>
      <c r="C11754" s="10" t="inlineStr">
        <is>
          <t>SALES SUPERVISOR _ GIÁM SÁT BÁN HÀNG</t>
        </is>
      </c>
      <c r="D11754" s="10" t="inlineStr">
        <is>
          <t>Công Ty TNHH Taisun Việt Nam</t>
        </is>
      </c>
      <c r="E11754" s="10" t="inlineStr">
        <is>
          <t>Lương:Cạnh tranh</t>
        </is>
      </c>
      <c r="F11754" s="10" t="inlineStr">
        <is>
          <t>Đà NẵngHà Nội</t>
        </is>
      </c>
      <c r="G11754" s="10" t="inlineStr">
        <is>
          <t>29-03-2026</t>
        </is>
      </c>
      <c r="H11754" s="10" t="inlineStr">
        <is>
          <t>29/03/2026</t>
        </is>
      </c>
      <c r="I11754" s="10" t="inlineStr">
        <is>
          <t>17/03/2026</t>
        </is>
      </c>
      <c r="J11754" s="10" t="inlineStr">
        <is>
          <t>Kế toán / Kiểm toán, Bán lẻ / Bán sỉ, Bán hàng / Kinh doanh</t>
        </is>
      </c>
      <c r="K11754" s="10" t="inlineStr">
        <is>
          <t>3 - 5 Năm</t>
        </is>
      </c>
      <c r="L11754" s="11">
        <f>HYPERLINK("https://careerviet.vn/vi/tim-viec-lam/sales-supervisor-_-giam-sat-ban-hang.35C69FF0.html","Xem chi tiết")</f>
        <v/>
      </c>
      <c r="M11754" s="10" t="n"/>
    </row>
    <row r="11755">
      <c r="B11755" s="7" t="n">
        <v>11753</v>
      </c>
      <c r="C11755" t="inlineStr">
        <is>
          <t>Nhân viên Thống Kê Kho tại Long An</t>
        </is>
      </c>
      <c r="D11755" t="inlineStr">
        <is>
          <t>EuP Group</t>
        </is>
      </c>
      <c r="E11755" t="inlineStr">
        <is>
          <t>Lương:8 Tr - 12 Tr VND</t>
        </is>
      </c>
      <c r="F11755" t="inlineStr">
        <is>
          <t>Long An</t>
        </is>
      </c>
      <c r="G11755" t="inlineStr">
        <is>
          <t>26-03-2026</t>
        </is>
      </c>
      <c r="H11755" t="inlineStr">
        <is>
          <t>26/03/2026</t>
        </is>
      </c>
      <c r="I11755" t="inlineStr">
        <is>
          <t>17/03/2026</t>
        </is>
      </c>
      <c r="J11755" t="inlineStr">
        <is>
          <t>Kế toán / Kiểm toán, Thống kê, Ngành khác</t>
        </is>
      </c>
      <c r="K11755" t="inlineStr">
        <is>
          <t>Trên 1 Năm</t>
        </is>
      </c>
      <c r="L11755" s="8">
        <f>HYPERLINK("https://careerviet.vn/vi/tim-viec-lam/nhan-vien-thong-ke-kho-tai-long-an.35C69DB0.html","Xem chi tiết")</f>
        <v/>
      </c>
    </row>
    <row r="11756">
      <c r="B11756" s="9" t="n">
        <v>11754</v>
      </c>
      <c r="C11756" s="10" t="inlineStr">
        <is>
          <t>Chuyên Viên R&amp;D</t>
        </is>
      </c>
      <c r="D11756" s="10" t="inlineStr">
        <is>
          <t>CÔNG TY CỔ PHẦN THỰC PHẨM HỮU NGHỊ</t>
        </is>
      </c>
      <c r="E11756" s="10" t="inlineStr">
        <is>
          <t>Lương:13 Tr - 15 Tr VND</t>
        </is>
      </c>
      <c r="F11756" s="10" t="inlineStr">
        <is>
          <t>Bắc Ninh</t>
        </is>
      </c>
      <c r="G11756" s="10" t="inlineStr">
        <is>
          <t>27-03-2026</t>
        </is>
      </c>
      <c r="H11756" s="10" t="inlineStr">
        <is>
          <t>27/03/2026</t>
        </is>
      </c>
      <c r="I11756" s="10" t="inlineStr">
        <is>
          <t>17/03/2026</t>
        </is>
      </c>
      <c r="J11756" s="10" t="inlineStr">
        <is>
          <t>Thực phẩm &amp; Đồ uống, Công nghệ thực phẩm / Dinh dưỡng, Quản lý chất lượng (QA/QC)</t>
        </is>
      </c>
      <c r="K11756" s="10" t="inlineStr">
        <is>
          <t>Chưa có kinh nghiệm</t>
        </is>
      </c>
      <c r="L11756" s="11">
        <f>HYPERLINK("https://careerviet.vn/vi/tim-viec-lam/chuyen-vien-r-d.35C69E93.html","Xem chi tiết")</f>
        <v/>
      </c>
      <c r="M11756" s="10" t="n"/>
    </row>
    <row r="11757">
      <c r="B11757" s="7" t="n">
        <v>11755</v>
      </c>
      <c r="C11757" t="inlineStr">
        <is>
          <t>Nhân viên Kỹ thuật Thiết kế</t>
        </is>
      </c>
      <c r="D11757" t="inlineStr">
        <is>
          <t>CÔNG TY CP HÀ YẾN</t>
        </is>
      </c>
      <c r="E11757" t="inlineStr">
        <is>
          <t>Lương:Cạnh tranh</t>
        </is>
      </c>
      <c r="F11757" t="inlineStr">
        <is>
          <t>Hưng Yên</t>
        </is>
      </c>
      <c r="G11757" t="inlineStr">
        <is>
          <t>29-03-2026</t>
        </is>
      </c>
      <c r="H11757" t="inlineStr">
        <is>
          <t>29/03/2026</t>
        </is>
      </c>
      <c r="I11757" t="inlineStr">
        <is>
          <t>17/03/2026</t>
        </is>
      </c>
      <c r="J11757" t="inlineStr">
        <is>
          <t>Cơ khí / Ô tô / Tự động hóa, Mới tốt nghiệp / Thực tập, Điện / Điện tử / Điện lạnh / Điện công nghiệp</t>
        </is>
      </c>
      <c r="K11757" t="inlineStr">
        <is>
          <t>trong lĩnh vực gia công kim loại tấm Chế độ</t>
        </is>
      </c>
      <c r="L11757" s="8">
        <f>HYPERLINK("https://careerviet.vn/vi/tim-viec-lam/nhan-vien-ky-thuat-thiet-ke.35C69DBC.html","Xem chi tiết")</f>
        <v/>
      </c>
    </row>
    <row r="11758">
      <c r="B11758" s="9" t="n">
        <v>11756</v>
      </c>
      <c r="C11758" s="10" t="inlineStr">
        <is>
          <t>Nhân viên Digital</t>
        </is>
      </c>
      <c r="D11758" s="10" t="inlineStr">
        <is>
          <t>Công ty Cổ Phần Nhựa Thiếu Niên Tiền Phong Phía Nam</t>
        </is>
      </c>
      <c r="E11758" s="10" t="inlineStr">
        <is>
          <t>Lương:Cạnh tranh</t>
        </is>
      </c>
      <c r="F11758" s="10" t="inlineStr">
        <is>
          <t>Hồ Chí Minh</t>
        </is>
      </c>
      <c r="G11758" s="10" t="inlineStr">
        <is>
          <t>29-03-2026</t>
        </is>
      </c>
      <c r="H11758" s="10" t="inlineStr">
        <is>
          <t>29/03/2026</t>
        </is>
      </c>
      <c r="I11758" s="10" t="inlineStr">
        <is>
          <t>17/03/2026</t>
        </is>
      </c>
      <c r="J11758" s="10" t="inlineStr">
        <is>
          <t>Tiếp thị / Marketing</t>
        </is>
      </c>
      <c r="K11758" s="10" t="inlineStr">
        <is>
          <t>1 - 2 Năm</t>
        </is>
      </c>
      <c r="L11758" s="11">
        <f>HYPERLINK("https://careerviet.vn/vi/tim-viec-lam/nhan-vien-digital.35C69E45.html","Xem chi tiết")</f>
        <v/>
      </c>
      <c r="M11758" s="10" t="n"/>
    </row>
    <row r="11759">
      <c r="B11759" s="7" t="n">
        <v>11757</v>
      </c>
      <c r="C11759" t="inlineStr">
        <is>
          <t>Kỹ thuật khai thác khuôn mẫu | PCC Dimension Tooling Engineering Lead</t>
        </is>
      </c>
      <c r="D11759" t="inlineStr">
        <is>
          <t>Công ty TNHH Giầy Chingluh Việt Nam</t>
        </is>
      </c>
      <c r="E11759" t="inlineStr">
        <is>
          <t>Lương:Cạnh tranh</t>
        </is>
      </c>
      <c r="F11759" t="inlineStr">
        <is>
          <t>Long An</t>
        </is>
      </c>
      <c r="G11759" t="inlineStr">
        <is>
          <t>31-03-2026</t>
        </is>
      </c>
      <c r="H11759" t="inlineStr">
        <is>
          <t>31/03/2026</t>
        </is>
      </c>
      <c r="I11759" t="inlineStr">
        <is>
          <t>17/03/2026</t>
        </is>
      </c>
      <c r="J11759" t="inlineStr">
        <is>
          <t>Sản xuất / Vận hành sản xuất, Dệt may / Da giày / Thời trang, Quản lý chất lượng (QA/QC)</t>
        </is>
      </c>
      <c r="K11759" t="inlineStr">
        <is>
          <t>5 - 8 Năm</t>
        </is>
      </c>
      <c r="L11759" s="8">
        <f>HYPERLINK("https://careerviet.vn/vi/tim-viec-lam/ky-thuat-khai-thac-khuon-mau-pcc-dimension-tooling-engineering-lead.35C69F0D.html","Xem chi tiết")</f>
        <v/>
      </c>
    </row>
    <row r="11760">
      <c r="B11760" s="9" t="n">
        <v>11758</v>
      </c>
      <c r="C11760" s="10" t="inlineStr">
        <is>
          <t>Nhân viên hành chính văn phòng</t>
        </is>
      </c>
      <c r="D11760" s="10" t="inlineStr">
        <is>
          <t>CÔNG TY CỔ PHẦN PHÁT TRIỂN CƠ ĐIỆN LẠNH HOÀNG ĐẠT</t>
        </is>
      </c>
      <c r="E11760" s="10" t="inlineStr">
        <is>
          <t>Lương:10 Tr - 11 Tr VND</t>
        </is>
      </c>
      <c r="F11760" s="10" t="inlineStr">
        <is>
          <t>Hà Nội</t>
        </is>
      </c>
      <c r="G11760" s="10" t="inlineStr">
        <is>
          <t>31-03-2026</t>
        </is>
      </c>
      <c r="H11760" s="10" t="inlineStr">
        <is>
          <t>31/03/2026</t>
        </is>
      </c>
      <c r="I11760" s="10" t="inlineStr">
        <is>
          <t>17/03/2026</t>
        </is>
      </c>
      <c r="J11760" s="10" t="inlineStr">
        <is>
          <t>Hành chính / Thư ký</t>
        </is>
      </c>
      <c r="K11760" s="10" t="inlineStr">
        <is>
          <t>Lên đến 1 Năm</t>
        </is>
      </c>
      <c r="L11760" s="11">
        <f>HYPERLINK("https://careerviet.vn/vi/tim-viec-lam/nhan-vien-hanh-chinh-van-phong.35C6A10D.html","Xem chi tiết")</f>
        <v/>
      </c>
      <c r="M11760" s="10" t="n"/>
    </row>
    <row r="11761">
      <c r="B11761" s="7" t="n">
        <v>11759</v>
      </c>
      <c r="C11761" t="inlineStr">
        <is>
          <t>Nhân viên kinh doanh thiết bị y tế</t>
        </is>
      </c>
      <c r="D11761" t="inlineStr">
        <is>
          <t>CÔNG TY TNHH THIẾT BỊ CÔNG NGHỆ VÀ ĐẦU TƯ MDC</t>
        </is>
      </c>
      <c r="E11761" t="inlineStr">
        <is>
          <t>Lương:Trên 12 Tr VND</t>
        </is>
      </c>
      <c r="F11761" t="inlineStr">
        <is>
          <t>Hà NộiHồ Chí Minh</t>
        </is>
      </c>
      <c r="G11761" t="inlineStr">
        <is>
          <t>31-03-2026</t>
        </is>
      </c>
      <c r="H11761" t="inlineStr">
        <is>
          <t>31/03/2026</t>
        </is>
      </c>
      <c r="I11761" t="inlineStr">
        <is>
          <t>17/03/2026</t>
        </is>
      </c>
      <c r="J11761" t="inlineStr">
        <is>
          <t>Y tế / Chăm sóc sức khỏe / Thẩm mỹ / Làm đẹp, Bán hàng / Kinh doanh, Tư vấn</t>
        </is>
      </c>
      <c r="K11761" t="inlineStr">
        <is>
          <t>Trên 3 Năm</t>
        </is>
      </c>
      <c r="L11761" s="8">
        <f>HYPERLINK("https://careerviet.vn/vi/tim-viec-lam/nhan-vien-kinh-doanh-thiet-bi-y-te.35C69DB8.html","Xem chi tiết")</f>
        <v/>
      </c>
    </row>
    <row r="11762">
      <c r="B11762" s="9" t="n">
        <v>11760</v>
      </c>
      <c r="C11762" s="10" t="inlineStr">
        <is>
          <t>Chuyên Viên Kỹ Thuật</t>
        </is>
      </c>
      <c r="D11762" s="10" t="inlineStr">
        <is>
          <t>Công ty Cổ phần Thiết bị và Giải pháp cơ khí Automech</t>
        </is>
      </c>
      <c r="E11762" s="10" t="inlineStr">
        <is>
          <t>Lương:15 Tr - 30 Tr VND</t>
        </is>
      </c>
      <c r="F11762" s="10" t="inlineStr">
        <is>
          <t>Hà Nội</t>
        </is>
      </c>
      <c r="G11762" s="10" t="inlineStr">
        <is>
          <t>27-03-2026</t>
        </is>
      </c>
      <c r="H11762" s="10" t="inlineStr">
        <is>
          <t>27/03/2026</t>
        </is>
      </c>
      <c r="I11762" s="10" t="inlineStr">
        <is>
          <t>17/03/2026</t>
        </is>
      </c>
      <c r="J11762" s="10" t="inlineStr">
        <is>
          <t>Cơ khí / Ô tô / Tự động hóa, Bảo trì / Sửa chữa, Điện / Điện tử / Điện lạnh / Điện công nghiệp</t>
        </is>
      </c>
      <c r="K11762" s="10" t="inlineStr">
        <is>
          <t>Trên 1 Năm</t>
        </is>
      </c>
      <c r="L11762" s="11">
        <f>HYPERLINK("https://careerviet.vn/vi/tim-viec-lam/chuyen-vien-ky-thuat.35C69E28.html","Xem chi tiết")</f>
        <v/>
      </c>
      <c r="M11762" s="10" t="n"/>
    </row>
    <row r="11763">
      <c r="B11763" s="7" t="n">
        <v>11761</v>
      </c>
      <c r="C11763" t="inlineStr">
        <is>
          <t>[Tân Bình] Tuyển Nhân Viên Bán Hàng - Chuỗi Cửa Hàng Bán Lẻ Thiết Bị Sức Khỏe</t>
        </is>
      </c>
      <c r="D11763" t="inlineStr">
        <is>
          <t>Công Ty TNHH XNK Phát Triển Đông Dương</t>
        </is>
      </c>
      <c r="E11763" t="inlineStr">
        <is>
          <t>Lương:12 Tr - 20 Tr VND</t>
        </is>
      </c>
      <c r="F11763" t="inlineStr">
        <is>
          <t>Hồ Chí Minh</t>
        </is>
      </c>
      <c r="G11763" t="inlineStr">
        <is>
          <t>31-03-2026</t>
        </is>
      </c>
      <c r="H11763" t="inlineStr">
        <is>
          <t>31/03/2026</t>
        </is>
      </c>
      <c r="I11763" t="inlineStr">
        <is>
          <t>17/03/2026</t>
        </is>
      </c>
      <c r="J11763" t="inlineStr">
        <is>
          <t>Bán lẻ / Bán sỉ, Bán hàng / Kinh doanh, Tư vấn</t>
        </is>
      </c>
      <c r="K11763" t="inlineStr">
        <is>
          <t>N/A</t>
        </is>
      </c>
      <c r="L11763" s="8">
        <f>HYPERLINK("https://careerviet.vn/vi/tim-viec-lam/tan-binh-tuyen-nhan-vien-ban-hang-chuoi-cua-hang-ban-le-thiet-bi-suc-khoe.35C6A0AF.html","Xem chi tiết")</f>
        <v/>
      </c>
    </row>
    <row r="11764">
      <c r="B11764" s="9" t="n">
        <v>11762</v>
      </c>
      <c r="C11764" s="10" t="inlineStr">
        <is>
          <t>Chuyên Viên Phát Triển Đối Tác Doanh Nghiệp (Tài Chính - Ngân hàng) - Relationship Manager</t>
        </is>
      </c>
      <c r="D11764" s="10" t="inlineStr">
        <is>
          <t>Công ty Cố phần giải pháp công nghệ ITE</t>
        </is>
      </c>
      <c r="E11764" s="10" t="inlineStr">
        <is>
          <t>Lương:10 Tr - 25 Tr VND</t>
        </is>
      </c>
      <c r="F11764" s="10" t="inlineStr">
        <is>
          <t>Hồ Chí Minh</t>
        </is>
      </c>
      <c r="G11764" s="10" t="inlineStr">
        <is>
          <t>12-03-2026</t>
        </is>
      </c>
      <c r="H11764" s="10" t="inlineStr">
        <is>
          <t>10/03/2026</t>
        </is>
      </c>
      <c r="I11764" s="10" t="inlineStr">
        <is>
          <t>17/03/2026</t>
        </is>
      </c>
      <c r="J11764" s="10" t="inlineStr">
        <is>
          <t>Bán hàng / Kinh doanh, Tư vấn, Dịch vụ khách hàng</t>
        </is>
      </c>
      <c r="K11764" s="10" t="inlineStr">
        <is>
          <t>1 - 4 Năm</t>
        </is>
      </c>
      <c r="L11764" s="11">
        <f>HYPERLINK("https://careerviet.vn/vi/tim-viec-lam/chuyen-vien-phat-trien-doi-tac-doanh-nghiep-tai-chinh-ngan-hang-relationship-manager.35C69E67.html","Xem chi tiết")</f>
        <v/>
      </c>
      <c r="M11764" s="10" t="n"/>
    </row>
    <row r="11765">
      <c r="B11765" s="7" t="n">
        <v>11763</v>
      </c>
      <c r="C11765" t="inlineStr">
        <is>
          <t>Kỹ Sư Thiết Kế Kết Cấu</t>
        </is>
      </c>
      <c r="D11765" t="inlineStr">
        <is>
          <t>CÔNG TY CỔ PHẦN TƯ VẤN THIẾT KẾ VÀ XÂY DỰNG GREENHN</t>
        </is>
      </c>
      <c r="E11765" t="inlineStr">
        <is>
          <t>Lương:Cạnh tranh</t>
        </is>
      </c>
      <c r="F11765" t="inlineStr">
        <is>
          <t>Hồ Chí Minh</t>
        </is>
      </c>
      <c r="G11765" t="inlineStr">
        <is>
          <t>25-03-2026</t>
        </is>
      </c>
      <c r="H11765" t="inlineStr">
        <is>
          <t>25/03/2026</t>
        </is>
      </c>
      <c r="I11765" t="inlineStr">
        <is>
          <t>17/03/2026</t>
        </is>
      </c>
      <c r="J11765" t="inlineStr">
        <is>
          <t>Kiến trúc, Xây dựng, Nội ngoại thất</t>
        </is>
      </c>
      <c r="K11765" t="inlineStr">
        <is>
          <t>3 - 5 Năm</t>
        </is>
      </c>
      <c r="L11765" s="8">
        <f>HYPERLINK("https://careerviet.vn/vi/tim-viec-lam/ky-su-thiet-ke-ket-cau.35C6A02B.html","Xem chi tiết")</f>
        <v/>
      </c>
    </row>
    <row r="11766">
      <c r="B11766" s="9" t="n">
        <v>11764</v>
      </c>
      <c r="C11766" s="10" t="inlineStr">
        <is>
          <t>Kỹ sư Shop Drawing</t>
        </is>
      </c>
      <c r="D11766" s="10" t="inlineStr">
        <is>
          <t>CÔNG TY CỔ PHẦN XÂY DỰNG VILAI VIỆT</t>
        </is>
      </c>
      <c r="E11766" s="10" t="inlineStr">
        <is>
          <t>Lương:20 Tr - 30 Tr VND</t>
        </is>
      </c>
      <c r="F11766" s="10" t="inlineStr">
        <is>
          <t>Hải Phòng</t>
        </is>
      </c>
      <c r="G11766" s="10" t="inlineStr">
        <is>
          <t>31-03-2026</t>
        </is>
      </c>
      <c r="H11766" s="10" t="inlineStr">
        <is>
          <t>31/03/2026</t>
        </is>
      </c>
      <c r="I11766" s="10" t="inlineStr">
        <is>
          <t>17/03/2026</t>
        </is>
      </c>
      <c r="J11766" s="10" t="inlineStr">
        <is>
          <t>Kiến trúc, Xây dựng</t>
        </is>
      </c>
      <c r="K11766" s="10" t="inlineStr">
        <is>
          <t>3 - 7 Năm</t>
        </is>
      </c>
      <c r="L11766" s="11">
        <f>HYPERLINK("https://careerviet.vn/vi/tim-viec-lam/ky-su-shop-drawing.35C6A0CA.html","Xem chi tiết")</f>
        <v/>
      </c>
      <c r="M11766" s="10" t="n"/>
    </row>
    <row r="11767">
      <c r="B11767" s="7" t="n">
        <v>11765</v>
      </c>
      <c r="C11767" t="inlineStr">
        <is>
          <t>Công Nhân, Công Nhân Kỹ Thuật</t>
        </is>
      </c>
      <c r="D11767" t="inlineStr">
        <is>
          <t>COMPANION OFFICE</t>
        </is>
      </c>
      <c r="E11767" t="inlineStr">
        <is>
          <t>Lương:Cạnh tranh</t>
        </is>
      </c>
      <c r="F11767" t="inlineStr">
        <is>
          <t>Hưng Yên</t>
        </is>
      </c>
      <c r="G11767" t="inlineStr">
        <is>
          <t>26-03-2026</t>
        </is>
      </c>
      <c r="H11767" t="inlineStr">
        <is>
          <t>26/03/2026</t>
        </is>
      </c>
      <c r="I11767" t="inlineStr">
        <is>
          <t>17/03/2026</t>
        </is>
      </c>
      <c r="J11767" t="inlineStr">
        <is>
          <t>Lao động phổ thông, Sản xuất / Vận hành sản xuất, Cơ khí / Ô tô / Tự động hóa</t>
        </is>
      </c>
      <c r="K11767" t="inlineStr">
        <is>
          <t>N/A</t>
        </is>
      </c>
      <c r="L11767" s="8">
        <f>HYPERLINK("https://careerviet.vn/vi/tim-viec-lam/cong-nhan-cong-nhan-ky-thuat.35C69CD4.html","Xem chi tiết")</f>
        <v/>
      </c>
    </row>
    <row r="11768">
      <c r="B11768" s="9" t="n">
        <v>11766</v>
      </c>
      <c r="C11768" s="10" t="inlineStr">
        <is>
          <t>Chuyên Viên Hành Chính Tuyển Dụng (Ưu tiên nhận việc ngay)</t>
        </is>
      </c>
      <c r="D11768" s="10" t="inlineStr">
        <is>
          <t>Công Ty TNHH Muse Medical</t>
        </is>
      </c>
      <c r="E11768" s="10" t="inlineStr">
        <is>
          <t>Lương:Cạnh tranh</t>
        </is>
      </c>
      <c r="F11768" s="10" t="inlineStr">
        <is>
          <t>Hồ Chí Minh</t>
        </is>
      </c>
      <c r="G11768" s="10" t="inlineStr">
        <is>
          <t>31-03-2026</t>
        </is>
      </c>
      <c r="H11768" s="10" t="inlineStr">
        <is>
          <t>31/03/2026</t>
        </is>
      </c>
      <c r="I11768" s="10" t="inlineStr">
        <is>
          <t>17/03/2026</t>
        </is>
      </c>
      <c r="J11768" s="10" t="inlineStr">
        <is>
          <t>Hành chính / Thư ký, Nhân sự</t>
        </is>
      </c>
      <c r="K11768" s="10" t="inlineStr">
        <is>
          <t>Trên 1 Năm</t>
        </is>
      </c>
      <c r="L11768" s="11">
        <f>HYPERLINK("https://careerviet.vn/vi/tim-viec-lam/chuyen-vien-hanh-chinh-tuyen-dung-uu-tien-nhan-viec-ngay.35C6A0BA.html","Xem chi tiết")</f>
        <v/>
      </c>
      <c r="M11768" s="10" t="n"/>
    </row>
    <row r="11769">
      <c r="B11769" s="7" t="n">
        <v>11767</v>
      </c>
      <c r="C11769" t="inlineStr">
        <is>
          <t>Chuyên viên Nhân sự tổng hợp</t>
        </is>
      </c>
      <c r="D11769" t="inlineStr">
        <is>
          <t>CÔNG TY TNHH ANTA SPORTS VIỆT NAM</t>
        </is>
      </c>
      <c r="E11769" t="inlineStr">
        <is>
          <t>Lương:17 Tr - 20 Tr VND</t>
        </is>
      </c>
      <c r="F11769" t="inlineStr">
        <is>
          <t>Hà Nội</t>
        </is>
      </c>
      <c r="G11769" t="inlineStr">
        <is>
          <t>26-03-2026</t>
        </is>
      </c>
      <c r="H11769" t="inlineStr">
        <is>
          <t>26/03/2026</t>
        </is>
      </c>
      <c r="I11769" t="inlineStr">
        <is>
          <t>17/03/2026</t>
        </is>
      </c>
      <c r="J11769" t="inlineStr">
        <is>
          <t>Nhân sự</t>
        </is>
      </c>
      <c r="K11769" t="inlineStr">
        <is>
          <t>2 - 3 Năm</t>
        </is>
      </c>
      <c r="L11769" s="8">
        <f>HYPERLINK("https://careerviet.vn/vi/tim-viec-lam/chuyen-vien-nhan-su-tong-hop.35C69D54.html","Xem chi tiết")</f>
        <v/>
      </c>
    </row>
    <row r="11770">
      <c r="B11770" s="9" t="n">
        <v>11768</v>
      </c>
      <c r="C11770" s="10" t="inlineStr">
        <is>
          <t>Nhân viên CAD [ DC Quảng Ninh ]</t>
        </is>
      </c>
      <c r="D11770" s="10" t="inlineStr">
        <is>
          <t>Công ty CP XHOME Việt Nam</t>
        </is>
      </c>
      <c r="E11770" s="10" t="inlineStr">
        <is>
          <t>Lương:10 Tr - 15 Tr VND</t>
        </is>
      </c>
      <c r="F11770" s="10" t="inlineStr">
        <is>
          <t>Quảng Ninh</t>
        </is>
      </c>
      <c r="G11770" s="10" t="inlineStr">
        <is>
          <t>30-03-2026</t>
        </is>
      </c>
      <c r="H11770" s="10" t="inlineStr">
        <is>
          <t>30/03/2026</t>
        </is>
      </c>
      <c r="I11770" s="10" t="inlineStr">
        <is>
          <t>17/03/2026</t>
        </is>
      </c>
      <c r="J11770" s="10" t="inlineStr">
        <is>
          <t>Nội ngoại thất</t>
        </is>
      </c>
      <c r="K11770" s="10" t="inlineStr">
        <is>
          <t>2 - 3 Năm</t>
        </is>
      </c>
      <c r="L11770" s="11">
        <f>HYPERLINK("https://careerviet.vn/vi/tim-viec-lam/nhan-vien-cad-dc-quang-ninh.35C69FA0.html","Xem chi tiết")</f>
        <v/>
      </c>
      <c r="M11770" s="10" t="n"/>
    </row>
    <row r="11771">
      <c r="B11771" s="7" t="n">
        <v>11769</v>
      </c>
      <c r="C11771" t="inlineStr">
        <is>
          <t>TRƯỞNG NHÓM GIÁM SÁT THI CÔNG - [XHOME SG]</t>
        </is>
      </c>
      <c r="D11771" t="inlineStr">
        <is>
          <t>Công ty CP XHOME Việt Nam</t>
        </is>
      </c>
      <c r="E11771" t="inlineStr">
        <is>
          <t>Lương:25 Tr - 30 Tr VND</t>
        </is>
      </c>
      <c r="F11771" t="inlineStr">
        <is>
          <t>Hồ Chí Minh</t>
        </is>
      </c>
      <c r="G11771" t="inlineStr">
        <is>
          <t>30-03-2026</t>
        </is>
      </c>
      <c r="H11771" t="inlineStr">
        <is>
          <t>30/03/2026</t>
        </is>
      </c>
      <c r="I11771" t="inlineStr">
        <is>
          <t>17/03/2026</t>
        </is>
      </c>
      <c r="J11771" t="inlineStr">
        <is>
          <t>Kiến trúc, Xây dựng, Nội ngoại thất</t>
        </is>
      </c>
      <c r="K11771" t="inlineStr">
        <is>
          <t>5 - 6 Năm</t>
        </is>
      </c>
      <c r="L11771" s="8">
        <f>HYPERLINK("https://careerviet.vn/vi/tim-viec-lam/truong-nhom-giam-sat-thi-cong-xhome-sg.35C69FFE.html","Xem chi tiết")</f>
        <v/>
      </c>
    </row>
    <row r="11772">
      <c r="B11772" s="9" t="n">
        <v>11770</v>
      </c>
      <c r="C11772" s="10" t="inlineStr">
        <is>
          <t>Nhân viên Kinh doanh Showroom</t>
        </is>
      </c>
      <c r="D11772" s="10" t="inlineStr">
        <is>
          <t>CÔNG TY CỔ PHẦN TẬP ĐOÀN HOA SEN</t>
        </is>
      </c>
      <c r="E11772" s="10" t="inlineStr">
        <is>
          <t>Lương:12 Tr - 18 Tr VND</t>
        </is>
      </c>
      <c r="F11772" s="10" t="inlineStr">
        <is>
          <t>Hồ Chí Minh</t>
        </is>
      </c>
      <c r="G11772" s="10" t="inlineStr">
        <is>
          <t>31-03-2026</t>
        </is>
      </c>
      <c r="H11772" s="10" t="inlineStr">
        <is>
          <t>31/03/2026</t>
        </is>
      </c>
      <c r="I11772" s="10" t="inlineStr">
        <is>
          <t>17/03/2026</t>
        </is>
      </c>
      <c r="J11772" s="10" t="inlineStr">
        <is>
          <t>Bán hàng / Kinh doanh, Bán lẻ / Bán sỉ, Tiếp thị trực tuyến</t>
        </is>
      </c>
      <c r="K11772" s="10" t="inlineStr">
        <is>
          <t>Chưa có kinh nghiệm</t>
        </is>
      </c>
      <c r="L11772" s="11">
        <f>HYPERLINK("https://careerviet.vn/vi/tim-viec-lam/nhan-vien-kinh-doanh-showroom.35C6A03B.html","Xem chi tiết")</f>
        <v/>
      </c>
      <c r="M11772" s="10" t="n"/>
    </row>
    <row r="11773">
      <c r="B11773" s="7" t="n">
        <v>11771</v>
      </c>
      <c r="C11773" t="inlineStr">
        <is>
          <t>Sales Tour - Nhân Viên Kinh Doanh Du Lịch</t>
        </is>
      </c>
      <c r="D11773" t="inlineStr">
        <is>
          <t>Công ty Cổ phần Đầu Tư Rovi Holdings</t>
        </is>
      </c>
      <c r="E11773" t="inlineStr">
        <is>
          <t>Lương:9 Tr - 20 Tr VND</t>
        </is>
      </c>
      <c r="F11773" t="inlineStr">
        <is>
          <t>Hồ Chí Minh</t>
        </is>
      </c>
      <c r="G11773" t="inlineStr">
        <is>
          <t>26-03-2026</t>
        </is>
      </c>
      <c r="H11773" t="inlineStr">
        <is>
          <t>26/03/2026</t>
        </is>
      </c>
      <c r="I11773" t="inlineStr">
        <is>
          <t>17/03/2026</t>
        </is>
      </c>
      <c r="J11773" t="inlineStr">
        <is>
          <t>Bán hàng / Kinh doanh, Du lịch, Tư vấn</t>
        </is>
      </c>
      <c r="K11773" t="inlineStr">
        <is>
          <t>2 - 4 Năm</t>
        </is>
      </c>
      <c r="L11773" s="8">
        <f>HYPERLINK("https://careerviet.vn/vi/tim-viec-lam/sales-tour-nhan-vien-kinh-doanh-du-lich.35C6A03F.html","Xem chi tiết")</f>
        <v/>
      </c>
    </row>
    <row r="11774">
      <c r="B11774" s="9" t="n">
        <v>11772</v>
      </c>
      <c r="C11774" s="10" t="inlineStr">
        <is>
          <t>Trưởng phòng Logistic</t>
        </is>
      </c>
      <c r="D11774" s="10" t="inlineStr">
        <is>
          <t>Công ty Cổ phần Đồng phục Phương Thảo</t>
        </is>
      </c>
      <c r="E11774" s="10" t="inlineStr">
        <is>
          <t>Lương:20 Tr - 30 Tr VND</t>
        </is>
      </c>
      <c r="F11774" s="10" t="inlineStr">
        <is>
          <t>Hà Nội</t>
        </is>
      </c>
      <c r="G11774" s="10" t="inlineStr">
        <is>
          <t>31-03-2026</t>
        </is>
      </c>
      <c r="H11774" s="10" t="inlineStr">
        <is>
          <t>31/03/2026</t>
        </is>
      </c>
      <c r="I11774" s="10" t="inlineStr">
        <is>
          <t>17/03/2026</t>
        </is>
      </c>
      <c r="J11774" s="10" t="inlineStr">
        <is>
          <t>Vận chuyển / Giao nhận / Kho vận, Dệt may / Da giày / Thời trang</t>
        </is>
      </c>
      <c r="K11774" s="10" t="inlineStr">
        <is>
          <t>2 - 3 Năm</t>
        </is>
      </c>
      <c r="L11774" s="11">
        <f>HYPERLINK("https://careerviet.vn/vi/tim-viec-lam/truong-phong-logistic.35C6A071.html","Xem chi tiết")</f>
        <v/>
      </c>
      <c r="M11774" s="10" t="n"/>
    </row>
    <row r="11775">
      <c r="B11775" s="7" t="n">
        <v>11773</v>
      </c>
      <c r="C11775" t="inlineStr">
        <is>
          <t>Nhân viên Kiểm soát chất lượng (QC)</t>
        </is>
      </c>
      <c r="D11775" t="inlineStr">
        <is>
          <t>Visingpack Packing Industries Ltd.</t>
        </is>
      </c>
      <c r="E11775" t="inlineStr">
        <is>
          <t>Lương:8 Tr - 14 Tr VND</t>
        </is>
      </c>
      <c r="F11775" t="inlineStr">
        <is>
          <t>Hồ Chí Minh</t>
        </is>
      </c>
      <c r="G11775" t="inlineStr">
        <is>
          <t>30-04-2026</t>
        </is>
      </c>
      <c r="H11775" t="inlineStr">
        <is>
          <t>30/04/2026</t>
        </is>
      </c>
      <c r="I11775" t="inlineStr">
        <is>
          <t>17/03/2026</t>
        </is>
      </c>
      <c r="J11775" t="inlineStr">
        <is>
          <t>Quản lý chất lượng (QA/QC)</t>
        </is>
      </c>
      <c r="K11775" t="inlineStr">
        <is>
          <t>N/A</t>
        </is>
      </c>
      <c r="L11775" s="8">
        <f>HYPERLINK("https://careerviet.vn/vi/tim-viec-lam/nhan-vien-kiem-soat-chat-luong-qc.35C698E7.html","Xem chi tiết")</f>
        <v/>
      </c>
    </row>
    <row r="11776">
      <c r="B11776" s="9" t="n">
        <v>11774</v>
      </c>
      <c r="C11776" s="10" t="inlineStr">
        <is>
          <t>Nhân viên kinh doanh (ngành hàng kim khí) tại Bình Phước</t>
        </is>
      </c>
      <c r="D11776" s="10" t="inlineStr">
        <is>
          <t>Tập Đoàn Tân Á Đại Thành</t>
        </is>
      </c>
      <c r="E11776" s="10" t="inlineStr">
        <is>
          <t>Lương:8 Tr - 15 Tr VND</t>
        </is>
      </c>
      <c r="F11776" s="10" t="inlineStr">
        <is>
          <t>Bình Phước</t>
        </is>
      </c>
      <c r="G11776" s="10" t="inlineStr">
        <is>
          <t>26-03-2026</t>
        </is>
      </c>
      <c r="H11776" s="10" t="inlineStr">
        <is>
          <t>26/03/2026</t>
        </is>
      </c>
      <c r="I11776" s="10" t="inlineStr">
        <is>
          <t>17/03/2026</t>
        </is>
      </c>
      <c r="J11776" s="10" t="inlineStr">
        <is>
          <t>Bán hàng / Kinh doanh</t>
        </is>
      </c>
      <c r="K11776" s="10" t="inlineStr">
        <is>
          <t>N/A</t>
        </is>
      </c>
      <c r="L11776" s="11">
        <f>HYPERLINK("https://careerviet.vn/vi/tim-viec-lam/nhan-vien-kinh-doanh-nganh-hang-kim-khi-tai-binh-phuoc.35C69FB1.html","Xem chi tiết")</f>
        <v/>
      </c>
      <c r="M11776" s="10" t="n"/>
    </row>
    <row r="11777">
      <c r="B11777" s="7" t="n">
        <v>11775</v>
      </c>
      <c r="C11777" t="inlineStr">
        <is>
          <t>Kiến Trúc Sư</t>
        </is>
      </c>
      <c r="D11777" t="inlineStr">
        <is>
          <t>CÔNG TY TRÁCH NHIỆM HỮU HẠN TÂN HỒ TÚ</t>
        </is>
      </c>
      <c r="E11777" t="inlineStr">
        <is>
          <t>Lương:Cạnh tranh</t>
        </is>
      </c>
      <c r="F11777" t="inlineStr">
        <is>
          <t>Bình Dương</t>
        </is>
      </c>
      <c r="G11777" t="inlineStr">
        <is>
          <t>27-03-2026</t>
        </is>
      </c>
      <c r="H11777" t="inlineStr">
        <is>
          <t>27/03/2026</t>
        </is>
      </c>
      <c r="I11777" t="inlineStr">
        <is>
          <t>17/03/2026</t>
        </is>
      </c>
      <c r="J11777" t="inlineStr">
        <is>
          <t>Kiến trúc, Xây dựng, Nội ngoại thất</t>
        </is>
      </c>
      <c r="K11777" t="inlineStr">
        <is>
          <t>N/A</t>
        </is>
      </c>
      <c r="L11777" s="8">
        <f>HYPERLINK("https://careerviet.vn/vi/tim-viec-lam/kien-truc-su.35C69E8F.html","Xem chi tiết")</f>
        <v/>
      </c>
    </row>
    <row r="11778">
      <c r="B11778" s="9" t="n">
        <v>11776</v>
      </c>
      <c r="C11778" s="10" t="inlineStr">
        <is>
          <t>Bình Dương_Nhân viên Kỹ thuật xưởng Nội thất (hàng dự án)</t>
        </is>
      </c>
      <c r="D11778" s="10" t="inlineStr">
        <is>
          <t>TTT Corporation</t>
        </is>
      </c>
      <c r="E11778" s="10" t="inlineStr">
        <is>
          <t>Lương:14 Tr - 20 Tr VND</t>
        </is>
      </c>
      <c r="F11778" s="10" t="inlineStr">
        <is>
          <t>Bình Dương</t>
        </is>
      </c>
      <c r="G11778" s="10" t="inlineStr">
        <is>
          <t>31-03-2026</t>
        </is>
      </c>
      <c r="H11778" s="10" t="inlineStr">
        <is>
          <t>31/03/2026</t>
        </is>
      </c>
      <c r="I11778" s="10" t="inlineStr">
        <is>
          <t>17/03/2026</t>
        </is>
      </c>
      <c r="J11778" s="10" t="inlineStr">
        <is>
          <t>Sản xuất / Vận hành sản xuất, Đồ gỗ, Nội ngoại thất</t>
        </is>
      </c>
      <c r="K11778" s="10" t="inlineStr">
        <is>
          <t>3 - 4 Năm</t>
        </is>
      </c>
      <c r="L11778" s="11">
        <f>HYPERLINK("https://careerviet.vn/vi/tim-viec-lam/binh-duong_nhan-vien-ky-thuat-xuong-noi-that-hang-du-an.35C69E46.html","Xem chi tiết")</f>
        <v/>
      </c>
      <c r="M11778" s="10" t="n"/>
    </row>
    <row r="11779">
      <c r="B11779" s="7" t="n">
        <v>11777</v>
      </c>
      <c r="C11779" t="inlineStr">
        <is>
          <t>Kế toán tiếng Nhật</t>
        </is>
      </c>
      <c r="D11779" t="inlineStr">
        <is>
          <t>CÔNG TY TNHH JOB HOUSE</t>
        </is>
      </c>
      <c r="E11779" t="inlineStr">
        <is>
          <t>Lương:20 Tr - 35 Tr VND</t>
        </is>
      </c>
      <c r="F11779" t="inlineStr">
        <is>
          <t>Hà Nội</t>
        </is>
      </c>
      <c r="G11779" t="inlineStr">
        <is>
          <t>31-03-2026</t>
        </is>
      </c>
      <c r="H11779" t="inlineStr">
        <is>
          <t>31/03/2026</t>
        </is>
      </c>
      <c r="I11779" t="inlineStr">
        <is>
          <t>17/03/2026</t>
        </is>
      </c>
      <c r="J11779" t="inlineStr">
        <is>
          <t>Kế toán / Kiểm toán</t>
        </is>
      </c>
      <c r="K11779" t="inlineStr">
        <is>
          <t>Trên 3 Năm</t>
        </is>
      </c>
      <c r="L11779" s="8">
        <f>HYPERLINK("https://careerviet.vn/vi/tim-viec-lam/ke-toan-tieng-nhat.35C6A052.html","Xem chi tiết")</f>
        <v/>
      </c>
    </row>
    <row r="11780">
      <c r="B11780" s="9" t="n">
        <v>11778</v>
      </c>
      <c r="C11780" s="10" t="inlineStr">
        <is>
          <t>Chuyên Viên Ý Tưởng Sáng Tạo</t>
        </is>
      </c>
      <c r="D11780" s="10" t="inlineStr">
        <is>
          <t>CÔNG TY TNHH HARICO GLOBAL</t>
        </is>
      </c>
      <c r="E11780" s="10" t="inlineStr">
        <is>
          <t>Lương:9 Tr - 12 Tr VND</t>
        </is>
      </c>
      <c r="F11780" s="10" t="inlineStr">
        <is>
          <t>Hà Nội</t>
        </is>
      </c>
      <c r="G11780" s="10" t="inlineStr">
        <is>
          <t>28-03-2026</t>
        </is>
      </c>
      <c r="H11780" s="10" t="inlineStr">
        <is>
          <t>28/03/2026</t>
        </is>
      </c>
      <c r="I11780" s="10" t="inlineStr">
        <is>
          <t>17/03/2026</t>
        </is>
      </c>
      <c r="J11780" s="10" t="inlineStr">
        <is>
          <t>Tiếp thị / Marketing, Mỹ thuật / Nghệ thuật / Thiết kế, Quảng cáo / Đối ngoại / Truyền Thông</t>
        </is>
      </c>
      <c r="K11780" s="10" t="inlineStr">
        <is>
          <t>1 - 3 Năm</t>
        </is>
      </c>
      <c r="L11780" s="11">
        <f>HYPERLINK("https://careerviet.vn/vi/tim-viec-lam/chuyen-vien-y-tuong-sang-tao.35C6A0D8.html","Xem chi tiết")</f>
        <v/>
      </c>
      <c r="M11780" s="10" t="n"/>
    </row>
    <row r="11781">
      <c r="B11781" s="7" t="n">
        <v>11779</v>
      </c>
      <c r="C11781" t="inlineStr">
        <is>
          <t>Bác sĩ Răng Hàm Mặt - Vinmec Hạ Long</t>
        </is>
      </c>
      <c r="D11781" t="inlineStr">
        <is>
          <t>Công ty CP Bệnh Viện Đa Khoa Quốc Tế Vinmec</t>
        </is>
      </c>
      <c r="E11781" t="inlineStr">
        <is>
          <t>Lương:Cạnh tranh</t>
        </is>
      </c>
      <c r="F11781" t="inlineStr">
        <is>
          <t>Quảng Ninh</t>
        </is>
      </c>
      <c r="G11781" t="inlineStr">
        <is>
          <t>31-03-2026</t>
        </is>
      </c>
      <c r="H11781" t="inlineStr">
        <is>
          <t>31/03/2026</t>
        </is>
      </c>
      <c r="I11781" t="inlineStr">
        <is>
          <t>17/03/2026</t>
        </is>
      </c>
      <c r="J11781" t="inlineStr">
        <is>
          <t>Y tế / Chăm sóc sức khỏe / Thẩm mỹ / Làm đẹp</t>
        </is>
      </c>
      <c r="K11781" t="inlineStr">
        <is>
          <t>Trên 5 Năm</t>
        </is>
      </c>
      <c r="L11781" s="8">
        <f>HYPERLINK("https://careerviet.vn/vi/tim-viec-lam/bac-si-rang-ham-mat-vinmec-ha-long.35C69D63.html","Xem chi tiết")</f>
        <v/>
      </c>
    </row>
    <row r="11782">
      <c r="B11782" s="9" t="n">
        <v>11780</v>
      </c>
      <c r="C11782" s="10" t="inlineStr">
        <is>
          <t>[Quận 10] Tuyển Nhân Viên Bán Hàng - Chuỗi Cửa Hàng Bán Lẻ Thiết Bị Sức Khỏe</t>
        </is>
      </c>
      <c r="D11782" s="10" t="inlineStr">
        <is>
          <t>Công Ty TNHH XNK Phát Triển Đông Dương</t>
        </is>
      </c>
      <c r="E11782" s="10" t="inlineStr">
        <is>
          <t>Lương:12 Tr - 20 Tr VND</t>
        </is>
      </c>
      <c r="F11782" s="10" t="inlineStr">
        <is>
          <t>Hồ Chí Minh</t>
        </is>
      </c>
      <c r="G11782" s="10" t="inlineStr">
        <is>
          <t>31-03-2026</t>
        </is>
      </c>
      <c r="H11782" s="10" t="inlineStr">
        <is>
          <t>31/03/2026</t>
        </is>
      </c>
      <c r="I11782" s="10" t="inlineStr">
        <is>
          <t>17/03/2026</t>
        </is>
      </c>
      <c r="J11782" s="10" t="inlineStr">
        <is>
          <t>Bán lẻ / Bán sỉ, Bán hàng / Kinh doanh, Tư vấn</t>
        </is>
      </c>
      <c r="K11782" s="10" t="inlineStr">
        <is>
          <t>N/A</t>
        </is>
      </c>
      <c r="L11782" s="11">
        <f>HYPERLINK("https://careerviet.vn/vi/tim-viec-lam/quan-10-tuyen-nhan-vien-ban-hang-chuoi-cua-hang-ban-le-thiet-bi-suc-khoe.35C6A0A8.html","Xem chi tiết")</f>
        <v/>
      </c>
      <c r="M11782" s="10" t="n"/>
    </row>
    <row r="11783">
      <c r="B11783" s="7" t="n">
        <v>11781</v>
      </c>
      <c r="C11783" t="inlineStr">
        <is>
          <t>Nhân Viên Cắm Hoa</t>
        </is>
      </c>
      <c r="D11783" t="inlineStr">
        <is>
          <t>Dalat Hasfarm</t>
        </is>
      </c>
      <c r="E11783" t="inlineStr">
        <is>
          <t>Lương:10 Tr - 12 Tr VND</t>
        </is>
      </c>
      <c r="F11783" t="inlineStr">
        <is>
          <t>Lâm Đồng</t>
        </is>
      </c>
      <c r="G11783" t="inlineStr">
        <is>
          <t>27-03-2026</t>
        </is>
      </c>
      <c r="H11783" t="inlineStr">
        <is>
          <t>27/03/2026</t>
        </is>
      </c>
      <c r="I11783" t="inlineStr">
        <is>
          <t>17/03/2026</t>
        </is>
      </c>
      <c r="J11783" t="inlineStr">
        <is>
          <t>Mỹ thuật / Nghệ thuật / Thiết kế, Bán lẻ / Bán sỉ, Bán hàng / Kinh doanh</t>
        </is>
      </c>
      <c r="K11783" t="inlineStr">
        <is>
          <t>1 - 2 Năm</t>
        </is>
      </c>
      <c r="L11783" s="8">
        <f>HYPERLINK("https://careerviet.vn/vi/tim-viec-lam/nhan-vien-cam-hoa.35C69D2A.html","Xem chi tiết")</f>
        <v/>
      </c>
    </row>
    <row r="11784">
      <c r="B11784" s="9" t="n">
        <v>11782</v>
      </c>
      <c r="C11784" s="10" t="inlineStr">
        <is>
          <t>Metrology Technician (Dầu Giây - Đồng Nai) - Open for fresher</t>
        </is>
      </c>
      <c r="D11784" s="10" t="inlineStr">
        <is>
          <t>Techtronic Industries Vietnam Manufacturing Company Limited</t>
        </is>
      </c>
      <c r="E11784" s="10" t="inlineStr">
        <is>
          <t>Lương:Cạnh tranh</t>
        </is>
      </c>
      <c r="F11784" s="10" t="inlineStr">
        <is>
          <t>Đồng Nai</t>
        </is>
      </c>
      <c r="G11784" s="10" t="inlineStr">
        <is>
          <t>29-03-2026</t>
        </is>
      </c>
      <c r="H11784" s="10" t="inlineStr">
        <is>
          <t>29/03/2026</t>
        </is>
      </c>
      <c r="I11784" s="10" t="inlineStr">
        <is>
          <t>17/03/2026</t>
        </is>
      </c>
      <c r="J11784" s="10" t="inlineStr">
        <is>
          <t>Cơ khí / Ô tô / Tự động hóa, Sản xuất / Vận hành sản xuất, Quản lý chất lượng (QA/QC)</t>
        </is>
      </c>
      <c r="K11784" s="10" t="inlineStr">
        <is>
          <t>Trên 1 Năm</t>
        </is>
      </c>
      <c r="L11784" s="11">
        <f>HYPERLINK("https://careerviet.vn/vi/tim-viec-lam/metrology-technician-dau-giay-dong-nai-open-for-fresher.35C69D71.html","Xem chi tiết")</f>
        <v/>
      </c>
      <c r="M11784" s="10" t="n"/>
    </row>
    <row r="11785">
      <c r="B11785" s="7" t="n">
        <v>11783</v>
      </c>
      <c r="C11785" t="inlineStr">
        <is>
          <t>Nhân Viên Bảo Trì Tòa Nhà</t>
        </is>
      </c>
      <c r="D11785" t="inlineStr">
        <is>
          <t>CÔNG TY TNHH THẨM MỸ QUỐC TẾ LINH ANH</t>
        </is>
      </c>
      <c r="E11785" t="inlineStr">
        <is>
          <t>Lương:10 Tr - 15 Tr VND</t>
        </is>
      </c>
      <c r="F11785" t="inlineStr">
        <is>
          <t>Hồ Chí Minh</t>
        </is>
      </c>
      <c r="G11785" t="inlineStr">
        <is>
          <t>04-04-2026</t>
        </is>
      </c>
      <c r="H11785" t="inlineStr">
        <is>
          <t>04/04/2026</t>
        </is>
      </c>
      <c r="I11785" t="inlineStr">
        <is>
          <t>17/03/2026</t>
        </is>
      </c>
      <c r="J11785" t="inlineStr">
        <is>
          <t>Bảo trì / Sửa chữa</t>
        </is>
      </c>
      <c r="K11785" t="inlineStr">
        <is>
          <t>1 - 5 Năm</t>
        </is>
      </c>
      <c r="L11785" s="8">
        <f>HYPERLINK("https://careerviet.vn/vi/tim-viec-lam/nhan-vien-bao-tri-toa-nha.35C6A08D.html","Xem chi tiết")</f>
        <v/>
      </c>
    </row>
    <row r="11786">
      <c r="B11786" s="9" t="n">
        <v>11784</v>
      </c>
      <c r="C11786" s="10" t="inlineStr">
        <is>
          <t>Nhân Viên Kế Toán Tổng Hợp (General Accountant)</t>
        </is>
      </c>
      <c r="D11786" s="10" t="inlineStr">
        <is>
          <t>CJ Foodville Việt Nam</t>
        </is>
      </c>
      <c r="E11786" s="10" t="inlineStr">
        <is>
          <t>Lương:Cạnh tranh</t>
        </is>
      </c>
      <c r="F11786" s="10" t="inlineStr">
        <is>
          <t>Hồ Chí Minh</t>
        </is>
      </c>
      <c r="G11786" s="10" t="inlineStr">
        <is>
          <t>27-03-2026</t>
        </is>
      </c>
      <c r="H11786" s="10" t="inlineStr">
        <is>
          <t>27/03/2026</t>
        </is>
      </c>
      <c r="I11786" s="10" t="inlineStr">
        <is>
          <t>17/03/2026</t>
        </is>
      </c>
      <c r="J11786" s="10" t="inlineStr">
        <is>
          <t>Kế toán / Kiểm toán</t>
        </is>
      </c>
      <c r="K11786" s="10" t="inlineStr">
        <is>
          <t>3 - 5 Năm</t>
        </is>
      </c>
      <c r="L11786" s="11">
        <f>HYPERLINK("https://careerviet.vn/vi/tim-viec-lam/nhan-vien-ke-toan-tong-hop-general-accountant.35C69F16.html","Xem chi tiết")</f>
        <v/>
      </c>
      <c r="M11786" s="10" t="n"/>
    </row>
    <row r="11787">
      <c r="B11787" s="7" t="n">
        <v>11785</v>
      </c>
      <c r="C11787" t="inlineStr">
        <is>
          <t>Chỉ Huy Trưởng - Dự Án Xây dựng dân dụng</t>
        </is>
      </c>
      <c r="D11787" t="inlineStr">
        <is>
          <t>Công ty CP Đầu tư phát triển Đô thị và Khu công nghiệp</t>
        </is>
      </c>
      <c r="E11787" t="inlineStr">
        <is>
          <t>Lương:35 Tr - 45 Tr VND</t>
        </is>
      </c>
      <c r="F11787" t="inlineStr">
        <is>
          <t>Hà Nội</t>
        </is>
      </c>
      <c r="G11787" t="inlineStr">
        <is>
          <t>31-03-2026</t>
        </is>
      </c>
      <c r="H11787" t="inlineStr">
        <is>
          <t>31/03/2026</t>
        </is>
      </c>
      <c r="I11787" t="inlineStr">
        <is>
          <t>17/03/2026</t>
        </is>
      </c>
      <c r="J11787" t="inlineStr">
        <is>
          <t>Xây dựng, Bất động sản</t>
        </is>
      </c>
      <c r="K11787" t="inlineStr">
        <is>
          <t>7 - 10 Năm</t>
        </is>
      </c>
      <c r="L11787" s="8">
        <f>HYPERLINK("https://careerviet.vn/vi/tim-viec-lam/chi-huy-truong-du-an-xay-dung-dan-dung.35C69D9C.html","Xem chi tiết")</f>
        <v/>
      </c>
    </row>
    <row r="11788">
      <c r="B11788" s="9" t="n">
        <v>11786</v>
      </c>
      <c r="C11788" s="10" t="inlineStr">
        <is>
          <t>MarTech Executive (Operation-Focused)</t>
        </is>
      </c>
      <c r="D11788" s="10" t="inlineStr">
        <is>
          <t>Cổ Phần Quốc Tế Anh Văn Hội Việt Mỹ (VUS)</t>
        </is>
      </c>
      <c r="E11788" s="10" t="inlineStr">
        <is>
          <t>Lương:Cạnh tranh</t>
        </is>
      </c>
      <c r="F11788" s="10" t="inlineStr">
        <is>
          <t>Hồ Chí Minh</t>
        </is>
      </c>
      <c r="G11788" s="10" t="inlineStr">
        <is>
          <t>31-03-2026</t>
        </is>
      </c>
      <c r="H11788" s="10" t="inlineStr">
        <is>
          <t>31/03/2026</t>
        </is>
      </c>
      <c r="I11788" s="10" t="inlineStr">
        <is>
          <t>17/03/2026</t>
        </is>
      </c>
      <c r="J11788" s="10" t="inlineStr">
        <is>
          <t>Tiếp thị / Marketing</t>
        </is>
      </c>
      <c r="K11788" s="10" t="inlineStr">
        <is>
          <t>2 - 5 Năm</t>
        </is>
      </c>
      <c r="L11788" s="11">
        <f>HYPERLINK("https://careerviet.vn/vi/tim-viec-lam/martech-executive-operation-focused.35C69F23.html","Xem chi tiết")</f>
        <v/>
      </c>
      <c r="M11788" s="10" t="n"/>
    </row>
    <row r="11789">
      <c r="B11789" s="7" t="n">
        <v>11787</v>
      </c>
      <c r="C11789" t="inlineStr">
        <is>
          <t>KỸ SƯ QS LÀM VIỆC TẠI VŨNG TÀU, TPHCM</t>
        </is>
      </c>
      <c r="D11789" t="inlineStr">
        <is>
          <t>CÔNG TY CỔ PHẦN FECON SOUTH</t>
        </is>
      </c>
      <c r="E11789" t="inlineStr">
        <is>
          <t>Lương:19 Tr - 27 Tr VND</t>
        </is>
      </c>
      <c r="F11789" t="inlineStr">
        <is>
          <t>Hồ Chí Minh</t>
        </is>
      </c>
      <c r="G11789" t="inlineStr">
        <is>
          <t>27-03-2026</t>
        </is>
      </c>
      <c r="H11789" t="inlineStr">
        <is>
          <t>27/03/2026</t>
        </is>
      </c>
      <c r="I11789" t="inlineStr">
        <is>
          <t>17/03/2026</t>
        </is>
      </c>
      <c r="J11789" t="inlineStr">
        <is>
          <t>Kiến trúc, Xây dựng, Bất động sản</t>
        </is>
      </c>
      <c r="K11789" t="inlineStr">
        <is>
          <t>2 - 6 Năm</t>
        </is>
      </c>
      <c r="L11789" s="8">
        <f>HYPERLINK("https://careerviet.vn/vi/tim-viec-lam/ky-su-qs-lam-viec-tai-vung-tau-tphcm.35C6A049.html","Xem chi tiết")</f>
        <v/>
      </c>
    </row>
    <row r="11790">
      <c r="B11790" s="9" t="n">
        <v>11788</v>
      </c>
      <c r="C11790" s="10" t="inlineStr">
        <is>
          <t>Trưởng nhóm Tư vấn</t>
        </is>
      </c>
      <c r="D11790" s="10" t="inlineStr">
        <is>
          <t>Công Ty TNHH T.M.G</t>
        </is>
      </c>
      <c r="E11790" s="10" t="inlineStr">
        <is>
          <t>Lương:Cạnh tranh</t>
        </is>
      </c>
      <c r="F11790" s="10" t="inlineStr">
        <is>
          <t>Quảng NgãiĐà Nẵng</t>
        </is>
      </c>
      <c r="G11790" s="10" t="inlineStr">
        <is>
          <t>27-03-2026</t>
        </is>
      </c>
      <c r="H11790" s="10" t="inlineStr">
        <is>
          <t>27/03/2026</t>
        </is>
      </c>
      <c r="I11790" s="10" t="inlineStr">
        <is>
          <t>17/03/2026</t>
        </is>
      </c>
      <c r="J11790" s="10" t="inlineStr">
        <is>
          <t>Giáo dục / Đào tạo, Bán hàng / Kinh doanh</t>
        </is>
      </c>
      <c r="K11790" s="10" t="inlineStr">
        <is>
          <t>1 - 3 Năm</t>
        </is>
      </c>
      <c r="L11790" s="11">
        <f>HYPERLINK("https://careerviet.vn/vi/tim-viec-lam/truong-nhom-tu-van.35C6A0F7.html","Xem chi tiết")</f>
        <v/>
      </c>
      <c r="M11790" s="10" t="n"/>
    </row>
    <row r="11791">
      <c r="B11791" s="7" t="n">
        <v>11789</v>
      </c>
      <c r="C11791" t="inlineStr">
        <is>
          <t>Nhân viên Trực tổng đài Chăm sóc Khách hàng dự án LPBank ( NH TMCP Lộc Phát Việt Nam)</t>
        </is>
      </c>
      <c r="D11791" t="inlineStr">
        <is>
          <t>BellSystem24-Việt Nam</t>
        </is>
      </c>
      <c r="E11791" t="inlineStr">
        <is>
          <t>Lương:7 Tr - 8,5 Tr VND</t>
        </is>
      </c>
      <c r="F11791" t="inlineStr">
        <is>
          <t>Hà Nội</t>
        </is>
      </c>
      <c r="G11791" t="inlineStr">
        <is>
          <t>31-03-2026</t>
        </is>
      </c>
      <c r="H11791" t="inlineStr">
        <is>
          <t>31/03/2026</t>
        </is>
      </c>
      <c r="I11791" t="inlineStr">
        <is>
          <t>17/03/2026</t>
        </is>
      </c>
      <c r="J11791" t="inlineStr">
        <is>
          <t>Mới tốt nghiệp / Thực tập, Bán hàng / Kinh doanh, Ngân hàng</t>
        </is>
      </c>
      <c r="K11791" t="inlineStr">
        <is>
          <t>N/A</t>
        </is>
      </c>
      <c r="L11791" s="8">
        <f>HYPERLINK("https://careerviet.vn/vi/tim-viec-lam/nhan-vien-truc-tong-dai-cham-soc-khach-hang-du-an-lpbank-nh-tmcp-loc-phat-viet-nam.35C5CD9D.html","Xem chi tiết")</f>
        <v/>
      </c>
    </row>
    <row r="11792">
      <c r="B11792" s="9" t="n">
        <v>11790</v>
      </c>
      <c r="C11792" s="10" t="inlineStr">
        <is>
          <t>Kế toán công nợ (công ty sản xuất)</t>
        </is>
      </c>
      <c r="D11792" s="10" t="inlineStr">
        <is>
          <t>Công Ty TNHH SX - TM - DV Lê Trần</t>
        </is>
      </c>
      <c r="E11792" s="10" t="inlineStr">
        <is>
          <t>Lương:10 Tr - 12 Tr VND</t>
        </is>
      </c>
      <c r="F11792" s="10" t="inlineStr">
        <is>
          <t>Hồ Chí Minh</t>
        </is>
      </c>
      <c r="G11792" s="10" t="inlineStr">
        <is>
          <t>31-03-2026</t>
        </is>
      </c>
      <c r="H11792" s="10" t="inlineStr">
        <is>
          <t>31/03/2026</t>
        </is>
      </c>
      <c r="I11792" s="10" t="inlineStr">
        <is>
          <t>17/03/2026</t>
        </is>
      </c>
      <c r="J11792" s="10" t="inlineStr">
        <is>
          <t>Sản xuất / Vận hành sản xuất, Kế toán / Kiểm toán, Nội ngoại thất</t>
        </is>
      </c>
      <c r="K11792" s="10" t="inlineStr">
        <is>
          <t>3 - 5 Năm</t>
        </is>
      </c>
      <c r="L11792" s="11">
        <f>HYPERLINK("https://careerviet.vn/vi/tim-viec-lam/ke-toan-cong-no-cong-ty-san-xuat.35C69D2D.html","Xem chi tiết")</f>
        <v/>
      </c>
      <c r="M11792" s="10" t="n"/>
    </row>
    <row r="11793">
      <c r="B11793" s="7" t="n">
        <v>11791</v>
      </c>
      <c r="C11793" t="inlineStr">
        <is>
          <t>CHUYÊN VIÊN CAO CẤP KINH DOANH SỐ (DIGITAL SALE)</t>
        </is>
      </c>
      <c r="D11793" t="inlineStr">
        <is>
          <t>CÔNG TY CỔ PHẦN CẢNG TÀU KHÁCH QUỐC TẾ TUẦN CHÂU</t>
        </is>
      </c>
      <c r="E11793" t="inlineStr">
        <is>
          <t>Lương:Cạnh tranh</t>
        </is>
      </c>
      <c r="F11793" t="inlineStr">
        <is>
          <t>Hà Nội</t>
        </is>
      </c>
      <c r="G11793" t="inlineStr">
        <is>
          <t>29-03-2026</t>
        </is>
      </c>
      <c r="H11793" t="inlineStr">
        <is>
          <t>29/03/2026</t>
        </is>
      </c>
      <c r="I11793" t="inlineStr">
        <is>
          <t>17/03/2026</t>
        </is>
      </c>
      <c r="J11793" t="inlineStr">
        <is>
          <t>Bán hàng / Kinh doanh, Quảng cáo / Đối ngoại / Truyền Thông</t>
        </is>
      </c>
      <c r="K11793" t="inlineStr">
        <is>
          <t>4 - 5 Năm</t>
        </is>
      </c>
      <c r="L11793" s="8">
        <f>HYPERLINK("https://careerviet.vn/vi/tim-viec-lam/chuyen-vien-cao-cap-kinh-doanh-so-digital-sale.35C69FE0.html","Xem chi tiết")</f>
        <v/>
      </c>
    </row>
    <row r="11794">
      <c r="B11794" s="9" t="n">
        <v>11792</v>
      </c>
      <c r="C11794" s="10" t="inlineStr">
        <is>
          <t>HO - CVC/CVCC Phát Triển Sản Phẩm Acquiring</t>
        </is>
      </c>
      <c r="D11794" s="10" t="inlineStr">
        <is>
          <t>Ngân Hàng TMCP Phương Đông - OCB</t>
        </is>
      </c>
      <c r="E11794" s="10" t="inlineStr">
        <is>
          <t>Lương:Cạnh tranh</t>
        </is>
      </c>
      <c r="F11794" s="10" t="inlineStr">
        <is>
          <t>Hồ Chí Minh</t>
        </is>
      </c>
      <c r="G11794" s="10" t="inlineStr">
        <is>
          <t>31-03-2026</t>
        </is>
      </c>
      <c r="H11794" s="10" t="inlineStr">
        <is>
          <t>31/03/2026</t>
        </is>
      </c>
      <c r="I11794" s="10" t="inlineStr">
        <is>
          <t>17/03/2026</t>
        </is>
      </c>
      <c r="J11794" s="10" t="inlineStr">
        <is>
          <t>Ngân hàng</t>
        </is>
      </c>
      <c r="K11794" s="10" t="inlineStr">
        <is>
          <t>4 - 6 Năm</t>
        </is>
      </c>
      <c r="L11794" s="11">
        <f>HYPERLINK("https://careerviet.vn/vi/tim-viec-lam/ho-cvc-cvcc-phat-trien-san-pham-acquiring.35C6A035.html","Xem chi tiết")</f>
        <v/>
      </c>
      <c r="M11794" s="10" t="n"/>
    </row>
    <row r="11795">
      <c r="B11795" s="7" t="n">
        <v>11793</v>
      </c>
      <c r="C11795" t="inlineStr">
        <is>
          <t>Chuyên viên Content Media</t>
        </is>
      </c>
      <c r="D11795" t="inlineStr">
        <is>
          <t>Công ty TNHH Sản xuất, lắp ráp Tuấn Nghĩa</t>
        </is>
      </c>
      <c r="E11795" t="inlineStr">
        <is>
          <t>Lương:13 Tr - 15 Tr VND</t>
        </is>
      </c>
      <c r="F11795" t="inlineStr">
        <is>
          <t>Hà Nội</t>
        </is>
      </c>
      <c r="G11795" t="inlineStr">
        <is>
          <t>29-03-2026</t>
        </is>
      </c>
      <c r="H11795" t="inlineStr">
        <is>
          <t>29/03/2026</t>
        </is>
      </c>
      <c r="I11795" t="inlineStr">
        <is>
          <t>17/03/2026</t>
        </is>
      </c>
      <c r="J11795" t="inlineStr">
        <is>
          <t>Tiếp thị / Marketing, Quảng cáo / Đối ngoại / Truyền Thông</t>
        </is>
      </c>
      <c r="K11795" t="inlineStr">
        <is>
          <t>Trên 1 Năm</t>
        </is>
      </c>
      <c r="L11795" s="8">
        <f>HYPERLINK("https://careerviet.vn/vi/tim-viec-lam/chuyen-vien-content-media.35C6A029.html","Xem chi tiết")</f>
        <v/>
      </c>
    </row>
    <row r="11796">
      <c r="B11796" s="9" t="n">
        <v>11794</v>
      </c>
      <c r="C11796" s="10" t="inlineStr">
        <is>
          <t>Kỹ sư điện nước</t>
        </is>
      </c>
      <c r="D11796" s="10" t="inlineStr">
        <is>
          <t>CÔNG TY CỔ PHẦN TƯ VẤN THIẾT KẾ VÀ XÂY DỰNG GREENHN</t>
        </is>
      </c>
      <c r="E11796" s="10" t="inlineStr">
        <is>
          <t>Lương:15 Tr - 22 Tr VND</t>
        </is>
      </c>
      <c r="F11796" s="10" t="inlineStr">
        <is>
          <t>Hà Nội</t>
        </is>
      </c>
      <c r="G11796" s="10" t="inlineStr">
        <is>
          <t>31-03-2026</t>
        </is>
      </c>
      <c r="H11796" s="10" t="inlineStr">
        <is>
          <t>31/03/2026</t>
        </is>
      </c>
      <c r="I11796" s="10" t="inlineStr">
        <is>
          <t>17/03/2026</t>
        </is>
      </c>
      <c r="J11796" s="10" t="inlineStr">
        <is>
          <t>Kiến trúc, Xây dựng, Nội ngoại thất</t>
        </is>
      </c>
      <c r="K11796" s="10" t="inlineStr">
        <is>
          <t>2 - 5 Năm</t>
        </is>
      </c>
      <c r="L11796" s="11">
        <f>HYPERLINK("https://careerviet.vn/vi/tim-viec-lam/ky-su-dien-nuoc.35C69D5C.html","Xem chi tiết")</f>
        <v/>
      </c>
      <c r="M11796" s="10" t="n"/>
    </row>
    <row r="11797">
      <c r="B11797" s="7" t="n">
        <v>11795</v>
      </c>
      <c r="C11797" t="inlineStr">
        <is>
          <t>Chuyên viên pháp lý bán hàng (chủ đầu tư BĐS)</t>
        </is>
      </c>
      <c r="D11797" t="inlineStr">
        <is>
          <t>Tập Đoàn Tân Á Đại Thành</t>
        </is>
      </c>
      <c r="E11797" t="inlineStr">
        <is>
          <t>Lương:Cạnh tranh</t>
        </is>
      </c>
      <c r="F11797" t="inlineStr">
        <is>
          <t>Hà Nội</t>
        </is>
      </c>
      <c r="G11797" t="inlineStr">
        <is>
          <t>29-03-2026</t>
        </is>
      </c>
      <c r="H11797" t="inlineStr">
        <is>
          <t>29/03/2026</t>
        </is>
      </c>
      <c r="I11797" t="inlineStr">
        <is>
          <t>17/03/2026</t>
        </is>
      </c>
      <c r="J11797" t="inlineStr">
        <is>
          <t>Luật / Pháp lý, Bất động sản, Nhân sự</t>
        </is>
      </c>
      <c r="K11797" t="inlineStr">
        <is>
          <t>Trên 3 Năm</t>
        </is>
      </c>
      <c r="L11797" s="8">
        <f>HYPERLINK("https://careerviet.vn/vi/tim-viec-lam/chuyen-vien-phap-ly-ban-hang-chu-dau-tu-bds.35C69FD3.html","Xem chi tiết")</f>
        <v/>
      </c>
    </row>
    <row r="11798">
      <c r="B11798" s="9" t="n">
        <v>11796</v>
      </c>
      <c r="C11798" s="10" t="inlineStr">
        <is>
          <t>NPI / NPD Product Manager</t>
        </is>
      </c>
      <c r="D11798" s="10" t="inlineStr">
        <is>
          <t>Công ty TNHH Starry Việt Nam</t>
        </is>
      </c>
      <c r="E11798" s="10" t="inlineStr">
        <is>
          <t>Lương:Cạnh tranh</t>
        </is>
      </c>
      <c r="F11798" s="10" t="inlineStr">
        <is>
          <t>Long An</t>
        </is>
      </c>
      <c r="G11798" s="10" t="inlineStr">
        <is>
          <t>31-03-2026</t>
        </is>
      </c>
      <c r="H11798" s="10" t="inlineStr">
        <is>
          <t>31/03/2026</t>
        </is>
      </c>
      <c r="I11798" s="10" t="inlineStr">
        <is>
          <t>17/03/2026</t>
        </is>
      </c>
      <c r="J11798" s="10" t="inlineStr">
        <is>
          <t>Sản xuất / Vận hành sản xuất, Quản lý chất lượng (QA/QC)</t>
        </is>
      </c>
      <c r="K11798" s="10" t="inlineStr">
        <is>
          <t>4 - 6 Năm</t>
        </is>
      </c>
      <c r="L11798" s="11">
        <f>HYPERLINK("https://careerviet.vn/vi/tim-viec-lam/npi-npd-product-manager.35C69DB2.html","Xem chi tiết")</f>
        <v/>
      </c>
      <c r="M11798" s="10" t="n"/>
    </row>
    <row r="11799">
      <c r="B11799" s="7" t="n">
        <v>11797</v>
      </c>
      <c r="C11799" t="inlineStr">
        <is>
          <t>Nhân viên: Vận hành điện nước (Tri Lễ, Nghệ An)</t>
        </is>
      </c>
      <c r="D11799" t="inlineStr">
        <is>
          <t>Công ty cổ phần Nafoods Group</t>
        </is>
      </c>
      <c r="E11799" t="inlineStr">
        <is>
          <t>Lương:8 Tr - 12 Tr VND</t>
        </is>
      </c>
      <c r="F11799" t="inlineStr">
        <is>
          <t>Nghệ An</t>
        </is>
      </c>
      <c r="G11799" t="inlineStr">
        <is>
          <t>31-03-2026</t>
        </is>
      </c>
      <c r="H11799" t="inlineStr">
        <is>
          <t>31/03/2026</t>
        </is>
      </c>
      <c r="I11799" t="inlineStr">
        <is>
          <t>17/03/2026</t>
        </is>
      </c>
      <c r="J11799" t="inlineStr">
        <is>
          <t>Điện / Điện tử / Điện lạnh / Điện công nghiệp</t>
        </is>
      </c>
      <c r="K11799" t="inlineStr">
        <is>
          <t>N/A</t>
        </is>
      </c>
      <c r="L11799" s="8">
        <f>HYPERLINK("https://careerviet.vn/vi/tim-viec-lam/nhan-vien-van-hanh-dien-nuoc-tri-le-nghe-an.35C69EFE.html","Xem chi tiết")</f>
        <v/>
      </c>
    </row>
    <row r="11800">
      <c r="B11800" s="9" t="n">
        <v>11798</v>
      </c>
      <c r="C11800" s="10" t="inlineStr">
        <is>
          <t>Chuyên viên Kế toán Thuế (Hợp đồng 06 tháng)</t>
        </is>
      </c>
      <c r="D11800" s="10" t="inlineStr">
        <is>
          <t>UrBox - Công ty Cổ phần Tiếp Thị Số Tô Quà</t>
        </is>
      </c>
      <c r="E11800" s="10" t="inlineStr">
        <is>
          <t>Lương:Cạnh tranh</t>
        </is>
      </c>
      <c r="F11800" s="10" t="inlineStr">
        <is>
          <t>Hà Nội</t>
        </is>
      </c>
      <c r="G11800" s="10" t="inlineStr">
        <is>
          <t>31-03-2026</t>
        </is>
      </c>
      <c r="H11800" s="10" t="inlineStr">
        <is>
          <t>31/03/2026</t>
        </is>
      </c>
      <c r="I11800" s="10" t="inlineStr">
        <is>
          <t>17/03/2026</t>
        </is>
      </c>
      <c r="J11800" s="10" t="inlineStr">
        <is>
          <t>Kế toán / Kiểm toán</t>
        </is>
      </c>
      <c r="K11800" s="10" t="inlineStr">
        <is>
          <t>2 - 4 Năm</t>
        </is>
      </c>
      <c r="L11800" s="11">
        <f>HYPERLINK("https://careerviet.vn/vi/tim-viec-lam/chuyen-vien-ke-toan-thue-hop-dong-06-thang.35C6A04D.html","Xem chi tiết")</f>
        <v/>
      </c>
      <c r="M11800" s="10" t="n"/>
    </row>
    <row r="11801">
      <c r="B11801" s="7" t="n">
        <v>11799</v>
      </c>
      <c r="C11801" t="inlineStr">
        <is>
          <t>[Tuyển Gấp] Kỹ Sư Điện (Senior) - Ban Năng Lượng</t>
        </is>
      </c>
      <c r="D11801" t="inlineStr">
        <is>
          <t>Xuân Cầu Holdings</t>
        </is>
      </c>
      <c r="E11801" t="inlineStr">
        <is>
          <t>Lương:25 Tr - 40 Tr VND</t>
        </is>
      </c>
      <c r="F11801" t="inlineStr">
        <is>
          <t>Hà Nội</t>
        </is>
      </c>
      <c r="G11801" t="inlineStr">
        <is>
          <t>28-03-2026</t>
        </is>
      </c>
      <c r="H11801" t="inlineStr">
        <is>
          <t>28/03/2026</t>
        </is>
      </c>
      <c r="I11801" t="inlineStr">
        <is>
          <t>17/03/2026</t>
        </is>
      </c>
      <c r="J11801" t="inlineStr">
        <is>
          <t>Xây dựng, Điện / Điện tử / Điện lạnh / Điện công nghiệp</t>
        </is>
      </c>
      <c r="K11801" t="inlineStr">
        <is>
          <t>5 - 15 Năm</t>
        </is>
      </c>
      <c r="L11801" s="8">
        <f>HYPERLINK("https://careerviet.vn/vi/tim-viec-lam/tuyen-gap-ky-su-dien-senior-ban-nang-luong.35C69E79.html","Xem chi tiết")</f>
        <v/>
      </c>
    </row>
    <row r="11802">
      <c r="B11802" s="9" t="n">
        <v>11800</v>
      </c>
      <c r="C11802" s="10" t="inlineStr">
        <is>
          <t>Nhân viên bán hàng địa bàn</t>
        </is>
      </c>
      <c r="D11802" s="10" t="inlineStr">
        <is>
          <t>HR Vietnam’s ESS Client</t>
        </is>
      </c>
      <c r="E11802" s="10" t="inlineStr">
        <is>
          <t>Lương:Cạnh tranh</t>
        </is>
      </c>
      <c r="F11802" s="10" t="inlineStr">
        <is>
          <t>Đồng ThápTây Ninh</t>
        </is>
      </c>
      <c r="G11802" s="10" t="inlineStr">
        <is>
          <t>29-03-2026</t>
        </is>
      </c>
      <c r="H11802" s="10" t="inlineStr">
        <is>
          <t>29/03/2026</t>
        </is>
      </c>
      <c r="I11802" s="10" t="inlineStr">
        <is>
          <t>17/03/2026</t>
        </is>
      </c>
      <c r="J11802" s="10" t="inlineStr">
        <is>
          <t>Sản xuất / Vận hành sản xuất, Bán hàng / Kinh doanh</t>
        </is>
      </c>
      <c r="K11802" s="10" t="inlineStr">
        <is>
          <t>1 - 2 Năm</t>
        </is>
      </c>
      <c r="L11802" s="11">
        <f>HYPERLINK("https://careerviet.vn/vi/tim-viec-lam/nhan-vien-ban-hang-dia-ban.35C69E58.html","Xem chi tiết")</f>
        <v/>
      </c>
      <c r="M11802" s="10" t="n"/>
    </row>
    <row r="11803">
      <c r="B11803" s="7" t="n">
        <v>11801</v>
      </c>
      <c r="C11803" t="inlineStr">
        <is>
          <t>Nhân viên Marketting</t>
        </is>
      </c>
      <c r="D11803" t="inlineStr">
        <is>
          <t>CÔNG TY CỔ PHẦN THƯƠNG MẠI DỊCH VỤ AN ĐẠI DƯƠNG</t>
        </is>
      </c>
      <c r="E11803" t="inlineStr">
        <is>
          <t>Lương:10 Tr - 19 Tr VND</t>
        </is>
      </c>
      <c r="F11803" t="inlineStr">
        <is>
          <t>Hà Nội</t>
        </is>
      </c>
      <c r="G11803" t="inlineStr">
        <is>
          <t>31-03-2026</t>
        </is>
      </c>
      <c r="H11803" t="inlineStr">
        <is>
          <t>31/03/2026</t>
        </is>
      </c>
      <c r="I11803" t="inlineStr">
        <is>
          <t>17/03/2026</t>
        </is>
      </c>
      <c r="J11803" t="inlineStr">
        <is>
          <t>Tiếp thị / Marketing</t>
        </is>
      </c>
      <c r="K11803" t="inlineStr">
        <is>
          <t>Chưa có kinh nghiệm</t>
        </is>
      </c>
      <c r="L11803" s="8">
        <f>HYPERLINK("https://careerviet.vn/vi/tim-viec-lam/nhan-vien-marketting.35C69EE5.html","Xem chi tiết")</f>
        <v/>
      </c>
    </row>
    <row r="11804">
      <c r="B11804" s="9" t="n">
        <v>11802</v>
      </c>
      <c r="C11804" s="10" t="inlineStr">
        <is>
          <t>Chuyên viên hành chính nhân sự  ( Mạnh C&amp;B)</t>
        </is>
      </c>
      <c r="D11804" s="10" t="inlineStr">
        <is>
          <t>Công ty TNHH Sản xuất, lắp ráp Tuấn Nghĩa</t>
        </is>
      </c>
      <c r="E11804" s="10" t="inlineStr">
        <is>
          <t>Lương:13 Tr - 15 Tr VND</t>
        </is>
      </c>
      <c r="F11804" s="10" t="inlineStr">
        <is>
          <t>Hà Nội</t>
        </is>
      </c>
      <c r="G11804" s="10" t="inlineStr">
        <is>
          <t>28-03-2026</t>
        </is>
      </c>
      <c r="H11804" s="10" t="inlineStr">
        <is>
          <t>28/03/2026</t>
        </is>
      </c>
      <c r="I11804" s="10" t="inlineStr">
        <is>
          <t>17/03/2026</t>
        </is>
      </c>
      <c r="J11804" s="10" t="inlineStr">
        <is>
          <t>Hành chính / Thư ký, Nhân sự, Luật / Pháp lý</t>
        </is>
      </c>
      <c r="K11804" s="10" t="inlineStr">
        <is>
          <t>Trên 2 Năm</t>
        </is>
      </c>
      <c r="L11804" s="11">
        <f>HYPERLINK("https://careerviet.vn/vi/tim-viec-lam/chuyen-vien-hanh-chinh-nhan-su-manh-c-b.35C69E7B.html","Xem chi tiết")</f>
        <v/>
      </c>
      <c r="M11804" s="10" t="n"/>
    </row>
    <row r="11805">
      <c r="B11805" s="7" t="n">
        <v>11803</v>
      </c>
      <c r="C11805" t="inlineStr">
        <is>
          <t>Technique Manager (Giám Đốc Kỹ Thuật)</t>
        </is>
      </c>
      <c r="D11805" t="inlineStr">
        <is>
          <t>Công Ty TNHH Nyan Kids Đồng Nai</t>
        </is>
      </c>
      <c r="E11805" t="inlineStr">
        <is>
          <t>Lương:Cạnh tranh</t>
        </is>
      </c>
      <c r="F11805" t="inlineStr">
        <is>
          <t>Đồng Nai</t>
        </is>
      </c>
      <c r="G11805" t="inlineStr">
        <is>
          <t>30-04-2026</t>
        </is>
      </c>
      <c r="H11805" t="inlineStr">
        <is>
          <t>30/04/2026</t>
        </is>
      </c>
      <c r="I11805" t="inlineStr">
        <is>
          <t>17/03/2026</t>
        </is>
      </c>
      <c r="J11805" t="inlineStr">
        <is>
          <t>Dệt may / Da giày / Thời trang, Mỹ thuật / Nghệ thuật / Thiết kế, Sản xuất / Vận hành sản xuất</t>
        </is>
      </c>
      <c r="K11805" t="inlineStr">
        <is>
          <t>5 - 8 Năm</t>
        </is>
      </c>
      <c r="L11805" s="8">
        <f>HYPERLINK("https://careerviet.vn/vi/tim-viec-lam/technique-manager-giam-doc-ky-thuat.35C69BB4.html","Xem chi tiết")</f>
        <v/>
      </c>
    </row>
    <row r="11806">
      <c r="B11806" s="9" t="n">
        <v>11804</v>
      </c>
      <c r="C11806" s="10" t="inlineStr">
        <is>
          <t>TẬP ĐOÀN SƠN HÀ TUYỂN DỤNG KINH DOANH TẠI HÀ TĨNH</t>
        </is>
      </c>
      <c r="D11806" s="10" t="inlineStr">
        <is>
          <t>Công Ty Cổ Phần Quốc Tế Sơn Hà</t>
        </is>
      </c>
      <c r="E11806" s="10" t="inlineStr">
        <is>
          <t>Lương:Cạnh tranh</t>
        </is>
      </c>
      <c r="F11806" s="10" t="inlineStr">
        <is>
          <t>Hà Tĩnh</t>
        </is>
      </c>
      <c r="G11806" s="10" t="inlineStr">
        <is>
          <t>29-03-2026</t>
        </is>
      </c>
      <c r="H11806" s="10" t="inlineStr">
        <is>
          <t>29/03/2026</t>
        </is>
      </c>
      <c r="I11806" s="10" t="inlineStr">
        <is>
          <t>17/03/2026</t>
        </is>
      </c>
      <c r="J11806" s="10" t="inlineStr">
        <is>
          <t>Bán hàng / Kinh doanh</t>
        </is>
      </c>
      <c r="K11806" s="10" t="inlineStr">
        <is>
          <t>N/A</t>
        </is>
      </c>
      <c r="L11806" s="11">
        <f>HYPERLINK("https://careerviet.vn/vi/tim-viec-lam/tap-doan-son-ha-tuyen-dung-kinh-doanh-tai-ha-tinh.35C6A080.html","Xem chi tiết")</f>
        <v/>
      </c>
      <c r="M11806" s="10" t="n"/>
    </row>
    <row r="11807">
      <c r="B11807" s="7" t="n">
        <v>11805</v>
      </c>
      <c r="C11807" t="inlineStr">
        <is>
          <t>KẾ TOÁN KHO (NAM)</t>
        </is>
      </c>
      <c r="D11807" t="inlineStr">
        <is>
          <t>CÔNG TY TNHH KEIKO VIỆT NAM</t>
        </is>
      </c>
      <c r="E11807" t="inlineStr">
        <is>
          <t>Lương:9 Tr - 10 Tr VND</t>
        </is>
      </c>
      <c r="F11807" t="inlineStr">
        <is>
          <t>Hà Nội</t>
        </is>
      </c>
      <c r="G11807" t="inlineStr">
        <is>
          <t>27-03-2026</t>
        </is>
      </c>
      <c r="H11807" t="inlineStr">
        <is>
          <t>27/03/2026</t>
        </is>
      </c>
      <c r="I11807" t="inlineStr">
        <is>
          <t>17/03/2026</t>
        </is>
      </c>
      <c r="J11807" t="inlineStr">
        <is>
          <t>Bán lẻ / Bán sỉ, Kế toán / Kiểm toán, Vận chuyển / Giao nhận / Kho vận</t>
        </is>
      </c>
      <c r="K11807" t="inlineStr">
        <is>
          <t>N/A</t>
        </is>
      </c>
      <c r="L11807" s="8">
        <f>HYPERLINK("https://careerviet.vn/vi/tim-viec-lam/ke-toan-kho-nam.35C69D9F.html","Xem chi tiết")</f>
        <v/>
      </c>
    </row>
    <row r="11808">
      <c r="B11808" s="9" t="n">
        <v>11806</v>
      </c>
      <c r="C11808" s="10" t="inlineStr">
        <is>
          <t>Graphic Designer (Senior)</t>
        </is>
      </c>
      <c r="D11808" s="10" t="inlineStr">
        <is>
          <t>CÔNG TY TNHH XUẤT NHẬP KHẨU MT GROUP</t>
        </is>
      </c>
      <c r="E11808" s="10" t="inlineStr">
        <is>
          <t>Lương:10 Tr - 15 Tr VND</t>
        </is>
      </c>
      <c r="F11808" s="10" t="inlineStr">
        <is>
          <t>Hồ Chí Minh</t>
        </is>
      </c>
      <c r="G11808" s="10" t="inlineStr">
        <is>
          <t>31-03-2026</t>
        </is>
      </c>
      <c r="H11808" s="10" t="inlineStr">
        <is>
          <t>31/03/2026</t>
        </is>
      </c>
      <c r="I11808" s="10" t="inlineStr">
        <is>
          <t>17/03/2026</t>
        </is>
      </c>
      <c r="J11808" s="10" t="inlineStr">
        <is>
          <t>Tiếp thị / Marketing, Truyền hình / Báo chí / Biên tập</t>
        </is>
      </c>
      <c r="K11808" s="10" t="inlineStr">
        <is>
          <t>2 - 3 Năm</t>
        </is>
      </c>
      <c r="L11808" s="11">
        <f>HYPERLINK("https://careerviet.vn/vi/tim-viec-lam/graphic-designer-senior.35C69D14.html","Xem chi tiết")</f>
        <v/>
      </c>
      <c r="M11808" s="10" t="n"/>
    </row>
    <row r="11809">
      <c r="B11809" s="7" t="n">
        <v>11807</v>
      </c>
      <c r="C11809" t="inlineStr">
        <is>
          <t>Nhân viên Sale Online</t>
        </is>
      </c>
      <c r="D11809" t="inlineStr">
        <is>
          <t>CÔNG TY TRÁCH NHIỆM HỮU HẠN THƯƠNG MẠI DỊCH VỤ 3D CORETECH</t>
        </is>
      </c>
      <c r="E11809" t="inlineStr">
        <is>
          <t>Lương:8 Tr - 12 Tr VND</t>
        </is>
      </c>
      <c r="F11809" t="inlineStr">
        <is>
          <t>Hồ Chí Minh</t>
        </is>
      </c>
      <c r="G11809" t="inlineStr">
        <is>
          <t>26-03-2026</t>
        </is>
      </c>
      <c r="H11809" t="inlineStr">
        <is>
          <t>26/03/2026</t>
        </is>
      </c>
      <c r="I11809" t="inlineStr">
        <is>
          <t>17/03/2026</t>
        </is>
      </c>
      <c r="J11809" t="inlineStr">
        <is>
          <t>Bán hàng / Kinh doanh, Bán Hàng Kỹ Thuật, Cơ khí / Ô tô / Tự động hóa</t>
        </is>
      </c>
      <c r="K11809" t="inlineStr">
        <is>
          <t>1 - 2 Năm</t>
        </is>
      </c>
      <c r="L11809" s="8">
        <f>HYPERLINK("https://careerviet.vn/vi/tim-viec-lam/nhan-vien-sale-online.35C69CE1.html","Xem chi tiết")</f>
        <v/>
      </c>
    </row>
    <row r="11810">
      <c r="B11810" s="9" t="n">
        <v>11808</v>
      </c>
      <c r="C11810" s="10" t="inlineStr">
        <is>
          <t>Chuyên Viên Xây Dựng &amp; Bảo Trì Chuỗi Siêu Thị (Thanh Hóa)</t>
        </is>
      </c>
      <c r="D11810" s="10" t="inlineStr">
        <is>
          <t>Concung.com - Con Cung Joint Stock Company</t>
        </is>
      </c>
      <c r="E11810" s="10" t="inlineStr">
        <is>
          <t>Lương:Cạnh tranh</t>
        </is>
      </c>
      <c r="F11810" s="10" t="inlineStr">
        <is>
          <t>Thanh Hóa</t>
        </is>
      </c>
      <c r="G11810" s="10" t="inlineStr">
        <is>
          <t>24-03-2026</t>
        </is>
      </c>
      <c r="H11810" s="10" t="inlineStr">
        <is>
          <t>24/03/2026</t>
        </is>
      </c>
      <c r="I11810" s="10" t="inlineStr">
        <is>
          <t>17/03/2026</t>
        </is>
      </c>
      <c r="J11810" s="10" t="inlineStr">
        <is>
          <t>Bảo trì / Sửa chữa, Kiến trúc, Xây dựng</t>
        </is>
      </c>
      <c r="K11810" s="10" t="inlineStr">
        <is>
          <t>1 - 3 Năm</t>
        </is>
      </c>
      <c r="L11810" s="11">
        <f>HYPERLINK("https://careerviet.vn/vi/tim-viec-lam/chuyen-vien-xay-dung-bao-tri-chuoi-sieu-thi-thanh-hoa.35C69ECE.html","Xem chi tiết")</f>
        <v/>
      </c>
      <c r="M11810" s="10" t="n"/>
    </row>
    <row r="11811">
      <c r="B11811" s="7" t="n">
        <v>11809</v>
      </c>
      <c r="C11811" t="inlineStr">
        <is>
          <t>Finance Staff</t>
        </is>
      </c>
      <c r="D11811" t="inlineStr">
        <is>
          <t>CÔNG TY CỔ PHẦN GREMSY</t>
        </is>
      </c>
      <c r="E11811" t="inlineStr">
        <is>
          <t>Lương:10 Tr - 15 Tr VND</t>
        </is>
      </c>
      <c r="F11811" t="inlineStr">
        <is>
          <t>Hồ Chí Minh</t>
        </is>
      </c>
      <c r="G11811" t="inlineStr">
        <is>
          <t>30-03-2026</t>
        </is>
      </c>
      <c r="H11811" t="inlineStr">
        <is>
          <t>30/03/2026</t>
        </is>
      </c>
      <c r="I11811" t="inlineStr">
        <is>
          <t>17/03/2026</t>
        </is>
      </c>
      <c r="J11811" t="inlineStr">
        <is>
          <t>Tài chính / Đầu tư, Kế toán / Kiểm toán</t>
        </is>
      </c>
      <c r="K11811" t="inlineStr">
        <is>
          <t>1 - 2 Năm</t>
        </is>
      </c>
      <c r="L11811" s="8">
        <f>HYPERLINK("https://careerviet.vn/vi/tim-viec-lam/finance-staff.35C6A0CB.html","Xem chi tiết")</f>
        <v/>
      </c>
    </row>
    <row r="11812">
      <c r="B11812" s="9" t="n">
        <v>11810</v>
      </c>
      <c r="C11812" s="10" t="inlineStr">
        <is>
          <t>Chuyên VIên Media - Ưu tiên ứng viên có thể nhận việc ngay</t>
        </is>
      </c>
      <c r="D11812" s="10" t="inlineStr">
        <is>
          <t>CÔNG TY CP THỰC PHẨM VÀ NƯỚC GIẢI KHÁT NAM VIỆT</t>
        </is>
      </c>
      <c r="E11812" s="10" t="inlineStr">
        <is>
          <t>Lương:13 Tr - 18 Tr VND</t>
        </is>
      </c>
      <c r="F11812" s="10" t="inlineStr">
        <is>
          <t>Hồ Chí Minh</t>
        </is>
      </c>
      <c r="G11812" s="10" t="inlineStr">
        <is>
          <t>31-03-2026</t>
        </is>
      </c>
      <c r="H11812" s="10" t="inlineStr">
        <is>
          <t>31/03/2026</t>
        </is>
      </c>
      <c r="I11812" s="10" t="inlineStr">
        <is>
          <t>17/03/2026</t>
        </is>
      </c>
      <c r="J11812" s="10" t="inlineStr">
        <is>
          <t>Tiếp thị / Marketing, Mỹ thuật / Nghệ thuật / Thiết kế, Quảng cáo / Đối ngoại / Truyền Thông</t>
        </is>
      </c>
      <c r="K11812" s="10" t="inlineStr">
        <is>
          <t>2 - 5 Năm</t>
        </is>
      </c>
      <c r="L11812" s="11">
        <f>HYPERLINK("https://careerviet.vn/vi/tim-viec-lam/chuyen-vien-media-uu-tien-ung-vien-co-the-nhan-viec-ngay.35C69CC6.html","Xem chi tiết")</f>
        <v/>
      </c>
      <c r="M11812" s="10" t="n"/>
    </row>
    <row r="11813">
      <c r="B11813" s="7" t="n">
        <v>11811</v>
      </c>
      <c r="C11813" t="inlineStr">
        <is>
          <t>Kỹ Sư Xây Dựng Hiện Trường</t>
        </is>
      </c>
      <c r="D11813" t="inlineStr">
        <is>
          <t>CÔNG TY TNHH XÂY DỰNG HOÀN THÀNH PHÁT</t>
        </is>
      </c>
      <c r="E11813" t="inlineStr">
        <is>
          <t>Lương:15 Tr - 18 Tr VND</t>
        </is>
      </c>
      <c r="F11813" t="inlineStr">
        <is>
          <t>Bình Dương</t>
        </is>
      </c>
      <c r="G11813" t="inlineStr">
        <is>
          <t>27-03-2026</t>
        </is>
      </c>
      <c r="H11813" t="inlineStr">
        <is>
          <t>27/03/2026</t>
        </is>
      </c>
      <c r="I11813" t="inlineStr">
        <is>
          <t>17/03/2026</t>
        </is>
      </c>
      <c r="J11813" t="inlineStr">
        <is>
          <t>Xây dựng, Kiến trúc, Bất động sản</t>
        </is>
      </c>
      <c r="K11813" t="inlineStr">
        <is>
          <t>Trên 2 Năm</t>
        </is>
      </c>
      <c r="L11813" s="8">
        <f>HYPERLINK("https://careerviet.vn/vi/tim-viec-lam/ky-su-xay-dung-hien-truong.35C69FF8.html","Xem chi tiết")</f>
        <v/>
      </c>
    </row>
    <row r="11814">
      <c r="B11814" s="9" t="n">
        <v>11812</v>
      </c>
      <c r="C11814" s="10" t="inlineStr">
        <is>
          <t>Nhân Viên Quay Dựng</t>
        </is>
      </c>
      <c r="D11814" s="10" t="inlineStr">
        <is>
          <t>Công ty Cổ phần Thiết bị và Giải pháp cơ khí Automech</t>
        </is>
      </c>
      <c r="E11814" s="10" t="inlineStr">
        <is>
          <t>Lương:Trên 12 Tr VND</t>
        </is>
      </c>
      <c r="F11814" s="10" t="inlineStr">
        <is>
          <t>Hồ Chí Minh</t>
        </is>
      </c>
      <c r="G11814" s="10" t="inlineStr">
        <is>
          <t>27-03-2026</t>
        </is>
      </c>
      <c r="H11814" s="10" t="inlineStr">
        <is>
          <t>27/03/2026</t>
        </is>
      </c>
      <c r="I11814" s="10" t="inlineStr">
        <is>
          <t>17/03/2026</t>
        </is>
      </c>
      <c r="J11814" s="10" t="inlineStr">
        <is>
          <t>Tiếp thị / Marketing, Quảng cáo / Đối ngoại / Truyền Thông, Mỹ thuật / Nghệ thuật / Thiết kế</t>
        </is>
      </c>
      <c r="K11814" s="10" t="inlineStr">
        <is>
          <t>Trên 1 Năm</t>
        </is>
      </c>
      <c r="L11814" s="11">
        <f>HYPERLINK("https://careerviet.vn/vi/tim-viec-lam/nhan-vien-quay-dung.35C69DFD.html","Xem chi tiết")</f>
        <v/>
      </c>
      <c r="M11814" s="10" t="n"/>
    </row>
    <row r="11815">
      <c r="B11815" s="7" t="n">
        <v>11813</v>
      </c>
      <c r="C11815" t="inlineStr">
        <is>
          <t>NHÂN VIÊN THIẾT KẾ PHẦN CỨNG MẠCH ĐIỆN TỬ</t>
        </is>
      </c>
      <c r="D11815" t="inlineStr">
        <is>
          <t>Công ty Cổ phần Giải pháp Tự động hóa ETEK</t>
        </is>
      </c>
      <c r="E11815" t="inlineStr">
        <is>
          <t>Lương:9,1 Tr - 12 Tr VND</t>
        </is>
      </c>
      <c r="F11815" t="inlineStr">
        <is>
          <t>Hà Nội</t>
        </is>
      </c>
      <c r="G11815" t="inlineStr">
        <is>
          <t>31-03-2026</t>
        </is>
      </c>
      <c r="H11815" t="inlineStr">
        <is>
          <t>31/03/2026</t>
        </is>
      </c>
      <c r="I11815" t="inlineStr">
        <is>
          <t>17/03/2026</t>
        </is>
      </c>
      <c r="J11815" t="inlineStr">
        <is>
          <t>Điện / Điện tử / Điện lạnh / Điện công nghiệp</t>
        </is>
      </c>
      <c r="K11815" t="inlineStr">
        <is>
          <t>N/A</t>
        </is>
      </c>
      <c r="L11815" s="8">
        <f>HYPERLINK("https://careerviet.vn/vi/tim-viec-lam/nhan-vien-thiet-ke-phan-cung-mach-dien-tu.35C6A0D0.html","Xem chi tiết")</f>
        <v/>
      </c>
    </row>
    <row r="11816">
      <c r="B11816" s="9" t="n">
        <v>11814</v>
      </c>
      <c r="C11816" s="10" t="inlineStr">
        <is>
          <t>Branch Manager/ Trưởng Chi Nhánh Thẩm Mỹ Cấp Cao</t>
        </is>
      </c>
      <c r="D11816" s="10" t="inlineStr">
        <is>
          <t>PPP Laser Clinic Viet Nam</t>
        </is>
      </c>
      <c r="E11816" s="10" t="inlineStr">
        <is>
          <t>Lương:30 Tr - 40 Tr VND</t>
        </is>
      </c>
      <c r="F11816" s="10" t="inlineStr">
        <is>
          <t>Hồ Chí MinhHà Nội</t>
        </is>
      </c>
      <c r="G11816" s="10" t="inlineStr">
        <is>
          <t>31-03-2026</t>
        </is>
      </c>
      <c r="H11816" s="10" t="inlineStr">
        <is>
          <t>31/03/2026</t>
        </is>
      </c>
      <c r="I11816" s="10" t="inlineStr">
        <is>
          <t>17/03/2026</t>
        </is>
      </c>
      <c r="J11816" s="10" t="inlineStr">
        <is>
          <t>Bán hàng / Kinh doanh, Ngân hàng, Y tế / Chăm sóc sức khỏe / Thẩm mỹ / Làm đẹp</t>
        </is>
      </c>
      <c r="K11816" s="10" t="inlineStr">
        <is>
          <t>5 - 8 Năm</t>
        </is>
      </c>
      <c r="L11816" s="11">
        <f>HYPERLINK("https://careerviet.vn/vi/tim-viec-lam/branch-manager-truong-chi-nhanh-tham-my-cap-cao.35C66802.html","Xem chi tiết")</f>
        <v/>
      </c>
      <c r="M11816" s="10" t="n"/>
    </row>
    <row r="11817">
      <c r="B11817" s="7" t="n">
        <v>11815</v>
      </c>
      <c r="C11817" t="inlineStr">
        <is>
          <t>Nhân viên kế hoạch may</t>
        </is>
      </c>
      <c r="D11817" t="inlineStr">
        <is>
          <t>CT CP Tập Đoàn Thái Tuấn</t>
        </is>
      </c>
      <c r="E11817" t="inlineStr">
        <is>
          <t>Lương:Cạnh tranh</t>
        </is>
      </c>
      <c r="F11817" t="inlineStr">
        <is>
          <t>Hồ Chí Minh</t>
        </is>
      </c>
      <c r="G11817" t="inlineStr">
        <is>
          <t>31-03-2026</t>
        </is>
      </c>
      <c r="H11817" t="inlineStr">
        <is>
          <t>31/03/2026</t>
        </is>
      </c>
      <c r="I11817" t="inlineStr">
        <is>
          <t>17/03/2026</t>
        </is>
      </c>
      <c r="J11817" t="inlineStr">
        <is>
          <t>Dệt may / Da giày / Thời trang, Kế toán / Kiểm toán, Sản xuất / Vận hành sản xuất</t>
        </is>
      </c>
      <c r="K11817" t="inlineStr">
        <is>
          <t>1 - 3 Năm</t>
        </is>
      </c>
      <c r="L11817" s="8">
        <f>HYPERLINK("https://careerviet.vn/vi/tim-viec-lam/nhan-vien-ke-hoa-ch-may.35C69F4F.html","Xem chi tiết")</f>
        <v/>
      </c>
    </row>
    <row r="11818">
      <c r="B11818" s="9" t="n">
        <v>11816</v>
      </c>
      <c r="C11818" s="10" t="inlineStr">
        <is>
          <t>Sales Policy Operation Expert/ Chuyên gia Vận hành Chính sách kinh doanh</t>
        </is>
      </c>
      <c r="D11818" s="10" t="inlineStr">
        <is>
          <t>FE CREDIT</t>
        </is>
      </c>
      <c r="E11818" s="10" t="inlineStr">
        <is>
          <t>Lương:Cạnh tranh</t>
        </is>
      </c>
      <c r="F11818" s="10" t="inlineStr">
        <is>
          <t>Hồ Chí Minh</t>
        </is>
      </c>
      <c r="G11818" s="10" t="inlineStr">
        <is>
          <t>31-03-2026</t>
        </is>
      </c>
      <c r="H11818" s="10" t="inlineStr">
        <is>
          <t>31/03/2026</t>
        </is>
      </c>
      <c r="I11818" s="10" t="inlineStr">
        <is>
          <t>17/03/2026</t>
        </is>
      </c>
      <c r="J11818" s="10" t="inlineStr">
        <is>
          <t>Bán hàng / Kinh doanh, Tài chính / Đầu tư, Ngân hàng</t>
        </is>
      </c>
      <c r="K11818" s="10" t="inlineStr">
        <is>
          <t>3 - 5 Năm</t>
        </is>
      </c>
      <c r="L11818" s="11">
        <f>HYPERLINK("https://careerviet.vn/vi/tim-viec-lam/sales-policy-operation-expert-chuyen-gia-van-hanh-chinh-sach-kinh-doanh.35C69FE2.html","Xem chi tiết")</f>
        <v/>
      </c>
      <c r="M11818" s="10" t="n"/>
    </row>
    <row r="11819">
      <c r="B11819" s="7" t="n">
        <v>11817</v>
      </c>
      <c r="C11819" t="inlineStr">
        <is>
          <t>Sales &amp; Telemarketers</t>
        </is>
      </c>
      <c r="D11819" t="inlineStr">
        <is>
          <t>NEW ACE VIỆT NAM</t>
        </is>
      </c>
      <c r="E11819" t="inlineStr">
        <is>
          <t>Lương:Cạnh tranh</t>
        </is>
      </c>
      <c r="F11819" t="inlineStr">
        <is>
          <t>Hồ Chí Minh</t>
        </is>
      </c>
      <c r="G11819" t="inlineStr">
        <is>
          <t>26-03-2026</t>
        </is>
      </c>
      <c r="H11819" t="inlineStr">
        <is>
          <t>26/03/2026</t>
        </is>
      </c>
      <c r="I11819" t="inlineStr">
        <is>
          <t>17/03/2026</t>
        </is>
      </c>
      <c r="J11819" t="inlineStr">
        <is>
          <t>Bán hàng / Kinh doanh, Tư vấn, Dịch vụ khách hàng</t>
        </is>
      </c>
      <c r="K11819" t="inlineStr">
        <is>
          <t>N/A</t>
        </is>
      </c>
      <c r="L11819" s="8">
        <f>HYPERLINK("https://careerviet.vn/vi/tim-viec-lam/sales-telemarketers.35C6A0DD.html","Xem chi tiết")</f>
        <v/>
      </c>
    </row>
    <row r="11820">
      <c r="B11820" s="9" t="n">
        <v>11818</v>
      </c>
      <c r="C11820" s="10" t="inlineStr">
        <is>
          <t>Quản Lý Chi Nhánh Hà Nội - Branch Manager Hanoi</t>
        </is>
      </c>
      <c r="D11820" s="10" t="inlineStr">
        <is>
          <t>PPP Laser Clinic Viet Nam</t>
        </is>
      </c>
      <c r="E11820" s="10" t="inlineStr">
        <is>
          <t>Lương:30 Tr - 50 Tr VND</t>
        </is>
      </c>
      <c r="F11820" s="10" t="inlineStr">
        <is>
          <t>Hà Nội</t>
        </is>
      </c>
      <c r="G11820" s="10" t="inlineStr">
        <is>
          <t>31-03-2026</t>
        </is>
      </c>
      <c r="H11820" s="10" t="inlineStr">
        <is>
          <t>31/03/2026</t>
        </is>
      </c>
      <c r="I11820" s="10" t="inlineStr">
        <is>
          <t>17/03/2026</t>
        </is>
      </c>
      <c r="J11820" s="10" t="inlineStr">
        <is>
          <t>Y tế / Chăm sóc sức khỏe / Thẩm mỹ / Làm đẹp, Ngân hàng, Bảo hiểm</t>
        </is>
      </c>
      <c r="K11820" s="10" t="inlineStr">
        <is>
          <t>4 - 8 Năm</t>
        </is>
      </c>
      <c r="L11820" s="11">
        <f>HYPERLINK("https://careerviet.vn/vi/tim-viec-lam/quan-ly-chi-nhanh-ha-noi-branch-manager-hanoi.35C6A0C9.html","Xem chi tiết")</f>
        <v/>
      </c>
      <c r="M11820" s="10" t="n"/>
    </row>
    <row r="11821">
      <c r="B11821" s="7" t="n">
        <v>11819</v>
      </c>
      <c r="C11821" t="inlineStr">
        <is>
          <t>Trưởng phòng Marketing BĐS</t>
        </is>
      </c>
      <c r="D11821" t="inlineStr">
        <is>
          <t>Công ty cổ phần Tập đoàn Danko</t>
        </is>
      </c>
      <c r="E11821" t="inlineStr">
        <is>
          <t>Lương:30 Tr - 40 Tr VND</t>
        </is>
      </c>
      <c r="F11821" t="inlineStr">
        <is>
          <t>Hà Nội</t>
        </is>
      </c>
      <c r="G11821" t="inlineStr">
        <is>
          <t>31-03-2026</t>
        </is>
      </c>
      <c r="H11821" t="inlineStr">
        <is>
          <t>31/03/2026</t>
        </is>
      </c>
      <c r="I11821" t="inlineStr">
        <is>
          <t>17/03/2026</t>
        </is>
      </c>
      <c r="J11821" t="inlineStr">
        <is>
          <t>Tiếp thị / Marketing, Bất động sản</t>
        </is>
      </c>
      <c r="K11821" t="inlineStr">
        <is>
          <t>Trên 10 Năm</t>
        </is>
      </c>
      <c r="L11821" s="8">
        <f>HYPERLINK("https://careerviet.vn/vi/tim-viec-lam/truong-phong-marketing-bds.35C6A0A5.html","Xem chi tiết")</f>
        <v/>
      </c>
    </row>
    <row r="11822">
      <c r="B11822" s="9" t="n">
        <v>11820</v>
      </c>
      <c r="C11822" s="10" t="inlineStr">
        <is>
          <t>Trưởng phòng Phát triển Sản phẩm &amp; Hỗ trợ Kinh doanh</t>
        </is>
      </c>
      <c r="D11822" s="10" t="inlineStr">
        <is>
          <t>Công ty TNHH Chứng khoán Yuanta Việt Nam</t>
        </is>
      </c>
      <c r="E11822" s="10" t="inlineStr">
        <is>
          <t>Lương:Cạnh tranh</t>
        </is>
      </c>
      <c r="F11822" s="10" t="inlineStr">
        <is>
          <t>Hồ Chí Minh</t>
        </is>
      </c>
      <c r="G11822" s="10" t="inlineStr">
        <is>
          <t>31-03-2026</t>
        </is>
      </c>
      <c r="H11822" s="10" t="inlineStr">
        <is>
          <t>31/03/2026</t>
        </is>
      </c>
      <c r="I11822" s="10" t="inlineStr">
        <is>
          <t>17/03/2026</t>
        </is>
      </c>
      <c r="J11822" s="10" t="inlineStr">
        <is>
          <t>Bán hàng / Kinh doanh, Chứng khoán, Tài chính / Đầu tư</t>
        </is>
      </c>
      <c r="K11822" s="10" t="inlineStr">
        <is>
          <t>Trên 5 Năm</t>
        </is>
      </c>
      <c r="L11822" s="11">
        <f>HYPERLINK("https://careerviet.vn/vi/tim-viec-lam/truong-phong-phat-trien-san-pham-ho-tro-kinh-doanh.35C6A081.html","Xem chi tiết")</f>
        <v/>
      </c>
      <c r="M11822" s="10" t="n"/>
    </row>
    <row r="11823">
      <c r="B11823" s="7" t="n">
        <v>11821</v>
      </c>
      <c r="C11823" t="inlineStr">
        <is>
          <t>Trade Marketing Officer</t>
        </is>
      </c>
      <c r="D11823" t="inlineStr">
        <is>
          <t>Công Ty TNHH T.M.G</t>
        </is>
      </c>
      <c r="E11823" t="inlineStr">
        <is>
          <t>Lương:Cạnh tranh</t>
        </is>
      </c>
      <c r="F11823" t="inlineStr">
        <is>
          <t>Hồ Chí Minh</t>
        </is>
      </c>
      <c r="G11823" t="inlineStr">
        <is>
          <t>29-03-2026</t>
        </is>
      </c>
      <c r="H11823" t="inlineStr">
        <is>
          <t>29/03/2026</t>
        </is>
      </c>
      <c r="I11823" t="inlineStr">
        <is>
          <t>17/03/2026</t>
        </is>
      </c>
      <c r="J11823" t="inlineStr">
        <is>
          <t>Tiếp thị / Marketing, Giáo dục / Đào tạo</t>
        </is>
      </c>
      <c r="K11823" t="inlineStr">
        <is>
          <t>1 - 2 Năm</t>
        </is>
      </c>
      <c r="L11823" s="8">
        <f>HYPERLINK("https://careerviet.vn/vi/tim-viec-lam/trade-marketing-officer.35C6A0FA.html","Xem chi tiết")</f>
        <v/>
      </c>
    </row>
    <row r="11824">
      <c r="B11824" s="9" t="n">
        <v>11822</v>
      </c>
      <c r="C11824" s="10" t="inlineStr">
        <is>
          <t>[Bình  Chánh - QL50] Tuyển Nhân Viên Bán Hàng - Chuỗi Cửa Hàng Bán Lẻ Thiết Bị Sức Khỏe</t>
        </is>
      </c>
      <c r="D11824" s="10" t="inlineStr">
        <is>
          <t>Công Ty TNHH XNK Phát Triển Đông Dương</t>
        </is>
      </c>
      <c r="E11824" s="10" t="inlineStr">
        <is>
          <t>Lương:12 Tr - 20 Tr VND</t>
        </is>
      </c>
      <c r="F11824" s="10" t="inlineStr">
        <is>
          <t>Hồ Chí Minh</t>
        </is>
      </c>
      <c r="G11824" s="10" t="inlineStr">
        <is>
          <t>31-03-2026</t>
        </is>
      </c>
      <c r="H11824" s="10" t="inlineStr">
        <is>
          <t>31/03/2026</t>
        </is>
      </c>
      <c r="I11824" s="10" t="inlineStr">
        <is>
          <t>17/03/2026</t>
        </is>
      </c>
      <c r="J11824" s="10" t="inlineStr">
        <is>
          <t>Bán lẻ / Bán sỉ, Bán hàng / Kinh doanh, Tư vấn</t>
        </is>
      </c>
      <c r="K11824" s="10" t="inlineStr">
        <is>
          <t>N/A</t>
        </is>
      </c>
      <c r="L11824" s="11">
        <f>HYPERLINK("https://careerviet.vn/vi/tim-viec-lam/binh-chanh-ql50-tuyen-nhan-vien-ban-hang-chuoi-cua-hang-ban-le-thiet-bi-suc-khoe.35C6A0A6.html","Xem chi tiết")</f>
        <v/>
      </c>
      <c r="M11824" s="10" t="n"/>
    </row>
    <row r="11825">
      <c r="B11825" s="7" t="n">
        <v>11823</v>
      </c>
      <c r="C11825" t="inlineStr">
        <is>
          <t>Kỹ Sư Thiết Kế Kết Cấu Xây Dựng</t>
        </is>
      </c>
      <c r="D11825" t="inlineStr">
        <is>
          <t>CÔNG TY TNHH XÂY DỰNG HOÀN THÀNH PHÁT</t>
        </is>
      </c>
      <c r="E11825" t="inlineStr">
        <is>
          <t>Lương:15 Tr - 25 Tr VND</t>
        </is>
      </c>
      <c r="F11825" t="inlineStr">
        <is>
          <t>Bình Dương</t>
        </is>
      </c>
      <c r="G11825" t="inlineStr">
        <is>
          <t>27-03-2026</t>
        </is>
      </c>
      <c r="H11825" t="inlineStr">
        <is>
          <t>27/03/2026</t>
        </is>
      </c>
      <c r="I11825" t="inlineStr">
        <is>
          <t>17/03/2026</t>
        </is>
      </c>
      <c r="J11825" t="inlineStr">
        <is>
          <t>Xây dựng, Kiến trúc, Bất động sản</t>
        </is>
      </c>
      <c r="K11825" t="inlineStr">
        <is>
          <t>Trên 3 Năm</t>
        </is>
      </c>
      <c r="L11825" s="8">
        <f>HYPERLINK("https://careerviet.vn/vi/tim-viec-lam/ky-su-thiet-ke-ket-cau-xay-dung.35C69FFB.html","Xem chi tiết")</f>
        <v/>
      </c>
    </row>
    <row r="11826">
      <c r="B11826" s="9" t="n">
        <v>11824</v>
      </c>
      <c r="C11826" s="10" t="inlineStr">
        <is>
          <t>Nhân viên bán hàng</t>
        </is>
      </c>
      <c r="D11826" s="10" t="inlineStr">
        <is>
          <t>Công ty Cổ phần Đồng phục Phương Thảo</t>
        </is>
      </c>
      <c r="E11826" s="10" t="inlineStr">
        <is>
          <t>Lương:7 Tr - 10 Tr VND</t>
        </is>
      </c>
      <c r="F11826" s="10" t="inlineStr">
        <is>
          <t>Hà Nội</t>
        </is>
      </c>
      <c r="G11826" s="10" t="inlineStr">
        <is>
          <t>31-03-2026</t>
        </is>
      </c>
      <c r="H11826" s="10" t="inlineStr">
        <is>
          <t>31/03/2026</t>
        </is>
      </c>
      <c r="I11826" s="10" t="inlineStr">
        <is>
          <t>17/03/2026</t>
        </is>
      </c>
      <c r="J11826" s="10" t="inlineStr">
        <is>
          <t>Bán lẻ / Bán sỉ, Bán hàng / Kinh doanh, Dệt may / Da giày / Thời trang</t>
        </is>
      </c>
      <c r="K11826" s="10" t="inlineStr">
        <is>
          <t>N/A</t>
        </is>
      </c>
      <c r="L11826" s="11">
        <f>HYPERLINK("https://careerviet.vn/vi/tim-viec-lam/nhan-vien-ban-hang.35C6A069.html","Xem chi tiết")</f>
        <v/>
      </c>
      <c r="M11826" s="10" t="n"/>
    </row>
    <row r="11827">
      <c r="B11827" s="7" t="n">
        <v>11825</v>
      </c>
      <c r="C11827" t="inlineStr">
        <is>
          <t>Kỹ sư từ Việt Nam sang Nhật miễn phí</t>
        </is>
      </c>
      <c r="D11827" t="inlineStr">
        <is>
          <t>CÔNG TY TNHH JOB HOUSE</t>
        </is>
      </c>
      <c r="E11827" t="inlineStr">
        <is>
          <t>Lương:40 Tr - 80 Tr VND</t>
        </is>
      </c>
      <c r="F11827" t="inlineStr">
        <is>
          <t>YokohamaTokyo</t>
        </is>
      </c>
      <c r="G11827" t="inlineStr">
        <is>
          <t>31-03-2026</t>
        </is>
      </c>
      <c r="H11827" t="inlineStr">
        <is>
          <t>31/03/2026</t>
        </is>
      </c>
      <c r="I11827" t="inlineStr">
        <is>
          <t>17/03/2026</t>
        </is>
      </c>
      <c r="J11827" t="inlineStr">
        <is>
          <t>Cơ khí / Ô tô / Tự động hóa, Điện / Điện tử / Điện lạnh / Điện công nghiệp, Tài chính / Đầu tư</t>
        </is>
      </c>
      <c r="K11827" t="inlineStr">
        <is>
          <t>N/A</t>
        </is>
      </c>
      <c r="L11827" s="8">
        <f>HYPERLINK("https://careerviet.vn/vi/tim-viec-lam/ky-su-tu-viet-nam-sang-nhat-mien-phi.35C6A07C.html","Xem chi tiết")</f>
        <v/>
      </c>
    </row>
    <row r="11828">
      <c r="B11828" s="9" t="n">
        <v>11826</v>
      </c>
      <c r="C11828" s="10" t="inlineStr">
        <is>
          <t>Sales Supervisor - Giám Sát Kinh Doanh (KV Quảng Trị)</t>
        </is>
      </c>
      <c r="D11828" s="10" t="inlineStr">
        <is>
          <t>Công Ty TNHH Sơn TOA Việt Nam</t>
        </is>
      </c>
      <c r="E11828" s="10" t="inlineStr">
        <is>
          <t>Lương:Cạnh tranh</t>
        </is>
      </c>
      <c r="F11828" s="10" t="inlineStr">
        <is>
          <t>Quảng Trị</t>
        </is>
      </c>
      <c r="G11828" s="10" t="inlineStr">
        <is>
          <t>31-03-2026</t>
        </is>
      </c>
      <c r="H11828" s="10" t="inlineStr">
        <is>
          <t>31/03/2026</t>
        </is>
      </c>
      <c r="I11828" s="10" t="inlineStr">
        <is>
          <t>17/03/2026</t>
        </is>
      </c>
      <c r="J11828" s="10" t="inlineStr">
        <is>
          <t>Bán lẻ / Bán sỉ, Bán hàng / Kinh doanh, Xây dựng</t>
        </is>
      </c>
      <c r="K11828" s="10" t="inlineStr">
        <is>
          <t>3 - 6 Năm</t>
        </is>
      </c>
      <c r="L11828" s="11">
        <f>HYPERLINK("https://careerviet.vn/vi/tim-viec-lam/sales-supervisor-giam-sat-kinh-doanh-kv-quang-tri.35C6A042.html","Xem chi tiết")</f>
        <v/>
      </c>
      <c r="M11828" s="10" t="n"/>
    </row>
    <row r="11829">
      <c r="B11829" s="7" t="n">
        <v>11827</v>
      </c>
      <c r="C11829" t="inlineStr">
        <is>
          <t>Seaonics Logistics Coordinator</t>
        </is>
      </c>
      <c r="D11829" t="inlineStr">
        <is>
          <t>CÔNG TY TNHH VARD VŨNG TÀU</t>
        </is>
      </c>
      <c r="E11829" t="inlineStr">
        <is>
          <t>Lương:Cạnh tranh</t>
        </is>
      </c>
      <c r="F11829" t="inlineStr">
        <is>
          <t>Bà Rịa - Vũng Tàu</t>
        </is>
      </c>
      <c r="G11829" t="inlineStr">
        <is>
          <t>27-03-2026</t>
        </is>
      </c>
      <c r="H11829" t="inlineStr">
        <is>
          <t>27/03/2026</t>
        </is>
      </c>
      <c r="I11829" t="inlineStr">
        <is>
          <t>17/03/2026</t>
        </is>
      </c>
      <c r="J11829" t="inlineStr">
        <is>
          <t>Xuất nhập khẩu, Bán hàng / Kinh doanh, Hàng hải</t>
        </is>
      </c>
      <c r="K11829" t="inlineStr">
        <is>
          <t>Trên 3 Năm</t>
        </is>
      </c>
      <c r="L11829" s="8">
        <f>HYPERLINK("https://careerviet.vn/vi/tim-viec-lam/seaonics-logistics-coordinator.35C69F8B.html","Xem chi tiết")</f>
        <v/>
      </c>
    </row>
    <row r="11830">
      <c r="B11830" s="9" t="n">
        <v>11828</v>
      </c>
      <c r="C11830" s="10" t="inlineStr">
        <is>
          <t>NHÂN VIÊN THÔNG DỊCH TIẾNG HÀN</t>
        </is>
      </c>
      <c r="D11830" s="10" t="inlineStr">
        <is>
          <t>CÔNG TY TNHH INZI VINA</t>
        </is>
      </c>
      <c r="E11830" s="10" t="inlineStr">
        <is>
          <t>Lương:Cạnh tranh</t>
        </is>
      </c>
      <c r="F11830" s="10" t="inlineStr">
        <is>
          <t>Đồng Nai</t>
        </is>
      </c>
      <c r="G11830" s="10" t="inlineStr">
        <is>
          <t>30-04-2026</t>
        </is>
      </c>
      <c r="H11830" s="10" t="inlineStr">
        <is>
          <t>30/04/2026</t>
        </is>
      </c>
      <c r="I11830" s="10" t="inlineStr">
        <is>
          <t>17/03/2026</t>
        </is>
      </c>
      <c r="J11830" s="10" t="inlineStr">
        <is>
          <t>Điện / Điện tử / Điện lạnh / Điện công nghiệp, Sản xuất / Vận hành sản xuất, Biên phiên dịch</t>
        </is>
      </c>
      <c r="K11830" s="10" t="inlineStr">
        <is>
          <t>1 - 5 Năm</t>
        </is>
      </c>
      <c r="L11830" s="11">
        <f>HYPERLINK("https://careerviet.vn/vi/tim-viec-lam/nhan-vien-thong-dich-tieng-han.35C69EE0.html","Xem chi tiết")</f>
        <v/>
      </c>
      <c r="M11830" s="10" t="n"/>
    </row>
    <row r="11831">
      <c r="B11831" s="7" t="n">
        <v>11829</v>
      </c>
      <c r="C11831" t="inlineStr">
        <is>
          <t>Chuyên viên Pháp chế Bất động sản</t>
        </is>
      </c>
      <c r="D11831" t="inlineStr">
        <is>
          <t>CÔNG TY CỔ PHẦN ĐẦU TƯ INFINITY GROUP</t>
        </is>
      </c>
      <c r="E11831" t="inlineStr">
        <is>
          <t>Lương:Cạnh tranh</t>
        </is>
      </c>
      <c r="F11831" t="inlineStr">
        <is>
          <t>Hà Nội</t>
        </is>
      </c>
      <c r="G11831" t="inlineStr">
        <is>
          <t>27-03-2026</t>
        </is>
      </c>
      <c r="H11831" t="inlineStr">
        <is>
          <t>27/03/2026</t>
        </is>
      </c>
      <c r="I11831" t="inlineStr">
        <is>
          <t>17/03/2026</t>
        </is>
      </c>
      <c r="J11831" t="inlineStr">
        <is>
          <t>Luật / Pháp lý, Bất động sản, Xây dựng</t>
        </is>
      </c>
      <c r="K11831" t="inlineStr">
        <is>
          <t>5 - 20 Năm</t>
        </is>
      </c>
      <c r="L11831" s="8">
        <f>HYPERLINK("https://careerviet.vn/vi/tim-viec-lam/chuyen-vien-phap-che-bat-dong-san.35C6A05C.html","Xem chi tiết")</f>
        <v/>
      </c>
    </row>
    <row r="11832">
      <c r="B11832" s="9" t="n">
        <v>11830</v>
      </c>
      <c r="C11832" s="10" t="inlineStr">
        <is>
          <t>Nhân Viên Trực Tổng Đài  Viettel</t>
        </is>
      </c>
      <c r="D11832" s="10" t="inlineStr">
        <is>
          <t>CÔNG TY CỔ PHẦN TRUYỀN THÔNG KIM CƯƠNG</t>
        </is>
      </c>
      <c r="E11832" s="10" t="inlineStr">
        <is>
          <t>Lương:8 Tr - 12 Tr VND</t>
        </is>
      </c>
      <c r="F11832" s="10" t="inlineStr">
        <is>
          <t>Hà Nội</t>
        </is>
      </c>
      <c r="G11832" s="10" t="inlineStr">
        <is>
          <t>12-03-2026</t>
        </is>
      </c>
      <c r="H11832" s="10" t="inlineStr">
        <is>
          <t>27/02/2026</t>
        </is>
      </c>
      <c r="I11832" s="10" t="inlineStr">
        <is>
          <t>17/03/2026</t>
        </is>
      </c>
      <c r="J11832" s="10" t="inlineStr">
        <is>
          <t>Dịch vụ khách hàng, Tư vấn</t>
        </is>
      </c>
      <c r="K11832" s="10" t="inlineStr">
        <is>
          <t>N/A</t>
        </is>
      </c>
      <c r="L11832" s="11">
        <f>HYPERLINK("https://careerviet.vn/vi/tim-viec-lam/nhan-vien-truc-tong-dai-viettel.35C69E16.html","Xem chi tiết")</f>
        <v/>
      </c>
      <c r="M11832" s="10" t="n"/>
    </row>
    <row r="11833">
      <c r="B11833" s="7" t="n">
        <v>11831</v>
      </c>
      <c r="C11833" t="inlineStr">
        <is>
          <t>Head Of Retail (OMNICHANNEL)</t>
        </is>
      </c>
      <c r="D11833" t="inlineStr">
        <is>
          <t>CÔNG TY TNHH SX TM DV ĐẶNG GIA TRANG</t>
        </is>
      </c>
      <c r="E11833" t="inlineStr">
        <is>
          <t>Lương:Cạnh tranh</t>
        </is>
      </c>
      <c r="F11833" t="inlineStr">
        <is>
          <t>Hồ Chí Minh</t>
        </is>
      </c>
      <c r="G11833" t="inlineStr">
        <is>
          <t>26-03-2026</t>
        </is>
      </c>
      <c r="H11833" t="inlineStr">
        <is>
          <t>26/03/2026</t>
        </is>
      </c>
      <c r="I11833" t="inlineStr">
        <is>
          <t>17/03/2026</t>
        </is>
      </c>
      <c r="J11833" t="inlineStr">
        <is>
          <t>Bán hàng / Kinh doanh, Bán lẻ / Bán sỉ, Ngành khác</t>
        </is>
      </c>
      <c r="K11833" t="inlineStr">
        <is>
          <t>Trên 3 Năm</t>
        </is>
      </c>
      <c r="L11833" s="8">
        <f>HYPERLINK("https://careerviet.vn/vi/tim-viec-lam/head-of-retail-omnichannel.35C69C04.html","Xem chi tiết")</f>
        <v/>
      </c>
    </row>
    <row r="11834">
      <c r="B11834" s="9" t="n">
        <v>11832</v>
      </c>
      <c r="C11834" s="10" t="inlineStr">
        <is>
          <t>Nhân Viên Bóc Tách - Lập Dự Toán - Báo Giá</t>
        </is>
      </c>
      <c r="D11834" s="10" t="inlineStr">
        <is>
          <t>Công ty CP thiết bị điện và xây dựng công nghiệp Việt Nam</t>
        </is>
      </c>
      <c r="E11834" s="10" t="inlineStr">
        <is>
          <t>Lương:14 Tr - 20 Tr VND</t>
        </is>
      </c>
      <c r="F11834" s="10" t="inlineStr">
        <is>
          <t>Hà Nội</t>
        </is>
      </c>
      <c r="G11834" s="10" t="inlineStr">
        <is>
          <t>31-03-2026</t>
        </is>
      </c>
      <c r="H11834" s="10" t="inlineStr">
        <is>
          <t>31/03/2026</t>
        </is>
      </c>
      <c r="I11834" s="10" t="inlineStr">
        <is>
          <t>17/03/2026</t>
        </is>
      </c>
      <c r="J11834" s="10" t="inlineStr">
        <is>
          <t>Điện / Điện tử / Điện lạnh / Điện công nghiệp</t>
        </is>
      </c>
      <c r="K11834" s="10" t="inlineStr">
        <is>
          <t>Chưa có kinh nghiệm</t>
        </is>
      </c>
      <c r="L11834" s="11">
        <f>HYPERLINK("https://careerviet.vn/vi/tim-viec-lam/nhan-vien-boc-tach-lap-du-toan-bao-gia.35C6A00B.html","Xem chi tiết")</f>
        <v/>
      </c>
      <c r="M11834" s="10" t="n"/>
    </row>
    <row r="11835">
      <c r="B11835" s="7" t="n">
        <v>11833</v>
      </c>
      <c r="C11835" t="inlineStr">
        <is>
          <t>Nhân viên QC</t>
        </is>
      </c>
      <c r="D11835" t="inlineStr">
        <is>
          <t>Công Ty TNHH Khuôn Mẫu Chính Xác DK</t>
        </is>
      </c>
      <c r="E11835" t="inlineStr">
        <is>
          <t>Lương:Cạnh tranh</t>
        </is>
      </c>
      <c r="F11835" t="inlineStr">
        <is>
          <t>Bình Dương</t>
        </is>
      </c>
      <c r="G11835" t="inlineStr">
        <is>
          <t>31-03-2026</t>
        </is>
      </c>
      <c r="H11835" t="inlineStr">
        <is>
          <t>31/03/2026</t>
        </is>
      </c>
      <c r="I11835" t="inlineStr">
        <is>
          <t>17/03/2026</t>
        </is>
      </c>
      <c r="J11835" t="inlineStr">
        <is>
          <t>Cơ khí / Ô tô / Tự động hóa</t>
        </is>
      </c>
      <c r="K11835" t="inlineStr">
        <is>
          <t>N/A</t>
        </is>
      </c>
      <c r="L11835" s="8">
        <f>HYPERLINK("https://careerviet.vn/vi/tim-viec-lam/nhan-vien-qc.35C6A00E.html","Xem chi tiết")</f>
        <v/>
      </c>
    </row>
    <row r="11836">
      <c r="B11836" s="9" t="n">
        <v>11834</v>
      </c>
      <c r="C11836" s="10" t="inlineStr">
        <is>
          <t>KIẾN TRÚC SƯ [XHOME SG]</t>
        </is>
      </c>
      <c r="D11836" s="10" t="inlineStr">
        <is>
          <t>Công ty CP XHOME Việt Nam</t>
        </is>
      </c>
      <c r="E11836" s="10" t="inlineStr">
        <is>
          <t>Lương:20 Tr - 30 Tr VND</t>
        </is>
      </c>
      <c r="F11836" s="10" t="inlineStr">
        <is>
          <t>Hồ Chí Minh</t>
        </is>
      </c>
      <c r="G11836" s="10" t="inlineStr">
        <is>
          <t>30-03-2026</t>
        </is>
      </c>
      <c r="H11836" s="10" t="inlineStr">
        <is>
          <t>30/03/2026</t>
        </is>
      </c>
      <c r="I11836" s="10" t="inlineStr">
        <is>
          <t>17/03/2026</t>
        </is>
      </c>
      <c r="J11836" s="10" t="inlineStr">
        <is>
          <t>Kiến trúc, Xây dựng, Nội ngoại thất</t>
        </is>
      </c>
      <c r="K11836" s="10" t="inlineStr">
        <is>
          <t>1 - 2 Năm</t>
        </is>
      </c>
      <c r="L11836" s="11">
        <f>HYPERLINK("https://careerviet.vn/vi/tim-viec-lam/kien-truc-su-xhome-sg.35C69FF6.html","Xem chi tiết")</f>
        <v/>
      </c>
      <c r="M11836" s="10" t="n"/>
    </row>
    <row r="11837">
      <c r="B11837" s="7" t="n">
        <v>11835</v>
      </c>
      <c r="C11837" t="inlineStr">
        <is>
          <t>Senior HR &amp; Administration Specialist</t>
        </is>
      </c>
      <c r="D11837" t="inlineStr">
        <is>
          <t>EAST SEA ENERGY ENVIRONMENT COMPANY LIMITED</t>
        </is>
      </c>
      <c r="E11837" t="inlineStr">
        <is>
          <t>Lương:Cạnh tranh</t>
        </is>
      </c>
      <c r="F11837" t="inlineStr">
        <is>
          <t>Hồ Chí Minh</t>
        </is>
      </c>
      <c r="G11837" t="inlineStr">
        <is>
          <t>31-03-2026</t>
        </is>
      </c>
      <c r="H11837" t="inlineStr">
        <is>
          <t>31/03/2026</t>
        </is>
      </c>
      <c r="I11837" t="inlineStr">
        <is>
          <t>17/03/2026</t>
        </is>
      </c>
      <c r="J11837" t="inlineStr">
        <is>
          <t>Nhân sự</t>
        </is>
      </c>
      <c r="K11837" t="inlineStr">
        <is>
          <t>3 - 5 Năm</t>
        </is>
      </c>
      <c r="L11837" s="8">
        <f>HYPERLINK("https://careerviet.vn/vi/tim-viec-lam/senior-hr-administration-specialist.35C69EEA.html","Xem chi tiết")</f>
        <v/>
      </c>
    </row>
    <row r="11838">
      <c r="B11838" s="9" t="n">
        <v>11836</v>
      </c>
      <c r="C11838" s="10" t="inlineStr">
        <is>
          <t>Chuyên Viên Kinh Doanh (Mảng Khách sạn - Nghỉ dưỡng)</t>
        </is>
      </c>
      <c r="D11838" s="10" t="inlineStr">
        <is>
          <t>CÔNG TY CỔ PHẦN TẬP ĐOÀN ONSEN FUJI</t>
        </is>
      </c>
      <c r="E11838" s="10" t="inlineStr">
        <is>
          <t>Lương:Cạnh tranh</t>
        </is>
      </c>
      <c r="F11838" s="10" t="inlineStr">
        <is>
          <t>Hà Nội</t>
        </is>
      </c>
      <c r="G11838" s="10" t="inlineStr">
        <is>
          <t>31-03-2026</t>
        </is>
      </c>
      <c r="H11838" s="10" t="inlineStr">
        <is>
          <t>31/03/2026</t>
        </is>
      </c>
      <c r="I11838" s="10" t="inlineStr">
        <is>
          <t>17/03/2026</t>
        </is>
      </c>
      <c r="J11838" s="10" t="inlineStr">
        <is>
          <t>Bán hàng / Kinh doanh, Du lịch</t>
        </is>
      </c>
      <c r="K11838" s="10" t="inlineStr">
        <is>
          <t>1 - 2 Năm</t>
        </is>
      </c>
      <c r="L11838" s="11">
        <f>HYPERLINK("https://careerviet.vn/vi/tim-viec-lam/chuyen-vien-kinh-doanh-mang-khach-san-nghi-duong.35C6A02F.html","Xem chi tiết")</f>
        <v/>
      </c>
      <c r="M11838" s="10" t="n"/>
    </row>
    <row r="11839">
      <c r="B11839" s="7" t="n">
        <v>11837</v>
      </c>
      <c r="C11839" t="inlineStr">
        <is>
          <t>[HCM] Giao Dịch Viên (biết Tiếng Hoa)</t>
        </is>
      </c>
      <c r="D11839" t="inlineStr">
        <is>
          <t>Ngân hàng TMCP Phát triển TP.HCM (HDBank)</t>
        </is>
      </c>
      <c r="E11839" t="inlineStr">
        <is>
          <t>Lương:Cạnh tranh</t>
        </is>
      </c>
      <c r="F11839" t="inlineStr">
        <is>
          <t>Hồ Chí Minh</t>
        </is>
      </c>
      <c r="G11839" t="inlineStr">
        <is>
          <t>31-03-2026</t>
        </is>
      </c>
      <c r="H11839" t="inlineStr">
        <is>
          <t>31/03/2026</t>
        </is>
      </c>
      <c r="I11839" t="inlineStr">
        <is>
          <t>17/03/2026</t>
        </is>
      </c>
      <c r="J11839" t="inlineStr">
        <is>
          <t>Ngân hàng, Kế toán / Kiểm toán</t>
        </is>
      </c>
      <c r="K11839" t="inlineStr">
        <is>
          <t>N/A</t>
        </is>
      </c>
      <c r="L11839" s="8">
        <f>HYPERLINK("https://careerviet.vn/vi/tim-viec-lam/hcm-giao-dich-vien-biet-tieng-hoa.35C6A02A.html","Xem chi tiết")</f>
        <v/>
      </c>
    </row>
    <row r="11840">
      <c r="B11840" s="9" t="n">
        <v>11838</v>
      </c>
      <c r="C11840" s="10" t="inlineStr">
        <is>
          <t>[Suối Tiên] Nhân viên kỹ thuật điện</t>
        </is>
      </c>
      <c r="D11840" s="10" t="inlineStr">
        <is>
          <t>CÔNG TY CỔ PHẦN THÀNH PHỐ DU LỊCH SINH THÁI SƠN TIÊN</t>
        </is>
      </c>
      <c r="E11840" s="10" t="inlineStr">
        <is>
          <t>Lương:Cạnh tranh</t>
        </is>
      </c>
      <c r="F11840" s="10" t="inlineStr">
        <is>
          <t>Hồ Chí Minh</t>
        </is>
      </c>
      <c r="G11840" s="10" t="inlineStr">
        <is>
          <t>31-03-2026</t>
        </is>
      </c>
      <c r="H11840" s="10" t="inlineStr">
        <is>
          <t>31/03/2026</t>
        </is>
      </c>
      <c r="I11840" s="10" t="inlineStr">
        <is>
          <t>17/03/2026</t>
        </is>
      </c>
      <c r="J11840" s="10" t="inlineStr">
        <is>
          <t>Điện / Điện tử / Điện lạnh / Điện công nghiệp</t>
        </is>
      </c>
      <c r="K11840" s="10" t="inlineStr">
        <is>
          <t>N/A</t>
        </is>
      </c>
      <c r="L11840" s="11">
        <f>HYPERLINK("https://careerviet.vn/vi/tim-viec-lam/suoi-tien-nhan-vien-ky-thuat-dien.35C6A036.html","Xem chi tiết")</f>
        <v/>
      </c>
      <c r="M11840" s="10" t="n"/>
    </row>
    <row r="11841">
      <c r="B11841" s="7" t="n">
        <v>11839</v>
      </c>
      <c r="C11841" t="inlineStr">
        <is>
          <t>Quản lý sản xuất</t>
        </is>
      </c>
      <c r="D11841" t="inlineStr">
        <is>
          <t>Công Ty CP Tập Đoàn Kỹ Nghệ Gỗ Trường Thành</t>
        </is>
      </c>
      <c r="E11841" t="inlineStr">
        <is>
          <t>Lương:15 Tr - 30 Tr VND</t>
        </is>
      </c>
      <c r="F11841" t="inlineStr">
        <is>
          <t>Bình Dương</t>
        </is>
      </c>
      <c r="G11841" t="inlineStr">
        <is>
          <t>28-03-2026</t>
        </is>
      </c>
      <c r="H11841" t="inlineStr">
        <is>
          <t>28/03/2026</t>
        </is>
      </c>
      <c r="I11841" t="inlineStr">
        <is>
          <t>17/03/2026</t>
        </is>
      </c>
      <c r="J11841" t="inlineStr">
        <is>
          <t>Nội ngoại thất, Sản xuất / Vận hành sản xuất, Đồ gỗ</t>
        </is>
      </c>
      <c r="K11841" t="inlineStr">
        <is>
          <t>3 - 5 Năm</t>
        </is>
      </c>
      <c r="L11841" s="8">
        <f>HYPERLINK("https://careerviet.vn/vi/tim-viec-lam/quan-ly-san-xuat.35C69FF3.html","Xem chi tiết")</f>
        <v/>
      </c>
    </row>
    <row r="11842">
      <c r="B11842" s="9" t="n">
        <v>11840</v>
      </c>
      <c r="C11842" s="10" t="inlineStr">
        <is>
          <t>Nhân viên Kỹ thuật 2D – KCS Kỹ thuật [Xhome Việt Nam]</t>
        </is>
      </c>
      <c r="D11842" s="10" t="inlineStr">
        <is>
          <t>Công ty CP XHOME Việt Nam</t>
        </is>
      </c>
      <c r="E11842" s="10" t="inlineStr">
        <is>
          <t>Lương:15 Tr - 25 Tr VND</t>
        </is>
      </c>
      <c r="F11842" s="10" t="inlineStr">
        <is>
          <t>Hà Nội</t>
        </is>
      </c>
      <c r="G11842" s="10" t="inlineStr">
        <is>
          <t>30-03-2026</t>
        </is>
      </c>
      <c r="H11842" s="10" t="inlineStr">
        <is>
          <t>30/03/2026</t>
        </is>
      </c>
      <c r="I11842" s="10" t="inlineStr">
        <is>
          <t>17/03/2026</t>
        </is>
      </c>
      <c r="J11842" s="10" t="inlineStr">
        <is>
          <t>Nội ngoại thất</t>
        </is>
      </c>
      <c r="K11842" s="10" t="inlineStr">
        <is>
          <t>2 - 3 Năm</t>
        </is>
      </c>
      <c r="L11842" s="11">
        <f>HYPERLINK("https://careerviet.vn/vi/tim-viec-lam/nhan-vien-ky-thuat-2d-kcs-ky-thuat-xhome-viet-nam.35C69FE8.html","Xem chi tiết")</f>
        <v/>
      </c>
      <c r="M11842" s="10" t="n"/>
    </row>
    <row r="11843">
      <c r="B11843" s="7" t="n">
        <v>11841</v>
      </c>
      <c r="C11843" t="inlineStr">
        <is>
          <t>Kế toán tổng hợp (Xluxury Sài Gòn)</t>
        </is>
      </c>
      <c r="D11843" t="inlineStr">
        <is>
          <t>Công ty CP XHOME Việt Nam</t>
        </is>
      </c>
      <c r="E11843" t="inlineStr">
        <is>
          <t>Lương:11 Tr - 13 Tr VND</t>
        </is>
      </c>
      <c r="F11843" t="inlineStr">
        <is>
          <t>Hồ Chí Minh</t>
        </is>
      </c>
      <c r="G11843" t="inlineStr">
        <is>
          <t>30-03-2026</t>
        </is>
      </c>
      <c r="H11843" t="inlineStr">
        <is>
          <t>30/03/2026</t>
        </is>
      </c>
      <c r="I11843" t="inlineStr">
        <is>
          <t>17/03/2026</t>
        </is>
      </c>
      <c r="J11843" t="inlineStr">
        <is>
          <t>Kiến trúc, Xây dựng, Nội ngoại thất</t>
        </is>
      </c>
      <c r="K11843" t="inlineStr">
        <is>
          <t>2 - 3 Năm</t>
        </is>
      </c>
      <c r="L11843" s="8">
        <f>HYPERLINK("https://careerviet.vn/vi/tim-viec-lam/ke-toan-tong-hop-xluxury-sai-gon.35C6A016.html","Xem chi tiết")</f>
        <v/>
      </c>
    </row>
    <row r="11844">
      <c r="B11844" s="9" t="n">
        <v>11842</v>
      </c>
      <c r="C11844" s="10" t="inlineStr">
        <is>
          <t>Nhân viên kinh doanh</t>
        </is>
      </c>
      <c r="D11844" s="10" t="inlineStr">
        <is>
          <t>CÔNG TY TNHH KHOA HỌC KỸ THUẬT VIETLAB</t>
        </is>
      </c>
      <c r="E11844" s="10" t="inlineStr">
        <is>
          <t>Lương:Trên 25 Tr VND</t>
        </is>
      </c>
      <c r="F11844" s="10" t="inlineStr">
        <is>
          <t>Hà NộiHồ Chí Minh</t>
        </is>
      </c>
      <c r="G11844" s="10" t="inlineStr">
        <is>
          <t>27-03-2026</t>
        </is>
      </c>
      <c r="H11844" s="10" t="inlineStr">
        <is>
          <t>27/03/2026</t>
        </is>
      </c>
      <c r="I11844" s="10" t="inlineStr">
        <is>
          <t>17/03/2026</t>
        </is>
      </c>
      <c r="J11844" s="10" t="inlineStr">
        <is>
          <t>Bán hàng / Kinh doanh, Bán Hàng Kỹ Thuật, Y tế / Chăm sóc sức khỏe / Thẩm mỹ / Làm đẹp</t>
        </is>
      </c>
      <c r="K11844" s="10" t="inlineStr">
        <is>
          <t>Trên 1 Năm</t>
        </is>
      </c>
      <c r="L11844" s="11">
        <f>HYPERLINK("https://careerviet.vn/vi/tim-viec-lam/nhan-vien-kinh-doanh.35C69FE4.html","Xem chi tiết")</f>
        <v/>
      </c>
      <c r="M11844" s="10" t="n"/>
    </row>
    <row r="11845">
      <c r="B11845" s="7" t="n">
        <v>11843</v>
      </c>
      <c r="C11845" t="inlineStr">
        <is>
          <t>Nhân viên thiết kế</t>
        </is>
      </c>
      <c r="D11845" t="inlineStr">
        <is>
          <t>Công Ty TNHH Khuôn Mẫu Chính Xác DK</t>
        </is>
      </c>
      <c r="E11845" t="inlineStr">
        <is>
          <t>Lương:Cạnh tranh</t>
        </is>
      </c>
      <c r="F11845" t="inlineStr">
        <is>
          <t>Bình Dương</t>
        </is>
      </c>
      <c r="G11845" t="inlineStr">
        <is>
          <t>31-03-2026</t>
        </is>
      </c>
      <c r="H11845" t="inlineStr">
        <is>
          <t>31/03/2026</t>
        </is>
      </c>
      <c r="I11845" t="inlineStr">
        <is>
          <t>17/03/2026</t>
        </is>
      </c>
      <c r="J11845" t="inlineStr">
        <is>
          <t>Cơ khí / Ô tô / Tự động hóa</t>
        </is>
      </c>
      <c r="K11845" t="inlineStr">
        <is>
          <t>2 - 5 Năm</t>
        </is>
      </c>
      <c r="L11845" s="8">
        <f>HYPERLINK("https://careerviet.vn/vi/tim-viec-lam/nhan-vien-thiet-ke.35C69FFF.html","Xem chi tiết")</f>
        <v/>
      </c>
    </row>
    <row r="11846">
      <c r="B11846" s="9" t="n">
        <v>11844</v>
      </c>
      <c r="C11846" s="10" t="inlineStr">
        <is>
          <t>Kĩ sư Cơ khí (Làm việc tại Attapue, Lào)</t>
        </is>
      </c>
      <c r="D11846" s="10" t="inlineStr">
        <is>
          <t>Công ty CP Thành Thành Công - Biên Hòa</t>
        </is>
      </c>
      <c r="E11846" s="10" t="inlineStr">
        <is>
          <t>Lương:Cạnh tranh</t>
        </is>
      </c>
      <c r="F11846" s="10" t="inlineStr">
        <is>
          <t>Attapeu</t>
        </is>
      </c>
      <c r="G11846" s="10" t="inlineStr">
        <is>
          <t>29-03-2026</t>
        </is>
      </c>
      <c r="H11846" s="10" t="inlineStr">
        <is>
          <t>29/03/2026</t>
        </is>
      </c>
      <c r="I11846" s="10" t="inlineStr">
        <is>
          <t>17/03/2026</t>
        </is>
      </c>
      <c r="J11846" s="10" t="inlineStr">
        <is>
          <t>Cơ khí / Ô tô / Tự động hóa, Ngành khác, Điện / Điện tử / Điện lạnh / Điện công nghiệp</t>
        </is>
      </c>
      <c r="K11846" s="10" t="inlineStr">
        <is>
          <t>1 - 3 Năm</t>
        </is>
      </c>
      <c r="L11846" s="11">
        <f>HYPERLINK("https://careerviet.vn/vi/tim-viec-lam/ki-su-co-khi-lam-viec-tai-attapue-lao.35C69FC9.html","Xem chi tiết")</f>
        <v/>
      </c>
      <c r="M11846" s="10" t="n"/>
    </row>
    <row r="11847">
      <c r="B11847" s="7" t="n">
        <v>11845</v>
      </c>
      <c r="C11847" t="inlineStr">
        <is>
          <t>Nhân viên kế toán</t>
        </is>
      </c>
      <c r="D11847" t="inlineStr">
        <is>
          <t>Mega Lifesciences (Vietnam)</t>
        </is>
      </c>
      <c r="E11847" t="inlineStr">
        <is>
          <t>Lương:8 Tr - 10 Tr VND</t>
        </is>
      </c>
      <c r="F11847" t="inlineStr">
        <is>
          <t>Hồ Chí Minh</t>
        </is>
      </c>
      <c r="G11847" t="inlineStr">
        <is>
          <t>12-03-2026</t>
        </is>
      </c>
      <c r="H11847" t="inlineStr">
        <is>
          <t>14/03/2026</t>
        </is>
      </c>
      <c r="I11847" t="inlineStr">
        <is>
          <t>17/03/2026</t>
        </is>
      </c>
      <c r="J11847" t="inlineStr">
        <is>
          <t>Dược phẩm/ Hóa Mỹ Phẩm, Kế toán / Kiểm toán</t>
        </is>
      </c>
      <c r="K11847" t="inlineStr">
        <is>
          <t>Lên đến 1 Năm</t>
        </is>
      </c>
      <c r="L11847" s="8">
        <f>HYPERLINK("https://careerviet.vn/vi/tim-viec-lam/nhan-vien-ke-toan.35C64DC4.html","Xem chi tiết")</f>
        <v/>
      </c>
    </row>
    <row r="11848">
      <c r="B11848" s="9" t="n">
        <v>11846</v>
      </c>
      <c r="C11848" s="10" t="inlineStr">
        <is>
          <t>Chuyên viên Cơ giới Nông Nghiệp (Làm việc tại Attapue, Lào)</t>
        </is>
      </c>
      <c r="D11848" s="10" t="inlineStr">
        <is>
          <t>Công ty CP Thành Thành Công - Biên Hòa</t>
        </is>
      </c>
      <c r="E11848" s="10" t="inlineStr">
        <is>
          <t>Lương:Cạnh tranh</t>
        </is>
      </c>
      <c r="F11848" s="10" t="inlineStr">
        <is>
          <t>Attapeu</t>
        </is>
      </c>
      <c r="G11848" s="10" t="inlineStr">
        <is>
          <t>29-03-2026</t>
        </is>
      </c>
      <c r="H11848" s="10" t="inlineStr">
        <is>
          <t>29/03/2026</t>
        </is>
      </c>
      <c r="I11848" s="10" t="inlineStr">
        <is>
          <t>17/03/2026</t>
        </is>
      </c>
      <c r="J11848" s="10" t="inlineStr">
        <is>
          <t>Nông nghiệp, Cơ khí / Ô tô / Tự động hóa, Ngành khác</t>
        </is>
      </c>
      <c r="K11848" s="10" t="inlineStr">
        <is>
          <t>1 - 3 Năm</t>
        </is>
      </c>
      <c r="L11848" s="11">
        <f>HYPERLINK("https://careerviet.vn/vi/tim-viec-lam/chuyen-vien-co-gioi-nong-nghiep-lam-viec-tai-attapue-lao.35C69FD9.html","Xem chi tiết")</f>
        <v/>
      </c>
      <c r="M11848" s="10" t="n"/>
    </row>
    <row r="11849">
      <c r="B11849" s="7" t="n">
        <v>11847</v>
      </c>
      <c r="C11849" t="inlineStr">
        <is>
          <t>Nhân viên Lễ tân/CS Representative @ Oakwood Residence Saigon Q7</t>
        </is>
      </c>
      <c r="D11849" t="inlineStr">
        <is>
          <t>SOMERSET SERVICED RESIDENCE</t>
        </is>
      </c>
      <c r="E11849" t="inlineStr">
        <is>
          <t>Lương:Cạnh tranh</t>
        </is>
      </c>
      <c r="F11849" t="inlineStr">
        <is>
          <t>Hồ Chí Minh</t>
        </is>
      </c>
      <c r="G11849" t="inlineStr">
        <is>
          <t>27-03-2026</t>
        </is>
      </c>
      <c r="H11849" t="inlineStr">
        <is>
          <t>27/03/2026</t>
        </is>
      </c>
      <c r="I11849" t="inlineStr">
        <is>
          <t>17/03/2026</t>
        </is>
      </c>
      <c r="J11849" t="inlineStr">
        <is>
          <t>Nhà hàng / Khách sạn</t>
        </is>
      </c>
      <c r="K11849" t="inlineStr">
        <is>
          <t>Lên đến 2 Năm</t>
        </is>
      </c>
      <c r="L11849" s="8">
        <f>HYPERLINK("https://careerviet.vn/vi/tim-viec-lam/nhan-vien-le-tan-cs-representative-oakwood-residence-saigon-q7.35C69F9D.html","Xem chi tiết")</f>
        <v/>
      </c>
    </row>
    <row r="11850">
      <c r="B11850" s="9" t="n">
        <v>11848</v>
      </c>
      <c r="C11850" s="10" t="inlineStr">
        <is>
          <t>Pre-Accommodation Team Leader</t>
        </is>
      </c>
      <c r="D11850" s="10" t="inlineStr">
        <is>
          <t>CÔNG TY TNHH VARD VŨNG TÀU</t>
        </is>
      </c>
      <c r="E11850" s="10" t="inlineStr">
        <is>
          <t>Lương:Cạnh tranh</t>
        </is>
      </c>
      <c r="F11850" s="10" t="inlineStr">
        <is>
          <t>Bà Rịa - Vũng Tàu</t>
        </is>
      </c>
      <c r="G11850" s="10" t="inlineStr">
        <is>
          <t>27-03-2026</t>
        </is>
      </c>
      <c r="H11850" s="10" t="inlineStr">
        <is>
          <t>27/03/2026</t>
        </is>
      </c>
      <c r="I11850" s="10" t="inlineStr">
        <is>
          <t>17/03/2026</t>
        </is>
      </c>
      <c r="J11850" s="10" t="inlineStr">
        <is>
          <t>Hàng hải, Cơ khí / Ô tô / Tự động hóa, Đồ gỗ</t>
        </is>
      </c>
      <c r="K11850" s="10" t="inlineStr">
        <is>
          <t>N/A</t>
        </is>
      </c>
      <c r="L11850" s="11">
        <f>HYPERLINK("https://careerviet.vn/vi/tim-viec-lam/pre-accommodation-team-leader.35C69FBD.html","Xem chi tiết")</f>
        <v/>
      </c>
      <c r="M11850" s="10" t="n"/>
    </row>
    <row r="11851">
      <c r="B11851" s="7" t="n">
        <v>11849</v>
      </c>
      <c r="C11851" t="inlineStr">
        <is>
          <t>Quality Engineer</t>
        </is>
      </c>
      <c r="D11851" t="inlineStr">
        <is>
          <t>OMV Co., Ltd</t>
        </is>
      </c>
      <c r="E11851" t="inlineStr">
        <is>
          <t>Lương:Cạnh tranh</t>
        </is>
      </c>
      <c r="F11851" t="inlineStr">
        <is>
          <t>Long An</t>
        </is>
      </c>
      <c r="G11851" t="inlineStr">
        <is>
          <t>31-03-2026</t>
        </is>
      </c>
      <c r="H11851" t="inlineStr">
        <is>
          <t>31/03/2026</t>
        </is>
      </c>
      <c r="I11851" t="inlineStr">
        <is>
          <t>17/03/2026</t>
        </is>
      </c>
      <c r="J11851" t="inlineStr">
        <is>
          <t>Quản lý chất lượng (QA/QC), Sản xuất / Vận hành sản xuất, Dệt may / Da giày / Thời trang</t>
        </is>
      </c>
      <c r="K11851" t="inlineStr">
        <is>
          <t>3 - 8 Năm</t>
        </is>
      </c>
      <c r="L11851" s="8">
        <f>HYPERLINK("https://careerviet.vn/vi/tim-viec-lam/quality-engineer.35C69D72.html","Xem chi tiết")</f>
        <v/>
      </c>
    </row>
    <row r="11852">
      <c r="B11852" s="9" t="n">
        <v>11850</v>
      </c>
      <c r="C11852" s="10" t="inlineStr">
        <is>
          <t>CHUYÊN VIÊN HSE - AN TOÀN LAO ĐỘNG</t>
        </is>
      </c>
      <c r="D11852" s="10" t="inlineStr">
        <is>
          <t>Công ty cổ phần xây dựng công nghiệp Megacon</t>
        </is>
      </c>
      <c r="E11852" s="10" t="inlineStr">
        <is>
          <t>Lương:16 Tr - 22 Tr VND</t>
        </is>
      </c>
      <c r="F11852" s="10" t="inlineStr">
        <is>
          <t>Hưng Yên</t>
        </is>
      </c>
      <c r="G11852" s="10" t="inlineStr">
        <is>
          <t>31-03-2026</t>
        </is>
      </c>
      <c r="H11852" s="10" t="inlineStr">
        <is>
          <t>31/03/2026</t>
        </is>
      </c>
      <c r="I11852" s="10" t="inlineStr">
        <is>
          <t>17/03/2026</t>
        </is>
      </c>
      <c r="J11852" s="10" t="inlineStr">
        <is>
          <t>Xây dựng, An toàn lao động</t>
        </is>
      </c>
      <c r="K11852" s="10" t="inlineStr">
        <is>
          <t>2 - 3 Năm</t>
        </is>
      </c>
      <c r="L11852" s="11">
        <f>HYPERLINK("https://careerviet.vn/vi/tim-viec-lam/chuyen-vien-hse-an-toan-lao-dong.35C69F71.html","Xem chi tiết")</f>
        <v/>
      </c>
      <c r="M11852" s="10" t="n"/>
    </row>
    <row r="11853">
      <c r="B11853" s="7" t="n">
        <v>11851</v>
      </c>
      <c r="C11853" t="inlineStr">
        <is>
          <t>Trưởng phòng Kinh doanh - URGENTLY</t>
        </is>
      </c>
      <c r="D11853" t="inlineStr">
        <is>
          <t>CÔNG TY CỔ PHẦN TGI TRANS</t>
        </is>
      </c>
      <c r="E11853" t="inlineStr">
        <is>
          <t>Lương:Cạnh tranh</t>
        </is>
      </c>
      <c r="F11853" t="inlineStr">
        <is>
          <t>Hà Nội</t>
        </is>
      </c>
      <c r="G11853" t="inlineStr">
        <is>
          <t>30-04-2026</t>
        </is>
      </c>
      <c r="H11853" t="inlineStr">
        <is>
          <t>30/04/2026</t>
        </is>
      </c>
      <c r="I11853" t="inlineStr">
        <is>
          <t>17/03/2026</t>
        </is>
      </c>
      <c r="J11853" t="inlineStr">
        <is>
          <t>Xuất nhập khẩu</t>
        </is>
      </c>
      <c r="K11853" t="inlineStr">
        <is>
          <t>4 - 5 Năm</t>
        </is>
      </c>
      <c r="L11853" s="8">
        <f>HYPERLINK("https://careerviet.vn/vi/tim-viec-lam/truong-phong-kinh-doanh-urgently.35C6B328.html","Xem chi tiết")</f>
        <v/>
      </c>
    </row>
    <row r="11854">
      <c r="B11854" s="9" t="n">
        <v>11852</v>
      </c>
      <c r="C11854" s="10" t="inlineStr">
        <is>
          <t>Nhân viên kiểm soát chất lượng dịch vụ</t>
        </is>
      </c>
      <c r="D11854" s="10" t="inlineStr">
        <is>
          <t>THỜI TRANG LINING_CÔNG TY TNHH QUỐC TẾ HẢI LONG</t>
        </is>
      </c>
      <c r="E11854" s="10" t="inlineStr">
        <is>
          <t>Lương:10 Tr - 15 Tr VND</t>
        </is>
      </c>
      <c r="F11854" s="10" t="inlineStr">
        <is>
          <t>Hà Nội</t>
        </is>
      </c>
      <c r="G11854" s="10" t="inlineStr">
        <is>
          <t>03-04-2026</t>
        </is>
      </c>
      <c r="H11854" s="10" t="inlineStr">
        <is>
          <t>03/04/2026</t>
        </is>
      </c>
      <c r="I11854" s="10" t="inlineStr">
        <is>
          <t>17/03/2026</t>
        </is>
      </c>
      <c r="J11854" s="10" t="inlineStr">
        <is>
          <t>Dịch vụ khách hàng, Dệt may / Da giày / Thời trang, Quản lý chất lượng (QA/QC)</t>
        </is>
      </c>
      <c r="K11854" s="10" t="inlineStr">
        <is>
          <t>Trên 2 Năm</t>
        </is>
      </c>
      <c r="L11854" s="11">
        <f>HYPERLINK("https://careerviet.vn/vi/tim-viec-lam/nhan-vien-kiem-soat-chat-luong-dich-vu.35C6B503.html","Xem chi tiết")</f>
        <v/>
      </c>
      <c r="M11854" s="10" t="n"/>
    </row>
    <row r="11855">
      <c r="B11855" s="7" t="n">
        <v>11853</v>
      </c>
      <c r="C11855" t="inlineStr">
        <is>
          <t>Import Documentation Specialist</t>
        </is>
      </c>
      <c r="D11855" t="inlineStr">
        <is>
          <t>Wanek Furniture</t>
        </is>
      </c>
      <c r="E11855" t="inlineStr">
        <is>
          <t>Lương:Cạnh tranh</t>
        </is>
      </c>
      <c r="F11855" t="inlineStr">
        <is>
          <t>Bình Dương</t>
        </is>
      </c>
      <c r="G11855" t="inlineStr">
        <is>
          <t>07-04-2026</t>
        </is>
      </c>
      <c r="H11855" t="inlineStr">
        <is>
          <t>07/04/2026</t>
        </is>
      </c>
      <c r="I11855" t="inlineStr">
        <is>
          <t>17/03/2026</t>
        </is>
      </c>
      <c r="J11855" t="inlineStr">
        <is>
          <t>Xuất nhập khẩu, Sản xuất / Vận hành sản xuất, Nội ngoại thất</t>
        </is>
      </c>
      <c r="K11855" t="inlineStr">
        <is>
          <t>1 - 3 Năm</t>
        </is>
      </c>
      <c r="L11855" s="8">
        <f>HYPERLINK("https://careerviet.vn/vi/tim-viec-lam/import-documentation-specialist.35C6B2B7.html","Xem chi tiết")</f>
        <v/>
      </c>
    </row>
    <row r="11856">
      <c r="B11856" s="9" t="n">
        <v>11854</v>
      </c>
      <c r="C11856" s="10" t="inlineStr">
        <is>
          <t>Nhân viên giao hàng</t>
        </is>
      </c>
      <c r="D11856" s="10" t="inlineStr">
        <is>
          <t>Mega Lifesciences (Vietnam)</t>
        </is>
      </c>
      <c r="E11856" s="10" t="inlineStr">
        <is>
          <t>Lương:6 Tr - 7 Tr VND</t>
        </is>
      </c>
      <c r="F11856" s="10" t="inlineStr">
        <is>
          <t>Hồ Chí Minh</t>
        </is>
      </c>
      <c r="G11856" s="10" t="inlineStr">
        <is>
          <t>31-03-2026</t>
        </is>
      </c>
      <c r="H11856" s="10" t="inlineStr">
        <is>
          <t>31/03/2026</t>
        </is>
      </c>
      <c r="I11856" s="10" t="inlineStr">
        <is>
          <t>17/03/2026</t>
        </is>
      </c>
      <c r="J11856" s="10" t="inlineStr">
        <is>
          <t>Dược phẩm/ Hóa Mỹ Phẩm</t>
        </is>
      </c>
      <c r="K11856" s="10" t="inlineStr">
        <is>
          <t>Chưa có kinh nghiệm</t>
        </is>
      </c>
      <c r="L11856" s="11">
        <f>HYPERLINK("https://careerviet.vn/vi/tim-viec-lam/nhan-vien-giao-hang.35C6B56B.html","Xem chi tiết")</f>
        <v/>
      </c>
      <c r="M11856" s="10" t="n"/>
    </row>
    <row r="11857">
      <c r="B11857" s="7" t="n">
        <v>11855</v>
      </c>
      <c r="C11857" t="inlineStr">
        <is>
          <t>MAINTENANCE GENERAL MANAGER</t>
        </is>
      </c>
      <c r="D11857" t="inlineStr">
        <is>
          <t>Công Ty TNHH Yokohama Tyre Việt Nam</t>
        </is>
      </c>
      <c r="E11857" t="inlineStr">
        <is>
          <t>Lương:Cạnh tranh</t>
        </is>
      </c>
      <c r="F11857" t="inlineStr">
        <is>
          <t>Bình Dương</t>
        </is>
      </c>
      <c r="G11857" t="inlineStr">
        <is>
          <t>31-03-2026</t>
        </is>
      </c>
      <c r="H11857" t="inlineStr">
        <is>
          <t>31/03/2026</t>
        </is>
      </c>
      <c r="I11857" t="inlineStr">
        <is>
          <t>17/03/2026</t>
        </is>
      </c>
      <c r="J11857" t="inlineStr">
        <is>
          <t>Bảo trì / Sửa chữa, Điện / Điện tử / Điện lạnh / Điện công nghiệp, Cơ khí / Ô tô / Tự động hóa</t>
        </is>
      </c>
      <c r="K11857" t="inlineStr">
        <is>
          <t>Trên 8 Năm</t>
        </is>
      </c>
      <c r="L11857" s="8">
        <f>HYPERLINK("https://careerviet.vn/vi/tim-viec-lam/maintenance-general-manager.35C6B312.html","Xem chi tiết")</f>
        <v/>
      </c>
    </row>
    <row r="11858">
      <c r="B11858" s="9" t="n">
        <v>11856</v>
      </c>
      <c r="C11858" s="10" t="inlineStr">
        <is>
          <t>Cán Bộ Kinh Doanh - Khu vực Quảng Ngãi, Quảng Nam</t>
        </is>
      </c>
      <c r="D11858" s="10" t="inlineStr">
        <is>
          <t>Tổng Công ty Cổ phần Bảo hiểm Ngân hàng Đầu tư và Phát triển Việt Nam (BIC)</t>
        </is>
      </c>
      <c r="E11858" s="10" t="inlineStr">
        <is>
          <t>Lương:Cạnh tranh</t>
        </is>
      </c>
      <c r="F11858" s="10" t="inlineStr">
        <is>
          <t>Quảng NamQuảng Ngãi</t>
        </is>
      </c>
      <c r="G11858" s="10" t="inlineStr">
        <is>
          <t>04-04-2026</t>
        </is>
      </c>
      <c r="H11858" s="10" t="inlineStr">
        <is>
          <t>04/04/2026</t>
        </is>
      </c>
      <c r="I11858" s="10" t="inlineStr">
        <is>
          <t>17/03/2026</t>
        </is>
      </c>
      <c r="J11858" s="10" t="inlineStr">
        <is>
          <t>Ngân hàng, Bảo hiểm, Bán hàng / Kinh doanh</t>
        </is>
      </c>
      <c r="K11858" s="10" t="inlineStr">
        <is>
          <t>Chưa có kinh nghiệm</t>
        </is>
      </c>
      <c r="L11858" s="11">
        <f>HYPERLINK("https://careerviet.vn/vi/tim-viec-lam/can-bo-kinh-doanh-khu-vuc-quang-ngai-quang-nam.35C6B561.html","Xem chi tiết")</f>
        <v/>
      </c>
      <c r="M11858" s="10" t="n"/>
    </row>
    <row r="11859">
      <c r="B11859" s="7" t="n">
        <v>11857</v>
      </c>
      <c r="C11859" t="inlineStr">
        <is>
          <t>Trưởng Phòng Kinh Doanh Bất Động Sản</t>
        </is>
      </c>
      <c r="D11859" t="inlineStr">
        <is>
          <t>Công ty TNHH Bất động sản Phú Hoàng Land</t>
        </is>
      </c>
      <c r="E11859" t="inlineStr">
        <is>
          <t>Lương:15 Tr - 20 Tr VND</t>
        </is>
      </c>
      <c r="F11859" t="inlineStr">
        <is>
          <t>Hồ Chí Minh</t>
        </is>
      </c>
      <c r="G11859" t="inlineStr">
        <is>
          <t>30-04-2026</t>
        </is>
      </c>
      <c r="H11859" t="inlineStr">
        <is>
          <t>30/04/2026</t>
        </is>
      </c>
      <c r="I11859" t="inlineStr">
        <is>
          <t>17/03/2026</t>
        </is>
      </c>
      <c r="J11859" t="inlineStr">
        <is>
          <t>Bảo hiểm, Tài chính / Đầu tư, Bất động sản</t>
        </is>
      </c>
      <c r="K11859" t="inlineStr">
        <is>
          <t>2 - 3 Năm</t>
        </is>
      </c>
      <c r="L11859" s="8">
        <f>HYPERLINK("https://careerviet.vn/vi/tim-viec-lam/truong-phong-kinh-doanh-bat-dong-san.35C6B4C4.html","Xem chi tiết")</f>
        <v/>
      </c>
    </row>
    <row r="11860">
      <c r="B11860" s="9" t="n">
        <v>11858</v>
      </c>
      <c r="C11860" s="10" t="inlineStr">
        <is>
          <t>NHÂN VIÊN BẾP  (CÔNG TY THÀNH VIÊN CỦA SABECO)</t>
        </is>
      </c>
      <c r="D11860" s="10" t="inlineStr">
        <is>
          <t>SABECO - Saigon Beer-Alcohol-Beverage Corporation</t>
        </is>
      </c>
      <c r="E11860" s="10" t="inlineStr">
        <is>
          <t>Lương:Cạnh tranh</t>
        </is>
      </c>
      <c r="F11860" s="10" t="inlineStr">
        <is>
          <t>Hà Nam</t>
        </is>
      </c>
      <c r="G11860" s="10" t="inlineStr">
        <is>
          <t>06-04-2026</t>
        </is>
      </c>
      <c r="H11860" s="10" t="inlineStr">
        <is>
          <t>06/04/2026</t>
        </is>
      </c>
      <c r="I11860" s="10" t="inlineStr">
        <is>
          <t>17/03/2026</t>
        </is>
      </c>
      <c r="J11860" s="10" t="inlineStr">
        <is>
          <t>Nhà hàng / Khách sạn</t>
        </is>
      </c>
      <c r="K11860" s="10" t="inlineStr">
        <is>
          <t>Trên 1 Năm</t>
        </is>
      </c>
      <c r="L11860" s="11">
        <f>HYPERLINK("https://careerviet.vn/vi/tim-viec-lam/nhan-vien-be-p-cong-ty-thanh-vien-cua-sabeco.35C6B52B.html","Xem chi tiết")</f>
        <v/>
      </c>
      <c r="M11860" s="10" t="n"/>
    </row>
    <row r="11861">
      <c r="B11861" s="7" t="n">
        <v>11859</v>
      </c>
      <c r="C11861" t="inlineStr">
        <is>
          <t>Trưởng nhóm/ Phó Ban quản lý dự án</t>
        </is>
      </c>
      <c r="D11861" t="inlineStr">
        <is>
          <t>CÔNG TY CỔ PHẦN TẬP ĐOÀN ONSEN FUJI</t>
        </is>
      </c>
      <c r="E11861" t="inlineStr">
        <is>
          <t>Lương:25 Tr - 35 Tr VND</t>
        </is>
      </c>
      <c r="F11861" t="inlineStr">
        <is>
          <t>Hà NộiHà NamThái Bình</t>
        </is>
      </c>
      <c r="G11861" t="inlineStr">
        <is>
          <t>05-04-2026</t>
        </is>
      </c>
      <c r="H11861" t="inlineStr">
        <is>
          <t>05/04/2026</t>
        </is>
      </c>
      <c r="I11861" t="inlineStr">
        <is>
          <t>17/03/2026</t>
        </is>
      </c>
      <c r="J11861" t="inlineStr">
        <is>
          <t>Bất động sản, Kiến trúc, Xây dựng</t>
        </is>
      </c>
      <c r="K11861" t="inlineStr">
        <is>
          <t>5 - 10 Năm</t>
        </is>
      </c>
      <c r="L11861" s="8">
        <f>HYPERLINK("https://careerviet.vn/vi/tim-viec-lam/truong-nhom-pho-ban-quan-ly-du-an.35C6B2E8.html","Xem chi tiết")</f>
        <v/>
      </c>
    </row>
    <row r="11862">
      <c r="B11862" s="9" t="n">
        <v>11860</v>
      </c>
      <c r="C11862" s="10" t="inlineStr">
        <is>
          <t>Nhân viên kỹ thuật điện nước</t>
        </is>
      </c>
      <c r="D11862" s="10" t="inlineStr">
        <is>
          <t>Công ty cổ phần thương mại kỹ thuật An Việt</t>
        </is>
      </c>
      <c r="E11862" s="10" t="inlineStr">
        <is>
          <t>Lương:10 Tr - 12 Tr VND</t>
        </is>
      </c>
      <c r="F11862" s="10" t="inlineStr">
        <is>
          <t>Hà Nội</t>
        </is>
      </c>
      <c r="G11862" s="10" t="inlineStr">
        <is>
          <t>31-03-2026</t>
        </is>
      </c>
      <c r="H11862" s="10" t="inlineStr">
        <is>
          <t>31/03/2026</t>
        </is>
      </c>
      <c r="I11862" s="10" t="inlineStr">
        <is>
          <t>17/03/2026</t>
        </is>
      </c>
      <c r="J11862" s="10" t="inlineStr">
        <is>
          <t>Cơ khí / Ô tô / Tự động hóa, Điện / Điện tử / Điện lạnh / Điện công nghiệp, Bảo trì / Sửa chữa</t>
        </is>
      </c>
      <c r="K11862" s="10" t="inlineStr">
        <is>
          <t>Chưa có kinh nghiệm</t>
        </is>
      </c>
      <c r="L11862" s="11">
        <f>HYPERLINK("https://careerviet.vn/vi/tim-viec-lam/nhan-vien-ky-thuat-dien-nuoc.35C6B4B1.html","Xem chi tiết")</f>
        <v/>
      </c>
      <c r="M11862" s="10" t="n"/>
    </row>
    <row r="11863">
      <c r="B11863" s="7" t="n">
        <v>11861</v>
      </c>
      <c r="C11863" t="inlineStr">
        <is>
          <t>GIÁM SÁT CƠ ĐIỆN</t>
        </is>
      </c>
      <c r="D11863" t="inlineStr">
        <is>
          <t>CÔNG TY CỔ PHẦN XÂY DỰNG VÀ ĐẦU TƯ GALAXY</t>
        </is>
      </c>
      <c r="E11863" t="inlineStr">
        <is>
          <t>Lương:15 Tr - 20 Tr VND</t>
        </is>
      </c>
      <c r="F11863" t="inlineStr">
        <is>
          <t>Hồ Chí Minh</t>
        </is>
      </c>
      <c r="G11863" t="inlineStr">
        <is>
          <t>31-03-2026</t>
        </is>
      </c>
      <c r="H11863" t="inlineStr">
        <is>
          <t>31/03/2026</t>
        </is>
      </c>
      <c r="I11863" t="inlineStr">
        <is>
          <t>17/03/2026</t>
        </is>
      </c>
      <c r="J11863" t="inlineStr">
        <is>
          <t>Xây dựng, Điện / Điện tử / Điện lạnh / Điện công nghiệp, Kiến trúc</t>
        </is>
      </c>
      <c r="K11863" t="inlineStr">
        <is>
          <t>2 - 6 Năm</t>
        </is>
      </c>
      <c r="L11863" s="8">
        <f>HYPERLINK("https://careerviet.vn/vi/tim-viec-lam/gia-m-sa-t-co-die-n.35C6B550.html","Xem chi tiết")</f>
        <v/>
      </c>
    </row>
    <row r="11864">
      <c r="B11864" s="9" t="n">
        <v>11862</v>
      </c>
      <c r="C11864" s="10" t="inlineStr">
        <is>
          <t>Graphic Designer</t>
        </is>
      </c>
      <c r="D11864" s="10" t="inlineStr">
        <is>
          <t>CÔNG TY CỔ PHẦN XÂY DỰNG VÀ ĐẦU TƯ GALAXY</t>
        </is>
      </c>
      <c r="E11864" s="10" t="inlineStr">
        <is>
          <t>Lương:8 Tr - 15 Tr VND</t>
        </is>
      </c>
      <c r="F11864" s="10" t="inlineStr">
        <is>
          <t>Hồ Chí Minh</t>
        </is>
      </c>
      <c r="G11864" s="10" t="inlineStr">
        <is>
          <t>31-03-2026</t>
        </is>
      </c>
      <c r="H11864" s="10" t="inlineStr">
        <is>
          <t>31/03/2026</t>
        </is>
      </c>
      <c r="I11864" s="10" t="inlineStr">
        <is>
          <t>17/03/2026</t>
        </is>
      </c>
      <c r="J11864" s="10" t="inlineStr">
        <is>
          <t>Tiếp thị / Marketing, Xây dựng, Nội ngoại thất</t>
        </is>
      </c>
      <c r="K11864" s="10" t="inlineStr">
        <is>
          <t>2 - 5 Năm</t>
        </is>
      </c>
      <c r="L11864" s="11">
        <f>HYPERLINK("https://careerviet.vn/vi/tim-viec-lam/graphic-designer.35C6B560.html","Xem chi tiết")</f>
        <v/>
      </c>
      <c r="M11864" s="10" t="n"/>
    </row>
    <row r="11865">
      <c r="B11865" s="7" t="n">
        <v>11863</v>
      </c>
      <c r="C11865" t="inlineStr">
        <is>
          <t>[TUYỂN GẤP] NHÂN VIÊN NHÂN SỰ TỔNG HỢP/C&amp;B</t>
        </is>
      </c>
      <c r="D11865" t="inlineStr">
        <is>
          <t>CÔNG TY CỔ PHẦN SẢN XUẤT THƯƠNG MẠI XÂY DỰNG TRANG TRÍ NỘI THẤT G.S VIỆT NAM</t>
        </is>
      </c>
      <c r="E11865" t="inlineStr">
        <is>
          <t>Lương:Trên 12 Tr VND</t>
        </is>
      </c>
      <c r="F11865" t="inlineStr">
        <is>
          <t>Bình Dương</t>
        </is>
      </c>
      <c r="G11865" t="inlineStr">
        <is>
          <t>15-04-2026</t>
        </is>
      </c>
      <c r="H11865" t="inlineStr">
        <is>
          <t>15/04/2026</t>
        </is>
      </c>
      <c r="I11865" t="inlineStr">
        <is>
          <t>17/03/2026</t>
        </is>
      </c>
      <c r="J11865" t="inlineStr">
        <is>
          <t>Hành chính / Thư ký, Nhân sự, Xây dựng</t>
        </is>
      </c>
      <c r="K11865" t="inlineStr">
        <is>
          <t>1 - 3 Năm</t>
        </is>
      </c>
      <c r="L11865" s="8">
        <f>HYPERLINK("https://careerviet.vn/vi/tim-viec-lam/tuyen-gap-nhan-vien-nhan-su-tong-hop-c-b.35C6B57A.html","Xem chi tiết")</f>
        <v/>
      </c>
    </row>
    <row r="11866">
      <c r="B11866" s="9" t="n">
        <v>11864</v>
      </c>
      <c r="C11866" s="10" t="inlineStr">
        <is>
          <t>Sales Manager</t>
        </is>
      </c>
      <c r="D11866" s="10" t="inlineStr">
        <is>
          <t>Công Ty TNHH Andashun Amazing Logistics</t>
        </is>
      </c>
      <c r="E11866" s="10" t="inlineStr">
        <is>
          <t>Lương:Cạnh tranh</t>
        </is>
      </c>
      <c r="F11866" s="10" t="inlineStr">
        <is>
          <t>Hồ Chí Minh</t>
        </is>
      </c>
      <c r="G11866" s="10" t="inlineStr">
        <is>
          <t>01-05-2026</t>
        </is>
      </c>
      <c r="H11866" s="10" t="inlineStr">
        <is>
          <t>01/05/2026</t>
        </is>
      </c>
      <c r="I11866" s="10" t="inlineStr">
        <is>
          <t>17/03/2026</t>
        </is>
      </c>
      <c r="J11866" s="10" t="inlineStr">
        <is>
          <t>Tiếp thị / Marketing, Bán hàng / Kinh doanh, Vận chuyển / Giao nhận / Kho vận</t>
        </is>
      </c>
      <c r="K11866" s="10" t="inlineStr">
        <is>
          <t>5 - 6 Năm</t>
        </is>
      </c>
      <c r="L11866" s="11">
        <f>HYPERLINK("https://careerviet.vn/vi/tim-viec-lam/sales-manager.35C6B4A6.html","Xem chi tiết")</f>
        <v/>
      </c>
      <c r="M11866" s="10" t="n"/>
    </row>
    <row r="11867">
      <c r="B11867" s="7" t="n">
        <v>11865</v>
      </c>
      <c r="C11867" t="inlineStr">
        <is>
          <t>TRƯỞNG PHÒNG HỆ THỐNG</t>
        </is>
      </c>
      <c r="D11867" t="inlineStr">
        <is>
          <t>Công Ty Cổ Phần Xây Dựng CDC</t>
        </is>
      </c>
      <c r="E11867" t="inlineStr">
        <is>
          <t>Lương:Cạnh tranh</t>
        </is>
      </c>
      <c r="F11867" t="inlineStr">
        <is>
          <t>Hà Nội</t>
        </is>
      </c>
      <c r="G11867" t="inlineStr">
        <is>
          <t>05-04-2026</t>
        </is>
      </c>
      <c r="H11867" t="inlineStr">
        <is>
          <t>05/04/2026</t>
        </is>
      </c>
      <c r="I11867" t="inlineStr">
        <is>
          <t>17/03/2026</t>
        </is>
      </c>
      <c r="J11867" t="inlineStr">
        <is>
          <t>CNTT - Phần mềm, CNTT - Phần cứng / Mạng</t>
        </is>
      </c>
      <c r="K11867" t="inlineStr">
        <is>
          <t>2 - 5 Năm</t>
        </is>
      </c>
      <c r="L11867" s="8">
        <f>HYPERLINK("https://careerviet.vn/vi/tim-viec-lam/truong-phong-he-thong.35C6B56F.html","Xem chi tiết")</f>
        <v/>
      </c>
    </row>
    <row r="11868">
      <c r="B11868" s="9" t="n">
        <v>11866</v>
      </c>
      <c r="C11868" s="10" t="inlineStr">
        <is>
          <t>NHÂN VIÊN DỰ TOÁN - CƠ ĐIỆN</t>
        </is>
      </c>
      <c r="D11868" s="10" t="inlineStr">
        <is>
          <t>CÔNG TY CỔ PHẦN XÂY DỰNG VÀ ĐẦU TƯ GALAXY</t>
        </is>
      </c>
      <c r="E11868" s="10" t="inlineStr">
        <is>
          <t>Lương:15 Tr - 20 Tr VND</t>
        </is>
      </c>
      <c r="F11868" s="10" t="inlineStr">
        <is>
          <t>Hồ Chí Minh</t>
        </is>
      </c>
      <c r="G11868" s="10" t="inlineStr">
        <is>
          <t>31-03-2026</t>
        </is>
      </c>
      <c r="H11868" s="10" t="inlineStr">
        <is>
          <t>31/03/2026</t>
        </is>
      </c>
      <c r="I11868" s="10" t="inlineStr">
        <is>
          <t>17/03/2026</t>
        </is>
      </c>
      <c r="J11868" s="10" t="inlineStr">
        <is>
          <t>Xây dựng, Kiến trúc, Điện / Điện tử / Điện lạnh / Điện công nghiệp</t>
        </is>
      </c>
      <c r="K11868" s="10" t="inlineStr">
        <is>
          <t>2 - 5 Năm</t>
        </is>
      </c>
      <c r="L11868" s="11">
        <f>HYPERLINK("https://careerviet.vn/vi/tim-viec-lam/nhan-vien-du-toa-n-co-die-n.35C6B556.html","Xem chi tiết")</f>
        <v/>
      </c>
      <c r="M11868" s="10" t="n"/>
    </row>
    <row r="11869">
      <c r="B11869" s="7" t="n">
        <v>11867</v>
      </c>
      <c r="C11869" t="inlineStr">
        <is>
          <t>[NLE] Chuyên viên cao cấp Vận hành tài sản</t>
        </is>
      </c>
      <c r="D11869" t="inlineStr">
        <is>
          <t>Nova Service Group - Công ty Cổ phần Tập đoàn Nova Services</t>
        </is>
      </c>
      <c r="E11869" t="inlineStr">
        <is>
          <t>Lương:Cạnh tranh</t>
        </is>
      </c>
      <c r="F11869" t="inlineStr">
        <is>
          <t>Hồ Chí Minh</t>
        </is>
      </c>
      <c r="G11869" t="inlineStr">
        <is>
          <t>30-04-2026</t>
        </is>
      </c>
      <c r="H11869" t="inlineStr">
        <is>
          <t>30/04/2026</t>
        </is>
      </c>
      <c r="I11869" t="inlineStr">
        <is>
          <t>17/03/2026</t>
        </is>
      </c>
      <c r="J11869" t="inlineStr">
        <is>
          <t>Bất động sản, Nhà hàng / Khách sạn, Ngành khác</t>
        </is>
      </c>
      <c r="K11869" t="inlineStr">
        <is>
          <t>5 - 7 Năm</t>
        </is>
      </c>
      <c r="L11869" s="8">
        <f>HYPERLINK("https://careerviet.vn/vi/tim-viec-lam/nle-chuyen-vien-cao-cap-van-hanh-tai-san.35C6B54C.html","Xem chi tiết")</f>
        <v/>
      </c>
    </row>
    <row r="11870">
      <c r="B11870" s="9" t="n">
        <v>11868</v>
      </c>
      <c r="C11870" s="10" t="inlineStr">
        <is>
          <t>Nhân viên tuyển dụng (Mass)</t>
        </is>
      </c>
      <c r="D11870" s="10" t="inlineStr">
        <is>
          <t>Công ty Cổ phần IntelLife</t>
        </is>
      </c>
      <c r="E11870" s="10" t="inlineStr">
        <is>
          <t>Lương:10 Tr - 15 Tr VND</t>
        </is>
      </c>
      <c r="F11870" s="10" t="inlineStr">
        <is>
          <t>Hà Nội</t>
        </is>
      </c>
      <c r="G11870" s="10" t="inlineStr">
        <is>
          <t>06-04-2026</t>
        </is>
      </c>
      <c r="H11870" s="10" t="inlineStr">
        <is>
          <t>06/04/2026</t>
        </is>
      </c>
      <c r="I11870" s="10" t="inlineStr">
        <is>
          <t>17/03/2026</t>
        </is>
      </c>
      <c r="J11870" s="10" t="inlineStr">
        <is>
          <t>Nhân sự</t>
        </is>
      </c>
      <c r="K11870" s="10" t="inlineStr">
        <is>
          <t>1 - 2 Năm</t>
        </is>
      </c>
      <c r="L11870" s="11">
        <f>HYPERLINK("https://careerviet.vn/vi/tim-viec-lam/nhan-vien-tuyen-dung-mass.35C6B564.html","Xem chi tiết")</f>
        <v/>
      </c>
      <c r="M11870" s="10" t="n"/>
    </row>
    <row r="11871">
      <c r="B11871" s="7" t="n">
        <v>11869</v>
      </c>
      <c r="C11871" t="inlineStr">
        <is>
          <t>Trưởng Phòng Khách hàng Cá nhân</t>
        </is>
      </c>
      <c r="D11871" t="inlineStr">
        <is>
          <t>Ngân Hàng TMCP Sài Gòn - Hà Nội ( SHB )</t>
        </is>
      </c>
      <c r="E11871" t="inlineStr">
        <is>
          <t>Lương:Cạnh tranh</t>
        </is>
      </c>
      <c r="F11871" t="inlineStr">
        <is>
          <t>Tây NinhHà NộiHà Tĩnh</t>
        </is>
      </c>
      <c r="G11871" t="inlineStr">
        <is>
          <t>03-04-2026</t>
        </is>
      </c>
      <c r="H11871" t="inlineStr">
        <is>
          <t>03/04/2026</t>
        </is>
      </c>
      <c r="I11871" t="inlineStr">
        <is>
          <t>17/03/2026</t>
        </is>
      </c>
      <c r="J11871" t="inlineStr">
        <is>
          <t>Quản lý điều hành, Ngân hàng, Tài chính / Đầu tư</t>
        </is>
      </c>
      <c r="K11871" t="inlineStr">
        <is>
          <t>Trên 3 Năm</t>
        </is>
      </c>
      <c r="L11871" s="8">
        <f>HYPERLINK("https://careerviet.vn/vi/tim-viec-lam/truong-phong-khach-hang-ca-nhan.35C6B4FF.html","Xem chi tiết")</f>
        <v/>
      </c>
    </row>
    <row r="11872">
      <c r="B11872" s="9" t="n">
        <v>11870</v>
      </c>
      <c r="C11872" s="10" t="inlineStr">
        <is>
          <t>Overseas Sales Logistics (Chinese Speaking)</t>
        </is>
      </c>
      <c r="D11872" s="10" t="inlineStr">
        <is>
          <t>Công Ty TNHH Andashun Amazing Logistics</t>
        </is>
      </c>
      <c r="E11872" s="10" t="inlineStr">
        <is>
          <t>Lương:Cạnh tranh</t>
        </is>
      </c>
      <c r="F11872" s="10" t="inlineStr">
        <is>
          <t>Hồ Chí MinhHà Nội</t>
        </is>
      </c>
      <c r="G11872" s="10" t="inlineStr">
        <is>
          <t>01-05-2026</t>
        </is>
      </c>
      <c r="H11872" s="10" t="inlineStr">
        <is>
          <t>01/05/2026</t>
        </is>
      </c>
      <c r="I11872" s="10" t="inlineStr">
        <is>
          <t>17/03/2026</t>
        </is>
      </c>
      <c r="J11872" s="10" t="inlineStr">
        <is>
          <t>Bán hàng / Kinh doanh, Vận chuyển / Giao nhận / Kho vận, Xuất nhập khẩu</t>
        </is>
      </c>
      <c r="K11872" s="10" t="inlineStr">
        <is>
          <t>N/A</t>
        </is>
      </c>
      <c r="L11872" s="11">
        <f>HYPERLINK("https://careerviet.vn/vi/tim-viec-lam/overseas-sales-logistics-chinese-speaking.35C6B490.html","Xem chi tiết")</f>
        <v/>
      </c>
      <c r="M11872" s="10" t="n"/>
    </row>
    <row r="11873">
      <c r="B11873" s="7" t="n">
        <v>11871</v>
      </c>
      <c r="C11873" t="inlineStr">
        <is>
          <t>NHÂN VIÊN TRIỂN KHAI 2D</t>
        </is>
      </c>
      <c r="D11873" t="inlineStr">
        <is>
          <t>CÔNG TY CỔ PHẦN XÂY DỰNG VÀ ĐẦU TƯ GALAXY</t>
        </is>
      </c>
      <c r="E11873" t="inlineStr">
        <is>
          <t>Lương:12 Tr - 16 Tr VND</t>
        </is>
      </c>
      <c r="F11873" t="inlineStr">
        <is>
          <t>Hồ Chí Minh</t>
        </is>
      </c>
      <c r="G11873" t="inlineStr">
        <is>
          <t>31-03-2026</t>
        </is>
      </c>
      <c r="H11873" t="inlineStr">
        <is>
          <t>31/03/2026</t>
        </is>
      </c>
      <c r="I11873" t="inlineStr">
        <is>
          <t>17/03/2026</t>
        </is>
      </c>
      <c r="J11873" t="inlineStr">
        <is>
          <t>Xây dựng, Kiến trúc</t>
        </is>
      </c>
      <c r="K11873" t="inlineStr">
        <is>
          <t>3 - 6 Năm</t>
        </is>
      </c>
      <c r="L11873" s="8">
        <f>HYPERLINK("https://careerviet.vn/vi/tim-viec-lam/nhan-vien-trie-n-khai-2d.35C6B559.html","Xem chi tiết")</f>
        <v/>
      </c>
    </row>
    <row r="11874">
      <c r="B11874" s="9" t="n">
        <v>11872</v>
      </c>
      <c r="C11874" s="10" t="inlineStr">
        <is>
          <t>Logistics Sales Executive</t>
        </is>
      </c>
      <c r="D11874" s="10" t="inlineStr">
        <is>
          <t>CÔNG TY TNHH LINKTRANS LOGISTICS (VIỆT NAM)</t>
        </is>
      </c>
      <c r="E11874" s="10" t="inlineStr">
        <is>
          <t>Lương:10 Tr - 18 Tr VND</t>
        </is>
      </c>
      <c r="F11874" s="10" t="inlineStr">
        <is>
          <t>Hồ Chí Minh</t>
        </is>
      </c>
      <c r="G11874" s="10" t="inlineStr">
        <is>
          <t>06-04-2026</t>
        </is>
      </c>
      <c r="H11874" s="10" t="inlineStr">
        <is>
          <t>06/04/2026</t>
        </is>
      </c>
      <c r="I11874" s="10" t="inlineStr">
        <is>
          <t>17/03/2026</t>
        </is>
      </c>
      <c r="J11874" s="10" t="inlineStr">
        <is>
          <t>Xuất nhập khẩu, Bán hàng / Kinh doanh, Bán lẻ / Bán sỉ</t>
        </is>
      </c>
      <c r="K11874" s="10" t="inlineStr">
        <is>
          <t>N/A</t>
        </is>
      </c>
      <c r="L11874" s="11">
        <f>HYPERLINK("https://careerviet.vn/vi/tim-viec-lam/logistics-sales-executive.35C6B4DC.html","Xem chi tiết")</f>
        <v/>
      </c>
      <c r="M11874" s="10" t="n"/>
    </row>
    <row r="11875">
      <c r="B11875" s="7" t="n">
        <v>11873</v>
      </c>
      <c r="C11875" t="inlineStr">
        <is>
          <t>Process Junior/ Senior staff</t>
        </is>
      </c>
      <c r="D11875" t="inlineStr">
        <is>
          <t>CÔNG TY TNHH SEAH M&amp;S VIỆT NAM</t>
        </is>
      </c>
      <c r="E11875" t="inlineStr">
        <is>
          <t>Lương:Cạnh tranh</t>
        </is>
      </c>
      <c r="F11875" t="inlineStr">
        <is>
          <t>Bà Rịa - Vũng TàuHồ Chí Minh</t>
        </is>
      </c>
      <c r="G11875" t="inlineStr">
        <is>
          <t>04-04-2026</t>
        </is>
      </c>
      <c r="H11875" t="inlineStr">
        <is>
          <t>04/04/2026</t>
        </is>
      </c>
      <c r="I11875" t="inlineStr">
        <is>
          <t>17/03/2026</t>
        </is>
      </c>
      <c r="J11875" t="inlineStr">
        <is>
          <t>Sản xuất / Vận hành sản xuất, Hóa học</t>
        </is>
      </c>
      <c r="K11875" t="inlineStr">
        <is>
          <t>1 - 5 Năm</t>
        </is>
      </c>
      <c r="L11875" s="8">
        <f>HYPERLINK("https://careerviet.vn/vi/tim-viec-lam/process-junior-senior-staff.35C6B385.html","Xem chi tiết")</f>
        <v/>
      </c>
    </row>
    <row r="11876">
      <c r="B11876" s="9" t="n">
        <v>11874</v>
      </c>
      <c r="C11876" s="10" t="inlineStr">
        <is>
          <t>Kế toán tổng hợp</t>
        </is>
      </c>
      <c r="D11876" s="10" t="inlineStr">
        <is>
          <t>LacViet Computing Corporation</t>
        </is>
      </c>
      <c r="E11876" s="10" t="inlineStr">
        <is>
          <t>Lương:14 Tr - 16 Tr VND</t>
        </is>
      </c>
      <c r="F11876" s="10" t="inlineStr">
        <is>
          <t>Hồ Chí Minh</t>
        </is>
      </c>
      <c r="G11876" s="10" t="inlineStr">
        <is>
          <t>10-04-2026</t>
        </is>
      </c>
      <c r="H11876" s="10" t="inlineStr">
        <is>
          <t>10/04/2026</t>
        </is>
      </c>
      <c r="I11876" s="10" t="inlineStr">
        <is>
          <t>17/03/2026</t>
        </is>
      </c>
      <c r="J11876" s="10" t="inlineStr">
        <is>
          <t>Kế toán / Kiểm toán</t>
        </is>
      </c>
      <c r="K11876" s="10" t="inlineStr">
        <is>
          <t>2 - 3 Năm</t>
        </is>
      </c>
      <c r="L11876" s="11">
        <f>HYPERLINK("https://careerviet.vn/vi/tim-viec-lam/ke-toan-tong-hop.35C6B543.html","Xem chi tiết")</f>
        <v/>
      </c>
      <c r="M11876" s="10" t="n"/>
    </row>
    <row r="11877">
      <c r="B11877" s="7" t="n">
        <v>11875</v>
      </c>
      <c r="C11877" t="inlineStr">
        <is>
          <t>Nhân viên kinh doanh B2B</t>
        </is>
      </c>
      <c r="D11877" t="inlineStr">
        <is>
          <t>CÔNG TY TNHH WIR GROUP</t>
        </is>
      </c>
      <c r="E11877" t="inlineStr">
        <is>
          <t>Lương:9 Tr - 25 Tr VND</t>
        </is>
      </c>
      <c r="F11877" t="inlineStr">
        <is>
          <t>Hà NộiHồ Chí Minh</t>
        </is>
      </c>
      <c r="G11877" t="inlineStr">
        <is>
          <t>31-03-2026</t>
        </is>
      </c>
      <c r="H11877" t="inlineStr">
        <is>
          <t>31/03/2026</t>
        </is>
      </c>
      <c r="I11877" t="inlineStr">
        <is>
          <t>17/03/2026</t>
        </is>
      </c>
      <c r="J11877" t="inlineStr">
        <is>
          <t>Bán hàng / Kinh doanh, Dược phẩm/ Hóa Mỹ Phẩm, Y tế / Chăm sóc sức khỏe / Thẩm mỹ / Làm đẹp</t>
        </is>
      </c>
      <c r="K11877" t="inlineStr">
        <is>
          <t>2 - 3 Năm</t>
        </is>
      </c>
      <c r="L11877" s="8">
        <f>HYPERLINK("https://careerviet.vn/vi/tim-viec-lam/nhan-vien-kinh-doanh-b2b.35C6B538.html","Xem chi tiết")</f>
        <v/>
      </c>
    </row>
    <row r="11878">
      <c r="B11878" s="9" t="n">
        <v>11876</v>
      </c>
      <c r="C11878" s="10" t="inlineStr">
        <is>
          <t>GIÁM SÁT NỘI THẤT</t>
        </is>
      </c>
      <c r="D11878" s="10" t="inlineStr">
        <is>
          <t>CÔNG TY CỔ PHẦN XÂY DỰNG VÀ ĐẦU TƯ GALAXY</t>
        </is>
      </c>
      <c r="E11878" s="10" t="inlineStr">
        <is>
          <t>Lương:14 Tr - 18 Tr VND</t>
        </is>
      </c>
      <c r="F11878" s="10" t="inlineStr">
        <is>
          <t>Hồ Chí Minh</t>
        </is>
      </c>
      <c r="G11878" s="10" t="inlineStr">
        <is>
          <t>31-03-2026</t>
        </is>
      </c>
      <c r="H11878" s="10" t="inlineStr">
        <is>
          <t>31/03/2026</t>
        </is>
      </c>
      <c r="I11878" s="10" t="inlineStr">
        <is>
          <t>17/03/2026</t>
        </is>
      </c>
      <c r="J11878" s="10" t="inlineStr">
        <is>
          <t>Xây dựng</t>
        </is>
      </c>
      <c r="K11878" s="10" t="inlineStr">
        <is>
          <t>2 - 5 Năm</t>
        </is>
      </c>
      <c r="L11878" s="11">
        <f>HYPERLINK("https://careerviet.vn/vi/tim-viec-lam/gia-m-sa-t-no-i-tha-t.35C6B548.html","Xem chi tiết")</f>
        <v/>
      </c>
      <c r="M11878" s="10" t="n"/>
    </row>
    <row r="11879">
      <c r="B11879" s="7" t="n">
        <v>11877</v>
      </c>
      <c r="C11879" t="inlineStr">
        <is>
          <t>Customer Service Air Freight</t>
        </is>
      </c>
      <c r="D11879" t="inlineStr">
        <is>
          <t>Công Ty TNHH Andashun Amazing Logistics</t>
        </is>
      </c>
      <c r="E11879" t="inlineStr">
        <is>
          <t>Lương:Cạnh tranh</t>
        </is>
      </c>
      <c r="F11879" t="inlineStr">
        <is>
          <t>Hồ Chí Minh</t>
        </is>
      </c>
      <c r="G11879" t="inlineStr">
        <is>
          <t>01-05-2026</t>
        </is>
      </c>
      <c r="H11879" t="inlineStr">
        <is>
          <t>01/05/2026</t>
        </is>
      </c>
      <c r="I11879" t="inlineStr">
        <is>
          <t>17/03/2026</t>
        </is>
      </c>
      <c r="J11879" t="inlineStr">
        <is>
          <t>Dịch vụ khách hàng, Vận chuyển / Giao nhận / Kho vận, Xuất nhập khẩu</t>
        </is>
      </c>
      <c r="K11879" t="inlineStr">
        <is>
          <t>2 - 15 Năm</t>
        </is>
      </c>
      <c r="L11879" s="8">
        <f>HYPERLINK("https://careerviet.vn/vi/tim-viec-lam/customer-service-air-freight.35C6B493.html","Xem chi tiết")</f>
        <v/>
      </c>
    </row>
    <row r="11880">
      <c r="B11880" s="9" t="n">
        <v>11878</v>
      </c>
      <c r="C11880" s="10" t="inlineStr">
        <is>
          <t>Quản lý bộ phận Thương mại điện tử</t>
        </is>
      </c>
      <c r="D11880" s="10" t="inlineStr">
        <is>
          <t>Xuân Cầu Holdings</t>
        </is>
      </c>
      <c r="E11880" s="10" t="inlineStr">
        <is>
          <t>Lương:Cạnh tranh</t>
        </is>
      </c>
      <c r="F11880" s="10" t="inlineStr">
        <is>
          <t>Hà Nội</t>
        </is>
      </c>
      <c r="G11880" s="10" t="inlineStr">
        <is>
          <t>10-04-2026</t>
        </is>
      </c>
      <c r="H11880" s="10" t="inlineStr">
        <is>
          <t>10/04/2026</t>
        </is>
      </c>
      <c r="I11880" s="10" t="inlineStr">
        <is>
          <t>17/03/2026</t>
        </is>
      </c>
      <c r="J11880" s="10" t="inlineStr">
        <is>
          <t>Thương mại điện tử</t>
        </is>
      </c>
      <c r="K11880" s="10" t="inlineStr">
        <is>
          <t>N/A</t>
        </is>
      </c>
      <c r="L11880" s="11">
        <f>HYPERLINK("https://careerviet.vn/vi/tim-viec-lam/quan-ly-bo-phan-thuong-mai-dien-tu.35C6B27E.html","Xem chi tiết")</f>
        <v/>
      </c>
      <c r="M11880" s="10" t="n"/>
    </row>
    <row r="11881">
      <c r="B11881" s="7" t="n">
        <v>11879</v>
      </c>
      <c r="C11881" t="inlineStr">
        <is>
          <t>Bếp Trưởng (Công ty thành viên của SABECO)</t>
        </is>
      </c>
      <c r="D11881" t="inlineStr">
        <is>
          <t>SABECO - Saigon Beer-Alcohol-Beverage Corporation</t>
        </is>
      </c>
      <c r="E11881" t="inlineStr">
        <is>
          <t>Lương:Cạnh tranh</t>
        </is>
      </c>
      <c r="F11881" t="inlineStr">
        <is>
          <t>Hà Nam</t>
        </is>
      </c>
      <c r="G11881" t="inlineStr">
        <is>
          <t>06-04-2026</t>
        </is>
      </c>
      <c r="H11881" t="inlineStr">
        <is>
          <t>06/04/2026</t>
        </is>
      </c>
      <c r="I11881" t="inlineStr">
        <is>
          <t>17/03/2026</t>
        </is>
      </c>
      <c r="J11881" t="inlineStr">
        <is>
          <t>Nhà hàng / Khách sạn</t>
        </is>
      </c>
      <c r="K11881" t="inlineStr">
        <is>
          <t>Trên 1 Năm</t>
        </is>
      </c>
      <c r="L11881" s="8">
        <f>HYPERLINK("https://careerviet.vn/vi/tim-viec-lam/bep-truong-cong-ty-thanh-vien-cua-sabeco.35C6B4E4.html","Xem chi tiết")</f>
        <v/>
      </c>
    </row>
    <row r="11882">
      <c r="B11882" s="9" t="n">
        <v>11880</v>
      </c>
      <c r="C11882" s="10" t="inlineStr">
        <is>
          <t>Trưởng nhóm Product Marketing ( Product Marketing Leader)</t>
        </is>
      </c>
      <c r="D11882" s="10" t="inlineStr">
        <is>
          <t>Tập Đoàn Karofi Holding</t>
        </is>
      </c>
      <c r="E11882" s="10" t="inlineStr">
        <is>
          <t>Lương:Cạnh tranh</t>
        </is>
      </c>
      <c r="F11882" s="10" t="inlineStr">
        <is>
          <t>Hà Nội</t>
        </is>
      </c>
      <c r="G11882" s="10" t="inlineStr">
        <is>
          <t>29-04-2026</t>
        </is>
      </c>
      <c r="H11882" s="10" t="inlineStr">
        <is>
          <t>29/04/2026</t>
        </is>
      </c>
      <c r="I11882" s="10" t="inlineStr">
        <is>
          <t>17/03/2026</t>
        </is>
      </c>
      <c r="J11882" s="10" t="inlineStr">
        <is>
          <t>Sản xuất / Vận hành sản xuất, Điện / Điện tử / Điện lạnh / Điện công nghiệp</t>
        </is>
      </c>
      <c r="K11882" s="10" t="inlineStr">
        <is>
          <t>3 - 5 Năm</t>
        </is>
      </c>
      <c r="L11882" s="11">
        <f>HYPERLINK("https://careerviet.vn/vi/tim-viec-lam/truong-nhom-product-marketing-product-marketing-leader.35C6B52D.html","Xem chi tiết")</f>
        <v/>
      </c>
      <c r="M11882" s="10" t="n"/>
    </row>
    <row r="11883">
      <c r="B11883" s="7" t="n">
        <v>11881</v>
      </c>
      <c r="C11883" t="inlineStr">
        <is>
          <t>Thư ký Văn phòng HĐQT</t>
        </is>
      </c>
      <c r="D11883" t="inlineStr">
        <is>
          <t>Công Ty Cổ Phần Tập Đoàn Sunshine</t>
        </is>
      </c>
      <c r="E11883" t="inlineStr">
        <is>
          <t>Lương:20 Tr - 30 Tr VND</t>
        </is>
      </c>
      <c r="F11883" t="inlineStr">
        <is>
          <t>Hồ Chí Minh</t>
        </is>
      </c>
      <c r="G11883" t="inlineStr">
        <is>
          <t>06-04-2026</t>
        </is>
      </c>
      <c r="H11883" t="inlineStr">
        <is>
          <t>06/04/2026</t>
        </is>
      </c>
      <c r="I11883" t="inlineStr">
        <is>
          <t>17/03/2026</t>
        </is>
      </c>
      <c r="J11883" t="inlineStr">
        <is>
          <t>Hành chính / Thư ký</t>
        </is>
      </c>
      <c r="K11883" t="inlineStr">
        <is>
          <t>Trên 1 Năm</t>
        </is>
      </c>
      <c r="L11883" s="8">
        <f>HYPERLINK("https://careerviet.vn/vi/tim-viec-lam/thu-ky-van-phong-hdqt.35C6B45C.html","Xem chi tiết")</f>
        <v/>
      </c>
    </row>
    <row r="11884">
      <c r="B11884" s="9" t="n">
        <v>11882</v>
      </c>
      <c r="C11884" s="10" t="inlineStr">
        <is>
          <t>NHÂN VIÊN BUỒNG PHÒNG (CÔNG TY THÀNH VIÊN CỦA SABECO)</t>
        </is>
      </c>
      <c r="D11884" s="10" t="inlineStr">
        <is>
          <t>SABECO - Saigon Beer-Alcohol-Beverage Corporation</t>
        </is>
      </c>
      <c r="E11884" s="10" t="inlineStr">
        <is>
          <t>Lương:Cạnh tranh</t>
        </is>
      </c>
      <c r="F11884" s="10" t="inlineStr">
        <is>
          <t>Hà Nam</t>
        </is>
      </c>
      <c r="G11884" s="10" t="inlineStr">
        <is>
          <t>06-04-2026</t>
        </is>
      </c>
      <c r="H11884" s="10" t="inlineStr">
        <is>
          <t>06/04/2026</t>
        </is>
      </c>
      <c r="I11884" s="10" t="inlineStr">
        <is>
          <t>17/03/2026</t>
        </is>
      </c>
      <c r="J11884" s="10" t="inlineStr">
        <is>
          <t>Nhà hàng / Khách sạn</t>
        </is>
      </c>
      <c r="K11884" s="10" t="inlineStr">
        <is>
          <t>Trên 1 Năm</t>
        </is>
      </c>
      <c r="L11884" s="11">
        <f>HYPERLINK("https://careerviet.vn/vi/tim-viec-lam/nhan-vien-buong-phong-cong-ty-thanh-vien-cua-sabeco.35C6B539.html","Xem chi tiết")</f>
        <v/>
      </c>
      <c r="M11884" s="10" t="n"/>
    </row>
    <row r="11885">
      <c r="B11885" s="7" t="n">
        <v>11883</v>
      </c>
      <c r="C11885" t="inlineStr">
        <is>
          <t>Chuyên viên Kinh doanh - Tiếng Trung</t>
        </is>
      </c>
      <c r="D11885" t="inlineStr">
        <is>
          <t>CÔNG TY TNHH COTG FOOD TECH VIỆT NAM</t>
        </is>
      </c>
      <c r="E11885" t="inlineStr">
        <is>
          <t>Lương:12 Tr - 25 Tr VND</t>
        </is>
      </c>
      <c r="F11885" t="inlineStr">
        <is>
          <t>Hồ Chí Minh</t>
        </is>
      </c>
      <c r="G11885" t="inlineStr">
        <is>
          <t>05-04-2026</t>
        </is>
      </c>
      <c r="H11885" t="inlineStr">
        <is>
          <t>05/04/2026</t>
        </is>
      </c>
      <c r="I11885" t="inlineStr">
        <is>
          <t>17/03/2026</t>
        </is>
      </c>
      <c r="J11885" t="inlineStr">
        <is>
          <t>Bán hàng / Kinh doanh, Thực phẩm &amp; Đồ uống, Biên phiên dịch</t>
        </is>
      </c>
      <c r="K11885" t="inlineStr">
        <is>
          <t>2 - 5 Năm</t>
        </is>
      </c>
      <c r="L11885" s="8">
        <f>HYPERLINK("https://careerviet.vn/vi/tim-viec-lam/chuyen-vien-kinh-doanh-tieng-trung.35C6B4E1.html","Xem chi tiết")</f>
        <v/>
      </c>
    </row>
    <row r="11886">
      <c r="B11886" s="9" t="n">
        <v>11884</v>
      </c>
      <c r="C11886" s="10" t="inlineStr">
        <is>
          <t>Phiên dịch tiếng Trung (Xây dựng)</t>
        </is>
      </c>
      <c r="D11886" s="10" t="inlineStr">
        <is>
          <t>Công Ty Cổ Phần Thiết Kế Và Xây Dựng Giza Việt Nam</t>
        </is>
      </c>
      <c r="E11886" s="10" t="inlineStr">
        <is>
          <t>Lương:15 Tr - 20 Tr VND</t>
        </is>
      </c>
      <c r="F11886" s="10" t="inlineStr">
        <is>
          <t>Quảng NinhBắc Ninh</t>
        </is>
      </c>
      <c r="G11886" s="10" t="inlineStr">
        <is>
          <t>06-04-2026</t>
        </is>
      </c>
      <c r="H11886" s="10" t="inlineStr">
        <is>
          <t>06/04/2026</t>
        </is>
      </c>
      <c r="I11886" s="10" t="inlineStr">
        <is>
          <t>17/03/2026</t>
        </is>
      </c>
      <c r="J11886" s="10" t="inlineStr">
        <is>
          <t>Biên phiên dịch</t>
        </is>
      </c>
      <c r="K11886" s="10" t="inlineStr">
        <is>
          <t>1 - 2 Năm</t>
        </is>
      </c>
      <c r="L11886" s="11">
        <f>HYPERLINK("https://careerviet.vn/vi/tim-viec-lam/phien-dich-tieng-trung-xay-dung.35C6B4B7.html","Xem chi tiết")</f>
        <v/>
      </c>
      <c r="M11886" s="10" t="n"/>
    </row>
    <row r="11887">
      <c r="B11887" s="7" t="n">
        <v>11885</v>
      </c>
      <c r="C11887" t="inlineStr">
        <is>
          <t>Chuyên viên Kế toán Tổng hợp</t>
        </is>
      </c>
      <c r="D11887" t="inlineStr">
        <is>
          <t>Tập Đoàn Tân Á Đại Thành</t>
        </is>
      </c>
      <c r="E11887" t="inlineStr">
        <is>
          <t>Lương:12,5 Tr - 14 Tr VND</t>
        </is>
      </c>
      <c r="F11887" t="inlineStr">
        <is>
          <t>Hà Nam</t>
        </is>
      </c>
      <c r="G11887" t="inlineStr">
        <is>
          <t>30-03-2026</t>
        </is>
      </c>
      <c r="H11887" t="inlineStr">
        <is>
          <t>30/03/2026</t>
        </is>
      </c>
      <c r="I11887" t="inlineStr">
        <is>
          <t>17/03/2026</t>
        </is>
      </c>
      <c r="J11887" t="inlineStr">
        <is>
          <t>Kế toán / Kiểm toán</t>
        </is>
      </c>
      <c r="K11887" t="inlineStr">
        <is>
          <t>1 - 2 Năm</t>
        </is>
      </c>
      <c r="L11887" s="8">
        <f>HYPERLINK("https://careerviet.vn/vi/tim-viec-lam/chuyen-vien-ke-toan-tong-hop.35C6B4F4.html","Xem chi tiết")</f>
        <v/>
      </c>
    </row>
    <row r="11888">
      <c r="B11888" s="9" t="n">
        <v>11886</v>
      </c>
      <c r="C11888" s="10" t="inlineStr">
        <is>
          <t>Chuyên Viên Mua Hàng Sourcing Quốc tế/ Nội địa (Tiếng Anh, Tiếng Trung)</t>
        </is>
      </c>
      <c r="D11888" s="10" t="inlineStr">
        <is>
          <t>Tập Đoàn Karofi Holding</t>
        </is>
      </c>
      <c r="E11888" s="10" t="inlineStr">
        <is>
          <t>Lương:15 Tr - 20 Tr VND</t>
        </is>
      </c>
      <c r="F11888" s="10" t="inlineStr">
        <is>
          <t>Hà Nội</t>
        </is>
      </c>
      <c r="G11888" s="10" t="inlineStr">
        <is>
          <t>29-04-2026</t>
        </is>
      </c>
      <c r="H11888" s="10" t="inlineStr">
        <is>
          <t>29/04/2026</t>
        </is>
      </c>
      <c r="I11888" s="10" t="inlineStr">
        <is>
          <t>17/03/2026</t>
        </is>
      </c>
      <c r="J11888" s="10" t="inlineStr">
        <is>
          <t>Xuất nhập khẩu, Vận chuyển / Giao nhận / Kho vận, Biên phiên dịch</t>
        </is>
      </c>
      <c r="K11888" s="10" t="inlineStr">
        <is>
          <t>5 - 7 Năm</t>
        </is>
      </c>
      <c r="L11888" s="11">
        <f>HYPERLINK("https://careerviet.vn/vi/tim-viec-lam/chuyen-vien-mua-hang-sourcing-quoc-te-noi-dia-tieng-anh-tieng-trung.35C6B512.html","Xem chi tiết")</f>
        <v/>
      </c>
      <c r="M11888" s="10" t="n"/>
    </row>
    <row r="11889">
      <c r="B11889" s="7" t="n">
        <v>11887</v>
      </c>
      <c r="C11889" t="inlineStr">
        <is>
          <t>HCM - TRƯỞNG NHÓM QUẢN LÝ HÀNG HÓA - UP 35M NET</t>
        </is>
      </c>
      <c r="D11889" t="inlineStr">
        <is>
          <t>THỜI TRANG LINING_CÔNG TY TNHH QUỐC TẾ HẢI LONG</t>
        </is>
      </c>
      <c r="E11889" t="inlineStr">
        <is>
          <t>Lương:30 Tr - 35 Tr VND</t>
        </is>
      </c>
      <c r="F11889" t="inlineStr">
        <is>
          <t>Hồ Chí Minh</t>
        </is>
      </c>
      <c r="G11889" t="inlineStr">
        <is>
          <t>10-04-2026</t>
        </is>
      </c>
      <c r="H11889" t="inlineStr">
        <is>
          <t>10/04/2026</t>
        </is>
      </c>
      <c r="I11889" t="inlineStr">
        <is>
          <t>17/03/2026</t>
        </is>
      </c>
      <c r="J11889" t="inlineStr">
        <is>
          <t>Bán lẻ / Bán sỉ, Bán hàng / Kinh doanh, Dệt may / Da giày / Thời trang</t>
        </is>
      </c>
      <c r="K11889" t="inlineStr">
        <is>
          <t>5 - 10 Năm</t>
        </is>
      </c>
      <c r="L11889" s="8">
        <f>HYPERLINK("https://careerviet.vn/vi/tim-viec-lam/hcm-truong-nhom-quan-ly-hang-hoa-up-35m-net.35C6B4BD.html","Xem chi tiết")</f>
        <v/>
      </c>
    </row>
    <row r="11890">
      <c r="B11890" s="9" t="n">
        <v>11888</v>
      </c>
      <c r="C11890" s="10" t="inlineStr">
        <is>
          <t>NHÂN VIÊN KINH DOANH / CHĂM SÓC KHÁCH HÀNG</t>
        </is>
      </c>
      <c r="D11890" s="10" t="inlineStr">
        <is>
          <t>Công ty cổ phần thương mại kỹ thuật An Việt</t>
        </is>
      </c>
      <c r="E11890" s="10" t="inlineStr">
        <is>
          <t>Lương:15 Tr - 20 Tr VND</t>
        </is>
      </c>
      <c r="F11890" s="10" t="inlineStr">
        <is>
          <t>Hà Nội</t>
        </is>
      </c>
      <c r="G11890" s="10" t="inlineStr">
        <is>
          <t>31-03-2026</t>
        </is>
      </c>
      <c r="H11890" s="10" t="inlineStr">
        <is>
          <t>31/03/2026</t>
        </is>
      </c>
      <c r="I11890" s="10" t="inlineStr">
        <is>
          <t>17/03/2026</t>
        </is>
      </c>
      <c r="J11890" s="10" t="inlineStr">
        <is>
          <t>Bán hàng / Kinh doanh, Tiếp thị / Marketing, Dịch vụ khách hàng</t>
        </is>
      </c>
      <c r="K11890" s="10" t="inlineStr">
        <is>
          <t>3 - 5 Năm</t>
        </is>
      </c>
      <c r="L11890" s="11">
        <f>HYPERLINK("https://careerviet.vn/vi/tim-viec-lam/nhan-vien-kinh-doanh-cham-soc-khach-hang.35C6B4F6.html","Xem chi tiết")</f>
        <v/>
      </c>
      <c r="M11890" s="10" t="n"/>
    </row>
    <row r="11891">
      <c r="B11891" s="7" t="n">
        <v>11889</v>
      </c>
      <c r="C11891" t="inlineStr">
        <is>
          <t>Chuyên viên Media (Quay – Dựng phim)</t>
        </is>
      </c>
      <c r="D11891" t="inlineStr">
        <is>
          <t>Công Ty Cổ Phần Địa Ốc Phú Long</t>
        </is>
      </c>
      <c r="E11891" t="inlineStr">
        <is>
          <t>Lương:Cạnh tranh</t>
        </is>
      </c>
      <c r="F11891" t="inlineStr">
        <is>
          <t>Hồ Chí Minh</t>
        </is>
      </c>
      <c r="G11891" t="inlineStr">
        <is>
          <t>03-04-2026</t>
        </is>
      </c>
      <c r="H11891" t="inlineStr">
        <is>
          <t>03/04/2026</t>
        </is>
      </c>
      <c r="I11891" t="inlineStr">
        <is>
          <t>17/03/2026</t>
        </is>
      </c>
      <c r="J11891" t="inlineStr">
        <is>
          <t>Truyền hình / Báo chí / Biên tập, Quảng cáo / Đối ngoại / Truyền Thông, Mỹ thuật / Nghệ thuật / Thiết kế</t>
        </is>
      </c>
      <c r="K11891" t="inlineStr">
        <is>
          <t>2 - 10 Năm</t>
        </is>
      </c>
      <c r="L11891" s="8">
        <f>HYPERLINK("https://careerviet.vn/vi/tim-viec-lam/chuyen-vien-media-quay-dung-phim.35C6B51E.html","Xem chi tiết")</f>
        <v/>
      </c>
    </row>
    <row r="11892">
      <c r="B11892" s="9" t="n">
        <v>11890</v>
      </c>
      <c r="C11892" s="10" t="inlineStr">
        <is>
          <t>NHÂN VIÊN HÀNH CHÍNH NHÂN SỰ TUYỂN DỤNG - GẤP</t>
        </is>
      </c>
      <c r="D11892" s="10" t="inlineStr">
        <is>
          <t>Công Ty TNHH Thương Mại Dịch Vụ Trần Toàn Phát</t>
        </is>
      </c>
      <c r="E11892" s="10" t="inlineStr">
        <is>
          <t>Lương:10 Tr - 14 Tr VND</t>
        </is>
      </c>
      <c r="F11892" s="10" t="inlineStr">
        <is>
          <t>Hồ Chí Minh</t>
        </is>
      </c>
      <c r="G11892" s="10" t="inlineStr">
        <is>
          <t>04-04-2026</t>
        </is>
      </c>
      <c r="H11892" s="10" t="inlineStr">
        <is>
          <t>04/04/2026</t>
        </is>
      </c>
      <c r="I11892" s="10" t="inlineStr">
        <is>
          <t>17/03/2026</t>
        </is>
      </c>
      <c r="J11892" s="10" t="inlineStr">
        <is>
          <t>Hành chính / Thư ký</t>
        </is>
      </c>
      <c r="K11892" s="10" t="inlineStr">
        <is>
          <t>2 - 5 Năm</t>
        </is>
      </c>
      <c r="L11892" s="11">
        <f>HYPERLINK("https://careerviet.vn/vi/tim-viec-lam/nhan-vien-hanh-chinh-nhan-su-tuyen-dung-gap.35C6B496.html","Xem chi tiết")</f>
        <v/>
      </c>
      <c r="M11892" s="10" t="n"/>
    </row>
    <row r="11893">
      <c r="B11893" s="7" t="n">
        <v>11891</v>
      </c>
      <c r="C11893" t="inlineStr">
        <is>
          <t>Phó Giám Đốc Ban Tài Chính (Fund Raising)</t>
        </is>
      </c>
      <c r="D11893" t="inlineStr">
        <is>
          <t>Công ty Cổ phần Tập đoàn Meey Land</t>
        </is>
      </c>
      <c r="E11893" t="inlineStr">
        <is>
          <t>Lương:Cạnh tranh</t>
        </is>
      </c>
      <c r="F11893" t="inlineStr">
        <is>
          <t>Hà Nội</t>
        </is>
      </c>
      <c r="G11893" t="inlineStr">
        <is>
          <t>06-04-2026</t>
        </is>
      </c>
      <c r="H11893" t="inlineStr">
        <is>
          <t>06/04/2026</t>
        </is>
      </c>
      <c r="I11893" t="inlineStr">
        <is>
          <t>17/03/2026</t>
        </is>
      </c>
      <c r="J11893" t="inlineStr">
        <is>
          <t>Tài chính / Đầu tư, Chứng khoán, Ngân hàng</t>
        </is>
      </c>
      <c r="K11893" t="inlineStr">
        <is>
          <t>5 - 25 Năm</t>
        </is>
      </c>
      <c r="L11893" s="8">
        <f>HYPERLINK("https://careerviet.vn/vi/tim-viec-lam/pho-giam-doc-ban-tai-chinh-fund-raising.35C6B480.html","Xem chi tiết")</f>
        <v/>
      </c>
    </row>
    <row r="11894">
      <c r="B11894" s="9" t="n">
        <v>11892</v>
      </c>
      <c r="C11894" s="10" t="inlineStr">
        <is>
          <t>Nhân viên Sales Admin</t>
        </is>
      </c>
      <c r="D11894" s="10" t="inlineStr">
        <is>
          <t>Công Ty CP XNK Hóa Chất &amp; Thiết Bị Kim Ngưu</t>
        </is>
      </c>
      <c r="E11894" s="10" t="inlineStr">
        <is>
          <t>Lương:9 Tr - 12 Tr VND</t>
        </is>
      </c>
      <c r="F11894" s="10" t="inlineStr">
        <is>
          <t>Hồ Chí Minh</t>
        </is>
      </c>
      <c r="G11894" s="10" t="inlineStr">
        <is>
          <t>12-03-2026</t>
        </is>
      </c>
      <c r="H11894" s="10" t="inlineStr">
        <is>
          <t>05/03/2026</t>
        </is>
      </c>
      <c r="I11894" s="10" t="inlineStr">
        <is>
          <t>17/03/2026</t>
        </is>
      </c>
      <c r="J11894" s="10" t="inlineStr">
        <is>
          <t>Bán hàng / Kinh doanh, Hóa học</t>
        </is>
      </c>
      <c r="K11894" s="10" t="inlineStr">
        <is>
          <t>Trên 2 Năm</t>
        </is>
      </c>
      <c r="L11894" s="11">
        <f>HYPERLINK("https://careerviet.vn/vi/tim-viec-lam/nhan-vien-sales-admin.35C6B374.html","Xem chi tiết")</f>
        <v/>
      </c>
      <c r="M11894" s="10" t="n"/>
    </row>
    <row r="11895">
      <c r="B11895" s="7" t="n">
        <v>11893</v>
      </c>
      <c r="C11895" t="inlineStr">
        <is>
          <t>Chuyên viên IT - Phân tích nghiệp vụ</t>
        </is>
      </c>
      <c r="D11895" t="inlineStr">
        <is>
          <t>Công ty Cổ phần FECON</t>
        </is>
      </c>
      <c r="E11895" t="inlineStr">
        <is>
          <t>Lương:Cạnh tranh</t>
        </is>
      </c>
      <c r="F11895" t="inlineStr">
        <is>
          <t>Hà Nội</t>
        </is>
      </c>
      <c r="G11895" t="inlineStr">
        <is>
          <t>03-04-2026</t>
        </is>
      </c>
      <c r="H11895" t="inlineStr">
        <is>
          <t>03/04/2026</t>
        </is>
      </c>
      <c r="I11895" t="inlineStr">
        <is>
          <t>17/03/2026</t>
        </is>
      </c>
      <c r="J11895" t="inlineStr">
        <is>
          <t>Xây dựng</t>
        </is>
      </c>
      <c r="K11895" t="inlineStr">
        <is>
          <t>Trên 2 Năm</t>
        </is>
      </c>
      <c r="L11895" s="8">
        <f>HYPERLINK("https://careerviet.vn/vi/tim-viec-lam/chuyen-vien-it-phan-tich-nghiep-vu.35C6B4E3.html","Xem chi tiết")</f>
        <v/>
      </c>
    </row>
    <row r="11896">
      <c r="B11896" s="9" t="n">
        <v>11894</v>
      </c>
      <c r="C11896" s="10" t="inlineStr">
        <is>
          <t>Nhân Viên Mua Hàng Quốc Tế (Tiếng Trung Hoặc Tiếng Anh)</t>
        </is>
      </c>
      <c r="D11896" s="10" t="inlineStr">
        <is>
          <t>CÔNG TY CỔ PHẦN TẬP ĐOÀN HOA SEN</t>
        </is>
      </c>
      <c r="E11896" s="10" t="inlineStr">
        <is>
          <t>Lương:Cạnh tranh</t>
        </is>
      </c>
      <c r="F11896" s="10" t="inlineStr">
        <is>
          <t>Hồ Chí Minh</t>
        </is>
      </c>
      <c r="G11896" s="10" t="inlineStr">
        <is>
          <t>02-04-2026</t>
        </is>
      </c>
      <c r="H11896" s="10" t="inlineStr">
        <is>
          <t>02/04/2026</t>
        </is>
      </c>
      <c r="I11896" s="10" t="inlineStr">
        <is>
          <t>17/03/2026</t>
        </is>
      </c>
      <c r="J11896" s="10" t="inlineStr">
        <is>
          <t>Thu mua / Vật tư</t>
        </is>
      </c>
      <c r="K11896" s="10" t="inlineStr">
        <is>
          <t>N/A</t>
        </is>
      </c>
      <c r="L11896" s="11">
        <f>HYPERLINK("https://careerviet.vn/vi/tim-viec-lam/nhan-vien-mua-hang-quoc-te-tieng-trung-hoac-tieng-anh.35C6B2AD.html","Xem chi tiết")</f>
        <v/>
      </c>
      <c r="M11896" s="10" t="n"/>
    </row>
    <row r="11897">
      <c r="B11897" s="7" t="n">
        <v>11895</v>
      </c>
      <c r="C11897" t="inlineStr">
        <is>
          <t>HCM - Trưởng nhóm Kinh doanh trả góp ô tô</t>
        </is>
      </c>
      <c r="D11897" t="inlineStr">
        <is>
          <t>LOTTE FINANCE VIETNAM</t>
        </is>
      </c>
      <c r="E11897" t="inlineStr">
        <is>
          <t>Lương:Cạnh tranh</t>
        </is>
      </c>
      <c r="F11897" t="inlineStr">
        <is>
          <t>Hồ Chí Minh</t>
        </is>
      </c>
      <c r="G11897" t="inlineStr">
        <is>
          <t>09-04-2026</t>
        </is>
      </c>
      <c r="H11897" t="inlineStr">
        <is>
          <t>09/04/2026</t>
        </is>
      </c>
      <c r="I11897" t="inlineStr">
        <is>
          <t>17/03/2026</t>
        </is>
      </c>
      <c r="J11897" t="inlineStr">
        <is>
          <t>Ngân hàng, Bán hàng / Kinh doanh</t>
        </is>
      </c>
      <c r="K11897" t="inlineStr">
        <is>
          <t>Trên 2 Năm</t>
        </is>
      </c>
      <c r="L11897" s="8">
        <f>HYPERLINK("https://careerviet.vn/vi/tim-viec-lam/hcm-truong-nhom-kinh-doanh-tra-gop-o-to.35C6B4E2.html","Xem chi tiết")</f>
        <v/>
      </c>
    </row>
    <row r="11898">
      <c r="B11898" s="9" t="n">
        <v>11896</v>
      </c>
      <c r="C11898" s="10" t="inlineStr">
        <is>
          <t>CHUYÊN VIÊN MEDIA - HÀ NỘI</t>
        </is>
      </c>
      <c r="D11898" s="10" t="inlineStr">
        <is>
          <t>Hoàng Huy Group</t>
        </is>
      </c>
      <c r="E11898" s="10" t="inlineStr">
        <is>
          <t>Lương:15 Tr - 18 Tr VND</t>
        </is>
      </c>
      <c r="F11898" s="10" t="inlineStr">
        <is>
          <t>Hà Nội</t>
        </is>
      </c>
      <c r="G11898" s="10" t="inlineStr">
        <is>
          <t>31-03-2026</t>
        </is>
      </c>
      <c r="H11898" s="10" t="inlineStr">
        <is>
          <t>31/03/2026</t>
        </is>
      </c>
      <c r="I11898" s="10" t="inlineStr">
        <is>
          <t>17/03/2026</t>
        </is>
      </c>
      <c r="J11898" s="10" t="inlineStr">
        <is>
          <t>Tiếp thị / Marketing, Bán hàng / Kinh doanh, Tiếp thị trực tuyến</t>
        </is>
      </c>
      <c r="K11898" s="10" t="inlineStr">
        <is>
          <t>1 - 2 Năm</t>
        </is>
      </c>
      <c r="L11898" s="11">
        <f>HYPERLINK("https://careerviet.vn/vi/tim-viec-lam/chuyen-vien-media-ha-noi.35C6B4E8.html","Xem chi tiết")</f>
        <v/>
      </c>
      <c r="M11898" s="10" t="n"/>
    </row>
    <row r="11899">
      <c r="B11899" s="7" t="n">
        <v>11897</v>
      </c>
      <c r="C11899" t="inlineStr">
        <is>
          <t>Chuyên viên kế hoạch sản xuất</t>
        </is>
      </c>
      <c r="D11899" t="inlineStr">
        <is>
          <t>Công ty Cổ phần TKMB</t>
        </is>
      </c>
      <c r="E11899" t="inlineStr">
        <is>
          <t>Lương:Cạnh tranh</t>
        </is>
      </c>
      <c r="F11899" t="inlineStr">
        <is>
          <t>Long An</t>
        </is>
      </c>
      <c r="G11899" t="inlineStr">
        <is>
          <t>31-03-2026</t>
        </is>
      </c>
      <c r="H11899" t="inlineStr">
        <is>
          <t>31/03/2026</t>
        </is>
      </c>
      <c r="I11899" t="inlineStr">
        <is>
          <t>17/03/2026</t>
        </is>
      </c>
      <c r="J11899" t="inlineStr">
        <is>
          <t>Sản xuất / Vận hành sản xuất, Thu mua / Vật tư</t>
        </is>
      </c>
      <c r="K11899" t="inlineStr">
        <is>
          <t>1 - 2 Năm</t>
        </is>
      </c>
      <c r="L11899" s="8">
        <f>HYPERLINK("https://careerviet.vn/vi/tim-viec-lam/chuyen-vien-ke-hoach-san-xuat.35C6B4D6.html","Xem chi tiết")</f>
        <v/>
      </c>
    </row>
    <row r="11900">
      <c r="B11900" s="9" t="n">
        <v>11898</v>
      </c>
      <c r="C11900" s="10" t="inlineStr">
        <is>
          <t>Kỹ sư thiết kế Tự động hóa</t>
        </is>
      </c>
      <c r="D11900" s="10" t="inlineStr">
        <is>
          <t>CÔNG TY CỔ PHẦN TẬP ĐOÀN DAT</t>
        </is>
      </c>
      <c r="E11900" s="10" t="inlineStr">
        <is>
          <t>Lương:15 Tr - 18 Tr VND</t>
        </is>
      </c>
      <c r="F11900" s="10" t="inlineStr">
        <is>
          <t>Hồ Chí Minh</t>
        </is>
      </c>
      <c r="G11900" s="10" t="inlineStr">
        <is>
          <t>31-03-2026</t>
        </is>
      </c>
      <c r="H11900" s="10" t="inlineStr">
        <is>
          <t>31/03/2026</t>
        </is>
      </c>
      <c r="I11900" s="10" t="inlineStr">
        <is>
          <t>17/03/2026</t>
        </is>
      </c>
      <c r="J11900" s="10" t="inlineStr">
        <is>
          <t>Cơ khí / Ô tô / Tự động hóa, Điện / Điện tử / Điện lạnh / Điện công nghiệp</t>
        </is>
      </c>
      <c r="K11900" s="10" t="inlineStr">
        <is>
          <t>1 - 2 Năm</t>
        </is>
      </c>
      <c r="L11900" s="11">
        <f>HYPERLINK("https://careerviet.vn/vi/tim-viec-lam/ky-su-thiet-ke-tu-dong-hoa.35C6B3AD.html","Xem chi tiết")</f>
        <v/>
      </c>
      <c r="M11900" s="10" t="n"/>
    </row>
    <row r="11901">
      <c r="B11901" s="7" t="n">
        <v>11899</v>
      </c>
      <c r="C11901" t="inlineStr">
        <is>
          <t>NHÂN VIÊN QC GIÁM SÁT</t>
        </is>
      </c>
      <c r="D11901" t="inlineStr">
        <is>
          <t>Công ty cổ phần Nafoods Group</t>
        </is>
      </c>
      <c r="E11901" t="inlineStr">
        <is>
          <t>Lương:8 Tr - 14 Tr VND</t>
        </is>
      </c>
      <c r="F11901" t="inlineStr">
        <is>
          <t>Bình Thuận</t>
        </is>
      </c>
      <c r="G11901" t="inlineStr">
        <is>
          <t>31-03-2026</t>
        </is>
      </c>
      <c r="H11901" t="inlineStr">
        <is>
          <t>31/03/2026</t>
        </is>
      </c>
      <c r="I11901" t="inlineStr">
        <is>
          <t>17/03/2026</t>
        </is>
      </c>
      <c r="J11901" t="inlineStr">
        <is>
          <t>Sản xuất / Vận hành sản xuất</t>
        </is>
      </c>
      <c r="K11901" t="inlineStr">
        <is>
          <t>1 - 3 Năm</t>
        </is>
      </c>
      <c r="L11901" s="8">
        <f>HYPERLINK("https://careerviet.vn/vi/tim-viec-lam/nhan-vien-qc-giam-sat.35C6B50C.html","Xem chi tiết")</f>
        <v/>
      </c>
    </row>
    <row r="11902">
      <c r="B11902" s="9" t="n">
        <v>11900</v>
      </c>
      <c r="C11902" s="10" t="inlineStr">
        <is>
          <t>[Hồ Chí Minh} Nhân viên chứng từ kho</t>
        </is>
      </c>
      <c r="D11902" s="10" t="inlineStr">
        <is>
          <t>CÔNG TY TNHH DAESANG VIỆT NAM</t>
        </is>
      </c>
      <c r="E11902" s="10" t="inlineStr">
        <is>
          <t>Lương:10 Tr - 12 Tr VND</t>
        </is>
      </c>
      <c r="F11902" s="10" t="inlineStr">
        <is>
          <t>Hồ Chí Minh</t>
        </is>
      </c>
      <c r="G11902" s="10" t="inlineStr">
        <is>
          <t>06-04-2026</t>
        </is>
      </c>
      <c r="H11902" s="10" t="inlineStr">
        <is>
          <t>06/04/2026</t>
        </is>
      </c>
      <c r="I11902" s="10" t="inlineStr">
        <is>
          <t>17/03/2026</t>
        </is>
      </c>
      <c r="J11902" s="10" t="inlineStr">
        <is>
          <t>Hành chính / Thư ký, Thống kê, Vận chuyển / Giao nhận / Kho vận</t>
        </is>
      </c>
      <c r="K11902" s="10" t="inlineStr">
        <is>
          <t>1 - 2 Năm</t>
        </is>
      </c>
      <c r="L11902" s="11">
        <f>HYPERLINK("https://careerviet.vn/vi/tim-viec-lam/ho-chi-minh-nhan-vien-chung-tu-kho.35C6B4EA.html","Xem chi tiết")</f>
        <v/>
      </c>
      <c r="M11902" s="10" t="n"/>
    </row>
    <row r="11903">
      <c r="B11903" s="7" t="n">
        <v>11901</v>
      </c>
      <c r="C11903" t="inlineStr">
        <is>
          <t>Nhân viên chăm sóc sức khỏe heo (Bình Phước, Thanh Hóa, Sơn La)</t>
        </is>
      </c>
      <c r="D11903" t="inlineStr">
        <is>
          <t>CÔNG TY CỔ PHẦN THÁI VIỆT CORPORATION</t>
        </is>
      </c>
      <c r="E11903" t="inlineStr">
        <is>
          <t>Lương:13 Tr - 17 Tr VND</t>
        </is>
      </c>
      <c r="F11903" t="inlineStr">
        <is>
          <t>Sơn LaThanh HóaBình Phước</t>
        </is>
      </c>
      <c r="G11903" t="inlineStr">
        <is>
          <t>05-04-2026</t>
        </is>
      </c>
      <c r="H11903" t="inlineStr">
        <is>
          <t>05/04/2026</t>
        </is>
      </c>
      <c r="I11903" t="inlineStr">
        <is>
          <t>17/03/2026</t>
        </is>
      </c>
      <c r="J11903" t="inlineStr">
        <is>
          <t>Chăn nuôi / Thú y</t>
        </is>
      </c>
      <c r="K11903" t="inlineStr">
        <is>
          <t>1 - 5 Năm</t>
        </is>
      </c>
      <c r="L11903" s="8">
        <f>HYPERLINK("https://careerviet.vn/vi/tim-viec-lam/nhan-vien-cham-soc-suc-khoe-heo-binh-phuoc-thanh-hoa-son-la.35C6B3A7.html","Xem chi tiết")</f>
        <v/>
      </c>
    </row>
    <row r="11904">
      <c r="B11904" s="9" t="n">
        <v>11902</v>
      </c>
      <c r="C11904" s="10" t="inlineStr">
        <is>
          <t>Nhân Viên Hành Chính Nhân Sự</t>
        </is>
      </c>
      <c r="D11904" s="10" t="inlineStr">
        <is>
          <t>CÔNG TY CP SẢN XUẤT THƯƠNG MẠI GIẤY MÊ KÔNG</t>
        </is>
      </c>
      <c r="E11904" s="10" t="inlineStr">
        <is>
          <t>Lương:Cạnh tranh</t>
        </is>
      </c>
      <c r="F11904" s="10" t="inlineStr">
        <is>
          <t>Hồ Chí Minh</t>
        </is>
      </c>
      <c r="G11904" s="10" t="inlineStr">
        <is>
          <t>06-04-2026</t>
        </is>
      </c>
      <c r="H11904" s="10" t="inlineStr">
        <is>
          <t>06/04/2026</t>
        </is>
      </c>
      <c r="I11904" s="10" t="inlineStr">
        <is>
          <t>17/03/2026</t>
        </is>
      </c>
      <c r="J11904" s="10" t="inlineStr">
        <is>
          <t>Hành chính / Thư ký, Nhân sự</t>
        </is>
      </c>
      <c r="K11904" s="10" t="inlineStr">
        <is>
          <t>3 - 5 Năm</t>
        </is>
      </c>
      <c r="L11904" s="11">
        <f>HYPERLINK("https://careerviet.vn/vi/tim-viec-lam/nhan-vien-hanh-chinh-nhan-su.35C6B4AD.html","Xem chi tiết")</f>
        <v/>
      </c>
      <c r="M11904" s="10" t="n"/>
    </row>
    <row r="11905">
      <c r="B11905" s="7" t="n">
        <v>11903</v>
      </c>
      <c r="C11905" t="inlineStr">
        <is>
          <t>Chuyên viên kế hoạch đầu tư</t>
        </is>
      </c>
      <c r="D11905" t="inlineStr">
        <is>
          <t>Công Ty Cổ Phần Tập Đoàn TH</t>
        </is>
      </c>
      <c r="E11905" t="inlineStr">
        <is>
          <t>Lương:20 Tr - 22 Tr VND</t>
        </is>
      </c>
      <c r="F11905" t="inlineStr">
        <is>
          <t>Hà Nội</t>
        </is>
      </c>
      <c r="G11905" t="inlineStr">
        <is>
          <t>30-04-2026</t>
        </is>
      </c>
      <c r="H11905" t="inlineStr">
        <is>
          <t>30/04/2026</t>
        </is>
      </c>
      <c r="I11905" t="inlineStr">
        <is>
          <t>17/03/2026</t>
        </is>
      </c>
      <c r="J11905" t="inlineStr">
        <is>
          <t>Xây dựng</t>
        </is>
      </c>
      <c r="K11905" t="inlineStr">
        <is>
          <t>2 - 3 Năm</t>
        </is>
      </c>
      <c r="L11905" s="8">
        <f>HYPERLINK("https://careerviet.vn/vi/tim-viec-lam/chuyen-vien-ke-hoach-dau-tu.35C6B2FB.html","Xem chi tiết")</f>
        <v/>
      </c>
    </row>
    <row r="11906">
      <c r="B11906" s="9" t="n">
        <v>11904</v>
      </c>
      <c r="C11906" s="10" t="inlineStr">
        <is>
          <t>Chuyên viên Quản trị rủi ro tài chính</t>
        </is>
      </c>
      <c r="D11906" s="10" t="inlineStr">
        <is>
          <t>Công ty TNHH Chứng khoán Ngân hàng TMCP Ngoại thương Việt Nam (VCBS - Vietcombank Securities)</t>
        </is>
      </c>
      <c r="E11906" s="10" t="inlineStr">
        <is>
          <t>Lương:Cạnh tranh</t>
        </is>
      </c>
      <c r="F11906" s="10" t="inlineStr">
        <is>
          <t>Hà Nội</t>
        </is>
      </c>
      <c r="G11906" s="10" t="inlineStr">
        <is>
          <t>09-04-2026</t>
        </is>
      </c>
      <c r="H11906" s="10" t="inlineStr">
        <is>
          <t>09/04/2026</t>
        </is>
      </c>
      <c r="I11906" s="10" t="inlineStr">
        <is>
          <t>17/03/2026</t>
        </is>
      </c>
      <c r="J11906" s="10" t="inlineStr">
        <is>
          <t>Chứng khoán</t>
        </is>
      </c>
      <c r="K11906" s="10" t="inlineStr">
        <is>
          <t>Trên 3 Năm</t>
        </is>
      </c>
      <c r="L11906" s="11">
        <f>HYPERLINK("https://careerviet.vn/vi/tim-viec-lam/chuyen-vien-quan-tri-rui-ro-tai-chinh.35C6B3CE.html","Xem chi tiết")</f>
        <v/>
      </c>
      <c r="M11906" s="10" t="n"/>
    </row>
    <row r="11907">
      <c r="B11907" s="7" t="n">
        <v>11905</v>
      </c>
      <c r="C11907" t="inlineStr">
        <is>
          <t>Chuyên viên Kinh doanh qua điện thoại Sản phẩm vay tín chấp - Hà Nội</t>
        </is>
      </c>
      <c r="D11907" t="inlineStr">
        <is>
          <t>Ngân Hàng TMCP Quốc Tế Việt Nam</t>
        </is>
      </c>
      <c r="E11907" t="inlineStr">
        <is>
          <t>Lương:10 Tr - 15 Tr VND</t>
        </is>
      </c>
      <c r="F11907" t="inlineStr">
        <is>
          <t>Hà Nội</t>
        </is>
      </c>
      <c r="G11907" t="inlineStr">
        <is>
          <t>05-04-2026</t>
        </is>
      </c>
      <c r="H11907" t="inlineStr">
        <is>
          <t>05/04/2026</t>
        </is>
      </c>
      <c r="I11907" t="inlineStr">
        <is>
          <t>17/03/2026</t>
        </is>
      </c>
      <c r="J11907" t="inlineStr">
        <is>
          <t>Tiếp thị trực tuyến, Tư vấn, Dịch vụ khách hàng</t>
        </is>
      </c>
      <c r="K11907" t="inlineStr">
        <is>
          <t>Trên 1 Năm</t>
        </is>
      </c>
      <c r="L11907" s="8">
        <f>HYPERLINK("https://careerviet.vn/vi/tim-viec-lam/chuyen-vien-kinh-doanh-qua-dien-thoai-san-pham-vay-tin-chap-ha-noi.35C6B30B.html","Xem chi tiết")</f>
        <v/>
      </c>
    </row>
    <row r="11908">
      <c r="B11908" s="9" t="n">
        <v>11906</v>
      </c>
      <c r="C11908" s="10" t="inlineStr">
        <is>
          <t>Trình Dược Viên ETC</t>
        </is>
      </c>
      <c r="D11908" s="10" t="inlineStr">
        <is>
          <t>CÔNG TY TNHH WIR GROUP</t>
        </is>
      </c>
      <c r="E11908" s="10" t="inlineStr">
        <is>
          <t>Lương:9 Tr - 30 Tr VND</t>
        </is>
      </c>
      <c r="F11908" s="10" t="inlineStr">
        <is>
          <t>Hà NộiHồ Chí Minh</t>
        </is>
      </c>
      <c r="G11908" s="10" t="inlineStr">
        <is>
          <t>31-03-2026</t>
        </is>
      </c>
      <c r="H11908" s="10" t="inlineStr">
        <is>
          <t>31/03/2026</t>
        </is>
      </c>
      <c r="I11908" s="10" t="inlineStr">
        <is>
          <t>17/03/2026</t>
        </is>
      </c>
      <c r="J11908" s="10" t="inlineStr">
        <is>
          <t>Bán hàng / Kinh doanh, Dược phẩm/ Hóa Mỹ Phẩm, Bán lẻ / Bán sỉ</t>
        </is>
      </c>
      <c r="K11908" s="10" t="inlineStr">
        <is>
          <t>2 - 3 Năm</t>
        </is>
      </c>
      <c r="L11908" s="11">
        <f>HYPERLINK("https://careerviet.vn/vi/tim-viec-lam/trinh-duoc-vien-etc.35C6B3C5.html","Xem chi tiết")</f>
        <v/>
      </c>
      <c r="M11908" s="10" t="n"/>
    </row>
    <row r="11909">
      <c r="B11909" s="7" t="n">
        <v>11907</v>
      </c>
      <c r="C11909" t="inlineStr">
        <is>
          <t>Chuyên viên kế toán công nợ</t>
        </is>
      </c>
      <c r="D11909" t="inlineStr">
        <is>
          <t>Tập Đoàn Karofi Holding</t>
        </is>
      </c>
      <c r="E11909" t="inlineStr">
        <is>
          <t>Lương:14 Tr - 15 Tr VND</t>
        </is>
      </c>
      <c r="F11909" t="inlineStr">
        <is>
          <t>Hà Nội</t>
        </is>
      </c>
      <c r="G11909" t="inlineStr">
        <is>
          <t>30-03-2026</t>
        </is>
      </c>
      <c r="H11909" t="inlineStr">
        <is>
          <t>30/03/2026</t>
        </is>
      </c>
      <c r="I11909" t="inlineStr">
        <is>
          <t>17/03/2026</t>
        </is>
      </c>
      <c r="J11909" t="inlineStr">
        <is>
          <t>Kế toán / Kiểm toán</t>
        </is>
      </c>
      <c r="K11909" t="inlineStr">
        <is>
          <t>Trên 2 Năm</t>
        </is>
      </c>
      <c r="L11909" s="8">
        <f>HYPERLINK("https://careerviet.vn/vi/tim-viec-lam/chuyen-vien-ke-toan-cong-no.35C6B2A8.html","Xem chi tiết")</f>
        <v/>
      </c>
    </row>
    <row r="11910">
      <c r="B11910" s="9" t="n">
        <v>11908</v>
      </c>
      <c r="C11910" s="10" t="inlineStr">
        <is>
          <t>Trợ giảng mầm non Thời vụ (Tân Phú)</t>
        </is>
      </c>
      <c r="D11910" s="10" t="inlineStr">
        <is>
          <t>TRƯỜNG QUỐC TẾ BLUE RIDGE / BLUE RIDGE INTERNATIONAL SCHOOL (BRIS)</t>
        </is>
      </c>
      <c r="E11910" s="10" t="inlineStr">
        <is>
          <t>Lương:6 Tr - 7 Tr VND</t>
        </is>
      </c>
      <c r="F11910" s="10" t="inlineStr">
        <is>
          <t>Hồ Chí Minh</t>
        </is>
      </c>
      <c r="G11910" s="10" t="inlineStr">
        <is>
          <t>31-03-2026</t>
        </is>
      </c>
      <c r="H11910" s="10" t="inlineStr">
        <is>
          <t>31/03/2026</t>
        </is>
      </c>
      <c r="I11910" s="10" t="inlineStr">
        <is>
          <t>17/03/2026</t>
        </is>
      </c>
      <c r="J11910" s="10" t="inlineStr">
        <is>
          <t>Giáo dục / Đào tạo</t>
        </is>
      </c>
      <c r="K11910" s="10" t="inlineStr">
        <is>
          <t>N/A</t>
        </is>
      </c>
      <c r="L11910" s="11">
        <f>HYPERLINK("https://careerviet.vn/vi/tim-viec-lam/tro-giang-mam-non-thoi-vu-tan-phu.35C6B34F.html","Xem chi tiết")</f>
        <v/>
      </c>
      <c r="M11910" s="10" t="n"/>
    </row>
    <row r="11911">
      <c r="B11911" s="7" t="n">
        <v>11909</v>
      </c>
      <c r="C11911" t="inlineStr">
        <is>
          <t>Trưởng phòng kế toán/ Kế toán trưởng</t>
        </is>
      </c>
      <c r="D11911" t="inlineStr">
        <is>
          <t>Công ty CP Công nghệ giáo dục Trường học trực tuyến (ONSCHOOL)</t>
        </is>
      </c>
      <c r="E11911" t="inlineStr">
        <is>
          <t>Lương:25 Tr - 32 Tr VND</t>
        </is>
      </c>
      <c r="F11911" t="inlineStr">
        <is>
          <t>Hà Nội</t>
        </is>
      </c>
      <c r="G11911" t="inlineStr">
        <is>
          <t>31-03-2026</t>
        </is>
      </c>
      <c r="H11911" t="inlineStr">
        <is>
          <t>31/03/2026</t>
        </is>
      </c>
      <c r="I11911" t="inlineStr">
        <is>
          <t>17/03/2026</t>
        </is>
      </c>
      <c r="J11911" t="inlineStr">
        <is>
          <t>Kế toán / Kiểm toán</t>
        </is>
      </c>
      <c r="K11911" t="inlineStr">
        <is>
          <t>5 - 6 Năm</t>
        </is>
      </c>
      <c r="L11911" s="8">
        <f>HYPERLINK("https://careerviet.vn/vi/tim-viec-lam/truong-phong-ke-toan-ke-toan-truong.35C6B307.html","Xem chi tiết")</f>
        <v/>
      </c>
    </row>
    <row r="11912">
      <c r="B11912" s="9" t="n">
        <v>11910</v>
      </c>
      <c r="C11912" s="10" t="inlineStr">
        <is>
          <t>Social Content Marketing</t>
        </is>
      </c>
      <c r="D11912" s="10" t="inlineStr">
        <is>
          <t>Công ty CP Công nghệ giáo dục Trường học trực tuyến (ONSCHOOL)</t>
        </is>
      </c>
      <c r="E11912" s="10" t="inlineStr">
        <is>
          <t>Lương:9 Tr - 14 Tr VND</t>
        </is>
      </c>
      <c r="F11912" s="10" t="inlineStr">
        <is>
          <t>Hồ Chí Minh</t>
        </is>
      </c>
      <c r="G11912" s="10" t="inlineStr">
        <is>
          <t>31-03-2026</t>
        </is>
      </c>
      <c r="H11912" s="10" t="inlineStr">
        <is>
          <t>31/03/2026</t>
        </is>
      </c>
      <c r="I11912" s="10" t="inlineStr">
        <is>
          <t>17/03/2026</t>
        </is>
      </c>
      <c r="J11912" s="10" t="inlineStr">
        <is>
          <t>Mỹ thuật / Nghệ thuật / Thiết kế, Quảng cáo / Đối ngoại / Truyền Thông, CNTT - Phần mềm</t>
        </is>
      </c>
      <c r="K11912" s="10" t="inlineStr">
        <is>
          <t>1 - 2 Năm</t>
        </is>
      </c>
      <c r="L11912" s="11">
        <f>HYPERLINK("https://careerviet.vn/vi/tim-viec-lam/social-content-marketing.35C6B3AB.html","Xem chi tiết")</f>
        <v/>
      </c>
      <c r="M11912" s="10" t="n"/>
    </row>
    <row r="11913">
      <c r="B11913" s="7" t="n">
        <v>11911</v>
      </c>
      <c r="C11913" t="inlineStr">
        <is>
          <t>Kế toán Nội bộ</t>
        </is>
      </c>
      <c r="D11913" t="inlineStr">
        <is>
          <t>CÔNG TY TNHH WIR GROUP</t>
        </is>
      </c>
      <c r="E11913" t="inlineStr">
        <is>
          <t>Lương:13 Tr - 16 Tr VND</t>
        </is>
      </c>
      <c r="F11913" t="inlineStr">
        <is>
          <t>Hà Nội</t>
        </is>
      </c>
      <c r="G11913" t="inlineStr">
        <is>
          <t>31-03-2026</t>
        </is>
      </c>
      <c r="H11913" t="inlineStr">
        <is>
          <t>31/03/2026</t>
        </is>
      </c>
      <c r="I11913" t="inlineStr">
        <is>
          <t>17/03/2026</t>
        </is>
      </c>
      <c r="J11913" t="inlineStr">
        <is>
          <t>Kế toán / Kiểm toán</t>
        </is>
      </c>
      <c r="K11913" t="inlineStr">
        <is>
          <t>2 - 3 Năm</t>
        </is>
      </c>
      <c r="L11913" s="8">
        <f>HYPERLINK("https://careerviet.vn/vi/tim-viec-lam/ke-toan-noi-bo.35C6B3C1.html","Xem chi tiết")</f>
        <v/>
      </c>
    </row>
    <row r="11914">
      <c r="B11914" s="9" t="n">
        <v>11912</v>
      </c>
      <c r="C11914" s="10" t="inlineStr">
        <is>
          <t>Nhân Viên Kế Toán Thuế</t>
        </is>
      </c>
      <c r="D11914" s="10" t="inlineStr">
        <is>
          <t>CÔNG TY CỔ PHẦN GREEN SPEED</t>
        </is>
      </c>
      <c r="E11914" s="10" t="inlineStr">
        <is>
          <t>Lương:14 Tr - 17 Tr VND</t>
        </is>
      </c>
      <c r="F11914" s="10" t="inlineStr">
        <is>
          <t>Bình Dương</t>
        </is>
      </c>
      <c r="G11914" s="10" t="inlineStr">
        <is>
          <t>05-04-2026</t>
        </is>
      </c>
      <c r="H11914" s="10" t="inlineStr">
        <is>
          <t>05/04/2026</t>
        </is>
      </c>
      <c r="I11914" s="10" t="inlineStr">
        <is>
          <t>17/03/2026</t>
        </is>
      </c>
      <c r="J11914" s="10" t="inlineStr">
        <is>
          <t>Kế toán / Kiểm toán, Sản xuất / Vận hành sản xuất</t>
        </is>
      </c>
      <c r="K11914" s="10" t="inlineStr">
        <is>
          <t>2 - 3 Năm</t>
        </is>
      </c>
      <c r="L11914" s="11">
        <f>HYPERLINK("https://careerviet.vn/vi/tim-viec-lam/nhan-vien-ke-toan-thue.35C6B398.html","Xem chi tiết")</f>
        <v/>
      </c>
      <c r="M11914" s="10" t="n"/>
    </row>
    <row r="11915">
      <c r="B11915" s="7" t="n">
        <v>11913</v>
      </c>
      <c r="C11915" t="inlineStr">
        <is>
          <t>Trợ giảng mầm non Thời vụ (Quận 9)</t>
        </is>
      </c>
      <c r="D11915" t="inlineStr">
        <is>
          <t>TRƯỜNG QUỐC TẾ BLUE RIDGE / BLUE RIDGE INTERNATIONAL SCHOOL (BRIS)</t>
        </is>
      </c>
      <c r="E11915" t="inlineStr">
        <is>
          <t>Lương:6 Tr - 7 Tr VND</t>
        </is>
      </c>
      <c r="F11915" t="inlineStr">
        <is>
          <t>Hồ Chí Minh</t>
        </is>
      </c>
      <c r="G11915" t="inlineStr">
        <is>
          <t>31-03-2026</t>
        </is>
      </c>
      <c r="H11915" t="inlineStr">
        <is>
          <t>31/03/2026</t>
        </is>
      </c>
      <c r="I11915" t="inlineStr">
        <is>
          <t>17/03/2026</t>
        </is>
      </c>
      <c r="J11915" t="inlineStr">
        <is>
          <t>Giáo dục / Đào tạo</t>
        </is>
      </c>
      <c r="K11915" t="inlineStr">
        <is>
          <t>N/A</t>
        </is>
      </c>
      <c r="L11915" s="8">
        <f>HYPERLINK("https://careerviet.vn/vi/tim-viec-lam/tro-giang-mam-non-thoi-vu-quan-9.35C6B353.html","Xem chi tiết")</f>
        <v/>
      </c>
    </row>
    <row r="11916">
      <c r="B11916" s="9" t="n">
        <v>11914</v>
      </c>
      <c r="C11916" s="10" t="inlineStr">
        <is>
          <t>L&amp;D Executive (Senior)</t>
        </is>
      </c>
      <c r="D11916" s="10" t="inlineStr">
        <is>
          <t>Công Ty Cổ Phần Goody Group</t>
        </is>
      </c>
      <c r="E11916" s="10" t="inlineStr">
        <is>
          <t>Lương:Cạnh tranh</t>
        </is>
      </c>
      <c r="F11916" s="10" t="inlineStr">
        <is>
          <t>Hồ Chí Minh</t>
        </is>
      </c>
      <c r="G11916" s="10" t="inlineStr">
        <is>
          <t>06-04-2026</t>
        </is>
      </c>
      <c r="H11916" s="10" t="inlineStr">
        <is>
          <t>06/04/2026</t>
        </is>
      </c>
      <c r="I11916" s="10" t="inlineStr">
        <is>
          <t>17/03/2026</t>
        </is>
      </c>
      <c r="J11916" s="10" t="inlineStr">
        <is>
          <t>Thực phẩm &amp; Đồ uống</t>
        </is>
      </c>
      <c r="K11916" s="10" t="inlineStr">
        <is>
          <t>3 - 5 Năm</t>
        </is>
      </c>
      <c r="L11916" s="11">
        <f>HYPERLINK("https://careerviet.vn/vi/tim-viec-lam/l-d-executive-senior.35C6B32E.html","Xem chi tiết")</f>
        <v/>
      </c>
      <c r="M11916" s="10" t="n"/>
    </row>
    <row r="11917">
      <c r="B11917" s="7" t="n">
        <v>11915</v>
      </c>
      <c r="C11917" t="inlineStr">
        <is>
          <t>Sales Executive (Chinese Speaking)</t>
        </is>
      </c>
      <c r="D11917" t="inlineStr">
        <is>
          <t>Cty SGS Việt Nam TNHH</t>
        </is>
      </c>
      <c r="E11917" t="inlineStr">
        <is>
          <t>Lương:Cạnh tranh</t>
        </is>
      </c>
      <c r="F11917" t="inlineStr">
        <is>
          <t>Hồ Chí Minh</t>
        </is>
      </c>
      <c r="G11917" t="inlineStr">
        <is>
          <t>05-04-2026</t>
        </is>
      </c>
      <c r="H11917" t="inlineStr">
        <is>
          <t>05/04/2026</t>
        </is>
      </c>
      <c r="I11917" t="inlineStr">
        <is>
          <t>17/03/2026</t>
        </is>
      </c>
      <c r="J11917" t="inlineStr">
        <is>
          <t>Dệt may / Da giày / Thời trang, Hóa học, Bán hàng / Kinh doanh</t>
        </is>
      </c>
      <c r="K11917" t="inlineStr">
        <is>
          <t>1 - 2 Năm</t>
        </is>
      </c>
      <c r="L11917" s="8">
        <f>HYPERLINK("https://careerviet.vn/vi/tim-viec-lam/sales-executive-chinese-speaking.35C6B3A3.html","Xem chi tiết")</f>
        <v/>
      </c>
    </row>
    <row r="11918">
      <c r="B11918" s="9" t="n">
        <v>11916</v>
      </c>
      <c r="C11918" s="10" t="inlineStr">
        <is>
          <t>Nhân viên kế toán doanh thu cửa hàng</t>
        </is>
      </c>
      <c r="D11918" s="10" t="inlineStr">
        <is>
          <t>CT CP Tập Đoàn Thái Tuấn</t>
        </is>
      </c>
      <c r="E11918" s="10" t="inlineStr">
        <is>
          <t>Lương:8 Tr - 10 Tr VND</t>
        </is>
      </c>
      <c r="F11918" s="10" t="inlineStr">
        <is>
          <t>Hà Nội</t>
        </is>
      </c>
      <c r="G11918" s="10" t="inlineStr">
        <is>
          <t>30-04-2026</t>
        </is>
      </c>
      <c r="H11918" s="10" t="inlineStr">
        <is>
          <t>30/04/2026</t>
        </is>
      </c>
      <c r="I11918" s="10" t="inlineStr">
        <is>
          <t>17/03/2026</t>
        </is>
      </c>
      <c r="J11918" s="10" t="inlineStr">
        <is>
          <t>Kế toán / Kiểm toán, Thống kê, Dệt may / Da giày / Thời trang</t>
        </is>
      </c>
      <c r="K11918" s="10" t="inlineStr">
        <is>
          <t>1 - 2 Năm</t>
        </is>
      </c>
      <c r="L11918" s="11">
        <f>HYPERLINK("https://careerviet.vn/vi/tim-viec-lam/nhan-vien-ke-toan-doanh-thu-cua-hang.35C6B37B.html","Xem chi tiết")</f>
        <v/>
      </c>
      <c r="M11918" s="10" t="n"/>
    </row>
    <row r="11919">
      <c r="B11919" s="7" t="n">
        <v>11917</v>
      </c>
      <c r="C11919" t="inlineStr">
        <is>
          <t>Trưởng Nhóm Digital Marketing Truyền Thông</t>
        </is>
      </c>
      <c r="D11919" t="inlineStr">
        <is>
          <t>Công Ty Cổ Phần Tập Đoàn Việt Ba</t>
        </is>
      </c>
      <c r="E11919" t="inlineStr">
        <is>
          <t>Lương:15 Tr - 25 Tr VND</t>
        </is>
      </c>
      <c r="F11919" t="inlineStr">
        <is>
          <t>Hà Nội</t>
        </is>
      </c>
      <c r="G11919" t="inlineStr">
        <is>
          <t>06-04-2026</t>
        </is>
      </c>
      <c r="H11919" t="inlineStr">
        <is>
          <t>06/04/2026</t>
        </is>
      </c>
      <c r="I11919" t="inlineStr">
        <is>
          <t>17/03/2026</t>
        </is>
      </c>
      <c r="J11919" t="inlineStr">
        <is>
          <t>Tiếp thị / Marketing, Quảng cáo / Đối ngoại / Truyền Thông, Tiếp thị trực tuyến</t>
        </is>
      </c>
      <c r="K11919" t="inlineStr">
        <is>
          <t>3 - 5 Năm</t>
        </is>
      </c>
      <c r="L11919" s="8">
        <f>HYPERLINK("https://careerviet.vn/vi/tim-viec-lam/truong-nhom-digital-marketing-truyen-thong.35C6B318.html","Xem chi tiết")</f>
        <v/>
      </c>
    </row>
    <row r="11920">
      <c r="B11920" s="9" t="n">
        <v>11918</v>
      </c>
      <c r="C11920" s="10" t="inlineStr">
        <is>
          <t>Medical Representative/ Sales Representative (Pharmaceuticals/ Cosmectic)</t>
        </is>
      </c>
      <c r="D11920" s="10" t="inlineStr">
        <is>
          <t>Công Ty TNHH Thương Mại Dịch Vụ Xuất Nhập Khẩu The Vigo</t>
        </is>
      </c>
      <c r="E11920" s="10" t="inlineStr">
        <is>
          <t>Lương:25 Tr - 60 Tr VND</t>
        </is>
      </c>
      <c r="F11920" s="10" t="inlineStr">
        <is>
          <t>Hồ Chí Minh</t>
        </is>
      </c>
      <c r="G11920" s="10" t="inlineStr">
        <is>
          <t>15-04-2026</t>
        </is>
      </c>
      <c r="H11920" s="10" t="inlineStr">
        <is>
          <t>15/04/2026</t>
        </is>
      </c>
      <c r="I11920" s="10" t="inlineStr">
        <is>
          <t>17/03/2026</t>
        </is>
      </c>
      <c r="J11920" s="10" t="inlineStr">
        <is>
          <t>Bán hàng / Kinh doanh, Dược phẩm/ Hóa Mỹ Phẩm, Y tế / Chăm sóc sức khỏe / Thẩm mỹ / Làm đẹp</t>
        </is>
      </c>
      <c r="K11920" s="10" t="inlineStr">
        <is>
          <t>1 - 3 Năm</t>
        </is>
      </c>
      <c r="L11920" s="11">
        <f>HYPERLINK("https://careerviet.vn/vi/tim-viec-lam/medical-representative-sales-representative-pharmaceuticals-cosmectic.35C6B125.html","Xem chi tiết")</f>
        <v/>
      </c>
      <c r="M11920" s="10" t="n"/>
    </row>
    <row r="11921">
      <c r="B11921" s="7" t="n">
        <v>11919</v>
      </c>
      <c r="C11921" t="inlineStr">
        <is>
          <t>( Quận 7 ) Nhân Viên Kế Toán/ Accountant</t>
        </is>
      </c>
      <c r="D11921" t="inlineStr">
        <is>
          <t>One Be Solved Inc</t>
        </is>
      </c>
      <c r="E11921" t="inlineStr">
        <is>
          <t>Lương:10 Tr - 15 Tr VND</t>
        </is>
      </c>
      <c r="F11921" t="inlineStr">
        <is>
          <t>Hồ Chí Minh</t>
        </is>
      </c>
      <c r="G11921" t="inlineStr">
        <is>
          <t>31-03-2026</t>
        </is>
      </c>
      <c r="H11921" t="inlineStr">
        <is>
          <t>31/03/2026</t>
        </is>
      </c>
      <c r="I11921" t="inlineStr">
        <is>
          <t>17/03/2026</t>
        </is>
      </c>
      <c r="J11921" t="inlineStr">
        <is>
          <t>Kế toán / Kiểm toán</t>
        </is>
      </c>
      <c r="K11921" t="inlineStr">
        <is>
          <t>N/A</t>
        </is>
      </c>
      <c r="L11921" s="8">
        <f>HYPERLINK("https://careerviet.vn/vi/tim-viec-lam/quan-7-nhan-vien-ke-toan-accountant.35C6B350.html","Xem chi tiết")</f>
        <v/>
      </c>
    </row>
    <row r="11922">
      <c r="B11922" s="9" t="n">
        <v>11920</v>
      </c>
      <c r="C11922" s="10" t="inlineStr">
        <is>
          <t>Trợ lý Ban Tổng Giám Đốc (luật/ chứng khoán)</t>
        </is>
      </c>
      <c r="D11922" s="10" t="inlineStr">
        <is>
          <t>Công ty CP Tập Đoàn Khải Hoàn Land</t>
        </is>
      </c>
      <c r="E11922" s="10" t="inlineStr">
        <is>
          <t>Lương:Cạnh tranh</t>
        </is>
      </c>
      <c r="F11922" s="10" t="inlineStr">
        <is>
          <t>Hồ Chí Minh</t>
        </is>
      </c>
      <c r="G11922" s="10" t="inlineStr">
        <is>
          <t>01-04-2026</t>
        </is>
      </c>
      <c r="H11922" s="10" t="inlineStr">
        <is>
          <t>01/04/2026</t>
        </is>
      </c>
      <c r="I11922" s="10" t="inlineStr">
        <is>
          <t>17/03/2026</t>
        </is>
      </c>
      <c r="J11922" s="10" t="inlineStr">
        <is>
          <t>Chứng khoán, Xây dựng, Bất động sản</t>
        </is>
      </c>
      <c r="K11922" s="10" t="inlineStr">
        <is>
          <t>5 - 10 Năm</t>
        </is>
      </c>
      <c r="L11922" s="11">
        <f>HYPERLINK("https://careerviet.vn/vi/tim-viec-lam/tro-ly-ban-tong-giam-doc-luat-chung-khoan.35C6B389.html","Xem chi tiết")</f>
        <v/>
      </c>
      <c r="M11922" s="10" t="n"/>
    </row>
    <row r="11923">
      <c r="B11923" s="7" t="n">
        <v>11921</v>
      </c>
      <c r="C11923" t="inlineStr">
        <is>
          <t>Trưởng Bưu Cục Quận 6 | Thu nhập đến 25 triệu</t>
        </is>
      </c>
      <c r="D11923" t="inlineStr">
        <is>
          <t>Công Ty Cổ Phần Hai Bốn Bảy</t>
        </is>
      </c>
      <c r="E11923" t="inlineStr">
        <is>
          <t>Lương:15 Tr - 25 Tr VND</t>
        </is>
      </c>
      <c r="F11923" t="inlineStr">
        <is>
          <t>Hồ Chí Minh</t>
        </is>
      </c>
      <c r="G11923" t="inlineStr">
        <is>
          <t>10-04-2026</t>
        </is>
      </c>
      <c r="H11923" t="inlineStr">
        <is>
          <t>10/04/2026</t>
        </is>
      </c>
      <c r="I11923" t="inlineStr">
        <is>
          <t>17/03/2026</t>
        </is>
      </c>
      <c r="J11923" t="inlineStr">
        <is>
          <t>Vận chuyển / Giao nhận / Kho vận</t>
        </is>
      </c>
      <c r="K11923" t="inlineStr">
        <is>
          <t>1 - 2 Năm</t>
        </is>
      </c>
      <c r="L11923" s="8">
        <f>HYPERLINK("https://careerviet.vn/vi/tim-viec-lam/truong-buu-cuc-quan-6-thu-nhap-den-25-trieu.35C6B355.html","Xem chi tiết")</f>
        <v/>
      </c>
    </row>
    <row r="11924">
      <c r="B11924" s="9" t="n">
        <v>11922</v>
      </c>
      <c r="C11924" s="10" t="inlineStr">
        <is>
          <t>Trưởng phòng Marketing (Tây Ninh)</t>
        </is>
      </c>
      <c r="D11924" s="10" t="inlineStr">
        <is>
          <t>Công ty CP Thành Thành Công - Biên Hòa</t>
        </is>
      </c>
      <c r="E11924" s="10" t="inlineStr">
        <is>
          <t>Lương:Cạnh tranh</t>
        </is>
      </c>
      <c r="F11924" s="10" t="inlineStr">
        <is>
          <t>Tây Ninh</t>
        </is>
      </c>
      <c r="G11924" s="10" t="inlineStr">
        <is>
          <t>04-04-2026</t>
        </is>
      </c>
      <c r="H11924" s="10" t="inlineStr">
        <is>
          <t>04/04/2026</t>
        </is>
      </c>
      <c r="I11924" s="10" t="inlineStr">
        <is>
          <t>17/03/2026</t>
        </is>
      </c>
      <c r="J11924" s="10" t="inlineStr">
        <is>
          <t>Nông nghiệp, Công nghệ sinh học</t>
        </is>
      </c>
      <c r="K11924" s="10" t="inlineStr">
        <is>
          <t>7 - 10 Năm</t>
        </is>
      </c>
      <c r="L11924" s="11">
        <f>HYPERLINK("https://careerviet.vn/vi/tim-viec-lam/truong-phong-marketing-tay-ninh.35C6B37F.html","Xem chi tiết")</f>
        <v/>
      </c>
      <c r="M11924" s="10" t="n"/>
    </row>
    <row r="11925">
      <c r="B11925" s="7" t="n">
        <v>11923</v>
      </c>
      <c r="C11925" t="inlineStr">
        <is>
          <t>Giám Đốc Trung Tâm Khách Hàng Cá Nhân - KV Bình Dương, Đồng Tháp - RB - MSB - 4X013</t>
        </is>
      </c>
      <c r="D11925" t="inlineStr">
        <is>
          <t>Ngân hàng Thương mại Cổ phần Hàng Hải Việt Nam (MSB)</t>
        </is>
      </c>
      <c r="E11925" t="inlineStr">
        <is>
          <t>Lương:Cạnh tranh</t>
        </is>
      </c>
      <c r="F11925" t="inlineStr">
        <is>
          <t>Bình DươngĐà NẵngĐồng Tháp</t>
        </is>
      </c>
      <c r="G11925" t="inlineStr">
        <is>
          <t>10-04-2026</t>
        </is>
      </c>
      <c r="H11925" t="inlineStr">
        <is>
          <t>10/04/2026</t>
        </is>
      </c>
      <c r="I11925" t="inlineStr">
        <is>
          <t>17/03/2026</t>
        </is>
      </c>
      <c r="J11925" t="inlineStr">
        <is>
          <t>Ngân hàng</t>
        </is>
      </c>
      <c r="K11925" t="inlineStr">
        <is>
          <t>Trên 5 Năm</t>
        </is>
      </c>
      <c r="L11925" s="8">
        <f>HYPERLINK("https://careerviet.vn/vi/tim-viec-lam/giam-doc-trung-tam-khach-hang-ca-nhan-kv-binh-duong-dong-thap-rb-msb-4x013.35C6B335.html","Xem chi tiết")</f>
        <v/>
      </c>
    </row>
    <row r="11926">
      <c r="B11926" s="9" t="n">
        <v>11924</v>
      </c>
      <c r="C11926" s="10" t="inlineStr">
        <is>
          <t>Nhân Viên Bảo trì (Hà Nội, Cà Mau, Quảng Ngãi)</t>
        </is>
      </c>
      <c r="D11926" s="10" t="inlineStr">
        <is>
          <t>Concung.com - Con Cung Joint Stock Company</t>
        </is>
      </c>
      <c r="E11926" s="10" t="inlineStr">
        <is>
          <t>Lương:Cạnh tranh</t>
        </is>
      </c>
      <c r="F11926" s="10" t="inlineStr">
        <is>
          <t>Hà NộiCà MauQuảng Ngãi</t>
        </is>
      </c>
      <c r="G11926" s="10" t="inlineStr">
        <is>
          <t>03-04-2026</t>
        </is>
      </c>
      <c r="H11926" s="10" t="inlineStr">
        <is>
          <t>03/04/2026</t>
        </is>
      </c>
      <c r="I11926" s="10" t="inlineStr">
        <is>
          <t>17/03/2026</t>
        </is>
      </c>
      <c r="J11926" s="10" t="inlineStr">
        <is>
          <t>Điện / Điện tử / Điện lạnh / Điện công nghiệp, Bảo trì / Sửa chữa, Xây dựng</t>
        </is>
      </c>
      <c r="K11926" s="10" t="inlineStr">
        <is>
          <t>Trên 1 Năm</t>
        </is>
      </c>
      <c r="L11926" s="11">
        <f>HYPERLINK("https://careerviet.vn/vi/tim-viec-lam/nhan-vien-bao-tri-ha-noi-ca-mau-quang-ngai.35C6A777.html","Xem chi tiết")</f>
        <v/>
      </c>
      <c r="M11926" s="10" t="n"/>
    </row>
    <row r="11927">
      <c r="B11927" s="7" t="n">
        <v>11925</v>
      </c>
      <c r="C11927" t="inlineStr">
        <is>
          <t>Trưởng nhóm Quan hệ Khách hàng kinh doanh - RB - MSB - 3V025</t>
        </is>
      </c>
      <c r="D11927" t="inlineStr">
        <is>
          <t>Ngân hàng Thương mại Cổ phần Hàng Hải Việt Nam (MSB)</t>
        </is>
      </c>
      <c r="E11927" t="inlineStr">
        <is>
          <t>Lương:10 Tr - 26 Tr VND</t>
        </is>
      </c>
      <c r="F11927" t="inlineStr">
        <is>
          <t>Hải Phòng</t>
        </is>
      </c>
      <c r="G11927" t="inlineStr">
        <is>
          <t>30-04-2026</t>
        </is>
      </c>
      <c r="H11927" t="inlineStr">
        <is>
          <t>30/04/2026</t>
        </is>
      </c>
      <c r="I11927" t="inlineStr">
        <is>
          <t>17/03/2026</t>
        </is>
      </c>
      <c r="J11927" t="inlineStr">
        <is>
          <t>Ngân hàng</t>
        </is>
      </c>
      <c r="K11927" t="inlineStr">
        <is>
          <t>Trên 4 Năm</t>
        </is>
      </c>
      <c r="L11927" s="8">
        <f>HYPERLINK("https://careerviet.vn/vi/tim-viec-lam/truong-nhom-quan-he-khach-hang-kinh-doanh-rb-msb-3v025.35C6B366.html","Xem chi tiết")</f>
        <v/>
      </c>
    </row>
    <row r="11928">
      <c r="B11928" s="9" t="n">
        <v>11926</v>
      </c>
      <c r="C11928" s="10" t="inlineStr">
        <is>
          <t>Nhân viên lễ tân thu ngân</t>
        </is>
      </c>
      <c r="D11928" s="10" t="inlineStr">
        <is>
          <t>CÔNG TY TNHH BỆNH VIỆN ĐKTN AN SINH - PHÚC TRƯỜNG MINH</t>
        </is>
      </c>
      <c r="E11928" s="10" t="inlineStr">
        <is>
          <t>Lương:8 Tr - 11 Tr VND</t>
        </is>
      </c>
      <c r="F11928" s="10" t="inlineStr">
        <is>
          <t>Hà Nội</t>
        </is>
      </c>
      <c r="G11928" s="10" t="inlineStr">
        <is>
          <t>31-03-2026</t>
        </is>
      </c>
      <c r="H11928" s="10" t="inlineStr">
        <is>
          <t>31/03/2026</t>
        </is>
      </c>
      <c r="I11928" s="10" t="inlineStr">
        <is>
          <t>17/03/2026</t>
        </is>
      </c>
      <c r="J11928" s="10" t="inlineStr">
        <is>
          <t>Y tế / Chăm sóc sức khỏe / Thẩm mỹ / Làm đẹp, Hành chính / Thư ký, Kế toán / Kiểm toán</t>
        </is>
      </c>
      <c r="K11928" s="10" t="inlineStr">
        <is>
          <t>Chưa có kinh nghiệm</t>
        </is>
      </c>
      <c r="L11928" s="11">
        <f>HYPERLINK("https://careerviet.vn/vi/tim-viec-lam/nhan-vien-le-tan-thu-ngan.35C6B2CB.html","Xem chi tiết")</f>
        <v/>
      </c>
      <c r="M11928" s="10" t="n"/>
    </row>
    <row r="11929">
      <c r="B11929" s="7" t="n">
        <v>11927</v>
      </c>
      <c r="C11929" t="inlineStr">
        <is>
          <t>Digital Executive (Campain Coordinator)</t>
        </is>
      </c>
      <c r="D11929" t="inlineStr">
        <is>
          <t>Tập Đoàn Karofi Holding</t>
        </is>
      </c>
      <c r="E11929" t="inlineStr">
        <is>
          <t>Lương:Cạnh tranh</t>
        </is>
      </c>
      <c r="F11929" t="inlineStr">
        <is>
          <t>Hà NộiHồ Chí Minh</t>
        </is>
      </c>
      <c r="G11929" t="inlineStr">
        <is>
          <t>14-04-2026</t>
        </is>
      </c>
      <c r="H11929" t="inlineStr">
        <is>
          <t>14/04/2026</t>
        </is>
      </c>
      <c r="I11929" t="inlineStr">
        <is>
          <t>17/03/2026</t>
        </is>
      </c>
      <c r="J11929" t="inlineStr">
        <is>
          <t>Bán lẻ / Bán sỉ, Bán hàng / Kinh doanh, Quảng cáo / Đối ngoại / Truyền Thông</t>
        </is>
      </c>
      <c r="K11929" t="inlineStr">
        <is>
          <t>2 - 3 Năm</t>
        </is>
      </c>
      <c r="L11929" s="8">
        <f>HYPERLINK("https://careerviet.vn/vi/tim-viec-lam/digital-executive-campain-coordinator.35C6B338.html","Xem chi tiết")</f>
        <v/>
      </c>
    </row>
    <row r="11930">
      <c r="B11930" s="9" t="n">
        <v>11928</v>
      </c>
      <c r="C11930" s="10" t="inlineStr">
        <is>
          <t>Chuyên Viên Trực Tổng Đài  Viettel Hòa Lạc Hà Nội</t>
        </is>
      </c>
      <c r="D11930" s="10" t="inlineStr">
        <is>
          <t>CÔNG TY CỔ PHẦN TRUYỀN THÔNG KIM CƯƠNG</t>
        </is>
      </c>
      <c r="E11930" s="10" t="inlineStr">
        <is>
          <t>Lương:6 Tr - 12 Tr VND</t>
        </is>
      </c>
      <c r="F11930" s="10" t="inlineStr">
        <is>
          <t>Hà Nội</t>
        </is>
      </c>
      <c r="G11930" s="10" t="inlineStr">
        <is>
          <t>12-03-2026</t>
        </is>
      </c>
      <c r="H11930" s="10" t="inlineStr">
        <is>
          <t>06/03/2026</t>
        </is>
      </c>
      <c r="I11930" s="10" t="inlineStr">
        <is>
          <t>17/03/2026</t>
        </is>
      </c>
      <c r="J11930" s="10" t="inlineStr">
        <is>
          <t>Dịch vụ khách hàng, Tư vấn</t>
        </is>
      </c>
      <c r="K11930" s="10" t="inlineStr">
        <is>
          <t>N/A</t>
        </is>
      </c>
      <c r="L11930" s="11">
        <f>HYPERLINK("https://careerviet.vn/vi/tim-viec-lam/chuyen-vien-truc-tong-dai-viettel-hoa-lac-ha-noi.35C66C78.html","Xem chi tiết")</f>
        <v/>
      </c>
      <c r="M11930" s="10" t="n"/>
    </row>
    <row r="11931">
      <c r="B11931" s="7" t="n">
        <v>11929</v>
      </c>
      <c r="C11931" t="inlineStr">
        <is>
          <t>Nhân viên hành chính (Phòng Tổ chức Nhân sự)</t>
        </is>
      </c>
      <c r="D11931" t="inlineStr">
        <is>
          <t>CÔNG TY TNHH BỆNH VIỆN ĐKTN AN SINH - PHÚC TRƯỜNG MINH</t>
        </is>
      </c>
      <c r="E11931" t="inlineStr">
        <is>
          <t>Lương:9 Tr - 12 Tr VND</t>
        </is>
      </c>
      <c r="F11931" t="inlineStr">
        <is>
          <t>Hà Nội</t>
        </is>
      </c>
      <c r="G11931" t="inlineStr">
        <is>
          <t>31-03-2026</t>
        </is>
      </c>
      <c r="H11931" t="inlineStr">
        <is>
          <t>31/03/2026</t>
        </is>
      </c>
      <c r="I11931" t="inlineStr">
        <is>
          <t>17/03/2026</t>
        </is>
      </c>
      <c r="J11931" t="inlineStr">
        <is>
          <t>Hành chính / Thư ký, Nhân sự</t>
        </is>
      </c>
      <c r="K11931" t="inlineStr">
        <is>
          <t>1 - 2 Năm</t>
        </is>
      </c>
      <c r="L11931" s="8">
        <f>HYPERLINK("https://careerviet.vn/vi/tim-viec-lam/nhan-vien-hanh-chinh-phong-to-chuc-nhan-su.35C6B293.html","Xem chi tiết")</f>
        <v/>
      </c>
    </row>
    <row r="11932">
      <c r="B11932" s="9" t="n">
        <v>11930</v>
      </c>
      <c r="C11932" s="10" t="inlineStr">
        <is>
          <t>Chuyên viên kinh doanh (Kênh Đại Lý)</t>
        </is>
      </c>
      <c r="D11932" s="10" t="inlineStr">
        <is>
          <t>Công ty TNHH Phát Triển Giáo Dục Và Hợp Tác Quốc Tế THANHMAIHSK</t>
        </is>
      </c>
      <c r="E11932" s="10" t="inlineStr">
        <is>
          <t>Lương:12 Tr - 18 Tr VND</t>
        </is>
      </c>
      <c r="F11932" s="10" t="inlineStr">
        <is>
          <t>Hà Nội</t>
        </is>
      </c>
      <c r="G11932" s="10" t="inlineStr">
        <is>
          <t>11-04-2026</t>
        </is>
      </c>
      <c r="H11932" s="10" t="inlineStr">
        <is>
          <t>11/04/2026</t>
        </is>
      </c>
      <c r="I11932" s="10" t="inlineStr">
        <is>
          <t>17/03/2026</t>
        </is>
      </c>
      <c r="J11932" s="10" t="inlineStr">
        <is>
          <t>Bán hàng / Kinh doanh, Bán lẻ / Bán sỉ</t>
        </is>
      </c>
      <c r="K11932" s="10" t="inlineStr">
        <is>
          <t>Trên 1 Năm</t>
        </is>
      </c>
      <c r="L11932" s="11">
        <f>HYPERLINK("https://careerviet.vn/vi/tim-viec-lam/chuyen-vien-kinh-doanh-kenh-dai-ly.35C6B2D7.html","Xem chi tiết")</f>
        <v/>
      </c>
      <c r="M11932" s="10" t="n"/>
    </row>
    <row r="11933">
      <c r="B11933" s="7" t="n">
        <v>11931</v>
      </c>
      <c r="C11933" t="inlineStr">
        <is>
          <t>Chuyên viên Content</t>
        </is>
      </c>
      <c r="D11933" t="inlineStr">
        <is>
          <t>CÔNG TY CỔ PHẦN ĐẦU TƯ VÀ DỊCH VỤ Y TẾ THỜI ĐẠI XANH</t>
        </is>
      </c>
      <c r="E11933" t="inlineStr">
        <is>
          <t>Lương:17 Tr - 22 Tr VND</t>
        </is>
      </c>
      <c r="F11933" t="inlineStr">
        <is>
          <t>Hà Nội</t>
        </is>
      </c>
      <c r="G11933" t="inlineStr">
        <is>
          <t>30-04-2026</t>
        </is>
      </c>
      <c r="H11933" t="inlineStr">
        <is>
          <t>30/04/2026</t>
        </is>
      </c>
      <c r="I11933" t="inlineStr">
        <is>
          <t>17/03/2026</t>
        </is>
      </c>
      <c r="J11933" t="inlineStr">
        <is>
          <t>Tiếp thị / Marketing</t>
        </is>
      </c>
      <c r="K11933" t="inlineStr">
        <is>
          <t>Chưa có kinh nghiệm</t>
        </is>
      </c>
      <c r="L11933" s="8">
        <f>HYPERLINK("https://careerviet.vn/vi/tim-viec-lam/chuyen-vien-content.35C6B320.html","Xem chi tiết")</f>
        <v/>
      </c>
    </row>
    <row r="11934">
      <c r="B11934" s="9" t="n">
        <v>11932</v>
      </c>
      <c r="C11934" s="10" t="inlineStr">
        <is>
          <t>Kỹ sư QS</t>
        </is>
      </c>
      <c r="D11934" s="10" t="inlineStr">
        <is>
          <t>Công Ty Cổ Phần Tập đoàn Xây dựng Thành Đô</t>
        </is>
      </c>
      <c r="E11934" s="10" t="inlineStr">
        <is>
          <t>Lương:18 Tr - 22 Tr VND</t>
        </is>
      </c>
      <c r="F11934" s="10" t="inlineStr">
        <is>
          <t>Hồ Chí Minh</t>
        </is>
      </c>
      <c r="G11934" s="10" t="inlineStr">
        <is>
          <t>11-04-2026</t>
        </is>
      </c>
      <c r="H11934" s="10" t="inlineStr">
        <is>
          <t>11/04/2026</t>
        </is>
      </c>
      <c r="I11934" s="10" t="inlineStr">
        <is>
          <t>17/03/2026</t>
        </is>
      </c>
      <c r="J11934" s="10" t="inlineStr">
        <is>
          <t>Xây dựng</t>
        </is>
      </c>
      <c r="K11934" s="10" t="inlineStr">
        <is>
          <t>Trên 5 Năm</t>
        </is>
      </c>
      <c r="L11934" s="11">
        <f>HYPERLINK("https://careerviet.vn/vi/tim-viec-lam/ky-su-qs.35C6B30C.html","Xem chi tiết")</f>
        <v/>
      </c>
      <c r="M11934" s="10" t="n"/>
    </row>
    <row r="11935">
      <c r="B11935" s="7" t="n">
        <v>11933</v>
      </c>
      <c r="C11935" t="inlineStr">
        <is>
          <t>Nhân Viên QC (Lấy Mẫu)</t>
        </is>
      </c>
      <c r="D11935" t="inlineStr">
        <is>
          <t>Orioled Hub</t>
        </is>
      </c>
      <c r="E11935" t="inlineStr">
        <is>
          <t>Lương:8 Tr - 13 Tr VND</t>
        </is>
      </c>
      <c r="F11935" t="inlineStr">
        <is>
          <t>Bà Rịa - Vũng Tàu</t>
        </is>
      </c>
      <c r="G11935" t="inlineStr">
        <is>
          <t>30-04-2026</t>
        </is>
      </c>
      <c r="H11935" t="inlineStr">
        <is>
          <t>30/04/2026</t>
        </is>
      </c>
      <c r="I11935" t="inlineStr">
        <is>
          <t>17/03/2026</t>
        </is>
      </c>
      <c r="J11935" t="inlineStr">
        <is>
          <t>Công nghệ sinh học, Hóa học, Quản lý chất lượng (QA/QC)</t>
        </is>
      </c>
      <c r="K11935" t="inlineStr">
        <is>
          <t>Lên đến 1 Năm</t>
        </is>
      </c>
      <c r="L11935" s="8">
        <f>HYPERLINK("https://careerviet.vn/vi/tim-viec-lam/nhan-vien-qc-lay-mau.35C6B331.html","Xem chi tiết")</f>
        <v/>
      </c>
    </row>
    <row r="11936">
      <c r="B11936" s="9" t="n">
        <v>11934</v>
      </c>
      <c r="C11936" s="10" t="inlineStr">
        <is>
          <t>Nhân viên Booking KOC</t>
        </is>
      </c>
      <c r="D11936" s="10" t="inlineStr">
        <is>
          <t>CÔNG TY CỔ PHẦN CHĂN NUÔI MAVIN</t>
        </is>
      </c>
      <c r="E11936" s="10" t="inlineStr">
        <is>
          <t>Lương:12 Tr - 14 Tr VND</t>
        </is>
      </c>
      <c r="F11936" s="10" t="inlineStr">
        <is>
          <t>Hà Nội</t>
        </is>
      </c>
      <c r="G11936" s="10" t="inlineStr">
        <is>
          <t>31-03-2026</t>
        </is>
      </c>
      <c r="H11936" s="10" t="inlineStr">
        <is>
          <t>31/03/2026</t>
        </is>
      </c>
      <c r="I11936" s="10" t="inlineStr">
        <is>
          <t>17/03/2026</t>
        </is>
      </c>
      <c r="J11936" s="10" t="inlineStr">
        <is>
          <t>Tiếp thị trực tuyến, Thương mại điện tử, Tiếp thị / Marketing</t>
        </is>
      </c>
      <c r="K11936" s="10" t="inlineStr">
        <is>
          <t>1 - 2 Năm</t>
        </is>
      </c>
      <c r="L11936" s="11">
        <f>HYPERLINK("https://careerviet.vn/vi/tim-viec-lam/nhan-vien-booking-koc.35C6B32C.html","Xem chi tiết")</f>
        <v/>
      </c>
      <c r="M11936" s="10" t="n"/>
    </row>
    <row r="11937">
      <c r="B11937" s="7" t="n">
        <v>11935</v>
      </c>
      <c r="C11937" t="inlineStr">
        <is>
          <t>Giáo Viên Chủ Nhiệm (Ocean Edu Vụ Bản) - Lương Từ 15 Triệu/Đi Làm Ngay</t>
        </is>
      </c>
      <c r="D11937" t="inlineStr">
        <is>
          <t>Công Ty CP Giáo Dục Đại Dương</t>
        </is>
      </c>
      <c r="E11937" t="inlineStr">
        <is>
          <t>Lương:15 Tr - 16 Tr VND</t>
        </is>
      </c>
      <c r="F11937" t="inlineStr">
        <is>
          <t>Nam Định</t>
        </is>
      </c>
      <c r="G11937" t="inlineStr">
        <is>
          <t>02-04-2026</t>
        </is>
      </c>
      <c r="H11937" t="inlineStr">
        <is>
          <t>02/04/2026</t>
        </is>
      </c>
      <c r="I11937" t="inlineStr">
        <is>
          <t>17/03/2026</t>
        </is>
      </c>
      <c r="J11937" t="inlineStr">
        <is>
          <t>Giáo dục / Đào tạo, Bán hàng / Kinh doanh, Biên phiên dịch</t>
        </is>
      </c>
      <c r="K11937" t="inlineStr">
        <is>
          <t>Trên 1 Năm</t>
        </is>
      </c>
      <c r="L11937" s="8">
        <f>HYPERLINK("https://careerviet.vn/vi/tim-viec-lam/giao-vien-chu-nhiem-ocean-edu-vu-ban-luong-tu-15-trieu-di-lam-ngay.35C6B303.html","Xem chi tiết")</f>
        <v/>
      </c>
    </row>
    <row r="11938">
      <c r="B11938" s="9" t="n">
        <v>11936</v>
      </c>
      <c r="C11938" s="10" t="inlineStr">
        <is>
          <t>NHÂN VIÊN KẾ HOẠCH SẢN XUẤT (Chợ Lách, Bến Tre)</t>
        </is>
      </c>
      <c r="D11938" s="10" t="inlineStr">
        <is>
          <t>CÔNG TY CỔ PHẦN TẬP ĐOÀN XUẤT - NHẬP KHẨU TRÁI CÂY CHÁNH THU</t>
        </is>
      </c>
      <c r="E11938" s="10" t="inlineStr">
        <is>
          <t>Lương:Cạnh tranh</t>
        </is>
      </c>
      <c r="F11938" s="10" t="inlineStr">
        <is>
          <t>Bến Tre</t>
        </is>
      </c>
      <c r="G11938" s="10" t="inlineStr">
        <is>
          <t>06-04-2026</t>
        </is>
      </c>
      <c r="H11938" s="10" t="inlineStr">
        <is>
          <t>06/04/2026</t>
        </is>
      </c>
      <c r="I11938" s="10" t="inlineStr">
        <is>
          <t>17/03/2026</t>
        </is>
      </c>
      <c r="J11938" s="10" t="inlineStr">
        <is>
          <t>Nông nghiệp, Xuất nhập khẩu, Sản xuất / Vận hành sản xuất</t>
        </is>
      </c>
      <c r="K11938" s="10" t="inlineStr">
        <is>
          <t>1 - 2 Năm</t>
        </is>
      </c>
      <c r="L11938" s="11">
        <f>HYPERLINK("https://careerviet.vn/vi/tim-viec-lam/nhan-vien-ke-hoach-san-xuat-cho-lach-ben-tre.35C6B2F8.html","Xem chi tiết")</f>
        <v/>
      </c>
      <c r="M11938" s="10" t="n"/>
    </row>
    <row r="11939">
      <c r="B11939" s="7" t="n">
        <v>11937</v>
      </c>
      <c r="C11939" t="inlineStr">
        <is>
          <t>Demand Planning Executive</t>
        </is>
      </c>
      <c r="D11939" t="inlineStr">
        <is>
          <t>Concung.com - Con Cung Joint Stock Company</t>
        </is>
      </c>
      <c r="E11939" t="inlineStr">
        <is>
          <t>Lương:Cạnh tranh</t>
        </is>
      </c>
      <c r="F11939" t="inlineStr">
        <is>
          <t>Hồ Chí Minh</t>
        </is>
      </c>
      <c r="G11939" t="inlineStr">
        <is>
          <t>31-03-2026</t>
        </is>
      </c>
      <c r="H11939" t="inlineStr">
        <is>
          <t>31/03/2026</t>
        </is>
      </c>
      <c r="I11939" t="inlineStr">
        <is>
          <t>17/03/2026</t>
        </is>
      </c>
      <c r="J11939" t="inlineStr">
        <is>
          <t>Bán hàng / Kinh doanh, Xuất nhập khẩu, Thu mua / Vật tư</t>
        </is>
      </c>
      <c r="K11939" t="inlineStr">
        <is>
          <t>1 - 2 Năm</t>
        </is>
      </c>
      <c r="L11939" s="8">
        <f>HYPERLINK("https://careerviet.vn/vi/tim-viec-lam/demand-planning-executive.35C6B301.html","Xem chi tiết")</f>
        <v/>
      </c>
    </row>
    <row r="11940">
      <c r="B11940" s="9" t="n">
        <v>11938</v>
      </c>
      <c r="C11940" s="10" t="inlineStr">
        <is>
          <t>Nhân viên kinh doanh</t>
        </is>
      </c>
      <c r="D11940" s="10" t="inlineStr">
        <is>
          <t>CÔNG TY TNHH ATI VIỆT TRUNG</t>
        </is>
      </c>
      <c r="E11940" s="10" t="inlineStr">
        <is>
          <t>Lương:15 Tr - 20 Tr VND</t>
        </is>
      </c>
      <c r="F11940" s="10" t="inlineStr">
        <is>
          <t>Hà Nội</t>
        </is>
      </c>
      <c r="G11940" s="10" t="inlineStr">
        <is>
          <t>06-04-2026</t>
        </is>
      </c>
      <c r="H11940" s="10" t="inlineStr">
        <is>
          <t>06/04/2026</t>
        </is>
      </c>
      <c r="I11940" s="10" t="inlineStr">
        <is>
          <t>17/03/2026</t>
        </is>
      </c>
      <c r="J11940" s="10" t="inlineStr">
        <is>
          <t>Bán hàng / Kinh doanh, Tư vấn, Dịch vụ khách hàng</t>
        </is>
      </c>
      <c r="K11940" s="10" t="inlineStr">
        <is>
          <t>Chưa có kinh nghiệm</t>
        </is>
      </c>
      <c r="L11940" s="11">
        <f>HYPERLINK("https://careerviet.vn/vi/tim-viec-lam/nhan-vien-kinh-doanh.35C6B31F.html","Xem chi tiết")</f>
        <v/>
      </c>
      <c r="M11940" s="10" t="n"/>
    </row>
    <row r="11941">
      <c r="B11941" s="7" t="n">
        <v>11939</v>
      </c>
      <c r="C11941" t="inlineStr">
        <is>
          <t>Digital Marketing Executive (SEO)</t>
        </is>
      </c>
      <c r="D11941" t="inlineStr">
        <is>
          <t>Tập Đoàn Karofi Holding</t>
        </is>
      </c>
      <c r="E11941" t="inlineStr">
        <is>
          <t>Lương:Cạnh tranh</t>
        </is>
      </c>
      <c r="F11941" t="inlineStr">
        <is>
          <t>Hà NộiHồ Chí Minh</t>
        </is>
      </c>
      <c r="G11941" t="inlineStr">
        <is>
          <t>14-04-2026</t>
        </is>
      </c>
      <c r="H11941" t="inlineStr">
        <is>
          <t>14/04/2026</t>
        </is>
      </c>
      <c r="I11941" t="inlineStr">
        <is>
          <t>17/03/2026</t>
        </is>
      </c>
      <c r="J11941" t="inlineStr">
        <is>
          <t>Bán lẻ / Bán sỉ, Bán hàng / Kinh doanh, Quảng cáo / Đối ngoại / Truyền Thông</t>
        </is>
      </c>
      <c r="K11941" t="inlineStr">
        <is>
          <t>2 - 3 Năm</t>
        </is>
      </c>
      <c r="L11941" s="8">
        <f>HYPERLINK("https://careerviet.vn/vi/tim-viec-lam/digital-marketing-executive-seo.35C6B31E.html","Xem chi tiết")</f>
        <v/>
      </c>
    </row>
    <row r="11942">
      <c r="B11942" s="9" t="n">
        <v>11940</v>
      </c>
      <c r="C11942" s="10" t="inlineStr">
        <is>
          <t>Kế toán viên</t>
        </is>
      </c>
      <c r="D11942" s="10" t="inlineStr">
        <is>
          <t>CÔNG TY TNHH TƯ VẤN GANESHAID</t>
        </is>
      </c>
      <c r="E11942" s="10" t="inlineStr">
        <is>
          <t>Lương:15 Tr - 20 Tr VND</t>
        </is>
      </c>
      <c r="F11942" s="10" t="inlineStr">
        <is>
          <t>Hà Nội</t>
        </is>
      </c>
      <c r="G11942" s="10" t="inlineStr">
        <is>
          <t>30-05-2026</t>
        </is>
      </c>
      <c r="H11942" s="10" t="inlineStr">
        <is>
          <t>30/05/2026</t>
        </is>
      </c>
      <c r="I11942" s="10" t="inlineStr">
        <is>
          <t>17/03/2026</t>
        </is>
      </c>
      <c r="J11942" s="10" t="inlineStr">
        <is>
          <t>Kế toán / Kiểm toán</t>
        </is>
      </c>
      <c r="K11942" s="10" t="inlineStr">
        <is>
          <t>2 - 3 Năm</t>
        </is>
      </c>
      <c r="L11942" s="11">
        <f>HYPERLINK("https://careerviet.vn/vi/tim-viec-lam/ke-toan-vien.35C6B2E7.html","Xem chi tiết")</f>
        <v/>
      </c>
      <c r="M11942" s="10" t="n"/>
    </row>
    <row r="11943">
      <c r="B11943" s="7" t="n">
        <v>11941</v>
      </c>
      <c r="C11943" t="inlineStr">
        <is>
          <t>Kỹ Sư Shopdrawing Và Lập Biện Pháp Thi Công</t>
        </is>
      </c>
      <c r="D11943" t="inlineStr">
        <is>
          <t>TRUNG TÂM TƯ VẤN ĐẦU TƯ VÀ XÂY DỰNG UDIC - CHI NHÁNH TỔNG CÔNG TY ĐẦU TƯ PHÁT TRIỂN HẠ TẦNG ĐÔ THỊ UDIC - CÔNG TY TNHH MỘT THÀNH VIÊN</t>
        </is>
      </c>
      <c r="E11943" t="inlineStr">
        <is>
          <t>Lương:20 Tr - 25 Tr VND</t>
        </is>
      </c>
      <c r="F11943" t="inlineStr">
        <is>
          <t>Hà Nội</t>
        </is>
      </c>
      <c r="G11943" t="inlineStr">
        <is>
          <t>05-04-2026</t>
        </is>
      </c>
      <c r="H11943" t="inlineStr">
        <is>
          <t>05/04/2026</t>
        </is>
      </c>
      <c r="I11943" t="inlineStr">
        <is>
          <t>17/03/2026</t>
        </is>
      </c>
      <c r="J11943" t="inlineStr">
        <is>
          <t>Kiến trúc, Xây dựng, Mỹ thuật / Nghệ thuật / Thiết kế</t>
        </is>
      </c>
      <c r="K11943" t="inlineStr">
        <is>
          <t>Trên 2 Năm</t>
        </is>
      </c>
      <c r="L11943" s="8">
        <f>HYPERLINK("https://careerviet.vn/vi/tim-viec-lam/ky-su-shopdrawing-va-lap-bien-phap-thi-cong.35C6B2EE.html","Xem chi tiết")</f>
        <v/>
      </c>
    </row>
    <row r="11944">
      <c r="B11944" s="9" t="n">
        <v>11942</v>
      </c>
      <c r="C11944" s="10" t="inlineStr">
        <is>
          <t>Nhân viên Pháp chế (Legal Officer)</t>
        </is>
      </c>
      <c r="D11944" s="10" t="inlineStr">
        <is>
          <t>Công Ty Cổ Phần Tập Đoàn Ô Tô Hiệp Hòa</t>
        </is>
      </c>
      <c r="E11944" s="10" t="inlineStr">
        <is>
          <t>Lương:15 Tr - 25 Tr VND</t>
        </is>
      </c>
      <c r="F11944" s="10" t="inlineStr">
        <is>
          <t>Hà Nội</t>
        </is>
      </c>
      <c r="G11944" s="10" t="inlineStr">
        <is>
          <t>30-04-2026</t>
        </is>
      </c>
      <c r="H11944" s="10" t="inlineStr">
        <is>
          <t>30/04/2026</t>
        </is>
      </c>
      <c r="I11944" s="10" t="inlineStr">
        <is>
          <t>17/03/2026</t>
        </is>
      </c>
      <c r="J11944" s="10" t="inlineStr">
        <is>
          <t>Luật / Pháp lý, Hành chính / Thư ký, Nhân sự</t>
        </is>
      </c>
      <c r="K11944" s="10" t="inlineStr">
        <is>
          <t>Trên 1 Năm</t>
        </is>
      </c>
      <c r="L11944" s="11">
        <f>HYPERLINK("https://careerviet.vn/vi/tim-viec-lam/nhan-vien-phap-che-legal-officer.35C6B284.html","Xem chi tiết")</f>
        <v/>
      </c>
      <c r="M11944" s="10" t="n"/>
    </row>
    <row r="11945">
      <c r="B11945" s="7" t="n">
        <v>11943</v>
      </c>
      <c r="C11945" t="inlineStr">
        <is>
          <t>Chuyên viên quản trị hệ thống</t>
        </is>
      </c>
      <c r="D11945" t="inlineStr">
        <is>
          <t>CÔNG TY TNHH TẬP ĐOÀN XÂY DỰNG DELTA</t>
        </is>
      </c>
      <c r="E11945" t="inlineStr">
        <is>
          <t>Lương:Cạnh tranh</t>
        </is>
      </c>
      <c r="F11945" t="inlineStr">
        <is>
          <t>Hà Nội</t>
        </is>
      </c>
      <c r="G11945" t="inlineStr">
        <is>
          <t>30-04-2026</t>
        </is>
      </c>
      <c r="H11945" t="inlineStr">
        <is>
          <t>30/04/2026</t>
        </is>
      </c>
      <c r="I11945" t="inlineStr">
        <is>
          <t>17/03/2026</t>
        </is>
      </c>
      <c r="J11945" t="inlineStr">
        <is>
          <t>CNTT - Phần mềm, CNTT - Phần cứng / Mạng</t>
        </is>
      </c>
      <c r="K11945" t="inlineStr">
        <is>
          <t>2 - 3 Năm</t>
        </is>
      </c>
      <c r="L11945" s="8">
        <f>HYPERLINK("https://careerviet.vn/vi/tim-viec-lam/chuyen-vien-quan-tri-he-thong.35C6B29D.html","Xem chi tiết")</f>
        <v/>
      </c>
    </row>
    <row r="11946">
      <c r="B11946" s="9" t="n">
        <v>11944</v>
      </c>
      <c r="C11946" s="10" t="inlineStr">
        <is>
          <t>International Freight Specialist</t>
        </is>
      </c>
      <c r="D11946" s="10" t="inlineStr">
        <is>
          <t>Wanek Furniture</t>
        </is>
      </c>
      <c r="E11946" s="10" t="inlineStr">
        <is>
          <t>Lương:Cạnh tranh</t>
        </is>
      </c>
      <c r="F11946" s="10" t="inlineStr">
        <is>
          <t>Bình Dương</t>
        </is>
      </c>
      <c r="G11946" s="10" t="inlineStr">
        <is>
          <t>06-04-2026</t>
        </is>
      </c>
      <c r="H11946" s="10" t="inlineStr">
        <is>
          <t>06/04/2026</t>
        </is>
      </c>
      <c r="I11946" s="10" t="inlineStr">
        <is>
          <t>17/03/2026</t>
        </is>
      </c>
      <c r="J11946" s="10" t="inlineStr">
        <is>
          <t>Bán hàng / Kinh doanh, Xuất nhập khẩu, Nội ngoại thất</t>
        </is>
      </c>
      <c r="K11946" s="10" t="inlineStr">
        <is>
          <t>1 - 3 Năm</t>
        </is>
      </c>
      <c r="L11946" s="11">
        <f>HYPERLINK("https://careerviet.vn/vi/tim-viec-lam/international-freight-specialist.35C6B2B8.html","Xem chi tiết")</f>
        <v/>
      </c>
      <c r="M11946" s="10" t="n"/>
    </row>
    <row r="11947">
      <c r="B11947" s="7" t="n">
        <v>11945</v>
      </c>
      <c r="C11947" t="inlineStr">
        <is>
          <t>Nhân Viên Thiết Kế Bản Vẽ Xe Đạp</t>
        </is>
      </c>
      <c r="D11947" t="inlineStr">
        <is>
          <t>Công ty TNHH Asama Yuh Jiun International Việt Nam</t>
        </is>
      </c>
      <c r="E11947" t="inlineStr">
        <is>
          <t>Lương:11 Tr - 15 Tr VND</t>
        </is>
      </c>
      <c r="F11947" t="inlineStr">
        <is>
          <t>Bình Dương</t>
        </is>
      </c>
      <c r="G11947" t="inlineStr">
        <is>
          <t>06-04-2026</t>
        </is>
      </c>
      <c r="H11947" t="inlineStr">
        <is>
          <t>06/04/2026</t>
        </is>
      </c>
      <c r="I11947" t="inlineStr">
        <is>
          <t>17/03/2026</t>
        </is>
      </c>
      <c r="J11947" t="inlineStr">
        <is>
          <t>Mỹ thuật / Nghệ thuật / Thiết kế</t>
        </is>
      </c>
      <c r="K11947" t="inlineStr">
        <is>
          <t>1 - 3 Năm</t>
        </is>
      </c>
      <c r="L11947" s="8">
        <f>HYPERLINK("https://careerviet.vn/vi/tim-viec-lam/nhan-vien-thiet-ke-ban-ve-xe-dap.35C6B2DA.html","Xem chi tiết")</f>
        <v/>
      </c>
    </row>
    <row r="11948">
      <c r="B11948" s="9" t="n">
        <v>11946</v>
      </c>
      <c r="C11948" s="10" t="inlineStr">
        <is>
          <t>TRÌNH DƯỢC VIÊN KHU VỰC CÀ MAU, KIÊN GIANG, LÂM ĐỒNG , LONG AN, ĐỒNG NAI</t>
        </is>
      </c>
      <c r="D11948" s="10" t="inlineStr">
        <is>
          <t>CÔNG TY CỔ PHẦN DƯỢC PHẨM REVO</t>
        </is>
      </c>
      <c r="E11948" s="10" t="inlineStr">
        <is>
          <t>Lương:Trên 15 Tr VND</t>
        </is>
      </c>
      <c r="F11948" s="10" t="inlineStr">
        <is>
          <t>Toàn quốc</t>
        </is>
      </c>
      <c r="G11948" s="10" t="inlineStr">
        <is>
          <t>06-04-2026</t>
        </is>
      </c>
      <c r="H11948" s="10" t="inlineStr">
        <is>
          <t>06/04/2026</t>
        </is>
      </c>
      <c r="I11948" s="10" t="inlineStr">
        <is>
          <t>17/03/2026</t>
        </is>
      </c>
      <c r="J11948" s="10" t="inlineStr">
        <is>
          <t>Dược phẩm/ Hóa Mỹ Phẩm, Bán hàng / Kinh doanh, Tư vấn</t>
        </is>
      </c>
      <c r="K11948" s="10" t="inlineStr">
        <is>
          <t>Trên 1 Năm</t>
        </is>
      </c>
      <c r="L11948" s="11">
        <f>HYPERLINK("https://careerviet.vn/vi/tim-viec-lam/trinh-duoc-vien-khu-vuc-ca-mau-kien-giang-lam-dong-long-an-dong-nai.35C6B2D0.html","Xem chi tiết")</f>
        <v/>
      </c>
      <c r="M11948" s="10" t="n"/>
    </row>
    <row r="11949">
      <c r="B11949" s="7" t="n">
        <v>11947</v>
      </c>
      <c r="C11949" t="inlineStr">
        <is>
          <t>Nhân viên kế hoạch sản xuất (bao bì giấy)</t>
        </is>
      </c>
      <c r="D11949" t="inlineStr">
        <is>
          <t>CÔNG TY TNHH IN BAO BÌ TOÀN PHÁT</t>
        </is>
      </c>
      <c r="E11949" t="inlineStr">
        <is>
          <t>Lương:11 Tr - 16 Tr VND</t>
        </is>
      </c>
      <c r="F11949" t="inlineStr">
        <is>
          <t>Hồ Chí Minh</t>
        </is>
      </c>
      <c r="G11949" t="inlineStr">
        <is>
          <t>11-04-2026</t>
        </is>
      </c>
      <c r="H11949" t="inlineStr">
        <is>
          <t>11/04/2026</t>
        </is>
      </c>
      <c r="I11949" t="inlineStr">
        <is>
          <t>17/03/2026</t>
        </is>
      </c>
      <c r="J11949" t="inlineStr">
        <is>
          <t>Quản lý điều hành, Sản xuất / Vận hành sản xuất, In ấn / Xuất bản</t>
        </is>
      </c>
      <c r="K11949" t="inlineStr">
        <is>
          <t>2 - 5 Năm</t>
        </is>
      </c>
      <c r="L11949" s="8">
        <f>HYPERLINK("https://careerviet.vn/vi/tim-viec-lam/nhan-vien-ke-hoach-san-xuat-bao-bi-giay.35C6C4F8.html","Xem chi tiết")</f>
        <v/>
      </c>
    </row>
    <row r="11950">
      <c r="B11950" s="9" t="n">
        <v>11948</v>
      </c>
      <c r="C11950" s="10" t="inlineStr">
        <is>
          <t>Quản lý kho miền Trung</t>
        </is>
      </c>
      <c r="D11950" s="10" t="inlineStr">
        <is>
          <t>Công ty cổ phần văn phòng phẩm Hồng Hà</t>
        </is>
      </c>
      <c r="E11950" s="10" t="inlineStr">
        <is>
          <t>Lương:15 Tr - 20 Tr VND</t>
        </is>
      </c>
      <c r="F11950" s="10" t="inlineStr">
        <is>
          <t>Đà Nẵng</t>
        </is>
      </c>
      <c r="G11950" s="10" t="inlineStr">
        <is>
          <t>08-04-2026</t>
        </is>
      </c>
      <c r="H11950" s="10" t="inlineStr">
        <is>
          <t>08/04/2026</t>
        </is>
      </c>
      <c r="I11950" s="10" t="inlineStr">
        <is>
          <t>17/03/2026</t>
        </is>
      </c>
      <c r="J11950" s="10" t="inlineStr">
        <is>
          <t>Vận chuyển / Giao nhận / Kho vận, Tài chính / Đầu tư, Kế toán / Kiểm toán</t>
        </is>
      </c>
      <c r="K11950" s="10" t="inlineStr">
        <is>
          <t>2 - 3 Năm</t>
        </is>
      </c>
      <c r="L11950" s="11">
        <f>HYPERLINK("https://careerviet.vn/vi/tim-viec-lam/quan-ly-kho-mien-trung.35C6B2D2.html","Xem chi tiết")</f>
        <v/>
      </c>
      <c r="M11950" s="10" t="n"/>
    </row>
    <row r="11951">
      <c r="B11951" s="7" t="n">
        <v>11949</v>
      </c>
      <c r="C11951" t="inlineStr">
        <is>
          <t>Hà Nội - Chuyên viên pháp chế&amp;tuân thủ</t>
        </is>
      </c>
      <c r="D11951" t="inlineStr">
        <is>
          <t>Công Ty Cổ Phần Thép Việt Xô Hà Nội</t>
        </is>
      </c>
      <c r="E11951" t="inlineStr">
        <is>
          <t>Lương:Cạnh tranh</t>
        </is>
      </c>
      <c r="F11951" t="inlineStr">
        <is>
          <t>Hà Nội</t>
        </is>
      </c>
      <c r="G11951" t="inlineStr">
        <is>
          <t>10-04-2026</t>
        </is>
      </c>
      <c r="H11951" t="inlineStr">
        <is>
          <t>10/04/2026</t>
        </is>
      </c>
      <c r="I11951" t="inlineStr">
        <is>
          <t>17/03/2026</t>
        </is>
      </c>
      <c r="J11951" t="inlineStr">
        <is>
          <t>Luật / Pháp lý</t>
        </is>
      </c>
      <c r="K11951" t="inlineStr">
        <is>
          <t>2 - 3 Năm</t>
        </is>
      </c>
      <c r="L11951" s="8">
        <f>HYPERLINK("https://careerviet.vn/vi/tim-viec-lam/ha-noi-chuyen-vien-phap-che-tuan-thu.35C6B2D1.html","Xem chi tiết")</f>
        <v/>
      </c>
    </row>
    <row r="11952">
      <c r="B11952" s="9" t="n">
        <v>11950</v>
      </c>
      <c r="C11952" s="10" t="inlineStr">
        <is>
          <t>Giáo Viên Chủ Nhiệm (Ocean Edu Phủ Lý) - Lương Từ 15 Triệu/Đi Làm Ngay</t>
        </is>
      </c>
      <c r="D11952" s="10" t="inlineStr">
        <is>
          <t>Công Ty CP Giáo Dục Đại Dương</t>
        </is>
      </c>
      <c r="E11952" s="10" t="inlineStr">
        <is>
          <t>Lương:15 Tr - 16 Tr VND</t>
        </is>
      </c>
      <c r="F11952" s="10" t="inlineStr">
        <is>
          <t>Hà Nam</t>
        </is>
      </c>
      <c r="G11952" s="10" t="inlineStr">
        <is>
          <t>03-04-2026</t>
        </is>
      </c>
      <c r="H11952" s="10" t="inlineStr">
        <is>
          <t>03/04/2026</t>
        </is>
      </c>
      <c r="I11952" s="10" t="inlineStr">
        <is>
          <t>17/03/2026</t>
        </is>
      </c>
      <c r="J11952" s="10" t="inlineStr">
        <is>
          <t>Giáo dục / Đào tạo, Bán hàng / Kinh doanh, Biên phiên dịch</t>
        </is>
      </c>
      <c r="K11952" s="10" t="inlineStr">
        <is>
          <t>Trên 1 Năm</t>
        </is>
      </c>
      <c r="L11952" s="11">
        <f>HYPERLINK("https://careerviet.vn/vi/tim-viec-lam/giao-vien-chu-nhiem-ocean-edu-phu-ly-luong-tu-15-trieu-di-lam-ngay.35C6B2DD.html","Xem chi tiết")</f>
        <v/>
      </c>
      <c r="M11952" s="10" t="n"/>
    </row>
    <row r="11953">
      <c r="B11953" s="7" t="n">
        <v>11951</v>
      </c>
      <c r="C11953" t="inlineStr">
        <is>
          <t>KỸ SƯ NƯỚC HÀ NỘI</t>
        </is>
      </c>
      <c r="D11953" t="inlineStr">
        <is>
          <t>Hoàng Huy Group</t>
        </is>
      </c>
      <c r="E11953" t="inlineStr">
        <is>
          <t>Lương:23 Tr - 26 Tr VND</t>
        </is>
      </c>
      <c r="F11953" t="inlineStr">
        <is>
          <t>Hà Nội</t>
        </is>
      </c>
      <c r="G11953" t="inlineStr">
        <is>
          <t>31-03-2026</t>
        </is>
      </c>
      <c r="H11953" t="inlineStr">
        <is>
          <t>31/03/2026</t>
        </is>
      </c>
      <c r="I11953" t="inlineStr">
        <is>
          <t>17/03/2026</t>
        </is>
      </c>
      <c r="J11953" t="inlineStr">
        <is>
          <t>Xây dựng, Bất động sản, Môi trường</t>
        </is>
      </c>
      <c r="K11953" t="inlineStr">
        <is>
          <t>3 - 5 Năm</t>
        </is>
      </c>
      <c r="L11953" s="8">
        <f>HYPERLINK("https://careerviet.vn/vi/tim-viec-lam/ky-su-nuoc-ha-noi.35C6C4FA.html","Xem chi tiết")</f>
        <v/>
      </c>
    </row>
    <row r="11954">
      <c r="B11954" s="9" t="n">
        <v>11952</v>
      </c>
      <c r="C11954" s="10" t="inlineStr">
        <is>
          <t>Trưởng Phòng Quản Lý Sự Kiện</t>
        </is>
      </c>
      <c r="D11954" s="10" t="inlineStr">
        <is>
          <t>Headhunter HRchannels Group</t>
        </is>
      </c>
      <c r="E11954" s="10" t="inlineStr">
        <is>
          <t>Lương:1.500 - 1.700 USD</t>
        </is>
      </c>
      <c r="F11954" s="10" t="inlineStr">
        <is>
          <t>Hà NộiBắc NinhHưng Yên</t>
        </is>
      </c>
      <c r="G11954" s="10" t="inlineStr">
        <is>
          <t>06-04-2026</t>
        </is>
      </c>
      <c r="H11954" s="10" t="inlineStr">
        <is>
          <t>06/04/2026</t>
        </is>
      </c>
      <c r="I11954" s="10" t="inlineStr">
        <is>
          <t>17/03/2026</t>
        </is>
      </c>
      <c r="J11954" s="10" t="inlineStr">
        <is>
          <t>Tổ chức sự kiện, Quảng cáo / Đối ngoại / Truyền Thông</t>
        </is>
      </c>
      <c r="K11954" s="10" t="inlineStr">
        <is>
          <t>3 - 5 Năm</t>
        </is>
      </c>
      <c r="L11954" s="11">
        <f>HYPERLINK("https://careerviet.vn/vi/tim-viec-lam/truong-phong-quan-ly-su-kien.35C6B2CA.html","Xem chi tiết")</f>
        <v/>
      </c>
      <c r="M11954" s="10" t="n"/>
    </row>
    <row r="11955">
      <c r="B11955" s="7" t="n">
        <v>11953</v>
      </c>
      <c r="C11955" t="inlineStr">
        <is>
          <t>Trưởng phòng thiết kế đồ họa (chủ đầu tư BĐS)</t>
        </is>
      </c>
      <c r="D11955" t="inlineStr">
        <is>
          <t>Tập Đoàn Tân Á Đại Thành</t>
        </is>
      </c>
      <c r="E11955" t="inlineStr">
        <is>
          <t>Lương:40 Tr - 45 Tr VND</t>
        </is>
      </c>
      <c r="F11955" t="inlineStr">
        <is>
          <t>Hà Nội</t>
        </is>
      </c>
      <c r="G11955" t="inlineStr">
        <is>
          <t>12-04-2026</t>
        </is>
      </c>
      <c r="H11955" t="inlineStr">
        <is>
          <t>12/04/2026</t>
        </is>
      </c>
      <c r="I11955" t="inlineStr">
        <is>
          <t>17/03/2026</t>
        </is>
      </c>
      <c r="J11955" t="inlineStr">
        <is>
          <t>Mỹ thuật / Nghệ thuật / Thiết kế, Tiếp thị / Marketing, Quảng cáo / Đối ngoại / Truyền Thông</t>
        </is>
      </c>
      <c r="K11955" t="inlineStr">
        <is>
          <t>3 - 5 Năm</t>
        </is>
      </c>
      <c r="L11955" s="8">
        <f>HYPERLINK("https://careerviet.vn/vi/tim-viec-lam/truong-phong-thiet-ke-do-hoa-chu-dau-tu-bds.35C6C4F7.html","Xem chi tiết")</f>
        <v/>
      </c>
    </row>
    <row r="11956">
      <c r="B11956" s="9" t="n">
        <v>11954</v>
      </c>
      <c r="C11956" s="10" t="inlineStr">
        <is>
          <t>Chief Accountant</t>
        </is>
      </c>
      <c r="D11956" s="10" t="inlineStr">
        <is>
          <t>CÔNG TY CỔ PHẦN V-PROBES HOLDINGS</t>
        </is>
      </c>
      <c r="E11956" s="10" t="inlineStr">
        <is>
          <t>Lương:Cạnh tranh</t>
        </is>
      </c>
      <c r="F11956" s="10" t="inlineStr">
        <is>
          <t>Hồ Chí Minh</t>
        </is>
      </c>
      <c r="G11956" s="10" t="inlineStr">
        <is>
          <t>11-04-2026</t>
        </is>
      </c>
      <c r="H11956" s="10" t="inlineStr">
        <is>
          <t>11/04/2026</t>
        </is>
      </c>
      <c r="I11956" s="10" t="inlineStr">
        <is>
          <t>17/03/2026</t>
        </is>
      </c>
      <c r="J11956" s="10" t="inlineStr">
        <is>
          <t>Kế toán / Kiểm toán, Tài chính / Đầu tư, Quản lý điều hành</t>
        </is>
      </c>
      <c r="K11956" s="10" t="inlineStr">
        <is>
          <t>N/A</t>
        </is>
      </c>
      <c r="L11956" s="11">
        <f>HYPERLINK("https://careerviet.vn/vi/tim-viec-lam/chief-accountant.35C6C4E7.html","Xem chi tiết")</f>
        <v/>
      </c>
      <c r="M11956" s="10" t="n"/>
    </row>
    <row r="11957">
      <c r="B11957" s="7" t="n">
        <v>11955</v>
      </c>
      <c r="C11957" t="inlineStr">
        <is>
          <t>HRBP Supervisor</t>
        </is>
      </c>
      <c r="D11957" t="inlineStr">
        <is>
          <t>International Minh Viet Joint Stock Company</t>
        </is>
      </c>
      <c r="E11957" t="inlineStr">
        <is>
          <t>Lương:Cạnh tranh</t>
        </is>
      </c>
      <c r="F11957" t="inlineStr">
        <is>
          <t>Hồ Chí Minh</t>
        </is>
      </c>
      <c r="G11957" t="inlineStr">
        <is>
          <t>20-05-2026</t>
        </is>
      </c>
      <c r="H11957" t="inlineStr">
        <is>
          <t>20/05/2026</t>
        </is>
      </c>
      <c r="I11957" t="inlineStr">
        <is>
          <t>17/03/2026</t>
        </is>
      </c>
      <c r="J11957" t="inlineStr">
        <is>
          <t>Bán hàng / Kinh doanh</t>
        </is>
      </c>
      <c r="K11957" t="inlineStr">
        <is>
          <t>4 - 7 Năm</t>
        </is>
      </c>
      <c r="L11957" s="8">
        <f>HYPERLINK("https://careerviet.vn/vi/tim-viec-lam/hrbp-supervisor.35C6C4F2.html","Xem chi tiết")</f>
        <v/>
      </c>
    </row>
    <row r="11958">
      <c r="B11958" s="9" t="n">
        <v>11956</v>
      </c>
      <c r="C11958" s="10" t="inlineStr">
        <is>
          <t>Nhân viên Host Livestream</t>
        </is>
      </c>
      <c r="D11958" s="10" t="inlineStr">
        <is>
          <t>NANOCO GROUP</t>
        </is>
      </c>
      <c r="E11958" s="10" t="inlineStr">
        <is>
          <t>Lương:Cạnh tranh</t>
        </is>
      </c>
      <c r="F11958" s="10" t="inlineStr">
        <is>
          <t>Hồ Chí Minh</t>
        </is>
      </c>
      <c r="G11958" s="10" t="inlineStr">
        <is>
          <t>11-04-2026</t>
        </is>
      </c>
      <c r="H11958" s="10" t="inlineStr">
        <is>
          <t>11/04/2026</t>
        </is>
      </c>
      <c r="I11958" s="10" t="inlineStr">
        <is>
          <t>17/03/2026</t>
        </is>
      </c>
      <c r="J11958" s="10" t="inlineStr">
        <is>
          <t>Tiếp thị / Marketing, Giải trí, Tổ chức sự kiện</t>
        </is>
      </c>
      <c r="K11958" s="10" t="inlineStr">
        <is>
          <t>1 - 2 Năm</t>
        </is>
      </c>
      <c r="L11958" s="11">
        <f>HYPERLINK("https://careerviet.vn/vi/tim-viec-lam/nhan-vien-host-livestream.35C6C44B.html","Xem chi tiết")</f>
        <v/>
      </c>
      <c r="M11958" s="10" t="n"/>
    </row>
    <row r="11959">
      <c r="B11959" s="7" t="n">
        <v>11957</v>
      </c>
      <c r="C11959" t="inlineStr">
        <is>
          <t>Booking &amp; Affiliate Coordinator</t>
        </is>
      </c>
      <c r="D11959" t="inlineStr">
        <is>
          <t>NANOCO GROUP</t>
        </is>
      </c>
      <c r="E11959" t="inlineStr">
        <is>
          <t>Lương:Cạnh tranh</t>
        </is>
      </c>
      <c r="F11959" t="inlineStr">
        <is>
          <t>Hồ Chí Minh</t>
        </is>
      </c>
      <c r="G11959" t="inlineStr">
        <is>
          <t>11-04-2026</t>
        </is>
      </c>
      <c r="H11959" t="inlineStr">
        <is>
          <t>11/04/2026</t>
        </is>
      </c>
      <c r="I11959" t="inlineStr">
        <is>
          <t>17/03/2026</t>
        </is>
      </c>
      <c r="J11959" t="inlineStr">
        <is>
          <t>Tiếp thị / Marketing, Truyền hình / Báo chí / Biên tập, Quảng cáo / Đối ngoại / Truyền Thông</t>
        </is>
      </c>
      <c r="K11959" t="inlineStr">
        <is>
          <t>1 - 2 Năm</t>
        </is>
      </c>
      <c r="L11959" s="8">
        <f>HYPERLINK("https://careerviet.vn/vi/tim-viec-lam/booking-affiliate-coordinator.35C6C424.html","Xem chi tiết")</f>
        <v/>
      </c>
    </row>
    <row r="11960">
      <c r="B11960" s="9" t="n">
        <v>11958</v>
      </c>
      <c r="C11960" s="10" t="inlineStr">
        <is>
          <t>Product Analyst</t>
        </is>
      </c>
      <c r="D11960" s="10" t="inlineStr">
        <is>
          <t>CÔNG TY CỔ PHẦN KREDIVO VIỆT NAM</t>
        </is>
      </c>
      <c r="E11960" s="10" t="inlineStr">
        <is>
          <t>Lương:Cạnh tranh</t>
        </is>
      </c>
      <c r="F11960" s="10" t="inlineStr">
        <is>
          <t>Hồ Chí Minh</t>
        </is>
      </c>
      <c r="G11960" s="10" t="inlineStr">
        <is>
          <t>10-04-2026</t>
        </is>
      </c>
      <c r="H11960" s="10" t="inlineStr">
        <is>
          <t>10/04/2026</t>
        </is>
      </c>
      <c r="I11960" s="10" t="inlineStr">
        <is>
          <t>17/03/2026</t>
        </is>
      </c>
      <c r="J11960" s="10" t="inlineStr">
        <is>
          <t>Tài chính / Đầu tư, CNTT - Phần mềm</t>
        </is>
      </c>
      <c r="K11960" s="10" t="inlineStr">
        <is>
          <t>3 - 4 Năm</t>
        </is>
      </c>
      <c r="L11960" s="11">
        <f>HYPERLINK("https://careerviet.vn/vi/tim-viec-lam/product-analyst.35C6C4EE.html","Xem chi tiết")</f>
        <v/>
      </c>
      <c r="M11960" s="10" t="n"/>
    </row>
    <row r="11961">
      <c r="B11961" s="7" t="n">
        <v>11959</v>
      </c>
      <c r="C11961" t="inlineStr">
        <is>
          <t>Nhân viên dự thầu</t>
        </is>
      </c>
      <c r="D11961" t="inlineStr">
        <is>
          <t>TECOTEC Technology</t>
        </is>
      </c>
      <c r="E11961" t="inlineStr">
        <is>
          <t>Lương:8 Tr - 15 Tr VND</t>
        </is>
      </c>
      <c r="F11961" t="inlineStr">
        <is>
          <t>Hà Nội</t>
        </is>
      </c>
      <c r="G11961" t="inlineStr">
        <is>
          <t>30-04-2026</t>
        </is>
      </c>
      <c r="H11961" t="inlineStr">
        <is>
          <t>30/04/2026</t>
        </is>
      </c>
      <c r="I11961" t="inlineStr">
        <is>
          <t>17/03/2026</t>
        </is>
      </c>
      <c r="J11961" t="inlineStr">
        <is>
          <t>CNTT - Phần mềm, CNTT - Phần cứng / Mạng</t>
        </is>
      </c>
      <c r="K11961" t="inlineStr">
        <is>
          <t>Trên 3 Năm</t>
        </is>
      </c>
      <c r="L11961" s="8">
        <f>HYPERLINK("https://careerviet.vn/vi/tim-viec-lam/nhan-vien-du-thau.35C6C4E2.html","Xem chi tiết")</f>
        <v/>
      </c>
    </row>
    <row r="11962">
      <c r="B11962" s="9" t="n">
        <v>11960</v>
      </c>
      <c r="C11962" s="10" t="inlineStr">
        <is>
          <t>[FECON RAITO] Thư ký HĐQT &amp; BGĐ</t>
        </is>
      </c>
      <c r="D11962" s="10" t="inlineStr">
        <is>
          <t>Công ty Cổ phần FECON</t>
        </is>
      </c>
      <c r="E11962" s="10" t="inlineStr">
        <is>
          <t>Lương:Cạnh tranh</t>
        </is>
      </c>
      <c r="F11962" s="10" t="inlineStr">
        <is>
          <t>Hà Nội</t>
        </is>
      </c>
      <c r="G11962" s="10" t="inlineStr">
        <is>
          <t>09-04-2026</t>
        </is>
      </c>
      <c r="H11962" s="10" t="inlineStr">
        <is>
          <t>09/04/2026</t>
        </is>
      </c>
      <c r="I11962" s="10" t="inlineStr">
        <is>
          <t>17/03/2026</t>
        </is>
      </c>
      <c r="J11962" s="10" t="inlineStr">
        <is>
          <t>Hành chính / Thư ký, Xây dựng</t>
        </is>
      </c>
      <c r="K11962" s="10" t="inlineStr">
        <is>
          <t>2 - 5 Năm</t>
        </is>
      </c>
      <c r="L11962" s="11">
        <f>HYPERLINK("https://careerviet.vn/vi/tim-viec-lam/fecon-raito-thu-ky-hdqt-bgd.35C6C4EB.html","Xem chi tiết")</f>
        <v/>
      </c>
      <c r="M11962" s="10" t="n"/>
    </row>
    <row r="11963">
      <c r="B11963" s="7" t="n">
        <v>11961</v>
      </c>
      <c r="C11963" t="inlineStr">
        <is>
          <t>E-commerce Content Creator</t>
        </is>
      </c>
      <c r="D11963" t="inlineStr">
        <is>
          <t>NANOCO GROUP</t>
        </is>
      </c>
      <c r="E11963" t="inlineStr">
        <is>
          <t>Lương:Cạnh tranh</t>
        </is>
      </c>
      <c r="F11963" t="inlineStr">
        <is>
          <t>Hồ Chí Minh</t>
        </is>
      </c>
      <c r="G11963" t="inlineStr">
        <is>
          <t>11-04-2026</t>
        </is>
      </c>
      <c r="H11963" t="inlineStr">
        <is>
          <t>11/04/2026</t>
        </is>
      </c>
      <c r="I11963" t="inlineStr">
        <is>
          <t>17/03/2026</t>
        </is>
      </c>
      <c r="J11963" t="inlineStr">
        <is>
          <t>Tiếp thị / Marketing, Truyền hình / Báo chí / Biên tập, Quảng cáo / Đối ngoại / Truyền Thông</t>
        </is>
      </c>
      <c r="K11963" t="inlineStr">
        <is>
          <t>1 - 2 Năm</t>
        </is>
      </c>
      <c r="L11963" s="8">
        <f>HYPERLINK("https://careerviet.vn/vi/tim-viec-lam/e-commerce-content-creator.35C6C40D.html","Xem chi tiết")</f>
        <v/>
      </c>
    </row>
    <row r="11964">
      <c r="B11964" s="9" t="n">
        <v>11962</v>
      </c>
      <c r="C11964" s="10" t="inlineStr">
        <is>
          <t>KỸ SƯ XÂY DỰNG - HÀ NỘI</t>
        </is>
      </c>
      <c r="D11964" s="10" t="inlineStr">
        <is>
          <t>Hoàng Huy Group</t>
        </is>
      </c>
      <c r="E11964" s="10" t="inlineStr">
        <is>
          <t>Lương:23 Tr - 25 Tr VND</t>
        </is>
      </c>
      <c r="F11964" s="10" t="inlineStr">
        <is>
          <t>Hà Nội</t>
        </is>
      </c>
      <c r="G11964" s="10" t="inlineStr">
        <is>
          <t>31-03-2026</t>
        </is>
      </c>
      <c r="H11964" s="10" t="inlineStr">
        <is>
          <t>31/03/2026</t>
        </is>
      </c>
      <c r="I11964" s="10" t="inlineStr">
        <is>
          <t>17/03/2026</t>
        </is>
      </c>
      <c r="J11964" s="10" t="inlineStr">
        <is>
          <t>Kiến trúc, Xây dựng, Bất động sản</t>
        </is>
      </c>
      <c r="K11964" s="10" t="inlineStr">
        <is>
          <t>3 - 5 Năm</t>
        </is>
      </c>
      <c r="L11964" s="11">
        <f>HYPERLINK("https://careerviet.vn/vi/tim-viec-lam/ky-su-xay-dung-ha-noi.35C6C4F0.html","Xem chi tiết")</f>
        <v/>
      </c>
      <c r="M11964" s="10" t="n"/>
    </row>
    <row r="11965">
      <c r="B11965" s="7" t="n">
        <v>11963</v>
      </c>
      <c r="C11965" t="inlineStr">
        <is>
          <t>Nhân Viên Kỹ Thuật Tòa Nhà</t>
        </is>
      </c>
      <c r="D11965" t="inlineStr">
        <is>
          <t>CÔNG TY CỔ PHẦN GREEN SPEED</t>
        </is>
      </c>
      <c r="E11965" t="inlineStr">
        <is>
          <t>Lương:13 Tr - 15 Tr VND</t>
        </is>
      </c>
      <c r="F11965" t="inlineStr">
        <is>
          <t>Hồ Chí Minh</t>
        </is>
      </c>
      <c r="G11965" t="inlineStr">
        <is>
          <t>13-04-2026</t>
        </is>
      </c>
      <c r="H11965" t="inlineStr">
        <is>
          <t>13/04/2026</t>
        </is>
      </c>
      <c r="I11965" t="inlineStr">
        <is>
          <t>17/03/2026</t>
        </is>
      </c>
      <c r="J11965" t="inlineStr">
        <is>
          <t>Hành chính / Thư ký, Nhân sự, Bảo trì / Sửa chữa</t>
        </is>
      </c>
      <c r="K11965" t="inlineStr">
        <is>
          <t>1 - 2 Năm</t>
        </is>
      </c>
      <c r="L11965" s="8">
        <f>HYPERLINK("https://careerviet.vn/vi/tim-viec-lam/nhan-vien-ky-thuat-toa-nha.35C6C4E8.html","Xem chi tiết")</f>
        <v/>
      </c>
    </row>
    <row r="11966">
      <c r="B11966" s="9" t="n">
        <v>11964</v>
      </c>
      <c r="C11966" s="10" t="inlineStr">
        <is>
          <t>Kỹ sư điện tử</t>
        </is>
      </c>
      <c r="D11966" s="10" t="inlineStr">
        <is>
          <t>TECOTEC Technology</t>
        </is>
      </c>
      <c r="E11966" s="10" t="inlineStr">
        <is>
          <t>Lương:8 Tr - 15 Tr VND</t>
        </is>
      </c>
      <c r="F11966" s="10" t="inlineStr">
        <is>
          <t>Hà Nội</t>
        </is>
      </c>
      <c r="G11966" s="10" t="inlineStr">
        <is>
          <t>30-04-2026</t>
        </is>
      </c>
      <c r="H11966" s="10" t="inlineStr">
        <is>
          <t>30/04/2026</t>
        </is>
      </c>
      <c r="I11966" s="10" t="inlineStr">
        <is>
          <t>17/03/2026</t>
        </is>
      </c>
      <c r="J11966" s="10" t="inlineStr">
        <is>
          <t>Điện / Điện tử / Điện lạnh / Điện công nghiệp, Cơ khí / Ô tô / Tự động hóa, Mới tốt nghiệp / Thực tập</t>
        </is>
      </c>
      <c r="K11966" s="10" t="inlineStr">
        <is>
          <t>1 - 3 Năm</t>
        </is>
      </c>
      <c r="L11966" s="11">
        <f>HYPERLINK("https://careerviet.vn/vi/tim-viec-lam/ky-su-dien-tu.35C6C4D8.html","Xem chi tiết")</f>
        <v/>
      </c>
      <c r="M11966" s="10" t="n"/>
    </row>
    <row r="11967">
      <c r="B11967" s="7" t="n">
        <v>11965</v>
      </c>
      <c r="C11967" t="inlineStr">
        <is>
          <t>KỸ SƯ THIẾT KẾ XÂY DỰNG</t>
        </is>
      </c>
      <c r="D11967" t="inlineStr">
        <is>
          <t>Công ty Cổ Phần KAIKO</t>
        </is>
      </c>
      <c r="E11967" t="inlineStr">
        <is>
          <t>Lương:14 Tr - 20 Tr VND</t>
        </is>
      </c>
      <c r="F11967" t="inlineStr">
        <is>
          <t>Hà Nội</t>
        </is>
      </c>
      <c r="G11967" t="inlineStr">
        <is>
          <t>04-04-2026</t>
        </is>
      </c>
      <c r="H11967" t="inlineStr">
        <is>
          <t>04/04/2026</t>
        </is>
      </c>
      <c r="I11967" t="inlineStr">
        <is>
          <t>17/03/2026</t>
        </is>
      </c>
      <c r="J11967" t="inlineStr">
        <is>
          <t>Kiến trúc, Xây dựng, Nội ngoại thất</t>
        </is>
      </c>
      <c r="K11967" t="inlineStr">
        <is>
          <t>N/A</t>
        </is>
      </c>
      <c r="L11967" s="8">
        <f>HYPERLINK("https://careerviet.vn/vi/tim-viec-lam/ky-su-thiet-ke-xay-dung.35C6C4DC.html","Xem chi tiết")</f>
        <v/>
      </c>
    </row>
    <row r="11968">
      <c r="B11968" s="9" t="n">
        <v>11966</v>
      </c>
      <c r="C11968" s="10" t="inlineStr">
        <is>
          <t>[Hà Nội] Kế toán quản trị (có Tiếng Hàn)</t>
        </is>
      </c>
      <c r="D11968" s="10" t="inlineStr">
        <is>
          <t>CÔNG TY TNHH DAESANG VIỆT NAM</t>
        </is>
      </c>
      <c r="E11968" s="10" t="inlineStr">
        <is>
          <t>Lương:15 Tr - 25 Tr VND</t>
        </is>
      </c>
      <c r="F11968" s="10" t="inlineStr">
        <is>
          <t>Hà Nội</t>
        </is>
      </c>
      <c r="G11968" s="10" t="inlineStr">
        <is>
          <t>30-04-2026</t>
        </is>
      </c>
      <c r="H11968" s="10" t="inlineStr">
        <is>
          <t>30/04/2026</t>
        </is>
      </c>
      <c r="I11968" s="10" t="inlineStr">
        <is>
          <t>17/03/2026</t>
        </is>
      </c>
      <c r="J11968" s="10" t="inlineStr">
        <is>
          <t>Kế toán / Kiểm toán, Ngân hàng</t>
        </is>
      </c>
      <c r="K11968" s="10" t="inlineStr">
        <is>
          <t>3 - 5 Năm</t>
        </is>
      </c>
      <c r="L11968" s="11">
        <f>HYPERLINK("https://careerviet.vn/vi/tim-viec-lam/ha-noi-ke-toan-quan-tri-co-tieng-han.35C6C4DE.html","Xem chi tiết")</f>
        <v/>
      </c>
      <c r="M11968" s="10" t="n"/>
    </row>
    <row r="11969">
      <c r="B11969" s="7" t="n">
        <v>11967</v>
      </c>
      <c r="C11969" t="inlineStr">
        <is>
          <t>CHỈ HUY TRƯỞNG</t>
        </is>
      </c>
      <c r="D11969" t="inlineStr">
        <is>
          <t>Công Ty Cổ Phần Eurowindow</t>
        </is>
      </c>
      <c r="E11969" t="inlineStr">
        <is>
          <t>Lương:20 Tr - 30 Tr VND</t>
        </is>
      </c>
      <c r="F11969" t="inlineStr">
        <is>
          <t>Hồ Chí Minh</t>
        </is>
      </c>
      <c r="G11969" t="inlineStr">
        <is>
          <t>29-04-2026</t>
        </is>
      </c>
      <c r="H11969" t="inlineStr">
        <is>
          <t>29/04/2026</t>
        </is>
      </c>
      <c r="I11969" t="inlineStr">
        <is>
          <t>17/03/2026</t>
        </is>
      </c>
      <c r="J11969" t="inlineStr">
        <is>
          <t>Kiến trúc, Xây dựng, Quản lý chất lượng (QA/QC)</t>
        </is>
      </c>
      <c r="K11969" t="inlineStr">
        <is>
          <t>2 - 3 Năm</t>
        </is>
      </c>
      <c r="L11969" s="8">
        <f>HYPERLINK("https://careerviet.vn/vi/tim-viec-lam/chi-huy-truong.35C6C4D7.html","Xem chi tiết")</f>
        <v/>
      </c>
    </row>
    <row r="11970">
      <c r="B11970" s="9" t="n">
        <v>11968</v>
      </c>
      <c r="C11970" s="10" t="inlineStr">
        <is>
          <t>[Nova Retail] Giám Đốc Điều Hành Siêu Thị Nội Thất</t>
        </is>
      </c>
      <c r="D11970" s="10" t="inlineStr">
        <is>
          <t>Nova Service Group - Công ty Cổ phần Tập đoàn Nova Services</t>
        </is>
      </c>
      <c r="E11970" s="10" t="inlineStr">
        <is>
          <t>Lương:Cạnh tranh</t>
        </is>
      </c>
      <c r="F11970" s="10" t="inlineStr">
        <is>
          <t>Hồ Chí Minh</t>
        </is>
      </c>
      <c r="G11970" s="10" t="inlineStr">
        <is>
          <t>30-04-2026</t>
        </is>
      </c>
      <c r="H11970" s="10" t="inlineStr">
        <is>
          <t>30/04/2026</t>
        </is>
      </c>
      <c r="I11970" s="10" t="inlineStr">
        <is>
          <t>17/03/2026</t>
        </is>
      </c>
      <c r="J11970" s="10" t="inlineStr">
        <is>
          <t>Đồ gỗ, Nội ngoại thất, Kiến trúc</t>
        </is>
      </c>
      <c r="K11970" s="10" t="inlineStr">
        <is>
          <t>5 - 10 Năm</t>
        </is>
      </c>
      <c r="L11970" s="11">
        <f>HYPERLINK("https://careerviet.vn/vi/tim-viec-lam/nova-retail-giam-doc-dieu-hanh-sieu-thi-noi-that.35C6C4E9.html","Xem chi tiết")</f>
        <v/>
      </c>
      <c r="M11970" s="10" t="n"/>
    </row>
    <row r="11971">
      <c r="B11971" s="7" t="n">
        <v>11969</v>
      </c>
      <c r="C11971" t="inlineStr">
        <is>
          <t>Electronics Engineer</t>
        </is>
      </c>
      <c r="D11971" t="inlineStr">
        <is>
          <t>TECOTEC Technology</t>
        </is>
      </c>
      <c r="E11971" t="inlineStr">
        <is>
          <t>Lương:8 Tr - 15 Tr VND</t>
        </is>
      </c>
      <c r="F11971" t="inlineStr">
        <is>
          <t>Hà Nội</t>
        </is>
      </c>
      <c r="G11971" t="inlineStr">
        <is>
          <t>30-04-2026</t>
        </is>
      </c>
      <c r="H11971" t="inlineStr">
        <is>
          <t>30/04/2026</t>
        </is>
      </c>
      <c r="I11971" t="inlineStr">
        <is>
          <t>17/03/2026</t>
        </is>
      </c>
      <c r="J11971" t="inlineStr">
        <is>
          <t>Điện / Điện tử / Điện lạnh / Điện công nghiệp, Cơ khí / Ô tô / Tự động hóa, Mới tốt nghiệp / Thực tập</t>
        </is>
      </c>
      <c r="K11971" t="inlineStr">
        <is>
          <t>1 - 3 Năm</t>
        </is>
      </c>
      <c r="L11971" s="8">
        <f>HYPERLINK("https://careerviet.vn/vi/tim-viec-lam/electronics-engineer.35C6C4E0.html","Xem chi tiết")</f>
        <v/>
      </c>
    </row>
    <row r="11972">
      <c r="B11972" s="9" t="n">
        <v>11970</v>
      </c>
      <c r="C11972" s="10" t="inlineStr">
        <is>
          <t>Nhân viên bán hàng tại showroom</t>
        </is>
      </c>
      <c r="D11972" s="10" t="inlineStr">
        <is>
          <t>CÔNG TY TNHH SẢN XUẤT VÀ THƯƠNG MẠI TRƯƠNG VUI</t>
        </is>
      </c>
      <c r="E11972" s="10" t="inlineStr">
        <is>
          <t>Lương:10 Tr - 11 Tr VND</t>
        </is>
      </c>
      <c r="F11972" s="10" t="inlineStr">
        <is>
          <t>Hồ Chí Minh</t>
        </is>
      </c>
      <c r="G11972" s="10" t="inlineStr">
        <is>
          <t>31-05-2026</t>
        </is>
      </c>
      <c r="H11972" s="10" t="inlineStr">
        <is>
          <t>31/05/2026</t>
        </is>
      </c>
      <c r="I11972" s="10" t="inlineStr">
        <is>
          <t>17/03/2026</t>
        </is>
      </c>
      <c r="J11972" s="10" t="inlineStr">
        <is>
          <t>Bán hàng / Kinh doanh</t>
        </is>
      </c>
      <c r="K11972" s="10" t="inlineStr">
        <is>
          <t>1 - 2 Năm</t>
        </is>
      </c>
      <c r="L11972" s="11">
        <f>HYPERLINK("https://careerviet.vn/vi/tim-viec-lam/nhan-vien-ban-hang-tai-showroom.35C6C4DB.html","Xem chi tiết")</f>
        <v/>
      </c>
      <c r="M11972" s="10" t="n"/>
    </row>
    <row r="11973">
      <c r="B11973" s="7" t="n">
        <v>11971</v>
      </c>
      <c r="C11973" t="inlineStr">
        <is>
          <t>KỸ SƯ GIÁM SÁT THI CÔNG</t>
        </is>
      </c>
      <c r="D11973" t="inlineStr">
        <is>
          <t>Công ty Cổ Phần KAIKO</t>
        </is>
      </c>
      <c r="E11973" t="inlineStr">
        <is>
          <t>Lương:15 Tr - 25 Tr VND</t>
        </is>
      </c>
      <c r="F11973" t="inlineStr">
        <is>
          <t>Hà Nội</t>
        </is>
      </c>
      <c r="G11973" t="inlineStr">
        <is>
          <t>04-04-2026</t>
        </is>
      </c>
      <c r="H11973" t="inlineStr">
        <is>
          <t>04/04/2026</t>
        </is>
      </c>
      <c r="I11973" t="inlineStr">
        <is>
          <t>17/03/2026</t>
        </is>
      </c>
      <c r="J11973" t="inlineStr">
        <is>
          <t>Kiến trúc, Xây dựng, Bất động sản</t>
        </is>
      </c>
      <c r="K11973" t="inlineStr">
        <is>
          <t>Chưa có kinh nghiệm</t>
        </is>
      </c>
      <c r="L11973" s="8">
        <f>HYPERLINK("https://careerviet.vn/vi/tim-viec-lam/ky-su-giam-sat-thi-cong.35C6C4E1.html","Xem chi tiết")</f>
        <v/>
      </c>
    </row>
    <row r="11974">
      <c r="B11974" s="9" t="n">
        <v>11972</v>
      </c>
      <c r="C11974" s="10" t="inlineStr">
        <is>
          <t>Senior Talent Acquisition (Mạnh tuyển Mass)</t>
        </is>
      </c>
      <c r="D11974" s="10" t="inlineStr">
        <is>
          <t>HMK Eyewear</t>
        </is>
      </c>
      <c r="E11974" s="10" t="inlineStr">
        <is>
          <t>Lương:15 Tr - 20 Tr VND</t>
        </is>
      </c>
      <c r="F11974" s="10" t="inlineStr">
        <is>
          <t>Hồ Chí Minh</t>
        </is>
      </c>
      <c r="G11974" s="10" t="inlineStr">
        <is>
          <t>31-03-2026</t>
        </is>
      </c>
      <c r="H11974" s="10" t="inlineStr">
        <is>
          <t>31/03/2026</t>
        </is>
      </c>
      <c r="I11974" s="10" t="inlineStr">
        <is>
          <t>17/03/2026</t>
        </is>
      </c>
      <c r="J11974" s="10" t="inlineStr">
        <is>
          <t>Hành chính / Thư ký, Nhân sự, Luật / Pháp lý</t>
        </is>
      </c>
      <c r="K11974" s="10" t="inlineStr">
        <is>
          <t>2 - 3 Năm</t>
        </is>
      </c>
      <c r="L11974" s="11">
        <f>HYPERLINK("https://careerviet.vn/vi/tim-viec-lam/senior-talent-acquisition-manh-tuyen-mass.35C6C4E5.html","Xem chi tiết")</f>
        <v/>
      </c>
      <c r="M11974" s="10" t="n"/>
    </row>
    <row r="11975">
      <c r="B11975" s="7" t="n">
        <v>11973</v>
      </c>
      <c r="C11975" t="inlineStr">
        <is>
          <t>QUẢN LÝ CHẤT LƯỢNG PQC</t>
        </is>
      </c>
      <c r="D11975" t="inlineStr">
        <is>
          <t>CÔNG TY TNHH INZI VINA</t>
        </is>
      </c>
      <c r="E11975" t="inlineStr">
        <is>
          <t>Lương:Cạnh tranh</t>
        </is>
      </c>
      <c r="F11975" t="inlineStr">
        <is>
          <t>Đồng Nai</t>
        </is>
      </c>
      <c r="G11975" t="inlineStr">
        <is>
          <t>30-04-2026</t>
        </is>
      </c>
      <c r="H11975" t="inlineStr">
        <is>
          <t>30/04/2026</t>
        </is>
      </c>
      <c r="I11975" t="inlineStr">
        <is>
          <t>17/03/2026</t>
        </is>
      </c>
      <c r="J11975" t="inlineStr">
        <is>
          <t>Cơ khí / Ô tô / Tự động hóa, Điện / Điện tử / Điện lạnh / Điện công nghiệp, Quản lý chất lượng (QA/QC)</t>
        </is>
      </c>
      <c r="K11975" t="inlineStr">
        <is>
          <t>Trên 4 Năm</t>
        </is>
      </c>
      <c r="L11975" s="8">
        <f>HYPERLINK("https://careerviet.vn/vi/tim-viec-lam/quan-ly-chat-luong-pqc.35C6C4D6.html","Xem chi tiết")</f>
        <v/>
      </c>
    </row>
    <row r="11976">
      <c r="B11976" s="9" t="n">
        <v>11974</v>
      </c>
      <c r="C11976" s="10" t="inlineStr">
        <is>
          <t>Hiệu trưởng/ Giám đốc cơ sở Trường mầm non - Cơ sở Quận 2</t>
        </is>
      </c>
      <c r="D11976" s="10" t="inlineStr">
        <is>
          <t>CÔNG TY CỔ PHẦN ĐẦU TƯ GIÁO DỤC VIỆT MỸ</t>
        </is>
      </c>
      <c r="E11976" s="10" t="inlineStr">
        <is>
          <t>Lương:Cạnh tranh</t>
        </is>
      </c>
      <c r="F11976" s="10" t="inlineStr">
        <is>
          <t>Hồ Chí Minh</t>
        </is>
      </c>
      <c r="G11976" s="10" t="inlineStr">
        <is>
          <t>06-04-2026</t>
        </is>
      </c>
      <c r="H11976" s="10" t="inlineStr">
        <is>
          <t>06/04/2026</t>
        </is>
      </c>
      <c r="I11976" s="10" t="inlineStr">
        <is>
          <t>17/03/2026</t>
        </is>
      </c>
      <c r="J11976" s="10" t="inlineStr">
        <is>
          <t>Giáo dục / Đào tạo, Quản lý điều hành, Dịch vụ khách hàng</t>
        </is>
      </c>
      <c r="K11976" s="10" t="inlineStr">
        <is>
          <t>3 - 5 Năm</t>
        </is>
      </c>
      <c r="L11976" s="11">
        <f>HYPERLINK("https://careerviet.vn/vi/tim-viec-lam/hieu-truong-giam-doc-co-so-truong-mam-non-co-so-quan-2.35C6C4C3.html","Xem chi tiết")</f>
        <v/>
      </c>
      <c r="M11976" s="10" t="n"/>
    </row>
    <row r="11977">
      <c r="B11977" s="7" t="n">
        <v>11975</v>
      </c>
      <c r="C11977" t="inlineStr">
        <is>
          <t>PHIÊN DỊCH TIẾNG HÀN</t>
        </is>
      </c>
      <c r="D11977" t="inlineStr">
        <is>
          <t>CÔNG TY TNHH NOBLAND VIỆT NAM</t>
        </is>
      </c>
      <c r="E11977" t="inlineStr">
        <is>
          <t>Lương:Trên 20 Tr VND</t>
        </is>
      </c>
      <c r="F11977" t="inlineStr">
        <is>
          <t>Hồ Chí Minh</t>
        </is>
      </c>
      <c r="G11977" t="inlineStr">
        <is>
          <t>30-04-2026</t>
        </is>
      </c>
      <c r="H11977" t="inlineStr">
        <is>
          <t>30/04/2026</t>
        </is>
      </c>
      <c r="I11977" t="inlineStr">
        <is>
          <t>17/03/2026</t>
        </is>
      </c>
      <c r="J11977" t="inlineStr">
        <is>
          <t>Biên phiên dịch, Sản xuất / Vận hành sản xuất</t>
        </is>
      </c>
      <c r="K11977" t="inlineStr">
        <is>
          <t>1 - 5 Năm</t>
        </is>
      </c>
      <c r="L11977" s="8">
        <f>HYPERLINK("https://careerviet.vn/vi/tim-viec-lam/phien-dich-tieng-han.35C6C4CC.html","Xem chi tiết")</f>
        <v/>
      </c>
    </row>
    <row r="11978">
      <c r="B11978" s="9" t="n">
        <v>11976</v>
      </c>
      <c r="C11978" s="10" t="inlineStr">
        <is>
          <t>Giám đốc Marketing</t>
        </is>
      </c>
      <c r="D11978" s="10" t="inlineStr">
        <is>
          <t>CÔNG TY CỔ PHẦN ĐẦU TƯ INFINITY GROUP</t>
        </is>
      </c>
      <c r="E11978" s="10" t="inlineStr">
        <is>
          <t>Lương:Cạnh tranh</t>
        </is>
      </c>
      <c r="F11978" s="10" t="inlineStr">
        <is>
          <t>Hà Nội</t>
        </is>
      </c>
      <c r="G11978" s="10" t="inlineStr">
        <is>
          <t>30-04-2026</t>
        </is>
      </c>
      <c r="H11978" s="10" t="inlineStr">
        <is>
          <t>30/04/2026</t>
        </is>
      </c>
      <c r="I11978" s="10" t="inlineStr">
        <is>
          <t>17/03/2026</t>
        </is>
      </c>
      <c r="J11978" s="10" t="inlineStr">
        <is>
          <t>Bất động sản, Tiếp thị / Marketing, Truyền hình / Báo chí / Biên tập</t>
        </is>
      </c>
      <c r="K11978" s="10" t="inlineStr">
        <is>
          <t>10 - 20 Năm</t>
        </is>
      </c>
      <c r="L11978" s="11">
        <f>HYPERLINK("https://careerviet.vn/vi/tim-viec-lam/giam-doc-marketing.35C6C4CA.html","Xem chi tiết")</f>
        <v/>
      </c>
      <c r="M11978" s="10" t="n"/>
    </row>
    <row r="11979">
      <c r="B11979" s="7" t="n">
        <v>11977</v>
      </c>
      <c r="C11979" t="inlineStr">
        <is>
          <t>BUSINESS ANALYST (DIGITAL TRANSFORMATION)</t>
        </is>
      </c>
      <c r="D11979" t="inlineStr">
        <is>
          <t>IDOCEAN Co.,ltd</t>
        </is>
      </c>
      <c r="E11979" t="inlineStr">
        <is>
          <t>Lương:Cạnh tranh</t>
        </is>
      </c>
      <c r="F11979" t="inlineStr">
        <is>
          <t>Hồ Chí Minh</t>
        </is>
      </c>
      <c r="G11979" t="inlineStr">
        <is>
          <t>18-04-2026</t>
        </is>
      </c>
      <c r="H11979" t="inlineStr">
        <is>
          <t>18/04/2026</t>
        </is>
      </c>
      <c r="I11979" t="inlineStr">
        <is>
          <t>17/03/2026</t>
        </is>
      </c>
      <c r="J11979" t="inlineStr">
        <is>
          <t>Bán hàng / Kinh doanh, Kế toán / Kiểm toán, Tài chính / Đầu tư</t>
        </is>
      </c>
      <c r="K11979" t="inlineStr">
        <is>
          <t>2 - 7 Năm</t>
        </is>
      </c>
      <c r="L11979" s="8">
        <f>HYPERLINK("https://careerviet.vn/vi/tim-viec-lam/business-analyst-digital-transformation.35C6C4CB.html","Xem chi tiết")</f>
        <v/>
      </c>
    </row>
    <row r="11980">
      <c r="B11980" s="9" t="n">
        <v>11978</v>
      </c>
      <c r="C11980" s="10" t="inlineStr">
        <is>
          <t>Chuyên viên pháp chế Bất Động Sản</t>
        </is>
      </c>
      <c r="D11980" s="10" t="inlineStr">
        <is>
          <t>CÔNG TY CỔ PHẦN ĐẦU TƯ INFINITY GROUP</t>
        </is>
      </c>
      <c r="E11980" s="10" t="inlineStr">
        <is>
          <t>Lương:25 Tr - 30 Tr VND</t>
        </is>
      </c>
      <c r="F11980" s="10" t="inlineStr">
        <is>
          <t>Hà Nội</t>
        </is>
      </c>
      <c r="G11980" s="10" t="inlineStr">
        <is>
          <t>15-04-2026</t>
        </is>
      </c>
      <c r="H11980" s="10" t="inlineStr">
        <is>
          <t>15/04/2026</t>
        </is>
      </c>
      <c r="I11980" s="10" t="inlineStr">
        <is>
          <t>17/03/2026</t>
        </is>
      </c>
      <c r="J11980" s="10" t="inlineStr">
        <is>
          <t>Luật / Pháp lý, Bất động sản</t>
        </is>
      </c>
      <c r="K11980" s="10" t="inlineStr">
        <is>
          <t>Chưa có kinh nghiệm</t>
        </is>
      </c>
      <c r="L11980" s="11">
        <f>HYPERLINK("https://careerviet.vn/vi/tim-viec-lam/chuyen-vien-phap-che-bat-dong-san.35C6C4BE.html","Xem chi tiết")</f>
        <v/>
      </c>
      <c r="M11980" s="10" t="n"/>
    </row>
    <row r="11981">
      <c r="B11981" s="7" t="n">
        <v>11979</v>
      </c>
      <c r="C11981" t="inlineStr">
        <is>
          <t>Nhân Viên Bảo Trì Cơ Khí</t>
        </is>
      </c>
      <c r="D11981" t="inlineStr">
        <is>
          <t>CÔNG TY CỔ PHẦN HỒ TIÊU VIỆT</t>
        </is>
      </c>
      <c r="E11981" t="inlineStr">
        <is>
          <t>Lương:Cạnh tranh</t>
        </is>
      </c>
      <c r="F11981" t="inlineStr">
        <is>
          <t>Hồ Chí Minh</t>
        </is>
      </c>
      <c r="G11981" t="inlineStr">
        <is>
          <t>12-04-2026</t>
        </is>
      </c>
      <c r="H11981" t="inlineStr">
        <is>
          <t>12/04/2026</t>
        </is>
      </c>
      <c r="I11981" t="inlineStr">
        <is>
          <t>17/03/2026</t>
        </is>
      </c>
      <c r="J11981" t="inlineStr">
        <is>
          <t>Sản xuất / Vận hành sản xuất, Cơ khí / Ô tô / Tự động hóa, Điện / Điện tử / Điện lạnh / Điện công nghiệp</t>
        </is>
      </c>
      <c r="K11981" t="inlineStr">
        <is>
          <t>Trên 2 Năm</t>
        </is>
      </c>
      <c r="L11981" s="8">
        <f>HYPERLINK("https://careerviet.vn/vi/tim-viec-lam/nhan-vien-bao-tri-co-khi.35C6C4BD.html","Xem chi tiết")</f>
        <v/>
      </c>
    </row>
    <row r="11982">
      <c r="B11982" s="9" t="n">
        <v>11980</v>
      </c>
      <c r="C11982" s="10" t="inlineStr">
        <is>
          <t>THỰC TẬP SINH TƯ VẤN ĐẦU TƯ CHỨNG KHOÁN (NHA TRANG)</t>
        </is>
      </c>
      <c r="D11982" s="10" t="inlineStr">
        <is>
          <t>VDSC - Công ty CP Chứng khoán Rồng Việt</t>
        </is>
      </c>
      <c r="E11982" s="10" t="inlineStr">
        <is>
          <t>Lương:3 Tr - 5 Tr VND</t>
        </is>
      </c>
      <c r="F11982" s="10" t="inlineStr">
        <is>
          <t>Khánh Hòa</t>
        </is>
      </c>
      <c r="G11982" s="10" t="inlineStr">
        <is>
          <t>30-04-2026</t>
        </is>
      </c>
      <c r="H11982" s="10" t="inlineStr">
        <is>
          <t>30/04/2026</t>
        </is>
      </c>
      <c r="I11982" s="10" t="inlineStr">
        <is>
          <t>17/03/2026</t>
        </is>
      </c>
      <c r="J11982" s="10" t="inlineStr">
        <is>
          <t>Ngân hàng, Chứng khoán, Tài chính / Đầu tư</t>
        </is>
      </c>
      <c r="K11982" s="10" t="inlineStr">
        <is>
          <t>N/A</t>
        </is>
      </c>
      <c r="L11982" s="11">
        <f>HYPERLINK("https://careerviet.vn/vi/tim-viec-lam/thuc-tap-sinh-tu-van-dau-tu-chung-khoan-nha-trang.35C6C4BC.html","Xem chi tiết")</f>
        <v/>
      </c>
      <c r="M11982" s="10" t="n"/>
    </row>
    <row r="11983">
      <c r="B11983" s="7" t="n">
        <v>11981</v>
      </c>
      <c r="C11983" t="inlineStr">
        <is>
          <t>Nhân viên Media</t>
        </is>
      </c>
      <c r="D11983" t="inlineStr">
        <is>
          <t>CÔNG TY TNHH SẢN XUẤT VÀ THƯƠNG MẠI TRƯƠNG VUI</t>
        </is>
      </c>
      <c r="E11983" t="inlineStr">
        <is>
          <t>Lương:12 Tr - 16 Tr VND</t>
        </is>
      </c>
      <c r="F11983" t="inlineStr">
        <is>
          <t>Hồ Chí Minh</t>
        </is>
      </c>
      <c r="G11983" t="inlineStr">
        <is>
          <t>31-05-2026</t>
        </is>
      </c>
      <c r="H11983" t="inlineStr">
        <is>
          <t>31/05/2026</t>
        </is>
      </c>
      <c r="I11983" t="inlineStr">
        <is>
          <t>17/03/2026</t>
        </is>
      </c>
      <c r="J11983" t="inlineStr">
        <is>
          <t>Tiếp thị / Marketing</t>
        </is>
      </c>
      <c r="K11983" t="inlineStr">
        <is>
          <t>1 - 2 Năm</t>
        </is>
      </c>
      <c r="L11983" s="8">
        <f>HYPERLINK("https://careerviet.vn/vi/tim-viec-lam/nhan-vien-media.35C6C4CE.html","Xem chi tiết")</f>
        <v/>
      </c>
    </row>
    <row r="11984">
      <c r="B11984" s="9" t="n">
        <v>11982</v>
      </c>
      <c r="C11984" s="10" t="inlineStr">
        <is>
          <t>Chuyên viên vận hành phần mềm</t>
        </is>
      </c>
      <c r="D11984" s="10" t="inlineStr">
        <is>
          <t>Tập Đoàn Tân Á Đại Thành</t>
        </is>
      </c>
      <c r="E11984" s="10" t="inlineStr">
        <is>
          <t>Lương:10 Tr - 12 Tr VND</t>
        </is>
      </c>
      <c r="F11984" s="10" t="inlineStr">
        <is>
          <t>Hà Nội</t>
        </is>
      </c>
      <c r="G11984" s="10" t="inlineStr">
        <is>
          <t>11-04-2026</t>
        </is>
      </c>
      <c r="H11984" s="10" t="inlineStr">
        <is>
          <t>11/04/2026</t>
        </is>
      </c>
      <c r="I11984" s="10" t="inlineStr">
        <is>
          <t>17/03/2026</t>
        </is>
      </c>
      <c r="J11984" s="10" t="inlineStr">
        <is>
          <t>CNTT - Phần mềm, CNTT - Phần cứng / Mạng</t>
        </is>
      </c>
      <c r="K11984" s="10" t="inlineStr">
        <is>
          <t>Trên 1 Năm</t>
        </is>
      </c>
      <c r="L11984" s="11">
        <f>HYPERLINK("https://careerviet.vn/vi/tim-viec-lam/chuyen-vien-van-hanh-phan-mem.35C6C4A0.html","Xem chi tiết")</f>
        <v/>
      </c>
      <c r="M11984" s="10" t="n"/>
    </row>
    <row r="11985">
      <c r="B11985" s="7" t="n">
        <v>11983</v>
      </c>
      <c r="C11985" t="inlineStr">
        <is>
          <t>Quản lý vùng</t>
        </is>
      </c>
      <c r="D11985" t="inlineStr">
        <is>
          <t>CÔNG TY TNHH THƯƠNG MẠI VÀ DỊCH VỤ TALAD THAI</t>
        </is>
      </c>
      <c r="E11985" t="inlineStr">
        <is>
          <t>Lương:22 Tr - 25 Tr VND</t>
        </is>
      </c>
      <c r="F11985" t="inlineStr">
        <is>
          <t>Hà Nội</t>
        </is>
      </c>
      <c r="G11985" t="inlineStr">
        <is>
          <t>31-03-2026</t>
        </is>
      </c>
      <c r="H11985" t="inlineStr">
        <is>
          <t>31/03/2026</t>
        </is>
      </c>
      <c r="I11985" t="inlineStr">
        <is>
          <t>17/03/2026</t>
        </is>
      </c>
      <c r="J11985" t="inlineStr">
        <is>
          <t>Nhà hàng / Khách sạn</t>
        </is>
      </c>
      <c r="K11985" t="inlineStr">
        <is>
          <t>Trên 1 Năm</t>
        </is>
      </c>
      <c r="L11985" s="8">
        <f>HYPERLINK("https://careerviet.vn/vi/tim-viec-lam/quan-ly-vung.35C6C4B7.html","Xem chi tiết")</f>
        <v/>
      </c>
    </row>
    <row r="11986">
      <c r="B11986" s="9" t="n">
        <v>11984</v>
      </c>
      <c r="C11986" s="10" t="inlineStr">
        <is>
          <t>Kỹ sư hạ tầng giao thông</t>
        </is>
      </c>
      <c r="D11986" s="10" t="inlineStr">
        <is>
          <t>CÔNG TY CỔ PHẦN VẬT LIỆU VĨNH TÂN</t>
        </is>
      </c>
      <c r="E11986" s="10" t="inlineStr">
        <is>
          <t>Lương:20 Tr - 30 Tr VND</t>
        </is>
      </c>
      <c r="F11986" s="10" t="inlineStr">
        <is>
          <t>Hà Nội</t>
        </is>
      </c>
      <c r="G11986" s="10" t="inlineStr">
        <is>
          <t>12-04-2026</t>
        </is>
      </c>
      <c r="H11986" s="10" t="inlineStr">
        <is>
          <t>12/04/2026</t>
        </is>
      </c>
      <c r="I11986" s="10" t="inlineStr">
        <is>
          <t>17/03/2026</t>
        </is>
      </c>
      <c r="J11986" s="10" t="inlineStr">
        <is>
          <t>Kiến trúc, Xây dựng</t>
        </is>
      </c>
      <c r="K11986" s="10" t="inlineStr">
        <is>
          <t>3 - 5 Năm</t>
        </is>
      </c>
      <c r="L11986" s="11">
        <f>HYPERLINK("https://careerviet.vn/vi/tim-viec-lam/ky-su-ha-tang-giao-thong.35C64C9A.html","Xem chi tiết")</f>
        <v/>
      </c>
      <c r="M11986" s="10" t="n"/>
    </row>
    <row r="11987">
      <c r="B11987" s="7" t="n">
        <v>11985</v>
      </c>
      <c r="C11987" t="inlineStr">
        <is>
          <t>Chuyên gia nghiên cứu và phát triển sản phẩm tín dụng - Khối Khách hàng doanh nghiệp</t>
        </is>
      </c>
      <c r="D11987" t="inlineStr">
        <is>
          <t>Ngân hàng TMCP Đại Chúng Việt Nam - PVcomBank</t>
        </is>
      </c>
      <c r="E11987" t="inlineStr">
        <is>
          <t>Lương:Cạnh tranh</t>
        </is>
      </c>
      <c r="F11987" t="inlineStr">
        <is>
          <t>Hà Nội</t>
        </is>
      </c>
      <c r="G11987" t="inlineStr">
        <is>
          <t>09-04-2026</t>
        </is>
      </c>
      <c r="H11987" t="inlineStr">
        <is>
          <t>09/04/2026</t>
        </is>
      </c>
      <c r="I11987" t="inlineStr">
        <is>
          <t>17/03/2026</t>
        </is>
      </c>
      <c r="J11987" t="inlineStr">
        <is>
          <t>Ngân hàng, Tài chính / Đầu tư</t>
        </is>
      </c>
      <c r="K11987" t="inlineStr">
        <is>
          <t>3 - 10 Năm</t>
        </is>
      </c>
      <c r="L11987" s="8">
        <f>HYPERLINK("https://careerviet.vn/vi/tim-viec-lam/chuyen-gia-nghien-cuu-va-phat-trien-san-pham-tin-dung-khoi-khach-hang-doanh-nghiep.35C6C4B4.html","Xem chi tiết")</f>
        <v/>
      </c>
    </row>
    <row r="11988">
      <c r="B11988" s="9" t="n">
        <v>11986</v>
      </c>
      <c r="C11988" s="10" t="inlineStr">
        <is>
          <t>Customer Service Staff (Furniture experience)</t>
        </is>
      </c>
      <c r="D11988" s="10" t="inlineStr">
        <is>
          <t>Vietnam Furniture Resources (VFR)</t>
        </is>
      </c>
      <c r="E11988" s="10" t="inlineStr">
        <is>
          <t>Lương:Cạnh tranh</t>
        </is>
      </c>
      <c r="F11988" s="10" t="inlineStr">
        <is>
          <t>Bình Dương</t>
        </is>
      </c>
      <c r="G11988" s="10" t="inlineStr">
        <is>
          <t>15-04-2026</t>
        </is>
      </c>
      <c r="H11988" s="10" t="inlineStr">
        <is>
          <t>15/04/2026</t>
        </is>
      </c>
      <c r="I11988" s="10" t="inlineStr">
        <is>
          <t>17/03/2026</t>
        </is>
      </c>
      <c r="J11988" s="10" t="inlineStr">
        <is>
          <t>Dịch vụ khách hàng, Đồ gỗ, Nội ngoại thất</t>
        </is>
      </c>
      <c r="K11988" s="10" t="inlineStr">
        <is>
          <t>1 - 5 Năm</t>
        </is>
      </c>
      <c r="L11988" s="11">
        <f>HYPERLINK("https://careerviet.vn/vi/tim-viec-lam/customer-service-staff-furniture-experience.35C6C4B6.html","Xem chi tiết")</f>
        <v/>
      </c>
      <c r="M11988" s="10" t="n"/>
    </row>
    <row r="11989">
      <c r="B11989" s="7" t="n">
        <v>11987</v>
      </c>
      <c r="C11989" t="inlineStr">
        <is>
          <t>Trưởng nhóm Đào tạo và Truyền thông Nội bộ - Learning &amp; Internal Communication Leader</t>
        </is>
      </c>
      <c r="D11989" t="inlineStr">
        <is>
          <t>Tập Đoàn Karofi Holding</t>
        </is>
      </c>
      <c r="E11989" t="inlineStr">
        <is>
          <t>Lương:25 Tr - 35 Tr VND</t>
        </is>
      </c>
      <c r="F11989" t="inlineStr">
        <is>
          <t>Hà Nội</t>
        </is>
      </c>
      <c r="G11989" t="inlineStr">
        <is>
          <t>29-04-2026</t>
        </is>
      </c>
      <c r="H11989" t="inlineStr">
        <is>
          <t>29/04/2026</t>
        </is>
      </c>
      <c r="I11989" t="inlineStr">
        <is>
          <t>17/03/2026</t>
        </is>
      </c>
      <c r="J11989" t="inlineStr">
        <is>
          <t>Nhân sự, Quảng cáo / Đối ngoại / Truyền Thông</t>
        </is>
      </c>
      <c r="K11989" t="inlineStr">
        <is>
          <t>5 - 10 Năm</t>
        </is>
      </c>
      <c r="L11989" s="8">
        <f>HYPERLINK("https://careerviet.vn/vi/tim-viec-lam/truong-nhom-dao-tao-va-truyen-thong-noi-bo-learning-internal-communication-leader.35C6C4B5.html","Xem chi tiết")</f>
        <v/>
      </c>
    </row>
    <row r="11990">
      <c r="B11990" s="9" t="n">
        <v>11988</v>
      </c>
      <c r="C11990" s="10" t="inlineStr">
        <is>
          <t>Chăm sóc khách hàng &amp; Sale Admin E-commerce</t>
        </is>
      </c>
      <c r="D11990" s="10" t="inlineStr">
        <is>
          <t>NANOCO GROUP</t>
        </is>
      </c>
      <c r="E11990" s="10" t="inlineStr">
        <is>
          <t>Lương:Cạnh tranh</t>
        </is>
      </c>
      <c r="F11990" s="10" t="inlineStr">
        <is>
          <t>Hồ Chí Minh</t>
        </is>
      </c>
      <c r="G11990" s="10" t="inlineStr">
        <is>
          <t>11-04-2026</t>
        </is>
      </c>
      <c r="H11990" s="10" t="inlineStr">
        <is>
          <t>11/04/2026</t>
        </is>
      </c>
      <c r="I11990" s="10" t="inlineStr">
        <is>
          <t>17/03/2026</t>
        </is>
      </c>
      <c r="J11990" s="10" t="inlineStr">
        <is>
          <t>Hành chính / Thư ký, Tư vấn, Dịch vụ khách hàng</t>
        </is>
      </c>
      <c r="K11990" s="10" t="inlineStr">
        <is>
          <t>1 - 2 Năm</t>
        </is>
      </c>
      <c r="L11990" s="11">
        <f>HYPERLINK("https://careerviet.vn/vi/tim-viec-lam/cham-soc-khach-hang-sale-admin-e-commerce.35C6C43A.html","Xem chi tiết")</f>
        <v/>
      </c>
      <c r="M11990" s="10" t="n"/>
    </row>
    <row r="11991">
      <c r="B11991" s="7" t="n">
        <v>11989</v>
      </c>
      <c r="C11991" t="inlineStr">
        <is>
          <t>Trưởng bộ phận nghiên cứu và phát triển sản phẩm tín dụng - Khối Khách hàng doanh nghiệp</t>
        </is>
      </c>
      <c r="D11991" t="inlineStr">
        <is>
          <t>Ngân hàng TMCP Đại Chúng Việt Nam - PVcomBank</t>
        </is>
      </c>
      <c r="E11991" t="inlineStr">
        <is>
          <t>Lương:Cạnh tranh</t>
        </is>
      </c>
      <c r="F11991" t="inlineStr">
        <is>
          <t>Hà Nội</t>
        </is>
      </c>
      <c r="G11991" t="inlineStr">
        <is>
          <t>09-04-2026</t>
        </is>
      </c>
      <c r="H11991" t="inlineStr">
        <is>
          <t>09/04/2026</t>
        </is>
      </c>
      <c r="I11991" t="inlineStr">
        <is>
          <t>17/03/2026</t>
        </is>
      </c>
      <c r="J11991" t="inlineStr">
        <is>
          <t>Ngân hàng</t>
        </is>
      </c>
      <c r="K11991" t="inlineStr">
        <is>
          <t>3 - 10 Năm</t>
        </is>
      </c>
      <c r="L11991" s="8">
        <f>HYPERLINK("https://careerviet.vn/vi/tim-viec-lam/truong-bo-phan-nghien-cuu-va-phat-trien-san-pham-tin-dung-khoi-khach-hang-doanh-nghiep.35C6C4BA.html","Xem chi tiết")</f>
        <v/>
      </c>
    </row>
    <row r="11992">
      <c r="B11992" s="9" t="n">
        <v>11990</v>
      </c>
      <c r="C11992" s="10" t="inlineStr">
        <is>
          <t>E-commerce Operation Executive</t>
        </is>
      </c>
      <c r="D11992" s="10" t="inlineStr">
        <is>
          <t>NANOCO GROUP</t>
        </is>
      </c>
      <c r="E11992" s="10" t="inlineStr">
        <is>
          <t>Lương:Cạnh tranh</t>
        </is>
      </c>
      <c r="F11992" s="10" t="inlineStr">
        <is>
          <t>Hồ Chí Minh</t>
        </is>
      </c>
      <c r="G11992" s="10" t="inlineStr">
        <is>
          <t>11-04-2026</t>
        </is>
      </c>
      <c r="H11992" s="10" t="inlineStr">
        <is>
          <t>11/04/2026</t>
        </is>
      </c>
      <c r="I11992" s="10" t="inlineStr">
        <is>
          <t>17/03/2026</t>
        </is>
      </c>
      <c r="J11992" s="10" t="inlineStr">
        <is>
          <t>Thương mại điện tử, Bán hàng / Kinh doanh, Điện / Điện tử / Điện lạnh / Điện công nghiệp</t>
        </is>
      </c>
      <c r="K11992" s="10" t="inlineStr">
        <is>
          <t>1 - 2 Năm</t>
        </is>
      </c>
      <c r="L11992" s="11">
        <f>HYPERLINK("https://careerviet.vn/vi/tim-viec-lam/e-commerce-operation-executive.35C6C3E3.html","Xem chi tiết")</f>
        <v/>
      </c>
      <c r="M11992" s="10" t="n"/>
    </row>
    <row r="11993">
      <c r="B11993" s="7" t="n">
        <v>11991</v>
      </c>
      <c r="C11993" t="inlineStr">
        <is>
          <t>Financial Specialist/Chuyên viên tài chính</t>
        </is>
      </c>
      <c r="D11993" t="inlineStr">
        <is>
          <t>CÔNG TY TNHH NOBLAND VIỆT NAM</t>
        </is>
      </c>
      <c r="E11993" t="inlineStr">
        <is>
          <t>Lương:Trên 15 Tr VND</t>
        </is>
      </c>
      <c r="F11993" t="inlineStr">
        <is>
          <t>Hồ Chí Minh</t>
        </is>
      </c>
      <c r="G11993" t="inlineStr">
        <is>
          <t>30-04-2026</t>
        </is>
      </c>
      <c r="H11993" t="inlineStr">
        <is>
          <t>30/04/2026</t>
        </is>
      </c>
      <c r="I11993" t="inlineStr">
        <is>
          <t>17/03/2026</t>
        </is>
      </c>
      <c r="J11993" t="inlineStr">
        <is>
          <t>Dệt may / Da giày / Thời trang, Kế toán / Kiểm toán, Bán hàng / Kinh doanh</t>
        </is>
      </c>
      <c r="K11993" t="inlineStr">
        <is>
          <t>1 - 5 Năm</t>
        </is>
      </c>
      <c r="L11993" s="8">
        <f>HYPERLINK("https://careerviet.vn/vi/tim-viec-lam/financial-specialist-chuyen-vien-tai-chinh.35C6C4B1.html","Xem chi tiết")</f>
        <v/>
      </c>
    </row>
    <row r="11994">
      <c r="B11994" s="9" t="n">
        <v>11992</v>
      </c>
      <c r="C11994" s="10" t="inlineStr">
        <is>
          <t>Kế Toán</t>
        </is>
      </c>
      <c r="D11994" s="10" t="inlineStr">
        <is>
          <t>CÔNG TY TNHH IN VẢI 3D THIỆN LINH</t>
        </is>
      </c>
      <c r="E11994" s="10" t="inlineStr">
        <is>
          <t>Lương:7 Tr - 15 Tr VND</t>
        </is>
      </c>
      <c r="F11994" s="10" t="inlineStr">
        <is>
          <t>Hà Nội</t>
        </is>
      </c>
      <c r="G11994" s="10" t="inlineStr">
        <is>
          <t>12-04-2026</t>
        </is>
      </c>
      <c r="H11994" s="10" t="inlineStr">
        <is>
          <t>12/04/2026</t>
        </is>
      </c>
      <c r="I11994" s="10" t="inlineStr">
        <is>
          <t>17/03/2026</t>
        </is>
      </c>
      <c r="J11994" s="10" t="inlineStr">
        <is>
          <t>Kế toán / Kiểm toán, Dệt may / Da giày / Thời trang, In ấn / Xuất bản</t>
        </is>
      </c>
      <c r="K11994" s="10" t="inlineStr">
        <is>
          <t>N/A</t>
        </is>
      </c>
      <c r="L11994" s="11">
        <f>HYPERLINK("https://careerviet.vn/vi/tim-viec-lam/ke-toan.35C6C368.html","Xem chi tiết")</f>
        <v/>
      </c>
      <c r="M11994" s="10" t="n"/>
    </row>
    <row r="11995">
      <c r="B11995" s="7" t="n">
        <v>11993</v>
      </c>
      <c r="C11995" t="inlineStr">
        <is>
          <t>Chuyên Viên Thiết Kế Truyền Thông (Graphic Designer)</t>
        </is>
      </c>
      <c r="D11995" t="inlineStr">
        <is>
          <t>LOTTE FINANCE VIETNAM</t>
        </is>
      </c>
      <c r="E11995" t="inlineStr">
        <is>
          <t>Lương:Cạnh tranh</t>
        </is>
      </c>
      <c r="F11995" t="inlineStr">
        <is>
          <t>Hà Nội</t>
        </is>
      </c>
      <c r="G11995" t="inlineStr">
        <is>
          <t>10-04-2026</t>
        </is>
      </c>
      <c r="H11995" t="inlineStr">
        <is>
          <t>10/04/2026</t>
        </is>
      </c>
      <c r="I11995" t="inlineStr">
        <is>
          <t>17/03/2026</t>
        </is>
      </c>
      <c r="J11995" t="inlineStr">
        <is>
          <t>Mỹ thuật / Nghệ thuật / Thiết kế, Truyền hình / Báo chí / Biên tập, Quảng cáo / Đối ngoại / Truyền Thông</t>
        </is>
      </c>
      <c r="K11995" t="inlineStr">
        <is>
          <t>Trên 1 Năm</t>
        </is>
      </c>
      <c r="L11995" s="8">
        <f>HYPERLINK("https://careerviet.vn/vi/tim-viec-lam/chuyen-vien-thiet-ke-truyen-thong-graphic-designer.35C6C4A2.html","Xem chi tiết")</f>
        <v/>
      </c>
    </row>
    <row r="11996">
      <c r="B11996" s="9" t="n">
        <v>11994</v>
      </c>
      <c r="C11996" s="10" t="inlineStr">
        <is>
          <t>Chuyên Viên Kinh Doanh</t>
        </is>
      </c>
      <c r="D11996" s="10" t="inlineStr">
        <is>
          <t>CÔNG TY TNHH IN VẢI 3D THIỆN LINH</t>
        </is>
      </c>
      <c r="E11996" s="10" t="inlineStr">
        <is>
          <t>Lương:8 Tr - 15 Tr VND</t>
        </is>
      </c>
      <c r="F11996" s="10" t="inlineStr">
        <is>
          <t>Hà Nội</t>
        </is>
      </c>
      <c r="G11996" s="10" t="inlineStr">
        <is>
          <t>12-04-2026</t>
        </is>
      </c>
      <c r="H11996" s="10" t="inlineStr">
        <is>
          <t>12/04/2026</t>
        </is>
      </c>
      <c r="I11996" s="10" t="inlineStr">
        <is>
          <t>17/03/2026</t>
        </is>
      </c>
      <c r="J11996" s="10" t="inlineStr">
        <is>
          <t>Bán hàng / Kinh doanh, In ấn / Xuất bản, Dệt may / Da giày / Thời trang</t>
        </is>
      </c>
      <c r="K11996" s="10" t="inlineStr">
        <is>
          <t>N/A</t>
        </is>
      </c>
      <c r="L11996" s="11">
        <f>HYPERLINK("https://careerviet.vn/vi/tim-viec-lam/chuyen-vien-kinh-doanh.35C6C37C.html","Xem chi tiết")</f>
        <v/>
      </c>
      <c r="M11996" s="10" t="n"/>
    </row>
    <row r="11997">
      <c r="B11997" s="7" t="n">
        <v>11995</v>
      </c>
      <c r="C11997" t="inlineStr">
        <is>
          <t>Nhân viên QA Supervisor – Hàng Denim</t>
        </is>
      </c>
      <c r="D11997" t="inlineStr">
        <is>
          <t>Công Ty TNHH Sơn Tùng</t>
        </is>
      </c>
      <c r="E11997" t="inlineStr">
        <is>
          <t>Lương:15 Tr - 20 Tr VND</t>
        </is>
      </c>
      <c r="F11997" t="inlineStr">
        <is>
          <t>Hồ Chí Minh</t>
        </is>
      </c>
      <c r="G11997" t="inlineStr">
        <is>
          <t>05-04-2026</t>
        </is>
      </c>
      <c r="H11997" t="inlineStr">
        <is>
          <t>05/04/2026</t>
        </is>
      </c>
      <c r="I11997" t="inlineStr">
        <is>
          <t>17/03/2026</t>
        </is>
      </c>
      <c r="J11997" t="inlineStr">
        <is>
          <t>Dệt may / Da giày / Thời trang, Quản lý chất lượng (QA/QC)</t>
        </is>
      </c>
      <c r="K11997" t="inlineStr">
        <is>
          <t>3 - 5 Năm</t>
        </is>
      </c>
      <c r="L11997" s="8">
        <f>HYPERLINK("https://careerviet.vn/vi/tim-viec-lam/nhan-vien-qa-supervisor-hang-denim.35C6B40D.html","Xem chi tiết")</f>
        <v/>
      </c>
    </row>
    <row r="11998">
      <c r="B11998" s="9" t="n">
        <v>11996</v>
      </c>
      <c r="C11998" s="10" t="inlineStr">
        <is>
          <t>Nhân Viên Sales</t>
        </is>
      </c>
      <c r="D11998" s="10" t="inlineStr">
        <is>
          <t>CÔNG TY TNHH IN VẢI 3D THIỆN LINH</t>
        </is>
      </c>
      <c r="E11998" s="10" t="inlineStr">
        <is>
          <t>Lương:8 Tr - 15 Tr VND</t>
        </is>
      </c>
      <c r="F11998" s="10" t="inlineStr">
        <is>
          <t>Hà Nội</t>
        </is>
      </c>
      <c r="G11998" s="10" t="inlineStr">
        <is>
          <t>12-04-2026</t>
        </is>
      </c>
      <c r="H11998" s="10" t="inlineStr">
        <is>
          <t>12/04/2026</t>
        </is>
      </c>
      <c r="I11998" s="10" t="inlineStr">
        <is>
          <t>17/03/2026</t>
        </is>
      </c>
      <c r="J11998" s="10" t="inlineStr">
        <is>
          <t>Bán hàng / Kinh doanh, In ấn / Xuất bản, Dệt may / Da giày / Thời trang</t>
        </is>
      </c>
      <c r="K11998" s="10" t="inlineStr">
        <is>
          <t>N/A</t>
        </is>
      </c>
      <c r="L11998" s="11">
        <f>HYPERLINK("https://careerviet.vn/vi/tim-viec-lam/nhan-vien-sales.35C6C37F.html","Xem chi tiết")</f>
        <v/>
      </c>
      <c r="M11998" s="10" t="n"/>
    </row>
    <row r="11999">
      <c r="B11999" s="7" t="n">
        <v>11997</v>
      </c>
      <c r="C11999" t="inlineStr">
        <is>
          <t>Kế Toán Tổng Hợp (Sản Xuất)</t>
        </is>
      </c>
      <c r="D11999" t="inlineStr">
        <is>
          <t>Công Ty Cổ Phần Tập Đoàn Ô Tô Hiệp Hòa</t>
        </is>
      </c>
      <c r="E11999" t="inlineStr">
        <is>
          <t>Lương:20 Tr - 30 Tr VND</t>
        </is>
      </c>
      <c r="F11999" t="inlineStr">
        <is>
          <t>Hà Nội</t>
        </is>
      </c>
      <c r="G11999" t="inlineStr">
        <is>
          <t>30-04-2026</t>
        </is>
      </c>
      <c r="H11999" t="inlineStr">
        <is>
          <t>30/04/2026</t>
        </is>
      </c>
      <c r="I11999" t="inlineStr">
        <is>
          <t>17/03/2026</t>
        </is>
      </c>
      <c r="J11999" t="inlineStr">
        <is>
          <t>Kế toán / Kiểm toán</t>
        </is>
      </c>
      <c r="K11999" t="inlineStr">
        <is>
          <t>Trên 3 Năm</t>
        </is>
      </c>
      <c r="L11999" s="8">
        <f>HYPERLINK("https://careerviet.vn/vi/tim-viec-lam/ke-toan-tong-hop-san-xuat.35C6B280.html","Xem chi tiết")</f>
        <v/>
      </c>
    </row>
    <row r="12000">
      <c r="B12000" s="9" t="n">
        <v>11998</v>
      </c>
      <c r="C12000" s="10" t="inlineStr">
        <is>
          <t>Warehouse Manager (Material Warehouse)</t>
        </is>
      </c>
      <c r="D12000" s="10" t="inlineStr">
        <is>
          <t>Công ty TNHH GT Line Á Châu</t>
        </is>
      </c>
      <c r="E12000" s="10" t="inlineStr">
        <is>
          <t>Lương:Cạnh tranh</t>
        </is>
      </c>
      <c r="F12000" s="10" t="inlineStr">
        <is>
          <t>Bà Rịa - Vũng Tàu</t>
        </is>
      </c>
      <c r="G12000" s="10" t="inlineStr">
        <is>
          <t>12-03-2026</t>
        </is>
      </c>
      <c r="H12000" s="10" t="inlineStr">
        <is>
          <t>30/01/2026</t>
        </is>
      </c>
      <c r="I12000" s="10" t="inlineStr">
        <is>
          <t>17/03/2026</t>
        </is>
      </c>
      <c r="J12000" s="10" t="inlineStr">
        <is>
          <t>Vận chuyển / Giao nhận / Kho vận, Kế toán / Kiểm toán, Dệt may / Da giày / Thời trang</t>
        </is>
      </c>
      <c r="K12000" s="10" t="inlineStr">
        <is>
          <t>3 - 5 Năm</t>
        </is>
      </c>
      <c r="L12000" s="11">
        <f>HYPERLINK("https://careerviet.vn/vi/tim-viec-lam/warehouse-manager-material-warehouse.35C62ED8.html","Xem chi tiết")</f>
        <v/>
      </c>
      <c r="M12000" s="10" t="n"/>
    </row>
    <row r="12001">
      <c r="B12001" s="7" t="n">
        <v>11999</v>
      </c>
      <c r="C12001" t="inlineStr">
        <is>
          <t>TUYỂN DỤNG CHUYÊN VIÊN QC</t>
        </is>
      </c>
      <c r="D12001" t="inlineStr">
        <is>
          <t>CÔNG TY CỔ PHẦN DƯỢC PHẨM TIPHARCO</t>
        </is>
      </c>
      <c r="E12001" t="inlineStr">
        <is>
          <t>Lương:Cạnh tranh</t>
        </is>
      </c>
      <c r="F12001" t="inlineStr">
        <is>
          <t>Tiền Giang</t>
        </is>
      </c>
      <c r="G12001" t="inlineStr">
        <is>
          <t>05-04-2026</t>
        </is>
      </c>
      <c r="H12001" t="inlineStr">
        <is>
          <t>05/04/2026</t>
        </is>
      </c>
      <c r="I12001" t="inlineStr">
        <is>
          <t>17/03/2026</t>
        </is>
      </c>
      <c r="J12001" t="inlineStr">
        <is>
          <t>Dược phẩm/ Hóa Mỹ Phẩm, Quản lý chất lượng (QA/QC)</t>
        </is>
      </c>
      <c r="K12001" t="inlineStr">
        <is>
          <t>Chưa có kinh nghiệm</t>
        </is>
      </c>
      <c r="L12001" s="8">
        <f>HYPERLINK("https://careerviet.vn/vi/tim-viec-lam/tuyen-dung-chuyen-vien-qc.35C6B4C3.html","Xem chi tiết")</f>
        <v/>
      </c>
    </row>
    <row r="12002">
      <c r="B12002" s="9" t="n">
        <v>12000</v>
      </c>
      <c r="C12002" s="10" t="inlineStr">
        <is>
          <t>Trợ lý dự án (biết tiếng Trung)</t>
        </is>
      </c>
      <c r="D12002" s="10" t="inlineStr">
        <is>
          <t>Công ty TNHH tư vấn công trình xây dựng KCIS</t>
        </is>
      </c>
      <c r="E12002" s="10" t="inlineStr">
        <is>
          <t>Lương:8 Tr - 12 Tr VND</t>
        </is>
      </c>
      <c r="F12002" s="10" t="inlineStr">
        <is>
          <t>Hà Nội</t>
        </is>
      </c>
      <c r="G12002" s="10" t="inlineStr">
        <is>
          <t>11-04-2026</t>
        </is>
      </c>
      <c r="H12002" s="10" t="inlineStr">
        <is>
          <t>11/04/2026</t>
        </is>
      </c>
      <c r="I12002" s="10" t="inlineStr">
        <is>
          <t>17/03/2026</t>
        </is>
      </c>
      <c r="J12002" s="10" t="inlineStr">
        <is>
          <t>Hành chính / Thư ký, Biên phiên dịch</t>
        </is>
      </c>
      <c r="K12002" s="10" t="inlineStr">
        <is>
          <t>N/A</t>
        </is>
      </c>
      <c r="L12002" s="11">
        <f>HYPERLINK("https://careerviet.vn/vi/tim-viec-lam/tro-ly-du-an-biet-tieng-trung.35C6B44F.html","Xem chi tiết")</f>
        <v/>
      </c>
      <c r="M12002" s="10" t="n"/>
    </row>
    <row r="12003">
      <c r="B12003" s="7" t="n">
        <v>12001</v>
      </c>
      <c r="C12003" t="inlineStr">
        <is>
          <t>AP Accountant -Ho Chi Minh-Night Shift (US time)-English speaking</t>
        </is>
      </c>
      <c r="D12003" t="inlineStr">
        <is>
          <t>Summit Polymers Vietnam Co Ltd.</t>
        </is>
      </c>
      <c r="E12003" t="inlineStr">
        <is>
          <t>Lương:Cạnh tranh</t>
        </is>
      </c>
      <c r="F12003" t="inlineStr">
        <is>
          <t>Hồ Chí Minh</t>
        </is>
      </c>
      <c r="G12003" t="inlineStr">
        <is>
          <t>30-04-2026</t>
        </is>
      </c>
      <c r="H12003" t="inlineStr">
        <is>
          <t>30/04/2026</t>
        </is>
      </c>
      <c r="I12003" t="inlineStr">
        <is>
          <t>17/03/2026</t>
        </is>
      </c>
      <c r="J12003" t="inlineStr">
        <is>
          <t>Kế toán / Kiểm toán</t>
        </is>
      </c>
      <c r="K12003" t="inlineStr">
        <is>
          <t>2 - 4 Năm</t>
        </is>
      </c>
      <c r="L12003" s="8">
        <f>HYPERLINK("https://careerviet.vn/vi/tim-viec-lam/ap-accountant-ho-chi-minh-night-shift-us-time-english-speaking.35C6B54F.html","Xem chi tiết")</f>
        <v/>
      </c>
    </row>
    <row r="12004">
      <c r="B12004" s="9" t="n">
        <v>12002</v>
      </c>
      <c r="C12004" s="10" t="inlineStr">
        <is>
          <t>R&amp;D Engineer (Sofa Frame Development)</t>
        </is>
      </c>
      <c r="D12004" s="10" t="inlineStr">
        <is>
          <t>Wanek Furniture</t>
        </is>
      </c>
      <c r="E12004" s="10" t="inlineStr">
        <is>
          <t>Lương:Cạnh tranh</t>
        </is>
      </c>
      <c r="F12004" s="10" t="inlineStr">
        <is>
          <t>Bình Dương</t>
        </is>
      </c>
      <c r="G12004" s="10" t="inlineStr">
        <is>
          <t>06-04-2026</t>
        </is>
      </c>
      <c r="H12004" s="10" t="inlineStr">
        <is>
          <t>06/04/2026</t>
        </is>
      </c>
      <c r="I12004" s="10" t="inlineStr">
        <is>
          <t>17/03/2026</t>
        </is>
      </c>
      <c r="J12004" s="10" t="inlineStr">
        <is>
          <t>Sản xuất / Vận hành sản xuất, Đồ gỗ, Nội ngoại thất</t>
        </is>
      </c>
      <c r="K12004" s="10" t="inlineStr">
        <is>
          <t>3 - 5 Năm</t>
        </is>
      </c>
      <c r="L12004" s="11">
        <f>HYPERLINK("https://careerviet.vn/vi/tim-viec-lam/r-d-engineer-sofa-frame-development.35C686A8.html","Xem chi tiết")</f>
        <v/>
      </c>
      <c r="M12004" s="10" t="n"/>
    </row>
    <row r="12005">
      <c r="B12005" s="7" t="n">
        <v>12003</v>
      </c>
      <c r="C12005" t="inlineStr">
        <is>
          <t>Chỉ Huy Phó Văn Phòng</t>
        </is>
      </c>
      <c r="D12005" t="inlineStr">
        <is>
          <t>Công Ty Cổ Phần Xây Dựng CDC</t>
        </is>
      </c>
      <c r="E12005" t="inlineStr">
        <is>
          <t>Lương:Cạnh tranh</t>
        </is>
      </c>
      <c r="F12005" t="inlineStr">
        <is>
          <t>Bình DươngHưng Yên</t>
        </is>
      </c>
      <c r="G12005" t="inlineStr">
        <is>
          <t>28-04-2026</t>
        </is>
      </c>
      <c r="H12005" t="inlineStr">
        <is>
          <t>28/04/2026</t>
        </is>
      </c>
      <c r="I12005" t="inlineStr">
        <is>
          <t>17/03/2026</t>
        </is>
      </c>
      <c r="J12005" t="inlineStr">
        <is>
          <t>Xây dựng</t>
        </is>
      </c>
      <c r="K12005" t="inlineStr">
        <is>
          <t>3 - 5 Năm</t>
        </is>
      </c>
      <c r="L12005" s="8">
        <f>HYPERLINK("https://careerviet.vn/vi/tim-viec-lam/chi-huy-pho-van-phong.35C69FEF.html","Xem chi tiết")</f>
        <v/>
      </c>
    </row>
    <row r="12006">
      <c r="B12006" s="9" t="n">
        <v>12004</v>
      </c>
      <c r="C12006" s="10" t="inlineStr">
        <is>
          <t>Digital Marketing Leader</t>
        </is>
      </c>
      <c r="D12006" s="10" t="inlineStr">
        <is>
          <t>Công Ty TNHH XNK Phát Triển Đông Dương</t>
        </is>
      </c>
      <c r="E12006" s="10" t="inlineStr">
        <is>
          <t>Lương:Cạnh tranh</t>
        </is>
      </c>
      <c r="F12006" s="10" t="inlineStr">
        <is>
          <t>Hồ Chí Minh</t>
        </is>
      </c>
      <c r="G12006" s="10" t="inlineStr">
        <is>
          <t>11-04-2026</t>
        </is>
      </c>
      <c r="H12006" s="10" t="inlineStr">
        <is>
          <t>11/04/2026</t>
        </is>
      </c>
      <c r="I12006" s="10" t="inlineStr">
        <is>
          <t>17/03/2026</t>
        </is>
      </c>
      <c r="J12006" s="10" t="inlineStr">
        <is>
          <t>Tiếp thị / Marketing, Bán lẻ / Bán sỉ, Tiếp thị trực tuyến</t>
        </is>
      </c>
      <c r="K12006" s="10" t="inlineStr">
        <is>
          <t>3 - 5 Năm</t>
        </is>
      </c>
      <c r="L12006" s="11">
        <f>HYPERLINK("https://careerviet.vn/vi/tim-viec-lam/digital-marketing-leader.35C6C4A8.html","Xem chi tiết")</f>
        <v/>
      </c>
      <c r="M12006" s="10" t="n"/>
    </row>
    <row r="12007">
      <c r="B12007" s="7" t="n">
        <v>12005</v>
      </c>
      <c r="C12007" t="inlineStr">
        <is>
          <t>CHUYÊN VIÊN PHÁT TRIỂN KINH DOANH - KHÁCH HÀNG TRỰC TUYẾN</t>
        </is>
      </c>
      <c r="D12007" t="inlineStr">
        <is>
          <t>VDSC - Công ty CP Chứng khoán Rồng Việt</t>
        </is>
      </c>
      <c r="E12007" t="inlineStr">
        <is>
          <t>Lương:9 Tr - 13 Tr VND</t>
        </is>
      </c>
      <c r="F12007" t="inlineStr">
        <is>
          <t>Hồ Chí Minh</t>
        </is>
      </c>
      <c r="G12007" t="inlineStr">
        <is>
          <t>30-04-2026</t>
        </is>
      </c>
      <c r="H12007" t="inlineStr">
        <is>
          <t>30/04/2026</t>
        </is>
      </c>
      <c r="I12007" t="inlineStr">
        <is>
          <t>17/03/2026</t>
        </is>
      </c>
      <c r="J12007" t="inlineStr">
        <is>
          <t>Chứng khoán, Tài chính / Đầu tư, Ngân hàng</t>
        </is>
      </c>
      <c r="K12007" t="inlineStr">
        <is>
          <t>Lên đến 1 Năm</t>
        </is>
      </c>
      <c r="L12007" s="8">
        <f>HYPERLINK("https://careerviet.vn/vi/tim-viec-lam/chuyen-vien-phat-trien-kinh-doanh-khach-hang-truc-tuyen.35C6C4AE.html","Xem chi tiết")</f>
        <v/>
      </c>
    </row>
    <row r="12008">
      <c r="B12008" s="9" t="n">
        <v>12006</v>
      </c>
      <c r="C12008" s="10" t="inlineStr">
        <is>
          <t>E-commerce Graphic Designer</t>
        </is>
      </c>
      <c r="D12008" s="10" t="inlineStr">
        <is>
          <t>NANOCO GROUP</t>
        </is>
      </c>
      <c r="E12008" s="10" t="inlineStr">
        <is>
          <t>Lương:Cạnh tranh</t>
        </is>
      </c>
      <c r="F12008" s="10" t="inlineStr">
        <is>
          <t>Hồ Chí Minh</t>
        </is>
      </c>
      <c r="G12008" s="10" t="inlineStr">
        <is>
          <t>11-04-2026</t>
        </is>
      </c>
      <c r="H12008" s="10" t="inlineStr">
        <is>
          <t>11/04/2026</t>
        </is>
      </c>
      <c r="I12008" s="10" t="inlineStr">
        <is>
          <t>17/03/2026</t>
        </is>
      </c>
      <c r="J12008" s="10" t="inlineStr">
        <is>
          <t>Mỹ thuật / Nghệ thuật / Thiết kế, Tiếp thị / Marketing</t>
        </is>
      </c>
      <c r="K12008" s="10" t="inlineStr">
        <is>
          <t>1 - 2 Năm</t>
        </is>
      </c>
      <c r="L12008" s="11">
        <f>HYPERLINK("https://careerviet.vn/vi/tim-viec-lam/e-commerce-graphic-designer.35C6C3FA.html","Xem chi tiết")</f>
        <v/>
      </c>
      <c r="M12008" s="10" t="n"/>
    </row>
    <row r="12009">
      <c r="B12009" s="7" t="n">
        <v>12007</v>
      </c>
      <c r="C12009" t="inlineStr">
        <is>
          <t>Senior Digital Marketing Specialist (Google ads focus)</t>
        </is>
      </c>
      <c r="D12009" t="inlineStr">
        <is>
          <t>CareerViet's client</t>
        </is>
      </c>
      <c r="E12009" t="inlineStr">
        <is>
          <t>Lương:Cạnh tranh</t>
        </is>
      </c>
      <c r="F12009" t="inlineStr">
        <is>
          <t>Hồ Chí Minh</t>
        </is>
      </c>
      <c r="G12009" t="inlineStr">
        <is>
          <t>31-03-2026</t>
        </is>
      </c>
      <c r="H12009" t="inlineStr">
        <is>
          <t>31/03/2026</t>
        </is>
      </c>
      <c r="I12009" t="inlineStr">
        <is>
          <t>17/03/2026</t>
        </is>
      </c>
      <c r="J12009" t="inlineStr">
        <is>
          <t>Tiếp thị / Marketing, Tiếp thị trực tuyến, Quảng cáo / Đối ngoại / Truyền Thông</t>
        </is>
      </c>
      <c r="K12009" t="inlineStr">
        <is>
          <t>3 - 5 Năm</t>
        </is>
      </c>
      <c r="L12009" s="8">
        <f>HYPERLINK("https://careerviet.vn/vi/tim-viec-lam/senior-digital-marketing-specialist-google-ads-focus.35C6B380.html","Xem chi tiết")</f>
        <v/>
      </c>
    </row>
    <row r="12010">
      <c r="B12010" s="9" t="n">
        <v>12008</v>
      </c>
      <c r="C12010" s="10" t="inlineStr">
        <is>
          <t>Chief Accountant</t>
        </is>
      </c>
      <c r="D12010" s="10" t="inlineStr">
        <is>
          <t>Công Ty TNHH Việt Nam Samho</t>
        </is>
      </c>
      <c r="E12010" s="10" t="inlineStr">
        <is>
          <t>Lương:30 Tr - 60 Tr VND</t>
        </is>
      </c>
      <c r="F12010" s="10" t="inlineStr">
        <is>
          <t>Hồ Chí Minh</t>
        </is>
      </c>
      <c r="G12010" s="10" t="inlineStr">
        <is>
          <t>06-04-2026</t>
        </is>
      </c>
      <c r="H12010" s="10" t="inlineStr">
        <is>
          <t>06/04/2026</t>
        </is>
      </c>
      <c r="I12010" s="10" t="inlineStr">
        <is>
          <t>17/03/2026</t>
        </is>
      </c>
      <c r="J12010" s="10" t="inlineStr">
        <is>
          <t>Sản xuất / Vận hành sản xuất, Dệt may / Da giày / Thời trang, Tài chính / Đầu tư</t>
        </is>
      </c>
      <c r="K12010" s="10" t="inlineStr">
        <is>
          <t>7 - 10 Năm</t>
        </is>
      </c>
      <c r="L12010" s="11">
        <f>HYPERLINK("https://careerviet.vn/vi/tim-viec-lam/chief-accountant.35C6B38C.html","Xem chi tiết")</f>
        <v/>
      </c>
      <c r="M12010" s="10" t="n"/>
    </row>
    <row r="12011">
      <c r="B12011" s="7" t="n">
        <v>12009</v>
      </c>
      <c r="C12011" t="inlineStr">
        <is>
          <t>KẾ TOÁN VIÊN</t>
        </is>
      </c>
      <c r="D12011" t="inlineStr">
        <is>
          <t>CÔNG TY TNHH DEGO HOLDING</t>
        </is>
      </c>
      <c r="E12011" t="inlineStr">
        <is>
          <t>Lương:Cạnh tranh</t>
        </is>
      </c>
      <c r="F12011" t="inlineStr">
        <is>
          <t>Hồ Chí Minh</t>
        </is>
      </c>
      <c r="G12011" t="inlineStr">
        <is>
          <t>06-04-2026</t>
        </is>
      </c>
      <c r="H12011" t="inlineStr">
        <is>
          <t>06/04/2026</t>
        </is>
      </c>
      <c r="I12011" t="inlineStr">
        <is>
          <t>17/03/2026</t>
        </is>
      </c>
      <c r="J12011" t="inlineStr">
        <is>
          <t>Kế toán / Kiểm toán, Bán lẻ / Bán sỉ, Tài chính / Đầu tư</t>
        </is>
      </c>
      <c r="K12011" t="inlineStr">
        <is>
          <t>1 - 2 Năm</t>
        </is>
      </c>
      <c r="L12011" s="8">
        <f>HYPERLINK("https://careerviet.vn/vi/tim-viec-lam/ke-toan-vien.35C6B483.html","Xem chi tiết")</f>
        <v/>
      </c>
    </row>
    <row r="12012">
      <c r="B12012" s="9" t="n">
        <v>12010</v>
      </c>
      <c r="C12012" s="10" t="inlineStr">
        <is>
          <t>Kỹ thuật SEO</t>
        </is>
      </c>
      <c r="D12012" s="10" t="inlineStr">
        <is>
          <t>CÔNG TY CỔ PHẦN HỌC VIỆN MINH TRÍ THÀNH</t>
        </is>
      </c>
      <c r="E12012" s="10" t="inlineStr">
        <is>
          <t>Lương:10 Tr - 15 Tr VND</t>
        </is>
      </c>
      <c r="F12012" s="10" t="inlineStr">
        <is>
          <t>Hà Nội</t>
        </is>
      </c>
      <c r="G12012" s="10" t="inlineStr">
        <is>
          <t>27-04-2026</t>
        </is>
      </c>
      <c r="H12012" s="10" t="inlineStr">
        <is>
          <t>27/04/2026</t>
        </is>
      </c>
      <c r="I12012" s="10" t="inlineStr">
        <is>
          <t>17/03/2026</t>
        </is>
      </c>
      <c r="J12012" s="10" t="inlineStr">
        <is>
          <t>Quảng cáo / Đối ngoại / Truyền Thông</t>
        </is>
      </c>
      <c r="K12012" s="10" t="inlineStr">
        <is>
          <t>2 - 3 Năm</t>
        </is>
      </c>
      <c r="L12012" s="11">
        <f>HYPERLINK("https://careerviet.vn/vi/tim-viec-lam/ky-thuat-seo.35C6B30D.html","Xem chi tiết")</f>
        <v/>
      </c>
      <c r="M12012" s="10" t="n"/>
    </row>
    <row r="12013">
      <c r="B12013" s="7" t="n">
        <v>12011</v>
      </c>
      <c r="C12013" t="inlineStr">
        <is>
          <t>CÔNG NHÂN KỸ THUẬT ĐIỆN</t>
        </is>
      </c>
      <c r="D12013" t="inlineStr">
        <is>
          <t>CÔNG TY CỔ PHẦN SẢN XUẤT VÀ BẢO DƯỠNG THIẾT BỊ HÀNG KHÔNG</t>
        </is>
      </c>
      <c r="E12013" t="inlineStr">
        <is>
          <t>Lương:Cạnh tranh</t>
        </is>
      </c>
      <c r="F12013" t="inlineStr">
        <is>
          <t>Đồng NaiKiên Giang</t>
        </is>
      </c>
      <c r="G12013" t="inlineStr">
        <is>
          <t>25-04-2026</t>
        </is>
      </c>
      <c r="H12013" t="inlineStr">
        <is>
          <t>25/04/2026</t>
        </is>
      </c>
      <c r="I12013" t="inlineStr">
        <is>
          <t>17/03/2026</t>
        </is>
      </c>
      <c r="J12013" t="inlineStr">
        <is>
          <t>Điện / Điện tử / Điện lạnh / Điện công nghiệp</t>
        </is>
      </c>
      <c r="K12013" t="inlineStr">
        <is>
          <t>N/A</t>
        </is>
      </c>
      <c r="L12013" s="8">
        <f>HYPERLINK("https://careerviet.vn/vi/tim-viec-lam/cong-nhan-ky-thuat-dien.35C6C4A7.html","Xem chi tiết")</f>
        <v/>
      </c>
    </row>
    <row r="12014">
      <c r="B12014" s="9" t="n">
        <v>12012</v>
      </c>
      <c r="C12014" s="10" t="inlineStr">
        <is>
          <t>KỸ SƯ QS</t>
        </is>
      </c>
      <c r="D12014" s="10" t="inlineStr">
        <is>
          <t>CÔNG TY CỔ PHẦN MEGABUILD</t>
        </is>
      </c>
      <c r="E12014" s="10" t="inlineStr">
        <is>
          <t>Lương:15 Tr - 25 Tr VND</t>
        </is>
      </c>
      <c r="F12014" s="10" t="inlineStr">
        <is>
          <t>Bình DươngĐồng NaiHồ Chí Minh</t>
        </is>
      </c>
      <c r="G12014" s="10" t="inlineStr">
        <is>
          <t>31-03-2026</t>
        </is>
      </c>
      <c r="H12014" s="10" t="inlineStr">
        <is>
          <t>31/03/2026</t>
        </is>
      </c>
      <c r="I12014" s="10" t="inlineStr">
        <is>
          <t>17/03/2026</t>
        </is>
      </c>
      <c r="J12014" s="10" t="inlineStr">
        <is>
          <t>Xây dựng</t>
        </is>
      </c>
      <c r="K12014" s="10" t="inlineStr">
        <is>
          <t>Trên 3 Năm</t>
        </is>
      </c>
      <c r="L12014" s="11">
        <f>HYPERLINK("https://careerviet.vn/vi/tim-viec-lam/ky-su-qs.35C6B279.html","Xem chi tiết")</f>
        <v/>
      </c>
      <c r="M12014" s="10" t="n"/>
    </row>
    <row r="12015">
      <c r="B12015" s="7" t="n">
        <v>12013</v>
      </c>
      <c r="C12015" t="inlineStr">
        <is>
          <t>Đại Diện Kinh Doanh_Kênh MT (Vĩnh Long)</t>
        </is>
      </c>
      <c r="D12015" t="inlineStr">
        <is>
          <t>Công Ty Cổ Phần Goody Group</t>
        </is>
      </c>
      <c r="E12015" t="inlineStr">
        <is>
          <t>Lương:9 Tr - 10 Tr VND</t>
        </is>
      </c>
      <c r="F12015" t="inlineStr">
        <is>
          <t>Vĩnh Long</t>
        </is>
      </c>
      <c r="G12015" t="inlineStr">
        <is>
          <t>05-04-2026</t>
        </is>
      </c>
      <c r="H12015" t="inlineStr">
        <is>
          <t>05/04/2026</t>
        </is>
      </c>
      <c r="I12015" t="inlineStr">
        <is>
          <t>17/03/2026</t>
        </is>
      </c>
      <c r="J12015" t="inlineStr">
        <is>
          <t>Bán lẻ / Bán sỉ, Bán hàng / Kinh doanh, Thực phẩm &amp; Đồ uống</t>
        </is>
      </c>
      <c r="K12015" t="inlineStr">
        <is>
          <t>Chưa có kinh nghiệm</t>
        </is>
      </c>
      <c r="L12015" s="8">
        <f>HYPERLINK("https://careerviet.vn/vi/tim-viec-lam/dai-dien-kinh-doanh_kenh-mt-vinh-long.35C6B4B3.html","Xem chi tiết")</f>
        <v/>
      </c>
    </row>
    <row r="12016">
      <c r="B12016" s="9" t="n">
        <v>12014</v>
      </c>
      <c r="C12016" s="10" t="inlineStr">
        <is>
          <t>Nhân viên Quay Dựng - F&amp;B</t>
        </is>
      </c>
      <c r="D12016" s="10" t="inlineStr">
        <is>
          <t>CÔNG TY TNHH PHÁT TRIỂN ĐỒ UỐNG AN VIỆT SÔNG HỒNG</t>
        </is>
      </c>
      <c r="E12016" s="10" t="inlineStr">
        <is>
          <t>Lương:10 Tr - 15 Tr VND</t>
        </is>
      </c>
      <c r="F12016" s="10" t="inlineStr">
        <is>
          <t>Hà Nội</t>
        </is>
      </c>
      <c r="G12016" s="10" t="inlineStr">
        <is>
          <t>31-03-2026</t>
        </is>
      </c>
      <c r="H12016" s="10" t="inlineStr">
        <is>
          <t>31/03/2026</t>
        </is>
      </c>
      <c r="I12016" s="10" t="inlineStr">
        <is>
          <t>17/03/2026</t>
        </is>
      </c>
      <c r="J12016" s="10" t="inlineStr">
        <is>
          <t>Thực phẩm &amp; Đồ uống, Mỹ thuật / Nghệ thuật / Thiết kế</t>
        </is>
      </c>
      <c r="K12016" s="10" t="inlineStr">
        <is>
          <t>1 - 2 Năm</t>
        </is>
      </c>
      <c r="L12016" s="11">
        <f>HYPERLINK("https://careerviet.vn/vi/tim-viec-lam/nhan-vien-quay-dung-f-b.35C6B31B.html","Xem chi tiết")</f>
        <v/>
      </c>
      <c r="M12016" s="10" t="n"/>
    </row>
    <row r="12017">
      <c r="B12017" s="7" t="n">
        <v>12015</v>
      </c>
      <c r="C12017" t="inlineStr">
        <is>
          <t>Key Account Executive (Livestream)</t>
        </is>
      </c>
      <c r="D12017" t="inlineStr">
        <is>
          <t>Công ty TNHH Onpoint</t>
        </is>
      </c>
      <c r="E12017" t="inlineStr">
        <is>
          <t>Lương:Cạnh tranh</t>
        </is>
      </c>
      <c r="F12017" t="inlineStr">
        <is>
          <t>Hồ Chí Minh</t>
        </is>
      </c>
      <c r="G12017" t="inlineStr">
        <is>
          <t>30-05-2026</t>
        </is>
      </c>
      <c r="H12017" t="inlineStr">
        <is>
          <t>30/05/2026</t>
        </is>
      </c>
      <c r="I12017" t="inlineStr">
        <is>
          <t>17/03/2026</t>
        </is>
      </c>
      <c r="J12017" t="inlineStr">
        <is>
          <t>Tiếp thị / Marketing, Thương mại điện tử, Bán hàng / Kinh doanh</t>
        </is>
      </c>
      <c r="K12017" t="inlineStr">
        <is>
          <t>Chưa có kinh nghiệm</t>
        </is>
      </c>
      <c r="L12017" s="8">
        <f>HYPERLINK("https://careerviet.vn/vi/tim-viec-lam/key-account-executive-livestream.35C6B31C.html","Xem chi tiết")</f>
        <v/>
      </c>
    </row>
    <row r="12018">
      <c r="B12018" s="9" t="n">
        <v>12016</v>
      </c>
      <c r="C12018" s="10" t="inlineStr">
        <is>
          <t>[Tan Phu, HCM] Invoicing Staff - Nhân viên xử lý hóa đơn</t>
        </is>
      </c>
      <c r="D12018" s="10" t="inlineStr">
        <is>
          <t>EUROFINS VIETNAM</t>
        </is>
      </c>
      <c r="E12018" s="10" t="inlineStr">
        <is>
          <t>Lương:Cạnh tranh</t>
        </is>
      </c>
      <c r="F12018" s="10" t="inlineStr">
        <is>
          <t>Hồ Chí Minh</t>
        </is>
      </c>
      <c r="G12018" s="10" t="inlineStr">
        <is>
          <t>31-03-2026</t>
        </is>
      </c>
      <c r="H12018" s="10" t="inlineStr">
        <is>
          <t>31/03/2026</t>
        </is>
      </c>
      <c r="I12018" s="10" t="inlineStr">
        <is>
          <t>17/03/2026</t>
        </is>
      </c>
      <c r="J12018" s="10" t="inlineStr">
        <is>
          <t>Kế toán / Kiểm toán, Tài chính / Đầu tư</t>
        </is>
      </c>
      <c r="K12018" s="10" t="inlineStr">
        <is>
          <t>1 - 2 Năm</t>
        </is>
      </c>
      <c r="L12018" s="11">
        <f>HYPERLINK("https://careerviet.vn/vi/tim-viec-lam/tan-phu-hcm-invoicing-staff-nhan-vien-xu-ly-hoa-don.35C6B45A.html","Xem chi tiết")</f>
        <v/>
      </c>
      <c r="M12018" s="10" t="n"/>
    </row>
    <row r="12019">
      <c r="B12019" s="7" t="n">
        <v>12017</v>
      </c>
      <c r="C12019" t="inlineStr">
        <is>
          <t>Nhân Viên Hành Chính Văn Phòng Phú Quốc</t>
        </is>
      </c>
      <c r="D12019" t="inlineStr">
        <is>
          <t>CÔNG TY TNHH PHÁT TRIỂN THƯƠNG MẠI BĐS NEWSTARLAND</t>
        </is>
      </c>
      <c r="E12019" t="inlineStr">
        <is>
          <t>Lương:10 Tr - 12 Tr VND</t>
        </is>
      </c>
      <c r="F12019" t="inlineStr">
        <is>
          <t>Kiên Giang</t>
        </is>
      </c>
      <c r="G12019" t="inlineStr">
        <is>
          <t>06-04-2026</t>
        </is>
      </c>
      <c r="H12019" t="inlineStr">
        <is>
          <t>06/04/2026</t>
        </is>
      </c>
      <c r="I12019" t="inlineStr">
        <is>
          <t>17/03/2026</t>
        </is>
      </c>
      <c r="J12019" t="inlineStr">
        <is>
          <t>Bất động sản, Hành chính / Thư ký, Quản lý điều hành</t>
        </is>
      </c>
      <c r="K12019" t="inlineStr">
        <is>
          <t>Trên 1 Năm</t>
        </is>
      </c>
      <c r="L12019" s="8">
        <f>HYPERLINK("https://careerviet.vn/vi/tim-viec-lam/nhan-vien-hanh-chinh-van-phong-phu-quoc.35C6B401.html","Xem chi tiết")</f>
        <v/>
      </c>
    </row>
    <row r="12020">
      <c r="B12020" s="9" t="n">
        <v>12018</v>
      </c>
      <c r="C12020" s="10" t="inlineStr">
        <is>
          <t>Nhân Viên Kinh Doanh Thị Trường</t>
        </is>
      </c>
      <c r="D12020" s="10" t="inlineStr">
        <is>
          <t>Công ty cổ phần Xi Măng Thăng Long</t>
        </is>
      </c>
      <c r="E12020" s="10" t="inlineStr">
        <is>
          <t>Lương:Cạnh tranh</t>
        </is>
      </c>
      <c r="F12020" s="10" t="inlineStr">
        <is>
          <t>Hồ Chí MinhHà NộiBắc Ninh</t>
        </is>
      </c>
      <c r="G12020" s="10" t="inlineStr">
        <is>
          <t>06-04-2026</t>
        </is>
      </c>
      <c r="H12020" s="10" t="inlineStr">
        <is>
          <t>06/04/2026</t>
        </is>
      </c>
      <c r="I12020" s="10" t="inlineStr">
        <is>
          <t>17/03/2026</t>
        </is>
      </c>
      <c r="J12020" s="10" t="inlineStr">
        <is>
          <t>Bán hàng / Kinh doanh, Bán lẻ / Bán sỉ, Tư vấn</t>
        </is>
      </c>
      <c r="K12020" s="10" t="inlineStr">
        <is>
          <t>N/A</t>
        </is>
      </c>
      <c r="L12020" s="11">
        <f>HYPERLINK("https://careerviet.vn/vi/tim-viec-lam/nhan-vien-kinh-doanh-thi-truong.35C6B443.html","Xem chi tiết")</f>
        <v/>
      </c>
      <c r="M12020" s="10" t="n"/>
    </row>
    <row r="12021">
      <c r="B12021" s="7" t="n">
        <v>12019</v>
      </c>
      <c r="C12021" t="inlineStr">
        <is>
          <t>Dự Toán Mua Hàng Nội Thất</t>
        </is>
      </c>
      <c r="D12021" t="inlineStr">
        <is>
          <t>CÔNG TY TNHH KIẾN TRÚC XÂY DỰNG VÀ THƯƠNG MẠI AN</t>
        </is>
      </c>
      <c r="E12021" t="inlineStr">
        <is>
          <t>Lương:15 Tr - 20 Tr VND</t>
        </is>
      </c>
      <c r="F12021" t="inlineStr">
        <is>
          <t>Hồ Chí Minh</t>
        </is>
      </c>
      <c r="G12021" t="inlineStr">
        <is>
          <t>05-04-2026</t>
        </is>
      </c>
      <c r="H12021" t="inlineStr">
        <is>
          <t>05/04/2026</t>
        </is>
      </c>
      <c r="I12021" t="inlineStr">
        <is>
          <t>17/03/2026</t>
        </is>
      </c>
      <c r="J12021" t="inlineStr">
        <is>
          <t>Xây dựng, Nội ngoại thất, Thu mua / Vật tư</t>
        </is>
      </c>
      <c r="K12021" t="inlineStr">
        <is>
          <t>Trên 2 Năm</t>
        </is>
      </c>
      <c r="L12021" s="8">
        <f>HYPERLINK("https://careerviet.vn/vi/tim-viec-lam/du-toan-mua-hang-noi-that.35C6B33B.html","Xem chi tiết")</f>
        <v/>
      </c>
    </row>
    <row r="12022">
      <c r="B12022" s="9" t="n">
        <v>12020</v>
      </c>
      <c r="C12022" s="10" t="inlineStr">
        <is>
          <t>Giám sát HSE</t>
        </is>
      </c>
      <c r="D12022" s="10" t="inlineStr">
        <is>
          <t>Công Ty Cổ Phần GreenFeed Việt Nam</t>
        </is>
      </c>
      <c r="E12022" s="10" t="inlineStr">
        <is>
          <t>Lương:Cạnh tranh</t>
        </is>
      </c>
      <c r="F12022" s="10" t="inlineStr">
        <is>
          <t>Tây NinhHồ Chí Minh</t>
        </is>
      </c>
      <c r="G12022" s="10" t="inlineStr">
        <is>
          <t>30-03-2026</t>
        </is>
      </c>
      <c r="H12022" s="10" t="inlineStr">
        <is>
          <t>30/03/2026</t>
        </is>
      </c>
      <c r="I12022" s="10" t="inlineStr">
        <is>
          <t>17/03/2026</t>
        </is>
      </c>
      <c r="J12022" s="10" t="inlineStr">
        <is>
          <t>Chăn nuôi / Thú y, An toàn lao động, Bảo trì / Sửa chữa</t>
        </is>
      </c>
      <c r="K12022" s="10" t="inlineStr">
        <is>
          <t>3 - 5 Năm</t>
        </is>
      </c>
      <c r="L12022" s="11">
        <f>HYPERLINK("https://careerviet.vn/vi/tim-viec-lam/giam-sat-hse.35C6B438.html","Xem chi tiết")</f>
        <v/>
      </c>
      <c r="M12022" s="10" t="n"/>
    </row>
    <row r="12023">
      <c r="B12023" s="7" t="n">
        <v>12021</v>
      </c>
      <c r="C12023" t="inlineStr">
        <is>
          <t>Video Editor (up-to $2000)</t>
        </is>
      </c>
      <c r="D12023" t="inlineStr">
        <is>
          <t>CÔNG TY TNHH CÔNG NGHỆ VÀ GIẢI PHÁP PHẦN MỀM CROSSIAN VIỆT NAM</t>
        </is>
      </c>
      <c r="E12023" t="inlineStr">
        <is>
          <t>Lương:900 - 2.000 USD</t>
        </is>
      </c>
      <c r="F12023" t="inlineStr">
        <is>
          <t>Hà NộiHồ Chí Minh</t>
        </is>
      </c>
      <c r="G12023" t="inlineStr">
        <is>
          <t>06-04-2026</t>
        </is>
      </c>
      <c r="H12023" t="inlineStr">
        <is>
          <t>06/04/2026</t>
        </is>
      </c>
      <c r="I12023" t="inlineStr">
        <is>
          <t>17/03/2026</t>
        </is>
      </c>
      <c r="J12023" t="inlineStr">
        <is>
          <t>CNTT - Phần mềm, Truyền hình / Báo chí / Biên tập, Thương mại điện tử</t>
        </is>
      </c>
      <c r="K12023" t="inlineStr">
        <is>
          <t>Trên 1 Năm</t>
        </is>
      </c>
      <c r="L12023" s="8">
        <f>HYPERLINK("https://careerviet.vn/vi/tim-viec-lam/video-editor-up-to-2000.35C6B499.html","Xem chi tiết")</f>
        <v/>
      </c>
    </row>
    <row r="12024">
      <c r="B12024" s="9" t="n">
        <v>12022</v>
      </c>
      <c r="C12024" s="10" t="inlineStr">
        <is>
          <t>Chuyên Viên Kế Toán</t>
        </is>
      </c>
      <c r="D12024" s="10" t="inlineStr">
        <is>
          <t>CÔNG TY TNHH IN VẢI 3D THIỆN LINH</t>
        </is>
      </c>
      <c r="E12024" s="10" t="inlineStr">
        <is>
          <t>Lương:7 Tr - 15 Tr VND</t>
        </is>
      </c>
      <c r="F12024" s="10" t="inlineStr">
        <is>
          <t>Hà Nội</t>
        </is>
      </c>
      <c r="G12024" s="10" t="inlineStr">
        <is>
          <t>12-04-2026</t>
        </is>
      </c>
      <c r="H12024" s="10" t="inlineStr">
        <is>
          <t>12/04/2026</t>
        </is>
      </c>
      <c r="I12024" s="10" t="inlineStr">
        <is>
          <t>17/03/2026</t>
        </is>
      </c>
      <c r="J12024" s="10" t="inlineStr">
        <is>
          <t>Kế toán / Kiểm toán, Dệt may / Da giày / Thời trang, In ấn / Xuất bản</t>
        </is>
      </c>
      <c r="K12024" s="10" t="inlineStr">
        <is>
          <t>N/A</t>
        </is>
      </c>
      <c r="L12024" s="11">
        <f>HYPERLINK("https://careerviet.vn/vi/tim-viec-lam/chuyen-vien-ke-toan.35C6C36B.html","Xem chi tiết")</f>
        <v/>
      </c>
      <c r="M12024" s="10" t="n"/>
    </row>
    <row r="12025">
      <c r="B12025" s="7" t="n">
        <v>12023</v>
      </c>
      <c r="C12025" t="inlineStr">
        <is>
          <t>[Part-time] Tuyển thợ phụ cắm hoa</t>
        </is>
      </c>
      <c r="D12025" t="inlineStr">
        <is>
          <t>CareerViet's client</t>
        </is>
      </c>
      <c r="E12025" t="inlineStr">
        <is>
          <t>Lương:Cạnh tranh</t>
        </is>
      </c>
      <c r="F12025" t="inlineStr">
        <is>
          <t>Hồ Chí Minh</t>
        </is>
      </c>
      <c r="G12025" t="inlineStr">
        <is>
          <t>31-03-2026</t>
        </is>
      </c>
      <c r="H12025" t="inlineStr">
        <is>
          <t>31/03/2026</t>
        </is>
      </c>
      <c r="I12025" t="inlineStr">
        <is>
          <t>17/03/2026</t>
        </is>
      </c>
      <c r="J12025" t="inlineStr">
        <is>
          <t>Bán lẻ / Bán sỉ</t>
        </is>
      </c>
      <c r="K12025" t="inlineStr">
        <is>
          <t>Trên 1 Năm</t>
        </is>
      </c>
      <c r="L12025" s="8">
        <f>HYPERLINK("https://careerviet.vn/vi/tim-viec-lam/part-time-tuyen-tho-phu-cam-hoa.35C6B397.html","Xem chi tiết")</f>
        <v/>
      </c>
    </row>
    <row r="12026">
      <c r="B12026" s="9" t="n">
        <v>12024</v>
      </c>
      <c r="C12026" s="10" t="inlineStr">
        <is>
          <t>QUẢN LÝ KINH DOANH VÙNG (ASM KÊNH ETC / OTC) / TRÌNH DƯỢC VIÊN (TDV KÊNH ETC)</t>
        </is>
      </c>
      <c r="D12026" s="10" t="inlineStr">
        <is>
          <t>Công Ty TNHH Thương Mại Dịch Vụ Trần Toàn Phát</t>
        </is>
      </c>
      <c r="E12026" s="10" t="inlineStr">
        <is>
          <t>Lương:Cạnh tranh</t>
        </is>
      </c>
      <c r="F12026" s="10" t="inlineStr">
        <is>
          <t>Hà NộiHồ Chí Minh</t>
        </is>
      </c>
      <c r="G12026" s="10" t="inlineStr">
        <is>
          <t>05-04-2026</t>
        </is>
      </c>
      <c r="H12026" s="10" t="inlineStr">
        <is>
          <t>05/04/2026</t>
        </is>
      </c>
      <c r="I12026" s="10" t="inlineStr">
        <is>
          <t>17/03/2026</t>
        </is>
      </c>
      <c r="J12026" s="10" t="inlineStr">
        <is>
          <t>Bán hàng / Kinh doanh, Dược phẩm/ Hóa Mỹ Phẩm, Y tế / Chăm sóc sức khỏe / Thẩm mỹ / Làm đẹp</t>
        </is>
      </c>
      <c r="K12026" s="10" t="inlineStr">
        <is>
          <t>2 - 5 Năm</t>
        </is>
      </c>
      <c r="L12026" s="11">
        <f>HYPERLINK("https://careerviet.vn/vi/tim-viec-lam/quan-ly-kinh-doanh-vung-asm-kenh-etc-otc-trinh-duoc-vien-tdv-kenh-etc.35C6B155.html","Xem chi tiết")</f>
        <v/>
      </c>
      <c r="M12026" s="10" t="n"/>
    </row>
    <row r="12027">
      <c r="B12027" s="7" t="n">
        <v>12025</v>
      </c>
      <c r="C12027" t="inlineStr">
        <is>
          <t>Kỹ Sư Giám Sát Xây Dựng - BQLDA Nghệ An</t>
        </is>
      </c>
      <c r="D12027" t="inlineStr">
        <is>
          <t>CÔNG TY CỔ PHẦN EUROWINDOW HOLDING</t>
        </is>
      </c>
      <c r="E12027" t="inlineStr">
        <is>
          <t>Lương:Cạnh tranh</t>
        </is>
      </c>
      <c r="F12027" t="inlineStr">
        <is>
          <t>Nghệ An</t>
        </is>
      </c>
      <c r="G12027" t="inlineStr">
        <is>
          <t>06-04-2026</t>
        </is>
      </c>
      <c r="H12027" t="inlineStr">
        <is>
          <t>06/04/2026</t>
        </is>
      </c>
      <c r="I12027" t="inlineStr">
        <is>
          <t>17/03/2026</t>
        </is>
      </c>
      <c r="J12027" t="inlineStr">
        <is>
          <t>Xây dựng, Kiến trúc, Bất động sản</t>
        </is>
      </c>
      <c r="K12027" t="inlineStr">
        <is>
          <t>5 - 10 Năm</t>
        </is>
      </c>
      <c r="L12027" s="8">
        <f>HYPERLINK("https://careerviet.vn/vi/tim-viec-lam/ky-su-giam-sat-xay-dung-bqlda-nghe-an.35C6B447.html","Xem chi tiết")</f>
        <v/>
      </c>
    </row>
    <row r="12028">
      <c r="B12028" s="9" t="n">
        <v>12026</v>
      </c>
      <c r="C12028" s="10" t="inlineStr">
        <is>
          <t>Kỹ sư giám sát công trình</t>
        </is>
      </c>
      <c r="D12028" s="10" t="inlineStr">
        <is>
          <t>Công ty TNHH tư vấn công trình xây dựng KCIS</t>
        </is>
      </c>
      <c r="E12028" s="10" t="inlineStr">
        <is>
          <t>Lương:15 Tr - 20 Tr VND</t>
        </is>
      </c>
      <c r="F12028" s="10" t="inlineStr">
        <is>
          <t>Bà Rịa - Vũng Tàu</t>
        </is>
      </c>
      <c r="G12028" s="10" t="inlineStr">
        <is>
          <t>31-03-2026</t>
        </is>
      </c>
      <c r="H12028" s="10" t="inlineStr">
        <is>
          <t>31/03/2026</t>
        </is>
      </c>
      <c r="I12028" s="10" t="inlineStr">
        <is>
          <t>17/03/2026</t>
        </is>
      </c>
      <c r="J12028" s="10" t="inlineStr">
        <is>
          <t>Xây dựng</t>
        </is>
      </c>
      <c r="K12028" s="10" t="inlineStr">
        <is>
          <t>1 - 2 Năm</t>
        </is>
      </c>
      <c r="L12028" s="11">
        <f>HYPERLINK("https://careerviet.vn/vi/tim-viec-lam/ky-su-giam-sat-cong-trinh.35C6A974.html","Xem chi tiết")</f>
        <v/>
      </c>
      <c r="M12028" s="10" t="n"/>
    </row>
    <row r="12029">
      <c r="B12029" s="7" t="n">
        <v>12027</v>
      </c>
      <c r="C12029" t="inlineStr">
        <is>
          <t>[NLE] Trưởng bộ phận An ninh</t>
        </is>
      </c>
      <c r="D12029" t="inlineStr">
        <is>
          <t>Nova Service Group - Công ty Cổ phần Tập đoàn Nova Services</t>
        </is>
      </c>
      <c r="E12029" t="inlineStr">
        <is>
          <t>Lương:Cạnh tranh</t>
        </is>
      </c>
      <c r="F12029" t="inlineStr">
        <is>
          <t>Đồng Nai</t>
        </is>
      </c>
      <c r="G12029" t="inlineStr">
        <is>
          <t>30-04-2026</t>
        </is>
      </c>
      <c r="H12029" t="inlineStr">
        <is>
          <t>30/04/2026</t>
        </is>
      </c>
      <c r="I12029" t="inlineStr">
        <is>
          <t>17/03/2026</t>
        </is>
      </c>
      <c r="J12029" t="inlineStr">
        <is>
          <t>An Ninh / Bảo Vệ</t>
        </is>
      </c>
      <c r="K12029" t="inlineStr">
        <is>
          <t>5 - 8 Năm</t>
        </is>
      </c>
      <c r="L12029" s="8">
        <f>HYPERLINK("https://careerviet.vn/vi/tim-viec-lam/nle-truong-bo-phan-an-ninh.35C6B55F.html","Xem chi tiết")</f>
        <v/>
      </c>
    </row>
    <row r="12030">
      <c r="B12030" s="9" t="n">
        <v>12028</v>
      </c>
      <c r="C12030" s="10" t="inlineStr">
        <is>
          <t>Chuyên viên Xử lý đơn hàng (Kho Long Thành)</t>
        </is>
      </c>
      <c r="D12030" s="10" t="inlineStr">
        <is>
          <t>CÔNG TY CỔ PHẦN DÂY CÁP ĐIỆN VIỆT NAM - CADIVI</t>
        </is>
      </c>
      <c r="E12030" s="10" t="inlineStr">
        <is>
          <t>Lương:Cạnh tranh</t>
        </is>
      </c>
      <c r="F12030" s="10" t="inlineStr">
        <is>
          <t>Đồng Nai</t>
        </is>
      </c>
      <c r="G12030" s="10" t="inlineStr">
        <is>
          <t>05-04-2026</t>
        </is>
      </c>
      <c r="H12030" s="10" t="inlineStr">
        <is>
          <t>05/04/2026</t>
        </is>
      </c>
      <c r="I12030" s="10" t="inlineStr">
        <is>
          <t>17/03/2026</t>
        </is>
      </c>
      <c r="J12030" s="10" t="inlineStr">
        <is>
          <t>Bán hàng / Kinh doanh</t>
        </is>
      </c>
      <c r="K12030" s="10" t="inlineStr">
        <is>
          <t>2 - 3 Năm</t>
        </is>
      </c>
      <c r="L12030" s="11">
        <f>HYPERLINK("https://careerviet.vn/vi/tim-viec-lam/chuyen-vien-xu-ly-don-hang-kho-long-thanh.35C6B57E.html","Xem chi tiết")</f>
        <v/>
      </c>
      <c r="M12030" s="10" t="n"/>
    </row>
    <row r="12031">
      <c r="B12031" s="7" t="n">
        <v>12029</v>
      </c>
      <c r="C12031" t="inlineStr">
        <is>
          <t>Nhân viên kế toán thuế</t>
        </is>
      </c>
      <c r="D12031" t="inlineStr">
        <is>
          <t>Tập Đoàn Tân Á Đại Thành</t>
        </is>
      </c>
      <c r="E12031" t="inlineStr">
        <is>
          <t>Lương:11,5 Tr - 13 Tr VND</t>
        </is>
      </c>
      <c r="F12031" t="inlineStr">
        <is>
          <t>Hà Nam</t>
        </is>
      </c>
      <c r="G12031" t="inlineStr">
        <is>
          <t>31-03-2026</t>
        </is>
      </c>
      <c r="H12031" t="inlineStr">
        <is>
          <t>31/03/2026</t>
        </is>
      </c>
      <c r="I12031" t="inlineStr">
        <is>
          <t>17/03/2026</t>
        </is>
      </c>
      <c r="J12031" t="inlineStr">
        <is>
          <t>Kế toán / Kiểm toán</t>
        </is>
      </c>
      <c r="K12031" t="inlineStr">
        <is>
          <t>1 - 2 Năm</t>
        </is>
      </c>
      <c r="L12031" s="8">
        <f>HYPERLINK("https://careerviet.vn/vi/tim-viec-lam/nhan-vien-ke-toan-thue.35C6B4FE.html","Xem chi tiết")</f>
        <v/>
      </c>
    </row>
    <row r="12032">
      <c r="B12032" s="9" t="n">
        <v>12030</v>
      </c>
      <c r="C12032" s="10" t="inlineStr">
        <is>
          <t>Trợ giảng mầm non (Quận 11)</t>
        </is>
      </c>
      <c r="D12032" s="10" t="inlineStr">
        <is>
          <t>TRƯỜNG QUỐC TẾ BLUE RIDGE / BLUE RIDGE INTERNATIONAL SCHOOL (BRIS)</t>
        </is>
      </c>
      <c r="E12032" s="10" t="inlineStr">
        <is>
          <t>Lương:6 Tr - 7 Tr VND</t>
        </is>
      </c>
      <c r="F12032" s="10" t="inlineStr">
        <is>
          <t>Hồ Chí Minh</t>
        </is>
      </c>
      <c r="G12032" s="10" t="inlineStr">
        <is>
          <t>31-03-2026</t>
        </is>
      </c>
      <c r="H12032" s="10" t="inlineStr">
        <is>
          <t>31/03/2026</t>
        </is>
      </c>
      <c r="I12032" s="10" t="inlineStr">
        <is>
          <t>17/03/2026</t>
        </is>
      </c>
      <c r="J12032" s="10" t="inlineStr">
        <is>
          <t>Giáo dục / Đào tạo</t>
        </is>
      </c>
      <c r="K12032" s="10" t="inlineStr">
        <is>
          <t>1 - 2 Năm</t>
        </is>
      </c>
      <c r="L12032" s="11">
        <f>HYPERLINK("https://careerviet.vn/vi/tim-viec-lam/tro-giang-mam-non-quan-11.35C6B357.html","Xem chi tiết")</f>
        <v/>
      </c>
      <c r="M12032" s="10" t="n"/>
    </row>
    <row r="12033">
      <c r="B12033" s="7" t="n">
        <v>12031</v>
      </c>
      <c r="C12033" t="inlineStr">
        <is>
          <t>Kế toán trưởng - URGENTLY</t>
        </is>
      </c>
      <c r="D12033" t="inlineStr">
        <is>
          <t>CÔNG TY CỔ PHẦN TGI TRANS</t>
        </is>
      </c>
      <c r="E12033" t="inlineStr">
        <is>
          <t>Lương:Cạnh tranh</t>
        </is>
      </c>
      <c r="F12033" t="inlineStr">
        <is>
          <t>Hà Nội</t>
        </is>
      </c>
      <c r="G12033" t="inlineStr">
        <is>
          <t>30-04-2026</t>
        </is>
      </c>
      <c r="H12033" t="inlineStr">
        <is>
          <t>30/04/2026</t>
        </is>
      </c>
      <c r="I12033" t="inlineStr">
        <is>
          <t>17/03/2026</t>
        </is>
      </c>
      <c r="J12033" t="inlineStr">
        <is>
          <t>Kế toán / Kiểm toán</t>
        </is>
      </c>
      <c r="K12033" t="inlineStr">
        <is>
          <t>3 - 5 Năm</t>
        </is>
      </c>
      <c r="L12033" s="8">
        <f>HYPERLINK("https://careerviet.vn/vi/tim-viec-lam/ke-toan-truong-urgently.35C6B378.html","Xem chi tiết")</f>
        <v/>
      </c>
    </row>
    <row r="12034">
      <c r="B12034" s="9" t="n">
        <v>12032</v>
      </c>
      <c r="C12034" s="10" t="inlineStr">
        <is>
          <t>Trợ lý Phiên dịch Tiếng Trung</t>
        </is>
      </c>
      <c r="D12034" s="10" t="inlineStr">
        <is>
          <t>CÔNG TY TNHH COTG FOOD TECH VIỆT NAM</t>
        </is>
      </c>
      <c r="E12034" s="10" t="inlineStr">
        <is>
          <t>Lương:12 Tr - 18 Tr VND</t>
        </is>
      </c>
      <c r="F12034" s="10" t="inlineStr">
        <is>
          <t>Hồ Chí Minh</t>
        </is>
      </c>
      <c r="G12034" s="10" t="inlineStr">
        <is>
          <t>06-04-2026</t>
        </is>
      </c>
      <c r="H12034" s="10" t="inlineStr">
        <is>
          <t>06/04/2026</t>
        </is>
      </c>
      <c r="I12034" s="10" t="inlineStr">
        <is>
          <t>17/03/2026</t>
        </is>
      </c>
      <c r="J12034" s="10" t="inlineStr">
        <is>
          <t>Biên phiên dịch, Thực phẩm &amp; Đồ uống, Bán hàng / Kinh doanh</t>
        </is>
      </c>
      <c r="K12034" s="10" t="inlineStr">
        <is>
          <t>1 - 3 Năm</t>
        </is>
      </c>
      <c r="L12034" s="11">
        <f>HYPERLINK("https://careerviet.vn/vi/tim-viec-lam/tro-ly-phien-dich-tieng-trung.35C6B3F7.html","Xem chi tiết")</f>
        <v/>
      </c>
      <c r="M12034" s="10" t="n"/>
    </row>
    <row r="12035">
      <c r="B12035" s="7" t="n">
        <v>12033</v>
      </c>
      <c r="C12035" t="inlineStr">
        <is>
          <t>[QUẬN 2 &amp; THỦ ĐỨC] - NHÂN VIÊN THẨM ĐỊNH TÍN DỤNG KHCN - RETAIL LOAN OFFICER</t>
        </is>
      </c>
      <c r="D12035" t="inlineStr">
        <is>
          <t>Shinhan Bank Vietnam</t>
        </is>
      </c>
      <c r="E12035" t="inlineStr">
        <is>
          <t>Lương:Cạnh tranh</t>
        </is>
      </c>
      <c r="F12035" t="inlineStr">
        <is>
          <t>Hồ Chí Minh</t>
        </is>
      </c>
      <c r="G12035" t="inlineStr">
        <is>
          <t>29-04-2026</t>
        </is>
      </c>
      <c r="H12035" t="inlineStr">
        <is>
          <t>29/04/2026</t>
        </is>
      </c>
      <c r="I12035" t="inlineStr">
        <is>
          <t>17/03/2026</t>
        </is>
      </c>
      <c r="J12035" t="inlineStr">
        <is>
          <t>Kế toán / Kiểm toán, Dịch vụ khách hàng, Ngân hàng</t>
        </is>
      </c>
      <c r="K12035" t="inlineStr">
        <is>
          <t>Trên 1 Năm</t>
        </is>
      </c>
      <c r="L12035" s="8">
        <f>HYPERLINK("https://careerviet.vn/vi/tim-viec-lam/quan-2-thu-duc-nhan-vien-tham-dinh-tin-dung-khcn-retail-loan-officer.35C6B3AF.html","Xem chi tiết")</f>
        <v/>
      </c>
    </row>
    <row r="12036">
      <c r="B12036" s="9" t="n">
        <v>12034</v>
      </c>
      <c r="C12036" s="10" t="inlineStr">
        <is>
          <t>Kỹ sư Cơ điện - khối công trình</t>
        </is>
      </c>
      <c r="D12036" s="10" t="inlineStr">
        <is>
          <t>Công Ty Cổ Phần Thiết Kế Và Xây Dựng Giza Việt Nam</t>
        </is>
      </c>
      <c r="E12036" s="10" t="inlineStr">
        <is>
          <t>Lương:16 Tr - 25 Tr VND</t>
        </is>
      </c>
      <c r="F12036" s="10" t="inlineStr">
        <is>
          <t>Hà NộiTây NinhNghệ An</t>
        </is>
      </c>
      <c r="G12036" s="10" t="inlineStr">
        <is>
          <t>06-04-2026</t>
        </is>
      </c>
      <c r="H12036" s="10" t="inlineStr">
        <is>
          <t>06/04/2026</t>
        </is>
      </c>
      <c r="I12036" s="10" t="inlineStr">
        <is>
          <t>17/03/2026</t>
        </is>
      </c>
      <c r="J12036" s="10" t="inlineStr">
        <is>
          <t>Điện / Điện tử / Điện lạnh / Điện công nghiệp, Bảo trì / Sửa chữa, Xây dựng</t>
        </is>
      </c>
      <c r="K12036" s="10" t="inlineStr">
        <is>
          <t>1 - 5 Năm</t>
        </is>
      </c>
      <c r="L12036" s="11">
        <f>HYPERLINK("https://careerviet.vn/vi/tim-viec-lam/ky-su-co-dien-khoi-cong-trinh.35C6B4AA.html","Xem chi tiết")</f>
        <v/>
      </c>
      <c r="M12036" s="10" t="n"/>
    </row>
    <row r="12037">
      <c r="B12037" s="7" t="n">
        <v>12035</v>
      </c>
      <c r="C12037" t="inlineStr">
        <is>
          <t>Nhân viên Dịch vụ khách hàng (Chủ đầu tư BĐS, làm việc tại Quận 3)</t>
        </is>
      </c>
      <c r="D12037" t="inlineStr">
        <is>
          <t>Công ty Cổ phần Tập đoàn KITA Group</t>
        </is>
      </c>
      <c r="E12037" t="inlineStr">
        <is>
          <t>Lương:9 Tr - 12 Tr VND</t>
        </is>
      </c>
      <c r="F12037" t="inlineStr">
        <is>
          <t>Hồ Chí Minh</t>
        </is>
      </c>
      <c r="G12037" t="inlineStr">
        <is>
          <t>30-04-2026</t>
        </is>
      </c>
      <c r="H12037" t="inlineStr">
        <is>
          <t>30/04/2026</t>
        </is>
      </c>
      <c r="I12037" t="inlineStr">
        <is>
          <t>17/03/2026</t>
        </is>
      </c>
      <c r="J12037" t="inlineStr">
        <is>
          <t>Bán hàng / Kinh doanh, Dịch vụ khách hàng, Bất động sản</t>
        </is>
      </c>
      <c r="K12037" t="inlineStr">
        <is>
          <t>1 - 3 Năm</t>
        </is>
      </c>
      <c r="L12037" s="8">
        <f>HYPERLINK("https://careerviet.vn/vi/tim-viec-lam/nhan-vien-dich-vu-khach-hang-chu-dau-tu-bds-lam-viec-tai-quan-3.35C6B3F1.html","Xem chi tiết")</f>
        <v/>
      </c>
    </row>
    <row r="12038">
      <c r="B12038" s="9" t="n">
        <v>12036</v>
      </c>
      <c r="C12038" s="10" t="inlineStr">
        <is>
          <t>Quality Assurance</t>
        </is>
      </c>
      <c r="D12038" s="10" t="inlineStr">
        <is>
          <t>TECOTEC Technology</t>
        </is>
      </c>
      <c r="E12038" s="10" t="inlineStr">
        <is>
          <t>Lương:Trên 8 Tr VND</t>
        </is>
      </c>
      <c r="F12038" s="10" t="inlineStr">
        <is>
          <t>Hà Nội</t>
        </is>
      </c>
      <c r="G12038" s="10" t="inlineStr">
        <is>
          <t>31-03-2026</t>
        </is>
      </c>
      <c r="H12038" s="10" t="inlineStr">
        <is>
          <t>31/03/2026</t>
        </is>
      </c>
      <c r="I12038" s="10" t="inlineStr">
        <is>
          <t>17/03/2026</t>
        </is>
      </c>
      <c r="J12038" s="10" t="inlineStr">
        <is>
          <t>Điện / Điện tử / Điện lạnh / Điện công nghiệp, Cơ khí / Ô tô / Tự động hóa</t>
        </is>
      </c>
      <c r="K12038" s="10" t="inlineStr">
        <is>
          <t>Trên 1 Năm</t>
        </is>
      </c>
      <c r="L12038" s="11">
        <f>HYPERLINK("https://careerviet.vn/vi/tim-viec-lam/quality-assurance.35C6B4AE.html","Xem chi tiết")</f>
        <v/>
      </c>
      <c r="M12038" s="10" t="n"/>
    </row>
    <row r="12039">
      <c r="B12039" s="7" t="n">
        <v>12037</v>
      </c>
      <c r="C12039" t="inlineStr">
        <is>
          <t>Chuyên viên cao cấp Tài chính Quản trị</t>
        </is>
      </c>
      <c r="D12039" t="inlineStr">
        <is>
          <t>CÔNG TY CỔ PHẦN KINH DOANH F88</t>
        </is>
      </c>
      <c r="E12039" t="inlineStr">
        <is>
          <t>Lương:Cạnh tranh</t>
        </is>
      </c>
      <c r="F12039" t="inlineStr">
        <is>
          <t>Hà Nội</t>
        </is>
      </c>
      <c r="G12039" t="inlineStr">
        <is>
          <t>06-04-2026</t>
        </is>
      </c>
      <c r="H12039" t="inlineStr">
        <is>
          <t>06/04/2026</t>
        </is>
      </c>
      <c r="I12039" t="inlineStr">
        <is>
          <t>17/03/2026</t>
        </is>
      </c>
      <c r="J12039" t="inlineStr">
        <is>
          <t>Tài chính / Đầu tư, Kế toán / Kiểm toán, Ngân hàng</t>
        </is>
      </c>
      <c r="K12039" t="inlineStr">
        <is>
          <t>Trên 3 Năm</t>
        </is>
      </c>
      <c r="L12039" s="8">
        <f>HYPERLINK("https://careerviet.vn/vi/tim-viec-lam/chuyen-vien-cao-cap-tai-chinh-quan-tri.35C6B337.html","Xem chi tiết")</f>
        <v/>
      </c>
    </row>
    <row r="12040">
      <c r="B12040" s="9" t="n">
        <v>12038</v>
      </c>
      <c r="C12040" s="10" t="inlineStr">
        <is>
          <t>[Hưng Yên] Nhân Viên Kho Vận Tại Văn Lâm (Đi Làm Ngay)</t>
        </is>
      </c>
      <c r="D12040" s="10" t="inlineStr">
        <is>
          <t>Công Ty TNHH Tập Đoàn Rita Võ</t>
        </is>
      </c>
      <c r="E12040" s="10" t="inlineStr">
        <is>
          <t>Lương:8 Tr - 10 Tr VND</t>
        </is>
      </c>
      <c r="F12040" s="10" t="inlineStr">
        <is>
          <t>Hưng Yên</t>
        </is>
      </c>
      <c r="G12040" s="10" t="inlineStr">
        <is>
          <t>03-04-2026</t>
        </is>
      </c>
      <c r="H12040" s="10" t="inlineStr">
        <is>
          <t>03/04/2026</t>
        </is>
      </c>
      <c r="I12040" s="10" t="inlineStr">
        <is>
          <t>17/03/2026</t>
        </is>
      </c>
      <c r="J12040" s="10" t="inlineStr">
        <is>
          <t>Vận chuyển / Giao nhận / Kho vận</t>
        </is>
      </c>
      <c r="K12040" s="10" t="inlineStr">
        <is>
          <t>Chưa có kinh nghiệm</t>
        </is>
      </c>
      <c r="L12040" s="11">
        <f>HYPERLINK("https://careerviet.vn/vi/tim-viec-lam/hung-yen-nhan-vien-kho-van-tai-van-lam-di-lam-ngay.35C6B473.html","Xem chi tiết")</f>
        <v/>
      </c>
      <c r="M12040" s="10" t="n"/>
    </row>
    <row r="12041">
      <c r="B12041" s="7" t="n">
        <v>12039</v>
      </c>
      <c r="C12041" t="inlineStr">
        <is>
          <t>Nhân Viên Hành Chính – Nhân Sự</t>
        </is>
      </c>
      <c r="D12041" t="inlineStr">
        <is>
          <t>CÔNG TY TNHH DYNAMIC TEST SOLUTIONS VIỆT NAM</t>
        </is>
      </c>
      <c r="E12041" t="inlineStr">
        <is>
          <t>Lương:10 Tr - 12 Tr VND</t>
        </is>
      </c>
      <c r="F12041" t="inlineStr">
        <is>
          <t>Hồ Chí Minh</t>
        </is>
      </c>
      <c r="G12041" t="inlineStr">
        <is>
          <t>15-04-2026</t>
        </is>
      </c>
      <c r="H12041" t="inlineStr">
        <is>
          <t>15/04/2026</t>
        </is>
      </c>
      <c r="I12041" t="inlineStr">
        <is>
          <t>17/03/2026</t>
        </is>
      </c>
      <c r="J12041" t="inlineStr">
        <is>
          <t>Nhân sự</t>
        </is>
      </c>
      <c r="K12041" t="inlineStr">
        <is>
          <t>1 - 3 Năm</t>
        </is>
      </c>
      <c r="L12041" s="8">
        <f>HYPERLINK("https://careerviet.vn/vi/tim-viec-lam/nhan-vien-hanh-chinh-nhan-su.35C6B4F1.html","Xem chi tiết")</f>
        <v/>
      </c>
    </row>
    <row r="12042">
      <c r="B12042" s="9" t="n">
        <v>12040</v>
      </c>
      <c r="C12042" s="10" t="inlineStr">
        <is>
          <t>Lab Technician - Chemical Analyst (Night Shift)</t>
        </is>
      </c>
      <c r="D12042" s="10" t="inlineStr">
        <is>
          <t>Cty SGS Việt Nam TNHH</t>
        </is>
      </c>
      <c r="E12042" s="10" t="inlineStr">
        <is>
          <t>Lương:Cạnh tranh</t>
        </is>
      </c>
      <c r="F12042" s="10" t="inlineStr">
        <is>
          <t>Hồ Chí Minh</t>
        </is>
      </c>
      <c r="G12042" s="10" t="inlineStr">
        <is>
          <t>11-04-2026</t>
        </is>
      </c>
      <c r="H12042" s="10" t="inlineStr">
        <is>
          <t>11/04/2026</t>
        </is>
      </c>
      <c r="I12042" s="10" t="inlineStr">
        <is>
          <t>17/03/2026</t>
        </is>
      </c>
      <c r="J12042" s="10" t="inlineStr">
        <is>
          <t>Hóa học, Công nghệ thực phẩm / Dinh dưỡng, Công nghệ sinh học</t>
        </is>
      </c>
      <c r="K12042" s="10" t="inlineStr">
        <is>
          <t>Chưa có kinh nghiệm</t>
        </is>
      </c>
      <c r="L12042" s="11">
        <f>HYPERLINK("https://careerviet.vn/vi/tim-viec-lam/lab-technician-chemical-analyst-night-shift.35C6B4C2.html","Xem chi tiết")</f>
        <v/>
      </c>
      <c r="M12042" s="10" t="n"/>
    </row>
    <row r="12043">
      <c r="B12043" s="7" t="n">
        <v>12041</v>
      </c>
      <c r="C12043" t="inlineStr">
        <is>
          <t>Nhân Viên Thiết Kế Sản Phẩm Cơ Khí</t>
        </is>
      </c>
      <c r="D12043" t="inlineStr">
        <is>
          <t>CÔNG TY TNHH TIAN YOU</t>
        </is>
      </c>
      <c r="E12043" t="inlineStr">
        <is>
          <t>Lương:10 Tr - 20 Tr VND</t>
        </is>
      </c>
      <c r="F12043" t="inlineStr">
        <is>
          <t>Bình Dương</t>
        </is>
      </c>
      <c r="G12043" t="inlineStr">
        <is>
          <t>05-04-2026</t>
        </is>
      </c>
      <c r="H12043" t="inlineStr">
        <is>
          <t>05/04/2026</t>
        </is>
      </c>
      <c r="I12043" t="inlineStr">
        <is>
          <t>17/03/2026</t>
        </is>
      </c>
      <c r="J12043" t="inlineStr">
        <is>
          <t>Điện / Điện tử / Điện lạnh / Điện công nghiệp, Mỹ thuật / Nghệ thuật / Thiết kế, Cơ khí / Ô tô / Tự động hóa</t>
        </is>
      </c>
      <c r="K12043" t="inlineStr">
        <is>
          <t>Trên 1 Năm</t>
        </is>
      </c>
      <c r="L12043" s="8">
        <f>HYPERLINK("https://careerviet.vn/vi/tim-viec-lam/nhan-vien-thiet-ke-san-pham-co-khi.35C6B23A.html","Xem chi tiết")</f>
        <v/>
      </c>
    </row>
    <row r="12044">
      <c r="B12044" s="9" t="n">
        <v>12042</v>
      </c>
      <c r="C12044" s="10" t="inlineStr">
        <is>
          <t>Trưởng nhóm kinh doanh cám (Bình Phước)</t>
        </is>
      </c>
      <c r="D12044" s="10" t="inlineStr">
        <is>
          <t>CÔNG TY CỔ PHẦN THÁI VIỆT CORPORATION</t>
        </is>
      </c>
      <c r="E12044" s="10" t="inlineStr">
        <is>
          <t>Lương:35 Tr - 50 Tr VND</t>
        </is>
      </c>
      <c r="F12044" s="10" t="inlineStr">
        <is>
          <t>Bình Phước</t>
        </is>
      </c>
      <c r="G12044" s="10" t="inlineStr">
        <is>
          <t>05-04-2026</t>
        </is>
      </c>
      <c r="H12044" s="10" t="inlineStr">
        <is>
          <t>05/04/2026</t>
        </is>
      </c>
      <c r="I12044" s="10" t="inlineStr">
        <is>
          <t>17/03/2026</t>
        </is>
      </c>
      <c r="J12044" s="10" t="inlineStr">
        <is>
          <t>Bán hàng / Kinh doanh, Chăn nuôi / Thú y, Tiếp thị / Marketing</t>
        </is>
      </c>
      <c r="K12044" s="10" t="inlineStr">
        <is>
          <t>1 - 15 Năm</t>
        </is>
      </c>
      <c r="L12044" s="11">
        <f>HYPERLINK("https://careerviet.vn/vi/tim-viec-lam/truong-nhom-kinh-doanh-cam-binh-phuoc.35C6B36C.html","Xem chi tiết")</f>
        <v/>
      </c>
      <c r="M12044" s="10" t="n"/>
    </row>
    <row r="12045">
      <c r="B12045" s="7" t="n">
        <v>12043</v>
      </c>
      <c r="C12045" t="inlineStr">
        <is>
          <t>NHÂN VIÊN QA CHỨNG NHẬN</t>
        </is>
      </c>
      <c r="D12045" t="inlineStr">
        <is>
          <t>Công ty cổ phần Nafoods Group</t>
        </is>
      </c>
      <c r="E12045" t="inlineStr">
        <is>
          <t>Lương:8 Tr - 14 Tr VND</t>
        </is>
      </c>
      <c r="F12045" t="inlineStr">
        <is>
          <t>Bình Thuận</t>
        </is>
      </c>
      <c r="G12045" t="inlineStr">
        <is>
          <t>31-03-2026</t>
        </is>
      </c>
      <c r="H12045" t="inlineStr">
        <is>
          <t>31/03/2026</t>
        </is>
      </c>
      <c r="I12045" t="inlineStr">
        <is>
          <t>17/03/2026</t>
        </is>
      </c>
      <c r="J12045" t="inlineStr">
        <is>
          <t>Sản xuất / Vận hành sản xuất</t>
        </is>
      </c>
      <c r="K12045" t="inlineStr">
        <is>
          <t>1 - 5 Năm</t>
        </is>
      </c>
      <c r="L12045" s="8">
        <f>HYPERLINK("https://careerviet.vn/vi/tim-viec-lam/nhan-vien-qa-chung-nhan.35C6B50F.html","Xem chi tiết")</f>
        <v/>
      </c>
    </row>
    <row r="12046">
      <c r="B12046" s="9" t="n">
        <v>12044</v>
      </c>
      <c r="C12046" s="10" t="inlineStr">
        <is>
          <t>[BR-VT] Kỹ sư giám sát xây dựng</t>
        </is>
      </c>
      <c r="D12046" s="10" t="inlineStr">
        <is>
          <t>Công ty TNHH tư vấn công trình xây dựng KCIS</t>
        </is>
      </c>
      <c r="E12046" s="10" t="inlineStr">
        <is>
          <t>Lương:15 Tr - 20 Tr VND</t>
        </is>
      </c>
      <c r="F12046" s="10" t="inlineStr">
        <is>
          <t>Bà Rịa - Vũng Tàu</t>
        </is>
      </c>
      <c r="G12046" s="10" t="inlineStr">
        <is>
          <t>11-04-2026</t>
        </is>
      </c>
      <c r="H12046" s="10" t="inlineStr">
        <is>
          <t>11/04/2026</t>
        </is>
      </c>
      <c r="I12046" s="10" t="inlineStr">
        <is>
          <t>17/03/2026</t>
        </is>
      </c>
      <c r="J12046" s="10" t="inlineStr">
        <is>
          <t>Xây dựng, Kiến trúc</t>
        </is>
      </c>
      <c r="K12046" s="10" t="inlineStr">
        <is>
          <t>1 - 5 Năm</t>
        </is>
      </c>
      <c r="L12046" s="11">
        <f>HYPERLINK("https://careerviet.vn/vi/tim-viec-lam/br-vt-ky-su-giam-sat-xay-dung.35C6B3E5.html","Xem chi tiết")</f>
        <v/>
      </c>
      <c r="M12046" s="10" t="n"/>
    </row>
    <row r="12047">
      <c r="B12047" s="7" t="n">
        <v>12045</v>
      </c>
      <c r="C12047" t="inlineStr">
        <is>
          <t>Thư ký Ban Phát triển dự án (Admin) tại Tập đoàn Chủ đầu tư các dự án bất động sản</t>
        </is>
      </c>
      <c r="D12047" t="inlineStr">
        <is>
          <t>CÔNG TY CỔ PHẦN CLOUD PROPERTY</t>
        </is>
      </c>
      <c r="E12047" t="inlineStr">
        <is>
          <t>Lương:15 Tr - 20 Tr VND</t>
        </is>
      </c>
      <c r="F12047" t="inlineStr">
        <is>
          <t>Hà Nội</t>
        </is>
      </c>
      <c r="G12047" t="inlineStr">
        <is>
          <t>05-04-2026</t>
        </is>
      </c>
      <c r="H12047" t="inlineStr">
        <is>
          <t>05/04/2026</t>
        </is>
      </c>
      <c r="I12047" t="inlineStr">
        <is>
          <t>17/03/2026</t>
        </is>
      </c>
      <c r="J12047" t="inlineStr">
        <is>
          <t>Luật / Pháp lý, Hành chính / Thư ký</t>
        </is>
      </c>
      <c r="K12047" t="inlineStr">
        <is>
          <t>1 - 2 Năm</t>
        </is>
      </c>
      <c r="L12047" s="8">
        <f>HYPERLINK("https://careerviet.vn/vi/tim-viec-lam/thu-ky-ban-phat-trien-du-an-admin-tai-tap-doan-chu-dau-tu-cac-du-an-bat-dong-san.35C6B569.html","Xem chi tiết")</f>
        <v/>
      </c>
    </row>
    <row r="12048">
      <c r="B12048" s="9" t="n">
        <v>12046</v>
      </c>
      <c r="C12048" s="10" t="inlineStr">
        <is>
          <t>[Đồng Nai] Nhân viên Thủ kho</t>
        </is>
      </c>
      <c r="D12048" s="10" t="inlineStr">
        <is>
          <t>Công Ty CP XNK Hóa Chất &amp; Thiết Bị Kim Ngưu</t>
        </is>
      </c>
      <c r="E12048" s="10" t="inlineStr">
        <is>
          <t>Lương:10 Tr - 13 Tr VND</t>
        </is>
      </c>
      <c r="F12048" s="10" t="inlineStr">
        <is>
          <t>Đồng Nai</t>
        </is>
      </c>
      <c r="G12048" s="10" t="inlineStr">
        <is>
          <t>30-05-2026</t>
        </is>
      </c>
      <c r="H12048" s="10" t="inlineStr">
        <is>
          <t>30/05/2026</t>
        </is>
      </c>
      <c r="I12048" s="10" t="inlineStr">
        <is>
          <t>17/03/2026</t>
        </is>
      </c>
      <c r="J12048" s="10" t="inlineStr">
        <is>
          <t>Kế toán / Kiểm toán, Sản xuất / Vận hành sản xuất, Vận chuyển / Giao nhận / Kho vận</t>
        </is>
      </c>
      <c r="K12048" s="10" t="inlineStr">
        <is>
          <t>2 - 3 Năm</t>
        </is>
      </c>
      <c r="L12048" s="11">
        <f>HYPERLINK("https://careerviet.vn/vi/tim-viec-lam/dong-nai-nhan-vien-thu-kho.35C6B4D1.html","Xem chi tiết")</f>
        <v/>
      </c>
      <c r="M12048" s="10" t="n"/>
    </row>
    <row r="12049">
      <c r="B12049" s="7" t="n">
        <v>12047</v>
      </c>
      <c r="C12049" t="inlineStr">
        <is>
          <t>Chuyên viên QS dự án (chủ đầu tư)</t>
        </is>
      </c>
      <c r="D12049" t="inlineStr">
        <is>
          <t>Tập Đoàn Tân Á Đại Thành</t>
        </is>
      </c>
      <c r="E12049" t="inlineStr">
        <is>
          <t>Lương:25 Tr - 28 Tr VND</t>
        </is>
      </c>
      <c r="F12049" t="inlineStr">
        <is>
          <t>Hà NộiKiên GiangHồ Chí Minh</t>
        </is>
      </c>
      <c r="G12049" t="inlineStr">
        <is>
          <t>06-04-2026</t>
        </is>
      </c>
      <c r="H12049" t="inlineStr">
        <is>
          <t>06/04/2026</t>
        </is>
      </c>
      <c r="I12049" t="inlineStr">
        <is>
          <t>17/03/2026</t>
        </is>
      </c>
      <c r="J12049" t="inlineStr">
        <is>
          <t>Kiến trúc, Xây dựng, Bất động sản</t>
        </is>
      </c>
      <c r="K12049" t="inlineStr">
        <is>
          <t>Trên 5 Năm</t>
        </is>
      </c>
      <c r="L12049" s="8">
        <f>HYPERLINK("https://careerviet.vn/vi/tim-viec-lam/chuyen-vien-qs-du-an-chu-dau-tu.35C6B476.html","Xem chi tiết")</f>
        <v/>
      </c>
    </row>
    <row r="12050">
      <c r="B12050" s="9" t="n">
        <v>12048</v>
      </c>
      <c r="C12050" s="10" t="inlineStr">
        <is>
          <t>Logistics Operations Manager / Import–Export Manager</t>
        </is>
      </c>
      <c r="D12050" s="10" t="inlineStr">
        <is>
          <t>CÔNG TY TNHH LINKTRANS LOGISTICS (VIỆT NAM)</t>
        </is>
      </c>
      <c r="E12050" s="10" t="inlineStr">
        <is>
          <t>Lương:15 Tr - 22 Tr VND</t>
        </is>
      </c>
      <c r="F12050" s="10" t="inlineStr">
        <is>
          <t>Hồ Chí Minh</t>
        </is>
      </c>
      <c r="G12050" s="10" t="inlineStr">
        <is>
          <t>06-04-2026</t>
        </is>
      </c>
      <c r="H12050" s="10" t="inlineStr">
        <is>
          <t>06/04/2026</t>
        </is>
      </c>
      <c r="I12050" s="10" t="inlineStr">
        <is>
          <t>17/03/2026</t>
        </is>
      </c>
      <c r="J12050" s="10" t="inlineStr">
        <is>
          <t>Xuất nhập khẩu, Sản xuất / Vận hành sản xuất, Quản lý điều hành</t>
        </is>
      </c>
      <c r="K12050" s="10" t="inlineStr">
        <is>
          <t>N/A</t>
        </is>
      </c>
      <c r="L12050" s="11">
        <f>HYPERLINK("https://careerviet.vn/vi/tim-viec-lam/logistics-operations-manager-import-export-manager.35C6B4CF.html","Xem chi tiết")</f>
        <v/>
      </c>
      <c r="M12050" s="10" t="n"/>
    </row>
    <row r="12051">
      <c r="B12051" s="7" t="n">
        <v>12049</v>
      </c>
      <c r="C12051" t="inlineStr">
        <is>
          <t>Phụ trách Kinh doanh Nguyên liệu Thực phẩm</t>
        </is>
      </c>
      <c r="D12051" t="inlineStr">
        <is>
          <t>CÔNG TY CỔ PHẦN THƯƠNG MẠI VÀ CÔNG NGHỆ THỰC PHẨM HOÀNG LÂM</t>
        </is>
      </c>
      <c r="E12051" t="inlineStr">
        <is>
          <t>Lương:Cạnh tranh</t>
        </is>
      </c>
      <c r="F12051" t="inlineStr">
        <is>
          <t>Hà Nội</t>
        </is>
      </c>
      <c r="G12051" t="inlineStr">
        <is>
          <t>31-03-2026</t>
        </is>
      </c>
      <c r="H12051" t="inlineStr">
        <is>
          <t>31/03/2026</t>
        </is>
      </c>
      <c r="I12051" t="inlineStr">
        <is>
          <t>17/03/2026</t>
        </is>
      </c>
      <c r="J12051" t="inlineStr">
        <is>
          <t>Bán hàng / Kinh doanh</t>
        </is>
      </c>
      <c r="K12051" t="inlineStr">
        <is>
          <t>3 - 4 Năm</t>
        </is>
      </c>
      <c r="L12051" s="8">
        <f>HYPERLINK("https://careerviet.vn/vi/tim-viec-lam/phu-trach-kinh-doanh-nguyen-lieu-thuc-pham.35C6B343.html","Xem chi tiết")</f>
        <v/>
      </c>
    </row>
    <row r="12052">
      <c r="B12052" s="9" t="n">
        <v>12050</v>
      </c>
      <c r="C12052" s="10" t="inlineStr">
        <is>
          <t>Chuyên viên Đấu thầu mua Sắm (mảng Xây dựng)</t>
        </is>
      </c>
      <c r="D12052" s="10" t="inlineStr">
        <is>
          <t>CÔNG TY CỔ PHẦN ĐẦU TƯ XÂY DỰNG ENTIZ</t>
        </is>
      </c>
      <c r="E12052" s="10" t="inlineStr">
        <is>
          <t>Lương:15 Tr - 23 Tr VND</t>
        </is>
      </c>
      <c r="F12052" s="10" t="inlineStr">
        <is>
          <t>Nghệ An</t>
        </is>
      </c>
      <c r="G12052" s="10" t="inlineStr">
        <is>
          <t>04-04-2026</t>
        </is>
      </c>
      <c r="H12052" s="10" t="inlineStr">
        <is>
          <t>04/04/2026</t>
        </is>
      </c>
      <c r="I12052" s="10" t="inlineStr">
        <is>
          <t>17/03/2026</t>
        </is>
      </c>
      <c r="J12052" s="10" t="inlineStr">
        <is>
          <t>Thu mua / Vật tư, Xây dựng, Bất động sản</t>
        </is>
      </c>
      <c r="K12052" s="10" t="inlineStr">
        <is>
          <t>5 - 10 Năm</t>
        </is>
      </c>
      <c r="L12052" s="11">
        <f>HYPERLINK("https://careerviet.vn/vi/tim-viec-lam/chuyen-vien-dau-thau-mua-sam-mang-xay-dung.35C64D0A.html","Xem chi tiết")</f>
        <v/>
      </c>
      <c r="M12052" s="10" t="n"/>
    </row>
    <row r="12053">
      <c r="B12053" s="7" t="n">
        <v>12051</v>
      </c>
      <c r="C12053" t="inlineStr">
        <is>
          <t>Chuyên viên pháp chế</t>
        </is>
      </c>
      <c r="D12053" t="inlineStr">
        <is>
          <t>Tổng Công Ty Cổ Phần Địa Ốc Sài Gòn</t>
        </is>
      </c>
      <c r="E12053" t="inlineStr">
        <is>
          <t>Lương:20 Tr - 25 Tr VND</t>
        </is>
      </c>
      <c r="F12053" t="inlineStr">
        <is>
          <t>Hồ Chí Minh</t>
        </is>
      </c>
      <c r="G12053" t="inlineStr">
        <is>
          <t>31-03-2026</t>
        </is>
      </c>
      <c r="H12053" t="inlineStr">
        <is>
          <t>31/03/2026</t>
        </is>
      </c>
      <c r="I12053" t="inlineStr">
        <is>
          <t>17/03/2026</t>
        </is>
      </c>
      <c r="J12053" t="inlineStr">
        <is>
          <t>Luật / Pháp lý</t>
        </is>
      </c>
      <c r="K12053" t="inlineStr">
        <is>
          <t>5 - 10 Năm</t>
        </is>
      </c>
      <c r="L12053" s="8">
        <f>HYPERLINK("https://careerviet.vn/vi/tim-viec-lam/chuyen-vien-phap-che.35C695DD.html","Xem chi tiết")</f>
        <v/>
      </c>
    </row>
    <row r="12054">
      <c r="B12054" s="9" t="n">
        <v>12052</v>
      </c>
      <c r="C12054" s="10" t="inlineStr">
        <is>
          <t>Nhân viên Bán hàng Thời trang -Xô Viết Nghệ Tĩnh</t>
        </is>
      </c>
      <c r="D12054" s="10" t="inlineStr">
        <is>
          <t>CT CP Tập Đoàn Thái Tuấn</t>
        </is>
      </c>
      <c r="E12054" s="10" t="inlineStr">
        <is>
          <t>Lương:7 Tr - 12 Tr VND</t>
        </is>
      </c>
      <c r="F12054" s="10" t="inlineStr">
        <is>
          <t>Hồ Chí Minh</t>
        </is>
      </c>
      <c r="G12054" s="10" t="inlineStr">
        <is>
          <t>05-04-2026</t>
        </is>
      </c>
      <c r="H12054" s="10" t="inlineStr">
        <is>
          <t>05/04/2026</t>
        </is>
      </c>
      <c r="I12054" s="10" t="inlineStr">
        <is>
          <t>17/03/2026</t>
        </is>
      </c>
      <c r="J12054" s="10" t="inlineStr">
        <is>
          <t>Bán lẻ / Bán sỉ, Bán hàng / Kinh doanh, Dệt may / Da giày / Thời trang</t>
        </is>
      </c>
      <c r="K12054" s="10" t="inlineStr">
        <is>
          <t>N/A</t>
        </is>
      </c>
      <c r="L12054" s="11">
        <f>HYPERLINK("https://careerviet.vn/vi/tim-viec-lam/nhan-vien-ban-hang-thoi-trang-xo-viet-nghe-tinh.35C6B455.html","Xem chi tiết")</f>
        <v/>
      </c>
      <c r="M12054" s="10" t="n"/>
    </row>
    <row r="12055">
      <c r="B12055" s="7" t="n">
        <v>12053</v>
      </c>
      <c r="C12055" t="inlineStr">
        <is>
          <t>Chuyên viên Thiết kế và Phát triển học liệu E-learning</t>
        </is>
      </c>
      <c r="D12055" t="inlineStr">
        <is>
          <t>Công ty CP Công nghệ giáo dục Trường học trực tuyến (ONSCHOOL)</t>
        </is>
      </c>
      <c r="E12055" t="inlineStr">
        <is>
          <t>Lương:8 Tr - 8 Tr VND</t>
        </is>
      </c>
      <c r="F12055" t="inlineStr">
        <is>
          <t>Hà Nội</t>
        </is>
      </c>
      <c r="G12055" t="inlineStr">
        <is>
          <t>30-03-2026</t>
        </is>
      </c>
      <c r="H12055" t="inlineStr">
        <is>
          <t>30/03/2026</t>
        </is>
      </c>
      <c r="I12055" t="inlineStr">
        <is>
          <t>17/03/2026</t>
        </is>
      </c>
      <c r="J12055" t="inlineStr">
        <is>
          <t>Giáo dục / Đào tạo</t>
        </is>
      </c>
      <c r="K12055" t="inlineStr">
        <is>
          <t>1 - 2 Năm</t>
        </is>
      </c>
      <c r="L12055" s="8">
        <f>HYPERLINK("https://careerviet.vn/vi/tim-viec-lam/chuyen-vien-thiet-ke-va-phat-trien-hoc-lieu-e-learning.35C6B44D.html","Xem chi tiết")</f>
        <v/>
      </c>
    </row>
    <row r="12056">
      <c r="B12056" s="9" t="n">
        <v>12054</v>
      </c>
      <c r="C12056" s="10" t="inlineStr">
        <is>
          <t>Recruitment Officer (Tuyển Mass cho nhà máy)</t>
        </is>
      </c>
      <c r="D12056" s="10" t="inlineStr">
        <is>
          <t>CJ Foodville Việt Nam</t>
        </is>
      </c>
      <c r="E12056" s="10" t="inlineStr">
        <is>
          <t>Lương:Cạnh tranh</t>
        </is>
      </c>
      <c r="F12056" s="10" t="inlineStr">
        <is>
          <t>Long An</t>
        </is>
      </c>
      <c r="G12056" s="10" t="inlineStr">
        <is>
          <t>14-04-2026</t>
        </is>
      </c>
      <c r="H12056" s="10" t="inlineStr">
        <is>
          <t>14/04/2026</t>
        </is>
      </c>
      <c r="I12056" s="10" t="inlineStr">
        <is>
          <t>17/03/2026</t>
        </is>
      </c>
      <c r="J12056" s="10" t="inlineStr">
        <is>
          <t>Nhân sự</t>
        </is>
      </c>
      <c r="K12056" s="10" t="inlineStr">
        <is>
          <t>1 - 3 Năm</t>
        </is>
      </c>
      <c r="L12056" s="11">
        <f>HYPERLINK("https://careerviet.vn/vi/tim-viec-lam/recruitment-officer-tuyen-mass-cho-nha-may.35C6B478.html","Xem chi tiết")</f>
        <v/>
      </c>
      <c r="M12056" s="10" t="n"/>
    </row>
    <row r="12057">
      <c r="B12057" s="7" t="n">
        <v>12055</v>
      </c>
      <c r="C12057" t="inlineStr">
        <is>
          <t>Điều dưỡng Phó cho Phòng khám đa khoa quốc tế</t>
        </is>
      </c>
      <c r="D12057" t="inlineStr">
        <is>
          <t>CÔNG TY TNHH Y TẾ H PLUS</t>
        </is>
      </c>
      <c r="E12057" t="inlineStr">
        <is>
          <t>Lương:25 Tr - 30 Tr VND</t>
        </is>
      </c>
      <c r="F12057" t="inlineStr">
        <is>
          <t>Hà Nội</t>
        </is>
      </c>
      <c r="G12057" t="inlineStr">
        <is>
          <t>01-04-2026</t>
        </is>
      </c>
      <c r="H12057" t="inlineStr">
        <is>
          <t>01/04/2026</t>
        </is>
      </c>
      <c r="I12057" t="inlineStr">
        <is>
          <t>17/03/2026</t>
        </is>
      </c>
      <c r="J12057" t="inlineStr">
        <is>
          <t>Y tế / Chăm sóc sức khỏe / Thẩm mỹ / Làm đẹp</t>
        </is>
      </c>
      <c r="K12057" t="inlineStr">
        <is>
          <t>7 - 20 Năm</t>
        </is>
      </c>
      <c r="L12057" s="8">
        <f>HYPERLINK("https://careerviet.vn/vi/tim-viec-lam/dieu-duong-pho-cho-phong-kham-da-khoa-quoc-te.35C6B3FB.html","Xem chi tiết")</f>
        <v/>
      </c>
    </row>
    <row r="12058">
      <c r="B12058" s="9" t="n">
        <v>12056</v>
      </c>
      <c r="C12058" s="10" t="inlineStr">
        <is>
          <t>Kỹ sư khuôn nhựa (Tooling Engineer)</t>
        </is>
      </c>
      <c r="D12058" s="10" t="inlineStr">
        <is>
          <t>GOOD VIEW PLASTICS (VIETNAM) COMPANY LIMITED</t>
        </is>
      </c>
      <c r="E12058" s="10" t="inlineStr">
        <is>
          <t>Lương:Cạnh tranh</t>
        </is>
      </c>
      <c r="F12058" s="10" t="inlineStr">
        <is>
          <t>Đồng Nai</t>
        </is>
      </c>
      <c r="G12058" s="10" t="inlineStr">
        <is>
          <t>06-04-2026</t>
        </is>
      </c>
      <c r="H12058" s="10" t="inlineStr">
        <is>
          <t>06/04/2026</t>
        </is>
      </c>
      <c r="I12058" s="10" t="inlineStr">
        <is>
          <t>17/03/2026</t>
        </is>
      </c>
      <c r="J12058" s="10" t="inlineStr">
        <is>
          <t>Sản xuất / Vận hành sản xuất, Mỹ thuật / Nghệ thuật / Thiết kế, Ngành khác</t>
        </is>
      </c>
      <c r="K12058" s="10" t="inlineStr">
        <is>
          <t>2 - 3 Năm</t>
        </is>
      </c>
      <c r="L12058" s="11">
        <f>HYPERLINK("https://careerviet.vn/vi/tim-viec-lam/ky-su-khuon-nhua-tooling-engineer.35C6B285.html","Xem chi tiết")</f>
        <v/>
      </c>
      <c r="M12058" s="10" t="n"/>
    </row>
    <row r="12059">
      <c r="B12059" s="7" t="n">
        <v>12057</v>
      </c>
      <c r="C12059" t="inlineStr">
        <is>
          <t>Service Engineer</t>
        </is>
      </c>
      <c r="D12059" t="inlineStr">
        <is>
          <t>CÔNG TY CỔ PHẦN THIẾT BỊ VÀ KỸ THUẬT KHÁNH LINH</t>
        </is>
      </c>
      <c r="E12059" t="inlineStr">
        <is>
          <t>Lương:Cạnh tranh</t>
        </is>
      </c>
      <c r="F12059" t="inlineStr">
        <is>
          <t>Hồ Chí Minh</t>
        </is>
      </c>
      <c r="G12059" t="inlineStr">
        <is>
          <t>05-04-2026</t>
        </is>
      </c>
      <c r="H12059" t="inlineStr">
        <is>
          <t>05/04/2026</t>
        </is>
      </c>
      <c r="I12059" t="inlineStr">
        <is>
          <t>17/03/2026</t>
        </is>
      </c>
      <c r="J12059" t="inlineStr">
        <is>
          <t>Dầu khí, Cơ khí / Ô tô / Tự động hóa, Bảo trì / Sửa chữa</t>
        </is>
      </c>
      <c r="K12059" t="inlineStr">
        <is>
          <t>1 - 2 Năm</t>
        </is>
      </c>
      <c r="L12059" s="8">
        <f>HYPERLINK("https://careerviet.vn/vi/tim-viec-lam/service-engineer.35C6B2B9.html","Xem chi tiết")</f>
        <v/>
      </c>
    </row>
    <row r="12060">
      <c r="B12060" s="9" t="n">
        <v>12058</v>
      </c>
      <c r="C12060" s="10" t="inlineStr">
        <is>
          <t>Kỹ thuật vận hành tòa nhà tại Hải Phòng</t>
        </is>
      </c>
      <c r="D12060" s="10" t="inlineStr">
        <is>
          <t>Hoàng Huy Group</t>
        </is>
      </c>
      <c r="E12060" s="10" t="inlineStr">
        <is>
          <t>Lương:9 Tr - 10 Tr VND</t>
        </is>
      </c>
      <c r="F12060" s="10" t="inlineStr">
        <is>
          <t>Hải Phòng</t>
        </is>
      </c>
      <c r="G12060" s="10" t="inlineStr">
        <is>
          <t>30-04-2026</t>
        </is>
      </c>
      <c r="H12060" s="10" t="inlineStr">
        <is>
          <t>30/04/2026</t>
        </is>
      </c>
      <c r="I12060" s="10" t="inlineStr">
        <is>
          <t>17/03/2026</t>
        </is>
      </c>
      <c r="J12060" s="10" t="inlineStr">
        <is>
          <t>Bảo trì / Sửa chữa</t>
        </is>
      </c>
      <c r="K12060" s="10" t="inlineStr">
        <is>
          <t>N/A</t>
        </is>
      </c>
      <c r="L12060" s="11">
        <f>HYPERLINK("https://careerviet.vn/vi/tim-viec-lam/ky-thuat-van-hanh-toa-nha-tai-hai-phong.35C6B29F.html","Xem chi tiết")</f>
        <v/>
      </c>
      <c r="M12060" s="10" t="n"/>
    </row>
    <row r="12061">
      <c r="B12061" s="7" t="n">
        <v>12059</v>
      </c>
      <c r="C12061" t="inlineStr">
        <is>
          <t>Chuyên viên kinh doanh Lâm Đồng</t>
        </is>
      </c>
      <c r="D12061" t="inlineStr">
        <is>
          <t>Công Ty TNHH Sơn Seamaster Việt Nam</t>
        </is>
      </c>
      <c r="E12061" t="inlineStr">
        <is>
          <t>Lương:14 Tr - 20 Tr VND</t>
        </is>
      </c>
      <c r="F12061" t="inlineStr">
        <is>
          <t>Bình ThuậnLâm Đồng</t>
        </is>
      </c>
      <c r="G12061" t="inlineStr">
        <is>
          <t>31-03-2026</t>
        </is>
      </c>
      <c r="H12061" t="inlineStr">
        <is>
          <t>31/03/2026</t>
        </is>
      </c>
      <c r="I12061" t="inlineStr">
        <is>
          <t>17/03/2026</t>
        </is>
      </c>
      <c r="J12061" t="inlineStr">
        <is>
          <t>Tiếp thị / Marketing, Bán hàng / Kinh doanh, Tư vấn</t>
        </is>
      </c>
      <c r="K12061" t="inlineStr">
        <is>
          <t>1 - 2 Năm</t>
        </is>
      </c>
      <c r="L12061" s="8">
        <f>HYPERLINK("https://careerviet.vn/vi/tim-viec-lam/chuyen-vien-kinh-doanh-lam-dong.35C6B471.html","Xem chi tiết")</f>
        <v/>
      </c>
    </row>
    <row r="12062">
      <c r="B12062" s="9" t="n">
        <v>12060</v>
      </c>
      <c r="C12062" s="10" t="inlineStr">
        <is>
          <t>Chuyên viênTekla</t>
        </is>
      </c>
      <c r="D12062" s="10" t="inlineStr">
        <is>
          <t>Công Ty Cổ Phần Xây Dựng Và Kết Cấu Thép Đại Tín</t>
        </is>
      </c>
      <c r="E12062" s="10" t="inlineStr">
        <is>
          <t>Lương:16 Tr - 23 Tr VND</t>
        </is>
      </c>
      <c r="F12062" s="10" t="inlineStr">
        <is>
          <t>Tây Ninh</t>
        </is>
      </c>
      <c r="G12062" s="10" t="inlineStr">
        <is>
          <t>06-04-2026</t>
        </is>
      </c>
      <c r="H12062" s="10" t="inlineStr">
        <is>
          <t>06/04/2026</t>
        </is>
      </c>
      <c r="I12062" s="10" t="inlineStr">
        <is>
          <t>17/03/2026</t>
        </is>
      </c>
      <c r="J12062" s="10" t="inlineStr">
        <is>
          <t>Kiến trúc, Xây dựng, Bất động sản</t>
        </is>
      </c>
      <c r="K12062" s="10" t="inlineStr">
        <is>
          <t>2 - 3 NămĐịa điểm</t>
        </is>
      </c>
      <c r="L12062" s="11">
        <f>HYPERLINK("https://careerviet.vn/vi/tim-viec-lam/chuyen-vientekla.35C6B4DD.html","Xem chi tiết")</f>
        <v/>
      </c>
      <c r="M12062" s="10" t="n"/>
    </row>
    <row r="12063">
      <c r="B12063" s="7" t="n">
        <v>12061</v>
      </c>
      <c r="C12063" t="inlineStr">
        <is>
          <t>Lập trình viên PHP (PM Quản lý nhân sự)</t>
        </is>
      </c>
      <c r="D12063" t="inlineStr">
        <is>
          <t>Tổng Công ty Cổ phần Bảo hiểm Ngân hàng Đầu tư và Phát triển Việt Nam (BIC)</t>
        </is>
      </c>
      <c r="E12063" t="inlineStr">
        <is>
          <t>Lương:20 Tr - 40 Tr VND</t>
        </is>
      </c>
      <c r="F12063" t="inlineStr">
        <is>
          <t>Hà Nội</t>
        </is>
      </c>
      <c r="G12063" t="inlineStr">
        <is>
          <t>04-04-2026</t>
        </is>
      </c>
      <c r="H12063" t="inlineStr">
        <is>
          <t>04/04/2026</t>
        </is>
      </c>
      <c r="I12063" t="inlineStr">
        <is>
          <t>17/03/2026</t>
        </is>
      </c>
      <c r="J12063" t="inlineStr">
        <is>
          <t>CNTT - Phần mềm, Bảo hiểm</t>
        </is>
      </c>
      <c r="K12063" t="inlineStr">
        <is>
          <t>1 - 3 Năm</t>
        </is>
      </c>
      <c r="L12063" s="8">
        <f>HYPERLINK("https://careerviet.vn/vi/tim-viec-lam/lap-trinh-vien-php-pm-quan-ly-nhan-su.35C6B566.html","Xem chi tiết")</f>
        <v/>
      </c>
    </row>
    <row r="12064">
      <c r="B12064" s="9" t="n">
        <v>12062</v>
      </c>
      <c r="C12064" s="10" t="inlineStr">
        <is>
          <t>Giám Sát Xây Dựng</t>
        </is>
      </c>
      <c r="D12064" s="10" t="inlineStr">
        <is>
          <t>CÔNG TY CỔ PHẦN ĐẦU TƯ THƯƠNG MẠI TÂY VIÊN HÀ NỘI</t>
        </is>
      </c>
      <c r="E12064" s="10" t="inlineStr">
        <is>
          <t>Lương:18 Tr - 25 Tr VND</t>
        </is>
      </c>
      <c r="F12064" s="10" t="inlineStr">
        <is>
          <t>Bắc GiangĐồng Tháp</t>
        </is>
      </c>
      <c r="G12064" s="10" t="inlineStr">
        <is>
          <t>06-04-2026</t>
        </is>
      </c>
      <c r="H12064" s="10" t="inlineStr">
        <is>
          <t>06/04/2026</t>
        </is>
      </c>
      <c r="I12064" s="10" t="inlineStr">
        <is>
          <t>17/03/2026</t>
        </is>
      </c>
      <c r="J12064" s="10" t="inlineStr">
        <is>
          <t>Kiến trúc, Xây dựng, Quản lý điều hành</t>
        </is>
      </c>
      <c r="K12064" s="10" t="inlineStr">
        <is>
          <t>3 - 5 Năm</t>
        </is>
      </c>
      <c r="L12064" s="11">
        <f>HYPERLINK("https://careerviet.vn/vi/tim-viec-lam/giam-sat-xay-dung.35C6B452.html","Xem chi tiết")</f>
        <v/>
      </c>
      <c r="M12064" s="10" t="n"/>
    </row>
    <row r="12065">
      <c r="B12065" s="7" t="n">
        <v>12063</v>
      </c>
      <c r="C12065" t="inlineStr">
        <is>
          <t>NHÂN VIÊN BẢO HÀNH - CCN TRẢNG É, KHÁNH HÒA</t>
        </is>
      </c>
      <c r="D12065" t="inlineStr">
        <is>
          <t>NANOCO GROUP</t>
        </is>
      </c>
      <c r="E12065" t="inlineStr">
        <is>
          <t>Lương:Cạnh tranh</t>
        </is>
      </c>
      <c r="F12065" t="inlineStr">
        <is>
          <t>Khánh Hòa</t>
        </is>
      </c>
      <c r="G12065" t="inlineStr">
        <is>
          <t>06-04-2026</t>
        </is>
      </c>
      <c r="H12065" t="inlineStr">
        <is>
          <t>06/04/2026</t>
        </is>
      </c>
      <c r="I12065" t="inlineStr">
        <is>
          <t>17/03/2026</t>
        </is>
      </c>
      <c r="J12065" t="inlineStr">
        <is>
          <t>Điện / Điện tử / Điện lạnh / Điện công nghiệp, Bảo trì / Sửa chữa</t>
        </is>
      </c>
      <c r="K12065" t="inlineStr">
        <is>
          <t>1 - 10 Năm</t>
        </is>
      </c>
      <c r="L12065" s="8">
        <f>HYPERLINK("https://careerviet.vn/vi/tim-viec-lam/nhan-vien-bao-hanh-ccn-trang-e-khanh-hoa.35C6B4D3.html","Xem chi tiết")</f>
        <v/>
      </c>
    </row>
    <row r="12066">
      <c r="B12066" s="9" t="n">
        <v>12064</v>
      </c>
      <c r="C12066" s="10" t="inlineStr">
        <is>
          <t>Treasury Executive</t>
        </is>
      </c>
      <c r="D12066" s="10" t="inlineStr">
        <is>
          <t>Concung.com - Con Cung Joint Stock Company</t>
        </is>
      </c>
      <c r="E12066" s="10" t="inlineStr">
        <is>
          <t>Lương:Cạnh tranh</t>
        </is>
      </c>
      <c r="F12066" s="10" t="inlineStr">
        <is>
          <t>Hồ Chí Minh</t>
        </is>
      </c>
      <c r="G12066" s="10" t="inlineStr">
        <is>
          <t>12-04-2026</t>
        </is>
      </c>
      <c r="H12066" s="10" t="inlineStr">
        <is>
          <t>12/04/2026</t>
        </is>
      </c>
      <c r="I12066" s="10" t="inlineStr">
        <is>
          <t>17/03/2026</t>
        </is>
      </c>
      <c r="J12066" s="10" t="inlineStr">
        <is>
          <t>Kế toán / Kiểm toán, Ngân hàng, Tài chính / Đầu tư</t>
        </is>
      </c>
      <c r="K12066" s="10" t="inlineStr">
        <is>
          <t>Trên 2 Năm</t>
        </is>
      </c>
      <c r="L12066" s="11">
        <f>HYPERLINK("https://careerviet.vn/vi/tim-viec-lam/treasury-executive.35C6C589.html","Xem chi tiết")</f>
        <v/>
      </c>
      <c r="M12066" s="10" t="n"/>
    </row>
    <row r="12067">
      <c r="B12067" s="7" t="n">
        <v>12065</v>
      </c>
      <c r="C12067" t="inlineStr">
        <is>
          <t>Kế toán tổng hợp (Chủ đầu tư BĐS)</t>
        </is>
      </c>
      <c r="D12067" t="inlineStr">
        <is>
          <t>Công Ty CP Đầu Tư IMG</t>
        </is>
      </c>
      <c r="E12067" t="inlineStr">
        <is>
          <t>Lương:22 Tr - 26 Tr VND</t>
        </is>
      </c>
      <c r="F12067" t="inlineStr">
        <is>
          <t>Hồ Chí Minh</t>
        </is>
      </c>
      <c r="G12067" t="inlineStr">
        <is>
          <t>31-03-2026</t>
        </is>
      </c>
      <c r="H12067" t="inlineStr">
        <is>
          <t>31/03/2026</t>
        </is>
      </c>
      <c r="I12067" t="inlineStr">
        <is>
          <t>17/03/2026</t>
        </is>
      </c>
      <c r="J12067" t="inlineStr">
        <is>
          <t>Kế toán / Kiểm toán, Xây dựng, Bất động sản</t>
        </is>
      </c>
      <c r="K12067" t="inlineStr">
        <is>
          <t>5 - 10 Năm</t>
        </is>
      </c>
      <c r="L12067" s="8">
        <f>HYPERLINK("https://careerviet.vn/vi/tim-viec-lam/ke-toan-tong-hop-chu-dau-tu-bds.35C6BE6D.html","Xem chi tiết")</f>
        <v/>
      </c>
    </row>
    <row r="12068">
      <c r="B12068" s="9" t="n">
        <v>12066</v>
      </c>
      <c r="C12068" s="10" t="inlineStr">
        <is>
          <t>Nhân Viên Bán Hàng kỹ thuật</t>
        </is>
      </c>
      <c r="D12068" s="10" t="inlineStr">
        <is>
          <t>CÔNG TY CỔ PHẦN THƯƠNG MẠI VÀ XUẤT NHẬP KHẨU VẬT TƯ GIAO THÔNG</t>
        </is>
      </c>
      <c r="E12068" s="10" t="inlineStr">
        <is>
          <t>Lương:15 Tr - 30 Tr VND</t>
        </is>
      </c>
      <c r="F12068" s="10" t="inlineStr">
        <is>
          <t>Hà NộiHồ Chí Minh</t>
        </is>
      </c>
      <c r="G12068" s="10" t="inlineStr">
        <is>
          <t>13-04-2026</t>
        </is>
      </c>
      <c r="H12068" s="10" t="inlineStr">
        <is>
          <t>13/04/2026</t>
        </is>
      </c>
      <c r="I12068" s="10" t="inlineStr">
        <is>
          <t>17/03/2026</t>
        </is>
      </c>
      <c r="J12068" s="10" t="inlineStr">
        <is>
          <t>Bán hàng / Kinh doanh, Tư vấn, Xây dựng</t>
        </is>
      </c>
      <c r="K12068" s="10" t="inlineStr">
        <is>
          <t>2 - 5 Năm</t>
        </is>
      </c>
      <c r="L12068" s="11">
        <f>HYPERLINK("https://careerviet.vn/vi/tim-viec-lam/nhan-vien-ban-hang-ky-thuat.35C6C838.html","Xem chi tiết")</f>
        <v/>
      </c>
      <c r="M12068" s="10" t="n"/>
    </row>
    <row r="12069">
      <c r="B12069" s="7" t="n">
        <v>12067</v>
      </c>
      <c r="C12069" t="inlineStr">
        <is>
          <t>Nhân Viên Kinh Doanh - Khu vực Hà Nội</t>
        </is>
      </c>
      <c r="D12069" t="inlineStr">
        <is>
          <t>Tổng Công Ty Chuyển Phát Nhanh Bưu Điện</t>
        </is>
      </c>
      <c r="E12069" t="inlineStr">
        <is>
          <t>Lương:Cạnh tranh</t>
        </is>
      </c>
      <c r="F12069" t="inlineStr">
        <is>
          <t>Hà Nội</t>
        </is>
      </c>
      <c r="G12069" t="inlineStr">
        <is>
          <t>05-04-2026</t>
        </is>
      </c>
      <c r="H12069" t="inlineStr">
        <is>
          <t>05/04/2026</t>
        </is>
      </c>
      <c r="I12069" t="inlineStr">
        <is>
          <t>17/03/2026</t>
        </is>
      </c>
      <c r="J12069" t="inlineStr">
        <is>
          <t>Bán hàng / Kinh doanh, Tiếp thị / Marketing, Xuất nhập khẩu</t>
        </is>
      </c>
      <c r="K12069" t="inlineStr">
        <is>
          <t>N/A</t>
        </is>
      </c>
      <c r="L12069" s="8">
        <f>HYPERLINK("https://careerviet.vn/vi/tim-viec-lam/nhan-vien-kinh-doanh-khu-vuc-ha-noi.35C648D8.html","Xem chi tiết")</f>
        <v/>
      </c>
    </row>
    <row r="12070">
      <c r="B12070" s="9" t="n">
        <v>12068</v>
      </c>
      <c r="C12070" s="10" t="inlineStr">
        <is>
          <t>Chuyên gia Phát triển sản phẩm Đầu tư - Phòng Nguồn vốn trong nước</t>
        </is>
      </c>
      <c r="D12070" s="10" t="inlineStr">
        <is>
          <t>CÔNG TY CỔ PHẦN KINH DOANH F88</t>
        </is>
      </c>
      <c r="E12070" s="10" t="inlineStr">
        <is>
          <t>Lương:Cạnh tranh</t>
        </is>
      </c>
      <c r="F12070" s="10" t="inlineStr">
        <is>
          <t>Hà Nội</t>
        </is>
      </c>
      <c r="G12070" s="10" t="inlineStr">
        <is>
          <t>05-04-2026</t>
        </is>
      </c>
      <c r="H12070" s="10" t="inlineStr">
        <is>
          <t>05/04/2026</t>
        </is>
      </c>
      <c r="I12070" s="10" t="inlineStr">
        <is>
          <t>17/03/2026</t>
        </is>
      </c>
      <c r="J12070" s="10" t="inlineStr">
        <is>
          <t>Ngân hàng, Tài chính / Đầu tư, Kế toán / Kiểm toán</t>
        </is>
      </c>
      <c r="K12070" s="10" t="inlineStr">
        <is>
          <t>Trên 5 Năm</t>
        </is>
      </c>
      <c r="L12070" s="11">
        <f>HYPERLINK("https://careerviet.vn/vi/tim-viec-lam/chuyen-gia-phat-trien-san-pham-dau-tu-phong-nguon-von-trong-nuoc.35C6B527.html","Xem chi tiết")</f>
        <v/>
      </c>
      <c r="M12070" s="10" t="n"/>
    </row>
    <row r="12071">
      <c r="B12071" s="7" t="n">
        <v>12069</v>
      </c>
      <c r="C12071" t="inlineStr">
        <is>
          <t>Chuyên viên kiểm toán nội bộ và quản trị rủi ro tại TP HCM</t>
        </is>
      </c>
      <c r="D12071" t="inlineStr">
        <is>
          <t>Công ty cổ phần Nafoods Group</t>
        </is>
      </c>
      <c r="E12071" t="inlineStr">
        <is>
          <t>Lương:Cạnh tranh</t>
        </is>
      </c>
      <c r="F12071" t="inlineStr">
        <is>
          <t>Hồ Chí Minh</t>
        </is>
      </c>
      <c r="G12071" t="inlineStr">
        <is>
          <t>31-03-2026</t>
        </is>
      </c>
      <c r="H12071" t="inlineStr">
        <is>
          <t>31/03/2026</t>
        </is>
      </c>
      <c r="I12071" t="inlineStr">
        <is>
          <t>17/03/2026</t>
        </is>
      </c>
      <c r="J12071" t="inlineStr">
        <is>
          <t>Kế toán / Kiểm toán, Tài chính / Đầu tư, Ngành khác</t>
        </is>
      </c>
      <c r="K12071" t="inlineStr">
        <is>
          <t>Trên 4 Năm</t>
        </is>
      </c>
      <c r="L12071" s="8">
        <f>HYPERLINK("https://careerviet.vn/vi/tim-viec-lam/chuyen-vien-kiem-toan-noi-bo-va-quan-tri-rui-ro-tai-tp-hcm.35C69503.html","Xem chi tiết")</f>
        <v/>
      </c>
    </row>
    <row r="12072">
      <c r="B12072" s="9" t="n">
        <v>12070</v>
      </c>
      <c r="C12072" s="10" t="inlineStr">
        <is>
          <t>Chuyên viên kinh doanh (Sales engineer)</t>
        </is>
      </c>
      <c r="D12072" s="10" t="inlineStr">
        <is>
          <t>Tổng Công ty Sản xuất thiết bị Viettel - Tập đoàn Công nghiệp -  Viễn thông Quân đội (VIETTEL)</t>
        </is>
      </c>
      <c r="E12072" s="10" t="inlineStr">
        <is>
          <t>Lương:Cạnh tranh</t>
        </is>
      </c>
      <c r="F12072" s="10" t="inlineStr">
        <is>
          <t>Hà Nội</t>
        </is>
      </c>
      <c r="G12072" s="10" t="inlineStr">
        <is>
          <t>30-04-2026</t>
        </is>
      </c>
      <c r="H12072" s="10" t="inlineStr">
        <is>
          <t>30/04/2026</t>
        </is>
      </c>
      <c r="I12072" s="10" t="inlineStr">
        <is>
          <t>17/03/2026</t>
        </is>
      </c>
      <c r="J12072" s="10" t="inlineStr">
        <is>
          <t>Bán hàng / Kinh doanh, Cơ khí / Ô tô / Tự động hóa, Xuất nhập khẩu</t>
        </is>
      </c>
      <c r="K12072" s="10" t="inlineStr">
        <is>
          <t>3 - 4 Năm</t>
        </is>
      </c>
      <c r="L12072" s="11">
        <f>HYPERLINK("https://careerviet.vn/vi/tim-viec-lam/chuyen-vien-kinh-doanh-sales-engineer.35C6C588.html","Xem chi tiết")</f>
        <v/>
      </c>
      <c r="M12072" s="10" t="n"/>
    </row>
    <row r="12073">
      <c r="B12073" s="7" t="n">
        <v>12071</v>
      </c>
      <c r="C12073" t="inlineStr">
        <is>
          <t>Chuyên gia Phát triển sản phẩm (Tài chính/ Ngân hàng)</t>
        </is>
      </c>
      <c r="D12073" t="inlineStr">
        <is>
          <t>CÔNG TY CỔ PHẦN KINH DOANH F88</t>
        </is>
      </c>
      <c r="E12073" t="inlineStr">
        <is>
          <t>Lương:Cạnh tranh</t>
        </is>
      </c>
      <c r="F12073" t="inlineStr">
        <is>
          <t>Hồ Chí Minh</t>
        </is>
      </c>
      <c r="G12073" t="inlineStr">
        <is>
          <t>30-04-2026</t>
        </is>
      </c>
      <c r="H12073" t="inlineStr">
        <is>
          <t>30/04/2026</t>
        </is>
      </c>
      <c r="I12073" t="inlineStr">
        <is>
          <t>17/03/2026</t>
        </is>
      </c>
      <c r="J12073" t="inlineStr">
        <is>
          <t>Ngân hàng, Tài chính / Đầu tư</t>
        </is>
      </c>
      <c r="K12073" t="inlineStr">
        <is>
          <t>4 - 5 Năm</t>
        </is>
      </c>
      <c r="L12073" s="8">
        <f>HYPERLINK("https://careerviet.vn/vi/tim-viec-lam/chuyen-gia-phat-trien-san-pham-tai-chinh-ngan-hang.35C6B484.html","Xem chi tiết")</f>
        <v/>
      </c>
    </row>
    <row r="12074">
      <c r="B12074" s="9" t="n">
        <v>12072</v>
      </c>
      <c r="C12074" s="10" t="inlineStr">
        <is>
          <t>Back Sales Receivable Leader</t>
        </is>
      </c>
      <c r="D12074" s="10" t="inlineStr">
        <is>
          <t>Concung.com - Con Cung Joint Stock Company</t>
        </is>
      </c>
      <c r="E12074" s="10" t="inlineStr">
        <is>
          <t>Lương:Cạnh tranh</t>
        </is>
      </c>
      <c r="F12074" s="10" t="inlineStr">
        <is>
          <t>Hồ Chí Minh</t>
        </is>
      </c>
      <c r="G12074" s="10" t="inlineStr">
        <is>
          <t>13-04-2026</t>
        </is>
      </c>
      <c r="H12074" s="10" t="inlineStr">
        <is>
          <t>13/04/2026</t>
        </is>
      </c>
      <c r="I12074" s="10" t="inlineStr">
        <is>
          <t>17/03/2026</t>
        </is>
      </c>
      <c r="J12074" s="10" t="inlineStr">
        <is>
          <t>Kế toán / Kiểm toán, Tài chính / Đầu tư, Bán lẻ / Bán sỉ</t>
        </is>
      </c>
      <c r="K12074" s="10" t="inlineStr">
        <is>
          <t>Trên 5 Năm</t>
        </is>
      </c>
      <c r="L12074" s="11">
        <f>HYPERLINK("https://careerviet.vn/vi/tim-viec-lam/back-sales-receivable-leader.35C6C58A.html","Xem chi tiết")</f>
        <v/>
      </c>
      <c r="M12074" s="10" t="n"/>
    </row>
    <row r="12075">
      <c r="B12075" s="7" t="n">
        <v>12073</v>
      </c>
      <c r="C12075" t="inlineStr">
        <is>
          <t>Nhân viên Video editor</t>
        </is>
      </c>
      <c r="D12075" t="inlineStr">
        <is>
          <t>Công Ty TNHH Nha Khoa My Auris</t>
        </is>
      </c>
      <c r="E12075" t="inlineStr">
        <is>
          <t>Lương:15 Tr - 18 Tr VND</t>
        </is>
      </c>
      <c r="F12075" t="inlineStr">
        <is>
          <t>Hồ Chí Minh</t>
        </is>
      </c>
      <c r="G12075" t="inlineStr">
        <is>
          <t>11-04-2026</t>
        </is>
      </c>
      <c r="H12075" t="inlineStr">
        <is>
          <t>11/04/2026</t>
        </is>
      </c>
      <c r="I12075" t="inlineStr">
        <is>
          <t>17/03/2026</t>
        </is>
      </c>
      <c r="J12075" t="inlineStr">
        <is>
          <t>Tiếp thị / Marketing, Y tế / Chăm sóc sức khỏe / Thẩm mỹ / Làm đẹp, Dịch vụ khách hàng</t>
        </is>
      </c>
      <c r="K12075" t="inlineStr">
        <is>
          <t>Trên 1 Năm</t>
        </is>
      </c>
      <c r="L12075" s="8">
        <f>HYPERLINK("https://careerviet.vn/vi/tim-viec-lam/nhan-vien-video-editor.35C6C582.html","Xem chi tiết")</f>
        <v/>
      </c>
    </row>
    <row r="12076">
      <c r="B12076" s="9" t="n">
        <v>12074</v>
      </c>
      <c r="C12076" s="10" t="inlineStr">
        <is>
          <t>Chuyên Viên Chăm Sóc Khách Hàng</t>
        </is>
      </c>
      <c r="D12076" s="10" t="inlineStr">
        <is>
          <t>CÔNG TY CỔ PHẦN CASPER VIỆT NAM</t>
        </is>
      </c>
      <c r="E12076" s="10" t="inlineStr">
        <is>
          <t>Lương:8 Tr - 9 Tr VND</t>
        </is>
      </c>
      <c r="F12076" s="10" t="inlineStr">
        <is>
          <t>Hà Nội</t>
        </is>
      </c>
      <c r="G12076" s="10" t="inlineStr">
        <is>
          <t>31-03-2026</t>
        </is>
      </c>
      <c r="H12076" s="10" t="inlineStr">
        <is>
          <t>31/03/2026</t>
        </is>
      </c>
      <c r="I12076" s="10" t="inlineStr">
        <is>
          <t>17/03/2026</t>
        </is>
      </c>
      <c r="J12076" s="10" t="inlineStr">
        <is>
          <t>Tư vấn, Dịch vụ khách hàng</t>
        </is>
      </c>
      <c r="K12076" s="10" t="inlineStr">
        <is>
          <t>N/A</t>
        </is>
      </c>
      <c r="L12076" s="11">
        <f>HYPERLINK("https://careerviet.vn/vi/tim-viec-lam/chuyen-vien-cham-soc-khach-hang.35C6C577.html","Xem chi tiết")</f>
        <v/>
      </c>
      <c r="M12076" s="10" t="n"/>
    </row>
    <row r="12077">
      <c r="B12077" s="7" t="n">
        <v>12075</v>
      </c>
      <c r="C12077" t="inlineStr">
        <is>
          <t>[HCM] Chuyên Viên Kinh Doanh Dự Án</t>
        </is>
      </c>
      <c r="D12077" t="inlineStr">
        <is>
          <t>CÔNG TY CỔ PHẦN CASPER VIỆT NAM</t>
        </is>
      </c>
      <c r="E12077" t="inlineStr">
        <is>
          <t>Lương:Cạnh tranh</t>
        </is>
      </c>
      <c r="F12077" t="inlineStr">
        <is>
          <t>Hồ Chí Minh</t>
        </is>
      </c>
      <c r="G12077" t="inlineStr">
        <is>
          <t>30-04-2026</t>
        </is>
      </c>
      <c r="H12077" t="inlineStr">
        <is>
          <t>30/04/2026</t>
        </is>
      </c>
      <c r="I12077" t="inlineStr">
        <is>
          <t>17/03/2026</t>
        </is>
      </c>
      <c r="J12077" t="inlineStr">
        <is>
          <t>Bán hàng / Kinh doanh, Điện / Điện tử / Điện lạnh / Điện công nghiệp, Bán lẻ / Bán sỉ</t>
        </is>
      </c>
      <c r="K12077" t="inlineStr">
        <is>
          <t>4 - 5 Năm</t>
        </is>
      </c>
      <c r="L12077" s="8">
        <f>HYPERLINK("https://careerviet.vn/vi/tim-viec-lam/hcm-chuyen-vien-kinh-doanh-du-an.35C6C575.html","Xem chi tiết")</f>
        <v/>
      </c>
    </row>
    <row r="12078">
      <c r="B12078" s="9" t="n">
        <v>12076</v>
      </c>
      <c r="C12078" s="10" t="inlineStr">
        <is>
          <t>Chuyên Viên Nghiên Cứu Và Phân Tích Thị Trường</t>
        </is>
      </c>
      <c r="D12078" s="10" t="inlineStr">
        <is>
          <t>CÔNG TY CỔ PHẦN CASPER VIỆT NAM</t>
        </is>
      </c>
      <c r="E12078" s="10" t="inlineStr">
        <is>
          <t>Lương:16 Tr - 30 Tr VND</t>
        </is>
      </c>
      <c r="F12078" s="10" t="inlineStr">
        <is>
          <t>Hà Nội</t>
        </is>
      </c>
      <c r="G12078" s="10" t="inlineStr">
        <is>
          <t>24-03-2026</t>
        </is>
      </c>
      <c r="H12078" s="10" t="inlineStr">
        <is>
          <t>24/03/2026</t>
        </is>
      </c>
      <c r="I12078" s="10" t="inlineStr">
        <is>
          <t>17/03/2026</t>
        </is>
      </c>
      <c r="J12078" s="10" t="inlineStr">
        <is>
          <t>Điện / Điện tử / Điện lạnh / Điện công nghiệp, Tiếp thị / Marketing, Bán hàng / Kinh doanh</t>
        </is>
      </c>
      <c r="K12078" s="10" t="inlineStr">
        <is>
          <t>2 - 4 Năm</t>
        </is>
      </c>
      <c r="L12078" s="11">
        <f>HYPERLINK("https://careerviet.vn/vi/tim-viec-lam/chuyen-vien-nghien-cuu-va-phan-tich-thi-truong.35C6C573.html","Xem chi tiết")</f>
        <v/>
      </c>
      <c r="M12078" s="10" t="n"/>
    </row>
    <row r="12079">
      <c r="B12079" s="7" t="n">
        <v>12077</v>
      </c>
      <c r="C12079" t="inlineStr">
        <is>
          <t>[Hà Nội] Chuyên Viên Kinh Doanh GT</t>
        </is>
      </c>
      <c r="D12079" t="inlineStr">
        <is>
          <t>CÔNG TY CỔ PHẦN CASPER VIỆT NAM</t>
        </is>
      </c>
      <c r="E12079" t="inlineStr">
        <is>
          <t>Lương:10 Tr - 20 Tr VND</t>
        </is>
      </c>
      <c r="F12079" t="inlineStr">
        <is>
          <t>Hà Nội</t>
        </is>
      </c>
      <c r="G12079" t="inlineStr">
        <is>
          <t>30-04-2026</t>
        </is>
      </c>
      <c r="H12079" t="inlineStr">
        <is>
          <t>30/04/2026</t>
        </is>
      </c>
      <c r="I12079" t="inlineStr">
        <is>
          <t>17/03/2026</t>
        </is>
      </c>
      <c r="J12079" t="inlineStr">
        <is>
          <t>Bán lẻ / Bán sỉ, Bán hàng / Kinh doanh, Điện / Điện tử / Điện lạnh / Điện công nghiệp</t>
        </is>
      </c>
      <c r="K12079" t="inlineStr">
        <is>
          <t>1 - 3 Năm</t>
        </is>
      </c>
      <c r="L12079" s="8">
        <f>HYPERLINK("https://careerviet.vn/vi/tim-viec-lam/ha-noi-chuyen-vien-kinh-doanh-gt.35C6C571.html","Xem chi tiết")</f>
        <v/>
      </c>
    </row>
    <row r="12080">
      <c r="B12080" s="9" t="n">
        <v>12078</v>
      </c>
      <c r="C12080" s="10" t="inlineStr">
        <is>
          <t>Chuyên Viên Phát Triển Kênh Ecommerce</t>
        </is>
      </c>
      <c r="D12080" s="10" t="inlineStr">
        <is>
          <t>CÔNG TY CỔ PHẦN CASPER VIỆT NAM</t>
        </is>
      </c>
      <c r="E12080" s="10" t="inlineStr">
        <is>
          <t>Lương:Cạnh tranh</t>
        </is>
      </c>
      <c r="F12080" s="10" t="inlineStr">
        <is>
          <t>Hà Nội</t>
        </is>
      </c>
      <c r="G12080" s="10" t="inlineStr">
        <is>
          <t>30-04-2026</t>
        </is>
      </c>
      <c r="H12080" s="10" t="inlineStr">
        <is>
          <t>30/04/2026</t>
        </is>
      </c>
      <c r="I12080" s="10" t="inlineStr">
        <is>
          <t>17/03/2026</t>
        </is>
      </c>
      <c r="J12080" s="10" t="inlineStr">
        <is>
          <t>Tiếp thị / Marketing, Tiếp thị trực tuyến, Thương mại điện tử</t>
        </is>
      </c>
      <c r="K12080" s="10" t="inlineStr">
        <is>
          <t>2 - 4 Năm</t>
        </is>
      </c>
      <c r="L12080" s="11">
        <f>HYPERLINK("https://careerviet.vn/vi/tim-viec-lam/chuyen-vien-phat-trien-kenh-ecommerce.35C6C56F.html","Xem chi tiết")</f>
        <v/>
      </c>
      <c r="M12080" s="10" t="n"/>
    </row>
    <row r="12081">
      <c r="B12081" s="7" t="n">
        <v>12079</v>
      </c>
      <c r="C12081" t="inlineStr">
        <is>
          <t>Kỹ sư dự toán cơ điện (MEP QS)</t>
        </is>
      </c>
      <c r="D12081" t="inlineStr">
        <is>
          <t>CÔNG TY CỔ PHẦN EUROWINDOW HOLDING</t>
        </is>
      </c>
      <c r="E12081" t="inlineStr">
        <is>
          <t>Lương:Cạnh tranh</t>
        </is>
      </c>
      <c r="F12081" t="inlineStr">
        <is>
          <t>Hà Nội</t>
        </is>
      </c>
      <c r="G12081" t="inlineStr">
        <is>
          <t>12-04-2026</t>
        </is>
      </c>
      <c r="H12081" t="inlineStr">
        <is>
          <t>12/04/2026</t>
        </is>
      </c>
      <c r="I12081" t="inlineStr">
        <is>
          <t>17/03/2026</t>
        </is>
      </c>
      <c r="J12081" t="inlineStr">
        <is>
          <t>Điện / Điện tử / Điện lạnh / Điện công nghiệp</t>
        </is>
      </c>
      <c r="K12081" t="inlineStr">
        <is>
          <t>3 - 5 Năm</t>
        </is>
      </c>
      <c r="L12081" s="8">
        <f>HYPERLINK("https://careerviet.vn/vi/tim-viec-lam/ky-su-du-toan-co-dien-mep-qs.35C6C57A.html","Xem chi tiết")</f>
        <v/>
      </c>
    </row>
    <row r="12082">
      <c r="B12082" s="9" t="n">
        <v>12080</v>
      </c>
      <c r="C12082" s="10" t="inlineStr">
        <is>
          <t>[Hà Nội] Chuyên Viên Bussiness Analyst</t>
        </is>
      </c>
      <c r="D12082" s="10" t="inlineStr">
        <is>
          <t>CÔNG TY CỔ PHẦN CASPER VIỆT NAM</t>
        </is>
      </c>
      <c r="E12082" s="10" t="inlineStr">
        <is>
          <t>Lương:15 Tr - 25 Tr VND</t>
        </is>
      </c>
      <c r="F12082" s="10" t="inlineStr">
        <is>
          <t>Hà Nội</t>
        </is>
      </c>
      <c r="G12082" s="10" t="inlineStr">
        <is>
          <t>30-04-2026</t>
        </is>
      </c>
      <c r="H12082" s="10" t="inlineStr">
        <is>
          <t>30/04/2026</t>
        </is>
      </c>
      <c r="I12082" s="10" t="inlineStr">
        <is>
          <t>17/03/2026</t>
        </is>
      </c>
      <c r="J12082" s="10" t="inlineStr">
        <is>
          <t>CNTT - Phần mềm, Dịch vụ khách hàng</t>
        </is>
      </c>
      <c r="K12082" s="10" t="inlineStr">
        <is>
          <t>3 - 5 Năm</t>
        </is>
      </c>
      <c r="L12082" s="11">
        <f>HYPERLINK("https://careerviet.vn/vi/tim-viec-lam/ha-noi-chuyen-vien-bussiness-analyst.35C6C570.html","Xem chi tiết")</f>
        <v/>
      </c>
      <c r="M12082" s="10" t="n"/>
    </row>
    <row r="12083">
      <c r="B12083" s="7" t="n">
        <v>12081</v>
      </c>
      <c r="C12083" t="inlineStr">
        <is>
          <t>MARKETING DIRECTOR (INDUSTRIAL PARK)</t>
        </is>
      </c>
      <c r="D12083" t="inlineStr">
        <is>
          <t>HR Vietnam’s ESS Client</t>
        </is>
      </c>
      <c r="E12083" t="inlineStr">
        <is>
          <t>Lương:Cạnh tranh</t>
        </is>
      </c>
      <c r="F12083" t="inlineStr">
        <is>
          <t>Hải Phòng</t>
        </is>
      </c>
      <c r="G12083" t="inlineStr">
        <is>
          <t>29-04-2026</t>
        </is>
      </c>
      <c r="H12083" t="inlineStr">
        <is>
          <t>29/04/2026</t>
        </is>
      </c>
      <c r="I12083" t="inlineStr">
        <is>
          <t>17/03/2026</t>
        </is>
      </c>
      <c r="J12083" t="inlineStr">
        <is>
          <t>Tiếp thị / Marketing, Quản lý điều hành, Bất động sản</t>
        </is>
      </c>
      <c r="K12083" t="inlineStr">
        <is>
          <t>Trên 5 Năm</t>
        </is>
      </c>
      <c r="L12083" s="8">
        <f>HYPERLINK("https://careerviet.vn/vi/tim-viec-lam/marketing-director-industrial-park.35C6C57C.html","Xem chi tiết")</f>
        <v/>
      </c>
    </row>
    <row r="12084">
      <c r="B12084" s="9" t="n">
        <v>12082</v>
      </c>
      <c r="C12084" s="10" t="inlineStr">
        <is>
          <t>[Tan Phu, HCM] Senior Test Assignment Executive for testing labs</t>
        </is>
      </c>
      <c r="D12084" s="10" t="inlineStr">
        <is>
          <t>EUROFINS VIETNAM</t>
        </is>
      </c>
      <c r="E12084" s="10" t="inlineStr">
        <is>
          <t>Lương:Cạnh tranh</t>
        </is>
      </c>
      <c r="F12084" s="10" t="inlineStr">
        <is>
          <t>Hồ Chí Minh</t>
        </is>
      </c>
      <c r="G12084" s="10" t="inlineStr">
        <is>
          <t>31-03-2026</t>
        </is>
      </c>
      <c r="H12084" s="10" t="inlineStr">
        <is>
          <t>31/03/2026</t>
        </is>
      </c>
      <c r="I12084" s="10" t="inlineStr">
        <is>
          <t>17/03/2026</t>
        </is>
      </c>
      <c r="J12084" s="10" t="inlineStr">
        <is>
          <t>Y tế / Chăm sóc sức khỏe / Thẩm mỹ / Làm đẹp, Dược phẩm/ Hóa Mỹ Phẩm, Công nghệ thực phẩm / Dinh dưỡng</t>
        </is>
      </c>
      <c r="K12084" s="10" t="inlineStr">
        <is>
          <t>3 - 4 Năm</t>
        </is>
      </c>
      <c r="L12084" s="11">
        <f>HYPERLINK("https://careerviet.vn/vi/tim-viec-lam/tan-phu-hcm-senior-test-assignment-executive-for-testing-labs.35C6C578.html","Xem chi tiết")</f>
        <v/>
      </c>
      <c r="M12084" s="10" t="n"/>
    </row>
    <row r="12085">
      <c r="B12085" s="7" t="n">
        <v>12083</v>
      </c>
      <c r="C12085" t="inlineStr">
        <is>
          <t>Quản lý thiết kế</t>
        </is>
      </c>
      <c r="D12085" t="inlineStr">
        <is>
          <t>CÔNG TY CỔ PHẦN STELLAR</t>
        </is>
      </c>
      <c r="E12085" t="inlineStr">
        <is>
          <t>Lương:Cạnh tranh</t>
        </is>
      </c>
      <c r="F12085" t="inlineStr">
        <is>
          <t>Hà Nội</t>
        </is>
      </c>
      <c r="G12085" t="inlineStr">
        <is>
          <t>12-04-2026</t>
        </is>
      </c>
      <c r="H12085" t="inlineStr">
        <is>
          <t>12/04/2026</t>
        </is>
      </c>
      <c r="I12085" t="inlineStr">
        <is>
          <t>17/03/2026</t>
        </is>
      </c>
      <c r="J12085" t="inlineStr">
        <is>
          <t>Kiến trúc, Xây dựng, Bất động sản</t>
        </is>
      </c>
      <c r="K12085" t="inlineStr">
        <is>
          <t>5 - 10 Năm</t>
        </is>
      </c>
      <c r="L12085" s="8">
        <f>HYPERLINK("https://careerviet.vn/vi/tim-viec-lam/quan-ly-thiet-ke.35C6C551.html","Xem chi tiết")</f>
        <v/>
      </c>
    </row>
    <row r="12086">
      <c r="B12086" s="9" t="n">
        <v>12084</v>
      </c>
      <c r="C12086" s="10" t="inlineStr">
        <is>
          <t>Nhân viên kinh doanh - VBI Đông Đô (địa bàn Hà Nội)</t>
        </is>
      </c>
      <c r="D12086" s="10" t="inlineStr">
        <is>
          <t>Tổng Công Ty Cổ Phần Bảo Hiểm Ngân Hàng TMCP Công Thương Việt Nam</t>
        </is>
      </c>
      <c r="E12086" s="10" t="inlineStr">
        <is>
          <t>Lương:Cạnh tranh</t>
        </is>
      </c>
      <c r="F12086" s="10" t="inlineStr">
        <is>
          <t>Hà Nội</t>
        </is>
      </c>
      <c r="G12086" s="10" t="inlineStr">
        <is>
          <t>21-04-2026</t>
        </is>
      </c>
      <c r="H12086" s="10" t="inlineStr">
        <is>
          <t>21/04/2026</t>
        </is>
      </c>
      <c r="I12086" s="10" t="inlineStr">
        <is>
          <t>17/03/2026</t>
        </is>
      </c>
      <c r="J12086" s="10" t="inlineStr">
        <is>
          <t>Bảo hiểm</t>
        </is>
      </c>
      <c r="K12086" s="10" t="inlineStr">
        <is>
          <t>2 - 3 Năm</t>
        </is>
      </c>
      <c r="L12086" s="11">
        <f>HYPERLINK("https://careerviet.vn/vi/tim-viec-lam/nhan-vien-kinh-doanh-vbi-dong-do-dia-ban-ha-noi.35C6C56C.html","Xem chi tiết")</f>
        <v/>
      </c>
      <c r="M12086" s="10" t="n"/>
    </row>
    <row r="12087">
      <c r="B12087" s="7" t="n">
        <v>12085</v>
      </c>
      <c r="C12087" t="inlineStr">
        <is>
          <t>Supply Planner</t>
        </is>
      </c>
      <c r="D12087" t="inlineStr">
        <is>
          <t>Công Ty TNHH CJ Foods Việt Nam</t>
        </is>
      </c>
      <c r="E12087" t="inlineStr">
        <is>
          <t>Lương:Cạnh tranh</t>
        </is>
      </c>
      <c r="F12087" t="inlineStr">
        <is>
          <t>Hồ Chí Minh</t>
        </is>
      </c>
      <c r="G12087" t="inlineStr">
        <is>
          <t>15-04-2026</t>
        </is>
      </c>
      <c r="H12087" t="inlineStr">
        <is>
          <t>15/04/2026</t>
        </is>
      </c>
      <c r="I12087" t="inlineStr">
        <is>
          <t>17/03/2026</t>
        </is>
      </c>
      <c r="J12087" t="inlineStr">
        <is>
          <t>Sản xuất / Vận hành sản xuất, Hàng gia dụng / Chăm sóc cá nhân, Thực phẩm &amp; Đồ uống</t>
        </is>
      </c>
      <c r="K12087" t="inlineStr">
        <is>
          <t>2 - 5 Năm</t>
        </is>
      </c>
      <c r="L12087" s="8">
        <f>HYPERLINK("https://careerviet.vn/vi/tim-viec-lam/supply-planner.35C6C579.html","Xem chi tiết")</f>
        <v/>
      </c>
    </row>
    <row r="12088">
      <c r="B12088" s="9" t="n">
        <v>12086</v>
      </c>
      <c r="C12088" s="10" t="inlineStr">
        <is>
          <t>Nhân viên thu mua</t>
        </is>
      </c>
      <c r="D12088" s="10" t="inlineStr">
        <is>
          <t>Công ty TNHH TOM Group Việt Nam</t>
        </is>
      </c>
      <c r="E12088" s="10" t="inlineStr">
        <is>
          <t>Lương:12 Tr - 15 Tr VND</t>
        </is>
      </c>
      <c r="F12088" s="10" t="inlineStr">
        <is>
          <t>Hồ Chí Minh</t>
        </is>
      </c>
      <c r="G12088" s="10" t="inlineStr">
        <is>
          <t>29-04-2026</t>
        </is>
      </c>
      <c r="H12088" s="10" t="inlineStr">
        <is>
          <t>29/04/2026</t>
        </is>
      </c>
      <c r="I12088" s="10" t="inlineStr">
        <is>
          <t>17/03/2026</t>
        </is>
      </c>
      <c r="J12088" s="10" t="inlineStr">
        <is>
          <t>Bán lẻ / Bán sỉ, Bán hàng / Kinh doanh</t>
        </is>
      </c>
      <c r="K12088" s="10" t="inlineStr">
        <is>
          <t>1 - 3 Năm</t>
        </is>
      </c>
      <c r="L12088" s="11">
        <f>HYPERLINK("https://careerviet.vn/vi/tim-viec-lam/nhan-vien-thu-mua.35C6C572.html","Xem chi tiết")</f>
        <v/>
      </c>
      <c r="M12088" s="10" t="n"/>
    </row>
    <row r="12089">
      <c r="B12089" s="7" t="n">
        <v>12087</v>
      </c>
      <c r="C12089" t="inlineStr">
        <is>
          <t>Thủ kho Tổng hợp</t>
        </is>
      </c>
      <c r="D12089" t="inlineStr">
        <is>
          <t>Công ty TNHH TOM Group Việt Nam</t>
        </is>
      </c>
      <c r="E12089" t="inlineStr">
        <is>
          <t>Lương:15 Tr - 17 Tr VND</t>
        </is>
      </c>
      <c r="F12089" t="inlineStr">
        <is>
          <t>Hồ Chí Minh</t>
        </is>
      </c>
      <c r="G12089" t="inlineStr">
        <is>
          <t>16-04-2026</t>
        </is>
      </c>
      <c r="H12089" t="inlineStr">
        <is>
          <t>16/04/2026</t>
        </is>
      </c>
      <c r="I12089" t="inlineStr">
        <is>
          <t>17/03/2026</t>
        </is>
      </c>
      <c r="J12089" t="inlineStr">
        <is>
          <t>Bán lẻ / Bán sỉ, Vận chuyển / Giao nhận / Kho vận, Sản xuất / Vận hành sản xuất</t>
        </is>
      </c>
      <c r="K12089" t="inlineStr">
        <is>
          <t>1 - 4 Năm</t>
        </is>
      </c>
      <c r="L12089" s="8">
        <f>HYPERLINK("https://careerviet.vn/vi/tim-viec-lam/thu-kho-tong-hop.35C6C56D.html","Xem chi tiết")</f>
        <v/>
      </c>
    </row>
    <row r="12090">
      <c r="B12090" s="9" t="n">
        <v>12088</v>
      </c>
      <c r="C12090" s="10" t="inlineStr">
        <is>
          <t>Công nhân may balo, túi xách ( Nam/ Nữ)</t>
        </is>
      </c>
      <c r="D12090" s="10" t="inlineStr">
        <is>
          <t>Công ty TNHH GT Line Á Châu</t>
        </is>
      </c>
      <c r="E12090" s="10" t="inlineStr">
        <is>
          <t>Lương:6,5 Tr - 7,5 Tr VND</t>
        </is>
      </c>
      <c r="F12090" s="10" t="inlineStr">
        <is>
          <t>Bà Rịa - Vũng Tàu</t>
        </is>
      </c>
      <c r="G12090" s="10" t="inlineStr">
        <is>
          <t>30-04-2026</t>
        </is>
      </c>
      <c r="H12090" s="10" t="inlineStr">
        <is>
          <t>30/04/2026</t>
        </is>
      </c>
      <c r="I12090" s="10" t="inlineStr">
        <is>
          <t>17/03/2026</t>
        </is>
      </c>
      <c r="J12090" s="10" t="inlineStr">
        <is>
          <t>Dệt may / Da giày / Thời trang</t>
        </is>
      </c>
      <c r="K12090" s="10" t="inlineStr">
        <is>
          <t>2 - 5 Năm</t>
        </is>
      </c>
      <c r="L12090" s="11">
        <f>HYPERLINK("https://careerviet.vn/vi/tim-viec-lam/cong-nhan-may-balo-tui-xach-nam-nu.35C6C566.html","Xem chi tiết")</f>
        <v/>
      </c>
      <c r="M12090" s="10" t="n"/>
    </row>
    <row r="12091">
      <c r="B12091" s="7" t="n">
        <v>12089</v>
      </c>
      <c r="C12091" t="inlineStr">
        <is>
          <t>SOC/NOC Tier 1 Analyst</t>
        </is>
      </c>
      <c r="D12091" t="inlineStr">
        <is>
          <t>CÔNG TY TNHH GALAXY DIGITAL HOLDINGS</t>
        </is>
      </c>
      <c r="E12091" t="inlineStr">
        <is>
          <t>Lương:Cạnh tranh</t>
        </is>
      </c>
      <c r="F12091" t="inlineStr">
        <is>
          <t>Hồ Chí Minh</t>
        </is>
      </c>
      <c r="G12091" t="inlineStr">
        <is>
          <t>12-04-2026</t>
        </is>
      </c>
      <c r="H12091" t="inlineStr">
        <is>
          <t>12/04/2026</t>
        </is>
      </c>
      <c r="I12091" t="inlineStr">
        <is>
          <t>17/03/2026</t>
        </is>
      </c>
      <c r="J12091" t="inlineStr">
        <is>
          <t>CNTT - Phần mềm, CNTT - Phần cứng / Mạng</t>
        </is>
      </c>
      <c r="K12091" t="inlineStr">
        <is>
          <t>Chưa có kinh nghiệm</t>
        </is>
      </c>
      <c r="L12091" s="8">
        <f>HYPERLINK("https://careerviet.vn/vi/tim-viec-lam/soc-noc-tier-1-analyst.35C6C563.html","Xem chi tiết")</f>
        <v/>
      </c>
    </row>
    <row r="12092">
      <c r="B12092" s="9" t="n">
        <v>12090</v>
      </c>
      <c r="C12092" s="10" t="inlineStr">
        <is>
          <t>Nhân viên kỹ thuật  (Ngành nghề sản xuất balo, vali, túi xách)</t>
        </is>
      </c>
      <c r="D12092" s="10" t="inlineStr">
        <is>
          <t>Công ty TNHH GT Line Á Châu</t>
        </is>
      </c>
      <c r="E12092" s="10" t="inlineStr">
        <is>
          <t>Lương:9 Tr - 11 Tr VND</t>
        </is>
      </c>
      <c r="F12092" s="10" t="inlineStr">
        <is>
          <t>Bà Rịa - Vũng Tàu</t>
        </is>
      </c>
      <c r="G12092" s="10" t="inlineStr">
        <is>
          <t>30-04-2026</t>
        </is>
      </c>
      <c r="H12092" s="10" t="inlineStr">
        <is>
          <t>30/04/2026</t>
        </is>
      </c>
      <c r="I12092" s="10" t="inlineStr">
        <is>
          <t>17/03/2026</t>
        </is>
      </c>
      <c r="J12092" s="10" t="inlineStr">
        <is>
          <t>Sản xuất / Vận hành sản xuất, Dệt may / Da giày / Thời trang</t>
        </is>
      </c>
      <c r="K12092" s="10" t="inlineStr">
        <is>
          <t>1 - 5 Năm</t>
        </is>
      </c>
      <c r="L12092" s="11">
        <f>HYPERLINK("https://careerviet.vn/vi/tim-viec-lam/nhan-vien-ky-thuat-nganh-nghe-san-xuat-balo-vali-tui-xach.35C6C564.html","Xem chi tiết")</f>
        <v/>
      </c>
      <c r="M12092" s="10" t="n"/>
    </row>
    <row r="12093">
      <c r="B12093" s="7" t="n">
        <v>12091</v>
      </c>
      <c r="C12093" t="inlineStr">
        <is>
          <t>KCN Đông Xuyên VT_ Tổ trưởng sản xuất (Nam/Nữ )</t>
        </is>
      </c>
      <c r="D12093" t="inlineStr">
        <is>
          <t>Công ty TNHH GT Line Á Châu</t>
        </is>
      </c>
      <c r="E12093" t="inlineStr">
        <is>
          <t>Lương:12 Tr - 15 Tr VND</t>
        </is>
      </c>
      <c r="F12093" t="inlineStr">
        <is>
          <t>Bà Rịa - Vũng Tàu</t>
        </is>
      </c>
      <c r="G12093" t="inlineStr">
        <is>
          <t>30-04-2026</t>
        </is>
      </c>
      <c r="H12093" t="inlineStr">
        <is>
          <t>30/04/2026</t>
        </is>
      </c>
      <c r="I12093" t="inlineStr">
        <is>
          <t>17/03/2026</t>
        </is>
      </c>
      <c r="J12093" t="inlineStr">
        <is>
          <t>Dệt may / Da giày / Thời trang, Sản xuất / Vận hành sản xuất</t>
        </is>
      </c>
      <c r="K12093" t="inlineStr">
        <is>
          <t>3 - 5 Năm</t>
        </is>
      </c>
      <c r="L12093" s="8">
        <f>HYPERLINK("https://careerviet.vn/vi/tim-viec-lam/kcn-dong-xuyen-vt_-to-truong-san-xuat-nam-nu.35C6C565.html","Xem chi tiết")</f>
        <v/>
      </c>
    </row>
    <row r="12094">
      <c r="B12094" s="9" t="n">
        <v>12092</v>
      </c>
      <c r="C12094" s="10" t="inlineStr">
        <is>
          <t>AI Automation Builder/ AI Automation Enginee</t>
        </is>
      </c>
      <c r="D12094" s="10" t="inlineStr">
        <is>
          <t>YOUNG-INH CORPORATION</t>
        </is>
      </c>
      <c r="E12094" s="10" t="inlineStr">
        <is>
          <t>Lương:Cạnh tranh</t>
        </is>
      </c>
      <c r="F12094" s="10" t="inlineStr">
        <is>
          <t>Hồ Chí Minh</t>
        </is>
      </c>
      <c r="G12094" s="10" t="inlineStr">
        <is>
          <t>11-04-2026</t>
        </is>
      </c>
      <c r="H12094" s="10" t="inlineStr">
        <is>
          <t>11/04/2026</t>
        </is>
      </c>
      <c r="I12094" s="10" t="inlineStr">
        <is>
          <t>17/03/2026</t>
        </is>
      </c>
      <c r="J12094" s="10" t="inlineStr">
        <is>
          <t>CNTT - Phần mềm, Thương mại điện tử</t>
        </is>
      </c>
      <c r="K12094" s="10" t="inlineStr">
        <is>
          <t>Trên 2 Năm</t>
        </is>
      </c>
      <c r="L12094" s="11">
        <f>HYPERLINK("https://careerviet.vn/vi/tim-viec-lam/ai-automation-builder-ai-automation-enginee.35C6C55C.html","Xem chi tiết")</f>
        <v/>
      </c>
      <c r="M12094" s="10" t="n"/>
    </row>
    <row r="12095">
      <c r="B12095" s="7" t="n">
        <v>12093</v>
      </c>
      <c r="C12095" t="inlineStr">
        <is>
          <t>TRƯỞNG PHÒNG KINH DOANH BĐS - HCM</t>
        </is>
      </c>
      <c r="D12095" t="inlineStr">
        <is>
          <t>CÔNG TY CỔ PHẦN BẤT ĐỘNG SẢN G.EMPIRE</t>
        </is>
      </c>
      <c r="E12095" t="inlineStr">
        <is>
          <t>Lương:15 Tr - 30 Tr VND</t>
        </is>
      </c>
      <c r="F12095" t="inlineStr">
        <is>
          <t>Hồ Chí Minh</t>
        </is>
      </c>
      <c r="G12095" t="inlineStr">
        <is>
          <t>12-04-2026</t>
        </is>
      </c>
      <c r="H12095" t="inlineStr">
        <is>
          <t>12/04/2026</t>
        </is>
      </c>
      <c r="I12095" t="inlineStr">
        <is>
          <t>17/03/2026</t>
        </is>
      </c>
      <c r="J12095" t="inlineStr">
        <is>
          <t>Bảo hiểm, Tài chính / Đầu tư, Bất động sản</t>
        </is>
      </c>
      <c r="K12095" t="inlineStr">
        <is>
          <t>5 - 8 Năm</t>
        </is>
      </c>
      <c r="L12095" s="8">
        <f>HYPERLINK("https://careerviet.vn/vi/tim-viec-lam/truong-phong-kinh-doanh-bds-hcm.35C6C559.html","Xem chi tiết")</f>
        <v/>
      </c>
    </row>
    <row r="12096">
      <c r="B12096" s="9" t="n">
        <v>12094</v>
      </c>
      <c r="C12096" s="10" t="inlineStr">
        <is>
          <t>[Hà Nội] Chuyên Viên Kinh Doanh Dự Án</t>
        </is>
      </c>
      <c r="D12096" s="10" t="inlineStr">
        <is>
          <t>CÔNG TY CỔ PHẦN CASPER VIỆT NAM</t>
        </is>
      </c>
      <c r="E12096" s="10" t="inlineStr">
        <is>
          <t>Lương:Cạnh tranh</t>
        </is>
      </c>
      <c r="F12096" s="10" t="inlineStr">
        <is>
          <t>Hà Nội</t>
        </is>
      </c>
      <c r="G12096" s="10" t="inlineStr">
        <is>
          <t>30-04-2026</t>
        </is>
      </c>
      <c r="H12096" s="10" t="inlineStr">
        <is>
          <t>30/04/2026</t>
        </is>
      </c>
      <c r="I12096" s="10" t="inlineStr">
        <is>
          <t>17/03/2026</t>
        </is>
      </c>
      <c r="J12096" s="10" t="inlineStr">
        <is>
          <t>Bán hàng / Kinh doanh, Điện / Điện tử / Điện lạnh / Điện công nghiệp, Bán lẻ / Bán sỉ</t>
        </is>
      </c>
      <c r="K12096" s="10" t="inlineStr">
        <is>
          <t>2 - 3 Năm</t>
        </is>
      </c>
      <c r="L12096" s="11">
        <f>HYPERLINK("https://careerviet.vn/vi/tim-viec-lam/ha-noi-chuyen-vien-kinh-doanh-du-an.35C6C576.html","Xem chi tiết")</f>
        <v/>
      </c>
      <c r="M12096" s="10" t="n"/>
    </row>
    <row r="12097">
      <c r="B12097" s="7" t="n">
        <v>12095</v>
      </c>
      <c r="C12097" t="inlineStr">
        <is>
          <t>[HN] TTS HÀNH CHÍNH NHÂN SỰ</t>
        </is>
      </c>
      <c r="D12097" t="inlineStr">
        <is>
          <t>CÔNG TY CỔ PHẦN GIAO DỊCH HÀNG HÓA ĐÔNG NAM Á</t>
        </is>
      </c>
      <c r="E12097" t="inlineStr">
        <is>
          <t>Lương:2 Tr - 3 Tr VND</t>
        </is>
      </c>
      <c r="F12097" t="inlineStr">
        <is>
          <t>Hà Nội</t>
        </is>
      </c>
      <c r="G12097" t="inlineStr">
        <is>
          <t>31-03-2026</t>
        </is>
      </c>
      <c r="H12097" t="inlineStr">
        <is>
          <t>31/03/2026</t>
        </is>
      </c>
      <c r="I12097" t="inlineStr">
        <is>
          <t>17/03/2026</t>
        </is>
      </c>
      <c r="J12097" t="inlineStr">
        <is>
          <t>Tài chính / Đầu tư</t>
        </is>
      </c>
      <c r="K12097" t="inlineStr">
        <is>
          <t>N/A</t>
        </is>
      </c>
      <c r="L12097" s="8">
        <f>HYPERLINK("https://careerviet.vn/vi/tim-viec-lam/hn-tts-hanh-chinh-nhan-su.35C6B4C9.html","Xem chi tiết")</f>
        <v/>
      </c>
    </row>
    <row r="12098">
      <c r="B12098" s="9" t="n">
        <v>12096</v>
      </c>
      <c r="C12098" s="10" t="inlineStr">
        <is>
          <t>Nhân viên bảo trì máy may công nghiệp</t>
        </is>
      </c>
      <c r="D12098" s="10" t="inlineStr">
        <is>
          <t>Công ty TNHH GT Line Á Châu</t>
        </is>
      </c>
      <c r="E12098" s="10" t="inlineStr">
        <is>
          <t>Lương:12 Tr - 15 Tr VND</t>
        </is>
      </c>
      <c r="F12098" s="10" t="inlineStr">
        <is>
          <t>Bà Rịa - Vũng Tàu</t>
        </is>
      </c>
      <c r="G12098" s="10" t="inlineStr">
        <is>
          <t>30-04-2026</t>
        </is>
      </c>
      <c r="H12098" s="10" t="inlineStr">
        <is>
          <t>30/04/2026</t>
        </is>
      </c>
      <c r="I12098" s="10" t="inlineStr">
        <is>
          <t>17/03/2026</t>
        </is>
      </c>
      <c r="J12098" s="10" t="inlineStr">
        <is>
          <t>Bảo trì / Sửa chữa, Dệt may / Da giày / Thời trang</t>
        </is>
      </c>
      <c r="K12098" s="10" t="inlineStr">
        <is>
          <t>2 - 5 Năm</t>
        </is>
      </c>
      <c r="L12098" s="11">
        <f>HYPERLINK("https://careerviet.vn/vi/tim-viec-lam/nhan-vien-bao-tri-may-may-cong-nghiep.35C6C55D.html","Xem chi tiết")</f>
        <v/>
      </c>
      <c r="M12098" s="10" t="n"/>
    </row>
    <row r="12099">
      <c r="B12099" s="7" t="n">
        <v>12097</v>
      </c>
      <c r="C12099" t="inlineStr">
        <is>
          <t>Thư ký giám đốc</t>
        </is>
      </c>
      <c r="D12099" t="inlineStr">
        <is>
          <t>Công Ty TNHH Dược Phẩm Healthy Beauty</t>
        </is>
      </c>
      <c r="E12099" t="inlineStr">
        <is>
          <t>Lương:10 Tr - 12 Tr VND</t>
        </is>
      </c>
      <c r="F12099" t="inlineStr">
        <is>
          <t>Hồ Chí Minh</t>
        </is>
      </c>
      <c r="G12099" t="inlineStr">
        <is>
          <t>30-04-2026</t>
        </is>
      </c>
      <c r="H12099" t="inlineStr">
        <is>
          <t>30/04/2026</t>
        </is>
      </c>
      <c r="I12099" t="inlineStr">
        <is>
          <t>17/03/2026</t>
        </is>
      </c>
      <c r="J12099" t="inlineStr">
        <is>
          <t>Dược phẩm/ Hóa Mỹ Phẩm</t>
        </is>
      </c>
      <c r="K12099" t="inlineStr">
        <is>
          <t>1 - 3 Năm</t>
        </is>
      </c>
      <c r="L12099" s="8">
        <f>HYPERLINK("https://careerviet.vn/vi/tim-viec-lam/thu-ky-giam-doc.35C6C56B.html","Xem chi tiết")</f>
        <v/>
      </c>
    </row>
    <row r="12100">
      <c r="B12100" s="9" t="n">
        <v>12098</v>
      </c>
      <c r="C12100" s="10" t="inlineStr">
        <is>
          <t>Kỹ Sư Kết Cấu</t>
        </is>
      </c>
      <c r="D12100" s="10" t="inlineStr">
        <is>
          <t>Công Ty Cổ Phần Thiết Kế Và Xây Dựng Giza Việt Nam</t>
        </is>
      </c>
      <c r="E12100" s="10" t="inlineStr">
        <is>
          <t>Lương:15 Tr - 25 Tr VND</t>
        </is>
      </c>
      <c r="F12100" s="10" t="inlineStr">
        <is>
          <t>Hà Nội</t>
        </is>
      </c>
      <c r="G12100" s="10" t="inlineStr">
        <is>
          <t>06-04-2026</t>
        </is>
      </c>
      <c r="H12100" s="10" t="inlineStr">
        <is>
          <t>06/04/2026</t>
        </is>
      </c>
      <c r="I12100" s="10" t="inlineStr">
        <is>
          <t>17/03/2026</t>
        </is>
      </c>
      <c r="J12100" s="10" t="inlineStr">
        <is>
          <t>Xây dựng, Kiến trúc</t>
        </is>
      </c>
      <c r="K12100" s="10" t="inlineStr">
        <is>
          <t>1 - 2 Năm</t>
        </is>
      </c>
      <c r="L12100" s="11">
        <f>HYPERLINK("https://careerviet.vn/vi/tim-viec-lam/ky-su-ket-cau.35C6B4C7.html","Xem chi tiết")</f>
        <v/>
      </c>
      <c r="M12100" s="10" t="n"/>
    </row>
    <row r="12101">
      <c r="B12101" s="7" t="n">
        <v>12099</v>
      </c>
      <c r="C12101" t="inlineStr">
        <is>
          <t>Nhân Viên Xuất Nhập Khẩu (Ưu tiên Nam)</t>
        </is>
      </c>
      <c r="D12101" t="inlineStr">
        <is>
          <t>CÔNG TY CỔ PHẦN ĐẦU TƯ VÀNG PHÚ QUÝ</t>
        </is>
      </c>
      <c r="E12101" t="inlineStr">
        <is>
          <t>Lương:10 Tr - 15 Tr VND</t>
        </is>
      </c>
      <c r="F12101" t="inlineStr">
        <is>
          <t>Hà Nội</t>
        </is>
      </c>
      <c r="G12101" t="inlineStr">
        <is>
          <t>30-04-2026</t>
        </is>
      </c>
      <c r="H12101" t="inlineStr">
        <is>
          <t>30/04/2026</t>
        </is>
      </c>
      <c r="I12101" t="inlineStr">
        <is>
          <t>17/03/2026</t>
        </is>
      </c>
      <c r="J12101" t="inlineStr">
        <is>
          <t>Xuất nhập khẩu</t>
        </is>
      </c>
      <c r="K12101" t="inlineStr">
        <is>
          <t>1 - 2 Năm</t>
        </is>
      </c>
      <c r="L12101" s="8">
        <f>HYPERLINK("https://careerviet.vn/vi/tim-viec-lam/nhan-vien-xuat-nhap-khau-uu-tien-nam.35C6B497.html","Xem chi tiết")</f>
        <v/>
      </c>
    </row>
    <row r="12102">
      <c r="B12102" s="9" t="n">
        <v>12100</v>
      </c>
      <c r="C12102" s="10" t="inlineStr">
        <is>
          <t>(KCN Đông Xuyên - VT) - GIÁM SÁT SẢN XUẤT</t>
        </is>
      </c>
      <c r="D12102" s="10" t="inlineStr">
        <is>
          <t>Công ty TNHH GT Line Á Châu</t>
        </is>
      </c>
      <c r="E12102" s="10" t="inlineStr">
        <is>
          <t>Lương:15 Tr - 20 Tr VND</t>
        </is>
      </c>
      <c r="F12102" s="10" t="inlineStr">
        <is>
          <t>Bà Rịa - Vũng Tàu</t>
        </is>
      </c>
      <c r="G12102" s="10" t="inlineStr">
        <is>
          <t>30-04-2026</t>
        </is>
      </c>
      <c r="H12102" s="10" t="inlineStr">
        <is>
          <t>30/04/2026</t>
        </is>
      </c>
      <c r="I12102" s="10" t="inlineStr">
        <is>
          <t>17/03/2026</t>
        </is>
      </c>
      <c r="J12102" s="10" t="inlineStr">
        <is>
          <t>Dệt may / Da giày / Thời trang</t>
        </is>
      </c>
      <c r="K12102" s="10" t="inlineStr">
        <is>
          <t>5 - 7 Năm</t>
        </is>
      </c>
      <c r="L12102" s="11">
        <f>HYPERLINK("https://careerviet.vn/vi/tim-viec-lam/kcn-dong-xuyen-vt-giam-sat-san-xuat.35C6C562.html","Xem chi tiết")</f>
        <v/>
      </c>
      <c r="M12102" s="10" t="n"/>
    </row>
    <row r="12103">
      <c r="B12103" s="7" t="n">
        <v>12101</v>
      </c>
      <c r="C12103" t="inlineStr">
        <is>
          <t>Nhân viên Lái xe văn phòng</t>
        </is>
      </c>
      <c r="D12103" t="inlineStr">
        <is>
          <t>CÔNG TY CỔ PHẦN BẤT ĐỘNG SẢN G.EMPIRE</t>
        </is>
      </c>
      <c r="E12103" t="inlineStr">
        <is>
          <t>Lương:9 Tr - 11 Tr VND</t>
        </is>
      </c>
      <c r="F12103" t="inlineStr">
        <is>
          <t>Hồ Chí Minh</t>
        </is>
      </c>
      <c r="G12103" t="inlineStr">
        <is>
          <t>12-04-2026</t>
        </is>
      </c>
      <c r="H12103" t="inlineStr">
        <is>
          <t>12/04/2026</t>
        </is>
      </c>
      <c r="I12103" t="inlineStr">
        <is>
          <t>17/03/2026</t>
        </is>
      </c>
      <c r="J12103" t="inlineStr">
        <is>
          <t>Hành chính / Thư ký, Bất động sản, Lao động phổ thông</t>
        </is>
      </c>
      <c r="K12103" t="inlineStr">
        <is>
          <t>2 - 5 Năm</t>
        </is>
      </c>
      <c r="L12103" s="8">
        <f>HYPERLINK("https://careerviet.vn/vi/tim-viec-lam/nhan-vien-lai-xe-van-phong.35C6C558.html","Xem chi tiết")</f>
        <v/>
      </c>
    </row>
    <row r="12104">
      <c r="B12104" s="9" t="n">
        <v>12102</v>
      </c>
      <c r="C12104" s="10" t="inlineStr">
        <is>
          <t>Air freight supervisor</t>
        </is>
      </c>
      <c r="D12104" s="10" t="inlineStr">
        <is>
          <t>Công Ty TNHH Andashun Amazing Logistics</t>
        </is>
      </c>
      <c r="E12104" s="10" t="inlineStr">
        <is>
          <t>Lương:Cạnh tranh</t>
        </is>
      </c>
      <c r="F12104" s="10" t="inlineStr">
        <is>
          <t>Hà NộiHồ Chí Minh</t>
        </is>
      </c>
      <c r="G12104" s="10" t="inlineStr">
        <is>
          <t>12-03-2026</t>
        </is>
      </c>
      <c r="H12104" s="10" t="inlineStr">
        <is>
          <t>16/03/2026</t>
        </is>
      </c>
      <c r="I12104" s="10" t="inlineStr">
        <is>
          <t>17/03/2026</t>
        </is>
      </c>
      <c r="J12104" s="10" t="inlineStr">
        <is>
          <t>Dịch vụ khách hàng, Vận chuyển / Giao nhận / Kho vận, Xuất nhập khẩu</t>
        </is>
      </c>
      <c r="K12104" s="10" t="inlineStr">
        <is>
          <t>3 - 7 Năm</t>
        </is>
      </c>
      <c r="L12104" s="11">
        <f>HYPERLINK("https://careerviet.vn/vi/tim-viec-lam/air-freight-supervisor.35C6B4B2.html","Xem chi tiết")</f>
        <v/>
      </c>
      <c r="M12104" s="10" t="n"/>
    </row>
    <row r="12105">
      <c r="B12105" s="7" t="n">
        <v>12103</v>
      </c>
      <c r="C12105" t="inlineStr">
        <is>
          <t>Giám đốc Sàn kinh doanh Bất động sản</t>
        </is>
      </c>
      <c r="D12105" t="inlineStr">
        <is>
          <t>Công ty TNHH Bất động sản Phú Hoàng Land</t>
        </is>
      </c>
      <c r="E12105" t="inlineStr">
        <is>
          <t>Lương:20 Tr - 100 Tr VND</t>
        </is>
      </c>
      <c r="F12105" t="inlineStr">
        <is>
          <t>Hồ Chí Minh</t>
        </is>
      </c>
      <c r="G12105" t="inlineStr">
        <is>
          <t>22-04-2026</t>
        </is>
      </c>
      <c r="H12105" t="inlineStr">
        <is>
          <t>22/04/2026</t>
        </is>
      </c>
      <c r="I12105" t="inlineStr">
        <is>
          <t>17/03/2026</t>
        </is>
      </c>
      <c r="J12105" t="inlineStr">
        <is>
          <t>Bán hàng / Kinh doanh, Tài chính / Đầu tư, Bất động sản</t>
        </is>
      </c>
      <c r="K12105" t="inlineStr">
        <is>
          <t>Chưa có kinh nghiệm</t>
        </is>
      </c>
      <c r="L12105" s="8">
        <f>HYPERLINK("https://careerviet.vn/vi/tim-viec-lam/giam-doc-san-kinh-doanh-bat-dong-san.35C6B4CD.html","Xem chi tiết")</f>
        <v/>
      </c>
    </row>
    <row r="12106">
      <c r="B12106" s="9" t="n">
        <v>12104</v>
      </c>
      <c r="C12106" s="10" t="inlineStr">
        <is>
          <t>Chuyên viên cao cấp Đảm bảo Chất lượng Quy trình Dự án (PQA) - TNTech - 4Z010</t>
        </is>
      </c>
      <c r="D12106" s="10" t="inlineStr">
        <is>
          <t>Tập đoàn ROX (ROX Group)</t>
        </is>
      </c>
      <c r="E12106" s="10" t="inlineStr">
        <is>
          <t>Lương:Cạnh tranh</t>
        </is>
      </c>
      <c r="F12106" s="10" t="inlineStr">
        <is>
          <t>Hà Nội</t>
        </is>
      </c>
      <c r="G12106" s="10" t="inlineStr">
        <is>
          <t>09-04-2026</t>
        </is>
      </c>
      <c r="H12106" s="10" t="inlineStr">
        <is>
          <t>09/04/2026</t>
        </is>
      </c>
      <c r="I12106" s="10" t="inlineStr">
        <is>
          <t>17/03/2026</t>
        </is>
      </c>
      <c r="J12106" s="10" t="inlineStr">
        <is>
          <t>CNTT - Phần mềm</t>
        </is>
      </c>
      <c r="K12106" s="10" t="inlineStr">
        <is>
          <t>Trên 2 Năm</t>
        </is>
      </c>
      <c r="L12106" s="11">
        <f>HYPERLINK("https://careerviet.vn/vi/tim-viec-lam/chuyen-vien-cao-cap-dam-bao-chat-luong-quy-trinh-du-an-pqa-tntech-4z010.35C6C55A.html","Xem chi tiết")</f>
        <v/>
      </c>
      <c r="M12106" s="10" t="n"/>
    </row>
    <row r="12107">
      <c r="B12107" s="7" t="n">
        <v>12105</v>
      </c>
      <c r="C12107" t="inlineStr">
        <is>
          <t>NHÂN VIÊN KẾ TOÁN KHO CHI NHÁNH</t>
        </is>
      </c>
      <c r="D12107" t="inlineStr">
        <is>
          <t>Công ty TNHH Thực Phẩm Sạch Thương Mại T&amp;P</t>
        </is>
      </c>
      <c r="E12107" t="inlineStr">
        <is>
          <t>Lương:8 Tr - 10 Tr VND</t>
        </is>
      </c>
      <c r="F12107" t="inlineStr">
        <is>
          <t>Hồ Chí Minh</t>
        </is>
      </c>
      <c r="G12107" t="inlineStr">
        <is>
          <t>30-04-2026</t>
        </is>
      </c>
      <c r="H12107" t="inlineStr">
        <is>
          <t>30/04/2026</t>
        </is>
      </c>
      <c r="I12107" t="inlineStr">
        <is>
          <t>17/03/2026</t>
        </is>
      </c>
      <c r="J12107" t="inlineStr">
        <is>
          <t>Kế toán / Kiểm toán, Sản xuất / Vận hành sản xuất</t>
        </is>
      </c>
      <c r="K12107" t="inlineStr">
        <is>
          <t>Chưa có kinh nghiệm</t>
        </is>
      </c>
      <c r="L12107" s="8">
        <f>HYPERLINK("https://careerviet.vn/vi/tim-viec-lam/nhan-vien-ke-toan-kho-chi-nhanh.35C6B4CA.html","Xem chi tiết")</f>
        <v/>
      </c>
    </row>
    <row r="12108">
      <c r="B12108" s="9" t="n">
        <v>12106</v>
      </c>
      <c r="C12108" s="10" t="inlineStr">
        <is>
          <t>Kế toán thanh toán</t>
        </is>
      </c>
      <c r="D12108" s="10" t="inlineStr">
        <is>
          <t>Công Ty Cổ Phần Tập Đoàn Thời Trang Việt Nam</t>
        </is>
      </c>
      <c r="E12108" s="10" t="inlineStr">
        <is>
          <t>Lương:10 Tr - 15 Tr VND</t>
        </is>
      </c>
      <c r="F12108" s="10" t="inlineStr">
        <is>
          <t>Hà Nội</t>
        </is>
      </c>
      <c r="G12108" s="10" t="inlineStr">
        <is>
          <t>04-04-2026</t>
        </is>
      </c>
      <c r="H12108" s="10" t="inlineStr">
        <is>
          <t>04/04/2026</t>
        </is>
      </c>
      <c r="I12108" s="10" t="inlineStr">
        <is>
          <t>17/03/2026</t>
        </is>
      </c>
      <c r="J12108" s="10" t="inlineStr">
        <is>
          <t>Kế toán / Kiểm toán</t>
        </is>
      </c>
      <c r="K12108" s="10" t="inlineStr">
        <is>
          <t>1 - 2 Năm</t>
        </is>
      </c>
      <c r="L12108" s="11">
        <f>HYPERLINK("https://careerviet.vn/vi/tim-viec-lam/ke-toan-thanh-toan.35C6B4D8.html","Xem chi tiết")</f>
        <v/>
      </c>
      <c r="M12108" s="10" t="n"/>
    </row>
    <row r="12109">
      <c r="B12109" s="7" t="n">
        <v>12107</v>
      </c>
      <c r="C12109" t="inlineStr">
        <is>
          <t>Kỹ Sư Xây Dựng /QS/QC</t>
        </is>
      </c>
      <c r="D12109" t="inlineStr">
        <is>
          <t>Công Ty Cổ Phần Thiết Kế Và Xây Dựng Giza Việt Nam</t>
        </is>
      </c>
      <c r="E12109" t="inlineStr">
        <is>
          <t>Lương:15 Tr - 25 Tr VND</t>
        </is>
      </c>
      <c r="F12109" t="inlineStr">
        <is>
          <t>Quảng NinhThái NguyênBắc Ninh</t>
        </is>
      </c>
      <c r="G12109" t="inlineStr">
        <is>
          <t>06-04-2026</t>
        </is>
      </c>
      <c r="H12109" t="inlineStr">
        <is>
          <t>06/04/2026</t>
        </is>
      </c>
      <c r="I12109" t="inlineStr">
        <is>
          <t>17/03/2026</t>
        </is>
      </c>
      <c r="J12109" t="inlineStr">
        <is>
          <t>Xây dựng, Quản lý chất lượng (QA/QC)</t>
        </is>
      </c>
      <c r="K12109" t="inlineStr">
        <is>
          <t>N/A</t>
        </is>
      </c>
      <c r="L12109" s="8">
        <f>HYPERLINK("https://careerviet.vn/vi/tim-viec-lam/ky-su-xay-dung-qs-qc.35C6B4B4.html","Xem chi tiết")</f>
        <v/>
      </c>
    </row>
    <row r="12110">
      <c r="B12110" s="9" t="n">
        <v>12108</v>
      </c>
      <c r="C12110" s="10" t="inlineStr">
        <is>
          <t>Đại Diện Kinh Doanh Kênh Siêu Thị_HCM</t>
        </is>
      </c>
      <c r="D12110" s="10" t="inlineStr">
        <is>
          <t>Công Ty Cổ Phần Goody Group</t>
        </is>
      </c>
      <c r="E12110" s="10" t="inlineStr">
        <is>
          <t>Lương:9 Tr - 10 Tr VND</t>
        </is>
      </c>
      <c r="F12110" s="10" t="inlineStr">
        <is>
          <t>Hồ Chí Minh</t>
        </is>
      </c>
      <c r="G12110" s="10" t="inlineStr">
        <is>
          <t>05-04-2026</t>
        </is>
      </c>
      <c r="H12110" s="10" t="inlineStr">
        <is>
          <t>05/04/2026</t>
        </is>
      </c>
      <c r="I12110" s="10" t="inlineStr">
        <is>
          <t>17/03/2026</t>
        </is>
      </c>
      <c r="J12110" s="10" t="inlineStr">
        <is>
          <t>Bán lẻ / Bán sỉ, Bán hàng / Kinh doanh, Thực phẩm &amp; Đồ uống</t>
        </is>
      </c>
      <c r="K12110" s="10" t="inlineStr">
        <is>
          <t>Chưa có kinh nghiệm</t>
        </is>
      </c>
      <c r="L12110" s="11">
        <f>HYPERLINK("https://careerviet.vn/vi/tim-viec-lam/dai-dien-kinh-doanh-kenh-sieu-thi_hcm.35C6B4A5.html","Xem chi tiết")</f>
        <v/>
      </c>
      <c r="M12110" s="10" t="n"/>
    </row>
    <row r="12111">
      <c r="B12111" s="7" t="n">
        <v>12109</v>
      </c>
      <c r="C12111" t="inlineStr">
        <is>
          <t>Đại Diện Kinh Doanh_Kênh MT (Long An)</t>
        </is>
      </c>
      <c r="D12111" t="inlineStr">
        <is>
          <t>Công Ty Cổ Phần Goody Group</t>
        </is>
      </c>
      <c r="E12111" t="inlineStr">
        <is>
          <t>Lương:9 Tr - 10 Tr VND</t>
        </is>
      </c>
      <c r="F12111" t="inlineStr">
        <is>
          <t>Long An</t>
        </is>
      </c>
      <c r="G12111" t="inlineStr">
        <is>
          <t>05-04-2026</t>
        </is>
      </c>
      <c r="H12111" t="inlineStr">
        <is>
          <t>05/04/2026</t>
        </is>
      </c>
      <c r="I12111" t="inlineStr">
        <is>
          <t>17/03/2026</t>
        </is>
      </c>
      <c r="J12111" t="inlineStr">
        <is>
          <t>Bán lẻ / Bán sỉ, Bán hàng / Kinh doanh, Thực phẩm &amp; Đồ uống</t>
        </is>
      </c>
      <c r="K12111" t="inlineStr">
        <is>
          <t>Chưa có kinh nghiệm</t>
        </is>
      </c>
      <c r="L12111" s="8">
        <f>HYPERLINK("https://careerviet.vn/vi/tim-viec-lam/dai-dien-kinh-doanh_kenh-mt-long-an.35C6B4AC.html","Xem chi tiết")</f>
        <v/>
      </c>
    </row>
    <row r="12112">
      <c r="B12112" s="9" t="n">
        <v>12110</v>
      </c>
      <c r="C12112" s="10" t="inlineStr">
        <is>
          <t>Tài Xế Lái Xe</t>
        </is>
      </c>
      <c r="D12112" s="10" t="inlineStr">
        <is>
          <t>CÔNG TY CỔ PHẦN CASPER VIỆT NAM</t>
        </is>
      </c>
      <c r="E12112" s="10" t="inlineStr">
        <is>
          <t>Lương:10 Tr - 15 Tr VND</t>
        </is>
      </c>
      <c r="F12112" s="10" t="inlineStr">
        <is>
          <t>Hà Nội</t>
        </is>
      </c>
      <c r="G12112" s="10" t="inlineStr">
        <is>
          <t>30-04-2026</t>
        </is>
      </c>
      <c r="H12112" s="10" t="inlineStr">
        <is>
          <t>30/04/2026</t>
        </is>
      </c>
      <c r="I12112" s="10" t="inlineStr">
        <is>
          <t>17/03/2026</t>
        </is>
      </c>
      <c r="J12112" s="10" t="inlineStr">
        <is>
          <t>Vận chuyển / Giao nhận / Kho vận, Lao động phổ thông, Cơ khí / Ô tô / Tự động hóa</t>
        </is>
      </c>
      <c r="K12112" s="10" t="inlineStr">
        <is>
          <t>2 - 5 Năm</t>
        </is>
      </c>
      <c r="L12112" s="11">
        <f>HYPERLINK("https://careerviet.vn/vi/tim-viec-lam/tai-xe-lai-xe.35C6C574.html","Xem chi tiết")</f>
        <v/>
      </c>
      <c r="M12112" s="10" t="n"/>
    </row>
    <row r="12113">
      <c r="B12113" s="7" t="n">
        <v>12111</v>
      </c>
      <c r="C12113" t="inlineStr">
        <is>
          <t>Sales Logistics</t>
        </is>
      </c>
      <c r="D12113" t="inlineStr">
        <is>
          <t>Công Ty TNHH Andashun Amazing Logistics</t>
        </is>
      </c>
      <c r="E12113" t="inlineStr">
        <is>
          <t>Lương:Cạnh tranh</t>
        </is>
      </c>
      <c r="F12113" t="inlineStr">
        <is>
          <t>Hồ Chí MinhHà Nội</t>
        </is>
      </c>
      <c r="G12113" t="inlineStr">
        <is>
          <t>01-05-2026</t>
        </is>
      </c>
      <c r="H12113" t="inlineStr">
        <is>
          <t>01/05/2026</t>
        </is>
      </c>
      <c r="I12113" t="inlineStr">
        <is>
          <t>17/03/2026</t>
        </is>
      </c>
      <c r="J12113" t="inlineStr">
        <is>
          <t>Bán hàng / Kinh doanh, Vận chuyển / Giao nhận / Kho vận, Xuất nhập khẩu</t>
        </is>
      </c>
      <c r="K12113" t="inlineStr">
        <is>
          <t>N/A</t>
        </is>
      </c>
      <c r="L12113" s="8">
        <f>HYPERLINK("https://careerviet.vn/vi/tim-viec-lam/sales-logistics.35C6B46B.html","Xem chi tiết")</f>
        <v/>
      </c>
    </row>
    <row r="12114">
      <c r="B12114" s="9" t="n">
        <v>12112</v>
      </c>
      <c r="C12114" s="10" t="inlineStr">
        <is>
          <t>Sales Marketing Logistics</t>
        </is>
      </c>
      <c r="D12114" s="10" t="inlineStr">
        <is>
          <t>Công Ty TNHH Andashun Amazing Logistics</t>
        </is>
      </c>
      <c r="E12114" s="10" t="inlineStr">
        <is>
          <t>Lương:Cạnh tranh</t>
        </is>
      </c>
      <c r="F12114" s="10" t="inlineStr">
        <is>
          <t>Hồ Chí MinhHà Nội</t>
        </is>
      </c>
      <c r="G12114" s="10" t="inlineStr">
        <is>
          <t>01-05-2026</t>
        </is>
      </c>
      <c r="H12114" s="10" t="inlineStr">
        <is>
          <t>01/05/2026</t>
        </is>
      </c>
      <c r="I12114" s="10" t="inlineStr">
        <is>
          <t>17/03/2026</t>
        </is>
      </c>
      <c r="J12114" s="10" t="inlineStr">
        <is>
          <t>Bán hàng / Kinh doanh, Vận chuyển / Giao nhận / Kho vận, Xuất nhập khẩu</t>
        </is>
      </c>
      <c r="K12114" s="10" t="inlineStr">
        <is>
          <t>N/A</t>
        </is>
      </c>
      <c r="L12114" s="11">
        <f>HYPERLINK("https://careerviet.vn/vi/tim-viec-lam/sales-marketing-logistics.35C6B4A3.html","Xem chi tiết")</f>
        <v/>
      </c>
      <c r="M12114" s="10" t="n"/>
    </row>
    <row r="12115">
      <c r="B12115" s="7" t="n">
        <v>12113</v>
      </c>
      <c r="C12115" t="inlineStr">
        <is>
          <t>Field Sales Executive (Chinese Speaking)</t>
        </is>
      </c>
      <c r="D12115" t="inlineStr">
        <is>
          <t>Công Ty TNHH Andashun Amazing Logistics</t>
        </is>
      </c>
      <c r="E12115" t="inlineStr">
        <is>
          <t>Lương:Cạnh tranh</t>
        </is>
      </c>
      <c r="F12115" t="inlineStr">
        <is>
          <t>Hồ Chí MinhHà Nội</t>
        </is>
      </c>
      <c r="G12115" t="inlineStr">
        <is>
          <t>01-05-2026</t>
        </is>
      </c>
      <c r="H12115" t="inlineStr">
        <is>
          <t>01/05/2026</t>
        </is>
      </c>
      <c r="I12115" t="inlineStr">
        <is>
          <t>17/03/2026</t>
        </is>
      </c>
      <c r="J12115" t="inlineStr">
        <is>
          <t>Bán hàng / Kinh doanh, Vận chuyển / Giao nhận / Kho vận, Xuất nhập khẩu</t>
        </is>
      </c>
      <c r="K12115" t="inlineStr">
        <is>
          <t>N/A</t>
        </is>
      </c>
      <c r="L12115" s="8">
        <f>HYPERLINK("https://careerviet.vn/vi/tim-viec-lam/field-sales-executive-chinese-speaking.35C6B4A8.html","Xem chi tiết")</f>
        <v/>
      </c>
    </row>
    <row r="12116">
      <c r="B12116" s="9" t="n">
        <v>12114</v>
      </c>
      <c r="C12116" s="10" t="inlineStr">
        <is>
          <t>Nhân Viên Kế Toán Nội Bộ - (Tiếng Anh Cơ Bản)</t>
        </is>
      </c>
      <c r="D12116" s="10" t="inlineStr">
        <is>
          <t>CÔNG TY TNHH ĐẦU TƯ PHÁT TRIỂN HÂN NGUYỄN</t>
        </is>
      </c>
      <c r="E12116" s="10" t="inlineStr">
        <is>
          <t>Lương:8 Tr - 11 Tr VND</t>
        </is>
      </c>
      <c r="F12116" s="10" t="inlineStr">
        <is>
          <t>Hồ Chí Minh</t>
        </is>
      </c>
      <c r="G12116" s="10" t="inlineStr">
        <is>
          <t>06-04-2026</t>
        </is>
      </c>
      <c r="H12116" s="10" t="inlineStr">
        <is>
          <t>06/04/2026</t>
        </is>
      </c>
      <c r="I12116" s="10" t="inlineStr">
        <is>
          <t>17/03/2026</t>
        </is>
      </c>
      <c r="J12116" s="10" t="inlineStr">
        <is>
          <t>Kế toán / Kiểm toán</t>
        </is>
      </c>
      <c r="K12116" s="10" t="inlineStr">
        <is>
          <t>1 - 3 Năm</t>
        </is>
      </c>
      <c r="L12116" s="11">
        <f>HYPERLINK("https://careerviet.vn/vi/tim-viec-lam/nhan-vien-ke-toan-noi-bo-tieng-anh-co-ban.35C6B45E.html","Xem chi tiết")</f>
        <v/>
      </c>
      <c r="M12116" s="10" t="n"/>
    </row>
    <row r="12117">
      <c r="B12117" s="7" t="n">
        <v>12115</v>
      </c>
      <c r="C12117" t="inlineStr">
        <is>
          <t>Customer Support Officer - Call Team (Night Shift)</t>
        </is>
      </c>
      <c r="D12117" t="inlineStr">
        <is>
          <t>CÔNG TY TNHH CÔNG NGHỆ VÀ GIẢI PHÁP PHẦN MỀM CROSSIAN VIỆT NAM</t>
        </is>
      </c>
      <c r="E12117" t="inlineStr">
        <is>
          <t>Lương:13 Tr - 20 Tr VND</t>
        </is>
      </c>
      <c r="F12117" t="inlineStr">
        <is>
          <t>Hồ Chí Minh</t>
        </is>
      </c>
      <c r="G12117" t="inlineStr">
        <is>
          <t>06-04-2026</t>
        </is>
      </c>
      <c r="H12117" t="inlineStr">
        <is>
          <t>06/04/2026</t>
        </is>
      </c>
      <c r="I12117" t="inlineStr">
        <is>
          <t>17/03/2026</t>
        </is>
      </c>
      <c r="J12117" t="inlineStr">
        <is>
          <t>Dịch vụ khách hàng, Tư vấn, Thương mại điện tử</t>
        </is>
      </c>
      <c r="K12117" t="inlineStr">
        <is>
          <t>1 - 3 Năm</t>
        </is>
      </c>
      <c r="L12117" s="8">
        <f>HYPERLINK("https://careerviet.vn/vi/tim-viec-lam/customer-support-officer-call-team-night-shift.35C6B492.html","Xem chi tiết")</f>
        <v/>
      </c>
    </row>
    <row r="12118">
      <c r="B12118" s="9" t="n">
        <v>12116</v>
      </c>
      <c r="C12118" s="10" t="inlineStr">
        <is>
          <t>[Hưng Yên] Nhân Viên Lái xe Kho Vận Tại Văn Lâm (Đi Làm Ngay)</t>
        </is>
      </c>
      <c r="D12118" s="10" t="inlineStr">
        <is>
          <t>Công Ty TNHH Tập Đoàn Rita Võ</t>
        </is>
      </c>
      <c r="E12118" s="10" t="inlineStr">
        <is>
          <t>Lương:8,5 Tr - 10 Tr VND</t>
        </is>
      </c>
      <c r="F12118" s="10" t="inlineStr">
        <is>
          <t>Hưng Yên</t>
        </is>
      </c>
      <c r="G12118" s="10" t="inlineStr">
        <is>
          <t>03-04-2026</t>
        </is>
      </c>
      <c r="H12118" s="10" t="inlineStr">
        <is>
          <t>03/04/2026</t>
        </is>
      </c>
      <c r="I12118" s="10" t="inlineStr">
        <is>
          <t>17/03/2026</t>
        </is>
      </c>
      <c r="J12118" s="10" t="inlineStr">
        <is>
          <t>Vận chuyển / Giao nhận / Kho vận</t>
        </is>
      </c>
      <c r="K12118" s="10" t="inlineStr">
        <is>
          <t>Lên đến 1 Năm</t>
        </is>
      </c>
      <c r="L12118" s="11">
        <f>HYPERLINK("https://careerviet.vn/vi/tim-viec-lam/hung-yen-nhan-vien-lai-xe-kho-van-tai-van-lam-di-lam-ngay.35C6B479.html","Xem chi tiết")</f>
        <v/>
      </c>
      <c r="M12118" s="10" t="n"/>
    </row>
    <row r="12119">
      <c r="B12119" s="7" t="n">
        <v>12117</v>
      </c>
      <c r="C12119" t="inlineStr">
        <is>
          <t>LÁI XE BỒN CHỞ NHỰA ĐƯỜNG</t>
        </is>
      </c>
      <c r="D12119" t="inlineStr">
        <is>
          <t>CÔNG TY CỔ PHẦN THƯƠNG MẠI VÀ XUẤT NHẬP KHẨU VẬT TƯ GIAO THÔNG</t>
        </is>
      </c>
      <c r="E12119" t="inlineStr">
        <is>
          <t>Lương:15 Tr - 30 Tr VND</t>
        </is>
      </c>
      <c r="F12119" t="inlineStr">
        <is>
          <t>Đồng NaiHải Phòng</t>
        </is>
      </c>
      <c r="G12119" t="inlineStr">
        <is>
          <t>31-03-2026</t>
        </is>
      </c>
      <c r="H12119" t="inlineStr">
        <is>
          <t>31/03/2026</t>
        </is>
      </c>
      <c r="I12119" t="inlineStr">
        <is>
          <t>17/03/2026</t>
        </is>
      </c>
      <c r="J12119" t="inlineStr">
        <is>
          <t>Vận chuyển / Giao nhận / Kho vận, Ngành khác, Sản xuất / Vận hành sản xuất</t>
        </is>
      </c>
      <c r="K12119" t="inlineStr">
        <is>
          <t>1 - 5 Năm</t>
        </is>
      </c>
      <c r="L12119" s="8">
        <f>HYPERLINK("https://careerviet.vn/vi/tim-viec-lam/lai-xe-bon-cho-nhua-duong.35C6B414.html","Xem chi tiết")</f>
        <v/>
      </c>
    </row>
    <row r="12120">
      <c r="B12120" s="9" t="n">
        <v>12118</v>
      </c>
      <c r="C12120" s="10" t="inlineStr">
        <is>
          <t>KẾ TOÁN NỘI BỘ, KIÊM HÀNH CHÍNH NHÂN SỰ</t>
        </is>
      </c>
      <c r="D12120" s="10" t="inlineStr">
        <is>
          <t>TED SAIGON</t>
        </is>
      </c>
      <c r="E12120" s="10" t="inlineStr">
        <is>
          <t>Lương:10 Tr - 12 Tr VND</t>
        </is>
      </c>
      <c r="F12120" s="10" t="inlineStr">
        <is>
          <t>Hồ Chí Minh</t>
        </is>
      </c>
      <c r="G12120" s="10" t="inlineStr">
        <is>
          <t>06-04-2026</t>
        </is>
      </c>
      <c r="H12120" s="10" t="inlineStr">
        <is>
          <t>06/04/2026</t>
        </is>
      </c>
      <c r="I12120" s="10" t="inlineStr">
        <is>
          <t>17/03/2026</t>
        </is>
      </c>
      <c r="J12120" s="10" t="inlineStr">
        <is>
          <t>Giáo dục / Đào tạo, Hành chính / Thư ký, Kế toán / Kiểm toán</t>
        </is>
      </c>
      <c r="K12120" s="10" t="inlineStr">
        <is>
          <t>2 - 3 Năm</t>
        </is>
      </c>
      <c r="L12120" s="11">
        <f>HYPERLINK("https://careerviet.vn/vi/tim-viec-lam/ke-toan-noi-bo-kiem-hanh-chinh-nhan-su.35C6B412.html","Xem chi tiết")</f>
        <v/>
      </c>
      <c r="M12120" s="10" t="n"/>
    </row>
    <row r="12121">
      <c r="B12121" s="7" t="n">
        <v>12119</v>
      </c>
      <c r="C12121" t="inlineStr">
        <is>
          <t>Marketing Executive</t>
        </is>
      </c>
      <c r="D12121" t="inlineStr">
        <is>
          <t>Công ty TNHH Công nghệ và Giải pháp Omega</t>
        </is>
      </c>
      <c r="E12121" t="inlineStr">
        <is>
          <t>Lương:Cạnh tranh</t>
        </is>
      </c>
      <c r="F12121" t="inlineStr">
        <is>
          <t>Hồ Chí Minh</t>
        </is>
      </c>
      <c r="G12121" t="inlineStr">
        <is>
          <t>05-04-2026</t>
        </is>
      </c>
      <c r="H12121" t="inlineStr">
        <is>
          <t>05/04/2026</t>
        </is>
      </c>
      <c r="I12121" t="inlineStr">
        <is>
          <t>17/03/2026</t>
        </is>
      </c>
      <c r="J12121" t="inlineStr">
        <is>
          <t>Tiếp thị / Marketing</t>
        </is>
      </c>
      <c r="K12121" t="inlineStr">
        <is>
          <t>1 - 3 Năm</t>
        </is>
      </c>
      <c r="L12121" s="8">
        <f>HYPERLINK("https://careerviet.vn/vi/tim-viec-lam/marketing-executive.35C6B463.html","Xem chi tiết")</f>
        <v/>
      </c>
    </row>
    <row r="12122">
      <c r="B12122" s="9" t="n">
        <v>12120</v>
      </c>
      <c r="C12122" s="10" t="inlineStr">
        <is>
          <t>Tư vấn bán hàng sơn Lâm Đồng</t>
        </is>
      </c>
      <c r="D12122" s="10" t="inlineStr">
        <is>
          <t>Công Ty TNHH Sơn Seamaster Việt Nam</t>
        </is>
      </c>
      <c r="E12122" s="10" t="inlineStr">
        <is>
          <t>Lương:7 Tr - 10 Tr VND</t>
        </is>
      </c>
      <c r="F12122" s="10" t="inlineStr">
        <is>
          <t>Lâm ĐồngHồ Chí Minh</t>
        </is>
      </c>
      <c r="G12122" s="10" t="inlineStr">
        <is>
          <t>31-03-2026</t>
        </is>
      </c>
      <c r="H12122" s="10" t="inlineStr">
        <is>
          <t>31/03/2026</t>
        </is>
      </c>
      <c r="I12122" s="10" t="inlineStr">
        <is>
          <t>17/03/2026</t>
        </is>
      </c>
      <c r="J12122" s="10" t="inlineStr">
        <is>
          <t>Bán lẻ / Bán sỉ, Bán hàng / Kinh doanh, Dịch vụ khách hàng</t>
        </is>
      </c>
      <c r="K12122" s="10" t="inlineStr">
        <is>
          <t>1 - 2 Năm</t>
        </is>
      </c>
      <c r="L12122" s="11">
        <f>HYPERLINK("https://careerviet.vn/vi/tim-viec-lam/tu-van-ban-hang-son-lam-dong.35C6B46E.html","Xem chi tiết")</f>
        <v/>
      </c>
      <c r="M12122" s="10" t="n"/>
    </row>
    <row r="12123">
      <c r="B12123" s="7" t="n">
        <v>12121</v>
      </c>
      <c r="C12123" t="inlineStr">
        <is>
          <t>Kế toán viên</t>
        </is>
      </c>
      <c r="D12123" t="inlineStr">
        <is>
          <t>Công Ty Cổ Phần Tập Đoàn Ô Tô Hiệp Hòa</t>
        </is>
      </c>
      <c r="E12123" t="inlineStr">
        <is>
          <t>Lương:15 Tr - 25 Tr VND</t>
        </is>
      </c>
      <c r="F12123" t="inlineStr">
        <is>
          <t>Hà Nội</t>
        </is>
      </c>
      <c r="G12123" t="inlineStr">
        <is>
          <t>30-04-2026</t>
        </is>
      </c>
      <c r="H12123" t="inlineStr">
        <is>
          <t>30/04/2026</t>
        </is>
      </c>
      <c r="I12123" t="inlineStr">
        <is>
          <t>17/03/2026</t>
        </is>
      </c>
      <c r="J12123" t="inlineStr">
        <is>
          <t>Kế toán / Kiểm toán, Sản xuất / Vận hành sản xuất</t>
        </is>
      </c>
      <c r="K12123" t="inlineStr">
        <is>
          <t>Trên 3 Năm</t>
        </is>
      </c>
      <c r="L12123" s="8">
        <f>HYPERLINK("https://careerviet.vn/vi/tim-viec-lam/ke-toan-vien.35C6B465.html","Xem chi tiết")</f>
        <v/>
      </c>
    </row>
    <row r="12124">
      <c r="B12124" s="9" t="n">
        <v>12122</v>
      </c>
      <c r="C12124" s="10" t="inlineStr">
        <is>
          <t>Chuyên viên thiết kế điện</t>
        </is>
      </c>
      <c r="D12124" s="10" t="inlineStr">
        <is>
          <t>Công Ty Cổ Phần GreenFeed Việt Nam</t>
        </is>
      </c>
      <c r="E12124" s="10" t="inlineStr">
        <is>
          <t>Lương:Cạnh tranh</t>
        </is>
      </c>
      <c r="F12124" s="10" t="inlineStr">
        <is>
          <t>Hồ Chí Minh</t>
        </is>
      </c>
      <c r="G12124" s="10" t="inlineStr">
        <is>
          <t>30-03-2026</t>
        </is>
      </c>
      <c r="H12124" s="10" t="inlineStr">
        <is>
          <t>30/03/2026</t>
        </is>
      </c>
      <c r="I12124" s="10" t="inlineStr">
        <is>
          <t>17/03/2026</t>
        </is>
      </c>
      <c r="J12124" s="10" t="inlineStr">
        <is>
          <t>Nông nghiệp, Chăn nuôi / Thú y, Bảo trì / Sửa chữa</t>
        </is>
      </c>
      <c r="K12124" s="10" t="inlineStr">
        <is>
          <t>1 - 3 Năm</t>
        </is>
      </c>
      <c r="L12124" s="11">
        <f>HYPERLINK("https://careerviet.vn/vi/tim-viec-lam/chuyen-vien-thiet-ke-dien.35C6B44A.html","Xem chi tiết")</f>
        <v/>
      </c>
      <c r="M12124" s="10" t="n"/>
    </row>
    <row r="12125">
      <c r="B12125" s="7" t="n">
        <v>12123</v>
      </c>
      <c r="C12125" t="inlineStr">
        <is>
          <t>Operation Sea Freight</t>
        </is>
      </c>
      <c r="D12125" t="inlineStr">
        <is>
          <t>Công Ty TNHH Andashun Amazing Logistics</t>
        </is>
      </c>
      <c r="E12125" t="inlineStr">
        <is>
          <t>Lương:Cạnh tranh</t>
        </is>
      </c>
      <c r="F12125" t="inlineStr">
        <is>
          <t>Hồ Chí MinhHà Nội</t>
        </is>
      </c>
      <c r="G12125" t="inlineStr">
        <is>
          <t>01-05-2026</t>
        </is>
      </c>
      <c r="H12125" t="inlineStr">
        <is>
          <t>01/05/2026</t>
        </is>
      </c>
      <c r="I12125" t="inlineStr">
        <is>
          <t>17/03/2026</t>
        </is>
      </c>
      <c r="J12125" t="inlineStr">
        <is>
          <t>Vận chuyển / Giao nhận / Kho vận, Hàng hải, Xuất nhập khẩu</t>
        </is>
      </c>
      <c r="K12125" t="inlineStr">
        <is>
          <t>N/A</t>
        </is>
      </c>
      <c r="L12125" s="8">
        <f>HYPERLINK("https://careerviet.vn/vi/tim-viec-lam/operation-sea-freight.35C6B457.html","Xem chi tiết")</f>
        <v/>
      </c>
    </row>
    <row r="12126">
      <c r="B12126" s="9" t="n">
        <v>12124</v>
      </c>
      <c r="C12126" s="10" t="inlineStr">
        <is>
          <t>Trưởng Nhóm Giám Sát MEP (Chủ Đầu Tư)</t>
        </is>
      </c>
      <c r="D12126" s="10" t="inlineStr">
        <is>
          <t>Tập Đoàn Tân Á Đại Thành</t>
        </is>
      </c>
      <c r="E12126" s="10" t="inlineStr">
        <is>
          <t>Lương:30 Tr - 35 Tr VND</t>
        </is>
      </c>
      <c r="F12126" s="10" t="inlineStr">
        <is>
          <t>Kiên GiangHà NộiHồ Chí Minh</t>
        </is>
      </c>
      <c r="G12126" s="10" t="inlineStr">
        <is>
          <t>06-04-2026</t>
        </is>
      </c>
      <c r="H12126" s="10" t="inlineStr">
        <is>
          <t>06/04/2026</t>
        </is>
      </c>
      <c r="I12126" s="10" t="inlineStr">
        <is>
          <t>17/03/2026</t>
        </is>
      </c>
      <c r="J12126" s="10" t="inlineStr">
        <is>
          <t>Điện / Điện tử / Điện lạnh / Điện công nghiệp, Xây dựng, Bất động sản</t>
        </is>
      </c>
      <c r="K12126" s="10" t="inlineStr">
        <is>
          <t>Trên 5 Năm</t>
        </is>
      </c>
      <c r="L12126" s="11">
        <f>HYPERLINK("https://careerviet.vn/vi/tim-viec-lam/truong-nhom-giam-sat-mep-chu-dau-tu.35C6B461.html","Xem chi tiết")</f>
        <v/>
      </c>
      <c r="M12126" s="10" t="n"/>
    </row>
    <row r="12127">
      <c r="B12127" s="7" t="n">
        <v>12125</v>
      </c>
      <c r="C12127" t="inlineStr">
        <is>
          <t>Tư vấn bán hàng sơn Vũng Tàu</t>
        </is>
      </c>
      <c r="D12127" t="inlineStr">
        <is>
          <t>Công Ty TNHH Sơn Seamaster Việt Nam</t>
        </is>
      </c>
      <c r="E12127" t="inlineStr">
        <is>
          <t>Lương:7 Tr - 10 Tr VND</t>
        </is>
      </c>
      <c r="F12127" t="inlineStr">
        <is>
          <t>Bà Rịa - Vũng TàuHồ Chí Minh</t>
        </is>
      </c>
      <c r="G12127" t="inlineStr">
        <is>
          <t>31-03-2026</t>
        </is>
      </c>
      <c r="H12127" t="inlineStr">
        <is>
          <t>31/03/2026</t>
        </is>
      </c>
      <c r="I12127" t="inlineStr">
        <is>
          <t>17/03/2026</t>
        </is>
      </c>
      <c r="J12127" t="inlineStr">
        <is>
          <t>Bán lẻ / Bán sỉ, Bán hàng / Kinh doanh, Dịch vụ khách hàng</t>
        </is>
      </c>
      <c r="K12127" t="inlineStr">
        <is>
          <t>1 - 2 Năm</t>
        </is>
      </c>
      <c r="L12127" s="8">
        <f>HYPERLINK("https://careerviet.vn/vi/tim-viec-lam/tu-van-ban-hang-son-vung-tau.35C6B410.html","Xem chi tiết")</f>
        <v/>
      </c>
    </row>
    <row r="12128">
      <c r="B12128" s="9" t="n">
        <v>12126</v>
      </c>
      <c r="C12128" s="10" t="inlineStr">
        <is>
          <t>Chuyên viên Kỹ thuật bảo trì</t>
        </is>
      </c>
      <c r="D12128" s="10" t="inlineStr">
        <is>
          <t>Công Ty Cổ Phần GreenFeed Việt Nam</t>
        </is>
      </c>
      <c r="E12128" s="10" t="inlineStr">
        <is>
          <t>Lương:Cạnh tranh</t>
        </is>
      </c>
      <c r="F12128" s="10" t="inlineStr">
        <is>
          <t>Hồ Chí Minh</t>
        </is>
      </c>
      <c r="G12128" s="10" t="inlineStr">
        <is>
          <t>30-03-2026</t>
        </is>
      </c>
      <c r="H12128" s="10" t="inlineStr">
        <is>
          <t>30/03/2026</t>
        </is>
      </c>
      <c r="I12128" s="10" t="inlineStr">
        <is>
          <t>17/03/2026</t>
        </is>
      </c>
      <c r="J12128" s="10" t="inlineStr">
        <is>
          <t>Nông nghiệp, Chăn nuôi / Thú y, Bảo trì / Sửa chữa</t>
        </is>
      </c>
      <c r="K12128" s="10" t="inlineStr">
        <is>
          <t>2 - 4 Năm</t>
        </is>
      </c>
      <c r="L12128" s="11">
        <f>HYPERLINK("https://careerviet.vn/vi/tim-viec-lam/chuyen-vien-ky-thuat-bao-tri.35C6B448.html","Xem chi tiết")</f>
        <v/>
      </c>
      <c r="M12128" s="10" t="n"/>
    </row>
    <row r="12129">
      <c r="B12129" s="7" t="n">
        <v>12127</v>
      </c>
      <c r="C12129" t="inlineStr">
        <is>
          <t>CHUYÊN VIÊN KINH DOANH (DỰ ÁN)</t>
        </is>
      </c>
      <c r="D12129" t="inlineStr">
        <is>
          <t>CÔNG TY CỔ PHẦN  KTG ELECTRIC</t>
        </is>
      </c>
      <c r="E12129" t="inlineStr">
        <is>
          <t>Lương:14 Tr - 30 Tr VND</t>
        </is>
      </c>
      <c r="F12129" t="inlineStr">
        <is>
          <t>Hồ Chí MinhHà Nội</t>
        </is>
      </c>
      <c r="G12129" t="inlineStr">
        <is>
          <t>06-04-2026</t>
        </is>
      </c>
      <c r="H12129" t="inlineStr">
        <is>
          <t>06/04/2026</t>
        </is>
      </c>
      <c r="I12129" t="inlineStr">
        <is>
          <t>17/03/2026</t>
        </is>
      </c>
      <c r="J12129" t="inlineStr">
        <is>
          <t>Bán hàng / Kinh doanh, Dịch vụ khách hàng, Điện / Điện tử / Điện lạnh / Điện công nghiệp</t>
        </is>
      </c>
      <c r="K12129" t="inlineStr">
        <is>
          <t>2 - 4 Năm</t>
        </is>
      </c>
      <c r="L12129" s="8">
        <f>HYPERLINK("https://careerviet.vn/vi/tim-viec-lam/chuyen-vien-kinh-doanh-du-an.35C6B37A.html","Xem chi tiết")</f>
        <v/>
      </c>
    </row>
    <row r="12130">
      <c r="B12130" s="9" t="n">
        <v>12128</v>
      </c>
      <c r="C12130" s="10" t="inlineStr">
        <is>
          <t>Chuyên viên Kinh doanh OEM/ODM (Xuất Khẩu)</t>
        </is>
      </c>
      <c r="D12130" s="10" t="inlineStr">
        <is>
          <t>Tập Đoàn Karofi Holding</t>
        </is>
      </c>
      <c r="E12130" s="10" t="inlineStr">
        <is>
          <t>Lương:15 Tr - 30 Tr VND</t>
        </is>
      </c>
      <c r="F12130" s="10" t="inlineStr">
        <is>
          <t>Hà Nội</t>
        </is>
      </c>
      <c r="G12130" s="10" t="inlineStr">
        <is>
          <t>29-04-2026</t>
        </is>
      </c>
      <c r="H12130" s="10" t="inlineStr">
        <is>
          <t>29/04/2026</t>
        </is>
      </c>
      <c r="I12130" s="10" t="inlineStr">
        <is>
          <t>17/03/2026</t>
        </is>
      </c>
      <c r="J12130" s="10" t="inlineStr">
        <is>
          <t>Xuất nhập khẩu, Bán hàng / Kinh doanh, Vận chuyển / Giao nhận / Kho vận</t>
        </is>
      </c>
      <c r="K12130" s="10" t="inlineStr">
        <is>
          <t>2 - 5 Năm</t>
        </is>
      </c>
      <c r="L12130" s="11">
        <f>HYPERLINK("https://careerviet.vn/vi/tim-viec-lam/chuyen-vien-kinh-doanh-oem-odm-xuat-khau.35C6B45B.html","Xem chi tiết")</f>
        <v/>
      </c>
      <c r="M12130" s="10" t="n"/>
    </row>
    <row r="12131">
      <c r="B12131" s="7" t="n">
        <v>12129</v>
      </c>
      <c r="C12131" t="inlineStr">
        <is>
          <t>Chuyên Viên Giám Sát MEP (Chủ Đầu Tư)</t>
        </is>
      </c>
      <c r="D12131" t="inlineStr">
        <is>
          <t>Tập Đoàn Tân Á Đại Thành</t>
        </is>
      </c>
      <c r="E12131" t="inlineStr">
        <is>
          <t>Lương:25 Tr - 28 Tr VND</t>
        </is>
      </c>
      <c r="F12131" t="inlineStr">
        <is>
          <t>Hà NộiKiên GiangHồ Chí Minh</t>
        </is>
      </c>
      <c r="G12131" t="inlineStr">
        <is>
          <t>06-04-2026</t>
        </is>
      </c>
      <c r="H12131" t="inlineStr">
        <is>
          <t>06/04/2026</t>
        </is>
      </c>
      <c r="I12131" t="inlineStr">
        <is>
          <t>17/03/2026</t>
        </is>
      </c>
      <c r="J12131" t="inlineStr">
        <is>
          <t>Điện / Điện tử / Điện lạnh / Điện công nghiệp, Xây dựng, Bất động sản</t>
        </is>
      </c>
      <c r="K12131" t="inlineStr">
        <is>
          <t>3 - 5 Năm</t>
        </is>
      </c>
      <c r="L12131" s="8">
        <f>HYPERLINK("https://careerviet.vn/vi/tim-viec-lam/chuyen-vien-giam-sat-mep-chu-dau-tu.35C6B46C.html","Xem chi tiết")</f>
        <v/>
      </c>
    </row>
    <row r="12132">
      <c r="B12132" s="9" t="n">
        <v>12130</v>
      </c>
      <c r="C12132" s="10" t="inlineStr">
        <is>
          <t>[TUYỂN GẤP] GIÁM SÁT THI CÔNG HOÀN THIỆN NỘI THẤT</t>
        </is>
      </c>
      <c r="D12132" s="10" t="inlineStr">
        <is>
          <t>CÔNG TY CỔ PHẦN SẢN XUẤT THƯƠNG MẠI XÂY DỰNG TRANG TRÍ NỘI THẤT G.S VIỆT NAM</t>
        </is>
      </c>
      <c r="E12132" s="10" t="inlineStr">
        <is>
          <t>Lương:Trên 12 Tr VND</t>
        </is>
      </c>
      <c r="F12132" s="10" t="inlineStr">
        <is>
          <t>Bình Dương</t>
        </is>
      </c>
      <c r="G12132" s="10" t="inlineStr">
        <is>
          <t>30-04-2026</t>
        </is>
      </c>
      <c r="H12132" s="10" t="inlineStr">
        <is>
          <t>30/04/2026</t>
        </is>
      </c>
      <c r="I12132" s="10" t="inlineStr">
        <is>
          <t>17/03/2026</t>
        </is>
      </c>
      <c r="J12132" s="10" t="inlineStr">
        <is>
          <t>Xây dựng, Nội ngoại thất, Kiến trúc</t>
        </is>
      </c>
      <c r="K12132" s="10" t="inlineStr">
        <is>
          <t>1 - 3 Năm</t>
        </is>
      </c>
      <c r="L12132" s="11">
        <f>HYPERLINK("https://careerviet.vn/vi/tim-viec-lam/tuyen-gap-giam-sat-thi-cong-hoan-thien-noi-that.35C6B3DE.html","Xem chi tiết")</f>
        <v/>
      </c>
      <c r="M12132" s="10" t="n"/>
    </row>
    <row r="12133">
      <c r="B12133" s="7" t="n">
        <v>12131</v>
      </c>
      <c r="C12133" t="inlineStr">
        <is>
          <t>SAP Specialist</t>
        </is>
      </c>
      <c r="D12133" t="inlineStr">
        <is>
          <t>CÔNG TY TNHH SẢN XUẤT PHOENIX CONTACT</t>
        </is>
      </c>
      <c r="E12133" t="inlineStr">
        <is>
          <t>Lương:Cạnh tranh</t>
        </is>
      </c>
      <c r="F12133" t="inlineStr">
        <is>
          <t>Đồng Nai</t>
        </is>
      </c>
      <c r="G12133" t="inlineStr">
        <is>
          <t>05-04-2026</t>
        </is>
      </c>
      <c r="H12133" t="inlineStr">
        <is>
          <t>05/04/2026</t>
        </is>
      </c>
      <c r="I12133" t="inlineStr">
        <is>
          <t>17/03/2026</t>
        </is>
      </c>
      <c r="J12133" t="inlineStr">
        <is>
          <t>Tư vấn, CNTT - Phần mềm, CNTT - Phần cứng / Mạng</t>
        </is>
      </c>
      <c r="K12133" t="inlineStr">
        <is>
          <t>2 - 3 Năm</t>
        </is>
      </c>
      <c r="L12133" s="8">
        <f>HYPERLINK("https://careerviet.vn/vi/tim-viec-lam/sap-specialist.35C6B22E.html","Xem chi tiết")</f>
        <v/>
      </c>
    </row>
    <row r="12134">
      <c r="B12134" s="9" t="n">
        <v>12132</v>
      </c>
      <c r="C12134" s="10" t="inlineStr">
        <is>
          <t>Customer Support Officer - Email Team</t>
        </is>
      </c>
      <c r="D12134" s="10" t="inlineStr">
        <is>
          <t>CÔNG TY TNHH CÔNG NGHỆ VÀ GIẢI PHÁP PHẦN MỀM CROSSIAN VIỆT NAM</t>
        </is>
      </c>
      <c r="E12134" s="10" t="inlineStr">
        <is>
          <t>Lương:15 Tr - 35 Tr VND</t>
        </is>
      </c>
      <c r="F12134" s="10" t="inlineStr">
        <is>
          <t>Hồ Chí Minh</t>
        </is>
      </c>
      <c r="G12134" s="10" t="inlineStr">
        <is>
          <t>06-04-2026</t>
        </is>
      </c>
      <c r="H12134" s="10" t="inlineStr">
        <is>
          <t>06/04/2026</t>
        </is>
      </c>
      <c r="I12134" s="10" t="inlineStr">
        <is>
          <t>17/03/2026</t>
        </is>
      </c>
      <c r="J12134" s="10" t="inlineStr">
        <is>
          <t>Dịch vụ khách hàng, Thương mại điện tử, Tư vấn</t>
        </is>
      </c>
      <c r="K12134" s="10" t="inlineStr">
        <is>
          <t>Trên 2 Năm</t>
        </is>
      </c>
      <c r="L12134" s="11">
        <f>HYPERLINK("https://careerviet.vn/vi/tim-viec-lam/customer-support-officer-email-team.35C6B48E.html","Xem chi tiết")</f>
        <v/>
      </c>
      <c r="M12134" s="10" t="n"/>
    </row>
    <row r="12135">
      <c r="B12135" s="7" t="n">
        <v>12133</v>
      </c>
      <c r="C12135" t="inlineStr">
        <is>
          <t>Giám Sát Thi Công</t>
        </is>
      </c>
      <c r="D12135" t="inlineStr">
        <is>
          <t>Công Ty TNHH J.G</t>
        </is>
      </c>
      <c r="E12135" t="inlineStr">
        <is>
          <t>Lương:Cạnh tranh</t>
        </is>
      </c>
      <c r="F12135" t="inlineStr">
        <is>
          <t>Hồ Chí Minh</t>
        </is>
      </c>
      <c r="G12135" t="inlineStr">
        <is>
          <t>06-04-2026</t>
        </is>
      </c>
      <c r="H12135" t="inlineStr">
        <is>
          <t>06/04/2026</t>
        </is>
      </c>
      <c r="I12135" t="inlineStr">
        <is>
          <t>17/03/2026</t>
        </is>
      </c>
      <c r="J12135" t="inlineStr">
        <is>
          <t>Kiến trúc, Xây dựng, Quản lý điều hành</t>
        </is>
      </c>
      <c r="K12135" t="inlineStr">
        <is>
          <t>Trên 2 Năm</t>
        </is>
      </c>
      <c r="L12135" s="8">
        <f>HYPERLINK("https://careerviet.vn/vi/tim-viec-lam/giam-sat-thi-cong.35C6B411.html","Xem chi tiết")</f>
        <v/>
      </c>
    </row>
    <row r="12136">
      <c r="B12136" s="9" t="n">
        <v>12134</v>
      </c>
      <c r="C12136" s="10" t="inlineStr">
        <is>
          <t>Nhân Viên Thiết Kế Đồ Họa</t>
        </is>
      </c>
      <c r="D12136" s="10" t="inlineStr">
        <is>
          <t>CÔNG TY TNHH KỸ THUẬT VÀ NGUYÊN LIỆU IN ẤN KODOFO</t>
        </is>
      </c>
      <c r="E12136" s="10" t="inlineStr">
        <is>
          <t>Lương:8 Tr - 14 Tr VND</t>
        </is>
      </c>
      <c r="F12136" s="10" t="inlineStr">
        <is>
          <t>Hồ Chí MinhHà Nội</t>
        </is>
      </c>
      <c r="G12136" s="10" t="inlineStr">
        <is>
          <t>30-04-2026</t>
        </is>
      </c>
      <c r="H12136" s="10" t="inlineStr">
        <is>
          <t>30/04/2026</t>
        </is>
      </c>
      <c r="I12136" s="10" t="inlineStr">
        <is>
          <t>17/03/2026</t>
        </is>
      </c>
      <c r="J12136" s="10" t="inlineStr">
        <is>
          <t>Mỹ thuật / Nghệ thuật / Thiết kế, In ấn / Xuất bản, Dệt may / Da giày / Thời trang</t>
        </is>
      </c>
      <c r="K12136" s="10" t="inlineStr">
        <is>
          <t>Lên đến 1 Năm</t>
        </is>
      </c>
      <c r="L12136" s="11">
        <f>HYPERLINK("https://careerviet.vn/vi/tim-viec-lam/nhan-vien-thiet-ke-do-hoa.35C6B3A1.html","Xem chi tiết")</f>
        <v/>
      </c>
      <c r="M12136" s="10" t="n"/>
    </row>
    <row r="12137">
      <c r="B12137" s="7" t="n">
        <v>12135</v>
      </c>
      <c r="C12137" t="inlineStr">
        <is>
          <t>Nhân Viên Tạp Vụ - Đồng Nai</t>
        </is>
      </c>
      <c r="D12137" t="inlineStr">
        <is>
          <t>Công Ty TNHH Tập Đoàn Rita Võ</t>
        </is>
      </c>
      <c r="E12137" t="inlineStr">
        <is>
          <t>Lương:5,5 Tr - 6 Tr VND</t>
        </is>
      </c>
      <c r="F12137" t="inlineStr">
        <is>
          <t>Đồng Nai</t>
        </is>
      </c>
      <c r="G12137" t="inlineStr">
        <is>
          <t>06-04-2026</t>
        </is>
      </c>
      <c r="H12137" t="inlineStr">
        <is>
          <t>06/04/2026</t>
        </is>
      </c>
      <c r="I12137" t="inlineStr">
        <is>
          <t>17/03/2026</t>
        </is>
      </c>
      <c r="J12137" t="inlineStr">
        <is>
          <t>Lao động phổ thông, An Ninh / Bảo Vệ</t>
        </is>
      </c>
      <c r="K12137" t="inlineStr">
        <is>
          <t>N/A</t>
        </is>
      </c>
      <c r="L12137" s="8">
        <f>HYPERLINK("https://careerviet.vn/vi/tim-viec-lam/nhan-vien-tap-vu-dong-nai.35C6B3FF.html","Xem chi tiết")</f>
        <v/>
      </c>
    </row>
    <row r="12138">
      <c r="B12138" s="9" t="n">
        <v>12136</v>
      </c>
      <c r="C12138" s="10" t="inlineStr">
        <is>
          <t>[Hải Phòng] Giám sát Bảo trì</t>
        </is>
      </c>
      <c r="D12138" s="10" t="inlineStr">
        <is>
          <t>Công Ty TNHH LF Logistics (Việt Nam)</t>
        </is>
      </c>
      <c r="E12138" s="10" t="inlineStr">
        <is>
          <t>Lương:Cạnh tranh</t>
        </is>
      </c>
      <c r="F12138" s="10" t="inlineStr">
        <is>
          <t>Hải Phòng</t>
        </is>
      </c>
      <c r="G12138" s="10" t="inlineStr">
        <is>
          <t>07-04-2026</t>
        </is>
      </c>
      <c r="H12138" s="10" t="inlineStr">
        <is>
          <t>07/04/2026</t>
        </is>
      </c>
      <c r="I12138" s="10" t="inlineStr">
        <is>
          <t>17/03/2026</t>
        </is>
      </c>
      <c r="J12138" s="10" t="inlineStr">
        <is>
          <t>Vận chuyển / Giao nhận / Kho vận, Điện / Điện tử / Điện lạnh / Điện công nghiệp, Bảo trì / Sửa chữa</t>
        </is>
      </c>
      <c r="K12138" s="10" t="inlineStr">
        <is>
          <t>3 - 5 Năm</t>
        </is>
      </c>
      <c r="L12138" s="11">
        <f>HYPERLINK("https://careerviet.vn/vi/tim-viec-lam/hai-phong-giam-sat-bao-tri.35C6B425.html","Xem chi tiết")</f>
        <v/>
      </c>
      <c r="M12138" s="10" t="n"/>
    </row>
    <row r="12139">
      <c r="B12139" s="7" t="n">
        <v>12137</v>
      </c>
      <c r="C12139" t="inlineStr">
        <is>
          <t>Tuyển 03 nhân viên Admin</t>
        </is>
      </c>
      <c r="D12139" t="inlineStr">
        <is>
          <t>TED SAIGON</t>
        </is>
      </c>
      <c r="E12139" t="inlineStr">
        <is>
          <t>Lương:9 Tr - 10 Tr VND</t>
        </is>
      </c>
      <c r="F12139" t="inlineStr">
        <is>
          <t>Hồ Chí Minh</t>
        </is>
      </c>
      <c r="G12139" t="inlineStr">
        <is>
          <t>08-04-2026</t>
        </is>
      </c>
      <c r="H12139" t="inlineStr">
        <is>
          <t>08/04/2026</t>
        </is>
      </c>
      <c r="I12139" t="inlineStr">
        <is>
          <t>17/03/2026</t>
        </is>
      </c>
      <c r="J12139" t="inlineStr">
        <is>
          <t>Giáo dục / Đào tạo, Tư vấn, Bán hàng / Kinh doanh</t>
        </is>
      </c>
      <c r="K12139" t="inlineStr">
        <is>
          <t>1 - 2 Năm</t>
        </is>
      </c>
      <c r="L12139" s="8">
        <f>HYPERLINK("https://careerviet.vn/vi/tim-viec-lam/tuyen-03-nhan-vien-admin.35C6B41F.html","Xem chi tiết")</f>
        <v/>
      </c>
    </row>
    <row r="12140">
      <c r="B12140" s="9" t="n">
        <v>12138</v>
      </c>
      <c r="C12140" s="10" t="inlineStr">
        <is>
          <t>Kế Toán Tổng Hợp</t>
        </is>
      </c>
      <c r="D12140" s="10" t="inlineStr">
        <is>
          <t>Công ty CP Sữa chua Trân châu Hạ Long</t>
        </is>
      </c>
      <c r="E12140" s="10" t="inlineStr">
        <is>
          <t>Lương:13 Tr - 18 Tr VND</t>
        </is>
      </c>
      <c r="F12140" s="10" t="inlineStr">
        <is>
          <t>Hà Nội</t>
        </is>
      </c>
      <c r="G12140" s="10" t="inlineStr">
        <is>
          <t>06-04-2026</t>
        </is>
      </c>
      <c r="H12140" s="10" t="inlineStr">
        <is>
          <t>06/04/2026</t>
        </is>
      </c>
      <c r="I12140" s="10" t="inlineStr">
        <is>
          <t>17/03/2026</t>
        </is>
      </c>
      <c r="J12140" s="10" t="inlineStr">
        <is>
          <t>Kế toán / Kiểm toán, Tài chính / Đầu tư, Luật / Pháp lý</t>
        </is>
      </c>
      <c r="K12140" s="10" t="inlineStr">
        <is>
          <t>5 - 8 Năm</t>
        </is>
      </c>
      <c r="L12140" s="11">
        <f>HYPERLINK("https://careerviet.vn/vi/tim-viec-lam/ke-toan-tong-hop.35C6B408.html","Xem chi tiết")</f>
        <v/>
      </c>
      <c r="M12140" s="10" t="n"/>
    </row>
    <row r="12141">
      <c r="B12141" s="7" t="n">
        <v>12139</v>
      </c>
      <c r="C12141" t="inlineStr">
        <is>
          <t>Nhân viên thu mua  (FnB)</t>
        </is>
      </c>
      <c r="D12141" t="inlineStr">
        <is>
          <t>Bảo mật</t>
        </is>
      </c>
      <c r="E12141" t="inlineStr">
        <is>
          <t>Lương:Cạnh tranh</t>
        </is>
      </c>
      <c r="F12141" t="inlineStr">
        <is>
          <t>Hồ Chí Minh</t>
        </is>
      </c>
      <c r="G12141" t="inlineStr">
        <is>
          <t>31-03-2026</t>
        </is>
      </c>
      <c r="H12141" t="inlineStr">
        <is>
          <t>31/03/2026</t>
        </is>
      </c>
      <c r="I12141" t="inlineStr">
        <is>
          <t>17/03/2026</t>
        </is>
      </c>
      <c r="J12141" t="inlineStr">
        <is>
          <t>Bán lẻ / Bán sỉ, Thực phẩm &amp; Đồ uống</t>
        </is>
      </c>
      <c r="K12141" t="inlineStr">
        <is>
          <t>1 - 6 Năm</t>
        </is>
      </c>
      <c r="L12141" s="8">
        <f>HYPERLINK("https://careerviet.vn/vi/tim-viec-lam/nhan-vien-thu-mua-fnb.35C6B3B6.html","Xem chi tiết")</f>
        <v/>
      </c>
    </row>
    <row r="12142">
      <c r="B12142" s="9" t="n">
        <v>12140</v>
      </c>
      <c r="C12142" s="10" t="inlineStr">
        <is>
          <t>Nhân viên xuất hóa đơn</t>
        </is>
      </c>
      <c r="D12142" s="10" t="inlineStr">
        <is>
          <t>Công ty Cổ Phần Nhựa Thiếu Niên Tiền Phong Phía Nam</t>
        </is>
      </c>
      <c r="E12142" s="10" t="inlineStr">
        <is>
          <t>Lương:Cạnh tranh</t>
        </is>
      </c>
      <c r="F12142" s="10" t="inlineStr">
        <is>
          <t>Bình Dương</t>
        </is>
      </c>
      <c r="G12142" s="10" t="inlineStr">
        <is>
          <t>30-03-2026</t>
        </is>
      </c>
      <c r="H12142" s="10" t="inlineStr">
        <is>
          <t>30/03/2026</t>
        </is>
      </c>
      <c r="I12142" s="10" t="inlineStr">
        <is>
          <t>17/03/2026</t>
        </is>
      </c>
      <c r="J12142" s="10" t="inlineStr">
        <is>
          <t>Kế toán / Kiểm toán, Thống kê</t>
        </is>
      </c>
      <c r="K12142" s="10" t="inlineStr">
        <is>
          <t>1 - 2 Năm</t>
        </is>
      </c>
      <c r="L12142" s="11">
        <f>HYPERLINK("https://careerviet.vn/vi/tim-viec-lam/nhan-vien-xuat-hoa-don.35C6B413.html","Xem chi tiết")</f>
        <v/>
      </c>
      <c r="M12142" s="10" t="n"/>
    </row>
    <row r="12143">
      <c r="B12143" s="7" t="n">
        <v>12141</v>
      </c>
      <c r="C12143" t="inlineStr">
        <is>
          <t>Chuyên viên kinh doanh Hà Nội</t>
        </is>
      </c>
      <c r="D12143" t="inlineStr">
        <is>
          <t>Công Ty TNHH Sơn Seamaster Việt Nam</t>
        </is>
      </c>
      <c r="E12143" t="inlineStr">
        <is>
          <t>Lương:10 Tr - 20 Tr VND</t>
        </is>
      </c>
      <c r="F12143" t="inlineStr">
        <is>
          <t>Hà NộiThanh HóaBắc Ninh</t>
        </is>
      </c>
      <c r="G12143" t="inlineStr">
        <is>
          <t>31-03-2026</t>
        </is>
      </c>
      <c r="H12143" t="inlineStr">
        <is>
          <t>31/03/2026</t>
        </is>
      </c>
      <c r="I12143" t="inlineStr">
        <is>
          <t>17/03/2026</t>
        </is>
      </c>
      <c r="J12143" t="inlineStr">
        <is>
          <t>Bán lẻ / Bán sỉ, Bán hàng / Kinh doanh, Xây dựng</t>
        </is>
      </c>
      <c r="K12143" t="inlineStr">
        <is>
          <t>1 - 2 Năm</t>
        </is>
      </c>
      <c r="L12143" s="8">
        <f>HYPERLINK("https://careerviet.vn/vi/tim-viec-lam/chuyen-vien-kinh-doanh-ha-noi.35C6B402.html","Xem chi tiết")</f>
        <v/>
      </c>
    </row>
    <row r="12144">
      <c r="B12144" s="9" t="n">
        <v>12142</v>
      </c>
      <c r="C12144" s="10" t="inlineStr">
        <is>
          <t>Digital Marketing</t>
        </is>
      </c>
      <c r="D12144" s="10" t="inlineStr">
        <is>
          <t>CÔNG TY TNHH PHÁT TRIỂN THƯƠNG MẠI BĐS NEWSTARLAND</t>
        </is>
      </c>
      <c r="E12144" s="10" t="inlineStr">
        <is>
          <t>Lương:11 Tr - 15 Tr VND</t>
        </is>
      </c>
      <c r="F12144" s="10" t="inlineStr">
        <is>
          <t>Hà Nội</t>
        </is>
      </c>
      <c r="G12144" s="10" t="inlineStr">
        <is>
          <t>06-04-2026</t>
        </is>
      </c>
      <c r="H12144" s="10" t="inlineStr">
        <is>
          <t>06/04/2026</t>
        </is>
      </c>
      <c r="I12144" s="10" t="inlineStr">
        <is>
          <t>17/03/2026</t>
        </is>
      </c>
      <c r="J12144" s="10" t="inlineStr">
        <is>
          <t>Bất động sản, Tiếp thị / Marketing, Tiếp thị trực tuyến</t>
        </is>
      </c>
      <c r="K12144" s="10" t="inlineStr">
        <is>
          <t>Trên 2 Năm</t>
        </is>
      </c>
      <c r="L12144" s="11">
        <f>HYPERLINK("https://careerviet.vn/vi/tim-viec-lam/digital-marketing.35C6B3F2.html","Xem chi tiết")</f>
        <v/>
      </c>
      <c r="M12144" s="10" t="n"/>
    </row>
    <row r="12145">
      <c r="B12145" s="7" t="n">
        <v>12143</v>
      </c>
      <c r="C12145" t="inlineStr">
        <is>
          <t>Nhân viên Lái xe - Giao hàng</t>
        </is>
      </c>
      <c r="D12145" t="inlineStr">
        <is>
          <t>Công Ty CP XNK Hóa Chất &amp; Thiết Bị Kim Ngưu</t>
        </is>
      </c>
      <c r="E12145" t="inlineStr">
        <is>
          <t>Lương:8 Tr - 12 Tr VND</t>
        </is>
      </c>
      <c r="F12145" t="inlineStr">
        <is>
          <t>Hồ Chí Minh</t>
        </is>
      </c>
      <c r="G12145" t="inlineStr">
        <is>
          <t>12-03-2026</t>
        </is>
      </c>
      <c r="H12145" t="inlineStr">
        <is>
          <t>05/03/2026</t>
        </is>
      </c>
      <c r="I12145" t="inlineStr">
        <is>
          <t>17/03/2026</t>
        </is>
      </c>
      <c r="J12145" t="inlineStr">
        <is>
          <t>Vận chuyển / Giao nhận / Kho vận</t>
        </is>
      </c>
      <c r="K12145" t="inlineStr">
        <is>
          <t>2 - 5 Năm</t>
        </is>
      </c>
      <c r="L12145" s="8">
        <f>HYPERLINK("https://careerviet.vn/vi/tim-viec-lam/nhan-vien-lai-xe-giao-hang.35C6B373.html","Xem chi tiết")</f>
        <v/>
      </c>
    </row>
    <row r="12146">
      <c r="B12146" s="9" t="n">
        <v>12144</v>
      </c>
      <c r="C12146" s="10" t="inlineStr">
        <is>
          <t>Nhân viên Sale Admin</t>
        </is>
      </c>
      <c r="D12146" s="10" t="inlineStr">
        <is>
          <t>CÔNG TY CỔ PHẦN SÀN BẤT ĐỘNG SẢN HOMEGROUP</t>
        </is>
      </c>
      <c r="E12146" s="10" t="inlineStr">
        <is>
          <t>Lương:8 Tr - 12 Tr VND</t>
        </is>
      </c>
      <c r="F12146" s="10" t="inlineStr">
        <is>
          <t>Hồ Chí Minh</t>
        </is>
      </c>
      <c r="G12146" s="10" t="inlineStr">
        <is>
          <t>6</t>
        </is>
      </c>
      <c r="H12146" s="10" t="inlineStr">
        <is>
          <t>23/03/2026</t>
        </is>
      </c>
      <c r="I12146" s="10" t="inlineStr">
        <is>
          <t>17/03/2026</t>
        </is>
      </c>
      <c r="J12146" s="10" t="inlineStr">
        <is>
          <t>Bất động sản, Hành chính / Thư ký</t>
        </is>
      </c>
      <c r="K12146" s="10" t="inlineStr">
        <is>
          <t>1 - 2 Năm</t>
        </is>
      </c>
      <c r="L12146" s="11">
        <f>HYPERLINK("https://careerviet.vn/vi/tim-viec-lam/nhan-vien-sale-admin.35C6B3F3.html","Xem chi tiết")</f>
        <v/>
      </c>
      <c r="M12146" s="10" t="n"/>
    </row>
    <row r="12147">
      <c r="B12147" s="7" t="n">
        <v>12145</v>
      </c>
      <c r="C12147" t="inlineStr">
        <is>
          <t>NHÂN VIÊN ĐIỀU PHỐI XE CONT</t>
        </is>
      </c>
      <c r="D12147" t="inlineStr">
        <is>
          <t>Công Ty CP Interlink</t>
        </is>
      </c>
      <c r="E12147" t="inlineStr">
        <is>
          <t>Lương:12 Tr - 15 Tr VND</t>
        </is>
      </c>
      <c r="F12147" t="inlineStr">
        <is>
          <t>Hồ Chí Minh</t>
        </is>
      </c>
      <c r="G12147" t="inlineStr">
        <is>
          <t>07-04-2026</t>
        </is>
      </c>
      <c r="H12147" t="inlineStr">
        <is>
          <t>07/04/2026</t>
        </is>
      </c>
      <c r="I12147" t="inlineStr">
        <is>
          <t>17/03/2026</t>
        </is>
      </c>
      <c r="J12147" t="inlineStr">
        <is>
          <t>Vận chuyển / Giao nhận / Kho vận, Hàng hải, Xuất nhập khẩu</t>
        </is>
      </c>
      <c r="K12147" t="inlineStr">
        <is>
          <t>3 - 5 Năm</t>
        </is>
      </c>
      <c r="L12147" s="8">
        <f>HYPERLINK("https://careerviet.vn/vi/tim-viec-lam/nhan-vien-dieu-phoi-xe-cont.35C6B37D.html","Xem chi tiết")</f>
        <v/>
      </c>
    </row>
    <row r="12148">
      <c r="B12148" s="9" t="n">
        <v>12146</v>
      </c>
      <c r="C12148" s="10" t="inlineStr">
        <is>
          <t>Fashion Development Intern</t>
        </is>
      </c>
      <c r="D12148" s="10" t="inlineStr">
        <is>
          <t>Un-Available LTD Co.,</t>
        </is>
      </c>
      <c r="E12148" s="10" t="inlineStr">
        <is>
          <t>Lương:Cạnh tranh</t>
        </is>
      </c>
      <c r="F12148" s="10" t="inlineStr">
        <is>
          <t>Hồ Chí Minh</t>
        </is>
      </c>
      <c r="G12148" s="10" t="inlineStr">
        <is>
          <t>31-03-2026</t>
        </is>
      </c>
      <c r="H12148" s="10" t="inlineStr">
        <is>
          <t>31/03/2026</t>
        </is>
      </c>
      <c r="I12148" s="10" t="inlineStr">
        <is>
          <t>17/03/2026</t>
        </is>
      </c>
      <c r="J12148" s="10" t="inlineStr">
        <is>
          <t>Dệt may / Da giày / Thời trang, Mỹ thuật / Nghệ thuật / Thiết kế</t>
        </is>
      </c>
      <c r="K12148" s="10" t="inlineStr">
        <is>
          <t>N/A</t>
        </is>
      </c>
      <c r="L12148" s="11">
        <f>HYPERLINK("https://careerviet.vn/vi/tim-viec-lam/fashion-development-intern.35C6B3E4.html","Xem chi tiết")</f>
        <v/>
      </c>
      <c r="M12148" s="10" t="n"/>
    </row>
    <row r="12149">
      <c r="B12149" s="7" t="n">
        <v>12147</v>
      </c>
      <c r="C12149" t="inlineStr">
        <is>
          <t>Chuyên viên kinh doanh Hải Phòng</t>
        </is>
      </c>
      <c r="D12149" t="inlineStr">
        <is>
          <t>Công Ty TNHH Sơn Seamaster Việt Nam</t>
        </is>
      </c>
      <c r="E12149" t="inlineStr">
        <is>
          <t>Lương:10 Tr - 20 Tr VND</t>
        </is>
      </c>
      <c r="F12149" t="inlineStr">
        <is>
          <t>Bắc GiangHưng YênHải Phòng</t>
        </is>
      </c>
      <c r="G12149" t="inlineStr">
        <is>
          <t>31-03-2026</t>
        </is>
      </c>
      <c r="H12149" t="inlineStr">
        <is>
          <t>31/03/2026</t>
        </is>
      </c>
      <c r="I12149" t="inlineStr">
        <is>
          <t>17/03/2026</t>
        </is>
      </c>
      <c r="J12149" t="inlineStr">
        <is>
          <t>Bán lẻ / Bán sỉ, Bán hàng / Kinh doanh, Xây dựng</t>
        </is>
      </c>
      <c r="K12149" t="inlineStr">
        <is>
          <t>1 - 2 Năm</t>
        </is>
      </c>
      <c r="L12149" s="8">
        <f>HYPERLINK("https://careerviet.vn/vi/tim-viec-lam/chuyen-vien-kinh-doanh-hai-phong.35C6B40B.html","Xem chi tiết")</f>
        <v/>
      </c>
    </row>
    <row r="12150">
      <c r="B12150" s="9" t="n">
        <v>12148</v>
      </c>
      <c r="C12150" s="10" t="inlineStr">
        <is>
          <t>Nhân viên telesales Parttime &amp; Fulltime</t>
        </is>
      </c>
      <c r="D12150" s="10" t="inlineStr">
        <is>
          <t>CÔNG TY CỔ PHẦN BẤT ĐỘNG SẢN G.EMPIRE</t>
        </is>
      </c>
      <c r="E12150" s="10" t="inlineStr">
        <is>
          <t>Lương:6,5 Tr - 10 Tr VND</t>
        </is>
      </c>
      <c r="F12150" s="10" t="inlineStr">
        <is>
          <t>Hồ Chí Minh</t>
        </is>
      </c>
      <c r="G12150" s="10" t="inlineStr">
        <is>
          <t>12-04-2026</t>
        </is>
      </c>
      <c r="H12150" s="10" t="inlineStr">
        <is>
          <t>12/04/2026</t>
        </is>
      </c>
      <c r="I12150" s="10" t="inlineStr">
        <is>
          <t>17/03/2026</t>
        </is>
      </c>
      <c r="J12150" s="10" t="inlineStr">
        <is>
          <t>Bán hàng / Kinh doanh, Bất động sản, Tư vấn</t>
        </is>
      </c>
      <c r="K12150" s="10" t="inlineStr">
        <is>
          <t>N/A</t>
        </is>
      </c>
      <c r="L12150" s="11">
        <f>HYPERLINK("https://careerviet.vn/vi/tim-viec-lam/nhan-vien-telesales-parttime-fulltime.35C6C555.html","Xem chi tiết")</f>
        <v/>
      </c>
      <c r="M12150" s="10" t="n"/>
    </row>
    <row r="12151">
      <c r="B12151" s="7" t="n">
        <v>12149</v>
      </c>
      <c r="C12151" t="inlineStr">
        <is>
          <t>Chuyên viên kinh doanh Bình Dương</t>
        </is>
      </c>
      <c r="D12151" t="inlineStr">
        <is>
          <t>Công Ty TNHH Sơn Seamaster Việt Nam</t>
        </is>
      </c>
      <c r="E12151" t="inlineStr">
        <is>
          <t>Lương:10 Tr - 20 Tr VND</t>
        </is>
      </c>
      <c r="F12151" t="inlineStr">
        <is>
          <t>Bình Dương</t>
        </is>
      </c>
      <c r="G12151" t="inlineStr">
        <is>
          <t>31-03-2026</t>
        </is>
      </c>
      <c r="H12151" t="inlineStr">
        <is>
          <t>31/03/2026</t>
        </is>
      </c>
      <c r="I12151" t="inlineStr">
        <is>
          <t>17/03/2026</t>
        </is>
      </c>
      <c r="J12151" t="inlineStr">
        <is>
          <t>Tiếp thị / Marketing, Bán hàng / Kinh doanh, Tư vấn</t>
        </is>
      </c>
      <c r="K12151" t="inlineStr">
        <is>
          <t>1 - 2 Năm</t>
        </is>
      </c>
      <c r="L12151" s="8">
        <f>HYPERLINK("https://careerviet.vn/vi/tim-viec-lam/chuyen-vien-kinh-doanh-binh-duong.35C6B40C.html","Xem chi tiết")</f>
        <v/>
      </c>
    </row>
    <row r="12152">
      <c r="B12152" s="9" t="n">
        <v>12150</v>
      </c>
      <c r="C12152" s="10" t="inlineStr">
        <is>
          <t>Nhân Viên Kế Toán Nội Bộ</t>
        </is>
      </c>
      <c r="D12152" s="10" t="inlineStr">
        <is>
          <t>Công Ty Cổ phần Hệ thống Công Nghệ Hoàng Hải</t>
        </is>
      </c>
      <c r="E12152" s="10" t="inlineStr">
        <is>
          <t>Lương:Cạnh tranh</t>
        </is>
      </c>
      <c r="F12152" s="10" t="inlineStr">
        <is>
          <t>Hồ Chí Minh</t>
        </is>
      </c>
      <c r="G12152" s="10" t="inlineStr">
        <is>
          <t>11-04-2026</t>
        </is>
      </c>
      <c r="H12152" s="10" t="inlineStr">
        <is>
          <t>11/04/2026</t>
        </is>
      </c>
      <c r="I12152" s="10" t="inlineStr">
        <is>
          <t>17/03/2026</t>
        </is>
      </c>
      <c r="J12152" s="10" t="inlineStr">
        <is>
          <t>Kế toán / Kiểm toán, Tài chính / Đầu tư, Luật / Pháp lý</t>
        </is>
      </c>
      <c r="K12152" s="10" t="inlineStr">
        <is>
          <t>Trên 2 Năm</t>
        </is>
      </c>
      <c r="L12152" s="11">
        <f>HYPERLINK("https://careerviet.vn/vi/tim-viec-lam/nhan-vien-ke-toa-n-no-i-bo.35C6C552.html","Xem chi tiết")</f>
        <v/>
      </c>
      <c r="M12152" s="10" t="n"/>
    </row>
    <row r="12153">
      <c r="B12153" s="7" t="n">
        <v>12151</v>
      </c>
      <c r="C12153" t="inlineStr">
        <is>
          <t>PHÓ GIÁM ĐỐC KINH DOANH (Công ty Thành viên)</t>
        </is>
      </c>
      <c r="D12153" t="inlineStr">
        <is>
          <t>Tổng công ty Xây dựng số 1 – CTCP</t>
        </is>
      </c>
      <c r="E12153" t="inlineStr">
        <is>
          <t>Lương:Cạnh tranh</t>
        </is>
      </c>
      <c r="F12153" t="inlineStr">
        <is>
          <t>Long An</t>
        </is>
      </c>
      <c r="G12153" t="inlineStr">
        <is>
          <t>22-04-2026</t>
        </is>
      </c>
      <c r="H12153" t="inlineStr">
        <is>
          <t>22/04/2026</t>
        </is>
      </c>
      <c r="I12153" t="inlineStr">
        <is>
          <t>17/03/2026</t>
        </is>
      </c>
      <c r="J12153" t="inlineStr">
        <is>
          <t>Bán hàng / Kinh doanh</t>
        </is>
      </c>
      <c r="K12153" t="inlineStr">
        <is>
          <t>Trên 5 Năm</t>
        </is>
      </c>
      <c r="L12153" s="8">
        <f>HYPERLINK("https://careerviet.vn/vi/tim-viec-lam/pho-giam-doc-kinh-doanh-cong-ty-thanh-vien.35C6C54D.html","Xem chi tiết")</f>
        <v/>
      </c>
    </row>
    <row r="12154">
      <c r="B12154" s="9" t="n">
        <v>12152</v>
      </c>
      <c r="C12154" s="10" t="inlineStr">
        <is>
          <t>Nhân viên kinh doanh Thái Nguyên</t>
        </is>
      </c>
      <c r="D12154" s="10" t="inlineStr">
        <is>
          <t>Công Ty TNHH Sơn Seamaster Việt Nam</t>
        </is>
      </c>
      <c r="E12154" s="10" t="inlineStr">
        <is>
          <t>Lương:10 Tr - 20 Tr VND</t>
        </is>
      </c>
      <c r="F12154" s="10" t="inlineStr">
        <is>
          <t>Thái NguyênLai ChâuHòa Bình</t>
        </is>
      </c>
      <c r="G12154" s="10" t="inlineStr">
        <is>
          <t>31-03-2026</t>
        </is>
      </c>
      <c r="H12154" s="10" t="inlineStr">
        <is>
          <t>31/03/2026</t>
        </is>
      </c>
      <c r="I12154" s="10" t="inlineStr">
        <is>
          <t>17/03/2026</t>
        </is>
      </c>
      <c r="J12154" s="10" t="inlineStr">
        <is>
          <t>Bán lẻ / Bán sỉ, Bán hàng / Kinh doanh, Xây dựng</t>
        </is>
      </c>
      <c r="K12154" s="10" t="inlineStr">
        <is>
          <t>1 - 2 Năm</t>
        </is>
      </c>
      <c r="L12154" s="11">
        <f>HYPERLINK("https://careerviet.vn/vi/tim-viec-lam/nhan-vien-kinh-doanh-thai-nguyen.35C6B405.html","Xem chi tiết")</f>
        <v/>
      </c>
      <c r="M12154" s="10" t="n"/>
    </row>
    <row r="12155">
      <c r="B12155" s="7" t="n">
        <v>12153</v>
      </c>
      <c r="C12155" t="inlineStr">
        <is>
          <t>[THANH HÓA] Nhân Viên Kỹ Thuật</t>
        </is>
      </c>
      <c r="D12155" t="inlineStr">
        <is>
          <t>CÔNG TY CỔ PHẦN EUROWINDOW HOLDING</t>
        </is>
      </c>
      <c r="E12155" t="inlineStr">
        <is>
          <t>Lương:Cạnh tranh</t>
        </is>
      </c>
      <c r="F12155" t="inlineStr">
        <is>
          <t>Thanh Hóa</t>
        </is>
      </c>
      <c r="G12155" t="inlineStr">
        <is>
          <t>12-04-2026</t>
        </is>
      </c>
      <c r="H12155" t="inlineStr">
        <is>
          <t>12/04/2026</t>
        </is>
      </c>
      <c r="I12155" t="inlineStr">
        <is>
          <t>17/03/2026</t>
        </is>
      </c>
      <c r="J12155" t="inlineStr">
        <is>
          <t>Điện / Điện tử / Điện lạnh / Điện công nghiệp, Bất động sản</t>
        </is>
      </c>
      <c r="K12155" t="inlineStr">
        <is>
          <t>1 - 3 Năm</t>
        </is>
      </c>
      <c r="L12155" s="8">
        <f>HYPERLINK("https://careerviet.vn/vi/tim-viec-lam/thanh-hoa-nhan-vien-ky-thuat.35C6C541.html","Xem chi tiết")</f>
        <v/>
      </c>
    </row>
    <row r="12156">
      <c r="B12156" s="9" t="n">
        <v>12154</v>
      </c>
      <c r="C12156" s="10" t="inlineStr">
        <is>
          <t>Project Coordinator</t>
        </is>
      </c>
      <c r="D12156" s="10" t="inlineStr">
        <is>
          <t>CÔNG TY TNHH GALAXY DIGITAL HOLDINGS</t>
        </is>
      </c>
      <c r="E12156" s="10" t="inlineStr">
        <is>
          <t>Lương:Cạnh tranh</t>
        </is>
      </c>
      <c r="F12156" s="10" t="inlineStr">
        <is>
          <t>Hồ Chí Minh</t>
        </is>
      </c>
      <c r="G12156" s="10" t="inlineStr">
        <is>
          <t>12-04-2026</t>
        </is>
      </c>
      <c r="H12156" s="10" t="inlineStr">
        <is>
          <t>12/04/2026</t>
        </is>
      </c>
      <c r="I12156" s="10" t="inlineStr">
        <is>
          <t>17/03/2026</t>
        </is>
      </c>
      <c r="J12156" s="10" t="inlineStr">
        <is>
          <t>Bán hàng / Kinh doanh</t>
        </is>
      </c>
      <c r="K12156" s="10" t="inlineStr">
        <is>
          <t>1 - 2 Năm</t>
        </is>
      </c>
      <c r="L12156" s="11">
        <f>HYPERLINK("https://careerviet.vn/vi/tim-viec-lam/project-coordinator.35C6C554.html","Xem chi tiết")</f>
        <v/>
      </c>
      <c r="M12156" s="10" t="n"/>
    </row>
    <row r="12157">
      <c r="B12157" s="7" t="n">
        <v>12155</v>
      </c>
      <c r="C12157" t="inlineStr">
        <is>
          <t>Chuyên viên Khách hàng Doanh nghiệp - CN. Phú Yên (CN26.28)</t>
        </is>
      </c>
      <c r="D12157" t="inlineStr">
        <is>
          <t>Ngân Hàng TMCP Quân Đội</t>
        </is>
      </c>
      <c r="E12157" t="inlineStr">
        <is>
          <t>Lương:Cạnh tranh</t>
        </is>
      </c>
      <c r="F12157" t="inlineStr">
        <is>
          <t>Dak Lak</t>
        </is>
      </c>
      <c r="G12157" t="inlineStr">
        <is>
          <t>12-04-2026</t>
        </is>
      </c>
      <c r="H12157" t="inlineStr">
        <is>
          <t>12/04/2026</t>
        </is>
      </c>
      <c r="I12157" t="inlineStr">
        <is>
          <t>17/03/2026</t>
        </is>
      </c>
      <c r="J12157" t="inlineStr">
        <is>
          <t>Ngân hàng</t>
        </is>
      </c>
      <c r="K12157" t="inlineStr">
        <is>
          <t>Trên 1 Năm</t>
        </is>
      </c>
      <c r="L12157" s="8">
        <f>HYPERLINK("https://careerviet.vn/vi/tim-viec-lam/chuyen-vien-khach-hang-doanh-nghiep-cn-phu-yen-cn26-28.35C6C556.html","Xem chi tiết")</f>
        <v/>
      </c>
    </row>
    <row r="12158">
      <c r="B12158" s="9" t="n">
        <v>12156</v>
      </c>
      <c r="C12158" s="10" t="inlineStr">
        <is>
          <t>Merchandising Intern (6 months)</t>
        </is>
      </c>
      <c r="D12158" s="10" t="inlineStr">
        <is>
          <t>MOTIVES VIETNAM CORPORATION</t>
        </is>
      </c>
      <c r="E12158" s="10" t="inlineStr">
        <is>
          <t>Lương:Cạnh tranh</t>
        </is>
      </c>
      <c r="F12158" s="10" t="inlineStr">
        <is>
          <t>Hồ Chí Minh</t>
        </is>
      </c>
      <c r="G12158" s="10" t="inlineStr">
        <is>
          <t>05-04-2026</t>
        </is>
      </c>
      <c r="H12158" s="10" t="inlineStr">
        <is>
          <t>05/04/2026</t>
        </is>
      </c>
      <c r="I12158" s="10" t="inlineStr">
        <is>
          <t>17/03/2026</t>
        </is>
      </c>
      <c r="J12158" s="10" t="inlineStr">
        <is>
          <t>Dệt may / Da giày / Thời trang, Sản xuất / Vận hành sản xuất</t>
        </is>
      </c>
      <c r="K12158" s="10" t="inlineStr">
        <is>
          <t>N/A</t>
        </is>
      </c>
      <c r="L12158" s="11">
        <f>HYPERLINK("https://careerviet.vn/vi/tim-viec-lam/merchandising-intern-6-months.35C6B409.html","Xem chi tiết")</f>
        <v/>
      </c>
      <c r="M12158" s="10" t="n"/>
    </row>
    <row r="12159">
      <c r="B12159" s="7" t="n">
        <v>12157</v>
      </c>
      <c r="C12159" t="inlineStr">
        <is>
          <t>Trợ Lý Booking KOL/KOC</t>
        </is>
      </c>
      <c r="D12159" t="inlineStr">
        <is>
          <t>Công Ty TNHH Thương Mại Xuất Nhập Khẩu Fani</t>
        </is>
      </c>
      <c r="E12159" t="inlineStr">
        <is>
          <t>Lương:15 Tr - 30 Tr VND</t>
        </is>
      </c>
      <c r="F12159" t="inlineStr">
        <is>
          <t>Hà Nội</t>
        </is>
      </c>
      <c r="G12159" t="inlineStr">
        <is>
          <t>31-03-2026</t>
        </is>
      </c>
      <c r="H12159" t="inlineStr">
        <is>
          <t>31/03/2026</t>
        </is>
      </c>
      <c r="I12159" t="inlineStr">
        <is>
          <t>17/03/2026</t>
        </is>
      </c>
      <c r="J12159" t="inlineStr">
        <is>
          <t>Thương mại điện tử</t>
        </is>
      </c>
      <c r="K12159" t="inlineStr">
        <is>
          <t>1 - 2 Năm</t>
        </is>
      </c>
      <c r="L12159" s="8">
        <f>HYPERLINK("https://careerviet.vn/vi/tim-viec-lam/tro-ly-booking-kol-koc.35C6C53F.html","Xem chi tiết")</f>
        <v/>
      </c>
    </row>
    <row r="12160">
      <c r="B12160" s="9" t="n">
        <v>12158</v>
      </c>
      <c r="C12160" s="10" t="inlineStr">
        <is>
          <t>Trưởng phòng Tài chính cá nhân (ngành BĐS)</t>
        </is>
      </c>
      <c r="D12160" s="10" t="inlineStr">
        <is>
          <t>Công ty Cổ phần Tập đoàn KITA Group</t>
        </is>
      </c>
      <c r="E12160" s="10" t="inlineStr">
        <is>
          <t>Lương:28 Tr - 35 Tr VND</t>
        </is>
      </c>
      <c r="F12160" s="10" t="inlineStr">
        <is>
          <t>Hồ Chí Minh</t>
        </is>
      </c>
      <c r="G12160" s="10" t="inlineStr">
        <is>
          <t>30-04-2026</t>
        </is>
      </c>
      <c r="H12160" s="10" t="inlineStr">
        <is>
          <t>30/04/2026</t>
        </is>
      </c>
      <c r="I12160" s="10" t="inlineStr">
        <is>
          <t>17/03/2026</t>
        </is>
      </c>
      <c r="J12160" s="10" t="inlineStr">
        <is>
          <t>Bất động sản, Dịch vụ khách hàng, Ngân hàng</t>
        </is>
      </c>
      <c r="K12160" s="10" t="inlineStr">
        <is>
          <t>2 - 5 Năm</t>
        </is>
      </c>
      <c r="L12160" s="11">
        <f>HYPERLINK("https://careerviet.vn/vi/tim-viec-lam/truong-phong-tai-chinh-ca-nhan-nganh-bds.35C6C3E0.html","Xem chi tiết")</f>
        <v/>
      </c>
      <c r="M12160" s="10" t="n"/>
    </row>
    <row r="12161">
      <c r="B12161" s="7" t="n">
        <v>12159</v>
      </c>
      <c r="C12161" t="inlineStr">
        <is>
          <t>Tài Xế Chủ Tịch</t>
        </is>
      </c>
      <c r="D12161" t="inlineStr">
        <is>
          <t>CÔNG TY CỔ PHẦN GIẢI PHÁP CHIẾU SÁNG NAVITEK</t>
        </is>
      </c>
      <c r="E12161" t="inlineStr">
        <is>
          <t>Lương:Cạnh tranh</t>
        </is>
      </c>
      <c r="F12161" t="inlineStr">
        <is>
          <t>Hồ Chí Minh</t>
        </is>
      </c>
      <c r="G12161" t="inlineStr">
        <is>
          <t>12-04-2026</t>
        </is>
      </c>
      <c r="H12161" t="inlineStr">
        <is>
          <t>12/04/2026</t>
        </is>
      </c>
      <c r="I12161" t="inlineStr">
        <is>
          <t>17/03/2026</t>
        </is>
      </c>
      <c r="J12161" t="inlineStr">
        <is>
          <t>An Ninh / Bảo Vệ, Lao động phổ thông, Ngành khác</t>
        </is>
      </c>
      <c r="K12161" t="inlineStr">
        <is>
          <t>Trên 5 Năm</t>
        </is>
      </c>
      <c r="L12161" s="8">
        <f>HYPERLINK("https://careerviet.vn/vi/tim-viec-lam/tai-xe-chu-tich.35C6C43C.html","Xem chi tiết")</f>
        <v/>
      </c>
    </row>
    <row r="12162">
      <c r="B12162" s="9" t="n">
        <v>12160</v>
      </c>
      <c r="C12162" s="10" t="inlineStr">
        <is>
          <t>Nhân viên Trợ Livestream</t>
        </is>
      </c>
      <c r="D12162" s="10" t="inlineStr">
        <is>
          <t>Công Ty TNHH Thương Mại Xuất Nhập Khẩu Fani</t>
        </is>
      </c>
      <c r="E12162" s="10" t="inlineStr">
        <is>
          <t>Lương:12 Tr - 25 Tr VND</t>
        </is>
      </c>
      <c r="F12162" s="10" t="inlineStr">
        <is>
          <t>Hà Nội</t>
        </is>
      </c>
      <c r="G12162" s="10" t="inlineStr">
        <is>
          <t>31-03-2026</t>
        </is>
      </c>
      <c r="H12162" s="10" t="inlineStr">
        <is>
          <t>31/03/2026</t>
        </is>
      </c>
      <c r="I12162" s="10" t="inlineStr">
        <is>
          <t>17/03/2026</t>
        </is>
      </c>
      <c r="J12162" s="10" t="inlineStr">
        <is>
          <t>Thương mại điện tử</t>
        </is>
      </c>
      <c r="K12162" s="10" t="inlineStr">
        <is>
          <t>1 - 2 Năm</t>
        </is>
      </c>
      <c r="L12162" s="11">
        <f>HYPERLINK("https://careerviet.vn/vi/tim-viec-lam/nhan-vien-tro-livestream.35C6C543.html","Xem chi tiết")</f>
        <v/>
      </c>
      <c r="M12162" s="10" t="n"/>
    </row>
    <row r="12163">
      <c r="B12163" s="7" t="n">
        <v>12161</v>
      </c>
      <c r="C12163" t="inlineStr">
        <is>
          <t>Trợ lý Giám đốc</t>
        </is>
      </c>
      <c r="D12163" t="inlineStr">
        <is>
          <t>Công ty Cổ phần Xhome Cần Thơ</t>
        </is>
      </c>
      <c r="E12163" t="inlineStr">
        <is>
          <t>Lương:14 Tr - 18 Tr VND</t>
        </is>
      </c>
      <c r="F12163" t="inlineStr">
        <is>
          <t>Cần Thơ</t>
        </is>
      </c>
      <c r="G12163" t="inlineStr">
        <is>
          <t>15-04-2026</t>
        </is>
      </c>
      <c r="H12163" t="inlineStr">
        <is>
          <t>15/04/2026</t>
        </is>
      </c>
      <c r="I12163" t="inlineStr">
        <is>
          <t>17/03/2026</t>
        </is>
      </c>
      <c r="J12163" t="inlineStr">
        <is>
          <t>Hành chính / Thư ký, Nhân sự, Kế toán / Kiểm toán</t>
        </is>
      </c>
      <c r="K12163" t="inlineStr">
        <is>
          <t>2 - 3 Năm</t>
        </is>
      </c>
      <c r="L12163" s="8">
        <f>HYPERLINK("https://careerviet.vn/vi/tim-viec-lam/tro-ly-giam-doc.35C6C547.html","Xem chi tiết")</f>
        <v/>
      </c>
    </row>
    <row r="12164">
      <c r="B12164" s="9" t="n">
        <v>12162</v>
      </c>
      <c r="C12164" s="10" t="inlineStr">
        <is>
          <t>[HCM] TƯ VẤN VIÊN TƯ VẤN ĐẦU TƯ KHCN  (Hoa hồng hấp dẫn)</t>
        </is>
      </c>
      <c r="D12164" s="10" t="inlineStr">
        <is>
          <t>VDSC - Công ty CP Chứng khoán Rồng Việt</t>
        </is>
      </c>
      <c r="E12164" s="10" t="inlineStr">
        <is>
          <t>Lương:Cạnh tranh</t>
        </is>
      </c>
      <c r="F12164" s="10" t="inlineStr">
        <is>
          <t>Hồ Chí Minh</t>
        </is>
      </c>
      <c r="G12164" s="10" t="inlineStr">
        <is>
          <t>30-04-2026</t>
        </is>
      </c>
      <c r="H12164" s="10" t="inlineStr">
        <is>
          <t>30/04/2026</t>
        </is>
      </c>
      <c r="I12164" s="10" t="inlineStr">
        <is>
          <t>17/03/2026</t>
        </is>
      </c>
      <c r="J12164" s="10" t="inlineStr">
        <is>
          <t>Chứng khoán, Tài chính / Đầu tư, Ngân hàng</t>
        </is>
      </c>
      <c r="K12164" s="10" t="inlineStr">
        <is>
          <t>1 - 3 Năm</t>
        </is>
      </c>
      <c r="L12164" s="11">
        <f>HYPERLINK("https://careerviet.vn/vi/tim-viec-lam/hcm-tu-van-vien-tu-van-dau-tu-khcn-hoa-hong-hap-dan.35C6C53B.html","Xem chi tiết")</f>
        <v/>
      </c>
      <c r="M12164" s="10" t="n"/>
    </row>
    <row r="12165">
      <c r="B12165" s="7" t="n">
        <v>12163</v>
      </c>
      <c r="C12165" t="inlineStr">
        <is>
          <t>Quản Lý Cửa Hàng Quận Nam Từ Liêm</t>
        </is>
      </c>
      <c r="D12165" t="inlineStr">
        <is>
          <t>CÔNG TY CỔ PHẦN VUA NỆM</t>
        </is>
      </c>
      <c r="E12165" t="inlineStr">
        <is>
          <t>Lương:12 Tr - 15 Tr VND</t>
        </is>
      </c>
      <c r="F12165" t="inlineStr">
        <is>
          <t>Hà Nội</t>
        </is>
      </c>
      <c r="G12165" t="inlineStr">
        <is>
          <t>11-04-2026</t>
        </is>
      </c>
      <c r="H12165" t="inlineStr">
        <is>
          <t>11/04/2026</t>
        </is>
      </c>
      <c r="I12165" t="inlineStr">
        <is>
          <t>17/03/2026</t>
        </is>
      </c>
      <c r="J12165" t="inlineStr">
        <is>
          <t>Bán lẻ / Bán sỉ, Bán hàng / Kinh doanh, Tư vấn</t>
        </is>
      </c>
      <c r="K12165" t="inlineStr">
        <is>
          <t>2 - 10 Năm</t>
        </is>
      </c>
      <c r="L12165" s="8">
        <f>HYPERLINK("https://careerviet.vn/vi/tim-viec-lam/quan-ly-cua-hang-quan-nam-tu-liem.35C6C538.html","Xem chi tiết")</f>
        <v/>
      </c>
    </row>
    <row r="12166">
      <c r="B12166" s="9" t="n">
        <v>12164</v>
      </c>
      <c r="C12166" s="10" t="inlineStr">
        <is>
          <t>Nhân Viên Customer Service Logistics (CS)</t>
        </is>
      </c>
      <c r="D12166" s="10" t="inlineStr">
        <is>
          <t>CÔNG TY CỔ PHẦN CUNG ỨNG LẠNH VN</t>
        </is>
      </c>
      <c r="E12166" s="10" t="inlineStr">
        <is>
          <t>Lương:18 Tr - 20 Tr VND</t>
        </is>
      </c>
      <c r="F12166" s="10" t="inlineStr">
        <is>
          <t>Hà Nội</t>
        </is>
      </c>
      <c r="G12166" s="10" t="inlineStr">
        <is>
          <t>11-04-2026</t>
        </is>
      </c>
      <c r="H12166" s="10" t="inlineStr">
        <is>
          <t>11/04/2026</t>
        </is>
      </c>
      <c r="I12166" s="10" t="inlineStr">
        <is>
          <t>17/03/2026</t>
        </is>
      </c>
      <c r="J12166" s="10" t="inlineStr">
        <is>
          <t>Dịch vụ khách hàng, Xuất nhập khẩu, Vận chuyển / Giao nhận / Kho vận</t>
        </is>
      </c>
      <c r="K12166" s="10" t="inlineStr">
        <is>
          <t>Trên 3 Năm</t>
        </is>
      </c>
      <c r="L12166" s="11">
        <f>HYPERLINK("https://careerviet.vn/vi/tim-viec-lam/nhan-vien-customer-service-logistics-cs.35C6C549.html","Xem chi tiết")</f>
        <v/>
      </c>
      <c r="M12166" s="10" t="n"/>
    </row>
    <row r="12167">
      <c r="B12167" s="7" t="n">
        <v>12165</v>
      </c>
      <c r="C12167" t="inlineStr">
        <is>
          <t>NHÂN VIÊN TƯ VẤN TẠO NGUỒN VÀ TUYỂN SINH</t>
        </is>
      </c>
      <c r="D12167" t="inlineStr">
        <is>
          <t>CÔNG TY TNHH Ê SU HAI</t>
        </is>
      </c>
      <c r="E12167" t="inlineStr">
        <is>
          <t>Lương:8 Tr - 20 Tr VND</t>
        </is>
      </c>
      <c r="F12167" t="inlineStr">
        <is>
          <t>Thừa Thiên- Huế</t>
        </is>
      </c>
      <c r="G12167" t="inlineStr">
        <is>
          <t>30-04-2026</t>
        </is>
      </c>
      <c r="H12167" t="inlineStr">
        <is>
          <t>30/04/2026</t>
        </is>
      </c>
      <c r="I12167" t="inlineStr">
        <is>
          <t>17/03/2026</t>
        </is>
      </c>
      <c r="J12167" t="inlineStr">
        <is>
          <t>Tư vấn, Giáo dục / Đào tạo, Tiếp thị / Marketing</t>
        </is>
      </c>
      <c r="K12167" t="inlineStr">
        <is>
          <t>1 - 2 Năm</t>
        </is>
      </c>
      <c r="L12167" s="8">
        <f>HYPERLINK("https://careerviet.vn/vi/tim-viec-lam/nhan-vien-tu-van-tao-nguon-va-tuyen-sinh.35C6C52E.html","Xem chi tiết")</f>
        <v/>
      </c>
    </row>
    <row r="12168">
      <c r="B12168" s="9" t="n">
        <v>12166</v>
      </c>
      <c r="C12168" s="10" t="inlineStr">
        <is>
          <t>Brand Marketing Executive</t>
        </is>
      </c>
      <c r="D12168" s="10" t="inlineStr">
        <is>
          <t>Công Ty Hoàng An Nhiên</t>
        </is>
      </c>
      <c r="E12168" s="10" t="inlineStr">
        <is>
          <t>Lương:Cạnh tranh</t>
        </is>
      </c>
      <c r="F12168" s="10" t="inlineStr">
        <is>
          <t>Hà Nội</t>
        </is>
      </c>
      <c r="G12168" s="10" t="inlineStr">
        <is>
          <t>31-03-2026</t>
        </is>
      </c>
      <c r="H12168" s="10" t="inlineStr">
        <is>
          <t>31/03/2026</t>
        </is>
      </c>
      <c r="I12168" s="10" t="inlineStr">
        <is>
          <t>17/03/2026</t>
        </is>
      </c>
      <c r="J12168" s="10" t="inlineStr">
        <is>
          <t>Tiếp thị / Marketing</t>
        </is>
      </c>
      <c r="K12168" s="10" t="inlineStr">
        <is>
          <t>1 - 3 Năm</t>
        </is>
      </c>
      <c r="L12168" s="11">
        <f>HYPERLINK("https://careerviet.vn/vi/tim-viec-lam/brand-marketing-executive.35C69CE5.html","Xem chi tiết")</f>
        <v/>
      </c>
      <c r="M12168" s="10" t="n"/>
    </row>
    <row r="12169">
      <c r="B12169" s="7" t="n">
        <v>12167</v>
      </c>
      <c r="C12169" t="inlineStr">
        <is>
          <t>AI Business Consultant</t>
        </is>
      </c>
      <c r="D12169" t="inlineStr">
        <is>
          <t>Công Ty Cổ Phần Tập Đoàn Việt Ba</t>
        </is>
      </c>
      <c r="E12169" t="inlineStr">
        <is>
          <t>Lương:Cạnh tranh</t>
        </is>
      </c>
      <c r="F12169" t="inlineStr">
        <is>
          <t>Hà Nội</t>
        </is>
      </c>
      <c r="G12169" t="inlineStr">
        <is>
          <t>12-04-2026</t>
        </is>
      </c>
      <c r="H12169" t="inlineStr">
        <is>
          <t>12/04/2026</t>
        </is>
      </c>
      <c r="I12169" t="inlineStr">
        <is>
          <t>17/03/2026</t>
        </is>
      </c>
      <c r="J12169" t="inlineStr">
        <is>
          <t>Tư vấn, Quảng cáo / Đối ngoại / Truyền Thông, CNTT - Phần mềm</t>
        </is>
      </c>
      <c r="K12169" t="inlineStr">
        <is>
          <t>2 - 3 Năm</t>
        </is>
      </c>
      <c r="L12169" s="8">
        <f>HYPERLINK("https://careerviet.vn/vi/tim-viec-lam/ai-business-consultant.35C6C537.html","Xem chi tiết")</f>
        <v/>
      </c>
    </row>
    <row r="12170">
      <c r="B12170" s="9" t="n">
        <v>12168</v>
      </c>
      <c r="C12170" s="10" t="inlineStr">
        <is>
          <t>Nhân viên kho</t>
        </is>
      </c>
      <c r="D12170" s="10" t="inlineStr">
        <is>
          <t>HỆ THỐNG KÍNH MẮT ANNA</t>
        </is>
      </c>
      <c r="E12170" s="10" t="inlineStr">
        <is>
          <t>Lương:8 Tr - 11 Tr VND</t>
        </is>
      </c>
      <c r="F12170" s="10" t="inlineStr">
        <is>
          <t>Hà Nội</t>
        </is>
      </c>
      <c r="G12170" s="10" t="inlineStr">
        <is>
          <t>11-04-2026</t>
        </is>
      </c>
      <c r="H12170" s="10" t="inlineStr">
        <is>
          <t>11/04/2026</t>
        </is>
      </c>
      <c r="I12170" s="10" t="inlineStr">
        <is>
          <t>17/03/2026</t>
        </is>
      </c>
      <c r="J12170" s="10" t="inlineStr">
        <is>
          <t>Vận chuyển / Giao nhận / Kho vận</t>
        </is>
      </c>
      <c r="K12170" s="10" t="inlineStr">
        <is>
          <t>1 - 2 Năm</t>
        </is>
      </c>
      <c r="L12170" s="11">
        <f>HYPERLINK("https://careerviet.vn/vi/tim-viec-lam/nhan-vien-kho.35C6C535.html","Xem chi tiết")</f>
        <v/>
      </c>
      <c r="M12170" s="10" t="n"/>
    </row>
    <row r="12171">
      <c r="B12171" s="7" t="n">
        <v>12169</v>
      </c>
      <c r="C12171" t="inlineStr">
        <is>
          <t>Chuyên viên Quản lý chất lượng dữ liệu - Data Quality Management Specialist - Khối Dữ liệu (HO26.73)</t>
        </is>
      </c>
      <c r="D12171" t="inlineStr">
        <is>
          <t>Ngân Hàng TMCP Quân Đội</t>
        </is>
      </c>
      <c r="E12171" t="inlineStr">
        <is>
          <t>Lương:Cạnh tranh</t>
        </is>
      </c>
      <c r="F12171" t="inlineStr">
        <is>
          <t>Hà Nội</t>
        </is>
      </c>
      <c r="G12171" t="inlineStr">
        <is>
          <t>12-04-2026</t>
        </is>
      </c>
      <c r="H12171" t="inlineStr">
        <is>
          <t>12/04/2026</t>
        </is>
      </c>
      <c r="I12171" t="inlineStr">
        <is>
          <t>17/03/2026</t>
        </is>
      </c>
      <c r="J12171" t="inlineStr">
        <is>
          <t>Ngân hàng, CNTT - Phần cứng / Mạng, Quản lý chất lượng (QA/QC)</t>
        </is>
      </c>
      <c r="K12171" t="inlineStr">
        <is>
          <t>Trên 1 Năm</t>
        </is>
      </c>
      <c r="L12171" s="8">
        <f>HYPERLINK("https://careerviet.vn/vi/tim-viec-lam/chuyen-vien-quan-ly-chat-luong-du-lieu-data-quality-management-specialist-khoi-du-lieu-ho26-73.35C6C509.html","Xem chi tiết")</f>
        <v/>
      </c>
    </row>
    <row r="12172">
      <c r="B12172" s="9" t="n">
        <v>12170</v>
      </c>
      <c r="C12172" s="10" t="inlineStr">
        <is>
          <t>THỰC TẬP SINH TƯ VẤN ĐẦU TƯ KHCN (HCM)</t>
        </is>
      </c>
      <c r="D12172" s="10" t="inlineStr">
        <is>
          <t>VDSC - Công ty CP Chứng khoán Rồng Việt</t>
        </is>
      </c>
      <c r="E12172" s="10" t="inlineStr">
        <is>
          <t>Lương:3 Tr - 5 Tr VND</t>
        </is>
      </c>
      <c r="F12172" s="10" t="inlineStr">
        <is>
          <t>Hồ Chí Minh</t>
        </is>
      </c>
      <c r="G12172" s="10" t="inlineStr">
        <is>
          <t>31-03-2026</t>
        </is>
      </c>
      <c r="H12172" s="10" t="inlineStr">
        <is>
          <t>31/03/2026</t>
        </is>
      </c>
      <c r="I12172" s="10" t="inlineStr">
        <is>
          <t>17/03/2026</t>
        </is>
      </c>
      <c r="J12172" s="10" t="inlineStr">
        <is>
          <t>Ngân hàng, Chứng khoán, Tài chính / Đầu tư</t>
        </is>
      </c>
      <c r="K12172" s="10" t="inlineStr">
        <is>
          <t>N/A</t>
        </is>
      </c>
      <c r="L12172" s="11">
        <f>HYPERLINK("https://careerviet.vn/vi/tim-viec-lam/thuc-tap-sinh-tu-van-dau-tu-khcn-hcm.35C6C52F.html","Xem chi tiết")</f>
        <v/>
      </c>
      <c r="M12172" s="10" t="n"/>
    </row>
    <row r="12173">
      <c r="B12173" s="7" t="n">
        <v>12171</v>
      </c>
      <c r="C12173" t="inlineStr">
        <is>
          <t>Chuyên viên Thẩm định Khách hàng cá nhân - Retail Customer Appraisal Specialist - Khối Thẩm định (HO26.71)</t>
        </is>
      </c>
      <c r="D12173" t="inlineStr">
        <is>
          <t>Ngân Hàng TMCP Quân Đội</t>
        </is>
      </c>
      <c r="E12173" t="inlineStr">
        <is>
          <t>Lương:Cạnh tranh</t>
        </is>
      </c>
      <c r="F12173" t="inlineStr">
        <is>
          <t>Hà Nội</t>
        </is>
      </c>
      <c r="G12173" t="inlineStr">
        <is>
          <t>12-04-2026</t>
        </is>
      </c>
      <c r="H12173" t="inlineStr">
        <is>
          <t>12/04/2026</t>
        </is>
      </c>
      <c r="I12173" t="inlineStr">
        <is>
          <t>17/03/2026</t>
        </is>
      </c>
      <c r="J12173" t="inlineStr">
        <is>
          <t>Ngân hàng, Bán hàng / Kinh doanh, Tài chính / Đầu tư</t>
        </is>
      </c>
      <c r="K12173" t="inlineStr">
        <is>
          <t>N/A</t>
        </is>
      </c>
      <c r="L12173" s="8">
        <f>HYPERLINK("https://careerviet.vn/vi/tim-viec-lam/chuyen-vien-tham-dinh-khach-hang-ca-nhan-retail-customer-appraisal-specialist-khoi-tham-dinh-ho26-71.35C6C4FD.html","Xem chi tiết")</f>
        <v/>
      </c>
    </row>
    <row r="12174">
      <c r="B12174" s="9" t="n">
        <v>12172</v>
      </c>
      <c r="C12174" s="10" t="inlineStr">
        <is>
          <t>Chuyên viên cao cấp Bảo mật dữ liệu - Khối Dữ liệu - Senior Data Security - Data Division - Khối Dữ liệu (HO26.72)</t>
        </is>
      </c>
      <c r="D12174" s="10" t="inlineStr">
        <is>
          <t>Ngân Hàng TMCP Quân Đội</t>
        </is>
      </c>
      <c r="E12174" s="10" t="inlineStr">
        <is>
          <t>Lương:Cạnh tranh</t>
        </is>
      </c>
      <c r="F12174" s="10" t="inlineStr">
        <is>
          <t>Hà Nội</t>
        </is>
      </c>
      <c r="G12174" s="10" t="inlineStr">
        <is>
          <t>12-04-2026</t>
        </is>
      </c>
      <c r="H12174" s="10" t="inlineStr">
        <is>
          <t>12/04/2026</t>
        </is>
      </c>
      <c r="I12174" s="10" t="inlineStr">
        <is>
          <t>17/03/2026</t>
        </is>
      </c>
      <c r="J12174" s="10" t="inlineStr">
        <is>
          <t>Ngân hàng, CNTT - Phần mềm, CNTT - Phần cứng / Mạng</t>
        </is>
      </c>
      <c r="K12174" s="10" t="inlineStr">
        <is>
          <t>Trên 5 Năm</t>
        </is>
      </c>
      <c r="L12174" s="11">
        <f>HYPERLINK("https://careerviet.vn/vi/tim-viec-lam/chuyen-vien-cao-cap-bao-mat-du-lieu-khoi-du-lieu-senior-data-security-data-division-khoi-du-lieu-ho26-72.35C6C504.html","Xem chi tiết")</f>
        <v/>
      </c>
      <c r="M12174" s="10" t="n"/>
    </row>
    <row r="12175">
      <c r="B12175" s="7" t="n">
        <v>12173</v>
      </c>
      <c r="C12175" t="inlineStr">
        <is>
          <t>Sales thị trường mảng Vật liệu hàn</t>
        </is>
      </c>
      <c r="D12175" t="inlineStr">
        <is>
          <t>Tập Đoàn Kim Tín</t>
        </is>
      </c>
      <c r="E12175" t="inlineStr">
        <is>
          <t>Lương:Cạnh tranh</t>
        </is>
      </c>
      <c r="F12175" t="inlineStr">
        <is>
          <t>Hồ Chí Minh</t>
        </is>
      </c>
      <c r="G12175" t="inlineStr">
        <is>
          <t>10-04-2026</t>
        </is>
      </c>
      <c r="H12175" t="inlineStr">
        <is>
          <t>10/04/2026</t>
        </is>
      </c>
      <c r="I12175" t="inlineStr">
        <is>
          <t>17/03/2026</t>
        </is>
      </c>
      <c r="J12175" t="inlineStr">
        <is>
          <t>Bán lẻ / Bán sỉ, Bán hàng / Kinh doanh</t>
        </is>
      </c>
      <c r="K12175" t="inlineStr">
        <is>
          <t>2 - 3 Năm</t>
        </is>
      </c>
      <c r="L12175" s="8">
        <f>HYPERLINK("https://careerviet.vn/vi/tim-viec-lam/sales-thi-truong-mang-vat-lieu-han.35C6C534.html","Xem chi tiết")</f>
        <v/>
      </c>
    </row>
    <row r="12176">
      <c r="B12176" s="9" t="n">
        <v>12174</v>
      </c>
      <c r="C12176" s="10" t="inlineStr">
        <is>
          <t>Chuyên viên Quản lý dự án - Project Manager (PM) - Khối Dữ liệu (HO26.75)</t>
        </is>
      </c>
      <c r="D12176" s="10" t="inlineStr">
        <is>
          <t>Ngân Hàng TMCP Quân Đội</t>
        </is>
      </c>
      <c r="E12176" s="10" t="inlineStr">
        <is>
          <t>Lương:Cạnh tranh</t>
        </is>
      </c>
      <c r="F12176" s="10" t="inlineStr">
        <is>
          <t>Hà Nội</t>
        </is>
      </c>
      <c r="G12176" s="10" t="inlineStr">
        <is>
          <t>12-04-2026</t>
        </is>
      </c>
      <c r="H12176" s="10" t="inlineStr">
        <is>
          <t>12/04/2026</t>
        </is>
      </c>
      <c r="I12176" s="10" t="inlineStr">
        <is>
          <t>17/03/2026</t>
        </is>
      </c>
      <c r="J12176" s="10" t="inlineStr">
        <is>
          <t>Ngân hàng, CNTT - Phần cứng / Mạng, CNTT - Phần mềm</t>
        </is>
      </c>
      <c r="K12176" s="10" t="inlineStr">
        <is>
          <t>Trên 2 Năm</t>
        </is>
      </c>
      <c r="L12176" s="11">
        <f>HYPERLINK("https://careerviet.vn/vi/tim-viec-lam/chuyen-vien-quan-ly-du-an-project-manager-pm-khoi-du-lieu-ho26-75.35C6C515.html","Xem chi tiết")</f>
        <v/>
      </c>
      <c r="M12176" s="10" t="n"/>
    </row>
    <row r="12177">
      <c r="B12177" s="7" t="n">
        <v>12175</v>
      </c>
      <c r="C12177" t="inlineStr">
        <is>
          <t>Chuyên viên Báo cáo tuân thủ - Compliance Reporting Officer - Khối Dữ liệu (HO26.74)</t>
        </is>
      </c>
      <c r="D12177" t="inlineStr">
        <is>
          <t>Ngân Hàng TMCP Quân Đội</t>
        </is>
      </c>
      <c r="E12177" t="inlineStr">
        <is>
          <t>Lương:Cạnh tranh</t>
        </is>
      </c>
      <c r="F12177" t="inlineStr">
        <is>
          <t>Hà Nội</t>
        </is>
      </c>
      <c r="G12177" t="inlineStr">
        <is>
          <t>12-04-2026</t>
        </is>
      </c>
      <c r="H12177" t="inlineStr">
        <is>
          <t>12/04/2026</t>
        </is>
      </c>
      <c r="I12177" t="inlineStr">
        <is>
          <t>17/03/2026</t>
        </is>
      </c>
      <c r="J12177" t="inlineStr">
        <is>
          <t>Ngân hàng, CNTT - Phần cứng / Mạng, Quản lý chất lượng (QA/QC)</t>
        </is>
      </c>
      <c r="K12177" t="inlineStr">
        <is>
          <t>Trên 1 Năm</t>
        </is>
      </c>
      <c r="L12177" s="8">
        <f>HYPERLINK("https://careerviet.vn/vi/tim-viec-lam/chuyen-vien-bao-cao-tuan-thu-compliance-reporting-officer-khoi-du-lieu-ho26-74.35C6C50E.html","Xem chi tiết")</f>
        <v/>
      </c>
    </row>
    <row r="12178">
      <c r="B12178" s="9" t="n">
        <v>12176</v>
      </c>
      <c r="C12178" s="10" t="inlineStr">
        <is>
          <t>Nhân Viên Livestream</t>
        </is>
      </c>
      <c r="D12178" s="10" t="inlineStr">
        <is>
          <t>Công Ty TNHH Thương Mại Xuất Nhập Khẩu Fani</t>
        </is>
      </c>
      <c r="E12178" s="10" t="inlineStr">
        <is>
          <t>Lương:15 Tr - 60 Tr VND</t>
        </is>
      </c>
      <c r="F12178" s="10" t="inlineStr">
        <is>
          <t>Hà Nội</t>
        </is>
      </c>
      <c r="G12178" s="10" t="inlineStr">
        <is>
          <t>31-03-2026</t>
        </is>
      </c>
      <c r="H12178" s="10" t="inlineStr">
        <is>
          <t>31/03/2026</t>
        </is>
      </c>
      <c r="I12178" s="10" t="inlineStr">
        <is>
          <t>17/03/2026</t>
        </is>
      </c>
      <c r="J12178" s="10" t="inlineStr">
        <is>
          <t>Thương mại điện tử</t>
        </is>
      </c>
      <c r="K12178" s="10" t="inlineStr">
        <is>
          <t>1 - 2 Năm</t>
        </is>
      </c>
      <c r="L12178" s="11">
        <f>HYPERLINK("https://careerviet.vn/vi/tim-viec-lam/nhan-vien-livestream.35C6C544.html","Xem chi tiết")</f>
        <v/>
      </c>
      <c r="M12178" s="10" t="n"/>
    </row>
    <row r="12179">
      <c r="B12179" s="7" t="n">
        <v>12177</v>
      </c>
      <c r="C12179" t="inlineStr">
        <is>
          <t>Giáo viên Tin học</t>
        </is>
      </c>
      <c r="D12179" t="inlineStr">
        <is>
          <t>TRƯỜNG PHỔ THÔNG LIÊN CẤP H.A.S</t>
        </is>
      </c>
      <c r="E12179" t="inlineStr">
        <is>
          <t>Lương:10 Tr - 15 Tr VND</t>
        </is>
      </c>
      <c r="F12179" t="inlineStr">
        <is>
          <t>Hà Nội</t>
        </is>
      </c>
      <c r="G12179" t="inlineStr">
        <is>
          <t>31-03-2026</t>
        </is>
      </c>
      <c r="H12179" t="inlineStr">
        <is>
          <t>31/03/2026</t>
        </is>
      </c>
      <c r="I12179" t="inlineStr">
        <is>
          <t>17/03/2026</t>
        </is>
      </c>
      <c r="J12179" t="inlineStr">
        <is>
          <t>Giáo dục / Đào tạo, CNTT - Phần mềm, CNTT - Phần cứng / Mạng</t>
        </is>
      </c>
      <c r="K12179" t="inlineStr">
        <is>
          <t>2 - 3 Năm</t>
        </is>
      </c>
      <c r="L12179" s="8">
        <f>HYPERLINK("https://careerviet.vn/vi/tim-viec-lam/giao-vien-tin-hoc.35C6C529.html","Xem chi tiết")</f>
        <v/>
      </c>
    </row>
    <row r="12180">
      <c r="B12180" s="9" t="n">
        <v>12178</v>
      </c>
      <c r="C12180" s="10" t="inlineStr">
        <is>
          <t>Chuyên viên, Chuyên viên Cao cấp Khoa học Dữ liệu - Data Scientist - Data Scientist - Khối Dữ liệu (HO26.77)</t>
        </is>
      </c>
      <c r="D12180" s="10" t="inlineStr">
        <is>
          <t>Ngân Hàng TMCP Quân Đội</t>
        </is>
      </c>
      <c r="E12180" s="10" t="inlineStr">
        <is>
          <t>Lương:Cạnh tranh</t>
        </is>
      </c>
      <c r="F12180" s="10" t="inlineStr">
        <is>
          <t>Hà Nội</t>
        </is>
      </c>
      <c r="G12180" s="10" t="inlineStr">
        <is>
          <t>12-04-2026</t>
        </is>
      </c>
      <c r="H12180" s="10" t="inlineStr">
        <is>
          <t>12/04/2026</t>
        </is>
      </c>
      <c r="I12180" s="10" t="inlineStr">
        <is>
          <t>17/03/2026</t>
        </is>
      </c>
      <c r="J12180" s="10" t="inlineStr">
        <is>
          <t>Ngân hàng, CNTT - Phần cứng / Mạng, CNTT - Phần mềm</t>
        </is>
      </c>
      <c r="K12180" s="10" t="inlineStr">
        <is>
          <t>Trên 2 Năm</t>
        </is>
      </c>
      <c r="L12180" s="11">
        <f>HYPERLINK("https://careerviet.vn/vi/tim-viec-lam/chuyen-vien-chuyen-vien-cao-cap-khoa-hoc-du-lieu-data-scientist-data-scientist-khoi-du-lieu-ho26-77.35C6C51C.html","Xem chi tiết")</f>
        <v/>
      </c>
      <c r="M12180" s="10" t="n"/>
    </row>
    <row r="12181">
      <c r="B12181" s="7" t="n">
        <v>12179</v>
      </c>
      <c r="C12181" t="inlineStr">
        <is>
          <t>Kỹ sư Dữ liệu - Data Engineer - Data Engineer - Khối Dữ liệu (HO26.78)</t>
        </is>
      </c>
      <c r="D12181" t="inlineStr">
        <is>
          <t>Ngân Hàng TMCP Quân Đội</t>
        </is>
      </c>
      <c r="E12181" t="inlineStr">
        <is>
          <t>Lương:Cạnh tranh</t>
        </is>
      </c>
      <c r="F12181" t="inlineStr">
        <is>
          <t>Hà Nội</t>
        </is>
      </c>
      <c r="G12181" t="inlineStr">
        <is>
          <t>12-04-2026</t>
        </is>
      </c>
      <c r="H12181" t="inlineStr">
        <is>
          <t>12/04/2026</t>
        </is>
      </c>
      <c r="I12181" t="inlineStr">
        <is>
          <t>17/03/2026</t>
        </is>
      </c>
      <c r="J12181" t="inlineStr">
        <is>
          <t>Ngân hàng, CNTT - Phần cứng / Mạng, CNTT - Phần mềm</t>
        </is>
      </c>
      <c r="K12181" t="inlineStr">
        <is>
          <t>N/A</t>
        </is>
      </c>
      <c r="L12181" s="8">
        <f>HYPERLINK("https://careerviet.vn/vi/tim-viec-lam/ky-su-du-lieu-data-engineer-data-engineer-khoi-du-lieu-ho26-78.35C6C523.html","Xem chi tiết")</f>
        <v/>
      </c>
    </row>
    <row r="12182">
      <c r="B12182" s="9" t="n">
        <v>12180</v>
      </c>
      <c r="C12182" s="10" t="inlineStr">
        <is>
          <t>Nhân viên kỹ thuật giải pháp (Presale)</t>
        </is>
      </c>
      <c r="D12182" s="10" t="inlineStr">
        <is>
          <t>CÔNG TY CỔ PHẦN PHÁT TRIỂN CÔNG NGHỆ TECHPRO</t>
        </is>
      </c>
      <c r="E12182" s="10" t="inlineStr">
        <is>
          <t>Lương:15 Tr - 18 Tr VND</t>
        </is>
      </c>
      <c r="F12182" s="10" t="inlineStr">
        <is>
          <t>Hà NộiHồ Chí Minh</t>
        </is>
      </c>
      <c r="G12182" s="10" t="inlineStr">
        <is>
          <t>12-04-2026</t>
        </is>
      </c>
      <c r="H12182" s="10" t="inlineStr">
        <is>
          <t>12/04/2026</t>
        </is>
      </c>
      <c r="I12182" s="10" t="inlineStr">
        <is>
          <t>17/03/2026</t>
        </is>
      </c>
      <c r="J12182" s="10" t="inlineStr">
        <is>
          <t>Bán Hàng Kỹ Thuật, Bưu chính viễn thông, Điện / Điện tử / Điện lạnh / Điện công nghiệp</t>
        </is>
      </c>
      <c r="K12182" s="10" t="inlineStr">
        <is>
          <t>1 - 2 Năm</t>
        </is>
      </c>
      <c r="L12182" s="11">
        <f>HYPERLINK("https://careerviet.vn/vi/tim-viec-lam/nhan-vien-ky-thuat-giai-phap-presale.35C6C526.html","Xem chi tiết")</f>
        <v/>
      </c>
      <c r="M12182" s="10" t="n"/>
    </row>
    <row r="12183">
      <c r="B12183" s="7" t="n">
        <v>12181</v>
      </c>
      <c r="C12183" t="inlineStr">
        <is>
          <t>Chuyên viên Phân tích và thiết kế Mô hình dữ liệu - Data Analyst - Khối Dữ liệu (HO26.76)</t>
        </is>
      </c>
      <c r="D12183" t="inlineStr">
        <is>
          <t>Ngân Hàng TMCP Quân Đội</t>
        </is>
      </c>
      <c r="E12183" t="inlineStr">
        <is>
          <t>Lương:Cạnh tranh</t>
        </is>
      </c>
      <c r="F12183" t="inlineStr">
        <is>
          <t>Hà Nội</t>
        </is>
      </c>
      <c r="G12183" t="inlineStr">
        <is>
          <t>12-04-2026</t>
        </is>
      </c>
      <c r="H12183" t="inlineStr">
        <is>
          <t>12/04/2026</t>
        </is>
      </c>
      <c r="I12183" t="inlineStr">
        <is>
          <t>17/03/2026</t>
        </is>
      </c>
      <c r="J12183" t="inlineStr">
        <is>
          <t>Ngân hàng, CNTT - Phần cứng / Mạng, CNTT - Phần mềm</t>
        </is>
      </c>
      <c r="K12183" t="inlineStr">
        <is>
          <t>Trên 2 Năm</t>
        </is>
      </c>
      <c r="L12183" s="8">
        <f>HYPERLINK("https://careerviet.vn/vi/tim-viec-lam/chuyen-vien-phan-tich-va-thiet-ke-mo-hinh-du-lieu-data-analyst-khoi-du-lieu-ho26-76.35C6C518.html","Xem chi tiết")</f>
        <v/>
      </c>
    </row>
    <row r="12184">
      <c r="B12184" s="9" t="n">
        <v>12182</v>
      </c>
      <c r="C12184" s="10" t="inlineStr">
        <is>
          <t>Tư vấn giám sát xây dựng</t>
        </is>
      </c>
      <c r="D12184" s="10" t="inlineStr">
        <is>
          <t>Công Ty CP Tư Vấn Thiết Kế Đầu Tư Xây Dựng Hợp Phát</t>
        </is>
      </c>
      <c r="E12184" s="10" t="inlineStr">
        <is>
          <t>Lương:18 Tr - 20 Tr VND</t>
        </is>
      </c>
      <c r="F12184" s="10" t="inlineStr">
        <is>
          <t>Bà Rịa - Vũng Tàu</t>
        </is>
      </c>
      <c r="G12184" s="10" t="inlineStr">
        <is>
          <t>2</t>
        </is>
      </c>
      <c r="H12184" s="10" t="inlineStr">
        <is>
          <t>19/03/2026</t>
        </is>
      </c>
      <c r="I12184" s="10" t="inlineStr">
        <is>
          <t>17/03/2026</t>
        </is>
      </c>
      <c r="J12184" s="10" t="inlineStr">
        <is>
          <t>Xây dựng</t>
        </is>
      </c>
      <c r="K12184" s="10" t="inlineStr">
        <is>
          <t>3 - 5 Năm</t>
        </is>
      </c>
      <c r="L12184" s="11">
        <f>HYPERLINK("https://careerviet.vn/vi/tim-viec-lam/tu-van-giam-sat-xay-dung.35C635D8.html","Xem chi tiết")</f>
        <v/>
      </c>
      <c r="M12184" s="10" t="n"/>
    </row>
    <row r="12185">
      <c r="B12185" s="7" t="n">
        <v>12183</v>
      </c>
      <c r="C12185" t="inlineStr">
        <is>
          <t>Chuyên Viên Giải Phóng Mặt Bằng</t>
        </is>
      </c>
      <c r="D12185" t="inlineStr">
        <is>
          <t>CÔNG TY CỔ PHẦN ĐẦU TƯ INFINITY GROUP</t>
        </is>
      </c>
      <c r="E12185" t="inlineStr">
        <is>
          <t>Lương:Cạnh tranh</t>
        </is>
      </c>
      <c r="F12185" t="inlineStr">
        <is>
          <t>Hà Nội</t>
        </is>
      </c>
      <c r="G12185" t="inlineStr">
        <is>
          <t>30-04-2026</t>
        </is>
      </c>
      <c r="H12185" t="inlineStr">
        <is>
          <t>30/04/2026</t>
        </is>
      </c>
      <c r="I12185" t="inlineStr">
        <is>
          <t>17/03/2026</t>
        </is>
      </c>
      <c r="J12185" t="inlineStr">
        <is>
          <t>Luật / Pháp lý, Hành chính / Thư ký, Xây dựng</t>
        </is>
      </c>
      <c r="K12185" t="inlineStr">
        <is>
          <t>2 - 14 Năm</t>
        </is>
      </c>
      <c r="L12185" s="8">
        <f>HYPERLINK("https://careerviet.vn/vi/tim-viec-lam/chuyen-vien-giai-phong-mat-bang.35C6C517.html","Xem chi tiết")</f>
        <v/>
      </c>
    </row>
    <row r="12186">
      <c r="B12186" s="9" t="n">
        <v>12184</v>
      </c>
      <c r="C12186" s="10" t="inlineStr">
        <is>
          <t>Nhân Viên Kho</t>
        </is>
      </c>
      <c r="D12186" s="10" t="inlineStr">
        <is>
          <t>CÔNG TY CỔ PHẦN GREMSY</t>
        </is>
      </c>
      <c r="E12186" s="10" t="inlineStr">
        <is>
          <t>Lương:Cạnh tranh</t>
        </is>
      </c>
      <c r="F12186" s="10" t="inlineStr">
        <is>
          <t>Hồ Chí Minh</t>
        </is>
      </c>
      <c r="G12186" s="10" t="inlineStr">
        <is>
          <t>31-03-2026</t>
        </is>
      </c>
      <c r="H12186" s="10" t="inlineStr">
        <is>
          <t>31/03/2026</t>
        </is>
      </c>
      <c r="I12186" s="10" t="inlineStr">
        <is>
          <t>17/03/2026</t>
        </is>
      </c>
      <c r="J12186" s="10" t="inlineStr">
        <is>
          <t>Vận chuyển / Giao nhận / Kho vận</t>
        </is>
      </c>
      <c r="K12186" s="10" t="inlineStr">
        <is>
          <t>1 - 3 Năm</t>
        </is>
      </c>
      <c r="L12186" s="11">
        <f>HYPERLINK("https://careerviet.vn/vi/tim-viec-lam/nhan-vien-kho.35C6C51B.html","Xem chi tiết")</f>
        <v/>
      </c>
      <c r="M12186" s="10" t="n"/>
    </row>
    <row r="12187">
      <c r="B12187" s="7" t="n">
        <v>12185</v>
      </c>
      <c r="C12187" t="inlineStr">
        <is>
          <t>[Hà Nội] CV/CVC/GĐ Quan hệ KHCN Priority</t>
        </is>
      </c>
      <c r="D12187" t="inlineStr">
        <is>
          <t>Ngân hàng TMCP Lộc Phát Việt Nam (LPBank)</t>
        </is>
      </c>
      <c r="E12187" t="inlineStr">
        <is>
          <t>Lương:Cạnh tranh</t>
        </is>
      </c>
      <c r="F12187" t="inlineStr">
        <is>
          <t>Hà Nội</t>
        </is>
      </c>
      <c r="G12187" t="inlineStr">
        <is>
          <t>09-05-2026</t>
        </is>
      </c>
      <c r="H12187" t="inlineStr">
        <is>
          <t>09/05/2026</t>
        </is>
      </c>
      <c r="I12187" t="inlineStr">
        <is>
          <t>17/03/2026</t>
        </is>
      </c>
      <c r="J12187" t="inlineStr">
        <is>
          <t>Bảo hiểm, Bất động sản, Bán hàng / Kinh doanh</t>
        </is>
      </c>
      <c r="K12187" t="inlineStr">
        <is>
          <t>Trên 1 Năm</t>
        </is>
      </c>
      <c r="L12187" s="8">
        <f>HYPERLINK("https://careerviet.vn/vi/tim-viec-lam/ha-noi-cv-cvc-gd-quan-he-khcn-priority.35C6C52A.html","Xem chi tiết")</f>
        <v/>
      </c>
    </row>
    <row r="12188">
      <c r="B12188" s="9" t="n">
        <v>12186</v>
      </c>
      <c r="C12188" s="10" t="inlineStr">
        <is>
          <t>[Thái Nguyên] - Chuyên viên/Chuyên viên chính/Giám đốc QHKH Doanh nghiệp</t>
        </is>
      </c>
      <c r="D12188" s="10" t="inlineStr">
        <is>
          <t>Ngân hàng TMCP Lộc Phát Việt Nam (LPBank)</t>
        </is>
      </c>
      <c r="E12188" s="10" t="inlineStr">
        <is>
          <t>Lương:Cạnh tranh</t>
        </is>
      </c>
      <c r="F12188" s="10" t="inlineStr">
        <is>
          <t>Thái Nguyên</t>
        </is>
      </c>
      <c r="G12188" s="10" t="inlineStr">
        <is>
          <t>24-04-2026</t>
        </is>
      </c>
      <c r="H12188" s="10" t="inlineStr">
        <is>
          <t>24/04/2026</t>
        </is>
      </c>
      <c r="I12188" s="10" t="inlineStr">
        <is>
          <t>17/03/2026</t>
        </is>
      </c>
      <c r="J12188" s="10" t="inlineStr">
        <is>
          <t>Dịch vụ khách hàng, Bất động sản, Bán hàng / Kinh doanh</t>
        </is>
      </c>
      <c r="K12188" s="10" t="inlineStr">
        <is>
          <t>Trên 1 Năm</t>
        </is>
      </c>
      <c r="L12188" s="11">
        <f>HYPERLINK("https://careerviet.vn/vi/tim-viec-lam/thai-nguyen-chuyen-vien-chuyen-vien-chinh-giam-doc-qhkh-doanh-nghiep.35C6C51D.html","Xem chi tiết")</f>
        <v/>
      </c>
      <c r="M12188" s="10" t="n"/>
    </row>
    <row r="12189">
      <c r="B12189" s="7" t="n">
        <v>12187</v>
      </c>
      <c r="C12189" t="inlineStr">
        <is>
          <t>Chuyên viên Cao cấp Kiến trúc Giải pháp Dữ liệu - Data Architect - Khối Dữ liệu (HO26.79)</t>
        </is>
      </c>
      <c r="D12189" t="inlineStr">
        <is>
          <t>Ngân Hàng TMCP Quân Đội</t>
        </is>
      </c>
      <c r="E12189" t="inlineStr">
        <is>
          <t>Lương:Cạnh tranh</t>
        </is>
      </c>
      <c r="F12189" t="inlineStr">
        <is>
          <t>Hà Nội</t>
        </is>
      </c>
      <c r="G12189" t="inlineStr">
        <is>
          <t>12-04-2026</t>
        </is>
      </c>
      <c r="H12189" t="inlineStr">
        <is>
          <t>12/04/2026</t>
        </is>
      </c>
      <c r="I12189" t="inlineStr">
        <is>
          <t>17/03/2026</t>
        </is>
      </c>
      <c r="J12189" t="inlineStr">
        <is>
          <t>Ngân hàng, CNTT - Phần cứng / Mạng, CNTT - Phần mềm</t>
        </is>
      </c>
      <c r="K12189" t="inlineStr">
        <is>
          <t>5 - 7 Năm</t>
        </is>
      </c>
      <c r="L12189" s="8">
        <f>HYPERLINK("https://careerviet.vn/vi/tim-viec-lam/chuyen-vien-cao-cap-kien-truc-giai-phap-du-lieu-data-architect-khoi-du-lieu-ho26-79.35C6C528.html","Xem chi tiết")</f>
        <v/>
      </c>
    </row>
    <row r="12190">
      <c r="B12190" s="9" t="n">
        <v>12188</v>
      </c>
      <c r="C12190" s="10" t="inlineStr">
        <is>
          <t>Kỹ sư kỹ thuật hạ tầng</t>
        </is>
      </c>
      <c r="D12190" s="10" t="inlineStr">
        <is>
          <t>CÔNG TY CỔ PHẦN XÂY DỰNG VÀ CƠ KHÍ DELTA E&amp;C</t>
        </is>
      </c>
      <c r="E12190" s="10" t="inlineStr">
        <is>
          <t>Lương:18 Tr - 35 Tr VND</t>
        </is>
      </c>
      <c r="F12190" s="10" t="inlineStr">
        <is>
          <t>Hà NộiHòa Bình</t>
        </is>
      </c>
      <c r="G12190" s="10" t="inlineStr">
        <is>
          <t>30-04-2026</t>
        </is>
      </c>
      <c r="H12190" s="10" t="inlineStr">
        <is>
          <t>30/04/2026</t>
        </is>
      </c>
      <c r="I12190" s="10" t="inlineStr">
        <is>
          <t>17/03/2026</t>
        </is>
      </c>
      <c r="J12190" s="10" t="inlineStr">
        <is>
          <t>Xây dựng, Trắc địa / Địa Chất, Ngành khác</t>
        </is>
      </c>
      <c r="K12190" s="10" t="inlineStr">
        <is>
          <t>N/A</t>
        </is>
      </c>
      <c r="L12190" s="11">
        <f>HYPERLINK("https://careerviet.vn/vi/tim-viec-lam/ky-su-ky-thuat-ha-tang.35C6C4BF.html","Xem chi tiết")</f>
        <v/>
      </c>
      <c r="M12190" s="10" t="n"/>
    </row>
    <row r="12191">
      <c r="B12191" s="7" t="n">
        <v>12189</v>
      </c>
      <c r="C12191" t="inlineStr">
        <is>
          <t>Kế toán doanh thu&amp;công nợ</t>
        </is>
      </c>
      <c r="D12191" t="inlineStr">
        <is>
          <t>Công Ty Cổ Phần Thép Việt Xô Hà Nội</t>
        </is>
      </c>
      <c r="E12191" t="inlineStr">
        <is>
          <t>Lương:13 Tr - 15 Tr VND</t>
        </is>
      </c>
      <c r="F12191" t="inlineStr">
        <is>
          <t>Hà Nội</t>
        </is>
      </c>
      <c r="G12191" t="inlineStr">
        <is>
          <t>15-04-2026</t>
        </is>
      </c>
      <c r="H12191" t="inlineStr">
        <is>
          <t>15/04/2026</t>
        </is>
      </c>
      <c r="I12191" t="inlineStr">
        <is>
          <t>17/03/2026</t>
        </is>
      </c>
      <c r="J12191" t="inlineStr">
        <is>
          <t>Kế toán / Kiểm toán</t>
        </is>
      </c>
      <c r="K12191" t="inlineStr">
        <is>
          <t>2 - 3 Năm</t>
        </is>
      </c>
      <c r="L12191" s="8">
        <f>HYPERLINK("https://careerviet.vn/vi/tim-viec-lam/ke-toan-doanh-thu-cong-no.35C6C508.html","Xem chi tiết")</f>
        <v/>
      </c>
    </row>
    <row r="12192">
      <c r="B12192" s="9" t="n">
        <v>12190</v>
      </c>
      <c r="C12192" s="10" t="inlineStr">
        <is>
          <t>Nhân viên Kế toán (Kế toán thanh toán):</t>
        </is>
      </c>
      <c r="D12192" s="10" t="inlineStr">
        <is>
          <t>CÔNG TY TNHH MHI ENGINE SYSTEM VIỆT NAM</t>
        </is>
      </c>
      <c r="E12192" s="10" t="inlineStr">
        <is>
          <t>Lương:14 Tr - 16 Tr VND</t>
        </is>
      </c>
      <c r="F12192" s="10" t="inlineStr">
        <is>
          <t>Bình Dương</t>
        </is>
      </c>
      <c r="G12192" s="10" t="inlineStr">
        <is>
          <t>12-04-2026</t>
        </is>
      </c>
      <c r="H12192" s="10" t="inlineStr">
        <is>
          <t>12/04/2026</t>
        </is>
      </c>
      <c r="I12192" s="10" t="inlineStr">
        <is>
          <t>17/03/2026</t>
        </is>
      </c>
      <c r="J12192" s="10" t="inlineStr">
        <is>
          <t>Kế toán / Kiểm toán</t>
        </is>
      </c>
      <c r="K12192" s="10" t="inlineStr">
        <is>
          <t>2 - 3 Năm</t>
        </is>
      </c>
      <c r="L12192" s="11">
        <f>HYPERLINK("https://careerviet.vn/vi/tim-viec-lam/nhan-vien-ke-toan-ke-toan-thanh-toan.35C6C2CE.html","Xem chi tiết")</f>
        <v/>
      </c>
      <c r="M12192" s="10" t="n"/>
    </row>
    <row r="12193">
      <c r="B12193" s="7" t="n">
        <v>12191</v>
      </c>
      <c r="C12193" t="inlineStr">
        <is>
          <t>Chuyên viên Mua sắm</t>
        </is>
      </c>
      <c r="D12193" t="inlineStr">
        <is>
          <t>CÔNG TY CỔ PHẦN KINH DOANH F88</t>
        </is>
      </c>
      <c r="E12193" t="inlineStr">
        <is>
          <t>Lương:Cạnh tranh</t>
        </is>
      </c>
      <c r="F12193" t="inlineStr">
        <is>
          <t>Hồ Chí Minh</t>
        </is>
      </c>
      <c r="G12193" t="inlineStr">
        <is>
          <t>30-04-2026</t>
        </is>
      </c>
      <c r="H12193" t="inlineStr">
        <is>
          <t>30/04/2026</t>
        </is>
      </c>
      <c r="I12193" t="inlineStr">
        <is>
          <t>17/03/2026</t>
        </is>
      </c>
      <c r="J12193" t="inlineStr">
        <is>
          <t>Tài chính / Đầu tư, Thu mua / Vật tư</t>
        </is>
      </c>
      <c r="K12193" t="inlineStr">
        <is>
          <t>3 - 4 Năm</t>
        </is>
      </c>
      <c r="L12193" s="8">
        <f>HYPERLINK("https://careerviet.vn/vi/tim-viec-lam/chuyen-vien-mua-sam.35C6C50F.html","Xem chi tiết")</f>
        <v/>
      </c>
    </row>
    <row r="12194">
      <c r="B12194" s="9" t="n">
        <v>12192</v>
      </c>
      <c r="C12194" s="10" t="inlineStr">
        <is>
          <t>Trưởng nhóm Thanh quyết toán</t>
        </is>
      </c>
      <c r="D12194" s="10" t="inlineStr">
        <is>
          <t>CÔNG TY CỔ PHẦN ĐẦU TƯ INFINITY GROUP</t>
        </is>
      </c>
      <c r="E12194" s="10" t="inlineStr">
        <is>
          <t>Lương:30 Tr - 35 Tr VND</t>
        </is>
      </c>
      <c r="F12194" s="10" t="inlineStr">
        <is>
          <t>Hà Nội</t>
        </is>
      </c>
      <c r="G12194" s="10" t="inlineStr">
        <is>
          <t>30-04-2026</t>
        </is>
      </c>
      <c r="H12194" s="10" t="inlineStr">
        <is>
          <t>30/04/2026</t>
        </is>
      </c>
      <c r="I12194" s="10" t="inlineStr">
        <is>
          <t>17/03/2026</t>
        </is>
      </c>
      <c r="J12194" s="10" t="inlineStr">
        <is>
          <t>Xây dựng, Bất động sản</t>
        </is>
      </c>
      <c r="K12194" s="10" t="inlineStr">
        <is>
          <t>5 - 7 Năm</t>
        </is>
      </c>
      <c r="L12194" s="11">
        <f>HYPERLINK("https://careerviet.vn/vi/tim-viec-lam/truong-nhom-thanh-quyet-toan.35C6C511.html","Xem chi tiết")</f>
        <v/>
      </c>
      <c r="M12194" s="10" t="n"/>
    </row>
    <row r="12195">
      <c r="B12195" s="7" t="n">
        <v>12193</v>
      </c>
      <c r="C12195" t="inlineStr">
        <is>
          <t>Giám đốc Kênh Đối tác/ Head of Partnership</t>
        </is>
      </c>
      <c r="D12195" t="inlineStr">
        <is>
          <t>LOTTE FINANCE VIETNAM</t>
        </is>
      </c>
      <c r="E12195" t="inlineStr">
        <is>
          <t>Lương:Cạnh tranh</t>
        </is>
      </c>
      <c r="F12195" t="inlineStr">
        <is>
          <t>Hà NộiHồ Chí Minh</t>
        </is>
      </c>
      <c r="G12195" t="inlineStr">
        <is>
          <t>29-04-2026</t>
        </is>
      </c>
      <c r="H12195" t="inlineStr">
        <is>
          <t>29/04/2026</t>
        </is>
      </c>
      <c r="I12195" t="inlineStr">
        <is>
          <t>17/03/2026</t>
        </is>
      </c>
      <c r="J12195" t="inlineStr">
        <is>
          <t>Ngân hàng, Tài chính / Đầu tư</t>
        </is>
      </c>
      <c r="K12195" t="inlineStr">
        <is>
          <t>Trên 8 Năm</t>
        </is>
      </c>
      <c r="L12195" s="8">
        <f>HYPERLINK("https://careerviet.vn/vi/tim-viec-lam/giam-doc-kenh-doi-tac-head-of-partnership.35C6C50B.html","Xem chi tiết")</f>
        <v/>
      </c>
    </row>
    <row r="12196">
      <c r="B12196" s="9" t="n">
        <v>12194</v>
      </c>
      <c r="C12196" s="10" t="inlineStr">
        <is>
          <t>KIẾN TRÚC SƯ HÀ NỘI</t>
        </is>
      </c>
      <c r="D12196" s="10" t="inlineStr">
        <is>
          <t>Hoàng Huy Group</t>
        </is>
      </c>
      <c r="E12196" s="10" t="inlineStr">
        <is>
          <t>Lương:23 Tr - 26 Tr VND</t>
        </is>
      </c>
      <c r="F12196" s="10" t="inlineStr">
        <is>
          <t>Hà Nội</t>
        </is>
      </c>
      <c r="G12196" s="10" t="inlineStr">
        <is>
          <t>31-03-2026</t>
        </is>
      </c>
      <c r="H12196" s="10" t="inlineStr">
        <is>
          <t>31/03/2026</t>
        </is>
      </c>
      <c r="I12196" s="10" t="inlineStr">
        <is>
          <t>17/03/2026</t>
        </is>
      </c>
      <c r="J12196" s="10" t="inlineStr">
        <is>
          <t>Kiến trúc, Xây dựng, Bất động sản</t>
        </is>
      </c>
      <c r="K12196" s="10" t="inlineStr">
        <is>
          <t>3 - 5 Năm</t>
        </is>
      </c>
      <c r="L12196" s="11">
        <f>HYPERLINK("https://careerviet.vn/vi/tim-viec-lam/kien-truc-su-ha-noi.35C6C502.html","Xem chi tiết")</f>
        <v/>
      </c>
      <c r="M12196" s="10" t="n"/>
    </row>
    <row r="12197">
      <c r="B12197" s="7" t="n">
        <v>12195</v>
      </c>
      <c r="C12197" t="inlineStr">
        <is>
          <t>NHÂN VIÊN KHO QUẬN 12 ( 7-9 TRIỆU)</t>
        </is>
      </c>
      <c r="D12197" t="inlineStr">
        <is>
          <t>CÔNG TY CỔ PHẦN TẬP ĐOÀN DEKKO</t>
        </is>
      </c>
      <c r="E12197" t="inlineStr">
        <is>
          <t>Lương:7 Tr - 9 Tr VND</t>
        </is>
      </c>
      <c r="F12197" t="inlineStr">
        <is>
          <t>Hồ Chí Minh</t>
        </is>
      </c>
      <c r="G12197" t="inlineStr">
        <is>
          <t>31-03-2026</t>
        </is>
      </c>
      <c r="H12197" t="inlineStr">
        <is>
          <t>31/03/2026</t>
        </is>
      </c>
      <c r="I12197" t="inlineStr">
        <is>
          <t>17/03/2026</t>
        </is>
      </c>
      <c r="J12197" t="inlineStr">
        <is>
          <t>Vận chuyển / Giao nhận / Kho vận</t>
        </is>
      </c>
      <c r="K12197" t="inlineStr">
        <is>
          <t>1 - 2 Năm</t>
        </is>
      </c>
      <c r="L12197" s="8">
        <f>HYPERLINK("https://careerviet.vn/vi/tim-viec-lam/nhan-vien-kho-quan-12-7-9-trieu.35C6C501.html","Xem chi tiết")</f>
        <v/>
      </c>
    </row>
    <row r="12198">
      <c r="B12198" s="9" t="n">
        <v>12196</v>
      </c>
      <c r="C12198" s="10" t="inlineStr">
        <is>
          <t>Giám đốc Ban quản lý dự án</t>
        </is>
      </c>
      <c r="D12198" s="10" t="inlineStr">
        <is>
          <t>CÔNG TY CỔ PHẦN ĐẦU TƯ INFINITY GROUP</t>
        </is>
      </c>
      <c r="E12198" s="10" t="inlineStr">
        <is>
          <t>Lương:Cạnh tranh</t>
        </is>
      </c>
      <c r="F12198" s="10" t="inlineStr">
        <is>
          <t>Hòa Bình</t>
        </is>
      </c>
      <c r="G12198" s="10" t="inlineStr">
        <is>
          <t>15-04-2026</t>
        </is>
      </c>
      <c r="H12198" s="10" t="inlineStr">
        <is>
          <t>15/04/2026</t>
        </is>
      </c>
      <c r="I12198" s="10" t="inlineStr">
        <is>
          <t>17/03/2026</t>
        </is>
      </c>
      <c r="J12198" s="10" t="inlineStr">
        <is>
          <t>Xây dựng, Bất động sản</t>
        </is>
      </c>
      <c r="K12198" s="10" t="inlineStr">
        <is>
          <t>10 - 29 Năm</t>
        </is>
      </c>
      <c r="L12198" s="11">
        <f>HYPERLINK("https://careerviet.vn/vi/tim-viec-lam/giam-doc-ban-quan-ly-du-an.35C6C50C.html","Xem chi tiết")</f>
        <v/>
      </c>
      <c r="M12198" s="10" t="n"/>
    </row>
    <row r="12199">
      <c r="B12199" s="7" t="n">
        <v>12197</v>
      </c>
      <c r="C12199" t="inlineStr">
        <is>
          <t>Sales Executive</t>
        </is>
      </c>
      <c r="D12199" t="inlineStr">
        <is>
          <t>HR Vietnam’s ESS Client</t>
        </is>
      </c>
      <c r="E12199" t="inlineStr">
        <is>
          <t>Lương:Cạnh tranh</t>
        </is>
      </c>
      <c r="F12199" t="inlineStr">
        <is>
          <t>Hồ Chí Minh</t>
        </is>
      </c>
      <c r="G12199" t="inlineStr">
        <is>
          <t>15-04-2026</t>
        </is>
      </c>
      <c r="H12199" t="inlineStr">
        <is>
          <t>15/04/2026</t>
        </is>
      </c>
      <c r="I12199" t="inlineStr">
        <is>
          <t>17/03/2026</t>
        </is>
      </c>
      <c r="J12199" t="inlineStr">
        <is>
          <t>Bán hàng / Kinh doanh</t>
        </is>
      </c>
      <c r="K12199" t="inlineStr">
        <is>
          <t>2 - 5 Năm</t>
        </is>
      </c>
      <c r="L12199" s="8">
        <f>HYPERLINK("https://careerviet.vn/vi/tim-viec-lam/sales-executive.35C6C507.html","Xem chi tiết")</f>
        <v/>
      </c>
    </row>
    <row r="12200">
      <c r="B12200" s="9" t="n">
        <v>12198</v>
      </c>
      <c r="C12200" s="10" t="inlineStr">
        <is>
          <t>Travel Consultant - MICE/ FIT/ GROUP of India Market</t>
        </is>
      </c>
      <c r="D12200" s="10" t="inlineStr">
        <is>
          <t>ASIAN TRAILS - CÔNG TY TNHH DU LỊCH ĐƯỜNG MÒN CHÂU Á</t>
        </is>
      </c>
      <c r="E12200" s="10" t="inlineStr">
        <is>
          <t>Lương:Cạnh tranh</t>
        </is>
      </c>
      <c r="F12200" s="10" t="inlineStr">
        <is>
          <t>Hồ Chí Minh</t>
        </is>
      </c>
      <c r="G12200" s="10" t="inlineStr">
        <is>
          <t>30-04-2026</t>
        </is>
      </c>
      <c r="H12200" s="10" t="inlineStr">
        <is>
          <t>30/04/2026</t>
        </is>
      </c>
      <c r="I12200" s="10" t="inlineStr">
        <is>
          <t>17/03/2026</t>
        </is>
      </c>
      <c r="J12200" s="10" t="inlineStr">
        <is>
          <t>Dịch vụ khách hàng, Biên phiên dịch, Du lịch</t>
        </is>
      </c>
      <c r="K12200" s="10" t="inlineStr">
        <is>
          <t>Trên 1 Năm</t>
        </is>
      </c>
      <c r="L12200" s="11">
        <f>HYPERLINK("https://careerviet.vn/vi/tim-viec-lam/travel-consultant-mice-fit-group-of-india-market.35C6C326.html","Xem chi tiết")</f>
        <v/>
      </c>
      <c r="M12200" s="10" t="n"/>
    </row>
    <row r="12201">
      <c r="B12201" s="7" t="n">
        <v>12199</v>
      </c>
      <c r="C12201" t="inlineStr">
        <is>
          <t>KỸ SƯ MEP</t>
        </is>
      </c>
      <c r="D12201" t="inlineStr">
        <is>
          <t>Công Ty Cổ Phần Tập đoàn Xây dựng Thành Đô</t>
        </is>
      </c>
      <c r="E12201" t="inlineStr">
        <is>
          <t>Lương:15 Tr - 20 Tr VND</t>
        </is>
      </c>
      <c r="F12201" t="inlineStr">
        <is>
          <t>Hồ Chí MinhVĩnh Long</t>
        </is>
      </c>
      <c r="G12201" t="inlineStr">
        <is>
          <t>11-04-2026</t>
        </is>
      </c>
      <c r="H12201" t="inlineStr">
        <is>
          <t>11/04/2026</t>
        </is>
      </c>
      <c r="I12201" t="inlineStr">
        <is>
          <t>17/03/2026</t>
        </is>
      </c>
      <c r="J12201" t="inlineStr">
        <is>
          <t>Xây dựng, Quản lý chất lượng (QA/QC), Điện / Điện tử / Điện lạnh / Điện công nghiệp</t>
        </is>
      </c>
      <c r="K12201" t="inlineStr">
        <is>
          <t>Trên 4 Năm</t>
        </is>
      </c>
      <c r="L12201" s="8">
        <f>HYPERLINK("https://careerviet.vn/vi/tim-viec-lam/ky-su-mep.35C6B2EF.html","Xem chi tiết")</f>
        <v/>
      </c>
    </row>
    <row r="12202">
      <c r="B12202" s="9" t="n">
        <v>12200</v>
      </c>
      <c r="C12202" s="10" t="inlineStr">
        <is>
          <t>Trợ lý Tổng giám đốc (Tiếng Trung)</t>
        </is>
      </c>
      <c r="D12202" s="10" t="inlineStr">
        <is>
          <t>Xuân Cầu Holdings</t>
        </is>
      </c>
      <c r="E12202" s="10" t="inlineStr">
        <is>
          <t>Lương:35 Tr - 50 Tr VND</t>
        </is>
      </c>
      <c r="F12202" s="10" t="inlineStr">
        <is>
          <t>Hà Nội</t>
        </is>
      </c>
      <c r="G12202" s="10" t="inlineStr">
        <is>
          <t>11-04-2026</t>
        </is>
      </c>
      <c r="H12202" s="10" t="inlineStr">
        <is>
          <t>11/04/2026</t>
        </is>
      </c>
      <c r="I12202" s="10" t="inlineStr">
        <is>
          <t>17/03/2026</t>
        </is>
      </c>
      <c r="J12202" s="10" t="inlineStr">
        <is>
          <t>Hành chính / Thư ký</t>
        </is>
      </c>
      <c r="K12202" s="10" t="inlineStr">
        <is>
          <t>3 - 5 Năm</t>
        </is>
      </c>
      <c r="L12202" s="11">
        <f>HYPERLINK("https://careerviet.vn/vi/tim-viec-lam/tro-ly-tong-giam-doc-tieng-trung.35C6C506.html","Xem chi tiết")</f>
        <v/>
      </c>
      <c r="M12202" s="10" t="n"/>
    </row>
    <row r="12203">
      <c r="B12203" s="7" t="n">
        <v>12201</v>
      </c>
      <c r="C12203" t="inlineStr">
        <is>
          <t>KỸ SƯ ĐIỆN HÀ NỘI</t>
        </is>
      </c>
      <c r="D12203" t="inlineStr">
        <is>
          <t>Hoàng Huy Group</t>
        </is>
      </c>
      <c r="E12203" t="inlineStr">
        <is>
          <t>Lương:23 Tr - 26 Tr VND</t>
        </is>
      </c>
      <c r="F12203" t="inlineStr">
        <is>
          <t>Hà Nội</t>
        </is>
      </c>
      <c r="G12203" t="inlineStr">
        <is>
          <t>31-03-2026</t>
        </is>
      </c>
      <c r="H12203" t="inlineStr">
        <is>
          <t>31/03/2026</t>
        </is>
      </c>
      <c r="I12203" t="inlineStr">
        <is>
          <t>17/03/2026</t>
        </is>
      </c>
      <c r="J12203" t="inlineStr">
        <is>
          <t>Bất động sản, Xây dựng</t>
        </is>
      </c>
      <c r="K12203" t="inlineStr">
        <is>
          <t>1 - 2 Năm</t>
        </is>
      </c>
      <c r="L12203" s="8">
        <f>HYPERLINK("https://careerviet.vn/vi/tim-viec-lam/ky-su-dien-ha-noi.35C6C4FB.html","Xem chi tiết")</f>
        <v/>
      </c>
    </row>
    <row r="12204">
      <c r="B12204" s="9" t="n">
        <v>12202</v>
      </c>
      <c r="C12204" s="10" t="inlineStr">
        <is>
          <t>Trợ lý Tiếng Trung</t>
        </is>
      </c>
      <c r="D12204" s="10" t="inlineStr">
        <is>
          <t>CÔNG TY TNHH COTG FOOD TECH VIỆT NAM</t>
        </is>
      </c>
      <c r="E12204" s="10" t="inlineStr">
        <is>
          <t>Lương:12 Tr - 20 Tr VND</t>
        </is>
      </c>
      <c r="F12204" s="10" t="inlineStr">
        <is>
          <t>Hồ Chí Minh</t>
        </is>
      </c>
      <c r="G12204" s="10" t="inlineStr">
        <is>
          <t>05-04-2026</t>
        </is>
      </c>
      <c r="H12204" s="10" t="inlineStr">
        <is>
          <t>05/04/2026</t>
        </is>
      </c>
      <c r="I12204" s="10" t="inlineStr">
        <is>
          <t>17/03/2026</t>
        </is>
      </c>
      <c r="J12204" s="10" t="inlineStr">
        <is>
          <t>Biên phiên dịch, Bán hàng / Kinh doanh, Thực phẩm &amp; Đồ uống</t>
        </is>
      </c>
      <c r="K12204" s="10" t="inlineStr">
        <is>
          <t>2 - 3 Năm</t>
        </is>
      </c>
      <c r="L12204" s="11">
        <f>HYPERLINK("https://careerviet.vn/vi/tim-viec-lam/tro-ly-tieng-trung.35C6B48C.html","Xem chi tiết")</f>
        <v/>
      </c>
      <c r="M12204" s="10" t="n"/>
    </row>
    <row r="12205">
      <c r="B12205" s="7" t="n">
        <v>12203</v>
      </c>
      <c r="C12205" t="inlineStr">
        <is>
          <t>NHÂN VIÊN PHÁP CHẾ (HÀ NỘI)</t>
        </is>
      </c>
      <c r="D12205" t="inlineStr">
        <is>
          <t>Công Ty Cổ Phần Tập Đoàn Đèo Cả</t>
        </is>
      </c>
      <c r="E12205" t="inlineStr">
        <is>
          <t>Lương:Cạnh tranh</t>
        </is>
      </c>
      <c r="F12205" t="inlineStr">
        <is>
          <t>Hà Nội</t>
        </is>
      </c>
      <c r="G12205" t="inlineStr">
        <is>
          <t>30-04-2026</t>
        </is>
      </c>
      <c r="H12205" t="inlineStr">
        <is>
          <t>30/04/2026</t>
        </is>
      </c>
      <c r="I12205" t="inlineStr">
        <is>
          <t>17/03/2026</t>
        </is>
      </c>
      <c r="J12205" t="inlineStr">
        <is>
          <t>Luật / Pháp lý</t>
        </is>
      </c>
      <c r="K12205" t="inlineStr">
        <is>
          <t>Trên 2 Năm</t>
        </is>
      </c>
      <c r="L12205" s="8">
        <f>HYPERLINK("https://careerviet.vn/vi/tim-viec-lam/nhan-vien-phap-che-ha-noi.35C6B2D5.html","Xem chi tiết")</f>
        <v/>
      </c>
    </row>
    <row r="12206">
      <c r="B12206" s="9" t="n">
        <v>12204</v>
      </c>
      <c r="C12206" s="10" t="inlineStr">
        <is>
          <t>Nhân viên Sales Admin - KCN Vsip, Nghệ An</t>
        </is>
      </c>
      <c r="D12206" s="10" t="inlineStr">
        <is>
          <t>CareerViet's client</t>
        </is>
      </c>
      <c r="E12206" s="10" t="inlineStr">
        <is>
          <t>Lương:Cạnh tranh</t>
        </is>
      </c>
      <c r="F12206" s="10" t="inlineStr">
        <is>
          <t>Nghệ An</t>
        </is>
      </c>
      <c r="G12206" s="10" t="inlineStr">
        <is>
          <t>06-04-2026</t>
        </is>
      </c>
      <c r="H12206" s="10" t="inlineStr">
        <is>
          <t>06/04/2026</t>
        </is>
      </c>
      <c r="I12206" s="10" t="inlineStr">
        <is>
          <t>17/03/2026</t>
        </is>
      </c>
      <c r="J12206" s="10" t="inlineStr">
        <is>
          <t>Bán hàng / Kinh doanh, Hành chính / Thư ký, Bán lẻ / Bán sỉ</t>
        </is>
      </c>
      <c r="K12206" s="10" t="inlineStr">
        <is>
          <t>1 - 5 Năm</t>
        </is>
      </c>
      <c r="L12206" s="11">
        <f>HYPERLINK("https://careerviet.vn/vi/tim-viec-lam/nhan-vien-sales-admin-kcn-vsip-nghe-an.35C6B3A2.html","Xem chi tiết")</f>
        <v/>
      </c>
      <c r="M12206" s="10" t="n"/>
    </row>
    <row r="12207">
      <c r="B12207" s="7" t="n">
        <v>12205</v>
      </c>
      <c r="C12207" t="inlineStr">
        <is>
          <t>Nhân viên lái xe (Đưa đón Tổng Giám đốc)</t>
        </is>
      </c>
      <c r="D12207" t="inlineStr">
        <is>
          <t>Công ty Cổ phần Mediamart Việt Nam</t>
        </is>
      </c>
      <c r="E12207" t="inlineStr">
        <is>
          <t>Lương:15 Tr - 18 Tr VND</t>
        </is>
      </c>
      <c r="F12207" t="inlineStr">
        <is>
          <t>Hà Nội</t>
        </is>
      </c>
      <c r="G12207" t="inlineStr">
        <is>
          <t>06-04-2026</t>
        </is>
      </c>
      <c r="H12207" t="inlineStr">
        <is>
          <t>06/04/2026</t>
        </is>
      </c>
      <c r="I12207" t="inlineStr">
        <is>
          <t>17/03/2026</t>
        </is>
      </c>
      <c r="J12207" t="inlineStr">
        <is>
          <t>An Ninh / Bảo Vệ, Bán hàng / Kinh doanh, Vận chuyển / Giao nhận / Kho vận</t>
        </is>
      </c>
      <c r="K12207" t="inlineStr">
        <is>
          <t>2 - 5 Năm</t>
        </is>
      </c>
      <c r="L12207" s="8">
        <f>HYPERLINK("https://careerviet.vn/vi/tim-viec-lam/nhan-vien-lai-xe-dua-don-tong-giam-doc.35C6B2AE.html","Xem chi tiết")</f>
        <v/>
      </c>
    </row>
    <row r="12208">
      <c r="B12208" s="9" t="n">
        <v>12206</v>
      </c>
      <c r="C12208" s="10" t="inlineStr">
        <is>
          <t>Nhân Viên Kéo Lắp Thiết Bị Gia Dụng</t>
        </is>
      </c>
      <c r="D12208" s="10" t="inlineStr">
        <is>
          <t>Công Ty Cổ Phần Quốc Tế Sơn Hà</t>
        </is>
      </c>
      <c r="E12208" s="10" t="inlineStr">
        <is>
          <t>Lương:12 Tr - 25 Tr VND</t>
        </is>
      </c>
      <c r="F12208" s="10" t="inlineStr">
        <is>
          <t>Hà Nội</t>
        </is>
      </c>
      <c r="G12208" s="10" t="inlineStr">
        <is>
          <t>05-04-2026</t>
        </is>
      </c>
      <c r="H12208" s="10" t="inlineStr">
        <is>
          <t>05/04/2026</t>
        </is>
      </c>
      <c r="I12208" s="10" t="inlineStr">
        <is>
          <t>17/03/2026</t>
        </is>
      </c>
      <c r="J12208" s="10" t="inlineStr">
        <is>
          <t>Vận chuyển / Giao nhận / Kho vận, Điện / Điện tử / Điện lạnh / Điện công nghiệp, Bảo trì / Sửa chữa</t>
        </is>
      </c>
      <c r="K12208" s="10" t="inlineStr">
        <is>
          <t>1 - 2 Năm</t>
        </is>
      </c>
      <c r="L12208" s="11">
        <f>HYPERLINK("https://careerviet.vn/vi/tim-viec-lam/nhan-vien-keo-lap-thiet-bi-gia-dung.35C6B579.html","Xem chi tiết")</f>
        <v/>
      </c>
      <c r="M12208" s="10" t="n"/>
    </row>
    <row r="12209">
      <c r="B12209" s="7" t="n">
        <v>12207</v>
      </c>
      <c r="C12209" t="inlineStr">
        <is>
          <t>Sales Manager</t>
        </is>
      </c>
      <c r="D12209" t="inlineStr">
        <is>
          <t>Công Ty Cổ Phần Uniben</t>
        </is>
      </c>
      <c r="E12209" t="inlineStr">
        <is>
          <t>Lương:Cạnh tranh</t>
        </is>
      </c>
      <c r="F12209" t="inlineStr">
        <is>
          <t>KV Tây NguyênĐồng Bằng Sông HồngĐồng Bằng Sông Cửu Long</t>
        </is>
      </c>
      <c r="G12209" t="inlineStr">
        <is>
          <t>30-04-2026</t>
        </is>
      </c>
      <c r="H12209" t="inlineStr">
        <is>
          <t>30/04/2026</t>
        </is>
      </c>
      <c r="I12209" t="inlineStr">
        <is>
          <t>17/03/2026</t>
        </is>
      </c>
      <c r="J12209" t="inlineStr">
        <is>
          <t>Bán hàng / Kinh doanh</t>
        </is>
      </c>
      <c r="K12209" t="inlineStr">
        <is>
          <t>2 - 7 Năm</t>
        </is>
      </c>
      <c r="L12209" s="8">
        <f>HYPERLINK("https://careerviet.vn/vi/tim-viec-lam/sales-manager.35C6B2A3.html","Xem chi tiết")</f>
        <v/>
      </c>
    </row>
    <row r="12210">
      <c r="B12210" s="9" t="n">
        <v>12208</v>
      </c>
      <c r="C12210" s="10" t="inlineStr">
        <is>
          <t>TUYỂN DỤNG TỔ TRƯỞNG SẢN XUẤT (NGÀNH DƯỢC)</t>
        </is>
      </c>
      <c r="D12210" s="10" t="inlineStr">
        <is>
          <t>CÔNG TY CỔ PHẦN DƯỢC PHẨM TIPHARCO</t>
        </is>
      </c>
      <c r="E12210" s="10" t="inlineStr">
        <is>
          <t>Lương:Cạnh tranh</t>
        </is>
      </c>
      <c r="F12210" s="10" t="inlineStr">
        <is>
          <t>Tiền Giang</t>
        </is>
      </c>
      <c r="G12210" s="10" t="inlineStr">
        <is>
          <t>05-04-2026</t>
        </is>
      </c>
      <c r="H12210" s="10" t="inlineStr">
        <is>
          <t>05/04/2026</t>
        </is>
      </c>
      <c r="I12210" s="10" t="inlineStr">
        <is>
          <t>17/03/2026</t>
        </is>
      </c>
      <c r="J12210" s="10" t="inlineStr">
        <is>
          <t>Dược phẩm/ Hóa Mỹ Phẩm, Sản xuất / Vận hành sản xuất, Y tế / Chăm sóc sức khỏe / Thẩm mỹ / Làm đẹp</t>
        </is>
      </c>
      <c r="K12210" s="10" t="inlineStr">
        <is>
          <t>N/A</t>
        </is>
      </c>
      <c r="L12210" s="11">
        <f>HYPERLINK("https://careerviet.vn/vi/tim-viec-lam/tuyen-dung-to-truong-san-xuat-nganh-duoc.35C6B47C.html","Xem chi tiết")</f>
        <v/>
      </c>
      <c r="M12210" s="10" t="n"/>
    </row>
    <row r="12211">
      <c r="B12211" s="7" t="n">
        <v>12209</v>
      </c>
      <c r="C12211" t="inlineStr">
        <is>
          <t>Trưởng phòng Marketing</t>
        </is>
      </c>
      <c r="D12211" t="inlineStr">
        <is>
          <t>CÔNG TY CỔ PHẦN ĐẦU TƯ XÂY DỰNG ENTIZ</t>
        </is>
      </c>
      <c r="E12211" t="inlineStr">
        <is>
          <t>Lương:Cạnh tranh</t>
        </is>
      </c>
      <c r="F12211" t="inlineStr">
        <is>
          <t>Nghệ An</t>
        </is>
      </c>
      <c r="G12211" t="inlineStr">
        <is>
          <t>04-04-2026</t>
        </is>
      </c>
      <c r="H12211" t="inlineStr">
        <is>
          <t>04/04/2026</t>
        </is>
      </c>
      <c r="I12211" t="inlineStr">
        <is>
          <t>17/03/2026</t>
        </is>
      </c>
      <c r="J12211" t="inlineStr">
        <is>
          <t>Bất động sản, Xây dựng, Bán hàng / Kinh doanh</t>
        </is>
      </c>
      <c r="K12211" t="inlineStr">
        <is>
          <t>3 - 5 Năm</t>
        </is>
      </c>
      <c r="L12211" s="8">
        <f>HYPERLINK("https://careerviet.vn/vi/tim-viec-lam/truong-phong-marketing.35C6B18F.html","Xem chi tiết")</f>
        <v/>
      </c>
    </row>
    <row r="12212">
      <c r="B12212" s="9" t="n">
        <v>12210</v>
      </c>
      <c r="C12212" s="10" t="inlineStr">
        <is>
          <t>NHÂN VIÊN LỄ TÂN (CÔNG TY THÀNH VIÊN CỦA SABECO)</t>
        </is>
      </c>
      <c r="D12212" s="10" t="inlineStr">
        <is>
          <t>SABECO - Saigon Beer-Alcohol-Beverage Corporation</t>
        </is>
      </c>
      <c r="E12212" s="10" t="inlineStr">
        <is>
          <t>Lương:Cạnh tranh</t>
        </is>
      </c>
      <c r="F12212" s="10" t="inlineStr">
        <is>
          <t>Hà Nam</t>
        </is>
      </c>
      <c r="G12212" s="10" t="inlineStr">
        <is>
          <t>06-04-2026</t>
        </is>
      </c>
      <c r="H12212" s="10" t="inlineStr">
        <is>
          <t>06/04/2026</t>
        </is>
      </c>
      <c r="I12212" s="10" t="inlineStr">
        <is>
          <t>17/03/2026</t>
        </is>
      </c>
      <c r="J12212" s="10" t="inlineStr">
        <is>
          <t>Nhà hàng / Khách sạn</t>
        </is>
      </c>
      <c r="K12212" s="10" t="inlineStr">
        <is>
          <t>Trên 3 Năm</t>
        </is>
      </c>
      <c r="L12212" s="11">
        <f>HYPERLINK("https://careerviet.vn/vi/tim-viec-lam/nhan-vien-le-tan-cong-ty-thanh-vien-cua-sabeco.35C6B532.html","Xem chi tiết")</f>
        <v/>
      </c>
      <c r="M12212" s="10" t="n"/>
    </row>
    <row r="12213">
      <c r="B12213" s="7" t="n">
        <v>12211</v>
      </c>
      <c r="C12213" t="inlineStr">
        <is>
          <t>[CẦN THƠ] BẾP TRƯỞNG / BẾP PHÓ</t>
        </is>
      </c>
      <c r="D12213" t="inlineStr">
        <is>
          <t>Công Ty Cổ Phần Tầm Nhìn Quốc Tế Aladdin</t>
        </is>
      </c>
      <c r="E12213" t="inlineStr">
        <is>
          <t>Lương:12 Tr - 20 Tr VND</t>
        </is>
      </c>
      <c r="F12213" t="inlineStr">
        <is>
          <t>Cần Thơ</t>
        </is>
      </c>
      <c r="G12213" t="inlineStr">
        <is>
          <t>06-04-2026</t>
        </is>
      </c>
      <c r="H12213" t="inlineStr">
        <is>
          <t>06/04/2026</t>
        </is>
      </c>
      <c r="I12213" t="inlineStr">
        <is>
          <t>17/03/2026</t>
        </is>
      </c>
      <c r="J12213" t="inlineStr">
        <is>
          <t>Thực phẩm &amp; Đồ uống, Nhà hàng / Khách sạn, Quản lý điều hành</t>
        </is>
      </c>
      <c r="K12213" t="inlineStr">
        <is>
          <t>Trên 2 Năm</t>
        </is>
      </c>
      <c r="L12213" s="8">
        <f>HYPERLINK("https://careerviet.vn/vi/tim-viec-lam/can-tho-bep-truong-bep-pho.35C6B3C4.html","Xem chi tiết")</f>
        <v/>
      </c>
    </row>
    <row r="12214">
      <c r="B12214" s="9" t="n">
        <v>12212</v>
      </c>
      <c r="C12214" s="10" t="inlineStr">
        <is>
          <t>Giám Đốc Phát Triển Dự Án Khu vực Hà Nội - ALPHANAM GROUP</t>
        </is>
      </c>
      <c r="D12214" s="10" t="inlineStr">
        <is>
          <t>Alphanam Group</t>
        </is>
      </c>
      <c r="E12214" s="10" t="inlineStr">
        <is>
          <t>Lương:Cạnh tranh</t>
        </is>
      </c>
      <c r="F12214" s="10" t="inlineStr">
        <is>
          <t>Đà Nẵng</t>
        </is>
      </c>
      <c r="G12214" s="10" t="inlineStr">
        <is>
          <t>14-04-2026</t>
        </is>
      </c>
      <c r="H12214" s="10" t="inlineStr">
        <is>
          <t>14/04/2026</t>
        </is>
      </c>
      <c r="I12214" s="10" t="inlineStr">
        <is>
          <t>17/03/2026</t>
        </is>
      </c>
      <c r="J12214" s="10" t="inlineStr">
        <is>
          <t>Luật / Pháp lý, Bất động sản, Tài chính / Đầu tư</t>
        </is>
      </c>
      <c r="K12214" s="10" t="inlineStr">
        <is>
          <t>10 - 15 Năm</t>
        </is>
      </c>
      <c r="L12214" s="11">
        <f>HYPERLINK("https://careerviet.vn/vi/tim-viec-lam/giam-doc-phat-trien-du-an-khu-vuc-ha-noi-alphanam-group.35C6B290.html","Xem chi tiết")</f>
        <v/>
      </c>
      <c r="M12214" s="10" t="n"/>
    </row>
    <row r="12215">
      <c r="B12215" s="7" t="n">
        <v>12213</v>
      </c>
      <c r="C12215" t="inlineStr">
        <is>
          <t>TRƯỞNG PHÒNG TÀI CHÍNH</t>
        </is>
      </c>
      <c r="D12215" t="inlineStr">
        <is>
          <t>Công ty TNHH Bất động sản Phú Hoàng Land</t>
        </is>
      </c>
      <c r="E12215" t="inlineStr">
        <is>
          <t>Lương:25 Tr - 30 Tr VND</t>
        </is>
      </c>
      <c r="F12215" t="inlineStr">
        <is>
          <t>Hồ Chí Minh</t>
        </is>
      </c>
      <c r="G12215" t="inlineStr">
        <is>
          <t>30-04-2026</t>
        </is>
      </c>
      <c r="H12215" t="inlineStr">
        <is>
          <t>30/04/2026</t>
        </is>
      </c>
      <c r="I12215" t="inlineStr">
        <is>
          <t>17/03/2026</t>
        </is>
      </c>
      <c r="J12215" t="inlineStr">
        <is>
          <t>Kế toán / Kiểm toán, Tài chính / Đầu tư, Ngân hàng</t>
        </is>
      </c>
      <c r="K12215" t="inlineStr">
        <is>
          <t>2 - 3 Năm</t>
        </is>
      </c>
      <c r="L12215" s="8">
        <f>HYPERLINK("https://careerviet.vn/vi/tim-viec-lam/truong-phong-tai-chinh.35C6B4F5.html","Xem chi tiết")</f>
        <v/>
      </c>
    </row>
    <row r="12216">
      <c r="B12216" s="9" t="n">
        <v>12214</v>
      </c>
      <c r="C12216" s="10" t="inlineStr">
        <is>
          <t>General Accountant</t>
        </is>
      </c>
      <c r="D12216" s="10" t="inlineStr">
        <is>
          <t>CÔNG TY TNHH WGR INDUSTRIES</t>
        </is>
      </c>
      <c r="E12216" s="10" t="inlineStr">
        <is>
          <t>Lương:Cạnh tranh</t>
        </is>
      </c>
      <c r="F12216" s="10" t="inlineStr">
        <is>
          <t>Bình Định</t>
        </is>
      </c>
      <c r="G12216" s="10" t="inlineStr">
        <is>
          <t>04-04-2026</t>
        </is>
      </c>
      <c r="H12216" s="10" t="inlineStr">
        <is>
          <t>04/04/2026</t>
        </is>
      </c>
      <c r="I12216" s="10" t="inlineStr">
        <is>
          <t>17/03/2026</t>
        </is>
      </c>
      <c r="J12216" s="10" t="inlineStr">
        <is>
          <t>Kế toán / Kiểm toán</t>
        </is>
      </c>
      <c r="K12216" s="10" t="inlineStr">
        <is>
          <t>2 - 5 Năm</t>
        </is>
      </c>
      <c r="L12216" s="11">
        <f>HYPERLINK("https://careerviet.vn/vi/tim-viec-lam/general-accountant.35C6B2E6.html","Xem chi tiết")</f>
        <v/>
      </c>
      <c r="M12216" s="10" t="n"/>
    </row>
    <row r="12217">
      <c r="B12217" s="7" t="n">
        <v>12215</v>
      </c>
      <c r="C12217" t="inlineStr">
        <is>
          <t>Trưởng bộ phận Điều hành vận tải</t>
        </is>
      </c>
      <c r="D12217" t="inlineStr">
        <is>
          <t>CÔNG TY CP BIA &amp; NGK HẠ LONG</t>
        </is>
      </c>
      <c r="E12217" t="inlineStr">
        <is>
          <t>Lương:12 Tr - 16 Tr VND</t>
        </is>
      </c>
      <c r="F12217" t="inlineStr">
        <is>
          <t>Quảng Ninh</t>
        </is>
      </c>
      <c r="G12217" t="inlineStr">
        <is>
          <t>05-04-2026</t>
        </is>
      </c>
      <c r="H12217" t="inlineStr">
        <is>
          <t>05/04/2026</t>
        </is>
      </c>
      <c r="I12217" t="inlineStr">
        <is>
          <t>17/03/2026</t>
        </is>
      </c>
      <c r="J12217" t="inlineStr">
        <is>
          <t>Vận chuyển / Giao nhận / Kho vận</t>
        </is>
      </c>
      <c r="K12217" t="inlineStr">
        <is>
          <t>1 - 2 Năm</t>
        </is>
      </c>
      <c r="L12217" s="8">
        <f>HYPERLINK("https://careerviet.vn/vi/tim-viec-lam/truong-bo-phan-dieu-hanh-van-tai.35C6B3CF.html","Xem chi tiết")</f>
        <v/>
      </c>
    </row>
    <row r="12218">
      <c r="B12218" s="9" t="n">
        <v>12216</v>
      </c>
      <c r="C12218" s="10" t="inlineStr">
        <is>
          <t>Kiến trúc sư</t>
        </is>
      </c>
      <c r="D12218" s="10" t="inlineStr">
        <is>
          <t>Công Ty Cổ Phần Thiết Kế Và Xây Dựng Giza Việt Nam</t>
        </is>
      </c>
      <c r="E12218" s="10" t="inlineStr">
        <is>
          <t>Lương:15 Tr - 25 Tr VND</t>
        </is>
      </c>
      <c r="F12218" s="10" t="inlineStr">
        <is>
          <t>Hà Nội</t>
        </is>
      </c>
      <c r="G12218" s="10" t="inlineStr">
        <is>
          <t>15-04-2026</t>
        </is>
      </c>
      <c r="H12218" s="10" t="inlineStr">
        <is>
          <t>15/04/2026</t>
        </is>
      </c>
      <c r="I12218" s="10" t="inlineStr">
        <is>
          <t>17/03/2026</t>
        </is>
      </c>
      <c r="J12218" s="10" t="inlineStr">
        <is>
          <t>Kiến trúc</t>
        </is>
      </c>
      <c r="K12218" s="10" t="inlineStr">
        <is>
          <t>2 - 3 Năm</t>
        </is>
      </c>
      <c r="L12218" s="11">
        <f>HYPERLINK("https://careerviet.vn/vi/tim-viec-lam/kien-truc-su.35C6B4BC.html","Xem chi tiết")</f>
        <v/>
      </c>
      <c r="M12218" s="10" t="n"/>
    </row>
    <row r="12219">
      <c r="B12219" s="7" t="n">
        <v>12217</v>
      </c>
      <c r="C12219" t="inlineStr">
        <is>
          <t>Kế toán viên</t>
        </is>
      </c>
      <c r="D12219" t="inlineStr">
        <is>
          <t>CÔNG TY TNHH ĐẦU TƯ THƯƠNG MẠI OM SOHA</t>
        </is>
      </c>
      <c r="E12219" t="inlineStr">
        <is>
          <t>Lương:Cạnh tranh</t>
        </is>
      </c>
      <c r="F12219" t="inlineStr">
        <is>
          <t>Hồ Chí Minh</t>
        </is>
      </c>
      <c r="G12219" t="inlineStr">
        <is>
          <t>31-03-2026</t>
        </is>
      </c>
      <c r="H12219" t="inlineStr">
        <is>
          <t>31/03/2026</t>
        </is>
      </c>
      <c r="I12219" t="inlineStr">
        <is>
          <t>17/03/2026</t>
        </is>
      </c>
      <c r="J12219" t="inlineStr">
        <is>
          <t>Kế toán / Kiểm toán</t>
        </is>
      </c>
      <c r="K12219" t="inlineStr">
        <is>
          <t>Lên đến 1 Năm</t>
        </is>
      </c>
      <c r="L12219" s="8">
        <f>HYPERLINK("https://careerviet.vn/vi/tim-viec-lam/ke-toan-vien.35C6B306.html","Xem chi tiết")</f>
        <v/>
      </c>
    </row>
    <row r="12220">
      <c r="B12220" s="9" t="n">
        <v>12218</v>
      </c>
      <c r="C12220" s="10" t="inlineStr">
        <is>
          <t>Nhân viên Lập trình Máy CNC</t>
        </is>
      </c>
      <c r="D12220" s="10" t="inlineStr">
        <is>
          <t>GOOD VIEW PLASTICS (VIETNAM) COMPANY LIMITED</t>
        </is>
      </c>
      <c r="E12220" s="10" t="inlineStr">
        <is>
          <t>Lương:Cạnh tranh</t>
        </is>
      </c>
      <c r="F12220" s="10" t="inlineStr">
        <is>
          <t>Đồng Nai</t>
        </is>
      </c>
      <c r="G12220" s="10" t="inlineStr">
        <is>
          <t>06-04-2026</t>
        </is>
      </c>
      <c r="H12220" s="10" t="inlineStr">
        <is>
          <t>06/04/2026</t>
        </is>
      </c>
      <c r="I12220" s="10" t="inlineStr">
        <is>
          <t>17/03/2026</t>
        </is>
      </c>
      <c r="J12220" s="10" t="inlineStr">
        <is>
          <t>Sản xuất / Vận hành sản xuất, Mỹ thuật / Nghệ thuật / Thiết kế, Ngành khác</t>
        </is>
      </c>
      <c r="K12220" s="10" t="inlineStr">
        <is>
          <t>2 - 5 Năm</t>
        </is>
      </c>
      <c r="L12220" s="11">
        <f>HYPERLINK("https://careerviet.vn/vi/tim-viec-lam/nhan-vien-lap-trinh-may-cnc.35C6B286.html","Xem chi tiết")</f>
        <v/>
      </c>
      <c r="M12220" s="10" t="n"/>
    </row>
    <row r="12221">
      <c r="B12221" s="7" t="n">
        <v>12219</v>
      </c>
      <c r="C12221" t="inlineStr">
        <is>
          <t>BẢO MẪU TRÔNG TRẺ</t>
        </is>
      </c>
      <c r="D12221" t="inlineStr">
        <is>
          <t>CÔNG TY TNHH Ê SU HAI</t>
        </is>
      </c>
      <c r="E12221" t="inlineStr">
        <is>
          <t>Lương:13 Tr - 18 Tr VND</t>
        </is>
      </c>
      <c r="F12221" t="inlineStr">
        <is>
          <t>Hồ Chí Minh</t>
        </is>
      </c>
      <c r="G12221" t="inlineStr">
        <is>
          <t>30-04-2026</t>
        </is>
      </c>
      <c r="H12221" t="inlineStr">
        <is>
          <t>30/04/2026</t>
        </is>
      </c>
      <c r="I12221" t="inlineStr">
        <is>
          <t>17/03/2026</t>
        </is>
      </c>
      <c r="J12221" t="inlineStr">
        <is>
          <t>Y tế / Chăm sóc sức khỏe / Thẩm mỹ / Làm đẹp, Giáo dục / Đào tạo</t>
        </is>
      </c>
      <c r="K12221" t="inlineStr">
        <is>
          <t>N/A</t>
        </is>
      </c>
      <c r="L12221" s="8">
        <f>HYPERLINK("https://careerviet.vn/vi/tim-viec-lam/bao-mau-trong-tre.35C6B488.html","Xem chi tiết")</f>
        <v/>
      </c>
    </row>
    <row r="12222">
      <c r="B12222" s="9" t="n">
        <v>12220</v>
      </c>
      <c r="C12222" s="10" t="inlineStr">
        <is>
          <t>NHÂN VIÊN KINH DOANH</t>
        </is>
      </c>
      <c r="D12222" s="10" t="inlineStr">
        <is>
          <t>CÔNG TY TNHH INZI VINA</t>
        </is>
      </c>
      <c r="E12222" s="10" t="inlineStr">
        <is>
          <t>Lương:Cạnh tranh</t>
        </is>
      </c>
      <c r="F12222" s="10" t="inlineStr">
        <is>
          <t>Đồng Nai</t>
        </is>
      </c>
      <c r="G12222" s="10" t="inlineStr">
        <is>
          <t>30-04-2026</t>
        </is>
      </c>
      <c r="H12222" s="10" t="inlineStr">
        <is>
          <t>30/04/2026</t>
        </is>
      </c>
      <c r="I12222" s="10" t="inlineStr">
        <is>
          <t>17/03/2026</t>
        </is>
      </c>
      <c r="J12222" s="10" t="inlineStr">
        <is>
          <t>Bán hàng / Kinh doanh, Thu mua / Vật tư, Kế toán / Kiểm toán</t>
        </is>
      </c>
      <c r="K12222" s="10" t="inlineStr">
        <is>
          <t>1 - 4 Năm</t>
        </is>
      </c>
      <c r="L12222" s="11">
        <f>HYPERLINK("https://careerviet.vn/vi/tim-viec-lam/nhan-vien-kinh-doanh.35C6B3BF.html","Xem chi tiết")</f>
        <v/>
      </c>
      <c r="M12222" s="10" t="n"/>
    </row>
    <row r="12223">
      <c r="B12223" s="7" t="n">
        <v>12221</v>
      </c>
      <c r="C12223" t="inlineStr">
        <is>
          <t>Trưởng phòng Kế toán Hành chính - Khu vực Khánh Hòa</t>
        </is>
      </c>
      <c r="D12223" t="inlineStr">
        <is>
          <t>Tổng Công ty Cổ phần Bảo hiểm Ngân hàng Đầu tư và Phát triển Việt Nam (BIC)</t>
        </is>
      </c>
      <c r="E12223" t="inlineStr">
        <is>
          <t>Lương:Cạnh tranh</t>
        </is>
      </c>
      <c r="F12223" t="inlineStr">
        <is>
          <t>Khánh Hòa</t>
        </is>
      </c>
      <c r="G12223" t="inlineStr">
        <is>
          <t>04-04-2026</t>
        </is>
      </c>
      <c r="H12223" t="inlineStr">
        <is>
          <t>04/04/2026</t>
        </is>
      </c>
      <c r="I12223" t="inlineStr">
        <is>
          <t>17/03/2026</t>
        </is>
      </c>
      <c r="J12223" t="inlineStr">
        <is>
          <t>Kế toán / Kiểm toán, Bảo hiểm, Tài chính / Đầu tư</t>
        </is>
      </c>
      <c r="K12223" t="inlineStr">
        <is>
          <t>3 - 10 Năm</t>
        </is>
      </c>
      <c r="L12223" s="8">
        <f>HYPERLINK("https://careerviet.vn/vi/tim-viec-lam/truong-phong-ke-toan-hanh-chinh-khu-vuc-khanh-hoa.35C6B567.html","Xem chi tiết")</f>
        <v/>
      </c>
    </row>
    <row r="12224">
      <c r="B12224" s="9" t="n">
        <v>12222</v>
      </c>
      <c r="C12224" s="10" t="inlineStr">
        <is>
          <t>Trưởng phòng xuất nhập khẩu -  URGENTLY</t>
        </is>
      </c>
      <c r="D12224" s="10" t="inlineStr">
        <is>
          <t>CÔNG TY CỔ PHẦN TGI TRANS</t>
        </is>
      </c>
      <c r="E12224" s="10" t="inlineStr">
        <is>
          <t>Lương:Cạnh tranh</t>
        </is>
      </c>
      <c r="F12224" s="10" t="inlineStr">
        <is>
          <t>Hà Nội</t>
        </is>
      </c>
      <c r="G12224" s="10" t="inlineStr">
        <is>
          <t>30-04-2026</t>
        </is>
      </c>
      <c r="H12224" s="10" t="inlineStr">
        <is>
          <t>30/04/2026</t>
        </is>
      </c>
      <c r="I12224" s="10" t="inlineStr">
        <is>
          <t>17/03/2026</t>
        </is>
      </c>
      <c r="J12224" s="10" t="inlineStr">
        <is>
          <t>Xuất nhập khẩu</t>
        </is>
      </c>
      <c r="K12224" s="10" t="inlineStr">
        <is>
          <t>3 - 5 Năm</t>
        </is>
      </c>
      <c r="L12224" s="11">
        <f>HYPERLINK("https://careerviet.vn/vi/tim-viec-lam/truong-phong-xuat-nhap-khau-urgently.35C6B330.html","Xem chi tiết")</f>
        <v/>
      </c>
      <c r="M12224" s="10" t="n"/>
    </row>
    <row r="12225">
      <c r="B12225" s="7" t="n">
        <v>12223</v>
      </c>
      <c r="C12225" t="inlineStr">
        <is>
          <t>NHÂN VIÊN NẤU ĂN CÔNG TY</t>
        </is>
      </c>
      <c r="D12225" t="inlineStr">
        <is>
          <t>Công ty TNHH Amphenol Technology Vietnam (Xưởng 3)</t>
        </is>
      </c>
      <c r="E12225" t="inlineStr">
        <is>
          <t>Lương:Cạnh tranh</t>
        </is>
      </c>
      <c r="F12225" t="inlineStr">
        <is>
          <t>Long An</t>
        </is>
      </c>
      <c r="G12225" t="inlineStr">
        <is>
          <t>31-05-2026</t>
        </is>
      </c>
      <c r="H12225" t="inlineStr">
        <is>
          <t>31/05/2026</t>
        </is>
      </c>
      <c r="I12225" t="inlineStr">
        <is>
          <t>17/03/2026</t>
        </is>
      </c>
      <c r="J12225" t="inlineStr">
        <is>
          <t>Lao động phổ thông, Công nghệ thực phẩm / Dinh dưỡng, Ngành khác</t>
        </is>
      </c>
      <c r="K12225" t="inlineStr">
        <is>
          <t>1 - 5 Năm</t>
        </is>
      </c>
      <c r="L12225" s="8">
        <f>HYPERLINK("https://careerviet.vn/vi/tim-viec-lam/nhan-vien-nau-an-cong-ty.35C6B50E.html","Xem chi tiết")</f>
        <v/>
      </c>
    </row>
    <row r="12226">
      <c r="B12226" s="9" t="n">
        <v>12224</v>
      </c>
      <c r="C12226" s="10" t="inlineStr">
        <is>
          <t>Chuyên Viên Thu Mua Quốc Tế &amp; Phát Triển Kinh Doanh (Tiếng Trung)</t>
        </is>
      </c>
      <c r="D12226" s="10" t="inlineStr">
        <is>
          <t>CÔNG TY TNHH MTV THƯƠNG MẠI DỊCH VỤ BLUE OCEAN- THẾ GIỚI SKINFOOD</t>
        </is>
      </c>
      <c r="E12226" s="10" t="inlineStr">
        <is>
          <t>Lương:15 Tr - 18 Tr VND</t>
        </is>
      </c>
      <c r="F12226" s="10" t="inlineStr">
        <is>
          <t>Hồ Chí Minh</t>
        </is>
      </c>
      <c r="G12226" s="10" t="inlineStr">
        <is>
          <t>06-04-2026</t>
        </is>
      </c>
      <c r="H12226" s="10" t="inlineStr">
        <is>
          <t>06/04/2026</t>
        </is>
      </c>
      <c r="I12226" s="10" t="inlineStr">
        <is>
          <t>17/03/2026</t>
        </is>
      </c>
      <c r="J12226" s="10" t="inlineStr">
        <is>
          <t>Thu mua / Vật tư, Bán lẻ / Bán sỉ</t>
        </is>
      </c>
      <c r="K12226" s="10" t="inlineStr">
        <is>
          <t>2 - 3 Năm</t>
        </is>
      </c>
      <c r="L12226" s="11">
        <f>HYPERLINK("https://careerviet.vn/vi/tim-viec-lam/chuyen-vien-thu-mua-quoc-te-phat-trien-kinh-doanh-tieng-trung.35C6B344.html","Xem chi tiết")</f>
        <v/>
      </c>
      <c r="M12226" s="10" t="n"/>
    </row>
    <row r="12227">
      <c r="B12227" s="7" t="n">
        <v>12225</v>
      </c>
      <c r="C12227" t="inlineStr">
        <is>
          <t>Trưởng Phòng Chất Lượng (Tiếng Nhật)</t>
        </is>
      </c>
      <c r="D12227" t="inlineStr">
        <is>
          <t>Headhunter HRchannels Group</t>
        </is>
      </c>
      <c r="E12227" t="inlineStr">
        <is>
          <t>Lương:28 Tr - 50 Tr VND</t>
        </is>
      </c>
      <c r="F12227" t="inlineStr">
        <is>
          <t>Hồ Chí MinhLong AnĐồng Nai</t>
        </is>
      </c>
      <c r="G12227" t="inlineStr">
        <is>
          <t>07-04-2026</t>
        </is>
      </c>
      <c r="H12227" t="inlineStr">
        <is>
          <t>07/04/2026</t>
        </is>
      </c>
      <c r="I12227" t="inlineStr">
        <is>
          <t>17/03/2026</t>
        </is>
      </c>
      <c r="J12227" t="inlineStr">
        <is>
          <t>Quản lý chất lượng (QA/QC), Sản xuất / Vận hành sản xuất, Cơ khí / Ô tô / Tự động hóa</t>
        </is>
      </c>
      <c r="K12227" t="inlineStr">
        <is>
          <t>5 - 10 Năm</t>
        </is>
      </c>
      <c r="L12227" s="8">
        <f>HYPERLINK("https://careerviet.vn/vi/tim-viec-lam/truong-phong-chat-luong-tieng-nhat.35C6B531.html","Xem chi tiết")</f>
        <v/>
      </c>
    </row>
    <row r="12228">
      <c r="B12228" s="9" t="n">
        <v>12226</v>
      </c>
      <c r="C12228" s="10" t="inlineStr">
        <is>
          <t>Trưởng nhóm kho</t>
        </is>
      </c>
      <c r="D12228" s="10" t="inlineStr">
        <is>
          <t>CÔNG TY TRÁCH NHIỆM HỮU HẠN FM SUPPLY CHAIN VIỆT NAM</t>
        </is>
      </c>
      <c r="E12228" s="10" t="inlineStr">
        <is>
          <t>Lương:14 Tr - 15 Tr VND</t>
        </is>
      </c>
      <c r="F12228" s="10" t="inlineStr">
        <is>
          <t>Bình Dương</t>
        </is>
      </c>
      <c r="G12228" s="10" t="inlineStr">
        <is>
          <t>07-04-2026</t>
        </is>
      </c>
      <c r="H12228" s="10" t="inlineStr">
        <is>
          <t>07/04/2026</t>
        </is>
      </c>
      <c r="I12228" s="10" t="inlineStr">
        <is>
          <t>17/03/2026</t>
        </is>
      </c>
      <c r="J12228" s="10" t="inlineStr">
        <is>
          <t>Vận chuyển / Giao nhận / Kho vận, Bán lẻ / Bán sỉ, Quản lý điều hành</t>
        </is>
      </c>
      <c r="K12228" s="10" t="inlineStr">
        <is>
          <t>Chưa có kinh nghiệm</t>
        </is>
      </c>
      <c r="L12228" s="11">
        <f>HYPERLINK("https://careerviet.vn/vi/tim-viec-lam/truong-nhom-kho.35C6B2CC.html","Xem chi tiết")</f>
        <v/>
      </c>
      <c r="M12228" s="10" t="n"/>
    </row>
    <row r="12229">
      <c r="B12229" s="7" t="n">
        <v>12227</v>
      </c>
      <c r="C12229" t="inlineStr">
        <is>
          <t>Nhân viên phát triển thị trường</t>
        </is>
      </c>
      <c r="D12229" t="inlineStr">
        <is>
          <t>Công ty cổ phần thương mại kỹ thuật An Việt</t>
        </is>
      </c>
      <c r="E12229" t="inlineStr">
        <is>
          <t>Lương:15 Tr - 20 Tr VND</t>
        </is>
      </c>
      <c r="F12229" t="inlineStr">
        <is>
          <t>Hồ Chí MinhHà Nội</t>
        </is>
      </c>
      <c r="G12229" t="inlineStr">
        <is>
          <t>31-03-2026</t>
        </is>
      </c>
      <c r="H12229" t="inlineStr">
        <is>
          <t>31/03/2026</t>
        </is>
      </c>
      <c r="I12229" t="inlineStr">
        <is>
          <t>17/03/2026</t>
        </is>
      </c>
      <c r="J12229" t="inlineStr">
        <is>
          <t>Tiếp thị / Marketing, Bán lẻ / Bán sỉ, Bán hàng / Kinh doanh</t>
        </is>
      </c>
      <c r="K12229" t="inlineStr">
        <is>
          <t>1 - 3 Năm</t>
        </is>
      </c>
      <c r="L12229" s="8">
        <f>HYPERLINK("https://careerviet.vn/vi/tim-viec-lam/nhan-vien-phat-trien-thi-truong.35C6B4B6.html","Xem chi tiết")</f>
        <v/>
      </c>
    </row>
    <row r="12230">
      <c r="B12230" s="9" t="n">
        <v>12228</v>
      </c>
      <c r="C12230" s="10" t="inlineStr">
        <is>
          <t>Chuyên Viên Thiết Kế</t>
        </is>
      </c>
      <c r="D12230" s="10" t="inlineStr">
        <is>
          <t>CÔNG TY TNHH PHÁT TRIỂN THƯƠNG MẠI BĐS NEWSTARLAND</t>
        </is>
      </c>
      <c r="E12230" s="10" t="inlineStr">
        <is>
          <t>Lương:14 Tr - 16 Tr VND</t>
        </is>
      </c>
      <c r="F12230" s="10" t="inlineStr">
        <is>
          <t>Hà Nội</t>
        </is>
      </c>
      <c r="G12230" s="10" t="inlineStr">
        <is>
          <t>06-04-2026</t>
        </is>
      </c>
      <c r="H12230" s="10" t="inlineStr">
        <is>
          <t>06/04/2026</t>
        </is>
      </c>
      <c r="I12230" s="10" t="inlineStr">
        <is>
          <t>17/03/2026</t>
        </is>
      </c>
      <c r="J12230" s="10" t="inlineStr">
        <is>
          <t>Mỹ thuật / Nghệ thuật / Thiết kế, CNTT - Phần mềm, Bất động sản</t>
        </is>
      </c>
      <c r="K12230" s="10" t="inlineStr">
        <is>
          <t>Trên 2 Năm</t>
        </is>
      </c>
      <c r="L12230" s="11">
        <f>HYPERLINK("https://careerviet.vn/vi/tim-viec-lam/chuyen-vien-thiet-ke.35C6B3EF.html","Xem chi tiết")</f>
        <v/>
      </c>
      <c r="M12230" s="10" t="n"/>
    </row>
    <row r="12231">
      <c r="B12231" s="7" t="n">
        <v>12229</v>
      </c>
      <c r="C12231" t="inlineStr">
        <is>
          <t>Accounting Support Staff (Japanese &amp; English)</t>
        </is>
      </c>
      <c r="D12231" t="inlineStr">
        <is>
          <t>Headhunter HRchannels Group</t>
        </is>
      </c>
      <c r="E12231" t="inlineStr">
        <is>
          <t>Lương:30 Tr - 35 Tr VND</t>
        </is>
      </c>
      <c r="F12231" t="inlineStr">
        <is>
          <t>Hà NộiHồ Chí MinhHưng Yên</t>
        </is>
      </c>
      <c r="G12231" t="inlineStr">
        <is>
          <t>06-04-2026</t>
        </is>
      </c>
      <c r="H12231" t="inlineStr">
        <is>
          <t>06/04/2026</t>
        </is>
      </c>
      <c r="I12231" t="inlineStr">
        <is>
          <t>17/03/2026</t>
        </is>
      </c>
      <c r="J12231" t="inlineStr">
        <is>
          <t>Kế toán / Kiểm toán, Biên phiên dịch</t>
        </is>
      </c>
      <c r="K12231" t="inlineStr">
        <is>
          <t>1 - 2 Năm</t>
        </is>
      </c>
      <c r="L12231" s="8">
        <f>HYPERLINK("https://careerviet.vn/vi/tim-viec-lam/accounting-support-staff-japanese-english.35C6B2E0.html","Xem chi tiết")</f>
        <v/>
      </c>
    </row>
    <row r="12232">
      <c r="B12232" s="9" t="n">
        <v>12230</v>
      </c>
      <c r="C12232" s="10" t="inlineStr">
        <is>
          <t>Trưởng Phòng Kinh Doanh</t>
        </is>
      </c>
      <c r="D12232" s="10" t="inlineStr">
        <is>
          <t>CÔNG TY CỔ PHẦN PHÁT TRIỂN VIỄN THÔNG VÀ TRUYỀN HÌNH VIỆT NAM</t>
        </is>
      </c>
      <c r="E12232" s="10" t="inlineStr">
        <is>
          <t>Lương:15 Tr - 25 Tr VND</t>
        </is>
      </c>
      <c r="F12232" s="10" t="inlineStr">
        <is>
          <t>Hà Nội</t>
        </is>
      </c>
      <c r="G12232" s="10" t="inlineStr">
        <is>
          <t>06-04-2026</t>
        </is>
      </c>
      <c r="H12232" s="10" t="inlineStr">
        <is>
          <t>06/04/2026</t>
        </is>
      </c>
      <c r="I12232" s="10" t="inlineStr">
        <is>
          <t>17/03/2026</t>
        </is>
      </c>
      <c r="J12232" s="10" t="inlineStr">
        <is>
          <t>Bán hàng / Kinh doanh, Tư vấn, Bưu chính viễn thông</t>
        </is>
      </c>
      <c r="K12232" s="10" t="inlineStr">
        <is>
          <t>3 - 5 Năm</t>
        </is>
      </c>
      <c r="L12232" s="11">
        <f>HYPERLINK("https://careerviet.vn/vi/tim-viec-lam/truong-phong-kinh-doanh.35C6B2B2.html","Xem chi tiết")</f>
        <v/>
      </c>
      <c r="M12232" s="10" t="n"/>
    </row>
    <row r="12233">
      <c r="B12233" s="7" t="n">
        <v>12231</v>
      </c>
      <c r="C12233" t="inlineStr">
        <is>
          <t>KỸ SƯ THIẾT KẾ ĐIỀU HÒA KHÔNG KHÍ (HVAC Design Engineer)</t>
        </is>
      </c>
      <c r="D12233" t="inlineStr">
        <is>
          <t>Công Ty Cổ Phần Kiến Trúc Tư Vấn Quản Lý Đông Dương</t>
        </is>
      </c>
      <c r="E12233" t="inlineStr">
        <is>
          <t>Lương:Cạnh tranh</t>
        </is>
      </c>
      <c r="F12233" t="inlineStr">
        <is>
          <t>Hồ Chí Minh</t>
        </is>
      </c>
      <c r="G12233" t="inlineStr">
        <is>
          <t>05-04-2026</t>
        </is>
      </c>
      <c r="H12233" t="inlineStr">
        <is>
          <t>05/04/2026</t>
        </is>
      </c>
      <c r="I12233" t="inlineStr">
        <is>
          <t>17/03/2026</t>
        </is>
      </c>
      <c r="J12233" t="inlineStr">
        <is>
          <t>Xây dựng, Bất động sản, Kiến trúc</t>
        </is>
      </c>
      <c r="K12233" t="inlineStr">
        <is>
          <t>2 - 7 Năm</t>
        </is>
      </c>
      <c r="L12233" s="8">
        <f>HYPERLINK("https://careerviet.vn/vi/tim-viec-lam/ky-su-thiet-ke-dieu-hoa-khong-khi-hvac-design-engineer.35C6AF56.html","Xem chi tiết")</f>
        <v/>
      </c>
    </row>
    <row r="12234">
      <c r="B12234" s="9" t="n">
        <v>12232</v>
      </c>
      <c r="C12234" s="10" t="inlineStr">
        <is>
          <t>Nhân Viên Kinh Doanh</t>
        </is>
      </c>
      <c r="D12234" s="10" t="inlineStr">
        <is>
          <t>CÔNG TY TNHH PHÁT TRIỂN THƯƠNG MẠI BĐS NEWSTARLAND</t>
        </is>
      </c>
      <c r="E12234" s="10" t="inlineStr">
        <is>
          <t>Lương:Cạnh tranh</t>
        </is>
      </c>
      <c r="F12234" s="10" t="inlineStr">
        <is>
          <t>Hà Nội</t>
        </is>
      </c>
      <c r="G12234" s="10" t="inlineStr">
        <is>
          <t>06-04-2026</t>
        </is>
      </c>
      <c r="H12234" s="10" t="inlineStr">
        <is>
          <t>06/04/2026</t>
        </is>
      </c>
      <c r="I12234" s="10" t="inlineStr">
        <is>
          <t>17/03/2026</t>
        </is>
      </c>
      <c r="J12234" s="10" t="inlineStr">
        <is>
          <t>Bất động sản, Bán hàng / Kinh doanh, Bán lẻ / Bán sỉ</t>
        </is>
      </c>
      <c r="K12234" s="10" t="inlineStr">
        <is>
          <t>N/A</t>
        </is>
      </c>
      <c r="L12234" s="11">
        <f>HYPERLINK("https://careerviet.vn/vi/tim-viec-lam/nhan-vien-kinh-doanh.35C6B3F9.html","Xem chi tiết")</f>
        <v/>
      </c>
      <c r="M12234" s="10" t="n"/>
    </row>
    <row r="12235">
      <c r="B12235" s="7" t="n">
        <v>12233</v>
      </c>
      <c r="C12235" t="inlineStr">
        <is>
          <t>CHỈ HUY TRƯỞNG (cầu đường).</t>
        </is>
      </c>
      <c r="D12235" t="inlineStr">
        <is>
          <t>Công Ty Cổ Phần Tập Đoàn Quang Phúc</t>
        </is>
      </c>
      <c r="E12235" t="inlineStr">
        <is>
          <t>Lương:22 Tr - 28 Tr VND</t>
        </is>
      </c>
      <c r="F12235" t="inlineStr">
        <is>
          <t>Hồ Chí MinhĐồng Nai</t>
        </is>
      </c>
      <c r="G12235" t="inlineStr">
        <is>
          <t>31-03-2026</t>
        </is>
      </c>
      <c r="H12235" t="inlineStr">
        <is>
          <t>31/03/2026</t>
        </is>
      </c>
      <c r="I12235" t="inlineStr">
        <is>
          <t>17/03/2026</t>
        </is>
      </c>
      <c r="J12235" t="inlineStr">
        <is>
          <t>Xây dựng</t>
        </is>
      </c>
      <c r="K12235" t="inlineStr">
        <is>
          <t>3 - 5 Năm</t>
        </is>
      </c>
      <c r="L12235" s="8">
        <f>HYPERLINK("https://careerviet.vn/vi/tim-viec-lam/chi-huy-truong-cau-duong.35C6B48F.html","Xem chi tiết")</f>
        <v/>
      </c>
    </row>
    <row r="12236">
      <c r="B12236" s="9" t="n">
        <v>12234</v>
      </c>
      <c r="C12236" s="10" t="inlineStr">
        <is>
          <t>Trưởng Bộ phận/Chuyên viên cao cấp Phát triển khách hàng Định chế tài chính</t>
        </is>
      </c>
      <c r="D12236" s="10" t="inlineStr">
        <is>
          <t>BVBank - Ngân hàng Bản Việt</t>
        </is>
      </c>
      <c r="E12236" s="10" t="inlineStr">
        <is>
          <t>Lương:Cạnh tranh</t>
        </is>
      </c>
      <c r="F12236" s="10" t="inlineStr">
        <is>
          <t>Hồ Chí Minh</t>
        </is>
      </c>
      <c r="G12236" s="10" t="inlineStr">
        <is>
          <t>05-04-2026</t>
        </is>
      </c>
      <c r="H12236" s="10" t="inlineStr">
        <is>
          <t>05/04/2026</t>
        </is>
      </c>
      <c r="I12236" s="10" t="inlineStr">
        <is>
          <t>17/03/2026</t>
        </is>
      </c>
      <c r="J12236" s="10" t="inlineStr">
        <is>
          <t>Ngân hàng, Tài chính / Đầu tư</t>
        </is>
      </c>
      <c r="K12236" s="10" t="inlineStr">
        <is>
          <t>3 - 4 Năm</t>
        </is>
      </c>
      <c r="L12236" s="11">
        <f>HYPERLINK("https://careerviet.vn/vi/tim-viec-lam/truong-bo-phan-chuyen-vien-cao-cap-phat-trien-khach-hang-dinh-che-tai-chinh.35C6B30E.html","Xem chi tiết")</f>
        <v/>
      </c>
      <c r="M12236" s="10" t="n"/>
    </row>
    <row r="12237">
      <c r="B12237" s="7" t="n">
        <v>12235</v>
      </c>
      <c r="C12237" t="inlineStr">
        <is>
          <t>giám sát thị trường khu vực</t>
        </is>
      </c>
      <c r="D12237" t="inlineStr">
        <is>
          <t>Công ty Cổ Phần Nhựa Thiếu Niên Tiền Phong Phía Nam</t>
        </is>
      </c>
      <c r="E12237" t="inlineStr">
        <is>
          <t>Lương:Cạnh tranh</t>
        </is>
      </c>
      <c r="F12237" t="inlineStr">
        <is>
          <t>Hồ Chí MinhCần ThơĐà Nẵng</t>
        </is>
      </c>
      <c r="G12237" t="inlineStr">
        <is>
          <t>30-03-2026</t>
        </is>
      </c>
      <c r="H12237" t="inlineStr">
        <is>
          <t>30/03/2026</t>
        </is>
      </c>
      <c r="I12237" t="inlineStr">
        <is>
          <t>17/03/2026</t>
        </is>
      </c>
      <c r="J12237" t="inlineStr">
        <is>
          <t>Bán hàng / Kinh doanh</t>
        </is>
      </c>
      <c r="K12237" t="inlineStr">
        <is>
          <t>2 - 3 Năm</t>
        </is>
      </c>
      <c r="L12237" s="8">
        <f>HYPERLINK("https://careerviet.vn/vi/tim-viec-lam/giam-sat-thi-truong-khu-vuc.35C6B41A.html","Xem chi tiết")</f>
        <v/>
      </c>
    </row>
    <row r="12238">
      <c r="B12238" s="9" t="n">
        <v>12236</v>
      </c>
      <c r="C12238" s="10" t="inlineStr">
        <is>
          <t>[HCM] Kế toán nội bộ (Kho)</t>
        </is>
      </c>
      <c r="D12238" s="10" t="inlineStr">
        <is>
          <t>Công Ty CP XNK Hóa Chất &amp; Thiết Bị Kim Ngưu</t>
        </is>
      </c>
      <c r="E12238" s="10" t="inlineStr">
        <is>
          <t>Lương:11 Tr - 13 Tr VND</t>
        </is>
      </c>
      <c r="F12238" s="10" t="inlineStr">
        <is>
          <t>Hồ Chí Minh</t>
        </is>
      </c>
      <c r="G12238" s="10" t="inlineStr">
        <is>
          <t>29-04-2026</t>
        </is>
      </c>
      <c r="H12238" s="10" t="inlineStr">
        <is>
          <t>29/04/2026</t>
        </is>
      </c>
      <c r="I12238" s="10" t="inlineStr">
        <is>
          <t>17/03/2026</t>
        </is>
      </c>
      <c r="J12238" s="10" t="inlineStr">
        <is>
          <t>Kế toán / Kiểm toán, Ngân hàng, Tài chính / Đầu tư</t>
        </is>
      </c>
      <c r="K12238" s="10" t="inlineStr">
        <is>
          <t>2 - 5 Năm</t>
        </is>
      </c>
      <c r="L12238" s="11">
        <f>HYPERLINK("https://careerviet.vn/vi/tim-viec-lam/hcm-ke-toan-noi-bo-kho.35C6B336.html","Xem chi tiết")</f>
        <v/>
      </c>
      <c r="M12238" s="10" t="n"/>
    </row>
    <row r="12239">
      <c r="B12239" s="7" t="n">
        <v>12237</v>
      </c>
      <c r="C12239" t="inlineStr">
        <is>
          <t>[CITIGYM] Chuyên viên Hỗ trợ Công nghệ Thông tin</t>
        </is>
      </c>
      <c r="D12239" t="inlineStr">
        <is>
          <t>Nova Service Group - Công ty Cổ phần Tập đoàn Nova Services</t>
        </is>
      </c>
      <c r="E12239" t="inlineStr">
        <is>
          <t>Lương:14 Tr - 15 Tr VND</t>
        </is>
      </c>
      <c r="F12239" t="inlineStr">
        <is>
          <t>Hồ Chí Minh</t>
        </is>
      </c>
      <c r="G12239" t="inlineStr">
        <is>
          <t>06-04-2026</t>
        </is>
      </c>
      <c r="H12239" t="inlineStr">
        <is>
          <t>06/04/2026</t>
        </is>
      </c>
      <c r="I12239" t="inlineStr">
        <is>
          <t>17/03/2026</t>
        </is>
      </c>
      <c r="J12239" t="inlineStr">
        <is>
          <t>Bán hàng / Kinh doanh, Y tế / Chăm sóc sức khỏe / Thẩm mỹ / Làm đẹp, Dịch vụ khách hàng</t>
        </is>
      </c>
      <c r="K12239" t="inlineStr">
        <is>
          <t>2 - 3 Năm</t>
        </is>
      </c>
      <c r="L12239" s="8">
        <f>HYPERLINK("https://careerviet.vn/vi/tim-viec-lam/citigym-chuyen-vien-ho-tro-cong-nghe-thong-tin.35C6B2F0.html","Xem chi tiết")</f>
        <v/>
      </c>
    </row>
    <row r="12240">
      <c r="B12240" s="9" t="n">
        <v>12238</v>
      </c>
      <c r="C12240" s="10" t="inlineStr">
        <is>
          <t>PHÓ KHO</t>
        </is>
      </c>
      <c r="D12240" s="10" t="inlineStr">
        <is>
          <t>Công ty CP Thương mại Dịch vụ An Biên</t>
        </is>
      </c>
      <c r="E12240" s="10" t="inlineStr">
        <is>
          <t>Lương:11 Tr - 12 Tr VND</t>
        </is>
      </c>
      <c r="F12240" s="10" t="inlineStr">
        <is>
          <t>Khánh Hòa</t>
        </is>
      </c>
      <c r="G12240" s="10" t="inlineStr">
        <is>
          <t>05-04-2026</t>
        </is>
      </c>
      <c r="H12240" s="10" t="inlineStr">
        <is>
          <t>05/04/2026</t>
        </is>
      </c>
      <c r="I12240" s="10" t="inlineStr">
        <is>
          <t>17/03/2026</t>
        </is>
      </c>
      <c r="J12240" s="10" t="inlineStr">
        <is>
          <t>Vận chuyển / Giao nhận / Kho vận, Sản xuất / Vận hành sản xuất, Quản lý chất lượng (QA/QC)</t>
        </is>
      </c>
      <c r="K12240" s="10" t="inlineStr">
        <is>
          <t>2 - 3 Năm</t>
        </is>
      </c>
      <c r="L12240" s="11">
        <f>HYPERLINK("https://careerviet.vn/vi/tim-viec-lam/pho-kho.35C6B4FD.html","Xem chi tiết")</f>
        <v/>
      </c>
      <c r="M12240" s="10" t="n"/>
    </row>
    <row r="12241">
      <c r="B12241" s="7" t="n">
        <v>12239</v>
      </c>
      <c r="C12241" t="inlineStr">
        <is>
          <t>Graphic Designer</t>
        </is>
      </c>
      <c r="D12241" t="inlineStr">
        <is>
          <t>CÔNG TY TNHH BULSAN GROUP</t>
        </is>
      </c>
      <c r="E12241" t="inlineStr">
        <is>
          <t>Lương:8 Tr - 15 Tr VND</t>
        </is>
      </c>
      <c r="F12241" t="inlineStr">
        <is>
          <t>Hồ Chí Minh</t>
        </is>
      </c>
      <c r="G12241" t="inlineStr">
        <is>
          <t>05-04-2026</t>
        </is>
      </c>
      <c r="H12241" t="inlineStr">
        <is>
          <t>05/04/2026</t>
        </is>
      </c>
      <c r="I12241" t="inlineStr">
        <is>
          <t>17/03/2026</t>
        </is>
      </c>
      <c r="J12241" t="inlineStr">
        <is>
          <t>Tiếp thị / Marketing, Y tế / Chăm sóc sức khỏe / Thẩm mỹ / Làm đẹp</t>
        </is>
      </c>
      <c r="K12241" t="inlineStr">
        <is>
          <t>1 - 3 Năm</t>
        </is>
      </c>
      <c r="L12241" s="8">
        <f>HYPERLINK("https://careerviet.vn/vi/tim-viec-lam/graphic-designer.35C6B53A.html","Xem chi tiết")</f>
        <v/>
      </c>
    </row>
    <row r="12242">
      <c r="B12242" s="9" t="n">
        <v>12240</v>
      </c>
      <c r="C12242" s="10" t="inlineStr">
        <is>
          <t>Cán bộ Shopdrawing</t>
        </is>
      </c>
      <c r="D12242" s="10" t="inlineStr">
        <is>
          <t>Công Ty Cổ Phần Xây Dựng CDC</t>
        </is>
      </c>
      <c r="E12242" s="10" t="inlineStr">
        <is>
          <t>Lương:Cạnh tranh</t>
        </is>
      </c>
      <c r="F12242" s="10" t="inlineStr">
        <is>
          <t>Thừa Thiên- HuếBình DươngĐà Nẵng</t>
        </is>
      </c>
      <c r="G12242" s="10" t="inlineStr">
        <is>
          <t>31-03-2026</t>
        </is>
      </c>
      <c r="H12242" s="10" t="inlineStr">
        <is>
          <t>31/03/2026</t>
        </is>
      </c>
      <c r="I12242" s="10" t="inlineStr">
        <is>
          <t>17/03/2026</t>
        </is>
      </c>
      <c r="J12242" s="10" t="inlineStr">
        <is>
          <t>Xây dựng</t>
        </is>
      </c>
      <c r="K12242" s="10" t="inlineStr">
        <is>
          <t>Chưa có kinh nghiệm</t>
        </is>
      </c>
      <c r="L12242" s="11">
        <f>HYPERLINK("https://careerviet.vn/vi/tim-viec-lam/can-bo-shopdrawing.35C6B442.html","Xem chi tiết")</f>
        <v/>
      </c>
      <c r="M12242" s="10" t="n"/>
    </row>
    <row r="12243">
      <c r="B12243" s="7" t="n">
        <v>12241</v>
      </c>
      <c r="C12243" t="inlineStr">
        <is>
          <t>CÀ MAU - KẾ TOÁN TRƯỞNG  (18-25 TR)</t>
        </is>
      </c>
      <c r="D12243" t="inlineStr">
        <is>
          <t>CÔNG TY CỔ PHẦN TẬP ĐOÀN DEKKO</t>
        </is>
      </c>
      <c r="E12243" t="inlineStr">
        <is>
          <t>Lương:18 Tr - 25 Tr VND</t>
        </is>
      </c>
      <c r="F12243" t="inlineStr">
        <is>
          <t>Cà Mau</t>
        </is>
      </c>
      <c r="G12243" t="inlineStr">
        <is>
          <t>30-03-2026</t>
        </is>
      </c>
      <c r="H12243" t="inlineStr">
        <is>
          <t>30/03/2026</t>
        </is>
      </c>
      <c r="I12243" t="inlineStr">
        <is>
          <t>17/03/2026</t>
        </is>
      </c>
      <c r="J12243" t="inlineStr">
        <is>
          <t>Kế toán / Kiểm toán</t>
        </is>
      </c>
      <c r="K12243" t="inlineStr">
        <is>
          <t>3 - 5 Năm</t>
        </is>
      </c>
      <c r="L12243" s="8">
        <f>HYPERLINK("https://careerviet.vn/vi/tim-viec-lam/ca-mau-ke-toan-truong-18-25-tr.35C6B3F4.html","Xem chi tiết")</f>
        <v/>
      </c>
    </row>
    <row r="12244">
      <c r="B12244" s="9" t="n">
        <v>12242</v>
      </c>
      <c r="C12244" s="10" t="inlineStr">
        <is>
          <t>Chuyên Viên Thử Nghiệm (Hóa học)</t>
        </is>
      </c>
      <c r="D12244" s="10" t="inlineStr">
        <is>
          <t>Tập Đoàn Karofi Holding</t>
        </is>
      </c>
      <c r="E12244" s="10" t="inlineStr">
        <is>
          <t>Lương:9 Tr - 15 Tr VND</t>
        </is>
      </c>
      <c r="F12244" s="10" t="inlineStr">
        <is>
          <t>Hưng Yên</t>
        </is>
      </c>
      <c r="G12244" s="10" t="inlineStr">
        <is>
          <t>29-04-2026</t>
        </is>
      </c>
      <c r="H12244" s="10" t="inlineStr">
        <is>
          <t>29/04/2026</t>
        </is>
      </c>
      <c r="I12244" s="10" t="inlineStr">
        <is>
          <t>17/03/2026</t>
        </is>
      </c>
      <c r="J12244" s="10" t="inlineStr">
        <is>
          <t>Dược phẩm/ Hóa Mỹ Phẩm, Sản xuất / Vận hành sản xuất, Quản lý chất lượng (QA/QC)</t>
        </is>
      </c>
      <c r="K12244" s="10" t="inlineStr">
        <is>
          <t>1 - 5 Năm</t>
        </is>
      </c>
      <c r="L12244" s="11">
        <f>HYPERLINK("https://careerviet.vn/vi/tim-viec-lam/chuyen-vien-thu-nghiem-hoa-hoc.35C6B53E.html","Xem chi tiết")</f>
        <v/>
      </c>
      <c r="M12244" s="10" t="n"/>
    </row>
    <row r="12245">
      <c r="B12245" s="7" t="n">
        <v>12243</v>
      </c>
      <c r="C12245" t="inlineStr">
        <is>
          <t>Trưởng phòng Đấu thầu</t>
        </is>
      </c>
      <c r="D12245" t="inlineStr">
        <is>
          <t>CÔNG TY CỔ PHẦN ĐẦU TƯ XÂY DỰNG ENTIZ</t>
        </is>
      </c>
      <c r="E12245" t="inlineStr">
        <is>
          <t>Lương:40 Tr - 60 Tr VND</t>
        </is>
      </c>
      <c r="F12245" t="inlineStr">
        <is>
          <t>Nghệ An</t>
        </is>
      </c>
      <c r="G12245" t="inlineStr">
        <is>
          <t>04-04-2026</t>
        </is>
      </c>
      <c r="H12245" t="inlineStr">
        <is>
          <t>04/04/2026</t>
        </is>
      </c>
      <c r="I12245" t="inlineStr">
        <is>
          <t>17/03/2026</t>
        </is>
      </c>
      <c r="J12245" t="inlineStr">
        <is>
          <t>Thu mua / Vật tư, Xây dựng, Bất động sản</t>
        </is>
      </c>
      <c r="K12245" t="inlineStr">
        <is>
          <t>3 - 5 Năm</t>
        </is>
      </c>
      <c r="L12245" s="8">
        <f>HYPERLINK("https://careerviet.vn/vi/tim-viec-lam/truong-phong-dau-thau.35C6B181.html","Xem chi tiết")</f>
        <v/>
      </c>
    </row>
    <row r="12246">
      <c r="B12246" s="9" t="n">
        <v>12244</v>
      </c>
      <c r="C12246" s="10" t="inlineStr">
        <is>
          <t>KỸ SƯ HẠ TẦNG (CẤP THOÁT NƯỚC / HẠ TẦNG KỸ THUẬT)</t>
        </is>
      </c>
      <c r="D12246" s="10" t="inlineStr">
        <is>
          <t>CT CP Tập Đoàn Thái Tuấn</t>
        </is>
      </c>
      <c r="E12246" s="10" t="inlineStr">
        <is>
          <t>Lương:Cạnh tranh</t>
        </is>
      </c>
      <c r="F12246" s="10" t="inlineStr">
        <is>
          <t>Long An</t>
        </is>
      </c>
      <c r="G12246" s="10" t="inlineStr">
        <is>
          <t>05-04-2026</t>
        </is>
      </c>
      <c r="H12246" s="10" t="inlineStr">
        <is>
          <t>05/04/2026</t>
        </is>
      </c>
      <c r="I12246" s="10" t="inlineStr">
        <is>
          <t>17/03/2026</t>
        </is>
      </c>
      <c r="J12246" s="10" t="inlineStr">
        <is>
          <t>Kiến trúc, Xây dựng</t>
        </is>
      </c>
      <c r="K12246" s="10" t="inlineStr">
        <is>
          <t>3 - 15 Năm</t>
        </is>
      </c>
      <c r="L12246" s="11">
        <f>HYPERLINK("https://careerviet.vn/vi/tim-viec-lam/ky-su-ha-tang-cap-thoat-nuoc-ha-tang-ky-thuat.35C6B33E.html","Xem chi tiết")</f>
        <v/>
      </c>
      <c r="M12246" s="10" t="n"/>
    </row>
    <row r="12247">
      <c r="B12247" s="7" t="n">
        <v>12245</v>
      </c>
      <c r="C12247" t="inlineStr">
        <is>
          <t>Operation Air Freight</t>
        </is>
      </c>
      <c r="D12247" t="inlineStr">
        <is>
          <t>Công Ty TNHH Andashun Amazing Logistics</t>
        </is>
      </c>
      <c r="E12247" t="inlineStr">
        <is>
          <t>Lương:Cạnh tranh</t>
        </is>
      </c>
      <c r="F12247" t="inlineStr">
        <is>
          <t>Hà NộiHồ Chí Minh</t>
        </is>
      </c>
      <c r="G12247" t="inlineStr">
        <is>
          <t>01-05-2026</t>
        </is>
      </c>
      <c r="H12247" t="inlineStr">
        <is>
          <t>01/05/2026</t>
        </is>
      </c>
      <c r="I12247" t="inlineStr">
        <is>
          <t>17/03/2026</t>
        </is>
      </c>
      <c r="J12247" t="inlineStr">
        <is>
          <t>Dịch vụ khách hàng, Vận chuyển / Giao nhận / Kho vận, Xuất nhập khẩu</t>
        </is>
      </c>
      <c r="K12247" t="inlineStr">
        <is>
          <t>N/A</t>
        </is>
      </c>
      <c r="L12247" s="8">
        <f>HYPERLINK("https://careerviet.vn/vi/tim-viec-lam/operation-air-freight.35C6B466.html","Xem chi tiết")</f>
        <v/>
      </c>
    </row>
    <row r="12248">
      <c r="B12248" s="9" t="n">
        <v>12246</v>
      </c>
      <c r="C12248" s="10" t="inlineStr">
        <is>
          <t>Thực Tập Sinh Ngân hàng đầu tư (Investment Banking Intern)</t>
        </is>
      </c>
      <c r="D12248" s="10" t="inlineStr">
        <is>
          <t>CÔNG TY CỔ PHẦN CHỨNG KHOÁN ASEAN</t>
        </is>
      </c>
      <c r="E12248" s="10" t="inlineStr">
        <is>
          <t>Lương:Cạnh tranh</t>
        </is>
      </c>
      <c r="F12248" s="10" t="inlineStr">
        <is>
          <t>Hà Nội</t>
        </is>
      </c>
      <c r="G12248" s="10" t="inlineStr">
        <is>
          <t>31-03-2026</t>
        </is>
      </c>
      <c r="H12248" s="10" t="inlineStr">
        <is>
          <t>31/03/2026</t>
        </is>
      </c>
      <c r="I12248" s="10" t="inlineStr">
        <is>
          <t>17/03/2026</t>
        </is>
      </c>
      <c r="J12248" s="10" t="inlineStr">
        <is>
          <t>Chứng khoán, Tài chính / Đầu tư, Ngân hàng</t>
        </is>
      </c>
      <c r="K12248" s="10" t="inlineStr">
        <is>
          <t>N/A</t>
        </is>
      </c>
      <c r="L12248" s="11">
        <f>HYPERLINK("https://careerviet.vn/vi/tim-viec-lam/thuc-tap-sinh-ngan-hang-dau-tu-investment-banking-intern.35C6B2A0.html","Xem chi tiết")</f>
        <v/>
      </c>
      <c r="M12248" s="10" t="n"/>
    </row>
    <row r="12249">
      <c r="B12249" s="7" t="n">
        <v>12247</v>
      </c>
      <c r="C12249" t="inlineStr">
        <is>
          <t>Customer Service Sea Freight</t>
        </is>
      </c>
      <c r="D12249" t="inlineStr">
        <is>
          <t>Công Ty TNHH Andashun Amazing Logistics</t>
        </is>
      </c>
      <c r="E12249" t="inlineStr">
        <is>
          <t>Lương:Cạnh tranh</t>
        </is>
      </c>
      <c r="F12249" t="inlineStr">
        <is>
          <t>Hồ Chí Minh</t>
        </is>
      </c>
      <c r="G12249" t="inlineStr">
        <is>
          <t>01-05-2026</t>
        </is>
      </c>
      <c r="H12249" t="inlineStr">
        <is>
          <t>01/05/2026</t>
        </is>
      </c>
      <c r="I12249" t="inlineStr">
        <is>
          <t>17/03/2026</t>
        </is>
      </c>
      <c r="J12249" t="inlineStr">
        <is>
          <t>Vận chuyển / Giao nhận / Kho vận, Hàng hải, Xuất nhập khẩu</t>
        </is>
      </c>
      <c r="K12249" t="inlineStr">
        <is>
          <t>N/A</t>
        </is>
      </c>
      <c r="L12249" s="8">
        <f>HYPERLINK("https://careerviet.vn/vi/tim-viec-lam/customer-service-sea-freight.35C6B498.html","Xem chi tiết")</f>
        <v/>
      </c>
    </row>
    <row r="12250">
      <c r="B12250" s="9" t="n">
        <v>12248</v>
      </c>
      <c r="C12250" s="10" t="inlineStr">
        <is>
          <t>Nhân viên Hành chính</t>
        </is>
      </c>
      <c r="D12250" s="10" t="inlineStr">
        <is>
          <t>Công Ty CP XNK Hóa Chất &amp; Thiết Bị Kim Ngưu</t>
        </is>
      </c>
      <c r="E12250" s="10" t="inlineStr">
        <is>
          <t>Lương:8 Tr - 15 Tr VND</t>
        </is>
      </c>
      <c r="F12250" s="10" t="inlineStr">
        <is>
          <t>Hà Nội</t>
        </is>
      </c>
      <c r="G12250" s="10" t="inlineStr">
        <is>
          <t>29-04-2026</t>
        </is>
      </c>
      <c r="H12250" s="10" t="inlineStr">
        <is>
          <t>29/04/2026</t>
        </is>
      </c>
      <c r="I12250" s="10" t="inlineStr">
        <is>
          <t>17/03/2026</t>
        </is>
      </c>
      <c r="J12250" s="10" t="inlineStr">
        <is>
          <t>Hành chính / Thư ký, Nhân sự, Sản xuất / Vận hành sản xuất</t>
        </is>
      </c>
      <c r="K12250" s="10" t="inlineStr">
        <is>
          <t>1 - 3 Năm</t>
        </is>
      </c>
      <c r="L12250" s="11">
        <f>HYPERLINK("https://careerviet.vn/vi/tim-viec-lam/nhan-vien-hanh-chinh.35C6B390.html","Xem chi tiết")</f>
        <v/>
      </c>
      <c r="M12250" s="10" t="n"/>
    </row>
    <row r="12251">
      <c r="B12251" s="7" t="n">
        <v>12249</v>
      </c>
      <c r="C12251" t="inlineStr">
        <is>
          <t>Kiến Trúc Sư Triển Khai</t>
        </is>
      </c>
      <c r="D12251" t="inlineStr">
        <is>
          <t>CÔNG TY CỔ PHẨN ỨNG DỤNG VÀ CHUYỂN GIAO CÔNG NGHỆ XÂY DỰNG (CJSC)</t>
        </is>
      </c>
      <c r="E12251" t="inlineStr">
        <is>
          <t>Lương:15 Tr - 20 Tr VND</t>
        </is>
      </c>
      <c r="F12251" t="inlineStr">
        <is>
          <t>Hà Nội</t>
        </is>
      </c>
      <c r="G12251" t="inlineStr">
        <is>
          <t>11-04-2026</t>
        </is>
      </c>
      <c r="H12251" t="inlineStr">
        <is>
          <t>11/04/2026</t>
        </is>
      </c>
      <c r="I12251" t="inlineStr">
        <is>
          <t>17/03/2026</t>
        </is>
      </c>
      <c r="J12251" t="inlineStr">
        <is>
          <t>Kiến trúc, Xây dựng</t>
        </is>
      </c>
      <c r="K12251" t="inlineStr">
        <is>
          <t>3 - 5 Năm</t>
        </is>
      </c>
      <c r="L12251" s="8">
        <f>HYPERLINK("https://careerviet.vn/vi/tim-viec-lam/kien-truc-su-trien-khai.35C6C451.html","Xem chi tiết")</f>
        <v/>
      </c>
    </row>
    <row r="12252">
      <c r="B12252" s="9" t="n">
        <v>12250</v>
      </c>
      <c r="C12252" s="10" t="inlineStr">
        <is>
          <t>Shipping Agent</t>
        </is>
      </c>
      <c r="D12252" s="10" t="inlineStr">
        <is>
          <t>CÔNG TY TNHH VẬN TẢI BIỂN GOLDEN SEA</t>
        </is>
      </c>
      <c r="E12252" s="10" t="inlineStr">
        <is>
          <t>Lương:Cạnh tranh</t>
        </is>
      </c>
      <c r="F12252" s="10" t="inlineStr">
        <is>
          <t>Hồ Chí Minh</t>
        </is>
      </c>
      <c r="G12252" s="10" t="inlineStr">
        <is>
          <t>12-04-2026</t>
        </is>
      </c>
      <c r="H12252" s="10" t="inlineStr">
        <is>
          <t>12/04/2026</t>
        </is>
      </c>
      <c r="I12252" s="10" t="inlineStr">
        <is>
          <t>17/03/2026</t>
        </is>
      </c>
      <c r="J12252" s="10" t="inlineStr">
        <is>
          <t>Hàng hải, Xuất nhập khẩu</t>
        </is>
      </c>
      <c r="K12252" s="10" t="inlineStr">
        <is>
          <t>Trên 1 Năm</t>
        </is>
      </c>
      <c r="L12252" s="11">
        <f>HYPERLINK("https://careerviet.vn/vi/tim-viec-lam/shipping-agent.35C6C379.html","Xem chi tiết")</f>
        <v/>
      </c>
      <c r="M12252" s="10" t="n"/>
    </row>
    <row r="12253">
      <c r="B12253" s="7" t="n">
        <v>12251</v>
      </c>
      <c r="C12253" t="inlineStr">
        <is>
          <t>[HN] Giám Sát Nhà Hàng Pi Thai</t>
        </is>
      </c>
      <c r="D12253" t="inlineStr">
        <is>
          <t>CÔNG TY TNHH THƯƠNG MẠI VÀ DỊCH VỤ TALAD THAI</t>
        </is>
      </c>
      <c r="E12253" t="inlineStr">
        <is>
          <t>Lương:9 Tr - 10 Tr VND</t>
        </is>
      </c>
      <c r="F12253" t="inlineStr">
        <is>
          <t>Hà Nội</t>
        </is>
      </c>
      <c r="G12253" t="inlineStr">
        <is>
          <t>12-04-2026</t>
        </is>
      </c>
      <c r="H12253" t="inlineStr">
        <is>
          <t>12/04/2026</t>
        </is>
      </c>
      <c r="I12253" t="inlineStr">
        <is>
          <t>17/03/2026</t>
        </is>
      </c>
      <c r="J12253" t="inlineStr">
        <is>
          <t>Nhà hàng / Khách sạn, Bán hàng / Kinh doanh</t>
        </is>
      </c>
      <c r="K12253" t="inlineStr">
        <is>
          <t>Lên đến 1 Năm</t>
        </is>
      </c>
      <c r="L12253" s="8">
        <f>HYPERLINK("https://careerviet.vn/vi/tim-viec-lam/hn-giam-sat-nha-hang-pi-thai.35C6C433.html","Xem chi tiết")</f>
        <v/>
      </c>
    </row>
    <row r="12254">
      <c r="B12254" s="9" t="n">
        <v>12252</v>
      </c>
      <c r="C12254" s="10" t="inlineStr">
        <is>
          <t>Chuyên viên Rập Sofa (Pattern Specialist)</t>
        </is>
      </c>
      <c r="D12254" s="10" t="inlineStr">
        <is>
          <t>Wanek Furniture</t>
        </is>
      </c>
      <c r="E12254" s="10" t="inlineStr">
        <is>
          <t>Lương:Cạnh tranh</t>
        </is>
      </c>
      <c r="F12254" s="10" t="inlineStr">
        <is>
          <t>Bình Dương</t>
        </is>
      </c>
      <c r="G12254" s="10" t="inlineStr">
        <is>
          <t>06-04-2026</t>
        </is>
      </c>
      <c r="H12254" s="10" t="inlineStr">
        <is>
          <t>06/04/2026</t>
        </is>
      </c>
      <c r="I12254" s="10" t="inlineStr">
        <is>
          <t>17/03/2026</t>
        </is>
      </c>
      <c r="J12254" s="10" t="inlineStr">
        <is>
          <t>Mỹ thuật / Nghệ thuật / Thiết kế, Dệt may / Da giày / Thời trang, Nội ngoại thất</t>
        </is>
      </c>
      <c r="K12254" s="10" t="inlineStr">
        <is>
          <t>2 - 5 Năm</t>
        </is>
      </c>
      <c r="L12254" s="11">
        <f>HYPERLINK("https://careerviet.vn/vi/tim-viec-lam/chuyen-vien-rap-sofa-pattern-specialist.35C6A11B.html","Xem chi tiết")</f>
        <v/>
      </c>
      <c r="M12254" s="10" t="n"/>
    </row>
    <row r="12255">
      <c r="B12255" s="7" t="n">
        <v>12253</v>
      </c>
      <c r="C12255" t="inlineStr">
        <is>
          <t>Trưởng Phòng Marketing</t>
        </is>
      </c>
      <c r="D12255" t="inlineStr">
        <is>
          <t>CÔNG TY CỔ PHẦN ĐẦU TƯ  BẤT ĐỘNG SẢN NHẤT GIA</t>
        </is>
      </c>
      <c r="E12255" t="inlineStr">
        <is>
          <t>Lương:23 Tr - 30 Tr VND</t>
        </is>
      </c>
      <c r="F12255" t="inlineStr">
        <is>
          <t>Hồ Chí Minh</t>
        </is>
      </c>
      <c r="G12255" t="inlineStr">
        <is>
          <t>12-04-2026</t>
        </is>
      </c>
      <c r="H12255" t="inlineStr">
        <is>
          <t>12/04/2026</t>
        </is>
      </c>
      <c r="I12255" t="inlineStr">
        <is>
          <t>17/03/2026</t>
        </is>
      </c>
      <c r="J12255" t="inlineStr">
        <is>
          <t>Tiếp thị / Marketing, Giải trí, Quảng cáo / Đối ngoại / Truyền Thông</t>
        </is>
      </c>
      <c r="K12255" t="inlineStr">
        <is>
          <t>3 - 5 Năm</t>
        </is>
      </c>
      <c r="L12255" s="8">
        <f>HYPERLINK("https://careerviet.vn/vi/tim-viec-lam/truong-phong-marketing.35C6C442.html","Xem chi tiết")</f>
        <v/>
      </c>
    </row>
    <row r="12256">
      <c r="B12256" s="9" t="n">
        <v>12254</v>
      </c>
      <c r="C12256" s="10" t="inlineStr">
        <is>
          <t>PHÓ PHÒNG MARKETING &amp; TRUYỀN THÔNG NGÀNH BẤT ĐỘNG SẢN</t>
        </is>
      </c>
      <c r="D12256" s="10" t="inlineStr">
        <is>
          <t>Hoàng Huy Group</t>
        </is>
      </c>
      <c r="E12256" s="10" t="inlineStr">
        <is>
          <t>Lương:25 Tr - 30 Tr VND</t>
        </is>
      </c>
      <c r="F12256" s="10" t="inlineStr">
        <is>
          <t>Hà Nội</t>
        </is>
      </c>
      <c r="G12256" s="10" t="inlineStr">
        <is>
          <t>31-03-2026</t>
        </is>
      </c>
      <c r="H12256" s="10" t="inlineStr">
        <is>
          <t>31/03/2026</t>
        </is>
      </c>
      <c r="I12256" s="10" t="inlineStr">
        <is>
          <t>17/03/2026</t>
        </is>
      </c>
      <c r="J12256" s="10" t="inlineStr">
        <is>
          <t>Bất động sản</t>
        </is>
      </c>
      <c r="K12256" s="10" t="inlineStr">
        <is>
          <t>3 - 5 Năm</t>
        </is>
      </c>
      <c r="L12256" s="11">
        <f>HYPERLINK("https://careerviet.vn/vi/tim-viec-lam/pho-phong-marketing-truyen-thong-nganh-bat-dong-san.35C6B4EB.html","Xem chi tiết")</f>
        <v/>
      </c>
      <c r="M12256" s="10" t="n"/>
    </row>
    <row r="12257">
      <c r="B12257" s="7" t="n">
        <v>12255</v>
      </c>
      <c r="C12257" t="inlineStr">
        <is>
          <t>[QUẢNG NAM] TÀI XẾ XE TẢI - LÀM VIỆC TẠI KHU ĐÔ THỊ ĐẤT QUẢNG RIVERSIDE QUẢNG NAM</t>
        </is>
      </c>
      <c r="D12257" t="inlineStr">
        <is>
          <t>CÔNG TY CỔ PHẦN SẢN XUẤT, THƯƠNG MẠI VÀ DỊCH VỤ PHÚC THỊNH</t>
        </is>
      </c>
      <c r="E12257" t="inlineStr">
        <is>
          <t>Lương:8 Tr - 13 Tr VND</t>
        </is>
      </c>
      <c r="F12257" t="inlineStr">
        <is>
          <t>Quảng Nam</t>
        </is>
      </c>
      <c r="G12257" t="inlineStr">
        <is>
          <t>07-04-2026</t>
        </is>
      </c>
      <c r="H12257" t="inlineStr">
        <is>
          <t>07/04/2026</t>
        </is>
      </c>
      <c r="I12257" t="inlineStr">
        <is>
          <t>17/03/2026</t>
        </is>
      </c>
      <c r="J12257" t="inlineStr">
        <is>
          <t>Vận chuyển / Giao nhận / Kho vận, Thực phẩm &amp; Đồ uống</t>
        </is>
      </c>
      <c r="K12257" t="inlineStr">
        <is>
          <t>1 - 2 Năm</t>
        </is>
      </c>
      <c r="L12257" s="8">
        <f>HYPERLINK("https://careerviet.vn/vi/tim-viec-lam/quang-nam-tai-xe-xe-tai-lam-viec-tai-khu-do-thi-dat-quang-riverside-quang-nam.35C6B995.html","Xem chi tiết")</f>
        <v/>
      </c>
    </row>
    <row r="12258">
      <c r="B12258" s="9" t="n">
        <v>12256</v>
      </c>
      <c r="C12258" s="10" t="inlineStr">
        <is>
          <t>Application Engineer</t>
        </is>
      </c>
      <c r="D12258" s="10" t="inlineStr">
        <is>
          <t>TECOTEC Technology</t>
        </is>
      </c>
      <c r="E12258" s="10" t="inlineStr">
        <is>
          <t>Lương:10 Tr - 15 Tr VND</t>
        </is>
      </c>
      <c r="F12258" s="10" t="inlineStr">
        <is>
          <t>Hà Nội</t>
        </is>
      </c>
      <c r="G12258" s="10" t="inlineStr">
        <is>
          <t>12-04-2026</t>
        </is>
      </c>
      <c r="H12258" s="10" t="inlineStr">
        <is>
          <t>12/04/2026</t>
        </is>
      </c>
      <c r="I12258" s="10" t="inlineStr">
        <is>
          <t>17/03/2026</t>
        </is>
      </c>
      <c r="J12258" s="10" t="inlineStr">
        <is>
          <t>Điện / Điện tử / Điện lạnh / Điện công nghiệp, Cơ khí / Ô tô / Tự động hóa</t>
        </is>
      </c>
      <c r="K12258" s="10" t="inlineStr">
        <is>
          <t>1 - 2 Năm</t>
        </is>
      </c>
      <c r="L12258" s="11">
        <f>HYPERLINK("https://careerviet.vn/vi/tim-viec-lam/application-engineer.35C6C447.html","Xem chi tiết")</f>
        <v/>
      </c>
      <c r="M12258" s="10" t="n"/>
    </row>
    <row r="12259">
      <c r="B12259" s="7" t="n">
        <v>12257</v>
      </c>
      <c r="C12259" t="inlineStr">
        <is>
          <t>Chuyên viên dự toán nội thất</t>
        </is>
      </c>
      <c r="D12259" t="inlineStr">
        <is>
          <t>CÔNG TY CỔ PHẦN ABT HOMES</t>
        </is>
      </c>
      <c r="E12259" t="inlineStr">
        <is>
          <t>Lương:13 Tr - 17 Tr VND</t>
        </is>
      </c>
      <c r="F12259" t="inlineStr">
        <is>
          <t>Hà Nội</t>
        </is>
      </c>
      <c r="G12259" t="inlineStr">
        <is>
          <t>20-05-2026</t>
        </is>
      </c>
      <c r="H12259" t="inlineStr">
        <is>
          <t>20/05/2026</t>
        </is>
      </c>
      <c r="I12259" t="inlineStr">
        <is>
          <t>17/03/2026</t>
        </is>
      </c>
      <c r="J12259" t="inlineStr">
        <is>
          <t>Kiến trúc, Xây dựng, Nội ngoại thất</t>
        </is>
      </c>
      <c r="K12259" t="inlineStr">
        <is>
          <t>1 - 2 Năm</t>
        </is>
      </c>
      <c r="L12259" s="8">
        <f>HYPERLINK("https://careerviet.vn/vi/tim-viec-lam/chuyen-vien-du-toan-noi-that.35C6C445.html","Xem chi tiết")</f>
        <v/>
      </c>
    </row>
    <row r="12260">
      <c r="B12260" s="9" t="n">
        <v>12258</v>
      </c>
      <c r="C12260" s="10" t="inlineStr">
        <is>
          <t>Kiến trúc sư chủ trì</t>
        </is>
      </c>
      <c r="D12260" s="10" t="inlineStr">
        <is>
          <t>CÔNG TY CỔ PHẨN ỨNG DỤNG VÀ CHUYỂN GIAO CÔNG NGHỆ XÂY DỰNG (CJSC)</t>
        </is>
      </c>
      <c r="E12260" s="10" t="inlineStr">
        <is>
          <t>Lương:23 Tr - 30 Tr VND</t>
        </is>
      </c>
      <c r="F12260" s="10" t="inlineStr">
        <is>
          <t>Hà Nội</t>
        </is>
      </c>
      <c r="G12260" s="10" t="inlineStr">
        <is>
          <t>11-04-2026</t>
        </is>
      </c>
      <c r="H12260" s="10" t="inlineStr">
        <is>
          <t>11/04/2026</t>
        </is>
      </c>
      <c r="I12260" s="10" t="inlineStr">
        <is>
          <t>17/03/2026</t>
        </is>
      </c>
      <c r="J12260" s="10" t="inlineStr">
        <is>
          <t>Kiến trúc, Xây dựng</t>
        </is>
      </c>
      <c r="K12260" s="10" t="inlineStr">
        <is>
          <t>3 - 5 Năm</t>
        </is>
      </c>
      <c r="L12260" s="11">
        <f>HYPERLINK("https://careerviet.vn/vi/tim-viec-lam/kien-truc-su-chu-tri.35C6C44A.html","Xem chi tiết")</f>
        <v/>
      </c>
      <c r="M12260" s="10" t="n"/>
    </row>
    <row r="12261">
      <c r="B12261" s="7" t="n">
        <v>12259</v>
      </c>
      <c r="C12261" t="inlineStr">
        <is>
          <t>Nhân viên kế toán</t>
        </is>
      </c>
      <c r="D12261" t="inlineStr">
        <is>
          <t>Công Ty TNHH Fursys VN</t>
        </is>
      </c>
      <c r="E12261" t="inlineStr">
        <is>
          <t>Lương:Cạnh tranh</t>
        </is>
      </c>
      <c r="F12261" t="inlineStr">
        <is>
          <t>Đồng Nai</t>
        </is>
      </c>
      <c r="G12261" t="inlineStr">
        <is>
          <t>15-04-2026</t>
        </is>
      </c>
      <c r="H12261" t="inlineStr">
        <is>
          <t>15/04/2026</t>
        </is>
      </c>
      <c r="I12261" t="inlineStr">
        <is>
          <t>17/03/2026</t>
        </is>
      </c>
      <c r="J12261" t="inlineStr">
        <is>
          <t>Kế toán / Kiểm toán</t>
        </is>
      </c>
      <c r="K12261" t="inlineStr">
        <is>
          <t>Chưa có kinh nghiệm</t>
        </is>
      </c>
      <c r="L12261" s="8">
        <f>HYPERLINK("https://careerviet.vn/vi/tim-viec-lam/nhan-vien-ke-toan.35C6C440.html","Xem chi tiết")</f>
        <v/>
      </c>
    </row>
    <row r="12262">
      <c r="B12262" s="9" t="n">
        <v>12260</v>
      </c>
      <c r="C12262" s="10" t="inlineStr">
        <is>
          <t>[Thủ Đức] Thực tập sinh lấy mẫu hiện trường (3 tháng có phụ cấp)</t>
        </is>
      </c>
      <c r="D12262" s="10" t="inlineStr">
        <is>
          <t>EUROFINS VIETNAM</t>
        </is>
      </c>
      <c r="E12262" s="10" t="inlineStr">
        <is>
          <t>Lương:Cạnh tranh</t>
        </is>
      </c>
      <c r="F12262" s="10" t="inlineStr">
        <is>
          <t>Hồ Chí Minh</t>
        </is>
      </c>
      <c r="G12262" s="10" t="inlineStr">
        <is>
          <t>09-04-2026</t>
        </is>
      </c>
      <c r="H12262" s="10" t="inlineStr">
        <is>
          <t>09/04/2026</t>
        </is>
      </c>
      <c r="I12262" s="10" t="inlineStr">
        <is>
          <t>17/03/2026</t>
        </is>
      </c>
      <c r="J12262" s="10" t="inlineStr">
        <is>
          <t>Môi trường, Mới tốt nghiệp / Thực tập, Công nghệ sinh học</t>
        </is>
      </c>
      <c r="K12262" s="10" t="inlineStr">
        <is>
          <t>N/A</t>
        </is>
      </c>
      <c r="L12262" s="11">
        <f>HYPERLINK("https://careerviet.vn/vi/tim-viec-lam/thu-duc-thuc-tap-sinh-lay-mau-hien-truong-3-thang-co-phu-cap.35C6C446.html","Xem chi tiết")</f>
        <v/>
      </c>
      <c r="M12262" s="10" t="n"/>
    </row>
    <row r="12263">
      <c r="B12263" s="7" t="n">
        <v>12261</v>
      </c>
      <c r="C12263" t="inlineStr">
        <is>
          <t>Chuyên viên cao cấp Quản trị giải pháp tài chính khách hàng phổ thông, Phân khúc khách hàng phổ thông, Khối Khách hàng cá nhân</t>
        </is>
      </c>
      <c r="D12263" t="inlineStr">
        <is>
          <t>Ngân hàng TMCP Đại Chúng Việt Nam - PVcomBank</t>
        </is>
      </c>
      <c r="E12263" t="inlineStr">
        <is>
          <t>Lương:Cạnh tranh</t>
        </is>
      </c>
      <c r="F12263" t="inlineStr">
        <is>
          <t>Hà Nội</t>
        </is>
      </c>
      <c r="G12263" t="inlineStr">
        <is>
          <t>12-04-2026</t>
        </is>
      </c>
      <c r="H12263" t="inlineStr">
        <is>
          <t>12/04/2026</t>
        </is>
      </c>
      <c r="I12263" t="inlineStr">
        <is>
          <t>17/03/2026</t>
        </is>
      </c>
      <c r="J12263" t="inlineStr">
        <is>
          <t>Ngân hàng, Bán hàng / Kinh doanh</t>
        </is>
      </c>
      <c r="K12263" t="inlineStr">
        <is>
          <t>3 - 5 Năm</t>
        </is>
      </c>
      <c r="L12263" s="8">
        <f>HYPERLINK("https://careerviet.vn/vi/tim-viec-lam/chuyen-vien-cao-cap-quan-tri-giai-phap-tai-chinh-khach-hang-pho-thong-phan-khuc-khach-hang-pho-thong-khoi-khach-hang-ca-nhan.35C6C44E.html","Xem chi tiết")</f>
        <v/>
      </c>
    </row>
    <row r="12264">
      <c r="B12264" s="9" t="n">
        <v>12262</v>
      </c>
      <c r="C12264" s="10" t="inlineStr">
        <is>
          <t>Nhân viên livestream</t>
        </is>
      </c>
      <c r="D12264" s="10" t="inlineStr">
        <is>
          <t>CÔNG TY CỔ PHẦN ABT HOMES</t>
        </is>
      </c>
      <c r="E12264" s="10" t="inlineStr">
        <is>
          <t>Lương:4 Tr - 15 Tr VND</t>
        </is>
      </c>
      <c r="F12264" s="10" t="inlineStr">
        <is>
          <t>Hà Nội</t>
        </is>
      </c>
      <c r="G12264" s="10" t="inlineStr">
        <is>
          <t>23-05-2026</t>
        </is>
      </c>
      <c r="H12264" s="10" t="inlineStr">
        <is>
          <t>23/05/2026</t>
        </is>
      </c>
      <c r="I12264" s="10" t="inlineStr">
        <is>
          <t>17/03/2026</t>
        </is>
      </c>
      <c r="J12264" s="10" t="inlineStr">
        <is>
          <t>Kiến trúc, Xây dựng, Nội ngoại thất</t>
        </is>
      </c>
      <c r="K12264" s="10" t="inlineStr">
        <is>
          <t>1 - 2 Năm</t>
        </is>
      </c>
      <c r="L12264" s="11">
        <f>HYPERLINK("https://careerviet.vn/vi/tim-viec-lam/nhan-vien-livestream.35C6C437.html","Xem chi tiết")</f>
        <v/>
      </c>
      <c r="M12264" s="10" t="n"/>
    </row>
    <row r="12265">
      <c r="B12265" s="7" t="n">
        <v>12263</v>
      </c>
      <c r="C12265" t="inlineStr">
        <is>
          <t>CHUYÊN VIÊN QUAY DỰNG ( EDITOR - DESIGN )</t>
        </is>
      </c>
      <c r="D12265" t="inlineStr">
        <is>
          <t>CÔNG TY CỔ PHẦN ABT HOMES</t>
        </is>
      </c>
      <c r="E12265" t="inlineStr">
        <is>
          <t>Lương:12 Tr - 20 Tr VND</t>
        </is>
      </c>
      <c r="F12265" t="inlineStr">
        <is>
          <t>Hà Nội</t>
        </is>
      </c>
      <c r="G12265" t="inlineStr">
        <is>
          <t>20-05-2026</t>
        </is>
      </c>
      <c r="H12265" t="inlineStr">
        <is>
          <t>20/05/2026</t>
        </is>
      </c>
      <c r="I12265" t="inlineStr">
        <is>
          <t>17/03/2026</t>
        </is>
      </c>
      <c r="J12265" t="inlineStr">
        <is>
          <t>Mỹ thuật / Nghệ thuật / Thiết kế, Truyền hình / Báo chí / Biên tập, Quảng cáo / Đối ngoại / Truyền Thông</t>
        </is>
      </c>
      <c r="K12265" t="inlineStr">
        <is>
          <t>1 - 3 Năm</t>
        </is>
      </c>
      <c r="L12265" s="8">
        <f>HYPERLINK("https://careerviet.vn/vi/tim-viec-lam/chuyen-vien-quay-dung-editor-design.35C6C448.html","Xem chi tiết")</f>
        <v/>
      </c>
    </row>
    <row r="12266">
      <c r="B12266" s="9" t="n">
        <v>12264</v>
      </c>
      <c r="C12266" s="10" t="inlineStr">
        <is>
          <t>CREATIVE GRAPHIC DESIGNER</t>
        </is>
      </c>
      <c r="D12266" s="10" t="inlineStr">
        <is>
          <t>PPP Laser Clinic Viet Nam</t>
        </is>
      </c>
      <c r="E12266" s="10" t="inlineStr">
        <is>
          <t>Lương:15 Tr - 20 Tr VND</t>
        </is>
      </c>
      <c r="F12266" s="10" t="inlineStr">
        <is>
          <t>Hồ Chí Minh</t>
        </is>
      </c>
      <c r="G12266" s="10" t="inlineStr">
        <is>
          <t>30-04-2026</t>
        </is>
      </c>
      <c r="H12266" s="10" t="inlineStr">
        <is>
          <t>30/04/2026</t>
        </is>
      </c>
      <c r="I12266" s="10" t="inlineStr">
        <is>
          <t>17/03/2026</t>
        </is>
      </c>
      <c r="J12266" s="10" t="inlineStr">
        <is>
          <t>Tiếp thị / Marketing, Mỹ thuật / Nghệ thuật / Thiết kế, Y tế / Chăm sóc sức khỏe / Thẩm mỹ / Làm đẹp</t>
        </is>
      </c>
      <c r="K12266" s="10" t="inlineStr">
        <is>
          <t>3 - 5 Năm</t>
        </is>
      </c>
      <c r="L12266" s="11">
        <f>HYPERLINK("https://careerviet.vn/vi/tim-viec-lam/creative-graphic-designer.35C6C430.html","Xem chi tiết")</f>
        <v/>
      </c>
      <c r="M12266" s="10" t="n"/>
    </row>
    <row r="12267">
      <c r="B12267" s="7" t="n">
        <v>12265</v>
      </c>
      <c r="C12267" t="inlineStr">
        <is>
          <t>Chuyên viên dự toán xây dựng</t>
        </is>
      </c>
      <c r="D12267" t="inlineStr">
        <is>
          <t>CÔNG TY CỔ PHẦN ABT HOMES</t>
        </is>
      </c>
      <c r="E12267" t="inlineStr">
        <is>
          <t>Lương:12 Tr - 15 Tr VND</t>
        </is>
      </c>
      <c r="F12267" t="inlineStr">
        <is>
          <t>Quảng Ninh</t>
        </is>
      </c>
      <c r="G12267" t="inlineStr">
        <is>
          <t>20-05-2026</t>
        </is>
      </c>
      <c r="H12267" t="inlineStr">
        <is>
          <t>20/05/2026</t>
        </is>
      </c>
      <c r="I12267" t="inlineStr">
        <is>
          <t>17/03/2026</t>
        </is>
      </c>
      <c r="J12267" t="inlineStr">
        <is>
          <t>Kiến trúc</t>
        </is>
      </c>
      <c r="K12267" t="inlineStr">
        <is>
          <t>1 - 2 Năm</t>
        </is>
      </c>
      <c r="L12267" s="8">
        <f>HYPERLINK("https://careerviet.vn/vi/tim-viec-lam/chuyen-vien-du-toan-xay-dung.35C6C43F.html","Xem chi tiết")</f>
        <v/>
      </c>
    </row>
    <row r="12268">
      <c r="B12268" s="9" t="n">
        <v>12266</v>
      </c>
      <c r="C12268" s="10" t="inlineStr">
        <is>
          <t>Nhân viên tuyển dụng ( mass)</t>
        </is>
      </c>
      <c r="D12268" s="10" t="inlineStr">
        <is>
          <t>CÔNG TY CỔ PHẦN ULTD THỊNH PHÁT</t>
        </is>
      </c>
      <c r="E12268" s="10" t="inlineStr">
        <is>
          <t>Lương:9 Tr - 12 Tr VND</t>
        </is>
      </c>
      <c r="F12268" s="10" t="inlineStr">
        <is>
          <t>Hà Nội</t>
        </is>
      </c>
      <c r="G12268" s="10" t="inlineStr">
        <is>
          <t>13-04-2026</t>
        </is>
      </c>
      <c r="H12268" s="10" t="inlineStr">
        <is>
          <t>13/04/2026</t>
        </is>
      </c>
      <c r="I12268" s="10" t="inlineStr">
        <is>
          <t>17/03/2026</t>
        </is>
      </c>
      <c r="J12268" s="10" t="inlineStr">
        <is>
          <t>Nhân sự, Luật / Pháp lý, Bán lẻ / Bán sỉ</t>
        </is>
      </c>
      <c r="K12268" s="10" t="inlineStr">
        <is>
          <t>1 - 2 Năm</t>
        </is>
      </c>
      <c r="L12268" s="11">
        <f>HYPERLINK("https://careerviet.vn/vi/tim-viec-lam/nhan-vien-tuyen-dung-mass.35C6C438.html","Xem chi tiết")</f>
        <v/>
      </c>
      <c r="M12268" s="10" t="n"/>
    </row>
    <row r="12269">
      <c r="B12269" s="7" t="n">
        <v>12267</v>
      </c>
      <c r="C12269" t="inlineStr">
        <is>
          <t>Sales Account Manager</t>
        </is>
      </c>
      <c r="D12269" t="inlineStr">
        <is>
          <t>ShelbyGlobal Vietnam Company Limited</t>
        </is>
      </c>
      <c r="E12269" t="inlineStr">
        <is>
          <t>Lương:20 Tr - 45 Tr VND</t>
        </is>
      </c>
      <c r="F12269" t="inlineStr">
        <is>
          <t>Đồng Nai</t>
        </is>
      </c>
      <c r="G12269" t="inlineStr">
        <is>
          <t>15-04-2026</t>
        </is>
      </c>
      <c r="H12269" t="inlineStr">
        <is>
          <t>15/04/2026</t>
        </is>
      </c>
      <c r="I12269" t="inlineStr">
        <is>
          <t>17/03/2026</t>
        </is>
      </c>
      <c r="J12269" t="inlineStr">
        <is>
          <t>Bán hàng / Kinh doanh, Sản xuất / Vận hành sản xuất</t>
        </is>
      </c>
      <c r="K12269" t="inlineStr">
        <is>
          <t>5 - 20 Năm</t>
        </is>
      </c>
      <c r="L12269" s="8">
        <f>HYPERLINK("https://careerviet.vn/vi/tim-viec-lam/sales-account-manager.35C6C42D.html","Xem chi tiết")</f>
        <v/>
      </c>
    </row>
    <row r="12270">
      <c r="B12270" s="9" t="n">
        <v>12268</v>
      </c>
      <c r="C12270" s="10" t="inlineStr">
        <is>
          <t>[HN] Quản Lý Nhà Hàng Pi Thai</t>
        </is>
      </c>
      <c r="D12270" s="10" t="inlineStr">
        <is>
          <t>CÔNG TY TNHH THƯƠNG MẠI VÀ DỊCH VỤ TALAD THAI</t>
        </is>
      </c>
      <c r="E12270" s="10" t="inlineStr">
        <is>
          <t>Lương:11 Tr - 12 Tr VND</t>
        </is>
      </c>
      <c r="F12270" s="10" t="inlineStr">
        <is>
          <t>Hà Nội</t>
        </is>
      </c>
      <c r="G12270" s="10" t="inlineStr">
        <is>
          <t>12-04-2026</t>
        </is>
      </c>
      <c r="H12270" s="10" t="inlineStr">
        <is>
          <t>12/04/2026</t>
        </is>
      </c>
      <c r="I12270" s="10" t="inlineStr">
        <is>
          <t>17/03/2026</t>
        </is>
      </c>
      <c r="J12270" s="10" t="inlineStr">
        <is>
          <t>Nhà hàng / Khách sạn, Bán hàng / Kinh doanh</t>
        </is>
      </c>
      <c r="K12270" s="10" t="inlineStr">
        <is>
          <t>Lên đến 1 Năm</t>
        </is>
      </c>
      <c r="L12270" s="11">
        <f>HYPERLINK("https://careerviet.vn/vi/tim-viec-lam/hn-quan-ly-nha-hang-pi-thai.35C6C402.html","Xem chi tiết")</f>
        <v/>
      </c>
      <c r="M12270" s="10" t="n"/>
    </row>
    <row r="12271">
      <c r="B12271" s="7" t="n">
        <v>12269</v>
      </c>
      <c r="C12271" t="inlineStr">
        <is>
          <t>Nhân viên Bảo trì điện</t>
        </is>
      </c>
      <c r="D12271" t="inlineStr">
        <is>
          <t>Hệ thống Vĩnh Tân</t>
        </is>
      </c>
      <c r="E12271" t="inlineStr">
        <is>
          <t>Lương:12 Tr - 16 Tr VND</t>
        </is>
      </c>
      <c r="F12271" t="inlineStr">
        <is>
          <t>Hồ Chí Minh</t>
        </is>
      </c>
      <c r="G12271" t="inlineStr">
        <is>
          <t>30-04-2026</t>
        </is>
      </c>
      <c r="H12271" t="inlineStr">
        <is>
          <t>30/04/2026</t>
        </is>
      </c>
      <c r="I12271" t="inlineStr">
        <is>
          <t>17/03/2026</t>
        </is>
      </c>
      <c r="J12271" t="inlineStr">
        <is>
          <t>Điện / Điện tử / Điện lạnh / Điện công nghiệp</t>
        </is>
      </c>
      <c r="K12271" t="inlineStr">
        <is>
          <t>1 - 3 Năm</t>
        </is>
      </c>
      <c r="L12271" s="8">
        <f>HYPERLINK("https://careerviet.vn/vi/tim-viec-lam/nhan-vien-bao-tri-dien.35C6C417.html","Xem chi tiết")</f>
        <v/>
      </c>
    </row>
    <row r="12272">
      <c r="B12272" s="9" t="n">
        <v>12270</v>
      </c>
      <c r="C12272" s="10" t="inlineStr">
        <is>
          <t>Nhân viên Marketing Ads</t>
        </is>
      </c>
      <c r="D12272" s="10" t="inlineStr">
        <is>
          <t>CÔNG TY CỔ PHẦN ABT HOMES</t>
        </is>
      </c>
      <c r="E12272" s="10" t="inlineStr">
        <is>
          <t>Lương:11 Tr - 14 Tr VND</t>
        </is>
      </c>
      <c r="F12272" s="10" t="inlineStr">
        <is>
          <t>Hà Nội</t>
        </is>
      </c>
      <c r="G12272" s="10" t="inlineStr">
        <is>
          <t>12-04-2026</t>
        </is>
      </c>
      <c r="H12272" s="10" t="inlineStr">
        <is>
          <t>12/04/2026</t>
        </is>
      </c>
      <c r="I12272" s="10" t="inlineStr">
        <is>
          <t>17/03/2026</t>
        </is>
      </c>
      <c r="J12272" s="10" t="inlineStr">
        <is>
          <t>Kiến trúc, Xây dựng, Nội ngoại thất</t>
        </is>
      </c>
      <c r="K12272" s="10" t="inlineStr">
        <is>
          <t>1 - 2 Năm</t>
        </is>
      </c>
      <c r="L12272" s="11">
        <f>HYPERLINK("https://careerviet.vn/vi/tim-viec-lam/nhan-vien-marketing-ads.35C6C42F.html","Xem chi tiết")</f>
        <v/>
      </c>
      <c r="M12272" s="10" t="n"/>
    </row>
    <row r="12273">
      <c r="B12273" s="7" t="n">
        <v>12271</v>
      </c>
      <c r="C12273" t="inlineStr">
        <is>
          <t>Giám sát thi công xây dựng</t>
        </is>
      </c>
      <c r="D12273" t="inlineStr">
        <is>
          <t>CÔNG TY CỔ PHẦN ABT HOMES</t>
        </is>
      </c>
      <c r="E12273" t="inlineStr">
        <is>
          <t>Lương:12 Tr - 15 Tr VND</t>
        </is>
      </c>
      <c r="F12273" t="inlineStr">
        <is>
          <t>Hà Nội</t>
        </is>
      </c>
      <c r="G12273" t="inlineStr">
        <is>
          <t>26-05-2026</t>
        </is>
      </c>
      <c r="H12273" t="inlineStr">
        <is>
          <t>26/05/2026</t>
        </is>
      </c>
      <c r="I12273" t="inlineStr">
        <is>
          <t>17/03/2026</t>
        </is>
      </c>
      <c r="J12273" t="inlineStr">
        <is>
          <t>Xây dựng, Nội ngoại thất</t>
        </is>
      </c>
      <c r="K12273" t="inlineStr">
        <is>
          <t>2 - 3 Năm</t>
        </is>
      </c>
      <c r="L12273" s="8">
        <f>HYPERLINK("https://careerviet.vn/vi/tim-viec-lam/giam-sat-thi-cong-xay-dung.35C6C439.html","Xem chi tiết")</f>
        <v/>
      </c>
    </row>
    <row r="12274">
      <c r="B12274" s="9" t="n">
        <v>12272</v>
      </c>
      <c r="C12274" s="10" t="inlineStr">
        <is>
          <t>Chuyên viên tuyển dụng</t>
        </is>
      </c>
      <c r="D12274" s="10" t="inlineStr">
        <is>
          <t>CÔNG TY CỔ PHẦN ULTD THỊNH PHÁT</t>
        </is>
      </c>
      <c r="E12274" s="10" t="inlineStr">
        <is>
          <t>Lương:10 Tr - 15 Tr VND</t>
        </is>
      </c>
      <c r="F12274" s="10" t="inlineStr">
        <is>
          <t>Hà Nội</t>
        </is>
      </c>
      <c r="G12274" s="10" t="inlineStr">
        <is>
          <t>12-04-2026</t>
        </is>
      </c>
      <c r="H12274" s="10" t="inlineStr">
        <is>
          <t>12/04/2026</t>
        </is>
      </c>
      <c r="I12274" s="10" t="inlineStr">
        <is>
          <t>17/03/2026</t>
        </is>
      </c>
      <c r="J12274" s="10" t="inlineStr">
        <is>
          <t>Nhân sự, Luật / Pháp lý, Hành chính / Thư ký</t>
        </is>
      </c>
      <c r="K12274" s="10" t="inlineStr">
        <is>
          <t>2 - 3 Năm</t>
        </is>
      </c>
      <c r="L12274" s="11">
        <f>HYPERLINK("https://careerviet.vn/vi/tim-viec-lam/chuyen-vien-tuyen-dung.35C6C41B.html","Xem chi tiết")</f>
        <v/>
      </c>
      <c r="M12274" s="10" t="n"/>
    </row>
    <row r="12275">
      <c r="B12275" s="7" t="n">
        <v>12273</v>
      </c>
      <c r="C12275" t="inlineStr">
        <is>
          <t>Chuyên Viên QC Nhà Máy</t>
        </is>
      </c>
      <c r="D12275" t="inlineStr">
        <is>
          <t>Công ty Cổ phần Đầu tư Asia Dragon</t>
        </is>
      </c>
      <c r="E12275" t="inlineStr">
        <is>
          <t>Lương:14 Tr - 20 Tr VND</t>
        </is>
      </c>
      <c r="F12275" t="inlineStr">
        <is>
          <t>Hồ Chí Minh</t>
        </is>
      </c>
      <c r="G12275" t="inlineStr">
        <is>
          <t>30-04-2026</t>
        </is>
      </c>
      <c r="H12275" t="inlineStr">
        <is>
          <t>30/04/2026</t>
        </is>
      </c>
      <c r="I12275" t="inlineStr">
        <is>
          <t>17/03/2026</t>
        </is>
      </c>
      <c r="J12275" t="inlineStr">
        <is>
          <t>Quản lý chất lượng (QA/QC), Sản xuất / Vận hành sản xuất</t>
        </is>
      </c>
      <c r="K12275" t="inlineStr">
        <is>
          <t>3 - 5 Năm</t>
        </is>
      </c>
      <c r="L12275" s="8">
        <f>HYPERLINK("https://careerviet.vn/vi/tim-viec-lam/chuyen-vien-qc-nha-may.35C6C41C.html","Xem chi tiết")</f>
        <v/>
      </c>
    </row>
    <row r="12276">
      <c r="B12276" s="9" t="n">
        <v>12274</v>
      </c>
      <c r="C12276" s="10" t="inlineStr">
        <is>
          <t>Marketing Senior F&amp;B</t>
        </is>
      </c>
      <c r="D12276" s="10" t="inlineStr">
        <is>
          <t>ONE GROUP</t>
        </is>
      </c>
      <c r="E12276" s="10" t="inlineStr">
        <is>
          <t>Lương:13 Tr - 18 Tr VND</t>
        </is>
      </c>
      <c r="F12276" s="10" t="inlineStr">
        <is>
          <t>Hồ Chí Minh</t>
        </is>
      </c>
      <c r="G12276" s="10" t="inlineStr">
        <is>
          <t>10-04-2026</t>
        </is>
      </c>
      <c r="H12276" s="10" t="inlineStr">
        <is>
          <t>10/04/2026</t>
        </is>
      </c>
      <c r="I12276" s="10" t="inlineStr">
        <is>
          <t>17/03/2026</t>
        </is>
      </c>
      <c r="J12276" s="10" t="inlineStr">
        <is>
          <t>Tiếp thị / Marketing, Quảng cáo / Đối ngoại / Truyền Thông, Tổ chức sự kiện</t>
        </is>
      </c>
      <c r="K12276" s="10" t="inlineStr">
        <is>
          <t>2 - 3 Năm</t>
        </is>
      </c>
      <c r="L12276" s="11">
        <f>HYPERLINK("https://careerviet.vn/vi/tim-viec-lam/marketing-senior-f-b.35C6C42E.html","Xem chi tiết")</f>
        <v/>
      </c>
      <c r="M12276" s="10" t="n"/>
    </row>
    <row r="12277">
      <c r="B12277" s="7" t="n">
        <v>12275</v>
      </c>
      <c r="C12277" t="inlineStr">
        <is>
          <t>Cán Bộ An Toàn (Miền Bắc)</t>
        </is>
      </c>
      <c r="D12277" t="inlineStr">
        <is>
          <t>CÔNG TY CỔ PHẨN ỨNG DỤNG VÀ CHUYỂN GIAO CÔNG NGHỆ XÂY DỰNG (CJSC)</t>
        </is>
      </c>
      <c r="E12277" t="inlineStr">
        <is>
          <t>Lương:18 Tr - 22 Tr VND</t>
        </is>
      </c>
      <c r="F12277" t="inlineStr">
        <is>
          <t>Hà NamThái Bình</t>
        </is>
      </c>
      <c r="G12277" t="inlineStr">
        <is>
          <t>11-04-2026</t>
        </is>
      </c>
      <c r="H12277" t="inlineStr">
        <is>
          <t>11/04/2026</t>
        </is>
      </c>
      <c r="I12277" t="inlineStr">
        <is>
          <t>17/03/2026</t>
        </is>
      </c>
      <c r="J12277" t="inlineStr">
        <is>
          <t>Xây dựng</t>
        </is>
      </c>
      <c r="K12277" t="inlineStr">
        <is>
          <t>3 - 5 Năm</t>
        </is>
      </c>
      <c r="L12277" s="8">
        <f>HYPERLINK("https://careerviet.vn/vi/tim-viec-lam/can-bo-an-toan-mien-bac.35C6C40A.html","Xem chi tiết")</f>
        <v/>
      </c>
    </row>
    <row r="12278">
      <c r="B12278" s="9" t="n">
        <v>12276</v>
      </c>
      <c r="C12278" s="10" t="inlineStr">
        <is>
          <t>Business Analyst (Web3/Blockchain)</t>
        </is>
      </c>
      <c r="D12278" s="10" t="inlineStr">
        <is>
          <t>Công ty Cổ phần Tập đoàn Meey Land</t>
        </is>
      </c>
      <c r="E12278" s="10" t="inlineStr">
        <is>
          <t>Lương:20 Tr - 30 Tr VND</t>
        </is>
      </c>
      <c r="F12278" s="10" t="inlineStr">
        <is>
          <t>Hà Nội</t>
        </is>
      </c>
      <c r="G12278" s="10" t="inlineStr">
        <is>
          <t>31-05-2026</t>
        </is>
      </c>
      <c r="H12278" s="10" t="inlineStr">
        <is>
          <t>31/05/2026</t>
        </is>
      </c>
      <c r="I12278" s="10" t="inlineStr">
        <is>
          <t>17/03/2026</t>
        </is>
      </c>
      <c r="J12278" s="10" t="inlineStr">
        <is>
          <t>Chứng khoán, CNTT - Phần mềm</t>
        </is>
      </c>
      <c r="K12278" s="10" t="inlineStr">
        <is>
          <t>3 - 4 Năm</t>
        </is>
      </c>
      <c r="L12278" s="11">
        <f>HYPERLINK("https://careerviet.vn/vi/tim-viec-lam/business-analyst-web3-blockchain.35C6C413.html","Xem chi tiết")</f>
        <v/>
      </c>
      <c r="M12278" s="10" t="n"/>
    </row>
    <row r="12279">
      <c r="B12279" s="7" t="n">
        <v>12277</v>
      </c>
      <c r="C12279" t="inlineStr">
        <is>
          <t>[DONG NAI] - CORP TRADE OFFICER</t>
        </is>
      </c>
      <c r="D12279" t="inlineStr">
        <is>
          <t>Shinhan Bank Vietnam</t>
        </is>
      </c>
      <c r="E12279" t="inlineStr">
        <is>
          <t>Lương:Cạnh tranh</t>
        </is>
      </c>
      <c r="F12279" t="inlineStr">
        <is>
          <t>Đồng Nai</t>
        </is>
      </c>
      <c r="G12279" t="inlineStr">
        <is>
          <t>29-04-2026</t>
        </is>
      </c>
      <c r="H12279" t="inlineStr">
        <is>
          <t>29/04/2026</t>
        </is>
      </c>
      <c r="I12279" t="inlineStr">
        <is>
          <t>17/03/2026</t>
        </is>
      </c>
      <c r="J12279" t="inlineStr">
        <is>
          <t>Ngân hàng</t>
        </is>
      </c>
      <c r="K12279" t="inlineStr">
        <is>
          <t>Trên 1 Năm</t>
        </is>
      </c>
      <c r="L12279" s="8">
        <f>HYPERLINK("https://careerviet.vn/vi/tim-viec-lam/dong-nai-corp-trade-officer.35C6C414.html","Xem chi tiết")</f>
        <v/>
      </c>
    </row>
    <row r="12280">
      <c r="B12280" s="9" t="n">
        <v>12278</v>
      </c>
      <c r="C12280" s="10" t="inlineStr">
        <is>
          <t>Kỹ Sư Phòng Cháy Chữa Cháy</t>
        </is>
      </c>
      <c r="D12280" s="10" t="inlineStr">
        <is>
          <t>CÔNG TY CỔ PHẨN ỨNG DỤNG VÀ CHUYỂN GIAO CÔNG NGHỆ XÂY DỰNG (CJSC)</t>
        </is>
      </c>
      <c r="E12280" s="10" t="inlineStr">
        <is>
          <t>Lương:17 Tr - 22 Tr VND</t>
        </is>
      </c>
      <c r="F12280" s="10" t="inlineStr">
        <is>
          <t>Hà Nội</t>
        </is>
      </c>
      <c r="G12280" s="10" t="inlineStr">
        <is>
          <t>11-04-2026</t>
        </is>
      </c>
      <c r="H12280" s="10" t="inlineStr">
        <is>
          <t>11/04/2026</t>
        </is>
      </c>
      <c r="I12280" s="10" t="inlineStr">
        <is>
          <t>17/03/2026</t>
        </is>
      </c>
      <c r="J12280" s="10" t="inlineStr">
        <is>
          <t>Xây dựng, Điện / Điện tử / Điện lạnh / Điện công nghiệp, Bảo trì / Sửa chữa</t>
        </is>
      </c>
      <c r="K12280" s="10" t="inlineStr">
        <is>
          <t>3 - 5 Năm</t>
        </is>
      </c>
      <c r="L12280" s="11">
        <f>HYPERLINK("https://careerviet.vn/vi/tim-viec-lam/ky-su-phong-chay-chua-chay.35C6C41D.html","Xem chi tiết")</f>
        <v/>
      </c>
      <c r="M12280" s="10" t="n"/>
    </row>
    <row r="12281">
      <c r="B12281" s="7" t="n">
        <v>12279</v>
      </c>
      <c r="C12281" t="inlineStr">
        <is>
          <t>Inventory &amp; Logistics Supervisor (US Company)</t>
        </is>
      </c>
      <c r="D12281" t="inlineStr">
        <is>
          <t>SAMTEC VIETNAM COMPANY LIMITED</t>
        </is>
      </c>
      <c r="E12281" t="inlineStr">
        <is>
          <t>Lương:Cạnh tranh</t>
        </is>
      </c>
      <c r="F12281" t="inlineStr">
        <is>
          <t>Đồng Nai</t>
        </is>
      </c>
      <c r="G12281" t="inlineStr">
        <is>
          <t>30-04-2026</t>
        </is>
      </c>
      <c r="H12281" t="inlineStr">
        <is>
          <t>30/04/2026</t>
        </is>
      </c>
      <c r="I12281" t="inlineStr">
        <is>
          <t>17/03/2026</t>
        </is>
      </c>
      <c r="J12281" t="inlineStr">
        <is>
          <t>Cơ khí / Ô tô / Tự động hóa, Điện / Điện tử / Điện lạnh / Điện công nghiệp, Sản xuất / Vận hành sản xuất</t>
        </is>
      </c>
      <c r="K12281" t="inlineStr">
        <is>
          <t>2 - 10 Năm</t>
        </is>
      </c>
      <c r="L12281" s="8">
        <f>HYPERLINK("https://careerviet.vn/vi/tim-viec-lam/inventory-logistics-supervisor-us-company.35C6C405.html","Xem chi tiết")</f>
        <v/>
      </c>
    </row>
    <row r="12282">
      <c r="B12282" s="9" t="n">
        <v>12280</v>
      </c>
      <c r="C12282" s="10" t="inlineStr">
        <is>
          <t>Chuyên viên Phát triển khách hàng</t>
        </is>
      </c>
      <c r="D12282" s="10" t="inlineStr">
        <is>
          <t>Công ty TNHH Chứng khoán Ngân hàng TMCP Ngoại thương Việt Nam (VCBS - Vietcombank Securities)</t>
        </is>
      </c>
      <c r="E12282" s="10" t="inlineStr">
        <is>
          <t>Lương:Cạnh tranh</t>
        </is>
      </c>
      <c r="F12282" s="10" t="inlineStr">
        <is>
          <t>Hà Nội</t>
        </is>
      </c>
      <c r="G12282" s="10" t="inlineStr">
        <is>
          <t>29-04-2026</t>
        </is>
      </c>
      <c r="H12282" s="10" t="inlineStr">
        <is>
          <t>29/04/2026</t>
        </is>
      </c>
      <c r="I12282" s="10" t="inlineStr">
        <is>
          <t>17/03/2026</t>
        </is>
      </c>
      <c r="J12282" s="10" t="inlineStr">
        <is>
          <t>Chứng khoán, Tài chính / Đầu tư</t>
        </is>
      </c>
      <c r="K12282" s="10" t="inlineStr">
        <is>
          <t>Lên đến 3 Năm</t>
        </is>
      </c>
      <c r="L12282" s="11">
        <f>HYPERLINK("https://careerviet.vn/vi/tim-viec-lam/chuyen-vien-phat-trien-khach-hang.35C6C42A.html","Xem chi tiết")</f>
        <v/>
      </c>
      <c r="M12282" s="10" t="n"/>
    </row>
    <row r="12283">
      <c r="B12283" s="7" t="n">
        <v>12281</v>
      </c>
      <c r="C12283" t="inlineStr">
        <is>
          <t>Kỹ Sư Thiết Kế Điện</t>
        </is>
      </c>
      <c r="D12283" t="inlineStr">
        <is>
          <t>CÔNG TY CỔ PHẨN ỨNG DỤNG VÀ CHUYỂN GIAO CÔNG NGHỆ XÂY DỰNG (CJSC)</t>
        </is>
      </c>
      <c r="E12283" t="inlineStr">
        <is>
          <t>Lương:17 Tr - 22 Tr VND</t>
        </is>
      </c>
      <c r="F12283" t="inlineStr">
        <is>
          <t>Hà Nội</t>
        </is>
      </c>
      <c r="G12283" t="inlineStr">
        <is>
          <t>11-04-2026</t>
        </is>
      </c>
      <c r="H12283" t="inlineStr">
        <is>
          <t>11/04/2026</t>
        </is>
      </c>
      <c r="I12283" t="inlineStr">
        <is>
          <t>17/03/2026</t>
        </is>
      </c>
      <c r="J12283" t="inlineStr">
        <is>
          <t>Điện / Điện tử / Điện lạnh / Điện công nghiệp, Xây dựng</t>
        </is>
      </c>
      <c r="K12283" t="inlineStr">
        <is>
          <t>3 - 5 Năm</t>
        </is>
      </c>
      <c r="L12283" s="8">
        <f>HYPERLINK("https://careerviet.vn/vi/tim-viec-lam/ky-su-thiet-ke-dien.35C6C427.html","Xem chi tiết")</f>
        <v/>
      </c>
    </row>
    <row r="12284">
      <c r="B12284" s="9" t="n">
        <v>12282</v>
      </c>
      <c r="C12284" s="10" t="inlineStr">
        <is>
          <t>Nhân Viên Quản lý hợp đồng  (Mảng Thuê - Cho Thuê Mặt Bằng)</t>
        </is>
      </c>
      <c r="D12284" s="10" t="inlineStr">
        <is>
          <t>THỜI TRANG LINING_CÔNG TY TNHH QUỐC TẾ HẢI LONG</t>
        </is>
      </c>
      <c r="E12284" s="10" t="inlineStr">
        <is>
          <t>Lương:10 Tr - 15 Tr VND</t>
        </is>
      </c>
      <c r="F12284" s="10" t="inlineStr">
        <is>
          <t>Hà Nội</t>
        </is>
      </c>
      <c r="G12284" s="10" t="inlineStr">
        <is>
          <t>18-04-2026</t>
        </is>
      </c>
      <c r="H12284" s="10" t="inlineStr">
        <is>
          <t>18/04/2026</t>
        </is>
      </c>
      <c r="I12284" s="10" t="inlineStr">
        <is>
          <t>17/03/2026</t>
        </is>
      </c>
      <c r="J12284" s="10" t="inlineStr">
        <is>
          <t>Kế toán / Kiểm toán</t>
        </is>
      </c>
      <c r="K12284" s="10" t="inlineStr">
        <is>
          <t>2 - 5 Năm</t>
        </is>
      </c>
      <c r="L12284" s="11">
        <f>HYPERLINK("https://careerviet.vn/vi/tim-viec-lam/nhan-vien-quan-ly-hop-dong-mang-thue-cho-thue-mat-bang.35C6C40E.html","Xem chi tiết")</f>
        <v/>
      </c>
      <c r="M12284" s="10" t="n"/>
    </row>
    <row r="12285">
      <c r="B12285" s="7" t="n">
        <v>12283</v>
      </c>
      <c r="C12285" t="inlineStr">
        <is>
          <t>chăm sóc khách hàng</t>
        </is>
      </c>
      <c r="D12285" t="inlineStr">
        <is>
          <t>CÔNG TY CỔ PHẦN ABT HOMES</t>
        </is>
      </c>
      <c r="E12285" t="inlineStr">
        <is>
          <t>Lương:8 Tr - 15 Tr VND</t>
        </is>
      </c>
      <c r="F12285" t="inlineStr">
        <is>
          <t>Hồ Chí Minh</t>
        </is>
      </c>
      <c r="G12285" t="inlineStr">
        <is>
          <t>21-05-2026</t>
        </is>
      </c>
      <c r="H12285" t="inlineStr">
        <is>
          <t>21/05/2026</t>
        </is>
      </c>
      <c r="I12285" t="inlineStr">
        <is>
          <t>17/03/2026</t>
        </is>
      </c>
      <c r="J12285" t="inlineStr">
        <is>
          <t>Xây dựng, Nội ngoại thất</t>
        </is>
      </c>
      <c r="K12285" t="inlineStr">
        <is>
          <t>Chưa có kinh nghiệm</t>
        </is>
      </c>
      <c r="L12285" s="8">
        <f>HYPERLINK("https://careerviet.vn/vi/tim-viec-lam/cham-soc-khach-hang.35C6C434.html","Xem chi tiết")</f>
        <v/>
      </c>
    </row>
    <row r="12286">
      <c r="B12286" s="9" t="n">
        <v>12284</v>
      </c>
      <c r="C12286" s="10" t="inlineStr">
        <is>
          <t>Chuyên viên bán Bảo hiểm trực tiếp - RB - MSB - 3F284</t>
        </is>
      </c>
      <c r="D12286" s="10" t="inlineStr">
        <is>
          <t>Ngân hàng Thương mại Cổ phần Hàng Hải Việt Nam (MSB)</t>
        </is>
      </c>
      <c r="E12286" s="10" t="inlineStr">
        <is>
          <t>Lương:Cạnh tranh</t>
        </is>
      </c>
      <c r="F12286" s="10" t="inlineStr">
        <is>
          <t>Bạc LiêuCà Mau</t>
        </is>
      </c>
      <c r="G12286" s="10" t="inlineStr">
        <is>
          <t>30-04-2026</t>
        </is>
      </c>
      <c r="H12286" s="10" t="inlineStr">
        <is>
          <t>30/04/2026</t>
        </is>
      </c>
      <c r="I12286" s="10" t="inlineStr">
        <is>
          <t>17/03/2026</t>
        </is>
      </c>
      <c r="J12286" s="10" t="inlineStr">
        <is>
          <t>Bảo hiểm</t>
        </is>
      </c>
      <c r="K12286" s="10" t="inlineStr">
        <is>
          <t>Chưa có kinh nghiệm</t>
        </is>
      </c>
      <c r="L12286" s="11">
        <f>HYPERLINK("https://careerviet.vn/vi/tim-viec-lam/chuyen-vien-ban-bao-hiem-truc-tiep-rb-msb-3f284.35C6C406.html","Xem chi tiết")</f>
        <v/>
      </c>
      <c r="M12286" s="10" t="n"/>
    </row>
    <row r="12287">
      <c r="B12287" s="7" t="n">
        <v>12285</v>
      </c>
      <c r="C12287" t="inlineStr">
        <is>
          <t>NHÂN VIÊN KINH DOANH NỘI ĐỊA (KHÁCH SỈ)</t>
        </is>
      </c>
      <c r="D12287" t="inlineStr">
        <is>
          <t>CÔNG TY TNHH TÔN PHÚC NHIÊN</t>
        </is>
      </c>
      <c r="E12287" t="inlineStr">
        <is>
          <t>Lương:Cạnh tranh</t>
        </is>
      </c>
      <c r="F12287" t="inlineStr">
        <is>
          <t>Hồ Chí Minh</t>
        </is>
      </c>
      <c r="G12287" t="inlineStr">
        <is>
          <t>12-04-2026</t>
        </is>
      </c>
      <c r="H12287" t="inlineStr">
        <is>
          <t>12/04/2026</t>
        </is>
      </c>
      <c r="I12287" t="inlineStr">
        <is>
          <t>17/03/2026</t>
        </is>
      </c>
      <c r="J12287" t="inlineStr">
        <is>
          <t>Tiếp thị / Marketing, Bán hàng / Kinh doanh</t>
        </is>
      </c>
      <c r="K12287" t="inlineStr">
        <is>
          <t>1 - 2 Năm</t>
        </is>
      </c>
      <c r="L12287" s="8">
        <f>HYPERLINK("https://careerviet.vn/vi/tim-viec-lam/nhan-vien-kinh-doanh-noi-dia-khach-si.35C6C3F8.html","Xem chi tiết")</f>
        <v/>
      </c>
    </row>
    <row r="12288">
      <c r="B12288" s="9" t="n">
        <v>12286</v>
      </c>
      <c r="C12288" s="10" t="inlineStr">
        <is>
          <t>Chuyên viên/Chuyên gia Pháp chế</t>
        </is>
      </c>
      <c r="D12288" s="10" t="inlineStr">
        <is>
          <t>Công ty Cổ phần Chứng khoán Sài Gòn - Hà Nội</t>
        </is>
      </c>
      <c r="E12288" s="10" t="inlineStr">
        <is>
          <t>Lương:Cạnh tranh</t>
        </is>
      </c>
      <c r="F12288" s="10" t="inlineStr">
        <is>
          <t>Hà Nội</t>
        </is>
      </c>
      <c r="G12288" s="10" t="inlineStr">
        <is>
          <t>29-04-2026</t>
        </is>
      </c>
      <c r="H12288" s="10" t="inlineStr">
        <is>
          <t>29/04/2026</t>
        </is>
      </c>
      <c r="I12288" s="10" t="inlineStr">
        <is>
          <t>17/03/2026</t>
        </is>
      </c>
      <c r="J12288" s="10" t="inlineStr">
        <is>
          <t>Luật / Pháp lý</t>
        </is>
      </c>
      <c r="K12288" s="10" t="inlineStr">
        <is>
          <t>2 - 5 Năm</t>
        </is>
      </c>
      <c r="L12288" s="11">
        <f>HYPERLINK("https://careerviet.vn/vi/tim-viec-lam/chuyen-vien-chuyen-gia-phap-che.35C6C3EF.html","Xem chi tiết")</f>
        <v/>
      </c>
      <c r="M12288" s="10" t="n"/>
    </row>
    <row r="12289">
      <c r="B12289" s="7" t="n">
        <v>12287</v>
      </c>
      <c r="C12289" t="inlineStr">
        <is>
          <t>Chuyên viên kinh doanh và Giám sát thi công</t>
        </is>
      </c>
      <c r="D12289" t="inlineStr">
        <is>
          <t>Công Ty TNHH Sơn Seamaster Việt Nam</t>
        </is>
      </c>
      <c r="E12289" t="inlineStr">
        <is>
          <t>Lương:15 Tr - 20 Tr VND</t>
        </is>
      </c>
      <c r="F12289" t="inlineStr">
        <is>
          <t>Bình DươngHồ Chí Minh</t>
        </is>
      </c>
      <c r="G12289" t="inlineStr">
        <is>
          <t>31-03-2026</t>
        </is>
      </c>
      <c r="H12289" t="inlineStr">
        <is>
          <t>31/03/2026</t>
        </is>
      </c>
      <c r="I12289" t="inlineStr">
        <is>
          <t>17/03/2026</t>
        </is>
      </c>
      <c r="J12289" t="inlineStr">
        <is>
          <t>Bán lẻ / Bán sỉ, Bán hàng / Kinh doanh, Xây dựng</t>
        </is>
      </c>
      <c r="K12289" t="inlineStr">
        <is>
          <t>2 - 3 Năm</t>
        </is>
      </c>
      <c r="L12289" s="8">
        <f>HYPERLINK("https://careerviet.vn/vi/tim-viec-lam/chuyen-vien-kinh-doanh-va-giam-sat-thi-cong.35C6C3EE.html","Xem chi tiết")</f>
        <v/>
      </c>
    </row>
    <row r="12290">
      <c r="B12290" s="9" t="n">
        <v>12288</v>
      </c>
      <c r="C12290" s="10" t="inlineStr">
        <is>
          <t>Giám Sát Xây Dựng (Hoàn Thiện)</t>
        </is>
      </c>
      <c r="D12290" s="10" t="inlineStr">
        <is>
          <t>CÔNG TY CỔ PHẦN TẬP ĐOÀN GDC</t>
        </is>
      </c>
      <c r="E12290" s="10" t="inlineStr">
        <is>
          <t>Lương:18 Tr - 23 Tr VND</t>
        </is>
      </c>
      <c r="F12290" s="10" t="inlineStr">
        <is>
          <t>Bắc GiangHải Dương</t>
        </is>
      </c>
      <c r="G12290" s="10" t="inlineStr">
        <is>
          <t>14-04-2026</t>
        </is>
      </c>
      <c r="H12290" s="10" t="inlineStr">
        <is>
          <t>14/04/2026</t>
        </is>
      </c>
      <c r="I12290" s="10" t="inlineStr">
        <is>
          <t>17/03/2026</t>
        </is>
      </c>
      <c r="J12290" s="10" t="inlineStr">
        <is>
          <t>Xây dựng, Bất động sản</t>
        </is>
      </c>
      <c r="K12290" s="10" t="inlineStr">
        <is>
          <t>1 - 10 Năm</t>
        </is>
      </c>
      <c r="L12290" s="11">
        <f>HYPERLINK("https://careerviet.vn/vi/tim-viec-lam/giam-sat-xay-dung-hoan-thien.35C6C400.html","Xem chi tiết")</f>
        <v/>
      </c>
      <c r="M12290" s="10" t="n"/>
    </row>
    <row r="12291">
      <c r="B12291" s="7" t="n">
        <v>12289</v>
      </c>
      <c r="C12291" t="inlineStr">
        <is>
          <t>Nhân Viên QC (Vi Sinh)</t>
        </is>
      </c>
      <c r="D12291" t="inlineStr">
        <is>
          <t>Orioled Hub</t>
        </is>
      </c>
      <c r="E12291" t="inlineStr">
        <is>
          <t>Lương:Cạnh tranh</t>
        </is>
      </c>
      <c r="F12291" t="inlineStr">
        <is>
          <t>Bà Rịa - Vũng Tàu</t>
        </is>
      </c>
      <c r="G12291" t="inlineStr">
        <is>
          <t>30-04-2026</t>
        </is>
      </c>
      <c r="H12291" t="inlineStr">
        <is>
          <t>30/04/2026</t>
        </is>
      </c>
      <c r="I12291" t="inlineStr">
        <is>
          <t>17/03/2026</t>
        </is>
      </c>
      <c r="J12291" t="inlineStr">
        <is>
          <t>Dược phẩm/ Hóa Mỹ Phẩm, Công nghệ sinh học, Quản lý chất lượng (QA/QC)</t>
        </is>
      </c>
      <c r="K12291" t="inlineStr">
        <is>
          <t>Lên đến 1 Năm</t>
        </is>
      </c>
      <c r="L12291" s="8">
        <f>HYPERLINK("https://careerviet.vn/vi/tim-viec-lam/nhan-vien-qc-vi-sinh.35C6C3FD.html","Xem chi tiết")</f>
        <v/>
      </c>
    </row>
    <row r="12292">
      <c r="B12292" s="9" t="n">
        <v>12290</v>
      </c>
      <c r="C12292" s="10" t="inlineStr">
        <is>
          <t>[Đồng Nai] Nhân Viên Y Tế - Hợp Đồng 7 Tháng</t>
        </is>
      </c>
      <c r="D12292" s="10" t="inlineStr">
        <is>
          <t>Công ty Cổ Phần Tập Đoàn Thiên Long</t>
        </is>
      </c>
      <c r="E12292" s="10" t="inlineStr">
        <is>
          <t>Lương:10 Tr - 11 Tr VND</t>
        </is>
      </c>
      <c r="F12292" s="10" t="inlineStr">
        <is>
          <t>Đồng Nai</t>
        </is>
      </c>
      <c r="G12292" s="10" t="inlineStr">
        <is>
          <t>12-04-2026</t>
        </is>
      </c>
      <c r="H12292" s="10" t="inlineStr">
        <is>
          <t>12/04/2026</t>
        </is>
      </c>
      <c r="I12292" s="10" t="inlineStr">
        <is>
          <t>17/03/2026</t>
        </is>
      </c>
      <c r="J12292" s="10" t="inlineStr">
        <is>
          <t>Y tế / Chăm sóc sức khỏe / Thẩm mỹ / Làm đẹp</t>
        </is>
      </c>
      <c r="K12292" s="10" t="inlineStr">
        <is>
          <t>Lên đến 1 Năm</t>
        </is>
      </c>
      <c r="L12292" s="11">
        <f>HYPERLINK("https://careerviet.vn/vi/tim-viec-lam/dong-nai-nhan-vien-y-te-hop-dong-7-thang.35C6C3E6.html","Xem chi tiết")</f>
        <v/>
      </c>
      <c r="M12292" s="10" t="n"/>
    </row>
    <row r="12293">
      <c r="B12293" s="7" t="n">
        <v>12291</v>
      </c>
      <c r="C12293" t="inlineStr">
        <is>
          <t>Regulatory Affairs Associate</t>
        </is>
      </c>
      <c r="D12293" t="inlineStr">
        <is>
          <t>Công ty TNHH Kimberly Clark Việt Nam</t>
        </is>
      </c>
      <c r="E12293" t="inlineStr">
        <is>
          <t>Lương:Cạnh tranh</t>
        </is>
      </c>
      <c r="F12293" t="inlineStr">
        <is>
          <t>Hồ Chí Minh</t>
        </is>
      </c>
      <c r="G12293" t="inlineStr">
        <is>
          <t>11-04-2026</t>
        </is>
      </c>
      <c r="H12293" t="inlineStr">
        <is>
          <t>11/04/2026</t>
        </is>
      </c>
      <c r="I12293" t="inlineStr">
        <is>
          <t>17/03/2026</t>
        </is>
      </c>
      <c r="J12293" t="inlineStr">
        <is>
          <t>Quản lý chất lượng (QA/QC), Dược phẩm/ Hóa Mỹ Phẩm, Hóa học</t>
        </is>
      </c>
      <c r="K12293" t="inlineStr">
        <is>
          <t>Trên 5 Năm</t>
        </is>
      </c>
      <c r="L12293" s="8">
        <f>HYPERLINK("https://careerviet.vn/vi/tim-viec-lam/regulatory-affairs-associate.35C6C3F5.html","Xem chi tiết")</f>
        <v/>
      </c>
    </row>
    <row r="12294">
      <c r="B12294" s="9" t="n">
        <v>12292</v>
      </c>
      <c r="C12294" s="10" t="inlineStr">
        <is>
          <t>Trưởng Nhóm Tài Chính Kế Toán (Ô tô)</t>
        </is>
      </c>
      <c r="D12294" s="10" t="inlineStr">
        <is>
          <t>Công Ty TNHH Tập Đoàn Rita Võ</t>
        </is>
      </c>
      <c r="E12294" s="10" t="inlineStr">
        <is>
          <t>Lương:Cạnh tranh</t>
        </is>
      </c>
      <c r="F12294" s="10" t="inlineStr">
        <is>
          <t>Bình Dương</t>
        </is>
      </c>
      <c r="G12294" s="10" t="inlineStr">
        <is>
          <t>15-04-2026</t>
        </is>
      </c>
      <c r="H12294" s="10" t="inlineStr">
        <is>
          <t>15/04/2026</t>
        </is>
      </c>
      <c r="I12294" s="10" t="inlineStr">
        <is>
          <t>17/03/2026</t>
        </is>
      </c>
      <c r="J12294" s="10" t="inlineStr">
        <is>
          <t>Kế toán / Kiểm toán, Tài chính / Đầu tư, Cơ khí / Ô tô / Tự động hóa</t>
        </is>
      </c>
      <c r="K12294" s="10" t="inlineStr">
        <is>
          <t>Trên 3 Năm</t>
        </is>
      </c>
      <c r="L12294" s="11">
        <f>HYPERLINK("https://careerviet.vn/vi/tim-viec-lam/truong-nhom-tai-chinh-ke-toan-o-to.35C6C3E9.html","Xem chi tiết")</f>
        <v/>
      </c>
      <c r="M12294" s="10" t="n"/>
    </row>
    <row r="12295">
      <c r="B12295" s="7" t="n">
        <v>12293</v>
      </c>
      <c r="C12295" t="inlineStr">
        <is>
          <t>R&amp;D Project Manager - Trưởng phòng R&amp;D (Dự án Điều hòa)</t>
        </is>
      </c>
      <c r="D12295" t="inlineStr">
        <is>
          <t>Tập Đoàn Karofi Holding</t>
        </is>
      </c>
      <c r="E12295" t="inlineStr">
        <is>
          <t>Lương:1.800 - 3.000 USD</t>
        </is>
      </c>
      <c r="F12295" t="inlineStr">
        <is>
          <t>Hà NộiHưng Yên</t>
        </is>
      </c>
      <c r="G12295" t="inlineStr">
        <is>
          <t>30-05-2026</t>
        </is>
      </c>
      <c r="H12295" t="inlineStr">
        <is>
          <t>30/05/2026</t>
        </is>
      </c>
      <c r="I12295" t="inlineStr">
        <is>
          <t>17/03/2026</t>
        </is>
      </c>
      <c r="J12295" t="inlineStr">
        <is>
          <t>Hàng gia dụng / Chăm sóc cá nhân, Cơ khí / Ô tô / Tự động hóa, Điện / Điện tử / Điện lạnh / Điện công nghiệp</t>
        </is>
      </c>
      <c r="K12295" t="inlineStr">
        <is>
          <t>Trên 3 Năm</t>
        </is>
      </c>
      <c r="L12295" s="8">
        <f>HYPERLINK("https://careerviet.vn/vi/tim-viec-lam/r-d-project-manager-truong-phong-r-d-du-an-dieu-hoa.35C6C3F3.html","Xem chi tiết")</f>
        <v/>
      </c>
    </row>
    <row r="12296">
      <c r="B12296" s="9" t="n">
        <v>12294</v>
      </c>
      <c r="C12296" s="10" t="inlineStr">
        <is>
          <t>Trưởng nhóm Thiết kế</t>
        </is>
      </c>
      <c r="D12296" s="10" t="inlineStr">
        <is>
          <t>CÔNG TY CỔ PHẦN ABT HOMES</t>
        </is>
      </c>
      <c r="E12296" s="10" t="inlineStr">
        <is>
          <t>Lương:13 Tr - 15 Tr VND</t>
        </is>
      </c>
      <c r="F12296" s="10" t="inlineStr">
        <is>
          <t>Hà Nội</t>
        </is>
      </c>
      <c r="G12296" s="10" t="inlineStr">
        <is>
          <t>15-04-2026</t>
        </is>
      </c>
      <c r="H12296" s="10" t="inlineStr">
        <is>
          <t>15/04/2026</t>
        </is>
      </c>
      <c r="I12296" s="10" t="inlineStr">
        <is>
          <t>17/03/2026</t>
        </is>
      </c>
      <c r="J12296" s="10" t="inlineStr">
        <is>
          <t>Kiến trúc, Nội ngoại thất</t>
        </is>
      </c>
      <c r="K12296" s="10" t="inlineStr">
        <is>
          <t>2 - 3 Năm</t>
        </is>
      </c>
      <c r="L12296" s="11">
        <f>HYPERLINK("https://careerviet.vn/vi/tim-viec-lam/truong-nhom-thiet-ke.35C6C3EC.html","Xem chi tiết")</f>
        <v/>
      </c>
      <c r="M12296" s="10" t="n"/>
    </row>
    <row r="12297">
      <c r="B12297" s="7" t="n">
        <v>12295</v>
      </c>
      <c r="C12297" t="inlineStr">
        <is>
          <t>Nhân viên thiết kế/Design</t>
        </is>
      </c>
      <c r="D12297" t="inlineStr">
        <is>
          <t>CÔNG TY CỔ PHẦN ABT HOMES</t>
        </is>
      </c>
      <c r="E12297" t="inlineStr">
        <is>
          <t>Lương:11 Tr - 15 Tr VND</t>
        </is>
      </c>
      <c r="F12297" t="inlineStr">
        <is>
          <t>Hà Nội</t>
        </is>
      </c>
      <c r="G12297" t="inlineStr">
        <is>
          <t>15-04-2026</t>
        </is>
      </c>
      <c r="H12297" t="inlineStr">
        <is>
          <t>15/04/2026</t>
        </is>
      </c>
      <c r="I12297" t="inlineStr">
        <is>
          <t>17/03/2026</t>
        </is>
      </c>
      <c r="J12297" t="inlineStr">
        <is>
          <t>Xây dựng</t>
        </is>
      </c>
      <c r="K12297" t="inlineStr">
        <is>
          <t>1 - 2 Năm</t>
        </is>
      </c>
      <c r="L12297" s="8">
        <f>HYPERLINK("https://careerviet.vn/vi/tim-viec-lam/nhan-vien-thiet-ke-design.35C6C3F1.html","Xem chi tiết")</f>
        <v/>
      </c>
    </row>
    <row r="12298">
      <c r="B12298" s="9" t="n">
        <v>12296</v>
      </c>
      <c r="C12298" s="10" t="inlineStr">
        <is>
          <t>[Long Thành - Đồng Nai] Kỹ Thuật Viên Vận Hành Máy Ép Nhựa</t>
        </is>
      </c>
      <c r="D12298" s="10" t="inlineStr">
        <is>
          <t>Công ty Cổ Phần Tập Đoàn Thiên Long</t>
        </is>
      </c>
      <c r="E12298" s="10" t="inlineStr">
        <is>
          <t>Lương:10 Tr - 12 Tr VND</t>
        </is>
      </c>
      <c r="F12298" s="10" t="inlineStr">
        <is>
          <t>Đồng Nai</t>
        </is>
      </c>
      <c r="G12298" s="10" t="inlineStr">
        <is>
          <t>14-04-2026</t>
        </is>
      </c>
      <c r="H12298" s="10" t="inlineStr">
        <is>
          <t>14/04/2026</t>
        </is>
      </c>
      <c r="I12298" s="10" t="inlineStr">
        <is>
          <t>17/03/2026</t>
        </is>
      </c>
      <c r="J12298" s="10" t="inlineStr">
        <is>
          <t>Bảo trì / Sửa chữa, Sản xuất / Vận hành sản xuất</t>
        </is>
      </c>
      <c r="K12298" s="10" t="inlineStr">
        <is>
          <t>2 - 3 Năm</t>
        </is>
      </c>
      <c r="L12298" s="11">
        <f>HYPERLINK("https://careerviet.vn/vi/tim-viec-lam/long-thanh-dong-nai-ky-thuat-vien-van-hanh-may-ep-nhua.35C6193F.html","Xem chi tiết")</f>
        <v/>
      </c>
      <c r="M12298" s="10" t="n"/>
    </row>
    <row r="12299">
      <c r="B12299" s="7" t="n">
        <v>12297</v>
      </c>
      <c r="C12299" t="inlineStr">
        <is>
          <t>Kế toán tổng hợp</t>
        </is>
      </c>
      <c r="D12299" t="inlineStr">
        <is>
          <t>Tập đoàn Lyn Group</t>
        </is>
      </c>
      <c r="E12299" t="inlineStr">
        <is>
          <t>Lương:18 Tr - 23 Tr VND</t>
        </is>
      </c>
      <c r="F12299" t="inlineStr">
        <is>
          <t>Hồ Chí Minh</t>
        </is>
      </c>
      <c r="G12299" t="inlineStr">
        <is>
          <t>12-04-2026</t>
        </is>
      </c>
      <c r="H12299" t="inlineStr">
        <is>
          <t>12/04/2026</t>
        </is>
      </c>
      <c r="I12299" t="inlineStr">
        <is>
          <t>17/03/2026</t>
        </is>
      </c>
      <c r="J12299" t="inlineStr">
        <is>
          <t>Xây dựng, Bất động sản, Bán hàng / Kinh doanh</t>
        </is>
      </c>
      <c r="K12299" t="inlineStr">
        <is>
          <t>3 - 5 Năm</t>
        </is>
      </c>
      <c r="L12299" s="8">
        <f>HYPERLINK("https://careerviet.vn/vi/tim-viec-lam/ke-toan-tong-hop.35C6C3DF.html","Xem chi tiết")</f>
        <v/>
      </c>
    </row>
    <row r="12300">
      <c r="B12300" s="9" t="n">
        <v>12298</v>
      </c>
      <c r="C12300" s="10" t="inlineStr">
        <is>
          <t>[TP. HCM] - Nhân viên Giám sát công trình</t>
        </is>
      </c>
      <c r="D12300" s="10" t="inlineStr">
        <is>
          <t>Công Ty Cổ Phần Gỗ An Cường</t>
        </is>
      </c>
      <c r="E12300" s="10" t="inlineStr">
        <is>
          <t>Lương:9 Tr - 14 Tr VND</t>
        </is>
      </c>
      <c r="F12300" s="10" t="inlineStr">
        <is>
          <t>Hồ Chí Minh</t>
        </is>
      </c>
      <c r="G12300" s="10" t="inlineStr">
        <is>
          <t>12-04-2026</t>
        </is>
      </c>
      <c r="H12300" s="10" t="inlineStr">
        <is>
          <t>12/04/2026</t>
        </is>
      </c>
      <c r="I12300" s="10" t="inlineStr">
        <is>
          <t>17/03/2026</t>
        </is>
      </c>
      <c r="J12300" s="10" t="inlineStr">
        <is>
          <t>Kiến trúc, Xây dựng, Nội ngoại thất</t>
        </is>
      </c>
      <c r="K12300" s="10" t="inlineStr">
        <is>
          <t>1 - 2 Năm</t>
        </is>
      </c>
      <c r="L12300" s="11">
        <f>HYPERLINK("https://careerviet.vn/vi/tim-viec-lam/tp-hcm-nhan-vien-giam-sat-cong-trinh.35C6C3F0.html","Xem chi tiết")</f>
        <v/>
      </c>
      <c r="M12300" s="10" t="n"/>
    </row>
    <row r="12301">
      <c r="B12301" s="7" t="n">
        <v>12299</v>
      </c>
      <c r="C12301" t="inlineStr">
        <is>
          <t>NHÂN VIÊN MUA HÀNG</t>
        </is>
      </c>
      <c r="D12301" t="inlineStr">
        <is>
          <t>Công Ty CP XNK Hóa Chất &amp; Thiết Bị Kim Ngưu</t>
        </is>
      </c>
      <c r="E12301" t="inlineStr">
        <is>
          <t>Lương:12 Tr - 17 Tr VND</t>
        </is>
      </c>
      <c r="F12301" t="inlineStr">
        <is>
          <t>Hà Nội</t>
        </is>
      </c>
      <c r="G12301" t="inlineStr">
        <is>
          <t>29-04-2026</t>
        </is>
      </c>
      <c r="H12301" t="inlineStr">
        <is>
          <t>29/04/2026</t>
        </is>
      </c>
      <c r="I12301" t="inlineStr">
        <is>
          <t>17/03/2026</t>
        </is>
      </c>
      <c r="J12301" t="inlineStr">
        <is>
          <t>Hành chính / Thư ký, Xuất nhập khẩu, Thu mua / Vật tư</t>
        </is>
      </c>
      <c r="K12301" t="inlineStr">
        <is>
          <t>3 - 5 Năm</t>
        </is>
      </c>
      <c r="L12301" s="8">
        <f>HYPERLINK("https://careerviet.vn/vi/tim-viec-lam/nhan-vien-mua-hang.35C6C49F.html","Xem chi tiết")</f>
        <v/>
      </c>
    </row>
    <row r="12302">
      <c r="B12302" s="9" t="n">
        <v>12300</v>
      </c>
      <c r="C12302" s="10" t="inlineStr">
        <is>
          <t>Chuyên viên pháp chế</t>
        </is>
      </c>
      <c r="D12302" s="10" t="inlineStr">
        <is>
          <t>CÔNG TY CỔ PHẦN TẬP ĐOÀN GDC</t>
        </is>
      </c>
      <c r="E12302" s="10" t="inlineStr">
        <is>
          <t>Lương:20 Tr - 30 Tr VND</t>
        </is>
      </c>
      <c r="F12302" s="10" t="inlineStr">
        <is>
          <t>Hà Nội</t>
        </is>
      </c>
      <c r="G12302" s="10" t="inlineStr">
        <is>
          <t>12-04-2026</t>
        </is>
      </c>
      <c r="H12302" s="10" t="inlineStr">
        <is>
          <t>12/04/2026</t>
        </is>
      </c>
      <c r="I12302" s="10" t="inlineStr">
        <is>
          <t>17/03/2026</t>
        </is>
      </c>
      <c r="J12302" s="10" t="inlineStr">
        <is>
          <t>Luật / Pháp lý, Xây dựng</t>
        </is>
      </c>
      <c r="K12302" s="10" t="inlineStr">
        <is>
          <t>3 - 10 Năm</t>
        </is>
      </c>
      <c r="L12302" s="11">
        <f>HYPERLINK("https://careerviet.vn/vi/tim-viec-lam/chuyen-vien-phap-che.35C6C3DE.html","Xem chi tiết")</f>
        <v/>
      </c>
      <c r="M12302" s="10" t="n"/>
    </row>
    <row r="12303">
      <c r="B12303" s="7" t="n">
        <v>12301</v>
      </c>
      <c r="C12303" t="inlineStr">
        <is>
          <t>Nhân Viên Cung Ứng/ Thu Mua (Hóc Môn)</t>
        </is>
      </c>
      <c r="D12303" t="inlineStr">
        <is>
          <t>CÔNG TY CỔ PHẦN THỰC PHẨM FRESCO</t>
        </is>
      </c>
      <c r="E12303" t="inlineStr">
        <is>
          <t>Lương:8 Tr - 10 Tr VND</t>
        </is>
      </c>
      <c r="F12303" t="inlineStr">
        <is>
          <t>Hồ Chí Minh</t>
        </is>
      </c>
      <c r="G12303" t="inlineStr">
        <is>
          <t>02-04-2026</t>
        </is>
      </c>
      <c r="H12303" t="inlineStr">
        <is>
          <t>02/04/2026</t>
        </is>
      </c>
      <c r="I12303" t="inlineStr">
        <is>
          <t>17/03/2026</t>
        </is>
      </c>
      <c r="J12303" t="inlineStr">
        <is>
          <t>Thực phẩm &amp; Đồ uống, Sản xuất / Vận hành sản xuất, Thu mua / Vật tư</t>
        </is>
      </c>
      <c r="K12303" t="inlineStr">
        <is>
          <t>N/A</t>
        </is>
      </c>
      <c r="L12303" s="8">
        <f>HYPERLINK("https://careerviet.vn/vi/tim-viec-lam/nhan-vien-cung-ung-thu-mua-hoc-mon.35C671E4.html","Xem chi tiết")</f>
        <v/>
      </c>
    </row>
    <row r="12304">
      <c r="B12304" s="9" t="n">
        <v>12302</v>
      </c>
      <c r="C12304" s="10" t="inlineStr">
        <is>
          <t>CÔNG NHÂN KỸ THUẬT CƠ KHÍ</t>
        </is>
      </c>
      <c r="D12304" s="10" t="inlineStr">
        <is>
          <t>CÔNG TY CỔ PHẦN SẢN XUẤT VÀ BẢO DƯỠNG THIẾT BỊ HÀNG KHÔNG</t>
        </is>
      </c>
      <c r="E12304" s="10" t="inlineStr">
        <is>
          <t>Lương:Cạnh tranh</t>
        </is>
      </c>
      <c r="F12304" s="10" t="inlineStr">
        <is>
          <t>Đồng NaiKiên Giang</t>
        </is>
      </c>
      <c r="G12304" s="10" t="inlineStr">
        <is>
          <t>25-04-2026</t>
        </is>
      </c>
      <c r="H12304" s="10" t="inlineStr">
        <is>
          <t>25/04/2026</t>
        </is>
      </c>
      <c r="I12304" s="10" t="inlineStr">
        <is>
          <t>17/03/2026</t>
        </is>
      </c>
      <c r="J12304" s="10" t="inlineStr">
        <is>
          <t>Cơ khí / Ô tô / Tự động hóa</t>
        </is>
      </c>
      <c r="K12304" s="10" t="inlineStr">
        <is>
          <t>N/A</t>
        </is>
      </c>
      <c r="L12304" s="11">
        <f>HYPERLINK("https://careerviet.vn/vi/tim-viec-lam/cong-nhan-ky-thuat-co-khi.35C6C4A1.html","Xem chi tiết")</f>
        <v/>
      </c>
      <c r="M12304" s="10" t="n"/>
    </row>
    <row r="12305">
      <c r="B12305" s="7" t="n">
        <v>12303</v>
      </c>
      <c r="C12305" t="inlineStr">
        <is>
          <t>Kỹ sư giám sát</t>
        </is>
      </c>
      <c r="D12305" t="inlineStr">
        <is>
          <t>CÔNG TY CỔ PHẦN THIẾT KẾ XÂY DỰNG THƯƠNG MẠI PHÚC THỊNH</t>
        </is>
      </c>
      <c r="E12305" t="inlineStr">
        <is>
          <t>Lương:13 Tr - 20 Tr VND</t>
        </is>
      </c>
      <c r="F12305" t="inlineStr">
        <is>
          <t>Hồ Chí Minh</t>
        </is>
      </c>
      <c r="G12305" t="inlineStr">
        <is>
          <t>31-03-2026</t>
        </is>
      </c>
      <c r="H12305" t="inlineStr">
        <is>
          <t>31/03/2026</t>
        </is>
      </c>
      <c r="I12305" t="inlineStr">
        <is>
          <t>17/03/2026</t>
        </is>
      </c>
      <c r="J12305" t="inlineStr">
        <is>
          <t>Xây dựng, Kiến trúc</t>
        </is>
      </c>
      <c r="K12305" t="inlineStr">
        <is>
          <t>2 - 5 Năm</t>
        </is>
      </c>
      <c r="L12305" s="8">
        <f>HYPERLINK("https://careerviet.vn/vi/tim-viec-lam/ky-su-giam-sat.35C6C49C.html","Xem chi tiết")</f>
        <v/>
      </c>
    </row>
    <row r="12306">
      <c r="B12306" s="9" t="n">
        <v>12304</v>
      </c>
      <c r="C12306" s="10" t="inlineStr">
        <is>
          <t>IT Application Admin</t>
        </is>
      </c>
      <c r="D12306" s="10" t="inlineStr">
        <is>
          <t>Jabil Vietnam</t>
        </is>
      </c>
      <c r="E12306" s="10" t="inlineStr">
        <is>
          <t>Lương:Cạnh tranh</t>
        </is>
      </c>
      <c r="F12306" s="10" t="inlineStr">
        <is>
          <t>Hồ Chí Minh</t>
        </is>
      </c>
      <c r="G12306" s="10" t="inlineStr">
        <is>
          <t>09-05-2026</t>
        </is>
      </c>
      <c r="H12306" s="10" t="inlineStr">
        <is>
          <t>09/05/2026</t>
        </is>
      </c>
      <c r="I12306" s="10" t="inlineStr">
        <is>
          <t>17/03/2026</t>
        </is>
      </c>
      <c r="J12306" s="10" t="inlineStr">
        <is>
          <t>CNTT - Phần cứng / Mạng</t>
        </is>
      </c>
      <c r="K12306" s="10" t="inlineStr">
        <is>
          <t>4 - 10 Năm</t>
        </is>
      </c>
      <c r="L12306" s="11">
        <f>HYPERLINK("https://careerviet.vn/vi/tim-viec-lam/it-application-admin.35C6C49D.html","Xem chi tiết")</f>
        <v/>
      </c>
      <c r="M12306" s="10" t="n"/>
    </row>
    <row r="12307">
      <c r="B12307" s="7" t="n">
        <v>12305</v>
      </c>
      <c r="C12307" t="inlineStr">
        <is>
          <t>Chuyên viên Marketing - Truyền thông thương hiệu</t>
        </is>
      </c>
      <c r="D12307" t="inlineStr">
        <is>
          <t>Công ty CP Đầu tư Legacy</t>
        </is>
      </c>
      <c r="E12307" t="inlineStr">
        <is>
          <t>Lương:10 Tr - 15 Tr VND</t>
        </is>
      </c>
      <c r="F12307" t="inlineStr">
        <is>
          <t>Hà Nội</t>
        </is>
      </c>
      <c r="G12307" t="inlineStr">
        <is>
          <t>13-04-2026</t>
        </is>
      </c>
      <c r="H12307" t="inlineStr">
        <is>
          <t>13/04/2026</t>
        </is>
      </c>
      <c r="I12307" t="inlineStr">
        <is>
          <t>17/03/2026</t>
        </is>
      </c>
      <c r="J12307" t="inlineStr">
        <is>
          <t>Tiếp thị / Marketing, Thương mại điện tử, Bán hàng / Kinh doanh</t>
        </is>
      </c>
      <c r="K12307" t="inlineStr">
        <is>
          <t>Trên 1 Năm</t>
        </is>
      </c>
      <c r="L12307" s="8">
        <f>HYPERLINK("https://careerviet.vn/vi/tim-viec-lam/chuyen-vien-marketing-truyen-thong-thuong-hieu.35C6C498.html","Xem chi tiết")</f>
        <v/>
      </c>
    </row>
    <row r="12308">
      <c r="B12308" s="9" t="n">
        <v>12306</v>
      </c>
      <c r="C12308" s="10" t="inlineStr">
        <is>
          <t>Giám đốc Kế hoạch</t>
        </is>
      </c>
      <c r="D12308" s="10" t="inlineStr">
        <is>
          <t>Công ty cổ phần Tập đoàn Tài Tâm (Tài Tâm Group)</t>
        </is>
      </c>
      <c r="E12308" s="10" t="inlineStr">
        <is>
          <t>Lương:Cạnh tranh</t>
        </is>
      </c>
      <c r="F12308" s="10" t="inlineStr">
        <is>
          <t>Hà Nội</t>
        </is>
      </c>
      <c r="G12308" s="10" t="inlineStr">
        <is>
          <t>30-04-2026</t>
        </is>
      </c>
      <c r="H12308" s="10" t="inlineStr">
        <is>
          <t>30/04/2026</t>
        </is>
      </c>
      <c r="I12308" s="10" t="inlineStr">
        <is>
          <t>17/03/2026</t>
        </is>
      </c>
      <c r="J12308" s="10" t="inlineStr">
        <is>
          <t>Bất động sản, Xây dựng, Thống kê</t>
        </is>
      </c>
      <c r="K12308" s="10" t="inlineStr">
        <is>
          <t>Lên đến 5 Năm</t>
        </is>
      </c>
      <c r="L12308" s="11">
        <f>HYPERLINK("https://careerviet.vn/vi/tim-viec-lam/giam-doc-ke-hoach.35C6C460.html","Xem chi tiết")</f>
        <v/>
      </c>
      <c r="M12308" s="10" t="n"/>
    </row>
    <row r="12309">
      <c r="B12309" s="7" t="n">
        <v>12307</v>
      </c>
      <c r="C12309" t="inlineStr">
        <is>
          <t>Kỹ sư điều hoà</t>
        </is>
      </c>
      <c r="D12309" t="inlineStr">
        <is>
          <t>CÔNG TY CỔ PHẦN ĐẦU TƯ BẤT ĐỘNG SẢN TOÀN CẦU</t>
        </is>
      </c>
      <c r="E12309" t="inlineStr">
        <is>
          <t>Lương:30 Tr - 35 Tr VND</t>
        </is>
      </c>
      <c r="F12309" t="inlineStr">
        <is>
          <t>Hà Nội</t>
        </is>
      </c>
      <c r="G12309" t="inlineStr">
        <is>
          <t>12-04-2026</t>
        </is>
      </c>
      <c r="H12309" t="inlineStr">
        <is>
          <t>12/04/2026</t>
        </is>
      </c>
      <c r="I12309" t="inlineStr">
        <is>
          <t>17/03/2026</t>
        </is>
      </c>
      <c r="J12309" t="inlineStr">
        <is>
          <t>Điện / Điện tử / Điện lạnh / Điện công nghiệp</t>
        </is>
      </c>
      <c r="K12309" t="inlineStr">
        <is>
          <t>5 - 7 Năm</t>
        </is>
      </c>
      <c r="L12309" s="8">
        <f>HYPERLINK("https://careerviet.vn/vi/tim-viec-lam/ky-su-dieu-hoa.35C6C497.html","Xem chi tiết")</f>
        <v/>
      </c>
    </row>
    <row r="12310">
      <c r="B12310" s="9" t="n">
        <v>12308</v>
      </c>
      <c r="C12310" s="10" t="inlineStr">
        <is>
          <t>Nhân viên kinh doanh Ban giao dịch đàm phán - TP.HCM</t>
        </is>
      </c>
      <c r="D12310" s="10" t="inlineStr">
        <is>
          <t>Cty TNHH Yakult Việt Nam</t>
        </is>
      </c>
      <c r="E12310" s="10" t="inlineStr">
        <is>
          <t>Lương:9 Tr - 19 Tr VND</t>
        </is>
      </c>
      <c r="F12310" s="10" t="inlineStr">
        <is>
          <t>Hồ Chí Minh</t>
        </is>
      </c>
      <c r="G12310" s="10" t="inlineStr">
        <is>
          <t>13-04-2026</t>
        </is>
      </c>
      <c r="H12310" s="10" t="inlineStr">
        <is>
          <t>13/04/2026</t>
        </is>
      </c>
      <c r="I12310" s="10" t="inlineStr">
        <is>
          <t>17/03/2026</t>
        </is>
      </c>
      <c r="J12310" s="10" t="inlineStr">
        <is>
          <t>Tiếp thị / Marketing, Bán hàng / Kinh doanh, Quảng cáo / Đối ngoại / Truyền Thông</t>
        </is>
      </c>
      <c r="K12310" s="10" t="inlineStr">
        <is>
          <t>N/A</t>
        </is>
      </c>
      <c r="L12310" s="11">
        <f>HYPERLINK("https://careerviet.vn/vi/tim-viec-lam/nhan-vien-kinh-doanh-ban-giao-dich-dam-phan-tp-hcm.35C6C48B.html","Xem chi tiết")</f>
        <v/>
      </c>
      <c r="M12310" s="10" t="n"/>
    </row>
    <row r="12311">
      <c r="B12311" s="7" t="n">
        <v>12309</v>
      </c>
      <c r="C12311" t="inlineStr">
        <is>
          <t>Sales Assistant</t>
        </is>
      </c>
      <c r="D12311" t="inlineStr">
        <is>
          <t>CÔNG TY TNHH M&amp;R FORWARDING</t>
        </is>
      </c>
      <c r="E12311" t="inlineStr">
        <is>
          <t>Lương:8 Tr - 11 Tr VND</t>
        </is>
      </c>
      <c r="F12311" t="inlineStr">
        <is>
          <t>Hải Phòng</t>
        </is>
      </c>
      <c r="G12311" t="inlineStr">
        <is>
          <t>31-03-2026</t>
        </is>
      </c>
      <c r="H12311" t="inlineStr">
        <is>
          <t>31/03/2026</t>
        </is>
      </c>
      <c r="I12311" t="inlineStr">
        <is>
          <t>17/03/2026</t>
        </is>
      </c>
      <c r="J12311" t="inlineStr">
        <is>
          <t>Xuất nhập khẩu, Vận chuyển / Giao nhận / Kho vận</t>
        </is>
      </c>
      <c r="K12311" t="inlineStr">
        <is>
          <t>1 - 3 Năm</t>
        </is>
      </c>
      <c r="L12311" s="8">
        <f>HYPERLINK("https://careerviet.vn/vi/tim-viec-lam/sales-assistant.35C6C482.html","Xem chi tiết")</f>
        <v/>
      </c>
    </row>
    <row r="12312">
      <c r="B12312" s="9" t="n">
        <v>12310</v>
      </c>
      <c r="C12312" s="10" t="inlineStr">
        <is>
          <t>Giáo viên Tiếng Anh mầm non - Cơ sở Linh Đàm</t>
        </is>
      </c>
      <c r="D12312" s="10" t="inlineStr">
        <is>
          <t>CÔNG TY CỔ PHẦN ĐẦU TƯ GIÁO DỤC VIỆT MỸ</t>
        </is>
      </c>
      <c r="E12312" s="10" t="inlineStr">
        <is>
          <t>Lương:9 Tr - 12 Tr VND</t>
        </is>
      </c>
      <c r="F12312" s="10" t="inlineStr">
        <is>
          <t>Hà Nội</t>
        </is>
      </c>
      <c r="G12312" s="10" t="inlineStr">
        <is>
          <t>31-03-2026</t>
        </is>
      </c>
      <c r="H12312" s="10" t="inlineStr">
        <is>
          <t>31/03/2026</t>
        </is>
      </c>
      <c r="I12312" s="10" t="inlineStr">
        <is>
          <t>17/03/2026</t>
        </is>
      </c>
      <c r="J12312" s="10" t="inlineStr">
        <is>
          <t>Giáo dục / Đào tạo</t>
        </is>
      </c>
      <c r="K12312" s="10" t="inlineStr">
        <is>
          <t>N/A</t>
        </is>
      </c>
      <c r="L12312" s="11">
        <f>HYPERLINK("https://careerviet.vn/vi/tim-viec-lam/giao-vien-tieng-anh-mam-non-co-so-linh-dam.35C6C48C.html","Xem chi tiết")</f>
        <v/>
      </c>
      <c r="M12312" s="10" t="n"/>
    </row>
    <row r="12313">
      <c r="B12313" s="7" t="n">
        <v>12311</v>
      </c>
      <c r="C12313" t="inlineStr">
        <is>
          <t>Giám sát bảo trì (Cơ khí) - Phan Thiết, Bình Thuận</t>
        </is>
      </c>
      <c r="D12313" t="inlineStr">
        <is>
          <t>Công Ty TNHH Điều Intersnack Việt Nam</t>
        </is>
      </c>
      <c r="E12313" t="inlineStr">
        <is>
          <t>Lương:Trên 15 Tr VND</t>
        </is>
      </c>
      <c r="F12313" t="inlineStr">
        <is>
          <t>Bình Thuận</t>
        </is>
      </c>
      <c r="G12313" t="inlineStr">
        <is>
          <t>31-03-2026</t>
        </is>
      </c>
      <c r="H12313" t="inlineStr">
        <is>
          <t>31/03/2026</t>
        </is>
      </c>
      <c r="I12313" t="inlineStr">
        <is>
          <t>17/03/2026</t>
        </is>
      </c>
      <c r="J12313" t="inlineStr">
        <is>
          <t>Cơ khí / Ô tô / Tự động hóa, Bảo trì / Sửa chữa, Sản xuất / Vận hành sản xuất</t>
        </is>
      </c>
      <c r="K12313" t="inlineStr">
        <is>
          <t>2 - 3 Năm</t>
        </is>
      </c>
      <c r="L12313" s="8">
        <f>HYPERLINK("https://careerviet.vn/vi/tim-viec-lam/giam-sat-bao-tri-co-khi-phan-thiet-binh-thuan.35C6C47E.html","Xem chi tiết")</f>
        <v/>
      </c>
    </row>
    <row r="12314">
      <c r="B12314" s="9" t="n">
        <v>12312</v>
      </c>
      <c r="C12314" s="10" t="inlineStr">
        <is>
          <t>Lễ Tân – Hành Chánh</t>
        </is>
      </c>
      <c r="D12314" s="10" t="inlineStr">
        <is>
          <t>CÔNG TY TNHH THỜI TRANG ĐỈNH CAO</t>
        </is>
      </c>
      <c r="E12314" s="10" t="inlineStr">
        <is>
          <t>Lương:Cạnh tranh</t>
        </is>
      </c>
      <c r="F12314" s="10" t="inlineStr">
        <is>
          <t>Hồ Chí Minh</t>
        </is>
      </c>
      <c r="G12314" s="10" t="inlineStr">
        <is>
          <t>11-04-2026</t>
        </is>
      </c>
      <c r="H12314" s="10" t="inlineStr">
        <is>
          <t>11/04/2026</t>
        </is>
      </c>
      <c r="I12314" s="10" t="inlineStr">
        <is>
          <t>17/03/2026</t>
        </is>
      </c>
      <c r="J12314" s="10" t="inlineStr">
        <is>
          <t>Hành chính / Thư ký, Nhân sự, Dệt may / Da giày / Thời trang</t>
        </is>
      </c>
      <c r="K12314" s="10" t="inlineStr">
        <is>
          <t>N/A</t>
        </is>
      </c>
      <c r="L12314" s="11">
        <f>HYPERLINK("https://careerviet.vn/vi/tim-viec-lam/le-tan-hanh-chanh.35C6C48F.html","Xem chi tiết")</f>
        <v/>
      </c>
      <c r="M12314" s="10" t="n"/>
    </row>
    <row r="12315">
      <c r="B12315" s="7" t="n">
        <v>12313</v>
      </c>
      <c r="C12315" t="inlineStr">
        <is>
          <t>Cán bộ kỹ thuật hiện trường</t>
        </is>
      </c>
      <c r="D12315" t="inlineStr">
        <is>
          <t>CÔNG TY CỔ PHẦN IDC ĐÔNG DƯƠNG</t>
        </is>
      </c>
      <c r="E12315" t="inlineStr">
        <is>
          <t>Lương:18 Tr - 25 Tr VND</t>
        </is>
      </c>
      <c r="F12315" t="inlineStr">
        <is>
          <t>Hà Nội</t>
        </is>
      </c>
      <c r="G12315" t="inlineStr">
        <is>
          <t>12-04-2026</t>
        </is>
      </c>
      <c r="H12315" t="inlineStr">
        <is>
          <t>12/04/2026</t>
        </is>
      </c>
      <c r="I12315" t="inlineStr">
        <is>
          <t>17/03/2026</t>
        </is>
      </c>
      <c r="J12315" t="inlineStr">
        <is>
          <t>Xây dựng, Kiến trúc</t>
        </is>
      </c>
      <c r="K12315" t="inlineStr">
        <is>
          <t>Trên 2 Năm</t>
        </is>
      </c>
      <c r="L12315" s="8">
        <f>HYPERLINK("https://careerviet.vn/vi/tim-viec-lam/can-bo-ky-thuat-hien-truong.35C6C480.html","Xem chi tiết")</f>
        <v/>
      </c>
    </row>
    <row r="12316">
      <c r="B12316" s="9" t="n">
        <v>12314</v>
      </c>
      <c r="C12316" s="10" t="inlineStr">
        <is>
          <t>Trưởng Bộ Phận Chăm Sóc Học Viên</t>
        </is>
      </c>
      <c r="D12316" s="10" t="inlineStr">
        <is>
          <t>CÔNG TY CỔ PHẦN CÔNG NGHỆ PREP</t>
        </is>
      </c>
      <c r="E12316" s="10" t="inlineStr">
        <is>
          <t>Lương:20 Tr - 25 Tr VND</t>
        </is>
      </c>
      <c r="F12316" s="10" t="inlineStr">
        <is>
          <t>Hà Nội</t>
        </is>
      </c>
      <c r="G12316" s="10" t="inlineStr">
        <is>
          <t>11-04-2026</t>
        </is>
      </c>
      <c r="H12316" s="10" t="inlineStr">
        <is>
          <t>11/04/2026</t>
        </is>
      </c>
      <c r="I12316" s="10" t="inlineStr">
        <is>
          <t>17/03/2026</t>
        </is>
      </c>
      <c r="J12316" s="10" t="inlineStr">
        <is>
          <t>Bán hàng / Kinh doanh, Giáo dục / Đào tạo</t>
        </is>
      </c>
      <c r="K12316" s="10" t="inlineStr">
        <is>
          <t>2 - 3 Năm</t>
        </is>
      </c>
      <c r="L12316" s="11">
        <f>HYPERLINK("https://careerviet.vn/vi/tim-viec-lam/truong-bo-phan-cham-soc-hoc-vien.35C6C48A.html","Xem chi tiết")</f>
        <v/>
      </c>
      <c r="M12316" s="10" t="n"/>
    </row>
    <row r="12317">
      <c r="B12317" s="7" t="n">
        <v>12315</v>
      </c>
      <c r="C12317" t="inlineStr">
        <is>
          <t>Tổ trưởng sản xuất</t>
        </is>
      </c>
      <c r="D12317" t="inlineStr">
        <is>
          <t>Nextern Vietnam Co.</t>
        </is>
      </c>
      <c r="E12317" t="inlineStr">
        <is>
          <t>Lương:Cạnh tranh</t>
        </is>
      </c>
      <c r="F12317" t="inlineStr">
        <is>
          <t>Bình Dương</t>
        </is>
      </c>
      <c r="G12317" t="inlineStr">
        <is>
          <t>11-04-2026</t>
        </is>
      </c>
      <c r="H12317" t="inlineStr">
        <is>
          <t>11/04/2026</t>
        </is>
      </c>
      <c r="I12317" t="inlineStr">
        <is>
          <t>17/03/2026</t>
        </is>
      </c>
      <c r="J12317" t="inlineStr">
        <is>
          <t>Sản xuất / Vận hành sản xuất, Điện / Điện tử / Điện lạnh / Điện công nghiệp</t>
        </is>
      </c>
      <c r="K12317" t="inlineStr">
        <is>
          <t>N/A</t>
        </is>
      </c>
      <c r="L12317" s="8">
        <f>HYPERLINK("https://careerviet.vn/vi/tim-viec-lam/to-truong-san-xuat.35C6C490.html","Xem chi tiết")</f>
        <v/>
      </c>
    </row>
    <row r="12318">
      <c r="B12318" s="9" t="n">
        <v>12316</v>
      </c>
      <c r="C12318" s="10" t="inlineStr">
        <is>
          <t>Chuyên gia phát triển dịch vụ Thanh toán (PO - Travel App) - Ngân hàng số</t>
        </is>
      </c>
      <c r="D12318" s="10" t="inlineStr">
        <is>
          <t>Ngân hàng TMCP Đại Chúng Việt Nam - PVcomBank</t>
        </is>
      </c>
      <c r="E12318" s="10" t="inlineStr">
        <is>
          <t>Lương:Cạnh tranh</t>
        </is>
      </c>
      <c r="F12318" s="10" t="inlineStr">
        <is>
          <t>Hà Nội</t>
        </is>
      </c>
      <c r="G12318" s="10" t="inlineStr">
        <is>
          <t>29-04-2026</t>
        </is>
      </c>
      <c r="H12318" s="10" t="inlineStr">
        <is>
          <t>29/04/2026</t>
        </is>
      </c>
      <c r="I12318" s="10" t="inlineStr">
        <is>
          <t>17/03/2026</t>
        </is>
      </c>
      <c r="J12318" s="10" t="inlineStr">
        <is>
          <t>Ngân hàng, Tài chính / Đầu tư</t>
        </is>
      </c>
      <c r="K12318" s="10" t="inlineStr">
        <is>
          <t>3 - 5 Năm</t>
        </is>
      </c>
      <c r="L12318" s="11">
        <f>HYPERLINK("https://careerviet.vn/vi/tim-viec-lam/chuyen-gia-phat-trien-dich-vu-thanh-toan-po-travel-app-ngan-hang-so.35C6C483.html","Xem chi tiết")</f>
        <v/>
      </c>
      <c r="M12318" s="10" t="n"/>
    </row>
    <row r="12319">
      <c r="B12319" s="7" t="n">
        <v>12317</v>
      </c>
      <c r="C12319" t="inlineStr">
        <is>
          <t>KẾ TOÁN TRƯỞNG</t>
        </is>
      </c>
      <c r="D12319" t="inlineStr">
        <is>
          <t>Công Ty TNHH Thương Mại K&amp;K Toàn Cầu</t>
        </is>
      </c>
      <c r="E12319" t="inlineStr">
        <is>
          <t>Lương:18 Tr - 20 Tr VND</t>
        </is>
      </c>
      <c r="F12319" t="inlineStr">
        <is>
          <t>Hà Nội</t>
        </is>
      </c>
      <c r="G12319" t="inlineStr">
        <is>
          <t>13-04-2026</t>
        </is>
      </c>
      <c r="H12319" t="inlineStr">
        <is>
          <t>13/04/2026</t>
        </is>
      </c>
      <c r="I12319" t="inlineStr">
        <is>
          <t>17/03/2026</t>
        </is>
      </c>
      <c r="J12319" t="inlineStr">
        <is>
          <t>Kế toán / Kiểm toán, Tài chính / Đầu tư</t>
        </is>
      </c>
      <c r="K12319" t="inlineStr">
        <is>
          <t>3 - 5 Năm</t>
        </is>
      </c>
      <c r="L12319" s="8">
        <f>HYPERLINK("https://careerviet.vn/vi/tim-viec-lam/ke-toan-truong.35C6C485.html","Xem chi tiết")</f>
        <v/>
      </c>
    </row>
    <row r="12320">
      <c r="B12320" s="9" t="n">
        <v>12318</v>
      </c>
      <c r="C12320" s="10" t="inlineStr">
        <is>
          <t>Sea Export Executive</t>
        </is>
      </c>
      <c r="D12320" s="10" t="inlineStr">
        <is>
          <t>CÔNG TY TNHH M&amp;R FORWARDING</t>
        </is>
      </c>
      <c r="E12320" s="10" t="inlineStr">
        <is>
          <t>Lương:Cạnh tranh</t>
        </is>
      </c>
      <c r="F12320" s="10" t="inlineStr">
        <is>
          <t>Hồ Chí Minh</t>
        </is>
      </c>
      <c r="G12320" s="10" t="inlineStr">
        <is>
          <t>02-04-2026</t>
        </is>
      </c>
      <c r="H12320" s="10" t="inlineStr">
        <is>
          <t>02/04/2026</t>
        </is>
      </c>
      <c r="I12320" s="10" t="inlineStr">
        <is>
          <t>17/03/2026</t>
        </is>
      </c>
      <c r="J12320" s="10" t="inlineStr">
        <is>
          <t>Vận chuyển / Giao nhận / Kho vận</t>
        </is>
      </c>
      <c r="K12320" s="10" t="inlineStr">
        <is>
          <t>2 - 3 Năm</t>
        </is>
      </c>
      <c r="L12320" s="11">
        <f>HYPERLINK("https://careerviet.vn/vi/tim-viec-lam/sea-export-executive.35C6C481.html","Xem chi tiết")</f>
        <v/>
      </c>
      <c r="M12320" s="10" t="n"/>
    </row>
    <row r="12321">
      <c r="B12321" s="7" t="n">
        <v>12319</v>
      </c>
      <c r="C12321" t="inlineStr">
        <is>
          <t>Giáo viên mầm non - Cơ sở Linh Đàm</t>
        </is>
      </c>
      <c r="D12321" t="inlineStr">
        <is>
          <t>CÔNG TY CỔ PHẦN ĐẦU TƯ GIÁO DỤC VIỆT MỸ</t>
        </is>
      </c>
      <c r="E12321" t="inlineStr">
        <is>
          <t>Lương:8 Tr - 12 Tr VND</t>
        </is>
      </c>
      <c r="F12321" t="inlineStr">
        <is>
          <t>Hà Nội</t>
        </is>
      </c>
      <c r="G12321" t="inlineStr">
        <is>
          <t>31-03-2026</t>
        </is>
      </c>
      <c r="H12321" t="inlineStr">
        <is>
          <t>31/03/2026</t>
        </is>
      </c>
      <c r="I12321" t="inlineStr">
        <is>
          <t>17/03/2026</t>
        </is>
      </c>
      <c r="J12321" t="inlineStr">
        <is>
          <t>Giáo dục / Đào tạo</t>
        </is>
      </c>
      <c r="K12321" t="inlineStr">
        <is>
          <t>N/A</t>
        </is>
      </c>
      <c r="L12321" s="8">
        <f>HYPERLINK("https://careerviet.vn/vi/tim-viec-lam/giao-vien-mam-non-co-so-linh-dam.35C6C488.html","Xem chi tiết")</f>
        <v/>
      </c>
    </row>
    <row r="12322">
      <c r="B12322" s="9" t="n">
        <v>12320</v>
      </c>
      <c r="C12322" s="10" t="inlineStr">
        <is>
          <t>Sales Executive</t>
        </is>
      </c>
      <c r="D12322" s="10" t="inlineStr">
        <is>
          <t>CÔNG TY TNHH M&amp;R FORWARDING</t>
        </is>
      </c>
      <c r="E12322" s="10" t="inlineStr">
        <is>
          <t>Lương:8 Tr - 11 Tr VND</t>
        </is>
      </c>
      <c r="F12322" s="10" t="inlineStr">
        <is>
          <t>Hải Phòng</t>
        </is>
      </c>
      <c r="G12322" s="10" t="inlineStr">
        <is>
          <t>31-03-2026</t>
        </is>
      </c>
      <c r="H12322" s="10" t="inlineStr">
        <is>
          <t>31/03/2026</t>
        </is>
      </c>
      <c r="I12322" s="10" t="inlineStr">
        <is>
          <t>17/03/2026</t>
        </is>
      </c>
      <c r="J12322" s="10" t="inlineStr">
        <is>
          <t>Xuất nhập khẩu, Vận chuyển / Giao nhận / Kho vận</t>
        </is>
      </c>
      <c r="K12322" s="10" t="inlineStr">
        <is>
          <t>1 - 3 Năm</t>
        </is>
      </c>
      <c r="L12322" s="11">
        <f>HYPERLINK("https://careerviet.vn/vi/tim-viec-lam/sales-executive.35C6C47F.html","Xem chi tiết")</f>
        <v/>
      </c>
      <c r="M12322" s="10" t="n"/>
    </row>
    <row r="12323">
      <c r="B12323" s="7" t="n">
        <v>12321</v>
      </c>
      <c r="C12323" t="inlineStr">
        <is>
          <t>Nhân viên hành chính nhân sự tổng hợp</t>
        </is>
      </c>
      <c r="D12323" t="inlineStr">
        <is>
          <t>ONE GROUP</t>
        </is>
      </c>
      <c r="E12323" t="inlineStr">
        <is>
          <t>Lương:11 Tr - 15 Tr VND</t>
        </is>
      </c>
      <c r="F12323" t="inlineStr">
        <is>
          <t>Hồ Chí Minh</t>
        </is>
      </c>
      <c r="G12323" t="inlineStr">
        <is>
          <t>10-04-2026</t>
        </is>
      </c>
      <c r="H12323" t="inlineStr">
        <is>
          <t>10/04/2026</t>
        </is>
      </c>
      <c r="I12323" t="inlineStr">
        <is>
          <t>17/03/2026</t>
        </is>
      </c>
      <c r="J12323" t="inlineStr">
        <is>
          <t>Hành chính / Thư ký, Nhân sự, Quản lý điều hành</t>
        </is>
      </c>
      <c r="K12323" t="inlineStr">
        <is>
          <t>1 - 2 Năm</t>
        </is>
      </c>
      <c r="L12323" s="8">
        <f>HYPERLINK("https://careerviet.vn/vi/tim-viec-lam/nhan-vien-hanh-chinh-nhan-su-tong-hop.35C6C499.html","Xem chi tiết")</f>
        <v/>
      </c>
    </row>
    <row r="12324">
      <c r="B12324" s="9" t="n">
        <v>12322</v>
      </c>
      <c r="C12324" s="10" t="inlineStr">
        <is>
          <t>KỸ SƯ HSE</t>
        </is>
      </c>
      <c r="D12324" s="10" t="inlineStr">
        <is>
          <t>CÔNG TY CỔ PHẦN SẢN XUẤT VÀ BẢO DƯỠNG THIẾT BỊ HÀNG KHÔNG</t>
        </is>
      </c>
      <c r="E12324" s="10" t="inlineStr">
        <is>
          <t>Lương:Cạnh tranh</t>
        </is>
      </c>
      <c r="F12324" s="10" t="inlineStr">
        <is>
          <t>Kiên Giang</t>
        </is>
      </c>
      <c r="G12324" s="10" t="inlineStr">
        <is>
          <t>25-04-2026</t>
        </is>
      </c>
      <c r="H12324" s="10" t="inlineStr">
        <is>
          <t>25/04/2026</t>
        </is>
      </c>
      <c r="I12324" s="10" t="inlineStr">
        <is>
          <t>17/03/2026</t>
        </is>
      </c>
      <c r="J12324" s="10" t="inlineStr">
        <is>
          <t>Cơ khí / Ô tô / Tự động hóa, Điện / Điện tử / Điện lạnh / Điện công nghiệp, An toàn lao động</t>
        </is>
      </c>
      <c r="K12324" s="10" t="inlineStr">
        <is>
          <t>Trên 1 Năm</t>
        </is>
      </c>
      <c r="L12324" s="11">
        <f>HYPERLINK("https://careerviet.vn/vi/tim-viec-lam/ky-su-hse.35C6C411.html","Xem chi tiết")</f>
        <v/>
      </c>
      <c r="M12324" s="10" t="n"/>
    </row>
    <row r="12325">
      <c r="B12325" s="7" t="n">
        <v>12323</v>
      </c>
      <c r="C12325" t="inlineStr">
        <is>
          <t>GENERAL ACCOUNTANT - CTY THÀNH VIÊN  (Fresher/Junior)</t>
        </is>
      </c>
      <c r="D12325" t="inlineStr">
        <is>
          <t>Công Ty Cổ Phần Goody Group</t>
        </is>
      </c>
      <c r="E12325" t="inlineStr">
        <is>
          <t>Lương:8 Tr - 12 Tr VND</t>
        </is>
      </c>
      <c r="F12325" t="inlineStr">
        <is>
          <t>Hồ Chí Minh</t>
        </is>
      </c>
      <c r="G12325" t="inlineStr">
        <is>
          <t>12-04-2026</t>
        </is>
      </c>
      <c r="H12325" t="inlineStr">
        <is>
          <t>12/04/2026</t>
        </is>
      </c>
      <c r="I12325" t="inlineStr">
        <is>
          <t>17/03/2026</t>
        </is>
      </c>
      <c r="J12325" t="inlineStr">
        <is>
          <t>Thực phẩm &amp; Đồ uống</t>
        </is>
      </c>
      <c r="K12325" t="inlineStr">
        <is>
          <t>Chưa có kinh nghiệm</t>
        </is>
      </c>
      <c r="L12325" s="8">
        <f>HYPERLINK("https://careerviet.vn/vi/tim-viec-lam/general-accountant-cty-thanh-vien-fresher-junior.35C6C495.html","Xem chi tiết")</f>
        <v/>
      </c>
    </row>
    <row r="12326">
      <c r="B12326" s="9" t="n">
        <v>12324</v>
      </c>
      <c r="C12326" s="10" t="inlineStr">
        <is>
          <t>Kế Toán Tổng Hợp</t>
        </is>
      </c>
      <c r="D12326" s="10" t="inlineStr">
        <is>
          <t>CÔNG TY CỔ PHẦN THỰC PHẨM FUJI</t>
        </is>
      </c>
      <c r="E12326" s="10" t="inlineStr">
        <is>
          <t>Lương:Cạnh tranh</t>
        </is>
      </c>
      <c r="F12326" s="10" t="inlineStr">
        <is>
          <t>Hà Nội</t>
        </is>
      </c>
      <c r="G12326" s="10" t="inlineStr">
        <is>
          <t>30-04-2026</t>
        </is>
      </c>
      <c r="H12326" s="10" t="inlineStr">
        <is>
          <t>30/04/2026</t>
        </is>
      </c>
      <c r="I12326" s="10" t="inlineStr">
        <is>
          <t>17/03/2026</t>
        </is>
      </c>
      <c r="J12326" s="10" t="inlineStr">
        <is>
          <t>Kế toán / Kiểm toán, Ngân hàng, Tài chính / Đầu tư</t>
        </is>
      </c>
      <c r="K12326" s="10" t="inlineStr">
        <is>
          <t>2 - 5 Năm</t>
        </is>
      </c>
      <c r="L12326" s="11">
        <f>HYPERLINK("https://careerviet.vn/vi/tim-viec-lam/ke-toan-tong-hop.35C6C202.html","Xem chi tiết")</f>
        <v/>
      </c>
      <c r="M12326" s="10" t="n"/>
    </row>
    <row r="12327">
      <c r="B12327" s="7" t="n">
        <v>12325</v>
      </c>
      <c r="C12327" t="inlineStr">
        <is>
          <t>KỸ SƯ T&amp;C (Testing &amp; Commissioning)</t>
        </is>
      </c>
      <c r="D12327" t="inlineStr">
        <is>
          <t>CÔNG TY CỔ PHẦN SẢN XUẤT VÀ BẢO DƯỠNG THIẾT BỊ HÀNG KHÔNG</t>
        </is>
      </c>
      <c r="E12327" t="inlineStr">
        <is>
          <t>Lương:Cạnh tranh</t>
        </is>
      </c>
      <c r="F12327" t="inlineStr">
        <is>
          <t>Đồng Nai</t>
        </is>
      </c>
      <c r="G12327" t="inlineStr">
        <is>
          <t>25-04-2026</t>
        </is>
      </c>
      <c r="H12327" t="inlineStr">
        <is>
          <t>25/04/2026</t>
        </is>
      </c>
      <c r="I12327" t="inlineStr">
        <is>
          <t>17/03/2026</t>
        </is>
      </c>
      <c r="J12327" t="inlineStr">
        <is>
          <t>Điện / Điện tử / Điện lạnh / Điện công nghiệp, Cơ khí / Ô tô / Tự động hóa</t>
        </is>
      </c>
      <c r="K12327" t="inlineStr">
        <is>
          <t>N/A</t>
        </is>
      </c>
      <c r="L12327" s="8">
        <f>HYPERLINK("https://careerviet.vn/vi/tim-viec-lam/ky-su-t-c-testing-commissioning.35C6C441.html","Xem chi tiết")</f>
        <v/>
      </c>
    </row>
    <row r="12328">
      <c r="B12328" s="9" t="n">
        <v>12326</v>
      </c>
      <c r="C12328" s="10" t="inlineStr">
        <is>
          <t>TRƯỞNG NHÓM KẾ TOÁN TÀI SẢN &amp; KHO</t>
        </is>
      </c>
      <c r="D12328" s="10" t="inlineStr">
        <is>
          <t>CÔNG TY CỔ PHẦN GIẢI PHÁP GENE - GENE SOLUTIONS</t>
        </is>
      </c>
      <c r="E12328" s="10" t="inlineStr">
        <is>
          <t>Lương:Cạnh tranh</t>
        </is>
      </c>
      <c r="F12328" s="10" t="inlineStr">
        <is>
          <t>Hồ Chí Minh</t>
        </is>
      </c>
      <c r="G12328" s="10" t="inlineStr">
        <is>
          <t>11-04-2026</t>
        </is>
      </c>
      <c r="H12328" s="10" t="inlineStr">
        <is>
          <t>11/04/2026</t>
        </is>
      </c>
      <c r="I12328" s="10" t="inlineStr">
        <is>
          <t>17/03/2026</t>
        </is>
      </c>
      <c r="J12328" s="10" t="inlineStr">
        <is>
          <t>Kế toán / Kiểm toán, Tài chính / Đầu tư</t>
        </is>
      </c>
      <c r="K12328" s="10" t="inlineStr">
        <is>
          <t>Chưa có kinh nghiệm</t>
        </is>
      </c>
      <c r="L12328" s="11">
        <f>HYPERLINK("https://careerviet.vn/vi/tim-viec-lam/truong-nhom-ke-toan-tai-san-kho.35C6C472.html","Xem chi tiết")</f>
        <v/>
      </c>
      <c r="M12328" s="10" t="n"/>
    </row>
    <row r="12329">
      <c r="B12329" s="7" t="n">
        <v>12327</v>
      </c>
      <c r="C12329" t="inlineStr">
        <is>
          <t>Cán bộ Tư vấn đầu tư Trụ sở chính (làm việc tại Phòng giao dịch)</t>
        </is>
      </c>
      <c r="D12329" t="inlineStr">
        <is>
          <t>Công ty TNHH Chứng khoán Ngân hàng TMCP Ngoại thương Việt Nam (VCBS - Vietcombank Securities)</t>
        </is>
      </c>
      <c r="E12329" t="inlineStr">
        <is>
          <t>Lương:Cạnh tranh</t>
        </is>
      </c>
      <c r="F12329" t="inlineStr">
        <is>
          <t>Hà Nội</t>
        </is>
      </c>
      <c r="G12329" t="inlineStr">
        <is>
          <t>29-04-2026</t>
        </is>
      </c>
      <c r="H12329" t="inlineStr">
        <is>
          <t>29/04/2026</t>
        </is>
      </c>
      <c r="I12329" t="inlineStr">
        <is>
          <t>17/03/2026</t>
        </is>
      </c>
      <c r="J12329" t="inlineStr">
        <is>
          <t>Chứng khoán</t>
        </is>
      </c>
      <c r="K12329" t="inlineStr">
        <is>
          <t>0 - 0 Năm</t>
        </is>
      </c>
      <c r="L12329" s="8">
        <f>HYPERLINK("https://careerviet.vn/vi/tim-viec-lam/can-bo-tu-van-dau-tu-tru-so-chinh-lam-viec-tai-phong-giao-dich.35C6C473.html","Xem chi tiết")</f>
        <v/>
      </c>
    </row>
    <row r="12330">
      <c r="B12330" s="9" t="n">
        <v>12328</v>
      </c>
      <c r="C12330" s="10" t="inlineStr">
        <is>
          <t>Chuyên viên cao cấp Quản trị tài chính khách hàng phổ thông, Phân khúc khách hàng phổ thông, Khối Khách hàng cá nhân</t>
        </is>
      </c>
      <c r="D12330" s="10" t="inlineStr">
        <is>
          <t>Ngân hàng TMCP Đại Chúng Việt Nam - PVcomBank</t>
        </is>
      </c>
      <c r="E12330" s="10" t="inlineStr">
        <is>
          <t>Lương:Cạnh tranh</t>
        </is>
      </c>
      <c r="F12330" s="10" t="inlineStr">
        <is>
          <t>Hà Nội</t>
        </is>
      </c>
      <c r="G12330" s="10" t="inlineStr">
        <is>
          <t>12-04-2026</t>
        </is>
      </c>
      <c r="H12330" s="10" t="inlineStr">
        <is>
          <t>12/04/2026</t>
        </is>
      </c>
      <c r="I12330" s="10" t="inlineStr">
        <is>
          <t>17/03/2026</t>
        </is>
      </c>
      <c r="J12330" s="10" t="inlineStr">
        <is>
          <t>Ngân hàng</t>
        </is>
      </c>
      <c r="K12330" s="10" t="inlineStr">
        <is>
          <t>3 - 5 Năm</t>
        </is>
      </c>
      <c r="L12330" s="11">
        <f>HYPERLINK("https://careerviet.vn/vi/tim-viec-lam/chuyen-vien-cao-cap-quan-tri-tai-chinh-khach-hang-pho-thong-phan-khuc-khach-hang-pho-thong-khoi-khach-hang-ca-nhan.35C6C471.html","Xem chi tiết")</f>
        <v/>
      </c>
      <c r="M12330" s="10" t="n"/>
    </row>
    <row r="12331">
      <c r="B12331" s="7" t="n">
        <v>12329</v>
      </c>
      <c r="C12331" t="inlineStr">
        <is>
          <t>Trưởng nhóm Marketing - Truyền thông thương hiệu</t>
        </is>
      </c>
      <c r="D12331" t="inlineStr">
        <is>
          <t>Công ty CP Đầu tư Legacy</t>
        </is>
      </c>
      <c r="E12331" t="inlineStr">
        <is>
          <t>Lương:15 Tr - 25 Tr VND</t>
        </is>
      </c>
      <c r="F12331" t="inlineStr">
        <is>
          <t>Hà Nội</t>
        </is>
      </c>
      <c r="G12331" t="inlineStr">
        <is>
          <t>12-04-2026</t>
        </is>
      </c>
      <c r="H12331" t="inlineStr">
        <is>
          <t>12/04/2026</t>
        </is>
      </c>
      <c r="I12331" t="inlineStr">
        <is>
          <t>17/03/2026</t>
        </is>
      </c>
      <c r="J12331" t="inlineStr">
        <is>
          <t>Tiếp thị / Marketing, Bán hàng / Kinh doanh, Thương mại điện tử</t>
        </is>
      </c>
      <c r="K12331" t="inlineStr">
        <is>
          <t>1 - 5 Năm</t>
        </is>
      </c>
      <c r="L12331" s="8">
        <f>HYPERLINK("https://careerviet.vn/vi/tim-viec-lam/truong-nhom-marketing-truyen-thong-thuong-hieu.35C6C492.html","Xem chi tiết")</f>
        <v/>
      </c>
    </row>
    <row r="12332">
      <c r="B12332" s="9" t="n">
        <v>12330</v>
      </c>
      <c r="C12332" s="10" t="inlineStr">
        <is>
          <t>Chuyên viên Quản lý chi phí và hồ sơ</t>
        </is>
      </c>
      <c r="D12332" s="10" t="inlineStr">
        <is>
          <t>CÔNG TY CỔ PHẨN ỨNG DỤNG VÀ CHUYỂN GIAO CÔNG NGHỆ XÂY DỰNG (CJSC)</t>
        </is>
      </c>
      <c r="E12332" s="10" t="inlineStr">
        <is>
          <t>Lương:14 Tr - 20 Tr VND</t>
        </is>
      </c>
      <c r="F12332" s="10" t="inlineStr">
        <is>
          <t>Hà Nội</t>
        </is>
      </c>
      <c r="G12332" s="10" t="inlineStr">
        <is>
          <t>11-04-2026</t>
        </is>
      </c>
      <c r="H12332" s="10" t="inlineStr">
        <is>
          <t>11/04/2026</t>
        </is>
      </c>
      <c r="I12332" s="10" t="inlineStr">
        <is>
          <t>17/03/2026</t>
        </is>
      </c>
      <c r="J12332" s="10" t="inlineStr">
        <is>
          <t>Xây dựng</t>
        </is>
      </c>
      <c r="K12332" s="10" t="inlineStr">
        <is>
          <t>3 - 5 Năm</t>
        </is>
      </c>
      <c r="L12332" s="11">
        <f>HYPERLINK("https://careerviet.vn/vi/tim-viec-lam/chuyen-vien-quan-ly-chi-phi-va-ho-so.35C6C467.html","Xem chi tiết")</f>
        <v/>
      </c>
      <c r="M12332" s="10" t="n"/>
    </row>
    <row r="12333">
      <c r="B12333" s="7" t="n">
        <v>12331</v>
      </c>
      <c r="C12333" t="inlineStr">
        <is>
          <t>Nhân Viên Phát Triển Thị Trường - Khu Vực: Tỉnh (Miền Trung, Tây Nguyên, Miền Đông, Mekong)</t>
        </is>
      </c>
      <c r="D12333" t="inlineStr">
        <is>
          <t>CÔNG TY CỔ PHẦN SẢN XUẤT, THƯƠNG MẠI VÀ DỊCH VỤ PHÚC THỊNH</t>
        </is>
      </c>
      <c r="E12333" t="inlineStr">
        <is>
          <t>Lương:15 Tr - 25 Tr VND</t>
        </is>
      </c>
      <c r="F12333" t="inlineStr">
        <is>
          <t>Toàn quốc</t>
        </is>
      </c>
      <c r="G12333" t="inlineStr">
        <is>
          <t>07-04-2026</t>
        </is>
      </c>
      <c r="H12333" t="inlineStr">
        <is>
          <t>07/04/2026</t>
        </is>
      </c>
      <c r="I12333" t="inlineStr">
        <is>
          <t>17/03/2026</t>
        </is>
      </c>
      <c r="J12333" t="inlineStr">
        <is>
          <t>Bán hàng / Kinh doanh, Bán lẻ / Bán sỉ, Thực phẩm &amp; Đồ uống</t>
        </is>
      </c>
      <c r="K12333" t="inlineStr">
        <is>
          <t>Trên 2 Năm</t>
        </is>
      </c>
      <c r="L12333" s="8">
        <f>HYPERLINK("https://careerviet.vn/vi/tim-viec-lam/nhan-vien-phat-trien-thi-truong-khu-vuc-tinh-mien-trung-tay-nguyen-mien-dong-mekong.35C6C46E.html","Xem chi tiết")</f>
        <v/>
      </c>
    </row>
    <row r="12334">
      <c r="B12334" s="9" t="n">
        <v>12332</v>
      </c>
      <c r="C12334" s="10" t="inlineStr">
        <is>
          <t>Chuyên viên cao câp phát triển kinh doanh khách hàng phổ thông, Phân khúc khách hàng phổ thông, Khối Khách hàng cá nhân</t>
        </is>
      </c>
      <c r="D12334" s="10" t="inlineStr">
        <is>
          <t>Ngân hàng TMCP Đại Chúng Việt Nam - PVcomBank</t>
        </is>
      </c>
      <c r="E12334" s="10" t="inlineStr">
        <is>
          <t>Lương:Cạnh tranh</t>
        </is>
      </c>
      <c r="F12334" s="10" t="inlineStr">
        <is>
          <t>Hà Nội</t>
        </is>
      </c>
      <c r="G12334" s="10" t="inlineStr">
        <is>
          <t>12-04-2026</t>
        </is>
      </c>
      <c r="H12334" s="10" t="inlineStr">
        <is>
          <t>12/04/2026</t>
        </is>
      </c>
      <c r="I12334" s="10" t="inlineStr">
        <is>
          <t>17/03/2026</t>
        </is>
      </c>
      <c r="J12334" s="10" t="inlineStr">
        <is>
          <t>Ngân hàng, Bán hàng / Kinh doanh</t>
        </is>
      </c>
      <c r="K12334" s="10" t="inlineStr">
        <is>
          <t>3 - 5 Năm</t>
        </is>
      </c>
      <c r="L12334" s="11">
        <f>HYPERLINK("https://careerviet.vn/vi/tim-viec-lam/chuyen-vien-cao-cap-phat-trien-kinh-doanh-khach-hang-pho-thong-phan-khuc-khach-hang-pho-thong-khoi-khach-hang-ca-nhan.35C6C466.html","Xem chi tiết")</f>
        <v/>
      </c>
      <c r="M12334" s="10" t="n"/>
    </row>
    <row r="12335">
      <c r="B12335" s="7" t="n">
        <v>12333</v>
      </c>
      <c r="C12335" t="inlineStr">
        <is>
          <t>[Hà Nội] Designer - Thiết kế bao bì sản phẩm</t>
        </is>
      </c>
      <c r="D12335" t="inlineStr">
        <is>
          <t>CÔNG TY TNHH DAESANG VIỆT NAM</t>
        </is>
      </c>
      <c r="E12335" t="inlineStr">
        <is>
          <t>Lương:Cạnh tranh</t>
        </is>
      </c>
      <c r="F12335" t="inlineStr">
        <is>
          <t>Hà Nội</t>
        </is>
      </c>
      <c r="G12335" t="inlineStr">
        <is>
          <t>15-04-2026</t>
        </is>
      </c>
      <c r="H12335" t="inlineStr">
        <is>
          <t>15/04/2026</t>
        </is>
      </c>
      <c r="I12335" t="inlineStr">
        <is>
          <t>17/03/2026</t>
        </is>
      </c>
      <c r="J12335" t="inlineStr">
        <is>
          <t>Tiếp thị / Marketing, Mỹ thuật / Nghệ thuật / Thiết kế</t>
        </is>
      </c>
      <c r="K12335" t="inlineStr">
        <is>
          <t>3 - 5 Năm</t>
        </is>
      </c>
      <c r="L12335" s="8">
        <f>HYPERLINK("https://careerviet.vn/vi/tim-viec-lam/ha-noi-designer-thiet-ke-bao-bi-san-pham.35C6C46C.html","Xem chi tiết")</f>
        <v/>
      </c>
    </row>
    <row r="12336">
      <c r="B12336" s="9" t="n">
        <v>12334</v>
      </c>
      <c r="C12336" s="10" t="inlineStr">
        <is>
          <t>Chuyên viên quản trị phân khúc, Phân khúc khách hàng phổ thông, Khối Khách hàng cá nhân</t>
        </is>
      </c>
      <c r="D12336" s="10" t="inlineStr">
        <is>
          <t>Ngân hàng TMCP Đại Chúng Việt Nam - PVcomBank</t>
        </is>
      </c>
      <c r="E12336" s="10" t="inlineStr">
        <is>
          <t>Lương:Cạnh tranh</t>
        </is>
      </c>
      <c r="F12336" s="10" t="inlineStr">
        <is>
          <t>Hà Nội</t>
        </is>
      </c>
      <c r="G12336" s="10" t="inlineStr">
        <is>
          <t>12-04-2026</t>
        </is>
      </c>
      <c r="H12336" s="10" t="inlineStr">
        <is>
          <t>12/04/2026</t>
        </is>
      </c>
      <c r="I12336" s="10" t="inlineStr">
        <is>
          <t>17/03/2026</t>
        </is>
      </c>
      <c r="J12336" s="10" t="inlineStr">
        <is>
          <t>Ngân hàng</t>
        </is>
      </c>
      <c r="K12336" s="10" t="inlineStr">
        <is>
          <t>1 - 3 Năm</t>
        </is>
      </c>
      <c r="L12336" s="11">
        <f>HYPERLINK("https://careerviet.vn/vi/tim-viec-lam/chuyen-vien-quan-tri-phan-khuc-phan-khuc-khach-hang-pho-thong-khoi-khach-hang-ca-nhan.35C6C461.html","Xem chi tiết")</f>
        <v/>
      </c>
      <c r="M12336" s="10" t="n"/>
    </row>
    <row r="12337">
      <c r="B12337" s="7" t="n">
        <v>12335</v>
      </c>
      <c r="C12337" t="inlineStr">
        <is>
          <t>Nhân viên Kinh doanh - Hà Nội</t>
        </is>
      </c>
      <c r="D12337" t="inlineStr">
        <is>
          <t>Công Ty Cổ Phần Thép Việt Xô Hà Nội</t>
        </is>
      </c>
      <c r="E12337" t="inlineStr">
        <is>
          <t>Lương:15 Tr - 30 Tr VND</t>
        </is>
      </c>
      <c r="F12337" t="inlineStr">
        <is>
          <t>Hà Nội</t>
        </is>
      </c>
      <c r="G12337" t="inlineStr">
        <is>
          <t>29-04-2026</t>
        </is>
      </c>
      <c r="H12337" t="inlineStr">
        <is>
          <t>29/04/2026</t>
        </is>
      </c>
      <c r="I12337" t="inlineStr">
        <is>
          <t>17/03/2026</t>
        </is>
      </c>
      <c r="J12337" t="inlineStr">
        <is>
          <t>Bán hàng / Kinh doanh, Bán lẻ / Bán sỉ, Sản xuất / Vận hành sản xuất</t>
        </is>
      </c>
      <c r="K12337" t="inlineStr">
        <is>
          <t>Lên đến 1 Năm</t>
        </is>
      </c>
      <c r="L12337" s="8">
        <f>HYPERLINK("https://careerviet.vn/vi/tim-viec-lam/nhan-vien-kinh-doanh-ha-noi.35C6C46F.html","Xem chi tiết")</f>
        <v/>
      </c>
    </row>
    <row r="12338">
      <c r="B12338" s="9" t="n">
        <v>12336</v>
      </c>
      <c r="C12338" s="10" t="inlineStr">
        <is>
          <t>Thủ kho</t>
        </is>
      </c>
      <c r="D12338" s="10" t="inlineStr">
        <is>
          <t>Công ty Cổ phần FECON</t>
        </is>
      </c>
      <c r="E12338" s="10" t="inlineStr">
        <is>
          <t>Lương:Cạnh tranh</t>
        </is>
      </c>
      <c r="F12338" s="10" t="inlineStr">
        <is>
          <t>Hà Nội</t>
        </is>
      </c>
      <c r="G12338" s="10" t="inlineStr">
        <is>
          <t>02-06-2026</t>
        </is>
      </c>
      <c r="H12338" s="10" t="inlineStr">
        <is>
          <t>02/06/2026</t>
        </is>
      </c>
      <c r="I12338" s="10" t="inlineStr">
        <is>
          <t>17/03/2026</t>
        </is>
      </c>
      <c r="J12338" s="10" t="inlineStr">
        <is>
          <t>Xây dựng</t>
        </is>
      </c>
      <c r="K12338" s="10" t="inlineStr">
        <is>
          <t>Trên 2 Năm</t>
        </is>
      </c>
      <c r="L12338" s="11">
        <f>HYPERLINK("https://careerviet.vn/vi/tim-viec-lam/thu-kho.35C6C468.html","Xem chi tiết")</f>
        <v/>
      </c>
      <c r="M12338" s="10" t="n"/>
    </row>
    <row r="12339">
      <c r="B12339" s="7" t="n">
        <v>12337</v>
      </c>
      <c r="C12339" t="inlineStr">
        <is>
          <t>Chuyên viên phát triển kinh doanh phân khúc, Phân khúc khách hàng phổ thông, Khối Khách hàng cá nhân</t>
        </is>
      </c>
      <c r="D12339" t="inlineStr">
        <is>
          <t>Ngân hàng TMCP Đại Chúng Việt Nam - PVcomBank</t>
        </is>
      </c>
      <c r="E12339" t="inlineStr">
        <is>
          <t>Lương:Cạnh tranh</t>
        </is>
      </c>
      <c r="F12339" t="inlineStr">
        <is>
          <t>Hà Nội</t>
        </is>
      </c>
      <c r="G12339" t="inlineStr">
        <is>
          <t>12-04-2026</t>
        </is>
      </c>
      <c r="H12339" t="inlineStr">
        <is>
          <t>12/04/2026</t>
        </is>
      </c>
      <c r="I12339" t="inlineStr">
        <is>
          <t>17/03/2026</t>
        </is>
      </c>
      <c r="J12339" t="inlineStr">
        <is>
          <t>Ngân hàng</t>
        </is>
      </c>
      <c r="K12339" t="inlineStr">
        <is>
          <t>1 - 3 Năm</t>
        </is>
      </c>
      <c r="L12339" s="8">
        <f>HYPERLINK("https://careerviet.vn/vi/tim-viec-lam/chuyen-vien-phat-trien-kinh-doanh-phan-khuc-phan-khuc-khach-hang-pho-thong-khoi-khach-hang-ca-nhan.35C6C46B.html","Xem chi tiết")</f>
        <v/>
      </c>
    </row>
    <row r="12340">
      <c r="B12340" s="9" t="n">
        <v>12338</v>
      </c>
      <c r="C12340" s="10" t="inlineStr">
        <is>
          <t>Chuyên viên cao câp phát triển kinh doanh khách hàng phổ thông, Phân khúc khách hàng phổ thông, Khối Khách hàng cá nhân</t>
        </is>
      </c>
      <c r="D12340" s="10" t="inlineStr">
        <is>
          <t>Ngân hàng TMCP Đại Chúng Việt Nam - PVcomBank</t>
        </is>
      </c>
      <c r="E12340" s="10" t="inlineStr">
        <is>
          <t>Lương:Cạnh tranh</t>
        </is>
      </c>
      <c r="F12340" s="10" t="inlineStr">
        <is>
          <t>Hà Nội</t>
        </is>
      </c>
      <c r="G12340" s="10" t="inlineStr">
        <is>
          <t>12-04-2026</t>
        </is>
      </c>
      <c r="H12340" s="10" t="inlineStr">
        <is>
          <t>12/04/2026</t>
        </is>
      </c>
      <c r="I12340" s="10" t="inlineStr">
        <is>
          <t>17/03/2026</t>
        </is>
      </c>
      <c r="J12340" s="10" t="inlineStr">
        <is>
          <t>Nhân sự</t>
        </is>
      </c>
      <c r="K12340" s="10" t="inlineStr">
        <is>
          <t>3 - 5 Năm</t>
        </is>
      </c>
      <c r="L12340" s="11">
        <f>HYPERLINK("https://careerviet.vn/vi/tim-viec-lam/chuyen-vien-cao-cap-phat-trien-kinh-doanh-khach-hang-pho-thong-phan-khuc-khach-hang-pho-thong-khoi-khach-hang-ca-nhan.35C6C465.html","Xem chi tiết")</f>
        <v/>
      </c>
      <c r="M12340" s="10" t="n"/>
    </row>
    <row r="12341">
      <c r="B12341" s="7" t="n">
        <v>12339</v>
      </c>
      <c r="C12341" t="inlineStr">
        <is>
          <t>[HN] Tổ Trưởng Nhà Hàng Pi Thai</t>
        </is>
      </c>
      <c r="D12341" t="inlineStr">
        <is>
          <t>CÔNG TY TNHH THƯƠNG MẠI VÀ DỊCH VỤ TALAD THAI</t>
        </is>
      </c>
      <c r="E12341" t="inlineStr">
        <is>
          <t>Lương:8,5 Tr - 9 Tr VND</t>
        </is>
      </c>
      <c r="F12341" t="inlineStr">
        <is>
          <t>Hà Nội</t>
        </is>
      </c>
      <c r="G12341" t="inlineStr">
        <is>
          <t>12-04-2026</t>
        </is>
      </c>
      <c r="H12341" t="inlineStr">
        <is>
          <t>12/04/2026</t>
        </is>
      </c>
      <c r="I12341" t="inlineStr">
        <is>
          <t>17/03/2026</t>
        </is>
      </c>
      <c r="J12341" t="inlineStr">
        <is>
          <t>Nhà hàng / Khách sạn, Bán hàng / Kinh doanh, Bán lẻ / Bán sỉ</t>
        </is>
      </c>
      <c r="K12341" t="inlineStr">
        <is>
          <t>N/A</t>
        </is>
      </c>
      <c r="L12341" s="8">
        <f>HYPERLINK("https://careerviet.vn/vi/tim-viec-lam/hn-to-truong-nha-hang-pi-thai.35C6C453.html","Xem chi tiết")</f>
        <v/>
      </c>
    </row>
    <row r="12342">
      <c r="B12342" s="9" t="n">
        <v>12340</v>
      </c>
      <c r="C12342" s="10" t="inlineStr">
        <is>
          <t>Nhân Viên Mua</t>
        </is>
      </c>
      <c r="D12342" s="10" t="inlineStr">
        <is>
          <t>Công ty Cổ phần XNK Phụ tùng Ô Tô TDC</t>
        </is>
      </c>
      <c r="E12342" s="10" t="inlineStr">
        <is>
          <t>Lương:10 Tr - 12 Tr VND</t>
        </is>
      </c>
      <c r="F12342" s="10" t="inlineStr">
        <is>
          <t>Hà Nội</t>
        </is>
      </c>
      <c r="G12342" s="10" t="inlineStr">
        <is>
          <t>12-04-2026</t>
        </is>
      </c>
      <c r="H12342" s="10" t="inlineStr">
        <is>
          <t>12/04/2026</t>
        </is>
      </c>
      <c r="I12342" s="10" t="inlineStr">
        <is>
          <t>17/03/2026</t>
        </is>
      </c>
      <c r="J12342" s="10" t="inlineStr">
        <is>
          <t>Vận chuyển / Giao nhận / Kho vận, Bảo trì / Sửa chữa, Cơ khí / Ô tô / Tự động hóa</t>
        </is>
      </c>
      <c r="K12342" s="10" t="inlineStr">
        <is>
          <t>N/A</t>
        </is>
      </c>
      <c r="L12342" s="11">
        <f>HYPERLINK("https://careerviet.vn/vi/tim-viec-lam/nhan-vien-mua.35C6C40B.html","Xem chi tiết")</f>
        <v/>
      </c>
      <c r="M12342" s="10" t="n"/>
    </row>
    <row r="12343">
      <c r="B12343" s="7" t="n">
        <v>12341</v>
      </c>
      <c r="C12343" t="inlineStr">
        <is>
          <t>Chăm sóc khách hàng - Thương Mại Điện Tử</t>
        </is>
      </c>
      <c r="D12343" t="inlineStr">
        <is>
          <t>CÔNG TY CỔ PHẦN THẾ GIỚI GIẤY</t>
        </is>
      </c>
      <c r="E12343" t="inlineStr">
        <is>
          <t>Lương:8 Tr - 10 Tr VND</t>
        </is>
      </c>
      <c r="F12343" t="inlineStr">
        <is>
          <t>Hồ Chí Minh</t>
        </is>
      </c>
      <c r="G12343" t="inlineStr">
        <is>
          <t>15-04-2026</t>
        </is>
      </c>
      <c r="H12343" t="inlineStr">
        <is>
          <t>15/04/2026</t>
        </is>
      </c>
      <c r="I12343" t="inlineStr">
        <is>
          <t>17/03/2026</t>
        </is>
      </c>
      <c r="J12343" t="inlineStr">
        <is>
          <t>Tiếp thị / Marketing, Thương mại điện tử, Tiếp thị trực tuyến</t>
        </is>
      </c>
      <c r="K12343" t="inlineStr">
        <is>
          <t>N/A</t>
        </is>
      </c>
      <c r="L12343" s="8">
        <f>HYPERLINK("https://careerviet.vn/vi/tim-viec-lam/cham-soc-khach-hang-thuong-mai-dien-tu.35C6C463.html","Xem chi tiết")</f>
        <v/>
      </c>
    </row>
    <row r="12344">
      <c r="B12344" s="9" t="n">
        <v>12342</v>
      </c>
      <c r="C12344" s="10" t="inlineStr">
        <is>
          <t>Kế Toán Nội Bộ - Quận 7  (Đào Tạo Nghiệp Vụ)</t>
        </is>
      </c>
      <c r="D12344" s="10" t="inlineStr">
        <is>
          <t>Công ty TNHH Sản xuất Thương mại &amp; Dịch vụ Hoa Xinh</t>
        </is>
      </c>
      <c r="E12344" s="10" t="inlineStr">
        <is>
          <t>Lương:8 Tr - 9 Tr VND</t>
        </is>
      </c>
      <c r="F12344" s="10" t="inlineStr">
        <is>
          <t>Hồ Chí Minh</t>
        </is>
      </c>
      <c r="G12344" s="10" t="inlineStr">
        <is>
          <t>30-04-2026</t>
        </is>
      </c>
      <c r="H12344" s="10" t="inlineStr">
        <is>
          <t>30/04/2026</t>
        </is>
      </c>
      <c r="I12344" s="10" t="inlineStr">
        <is>
          <t>17/03/2026</t>
        </is>
      </c>
      <c r="J12344" s="10" t="inlineStr">
        <is>
          <t>Kế toán / Kiểm toán, Tài chính / Đầu tư, Mới tốt nghiệp / Thực tập</t>
        </is>
      </c>
      <c r="K12344" s="10" t="inlineStr">
        <is>
          <t>N/A</t>
        </is>
      </c>
      <c r="L12344" s="11">
        <f>HYPERLINK("https://careerviet.vn/vi/tim-viec-lam/ke-toan-noi-bo-quan-7-dao-tao-nghiep-vu.35C6C45F.html","Xem chi tiết")</f>
        <v/>
      </c>
      <c r="M12344" s="10" t="n"/>
    </row>
    <row r="12345">
      <c r="B12345" s="7" t="n">
        <v>12343</v>
      </c>
      <c r="C12345" t="inlineStr">
        <is>
          <t>[Thủ Đức] Nhân viên Đăng ký mẫu</t>
        </is>
      </c>
      <c r="D12345" t="inlineStr">
        <is>
          <t>EUROFINS VIETNAM</t>
        </is>
      </c>
      <c r="E12345" t="inlineStr">
        <is>
          <t>Lương:Cạnh tranh</t>
        </is>
      </c>
      <c r="F12345" t="inlineStr">
        <is>
          <t>Hồ Chí Minh</t>
        </is>
      </c>
      <c r="G12345" t="inlineStr">
        <is>
          <t>07-04-2026</t>
        </is>
      </c>
      <c r="H12345" t="inlineStr">
        <is>
          <t>07/04/2026</t>
        </is>
      </c>
      <c r="I12345" t="inlineStr">
        <is>
          <t>17/03/2026</t>
        </is>
      </c>
      <c r="J12345" t="inlineStr">
        <is>
          <t>Công nghệ thực phẩm / Dinh dưỡng, Môi trường, Hóa học</t>
        </is>
      </c>
      <c r="K12345" t="inlineStr">
        <is>
          <t>N/A</t>
        </is>
      </c>
      <c r="L12345" s="8">
        <f>HYPERLINK("https://careerviet.vn/vi/tim-viec-lam/thu-duc-nhan-vien-dang-ky-mau.35C6C401.html","Xem chi tiết")</f>
        <v/>
      </c>
    </row>
    <row r="12346">
      <c r="B12346" s="9" t="n">
        <v>12344</v>
      </c>
      <c r="C12346" s="10" t="inlineStr">
        <is>
          <t>Nhân Viên Kho</t>
        </is>
      </c>
      <c r="D12346" s="10" t="inlineStr">
        <is>
          <t>Công ty Cổ phần XNK Phụ tùng Ô Tô TDC</t>
        </is>
      </c>
      <c r="E12346" s="10" t="inlineStr">
        <is>
          <t>Lương:8 Tr - 10 Tr VND</t>
        </is>
      </c>
      <c r="F12346" s="10" t="inlineStr">
        <is>
          <t>Hà Nội</t>
        </is>
      </c>
      <c r="G12346" s="10" t="inlineStr">
        <is>
          <t>12-04-2026</t>
        </is>
      </c>
      <c r="H12346" s="10" t="inlineStr">
        <is>
          <t>12/04/2026</t>
        </is>
      </c>
      <c r="I12346" s="10" t="inlineStr">
        <is>
          <t>17/03/2026</t>
        </is>
      </c>
      <c r="J12346" s="10" t="inlineStr">
        <is>
          <t>Vận chuyển / Giao nhận / Kho vận, Bảo trì / Sửa chữa, Cơ khí / Ô tô / Tự động hóa</t>
        </is>
      </c>
      <c r="K12346" s="10" t="inlineStr">
        <is>
          <t>N/A</t>
        </is>
      </c>
      <c r="L12346" s="11">
        <f>HYPERLINK("https://careerviet.vn/vi/tim-viec-lam/nhan-vien-kho.35C6C407.html","Xem chi tiết")</f>
        <v/>
      </c>
      <c r="M12346" s="10" t="n"/>
    </row>
    <row r="12347">
      <c r="B12347" s="7" t="n">
        <v>12345</v>
      </c>
      <c r="C12347" t="inlineStr">
        <is>
          <t>KỸ THUẬT VIÊN  BẢO TRÌ [CỦ CHI]</t>
        </is>
      </c>
      <c r="D12347" t="inlineStr">
        <is>
          <t>CÔNG TY CP SAIGON AUTO SUPPORTING INDUSTRY</t>
        </is>
      </c>
      <c r="E12347" t="inlineStr">
        <is>
          <t>Lương:Cạnh tranh</t>
        </is>
      </c>
      <c r="F12347" t="inlineStr">
        <is>
          <t>Hồ Chí Minh</t>
        </is>
      </c>
      <c r="G12347" t="inlineStr">
        <is>
          <t>10-04-2026</t>
        </is>
      </c>
      <c r="H12347" t="inlineStr">
        <is>
          <t>10/04/2026</t>
        </is>
      </c>
      <c r="I12347" t="inlineStr">
        <is>
          <t>17/03/2026</t>
        </is>
      </c>
      <c r="J12347" t="inlineStr">
        <is>
          <t>Bảo trì / Sửa chữa, Cơ khí / Ô tô / Tự động hóa</t>
        </is>
      </c>
      <c r="K12347" t="inlineStr">
        <is>
          <t>N/A</t>
        </is>
      </c>
      <c r="L12347" s="8">
        <f>HYPERLINK("https://careerviet.vn/vi/tim-viec-lam/ky-thuat-vien-bao-tri-cu-chi.35C6B288.html","Xem chi tiết")</f>
        <v/>
      </c>
    </row>
    <row r="12348">
      <c r="B12348" s="9" t="n">
        <v>12346</v>
      </c>
      <c r="C12348" s="10" t="inlineStr">
        <is>
          <t>Senior Media Performance</t>
        </is>
      </c>
      <c r="D12348" s="10" t="inlineStr">
        <is>
          <t>Công Ty Cổ phần Blueseed</t>
        </is>
      </c>
      <c r="E12348" s="10" t="inlineStr">
        <is>
          <t>Lương:18 Tr - 25 Tr VND</t>
        </is>
      </c>
      <c r="F12348" s="10" t="inlineStr">
        <is>
          <t>Hồ Chí Minh</t>
        </is>
      </c>
      <c r="G12348" s="10" t="inlineStr">
        <is>
          <t>12-04-2026</t>
        </is>
      </c>
      <c r="H12348" s="10" t="inlineStr">
        <is>
          <t>12/04/2026</t>
        </is>
      </c>
      <c r="I12348" s="10" t="inlineStr">
        <is>
          <t>17/03/2026</t>
        </is>
      </c>
      <c r="J12348" s="10" t="inlineStr">
        <is>
          <t>Tiếp thị / Marketing, Tiếp thị trực tuyến, Quảng cáo / Đối ngoại / Truyền Thông</t>
        </is>
      </c>
      <c r="K12348" s="10" t="inlineStr">
        <is>
          <t>2 - 3 Năm</t>
        </is>
      </c>
      <c r="L12348" s="11">
        <f>HYPERLINK("https://careerviet.vn/vi/tim-viec-lam/senior-media-performance.35C6C457.html","Xem chi tiết")</f>
        <v/>
      </c>
      <c r="M12348" s="10" t="n"/>
    </row>
    <row r="12349">
      <c r="B12349" s="7" t="n">
        <v>12347</v>
      </c>
      <c r="C12349" t="inlineStr">
        <is>
          <t>Chuyên viên cao cấp Quản trị khách hàng phổ thông, Phân khúc khách hàng phổ thông, Khối Khách hàng cá nhân</t>
        </is>
      </c>
      <c r="D12349" t="inlineStr">
        <is>
          <t>Ngân hàng TMCP Đại Chúng Việt Nam - PVcomBank</t>
        </is>
      </c>
      <c r="E12349" t="inlineStr">
        <is>
          <t>Lương:Cạnh tranh</t>
        </is>
      </c>
      <c r="F12349" t="inlineStr">
        <is>
          <t>Hà Nội</t>
        </is>
      </c>
      <c r="G12349" t="inlineStr">
        <is>
          <t>12-04-2026</t>
        </is>
      </c>
      <c r="H12349" t="inlineStr">
        <is>
          <t>12/04/2026</t>
        </is>
      </c>
      <c r="I12349" t="inlineStr">
        <is>
          <t>17/03/2026</t>
        </is>
      </c>
      <c r="J12349" t="inlineStr">
        <is>
          <t>Ngân hàng</t>
        </is>
      </c>
      <c r="K12349" t="inlineStr">
        <is>
          <t>3 - 5 Năm</t>
        </is>
      </c>
      <c r="L12349" s="8">
        <f>HYPERLINK("https://careerviet.vn/vi/tim-viec-lam/chuyen-vien-cao-cap-quan-tri-khach-hang-pho-thong-phan-khuc-khach-hang-pho-thong-khoi-khach-hang-ca-nhan.35C6C45A.html","Xem chi tiết")</f>
        <v/>
      </c>
    </row>
    <row r="12350">
      <c r="B12350" s="9" t="n">
        <v>12348</v>
      </c>
      <c r="C12350" s="10" t="inlineStr">
        <is>
          <t>CHUYÊN VIÊN TƯ VẤN &amp; CSKH</t>
        </is>
      </c>
      <c r="D12350" s="10" t="inlineStr">
        <is>
          <t>CÔNG TY CỔ PHẦN ABT HOMES</t>
        </is>
      </c>
      <c r="E12350" s="10" t="inlineStr">
        <is>
          <t>Lương:12 Tr - 17 Tr VND</t>
        </is>
      </c>
      <c r="F12350" s="10" t="inlineStr">
        <is>
          <t>Hà Nội</t>
        </is>
      </c>
      <c r="G12350" s="10" t="inlineStr">
        <is>
          <t>20-05-2026</t>
        </is>
      </c>
      <c r="H12350" s="10" t="inlineStr">
        <is>
          <t>20/05/2026</t>
        </is>
      </c>
      <c r="I12350" s="10" t="inlineStr">
        <is>
          <t>17/03/2026</t>
        </is>
      </c>
      <c r="J12350" s="10" t="inlineStr">
        <is>
          <t>Bán hàng / Kinh doanh, Tư vấn, Nội ngoại thất</t>
        </is>
      </c>
      <c r="K12350" s="10" t="inlineStr">
        <is>
          <t>1 - 2 Năm</t>
        </is>
      </c>
      <c r="L12350" s="11">
        <f>HYPERLINK("https://careerviet.vn/vi/tim-viec-lam/chuyen-vien-tu-van-cskh.35C6C45D.html","Xem chi tiết")</f>
        <v/>
      </c>
      <c r="M12350" s="10" t="n"/>
    </row>
    <row r="12351">
      <c r="B12351" s="7" t="n">
        <v>12349</v>
      </c>
      <c r="C12351" t="inlineStr">
        <is>
          <t>Content Marketing</t>
        </is>
      </c>
      <c r="D12351" t="inlineStr">
        <is>
          <t>CÔNG TY CỔ PHẦN ABT HOMES</t>
        </is>
      </c>
      <c r="E12351" t="inlineStr">
        <is>
          <t>Lương:8 Tr - 15 Tr VND</t>
        </is>
      </c>
      <c r="F12351" t="inlineStr">
        <is>
          <t>Hà Nội</t>
        </is>
      </c>
      <c r="G12351" t="inlineStr">
        <is>
          <t>20-05-2026</t>
        </is>
      </c>
      <c r="H12351" t="inlineStr">
        <is>
          <t>20/05/2026</t>
        </is>
      </c>
      <c r="I12351" t="inlineStr">
        <is>
          <t>17/03/2026</t>
        </is>
      </c>
      <c r="J12351" t="inlineStr">
        <is>
          <t>Kiến trúc, Xây dựng</t>
        </is>
      </c>
      <c r="K12351" t="inlineStr">
        <is>
          <t>1 - 2 Năm</t>
        </is>
      </c>
      <c r="L12351" s="8">
        <f>HYPERLINK("https://careerviet.vn/vi/tim-viec-lam/content-marketing.35C6C459.html","Xem chi tiết")</f>
        <v/>
      </c>
    </row>
    <row r="12352">
      <c r="B12352" s="9" t="n">
        <v>12350</v>
      </c>
      <c r="C12352" s="10" t="inlineStr">
        <is>
          <t>THỦ KHO THÀNH PHẨM (Pleiku)</t>
        </is>
      </c>
      <c r="D12352" s="10" t="inlineStr">
        <is>
          <t>Công ty cổ phần Nafoods Group</t>
        </is>
      </c>
      <c r="E12352" s="10" t="inlineStr">
        <is>
          <t>Lương:Cạnh tranh</t>
        </is>
      </c>
      <c r="F12352" s="10" t="inlineStr">
        <is>
          <t>Gia Lai</t>
        </is>
      </c>
      <c r="G12352" s="10" t="inlineStr">
        <is>
          <t>30-04-2026</t>
        </is>
      </c>
      <c r="H12352" s="10" t="inlineStr">
        <is>
          <t>30/04/2026</t>
        </is>
      </c>
      <c r="I12352" s="10" t="inlineStr">
        <is>
          <t>17/03/2026</t>
        </is>
      </c>
      <c r="J12352" s="10" t="inlineStr">
        <is>
          <t>Vận chuyển / Giao nhận / Kho vận, Kế toán / Kiểm toán</t>
        </is>
      </c>
      <c r="K12352" s="10" t="inlineStr">
        <is>
          <t>1 - 2 Năm</t>
        </is>
      </c>
      <c r="L12352" s="11">
        <f>HYPERLINK("https://careerviet.vn/vi/tim-viec-lam/thu-kho-thanh-pham-pleiku.35C6B2C7.html","Xem chi tiết")</f>
        <v/>
      </c>
      <c r="M12352" s="10" t="n"/>
    </row>
    <row r="12353">
      <c r="B12353" s="7" t="n">
        <v>12351</v>
      </c>
      <c r="C12353" t="inlineStr">
        <is>
          <t>Chuyên viên Business Analyst (BA)</t>
        </is>
      </c>
      <c r="D12353" t="inlineStr">
        <is>
          <t>CÔNG TY TNHH TẬP ĐOÀN XÂY DỰNG DELTA</t>
        </is>
      </c>
      <c r="E12353" t="inlineStr">
        <is>
          <t>Lương:Cạnh tranh</t>
        </is>
      </c>
      <c r="F12353" t="inlineStr">
        <is>
          <t>Hà Nội</t>
        </is>
      </c>
      <c r="G12353" t="inlineStr">
        <is>
          <t>30-04-2026</t>
        </is>
      </c>
      <c r="H12353" t="inlineStr">
        <is>
          <t>30/04/2026</t>
        </is>
      </c>
      <c r="I12353" t="inlineStr">
        <is>
          <t>17/03/2026</t>
        </is>
      </c>
      <c r="J12353" t="inlineStr">
        <is>
          <t>CNTT - Phần mềm, CNTT - Phần cứng / Mạng, Bưu chính viễn thông</t>
        </is>
      </c>
      <c r="K12353" t="inlineStr">
        <is>
          <t>1 - 2 Năm</t>
        </is>
      </c>
      <c r="L12353" s="8">
        <f>HYPERLINK("https://careerviet.vn/vi/tim-viec-lam/chuyen-vien-business-analyst-ba.35C6B296.html","Xem chi tiết")</f>
        <v/>
      </c>
    </row>
    <row r="12354">
      <c r="B12354" s="9" t="n">
        <v>12352</v>
      </c>
      <c r="C12354" s="10" t="inlineStr">
        <is>
          <t>Nhân Viên Sales Logistic</t>
        </is>
      </c>
      <c r="D12354" s="10" t="inlineStr">
        <is>
          <t>CÔNG TY CỔ PHẦN TGI TRANS</t>
        </is>
      </c>
      <c r="E12354" s="10" t="inlineStr">
        <is>
          <t>Lương:10 Tr - 15 Tr VND</t>
        </is>
      </c>
      <c r="F12354" s="10" t="inlineStr">
        <is>
          <t>Hà Nội</t>
        </is>
      </c>
      <c r="G12354" s="10" t="inlineStr">
        <is>
          <t>30-04-2026</t>
        </is>
      </c>
      <c r="H12354" s="10" t="inlineStr">
        <is>
          <t>30/04/2026</t>
        </is>
      </c>
      <c r="I12354" s="10" t="inlineStr">
        <is>
          <t>17/03/2026</t>
        </is>
      </c>
      <c r="J12354" s="10" t="inlineStr">
        <is>
          <t>Dịch vụ khách hàng, Bán hàng / Kinh doanh, Vận chuyển / Giao nhận / Kho vận</t>
        </is>
      </c>
      <c r="K12354" s="10" t="inlineStr">
        <is>
          <t>Chưa có kinh nghiệm</t>
        </is>
      </c>
      <c r="L12354" s="11">
        <f>HYPERLINK("https://careerviet.vn/vi/tim-viec-lam/nhan-vien-sales-logistic.35C6B341.html","Xem chi tiết")</f>
        <v/>
      </c>
      <c r="M12354" s="10" t="n"/>
    </row>
    <row r="12355">
      <c r="B12355" s="7" t="n">
        <v>12353</v>
      </c>
      <c r="C12355" t="inlineStr">
        <is>
          <t>Nhân Viên Hành Chính - Lễ tân</t>
        </is>
      </c>
      <c r="D12355" t="inlineStr">
        <is>
          <t>CÔNG TY CỔ PHẦN ĐIỆN VÀ XÂY DỰNG NAM VIỆT</t>
        </is>
      </c>
      <c r="E12355" t="inlineStr">
        <is>
          <t>Lương:Cạnh tranh</t>
        </is>
      </c>
      <c r="F12355" t="inlineStr">
        <is>
          <t>Hồ Chí Minh</t>
        </is>
      </c>
      <c r="G12355" t="inlineStr">
        <is>
          <t>05-04-2026</t>
        </is>
      </c>
      <c r="H12355" t="inlineStr">
        <is>
          <t>05/04/2026</t>
        </is>
      </c>
      <c r="I12355" t="inlineStr">
        <is>
          <t>17/03/2026</t>
        </is>
      </c>
      <c r="J12355" t="inlineStr">
        <is>
          <t>Hành chính / Thư ký, Nhân sự, Mới tốt nghiệp / Thực tập</t>
        </is>
      </c>
      <c r="K12355" t="inlineStr">
        <is>
          <t>Lên đến 2 Năm</t>
        </is>
      </c>
      <c r="L12355" s="8">
        <f>HYPERLINK("https://careerviet.vn/vi/tim-viec-lam/nhan-vien-hanh-chinh-le-tan.35C6B29B.html","Xem chi tiết")</f>
        <v/>
      </c>
    </row>
    <row r="12356">
      <c r="B12356" s="9" t="n">
        <v>12354</v>
      </c>
      <c r="C12356" s="10" t="inlineStr">
        <is>
          <t>Nhân Viên Y Tế Trường Học (quận 10)</t>
        </is>
      </c>
      <c r="D12356" s="10" t="inlineStr">
        <is>
          <t>TRƯỜNG QUỐC TẾ BLUE RIDGE / BLUE RIDGE INTERNATIONAL SCHOOL (BRIS)</t>
        </is>
      </c>
      <c r="E12356" s="10" t="inlineStr">
        <is>
          <t>Lương:7 Tr - 8 Tr VND</t>
        </is>
      </c>
      <c r="F12356" s="10" t="inlineStr">
        <is>
          <t>Hồ Chí Minh</t>
        </is>
      </c>
      <c r="G12356" s="10" t="inlineStr">
        <is>
          <t>31-03-2026</t>
        </is>
      </c>
      <c r="H12356" s="10" t="inlineStr">
        <is>
          <t>31/03/2026</t>
        </is>
      </c>
      <c r="I12356" s="10" t="inlineStr">
        <is>
          <t>17/03/2026</t>
        </is>
      </c>
      <c r="J12356" s="10" t="inlineStr">
        <is>
          <t>Y tế / Chăm sóc sức khỏe / Thẩm mỹ / Làm đẹp, Giáo dục / Đào tạo</t>
        </is>
      </c>
      <c r="K12356" s="10" t="inlineStr">
        <is>
          <t>1 - 2 Năm</t>
        </is>
      </c>
      <c r="L12356" s="11">
        <f>HYPERLINK("https://careerviet.vn/vi/tim-viec-lam/nhan-vien-y-te-truong-hoc-quan-10.35C6B282.html","Xem chi tiết")</f>
        <v/>
      </c>
      <c r="M12356" s="10" t="n"/>
    </row>
    <row r="12357">
      <c r="B12357" s="7" t="n">
        <v>12355</v>
      </c>
      <c r="C12357" t="inlineStr">
        <is>
          <t>Chuyên viên Đấu thầu Xây dựng</t>
        </is>
      </c>
      <c r="D12357" t="inlineStr">
        <is>
          <t>CÔNG TY CỔ PHẨN ỨNG DỤNG VÀ CHUYỂN GIAO CÔNG NGHỆ XÂY DỰNG (CJSC)</t>
        </is>
      </c>
      <c r="E12357" t="inlineStr">
        <is>
          <t>Lương:14 Tr - 20 Tr VND</t>
        </is>
      </c>
      <c r="F12357" t="inlineStr">
        <is>
          <t>Hà Nội</t>
        </is>
      </c>
      <c r="G12357" t="inlineStr">
        <is>
          <t>11-04-2026</t>
        </is>
      </c>
      <c r="H12357" t="inlineStr">
        <is>
          <t>11/04/2026</t>
        </is>
      </c>
      <c r="I12357" t="inlineStr">
        <is>
          <t>17/03/2026</t>
        </is>
      </c>
      <c r="J12357" t="inlineStr">
        <is>
          <t>Xây dựng</t>
        </is>
      </c>
      <c r="K12357" t="inlineStr">
        <is>
          <t>3 - 5 Năm</t>
        </is>
      </c>
      <c r="L12357" s="8">
        <f>HYPERLINK("https://careerviet.vn/vi/tim-viec-lam/chuyen-vien-dau-thau-xay-dung.35C6C464.html","Xem chi tiết")</f>
        <v/>
      </c>
    </row>
    <row r="12358">
      <c r="B12358" s="9" t="n">
        <v>12356</v>
      </c>
      <c r="C12358" s="10" t="inlineStr">
        <is>
          <t>Chef (Bếp trưởng Nhà hàng Nhật Bản Yakuzen)</t>
        </is>
      </c>
      <c r="D12358" s="10" t="inlineStr">
        <is>
          <t>CÔNG TY TNHH ROHTO-MENTHOLATUM (VIỆT NAM)</t>
        </is>
      </c>
      <c r="E12358" s="10" t="inlineStr">
        <is>
          <t>Lương:Cạnh tranh</t>
        </is>
      </c>
      <c r="F12358" s="10" t="inlineStr">
        <is>
          <t>Hồ Chí Minh</t>
        </is>
      </c>
      <c r="G12358" s="10" t="inlineStr">
        <is>
          <t>06-04-2026</t>
        </is>
      </c>
      <c r="H12358" s="10" t="inlineStr">
        <is>
          <t>06/04/2026</t>
        </is>
      </c>
      <c r="I12358" s="10" t="inlineStr">
        <is>
          <t>17/03/2026</t>
        </is>
      </c>
      <c r="J12358" s="10" t="inlineStr">
        <is>
          <t>Nhà hàng / Khách sạn</t>
        </is>
      </c>
      <c r="K12358" s="10" t="inlineStr">
        <is>
          <t>5 - 10 Năm</t>
        </is>
      </c>
      <c r="L12358" s="11">
        <f>HYPERLINK("https://careerviet.vn/vi/tim-viec-lam/chef-bep-truong-nha-hang-nhat-ban-yakuzen.35C6B329.html","Xem chi tiết")</f>
        <v/>
      </c>
      <c r="M12358" s="10" t="n"/>
    </row>
    <row r="12359">
      <c r="B12359" s="7" t="n">
        <v>12357</v>
      </c>
      <c r="C12359" t="inlineStr">
        <is>
          <t>KỸ SƯ MEP</t>
        </is>
      </c>
      <c r="D12359" t="inlineStr">
        <is>
          <t>CÔNG TY CỔ PHẦN CHẾ BIẾN THỰC PHẨM HOÀNG SƠN</t>
        </is>
      </c>
      <c r="E12359" t="inlineStr">
        <is>
          <t>Lương:Cạnh tranh</t>
        </is>
      </c>
      <c r="F12359" t="inlineStr">
        <is>
          <t>Bình Dương</t>
        </is>
      </c>
      <c r="G12359" t="inlineStr">
        <is>
          <t>31-03-2026</t>
        </is>
      </c>
      <c r="H12359" t="inlineStr">
        <is>
          <t>31/03/2026</t>
        </is>
      </c>
      <c r="I12359" t="inlineStr">
        <is>
          <t>17/03/2026</t>
        </is>
      </c>
      <c r="J12359" t="inlineStr">
        <is>
          <t>Điện / Điện tử / Điện lạnh / Điện công nghiệp, Xây dựng</t>
        </is>
      </c>
      <c r="K12359" t="inlineStr">
        <is>
          <t>3 - 4 Năm</t>
        </is>
      </c>
      <c r="L12359" s="8">
        <f>HYPERLINK("https://careerviet.vn/vi/tim-viec-lam/ky-su-mep.35C6B292.html","Xem chi tiết")</f>
        <v/>
      </c>
    </row>
    <row r="12360">
      <c r="B12360" s="9" t="n">
        <v>12358</v>
      </c>
      <c r="C12360" s="10" t="inlineStr">
        <is>
          <t>Trưởng Phòng Media</t>
        </is>
      </c>
      <c r="D12360" s="10" t="inlineStr">
        <is>
          <t>Công Ty TNHH Thương Mại Xuất Nhập Khẩu Fani</t>
        </is>
      </c>
      <c r="E12360" s="10" t="inlineStr">
        <is>
          <t>Lương:25 Tr - 30 Tr VND</t>
        </is>
      </c>
      <c r="F12360" s="10" t="inlineStr">
        <is>
          <t>Hà Nội</t>
        </is>
      </c>
      <c r="G12360" s="10" t="inlineStr">
        <is>
          <t>11-04-2026</t>
        </is>
      </c>
      <c r="H12360" s="10" t="inlineStr">
        <is>
          <t>11/04/2026</t>
        </is>
      </c>
      <c r="I12360" s="10" t="inlineStr">
        <is>
          <t>17/03/2026</t>
        </is>
      </c>
      <c r="J12360" s="10" t="inlineStr">
        <is>
          <t>Quản lý điều hành, Quảng cáo / Đối ngoại / Truyền Thông, Truyền hình / Báo chí / Biên tập</t>
        </is>
      </c>
      <c r="K12360" s="10" t="inlineStr">
        <is>
          <t>2 - 3 NămĐịa điểm</t>
        </is>
      </c>
      <c r="L12360" s="11">
        <f>HYPERLINK("https://careerviet.vn/vi/tim-viec-lam/truong-phong-media.35C6C421.html","Xem chi tiết")</f>
        <v/>
      </c>
      <c r="M12360" s="10" t="n"/>
    </row>
    <row r="12361">
      <c r="B12361" s="7" t="n">
        <v>12359</v>
      </c>
      <c r="C12361" t="inlineStr">
        <is>
          <t>Product UX/ UI Optimization Executive/ Specialist</t>
        </is>
      </c>
      <c r="D12361" t="inlineStr">
        <is>
          <t>Concung.com - Con Cung Joint Stock Company</t>
        </is>
      </c>
      <c r="E12361" t="inlineStr">
        <is>
          <t>Lương:Cạnh tranh</t>
        </is>
      </c>
      <c r="F12361" t="inlineStr">
        <is>
          <t>Hồ Chí Minh</t>
        </is>
      </c>
      <c r="G12361" t="inlineStr">
        <is>
          <t>31-03-2026</t>
        </is>
      </c>
      <c r="H12361" t="inlineStr">
        <is>
          <t>31/03/2026</t>
        </is>
      </c>
      <c r="I12361" t="inlineStr">
        <is>
          <t>17/03/2026</t>
        </is>
      </c>
      <c r="J12361" t="inlineStr">
        <is>
          <t>Thương mại điện tử, Tiếp thị / Marketing, CNTT - Phần mềm</t>
        </is>
      </c>
      <c r="K12361" t="inlineStr">
        <is>
          <t>2 - 3 Năm</t>
        </is>
      </c>
      <c r="L12361" s="8">
        <f>HYPERLINK("https://careerviet.vn/vi/tim-viec-lam/product-ux-ui-optimization-executive-specialist.35C6B346.html","Xem chi tiết")</f>
        <v/>
      </c>
    </row>
    <row r="12362">
      <c r="B12362" s="9" t="n">
        <v>12360</v>
      </c>
      <c r="C12362" s="10" t="inlineStr">
        <is>
          <t>GIÁM ĐỐC KHU VỰC NGÀNH HÀNG ĐIỆN MÁY (Khu vực Miền Trung)</t>
        </is>
      </c>
      <c r="D12362" s="10" t="inlineStr">
        <is>
          <t>CÔNG TY TNHH SẢN XUẤT TẬP ĐOÀN ĐẠI VIỆT</t>
        </is>
      </c>
      <c r="E12362" s="10" t="inlineStr">
        <is>
          <t>Lương:40 Tr - 60 Tr VND</t>
        </is>
      </c>
      <c r="F12362" s="10" t="inlineStr">
        <is>
          <t>Đà Nẵng</t>
        </is>
      </c>
      <c r="G12362" s="10" t="inlineStr">
        <is>
          <t>06-04-2026</t>
        </is>
      </c>
      <c r="H12362" s="10" t="inlineStr">
        <is>
          <t>06/04/2026</t>
        </is>
      </c>
      <c r="I12362" s="10" t="inlineStr">
        <is>
          <t>17/03/2026</t>
        </is>
      </c>
      <c r="J12362" s="10" t="inlineStr">
        <is>
          <t>Bán hàng / Kinh doanh, Bán Hàng Kỹ Thuật, Điện / Điện tử / Điện lạnh / Điện công nghiệp</t>
        </is>
      </c>
      <c r="K12362" s="10" t="inlineStr">
        <is>
          <t>3 - 5 Năm</t>
        </is>
      </c>
      <c r="L12362" s="11">
        <f>HYPERLINK("https://careerviet.vn/vi/tim-viec-lam/giam-doc-khu-vuc-nganh-hang-dien-may-khu-vuc-mien-trung.35C6B2B3.html","Xem chi tiết")</f>
        <v/>
      </c>
      <c r="M12362" s="10" t="n"/>
    </row>
    <row r="12363">
      <c r="B12363" s="7" t="n">
        <v>12361</v>
      </c>
      <c r="C12363" t="inlineStr">
        <is>
          <t>Kế toán kho tại Cần Thơ  (đi làm luôn)</t>
        </is>
      </c>
      <c r="D12363" t="inlineStr">
        <is>
          <t>CÔNG TY CỔ PHẦN TẬP ĐOÀN DEKKO</t>
        </is>
      </c>
      <c r="E12363" t="inlineStr">
        <is>
          <t>Lương:8 Tr - 10 Tr VND</t>
        </is>
      </c>
      <c r="F12363" t="inlineStr">
        <is>
          <t>Cần Thơ</t>
        </is>
      </c>
      <c r="G12363" t="inlineStr">
        <is>
          <t>07-04-2026</t>
        </is>
      </c>
      <c r="H12363" t="inlineStr">
        <is>
          <t>07/04/2026</t>
        </is>
      </c>
      <c r="I12363" t="inlineStr">
        <is>
          <t>17/03/2026</t>
        </is>
      </c>
      <c r="J12363" t="inlineStr">
        <is>
          <t>Kế toán / Kiểm toán</t>
        </is>
      </c>
      <c r="K12363" t="inlineStr">
        <is>
          <t>1 - 3 Năm</t>
        </is>
      </c>
      <c r="L12363" s="8">
        <f>HYPERLINK("https://careerviet.vn/vi/tim-viec-lam/ke-toan-kho-tai-can-tho-di-lam-luon.35C6B235.html","Xem chi tiết")</f>
        <v/>
      </c>
    </row>
    <row r="12364">
      <c r="B12364" s="9" t="n">
        <v>12362</v>
      </c>
      <c r="C12364" s="10" t="inlineStr">
        <is>
          <t>CHUYÊN VIÊN NHÂN SỰ HÀNH CHÍNH (Đắk Lắk)</t>
        </is>
      </c>
      <c r="D12364" s="10" t="inlineStr">
        <is>
          <t>CÔNG TY CỔ PHẦN TẬP ĐOÀN XUẤT - NHẬP KHẨU TRÁI CÂY CHÁNH THU</t>
        </is>
      </c>
      <c r="E12364" s="10" t="inlineStr">
        <is>
          <t>Lương:Cạnh tranh</t>
        </is>
      </c>
      <c r="F12364" s="10" t="inlineStr">
        <is>
          <t>Dak Lak</t>
        </is>
      </c>
      <c r="G12364" s="10" t="inlineStr">
        <is>
          <t>06-04-2026</t>
        </is>
      </c>
      <c r="H12364" s="10" t="inlineStr">
        <is>
          <t>06/04/2026</t>
        </is>
      </c>
      <c r="I12364" s="10" t="inlineStr">
        <is>
          <t>17/03/2026</t>
        </is>
      </c>
      <c r="J12364" s="10" t="inlineStr">
        <is>
          <t>Hành chính / Thư ký, Nhân sự, Xuất nhập khẩu</t>
        </is>
      </c>
      <c r="K12364" s="10" t="inlineStr">
        <is>
          <t>2 - 3 Năm</t>
        </is>
      </c>
      <c r="L12364" s="11">
        <f>HYPERLINK("https://careerviet.vn/vi/tim-viec-lam/chuyen-vien-nhan-su-hanh-chinh-dak-lak.35C6B2CE.html","Xem chi tiết")</f>
        <v/>
      </c>
      <c r="M12364" s="10" t="n"/>
    </row>
    <row r="12365">
      <c r="B12365" s="7" t="n">
        <v>12363</v>
      </c>
      <c r="C12365" t="inlineStr">
        <is>
          <t>GIÁM SÁT AN TOÀN (MIỀN BẮC)</t>
        </is>
      </c>
      <c r="D12365" t="inlineStr">
        <is>
          <t>CÔNG TY CỔ PHẦN ĐẦU TƯ XÂY DỰNG VITECCONS</t>
        </is>
      </c>
      <c r="E12365" t="inlineStr">
        <is>
          <t>Lương:15 Tr - 25 Tr VND</t>
        </is>
      </c>
      <c r="F12365" t="inlineStr">
        <is>
          <t>Ninh Bình</t>
        </is>
      </c>
      <c r="G12365" t="inlineStr">
        <is>
          <t>15-04-2026</t>
        </is>
      </c>
      <c r="H12365" t="inlineStr">
        <is>
          <t>15/04/2026</t>
        </is>
      </c>
      <c r="I12365" t="inlineStr">
        <is>
          <t>17/03/2026</t>
        </is>
      </c>
      <c r="J12365" t="inlineStr">
        <is>
          <t>Xây dựng</t>
        </is>
      </c>
      <c r="K12365" t="inlineStr">
        <is>
          <t>2 - 5 Năm</t>
        </is>
      </c>
      <c r="L12365" s="8">
        <f>HYPERLINK("https://careerviet.vn/vi/tim-viec-lam/giam-sat-an-toan-mien-bac.35C6B2A6.html","Xem chi tiết")</f>
        <v/>
      </c>
    </row>
    <row r="12366">
      <c r="B12366" s="9" t="n">
        <v>12364</v>
      </c>
      <c r="C12366" s="10" t="inlineStr">
        <is>
          <t>Nhân viên điều hành bưu cục tại Hà Nội (Long Biên)</t>
        </is>
      </c>
      <c r="D12366" s="10" t="inlineStr">
        <is>
          <t>Công Ty Cổ Phần Hai Bốn Bảy</t>
        </is>
      </c>
      <c r="E12366" s="10" t="inlineStr">
        <is>
          <t>Lương:10 Tr - 12 Tr VND</t>
        </is>
      </c>
      <c r="F12366" s="10" t="inlineStr">
        <is>
          <t>Hà Nội</t>
        </is>
      </c>
      <c r="G12366" s="10" t="inlineStr">
        <is>
          <t>10-04-2026</t>
        </is>
      </c>
      <c r="H12366" s="10" t="inlineStr">
        <is>
          <t>10/04/2026</t>
        </is>
      </c>
      <c r="I12366" s="10" t="inlineStr">
        <is>
          <t>17/03/2026</t>
        </is>
      </c>
      <c r="J12366" s="10" t="inlineStr">
        <is>
          <t>Vận chuyển / Giao nhận / Kho vận</t>
        </is>
      </c>
      <c r="K12366" s="10" t="inlineStr">
        <is>
          <t>N/A</t>
        </is>
      </c>
      <c r="L12366" s="11">
        <f>HYPERLINK("https://careerviet.vn/vi/tim-viec-lam/nhan-vien-dieu-hanh-buu-cuc-tai-ha-noi-long-bien.35C6B377.html","Xem chi tiết")</f>
        <v/>
      </c>
      <c r="M12366" s="10" t="n"/>
    </row>
    <row r="12367">
      <c r="B12367" s="7" t="n">
        <v>12365</v>
      </c>
      <c r="C12367" t="inlineStr">
        <is>
          <t>Phó Phòng Kế Toán Thuế</t>
        </is>
      </c>
      <c r="D12367" t="inlineStr">
        <is>
          <t>DILIGO</t>
        </is>
      </c>
      <c r="E12367" t="inlineStr">
        <is>
          <t>Lương:Cạnh tranh</t>
        </is>
      </c>
      <c r="F12367" t="inlineStr">
        <is>
          <t>Hà Nội</t>
        </is>
      </c>
      <c r="G12367" t="inlineStr">
        <is>
          <t>31-03-2026</t>
        </is>
      </c>
      <c r="H12367" t="inlineStr">
        <is>
          <t>31/03/2026</t>
        </is>
      </c>
      <c r="I12367" t="inlineStr">
        <is>
          <t>17/03/2026</t>
        </is>
      </c>
      <c r="J12367" t="inlineStr">
        <is>
          <t>Kế toán / Kiểm toán</t>
        </is>
      </c>
      <c r="K12367" t="inlineStr">
        <is>
          <t>5 - 10 Năm</t>
        </is>
      </c>
      <c r="L12367" s="8">
        <f>HYPERLINK("https://careerviet.vn/vi/tim-viec-lam/pho-phong-ke-toan-thue.35C6B31A.html","Xem chi tiết")</f>
        <v/>
      </c>
    </row>
    <row r="12368">
      <c r="B12368" s="9" t="n">
        <v>12366</v>
      </c>
      <c r="C12368" s="10" t="inlineStr">
        <is>
          <t>CHUYÊN VIÊN TÀI CHÍNH</t>
        </is>
      </c>
      <c r="D12368" s="10" t="inlineStr">
        <is>
          <t>CÔNG TY CỔ PHẦN ĐẦU TƯ BẤT ĐỘNG SẢN TOÀN CẦU</t>
        </is>
      </c>
      <c r="E12368" s="10" t="inlineStr">
        <is>
          <t>Lương:25 Tr - 30 Tr VND</t>
        </is>
      </c>
      <c r="F12368" s="10" t="inlineStr">
        <is>
          <t>Hà Nội</t>
        </is>
      </c>
      <c r="G12368" s="10" t="inlineStr">
        <is>
          <t>11-04-2026</t>
        </is>
      </c>
      <c r="H12368" s="10" t="inlineStr">
        <is>
          <t>11/04/2026</t>
        </is>
      </c>
      <c r="I12368" s="10" t="inlineStr">
        <is>
          <t>17/03/2026</t>
        </is>
      </c>
      <c r="J12368" s="10" t="inlineStr">
        <is>
          <t>Kế toán / Kiểm toán</t>
        </is>
      </c>
      <c r="K12368" s="10" t="inlineStr">
        <is>
          <t>5 - 10 Năm</t>
        </is>
      </c>
      <c r="L12368" s="11">
        <f>HYPERLINK("https://careerviet.vn/vi/tim-viec-lam/chuyen-vien-tai-chinh.35C6B2A7.html","Xem chi tiết")</f>
        <v/>
      </c>
      <c r="M12368" s="10" t="n"/>
    </row>
    <row r="12369">
      <c r="B12369" s="7" t="n">
        <v>12367</v>
      </c>
      <c r="C12369" t="inlineStr">
        <is>
          <t>Giám Sát (Trưởng Nhóm) Nhân Sự - Tuyển Dụng | Thu Nhập Lên Đến 40 Triệu/Tháng</t>
        </is>
      </c>
      <c r="D12369" t="inlineStr">
        <is>
          <t>Công Ty Cổ Phần Hai Bốn Bảy</t>
        </is>
      </c>
      <c r="E12369" t="inlineStr">
        <is>
          <t>Lương:30 Tr - 40 Tr VND</t>
        </is>
      </c>
      <c r="F12369" t="inlineStr">
        <is>
          <t>Hồ Chí Minh</t>
        </is>
      </c>
      <c r="G12369" t="inlineStr">
        <is>
          <t>27-03-2026</t>
        </is>
      </c>
      <c r="H12369" t="inlineStr">
        <is>
          <t>27/03/2026</t>
        </is>
      </c>
      <c r="I12369" t="inlineStr">
        <is>
          <t>17/03/2026</t>
        </is>
      </c>
      <c r="J12369" t="inlineStr">
        <is>
          <t>Nhân sự</t>
        </is>
      </c>
      <c r="K12369" t="inlineStr">
        <is>
          <t>3 - 5 Năm</t>
        </is>
      </c>
      <c r="L12369" s="8">
        <f>HYPERLINK("https://careerviet.vn/vi/tim-viec-lam/giam-sat-truong-nhom-nhan-su-tuyen-dung-thu-nhap-len-den-40-trieu-thang.35C6B325.html","Xem chi tiết")</f>
        <v/>
      </c>
    </row>
    <row r="12370">
      <c r="B12370" s="9" t="n">
        <v>12368</v>
      </c>
      <c r="C12370" s="10" t="inlineStr">
        <is>
          <t>NHÂN VIÊN QA - CƠ KHÍ [CỦ CHI]</t>
        </is>
      </c>
      <c r="D12370" s="10" t="inlineStr">
        <is>
          <t>CÔNG TY CP SAIGON AUTO SUPPORTING INDUSTRY</t>
        </is>
      </c>
      <c r="E12370" s="10" t="inlineStr">
        <is>
          <t>Lương:Cạnh tranh</t>
        </is>
      </c>
      <c r="F12370" s="10" t="inlineStr">
        <is>
          <t>Hồ Chí Minh</t>
        </is>
      </c>
      <c r="G12370" s="10" t="inlineStr">
        <is>
          <t>10-04-2026</t>
        </is>
      </c>
      <c r="H12370" s="10" t="inlineStr">
        <is>
          <t>10/04/2026</t>
        </is>
      </c>
      <c r="I12370" s="10" t="inlineStr">
        <is>
          <t>17/03/2026</t>
        </is>
      </c>
      <c r="J12370" s="10" t="inlineStr">
        <is>
          <t>Cơ khí / Ô tô / Tự động hóa, Quản lý chất lượng (QA/QC)</t>
        </is>
      </c>
      <c r="K12370" s="10" t="inlineStr">
        <is>
          <t>1 - 5 Năm</t>
        </is>
      </c>
      <c r="L12370" s="11">
        <f>HYPERLINK("https://careerviet.vn/vi/tim-viec-lam/nhan-vien-qa-co-khi-cu-chi.35C6B291.html","Xem chi tiết")</f>
        <v/>
      </c>
      <c r="M12370" s="10" t="n"/>
    </row>
    <row r="12371">
      <c r="B12371" s="7" t="n">
        <v>12369</v>
      </c>
      <c r="C12371" t="inlineStr">
        <is>
          <t>Chuyên viên quản lý dữ liệu (Master Data Management)</t>
        </is>
      </c>
      <c r="D12371" t="inlineStr">
        <is>
          <t>Công Ty Cổ Phần Quốc Tế Sơn Hà</t>
        </is>
      </c>
      <c r="E12371" t="inlineStr">
        <is>
          <t>Lương:Cạnh tranh</t>
        </is>
      </c>
      <c r="F12371" t="inlineStr">
        <is>
          <t>Hà Nội</t>
        </is>
      </c>
      <c r="G12371" t="inlineStr">
        <is>
          <t>29-04-2026</t>
        </is>
      </c>
      <c r="H12371" t="inlineStr">
        <is>
          <t>29/04/2026</t>
        </is>
      </c>
      <c r="I12371" t="inlineStr">
        <is>
          <t>17/03/2026</t>
        </is>
      </c>
      <c r="J12371" t="inlineStr">
        <is>
          <t>CNTT - Phần mềm</t>
        </is>
      </c>
      <c r="K12371" t="inlineStr">
        <is>
          <t>2 - 4 Năm</t>
        </is>
      </c>
      <c r="L12371" s="8">
        <f>HYPERLINK("https://careerviet.vn/vi/tim-viec-lam/chuyen-vien-quan-ly-du-lieu-master-data-management.35C6B2D8.html","Xem chi tiết")</f>
        <v/>
      </c>
    </row>
    <row r="12372">
      <c r="B12372" s="9" t="n">
        <v>12370</v>
      </c>
      <c r="C12372" s="10" t="inlineStr">
        <is>
          <t>Tài xế lái xe cho giám đốc</t>
        </is>
      </c>
      <c r="D12372" s="10" t="inlineStr">
        <is>
          <t>Công ty Cổ phần Thiết kế và Quản lý Kỹ thuật IMP</t>
        </is>
      </c>
      <c r="E12372" s="10" t="inlineStr">
        <is>
          <t>Lương:14 Tr - 16 Tr VND</t>
        </is>
      </c>
      <c r="F12372" s="10" t="inlineStr">
        <is>
          <t>Hồ Chí Minh</t>
        </is>
      </c>
      <c r="G12372" s="10" t="inlineStr">
        <is>
          <t>31-03-2026</t>
        </is>
      </c>
      <c r="H12372" s="10" t="inlineStr">
        <is>
          <t>31/03/2026</t>
        </is>
      </c>
      <c r="I12372" s="10" t="inlineStr">
        <is>
          <t>17/03/2026</t>
        </is>
      </c>
      <c r="J12372" s="10" t="inlineStr">
        <is>
          <t>Ngành khác</t>
        </is>
      </c>
      <c r="K12372" s="10" t="inlineStr">
        <is>
          <t>3 - 5 Năm</t>
        </is>
      </c>
      <c r="L12372" s="11">
        <f>HYPERLINK("https://careerviet.vn/vi/tim-viec-lam/tai-xe-lai-xe-cho-giam-doc.35C6B36D.html","Xem chi tiết")</f>
        <v/>
      </c>
      <c r="M12372" s="10" t="n"/>
    </row>
    <row r="12373">
      <c r="B12373" s="7" t="n">
        <v>12371</v>
      </c>
      <c r="C12373" t="inlineStr">
        <is>
          <t>Area Key Horeca Manager (HRC chuỗi)</t>
        </is>
      </c>
      <c r="D12373" t="inlineStr">
        <is>
          <t>CÔNG TY TNHH WILMAR MARKETING CLV</t>
        </is>
      </c>
      <c r="E12373" t="inlineStr">
        <is>
          <t>Lương:25 Tr - 40 Tr VND</t>
        </is>
      </c>
      <c r="F12373" t="inlineStr">
        <is>
          <t>Hồ Chí Minh</t>
        </is>
      </c>
      <c r="G12373" t="inlineStr">
        <is>
          <t>09-05-2026</t>
        </is>
      </c>
      <c r="H12373" t="inlineStr">
        <is>
          <t>09/05/2026</t>
        </is>
      </c>
      <c r="I12373" t="inlineStr">
        <is>
          <t>17/03/2026</t>
        </is>
      </c>
      <c r="J12373" t="inlineStr">
        <is>
          <t>Tiếp thị / Marketing, Bán hàng / Kinh doanh</t>
        </is>
      </c>
      <c r="K12373" t="inlineStr">
        <is>
          <t>3 - 5 Năm</t>
        </is>
      </c>
      <c r="L12373" s="8">
        <f>HYPERLINK("https://careerviet.vn/vi/tim-viec-lam/area-key-horeca-manager-hrc-chuoi.35C6B4DE.html","Xem chi tiết")</f>
        <v/>
      </c>
    </row>
    <row r="12374">
      <c r="B12374" s="9" t="n">
        <v>12372</v>
      </c>
      <c r="C12374" s="10" t="inlineStr">
        <is>
          <t>Lập trình viên (.net)</t>
        </is>
      </c>
      <c r="D12374" s="10" t="inlineStr">
        <is>
          <t>Tổng Công ty Cổ phần Bảo hiểm Ngân hàng Đầu tư và Phát triển Việt Nam (BIC)</t>
        </is>
      </c>
      <c r="E12374" s="10" t="inlineStr">
        <is>
          <t>Lương:20 Tr - 40 Tr VND</t>
        </is>
      </c>
      <c r="F12374" s="10" t="inlineStr">
        <is>
          <t>Hà Nội</t>
        </is>
      </c>
      <c r="G12374" s="10" t="inlineStr">
        <is>
          <t>04-04-2026</t>
        </is>
      </c>
      <c r="H12374" s="10" t="inlineStr">
        <is>
          <t>04/04/2026</t>
        </is>
      </c>
      <c r="I12374" s="10" t="inlineStr">
        <is>
          <t>17/03/2026</t>
        </is>
      </c>
      <c r="J12374" s="10" t="inlineStr">
        <is>
          <t>CNTT - Phần mềm, Bảo hiểm</t>
        </is>
      </c>
      <c r="K12374" s="10" t="inlineStr">
        <is>
          <t>1 - 3 Năm</t>
        </is>
      </c>
      <c r="L12374" s="11">
        <f>HYPERLINK("https://careerviet.vn/vi/tim-viec-lam/lap-trinh-vien-net.35C6B55E.html","Xem chi tiết")</f>
        <v/>
      </c>
      <c r="M12374" s="10" t="n"/>
    </row>
    <row r="12375">
      <c r="B12375" s="7" t="n">
        <v>12373</v>
      </c>
      <c r="C12375" t="inlineStr">
        <is>
          <t>NHÂN VIÊN QUẢN LÝ CHẤT LƯỢNG (CHỢ LÁCH - BẾN TRE)</t>
        </is>
      </c>
      <c r="D12375" t="inlineStr">
        <is>
          <t>CÔNG TY CỔ PHẦN TẬP ĐOÀN XUẤT - NHẬP KHẨU TRÁI CÂY CHÁNH THU</t>
        </is>
      </c>
      <c r="E12375" t="inlineStr">
        <is>
          <t>Lương:Cạnh tranh</t>
        </is>
      </c>
      <c r="F12375" t="inlineStr">
        <is>
          <t>Bến TreTiền Giang</t>
        </is>
      </c>
      <c r="G12375" t="inlineStr">
        <is>
          <t>06-04-2026</t>
        </is>
      </c>
      <c r="H12375" t="inlineStr">
        <is>
          <t>06/04/2026</t>
        </is>
      </c>
      <c r="I12375" t="inlineStr">
        <is>
          <t>17/03/2026</t>
        </is>
      </c>
      <c r="J12375" t="inlineStr">
        <is>
          <t>Sản xuất / Vận hành sản xuất, Quản lý chất lượng (QA/QC), Xuất nhập khẩu</t>
        </is>
      </c>
      <c r="K12375" t="inlineStr">
        <is>
          <t>1 - 3 Năm</t>
        </is>
      </c>
      <c r="L12375" s="8">
        <f>HYPERLINK("https://careerviet.vn/vi/tim-viec-lam/nhan-vien-quan-ly-chat-luong-cho-lach-ben-tre.35C6B27A.html","Xem chi tiết")</f>
        <v/>
      </c>
    </row>
    <row r="12376">
      <c r="B12376" s="9" t="n">
        <v>12374</v>
      </c>
      <c r="C12376" s="10" t="inlineStr">
        <is>
          <t>Chuyên viên phát triển kinh doanh</t>
        </is>
      </c>
      <c r="D12376" s="10" t="inlineStr">
        <is>
          <t>CÔNG TY CỔ PHẦN THƯƠNG MẠI VÀ CÔNG NGHỆ THỰC PHẨM HOÀNG LÂM</t>
        </is>
      </c>
      <c r="E12376" s="10" t="inlineStr">
        <is>
          <t>Lương:13 Tr - 15 Tr VND</t>
        </is>
      </c>
      <c r="F12376" s="10" t="inlineStr">
        <is>
          <t>Hà Nội</t>
        </is>
      </c>
      <c r="G12376" s="10" t="inlineStr">
        <is>
          <t>31-03-2026</t>
        </is>
      </c>
      <c r="H12376" s="10" t="inlineStr">
        <is>
          <t>31/03/2026</t>
        </is>
      </c>
      <c r="I12376" s="10" t="inlineStr">
        <is>
          <t>17/03/2026</t>
        </is>
      </c>
      <c r="J12376" s="10" t="inlineStr">
        <is>
          <t>Bán hàng / Kinh doanh</t>
        </is>
      </c>
      <c r="K12376" s="10" t="inlineStr">
        <is>
          <t>1 - 2 Năm</t>
        </is>
      </c>
      <c r="L12376" s="11">
        <f>HYPERLINK("https://careerviet.vn/vi/tim-viec-lam/chuyen-vien-phat-trien-kinh-doanh.35C6B34D.html","Xem chi tiết")</f>
        <v/>
      </c>
      <c r="M12376" s="10" t="n"/>
    </row>
    <row r="12377">
      <c r="B12377" s="7" t="n">
        <v>12375</v>
      </c>
      <c r="C12377" t="inlineStr">
        <is>
          <t>TÀI LIỆU KỸ THUẬT</t>
        </is>
      </c>
      <c r="D12377" t="inlineStr">
        <is>
          <t>Công ty cổ phần Okapi Việt Nam - Thương hiệu thời trang BADASS</t>
        </is>
      </c>
      <c r="E12377" t="inlineStr">
        <is>
          <t>Lương:10 Tr - 15 Tr VND</t>
        </is>
      </c>
      <c r="F12377" t="inlineStr">
        <is>
          <t>Hà Nội</t>
        </is>
      </c>
      <c r="G12377" t="inlineStr">
        <is>
          <t>31-03-2026</t>
        </is>
      </c>
      <c r="H12377" t="inlineStr">
        <is>
          <t>31/03/2026</t>
        </is>
      </c>
      <c r="I12377" t="inlineStr">
        <is>
          <t>17/03/2026</t>
        </is>
      </c>
      <c r="J12377" t="inlineStr">
        <is>
          <t>Hành chính / Thư ký, Dệt may / Da giày / Thời trang</t>
        </is>
      </c>
      <c r="K12377" t="inlineStr">
        <is>
          <t>2 - 3 Năm</t>
        </is>
      </c>
      <c r="L12377" s="8">
        <f>HYPERLINK("https://careerviet.vn/vi/tim-viec-lam/tai-lieu-ky-thuat.35C6B38E.html","Xem chi tiết")</f>
        <v/>
      </c>
    </row>
    <row r="12378">
      <c r="B12378" s="9" t="n">
        <v>12376</v>
      </c>
      <c r="C12378" s="10" t="inlineStr">
        <is>
          <t>Kế Toán Tổng Hợp (Mạnh Về Thuế)</t>
        </is>
      </c>
      <c r="D12378" s="10" t="inlineStr">
        <is>
          <t>Công Ty Cổ Phần Tập Đoàn Việt Ba</t>
        </is>
      </c>
      <c r="E12378" s="10" t="inlineStr">
        <is>
          <t>Lương:15 Tr - 20 Tr VND</t>
        </is>
      </c>
      <c r="F12378" s="10" t="inlineStr">
        <is>
          <t>Hà Nội</t>
        </is>
      </c>
      <c r="G12378" s="10" t="inlineStr">
        <is>
          <t>06-04-2026</t>
        </is>
      </c>
      <c r="H12378" s="10" t="inlineStr">
        <is>
          <t>06/04/2026</t>
        </is>
      </c>
      <c r="I12378" s="10" t="inlineStr">
        <is>
          <t>17/03/2026</t>
        </is>
      </c>
      <c r="J12378" s="10" t="inlineStr">
        <is>
          <t>Kế toán / Kiểm toán, Luật / Pháp lý, Tài chính / Đầu tư</t>
        </is>
      </c>
      <c r="K12378" s="10" t="inlineStr">
        <is>
          <t>5 - 8 Năm</t>
        </is>
      </c>
      <c r="L12378" s="11">
        <f>HYPERLINK("https://careerviet.vn/vi/tim-viec-lam/ke-toan-tong-hop-manh-ve-thue.35C6B321.html","Xem chi tiết")</f>
        <v/>
      </c>
      <c r="M12378" s="10" t="n"/>
    </row>
    <row r="12379">
      <c r="B12379" s="7" t="n">
        <v>12377</v>
      </c>
      <c r="C12379" t="inlineStr">
        <is>
          <t>Junior Accountant</t>
        </is>
      </c>
      <c r="D12379" t="inlineStr">
        <is>
          <t>CÔNG TY CỔ PHẦN CITICS</t>
        </is>
      </c>
      <c r="E12379" t="inlineStr">
        <is>
          <t>Lương:Trên 9 Tr VND</t>
        </is>
      </c>
      <c r="F12379" t="inlineStr">
        <is>
          <t>Hồ Chí Minh</t>
        </is>
      </c>
      <c r="G12379" t="inlineStr">
        <is>
          <t>30-04-2026</t>
        </is>
      </c>
      <c r="H12379" t="inlineStr">
        <is>
          <t>30/04/2026</t>
        </is>
      </c>
      <c r="I12379" t="inlineStr">
        <is>
          <t>17/03/2026</t>
        </is>
      </c>
      <c r="J12379" t="inlineStr">
        <is>
          <t>Kế toán / Kiểm toán</t>
        </is>
      </c>
      <c r="K12379" t="inlineStr">
        <is>
          <t>Trên 1 Năm</t>
        </is>
      </c>
      <c r="L12379" s="8">
        <f>HYPERLINK("https://careerviet.vn/vi/tim-viec-lam/junior-accountant.35C6B55B.html","Xem chi tiết")</f>
        <v/>
      </c>
    </row>
    <row r="12380">
      <c r="B12380" s="9" t="n">
        <v>12378</v>
      </c>
      <c r="C12380" s="10" t="inlineStr">
        <is>
          <t>Chuyên viên Cao cấp Chăm sóc Khách hàng - Xử lý khiếu nại</t>
        </is>
      </c>
      <c r="D12380" s="10" t="inlineStr">
        <is>
          <t>Dai-ichi Life Việt Nam</t>
        </is>
      </c>
      <c r="E12380" s="10" t="inlineStr">
        <is>
          <t>Lương:Cạnh tranh</t>
        </is>
      </c>
      <c r="F12380" s="10" t="inlineStr">
        <is>
          <t>Hồ Chí Minh</t>
        </is>
      </c>
      <c r="G12380" s="10" t="inlineStr">
        <is>
          <t>07-04-2026</t>
        </is>
      </c>
      <c r="H12380" s="10" t="inlineStr">
        <is>
          <t>07/04/2026</t>
        </is>
      </c>
      <c r="I12380" s="10" t="inlineStr">
        <is>
          <t>17/03/2026</t>
        </is>
      </c>
      <c r="J12380" s="10" t="inlineStr">
        <is>
          <t>Ngân hàng, Bảo hiểm, Tài chính / Đầu tư</t>
        </is>
      </c>
      <c r="K12380" s="10" t="inlineStr">
        <is>
          <t>3 - 10 Năm</t>
        </is>
      </c>
      <c r="L12380" s="11">
        <f>HYPERLINK("https://careerviet.vn/vi/tim-viec-lam/chuyen-vien-cao-cap-cham-soc-khach-hang-xu-ly-khieu-nai.35C6B491.html","Xem chi tiết")</f>
        <v/>
      </c>
      <c r="M12380" s="10" t="n"/>
    </row>
    <row r="12381">
      <c r="B12381" s="7" t="n">
        <v>12379</v>
      </c>
      <c r="C12381" t="inlineStr">
        <is>
          <t>Cửa Hàng Trưởng - Khu vực Hà Nội</t>
        </is>
      </c>
      <c r="D12381" t="inlineStr">
        <is>
          <t>Cà Phê Muối Chú Long</t>
        </is>
      </c>
      <c r="E12381" t="inlineStr">
        <is>
          <t>Lương:9 Tr - 11 Tr VND</t>
        </is>
      </c>
      <c r="F12381" t="inlineStr">
        <is>
          <t>Hà Nội</t>
        </is>
      </c>
      <c r="G12381" t="inlineStr">
        <is>
          <t>06-04-2026</t>
        </is>
      </c>
      <c r="H12381" t="inlineStr">
        <is>
          <t>06/04/2026</t>
        </is>
      </c>
      <c r="I12381" t="inlineStr">
        <is>
          <t>17/03/2026</t>
        </is>
      </c>
      <c r="J12381" t="inlineStr">
        <is>
          <t>Thực phẩm &amp; Đồ uống, Nhà hàng / Khách sạn</t>
        </is>
      </c>
      <c r="K12381" t="inlineStr">
        <is>
          <t>1 - 2 Năm</t>
        </is>
      </c>
      <c r="L12381" s="8">
        <f>HYPERLINK("https://careerviet.vn/vi/tim-viec-lam/cua-hang-truong-khu-vuc-ha-noi.35C6B2E2.html","Xem chi tiết")</f>
        <v/>
      </c>
    </row>
    <row r="12382">
      <c r="B12382" s="9" t="n">
        <v>12380</v>
      </c>
      <c r="C12382" s="10" t="inlineStr">
        <is>
          <t>Nhân Viên Kinh Doanh Nguyên liệu Bánh - Bakery Khu vực Hồ Chí Minh</t>
        </is>
      </c>
      <c r="D12382" s="10" t="inlineStr">
        <is>
          <t>CÔNG TY CỔ PHẦN THƯƠNG MẠI VÀ CÔNG NGHỆ THỰC PHẨM HOÀNG LÂM</t>
        </is>
      </c>
      <c r="E12382" s="10" t="inlineStr">
        <is>
          <t>Lương:Trên 20 Tr VND</t>
        </is>
      </c>
      <c r="F12382" s="10" t="inlineStr">
        <is>
          <t>Hồ Chí Minh</t>
        </is>
      </c>
      <c r="G12382" s="10" t="inlineStr">
        <is>
          <t>31-03-2026</t>
        </is>
      </c>
      <c r="H12382" s="10" t="inlineStr">
        <is>
          <t>31/03/2026</t>
        </is>
      </c>
      <c r="I12382" s="10" t="inlineStr">
        <is>
          <t>17/03/2026</t>
        </is>
      </c>
      <c r="J12382" s="10" t="inlineStr">
        <is>
          <t>Bán hàng / Kinh doanh, Thực phẩm &amp; Đồ uống, Công nghệ thực phẩm / Dinh dưỡng</t>
        </is>
      </c>
      <c r="K12382" s="10" t="inlineStr">
        <is>
          <t>Trên 1 Năm</t>
        </is>
      </c>
      <c r="L12382" s="11">
        <f>HYPERLINK("https://careerviet.vn/vi/tim-viec-lam/nhan-vien-kinh-doanh-nguyen-lieu-banh-bakery-khu-vuc-ho-chi-minh.35C6B351.html","Xem chi tiết")</f>
        <v/>
      </c>
      <c r="M12382" s="10" t="n"/>
    </row>
    <row r="12383">
      <c r="B12383" s="7" t="n">
        <v>12381</v>
      </c>
      <c r="C12383" t="inlineStr">
        <is>
          <t>KỸ SƯ PHÒNG CHÁY CHỮA CHÁY (PCCC)</t>
        </is>
      </c>
      <c r="D12383" t="inlineStr">
        <is>
          <t>Công Ty Cổ Phần Tập Đoàn Ô Tô Hiệp Hòa</t>
        </is>
      </c>
      <c r="E12383" t="inlineStr">
        <is>
          <t>Lương:15 Tr - 50 Tr VND</t>
        </is>
      </c>
      <c r="F12383" t="inlineStr">
        <is>
          <t>Hưng Yên</t>
        </is>
      </c>
      <c r="G12383" t="inlineStr">
        <is>
          <t>30-04-2026</t>
        </is>
      </c>
      <c r="H12383" t="inlineStr">
        <is>
          <t>30/04/2026</t>
        </is>
      </c>
      <c r="I12383" t="inlineStr">
        <is>
          <t>17/03/2026</t>
        </is>
      </c>
      <c r="J12383" t="inlineStr">
        <is>
          <t>Cơ khí / Ô tô / Tự động hóa, Xây dựng, Ngành khác</t>
        </is>
      </c>
      <c r="K12383" t="inlineStr">
        <is>
          <t>Trên 1 Năm</t>
        </is>
      </c>
      <c r="L12383" s="8">
        <f>HYPERLINK("https://careerviet.vn/vi/tim-viec-lam/ky-su-phong-chay-chua-chay-pccc.35C6B27D.html","Xem chi tiết")</f>
        <v/>
      </c>
    </row>
    <row r="12384">
      <c r="B12384" s="9" t="n">
        <v>12382</v>
      </c>
      <c r="C12384" s="10" t="inlineStr">
        <is>
          <t>NHÂN VIÊN Y TẾ</t>
        </is>
      </c>
      <c r="D12384" s="10" t="inlineStr">
        <is>
          <t>Công Ty TNHH Yokohama Tyre Việt Nam</t>
        </is>
      </c>
      <c r="E12384" s="10" t="inlineStr">
        <is>
          <t>Lương:Cạnh tranh</t>
        </is>
      </c>
      <c r="F12384" s="10" t="inlineStr">
        <is>
          <t>Bình Dương</t>
        </is>
      </c>
      <c r="G12384" s="10" t="inlineStr">
        <is>
          <t>31-03-2026</t>
        </is>
      </c>
      <c r="H12384" s="10" t="inlineStr">
        <is>
          <t>31/03/2026</t>
        </is>
      </c>
      <c r="I12384" s="10" t="inlineStr">
        <is>
          <t>17/03/2026</t>
        </is>
      </c>
      <c r="J12384" s="10" t="inlineStr">
        <is>
          <t>Y tế / Chăm sóc sức khỏe / Thẩm mỹ / Làm đẹp</t>
        </is>
      </c>
      <c r="K12384" s="10" t="inlineStr">
        <is>
          <t>Trên 1 Năm</t>
        </is>
      </c>
      <c r="L12384" s="11">
        <f>HYPERLINK("https://careerviet.vn/vi/tim-viec-lam/nhan-vien-y-te.35C6B323.html","Xem chi tiết")</f>
        <v/>
      </c>
      <c r="M12384" s="10" t="n"/>
    </row>
    <row r="12385">
      <c r="B12385" s="7" t="n">
        <v>12383</v>
      </c>
      <c r="C12385" t="inlineStr">
        <is>
          <t>[Hà Nội] - Chuyên viên kế toán -  Accountant</t>
        </is>
      </c>
      <c r="D12385" t="inlineStr">
        <is>
          <t>Công ty TNHH Phát triển Phú Mỹ Hưng</t>
        </is>
      </c>
      <c r="E12385" t="inlineStr">
        <is>
          <t>Lương:Cạnh tranh</t>
        </is>
      </c>
      <c r="F12385" t="inlineStr">
        <is>
          <t>Hòa Bình</t>
        </is>
      </c>
      <c r="G12385" t="inlineStr">
        <is>
          <t>31-03-2026</t>
        </is>
      </c>
      <c r="H12385" t="inlineStr">
        <is>
          <t>31/03/2026</t>
        </is>
      </c>
      <c r="I12385" t="inlineStr">
        <is>
          <t>17/03/2026</t>
        </is>
      </c>
      <c r="J12385" t="inlineStr">
        <is>
          <t>Kế toán / Kiểm toán</t>
        </is>
      </c>
      <c r="K12385" t="inlineStr">
        <is>
          <t>3 - 5 Năm</t>
        </is>
      </c>
      <c r="L12385" s="8">
        <f>HYPERLINK("https://careerviet.vn/vi/tim-viec-lam/ha-noi-chuyen-vien-ke-toan-accountant.35C6B2FF.html","Xem chi tiết")</f>
        <v/>
      </c>
    </row>
    <row r="12386">
      <c r="B12386" s="9" t="n">
        <v>12384</v>
      </c>
      <c r="C12386" s="10" t="inlineStr">
        <is>
          <t>NHÂN VIÊN KẾ TOÁN THUẾ</t>
        </is>
      </c>
      <c r="D12386" s="10" t="inlineStr">
        <is>
          <t>Công Ty Cổ Phần Tập đoàn Xây dựng Thành Đô</t>
        </is>
      </c>
      <c r="E12386" s="10" t="inlineStr">
        <is>
          <t>Lương:10 Tr - 15 Tr VND</t>
        </is>
      </c>
      <c r="F12386" s="10" t="inlineStr">
        <is>
          <t>Hồ Chí Minh</t>
        </is>
      </c>
      <c r="G12386" s="10" t="inlineStr">
        <is>
          <t>11-04-2026</t>
        </is>
      </c>
      <c r="H12386" s="10" t="inlineStr">
        <is>
          <t>11/04/2026</t>
        </is>
      </c>
      <c r="I12386" s="10" t="inlineStr">
        <is>
          <t>17/03/2026</t>
        </is>
      </c>
      <c r="J12386" s="10" t="inlineStr">
        <is>
          <t>Kế toán / Kiểm toán, Xây dựng</t>
        </is>
      </c>
      <c r="K12386" s="10" t="inlineStr">
        <is>
          <t>Trên 3 Năm</t>
        </is>
      </c>
      <c r="L12386" s="11">
        <f>HYPERLINK("https://careerviet.vn/vi/tim-viec-lam/nhan-vien-ke-toan-thue.35C6B2F6.html","Xem chi tiết")</f>
        <v/>
      </c>
      <c r="M12386" s="10" t="n"/>
    </row>
    <row r="12387">
      <c r="B12387" s="7" t="n">
        <v>12385</v>
      </c>
      <c r="C12387" t="inlineStr">
        <is>
          <t>Nhân viên Kinh doanh Thị trường</t>
        </is>
      </c>
      <c r="D12387" t="inlineStr">
        <is>
          <t>Công ty TNHH TM&amp;DV Phân Phối Ánh Dương</t>
        </is>
      </c>
      <c r="E12387" t="inlineStr">
        <is>
          <t>Lương:Cạnh tranh</t>
        </is>
      </c>
      <c r="F12387" t="inlineStr">
        <is>
          <t>Nghệ AnHồ Chí MinhPhú Thọ</t>
        </is>
      </c>
      <c r="G12387" t="inlineStr">
        <is>
          <t>30-04-2026</t>
        </is>
      </c>
      <c r="H12387" t="inlineStr">
        <is>
          <t>30/04/2026</t>
        </is>
      </c>
      <c r="I12387" t="inlineStr">
        <is>
          <t>17/03/2026</t>
        </is>
      </c>
      <c r="J12387" t="inlineStr">
        <is>
          <t>Bán lẻ / Bán sỉ, Bán hàng / Kinh doanh, Dịch vụ khách hàng</t>
        </is>
      </c>
      <c r="K12387" t="inlineStr">
        <is>
          <t>2 - 3 Năm</t>
        </is>
      </c>
      <c r="L12387" s="8">
        <f>HYPERLINK("https://careerviet.vn/vi/tim-viec-lam/nhan-vien-kinh-doanh-thi-truong.35C6B28D.html","Xem chi tiết")</f>
        <v/>
      </c>
    </row>
    <row r="12388">
      <c r="B12388" s="9" t="n">
        <v>12386</v>
      </c>
      <c r="C12388" s="10" t="inlineStr">
        <is>
          <t>Chuyên viên phát triển thị trường mảng thức ăn chăn nuôi (Bình Phước)</t>
        </is>
      </c>
      <c r="D12388" s="10" t="inlineStr">
        <is>
          <t>CÔNG TY CỔ PHẦN THÁI VIỆT CORPORATION</t>
        </is>
      </c>
      <c r="E12388" s="10" t="inlineStr">
        <is>
          <t>Lương:25 Tr - 34 Tr VND</t>
        </is>
      </c>
      <c r="F12388" s="10" t="inlineStr">
        <is>
          <t>Bình Phước</t>
        </is>
      </c>
      <c r="G12388" s="10" t="inlineStr">
        <is>
          <t>05-04-2026</t>
        </is>
      </c>
      <c r="H12388" s="10" t="inlineStr">
        <is>
          <t>05/04/2026</t>
        </is>
      </c>
      <c r="I12388" s="10" t="inlineStr">
        <is>
          <t>17/03/2026</t>
        </is>
      </c>
      <c r="J12388" s="10" t="inlineStr">
        <is>
          <t>Bán hàng / Kinh doanh, Chăn nuôi / Thú y, Tiếp thị / Marketing</t>
        </is>
      </c>
      <c r="K12388" s="10" t="inlineStr">
        <is>
          <t>1 - 15 Năm</t>
        </is>
      </c>
      <c r="L12388" s="11">
        <f>HYPERLINK("https://careerviet.vn/vi/tim-viec-lam/chuyen-vien-phat-trien-thi-truong-mang-thuc-an-chan-nuoi-binh-phuoc.35C6B35A.html","Xem chi tiết")</f>
        <v/>
      </c>
      <c r="M12388" s="10" t="n"/>
    </row>
    <row r="12389">
      <c r="B12389" s="7" t="n">
        <v>12387</v>
      </c>
      <c r="C12389" t="inlineStr">
        <is>
          <t>CÁN BỘ TƯ VẤN GIÁM SÁT - BQLDA Thanh Hóa</t>
        </is>
      </c>
      <c r="D12389" t="inlineStr">
        <is>
          <t>CÔNG TY CỔ PHẦN EUROWINDOW HOLDING</t>
        </is>
      </c>
      <c r="E12389" t="inlineStr">
        <is>
          <t>Lương:Cạnh tranh</t>
        </is>
      </c>
      <c r="F12389" t="inlineStr">
        <is>
          <t>Thanh Hóa</t>
        </is>
      </c>
      <c r="G12389" t="inlineStr">
        <is>
          <t>06-04-2026</t>
        </is>
      </c>
      <c r="H12389" t="inlineStr">
        <is>
          <t>06/04/2026</t>
        </is>
      </c>
      <c r="I12389" t="inlineStr">
        <is>
          <t>17/03/2026</t>
        </is>
      </c>
      <c r="J12389" t="inlineStr">
        <is>
          <t>Kiến trúc, Xây dựng, Điện / Điện tử / Điện lạnh / Điện công nghiệp</t>
        </is>
      </c>
      <c r="K12389" t="inlineStr">
        <is>
          <t>3 - 5 Năm</t>
        </is>
      </c>
      <c r="L12389" s="8">
        <f>HYPERLINK("https://careerviet.vn/vi/tim-viec-lam/can-bo-tu-van-giam-sat-bqlda-thanh-hoa.35C6B36A.html","Xem chi tiết")</f>
        <v/>
      </c>
    </row>
    <row r="12390">
      <c r="B12390" s="9" t="n">
        <v>12388</v>
      </c>
      <c r="C12390" s="10" t="inlineStr">
        <is>
          <t>Merchandising Manager (Sportwear/Casual)</t>
        </is>
      </c>
      <c r="D12390" s="10" t="inlineStr">
        <is>
          <t>MOTIVES VIETNAM CORPORATION</t>
        </is>
      </c>
      <c r="E12390" s="10" t="inlineStr">
        <is>
          <t>Lương:Cạnh tranh</t>
        </is>
      </c>
      <c r="F12390" s="10" t="inlineStr">
        <is>
          <t>Hồ Chí Minh</t>
        </is>
      </c>
      <c r="G12390" s="10" t="inlineStr">
        <is>
          <t>30-04-2026</t>
        </is>
      </c>
      <c r="H12390" s="10" t="inlineStr">
        <is>
          <t>30/04/2026</t>
        </is>
      </c>
      <c r="I12390" s="10" t="inlineStr">
        <is>
          <t>17/03/2026</t>
        </is>
      </c>
      <c r="J12390" s="10" t="inlineStr">
        <is>
          <t>Dệt may / Da giày / Thời trang</t>
        </is>
      </c>
      <c r="K12390" s="10" t="inlineStr">
        <is>
          <t>Trên 5 Năm</t>
        </is>
      </c>
      <c r="L12390" s="11">
        <f>HYPERLINK("https://careerviet.vn/vi/tim-viec-lam/merchandising-manager-sportwear-casual.35C6B4FB.html","Xem chi tiết")</f>
        <v/>
      </c>
      <c r="M12390" s="10" t="n"/>
    </row>
    <row r="12391">
      <c r="B12391" s="7" t="n">
        <v>12389</v>
      </c>
      <c r="C12391" t="inlineStr">
        <is>
          <t>Nhân viên Phát triển mặt bằng</t>
        </is>
      </c>
      <c r="D12391" t="inlineStr">
        <is>
          <t>Công ty TNHH GS25 Vietnam</t>
        </is>
      </c>
      <c r="E12391" t="inlineStr">
        <is>
          <t>Lương:10 Tr - 17 Tr VND</t>
        </is>
      </c>
      <c r="F12391" t="inlineStr">
        <is>
          <t>Hồ Chí Minh</t>
        </is>
      </c>
      <c r="G12391" t="inlineStr">
        <is>
          <t>30-04-2026</t>
        </is>
      </c>
      <c r="H12391" t="inlineStr">
        <is>
          <t>30/04/2026</t>
        </is>
      </c>
      <c r="I12391" t="inlineStr">
        <is>
          <t>17/03/2026</t>
        </is>
      </c>
      <c r="J12391" t="inlineStr">
        <is>
          <t>Bán lẻ / Bán sỉ, Bán hàng / Kinh doanh, Bất động sản</t>
        </is>
      </c>
      <c r="K12391" t="inlineStr">
        <is>
          <t>1 - 3 Năm</t>
        </is>
      </c>
      <c r="L12391" s="8">
        <f>HYPERLINK("https://careerviet.vn/vi/tim-viec-lam/nhan-vien-phat-trien-mat-bang.35C6B4DB.html","Xem chi tiết")</f>
        <v/>
      </c>
    </row>
    <row r="12392">
      <c r="B12392" s="9" t="n">
        <v>12390</v>
      </c>
      <c r="C12392" s="10" t="inlineStr">
        <is>
          <t>Kế toán trưởng</t>
        </is>
      </c>
      <c r="D12392" s="10" t="inlineStr">
        <is>
          <t>Công ty cổ phần Nafoods Group</t>
        </is>
      </c>
      <c r="E12392" s="10" t="inlineStr">
        <is>
          <t>Lương:16 Tr - 25 Tr VND</t>
        </is>
      </c>
      <c r="F12392" s="10" t="inlineStr">
        <is>
          <t>Bình Thuận</t>
        </is>
      </c>
      <c r="G12392" s="10" t="inlineStr">
        <is>
          <t>31-03-2026</t>
        </is>
      </c>
      <c r="H12392" s="10" t="inlineStr">
        <is>
          <t>31/03/2026</t>
        </is>
      </c>
      <c r="I12392" s="10" t="inlineStr">
        <is>
          <t>17/03/2026</t>
        </is>
      </c>
      <c r="J12392" s="10" t="inlineStr">
        <is>
          <t>Kế toán / Kiểm toán, Tài chính / Đầu tư</t>
        </is>
      </c>
      <c r="K12392" s="10" t="inlineStr">
        <is>
          <t>7 - 10 Năm</t>
        </is>
      </c>
      <c r="L12392" s="11">
        <f>HYPERLINK("https://careerviet.vn/vi/tim-viec-lam/ke-toan-truong.35C6B51A.html","Xem chi tiết")</f>
        <v/>
      </c>
      <c r="M12392" s="10" t="n"/>
    </row>
    <row r="12393">
      <c r="B12393" s="7" t="n">
        <v>12391</v>
      </c>
      <c r="C12393" t="inlineStr">
        <is>
          <t>Nhân viên kế hoạch sản xuất</t>
        </is>
      </c>
      <c r="D12393" t="inlineStr">
        <is>
          <t>CÔNG TY TNHH WETOOL</t>
        </is>
      </c>
      <c r="E12393" t="inlineStr">
        <is>
          <t>Lương:10 Tr - 12 Tr VND</t>
        </is>
      </c>
      <c r="F12393" t="inlineStr">
        <is>
          <t>Hồ Chí Minh</t>
        </is>
      </c>
      <c r="G12393" t="inlineStr">
        <is>
          <t>05-04-2026</t>
        </is>
      </c>
      <c r="H12393" t="inlineStr">
        <is>
          <t>05/04/2026</t>
        </is>
      </c>
      <c r="I12393" t="inlineStr">
        <is>
          <t>17/03/2026</t>
        </is>
      </c>
      <c r="J12393" t="inlineStr">
        <is>
          <t>Sản xuất / Vận hành sản xuất</t>
        </is>
      </c>
      <c r="K12393" t="inlineStr">
        <is>
          <t>1 - 2 Năm</t>
        </is>
      </c>
      <c r="L12393" s="8">
        <f>HYPERLINK("https://careerviet.vn/vi/tim-viec-lam/nhan-vien-ke-hoach-san-xuat.35C6B3CA.html","Xem chi tiết")</f>
        <v/>
      </c>
    </row>
    <row r="12394">
      <c r="B12394" s="9" t="n">
        <v>12392</v>
      </c>
      <c r="C12394" s="10" t="inlineStr">
        <is>
          <t>Nhân Viên Kinh Doanh (Nhân Viên Phát Triển Thị Trường)</t>
        </is>
      </c>
      <c r="D12394" s="10" t="inlineStr">
        <is>
          <t>CÔNG TY CỔ PHẦN  KTG ELECTRIC</t>
        </is>
      </c>
      <c r="E12394" s="10" t="inlineStr">
        <is>
          <t>Lương:Cạnh tranh</t>
        </is>
      </c>
      <c r="F12394" s="10" t="inlineStr">
        <is>
          <t>Hồ Chí MinhHà NộiGia Lai</t>
        </is>
      </c>
      <c r="G12394" s="10" t="inlineStr">
        <is>
          <t>06-04-2026</t>
        </is>
      </c>
      <c r="H12394" s="10" t="inlineStr">
        <is>
          <t>06/04/2026</t>
        </is>
      </c>
      <c r="I12394" s="10" t="inlineStr">
        <is>
          <t>17/03/2026</t>
        </is>
      </c>
      <c r="J12394" s="10" t="inlineStr">
        <is>
          <t>Tiếp thị / Marketing, Bán hàng / Kinh doanh, Điện / Điện tử / Điện lạnh / Điện công nghiệp</t>
        </is>
      </c>
      <c r="K12394" s="10" t="inlineStr">
        <is>
          <t>1 - 2 Năm</t>
        </is>
      </c>
      <c r="L12394" s="11">
        <f>HYPERLINK("https://careerviet.vn/vi/tim-viec-lam/nhan-vien-kinh-doanh-nhan-vien-phat-trien-thi-truong.35C6B37E.html","Xem chi tiết")</f>
        <v/>
      </c>
      <c r="M12394" s="10" t="n"/>
    </row>
    <row r="12395">
      <c r="B12395" s="7" t="n">
        <v>12393</v>
      </c>
      <c r="C12395" t="inlineStr">
        <is>
          <t>Phó phòng Kế toán</t>
        </is>
      </c>
      <c r="D12395" t="inlineStr">
        <is>
          <t>Công ty CP Thành Thành Công - Biên Hòa</t>
        </is>
      </c>
      <c r="E12395" t="inlineStr">
        <is>
          <t>Lương:Cạnh tranh</t>
        </is>
      </c>
      <c r="F12395" t="inlineStr">
        <is>
          <t>Hồ Chí Minh</t>
        </is>
      </c>
      <c r="G12395" t="inlineStr">
        <is>
          <t>05-04-2026</t>
        </is>
      </c>
      <c r="H12395" t="inlineStr">
        <is>
          <t>05/04/2026</t>
        </is>
      </c>
      <c r="I12395" t="inlineStr">
        <is>
          <t>17/03/2026</t>
        </is>
      </c>
      <c r="J12395" t="inlineStr">
        <is>
          <t>Kế toán / Kiểm toán, Nông nghiệp, Sản xuất / Vận hành sản xuất</t>
        </is>
      </c>
      <c r="K12395" t="inlineStr">
        <is>
          <t>5 - 10 Năm</t>
        </is>
      </c>
      <c r="L12395" s="8">
        <f>HYPERLINK("https://careerviet.vn/vi/tim-viec-lam/pho-phong-ke-toan.35C6B502.html","Xem chi tiết")</f>
        <v/>
      </c>
    </row>
    <row r="12396">
      <c r="B12396" s="9" t="n">
        <v>12394</v>
      </c>
      <c r="C12396" s="10" t="inlineStr">
        <is>
          <t>Nhân Viên Sales Logistic</t>
        </is>
      </c>
      <c r="D12396" s="10" t="inlineStr">
        <is>
          <t>Công Ty Cổ phần Quốc tế Thái Bình Dương</t>
        </is>
      </c>
      <c r="E12396" s="10" t="inlineStr">
        <is>
          <t>Lương:8 Tr - 12 Tr VND</t>
        </is>
      </c>
      <c r="F12396" s="10" t="inlineStr">
        <is>
          <t>Hồ Chí Minh</t>
        </is>
      </c>
      <c r="G12396" s="10" t="inlineStr">
        <is>
          <t>05-04-2026</t>
        </is>
      </c>
      <c r="H12396" s="10" t="inlineStr">
        <is>
          <t>05/04/2026</t>
        </is>
      </c>
      <c r="I12396" s="10" t="inlineStr">
        <is>
          <t>17/03/2026</t>
        </is>
      </c>
      <c r="J12396" s="10" t="inlineStr">
        <is>
          <t>Vận chuyển / Giao nhận / Kho vận, Bán hàng / Kinh doanh, Tiếp thị / Marketing</t>
        </is>
      </c>
      <c r="K12396" s="10" t="inlineStr">
        <is>
          <t>1 - 2 Năm</t>
        </is>
      </c>
      <c r="L12396" s="11">
        <f>HYPERLINK("https://careerviet.vn/vi/tim-viec-lam/nhan-vien-sales-logistic.35C6B387.html","Xem chi tiết")</f>
        <v/>
      </c>
      <c r="M12396" s="10" t="n"/>
    </row>
    <row r="12397">
      <c r="B12397" s="7" t="n">
        <v>12395</v>
      </c>
      <c r="C12397" t="inlineStr">
        <is>
          <t>Điều dưỡng trưởng Khoa Gây mê giảm đau</t>
        </is>
      </c>
      <c r="D12397" t="inlineStr">
        <is>
          <t>Công ty cổ phần phát triển công nghệ Y học Việt Nam - Nhật Bản</t>
        </is>
      </c>
      <c r="E12397" t="inlineStr">
        <is>
          <t>Lương:Cạnh tranh</t>
        </is>
      </c>
      <c r="F12397" t="inlineStr">
        <is>
          <t>Hà Nội</t>
        </is>
      </c>
      <c r="G12397" t="inlineStr">
        <is>
          <t>30-04-2026</t>
        </is>
      </c>
      <c r="H12397" t="inlineStr">
        <is>
          <t>30/04/2026</t>
        </is>
      </c>
      <c r="I12397" t="inlineStr">
        <is>
          <t>17/03/2026</t>
        </is>
      </c>
      <c r="J12397" t="inlineStr">
        <is>
          <t>Y tế / Chăm sóc sức khỏe / Thẩm mỹ / Làm đẹp</t>
        </is>
      </c>
      <c r="K12397" t="inlineStr">
        <is>
          <t>5 - 7 Năm</t>
        </is>
      </c>
      <c r="L12397" s="8">
        <f>HYPERLINK("https://careerviet.vn/vi/tim-viec-lam/dieu-duong-truong-khoa-gay-me-giam-dau.35C6B39C.html","Xem chi tiết")</f>
        <v/>
      </c>
    </row>
    <row r="12398">
      <c r="B12398" s="9" t="n">
        <v>12396</v>
      </c>
      <c r="C12398" s="10" t="inlineStr">
        <is>
          <t>Kỹ sư điều hoà thông gió</t>
        </is>
      </c>
      <c r="D12398" s="10" t="inlineStr">
        <is>
          <t>CÔNG TY CỔ PHẦN ĐẦU TƯ BẤT ĐỘNG SẢN TOÀN CẦU</t>
        </is>
      </c>
      <c r="E12398" s="10" t="inlineStr">
        <is>
          <t>Lương:30 Tr - 35 Tr VND</t>
        </is>
      </c>
      <c r="F12398" s="10" t="inlineStr">
        <is>
          <t>Hà Nội</t>
        </is>
      </c>
      <c r="G12398" s="10" t="inlineStr">
        <is>
          <t>09-04-2026</t>
        </is>
      </c>
      <c r="H12398" s="10" t="inlineStr">
        <is>
          <t>09/04/2026</t>
        </is>
      </c>
      <c r="I12398" s="10" t="inlineStr">
        <is>
          <t>17/03/2026</t>
        </is>
      </c>
      <c r="J12398" s="10" t="inlineStr">
        <is>
          <t>Điện / Điện tử / Điện lạnh / Điện công nghiệp</t>
        </is>
      </c>
      <c r="K12398" s="10" t="inlineStr">
        <is>
          <t>5 - 7 Năm</t>
        </is>
      </c>
      <c r="L12398" s="11">
        <f>HYPERLINK("https://careerviet.vn/vi/tim-viec-lam/ky-su-dieu-hoa-thong-gio.35C6B2AA.html","Xem chi tiết")</f>
        <v/>
      </c>
      <c r="M12398" s="10" t="n"/>
    </row>
    <row r="12399">
      <c r="B12399" s="7" t="n">
        <v>12397</v>
      </c>
      <c r="C12399" t="inlineStr">
        <is>
          <t>Trưởng Phòng Tuyển Dụng - Talent Acquisition Manager</t>
        </is>
      </c>
      <c r="D12399" t="inlineStr">
        <is>
          <t>Tập Đoàn Karofi Holding</t>
        </is>
      </c>
      <c r="E12399" t="inlineStr">
        <is>
          <t>Lương:1.500 - 2.000 USD</t>
        </is>
      </c>
      <c r="F12399" t="inlineStr">
        <is>
          <t>Hà Nội</t>
        </is>
      </c>
      <c r="G12399" t="inlineStr">
        <is>
          <t>19-04-2026</t>
        </is>
      </c>
      <c r="H12399" t="inlineStr">
        <is>
          <t>19/04/2026</t>
        </is>
      </c>
      <c r="I12399" t="inlineStr">
        <is>
          <t>17/03/2026</t>
        </is>
      </c>
      <c r="J12399" t="inlineStr">
        <is>
          <t>Nhân sự</t>
        </is>
      </c>
      <c r="K12399" t="inlineStr">
        <is>
          <t>5 - 15 Năm</t>
        </is>
      </c>
      <c r="L12399" s="8">
        <f>HYPERLINK("https://careerviet.vn/vi/tim-viec-lam/truong-phong-tuyen-dung-talent-acquisition-manager.35C6C380.html","Xem chi tiết")</f>
        <v/>
      </c>
    </row>
    <row r="12400">
      <c r="B12400" s="9" t="n">
        <v>12398</v>
      </c>
      <c r="C12400" s="10" t="inlineStr">
        <is>
          <t>Trưởng phòng Đối tác nhân sự</t>
        </is>
      </c>
      <c r="D12400" s="10" t="inlineStr">
        <is>
          <t>CareerViet's client</t>
        </is>
      </c>
      <c r="E12400" s="10" t="inlineStr">
        <is>
          <t>Lương:40 Tr - 45 Tr VND</t>
        </is>
      </c>
      <c r="F12400" s="10" t="inlineStr">
        <is>
          <t>Hà Nội</t>
        </is>
      </c>
      <c r="G12400" s="10" t="inlineStr">
        <is>
          <t>11-04-2026</t>
        </is>
      </c>
      <c r="H12400" s="10" t="inlineStr">
        <is>
          <t>11/04/2026</t>
        </is>
      </c>
      <c r="I12400" s="10" t="inlineStr">
        <is>
          <t>17/03/2026</t>
        </is>
      </c>
      <c r="J12400" s="10" t="inlineStr">
        <is>
          <t>Nhân sự</t>
        </is>
      </c>
      <c r="K12400" s="10" t="inlineStr">
        <is>
          <t>Trên 5 Năm</t>
        </is>
      </c>
      <c r="L12400" s="11">
        <f>HYPERLINK("https://careerviet.vn/vi/tim-viec-lam/truong-phong-doi-tac-nhan-su.35C6C365.html","Xem chi tiết")</f>
        <v/>
      </c>
      <c r="M12400" s="10" t="n"/>
    </row>
    <row r="12401">
      <c r="B12401" s="7" t="n">
        <v>12399</v>
      </c>
      <c r="C12401" t="inlineStr">
        <is>
          <t>Nhân Viên Kinh Doanh / Sales Thị Trường Sóc Trăng</t>
        </is>
      </c>
      <c r="D12401" t="inlineStr">
        <is>
          <t>NANOCO GROUP</t>
        </is>
      </c>
      <c r="E12401" t="inlineStr">
        <is>
          <t>Lương:Cạnh tranh</t>
        </is>
      </c>
      <c r="F12401" t="inlineStr">
        <is>
          <t>Sóc Trăng</t>
        </is>
      </c>
      <c r="G12401" t="inlineStr">
        <is>
          <t>11-04-2026</t>
        </is>
      </c>
      <c r="H12401" t="inlineStr">
        <is>
          <t>11/04/2026</t>
        </is>
      </c>
      <c r="I12401" t="inlineStr">
        <is>
          <t>17/03/2026</t>
        </is>
      </c>
      <c r="J12401" t="inlineStr">
        <is>
          <t>Bán hàng / Kinh doanh, Bán lẻ / Bán sỉ, Tiếp thị / Marketing</t>
        </is>
      </c>
      <c r="K12401" t="inlineStr">
        <is>
          <t>1 - 10 Năm</t>
        </is>
      </c>
      <c r="L12401" s="8">
        <f>HYPERLINK("https://careerviet.vn/vi/tim-viec-lam/nhan-vien-kinh-doanh-sales-thi-truong-soc-trang.35C6C371.html","Xem chi tiết")</f>
        <v/>
      </c>
    </row>
    <row r="12402">
      <c r="B12402" s="9" t="n">
        <v>12400</v>
      </c>
      <c r="C12402" s="10" t="inlineStr">
        <is>
          <t>Chuyên viên/ Trưởng nhóm Hành chính Tổng hợp</t>
        </is>
      </c>
      <c r="D12402" s="10" t="inlineStr">
        <is>
          <t>Công ty cổ phần Tập đoàn Danko</t>
        </is>
      </c>
      <c r="E12402" s="10" t="inlineStr">
        <is>
          <t>Lương:15 Tr - 25 Tr VND</t>
        </is>
      </c>
      <c r="F12402" s="10" t="inlineStr">
        <is>
          <t>Hà Nội</t>
        </is>
      </c>
      <c r="G12402" s="10" t="inlineStr">
        <is>
          <t>30-04-2026</t>
        </is>
      </c>
      <c r="H12402" s="10" t="inlineStr">
        <is>
          <t>30/04/2026</t>
        </is>
      </c>
      <c r="I12402" s="10" t="inlineStr">
        <is>
          <t>17/03/2026</t>
        </is>
      </c>
      <c r="J12402" s="10" t="inlineStr">
        <is>
          <t>Hành chính / Thư ký</t>
        </is>
      </c>
      <c r="K12402" s="10" t="inlineStr">
        <is>
          <t>5 - 8 Năm</t>
        </is>
      </c>
      <c r="L12402" s="11">
        <f>HYPERLINK("https://careerviet.vn/vi/tim-viec-lam/chuyen-vien-truong-nhom-hanh-chinh-tong-hop.35C6B4EE.html","Xem chi tiết")</f>
        <v/>
      </c>
      <c r="M12402" s="10" t="n"/>
    </row>
    <row r="12403">
      <c r="B12403" s="7" t="n">
        <v>12401</v>
      </c>
      <c r="C12403" t="inlineStr">
        <is>
          <t>Chuyên Viên Trực Tổng Đài  Viettel Hòa Lạc</t>
        </is>
      </c>
      <c r="D12403" t="inlineStr">
        <is>
          <t>CÔNG TY CỔ PHẦN TRUYỀN THÔNG KIM CƯƠNG</t>
        </is>
      </c>
      <c r="E12403" t="inlineStr">
        <is>
          <t>Lương:8 Tr - 12 Tr VND</t>
        </is>
      </c>
      <c r="F12403" t="inlineStr">
        <is>
          <t>Hà Nội</t>
        </is>
      </c>
      <c r="G12403" t="inlineStr">
        <is>
          <t>12-03-2026</t>
        </is>
      </c>
      <c r="H12403" t="inlineStr">
        <is>
          <t>12/03/2026</t>
        </is>
      </c>
      <c r="I12403" t="inlineStr">
        <is>
          <t>17/03/2026</t>
        </is>
      </c>
      <c r="J12403" t="inlineStr">
        <is>
          <t>Dịch vụ khách hàng, Tư vấn</t>
        </is>
      </c>
      <c r="K12403" t="inlineStr">
        <is>
          <t>N/A</t>
        </is>
      </c>
      <c r="L12403" s="8">
        <f>HYPERLINK("https://careerviet.vn/vi/tim-viec-lam/chuyen-vien-truc-tong-dai-viettel-hoa-lac.35C6964B.html","Xem chi tiết")</f>
        <v/>
      </c>
    </row>
    <row r="12404">
      <c r="B12404" s="9" t="n">
        <v>12402</v>
      </c>
      <c r="C12404" s="10" t="inlineStr">
        <is>
          <t>Nhân viên Tư vấn vật liệu</t>
        </is>
      </c>
      <c r="D12404" s="10" t="inlineStr">
        <is>
          <t>Công Ty Cổ Phần Gỗ An Cường</t>
        </is>
      </c>
      <c r="E12404" s="10" t="inlineStr">
        <is>
          <t>Lương:10 Tr - 15 Tr VND</t>
        </is>
      </c>
      <c r="F12404" s="10" t="inlineStr">
        <is>
          <t>Hồ Chí MinhHà Nội</t>
        </is>
      </c>
      <c r="G12404" s="10" t="inlineStr">
        <is>
          <t>11-04-2026</t>
        </is>
      </c>
      <c r="H12404" s="10" t="inlineStr">
        <is>
          <t>11/04/2026</t>
        </is>
      </c>
      <c r="I12404" s="10" t="inlineStr">
        <is>
          <t>17/03/2026</t>
        </is>
      </c>
      <c r="J12404" s="10" t="inlineStr">
        <is>
          <t>Bán hàng / Kinh doanh, Tư vấn, Nội ngoại thất</t>
        </is>
      </c>
      <c r="K12404" s="10" t="inlineStr">
        <is>
          <t>1 - 2 Năm</t>
        </is>
      </c>
      <c r="L12404" s="11">
        <f>HYPERLINK("https://careerviet.vn/vi/tim-viec-lam/nhan-vien-tu-van-vat-lieu.35C6C363.html","Xem chi tiết")</f>
        <v/>
      </c>
      <c r="M12404" s="10" t="n"/>
    </row>
    <row r="12405">
      <c r="B12405" s="7" t="n">
        <v>12403</v>
      </c>
      <c r="C12405" t="inlineStr">
        <is>
          <t>NHÂN VIÊN VẬN HÀNH SÀN THƯƠNG MẠI ĐIỆN TỬ</t>
        </is>
      </c>
      <c r="D12405" t="inlineStr">
        <is>
          <t>CÔNG TY TNHH NHA KHOA I-DENT</t>
        </is>
      </c>
      <c r="E12405" t="inlineStr">
        <is>
          <t>Lương:10 Tr - 17 Tr VND</t>
        </is>
      </c>
      <c r="F12405" t="inlineStr">
        <is>
          <t>Hồ Chí Minh</t>
        </is>
      </c>
      <c r="G12405" t="inlineStr">
        <is>
          <t>30-04-2026</t>
        </is>
      </c>
      <c r="H12405" t="inlineStr">
        <is>
          <t>30/04/2026</t>
        </is>
      </c>
      <c r="I12405" t="inlineStr">
        <is>
          <t>17/03/2026</t>
        </is>
      </c>
      <c r="J12405" t="inlineStr">
        <is>
          <t>Tiếp thị / Marketing, Thương mại điện tử, Tiếp thị trực tuyến</t>
        </is>
      </c>
      <c r="K12405" t="inlineStr">
        <is>
          <t>1 - 2 Năm</t>
        </is>
      </c>
      <c r="L12405" s="8">
        <f>HYPERLINK("https://careerviet.vn/vi/tim-viec-lam/nhan-vien-van-hanh-san-thuong-mai-dien-tu.35C6B283.html","Xem chi tiết")</f>
        <v/>
      </c>
    </row>
    <row r="12406">
      <c r="B12406" s="9" t="n">
        <v>12404</v>
      </c>
      <c r="C12406" s="10" t="inlineStr">
        <is>
          <t>Chuyên viên Phát triển Sản phẩm học tập số</t>
        </is>
      </c>
      <c r="D12406" s="10" t="inlineStr">
        <is>
          <t>Công ty CP Công nghệ giáo dục Trường học trực tuyến (ONSCHOOL)</t>
        </is>
      </c>
      <c r="E12406" s="10" t="inlineStr">
        <is>
          <t>Lương:10 Tr - 14 Tr VND</t>
        </is>
      </c>
      <c r="F12406" s="10" t="inlineStr">
        <is>
          <t>Hà Nội</t>
        </is>
      </c>
      <c r="G12406" s="10" t="inlineStr">
        <is>
          <t>31-03-2026</t>
        </is>
      </c>
      <c r="H12406" s="10" t="inlineStr">
        <is>
          <t>31/03/2026</t>
        </is>
      </c>
      <c r="I12406" s="10" t="inlineStr">
        <is>
          <t>17/03/2026</t>
        </is>
      </c>
      <c r="J12406" s="10" t="inlineStr">
        <is>
          <t>Giáo dục / Đào tạo, CNTT - Phần mềm</t>
        </is>
      </c>
      <c r="K12406" s="10" t="inlineStr">
        <is>
          <t>Lên đến 1 Năm</t>
        </is>
      </c>
      <c r="L12406" s="11">
        <f>HYPERLINK("https://careerviet.vn/vi/tim-viec-lam/chuyen-vien-phat-trien-san-pham-hoc-tap-so.35C6C372.html","Xem chi tiết")</f>
        <v/>
      </c>
      <c r="M12406" s="10" t="n"/>
    </row>
    <row r="12407">
      <c r="B12407" s="7" t="n">
        <v>12405</v>
      </c>
      <c r="C12407" t="inlineStr">
        <is>
          <t>[NovaService] Chuyên viên cao cấp Chính sách Nhân sự (Senior Total Rewards)</t>
        </is>
      </c>
      <c r="D12407" t="inlineStr">
        <is>
          <t>Nova Service Group - Công ty Cổ phần Tập đoàn Nova Services</t>
        </is>
      </c>
      <c r="E12407" t="inlineStr">
        <is>
          <t>Lương:Cạnh tranh</t>
        </is>
      </c>
      <c r="F12407" t="inlineStr">
        <is>
          <t>Hồ Chí Minh</t>
        </is>
      </c>
      <c r="G12407" t="inlineStr">
        <is>
          <t>12-04-2026</t>
        </is>
      </c>
      <c r="H12407" t="inlineStr">
        <is>
          <t>12/04/2026</t>
        </is>
      </c>
      <c r="I12407" t="inlineStr">
        <is>
          <t>17/03/2026</t>
        </is>
      </c>
      <c r="J12407" t="inlineStr">
        <is>
          <t>Dịch vụ khách hàng, Nhân sự, Nhà hàng / Khách sạn</t>
        </is>
      </c>
      <c r="K12407" t="inlineStr">
        <is>
          <t>5 - 7 Năm</t>
        </is>
      </c>
      <c r="L12407" s="8">
        <f>HYPERLINK("https://careerviet.vn/vi/tim-viec-lam/novaservice-chuyen-vien-cao-cap-chinh-sach-nhan-su-senior-total-rewards.35C6C35C.html","Xem chi tiết")</f>
        <v/>
      </c>
    </row>
    <row r="12408">
      <c r="B12408" s="9" t="n">
        <v>12406</v>
      </c>
      <c r="C12408" s="10" t="inlineStr">
        <is>
          <t>DIGITAL MARKETING</t>
        </is>
      </c>
      <c r="D12408" s="10" t="inlineStr">
        <is>
          <t>ADC PLASTIC,. JSC</t>
        </is>
      </c>
      <c r="E12408" s="10" t="inlineStr">
        <is>
          <t>Lương:15 Tr - 20 Tr VND</t>
        </is>
      </c>
      <c r="F12408" s="10" t="inlineStr">
        <is>
          <t>Hà Nội</t>
        </is>
      </c>
      <c r="G12408" s="10" t="inlineStr">
        <is>
          <t>30-04-2026</t>
        </is>
      </c>
      <c r="H12408" s="10" t="inlineStr">
        <is>
          <t>30/04/2026</t>
        </is>
      </c>
      <c r="I12408" s="10" t="inlineStr">
        <is>
          <t>17/03/2026</t>
        </is>
      </c>
      <c r="J12408" s="10" t="inlineStr">
        <is>
          <t>Sản xuất / Vận hành sản xuất</t>
        </is>
      </c>
      <c r="K12408" s="10" t="inlineStr">
        <is>
          <t>5 - 15 Năm</t>
        </is>
      </c>
      <c r="L12408" s="11">
        <f>HYPERLINK("https://careerviet.vn/vi/tim-viec-lam/digital-marketing.35C6C381.html","Xem chi tiết")</f>
        <v/>
      </c>
      <c r="M12408" s="10" t="n"/>
    </row>
    <row r="12409">
      <c r="B12409" s="7" t="n">
        <v>12407</v>
      </c>
      <c r="C12409" t="inlineStr">
        <is>
          <t>[GLOBAL X] Trưởng phòng Quản lý Kế hoạch Marketing và Sự kiện</t>
        </is>
      </c>
      <c r="D12409" t="inlineStr">
        <is>
          <t>Nova Service Group - Công ty Cổ phần Tập đoàn Nova Services</t>
        </is>
      </c>
      <c r="E12409" t="inlineStr">
        <is>
          <t>Lương:Cạnh tranh</t>
        </is>
      </c>
      <c r="F12409" t="inlineStr">
        <is>
          <t>Hồ Chí Minh</t>
        </is>
      </c>
      <c r="G12409" t="inlineStr">
        <is>
          <t>13-04-2026</t>
        </is>
      </c>
      <c r="H12409" t="inlineStr">
        <is>
          <t>13/04/2026</t>
        </is>
      </c>
      <c r="I12409" t="inlineStr">
        <is>
          <t>17/03/2026</t>
        </is>
      </c>
      <c r="J12409" t="inlineStr">
        <is>
          <t>Tiếp thị / Marketing</t>
        </is>
      </c>
      <c r="K12409" t="inlineStr">
        <is>
          <t>5 - 7 Năm</t>
        </is>
      </c>
      <c r="L12409" s="8">
        <f>HYPERLINK("https://careerviet.vn/vi/tim-viec-lam/global-x-truong-phong-quan-ly-ke-hoach-marketing-va-su-kien.35C6C362.html","Xem chi tiết")</f>
        <v/>
      </c>
    </row>
    <row r="12410">
      <c r="B12410" s="9" t="n">
        <v>12408</v>
      </c>
      <c r="C12410" s="10" t="inlineStr">
        <is>
          <t>Nhân Viên Thiết Kế 3D/2D (Rhino, Làm việc tại Củ Chi)</t>
        </is>
      </c>
      <c r="D12410" s="10" t="inlineStr">
        <is>
          <t>Headhunter HRchannels Group</t>
        </is>
      </c>
      <c r="E12410" s="10" t="inlineStr">
        <is>
          <t>Lương:15 Tr - 23 Tr VND</t>
        </is>
      </c>
      <c r="F12410" s="10" t="inlineStr">
        <is>
          <t>Hồ Chí MinhLong An</t>
        </is>
      </c>
      <c r="G12410" s="10" t="inlineStr">
        <is>
          <t>12-04-2026</t>
        </is>
      </c>
      <c r="H12410" s="10" t="inlineStr">
        <is>
          <t>12/04/2026</t>
        </is>
      </c>
      <c r="I12410" s="10" t="inlineStr">
        <is>
          <t>17/03/2026</t>
        </is>
      </c>
      <c r="J12410" s="10" t="inlineStr">
        <is>
          <t>Mỹ thuật / Nghệ thuật / Thiết kế, Dệt may / Da giày / Thời trang</t>
        </is>
      </c>
      <c r="K12410" s="10" t="inlineStr">
        <is>
          <t>1 - 5 Năm</t>
        </is>
      </c>
      <c r="L12410" s="11">
        <f>HYPERLINK("https://careerviet.vn/vi/tim-viec-lam/nhan-vien-thiet-ke-3d-2d-rhino-lam-viec-tai-cu-chi.35C6C364.html","Xem chi tiết")</f>
        <v/>
      </c>
      <c r="M12410" s="10" t="n"/>
    </row>
    <row r="12411">
      <c r="B12411" s="7" t="n">
        <v>12409</v>
      </c>
      <c r="C12411" t="inlineStr">
        <is>
          <t>Sales Admin</t>
        </is>
      </c>
      <c r="D12411" t="inlineStr">
        <is>
          <t>CÔNG TY TNHH THAI CORP INTERNATIONAL (VIỆT NAM)</t>
        </is>
      </c>
      <c r="E12411" t="inlineStr">
        <is>
          <t>Lương:10 Tr - 15 Tr VND</t>
        </is>
      </c>
      <c r="F12411" t="inlineStr">
        <is>
          <t>Hồ Chí Minh</t>
        </is>
      </c>
      <c r="G12411" t="inlineStr">
        <is>
          <t>12-04-2026</t>
        </is>
      </c>
      <c r="H12411" t="inlineStr">
        <is>
          <t>12/04/2026</t>
        </is>
      </c>
      <c r="I12411" t="inlineStr">
        <is>
          <t>17/03/2026</t>
        </is>
      </c>
      <c r="J12411" t="inlineStr">
        <is>
          <t>Bán lẻ / Bán sỉ</t>
        </is>
      </c>
      <c r="K12411" t="inlineStr">
        <is>
          <t>3 - 5 Năm</t>
        </is>
      </c>
      <c r="L12411" s="8">
        <f>HYPERLINK("https://careerviet.vn/vi/tim-viec-lam/sales-admin.35C6C36E.html","Xem chi tiết")</f>
        <v/>
      </c>
    </row>
    <row r="12412">
      <c r="B12412" s="9" t="n">
        <v>12410</v>
      </c>
      <c r="C12412" s="10" t="inlineStr">
        <is>
          <t>Cán bộ an toàn lao động</t>
        </is>
      </c>
      <c r="D12412" s="10" t="inlineStr">
        <is>
          <t>Công Ty Cổ Phần Xây Dựng CDC</t>
        </is>
      </c>
      <c r="E12412" s="10" t="inlineStr">
        <is>
          <t>Lương:Cạnh tranh</t>
        </is>
      </c>
      <c r="F12412" s="10" t="inlineStr">
        <is>
          <t>Thừa Thiên- HuếNghệ AnQuảng Ninh</t>
        </is>
      </c>
      <c r="G12412" s="10" t="inlineStr">
        <is>
          <t>31-03-2026</t>
        </is>
      </c>
      <c r="H12412" s="10" t="inlineStr">
        <is>
          <t>31/03/2026</t>
        </is>
      </c>
      <c r="I12412" s="10" t="inlineStr">
        <is>
          <t>17/03/2026</t>
        </is>
      </c>
      <c r="J12412" s="10" t="inlineStr">
        <is>
          <t>Xây dựng</t>
        </is>
      </c>
      <c r="K12412" s="10" t="inlineStr">
        <is>
          <t>Trên 2 Năm</t>
        </is>
      </c>
      <c r="L12412" s="11">
        <f>HYPERLINK("https://careerviet.vn/vi/tim-viec-lam/can-bo-an-toan-lao-dong.35C6B41E.html","Xem chi tiết")</f>
        <v/>
      </c>
      <c r="M12412" s="10" t="n"/>
    </row>
    <row r="12413">
      <c r="B12413" s="7" t="n">
        <v>12411</v>
      </c>
      <c r="C12413" t="inlineStr">
        <is>
          <t>TUYỂN DỤNG CHUYÊN VIÊN QA HỆ THỐNG</t>
        </is>
      </c>
      <c r="D12413" t="inlineStr">
        <is>
          <t>CÔNG TY CỔ PHẦN DƯỢC PHẨM TIPHARCO</t>
        </is>
      </c>
      <c r="E12413" t="inlineStr">
        <is>
          <t>Lương:Cạnh tranh</t>
        </is>
      </c>
      <c r="F12413" t="inlineStr">
        <is>
          <t>Tiền Giang</t>
        </is>
      </c>
      <c r="G12413" t="inlineStr">
        <is>
          <t>05-04-2026</t>
        </is>
      </c>
      <c r="H12413" t="inlineStr">
        <is>
          <t>05/04/2026</t>
        </is>
      </c>
      <c r="I12413" t="inlineStr">
        <is>
          <t>17/03/2026</t>
        </is>
      </c>
      <c r="J12413" t="inlineStr">
        <is>
          <t>Dược phẩm/ Hóa Mỹ Phẩm, Quản lý chất lượng (QA/QC)</t>
        </is>
      </c>
      <c r="K12413" t="inlineStr">
        <is>
          <t>Không yêu cầu kinh nghiệm</t>
        </is>
      </c>
      <c r="L12413" s="8">
        <f>HYPERLINK("https://careerviet.vn/vi/tim-viec-lam/tuyen-dung-chuyen-vien-qa-he-thong.35C6B48D.html","Xem chi tiết")</f>
        <v/>
      </c>
    </row>
    <row r="12414">
      <c r="B12414" s="9" t="n">
        <v>12412</v>
      </c>
      <c r="C12414" s="10" t="inlineStr">
        <is>
          <t>Nghệ An/ Đà Nẵng - - Nhân Viên Giao Hàng Xe Tải/Xe Máy</t>
        </is>
      </c>
      <c r="D12414" s="10" t="inlineStr">
        <is>
          <t>Abbott</t>
        </is>
      </c>
      <c r="E12414" s="10" t="inlineStr">
        <is>
          <t>Lương:Cạnh tranh</t>
        </is>
      </c>
      <c r="F12414" s="10" t="inlineStr">
        <is>
          <t>Đà NẵngNghệ An</t>
        </is>
      </c>
      <c r="G12414" s="10" t="inlineStr">
        <is>
          <t>12-04-2026</t>
        </is>
      </c>
      <c r="H12414" s="10" t="inlineStr">
        <is>
          <t>12/04/2026</t>
        </is>
      </c>
      <c r="I12414" s="10" t="inlineStr">
        <is>
          <t>17/03/2026</t>
        </is>
      </c>
      <c r="J12414" s="10" t="inlineStr">
        <is>
          <t>Vận chuyển / Giao nhận / Kho vận, Y tế / Chăm sóc sức khỏe / Thẩm mỹ / Làm đẹp</t>
        </is>
      </c>
      <c r="K12414" s="10" t="inlineStr">
        <is>
          <t>N/A</t>
        </is>
      </c>
      <c r="L12414" s="11">
        <f>HYPERLINK("https://careerviet.vn/vi/tim-viec-lam/nghe-an-da-nang-nhan-vien-giao-hang-xe-tai-xe-may.35C6C35D.html","Xem chi tiết")</f>
        <v/>
      </c>
      <c r="M12414" s="10" t="n"/>
    </row>
    <row r="12415">
      <c r="B12415" s="7" t="n">
        <v>12413</v>
      </c>
      <c r="C12415" t="inlineStr">
        <is>
          <t>Trưởng nhóm – Trợ lý Phân tích nghiệp vụ cao cấp (Senior Business Analyst)</t>
        </is>
      </c>
      <c r="D12415" t="inlineStr">
        <is>
          <t>Tập Đoàn Tân Á Đại Thành</t>
        </is>
      </c>
      <c r="E12415" t="inlineStr">
        <is>
          <t>Lương:18 Tr - 35 Tr VND</t>
        </is>
      </c>
      <c r="F12415" t="inlineStr">
        <is>
          <t>Hà Nội</t>
        </is>
      </c>
      <c r="G12415" t="inlineStr">
        <is>
          <t>15-04-2026</t>
        </is>
      </c>
      <c r="H12415" t="inlineStr">
        <is>
          <t>15/04/2026</t>
        </is>
      </c>
      <c r="I12415" t="inlineStr">
        <is>
          <t>17/03/2026</t>
        </is>
      </c>
      <c r="J12415" t="inlineStr">
        <is>
          <t>CNTT - Phần mềm, Bất động sản</t>
        </is>
      </c>
      <c r="K12415" t="inlineStr">
        <is>
          <t>2 - 5 Năm</t>
        </is>
      </c>
      <c r="L12415" s="8">
        <f>HYPERLINK("https://careerviet.vn/vi/tim-viec-lam/truong-nhom-tro-ly-phan-tich-nghiep-vu-cao-cap-senior-business-analyst.35C6C370.html","Xem chi tiết")</f>
        <v/>
      </c>
    </row>
    <row r="12416">
      <c r="B12416" s="9" t="n">
        <v>12414</v>
      </c>
      <c r="C12416" s="10" t="inlineStr">
        <is>
          <t>Cán bộ QA/QC xây dựng</t>
        </is>
      </c>
      <c r="D12416" s="10" t="inlineStr">
        <is>
          <t>CÔNG TY CỔ PHẦN TẬP ĐOÀN GDC</t>
        </is>
      </c>
      <c r="E12416" s="10" t="inlineStr">
        <is>
          <t>Lương:18 Tr - 24 Tr VND</t>
        </is>
      </c>
      <c r="F12416" s="10" t="inlineStr">
        <is>
          <t>Hải DươngHải PhòngHưng Yên</t>
        </is>
      </c>
      <c r="G12416" s="10" t="inlineStr">
        <is>
          <t>12-04-2026</t>
        </is>
      </c>
      <c r="H12416" s="10" t="inlineStr">
        <is>
          <t>12/04/2026</t>
        </is>
      </c>
      <c r="I12416" s="10" t="inlineStr">
        <is>
          <t>17/03/2026</t>
        </is>
      </c>
      <c r="J12416" s="10" t="inlineStr">
        <is>
          <t>Xây dựng</t>
        </is>
      </c>
      <c r="K12416" s="10" t="inlineStr">
        <is>
          <t>1 - 10 Năm</t>
        </is>
      </c>
      <c r="L12416" s="11">
        <f>HYPERLINK("https://careerviet.vn/vi/tim-viec-lam/can-bo-qa-qc-xay-dung.35C6C360.html","Xem chi tiết")</f>
        <v/>
      </c>
      <c r="M12416" s="10" t="n"/>
    </row>
    <row r="12417">
      <c r="B12417" s="7" t="n">
        <v>12415</v>
      </c>
      <c r="C12417" t="inlineStr">
        <is>
          <t>Kỹ sư Trắc đạc</t>
        </is>
      </c>
      <c r="D12417" t="inlineStr">
        <is>
          <t>CÔNG TY CỔ PHẦN TẬP ĐOÀN GDC</t>
        </is>
      </c>
      <c r="E12417" t="inlineStr">
        <is>
          <t>Lương:18 Tr - 24 Tr VND</t>
        </is>
      </c>
      <c r="F12417" t="inlineStr">
        <is>
          <t>Hải PhòngBắc GiangDak Lak</t>
        </is>
      </c>
      <c r="G12417" t="inlineStr">
        <is>
          <t>12-04-2026</t>
        </is>
      </c>
      <c r="H12417" t="inlineStr">
        <is>
          <t>12/04/2026</t>
        </is>
      </c>
      <c r="I12417" t="inlineStr">
        <is>
          <t>17/03/2026</t>
        </is>
      </c>
      <c r="J12417" t="inlineStr">
        <is>
          <t>Xây dựng</t>
        </is>
      </c>
      <c r="K12417" t="inlineStr">
        <is>
          <t>1 - 10 Năm</t>
        </is>
      </c>
      <c r="L12417" s="8">
        <f>HYPERLINK("https://careerviet.vn/vi/tim-viec-lam/ky-su-trac-dac.35C6C35B.html","Xem chi tiết")</f>
        <v/>
      </c>
    </row>
    <row r="12418">
      <c r="B12418" s="9" t="n">
        <v>12416</v>
      </c>
      <c r="C12418" s="10" t="inlineStr">
        <is>
          <t>Nhân Viên Kỹ Thuật Máy Xây Dựng</t>
        </is>
      </c>
      <c r="D12418" s="10" t="inlineStr">
        <is>
          <t>Headhunter HRchannels Group</t>
        </is>
      </c>
      <c r="E12418" s="10" t="inlineStr">
        <is>
          <t>Lương:1.000 - 1.000 USD</t>
        </is>
      </c>
      <c r="F12418" s="10" t="inlineStr">
        <is>
          <t>Hà NộiHưng YênĐồng Nai</t>
        </is>
      </c>
      <c r="G12418" s="10" t="inlineStr">
        <is>
          <t>12-04-2026</t>
        </is>
      </c>
      <c r="H12418" s="10" t="inlineStr">
        <is>
          <t>12/04/2026</t>
        </is>
      </c>
      <c r="I12418" s="10" t="inlineStr">
        <is>
          <t>17/03/2026</t>
        </is>
      </c>
      <c r="J12418" s="10" t="inlineStr">
        <is>
          <t>Bảo trì / Sửa chữa, Xây dựng, Cơ khí / Ô tô / Tự động hóa</t>
        </is>
      </c>
      <c r="K12418" s="10" t="inlineStr">
        <is>
          <t>1 - 2 Năm</t>
        </is>
      </c>
      <c r="L12418" s="11">
        <f>HYPERLINK("https://careerviet.vn/vi/tim-viec-lam/nhan-vien-ky-thuat-may-xay-dung.35C6C361.html","Xem chi tiết")</f>
        <v/>
      </c>
      <c r="M12418" s="10" t="n"/>
    </row>
    <row r="12419">
      <c r="B12419" s="7" t="n">
        <v>12417</v>
      </c>
      <c r="C12419" t="inlineStr">
        <is>
          <t>Kế toán Nội bộ / Kế toán Tổng hợp</t>
        </is>
      </c>
      <c r="D12419" t="inlineStr">
        <is>
          <t>CÔNG TY CỔ PHẦN LƯƠNG THỰC BÌNH MINH</t>
        </is>
      </c>
      <c r="E12419" t="inlineStr">
        <is>
          <t>Lương:10 Tr - 20 Tr VND</t>
        </is>
      </c>
      <c r="F12419" t="inlineStr">
        <is>
          <t>Hà Nội</t>
        </is>
      </c>
      <c r="G12419" t="inlineStr">
        <is>
          <t>11-04-2026</t>
        </is>
      </c>
      <c r="H12419" t="inlineStr">
        <is>
          <t>11/04/2026</t>
        </is>
      </c>
      <c r="I12419" t="inlineStr">
        <is>
          <t>17/03/2026</t>
        </is>
      </c>
      <c r="J12419" t="inlineStr">
        <is>
          <t>Kế toán / Kiểm toán</t>
        </is>
      </c>
      <c r="K12419" t="inlineStr">
        <is>
          <t>2 - 5 Năm</t>
        </is>
      </c>
      <c r="L12419" s="8">
        <f>HYPERLINK("https://careerviet.vn/vi/tim-viec-lam/ke-toan-noi-bo-ke-toan-tong-hop.35C6C369.html","Xem chi tiết")</f>
        <v/>
      </c>
    </row>
    <row r="12420">
      <c r="B12420" s="9" t="n">
        <v>12418</v>
      </c>
      <c r="C12420" s="10" t="inlineStr">
        <is>
          <t>Chỉ huy phó phụ trách hiện trường</t>
        </is>
      </c>
      <c r="D12420" s="10" t="inlineStr">
        <is>
          <t>CÔNG TY CỔ PHẦN TẬP ĐOÀN GDC</t>
        </is>
      </c>
      <c r="E12420" s="10" t="inlineStr">
        <is>
          <t>Lương:27 Tr - 35 Tr VND</t>
        </is>
      </c>
      <c r="F12420" s="10" t="inlineStr">
        <is>
          <t>Bắc GiangHải DươngHải Phòng</t>
        </is>
      </c>
      <c r="G12420" s="10" t="inlineStr">
        <is>
          <t>12-04-2026</t>
        </is>
      </c>
      <c r="H12420" s="10" t="inlineStr">
        <is>
          <t>12/04/2026</t>
        </is>
      </c>
      <c r="I12420" s="10" t="inlineStr">
        <is>
          <t>17/03/2026</t>
        </is>
      </c>
      <c r="J12420" s="10" t="inlineStr">
        <is>
          <t>Xây dựng</t>
        </is>
      </c>
      <c r="K12420" s="10" t="inlineStr">
        <is>
          <t>2 - 8 Năm</t>
        </is>
      </c>
      <c r="L12420" s="11">
        <f>HYPERLINK("https://careerviet.vn/vi/tim-viec-lam/chi-huy-pho-phu-trach-hien-truong.35C6C359.html","Xem chi tiết")</f>
        <v/>
      </c>
      <c r="M12420" s="10" t="n"/>
    </row>
    <row r="12421">
      <c r="B12421" s="7" t="n">
        <v>12419</v>
      </c>
      <c r="C12421" t="inlineStr">
        <is>
          <t>Chuyên viên Điều vận đơn hàng</t>
        </is>
      </c>
      <c r="D12421" t="inlineStr">
        <is>
          <t>CÔNG TY CỔ PHẦN TẬP ĐOÀN DAT</t>
        </is>
      </c>
      <c r="E12421" t="inlineStr">
        <is>
          <t>Lương:13 Tr - 15 Tr VND</t>
        </is>
      </c>
      <c r="F12421" t="inlineStr">
        <is>
          <t>Hồ Chí Minh</t>
        </is>
      </c>
      <c r="G12421" t="inlineStr">
        <is>
          <t>31-03-2026</t>
        </is>
      </c>
      <c r="H12421" t="inlineStr">
        <is>
          <t>31/03/2026</t>
        </is>
      </c>
      <c r="I12421" t="inlineStr">
        <is>
          <t>17/03/2026</t>
        </is>
      </c>
      <c r="J12421" t="inlineStr">
        <is>
          <t>Bán hàng / Kinh doanh, Bán Hàng Kỹ Thuật, Vận chuyển / Giao nhận / Kho vận</t>
        </is>
      </c>
      <c r="K12421" t="inlineStr">
        <is>
          <t>2 - 3 Năm</t>
        </is>
      </c>
      <c r="L12421" s="8">
        <f>HYPERLINK("https://careerviet.vn/vi/tim-viec-lam/chuyen-vien-dieu-van-don-hang.35C6C33A.html","Xem chi tiết")</f>
        <v/>
      </c>
    </row>
    <row r="12422">
      <c r="B12422" s="9" t="n">
        <v>12420</v>
      </c>
      <c r="C12422" s="10" t="inlineStr">
        <is>
          <t>Kỹ sư giám sát xây dựng</t>
        </is>
      </c>
      <c r="D12422" s="10" t="inlineStr">
        <is>
          <t>CÔNG TY CỔ PHẦN TẬP ĐOÀN GDC</t>
        </is>
      </c>
      <c r="E12422" s="10" t="inlineStr">
        <is>
          <t>Lương:17 Tr - 24 Tr VND</t>
        </is>
      </c>
      <c r="F12422" s="10" t="inlineStr">
        <is>
          <t>Hải PhòngBắc GiangHải Dương</t>
        </is>
      </c>
      <c r="G12422" s="10" t="inlineStr">
        <is>
          <t>12-04-2026</t>
        </is>
      </c>
      <c r="H12422" s="10" t="inlineStr">
        <is>
          <t>12/04/2026</t>
        </is>
      </c>
      <c r="I12422" s="10" t="inlineStr">
        <is>
          <t>17/03/2026</t>
        </is>
      </c>
      <c r="J12422" s="10" t="inlineStr">
        <is>
          <t>Kiến trúc, Xây dựng, Bất động sản</t>
        </is>
      </c>
      <c r="K12422" s="10" t="inlineStr">
        <is>
          <t>1 - 7 Năm</t>
        </is>
      </c>
      <c r="L12422" s="11">
        <f>HYPERLINK("https://careerviet.vn/vi/tim-viec-lam/ky-su-giam-sat-xay-dung.35C6C34C.html","Xem chi tiết")</f>
        <v/>
      </c>
      <c r="M12422" s="10" t="n"/>
    </row>
    <row r="12423">
      <c r="B12423" s="7" t="n">
        <v>12421</v>
      </c>
      <c r="C12423" t="inlineStr">
        <is>
          <t>Kế toán bán hàng  (Bất động sản)</t>
        </is>
      </c>
      <c r="D12423" t="inlineStr">
        <is>
          <t>CÔNG TY CỔ PHẦN EUROWINDOW HOLDING</t>
        </is>
      </c>
      <c r="E12423" t="inlineStr">
        <is>
          <t>Lương:Cạnh tranh</t>
        </is>
      </c>
      <c r="F12423" t="inlineStr">
        <is>
          <t>Hà Nội</t>
        </is>
      </c>
      <c r="G12423" t="inlineStr">
        <is>
          <t>11-04-2026</t>
        </is>
      </c>
      <c r="H12423" t="inlineStr">
        <is>
          <t>11/04/2026</t>
        </is>
      </c>
      <c r="I12423" t="inlineStr">
        <is>
          <t>17/03/2026</t>
        </is>
      </c>
      <c r="J12423" t="inlineStr">
        <is>
          <t>Kế toán / Kiểm toán, Bất động sản</t>
        </is>
      </c>
      <c r="K12423" t="inlineStr">
        <is>
          <t>2 - 5 Năm</t>
        </is>
      </c>
      <c r="L12423" s="8">
        <f>HYPERLINK("https://careerviet.vn/vi/tim-viec-lam/ke-toan-ban-hang-bat-dong-san.35C6C355.html","Xem chi tiết")</f>
        <v/>
      </c>
    </row>
    <row r="12424">
      <c r="B12424" s="9" t="n">
        <v>12422</v>
      </c>
      <c r="C12424" s="10" t="inlineStr">
        <is>
          <t>Kế toán viên</t>
        </is>
      </c>
      <c r="D12424" s="10" t="inlineStr">
        <is>
          <t>NANOCO GROUP</t>
        </is>
      </c>
      <c r="E12424" s="10" t="inlineStr">
        <is>
          <t>Lương:8 Tr - 10 Tr VND</t>
        </is>
      </c>
      <c r="F12424" s="10" t="inlineStr">
        <is>
          <t>Hồ Chí Minh</t>
        </is>
      </c>
      <c r="G12424" s="10" t="inlineStr">
        <is>
          <t>11-04-2026</t>
        </is>
      </c>
      <c r="H12424" s="10" t="inlineStr">
        <is>
          <t>11/04/2026</t>
        </is>
      </c>
      <c r="I12424" s="10" t="inlineStr">
        <is>
          <t>17/03/2026</t>
        </is>
      </c>
      <c r="J12424" s="10" t="inlineStr">
        <is>
          <t>Kế toán / Kiểm toán</t>
        </is>
      </c>
      <c r="K12424" s="10" t="inlineStr">
        <is>
          <t>1 - 5 Năm</t>
        </is>
      </c>
      <c r="L12424" s="11">
        <f>HYPERLINK("https://careerviet.vn/vi/tim-viec-lam/ke-toan-vien.35C6C352.html","Xem chi tiết")</f>
        <v/>
      </c>
      <c r="M12424" s="10" t="n"/>
    </row>
    <row r="12425">
      <c r="B12425" s="7" t="n">
        <v>12423</v>
      </c>
      <c r="C12425" t="inlineStr">
        <is>
          <t>Nhân viên kinh doanh khu vực Đắk Lắk (13-20 tr)</t>
        </is>
      </c>
      <c r="D12425" t="inlineStr">
        <is>
          <t>CÔNG TY CỔ PHẦN TẬP ĐOÀN DEKKO</t>
        </is>
      </c>
      <c r="E12425" t="inlineStr">
        <is>
          <t>Lương:13 Tr - 20 Tr VND</t>
        </is>
      </c>
      <c r="F12425" t="inlineStr">
        <is>
          <t>Dak Lak</t>
        </is>
      </c>
      <c r="G12425" t="inlineStr">
        <is>
          <t>04-05-2026</t>
        </is>
      </c>
      <c r="H12425" t="inlineStr">
        <is>
          <t>04/05/2026</t>
        </is>
      </c>
      <c r="I12425" t="inlineStr">
        <is>
          <t>17/03/2026</t>
        </is>
      </c>
      <c r="J12425" t="inlineStr">
        <is>
          <t>Bán hàng / Kinh doanh, Dịch vụ khách hàng</t>
        </is>
      </c>
      <c r="K12425" t="inlineStr">
        <is>
          <t>1 - 2 Năm</t>
        </is>
      </c>
      <c r="L12425" s="8">
        <f>HYPERLINK("https://careerviet.vn/vi/tim-viec-lam/nhan-vien-kinh-doanh-khu-vuc-dak-lak-13-20-tr.35C6C34D.html","Xem chi tiết")</f>
        <v/>
      </c>
    </row>
    <row r="12426">
      <c r="B12426" s="9" t="n">
        <v>12424</v>
      </c>
      <c r="C12426" s="10" t="inlineStr">
        <is>
          <t>Chỉ huy trưởng công trình</t>
        </is>
      </c>
      <c r="D12426" s="10" t="inlineStr">
        <is>
          <t>CÔNG TY CỔ PHẦN TẬP ĐOÀN GDC</t>
        </is>
      </c>
      <c r="E12426" s="10" t="inlineStr">
        <is>
          <t>Lương:35 Tr - 45 Tr VND</t>
        </is>
      </c>
      <c r="F12426" s="10" t="inlineStr">
        <is>
          <t>Hải PhòngBắc GiangHải Dương</t>
        </is>
      </c>
      <c r="G12426" s="10" t="inlineStr">
        <is>
          <t>12-04-2026</t>
        </is>
      </c>
      <c r="H12426" s="10" t="inlineStr">
        <is>
          <t>12/04/2026</t>
        </is>
      </c>
      <c r="I12426" s="10" t="inlineStr">
        <is>
          <t>17/03/2026</t>
        </is>
      </c>
      <c r="J12426" s="10" t="inlineStr">
        <is>
          <t>Xây dựng, Bất động sản</t>
        </is>
      </c>
      <c r="K12426" s="10" t="inlineStr">
        <is>
          <t>2 - 10 Năm</t>
        </is>
      </c>
      <c r="L12426" s="11">
        <f>HYPERLINK("https://careerviet.vn/vi/tim-viec-lam/chi-huy-truong-cong-trinh.35C6C357.html","Xem chi tiết")</f>
        <v/>
      </c>
      <c r="M12426" s="10" t="n"/>
    </row>
    <row r="12427">
      <c r="B12427" s="7" t="n">
        <v>12425</v>
      </c>
      <c r="C12427" t="inlineStr">
        <is>
          <t>Cán bộ QS xây dựng</t>
        </is>
      </c>
      <c r="D12427" t="inlineStr">
        <is>
          <t>CÔNG TY CỔ PHẦN TẬP ĐOÀN GDC</t>
        </is>
      </c>
      <c r="E12427" t="inlineStr">
        <is>
          <t>Lương:18 Tr - 24 Tr VND</t>
        </is>
      </c>
      <c r="F12427" t="inlineStr">
        <is>
          <t>Hải DươngHải PhòngBắc Giang</t>
        </is>
      </c>
      <c r="G12427" t="inlineStr">
        <is>
          <t>12-04-2026</t>
        </is>
      </c>
      <c r="H12427" t="inlineStr">
        <is>
          <t>12/04/2026</t>
        </is>
      </c>
      <c r="I12427" t="inlineStr">
        <is>
          <t>17/03/2026</t>
        </is>
      </c>
      <c r="J12427" t="inlineStr">
        <is>
          <t>Xây dựng</t>
        </is>
      </c>
      <c r="K12427" t="inlineStr">
        <is>
          <t>1 - 10 Năm</t>
        </is>
      </c>
      <c r="L12427" s="8">
        <f>HYPERLINK("https://careerviet.vn/vi/tim-viec-lam/can-bo-qs-xay-dung.35C6C35E.html","Xem chi tiết")</f>
        <v/>
      </c>
    </row>
    <row r="12428">
      <c r="B12428" s="9" t="n">
        <v>12426</v>
      </c>
      <c r="C12428" s="10" t="inlineStr">
        <is>
          <t>Chuyên Viên Kiểm Soát Chi Phí Dự Án Xây Dựng</t>
        </is>
      </c>
      <c r="D12428" s="10" t="inlineStr">
        <is>
          <t>Công Ty Cổ Phần Kiến Trúc Tư Vấn Quản Lý Đông Dương</t>
        </is>
      </c>
      <c r="E12428" s="10" t="inlineStr">
        <is>
          <t>Lương:Cạnh tranh</t>
        </is>
      </c>
      <c r="F12428" s="10" t="inlineStr">
        <is>
          <t>Hồ Chí Minh</t>
        </is>
      </c>
      <c r="G12428" s="10" t="inlineStr">
        <is>
          <t>12-04-2026</t>
        </is>
      </c>
      <c r="H12428" s="10" t="inlineStr">
        <is>
          <t>12/04/2026</t>
        </is>
      </c>
      <c r="I12428" s="10" t="inlineStr">
        <is>
          <t>17/03/2026</t>
        </is>
      </c>
      <c r="J12428" s="10" t="inlineStr">
        <is>
          <t>Xây dựng</t>
        </is>
      </c>
      <c r="K12428" s="10" t="inlineStr">
        <is>
          <t>3 - 5 Năm</t>
        </is>
      </c>
      <c r="L12428" s="11">
        <f>HYPERLINK("https://careerviet.vn/vi/tim-viec-lam/chuyen-vien-kiem-soat-chi-phi-du-an-xay-dung.35C6C300.html","Xem chi tiết")</f>
        <v/>
      </c>
      <c r="M12428" s="10" t="n"/>
    </row>
    <row r="12429">
      <c r="B12429" s="7" t="n">
        <v>12427</v>
      </c>
      <c r="C12429" t="inlineStr">
        <is>
          <t>Nhân Viên Kỹ Thuật Máy Phát Điện Hà Nội</t>
        </is>
      </c>
      <c r="D12429" t="inlineStr">
        <is>
          <t>Công Ty TNHH Thương Mại Và Dịch Vụ Nguyễn Huy</t>
        </is>
      </c>
      <c r="E12429" t="inlineStr">
        <is>
          <t>Lương:Trên 13 Tr VND</t>
        </is>
      </c>
      <c r="F12429" t="inlineStr">
        <is>
          <t>Hà Nội</t>
        </is>
      </c>
      <c r="G12429" t="inlineStr">
        <is>
          <t>11-04-2026</t>
        </is>
      </c>
      <c r="H12429" t="inlineStr">
        <is>
          <t>11/04/2026</t>
        </is>
      </c>
      <c r="I12429" t="inlineStr">
        <is>
          <t>17/03/2026</t>
        </is>
      </c>
      <c r="J12429" t="inlineStr">
        <is>
          <t>Bảo trì / Sửa chữa, Điện / Điện tử / Điện lạnh / Điện công nghiệp, Cơ khí / Ô tô / Tự động hóa</t>
        </is>
      </c>
      <c r="K12429" t="inlineStr">
        <is>
          <t>N/A</t>
        </is>
      </c>
      <c r="L12429" s="8">
        <f>HYPERLINK("https://careerviet.vn/vi/tim-viec-lam/nhan-vien-ky-thuat-may-phat-dien-ha-noi.35C6C33D.html","Xem chi tiết")</f>
        <v/>
      </c>
    </row>
    <row r="12430">
      <c r="B12430" s="9" t="n">
        <v>12428</v>
      </c>
      <c r="C12430" s="10" t="inlineStr">
        <is>
          <t>Giám Đốc Kinh Doanh (Kết cấu thép)</t>
        </is>
      </c>
      <c r="D12430" s="10" t="inlineStr">
        <is>
          <t>Headhunter HRchannels Group</t>
        </is>
      </c>
      <c r="E12430" s="10" t="inlineStr">
        <is>
          <t>Lương:30 Tr - 50 Tr VND</t>
        </is>
      </c>
      <c r="F12430" s="10" t="inlineStr">
        <is>
          <t>Hà Nội</t>
        </is>
      </c>
      <c r="G12430" s="10" t="inlineStr">
        <is>
          <t>11-04-2026</t>
        </is>
      </c>
      <c r="H12430" s="10" t="inlineStr">
        <is>
          <t>11/04/2026</t>
        </is>
      </c>
      <c r="I12430" s="10" t="inlineStr">
        <is>
          <t>17/03/2026</t>
        </is>
      </c>
      <c r="J12430" s="10" t="inlineStr">
        <is>
          <t>Bán hàng / Kinh doanh, Bán Hàng Kỹ Thuật</t>
        </is>
      </c>
      <c r="K12430" s="10" t="inlineStr">
        <is>
          <t>3 - 5 Năm</t>
        </is>
      </c>
      <c r="L12430" s="11">
        <f>HYPERLINK("https://careerviet.vn/vi/tim-viec-lam/giam-doc-kinh-doanh-ket-cau-thep.35C6C358.html","Xem chi tiết")</f>
        <v/>
      </c>
      <c r="M12430" s="10" t="n"/>
    </row>
    <row r="12431">
      <c r="B12431" s="7" t="n">
        <v>12429</v>
      </c>
      <c r="C12431" t="inlineStr">
        <is>
          <t>Key Account Sales - MT channel (all levels)</t>
        </is>
      </c>
      <c r="D12431" t="inlineStr">
        <is>
          <t>TCL (Vietnam) Corporation Limited</t>
        </is>
      </c>
      <c r="E12431" t="inlineStr">
        <is>
          <t>Lương:Cạnh tranh</t>
        </is>
      </c>
      <c r="F12431" t="inlineStr">
        <is>
          <t>Hồ Chí Minh</t>
        </is>
      </c>
      <c r="G12431" t="inlineStr">
        <is>
          <t>29-04-2026</t>
        </is>
      </c>
      <c r="H12431" t="inlineStr">
        <is>
          <t>29/04/2026</t>
        </is>
      </c>
      <c r="I12431" t="inlineStr">
        <is>
          <t>17/03/2026</t>
        </is>
      </c>
      <c r="J12431" t="inlineStr">
        <is>
          <t>Hàng gia dụng / Chăm sóc cá nhân, Bán hàng / Kinh doanh, Điện / Điện tử / Điện lạnh / Điện công nghiệp</t>
        </is>
      </c>
      <c r="K12431" t="inlineStr">
        <is>
          <t>Trên 2 Năm</t>
        </is>
      </c>
      <c r="L12431" s="8">
        <f>HYPERLINK("https://careerviet.vn/vi/tim-viec-lam/key-account-sales-mt-channel-all-levels.35C6C33B.html","Xem chi tiết")</f>
        <v/>
      </c>
    </row>
    <row r="12432">
      <c r="B12432" s="9" t="n">
        <v>12430</v>
      </c>
      <c r="C12432" s="10" t="inlineStr">
        <is>
          <t>Chuyên viên Pháp chế</t>
        </is>
      </c>
      <c r="D12432" s="10" t="inlineStr">
        <is>
          <t>CÔNG TY CỔ PHẦN DÂY CÁP ĐIỆN VIỆT NAM - CADIVI</t>
        </is>
      </c>
      <c r="E12432" s="10" t="inlineStr">
        <is>
          <t>Lương:Cạnh tranh</t>
        </is>
      </c>
      <c r="F12432" s="10" t="inlineStr">
        <is>
          <t>Hồ Chí Minh</t>
        </is>
      </c>
      <c r="G12432" s="10" t="inlineStr">
        <is>
          <t>11-04-2026</t>
        </is>
      </c>
      <c r="H12432" s="10" t="inlineStr">
        <is>
          <t>11/04/2026</t>
        </is>
      </c>
      <c r="I12432" s="10" t="inlineStr">
        <is>
          <t>17/03/2026</t>
        </is>
      </c>
      <c r="J12432" s="10" t="inlineStr">
        <is>
          <t>Luật / Pháp lý</t>
        </is>
      </c>
      <c r="K12432" s="10" t="inlineStr">
        <is>
          <t>Trên 2 Năm</t>
        </is>
      </c>
      <c r="L12432" s="11">
        <f>HYPERLINK("https://careerviet.vn/vi/tim-viec-lam/chuyen-vien-phap-che.35C6C30D.html","Xem chi tiết")</f>
        <v/>
      </c>
      <c r="M12432" s="10" t="n"/>
    </row>
    <row r="12433">
      <c r="B12433" s="7" t="n">
        <v>12431</v>
      </c>
      <c r="C12433" t="inlineStr">
        <is>
          <t>Nhân viên Điều phối hàng hóa</t>
        </is>
      </c>
      <c r="D12433" t="inlineStr">
        <is>
          <t>Công ty Cổ phần CANIFA</t>
        </is>
      </c>
      <c r="E12433" t="inlineStr">
        <is>
          <t>Lương:12 Tr - 16 Tr VND</t>
        </is>
      </c>
      <c r="F12433" t="inlineStr">
        <is>
          <t>Hà Nội</t>
        </is>
      </c>
      <c r="G12433" t="inlineStr">
        <is>
          <t>11-04-2026</t>
        </is>
      </c>
      <c r="H12433" t="inlineStr">
        <is>
          <t>11/04/2026</t>
        </is>
      </c>
      <c r="I12433" t="inlineStr">
        <is>
          <t>17/03/2026</t>
        </is>
      </c>
      <c r="J12433" t="inlineStr">
        <is>
          <t>Bán lẻ / Bán sỉ, Vận chuyển / Giao nhận / Kho vận</t>
        </is>
      </c>
      <c r="K12433" t="inlineStr">
        <is>
          <t>1 - 3 Năm</t>
        </is>
      </c>
      <c r="L12433" s="8">
        <f>HYPERLINK("https://careerviet.vn/vi/tim-viec-lam/nhan-vien-dieu-phoi-hang-hoa.35C6C339.html","Xem chi tiết")</f>
        <v/>
      </c>
    </row>
    <row r="12434">
      <c r="B12434" s="9" t="n">
        <v>12432</v>
      </c>
      <c r="C12434" s="10" t="inlineStr">
        <is>
          <t>Nhân viên kinh doanh_Bắc Giang</t>
        </is>
      </c>
      <c r="D12434" s="10" t="inlineStr">
        <is>
          <t>Công Ty Cổ Phần Thép Việt Xô Hà Nội</t>
        </is>
      </c>
      <c r="E12434" s="10" t="inlineStr">
        <is>
          <t>Lương:15 Tr - 30 Tr VND</t>
        </is>
      </c>
      <c r="F12434" s="10" t="inlineStr">
        <is>
          <t>Bắc Giang</t>
        </is>
      </c>
      <c r="G12434" s="10" t="inlineStr">
        <is>
          <t>29-04-2026</t>
        </is>
      </c>
      <c r="H12434" s="10" t="inlineStr">
        <is>
          <t>29/04/2026</t>
        </is>
      </c>
      <c r="I12434" s="10" t="inlineStr">
        <is>
          <t>17/03/2026</t>
        </is>
      </c>
      <c r="J12434" s="10" t="inlineStr">
        <is>
          <t>Bán hàng / Kinh doanh</t>
        </is>
      </c>
      <c r="K12434" s="10" t="inlineStr">
        <is>
          <t>1 - 2 Năm</t>
        </is>
      </c>
      <c r="L12434" s="11">
        <f>HYPERLINK("https://careerviet.vn/vi/tim-viec-lam/nhan-vien-kinh-doanh_bac-giang.35C6C34A.html","Xem chi tiết")</f>
        <v/>
      </c>
      <c r="M12434" s="10" t="n"/>
    </row>
    <row r="12435">
      <c r="B12435" s="7" t="n">
        <v>12433</v>
      </c>
      <c r="C12435" t="inlineStr">
        <is>
          <t>Nhân viên Biên tập</t>
        </is>
      </c>
      <c r="D12435" t="inlineStr">
        <is>
          <t>Công Ty CP XNK Hóa Chất &amp; Thiết Bị Kim Ngưu</t>
        </is>
      </c>
      <c r="E12435" t="inlineStr">
        <is>
          <t>Lương:10 Tr - 12 Tr VND</t>
        </is>
      </c>
      <c r="F12435" t="inlineStr">
        <is>
          <t>Hà Nội</t>
        </is>
      </c>
      <c r="G12435" t="inlineStr">
        <is>
          <t>30-03-2026</t>
        </is>
      </c>
      <c r="H12435" t="inlineStr">
        <is>
          <t>30/03/2026</t>
        </is>
      </c>
      <c r="I12435" t="inlineStr">
        <is>
          <t>17/03/2026</t>
        </is>
      </c>
      <c r="J12435" t="inlineStr">
        <is>
          <t>Tiếp thị / Marketing, Truyền hình / Báo chí / Biên tập</t>
        </is>
      </c>
      <c r="K12435" t="inlineStr">
        <is>
          <t>1 - 3 Năm</t>
        </is>
      </c>
      <c r="L12435" s="8">
        <f>HYPERLINK("https://careerviet.vn/vi/tim-viec-lam/nhan-vien-bien-tap.35C6C33F.html","Xem chi tiết")</f>
        <v/>
      </c>
    </row>
    <row r="12436">
      <c r="B12436" s="9" t="n">
        <v>12434</v>
      </c>
      <c r="C12436" s="10" t="inlineStr">
        <is>
          <t>Kỹ sư xây dựng</t>
        </is>
      </c>
      <c r="D12436" s="10" t="inlineStr">
        <is>
          <t>Công ty TNHH MTV Đầu tư Xây dựng Phát triển Nam Khang</t>
        </is>
      </c>
      <c r="E12436" s="10" t="inlineStr">
        <is>
          <t>Lương:Cạnh tranh</t>
        </is>
      </c>
      <c r="F12436" s="10" t="inlineStr">
        <is>
          <t>Cần ThơĐồng NaiLong An</t>
        </is>
      </c>
      <c r="G12436" s="10" t="inlineStr">
        <is>
          <t>31-03-2026</t>
        </is>
      </c>
      <c r="H12436" s="10" t="inlineStr">
        <is>
          <t>31/03/2026</t>
        </is>
      </c>
      <c r="I12436" s="10" t="inlineStr">
        <is>
          <t>17/03/2026</t>
        </is>
      </c>
      <c r="J12436" s="10" t="inlineStr">
        <is>
          <t>Xây dựng, Quản lý chất lượng (QA/QC)</t>
        </is>
      </c>
      <c r="K12436" s="10" t="inlineStr">
        <is>
          <t>Trên 1 Năm</t>
        </is>
      </c>
      <c r="L12436" s="11">
        <f>HYPERLINK("https://careerviet.vn/vi/tim-viec-lam/ky-su-xay-dung.35C6C2D0.html","Xem chi tiết")</f>
        <v/>
      </c>
      <c r="M12436" s="10" t="n"/>
    </row>
    <row r="12437">
      <c r="B12437" s="7" t="n">
        <v>12435</v>
      </c>
      <c r="C12437" t="inlineStr">
        <is>
          <t>Graphic Designer</t>
        </is>
      </c>
      <c r="D12437" t="inlineStr">
        <is>
          <t>CÔNG TY CỔ PHẦN DƯỢC MỸ PHẨM CAFUNÉ</t>
        </is>
      </c>
      <c r="E12437" t="inlineStr">
        <is>
          <t>Lương:15 Tr - 23 Tr VND</t>
        </is>
      </c>
      <c r="F12437" t="inlineStr">
        <is>
          <t>Hồ Chí Minh</t>
        </is>
      </c>
      <c r="G12437" t="inlineStr">
        <is>
          <t>10-04-2026</t>
        </is>
      </c>
      <c r="H12437" t="inlineStr">
        <is>
          <t>10/04/2026</t>
        </is>
      </c>
      <c r="I12437" t="inlineStr">
        <is>
          <t>17/03/2026</t>
        </is>
      </c>
      <c r="J12437" t="inlineStr">
        <is>
          <t>Tiếp thị / Marketing, Mỹ thuật / Nghệ thuật / Thiết kế, Dược phẩm/ Hóa Mỹ Phẩm</t>
        </is>
      </c>
      <c r="K12437" t="inlineStr">
        <is>
          <t>2 - 3 Năm</t>
        </is>
      </c>
      <c r="L12437" s="8">
        <f>HYPERLINK("https://careerviet.vn/vi/tim-viec-lam/graphic-designer.35C6BCB9.html","Xem chi tiết")</f>
        <v/>
      </c>
    </row>
    <row r="12438">
      <c r="B12438" s="9" t="n">
        <v>12436</v>
      </c>
      <c r="C12438" s="10" t="inlineStr">
        <is>
          <t>Chuyên viên Kinh doanh Quốc tế</t>
        </is>
      </c>
      <c r="D12438" s="10" t="inlineStr">
        <is>
          <t>CÔNG TY CỔ PHẦN DÂY CÁP ĐIỆN VIỆT NAM - CADIVI</t>
        </is>
      </c>
      <c r="E12438" s="10" t="inlineStr">
        <is>
          <t>Lương:Cạnh tranh</t>
        </is>
      </c>
      <c r="F12438" s="10" t="inlineStr">
        <is>
          <t>Hồ Chí Minh</t>
        </is>
      </c>
      <c r="G12438" s="10" t="inlineStr">
        <is>
          <t>12-03-2026</t>
        </is>
      </c>
      <c r="H12438" s="10" t="inlineStr">
        <is>
          <t>12/03/2026</t>
        </is>
      </c>
      <c r="I12438" s="10" t="inlineStr">
        <is>
          <t>17/03/2026</t>
        </is>
      </c>
      <c r="J12438" s="10" t="inlineStr">
        <is>
          <t>Bán hàng / Kinh doanh, Xuất nhập khẩu</t>
        </is>
      </c>
      <c r="K12438" s="10" t="inlineStr">
        <is>
          <t>3 - 4 Năm</t>
        </is>
      </c>
      <c r="L12438" s="11">
        <f>HYPERLINK("https://careerviet.vn/vi/tim-viec-lam/chuyen-vien-kinh-doanh-quoc-te.35C6C349.html","Xem chi tiết")</f>
        <v/>
      </c>
      <c r="M12438" s="10" t="n"/>
    </row>
    <row r="12439">
      <c r="B12439" s="7" t="n">
        <v>12437</v>
      </c>
      <c r="C12439" t="inlineStr">
        <is>
          <t>[TN] Nhân viên Kĩ thuật Văn phòng _ Cơ khí</t>
        </is>
      </c>
      <c r="D12439" t="inlineStr">
        <is>
          <t>CÔNG TY TNHH DAESANG VIỆT NAM</t>
        </is>
      </c>
      <c r="E12439" t="inlineStr">
        <is>
          <t>Lương:Cạnh tranh</t>
        </is>
      </c>
      <c r="F12439" t="inlineStr">
        <is>
          <t>Tây Ninh</t>
        </is>
      </c>
      <c r="G12439" t="inlineStr">
        <is>
          <t>30-04-2026</t>
        </is>
      </c>
      <c r="H12439" t="inlineStr">
        <is>
          <t>30/04/2026</t>
        </is>
      </c>
      <c r="I12439" t="inlineStr">
        <is>
          <t>17/03/2026</t>
        </is>
      </c>
      <c r="J12439" t="inlineStr">
        <is>
          <t>Bán hàng / Kinh doanh, Luật / Pháp lý, Y tế / Chăm sóc sức khỏe / Thẩm mỹ / Làm đẹp</t>
        </is>
      </c>
      <c r="K12439" t="inlineStr">
        <is>
          <t>3 - 5 Năm</t>
        </is>
      </c>
      <c r="L12439" s="8">
        <f>HYPERLINK("https://careerviet.vn/vi/tim-viec-lam/tn-nhan-vien-ki-thuat-van-phong-_-co-khi.35C6C316.html","Xem chi tiết")</f>
        <v/>
      </c>
    </row>
    <row r="12440">
      <c r="B12440" s="9" t="n">
        <v>12438</v>
      </c>
      <c r="C12440" s="10" t="inlineStr">
        <is>
          <t>Kỹ sư thiết kế hạ tầng kỹ thuật</t>
        </is>
      </c>
      <c r="D12440" s="10" t="inlineStr">
        <is>
          <t>Công ty Cổ phần Đầu tư Tân Minh</t>
        </is>
      </c>
      <c r="E12440" s="10" t="inlineStr">
        <is>
          <t>Lương:13 Tr - 20 Tr VND</t>
        </is>
      </c>
      <c r="F12440" s="10" t="inlineStr">
        <is>
          <t>Hà Nội</t>
        </is>
      </c>
      <c r="G12440" s="10" t="inlineStr">
        <is>
          <t>15-04-2026</t>
        </is>
      </c>
      <c r="H12440" s="10" t="inlineStr">
        <is>
          <t>15/04/2026</t>
        </is>
      </c>
      <c r="I12440" s="10" t="inlineStr">
        <is>
          <t>17/03/2026</t>
        </is>
      </c>
      <c r="J12440" s="10" t="inlineStr">
        <is>
          <t>Xây dựng, Kiến trúc</t>
        </is>
      </c>
      <c r="K12440" s="10" t="inlineStr">
        <is>
          <t>Trên 1 Năm</t>
        </is>
      </c>
      <c r="L12440" s="11">
        <f>HYPERLINK("https://careerviet.vn/vi/tim-viec-lam/ky-su-thiet-ke-ha-tang-ky-thuat.35C6C323.html","Xem chi tiết")</f>
        <v/>
      </c>
      <c r="M12440" s="10" t="n"/>
    </row>
    <row r="12441">
      <c r="B12441" s="7" t="n">
        <v>12439</v>
      </c>
      <c r="C12441" t="inlineStr">
        <is>
          <t>Marketing Executive (Công ty Bất động sản)</t>
        </is>
      </c>
      <c r="D12441" t="inlineStr">
        <is>
          <t>CÔNG TY CỔ PHẦN IFF HOLDINGS</t>
        </is>
      </c>
      <c r="E12441" t="inlineStr">
        <is>
          <t>Lương:15 Tr - 20 Tr VND</t>
        </is>
      </c>
      <c r="F12441" t="inlineStr">
        <is>
          <t>Hà Nội</t>
        </is>
      </c>
      <c r="G12441" t="inlineStr">
        <is>
          <t>12-04-2026</t>
        </is>
      </c>
      <c r="H12441" t="inlineStr">
        <is>
          <t>12/04/2026</t>
        </is>
      </c>
      <c r="I12441" t="inlineStr">
        <is>
          <t>17/03/2026</t>
        </is>
      </c>
      <c r="J12441" t="inlineStr">
        <is>
          <t>Tiếp thị / Marketing, Quảng cáo / Đối ngoại / Truyền Thông, Bất động sản</t>
        </is>
      </c>
      <c r="K12441" t="inlineStr">
        <is>
          <t>3 - 5 Năm</t>
        </is>
      </c>
      <c r="L12441" s="8">
        <f>HYPERLINK("https://careerviet.vn/vi/tim-viec-lam/marketing-executive-cong-ty-bat-dong-san.35C6C329.html","Xem chi tiết")</f>
        <v/>
      </c>
    </row>
    <row r="12442">
      <c r="B12442" s="9" t="n">
        <v>12440</v>
      </c>
      <c r="C12442" s="10" t="inlineStr">
        <is>
          <t>Cần Thơ-Nhân viên Thủ Kho (8-10 triệu)</t>
        </is>
      </c>
      <c r="D12442" s="10" t="inlineStr">
        <is>
          <t>CÔNG TY CỔ PHẦN TẬP ĐOÀN DEKKO</t>
        </is>
      </c>
      <c r="E12442" s="10" t="inlineStr">
        <is>
          <t>Lương:8 Tr - 10 Tr VND</t>
        </is>
      </c>
      <c r="F12442" s="10" t="inlineStr">
        <is>
          <t>Cần Thơ</t>
        </is>
      </c>
      <c r="G12442" s="10" t="inlineStr">
        <is>
          <t>31-03-2026</t>
        </is>
      </c>
      <c r="H12442" s="10" t="inlineStr">
        <is>
          <t>31/03/2026</t>
        </is>
      </c>
      <c r="I12442" s="10" t="inlineStr">
        <is>
          <t>17/03/2026</t>
        </is>
      </c>
      <c r="J12442" s="10" t="inlineStr">
        <is>
          <t>Vận chuyển / Giao nhận / Kho vận</t>
        </is>
      </c>
      <c r="K12442" s="10" t="inlineStr">
        <is>
          <t>1 - 2 Năm</t>
        </is>
      </c>
      <c r="L12442" s="11">
        <f>HYPERLINK("https://careerviet.vn/vi/tim-viec-lam/can-tho-nhan-vien-thu-kho-8-10-trieu.35C6C333.html","Xem chi tiết")</f>
        <v/>
      </c>
      <c r="M12442" s="10" t="n"/>
    </row>
    <row r="12443">
      <c r="B12443" s="7" t="n">
        <v>12441</v>
      </c>
      <c r="C12443" t="inlineStr">
        <is>
          <t>Nhân viên hành chính nhân sự</t>
        </is>
      </c>
      <c r="D12443" t="inlineStr">
        <is>
          <t>CÔNG TY TNHH ĐẦU TƯ ITS</t>
        </is>
      </c>
      <c r="E12443" t="inlineStr">
        <is>
          <t>Lương:9 Tr - 12 Tr VND</t>
        </is>
      </c>
      <c r="F12443" t="inlineStr">
        <is>
          <t>Hồ Chí Minh</t>
        </is>
      </c>
      <c r="G12443" t="inlineStr">
        <is>
          <t>02-04-2026</t>
        </is>
      </c>
      <c r="H12443" t="inlineStr">
        <is>
          <t>02/04/2026</t>
        </is>
      </c>
      <c r="I12443" t="inlineStr">
        <is>
          <t>17/03/2026</t>
        </is>
      </c>
      <c r="J12443" t="inlineStr">
        <is>
          <t>Hành chính / Thư ký</t>
        </is>
      </c>
      <c r="K12443" t="inlineStr">
        <is>
          <t>1 - 2 Năm</t>
        </is>
      </c>
      <c r="L12443" s="8">
        <f>HYPERLINK("https://careerviet.vn/vi/tim-viec-lam/nhan-vien-hanh-chinh-nhan-su.35C6C334.html","Xem chi tiết")</f>
        <v/>
      </c>
    </row>
    <row r="12444">
      <c r="B12444" s="9" t="n">
        <v>12442</v>
      </c>
      <c r="C12444" s="10" t="inlineStr">
        <is>
          <t>Nhân viên Điều phối hàng hóa miền Nam</t>
        </is>
      </c>
      <c r="D12444" s="10" t="inlineStr">
        <is>
          <t>Công ty Cổ phần CANIFA</t>
        </is>
      </c>
      <c r="E12444" s="10" t="inlineStr">
        <is>
          <t>Lương:12 Tr - 16 Tr VND</t>
        </is>
      </c>
      <c r="F12444" s="10" t="inlineStr">
        <is>
          <t>Hồ Chí Minh</t>
        </is>
      </c>
      <c r="G12444" s="10" t="inlineStr">
        <is>
          <t>11-04-2026</t>
        </is>
      </c>
      <c r="H12444" s="10" t="inlineStr">
        <is>
          <t>11/04/2026</t>
        </is>
      </c>
      <c r="I12444" s="10" t="inlineStr">
        <is>
          <t>17/03/2026</t>
        </is>
      </c>
      <c r="J12444" s="10" t="inlineStr">
        <is>
          <t>Vận chuyển / Giao nhận / Kho vận</t>
        </is>
      </c>
      <c r="K12444" s="10" t="inlineStr">
        <is>
          <t>1 - 3 Năm</t>
        </is>
      </c>
      <c r="L12444" s="11">
        <f>HYPERLINK("https://careerviet.vn/vi/tim-viec-lam/nhan-vien-dieu-phoi-hang-hoa-mien-nam.35C6C331.html","Xem chi tiết")</f>
        <v/>
      </c>
      <c r="M12444" s="10" t="n"/>
    </row>
    <row r="12445">
      <c r="B12445" s="7" t="n">
        <v>12443</v>
      </c>
      <c r="C12445" t="inlineStr">
        <is>
          <t>[GLOBAL X] Trưởng phòng Phụ trách Quản lý Nguồn Nhân lực (HRBP Manager)</t>
        </is>
      </c>
      <c r="D12445" t="inlineStr">
        <is>
          <t>Nova Service Group - Công ty Cổ phần Tập đoàn Nova Services</t>
        </is>
      </c>
      <c r="E12445" t="inlineStr">
        <is>
          <t>Lương:Cạnh tranh</t>
        </is>
      </c>
      <c r="F12445" t="inlineStr">
        <is>
          <t>Hồ Chí Minh</t>
        </is>
      </c>
      <c r="G12445" t="inlineStr">
        <is>
          <t>13-04-2026</t>
        </is>
      </c>
      <c r="H12445" t="inlineStr">
        <is>
          <t>13/04/2026</t>
        </is>
      </c>
      <c r="I12445" t="inlineStr">
        <is>
          <t>17/03/2026</t>
        </is>
      </c>
      <c r="J12445" t="inlineStr">
        <is>
          <t>Nhân sự</t>
        </is>
      </c>
      <c r="K12445" t="inlineStr">
        <is>
          <t>3 - 5 Năm</t>
        </is>
      </c>
      <c r="L12445" s="8">
        <f>HYPERLINK("https://careerviet.vn/vi/tim-viec-lam/global-x-truong-phong-phu-trach-quan-ly-nguon-nhan-luc-hrbp-manager.35C6C337.html","Xem chi tiết")</f>
        <v/>
      </c>
    </row>
    <row r="12446">
      <c r="B12446" s="9" t="n">
        <v>12444</v>
      </c>
      <c r="C12446" s="10" t="inlineStr">
        <is>
          <t>Key Account Manager</t>
        </is>
      </c>
      <c r="D12446" s="10" t="inlineStr">
        <is>
          <t>CÔNG TY TNHH THAI CORP INTERNATIONAL (VIỆT NAM)</t>
        </is>
      </c>
      <c r="E12446" s="10" t="inlineStr">
        <is>
          <t>Lương:20 Tr - 25 Tr VND</t>
        </is>
      </c>
      <c r="F12446" s="10" t="inlineStr">
        <is>
          <t>Hồ Chí Minh</t>
        </is>
      </c>
      <c r="G12446" s="10" t="inlineStr">
        <is>
          <t>12-04-2026</t>
        </is>
      </c>
      <c r="H12446" s="10" t="inlineStr">
        <is>
          <t>12/04/2026</t>
        </is>
      </c>
      <c r="I12446" s="10" t="inlineStr">
        <is>
          <t>17/03/2026</t>
        </is>
      </c>
      <c r="J12446" s="10" t="inlineStr">
        <is>
          <t>Bán lẻ / Bán sỉ, Bán hàng / Kinh doanh</t>
        </is>
      </c>
      <c r="K12446" s="10" t="inlineStr">
        <is>
          <t>2 - 5 Năm</t>
        </is>
      </c>
      <c r="L12446" s="11">
        <f>HYPERLINK("https://careerviet.vn/vi/tim-viec-lam/key-account-manager.35C6C324.html","Xem chi tiết")</f>
        <v/>
      </c>
      <c r="M12446" s="10" t="n"/>
    </row>
    <row r="12447">
      <c r="B12447" s="7" t="n">
        <v>12445</v>
      </c>
      <c r="C12447" t="inlineStr">
        <is>
          <t>Quản Đốc Nhà Máy</t>
        </is>
      </c>
      <c r="D12447" t="inlineStr">
        <is>
          <t>Công Ty TNHH Xuất Nhập Khẩu Thái Châu</t>
        </is>
      </c>
      <c r="E12447" t="inlineStr">
        <is>
          <t>Lương:Cạnh tranh</t>
        </is>
      </c>
      <c r="F12447" t="inlineStr">
        <is>
          <t>Hồ Chí Minh</t>
        </is>
      </c>
      <c r="G12447" t="inlineStr">
        <is>
          <t>11-04-2026</t>
        </is>
      </c>
      <c r="H12447" t="inlineStr">
        <is>
          <t>11/04/2026</t>
        </is>
      </c>
      <c r="I12447" t="inlineStr">
        <is>
          <t>17/03/2026</t>
        </is>
      </c>
      <c r="J12447" t="inlineStr">
        <is>
          <t>Quản lý chất lượng (QA/QC), Xây dựng, Bảo trì / Sửa chữa</t>
        </is>
      </c>
      <c r="K12447" t="inlineStr">
        <is>
          <t>Trên 5 Năm</t>
        </is>
      </c>
      <c r="L12447" s="8">
        <f>HYPERLINK("https://careerviet.vn/vi/tim-viec-lam/quan-doc-nha-may.35C6C31F.html","Xem chi tiết")</f>
        <v/>
      </c>
    </row>
    <row r="12448">
      <c r="B12448" s="9" t="n">
        <v>12446</v>
      </c>
      <c r="C12448" s="10" t="inlineStr">
        <is>
          <t>Nhân viên Chăm sóc khách hàng kênh thương mại điện tử</t>
        </is>
      </c>
      <c r="D12448" s="10" t="inlineStr">
        <is>
          <t>Cty CP Kỹ Nghệ Thực Phẩm Việt Nam - VIFON</t>
        </is>
      </c>
      <c r="E12448" s="10" t="inlineStr">
        <is>
          <t>Lương:13 Tr - 15 Tr VND</t>
        </is>
      </c>
      <c r="F12448" s="10" t="inlineStr">
        <is>
          <t>Hồ Chí Minh</t>
        </is>
      </c>
      <c r="G12448" s="10" t="inlineStr">
        <is>
          <t>30-04-2026</t>
        </is>
      </c>
      <c r="H12448" s="10" t="inlineStr">
        <is>
          <t>30/04/2026</t>
        </is>
      </c>
      <c r="I12448" s="10" t="inlineStr">
        <is>
          <t>17/03/2026</t>
        </is>
      </c>
      <c r="J12448" s="10" t="inlineStr">
        <is>
          <t>Thương mại điện tử</t>
        </is>
      </c>
      <c r="K12448" s="10" t="inlineStr">
        <is>
          <t>1 - 2 Năm</t>
        </is>
      </c>
      <c r="L12448" s="11">
        <f>HYPERLINK("https://careerviet.vn/vi/tim-viec-lam/nhan-vien-cham-soc-khach-hang-kenh-thuong-mai-dien-tu.35C6C32F.html","Xem chi tiết")</f>
        <v/>
      </c>
      <c r="M12448" s="10" t="n"/>
    </row>
    <row r="12449">
      <c r="B12449" s="7" t="n">
        <v>12447</v>
      </c>
      <c r="C12449" t="inlineStr">
        <is>
          <t>[Cầu Giấy] Nhân Viên Tuyển Dụng - Thời vụ</t>
        </is>
      </c>
      <c r="D12449" t="inlineStr">
        <is>
          <t>Công Ty TNHH Tập Đoàn Rita Võ</t>
        </is>
      </c>
      <c r="E12449" t="inlineStr">
        <is>
          <t>Lương:10 Tr - 12 Tr VND</t>
        </is>
      </c>
      <c r="F12449" t="inlineStr">
        <is>
          <t>Hà Nội</t>
        </is>
      </c>
      <c r="G12449" t="inlineStr">
        <is>
          <t>30-04-2026</t>
        </is>
      </c>
      <c r="H12449" t="inlineStr">
        <is>
          <t>30/04/2026</t>
        </is>
      </c>
      <c r="I12449" t="inlineStr">
        <is>
          <t>17/03/2026</t>
        </is>
      </c>
      <c r="J12449" t="inlineStr">
        <is>
          <t>Hành chính / Thư ký, Nhân sự, Tư vấn</t>
        </is>
      </c>
      <c r="K12449" t="inlineStr">
        <is>
          <t>1 - 2 Năm</t>
        </is>
      </c>
      <c r="L12449" s="8">
        <f>HYPERLINK("https://careerviet.vn/vi/tim-viec-lam/cau-giay-nhan-vien-tuyen-dung-thoi-vu.35C6C32D.html","Xem chi tiết")</f>
        <v/>
      </c>
    </row>
    <row r="12450">
      <c r="B12450" s="9" t="n">
        <v>12448</v>
      </c>
      <c r="C12450" s="10" t="inlineStr">
        <is>
          <t>Nhân Viên Kinh Doanh / Sales Thị Trường Cà Mau</t>
        </is>
      </c>
      <c r="D12450" s="10" t="inlineStr">
        <is>
          <t>NANOCO GROUP</t>
        </is>
      </c>
      <c r="E12450" s="10" t="inlineStr">
        <is>
          <t>Lương:Cạnh tranh</t>
        </is>
      </c>
      <c r="F12450" s="10" t="inlineStr">
        <is>
          <t>Cà Mau</t>
        </is>
      </c>
      <c r="G12450" s="10" t="inlineStr">
        <is>
          <t>11-04-2026</t>
        </is>
      </c>
      <c r="H12450" s="10" t="inlineStr">
        <is>
          <t>11/04/2026</t>
        </is>
      </c>
      <c r="I12450" s="10" t="inlineStr">
        <is>
          <t>17/03/2026</t>
        </is>
      </c>
      <c r="J12450" s="10" t="inlineStr">
        <is>
          <t>Bán hàng / Kinh doanh, Bán lẻ / Bán sỉ, Tiếp thị / Marketing</t>
        </is>
      </c>
      <c r="K12450" s="10" t="inlineStr">
        <is>
          <t>1 - 10 Năm</t>
        </is>
      </c>
      <c r="L12450" s="11">
        <f>HYPERLINK("https://careerviet.vn/vi/tim-viec-lam/nhan-vien-kinh-doanh-sales-thi-truong-ca-mau.35C6C2B5.html","Xem chi tiết")</f>
        <v/>
      </c>
      <c r="M12450" s="10" t="n"/>
    </row>
    <row r="12451">
      <c r="B12451" s="7" t="n">
        <v>12449</v>
      </c>
      <c r="C12451" t="inlineStr">
        <is>
          <t>Graphic Designer (Công ty Bất động sản)</t>
        </is>
      </c>
      <c r="D12451" t="inlineStr">
        <is>
          <t>CÔNG TY CỔ PHẦN IFF HOLDINGS</t>
        </is>
      </c>
      <c r="E12451" t="inlineStr">
        <is>
          <t>Lương:12 Tr - 15 Tr VND</t>
        </is>
      </c>
      <c r="F12451" t="inlineStr">
        <is>
          <t>Hà Nội</t>
        </is>
      </c>
      <c r="G12451" t="inlineStr">
        <is>
          <t>12-04-2026</t>
        </is>
      </c>
      <c r="H12451" t="inlineStr">
        <is>
          <t>12/04/2026</t>
        </is>
      </c>
      <c r="I12451" t="inlineStr">
        <is>
          <t>17/03/2026</t>
        </is>
      </c>
      <c r="J12451" t="inlineStr">
        <is>
          <t>Mỹ thuật / Nghệ thuật / Thiết kế, Bất động sản</t>
        </is>
      </c>
      <c r="K12451" t="inlineStr">
        <is>
          <t>2 - 3 Năm</t>
        </is>
      </c>
      <c r="L12451" s="8">
        <f>HYPERLINK("https://careerviet.vn/vi/tim-viec-lam/graphic-designer-cong-ty-bat-dong-san.35C6C320.html","Xem chi tiết")</f>
        <v/>
      </c>
    </row>
    <row r="12452">
      <c r="B12452" s="9" t="n">
        <v>12450</v>
      </c>
      <c r="C12452" s="10" t="inlineStr">
        <is>
          <t>Kỹ sư Bảo trì &amp; Vận hành Hệ thống</t>
        </is>
      </c>
      <c r="D12452" s="10" t="inlineStr">
        <is>
          <t>GTEL ICT</t>
        </is>
      </c>
      <c r="E12452" s="10" t="inlineStr">
        <is>
          <t>Lương:15 Tr - 22 Tr VND</t>
        </is>
      </c>
      <c r="F12452" s="10" t="inlineStr">
        <is>
          <t>Hà Nội</t>
        </is>
      </c>
      <c r="G12452" s="10" t="inlineStr">
        <is>
          <t>04-04-2026</t>
        </is>
      </c>
      <c r="H12452" s="10" t="inlineStr">
        <is>
          <t>04/04/2026</t>
        </is>
      </c>
      <c r="I12452" s="10" t="inlineStr">
        <is>
          <t>17/03/2026</t>
        </is>
      </c>
      <c r="J12452" s="10" t="inlineStr">
        <is>
          <t>Điện / Điện tử / Điện lạnh / Điện công nghiệp, CNTT - Phần mềm, CNTT - Phần cứng / Mạng</t>
        </is>
      </c>
      <c r="K12452" s="10" t="inlineStr">
        <is>
          <t>2 - 5 Năm</t>
        </is>
      </c>
      <c r="L12452" s="11">
        <f>HYPERLINK("https://careerviet.vn/vi/tim-viec-lam/ky-su-bao-tri-van-hanh-he-thong.35C6C31E.html","Xem chi tiết")</f>
        <v/>
      </c>
      <c r="M12452" s="10" t="n"/>
    </row>
    <row r="12453">
      <c r="B12453" s="7" t="n">
        <v>12451</v>
      </c>
      <c r="C12453" t="inlineStr">
        <is>
          <t>NHÂN VIÊN KINH DOANH KÊNH B2B</t>
        </is>
      </c>
      <c r="D12453" t="inlineStr">
        <is>
          <t>Công Ty CP  Đầu Tư Và Phát Triển Việt Á Châu</t>
        </is>
      </c>
      <c r="E12453" t="inlineStr">
        <is>
          <t>Lương:12 Tr - 15 Tr VND</t>
        </is>
      </c>
      <c r="F12453" t="inlineStr">
        <is>
          <t>Hồ Chí Minh</t>
        </is>
      </c>
      <c r="G12453" t="inlineStr">
        <is>
          <t>11-04-2026</t>
        </is>
      </c>
      <c r="H12453" t="inlineStr">
        <is>
          <t>11/04/2026</t>
        </is>
      </c>
      <c r="I12453" t="inlineStr">
        <is>
          <t>17/03/2026</t>
        </is>
      </c>
      <c r="J12453" t="inlineStr">
        <is>
          <t>Tiếp thị / Marketing, Bán hàng / Kinh doanh, Dệt may / Da giày / Thời trang</t>
        </is>
      </c>
      <c r="K12453" t="inlineStr">
        <is>
          <t>1 - 5 Năm</t>
        </is>
      </c>
      <c r="L12453" s="8">
        <f>HYPERLINK("https://careerviet.vn/vi/tim-viec-lam/nhan-vien-kinh-doanh-kenh-b2b.35C6BC95.html","Xem chi tiết")</f>
        <v/>
      </c>
    </row>
    <row r="12454">
      <c r="B12454" s="9" t="n">
        <v>12452</v>
      </c>
      <c r="C12454" s="10" t="inlineStr">
        <is>
          <t>Content Creator</t>
        </is>
      </c>
      <c r="D12454" s="10" t="inlineStr">
        <is>
          <t>CÔNG TY CỔ PHẦN ULTD THỊNH PHÁT</t>
        </is>
      </c>
      <c r="E12454" s="10" t="inlineStr">
        <is>
          <t>Lương:10 Tr - 15 Tr VND</t>
        </is>
      </c>
      <c r="F12454" s="10" t="inlineStr">
        <is>
          <t>Hà Nội</t>
        </is>
      </c>
      <c r="G12454" s="10" t="inlineStr">
        <is>
          <t>12-04-2026</t>
        </is>
      </c>
      <c r="H12454" s="10" t="inlineStr">
        <is>
          <t>12/04/2026</t>
        </is>
      </c>
      <c r="I12454" s="10" t="inlineStr">
        <is>
          <t>17/03/2026</t>
        </is>
      </c>
      <c r="J12454" s="10" t="inlineStr">
        <is>
          <t>Tiếp thị / Marketing, Dệt may / Da giày / Thời trang, Bán lẻ / Bán sỉ</t>
        </is>
      </c>
      <c r="K12454" s="10" t="inlineStr">
        <is>
          <t>1 - 2 Năm</t>
        </is>
      </c>
      <c r="L12454" s="11">
        <f>HYPERLINK("https://careerviet.vn/vi/tim-viec-lam/content-creator.35C6C325.html","Xem chi tiết")</f>
        <v/>
      </c>
      <c r="M12454" s="10" t="n"/>
    </row>
    <row r="12455">
      <c r="B12455" s="7" t="n">
        <v>12453</v>
      </c>
      <c r="C12455" t="inlineStr">
        <is>
          <t>Thực tập sinh Kế toán</t>
        </is>
      </c>
      <c r="D12455" t="inlineStr">
        <is>
          <t>Công ty Cổ phần Tập đoàn KITA Group</t>
        </is>
      </c>
      <c r="E12455" t="inlineStr">
        <is>
          <t>Lương:3,8 Tr - 4 Tr VND</t>
        </is>
      </c>
      <c r="F12455" t="inlineStr">
        <is>
          <t>Hồ Chí Minh</t>
        </is>
      </c>
      <c r="G12455" t="inlineStr">
        <is>
          <t>30-04-2026</t>
        </is>
      </c>
      <c r="H12455" t="inlineStr">
        <is>
          <t>30/04/2026</t>
        </is>
      </c>
      <c r="I12455" t="inlineStr">
        <is>
          <t>17/03/2026</t>
        </is>
      </c>
      <c r="J12455" t="inlineStr">
        <is>
          <t>Kế toán / Kiểm toán, Ngân hàng, Mới tốt nghiệp / Thực tập</t>
        </is>
      </c>
      <c r="K12455" t="inlineStr">
        <is>
          <t>N/A</t>
        </is>
      </c>
      <c r="L12455" s="8">
        <f>HYPERLINK("https://careerviet.vn/vi/tim-viec-lam/thuc-tap-sinh-ke-toan.35C6C31D.html","Xem chi tiết")</f>
        <v/>
      </c>
    </row>
    <row r="12456">
      <c r="B12456" s="9" t="n">
        <v>12454</v>
      </c>
      <c r="C12456" s="10" t="inlineStr">
        <is>
          <t>Chuyên Viên Bảo Trì</t>
        </is>
      </c>
      <c r="D12456" s="10" t="inlineStr">
        <is>
          <t>Công Ty Hoàng An Nhiên</t>
        </is>
      </c>
      <c r="E12456" s="10" t="inlineStr">
        <is>
          <t>Lương:12 Tr - 13 Tr VND</t>
        </is>
      </c>
      <c r="F12456" s="10" t="inlineStr">
        <is>
          <t>Hà Nội</t>
        </is>
      </c>
      <c r="G12456" s="10" t="inlineStr">
        <is>
          <t>12-04-2026</t>
        </is>
      </c>
      <c r="H12456" s="10" t="inlineStr">
        <is>
          <t>12/04/2026</t>
        </is>
      </c>
      <c r="I12456" s="10" t="inlineStr">
        <is>
          <t>17/03/2026</t>
        </is>
      </c>
      <c r="J12456" s="10" t="inlineStr">
        <is>
          <t>Bảo trì / Sửa chữa</t>
        </is>
      </c>
      <c r="K12456" s="10" t="inlineStr">
        <is>
          <t>2 - 4 Năm</t>
        </is>
      </c>
      <c r="L12456" s="11">
        <f>HYPERLINK("https://careerviet.vn/vi/tim-viec-lam/chuyen-vien-bao-tri.35C6C307.html","Xem chi tiết")</f>
        <v/>
      </c>
      <c r="M12456" s="10" t="n"/>
    </row>
    <row r="12457">
      <c r="B12457" s="7" t="n">
        <v>12455</v>
      </c>
      <c r="C12457" t="inlineStr">
        <is>
          <t>Trưởng Phòng Nhân Sự</t>
        </is>
      </c>
      <c r="D12457" t="inlineStr">
        <is>
          <t>Công Ty TNHH Xuất Nhập Khẩu Thái Châu</t>
        </is>
      </c>
      <c r="E12457" t="inlineStr">
        <is>
          <t>Lương:Cạnh tranh</t>
        </is>
      </c>
      <c r="F12457" t="inlineStr">
        <is>
          <t>Hồ Chí Minh</t>
        </is>
      </c>
      <c r="G12457" t="inlineStr">
        <is>
          <t>11-04-2026</t>
        </is>
      </c>
      <c r="H12457" t="inlineStr">
        <is>
          <t>11/04/2026</t>
        </is>
      </c>
      <c r="I12457" t="inlineStr">
        <is>
          <t>17/03/2026</t>
        </is>
      </c>
      <c r="J12457" t="inlineStr">
        <is>
          <t>Nhân sự, Hành chính / Thư ký, Quản lý điều hành</t>
        </is>
      </c>
      <c r="K12457" t="inlineStr">
        <is>
          <t>7 - 10 Năm</t>
        </is>
      </c>
      <c r="L12457" s="8">
        <f>HYPERLINK("https://careerviet.vn/vi/tim-viec-lam/truong-phong-nhan-su.35C6C31A.html","Xem chi tiết")</f>
        <v/>
      </c>
    </row>
    <row r="12458">
      <c r="B12458" s="9" t="n">
        <v>12456</v>
      </c>
      <c r="C12458" s="10" t="inlineStr">
        <is>
          <t>Nhân viên Dịch vụ khách hàng và Thủ tục hải quan xuất khẩu</t>
        </is>
      </c>
      <c r="D12458" s="10" t="inlineStr">
        <is>
          <t>Công Ty TNHH INOAC Viet Nam</t>
        </is>
      </c>
      <c r="E12458" s="10" t="inlineStr">
        <is>
          <t>Lương:Cạnh tranh</t>
        </is>
      </c>
      <c r="F12458" s="10" t="inlineStr">
        <is>
          <t>Hà NộiVĩnh Phúc</t>
        </is>
      </c>
      <c r="G12458" s="10" t="inlineStr">
        <is>
          <t>15-04-2026</t>
        </is>
      </c>
      <c r="H12458" s="10" t="inlineStr">
        <is>
          <t>15/04/2026</t>
        </is>
      </c>
      <c r="I12458" s="10" t="inlineStr">
        <is>
          <t>17/03/2026</t>
        </is>
      </c>
      <c r="J12458" s="10" t="inlineStr">
        <is>
          <t>Dịch vụ khách hàng</t>
        </is>
      </c>
      <c r="K12458" s="10" t="inlineStr">
        <is>
          <t>1 - 5 Năm</t>
        </is>
      </c>
      <c r="L12458" s="11">
        <f>HYPERLINK("https://careerviet.vn/vi/tim-viec-lam/nhan-vien-dich-vu-khach-hang-va-thu-tuc-hai-quan-xuat-khau.35C6C310.html","Xem chi tiết")</f>
        <v/>
      </c>
      <c r="M12458" s="10" t="n"/>
    </row>
    <row r="12459">
      <c r="B12459" s="7" t="n">
        <v>12457</v>
      </c>
      <c r="C12459" t="inlineStr">
        <is>
          <t>Sales / Marketing Executive</t>
        </is>
      </c>
      <c r="D12459" t="inlineStr">
        <is>
          <t>Công Ty TNHH Techbond MFG (Việt Nam)</t>
        </is>
      </c>
      <c r="E12459" t="inlineStr">
        <is>
          <t>Lương:Cạnh tranh</t>
        </is>
      </c>
      <c r="F12459" t="inlineStr">
        <is>
          <t>Bình Dương</t>
        </is>
      </c>
      <c r="G12459" t="inlineStr">
        <is>
          <t>15-04-2026</t>
        </is>
      </c>
      <c r="H12459" t="inlineStr">
        <is>
          <t>15/04/2026</t>
        </is>
      </c>
      <c r="I12459" t="inlineStr">
        <is>
          <t>17/03/2026</t>
        </is>
      </c>
      <c r="J12459" t="inlineStr">
        <is>
          <t>Tiếp thị / Marketing, Bán hàng / Kinh doanh, Hóa học</t>
        </is>
      </c>
      <c r="K12459" t="inlineStr">
        <is>
          <t>2 - 5 Năm</t>
        </is>
      </c>
      <c r="L12459" s="8">
        <f>HYPERLINK("https://careerviet.vn/vi/tim-viec-lam/sales-marketing-executive.35C6C313.html","Xem chi tiết")</f>
        <v/>
      </c>
    </row>
    <row r="12460">
      <c r="B12460" s="9" t="n">
        <v>12458</v>
      </c>
      <c r="C12460" s="10" t="inlineStr">
        <is>
          <t>kế toán</t>
        </is>
      </c>
      <c r="D12460" s="10" t="inlineStr">
        <is>
          <t>Hải Yến Eye Care - Công Ty TNHH Hải Yến Anh Trần</t>
        </is>
      </c>
      <c r="E12460" s="10" t="inlineStr">
        <is>
          <t>Lương:Cạnh tranh</t>
        </is>
      </c>
      <c r="F12460" s="10" t="inlineStr">
        <is>
          <t>Hồ Chí Minh</t>
        </is>
      </c>
      <c r="G12460" s="10" t="inlineStr">
        <is>
          <t>12-04-2026</t>
        </is>
      </c>
      <c r="H12460" s="10" t="inlineStr">
        <is>
          <t>12/04/2026</t>
        </is>
      </c>
      <c r="I12460" s="10" t="inlineStr">
        <is>
          <t>17/03/2026</t>
        </is>
      </c>
      <c r="J12460" s="10" t="inlineStr">
        <is>
          <t>Kế toán / Kiểm toán</t>
        </is>
      </c>
      <c r="K12460" s="10" t="inlineStr">
        <is>
          <t>Trên 1 Năm</t>
        </is>
      </c>
      <c r="L12460" s="11">
        <f>HYPERLINK("https://careerviet.vn/vi/tim-viec-lam/ke-toan.35C6C28D.html","Xem chi tiết")</f>
        <v/>
      </c>
      <c r="M12460" s="10" t="n"/>
    </row>
    <row r="12461">
      <c r="B12461" s="7" t="n">
        <v>12459</v>
      </c>
      <c r="C12461" t="inlineStr">
        <is>
          <t>Nhân viên giao hàng bằng xe máy</t>
        </is>
      </c>
      <c r="D12461" t="inlineStr">
        <is>
          <t>Công ty Cổ phần Miền Thực Phẩm</t>
        </is>
      </c>
      <c r="E12461" t="inlineStr">
        <is>
          <t>Lương:9 Tr - 13 Tr VND</t>
        </is>
      </c>
      <c r="F12461" t="inlineStr">
        <is>
          <t>Hà Nội</t>
        </is>
      </c>
      <c r="G12461" t="inlineStr">
        <is>
          <t>30-04-2026</t>
        </is>
      </c>
      <c r="H12461" t="inlineStr">
        <is>
          <t>30/04/2026</t>
        </is>
      </c>
      <c r="I12461" t="inlineStr">
        <is>
          <t>17/03/2026</t>
        </is>
      </c>
      <c r="J12461" t="inlineStr">
        <is>
          <t>Thực phẩm &amp; Đồ uống, Bán lẻ / Bán sỉ</t>
        </is>
      </c>
      <c r="K12461" t="inlineStr">
        <is>
          <t>N/A</t>
        </is>
      </c>
      <c r="L12461" s="8">
        <f>HYPERLINK("https://careerviet.vn/vi/tim-viec-lam/nhan-vien-giao-hang-bang-xe-may.35C6BF27.html","Xem chi tiết")</f>
        <v/>
      </c>
    </row>
    <row r="12462">
      <c r="B12462" s="9" t="n">
        <v>12460</v>
      </c>
      <c r="C12462" s="10" t="inlineStr">
        <is>
          <t>Chuyên viên Kiểm soát Tài chính (Chủ đầu tư BĐS)</t>
        </is>
      </c>
      <c r="D12462" s="10" t="inlineStr">
        <is>
          <t>Công ty Cổ phần Tập đoàn KITA Group</t>
        </is>
      </c>
      <c r="E12462" s="10" t="inlineStr">
        <is>
          <t>Lương:20 Tr - 25 Tr VND</t>
        </is>
      </c>
      <c r="F12462" s="10" t="inlineStr">
        <is>
          <t>Hồ Chí Minh</t>
        </is>
      </c>
      <c r="G12462" s="10" t="inlineStr">
        <is>
          <t>30-04-2026</t>
        </is>
      </c>
      <c r="H12462" s="10" t="inlineStr">
        <is>
          <t>30/04/2026</t>
        </is>
      </c>
      <c r="I12462" s="10" t="inlineStr">
        <is>
          <t>17/03/2026</t>
        </is>
      </c>
      <c r="J12462" s="10" t="inlineStr">
        <is>
          <t>Tài chính / Đầu tư, Bất động sản, Ngân hàng</t>
        </is>
      </c>
      <c r="K12462" s="10" t="inlineStr">
        <is>
          <t>2 - 8 Năm</t>
        </is>
      </c>
      <c r="L12462" s="11">
        <f>HYPERLINK("https://careerviet.vn/vi/tim-viec-lam/chuyen-vien-kiem-soat-tai-chinh-chu-dau-tu-bds.35C6C318.html","Xem chi tiết")</f>
        <v/>
      </c>
      <c r="M12462" s="10" t="n"/>
    </row>
    <row r="12463">
      <c r="B12463" s="7" t="n">
        <v>12461</v>
      </c>
      <c r="C12463" t="inlineStr">
        <is>
          <t>Designer</t>
        </is>
      </c>
      <c r="D12463" t="inlineStr">
        <is>
          <t>Hải Yến Eye Care - Công Ty TNHH Hải Yến Anh Trần</t>
        </is>
      </c>
      <c r="E12463" t="inlineStr">
        <is>
          <t>Lương:Cạnh tranh</t>
        </is>
      </c>
      <c r="F12463" t="inlineStr">
        <is>
          <t>Hồ Chí Minh</t>
        </is>
      </c>
      <c r="G12463" t="inlineStr">
        <is>
          <t>12-04-2026</t>
        </is>
      </c>
      <c r="H12463" t="inlineStr">
        <is>
          <t>12/04/2026</t>
        </is>
      </c>
      <c r="I12463" t="inlineStr">
        <is>
          <t>17/03/2026</t>
        </is>
      </c>
      <c r="J12463" t="inlineStr">
        <is>
          <t>Quảng cáo / Đối ngoại / Truyền Thông, Mỹ thuật / Nghệ thuật / Thiết kế, Truyền hình / Báo chí / Biên tập</t>
        </is>
      </c>
      <c r="K12463" t="inlineStr">
        <is>
          <t>Trên 1 Năm</t>
        </is>
      </c>
      <c r="L12463" s="8">
        <f>HYPERLINK("https://careerviet.vn/vi/tim-viec-lam/designer.35C6C27D.html","Xem chi tiết")</f>
        <v/>
      </c>
    </row>
    <row r="12464">
      <c r="B12464" s="9" t="n">
        <v>12462</v>
      </c>
      <c r="C12464" s="10" t="inlineStr">
        <is>
          <t>Sales Admin (B2B)</t>
        </is>
      </c>
      <c r="D12464" s="10" t="inlineStr">
        <is>
          <t>Công ty CP Thành Thành Công - Biên Hòa</t>
        </is>
      </c>
      <c r="E12464" s="10" t="inlineStr">
        <is>
          <t>Lương:Cạnh tranh</t>
        </is>
      </c>
      <c r="F12464" s="10" t="inlineStr">
        <is>
          <t>Hồ Chí Minh</t>
        </is>
      </c>
      <c r="G12464" s="10" t="inlineStr">
        <is>
          <t>11-04-2026</t>
        </is>
      </c>
      <c r="H12464" s="10" t="inlineStr">
        <is>
          <t>11/04/2026</t>
        </is>
      </c>
      <c r="I12464" s="10" t="inlineStr">
        <is>
          <t>17/03/2026</t>
        </is>
      </c>
      <c r="J12464" s="10" t="inlineStr">
        <is>
          <t>Hành chính / Thư ký, Bán hàng / Kinh doanh</t>
        </is>
      </c>
      <c r="K12464" s="10" t="inlineStr">
        <is>
          <t>Trên 2 Năm</t>
        </is>
      </c>
      <c r="L12464" s="11">
        <f>HYPERLINK("https://careerviet.vn/vi/tim-viec-lam/sales-admin-b2b.35C6C31C.html","Xem chi tiết")</f>
        <v/>
      </c>
      <c r="M12464" s="10" t="n"/>
    </row>
    <row r="12465">
      <c r="B12465" s="7" t="n">
        <v>12463</v>
      </c>
      <c r="C12465" t="inlineStr">
        <is>
          <t>Nhân viên bảo trì cơ khí (thợ hàn)</t>
        </is>
      </c>
      <c r="D12465" t="inlineStr">
        <is>
          <t>Công ty CP Thành Thành Công - Biên Hòa</t>
        </is>
      </c>
      <c r="E12465" t="inlineStr">
        <is>
          <t>Lương:Cạnh tranh</t>
        </is>
      </c>
      <c r="F12465" t="inlineStr">
        <is>
          <t>Tây Ninh</t>
        </is>
      </c>
      <c r="G12465" t="inlineStr">
        <is>
          <t>11-04-2026</t>
        </is>
      </c>
      <c r="H12465" t="inlineStr">
        <is>
          <t>11/04/2026</t>
        </is>
      </c>
      <c r="I12465" t="inlineStr">
        <is>
          <t>17/03/2026</t>
        </is>
      </c>
      <c r="J12465" t="inlineStr">
        <is>
          <t>Cơ khí / Ô tô / Tự động hóa, Lao động phổ thông, Bảo trì / Sửa chữa</t>
        </is>
      </c>
      <c r="K12465" t="inlineStr">
        <is>
          <t>1 - 2 Năm</t>
        </is>
      </c>
      <c r="L12465" s="8">
        <f>HYPERLINK("https://careerviet.vn/vi/tim-viec-lam/nhan-vien-bao-tri-co-khi-tho-han.35C6C312.html","Xem chi tiết")</f>
        <v/>
      </c>
    </row>
    <row r="12466">
      <c r="B12466" s="9" t="n">
        <v>12464</v>
      </c>
      <c r="C12466" s="10" t="inlineStr">
        <is>
          <t>Kế toán tổng hợp</t>
        </is>
      </c>
      <c r="D12466" s="10" t="inlineStr">
        <is>
          <t>CÔNG TY CỔ PHẦN TRUYỀN THÔNG 3T</t>
        </is>
      </c>
      <c r="E12466" s="10" t="inlineStr">
        <is>
          <t>Lương:13 Tr - 17 Tr VND</t>
        </is>
      </c>
      <c r="F12466" s="10" t="inlineStr">
        <is>
          <t>Hồ Chí Minh</t>
        </is>
      </c>
      <c r="G12466" s="10" t="inlineStr">
        <is>
          <t>11-04-2026</t>
        </is>
      </c>
      <c r="H12466" s="10" t="inlineStr">
        <is>
          <t>11/04/2026</t>
        </is>
      </c>
      <c r="I12466" s="10" t="inlineStr">
        <is>
          <t>17/03/2026</t>
        </is>
      </c>
      <c r="J12466" s="10" t="inlineStr">
        <is>
          <t>Bán lẻ / Bán sỉ, Kế toán / Kiểm toán</t>
        </is>
      </c>
      <c r="K12466" s="10" t="inlineStr">
        <is>
          <t>Lên đến 2 Năm</t>
        </is>
      </c>
      <c r="L12466" s="11">
        <f>HYPERLINK("https://careerviet.vn/vi/tim-viec-lam/ke-toan-tong-hop.35C6C30E.html","Xem chi tiết")</f>
        <v/>
      </c>
      <c r="M12466" s="10" t="n"/>
    </row>
    <row r="12467">
      <c r="B12467" s="7" t="n">
        <v>12465</v>
      </c>
      <c r="C12467" t="inlineStr">
        <is>
          <t>THỢ CƠ KHÍ TRANG TRẠI (THANH HÓA)</t>
        </is>
      </c>
      <c r="D12467" t="inlineStr">
        <is>
          <t>CÔNG TY CỔ PHẦN THÁI VIỆT CORPORATION</t>
        </is>
      </c>
      <c r="E12467" t="inlineStr">
        <is>
          <t>Lương:10 Tr - 12 Tr VND</t>
        </is>
      </c>
      <c r="F12467" t="inlineStr">
        <is>
          <t>Thanh Hóa</t>
        </is>
      </c>
      <c r="G12467" t="inlineStr">
        <is>
          <t>11-04-2026</t>
        </is>
      </c>
      <c r="H12467" t="inlineStr">
        <is>
          <t>11/04/2026</t>
        </is>
      </c>
      <c r="I12467" t="inlineStr">
        <is>
          <t>17/03/2026</t>
        </is>
      </c>
      <c r="J12467" t="inlineStr">
        <is>
          <t>Cơ khí / Ô tô / Tự động hóa, Điện / Điện tử / Điện lạnh / Điện công nghiệp</t>
        </is>
      </c>
      <c r="K12467" t="inlineStr">
        <is>
          <t>N/A</t>
        </is>
      </c>
      <c r="L12467" s="8">
        <f>HYPERLINK("https://careerviet.vn/vi/tim-viec-lam/tho-co-khi-trang-trai-thanh-hoa.35C6C30C.html","Xem chi tiết")</f>
        <v/>
      </c>
    </row>
    <row r="12468">
      <c r="B12468" s="9" t="n">
        <v>12466</v>
      </c>
      <c r="C12468" s="10" t="inlineStr">
        <is>
          <t>Chuyên Viên Kế Hoạch (Kỹ Sư Kinh Tế Xây Dựng)</t>
        </is>
      </c>
      <c r="D12468" s="10" t="inlineStr">
        <is>
          <t>CÔNG TY CỔ PHẦN DỊCH VỤ VÀ KỸ THUẬT SMC</t>
        </is>
      </c>
      <c r="E12468" s="10" t="inlineStr">
        <is>
          <t>Lương:Cạnh tranh</t>
        </is>
      </c>
      <c r="F12468" s="10" t="inlineStr">
        <is>
          <t>Hồ Chí Minh</t>
        </is>
      </c>
      <c r="G12468" s="10" t="inlineStr">
        <is>
          <t>12-04-2026</t>
        </is>
      </c>
      <c r="H12468" s="10" t="inlineStr">
        <is>
          <t>12/04/2026</t>
        </is>
      </c>
      <c r="I12468" s="10" t="inlineStr">
        <is>
          <t>17/03/2026</t>
        </is>
      </c>
      <c r="J12468" s="10" t="inlineStr">
        <is>
          <t>Xây dựng, Điện / Điện tử / Điện lạnh / Điện công nghiệp</t>
        </is>
      </c>
      <c r="K12468" s="10" t="inlineStr">
        <is>
          <t>Trên 3 Năm</t>
        </is>
      </c>
      <c r="L12468" s="11">
        <f>HYPERLINK("https://careerviet.vn/vi/tim-viec-lam/chuyen-vien-ke-hoach-ky-su-kinh-te-xay-dung.35C6C30F.html","Xem chi tiết")</f>
        <v/>
      </c>
      <c r="M12468" s="10" t="n"/>
    </row>
    <row r="12469">
      <c r="B12469" s="7" t="n">
        <v>12467</v>
      </c>
      <c r="C12469" t="inlineStr">
        <is>
          <t>Sales Account Manager (APAC) - hybrid</t>
        </is>
      </c>
      <c r="D12469" t="inlineStr">
        <is>
          <t>Công ty TNHH VRR Việt Nam</t>
        </is>
      </c>
      <c r="E12469" t="inlineStr">
        <is>
          <t>Lương:2.000 - 3.000 USD</t>
        </is>
      </c>
      <c r="F12469" t="inlineStr">
        <is>
          <t>Long An</t>
        </is>
      </c>
      <c r="G12469" t="inlineStr">
        <is>
          <t>10-04-2026</t>
        </is>
      </c>
      <c r="H12469" t="inlineStr">
        <is>
          <t>10/04/2026</t>
        </is>
      </c>
      <c r="I12469" t="inlineStr">
        <is>
          <t>17/03/2026</t>
        </is>
      </c>
      <c r="J12469" t="inlineStr">
        <is>
          <t>Bán hàng / Kinh doanh, Bán Hàng Kỹ Thuật, Cơ khí / Ô tô / Tự động hóa</t>
        </is>
      </c>
      <c r="K12469" t="inlineStr">
        <is>
          <t>3 - 5 Năm</t>
        </is>
      </c>
      <c r="L12469" s="8">
        <f>HYPERLINK("https://careerviet.vn/vi/tim-viec-lam/sales-account-manager-apac-hybrid.35C6C2F6.html","Xem chi tiết")</f>
        <v/>
      </c>
    </row>
    <row r="12470">
      <c r="B12470" s="9" t="n">
        <v>12468</v>
      </c>
      <c r="C12470" s="10" t="inlineStr">
        <is>
          <t>Cộng tác viên MC Livestream</t>
        </is>
      </c>
      <c r="D12470" s="10" t="inlineStr">
        <is>
          <t>Công ty Cổ phần IntelLife</t>
        </is>
      </c>
      <c r="E12470" s="10" t="inlineStr">
        <is>
          <t>Lương:Trên 10 Tr VND</t>
        </is>
      </c>
      <c r="F12470" s="10" t="inlineStr">
        <is>
          <t>Hà Nội</t>
        </is>
      </c>
      <c r="G12470" s="10" t="inlineStr">
        <is>
          <t>31-05-2026</t>
        </is>
      </c>
      <c r="H12470" s="10" t="inlineStr">
        <is>
          <t>31/05/2026</t>
        </is>
      </c>
      <c r="I12470" s="10" t="inlineStr">
        <is>
          <t>17/03/2026</t>
        </is>
      </c>
      <c r="J12470" s="10" t="inlineStr">
        <is>
          <t>Bán hàng / Kinh doanh, Tiếp thị trực tuyến, Thương mại điện tử</t>
        </is>
      </c>
      <c r="K12470" s="10" t="inlineStr">
        <is>
          <t>1 - 2 Năm</t>
        </is>
      </c>
      <c r="L12470" s="11">
        <f>HYPERLINK("https://careerviet.vn/vi/tim-viec-lam/cong-tac-vien-mc-livestream.35C6C305.html","Xem chi tiết")</f>
        <v/>
      </c>
      <c r="M12470" s="10" t="n"/>
    </row>
    <row r="12471">
      <c r="B12471" s="7" t="n">
        <v>12469</v>
      </c>
      <c r="C12471" t="inlineStr">
        <is>
          <t>Nhân viên bảo trì - Tây Ninh</t>
        </is>
      </c>
      <c r="D12471" t="inlineStr">
        <is>
          <t>Công Ty TNHH Điều Intersnack Việt Nam</t>
        </is>
      </c>
      <c r="E12471" t="inlineStr">
        <is>
          <t>Lương:Cạnh tranh</t>
        </is>
      </c>
      <c r="F12471" t="inlineStr">
        <is>
          <t>Tây Ninh</t>
        </is>
      </c>
      <c r="G12471" t="inlineStr">
        <is>
          <t>30-04-2026</t>
        </is>
      </c>
      <c r="H12471" t="inlineStr">
        <is>
          <t>30/04/2026</t>
        </is>
      </c>
      <c r="I12471" t="inlineStr">
        <is>
          <t>17/03/2026</t>
        </is>
      </c>
      <c r="J12471" t="inlineStr">
        <is>
          <t>Bảo trì / Sửa chữa, Điện / Điện tử / Điện lạnh / Điện công nghiệp</t>
        </is>
      </c>
      <c r="K12471" t="inlineStr">
        <is>
          <t>Chưa có kinh nghiệm</t>
        </is>
      </c>
      <c r="L12471" s="8">
        <f>HYPERLINK("https://careerviet.vn/vi/tim-viec-lam/nhan-vien-bao-tri-tay-ninh.35C6C2FF.html","Xem chi tiết")</f>
        <v/>
      </c>
    </row>
    <row r="12472">
      <c r="B12472" s="9" t="n">
        <v>12470</v>
      </c>
      <c r="C12472" s="10" t="inlineStr">
        <is>
          <t>Chuyên viên nghiệp vụ Bảo hiểm Con người - Trụ sở chính</t>
        </is>
      </c>
      <c r="D12472" s="10" t="inlineStr">
        <is>
          <t>TỔNG CÔNG TY CỔ PHẦN BẢO HIỂM HÙNG VƯƠNG</t>
        </is>
      </c>
      <c r="E12472" s="10" t="inlineStr">
        <is>
          <t>Lương:Cạnh tranh</t>
        </is>
      </c>
      <c r="F12472" s="10" t="inlineStr">
        <is>
          <t>Hà Nội</t>
        </is>
      </c>
      <c r="G12472" s="10" t="inlineStr">
        <is>
          <t>14-04-2026</t>
        </is>
      </c>
      <c r="H12472" s="10" t="inlineStr">
        <is>
          <t>14/04/2026</t>
        </is>
      </c>
      <c r="I12472" s="10" t="inlineStr">
        <is>
          <t>17/03/2026</t>
        </is>
      </c>
      <c r="J12472" s="10" t="inlineStr">
        <is>
          <t>Bảo hiểm</t>
        </is>
      </c>
      <c r="K12472" s="10" t="inlineStr">
        <is>
          <t>Trên 1 Năm</t>
        </is>
      </c>
      <c r="L12472" s="11">
        <f>HYPERLINK("https://careerviet.vn/vi/tim-viec-lam/chuyen-vien-nghiep-vu-bao-hiem-con-nguoi-tru-so-chinh.35C6C303.html","Xem chi tiết")</f>
        <v/>
      </c>
      <c r="M12472" s="10" t="n"/>
    </row>
    <row r="12473">
      <c r="B12473" s="7" t="n">
        <v>12471</v>
      </c>
      <c r="C12473" t="inlineStr">
        <is>
          <t>Nhân viên phụ kho Hà Nội</t>
        </is>
      </c>
      <c r="D12473" t="inlineStr">
        <is>
          <t>Công ty cổ phần văn phòng phẩm Hồng Hà</t>
        </is>
      </c>
      <c r="E12473" t="inlineStr">
        <is>
          <t>Lương:8 Tr - 10 Tr VND</t>
        </is>
      </c>
      <c r="F12473" t="inlineStr">
        <is>
          <t>Hà Nội</t>
        </is>
      </c>
      <c r="G12473" t="inlineStr">
        <is>
          <t>13-04-2026</t>
        </is>
      </c>
      <c r="H12473" t="inlineStr">
        <is>
          <t>13/04/2026</t>
        </is>
      </c>
      <c r="I12473" t="inlineStr">
        <is>
          <t>17/03/2026</t>
        </is>
      </c>
      <c r="J12473" t="inlineStr">
        <is>
          <t>Vận chuyển / Giao nhận / Kho vận</t>
        </is>
      </c>
      <c r="K12473" t="inlineStr">
        <is>
          <t>1 - 2 Năm</t>
        </is>
      </c>
      <c r="L12473" s="8">
        <f>HYPERLINK("https://careerviet.vn/vi/tim-viec-lam/nhan-vien-phu-kho-ha-noi.35C6C2FE.html","Xem chi tiết")</f>
        <v/>
      </c>
    </row>
    <row r="12474">
      <c r="B12474" s="9" t="n">
        <v>12472</v>
      </c>
      <c r="C12474" s="10" t="inlineStr">
        <is>
          <t>Chuyên viên kiểm định mô hình, Phòng Quản trị rủi ro tích hợp, Khối Quản trị rủi ro</t>
        </is>
      </c>
      <c r="D12474" s="10" t="inlineStr">
        <is>
          <t>Ngân hàng TMCP Đại Chúng Việt Nam - PVcomBank</t>
        </is>
      </c>
      <c r="E12474" s="10" t="inlineStr">
        <is>
          <t>Lương:Cạnh tranh</t>
        </is>
      </c>
      <c r="F12474" s="10" t="inlineStr">
        <is>
          <t>Hà Nội</t>
        </is>
      </c>
      <c r="G12474" s="10" t="inlineStr">
        <is>
          <t>12-04-2026</t>
        </is>
      </c>
      <c r="H12474" s="10" t="inlineStr">
        <is>
          <t>12/04/2026</t>
        </is>
      </c>
      <c r="I12474" s="10" t="inlineStr">
        <is>
          <t>17/03/2026</t>
        </is>
      </c>
      <c r="J12474" s="10" t="inlineStr">
        <is>
          <t>Kế toán / Kiểm toán, Ngân hàng</t>
        </is>
      </c>
      <c r="K12474" s="10" t="inlineStr">
        <is>
          <t>1 - 3 Năm</t>
        </is>
      </c>
      <c r="L12474" s="11">
        <f>HYPERLINK("https://careerviet.vn/vi/tim-viec-lam/chuyen-vien-kiem-dinh-mo-hinh-phong-quan-tri-rui-ro-tich-hop-khoi-quan-tri-rui-ro.35C6C302.html","Xem chi tiết")</f>
        <v/>
      </c>
      <c r="M12474" s="10" t="n"/>
    </row>
    <row r="12475">
      <c r="B12475" s="7" t="n">
        <v>12473</v>
      </c>
      <c r="C12475" t="inlineStr">
        <is>
          <t>Chuyên viên tuyển dụng</t>
        </is>
      </c>
      <c r="D12475" t="inlineStr">
        <is>
          <t>Công Ty Cổ Phần Tập Đoàn TH</t>
        </is>
      </c>
      <c r="E12475" t="inlineStr">
        <is>
          <t>Lương:Cạnh tranh</t>
        </is>
      </c>
      <c r="F12475" t="inlineStr">
        <is>
          <t>Hà Nội</t>
        </is>
      </c>
      <c r="G12475" t="inlineStr">
        <is>
          <t>30-04-2026</t>
        </is>
      </c>
      <c r="H12475" t="inlineStr">
        <is>
          <t>30/04/2026</t>
        </is>
      </c>
      <c r="I12475" t="inlineStr">
        <is>
          <t>17/03/2026</t>
        </is>
      </c>
      <c r="J12475" t="inlineStr">
        <is>
          <t>Nhân sự, Hành chính / Thư ký</t>
        </is>
      </c>
      <c r="K12475" t="inlineStr">
        <is>
          <t>3 - 4 Năm</t>
        </is>
      </c>
      <c r="L12475" s="8">
        <f>HYPERLINK("https://careerviet.vn/vi/tim-viec-lam/chuyen-vien-tuyen-dung.35C6C301.html","Xem chi tiết")</f>
        <v/>
      </c>
    </row>
    <row r="12476">
      <c r="B12476" s="9" t="n">
        <v>12474</v>
      </c>
      <c r="C12476" s="10" t="inlineStr">
        <is>
          <t>Chuyên viên định giá Hội sở,  Phòng định giá Hội Sở, Khối Tái thẩm và phê duyệt</t>
        </is>
      </c>
      <c r="D12476" s="10" t="inlineStr">
        <is>
          <t>Ngân hàng TMCP Đại Chúng Việt Nam - PVcomBank</t>
        </is>
      </c>
      <c r="E12476" s="10" t="inlineStr">
        <is>
          <t>Lương:Cạnh tranh</t>
        </is>
      </c>
      <c r="F12476" s="10" t="inlineStr">
        <is>
          <t>Hà Nội</t>
        </is>
      </c>
      <c r="G12476" s="10" t="inlineStr">
        <is>
          <t>12-04-2026</t>
        </is>
      </c>
      <c r="H12476" s="10" t="inlineStr">
        <is>
          <t>12/04/2026</t>
        </is>
      </c>
      <c r="I12476" s="10" t="inlineStr">
        <is>
          <t>17/03/2026</t>
        </is>
      </c>
      <c r="J12476" s="10" t="inlineStr">
        <is>
          <t>Ngân hàng</t>
        </is>
      </c>
      <c r="K12476" s="10" t="inlineStr">
        <is>
          <t>1 - 5 Năm</t>
        </is>
      </c>
      <c r="L12476" s="11">
        <f>HYPERLINK("https://careerviet.vn/vi/tim-viec-lam/chuyen-vien-dinh-gia-hoi-so-phong-dinh-gia-hoi-so-khoi-tai-tham-va-phe-duyet.35C6C2FB.html","Xem chi tiết")</f>
        <v/>
      </c>
      <c r="M12476" s="10" t="n"/>
    </row>
    <row r="12477">
      <c r="B12477" s="7" t="n">
        <v>12475</v>
      </c>
      <c r="C12477" t="inlineStr">
        <is>
          <t>Chuyên gia quản trị rủi ro tích hợp, Phòng Quản trị rủi ro tích hợp, Khối Quản trị rủi ro</t>
        </is>
      </c>
      <c r="D12477" t="inlineStr">
        <is>
          <t>Ngân hàng TMCP Đại Chúng Việt Nam - PVcomBank</t>
        </is>
      </c>
      <c r="E12477" t="inlineStr">
        <is>
          <t>Lương:Cạnh tranh</t>
        </is>
      </c>
      <c r="F12477" t="inlineStr">
        <is>
          <t>Hà Nội</t>
        </is>
      </c>
      <c r="G12477" t="inlineStr">
        <is>
          <t>12-04-2026</t>
        </is>
      </c>
      <c r="H12477" t="inlineStr">
        <is>
          <t>12/04/2026</t>
        </is>
      </c>
      <c r="I12477" t="inlineStr">
        <is>
          <t>17/03/2026</t>
        </is>
      </c>
      <c r="J12477" t="inlineStr">
        <is>
          <t>Ngân hàng</t>
        </is>
      </c>
      <c r="K12477" t="inlineStr">
        <is>
          <t>5 - 7 Năm</t>
        </is>
      </c>
      <c r="L12477" s="8">
        <f>HYPERLINK("https://careerviet.vn/vi/tim-viec-lam/chuyen-gia-quan-tri-rui-ro-tich-hop-phong-quan-tri-rui-ro-tich-hop-khoi-quan-tri-rui-ro.35C6C2F9.html","Xem chi tiết")</f>
        <v/>
      </c>
    </row>
    <row r="12478">
      <c r="B12478" s="9" t="n">
        <v>12476</v>
      </c>
      <c r="C12478" s="10" t="inlineStr">
        <is>
          <t>HR Generalist (Tech Startup)</t>
        </is>
      </c>
      <c r="D12478" s="10" t="inlineStr">
        <is>
          <t>CÔNG TY TNHH SCIFATE VN</t>
        </is>
      </c>
      <c r="E12478" s="10" t="inlineStr">
        <is>
          <t>Lương:Cạnh tranh</t>
        </is>
      </c>
      <c r="F12478" s="10" t="inlineStr">
        <is>
          <t>Hồ Chí Minh</t>
        </is>
      </c>
      <c r="G12478" s="10" t="inlineStr">
        <is>
          <t>15-04-2026</t>
        </is>
      </c>
      <c r="H12478" s="10" t="inlineStr">
        <is>
          <t>15/04/2026</t>
        </is>
      </c>
      <c r="I12478" s="10" t="inlineStr">
        <is>
          <t>17/03/2026</t>
        </is>
      </c>
      <c r="J12478" s="10" t="inlineStr">
        <is>
          <t>Nhân sự</t>
        </is>
      </c>
      <c r="K12478" s="10" t="inlineStr">
        <is>
          <t>2 - 3 Năm</t>
        </is>
      </c>
      <c r="L12478" s="11">
        <f>HYPERLINK("https://careerviet.vn/vi/tim-viec-lam/hr-generalist-tech-startup.35C6C2EB.html","Xem chi tiết")</f>
        <v/>
      </c>
      <c r="M12478" s="10" t="n"/>
    </row>
    <row r="12479">
      <c r="B12479" s="7" t="n">
        <v>12477</v>
      </c>
      <c r="C12479" t="inlineStr">
        <is>
          <t>Sample Material Procurement Lead (Upper team)</t>
        </is>
      </c>
      <c r="D12479" t="inlineStr">
        <is>
          <t>CÔNG TY TNHH POUYUEN VIỆT NAM</t>
        </is>
      </c>
      <c r="E12479" t="inlineStr">
        <is>
          <t>Lương:Cạnh tranh</t>
        </is>
      </c>
      <c r="F12479" t="inlineStr">
        <is>
          <t>Hồ Chí Minh</t>
        </is>
      </c>
      <c r="G12479" t="inlineStr">
        <is>
          <t>30-04-2026</t>
        </is>
      </c>
      <c r="H12479" t="inlineStr">
        <is>
          <t>30/04/2026</t>
        </is>
      </c>
      <c r="I12479" t="inlineStr">
        <is>
          <t>17/03/2026</t>
        </is>
      </c>
      <c r="J12479" t="inlineStr">
        <is>
          <t>Dệt may / Da giày / Thời trang, Thu mua / Vật tư, Sản xuất / Vận hành sản xuất</t>
        </is>
      </c>
      <c r="K12479" t="inlineStr">
        <is>
          <t>5 - 8 Năm</t>
        </is>
      </c>
      <c r="L12479" s="8">
        <f>HYPERLINK("https://careerviet.vn/vi/tim-viec-lam/sample-material-procurement-lead-upper-team.35C6C2F7.html","Xem chi tiết")</f>
        <v/>
      </c>
    </row>
    <row r="12480">
      <c r="B12480" s="9" t="n">
        <v>12478</v>
      </c>
      <c r="C12480" s="10" t="inlineStr">
        <is>
          <t>Chuyên viên quản trị rủi ro tích hợp, Phòng Quản trị rủi ro tich hợp, Khối Quản trị rủi ro</t>
        </is>
      </c>
      <c r="D12480" s="10" t="inlineStr">
        <is>
          <t>Ngân hàng TMCP Đại Chúng Việt Nam - PVcomBank</t>
        </is>
      </c>
      <c r="E12480" s="10" t="inlineStr">
        <is>
          <t>Lương:Cạnh tranh</t>
        </is>
      </c>
      <c r="F12480" s="10" t="inlineStr">
        <is>
          <t>Hà Nội</t>
        </is>
      </c>
      <c r="G12480" s="10" t="inlineStr">
        <is>
          <t>12-04-2026</t>
        </is>
      </c>
      <c r="H12480" s="10" t="inlineStr">
        <is>
          <t>12/04/2026</t>
        </is>
      </c>
      <c r="I12480" s="10" t="inlineStr">
        <is>
          <t>17/03/2026</t>
        </is>
      </c>
      <c r="J12480" s="10" t="inlineStr">
        <is>
          <t>Ngân hàng</t>
        </is>
      </c>
      <c r="K12480" s="10" t="inlineStr">
        <is>
          <t>1 - 3 Năm</t>
        </is>
      </c>
      <c r="L12480" s="11">
        <f>HYPERLINK("https://careerviet.vn/vi/tim-viec-lam/chuyen-vien-quan-tri-rui-ro-tich-hop-phong-quan-tri-rui-ro-tich-hop-khoi-quan-tri-rui-ro.35C6C2F5.html","Xem chi tiết")</f>
        <v/>
      </c>
      <c r="M12480" s="10" t="n"/>
    </row>
    <row r="12481">
      <c r="B12481" s="7" t="n">
        <v>12479</v>
      </c>
      <c r="C12481" t="inlineStr">
        <is>
          <t>Nhân Viên Điều Phối Hàng Hóa</t>
        </is>
      </c>
      <c r="D12481" t="inlineStr">
        <is>
          <t>CÔNG TY TRÁCH NHIỆM HỮU HẠN THỤC SAN NGUYỄN</t>
        </is>
      </c>
      <c r="E12481" t="inlineStr">
        <is>
          <t>Lương:Trên 10 Tr VND</t>
        </is>
      </c>
      <c r="F12481" t="inlineStr">
        <is>
          <t>Khánh Hòa</t>
        </is>
      </c>
      <c r="G12481" t="inlineStr">
        <is>
          <t>12-04-2026</t>
        </is>
      </c>
      <c r="H12481" t="inlineStr">
        <is>
          <t>12/04/2026</t>
        </is>
      </c>
      <c r="I12481" t="inlineStr">
        <is>
          <t>17/03/2026</t>
        </is>
      </c>
      <c r="J12481" t="inlineStr">
        <is>
          <t>Bán lẻ / Bán sỉ, Thu mua / Vật tư</t>
        </is>
      </c>
      <c r="K12481" t="inlineStr">
        <is>
          <t>1 - 3 NămĐịa điểm</t>
        </is>
      </c>
      <c r="L12481" s="8">
        <f>HYPERLINK("https://careerviet.vn/vi/tim-viec-lam/nhan-vien-dieu-phoi-hang-hoa.35C6C2C2.html","Xem chi tiết")</f>
        <v/>
      </c>
    </row>
    <row r="12482">
      <c r="B12482" s="9" t="n">
        <v>12480</v>
      </c>
      <c r="C12482" s="10" t="inlineStr">
        <is>
          <t>Tổ Trưởng Tổ Hàn (Cơ Khí)</t>
        </is>
      </c>
      <c r="D12482" s="10" t="inlineStr">
        <is>
          <t>Headhunter HRchannels Group</t>
        </is>
      </c>
      <c r="E12482" s="10" t="inlineStr">
        <is>
          <t>Lương:12 Tr - 20 Tr VND</t>
        </is>
      </c>
      <c r="F12482" s="10" t="inlineStr">
        <is>
          <t>Bắc NinhBắc GiangHồ Chí Minh</t>
        </is>
      </c>
      <c r="G12482" s="10" t="inlineStr">
        <is>
          <t>12-04-2026</t>
        </is>
      </c>
      <c r="H12482" s="10" t="inlineStr">
        <is>
          <t>12/04/2026</t>
        </is>
      </c>
      <c r="I12482" s="10" t="inlineStr">
        <is>
          <t>17/03/2026</t>
        </is>
      </c>
      <c r="J12482" s="10" t="inlineStr">
        <is>
          <t>Cơ khí / Ô tô / Tự động hóa, Bảo trì / Sửa chữa</t>
        </is>
      </c>
      <c r="K12482" s="10" t="inlineStr">
        <is>
          <t>3 - 10 Năm</t>
        </is>
      </c>
      <c r="L12482" s="11">
        <f>HYPERLINK("https://careerviet.vn/vi/tim-viec-lam/to-truong-to-han-co-khi.35C6C261.html","Xem chi tiết")</f>
        <v/>
      </c>
      <c r="M12482" s="10" t="n"/>
    </row>
    <row r="12483">
      <c r="B12483" s="7" t="n">
        <v>12481</v>
      </c>
      <c r="C12483" t="inlineStr">
        <is>
          <t>Nhân viên kế toán xuất hóa đơn</t>
        </is>
      </c>
      <c r="D12483" t="inlineStr">
        <is>
          <t>CÔNG TY CỔ PHẦN PHÁT TRIỂN CƠ ĐIỆN LẠNH HOÀNG ĐẠT</t>
        </is>
      </c>
      <c r="E12483" t="inlineStr">
        <is>
          <t>Lương:9 Tr - 11 Tr VND</t>
        </is>
      </c>
      <c r="F12483" t="inlineStr">
        <is>
          <t>Hà Nội</t>
        </is>
      </c>
      <c r="G12483" t="inlineStr">
        <is>
          <t>11-04-2026</t>
        </is>
      </c>
      <c r="H12483" t="inlineStr">
        <is>
          <t>11/04/2026</t>
        </is>
      </c>
      <c r="I12483" t="inlineStr">
        <is>
          <t>17/03/2026</t>
        </is>
      </c>
      <c r="J12483" t="inlineStr">
        <is>
          <t>Kế toán / Kiểm toán</t>
        </is>
      </c>
      <c r="K12483" t="inlineStr">
        <is>
          <t>Lên đến 1 Năm</t>
        </is>
      </c>
      <c r="L12483" s="8">
        <f>HYPERLINK("https://careerviet.vn/vi/tim-viec-lam/nhan-vien-ke-toan-xuat-hoa-don.35C6C306.html","Xem chi tiết")</f>
        <v/>
      </c>
    </row>
    <row r="12484">
      <c r="B12484" s="9" t="n">
        <v>12482</v>
      </c>
      <c r="C12484" s="10" t="inlineStr">
        <is>
          <t>Master Planner</t>
        </is>
      </c>
      <c r="D12484" s="10" t="inlineStr">
        <is>
          <t>XP Power  Vietnam</t>
        </is>
      </c>
      <c r="E12484" s="10" t="inlineStr">
        <is>
          <t>Lương:Cạnh tranh</t>
        </is>
      </c>
      <c r="F12484" s="10" t="inlineStr">
        <is>
          <t>Bình Dương</t>
        </is>
      </c>
      <c r="G12484" s="10" t="inlineStr">
        <is>
          <t>12-04-2026</t>
        </is>
      </c>
      <c r="H12484" s="10" t="inlineStr">
        <is>
          <t>12/04/2026</t>
        </is>
      </c>
      <c r="I12484" s="10" t="inlineStr">
        <is>
          <t>17/03/2026</t>
        </is>
      </c>
      <c r="J12484" s="10" t="inlineStr">
        <is>
          <t>Điện / Điện tử / Điện lạnh / Điện công nghiệp</t>
        </is>
      </c>
      <c r="K12484" s="10" t="inlineStr">
        <is>
          <t>3 - 5 Năm</t>
        </is>
      </c>
      <c r="L12484" s="11">
        <f>HYPERLINK("https://careerviet.vn/vi/tim-viec-lam/master-planner.35C6C2FD.html","Xem chi tiết")</f>
        <v/>
      </c>
      <c r="M12484" s="10" t="n"/>
    </row>
    <row r="12485">
      <c r="B12485" s="7" t="n">
        <v>12483</v>
      </c>
      <c r="C12485" t="inlineStr">
        <is>
          <t>[HÀ NỘI] NHÂN VIÊN KINH DOANH</t>
        </is>
      </c>
      <c r="D12485" t="inlineStr">
        <is>
          <t>Công ty TNHH SAPPORO Vietnam</t>
        </is>
      </c>
      <c r="E12485" t="inlineStr">
        <is>
          <t>Lương:Cạnh tranh</t>
        </is>
      </c>
      <c r="F12485" t="inlineStr">
        <is>
          <t>Hà Nội</t>
        </is>
      </c>
      <c r="G12485" t="inlineStr">
        <is>
          <t>15-04-2026</t>
        </is>
      </c>
      <c r="H12485" t="inlineStr">
        <is>
          <t>15/04/2026</t>
        </is>
      </c>
      <c r="I12485" t="inlineStr">
        <is>
          <t>17/03/2026</t>
        </is>
      </c>
      <c r="J12485" t="inlineStr">
        <is>
          <t>Bán hàng / Kinh doanh, Thực phẩm &amp; Đồ uống, Tiếp thị / Marketing</t>
        </is>
      </c>
      <c r="K12485" t="inlineStr">
        <is>
          <t>N/A</t>
        </is>
      </c>
      <c r="L12485" s="8">
        <f>HYPERLINK("https://careerviet.vn/vi/tim-viec-lam/ha-noi-nhan-vien-kinh-doanh.35C6C2F4.html","Xem chi tiết")</f>
        <v/>
      </c>
    </row>
    <row r="12486">
      <c r="B12486" s="9" t="n">
        <v>12484</v>
      </c>
      <c r="C12486" s="10" t="inlineStr">
        <is>
          <t>SALE ADMIN</t>
        </is>
      </c>
      <c r="D12486" s="10" t="inlineStr">
        <is>
          <t>CÔNG TY CỔ PHẦN THƯƠNG MẠI SATORI</t>
        </is>
      </c>
      <c r="E12486" s="10" t="inlineStr">
        <is>
          <t>Lương:7 Tr - 10 Tr VND</t>
        </is>
      </c>
      <c r="F12486" s="10" t="inlineStr">
        <is>
          <t>Hồ Chí Minh</t>
        </is>
      </c>
      <c r="G12486" s="10" t="inlineStr">
        <is>
          <t>30-04-2026</t>
        </is>
      </c>
      <c r="H12486" s="10" t="inlineStr">
        <is>
          <t>30/04/2026</t>
        </is>
      </c>
      <c r="I12486" s="10" t="inlineStr">
        <is>
          <t>17/03/2026</t>
        </is>
      </c>
      <c r="J12486" s="10" t="inlineStr">
        <is>
          <t>Bán hàng / Kinh doanh, Thực phẩm &amp; Đồ uống</t>
        </is>
      </c>
      <c r="K12486" s="10" t="inlineStr">
        <is>
          <t>1 - 2 Năm</t>
        </is>
      </c>
      <c r="L12486" s="11">
        <f>HYPERLINK("https://careerviet.vn/vi/tim-viec-lam/sale-admin.35C6C304.html","Xem chi tiết")</f>
        <v/>
      </c>
      <c r="M12486" s="10" t="n"/>
    </row>
    <row r="12487">
      <c r="B12487" s="7" t="n">
        <v>12485</v>
      </c>
      <c r="C12487" t="inlineStr">
        <is>
          <t>Nhân Viên Kiểm Soát Dữ Liệu Kho EC - Làm Việc Tại Khoang Mái, Thạch Thất</t>
        </is>
      </c>
      <c r="D12487" t="inlineStr">
        <is>
          <t>Công ty Cổ phần IntelLife</t>
        </is>
      </c>
      <c r="E12487" t="inlineStr">
        <is>
          <t>Lương:Cạnh tranh</t>
        </is>
      </c>
      <c r="F12487" t="inlineStr">
        <is>
          <t>Hà Nội</t>
        </is>
      </c>
      <c r="G12487" t="inlineStr">
        <is>
          <t>30-04-2026</t>
        </is>
      </c>
      <c r="H12487" t="inlineStr">
        <is>
          <t>30/04/2026</t>
        </is>
      </c>
      <c r="I12487" t="inlineStr">
        <is>
          <t>17/03/2026</t>
        </is>
      </c>
      <c r="J12487" t="inlineStr">
        <is>
          <t>Vận chuyển / Giao nhận / Kho vận, Thương mại điện tử, Hàng gia dụng / Chăm sóc cá nhân</t>
        </is>
      </c>
      <c r="K12487" t="inlineStr">
        <is>
          <t>Trên 1 Năm</t>
        </is>
      </c>
      <c r="L12487" s="8">
        <f>HYPERLINK("https://careerviet.vn/vi/tim-viec-lam/nhan-vien-kiem-soat-du-lieu-kho-ec-lam-viec-tai-khoang-mai-thach-that.35C6C2CA.html","Xem chi tiết")</f>
        <v/>
      </c>
    </row>
    <row r="12488">
      <c r="B12488" s="9" t="n">
        <v>12486</v>
      </c>
      <c r="C12488" s="10" t="inlineStr">
        <is>
          <t>QCQA SUP</t>
        </is>
      </c>
      <c r="D12488" s="10" t="inlineStr">
        <is>
          <t>Công Ty TNHH CJ Foods Việt Nam</t>
        </is>
      </c>
      <c r="E12488" s="10" t="inlineStr">
        <is>
          <t>Lương:Cạnh tranh</t>
        </is>
      </c>
      <c r="F12488" s="10" t="inlineStr">
        <is>
          <t>Bà Rịa - Vũng Tàu</t>
        </is>
      </c>
      <c r="G12488" s="10" t="inlineStr">
        <is>
          <t>29-03-2026</t>
        </is>
      </c>
      <c r="H12488" s="10" t="inlineStr">
        <is>
          <t>29/03/2026</t>
        </is>
      </c>
      <c r="I12488" s="10" t="inlineStr">
        <is>
          <t>17/03/2026</t>
        </is>
      </c>
      <c r="J12488" s="10" t="inlineStr">
        <is>
          <t>Sản xuất / Vận hành sản xuất</t>
        </is>
      </c>
      <c r="K12488" s="10" t="inlineStr">
        <is>
          <t>2 - 5 Năm</t>
        </is>
      </c>
      <c r="L12488" s="11">
        <f>HYPERLINK("https://careerviet.vn/vi/tim-viec-lam/qcqa-sup.35C66084.html","Xem chi tiết")</f>
        <v/>
      </c>
      <c r="M12488" s="10" t="n"/>
    </row>
    <row r="12489">
      <c r="B12489" s="7" t="n">
        <v>12487</v>
      </c>
      <c r="C12489" t="inlineStr">
        <is>
          <t>Hà Nội - Kế toán tổng hợp</t>
        </is>
      </c>
      <c r="D12489" t="inlineStr">
        <is>
          <t>Công Ty Cổ Phần Thép Việt Xô Hà Nội</t>
        </is>
      </c>
      <c r="E12489" t="inlineStr">
        <is>
          <t>Lương:18 Tr - 22 Tr VND</t>
        </is>
      </c>
      <c r="F12489" t="inlineStr">
        <is>
          <t>Hà Nội</t>
        </is>
      </c>
      <c r="G12489" t="inlineStr">
        <is>
          <t>15-04-2026</t>
        </is>
      </c>
      <c r="H12489" t="inlineStr">
        <is>
          <t>15/04/2026</t>
        </is>
      </c>
      <c r="I12489" t="inlineStr">
        <is>
          <t>17/03/2026</t>
        </is>
      </c>
      <c r="J12489" t="inlineStr">
        <is>
          <t>Bán hàng / Kinh doanh, Bán lẻ / Bán sỉ, Sản xuất / Vận hành sản xuất</t>
        </is>
      </c>
      <c r="K12489" t="inlineStr">
        <is>
          <t>2 - 3 Năm</t>
        </is>
      </c>
      <c r="L12489" s="8">
        <f>HYPERLINK("https://careerviet.vn/vi/tim-viec-lam/ha-noi-ke-toan-tong-hop.35C6C2D3.html","Xem chi tiết")</f>
        <v/>
      </c>
    </row>
    <row r="12490">
      <c r="B12490" s="9" t="n">
        <v>12488</v>
      </c>
      <c r="C12490" s="10" t="inlineStr">
        <is>
          <t>Chuyên gia quản trị và phân tích danh mục, Phòng Quản trị rủi ro và phân tích danh mục, Khối Quản trị rủi ro</t>
        </is>
      </c>
      <c r="D12490" s="10" t="inlineStr">
        <is>
          <t>Ngân hàng TMCP Đại Chúng Việt Nam - PVcomBank</t>
        </is>
      </c>
      <c r="E12490" s="10" t="inlineStr">
        <is>
          <t>Lương:Cạnh tranh</t>
        </is>
      </c>
      <c r="F12490" s="10" t="inlineStr">
        <is>
          <t>Hà Nội</t>
        </is>
      </c>
      <c r="G12490" s="10" t="inlineStr">
        <is>
          <t>12-04-2026</t>
        </is>
      </c>
      <c r="H12490" s="10" t="inlineStr">
        <is>
          <t>12/04/2026</t>
        </is>
      </c>
      <c r="I12490" s="10" t="inlineStr">
        <is>
          <t>17/03/2026</t>
        </is>
      </c>
      <c r="J12490" s="10" t="inlineStr">
        <is>
          <t>Kế toán / Kiểm toán, Ngân hàng</t>
        </is>
      </c>
      <c r="K12490" s="10" t="inlineStr">
        <is>
          <t>5 - 7 Năm</t>
        </is>
      </c>
      <c r="L12490" s="11">
        <f>HYPERLINK("https://careerviet.vn/vi/tim-viec-lam/chuyen-gia-quan-tri-va-phan-tich-danh-muc-phong-quan-tri-rui-ro-va-phan-tich-danh-muc-khoi-quan-tri-rui-ro.35C6C2E9.html","Xem chi tiết")</f>
        <v/>
      </c>
      <c r="M12490" s="10" t="n"/>
    </row>
    <row r="12491">
      <c r="B12491" s="7" t="n">
        <v>12489</v>
      </c>
      <c r="C12491" t="inlineStr">
        <is>
          <t>Trưởng Nhóm Kho Tạm</t>
        </is>
      </c>
      <c r="D12491" t="inlineStr">
        <is>
          <t>EuP Group</t>
        </is>
      </c>
      <c r="E12491" t="inlineStr">
        <is>
          <t>Lương:11 Tr - 13 Tr VND</t>
        </is>
      </c>
      <c r="F12491" t="inlineStr">
        <is>
          <t>Hải Phòng</t>
        </is>
      </c>
      <c r="G12491" t="inlineStr">
        <is>
          <t>12-04-2026</t>
        </is>
      </c>
      <c r="H12491" t="inlineStr">
        <is>
          <t>12/04/2026</t>
        </is>
      </c>
      <c r="I12491" t="inlineStr">
        <is>
          <t>17/03/2026</t>
        </is>
      </c>
      <c r="J12491" t="inlineStr">
        <is>
          <t>Sản xuất / Vận hành sản xuất, Kế toán / Kiểm toán, Lao động phổ thông</t>
        </is>
      </c>
      <c r="K12491" t="inlineStr">
        <is>
          <t>Trên 1 Năm</t>
        </is>
      </c>
      <c r="L12491" s="8">
        <f>HYPERLINK("https://careerviet.vn/vi/tim-viec-lam/truong-nhom-kho-tam.35C6C2E6.html","Xem chi tiết")</f>
        <v/>
      </c>
    </row>
    <row r="12492">
      <c r="B12492" s="9" t="n">
        <v>12490</v>
      </c>
      <c r="C12492" s="10" t="inlineStr">
        <is>
          <t>Kỹ Sư Phát Triển Sản Phẩm (Điện Tử/ Cơ Khí, thành thạo Tiếng Trung)</t>
        </is>
      </c>
      <c r="D12492" s="10" t="inlineStr">
        <is>
          <t>Headhunter HRchannels Group</t>
        </is>
      </c>
      <c r="E12492" s="10" t="inlineStr">
        <is>
          <t>Lương:25 Tr - 35 Tr VND</t>
        </is>
      </c>
      <c r="F12492" s="10" t="inlineStr">
        <is>
          <t>Bắc NinhBắc GiangĐồng Nai</t>
        </is>
      </c>
      <c r="G12492" s="10" t="inlineStr">
        <is>
          <t>12-04-2026</t>
        </is>
      </c>
      <c r="H12492" s="10" t="inlineStr">
        <is>
          <t>12/04/2026</t>
        </is>
      </c>
      <c r="I12492" s="10" t="inlineStr">
        <is>
          <t>17/03/2026</t>
        </is>
      </c>
      <c r="J12492" s="10" t="inlineStr">
        <is>
          <t>Điện / Điện tử / Điện lạnh / Điện công nghiệp, Sản xuất / Vận hành sản xuất, Cơ khí / Ô tô / Tự động hóa</t>
        </is>
      </c>
      <c r="K12492" s="10" t="inlineStr">
        <is>
          <t>3 - 10 Năm</t>
        </is>
      </c>
      <c r="L12492" s="11">
        <f>HYPERLINK("https://careerviet.vn/vi/tim-viec-lam/ky-su-phat-trien-san-pham-dien-tu-co-khi-thanh-thao-tieng-trung.35C6C263.html","Xem chi tiết")</f>
        <v/>
      </c>
      <c r="M12492" s="10" t="n"/>
    </row>
    <row r="12493">
      <c r="B12493" s="7" t="n">
        <v>12491</v>
      </c>
      <c r="C12493" t="inlineStr">
        <is>
          <t>Nhân Viên Thiết Kế (Phụ Kiện, làm tại Hải Phòng)</t>
        </is>
      </c>
      <c r="D12493" t="inlineStr">
        <is>
          <t>Headhunter HRchannels Group</t>
        </is>
      </c>
      <c r="E12493" t="inlineStr">
        <is>
          <t>Lương:10 Tr - 20 Tr VND</t>
        </is>
      </c>
      <c r="F12493" t="inlineStr">
        <is>
          <t>Hải PhòngLong AnHải Dương</t>
        </is>
      </c>
      <c r="G12493" t="inlineStr">
        <is>
          <t>12-04-2026</t>
        </is>
      </c>
      <c r="H12493" t="inlineStr">
        <is>
          <t>12/04/2026</t>
        </is>
      </c>
      <c r="I12493" t="inlineStr">
        <is>
          <t>17/03/2026</t>
        </is>
      </c>
      <c r="J12493" t="inlineStr">
        <is>
          <t>Mỹ thuật / Nghệ thuật / Thiết kế, Dệt may / Da giày / Thời trang</t>
        </is>
      </c>
      <c r="K12493" t="inlineStr">
        <is>
          <t>N/A</t>
        </is>
      </c>
      <c r="L12493" s="8">
        <f>HYPERLINK("https://careerviet.vn/vi/tim-viec-lam/nhan-vien-thiet-ke-phu-kien-lam-tai-hai-phong.35C6C2E7.html","Xem chi tiết")</f>
        <v/>
      </c>
    </row>
    <row r="12494">
      <c r="B12494" s="9" t="n">
        <v>12492</v>
      </c>
      <c r="C12494" s="10" t="inlineStr">
        <is>
          <t>CHUYÊN VIÊN KINH DOANH (THƯƠNG MẠI ĐIỆN TỬ)</t>
        </is>
      </c>
      <c r="D12494" s="10" t="inlineStr">
        <is>
          <t>CÔNG TY CỔ PHẦN  KTG ELECTRIC</t>
        </is>
      </c>
      <c r="E12494" s="10" t="inlineStr">
        <is>
          <t>Lương:Cạnh tranh</t>
        </is>
      </c>
      <c r="F12494" s="10" t="inlineStr">
        <is>
          <t>Hồ Chí Minh</t>
        </is>
      </c>
      <c r="G12494" s="10" t="inlineStr">
        <is>
          <t>25-03-2026</t>
        </is>
      </c>
      <c r="H12494" s="10" t="inlineStr">
        <is>
          <t>25/03/2026</t>
        </is>
      </c>
      <c r="I12494" s="10" t="inlineStr">
        <is>
          <t>17/03/2026</t>
        </is>
      </c>
      <c r="J12494" s="10" t="inlineStr">
        <is>
          <t>Bán hàng / Kinh doanh, Tiếp thị trực tuyến, Thương mại điện tử</t>
        </is>
      </c>
      <c r="K12494" s="10" t="inlineStr">
        <is>
          <t>1 - 3 Năm</t>
        </is>
      </c>
      <c r="L12494" s="11">
        <f>HYPERLINK("https://careerviet.vn/vi/tim-viec-lam/chuyen-vien-kinh-doanh-thuong-mai-dien-tu.35C69603.html","Xem chi tiết")</f>
        <v/>
      </c>
      <c r="M12494" s="10" t="n"/>
    </row>
    <row r="12495">
      <c r="B12495" s="7" t="n">
        <v>12493</v>
      </c>
      <c r="C12495" t="inlineStr">
        <is>
          <t>Nhân Viên Sales Online</t>
        </is>
      </c>
      <c r="D12495" t="inlineStr">
        <is>
          <t>Công ty Cổ phần Dư Kim - Thương hiệu thời trang IVY moda</t>
        </is>
      </c>
      <c r="E12495" t="inlineStr">
        <is>
          <t>Lương:7 Tr - 30 Tr VND</t>
        </is>
      </c>
      <c r="F12495" t="inlineStr">
        <is>
          <t>Hồ Chí MinhHà Nội</t>
        </is>
      </c>
      <c r="G12495" t="inlineStr">
        <is>
          <t>30-04-2026</t>
        </is>
      </c>
      <c r="H12495" t="inlineStr">
        <is>
          <t>30/04/2026</t>
        </is>
      </c>
      <c r="I12495" t="inlineStr">
        <is>
          <t>17/03/2026</t>
        </is>
      </c>
      <c r="J12495" t="inlineStr">
        <is>
          <t>Bán lẻ / Bán sỉ, Bán hàng / Kinh doanh, Dịch vụ khách hàng</t>
        </is>
      </c>
      <c r="K12495" t="inlineStr">
        <is>
          <t>N/A</t>
        </is>
      </c>
      <c r="L12495" s="8">
        <f>HYPERLINK("https://careerviet.vn/vi/tim-viec-lam/nhan-vien-sales-online.35C6C2E5.html","Xem chi tiết")</f>
        <v/>
      </c>
    </row>
    <row r="12496">
      <c r="B12496" s="9" t="n">
        <v>12494</v>
      </c>
      <c r="C12496" s="10" t="inlineStr">
        <is>
          <t>Chuyên viên quản trị và phân tích danh mục, Phòng Quản trị rủi ro và Quản lý danh mục, Khối Quản trị rủi ro</t>
        </is>
      </c>
      <c r="D12496" s="10" t="inlineStr">
        <is>
          <t>Ngân hàng TMCP Đại Chúng Việt Nam - PVcomBank</t>
        </is>
      </c>
      <c r="E12496" s="10" t="inlineStr">
        <is>
          <t>Lương:Cạnh tranh</t>
        </is>
      </c>
      <c r="F12496" s="10" t="inlineStr">
        <is>
          <t>Hà Nội</t>
        </is>
      </c>
      <c r="G12496" s="10" t="inlineStr">
        <is>
          <t>12-04-2026</t>
        </is>
      </c>
      <c r="H12496" s="10" t="inlineStr">
        <is>
          <t>12/04/2026</t>
        </is>
      </c>
      <c r="I12496" s="10" t="inlineStr">
        <is>
          <t>17/03/2026</t>
        </is>
      </c>
      <c r="J12496" s="10" t="inlineStr">
        <is>
          <t>Kế toán / Kiểm toán, Ngân hàng</t>
        </is>
      </c>
      <c r="K12496" s="10" t="inlineStr">
        <is>
          <t>1 - 3 Năm</t>
        </is>
      </c>
      <c r="L12496" s="11">
        <f>HYPERLINK("https://careerviet.vn/vi/tim-viec-lam/chuyen-vien-quan-tri-va-phan-tich-danh-muc-phong-quan-tri-rui-ro-va-quan-ly-danh-muc-khoi-quan-tri-rui-ro.35C6C2EE.html","Xem chi tiết")</f>
        <v/>
      </c>
      <c r="M12496" s="10" t="n"/>
    </row>
    <row r="12497">
      <c r="B12497" s="7" t="n">
        <v>12495</v>
      </c>
      <c r="C12497" t="inlineStr">
        <is>
          <t>Production Engineer/ Kỹ sư sản xuất (cơ khí, lập trình CNC)</t>
        </is>
      </c>
      <c r="D12497" t="inlineStr">
        <is>
          <t>Công ty TNHH VRR Việt Nam</t>
        </is>
      </c>
      <c r="E12497" t="inlineStr">
        <is>
          <t>Lương:20 Tr - 25 Tr VND</t>
        </is>
      </c>
      <c r="F12497" t="inlineStr">
        <is>
          <t>Long An</t>
        </is>
      </c>
      <c r="G12497" t="inlineStr">
        <is>
          <t>10-04-2026</t>
        </is>
      </c>
      <c r="H12497" t="inlineStr">
        <is>
          <t>10/04/2026</t>
        </is>
      </c>
      <c r="I12497" t="inlineStr">
        <is>
          <t>17/03/2026</t>
        </is>
      </c>
      <c r="J12497" t="inlineStr">
        <is>
          <t>Cơ khí / Ô tô / Tự động hóa, Sản xuất / Vận hành sản xuất</t>
        </is>
      </c>
      <c r="K12497" t="inlineStr">
        <is>
          <t>2 - 3 Năm</t>
        </is>
      </c>
      <c r="L12497" s="8">
        <f>HYPERLINK("https://careerviet.vn/vi/tim-viec-lam/production-engineer-ky-su-san-xuat-co-khi-lap-trinh-cnc.35C6C2E0.html","Xem chi tiết")</f>
        <v/>
      </c>
    </row>
    <row r="12498">
      <c r="B12498" s="9" t="n">
        <v>12496</v>
      </c>
      <c r="C12498" s="10" t="inlineStr">
        <is>
          <t>Chuyên Viên Nghiên Cứu và Phát Triển</t>
        </is>
      </c>
      <c r="D12498" s="10" t="inlineStr">
        <is>
          <t>Orioled Hub</t>
        </is>
      </c>
      <c r="E12498" s="10" t="inlineStr">
        <is>
          <t>Lương:18 Tr - 30 Tr VND</t>
        </is>
      </c>
      <c r="F12498" s="10" t="inlineStr">
        <is>
          <t>Bà Rịa - Vũng Tàu</t>
        </is>
      </c>
      <c r="G12498" s="10" t="inlineStr">
        <is>
          <t>30-04-2026</t>
        </is>
      </c>
      <c r="H12498" s="10" t="inlineStr">
        <is>
          <t>30/04/2026</t>
        </is>
      </c>
      <c r="I12498" s="10" t="inlineStr">
        <is>
          <t>17/03/2026</t>
        </is>
      </c>
      <c r="J12498" s="10" t="inlineStr">
        <is>
          <t>Dược phẩm/ Hóa Mỹ Phẩm, Y tế / Chăm sóc sức khỏe / Thẩm mỹ / Làm đẹp, Quản lý chất lượng (QA/QC)</t>
        </is>
      </c>
      <c r="K12498" s="10" t="inlineStr">
        <is>
          <t>3 - 4 Năm</t>
        </is>
      </c>
      <c r="L12498" s="11">
        <f>HYPERLINK("https://careerviet.vn/vi/tim-viec-lam/chuyen-vien-nghien-cuu-va-phat-trien.35C6C2E3.html","Xem chi tiết")</f>
        <v/>
      </c>
      <c r="M12498" s="10" t="n"/>
    </row>
    <row r="12499">
      <c r="B12499" s="7" t="n">
        <v>12497</v>
      </c>
      <c r="C12499" t="inlineStr">
        <is>
          <t>GIÁM SÁT THI CÔNG CƠ ĐIỆN (MEP) LÀM VIỆC TẠI ĐÀ LẠT</t>
        </is>
      </c>
      <c r="D12499" t="inlineStr">
        <is>
          <t>Bảo mật</t>
        </is>
      </c>
      <c r="E12499" t="inlineStr">
        <is>
          <t>Lương:Cạnh tranh</t>
        </is>
      </c>
      <c r="F12499" t="inlineStr">
        <is>
          <t>Quảng Ninh</t>
        </is>
      </c>
      <c r="G12499" t="inlineStr">
        <is>
          <t>12-04-2026</t>
        </is>
      </c>
      <c r="H12499" t="inlineStr">
        <is>
          <t>12/04/2026</t>
        </is>
      </c>
      <c r="I12499" t="inlineStr">
        <is>
          <t>17/03/2026</t>
        </is>
      </c>
      <c r="J12499" t="inlineStr">
        <is>
          <t>Điện / Điện tử / Điện lạnh / Điện công nghiệp, Xây dựng, Nội ngoại thất</t>
        </is>
      </c>
      <c r="K12499" t="inlineStr">
        <is>
          <t>2 - 10 Năm</t>
        </is>
      </c>
      <c r="L12499" s="8">
        <f>HYPERLINK("https://careerviet.vn/vi/tim-viec-lam/giam-sat-thi-cong-co-dien-mep-lam-viec-tai-da-lat.35C6C3D4.html","Xem chi tiết")</f>
        <v/>
      </c>
    </row>
    <row r="12500">
      <c r="B12500" s="9" t="n">
        <v>12498</v>
      </c>
      <c r="C12500" s="10" t="inlineStr">
        <is>
          <t>NHÂN VIÊN CONTENT &amp; BIÊN KỊCH</t>
        </is>
      </c>
      <c r="D12500" s="10" t="inlineStr">
        <is>
          <t>CÔNG TY TNHH THƯƠNG MẠI VÀ DỊCH VỤ GOMCN</t>
        </is>
      </c>
      <c r="E12500" s="10" t="inlineStr">
        <is>
          <t>Lương:8 Tr - 10 Tr VND</t>
        </is>
      </c>
      <c r="F12500" s="10" t="inlineStr">
        <is>
          <t>Hồ Chí Minh</t>
        </is>
      </c>
      <c r="G12500" s="10" t="inlineStr">
        <is>
          <t>08-04-2026</t>
        </is>
      </c>
      <c r="H12500" s="10" t="inlineStr">
        <is>
          <t>08/04/2026</t>
        </is>
      </c>
      <c r="I12500" s="10" t="inlineStr">
        <is>
          <t>17/03/2026</t>
        </is>
      </c>
      <c r="J12500" s="10" t="inlineStr">
        <is>
          <t>Truyền hình / Báo chí / Biên tập, Tiếp thị / Marketing, Quảng cáo / Đối ngoại / Truyền Thông</t>
        </is>
      </c>
      <c r="K12500" s="10" t="inlineStr">
        <is>
          <t>1 - 3 Năm</t>
        </is>
      </c>
      <c r="L12500" s="11">
        <f>HYPERLINK("https://careerviet.vn/vi/tim-viec-lam/nhan-vien-content-bien-kich.35C6C3D8.html","Xem chi tiết")</f>
        <v/>
      </c>
      <c r="M12500" s="10" t="n"/>
    </row>
    <row r="12501">
      <c r="B12501" s="7" t="n">
        <v>12499</v>
      </c>
      <c r="C12501" t="inlineStr">
        <is>
          <t>Nhân Viên Kinh Doanh</t>
        </is>
      </c>
      <c r="D12501" t="inlineStr">
        <is>
          <t>CÔNG TY TNHH IN VẢI 3D THIỆN LINH</t>
        </is>
      </c>
      <c r="E12501" t="inlineStr">
        <is>
          <t>Lương:8 Tr - 15 Tr VND</t>
        </is>
      </c>
      <c r="F12501" t="inlineStr">
        <is>
          <t>Hà Nội</t>
        </is>
      </c>
      <c r="G12501" t="inlineStr">
        <is>
          <t>12-04-2026</t>
        </is>
      </c>
      <c r="H12501" t="inlineStr">
        <is>
          <t>12/04/2026</t>
        </is>
      </c>
      <c r="I12501" t="inlineStr">
        <is>
          <t>17/03/2026</t>
        </is>
      </c>
      <c r="J12501" t="inlineStr">
        <is>
          <t>Bán hàng / Kinh doanh, In ấn / Xuất bản, Dệt may / Da giày / Thời trang</t>
        </is>
      </c>
      <c r="K12501" t="inlineStr">
        <is>
          <t>N/A</t>
        </is>
      </c>
      <c r="L12501" s="8">
        <f>HYPERLINK("https://careerviet.vn/vi/tim-viec-lam/nhan-vien-kinh-doanh.35C6C37B.html","Xem chi tiết")</f>
        <v/>
      </c>
    </row>
    <row r="12502">
      <c r="B12502" s="9" t="n">
        <v>12500</v>
      </c>
      <c r="C12502" s="10" t="inlineStr">
        <is>
          <t>Sales Supervisor</t>
        </is>
      </c>
      <c r="D12502" s="10" t="inlineStr">
        <is>
          <t>Wipro Consumer Care Vietnam</t>
        </is>
      </c>
      <c r="E12502" s="10" t="inlineStr">
        <is>
          <t>Lương:Cạnh tranh</t>
        </is>
      </c>
      <c r="F12502" s="10" t="inlineStr">
        <is>
          <t>Hồ Chí Minh</t>
        </is>
      </c>
      <c r="G12502" s="10" t="inlineStr">
        <is>
          <t>3</t>
        </is>
      </c>
      <c r="H12502" s="10" t="inlineStr">
        <is>
          <t>19/03/2026</t>
        </is>
      </c>
      <c r="I12502" s="10" t="inlineStr">
        <is>
          <t>17/03/2026</t>
        </is>
      </c>
      <c r="J12502" s="10" t="inlineStr">
        <is>
          <t>Tiếp thị / Marketing, Bán lẻ / Bán sỉ</t>
        </is>
      </c>
      <c r="K12502" s="10" t="inlineStr">
        <is>
          <t>2 - 5 Năm</t>
        </is>
      </c>
      <c r="L12502" s="11">
        <f>HYPERLINK("https://careerviet.vn/vi/tim-viec-lam/sales-supervisor.35C6C2DB.html","Xem chi tiết")</f>
        <v/>
      </c>
      <c r="M12502" s="10" t="n"/>
    </row>
    <row r="12503">
      <c r="B12503" s="7" t="n">
        <v>12501</v>
      </c>
      <c r="C12503" t="inlineStr">
        <is>
          <t>Chuyên viên Tuyển dụng Khối Kỹ thuật - Công nghệ</t>
        </is>
      </c>
      <c r="D12503" t="inlineStr">
        <is>
          <t>Tập Đoàn Karofi Holding</t>
        </is>
      </c>
      <c r="E12503" t="inlineStr">
        <is>
          <t>Lương:15 Tr - 22 Tr VND</t>
        </is>
      </c>
      <c r="F12503" t="inlineStr">
        <is>
          <t>Hà Nội</t>
        </is>
      </c>
      <c r="G12503" t="inlineStr">
        <is>
          <t>19-04-2026</t>
        </is>
      </c>
      <c r="H12503" t="inlineStr">
        <is>
          <t>19/04/2026</t>
        </is>
      </c>
      <c r="I12503" t="inlineStr">
        <is>
          <t>17/03/2026</t>
        </is>
      </c>
      <c r="J12503" t="inlineStr">
        <is>
          <t>Hành chính / Thư ký, Nhân sự, Sản xuất / Vận hành sản xuất</t>
        </is>
      </c>
      <c r="K12503" t="inlineStr">
        <is>
          <t>3 - 10 Năm</t>
        </is>
      </c>
      <c r="L12503" s="8">
        <f>HYPERLINK("https://careerviet.vn/vi/tim-viec-lam/chuyen-vien-tuyen-dung-khoi-ky-thuat-cong-nghe.35C6C3DD.html","Xem chi tiết")</f>
        <v/>
      </c>
    </row>
    <row r="12504">
      <c r="B12504" s="9" t="n">
        <v>12502</v>
      </c>
      <c r="C12504" s="10" t="inlineStr">
        <is>
          <t>Chuyên Viên Quản Trị Thương Hiệu</t>
        </is>
      </c>
      <c r="D12504" s="10" t="inlineStr">
        <is>
          <t>Tổng Công Ty Cổ Phần Bảo Hiểm Ngân Hàng TMCP Công Thương Việt Nam</t>
        </is>
      </c>
      <c r="E12504" s="10" t="inlineStr">
        <is>
          <t>Lương:Cạnh tranh</t>
        </is>
      </c>
      <c r="F12504" s="10" t="inlineStr">
        <is>
          <t>Hà Nội</t>
        </is>
      </c>
      <c r="G12504" s="10" t="inlineStr">
        <is>
          <t>29-04-2026</t>
        </is>
      </c>
      <c r="H12504" s="10" t="inlineStr">
        <is>
          <t>29/04/2026</t>
        </is>
      </c>
      <c r="I12504" s="10" t="inlineStr">
        <is>
          <t>17/03/2026</t>
        </is>
      </c>
      <c r="J12504" s="10" t="inlineStr">
        <is>
          <t>Bảo hiểm, Truyền hình / Báo chí / Biên tập, Quảng cáo / Đối ngoại / Truyền Thông</t>
        </is>
      </c>
      <c r="K12504" s="10" t="inlineStr">
        <is>
          <t>Trên 2 Năm</t>
        </is>
      </c>
      <c r="L12504" s="11">
        <f>HYPERLINK("https://careerviet.vn/vi/tim-viec-lam/chuyen-vien-quan-tri-thuong-hieu.35C6C2C9.html","Xem chi tiết")</f>
        <v/>
      </c>
      <c r="M12504" s="10" t="n"/>
    </row>
    <row r="12505">
      <c r="B12505" s="7" t="n">
        <v>12503</v>
      </c>
      <c r="C12505" t="inlineStr">
        <is>
          <t>Kế toán tổng hợp</t>
        </is>
      </c>
      <c r="D12505" t="inlineStr">
        <is>
          <t>CÔNG TY TNHH VĂN LANG</t>
        </is>
      </c>
      <c r="E12505" t="inlineStr">
        <is>
          <t>Lương:14 Tr - 18 Tr VND</t>
        </is>
      </c>
      <c r="F12505" t="inlineStr">
        <is>
          <t>Hồ Chí Minh</t>
        </is>
      </c>
      <c r="G12505" t="inlineStr">
        <is>
          <t>25-03-2026</t>
        </is>
      </c>
      <c r="H12505" t="inlineStr">
        <is>
          <t>25/03/2026</t>
        </is>
      </c>
      <c r="I12505" t="inlineStr">
        <is>
          <t>17/03/2026</t>
        </is>
      </c>
      <c r="J12505" t="inlineStr">
        <is>
          <t>Bất động sản, Tài chính / Đầu tư</t>
        </is>
      </c>
      <c r="K12505" t="inlineStr">
        <is>
          <t>4 - 5 Năm</t>
        </is>
      </c>
      <c r="L12505" s="8">
        <f>HYPERLINK("https://careerviet.vn/vi/tim-viec-lam/ke-toan-tong-hop.35C6C3C6.html","Xem chi tiết")</f>
        <v/>
      </c>
    </row>
    <row r="12506">
      <c r="B12506" s="9" t="n">
        <v>12504</v>
      </c>
      <c r="C12506" s="10" t="inlineStr">
        <is>
          <t>Chuyên Viên Quản Lý Chất Lượng</t>
        </is>
      </c>
      <c r="D12506" s="10" t="inlineStr">
        <is>
          <t>CÔNG TY CỔ PHẦN TẬP ĐOÀN HOA SEN</t>
        </is>
      </c>
      <c r="E12506" s="10" t="inlineStr">
        <is>
          <t>Lương:12 Tr - 18 Tr VND</t>
        </is>
      </c>
      <c r="F12506" s="10" t="inlineStr">
        <is>
          <t>Hồ Chí MinhBình Dương</t>
        </is>
      </c>
      <c r="G12506" s="10" t="inlineStr">
        <is>
          <t>28-04-2026</t>
        </is>
      </c>
      <c r="H12506" s="10" t="inlineStr">
        <is>
          <t>28/04/2026</t>
        </is>
      </c>
      <c r="I12506" s="10" t="inlineStr">
        <is>
          <t>17/03/2026</t>
        </is>
      </c>
      <c r="J12506" s="10" t="inlineStr">
        <is>
          <t>Quản lý chất lượng (QA/QC)</t>
        </is>
      </c>
      <c r="K12506" s="10" t="inlineStr">
        <is>
          <t>1 - 3 Năm</t>
        </is>
      </c>
      <c r="L12506" s="11">
        <f>HYPERLINK("https://careerviet.vn/vi/tim-viec-lam/chuyen-vien-quan-ly-chat-luong.35C6C3D9.html","Xem chi tiết")</f>
        <v/>
      </c>
      <c r="M12506" s="10" t="n"/>
    </row>
    <row r="12507">
      <c r="B12507" s="7" t="n">
        <v>12505</v>
      </c>
      <c r="C12507" t="inlineStr">
        <is>
          <t>Chuyên viên phát triển cộng đồng</t>
        </is>
      </c>
      <c r="D12507" t="inlineStr">
        <is>
          <t>CÔNG TY TNHH FOXSCORE</t>
        </is>
      </c>
      <c r="E12507" t="inlineStr">
        <is>
          <t>Lương:9 Tr - 13 Tr VND</t>
        </is>
      </c>
      <c r="F12507" t="inlineStr">
        <is>
          <t>Hồ Chí Minh</t>
        </is>
      </c>
      <c r="G12507" t="inlineStr">
        <is>
          <t>10-04-2026</t>
        </is>
      </c>
      <c r="H12507" t="inlineStr">
        <is>
          <t>10/04/2026</t>
        </is>
      </c>
      <c r="I12507" t="inlineStr">
        <is>
          <t>17/03/2026</t>
        </is>
      </c>
      <c r="J12507" t="inlineStr">
        <is>
          <t>Truyền hình / Báo chí / Biên tập, Quảng cáo / Đối ngoại / Truyền Thông</t>
        </is>
      </c>
      <c r="K12507" t="inlineStr">
        <is>
          <t>Lên đến 1 Năm</t>
        </is>
      </c>
      <c r="L12507" s="8">
        <f>HYPERLINK("https://careerviet.vn/vi/tim-viec-lam/chuyen-vien-phat-trien-cong-dong.35C6C3D3.html","Xem chi tiết")</f>
        <v/>
      </c>
    </row>
    <row r="12508">
      <c r="B12508" s="9" t="n">
        <v>12506</v>
      </c>
      <c r="C12508" s="10" t="inlineStr">
        <is>
          <t>Kỹ thuật viên BIM</t>
        </is>
      </c>
      <c r="D12508" s="10" t="inlineStr">
        <is>
          <t>TTT Corporation</t>
        </is>
      </c>
      <c r="E12508" s="10" t="inlineStr">
        <is>
          <t>Lương:Cạnh tranh</t>
        </is>
      </c>
      <c r="F12508" s="10" t="inlineStr">
        <is>
          <t>Hồ Chí Minh</t>
        </is>
      </c>
      <c r="G12508" s="10" t="inlineStr">
        <is>
          <t>27-03-2026</t>
        </is>
      </c>
      <c r="H12508" s="10" t="inlineStr">
        <is>
          <t>27/03/2026</t>
        </is>
      </c>
      <c r="I12508" s="10" t="inlineStr">
        <is>
          <t>17/03/2026</t>
        </is>
      </c>
      <c r="J12508" s="10" t="inlineStr">
        <is>
          <t>Kiến trúc, Nội ngoại thất, Xây dựng</t>
        </is>
      </c>
      <c r="K12508" s="10" t="inlineStr">
        <is>
          <t>1 - 3 Năm</t>
        </is>
      </c>
      <c r="L12508" s="11">
        <f>HYPERLINK("https://careerviet.vn/vi/tim-viec-lam/ky-thuat-vien-bim.35C6C264.html","Xem chi tiết")</f>
        <v/>
      </c>
      <c r="M12508" s="10" t="n"/>
    </row>
    <row r="12509">
      <c r="B12509" s="7" t="n">
        <v>12507</v>
      </c>
      <c r="C12509" t="inlineStr">
        <is>
          <t>Kế Toán Nội Bộ</t>
        </is>
      </c>
      <c r="D12509" t="inlineStr">
        <is>
          <t>CÔNG TY TNHH IN VẢI 3D THIỆN LINH</t>
        </is>
      </c>
      <c r="E12509" t="inlineStr">
        <is>
          <t>Lương:7 Tr - 15 Tr VND</t>
        </is>
      </c>
      <c r="F12509" t="inlineStr">
        <is>
          <t>Hà Nội</t>
        </is>
      </c>
      <c r="G12509" t="inlineStr">
        <is>
          <t>12-04-2026</t>
        </is>
      </c>
      <c r="H12509" t="inlineStr">
        <is>
          <t>12/04/2026</t>
        </is>
      </c>
      <c r="I12509" t="inlineStr">
        <is>
          <t>17/03/2026</t>
        </is>
      </c>
      <c r="J12509" t="inlineStr">
        <is>
          <t>Kế toán / Kiểm toán, Dệt may / Da giày / Thời trang, In ấn / Xuất bản</t>
        </is>
      </c>
      <c r="K12509" t="inlineStr">
        <is>
          <t>N/A</t>
        </is>
      </c>
      <c r="L12509" s="8">
        <f>HYPERLINK("https://careerviet.vn/vi/tim-viec-lam/ke-toan-noi-bo.35C6C366.html","Xem chi tiết")</f>
        <v/>
      </c>
    </row>
    <row r="12510">
      <c r="B12510" s="9" t="n">
        <v>12508</v>
      </c>
      <c r="C12510" s="10" t="inlineStr">
        <is>
          <t>Trưởng Phòng Kỹ Thuật Dịch Vụ/ Service Engineer</t>
        </is>
      </c>
      <c r="D12510" s="10" t="inlineStr">
        <is>
          <t>Công ty Cổ phần Công nghiệp &amp; Đầu tư An Phát</t>
        </is>
      </c>
      <c r="E12510" s="10" t="inlineStr">
        <is>
          <t>Lương:Cạnh tranh</t>
        </is>
      </c>
      <c r="F12510" s="10" t="inlineStr">
        <is>
          <t>Hà Nội</t>
        </is>
      </c>
      <c r="G12510" s="10" t="inlineStr">
        <is>
          <t>11-04-2026</t>
        </is>
      </c>
      <c r="H12510" s="10" t="inlineStr">
        <is>
          <t>11/04/2026</t>
        </is>
      </c>
      <c r="I12510" s="10" t="inlineStr">
        <is>
          <t>17/03/2026</t>
        </is>
      </c>
      <c r="J12510" s="10" t="inlineStr">
        <is>
          <t>Cơ khí / Ô tô / Tự động hóa, Điện / Điện tử / Điện lạnh / Điện công nghiệp, Bảo trì / Sửa chữa</t>
        </is>
      </c>
      <c r="K12510" s="10" t="inlineStr">
        <is>
          <t>5 - 10 Năm</t>
        </is>
      </c>
      <c r="L12510" s="11">
        <f>HYPERLINK("https://careerviet.vn/vi/tim-viec-lam/truong-phong-ky-thuat-dich-vu-service-engineer.35C6BE4C.html","Xem chi tiết")</f>
        <v/>
      </c>
      <c r="M12510" s="10" t="n"/>
    </row>
    <row r="12511">
      <c r="B12511" s="7" t="n">
        <v>12509</v>
      </c>
      <c r="C12511" t="inlineStr">
        <is>
          <t>Nhân viên tuyển dụng</t>
        </is>
      </c>
      <c r="D12511" t="inlineStr">
        <is>
          <t>Công Ty Cổ Phần Thương Mại Aqua Stone</t>
        </is>
      </c>
      <c r="E12511" t="inlineStr">
        <is>
          <t>Lương:10 Tr - 15 Tr VND</t>
        </is>
      </c>
      <c r="F12511" t="inlineStr">
        <is>
          <t>Hồ Chí Minh</t>
        </is>
      </c>
      <c r="G12511" t="inlineStr">
        <is>
          <t>12-04-2026</t>
        </is>
      </c>
      <c r="H12511" t="inlineStr">
        <is>
          <t>12/04/2026</t>
        </is>
      </c>
      <c r="I12511" t="inlineStr">
        <is>
          <t>17/03/2026</t>
        </is>
      </c>
      <c r="J12511" t="inlineStr">
        <is>
          <t>Nhân sự</t>
        </is>
      </c>
      <c r="K12511" t="inlineStr">
        <is>
          <t>Trên 1 Năm</t>
        </is>
      </c>
      <c r="L12511" s="8">
        <f>HYPERLINK("https://careerviet.vn/vi/tim-viec-lam/nhan-vien-tuyen-dung.35C6C3D1.html","Xem chi tiết")</f>
        <v/>
      </c>
    </row>
    <row r="12512">
      <c r="B12512" s="9" t="n">
        <v>12510</v>
      </c>
      <c r="C12512" s="10" t="inlineStr">
        <is>
          <t>Chỉ huy trưởng công trình</t>
        </is>
      </c>
      <c r="D12512" s="10" t="inlineStr">
        <is>
          <t>Công Ty Cổ Phần Thương Mại Aqua Stone</t>
        </is>
      </c>
      <c r="E12512" s="10" t="inlineStr">
        <is>
          <t>Lương:20 Tr - 28 Tr VND</t>
        </is>
      </c>
      <c r="F12512" s="10" t="inlineStr">
        <is>
          <t>Kiên Giang</t>
        </is>
      </c>
      <c r="G12512" s="10" t="inlineStr">
        <is>
          <t>12-04-2026</t>
        </is>
      </c>
      <c r="H12512" s="10" t="inlineStr">
        <is>
          <t>12/04/2026</t>
        </is>
      </c>
      <c r="I12512" s="10" t="inlineStr">
        <is>
          <t>17/03/2026</t>
        </is>
      </c>
      <c r="J12512" s="10" t="inlineStr">
        <is>
          <t>Xây dựng</t>
        </is>
      </c>
      <c r="K12512" s="10" t="inlineStr">
        <is>
          <t>3 - 5 Năm</t>
        </is>
      </c>
      <c r="L12512" s="11">
        <f>HYPERLINK("https://careerviet.vn/vi/tim-viec-lam/chi-huy-truong-cong-trinh.35C6C3C7.html","Xem chi tiết")</f>
        <v/>
      </c>
      <c r="M12512" s="10" t="n"/>
    </row>
    <row r="12513">
      <c r="B12513" s="7" t="n">
        <v>12511</v>
      </c>
      <c r="C12513" t="inlineStr">
        <is>
          <t>NHÂN VIÊN QS XÂY DỰNG</t>
        </is>
      </c>
      <c r="D12513" t="inlineStr">
        <is>
          <t>Công Ty Cổ Phần Thương Mại Aqua Stone</t>
        </is>
      </c>
      <c r="E12513" t="inlineStr">
        <is>
          <t>Lương:15 Tr - 20 Tr VND</t>
        </is>
      </c>
      <c r="F12513" t="inlineStr">
        <is>
          <t>Hồ Chí Minh</t>
        </is>
      </c>
      <c r="G12513" t="inlineStr">
        <is>
          <t>12-04-2026</t>
        </is>
      </c>
      <c r="H12513" t="inlineStr">
        <is>
          <t>12/04/2026</t>
        </is>
      </c>
      <c r="I12513" t="inlineStr">
        <is>
          <t>17/03/2026</t>
        </is>
      </c>
      <c r="J12513" t="inlineStr">
        <is>
          <t>Xây dựng</t>
        </is>
      </c>
      <c r="K12513" t="inlineStr">
        <is>
          <t>Trên 1 Năm</t>
        </is>
      </c>
      <c r="L12513" s="8">
        <f>HYPERLINK("https://careerviet.vn/vi/tim-viec-lam/nhan-vien-qs-xay-dung.35C6C3C5.html","Xem chi tiết")</f>
        <v/>
      </c>
    </row>
    <row r="12514">
      <c r="B12514" s="9" t="n">
        <v>12512</v>
      </c>
      <c r="C12514" s="10" t="inlineStr">
        <is>
          <t>Kỹ sư giám sát xây dựng hoàn thiện</t>
        </is>
      </c>
      <c r="D12514" s="10" t="inlineStr">
        <is>
          <t>Công Ty Cổ Phần Thương Mại Aqua Stone</t>
        </is>
      </c>
      <c r="E12514" s="10" t="inlineStr">
        <is>
          <t>Lương:15 Tr - 20 Tr VND</t>
        </is>
      </c>
      <c r="F12514" s="10" t="inlineStr">
        <is>
          <t>Hồ Chí Minh</t>
        </is>
      </c>
      <c r="G12514" s="10" t="inlineStr">
        <is>
          <t>12-04-2026</t>
        </is>
      </c>
      <c r="H12514" s="10" t="inlineStr">
        <is>
          <t>12/04/2026</t>
        </is>
      </c>
      <c r="I12514" s="10" t="inlineStr">
        <is>
          <t>17/03/2026</t>
        </is>
      </c>
      <c r="J12514" s="10" t="inlineStr">
        <is>
          <t>Xây dựng</t>
        </is>
      </c>
      <c r="K12514" s="10" t="inlineStr">
        <is>
          <t>1 - 3 Năm</t>
        </is>
      </c>
      <c r="L12514" s="11">
        <f>HYPERLINK("https://careerviet.vn/vi/tim-viec-lam/ky-su-giam-sat-xay-dung-hoan-thien.35C6C3C0.html","Xem chi tiết")</f>
        <v/>
      </c>
      <c r="M12514" s="10" t="n"/>
    </row>
    <row r="12515">
      <c r="B12515" s="7" t="n">
        <v>12513</v>
      </c>
      <c r="C12515" t="inlineStr">
        <is>
          <t>Quản Lý Kỹ thuật Sản Xuất Cấp Cao (Thu Nhập $2000 - $6000) Tại Long An</t>
        </is>
      </c>
      <c r="D12515" t="inlineStr">
        <is>
          <t>Bảo mật</t>
        </is>
      </c>
      <c r="E12515" t="inlineStr">
        <is>
          <t>Lương:1.800 - 6.000 USD</t>
        </is>
      </c>
      <c r="F12515" t="inlineStr">
        <is>
          <t>Long AnHồ Chí Minh</t>
        </is>
      </c>
      <c r="G12515" t="inlineStr">
        <is>
          <t>30-05-2026</t>
        </is>
      </c>
      <c r="H12515" t="inlineStr">
        <is>
          <t>30/05/2026</t>
        </is>
      </c>
      <c r="I12515" t="inlineStr">
        <is>
          <t>17/03/2026</t>
        </is>
      </c>
      <c r="J12515" t="inlineStr">
        <is>
          <t>Cơ khí / Ô tô / Tự động hóa, Sản xuất / Vận hành sản xuất, Điện / Điện tử / Điện lạnh / Điện công nghiệp</t>
        </is>
      </c>
      <c r="K12515" t="inlineStr">
        <is>
          <t>5 - 10 Năm</t>
        </is>
      </c>
      <c r="L12515" s="8">
        <f>HYPERLINK("https://careerviet.vn/vi/tim-viec-lam/quan-ly-ky-thuat-san-xuat-cap-cao-thu-nhap-2000-6000-tai-long-an.35C6C3D0.html","Xem chi tiết")</f>
        <v/>
      </c>
    </row>
    <row r="12516">
      <c r="B12516" s="9" t="n">
        <v>12514</v>
      </c>
      <c r="C12516" s="10" t="inlineStr">
        <is>
          <t>NHÂN VIÊN QUAY - DỰNG PHIM</t>
        </is>
      </c>
      <c r="D12516" s="10" t="inlineStr">
        <is>
          <t>Công ty Cổ phần TM-SX-DV Gia Thịnh Phát</t>
        </is>
      </c>
      <c r="E12516" s="10" t="inlineStr">
        <is>
          <t>Lương:12 Tr - 15 Tr VND</t>
        </is>
      </c>
      <c r="F12516" s="10" t="inlineStr">
        <is>
          <t>Hồ Chí Minh</t>
        </is>
      </c>
      <c r="G12516" s="10" t="inlineStr">
        <is>
          <t>12-04-2026</t>
        </is>
      </c>
      <c r="H12516" s="10" t="inlineStr">
        <is>
          <t>12/04/2026</t>
        </is>
      </c>
      <c r="I12516" s="10" t="inlineStr">
        <is>
          <t>17/03/2026</t>
        </is>
      </c>
      <c r="J12516" s="10" t="inlineStr">
        <is>
          <t>Tiếp thị / Marketing, Thực phẩm &amp; Đồ uống, Mỹ thuật / Nghệ thuật / Thiết kế</t>
        </is>
      </c>
      <c r="K12516" s="10" t="inlineStr">
        <is>
          <t>1 - 3 Năm</t>
        </is>
      </c>
      <c r="L12516" s="11">
        <f>HYPERLINK("https://careerviet.vn/vi/tim-viec-lam/nhan-vien-quay-dung-phim.35C6C3CA.html","Xem chi tiết")</f>
        <v/>
      </c>
      <c r="M12516" s="10" t="n"/>
    </row>
    <row r="12517">
      <c r="B12517" s="7" t="n">
        <v>12515</v>
      </c>
      <c r="C12517" t="inlineStr">
        <is>
          <t>CHUYÊN VIÊN PHÁP LÝ DỰ ÁN</t>
        </is>
      </c>
      <c r="D12517" t="inlineStr">
        <is>
          <t>CÔNG TY CỔ PHẦN ĐẦU TƯ XÂY DỰNG TRUNG NAM  - TRUNGNAM</t>
        </is>
      </c>
      <c r="E12517" t="inlineStr">
        <is>
          <t>Lương:Cạnh tranh</t>
        </is>
      </c>
      <c r="F12517" t="inlineStr">
        <is>
          <t>Hồ Chí MinhNinh Thuận</t>
        </is>
      </c>
      <c r="G12517" t="inlineStr">
        <is>
          <t>11-04-2026</t>
        </is>
      </c>
      <c r="H12517" t="inlineStr">
        <is>
          <t>11/04/2026</t>
        </is>
      </c>
      <c r="I12517" t="inlineStr">
        <is>
          <t>17/03/2026</t>
        </is>
      </c>
      <c r="J12517" t="inlineStr">
        <is>
          <t>Luật / Pháp lý, Bất động sản, Xây dựng</t>
        </is>
      </c>
      <c r="K12517" t="inlineStr">
        <is>
          <t>Lên đến 3 Năm</t>
        </is>
      </c>
      <c r="L12517" s="8">
        <f>HYPERLINK("https://careerviet.vn/vi/tim-viec-lam/chuyen-vien-phap-ly-du-an.35C6C3CB.html","Xem chi tiết")</f>
        <v/>
      </c>
    </row>
    <row r="12518">
      <c r="B12518" s="9" t="n">
        <v>12516</v>
      </c>
      <c r="C12518" s="10" t="inlineStr">
        <is>
          <t>Cán bộ Tư vấn đầu tư Trụ sở chính (làm việc tại Phòng giao dịch)</t>
        </is>
      </c>
      <c r="D12518" s="10" t="inlineStr">
        <is>
          <t>Công ty TNHH Chứng khoán Ngân hàng TMCP Ngoại thương Việt Nam (VCBS - Vietcombank Securities)</t>
        </is>
      </c>
      <c r="E12518" s="10" t="inlineStr">
        <is>
          <t>Lương:Cạnh tranh</t>
        </is>
      </c>
      <c r="F12518" s="10" t="inlineStr">
        <is>
          <t>Hà Nội</t>
        </is>
      </c>
      <c r="G12518" s="10" t="inlineStr">
        <is>
          <t>30-05-2026</t>
        </is>
      </c>
      <c r="H12518" s="10" t="inlineStr">
        <is>
          <t>30/05/2026</t>
        </is>
      </c>
      <c r="I12518" s="10" t="inlineStr">
        <is>
          <t>17/03/2026</t>
        </is>
      </c>
      <c r="J12518" s="10" t="inlineStr">
        <is>
          <t>Chứng khoán</t>
        </is>
      </c>
      <c r="K12518" s="10" t="inlineStr">
        <is>
          <t>Lên đến 1 Năm</t>
        </is>
      </c>
      <c r="L12518" s="11">
        <f>HYPERLINK("https://careerviet.vn/vi/tim-viec-lam/can-bo-tu-van-dau-tu-tru-so-chinh-lam-viec-tai-phong-giao-dich.35C6C3DB.html","Xem chi tiết")</f>
        <v/>
      </c>
      <c r="M12518" s="10" t="n"/>
    </row>
    <row r="12519">
      <c r="B12519" s="7" t="n">
        <v>12517</v>
      </c>
      <c r="C12519" t="inlineStr">
        <is>
          <t>Chuyên viên HCNS tổng hợp</t>
        </is>
      </c>
      <c r="D12519" t="inlineStr">
        <is>
          <t>Công Ty Cổ Phần Thương Mại Aqua Stone</t>
        </is>
      </c>
      <c r="E12519" t="inlineStr">
        <is>
          <t>Lương:15 Tr - 18 Tr VND</t>
        </is>
      </c>
      <c r="F12519" t="inlineStr">
        <is>
          <t>Hồ Chí Minh</t>
        </is>
      </c>
      <c r="G12519" t="inlineStr">
        <is>
          <t>12-04-2026</t>
        </is>
      </c>
      <c r="H12519" t="inlineStr">
        <is>
          <t>12/04/2026</t>
        </is>
      </c>
      <c r="I12519" t="inlineStr">
        <is>
          <t>17/03/2026</t>
        </is>
      </c>
      <c r="J12519" t="inlineStr">
        <is>
          <t>Nhân sự, Tiếp thị trực tuyến</t>
        </is>
      </c>
      <c r="K12519" t="inlineStr">
        <is>
          <t>2 - 4 Năm</t>
        </is>
      </c>
      <c r="L12519" s="8">
        <f>HYPERLINK("https://careerviet.vn/vi/tim-viec-lam/chuyen-vien-hcns-tong-hop.35C6C3BA.html","Xem chi tiết")</f>
        <v/>
      </c>
    </row>
    <row r="12520">
      <c r="B12520" s="9" t="n">
        <v>12518</v>
      </c>
      <c r="C12520" s="10" t="inlineStr">
        <is>
          <t>Cán bộ Tư vấn đầu tư - Chi nhánh Đà Nẵng</t>
        </is>
      </c>
      <c r="D12520" s="10" t="inlineStr">
        <is>
          <t>Công ty TNHH Chứng khoán Ngân hàng TMCP Ngoại thương Việt Nam (VCBS - Vietcombank Securities)</t>
        </is>
      </c>
      <c r="E12520" s="10" t="inlineStr">
        <is>
          <t>Lương:Cạnh tranh</t>
        </is>
      </c>
      <c r="F12520" s="10" t="inlineStr">
        <is>
          <t>Đà Nẵng</t>
        </is>
      </c>
      <c r="G12520" s="10" t="inlineStr">
        <is>
          <t>29-04-2026</t>
        </is>
      </c>
      <c r="H12520" s="10" t="inlineStr">
        <is>
          <t>29/04/2026</t>
        </is>
      </c>
      <c r="I12520" s="10" t="inlineStr">
        <is>
          <t>17/03/2026</t>
        </is>
      </c>
      <c r="J12520" s="10" t="inlineStr">
        <is>
          <t>Chứng khoán, Tài chính / Đầu tư</t>
        </is>
      </c>
      <c r="K12520" s="10" t="inlineStr">
        <is>
          <t>Lên đến 1 Năm</t>
        </is>
      </c>
      <c r="L12520" s="11">
        <f>HYPERLINK("https://careerviet.vn/vi/tim-viec-lam/can-bo-tu-van-dau-tu-chi-nhanh-da-nang.35C6C3C8.html","Xem chi tiết")</f>
        <v/>
      </c>
      <c r="M12520" s="10" t="n"/>
    </row>
    <row r="12521">
      <c r="B12521" s="7" t="n">
        <v>12519</v>
      </c>
      <c r="C12521" t="inlineStr">
        <is>
          <t>AOI Technician</t>
        </is>
      </c>
      <c r="D12521" t="inlineStr">
        <is>
          <t>CÔNG TY TNHH DYNAMIC TEST SOLUTIONS VIỆT NAM</t>
        </is>
      </c>
      <c r="E12521" t="inlineStr">
        <is>
          <t>Lương:16 Tr - 28 Tr VND</t>
        </is>
      </c>
      <c r="F12521" t="inlineStr">
        <is>
          <t>Hồ Chí Minh</t>
        </is>
      </c>
      <c r="G12521" t="inlineStr">
        <is>
          <t>30-04-2026</t>
        </is>
      </c>
      <c r="H12521" t="inlineStr">
        <is>
          <t>30/04/2026</t>
        </is>
      </c>
      <c r="I12521" t="inlineStr">
        <is>
          <t>17/03/2026</t>
        </is>
      </c>
      <c r="J12521" t="inlineStr">
        <is>
          <t>Điện / Điện tử / Điện lạnh / Điện công nghiệp, Cơ khí / Ô tô / Tự động hóa, Sản xuất / Vận hành sản xuất</t>
        </is>
      </c>
      <c r="K12521" t="inlineStr">
        <is>
          <t>2 - 5 Năm</t>
        </is>
      </c>
      <c r="L12521" s="8">
        <f>HYPERLINK("https://careerviet.vn/vi/tim-viec-lam/aoi-technician.35C6C3BE.html","Xem chi tiết")</f>
        <v/>
      </c>
    </row>
    <row r="12522">
      <c r="B12522" s="9" t="n">
        <v>12520</v>
      </c>
      <c r="C12522" s="10" t="inlineStr">
        <is>
          <t>nv qaqc công trình</t>
        </is>
      </c>
      <c r="D12522" s="10" t="inlineStr">
        <is>
          <t>Công Ty Cổ Phần Thương Mại Aqua Stone</t>
        </is>
      </c>
      <c r="E12522" s="10" t="inlineStr">
        <is>
          <t>Lương:15 Tr - 20 Tr VND</t>
        </is>
      </c>
      <c r="F12522" s="10" t="inlineStr">
        <is>
          <t>Hồ Chí Minh</t>
        </is>
      </c>
      <c r="G12522" s="10" t="inlineStr">
        <is>
          <t>12-04-2026</t>
        </is>
      </c>
      <c r="H12522" s="10" t="inlineStr">
        <is>
          <t>12/04/2026</t>
        </is>
      </c>
      <c r="I12522" s="10" t="inlineStr">
        <is>
          <t>17/03/2026</t>
        </is>
      </c>
      <c r="J12522" s="10" t="inlineStr">
        <is>
          <t>Xây dựng</t>
        </is>
      </c>
      <c r="K12522" s="10" t="inlineStr">
        <is>
          <t>Trên 1 Năm</t>
        </is>
      </c>
      <c r="L12522" s="11">
        <f>HYPERLINK("https://careerviet.vn/vi/tim-viec-lam/nv-qaqc-cong-trinh.35C6C3CC.html","Xem chi tiết")</f>
        <v/>
      </c>
      <c r="M12522" s="10" t="n"/>
    </row>
    <row r="12523">
      <c r="B12523" s="7" t="n">
        <v>12521</v>
      </c>
      <c r="C12523" t="inlineStr">
        <is>
          <t>Industrial Development Executive (R&amp;D – Ngành Gỗ &amp; Sơn Nội Thất)</t>
        </is>
      </c>
      <c r="D12523" t="inlineStr">
        <is>
          <t>CÔNG TY TNHH DỊCH VỤ THƯƠNG MẠI THIÊN HỒNG</t>
        </is>
      </c>
      <c r="E12523" t="inlineStr">
        <is>
          <t>Lương:Cạnh tranh</t>
        </is>
      </c>
      <c r="F12523" t="inlineStr">
        <is>
          <t>Bình Dương</t>
        </is>
      </c>
      <c r="G12523" t="inlineStr">
        <is>
          <t>31-05-2026</t>
        </is>
      </c>
      <c r="H12523" t="inlineStr">
        <is>
          <t>31/05/2026</t>
        </is>
      </c>
      <c r="I12523" t="inlineStr">
        <is>
          <t>17/03/2026</t>
        </is>
      </c>
      <c r="J12523" t="inlineStr">
        <is>
          <t>Đồ gỗ, Hóa học</t>
        </is>
      </c>
      <c r="K12523" t="inlineStr">
        <is>
          <t>3 - 5 Năm</t>
        </is>
      </c>
      <c r="L12523" s="8">
        <f>HYPERLINK("https://careerviet.vn/vi/tim-viec-lam/industrial-development-executive-r-d-nganh-go-son-noi-that.35C6C3C3.html","Xem chi tiết")</f>
        <v/>
      </c>
    </row>
    <row r="12524">
      <c r="B12524" s="9" t="n">
        <v>12522</v>
      </c>
      <c r="C12524" s="10" t="inlineStr">
        <is>
          <t>Legal Officer</t>
        </is>
      </c>
      <c r="D12524" s="10" t="inlineStr">
        <is>
          <t>CÔNG TY TNHH THAI CORP INTERNATIONAL (VIỆT NAM)</t>
        </is>
      </c>
      <c r="E12524" s="10" t="inlineStr">
        <is>
          <t>Lương:14 Tr - 25 Tr VND</t>
        </is>
      </c>
      <c r="F12524" s="10" t="inlineStr">
        <is>
          <t>Hồ Chí Minh</t>
        </is>
      </c>
      <c r="G12524" s="10" t="inlineStr">
        <is>
          <t>10-04-2026</t>
        </is>
      </c>
      <c r="H12524" s="10" t="inlineStr">
        <is>
          <t>10/04/2026</t>
        </is>
      </c>
      <c r="I12524" s="10" t="inlineStr">
        <is>
          <t>17/03/2026</t>
        </is>
      </c>
      <c r="J12524" s="10" t="inlineStr">
        <is>
          <t>Luật / Pháp lý, Hành chính / Thư ký, Nhân sự</t>
        </is>
      </c>
      <c r="K12524" s="10" t="inlineStr">
        <is>
          <t>2 - 3 Năm</t>
        </is>
      </c>
      <c r="L12524" s="11">
        <f>HYPERLINK("https://careerviet.vn/vi/tim-viec-lam/legal-officer.35C6C0C7.html","Xem chi tiết")</f>
        <v/>
      </c>
      <c r="M12524" s="10" t="n"/>
    </row>
    <row r="12525">
      <c r="B12525" s="7" t="n">
        <v>12523</v>
      </c>
      <c r="C12525" t="inlineStr">
        <is>
          <t>Nhân Viên Kế Toán Dịch Vụ - Quận 2</t>
        </is>
      </c>
      <c r="D12525" t="inlineStr">
        <is>
          <t>Công ty TNHH Sản xuất Thương mại &amp; Dịch vụ Hoa Xinh</t>
        </is>
      </c>
      <c r="E12525" t="inlineStr">
        <is>
          <t>Lương:10 Tr - 20 Tr VND</t>
        </is>
      </c>
      <c r="F12525" t="inlineStr">
        <is>
          <t>Hồ Chí Minh</t>
        </is>
      </c>
      <c r="G12525" t="inlineStr">
        <is>
          <t>25-04-2026</t>
        </is>
      </c>
      <c r="H12525" t="inlineStr">
        <is>
          <t>25/04/2026</t>
        </is>
      </c>
      <c r="I12525" t="inlineStr">
        <is>
          <t>17/03/2026</t>
        </is>
      </c>
      <c r="J12525" t="inlineStr">
        <is>
          <t>Kế toán / Kiểm toán</t>
        </is>
      </c>
      <c r="K12525" t="inlineStr">
        <is>
          <t>1 - 5 Năm</t>
        </is>
      </c>
      <c r="L12525" s="8">
        <f>HYPERLINK("https://careerviet.vn/vi/tim-viec-lam/nhan-vien-ke-toan-dich-vu-quan-2.35C6C2D2.html","Xem chi tiết")</f>
        <v/>
      </c>
    </row>
    <row r="12526">
      <c r="B12526" s="9" t="n">
        <v>12524</v>
      </c>
      <c r="C12526" s="10" t="inlineStr">
        <is>
          <t>Nhân viên Hồ sơ thầu</t>
        </is>
      </c>
      <c r="D12526" s="10" t="inlineStr">
        <is>
          <t>Công ty TNHH Bình Việt Đức (BIVID)</t>
        </is>
      </c>
      <c r="E12526" s="10" t="inlineStr">
        <is>
          <t>Lương:12 Tr - 15 Tr VND</t>
        </is>
      </c>
      <c r="F12526" s="10" t="inlineStr">
        <is>
          <t>Hồ Chí Minh</t>
        </is>
      </c>
      <c r="G12526" s="10" t="inlineStr">
        <is>
          <t>30-04-2026</t>
        </is>
      </c>
      <c r="H12526" s="10" t="inlineStr">
        <is>
          <t>30/04/2026</t>
        </is>
      </c>
      <c r="I12526" s="10" t="inlineStr">
        <is>
          <t>17/03/2026</t>
        </is>
      </c>
      <c r="J12526" s="10" t="inlineStr">
        <is>
          <t>Dược phẩm/ Hóa Mỹ Phẩm, Y tế / Chăm sóc sức khỏe / Thẩm mỹ / Làm đẹp, Quản lý điều hành</t>
        </is>
      </c>
      <c r="K12526" s="10" t="inlineStr">
        <is>
          <t>2 - 3 Năm</t>
        </is>
      </c>
      <c r="L12526" s="11">
        <f>HYPERLINK("https://careerviet.vn/vi/tim-viec-lam/nhan-vien-ho-so-thau.35C6BE3F.html","Xem chi tiết")</f>
        <v/>
      </c>
      <c r="M12526" s="10" t="n"/>
    </row>
    <row r="12527">
      <c r="B12527" s="7" t="n">
        <v>12525</v>
      </c>
      <c r="C12527" t="inlineStr">
        <is>
          <t>(HCM) Trưởng Nhóm Giám Sát MEP</t>
        </is>
      </c>
      <c r="D12527" t="inlineStr">
        <is>
          <t>Công Ty TNHH Tập Đoàn Rita Võ</t>
        </is>
      </c>
      <c r="E12527" t="inlineStr">
        <is>
          <t>Lương:25 Tr - 30 Tr VND</t>
        </is>
      </c>
      <c r="F12527" t="inlineStr">
        <is>
          <t>Hồ Chí Minh</t>
        </is>
      </c>
      <c r="G12527" t="inlineStr">
        <is>
          <t>12-04-2026</t>
        </is>
      </c>
      <c r="H12527" t="inlineStr">
        <is>
          <t>12/04/2026</t>
        </is>
      </c>
      <c r="I12527" t="inlineStr">
        <is>
          <t>17/03/2026</t>
        </is>
      </c>
      <c r="J12527" t="inlineStr">
        <is>
          <t>Xây dựng, Kiến trúc</t>
        </is>
      </c>
      <c r="K12527" t="inlineStr">
        <is>
          <t>3 - 5 Năm</t>
        </is>
      </c>
      <c r="L12527" s="8">
        <f>HYPERLINK("https://careerviet.vn/vi/tim-viec-lam/hcm-truong-nhom-giam-sat-mep.35C6C3B7.html","Xem chi tiết")</f>
        <v/>
      </c>
    </row>
    <row r="12528">
      <c r="B12528" s="9" t="n">
        <v>12526</v>
      </c>
      <c r="C12528" s="10" t="inlineStr">
        <is>
          <t>Nhân viên Lái xe (Phục vụ Lãnh đạo) - Khu vực Hồ Chí Minh</t>
        </is>
      </c>
      <c r="D12528" s="10" t="inlineStr">
        <is>
          <t>Ngân hàng TMCP Việt Á – VietABank</t>
        </is>
      </c>
      <c r="E12528" s="10" t="inlineStr">
        <is>
          <t>Lương:Cạnh tranh</t>
        </is>
      </c>
      <c r="F12528" s="10" t="inlineStr">
        <is>
          <t>Hồ Chí Minh</t>
        </is>
      </c>
      <c r="G12528" s="10" t="inlineStr">
        <is>
          <t>12-04-2026</t>
        </is>
      </c>
      <c r="H12528" s="10" t="inlineStr">
        <is>
          <t>12/04/2026</t>
        </is>
      </c>
      <c r="I12528" s="10" t="inlineStr">
        <is>
          <t>17/03/2026</t>
        </is>
      </c>
      <c r="J12528" s="10" t="inlineStr">
        <is>
          <t>Ngân hàng</t>
        </is>
      </c>
      <c r="K12528" s="10" t="inlineStr">
        <is>
          <t>1 - 3 Năm</t>
        </is>
      </c>
      <c r="L12528" s="11">
        <f>HYPERLINK("https://careerviet.vn/vi/tim-viec-lam/nhan-vien-lai-xe-phuc-vu-lanh-dao-khu-vuc-ho-chi-minh.35C6C3B2.html","Xem chi tiết")</f>
        <v/>
      </c>
      <c r="M12528" s="10" t="n"/>
    </row>
    <row r="12529">
      <c r="B12529" s="7" t="n">
        <v>12527</v>
      </c>
      <c r="C12529" t="inlineStr">
        <is>
          <t>[Bà Rịa - Vũng Tàu] Nhân Viên Kinh Doanh Nội Thất</t>
        </is>
      </c>
      <c r="D12529" t="inlineStr">
        <is>
          <t>Công Ty TNHH Tập Đoàn Rita Võ</t>
        </is>
      </c>
      <c r="E12529" t="inlineStr">
        <is>
          <t>Lương:8 Tr - 20 Tr VND</t>
        </is>
      </c>
      <c r="F12529" t="inlineStr">
        <is>
          <t>Bà Rịa - Vũng Tàu</t>
        </is>
      </c>
      <c r="G12529" t="inlineStr">
        <is>
          <t>12-04-2026</t>
        </is>
      </c>
      <c r="H12529" t="inlineStr">
        <is>
          <t>12/04/2026</t>
        </is>
      </c>
      <c r="I12529" t="inlineStr">
        <is>
          <t>17/03/2026</t>
        </is>
      </c>
      <c r="J12529" t="inlineStr">
        <is>
          <t>Bán hàng / Kinh doanh, Tư vấn, Bán lẻ / Bán sỉ</t>
        </is>
      </c>
      <c r="K12529" t="inlineStr">
        <is>
          <t>N/A</t>
        </is>
      </c>
      <c r="L12529" s="8">
        <f>HYPERLINK("https://careerviet.vn/vi/tim-viec-lam/ba-ria-vung-tau-nhan-vien-kinh-doanh-noi-that.35C6C39F.html","Xem chi tiết")</f>
        <v/>
      </c>
    </row>
    <row r="12530">
      <c r="B12530" s="9" t="n">
        <v>12528</v>
      </c>
      <c r="C12530" s="10" t="inlineStr">
        <is>
          <t>[HO] - AI ENGINEER</t>
        </is>
      </c>
      <c r="D12530" s="10" t="inlineStr">
        <is>
          <t>Shinhan Bank Vietnam</t>
        </is>
      </c>
      <c r="E12530" s="10" t="inlineStr">
        <is>
          <t>Lương:Cạnh tranh</t>
        </is>
      </c>
      <c r="F12530" s="10" t="inlineStr">
        <is>
          <t>Hồ Chí Minh</t>
        </is>
      </c>
      <c r="G12530" s="10" t="inlineStr">
        <is>
          <t>29-04-2026</t>
        </is>
      </c>
      <c r="H12530" s="10" t="inlineStr">
        <is>
          <t>29/04/2026</t>
        </is>
      </c>
      <c r="I12530" s="10" t="inlineStr">
        <is>
          <t>17/03/2026</t>
        </is>
      </c>
      <c r="J12530" s="10" t="inlineStr">
        <is>
          <t>Ngân hàng</t>
        </is>
      </c>
      <c r="K12530" s="10" t="inlineStr">
        <is>
          <t>Trên 5 Năm</t>
        </is>
      </c>
      <c r="L12530" s="11">
        <f>HYPERLINK("https://careerviet.vn/vi/tim-viec-lam/ho-ai-engineer.35C6C3B3.html","Xem chi tiết")</f>
        <v/>
      </c>
      <c r="M12530" s="10" t="n"/>
    </row>
    <row r="12531">
      <c r="B12531" s="7" t="n">
        <v>12529</v>
      </c>
      <c r="C12531" t="inlineStr">
        <is>
          <t>Merchandising Staff (Purchasing, Garment)</t>
        </is>
      </c>
      <c r="D12531" t="inlineStr">
        <is>
          <t>MOTIVES VIETNAM CORPORATION</t>
        </is>
      </c>
      <c r="E12531" t="inlineStr">
        <is>
          <t>Lương:Cạnh tranh</t>
        </is>
      </c>
      <c r="F12531" t="inlineStr">
        <is>
          <t>Hồ Chí Minh</t>
        </is>
      </c>
      <c r="G12531" t="inlineStr">
        <is>
          <t>30-04-2026</t>
        </is>
      </c>
      <c r="H12531" t="inlineStr">
        <is>
          <t>30/04/2026</t>
        </is>
      </c>
      <c r="I12531" t="inlineStr">
        <is>
          <t>17/03/2026</t>
        </is>
      </c>
      <c r="J12531" t="inlineStr">
        <is>
          <t>Dệt may / Da giày / Thời trang</t>
        </is>
      </c>
      <c r="K12531" t="inlineStr">
        <is>
          <t>Trên 1 Năm</t>
        </is>
      </c>
      <c r="L12531" s="8">
        <f>HYPERLINK("https://careerviet.vn/vi/tim-viec-lam/merchandising-staff-purchasing-garment.35C6C3B0.html","Xem chi tiết")</f>
        <v/>
      </c>
    </row>
    <row r="12532">
      <c r="B12532" s="9" t="n">
        <v>12530</v>
      </c>
      <c r="C12532" s="10" t="inlineStr">
        <is>
          <t>Chuyên viên kế hoạch</t>
        </is>
      </c>
      <c r="D12532" s="10" t="inlineStr">
        <is>
          <t>Công Ty Cổ Phần Hai Bốn Bảy</t>
        </is>
      </c>
      <c r="E12532" s="10" t="inlineStr">
        <is>
          <t>Lương:12 Tr - 18 Tr VND</t>
        </is>
      </c>
      <c r="F12532" s="10" t="inlineStr">
        <is>
          <t>Hồ Chí Minh</t>
        </is>
      </c>
      <c r="G12532" s="10" t="inlineStr">
        <is>
          <t>14-04-2026</t>
        </is>
      </c>
      <c r="H12532" s="10" t="inlineStr">
        <is>
          <t>14/04/2026</t>
        </is>
      </c>
      <c r="I12532" s="10" t="inlineStr">
        <is>
          <t>17/03/2026</t>
        </is>
      </c>
      <c r="J12532" s="10" t="inlineStr">
        <is>
          <t>Bưu chính viễn thông, Thống kê</t>
        </is>
      </c>
      <c r="K12532" s="10" t="inlineStr">
        <is>
          <t>1 - 3 Năm</t>
        </is>
      </c>
      <c r="L12532" s="11">
        <f>HYPERLINK("https://careerviet.vn/vi/tim-viec-lam/chuyen-vien-ke-hoach.35C6C3A9.html","Xem chi tiết")</f>
        <v/>
      </c>
      <c r="M12532" s="10" t="n"/>
    </row>
    <row r="12533">
      <c r="B12533" s="7" t="n">
        <v>12531</v>
      </c>
      <c r="C12533" t="inlineStr">
        <is>
          <t>Trưởng Nhóm Quản Lý Thiết Kế</t>
        </is>
      </c>
      <c r="D12533" t="inlineStr">
        <is>
          <t>CÔNG TY CỔ PHẦN TẬP ĐOÀN ĐẦU TƯ I.P.A</t>
        </is>
      </c>
      <c r="E12533" t="inlineStr">
        <is>
          <t>Lương:Cạnh tranh</t>
        </is>
      </c>
      <c r="F12533" t="inlineStr">
        <is>
          <t>Hà Nội</t>
        </is>
      </c>
      <c r="G12533" t="inlineStr">
        <is>
          <t>30-04-2026</t>
        </is>
      </c>
      <c r="H12533" t="inlineStr">
        <is>
          <t>30/04/2026</t>
        </is>
      </c>
      <c r="I12533" t="inlineStr">
        <is>
          <t>17/03/2026</t>
        </is>
      </c>
      <c r="J12533" t="inlineStr">
        <is>
          <t>Kiến trúc, Mỹ thuật / Nghệ thuật / Thiết kế, Xây dựng</t>
        </is>
      </c>
      <c r="K12533" t="inlineStr">
        <is>
          <t>1 - 3 Năm</t>
        </is>
      </c>
      <c r="L12533" s="8">
        <f>HYPERLINK("https://careerviet.vn/vi/tim-viec-lam/truong-nhom-quan-ly-thiet-ke.35C6C39B.html","Xem chi tiết")</f>
        <v/>
      </c>
    </row>
    <row r="12534">
      <c r="B12534" s="9" t="n">
        <v>12532</v>
      </c>
      <c r="C12534" s="10" t="inlineStr">
        <is>
          <t>Kỹ thuật Trắc Đạc</t>
        </is>
      </c>
      <c r="D12534" s="10" t="inlineStr">
        <is>
          <t>CÔNG TY CỔ PHẦN ĐẦU TƯ XÂY DỰNG HÀ TIÊN</t>
        </is>
      </c>
      <c r="E12534" s="10" t="inlineStr">
        <is>
          <t>Lương:12 Tr - 20 Tr VND</t>
        </is>
      </c>
      <c r="F12534" s="10" t="inlineStr">
        <is>
          <t>Hồ Chí Minh</t>
        </is>
      </c>
      <c r="G12534" s="10" t="inlineStr">
        <is>
          <t>12-04-2026</t>
        </is>
      </c>
      <c r="H12534" s="10" t="inlineStr">
        <is>
          <t>12/04/2026</t>
        </is>
      </c>
      <c r="I12534" s="10" t="inlineStr">
        <is>
          <t>17/03/2026</t>
        </is>
      </c>
      <c r="J12534" s="10" t="inlineStr">
        <is>
          <t>Xây dựng, Trắc địa / Địa Chất</t>
        </is>
      </c>
      <c r="K12534" s="10" t="inlineStr">
        <is>
          <t>1 - 3 Năm</t>
        </is>
      </c>
      <c r="L12534" s="11">
        <f>HYPERLINK("https://careerviet.vn/vi/tim-viec-lam/ky-thuat-trac-dac.35C6C3A8.html","Xem chi tiết")</f>
        <v/>
      </c>
      <c r="M12534" s="10" t="n"/>
    </row>
    <row r="12535">
      <c r="B12535" s="7" t="n">
        <v>12533</v>
      </c>
      <c r="C12535" t="inlineStr">
        <is>
          <t>(HCM-Quận 2 cũ) Nhân Viên Kinh Doanh Nội Thất Nhà Tắm</t>
        </is>
      </c>
      <c r="D12535" t="inlineStr">
        <is>
          <t>Công Ty TNHH Tập Đoàn Rita Võ</t>
        </is>
      </c>
      <c r="E12535" t="inlineStr">
        <is>
          <t>Lương:12 Tr - 20 Tr VND</t>
        </is>
      </c>
      <c r="F12535" t="inlineStr">
        <is>
          <t>Hồ Chí Minh</t>
        </is>
      </c>
      <c r="G12535" t="inlineStr">
        <is>
          <t>12-04-2026</t>
        </is>
      </c>
      <c r="H12535" t="inlineStr">
        <is>
          <t>12/04/2026</t>
        </is>
      </c>
      <c r="I12535" t="inlineStr">
        <is>
          <t>17/03/2026</t>
        </is>
      </c>
      <c r="J12535" t="inlineStr">
        <is>
          <t>Bán lẻ / Bán sỉ, Bán hàng / Kinh doanh</t>
        </is>
      </c>
      <c r="K12535" t="inlineStr">
        <is>
          <t>N/A</t>
        </is>
      </c>
      <c r="L12535" s="8">
        <f>HYPERLINK("https://careerviet.vn/vi/tim-viec-lam/hcm-quan-2-cu-nhan-vien-kinh-doanh-noi-that-nha-tam.35C6C3AE.html","Xem chi tiết")</f>
        <v/>
      </c>
    </row>
    <row r="12536">
      <c r="B12536" s="9" t="n">
        <v>12534</v>
      </c>
      <c r="C12536" s="10" t="inlineStr">
        <is>
          <t>Phiên Dịch Tiếng Trung</t>
        </is>
      </c>
      <c r="D12536" s="10" t="inlineStr">
        <is>
          <t>CÔNG TY CỔ PHẦN XÂY DỰNG CÔNG TRÌNH THÀNH MINH</t>
        </is>
      </c>
      <c r="E12536" s="10" t="inlineStr">
        <is>
          <t>Lương:Lên đến 15 Tr VND</t>
        </is>
      </c>
      <c r="F12536" s="10" t="inlineStr">
        <is>
          <t>Hà Nội</t>
        </is>
      </c>
      <c r="G12536" s="10" t="inlineStr">
        <is>
          <t>11-04-2026</t>
        </is>
      </c>
      <c r="H12536" s="10" t="inlineStr">
        <is>
          <t>11/04/2026</t>
        </is>
      </c>
      <c r="I12536" s="10" t="inlineStr">
        <is>
          <t>17/03/2026</t>
        </is>
      </c>
      <c r="J12536" s="10" t="inlineStr">
        <is>
          <t>Biên phiên dịch, Hành chính / Thư ký, Xây dựng</t>
        </is>
      </c>
      <c r="K12536" s="10" t="inlineStr">
        <is>
          <t>N/A</t>
        </is>
      </c>
      <c r="L12536" s="11">
        <f>HYPERLINK("https://careerviet.vn/vi/tim-viec-lam/phien-dich-tieng-trung.35C6C3AC.html","Xem chi tiết")</f>
        <v/>
      </c>
      <c r="M12536" s="10" t="n"/>
    </row>
    <row r="12537">
      <c r="B12537" s="7" t="n">
        <v>12535</v>
      </c>
      <c r="C12537" t="inlineStr">
        <is>
          <t>GIÁM ĐỐC NHÀ MÁY</t>
        </is>
      </c>
      <c r="D12537" t="inlineStr">
        <is>
          <t>CÔNG TY CỔ PHẦN DEWOO VIỆT NAM</t>
        </is>
      </c>
      <c r="E12537" t="inlineStr">
        <is>
          <t>Lương:25 Tr - 45 Tr VND</t>
        </is>
      </c>
      <c r="F12537" t="inlineStr">
        <is>
          <t>Bình Dương</t>
        </is>
      </c>
      <c r="G12537" t="inlineStr">
        <is>
          <t>11-04-2026</t>
        </is>
      </c>
      <c r="H12537" t="inlineStr">
        <is>
          <t>11/04/2026</t>
        </is>
      </c>
      <c r="I12537" t="inlineStr">
        <is>
          <t>17/03/2026</t>
        </is>
      </c>
      <c r="J12537" t="inlineStr">
        <is>
          <t>Sản xuất / Vận hành sản xuất, Quản lý điều hành</t>
        </is>
      </c>
      <c r="K12537" t="inlineStr">
        <is>
          <t>Trên 2 Năm</t>
        </is>
      </c>
      <c r="L12537" s="8">
        <f>HYPERLINK("https://careerviet.vn/vi/tim-viec-lam/giam-doc-nha-may.35C6C39D.html","Xem chi tiết")</f>
        <v/>
      </c>
    </row>
    <row r="12538">
      <c r="B12538" s="9" t="n">
        <v>12536</v>
      </c>
      <c r="C12538" s="10" t="inlineStr">
        <is>
          <t>Nhân viên kinh doanh (ngành hàng kim khí)</t>
        </is>
      </c>
      <c r="D12538" s="10" t="inlineStr">
        <is>
          <t>Tập Đoàn Tân Á Đại Thành</t>
        </is>
      </c>
      <c r="E12538" s="10" t="inlineStr">
        <is>
          <t>Lương:8 Tr - 15 Tr VND</t>
        </is>
      </c>
      <c r="F12538" s="10" t="inlineStr">
        <is>
          <t>Kiên GiangHồ Chí Minh</t>
        </is>
      </c>
      <c r="G12538" s="10" t="inlineStr">
        <is>
          <t>11-04-2026</t>
        </is>
      </c>
      <c r="H12538" s="10" t="inlineStr">
        <is>
          <t>11/04/2026</t>
        </is>
      </c>
      <c r="I12538" s="10" t="inlineStr">
        <is>
          <t>17/03/2026</t>
        </is>
      </c>
      <c r="J12538" s="10" t="inlineStr">
        <is>
          <t>Bán hàng / Kinh doanh</t>
        </is>
      </c>
      <c r="K12538" s="10" t="inlineStr">
        <is>
          <t>N/A</t>
        </is>
      </c>
      <c r="L12538" s="11">
        <f>HYPERLINK("https://careerviet.vn/vi/tim-viec-lam/nhan-vien-kinh-doanh-nganh-hang-kim-khi.35C69FAC.html","Xem chi tiết")</f>
        <v/>
      </c>
      <c r="M12538" s="10" t="n"/>
    </row>
    <row r="12539">
      <c r="B12539" s="7" t="n">
        <v>12537</v>
      </c>
      <c r="C12539" t="inlineStr">
        <is>
          <t>Nhân Viên Tập Sự Vận Hành - OEC</t>
        </is>
      </c>
      <c r="D12539" t="inlineStr">
        <is>
          <t>Công Ty CP Chứng Khoán VNDIRECT</t>
        </is>
      </c>
      <c r="E12539" t="inlineStr">
        <is>
          <t>Lương:Cạnh tranh</t>
        </is>
      </c>
      <c r="F12539" t="inlineStr">
        <is>
          <t>Hà Nội</t>
        </is>
      </c>
      <c r="G12539" t="inlineStr">
        <is>
          <t>29-04-2026</t>
        </is>
      </c>
      <c r="H12539" t="inlineStr">
        <is>
          <t>29/04/2026</t>
        </is>
      </c>
      <c r="I12539" t="inlineStr">
        <is>
          <t>17/03/2026</t>
        </is>
      </c>
      <c r="J12539" t="inlineStr">
        <is>
          <t>CNTT - Phần mềm, Bán hàng / Kinh doanh, Chứng khoán</t>
        </is>
      </c>
      <c r="K12539" t="inlineStr">
        <is>
          <t>Lên đến 2 Năm</t>
        </is>
      </c>
      <c r="L12539" s="8">
        <f>HYPERLINK("https://careerviet.vn/vi/tim-viec-lam/nhan-vien-tap-su-van-hanh-oec.35C6C3AB.html","Xem chi tiết")</f>
        <v/>
      </c>
    </row>
    <row r="12540">
      <c r="B12540" s="9" t="n">
        <v>12538</v>
      </c>
      <c r="C12540" s="10" t="inlineStr">
        <is>
          <t>Chuyên viên Pháp chế Hành chính</t>
        </is>
      </c>
      <c r="D12540" s="10" t="inlineStr">
        <is>
          <t>Công ty cổ phần Tập đoàn Tài Tâm (Tài Tâm Group)</t>
        </is>
      </c>
      <c r="E12540" s="10" t="inlineStr">
        <is>
          <t>Lương:12 Tr - 16 Tr VND</t>
        </is>
      </c>
      <c r="F12540" s="10" t="inlineStr">
        <is>
          <t>Hà Nội</t>
        </is>
      </c>
      <c r="G12540" s="10" t="inlineStr">
        <is>
          <t>10-04-2026</t>
        </is>
      </c>
      <c r="H12540" s="10" t="inlineStr">
        <is>
          <t>10/04/2026</t>
        </is>
      </c>
      <c r="I12540" s="10" t="inlineStr">
        <is>
          <t>17/03/2026</t>
        </is>
      </c>
      <c r="J12540" s="10" t="inlineStr">
        <is>
          <t>Luật / Pháp lý, Hành chính / Thư ký, Nhân sự</t>
        </is>
      </c>
      <c r="K12540" s="10" t="inlineStr">
        <is>
          <t>3 - 5 Năm</t>
        </is>
      </c>
      <c r="L12540" s="11">
        <f>HYPERLINK("https://careerviet.vn/vi/tim-viec-lam/chuyen-vien-phap-che-hanh-chinh.35C6C39A.html","Xem chi tiết")</f>
        <v/>
      </c>
      <c r="M12540" s="10" t="n"/>
    </row>
    <row r="12541">
      <c r="B12541" s="7" t="n">
        <v>12539</v>
      </c>
      <c r="C12541" t="inlineStr">
        <is>
          <t>Employee Relations Specialist II</t>
        </is>
      </c>
      <c r="D12541" t="inlineStr">
        <is>
          <t>Jabil Vietnam</t>
        </is>
      </c>
      <c r="E12541" t="inlineStr">
        <is>
          <t>Lương:Cạnh tranh</t>
        </is>
      </c>
      <c r="F12541" t="inlineStr">
        <is>
          <t>Hồ Chí Minh</t>
        </is>
      </c>
      <c r="G12541" t="inlineStr">
        <is>
          <t>09-05-2026</t>
        </is>
      </c>
      <c r="H12541" t="inlineStr">
        <is>
          <t>09/05/2026</t>
        </is>
      </c>
      <c r="I12541" t="inlineStr">
        <is>
          <t>17/03/2026</t>
        </is>
      </c>
      <c r="J12541" t="inlineStr">
        <is>
          <t>Nhân sự</t>
        </is>
      </c>
      <c r="K12541" t="inlineStr">
        <is>
          <t>4 - 8 Năm</t>
        </is>
      </c>
      <c r="L12541" s="8">
        <f>HYPERLINK("https://careerviet.vn/vi/tim-viec-lam/employee-relations-specialist-ii.35C6C3BC.html","Xem chi tiết")</f>
        <v/>
      </c>
    </row>
    <row r="12542">
      <c r="B12542" s="9" t="n">
        <v>12540</v>
      </c>
      <c r="C12542" s="10" t="inlineStr">
        <is>
          <t>Trưởng phòng/Nhân viên kinh doanh (Logistics, tiếng Trung)</t>
        </is>
      </c>
      <c r="D12542" s="10" t="inlineStr">
        <is>
          <t>Headhunter HRchannels Group</t>
        </is>
      </c>
      <c r="E12542" s="10" t="inlineStr">
        <is>
          <t>Lương:15 Tr - 30 Tr VND</t>
        </is>
      </c>
      <c r="F12542" s="10" t="inlineStr">
        <is>
          <t>Hà NộiLạng Sơn</t>
        </is>
      </c>
      <c r="G12542" s="10" t="inlineStr">
        <is>
          <t>14-04-2026</t>
        </is>
      </c>
      <c r="H12542" s="10" t="inlineStr">
        <is>
          <t>14/04/2026</t>
        </is>
      </c>
      <c r="I12542" s="10" t="inlineStr">
        <is>
          <t>17/03/2026</t>
        </is>
      </c>
      <c r="J12542" s="10" t="inlineStr">
        <is>
          <t>Bán hàng / Kinh doanh, Vận chuyển / Giao nhận / Kho vận</t>
        </is>
      </c>
      <c r="K12542" s="10" t="inlineStr">
        <is>
          <t>3 - 10 Năm</t>
        </is>
      </c>
      <c r="L12542" s="11">
        <f>HYPERLINK("https://careerviet.vn/vi/tim-viec-lam/truong-phong-nhan-vien-kinh-doanh-logistics-tieng-trung.35C6C396.html","Xem chi tiết")</f>
        <v/>
      </c>
      <c r="M12542" s="10" t="n"/>
    </row>
    <row r="12543">
      <c r="B12543" s="7" t="n">
        <v>12541</v>
      </c>
      <c r="C12543" t="inlineStr">
        <is>
          <t>Trưởng Nhóm Kỹ Sư Xây Dựng</t>
        </is>
      </c>
      <c r="D12543" t="inlineStr">
        <is>
          <t>CÔNG TY CỔ PHẦN TẬP ĐOÀN ĐẦU TƯ I.P.A</t>
        </is>
      </c>
      <c r="E12543" t="inlineStr">
        <is>
          <t>Lương:Cạnh tranh</t>
        </is>
      </c>
      <c r="F12543" t="inlineStr">
        <is>
          <t>Hưng Yên</t>
        </is>
      </c>
      <c r="G12543" t="inlineStr">
        <is>
          <t>30-04-2026</t>
        </is>
      </c>
      <c r="H12543" t="inlineStr">
        <is>
          <t>30/04/2026</t>
        </is>
      </c>
      <c r="I12543" t="inlineStr">
        <is>
          <t>17/03/2026</t>
        </is>
      </c>
      <c r="J12543" t="inlineStr">
        <is>
          <t>Xây dựng, Sản xuất / Vận hành sản xuất, Ngành khác</t>
        </is>
      </c>
      <c r="K12543" t="inlineStr">
        <is>
          <t>Trên 5 Năm</t>
        </is>
      </c>
      <c r="L12543" s="8">
        <f>HYPERLINK("https://careerviet.vn/vi/tim-viec-lam/truong-nhom-ky-su-xay-dung.35C6C398.html","Xem chi tiết")</f>
        <v/>
      </c>
    </row>
    <row r="12544">
      <c r="B12544" s="9" t="n">
        <v>12542</v>
      </c>
      <c r="C12544" s="10" t="inlineStr">
        <is>
          <t>OEM Sales &amp; Operation Manager (FMCG)</t>
        </is>
      </c>
      <c r="D12544" s="10" t="inlineStr">
        <is>
          <t>Headhunter HRchannels Group</t>
        </is>
      </c>
      <c r="E12544" s="10" t="inlineStr">
        <is>
          <t>Lương:50 Tr - 65 Tr VND</t>
        </is>
      </c>
      <c r="F12544" s="10" t="inlineStr">
        <is>
          <t>Hà NộiBắc NinhHưng Yên</t>
        </is>
      </c>
      <c r="G12544" s="10" t="inlineStr">
        <is>
          <t>14-04-2026</t>
        </is>
      </c>
      <c r="H12544" s="10" t="inlineStr">
        <is>
          <t>14/04/2026</t>
        </is>
      </c>
      <c r="I12544" s="10" t="inlineStr">
        <is>
          <t>17/03/2026</t>
        </is>
      </c>
      <c r="J12544" s="10" t="inlineStr">
        <is>
          <t>Bán hàng / Kinh doanh, Thực phẩm &amp; Đồ uống, Sản xuất / Vận hành sản xuất</t>
        </is>
      </c>
      <c r="K12544" s="10" t="inlineStr">
        <is>
          <t>5 - 10 Năm</t>
        </is>
      </c>
      <c r="L12544" s="11">
        <f>HYPERLINK("https://careerviet.vn/vi/tim-viec-lam/oem-sales-operation-manager-fmcg.35C6C393.html","Xem chi tiết")</f>
        <v/>
      </c>
      <c r="M12544" s="10" t="n"/>
    </row>
    <row r="12545">
      <c r="B12545" s="7" t="n">
        <v>12543</v>
      </c>
      <c r="C12545" t="inlineStr">
        <is>
          <t>Sales Manager (Steel, B2B)</t>
        </is>
      </c>
      <c r="D12545" t="inlineStr">
        <is>
          <t>Headhunter HRchannels Group</t>
        </is>
      </c>
      <c r="E12545" t="inlineStr">
        <is>
          <t>Lương:45 Tr - 50 Tr VND</t>
        </is>
      </c>
      <c r="F12545" t="inlineStr">
        <is>
          <t>Bà Rịa - Vũng TàuHồ Chí MinhĐồng Nai</t>
        </is>
      </c>
      <c r="G12545" t="inlineStr">
        <is>
          <t>14-04-2026</t>
        </is>
      </c>
      <c r="H12545" t="inlineStr">
        <is>
          <t>14/04/2026</t>
        </is>
      </c>
      <c r="I12545" t="inlineStr">
        <is>
          <t>17/03/2026</t>
        </is>
      </c>
      <c r="J12545" t="inlineStr">
        <is>
          <t>Bán hàng / Kinh doanh, Bán Hàng Kỹ Thuật</t>
        </is>
      </c>
      <c r="K12545" t="inlineStr">
        <is>
          <t>5 - 10 Năm</t>
        </is>
      </c>
      <c r="L12545" s="8">
        <f>HYPERLINK("https://careerviet.vn/vi/tim-viec-lam/sales-manager-steel-b2b.35C6C394.html","Xem chi tiết")</f>
        <v/>
      </c>
    </row>
    <row r="12546">
      <c r="B12546" s="9" t="n">
        <v>12544</v>
      </c>
      <c r="C12546" s="10" t="inlineStr">
        <is>
          <t>Kỹ Sư Kinh Tế Xây Dựng</t>
        </is>
      </c>
      <c r="D12546" s="10" t="inlineStr">
        <is>
          <t>CÔNG TY CỔ PHẦN TẬP ĐOÀN ĐẦU TƯ I.P.A</t>
        </is>
      </c>
      <c r="E12546" s="10" t="inlineStr">
        <is>
          <t>Lương:Cạnh tranh</t>
        </is>
      </c>
      <c r="F12546" s="10" t="inlineStr">
        <is>
          <t>Hưng Yên</t>
        </is>
      </c>
      <c r="G12546" s="10" t="inlineStr">
        <is>
          <t>30-04-2026</t>
        </is>
      </c>
      <c r="H12546" s="10" t="inlineStr">
        <is>
          <t>30/04/2026</t>
        </is>
      </c>
      <c r="I12546" s="10" t="inlineStr">
        <is>
          <t>17/03/2026</t>
        </is>
      </c>
      <c r="J12546" s="10" t="inlineStr">
        <is>
          <t>Xây dựng, Sản xuất / Vận hành sản xuất, Thống kê</t>
        </is>
      </c>
      <c r="K12546" s="10" t="inlineStr">
        <is>
          <t>Trên 5 Năm</t>
        </is>
      </c>
      <c r="L12546" s="11">
        <f>HYPERLINK("https://careerviet.vn/vi/tim-viec-lam/ky-su-kinh-te-xay-dung.35C6C399.html","Xem chi tiết")</f>
        <v/>
      </c>
      <c r="M12546" s="10" t="n"/>
    </row>
    <row r="12547">
      <c r="B12547" s="7" t="n">
        <v>12545</v>
      </c>
      <c r="C12547" t="inlineStr">
        <is>
          <t>Customer Relations and Quality Control Coordinator</t>
        </is>
      </c>
      <c r="D12547" t="inlineStr">
        <is>
          <t>ASIAN TRAILS - CÔNG TY TNHH DU LỊCH ĐƯỜNG MÒN CHÂU Á</t>
        </is>
      </c>
      <c r="E12547" t="inlineStr">
        <is>
          <t>Lương:Cạnh tranh</t>
        </is>
      </c>
      <c r="F12547" t="inlineStr">
        <is>
          <t>Hồ Chí Minh</t>
        </is>
      </c>
      <c r="G12547" t="inlineStr">
        <is>
          <t>30-04-2026</t>
        </is>
      </c>
      <c r="H12547" t="inlineStr">
        <is>
          <t>30/04/2026</t>
        </is>
      </c>
      <c r="I12547" t="inlineStr">
        <is>
          <t>17/03/2026</t>
        </is>
      </c>
      <c r="J12547" t="inlineStr">
        <is>
          <t>Dịch vụ khách hàng, Du lịch, Quản lý chất lượng (QA/QC)</t>
        </is>
      </c>
      <c r="K12547" t="inlineStr">
        <is>
          <t>Trên 1 Năm</t>
        </is>
      </c>
      <c r="L12547" s="8">
        <f>HYPERLINK("https://careerviet.vn/vi/tim-viec-lam/customer-relations-and-quality-control-coordinator.35C6C004.html","Xem chi tiết")</f>
        <v/>
      </c>
    </row>
    <row r="12548">
      <c r="B12548" s="9" t="n">
        <v>12546</v>
      </c>
      <c r="C12548" s="10" t="inlineStr">
        <is>
          <t>Nhân viên Thiết kế Truyền thông</t>
        </is>
      </c>
      <c r="D12548" s="10" t="inlineStr">
        <is>
          <t>Công ty cổ phần Tập đoàn Tài Tâm (Tài Tâm Group)</t>
        </is>
      </c>
      <c r="E12548" s="10" t="inlineStr">
        <is>
          <t>Lương:10 Tr - 15 Tr VND</t>
        </is>
      </c>
      <c r="F12548" s="10" t="inlineStr">
        <is>
          <t>Hà Nội</t>
        </is>
      </c>
      <c r="G12548" s="10" t="inlineStr">
        <is>
          <t>20-04-2026</t>
        </is>
      </c>
      <c r="H12548" s="10" t="inlineStr">
        <is>
          <t>20/04/2026</t>
        </is>
      </c>
      <c r="I12548" s="10" t="inlineStr">
        <is>
          <t>17/03/2026</t>
        </is>
      </c>
      <c r="J12548" s="10" t="inlineStr">
        <is>
          <t>Mỹ thuật / Nghệ thuật / Thiết kế, Quảng cáo / Đối ngoại / Truyền Thông</t>
        </is>
      </c>
      <c r="K12548" s="10" t="inlineStr">
        <is>
          <t>1 - 3 Năm</t>
        </is>
      </c>
      <c r="L12548" s="11">
        <f>HYPERLINK("https://careerviet.vn/vi/tim-viec-lam/nhan-vien-thiet-ke-truyen-thong.35C6C391.html","Xem chi tiết")</f>
        <v/>
      </c>
      <c r="M12548" s="10" t="n"/>
    </row>
    <row r="12549">
      <c r="B12549" s="7" t="n">
        <v>12547</v>
      </c>
      <c r="C12549" t="inlineStr">
        <is>
          <t>Nhân viên an toàn điện</t>
        </is>
      </c>
      <c r="D12549" t="inlineStr">
        <is>
          <t>CÔNG TY TNHH YURA CORPORATION TÂY NINH</t>
        </is>
      </c>
      <c r="E12549" t="inlineStr">
        <is>
          <t>Lương:Cạnh tranh</t>
        </is>
      </c>
      <c r="F12549" t="inlineStr">
        <is>
          <t>Tây Ninh</t>
        </is>
      </c>
      <c r="G12549" t="inlineStr">
        <is>
          <t>12-04-2026</t>
        </is>
      </c>
      <c r="H12549" t="inlineStr">
        <is>
          <t>12/04/2026</t>
        </is>
      </c>
      <c r="I12549" t="inlineStr">
        <is>
          <t>17/03/2026</t>
        </is>
      </c>
      <c r="J12549" t="inlineStr">
        <is>
          <t>Điện / Điện tử / Điện lạnh / Điện công nghiệp, An toàn lao động</t>
        </is>
      </c>
      <c r="K12549" t="inlineStr">
        <is>
          <t>2 - 3 Năm</t>
        </is>
      </c>
      <c r="L12549" s="8">
        <f>HYPERLINK("https://careerviet.vn/vi/tim-viec-lam/nhan-vien-an-toan-dien.35C6C2C1.html","Xem chi tiết")</f>
        <v/>
      </c>
    </row>
    <row r="12550">
      <c r="B12550" s="9" t="n">
        <v>12548</v>
      </c>
      <c r="C12550" s="10" t="inlineStr">
        <is>
          <t>Chuyên viên Kế toán Thanh toán</t>
        </is>
      </c>
      <c r="D12550" s="10" t="inlineStr">
        <is>
          <t>CÔNG TY CỔ PHẦN DÂY CÁP ĐIỆN VIỆT NAM - CADIVI</t>
        </is>
      </c>
      <c r="E12550" s="10" t="inlineStr">
        <is>
          <t>Lương:Cạnh tranh</t>
        </is>
      </c>
      <c r="F12550" s="10" t="inlineStr">
        <is>
          <t>Hồ Chí Minh</t>
        </is>
      </c>
      <c r="G12550" s="10" t="inlineStr">
        <is>
          <t>11-04-2026</t>
        </is>
      </c>
      <c r="H12550" s="10" t="inlineStr">
        <is>
          <t>11/04/2026</t>
        </is>
      </c>
      <c r="I12550" s="10" t="inlineStr">
        <is>
          <t>17/03/2026</t>
        </is>
      </c>
      <c r="J12550" s="10" t="inlineStr">
        <is>
          <t>Kế toán / Kiểm toán</t>
        </is>
      </c>
      <c r="K12550" s="10" t="inlineStr">
        <is>
          <t>2 - 4 Năm</t>
        </is>
      </c>
      <c r="L12550" s="11">
        <f>HYPERLINK("https://careerviet.vn/vi/tim-viec-lam/chuyen-vien-ke-toan-thanh-toan.35C6C386.html","Xem chi tiết")</f>
        <v/>
      </c>
      <c r="M12550" s="10" t="n"/>
    </row>
    <row r="12551">
      <c r="B12551" s="7" t="n">
        <v>12549</v>
      </c>
      <c r="C12551" t="inlineStr">
        <is>
          <t>Sales Executive (Medical Equipment)</t>
        </is>
      </c>
      <c r="D12551" t="inlineStr">
        <is>
          <t>Headhunter HRchannels Group</t>
        </is>
      </c>
      <c r="E12551" t="inlineStr">
        <is>
          <t>Lương:15 Tr - 25 Tr VND</t>
        </is>
      </c>
      <c r="F12551" t="inlineStr">
        <is>
          <t>Hồ Chí MinhBình DươngĐồng Nai</t>
        </is>
      </c>
      <c r="G12551" t="inlineStr">
        <is>
          <t>12-04-2026</t>
        </is>
      </c>
      <c r="H12551" t="inlineStr">
        <is>
          <t>12/04/2026</t>
        </is>
      </c>
      <c r="I12551" t="inlineStr">
        <is>
          <t>17/03/2026</t>
        </is>
      </c>
      <c r="J12551" t="inlineStr">
        <is>
          <t>Bán hàng / Kinh doanh, Bán Hàng Kỹ Thuật, Y tế / Chăm sóc sức khỏe / Thẩm mỹ / Làm đẹp</t>
        </is>
      </c>
      <c r="K12551" t="inlineStr">
        <is>
          <t>1 - 3 Năm</t>
        </is>
      </c>
      <c r="L12551" s="8">
        <f>HYPERLINK("https://careerviet.vn/vi/tim-viec-lam/sales-executive-medical-equipment.35C6C395.html","Xem chi tiết")</f>
        <v/>
      </c>
    </row>
    <row r="12552">
      <c r="B12552" s="9" t="n">
        <v>12550</v>
      </c>
      <c r="C12552" s="10" t="inlineStr">
        <is>
          <t>Kỹ Sư Thiết Kế Khuôn Nhựa</t>
        </is>
      </c>
      <c r="D12552" s="10" t="inlineStr">
        <is>
          <t>Headhunter HRchannels Group</t>
        </is>
      </c>
      <c r="E12552" s="10" t="inlineStr">
        <is>
          <t>Lương:15 Tr - 27 Tr VND</t>
        </is>
      </c>
      <c r="F12552" s="10" t="inlineStr">
        <is>
          <t>Hải DươngHưng YênBắc Ninh</t>
        </is>
      </c>
      <c r="G12552" s="10" t="inlineStr">
        <is>
          <t>12-04-2026</t>
        </is>
      </c>
      <c r="H12552" s="10" t="inlineStr">
        <is>
          <t>12/04/2026</t>
        </is>
      </c>
      <c r="I12552" s="10" t="inlineStr">
        <is>
          <t>17/03/2026</t>
        </is>
      </c>
      <c r="J12552" s="10" t="inlineStr">
        <is>
          <t>Cơ khí / Ô tô / Tự động hóa, Sản xuất / Vận hành sản xuất, Mỹ thuật / Nghệ thuật / Thiết kế</t>
        </is>
      </c>
      <c r="K12552" s="10" t="inlineStr">
        <is>
          <t>3 - 5 Năm</t>
        </is>
      </c>
      <c r="L12552" s="11">
        <f>HYPERLINK("https://careerviet.vn/vi/tim-viec-lam/ky-su-thiet-ke-khuon-nhua.35C6C38D.html","Xem chi tiết")</f>
        <v/>
      </c>
      <c r="M12552" s="10" t="n"/>
    </row>
    <row r="12553">
      <c r="B12553" s="7" t="n">
        <v>12551</v>
      </c>
      <c r="C12553" t="inlineStr">
        <is>
          <t>Quản Lý Kỹ thuật Sản Xuất Cấp Cao (Thu Nhập $2000 - $6000) Tại Hưng Yên</t>
        </is>
      </c>
      <c r="D12553" t="inlineStr">
        <is>
          <t>Bảo mật</t>
        </is>
      </c>
      <c r="E12553" t="inlineStr">
        <is>
          <t>Lương:1.800 - 6.000 USD</t>
        </is>
      </c>
      <c r="F12553" t="inlineStr">
        <is>
          <t>Hưng YênHà Nội</t>
        </is>
      </c>
      <c r="G12553" t="inlineStr">
        <is>
          <t>30-05-2026</t>
        </is>
      </c>
      <c r="H12553" t="inlineStr">
        <is>
          <t>30/05/2026</t>
        </is>
      </c>
      <c r="I12553" t="inlineStr">
        <is>
          <t>17/03/2026</t>
        </is>
      </c>
      <c r="J12553" t="inlineStr">
        <is>
          <t>Cơ khí / Ô tô / Tự động hóa, Sản xuất / Vận hành sản xuất, Điện / Điện tử / Điện lạnh / Điện công nghiệp</t>
        </is>
      </c>
      <c r="K12553" t="inlineStr">
        <is>
          <t>5 - 10 Năm</t>
        </is>
      </c>
      <c r="L12553" s="8">
        <f>HYPERLINK("https://careerviet.vn/vi/tim-viec-lam/quan-ly-ky-thuat-san-xuat-cap-cao-thu-nhap-2000-6000-tai-hung-yen.35C6C38A.html","Xem chi tiết")</f>
        <v/>
      </c>
    </row>
    <row r="12554">
      <c r="B12554" s="9" t="n">
        <v>12552</v>
      </c>
      <c r="C12554" s="10" t="inlineStr">
        <is>
          <t>[Hồ Chí Minh] Sales Representative - Office Furniture</t>
        </is>
      </c>
      <c r="D12554" s="10" t="inlineStr">
        <is>
          <t>CÔNG TY TNHH SESPRO VIỆT NAM</t>
        </is>
      </c>
      <c r="E12554" s="10" t="inlineStr">
        <is>
          <t>Lương:Cạnh tranh</t>
        </is>
      </c>
      <c r="F12554" s="10" t="inlineStr">
        <is>
          <t>Hồ Chí Minh</t>
        </is>
      </c>
      <c r="G12554" s="10" t="inlineStr">
        <is>
          <t>31-03-2026</t>
        </is>
      </c>
      <c r="H12554" s="10" t="inlineStr">
        <is>
          <t>31/03/2026</t>
        </is>
      </c>
      <c r="I12554" s="10" t="inlineStr">
        <is>
          <t>17/03/2026</t>
        </is>
      </c>
      <c r="J12554" s="10" t="inlineStr">
        <is>
          <t>Bán hàng / Kinh doanh, Kiến trúc, Nội ngoại thất</t>
        </is>
      </c>
      <c r="K12554" s="10" t="inlineStr">
        <is>
          <t>Trên 1 Năm</t>
        </is>
      </c>
      <c r="L12554" s="11">
        <f>HYPERLINK("https://careerviet.vn/vi/tim-viec-lam/ho-chi-minh-sales-representative-office-furniture.35C6C2C4.html","Xem chi tiết")</f>
        <v/>
      </c>
      <c r="M12554" s="10" t="n"/>
    </row>
    <row r="12555">
      <c r="B12555" s="7" t="n">
        <v>12553</v>
      </c>
      <c r="C12555" t="inlineStr">
        <is>
          <t>Rewards &amp; HRIS Specialist</t>
        </is>
      </c>
      <c r="D12555" t="inlineStr">
        <is>
          <t>Concung.com - Con Cung Joint Stock Company</t>
        </is>
      </c>
      <c r="E12555" t="inlineStr">
        <is>
          <t>Lương:Cạnh tranh</t>
        </is>
      </c>
      <c r="F12555" t="inlineStr">
        <is>
          <t>Hồ Chí Minh</t>
        </is>
      </c>
      <c r="G12555" t="inlineStr">
        <is>
          <t>11-04-2026</t>
        </is>
      </c>
      <c r="H12555" t="inlineStr">
        <is>
          <t>11/04/2026</t>
        </is>
      </c>
      <c r="I12555" t="inlineStr">
        <is>
          <t>17/03/2026</t>
        </is>
      </c>
      <c r="J12555" t="inlineStr">
        <is>
          <t>Bán lẻ / Bán sỉ, Nhân sự</t>
        </is>
      </c>
      <c r="K12555" t="inlineStr">
        <is>
          <t>2 - 5 Năm</t>
        </is>
      </c>
      <c r="L12555" s="8">
        <f>HYPERLINK("https://careerviet.vn/vi/tim-viec-lam/rewards-hris-specialist.35C6BDE2.html","Xem chi tiết")</f>
        <v/>
      </c>
    </row>
    <row r="12556">
      <c r="B12556" s="9" t="n">
        <v>12554</v>
      </c>
      <c r="C12556" s="10" t="inlineStr">
        <is>
          <t>Kỹ sư quản lý dự án sản xuất</t>
        </is>
      </c>
      <c r="D12556" s="10" t="inlineStr">
        <is>
          <t>Công ty TNHH Giầy Chingluh Việt Nam</t>
        </is>
      </c>
      <c r="E12556" s="10" t="inlineStr">
        <is>
          <t>Lương:Cạnh tranh</t>
        </is>
      </c>
      <c r="F12556" s="10" t="inlineStr">
        <is>
          <t>Long An</t>
        </is>
      </c>
      <c r="G12556" s="10" t="inlineStr">
        <is>
          <t>30-04-2026</t>
        </is>
      </c>
      <c r="H12556" s="10" t="inlineStr">
        <is>
          <t>30/04/2026</t>
        </is>
      </c>
      <c r="I12556" s="10" t="inlineStr">
        <is>
          <t>17/03/2026</t>
        </is>
      </c>
      <c r="J12556" s="10" t="inlineStr">
        <is>
          <t>Sản xuất / Vận hành sản xuất, Dệt may / Da giày / Thời trang, Cơ khí / Ô tô / Tự động hóa</t>
        </is>
      </c>
      <c r="K12556" s="10" t="inlineStr">
        <is>
          <t>Trên 2 Năm</t>
        </is>
      </c>
      <c r="L12556" s="11">
        <f>HYPERLINK("https://careerviet.vn/vi/tim-viec-lam/ky-su-quan-ly-du-an-san-xuat.35C6C2AE.html","Xem chi tiết")</f>
        <v/>
      </c>
      <c r="M12556" s="10" t="n"/>
    </row>
    <row r="12557">
      <c r="B12557" s="7" t="n">
        <v>12555</v>
      </c>
      <c r="C12557" t="inlineStr">
        <is>
          <t>Tài xế lái xe đưa đón nhân viên</t>
        </is>
      </c>
      <c r="D12557" t="inlineStr">
        <is>
          <t>Công ty cổ phần Nafoods Group</t>
        </is>
      </c>
      <c r="E12557" t="inlineStr">
        <is>
          <t>Lương:Cạnh tranh</t>
        </is>
      </c>
      <c r="F12557" t="inlineStr">
        <is>
          <t>Hồ Chí Minh</t>
        </is>
      </c>
      <c r="G12557" t="inlineStr">
        <is>
          <t>02-04-2026</t>
        </is>
      </c>
      <c r="H12557" t="inlineStr">
        <is>
          <t>02/04/2026</t>
        </is>
      </c>
      <c r="I12557" t="inlineStr">
        <is>
          <t>17/03/2026</t>
        </is>
      </c>
      <c r="J12557" t="inlineStr">
        <is>
          <t>Vận chuyển / Giao nhận / Kho vận, Lao động phổ thông</t>
        </is>
      </c>
      <c r="K12557" t="inlineStr">
        <is>
          <t>1 - 3 Năm</t>
        </is>
      </c>
      <c r="L12557" s="8">
        <f>HYPERLINK("https://careerviet.vn/vi/tim-viec-lam/tai-xe-lai-xe-dua-don-nhan-vien.35C6C2B7.html","Xem chi tiết")</f>
        <v/>
      </c>
    </row>
    <row r="12558">
      <c r="B12558" s="9" t="n">
        <v>12556</v>
      </c>
      <c r="C12558" s="10" t="inlineStr">
        <is>
          <t>KẾ TOÁN CHI TIẾT</t>
        </is>
      </c>
      <c r="D12558" s="10" t="inlineStr">
        <is>
          <t>CÔNG TY CỔ PHẦN HỢP TÁC ĐẦU TƯ &amp; CÔNG NGHỆ TECHCOOP</t>
        </is>
      </c>
      <c r="E12558" s="10" t="inlineStr">
        <is>
          <t>Lương:9 Tr - 15 Tr VND</t>
        </is>
      </c>
      <c r="F12558" s="10" t="inlineStr">
        <is>
          <t>Hồ Chí Minh</t>
        </is>
      </c>
      <c r="G12558" s="10" t="inlineStr">
        <is>
          <t>31-03-2026</t>
        </is>
      </c>
      <c r="H12558" s="10" t="inlineStr">
        <is>
          <t>31/03/2026</t>
        </is>
      </c>
      <c r="I12558" s="10" t="inlineStr">
        <is>
          <t>17/03/2026</t>
        </is>
      </c>
      <c r="J12558" s="10" t="inlineStr">
        <is>
          <t>Kế toán / Kiểm toán, Ngân hàng, Tài chính / Đầu tư</t>
        </is>
      </c>
      <c r="K12558" s="10" t="inlineStr">
        <is>
          <t>1 - 3 Năm</t>
        </is>
      </c>
      <c r="L12558" s="11">
        <f>HYPERLINK("https://careerviet.vn/vi/tim-viec-lam/ke-toan-chi-tiet.35C6C29B.html","Xem chi tiết")</f>
        <v/>
      </c>
      <c r="M12558" s="10" t="n"/>
    </row>
    <row r="12559">
      <c r="B12559" s="7" t="n">
        <v>12557</v>
      </c>
      <c r="C12559" t="inlineStr">
        <is>
          <t>Chuyên viên Phát triển Dự án - CĐT Xây dựng</t>
        </is>
      </c>
      <c r="D12559" t="inlineStr">
        <is>
          <t>CÔNG TY CỔ PHẦN ĐẦU TƯ DANCO</t>
        </is>
      </c>
      <c r="E12559" t="inlineStr">
        <is>
          <t>Lương:15 Tr - 20 Tr VND</t>
        </is>
      </c>
      <c r="F12559" t="inlineStr">
        <is>
          <t>Hà Nội</t>
        </is>
      </c>
      <c r="G12559" t="inlineStr">
        <is>
          <t>30-04-2026</t>
        </is>
      </c>
      <c r="H12559" t="inlineStr">
        <is>
          <t>30/04/2026</t>
        </is>
      </c>
      <c r="I12559" t="inlineStr">
        <is>
          <t>17/03/2026</t>
        </is>
      </c>
      <c r="J12559" t="inlineStr">
        <is>
          <t>Kiến trúc, Xây dựng</t>
        </is>
      </c>
      <c r="K12559" t="inlineStr">
        <is>
          <t>2 - 5 Năm</t>
        </is>
      </c>
      <c r="L12559" s="8">
        <f>HYPERLINK("https://careerviet.vn/vi/tim-viec-lam/chuyen-vien-phat-trien-du-an-cdt-xay-dung.35C6C2BE.html","Xem chi tiết")</f>
        <v/>
      </c>
    </row>
    <row r="12560">
      <c r="B12560" s="9" t="n">
        <v>12558</v>
      </c>
      <c r="C12560" s="10" t="inlineStr">
        <is>
          <t>Kỹ sư giám sát công trình (Cơ điện)</t>
        </is>
      </c>
      <c r="D12560" s="10" t="inlineStr">
        <is>
          <t>Headhunter HRchannels Group</t>
        </is>
      </c>
      <c r="E12560" s="10" t="inlineStr">
        <is>
          <t>Lương:20 Tr - 25 Tr VND</t>
        </is>
      </c>
      <c r="F12560" s="10" t="inlineStr">
        <is>
          <t>Hưng YênBắc NinhHà Nội</t>
        </is>
      </c>
      <c r="G12560" s="10" t="inlineStr">
        <is>
          <t>11-04-2026</t>
        </is>
      </c>
      <c r="H12560" s="10" t="inlineStr">
        <is>
          <t>11/04/2026</t>
        </is>
      </c>
      <c r="I12560" s="10" t="inlineStr">
        <is>
          <t>17/03/2026</t>
        </is>
      </c>
      <c r="J12560" s="10" t="inlineStr">
        <is>
          <t>Điện / Điện tử / Điện lạnh / Điện công nghiệp, Xây dựng, Cơ khí / Ô tô / Tự động hóa</t>
        </is>
      </c>
      <c r="K12560" s="10" t="inlineStr">
        <is>
          <t>3 - 5 Năm</t>
        </is>
      </c>
      <c r="L12560" s="11">
        <f>HYPERLINK("https://careerviet.vn/vi/tim-viec-lam/ky-su-giam-sat-cong-trinh-co-dien.35C6C29F.html","Xem chi tiết")</f>
        <v/>
      </c>
      <c r="M12560" s="10" t="n"/>
    </row>
    <row r="12561">
      <c r="B12561" s="7" t="n">
        <v>12559</v>
      </c>
      <c r="C12561" t="inlineStr">
        <is>
          <t>CHUYÊN VIÊN KẾ TOÁN TỔNG HỢP</t>
        </is>
      </c>
      <c r="D12561" t="inlineStr">
        <is>
          <t>CÔNG TY CỔ PHẦN THƯƠNG MẠI SATORI</t>
        </is>
      </c>
      <c r="E12561" t="inlineStr">
        <is>
          <t>Lương:14 Tr - 20 Tr VND</t>
        </is>
      </c>
      <c r="F12561" t="inlineStr">
        <is>
          <t>Long An</t>
        </is>
      </c>
      <c r="G12561" t="inlineStr">
        <is>
          <t>30-04-2026</t>
        </is>
      </c>
      <c r="H12561" t="inlineStr">
        <is>
          <t>30/04/2026</t>
        </is>
      </c>
      <c r="I12561" t="inlineStr">
        <is>
          <t>17/03/2026</t>
        </is>
      </c>
      <c r="J12561" t="inlineStr">
        <is>
          <t>Bán hàng / Kinh doanh, Thực phẩm &amp; Đồ uống</t>
        </is>
      </c>
      <c r="K12561" t="inlineStr">
        <is>
          <t>2 - 3 Năm</t>
        </is>
      </c>
      <c r="L12561" s="8">
        <f>HYPERLINK("https://careerviet.vn/vi/tim-viec-lam/chuyen-vien-ke-toan-tong-hop.35C6C2BF.html","Xem chi tiết")</f>
        <v/>
      </c>
    </row>
    <row r="12562">
      <c r="B12562" s="9" t="n">
        <v>12560</v>
      </c>
      <c r="C12562" s="10" t="inlineStr">
        <is>
          <t>Kiểm ngân - CN. Đồng Tháp (CN26.24)</t>
        </is>
      </c>
      <c r="D12562" s="10" t="inlineStr">
        <is>
          <t>Ngân Hàng TMCP Quân Đội</t>
        </is>
      </c>
      <c r="E12562" s="10" t="inlineStr">
        <is>
          <t>Lương:Cạnh tranh</t>
        </is>
      </c>
      <c r="F12562" s="10" t="inlineStr">
        <is>
          <t>Đồng Tháp</t>
        </is>
      </c>
      <c r="G12562" s="10" t="inlineStr">
        <is>
          <t>12-04-2026</t>
        </is>
      </c>
      <c r="H12562" s="10" t="inlineStr">
        <is>
          <t>12/04/2026</t>
        </is>
      </c>
      <c r="I12562" s="10" t="inlineStr">
        <is>
          <t>17/03/2026</t>
        </is>
      </c>
      <c r="J12562" s="10" t="inlineStr">
        <is>
          <t>Ngân hàng</t>
        </is>
      </c>
      <c r="K12562" s="10" t="inlineStr">
        <is>
          <t>Trên 1 Năm</t>
        </is>
      </c>
      <c r="L12562" s="11">
        <f>HYPERLINK("https://careerviet.vn/vi/tim-viec-lam/kiem-ngan-cn-dong-thap-cn26-24.35C6C29A.html","Xem chi tiết")</f>
        <v/>
      </c>
      <c r="M12562" s="10" t="n"/>
    </row>
    <row r="12563">
      <c r="B12563" s="7" t="n">
        <v>12561</v>
      </c>
      <c r="C12563" t="inlineStr">
        <is>
          <t>Nhân Viên Diễn Họa Nội Thất tại Hà Nội / Interior CG Staff</t>
        </is>
      </c>
      <c r="D12563" t="inlineStr">
        <is>
          <t>Công ty TNHH Frontier Consulting Việt Nam</t>
        </is>
      </c>
      <c r="E12563" t="inlineStr">
        <is>
          <t>Lương:10 Tr - 17 Tr VND</t>
        </is>
      </c>
      <c r="F12563" t="inlineStr">
        <is>
          <t>Hà Nội</t>
        </is>
      </c>
      <c r="G12563" t="inlineStr">
        <is>
          <t>30-04-2026</t>
        </is>
      </c>
      <c r="H12563" t="inlineStr">
        <is>
          <t>30/04/2026</t>
        </is>
      </c>
      <c r="I12563" t="inlineStr">
        <is>
          <t>17/03/2026</t>
        </is>
      </c>
      <c r="J12563" t="inlineStr">
        <is>
          <t>Mỹ thuật / Nghệ thuật / Thiết kế, Nội ngoại thất</t>
        </is>
      </c>
      <c r="K12563" t="inlineStr">
        <is>
          <t>Chưa có kinh nghiệm</t>
        </is>
      </c>
      <c r="L12563" s="8">
        <f>HYPERLINK("https://careerviet.vn/vi/tim-viec-lam/nhan-vien-dien-hoa-noi-that-tai-ha-noi-interior-cg-staff.35C6C2B0.html","Xem chi tiết")</f>
        <v/>
      </c>
    </row>
    <row r="12564">
      <c r="B12564" s="9" t="n">
        <v>12562</v>
      </c>
      <c r="C12564" s="10" t="inlineStr">
        <is>
          <t>GIÁM SÁT XÂY DỰNG (KHÔNG YÊU CẦU KINH NGHIỆM)</t>
        </is>
      </c>
      <c r="D12564" s="10" t="inlineStr">
        <is>
          <t>CÔNG TY TNHH TM XD CHỐNG THẤM  HOÀNG CHƯƠNG</t>
        </is>
      </c>
      <c r="E12564" s="10" t="inlineStr">
        <is>
          <t>Lương:10 Tr - 12 Tr VND</t>
        </is>
      </c>
      <c r="F12564" s="10" t="inlineStr">
        <is>
          <t>Đà Nẵng</t>
        </is>
      </c>
      <c r="G12564" s="10" t="inlineStr">
        <is>
          <t>30-04-2026</t>
        </is>
      </c>
      <c r="H12564" s="10" t="inlineStr">
        <is>
          <t>30/04/2026</t>
        </is>
      </c>
      <c r="I12564" s="10" t="inlineStr">
        <is>
          <t>17/03/2026</t>
        </is>
      </c>
      <c r="J12564" s="10" t="inlineStr">
        <is>
          <t>Xây dựng</t>
        </is>
      </c>
      <c r="K12564" s="10" t="inlineStr">
        <is>
          <t>N/A</t>
        </is>
      </c>
      <c r="L12564" s="11">
        <f>HYPERLINK("https://careerviet.vn/vi/tim-viec-lam/giam-sat-xay-dung-khong-yeu-cau-kinh-nghiem.35C6C29E.html","Xem chi tiết")</f>
        <v/>
      </c>
      <c r="M12564" s="10" t="n"/>
    </row>
    <row r="12565">
      <c r="B12565" s="7" t="n">
        <v>12563</v>
      </c>
      <c r="C12565" t="inlineStr">
        <is>
          <t>Chuyên Viên Vận Hành và Bảo Trì Điện Mặt Trời</t>
        </is>
      </c>
      <c r="D12565" t="inlineStr">
        <is>
          <t>CÔNG TY CỔ PHẦN ĐẦU TƯ CME SOLAR</t>
        </is>
      </c>
      <c r="E12565" t="inlineStr">
        <is>
          <t>Lương:Cạnh tranh</t>
        </is>
      </c>
      <c r="F12565" t="inlineStr">
        <is>
          <t>Hà NộiBắc NinhBắc Giang</t>
        </is>
      </c>
      <c r="G12565" t="inlineStr">
        <is>
          <t>31-03-2026</t>
        </is>
      </c>
      <c r="H12565" t="inlineStr">
        <is>
          <t>31/03/2026</t>
        </is>
      </c>
      <c r="I12565" t="inlineStr">
        <is>
          <t>17/03/2026</t>
        </is>
      </c>
      <c r="J12565" t="inlineStr">
        <is>
          <t>Điện / Điện tử / Điện lạnh / Điện công nghiệp</t>
        </is>
      </c>
      <c r="K12565" t="inlineStr">
        <is>
          <t>2 - 5 Năm</t>
        </is>
      </c>
      <c r="L12565" s="8">
        <f>HYPERLINK("https://careerviet.vn/vi/tim-viec-lam/chuyen-vien-van-hanh-va-bao-tri-dien-mat-troi.35C6C299.html","Xem chi tiết")</f>
        <v/>
      </c>
    </row>
    <row r="12566">
      <c r="B12566" s="9" t="n">
        <v>12564</v>
      </c>
      <c r="C12566" s="10" t="inlineStr">
        <is>
          <t>[Thai Kien CPG] Key Account Executive (SuperMarket)</t>
        </is>
      </c>
      <c r="D12566" s="10" t="inlineStr">
        <is>
          <t>Viet Thai International</t>
        </is>
      </c>
      <c r="E12566" s="10" t="inlineStr">
        <is>
          <t>Lương:Cạnh tranh</t>
        </is>
      </c>
      <c r="F12566" s="10" t="inlineStr">
        <is>
          <t>Hồ Chí Minh</t>
        </is>
      </c>
      <c r="G12566" s="10" t="inlineStr">
        <is>
          <t>30-04-2026</t>
        </is>
      </c>
      <c r="H12566" s="10" t="inlineStr">
        <is>
          <t>30/04/2026</t>
        </is>
      </c>
      <c r="I12566" s="10" t="inlineStr">
        <is>
          <t>17/03/2026</t>
        </is>
      </c>
      <c r="J12566" s="10" t="inlineStr">
        <is>
          <t>Bán lẻ / Bán sỉ, Bán hàng / Kinh doanh, Thực phẩm &amp; Đồ uống</t>
        </is>
      </c>
      <c r="K12566" s="10" t="inlineStr">
        <is>
          <t>2 - 4 Năm</t>
        </is>
      </c>
      <c r="L12566" s="11">
        <f>HYPERLINK("https://careerviet.vn/vi/tim-viec-lam/thai-kien-cpg-key-account-executive-supermarket.35C6C286.html","Xem chi tiết")</f>
        <v/>
      </c>
      <c r="M12566" s="10" t="n"/>
    </row>
    <row r="12567">
      <c r="B12567" s="7" t="n">
        <v>12565</v>
      </c>
      <c r="C12567" t="inlineStr">
        <is>
          <t>Chuyên viên Telesales/Nhân viên Kinh Doanh/Nhân viên Tư vấn khóa học tại Hồ Chí Minh</t>
        </is>
      </c>
      <c r="D12567" t="inlineStr">
        <is>
          <t>Công ty CP Công nghệ giáo dục Trường học trực tuyến (ONSCHOOL)</t>
        </is>
      </c>
      <c r="E12567" t="inlineStr">
        <is>
          <t>Lương:16 Tr - 36 Tr VND</t>
        </is>
      </c>
      <c r="F12567" t="inlineStr">
        <is>
          <t>Hồ Chí Minh</t>
        </is>
      </c>
      <c r="G12567" t="inlineStr">
        <is>
          <t>26-03-2026</t>
        </is>
      </c>
      <c r="H12567" t="inlineStr">
        <is>
          <t>26/03/2026</t>
        </is>
      </c>
      <c r="I12567" t="inlineStr">
        <is>
          <t>17/03/2026</t>
        </is>
      </c>
      <c r="J12567" t="inlineStr">
        <is>
          <t>Giáo dục / Đào tạo</t>
        </is>
      </c>
      <c r="K12567" t="inlineStr">
        <is>
          <t>1 - 5 Năm</t>
        </is>
      </c>
      <c r="L12567" s="8">
        <f>HYPERLINK("https://careerviet.vn/vi/tim-viec-lam/chuyen-vien-telesales-nhan-vien-kinh-doanh-nhan-vien-tu-van-khoa-hoc-tai-ho-chi-minh.35C6C297.html","Xem chi tiết")</f>
        <v/>
      </c>
    </row>
    <row r="12568">
      <c r="B12568" s="9" t="n">
        <v>12566</v>
      </c>
      <c r="C12568" s="10" t="inlineStr">
        <is>
          <t>Nhân viên An ninh sản phẩm</t>
        </is>
      </c>
      <c r="D12568" s="10" t="inlineStr">
        <is>
          <t>Công ty TNHH Giầy Chingluh Việt Nam</t>
        </is>
      </c>
      <c r="E12568" s="10" t="inlineStr">
        <is>
          <t>Lương:Cạnh tranh</t>
        </is>
      </c>
      <c r="F12568" s="10" t="inlineStr">
        <is>
          <t>Long An</t>
        </is>
      </c>
      <c r="G12568" s="10" t="inlineStr">
        <is>
          <t>31-05-2026</t>
        </is>
      </c>
      <c r="H12568" s="10" t="inlineStr">
        <is>
          <t>31/05/2026</t>
        </is>
      </c>
      <c r="I12568" s="10" t="inlineStr">
        <is>
          <t>17/03/2026</t>
        </is>
      </c>
      <c r="J12568" s="10" t="inlineStr">
        <is>
          <t>Luật / Pháp lý, Quản lý chất lượng (QA/QC), Sản xuất / Vận hành sản xuất</t>
        </is>
      </c>
      <c r="K12568" s="10" t="inlineStr">
        <is>
          <t>N/A</t>
        </is>
      </c>
      <c r="L12568" s="11">
        <f>HYPERLINK("https://careerviet.vn/vi/tim-viec-lam/nhan-vien-an-ninh-san-pham.35C6C28A.html","Xem chi tiết")</f>
        <v/>
      </c>
      <c r="M12568" s="10" t="n"/>
    </row>
    <row r="12569">
      <c r="B12569" s="7" t="n">
        <v>12567</v>
      </c>
      <c r="C12569" t="inlineStr">
        <is>
          <t>HCM - Visual Merchandising Executive (Charles &amp; Tyrwhitt &amp; USPA)</t>
        </is>
      </c>
      <c r="D12569" t="inlineStr">
        <is>
          <t>CÔNG TY CỔ PHẦN MAISON RETAIL MANAGEMENT INTERNATIONAL</t>
        </is>
      </c>
      <c r="E12569" t="inlineStr">
        <is>
          <t>Lương:Cạnh tranh</t>
        </is>
      </c>
      <c r="F12569" t="inlineStr">
        <is>
          <t>Hồ Chí Minh</t>
        </is>
      </c>
      <c r="G12569" t="inlineStr">
        <is>
          <t>12-04-2026</t>
        </is>
      </c>
      <c r="H12569" t="inlineStr">
        <is>
          <t>12/04/2026</t>
        </is>
      </c>
      <c r="I12569" t="inlineStr">
        <is>
          <t>17/03/2026</t>
        </is>
      </c>
      <c r="J12569" t="inlineStr">
        <is>
          <t>Bán lẻ / Bán sỉ, Mỹ thuật / Nghệ thuật / Thiết kế, Dệt may / Da giày / Thời trang</t>
        </is>
      </c>
      <c r="K12569" t="inlineStr">
        <is>
          <t>1 - 3 Năm</t>
        </is>
      </c>
      <c r="L12569" s="8">
        <f>HYPERLINK("https://careerviet.vn/vi/tim-viec-lam/hcm-visual-merchandising-executive-charles-tyrwhitt-uspa.35C6C285.html","Xem chi tiết")</f>
        <v/>
      </c>
    </row>
    <row r="12570">
      <c r="B12570" s="9" t="n">
        <v>12568</v>
      </c>
      <c r="C12570" s="10" t="inlineStr">
        <is>
          <t>Key Account Executive</t>
        </is>
      </c>
      <c r="D12570" s="10" t="inlineStr">
        <is>
          <t>CÔNG TY TNHH THAI CORP INTERNATIONAL (VIỆT NAM)</t>
        </is>
      </c>
      <c r="E12570" s="10" t="inlineStr">
        <is>
          <t>Lương:12 Tr - 16 Tr VND</t>
        </is>
      </c>
      <c r="F12570" s="10" t="inlineStr">
        <is>
          <t>Hồ Chí Minh</t>
        </is>
      </c>
      <c r="G12570" s="10" t="inlineStr">
        <is>
          <t>12-04-2026</t>
        </is>
      </c>
      <c r="H12570" s="10" t="inlineStr">
        <is>
          <t>12/04/2026</t>
        </is>
      </c>
      <c r="I12570" s="10" t="inlineStr">
        <is>
          <t>17/03/2026</t>
        </is>
      </c>
      <c r="J12570" s="10" t="inlineStr">
        <is>
          <t>Bán lẻ / Bán sỉ, Bán hàng / Kinh doanh, Thực phẩm &amp; Đồ uống</t>
        </is>
      </c>
      <c r="K12570" s="10" t="inlineStr">
        <is>
          <t>2 - 3 Năm</t>
        </is>
      </c>
      <c r="L12570" s="11">
        <f>HYPERLINK("https://careerviet.vn/vi/tim-viec-lam/key-account-executive.35C6C28E.html","Xem chi tiết")</f>
        <v/>
      </c>
      <c r="M12570" s="10" t="n"/>
    </row>
    <row r="12571">
      <c r="B12571" s="7" t="n">
        <v>12569</v>
      </c>
      <c r="C12571" t="inlineStr">
        <is>
          <t>Chuyên viên vận hành xuất khẩu</t>
        </is>
      </c>
      <c r="D12571" t="inlineStr">
        <is>
          <t>CÔNG TY CỔ PHẦN HỢP TÁC ĐẦU TƯ &amp; CÔNG NGHỆ TECHCOOP</t>
        </is>
      </c>
      <c r="E12571" t="inlineStr">
        <is>
          <t>Lương:15 Tr - 25 Tr VND</t>
        </is>
      </c>
      <c r="F12571" t="inlineStr">
        <is>
          <t>Hồ Chí Minh</t>
        </is>
      </c>
      <c r="G12571" t="inlineStr">
        <is>
          <t>31-03-2026</t>
        </is>
      </c>
      <c r="H12571" t="inlineStr">
        <is>
          <t>31/03/2026</t>
        </is>
      </c>
      <c r="I12571" t="inlineStr">
        <is>
          <t>17/03/2026</t>
        </is>
      </c>
      <c r="J12571" t="inlineStr">
        <is>
          <t>Dịch vụ khách hàng, Xuất nhập khẩu</t>
        </is>
      </c>
      <c r="K12571" t="inlineStr">
        <is>
          <t>3 - 5 Năm</t>
        </is>
      </c>
      <c r="L12571" s="8">
        <f>HYPERLINK("https://careerviet.vn/vi/tim-viec-lam/chuyen-vien-van-hanh-xuat-khau.35C6C292.html","Xem chi tiết")</f>
        <v/>
      </c>
    </row>
    <row r="12572">
      <c r="B12572" s="9" t="n">
        <v>12570</v>
      </c>
      <c r="C12572" s="10" t="inlineStr">
        <is>
          <t>Outbound Sales Specialist/ Telesales</t>
        </is>
      </c>
      <c r="D12572" s="10" t="inlineStr">
        <is>
          <t>DIAG</t>
        </is>
      </c>
      <c r="E12572" s="10" t="inlineStr">
        <is>
          <t>Lương:8 Tr - 13 Tr VND</t>
        </is>
      </c>
      <c r="F12572" s="10" t="inlineStr">
        <is>
          <t>Hồ Chí Minh</t>
        </is>
      </c>
      <c r="G12572" s="10" t="inlineStr">
        <is>
          <t>30-04-2026</t>
        </is>
      </c>
      <c r="H12572" s="10" t="inlineStr">
        <is>
          <t>30/04/2026</t>
        </is>
      </c>
      <c r="I12572" s="10" t="inlineStr">
        <is>
          <t>17/03/2026</t>
        </is>
      </c>
      <c r="J12572" s="10" t="inlineStr">
        <is>
          <t>Bán hàng / Kinh doanh, Y tế / Chăm sóc sức khỏe / Thẩm mỹ / Làm đẹp, Dịch vụ khách hàng</t>
        </is>
      </c>
      <c r="K12572" s="10" t="inlineStr">
        <is>
          <t>1 - 2 Năm</t>
        </is>
      </c>
      <c r="L12572" s="11">
        <f>HYPERLINK("https://careerviet.vn/vi/tim-viec-lam/outbound-sales-specialist-telesales.35C6C290.html","Xem chi tiết")</f>
        <v/>
      </c>
      <c r="M12572" s="10" t="n"/>
    </row>
    <row r="12573">
      <c r="B12573" s="7" t="n">
        <v>12571</v>
      </c>
      <c r="C12573" t="inlineStr">
        <is>
          <t>Postsale Network Engineer (Kỹ Sư Triển Khai Mạng)</t>
        </is>
      </c>
      <c r="D12573" t="inlineStr">
        <is>
          <t>Công ty Cổ phần Đầu tư Kỹ thuật Số Việt (VDI)</t>
        </is>
      </c>
      <c r="E12573" t="inlineStr">
        <is>
          <t>Lương:Lên đến 35 Tr VND</t>
        </is>
      </c>
      <c r="F12573" t="inlineStr">
        <is>
          <t>Hà NộiHồ Chí Minh</t>
        </is>
      </c>
      <c r="G12573" t="inlineStr">
        <is>
          <t>01-04-2026</t>
        </is>
      </c>
      <c r="H12573" t="inlineStr">
        <is>
          <t>01/04/2026</t>
        </is>
      </c>
      <c r="I12573" t="inlineStr">
        <is>
          <t>17/03/2026</t>
        </is>
      </c>
      <c r="J12573" t="inlineStr">
        <is>
          <t>Bưu chính viễn thông, CNTT - Phần cứng / Mạng</t>
        </is>
      </c>
      <c r="K12573" t="inlineStr">
        <is>
          <t>Trên 3 Năm</t>
        </is>
      </c>
      <c r="L12573" s="8">
        <f>HYPERLINK("https://careerviet.vn/vi/tim-viec-lam/postsale-network-engineer-ky-su-trien-khai-mang.35C6C112.html","Xem chi tiết")</f>
        <v/>
      </c>
    </row>
    <row r="12574">
      <c r="B12574" s="9" t="n">
        <v>12572</v>
      </c>
      <c r="C12574" s="10" t="inlineStr">
        <is>
          <t>Nhân viên telesale Viet'tel qua điện thoại</t>
        </is>
      </c>
      <c r="D12574" s="10" t="inlineStr">
        <is>
          <t>CÔNG TY CỔ PHẦN TRUYỀN THÔNG KIM CƯƠNG</t>
        </is>
      </c>
      <c r="E12574" s="10" t="inlineStr">
        <is>
          <t>Lương:8 Tr - 12 Tr VND</t>
        </is>
      </c>
      <c r="F12574" s="10" t="inlineStr">
        <is>
          <t>Thái Nguyên</t>
        </is>
      </c>
      <c r="G12574" s="10" t="inlineStr">
        <is>
          <t>11-04-2026</t>
        </is>
      </c>
      <c r="H12574" s="10" t="inlineStr">
        <is>
          <t>11/04/2026</t>
        </is>
      </c>
      <c r="I12574" s="10" t="inlineStr">
        <is>
          <t>17/03/2026</t>
        </is>
      </c>
      <c r="J12574" s="10" t="inlineStr">
        <is>
          <t>Bán hàng / Kinh doanh</t>
        </is>
      </c>
      <c r="K12574" s="10" t="inlineStr">
        <is>
          <t>N/A</t>
        </is>
      </c>
      <c r="L12574" s="11">
        <f>HYPERLINK("https://careerviet.vn/vi/tim-viec-lam/nhan-vien-telesale-viet-tel-qua-dien-thoai.35C6C278.html","Xem chi tiết")</f>
        <v/>
      </c>
      <c r="M12574" s="10" t="n"/>
    </row>
    <row r="12575">
      <c r="B12575" s="7" t="n">
        <v>12573</v>
      </c>
      <c r="C12575" t="inlineStr">
        <is>
          <t>System Engineer (Kỹ sư hệ thống)</t>
        </is>
      </c>
      <c r="D12575" t="inlineStr">
        <is>
          <t>Công ty Cổ phần Đầu tư Kỹ thuật Số Việt (VDI)</t>
        </is>
      </c>
      <c r="E12575" t="inlineStr">
        <is>
          <t>Lương:Lên đến 45 Tr VND</t>
        </is>
      </c>
      <c r="F12575" t="inlineStr">
        <is>
          <t>Hà NộiHồ Chí Minh</t>
        </is>
      </c>
      <c r="G12575" t="inlineStr">
        <is>
          <t>01-04-2026</t>
        </is>
      </c>
      <c r="H12575" t="inlineStr">
        <is>
          <t>01/04/2026</t>
        </is>
      </c>
      <c r="I12575" t="inlineStr">
        <is>
          <t>17/03/2026</t>
        </is>
      </c>
      <c r="J12575" t="inlineStr">
        <is>
          <t>CNTT - Phần cứng / Mạng</t>
        </is>
      </c>
      <c r="K12575" t="inlineStr">
        <is>
          <t>Trên 3 Năm</t>
        </is>
      </c>
      <c r="L12575" s="8">
        <f>HYPERLINK("https://careerviet.vn/vi/tim-viec-lam/system-engineer-ky-su-he-thong.35C6C114.html","Xem chi tiết")</f>
        <v/>
      </c>
    </row>
    <row r="12576">
      <c r="B12576" s="9" t="n">
        <v>12574</v>
      </c>
      <c r="C12576" s="10" t="inlineStr">
        <is>
          <t>KẾ TOÁN TRƯỞNG (CHIEF ACCOUNTANT)</t>
        </is>
      </c>
      <c r="D12576" s="10" t="inlineStr">
        <is>
          <t>HR Vietnam’s ESS Client</t>
        </is>
      </c>
      <c r="E12576" s="10" t="inlineStr">
        <is>
          <t>Lương:Cạnh tranh</t>
        </is>
      </c>
      <c r="F12576" s="10" t="inlineStr">
        <is>
          <t>Hồ Chí Minh</t>
        </is>
      </c>
      <c r="G12576" s="10" t="inlineStr">
        <is>
          <t>15-04-2026</t>
        </is>
      </c>
      <c r="H12576" s="10" t="inlineStr">
        <is>
          <t>15/04/2026</t>
        </is>
      </c>
      <c r="I12576" s="10" t="inlineStr">
        <is>
          <t>17/03/2026</t>
        </is>
      </c>
      <c r="J12576" s="10" t="inlineStr">
        <is>
          <t>Kế toán / Kiểm toán</t>
        </is>
      </c>
      <c r="K12576" s="10" t="inlineStr">
        <is>
          <t>7 - 15 Năm</t>
        </is>
      </c>
      <c r="L12576" s="11">
        <f>HYPERLINK("https://careerviet.vn/vi/tim-viec-lam/ke-toan-truong-chief-accountant.35C6C283.html","Xem chi tiết")</f>
        <v/>
      </c>
      <c r="M12576" s="10" t="n"/>
    </row>
    <row r="12577">
      <c r="B12577" s="7" t="n">
        <v>12575</v>
      </c>
      <c r="C12577" t="inlineStr">
        <is>
          <t>Trợ lý Phó TGĐ Khối Marketing - Truyền thông</t>
        </is>
      </c>
      <c r="D12577" t="inlineStr">
        <is>
          <t>Tập Đoàn Tân Á Đại Thành</t>
        </is>
      </c>
      <c r="E12577" t="inlineStr">
        <is>
          <t>Lương:Cạnh tranh</t>
        </is>
      </c>
      <c r="F12577" t="inlineStr">
        <is>
          <t>Hà Nội</t>
        </is>
      </c>
      <c r="G12577" t="inlineStr">
        <is>
          <t>11-04-2026</t>
        </is>
      </c>
      <c r="H12577" t="inlineStr">
        <is>
          <t>11/04/2026</t>
        </is>
      </c>
      <c r="I12577" t="inlineStr">
        <is>
          <t>17/03/2026</t>
        </is>
      </c>
      <c r="J12577" t="inlineStr">
        <is>
          <t>Tiếp thị / Marketing, Hành chính / Thư ký, Bất động sản</t>
        </is>
      </c>
      <c r="K12577" t="inlineStr">
        <is>
          <t>Trên 5 Năm</t>
        </is>
      </c>
      <c r="L12577" s="8">
        <f>HYPERLINK("https://careerviet.vn/vi/tim-viec-lam/tro-ly-pho-tgd-khoi-marketing-truyen-thong.35C6489B.html","Xem chi tiết")</f>
        <v/>
      </c>
    </row>
    <row r="12578">
      <c r="B12578" s="9" t="n">
        <v>12576</v>
      </c>
      <c r="C12578" s="10" t="inlineStr">
        <is>
          <t>HR Operations Assistant</t>
        </is>
      </c>
      <c r="D12578" s="10" t="inlineStr">
        <is>
          <t>DIAG</t>
        </is>
      </c>
      <c r="E12578" s="10" t="inlineStr">
        <is>
          <t>Lương:Cạnh tranh</t>
        </is>
      </c>
      <c r="F12578" s="10" t="inlineStr">
        <is>
          <t>Hồ Chí Minh</t>
        </is>
      </c>
      <c r="G12578" s="10" t="inlineStr">
        <is>
          <t>31-03-2026</t>
        </is>
      </c>
      <c r="H12578" s="10" t="inlineStr">
        <is>
          <t>31/03/2026</t>
        </is>
      </c>
      <c r="I12578" s="10" t="inlineStr">
        <is>
          <t>17/03/2026</t>
        </is>
      </c>
      <c r="J12578" s="10" t="inlineStr">
        <is>
          <t>Nhân sự</t>
        </is>
      </c>
      <c r="K12578" s="10" t="inlineStr">
        <is>
          <t>Trên 2 Năm</t>
        </is>
      </c>
      <c r="L12578" s="11">
        <f>HYPERLINK("https://careerviet.vn/vi/tim-viec-lam/hr-operations-assistant.35C6C279.html","Xem chi tiết")</f>
        <v/>
      </c>
      <c r="M12578" s="10" t="n"/>
    </row>
    <row r="12579">
      <c r="B12579" s="7" t="n">
        <v>12577</v>
      </c>
      <c r="C12579" t="inlineStr">
        <is>
          <t>Product/Merchandising Supervisor</t>
        </is>
      </c>
      <c r="D12579" t="inlineStr">
        <is>
          <t>Công Ty Cổ Phần Thời Trang &amp; Mỹ Phẩm Duy Anh (DAFC)</t>
        </is>
      </c>
      <c r="E12579" t="inlineStr">
        <is>
          <t>Lương:Cạnh tranh</t>
        </is>
      </c>
      <c r="F12579" t="inlineStr">
        <is>
          <t>Hồ Chí Minh</t>
        </is>
      </c>
      <c r="G12579" t="inlineStr">
        <is>
          <t>11-04-2026</t>
        </is>
      </c>
      <c r="H12579" t="inlineStr">
        <is>
          <t>11/04/2026</t>
        </is>
      </c>
      <c r="I12579" t="inlineStr">
        <is>
          <t>17/03/2026</t>
        </is>
      </c>
      <c r="J12579" t="inlineStr">
        <is>
          <t>Dệt may / Da giày / Thời trang, Quản lý chất lượng (QA/QC), Thu mua / Vật tư</t>
        </is>
      </c>
      <c r="K12579" t="inlineStr">
        <is>
          <t>3 Năm</t>
        </is>
      </c>
      <c r="L12579" s="8">
        <f>HYPERLINK("https://careerviet.vn/vi/tim-viec-lam/product-merchandising-supervisor.35C6C2A1.html","Xem chi tiết")</f>
        <v/>
      </c>
    </row>
    <row r="12580">
      <c r="B12580" s="9" t="n">
        <v>12578</v>
      </c>
      <c r="C12580" s="10" t="inlineStr">
        <is>
          <t>Editor</t>
        </is>
      </c>
      <c r="D12580" s="10" t="inlineStr">
        <is>
          <t>Hải Yến Eye Care - Công Ty TNHH Hải Yến Anh Trần</t>
        </is>
      </c>
      <c r="E12580" s="10" t="inlineStr">
        <is>
          <t>Lương:Cạnh tranh</t>
        </is>
      </c>
      <c r="F12580" s="10" t="inlineStr">
        <is>
          <t>Hồ Chí Minh</t>
        </is>
      </c>
      <c r="G12580" s="10" t="inlineStr">
        <is>
          <t>12-04-2026</t>
        </is>
      </c>
      <c r="H12580" s="10" t="inlineStr">
        <is>
          <t>12/04/2026</t>
        </is>
      </c>
      <c r="I12580" s="10" t="inlineStr">
        <is>
          <t>17/03/2026</t>
        </is>
      </c>
      <c r="J12580" s="10" t="inlineStr">
        <is>
          <t>Quảng cáo / Đối ngoại / Truyền Thông, Mỹ thuật / Nghệ thuật / Thiết kế</t>
        </is>
      </c>
      <c r="K12580" s="10" t="inlineStr">
        <is>
          <t>N/A</t>
        </is>
      </c>
      <c r="L12580" s="11">
        <f>HYPERLINK("https://careerviet.vn/vi/tim-viec-lam/editor.35C6C287.html","Xem chi tiết")</f>
        <v/>
      </c>
      <c r="M12580" s="10" t="n"/>
    </row>
    <row r="12581">
      <c r="B12581" s="7" t="n">
        <v>12579</v>
      </c>
      <c r="C12581" t="inlineStr">
        <is>
          <t>Nhân viên QA QC nội thất</t>
        </is>
      </c>
      <c r="D12581" t="inlineStr">
        <is>
          <t>H. Nicholas &amp; Co Joint Stock Company</t>
        </is>
      </c>
      <c r="E12581" t="inlineStr">
        <is>
          <t>Lương:10 Tr - 15 Tr VND</t>
        </is>
      </c>
      <c r="F12581" t="inlineStr">
        <is>
          <t>Bình Dương</t>
        </is>
      </c>
      <c r="G12581" t="inlineStr">
        <is>
          <t>12-03-2026</t>
        </is>
      </c>
      <c r="H12581" t="inlineStr">
        <is>
          <t>12/03/2026</t>
        </is>
      </c>
      <c r="I12581" t="inlineStr">
        <is>
          <t>17/03/2026</t>
        </is>
      </c>
      <c r="J12581" t="inlineStr">
        <is>
          <t>Đồ gỗ, Quản lý chất lượng (QA/QC)</t>
        </is>
      </c>
      <c r="K12581" t="inlineStr">
        <is>
          <t>2 - 5 Năm</t>
        </is>
      </c>
      <c r="L12581" s="8">
        <f>HYPERLINK("https://careerviet.vn/vi/tim-viec-lam/nhan-vien-qa-qc-noi-that.35C6C274.html","Xem chi tiết")</f>
        <v/>
      </c>
    </row>
    <row r="12582">
      <c r="B12582" s="9" t="n">
        <v>12580</v>
      </c>
      <c r="C12582" s="10" t="inlineStr">
        <is>
          <t>Social Media Operations Assistant (Remote, Spanish-speaking)</t>
        </is>
      </c>
      <c r="D12582" s="10" t="inlineStr">
        <is>
          <t>CÔNG TY TNHH SCIFATE VN</t>
        </is>
      </c>
      <c r="E12582" s="10" t="inlineStr">
        <is>
          <t>Lương:Trên 12 Tr VND</t>
        </is>
      </c>
      <c r="F12582" s="10" t="inlineStr">
        <is>
          <t>Hà Nội</t>
        </is>
      </c>
      <c r="G12582" s="10" t="inlineStr">
        <is>
          <t>15-04-2026</t>
        </is>
      </c>
      <c r="H12582" s="10" t="inlineStr">
        <is>
          <t>15/04/2026</t>
        </is>
      </c>
      <c r="I12582" s="10" t="inlineStr">
        <is>
          <t>17/03/2026</t>
        </is>
      </c>
      <c r="J12582" s="10" t="inlineStr">
        <is>
          <t>Tiếp thị / Marketing</t>
        </is>
      </c>
      <c r="K12582" s="10" t="inlineStr">
        <is>
          <t>Chưa có kinh nghiệm</t>
        </is>
      </c>
      <c r="L12582" s="11">
        <f>HYPERLINK("https://careerviet.vn/vi/tim-viec-lam/social-media-operations-assistant-remote-spanish-speaking.35C6C276.html","Xem chi tiết")</f>
        <v/>
      </c>
      <c r="M12582" s="10" t="n"/>
    </row>
    <row r="12583">
      <c r="B12583" s="7" t="n">
        <v>12581</v>
      </c>
      <c r="C12583" t="inlineStr">
        <is>
          <t>Nhân viên Bảo trì ( Mảng xây dựng)</t>
        </is>
      </c>
      <c r="D12583" t="inlineStr">
        <is>
          <t>Công ty TNHH Greystone Data Systems Việt Nam</t>
        </is>
      </c>
      <c r="E12583" t="inlineStr">
        <is>
          <t>Lương:8,2 Tr - 10 Tr VND</t>
        </is>
      </c>
      <c r="F12583" t="inlineStr">
        <is>
          <t>Hồ Chí Minh</t>
        </is>
      </c>
      <c r="G12583" t="inlineStr">
        <is>
          <t>03-04-2026</t>
        </is>
      </c>
      <c r="H12583" t="inlineStr">
        <is>
          <t>03/04/2026</t>
        </is>
      </c>
      <c r="I12583" t="inlineStr">
        <is>
          <t>17/03/2026</t>
        </is>
      </c>
      <c r="J12583" t="inlineStr">
        <is>
          <t>Lao động phổ thông, Bảo trì / Sửa chữa, Xây dựng</t>
        </is>
      </c>
      <c r="K12583" t="inlineStr">
        <is>
          <t>1 - 2 Năm</t>
        </is>
      </c>
      <c r="L12583" s="8">
        <f>HYPERLINK("https://careerviet.vn/vi/tim-viec-lam/nhan-vien-bao-tri-mang-xay-dung.35C6C26E.html","Xem chi tiết")</f>
        <v/>
      </c>
    </row>
    <row r="12584">
      <c r="B12584" s="9" t="n">
        <v>12582</v>
      </c>
      <c r="C12584" s="10" t="inlineStr">
        <is>
          <t>Chuyên viên Quản trị cộng đồng</t>
        </is>
      </c>
      <c r="D12584" s="10" t="inlineStr">
        <is>
          <t>Công Ty Cổ Phần TEECOM</t>
        </is>
      </c>
      <c r="E12584" s="10" t="inlineStr">
        <is>
          <t>Lương:Cạnh tranh</t>
        </is>
      </c>
      <c r="F12584" s="10" t="inlineStr">
        <is>
          <t>Hồ Chí Minh</t>
        </is>
      </c>
      <c r="G12584" s="10" t="inlineStr">
        <is>
          <t>15-04-2026</t>
        </is>
      </c>
      <c r="H12584" s="10" t="inlineStr">
        <is>
          <t>15/04/2026</t>
        </is>
      </c>
      <c r="I12584" s="10" t="inlineStr">
        <is>
          <t>17/03/2026</t>
        </is>
      </c>
      <c r="J12584" s="10" t="inlineStr">
        <is>
          <t>Tiếp thị trực tuyến, Thương mại điện tử, Tiếp thị / Marketing</t>
        </is>
      </c>
      <c r="K12584" s="10" t="inlineStr">
        <is>
          <t>2 - 3 Năm</t>
        </is>
      </c>
      <c r="L12584" s="11">
        <f>HYPERLINK("https://careerviet.vn/vi/tim-viec-lam/chuyen-vien-quan-tri-cong-dong.35C6C24C.html","Xem chi tiết")</f>
        <v/>
      </c>
      <c r="M12584" s="10" t="n"/>
    </row>
    <row r="12585">
      <c r="B12585" s="7" t="n">
        <v>12583</v>
      </c>
      <c r="C12585" t="inlineStr">
        <is>
          <t>(Open for Fresher) Chinese Operation Specialist</t>
        </is>
      </c>
      <c r="D12585" t="inlineStr">
        <is>
          <t>CÔNG TY TNHH SCIFATE VN</t>
        </is>
      </c>
      <c r="E12585" t="inlineStr">
        <is>
          <t>Lương:15 Tr - 30 Tr VND</t>
        </is>
      </c>
      <c r="F12585" t="inlineStr">
        <is>
          <t>Hồ Chí Minh</t>
        </is>
      </c>
      <c r="G12585" t="inlineStr">
        <is>
          <t>15-04-2026</t>
        </is>
      </c>
      <c r="H12585" t="inlineStr">
        <is>
          <t>15/04/2026</t>
        </is>
      </c>
      <c r="I12585" t="inlineStr">
        <is>
          <t>17/03/2026</t>
        </is>
      </c>
      <c r="J12585" t="inlineStr">
        <is>
          <t>Bán hàng / Kinh doanh, Tư vấn, Nhân sự</t>
        </is>
      </c>
      <c r="K12585" t="inlineStr">
        <is>
          <t>1 - 6 Năm</t>
        </is>
      </c>
      <c r="L12585" s="8">
        <f>HYPERLINK("https://careerviet.vn/vi/tim-viec-lam/open-for-fresher-chinese-operation-specialist.35C6C267.html","Xem chi tiết")</f>
        <v/>
      </c>
    </row>
    <row r="12586">
      <c r="B12586" s="9" t="n">
        <v>12584</v>
      </c>
      <c r="C12586" s="10" t="inlineStr">
        <is>
          <t>KV Đông Nam Bộ - Giám đốc/Chuyên viên Quan hệ khách hàng Doanh nghiệp</t>
        </is>
      </c>
      <c r="D12586" s="10" t="inlineStr">
        <is>
          <t>BVBank - Ngân hàng Bản Việt</t>
        </is>
      </c>
      <c r="E12586" s="10" t="inlineStr">
        <is>
          <t>Lương:Cạnh tranh</t>
        </is>
      </c>
      <c r="F12586" s="10" t="inlineStr">
        <is>
          <t>Tây NinhBình Phước</t>
        </is>
      </c>
      <c r="G12586" s="10" t="inlineStr">
        <is>
          <t>11-04-2026</t>
        </is>
      </c>
      <c r="H12586" s="10" t="inlineStr">
        <is>
          <t>11/04/2026</t>
        </is>
      </c>
      <c r="I12586" s="10" t="inlineStr">
        <is>
          <t>17/03/2026</t>
        </is>
      </c>
      <c r="J12586" s="10" t="inlineStr">
        <is>
          <t>Ngân hàng, Tài chính / Đầu tư, Bán hàng / Kinh doanh</t>
        </is>
      </c>
      <c r="K12586" s="10" t="inlineStr">
        <is>
          <t>1 - 2 Năm</t>
        </is>
      </c>
      <c r="L12586" s="11">
        <f>HYPERLINK("https://careerviet.vn/vi/tim-viec-lam/kv-dong-nam-bo-giam-doc-chuyen-vien-quan-he-khach-hang-doanh-nghiep.35C6C254.html","Xem chi tiết")</f>
        <v/>
      </c>
      <c r="M12586" s="10" t="n"/>
    </row>
    <row r="12587">
      <c r="B12587" s="7" t="n">
        <v>12585</v>
      </c>
      <c r="C12587" t="inlineStr">
        <is>
          <t>Nhân viên chăm sóc Khách hàng Viettel Post (T1)</t>
        </is>
      </c>
      <c r="D12587" t="inlineStr">
        <is>
          <t>CÔNG TY CỔ PHẦN TRUYỀN THÔNG KIM CƯƠNG</t>
        </is>
      </c>
      <c r="E12587" t="inlineStr">
        <is>
          <t>Lương:6,5 Tr - 9 Tr VND</t>
        </is>
      </c>
      <c r="F12587" t="inlineStr">
        <is>
          <t>Thái Nguyên</t>
        </is>
      </c>
      <c r="G12587" t="inlineStr">
        <is>
          <t>12-04-2026</t>
        </is>
      </c>
      <c r="H12587" t="inlineStr">
        <is>
          <t>12/04/2026</t>
        </is>
      </c>
      <c r="I12587" t="inlineStr">
        <is>
          <t>17/03/2026</t>
        </is>
      </c>
      <c r="J12587" t="inlineStr">
        <is>
          <t>Tư vấn, Dịch vụ khách hàng</t>
        </is>
      </c>
      <c r="K12587" t="inlineStr">
        <is>
          <t>Chưa có kinh nghiệm</t>
        </is>
      </c>
      <c r="L12587" s="8">
        <f>HYPERLINK("https://careerviet.vn/vi/tim-viec-lam/nhan-vien-cham-soc-khach-hang-viettel-post-t1.35C6C265.html","Xem chi tiết")</f>
        <v/>
      </c>
    </row>
    <row r="12588">
      <c r="B12588" s="9" t="n">
        <v>12586</v>
      </c>
      <c r="C12588" s="10" t="inlineStr">
        <is>
          <t>Bắc Ninh - Chuyên Viên Hỗ Trợ Kinh Doanh (Sales Admin)</t>
        </is>
      </c>
      <c r="D12588" s="10" t="inlineStr">
        <is>
          <t>Tổng công ty Xây dựng số 1 – CTCP</t>
        </is>
      </c>
      <c r="E12588" s="10" t="inlineStr">
        <is>
          <t>Lương:Cạnh tranh</t>
        </is>
      </c>
      <c r="F12588" s="10" t="inlineStr">
        <is>
          <t>Bắc Ninh</t>
        </is>
      </c>
      <c r="G12588" s="10" t="inlineStr">
        <is>
          <t>29-04-2026</t>
        </is>
      </c>
      <c r="H12588" s="10" t="inlineStr">
        <is>
          <t>29/04/2026</t>
        </is>
      </c>
      <c r="I12588" s="10" t="inlineStr">
        <is>
          <t>17/03/2026</t>
        </is>
      </c>
      <c r="J12588" s="10" t="inlineStr">
        <is>
          <t>Hành chính / Thư ký, Bán hàng / Kinh doanh</t>
        </is>
      </c>
      <c r="K12588" s="10" t="inlineStr">
        <is>
          <t>Trên 2 Năm</t>
        </is>
      </c>
      <c r="L12588" s="11">
        <f>HYPERLINK("https://careerviet.vn/vi/tim-viec-lam/bac-ninh-chuyen-vien-ho-tro-kinh-doanh-sales-admin.35C6C26B.html","Xem chi tiết")</f>
        <v/>
      </c>
      <c r="M12588" s="10" t="n"/>
    </row>
    <row r="12589">
      <c r="B12589" s="7" t="n">
        <v>12587</v>
      </c>
      <c r="C12589" t="inlineStr">
        <is>
          <t>Nhân viên trực tổng đài Viettel (T1)</t>
        </is>
      </c>
      <c r="D12589" t="inlineStr">
        <is>
          <t>CÔNG TY CỔ PHẦN TRUYỀN THÔNG KIM CƯƠNG</t>
        </is>
      </c>
      <c r="E12589" t="inlineStr">
        <is>
          <t>Lương:6 Tr - 9 Tr VND</t>
        </is>
      </c>
      <c r="F12589" t="inlineStr">
        <is>
          <t>Thái Nguyên</t>
        </is>
      </c>
      <c r="G12589" t="inlineStr">
        <is>
          <t>11-04-2026</t>
        </is>
      </c>
      <c r="H12589" t="inlineStr">
        <is>
          <t>11/04/2026</t>
        </is>
      </c>
      <c r="I12589" t="inlineStr">
        <is>
          <t>17/03/2026</t>
        </is>
      </c>
      <c r="J12589" t="inlineStr">
        <is>
          <t>Tư vấn, Ngành khác</t>
        </is>
      </c>
      <c r="K12589" t="inlineStr">
        <is>
          <t>N/A</t>
        </is>
      </c>
      <c r="L12589" s="8">
        <f>HYPERLINK("https://careerviet.vn/vi/tim-viec-lam/nhan-vien-truc-tong-dai-viettel-t1.35C6C272.html","Xem chi tiết")</f>
        <v/>
      </c>
    </row>
    <row r="12590">
      <c r="B12590" s="9" t="n">
        <v>12588</v>
      </c>
      <c r="C12590" s="10" t="inlineStr">
        <is>
          <t>Quản lý kho</t>
        </is>
      </c>
      <c r="D12590" s="10" t="inlineStr">
        <is>
          <t>CÔNG TY CỔ PHẦN CÔNG NGHỆ SINH HỌC R.E.P</t>
        </is>
      </c>
      <c r="E12590" s="10" t="inlineStr">
        <is>
          <t>Lương:12 Tr - 15 Tr VND</t>
        </is>
      </c>
      <c r="F12590" s="10" t="inlineStr">
        <is>
          <t>Đồng Nai</t>
        </is>
      </c>
      <c r="G12590" s="10" t="inlineStr">
        <is>
          <t>12-04-2026</t>
        </is>
      </c>
      <c r="H12590" s="10" t="inlineStr">
        <is>
          <t>12/04/2026</t>
        </is>
      </c>
      <c r="I12590" s="10" t="inlineStr">
        <is>
          <t>17/03/2026</t>
        </is>
      </c>
      <c r="J12590" s="10" t="inlineStr">
        <is>
          <t>Kế toán / Kiểm toán, Bán lẻ / Bán sỉ, Chăn nuôi / Thú y</t>
        </is>
      </c>
      <c r="K12590" s="10" t="inlineStr">
        <is>
          <t>2 - 4 Năm</t>
        </is>
      </c>
      <c r="L12590" s="11">
        <f>HYPERLINK("https://careerviet.vn/vi/tim-viec-lam/quan-ly-kho.35C6C257.html","Xem chi tiết")</f>
        <v/>
      </c>
      <c r="M12590" s="10" t="n"/>
    </row>
    <row r="12591">
      <c r="B12591" s="7" t="n">
        <v>12589</v>
      </c>
      <c r="C12591" t="inlineStr">
        <is>
          <t>Nhân viên Tuyển sinh [Gia Kiệm - Đồng Nai]</t>
        </is>
      </c>
      <c r="D12591" t="inlineStr">
        <is>
          <t>Công Ty CP Liên Kết Quốc Tế INTERLINK (Trường Liên Kết Quốc Tế INschool &amp; Ngoại Ngữ Quốc Tế INS ENGLISH &amp; CHINESE)</t>
        </is>
      </c>
      <c r="E12591" t="inlineStr">
        <is>
          <t>Lương:7 Tr - 10 Tr VND</t>
        </is>
      </c>
      <c r="F12591" t="inlineStr">
        <is>
          <t>Đồng Nai</t>
        </is>
      </c>
      <c r="G12591" t="inlineStr">
        <is>
          <t>11-04-2026</t>
        </is>
      </c>
      <c r="H12591" t="inlineStr">
        <is>
          <t>11/04/2026</t>
        </is>
      </c>
      <c r="I12591" t="inlineStr">
        <is>
          <t>17/03/2026</t>
        </is>
      </c>
      <c r="J12591" t="inlineStr">
        <is>
          <t>Bán hàng / Kinh doanh, Giáo dục / Đào tạo</t>
        </is>
      </c>
      <c r="K12591" t="inlineStr">
        <is>
          <t>Chưa có kinh nghiệm</t>
        </is>
      </c>
      <c r="L12591" s="8">
        <f>HYPERLINK("https://careerviet.vn/vi/tim-viec-lam/nhan-vien-tuyen-sinh-gia-kiem-dong-nai.35C6C248.html","Xem chi tiết")</f>
        <v/>
      </c>
    </row>
    <row r="12592">
      <c r="B12592" s="9" t="n">
        <v>12590</v>
      </c>
      <c r="C12592" s="10" t="inlineStr">
        <is>
          <t>Nhân viên Tuyển sinh [Củ Chi - Hồ Chí Minh]</t>
        </is>
      </c>
      <c r="D12592" s="10" t="inlineStr">
        <is>
          <t>Công Ty CP Liên Kết Quốc Tế INTERLINK (Trường Liên Kết Quốc Tế INschool &amp; Ngoại Ngữ Quốc Tế INS ENGLISH &amp; CHINESE)</t>
        </is>
      </c>
      <c r="E12592" s="10" t="inlineStr">
        <is>
          <t>Lương:7 Tr - 10 Tr VND</t>
        </is>
      </c>
      <c r="F12592" s="10" t="inlineStr">
        <is>
          <t>Hồ Chí Minh</t>
        </is>
      </c>
      <c r="G12592" s="10" t="inlineStr">
        <is>
          <t>11-04-2026</t>
        </is>
      </c>
      <c r="H12592" s="10" t="inlineStr">
        <is>
          <t>11/04/2026</t>
        </is>
      </c>
      <c r="I12592" s="10" t="inlineStr">
        <is>
          <t>17/03/2026</t>
        </is>
      </c>
      <c r="J12592" s="10" t="inlineStr">
        <is>
          <t>Bán hàng / Kinh doanh, Giáo dục / Đào tạo</t>
        </is>
      </c>
      <c r="K12592" s="10" t="inlineStr">
        <is>
          <t>Chưa có kinh nghiệm</t>
        </is>
      </c>
      <c r="L12592" s="11">
        <f>HYPERLINK("https://careerviet.vn/vi/tim-viec-lam/nhan-vien-tuyen-sinh-cu-chi-ho-chi-minh.35C6C244.html","Xem chi tiết")</f>
        <v/>
      </c>
      <c r="M12592" s="10" t="n"/>
    </row>
    <row r="12593">
      <c r="B12593" s="7" t="n">
        <v>12591</v>
      </c>
      <c r="C12593" t="inlineStr">
        <is>
          <t>Customer services officer</t>
        </is>
      </c>
      <c r="D12593" t="inlineStr">
        <is>
          <t>Công ty TNHH Gardenline International (VN)</t>
        </is>
      </c>
      <c r="E12593" t="inlineStr">
        <is>
          <t>Lương:Cạnh tranh</t>
        </is>
      </c>
      <c r="F12593" t="inlineStr">
        <is>
          <t>Bình Định</t>
        </is>
      </c>
      <c r="G12593" t="inlineStr">
        <is>
          <t>25-04-2026</t>
        </is>
      </c>
      <c r="H12593" t="inlineStr">
        <is>
          <t>25/04/2026</t>
        </is>
      </c>
      <c r="I12593" t="inlineStr">
        <is>
          <t>17/03/2026</t>
        </is>
      </c>
      <c r="J12593" t="inlineStr">
        <is>
          <t>Dịch vụ khách hàng</t>
        </is>
      </c>
      <c r="K12593" t="inlineStr">
        <is>
          <t>Lên đến 5 Năm</t>
        </is>
      </c>
      <c r="L12593" s="8">
        <f>HYPERLINK("https://careerviet.vn/vi/tim-viec-lam/customer-services-officer.35C6C256.html","Xem chi tiết")</f>
        <v/>
      </c>
    </row>
    <row r="12594">
      <c r="B12594" s="9" t="n">
        <v>12592</v>
      </c>
      <c r="C12594" s="10" t="inlineStr">
        <is>
          <t>Trợ giảng tiếng Anh [Củ Chi - Hồ Chí Minh]</t>
        </is>
      </c>
      <c r="D12594" s="10" t="inlineStr">
        <is>
          <t>Công Ty CP Liên Kết Quốc Tế INTERLINK (Trường Liên Kết Quốc Tế INschool &amp; Ngoại Ngữ Quốc Tế INS ENGLISH &amp; CHINESE)</t>
        </is>
      </c>
      <c r="E12594" s="10" t="inlineStr">
        <is>
          <t>Lương:7 Tr - 9 Tr VND</t>
        </is>
      </c>
      <c r="F12594" s="10" t="inlineStr">
        <is>
          <t>Hồ Chí Minh</t>
        </is>
      </c>
      <c r="G12594" s="10" t="inlineStr">
        <is>
          <t>11-04-2026</t>
        </is>
      </c>
      <c r="H12594" s="10" t="inlineStr">
        <is>
          <t>11/04/2026</t>
        </is>
      </c>
      <c r="I12594" s="10" t="inlineStr">
        <is>
          <t>17/03/2026</t>
        </is>
      </c>
      <c r="J12594" s="10" t="inlineStr">
        <is>
          <t>Tư vấn, Dịch vụ khách hàng, Giáo dục / Đào tạo</t>
        </is>
      </c>
      <c r="K12594" s="10" t="inlineStr">
        <is>
          <t>N/A</t>
        </is>
      </c>
      <c r="L12594" s="11">
        <f>HYPERLINK("https://careerviet.vn/vi/tim-viec-lam/tro-giang-tieng-anh-cu-chi-ho-chi-minh.35C6C250.html","Xem chi tiết")</f>
        <v/>
      </c>
      <c r="M12594" s="10" t="n"/>
    </row>
    <row r="12595">
      <c r="B12595" s="7" t="n">
        <v>12593</v>
      </c>
      <c r="C12595" t="inlineStr">
        <is>
          <t>Trợ giảng tiếng Anh [Phú Mỹ - Bà Rịa Vũng Tàu]</t>
        </is>
      </c>
      <c r="D12595" t="inlineStr">
        <is>
          <t>Công Ty CP Liên Kết Quốc Tế INTERLINK (Trường Liên Kết Quốc Tế INschool &amp; Ngoại Ngữ Quốc Tế INS ENGLISH &amp; CHINESE)</t>
        </is>
      </c>
      <c r="E12595" t="inlineStr">
        <is>
          <t>Lương:7 Tr - 9 Tr VND</t>
        </is>
      </c>
      <c r="F12595" t="inlineStr">
        <is>
          <t>Bà Rịa - Vũng Tàu</t>
        </is>
      </c>
      <c r="G12595" t="inlineStr">
        <is>
          <t>11-04-2026</t>
        </is>
      </c>
      <c r="H12595" t="inlineStr">
        <is>
          <t>11/04/2026</t>
        </is>
      </c>
      <c r="I12595" t="inlineStr">
        <is>
          <t>17/03/2026</t>
        </is>
      </c>
      <c r="J12595" t="inlineStr">
        <is>
          <t>Tư vấn, Dịch vụ khách hàng, Giáo dục / Đào tạo</t>
        </is>
      </c>
      <c r="K12595" t="inlineStr">
        <is>
          <t>N/A</t>
        </is>
      </c>
      <c r="L12595" s="8">
        <f>HYPERLINK("https://careerviet.vn/vi/tim-viec-lam/tro-giang-tieng-anh-phu-my-ba-ria-vung-tau.35C6C24E.html","Xem chi tiết")</f>
        <v/>
      </c>
    </row>
    <row r="12596">
      <c r="B12596" s="9" t="n">
        <v>12594</v>
      </c>
      <c r="C12596" s="10" t="inlineStr">
        <is>
          <t>Data Engineer</t>
        </is>
      </c>
      <c r="D12596" s="10" t="inlineStr">
        <is>
          <t>Công ty TNHH Viettel - CHT</t>
        </is>
      </c>
      <c r="E12596" s="10" t="inlineStr">
        <is>
          <t>Lương:Cạnh tranh</t>
        </is>
      </c>
      <c r="F12596" s="10" t="inlineStr">
        <is>
          <t>Hà Nội</t>
        </is>
      </c>
      <c r="G12596" s="10" t="inlineStr">
        <is>
          <t>30-03-2026</t>
        </is>
      </c>
      <c r="H12596" s="10" t="inlineStr">
        <is>
          <t>30/03/2026</t>
        </is>
      </c>
      <c r="I12596" s="10" t="inlineStr">
        <is>
          <t>17/03/2026</t>
        </is>
      </c>
      <c r="J12596" s="10" t="inlineStr">
        <is>
          <t>CNTT - Phần mềm</t>
        </is>
      </c>
      <c r="K12596" s="10" t="inlineStr">
        <is>
          <t>Trên 2 Năm</t>
        </is>
      </c>
      <c r="L12596" s="11">
        <f>HYPERLINK("https://careerviet.vn/vi/tim-viec-lam/data-engineer.35C69B9D.html","Xem chi tiết")</f>
        <v/>
      </c>
      <c r="M12596" s="10" t="n"/>
    </row>
    <row r="12597">
      <c r="B12597" s="7" t="n">
        <v>12595</v>
      </c>
      <c r="C12597" t="inlineStr">
        <is>
          <t>Nhân viên tư vấn tuyển sinh  [Dĩ An - Thủ Đức]</t>
        </is>
      </c>
      <c r="D12597" t="inlineStr">
        <is>
          <t>Công Ty CP Liên Kết Quốc Tế INTERLINK (Trường Liên Kết Quốc Tế INschool &amp; Ngoại Ngữ Quốc Tế INS ENGLISH &amp; CHINESE)</t>
        </is>
      </c>
      <c r="E12597" t="inlineStr">
        <is>
          <t>Lương:7 Tr - 10 Tr VND</t>
        </is>
      </c>
      <c r="F12597" t="inlineStr">
        <is>
          <t>Bình Dương</t>
        </is>
      </c>
      <c r="G12597" t="inlineStr">
        <is>
          <t>11-04-2026</t>
        </is>
      </c>
      <c r="H12597" t="inlineStr">
        <is>
          <t>11/04/2026</t>
        </is>
      </c>
      <c r="I12597" t="inlineStr">
        <is>
          <t>17/03/2026</t>
        </is>
      </c>
      <c r="J12597" t="inlineStr">
        <is>
          <t>Tiếp thị / Marketing, Tư vấn, Giáo dục / Đào tạo</t>
        </is>
      </c>
      <c r="K12597" t="inlineStr">
        <is>
          <t>1 - 2 Năm</t>
        </is>
      </c>
      <c r="L12597" s="8">
        <f>HYPERLINK("https://careerviet.vn/vi/tim-viec-lam/nhan-vien-tu-van-tuyen-sinh-di-an-thu-duc.35C6C246.html","Xem chi tiết")</f>
        <v/>
      </c>
    </row>
    <row r="12598">
      <c r="B12598" s="9" t="n">
        <v>12596</v>
      </c>
      <c r="C12598" s="10" t="inlineStr">
        <is>
          <t>Nhân viên Tuyển sinh [Long Khánh - Đồng Nai]</t>
        </is>
      </c>
      <c r="D12598" s="10" t="inlineStr">
        <is>
          <t>Công Ty CP Liên Kết Quốc Tế INTERLINK (Trường Liên Kết Quốc Tế INschool &amp; Ngoại Ngữ Quốc Tế INS ENGLISH &amp; CHINESE)</t>
        </is>
      </c>
      <c r="E12598" s="10" t="inlineStr">
        <is>
          <t>Lương:7 Tr - 10 Tr VND</t>
        </is>
      </c>
      <c r="F12598" s="10" t="inlineStr">
        <is>
          <t>Đồng Nai</t>
        </is>
      </c>
      <c r="G12598" s="10" t="inlineStr">
        <is>
          <t>11-04-2026</t>
        </is>
      </c>
      <c r="H12598" s="10" t="inlineStr">
        <is>
          <t>11/04/2026</t>
        </is>
      </c>
      <c r="I12598" s="10" t="inlineStr">
        <is>
          <t>17/03/2026</t>
        </is>
      </c>
      <c r="J12598" s="10" t="inlineStr">
        <is>
          <t>Bán hàng / Kinh doanh, Giáo dục / Đào tạo</t>
        </is>
      </c>
      <c r="K12598" s="10" t="inlineStr">
        <is>
          <t>Chưa có kinh nghiệm</t>
        </is>
      </c>
      <c r="L12598" s="11">
        <f>HYPERLINK("https://careerviet.vn/vi/tim-viec-lam/nhan-vien-tuyen-sinh-long-khanh-dong-nai.35C6C240.html","Xem chi tiết")</f>
        <v/>
      </c>
      <c r="M12598" s="10" t="n"/>
    </row>
    <row r="12599">
      <c r="B12599" s="7" t="n">
        <v>12597</v>
      </c>
      <c r="C12599" t="inlineStr">
        <is>
          <t>Nhân viên Tuyển sinh [Tân Thạnh Đông - Củ Chi]</t>
        </is>
      </c>
      <c r="D12599" t="inlineStr">
        <is>
          <t>Công Ty CP Liên Kết Quốc Tế INTERLINK (Trường Liên Kết Quốc Tế INschool &amp; Ngoại Ngữ Quốc Tế INS ENGLISH &amp; CHINESE)</t>
        </is>
      </c>
      <c r="E12599" t="inlineStr">
        <is>
          <t>Lương:7 Tr - 10 Tr VND</t>
        </is>
      </c>
      <c r="F12599" t="inlineStr">
        <is>
          <t>Hồ Chí Minh</t>
        </is>
      </c>
      <c r="G12599" t="inlineStr">
        <is>
          <t>11-04-2026</t>
        </is>
      </c>
      <c r="H12599" t="inlineStr">
        <is>
          <t>11/04/2026</t>
        </is>
      </c>
      <c r="I12599" t="inlineStr">
        <is>
          <t>17/03/2026</t>
        </is>
      </c>
      <c r="J12599" t="inlineStr">
        <is>
          <t>Bán hàng / Kinh doanh, Giáo dục / Đào tạo</t>
        </is>
      </c>
      <c r="K12599" t="inlineStr">
        <is>
          <t>Chưa có kinh nghiệm</t>
        </is>
      </c>
      <c r="L12599" s="8">
        <f>HYPERLINK("https://careerviet.vn/vi/tim-viec-lam/nhan-vien-tuyen-sinh-tan-thanh-dong-cu-chi.35C6C242.html","Xem chi tiết")</f>
        <v/>
      </c>
    </row>
    <row r="12600">
      <c r="B12600" s="9" t="n">
        <v>12598</v>
      </c>
      <c r="C12600" s="10" t="inlineStr">
        <is>
          <t>Kỹ sư QS</t>
        </is>
      </c>
      <c r="D12600" s="10" t="inlineStr">
        <is>
          <t>Công ty TNHH MTV Đầu tư Xây dựng Phát triển Nam Khang</t>
        </is>
      </c>
      <c r="E12600" s="10" t="inlineStr">
        <is>
          <t>Lương:Cạnh tranh</t>
        </is>
      </c>
      <c r="F12600" s="10" t="inlineStr">
        <is>
          <t>Cần ThơLong An</t>
        </is>
      </c>
      <c r="G12600" s="10" t="inlineStr">
        <is>
          <t>31-03-2026</t>
        </is>
      </c>
      <c r="H12600" s="10" t="inlineStr">
        <is>
          <t>31/03/2026</t>
        </is>
      </c>
      <c r="I12600" s="10" t="inlineStr">
        <is>
          <t>17/03/2026</t>
        </is>
      </c>
      <c r="J12600" s="10" t="inlineStr">
        <is>
          <t>Xây dựng, Kiến trúc</t>
        </is>
      </c>
      <c r="K12600" s="10" t="inlineStr">
        <is>
          <t>2 - 3 Năm</t>
        </is>
      </c>
      <c r="L12600" s="11">
        <f>HYPERLINK("https://careerviet.vn/vi/tim-viec-lam/ky-su-qs.35C6C18E.html","Xem chi tiết")</f>
        <v/>
      </c>
      <c r="M12600" s="10" t="n"/>
    </row>
    <row r="12601">
      <c r="B12601" s="7" t="n">
        <v>12599</v>
      </c>
      <c r="C12601" t="inlineStr">
        <is>
          <t>Trưởng Phòng Hành Chính Nhân Sự</t>
        </is>
      </c>
      <c r="D12601" t="inlineStr">
        <is>
          <t>CÔNG TY CỔ PHẦN TẬP ĐOÀN VIANCO</t>
        </is>
      </c>
      <c r="E12601" t="inlineStr">
        <is>
          <t>Lương:30 Tr - 40 Tr VND</t>
        </is>
      </c>
      <c r="F12601" t="inlineStr">
        <is>
          <t>Hà Nội</t>
        </is>
      </c>
      <c r="G12601" t="inlineStr">
        <is>
          <t>30-04-2026</t>
        </is>
      </c>
      <c r="H12601" t="inlineStr">
        <is>
          <t>30/04/2026</t>
        </is>
      </c>
      <c r="I12601" t="inlineStr">
        <is>
          <t>17/03/2026</t>
        </is>
      </c>
      <c r="J12601" t="inlineStr">
        <is>
          <t>Hành chính / Thư ký, Quản lý điều hành, Nhân sự</t>
        </is>
      </c>
      <c r="K12601" t="inlineStr">
        <is>
          <t>5 - 10 Năm</t>
        </is>
      </c>
      <c r="L12601" s="8">
        <f>HYPERLINK("https://careerviet.vn/vi/tim-viec-lam/truong-phong-hanh-chinh-nhan-su.35C69A1A.html","Xem chi tiết")</f>
        <v/>
      </c>
    </row>
    <row r="12602">
      <c r="B12602" s="9" t="n">
        <v>12600</v>
      </c>
      <c r="C12602" s="10" t="inlineStr">
        <is>
          <t>Chuyên viên Performance Marketing</t>
        </is>
      </c>
      <c r="D12602" s="10" t="inlineStr">
        <is>
          <t>Công ty CP Công nghệ giáo dục Trường học trực tuyến (ONSCHOOL)</t>
        </is>
      </c>
      <c r="E12602" s="10" t="inlineStr">
        <is>
          <t>Lương:13 Tr - 18 Tr VND</t>
        </is>
      </c>
      <c r="F12602" s="10" t="inlineStr">
        <is>
          <t>Hà Nội</t>
        </is>
      </c>
      <c r="G12602" s="10" t="inlineStr">
        <is>
          <t>25-03-2026</t>
        </is>
      </c>
      <c r="H12602" s="10" t="inlineStr">
        <is>
          <t>25/03/2026</t>
        </is>
      </c>
      <c r="I12602" s="10" t="inlineStr">
        <is>
          <t>17/03/2026</t>
        </is>
      </c>
      <c r="J12602" s="10" t="inlineStr">
        <is>
          <t>Tiếp thị / Marketing</t>
        </is>
      </c>
      <c r="K12602" s="10" t="inlineStr">
        <is>
          <t>2 - 3 Năm</t>
        </is>
      </c>
      <c r="L12602" s="11">
        <f>HYPERLINK("https://careerviet.vn/vi/tim-viec-lam/chuyen-vien-performance-marketing.35C6C243.html","Xem chi tiết")</f>
        <v/>
      </c>
      <c r="M12602" s="10" t="n"/>
    </row>
    <row r="12603">
      <c r="B12603" s="7" t="n">
        <v>12601</v>
      </c>
      <c r="C12603" t="inlineStr">
        <is>
          <t>BAF - Kế toán trưởng (Công ty thành viên)</t>
        </is>
      </c>
      <c r="D12603" t="inlineStr">
        <is>
          <t>Công ty Cổ phần Nông nghiệp BAF Việt Nam</t>
        </is>
      </c>
      <c r="E12603" t="inlineStr">
        <is>
          <t>Lương:Cạnh tranh</t>
        </is>
      </c>
      <c r="F12603" t="inlineStr">
        <is>
          <t>Hồ Chí Minh</t>
        </is>
      </c>
      <c r="G12603" t="inlineStr">
        <is>
          <t>26-03-2026</t>
        </is>
      </c>
      <c r="H12603" t="inlineStr">
        <is>
          <t>26/03/2026</t>
        </is>
      </c>
      <c r="I12603" t="inlineStr">
        <is>
          <t>17/03/2026</t>
        </is>
      </c>
      <c r="J12603" t="inlineStr">
        <is>
          <t>Kế toán / Kiểm toán</t>
        </is>
      </c>
      <c r="K12603" t="inlineStr">
        <is>
          <t>3 - 7 Năm</t>
        </is>
      </c>
      <c r="L12603" s="8">
        <f>HYPERLINK("https://careerviet.vn/vi/tim-viec-lam/baf-ke-toan-truong-cong-ty-thanh-vien.35C6996A.html","Xem chi tiết")</f>
        <v/>
      </c>
    </row>
    <row r="12604">
      <c r="B12604" s="9" t="n">
        <v>12602</v>
      </c>
      <c r="C12604" s="10" t="inlineStr">
        <is>
          <t>KỸ SƯ THIẾT BỊ Y TẾ (MẢNG SIÊU ÂM)</t>
        </is>
      </c>
      <c r="D12604" s="10" t="inlineStr">
        <is>
          <t>Công Ty Cổ Phần Y Tế Việt Tiến</t>
        </is>
      </c>
      <c r="E12604" s="10" t="inlineStr">
        <is>
          <t>Lương:Cạnh tranh</t>
        </is>
      </c>
      <c r="F12604" s="10" t="inlineStr">
        <is>
          <t>Hồ Chí Minh</t>
        </is>
      </c>
      <c r="G12604" s="10" t="inlineStr">
        <is>
          <t>28-03-2026</t>
        </is>
      </c>
      <c r="H12604" s="10" t="inlineStr">
        <is>
          <t>28/03/2026</t>
        </is>
      </c>
      <c r="I12604" s="10" t="inlineStr">
        <is>
          <t>17/03/2026</t>
        </is>
      </c>
      <c r="J12604" s="10" t="inlineStr">
        <is>
          <t>Y tế / Chăm sóc sức khỏe / Thẩm mỹ / Làm đẹp</t>
        </is>
      </c>
      <c r="K12604" s="10" t="inlineStr">
        <is>
          <t>2 - 4 Năm</t>
        </is>
      </c>
      <c r="L12604" s="11">
        <f>HYPERLINK("https://careerviet.vn/vi/tim-viec-lam/ky-su-thiet-bi-y-te-mang-sieu-am.35C69CAF.html","Xem chi tiết")</f>
        <v/>
      </c>
      <c r="M12604" s="10" t="n"/>
    </row>
    <row r="12605">
      <c r="B12605" s="7" t="n">
        <v>12603</v>
      </c>
      <c r="C12605" t="inlineStr">
        <is>
          <t>Customer Specialist</t>
        </is>
      </c>
      <c r="D12605" t="inlineStr">
        <is>
          <t>CÔNG TY TNHH AMPHENOL RF VIỆT NAM</t>
        </is>
      </c>
      <c r="E12605" t="inlineStr">
        <is>
          <t>Lương:13 Tr - 18 Tr VND</t>
        </is>
      </c>
      <c r="F12605" t="inlineStr">
        <is>
          <t>Long An</t>
        </is>
      </c>
      <c r="G12605" t="inlineStr">
        <is>
          <t>31-03-2026</t>
        </is>
      </c>
      <c r="H12605" t="inlineStr">
        <is>
          <t>31/03/2026</t>
        </is>
      </c>
      <c r="I12605" t="inlineStr">
        <is>
          <t>17/03/2026</t>
        </is>
      </c>
      <c r="J12605" t="inlineStr">
        <is>
          <t>Sản xuất / Vận hành sản xuất, Dịch vụ khách hàng, Mới tốt nghiệp / Thực tập</t>
        </is>
      </c>
      <c r="K12605" t="inlineStr">
        <is>
          <t>Lên đến 2 Năm</t>
        </is>
      </c>
      <c r="L12605" s="8">
        <f>HYPERLINK("https://careerviet.vn/vi/tim-viec-lam/customer-specialist.35C69A17.html","Xem chi tiết")</f>
        <v/>
      </c>
    </row>
    <row r="12606">
      <c r="B12606" s="9" t="n">
        <v>12604</v>
      </c>
      <c r="C12606" s="10" t="inlineStr">
        <is>
          <t>Cộng tác viên thiết kế - SI - MSB - 3I127</t>
        </is>
      </c>
      <c r="D12606" s="10" t="inlineStr">
        <is>
          <t>Ngân hàng Thương mại Cổ phần Hàng Hải Việt Nam (MSB)</t>
        </is>
      </c>
      <c r="E12606" s="10" t="inlineStr">
        <is>
          <t>Lương:6 Tr - 7 Tr VND</t>
        </is>
      </c>
      <c r="F12606" s="10" t="inlineStr">
        <is>
          <t>Hà Nội</t>
        </is>
      </c>
      <c r="G12606" s="10" t="inlineStr">
        <is>
          <t>26-03-2026</t>
        </is>
      </c>
      <c r="H12606" s="10" t="inlineStr">
        <is>
          <t>26/03/2026</t>
        </is>
      </c>
      <c r="I12606" s="10" t="inlineStr">
        <is>
          <t>17/03/2026</t>
        </is>
      </c>
      <c r="J12606" s="10" t="inlineStr">
        <is>
          <t>Mỹ thuật / Nghệ thuật / Thiết kế</t>
        </is>
      </c>
      <c r="K12606" s="10" t="inlineStr">
        <is>
          <t>N/A</t>
        </is>
      </c>
      <c r="L12606" s="11">
        <f>HYPERLINK("https://careerviet.vn/vi/tim-viec-lam/cong-tac-vien-thiet-ke-si-msb-3i127.35C69A3B.html","Xem chi tiết")</f>
        <v/>
      </c>
      <c r="M12606" s="10" t="n"/>
    </row>
    <row r="12607">
      <c r="B12607" s="7" t="n">
        <v>12605</v>
      </c>
      <c r="C12607" t="inlineStr">
        <is>
          <t>Quản Lý Nhân Sự Nhà Hàng Khách Sạn</t>
        </is>
      </c>
      <c r="D12607" t="inlineStr">
        <is>
          <t>Hồng Nga SG - Công ty TNHH Thương Mại Hồng Nga Sài Gòn</t>
        </is>
      </c>
      <c r="E12607" t="inlineStr">
        <is>
          <t>Lương:Cạnh tranh</t>
        </is>
      </c>
      <c r="F12607" t="inlineStr">
        <is>
          <t>Đà Nẵng</t>
        </is>
      </c>
      <c r="G12607" t="inlineStr">
        <is>
          <t>24-03-2026</t>
        </is>
      </c>
      <c r="H12607" t="inlineStr">
        <is>
          <t>24/03/2026</t>
        </is>
      </c>
      <c r="I12607" t="inlineStr">
        <is>
          <t>17/03/2026</t>
        </is>
      </c>
      <c r="J12607" t="inlineStr">
        <is>
          <t>Nhà hàng / Khách sạn, Quản lý điều hành, Dịch vụ khách hàng</t>
        </is>
      </c>
      <c r="K12607" t="inlineStr">
        <is>
          <t>N/A</t>
        </is>
      </c>
      <c r="L12607" s="8">
        <f>HYPERLINK("https://careerviet.vn/vi/tim-viec-lam/quan-ly-nhan-su-nha-hang-khach-san.35C6968B.html","Xem chi tiết")</f>
        <v/>
      </c>
    </row>
    <row r="12608">
      <c r="B12608" s="9" t="n">
        <v>12606</v>
      </c>
      <c r="C12608" s="10" t="inlineStr">
        <is>
          <t>Chuyên viên Tuyển Dụng</t>
        </is>
      </c>
      <c r="D12608" s="10" t="inlineStr">
        <is>
          <t>CÔNG TY CỔ PHẦN DÂY CÁP ĐIỆN VIỆT NAM - CADIVI</t>
        </is>
      </c>
      <c r="E12608" s="10" t="inlineStr">
        <is>
          <t>Lương:Cạnh tranh</t>
        </is>
      </c>
      <c r="F12608" s="10" t="inlineStr">
        <is>
          <t>Hồ Chí Minh</t>
        </is>
      </c>
      <c r="G12608" s="10" t="inlineStr">
        <is>
          <t>25-03-2026</t>
        </is>
      </c>
      <c r="H12608" s="10" t="inlineStr">
        <is>
          <t>25/03/2026</t>
        </is>
      </c>
      <c r="I12608" s="10" t="inlineStr">
        <is>
          <t>17/03/2026</t>
        </is>
      </c>
      <c r="J12608" s="10" t="inlineStr">
        <is>
          <t>Nhân sự</t>
        </is>
      </c>
      <c r="K12608" s="10" t="inlineStr">
        <is>
          <t>3 - 5 Năm</t>
        </is>
      </c>
      <c r="L12608" s="11">
        <f>HYPERLINK("https://careerviet.vn/vi/tim-viec-lam/chuyen-vien-tuyen-dung.35C698ED.html","Xem chi tiết")</f>
        <v/>
      </c>
      <c r="M12608" s="10" t="n"/>
    </row>
    <row r="12609">
      <c r="B12609" s="7" t="n">
        <v>12607</v>
      </c>
      <c r="C12609" t="inlineStr">
        <is>
          <t>People &amp; Communications Services Agent (Malaysia-based)</t>
        </is>
      </c>
      <c r="D12609" t="inlineStr">
        <is>
          <t>KONE Việt Nam</t>
        </is>
      </c>
      <c r="E12609" t="inlineStr">
        <is>
          <t>Lương:1.200 - 1.500 USD</t>
        </is>
      </c>
      <c r="F12609" t="inlineStr">
        <is>
          <t>Malaysia</t>
        </is>
      </c>
      <c r="G12609" t="inlineStr">
        <is>
          <t>25-03-2026</t>
        </is>
      </c>
      <c r="H12609" t="inlineStr">
        <is>
          <t>25/03/2026</t>
        </is>
      </c>
      <c r="I12609" t="inlineStr">
        <is>
          <t>17/03/2026</t>
        </is>
      </c>
      <c r="J12609" t="inlineStr">
        <is>
          <t>Dịch vụ khách hàng, Nhân sự, Thương mại điện tử</t>
        </is>
      </c>
      <c r="K12609" t="inlineStr">
        <is>
          <t>5 - 8 Năm</t>
        </is>
      </c>
      <c r="L12609" s="8">
        <f>HYPERLINK("https://careerviet.vn/vi/tim-viec-lam/people-communications-services-agent-malaysia-based.35C69CF3.html","Xem chi tiết")</f>
        <v/>
      </c>
    </row>
    <row r="12610">
      <c r="B12610" s="9" t="n">
        <v>12608</v>
      </c>
      <c r="C12610" s="10" t="inlineStr">
        <is>
          <t>Nhân Viên Hành Chính Nhân Sự Biết Tiếng Trung</t>
        </is>
      </c>
      <c r="D12610" s="10" t="inlineStr">
        <is>
          <t>CÔNG TY TNHH AUSSCO VIỆT NAM</t>
        </is>
      </c>
      <c r="E12610" s="10" t="inlineStr">
        <is>
          <t>Lương:Cạnh tranh</t>
        </is>
      </c>
      <c r="F12610" s="10" t="inlineStr">
        <is>
          <t>Bình Dương</t>
        </is>
      </c>
      <c r="G12610" s="10" t="inlineStr">
        <is>
          <t>31-03-2026</t>
        </is>
      </c>
      <c r="H12610" s="10" t="inlineStr">
        <is>
          <t>31/03/2026</t>
        </is>
      </c>
      <c r="I12610" s="10" t="inlineStr">
        <is>
          <t>17/03/2026</t>
        </is>
      </c>
      <c r="J12610" s="10" t="inlineStr">
        <is>
          <t>Hành chính / Thư ký, Nhân sự, Biên phiên dịch</t>
        </is>
      </c>
      <c r="K12610" s="10" t="inlineStr">
        <is>
          <t>1 - 2 Năm</t>
        </is>
      </c>
      <c r="L12610" s="11">
        <f>HYPERLINK("https://careerviet.vn/vi/tim-viec-lam/nhan-vien-hanh-chinh-nhan-su-biet-tieng-trung.35C6C1FC.html","Xem chi tiết")</f>
        <v/>
      </c>
      <c r="M12610" s="10" t="n"/>
    </row>
    <row r="12611">
      <c r="B12611" s="7" t="n">
        <v>12609</v>
      </c>
      <c r="C12611" t="inlineStr">
        <is>
          <t>Chuyên viên đánh giá</t>
        </is>
      </c>
      <c r="D12611" t="inlineStr">
        <is>
          <t>CÔNG TY TNHH ACTR</t>
        </is>
      </c>
      <c r="E12611" t="inlineStr">
        <is>
          <t>Lương:10,5 Tr - 15 Tr VND</t>
        </is>
      </c>
      <c r="F12611" t="inlineStr">
        <is>
          <t>Tây Ninh</t>
        </is>
      </c>
      <c r="G12611" t="inlineStr">
        <is>
          <t>31-03-2026</t>
        </is>
      </c>
      <c r="H12611" t="inlineStr">
        <is>
          <t>31/03/2026</t>
        </is>
      </c>
      <c r="I12611" t="inlineStr">
        <is>
          <t>17/03/2026</t>
        </is>
      </c>
      <c r="J12611" t="inlineStr">
        <is>
          <t>Sản xuất / Vận hành sản xuất, Mới tốt nghiệp / Thực tập, Nhân sự</t>
        </is>
      </c>
      <c r="K12611" t="inlineStr">
        <is>
          <t>N/A</t>
        </is>
      </c>
      <c r="L12611" s="8">
        <f>HYPERLINK("https://careerviet.vn/vi/tim-viec-lam/chuyen-vien-danh-gia.35C69C3C.html","Xem chi tiết")</f>
        <v/>
      </c>
    </row>
    <row r="12612">
      <c r="B12612" s="9" t="n">
        <v>12610</v>
      </c>
      <c r="C12612" s="10" t="inlineStr">
        <is>
          <t>Kiến Trúc Sư Cảnh Quan (Chủ Đầu Tư)</t>
        </is>
      </c>
      <c r="D12612" s="10" t="inlineStr">
        <is>
          <t>Tập Đoàn Tân Á Đại Thành</t>
        </is>
      </c>
      <c r="E12612" s="10" t="inlineStr">
        <is>
          <t>Lương:Cạnh tranh</t>
        </is>
      </c>
      <c r="F12612" s="10" t="inlineStr">
        <is>
          <t>Hà Nội</t>
        </is>
      </c>
      <c r="G12612" s="10" t="inlineStr">
        <is>
          <t>14-04-2026</t>
        </is>
      </c>
      <c r="H12612" s="10" t="inlineStr">
        <is>
          <t>14/04/2026</t>
        </is>
      </c>
      <c r="I12612" s="10" t="inlineStr">
        <is>
          <t>17/03/2026</t>
        </is>
      </c>
      <c r="J12612" s="10" t="inlineStr">
        <is>
          <t>Lâm Nghiệp, Kiến trúc, Xây dựng</t>
        </is>
      </c>
      <c r="K12612" s="10" t="inlineStr">
        <is>
          <t>Trên 3 Năm</t>
        </is>
      </c>
      <c r="L12612" s="11">
        <f>HYPERLINK("https://careerviet.vn/vi/tim-viec-lam/kien-truc-su-canh-quan-chu-dau-tu.35C69A2B.html","Xem chi tiết")</f>
        <v/>
      </c>
      <c r="M12612" s="10" t="n"/>
    </row>
    <row r="12613">
      <c r="B12613" s="7" t="n">
        <v>12611</v>
      </c>
      <c r="C12613" t="inlineStr">
        <is>
          <t>Chuyên viên QA</t>
        </is>
      </c>
      <c r="D12613" t="inlineStr">
        <is>
          <t>Tập Đoàn Karofi Holding</t>
        </is>
      </c>
      <c r="E12613" t="inlineStr">
        <is>
          <t>Lương:Cạnh tranh</t>
        </is>
      </c>
      <c r="F12613" t="inlineStr">
        <is>
          <t>Hưng Yên</t>
        </is>
      </c>
      <c r="G12613" t="inlineStr">
        <is>
          <t>28-03-2026</t>
        </is>
      </c>
      <c r="H12613" t="inlineStr">
        <is>
          <t>28/03/2026</t>
        </is>
      </c>
      <c r="I12613" t="inlineStr">
        <is>
          <t>17/03/2026</t>
        </is>
      </c>
      <c r="J12613" t="inlineStr">
        <is>
          <t>Cơ khí / Ô tô / Tự động hóa, Sản xuất / Vận hành sản xuất, Quản lý chất lượng (QA/QC)</t>
        </is>
      </c>
      <c r="K12613" t="inlineStr">
        <is>
          <t>1 - 5 Năm</t>
        </is>
      </c>
      <c r="L12613" s="8">
        <f>HYPERLINK("https://careerviet.vn/vi/tim-viec-lam/chuyen-vien-qa.35C69B5C.html","Xem chi tiết")</f>
        <v/>
      </c>
    </row>
    <row r="12614">
      <c r="B12614" s="9" t="n">
        <v>12612</v>
      </c>
      <c r="C12614" s="10" t="inlineStr">
        <is>
          <t>MARKETING EXECUTVE (TECH &amp; SPORTSWEAR)</t>
        </is>
      </c>
      <c r="D12614" s="10" t="inlineStr">
        <is>
          <t>CÔNG TY TNHH SAFFRONCLUB VIỆT NAM</t>
        </is>
      </c>
      <c r="E12614" s="10" t="inlineStr">
        <is>
          <t>Lương:10 Tr - 15 Tr VND</t>
        </is>
      </c>
      <c r="F12614" s="10" t="inlineStr">
        <is>
          <t>Hà Nội</t>
        </is>
      </c>
      <c r="G12614" s="10" t="inlineStr">
        <is>
          <t>30-03-2026</t>
        </is>
      </c>
      <c r="H12614" s="10" t="inlineStr">
        <is>
          <t>30/03/2026</t>
        </is>
      </c>
      <c r="I12614" s="10" t="inlineStr">
        <is>
          <t>17/03/2026</t>
        </is>
      </c>
      <c r="J12614" s="10" t="inlineStr">
        <is>
          <t>Quản lý điều hành, Tiếp thị / Marketing, Tiếp thị trực tuyến</t>
        </is>
      </c>
      <c r="K12614" s="10" t="inlineStr">
        <is>
          <t>2 - 4 Năm</t>
        </is>
      </c>
      <c r="L12614" s="11">
        <f>HYPERLINK("https://careerviet.vn/vi/tim-viec-lam/marketing-executve-tech-sportswear.35C697C3.html","Xem chi tiết")</f>
        <v/>
      </c>
      <c r="M12614" s="10" t="n"/>
    </row>
    <row r="12615">
      <c r="B12615" s="7" t="n">
        <v>12613</v>
      </c>
      <c r="C12615" t="inlineStr">
        <is>
          <t>Kế toán thuế</t>
        </is>
      </c>
      <c r="D12615" t="inlineStr">
        <is>
          <t>Công ty TNHH SXTM XNK Minh Hiền</t>
        </is>
      </c>
      <c r="E12615" t="inlineStr">
        <is>
          <t>Lương:Cạnh tranh</t>
        </is>
      </c>
      <c r="F12615" t="inlineStr">
        <is>
          <t>Hồ Chí Minh</t>
        </is>
      </c>
      <c r="G12615" t="inlineStr">
        <is>
          <t>28-03-2026</t>
        </is>
      </c>
      <c r="H12615" t="inlineStr">
        <is>
          <t>28/03/2026</t>
        </is>
      </c>
      <c r="I12615" t="inlineStr">
        <is>
          <t>17/03/2026</t>
        </is>
      </c>
      <c r="J12615" t="inlineStr">
        <is>
          <t>Kế toán / Kiểm toán</t>
        </is>
      </c>
      <c r="K12615" t="inlineStr">
        <is>
          <t>1 - 3 Năm</t>
        </is>
      </c>
      <c r="L12615" s="8">
        <f>HYPERLINK("https://careerviet.vn/vi/tim-viec-lam/ke-toan-thue.35C69A8E.html","Xem chi tiết")</f>
        <v/>
      </c>
    </row>
    <row r="12616">
      <c r="B12616" s="9" t="n">
        <v>12614</v>
      </c>
      <c r="C12616" s="10" t="inlineStr">
        <is>
          <t>TRỢ LÝ SẢN XUẤT</t>
        </is>
      </c>
      <c r="D12616" s="10" t="inlineStr">
        <is>
          <t>CT CP Tập Đoàn Thái Tuấn</t>
        </is>
      </c>
      <c r="E12616" s="10" t="inlineStr">
        <is>
          <t>Lương:Cạnh tranh</t>
        </is>
      </c>
      <c r="F12616" s="10" t="inlineStr">
        <is>
          <t>Long An</t>
        </is>
      </c>
      <c r="G12616" s="10" t="inlineStr">
        <is>
          <t>25-03-2026</t>
        </is>
      </c>
      <c r="H12616" s="10" t="inlineStr">
        <is>
          <t>25/03/2026</t>
        </is>
      </c>
      <c r="I12616" s="10" t="inlineStr">
        <is>
          <t>17/03/2026</t>
        </is>
      </c>
      <c r="J12616" s="10" t="inlineStr">
        <is>
          <t>Dệt may / Da giày / Thời trang, Sản xuất / Vận hành sản xuất, Kế toán / Kiểm toán</t>
        </is>
      </c>
      <c r="K12616" s="10" t="inlineStr">
        <is>
          <t>2 - 3 Năm</t>
        </is>
      </c>
      <c r="L12616" s="11">
        <f>HYPERLINK("https://careerviet.vn/vi/tim-viec-lam/tro-ly-san-xuat.35C6999D.html","Xem chi tiết")</f>
        <v/>
      </c>
      <c r="M12616" s="10" t="n"/>
    </row>
    <row r="12617">
      <c r="B12617" s="7" t="n">
        <v>12615</v>
      </c>
      <c r="C12617" t="inlineStr">
        <is>
          <t>BAF - Nhân viên Kế toán công nợ phải trả</t>
        </is>
      </c>
      <c r="D12617" t="inlineStr">
        <is>
          <t>Công ty Cổ phần Nông nghiệp BAF Việt Nam</t>
        </is>
      </c>
      <c r="E12617" t="inlineStr">
        <is>
          <t>Lương:Cạnh tranh</t>
        </is>
      </c>
      <c r="F12617" t="inlineStr">
        <is>
          <t>Hồ Chí Minh</t>
        </is>
      </c>
      <c r="G12617" t="inlineStr">
        <is>
          <t>26-03-2026</t>
        </is>
      </c>
      <c r="H12617" t="inlineStr">
        <is>
          <t>26/03/2026</t>
        </is>
      </c>
      <c r="I12617" t="inlineStr">
        <is>
          <t>17/03/2026</t>
        </is>
      </c>
      <c r="J12617" t="inlineStr">
        <is>
          <t>Kế toán / Kiểm toán, Ngân hàng</t>
        </is>
      </c>
      <c r="K12617" t="inlineStr">
        <is>
          <t>1 - 3 Năm</t>
        </is>
      </c>
      <c r="L12617" s="8">
        <f>HYPERLINK("https://careerviet.vn/vi/tim-viec-lam/baf-nhan-vien-ke-toan-cong-no-phai-tra.35C698F9.html","Xem chi tiết")</f>
        <v/>
      </c>
    </row>
    <row r="12618">
      <c r="B12618" s="9" t="n">
        <v>12616</v>
      </c>
      <c r="C12618" s="10" t="inlineStr">
        <is>
          <t>Điều dưỡng viên khúc xạ</t>
        </is>
      </c>
      <c r="D12618" s="10" t="inlineStr">
        <is>
          <t>CÔNG TY CỔ PHẦN ULTD THỊNH PHÁT</t>
        </is>
      </c>
      <c r="E12618" s="10" t="inlineStr">
        <is>
          <t>Lương:8 Tr - 10 Tr VND</t>
        </is>
      </c>
      <c r="F12618" s="10" t="inlineStr">
        <is>
          <t>Hà NộiHồ Chí Minh</t>
        </is>
      </c>
      <c r="G12618" s="10" t="inlineStr">
        <is>
          <t>31-03-2026</t>
        </is>
      </c>
      <c r="H12618" s="10" t="inlineStr">
        <is>
          <t>31/03/2026</t>
        </is>
      </c>
      <c r="I12618" s="10" t="inlineStr">
        <is>
          <t>17/03/2026</t>
        </is>
      </c>
      <c r="J12618" s="10" t="inlineStr">
        <is>
          <t>Y tế / Chăm sóc sức khỏe / Thẩm mỹ / Làm đẹp, Dệt may / Da giày / Thời trang, Bán hàng / Kinh doanh</t>
        </is>
      </c>
      <c r="K12618" s="10" t="inlineStr">
        <is>
          <t>N/A</t>
        </is>
      </c>
      <c r="L12618" s="11">
        <f>HYPERLINK("https://careerviet.vn/vi/tim-viec-lam/dieu-duong-vien-khuc-xa.35C69D0F.html","Xem chi tiết")</f>
        <v/>
      </c>
      <c r="M12618" s="10" t="n"/>
    </row>
    <row r="12619">
      <c r="B12619" s="7" t="n">
        <v>12617</v>
      </c>
      <c r="C12619" t="inlineStr">
        <is>
          <t>KẾ TOÁN VIÊN (Mạnh thuế)</t>
        </is>
      </c>
      <c r="D12619" t="inlineStr">
        <is>
          <t>HMK Eyewear</t>
        </is>
      </c>
      <c r="E12619" t="inlineStr">
        <is>
          <t>Lương:Cạnh tranh</t>
        </is>
      </c>
      <c r="F12619" t="inlineStr">
        <is>
          <t>Hồ Chí Minh</t>
        </is>
      </c>
      <c r="G12619" t="inlineStr">
        <is>
          <t>31-03-2026</t>
        </is>
      </c>
      <c r="H12619" t="inlineStr">
        <is>
          <t>31/03/2026</t>
        </is>
      </c>
      <c r="I12619" t="inlineStr">
        <is>
          <t>17/03/2026</t>
        </is>
      </c>
      <c r="J12619" t="inlineStr">
        <is>
          <t>Kế toán / Kiểm toán, Tài chính / Đầu tư, Dịch vụ khách hàng</t>
        </is>
      </c>
      <c r="K12619" t="inlineStr">
        <is>
          <t>1 - 2 Năm</t>
        </is>
      </c>
      <c r="L12619" s="8">
        <f>HYPERLINK("https://careerviet.vn/vi/tim-viec-lam/ke-toan-vien-manh-thue.35C69C87.html","Xem chi tiết")</f>
        <v/>
      </c>
    </row>
    <row r="12620">
      <c r="B12620" s="9" t="n">
        <v>12618</v>
      </c>
      <c r="C12620" s="10" t="inlineStr">
        <is>
          <t>Digital Specialist</t>
        </is>
      </c>
      <c r="D12620" s="10" t="inlineStr">
        <is>
          <t>Công Ty Cổ Phần GreenFeed Việt Nam</t>
        </is>
      </c>
      <c r="E12620" s="10" t="inlineStr">
        <is>
          <t>Lương:Cạnh tranh</t>
        </is>
      </c>
      <c r="F12620" s="10" t="inlineStr">
        <is>
          <t>Hồ Chí Minh</t>
        </is>
      </c>
      <c r="G12620" s="10" t="inlineStr">
        <is>
          <t>28-03-2026</t>
        </is>
      </c>
      <c r="H12620" s="10" t="inlineStr">
        <is>
          <t>28/03/2026</t>
        </is>
      </c>
      <c r="I12620" s="10" t="inlineStr">
        <is>
          <t>17/03/2026</t>
        </is>
      </c>
      <c r="J12620" s="10" t="inlineStr">
        <is>
          <t>Tiếp thị / Marketing, Tiếp thị trực tuyến, Quảng cáo / Đối ngoại / Truyền Thông</t>
        </is>
      </c>
      <c r="K12620" s="10" t="inlineStr">
        <is>
          <t>Lên đến 3 Năm</t>
        </is>
      </c>
      <c r="L12620" s="11">
        <f>HYPERLINK("https://careerviet.vn/vi/tim-viec-lam/digital-specialist.35C69C8D.html","Xem chi tiết")</f>
        <v/>
      </c>
      <c r="M12620" s="10" t="n"/>
    </row>
    <row r="12621">
      <c r="B12621" s="7" t="n">
        <v>12619</v>
      </c>
      <c r="C12621" t="inlineStr">
        <is>
          <t>Chuyên viên Kinh doanh</t>
        </is>
      </c>
      <c r="D12621" t="inlineStr">
        <is>
          <t>Công Ty TNHH Hoa Viên Bình An</t>
        </is>
      </c>
      <c r="E12621" t="inlineStr">
        <is>
          <t>Lương:Cạnh tranh</t>
        </is>
      </c>
      <c r="F12621" t="inlineStr">
        <is>
          <t>Hồ Chí Minh</t>
        </is>
      </c>
      <c r="G12621" t="inlineStr">
        <is>
          <t>31-03-2026</t>
        </is>
      </c>
      <c r="H12621" t="inlineStr">
        <is>
          <t>31/03/2026</t>
        </is>
      </c>
      <c r="I12621" t="inlineStr">
        <is>
          <t>17/03/2026</t>
        </is>
      </c>
      <c r="J12621" t="inlineStr">
        <is>
          <t>Bán hàng / Kinh doanh, Bất động sản, Thương mại điện tử</t>
        </is>
      </c>
      <c r="K12621" t="inlineStr">
        <is>
          <t>1 - 3 Năm</t>
        </is>
      </c>
      <c r="L12621" s="8">
        <f>HYPERLINK("https://careerviet.vn/vi/tim-viec-lam/chuyen-vien-kinh-doanh.35C69937.html","Xem chi tiết")</f>
        <v/>
      </c>
    </row>
    <row r="12622">
      <c r="B12622" s="9" t="n">
        <v>12620</v>
      </c>
      <c r="C12622" s="10" t="inlineStr">
        <is>
          <t>Chuyên viên Truyền thông nội bộ - Văn hóa</t>
        </is>
      </c>
      <c r="D12622" s="10" t="inlineStr">
        <is>
          <t>NHÀ SÁCH TIẾN THỌ</t>
        </is>
      </c>
      <c r="E12622" s="10" t="inlineStr">
        <is>
          <t>Lương:11 Tr - 16 Tr VND</t>
        </is>
      </c>
      <c r="F12622" s="10" t="inlineStr">
        <is>
          <t>Hà Nội</t>
        </is>
      </c>
      <c r="G12622" s="10" t="inlineStr">
        <is>
          <t>31-03-2026</t>
        </is>
      </c>
      <c r="H12622" s="10" t="inlineStr">
        <is>
          <t>31/03/2026</t>
        </is>
      </c>
      <c r="I12622" s="10" t="inlineStr">
        <is>
          <t>17/03/2026</t>
        </is>
      </c>
      <c r="J12622" s="10" t="inlineStr">
        <is>
          <t>Nhân sự, Mỹ thuật / Nghệ thuật / Thiết kế, Tổ chức sự kiện</t>
        </is>
      </c>
      <c r="K12622" s="10" t="inlineStr">
        <is>
          <t>Trên 1 Năm</t>
        </is>
      </c>
      <c r="L12622" s="11">
        <f>HYPERLINK("https://careerviet.vn/vi/tim-viec-lam/chuyen-vien-truyen-thong-noi-bo-van-hoa.35C69AA8.html","Xem chi tiết")</f>
        <v/>
      </c>
      <c r="M12622" s="10" t="n"/>
    </row>
    <row r="12623">
      <c r="B12623" s="7" t="n">
        <v>12621</v>
      </c>
      <c r="C12623" t="inlineStr">
        <is>
          <t>BAF - Chuyên viên tài chính</t>
        </is>
      </c>
      <c r="D12623" t="inlineStr">
        <is>
          <t>Công ty Cổ phần Nông nghiệp BAF Việt Nam</t>
        </is>
      </c>
      <c r="E12623" t="inlineStr">
        <is>
          <t>Lương:Cạnh tranh</t>
        </is>
      </c>
      <c r="F12623" t="inlineStr">
        <is>
          <t>Hồ Chí Minh</t>
        </is>
      </c>
      <c r="G12623" t="inlineStr">
        <is>
          <t>26-03-2026</t>
        </is>
      </c>
      <c r="H12623" t="inlineStr">
        <is>
          <t>26/03/2026</t>
        </is>
      </c>
      <c r="I12623" t="inlineStr">
        <is>
          <t>17/03/2026</t>
        </is>
      </c>
      <c r="J12623" t="inlineStr">
        <is>
          <t>Tài chính / Đầu tư, Kế toán / Kiểm toán</t>
        </is>
      </c>
      <c r="K12623" t="inlineStr">
        <is>
          <t>2 - 5 Năm</t>
        </is>
      </c>
      <c r="L12623" s="8">
        <f>HYPERLINK("https://careerviet.vn/vi/tim-viec-lam/baf-chuyen-vien-tai-chinh.35C6998A.html","Xem chi tiết")</f>
        <v/>
      </c>
    </row>
    <row r="12624">
      <c r="B12624" s="9" t="n">
        <v>12622</v>
      </c>
      <c r="C12624" s="10" t="inlineStr">
        <is>
          <t>Nhân Viên Happycall Chăm Sóc Khách Hàng Cho Viettel Post. H1</t>
        </is>
      </c>
      <c r="D12624" s="10" t="inlineStr">
        <is>
          <t>CÔNG TY CỔ PHẦN TRUYỀN THÔNG KIM CƯƠNG</t>
        </is>
      </c>
      <c r="E12624" s="10" t="inlineStr">
        <is>
          <t>Lương:7,5 Tr - 8,5 Tr VND</t>
        </is>
      </c>
      <c r="F12624" s="10" t="inlineStr">
        <is>
          <t>Hà Nội</t>
        </is>
      </c>
      <c r="G12624" s="10" t="inlineStr">
        <is>
          <t>31-03-2026</t>
        </is>
      </c>
      <c r="H12624" s="10" t="inlineStr">
        <is>
          <t>31/03/2026</t>
        </is>
      </c>
      <c r="I12624" s="10" t="inlineStr">
        <is>
          <t>17/03/2026</t>
        </is>
      </c>
      <c r="J12624" s="10" t="inlineStr">
        <is>
          <t>Mới tốt nghiệp / Thực tập, Dịch vụ khách hàng, Tư vấn</t>
        </is>
      </c>
      <c r="K12624" s="10" t="inlineStr">
        <is>
          <t>Chưa có kinh nghiệm</t>
        </is>
      </c>
      <c r="L12624" s="11">
        <f>HYPERLINK("https://careerviet.vn/vi/tim-viec-lam/nhan-vien-happycall-cham-soc-khach-hang-cho-viettel-post-h1.35C69912.html","Xem chi tiết")</f>
        <v/>
      </c>
      <c r="M12624" s="10" t="n"/>
    </row>
    <row r="12625">
      <c r="B12625" s="7" t="n">
        <v>12623</v>
      </c>
      <c r="C12625" t="inlineStr">
        <is>
          <t>Nhân Viên Sales Admin - Tính Hoa Hồng Dealer</t>
        </is>
      </c>
      <c r="D12625" t="inlineStr">
        <is>
          <t>Công Ty Tài Chính TNHH Một Thành Viên Quốc Tế Việt Nam JACCS</t>
        </is>
      </c>
      <c r="E12625" t="inlineStr">
        <is>
          <t>Lương:8 Tr - 9 Tr VND</t>
        </is>
      </c>
      <c r="F12625" t="inlineStr">
        <is>
          <t>Hồ Chí Minh</t>
        </is>
      </c>
      <c r="G12625" t="inlineStr">
        <is>
          <t>26-03-2026</t>
        </is>
      </c>
      <c r="H12625" t="inlineStr">
        <is>
          <t>26/03/2026</t>
        </is>
      </c>
      <c r="I12625" t="inlineStr">
        <is>
          <t>17/03/2026</t>
        </is>
      </c>
      <c r="J12625" t="inlineStr">
        <is>
          <t>Bán hàng / Kinh doanh, Ngân hàng, Tài chính / Đầu tư</t>
        </is>
      </c>
      <c r="K12625" t="inlineStr">
        <is>
          <t>1 - 2 Năm</t>
        </is>
      </c>
      <c r="L12625" s="8">
        <f>HYPERLINK("https://careerviet.vn/vi/tim-viec-lam/nhan-vien-sales-admin-tinh-hoa-hong-dealer.35C69975.html","Xem chi tiết")</f>
        <v/>
      </c>
    </row>
    <row r="12626">
      <c r="B12626" s="9" t="n">
        <v>12624</v>
      </c>
      <c r="C12626" s="10" t="inlineStr">
        <is>
          <t>CVCC Kiểm soát sau định giá TSBĐ - TA184 - ID2166</t>
        </is>
      </c>
      <c r="D12626" s="10" t="inlineStr">
        <is>
          <t>Ngân Hàng TMCP Việt Nam Thịnh Vượng - VPBANK</t>
        </is>
      </c>
      <c r="E12626" s="10" t="inlineStr">
        <is>
          <t>Lương:Cạnh tranh</t>
        </is>
      </c>
      <c r="F12626" s="10" t="inlineStr">
        <is>
          <t>Hà Nội</t>
        </is>
      </c>
      <c r="G12626" s="10" t="inlineStr">
        <is>
          <t>31-03-2026</t>
        </is>
      </c>
      <c r="H12626" s="10" t="inlineStr">
        <is>
          <t>31/03/2026</t>
        </is>
      </c>
      <c r="I12626" s="10" t="inlineStr">
        <is>
          <t>17/03/2026</t>
        </is>
      </c>
      <c r="J12626" s="10" t="inlineStr">
        <is>
          <t>Ngân hàng, Tài chính / Đầu tư</t>
        </is>
      </c>
      <c r="K12626" s="10" t="inlineStr">
        <is>
          <t>3 - 5 Năm</t>
        </is>
      </c>
      <c r="L12626" s="11">
        <f>HYPERLINK("https://careerviet.vn/vi/tim-viec-lam/cvcc-kiem-soat-sau-dinh-gia-tsbd-ta184-id2166.35C6997B.html","Xem chi tiết")</f>
        <v/>
      </c>
      <c r="M12626" s="10" t="n"/>
    </row>
    <row r="12627">
      <c r="B12627" s="7" t="n">
        <v>12625</v>
      </c>
      <c r="C12627" t="inlineStr">
        <is>
          <t>Merchandising Part-time (6 tháng, Home Decor)</t>
        </is>
      </c>
      <c r="D12627" t="inlineStr">
        <is>
          <t>MOTIVES VIETNAM CORPORATION</t>
        </is>
      </c>
      <c r="E12627" t="inlineStr">
        <is>
          <t>Lương:Cạnh tranh</t>
        </is>
      </c>
      <c r="F12627" t="inlineStr">
        <is>
          <t>Hồ Chí Minh</t>
        </is>
      </c>
      <c r="G12627" t="inlineStr">
        <is>
          <t>31-03-2026</t>
        </is>
      </c>
      <c r="H12627" t="inlineStr">
        <is>
          <t>31/03/2026</t>
        </is>
      </c>
      <c r="I12627" t="inlineStr">
        <is>
          <t>17/03/2026</t>
        </is>
      </c>
      <c r="J12627" t="inlineStr">
        <is>
          <t>Thu mua / Vật tư, Nội ngoại thất</t>
        </is>
      </c>
      <c r="K12627" t="inlineStr">
        <is>
          <t>N/A</t>
        </is>
      </c>
      <c r="L12627" s="8">
        <f>HYPERLINK("https://careerviet.vn/vi/tim-viec-lam/merchandising-part-time-6-thang-home-decor.35C69A0D.html","Xem chi tiết")</f>
        <v/>
      </c>
    </row>
    <row r="12628">
      <c r="B12628" s="9" t="n">
        <v>12626</v>
      </c>
      <c r="C12628" s="10" t="inlineStr">
        <is>
          <t>GIÁM ĐỐC PHÁT TRIỂN KINH DOANH  (Lĩnh Vực Chất Độn Ngành Nhựa)</t>
        </is>
      </c>
      <c r="D12628" s="10" t="inlineStr">
        <is>
          <t>ADC PLASTIC,. JSC</t>
        </is>
      </c>
      <c r="E12628" s="10" t="inlineStr">
        <is>
          <t>Lương:35 Tr - 70 Tr VND</t>
        </is>
      </c>
      <c r="F12628" s="10" t="inlineStr">
        <is>
          <t>Hồ Chí MinhHà Nội</t>
        </is>
      </c>
      <c r="G12628" s="10" t="inlineStr">
        <is>
          <t>31-03-2026</t>
        </is>
      </c>
      <c r="H12628" s="10" t="inlineStr">
        <is>
          <t>31/03/2026</t>
        </is>
      </c>
      <c r="I12628" s="10" t="inlineStr">
        <is>
          <t>17/03/2026</t>
        </is>
      </c>
      <c r="J12628" s="10" t="inlineStr">
        <is>
          <t>Bán lẻ / Bán sỉ, Bán hàng / Kinh doanh, Xuất nhập khẩu</t>
        </is>
      </c>
      <c r="K12628" s="10" t="inlineStr">
        <is>
          <t>7 - 25 Năm</t>
        </is>
      </c>
      <c r="L12628" s="11">
        <f>HYPERLINK("https://careerviet.vn/vi/tim-viec-lam/giam-doc-phat-trien-kinh-doanh-linh-vuc-chat-don-nganh-nhua.35C69910.html","Xem chi tiết")</f>
        <v/>
      </c>
      <c r="M12628" s="10" t="n"/>
    </row>
    <row r="12629">
      <c r="B12629" s="7" t="n">
        <v>12627</v>
      </c>
      <c r="C12629" t="inlineStr">
        <is>
          <t>[Bắc Ninh] Nhân viên điều phối</t>
        </is>
      </c>
      <c r="D12629" t="inlineStr">
        <is>
          <t>CÔNG TY CỔ PHẦN  ITL LOGISTICS</t>
        </is>
      </c>
      <c r="E12629" t="inlineStr">
        <is>
          <t>Lương:12 Tr - 16 Tr VND</t>
        </is>
      </c>
      <c r="F12629" t="inlineStr">
        <is>
          <t>Bắc Ninh</t>
        </is>
      </c>
      <c r="G12629" t="inlineStr">
        <is>
          <t>31-03-2026</t>
        </is>
      </c>
      <c r="H12629" t="inlineStr">
        <is>
          <t>31/03/2026</t>
        </is>
      </c>
      <c r="I12629" t="inlineStr">
        <is>
          <t>17/03/2026</t>
        </is>
      </c>
      <c r="J12629" t="inlineStr">
        <is>
          <t>Vận chuyển / Giao nhận / Kho vận</t>
        </is>
      </c>
      <c r="K12629" t="inlineStr">
        <is>
          <t>1 - 2 Năm</t>
        </is>
      </c>
      <c r="L12629" s="8">
        <f>HYPERLINK("https://careerviet.vn/vi/tim-viec-lam/bac-ninh-nhan-vien-dieu-phoi.35C698E2.html","Xem chi tiết")</f>
        <v/>
      </c>
    </row>
    <row r="12630">
      <c r="B12630" s="9" t="n">
        <v>12628</v>
      </c>
      <c r="C12630" s="10" t="inlineStr">
        <is>
          <t>Nhân Viên Kinh Doanh Y Tế</t>
        </is>
      </c>
      <c r="D12630" s="10" t="inlineStr">
        <is>
          <t>CÔNG TY TNHH STV TECHNOLOGY &amp; BEAUTY BIOTECH</t>
        </is>
      </c>
      <c r="E12630" s="10" t="inlineStr">
        <is>
          <t>Lương:Cạnh tranh</t>
        </is>
      </c>
      <c r="F12630" s="10" t="inlineStr">
        <is>
          <t>Hà NộiHồ Chí Minh</t>
        </is>
      </c>
      <c r="G12630" s="10" t="inlineStr">
        <is>
          <t>26-03-2026</t>
        </is>
      </c>
      <c r="H12630" s="10" t="inlineStr">
        <is>
          <t>26/03/2026</t>
        </is>
      </c>
      <c r="I12630" s="10" t="inlineStr">
        <is>
          <t>17/03/2026</t>
        </is>
      </c>
      <c r="J12630" s="10" t="inlineStr">
        <is>
          <t>Bán hàng / Kinh doanh, Y tế / Chăm sóc sức khỏe / Thẩm mỹ / Làm đẹp, Tiếp thị / Marketing</t>
        </is>
      </c>
      <c r="K12630" s="10" t="inlineStr">
        <is>
          <t>1 - 3 Năm</t>
        </is>
      </c>
      <c r="L12630" s="11">
        <f>HYPERLINK("https://careerviet.vn/vi/tim-viec-lam/nhan-vien-kinh-doanh-y-te.35C69C5D.html","Xem chi tiết")</f>
        <v/>
      </c>
      <c r="M12630" s="10" t="n"/>
    </row>
    <row r="12631">
      <c r="B12631" s="7" t="n">
        <v>12629</v>
      </c>
      <c r="C12631" t="inlineStr">
        <is>
          <t>Nhân Viên Tư Vấn Kênh Trả Góp_TP. HCM</t>
        </is>
      </c>
      <c r="D12631" t="inlineStr">
        <is>
          <t>Công Ty Tài Chính TNHH Một Thành Viên Quốc Tế Việt Nam JACCS</t>
        </is>
      </c>
      <c r="E12631" t="inlineStr">
        <is>
          <t>Lương:5 Tr - 15 Tr VND</t>
        </is>
      </c>
      <c r="F12631" t="inlineStr">
        <is>
          <t>Hồ Chí Minh</t>
        </is>
      </c>
      <c r="G12631" t="inlineStr">
        <is>
          <t>26-03-2026</t>
        </is>
      </c>
      <c r="H12631" t="inlineStr">
        <is>
          <t>26/03/2026</t>
        </is>
      </c>
      <c r="I12631" t="inlineStr">
        <is>
          <t>17/03/2026</t>
        </is>
      </c>
      <c r="J12631" t="inlineStr">
        <is>
          <t>Bán hàng / Kinh doanh, Tài chính / Đầu tư, Lao động phổ thông</t>
        </is>
      </c>
      <c r="K12631" t="inlineStr">
        <is>
          <t>N/A</t>
        </is>
      </c>
      <c r="L12631" s="8">
        <f>HYPERLINK("https://careerviet.vn/vi/tim-viec-lam/nhan-vien-tu-van-kenh-tra-gop_tp-hcm.35C69911.html","Xem chi tiết")</f>
        <v/>
      </c>
    </row>
    <row r="12632">
      <c r="B12632" s="9" t="n">
        <v>12630</v>
      </c>
      <c r="C12632" s="10" t="inlineStr">
        <is>
          <t>Thủ Kho Thành Phẩm/ Finish Goods Warehouse Keeper</t>
        </is>
      </c>
      <c r="D12632" s="10" t="inlineStr">
        <is>
          <t>Công Ty TNHH Metkraft</t>
        </is>
      </c>
      <c r="E12632" s="10" t="inlineStr">
        <is>
          <t>Lương:Cạnh tranh</t>
        </is>
      </c>
      <c r="F12632" s="10" t="inlineStr">
        <is>
          <t>Hồ Chí Minh</t>
        </is>
      </c>
      <c r="G12632" s="10" t="inlineStr">
        <is>
          <t>31-03-2026</t>
        </is>
      </c>
      <c r="H12632" s="10" t="inlineStr">
        <is>
          <t>31/03/2026</t>
        </is>
      </c>
      <c r="I12632" s="10" t="inlineStr">
        <is>
          <t>17/03/2026</t>
        </is>
      </c>
      <c r="J12632" s="10" t="inlineStr">
        <is>
          <t>Vận chuyển / Giao nhận / Kho vận, Sản xuất / Vận hành sản xuất, Thu mua / Vật tư</t>
        </is>
      </c>
      <c r="K12632" s="10" t="inlineStr">
        <is>
          <t>N/A</t>
        </is>
      </c>
      <c r="L12632" s="11">
        <f>HYPERLINK("https://careerviet.vn/vi/tim-viec-lam/thu-kho-thanh-pham-finish-goods-warehouse-keeper.35C69CD7.html","Xem chi tiết")</f>
        <v/>
      </c>
      <c r="M12632" s="10" t="n"/>
    </row>
    <row r="12633">
      <c r="B12633" s="7" t="n">
        <v>12631</v>
      </c>
      <c r="C12633" t="inlineStr">
        <is>
          <t>Liobank - Chuyên viên Phát triển đối tác</t>
        </is>
      </c>
      <c r="D12633" t="inlineStr">
        <is>
          <t>Ngân Hàng TMCP Phương Đông - OCB</t>
        </is>
      </c>
      <c r="E12633" t="inlineStr">
        <is>
          <t>Lương:Cạnh tranh</t>
        </is>
      </c>
      <c r="F12633" t="inlineStr">
        <is>
          <t>Hồ Chí Minh</t>
        </is>
      </c>
      <c r="G12633" t="inlineStr">
        <is>
          <t>31-03-2026</t>
        </is>
      </c>
      <c r="H12633" t="inlineStr">
        <is>
          <t>31/03/2026</t>
        </is>
      </c>
      <c r="I12633" t="inlineStr">
        <is>
          <t>17/03/2026</t>
        </is>
      </c>
      <c r="J12633" t="inlineStr">
        <is>
          <t>Tiếp thị / Marketing, Ngân hàng, Tài chính / Đầu tư</t>
        </is>
      </c>
      <c r="K12633" t="inlineStr">
        <is>
          <t>2 - 5 Năm</t>
        </is>
      </c>
      <c r="L12633" s="8">
        <f>HYPERLINK("https://careerviet.vn/vi/tim-viec-lam/liobank-chuyen-vien-phat-trien-doi-tac.35C69CC0.html","Xem chi tiết")</f>
        <v/>
      </c>
    </row>
    <row r="12634">
      <c r="B12634" s="9" t="n">
        <v>12632</v>
      </c>
      <c r="C12634" s="10" t="inlineStr">
        <is>
          <t>Nhân Viên Hậu Mãi Kho Thương Mại Điện Tử</t>
        </is>
      </c>
      <c r="D12634" s="10" t="inlineStr">
        <is>
          <t>JoyMall - Nhà Phân Phối Locknlock</t>
        </is>
      </c>
      <c r="E12634" s="10" t="inlineStr">
        <is>
          <t>Lương:6 Tr - 9 Tr VND</t>
        </is>
      </c>
      <c r="F12634" s="10" t="inlineStr">
        <is>
          <t>Hồ Chí Minh</t>
        </is>
      </c>
      <c r="G12634" s="10" t="inlineStr">
        <is>
          <t>31-03-2026</t>
        </is>
      </c>
      <c r="H12634" s="10" t="inlineStr">
        <is>
          <t>31/03/2026</t>
        </is>
      </c>
      <c r="I12634" s="10" t="inlineStr">
        <is>
          <t>17/03/2026</t>
        </is>
      </c>
      <c r="J12634" s="10" t="inlineStr">
        <is>
          <t>Thương mại điện tử, Vận chuyển / Giao nhận / Kho vận, Lao động phổ thông</t>
        </is>
      </c>
      <c r="K12634" s="10" t="inlineStr">
        <is>
          <t>Lên đến 1 Năm</t>
        </is>
      </c>
      <c r="L12634" s="11">
        <f>HYPERLINK("https://careerviet.vn/vi/tim-viec-lam/nhan-vien-hau-mai-kho-thuong-mai-dien-tu.35C69CA6.html","Xem chi tiết")</f>
        <v/>
      </c>
      <c r="M12634" s="10" t="n"/>
    </row>
    <row r="12635">
      <c r="B12635" s="7" t="n">
        <v>12633</v>
      </c>
      <c r="C12635" t="inlineStr">
        <is>
          <t>Nhân Viên Kinh Doanh</t>
        </is>
      </c>
      <c r="D12635" t="inlineStr">
        <is>
          <t>Công ty TNHH WM Cypress Logistics</t>
        </is>
      </c>
      <c r="E12635" t="inlineStr">
        <is>
          <t>Lương:Cạnh tranh</t>
        </is>
      </c>
      <c r="F12635" t="inlineStr">
        <is>
          <t>Hồ Chí Minh</t>
        </is>
      </c>
      <c r="G12635" t="inlineStr">
        <is>
          <t>25-03-2026</t>
        </is>
      </c>
      <c r="H12635" t="inlineStr">
        <is>
          <t>25/03/2026</t>
        </is>
      </c>
      <c r="I12635" t="inlineStr">
        <is>
          <t>17/03/2026</t>
        </is>
      </c>
      <c r="J12635" t="inlineStr">
        <is>
          <t>Vận chuyển / Giao nhận / Kho vận</t>
        </is>
      </c>
      <c r="K12635" t="inlineStr">
        <is>
          <t>1 - 2 Năm</t>
        </is>
      </c>
      <c r="L12635" s="8">
        <f>HYPERLINK("https://careerviet.vn/vi/tim-viec-lam/nhan-vien-kinh-doanh.35C699D4.html","Xem chi tiết")</f>
        <v/>
      </c>
    </row>
    <row r="12636">
      <c r="B12636" s="9" t="n">
        <v>12634</v>
      </c>
      <c r="C12636" s="10" t="inlineStr">
        <is>
          <t>Nhân Viên Tư Vấn Kênh Trả Góp_Hà Nội</t>
        </is>
      </c>
      <c r="D12636" s="10" t="inlineStr">
        <is>
          <t>Công Ty Tài Chính TNHH Một Thành Viên Quốc Tế Việt Nam JACCS</t>
        </is>
      </c>
      <c r="E12636" s="10" t="inlineStr">
        <is>
          <t>Lương:5 Tr - 15 Tr VND</t>
        </is>
      </c>
      <c r="F12636" s="10" t="inlineStr">
        <is>
          <t>Hà Nội</t>
        </is>
      </c>
      <c r="G12636" s="10" t="inlineStr">
        <is>
          <t>26-03-2026</t>
        </is>
      </c>
      <c r="H12636" s="10" t="inlineStr">
        <is>
          <t>26/03/2026</t>
        </is>
      </c>
      <c r="I12636" s="10" t="inlineStr">
        <is>
          <t>17/03/2026</t>
        </is>
      </c>
      <c r="J12636" s="10" t="inlineStr">
        <is>
          <t>Bán hàng / Kinh doanh, Tài chính / Đầu tư, Lao động phổ thông</t>
        </is>
      </c>
      <c r="K12636" s="10" t="inlineStr">
        <is>
          <t>N/A</t>
        </is>
      </c>
      <c r="L12636" s="11">
        <f>HYPERLINK("https://careerviet.vn/vi/tim-viec-lam/nhan-vien-tu-van-kenh-tra-gop_ha-noi.35C69932.html","Xem chi tiết")</f>
        <v/>
      </c>
      <c r="M12636" s="10" t="n"/>
    </row>
    <row r="12637">
      <c r="B12637" s="7" t="n">
        <v>12635</v>
      </c>
      <c r="C12637" t="inlineStr">
        <is>
          <t>CHUYÊN VIÊN/ GIÁM SÁT QUẢN LÝ CHI PHÍ VẬN HÀNH HUB</t>
        </is>
      </c>
      <c r="D12637" t="inlineStr">
        <is>
          <t>CÔNG TY TNHH YIMI J&amp;T CARGO TRANSPORTATION</t>
        </is>
      </c>
      <c r="E12637" t="inlineStr">
        <is>
          <t>Lương:15 Tr - 25 Tr VND</t>
        </is>
      </c>
      <c r="F12637" t="inlineStr">
        <is>
          <t>Long AnBắc Ninh</t>
        </is>
      </c>
      <c r="G12637" t="inlineStr">
        <is>
          <t>26-03-2026</t>
        </is>
      </c>
      <c r="H12637" t="inlineStr">
        <is>
          <t>26/03/2026</t>
        </is>
      </c>
      <c r="I12637" t="inlineStr">
        <is>
          <t>17/03/2026</t>
        </is>
      </c>
      <c r="J12637" t="inlineStr">
        <is>
          <t>Vận chuyển / Giao nhận / Kho vận, Kế toán / Kiểm toán, Tài chính / Đầu tư</t>
        </is>
      </c>
      <c r="K12637" t="inlineStr">
        <is>
          <t>Trên 2 Năm</t>
        </is>
      </c>
      <c r="L12637" s="8">
        <f>HYPERLINK("https://careerviet.vn/vi/tim-viec-lam/chuyen-vien-giam-sat-quan-ly-chi-phi-van-hanh-hub.35C69B56.html","Xem chi tiết")</f>
        <v/>
      </c>
    </row>
    <row r="12638">
      <c r="B12638" s="9" t="n">
        <v>12636</v>
      </c>
      <c r="C12638" s="10" t="inlineStr">
        <is>
          <t>Giám Đốc Vùng (V3C)</t>
        </is>
      </c>
      <c r="D12638" s="10" t="inlineStr">
        <is>
          <t>Công Ty Cổ Phần Hai Bốn Bảy</t>
        </is>
      </c>
      <c r="E12638" s="10" t="inlineStr">
        <is>
          <t>Lương:Trên 40 Tr VND</t>
        </is>
      </c>
      <c r="F12638" s="10" t="inlineStr">
        <is>
          <t>Lâm ĐồngGia LaiKhánh Hòa</t>
        </is>
      </c>
      <c r="G12638" s="10" t="inlineStr">
        <is>
          <t>31-03-2026</t>
        </is>
      </c>
      <c r="H12638" s="10" t="inlineStr">
        <is>
          <t>31/03/2026</t>
        </is>
      </c>
      <c r="I12638" s="10" t="inlineStr">
        <is>
          <t>17/03/2026</t>
        </is>
      </c>
      <c r="J12638" s="10" t="inlineStr">
        <is>
          <t>Bán hàng / Kinh doanh, Vận chuyển / Giao nhận / Kho vận</t>
        </is>
      </c>
      <c r="K12638" s="10" t="inlineStr">
        <is>
          <t>3 - 5 Năm</t>
        </is>
      </c>
      <c r="L12638" s="11">
        <f>HYPERLINK("https://careerviet.vn/vi/tim-viec-lam/giam-doc-vung-v3c.35C69B50.html","Xem chi tiết")</f>
        <v/>
      </c>
      <c r="M12638" s="10" t="n"/>
    </row>
    <row r="12639">
      <c r="B12639" s="7" t="n">
        <v>12637</v>
      </c>
      <c r="C12639" t="inlineStr">
        <is>
          <t>Giám sát bán hàng Kênh Bán Lẻ</t>
        </is>
      </c>
      <c r="D12639" t="inlineStr">
        <is>
          <t>CÔNG TY CP BIA &amp; NGK HẠ LONG</t>
        </is>
      </c>
      <c r="E12639" t="inlineStr">
        <is>
          <t>Lương:17 Tr - 26 Tr VND</t>
        </is>
      </c>
      <c r="F12639" t="inlineStr">
        <is>
          <t>Quảng Ninh</t>
        </is>
      </c>
      <c r="G12639" t="inlineStr">
        <is>
          <t>28-03-2026</t>
        </is>
      </c>
      <c r="H12639" t="inlineStr">
        <is>
          <t>28/03/2026</t>
        </is>
      </c>
      <c r="I12639" t="inlineStr">
        <is>
          <t>17/03/2026</t>
        </is>
      </c>
      <c r="J12639" t="inlineStr">
        <is>
          <t>Bán lẻ / Bán sỉ</t>
        </is>
      </c>
      <c r="K12639" t="inlineStr">
        <is>
          <t>3 - 5 Năm</t>
        </is>
      </c>
      <c r="L12639" s="8">
        <f>HYPERLINK("https://careerviet.vn/vi/tim-viec-lam/giam-sat-ban-hang-kenh-ban-le.35C69BCA.html","Xem chi tiết")</f>
        <v/>
      </c>
    </row>
    <row r="12640">
      <c r="B12640" s="9" t="n">
        <v>12638</v>
      </c>
      <c r="C12640" s="10" t="inlineStr">
        <is>
          <t>Kỹ sư kinh tế xây dựng (chủ đầu tư)</t>
        </is>
      </c>
      <c r="D12640" s="10" t="inlineStr">
        <is>
          <t>Tập Đoàn Tân Á Đại Thành</t>
        </is>
      </c>
      <c r="E12640" s="10" t="inlineStr">
        <is>
          <t>Lương:Trên 25 Tr VND</t>
        </is>
      </c>
      <c r="F12640" s="10" t="inlineStr">
        <is>
          <t>Hà Nội</t>
        </is>
      </c>
      <c r="G12640" s="10" t="inlineStr">
        <is>
          <t>28-03-2026</t>
        </is>
      </c>
      <c r="H12640" s="10" t="inlineStr">
        <is>
          <t>28/03/2026</t>
        </is>
      </c>
      <c r="I12640" s="10" t="inlineStr">
        <is>
          <t>17/03/2026</t>
        </is>
      </c>
      <c r="J12640" s="10" t="inlineStr">
        <is>
          <t>Kiến trúc, Xây dựng, Bất động sản</t>
        </is>
      </c>
      <c r="K12640" s="10" t="inlineStr">
        <is>
          <t>3 - 5 Năm</t>
        </is>
      </c>
      <c r="L12640" s="11">
        <f>HYPERLINK("https://careerviet.vn/vi/tim-viec-lam/ky-su-kinh-te-xay-dung-chu-dau-tu.35C69B4C.html","Xem chi tiết")</f>
        <v/>
      </c>
      <c r="M12640" s="10" t="n"/>
    </row>
    <row r="12641">
      <c r="B12641" s="7" t="n">
        <v>12639</v>
      </c>
      <c r="C12641" t="inlineStr">
        <is>
          <t>ERP &amp; Data Systems Manager</t>
        </is>
      </c>
      <c r="D12641" t="inlineStr">
        <is>
          <t>CÔNG TY CỔ PHẦN ASPIRE</t>
        </is>
      </c>
      <c r="E12641" t="inlineStr">
        <is>
          <t>Lương:Cạnh tranh</t>
        </is>
      </c>
      <c r="F12641" t="inlineStr">
        <is>
          <t>Hồ Chí Minh</t>
        </is>
      </c>
      <c r="G12641" t="inlineStr">
        <is>
          <t>26-03-2026</t>
        </is>
      </c>
      <c r="H12641" t="inlineStr">
        <is>
          <t>26/03/2026</t>
        </is>
      </c>
      <c r="I12641" t="inlineStr">
        <is>
          <t>17/03/2026</t>
        </is>
      </c>
      <c r="J12641" t="inlineStr">
        <is>
          <t>CNTT - Phần mềm, CNTT - Phần cứng / Mạng, Tài chính / Đầu tư</t>
        </is>
      </c>
      <c r="K12641" t="inlineStr">
        <is>
          <t>N/A</t>
        </is>
      </c>
      <c r="L12641" s="8">
        <f>HYPERLINK("https://careerviet.vn/vi/tim-viec-lam/erp-data-systems-manager.35C69C76.html","Xem chi tiết")</f>
        <v/>
      </c>
    </row>
    <row r="12642">
      <c r="B12642" s="9" t="n">
        <v>12640</v>
      </c>
      <c r="C12642" s="10" t="inlineStr">
        <is>
          <t>Nhân Viên Media</t>
        </is>
      </c>
      <c r="D12642" s="10" t="inlineStr">
        <is>
          <t>CÔNG TY CỔ PHẦN TẬP ĐOÀN LUKLAK VIỆT NAM</t>
        </is>
      </c>
      <c r="E12642" s="10" t="inlineStr">
        <is>
          <t>Lương:13 Tr - 16 Tr VND</t>
        </is>
      </c>
      <c r="F12642" s="10" t="inlineStr">
        <is>
          <t>Hà Nội</t>
        </is>
      </c>
      <c r="G12642" s="10" t="inlineStr">
        <is>
          <t>26-03-2026</t>
        </is>
      </c>
      <c r="H12642" s="10" t="inlineStr">
        <is>
          <t>26/03/2026</t>
        </is>
      </c>
      <c r="I12642" s="10" t="inlineStr">
        <is>
          <t>17/03/2026</t>
        </is>
      </c>
      <c r="J12642" s="10" t="inlineStr">
        <is>
          <t>Truyền hình / Báo chí / Biên tập, Tổ chức sự kiện, Quảng cáo / Đối ngoại / Truyền Thông</t>
        </is>
      </c>
      <c r="K12642" s="10" t="inlineStr">
        <is>
          <t>2 - 3 Năm</t>
        </is>
      </c>
      <c r="L12642" s="11">
        <f>HYPERLINK("https://careerviet.vn/vi/tim-viec-lam/nhan-vien-media.35C69BFD.html","Xem chi tiết")</f>
        <v/>
      </c>
      <c r="M12642" s="10" t="n"/>
    </row>
    <row r="12643">
      <c r="B12643" s="7" t="n">
        <v>12641</v>
      </c>
      <c r="C12643" t="inlineStr">
        <is>
          <t>Chuyên viên pháp lý</t>
        </is>
      </c>
      <c r="D12643" t="inlineStr">
        <is>
          <t>Công ty Cổ phần Đầu tư Địa ốc Đại Quang Minh</t>
        </is>
      </c>
      <c r="E12643" t="inlineStr">
        <is>
          <t>Lương:Cạnh tranh</t>
        </is>
      </c>
      <c r="F12643" t="inlineStr">
        <is>
          <t>Hà Nội</t>
        </is>
      </c>
      <c r="G12643" t="inlineStr">
        <is>
          <t>26-03-2026</t>
        </is>
      </c>
      <c r="H12643" t="inlineStr">
        <is>
          <t>26/03/2026</t>
        </is>
      </c>
      <c r="I12643" t="inlineStr">
        <is>
          <t>17/03/2026</t>
        </is>
      </c>
      <c r="J12643" t="inlineStr">
        <is>
          <t>Luật / Pháp lý, Bất động sản</t>
        </is>
      </c>
      <c r="K12643" t="inlineStr">
        <is>
          <t>1 - 2 Năm</t>
        </is>
      </c>
      <c r="L12643" s="8">
        <f>HYPERLINK("https://careerviet.vn/vi/tim-viec-lam/chuyen-vien-phap-ly.35C69C38.html","Xem chi tiết")</f>
        <v/>
      </c>
    </row>
    <row r="12644">
      <c r="B12644" s="9" t="n">
        <v>12642</v>
      </c>
      <c r="C12644" s="10" t="inlineStr">
        <is>
          <t>QUẢN LÝ NHÀ MÁY SẢN XUẤT</t>
        </is>
      </c>
      <c r="D12644" s="10" t="inlineStr">
        <is>
          <t>Công ty CP Sữa chua Trân châu Hạ Long</t>
        </is>
      </c>
      <c r="E12644" s="10" t="inlineStr">
        <is>
          <t>Lương:16 Tr - 20 Tr VND</t>
        </is>
      </c>
      <c r="F12644" s="10" t="inlineStr">
        <is>
          <t>Hòa BìnhPhú ThọHà Nội</t>
        </is>
      </c>
      <c r="G12644" s="10" t="inlineStr">
        <is>
          <t>3</t>
        </is>
      </c>
      <c r="H12644" s="10" t="inlineStr">
        <is>
          <t>20/03/2026</t>
        </is>
      </c>
      <c r="I12644" s="10" t="inlineStr">
        <is>
          <t>17/03/2026</t>
        </is>
      </c>
      <c r="J12644" s="10" t="inlineStr">
        <is>
          <t>Sản xuất / Vận hành sản xuất, Công nghệ thực phẩm / Dinh dưỡng, Công nghệ sinh học</t>
        </is>
      </c>
      <c r="K12644" s="10" t="inlineStr">
        <is>
          <t>Trên 3 Năm</t>
        </is>
      </c>
      <c r="L12644" s="11">
        <f>HYPERLINK("https://careerviet.vn/vi/tim-viec-lam/quan-ly-nha-may-san-xuat.35C69962.html","Xem chi tiết")</f>
        <v/>
      </c>
      <c r="M12644" s="10" t="n"/>
    </row>
    <row r="12645">
      <c r="B12645" s="7" t="n">
        <v>12643</v>
      </c>
      <c r="C12645" t="inlineStr">
        <is>
          <t>Chuyên viên quản lý đối tác (B2B)</t>
        </is>
      </c>
      <c r="D12645" t="inlineStr">
        <is>
          <t>CÔNG TY TNHH CÔNG NGHỆ VNTRIP</t>
        </is>
      </c>
      <c r="E12645" t="inlineStr">
        <is>
          <t>Lương:12 Tr - 17 Tr VND</t>
        </is>
      </c>
      <c r="F12645" t="inlineStr">
        <is>
          <t>Hà Nội</t>
        </is>
      </c>
      <c r="G12645" t="inlineStr">
        <is>
          <t>31-03-2026</t>
        </is>
      </c>
      <c r="H12645" t="inlineStr">
        <is>
          <t>31/03/2026</t>
        </is>
      </c>
      <c r="I12645" t="inlineStr">
        <is>
          <t>17/03/2026</t>
        </is>
      </c>
      <c r="J12645" t="inlineStr">
        <is>
          <t>Bán hàng / Kinh doanh, Hành chính / Thư ký, Biên phiên dịch</t>
        </is>
      </c>
      <c r="K12645" t="inlineStr">
        <is>
          <t>1 - 3 Năm</t>
        </is>
      </c>
      <c r="L12645" s="8">
        <f>HYPERLINK("https://careerviet.vn/vi/tim-viec-lam/chuyen-vien-quan-ly-doi-tac-b2b.35C699F0.html","Xem chi tiết")</f>
        <v/>
      </c>
    </row>
    <row r="12646">
      <c r="B12646" s="9" t="n">
        <v>12644</v>
      </c>
      <c r="C12646" s="10" t="inlineStr">
        <is>
          <t>Nhân Viên Pháp Lý (Phòng Công Nghệ Thông Tin)</t>
        </is>
      </c>
      <c r="D12646" s="10" t="inlineStr">
        <is>
          <t>Công Ty Tài Chính TNHH Một Thành Viên Quốc Tế Việt Nam JACCS</t>
        </is>
      </c>
      <c r="E12646" s="10" t="inlineStr">
        <is>
          <t>Lương:Cạnh tranh</t>
        </is>
      </c>
      <c r="F12646" s="10" t="inlineStr">
        <is>
          <t>Hồ Chí Minh</t>
        </is>
      </c>
      <c r="G12646" s="10" t="inlineStr">
        <is>
          <t>26-03-2026</t>
        </is>
      </c>
      <c r="H12646" s="10" t="inlineStr">
        <is>
          <t>26/03/2026</t>
        </is>
      </c>
      <c r="I12646" s="10" t="inlineStr">
        <is>
          <t>17/03/2026</t>
        </is>
      </c>
      <c r="J12646" s="10" t="inlineStr">
        <is>
          <t>Luật / Pháp lý</t>
        </is>
      </c>
      <c r="K12646" s="10" t="inlineStr">
        <is>
          <t>1 - 2 Năm</t>
        </is>
      </c>
      <c r="L12646" s="11">
        <f>HYPERLINK("https://careerviet.vn/vi/tim-viec-lam/nhan-vien-phap-ly-phong-cong-nghe-thong-tin.35C699A9.html","Xem chi tiết")</f>
        <v/>
      </c>
      <c r="M12646" s="10" t="n"/>
    </row>
    <row r="12647">
      <c r="B12647" s="7" t="n">
        <v>12645</v>
      </c>
      <c r="C12647" t="inlineStr">
        <is>
          <t>Graphic Designer (Tiếng Nhật)</t>
        </is>
      </c>
      <c r="D12647" t="inlineStr">
        <is>
          <t>Công ty TNHH DYM Vietnam</t>
        </is>
      </c>
      <c r="E12647" t="inlineStr">
        <is>
          <t>Lương:14 Tr - 20 Tr VND</t>
        </is>
      </c>
      <c r="F12647" t="inlineStr">
        <is>
          <t>Hồ Chí Minh</t>
        </is>
      </c>
      <c r="G12647" t="inlineStr">
        <is>
          <t>26-03-2026</t>
        </is>
      </c>
      <c r="H12647" t="inlineStr">
        <is>
          <t>26/03/2026</t>
        </is>
      </c>
      <c r="I12647" t="inlineStr">
        <is>
          <t>17/03/2026</t>
        </is>
      </c>
      <c r="J12647" t="inlineStr">
        <is>
          <t>Mỹ thuật / Nghệ thuật / Thiết kế, CNTT - Phần mềm, Quảng cáo / Đối ngoại / Truyền Thông</t>
        </is>
      </c>
      <c r="K12647" t="inlineStr">
        <is>
          <t>Trên 2 Năm</t>
        </is>
      </c>
      <c r="L12647" s="8">
        <f>HYPERLINK("https://careerviet.vn/vi/tim-viec-lam/graphic-designer-tieng-nhat.35C69A88.html","Xem chi tiết")</f>
        <v/>
      </c>
    </row>
    <row r="12648">
      <c r="B12648" s="9" t="n">
        <v>12646</v>
      </c>
      <c r="C12648" s="10" t="inlineStr">
        <is>
          <t>Chuyên viên cao cấp Phân tích dữ liệu rủi ro</t>
        </is>
      </c>
      <c r="D12648" s="10" t="inlineStr">
        <is>
          <t>Ngân Hàng TMCP Sài Gòn - Hà Nội ( SHB )</t>
        </is>
      </c>
      <c r="E12648" s="10" t="inlineStr">
        <is>
          <t>Lương:Cạnh tranh</t>
        </is>
      </c>
      <c r="F12648" s="10" t="inlineStr">
        <is>
          <t>Hà Nội</t>
        </is>
      </c>
      <c r="G12648" s="10" t="inlineStr">
        <is>
          <t>28-03-2026</t>
        </is>
      </c>
      <c r="H12648" s="10" t="inlineStr">
        <is>
          <t>28/03/2026</t>
        </is>
      </c>
      <c r="I12648" s="10" t="inlineStr">
        <is>
          <t>17/03/2026</t>
        </is>
      </c>
      <c r="J12648" s="10" t="inlineStr">
        <is>
          <t>Ngân hàng</t>
        </is>
      </c>
      <c r="K12648" s="10" t="inlineStr">
        <is>
          <t>2 - 3 Năm</t>
        </is>
      </c>
      <c r="L12648" s="11">
        <f>HYPERLINK("https://careerviet.vn/vi/tim-viec-lam/chuyen-vien-cao-cap-phan-tich-du-lieu-rui-ro.35C698F7.html","Xem chi tiết")</f>
        <v/>
      </c>
      <c r="M12648" s="10" t="n"/>
    </row>
    <row r="12649">
      <c r="B12649" s="7" t="n">
        <v>12647</v>
      </c>
      <c r="C12649" t="inlineStr">
        <is>
          <t>EHS Specialist</t>
        </is>
      </c>
      <c r="D12649" t="inlineStr">
        <is>
          <t>Wanek Furniture</t>
        </is>
      </c>
      <c r="E12649" t="inlineStr">
        <is>
          <t>Lương:Cạnh tranh</t>
        </is>
      </c>
      <c r="F12649" t="inlineStr">
        <is>
          <t>Bình Dương</t>
        </is>
      </c>
      <c r="G12649" t="inlineStr">
        <is>
          <t>30-04-2026</t>
        </is>
      </c>
      <c r="H12649" t="inlineStr">
        <is>
          <t>30/04/2026</t>
        </is>
      </c>
      <c r="I12649" t="inlineStr">
        <is>
          <t>17/03/2026</t>
        </is>
      </c>
      <c r="J12649" t="inlineStr">
        <is>
          <t>Sản xuất / Vận hành sản xuất, Đồ gỗ, An toàn lao động</t>
        </is>
      </c>
      <c r="K12649" t="inlineStr">
        <is>
          <t>2 - 3 Năm</t>
        </is>
      </c>
      <c r="L12649" s="8">
        <f>HYPERLINK("https://careerviet.vn/vi/tim-viec-lam/ehs-specialist.35C6C1FB.html","Xem chi tiết")</f>
        <v/>
      </c>
    </row>
    <row r="12650">
      <c r="B12650" s="9" t="n">
        <v>12648</v>
      </c>
      <c r="C12650" s="10" t="inlineStr">
        <is>
          <t>Maintenance Planner (Open for Fresher)</t>
        </is>
      </c>
      <c r="D12650" s="10" t="inlineStr">
        <is>
          <t>Wanek Furniture</t>
        </is>
      </c>
      <c r="E12650" s="10" t="inlineStr">
        <is>
          <t>Lương:Cạnh tranh</t>
        </is>
      </c>
      <c r="F12650" s="10" t="inlineStr">
        <is>
          <t>Bình Dương</t>
        </is>
      </c>
      <c r="G12650" s="10" t="inlineStr">
        <is>
          <t>30-04-2026</t>
        </is>
      </c>
      <c r="H12650" s="10" t="inlineStr">
        <is>
          <t>30/04/2026</t>
        </is>
      </c>
      <c r="I12650" s="10" t="inlineStr">
        <is>
          <t>17/03/2026</t>
        </is>
      </c>
      <c r="J12650" s="10" t="inlineStr">
        <is>
          <t>Hành chính / Thư ký, Bảo trì / Sửa chữa, Sản xuất / Vận hành sản xuất</t>
        </is>
      </c>
      <c r="K12650" s="10" t="inlineStr">
        <is>
          <t>N/A</t>
        </is>
      </c>
      <c r="L12650" s="11">
        <f>HYPERLINK("https://careerviet.vn/vi/tim-viec-lam/maintenance-planner-open-for-fresher.35C6C1F8.html","Xem chi tiết")</f>
        <v/>
      </c>
      <c r="M12650" s="10" t="n"/>
    </row>
    <row r="12651">
      <c r="B12651" s="7" t="n">
        <v>12649</v>
      </c>
      <c r="C12651" t="inlineStr">
        <is>
          <t>Nhân viên kinh doanh - F&amp;B</t>
        </is>
      </c>
      <c r="D12651" t="inlineStr">
        <is>
          <t>Công ty TNHH Cobi One</t>
        </is>
      </c>
      <c r="E12651" t="inlineStr">
        <is>
          <t>Lương:10 Tr - 20 Tr VND</t>
        </is>
      </c>
      <c r="F12651" t="inlineStr">
        <is>
          <t>Hà Nội</t>
        </is>
      </c>
      <c r="G12651" t="inlineStr">
        <is>
          <t>31-03-2026</t>
        </is>
      </c>
      <c r="H12651" t="inlineStr">
        <is>
          <t>31/03/2026</t>
        </is>
      </c>
      <c r="I12651" t="inlineStr">
        <is>
          <t>17/03/2026</t>
        </is>
      </c>
      <c r="J12651" t="inlineStr">
        <is>
          <t>Bán hàng / Kinh doanh</t>
        </is>
      </c>
      <c r="K12651" t="inlineStr">
        <is>
          <t>1 - 2 Năm</t>
        </is>
      </c>
      <c r="L12651" s="8">
        <f>HYPERLINK("https://careerviet.vn/vi/tim-viec-lam/nhan-vien-kinh-doanh-f-b.35C69C14.html","Xem chi tiết")</f>
        <v/>
      </c>
    </row>
    <row r="12652">
      <c r="B12652" s="9" t="n">
        <v>12650</v>
      </c>
      <c r="C12652" s="10" t="inlineStr">
        <is>
          <t>CV/NV KINH DOANH DỊCH VỤ XÉT NGHIỆM - SL: 05</t>
        </is>
      </c>
      <c r="D12652" s="10" t="inlineStr">
        <is>
          <t>Công ty Cổ phần Vật tư Khoa học BIOMEDIC</t>
        </is>
      </c>
      <c r="E12652" s="10" t="inlineStr">
        <is>
          <t>Lương:12 Tr - 25 Tr VND</t>
        </is>
      </c>
      <c r="F12652" s="10" t="inlineStr">
        <is>
          <t>Hà Nội</t>
        </is>
      </c>
      <c r="G12652" s="10" t="inlineStr">
        <is>
          <t>31-03-2026</t>
        </is>
      </c>
      <c r="H12652" s="10" t="inlineStr">
        <is>
          <t>31/03/2026</t>
        </is>
      </c>
      <c r="I12652" s="10" t="inlineStr">
        <is>
          <t>17/03/2026</t>
        </is>
      </c>
      <c r="J12652" s="10" t="inlineStr">
        <is>
          <t>Dược phẩm/ Hóa Mỹ Phẩm, Y tế / Chăm sóc sức khỏe / Thẩm mỹ / Làm đẹp, Bán hàng / Kinh doanh</t>
        </is>
      </c>
      <c r="K12652" s="10" t="inlineStr">
        <is>
          <t>1 - 2 Năm</t>
        </is>
      </c>
      <c r="L12652" s="11">
        <f>HYPERLINK("https://careerviet.vn/vi/tim-viec-lam/cv-nv-kinh-doanh-dich-vu-xet-nghiem-sl-05.35C698F1.html","Xem chi tiết")</f>
        <v/>
      </c>
      <c r="M12652" s="10" t="n"/>
    </row>
    <row r="12653">
      <c r="B12653" s="7" t="n">
        <v>12651</v>
      </c>
      <c r="C12653" t="inlineStr">
        <is>
          <t>Nhân Viên Kỹ Thuật Điện</t>
        </is>
      </c>
      <c r="D12653" t="inlineStr">
        <is>
          <t>CÔNG TY TNHH KỸ THUẬT ĐIỆN TỰ ĐỘNG HÓA HUKASU</t>
        </is>
      </c>
      <c r="E12653" t="inlineStr">
        <is>
          <t>Lương:Cạnh tranh</t>
        </is>
      </c>
      <c r="F12653" t="inlineStr">
        <is>
          <t>Bình Dương</t>
        </is>
      </c>
      <c r="G12653" t="inlineStr">
        <is>
          <t>10-04-2026</t>
        </is>
      </c>
      <c r="H12653" t="inlineStr">
        <is>
          <t>10/04/2026</t>
        </is>
      </c>
      <c r="I12653" t="inlineStr">
        <is>
          <t>17/03/2026</t>
        </is>
      </c>
      <c r="J12653" t="inlineStr">
        <is>
          <t>Cơ khí / Ô tô / Tự động hóa, Điện / Điện tử / Điện lạnh / Điện công nghiệp, Bảo trì / Sửa chữa</t>
        </is>
      </c>
      <c r="K12653" t="inlineStr">
        <is>
          <t>Trên 1 Năm</t>
        </is>
      </c>
      <c r="L12653" s="8">
        <f>HYPERLINK("https://careerviet.vn/vi/tim-viec-lam/nhan-vien-ky-thuat-dien.35C67F1E.html","Xem chi tiết")</f>
        <v/>
      </c>
    </row>
    <row r="12654">
      <c r="B12654" s="9" t="n">
        <v>12652</v>
      </c>
      <c r="C12654" s="10" t="inlineStr">
        <is>
          <t>Nhân Viên Designer &amp; Marketing</t>
        </is>
      </c>
      <c r="D12654" s="10" t="inlineStr">
        <is>
          <t>Công Ty Tài Chính TNHH Một Thành Viên Quốc Tế Việt Nam JACCS</t>
        </is>
      </c>
      <c r="E12654" s="10" t="inlineStr">
        <is>
          <t>Lương:10 Tr - 12 Tr VND</t>
        </is>
      </c>
      <c r="F12654" s="10" t="inlineStr">
        <is>
          <t>Hồ Chí Minh</t>
        </is>
      </c>
      <c r="G12654" s="10" t="inlineStr">
        <is>
          <t>26-03-2026</t>
        </is>
      </c>
      <c r="H12654" s="10" t="inlineStr">
        <is>
          <t>26/03/2026</t>
        </is>
      </c>
      <c r="I12654" s="10" t="inlineStr">
        <is>
          <t>17/03/2026</t>
        </is>
      </c>
      <c r="J12654" s="10" t="inlineStr">
        <is>
          <t>Tiếp thị / Marketing, CNTT - Phần cứng / Mạng, Quảng cáo / Đối ngoại / Truyền Thông</t>
        </is>
      </c>
      <c r="K12654" s="10" t="inlineStr">
        <is>
          <t>1 - 2 Năm</t>
        </is>
      </c>
      <c r="L12654" s="11">
        <f>HYPERLINK("https://careerviet.vn/vi/tim-viec-lam/nhan-vien-designer-marketing.35C69979.html","Xem chi tiết")</f>
        <v/>
      </c>
      <c r="M12654" s="10" t="n"/>
    </row>
    <row r="12655">
      <c r="B12655" s="7" t="n">
        <v>12653</v>
      </c>
      <c r="C12655" t="inlineStr">
        <is>
          <t>Planning &amp; Inventory Control Specialist (Open for Fresher)</t>
        </is>
      </c>
      <c r="D12655" t="inlineStr">
        <is>
          <t>Wanek Furniture</t>
        </is>
      </c>
      <c r="E12655" t="inlineStr">
        <is>
          <t>Lương:Cạnh tranh</t>
        </is>
      </c>
      <c r="F12655" t="inlineStr">
        <is>
          <t>Bình Dương</t>
        </is>
      </c>
      <c r="G12655" t="inlineStr">
        <is>
          <t>30-04-2026</t>
        </is>
      </c>
      <c r="H12655" t="inlineStr">
        <is>
          <t>30/04/2026</t>
        </is>
      </c>
      <c r="I12655" t="inlineStr">
        <is>
          <t>17/03/2026</t>
        </is>
      </c>
      <c r="J12655" t="inlineStr">
        <is>
          <t>Vận chuyển / Giao nhận / Kho vận, Sản xuất / Vận hành sản xuất, Đồ gỗ</t>
        </is>
      </c>
      <c r="K12655" t="inlineStr">
        <is>
          <t>N/A</t>
        </is>
      </c>
      <c r="L12655" s="8">
        <f>HYPERLINK("https://careerviet.vn/vi/tim-viec-lam/planning-inventory-control-specialist-open-for-fresher.35C6C1FA.html","Xem chi tiết")</f>
        <v/>
      </c>
    </row>
    <row r="12656">
      <c r="B12656" s="9" t="n">
        <v>12654</v>
      </c>
      <c r="C12656" s="10" t="inlineStr">
        <is>
          <t>Senior Manufacturing Quality Engineer</t>
        </is>
      </c>
      <c r="D12656" s="10" t="inlineStr">
        <is>
          <t>Techtronic Industries Vietnam Manufacturing Company Limited</t>
        </is>
      </c>
      <c r="E12656" s="10" t="inlineStr">
        <is>
          <t>Lương:Cạnh tranh</t>
        </is>
      </c>
      <c r="F12656" s="10" t="inlineStr">
        <is>
          <t>Đồng Nai</t>
        </is>
      </c>
      <c r="G12656" s="10" t="inlineStr">
        <is>
          <t>22-04-2026</t>
        </is>
      </c>
      <c r="H12656" s="10" t="inlineStr">
        <is>
          <t>22/04/2026</t>
        </is>
      </c>
      <c r="I12656" s="10" t="inlineStr">
        <is>
          <t>17/03/2026</t>
        </is>
      </c>
      <c r="J12656" s="10" t="inlineStr">
        <is>
          <t>Cơ khí / Ô tô / Tự động hóa, Điện / Điện tử / Điện lạnh / Điện công nghiệp</t>
        </is>
      </c>
      <c r="K12656" s="10" t="inlineStr">
        <is>
          <t>3 - 4 Năm</t>
        </is>
      </c>
      <c r="L12656" s="11">
        <f>HYPERLINK("https://careerviet.vn/vi/tim-viec-lam/senior-manufacturing-quality-engineer.35C6C1FD.html","Xem chi tiết")</f>
        <v/>
      </c>
      <c r="M12656" s="10" t="n"/>
    </row>
    <row r="12657">
      <c r="B12657" s="7" t="n">
        <v>12655</v>
      </c>
      <c r="C12657" t="inlineStr">
        <is>
          <t>Nhân Viên IT (Software Developer)</t>
        </is>
      </c>
      <c r="D12657" t="inlineStr">
        <is>
          <t>Công Ty Cổ Phần Kiến Trúc Tư Vấn Quản Lý Đông Dương</t>
        </is>
      </c>
      <c r="E12657" t="inlineStr">
        <is>
          <t>Lương:Cạnh tranh</t>
        </is>
      </c>
      <c r="F12657" t="inlineStr">
        <is>
          <t>Hồ Chí Minh</t>
        </is>
      </c>
      <c r="G12657" t="inlineStr">
        <is>
          <t>12-04-2026</t>
        </is>
      </c>
      <c r="H12657" t="inlineStr">
        <is>
          <t>12/04/2026</t>
        </is>
      </c>
      <c r="I12657" t="inlineStr">
        <is>
          <t>17/03/2026</t>
        </is>
      </c>
      <c r="J12657" t="inlineStr">
        <is>
          <t>CNTT - Phần mềm, CNTT - Phần cứng / Mạng</t>
        </is>
      </c>
      <c r="K12657" t="inlineStr">
        <is>
          <t>2 - 5 Năm</t>
        </is>
      </c>
      <c r="L12657" s="8">
        <f>HYPERLINK("https://careerviet.vn/vi/tim-viec-lam/nhan-vien-it-software-developer.35C6C1F5.html","Xem chi tiết")</f>
        <v/>
      </c>
    </row>
    <row r="12658">
      <c r="B12658" s="9" t="n">
        <v>12656</v>
      </c>
      <c r="C12658" s="10" t="inlineStr">
        <is>
          <t>Chuyên Viên C&amp;B</t>
        </is>
      </c>
      <c r="D12658" s="10" t="inlineStr">
        <is>
          <t>Công ty TNHH Sản xuất Thương mại &amp; Dịch vụ Hoa Xinh</t>
        </is>
      </c>
      <c r="E12658" s="10" t="inlineStr">
        <is>
          <t>Lương:18 Tr - 25 Tr VND</t>
        </is>
      </c>
      <c r="F12658" s="10" t="inlineStr">
        <is>
          <t>Hồ Chí Minh</t>
        </is>
      </c>
      <c r="G12658" s="10" t="inlineStr">
        <is>
          <t>10-04-2026</t>
        </is>
      </c>
      <c r="H12658" s="10" t="inlineStr">
        <is>
          <t>10/04/2026</t>
        </is>
      </c>
      <c r="I12658" s="10" t="inlineStr">
        <is>
          <t>17/03/2026</t>
        </is>
      </c>
      <c r="J12658" s="10" t="inlineStr">
        <is>
          <t>Dịch vụ khách hàng, Hành chính / Thư ký, Nhân sự</t>
        </is>
      </c>
      <c r="K12658" s="10" t="inlineStr">
        <is>
          <t>2 - 5 Năm</t>
        </is>
      </c>
      <c r="L12658" s="11">
        <f>HYPERLINK("https://careerviet.vn/vi/tim-viec-lam/chuyen-vien-c-b.35C6832E.html","Xem chi tiết")</f>
        <v/>
      </c>
      <c r="M12658" s="10" t="n"/>
    </row>
    <row r="12659">
      <c r="B12659" s="7" t="n">
        <v>12657</v>
      </c>
      <c r="C12659" t="inlineStr">
        <is>
          <t>Kiến Trúc Sư Triển Khai</t>
        </is>
      </c>
      <c r="D12659" t="inlineStr">
        <is>
          <t>Công Ty Cổ Phần Đầu Tư Xây Dựng Bcons</t>
        </is>
      </c>
      <c r="E12659" t="inlineStr">
        <is>
          <t>Lương:Cạnh tranh</t>
        </is>
      </c>
      <c r="F12659" t="inlineStr">
        <is>
          <t>Hồ Chí Minh</t>
        </is>
      </c>
      <c r="G12659" t="inlineStr">
        <is>
          <t>25-03-2026</t>
        </is>
      </c>
      <c r="H12659" t="inlineStr">
        <is>
          <t>25/03/2026</t>
        </is>
      </c>
      <c r="I12659" t="inlineStr">
        <is>
          <t>17/03/2026</t>
        </is>
      </c>
      <c r="J12659" t="inlineStr">
        <is>
          <t>Xây dựng, Kiến trúc, Bất động sản</t>
        </is>
      </c>
      <c r="K12659" t="inlineStr">
        <is>
          <t>2 - 5 Năm</t>
        </is>
      </c>
      <c r="L12659" s="8">
        <f>HYPERLINK("https://careerviet.vn/vi/tim-viec-lam/kien-truc-su-trien-khai.35C69CEA.html","Xem chi tiết")</f>
        <v/>
      </c>
    </row>
    <row r="12660">
      <c r="B12660" s="9" t="n">
        <v>12658</v>
      </c>
      <c r="C12660" s="10" t="inlineStr">
        <is>
          <t>Medical Sales Supervisor (Bioderma)</t>
        </is>
      </c>
      <c r="D12660" s="10" t="inlineStr">
        <is>
          <t>CÔNG TY TNHH MINTHACARE</t>
        </is>
      </c>
      <c r="E12660" s="10" t="inlineStr">
        <is>
          <t>Lương:Cạnh tranh</t>
        </is>
      </c>
      <c r="F12660" s="10" t="inlineStr">
        <is>
          <t>Hồ Chí Minh</t>
        </is>
      </c>
      <c r="G12660" s="10" t="inlineStr">
        <is>
          <t>10-04-2026</t>
        </is>
      </c>
      <c r="H12660" s="10" t="inlineStr">
        <is>
          <t>10/04/2026</t>
        </is>
      </c>
      <c r="I12660" s="10" t="inlineStr">
        <is>
          <t>17/03/2026</t>
        </is>
      </c>
      <c r="J12660" s="10" t="inlineStr">
        <is>
          <t>Bán lẻ / Bán sỉ, Bán hàng / Kinh doanh, Dược phẩm/ Hóa Mỹ Phẩm</t>
        </is>
      </c>
      <c r="K12660" s="10" t="inlineStr">
        <is>
          <t>2 - 5 Năm</t>
        </is>
      </c>
      <c r="L12660" s="11">
        <f>HYPERLINK("https://careerviet.vn/vi/tim-viec-lam/medical-sales-supervisor-bioderma.35C68454.html","Xem chi tiết")</f>
        <v/>
      </c>
      <c r="M12660" s="10" t="n"/>
    </row>
    <row r="12661">
      <c r="B12661" s="7" t="n">
        <v>12659</v>
      </c>
      <c r="C12661" t="inlineStr">
        <is>
          <t>[Hà Nội] CVCC/CV Phát triển Kinh doanh SME Mass - Khối Ngân hàng Doanh nghiệp</t>
        </is>
      </c>
      <c r="D12661" t="inlineStr">
        <is>
          <t>Ngân Hàng TMCP Tiên Phong (TPBank)</t>
        </is>
      </c>
      <c r="E12661" t="inlineStr">
        <is>
          <t>Lương:Cạnh tranh</t>
        </is>
      </c>
      <c r="F12661" t="inlineStr">
        <is>
          <t>Hà Nội</t>
        </is>
      </c>
      <c r="G12661" t="inlineStr">
        <is>
          <t>10-04-2026</t>
        </is>
      </c>
      <c r="H12661" t="inlineStr">
        <is>
          <t>10/04/2026</t>
        </is>
      </c>
      <c r="I12661" t="inlineStr">
        <is>
          <t>17/03/2026</t>
        </is>
      </c>
      <c r="J12661" t="inlineStr">
        <is>
          <t>Ngân hàng, Dịch vụ khách hàng</t>
        </is>
      </c>
      <c r="K12661" t="inlineStr">
        <is>
          <t>1 - 3 Năm</t>
        </is>
      </c>
      <c r="L12661" s="8">
        <f>HYPERLINK("https://careerviet.vn/vi/tim-viec-lam/ha-noi-cvcc-cv-phat-trien-kinh-doanh-sme-mass-khoi-ngan-hang-doanh-nghiep.35C68458.html","Xem chi tiết")</f>
        <v/>
      </c>
    </row>
    <row r="12662">
      <c r="B12662" s="9" t="n">
        <v>12660</v>
      </c>
      <c r="C12662" s="10" t="inlineStr">
        <is>
          <t>Kỹ sư kinh tế xây dựng</t>
        </is>
      </c>
      <c r="D12662" s="10" t="inlineStr">
        <is>
          <t>Công ty CP Đầu tư phát triển Đô thị và Khu công nghiệp</t>
        </is>
      </c>
      <c r="E12662" s="10" t="inlineStr">
        <is>
          <t>Lương:15 Tr - 22 Tr VND</t>
        </is>
      </c>
      <c r="F12662" s="10" t="inlineStr">
        <is>
          <t>Hà Nội</t>
        </is>
      </c>
      <c r="G12662" s="10" t="inlineStr">
        <is>
          <t>10-04-2026</t>
        </is>
      </c>
      <c r="H12662" s="10" t="inlineStr">
        <is>
          <t>10/04/2026</t>
        </is>
      </c>
      <c r="I12662" s="10" t="inlineStr">
        <is>
          <t>17/03/2026</t>
        </is>
      </c>
      <c r="J12662" s="10" t="inlineStr">
        <is>
          <t>Kiến trúc, Xây dựng</t>
        </is>
      </c>
      <c r="K12662" s="10" t="inlineStr">
        <is>
          <t>3 - 10 Năm</t>
        </is>
      </c>
      <c r="L12662" s="11">
        <f>HYPERLINK("https://careerviet.vn/vi/tim-viec-lam/ky-su-kinh-te-xay-dung.35C652DE.html","Xem chi tiết")</f>
        <v/>
      </c>
      <c r="M12662" s="10" t="n"/>
    </row>
    <row r="12663">
      <c r="B12663" s="7" t="n">
        <v>12661</v>
      </c>
      <c r="C12663" t="inlineStr">
        <is>
          <t>Customer Service Staff (Thời Vụ 6 Tháng - KCN Tân Tạo)</t>
        </is>
      </c>
      <c r="D12663" t="inlineStr">
        <is>
          <t>Zuellig Pharma Viet Nam</t>
        </is>
      </c>
      <c r="E12663" t="inlineStr">
        <is>
          <t>Lương:Cạnh tranh</t>
        </is>
      </c>
      <c r="F12663" t="inlineStr">
        <is>
          <t>Hồ Chí Minh</t>
        </is>
      </c>
      <c r="G12663" t="inlineStr">
        <is>
          <t>10-04-2026</t>
        </is>
      </c>
      <c r="H12663" t="inlineStr">
        <is>
          <t>10/04/2026</t>
        </is>
      </c>
      <c r="I12663" t="inlineStr">
        <is>
          <t>17/03/2026</t>
        </is>
      </c>
      <c r="J12663" t="inlineStr">
        <is>
          <t>Dịch vụ khách hàng, Dược phẩm/ Hóa Mỹ Phẩm, Tiếp thị / Marketing</t>
        </is>
      </c>
      <c r="K12663" t="inlineStr">
        <is>
          <t>1 - 2 Năm</t>
        </is>
      </c>
      <c r="L12663" s="8">
        <f>HYPERLINK("https://careerviet.vn/vi/tim-viec-lam/customer-service-staff-thoi-vu-6-thang-kcn-tan-tao.35C683AC.html","Xem chi tiết")</f>
        <v/>
      </c>
    </row>
    <row r="12664">
      <c r="B12664" s="9" t="n">
        <v>12662</v>
      </c>
      <c r="C12664" s="10" t="inlineStr">
        <is>
          <t>CHUYÊN VIÊN / CHUYÊN VIÊN CAO CẤP KINH DOANH THỊ TRƯỜNG TÀI CHÍNH &amp; QUẢN LÝ ĐỐI TÁC</t>
        </is>
      </c>
      <c r="D12664" s="10" t="inlineStr">
        <is>
          <t>CÔNG TY CỔ PHẦN CHỨNG KHOÁN HD</t>
        </is>
      </c>
      <c r="E12664" s="10" t="inlineStr">
        <is>
          <t>Lương:Cạnh tranh</t>
        </is>
      </c>
      <c r="F12664" s="10" t="inlineStr">
        <is>
          <t>Hồ Chí Minh</t>
        </is>
      </c>
      <c r="G12664" s="10" t="inlineStr">
        <is>
          <t>10-04-2026</t>
        </is>
      </c>
      <c r="H12664" s="10" t="inlineStr">
        <is>
          <t>10/04/2026</t>
        </is>
      </c>
      <c r="I12664" s="10" t="inlineStr">
        <is>
          <t>17/03/2026</t>
        </is>
      </c>
      <c r="J12664" s="10" t="inlineStr">
        <is>
          <t>Bán hàng / Kinh doanh, Chứng khoán, Tài chính / Đầu tư</t>
        </is>
      </c>
      <c r="K12664" s="10" t="inlineStr">
        <is>
          <t>3 - 5 Năm</t>
        </is>
      </c>
      <c r="L12664" s="11">
        <f>HYPERLINK("https://careerviet.vn/vi/tim-viec-lam/chuyen-vien-chuyen-vien-cao-cap-kinh-doanh-thi-truong-tai-chinh-quan-ly-doi-tac.35C6842A.html","Xem chi tiết")</f>
        <v/>
      </c>
      <c r="M12664" s="10" t="n"/>
    </row>
    <row r="12665">
      <c r="B12665" s="7" t="n">
        <v>12663</v>
      </c>
      <c r="C12665" t="inlineStr">
        <is>
          <t>Chuyên viên Chiến lược Kinh doanh</t>
        </is>
      </c>
      <c r="D12665" t="inlineStr">
        <is>
          <t>Công ty TNHH Viettel - CHT</t>
        </is>
      </c>
      <c r="E12665" t="inlineStr">
        <is>
          <t>Lương:Cạnh tranh</t>
        </is>
      </c>
      <c r="F12665" t="inlineStr">
        <is>
          <t>Hà Nội</t>
        </is>
      </c>
      <c r="G12665" t="inlineStr">
        <is>
          <t>10-04-2026</t>
        </is>
      </c>
      <c r="H12665" t="inlineStr">
        <is>
          <t>10/04/2026</t>
        </is>
      </c>
      <c r="I12665" t="inlineStr">
        <is>
          <t>17/03/2026</t>
        </is>
      </c>
      <c r="J12665" t="inlineStr">
        <is>
          <t>CNTT - Phần mềm, CNTT - Phần cứng / Mạng, Tiếp thị / Marketing</t>
        </is>
      </c>
      <c r="K12665" t="inlineStr">
        <is>
          <t>Trên 3 Năm</t>
        </is>
      </c>
      <c r="L12665" s="8">
        <f>HYPERLINK("https://careerviet.vn/vi/tim-viec-lam/chuyen-vien-chien-luoc-kinh-doanh.35C6524F.html","Xem chi tiết")</f>
        <v/>
      </c>
    </row>
    <row r="12666">
      <c r="B12666" s="9" t="n">
        <v>12664</v>
      </c>
      <c r="C12666" s="10" t="inlineStr">
        <is>
          <t>FINANCE MANAGER</t>
        </is>
      </c>
      <c r="D12666" s="10" t="inlineStr">
        <is>
          <t>Công Ty Cổ Phần Hóa Chất Kỹ Thuật Kim Phong</t>
        </is>
      </c>
      <c r="E12666" s="10" t="inlineStr">
        <is>
          <t>Lương:Cạnh tranh</t>
        </is>
      </c>
      <c r="F12666" s="10" t="inlineStr">
        <is>
          <t>Hồ Chí Minh</t>
        </is>
      </c>
      <c r="G12666" s="10" t="inlineStr">
        <is>
          <t>10-04-2026</t>
        </is>
      </c>
      <c r="H12666" s="10" t="inlineStr">
        <is>
          <t>10/04/2026</t>
        </is>
      </c>
      <c r="I12666" s="10" t="inlineStr">
        <is>
          <t>17/03/2026</t>
        </is>
      </c>
      <c r="J12666" s="10" t="inlineStr">
        <is>
          <t>Kế toán / Kiểm toán, Tài chính / Đầu tư</t>
        </is>
      </c>
      <c r="K12666" s="10" t="inlineStr">
        <is>
          <t>5 - 15 Năm</t>
        </is>
      </c>
      <c r="L12666" s="11">
        <f>HYPERLINK("https://careerviet.vn/vi/tim-viec-lam/finance-manager.35C68462.html","Xem chi tiết")</f>
        <v/>
      </c>
      <c r="M12666" s="10" t="n"/>
    </row>
    <row r="12667">
      <c r="B12667" s="7" t="n">
        <v>12665</v>
      </c>
      <c r="C12667" t="inlineStr">
        <is>
          <t>NHÂN VIÊN KỸ THUẬT KHÚC XẠ ( Optician)  - c2 eyewear</t>
        </is>
      </c>
      <c r="D12667" t="inlineStr">
        <is>
          <t>Công ty TNHH Sản xuất Thương mại &amp; Dịch vụ Hoa Xinh</t>
        </is>
      </c>
      <c r="E12667" t="inlineStr">
        <is>
          <t>Lương:15 Tr - 25 Tr VND</t>
        </is>
      </c>
      <c r="F12667" t="inlineStr">
        <is>
          <t>Hồ Chí Minh</t>
        </is>
      </c>
      <c r="G12667" t="inlineStr">
        <is>
          <t>10-04-2026</t>
        </is>
      </c>
      <c r="H12667" t="inlineStr">
        <is>
          <t>10/04/2026</t>
        </is>
      </c>
      <c r="I12667" t="inlineStr">
        <is>
          <t>17/03/2026</t>
        </is>
      </c>
      <c r="J12667" t="inlineStr">
        <is>
          <t>Bán Hàng Kỹ Thuật, Y tế / Chăm sóc sức khỏe / Thẩm mỹ / Làm đẹp, Dệt may / Da giày / Thời trang</t>
        </is>
      </c>
      <c r="K12667" t="inlineStr">
        <is>
          <t>2 - 5 Năm</t>
        </is>
      </c>
      <c r="L12667" s="8">
        <f>HYPERLINK("https://careerviet.vn/vi/tim-viec-lam/nhan-vien-ky-thuat-khuc-xa-optician-c2-eyewear.35C6528E.html","Xem chi tiết")</f>
        <v/>
      </c>
    </row>
    <row r="12668">
      <c r="B12668" s="9" t="n">
        <v>12666</v>
      </c>
      <c r="C12668" s="10" t="inlineStr">
        <is>
          <t>Phó Phòng Mua Hàng F&amp;b / FMCG</t>
        </is>
      </c>
      <c r="D12668" s="10" t="inlineStr">
        <is>
          <t>CÔNG TY CỔ PHẦN DỊCH VỤ HÀNG KHÔNG TASECO SÀI GÒN</t>
        </is>
      </c>
      <c r="E12668" s="10" t="inlineStr">
        <is>
          <t>Lương:20 Tr - 30 Tr VND</t>
        </is>
      </c>
      <c r="F12668" s="10" t="inlineStr">
        <is>
          <t>Hồ Chí Minh</t>
        </is>
      </c>
      <c r="G12668" s="10" t="inlineStr">
        <is>
          <t>10-04-2026</t>
        </is>
      </c>
      <c r="H12668" s="10" t="inlineStr">
        <is>
          <t>10/04/2026</t>
        </is>
      </c>
      <c r="I12668" s="10" t="inlineStr">
        <is>
          <t>17/03/2026</t>
        </is>
      </c>
      <c r="J12668" s="10" t="inlineStr">
        <is>
          <t>Thực phẩm &amp; Đồ uống, Thu mua / Vật tư, Nhà hàng / Khách sạn</t>
        </is>
      </c>
      <c r="K12668" s="10" t="inlineStr">
        <is>
          <t>Trên 2 Năm</t>
        </is>
      </c>
      <c r="L12668" s="11">
        <f>HYPERLINK("https://careerviet.vn/vi/tim-viec-lam/pho-phong-mua-hang-f-b-fmcg.35C682DB.html","Xem chi tiết")</f>
        <v/>
      </c>
      <c r="M12668" s="10" t="n"/>
    </row>
    <row r="12669">
      <c r="B12669" s="7" t="n">
        <v>12667</v>
      </c>
      <c r="C12669" t="inlineStr">
        <is>
          <t>Kỹ Sư Bảo Hành  (Làm việc tại Phan Thiết)</t>
        </is>
      </c>
      <c r="D12669" t="inlineStr">
        <is>
          <t>Công Ty Cổ Phần Tập Đoàn Đầu Tư Địa Ốc No Va</t>
        </is>
      </c>
      <c r="E12669" t="inlineStr">
        <is>
          <t>Lương:Cạnh tranh</t>
        </is>
      </c>
      <c r="F12669" t="inlineStr">
        <is>
          <t>Bình Thuận</t>
        </is>
      </c>
      <c r="G12669" t="inlineStr">
        <is>
          <t>10-04-2026</t>
        </is>
      </c>
      <c r="H12669" t="inlineStr">
        <is>
          <t>10/04/2026</t>
        </is>
      </c>
      <c r="I12669" t="inlineStr">
        <is>
          <t>17/03/2026</t>
        </is>
      </c>
      <c r="J12669" t="inlineStr">
        <is>
          <t>Nhà hàng / Khách sạn, Bảo trì / Sửa chữa, Bất động sản</t>
        </is>
      </c>
      <c r="K12669" t="inlineStr">
        <is>
          <t>7 - 15 Năm</t>
        </is>
      </c>
      <c r="L12669" s="8">
        <f>HYPERLINK("https://careerviet.vn/vi/tim-viec-lam/ky-su-bao-hanh-lam-viec-tai-phan-thiet.35C652B2.html","Xem chi tiết")</f>
        <v/>
      </c>
    </row>
    <row r="12670">
      <c r="B12670" s="9" t="n">
        <v>12668</v>
      </c>
      <c r="C12670" s="10" t="inlineStr">
        <is>
          <t>NHÂN VIÊN CONTENT</t>
        </is>
      </c>
      <c r="D12670" s="10" t="inlineStr">
        <is>
          <t>CÔNG TY TNHH TƯ VẤN KIẾN TRÚC TLI HÀ NỘI</t>
        </is>
      </c>
      <c r="E12670" s="10" t="inlineStr">
        <is>
          <t>Lương:8 Tr - 12 Tr VND</t>
        </is>
      </c>
      <c r="F12670" s="10" t="inlineStr">
        <is>
          <t>Hà Nội</t>
        </is>
      </c>
      <c r="G12670" s="10" t="inlineStr">
        <is>
          <t>10-04-2026</t>
        </is>
      </c>
      <c r="H12670" s="10" t="inlineStr">
        <is>
          <t>10/04/2026</t>
        </is>
      </c>
      <c r="I12670" s="10" t="inlineStr">
        <is>
          <t>17/03/2026</t>
        </is>
      </c>
      <c r="J12670" s="10" t="inlineStr">
        <is>
          <t>Sản xuất / Vận hành sản xuất, Đồ gỗ, Kiến trúc</t>
        </is>
      </c>
      <c r="K12670" s="10" t="inlineStr">
        <is>
          <t>1 - 2 Năm</t>
        </is>
      </c>
      <c r="L12670" s="11">
        <f>HYPERLINK("https://careerviet.vn/vi/tim-viec-lam/nhan-vien-content.35C65286.html","Xem chi tiết")</f>
        <v/>
      </c>
      <c r="M12670" s="10" t="n"/>
    </row>
    <row r="12671">
      <c r="B12671" s="7" t="n">
        <v>12669</v>
      </c>
      <c r="C12671" t="inlineStr">
        <is>
          <t>QUẢN LÝ CỬA HÀNG (HCM)</t>
        </is>
      </c>
      <c r="D12671" t="inlineStr">
        <is>
          <t>Vascara Group</t>
        </is>
      </c>
      <c r="E12671" t="inlineStr">
        <is>
          <t>Lương:Cạnh tranh</t>
        </is>
      </c>
      <c r="F12671" t="inlineStr">
        <is>
          <t>Hồ Chí Minh</t>
        </is>
      </c>
      <c r="G12671" t="inlineStr">
        <is>
          <t>10-04-2026</t>
        </is>
      </c>
      <c r="H12671" t="inlineStr">
        <is>
          <t>10/04/2026</t>
        </is>
      </c>
      <c r="I12671" t="inlineStr">
        <is>
          <t>17/03/2026</t>
        </is>
      </c>
      <c r="J12671" t="inlineStr">
        <is>
          <t>Bán lẻ / Bán sỉ, Bán hàng / Kinh doanh, Dệt may / Da giày / Thời trang</t>
        </is>
      </c>
      <c r="K12671" t="inlineStr">
        <is>
          <t>1 - 2 Năm</t>
        </is>
      </c>
      <c r="L12671" s="8">
        <f>HYPERLINK("https://careerviet.vn/vi/tim-viec-lam/quan-ly-cua-hang-hcm.35C6832A.html","Xem chi tiết")</f>
        <v/>
      </c>
    </row>
    <row r="12672">
      <c r="B12672" s="9" t="n">
        <v>12670</v>
      </c>
      <c r="C12672" s="10" t="inlineStr">
        <is>
          <t>Nhân Viên Kinh Doanh Ban Phát Triển Miền Đông- Thủ dầu Một</t>
        </is>
      </c>
      <c r="D12672" s="10" t="inlineStr">
        <is>
          <t>Cty TNHH Yakult Việt Nam</t>
        </is>
      </c>
      <c r="E12672" s="10" t="inlineStr">
        <is>
          <t>Lương:11 Tr - 15 Tr VND</t>
        </is>
      </c>
      <c r="F12672" s="10" t="inlineStr">
        <is>
          <t>KV Đông Nam BộBình Dương</t>
        </is>
      </c>
      <c r="G12672" s="10" t="inlineStr">
        <is>
          <t>10-04-2026</t>
        </is>
      </c>
      <c r="H12672" s="10" t="inlineStr">
        <is>
          <t>10/04/2026</t>
        </is>
      </c>
      <c r="I12672" s="10" t="inlineStr">
        <is>
          <t>17/03/2026</t>
        </is>
      </c>
      <c r="J12672" s="10" t="inlineStr">
        <is>
          <t>Bán lẻ / Bán sỉ, Bán hàng / Kinh doanh, Lao động phổ thông</t>
        </is>
      </c>
      <c r="K12672" s="10" t="inlineStr">
        <is>
          <t>N/A</t>
        </is>
      </c>
      <c r="L12672" s="11">
        <f>HYPERLINK("https://careerviet.vn/vi/tim-viec-lam/nhan-vien-kinh-doanh-ban-phat-trien-mien-dong-thu-dau-mot.35C682F4.html","Xem chi tiết")</f>
        <v/>
      </c>
      <c r="M12672" s="10" t="n"/>
    </row>
    <row r="12673">
      <c r="B12673" s="7" t="n">
        <v>12671</v>
      </c>
      <c r="C12673" t="inlineStr">
        <is>
          <t>Shipping Sales Executive</t>
        </is>
      </c>
      <c r="D12673" t="inlineStr">
        <is>
          <t>HR Vietnam’s ESS Client</t>
        </is>
      </c>
      <c r="E12673" t="inlineStr">
        <is>
          <t>Lương:Cạnh tranh</t>
        </is>
      </c>
      <c r="F12673" t="inlineStr">
        <is>
          <t>Hồ Chí Minh</t>
        </is>
      </c>
      <c r="G12673" t="inlineStr">
        <is>
          <t>10-04-2026</t>
        </is>
      </c>
      <c r="H12673" t="inlineStr">
        <is>
          <t>10/04/2026</t>
        </is>
      </c>
      <c r="I12673" t="inlineStr">
        <is>
          <t>17/03/2026</t>
        </is>
      </c>
      <c r="J12673" t="inlineStr">
        <is>
          <t>Vận chuyển / Giao nhận / Kho vận, Bán hàng / Kinh doanh</t>
        </is>
      </c>
      <c r="K12673" t="inlineStr">
        <is>
          <t>1 - 2 Năm</t>
        </is>
      </c>
      <c r="L12673" s="8">
        <f>HYPERLINK("https://careerviet.vn/vi/tim-viec-lam/shipping-sales-executive.35C6835A.html","Xem chi tiết")</f>
        <v/>
      </c>
    </row>
    <row r="12674">
      <c r="B12674" s="9" t="n">
        <v>12672</v>
      </c>
      <c r="C12674" s="10" t="inlineStr">
        <is>
          <t>Chuyên viên thiết kế nội thất và Giám sát tác giả</t>
        </is>
      </c>
      <c r="D12674" s="10" t="inlineStr">
        <is>
          <t>Beta Group</t>
        </is>
      </c>
      <c r="E12674" s="10" t="inlineStr">
        <is>
          <t>Lương:15 Tr - 20 Tr VND</t>
        </is>
      </c>
      <c r="F12674" s="10" t="inlineStr">
        <is>
          <t>Hồ Chí MinhHà Nội</t>
        </is>
      </c>
      <c r="G12674" s="10" t="inlineStr">
        <is>
          <t>10-04-2026</t>
        </is>
      </c>
      <c r="H12674" s="10" t="inlineStr">
        <is>
          <t>10/04/2026</t>
        </is>
      </c>
      <c r="I12674" s="10" t="inlineStr">
        <is>
          <t>17/03/2026</t>
        </is>
      </c>
      <c r="J12674" s="10" t="inlineStr">
        <is>
          <t>Mỹ thuật / Nghệ thuật / Thiết kế, Nội ngoại thất</t>
        </is>
      </c>
      <c r="K12674" s="10" t="inlineStr">
        <is>
          <t>2 - 5 Năm</t>
        </is>
      </c>
      <c r="L12674" s="11">
        <f>HYPERLINK("https://careerviet.vn/vi/tim-viec-lam/chuyen-vien-thiet-ke-noi-that-va-giam-sat-tac-gia.35C6838F.html","Xem chi tiết")</f>
        <v/>
      </c>
      <c r="M12674" s="10" t="n"/>
    </row>
    <row r="12675">
      <c r="B12675" s="7" t="n">
        <v>12673</v>
      </c>
      <c r="C12675" t="inlineStr">
        <is>
          <t>Kế toán trưởng</t>
        </is>
      </c>
      <c r="D12675" t="inlineStr">
        <is>
          <t>CÔNG TY CỔ PHẦN CHỨNG KHOÁN HD</t>
        </is>
      </c>
      <c r="E12675" t="inlineStr">
        <is>
          <t>Lương:Cạnh tranh</t>
        </is>
      </c>
      <c r="F12675" t="inlineStr">
        <is>
          <t>Hồ Chí Minh</t>
        </is>
      </c>
      <c r="G12675" t="inlineStr">
        <is>
          <t>10-04-2026</t>
        </is>
      </c>
      <c r="H12675" t="inlineStr">
        <is>
          <t>10/04/2026</t>
        </is>
      </c>
      <c r="I12675" t="inlineStr">
        <is>
          <t>17/03/2026</t>
        </is>
      </c>
      <c r="J12675" t="inlineStr">
        <is>
          <t>Chứng khoán, Kế toán / Kiểm toán</t>
        </is>
      </c>
      <c r="K12675" t="inlineStr">
        <is>
          <t>8 - 10 Năm</t>
        </is>
      </c>
      <c r="L12675" s="8">
        <f>HYPERLINK("https://careerviet.vn/vi/tim-viec-lam/ke-toan-truong.35C6843D.html","Xem chi tiết")</f>
        <v/>
      </c>
    </row>
    <row r="12676">
      <c r="B12676" s="9" t="n">
        <v>12674</v>
      </c>
      <c r="C12676" s="10" t="inlineStr">
        <is>
          <t>Nhân viên khai báo hải quan</t>
        </is>
      </c>
      <c r="D12676" s="10" t="inlineStr">
        <is>
          <t>Công ty Cổ phần Express Thành Đạt</t>
        </is>
      </c>
      <c r="E12676" s="10" t="inlineStr">
        <is>
          <t>Lương:10 Tr - 15 Tr VND</t>
        </is>
      </c>
      <c r="F12676" s="10" t="inlineStr">
        <is>
          <t>Hà Nội</t>
        </is>
      </c>
      <c r="G12676" s="10" t="inlineStr">
        <is>
          <t>10-04-2026</t>
        </is>
      </c>
      <c r="H12676" s="10" t="inlineStr">
        <is>
          <t>10/04/2026</t>
        </is>
      </c>
      <c r="I12676" s="10" t="inlineStr">
        <is>
          <t>17/03/2026</t>
        </is>
      </c>
      <c r="J12676" s="10" t="inlineStr">
        <is>
          <t>Xuất nhập khẩu, Vận chuyển / Giao nhận / Kho vận</t>
        </is>
      </c>
      <c r="K12676" s="10" t="inlineStr">
        <is>
          <t>1 - 3 Năm</t>
        </is>
      </c>
      <c r="L12676" s="11">
        <f>HYPERLINK("https://careerviet.vn/vi/tim-viec-lam/nhan-vien-khai-bao-hai-quan.35C64B58.html","Xem chi tiết")</f>
        <v/>
      </c>
      <c r="M12676" s="10" t="n"/>
    </row>
    <row r="12677">
      <c r="B12677" s="7" t="n">
        <v>12675</v>
      </c>
      <c r="C12677" t="inlineStr">
        <is>
          <t>Chuyên viên Phát triển Kinh doanh</t>
        </is>
      </c>
      <c r="D12677" t="inlineStr">
        <is>
          <t>Công Ty Cổ Phần Du Lịch Vietravel</t>
        </is>
      </c>
      <c r="E12677" t="inlineStr">
        <is>
          <t>Lương:Cạnh tranh</t>
        </is>
      </c>
      <c r="F12677" t="inlineStr">
        <is>
          <t>Hồ Chí Minh</t>
        </is>
      </c>
      <c r="G12677" t="inlineStr">
        <is>
          <t>10-04-2026</t>
        </is>
      </c>
      <c r="H12677" t="inlineStr">
        <is>
          <t>10/04/2026</t>
        </is>
      </c>
      <c r="I12677" t="inlineStr">
        <is>
          <t>17/03/2026</t>
        </is>
      </c>
      <c r="J12677" t="inlineStr">
        <is>
          <t>Du lịch, Mới tốt nghiệp / Thực tập, Tài chính / Đầu tư</t>
        </is>
      </c>
      <c r="K12677" t="inlineStr">
        <is>
          <t>1 - 3 Năm</t>
        </is>
      </c>
      <c r="L12677" s="8">
        <f>HYPERLINK("https://careerviet.vn/vi/tim-viec-lam/chuyen-vien-phat-trien-kinh-doanh.35C652B9.html","Xem chi tiết")</f>
        <v/>
      </c>
    </row>
    <row r="12678">
      <c r="B12678" s="9" t="n">
        <v>12676</v>
      </c>
      <c r="C12678" s="10" t="inlineStr">
        <is>
          <t>Chuyên viên tuyển dụng phòng nhân sự</t>
        </is>
      </c>
      <c r="D12678" s="10" t="inlineStr">
        <is>
          <t>Viện Thẩm mỹ y khoa Dr Hải Lê</t>
        </is>
      </c>
      <c r="E12678" s="10" t="inlineStr">
        <is>
          <t>Lương:10 Tr - 15 Tr VND</t>
        </is>
      </c>
      <c r="F12678" s="10" t="inlineStr">
        <is>
          <t>Hà Nội</t>
        </is>
      </c>
      <c r="G12678" s="10" t="inlineStr">
        <is>
          <t>10-04-2026</t>
        </is>
      </c>
      <c r="H12678" s="10" t="inlineStr">
        <is>
          <t>10/04/2026</t>
        </is>
      </c>
      <c r="I12678" s="10" t="inlineStr">
        <is>
          <t>17/03/2026</t>
        </is>
      </c>
      <c r="J12678" s="10" t="inlineStr">
        <is>
          <t>Y tế / Chăm sóc sức khỏe / Thẩm mỹ / Làm đẹp, Hành chính / Thư ký, Nhân sự</t>
        </is>
      </c>
      <c r="K12678" s="10" t="inlineStr">
        <is>
          <t>1 - 3 Năm</t>
        </is>
      </c>
      <c r="L12678" s="11">
        <f>HYPERLINK("https://careerviet.vn/vi/tim-viec-lam/chuyen-vien-tuyen-dung-phong-nhan-su.35C6526C.html","Xem chi tiết")</f>
        <v/>
      </c>
      <c r="M12678" s="10" t="n"/>
    </row>
    <row r="12679">
      <c r="B12679" s="7" t="n">
        <v>12677</v>
      </c>
      <c r="C12679" t="inlineStr">
        <is>
          <t>QC Senior Supervisor</t>
        </is>
      </c>
      <c r="D12679" t="inlineStr">
        <is>
          <t>Rochdale Spears Co., Ltd.</t>
        </is>
      </c>
      <c r="E12679" t="inlineStr">
        <is>
          <t>Lương:Cạnh tranh</t>
        </is>
      </c>
      <c r="F12679" t="inlineStr">
        <is>
          <t>Bình Dương</t>
        </is>
      </c>
      <c r="G12679" t="inlineStr">
        <is>
          <t>10-04-2026</t>
        </is>
      </c>
      <c r="H12679" t="inlineStr">
        <is>
          <t>10/04/2026</t>
        </is>
      </c>
      <c r="I12679" t="inlineStr">
        <is>
          <t>17/03/2026</t>
        </is>
      </c>
      <c r="J12679" t="inlineStr">
        <is>
          <t>Nội ngoại thất, Quản lý chất lượng (QA/QC), Đồ gỗ</t>
        </is>
      </c>
      <c r="K12679" t="inlineStr">
        <is>
          <t>3 - 5 Năm</t>
        </is>
      </c>
      <c r="L12679" s="8">
        <f>HYPERLINK("https://careerviet.vn/vi/tim-viec-lam/qc-senior-supervisor.35C682F1.html","Xem chi tiết")</f>
        <v/>
      </c>
    </row>
    <row r="12680">
      <c r="B12680" s="9" t="n">
        <v>12678</v>
      </c>
      <c r="C12680" s="10" t="inlineStr">
        <is>
          <t>Nhân Viên Kế Toán</t>
        </is>
      </c>
      <c r="D12680" s="10" t="inlineStr">
        <is>
          <t>CÔNG TY CỔ PHẦN GREEN SPEED</t>
        </is>
      </c>
      <c r="E12680" s="10" t="inlineStr">
        <is>
          <t>Lương:10 Tr - 12 Tr VND</t>
        </is>
      </c>
      <c r="F12680" s="10" t="inlineStr">
        <is>
          <t>Hồ Chí Minh</t>
        </is>
      </c>
      <c r="G12680" s="10" t="inlineStr">
        <is>
          <t>10-04-2026</t>
        </is>
      </c>
      <c r="H12680" s="10" t="inlineStr">
        <is>
          <t>10/04/2026</t>
        </is>
      </c>
      <c r="I12680" s="10" t="inlineStr">
        <is>
          <t>17/03/2026</t>
        </is>
      </c>
      <c r="J12680" s="10" t="inlineStr">
        <is>
          <t>Kế toán / Kiểm toán, Ngân hàng, Hành chính / Thư ký</t>
        </is>
      </c>
      <c r="K12680" s="10" t="inlineStr">
        <is>
          <t>1 - 2 Năm</t>
        </is>
      </c>
      <c r="L12680" s="11">
        <f>HYPERLINK("https://careerviet.vn/vi/tim-viec-lam/nhan-vien-ke-toan.35C683B3.html","Xem chi tiết")</f>
        <v/>
      </c>
      <c r="M12680" s="10" t="n"/>
    </row>
    <row r="12681">
      <c r="B12681" s="7" t="n">
        <v>12679</v>
      </c>
      <c r="C12681" t="inlineStr">
        <is>
          <t>Senior IT Security Officer (mảng Pentest)</t>
        </is>
      </c>
      <c r="D12681" t="inlineStr">
        <is>
          <t>LOTTE FINANCE VIETNAM</t>
        </is>
      </c>
      <c r="E12681" t="inlineStr">
        <is>
          <t>Lương:Cạnh tranh</t>
        </is>
      </c>
      <c r="F12681" t="inlineStr">
        <is>
          <t>Hà Nội</t>
        </is>
      </c>
      <c r="G12681" t="inlineStr">
        <is>
          <t>10-04-2026</t>
        </is>
      </c>
      <c r="H12681" t="inlineStr">
        <is>
          <t>10/04/2026</t>
        </is>
      </c>
      <c r="I12681" t="inlineStr">
        <is>
          <t>17/03/2026</t>
        </is>
      </c>
      <c r="J12681" t="inlineStr">
        <is>
          <t>CNTT - Phần mềm</t>
        </is>
      </c>
      <c r="K12681" t="inlineStr">
        <is>
          <t>2 - 5 Năm</t>
        </is>
      </c>
      <c r="L12681" s="8">
        <f>HYPERLINK("https://careerviet.vn/vi/tim-viec-lam/senior-it-security-officer-mang-pentest.35C652DF.html","Xem chi tiết")</f>
        <v/>
      </c>
    </row>
    <row r="12682">
      <c r="B12682" s="9" t="n">
        <v>12680</v>
      </c>
      <c r="C12682" s="10" t="inlineStr">
        <is>
          <t>Marketing Manager</t>
        </is>
      </c>
      <c r="D12682" s="10" t="inlineStr">
        <is>
          <t>CÔNG TY TNHH PHÁT TRIỂN THƯƠNG HIỆU VÀ DỊCH VỤ KẾT NỐI BÁN LẺ CHÂU Á</t>
        </is>
      </c>
      <c r="E12682" s="10" t="inlineStr">
        <is>
          <t>Lương:18 Tr - 22 Tr VND</t>
        </is>
      </c>
      <c r="F12682" s="10" t="inlineStr">
        <is>
          <t>Hồ Chí Minh</t>
        </is>
      </c>
      <c r="G12682" s="10" t="inlineStr">
        <is>
          <t>10-04-2026</t>
        </is>
      </c>
      <c r="H12682" s="10" t="inlineStr">
        <is>
          <t>10/04/2026</t>
        </is>
      </c>
      <c r="I12682" s="10" t="inlineStr">
        <is>
          <t>17/03/2026</t>
        </is>
      </c>
      <c r="J12682" s="10" t="inlineStr">
        <is>
          <t>Tiếp thị / Marketing, Quảng cáo / Đối ngoại / Truyền Thông</t>
        </is>
      </c>
      <c r="K12682" s="10" t="inlineStr">
        <is>
          <t>Trên 3 Năm</t>
        </is>
      </c>
      <c r="L12682" s="11">
        <f>HYPERLINK("https://careerviet.vn/vi/tim-viec-lam/marketing-manager.35C68397.html","Xem chi tiết")</f>
        <v/>
      </c>
      <c r="M12682" s="10" t="n"/>
    </row>
    <row r="12683">
      <c r="B12683" s="7" t="n">
        <v>12681</v>
      </c>
      <c r="C12683" t="inlineStr">
        <is>
          <t>Giám đốc Ban pháp chế (Chủ đầu tư BĐS)</t>
        </is>
      </c>
      <c r="D12683" t="inlineStr">
        <is>
          <t>Tập Đoàn Tân Á Đại Thành</t>
        </is>
      </c>
      <c r="E12683" t="inlineStr">
        <is>
          <t>Lương:Cạnh tranh</t>
        </is>
      </c>
      <c r="F12683" t="inlineStr">
        <is>
          <t>Hà Nội</t>
        </is>
      </c>
      <c r="G12683" t="inlineStr">
        <is>
          <t>10-04-2026</t>
        </is>
      </c>
      <c r="H12683" t="inlineStr">
        <is>
          <t>10/04/2026</t>
        </is>
      </c>
      <c r="I12683" t="inlineStr">
        <is>
          <t>17/03/2026</t>
        </is>
      </c>
      <c r="J12683" t="inlineStr">
        <is>
          <t>Luật / Pháp lý, Xây dựng, Bất động sản</t>
        </is>
      </c>
      <c r="K12683" t="inlineStr">
        <is>
          <t>Trên 5 Năm</t>
        </is>
      </c>
      <c r="L12683" s="8">
        <f>HYPERLINK("https://careerviet.vn/vi/tim-viec-lam/giam-doc-ban-phap-che-chu-dau-tu-bds.35C683C1.html","Xem chi tiết")</f>
        <v/>
      </c>
    </row>
    <row r="12684">
      <c r="B12684" s="9" t="n">
        <v>12682</v>
      </c>
      <c r="C12684" s="10" t="inlineStr">
        <is>
          <t>Kế toán tổng hợp (Senior General Accountant)</t>
        </is>
      </c>
      <c r="D12684" s="10" t="inlineStr">
        <is>
          <t>CÔNG TY CỔ PHẦN CHỨNG KHOÁN HD</t>
        </is>
      </c>
      <c r="E12684" s="10" t="inlineStr">
        <is>
          <t>Lương:Cạnh tranh</t>
        </is>
      </c>
      <c r="F12684" s="10" t="inlineStr">
        <is>
          <t>Hồ Chí Minh</t>
        </is>
      </c>
      <c r="G12684" s="10" t="inlineStr">
        <is>
          <t>10-04-2026</t>
        </is>
      </c>
      <c r="H12684" s="10" t="inlineStr">
        <is>
          <t>10/04/2026</t>
        </is>
      </c>
      <c r="I12684" s="10" t="inlineStr">
        <is>
          <t>17/03/2026</t>
        </is>
      </c>
      <c r="J12684" s="10" t="inlineStr">
        <is>
          <t>Chứng khoán, Kế toán / Kiểm toán</t>
        </is>
      </c>
      <c r="K12684" s="10" t="inlineStr">
        <is>
          <t>3 - 5 Năm</t>
        </is>
      </c>
      <c r="L12684" s="11">
        <f>HYPERLINK("https://careerviet.vn/vi/tim-viec-lam/ke-toan-tong-hop-senior-general-accountant.35C68450.html","Xem chi tiết")</f>
        <v/>
      </c>
      <c r="M12684" s="10" t="n"/>
    </row>
    <row r="12685">
      <c r="B12685" s="7" t="n">
        <v>12683</v>
      </c>
      <c r="C12685" t="inlineStr">
        <is>
          <t>Lập trình viên Odoo (chuyên mảng HRM &amp; iOffice)</t>
        </is>
      </c>
      <c r="D12685" t="inlineStr">
        <is>
          <t>Công ty Cổ phần Devyt</t>
        </is>
      </c>
      <c r="E12685" t="inlineStr">
        <is>
          <t>Lương:20 Tr - 30 Tr VND</t>
        </is>
      </c>
      <c r="F12685" t="inlineStr">
        <is>
          <t>Hà Nội</t>
        </is>
      </c>
      <c r="G12685" t="inlineStr">
        <is>
          <t>10-04-2026</t>
        </is>
      </c>
      <c r="H12685" t="inlineStr">
        <is>
          <t>10/04/2026</t>
        </is>
      </c>
      <c r="I12685" t="inlineStr">
        <is>
          <t>17/03/2026</t>
        </is>
      </c>
      <c r="J12685" t="inlineStr">
        <is>
          <t>CNTT - Phần mềm</t>
        </is>
      </c>
      <c r="K12685" t="inlineStr">
        <is>
          <t>Trên 2 Năm</t>
        </is>
      </c>
      <c r="L12685" s="8">
        <f>HYPERLINK("https://careerviet.vn/vi/tim-viec-lam/lap-trinh-vien-odoo-chuyen-mang-hrm-ioffice.35C652DC.html","Xem chi tiết")</f>
        <v/>
      </c>
    </row>
    <row r="12686">
      <c r="B12686" s="9" t="n">
        <v>12684</v>
      </c>
      <c r="C12686" s="10" t="inlineStr">
        <is>
          <t>Tuyển Gấp Nhân Viên Quay Dựng</t>
        </is>
      </c>
      <c r="D12686" s="10" t="inlineStr">
        <is>
          <t>Viện Thẩm mỹ y khoa Dr Hải Lê</t>
        </is>
      </c>
      <c r="E12686" s="10" t="inlineStr">
        <is>
          <t>Lương:12 Tr - 16 Tr VND</t>
        </is>
      </c>
      <c r="F12686" s="10" t="inlineStr">
        <is>
          <t>Hà Nội</t>
        </is>
      </c>
      <c r="G12686" s="10" t="inlineStr">
        <is>
          <t>10-04-2026</t>
        </is>
      </c>
      <c r="H12686" s="10" t="inlineStr">
        <is>
          <t>10/04/2026</t>
        </is>
      </c>
      <c r="I12686" s="10" t="inlineStr">
        <is>
          <t>17/03/2026</t>
        </is>
      </c>
      <c r="J12686" s="10" t="inlineStr">
        <is>
          <t>Tiếp thị / Marketing, Truyền hình / Báo chí / Biên tập, Quảng cáo / Đối ngoại / Truyền Thông</t>
        </is>
      </c>
      <c r="K12686" s="10" t="inlineStr">
        <is>
          <t>1 - 5 Năm</t>
        </is>
      </c>
      <c r="L12686" s="11">
        <f>HYPERLINK("https://careerviet.vn/vi/tim-viec-lam/tuyen-gap-nhan-vien-quay-dung.35C6526D.html","Xem chi tiết")</f>
        <v/>
      </c>
      <c r="M12686" s="10" t="n"/>
    </row>
    <row r="12687">
      <c r="B12687" s="7" t="n">
        <v>12685</v>
      </c>
      <c r="C12687" t="inlineStr">
        <is>
          <t>Raw Material Planning Supervisor</t>
        </is>
      </c>
      <c r="D12687" t="inlineStr">
        <is>
          <t>Un-Available LTD Co.,</t>
        </is>
      </c>
      <c r="E12687" t="inlineStr">
        <is>
          <t>Lương:Cạnh tranh</t>
        </is>
      </c>
      <c r="F12687" t="inlineStr">
        <is>
          <t>Hồ Chí Minh</t>
        </is>
      </c>
      <c r="G12687" t="inlineStr">
        <is>
          <t>10-04-2026</t>
        </is>
      </c>
      <c r="H12687" t="inlineStr">
        <is>
          <t>10/04/2026</t>
        </is>
      </c>
      <c r="I12687" t="inlineStr">
        <is>
          <t>17/03/2026</t>
        </is>
      </c>
      <c r="J12687" t="inlineStr">
        <is>
          <t>Sản xuất / Vận hành sản xuất, Dệt may / Da giày / Thời trang, Thu mua / Vật tư</t>
        </is>
      </c>
      <c r="K12687" t="inlineStr">
        <is>
          <t>3 - 5 Năm</t>
        </is>
      </c>
      <c r="L12687" s="8">
        <f>HYPERLINK("https://careerviet.vn/vi/tim-viec-lam/raw-material-planning-supervisor.35C6838B.html","Xem chi tiết")</f>
        <v/>
      </c>
    </row>
    <row r="12688">
      <c r="B12688" s="9" t="n">
        <v>12686</v>
      </c>
      <c r="C12688" s="10" t="inlineStr">
        <is>
          <t>Ecommerce Specialist - Quận 2</t>
        </is>
      </c>
      <c r="D12688" s="10" t="inlineStr">
        <is>
          <t>Công ty TNHH Sản xuất Thương mại &amp; Dịch vụ Hoa Xinh</t>
        </is>
      </c>
      <c r="E12688" s="10" t="inlineStr">
        <is>
          <t>Lương:Cạnh tranh</t>
        </is>
      </c>
      <c r="F12688" s="10" t="inlineStr">
        <is>
          <t>Hồ Chí Minh</t>
        </is>
      </c>
      <c r="G12688" s="10" t="inlineStr">
        <is>
          <t>10-04-2026</t>
        </is>
      </c>
      <c r="H12688" s="10" t="inlineStr">
        <is>
          <t>10/04/2026</t>
        </is>
      </c>
      <c r="I12688" s="10" t="inlineStr">
        <is>
          <t>17/03/2026</t>
        </is>
      </c>
      <c r="J12688" s="10" t="inlineStr">
        <is>
          <t>Tiếp thị / Marketing, Tiếp thị trực tuyến, Thương mại điện tử</t>
        </is>
      </c>
      <c r="K12688" s="10" t="inlineStr">
        <is>
          <t>1 - 5 Năm</t>
        </is>
      </c>
      <c r="L12688" s="11">
        <f>HYPERLINK("https://careerviet.vn/vi/tim-viec-lam/ecommerce-specialist-quan-2.35C683F2.html","Xem chi tiết")</f>
        <v/>
      </c>
      <c r="M12688" s="10" t="n"/>
    </row>
    <row r="12689">
      <c r="B12689" s="7" t="n">
        <v>12687</v>
      </c>
      <c r="C12689" t="inlineStr">
        <is>
          <t>Giám đốc Phòng Quan hệ khách hàng Doanh nghiệp - BVBank Tây Ninh - KV Đông Nam Bộ</t>
        </is>
      </c>
      <c r="D12689" t="inlineStr">
        <is>
          <t>BVBank - Ngân hàng Bản Việt</t>
        </is>
      </c>
      <c r="E12689" t="inlineStr">
        <is>
          <t>Lương:Cạnh tranh</t>
        </is>
      </c>
      <c r="F12689" t="inlineStr">
        <is>
          <t>Tây Ninh</t>
        </is>
      </c>
      <c r="G12689" t="inlineStr">
        <is>
          <t>10-04-2026</t>
        </is>
      </c>
      <c r="H12689" t="inlineStr">
        <is>
          <t>10/04/2026</t>
        </is>
      </c>
      <c r="I12689" t="inlineStr">
        <is>
          <t>17/03/2026</t>
        </is>
      </c>
      <c r="J12689" t="inlineStr">
        <is>
          <t>Ngân hàng, Tài chính / Đầu tư, Bán hàng / Kinh doanh</t>
        </is>
      </c>
      <c r="K12689" t="inlineStr">
        <is>
          <t>3 - 4 Năm</t>
        </is>
      </c>
      <c r="L12689" s="8">
        <f>HYPERLINK("https://careerviet.vn/vi/tim-viec-lam/giam-doc-phong-quan-he-khach-hang-doanh-nghiep-bvbank-tay-ninh-kv-dong-nam-bo.35C6837F.html","Xem chi tiết")</f>
        <v/>
      </c>
    </row>
    <row r="12690">
      <c r="B12690" s="9" t="n">
        <v>12688</v>
      </c>
      <c r="C12690" s="10" t="inlineStr">
        <is>
          <t>Kỹ Sư Chất Lượng</t>
        </is>
      </c>
      <c r="D12690" s="10" t="inlineStr">
        <is>
          <t>CÔNG TY TNHH KAMET VIETNAM</t>
        </is>
      </c>
      <c r="E12690" s="10" t="inlineStr">
        <is>
          <t>Lương:Cạnh tranh</t>
        </is>
      </c>
      <c r="F12690" s="10" t="inlineStr">
        <is>
          <t>Hồ Chí Minh</t>
        </is>
      </c>
      <c r="G12690" s="10" t="inlineStr">
        <is>
          <t>10-04-2026</t>
        </is>
      </c>
      <c r="H12690" s="10" t="inlineStr">
        <is>
          <t>10/04/2026</t>
        </is>
      </c>
      <c r="I12690" s="10" t="inlineStr">
        <is>
          <t>17/03/2026</t>
        </is>
      </c>
      <c r="J12690" s="10" t="inlineStr">
        <is>
          <t>Cơ khí / Ô tô / Tự động hóa, Sản xuất / Vận hành sản xuất, Quản lý chất lượng (QA/QC)</t>
        </is>
      </c>
      <c r="K12690" s="10" t="inlineStr">
        <is>
          <t>2 - 5 Năm</t>
        </is>
      </c>
      <c r="L12690" s="11">
        <f>HYPERLINK("https://careerviet.vn/vi/tim-viec-lam/ky-su-chat-luong.35C65247.html","Xem chi tiết")</f>
        <v/>
      </c>
      <c r="M12690" s="10" t="n"/>
    </row>
    <row r="12691">
      <c r="B12691" s="7" t="n">
        <v>12689</v>
      </c>
      <c r="C12691" t="inlineStr">
        <is>
          <t>Nhân viên xuất nhập khẩu</t>
        </is>
      </c>
      <c r="D12691" t="inlineStr">
        <is>
          <t>Công ty CP Toshiko Việt Nam</t>
        </is>
      </c>
      <c r="E12691" t="inlineStr">
        <is>
          <t>Lương:12 Tr - 15 Tr VND</t>
        </is>
      </c>
      <c r="F12691" t="inlineStr">
        <is>
          <t>Hà Nội</t>
        </is>
      </c>
      <c r="G12691" t="inlineStr">
        <is>
          <t>10-04-2026</t>
        </is>
      </c>
      <c r="H12691" t="inlineStr">
        <is>
          <t>10/04/2026</t>
        </is>
      </c>
      <c r="I12691" t="inlineStr">
        <is>
          <t>17/03/2026</t>
        </is>
      </c>
      <c r="J12691" t="inlineStr">
        <is>
          <t>Bán hàng / Kinh doanh, Xuất nhập khẩu</t>
        </is>
      </c>
      <c r="K12691" t="inlineStr">
        <is>
          <t>Trên 1 Năm</t>
        </is>
      </c>
      <c r="L12691" s="8">
        <f>HYPERLINK("https://careerviet.vn/vi/tim-viec-lam/nhan-vien-xuat-nhap-khau.35C683E7.html","Xem chi tiết")</f>
        <v/>
      </c>
    </row>
    <row r="12692">
      <c r="B12692" s="9" t="n">
        <v>12690</v>
      </c>
      <c r="C12692" s="10" t="inlineStr">
        <is>
          <t>Chuyên Viên Kỹ Sư Kết Cấu</t>
        </is>
      </c>
      <c r="D12692" s="10" t="inlineStr">
        <is>
          <t>CÔNG TY CỔ PHẦN ĐẦU TƯ BẤT ĐỘNG SẢN TASECO</t>
        </is>
      </c>
      <c r="E12692" s="10" t="inlineStr">
        <is>
          <t>Lương:Cạnh tranh</t>
        </is>
      </c>
      <c r="F12692" s="10" t="inlineStr">
        <is>
          <t>Hà Nội</t>
        </is>
      </c>
      <c r="G12692" s="10" t="inlineStr">
        <is>
          <t>10-04-2026</t>
        </is>
      </c>
      <c r="H12692" s="10" t="inlineStr">
        <is>
          <t>10/04/2026</t>
        </is>
      </c>
      <c r="I12692" s="10" t="inlineStr">
        <is>
          <t>17/03/2026</t>
        </is>
      </c>
      <c r="J12692" s="10" t="inlineStr">
        <is>
          <t>Kiến trúc, Xây dựng, Mỹ thuật / Nghệ thuật / Thiết kế</t>
        </is>
      </c>
      <c r="K12692" s="10" t="inlineStr">
        <is>
          <t>Trên 2 Năm</t>
        </is>
      </c>
      <c r="L12692" s="11">
        <f>HYPERLINK("https://careerviet.vn/vi/tim-viec-lam/chuyen-vien-ky-su-ket-cau.35C683B2.html","Xem chi tiết")</f>
        <v/>
      </c>
      <c r="M12692" s="10" t="n"/>
    </row>
    <row r="12693">
      <c r="B12693" s="7" t="n">
        <v>12691</v>
      </c>
      <c r="C12693" t="inlineStr">
        <is>
          <t>Fashion Designer</t>
        </is>
      </c>
      <c r="D12693" t="inlineStr">
        <is>
          <t>Công Ty TNHH May Thêu Giày An Phước</t>
        </is>
      </c>
      <c r="E12693" t="inlineStr">
        <is>
          <t>Lương:Cạnh tranh</t>
        </is>
      </c>
      <c r="F12693" t="inlineStr">
        <is>
          <t>Hồ Chí Minh</t>
        </is>
      </c>
      <c r="G12693" t="inlineStr">
        <is>
          <t>10-04-2026</t>
        </is>
      </c>
      <c r="H12693" t="inlineStr">
        <is>
          <t>10/04/2026</t>
        </is>
      </c>
      <c r="I12693" t="inlineStr">
        <is>
          <t>17/03/2026</t>
        </is>
      </c>
      <c r="J12693" t="inlineStr">
        <is>
          <t>Mỹ thuật / Nghệ thuật / Thiết kế, Dệt may / Da giày / Thời trang</t>
        </is>
      </c>
      <c r="K12693" t="inlineStr">
        <is>
          <t>N/A</t>
        </is>
      </c>
      <c r="L12693" s="8">
        <f>HYPERLINK("https://careerviet.vn/vi/tim-viec-lam/fashion-designer.35C68429.html","Xem chi tiết")</f>
        <v/>
      </c>
    </row>
    <row r="12694">
      <c r="B12694" s="9" t="n">
        <v>12692</v>
      </c>
      <c r="C12694" s="10" t="inlineStr">
        <is>
          <t>Construction Supervisor (Interior)</t>
        </is>
      </c>
      <c r="D12694" s="10" t="inlineStr">
        <is>
          <t>Headhunter HRchannels Group</t>
        </is>
      </c>
      <c r="E12694" s="10" t="inlineStr">
        <is>
          <t>Lương:15 Tr - 22 Tr VND</t>
        </is>
      </c>
      <c r="F12694" s="10" t="inlineStr">
        <is>
          <t>Hồ Chí MinhBình DươngĐồng Nai</t>
        </is>
      </c>
      <c r="G12694" s="10" t="inlineStr">
        <is>
          <t>10-04-2026</t>
        </is>
      </c>
      <c r="H12694" s="10" t="inlineStr">
        <is>
          <t>10/04/2026</t>
        </is>
      </c>
      <c r="I12694" s="10" t="inlineStr">
        <is>
          <t>17/03/2026</t>
        </is>
      </c>
      <c r="J12694" s="10" t="inlineStr">
        <is>
          <t>Xây dựng, Nội ngoại thất</t>
        </is>
      </c>
      <c r="K12694" s="10" t="inlineStr">
        <is>
          <t>2 - 3 Năm</t>
        </is>
      </c>
      <c r="L12694" s="11">
        <f>HYPERLINK("https://careerviet.vn/vi/tim-viec-lam/construction-supervisor-interior.35C652DD.html","Xem chi tiết")</f>
        <v/>
      </c>
      <c r="M12694" s="10" t="n"/>
    </row>
    <row r="12695">
      <c r="B12695" s="7" t="n">
        <v>12693</v>
      </c>
      <c r="C12695" t="inlineStr">
        <is>
          <t>Chuyên Viên Kinh Tế Xây Dựng</t>
        </is>
      </c>
      <c r="D12695" t="inlineStr">
        <is>
          <t>CÔNG TY CỔ PHẦN ĐẦU TƯ BẤT ĐỘNG SẢN TASECO</t>
        </is>
      </c>
      <c r="E12695" t="inlineStr">
        <is>
          <t>Lương:Cạnh tranh</t>
        </is>
      </c>
      <c r="F12695" t="inlineStr">
        <is>
          <t>Hà Nội</t>
        </is>
      </c>
      <c r="G12695" t="inlineStr">
        <is>
          <t>10-04-2026</t>
        </is>
      </c>
      <c r="H12695" t="inlineStr">
        <is>
          <t>10/04/2026</t>
        </is>
      </c>
      <c r="I12695" t="inlineStr">
        <is>
          <t>17/03/2026</t>
        </is>
      </c>
      <c r="J12695" t="inlineStr">
        <is>
          <t>Kiến trúc, Xây dựng, Bất động sản</t>
        </is>
      </c>
      <c r="K12695" t="inlineStr">
        <is>
          <t>Trên 2 Năm</t>
        </is>
      </c>
      <c r="L12695" s="8">
        <f>HYPERLINK("https://careerviet.vn/vi/tim-viec-lam/chuyen-vien-kinh-te-xay-dung.35C683B7.html","Xem chi tiết")</f>
        <v/>
      </c>
    </row>
    <row r="12696">
      <c r="B12696" s="9" t="n">
        <v>12694</v>
      </c>
      <c r="C12696" s="10" t="inlineStr">
        <is>
          <t>Process Specialist</t>
        </is>
      </c>
      <c r="D12696" s="10" t="inlineStr">
        <is>
          <t>CÔNG TY TNHH DENEAST VIỆT NAM</t>
        </is>
      </c>
      <c r="E12696" s="10" t="inlineStr">
        <is>
          <t>Lương:Cạnh tranh</t>
        </is>
      </c>
      <c r="F12696" s="10" t="inlineStr">
        <is>
          <t>Bình Dương</t>
        </is>
      </c>
      <c r="G12696" s="10" t="inlineStr">
        <is>
          <t>10-04-2026</t>
        </is>
      </c>
      <c r="H12696" s="10" t="inlineStr">
        <is>
          <t>10/04/2026</t>
        </is>
      </c>
      <c r="I12696" s="10" t="inlineStr">
        <is>
          <t>17/03/2026</t>
        </is>
      </c>
      <c r="J12696" s="10" t="inlineStr">
        <is>
          <t>Thực phẩm &amp; Đồ uống, Hóa học, Công nghệ sinh học</t>
        </is>
      </c>
      <c r="K12696" s="10" t="inlineStr">
        <is>
          <t>Trên 2 Năm</t>
        </is>
      </c>
      <c r="L12696" s="11">
        <f>HYPERLINK("https://careerviet.vn/vi/tim-viec-lam/process-specialist.35C68330.html","Xem chi tiết")</f>
        <v/>
      </c>
      <c r="M12696" s="10" t="n"/>
    </row>
    <row r="12697">
      <c r="B12697" s="7" t="n">
        <v>12695</v>
      </c>
      <c r="C12697" t="inlineStr">
        <is>
          <t>Chuyên Viên Social Marketing</t>
        </is>
      </c>
      <c r="D12697" t="inlineStr">
        <is>
          <t>Công ty Cổ phần Xhome Cần Thơ</t>
        </is>
      </c>
      <c r="E12697" t="inlineStr">
        <is>
          <t>Lương:9 Tr - 14 Tr VND</t>
        </is>
      </c>
      <c r="F12697" t="inlineStr">
        <is>
          <t>Cần Thơ</t>
        </is>
      </c>
      <c r="G12697" t="inlineStr">
        <is>
          <t>10-04-2026</t>
        </is>
      </c>
      <c r="H12697" t="inlineStr">
        <is>
          <t>10/04/2026</t>
        </is>
      </c>
      <c r="I12697" t="inlineStr">
        <is>
          <t>17/03/2026</t>
        </is>
      </c>
      <c r="J12697" t="inlineStr">
        <is>
          <t>Tiếp thị / Marketing</t>
        </is>
      </c>
      <c r="K12697" t="inlineStr">
        <is>
          <t>1 - 3 Năm</t>
        </is>
      </c>
      <c r="L12697" s="8">
        <f>HYPERLINK("https://careerviet.vn/vi/tim-viec-lam/chuyen-vien-social-marketing.35C65272.html","Xem chi tiết")</f>
        <v/>
      </c>
    </row>
    <row r="12698">
      <c r="B12698" s="9" t="n">
        <v>12696</v>
      </c>
      <c r="C12698" s="10" t="inlineStr">
        <is>
          <t>Kế toán tổng hợp</t>
        </is>
      </c>
      <c r="D12698" s="10" t="inlineStr">
        <is>
          <t>Công Ty TNHH Tư Vấn Kỹ Thuật Và Tin Học Thương Mại Viet C.A.D</t>
        </is>
      </c>
      <c r="E12698" s="10" t="inlineStr">
        <is>
          <t>Lương:Cạnh tranh</t>
        </is>
      </c>
      <c r="F12698" s="10" t="inlineStr">
        <is>
          <t>Hồ Chí Minh</t>
        </is>
      </c>
      <c r="G12698" s="10" t="inlineStr">
        <is>
          <t>10-04-2026</t>
        </is>
      </c>
      <c r="H12698" s="10" t="inlineStr">
        <is>
          <t>10/04/2026</t>
        </is>
      </c>
      <c r="I12698" s="10" t="inlineStr">
        <is>
          <t>17/03/2026</t>
        </is>
      </c>
      <c r="J12698" s="10" t="inlineStr">
        <is>
          <t>Kế toán / Kiểm toán</t>
        </is>
      </c>
      <c r="K12698" s="10" t="inlineStr">
        <is>
          <t>1 - 3 Năm</t>
        </is>
      </c>
      <c r="L12698" s="11">
        <f>HYPERLINK("https://careerviet.vn/vi/tim-viec-lam/ke-toan-tong-hop.35C59CF4.html","Xem chi tiết")</f>
        <v/>
      </c>
      <c r="M12698" s="10" t="n"/>
    </row>
    <row r="12699">
      <c r="B12699" s="7" t="n">
        <v>12697</v>
      </c>
      <c r="C12699" t="inlineStr">
        <is>
          <t>Trưởng Bộ Phận Truyền Thông Nội Bộ</t>
        </is>
      </c>
      <c r="D12699" t="inlineStr">
        <is>
          <t>Công ty TNHH MTV Sen Vàng Việt Nam</t>
        </is>
      </c>
      <c r="E12699" t="inlineStr">
        <is>
          <t>Lương:18 Tr - 25 Tr VND</t>
        </is>
      </c>
      <c r="F12699" t="inlineStr">
        <is>
          <t>Hồ Chí Minh</t>
        </is>
      </c>
      <c r="G12699" t="inlineStr">
        <is>
          <t>10-04-2026</t>
        </is>
      </c>
      <c r="H12699" t="inlineStr">
        <is>
          <t>10/04/2026</t>
        </is>
      </c>
      <c r="I12699" t="inlineStr">
        <is>
          <t>17/03/2026</t>
        </is>
      </c>
      <c r="J12699" t="inlineStr">
        <is>
          <t>Tiếp thị / Marketing, Nhân sự</t>
        </is>
      </c>
      <c r="K12699" t="inlineStr">
        <is>
          <t>3 - 5 Năm</t>
        </is>
      </c>
      <c r="L12699" s="8">
        <f>HYPERLINK("https://careerviet.vn/vi/tim-viec-lam/truong-bo-phan-truyen-thong-noi-bo.35C652A4.html","Xem chi tiết")</f>
        <v/>
      </c>
    </row>
    <row r="12700">
      <c r="B12700" s="9" t="n">
        <v>12698</v>
      </c>
      <c r="C12700" s="10" t="inlineStr">
        <is>
          <t>Nhân Viên Thiết Kế</t>
        </is>
      </c>
      <c r="D12700" s="10" t="inlineStr">
        <is>
          <t>CÔNG TY TNHH ĐẦU TƯ ITS</t>
        </is>
      </c>
      <c r="E12700" s="10" t="inlineStr">
        <is>
          <t>Lương:11 Tr - 15 Tr VND</t>
        </is>
      </c>
      <c r="F12700" s="10" t="inlineStr">
        <is>
          <t>Hồ Chí Minh</t>
        </is>
      </c>
      <c r="G12700" s="10" t="inlineStr">
        <is>
          <t>10-04-2026</t>
        </is>
      </c>
      <c r="H12700" s="10" t="inlineStr">
        <is>
          <t>10/04/2026</t>
        </is>
      </c>
      <c r="I12700" s="10" t="inlineStr">
        <is>
          <t>17/03/2026</t>
        </is>
      </c>
      <c r="J12700" s="10" t="inlineStr">
        <is>
          <t>Tiếp thị / Marketing, Mỹ thuật / Nghệ thuật / Thiết kế</t>
        </is>
      </c>
      <c r="K12700" s="10" t="inlineStr">
        <is>
          <t>2 - 4 Năm</t>
        </is>
      </c>
      <c r="L12700" s="11">
        <f>HYPERLINK("https://careerviet.vn/vi/tim-viec-lam/nhan-vien-thiet-ke.35C652CB.html","Xem chi tiết")</f>
        <v/>
      </c>
      <c r="M12700" s="10" t="n"/>
    </row>
    <row r="12701">
      <c r="B12701" s="7" t="n">
        <v>12699</v>
      </c>
      <c r="C12701" t="inlineStr">
        <is>
          <t>Senior IT Security Officer (mảng Architecture)</t>
        </is>
      </c>
      <c r="D12701" t="inlineStr">
        <is>
          <t>LOTTE FINANCE VIETNAM</t>
        </is>
      </c>
      <c r="E12701" t="inlineStr">
        <is>
          <t>Lương:Cạnh tranh</t>
        </is>
      </c>
      <c r="F12701" t="inlineStr">
        <is>
          <t>Hà Nội</t>
        </is>
      </c>
      <c r="G12701" t="inlineStr">
        <is>
          <t>10-04-2026</t>
        </is>
      </c>
      <c r="H12701" t="inlineStr">
        <is>
          <t>10/04/2026</t>
        </is>
      </c>
      <c r="I12701" t="inlineStr">
        <is>
          <t>17/03/2026</t>
        </is>
      </c>
      <c r="J12701" t="inlineStr">
        <is>
          <t>CNTT - Phần mềm</t>
        </is>
      </c>
      <c r="K12701" t="inlineStr">
        <is>
          <t>3 - 5 Năm</t>
        </is>
      </c>
      <c r="L12701" s="8">
        <f>HYPERLINK("https://careerviet.vn/vi/tim-viec-lam/senior-it-security-officer-mang-architecture.35C652E0.html","Xem chi tiết")</f>
        <v/>
      </c>
    </row>
    <row r="12702">
      <c r="B12702" s="9" t="n">
        <v>12700</v>
      </c>
      <c r="C12702" s="10" t="inlineStr">
        <is>
          <t>Nhân viên IT</t>
        </is>
      </c>
      <c r="D12702" s="10" t="inlineStr">
        <is>
          <t>Công ty TNHH Logistics Sinovitrans</t>
        </is>
      </c>
      <c r="E12702" s="10" t="inlineStr">
        <is>
          <t>Lương:Cạnh tranh</t>
        </is>
      </c>
      <c r="F12702" s="10" t="inlineStr">
        <is>
          <t>Hải Phòng</t>
        </is>
      </c>
      <c r="G12702" s="10" t="inlineStr">
        <is>
          <t>10-04-2026</t>
        </is>
      </c>
      <c r="H12702" s="10" t="inlineStr">
        <is>
          <t>10/04/2026</t>
        </is>
      </c>
      <c r="I12702" s="10" t="inlineStr">
        <is>
          <t>17/03/2026</t>
        </is>
      </c>
      <c r="J12702" s="10" t="inlineStr">
        <is>
          <t>CNTT - Phần cứng / Mạng</t>
        </is>
      </c>
      <c r="K12702" s="10" t="inlineStr">
        <is>
          <t>1 - 3 Năm</t>
        </is>
      </c>
      <c r="L12702" s="11">
        <f>HYPERLINK("https://careerviet.vn/vi/tim-viec-lam/nhan-vien-it.35C683B0.html","Xem chi tiết")</f>
        <v/>
      </c>
      <c r="M12702" s="10" t="n"/>
    </row>
    <row r="12703">
      <c r="B12703" s="7" t="n">
        <v>12701</v>
      </c>
      <c r="C12703" t="inlineStr">
        <is>
          <t>Giáo Viên Mầm Non</t>
        </is>
      </c>
      <c r="D12703" t="inlineStr">
        <is>
          <t>Công Ty TNHH Kindy City</t>
        </is>
      </c>
      <c r="E12703" t="inlineStr">
        <is>
          <t>Lương:9 Tr - 11 Tr VND</t>
        </is>
      </c>
      <c r="F12703" t="inlineStr">
        <is>
          <t>Hồ Chí Minh</t>
        </is>
      </c>
      <c r="G12703" t="inlineStr">
        <is>
          <t>10-04-2026</t>
        </is>
      </c>
      <c r="H12703" t="inlineStr">
        <is>
          <t>10/04/2026</t>
        </is>
      </c>
      <c r="I12703" t="inlineStr">
        <is>
          <t>17/03/2026</t>
        </is>
      </c>
      <c r="J12703" t="inlineStr">
        <is>
          <t>Giáo dục / Đào tạo, Mới tốt nghiệp / Thực tập</t>
        </is>
      </c>
      <c r="K12703" t="inlineStr">
        <is>
          <t>1 - 4 Năm</t>
        </is>
      </c>
      <c r="L12703" s="8">
        <f>HYPERLINK("https://careerviet.vn/vi/tim-viec-lam/giao-vien-mam-non.35C68422.html","Xem chi tiết")</f>
        <v/>
      </c>
    </row>
    <row r="12704">
      <c r="B12704" s="9" t="n">
        <v>12702</v>
      </c>
      <c r="C12704" s="10" t="inlineStr">
        <is>
          <t>Nhân Viên Thiết Kế Marketing</t>
        </is>
      </c>
      <c r="D12704" s="10" t="inlineStr">
        <is>
          <t>CÔNG TY TNHH DU LỊCH VÀ THƯƠNG MẠI HOÀNG TRÀ</t>
        </is>
      </c>
      <c r="E12704" s="10" t="inlineStr">
        <is>
          <t>Lương:Cạnh tranh</t>
        </is>
      </c>
      <c r="F12704" s="10" t="inlineStr">
        <is>
          <t>Hồ Chí Minh</t>
        </is>
      </c>
      <c r="G12704" s="10" t="inlineStr">
        <is>
          <t>10-04-2026</t>
        </is>
      </c>
      <c r="H12704" s="10" t="inlineStr">
        <is>
          <t>10/04/2026</t>
        </is>
      </c>
      <c r="I12704" s="10" t="inlineStr">
        <is>
          <t>17/03/2026</t>
        </is>
      </c>
      <c r="J12704" s="10" t="inlineStr">
        <is>
          <t>Tiếp thị / Marketing, Mỹ thuật / Nghệ thuật / Thiết kế, Quảng cáo / Đối ngoại / Truyền Thông</t>
        </is>
      </c>
      <c r="K12704" s="10" t="inlineStr">
        <is>
          <t>N/A</t>
        </is>
      </c>
      <c r="L12704" s="11">
        <f>HYPERLINK("https://careerviet.vn/vi/tim-viec-lam/nhan-vien-thiet-ke-marketing.35C683B5.html","Xem chi tiết")</f>
        <v/>
      </c>
      <c r="M12704" s="10" t="n"/>
    </row>
    <row r="12705">
      <c r="B12705" s="7" t="n">
        <v>12703</v>
      </c>
      <c r="C12705" t="inlineStr">
        <is>
          <t>Nhân Viên Kinh Doanh Phát triển  Giao Hàng Tận Nhà - Đồng Nai</t>
        </is>
      </c>
      <c r="D12705" t="inlineStr">
        <is>
          <t>Cty TNHH Yakult Việt Nam</t>
        </is>
      </c>
      <c r="E12705" t="inlineStr">
        <is>
          <t>Lương:11 Tr - 15 Tr VND</t>
        </is>
      </c>
      <c r="F12705" t="inlineStr">
        <is>
          <t>Đồng Nai</t>
        </is>
      </c>
      <c r="G12705" t="inlineStr">
        <is>
          <t>10-04-2026</t>
        </is>
      </c>
      <c r="H12705" t="inlineStr">
        <is>
          <t>10/04/2026</t>
        </is>
      </c>
      <c r="I12705" t="inlineStr">
        <is>
          <t>17/03/2026</t>
        </is>
      </c>
      <c r="J12705" t="inlineStr">
        <is>
          <t>Tiếp thị / Marketing, Bán lẻ / Bán sỉ, Bán hàng / Kinh doanh</t>
        </is>
      </c>
      <c r="K12705" t="inlineStr">
        <is>
          <t>N/A</t>
        </is>
      </c>
      <c r="L12705" s="8">
        <f>HYPERLINK("https://careerviet.vn/vi/tim-viec-lam/nhan-vien-kinh-doanh-phat-trien-giao-hang-tan-nha-dong-nai.35C682F9.html","Xem chi tiết")</f>
        <v/>
      </c>
    </row>
    <row r="12706">
      <c r="B12706" s="9" t="n">
        <v>12704</v>
      </c>
      <c r="C12706" s="10" t="inlineStr">
        <is>
          <t>Nhân Viên Tư Vấn /Sales /Telesales/ Bán Hàng Qua Điện Thoại - Làm Tại Văn Phòng - Data Có Sẳn</t>
        </is>
      </c>
      <c r="D12706" s="10" t="inlineStr">
        <is>
          <t>CÔNG TY TNHH TƯ VẤN DỊCH VỤ MTC GROUP</t>
        </is>
      </c>
      <c r="E12706" s="10" t="inlineStr">
        <is>
          <t>Lương:6 Tr - 7,3 Tr VND</t>
        </is>
      </c>
      <c r="F12706" s="10" t="inlineStr">
        <is>
          <t>Hồ Chí Minh</t>
        </is>
      </c>
      <c r="G12706" s="10" t="inlineStr">
        <is>
          <t>10-04-2026</t>
        </is>
      </c>
      <c r="H12706" s="10" t="inlineStr">
        <is>
          <t>10/04/2026</t>
        </is>
      </c>
      <c r="I12706" s="10" t="inlineStr">
        <is>
          <t>17/03/2026</t>
        </is>
      </c>
      <c r="J12706" s="10" t="inlineStr">
        <is>
          <t>Bán hàng / Kinh doanh, Tư vấn, Tài chính / Đầu tư</t>
        </is>
      </c>
      <c r="K12706" s="10" t="inlineStr">
        <is>
          <t>N/A</t>
        </is>
      </c>
      <c r="L12706" s="11">
        <f>HYPERLINK("https://careerviet.vn/vi/tim-viec-lam/nhan-vien-tu-van-sales-telesales-ban-hang-qua-dien-thoai-lam-tai-van-phong-data-co-san.35C65090.html","Xem chi tiết")</f>
        <v/>
      </c>
      <c r="M12706" s="10" t="n"/>
    </row>
    <row r="12707">
      <c r="B12707" s="7" t="n">
        <v>12705</v>
      </c>
      <c r="C12707" t="inlineStr">
        <is>
          <t>Nhân viên sản xuất CNC</t>
        </is>
      </c>
      <c r="D12707" t="inlineStr">
        <is>
          <t>CÔNG TY TNHH KAMET VIETNAM</t>
        </is>
      </c>
      <c r="E12707" t="inlineStr">
        <is>
          <t>Lương:Cạnh tranh</t>
        </is>
      </c>
      <c r="F12707" t="inlineStr">
        <is>
          <t>Hồ Chí Minh</t>
        </is>
      </c>
      <c r="G12707" t="inlineStr">
        <is>
          <t>10-04-2026</t>
        </is>
      </c>
      <c r="H12707" t="inlineStr">
        <is>
          <t>10/04/2026</t>
        </is>
      </c>
      <c r="I12707" t="inlineStr">
        <is>
          <t>17/03/2026</t>
        </is>
      </c>
      <c r="J12707" t="inlineStr">
        <is>
          <t>Cơ khí / Ô tô / Tự động hóa, Sản xuất / Vận hành sản xuất</t>
        </is>
      </c>
      <c r="K12707" t="inlineStr">
        <is>
          <t>N/A</t>
        </is>
      </c>
      <c r="L12707" s="8">
        <f>HYPERLINK("https://careerviet.vn/vi/tim-viec-lam/nhan-vien-san-xuat-cnc.35C5D9A1.html","Xem chi tiết")</f>
        <v/>
      </c>
    </row>
    <row r="12708">
      <c r="B12708" s="9" t="n">
        <v>12706</v>
      </c>
      <c r="C12708" s="10" t="inlineStr">
        <is>
          <t>Giám Sát Thi Công Nội Thất</t>
        </is>
      </c>
      <c r="D12708" s="10" t="inlineStr">
        <is>
          <t>Công ty TNHH Nesta</t>
        </is>
      </c>
      <c r="E12708" s="10" t="inlineStr">
        <is>
          <t>Lương:15 Tr - 18 Tr VND</t>
        </is>
      </c>
      <c r="F12708" s="10" t="inlineStr">
        <is>
          <t>Hà NộiĐà NẵngLào Cai</t>
        </is>
      </c>
      <c r="G12708" s="10" t="inlineStr">
        <is>
          <t>10-04-2026</t>
        </is>
      </c>
      <c r="H12708" s="10" t="inlineStr">
        <is>
          <t>10/04/2026</t>
        </is>
      </c>
      <c r="I12708" s="10" t="inlineStr">
        <is>
          <t>17/03/2026</t>
        </is>
      </c>
      <c r="J12708" s="10" t="inlineStr">
        <is>
          <t>Kiến trúc, Xây dựng, Nội ngoại thất</t>
        </is>
      </c>
      <c r="K12708" s="10" t="inlineStr">
        <is>
          <t>2 - 3 Năm</t>
        </is>
      </c>
      <c r="L12708" s="11">
        <f>HYPERLINK("https://careerviet.vn/vi/tim-viec-lam/giam-sat-thi-cong-noi-that.35C68446.html","Xem chi tiết")</f>
        <v/>
      </c>
      <c r="M12708" s="10" t="n"/>
    </row>
    <row r="12709">
      <c r="B12709" s="7" t="n">
        <v>12707</v>
      </c>
      <c r="C12709" t="inlineStr">
        <is>
          <t>Customer Services</t>
        </is>
      </c>
      <c r="D12709" t="inlineStr">
        <is>
          <t>Mars Group</t>
        </is>
      </c>
      <c r="E12709" t="inlineStr">
        <is>
          <t>Lương:Cạnh tranh</t>
        </is>
      </c>
      <c r="F12709" t="inlineStr">
        <is>
          <t>Hồ Chí Minh</t>
        </is>
      </c>
      <c r="G12709" t="inlineStr">
        <is>
          <t>10-04-2026</t>
        </is>
      </c>
      <c r="H12709" t="inlineStr">
        <is>
          <t>10/04/2026</t>
        </is>
      </c>
      <c r="I12709" t="inlineStr">
        <is>
          <t>17/03/2026</t>
        </is>
      </c>
      <c r="J12709" t="inlineStr">
        <is>
          <t>Bán hàng / Kinh doanh, Dịch vụ khách hàng, Tư vấn</t>
        </is>
      </c>
      <c r="K12709" t="inlineStr">
        <is>
          <t>N/A</t>
        </is>
      </c>
      <c r="L12709" s="8">
        <f>HYPERLINK("https://careerviet.vn/vi/tim-viec-lam/customer-services.35C683A1.html","Xem chi tiết")</f>
        <v/>
      </c>
    </row>
    <row r="12710">
      <c r="B12710" s="9" t="n">
        <v>12708</v>
      </c>
      <c r="C12710" s="10" t="inlineStr">
        <is>
          <t>Costing &amp; Inventory Senior Specialist</t>
        </is>
      </c>
      <c r="D12710" s="10" t="inlineStr">
        <is>
          <t>Công Ty Hoàng An Nhiên</t>
        </is>
      </c>
      <c r="E12710" s="10" t="inlineStr">
        <is>
          <t>Lương:Cạnh tranh</t>
        </is>
      </c>
      <c r="F12710" s="10" t="inlineStr">
        <is>
          <t>Hồ Chí Minh</t>
        </is>
      </c>
      <c r="G12710" s="10" t="inlineStr">
        <is>
          <t>10-04-2026</t>
        </is>
      </c>
      <c r="H12710" s="10" t="inlineStr">
        <is>
          <t>10/04/2026</t>
        </is>
      </c>
      <c r="I12710" s="10" t="inlineStr">
        <is>
          <t>17/03/2026</t>
        </is>
      </c>
      <c r="J12710" s="10" t="inlineStr">
        <is>
          <t>Dịch vụ khách hàng, Thực phẩm &amp; Đồ uống</t>
        </is>
      </c>
      <c r="K12710" s="10" t="inlineStr">
        <is>
          <t>2 - 3 Năm</t>
        </is>
      </c>
      <c r="L12710" s="11">
        <f>HYPERLINK("https://careerviet.vn/vi/tim-viec-lam/costing-inventory-senior-specialist.35C6844A.html","Xem chi tiết")</f>
        <v/>
      </c>
      <c r="M12710" s="10" t="n"/>
    </row>
    <row r="12711">
      <c r="B12711" s="7" t="n">
        <v>12709</v>
      </c>
      <c r="C12711" t="inlineStr">
        <is>
          <t>Nhân viên ISO - Thuận An</t>
        </is>
      </c>
      <c r="D12711" t="inlineStr">
        <is>
          <t>CÔNG TY TNHH TM DV XỬ LÝ MÔI TRƯỜNG VIỆT KHẢI</t>
        </is>
      </c>
      <c r="E12711" t="inlineStr">
        <is>
          <t>Lương:10 Tr - 12 Tr VND</t>
        </is>
      </c>
      <c r="F12711" t="inlineStr">
        <is>
          <t>Bình Dương</t>
        </is>
      </c>
      <c r="G12711" t="inlineStr">
        <is>
          <t>10-04-2026</t>
        </is>
      </c>
      <c r="H12711" t="inlineStr">
        <is>
          <t>10/04/2026</t>
        </is>
      </c>
      <c r="I12711" t="inlineStr">
        <is>
          <t>17/03/2026</t>
        </is>
      </c>
      <c r="J12711" t="inlineStr">
        <is>
          <t>Tư vấn, Môi trường, Quản lý chất lượng (QA/QC)</t>
        </is>
      </c>
      <c r="K12711" t="inlineStr">
        <is>
          <t>1 - 2 Năm</t>
        </is>
      </c>
      <c r="L12711" s="8">
        <f>HYPERLINK("https://careerviet.vn/vi/tim-viec-lam/nhan-vien-iso-thuan-an.35C682D6.html","Xem chi tiết")</f>
        <v/>
      </c>
    </row>
    <row r="12712">
      <c r="B12712" s="9" t="n">
        <v>12710</v>
      </c>
      <c r="C12712" s="10" t="inlineStr">
        <is>
          <t>Project Sales (Building Material)</t>
        </is>
      </c>
      <c r="D12712" s="10" t="inlineStr">
        <is>
          <t>CÔNG TY TNHH AMERICA INDOCHINA MANAGEMENT VIETNAM</t>
        </is>
      </c>
      <c r="E12712" s="10" t="inlineStr">
        <is>
          <t>Lương:Cạnh tranh</t>
        </is>
      </c>
      <c r="F12712" s="10" t="inlineStr">
        <is>
          <t>Hà NộiHồ Chí Minh</t>
        </is>
      </c>
      <c r="G12712" s="10" t="inlineStr">
        <is>
          <t>10-04-2026</t>
        </is>
      </c>
      <c r="H12712" s="10" t="inlineStr">
        <is>
          <t>10/04/2026</t>
        </is>
      </c>
      <c r="I12712" s="10" t="inlineStr">
        <is>
          <t>17/03/2026</t>
        </is>
      </c>
      <c r="J12712" s="10" t="inlineStr">
        <is>
          <t>Bán hàng / Kinh doanh, Xây dựng, Nội ngoại thất</t>
        </is>
      </c>
      <c r="K12712" s="10" t="inlineStr">
        <is>
          <t>1 - 3 Năm</t>
        </is>
      </c>
      <c r="L12712" s="11">
        <f>HYPERLINK("https://careerviet.vn/vi/tim-viec-lam/project-sales-building-material.35C652BF.html","Xem chi tiết")</f>
        <v/>
      </c>
      <c r="M12712" s="10" t="n"/>
    </row>
    <row r="12713">
      <c r="B12713" s="7" t="n">
        <v>12711</v>
      </c>
      <c r="C12713" t="inlineStr">
        <is>
          <t>Giám đốc Ban Quản trị rủi ro &amp; Kiểm soát tuân thủ</t>
        </is>
      </c>
      <c r="D12713" t="inlineStr">
        <is>
          <t>TỔNG CÔNG TY CỔ PHẦN BẢO HIỂM HÙNG VƯƠNG</t>
        </is>
      </c>
      <c r="E12713" t="inlineStr">
        <is>
          <t>Lương:Cạnh tranh</t>
        </is>
      </c>
      <c r="F12713" t="inlineStr">
        <is>
          <t>Hà Nội</t>
        </is>
      </c>
      <c r="G12713" t="inlineStr">
        <is>
          <t>10-04-2026</t>
        </is>
      </c>
      <c r="H12713" t="inlineStr">
        <is>
          <t>10/04/2026</t>
        </is>
      </c>
      <c r="I12713" t="inlineStr">
        <is>
          <t>17/03/2026</t>
        </is>
      </c>
      <c r="J12713" t="inlineStr">
        <is>
          <t>Luật / Pháp lý, Bảo hiểm, Quản lý chất lượng (QA/QC)</t>
        </is>
      </c>
      <c r="K12713" t="inlineStr">
        <is>
          <t>Trên 8 Năm</t>
        </is>
      </c>
      <c r="L12713" s="8">
        <f>HYPERLINK("https://careerviet.vn/vi/tim-viec-lam/giam-doc-ban-quan-tri-rui-ro-kiem-soat-tuan-thu.35C6525C.html","Xem chi tiết")</f>
        <v/>
      </c>
    </row>
    <row r="12714">
      <c r="B12714" s="9" t="n">
        <v>12712</v>
      </c>
      <c r="C12714" s="10" t="inlineStr">
        <is>
          <t>Nhân Viên Điều Phối Xe Đưa Đón (GA)</t>
        </is>
      </c>
      <c r="D12714" s="10" t="inlineStr">
        <is>
          <t>CÔNG TY TNHH HWASEUNG VINA</t>
        </is>
      </c>
      <c r="E12714" s="10" t="inlineStr">
        <is>
          <t>Lương:Cạnh tranh</t>
        </is>
      </c>
      <c r="F12714" s="10" t="inlineStr">
        <is>
          <t>Đồng NaiHồ Chí Minh</t>
        </is>
      </c>
      <c r="G12714" s="10" t="inlineStr">
        <is>
          <t>10-04-2026</t>
        </is>
      </c>
      <c r="H12714" s="10" t="inlineStr">
        <is>
          <t>10/04/2026</t>
        </is>
      </c>
      <c r="I12714" s="10" t="inlineStr">
        <is>
          <t>17/03/2026</t>
        </is>
      </c>
      <c r="J12714" s="10" t="inlineStr">
        <is>
          <t>Vận chuyển / Giao nhận / Kho vận, Hành chính / Thư ký, Biên phiên dịch</t>
        </is>
      </c>
      <c r="K12714" s="10" t="inlineStr">
        <is>
          <t>1 - 5 Năm</t>
        </is>
      </c>
      <c r="L12714" s="11">
        <f>HYPERLINK("https://careerviet.vn/vi/tim-viec-lam/nhan-vien-dieu-phoi-xe-dua-don-ga.35C6838C.html","Xem chi tiết")</f>
        <v/>
      </c>
      <c r="M12714" s="10" t="n"/>
    </row>
    <row r="12715">
      <c r="B12715" s="7" t="n">
        <v>12713</v>
      </c>
      <c r="C12715" t="inlineStr">
        <is>
          <t>Thư ký Công trường (Làm việc tại Phan Thiết)</t>
        </is>
      </c>
      <c r="D12715" t="inlineStr">
        <is>
          <t>Công Ty Cổ Phần Tập Đoàn Đầu Tư Địa Ốc No Va</t>
        </is>
      </c>
      <c r="E12715" t="inlineStr">
        <is>
          <t>Lương:Cạnh tranh</t>
        </is>
      </c>
      <c r="F12715" t="inlineStr">
        <is>
          <t>Bình Thuận</t>
        </is>
      </c>
      <c r="G12715" t="inlineStr">
        <is>
          <t>10-04-2026</t>
        </is>
      </c>
      <c r="H12715" t="inlineStr">
        <is>
          <t>10/04/2026</t>
        </is>
      </c>
      <c r="I12715" t="inlineStr">
        <is>
          <t>17/03/2026</t>
        </is>
      </c>
      <c r="J12715" t="inlineStr">
        <is>
          <t>Hành chính / Thư ký, Xây dựng, Bất động sản</t>
        </is>
      </c>
      <c r="K12715" t="inlineStr">
        <is>
          <t>3 - 8 Năm</t>
        </is>
      </c>
      <c r="L12715" s="8">
        <f>HYPERLINK("https://careerviet.vn/vi/tim-viec-lam/thu-ky-cong-truong-lam-viec-tai-phan-thiet.35C652B1.html","Xem chi tiết")</f>
        <v/>
      </c>
    </row>
    <row r="12716">
      <c r="B12716" s="9" t="n">
        <v>12714</v>
      </c>
      <c r="C12716" s="10" t="inlineStr">
        <is>
          <t>Nhân viên kế toán</t>
        </is>
      </c>
      <c r="D12716" s="10" t="inlineStr">
        <is>
          <t>CÔNG TY CỔ PHẦN TCELL</t>
        </is>
      </c>
      <c r="E12716" s="10" t="inlineStr">
        <is>
          <t>Lương:Cạnh tranh</t>
        </is>
      </c>
      <c r="F12716" s="10" t="inlineStr">
        <is>
          <t>Hồ Chí Minh</t>
        </is>
      </c>
      <c r="G12716" s="10" t="inlineStr">
        <is>
          <t>10-04-2026</t>
        </is>
      </c>
      <c r="H12716" s="10" t="inlineStr">
        <is>
          <t>10/04/2026</t>
        </is>
      </c>
      <c r="I12716" s="10" t="inlineStr">
        <is>
          <t>17/03/2026</t>
        </is>
      </c>
      <c r="J12716" s="10" t="inlineStr">
        <is>
          <t>Kế toán / Kiểm toán, Bán lẻ / Bán sỉ</t>
        </is>
      </c>
      <c r="K12716" s="10" t="inlineStr">
        <is>
          <t>5 - 20 Năm</t>
        </is>
      </c>
      <c r="L12716" s="11">
        <f>HYPERLINK("https://careerviet.vn/vi/tim-viec-lam/nhan-vien-ke-toan.35C68474.html","Xem chi tiết")</f>
        <v/>
      </c>
      <c r="M12716" s="10" t="n"/>
    </row>
    <row r="12717">
      <c r="B12717" s="7" t="n">
        <v>12715</v>
      </c>
      <c r="C12717" t="inlineStr">
        <is>
          <t>TRỢ LÝ GIÁM ĐỐC TIẾNG HÀN</t>
        </is>
      </c>
      <c r="D12717" t="inlineStr">
        <is>
          <t>Công ty TNHH Sản xuất Thương mại &amp; Dịch vụ Hoa Xinh</t>
        </is>
      </c>
      <c r="E12717" t="inlineStr">
        <is>
          <t>Lương:20 Tr - 30 Tr VND</t>
        </is>
      </c>
      <c r="F12717" t="inlineStr">
        <is>
          <t>Hồ Chí Minh</t>
        </is>
      </c>
      <c r="G12717" t="inlineStr">
        <is>
          <t>10-04-2026</t>
        </is>
      </c>
      <c r="H12717" t="inlineStr">
        <is>
          <t>10/04/2026</t>
        </is>
      </c>
      <c r="I12717" t="inlineStr">
        <is>
          <t>17/03/2026</t>
        </is>
      </c>
      <c r="J12717" t="inlineStr">
        <is>
          <t>Dịch vụ khách hàng, Hành chính / Thư ký, Biên phiên dịch</t>
        </is>
      </c>
      <c r="K12717" t="inlineStr">
        <is>
          <t>2 - 5 Năm</t>
        </is>
      </c>
      <c r="L12717" s="8">
        <f>HYPERLINK("https://careerviet.vn/vi/tim-viec-lam/tro-ly-giam-doc-tieng-han.35C683F8.html","Xem chi tiết")</f>
        <v/>
      </c>
    </row>
    <row r="12718">
      <c r="B12718" s="9" t="n">
        <v>12716</v>
      </c>
      <c r="C12718" s="10" t="inlineStr">
        <is>
          <t>Chuyên Viên Phát Triển Dự Án</t>
        </is>
      </c>
      <c r="D12718" s="10" t="inlineStr">
        <is>
          <t>CÔNG TY CỔ PHẦN ĐẦU TƯ BẤT ĐỘNG SẢN TASECO</t>
        </is>
      </c>
      <c r="E12718" s="10" t="inlineStr">
        <is>
          <t>Lương:Cạnh tranh</t>
        </is>
      </c>
      <c r="F12718" s="10" t="inlineStr">
        <is>
          <t>Hà Nội</t>
        </is>
      </c>
      <c r="G12718" s="10" t="inlineStr">
        <is>
          <t>10-04-2026</t>
        </is>
      </c>
      <c r="H12718" s="10" t="inlineStr">
        <is>
          <t>10/04/2026</t>
        </is>
      </c>
      <c r="I12718" s="10" t="inlineStr">
        <is>
          <t>17/03/2026</t>
        </is>
      </c>
      <c r="J12718" s="10" t="inlineStr">
        <is>
          <t>Bất động sản, Tiếp thị / Marketing, Tài chính / Đầu tư</t>
        </is>
      </c>
      <c r="K12718" s="10" t="inlineStr">
        <is>
          <t>1 - 2 Năm</t>
        </is>
      </c>
      <c r="L12718" s="11">
        <f>HYPERLINK("https://careerviet.vn/vi/tim-viec-lam/chuyen-vien-phat-trien-du-an.35C683BF.html","Xem chi tiết")</f>
        <v/>
      </c>
      <c r="M12718" s="10" t="n"/>
    </row>
    <row r="12719">
      <c r="B12719" s="7" t="n">
        <v>12717</v>
      </c>
      <c r="C12719" t="inlineStr">
        <is>
          <t>Kỹ Sư Cơ (Nhà Xưởng)</t>
        </is>
      </c>
      <c r="D12719" t="inlineStr">
        <is>
          <t>Headhunter HRchannels Group</t>
        </is>
      </c>
      <c r="E12719" t="inlineStr">
        <is>
          <t>Lương:17 Tr - 18 Tr VND</t>
        </is>
      </c>
      <c r="F12719" t="inlineStr">
        <is>
          <t>Bình DươngLong AnĐồng Nai</t>
        </is>
      </c>
      <c r="G12719" t="inlineStr">
        <is>
          <t>10-04-2026</t>
        </is>
      </c>
      <c r="H12719" t="inlineStr">
        <is>
          <t>10/04/2026</t>
        </is>
      </c>
      <c r="I12719" t="inlineStr">
        <is>
          <t>17/03/2026</t>
        </is>
      </c>
      <c r="J12719" t="inlineStr">
        <is>
          <t>Kiến trúc, Xây dựng, Nội ngoại thất</t>
        </is>
      </c>
      <c r="K12719" t="inlineStr">
        <is>
          <t>3 - 4 Năm</t>
        </is>
      </c>
      <c r="L12719" s="8">
        <f>HYPERLINK("https://careerviet.vn/vi/tim-viec-lam/ky-su-co-nha-xuong.35C652D4.html","Xem chi tiết")</f>
        <v/>
      </c>
    </row>
    <row r="12720">
      <c r="B12720" s="9" t="n">
        <v>12718</v>
      </c>
      <c r="C12720" s="10" t="inlineStr">
        <is>
          <t>Program Manager</t>
        </is>
      </c>
      <c r="D12720" s="10" t="inlineStr">
        <is>
          <t>Công ty TNHH Spartronics Việt Nam</t>
        </is>
      </c>
      <c r="E12720" s="10" t="inlineStr">
        <is>
          <t>Lương:Cạnh tranh</t>
        </is>
      </c>
      <c r="F12720" s="10" t="inlineStr">
        <is>
          <t>Bình Dương</t>
        </is>
      </c>
      <c r="G12720" s="10" t="inlineStr">
        <is>
          <t>10-04-2026</t>
        </is>
      </c>
      <c r="H12720" s="10" t="inlineStr">
        <is>
          <t>10/04/2026</t>
        </is>
      </c>
      <c r="I12720" s="10" t="inlineStr">
        <is>
          <t>17/03/2026</t>
        </is>
      </c>
      <c r="J12720" s="10" t="inlineStr">
        <is>
          <t>Bán hàng / Kinh doanh, Điện / Điện tử / Điện lạnh / Điện công nghiệp</t>
        </is>
      </c>
      <c r="K12720" s="10" t="inlineStr">
        <is>
          <t>5 - 10 Năm</t>
        </is>
      </c>
      <c r="L12720" s="11">
        <f>HYPERLINK("https://careerviet.vn/vi/tim-viec-lam/program-manager.35C68352.html","Xem chi tiết")</f>
        <v/>
      </c>
      <c r="M12720" s="10" t="n"/>
    </row>
    <row r="12721">
      <c r="B12721" s="7" t="n">
        <v>12719</v>
      </c>
      <c r="C12721" t="inlineStr">
        <is>
          <t>KẾ TOÁN TRƯỞNG</t>
        </is>
      </c>
      <c r="D12721" t="inlineStr">
        <is>
          <t>Công ty Thanh Yến Giáo Dục</t>
        </is>
      </c>
      <c r="E12721" t="inlineStr">
        <is>
          <t>Lương:23 Tr - 25 Tr VND</t>
        </is>
      </c>
      <c r="F12721" t="inlineStr">
        <is>
          <t>Hồ Chí Minh</t>
        </is>
      </c>
      <c r="G12721" t="inlineStr">
        <is>
          <t>10-04-2026</t>
        </is>
      </c>
      <c r="H12721" t="inlineStr">
        <is>
          <t>10/04/2026</t>
        </is>
      </c>
      <c r="I12721" t="inlineStr">
        <is>
          <t>17/03/2026</t>
        </is>
      </c>
      <c r="J12721" t="inlineStr">
        <is>
          <t>Giáo dục / Đào tạo, Kế toán / Kiểm toán</t>
        </is>
      </c>
      <c r="K12721" t="inlineStr">
        <is>
          <t>3 - 5 Năm</t>
        </is>
      </c>
      <c r="L12721" s="8">
        <f>HYPERLINK("https://careerviet.vn/vi/tim-viec-lam/ke-toan-truong.35C67B58.html","Xem chi tiết")</f>
        <v/>
      </c>
    </row>
    <row r="12722">
      <c r="B12722" s="9" t="n">
        <v>12720</v>
      </c>
      <c r="C12722" s="10" t="inlineStr">
        <is>
          <t>Kế toán kho</t>
        </is>
      </c>
      <c r="D12722" s="10" t="inlineStr">
        <is>
          <t>Công Ty TNHH Sản Xuất Keo Dán Thuận Nguyên</t>
        </is>
      </c>
      <c r="E12722" s="10" t="inlineStr">
        <is>
          <t>Lương:Cạnh tranh</t>
        </is>
      </c>
      <c r="F12722" s="10" t="inlineStr">
        <is>
          <t>Hồ Chí Minh</t>
        </is>
      </c>
      <c r="G12722" s="10" t="inlineStr">
        <is>
          <t>10-04-2026</t>
        </is>
      </c>
      <c r="H12722" s="10" t="inlineStr">
        <is>
          <t>10/04/2026</t>
        </is>
      </c>
      <c r="I12722" s="10" t="inlineStr">
        <is>
          <t>17/03/2026</t>
        </is>
      </c>
      <c r="J12722" s="10" t="inlineStr">
        <is>
          <t>Kế toán / Kiểm toán, Ngân hàng</t>
        </is>
      </c>
      <c r="K12722" s="10" t="inlineStr">
        <is>
          <t>Trên 1 Năm</t>
        </is>
      </c>
      <c r="L12722" s="11">
        <f>HYPERLINK("https://careerviet.vn/vi/tim-viec-lam/ke-toan-kho.35C6839F.html","Xem chi tiết")</f>
        <v/>
      </c>
      <c r="M12722" s="10" t="n"/>
    </row>
    <row r="12723">
      <c r="B12723" s="7" t="n">
        <v>12721</v>
      </c>
      <c r="C12723" t="inlineStr">
        <is>
          <t>Giám Sát Sản Xuất tại Nhà máy Long An (Kết Cấu Thép)</t>
        </is>
      </c>
      <c r="D12723" t="inlineStr">
        <is>
          <t>CÔNG TY CỔ PHẦN XÂY DỰNG WORLD STEEL</t>
        </is>
      </c>
      <c r="E12723" t="inlineStr">
        <is>
          <t>Lương:Cạnh tranh</t>
        </is>
      </c>
      <c r="F12723" t="inlineStr">
        <is>
          <t>Long An</t>
        </is>
      </c>
      <c r="G12723" t="inlineStr">
        <is>
          <t>10-04-2026</t>
        </is>
      </c>
      <c r="H12723" t="inlineStr">
        <is>
          <t>10/04/2026</t>
        </is>
      </c>
      <c r="I12723" t="inlineStr">
        <is>
          <t>17/03/2026</t>
        </is>
      </c>
      <c r="J12723" t="inlineStr">
        <is>
          <t>Kiến trúc, Xây dựng, Cơ khí / Ô tô / Tự động hóa</t>
        </is>
      </c>
      <c r="K12723" t="inlineStr">
        <is>
          <t>1 - 10 Năm</t>
        </is>
      </c>
      <c r="L12723" s="8">
        <f>HYPERLINK("https://careerviet.vn/vi/tim-viec-lam/giam-sat-san-xuat-tai-nha-may-long-an-ket-cau-thep.35C683E1.html","Xem chi tiết")</f>
        <v/>
      </c>
    </row>
    <row r="12724">
      <c r="B12724" s="9" t="n">
        <v>12722</v>
      </c>
      <c r="C12724" s="10" t="inlineStr">
        <is>
          <t>Chuyên viên Dự toán</t>
        </is>
      </c>
      <c r="D12724" s="10" t="inlineStr">
        <is>
          <t>CÔNG TY CỔ PHẦN ĐẦU TƯ XÂY DỰNG ENTIZ</t>
        </is>
      </c>
      <c r="E12724" s="10" t="inlineStr">
        <is>
          <t>Lương:20 Tr - 28 Tr VND</t>
        </is>
      </c>
      <c r="F12724" s="10" t="inlineStr">
        <is>
          <t>Nghệ An</t>
        </is>
      </c>
      <c r="G12724" s="10" t="inlineStr">
        <is>
          <t>10-04-2026</t>
        </is>
      </c>
      <c r="H12724" s="10" t="inlineStr">
        <is>
          <t>10/04/2026</t>
        </is>
      </c>
      <c r="I12724" s="10" t="inlineStr">
        <is>
          <t>17/03/2026</t>
        </is>
      </c>
      <c r="J12724" s="10" t="inlineStr">
        <is>
          <t>Xây dựng, Bất động sản</t>
        </is>
      </c>
      <c r="K12724" s="10" t="inlineStr">
        <is>
          <t>5 - 10 Năm</t>
        </is>
      </c>
      <c r="L12724" s="11">
        <f>HYPERLINK("https://careerviet.vn/vi/tim-viec-lam/chuyen-vien-du-toan.35C65256.html","Xem chi tiết")</f>
        <v/>
      </c>
      <c r="M12724" s="10" t="n"/>
    </row>
    <row r="12725">
      <c r="B12725" s="7" t="n">
        <v>12723</v>
      </c>
      <c r="C12725" t="inlineStr">
        <is>
          <t>HR GENERAL CUM TALENT ACQUISITION</t>
        </is>
      </c>
      <c r="D12725" t="inlineStr">
        <is>
          <t>Công Ty Cổ Phần Hóa Chất Kỹ Thuật Kim Phong</t>
        </is>
      </c>
      <c r="E12725" t="inlineStr">
        <is>
          <t>Lương:Cạnh tranh</t>
        </is>
      </c>
      <c r="F12725" t="inlineStr">
        <is>
          <t>Hồ Chí Minh</t>
        </is>
      </c>
      <c r="G12725" t="inlineStr">
        <is>
          <t>10-04-2026</t>
        </is>
      </c>
      <c r="H12725" t="inlineStr">
        <is>
          <t>10/04/2026</t>
        </is>
      </c>
      <c r="I12725" t="inlineStr">
        <is>
          <t>17/03/2026</t>
        </is>
      </c>
      <c r="J12725" t="inlineStr">
        <is>
          <t>Nhân sự</t>
        </is>
      </c>
      <c r="K12725" t="inlineStr">
        <is>
          <t>2 - 3 Năm</t>
        </is>
      </c>
      <c r="L12725" s="8">
        <f>HYPERLINK("https://careerviet.vn/vi/tim-viec-lam/hr-general-cum-talent-acquisition.35C68465.html","Xem chi tiết")</f>
        <v/>
      </c>
    </row>
    <row r="12726">
      <c r="B12726" s="9" t="n">
        <v>12724</v>
      </c>
      <c r="C12726" s="10" t="inlineStr">
        <is>
          <t>Head of Digital Marketing</t>
        </is>
      </c>
      <c r="D12726" s="10" t="inlineStr">
        <is>
          <t>LOTTE FINANCE VIETNAM</t>
        </is>
      </c>
      <c r="E12726" s="10" t="inlineStr">
        <is>
          <t>Lương:Cạnh tranh</t>
        </is>
      </c>
      <c r="F12726" s="10" t="inlineStr">
        <is>
          <t>Hà Nội</t>
        </is>
      </c>
      <c r="G12726" s="10" t="inlineStr">
        <is>
          <t>10-04-2026</t>
        </is>
      </c>
      <c r="H12726" s="10" t="inlineStr">
        <is>
          <t>10/04/2026</t>
        </is>
      </c>
      <c r="I12726" s="10" t="inlineStr">
        <is>
          <t>17/03/2026</t>
        </is>
      </c>
      <c r="J12726" s="10" t="inlineStr">
        <is>
          <t>Ngân hàng, Quảng cáo / Đối ngoại / Truyền Thông, Truyền hình / Báo chí / Biên tập</t>
        </is>
      </c>
      <c r="K12726" s="10" t="inlineStr">
        <is>
          <t>Trên 8 Năm</t>
        </is>
      </c>
      <c r="L12726" s="11">
        <f>HYPERLINK("https://careerviet.vn/vi/tim-viec-lam/head-of-digital-marketing.35C6843E.html","Xem chi tiết")</f>
        <v/>
      </c>
      <c r="M12726" s="10" t="n"/>
    </row>
    <row r="12727">
      <c r="B12727" s="7" t="n">
        <v>12725</v>
      </c>
      <c r="C12727" t="inlineStr">
        <is>
          <t>Nhân Viên Kinh Doanh - Thị Trường</t>
        </is>
      </c>
      <c r="D12727" t="inlineStr">
        <is>
          <t>NHAN LUAT INVESTMENT AND STEEL TRADING HOLDING CORPORATION - CÔNG TY CỔ PHẦN ĐẦU TƯ VÀ KINH DOANH THÉP NHÂN LUẬT</t>
        </is>
      </c>
      <c r="E12727" t="inlineStr">
        <is>
          <t>Lương:7 Tr - 15 Tr VND</t>
        </is>
      </c>
      <c r="F12727" t="inlineStr">
        <is>
          <t>Hà NộiHồ Chí MinhĐà Nẵng</t>
        </is>
      </c>
      <c r="G12727" t="inlineStr">
        <is>
          <t>10-04-2026</t>
        </is>
      </c>
      <c r="H12727" t="inlineStr">
        <is>
          <t>10/04/2026</t>
        </is>
      </c>
      <c r="I12727" t="inlineStr">
        <is>
          <t>17/03/2026</t>
        </is>
      </c>
      <c r="J12727" t="inlineStr">
        <is>
          <t>Bán hàng / Kinh doanh, Xây dựng</t>
        </is>
      </c>
      <c r="K12727" t="inlineStr">
        <is>
          <t>N/A</t>
        </is>
      </c>
      <c r="L12727" s="8">
        <f>HYPERLINK("https://careerviet.vn/vi/tim-viec-lam/nhan-vien-kinh-doanh-thi-truong.35C6526F.html","Xem chi tiết")</f>
        <v/>
      </c>
    </row>
    <row r="12728">
      <c r="B12728" s="9" t="n">
        <v>12726</v>
      </c>
      <c r="C12728" s="10" t="inlineStr">
        <is>
          <t>Trưởng nhóm kinh doanh B2B Logistic - Express  (HCM)</t>
        </is>
      </c>
      <c r="D12728" s="10" t="inlineStr">
        <is>
          <t>Công Ty Cổ Phần Hai Bốn Bảy</t>
        </is>
      </c>
      <c r="E12728" s="10" t="inlineStr">
        <is>
          <t>Lương:18 Tr - 30 Tr VND</t>
        </is>
      </c>
      <c r="F12728" s="10" t="inlineStr">
        <is>
          <t>Hồ Chí Minh</t>
        </is>
      </c>
      <c r="G12728" s="10" t="inlineStr">
        <is>
          <t>10-04-2026</t>
        </is>
      </c>
      <c r="H12728" s="10" t="inlineStr">
        <is>
          <t>10/04/2026</t>
        </is>
      </c>
      <c r="I12728" s="10" t="inlineStr">
        <is>
          <t>17/03/2026</t>
        </is>
      </c>
      <c r="J12728" s="10" t="inlineStr">
        <is>
          <t>Bán lẻ / Bán sỉ, Bán hàng / Kinh doanh, Vận chuyển / Giao nhận / Kho vận</t>
        </is>
      </c>
      <c r="K12728" s="10" t="inlineStr">
        <is>
          <t>1 - 5 Năm</t>
        </is>
      </c>
      <c r="L12728" s="11">
        <f>HYPERLINK("https://careerviet.vn/vi/tim-viec-lam/truong-nhom-kinh-doanh-b2b-logistic-express-hcm.35C6840F.html","Xem chi tiết")</f>
        <v/>
      </c>
      <c r="M12728" s="10" t="n"/>
    </row>
    <row r="12729">
      <c r="B12729" s="7" t="n">
        <v>12727</v>
      </c>
      <c r="C12729" t="inlineStr">
        <is>
          <t>Operations Manager</t>
        </is>
      </c>
      <c r="D12729" t="inlineStr">
        <is>
          <t>Công ty TNHH Sản xuất Thương mại &amp; Dịch vụ Hoa Xinh</t>
        </is>
      </c>
      <c r="E12729" t="inlineStr">
        <is>
          <t>Lương:Cạnh tranh</t>
        </is>
      </c>
      <c r="F12729" t="inlineStr">
        <is>
          <t>Hồ Chí Minh</t>
        </is>
      </c>
      <c r="G12729" t="inlineStr">
        <is>
          <t>10-04-2026</t>
        </is>
      </c>
      <c r="H12729" t="inlineStr">
        <is>
          <t>10/04/2026</t>
        </is>
      </c>
      <c r="I12729" t="inlineStr">
        <is>
          <t>17/03/2026</t>
        </is>
      </c>
      <c r="J12729" t="inlineStr">
        <is>
          <t>Bán lẻ / Bán sỉ, Thực phẩm &amp; Đồ uống, Nhà hàng / Khách sạn</t>
        </is>
      </c>
      <c r="K12729" t="inlineStr">
        <is>
          <t>1 - 10 Năm</t>
        </is>
      </c>
      <c r="L12729" s="8">
        <f>HYPERLINK("https://careerviet.vn/vi/tim-viec-lam/operations-manager.35C68326.html","Xem chi tiết")</f>
        <v/>
      </c>
    </row>
    <row r="12730">
      <c r="B12730" s="9" t="n">
        <v>12728</v>
      </c>
      <c r="C12730" s="10" t="inlineStr">
        <is>
          <t>Nhân Viên Tư Vấn Sản Phẩm tại Điện Máy Xanh Thuận An Bình Dương</t>
        </is>
      </c>
      <c r="D12730" s="10" t="inlineStr">
        <is>
          <t>Tập Đoàn Karofi Holding</t>
        </is>
      </c>
      <c r="E12730" s="10" t="inlineStr">
        <is>
          <t>Lương:8 Tr - 15 Tr VND</t>
        </is>
      </c>
      <c r="F12730" s="10" t="inlineStr">
        <is>
          <t>Bình Dương</t>
        </is>
      </c>
      <c r="G12730" s="10" t="inlineStr">
        <is>
          <t>10-04-2026</t>
        </is>
      </c>
      <c r="H12730" s="10" t="inlineStr">
        <is>
          <t>10/04/2026</t>
        </is>
      </c>
      <c r="I12730" s="10" t="inlineStr">
        <is>
          <t>17/03/2026</t>
        </is>
      </c>
      <c r="J12730" s="10" t="inlineStr">
        <is>
          <t>Bán lẻ / Bán sỉ, Bán hàng / Kinh doanh, Dịch vụ khách hàng</t>
        </is>
      </c>
      <c r="K12730" s="10" t="inlineStr">
        <is>
          <t>Lên đến 1 Năm</t>
        </is>
      </c>
      <c r="L12730" s="11">
        <f>HYPERLINK("https://careerviet.vn/vi/tim-viec-lam/nhan-vien-tu-van-san-pham-tai-dien-may-xanh-thuan-an-binh-duong.35C6527E.html","Xem chi tiết")</f>
        <v/>
      </c>
      <c r="M12730" s="10" t="n"/>
    </row>
    <row r="12731">
      <c r="B12731" s="7" t="n">
        <v>12729</v>
      </c>
      <c r="C12731" t="inlineStr">
        <is>
          <t>Chuyên viên/Nhân viên Kinh doanh Vốn</t>
        </is>
      </c>
      <c r="D12731" t="inlineStr">
        <is>
          <t>BVBank - Ngân hàng Bản Việt</t>
        </is>
      </c>
      <c r="E12731" t="inlineStr">
        <is>
          <t>Lương:Cạnh tranh</t>
        </is>
      </c>
      <c r="F12731" t="inlineStr">
        <is>
          <t>Hồ Chí Minh</t>
        </is>
      </c>
      <c r="G12731" t="inlineStr">
        <is>
          <t>10-04-2026</t>
        </is>
      </c>
      <c r="H12731" t="inlineStr">
        <is>
          <t>10/04/2026</t>
        </is>
      </c>
      <c r="I12731" t="inlineStr">
        <is>
          <t>17/03/2026</t>
        </is>
      </c>
      <c r="J12731" t="inlineStr">
        <is>
          <t>Ngân hàng, Tài chính / Đầu tư</t>
        </is>
      </c>
      <c r="K12731" t="inlineStr">
        <is>
          <t>1 - 2 Năm</t>
        </is>
      </c>
      <c r="L12731" s="8">
        <f>HYPERLINK("https://careerviet.vn/vi/tim-viec-lam/chuyen-vien-nhan-vien-kinh-doanh-von.35C683A8.html","Xem chi tiết")</f>
        <v/>
      </c>
    </row>
    <row r="12732">
      <c r="B12732" s="9" t="n">
        <v>12730</v>
      </c>
      <c r="C12732" s="10" t="inlineStr">
        <is>
          <t>Trưởng phòng Thủ tục</t>
        </is>
      </c>
      <c r="D12732" s="10" t="inlineStr">
        <is>
          <t>CÔNG TY CỔ PHẦN TẬP ĐOÀN ONSEN FUJI</t>
        </is>
      </c>
      <c r="E12732" s="10" t="inlineStr">
        <is>
          <t>Lương:Cạnh tranh</t>
        </is>
      </c>
      <c r="F12732" s="10" t="inlineStr">
        <is>
          <t>Hà Nội</t>
        </is>
      </c>
      <c r="G12732" s="10" t="inlineStr">
        <is>
          <t>10-04-2026</t>
        </is>
      </c>
      <c r="H12732" s="10" t="inlineStr">
        <is>
          <t>10/04/2026</t>
        </is>
      </c>
      <c r="I12732" s="10" t="inlineStr">
        <is>
          <t>17/03/2026</t>
        </is>
      </c>
      <c r="J12732" s="10" t="inlineStr">
        <is>
          <t>Bất động sản, Luật / Pháp lý, Dịch vụ khách hàng</t>
        </is>
      </c>
      <c r="K12732" s="10" t="inlineStr">
        <is>
          <t>3 - 5 Năm</t>
        </is>
      </c>
      <c r="L12732" s="11">
        <f>HYPERLINK("https://careerviet.vn/vi/tim-viec-lam/truong-phong-thu-tuc.35C683DC.html","Xem chi tiết")</f>
        <v/>
      </c>
      <c r="M12732" s="10" t="n"/>
    </row>
    <row r="12733">
      <c r="B12733" s="7" t="n">
        <v>12731</v>
      </c>
      <c r="C12733" t="inlineStr">
        <is>
          <t>TRỢ LÝ CHỦ TỊCH HỘI ĐỒNG QUẢN TRỊ</t>
        </is>
      </c>
      <c r="D12733" t="inlineStr">
        <is>
          <t>Công Ty Cổ Phần Tập Đoàn Toàn Cầu Xanh</t>
        </is>
      </c>
      <c r="E12733" t="inlineStr">
        <is>
          <t>Lương:Cạnh tranh</t>
        </is>
      </c>
      <c r="F12733" t="inlineStr">
        <is>
          <t>Hồ Chí Minh</t>
        </is>
      </c>
      <c r="G12733" t="inlineStr">
        <is>
          <t>10-04-2026</t>
        </is>
      </c>
      <c r="H12733" t="inlineStr">
        <is>
          <t>10/04/2026</t>
        </is>
      </c>
      <c r="I12733" t="inlineStr">
        <is>
          <t>17/03/2026</t>
        </is>
      </c>
      <c r="J12733" t="inlineStr">
        <is>
          <t>Bán hàng / Kinh doanh, Luật / Pháp lý, Bất động sản</t>
        </is>
      </c>
      <c r="K12733" t="inlineStr">
        <is>
          <t>Trên 5 Năm</t>
        </is>
      </c>
      <c r="L12733" s="8">
        <f>HYPERLINK("https://careerviet.vn/vi/tim-viec-lam/tro-ly-chu-tich-hoi-dong-quan-tri.35C682D7.html","Xem chi tiết")</f>
        <v/>
      </c>
    </row>
    <row r="12734">
      <c r="B12734" s="9" t="n">
        <v>12732</v>
      </c>
      <c r="C12734" s="10" t="inlineStr">
        <is>
          <t>Trưởng Bộ phận Vận hành Tổng đài</t>
        </is>
      </c>
      <c r="D12734" s="10" t="inlineStr">
        <is>
          <t>CÔNG TY CỔ PHẦN EPLUS RESEARCH</t>
        </is>
      </c>
      <c r="E12734" s="10" t="inlineStr">
        <is>
          <t>Lương:Cạnh tranh</t>
        </is>
      </c>
      <c r="F12734" s="10" t="inlineStr">
        <is>
          <t>Hồ Chí Minh</t>
        </is>
      </c>
      <c r="G12734" s="10" t="inlineStr">
        <is>
          <t>10-04-2026</t>
        </is>
      </c>
      <c r="H12734" s="10" t="inlineStr">
        <is>
          <t>10/04/2026</t>
        </is>
      </c>
      <c r="I12734" s="10" t="inlineStr">
        <is>
          <t>17/03/2026</t>
        </is>
      </c>
      <c r="J12734" s="10" t="inlineStr">
        <is>
          <t>Dịch vụ khách hàng</t>
        </is>
      </c>
      <c r="K12734" s="10" t="inlineStr">
        <is>
          <t>5 - 7 Năm</t>
        </is>
      </c>
      <c r="L12734" s="11">
        <f>HYPERLINK("https://careerviet.vn/vi/tim-viec-lam/truong-bo-phan-van-hanh-tong-dai.35C682EE.html","Xem chi tiết")</f>
        <v/>
      </c>
      <c r="M12734" s="10" t="n"/>
    </row>
    <row r="12735">
      <c r="B12735" s="7" t="n">
        <v>12733</v>
      </c>
      <c r="C12735" t="inlineStr">
        <is>
          <t>Head of Marketing - FMCG Manufacturing</t>
        </is>
      </c>
      <c r="D12735" t="inlineStr">
        <is>
          <t>Công ty Cổ phần thực phẩm và đồ uống Barett</t>
        </is>
      </c>
      <c r="E12735" t="inlineStr">
        <is>
          <t>Lương:Cạnh tranh</t>
        </is>
      </c>
      <c r="F12735" t="inlineStr">
        <is>
          <t>Hà Nội</t>
        </is>
      </c>
      <c r="G12735" t="inlineStr">
        <is>
          <t>10-04-2026</t>
        </is>
      </c>
      <c r="H12735" t="inlineStr">
        <is>
          <t>10/04/2026</t>
        </is>
      </c>
      <c r="I12735" t="inlineStr">
        <is>
          <t>17/03/2026</t>
        </is>
      </c>
      <c r="J12735" t="inlineStr">
        <is>
          <t>Tiếp thị / Marketing, Thực phẩm &amp; Đồ uống, Sản xuất / Vận hành sản xuất</t>
        </is>
      </c>
      <c r="K12735" t="inlineStr">
        <is>
          <t>5 - 7 Năm</t>
        </is>
      </c>
      <c r="L12735" s="8">
        <f>HYPERLINK("https://careerviet.vn/vi/tim-viec-lam/head-of-marketing-fmcg-manufacturing.35C65269.html","Xem chi tiết")</f>
        <v/>
      </c>
    </row>
    <row r="12736">
      <c r="B12736" s="9" t="n">
        <v>12734</v>
      </c>
      <c r="C12736" s="10" t="inlineStr">
        <is>
          <t>Key Account/ Customer Service (Fulfillment/ Logistics)</t>
        </is>
      </c>
      <c r="D12736" s="10" t="inlineStr">
        <is>
          <t>CÔNG TY TNHH GIP GROUP</t>
        </is>
      </c>
      <c r="E12736" s="10" t="inlineStr">
        <is>
          <t>Lương:10 Tr - 13 Tr VND</t>
        </is>
      </c>
      <c r="F12736" s="10" t="inlineStr">
        <is>
          <t>Hà Nội</t>
        </is>
      </c>
      <c r="G12736" s="10" t="inlineStr">
        <is>
          <t>10-04-2026</t>
        </is>
      </c>
      <c r="H12736" s="10" t="inlineStr">
        <is>
          <t>10/04/2026</t>
        </is>
      </c>
      <c r="I12736" s="10" t="inlineStr">
        <is>
          <t>17/03/2026</t>
        </is>
      </c>
      <c r="J12736" s="10" t="inlineStr">
        <is>
          <t>Dịch vụ khách hàng, Vận chuyển / Giao nhận / Kho vận, Xuất nhập khẩu</t>
        </is>
      </c>
      <c r="K12736" s="10" t="inlineStr">
        <is>
          <t>Lên đến 1 Năm</t>
        </is>
      </c>
      <c r="L12736" s="11">
        <f>HYPERLINK("https://careerviet.vn/vi/tim-viec-lam/key-account-customer-service-fulfillment-logistics.35C683E0.html","Xem chi tiết")</f>
        <v/>
      </c>
      <c r="M12736" s="10" t="n"/>
    </row>
    <row r="12737">
      <c r="B12737" s="7" t="n">
        <v>12735</v>
      </c>
      <c r="C12737" t="inlineStr">
        <is>
          <t>Sales - TV GT Channel</t>
        </is>
      </c>
      <c r="D12737" t="inlineStr">
        <is>
          <t>TCL (Vietnam) Corporation Limited</t>
        </is>
      </c>
      <c r="E12737" t="inlineStr">
        <is>
          <t>Lương:Cạnh tranh</t>
        </is>
      </c>
      <c r="F12737" t="inlineStr">
        <is>
          <t>Hà NộiHồ Chí Minh</t>
        </is>
      </c>
      <c r="G12737" t="inlineStr">
        <is>
          <t>30-03-2026</t>
        </is>
      </c>
      <c r="H12737" t="inlineStr">
        <is>
          <t>30/03/2026</t>
        </is>
      </c>
      <c r="I12737" t="inlineStr">
        <is>
          <t>17/03/2026</t>
        </is>
      </c>
      <c r="J12737" t="inlineStr">
        <is>
          <t>Bán lẻ / Bán sỉ, Bán hàng / Kinh doanh, Điện / Điện tử / Điện lạnh / Điện công nghiệp</t>
        </is>
      </c>
      <c r="K12737" t="inlineStr">
        <is>
          <t>Trên 2 Năm</t>
        </is>
      </c>
      <c r="L12737" s="8">
        <f>HYPERLINK("https://careerviet.vn/vi/tim-viec-lam/sales-tv-gt-channel.35C6844C.html","Xem chi tiết")</f>
        <v/>
      </c>
    </row>
    <row r="12738">
      <c r="B12738" s="9" t="n">
        <v>12736</v>
      </c>
      <c r="C12738" s="10" t="inlineStr">
        <is>
          <t>Sales admin</t>
        </is>
      </c>
      <c r="D12738" s="10" t="inlineStr">
        <is>
          <t>Công Ty Cổ Phần Hóa Chất Kỹ Thuật Kim Phong</t>
        </is>
      </c>
      <c r="E12738" s="10" t="inlineStr">
        <is>
          <t>Lương:8 Tr - 12 Tr VND</t>
        </is>
      </c>
      <c r="F12738" s="10" t="inlineStr">
        <is>
          <t>Hồ Chí Minh</t>
        </is>
      </c>
      <c r="G12738" s="10" t="inlineStr">
        <is>
          <t>10-04-2026</t>
        </is>
      </c>
      <c r="H12738" s="10" t="inlineStr">
        <is>
          <t>10/04/2026</t>
        </is>
      </c>
      <c r="I12738" s="10" t="inlineStr">
        <is>
          <t>17/03/2026</t>
        </is>
      </c>
      <c r="J12738" s="10" t="inlineStr">
        <is>
          <t>Bán hàng / Kinh doanh, Môi trường, Hóa học</t>
        </is>
      </c>
      <c r="K12738" s="10" t="inlineStr">
        <is>
          <t>1 - 2 Năm</t>
        </is>
      </c>
      <c r="L12738" s="11">
        <f>HYPERLINK("https://careerviet.vn/vi/tim-viec-lam/sales-admin.35C68461.html","Xem chi tiết")</f>
        <v/>
      </c>
      <c r="M12738" s="10" t="n"/>
    </row>
    <row r="12739">
      <c r="B12739" s="7" t="n">
        <v>12737</v>
      </c>
      <c r="C12739" t="inlineStr">
        <is>
          <t>Administration and Purchasing Officer</t>
        </is>
      </c>
      <c r="D12739" t="inlineStr">
        <is>
          <t>CareerViet's client</t>
        </is>
      </c>
      <c r="E12739" t="inlineStr">
        <is>
          <t>Lương:Cạnh tranh</t>
        </is>
      </c>
      <c r="F12739" t="inlineStr">
        <is>
          <t>Hồ Chí Minh</t>
        </is>
      </c>
      <c r="G12739" t="inlineStr">
        <is>
          <t>10-04-2026</t>
        </is>
      </c>
      <c r="H12739" t="inlineStr">
        <is>
          <t>10/04/2026</t>
        </is>
      </c>
      <c r="I12739" t="inlineStr">
        <is>
          <t>17/03/2026</t>
        </is>
      </c>
      <c r="J12739" t="inlineStr">
        <is>
          <t>Hành chính / Thư ký</t>
        </is>
      </c>
      <c r="K12739" t="inlineStr">
        <is>
          <t>2 - 3 Năm</t>
        </is>
      </c>
      <c r="L12739" s="8">
        <f>HYPERLINK("https://careerviet.vn/vi/tim-viec-lam/administration-and-purchasing-officer.35C683AB.html","Xem chi tiết")</f>
        <v/>
      </c>
    </row>
    <row r="12740">
      <c r="B12740" s="9" t="n">
        <v>12738</v>
      </c>
      <c r="C12740" s="10" t="inlineStr">
        <is>
          <t>Chuyên Viên Nhân Sự</t>
        </is>
      </c>
      <c r="D12740" s="10" t="inlineStr">
        <is>
          <t>CÔNG TY CỔ PHẦN ĐẦU TƯ BẤT ĐỘNG SẢN TASECO</t>
        </is>
      </c>
      <c r="E12740" s="10" t="inlineStr">
        <is>
          <t>Lương:Cạnh tranh</t>
        </is>
      </c>
      <c r="F12740" s="10" t="inlineStr">
        <is>
          <t>Hà Nội</t>
        </is>
      </c>
      <c r="G12740" s="10" t="inlineStr">
        <is>
          <t>10-04-2026</t>
        </is>
      </c>
      <c r="H12740" s="10" t="inlineStr">
        <is>
          <t>10/04/2026</t>
        </is>
      </c>
      <c r="I12740" s="10" t="inlineStr">
        <is>
          <t>17/03/2026</t>
        </is>
      </c>
      <c r="J12740" s="10" t="inlineStr">
        <is>
          <t>Hành chính / Thư ký, Xây dựng, Nhân sự</t>
        </is>
      </c>
      <c r="K12740" s="10" t="inlineStr">
        <is>
          <t>1 - 3 Năm</t>
        </is>
      </c>
      <c r="L12740" s="11">
        <f>HYPERLINK("https://careerviet.vn/vi/tim-viec-lam/chuyen-vien-nhan-su.35C683C0.html","Xem chi tiết")</f>
        <v/>
      </c>
      <c r="M12740" s="10" t="n"/>
    </row>
    <row r="12741">
      <c r="B12741" s="7" t="n">
        <v>12739</v>
      </c>
      <c r="C12741" t="inlineStr">
        <is>
          <t>Kỹ Thuật Livestream</t>
        </is>
      </c>
      <c r="D12741" t="inlineStr">
        <is>
          <t>Công ty TNHH Sản xuất Thương mại &amp; Dịch vụ Hoa Xinh</t>
        </is>
      </c>
      <c r="E12741" t="inlineStr">
        <is>
          <t>Lương:Cạnh tranh</t>
        </is>
      </c>
      <c r="F12741" t="inlineStr">
        <is>
          <t>Hồ Chí Minh</t>
        </is>
      </c>
      <c r="G12741" t="inlineStr">
        <is>
          <t>10-04-2026</t>
        </is>
      </c>
      <c r="H12741" t="inlineStr">
        <is>
          <t>10/04/2026</t>
        </is>
      </c>
      <c r="I12741" t="inlineStr">
        <is>
          <t>17/03/2026</t>
        </is>
      </c>
      <c r="J12741" t="inlineStr">
        <is>
          <t>Tiếp thị / Marketing, Tiếp thị trực tuyến, Thương mại điện tử</t>
        </is>
      </c>
      <c r="K12741" t="inlineStr">
        <is>
          <t>1 - 5 Năm</t>
        </is>
      </c>
      <c r="L12741" s="8">
        <f>HYPERLINK("https://careerviet.vn/vi/tim-viec-lam/ky-thuat-livestream.35C683E8.html","Xem chi tiết")</f>
        <v/>
      </c>
    </row>
    <row r="12742">
      <c r="B12742" s="9" t="n">
        <v>12740</v>
      </c>
      <c r="C12742" s="10" t="inlineStr">
        <is>
          <t>Giám sát dịch vụ</t>
        </is>
      </c>
      <c r="D12742" s="10" t="inlineStr">
        <is>
          <t>Công ty Cổ phần Đầu tư Thương mại Kỹ thuật A&amp;T Việt Nam</t>
        </is>
      </c>
      <c r="E12742" s="10" t="inlineStr">
        <is>
          <t>Lương:15 Tr - 16 Tr VND</t>
        </is>
      </c>
      <c r="F12742" s="10" t="inlineStr">
        <is>
          <t>Bình Dương</t>
        </is>
      </c>
      <c r="G12742" s="10" t="inlineStr">
        <is>
          <t>10-04-2026</t>
        </is>
      </c>
      <c r="H12742" s="10" t="inlineStr">
        <is>
          <t>10/04/2026</t>
        </is>
      </c>
      <c r="I12742" s="10" t="inlineStr">
        <is>
          <t>17/03/2026</t>
        </is>
      </c>
      <c r="J12742" s="10" t="inlineStr">
        <is>
          <t>Dịch vụ khách hàng, Bất động sản</t>
        </is>
      </c>
      <c r="K12742" s="10" t="inlineStr">
        <is>
          <t>3 - 5 Năm</t>
        </is>
      </c>
      <c r="L12742" s="11">
        <f>HYPERLINK("https://careerviet.vn/vi/tim-viec-lam/giam-sat-dich-vu.35C683BD.html","Xem chi tiết")</f>
        <v/>
      </c>
      <c r="M12742" s="10" t="n"/>
    </row>
    <row r="12743">
      <c r="B12743" s="7" t="n">
        <v>12741</v>
      </c>
      <c r="C12743" t="inlineStr">
        <is>
          <t>Chỉ huy trưởng dự án Quảng Bình</t>
        </is>
      </c>
      <c r="D12743" t="inlineStr">
        <is>
          <t>Công Ty Cổ Phần VictoryCons</t>
        </is>
      </c>
      <c r="E12743" t="inlineStr">
        <is>
          <t>Lương:Cạnh tranh</t>
        </is>
      </c>
      <c r="F12743" t="inlineStr">
        <is>
          <t>Quảng Bình</t>
        </is>
      </c>
      <c r="G12743" t="inlineStr">
        <is>
          <t>10-04-2026</t>
        </is>
      </c>
      <c r="H12743" t="inlineStr">
        <is>
          <t>10/04/2026</t>
        </is>
      </c>
      <c r="I12743" t="inlineStr">
        <is>
          <t>17/03/2026</t>
        </is>
      </c>
      <c r="J12743" t="inlineStr">
        <is>
          <t>Kiến trúc, Xây dựng, Bất động sản</t>
        </is>
      </c>
      <c r="K12743" t="inlineStr">
        <is>
          <t>5 - 10 Năm</t>
        </is>
      </c>
      <c r="L12743" s="8">
        <f>HYPERLINK("https://careerviet.vn/vi/tim-viec-lam/chi-huy-truong-du-an-quang-binh.35C65296.html","Xem chi tiết")</f>
        <v/>
      </c>
    </row>
    <row r="12744">
      <c r="B12744" s="9" t="n">
        <v>12742</v>
      </c>
      <c r="C12744" s="10" t="inlineStr">
        <is>
          <t>SENIOR SALES HÓA CHẤT</t>
        </is>
      </c>
      <c r="D12744" s="10" t="inlineStr">
        <is>
          <t>Công Ty Cổ Phần Hóa Chất Kỹ Thuật Kim Phong</t>
        </is>
      </c>
      <c r="E12744" s="10" t="inlineStr">
        <is>
          <t>Lương:Cạnh tranh</t>
        </is>
      </c>
      <c r="F12744" s="10" t="inlineStr">
        <is>
          <t>Hồ Chí Minh</t>
        </is>
      </c>
      <c r="G12744" s="10" t="inlineStr">
        <is>
          <t>10-04-2026</t>
        </is>
      </c>
      <c r="H12744" s="10" t="inlineStr">
        <is>
          <t>10/04/2026</t>
        </is>
      </c>
      <c r="I12744" s="10" t="inlineStr">
        <is>
          <t>17/03/2026</t>
        </is>
      </c>
      <c r="J12744" s="10" t="inlineStr">
        <is>
          <t>Bán hàng / Kinh doanh, Hóa học</t>
        </is>
      </c>
      <c r="K12744" s="10" t="inlineStr">
        <is>
          <t>3 - 4 Năm</t>
        </is>
      </c>
      <c r="L12744" s="11">
        <f>HYPERLINK("https://careerviet.vn/vi/tim-viec-lam/senior-sales-hoa-chat.35C68468.html","Xem chi tiết")</f>
        <v/>
      </c>
      <c r="M12744" s="10" t="n"/>
    </row>
    <row r="12745">
      <c r="B12745" s="7" t="n">
        <v>12743</v>
      </c>
      <c r="C12745" t="inlineStr">
        <is>
          <t>Office Administration ( Chuyên Viên Hành Chính) - Tiếng anh tốt</t>
        </is>
      </c>
      <c r="D12745" t="inlineStr">
        <is>
          <t>Công ty TNHH Sản xuất Thương mại &amp; Dịch vụ Hoa Xinh</t>
        </is>
      </c>
      <c r="E12745" t="inlineStr">
        <is>
          <t>Lương:15 Tr - 20 Tr VND</t>
        </is>
      </c>
      <c r="F12745" t="inlineStr">
        <is>
          <t>Hồ Chí Minh</t>
        </is>
      </c>
      <c r="G12745" t="inlineStr">
        <is>
          <t>10-04-2026</t>
        </is>
      </c>
      <c r="H12745" t="inlineStr">
        <is>
          <t>10/04/2026</t>
        </is>
      </c>
      <c r="I12745" t="inlineStr">
        <is>
          <t>17/03/2026</t>
        </is>
      </c>
      <c r="J12745" t="inlineStr">
        <is>
          <t>Hành chính / Thư ký, Nhân sự, Biên phiên dịch</t>
        </is>
      </c>
      <c r="K12745" t="inlineStr">
        <is>
          <t>2 - 5 Năm</t>
        </is>
      </c>
      <c r="L12745" s="8">
        <f>HYPERLINK("https://careerviet.vn/vi/tim-viec-lam/office-administration-chuyen-vien-hanh-chinh-tieng-anh-tot.35C68324.html","Xem chi tiết")</f>
        <v/>
      </c>
    </row>
    <row r="12746">
      <c r="B12746" s="9" t="n">
        <v>12744</v>
      </c>
      <c r="C12746" s="10" t="inlineStr">
        <is>
          <t>Process Engineer</t>
        </is>
      </c>
      <c r="D12746" s="10" t="inlineStr">
        <is>
          <t>Công ty TNHH Sài Gòn Stec</t>
        </is>
      </c>
      <c r="E12746" s="10" t="inlineStr">
        <is>
          <t>Lương:15 Tr - 23 Tr VND</t>
        </is>
      </c>
      <c r="F12746" s="10" t="inlineStr">
        <is>
          <t>Bình Dương</t>
        </is>
      </c>
      <c r="G12746" s="10" t="inlineStr">
        <is>
          <t>10-04-2026</t>
        </is>
      </c>
      <c r="H12746" s="10" t="inlineStr">
        <is>
          <t>10/04/2026</t>
        </is>
      </c>
      <c r="I12746" s="10" t="inlineStr">
        <is>
          <t>17/03/2026</t>
        </is>
      </c>
      <c r="J12746" s="10" t="inlineStr">
        <is>
          <t>Biên phiên dịch, Điện / Điện tử / Điện lạnh / Điện công nghiệp</t>
        </is>
      </c>
      <c r="K12746" s="10" t="inlineStr">
        <is>
          <t>N/A</t>
        </is>
      </c>
      <c r="L12746" s="11">
        <f>HYPERLINK("https://careerviet.vn/vi/tim-viec-lam/process-engineer.35C65249.html","Xem chi tiết")</f>
        <v/>
      </c>
      <c r="M12746" s="10" t="n"/>
    </row>
    <row r="12747">
      <c r="B12747" s="7" t="n">
        <v>12745</v>
      </c>
      <c r="C12747" t="inlineStr">
        <is>
          <t>Internal Control Expert APAC</t>
        </is>
      </c>
      <c r="D12747" t="inlineStr">
        <is>
          <t>CÔNG TY TNHH CEVA LOGISTICS (VIỆT NAM)</t>
        </is>
      </c>
      <c r="E12747" t="inlineStr">
        <is>
          <t>Lương:Cạnh tranh</t>
        </is>
      </c>
      <c r="F12747" t="inlineStr">
        <is>
          <t>Hồ Chí Minh</t>
        </is>
      </c>
      <c r="G12747" t="inlineStr">
        <is>
          <t>10-04-2026</t>
        </is>
      </c>
      <c r="H12747" t="inlineStr">
        <is>
          <t>10/04/2026</t>
        </is>
      </c>
      <c r="I12747" t="inlineStr">
        <is>
          <t>17/03/2026</t>
        </is>
      </c>
      <c r="J12747" t="inlineStr">
        <is>
          <t>Kế toán / Kiểm toán</t>
        </is>
      </c>
      <c r="K12747" t="inlineStr">
        <is>
          <t>5 - 20 Năm</t>
        </is>
      </c>
      <c r="L12747" s="8">
        <f>HYPERLINK("https://careerviet.vn/vi/tim-viec-lam/internal-control-expert-apac.35C68320.html","Xem chi tiết")</f>
        <v/>
      </c>
    </row>
    <row r="12748">
      <c r="B12748" s="9" t="n">
        <v>12746</v>
      </c>
      <c r="C12748" s="10" t="inlineStr">
        <is>
          <t>Kỹ sư thiết kế hệ thống điện xây dựng</t>
        </is>
      </c>
      <c r="D12748" s="10" t="inlineStr">
        <is>
          <t>Công ty TNHH đầu tư xây dựng Mạnh Toàn</t>
        </is>
      </c>
      <c r="E12748" s="10" t="inlineStr">
        <is>
          <t>Lương:20 Tr - 40 Tr VND</t>
        </is>
      </c>
      <c r="F12748" s="10" t="inlineStr">
        <is>
          <t>Hải Phòng</t>
        </is>
      </c>
      <c r="G12748" s="10" t="inlineStr">
        <is>
          <t>10-04-2026</t>
        </is>
      </c>
      <c r="H12748" s="10" t="inlineStr">
        <is>
          <t>10/04/2026</t>
        </is>
      </c>
      <c r="I12748" s="10" t="inlineStr">
        <is>
          <t>17/03/2026</t>
        </is>
      </c>
      <c r="J12748" s="10" t="inlineStr">
        <is>
          <t>Điện / Điện tử / Điện lạnh / Điện công nghiệp, Xây dựng</t>
        </is>
      </c>
      <c r="K12748" s="10" t="inlineStr">
        <is>
          <t>3 - 5 Năm</t>
        </is>
      </c>
      <c r="L12748" s="11">
        <f>HYPERLINK("https://careerviet.vn/vi/tim-viec-lam/ky-su-thiet-ke-he-thong-dien-xay-dung.35C682DE.html","Xem chi tiết")</f>
        <v/>
      </c>
      <c r="M12748" s="10" t="n"/>
    </row>
    <row r="12749">
      <c r="B12749" s="7" t="n">
        <v>12747</v>
      </c>
      <c r="C12749" t="inlineStr">
        <is>
          <t>Nhân viên kinh doanh</t>
        </is>
      </c>
      <c r="D12749" t="inlineStr">
        <is>
          <t>Công Ty TNHH Sản Xuất Keo Dán Thuận Nguyên</t>
        </is>
      </c>
      <c r="E12749" t="inlineStr">
        <is>
          <t>Lương:15 Tr - 30 Tr VND</t>
        </is>
      </c>
      <c r="F12749" t="inlineStr">
        <is>
          <t>Hồ Chí Minh</t>
        </is>
      </c>
      <c r="G12749" t="inlineStr">
        <is>
          <t>10-04-2026</t>
        </is>
      </c>
      <c r="H12749" t="inlineStr">
        <is>
          <t>10/04/2026</t>
        </is>
      </c>
      <c r="I12749" t="inlineStr">
        <is>
          <t>17/03/2026</t>
        </is>
      </c>
      <c r="J12749" t="inlineStr">
        <is>
          <t>Tiếp thị / Marketing, Bán lẻ / Bán sỉ, Bán hàng / Kinh doanh</t>
        </is>
      </c>
      <c r="K12749" t="inlineStr">
        <is>
          <t>Trên 1 Năm</t>
        </is>
      </c>
      <c r="L12749" s="8">
        <f>HYPERLINK("https://careerviet.vn/vi/tim-viec-lam/nhan-vien-kinh-doanh.35C68327.html","Xem chi tiết")</f>
        <v/>
      </c>
    </row>
    <row r="12750">
      <c r="B12750" s="9" t="n">
        <v>12748</v>
      </c>
      <c r="C12750" s="10" t="inlineStr">
        <is>
          <t>Trưởng phòng kế hoạch</t>
        </is>
      </c>
      <c r="D12750" s="10" t="inlineStr">
        <is>
          <t>CÔNG TY TNHH SẢN XUẤT THƯƠNG MẠI VINAFOREST</t>
        </is>
      </c>
      <c r="E12750" s="10" t="inlineStr">
        <is>
          <t>Lương:13 Tr - 20 Tr VND</t>
        </is>
      </c>
      <c r="F12750" s="10" t="inlineStr">
        <is>
          <t>Bình Định</t>
        </is>
      </c>
      <c r="G12750" s="10" t="inlineStr">
        <is>
          <t>10-04-2026</t>
        </is>
      </c>
      <c r="H12750" s="10" t="inlineStr">
        <is>
          <t>10/04/2026</t>
        </is>
      </c>
      <c r="I12750" s="10" t="inlineStr">
        <is>
          <t>17/03/2026</t>
        </is>
      </c>
      <c r="J12750" s="10" t="inlineStr">
        <is>
          <t>Bán hàng / Kinh doanh, Quản lý điều hành, Đồ gỗ</t>
        </is>
      </c>
      <c r="K12750" s="10" t="inlineStr">
        <is>
          <t>Trên 5 Năm</t>
        </is>
      </c>
      <c r="L12750" s="11">
        <f>HYPERLINK("https://careerviet.vn/vi/tim-viec-lam/truong-phong-ke-hoach.35C65243.html","Xem chi tiết")</f>
        <v/>
      </c>
      <c r="M12750" s="10" t="n"/>
    </row>
    <row r="12751">
      <c r="B12751" s="7" t="n">
        <v>12749</v>
      </c>
      <c r="C12751" t="inlineStr">
        <is>
          <t>Purchasing Manager</t>
        </is>
      </c>
      <c r="D12751" t="inlineStr">
        <is>
          <t>Công Ty Cổ Phần Hóa Chất Kỹ Thuật Kim Phong</t>
        </is>
      </c>
      <c r="E12751" t="inlineStr">
        <is>
          <t>Lương:Cạnh tranh</t>
        </is>
      </c>
      <c r="F12751" t="inlineStr">
        <is>
          <t>Hồ Chí Minh</t>
        </is>
      </c>
      <c r="G12751" t="inlineStr">
        <is>
          <t>10-04-2026</t>
        </is>
      </c>
      <c r="H12751" t="inlineStr">
        <is>
          <t>10/04/2026</t>
        </is>
      </c>
      <c r="I12751" t="inlineStr">
        <is>
          <t>17/03/2026</t>
        </is>
      </c>
      <c r="J12751" t="inlineStr">
        <is>
          <t>Hóa học, Thu mua / Vật tư</t>
        </is>
      </c>
      <c r="K12751" t="inlineStr">
        <is>
          <t>7 - 8 Năm</t>
        </is>
      </c>
      <c r="L12751" s="8">
        <f>HYPERLINK("https://careerviet.vn/vi/tim-viec-lam/purchasing-manager.35C68442.html","Xem chi tiết")</f>
        <v/>
      </c>
    </row>
    <row r="12752">
      <c r="B12752" s="9" t="n">
        <v>12750</v>
      </c>
      <c r="C12752" s="10" t="inlineStr">
        <is>
          <t>Nhân viên Kinh doanh thị trường Tiếng Trung</t>
        </is>
      </c>
      <c r="D12752" s="10" t="inlineStr">
        <is>
          <t>Công Ty Cổ Phần Du Lịch Vietravel</t>
        </is>
      </c>
      <c r="E12752" s="10" t="inlineStr">
        <is>
          <t>Lương:Cạnh tranh</t>
        </is>
      </c>
      <c r="F12752" s="10" t="inlineStr">
        <is>
          <t>Hồ Chí Minh</t>
        </is>
      </c>
      <c r="G12752" s="10" t="inlineStr">
        <is>
          <t>10-04-2026</t>
        </is>
      </c>
      <c r="H12752" s="10" t="inlineStr">
        <is>
          <t>10/04/2026</t>
        </is>
      </c>
      <c r="I12752" s="10" t="inlineStr">
        <is>
          <t>17/03/2026</t>
        </is>
      </c>
      <c r="J12752" s="10" t="inlineStr">
        <is>
          <t>Biên phiên dịch, Du lịch, Mới tốt nghiệp / Thực tập</t>
        </is>
      </c>
      <c r="K12752" s="10" t="inlineStr">
        <is>
          <t>1 - 2 Năm</t>
        </is>
      </c>
      <c r="L12752" s="11">
        <f>HYPERLINK("https://careerviet.vn/vi/tim-viec-lam/nhan-vien-kinh-doanh-thi-truong-tieng-trung.35C652B6.html","Xem chi tiết")</f>
        <v/>
      </c>
      <c r="M12752" s="10" t="n"/>
    </row>
    <row r="12753">
      <c r="B12753" s="7" t="n">
        <v>12751</v>
      </c>
      <c r="C12753" t="inlineStr">
        <is>
          <t>Chuyên viên Kinh doanh - Vật tư tiêu hao Y tế - Khu vực Hồ Chí Minh</t>
        </is>
      </c>
      <c r="D12753" t="inlineStr">
        <is>
          <t>Công Ty Cổ Phần Y Tế Việt Tiến</t>
        </is>
      </c>
      <c r="E12753" t="inlineStr">
        <is>
          <t>Lương:Cạnh tranh</t>
        </is>
      </c>
      <c r="F12753" t="inlineStr">
        <is>
          <t>Hồ Chí Minh</t>
        </is>
      </c>
      <c r="G12753" t="inlineStr">
        <is>
          <t>10-04-2026</t>
        </is>
      </c>
      <c r="H12753" t="inlineStr">
        <is>
          <t>10/04/2026</t>
        </is>
      </c>
      <c r="I12753" t="inlineStr">
        <is>
          <t>17/03/2026</t>
        </is>
      </c>
      <c r="J12753" t="inlineStr">
        <is>
          <t>Bán hàng / Kinh doanh, Dược phẩm/ Hóa Mỹ Phẩm, Y tế / Chăm sóc sức khỏe / Thẩm mỹ / Làm đẹp</t>
        </is>
      </c>
      <c r="K12753" t="inlineStr">
        <is>
          <t>1 - 3 Năm</t>
        </is>
      </c>
      <c r="L12753" s="8">
        <f>HYPERLINK("https://careerviet.vn/vi/tim-viec-lam/chuyen-vien-kinh-doanh-vat-tu-tieu-hao-y-te-khu-vuc-ho-chi-minh.35C652A0.html","Xem chi tiết")</f>
        <v/>
      </c>
    </row>
    <row r="12754">
      <c r="B12754" s="9" t="n">
        <v>12752</v>
      </c>
      <c r="C12754" s="10" t="inlineStr">
        <is>
          <t>Dĩ An - Nhân viên kinh doanh ban phát triển</t>
        </is>
      </c>
      <c r="D12754" s="10" t="inlineStr">
        <is>
          <t>Cty TNHH Yakult Việt Nam - Chi Nhánh Dĩ An</t>
        </is>
      </c>
      <c r="E12754" s="10" t="inlineStr">
        <is>
          <t>Lương:10 Tr - 15 Tr VND</t>
        </is>
      </c>
      <c r="F12754" s="10" t="inlineStr">
        <is>
          <t>Đồng NaiBình Dương</t>
        </is>
      </c>
      <c r="G12754" s="10" t="inlineStr">
        <is>
          <t>10-04-2026</t>
        </is>
      </c>
      <c r="H12754" s="10" t="inlineStr">
        <is>
          <t>10/04/2026</t>
        </is>
      </c>
      <c r="I12754" s="10" t="inlineStr">
        <is>
          <t>17/03/2026</t>
        </is>
      </c>
      <c r="J12754" s="10" t="inlineStr">
        <is>
          <t>Tiếp thị / Marketing, Bán lẻ / Bán sỉ, Bán hàng / Kinh doanh</t>
        </is>
      </c>
      <c r="K12754" s="10" t="inlineStr">
        <is>
          <t>N/A</t>
        </is>
      </c>
      <c r="L12754" s="11">
        <f>HYPERLINK("https://careerviet.vn/vi/tim-viec-lam/di-an-nhan-vien-kinh-doanh-ban-phat-trien.35C68331.html","Xem chi tiết")</f>
        <v/>
      </c>
      <c r="M12754" s="10" t="n"/>
    </row>
    <row r="12755">
      <c r="B12755" s="7" t="n">
        <v>12753</v>
      </c>
      <c r="C12755" t="inlineStr">
        <is>
          <t>NHÂN VIÊN BÁN HÀNG SHOWROOM</t>
        </is>
      </c>
      <c r="D12755" t="inlineStr">
        <is>
          <t>CÔNG TY CỔ PHẦN THƯƠNG MẠI SATORI</t>
        </is>
      </c>
      <c r="E12755" t="inlineStr">
        <is>
          <t>Lương:10 Tr - 15 Tr VND</t>
        </is>
      </c>
      <c r="F12755" t="inlineStr">
        <is>
          <t>Hồ Chí Minh</t>
        </is>
      </c>
      <c r="G12755" t="inlineStr">
        <is>
          <t>10-04-2026</t>
        </is>
      </c>
      <c r="H12755" t="inlineStr">
        <is>
          <t>10/04/2026</t>
        </is>
      </c>
      <c r="I12755" t="inlineStr">
        <is>
          <t>17/03/2026</t>
        </is>
      </c>
      <c r="J12755" t="inlineStr">
        <is>
          <t>Bán hàng / Kinh doanh, Thực phẩm &amp; Đồ uống</t>
        </is>
      </c>
      <c r="K12755" t="inlineStr">
        <is>
          <t>1 - 2 Năm</t>
        </is>
      </c>
      <c r="L12755" s="8">
        <f>HYPERLINK("https://careerviet.vn/vi/tim-viec-lam/nhan-vien-ban-hang-showroom.35C6835E.html","Xem chi tiết")</f>
        <v/>
      </c>
    </row>
    <row r="12756">
      <c r="B12756" s="9" t="n">
        <v>12754</v>
      </c>
      <c r="C12756" s="10" t="inlineStr">
        <is>
          <t>Nhân viên kho</t>
        </is>
      </c>
      <c r="D12756" s="10" t="inlineStr">
        <is>
          <t>Công ty TNHH Chế biến thực phẩm Đông Đô</t>
        </is>
      </c>
      <c r="E12756" s="10" t="inlineStr">
        <is>
          <t>Lương:7 Tr - 9 Tr VND</t>
        </is>
      </c>
      <c r="F12756" s="10" t="inlineStr">
        <is>
          <t>Hà Nội</t>
        </is>
      </c>
      <c r="G12756" s="10" t="inlineStr">
        <is>
          <t>10-04-2026</t>
        </is>
      </c>
      <c r="H12756" s="10" t="inlineStr">
        <is>
          <t>10/04/2026</t>
        </is>
      </c>
      <c r="I12756" s="10" t="inlineStr">
        <is>
          <t>17/03/2026</t>
        </is>
      </c>
      <c r="J12756" s="10" t="inlineStr">
        <is>
          <t>Sản xuất / Vận hành sản xuất, Vận chuyển / Giao nhận / Kho vận, Thực phẩm &amp; Đồ uống</t>
        </is>
      </c>
      <c r="K12756" s="10" t="inlineStr">
        <is>
          <t>N/A</t>
        </is>
      </c>
      <c r="L12756" s="11">
        <f>HYPERLINK("https://careerviet.vn/vi/tim-viec-lam/nhan-vien-kho.35C652C2.html","Xem chi tiết")</f>
        <v/>
      </c>
      <c r="M12756" s="10" t="n"/>
    </row>
    <row r="12757">
      <c r="B12757" s="7" t="n">
        <v>12755</v>
      </c>
      <c r="C12757" t="inlineStr">
        <is>
          <t>Kế Toán Công Nợ</t>
        </is>
      </c>
      <c r="D12757" t="inlineStr">
        <is>
          <t>CÔNG TY TNHH MỘT THÀNH VIÊN GẠCH TUYNEL HIẾU THẢO</t>
        </is>
      </c>
      <c r="E12757" t="inlineStr">
        <is>
          <t>Lương:12 Tr - 18 Tr VND</t>
        </is>
      </c>
      <c r="F12757" t="inlineStr">
        <is>
          <t>Bình Dương</t>
        </is>
      </c>
      <c r="G12757" t="inlineStr">
        <is>
          <t>10-04-2026</t>
        </is>
      </c>
      <c r="H12757" t="inlineStr">
        <is>
          <t>10/04/2026</t>
        </is>
      </c>
      <c r="I12757" t="inlineStr">
        <is>
          <t>17/03/2026</t>
        </is>
      </c>
      <c r="J12757" t="inlineStr">
        <is>
          <t>Kế toán / Kiểm toán, Tài chính / Đầu tư</t>
        </is>
      </c>
      <c r="K12757" t="inlineStr">
        <is>
          <t>3 - 5 Năm</t>
        </is>
      </c>
      <c r="L12757" s="8">
        <f>HYPERLINK("https://careerviet.vn/vi/tim-viec-lam/ke-toan-cong-no.35C67FB5.html","Xem chi tiết")</f>
        <v/>
      </c>
    </row>
    <row r="12758">
      <c r="B12758" s="9" t="n">
        <v>12756</v>
      </c>
      <c r="C12758" s="10" t="inlineStr">
        <is>
          <t>NHÂN VIÊN VẬN HÀNH TRẠM XỬ LÍ NƯỚC THẢI</t>
        </is>
      </c>
      <c r="D12758" s="10" t="inlineStr">
        <is>
          <t>Công Ty TNHH Sản Xuất Kinh Doanh Hai Thành</t>
        </is>
      </c>
      <c r="E12758" s="10" t="inlineStr">
        <is>
          <t>Lương:9 Tr - 11 Tr VND</t>
        </is>
      </c>
      <c r="F12758" s="10" t="inlineStr">
        <is>
          <t>Long An</t>
        </is>
      </c>
      <c r="G12758" s="10" t="inlineStr">
        <is>
          <t>10-04-2026</t>
        </is>
      </c>
      <c r="H12758" s="10" t="inlineStr">
        <is>
          <t>10/04/2026</t>
        </is>
      </c>
      <c r="I12758" s="10" t="inlineStr">
        <is>
          <t>17/03/2026</t>
        </is>
      </c>
      <c r="J12758" s="10" t="inlineStr">
        <is>
          <t>Môi trường</t>
        </is>
      </c>
      <c r="K12758" s="10" t="inlineStr">
        <is>
          <t>Trên 1 Năm</t>
        </is>
      </c>
      <c r="L12758" s="11">
        <f>HYPERLINK("https://careerviet.vn/vi/tim-viec-lam/nhan-vien-van-hanh-tram-xu-li-nuoc-thai.35C68368.html","Xem chi tiết")</f>
        <v/>
      </c>
      <c r="M12758" s="10" t="n"/>
    </row>
    <row r="12759">
      <c r="B12759" s="7" t="n">
        <v>12757</v>
      </c>
      <c r="C12759" t="inlineStr">
        <is>
          <t>Senior Cost Accountant</t>
        </is>
      </c>
      <c r="D12759" t="inlineStr">
        <is>
          <t>CÔNG TY TNHH THANTAWAN INDUSTRY (VIỆT NAM)</t>
        </is>
      </c>
      <c r="E12759" t="inlineStr">
        <is>
          <t>Lương:40 Tr - 50 Tr VND</t>
        </is>
      </c>
      <c r="F12759" t="inlineStr">
        <is>
          <t>Tây NinhĐồng NaiBình Dương</t>
        </is>
      </c>
      <c r="G12759" t="inlineStr">
        <is>
          <t>10-04-2026</t>
        </is>
      </c>
      <c r="H12759" t="inlineStr">
        <is>
          <t>10/04/2026</t>
        </is>
      </c>
      <c r="I12759" t="inlineStr">
        <is>
          <t>17/03/2026</t>
        </is>
      </c>
      <c r="J12759" t="inlineStr">
        <is>
          <t>Kế toán / Kiểm toán, Ngân hàng</t>
        </is>
      </c>
      <c r="K12759" t="inlineStr">
        <is>
          <t>Lên đến 3 Năm</t>
        </is>
      </c>
      <c r="L12759" s="8">
        <f>HYPERLINK("https://careerviet.vn/vi/tim-viec-lam/senior-cost-accountant.35C6801D.html","Xem chi tiết")</f>
        <v/>
      </c>
    </row>
    <row r="12760">
      <c r="B12760" s="9" t="n">
        <v>12758</v>
      </c>
      <c r="C12760" s="10" t="inlineStr">
        <is>
          <t>C&amp;B Supervisor</t>
        </is>
      </c>
      <c r="D12760" s="10" t="inlineStr">
        <is>
          <t>Công ty TNHH Sản xuất Thương mại &amp; Dịch vụ Hoa Xinh</t>
        </is>
      </c>
      <c r="E12760" s="10" t="inlineStr">
        <is>
          <t>Lương:Cạnh tranh</t>
        </is>
      </c>
      <c r="F12760" s="10" t="inlineStr">
        <is>
          <t>Hồ Chí Minh</t>
        </is>
      </c>
      <c r="G12760" s="10" t="inlineStr">
        <is>
          <t>10-04-2026</t>
        </is>
      </c>
      <c r="H12760" s="10" t="inlineStr">
        <is>
          <t>10/04/2026</t>
        </is>
      </c>
      <c r="I12760" s="10" t="inlineStr">
        <is>
          <t>17/03/2026</t>
        </is>
      </c>
      <c r="J12760" s="10" t="inlineStr">
        <is>
          <t>Dịch vụ khách hàng, Hành chính / Thư ký, Nhân sự</t>
        </is>
      </c>
      <c r="K12760" s="10" t="inlineStr">
        <is>
          <t>2 - 5 Năm</t>
        </is>
      </c>
      <c r="L12760" s="11">
        <f>HYPERLINK("https://careerviet.vn/vi/tim-viec-lam/c-b-supervisor.35C68329.html","Xem chi tiết")</f>
        <v/>
      </c>
      <c r="M12760" s="10" t="n"/>
    </row>
    <row r="12761">
      <c r="B12761" s="7" t="n">
        <v>12759</v>
      </c>
      <c r="C12761" t="inlineStr">
        <is>
          <t>Content Creator</t>
        </is>
      </c>
      <c r="D12761" t="inlineStr">
        <is>
          <t>Công ty TNHH Sản xuất Thương mại &amp; Dịch vụ Hoa Xinh</t>
        </is>
      </c>
      <c r="E12761" t="inlineStr">
        <is>
          <t>Lương:10 Tr - 16 Tr VND</t>
        </is>
      </c>
      <c r="F12761" t="inlineStr">
        <is>
          <t>Hồ Chí Minh</t>
        </is>
      </c>
      <c r="G12761" t="inlineStr">
        <is>
          <t>10-04-2026</t>
        </is>
      </c>
      <c r="H12761" t="inlineStr">
        <is>
          <t>10/04/2026</t>
        </is>
      </c>
      <c r="I12761" t="inlineStr">
        <is>
          <t>17/03/2026</t>
        </is>
      </c>
      <c r="J12761" t="inlineStr">
        <is>
          <t>Tiếp thị / Marketing, Bán hàng / Kinh doanh, Tiếp thị trực tuyến</t>
        </is>
      </c>
      <c r="K12761" t="inlineStr">
        <is>
          <t>1 - 10 Năm</t>
        </is>
      </c>
      <c r="L12761" s="8">
        <f>HYPERLINK("https://careerviet.vn/vi/tim-viec-lam/content-creator.35C683D8.html","Xem chi tiết")</f>
        <v/>
      </c>
    </row>
    <row r="12762">
      <c r="B12762" s="9" t="n">
        <v>12760</v>
      </c>
      <c r="C12762" s="10" t="inlineStr">
        <is>
          <t>Nhân viên môi trường - Thuận An</t>
        </is>
      </c>
      <c r="D12762" s="10" t="inlineStr">
        <is>
          <t>CÔNG TY TNHH TM DV XỬ LÝ MÔI TRƯỜNG VIỆT KHẢI</t>
        </is>
      </c>
      <c r="E12762" s="10" t="inlineStr">
        <is>
          <t>Lương:8 Tr - 12 Tr VND</t>
        </is>
      </c>
      <c r="F12762" s="10" t="inlineStr">
        <is>
          <t>Bình Dương</t>
        </is>
      </c>
      <c r="G12762" s="10" t="inlineStr">
        <is>
          <t>10-04-2026</t>
        </is>
      </c>
      <c r="H12762" s="10" t="inlineStr">
        <is>
          <t>10/04/2026</t>
        </is>
      </c>
      <c r="I12762" s="10" t="inlineStr">
        <is>
          <t>17/03/2026</t>
        </is>
      </c>
      <c r="J12762" s="10" t="inlineStr">
        <is>
          <t>Môi trường, Hóa học, Ngành khác</t>
        </is>
      </c>
      <c r="K12762" s="10" t="inlineStr">
        <is>
          <t>1 - 2 Năm</t>
        </is>
      </c>
      <c r="L12762" s="11">
        <f>HYPERLINK("https://careerviet.vn/vi/tim-viec-lam/nhan-vien-moi-truong-thuan-an.35C682D9.html","Xem chi tiết")</f>
        <v/>
      </c>
      <c r="M12762" s="10" t="n"/>
    </row>
    <row r="12763">
      <c r="B12763" s="7" t="n">
        <v>12761</v>
      </c>
      <c r="C12763" t="inlineStr">
        <is>
          <t>Chuyên viên Kiểm soát tuân thủ - Khối Quản trị rủi ro &amp; Tuân thủ</t>
        </is>
      </c>
      <c r="D12763" t="inlineStr">
        <is>
          <t>Tổng Công ty Cổ phần Bảo hiểm Quân đội (MIC)</t>
        </is>
      </c>
      <c r="E12763" t="inlineStr">
        <is>
          <t>Lương:Cạnh tranh</t>
        </is>
      </c>
      <c r="F12763" t="inlineStr">
        <is>
          <t>Hà Nội</t>
        </is>
      </c>
      <c r="G12763" t="inlineStr">
        <is>
          <t>10-04-2026</t>
        </is>
      </c>
      <c r="H12763" t="inlineStr">
        <is>
          <t>10/04/2026</t>
        </is>
      </c>
      <c r="I12763" t="inlineStr">
        <is>
          <t>17/03/2026</t>
        </is>
      </c>
      <c r="J12763" t="inlineStr">
        <is>
          <t>Bảo hiểm, Luật / Pháp lý, Ngân hàng</t>
        </is>
      </c>
      <c r="K12763" t="inlineStr">
        <is>
          <t>2 - 5 Năm</t>
        </is>
      </c>
      <c r="L12763" s="8">
        <f>HYPERLINK("https://careerviet.vn/vi/tim-viec-lam/chuyen-vien-kiem-soat-tuan-thu-khoi-quan-tri-rui-ro-tuan-thu.35C6841F.html","Xem chi tiết")</f>
        <v/>
      </c>
    </row>
    <row r="12764">
      <c r="B12764" s="9" t="n">
        <v>12762</v>
      </c>
      <c r="C12764" s="10" t="inlineStr">
        <is>
          <t>Chuyên Viên Kiến Trúc Sư Công Trình</t>
        </is>
      </c>
      <c r="D12764" s="10" t="inlineStr">
        <is>
          <t>CÔNG TY CỔ PHẦN ĐẦU TƯ BẤT ĐỘNG SẢN TASECO</t>
        </is>
      </c>
      <c r="E12764" s="10" t="inlineStr">
        <is>
          <t>Lương:Cạnh tranh</t>
        </is>
      </c>
      <c r="F12764" s="10" t="inlineStr">
        <is>
          <t>Hà Nội</t>
        </is>
      </c>
      <c r="G12764" s="10" t="inlineStr">
        <is>
          <t>10-04-2026</t>
        </is>
      </c>
      <c r="H12764" s="10" t="inlineStr">
        <is>
          <t>10/04/2026</t>
        </is>
      </c>
      <c r="I12764" s="10" t="inlineStr">
        <is>
          <t>17/03/2026</t>
        </is>
      </c>
      <c r="J12764" s="10" t="inlineStr">
        <is>
          <t>Kiến trúc, Xây dựng, Mỹ thuật / Nghệ thuật / Thiết kế</t>
        </is>
      </c>
      <c r="K12764" s="10" t="inlineStr">
        <is>
          <t>Trên 5 Năm</t>
        </is>
      </c>
      <c r="L12764" s="11">
        <f>HYPERLINK("https://careerviet.vn/vi/tim-viec-lam/chuyen-vien-kien-truc-su-cong-trinh.35C683B6.html","Xem chi tiết")</f>
        <v/>
      </c>
      <c r="M12764" s="10" t="n"/>
    </row>
    <row r="12765">
      <c r="B12765" s="7" t="n">
        <v>12763</v>
      </c>
      <c r="C12765" t="inlineStr">
        <is>
          <t>Chuyên viên chính Chăm sóc khách hàng/Kiểm soát hợp đồng bán - Living Global - 4V008</t>
        </is>
      </c>
      <c r="D12765" t="inlineStr">
        <is>
          <t>Tập đoàn ROX (ROX Group)</t>
        </is>
      </c>
      <c r="E12765" t="inlineStr">
        <is>
          <t>Lương:Cạnh tranh</t>
        </is>
      </c>
      <c r="F12765" t="inlineStr">
        <is>
          <t>Kyrgyzstan</t>
        </is>
      </c>
      <c r="G12765" t="inlineStr">
        <is>
          <t>10-04-2026</t>
        </is>
      </c>
      <c r="H12765" t="inlineStr">
        <is>
          <t>10/04/2026</t>
        </is>
      </c>
      <c r="I12765" t="inlineStr">
        <is>
          <t>17/03/2026</t>
        </is>
      </c>
      <c r="J12765" t="inlineStr">
        <is>
          <t>Bất động sản</t>
        </is>
      </c>
      <c r="K12765" t="inlineStr">
        <is>
          <t>Trên 1 Năm</t>
        </is>
      </c>
      <c r="L12765" s="8">
        <f>HYPERLINK("https://careerviet.vn/vi/tim-viec-lam/chuyen-vien-chinh-cham-soc-khach-hang-kiem-soat-hop-dong-ban-living-global-4v008.35C68417.html","Xem chi tiết")</f>
        <v/>
      </c>
    </row>
    <row r="12766">
      <c r="B12766" s="9" t="n">
        <v>12764</v>
      </c>
      <c r="C12766" s="10" t="inlineStr">
        <is>
          <t>[Quảng Ngãi] - Chuyên viên/Chuyên viên chính/Giám đốc Quan hệ Khách hàng cá nhân</t>
        </is>
      </c>
      <c r="D12766" s="10" t="inlineStr">
        <is>
          <t>Ngân hàng TMCP Lộc Phát Việt Nam (LPBank)</t>
        </is>
      </c>
      <c r="E12766" s="10" t="inlineStr">
        <is>
          <t>Lương:Cạnh tranh</t>
        </is>
      </c>
      <c r="F12766" s="10" t="inlineStr">
        <is>
          <t>Quảng Ngãi</t>
        </is>
      </c>
      <c r="G12766" s="10" t="inlineStr">
        <is>
          <t>10-04-2026</t>
        </is>
      </c>
      <c r="H12766" s="10" t="inlineStr">
        <is>
          <t>10/04/2026</t>
        </is>
      </c>
      <c r="I12766" s="10" t="inlineStr">
        <is>
          <t>17/03/2026</t>
        </is>
      </c>
      <c r="J12766" s="10" t="inlineStr">
        <is>
          <t>Bán hàng / Kinh doanh, Kế toán / Kiểm toán, Ngân hàng</t>
        </is>
      </c>
      <c r="K12766" s="10" t="inlineStr">
        <is>
          <t>Trên 1 Năm</t>
        </is>
      </c>
      <c r="L12766" s="11">
        <f>HYPERLINK("https://careerviet.vn/vi/tim-viec-lam/quang-ngai-chuyen-vien-chuyen-vien-chinh-giam-doc-quan-he-khach-hang-ca-nhan.35C652DA.html","Xem chi tiết")</f>
        <v/>
      </c>
      <c r="M12766" s="10" t="n"/>
    </row>
    <row r="12767">
      <c r="B12767" s="7" t="n">
        <v>12765</v>
      </c>
      <c r="C12767" t="inlineStr">
        <is>
          <t>TRƯỞNG PHÒNG KINH DOANH  (PRECUT, VÁN SÀN, NỘI THẤT)</t>
        </is>
      </c>
      <c r="D12767" t="inlineStr">
        <is>
          <t>Công Ty Cổ Phần Tân Vĩnh Cửu (Tavico group)</t>
        </is>
      </c>
      <c r="E12767" t="inlineStr">
        <is>
          <t>Lương:Cạnh tranh</t>
        </is>
      </c>
      <c r="F12767" t="inlineStr">
        <is>
          <t>Đồng Nai</t>
        </is>
      </c>
      <c r="G12767" t="inlineStr">
        <is>
          <t>10-04-2026</t>
        </is>
      </c>
      <c r="H12767" t="inlineStr">
        <is>
          <t>10/04/2026</t>
        </is>
      </c>
      <c r="I12767" t="inlineStr">
        <is>
          <t>17/03/2026</t>
        </is>
      </c>
      <c r="J12767" t="inlineStr">
        <is>
          <t>Bán hàng / Kinh doanh</t>
        </is>
      </c>
      <c r="K12767" t="inlineStr">
        <is>
          <t>5 - 7 Năm</t>
        </is>
      </c>
      <c r="L12767" s="8">
        <f>HYPERLINK("https://careerviet.vn/vi/tim-viec-lam/truong-phong-kinh-doanh-precut-van-san-noi-that.35C68440.html","Xem chi tiết")</f>
        <v/>
      </c>
    </row>
    <row r="12768">
      <c r="B12768" s="9" t="n">
        <v>12766</v>
      </c>
      <c r="C12768" s="10" t="inlineStr">
        <is>
          <t>International Freight Forwarding Sales (Ho Chi Minh)</t>
        </is>
      </c>
      <c r="D12768" s="10" t="inlineStr">
        <is>
          <t>S.F. EXPRESS LTD.</t>
        </is>
      </c>
      <c r="E12768" s="10" t="inlineStr">
        <is>
          <t>Lương:20 Tr - 60 Tr VND</t>
        </is>
      </c>
      <c r="F12768" s="10" t="inlineStr">
        <is>
          <t>Hồ Chí Minh</t>
        </is>
      </c>
      <c r="G12768" s="10" t="inlineStr">
        <is>
          <t>10-04-2026</t>
        </is>
      </c>
      <c r="H12768" s="10" t="inlineStr">
        <is>
          <t>10/04/2026</t>
        </is>
      </c>
      <c r="I12768" s="10" t="inlineStr">
        <is>
          <t>17/03/2026</t>
        </is>
      </c>
      <c r="J12768" s="10" t="inlineStr">
        <is>
          <t>Xuất nhập khẩu, Hàng không, Bán hàng / Kinh doanh</t>
        </is>
      </c>
      <c r="K12768" s="10" t="inlineStr">
        <is>
          <t>2 - 3 Năm</t>
        </is>
      </c>
      <c r="L12768" s="11">
        <f>HYPERLINK("https://careerviet.vn/vi/tim-viec-lam/international-freight-forwarding-sales-ho-chi-minh.35C683FD.html","Xem chi tiết")</f>
        <v/>
      </c>
      <c r="M12768" s="10" t="n"/>
    </row>
    <row r="12769">
      <c r="B12769" s="7" t="n">
        <v>12767</v>
      </c>
      <c r="C12769" t="inlineStr">
        <is>
          <t>Apparel Pattern Maker</t>
        </is>
      </c>
      <c r="D12769" t="inlineStr">
        <is>
          <t>CÔNG TY TNHH GJ SOUTHEAST</t>
        </is>
      </c>
      <c r="E12769" t="inlineStr">
        <is>
          <t>Lương:Cạnh tranh</t>
        </is>
      </c>
      <c r="F12769" t="inlineStr">
        <is>
          <t>Hồ Chí Minh</t>
        </is>
      </c>
      <c r="G12769" t="inlineStr">
        <is>
          <t>10-04-2026</t>
        </is>
      </c>
      <c r="H12769" t="inlineStr">
        <is>
          <t>10/04/2026</t>
        </is>
      </c>
      <c r="I12769" t="inlineStr">
        <is>
          <t>17/03/2026</t>
        </is>
      </c>
      <c r="J12769" t="inlineStr">
        <is>
          <t>Sản xuất / Vận hành sản xuất, Dệt may / Da giày / Thời trang, Quản lý chất lượng (QA/QC)</t>
        </is>
      </c>
      <c r="K12769" t="inlineStr">
        <is>
          <t>3 - 10 Năm</t>
        </is>
      </c>
      <c r="L12769" s="8">
        <f>HYPERLINK("https://careerviet.vn/vi/tim-viec-lam/apparel-pattern-maker.35C68400.html","Xem chi tiết")</f>
        <v/>
      </c>
    </row>
    <row r="12770">
      <c r="B12770" s="9" t="n">
        <v>12768</v>
      </c>
      <c r="C12770" s="10" t="inlineStr">
        <is>
          <t>Nhân viên an toàn lao động - Bắc Tân Uyên</t>
        </is>
      </c>
      <c r="D12770" s="10" t="inlineStr">
        <is>
          <t>CÔNG TY TNHH TM DV XỬ LÝ MÔI TRƯỜNG VIỆT KHẢI</t>
        </is>
      </c>
      <c r="E12770" s="10" t="inlineStr">
        <is>
          <t>Lương:9 Tr - 15 Tr VND</t>
        </is>
      </c>
      <c r="F12770" s="10" t="inlineStr">
        <is>
          <t>Bình Dương</t>
        </is>
      </c>
      <c r="G12770" s="10" t="inlineStr">
        <is>
          <t>10-04-2026</t>
        </is>
      </c>
      <c r="H12770" s="10" t="inlineStr">
        <is>
          <t>10/04/2026</t>
        </is>
      </c>
      <c r="I12770" s="10" t="inlineStr">
        <is>
          <t>17/03/2026</t>
        </is>
      </c>
      <c r="J12770" s="10" t="inlineStr">
        <is>
          <t>Môi trường, Bảo trì / Sửa chữa, An toàn lao động</t>
        </is>
      </c>
      <c r="K12770" s="10" t="inlineStr">
        <is>
          <t>1 - 2 Năm</t>
        </is>
      </c>
      <c r="L12770" s="11">
        <f>HYPERLINK("https://careerviet.vn/vi/tim-viec-lam/nhan-vien-an-toan-lao-dong-bac-tan-uyen.35C682D5.html","Xem chi tiết")</f>
        <v/>
      </c>
      <c r="M12770" s="10" t="n"/>
    </row>
    <row r="12771">
      <c r="B12771" s="7" t="n">
        <v>12769</v>
      </c>
      <c r="C12771" t="inlineStr">
        <is>
          <t>chuyên viên Performance Marketing</t>
        </is>
      </c>
      <c r="D12771" t="inlineStr">
        <is>
          <t>Công ty TNHH Sản xuất Thương mại &amp; Dịch vụ Hoa Xinh</t>
        </is>
      </c>
      <c r="E12771" t="inlineStr">
        <is>
          <t>Lương:10 Tr - 20 Tr VND</t>
        </is>
      </c>
      <c r="F12771" t="inlineStr">
        <is>
          <t>Hồ Chí Minh</t>
        </is>
      </c>
      <c r="G12771" t="inlineStr">
        <is>
          <t>10-04-2026</t>
        </is>
      </c>
      <c r="H12771" t="inlineStr">
        <is>
          <t>10/04/2026</t>
        </is>
      </c>
      <c r="I12771" t="inlineStr">
        <is>
          <t>17/03/2026</t>
        </is>
      </c>
      <c r="J12771" t="inlineStr">
        <is>
          <t>Tiếp thị / Marketing, Tiếp thị trực tuyến, Thương mại điện tử</t>
        </is>
      </c>
      <c r="K12771" t="inlineStr">
        <is>
          <t>3 - 5 Năm</t>
        </is>
      </c>
      <c r="L12771" s="8">
        <f>HYPERLINK("https://careerviet.vn/vi/tim-viec-lam/chuyen-vien-performance-marketing.35C683F5.html","Xem chi tiết")</f>
        <v/>
      </c>
    </row>
    <row r="12772">
      <c r="B12772" s="9" t="n">
        <v>12770</v>
      </c>
      <c r="C12772" s="10" t="inlineStr">
        <is>
          <t>Chuyên Gia Kiểm Soát Chất Lượng - TA184 - ID1955</t>
        </is>
      </c>
      <c r="D12772" s="10" t="inlineStr">
        <is>
          <t>Ngân Hàng TMCP Việt Nam Thịnh Vượng - VPBANK</t>
        </is>
      </c>
      <c r="E12772" s="10" t="inlineStr">
        <is>
          <t>Lương:30 Tr - 55 Tr VND</t>
        </is>
      </c>
      <c r="F12772" s="10" t="inlineStr">
        <is>
          <t>Hà Nội</t>
        </is>
      </c>
      <c r="G12772" s="10" t="inlineStr">
        <is>
          <t>10-04-2026</t>
        </is>
      </c>
      <c r="H12772" s="10" t="inlineStr">
        <is>
          <t>10/04/2026</t>
        </is>
      </c>
      <c r="I12772" s="10" t="inlineStr">
        <is>
          <t>17/03/2026</t>
        </is>
      </c>
      <c r="J12772" s="10" t="inlineStr">
        <is>
          <t>Ngân hàng, Tài chính / Đầu tư, Quản lý chất lượng (QA/QC)</t>
        </is>
      </c>
      <c r="K12772" s="10" t="inlineStr">
        <is>
          <t>5 - 15 Năm</t>
        </is>
      </c>
      <c r="L12772" s="11">
        <f>HYPERLINK("https://careerviet.vn/vi/tim-viec-lam/chuyen-gia-kiem-soat-chat-luong-ta184-id1955.35C683D2.html","Xem chi tiết")</f>
        <v/>
      </c>
      <c r="M12772" s="10" t="n"/>
    </row>
    <row r="12773">
      <c r="B12773" s="7" t="n">
        <v>12771</v>
      </c>
      <c r="C12773" t="inlineStr">
        <is>
          <t>Sales (Night Shift)</t>
        </is>
      </c>
      <c r="D12773" t="inlineStr">
        <is>
          <t>CÔNG TY CỔ PHẦN MAC MARKETING</t>
        </is>
      </c>
      <c r="E12773" t="inlineStr">
        <is>
          <t>Lương:Cạnh tranh</t>
        </is>
      </c>
      <c r="F12773" t="inlineStr">
        <is>
          <t>Hồ Chí Minh</t>
        </is>
      </c>
      <c r="G12773" t="inlineStr">
        <is>
          <t>10-04-2026</t>
        </is>
      </c>
      <c r="H12773" t="inlineStr">
        <is>
          <t>10/04/2026</t>
        </is>
      </c>
      <c r="I12773" t="inlineStr">
        <is>
          <t>17/03/2026</t>
        </is>
      </c>
      <c r="J12773" t="inlineStr">
        <is>
          <t>Tiếp thị / Marketing, Bán hàng / Kinh doanh, Quảng cáo / Đối ngoại / Truyền Thông</t>
        </is>
      </c>
      <c r="K12773" t="inlineStr">
        <is>
          <t>1 - 2 Năm</t>
        </is>
      </c>
      <c r="L12773" s="8">
        <f>HYPERLINK("https://careerviet.vn/vi/tim-viec-lam/sales-night-shift.35C682FB.html","Xem chi tiết")</f>
        <v/>
      </c>
    </row>
    <row r="12774">
      <c r="B12774" s="9" t="n">
        <v>12772</v>
      </c>
      <c r="C12774" s="10" t="inlineStr">
        <is>
          <t>CHUYÊN VIÊN CAO CẤP QUẢN LÝ NĂNG SUẤT THU HỒI NỢ _TA184 _ID1011</t>
        </is>
      </c>
      <c r="D12774" s="10" t="inlineStr">
        <is>
          <t>Ngân Hàng TMCP Việt Nam Thịnh Vượng - VPBANK</t>
        </is>
      </c>
      <c r="E12774" s="10" t="inlineStr">
        <is>
          <t>Lương:25 Tr - 40 Tr VND</t>
        </is>
      </c>
      <c r="F12774" s="10" t="inlineStr">
        <is>
          <t>Hà Nội</t>
        </is>
      </c>
      <c r="G12774" s="10" t="inlineStr">
        <is>
          <t>10-04-2026</t>
        </is>
      </c>
      <c r="H12774" s="10" t="inlineStr">
        <is>
          <t>10/04/2026</t>
        </is>
      </c>
      <c r="I12774" s="10" t="inlineStr">
        <is>
          <t>17/03/2026</t>
        </is>
      </c>
      <c r="J12774" s="10" t="inlineStr">
        <is>
          <t>Ngân hàng, Tài chính / Đầu tư</t>
        </is>
      </c>
      <c r="K12774" s="10" t="inlineStr">
        <is>
          <t>5 - 15 Năm</t>
        </is>
      </c>
      <c r="L12774" s="11">
        <f>HYPERLINK("https://careerviet.vn/vi/tim-viec-lam/chuyen-vien-cao-cap-quan-ly-nang-suat-thu-hoi-no-_ta184-_id1011.35C652C6.html","Xem chi tiết")</f>
        <v/>
      </c>
      <c r="M12774" s="10" t="n"/>
    </row>
    <row r="12775">
      <c r="B12775" s="7" t="n">
        <v>12773</v>
      </c>
      <c r="C12775" t="inlineStr">
        <is>
          <t>Chuyên Viên Tuyển Dụng</t>
        </is>
      </c>
      <c r="D12775" t="inlineStr">
        <is>
          <t>Công ty TNHH Thiên Thủy Mộc</t>
        </is>
      </c>
      <c r="E12775" t="inlineStr">
        <is>
          <t>Lương:10 Tr - 15 Tr VND</t>
        </is>
      </c>
      <c r="F12775" t="inlineStr">
        <is>
          <t>Hà Nội</t>
        </is>
      </c>
      <c r="G12775" t="inlineStr">
        <is>
          <t>10-04-2026</t>
        </is>
      </c>
      <c r="H12775" t="inlineStr">
        <is>
          <t>10/04/2026</t>
        </is>
      </c>
      <c r="I12775" t="inlineStr">
        <is>
          <t>17/03/2026</t>
        </is>
      </c>
      <c r="J12775" t="inlineStr">
        <is>
          <t>Nhân sự</t>
        </is>
      </c>
      <c r="K12775" t="inlineStr">
        <is>
          <t>2 - 3 Năm</t>
        </is>
      </c>
      <c r="L12775" s="8">
        <f>HYPERLINK("https://careerviet.vn/vi/tim-viec-lam/chuyen-vien-tuyen-dung.35C6529C.html","Xem chi tiết")</f>
        <v/>
      </c>
    </row>
    <row r="12776">
      <c r="B12776" s="9" t="n">
        <v>12774</v>
      </c>
      <c r="C12776" s="10" t="inlineStr">
        <is>
          <t>Sales Mảng Hun Trùng</t>
        </is>
      </c>
      <c r="D12776" s="10" t="inlineStr">
        <is>
          <t>CÔNG TY CỔ PHẦN VIỆT TOẢN</t>
        </is>
      </c>
      <c r="E12776" s="10" t="inlineStr">
        <is>
          <t>Lương:9 Tr - 22 Tr VND</t>
        </is>
      </c>
      <c r="F12776" s="10" t="inlineStr">
        <is>
          <t>Hồ Chí Minh</t>
        </is>
      </c>
      <c r="G12776" s="10" t="inlineStr">
        <is>
          <t>10-04-2026</t>
        </is>
      </c>
      <c r="H12776" s="10" t="inlineStr">
        <is>
          <t>10/04/2026</t>
        </is>
      </c>
      <c r="I12776" s="10" t="inlineStr">
        <is>
          <t>17/03/2026</t>
        </is>
      </c>
      <c r="J12776" s="10" t="inlineStr">
        <is>
          <t>Bán hàng / Kinh doanh, Vận chuyển / Giao nhận / Kho vận, Xuất nhập khẩu</t>
        </is>
      </c>
      <c r="K12776" s="10" t="inlineStr">
        <is>
          <t>Trên 1 Năm</t>
        </is>
      </c>
      <c r="L12776" s="11">
        <f>HYPERLINK("https://careerviet.vn/vi/tim-viec-lam/sales-mang-hun-trung.35C6846D.html","Xem chi tiết")</f>
        <v/>
      </c>
      <c r="M12776" s="10" t="n"/>
    </row>
    <row r="12777">
      <c r="B12777" s="7" t="n">
        <v>12775</v>
      </c>
      <c r="C12777" t="inlineStr">
        <is>
          <t>Chuyên Viên Kinh Tế Kế Hoạch</t>
        </is>
      </c>
      <c r="D12777" t="inlineStr">
        <is>
          <t>CÔNG TY CỔ PHẦN ĐẦU TƯ BẤT ĐỘNG SẢN TASECO</t>
        </is>
      </c>
      <c r="E12777" t="inlineStr">
        <is>
          <t>Lương:Cạnh tranh</t>
        </is>
      </c>
      <c r="F12777" t="inlineStr">
        <is>
          <t>Hà Nội</t>
        </is>
      </c>
      <c r="G12777" t="inlineStr">
        <is>
          <t>10-04-2026</t>
        </is>
      </c>
      <c r="H12777" t="inlineStr">
        <is>
          <t>10/04/2026</t>
        </is>
      </c>
      <c r="I12777" t="inlineStr">
        <is>
          <t>17/03/2026</t>
        </is>
      </c>
      <c r="J12777" t="inlineStr">
        <is>
          <t>Kế toán / Kiểm toán, Xây dựng, Tài chính / Đầu tư</t>
        </is>
      </c>
      <c r="K12777" t="inlineStr">
        <is>
          <t>N/A</t>
        </is>
      </c>
      <c r="L12777" s="8">
        <f>HYPERLINK("https://careerviet.vn/vi/tim-viec-lam/chuyen-vien-kinh-te-ke-hoach.35C683CD.html","Xem chi tiết")</f>
        <v/>
      </c>
    </row>
    <row r="12778">
      <c r="B12778" s="9" t="n">
        <v>12776</v>
      </c>
      <c r="C12778" s="10" t="inlineStr">
        <is>
          <t>Data Analytics Officer</t>
        </is>
      </c>
      <c r="D12778" s="10" t="inlineStr">
        <is>
          <t>CÔNG TY TNHH THANTAWAN INDUSTRY (VIỆT NAM)</t>
        </is>
      </c>
      <c r="E12778" s="10" t="inlineStr">
        <is>
          <t>Lương:20 Tr - 25 Tr VND</t>
        </is>
      </c>
      <c r="F12778" s="10" t="inlineStr">
        <is>
          <t>Tây NinhĐồng NaiBình Dương</t>
        </is>
      </c>
      <c r="G12778" s="10" t="inlineStr">
        <is>
          <t>10-04-2026</t>
        </is>
      </c>
      <c r="H12778" s="10" t="inlineStr">
        <is>
          <t>10/04/2026</t>
        </is>
      </c>
      <c r="I12778" s="10" t="inlineStr">
        <is>
          <t>17/03/2026</t>
        </is>
      </c>
      <c r="J12778" s="10" t="inlineStr">
        <is>
          <t>Ngành khác</t>
        </is>
      </c>
      <c r="K12778" s="10" t="inlineStr">
        <is>
          <t>Lên đến 2 Năm</t>
        </is>
      </c>
      <c r="L12778" s="11">
        <f>HYPERLINK("https://careerviet.vn/vi/tim-viec-lam/data-analytics-officer.35C6801F.html","Xem chi tiết")</f>
        <v/>
      </c>
      <c r="M12778" s="10" t="n"/>
    </row>
    <row r="12779">
      <c r="B12779" s="7" t="n">
        <v>12777</v>
      </c>
      <c r="C12779" t="inlineStr">
        <is>
          <t>Chuyên viên Thu hồi Nợ Hiện trường</t>
        </is>
      </c>
      <c r="D12779" t="inlineStr">
        <is>
          <t>BVBank - Ngân hàng Bản Việt</t>
        </is>
      </c>
      <c r="E12779" t="inlineStr">
        <is>
          <t>Lương:Cạnh tranh</t>
        </is>
      </c>
      <c r="F12779" t="inlineStr">
        <is>
          <t>Tây NinhTiền Giang</t>
        </is>
      </c>
      <c r="G12779" t="inlineStr">
        <is>
          <t>10-04-2026</t>
        </is>
      </c>
      <c r="H12779" t="inlineStr">
        <is>
          <t>10/04/2026</t>
        </is>
      </c>
      <c r="I12779" t="inlineStr">
        <is>
          <t>17/03/2026</t>
        </is>
      </c>
      <c r="J12779" t="inlineStr">
        <is>
          <t>Ngân hàng, Tài chính / Đầu tư</t>
        </is>
      </c>
      <c r="K12779" t="inlineStr">
        <is>
          <t>2 - 3 Năm</t>
        </is>
      </c>
      <c r="L12779" s="8">
        <f>HYPERLINK("https://careerviet.vn/vi/tim-viec-lam/chuyen-vien-thu-hoi-no-hien-truong.35C68381.html","Xem chi tiết")</f>
        <v/>
      </c>
    </row>
    <row r="12780">
      <c r="B12780" s="9" t="n">
        <v>12778</v>
      </c>
      <c r="C12780" s="10" t="inlineStr">
        <is>
          <t>[NSG] Trưởng phòng phụ trách Tổ chức Vận hành Dịch vụ Khách hàng</t>
        </is>
      </c>
      <c r="D12780" s="10" t="inlineStr">
        <is>
          <t>Nova Service Group - Công ty Cổ phần Tập đoàn Nova Services</t>
        </is>
      </c>
      <c r="E12780" s="10" t="inlineStr">
        <is>
          <t>Lương:Cạnh tranh</t>
        </is>
      </c>
      <c r="F12780" s="10" t="inlineStr">
        <is>
          <t>Hồ Chí Minh</t>
        </is>
      </c>
      <c r="G12780" s="10" t="inlineStr">
        <is>
          <t>10-04-2026</t>
        </is>
      </c>
      <c r="H12780" s="10" t="inlineStr">
        <is>
          <t>10/04/2026</t>
        </is>
      </c>
      <c r="I12780" s="10" t="inlineStr">
        <is>
          <t>17/03/2026</t>
        </is>
      </c>
      <c r="J12780" s="10" t="inlineStr">
        <is>
          <t>Dịch vụ khách hàng, Nhà hàng / Khách sạn, Du lịch</t>
        </is>
      </c>
      <c r="K12780" s="10" t="inlineStr">
        <is>
          <t>7 - 10 Năm</t>
        </is>
      </c>
      <c r="L12780" s="11">
        <f>HYPERLINK("https://careerviet.vn/vi/tim-viec-lam/nsg-truong-phong-phu-trach-to-chuc-van-hanh-dich-vu-khach-hang.35C652B4.html","Xem chi tiết")</f>
        <v/>
      </c>
      <c r="M12780" s="10" t="n"/>
    </row>
    <row r="12781">
      <c r="B12781" s="7" t="n">
        <v>12779</v>
      </c>
      <c r="C12781" t="inlineStr">
        <is>
          <t>Sales Admin</t>
        </is>
      </c>
      <c r="D12781" t="inlineStr">
        <is>
          <t>HR Vietnam’s ESS Client</t>
        </is>
      </c>
      <c r="E12781" t="inlineStr">
        <is>
          <t>Lương:Cạnh tranh</t>
        </is>
      </c>
      <c r="F12781" t="inlineStr">
        <is>
          <t>Hồ Chí Minh</t>
        </is>
      </c>
      <c r="G12781" t="inlineStr">
        <is>
          <t>28-03-2026</t>
        </is>
      </c>
      <c r="H12781" t="inlineStr">
        <is>
          <t>28/03/2026</t>
        </is>
      </c>
      <c r="I12781" t="inlineStr">
        <is>
          <t>17/03/2026</t>
        </is>
      </c>
      <c r="J12781" t="inlineStr">
        <is>
          <t>Hành chính / Thư ký, Bán hàng / Kinh doanh</t>
        </is>
      </c>
      <c r="K12781" t="inlineStr">
        <is>
          <t>1 - 3 Năm</t>
        </is>
      </c>
      <c r="L12781" s="8">
        <f>HYPERLINK("https://careerviet.vn/vi/tim-viec-lam/sales-admin.35C69CBC.html","Xem chi tiết")</f>
        <v/>
      </c>
    </row>
    <row r="12782">
      <c r="B12782" s="9" t="n">
        <v>12780</v>
      </c>
      <c r="C12782" s="10" t="inlineStr">
        <is>
          <t>Kế toán tổng hợp (Retail)</t>
        </is>
      </c>
      <c r="D12782" s="10" t="inlineStr">
        <is>
          <t>Công Ty TNHH XNK Phát Triển Đông Dương</t>
        </is>
      </c>
      <c r="E12782" s="10" t="inlineStr">
        <is>
          <t>Lương:20 Tr - 25 Tr VND</t>
        </is>
      </c>
      <c r="F12782" s="10" t="inlineStr">
        <is>
          <t>Hồ Chí Minh</t>
        </is>
      </c>
      <c r="G12782" s="10" t="inlineStr">
        <is>
          <t>31-03-2026</t>
        </is>
      </c>
      <c r="H12782" s="10" t="inlineStr">
        <is>
          <t>31/03/2026</t>
        </is>
      </c>
      <c r="I12782" s="10" t="inlineStr">
        <is>
          <t>17/03/2026</t>
        </is>
      </c>
      <c r="J12782" s="10" t="inlineStr">
        <is>
          <t>Kế toán / Kiểm toán, Tài chính / Đầu tư</t>
        </is>
      </c>
      <c r="K12782" s="10" t="inlineStr">
        <is>
          <t>3 - 5 Năm</t>
        </is>
      </c>
      <c r="L12782" s="11">
        <f>HYPERLINK("https://careerviet.vn/vi/tim-viec-lam/ke-toan-tong-hop-retail.35C69C39.html","Xem chi tiết")</f>
        <v/>
      </c>
      <c r="M12782" s="10" t="n"/>
    </row>
    <row r="12783">
      <c r="B12783" s="7" t="n">
        <v>12781</v>
      </c>
      <c r="C12783" t="inlineStr">
        <is>
          <t>HO - Trưởng Bộ Phận Kiểm Soát Giao Dịch Thẻ</t>
        </is>
      </c>
      <c r="D12783" t="inlineStr">
        <is>
          <t>Ngân Hàng TMCP Phương Đông - OCB</t>
        </is>
      </c>
      <c r="E12783" t="inlineStr">
        <is>
          <t>Lương:Cạnh tranh</t>
        </is>
      </c>
      <c r="F12783" t="inlineStr">
        <is>
          <t>Hồ Chí Minh</t>
        </is>
      </c>
      <c r="G12783" t="inlineStr">
        <is>
          <t>15-04-2026</t>
        </is>
      </c>
      <c r="H12783" t="inlineStr">
        <is>
          <t>15/04/2026</t>
        </is>
      </c>
      <c r="I12783" t="inlineStr">
        <is>
          <t>17/03/2026</t>
        </is>
      </c>
      <c r="J12783" t="inlineStr">
        <is>
          <t>Ngân hàng</t>
        </is>
      </c>
      <c r="K12783" t="inlineStr">
        <is>
          <t>3 - 5 Năm</t>
        </is>
      </c>
      <c r="L12783" s="8">
        <f>HYPERLINK("https://careerviet.vn/vi/tim-viec-lam/ho-truong-bo-phan-kiem-soat-giao-dich-the.35C69B1F.html","Xem chi tiết")</f>
        <v/>
      </c>
    </row>
    <row r="12784">
      <c r="B12784" s="9" t="n">
        <v>12782</v>
      </c>
      <c r="C12784" s="10" t="inlineStr">
        <is>
          <t>Nhân viên kế toán</t>
        </is>
      </c>
      <c r="D12784" s="10" t="inlineStr">
        <is>
          <t>Công Ty TNHH Thực Phẩm Chay Thanh Dũng</t>
        </is>
      </c>
      <c r="E12784" s="10" t="inlineStr">
        <is>
          <t>Lương:14 Tr - 16 Tr VND</t>
        </is>
      </c>
      <c r="F12784" s="10" t="inlineStr">
        <is>
          <t>Bình Dương</t>
        </is>
      </c>
      <c r="G12784" s="10" t="inlineStr">
        <is>
          <t>31-03-2026</t>
        </is>
      </c>
      <c r="H12784" s="10" t="inlineStr">
        <is>
          <t>31/03/2026</t>
        </is>
      </c>
      <c r="I12784" s="10" t="inlineStr">
        <is>
          <t>17/03/2026</t>
        </is>
      </c>
      <c r="J12784" s="10" t="inlineStr">
        <is>
          <t>Thực phẩm &amp; Đồ uống, Kế toán / Kiểm toán, Hành chính / Thư ký</t>
        </is>
      </c>
      <c r="K12784" s="10" t="inlineStr">
        <is>
          <t>4 - 5 Năm</t>
        </is>
      </c>
      <c r="L12784" s="11">
        <f>HYPERLINK("https://careerviet.vn/vi/tim-viec-lam/nhan-vien-ke-toa-n.35C69B90.html","Xem chi tiết")</f>
        <v/>
      </c>
      <c r="M12784" s="10" t="n"/>
    </row>
    <row r="12785">
      <c r="B12785" s="7" t="n">
        <v>12783</v>
      </c>
      <c r="C12785" t="inlineStr">
        <is>
          <t>Giám Đốc Tài Chính</t>
        </is>
      </c>
      <c r="D12785" t="inlineStr">
        <is>
          <t>CÔNG TY TNHH MỘT THÀNH VIÊN GẠCH TUYNEL HIẾU THẢO</t>
        </is>
      </c>
      <c r="E12785" t="inlineStr">
        <is>
          <t>Lương:30 Tr - 38 Tr VND</t>
        </is>
      </c>
      <c r="F12785" t="inlineStr">
        <is>
          <t>Bình Dương</t>
        </is>
      </c>
      <c r="G12785" t="inlineStr">
        <is>
          <t>10-04-2026</t>
        </is>
      </c>
      <c r="H12785" t="inlineStr">
        <is>
          <t>10/04/2026</t>
        </is>
      </c>
      <c r="I12785" t="inlineStr">
        <is>
          <t>17/03/2026</t>
        </is>
      </c>
      <c r="J12785" t="inlineStr">
        <is>
          <t>Kế toán / Kiểm toán, Tài chính / Đầu tư</t>
        </is>
      </c>
      <c r="K12785" t="inlineStr">
        <is>
          <t>Trên 7 Năm</t>
        </is>
      </c>
      <c r="L12785" s="8">
        <f>HYPERLINK("https://careerviet.vn/vi/tim-viec-lam/giam-doc-tai-chinh.35C67FBB.html","Xem chi tiết")</f>
        <v/>
      </c>
    </row>
    <row r="12786">
      <c r="B12786" s="9" t="n">
        <v>12784</v>
      </c>
      <c r="C12786" s="10" t="inlineStr">
        <is>
          <t>Nhân viên Hành chính Nhân sự</t>
        </is>
      </c>
      <c r="D12786" s="10" t="inlineStr">
        <is>
          <t>Công ty TNHH SXTM XNK Minh Hiền</t>
        </is>
      </c>
      <c r="E12786" s="10" t="inlineStr">
        <is>
          <t>Lương:6 Tr - 9 Tr VND</t>
        </is>
      </c>
      <c r="F12786" s="10" t="inlineStr">
        <is>
          <t>Thừa Thiên- Huế</t>
        </is>
      </c>
      <c r="G12786" s="10" t="inlineStr">
        <is>
          <t>26-03-2026</t>
        </is>
      </c>
      <c r="H12786" s="10" t="inlineStr">
        <is>
          <t>26/03/2026</t>
        </is>
      </c>
      <c r="I12786" s="10" t="inlineStr">
        <is>
          <t>17/03/2026</t>
        </is>
      </c>
      <c r="J12786" s="10" t="inlineStr">
        <is>
          <t>Dệt may / Da giày / Thời trang, Nhân sự, Hành chính / Thư ký</t>
        </is>
      </c>
      <c r="K12786" s="10" t="inlineStr">
        <is>
          <t>1 - 2 Năm</t>
        </is>
      </c>
      <c r="L12786" s="11">
        <f>HYPERLINK("https://careerviet.vn/vi/tim-viec-lam/nhan-vien-hanh-chinh-nhan-su.35C69A69.html","Xem chi tiết")</f>
        <v/>
      </c>
      <c r="M12786" s="10" t="n"/>
    </row>
    <row r="12787">
      <c r="B12787" s="7" t="n">
        <v>12785</v>
      </c>
      <c r="C12787" t="inlineStr">
        <is>
          <t>Nhân Viên Quay Dựng Video</t>
        </is>
      </c>
      <c r="D12787" t="inlineStr">
        <is>
          <t>CÔNG TY CỔ PHẦN TƯ VẤN THIẾT KẾ VÀ XÂY DỰNG GREENHN</t>
        </is>
      </c>
      <c r="E12787" t="inlineStr">
        <is>
          <t>Lương:12 Tr - 17 Tr VND</t>
        </is>
      </c>
      <c r="F12787" t="inlineStr">
        <is>
          <t>Hồ Chí Minh</t>
        </is>
      </c>
      <c r="G12787" t="inlineStr">
        <is>
          <t>31-03-2026</t>
        </is>
      </c>
      <c r="H12787" t="inlineStr">
        <is>
          <t>31/03/2026</t>
        </is>
      </c>
      <c r="I12787" t="inlineStr">
        <is>
          <t>17/03/2026</t>
        </is>
      </c>
      <c r="J12787" t="inlineStr">
        <is>
          <t>Quảng cáo / Đối ngoại / Truyền Thông</t>
        </is>
      </c>
      <c r="K12787" t="inlineStr">
        <is>
          <t>Chưa có kinh nghiệm</t>
        </is>
      </c>
      <c r="L12787" s="8">
        <f>HYPERLINK("https://careerviet.vn/vi/tim-viec-lam/nhan-vien-quay-dung-video.35C69C4F.html","Xem chi tiết")</f>
        <v/>
      </c>
    </row>
    <row r="12788">
      <c r="B12788" s="9" t="n">
        <v>12786</v>
      </c>
      <c r="C12788" s="10" t="inlineStr">
        <is>
          <t>Nhân Viên Tư Vấn Kênh Trả Góp_Bình Định</t>
        </is>
      </c>
      <c r="D12788" s="10" t="inlineStr">
        <is>
          <t>Công Ty Tài Chính TNHH Một Thành Viên Quốc Tế Việt Nam JACCS</t>
        </is>
      </c>
      <c r="E12788" s="10" t="inlineStr">
        <is>
          <t>Lương:5 Tr - 15 Tr VND</t>
        </is>
      </c>
      <c r="F12788" s="10" t="inlineStr">
        <is>
          <t>Bình Định</t>
        </is>
      </c>
      <c r="G12788" s="10" t="inlineStr">
        <is>
          <t>26-03-2026</t>
        </is>
      </c>
      <c r="H12788" s="10" t="inlineStr">
        <is>
          <t>26/03/2026</t>
        </is>
      </c>
      <c r="I12788" s="10" t="inlineStr">
        <is>
          <t>17/03/2026</t>
        </is>
      </c>
      <c r="J12788" s="10" t="inlineStr">
        <is>
          <t>Bán hàng / Kinh doanh, Tài chính / Đầu tư, Lao động phổ thông</t>
        </is>
      </c>
      <c r="K12788" s="10" t="inlineStr">
        <is>
          <t>N/A</t>
        </is>
      </c>
      <c r="L12788" s="11">
        <f>HYPERLINK("https://careerviet.vn/vi/tim-viec-lam/nhan-vien-tu-van-kenh-tra-gop_binh-dinh.35C69943.html","Xem chi tiết")</f>
        <v/>
      </c>
      <c r="M12788" s="10" t="n"/>
    </row>
    <row r="12789">
      <c r="B12789" s="7" t="n">
        <v>12787</v>
      </c>
      <c r="C12789" t="inlineStr">
        <is>
          <t>HO - CVC/CVCC Phát Triển Sản Phẩm CASA</t>
        </is>
      </c>
      <c r="D12789" t="inlineStr">
        <is>
          <t>Ngân Hàng TMCP Phương Đông - OCB</t>
        </is>
      </c>
      <c r="E12789" t="inlineStr">
        <is>
          <t>Lương:Cạnh tranh</t>
        </is>
      </c>
      <c r="F12789" t="inlineStr">
        <is>
          <t>Hồ Chí Minh</t>
        </is>
      </c>
      <c r="G12789" t="inlineStr">
        <is>
          <t>14-04-2026</t>
        </is>
      </c>
      <c r="H12789" t="inlineStr">
        <is>
          <t>14/04/2026</t>
        </is>
      </c>
      <c r="I12789" t="inlineStr">
        <is>
          <t>17/03/2026</t>
        </is>
      </c>
      <c r="J12789" t="inlineStr">
        <is>
          <t>Ngân hàng</t>
        </is>
      </c>
      <c r="K12789" t="inlineStr">
        <is>
          <t>2 - 5 Năm</t>
        </is>
      </c>
      <c r="L12789" s="8">
        <f>HYPERLINK("https://careerviet.vn/vi/tim-viec-lam/ho-cvc-cvcc-phat-trien-san-pham-casa.35C69B32.html","Xem chi tiết")</f>
        <v/>
      </c>
    </row>
    <row r="12790">
      <c r="B12790" s="9" t="n">
        <v>12788</v>
      </c>
      <c r="C12790" s="10" t="inlineStr">
        <is>
          <t>Chuyên viên vận hành kho</t>
        </is>
      </c>
      <c r="D12790" s="10" t="inlineStr">
        <is>
          <t>CÔNG TY TNHH XUẤT NHẬP KHẨU RUTOP VIỆT NAM - Thương Hiệu Toptotoes</t>
        </is>
      </c>
      <c r="E12790" s="10" t="inlineStr">
        <is>
          <t>Lương:12 Tr - 18 Tr VND</t>
        </is>
      </c>
      <c r="F12790" s="10" t="inlineStr">
        <is>
          <t>Hà Nội</t>
        </is>
      </c>
      <c r="G12790" s="10" t="inlineStr">
        <is>
          <t>31-03-2026</t>
        </is>
      </c>
      <c r="H12790" s="10" t="inlineStr">
        <is>
          <t>31/03/2026</t>
        </is>
      </c>
      <c r="I12790" s="10" t="inlineStr">
        <is>
          <t>17/03/2026</t>
        </is>
      </c>
      <c r="J12790" s="10" t="inlineStr">
        <is>
          <t>Vận chuyển / Giao nhận / Kho vận, Thương mại điện tử, Dược phẩm/ Hóa Mỹ Phẩm</t>
        </is>
      </c>
      <c r="K12790" s="10" t="inlineStr">
        <is>
          <t>2 - 3 Năm</t>
        </is>
      </c>
      <c r="L12790" s="11">
        <f>HYPERLINK("https://careerviet.vn/vi/tim-viec-lam/chuyen-vien-van-hanh-kho.35C69AAB.html","Xem chi tiết")</f>
        <v/>
      </c>
      <c r="M12790" s="10" t="n"/>
    </row>
    <row r="12791">
      <c r="B12791" s="7" t="n">
        <v>12789</v>
      </c>
      <c r="C12791" t="inlineStr">
        <is>
          <t>Kỹ sư Robotics</t>
        </is>
      </c>
      <c r="D12791" t="inlineStr">
        <is>
          <t>CÔNG TY CỔ PHẦN TẬP ĐOÀN DAT</t>
        </is>
      </c>
      <c r="E12791" t="inlineStr">
        <is>
          <t>Lương:20 Tr - 25 Tr VND</t>
        </is>
      </c>
      <c r="F12791" t="inlineStr">
        <is>
          <t>Hồ Chí Minh</t>
        </is>
      </c>
      <c r="G12791" t="inlineStr">
        <is>
          <t>31-03-2026</t>
        </is>
      </c>
      <c r="H12791" t="inlineStr">
        <is>
          <t>31/03/2026</t>
        </is>
      </c>
      <c r="I12791" t="inlineStr">
        <is>
          <t>17/03/2026</t>
        </is>
      </c>
      <c r="J12791" t="inlineStr">
        <is>
          <t>Cơ khí / Ô tô / Tự động hóa, Điện / Điện tử / Điện lạnh / Điện công nghiệp</t>
        </is>
      </c>
      <c r="K12791" t="inlineStr">
        <is>
          <t>3 - 5 Năm</t>
        </is>
      </c>
      <c r="L12791" s="8">
        <f>HYPERLINK("https://careerviet.vn/vi/tim-viec-lam/ky-su-robotics.35C699A8.html","Xem chi tiết")</f>
        <v/>
      </c>
    </row>
    <row r="12792">
      <c r="B12792" s="9" t="n">
        <v>12790</v>
      </c>
      <c r="C12792" s="10" t="inlineStr">
        <is>
          <t>Kế toán trưởng ( Thu nhập 25 - 30 triệu + thưởng lợi nhuận)</t>
        </is>
      </c>
      <c r="D12792" s="10" t="inlineStr">
        <is>
          <t>CÔNG TY CỔ PHẦN ULTD THỊNH PHÁT</t>
        </is>
      </c>
      <c r="E12792" s="10" t="inlineStr">
        <is>
          <t>Lương:25 Tr - 30 Tr VND</t>
        </is>
      </c>
      <c r="F12792" s="10" t="inlineStr">
        <is>
          <t>Hà Nội</t>
        </is>
      </c>
      <c r="G12792" s="10" t="inlineStr">
        <is>
          <t>31-03-2026</t>
        </is>
      </c>
      <c r="H12792" s="10" t="inlineStr">
        <is>
          <t>31/03/2026</t>
        </is>
      </c>
      <c r="I12792" s="10" t="inlineStr">
        <is>
          <t>17/03/2026</t>
        </is>
      </c>
      <c r="J12792" s="10" t="inlineStr">
        <is>
          <t>Kế toán / Kiểm toán, Bán lẻ / Bán sỉ, Thương mại điện tử</t>
        </is>
      </c>
      <c r="K12792" s="10" t="inlineStr">
        <is>
          <t>3 - 4 Năm</t>
        </is>
      </c>
      <c r="L12792" s="11">
        <f>HYPERLINK("https://careerviet.vn/vi/tim-viec-lam/ke-toan-truong-thu-nhap-25-30-trieu-thuong-loi-nhuan.35C69D0D.html","Xem chi tiết")</f>
        <v/>
      </c>
      <c r="M12792" s="10" t="n"/>
    </row>
    <row r="12793">
      <c r="B12793" s="7" t="n">
        <v>12791</v>
      </c>
      <c r="C12793" t="inlineStr">
        <is>
          <t>Nhân viên QA/QC</t>
        </is>
      </c>
      <c r="D12793" t="inlineStr">
        <is>
          <t>CÔNG TY TNHH THE SUN COSMECTICS</t>
        </is>
      </c>
      <c r="E12793" t="inlineStr">
        <is>
          <t>Lương:8 Tr - 12 Tr VND</t>
        </is>
      </c>
      <c r="F12793" t="inlineStr">
        <is>
          <t>Hồ Chí Minh</t>
        </is>
      </c>
      <c r="G12793" t="inlineStr">
        <is>
          <t>31-03-2026</t>
        </is>
      </c>
      <c r="H12793" t="inlineStr">
        <is>
          <t>31/03/2026</t>
        </is>
      </c>
      <c r="I12793" t="inlineStr">
        <is>
          <t>17/03/2026</t>
        </is>
      </c>
      <c r="J12793" t="inlineStr">
        <is>
          <t>Dược phẩm/ Hóa Mỹ Phẩm, Quản lý chất lượng (QA/QC), Sản xuất / Vận hành sản xuất</t>
        </is>
      </c>
      <c r="K12793" t="inlineStr">
        <is>
          <t>N/A</t>
        </is>
      </c>
      <c r="L12793" s="8">
        <f>HYPERLINK("https://careerviet.vn/vi/tim-viec-lam/nhan-vien-qa-qc.35C6998F.html","Xem chi tiết")</f>
        <v/>
      </c>
    </row>
    <row r="12794">
      <c r="B12794" s="9" t="n">
        <v>12792</v>
      </c>
      <c r="C12794" s="10" t="inlineStr">
        <is>
          <t>Nhân viên Chăm Sóc Khách Hàng Viettel Post tại Lai Xá, Hoài Đức H1</t>
        </is>
      </c>
      <c r="D12794" s="10" t="inlineStr">
        <is>
          <t>CÔNG TY CỔ PHẦN TRUYỀN THÔNG KIM CƯƠNG</t>
        </is>
      </c>
      <c r="E12794" s="10" t="inlineStr">
        <is>
          <t>Lương:7 Tr - 10 Tr VND</t>
        </is>
      </c>
      <c r="F12794" s="10" t="inlineStr">
        <is>
          <t>Hà Nội</t>
        </is>
      </c>
      <c r="G12794" s="10" t="inlineStr">
        <is>
          <t>31-03-2026</t>
        </is>
      </c>
      <c r="H12794" s="10" t="inlineStr">
        <is>
          <t>31/03/2026</t>
        </is>
      </c>
      <c r="I12794" s="10" t="inlineStr">
        <is>
          <t>17/03/2026</t>
        </is>
      </c>
      <c r="J12794" s="10" t="inlineStr">
        <is>
          <t>Bán hàng / Kinh doanh, Kế toán / Kiểm toán, Bảo hiểm</t>
        </is>
      </c>
      <c r="K12794" s="10" t="inlineStr">
        <is>
          <t>N/A</t>
        </is>
      </c>
      <c r="L12794" s="11">
        <f>HYPERLINK("https://careerviet.vn/vi/tim-viec-lam/nhan-vien-cham-soc-khach-hang-viettel-post-tai-lai-xa-hoai-duc-h1.35C69918.html","Xem chi tiết")</f>
        <v/>
      </c>
      <c r="M12794" s="10" t="n"/>
    </row>
    <row r="12795">
      <c r="B12795" s="7" t="n">
        <v>12793</v>
      </c>
      <c r="C12795" t="inlineStr">
        <is>
          <t>Nhân Viên Tư Vấn Kênh Trả Góp_Hưng Yên</t>
        </is>
      </c>
      <c r="D12795" t="inlineStr">
        <is>
          <t>Công Ty Tài Chính TNHH Một Thành Viên Quốc Tế Việt Nam JACCS</t>
        </is>
      </c>
      <c r="E12795" t="inlineStr">
        <is>
          <t>Lương:5 Tr - 15 Tr VND</t>
        </is>
      </c>
      <c r="F12795" t="inlineStr">
        <is>
          <t>Hưng Yên</t>
        </is>
      </c>
      <c r="G12795" t="inlineStr">
        <is>
          <t>26-03-2026</t>
        </is>
      </c>
      <c r="H12795" t="inlineStr">
        <is>
          <t>26/03/2026</t>
        </is>
      </c>
      <c r="I12795" t="inlineStr">
        <is>
          <t>17/03/2026</t>
        </is>
      </c>
      <c r="J12795" t="inlineStr">
        <is>
          <t>Bán hàng / Kinh doanh, Tài chính / Đầu tư, Lao động phổ thông</t>
        </is>
      </c>
      <c r="K12795" t="inlineStr">
        <is>
          <t>N/A</t>
        </is>
      </c>
      <c r="L12795" s="8">
        <f>HYPERLINK("https://careerviet.vn/vi/tim-viec-lam/nhan-vien-tu-van-kenh-tra-gop_hung-yen.35C69927.html","Xem chi tiết")</f>
        <v/>
      </c>
    </row>
    <row r="12796">
      <c r="B12796" s="9" t="n">
        <v>12794</v>
      </c>
      <c r="C12796" s="10" t="inlineStr">
        <is>
          <t>Chuyên viên phân tích nghiệp vụ BA - Business Analyst</t>
        </is>
      </c>
      <c r="D12796" s="10" t="inlineStr">
        <is>
          <t>Chương trình Học viện Công nghệ BKACAD</t>
        </is>
      </c>
      <c r="E12796" s="10" t="inlineStr">
        <is>
          <t>Lương:12 Tr - 18 Tr VND</t>
        </is>
      </c>
      <c r="F12796" s="10" t="inlineStr">
        <is>
          <t>Hà Nội</t>
        </is>
      </c>
      <c r="G12796" s="10" t="inlineStr">
        <is>
          <t>31-03-2026</t>
        </is>
      </c>
      <c r="H12796" s="10" t="inlineStr">
        <is>
          <t>31/03/2026</t>
        </is>
      </c>
      <c r="I12796" s="10" t="inlineStr">
        <is>
          <t>17/03/2026</t>
        </is>
      </c>
      <c r="J12796" s="10" t="inlineStr">
        <is>
          <t>Ngân hàng, Tài chính / Đầu tư, CNTT - Phần mềm</t>
        </is>
      </c>
      <c r="K12796" s="10" t="inlineStr">
        <is>
          <t>2 - 3 Năm</t>
        </is>
      </c>
      <c r="L12796" s="11">
        <f>HYPERLINK("https://careerviet.vn/vi/tim-viec-lam/chuyen-vien-phan-tich-nghiep-vu-ba-business-analyst.35C69B7B.html","Xem chi tiết")</f>
        <v/>
      </c>
      <c r="M12796" s="10" t="n"/>
    </row>
    <row r="12797">
      <c r="B12797" s="7" t="n">
        <v>12795</v>
      </c>
      <c r="C12797" t="inlineStr">
        <is>
          <t>Nhóm Trưởng Bảo Trì</t>
        </is>
      </c>
      <c r="D12797" t="inlineStr">
        <is>
          <t>EuP Group</t>
        </is>
      </c>
      <c r="E12797" t="inlineStr">
        <is>
          <t>Lương:14 Tr - 16 Tr VND</t>
        </is>
      </c>
      <c r="F12797" t="inlineStr">
        <is>
          <t>Hải Phòng</t>
        </is>
      </c>
      <c r="G12797" t="inlineStr">
        <is>
          <t>26-03-2026</t>
        </is>
      </c>
      <c r="H12797" t="inlineStr">
        <is>
          <t>26/03/2026</t>
        </is>
      </c>
      <c r="I12797" t="inlineStr">
        <is>
          <t>17/03/2026</t>
        </is>
      </c>
      <c r="J12797" t="inlineStr">
        <is>
          <t>Điện / Điện tử / Điện lạnh / Điện công nghiệp, Bảo trì / Sửa chữa</t>
        </is>
      </c>
      <c r="K12797" t="inlineStr">
        <is>
          <t>Trên 1 Năm</t>
        </is>
      </c>
      <c r="L12797" s="8">
        <f>HYPERLINK("https://careerviet.vn/vi/tim-viec-lam/nhom-truong-bao-tri.35C69949.html","Xem chi tiết")</f>
        <v/>
      </c>
    </row>
    <row r="12798">
      <c r="B12798" s="9" t="n">
        <v>12796</v>
      </c>
      <c r="C12798" s="10" t="inlineStr">
        <is>
          <t>Chỉ huy phó (Dự án Đại Nam, Bình Dương)</t>
        </is>
      </c>
      <c r="D12798" s="10" t="inlineStr">
        <is>
          <t>CÔNG TY TNHH DK BUILD</t>
        </is>
      </c>
      <c r="E12798" s="10" t="inlineStr">
        <is>
          <t>Lương:Cạnh tranh</t>
        </is>
      </c>
      <c r="F12798" s="10" t="inlineStr">
        <is>
          <t>Bình Dương</t>
        </is>
      </c>
      <c r="G12798" s="10" t="inlineStr">
        <is>
          <t>31-03-2026</t>
        </is>
      </c>
      <c r="H12798" s="10" t="inlineStr">
        <is>
          <t>31/03/2026</t>
        </is>
      </c>
      <c r="I12798" s="10" t="inlineStr">
        <is>
          <t>17/03/2026</t>
        </is>
      </c>
      <c r="J12798" s="10" t="inlineStr">
        <is>
          <t>Xây dựng</t>
        </is>
      </c>
      <c r="K12798" s="10" t="inlineStr">
        <is>
          <t>5 - 7 Năm</t>
        </is>
      </c>
      <c r="L12798" s="11">
        <f>HYPERLINK("https://careerviet.vn/vi/tim-viec-lam/chi-huy-pho-du-an-dai-nam-binh-duong.35C69974.html","Xem chi tiết")</f>
        <v/>
      </c>
      <c r="M12798" s="10" t="n"/>
    </row>
    <row r="12799">
      <c r="B12799" s="7" t="n">
        <v>12797</v>
      </c>
      <c r="C12799" t="inlineStr">
        <is>
          <t>Bếp Trưởng</t>
        </is>
      </c>
      <c r="D12799" t="inlineStr">
        <is>
          <t>Công ty TNHH Sản xuất Thương mại &amp; Dịch vụ Hoa Xinh</t>
        </is>
      </c>
      <c r="E12799" t="inlineStr">
        <is>
          <t>Lương:15 Tr - 30 Tr VND</t>
        </is>
      </c>
      <c r="F12799" t="inlineStr">
        <is>
          <t>Bà Rịa - Vũng TàuHồ Chí Minh</t>
        </is>
      </c>
      <c r="G12799" t="inlineStr">
        <is>
          <t>10-04-2026</t>
        </is>
      </c>
      <c r="H12799" t="inlineStr">
        <is>
          <t>10/04/2026</t>
        </is>
      </c>
      <c r="I12799" t="inlineStr">
        <is>
          <t>17/03/2026</t>
        </is>
      </c>
      <c r="J12799" t="inlineStr">
        <is>
          <t>Thực phẩm &amp; Đồ uống, Nhà hàng / Khách sạn, Du lịch</t>
        </is>
      </c>
      <c r="K12799" t="inlineStr">
        <is>
          <t>1 - 5 Năm</t>
        </is>
      </c>
      <c r="L12799" s="8">
        <f>HYPERLINK("https://careerviet.vn/vi/tim-viec-lam/bep-truong.35C683F0.html","Xem chi tiết")</f>
        <v/>
      </c>
    </row>
    <row r="12800">
      <c r="B12800" s="9" t="n">
        <v>12798</v>
      </c>
      <c r="C12800" s="10" t="inlineStr">
        <is>
          <t>Nhân viên kinh doanh_Hồ Chí Minh</t>
        </is>
      </c>
      <c r="D12800" s="10" t="inlineStr">
        <is>
          <t>Công Ty Cổ Phần Thép Việt Xô Hà Nội</t>
        </is>
      </c>
      <c r="E12800" s="10" t="inlineStr">
        <is>
          <t>Lương:15 Tr - 30 Tr VND</t>
        </is>
      </c>
      <c r="F12800" s="10" t="inlineStr">
        <is>
          <t>Hồ Chí Minh</t>
        </is>
      </c>
      <c r="G12800" s="10" t="inlineStr">
        <is>
          <t>31-03-2026</t>
        </is>
      </c>
      <c r="H12800" s="10" t="inlineStr">
        <is>
          <t>31/03/2026</t>
        </is>
      </c>
      <c r="I12800" s="10" t="inlineStr">
        <is>
          <t>17/03/2026</t>
        </is>
      </c>
      <c r="J12800" s="10" t="inlineStr">
        <is>
          <t>Bán hàng / Kinh doanh</t>
        </is>
      </c>
      <c r="K12800" s="10" t="inlineStr">
        <is>
          <t>1 - 2 Năm</t>
        </is>
      </c>
      <c r="L12800" s="11">
        <f>HYPERLINK("https://careerviet.vn/vi/tim-viec-lam/nhan-vien-kinh-doanh_ho-chi-minh.35C69AA7.html","Xem chi tiết")</f>
        <v/>
      </c>
      <c r="M12800" s="10" t="n"/>
    </row>
    <row r="12801">
      <c r="B12801" s="7" t="n">
        <v>12799</v>
      </c>
      <c r="C12801" t="inlineStr">
        <is>
          <t>Kỹ sư QA/QC (MEP)</t>
        </is>
      </c>
      <c r="D12801" t="inlineStr">
        <is>
          <t>CÔNG TY CỔ PHẦN SEAREFICO</t>
        </is>
      </c>
      <c r="E12801" t="inlineStr">
        <is>
          <t>Lương:12 Tr - 25 Tr VND</t>
        </is>
      </c>
      <c r="F12801" t="inlineStr">
        <is>
          <t>Đồng NaiĐà NẵngNghệ An</t>
        </is>
      </c>
      <c r="G12801" t="inlineStr">
        <is>
          <t>10-04-2026</t>
        </is>
      </c>
      <c r="H12801" t="inlineStr">
        <is>
          <t>10/04/2026</t>
        </is>
      </c>
      <c r="I12801" t="inlineStr">
        <is>
          <t>17/03/2026</t>
        </is>
      </c>
      <c r="J12801" t="inlineStr">
        <is>
          <t>Quản lý chất lượng (QA/QC), Điện / Điện tử / Điện lạnh / Điện công nghiệp</t>
        </is>
      </c>
      <c r="K12801" t="inlineStr">
        <is>
          <t>Trên 1 Năm</t>
        </is>
      </c>
      <c r="L12801" s="8">
        <f>HYPERLINK("https://careerviet.vn/vi/tim-viec-lam/ky-su-qa-qc-mep.35C683A5.html","Xem chi tiết")</f>
        <v/>
      </c>
    </row>
    <row r="12802">
      <c r="B12802" s="9" t="n">
        <v>12800</v>
      </c>
      <c r="C12802" s="10" t="inlineStr">
        <is>
          <t>HCM - Marketing Staff</t>
        </is>
      </c>
      <c r="D12802" s="10" t="inlineStr">
        <is>
          <t>CÔNG TY CỔ PHẦN MAISON RETAIL MANAGEMENT INTERNATIONAL</t>
        </is>
      </c>
      <c r="E12802" s="10" t="inlineStr">
        <is>
          <t>Lương:8 Tr - 9 Tr VND</t>
        </is>
      </c>
      <c r="F12802" s="10" t="inlineStr">
        <is>
          <t>Hồ Chí Minh</t>
        </is>
      </c>
      <c r="G12802" s="10" t="inlineStr">
        <is>
          <t>10-04-2026</t>
        </is>
      </c>
      <c r="H12802" s="10" t="inlineStr">
        <is>
          <t>10/04/2026</t>
        </is>
      </c>
      <c r="I12802" s="10" t="inlineStr">
        <is>
          <t>17/03/2026</t>
        </is>
      </c>
      <c r="J12802" s="10" t="inlineStr">
        <is>
          <t>Tiếp thị / Marketing, Tiếp thị trực tuyến, Truyền hình / Báo chí / Biên tập</t>
        </is>
      </c>
      <c r="K12802" s="10" t="inlineStr">
        <is>
          <t>1 - 2 Năm</t>
        </is>
      </c>
      <c r="L12802" s="11">
        <f>HYPERLINK("https://careerviet.vn/vi/tim-viec-lam/hcm-marketing-staff.35C683E6.html","Xem chi tiết")</f>
        <v/>
      </c>
      <c r="M12802" s="10" t="n"/>
    </row>
    <row r="12803">
      <c r="B12803" s="7" t="n">
        <v>12801</v>
      </c>
      <c r="C12803" t="inlineStr">
        <is>
          <t>Kiểm Toán Tổng Hợp</t>
        </is>
      </c>
      <c r="D12803" t="inlineStr">
        <is>
          <t>CÔNG TY CỔ PHẦN ĐỆ TAM</t>
        </is>
      </c>
      <c r="E12803" t="inlineStr">
        <is>
          <t>Lương:Cạnh tranh</t>
        </is>
      </c>
      <c r="F12803" t="inlineStr">
        <is>
          <t>Hồ Chí Minh</t>
        </is>
      </c>
      <c r="G12803" t="inlineStr">
        <is>
          <t>25-03-2026</t>
        </is>
      </c>
      <c r="H12803" t="inlineStr">
        <is>
          <t>25/03/2026</t>
        </is>
      </c>
      <c r="I12803" t="inlineStr">
        <is>
          <t>17/03/2026</t>
        </is>
      </c>
      <c r="J12803" t="inlineStr">
        <is>
          <t>Tài chính / Đầu tư, Bất động sản, Kế toán / Kiểm toán</t>
        </is>
      </c>
      <c r="K12803" t="inlineStr">
        <is>
          <t>Trên 1 Năm</t>
        </is>
      </c>
      <c r="L12803" s="8">
        <f>HYPERLINK("https://careerviet.vn/vi/tim-viec-lam/kiem-toan-tong-hop.35C69CDF.html","Xem chi tiết")</f>
        <v/>
      </c>
    </row>
    <row r="12804">
      <c r="B12804" s="9" t="n">
        <v>12802</v>
      </c>
      <c r="C12804" s="10" t="inlineStr">
        <is>
          <t>Nhân viên Quay dựng</t>
        </is>
      </c>
      <c r="D12804" s="10" t="inlineStr">
        <is>
          <t>Công ty TNHH SXTM XNK Minh Hiền</t>
        </is>
      </c>
      <c r="E12804" s="10" t="inlineStr">
        <is>
          <t>Lương:Cạnh tranh</t>
        </is>
      </c>
      <c r="F12804" s="10" t="inlineStr">
        <is>
          <t>Hồ Chí Minh</t>
        </is>
      </c>
      <c r="G12804" s="10" t="inlineStr">
        <is>
          <t>28-03-2026</t>
        </is>
      </c>
      <c r="H12804" s="10" t="inlineStr">
        <is>
          <t>28/03/2026</t>
        </is>
      </c>
      <c r="I12804" s="10" t="inlineStr">
        <is>
          <t>17/03/2026</t>
        </is>
      </c>
      <c r="J12804" s="10" t="inlineStr">
        <is>
          <t>Mỹ thuật / Nghệ thuật / Thiết kế, Truyền hình / Báo chí / Biên tập</t>
        </is>
      </c>
      <c r="K12804" s="10" t="inlineStr">
        <is>
          <t>1 - 3 Năm</t>
        </is>
      </c>
      <c r="L12804" s="11">
        <f>HYPERLINK("https://careerviet.vn/vi/tim-viec-lam/nhan-vien-quay-dung.35C69B18.html","Xem chi tiết")</f>
        <v/>
      </c>
      <c r="M12804" s="10" t="n"/>
    </row>
    <row r="12805">
      <c r="B12805" s="7" t="n">
        <v>12803</v>
      </c>
      <c r="C12805" t="inlineStr">
        <is>
          <t>Office Administration ( Chuyên Viên Hành Chính) - Tiếng anh tốt</t>
        </is>
      </c>
      <c r="D12805" t="inlineStr">
        <is>
          <t>Công ty TNHH Sản xuất Thương mại &amp; Dịch vụ Hoa Xinh</t>
        </is>
      </c>
      <c r="E12805" t="inlineStr">
        <is>
          <t>Lương:15 Tr - 20 Tr VND</t>
        </is>
      </c>
      <c r="F12805" t="inlineStr">
        <is>
          <t>Hồ Chí Minh</t>
        </is>
      </c>
      <c r="G12805" t="inlineStr">
        <is>
          <t>10-04-2026</t>
        </is>
      </c>
      <c r="H12805" t="inlineStr">
        <is>
          <t>10/04/2026</t>
        </is>
      </c>
      <c r="I12805" t="inlineStr">
        <is>
          <t>17/03/2026</t>
        </is>
      </c>
      <c r="J12805" t="inlineStr">
        <is>
          <t>Hành chính / Thư ký, Nhân sự, Biên phiên dịch</t>
        </is>
      </c>
      <c r="K12805" t="inlineStr">
        <is>
          <t>2 - 5 Năm</t>
        </is>
      </c>
      <c r="L12805" s="8">
        <f>HYPERLINK("https://careerviet.vn/vi/tim-viec-lam/office-administration-chuyen-vien-hanh-chinh-tieng-anh-tot.35C68325.html","Xem chi tiết")</f>
        <v/>
      </c>
    </row>
    <row r="12806">
      <c r="B12806" s="9" t="n">
        <v>12804</v>
      </c>
      <c r="C12806" s="10" t="inlineStr">
        <is>
          <t>Nhân Viên Kỹ Thuật Bảo Trì Máy Lạnh</t>
        </is>
      </c>
      <c r="D12806" s="10" t="inlineStr">
        <is>
          <t>Công ty TNHH Sản xuất Thương mại &amp; Dịch vụ Hoa Xinh</t>
        </is>
      </c>
      <c r="E12806" s="10" t="inlineStr">
        <is>
          <t>Lương:10 Tr - 18 Tr VND</t>
        </is>
      </c>
      <c r="F12806" s="10" t="inlineStr">
        <is>
          <t>Hồ Chí Minh</t>
        </is>
      </c>
      <c r="G12806" s="10" t="inlineStr">
        <is>
          <t>10-04-2026</t>
        </is>
      </c>
      <c r="H12806" s="10" t="inlineStr">
        <is>
          <t>10/04/2026</t>
        </is>
      </c>
      <c r="I12806" s="10" t="inlineStr">
        <is>
          <t>17/03/2026</t>
        </is>
      </c>
      <c r="J12806" s="10" t="inlineStr">
        <is>
          <t>Điện / Điện tử / Điện lạnh / Điện công nghiệp, Bảo trì / Sửa chữa</t>
        </is>
      </c>
      <c r="K12806" s="10" t="inlineStr">
        <is>
          <t>2 - 5 Năm</t>
        </is>
      </c>
      <c r="L12806" s="11">
        <f>HYPERLINK("https://careerviet.vn/vi/tim-viec-lam/nhan-vien-ky-thuat-bao-tri-may-lanh.35C683E5.html","Xem chi tiết")</f>
        <v/>
      </c>
      <c r="M12806" s="10" t="n"/>
    </row>
    <row r="12807">
      <c r="B12807" s="7" t="n">
        <v>12805</v>
      </c>
      <c r="C12807" t="inlineStr">
        <is>
          <t>Chuyên viên Mua bán vốn nội bộ</t>
        </is>
      </c>
      <c r="D12807" t="inlineStr">
        <is>
          <t>Ngân Hàng Thương Mại Cổ Phần Nam Á (Nam A Bank)</t>
        </is>
      </c>
      <c r="E12807" t="inlineStr">
        <is>
          <t>Lương:Cạnh tranh</t>
        </is>
      </c>
      <c r="F12807" t="inlineStr">
        <is>
          <t>Hồ Chí Minh</t>
        </is>
      </c>
      <c r="G12807" t="inlineStr">
        <is>
          <t>30-04-2026</t>
        </is>
      </c>
      <c r="H12807" t="inlineStr">
        <is>
          <t>30/04/2026</t>
        </is>
      </c>
      <c r="I12807" t="inlineStr">
        <is>
          <t>17/03/2026</t>
        </is>
      </c>
      <c r="J12807" t="inlineStr">
        <is>
          <t>Ngân hàng, Tài chính / Đầu tư</t>
        </is>
      </c>
      <c r="K12807" t="inlineStr">
        <is>
          <t>1 - 2 Năm</t>
        </is>
      </c>
      <c r="L12807" s="8">
        <f>HYPERLINK("https://careerviet.vn/vi/tim-viec-lam/chuyen-vien-mua-ban-von-noi-bo.35C698D4.html","Xem chi tiết")</f>
        <v/>
      </c>
    </row>
    <row r="12808">
      <c r="B12808" s="9" t="n">
        <v>12806</v>
      </c>
      <c r="C12808" s="10" t="inlineStr">
        <is>
          <t>Chuyên Viên Quan Hệ Khách Hàng - [BAC A BANK - CN Quảng Bình/Phú Yên/Đà Lạt/ Khánh Hòa (PGD Cam Ranh)]</t>
        </is>
      </c>
      <c r="D12808" s="10" t="inlineStr">
        <is>
          <t>Ngân Hàng Thương mại cổ phần Bắc Á- BAC A BANK</t>
        </is>
      </c>
      <c r="E12808" s="10" t="inlineStr">
        <is>
          <t>Lương:Cạnh tranh</t>
        </is>
      </c>
      <c r="F12808" s="10" t="inlineStr">
        <is>
          <t>Quảng BìnhPhú YênLâm Đồng</t>
        </is>
      </c>
      <c r="G12808" s="10" t="inlineStr">
        <is>
          <t>10-04-2026</t>
        </is>
      </c>
      <c r="H12808" s="10" t="inlineStr">
        <is>
          <t>10/04/2026</t>
        </is>
      </c>
      <c r="I12808" s="10" t="inlineStr">
        <is>
          <t>17/03/2026</t>
        </is>
      </c>
      <c r="J12808" s="10" t="inlineStr">
        <is>
          <t>Bán hàng / Kinh doanh, Ngân hàng, Tài chính / Đầu tư</t>
        </is>
      </c>
      <c r="K12808" s="10" t="inlineStr">
        <is>
          <t>Chưa có kinh nghiệm</t>
        </is>
      </c>
      <c r="L12808" s="11">
        <f>HYPERLINK("https://careerviet.vn/vi/tim-viec-lam/chuyen-vien-quan-he-khach-hang-bac-a-bank-cn-quang-binh-phu-yen-da-lat-khanh-hoa-pgd-cam-ranh.35C652C9.html","Xem chi tiết")</f>
        <v/>
      </c>
      <c r="M12808" s="10" t="n"/>
    </row>
    <row r="12809">
      <c r="B12809" s="7" t="n">
        <v>12807</v>
      </c>
      <c r="C12809" t="inlineStr">
        <is>
          <t>NHÂN VIÊN TƯ VẤN THẨM MỸ (SALES)</t>
        </is>
      </c>
      <c r="D12809" t="inlineStr">
        <is>
          <t>CÔNG TY TNHH POLY STUDIO &amp; ACADEMY</t>
        </is>
      </c>
      <c r="E12809" t="inlineStr">
        <is>
          <t>Lương:10 Tr - 28 Tr VND</t>
        </is>
      </c>
      <c r="F12809" t="inlineStr">
        <is>
          <t>Hồ Chí Minh</t>
        </is>
      </c>
      <c r="G12809" t="inlineStr">
        <is>
          <t>10-04-2026</t>
        </is>
      </c>
      <c r="H12809" t="inlineStr">
        <is>
          <t>10/04/2026</t>
        </is>
      </c>
      <c r="I12809" t="inlineStr">
        <is>
          <t>17/03/2026</t>
        </is>
      </c>
      <c r="J12809" t="inlineStr">
        <is>
          <t>Tiếp thị / Marketing, Y tế / Chăm sóc sức khỏe / Thẩm mỹ / Làm đẹp, Dịch vụ khách hàng</t>
        </is>
      </c>
      <c r="K12809" t="inlineStr">
        <is>
          <t>1 - 5 Năm</t>
        </is>
      </c>
      <c r="L12809" s="8">
        <f>HYPERLINK("https://careerviet.vn/vi/tim-viec-lam/nhan-vien-tu-van-tham-my-sales.35C65299.html","Xem chi tiết")</f>
        <v/>
      </c>
    </row>
    <row r="12810">
      <c r="B12810" s="9" t="n">
        <v>12808</v>
      </c>
      <c r="C12810" s="10" t="inlineStr">
        <is>
          <t>Chuyên Viên Kiến Trúc Sư Nội Thất</t>
        </is>
      </c>
      <c r="D12810" s="10" t="inlineStr">
        <is>
          <t>CÔNG TY CỔ PHẦN ĐẦU TƯ BẤT ĐỘNG SẢN TASECO</t>
        </is>
      </c>
      <c r="E12810" s="10" t="inlineStr">
        <is>
          <t>Lương:Cạnh tranh</t>
        </is>
      </c>
      <c r="F12810" s="10" t="inlineStr">
        <is>
          <t>Hà Nội</t>
        </is>
      </c>
      <c r="G12810" s="10" t="inlineStr">
        <is>
          <t>10-04-2026</t>
        </is>
      </c>
      <c r="H12810" s="10" t="inlineStr">
        <is>
          <t>10/04/2026</t>
        </is>
      </c>
      <c r="I12810" s="10" t="inlineStr">
        <is>
          <t>17/03/2026</t>
        </is>
      </c>
      <c r="J12810" s="10" t="inlineStr">
        <is>
          <t>Mỹ thuật / Nghệ thuật / Thiết kế, Kiến trúc, Nội ngoại thất</t>
        </is>
      </c>
      <c r="K12810" s="10" t="inlineStr">
        <is>
          <t>Trên 5 Năm</t>
        </is>
      </c>
      <c r="L12810" s="11">
        <f>HYPERLINK("https://careerviet.vn/vi/tim-viec-lam/chuyen-vien-kien-truc-su-noi-that.35C683AF.html","Xem chi tiết")</f>
        <v/>
      </c>
      <c r="M12810" s="10" t="n"/>
    </row>
    <row r="12811">
      <c r="B12811" s="7" t="n">
        <v>12809</v>
      </c>
      <c r="C12811" t="inlineStr">
        <is>
          <t>Kế toán tổng hợp</t>
        </is>
      </c>
      <c r="D12811" t="inlineStr">
        <is>
          <t>Công Ty Cổ Phần Quốc Tế Sơn Hà</t>
        </is>
      </c>
      <c r="E12811" t="inlineStr">
        <is>
          <t>Lương:25 Tr - 30 Tr VND</t>
        </is>
      </c>
      <c r="F12811" t="inlineStr">
        <is>
          <t>Hà Nội</t>
        </is>
      </c>
      <c r="G12811" t="inlineStr">
        <is>
          <t>10-04-2026</t>
        </is>
      </c>
      <c r="H12811" t="inlineStr">
        <is>
          <t>10/04/2026</t>
        </is>
      </c>
      <c r="I12811" t="inlineStr">
        <is>
          <t>17/03/2026</t>
        </is>
      </c>
      <c r="J12811" t="inlineStr">
        <is>
          <t>Sản xuất / Vận hành sản xuất, Bất động sản, Bán lẻ / Bán sỉ</t>
        </is>
      </c>
      <c r="K12811" t="inlineStr">
        <is>
          <t>3 - 5 Năm</t>
        </is>
      </c>
      <c r="L12811" s="8">
        <f>HYPERLINK("https://careerviet.vn/vi/tim-viec-lam/ke-toan-tong-hop.35C6842C.html","Xem chi tiết")</f>
        <v/>
      </c>
    </row>
    <row r="12812">
      <c r="B12812" s="9" t="n">
        <v>12810</v>
      </c>
      <c r="C12812" s="10" t="inlineStr">
        <is>
          <t>Product Marketing</t>
        </is>
      </c>
      <c r="D12812" s="10" t="inlineStr">
        <is>
          <t>CÔNG TY CỔ PHẦN MIDOMAX VIỆT NAM</t>
        </is>
      </c>
      <c r="E12812" s="10" t="inlineStr">
        <is>
          <t>Lương:Cạnh tranh</t>
        </is>
      </c>
      <c r="F12812" s="10" t="inlineStr">
        <is>
          <t>Hồ Chí Minh</t>
        </is>
      </c>
      <c r="G12812" s="10" t="inlineStr">
        <is>
          <t>10-04-2026</t>
        </is>
      </c>
      <c r="H12812" s="10" t="inlineStr">
        <is>
          <t>10/04/2026</t>
        </is>
      </c>
      <c r="I12812" s="10" t="inlineStr">
        <is>
          <t>17/03/2026</t>
        </is>
      </c>
      <c r="J12812" s="10" t="inlineStr">
        <is>
          <t>Tiếp thị / Marketing, Bán lẻ / Bán sỉ, Dệt may / Da giày / Thời trang</t>
        </is>
      </c>
      <c r="K12812" s="10" t="inlineStr">
        <is>
          <t>3 - 5 Năm</t>
        </is>
      </c>
      <c r="L12812" s="11">
        <f>HYPERLINK("https://careerviet.vn/vi/tim-viec-lam/product-marketing.35C6529B.html","Xem chi tiết")</f>
        <v/>
      </c>
      <c r="M12812" s="10" t="n"/>
    </row>
    <row r="12813">
      <c r="B12813" s="7" t="n">
        <v>12811</v>
      </c>
      <c r="C12813" t="inlineStr">
        <is>
          <t>Chuyên viên môi giới chứng khoán - HCM</t>
        </is>
      </c>
      <c r="D12813" t="inlineStr">
        <is>
          <t>CÔNG TY CỔ PHẦN CHỨNG KHOÁN HD</t>
        </is>
      </c>
      <c r="E12813" t="inlineStr">
        <is>
          <t>Lương:Cạnh tranh</t>
        </is>
      </c>
      <c r="F12813" t="inlineStr">
        <is>
          <t>Hồ Chí Minh</t>
        </is>
      </c>
      <c r="G12813" t="inlineStr">
        <is>
          <t>10-04-2026</t>
        </is>
      </c>
      <c r="H12813" t="inlineStr">
        <is>
          <t>10/04/2026</t>
        </is>
      </c>
      <c r="I12813" t="inlineStr">
        <is>
          <t>17/03/2026</t>
        </is>
      </c>
      <c r="J12813" t="inlineStr">
        <is>
          <t>Bán hàng / Kinh doanh, Chứng khoán, Ngân hàng</t>
        </is>
      </c>
      <c r="K12813" t="inlineStr">
        <is>
          <t>1 - 5 Năm</t>
        </is>
      </c>
      <c r="L12813" s="8">
        <f>HYPERLINK("https://careerviet.vn/vi/tim-viec-lam/chuyen-vien-moi-gioi-chung-khoan-hcm.35C68445.html","Xem chi tiết")</f>
        <v/>
      </c>
    </row>
    <row r="12814">
      <c r="B12814" s="9" t="n">
        <v>12812</v>
      </c>
      <c r="C12814" s="10" t="inlineStr">
        <is>
          <t>NHÂN VIÊN BẢO TRÌ BỆNH VIỆN</t>
        </is>
      </c>
      <c r="D12814" s="10" t="inlineStr">
        <is>
          <t>SCI Group</t>
        </is>
      </c>
      <c r="E12814" s="10" t="inlineStr">
        <is>
          <t>Lương:11 Tr - 13 Tr VND</t>
        </is>
      </c>
      <c r="F12814" s="10" t="inlineStr">
        <is>
          <t>Hà Nội</t>
        </is>
      </c>
      <c r="G12814" s="10" t="inlineStr">
        <is>
          <t>10-04-2026</t>
        </is>
      </c>
      <c r="H12814" s="10" t="inlineStr">
        <is>
          <t>10/04/2026</t>
        </is>
      </c>
      <c r="I12814" s="10" t="inlineStr">
        <is>
          <t>17/03/2026</t>
        </is>
      </c>
      <c r="J12814" s="10" t="inlineStr">
        <is>
          <t>Bảo trì / Sửa chữa</t>
        </is>
      </c>
      <c r="K12814" s="10" t="inlineStr">
        <is>
          <t>2 - 3 Năm</t>
        </is>
      </c>
      <c r="L12814" s="11">
        <f>HYPERLINK("https://careerviet.vn/vi/tim-viec-lam/nhan-vien-bao-tri-benh-vien.35C6844B.html","Xem chi tiết")</f>
        <v/>
      </c>
      <c r="M12814" s="10" t="n"/>
    </row>
    <row r="12815">
      <c r="B12815" s="7" t="n">
        <v>12813</v>
      </c>
      <c r="C12815" t="inlineStr">
        <is>
          <t>Marketing Specialist</t>
        </is>
      </c>
      <c r="D12815" t="inlineStr">
        <is>
          <t>Công Ty Cổ Phần Y Tế Việt Tiến</t>
        </is>
      </c>
      <c r="E12815" t="inlineStr">
        <is>
          <t>Lương:Cạnh tranh</t>
        </is>
      </c>
      <c r="F12815" t="inlineStr">
        <is>
          <t>Hồ Chí Minh</t>
        </is>
      </c>
      <c r="G12815" t="inlineStr">
        <is>
          <t>10-04-2026</t>
        </is>
      </c>
      <c r="H12815" t="inlineStr">
        <is>
          <t>10/04/2026</t>
        </is>
      </c>
      <c r="I12815" t="inlineStr">
        <is>
          <t>17/03/2026</t>
        </is>
      </c>
      <c r="J12815" t="inlineStr">
        <is>
          <t>Dịch vụ khách hàng, Tiếp thị / Marketing, Tiếp thị trực tuyến</t>
        </is>
      </c>
      <c r="K12815" t="inlineStr">
        <is>
          <t>2 - 3 Năm</t>
        </is>
      </c>
      <c r="L12815" s="8">
        <f>HYPERLINK("https://careerviet.vn/vi/tim-viec-lam/marketing-specialist.35C6529F.html","Xem chi tiết")</f>
        <v/>
      </c>
    </row>
    <row r="12816">
      <c r="B12816" s="9" t="n">
        <v>12814</v>
      </c>
      <c r="C12816" s="10" t="inlineStr">
        <is>
          <t>Medical Sales Supervisor (Aesthetics)</t>
        </is>
      </c>
      <c r="D12816" s="10" t="inlineStr">
        <is>
          <t>CÔNG TY TNHH MINTHACARE</t>
        </is>
      </c>
      <c r="E12816" s="10" t="inlineStr">
        <is>
          <t>Lương:Cạnh tranh</t>
        </is>
      </c>
      <c r="F12816" s="10" t="inlineStr">
        <is>
          <t>Hà Nội</t>
        </is>
      </c>
      <c r="G12816" s="10" t="inlineStr">
        <is>
          <t>10-04-2026</t>
        </is>
      </c>
      <c r="H12816" s="10" t="inlineStr">
        <is>
          <t>10/04/2026</t>
        </is>
      </c>
      <c r="I12816" s="10" t="inlineStr">
        <is>
          <t>17/03/2026</t>
        </is>
      </c>
      <c r="J12816" s="10" t="inlineStr">
        <is>
          <t>Tiếp thị / Marketing, Bán hàng / Kinh doanh, Dược phẩm/ Hóa Mỹ Phẩm</t>
        </is>
      </c>
      <c r="K12816" s="10" t="inlineStr">
        <is>
          <t>2 - 3 Năm</t>
        </is>
      </c>
      <c r="L12816" s="11">
        <f>HYPERLINK("https://careerviet.vn/vi/tim-viec-lam/medical-sales-supervisor-aesthetics.35C68457.html","Xem chi tiết")</f>
        <v/>
      </c>
      <c r="M12816" s="10" t="n"/>
    </row>
    <row r="12817">
      <c r="B12817" s="7" t="n">
        <v>12815</v>
      </c>
      <c r="C12817" t="inlineStr">
        <is>
          <t>NHÂN VIÊN KỸ THUẬT KHÚC XẠ ( Optician)  - c2 eyewear</t>
        </is>
      </c>
      <c r="D12817" t="inlineStr">
        <is>
          <t>Công ty TNHH Sản xuất Thương mại &amp; Dịch vụ Hoa Xinh</t>
        </is>
      </c>
      <c r="E12817" t="inlineStr">
        <is>
          <t>Lương:17 Tr - 25 Tr VND</t>
        </is>
      </c>
      <c r="F12817" t="inlineStr">
        <is>
          <t>Hồ Chí Minh</t>
        </is>
      </c>
      <c r="G12817" t="inlineStr">
        <is>
          <t>10-04-2026</t>
        </is>
      </c>
      <c r="H12817" t="inlineStr">
        <is>
          <t>10/04/2026</t>
        </is>
      </c>
      <c r="I12817" t="inlineStr">
        <is>
          <t>17/03/2026</t>
        </is>
      </c>
      <c r="J12817" t="inlineStr">
        <is>
          <t>Y tế / Chăm sóc sức khỏe / Thẩm mỹ / Làm đẹp, Bán lẻ / Bán sỉ, Bán hàng / Kinh doanh</t>
        </is>
      </c>
      <c r="K12817" t="inlineStr">
        <is>
          <t>2 - 5 Năm</t>
        </is>
      </c>
      <c r="L12817" s="8">
        <f>HYPERLINK("https://careerviet.vn/vi/tim-viec-lam/nhan-vien-ky-thuat-khuc-xa-optician-c2-eyewear.35C65290.html","Xem chi tiết")</f>
        <v/>
      </c>
    </row>
    <row r="12818">
      <c r="B12818" s="9" t="n">
        <v>12816</v>
      </c>
      <c r="C12818" s="10" t="inlineStr">
        <is>
          <t>Senior Digital Marketing</t>
        </is>
      </c>
      <c r="D12818" s="10" t="inlineStr">
        <is>
          <t>CÔNG TY CỔ PHẦN BỆNH VIỆN QUỐC TẾ BERNARD 1</t>
        </is>
      </c>
      <c r="E12818" s="10" t="inlineStr">
        <is>
          <t>Lương:Cạnh tranh</t>
        </is>
      </c>
      <c r="F12818" s="10" t="inlineStr">
        <is>
          <t>Hồ Chí Minh</t>
        </is>
      </c>
      <c r="G12818" s="10" t="inlineStr">
        <is>
          <t>10-04-2026</t>
        </is>
      </c>
      <c r="H12818" s="10" t="inlineStr">
        <is>
          <t>10/04/2026</t>
        </is>
      </c>
      <c r="I12818" s="10" t="inlineStr">
        <is>
          <t>17/03/2026</t>
        </is>
      </c>
      <c r="J12818" s="10" t="inlineStr">
        <is>
          <t>Tiếp thị / Marketing, Dược phẩm/ Hóa Mỹ Phẩm, Y tế / Chăm sóc sức khỏe / Thẩm mỹ / Làm đẹp</t>
        </is>
      </c>
      <c r="K12818" s="10" t="inlineStr">
        <is>
          <t>5 - 8 Năm</t>
        </is>
      </c>
      <c r="L12818" s="11">
        <f>HYPERLINK("https://careerviet.vn/vi/tim-viec-lam/senior-digital-marketing.35C6842D.html","Xem chi tiết")</f>
        <v/>
      </c>
      <c r="M12818" s="10" t="n"/>
    </row>
    <row r="12819">
      <c r="B12819" s="7" t="n">
        <v>12817</v>
      </c>
      <c r="C12819" t="inlineStr">
        <is>
          <t>CHUYÊN VIÊN HỢP ĐỒNG XÂY DỰNG</t>
        </is>
      </c>
      <c r="D12819" t="inlineStr">
        <is>
          <t>CÔNG TY CỔ PHẦN EUROWINDOW HOLDING</t>
        </is>
      </c>
      <c r="E12819" t="inlineStr">
        <is>
          <t>Lương:Cạnh tranh</t>
        </is>
      </c>
      <c r="F12819" t="inlineStr">
        <is>
          <t>Hà Nội</t>
        </is>
      </c>
      <c r="G12819" t="inlineStr">
        <is>
          <t>10-04-2026</t>
        </is>
      </c>
      <c r="H12819" t="inlineStr">
        <is>
          <t>10/04/2026</t>
        </is>
      </c>
      <c r="I12819" t="inlineStr">
        <is>
          <t>17/03/2026</t>
        </is>
      </c>
      <c r="J12819" t="inlineStr">
        <is>
          <t>Luật / Pháp lý</t>
        </is>
      </c>
      <c r="K12819" t="inlineStr">
        <is>
          <t>3 - 10 Năm</t>
        </is>
      </c>
      <c r="L12819" s="8">
        <f>HYPERLINK("https://careerviet.vn/vi/tim-viec-lam/chuyen-vien-hop-dong-xay-dung.35C65262.html","Xem chi tiết")</f>
        <v/>
      </c>
    </row>
    <row r="12820">
      <c r="B12820" s="9" t="n">
        <v>12818</v>
      </c>
      <c r="C12820" s="10" t="inlineStr">
        <is>
          <t>Chuyên viên Giám sát thi công</t>
        </is>
      </c>
      <c r="D12820" s="10" t="inlineStr">
        <is>
          <t>Công ty Cổ phần CANIFA</t>
        </is>
      </c>
      <c r="E12820" s="10" t="inlineStr">
        <is>
          <t>Lương:15 Tr - 25 Tr VND</t>
        </is>
      </c>
      <c r="F12820" s="10" t="inlineStr">
        <is>
          <t>Hà Nội</t>
        </is>
      </c>
      <c r="G12820" s="10" t="inlineStr">
        <is>
          <t>10-04-2026</t>
        </is>
      </c>
      <c r="H12820" s="10" t="inlineStr">
        <is>
          <t>10/04/2026</t>
        </is>
      </c>
      <c r="I12820" s="10" t="inlineStr">
        <is>
          <t>17/03/2026</t>
        </is>
      </c>
      <c r="J12820" s="10" t="inlineStr">
        <is>
          <t>Xây dựng, Bất động sản, Nội ngoại thất</t>
        </is>
      </c>
      <c r="K12820" s="10" t="inlineStr">
        <is>
          <t>3 - 5 Năm</t>
        </is>
      </c>
      <c r="L12820" s="11">
        <f>HYPERLINK("https://careerviet.vn/vi/tim-viec-lam/chuyen-vien-giam-sat-thi-cong.35C68425.html","Xem chi tiết")</f>
        <v/>
      </c>
      <c r="M12820" s="10" t="n"/>
    </row>
    <row r="12821">
      <c r="B12821" s="7" t="n">
        <v>12819</v>
      </c>
      <c r="C12821" t="inlineStr">
        <is>
          <t>[HO]  Phó phòng Bán sản phẩm Thị trường tài chính</t>
        </is>
      </c>
      <c r="D12821" t="inlineStr">
        <is>
          <t>Ngân hàng TMCP Lộc Phát Việt Nam (LPBank)</t>
        </is>
      </c>
      <c r="E12821" t="inlineStr">
        <is>
          <t>Lương:Cạnh tranh</t>
        </is>
      </c>
      <c r="F12821" t="inlineStr">
        <is>
          <t>Hà Nội</t>
        </is>
      </c>
      <c r="G12821" t="inlineStr">
        <is>
          <t>10-04-2026</t>
        </is>
      </c>
      <c r="H12821" t="inlineStr">
        <is>
          <t>10/04/2026</t>
        </is>
      </c>
      <c r="I12821" t="inlineStr">
        <is>
          <t>17/03/2026</t>
        </is>
      </c>
      <c r="J12821" t="inlineStr">
        <is>
          <t>Bán hàng / Kinh doanh, Kế toán / Kiểm toán, Ngân hàng</t>
        </is>
      </c>
      <c r="K12821" t="inlineStr">
        <is>
          <t>Trên 5 Năm</t>
        </is>
      </c>
      <c r="L12821" s="8">
        <f>HYPERLINK("https://careerviet.vn/vi/tim-viec-lam/ho-pho-phong-ban-san-pham-thi-truong-tai-chinh.35C683DA.html","Xem chi tiết")</f>
        <v/>
      </c>
    </row>
    <row r="12822">
      <c r="B12822" s="9" t="n">
        <v>12820</v>
      </c>
      <c r="C12822" s="10" t="inlineStr">
        <is>
          <t>Chuyên Viên Kỹ Sư Cấp Thoát Nước</t>
        </is>
      </c>
      <c r="D12822" s="10" t="inlineStr">
        <is>
          <t>CÔNG TY CỔ PHẦN ĐẦU TƯ BẤT ĐỘNG SẢN TASECO</t>
        </is>
      </c>
      <c r="E12822" s="10" t="inlineStr">
        <is>
          <t>Lương:Cạnh tranh</t>
        </is>
      </c>
      <c r="F12822" s="10" t="inlineStr">
        <is>
          <t>Hà Nội</t>
        </is>
      </c>
      <c r="G12822" s="10" t="inlineStr">
        <is>
          <t>10-04-2026</t>
        </is>
      </c>
      <c r="H12822" s="10" t="inlineStr">
        <is>
          <t>10/04/2026</t>
        </is>
      </c>
      <c r="I12822" s="10" t="inlineStr">
        <is>
          <t>17/03/2026</t>
        </is>
      </c>
      <c r="J12822" s="10" t="inlineStr">
        <is>
          <t>Xây dựng, Kiến trúc, Cơ khí / Ô tô / Tự động hóa</t>
        </is>
      </c>
      <c r="K12822" s="10" t="inlineStr">
        <is>
          <t>Trên 2 Năm</t>
        </is>
      </c>
      <c r="L12822" s="11">
        <f>HYPERLINK("https://careerviet.vn/vi/tim-viec-lam/chuyen-vien-ky-su-cap-thoat-nuoc.35C683C3.html","Xem chi tiết")</f>
        <v/>
      </c>
      <c r="M12822" s="10" t="n"/>
    </row>
    <row r="12823">
      <c r="B12823" s="7" t="n">
        <v>12821</v>
      </c>
      <c r="C12823" t="inlineStr">
        <is>
          <t>Nhân Viên Kinh Doanh (Ngành Phân Bón)</t>
        </is>
      </c>
      <c r="D12823" t="inlineStr">
        <is>
          <t>Công ty TNHH Sản xuất Thương mại &amp; Dịch vụ Hoa Xinh</t>
        </is>
      </c>
      <c r="E12823" t="inlineStr">
        <is>
          <t>Lương:Cạnh tranh</t>
        </is>
      </c>
      <c r="F12823" t="inlineStr">
        <is>
          <t>Hồ Chí Minh</t>
        </is>
      </c>
      <c r="G12823" t="inlineStr">
        <is>
          <t>10-04-2026</t>
        </is>
      </c>
      <c r="H12823" t="inlineStr">
        <is>
          <t>10/04/2026</t>
        </is>
      </c>
      <c r="I12823" t="inlineStr">
        <is>
          <t>17/03/2026</t>
        </is>
      </c>
      <c r="J12823" t="inlineStr">
        <is>
          <t>Bán hàng / Kinh doanh, Dịch vụ khách hàng, Nông nghiệp</t>
        </is>
      </c>
      <c r="K12823" t="inlineStr">
        <is>
          <t>Chưa có kinh nghiệm</t>
        </is>
      </c>
      <c r="L12823" s="8">
        <f>HYPERLINK("https://careerviet.vn/vi/tim-viec-lam/nhan-vien-kinh-doanh-nganh-phan-bon.35C68323.html","Xem chi tiết")</f>
        <v/>
      </c>
    </row>
    <row r="12824">
      <c r="B12824" s="9" t="n">
        <v>12822</v>
      </c>
      <c r="C12824" s="10" t="inlineStr">
        <is>
          <t>Kỹ Sư Vision  (3D Camera)</t>
        </is>
      </c>
      <c r="D12824" s="10" t="inlineStr">
        <is>
          <t>CÔNG TY CỔ PHẦN CÔNG NGHIỆP WELDCOM</t>
        </is>
      </c>
      <c r="E12824" s="10" t="inlineStr">
        <is>
          <t>Lương:25 Tr - 30 Tr VND</t>
        </is>
      </c>
      <c r="F12824" s="10" t="inlineStr">
        <is>
          <t>Hà Nội</t>
        </is>
      </c>
      <c r="G12824" s="10" t="inlineStr">
        <is>
          <t>10-04-2026</t>
        </is>
      </c>
      <c r="H12824" s="10" t="inlineStr">
        <is>
          <t>10/04/2026</t>
        </is>
      </c>
      <c r="I12824" s="10" t="inlineStr">
        <is>
          <t>17/03/2026</t>
        </is>
      </c>
      <c r="J12824" s="10" t="inlineStr">
        <is>
          <t>Cơ khí / Ô tô / Tự động hóa, CNTT - Phần mềm, Điện / Điện tử / Điện lạnh / Điện công nghiệp</t>
        </is>
      </c>
      <c r="K12824" s="10" t="inlineStr">
        <is>
          <t>2 - 4 Năm</t>
        </is>
      </c>
      <c r="L12824" s="11">
        <f>HYPERLINK("https://careerviet.vn/vi/tim-viec-lam/ky-su-vision-3d-camera.35C652A9.html","Xem chi tiết")</f>
        <v/>
      </c>
      <c r="M12824" s="10" t="n"/>
    </row>
    <row r="12825">
      <c r="B12825" s="7" t="n">
        <v>12823</v>
      </c>
      <c r="C12825" t="inlineStr">
        <is>
          <t>Kế toán tòa nhà</t>
        </is>
      </c>
      <c r="D12825" t="inlineStr">
        <is>
          <t>Công ty Cổ phần Đầu tư Thương mại Kỹ thuật A&amp;T Việt Nam</t>
        </is>
      </c>
      <c r="E12825" t="inlineStr">
        <is>
          <t>Lương:10 Tr - 12 Tr VND</t>
        </is>
      </c>
      <c r="F12825" t="inlineStr">
        <is>
          <t>Bình Dương</t>
        </is>
      </c>
      <c r="G12825" t="inlineStr">
        <is>
          <t>10-04-2026</t>
        </is>
      </c>
      <c r="H12825" t="inlineStr">
        <is>
          <t>10/04/2026</t>
        </is>
      </c>
      <c r="I12825" t="inlineStr">
        <is>
          <t>17/03/2026</t>
        </is>
      </c>
      <c r="J12825" t="inlineStr">
        <is>
          <t>Kế toán / Kiểm toán, Bất động sản</t>
        </is>
      </c>
      <c r="K12825" t="inlineStr">
        <is>
          <t>2 - 5 Năm</t>
        </is>
      </c>
      <c r="L12825" s="8">
        <f>HYPERLINK("https://careerviet.vn/vi/tim-viec-lam/ke-toan-toa-nha.35C68335.html","Xem chi tiết")</f>
        <v/>
      </c>
    </row>
    <row r="12826">
      <c r="B12826" s="9" t="n">
        <v>12824</v>
      </c>
      <c r="C12826" s="10" t="inlineStr">
        <is>
          <t>Kỹ sư thiết kế kết cấu xây dựng</t>
        </is>
      </c>
      <c r="D12826" s="10" t="inlineStr">
        <is>
          <t>Công ty TNHH đầu tư xây dựng Mạnh Toàn</t>
        </is>
      </c>
      <c r="E12826" s="10" t="inlineStr">
        <is>
          <t>Lương:12 Tr - 20 Tr VND</t>
        </is>
      </c>
      <c r="F12826" s="10" t="inlineStr">
        <is>
          <t>Hải Phòng</t>
        </is>
      </c>
      <c r="G12826" s="10" t="inlineStr">
        <is>
          <t>10-04-2026</t>
        </is>
      </c>
      <c r="H12826" s="10" t="inlineStr">
        <is>
          <t>10/04/2026</t>
        </is>
      </c>
      <c r="I12826" s="10" t="inlineStr">
        <is>
          <t>17/03/2026</t>
        </is>
      </c>
      <c r="J12826" s="10" t="inlineStr">
        <is>
          <t>Điện / Điện tử / Điện lạnh / Điện công nghiệp, Xây dựng</t>
        </is>
      </c>
      <c r="K12826" s="10" t="inlineStr">
        <is>
          <t>2 - 3 Năm</t>
        </is>
      </c>
      <c r="L12826" s="11">
        <f>HYPERLINK("https://careerviet.vn/vi/tim-viec-lam/ky-su-thiet-ke-ket-cau-xay-dung.35C682DC.html","Xem chi tiết")</f>
        <v/>
      </c>
      <c r="M12826" s="10" t="n"/>
    </row>
    <row r="12827">
      <c r="B12827" s="7" t="n">
        <v>12825</v>
      </c>
      <c r="C12827" t="inlineStr">
        <is>
          <t>[Quảng Ngãi] Trưởng nhóm Khách hàng Cá nhân</t>
        </is>
      </c>
      <c r="D12827" t="inlineStr">
        <is>
          <t>Ngân hàng TMCP Lộc Phát Việt Nam (LPBank)</t>
        </is>
      </c>
      <c r="E12827" t="inlineStr">
        <is>
          <t>Lương:Cạnh tranh</t>
        </is>
      </c>
      <c r="F12827" t="inlineStr">
        <is>
          <t>Quảng Ngãi</t>
        </is>
      </c>
      <c r="G12827" t="inlineStr">
        <is>
          <t>10-04-2026</t>
        </is>
      </c>
      <c r="H12827" t="inlineStr">
        <is>
          <t>10/04/2026</t>
        </is>
      </c>
      <c r="I12827" t="inlineStr">
        <is>
          <t>17/03/2026</t>
        </is>
      </c>
      <c r="J12827" t="inlineStr">
        <is>
          <t>Bán hàng / Kinh doanh, Bất động sản, Kế toán / Kiểm toán</t>
        </is>
      </c>
      <c r="K12827" t="inlineStr">
        <is>
          <t>Trên 3 Năm</t>
        </is>
      </c>
      <c r="L12827" s="8">
        <f>HYPERLINK("https://careerviet.vn/vi/tim-viec-lam/quang-ngai-truong-nhom-khach-hang-ca-nhan.35C652D8.html","Xem chi tiết")</f>
        <v/>
      </c>
    </row>
    <row r="12828">
      <c r="B12828" s="9" t="n">
        <v>12826</v>
      </c>
      <c r="C12828" s="10" t="inlineStr">
        <is>
          <t>Head of Technology Solution &amp; Quality Assurance</t>
        </is>
      </c>
      <c r="D12828" s="10" t="inlineStr">
        <is>
          <t>LOTTE FINANCE VIETNAM</t>
        </is>
      </c>
      <c r="E12828" s="10" t="inlineStr">
        <is>
          <t>Lương:Cạnh tranh</t>
        </is>
      </c>
      <c r="F12828" s="10" t="inlineStr">
        <is>
          <t>Hà Nội</t>
        </is>
      </c>
      <c r="G12828" s="10" t="inlineStr">
        <is>
          <t>10-04-2026</t>
        </is>
      </c>
      <c r="H12828" s="10" t="inlineStr">
        <is>
          <t>10/04/2026</t>
        </is>
      </c>
      <c r="I12828" s="10" t="inlineStr">
        <is>
          <t>17/03/2026</t>
        </is>
      </c>
      <c r="J12828" s="10" t="inlineStr">
        <is>
          <t>CNTT - Phần mềm</t>
        </is>
      </c>
      <c r="K12828" s="10" t="inlineStr">
        <is>
          <t>Trên 8 Năm</t>
        </is>
      </c>
      <c r="L12828" s="11">
        <f>HYPERLINK("https://careerviet.vn/vi/tim-viec-lam/head-of-technology-solution-quality-assurance.35C652BB.html","Xem chi tiết")</f>
        <v/>
      </c>
      <c r="M12828" s="10" t="n"/>
    </row>
    <row r="12829">
      <c r="B12829" s="7" t="n">
        <v>12827</v>
      </c>
      <c r="C12829" t="inlineStr">
        <is>
          <t>Thực Tập Sinh Hành Chính</t>
        </is>
      </c>
      <c r="D12829" t="inlineStr">
        <is>
          <t>Công ty TNHH Chế biến thực phẩm Đông Đô</t>
        </is>
      </c>
      <c r="E12829" t="inlineStr">
        <is>
          <t>Lương:700.000 - 800.000 VND</t>
        </is>
      </c>
      <c r="F12829" t="inlineStr">
        <is>
          <t>Hà Nội</t>
        </is>
      </c>
      <c r="G12829" t="inlineStr">
        <is>
          <t>10-04-2026</t>
        </is>
      </c>
      <c r="H12829" t="inlineStr">
        <is>
          <t>10/04/2026</t>
        </is>
      </c>
      <c r="I12829" t="inlineStr">
        <is>
          <t>17/03/2026</t>
        </is>
      </c>
      <c r="J12829" t="inlineStr">
        <is>
          <t>Hành chính / Thư ký, Nhân sự, Mới tốt nghiệp / Thực tập</t>
        </is>
      </c>
      <c r="K12829" t="inlineStr">
        <is>
          <t>N/A</t>
        </is>
      </c>
      <c r="L12829" s="8">
        <f>HYPERLINK("https://careerviet.vn/vi/tim-viec-lam/thuc-tap-sinh-hanh-chinh.35C683D6.html","Xem chi tiết")</f>
        <v/>
      </c>
    </row>
    <row r="12830">
      <c r="B12830" s="9" t="n">
        <v>12828</v>
      </c>
      <c r="C12830" s="10" t="inlineStr">
        <is>
          <t>Sourcing Specialist</t>
        </is>
      </c>
      <c r="D12830" s="10" t="inlineStr">
        <is>
          <t>Rochdale Spears Co., Ltd.</t>
        </is>
      </c>
      <c r="E12830" s="10" t="inlineStr">
        <is>
          <t>Lương:Cạnh tranh</t>
        </is>
      </c>
      <c r="F12830" s="10" t="inlineStr">
        <is>
          <t>Bình Dương</t>
        </is>
      </c>
      <c r="G12830" s="10" t="inlineStr">
        <is>
          <t>10-04-2026</t>
        </is>
      </c>
      <c r="H12830" s="10" t="inlineStr">
        <is>
          <t>10/04/2026</t>
        </is>
      </c>
      <c r="I12830" s="10" t="inlineStr">
        <is>
          <t>17/03/2026</t>
        </is>
      </c>
      <c r="J12830" s="10" t="inlineStr">
        <is>
          <t>Thu mua / Vật tư, Đồ gỗ</t>
        </is>
      </c>
      <c r="K12830" s="10" t="inlineStr">
        <is>
          <t>2 - 3 Năm</t>
        </is>
      </c>
      <c r="L12830" s="11">
        <f>HYPERLINK("https://careerviet.vn/vi/tim-viec-lam/sourcing-specialist.35C682FE.html","Xem chi tiết")</f>
        <v/>
      </c>
      <c r="M12830" s="10" t="n"/>
    </row>
    <row r="12831">
      <c r="B12831" s="7" t="n">
        <v>12829</v>
      </c>
      <c r="C12831" t="inlineStr">
        <is>
          <t>Nhân viên hành chính nhân sự</t>
        </is>
      </c>
      <c r="D12831" t="inlineStr">
        <is>
          <t>Công ty TNHH Nesta</t>
        </is>
      </c>
      <c r="E12831" t="inlineStr">
        <is>
          <t>Lương:9 Tr - 12 Tr VND</t>
        </is>
      </c>
      <c r="F12831" t="inlineStr">
        <is>
          <t>Hà NộiHưng Yên</t>
        </is>
      </c>
      <c r="G12831" t="inlineStr">
        <is>
          <t>10-04-2026</t>
        </is>
      </c>
      <c r="H12831" t="inlineStr">
        <is>
          <t>10/04/2026</t>
        </is>
      </c>
      <c r="I12831" t="inlineStr">
        <is>
          <t>17/03/2026</t>
        </is>
      </c>
      <c r="J12831" t="inlineStr">
        <is>
          <t>Nhân sự, Kế toán / Kiểm toán</t>
        </is>
      </c>
      <c r="K12831" t="inlineStr">
        <is>
          <t>1 - 2 Năm</t>
        </is>
      </c>
      <c r="L12831" s="8">
        <f>HYPERLINK("https://careerviet.vn/vi/tim-viec-lam/nhan-vien-hanh-chinh-nhan-su.35C68399.html","Xem chi tiết")</f>
        <v/>
      </c>
    </row>
    <row r="12832">
      <c r="B12832" s="9" t="n">
        <v>12830</v>
      </c>
      <c r="C12832" s="10" t="inlineStr">
        <is>
          <t>Đại Diện Bán Hàng</t>
        </is>
      </c>
      <c r="D12832" s="10" t="inlineStr">
        <is>
          <t>Tập Đoàn Karofi Holding</t>
        </is>
      </c>
      <c r="E12832" s="10" t="inlineStr">
        <is>
          <t>Lương:16 Tr - 22 Tr VND</t>
        </is>
      </c>
      <c r="F12832" s="10" t="inlineStr">
        <is>
          <t>Bắc NinhHải PhòngSơn La</t>
        </is>
      </c>
      <c r="G12832" s="10" t="inlineStr">
        <is>
          <t>10-04-2026</t>
        </is>
      </c>
      <c r="H12832" s="10" t="inlineStr">
        <is>
          <t>10/04/2026</t>
        </is>
      </c>
      <c r="I12832" s="10" t="inlineStr">
        <is>
          <t>17/03/2026</t>
        </is>
      </c>
      <c r="J12832" s="10" t="inlineStr">
        <is>
          <t>Bán lẻ / Bán sỉ, Bán hàng / Kinh doanh, Hàng gia dụng / Chăm sóc cá nhân</t>
        </is>
      </c>
      <c r="K12832" s="10" t="inlineStr">
        <is>
          <t>Trên 1 Năm</t>
        </is>
      </c>
      <c r="L12832" s="11">
        <f>HYPERLINK("https://careerviet.vn/vi/tim-viec-lam/dai-dien-ban-hang.35C652D2.html","Xem chi tiết")</f>
        <v/>
      </c>
      <c r="M12832" s="10" t="n"/>
    </row>
    <row r="12833">
      <c r="B12833" s="7" t="n">
        <v>12831</v>
      </c>
      <c r="C12833" t="inlineStr">
        <is>
          <t>CHUYÊN VIÊN SOCIAL MEDIA</t>
        </is>
      </c>
      <c r="D12833" t="inlineStr">
        <is>
          <t>Công ty TNHH Sản xuất Thương mại &amp; Dịch vụ Hoa Xinh</t>
        </is>
      </c>
      <c r="E12833" t="inlineStr">
        <is>
          <t>Lương:10 Tr - 15 Tr VND</t>
        </is>
      </c>
      <c r="F12833" t="inlineStr">
        <is>
          <t>Hồ Chí MinhBà Rịa - Vũng Tàu</t>
        </is>
      </c>
      <c r="G12833" t="inlineStr">
        <is>
          <t>10-04-2026</t>
        </is>
      </c>
      <c r="H12833" t="inlineStr">
        <is>
          <t>10/04/2026</t>
        </is>
      </c>
      <c r="I12833" t="inlineStr">
        <is>
          <t>17/03/2026</t>
        </is>
      </c>
      <c r="J12833" t="inlineStr">
        <is>
          <t>Tiếp thị / Marketing, Tiếp thị trực tuyến, Thương mại điện tử</t>
        </is>
      </c>
      <c r="K12833" t="inlineStr">
        <is>
          <t>1 - 4 Năm</t>
        </is>
      </c>
      <c r="L12833" s="8">
        <f>HYPERLINK("https://careerviet.vn/vi/tim-viec-lam/chuyen-vien-social-media.35C68321.html","Xem chi tiết")</f>
        <v/>
      </c>
    </row>
    <row r="12834">
      <c r="B12834" s="9" t="n">
        <v>12832</v>
      </c>
      <c r="C12834" s="10" t="inlineStr">
        <is>
          <t>Washtech [May mặc - Denim]</t>
        </is>
      </c>
      <c r="D12834" s="10" t="inlineStr">
        <is>
          <t>CÔNG TY TNHH EVOLUTION ENTERPRISES</t>
        </is>
      </c>
      <c r="E12834" s="10" t="inlineStr">
        <is>
          <t>Lương:20 Tr - 30 Tr VND</t>
        </is>
      </c>
      <c r="F12834" s="10" t="inlineStr">
        <is>
          <t>Hồ Chí Minh</t>
        </is>
      </c>
      <c r="G12834" s="10" t="inlineStr">
        <is>
          <t>10-04-2026</t>
        </is>
      </c>
      <c r="H12834" s="10" t="inlineStr">
        <is>
          <t>10/04/2026</t>
        </is>
      </c>
      <c r="I12834" s="10" t="inlineStr">
        <is>
          <t>17/03/2026</t>
        </is>
      </c>
      <c r="J12834" s="10" t="inlineStr">
        <is>
          <t>Sản xuất / Vận hành sản xuất, Dệt may / Da giày / Thời trang, Quản lý chất lượng (QA/QC)</t>
        </is>
      </c>
      <c r="K12834" s="10" t="inlineStr">
        <is>
          <t>3 - 5 Năm</t>
        </is>
      </c>
      <c r="L12834" s="11">
        <f>HYPERLINK("https://careerviet.vn/vi/tim-viec-lam/washtech-may-mac-denim.35C682FF.html","Xem chi tiết")</f>
        <v/>
      </c>
      <c r="M12834" s="10" t="n"/>
    </row>
    <row r="12835">
      <c r="B12835" s="7" t="n">
        <v>12833</v>
      </c>
      <c r="C12835" t="inlineStr">
        <is>
          <t>Nhân viên kế toán giá thành</t>
        </is>
      </c>
      <c r="D12835" t="inlineStr">
        <is>
          <t>Công ty TNHH Sản xuất Thương mại &amp; Dịch vụ Hoa Xinh</t>
        </is>
      </c>
      <c r="E12835" t="inlineStr">
        <is>
          <t>Lương:10 Tr - 12 Tr VND</t>
        </is>
      </c>
      <c r="F12835" t="inlineStr">
        <is>
          <t>Hồ Chí Minh</t>
        </is>
      </c>
      <c r="G12835" t="inlineStr">
        <is>
          <t>10-04-2026</t>
        </is>
      </c>
      <c r="H12835" t="inlineStr">
        <is>
          <t>10/04/2026</t>
        </is>
      </c>
      <c r="I12835" t="inlineStr">
        <is>
          <t>17/03/2026</t>
        </is>
      </c>
      <c r="J12835" t="inlineStr">
        <is>
          <t>Bán hàng / Kinh doanh, Kế toán / Kiểm toán, Nhà hàng / Khách sạn</t>
        </is>
      </c>
      <c r="K12835" t="inlineStr">
        <is>
          <t>1 - 2 Năm</t>
        </is>
      </c>
      <c r="L12835" s="8">
        <f>HYPERLINK("https://careerviet.vn/vi/tim-viec-lam/nhan-vien-ke-toan-gia-thanh.35C683ED.html","Xem chi tiết")</f>
        <v/>
      </c>
    </row>
    <row r="12836">
      <c r="B12836" s="9" t="n">
        <v>12834</v>
      </c>
      <c r="C12836" s="10" t="inlineStr">
        <is>
          <t>Chuyên viên Ban Kiểm toán nội bộ (Trụ sở chính VBI)</t>
        </is>
      </c>
      <c r="D12836" s="10" t="inlineStr">
        <is>
          <t>Tổng Công Ty Cổ Phần Bảo Hiểm Ngân Hàng TMCP Công Thương Việt Nam</t>
        </is>
      </c>
      <c r="E12836" s="10" t="inlineStr">
        <is>
          <t>Lương:Cạnh tranh</t>
        </is>
      </c>
      <c r="F12836" s="10" t="inlineStr">
        <is>
          <t>Hà Nội</t>
        </is>
      </c>
      <c r="G12836" s="10" t="inlineStr">
        <is>
          <t>10-04-2026</t>
        </is>
      </c>
      <c r="H12836" s="10" t="inlineStr">
        <is>
          <t>10/04/2026</t>
        </is>
      </c>
      <c r="I12836" s="10" t="inlineStr">
        <is>
          <t>17/03/2026</t>
        </is>
      </c>
      <c r="J12836" s="10" t="inlineStr">
        <is>
          <t>Bảo hiểm, Kế toán / Kiểm toán, Ngân hàng</t>
        </is>
      </c>
      <c r="K12836" s="10" t="inlineStr">
        <is>
          <t>2 - 5 Năm</t>
        </is>
      </c>
      <c r="L12836" s="11">
        <f>HYPERLINK("https://careerviet.vn/vi/tim-viec-lam/chuyen-vien-ban-kiem-toan-noi-bo-tru-so-chinh-vbi.35C68300.html","Xem chi tiết")</f>
        <v/>
      </c>
      <c r="M12836" s="10" t="n"/>
    </row>
    <row r="12837">
      <c r="B12837" s="7" t="n">
        <v>12835</v>
      </c>
      <c r="C12837" t="inlineStr">
        <is>
          <t>Giám Sát An Toàn</t>
        </is>
      </c>
      <c r="D12837" t="inlineStr">
        <is>
          <t>CÔNG TY TNHH KỸ THUẬT ĐIỆN TỰ ĐỘNG HÓA HUKASU</t>
        </is>
      </c>
      <c r="E12837" t="inlineStr">
        <is>
          <t>Lương:Cạnh tranh</t>
        </is>
      </c>
      <c r="F12837" t="inlineStr">
        <is>
          <t>Bình Dương</t>
        </is>
      </c>
      <c r="G12837" t="inlineStr">
        <is>
          <t>10-04-2026</t>
        </is>
      </c>
      <c r="H12837" t="inlineStr">
        <is>
          <t>10/04/2026</t>
        </is>
      </c>
      <c r="I12837" t="inlineStr">
        <is>
          <t>17/03/2026</t>
        </is>
      </c>
      <c r="J12837" t="inlineStr">
        <is>
          <t>Quản lý điều hành, Môi trường, An toàn lao động</t>
        </is>
      </c>
      <c r="K12837" t="inlineStr">
        <is>
          <t>N/A</t>
        </is>
      </c>
      <c r="L12837" s="8">
        <f>HYPERLINK("https://careerviet.vn/vi/tim-viec-lam/giam-sat-an-toan.35C6837B.html","Xem chi tiết")</f>
        <v/>
      </c>
    </row>
    <row r="12838">
      <c r="B12838" s="9" t="n">
        <v>12836</v>
      </c>
      <c r="C12838" s="10" t="inlineStr">
        <is>
          <t>Nhân Viên CSKH/Tư Vấn/Bán Hàng Qua Điện Thoại - Làm Tại Văn Phòng - Data Có Sẳn</t>
        </is>
      </c>
      <c r="D12838" s="10" t="inlineStr">
        <is>
          <t>CÔNG TY TNHH TƯ VẤN DỊCH VỤ MTC GROUP</t>
        </is>
      </c>
      <c r="E12838" s="10" t="inlineStr">
        <is>
          <t>Lương:6 Tr - 7,3 Tr VND</t>
        </is>
      </c>
      <c r="F12838" s="10" t="inlineStr">
        <is>
          <t>Hồ Chí Minh</t>
        </is>
      </c>
      <c r="G12838" s="10" t="inlineStr">
        <is>
          <t>10-04-2026</t>
        </is>
      </c>
      <c r="H12838" s="10" t="inlineStr">
        <is>
          <t>10/04/2026</t>
        </is>
      </c>
      <c r="I12838" s="10" t="inlineStr">
        <is>
          <t>17/03/2026</t>
        </is>
      </c>
      <c r="J12838" s="10" t="inlineStr">
        <is>
          <t>Bán hàng / Kinh doanh, Tư vấn, Tài chính / Đầu tư</t>
        </is>
      </c>
      <c r="K12838" s="10" t="inlineStr">
        <is>
          <t>N/A</t>
        </is>
      </c>
      <c r="L12838" s="11">
        <f>HYPERLINK("https://careerviet.vn/vi/tim-viec-lam/nhan-vien-cskh-tu-van-ban-hang-qua-dien-thoai-lam-tai-van-phong-data-co-san.35C6508F.html","Xem chi tiết")</f>
        <v/>
      </c>
      <c r="M12838" s="10" t="n"/>
    </row>
    <row r="12839">
      <c r="B12839" s="7" t="n">
        <v>12837</v>
      </c>
      <c r="C12839" t="inlineStr">
        <is>
          <t>Chuyên viên tuyển dụng</t>
        </is>
      </c>
      <c r="D12839" t="inlineStr">
        <is>
          <t>Công ty TNHH Sản xuất Thương mại &amp; Dịch vụ Hoa Xinh</t>
        </is>
      </c>
      <c r="E12839" t="inlineStr">
        <is>
          <t>Lương:10 Tr - 15 Tr VND</t>
        </is>
      </c>
      <c r="F12839" t="inlineStr">
        <is>
          <t>Hồ Chí Minh</t>
        </is>
      </c>
      <c r="G12839" t="inlineStr">
        <is>
          <t>10-04-2026</t>
        </is>
      </c>
      <c r="H12839" t="inlineStr">
        <is>
          <t>10/04/2026</t>
        </is>
      </c>
      <c r="I12839" t="inlineStr">
        <is>
          <t>17/03/2026</t>
        </is>
      </c>
      <c r="J12839" t="inlineStr">
        <is>
          <t>Tư vấn, Hành chính / Thư ký, Nhân sự</t>
        </is>
      </c>
      <c r="K12839" t="inlineStr">
        <is>
          <t>1 - 3 Năm</t>
        </is>
      </c>
      <c r="L12839" s="8">
        <f>HYPERLINK("https://careerviet.vn/vi/tim-viec-lam/chuyen-vien-tuyen-dung.35C6831C.html","Xem chi tiết")</f>
        <v/>
      </c>
    </row>
    <row r="12840">
      <c r="B12840" s="9" t="n">
        <v>12838</v>
      </c>
      <c r="C12840" s="10" t="inlineStr">
        <is>
          <t>Chuyên Viên C&amp;B</t>
        </is>
      </c>
      <c r="D12840" s="10" t="inlineStr">
        <is>
          <t>ONE GROUP</t>
        </is>
      </c>
      <c r="E12840" s="10" t="inlineStr">
        <is>
          <t>Lương:10 Tr - 12 Tr VND</t>
        </is>
      </c>
      <c r="F12840" s="10" t="inlineStr">
        <is>
          <t>Hồ Chí Minh</t>
        </is>
      </c>
      <c r="G12840" s="10" t="inlineStr">
        <is>
          <t>10-04-2026</t>
        </is>
      </c>
      <c r="H12840" s="10" t="inlineStr">
        <is>
          <t>10/04/2026</t>
        </is>
      </c>
      <c r="I12840" s="10" t="inlineStr">
        <is>
          <t>17/03/2026</t>
        </is>
      </c>
      <c r="J12840" s="10" t="inlineStr">
        <is>
          <t>Nhân sự, Hành chính / Thư ký, Bán hàng / Kinh doanh</t>
        </is>
      </c>
      <c r="K12840" s="10" t="inlineStr">
        <is>
          <t>1 - 2 Năm</t>
        </is>
      </c>
      <c r="L12840" s="11">
        <f>HYPERLINK("https://careerviet.vn/vi/tim-viec-lam/chuyen-vien-c-b.35C65293.html","Xem chi tiết")</f>
        <v/>
      </c>
      <c r="M12840" s="10" t="n"/>
    </row>
    <row r="12841">
      <c r="B12841" s="7" t="n">
        <v>12839</v>
      </c>
      <c r="C12841" t="inlineStr">
        <is>
          <t>Legal Officer</t>
        </is>
      </c>
      <c r="D12841" t="inlineStr">
        <is>
          <t>MOTIVES VIETNAM CORPORATION</t>
        </is>
      </c>
      <c r="E12841" t="inlineStr">
        <is>
          <t>Lương:Cạnh tranh</t>
        </is>
      </c>
      <c r="F12841" t="inlineStr">
        <is>
          <t>Hồ Chí Minh</t>
        </is>
      </c>
      <c r="G12841" t="inlineStr">
        <is>
          <t>10-04-2026</t>
        </is>
      </c>
      <c r="H12841" t="inlineStr">
        <is>
          <t>10/04/2026</t>
        </is>
      </c>
      <c r="I12841" t="inlineStr">
        <is>
          <t>17/03/2026</t>
        </is>
      </c>
      <c r="J12841" t="inlineStr">
        <is>
          <t>Luật / Pháp lý</t>
        </is>
      </c>
      <c r="K12841" t="inlineStr">
        <is>
          <t>Trên 3 Năm</t>
        </is>
      </c>
      <c r="L12841" s="8">
        <f>HYPERLINK("https://careerviet.vn/vi/tim-viec-lam/legal-officer.35C68311.html","Xem chi tiết")</f>
        <v/>
      </c>
    </row>
    <row r="12842">
      <c r="B12842" s="9" t="n">
        <v>12840</v>
      </c>
      <c r="C12842" s="10" t="inlineStr">
        <is>
          <t>Nhân Viên QC giày</t>
        </is>
      </c>
      <c r="D12842" s="10" t="inlineStr">
        <is>
          <t>Vascara Group</t>
        </is>
      </c>
      <c r="E12842" s="10" t="inlineStr">
        <is>
          <t>Lương:Cạnh tranh</t>
        </is>
      </c>
      <c r="F12842" s="10" t="inlineStr">
        <is>
          <t>Hồ Chí MinhLong AnĐồng Nai</t>
        </is>
      </c>
      <c r="G12842" s="10" t="inlineStr">
        <is>
          <t>10-04-2026</t>
        </is>
      </c>
      <c r="H12842" s="10" t="inlineStr">
        <is>
          <t>10/04/2026</t>
        </is>
      </c>
      <c r="I12842" s="10" t="inlineStr">
        <is>
          <t>17/03/2026</t>
        </is>
      </c>
      <c r="J12842" s="10" t="inlineStr">
        <is>
          <t>Sản xuất / Vận hành sản xuất, Dệt may / Da giày / Thời trang, Quản lý chất lượng (QA/QC)</t>
        </is>
      </c>
      <c r="K12842" s="10" t="inlineStr">
        <is>
          <t>1 - 2 Năm</t>
        </is>
      </c>
      <c r="L12842" s="11">
        <f>HYPERLINK("https://careerviet.vn/vi/tim-viec-lam/nhan-vien-qc-giay.35C68377.html","Xem chi tiết")</f>
        <v/>
      </c>
      <c r="M12842" s="10" t="n"/>
    </row>
    <row r="12843">
      <c r="B12843" s="7" t="n">
        <v>12841</v>
      </c>
      <c r="C12843" t="inlineStr">
        <is>
          <t>Kỹ Sư Cơ Điện</t>
        </is>
      </c>
      <c r="D12843" t="inlineStr">
        <is>
          <t>CÔNG TY CỔ PHẦN ĐẦU TƯ BẤT ĐỘNG SẢN TASECO</t>
        </is>
      </c>
      <c r="E12843" t="inlineStr">
        <is>
          <t>Lương:Cạnh tranh</t>
        </is>
      </c>
      <c r="F12843" t="inlineStr">
        <is>
          <t>Hà Nội</t>
        </is>
      </c>
      <c r="G12843" t="inlineStr">
        <is>
          <t>10-04-2026</t>
        </is>
      </c>
      <c r="H12843" t="inlineStr">
        <is>
          <t>10/04/2026</t>
        </is>
      </c>
      <c r="I12843" t="inlineStr">
        <is>
          <t>17/03/2026</t>
        </is>
      </c>
      <c r="J12843" t="inlineStr">
        <is>
          <t>Kiến trúc, Xây dựng, Điện / Điện tử / Điện lạnh / Điện công nghiệp</t>
        </is>
      </c>
      <c r="K12843" t="inlineStr">
        <is>
          <t>Trên 2 Năm</t>
        </is>
      </c>
      <c r="L12843" s="8">
        <f>HYPERLINK("https://careerviet.vn/vi/tim-viec-lam/ky-su-co-dien.35C683B1.html","Xem chi tiết")</f>
        <v/>
      </c>
    </row>
    <row r="12844">
      <c r="B12844" s="9" t="n">
        <v>12842</v>
      </c>
      <c r="C12844" s="10" t="inlineStr">
        <is>
          <t>Chuyên viên Quan hệ Khách hàng Doanh nghiệp - Chi nhánh Mỹ Đình</t>
        </is>
      </c>
      <c r="D12844" s="10" t="inlineStr">
        <is>
          <t>Indovina Bank Ltd.</t>
        </is>
      </c>
      <c r="E12844" s="10" t="inlineStr">
        <is>
          <t>Lương:Cạnh tranh</t>
        </is>
      </c>
      <c r="F12844" s="10" t="inlineStr">
        <is>
          <t>Hà Nội</t>
        </is>
      </c>
      <c r="G12844" s="10" t="inlineStr">
        <is>
          <t>10-04-2026</t>
        </is>
      </c>
      <c r="H12844" s="10" t="inlineStr">
        <is>
          <t>10/04/2026</t>
        </is>
      </c>
      <c r="I12844" s="10" t="inlineStr">
        <is>
          <t>17/03/2026</t>
        </is>
      </c>
      <c r="J12844" s="10" t="inlineStr">
        <is>
          <t>Bán hàng / Kinh doanh, Ngân hàng, Tài chính / Đầu tư</t>
        </is>
      </c>
      <c r="K12844" s="10" t="inlineStr">
        <is>
          <t>1 - 2 Năm</t>
        </is>
      </c>
      <c r="L12844" s="11">
        <f>HYPERLINK("https://careerviet.vn/vi/tim-viec-lam/chuyen-vien-quan-he-khach-hang-doanh-nghiep-chi-nhanh-my-dinh.35C652BA.html","Xem chi tiết")</f>
        <v/>
      </c>
      <c r="M12844" s="10" t="n"/>
    </row>
    <row r="12845">
      <c r="B12845" s="7" t="n">
        <v>12843</v>
      </c>
      <c r="C12845" t="inlineStr">
        <is>
          <t>Chuyên viên / Chuyên viên cao cấp Phát triển Sản phẩm</t>
        </is>
      </c>
      <c r="D12845" t="inlineStr">
        <is>
          <t>CÔNG TY CỔ PHẦN CHỨNG KHOÁN HD</t>
        </is>
      </c>
      <c r="E12845" t="inlineStr">
        <is>
          <t>Lương:Cạnh tranh</t>
        </is>
      </c>
      <c r="F12845" t="inlineStr">
        <is>
          <t>Hồ Chí Minh</t>
        </is>
      </c>
      <c r="G12845" t="inlineStr">
        <is>
          <t>10-04-2026</t>
        </is>
      </c>
      <c r="H12845" t="inlineStr">
        <is>
          <t>10/04/2026</t>
        </is>
      </c>
      <c r="I12845" t="inlineStr">
        <is>
          <t>17/03/2026</t>
        </is>
      </c>
      <c r="J12845" t="inlineStr">
        <is>
          <t>Chứng khoán, Tài chính / Đầu tư</t>
        </is>
      </c>
      <c r="K12845" t="inlineStr">
        <is>
          <t>3 - 5 Năm</t>
        </is>
      </c>
      <c r="L12845" s="8">
        <f>HYPERLINK("https://careerviet.vn/vi/tim-viec-lam/chuyen-vien-chuyen-vien-cao-cap-phat-trien-san-pham.35C6843A.html","Xem chi tiết")</f>
        <v/>
      </c>
    </row>
    <row r="12846">
      <c r="B12846" s="9" t="n">
        <v>12844</v>
      </c>
      <c r="C12846" s="10" t="inlineStr">
        <is>
          <t>Kế toán thanh toán</t>
        </is>
      </c>
      <c r="D12846" s="10" t="inlineStr">
        <is>
          <t>Công Ty Hoàng An Nhiên</t>
        </is>
      </c>
      <c r="E12846" s="10" t="inlineStr">
        <is>
          <t>Lương:15 Tr - 16 Tr VND</t>
        </is>
      </c>
      <c r="F12846" s="10" t="inlineStr">
        <is>
          <t>Hồ Chí Minh</t>
        </is>
      </c>
      <c r="G12846" s="10" t="inlineStr">
        <is>
          <t>10-04-2026</t>
        </is>
      </c>
      <c r="H12846" s="10" t="inlineStr">
        <is>
          <t>10/04/2026</t>
        </is>
      </c>
      <c r="I12846" s="10" t="inlineStr">
        <is>
          <t>17/03/2026</t>
        </is>
      </c>
      <c r="J12846" s="10" t="inlineStr">
        <is>
          <t>Kế toán / Kiểm toán, Thực phẩm &amp; Đồ uống, Sản xuất / Vận hành sản xuất</t>
        </is>
      </c>
      <c r="K12846" s="10" t="inlineStr">
        <is>
          <t>1 - 2 Năm</t>
        </is>
      </c>
      <c r="L12846" s="11">
        <f>HYPERLINK("https://careerviet.vn/vi/tim-viec-lam/ke-toan-thanh-toan.35C6840C.html","Xem chi tiết")</f>
        <v/>
      </c>
      <c r="M12846" s="10" t="n"/>
    </row>
    <row r="12847">
      <c r="B12847" s="7" t="n">
        <v>12845</v>
      </c>
      <c r="C12847" t="inlineStr">
        <is>
          <t>Nhóm trưởng Khai báo hải quan và điều phối giao nhận (OPS Leader)</t>
        </is>
      </c>
      <c r="D12847" t="inlineStr">
        <is>
          <t>MN SHIPPING CO., LTD</t>
        </is>
      </c>
      <c r="E12847" t="inlineStr">
        <is>
          <t>Lương:Cạnh tranh</t>
        </is>
      </c>
      <c r="F12847" t="inlineStr">
        <is>
          <t>Đà Nẵng</t>
        </is>
      </c>
      <c r="G12847" t="inlineStr">
        <is>
          <t>10-04-2026</t>
        </is>
      </c>
      <c r="H12847" t="inlineStr">
        <is>
          <t>10/04/2026</t>
        </is>
      </c>
      <c r="I12847" t="inlineStr">
        <is>
          <t>17/03/2026</t>
        </is>
      </c>
      <c r="J12847" t="inlineStr">
        <is>
          <t>Vận chuyển / Giao nhận / Kho vận, Hàng hải, Xuất nhập khẩu</t>
        </is>
      </c>
      <c r="K12847" t="inlineStr">
        <is>
          <t>3 - 5 Năm</t>
        </is>
      </c>
      <c r="L12847" s="8">
        <f>HYPERLINK("https://careerviet.vn/vi/tim-viec-lam/nhom-truong-khai-bao-hai-quan-va-dieu-phoi-giao-nhan-ops-leader.35C6837D.html","Xem chi tiết")</f>
        <v/>
      </c>
    </row>
    <row r="12848">
      <c r="B12848" s="9" t="n">
        <v>12846</v>
      </c>
      <c r="C12848" s="10" t="inlineStr">
        <is>
          <t>Chuyên Viên IT Phần Mềm</t>
        </is>
      </c>
      <c r="D12848" s="10" t="inlineStr">
        <is>
          <t>Công ty TNHH Vạn Niên</t>
        </is>
      </c>
      <c r="E12848" s="10" t="inlineStr">
        <is>
          <t>Lương:15 Tr - 22 Tr VND</t>
        </is>
      </c>
      <c r="F12848" s="10" t="inlineStr">
        <is>
          <t>Hà Nội</t>
        </is>
      </c>
      <c r="G12848" s="10" t="inlineStr">
        <is>
          <t>10-04-2026</t>
        </is>
      </c>
      <c r="H12848" s="10" t="inlineStr">
        <is>
          <t>10/04/2026</t>
        </is>
      </c>
      <c r="I12848" s="10" t="inlineStr">
        <is>
          <t>17/03/2026</t>
        </is>
      </c>
      <c r="J12848" s="10" t="inlineStr">
        <is>
          <t>CNTT - Phần mềm</t>
        </is>
      </c>
      <c r="K12848" s="10" t="inlineStr">
        <is>
          <t>2 - 3 Năm</t>
        </is>
      </c>
      <c r="L12848" s="11">
        <f>HYPERLINK("https://careerviet.vn/vi/tim-viec-lam/chuyen-vien-it-phan-mem.35C65259.html","Xem chi tiết")</f>
        <v/>
      </c>
      <c r="M12848" s="10" t="n"/>
    </row>
    <row r="12849">
      <c r="B12849" s="7" t="n">
        <v>12847</v>
      </c>
      <c r="C12849" t="inlineStr">
        <is>
          <t>Planner</t>
        </is>
      </c>
      <c r="D12849" t="inlineStr">
        <is>
          <t>Công ty TNHH Spartronics Việt Nam</t>
        </is>
      </c>
      <c r="E12849" t="inlineStr">
        <is>
          <t>Lương:Cạnh tranh</t>
        </is>
      </c>
      <c r="F12849" t="inlineStr">
        <is>
          <t>Bình Dương</t>
        </is>
      </c>
      <c r="G12849" t="inlineStr">
        <is>
          <t>10-04-2026</t>
        </is>
      </c>
      <c r="H12849" t="inlineStr">
        <is>
          <t>10/04/2026</t>
        </is>
      </c>
      <c r="I12849" t="inlineStr">
        <is>
          <t>17/03/2026</t>
        </is>
      </c>
      <c r="J12849" t="inlineStr">
        <is>
          <t>Điện / Điện tử / Điện lạnh / Điện công nghiệp, Sản xuất / Vận hành sản xuất</t>
        </is>
      </c>
      <c r="K12849" t="inlineStr">
        <is>
          <t>5 - 10 Năm</t>
        </is>
      </c>
      <c r="L12849" s="8">
        <f>HYPERLINK("https://careerviet.vn/vi/tim-viec-lam/planner.35C6831A.html","Xem chi tiết")</f>
        <v/>
      </c>
    </row>
    <row r="12850">
      <c r="B12850" s="9" t="n">
        <v>12848</v>
      </c>
      <c r="C12850" s="10" t="inlineStr">
        <is>
          <t>Digital Marketing Supervisor (Pharmaceutical)</t>
        </is>
      </c>
      <c r="D12850" s="10" t="inlineStr">
        <is>
          <t>CareerViet's client</t>
        </is>
      </c>
      <c r="E12850" s="10" t="inlineStr">
        <is>
          <t>Lương:Cạnh tranh</t>
        </is>
      </c>
      <c r="F12850" s="10" t="inlineStr">
        <is>
          <t>Hồ Chí Minh</t>
        </is>
      </c>
      <c r="G12850" s="10" t="inlineStr">
        <is>
          <t>10-04-2026</t>
        </is>
      </c>
      <c r="H12850" s="10" t="inlineStr">
        <is>
          <t>10/04/2026</t>
        </is>
      </c>
      <c r="I12850" s="10" t="inlineStr">
        <is>
          <t>17/03/2026</t>
        </is>
      </c>
      <c r="J12850" s="10" t="inlineStr">
        <is>
          <t>Tiếp thị / Marketing</t>
        </is>
      </c>
      <c r="K12850" s="10" t="inlineStr">
        <is>
          <t>2 - 3 Năm</t>
        </is>
      </c>
      <c r="L12850" s="11">
        <f>HYPERLINK("https://careerviet.vn/vi/tim-viec-lam/digital-marketing-supervisor-pharmaceutical.35C6839A.html","Xem chi tiết")</f>
        <v/>
      </c>
      <c r="M12850" s="10" t="n"/>
    </row>
    <row r="12851">
      <c r="B12851" s="7" t="n">
        <v>12849</v>
      </c>
      <c r="C12851" t="inlineStr">
        <is>
          <t>Sales Assistant Manager</t>
        </is>
      </c>
      <c r="D12851" t="inlineStr">
        <is>
          <t>BETRIMEX - Công Ty Cổ Phần Xuất Nhập Khẩu Bến Tre</t>
        </is>
      </c>
      <c r="E12851" t="inlineStr">
        <is>
          <t>Lương:Cạnh tranh</t>
        </is>
      </c>
      <c r="F12851" t="inlineStr">
        <is>
          <t>Hồ Chí Minh</t>
        </is>
      </c>
      <c r="G12851" t="inlineStr">
        <is>
          <t>10-04-2026</t>
        </is>
      </c>
      <c r="H12851" t="inlineStr">
        <is>
          <t>10/04/2026</t>
        </is>
      </c>
      <c r="I12851" t="inlineStr">
        <is>
          <t>17/03/2026</t>
        </is>
      </c>
      <c r="J12851" t="inlineStr">
        <is>
          <t>Bán hàng / Kinh doanh, Xuất nhập khẩu</t>
        </is>
      </c>
      <c r="K12851" t="inlineStr">
        <is>
          <t>4 - 5 Năm</t>
        </is>
      </c>
      <c r="L12851" s="8">
        <f>HYPERLINK("https://careerviet.vn/vi/tim-viec-lam/sales-assistant-manager.35C683A2.html","Xem chi tiết")</f>
        <v/>
      </c>
    </row>
    <row r="12852">
      <c r="B12852" s="9" t="n">
        <v>12850</v>
      </c>
      <c r="C12852" s="10" t="inlineStr">
        <is>
          <t>Chuyên viên Marketing sản phẩm NL</t>
        </is>
      </c>
      <c r="D12852" s="10" t="inlineStr">
        <is>
          <t>CÔNG TY CỔ PHẦN TẬP ĐOÀN DAT</t>
        </is>
      </c>
      <c r="E12852" s="10" t="inlineStr">
        <is>
          <t>Lương:17 Tr - 25 Tr VND</t>
        </is>
      </c>
      <c r="F12852" s="10" t="inlineStr">
        <is>
          <t>Hồ Chí Minh</t>
        </is>
      </c>
      <c r="G12852" s="10" t="inlineStr">
        <is>
          <t>31-03-2026</t>
        </is>
      </c>
      <c r="H12852" s="10" t="inlineStr">
        <is>
          <t>31/03/2026</t>
        </is>
      </c>
      <c r="I12852" s="10" t="inlineStr">
        <is>
          <t>17/03/2026</t>
        </is>
      </c>
      <c r="J12852" s="10" t="inlineStr">
        <is>
          <t>Tiếp thị / Marketing, Bán Hàng Kỹ Thuật, Bán hàng / Kinh doanh</t>
        </is>
      </c>
      <c r="K12852" s="10" t="inlineStr">
        <is>
          <t>Chưa có kinh nghiệm</t>
        </is>
      </c>
      <c r="L12852" s="11">
        <f>HYPERLINK("https://careerviet.vn/vi/tim-viec-lam/chuyen-vien-marketing-san-pham-nl.35C69B52.html","Xem chi tiết")</f>
        <v/>
      </c>
      <c r="M12852" s="10" t="n"/>
    </row>
    <row r="12853">
      <c r="B12853" s="7" t="n">
        <v>12851</v>
      </c>
      <c r="C12853" t="inlineStr">
        <is>
          <t>Kế toán kho</t>
        </is>
      </c>
      <c r="D12853" t="inlineStr">
        <is>
          <t>CÔNG TY CỔ PHẦN NHỰA TÁI CHẾ DUY TÂN</t>
        </is>
      </c>
      <c r="E12853" t="inlineStr">
        <is>
          <t>Lương:11 Tr - 12 Tr VND</t>
        </is>
      </c>
      <c r="F12853" t="inlineStr">
        <is>
          <t>Long An</t>
        </is>
      </c>
      <c r="G12853" t="inlineStr">
        <is>
          <t>10-04-2026</t>
        </is>
      </c>
      <c r="H12853" t="inlineStr">
        <is>
          <t>10/04/2026</t>
        </is>
      </c>
      <c r="I12853" t="inlineStr">
        <is>
          <t>17/03/2026</t>
        </is>
      </c>
      <c r="J12853" t="inlineStr">
        <is>
          <t>Hành chính / Thư ký, Kế toán / Kiểm toán, Vận chuyển / Giao nhận / Kho vận</t>
        </is>
      </c>
      <c r="K12853" t="inlineStr">
        <is>
          <t>N/A</t>
        </is>
      </c>
      <c r="L12853" s="8">
        <f>HYPERLINK("https://careerviet.vn/vi/tim-viec-lam/ke-toan-kho.35C6840B.html","Xem chi tiết")</f>
        <v/>
      </c>
    </row>
    <row r="12854">
      <c r="B12854" s="9" t="n">
        <v>12852</v>
      </c>
      <c r="C12854" s="10" t="inlineStr">
        <is>
          <t>Digital Marketing Leader</t>
        </is>
      </c>
      <c r="D12854" s="10" t="inlineStr">
        <is>
          <t>Công Ty TNHH XNK Phát Triển Đông Dương</t>
        </is>
      </c>
      <c r="E12854" s="10" t="inlineStr">
        <is>
          <t>Lương:Cạnh tranh</t>
        </is>
      </c>
      <c r="F12854" s="10" t="inlineStr">
        <is>
          <t>Hồ Chí Minh</t>
        </is>
      </c>
      <c r="G12854" s="10" t="inlineStr">
        <is>
          <t>27-03-2026</t>
        </is>
      </c>
      <c r="H12854" s="10" t="inlineStr">
        <is>
          <t>27/03/2026</t>
        </is>
      </c>
      <c r="I12854" s="10" t="inlineStr">
        <is>
          <t>17/03/2026</t>
        </is>
      </c>
      <c r="J12854" s="10" t="inlineStr">
        <is>
          <t>Tiếp thị / Marketing, Bán lẻ / Bán sỉ, Tiếp thị trực tuyến</t>
        </is>
      </c>
      <c r="K12854" s="10" t="inlineStr">
        <is>
          <t>3 - 5 Năm</t>
        </is>
      </c>
      <c r="L12854" s="11">
        <f>HYPERLINK("https://careerviet.vn/vi/tim-viec-lam/digital-marketing-leader.35C69A0A.html","Xem chi tiết")</f>
        <v/>
      </c>
      <c r="M12854" s="10" t="n"/>
    </row>
    <row r="12855">
      <c r="B12855" s="7" t="n">
        <v>12853</v>
      </c>
      <c r="C12855" t="inlineStr">
        <is>
          <t>QUẢN LÝ KHU VỰC / AREA MANAGER - F&amp;B</t>
        </is>
      </c>
      <c r="D12855" t="inlineStr">
        <is>
          <t>Công Ty Cổ Phần Tầm Nhìn Quốc Tế Aladdin</t>
        </is>
      </c>
      <c r="E12855" t="inlineStr">
        <is>
          <t>Lương:Cạnh tranh</t>
        </is>
      </c>
      <c r="F12855" t="inlineStr">
        <is>
          <t>Hồ Chí Minh</t>
        </is>
      </c>
      <c r="G12855" t="inlineStr">
        <is>
          <t>11-03-2026</t>
        </is>
      </c>
      <c r="H12855" t="inlineStr">
        <is>
          <t>26/02/2026</t>
        </is>
      </c>
      <c r="I12855" t="inlineStr">
        <is>
          <t>17/03/2026</t>
        </is>
      </c>
      <c r="J12855" t="inlineStr">
        <is>
          <t>Thực phẩm &amp; Đồ uống, Nhà hàng / Khách sạn, Quản lý điều hành</t>
        </is>
      </c>
      <c r="K12855" t="inlineStr">
        <is>
          <t>Trên 5 Năm</t>
        </is>
      </c>
      <c r="L12855" s="8">
        <f>HYPERLINK("https://careerviet.vn/vi/tim-viec-lam/quan-ly-khu-vuc-area-manager-f-b.35C69A3C.html","Xem chi tiết")</f>
        <v/>
      </c>
    </row>
    <row r="12856">
      <c r="B12856" s="9" t="n">
        <v>12854</v>
      </c>
      <c r="C12856" s="10" t="inlineStr">
        <is>
          <t>Nhân Viên Admin Kho Thương Mại Điện Tử</t>
        </is>
      </c>
      <c r="D12856" s="10" t="inlineStr">
        <is>
          <t>JoyMall - Nhà Phân Phối Locknlock</t>
        </is>
      </c>
      <c r="E12856" s="10" t="inlineStr">
        <is>
          <t>Lương:7 Tr - 10 Tr VND</t>
        </is>
      </c>
      <c r="F12856" s="10" t="inlineStr">
        <is>
          <t>Hồ Chí Minh</t>
        </is>
      </c>
      <c r="G12856" s="10" t="inlineStr">
        <is>
          <t>31-03-2026</t>
        </is>
      </c>
      <c r="H12856" s="10" t="inlineStr">
        <is>
          <t>31/03/2026</t>
        </is>
      </c>
      <c r="I12856" s="10" t="inlineStr">
        <is>
          <t>17/03/2026</t>
        </is>
      </c>
      <c r="J12856" s="10" t="inlineStr">
        <is>
          <t>Vận chuyển / Giao nhận / Kho vận, Thương mại điện tử, Lao động phổ thông</t>
        </is>
      </c>
      <c r="K12856" s="10" t="inlineStr">
        <is>
          <t>Lên đến 1 Năm</t>
        </is>
      </c>
      <c r="L12856" s="11">
        <f>HYPERLINK("https://careerviet.vn/vi/tim-viec-lam/nhan-vien-admin-kho-thuong-mai-dien-tu.35C69C8E.html","Xem chi tiết")</f>
        <v/>
      </c>
      <c r="M12856" s="10" t="n"/>
    </row>
    <row r="12857">
      <c r="B12857" s="7" t="n">
        <v>12855</v>
      </c>
      <c r="C12857" t="inlineStr">
        <is>
          <t>Chuyên viên Quan hệ Khách hàng Cá nhân /Doanh nghiệp - Chi nhánh Thiên Long</t>
        </is>
      </c>
      <c r="D12857" t="inlineStr">
        <is>
          <t>Indovina Bank Ltd.</t>
        </is>
      </c>
      <c r="E12857" t="inlineStr">
        <is>
          <t>Lương:Cạnh tranh</t>
        </is>
      </c>
      <c r="F12857" t="inlineStr">
        <is>
          <t>Hà Nội</t>
        </is>
      </c>
      <c r="G12857" t="inlineStr">
        <is>
          <t>31-03-2026</t>
        </is>
      </c>
      <c r="H12857" t="inlineStr">
        <is>
          <t>31/03/2026</t>
        </is>
      </c>
      <c r="I12857" t="inlineStr">
        <is>
          <t>17/03/2026</t>
        </is>
      </c>
      <c r="J12857" t="inlineStr">
        <is>
          <t>Bán hàng / Kinh doanh, Ngân hàng, Tài chính / Đầu tư</t>
        </is>
      </c>
      <c r="K12857" t="inlineStr">
        <is>
          <t>1 - 2 Năm</t>
        </is>
      </c>
      <c r="L12857" s="8">
        <f>HYPERLINK("https://careerviet.vn/vi/tim-viec-lam/chuyen-vien-quan-he-khach-hang-ca-nhan-doanh-nghiep-chi-nhanh-thien-long.35C69A3E.html","Xem chi tiết")</f>
        <v/>
      </c>
    </row>
    <row r="12858">
      <c r="B12858" s="9" t="n">
        <v>12856</v>
      </c>
      <c r="C12858" s="10" t="inlineStr">
        <is>
          <t>Kỹ sư xây dựng ( QC, QS, Hiện trường)</t>
        </is>
      </c>
      <c r="D12858" s="10" t="inlineStr">
        <is>
          <t>CÔNG TY CỔ PHẦN KỸ THUẬT XÂY DỰNG AN TÍN</t>
        </is>
      </c>
      <c r="E12858" s="10" t="inlineStr">
        <is>
          <t>Lương:12 Tr - 18 Tr VND</t>
        </is>
      </c>
      <c r="F12858" s="10" t="inlineStr">
        <is>
          <t>Quảng Trị</t>
        </is>
      </c>
      <c r="G12858" s="10" t="inlineStr">
        <is>
          <t>28-03-2026</t>
        </is>
      </c>
      <c r="H12858" s="10" t="inlineStr">
        <is>
          <t>28/03/2026</t>
        </is>
      </c>
      <c r="I12858" s="10" t="inlineStr">
        <is>
          <t>17/03/2026</t>
        </is>
      </c>
      <c r="J12858" s="10" t="inlineStr">
        <is>
          <t>Xây dựng</t>
        </is>
      </c>
      <c r="K12858" s="10" t="inlineStr">
        <is>
          <t>N/A</t>
        </is>
      </c>
      <c r="L12858" s="11">
        <f>HYPERLINK("https://careerviet.vn/vi/tim-viec-lam/ky-su-xay-dung-qc-qs-hien-truong.35C69CF7.html","Xem chi tiết")</f>
        <v/>
      </c>
      <c r="M12858" s="10" t="n"/>
    </row>
    <row r="12859">
      <c r="B12859" s="7" t="n">
        <v>12857</v>
      </c>
      <c r="C12859" t="inlineStr">
        <is>
          <t>Nhân Viên Tư Vấn Kinh Doanh Mảng Auto trả góp - Tây Ninh</t>
        </is>
      </c>
      <c r="D12859" t="inlineStr">
        <is>
          <t>Công Ty Tài Chính TNHH Một Thành Viên Quốc Tế Việt Nam JACCS</t>
        </is>
      </c>
      <c r="E12859" t="inlineStr">
        <is>
          <t>Lương:7 Tr - 12 Tr VND</t>
        </is>
      </c>
      <c r="F12859" t="inlineStr">
        <is>
          <t>Tây Ninh</t>
        </is>
      </c>
      <c r="G12859" t="inlineStr">
        <is>
          <t>26-03-2026</t>
        </is>
      </c>
      <c r="H12859" t="inlineStr">
        <is>
          <t>26/03/2026</t>
        </is>
      </c>
      <c r="I12859" t="inlineStr">
        <is>
          <t>17/03/2026</t>
        </is>
      </c>
      <c r="J12859" t="inlineStr">
        <is>
          <t>Bán hàng / Kinh doanh, Ngân hàng, Tài chính / Đầu tư</t>
        </is>
      </c>
      <c r="K12859" t="inlineStr">
        <is>
          <t>1 - 2 Năm</t>
        </is>
      </c>
      <c r="L12859" s="8">
        <f>HYPERLINK("https://careerviet.vn/vi/tim-viec-lam/nhan-vien-tu-van-kinh-doanh-mang-auto-tra-gop-tay-ninh.35C69963.html","Xem chi tiết")</f>
        <v/>
      </c>
    </row>
    <row r="12860">
      <c r="B12860" s="9" t="n">
        <v>12858</v>
      </c>
      <c r="C12860" s="10" t="inlineStr">
        <is>
          <t>NHÂN VIÊN VẬN HÀNH CNC</t>
        </is>
      </c>
      <c r="D12860" s="10" t="inlineStr">
        <is>
          <t>CÔNG TY TNHH CARBORI MOLDS VIỆT NAM</t>
        </is>
      </c>
      <c r="E12860" s="10" t="inlineStr">
        <is>
          <t>Lương:Cạnh tranh</t>
        </is>
      </c>
      <c r="F12860" s="10" t="inlineStr">
        <is>
          <t>Đồng Nai</t>
        </is>
      </c>
      <c r="G12860" s="10" t="inlineStr">
        <is>
          <t>11-03-2026</t>
        </is>
      </c>
      <c r="H12860" s="10" t="inlineStr">
        <is>
          <t>10/03/2026</t>
        </is>
      </c>
      <c r="I12860" s="10" t="inlineStr">
        <is>
          <t>17/03/2026</t>
        </is>
      </c>
      <c r="J12860" s="10" t="inlineStr">
        <is>
          <t>Cơ khí / Ô tô / Tự động hóa, Điện / Điện tử / Điện lạnh / Điện công nghiệp, Sản xuất / Vận hành sản xuất</t>
        </is>
      </c>
      <c r="K12860" s="10" t="inlineStr">
        <is>
          <t>1 - 3 Năm</t>
        </is>
      </c>
      <c r="L12860" s="11">
        <f>HYPERLINK("https://careerviet.vn/vi/tim-viec-lam/nhan-vien-van-hanh-cnc.35C69A9D.html","Xem chi tiết")</f>
        <v/>
      </c>
      <c r="M12860" s="10" t="n"/>
    </row>
    <row r="12861">
      <c r="B12861" s="7" t="n">
        <v>12859</v>
      </c>
      <c r="C12861" t="inlineStr">
        <is>
          <t>Chuyên viên Thu Mua Nguyên Liệu/ Raw Material Associate/ Purchasing Associate</t>
        </is>
      </c>
      <c r="D12861" t="inlineStr">
        <is>
          <t>VRG DongWha Joint Stock Company</t>
        </is>
      </c>
      <c r="E12861" t="inlineStr">
        <is>
          <t>Lương:15 Tr - 25 Tr VND</t>
        </is>
      </c>
      <c r="F12861" t="inlineStr">
        <is>
          <t>Bình Phước</t>
        </is>
      </c>
      <c r="G12861" t="inlineStr">
        <is>
          <t>31-03-2026</t>
        </is>
      </c>
      <c r="H12861" t="inlineStr">
        <is>
          <t>31/03/2026</t>
        </is>
      </c>
      <c r="I12861" t="inlineStr">
        <is>
          <t>17/03/2026</t>
        </is>
      </c>
      <c r="J12861" t="inlineStr">
        <is>
          <t>Lâm Nghiệp, Thu mua / Vật tư</t>
        </is>
      </c>
      <c r="K12861" t="inlineStr">
        <is>
          <t>2 - 5 Năm</t>
        </is>
      </c>
      <c r="L12861" s="8">
        <f>HYPERLINK("https://careerviet.vn/vi/tim-viec-lam/chuyen-vien-thu-mua-nguyen-lieu-raw-material-associate-purchasing-associate.35C69ACC.html","Xem chi tiết")</f>
        <v/>
      </c>
    </row>
    <row r="12862">
      <c r="B12862" s="9" t="n">
        <v>12860</v>
      </c>
      <c r="C12862" s="10" t="inlineStr">
        <is>
          <t>[I1] TRƯỞNG NHÓM IT VẬN HÀNH (IT SUPPORT)</t>
        </is>
      </c>
      <c r="D12862" s="10" t="inlineStr">
        <is>
          <t>BellSystem24-Việt Nam</t>
        </is>
      </c>
      <c r="E12862" s="10" t="inlineStr">
        <is>
          <t>Lương:14 Tr - 15 Tr VND</t>
        </is>
      </c>
      <c r="F12862" s="10" t="inlineStr">
        <is>
          <t>Hà Nội</t>
        </is>
      </c>
      <c r="G12862" s="10" t="inlineStr">
        <is>
          <t>10-04-2026</t>
        </is>
      </c>
      <c r="H12862" s="10" t="inlineStr">
        <is>
          <t>10/04/2026</t>
        </is>
      </c>
      <c r="I12862" s="10" t="inlineStr">
        <is>
          <t>17/03/2026</t>
        </is>
      </c>
      <c r="J12862" s="10" t="inlineStr">
        <is>
          <t>CNTT - Phần cứng / Mạng</t>
        </is>
      </c>
      <c r="K12862" s="10" t="inlineStr">
        <is>
          <t>2 - 10 Năm</t>
        </is>
      </c>
      <c r="L12862" s="11">
        <f>HYPERLINK("https://careerviet.vn/vi/tim-viec-lam/i1-truong-nhom-it-van-hanh-it-support.35C69993.html","Xem chi tiết")</f>
        <v/>
      </c>
      <c r="M12862" s="10" t="n"/>
    </row>
    <row r="12863">
      <c r="B12863" s="7" t="n">
        <v>12861</v>
      </c>
      <c r="C12863" t="inlineStr">
        <is>
          <t>Kế toán Thanh toán</t>
        </is>
      </c>
      <c r="D12863" t="inlineStr">
        <is>
          <t>CÔNG TY TNHH TẬP ĐOÀN BÁCH MỘC AN</t>
        </is>
      </c>
      <c r="E12863" t="inlineStr">
        <is>
          <t>Lương:12 Tr - 16 Tr VND</t>
        </is>
      </c>
      <c r="F12863" t="inlineStr">
        <is>
          <t>Hà Nội</t>
        </is>
      </c>
      <c r="G12863" t="inlineStr">
        <is>
          <t>31-03-2026</t>
        </is>
      </c>
      <c r="H12863" t="inlineStr">
        <is>
          <t>31/03/2026</t>
        </is>
      </c>
      <c r="I12863" t="inlineStr">
        <is>
          <t>17/03/2026</t>
        </is>
      </c>
      <c r="J12863" t="inlineStr">
        <is>
          <t>Kế toán / Kiểm toán, Tài chính / Đầu tư, Sản xuất / Vận hành sản xuất</t>
        </is>
      </c>
      <c r="K12863" t="inlineStr">
        <is>
          <t>3 - 5 Năm</t>
        </is>
      </c>
      <c r="L12863" s="8">
        <f>HYPERLINK("https://careerviet.vn/vi/tim-viec-lam/ke-toan-thanh-toan.35C69B87.html","Xem chi tiết")</f>
        <v/>
      </c>
    </row>
    <row r="12864">
      <c r="B12864" s="9" t="n">
        <v>12862</v>
      </c>
      <c r="C12864" s="10" t="inlineStr">
        <is>
          <t>Quản lý Trung tâm Tiếng Anh (Nhơn Trạch - Đồng Nai)</t>
        </is>
      </c>
      <c r="D12864" s="10" t="inlineStr">
        <is>
          <t>Công Ty CP Liên Kết Quốc Tế INTERLINK (Trường Liên Kết Quốc Tế INschool &amp; Ngoại Ngữ Quốc Tế INS ENGLISH &amp; CHINESE)</t>
        </is>
      </c>
      <c r="E12864" s="10" t="inlineStr">
        <is>
          <t>Lương:20 Tr - 25 Tr VND</t>
        </is>
      </c>
      <c r="F12864" s="10" t="inlineStr">
        <is>
          <t>Đồng Nai</t>
        </is>
      </c>
      <c r="G12864" s="10" t="inlineStr">
        <is>
          <t>26-03-2026</t>
        </is>
      </c>
      <c r="H12864" s="10" t="inlineStr">
        <is>
          <t>26/03/2026</t>
        </is>
      </c>
      <c r="I12864" s="10" t="inlineStr">
        <is>
          <t>17/03/2026</t>
        </is>
      </c>
      <c r="J12864" s="10" t="inlineStr">
        <is>
          <t>Bán hàng / Kinh doanh, Giáo dục / Đào tạo</t>
        </is>
      </c>
      <c r="K12864" s="10" t="inlineStr">
        <is>
          <t>1 - 2 Năm</t>
        </is>
      </c>
      <c r="L12864" s="11">
        <f>HYPERLINK("https://careerviet.vn/vi/tim-viec-lam/quan-ly-trung-tam-tieng-anh-nhon-trach-dong-nai.35C69AF7.html","Xem chi tiết")</f>
        <v/>
      </c>
      <c r="M12864" s="10" t="n"/>
    </row>
    <row r="12865">
      <c r="B12865" s="7" t="n">
        <v>12863</v>
      </c>
      <c r="C12865" t="inlineStr">
        <is>
          <t>Nhân viên QC</t>
        </is>
      </c>
      <c r="D12865" t="inlineStr">
        <is>
          <t>Công ty Cổ phần Mạc Tích (MARTECH)</t>
        </is>
      </c>
      <c r="E12865" t="inlineStr">
        <is>
          <t>Lương:Cạnh tranh</t>
        </is>
      </c>
      <c r="F12865" t="inlineStr">
        <is>
          <t>Đồng Nai</t>
        </is>
      </c>
      <c r="G12865" t="inlineStr">
        <is>
          <t>31-03-2026</t>
        </is>
      </c>
      <c r="H12865" t="inlineStr">
        <is>
          <t>31/03/2026</t>
        </is>
      </c>
      <c r="I12865" t="inlineStr">
        <is>
          <t>17/03/2026</t>
        </is>
      </c>
      <c r="J12865" t="inlineStr">
        <is>
          <t>Cơ khí / Ô tô / Tự động hóa, Quản lý chất lượng (QA/QC)</t>
        </is>
      </c>
      <c r="K12865" t="inlineStr">
        <is>
          <t>1 - 2 Năm</t>
        </is>
      </c>
      <c r="L12865" s="8">
        <f>HYPERLINK("https://careerviet.vn/vi/tim-viec-lam/nhan-vien-qc.35C69C8B.html","Xem chi tiết")</f>
        <v/>
      </c>
    </row>
    <row r="12866">
      <c r="B12866" s="9" t="n">
        <v>12864</v>
      </c>
      <c r="C12866" s="10" t="inlineStr">
        <is>
          <t>Senior Marketing Executive (Brand Social)</t>
        </is>
      </c>
      <c r="D12866" s="10" t="inlineStr">
        <is>
          <t>Công Ty TNHH XNK Phát Triển Đông Dương</t>
        </is>
      </c>
      <c r="E12866" s="10" t="inlineStr">
        <is>
          <t>Lương:18 Tr - 25 Tr VND</t>
        </is>
      </c>
      <c r="F12866" s="10" t="inlineStr">
        <is>
          <t>Hồ Chí Minh</t>
        </is>
      </c>
      <c r="G12866" s="10" t="inlineStr">
        <is>
          <t>31-03-2026</t>
        </is>
      </c>
      <c r="H12866" s="10" t="inlineStr">
        <is>
          <t>31/03/2026</t>
        </is>
      </c>
      <c r="I12866" s="10" t="inlineStr">
        <is>
          <t>17/03/2026</t>
        </is>
      </c>
      <c r="J12866" s="10" t="inlineStr">
        <is>
          <t>Tiếp thị / Marketing, Quảng cáo / Đối ngoại / Truyền Thông, Truyền hình / Báo chí / Biên tập</t>
        </is>
      </c>
      <c r="K12866" s="10" t="inlineStr">
        <is>
          <t>2 - 4 Năm</t>
        </is>
      </c>
      <c r="L12866" s="11">
        <f>HYPERLINK("https://careerviet.vn/vi/tim-viec-lam/senior-marketing-executive-brand-social.35C69C65.html","Xem chi tiết")</f>
        <v/>
      </c>
      <c r="M12866" s="10" t="n"/>
    </row>
    <row r="12867">
      <c r="B12867" s="7" t="n">
        <v>12865</v>
      </c>
      <c r="C12867" t="inlineStr">
        <is>
          <t>Giao dịch viên - Khu vực Đà Nẵng</t>
        </is>
      </c>
      <c r="D12867" t="inlineStr">
        <is>
          <t>Ngân hàng TMCP Việt Á – VietABank</t>
        </is>
      </c>
      <c r="E12867" t="inlineStr">
        <is>
          <t>Lương:Cạnh tranh</t>
        </is>
      </c>
      <c r="F12867" t="inlineStr">
        <is>
          <t>Đà Nẵng</t>
        </is>
      </c>
      <c r="G12867" t="inlineStr">
        <is>
          <t>31-03-2026</t>
        </is>
      </c>
      <c r="H12867" t="inlineStr">
        <is>
          <t>31/03/2026</t>
        </is>
      </c>
      <c r="I12867" t="inlineStr">
        <is>
          <t>17/03/2026</t>
        </is>
      </c>
      <c r="J12867" t="inlineStr">
        <is>
          <t>Ngân hàng</t>
        </is>
      </c>
      <c r="K12867" t="inlineStr">
        <is>
          <t>N/A</t>
        </is>
      </c>
      <c r="L12867" s="8">
        <f>HYPERLINK("https://careerviet.vn/vi/tim-viec-lam/giao-dich-vien-khu-vuc-da-nang.35C69C78.html","Xem chi tiết")</f>
        <v/>
      </c>
    </row>
    <row r="12868">
      <c r="B12868" s="9" t="n">
        <v>12866</v>
      </c>
      <c r="C12868" s="10" t="inlineStr">
        <is>
          <t>Kỹ thuật viên OQC | Dầu Giây Đồng Nai</t>
        </is>
      </c>
      <c r="D12868" s="10" t="inlineStr">
        <is>
          <t>Techtronic Industries Vietnam Manufacturing Company Limited</t>
        </is>
      </c>
      <c r="E12868" s="10" t="inlineStr">
        <is>
          <t>Lương:Cạnh tranh</t>
        </is>
      </c>
      <c r="F12868" s="10" t="inlineStr">
        <is>
          <t>Đồng Nai</t>
        </is>
      </c>
      <c r="G12868" s="10" t="inlineStr">
        <is>
          <t>28-03-2026</t>
        </is>
      </c>
      <c r="H12868" s="10" t="inlineStr">
        <is>
          <t>28/03/2026</t>
        </is>
      </c>
      <c r="I12868" s="10" t="inlineStr">
        <is>
          <t>17/03/2026</t>
        </is>
      </c>
      <c r="J12868" s="10" t="inlineStr">
        <is>
          <t>Cơ khí / Ô tô / Tự động hóa, Quản lý chất lượng (QA/QC), Điện / Điện tử / Điện lạnh / Điện công nghiệp</t>
        </is>
      </c>
      <c r="K12868" s="10" t="inlineStr">
        <is>
          <t>N/A</t>
        </is>
      </c>
      <c r="L12868" s="11">
        <f>HYPERLINK("https://careerviet.vn/vi/tim-viec-lam/ky-thuat-vien-oqc-dau-giay-dong-nai.35C69A04.html","Xem chi tiết")</f>
        <v/>
      </c>
      <c r="M12868" s="10" t="n"/>
    </row>
    <row r="12869">
      <c r="B12869" s="7" t="n">
        <v>12867</v>
      </c>
      <c r="C12869" t="inlineStr">
        <is>
          <t>Chuyên viên cấp cao Sản phẩm và Giải pháp Kinh doanh - Trung tâm Khách hàng Doanh nghiệp SME - Khối Khách hàng Doanh nghiệp</t>
        </is>
      </c>
      <c r="D12869" t="inlineStr">
        <is>
          <t>Ngân Hàng TMCP Quốc Dân (NCB)</t>
        </is>
      </c>
      <c r="E12869" t="inlineStr">
        <is>
          <t>Lương:Cạnh tranh</t>
        </is>
      </c>
      <c r="F12869" t="inlineStr">
        <is>
          <t>Hà Nội</t>
        </is>
      </c>
      <c r="G12869" t="inlineStr">
        <is>
          <t>26-03-2026</t>
        </is>
      </c>
      <c r="H12869" t="inlineStr">
        <is>
          <t>26/03/2026</t>
        </is>
      </c>
      <c r="I12869" t="inlineStr">
        <is>
          <t>17/03/2026</t>
        </is>
      </c>
      <c r="J12869" t="inlineStr">
        <is>
          <t>Ngân hàng</t>
        </is>
      </c>
      <c r="K12869" t="inlineStr">
        <is>
          <t>3 - 5 Năm</t>
        </is>
      </c>
      <c r="L12869" s="8">
        <f>HYPERLINK("https://careerviet.vn/vi/tim-viec-lam/chuyen-vien-cap-cao-san-pham-va-giai-phap-kinh-doanh-trung-tam-khach-hang-doanh-nghiep-sme-khoi-khach-hang-doanh-nghiep.35C699B3.html","Xem chi tiết")</f>
        <v/>
      </c>
    </row>
    <row r="12870">
      <c r="B12870" s="9" t="n">
        <v>12868</v>
      </c>
      <c r="C12870" s="10" t="inlineStr">
        <is>
          <t>Kỹ sư QA/ QC</t>
        </is>
      </c>
      <c r="D12870" s="10" t="inlineStr">
        <is>
          <t>Công Ty TNHH Xây Dựng Và Thương Mại An Tâm</t>
        </is>
      </c>
      <c r="E12870" s="10" t="inlineStr">
        <is>
          <t>Lương:Cạnh tranh</t>
        </is>
      </c>
      <c r="F12870" s="10" t="inlineStr">
        <is>
          <t>Hồ Chí Minh</t>
        </is>
      </c>
      <c r="G12870" s="10" t="inlineStr">
        <is>
          <t>26-03-2026</t>
        </is>
      </c>
      <c r="H12870" s="10" t="inlineStr">
        <is>
          <t>26/03/2026</t>
        </is>
      </c>
      <c r="I12870" s="10" t="inlineStr">
        <is>
          <t>17/03/2026</t>
        </is>
      </c>
      <c r="J12870" s="10" t="inlineStr">
        <is>
          <t>Xây dựng</t>
        </is>
      </c>
      <c r="K12870" s="10" t="inlineStr">
        <is>
          <t>Trên 1 Năm</t>
        </is>
      </c>
      <c r="L12870" s="11">
        <f>HYPERLINK("https://careerviet.vn/vi/tim-viec-lam/ky-su-qa-qc.35C698D9.html","Xem chi tiết")</f>
        <v/>
      </c>
      <c r="M12870" s="10" t="n"/>
    </row>
    <row r="12871">
      <c r="B12871" s="7" t="n">
        <v>12869</v>
      </c>
      <c r="C12871" t="inlineStr">
        <is>
          <t>Nhân viên vận hành máy Tiện CNC</t>
        </is>
      </c>
      <c r="D12871" t="inlineStr">
        <is>
          <t>Công ty TNHH Cơ Khí Xây Dựng Du Lịch Bách Tùng</t>
        </is>
      </c>
      <c r="E12871" t="inlineStr">
        <is>
          <t>Lương:10 Tr - 15 Tr VND</t>
        </is>
      </c>
      <c r="F12871" t="inlineStr">
        <is>
          <t>Bình Dương</t>
        </is>
      </c>
      <c r="G12871" t="inlineStr">
        <is>
          <t>26-03-2026</t>
        </is>
      </c>
      <c r="H12871" t="inlineStr">
        <is>
          <t>26/03/2026</t>
        </is>
      </c>
      <c r="I12871" t="inlineStr">
        <is>
          <t>17/03/2026</t>
        </is>
      </c>
      <c r="J12871" t="inlineStr">
        <is>
          <t>Cơ khí / Ô tô / Tự động hóa, Sản xuất / Vận hành sản xuất, Ngành khác</t>
        </is>
      </c>
      <c r="K12871" t="inlineStr">
        <is>
          <t>N/A</t>
        </is>
      </c>
      <c r="L12871" s="8">
        <f>HYPERLINK("https://careerviet.vn/vi/tim-viec-lam/nhan-vien-van-hanh-may-tien-cnc.35C69A09.html","Xem chi tiết")</f>
        <v/>
      </c>
    </row>
    <row r="12872">
      <c r="B12872" s="9" t="n">
        <v>12870</v>
      </c>
      <c r="C12872" s="10" t="inlineStr">
        <is>
          <t>Leader Brand Marketing ( Lương 18 -30 triệu)</t>
        </is>
      </c>
      <c r="D12872" s="10" t="inlineStr">
        <is>
          <t>CÔNG TY CỔ PHẦN ULTD THỊNH PHÁT</t>
        </is>
      </c>
      <c r="E12872" s="10" t="inlineStr">
        <is>
          <t>Lương:18 Tr - 30 Tr VND</t>
        </is>
      </c>
      <c r="F12872" s="10" t="inlineStr">
        <is>
          <t>Hà Nội</t>
        </is>
      </c>
      <c r="G12872" s="10" t="inlineStr">
        <is>
          <t>31-03-2026</t>
        </is>
      </c>
      <c r="H12872" s="10" t="inlineStr">
        <is>
          <t>31/03/2026</t>
        </is>
      </c>
      <c r="I12872" s="10" t="inlineStr">
        <is>
          <t>17/03/2026</t>
        </is>
      </c>
      <c r="J12872" s="10" t="inlineStr">
        <is>
          <t>Tiếp thị / Marketing, Quảng cáo / Đối ngoại / Truyền Thông, Dệt may / Da giày / Thời trang</t>
        </is>
      </c>
      <c r="K12872" s="10" t="inlineStr">
        <is>
          <t>1 - 2 Năm</t>
        </is>
      </c>
      <c r="L12872" s="11">
        <f>HYPERLINK("https://careerviet.vn/vi/tim-viec-lam/leader-brand-marketing-luong-18-30-trieu.35C69D07.html","Xem chi tiết")</f>
        <v/>
      </c>
      <c r="M12872" s="10" t="n"/>
    </row>
    <row r="12873">
      <c r="B12873" s="7" t="n">
        <v>12871</v>
      </c>
      <c r="C12873" t="inlineStr">
        <is>
          <t>Chuyên gia Quản trị vận hành</t>
        </is>
      </c>
      <c r="D12873" t="inlineStr">
        <is>
          <t>Ngân Hàng TMCP Quốc Dân (NCB)</t>
        </is>
      </c>
      <c r="E12873" t="inlineStr">
        <is>
          <t>Lương:Cạnh tranh</t>
        </is>
      </c>
      <c r="F12873" t="inlineStr">
        <is>
          <t>Hà Nội</t>
        </is>
      </c>
      <c r="G12873" t="inlineStr">
        <is>
          <t>26-03-2026</t>
        </is>
      </c>
      <c r="H12873" t="inlineStr">
        <is>
          <t>26/03/2026</t>
        </is>
      </c>
      <c r="I12873" t="inlineStr">
        <is>
          <t>17/03/2026</t>
        </is>
      </c>
      <c r="J12873" t="inlineStr">
        <is>
          <t>Ngân hàng, Quản lý điều hành</t>
        </is>
      </c>
      <c r="K12873" t="inlineStr">
        <is>
          <t>3 - 6 Năm</t>
        </is>
      </c>
      <c r="L12873" s="8">
        <f>HYPERLINK("https://careerviet.vn/vi/tim-viec-lam/chuyen-gia-quan-tri-van-hanh.35C69B9A.html","Xem chi tiết")</f>
        <v/>
      </c>
    </row>
    <row r="12874">
      <c r="B12874" s="9" t="n">
        <v>12872</v>
      </c>
      <c r="C12874" s="10" t="inlineStr">
        <is>
          <t>Nhân viên Truyền thông và Quản trị Kênh</t>
        </is>
      </c>
      <c r="D12874" s="10" t="inlineStr">
        <is>
          <t>CÔNG TY CỔ PHẦN HỌC VIỆN MINH TRÍ THÀNH</t>
        </is>
      </c>
      <c r="E12874" s="10" t="inlineStr">
        <is>
          <t>Lương:12 Tr - 18 Tr VND</t>
        </is>
      </c>
      <c r="F12874" s="10" t="inlineStr">
        <is>
          <t>Hà Nội</t>
        </is>
      </c>
      <c r="G12874" s="10" t="inlineStr">
        <is>
          <t>27-04-2026</t>
        </is>
      </c>
      <c r="H12874" s="10" t="inlineStr">
        <is>
          <t>27/04/2026</t>
        </is>
      </c>
      <c r="I12874" s="10" t="inlineStr">
        <is>
          <t>17/03/2026</t>
        </is>
      </c>
      <c r="J12874" s="10" t="inlineStr">
        <is>
          <t>Tiếp thị / Marketing, Tiếp thị trực tuyến, Quảng cáo / Đối ngoại / Truyền Thông</t>
        </is>
      </c>
      <c r="K12874" s="10" t="inlineStr">
        <is>
          <t>1 - 5 Năm</t>
        </is>
      </c>
      <c r="L12874" s="11">
        <f>HYPERLINK("https://careerviet.vn/vi/tim-viec-lam/nhan-vien-truyen-thong-va-quan-tri-kenh.35C69C7E.html","Xem chi tiết")</f>
        <v/>
      </c>
      <c r="M12874" s="10" t="n"/>
    </row>
    <row r="12875">
      <c r="B12875" s="7" t="n">
        <v>12873</v>
      </c>
      <c r="C12875" t="inlineStr">
        <is>
          <t>NHÂN VIÊN CHỨNG TỪ LOGISTICS</t>
        </is>
      </c>
      <c r="D12875" t="inlineStr">
        <is>
          <t>Tập Đoàn An Phát Holdings</t>
        </is>
      </c>
      <c r="E12875" t="inlineStr">
        <is>
          <t>Lương:7 Tr - 12 Tr VND</t>
        </is>
      </c>
      <c r="F12875" t="inlineStr">
        <is>
          <t>Hà Nội</t>
        </is>
      </c>
      <c r="G12875" t="inlineStr">
        <is>
          <t>31-03-2026</t>
        </is>
      </c>
      <c r="H12875" t="inlineStr">
        <is>
          <t>31/03/2026</t>
        </is>
      </c>
      <c r="I12875" t="inlineStr">
        <is>
          <t>17/03/2026</t>
        </is>
      </c>
      <c r="J12875" t="inlineStr">
        <is>
          <t>Xuất nhập khẩu, Vận chuyển / Giao nhận / Kho vận</t>
        </is>
      </c>
      <c r="K12875" t="inlineStr">
        <is>
          <t>Lên đến 2 Năm</t>
        </is>
      </c>
      <c r="L12875" s="8">
        <f>HYPERLINK("https://careerviet.vn/vi/tim-viec-lam/nhan-vien-chung-tu-logistics.35C69BB1.html","Xem chi tiết")</f>
        <v/>
      </c>
    </row>
    <row r="12876">
      <c r="B12876" s="9" t="n">
        <v>12874</v>
      </c>
      <c r="C12876" s="10" t="inlineStr">
        <is>
          <t>Kỹ Thuật Tòa Nhà</t>
        </is>
      </c>
      <c r="D12876" s="10" t="inlineStr">
        <is>
          <t>Công Ty Cổ Phần Đầu Tư Xây Dựng Bcons</t>
        </is>
      </c>
      <c r="E12876" s="10" t="inlineStr">
        <is>
          <t>Lương:Cạnh tranh</t>
        </is>
      </c>
      <c r="F12876" s="10" t="inlineStr">
        <is>
          <t>Hồ Chí Minh</t>
        </is>
      </c>
      <c r="G12876" s="10" t="inlineStr">
        <is>
          <t>25-03-2026</t>
        </is>
      </c>
      <c r="H12876" s="10" t="inlineStr">
        <is>
          <t>25/03/2026</t>
        </is>
      </c>
      <c r="I12876" s="10" t="inlineStr">
        <is>
          <t>17/03/2026</t>
        </is>
      </c>
      <c r="J12876" s="10" t="inlineStr">
        <is>
          <t>Xây dựng, Bất động sản, An Ninh / Bảo Vệ</t>
        </is>
      </c>
      <c r="K12876" s="10" t="inlineStr">
        <is>
          <t>Trên 1 Năm</t>
        </is>
      </c>
      <c r="L12876" s="11">
        <f>HYPERLINK("https://careerviet.vn/vi/tim-viec-lam/ky-thuat-toa-nha.35C69CEB.html","Xem chi tiết")</f>
        <v/>
      </c>
      <c r="M12876" s="10" t="n"/>
    </row>
    <row r="12877">
      <c r="B12877" s="7" t="n">
        <v>12875</v>
      </c>
      <c r="C12877" t="inlineStr">
        <is>
          <t>Nhân Viên Thu Nợ Trực Tiếp_Khu vực Bình Phước</t>
        </is>
      </c>
      <c r="D12877" t="inlineStr">
        <is>
          <t>Công Ty Tài Chính TNHH Một Thành Viên Quốc Tế Việt Nam JACCS</t>
        </is>
      </c>
      <c r="E12877" t="inlineStr">
        <is>
          <t>Lương:8 Tr - 10 Tr VND</t>
        </is>
      </c>
      <c r="F12877" t="inlineStr">
        <is>
          <t>Bình Phước</t>
        </is>
      </c>
      <c r="G12877" t="inlineStr">
        <is>
          <t>26-03-2026</t>
        </is>
      </c>
      <c r="H12877" t="inlineStr">
        <is>
          <t>26/03/2026</t>
        </is>
      </c>
      <c r="I12877" t="inlineStr">
        <is>
          <t>17/03/2026</t>
        </is>
      </c>
      <c r="J12877" t="inlineStr">
        <is>
          <t>Ngân hàng, Tài chính / Đầu tư, Luật / Pháp lý</t>
        </is>
      </c>
      <c r="K12877" t="inlineStr">
        <is>
          <t>N/A</t>
        </is>
      </c>
      <c r="L12877" s="8">
        <f>HYPERLINK("https://careerviet.vn/vi/tim-viec-lam/nhan-vien-thu-no-truc-tiep_khu-vuc-binh-phuoc.35C699A3.html","Xem chi tiết")</f>
        <v/>
      </c>
    </row>
    <row r="12878">
      <c r="B12878" s="9" t="n">
        <v>12876</v>
      </c>
      <c r="C12878" s="10" t="inlineStr">
        <is>
          <t>Thủ Kho</t>
        </is>
      </c>
      <c r="D12878" s="10" t="inlineStr">
        <is>
          <t>CÔNG TY CỔ PHẦN NỆM THUẦN VIỆT</t>
        </is>
      </c>
      <c r="E12878" s="10" t="inlineStr">
        <is>
          <t>Lương:14 Tr - 18 Tr VND</t>
        </is>
      </c>
      <c r="F12878" s="10" t="inlineStr">
        <is>
          <t>Long An</t>
        </is>
      </c>
      <c r="G12878" s="10" t="inlineStr">
        <is>
          <t>11-03-2026</t>
        </is>
      </c>
      <c r="H12878" s="10" t="inlineStr">
        <is>
          <t>28/02/2026</t>
        </is>
      </c>
      <c r="I12878" s="10" t="inlineStr">
        <is>
          <t>17/03/2026</t>
        </is>
      </c>
      <c r="J12878" s="10" t="inlineStr">
        <is>
          <t>Vận chuyển / Giao nhận / Kho vận</t>
        </is>
      </c>
      <c r="K12878" s="10" t="inlineStr">
        <is>
          <t>2 - 3 Năm</t>
        </is>
      </c>
      <c r="L12878" s="11">
        <f>HYPERLINK("https://careerviet.vn/vi/tim-viec-lam/thu-kho.35C670B6.html","Xem chi tiết")</f>
        <v/>
      </c>
      <c r="M12878" s="10" t="n"/>
    </row>
    <row r="12879">
      <c r="B12879" s="7" t="n">
        <v>12877</v>
      </c>
      <c r="C12879" t="inlineStr">
        <is>
          <t>Nhân Viên Kế Toán</t>
        </is>
      </c>
      <c r="D12879" t="inlineStr">
        <is>
          <t>CÔNG TY TNHH XUẤT NHẬP KHẨU RUTOP VIỆT NAM - Thương Hiệu Toptotoes</t>
        </is>
      </c>
      <c r="E12879" t="inlineStr">
        <is>
          <t>Lương:9 Tr - 12 Tr VND</t>
        </is>
      </c>
      <c r="F12879" t="inlineStr">
        <is>
          <t>Hà Nội</t>
        </is>
      </c>
      <c r="G12879" t="inlineStr">
        <is>
          <t>31-03-2026</t>
        </is>
      </c>
      <c r="H12879" t="inlineStr">
        <is>
          <t>31/03/2026</t>
        </is>
      </c>
      <c r="I12879" t="inlineStr">
        <is>
          <t>17/03/2026</t>
        </is>
      </c>
      <c r="J12879" t="inlineStr">
        <is>
          <t>Bán hàng / Kinh doanh, Dược phẩm/ Hóa Mỹ Phẩm, Kế toán / Kiểm toán</t>
        </is>
      </c>
      <c r="K12879" t="inlineStr">
        <is>
          <t>1 - 2 Năm</t>
        </is>
      </c>
      <c r="L12879" s="8">
        <f>HYPERLINK("https://careerviet.vn/vi/tim-viec-lam/nhan-vien-ke-toan.35C69A95.html","Xem chi tiết")</f>
        <v/>
      </c>
    </row>
    <row r="12880">
      <c r="B12880" s="9" t="n">
        <v>12878</v>
      </c>
      <c r="C12880" s="10" t="inlineStr">
        <is>
          <t>[Cần Thơ]-Thực tập sinh hỗ trợ (Bộ phận kinh doanh)</t>
        </is>
      </c>
      <c r="D12880" s="10" t="inlineStr">
        <is>
          <t>Daikin Air Conditioning (Vietnam) Joint Stock Company</t>
        </is>
      </c>
      <c r="E12880" s="10" t="inlineStr">
        <is>
          <t>Lương:Cạnh tranh</t>
        </is>
      </c>
      <c r="F12880" s="10" t="inlineStr">
        <is>
          <t>Cần Thơ</t>
        </is>
      </c>
      <c r="G12880" s="10" t="inlineStr">
        <is>
          <t>28-03-2026</t>
        </is>
      </c>
      <c r="H12880" s="10" t="inlineStr">
        <is>
          <t>28/03/2026</t>
        </is>
      </c>
      <c r="I12880" s="10" t="inlineStr">
        <is>
          <t>17/03/2026</t>
        </is>
      </c>
      <c r="J12880" s="10" t="inlineStr">
        <is>
          <t>Hành chính / Thư ký, Dịch vụ khách hàng, Bán hàng / Kinh doanh</t>
        </is>
      </c>
      <c r="K12880" s="10" t="inlineStr">
        <is>
          <t>N/A</t>
        </is>
      </c>
      <c r="L12880" s="11">
        <f>HYPERLINK("https://careerviet.vn/vi/tim-viec-lam/can-tho-thuc-tap-sinh-ho-tro-bo-phan-kinh-doanh.35C699CB.html","Xem chi tiết")</f>
        <v/>
      </c>
      <c r="M12880" s="10" t="n"/>
    </row>
    <row r="12881">
      <c r="B12881" s="7" t="n">
        <v>12879</v>
      </c>
      <c r="C12881" t="inlineStr">
        <is>
          <t>Chuyên viên Kế hoạch sản xuất</t>
        </is>
      </c>
      <c r="D12881" t="inlineStr">
        <is>
          <t>Công ty TNHH SXTM XNK Minh Hiền</t>
        </is>
      </c>
      <c r="E12881" t="inlineStr">
        <is>
          <t>Lương:12 Tr - 15 Tr VND</t>
        </is>
      </c>
      <c r="F12881" t="inlineStr">
        <is>
          <t>Hồ Chí Minh</t>
        </is>
      </c>
      <c r="G12881" t="inlineStr">
        <is>
          <t>31-03-2026</t>
        </is>
      </c>
      <c r="H12881" t="inlineStr">
        <is>
          <t>31/03/2026</t>
        </is>
      </c>
      <c r="I12881" t="inlineStr">
        <is>
          <t>17/03/2026</t>
        </is>
      </c>
      <c r="J12881" t="inlineStr">
        <is>
          <t>Sản xuất / Vận hành sản xuất</t>
        </is>
      </c>
      <c r="K12881" t="inlineStr">
        <is>
          <t>2 - 5 Năm</t>
        </is>
      </c>
      <c r="L12881" s="8">
        <f>HYPERLINK("https://careerviet.vn/vi/tim-viec-lam/chuyen-vien-ke-hoach-san-xuat.35C69AB8.html","Xem chi tiết")</f>
        <v/>
      </c>
    </row>
    <row r="12882">
      <c r="B12882" s="9" t="n">
        <v>12880</v>
      </c>
      <c r="C12882" s="10" t="inlineStr">
        <is>
          <t>Chuyên viên phân tích nghiệp vụ (Business Analyst)</t>
        </is>
      </c>
      <c r="D12882" s="10" t="inlineStr">
        <is>
          <t>Công Ty TNHH Thương Mại Xuất Nhập Khẩu Fani</t>
        </is>
      </c>
      <c r="E12882" s="10" t="inlineStr">
        <is>
          <t>Lương:13 Tr - 20 Tr VND</t>
        </is>
      </c>
      <c r="F12882" s="10" t="inlineStr">
        <is>
          <t>Hà Nội</t>
        </is>
      </c>
      <c r="G12882" s="10" t="inlineStr">
        <is>
          <t>31-03-2026</t>
        </is>
      </c>
      <c r="H12882" s="10" t="inlineStr">
        <is>
          <t>31/03/2026</t>
        </is>
      </c>
      <c r="I12882" s="10" t="inlineStr">
        <is>
          <t>17/03/2026</t>
        </is>
      </c>
      <c r="J12882" s="10" t="inlineStr">
        <is>
          <t>Thương mại điện tử, CNTT - Phần mềm</t>
        </is>
      </c>
      <c r="K12882" s="10" t="inlineStr">
        <is>
          <t>2 - 3 Năm</t>
        </is>
      </c>
      <c r="L12882" s="11">
        <f>HYPERLINK("https://careerviet.vn/vi/tim-viec-lam/chuyen-vien-phan-tich-nghiep-vu-business-analyst.35C69C31.html","Xem chi tiết")</f>
        <v/>
      </c>
      <c r="M12882" s="10" t="n"/>
    </row>
    <row r="12883">
      <c r="B12883" s="7" t="n">
        <v>12881</v>
      </c>
      <c r="C12883" t="inlineStr">
        <is>
          <t>Nhân viên Media (Quay dựng)</t>
        </is>
      </c>
      <c r="D12883" t="inlineStr">
        <is>
          <t>CÔNG TY CỔ PHẦN HỌC VIỆN MINH TRÍ THÀNH</t>
        </is>
      </c>
      <c r="E12883" t="inlineStr">
        <is>
          <t>Lương:12 Tr - 16 Tr VND</t>
        </is>
      </c>
      <c r="F12883" t="inlineStr">
        <is>
          <t>Hà Nội</t>
        </is>
      </c>
      <c r="G12883" t="inlineStr">
        <is>
          <t>27-04-2026</t>
        </is>
      </c>
      <c r="H12883" t="inlineStr">
        <is>
          <t>27/04/2026</t>
        </is>
      </c>
      <c r="I12883" t="inlineStr">
        <is>
          <t>17/03/2026</t>
        </is>
      </c>
      <c r="J12883" t="inlineStr">
        <is>
          <t>Mỹ thuật / Nghệ thuật / Thiết kế, Quảng cáo / Đối ngoại / Truyền Thông</t>
        </is>
      </c>
      <c r="K12883" t="inlineStr">
        <is>
          <t>2 - 3 Năm</t>
        </is>
      </c>
      <c r="L12883" s="8">
        <f>HYPERLINK("https://careerviet.vn/vi/tim-viec-lam/nhan-vien-media-quay-dung.35C69BDB.html","Xem chi tiết")</f>
        <v/>
      </c>
    </row>
    <row r="12884">
      <c r="B12884" s="9" t="n">
        <v>12882</v>
      </c>
      <c r="C12884" s="10" t="inlineStr">
        <is>
          <t>Kế toán tổng hợp</t>
        </is>
      </c>
      <c r="D12884" s="10" t="inlineStr">
        <is>
          <t>Công ty cổ phần sản xuất và xuất khẩu Quế hồi Việt Nam</t>
        </is>
      </c>
      <c r="E12884" s="10" t="inlineStr">
        <is>
          <t>Lương:15 Tr - 20 Tr VND</t>
        </is>
      </c>
      <c r="F12884" s="10" t="inlineStr">
        <is>
          <t>Hà Nội</t>
        </is>
      </c>
      <c r="G12884" s="10" t="inlineStr">
        <is>
          <t>31-03-2026</t>
        </is>
      </c>
      <c r="H12884" s="10" t="inlineStr">
        <is>
          <t>31/03/2026</t>
        </is>
      </c>
      <c r="I12884" s="10" t="inlineStr">
        <is>
          <t>17/03/2026</t>
        </is>
      </c>
      <c r="J12884" s="10" t="inlineStr">
        <is>
          <t>Kế toán / Kiểm toán, Tài chính / Đầu tư, Sản xuất / Vận hành sản xuất</t>
        </is>
      </c>
      <c r="K12884" s="10" t="inlineStr">
        <is>
          <t>3 - 5 Năm</t>
        </is>
      </c>
      <c r="L12884" s="11">
        <f>HYPERLINK("https://careerviet.vn/vi/tim-viec-lam/ke-toan-tong-hop.35C69B48.html","Xem chi tiết")</f>
        <v/>
      </c>
      <c r="M12884" s="10" t="n"/>
    </row>
    <row r="12885">
      <c r="B12885" s="7" t="n">
        <v>12883</v>
      </c>
      <c r="C12885" t="inlineStr">
        <is>
          <t>Trưởng phòng hành chính nhân sự  (Hà Nội)</t>
        </is>
      </c>
      <c r="D12885" t="inlineStr">
        <is>
          <t>Công ty TNHH Khải Minh Group</t>
        </is>
      </c>
      <c r="E12885" t="inlineStr">
        <is>
          <t>Lương:Cạnh tranh</t>
        </is>
      </c>
      <c r="F12885" t="inlineStr">
        <is>
          <t>Hà Nội</t>
        </is>
      </c>
      <c r="G12885" t="inlineStr">
        <is>
          <t>11-03-2026</t>
        </is>
      </c>
      <c r="H12885" t="inlineStr">
        <is>
          <t>28/02/2026</t>
        </is>
      </c>
      <c r="I12885" t="inlineStr">
        <is>
          <t>17/03/2026</t>
        </is>
      </c>
      <c r="J12885" t="inlineStr">
        <is>
          <t>Hành chính / Thư ký, Quản lý điều hành, Nhân sự</t>
        </is>
      </c>
      <c r="K12885" t="inlineStr">
        <is>
          <t>3 - 5 Năm</t>
        </is>
      </c>
      <c r="L12885" s="8">
        <f>HYPERLINK("https://careerviet.vn/vi/tim-viec-lam/truong-phong-hanh-chinh-nhan-su-ha-noi.35C69164.html","Xem chi tiết")</f>
        <v/>
      </c>
    </row>
    <row r="12886">
      <c r="B12886" s="9" t="n">
        <v>12884</v>
      </c>
      <c r="C12886" s="10" t="inlineStr">
        <is>
          <t>TRƯỞNG PHÒNG NHÂN SỰ MẠNH TUYỂN DỤNG</t>
        </is>
      </c>
      <c r="D12886" s="10" t="inlineStr">
        <is>
          <t>CT CP Tập Đoàn Thái Tuấn</t>
        </is>
      </c>
      <c r="E12886" s="10" t="inlineStr">
        <is>
          <t>Lương:Cạnh tranh</t>
        </is>
      </c>
      <c r="F12886" s="10" t="inlineStr">
        <is>
          <t>Long An</t>
        </is>
      </c>
      <c r="G12886" s="10" t="inlineStr">
        <is>
          <t>25-03-2026</t>
        </is>
      </c>
      <c r="H12886" s="10" t="inlineStr">
        <is>
          <t>25/03/2026</t>
        </is>
      </c>
      <c r="I12886" s="10" t="inlineStr">
        <is>
          <t>17/03/2026</t>
        </is>
      </c>
      <c r="J12886" s="10" t="inlineStr">
        <is>
          <t>Nhân sự, Dệt may / Da giày / Thời trang, Hành chính / Thư ký</t>
        </is>
      </c>
      <c r="K12886" s="10" t="inlineStr">
        <is>
          <t>2 - 6 Năm</t>
        </is>
      </c>
      <c r="L12886" s="11">
        <f>HYPERLINK("https://careerviet.vn/vi/tim-viec-lam/truong-phong-nhan-su-manh-tuyen-dung.35C69A14.html","Xem chi tiết")</f>
        <v/>
      </c>
      <c r="M12886" s="10" t="n"/>
    </row>
    <row r="12887">
      <c r="B12887" s="7" t="n">
        <v>12885</v>
      </c>
      <c r="C12887" t="inlineStr">
        <is>
          <t>NHÂN VIÊN LỄ TÂN</t>
        </is>
      </c>
      <c r="D12887" t="inlineStr">
        <is>
          <t>CÔNG TY CỔ PHẦN CẢNG TÀU KHÁCH QUỐC TẾ TUẦN CHÂU</t>
        </is>
      </c>
      <c r="E12887" t="inlineStr">
        <is>
          <t>Lương:Cạnh tranh</t>
        </is>
      </c>
      <c r="F12887" t="inlineStr">
        <is>
          <t>Quảng Ninh</t>
        </is>
      </c>
      <c r="G12887" t="inlineStr">
        <is>
          <t>28-03-2026</t>
        </is>
      </c>
      <c r="H12887" t="inlineStr">
        <is>
          <t>28/03/2026</t>
        </is>
      </c>
      <c r="I12887" t="inlineStr">
        <is>
          <t>17/03/2026</t>
        </is>
      </c>
      <c r="J12887" t="inlineStr">
        <is>
          <t>Dịch vụ khách hàng, Nhà hàng / Khách sạn, Du lịch</t>
        </is>
      </c>
      <c r="K12887" t="inlineStr">
        <is>
          <t>N/A</t>
        </is>
      </c>
      <c r="L12887" s="8">
        <f>HYPERLINK("https://careerviet.vn/vi/tim-viec-lam/nhan-vien-le-tan.35C69AAE.html","Xem chi tiết")</f>
        <v/>
      </c>
    </row>
    <row r="12888">
      <c r="B12888" s="9" t="n">
        <v>12886</v>
      </c>
      <c r="C12888" s="10" t="inlineStr">
        <is>
          <t>Nhân viên kỹ thuật/ Technician</t>
        </is>
      </c>
      <c r="D12888" s="10" t="inlineStr">
        <is>
          <t>Công Ty TNHH Techbond MFG (Việt Nam)</t>
        </is>
      </c>
      <c r="E12888" s="10" t="inlineStr">
        <is>
          <t>Lương:Cạnh tranh</t>
        </is>
      </c>
      <c r="F12888" s="10" t="inlineStr">
        <is>
          <t>Bình Dương</t>
        </is>
      </c>
      <c r="G12888" s="10" t="inlineStr">
        <is>
          <t>31-03-2026</t>
        </is>
      </c>
      <c r="H12888" s="10" t="inlineStr">
        <is>
          <t>31/03/2026</t>
        </is>
      </c>
      <c r="I12888" s="10" t="inlineStr">
        <is>
          <t>17/03/2026</t>
        </is>
      </c>
      <c r="J12888" s="10" t="inlineStr">
        <is>
          <t>Cơ khí / Ô tô / Tự động hóa, Hóa học, Bảo trì / Sửa chữa</t>
        </is>
      </c>
      <c r="K12888" s="10" t="inlineStr">
        <is>
          <t>1 - 3 Năm</t>
        </is>
      </c>
      <c r="L12888" s="11">
        <f>HYPERLINK("https://careerviet.vn/vi/tim-viec-lam/nhan-vien-ky-thuat-technician.35C69B8C.html","Xem chi tiết")</f>
        <v/>
      </c>
      <c r="M12888" s="10" t="n"/>
    </row>
    <row r="12889">
      <c r="B12889" s="7" t="n">
        <v>12887</v>
      </c>
      <c r="C12889" t="inlineStr">
        <is>
          <t>Nhân viên mua hàng quốc tế</t>
        </is>
      </c>
      <c r="D12889" t="inlineStr">
        <is>
          <t>Công ty Cổ Phần Trang Thiết Bị Y Tế Trọng Tín</t>
        </is>
      </c>
      <c r="E12889" t="inlineStr">
        <is>
          <t>Lương:13 Tr - 17 Tr VND</t>
        </is>
      </c>
      <c r="F12889" t="inlineStr">
        <is>
          <t>Hồ Chí Minh</t>
        </is>
      </c>
      <c r="G12889" t="inlineStr">
        <is>
          <t>26-03-2026</t>
        </is>
      </c>
      <c r="H12889" t="inlineStr">
        <is>
          <t>26/03/2026</t>
        </is>
      </c>
      <c r="I12889" t="inlineStr">
        <is>
          <t>17/03/2026</t>
        </is>
      </c>
      <c r="J12889" t="inlineStr">
        <is>
          <t>Thu mua / Vật tư, Xuất nhập khẩu</t>
        </is>
      </c>
      <c r="K12889" t="inlineStr">
        <is>
          <t>1 - 2 Năm</t>
        </is>
      </c>
      <c r="L12889" s="8">
        <f>HYPERLINK("https://careerviet.vn/vi/tim-viec-lam/nhan-vien-mua-hang-quoc-te.35C69926.html","Xem chi tiết")</f>
        <v/>
      </c>
    </row>
    <row r="12890">
      <c r="B12890" s="9" t="n">
        <v>12888</v>
      </c>
      <c r="C12890" s="10" t="inlineStr">
        <is>
          <t>Chuyên Viên Mua Hàng</t>
        </is>
      </c>
      <c r="D12890" s="10" t="inlineStr">
        <is>
          <t>Công Ty TNHH XNK Phát Triển Đông Dương</t>
        </is>
      </c>
      <c r="E12890" s="10" t="inlineStr">
        <is>
          <t>Lương:Cạnh tranh</t>
        </is>
      </c>
      <c r="F12890" s="10" t="inlineStr">
        <is>
          <t>Hồ Chí Minh</t>
        </is>
      </c>
      <c r="G12890" s="10" t="inlineStr">
        <is>
          <t>27-03-2026</t>
        </is>
      </c>
      <c r="H12890" s="10" t="inlineStr">
        <is>
          <t>27/03/2026</t>
        </is>
      </c>
      <c r="I12890" s="10" t="inlineStr">
        <is>
          <t>17/03/2026</t>
        </is>
      </c>
      <c r="J12890" s="10" t="inlineStr">
        <is>
          <t>Xuất nhập khẩu, Thu mua / Vật tư, Bán Hàng Kỹ Thuật</t>
        </is>
      </c>
      <c r="K12890" s="10" t="inlineStr">
        <is>
          <t>1 - 2 Năm</t>
        </is>
      </c>
      <c r="L12890" s="11">
        <f>HYPERLINK("https://careerviet.vn/vi/tim-viec-lam/chuyen-vien-mua-hang.35C699C3.html","Xem chi tiết")</f>
        <v/>
      </c>
      <c r="M12890" s="10" t="n"/>
    </row>
    <row r="12891">
      <c r="B12891" s="7" t="n">
        <v>12889</v>
      </c>
      <c r="C12891" t="inlineStr">
        <is>
          <t>[Đà Nẵng] Thực Tập Sinh Bộ phận Kinh Doanh Dịch Vụ (Service Business Intern)</t>
        </is>
      </c>
      <c r="D12891" t="inlineStr">
        <is>
          <t>Daikin Air Conditioning (Vietnam) Joint Stock Company</t>
        </is>
      </c>
      <c r="E12891" t="inlineStr">
        <is>
          <t>Lương:Cạnh tranh</t>
        </is>
      </c>
      <c r="F12891" t="inlineStr">
        <is>
          <t>Đà Nẵng</t>
        </is>
      </c>
      <c r="G12891" t="inlineStr">
        <is>
          <t>28-03-2026</t>
        </is>
      </c>
      <c r="H12891" t="inlineStr">
        <is>
          <t>28/03/2026</t>
        </is>
      </c>
      <c r="I12891" t="inlineStr">
        <is>
          <t>17/03/2026</t>
        </is>
      </c>
      <c r="J12891" t="inlineStr">
        <is>
          <t>Bán lẻ / Bán sỉ, Bán hàng / Kinh doanh, Bảo trì / Sửa chữa</t>
        </is>
      </c>
      <c r="K12891" t="inlineStr">
        <is>
          <t>N/A</t>
        </is>
      </c>
      <c r="L12891" s="8">
        <f>HYPERLINK("https://careerviet.vn/vi/tim-viec-lam/da-nang-thuc-tap-sinh-bo-phan-kinh-doanh-dich-vu-service-business-intern.35C699B8.html","Xem chi tiết")</f>
        <v/>
      </c>
    </row>
    <row r="12892">
      <c r="B12892" s="9" t="n">
        <v>12890</v>
      </c>
      <c r="C12892" s="10" t="inlineStr">
        <is>
          <t>Nhân Viên Shopdrawing</t>
        </is>
      </c>
      <c r="D12892" s="10" t="inlineStr">
        <is>
          <t>Công Ty Cổ Phần Xây Dựng Công Trình Tây Hồ</t>
        </is>
      </c>
      <c r="E12892" s="10" t="inlineStr">
        <is>
          <t>Lương:Cạnh tranh</t>
        </is>
      </c>
      <c r="F12892" s="10" t="inlineStr">
        <is>
          <t>Hồ Chí MinhĐồng NaiBình Dương</t>
        </is>
      </c>
      <c r="G12892" s="10" t="inlineStr">
        <is>
          <t>26-03-2026</t>
        </is>
      </c>
      <c r="H12892" s="10" t="inlineStr">
        <is>
          <t>26/03/2026</t>
        </is>
      </c>
      <c r="I12892" s="10" t="inlineStr">
        <is>
          <t>17/03/2026</t>
        </is>
      </c>
      <c r="J12892" s="10" t="inlineStr">
        <is>
          <t>Xây dựng, Kiến trúc, Bất động sản</t>
        </is>
      </c>
      <c r="K12892" s="10" t="inlineStr">
        <is>
          <t>Trên 1 Năm</t>
        </is>
      </c>
      <c r="L12892" s="11">
        <f>HYPERLINK("https://careerviet.vn/vi/tim-viec-lam/nhan-vien-shopdrawing.35C69C7B.html","Xem chi tiết")</f>
        <v/>
      </c>
      <c r="M12892" s="10" t="n"/>
    </row>
    <row r="12893">
      <c r="B12893" s="7" t="n">
        <v>12891</v>
      </c>
      <c r="C12893" t="inlineStr">
        <is>
          <t>Sales Logistics</t>
        </is>
      </c>
      <c r="D12893" t="inlineStr">
        <is>
          <t>Tập Đoàn An Phát Holdings</t>
        </is>
      </c>
      <c r="E12893" t="inlineStr">
        <is>
          <t>Lương:15 Tr - 20 Tr VND</t>
        </is>
      </c>
      <c r="F12893" t="inlineStr">
        <is>
          <t>Hà Nội</t>
        </is>
      </c>
      <c r="G12893" t="inlineStr">
        <is>
          <t>31-03-2026</t>
        </is>
      </c>
      <c r="H12893" t="inlineStr">
        <is>
          <t>31/03/2026</t>
        </is>
      </c>
      <c r="I12893" t="inlineStr">
        <is>
          <t>17/03/2026</t>
        </is>
      </c>
      <c r="J12893" t="inlineStr">
        <is>
          <t>Vận chuyển / Giao nhận / Kho vận</t>
        </is>
      </c>
      <c r="K12893" t="inlineStr">
        <is>
          <t>Trên 1 Năm</t>
        </is>
      </c>
      <c r="L12893" s="8">
        <f>HYPERLINK("https://careerviet.vn/vi/tim-viec-lam/sales-logistics.35C69A29.html","Xem chi tiết")</f>
        <v/>
      </c>
    </row>
    <row r="12894">
      <c r="B12894" s="9" t="n">
        <v>12892</v>
      </c>
      <c r="C12894" s="10" t="inlineStr">
        <is>
          <t>CÔNG NHÂN KHO (Lao Động Phổ Thông)</t>
        </is>
      </c>
      <c r="D12894" s="10" t="inlineStr">
        <is>
          <t>CÔNG TY TNHH ASHTON FURNITURE CONSOLIDATION</t>
        </is>
      </c>
      <c r="E12894" s="10" t="inlineStr">
        <is>
          <t>Lương:11 Tr - 18 Tr VND</t>
        </is>
      </c>
      <c r="F12894" s="10" t="inlineStr">
        <is>
          <t>Bà Rịa - Vũng Tàu</t>
        </is>
      </c>
      <c r="G12894" s="10" t="inlineStr">
        <is>
          <t>31-03-2026</t>
        </is>
      </c>
      <c r="H12894" s="10" t="inlineStr">
        <is>
          <t>31/03/2026</t>
        </is>
      </c>
      <c r="I12894" s="10" t="inlineStr">
        <is>
          <t>17/03/2026</t>
        </is>
      </c>
      <c r="J12894" s="10" t="inlineStr">
        <is>
          <t>Vận chuyển / Giao nhận / Kho vận, Đồ gỗ, Nội ngoại thất</t>
        </is>
      </c>
      <c r="K12894" s="10" t="inlineStr">
        <is>
          <t>N/A</t>
        </is>
      </c>
      <c r="L12894" s="11">
        <f>HYPERLINK("https://careerviet.vn/vi/tim-viec-lam/cong-nhan-kho-lao-dong-pho-thong.35C698E5.html","Xem chi tiết")</f>
        <v/>
      </c>
      <c r="M12894" s="10" t="n"/>
    </row>
    <row r="12895">
      <c r="B12895" s="7" t="n">
        <v>12893</v>
      </c>
      <c r="C12895" t="inlineStr">
        <is>
          <t>Chuyên viên/Chuyên viên cao cấp quan hệ khách hàng Doanh nghiệp - Hà Nội [Chiến Dịch Tuyển Dụng Thần Tốc - GO]</t>
        </is>
      </c>
      <c r="D12895" t="inlineStr">
        <is>
          <t>Ngân hàng TMCP Phát triển TP.HCM (HDBank)</t>
        </is>
      </c>
      <c r="E12895" t="inlineStr">
        <is>
          <t>Lương:13 Tr - 30 Tr VND</t>
        </is>
      </c>
      <c r="F12895" t="inlineStr">
        <is>
          <t>Hà Nội</t>
        </is>
      </c>
      <c r="G12895" t="inlineStr">
        <is>
          <t>30-04-2026</t>
        </is>
      </c>
      <c r="H12895" t="inlineStr">
        <is>
          <t>30/04/2026</t>
        </is>
      </c>
      <c r="I12895" t="inlineStr">
        <is>
          <t>17/03/2026</t>
        </is>
      </c>
      <c r="J12895" t="inlineStr">
        <is>
          <t>Bán hàng / Kinh doanh, Ngân hàng, Tài chính / Đầu tư</t>
        </is>
      </c>
      <c r="K12895" t="inlineStr">
        <is>
          <t>1 - 5 Năm</t>
        </is>
      </c>
      <c r="L12895" s="8">
        <f>HYPERLINK("https://careerviet.vn/vi/tim-viec-lam/chuyen-vien-chuyen-vien-cao-cap-quan-he-khach-hang-doanh-nghiep-ha-noi-chien-dich-tuyen-dung-than-toc-go.35C69954.html","Xem chi tiết")</f>
        <v/>
      </c>
    </row>
    <row r="12896">
      <c r="B12896" s="9" t="n">
        <v>12894</v>
      </c>
      <c r="C12896" s="10" t="inlineStr">
        <is>
          <t>Chuyên viên chính/Chuyên viên Cấp cao Quan hệ khách hàng ưu tiên - Khu vực Hải Phòng</t>
        </is>
      </c>
      <c r="D12896" s="10" t="inlineStr">
        <is>
          <t>Ngân Hàng TMCP Quốc Dân (NCB)</t>
        </is>
      </c>
      <c r="E12896" s="10" t="inlineStr">
        <is>
          <t>Lương:Cạnh tranh</t>
        </is>
      </c>
      <c r="F12896" s="10" t="inlineStr">
        <is>
          <t>Hải Phòng</t>
        </is>
      </c>
      <c r="G12896" s="10" t="inlineStr">
        <is>
          <t>26-03-2026</t>
        </is>
      </c>
      <c r="H12896" s="10" t="inlineStr">
        <is>
          <t>26/03/2026</t>
        </is>
      </c>
      <c r="I12896" s="10" t="inlineStr">
        <is>
          <t>17/03/2026</t>
        </is>
      </c>
      <c r="J12896" s="10" t="inlineStr">
        <is>
          <t>Ngân hàng, Tư vấn, Bán hàng / Kinh doanh</t>
        </is>
      </c>
      <c r="K12896" s="10" t="inlineStr">
        <is>
          <t>Trên 1 Năm</t>
        </is>
      </c>
      <c r="L12896" s="11">
        <f>HYPERLINK("https://careerviet.vn/vi/tim-viec-lam/chuyen-vien-chinh-chuyen-vien-cap-cao-quan-he-khach-hang-uu-tien-khu-vuc-hai-phong.35C6996C.html","Xem chi tiết")</f>
        <v/>
      </c>
      <c r="M12896" s="10" t="n"/>
    </row>
    <row r="12897">
      <c r="B12897" s="7" t="n">
        <v>12895</v>
      </c>
      <c r="C12897" t="inlineStr">
        <is>
          <t>Chuyên viên/Chuyên viên cao cấp quan hệ khách hàng Doanh nghiệp - MIỀN BẮC [Chiến Dịch Tuyển Dụng Thần Tốc - GO]</t>
        </is>
      </c>
      <c r="D12897" t="inlineStr">
        <is>
          <t>Ngân hàng TMCP Phát triển TP.HCM (HDBank)</t>
        </is>
      </c>
      <c r="E12897" t="inlineStr">
        <is>
          <t>Lương:13 Tr - 30 Tr VND</t>
        </is>
      </c>
      <c r="F12897" t="inlineStr">
        <is>
          <t>Hà Nội</t>
        </is>
      </c>
      <c r="G12897" t="inlineStr">
        <is>
          <t>30-04-2026</t>
        </is>
      </c>
      <c r="H12897" t="inlineStr">
        <is>
          <t>30/04/2026</t>
        </is>
      </c>
      <c r="I12897" t="inlineStr">
        <is>
          <t>17/03/2026</t>
        </is>
      </c>
      <c r="J12897" t="inlineStr">
        <is>
          <t>Bán hàng / Kinh doanh, Ngân hàng, Tài chính / Đầu tư</t>
        </is>
      </c>
      <c r="K12897" t="inlineStr">
        <is>
          <t>1 - 5 Năm</t>
        </is>
      </c>
      <c r="L12897" s="8">
        <f>HYPERLINK("https://careerviet.vn/vi/tim-viec-lam/chuyen-vien-chuyen-vien-cao-cap-quan-he-khach-hang-doanh-nghiep-mien-bac-chien-dich-tuyen-dung-than-toc-go.35C69973.html","Xem chi tiết")</f>
        <v/>
      </c>
    </row>
    <row r="12898">
      <c r="B12898" s="9" t="n">
        <v>12896</v>
      </c>
      <c r="C12898" s="10" t="inlineStr">
        <is>
          <t>Assistant Brand Manager</t>
        </is>
      </c>
      <c r="D12898" s="10" t="inlineStr">
        <is>
          <t>IDOCEAN Co.,ltd</t>
        </is>
      </c>
      <c r="E12898" s="10" t="inlineStr">
        <is>
          <t>Lương:Cạnh tranh</t>
        </is>
      </c>
      <c r="F12898" s="10" t="inlineStr">
        <is>
          <t>Hồ Chí Minh</t>
        </is>
      </c>
      <c r="G12898" s="10" t="inlineStr">
        <is>
          <t>31-03-2026</t>
        </is>
      </c>
      <c r="H12898" s="10" t="inlineStr">
        <is>
          <t>31/03/2026</t>
        </is>
      </c>
      <c r="I12898" s="10" t="inlineStr">
        <is>
          <t>17/03/2026</t>
        </is>
      </c>
      <c r="J12898" s="10" t="inlineStr">
        <is>
          <t>Tiếp thị / Marketing, Thực phẩm &amp; Đồ uống</t>
        </is>
      </c>
      <c r="K12898" s="10" t="inlineStr">
        <is>
          <t>3 - 8 Năm</t>
        </is>
      </c>
      <c r="L12898" s="11">
        <f>HYPERLINK("https://careerviet.vn/vi/tim-viec-lam/assistant-brand-manager.35C69C0A.html","Xem chi tiết")</f>
        <v/>
      </c>
      <c r="M12898" s="10" t="n"/>
    </row>
    <row r="12899">
      <c r="B12899" s="7" t="n">
        <v>12897</v>
      </c>
      <c r="C12899" t="inlineStr">
        <is>
          <t>QA Standards Supervisor</t>
        </is>
      </c>
      <c r="D12899" t="inlineStr">
        <is>
          <t>Vietnam Furniture Resources (VFR)</t>
        </is>
      </c>
      <c r="E12899" t="inlineStr">
        <is>
          <t>Lương:Cạnh tranh</t>
        </is>
      </c>
      <c r="F12899" t="inlineStr">
        <is>
          <t>Bình Dương</t>
        </is>
      </c>
      <c r="G12899" t="inlineStr">
        <is>
          <t>27-03-2026</t>
        </is>
      </c>
      <c r="H12899" t="inlineStr">
        <is>
          <t>27/03/2026</t>
        </is>
      </c>
      <c r="I12899" t="inlineStr">
        <is>
          <t>17/03/2026</t>
        </is>
      </c>
      <c r="J12899" t="inlineStr">
        <is>
          <t>Đồ gỗ, Quản lý chất lượng (QA/QC), Nội ngoại thất</t>
        </is>
      </c>
      <c r="K12899" t="inlineStr">
        <is>
          <t>5 - 10 Năm</t>
        </is>
      </c>
      <c r="L12899" s="8">
        <f>HYPERLINK("https://careerviet.vn/vi/tim-viec-lam/qa-standards-supervisor.35C69BA3.html","Xem chi tiết")</f>
        <v/>
      </c>
    </row>
    <row r="12900">
      <c r="B12900" s="9" t="n">
        <v>12898</v>
      </c>
      <c r="C12900" s="10" t="inlineStr">
        <is>
          <t>Nhân viên kinh doanh quốc tế</t>
        </is>
      </c>
      <c r="D12900" s="10" t="inlineStr">
        <is>
          <t>Công ty Cổ phần ĐẠI ĐỒNG TIẾN</t>
        </is>
      </c>
      <c r="E12900" s="10" t="inlineStr">
        <is>
          <t>Lương:10 Tr - 15 Tr VND</t>
        </is>
      </c>
      <c r="F12900" s="10" t="inlineStr">
        <is>
          <t>Hồ Chí Minh</t>
        </is>
      </c>
      <c r="G12900" s="10" t="inlineStr">
        <is>
          <t>31-03-2026</t>
        </is>
      </c>
      <c r="H12900" s="10" t="inlineStr">
        <is>
          <t>31/03/2026</t>
        </is>
      </c>
      <c r="I12900" s="10" t="inlineStr">
        <is>
          <t>17/03/2026</t>
        </is>
      </c>
      <c r="J12900" s="10" t="inlineStr">
        <is>
          <t>Bán hàng / Kinh doanh, Hàng gia dụng / Chăm sóc cá nhân, Sản xuất / Vận hành sản xuất</t>
        </is>
      </c>
      <c r="K12900" s="10" t="inlineStr">
        <is>
          <t>2 - 3 Năm</t>
        </is>
      </c>
      <c r="L12900" s="11">
        <f>HYPERLINK("https://careerviet.vn/vi/tim-viec-lam/nhan-vien-kinh-doanh-quoc-te.35C69CEF.html","Xem chi tiết")</f>
        <v/>
      </c>
      <c r="M12900" s="10" t="n"/>
    </row>
    <row r="12901">
      <c r="B12901" s="7" t="n">
        <v>12899</v>
      </c>
      <c r="C12901" t="inlineStr">
        <is>
          <t>Nhân Viên QC</t>
        </is>
      </c>
      <c r="D12901" t="inlineStr">
        <is>
          <t>CÔNG TY TNHH NƯỚC GIẢI KHÁT &amp; BAO BÌ THỰC PHẨM VINAKEN</t>
        </is>
      </c>
      <c r="E12901" t="inlineStr">
        <is>
          <t>Lương:13 Tr - 15 Tr VND</t>
        </is>
      </c>
      <c r="F12901" t="inlineStr">
        <is>
          <t>Bắc Giang</t>
        </is>
      </c>
      <c r="G12901" t="inlineStr">
        <is>
          <t>30-04-2026</t>
        </is>
      </c>
      <c r="H12901" t="inlineStr">
        <is>
          <t>30/04/2026</t>
        </is>
      </c>
      <c r="I12901" t="inlineStr">
        <is>
          <t>17/03/2026</t>
        </is>
      </c>
      <c r="J12901" t="inlineStr">
        <is>
          <t>Quản lý chất lượng (QA/QC), Thực phẩm &amp; Đồ uống</t>
        </is>
      </c>
      <c r="K12901" t="inlineStr">
        <is>
          <t>N/A</t>
        </is>
      </c>
      <c r="L12901" s="8">
        <f>HYPERLINK("https://careerviet.vn/vi/tim-viec-lam/nhan-vien-qc.35C69C0E.html","Xem chi tiết")</f>
        <v/>
      </c>
    </row>
    <row r="12902">
      <c r="B12902" s="9" t="n">
        <v>12900</v>
      </c>
      <c r="C12902" s="10" t="inlineStr">
        <is>
          <t>Kế toán thuế (Cần Giuộc - Long An)</t>
        </is>
      </c>
      <c r="D12902" s="10" t="inlineStr">
        <is>
          <t>Công Ty TNHH PEROMA Việt Nam</t>
        </is>
      </c>
      <c r="E12902" s="10" t="inlineStr">
        <is>
          <t>Lương:13 Tr - 18 Tr VND</t>
        </is>
      </c>
      <c r="F12902" s="10" t="inlineStr">
        <is>
          <t>Long An</t>
        </is>
      </c>
      <c r="G12902" s="10" t="inlineStr">
        <is>
          <t>31-03-2026</t>
        </is>
      </c>
      <c r="H12902" s="10" t="inlineStr">
        <is>
          <t>31/03/2026</t>
        </is>
      </c>
      <c r="I12902" s="10" t="inlineStr">
        <is>
          <t>17/03/2026</t>
        </is>
      </c>
      <c r="J12902" s="10" t="inlineStr">
        <is>
          <t>Bán hàng / Kinh doanh, Kế toán / Kiểm toán, Ngân hàng</t>
        </is>
      </c>
      <c r="K12902" s="10" t="inlineStr">
        <is>
          <t>2 - 5 Năm</t>
        </is>
      </c>
      <c r="L12902" s="11">
        <f>HYPERLINK("https://careerviet.vn/vi/tim-viec-lam/ke-toan-thue-can-giuoc-long-an.35C699E9.html","Xem chi tiết")</f>
        <v/>
      </c>
      <c r="M12902" s="10" t="n"/>
    </row>
    <row r="12903">
      <c r="B12903" s="7" t="n">
        <v>12901</v>
      </c>
      <c r="C12903" t="inlineStr">
        <is>
          <t>Nhân Viên Kinh Doanh Thực phẩm bảo vệ sức khoẻ (Nữ từ 25 tuổi)</t>
        </is>
      </c>
      <c r="D12903" t="inlineStr">
        <is>
          <t>Công ty Dược phẩm E&amp;S Việt Nam</t>
        </is>
      </c>
      <c r="E12903" t="inlineStr">
        <is>
          <t>Lương:9,5 Tr - 30 Tr VND</t>
        </is>
      </c>
      <c r="F12903" t="inlineStr">
        <is>
          <t>Hà Nội</t>
        </is>
      </c>
      <c r="G12903" t="inlineStr">
        <is>
          <t>30-04-2026</t>
        </is>
      </c>
      <c r="H12903" t="inlineStr">
        <is>
          <t>30/04/2026</t>
        </is>
      </c>
      <c r="I12903" t="inlineStr">
        <is>
          <t>17/03/2026</t>
        </is>
      </c>
      <c r="J12903" t="inlineStr">
        <is>
          <t>Bán hàng / Kinh doanh, Dược phẩm/ Hóa Mỹ Phẩm, Y tế / Chăm sóc sức khỏe / Thẩm mỹ / Làm đẹp</t>
        </is>
      </c>
      <c r="K12903" t="inlineStr">
        <is>
          <t>2 - 3 Năm</t>
        </is>
      </c>
      <c r="L12903" s="8">
        <f>HYPERLINK("https://careerviet.vn/vi/tim-viec-lam/nhan-vien-kinh-doanh-thuc-pham-bao-ve-suc-khoe-nu-tu-25-tuoi.35C69C9B.html","Xem chi tiết")</f>
        <v/>
      </c>
    </row>
    <row r="12904">
      <c r="B12904" s="9" t="n">
        <v>12902</v>
      </c>
      <c r="C12904" s="10" t="inlineStr">
        <is>
          <t>Kế Toán Viên/ 会计员</t>
        </is>
      </c>
      <c r="D12904" s="10" t="inlineStr">
        <is>
          <t>S.Power - CÔNG TY TNHH DỆT MAY S.POWER (VIỆT NAM)</t>
        </is>
      </c>
      <c r="E12904" s="10" t="inlineStr">
        <is>
          <t>Lương:Cạnh tranh</t>
        </is>
      </c>
      <c r="F12904" s="10" t="inlineStr">
        <is>
          <t>Tây Ninh</t>
        </is>
      </c>
      <c r="G12904" s="10" t="inlineStr">
        <is>
          <t>26-03-2026</t>
        </is>
      </c>
      <c r="H12904" s="10" t="inlineStr">
        <is>
          <t>26/03/2026</t>
        </is>
      </c>
      <c r="I12904" s="10" t="inlineStr">
        <is>
          <t>17/03/2026</t>
        </is>
      </c>
      <c r="J12904" s="10" t="inlineStr">
        <is>
          <t>Kế toán / Kiểm toán, Dệt may / Da giày / Thời trang, Tài chính / Đầu tư</t>
        </is>
      </c>
      <c r="K12904" s="10" t="inlineStr">
        <is>
          <t>N/A</t>
        </is>
      </c>
      <c r="L12904" s="11">
        <f>HYPERLINK("https://careerviet.vn/vi/tim-viec-lam/ke-toan-vien.35C69BF5.html","Xem chi tiết")</f>
        <v/>
      </c>
      <c r="M12904" s="10" t="n"/>
    </row>
    <row r="12905">
      <c r="B12905" s="7" t="n">
        <v>12903</v>
      </c>
      <c r="C12905" t="inlineStr">
        <is>
          <t>Nhân Viên Vận Hành Công Nghệ Nấu – Lên Men</t>
        </is>
      </c>
      <c r="D12905" t="inlineStr">
        <is>
          <t>CÔNG TY TNHH NƯỚC GIẢI KHÁT &amp; BAO BÌ THỰC PHẨM VINAKEN</t>
        </is>
      </c>
      <c r="E12905" t="inlineStr">
        <is>
          <t>Lương:13 Tr - 15 Tr VND</t>
        </is>
      </c>
      <c r="F12905" t="inlineStr">
        <is>
          <t>Bắc Giang</t>
        </is>
      </c>
      <c r="G12905" t="inlineStr">
        <is>
          <t>30-04-2026</t>
        </is>
      </c>
      <c r="H12905" t="inlineStr">
        <is>
          <t>30/04/2026</t>
        </is>
      </c>
      <c r="I12905" t="inlineStr">
        <is>
          <t>17/03/2026</t>
        </is>
      </c>
      <c r="J12905" t="inlineStr">
        <is>
          <t>Công nghệ thực phẩm / Dinh dưỡng, Sản xuất / Vận hành sản xuất</t>
        </is>
      </c>
      <c r="K12905" t="inlineStr">
        <is>
          <t>N/A</t>
        </is>
      </c>
      <c r="L12905" s="8">
        <f>HYPERLINK("https://careerviet.vn/vi/tim-viec-lam/nhan-vien-van-hanh-cong-nghe-nau-len-men.35C69C13.html","Xem chi tiết")</f>
        <v/>
      </c>
    </row>
    <row r="12906">
      <c r="B12906" s="9" t="n">
        <v>12904</v>
      </c>
      <c r="C12906" s="10" t="inlineStr">
        <is>
          <t>Nhân Viên Nhân Sự Tiền Lương</t>
        </is>
      </c>
      <c r="D12906" s="10" t="inlineStr">
        <is>
          <t>CÔNG TY CỔ PHẦN TRUYỀN THÔNG KIM CƯƠNG</t>
        </is>
      </c>
      <c r="E12906" s="10" t="inlineStr">
        <is>
          <t>Lương:11 Tr - 12 Tr VND</t>
        </is>
      </c>
      <c r="F12906" s="10" t="inlineStr">
        <is>
          <t>Hà Nội</t>
        </is>
      </c>
      <c r="G12906" s="10" t="inlineStr">
        <is>
          <t>26-03-2026</t>
        </is>
      </c>
      <c r="H12906" s="10" t="inlineStr">
        <is>
          <t>26/03/2026</t>
        </is>
      </c>
      <c r="I12906" s="10" t="inlineStr">
        <is>
          <t>17/03/2026</t>
        </is>
      </c>
      <c r="J12906" s="10" t="inlineStr">
        <is>
          <t>Nhân sự, Kế toán / Kiểm toán, Hành chính / Thư ký</t>
        </is>
      </c>
      <c r="K12906" s="10" t="inlineStr">
        <is>
          <t>1 - 2 Năm</t>
        </is>
      </c>
      <c r="L12906" s="11">
        <f>HYPERLINK("https://careerviet.vn/vi/tim-viec-lam/nhan-vien-nhan-su-tien-luong.35C69C69.html","Xem chi tiết")</f>
        <v/>
      </c>
      <c r="M12906" s="10" t="n"/>
    </row>
    <row r="12907">
      <c r="B12907" s="7" t="n">
        <v>12905</v>
      </c>
      <c r="C12907" t="inlineStr">
        <is>
          <t>Chuyên viên cao cấp Cải tiến và Số hóa quy trình</t>
        </is>
      </c>
      <c r="D12907" t="inlineStr">
        <is>
          <t>Ngân Hàng TMCP Quốc Dân (NCB)</t>
        </is>
      </c>
      <c r="E12907" t="inlineStr">
        <is>
          <t>Lương:Cạnh tranh</t>
        </is>
      </c>
      <c r="F12907" t="inlineStr">
        <is>
          <t>Hà Nội</t>
        </is>
      </c>
      <c r="G12907" t="inlineStr">
        <is>
          <t>26-03-2026</t>
        </is>
      </c>
      <c r="H12907" t="inlineStr">
        <is>
          <t>26/03/2026</t>
        </is>
      </c>
      <c r="I12907" t="inlineStr">
        <is>
          <t>17/03/2026</t>
        </is>
      </c>
      <c r="J12907" t="inlineStr">
        <is>
          <t>CNTT - Phần mềm, Quản lý chất lượng (QA/QC), Ngân hàng</t>
        </is>
      </c>
      <c r="K12907" t="inlineStr">
        <is>
          <t>3 - 4 Năm</t>
        </is>
      </c>
      <c r="L12907" s="8">
        <f>HYPERLINK("https://careerviet.vn/vi/tim-viec-lam/chuyen-vien-cao-cap-cai-tien-va-so-hoa-quy-trinh.35C69BA9.html","Xem chi tiết")</f>
        <v/>
      </c>
    </row>
    <row r="12908">
      <c r="B12908" s="9" t="n">
        <v>12906</v>
      </c>
      <c r="C12908" s="10" t="inlineStr">
        <is>
          <t>Nhân viên kinh doanh</t>
        </is>
      </c>
      <c r="D12908" s="10" t="inlineStr">
        <is>
          <t>CÔNG TY TNHH ATI VIỆT TRUNG</t>
        </is>
      </c>
      <c r="E12908" s="10" t="inlineStr">
        <is>
          <t>Lương:15 Tr - 20 Tr VND</t>
        </is>
      </c>
      <c r="F12908" s="10" t="inlineStr">
        <is>
          <t>Hồ Chí Minh</t>
        </is>
      </c>
      <c r="G12908" s="10" t="inlineStr">
        <is>
          <t>01-05-2026</t>
        </is>
      </c>
      <c r="H12908" s="10" t="inlineStr">
        <is>
          <t>01/05/2026</t>
        </is>
      </c>
      <c r="I12908" s="10" t="inlineStr">
        <is>
          <t>17/03/2026</t>
        </is>
      </c>
      <c r="J12908" s="10" t="inlineStr">
        <is>
          <t>Bán hàng / Kinh doanh, Tiếp thị / Marketing</t>
        </is>
      </c>
      <c r="K12908" s="10" t="inlineStr">
        <is>
          <t>Lên đến 1 Năm</t>
        </is>
      </c>
      <c r="L12908" s="11">
        <f>HYPERLINK("https://careerviet.vn/vi/tim-viec-lam/nhan-vien-kinh-doanh.35C69B83.html","Xem chi tiết")</f>
        <v/>
      </c>
      <c r="M12908" s="10" t="n"/>
    </row>
    <row r="12909">
      <c r="B12909" s="7" t="n">
        <v>12907</v>
      </c>
      <c r="C12909" t="inlineStr">
        <is>
          <t>Talent Acquisition &amp; Employer Branding Specialist</t>
        </is>
      </c>
      <c r="D12909" t="inlineStr">
        <is>
          <t>Công Ty TNHH SX Và TM Quân Đạt</t>
        </is>
      </c>
      <c r="E12909" t="inlineStr">
        <is>
          <t>Lương:Cạnh tranh</t>
        </is>
      </c>
      <c r="F12909" t="inlineStr">
        <is>
          <t>Hồ Chí Minh</t>
        </is>
      </c>
      <c r="G12909" t="inlineStr">
        <is>
          <t>28-03-2026</t>
        </is>
      </c>
      <c r="H12909" t="inlineStr">
        <is>
          <t>28/03/2026</t>
        </is>
      </c>
      <c r="I12909" t="inlineStr">
        <is>
          <t>17/03/2026</t>
        </is>
      </c>
      <c r="J12909" t="inlineStr">
        <is>
          <t>Nhân sự, Cơ khí / Ô tô / Tự động hóa, Xây dựng</t>
        </is>
      </c>
      <c r="K12909" t="inlineStr">
        <is>
          <t>3 - 10 Năm</t>
        </is>
      </c>
      <c r="L12909" s="8">
        <f>HYPERLINK("https://careerviet.vn/vi/tim-viec-lam/talent-acquisition-employer-branding-specialist.35C69C4D.html","Xem chi tiết")</f>
        <v/>
      </c>
    </row>
    <row r="12910">
      <c r="B12910" s="9" t="n">
        <v>12908</v>
      </c>
      <c r="C12910" s="10" t="inlineStr">
        <is>
          <t>Kỹ Sư Giám Sát Xây Dựng</t>
        </is>
      </c>
      <c r="D12910" s="10" t="inlineStr">
        <is>
          <t>Công Ty TNHH Tập Đoàn Rita Võ</t>
        </is>
      </c>
      <c r="E12910" s="10" t="inlineStr">
        <is>
          <t>Lương:16 Tr - 18 Tr VND</t>
        </is>
      </c>
      <c r="F12910" s="10" t="inlineStr">
        <is>
          <t>Hồ Chí Minh</t>
        </is>
      </c>
      <c r="G12910" s="10" t="inlineStr">
        <is>
          <t>27-03-2026</t>
        </is>
      </c>
      <c r="H12910" s="10" t="inlineStr">
        <is>
          <t>27/03/2026</t>
        </is>
      </c>
      <c r="I12910" s="10" t="inlineStr">
        <is>
          <t>17/03/2026</t>
        </is>
      </c>
      <c r="J12910" s="10" t="inlineStr">
        <is>
          <t>Xây dựng</t>
        </is>
      </c>
      <c r="K12910" s="10" t="inlineStr">
        <is>
          <t>3 - 4 Năm</t>
        </is>
      </c>
      <c r="L12910" s="11">
        <f>HYPERLINK("https://careerviet.vn/vi/tim-viec-lam/ky-su-giam-sat-xay-dung.35C69C02.html","Xem chi tiết")</f>
        <v/>
      </c>
      <c r="M12910" s="10" t="n"/>
    </row>
    <row r="12911">
      <c r="B12911" s="7" t="n">
        <v>12909</v>
      </c>
      <c r="C12911" t="inlineStr">
        <is>
          <t>Chuyên viên Kế toán tổng hợp</t>
        </is>
      </c>
      <c r="D12911" t="inlineStr">
        <is>
          <t>CÔNG TY CỔ PHẦN TẬP ĐOÀN GDC</t>
        </is>
      </c>
      <c r="E12911" t="inlineStr">
        <is>
          <t>Lương:20 Tr - 28 Tr VND</t>
        </is>
      </c>
      <c r="F12911" t="inlineStr">
        <is>
          <t>Hà Nội</t>
        </is>
      </c>
      <c r="G12911" t="inlineStr">
        <is>
          <t>26-03-2026</t>
        </is>
      </c>
      <c r="H12911" t="inlineStr">
        <is>
          <t>26/03/2026</t>
        </is>
      </c>
      <c r="I12911" t="inlineStr">
        <is>
          <t>17/03/2026</t>
        </is>
      </c>
      <c r="J12911" t="inlineStr">
        <is>
          <t>Kế toán / Kiểm toán, Xây dựng</t>
        </is>
      </c>
      <c r="K12911" t="inlineStr">
        <is>
          <t>5 - 10 Năm</t>
        </is>
      </c>
      <c r="L12911" s="8">
        <f>HYPERLINK("https://careerviet.vn/vi/tim-viec-lam/chuyen-vien-ke-toan-tong-hop.35C69C46.html","Xem chi tiết")</f>
        <v/>
      </c>
    </row>
    <row r="12912">
      <c r="B12912" s="9" t="n">
        <v>12910</v>
      </c>
      <c r="C12912" s="10" t="inlineStr">
        <is>
          <t>Phó phòng Đấu thầu Xây dựng</t>
        </is>
      </c>
      <c r="D12912" s="10" t="inlineStr">
        <is>
          <t>CÔNG TY CỔ PHẦN TẬP ĐOÀN GDC</t>
        </is>
      </c>
      <c r="E12912" s="10" t="inlineStr">
        <is>
          <t>Lương:25 Tr - 35 Tr VND</t>
        </is>
      </c>
      <c r="F12912" s="10" t="inlineStr">
        <is>
          <t>Hà Nội</t>
        </is>
      </c>
      <c r="G12912" s="10" t="inlineStr">
        <is>
          <t>26-03-2026</t>
        </is>
      </c>
      <c r="H12912" s="10" t="inlineStr">
        <is>
          <t>26/03/2026</t>
        </is>
      </c>
      <c r="I12912" s="10" t="inlineStr">
        <is>
          <t>17/03/2026</t>
        </is>
      </c>
      <c r="J12912" s="10" t="inlineStr">
        <is>
          <t>Xây dựng</t>
        </is>
      </c>
      <c r="K12912" s="10" t="inlineStr">
        <is>
          <t>5 - 10 Năm</t>
        </is>
      </c>
      <c r="L12912" s="11">
        <f>HYPERLINK("https://careerviet.vn/vi/tim-viec-lam/pho-phong-dau-thau-xay-dung.35C69C03.html","Xem chi tiết")</f>
        <v/>
      </c>
      <c r="M12912" s="10" t="n"/>
    </row>
    <row r="12913">
      <c r="B12913" s="7" t="n">
        <v>12911</v>
      </c>
      <c r="C12913" t="inlineStr">
        <is>
          <t>Nhân Viên Kinh Doanh Vật Liệu Xây Dựng - Đồng Nai</t>
        </is>
      </c>
      <c r="D12913" t="inlineStr">
        <is>
          <t>Công Ty TNHH Tập Đoàn Rita Võ</t>
        </is>
      </c>
      <c r="E12913" t="inlineStr">
        <is>
          <t>Lương:15 Tr - 20 Tr VND</t>
        </is>
      </c>
      <c r="F12913" t="inlineStr">
        <is>
          <t>Đồng Nai</t>
        </is>
      </c>
      <c r="G12913" t="inlineStr">
        <is>
          <t>26-03-2026</t>
        </is>
      </c>
      <c r="H12913" t="inlineStr">
        <is>
          <t>26/03/2026</t>
        </is>
      </c>
      <c r="I12913" t="inlineStr">
        <is>
          <t>17/03/2026</t>
        </is>
      </c>
      <c r="J12913" t="inlineStr">
        <is>
          <t>Bán lẻ / Bán sỉ, Bán hàng / Kinh doanh, Tư vấn</t>
        </is>
      </c>
      <c r="K12913" t="inlineStr">
        <is>
          <t>N/A</t>
        </is>
      </c>
      <c r="L12913" s="8">
        <f>HYPERLINK("https://careerviet.vn/vi/tim-viec-lam/nhan-vien-kinh-doanh-vat-lieu-xay-dung-dong-nai.35C69C53.html","Xem chi tiết")</f>
        <v/>
      </c>
    </row>
    <row r="12914">
      <c r="B12914" s="9" t="n">
        <v>12912</v>
      </c>
      <c r="C12914" s="10" t="inlineStr">
        <is>
          <t>Chuyên viên pháp chế</t>
        </is>
      </c>
      <c r="D12914" s="10" t="inlineStr">
        <is>
          <t>CÔNG TY CỔ PHẨN TẬP ĐOÀN MK</t>
        </is>
      </c>
      <c r="E12914" s="10" t="inlineStr">
        <is>
          <t>Lương:Cạnh tranh</t>
        </is>
      </c>
      <c r="F12914" s="10" t="inlineStr">
        <is>
          <t>Hà Nội</t>
        </is>
      </c>
      <c r="G12914" s="10" t="inlineStr">
        <is>
          <t>25-03-2026</t>
        </is>
      </c>
      <c r="H12914" s="10" t="inlineStr">
        <is>
          <t>25/03/2026</t>
        </is>
      </c>
      <c r="I12914" s="10" t="inlineStr">
        <is>
          <t>17/03/2026</t>
        </is>
      </c>
      <c r="J12914" s="10" t="inlineStr">
        <is>
          <t>Luật / Pháp lý</t>
        </is>
      </c>
      <c r="K12914" s="10" t="inlineStr">
        <is>
          <t>1 - 5 Năm</t>
        </is>
      </c>
      <c r="L12914" s="11">
        <f>HYPERLINK("https://careerviet.vn/vi/tim-viec-lam/chuyen-vien-phap-che.35C694F5.html","Xem chi tiết")</f>
        <v/>
      </c>
      <c r="M12914" s="10" t="n"/>
    </row>
    <row r="12915">
      <c r="B12915" s="7" t="n">
        <v>12913</v>
      </c>
      <c r="C12915" t="inlineStr">
        <is>
          <t>Trưởng bộ phận Kiểm toán nội bộ</t>
        </is>
      </c>
      <c r="D12915" t="inlineStr">
        <is>
          <t>Tập Đoàn Lộc Trời</t>
        </is>
      </c>
      <c r="E12915" t="inlineStr">
        <is>
          <t>Lương:Cạnh tranh</t>
        </is>
      </c>
      <c r="F12915" t="inlineStr">
        <is>
          <t>Hồ Chí Minh</t>
        </is>
      </c>
      <c r="G12915" t="inlineStr">
        <is>
          <t>26-03-2026</t>
        </is>
      </c>
      <c r="H12915" t="inlineStr">
        <is>
          <t>26/03/2026</t>
        </is>
      </c>
      <c r="I12915" t="inlineStr">
        <is>
          <t>17/03/2026</t>
        </is>
      </c>
      <c r="J12915" t="inlineStr">
        <is>
          <t>Kế toán / Kiểm toán, Nông nghiệp, Thống kê</t>
        </is>
      </c>
      <c r="K12915" t="inlineStr">
        <is>
          <t>5 - 10 NămĐịa điểm</t>
        </is>
      </c>
      <c r="L12915" s="8">
        <f>HYPERLINK("https://careerviet.vn/vi/tim-viec-lam/truong-bo-phan-kiem-toan-noi-bo.35C69BAA.html","Xem chi tiết")</f>
        <v/>
      </c>
    </row>
    <row r="12916">
      <c r="B12916" s="9" t="n">
        <v>12914</v>
      </c>
      <c r="C12916" s="10" t="inlineStr">
        <is>
          <t>Kỹ sư AI/ Kỹ sư Fullstack - công ty IT Nhật mới</t>
        </is>
      </c>
      <c r="D12916" s="10" t="inlineStr">
        <is>
          <t>CÔNG TY TNHH JOB HOUSE</t>
        </is>
      </c>
      <c r="E12916" s="10" t="inlineStr">
        <is>
          <t>Lương:45 Tr - 70 Tr VND</t>
        </is>
      </c>
      <c r="F12916" s="10" t="inlineStr">
        <is>
          <t>Hà Nội</t>
        </is>
      </c>
      <c r="G12916" s="10" t="inlineStr">
        <is>
          <t>31-03-2026</t>
        </is>
      </c>
      <c r="H12916" s="10" t="inlineStr">
        <is>
          <t>31/03/2026</t>
        </is>
      </c>
      <c r="I12916" s="10" t="inlineStr">
        <is>
          <t>17/03/2026</t>
        </is>
      </c>
      <c r="J12916" s="10" t="inlineStr">
        <is>
          <t>CNTT - Phần mềm, CNTT - Phần cứng / Mạng</t>
        </is>
      </c>
      <c r="K12916" s="10" t="inlineStr">
        <is>
          <t>3 - 5 Năm</t>
        </is>
      </c>
      <c r="L12916" s="11">
        <f>HYPERLINK("https://careerviet.vn/vi/tim-viec-lam/ky-su-ai-ky-su-fullstack-cong-ty-it-nhat-moi.35C69C42.html","Xem chi tiết")</f>
        <v/>
      </c>
      <c r="M12916" s="10" t="n"/>
    </row>
    <row r="12917">
      <c r="B12917" s="7" t="n">
        <v>12915</v>
      </c>
      <c r="C12917" t="inlineStr">
        <is>
          <t>Nhân viên HCNS</t>
        </is>
      </c>
      <c r="D12917" t="inlineStr">
        <is>
          <t>CÔNG TY CỔ PHẦN NGUYÊN LIỆU THỰC PHẨM MONOVA</t>
        </is>
      </c>
      <c r="E12917" t="inlineStr">
        <is>
          <t>Lương:10 Tr - 12 Tr VND</t>
        </is>
      </c>
      <c r="F12917" t="inlineStr">
        <is>
          <t>Hồ Chí Minh</t>
        </is>
      </c>
      <c r="G12917" t="inlineStr">
        <is>
          <t>25-03-2026</t>
        </is>
      </c>
      <c r="H12917" t="inlineStr">
        <is>
          <t>25/03/2026</t>
        </is>
      </c>
      <c r="I12917" t="inlineStr">
        <is>
          <t>17/03/2026</t>
        </is>
      </c>
      <c r="J12917" t="inlineStr">
        <is>
          <t>Nhân sự, Hành chính / Thư ký</t>
        </is>
      </c>
      <c r="K12917" t="inlineStr">
        <is>
          <t>1 - 2 Năm</t>
        </is>
      </c>
      <c r="L12917" s="8">
        <f>HYPERLINK("https://careerviet.vn/vi/tim-viec-lam/nhan-vien-hcns.35C69BB3.html","Xem chi tiết")</f>
        <v/>
      </c>
    </row>
    <row r="12918">
      <c r="B12918" s="9" t="n">
        <v>12916</v>
      </c>
      <c r="C12918" s="10" t="inlineStr">
        <is>
          <t>Kỹ sư điện lạnh</t>
        </is>
      </c>
      <c r="D12918" s="10" t="inlineStr">
        <is>
          <t>Công ty cổ phần Nafoods Group</t>
        </is>
      </c>
      <c r="E12918" s="10" t="inlineStr">
        <is>
          <t>Lương:14 Tr - 17 Tr VND</t>
        </is>
      </c>
      <c r="F12918" s="10" t="inlineStr">
        <is>
          <t>Nghệ An</t>
        </is>
      </c>
      <c r="G12918" s="10" t="inlineStr">
        <is>
          <t>31-03-2026</t>
        </is>
      </c>
      <c r="H12918" s="10" t="inlineStr">
        <is>
          <t>31/03/2026</t>
        </is>
      </c>
      <c r="I12918" s="10" t="inlineStr">
        <is>
          <t>17/03/2026</t>
        </is>
      </c>
      <c r="J12918" s="10" t="inlineStr">
        <is>
          <t>Điện / Điện tử / Điện lạnh / Điện công nghiệp</t>
        </is>
      </c>
      <c r="K12918" s="10" t="inlineStr">
        <is>
          <t>Lên đến 3 Năm</t>
        </is>
      </c>
      <c r="L12918" s="11">
        <f>HYPERLINK("https://careerviet.vn/vi/tim-viec-lam/ky-su-dien-lanh.35C6945A.html","Xem chi tiết")</f>
        <v/>
      </c>
      <c r="M12918" s="10" t="n"/>
    </row>
    <row r="12919">
      <c r="B12919" s="7" t="n">
        <v>12917</v>
      </c>
      <c r="C12919" t="inlineStr">
        <is>
          <t>Trưởng phòng Công nghệ sinh học</t>
        </is>
      </c>
      <c r="D12919" t="inlineStr">
        <is>
          <t>Công ty cổ phần Nafoods Group</t>
        </is>
      </c>
      <c r="E12919" t="inlineStr">
        <is>
          <t>Lương:18 Tr - 25 Tr VND</t>
        </is>
      </c>
      <c r="F12919" t="inlineStr">
        <is>
          <t>Nghệ An</t>
        </is>
      </c>
      <c r="G12919" t="inlineStr">
        <is>
          <t>31-03-2026</t>
        </is>
      </c>
      <c r="H12919" t="inlineStr">
        <is>
          <t>31/03/2026</t>
        </is>
      </c>
      <c r="I12919" t="inlineStr">
        <is>
          <t>17/03/2026</t>
        </is>
      </c>
      <c r="J12919" t="inlineStr">
        <is>
          <t>Nông nghiệp</t>
        </is>
      </c>
      <c r="K12919" t="inlineStr">
        <is>
          <t>3 - 5 Năm</t>
        </is>
      </c>
      <c r="L12919" s="8">
        <f>HYPERLINK("https://careerviet.vn/vi/tim-viec-lam/truong-phong-cong-nghe-sinh-hoc.35C6945D.html","Xem chi tiết")</f>
        <v/>
      </c>
    </row>
    <row r="12920">
      <c r="B12920" s="9" t="n">
        <v>12918</v>
      </c>
      <c r="C12920" s="10" t="inlineStr">
        <is>
          <t>Trưởng phòng Kinh doanh Bia hơi</t>
        </is>
      </c>
      <c r="D12920" s="10" t="inlineStr">
        <is>
          <t>CÔNG TY CP BIA &amp; NGK HẠ LONG</t>
        </is>
      </c>
      <c r="E12920" s="10" t="inlineStr">
        <is>
          <t>Lương:30 Tr - 40 Tr VND</t>
        </is>
      </c>
      <c r="F12920" s="10" t="inlineStr">
        <is>
          <t>Hà Nội</t>
        </is>
      </c>
      <c r="G12920" s="10" t="inlineStr">
        <is>
          <t>28-03-2026</t>
        </is>
      </c>
      <c r="H12920" s="10" t="inlineStr">
        <is>
          <t>28/03/2026</t>
        </is>
      </c>
      <c r="I12920" s="10" t="inlineStr">
        <is>
          <t>17/03/2026</t>
        </is>
      </c>
      <c r="J12920" s="10" t="inlineStr">
        <is>
          <t>Bán hàng / Kinh doanh</t>
        </is>
      </c>
      <c r="K12920" s="10" t="inlineStr">
        <is>
          <t>3 - 5 Năm</t>
        </is>
      </c>
      <c r="L12920" s="11">
        <f>HYPERLINK("https://careerviet.vn/vi/tim-viec-lam/truong-phong-kinh-doanh-bia-hoi.35C69BBE.html","Xem chi tiết")</f>
        <v/>
      </c>
      <c r="M12920" s="10" t="n"/>
    </row>
    <row r="12921">
      <c r="B12921" s="7" t="n">
        <v>12919</v>
      </c>
      <c r="C12921" t="inlineStr">
        <is>
          <t>Nhân Viên Biên Tập</t>
        </is>
      </c>
      <c r="D12921" t="inlineStr">
        <is>
          <t>CÔNG TY TNHH THẨM MỸ QUỐC TẾ LINH ANH</t>
        </is>
      </c>
      <c r="E12921" t="inlineStr">
        <is>
          <t>Lương:12 Tr - 30 Tr VND</t>
        </is>
      </c>
      <c r="F12921" t="inlineStr">
        <is>
          <t>Hồ Chí Minh</t>
        </is>
      </c>
      <c r="G12921" t="inlineStr">
        <is>
          <t>11-04-2026</t>
        </is>
      </c>
      <c r="H12921" t="inlineStr">
        <is>
          <t>11/04/2026</t>
        </is>
      </c>
      <c r="I12921" t="inlineStr">
        <is>
          <t>17/03/2026</t>
        </is>
      </c>
      <c r="J12921" t="inlineStr">
        <is>
          <t>Truyền hình / Báo chí / Biên tập</t>
        </is>
      </c>
      <c r="K12921" t="inlineStr">
        <is>
          <t>1 - 5 Năm</t>
        </is>
      </c>
      <c r="L12921" s="8">
        <f>HYPERLINK("https://careerviet.vn/vi/tim-viec-lam/nhan-vien-bien-tap.35C69BE8.html","Xem chi tiết")</f>
        <v/>
      </c>
    </row>
    <row r="12922">
      <c r="B12922" s="9" t="n">
        <v>12920</v>
      </c>
      <c r="C12922" s="10" t="inlineStr">
        <is>
          <t>Nhân viên bảo trì cơ khí</t>
        </is>
      </c>
      <c r="D12922" s="10" t="inlineStr">
        <is>
          <t>Công ty cổ phần Nafoods Group</t>
        </is>
      </c>
      <c r="E12922" s="10" t="inlineStr">
        <is>
          <t>Lương:8 Tr - 12 Tr VND</t>
        </is>
      </c>
      <c r="F12922" s="10" t="inlineStr">
        <is>
          <t>Nghệ An</t>
        </is>
      </c>
      <c r="G12922" s="10" t="inlineStr">
        <is>
          <t>31-03-2026</t>
        </is>
      </c>
      <c r="H12922" s="10" t="inlineStr">
        <is>
          <t>31/03/2026</t>
        </is>
      </c>
      <c r="I12922" s="10" t="inlineStr">
        <is>
          <t>17/03/2026</t>
        </is>
      </c>
      <c r="J12922" s="10" t="inlineStr">
        <is>
          <t>Bảo trì / Sửa chữa</t>
        </is>
      </c>
      <c r="K12922" s="10" t="inlineStr">
        <is>
          <t>2 - 5 Năm</t>
        </is>
      </c>
      <c r="L12922" s="11">
        <f>HYPERLINK("https://careerviet.vn/vi/tim-viec-lam/nhan-vien-bao-tri-co-khi.35C6945B.html","Xem chi tiết")</f>
        <v/>
      </c>
      <c r="M12922" s="10" t="n"/>
    </row>
    <row r="12923">
      <c r="B12923" s="7" t="n">
        <v>12921</v>
      </c>
      <c r="C12923" t="inlineStr">
        <is>
          <t>Quản Đốc Sản Xuất (Nhà Máy Lắp Ráp Xe Máy Điện)</t>
        </is>
      </c>
      <c r="D12923" t="inlineStr">
        <is>
          <t>Công Ty TNHH XNK Phát Triển Đông Dương</t>
        </is>
      </c>
      <c r="E12923" t="inlineStr">
        <is>
          <t>Lương:Cạnh tranh</t>
        </is>
      </c>
      <c r="F12923" t="inlineStr">
        <is>
          <t>Long An</t>
        </is>
      </c>
      <c r="G12923" t="inlineStr">
        <is>
          <t>31-03-2026</t>
        </is>
      </c>
      <c r="H12923" t="inlineStr">
        <is>
          <t>31/03/2026</t>
        </is>
      </c>
      <c r="I12923" t="inlineStr">
        <is>
          <t>17/03/2026</t>
        </is>
      </c>
      <c r="J12923" t="inlineStr">
        <is>
          <t>Sản xuất / Vận hành sản xuất, Quản lý điều hành, Cơ khí / Ô tô / Tự động hóa</t>
        </is>
      </c>
      <c r="K12923" t="inlineStr">
        <is>
          <t>5 - 7 Năm</t>
        </is>
      </c>
      <c r="L12923" s="8">
        <f>HYPERLINK("https://careerviet.vn/vi/tim-viec-lam/quan-doc-san-xuat-nha-may-lap-rap-xe-may-dien.35C69BE3.html","Xem chi tiết")</f>
        <v/>
      </c>
    </row>
    <row r="12924">
      <c r="B12924" s="9" t="n">
        <v>12922</v>
      </c>
      <c r="C12924" s="10" t="inlineStr">
        <is>
          <t>Thực tập sinh Kinh doanh Quốc tế</t>
        </is>
      </c>
      <c r="D12924" s="10" t="inlineStr">
        <is>
          <t>Tập Đoàn Karofi Holding</t>
        </is>
      </c>
      <c r="E12924" s="10" t="inlineStr">
        <is>
          <t>Lương:Cạnh tranh</t>
        </is>
      </c>
      <c r="F12924" s="10" t="inlineStr">
        <is>
          <t>Hà Nội</t>
        </is>
      </c>
      <c r="G12924" s="10" t="inlineStr">
        <is>
          <t>28-03-2026</t>
        </is>
      </c>
      <c r="H12924" s="10" t="inlineStr">
        <is>
          <t>28/03/2026</t>
        </is>
      </c>
      <c r="I12924" s="10" t="inlineStr">
        <is>
          <t>17/03/2026</t>
        </is>
      </c>
      <c r="J12924" s="10" t="inlineStr">
        <is>
          <t>Ngành khác, Biên phiên dịch, Mới tốt nghiệp / Thực tập</t>
        </is>
      </c>
      <c r="K12924" s="10" t="inlineStr">
        <is>
          <t>N/A</t>
        </is>
      </c>
      <c r="L12924" s="11">
        <f>HYPERLINK("https://careerviet.vn/vi/tim-viec-lam/thuc-tap-sinh-kinh-doanh-quoc-te.35C69BA5.html","Xem chi tiết")</f>
        <v/>
      </c>
      <c r="M12924" s="10" t="n"/>
    </row>
    <row r="12925">
      <c r="B12925" s="7" t="n">
        <v>12923</v>
      </c>
      <c r="C12925" t="inlineStr">
        <is>
          <t>Công nhân Bảo trì điện</t>
        </is>
      </c>
      <c r="D12925" t="inlineStr">
        <is>
          <t>CÔNG TY CP BIA &amp; NGK HẠ LONG</t>
        </is>
      </c>
      <c r="E12925" t="inlineStr">
        <is>
          <t>Lương:9 Tr - 11 Tr VND</t>
        </is>
      </c>
      <c r="F12925" t="inlineStr">
        <is>
          <t>Quảng Ninh</t>
        </is>
      </c>
      <c r="G12925" t="inlineStr">
        <is>
          <t>28-03-2026</t>
        </is>
      </c>
      <c r="H12925" t="inlineStr">
        <is>
          <t>28/03/2026</t>
        </is>
      </c>
      <c r="I12925" t="inlineStr">
        <is>
          <t>17/03/2026</t>
        </is>
      </c>
      <c r="J12925" t="inlineStr">
        <is>
          <t>Bảo trì / Sửa chữa</t>
        </is>
      </c>
      <c r="K12925" t="inlineStr">
        <is>
          <t>1 - 2 Năm</t>
        </is>
      </c>
      <c r="L12925" s="8">
        <f>HYPERLINK("https://careerviet.vn/vi/tim-viec-lam/cong-nhan-bao-tri-dien.35C69BB2.html","Xem chi tiết")</f>
        <v/>
      </c>
    </row>
    <row r="12926">
      <c r="B12926" s="9" t="n">
        <v>12924</v>
      </c>
      <c r="C12926" s="10" t="inlineStr">
        <is>
          <t>Quản lý vùng kỹ thuật viễn thông</t>
        </is>
      </c>
      <c r="D12926" s="10" t="inlineStr">
        <is>
          <t>CÔNG TY CỔ PHẦN PHÁT TRIỂN VIỄN THÔNG VÀ TRUYỀN HÌNH VIỆT NAM</t>
        </is>
      </c>
      <c r="E12926" s="10" t="inlineStr">
        <is>
          <t>Lương:12 Tr - 18 Tr VND</t>
        </is>
      </c>
      <c r="F12926" s="10" t="inlineStr">
        <is>
          <t>Hà Nội</t>
        </is>
      </c>
      <c r="G12926" s="10" t="inlineStr">
        <is>
          <t>31-03-2026</t>
        </is>
      </c>
      <c r="H12926" s="10" t="inlineStr">
        <is>
          <t>31/03/2026</t>
        </is>
      </c>
      <c r="I12926" s="10" t="inlineStr">
        <is>
          <t>17/03/2026</t>
        </is>
      </c>
      <c r="J12926" s="10" t="inlineStr">
        <is>
          <t>Bưu chính viễn thông, Điện / Điện tử / Điện lạnh / Điện công nghiệp, CNTT - Phần cứng / Mạng</t>
        </is>
      </c>
      <c r="K12926" s="10" t="inlineStr">
        <is>
          <t>3 - 5 Năm</t>
        </is>
      </c>
      <c r="L12926" s="11">
        <f>HYPERLINK("https://careerviet.vn/vi/tim-viec-lam/quan-ly-vung-ky-thuat-vien-thong.35C69B2D.html","Xem chi tiết")</f>
        <v/>
      </c>
      <c r="M12926" s="10" t="n"/>
    </row>
    <row r="12927">
      <c r="B12927" s="7" t="n">
        <v>12925</v>
      </c>
      <c r="C12927" t="inlineStr">
        <is>
          <t>KIỂM TOÁN VIÊN</t>
        </is>
      </c>
      <c r="D12927" t="inlineStr">
        <is>
          <t>Công Ty Cổ Phần Tập Đoàn Đèo Cả</t>
        </is>
      </c>
      <c r="E12927" t="inlineStr">
        <is>
          <t>Lương:22 Tr - 35 Tr VND</t>
        </is>
      </c>
      <c r="F12927" t="inlineStr">
        <is>
          <t>Hà Nội</t>
        </is>
      </c>
      <c r="G12927" t="inlineStr">
        <is>
          <t>26-03-2026</t>
        </is>
      </c>
      <c r="H12927" t="inlineStr">
        <is>
          <t>26/03/2026</t>
        </is>
      </c>
      <c r="I12927" t="inlineStr">
        <is>
          <t>17/03/2026</t>
        </is>
      </c>
      <c r="J12927" t="inlineStr">
        <is>
          <t>Kế toán / Kiểm toán</t>
        </is>
      </c>
      <c r="K12927" t="inlineStr">
        <is>
          <t>Trên 2 Năm</t>
        </is>
      </c>
      <c r="L12927" s="8">
        <f>HYPERLINK("https://careerviet.vn/vi/tim-viec-lam/kiem-toan-vien.35C69B9C.html","Xem chi tiết")</f>
        <v/>
      </c>
    </row>
    <row r="12928">
      <c r="B12928" s="9" t="n">
        <v>12926</v>
      </c>
      <c r="C12928" s="10" t="inlineStr">
        <is>
          <t>Kỹ Sư Giám Sát Trắc Đạc (làm tại Hoàng Mai, HN)</t>
        </is>
      </c>
      <c r="D12928" s="10" t="inlineStr">
        <is>
          <t>Tập Đoàn Tân Á Đại Thành</t>
        </is>
      </c>
      <c r="E12928" s="10" t="inlineStr">
        <is>
          <t>Lương:Trên 25 Tr VND</t>
        </is>
      </c>
      <c r="F12928" s="10" t="inlineStr">
        <is>
          <t>Hà Nội</t>
        </is>
      </c>
      <c r="G12928" s="10" t="inlineStr">
        <is>
          <t>28-03-2026</t>
        </is>
      </c>
      <c r="H12928" s="10" t="inlineStr">
        <is>
          <t>28/03/2026</t>
        </is>
      </c>
      <c r="I12928" s="10" t="inlineStr">
        <is>
          <t>17/03/2026</t>
        </is>
      </c>
      <c r="J12928" s="10" t="inlineStr">
        <is>
          <t>Trắc địa / Địa Chất, Kiến trúc, Xây dựng</t>
        </is>
      </c>
      <c r="K12928" s="10" t="inlineStr">
        <is>
          <t>3 - 5 Năm</t>
        </is>
      </c>
      <c r="L12928" s="11">
        <f>HYPERLINK("https://careerviet.vn/vi/tim-viec-lam/ky-su-giam-sat-trac-dac-lam-tai-hoang-mai-hn.35C69B4D.html","Xem chi tiết")</f>
        <v/>
      </c>
      <c r="M12928" s="10" t="n"/>
    </row>
    <row r="12929">
      <c r="B12929" s="7" t="n">
        <v>12927</v>
      </c>
      <c r="C12929" t="inlineStr">
        <is>
          <t>Kế Toán Công Nợ</t>
        </is>
      </c>
      <c r="D12929" t="inlineStr">
        <is>
          <t>CÔNG TY CỔ PHẦN KẾT CẤU THÉP QH PLUS (QHPS)</t>
        </is>
      </c>
      <c r="E12929" t="inlineStr">
        <is>
          <t>Lương:15 Tr - 18 Tr VND</t>
        </is>
      </c>
      <c r="F12929" t="inlineStr">
        <is>
          <t>Hồ Chí Minh</t>
        </is>
      </c>
      <c r="G12929" t="inlineStr">
        <is>
          <t>31-03-2026</t>
        </is>
      </c>
      <c r="H12929" t="inlineStr">
        <is>
          <t>31/03/2026</t>
        </is>
      </c>
      <c r="I12929" t="inlineStr">
        <is>
          <t>17/03/2026</t>
        </is>
      </c>
      <c r="J12929" t="inlineStr">
        <is>
          <t>Kế toán / Kiểm toán</t>
        </is>
      </c>
      <c r="K12929" t="inlineStr">
        <is>
          <t>2 - 3 Năm</t>
        </is>
      </c>
      <c r="L12929" s="8">
        <f>HYPERLINK("https://careerviet.vn/vi/tim-viec-lam/ke-toan-cong-no.35C69BCB.html","Xem chi tiết")</f>
        <v/>
      </c>
    </row>
    <row r="12930">
      <c r="B12930" s="9" t="n">
        <v>12928</v>
      </c>
      <c r="C12930" s="10" t="inlineStr">
        <is>
          <t>Nhân Viên Kế Toán Kho (Phường Long Nguyên)</t>
        </is>
      </c>
      <c r="D12930" s="10" t="inlineStr">
        <is>
          <t>Công Ty Cổ Phần Quốc Tế Sơn Hà</t>
        </is>
      </c>
      <c r="E12930" s="10" t="inlineStr">
        <is>
          <t>Lương:Cạnh tranh</t>
        </is>
      </c>
      <c r="F12930" s="10" t="inlineStr">
        <is>
          <t>Bình Dương</t>
        </is>
      </c>
      <c r="G12930" s="10" t="inlineStr">
        <is>
          <t>28-03-2026</t>
        </is>
      </c>
      <c r="H12930" s="10" t="inlineStr">
        <is>
          <t>28/03/2026</t>
        </is>
      </c>
      <c r="I12930" s="10" t="inlineStr">
        <is>
          <t>17/03/2026</t>
        </is>
      </c>
      <c r="J12930" s="10" t="inlineStr">
        <is>
          <t>Kế toán / Kiểm toán, Vận chuyển / Giao nhận / Kho vận</t>
        </is>
      </c>
      <c r="K12930" s="10" t="inlineStr">
        <is>
          <t>1 - 2 Năm</t>
        </is>
      </c>
      <c r="L12930" s="11">
        <f>HYPERLINK("https://careerviet.vn/vi/tim-viec-lam/nhan-vien-ke-toan-kho-phuong-long-nguyen.35C69B51.html","Xem chi tiết")</f>
        <v/>
      </c>
      <c r="M12930" s="10" t="n"/>
    </row>
    <row r="12931">
      <c r="B12931" s="7" t="n">
        <v>12929</v>
      </c>
      <c r="C12931" t="inlineStr">
        <is>
          <t>Nhân Viên Content Marketing</t>
        </is>
      </c>
      <c r="D12931" t="inlineStr">
        <is>
          <t>CÔNG TY CỔ PHẦN TẬP ĐOÀN LUKLAK VIỆT NAM</t>
        </is>
      </c>
      <c r="E12931" t="inlineStr">
        <is>
          <t>Lương:9 Tr - 15 Tr VND</t>
        </is>
      </c>
      <c r="F12931" t="inlineStr">
        <is>
          <t>Hà Nội</t>
        </is>
      </c>
      <c r="G12931" t="inlineStr">
        <is>
          <t>26-03-2026</t>
        </is>
      </c>
      <c r="H12931" t="inlineStr">
        <is>
          <t>26/03/2026</t>
        </is>
      </c>
      <c r="I12931" t="inlineStr">
        <is>
          <t>17/03/2026</t>
        </is>
      </c>
      <c r="J12931" t="inlineStr">
        <is>
          <t>Quảng cáo / Đối ngoại / Truyền Thông, Tiếp thị / Marketing, Tiếp thị trực tuyến</t>
        </is>
      </c>
      <c r="K12931" t="inlineStr">
        <is>
          <t>2 - 3 Năm</t>
        </is>
      </c>
      <c r="L12931" s="8">
        <f>HYPERLINK("https://careerviet.vn/vi/tim-viec-lam/nhan-vien-content-marketing.35C69B29.html","Xem chi tiết")</f>
        <v/>
      </c>
    </row>
    <row r="12932">
      <c r="B12932" s="9" t="n">
        <v>12930</v>
      </c>
      <c r="C12932" s="10" t="inlineStr">
        <is>
          <t>Nhân Viên Tư Vấn Kênh Trả Góp_Hà Tĩnh</t>
        </is>
      </c>
      <c r="D12932" s="10" t="inlineStr">
        <is>
          <t>Công Ty Tài Chính TNHH Một Thành Viên Quốc Tế Việt Nam JACCS</t>
        </is>
      </c>
      <c r="E12932" s="10" t="inlineStr">
        <is>
          <t>Lương:5 Tr - 15 Tr VND</t>
        </is>
      </c>
      <c r="F12932" s="10" t="inlineStr">
        <is>
          <t>Hà Tĩnh</t>
        </is>
      </c>
      <c r="G12932" s="10" t="inlineStr">
        <is>
          <t>26-03-2026</t>
        </is>
      </c>
      <c r="H12932" s="10" t="inlineStr">
        <is>
          <t>26/03/2026</t>
        </is>
      </c>
      <c r="I12932" s="10" t="inlineStr">
        <is>
          <t>17/03/2026</t>
        </is>
      </c>
      <c r="J12932" s="10" t="inlineStr">
        <is>
          <t>Bán hàng / Kinh doanh, Tài chính / Đầu tư, Lao động phổ thông</t>
        </is>
      </c>
      <c r="K12932" s="10" t="inlineStr">
        <is>
          <t>N/A</t>
        </is>
      </c>
      <c r="L12932" s="11">
        <f>HYPERLINK("https://careerviet.vn/vi/tim-viec-lam/nhan-vien-tu-van-kenh-tra-gop_ha-tinh.35C6991C.html","Xem chi tiết")</f>
        <v/>
      </c>
      <c r="M12932" s="10" t="n"/>
    </row>
    <row r="12933">
      <c r="B12933" s="7" t="n">
        <v>12931</v>
      </c>
      <c r="C12933" t="inlineStr">
        <is>
          <t>Chuyên viên ERP (SAP 4HANA)</t>
        </is>
      </c>
      <c r="D12933" t="inlineStr">
        <is>
          <t>Tập Đoàn Lộc Trời</t>
        </is>
      </c>
      <c r="E12933" t="inlineStr">
        <is>
          <t>Lương:Cạnh tranh</t>
        </is>
      </c>
      <c r="F12933" t="inlineStr">
        <is>
          <t>Hồ Chí Minh</t>
        </is>
      </c>
      <c r="G12933" t="inlineStr">
        <is>
          <t>26-03-2026</t>
        </is>
      </c>
      <c r="H12933" t="inlineStr">
        <is>
          <t>26/03/2026</t>
        </is>
      </c>
      <c r="I12933" t="inlineStr">
        <is>
          <t>17/03/2026</t>
        </is>
      </c>
      <c r="J12933" t="inlineStr">
        <is>
          <t>Nông nghiệp, CNTT - Phần mềm, Sản xuất / Vận hành sản xuất</t>
        </is>
      </c>
      <c r="K12933" t="inlineStr">
        <is>
          <t>Trên 3 NămĐịa điểm</t>
        </is>
      </c>
      <c r="L12933" s="8">
        <f>HYPERLINK("https://careerviet.vn/vi/tim-viec-lam/chuyen-vien-erp-sap-4hana.35C69BA0.html","Xem chi tiết")</f>
        <v/>
      </c>
    </row>
    <row r="12934">
      <c r="B12934" s="9" t="n">
        <v>12932</v>
      </c>
      <c r="C12934" s="10" t="inlineStr">
        <is>
          <t>TRUCKING STAFF</t>
        </is>
      </c>
      <c r="D12934" s="10" t="inlineStr">
        <is>
          <t>CHI NHÁNH THÀNH PHỐ HỒ CHÍ MINH – CÔNG TY TNHH HỆ THỐNG CÔNG NGHỆ TIẾP VẬN KUKDONG</t>
        </is>
      </c>
      <c r="E12934" s="10" t="inlineStr">
        <is>
          <t>Lương:11 Tr - 14 Tr VND</t>
        </is>
      </c>
      <c r="F12934" s="10" t="inlineStr">
        <is>
          <t>Hồ Chí Minh</t>
        </is>
      </c>
      <c r="G12934" s="10" t="inlineStr">
        <is>
          <t>26-03-2026</t>
        </is>
      </c>
      <c r="H12934" s="10" t="inlineStr">
        <is>
          <t>26/03/2026</t>
        </is>
      </c>
      <c r="I12934" s="10" t="inlineStr">
        <is>
          <t>17/03/2026</t>
        </is>
      </c>
      <c r="J12934" s="10" t="inlineStr">
        <is>
          <t>Vận chuyển / Giao nhận / Kho vận, Xuất nhập khẩu</t>
        </is>
      </c>
      <c r="K12934" s="10" t="inlineStr">
        <is>
          <t>2 - 3 Năm</t>
        </is>
      </c>
      <c r="L12934" s="11">
        <f>HYPERLINK("https://careerviet.vn/vi/tim-viec-lam/trucking-staff.35C69B02.html","Xem chi tiết")</f>
        <v/>
      </c>
      <c r="M12934" s="10" t="n"/>
    </row>
    <row r="12935">
      <c r="B12935" s="7" t="n">
        <v>12933</v>
      </c>
      <c r="C12935" t="inlineStr">
        <is>
          <t>Giao Dịch Viên – Chi nhánh Thiên Long</t>
        </is>
      </c>
      <c r="D12935" t="inlineStr">
        <is>
          <t>Indovina Bank Ltd.</t>
        </is>
      </c>
      <c r="E12935" t="inlineStr">
        <is>
          <t>Lương:Cạnh tranh</t>
        </is>
      </c>
      <c r="F12935" t="inlineStr">
        <is>
          <t>Hà Nội</t>
        </is>
      </c>
      <c r="G12935" t="inlineStr">
        <is>
          <t>31-03-2026</t>
        </is>
      </c>
      <c r="H12935" t="inlineStr">
        <is>
          <t>31/03/2026</t>
        </is>
      </c>
      <c r="I12935" t="inlineStr">
        <is>
          <t>17/03/2026</t>
        </is>
      </c>
      <c r="J12935" t="inlineStr">
        <is>
          <t>Tư vấn, Dịch vụ khách hàng, Ngân hàng</t>
        </is>
      </c>
      <c r="K12935" t="inlineStr">
        <is>
          <t>1 - 2 Năm</t>
        </is>
      </c>
      <c r="L12935" s="8">
        <f>HYPERLINK("https://careerviet.vn/vi/tim-viec-lam/giao-dich-vien-chi-nhanh-thien-long.35C69B9B.html","Xem chi tiết")</f>
        <v/>
      </c>
    </row>
    <row r="12936">
      <c r="B12936" s="9" t="n">
        <v>12934</v>
      </c>
      <c r="C12936" s="10" t="inlineStr">
        <is>
          <t>KỸ THUẬT NHIỆT LẠNH (Pleiku-Gia Lai)</t>
        </is>
      </c>
      <c r="D12936" s="10" t="inlineStr">
        <is>
          <t>Công ty cổ phần Nafoods Group</t>
        </is>
      </c>
      <c r="E12936" s="10" t="inlineStr">
        <is>
          <t>Lương:Cạnh tranh</t>
        </is>
      </c>
      <c r="F12936" s="10" t="inlineStr">
        <is>
          <t>Gia Lai</t>
        </is>
      </c>
      <c r="G12936" s="10" t="inlineStr">
        <is>
          <t>30-04-2026</t>
        </is>
      </c>
      <c r="H12936" s="10" t="inlineStr">
        <is>
          <t>30/04/2026</t>
        </is>
      </c>
      <c r="I12936" s="10" t="inlineStr">
        <is>
          <t>17/03/2026</t>
        </is>
      </c>
      <c r="J12936" s="10" t="inlineStr">
        <is>
          <t>Điện / Điện tử / Điện lạnh / Điện công nghiệp</t>
        </is>
      </c>
      <c r="K12936" s="10" t="inlineStr">
        <is>
          <t>3 - 4 Năm</t>
        </is>
      </c>
      <c r="L12936" s="11">
        <f>HYPERLINK("https://careerviet.vn/vi/tim-viec-lam/ky-thuat-nhiet-lanh-pleiku-gia-lai.35C69B1C.html","Xem chi tiết")</f>
        <v/>
      </c>
      <c r="M12936" s="10" t="n"/>
    </row>
    <row r="12937">
      <c r="B12937" s="7" t="n">
        <v>12935</v>
      </c>
      <c r="C12937" t="inlineStr">
        <is>
          <t>Trợ lý văn phòng</t>
        </is>
      </c>
      <c r="D12937" t="inlineStr">
        <is>
          <t>CÔNG TY CỔ PHẦN PHÁT TRIỂN VIỄN THÔNG VÀ TRUYỀN HÌNH VIỆT NAM</t>
        </is>
      </c>
      <c r="E12937" t="inlineStr">
        <is>
          <t>Lương:8 Tr - 15 Tr VND</t>
        </is>
      </c>
      <c r="F12937" t="inlineStr">
        <is>
          <t>Hà Nội</t>
        </is>
      </c>
      <c r="G12937" t="inlineStr">
        <is>
          <t>31-03-2026</t>
        </is>
      </c>
      <c r="H12937" t="inlineStr">
        <is>
          <t>31/03/2026</t>
        </is>
      </c>
      <c r="I12937" t="inlineStr">
        <is>
          <t>17/03/2026</t>
        </is>
      </c>
      <c r="J12937" t="inlineStr">
        <is>
          <t>Hành chính / Thư ký, Nhân sự</t>
        </is>
      </c>
      <c r="K12937" t="inlineStr">
        <is>
          <t>2 - 3 Năm</t>
        </is>
      </c>
      <c r="L12937" s="8">
        <f>HYPERLINK("https://careerviet.vn/vi/tim-viec-lam/tro-ly-van-phong.35C69B34.html","Xem chi tiết")</f>
        <v/>
      </c>
    </row>
    <row r="12938">
      <c r="B12938" s="9" t="n">
        <v>12936</v>
      </c>
      <c r="C12938" s="10" t="inlineStr">
        <is>
          <t>Chuyên viên cao cấp Xử lý nợ Khách hàng cá nhân Thế chấp - QLTD - MSB - 3Y036</t>
        </is>
      </c>
      <c r="D12938" s="10" t="inlineStr">
        <is>
          <t>Ngân hàng Thương mại Cổ phần Hàng Hải Việt Nam (MSB)</t>
        </is>
      </c>
      <c r="E12938" s="10" t="inlineStr">
        <is>
          <t>Lương:16 Tr - 22 Tr VND</t>
        </is>
      </c>
      <c r="F12938" s="10" t="inlineStr">
        <is>
          <t>Hồ Chí MinhCần Thơ</t>
        </is>
      </c>
      <c r="G12938" s="10" t="inlineStr">
        <is>
          <t>26-03-2026</t>
        </is>
      </c>
      <c r="H12938" s="10" t="inlineStr">
        <is>
          <t>26/03/2026</t>
        </is>
      </c>
      <c r="I12938" s="10" t="inlineStr">
        <is>
          <t>17/03/2026</t>
        </is>
      </c>
      <c r="J12938" s="10" t="inlineStr">
        <is>
          <t>Ngân hàng</t>
        </is>
      </c>
      <c r="K12938" s="10" t="inlineStr">
        <is>
          <t>3 - 5 Năm</t>
        </is>
      </c>
      <c r="L12938" s="11">
        <f>HYPERLINK("https://careerviet.vn/vi/tim-viec-lam/chuyen-vien-cao-cap-xu-ly-no-khach-hang-ca-nhan-the-chap-qltd-msb-3y036.35C69B1D.html","Xem chi tiết")</f>
        <v/>
      </c>
      <c r="M12938" s="10" t="n"/>
    </row>
    <row r="12939">
      <c r="B12939" s="7" t="n">
        <v>12937</v>
      </c>
      <c r="C12939" t="inlineStr">
        <is>
          <t>[TUYỂN GẤP] CHỈ HUY PHÓ (NGÀNH NỘI THẤT)</t>
        </is>
      </c>
      <c r="D12939" t="inlineStr">
        <is>
          <t>CÔNG TY CỔ PHẦN SẢN XUẤT THƯƠNG MẠI XÂY DỰNG TRANG TRÍ NỘI THẤT G.S VIỆT NAM</t>
        </is>
      </c>
      <c r="E12939" t="inlineStr">
        <is>
          <t>Lương:Trên 20 Tr VND</t>
        </is>
      </c>
      <c r="F12939" t="inlineStr">
        <is>
          <t>Hồ Chí Minh</t>
        </is>
      </c>
      <c r="G12939" t="inlineStr">
        <is>
          <t>31-03-2026</t>
        </is>
      </c>
      <c r="H12939" t="inlineStr">
        <is>
          <t>31/03/2026</t>
        </is>
      </c>
      <c r="I12939" t="inlineStr">
        <is>
          <t>17/03/2026</t>
        </is>
      </c>
      <c r="J12939" t="inlineStr">
        <is>
          <t>Xây dựng, Nội ngoại thất, Đồ gỗ</t>
        </is>
      </c>
      <c r="K12939" t="inlineStr">
        <is>
          <t>2 - 5 Năm</t>
        </is>
      </c>
      <c r="L12939" s="8">
        <f>HYPERLINK("https://careerviet.vn/vi/tim-viec-lam/tuyen-gap-chi-huy-pho-nganh-noi-that.35C69AF4.html","Xem chi tiết")</f>
        <v/>
      </c>
    </row>
    <row r="12940">
      <c r="B12940" s="9" t="n">
        <v>12938</v>
      </c>
      <c r="C12940" s="10" t="inlineStr">
        <is>
          <t>Nhân viên Tuyển sinh [Xuân Lộc  - Đồng Nai]</t>
        </is>
      </c>
      <c r="D12940" s="10" t="inlineStr">
        <is>
          <t>Công Ty CP Liên Kết Quốc Tế INTERLINK (Trường Liên Kết Quốc Tế INschool &amp; Ngoại Ngữ Quốc Tế INS ENGLISH &amp; CHINESE)</t>
        </is>
      </c>
      <c r="E12940" s="10" t="inlineStr">
        <is>
          <t>Lương:7 Tr - 10 Tr VND</t>
        </is>
      </c>
      <c r="F12940" s="10" t="inlineStr">
        <is>
          <t>Đồng Nai</t>
        </is>
      </c>
      <c r="G12940" s="10" t="inlineStr">
        <is>
          <t>11-04-2026</t>
        </is>
      </c>
      <c r="H12940" s="10" t="inlineStr">
        <is>
          <t>11/04/2026</t>
        </is>
      </c>
      <c r="I12940" s="10" t="inlineStr">
        <is>
          <t>17/03/2026</t>
        </is>
      </c>
      <c r="J12940" s="10" t="inlineStr">
        <is>
          <t>Bán hàng / Kinh doanh, Giáo dục / Đào tạo</t>
        </is>
      </c>
      <c r="K12940" s="10" t="inlineStr">
        <is>
          <t>Chưa có kinh nghiệm</t>
        </is>
      </c>
      <c r="L12940" s="11">
        <f>HYPERLINK("https://careerviet.vn/vi/tim-viec-lam/nhan-vien-tuyen-sinh-xuan-loc-dong-nai.35C6C23D.html","Xem chi tiết")</f>
        <v/>
      </c>
      <c r="M12940" s="10" t="n"/>
    </row>
    <row r="12941">
      <c r="B12941" s="7" t="n">
        <v>12939</v>
      </c>
      <c r="C12941" t="inlineStr">
        <is>
          <t>Nhân Viên Hành Chính</t>
        </is>
      </c>
      <c r="D12941" t="inlineStr">
        <is>
          <t>Công ty TNHH Khải Minh Group</t>
        </is>
      </c>
      <c r="E12941" t="inlineStr">
        <is>
          <t>Lương:9 Tr - 12 Tr VND</t>
        </is>
      </c>
      <c r="F12941" t="inlineStr">
        <is>
          <t>Hà Nội</t>
        </is>
      </c>
      <c r="G12941" t="inlineStr">
        <is>
          <t>11-03-2026</t>
        </is>
      </c>
      <c r="H12941" t="inlineStr">
        <is>
          <t>28/02/2026</t>
        </is>
      </c>
      <c r="I12941" t="inlineStr">
        <is>
          <t>17/03/2026</t>
        </is>
      </c>
      <c r="J12941" t="inlineStr">
        <is>
          <t>Dịch vụ khách hàng, Hành chính / Thư ký, Vận chuyển / Giao nhận / Kho vận</t>
        </is>
      </c>
      <c r="K12941" t="inlineStr">
        <is>
          <t>N/A</t>
        </is>
      </c>
      <c r="L12941" s="8">
        <f>HYPERLINK("https://careerviet.vn/vi/tim-viec-lam/nhan-vien-hanh-chinh.35C69161.html","Xem chi tiết")</f>
        <v/>
      </c>
    </row>
    <row r="12942">
      <c r="B12942" s="9" t="n">
        <v>12940</v>
      </c>
      <c r="C12942" s="10" t="inlineStr">
        <is>
          <t>Accountant Payable Officer</t>
        </is>
      </c>
      <c r="D12942" s="10" t="inlineStr">
        <is>
          <t>Công Ty TNHH Dự Án Hồ Tràm</t>
        </is>
      </c>
      <c r="E12942" s="10" t="inlineStr">
        <is>
          <t>Lương:Cạnh tranh</t>
        </is>
      </c>
      <c r="F12942" s="10" t="inlineStr">
        <is>
          <t>Hồ Chí Minh</t>
        </is>
      </c>
      <c r="G12942" s="10" t="inlineStr">
        <is>
          <t>28-03-2026</t>
        </is>
      </c>
      <c r="H12942" s="10" t="inlineStr">
        <is>
          <t>28/03/2026</t>
        </is>
      </c>
      <c r="I12942" s="10" t="inlineStr">
        <is>
          <t>17/03/2026</t>
        </is>
      </c>
      <c r="J12942" s="10" t="inlineStr">
        <is>
          <t>Kế toán / Kiểm toán</t>
        </is>
      </c>
      <c r="K12942" s="10" t="inlineStr">
        <is>
          <t>2 - 3 Năm</t>
        </is>
      </c>
      <c r="L12942" s="11">
        <f>HYPERLINK("https://careerviet.vn/vi/tim-viec-lam/accountant-payable-officer.35C699C6.html","Xem chi tiết")</f>
        <v/>
      </c>
      <c r="M12942" s="10" t="n"/>
    </row>
    <row r="12943">
      <c r="B12943" s="7" t="n">
        <v>12941</v>
      </c>
      <c r="C12943" t="inlineStr">
        <is>
          <t>Admin Điều Phối (Mảng Thi Công - Xây Dựng)</t>
        </is>
      </c>
      <c r="D12943" t="inlineStr">
        <is>
          <t>Công Ty TNHH Tập Đoàn Rita Võ</t>
        </is>
      </c>
      <c r="E12943" t="inlineStr">
        <is>
          <t>Lương:10 Tr - 15 Tr VND</t>
        </is>
      </c>
      <c r="F12943" t="inlineStr">
        <is>
          <t>Hồ Chí Minh</t>
        </is>
      </c>
      <c r="G12943" t="inlineStr">
        <is>
          <t>27-03-2026</t>
        </is>
      </c>
      <c r="H12943" t="inlineStr">
        <is>
          <t>27/03/2026</t>
        </is>
      </c>
      <c r="I12943" t="inlineStr">
        <is>
          <t>17/03/2026</t>
        </is>
      </c>
      <c r="J12943" t="inlineStr">
        <is>
          <t>Hành chính / Thư ký</t>
        </is>
      </c>
      <c r="K12943" t="inlineStr">
        <is>
          <t>2 - 3 Năm</t>
        </is>
      </c>
      <c r="L12943" s="8">
        <f>HYPERLINK("https://careerviet.vn/vi/tim-viec-lam/admin-dieu-phoi-mang-thi-cong-xay-dung.35C69AE3.html","Xem chi tiết")</f>
        <v/>
      </c>
    </row>
    <row r="12944">
      <c r="B12944" s="9" t="n">
        <v>12942</v>
      </c>
      <c r="C12944" s="10" t="inlineStr">
        <is>
          <t>Phó phòng Hành chính nhân sự</t>
        </is>
      </c>
      <c r="D12944" s="10" t="inlineStr">
        <is>
          <t>Công ty TNHH X.E Việt Nam</t>
        </is>
      </c>
      <c r="E12944" s="10" t="inlineStr">
        <is>
          <t>Lương:18 Tr - 25 Tr VND</t>
        </is>
      </c>
      <c r="F12944" s="10" t="inlineStr">
        <is>
          <t>Hà Nội</t>
        </is>
      </c>
      <c r="G12944" s="10" t="inlineStr">
        <is>
          <t>26-03-2026</t>
        </is>
      </c>
      <c r="H12944" s="10" t="inlineStr">
        <is>
          <t>26/03/2026</t>
        </is>
      </c>
      <c r="I12944" s="10" t="inlineStr">
        <is>
          <t>17/03/2026</t>
        </is>
      </c>
      <c r="J12944" s="10" t="inlineStr">
        <is>
          <t>Nhân sự, Vận chuyển / Giao nhận / Kho vận</t>
        </is>
      </c>
      <c r="K12944" s="10" t="inlineStr">
        <is>
          <t>3 - 5 Năm</t>
        </is>
      </c>
      <c r="L12944" s="11">
        <f>HYPERLINK("https://careerviet.vn/vi/tim-viec-lam/pho-pho-ng-ha-nh-chi-nh-nhan-su.35C69982.html","Xem chi tiết")</f>
        <v/>
      </c>
      <c r="M12944" s="10" t="n"/>
    </row>
    <row r="12945">
      <c r="B12945" s="7" t="n">
        <v>12943</v>
      </c>
      <c r="C12945" t="inlineStr">
        <is>
          <t>GIÁM SÁT CƠ ĐIỆN (MEP)</t>
        </is>
      </c>
      <c r="D12945" t="inlineStr">
        <is>
          <t>CÔNG TY CỔ PHẦN ĐẦU TƯ XÂY DỰNG HÀ TIÊN</t>
        </is>
      </c>
      <c r="E12945" t="inlineStr">
        <is>
          <t>Lương:12 Tr - 18 Tr VND</t>
        </is>
      </c>
      <c r="F12945" t="inlineStr">
        <is>
          <t>Hồ Chí Minh</t>
        </is>
      </c>
      <c r="G12945" t="inlineStr">
        <is>
          <t>31-03-2026</t>
        </is>
      </c>
      <c r="H12945" t="inlineStr">
        <is>
          <t>31/03/2026</t>
        </is>
      </c>
      <c r="I12945" t="inlineStr">
        <is>
          <t>17/03/2026</t>
        </is>
      </c>
      <c r="J12945" t="inlineStr">
        <is>
          <t>Xây dựng, Bất động sản, Điện / Điện tử / Điện lạnh / Điện công nghiệp</t>
        </is>
      </c>
      <c r="K12945" t="inlineStr">
        <is>
          <t>1 - 3 Năm</t>
        </is>
      </c>
      <c r="L12945" s="8">
        <f>HYPERLINK("https://careerviet.vn/vi/tim-viec-lam/giam-sat-co-dien-mep.35C699F4.html","Xem chi tiết")</f>
        <v/>
      </c>
    </row>
    <row r="12946">
      <c r="B12946" s="9" t="n">
        <v>12944</v>
      </c>
      <c r="C12946" s="10" t="inlineStr">
        <is>
          <t>Công Nhân Kho</t>
        </is>
      </c>
      <c r="D12946" s="10" t="inlineStr">
        <is>
          <t>AkzoNobel Vietnam</t>
        </is>
      </c>
      <c r="E12946" s="10" t="inlineStr">
        <is>
          <t>Lương:Cạnh tranh</t>
        </is>
      </c>
      <c r="F12946" s="10" t="inlineStr">
        <is>
          <t>Đồng Nai</t>
        </is>
      </c>
      <c r="G12946" s="10" t="inlineStr">
        <is>
          <t>31-03-2026</t>
        </is>
      </c>
      <c r="H12946" s="10" t="inlineStr">
        <is>
          <t>31/03/2026</t>
        </is>
      </c>
      <c r="I12946" s="10" t="inlineStr">
        <is>
          <t>17/03/2026</t>
        </is>
      </c>
      <c r="J12946" s="10" t="inlineStr">
        <is>
          <t>Vận chuyển / Giao nhận / Kho vận, Sản xuất / Vận hành sản xuất, Lao động phổ thông</t>
        </is>
      </c>
      <c r="K12946" s="10" t="inlineStr">
        <is>
          <t>1 - 2 Năm</t>
        </is>
      </c>
      <c r="L12946" s="11">
        <f>HYPERLINK("https://careerviet.vn/vi/tim-viec-lam/cong-nhan-kho.35C69AD9.html","Xem chi tiết")</f>
        <v/>
      </c>
      <c r="M12946" s="10" t="n"/>
    </row>
    <row r="12947">
      <c r="B12947" s="7" t="n">
        <v>12945</v>
      </c>
      <c r="C12947" t="inlineStr">
        <is>
          <t>Nhân viên Thiết kế Đường</t>
        </is>
      </c>
      <c r="D12947" t="inlineStr">
        <is>
          <t>Công Ty Cổ Phần Tập Đoàn Đèo Cả</t>
        </is>
      </c>
      <c r="E12947" t="inlineStr">
        <is>
          <t>Lương:10 Tr - 16 Tr VND</t>
        </is>
      </c>
      <c r="F12947" t="inlineStr">
        <is>
          <t>Hồ Chí Minh</t>
        </is>
      </c>
      <c r="G12947" t="inlineStr">
        <is>
          <t>30-04-2026</t>
        </is>
      </c>
      <c r="H12947" t="inlineStr">
        <is>
          <t>30/04/2026</t>
        </is>
      </c>
      <c r="I12947" t="inlineStr">
        <is>
          <t>17/03/2026</t>
        </is>
      </c>
      <c r="J12947" t="inlineStr">
        <is>
          <t>Xây dựng, Kiến trúc</t>
        </is>
      </c>
      <c r="K12947" t="inlineStr">
        <is>
          <t>Trên 1 Năm</t>
        </is>
      </c>
      <c r="L12947" s="8">
        <f>HYPERLINK("https://careerviet.vn/vi/tim-viec-lam/nhan-vien-thiet-ke-duong.35C69AA0.html","Xem chi tiết")</f>
        <v/>
      </c>
    </row>
    <row r="12948">
      <c r="B12948" s="9" t="n">
        <v>12946</v>
      </c>
      <c r="C12948" s="10" t="inlineStr">
        <is>
          <t>NHÂN VIÊN KỸ THUẬT ĐIỆN NƯỚC</t>
        </is>
      </c>
      <c r="D12948" s="10" t="inlineStr">
        <is>
          <t>CÔNG TY CỔ PHẦN CẢNG TÀU KHÁCH QUỐC TẾ TUẦN CHÂU</t>
        </is>
      </c>
      <c r="E12948" s="10" t="inlineStr">
        <is>
          <t>Lương:Cạnh tranh</t>
        </is>
      </c>
      <c r="F12948" s="10" t="inlineStr">
        <is>
          <t>Quảng Ninh</t>
        </is>
      </c>
      <c r="G12948" s="10" t="inlineStr">
        <is>
          <t>28-03-2026</t>
        </is>
      </c>
      <c r="H12948" s="10" t="inlineStr">
        <is>
          <t>28/03/2026</t>
        </is>
      </c>
      <c r="I12948" s="10" t="inlineStr">
        <is>
          <t>17/03/2026</t>
        </is>
      </c>
      <c r="J12948" s="10" t="inlineStr">
        <is>
          <t>Bảo trì / Sửa chữa</t>
        </is>
      </c>
      <c r="K12948" s="10" t="inlineStr">
        <is>
          <t>Trên 2 Năm</t>
        </is>
      </c>
      <c r="L12948" s="11">
        <f>HYPERLINK("https://careerviet.vn/vi/tim-viec-lam/nhan-vien-ky-thuat-dien-nuoc.35C69AE1.html","Xem chi tiết")</f>
        <v/>
      </c>
      <c r="M12948" s="10" t="n"/>
    </row>
    <row r="12949">
      <c r="B12949" s="7" t="n">
        <v>12947</v>
      </c>
      <c r="C12949" t="inlineStr">
        <is>
          <t>Chuyên viên phân tích nghiệp vụ (BA)</t>
        </is>
      </c>
      <c r="D12949" t="inlineStr">
        <is>
          <t>Công Ty Cổ Phần Tập Đoàn Sunshine</t>
        </is>
      </c>
      <c r="E12949" t="inlineStr">
        <is>
          <t>Lương:15 Tr - 25 Tr VND</t>
        </is>
      </c>
      <c r="F12949" t="inlineStr">
        <is>
          <t>Hà Nội</t>
        </is>
      </c>
      <c r="G12949" t="inlineStr">
        <is>
          <t>30-03-2026</t>
        </is>
      </c>
      <c r="H12949" t="inlineStr">
        <is>
          <t>30/03/2026</t>
        </is>
      </c>
      <c r="I12949" t="inlineStr">
        <is>
          <t>17/03/2026</t>
        </is>
      </c>
      <c r="J12949" t="inlineStr">
        <is>
          <t>CNTT - Phần mềm</t>
        </is>
      </c>
      <c r="K12949" t="inlineStr">
        <is>
          <t>1 - 3 Năm</t>
        </is>
      </c>
      <c r="L12949" s="8">
        <f>HYPERLINK("https://careerviet.vn/vi/tim-viec-lam/chuyen-vien-phan-tich-nghiep-vu-ba.35C69AE9.html","Xem chi tiết")</f>
        <v/>
      </c>
    </row>
    <row r="12950">
      <c r="B12950" s="9" t="n">
        <v>12948</v>
      </c>
      <c r="C12950" s="10" t="inlineStr">
        <is>
          <t>CHUYÊN VIÊN TRUYỀN THÔNG - MARKETING</t>
        </is>
      </c>
      <c r="D12950" s="10" t="inlineStr">
        <is>
          <t>VDSC - Công ty CP Chứng khoán Rồng Việt</t>
        </is>
      </c>
      <c r="E12950" s="10" t="inlineStr">
        <is>
          <t>Lương:11 Tr - 16 Tr VND</t>
        </is>
      </c>
      <c r="F12950" s="10" t="inlineStr">
        <is>
          <t>Hồ Chí Minh</t>
        </is>
      </c>
      <c r="G12950" s="10" t="inlineStr">
        <is>
          <t>24-04-2026</t>
        </is>
      </c>
      <c r="H12950" s="10" t="inlineStr">
        <is>
          <t>24/04/2026</t>
        </is>
      </c>
      <c r="I12950" s="10" t="inlineStr">
        <is>
          <t>17/03/2026</t>
        </is>
      </c>
      <c r="J12950" s="10" t="inlineStr">
        <is>
          <t>Tiếp thị / Marketing, Quảng cáo / Đối ngoại / Truyền Thông, Truyền hình / Báo chí / Biên tập</t>
        </is>
      </c>
      <c r="K12950" s="10" t="inlineStr">
        <is>
          <t>1 - 2 Năm</t>
        </is>
      </c>
      <c r="L12950" s="11">
        <f>HYPERLINK("https://careerviet.vn/vi/tim-viec-lam/chuyen-vien-truyen-thong-marketing.35C6C23A.html","Xem chi tiết")</f>
        <v/>
      </c>
      <c r="M12950" s="10" t="n"/>
    </row>
    <row r="12951">
      <c r="B12951" s="7" t="n">
        <v>12949</v>
      </c>
      <c r="C12951" t="inlineStr">
        <is>
          <t>Chuyên viên/Chuyên viên chính/Chuyên viên cao cấp Marketing</t>
        </is>
      </c>
      <c r="D12951" t="inlineStr">
        <is>
          <t>Ngân Hàng TMCP Tiên Phong (TPBank)</t>
        </is>
      </c>
      <c r="E12951" t="inlineStr">
        <is>
          <t>Lương:Cạnh tranh</t>
        </is>
      </c>
      <c r="F12951" t="inlineStr">
        <is>
          <t>Hà Nội</t>
        </is>
      </c>
      <c r="G12951" t="inlineStr">
        <is>
          <t>11-03-2026</t>
        </is>
      </c>
      <c r="H12951" t="inlineStr">
        <is>
          <t>27/02/2026</t>
        </is>
      </c>
      <c r="I12951" t="inlineStr">
        <is>
          <t>17/03/2026</t>
        </is>
      </c>
      <c r="J12951" t="inlineStr">
        <is>
          <t>Bán lẻ / Bán sỉ, Bán hàng / Kinh doanh, Giải trí</t>
        </is>
      </c>
      <c r="K12951" t="inlineStr">
        <is>
          <t>3 - 5 Năm</t>
        </is>
      </c>
      <c r="L12951" s="8">
        <f>HYPERLINK("https://careerviet.vn/vi/tim-viec-lam/chuyen-vien-chuyen-vien-chinh-chuyen-vien-cao-cap-marketing.35C69B89.html","Xem chi tiết")</f>
        <v/>
      </c>
    </row>
    <row r="12952">
      <c r="B12952" s="9" t="n">
        <v>12950</v>
      </c>
      <c r="C12952" s="10" t="inlineStr">
        <is>
          <t>CHUYÊN VIÊN QUAY DỰNG/ VIDEO EDITOR - QUẬN 7</t>
        </is>
      </c>
      <c r="D12952" s="10" t="inlineStr">
        <is>
          <t>Công Ty Cổ Phần Tầm Nhìn Quốc Tế Aladdin</t>
        </is>
      </c>
      <c r="E12952" s="10" t="inlineStr">
        <is>
          <t>Lương:Cạnh tranh</t>
        </is>
      </c>
      <c r="F12952" s="10" t="inlineStr">
        <is>
          <t>Hồ Chí Minh</t>
        </is>
      </c>
      <c r="G12952" s="10" t="inlineStr">
        <is>
          <t>26-03-2026</t>
        </is>
      </c>
      <c r="H12952" s="10" t="inlineStr">
        <is>
          <t>26/03/2026</t>
        </is>
      </c>
      <c r="I12952" s="10" t="inlineStr">
        <is>
          <t>17/03/2026</t>
        </is>
      </c>
      <c r="J12952" s="10" t="inlineStr">
        <is>
          <t>Tiếp thị / Marketing, Nhà hàng / Khách sạn, Quảng cáo / Đối ngoại / Truyền Thông</t>
        </is>
      </c>
      <c r="K12952" s="10" t="inlineStr">
        <is>
          <t>3 - 5 Năm</t>
        </is>
      </c>
      <c r="L12952" s="11">
        <f>HYPERLINK("https://careerviet.vn/vi/tim-viec-lam/chuyen-vien-quay-dung-video-editor-quan-7.35C69B7F.html","Xem chi tiết")</f>
        <v/>
      </c>
      <c r="M12952" s="10" t="n"/>
    </row>
    <row r="12953">
      <c r="B12953" s="7" t="n">
        <v>12951</v>
      </c>
      <c r="C12953" t="inlineStr">
        <is>
          <t>Nhân Viên Tư Vấn Kênh Trả Góp_Bình Dương</t>
        </is>
      </c>
      <c r="D12953" t="inlineStr">
        <is>
          <t>Công Ty Tài Chính TNHH Một Thành Viên Quốc Tế Việt Nam JACCS</t>
        </is>
      </c>
      <c r="E12953" t="inlineStr">
        <is>
          <t>Lương:5 Tr - 15 Tr VND</t>
        </is>
      </c>
      <c r="F12953" t="inlineStr">
        <is>
          <t>Bình Dương</t>
        </is>
      </c>
      <c r="G12953" t="inlineStr">
        <is>
          <t>26-03-2026</t>
        </is>
      </c>
      <c r="H12953" t="inlineStr">
        <is>
          <t>26/03/2026</t>
        </is>
      </c>
      <c r="I12953" t="inlineStr">
        <is>
          <t>17/03/2026</t>
        </is>
      </c>
      <c r="J12953" t="inlineStr">
        <is>
          <t>Bán hàng / Kinh doanh, Tài chính / Đầu tư, Lao động phổ thông</t>
        </is>
      </c>
      <c r="K12953" t="inlineStr">
        <is>
          <t>N/A</t>
        </is>
      </c>
      <c r="L12953" s="8">
        <f>HYPERLINK("https://careerviet.vn/vi/tim-viec-lam/nhan-vien-tu-van-kenh-tra-gop_binh-duong.35C6993D.html","Xem chi tiết")</f>
        <v/>
      </c>
    </row>
    <row r="12954">
      <c r="B12954" s="9" t="n">
        <v>12952</v>
      </c>
      <c r="C12954" s="10" t="inlineStr">
        <is>
          <t>Demand Planning Senior Specialist</t>
        </is>
      </c>
      <c r="D12954" s="10" t="inlineStr">
        <is>
          <t>BETRIMEX - Công Ty Cổ Phần Xuất Nhập Khẩu Bến Tre</t>
        </is>
      </c>
      <c r="E12954" s="10" t="inlineStr">
        <is>
          <t>Lương:Cạnh tranh</t>
        </is>
      </c>
      <c r="F12954" s="10" t="inlineStr">
        <is>
          <t>Hồ Chí Minh</t>
        </is>
      </c>
      <c r="G12954" s="10" t="inlineStr">
        <is>
          <t>31-03-2026</t>
        </is>
      </c>
      <c r="H12954" s="10" t="inlineStr">
        <is>
          <t>31/03/2026</t>
        </is>
      </c>
      <c r="I12954" s="10" t="inlineStr">
        <is>
          <t>17/03/2026</t>
        </is>
      </c>
      <c r="J12954" s="10" t="inlineStr">
        <is>
          <t>Xuất nhập khẩu, Vận chuyển / Giao nhận / Kho vận</t>
        </is>
      </c>
      <c r="K12954" s="10" t="inlineStr">
        <is>
          <t>3 - 4 Năm</t>
        </is>
      </c>
      <c r="L12954" s="11">
        <f>HYPERLINK("https://careerviet.vn/vi/tim-viec-lam/demand-planning-senior-specialist.35C69977.html","Xem chi tiết")</f>
        <v/>
      </c>
      <c r="M12954" s="10" t="n"/>
    </row>
    <row r="12955">
      <c r="B12955" s="7" t="n">
        <v>12953</v>
      </c>
      <c r="C12955" t="inlineStr">
        <is>
          <t>Regional Sales Manager Pharmacy</t>
        </is>
      </c>
      <c r="D12955" t="inlineStr">
        <is>
          <t>VPĐD HETERO LABS LIMITED TẠI TP.HCM</t>
        </is>
      </c>
      <c r="E12955" t="inlineStr">
        <is>
          <t>Lương:Cạnh tranh</t>
        </is>
      </c>
      <c r="F12955" t="inlineStr">
        <is>
          <t>Hồ Chí Minh</t>
        </is>
      </c>
      <c r="G12955" t="inlineStr">
        <is>
          <t>15-04-2026</t>
        </is>
      </c>
      <c r="H12955" t="inlineStr">
        <is>
          <t>15/04/2026</t>
        </is>
      </c>
      <c r="I12955" t="inlineStr">
        <is>
          <t>17/03/2026</t>
        </is>
      </c>
      <c r="J12955" t="inlineStr">
        <is>
          <t>Dược phẩm/ Hóa Mỹ Phẩm</t>
        </is>
      </c>
      <c r="K12955" t="inlineStr">
        <is>
          <t>Trên 5 Năm</t>
        </is>
      </c>
      <c r="L12955" s="8">
        <f>HYPERLINK("https://careerviet.vn/vi/tim-viec-lam/regional-sales-manager-pharmacy.35C6C232.html","Xem chi tiết")</f>
        <v/>
      </c>
    </row>
    <row r="12956">
      <c r="B12956" s="9" t="n">
        <v>12954</v>
      </c>
      <c r="C12956" s="10" t="inlineStr">
        <is>
          <t>Nhân viên Tuyển sinh [Phú Mỹ - Bà Rịa Vũng Tàu]</t>
        </is>
      </c>
      <c r="D12956" s="10" t="inlineStr">
        <is>
          <t>Công Ty CP Liên Kết Quốc Tế INTERLINK (Trường Liên Kết Quốc Tế INschool &amp; Ngoại Ngữ Quốc Tế INS ENGLISH &amp; CHINESE)</t>
        </is>
      </c>
      <c r="E12956" s="10" t="inlineStr">
        <is>
          <t>Lương:7 Tr - 10 Tr VND</t>
        </is>
      </c>
      <c r="F12956" s="10" t="inlineStr">
        <is>
          <t>Bà Rịa - Vũng Tàu</t>
        </is>
      </c>
      <c r="G12956" s="10" t="inlineStr">
        <is>
          <t>11-04-2026</t>
        </is>
      </c>
      <c r="H12956" s="10" t="inlineStr">
        <is>
          <t>11/04/2026</t>
        </is>
      </c>
      <c r="I12956" s="10" t="inlineStr">
        <is>
          <t>17/03/2026</t>
        </is>
      </c>
      <c r="J12956" s="10" t="inlineStr">
        <is>
          <t>Bán hàng / Kinh doanh, Giáo dục / Đào tạo</t>
        </is>
      </c>
      <c r="K12956" s="10" t="inlineStr">
        <is>
          <t>Chưa có kinh nghiệm</t>
        </is>
      </c>
      <c r="L12956" s="11">
        <f>HYPERLINK("https://careerviet.vn/vi/tim-viec-lam/nhan-vien-tuyen-sinh-phu-my-ba-ria-vung-tau.35C6C238.html","Xem chi tiết")</f>
        <v/>
      </c>
      <c r="M12956" s="10" t="n"/>
    </row>
    <row r="12957">
      <c r="B12957" s="7" t="n">
        <v>12955</v>
      </c>
      <c r="C12957" t="inlineStr">
        <is>
          <t>Nhân viên Tuyển sinh [Nhơn Trạch  - Đồng Nai]</t>
        </is>
      </c>
      <c r="D12957" t="inlineStr">
        <is>
          <t>Công Ty CP Liên Kết Quốc Tế INTERLINK (Trường Liên Kết Quốc Tế INschool &amp; Ngoại Ngữ Quốc Tế INS ENGLISH &amp; CHINESE)</t>
        </is>
      </c>
      <c r="E12957" t="inlineStr">
        <is>
          <t>Lương:7 Tr - 10 Tr VND</t>
        </is>
      </c>
      <c r="F12957" t="inlineStr">
        <is>
          <t>Đồng Nai</t>
        </is>
      </c>
      <c r="G12957" t="inlineStr">
        <is>
          <t>11-04-2026</t>
        </is>
      </c>
      <c r="H12957" t="inlineStr">
        <is>
          <t>11/04/2026</t>
        </is>
      </c>
      <c r="I12957" t="inlineStr">
        <is>
          <t>17/03/2026</t>
        </is>
      </c>
      <c r="J12957" t="inlineStr">
        <is>
          <t>Bán hàng / Kinh doanh, Giáo dục / Đào tạo</t>
        </is>
      </c>
      <c r="K12957" t="inlineStr">
        <is>
          <t>Chưa có kinh nghiệm</t>
        </is>
      </c>
      <c r="L12957" s="8">
        <f>HYPERLINK("https://careerviet.vn/vi/tim-viec-lam/nhan-vien-tuyen-sinh-nhon-trach-dong-nai.35C6C23C.html","Xem chi tiết")</f>
        <v/>
      </c>
    </row>
    <row r="12958">
      <c r="B12958" s="9" t="n">
        <v>12956</v>
      </c>
      <c r="C12958" s="10" t="inlineStr">
        <is>
          <t>Nhân viên Tuyển sinh [Phước Hưng - Bà Rịa Vũng Tàu]</t>
        </is>
      </c>
      <c r="D12958" s="10" t="inlineStr">
        <is>
          <t>Công Ty CP Liên Kết Quốc Tế INTERLINK (Trường Liên Kết Quốc Tế INschool &amp; Ngoại Ngữ Quốc Tế INS ENGLISH &amp; CHINESE)</t>
        </is>
      </c>
      <c r="E12958" s="10" t="inlineStr">
        <is>
          <t>Lương:7 Tr - 10 Tr VND</t>
        </is>
      </c>
      <c r="F12958" s="10" t="inlineStr">
        <is>
          <t>Bà Rịa - Vũng Tàu</t>
        </is>
      </c>
      <c r="G12958" s="10" t="inlineStr">
        <is>
          <t>11-04-2026</t>
        </is>
      </c>
      <c r="H12958" s="10" t="inlineStr">
        <is>
          <t>11/04/2026</t>
        </is>
      </c>
      <c r="I12958" s="10" t="inlineStr">
        <is>
          <t>17/03/2026</t>
        </is>
      </c>
      <c r="J12958" s="10" t="inlineStr">
        <is>
          <t>Bán hàng / Kinh doanh, Giáo dục / Đào tạo</t>
        </is>
      </c>
      <c r="K12958" s="10" t="inlineStr">
        <is>
          <t>Chưa có kinh nghiệm</t>
        </is>
      </c>
      <c r="L12958" s="11">
        <f>HYPERLINK("https://careerviet.vn/vi/tim-viec-lam/nhan-vien-tuyen-sinh-phuoc-hung-ba-ria-vung-tau.35C6C237.html","Xem chi tiết")</f>
        <v/>
      </c>
      <c r="M12958" s="10" t="n"/>
    </row>
    <row r="12959">
      <c r="B12959" s="7" t="n">
        <v>12957</v>
      </c>
      <c r="C12959" t="inlineStr">
        <is>
          <t>Nhân viên Tuyển sinh [Ngãi Giao - Bà Rịa Vũng Tàu]</t>
        </is>
      </c>
      <c r="D12959" t="inlineStr">
        <is>
          <t>Công Ty CP Liên Kết Quốc Tế INTERLINK (Trường Liên Kết Quốc Tế INschool &amp; Ngoại Ngữ Quốc Tế INS ENGLISH &amp; CHINESE)</t>
        </is>
      </c>
      <c r="E12959" t="inlineStr">
        <is>
          <t>Lương:7 Tr - 10 Tr VND</t>
        </is>
      </c>
      <c r="F12959" t="inlineStr">
        <is>
          <t>Bà Rịa - Vũng Tàu</t>
        </is>
      </c>
      <c r="G12959" t="inlineStr">
        <is>
          <t>11-04-2026</t>
        </is>
      </c>
      <c r="H12959" t="inlineStr">
        <is>
          <t>11/04/2026</t>
        </is>
      </c>
      <c r="I12959" t="inlineStr">
        <is>
          <t>17/03/2026</t>
        </is>
      </c>
      <c r="J12959" t="inlineStr">
        <is>
          <t>Bán hàng / Kinh doanh, Giáo dục / Đào tạo</t>
        </is>
      </c>
      <c r="K12959" t="inlineStr">
        <is>
          <t>Chưa có kinh nghiệm</t>
        </is>
      </c>
      <c r="L12959" s="8">
        <f>HYPERLINK("https://careerviet.vn/vi/tim-viec-lam/nhan-vien-tuyen-sinh-ngai-giao-ba-ria-vung-tau.35C6C23B.html","Xem chi tiết")</f>
        <v/>
      </c>
    </row>
    <row r="12960">
      <c r="B12960" s="9" t="n">
        <v>12958</v>
      </c>
      <c r="C12960" s="10" t="inlineStr">
        <is>
          <t>Administrative Assistant</t>
        </is>
      </c>
      <c r="D12960" s="10" t="inlineStr">
        <is>
          <t>CÔNG TY TNHH AUSSCO VIỆT NAM</t>
        </is>
      </c>
      <c r="E12960" s="10" t="inlineStr">
        <is>
          <t>Lương:10 Tr - 15 Tr VND</t>
        </is>
      </c>
      <c r="F12960" s="10" t="inlineStr">
        <is>
          <t>Bình Dương</t>
        </is>
      </c>
      <c r="G12960" s="10" t="inlineStr">
        <is>
          <t>31-03-2026</t>
        </is>
      </c>
      <c r="H12960" s="10" t="inlineStr">
        <is>
          <t>31/03/2026</t>
        </is>
      </c>
      <c r="I12960" s="10" t="inlineStr">
        <is>
          <t>17/03/2026</t>
        </is>
      </c>
      <c r="J12960" s="10" t="inlineStr">
        <is>
          <t>Sản xuất / Vận hành sản xuất, Hành chính / Thư ký, Thu mua / Vật tư</t>
        </is>
      </c>
      <c r="K12960" s="10" t="inlineStr">
        <is>
          <t>2 - 3 Năm</t>
        </is>
      </c>
      <c r="L12960" s="11">
        <f>HYPERLINK("https://careerviet.vn/vi/tim-viec-lam/administrative-assistant.35C6C236.html","Xem chi tiết")</f>
        <v/>
      </c>
      <c r="M12960" s="10" t="n"/>
    </row>
    <row r="12961">
      <c r="B12961" s="7" t="n">
        <v>12959</v>
      </c>
      <c r="C12961" t="inlineStr">
        <is>
          <t>Nhân Viên Quản Lý Hệ Thống</t>
        </is>
      </c>
      <c r="D12961" t="inlineStr">
        <is>
          <t>Công ty TNHH SX TM ĐT Nhôm AN LẬP PHÁT</t>
        </is>
      </c>
      <c r="E12961" t="inlineStr">
        <is>
          <t>Lương:9 Tr - 12 Tr VND</t>
        </is>
      </c>
      <c r="F12961" t="inlineStr">
        <is>
          <t>Hồ Chí Minh</t>
        </is>
      </c>
      <c r="G12961" t="inlineStr">
        <is>
          <t>27-03-2026</t>
        </is>
      </c>
      <c r="H12961" t="inlineStr">
        <is>
          <t>27/03/2026</t>
        </is>
      </c>
      <c r="I12961" t="inlineStr">
        <is>
          <t>17/03/2026</t>
        </is>
      </c>
      <c r="J12961" t="inlineStr">
        <is>
          <t>CNTT - Phần cứng / Mạng</t>
        </is>
      </c>
      <c r="K12961" t="inlineStr">
        <is>
          <t>1 - 2 Năm</t>
        </is>
      </c>
      <c r="L12961" s="8">
        <f>HYPERLINK("https://careerviet.vn/vi/tim-viec-lam/nhan-vien-quan-ly-he-thong.35C6C239.html","Xem chi tiết")</f>
        <v/>
      </c>
    </row>
    <row r="12962">
      <c r="B12962" s="9" t="n">
        <v>12960</v>
      </c>
      <c r="C12962" s="10" t="inlineStr">
        <is>
          <t>Giáo Viên Mầm Non [Long Thành - Đồng Nai]</t>
        </is>
      </c>
      <c r="D12962" s="10" t="inlineStr">
        <is>
          <t>Công Ty CP Liên Kết Quốc Tế INTERLINK (Trường Liên Kết Quốc Tế INschool &amp; Ngoại Ngữ Quốc Tế INS ENGLISH &amp; CHINESE)</t>
        </is>
      </c>
      <c r="E12962" s="10" t="inlineStr">
        <is>
          <t>Lương:9 Tr - 12 Tr VND</t>
        </is>
      </c>
      <c r="F12962" s="10" t="inlineStr">
        <is>
          <t>Đồng Nai</t>
        </is>
      </c>
      <c r="G12962" s="10" t="inlineStr">
        <is>
          <t>11-04-2026</t>
        </is>
      </c>
      <c r="H12962" s="10" t="inlineStr">
        <is>
          <t>11/04/2026</t>
        </is>
      </c>
      <c r="I12962" s="10" t="inlineStr">
        <is>
          <t>17/03/2026</t>
        </is>
      </c>
      <c r="J12962" s="10" t="inlineStr">
        <is>
          <t>Giáo dục / Đào tạo</t>
        </is>
      </c>
      <c r="K12962" s="10" t="inlineStr">
        <is>
          <t>1 - 2 Năm</t>
        </is>
      </c>
      <c r="L12962" s="11">
        <f>HYPERLINK("https://careerviet.vn/vi/tim-viec-lam/giao-vien-mam-non-long-thanh-dong-nai.35C6C22F.html","Xem chi tiết")</f>
        <v/>
      </c>
      <c r="M12962" s="10" t="n"/>
    </row>
    <row r="12963">
      <c r="B12963" s="7" t="n">
        <v>12961</v>
      </c>
      <c r="C12963" t="inlineStr">
        <is>
          <t>Kỹ sư Quy hoạch thiết kế Hạ tầng (điện/ điện lạnh)</t>
        </is>
      </c>
      <c r="D12963" t="inlineStr">
        <is>
          <t>Công ty TNHH Viettel - CHT</t>
        </is>
      </c>
      <c r="E12963" t="inlineStr">
        <is>
          <t>Lương:Trên 20 Tr VND</t>
        </is>
      </c>
      <c r="F12963" t="inlineStr">
        <is>
          <t>Hà Nội</t>
        </is>
      </c>
      <c r="G12963" t="inlineStr">
        <is>
          <t>09-04-2026</t>
        </is>
      </c>
      <c r="H12963" t="inlineStr">
        <is>
          <t>09/04/2026</t>
        </is>
      </c>
      <c r="I12963" t="inlineStr">
        <is>
          <t>17/03/2026</t>
        </is>
      </c>
      <c r="J12963" t="inlineStr">
        <is>
          <t>Điện / Điện tử / Điện lạnh / Điện công nghiệp</t>
        </is>
      </c>
      <c r="K12963" t="inlineStr">
        <is>
          <t>Trên 2 Năm</t>
        </is>
      </c>
      <c r="L12963" s="8">
        <f>HYPERLINK("https://careerviet.vn/vi/tim-viec-lam/ky-su-quy-hoach-thiet-ke-ha-tang-dien-dien-lanh.35C6C22E.html","Xem chi tiết")</f>
        <v/>
      </c>
    </row>
    <row r="12964">
      <c r="B12964" s="9" t="n">
        <v>12962</v>
      </c>
      <c r="C12964" s="10" t="inlineStr">
        <is>
          <t>Giáo Viên Tiếng Anh Mầm non [Long Thành - Đồng Nai]</t>
        </is>
      </c>
      <c r="D12964" s="10" t="inlineStr">
        <is>
          <t>Công Ty CP Liên Kết Quốc Tế INTERLINK (Trường Liên Kết Quốc Tế INschool &amp; Ngoại Ngữ Quốc Tế INS ENGLISH &amp; CHINESE)</t>
        </is>
      </c>
      <c r="E12964" s="10" t="inlineStr">
        <is>
          <t>Lương:9 Tr - 12 Tr VND</t>
        </is>
      </c>
      <c r="F12964" s="10" t="inlineStr">
        <is>
          <t>Đồng Nai</t>
        </is>
      </c>
      <c r="G12964" s="10" t="inlineStr">
        <is>
          <t>11-04-2026</t>
        </is>
      </c>
      <c r="H12964" s="10" t="inlineStr">
        <is>
          <t>11/04/2026</t>
        </is>
      </c>
      <c r="I12964" s="10" t="inlineStr">
        <is>
          <t>17/03/2026</t>
        </is>
      </c>
      <c r="J12964" s="10" t="inlineStr">
        <is>
          <t>Giáo dục / Đào tạo, Mới tốt nghiệp / Thực tập, Biên phiên dịch</t>
        </is>
      </c>
      <c r="K12964" s="10" t="inlineStr">
        <is>
          <t>1 - 2 Năm</t>
        </is>
      </c>
      <c r="L12964" s="11">
        <f>HYPERLINK("https://careerviet.vn/vi/tim-viec-lam/giao-vien-tieng-anh-mam-non-long-thanh-dong-nai.35C6C233.html","Xem chi tiết")</f>
        <v/>
      </c>
      <c r="M12964" s="10" t="n"/>
    </row>
    <row r="12965">
      <c r="B12965" s="7" t="n">
        <v>12963</v>
      </c>
      <c r="C12965" t="inlineStr">
        <is>
          <t>Giáo Viên Mầm Non [Dĩ An - Thủ Đức]</t>
        </is>
      </c>
      <c r="D12965" t="inlineStr">
        <is>
          <t>Công Ty CP Liên Kết Quốc Tế INTERLINK (Trường Liên Kết Quốc Tế INschool &amp; Ngoại Ngữ Quốc Tế INS ENGLISH &amp; CHINESE)</t>
        </is>
      </c>
      <c r="E12965" t="inlineStr">
        <is>
          <t>Lương:9 Tr - 12 Tr VND</t>
        </is>
      </c>
      <c r="F12965" t="inlineStr">
        <is>
          <t>Bình Dương</t>
        </is>
      </c>
      <c r="G12965" t="inlineStr">
        <is>
          <t>11-04-2026</t>
        </is>
      </c>
      <c r="H12965" t="inlineStr">
        <is>
          <t>11/04/2026</t>
        </is>
      </c>
      <c r="I12965" t="inlineStr">
        <is>
          <t>17/03/2026</t>
        </is>
      </c>
      <c r="J12965" t="inlineStr">
        <is>
          <t>Giáo dục / Đào tạo</t>
        </is>
      </c>
      <c r="K12965" t="inlineStr">
        <is>
          <t>1 - 2 Năm</t>
        </is>
      </c>
      <c r="L12965" s="8">
        <f>HYPERLINK("https://careerviet.vn/vi/tim-viec-lam/giao-vien-mam-non-di-an-thu-duc.35C6C22D.html","Xem chi tiết")</f>
        <v/>
      </c>
    </row>
    <row r="12966">
      <c r="B12966" s="9" t="n">
        <v>12964</v>
      </c>
      <c r="C12966" s="10" t="inlineStr">
        <is>
          <t>Nhân viên kỹ thuật bảo trì</t>
        </is>
      </c>
      <c r="D12966" s="10" t="inlineStr">
        <is>
          <t>CÔNG TY TNHH THAI CORP INTERNATIONAL (VIỆT NAM)</t>
        </is>
      </c>
      <c r="E12966" s="10" t="inlineStr">
        <is>
          <t>Lương:10 Tr - 18 Tr VND</t>
        </is>
      </c>
      <c r="F12966" s="10" t="inlineStr">
        <is>
          <t>Hồ Chí Minh</t>
        </is>
      </c>
      <c r="G12966" s="10" t="inlineStr">
        <is>
          <t>12-04-2026</t>
        </is>
      </c>
      <c r="H12966" s="10" t="inlineStr">
        <is>
          <t>12/04/2026</t>
        </is>
      </c>
      <c r="I12966" s="10" t="inlineStr">
        <is>
          <t>17/03/2026</t>
        </is>
      </c>
      <c r="J12966" s="10" t="inlineStr">
        <is>
          <t>Cơ khí / Ô tô / Tự động hóa, Điện / Điện tử / Điện lạnh / Điện công nghiệp, Bảo trì / Sửa chữa</t>
        </is>
      </c>
      <c r="K12966" s="10" t="inlineStr">
        <is>
          <t>Chưa có kinh nghiệm</t>
        </is>
      </c>
      <c r="L12966" s="11">
        <f>HYPERLINK("https://careerviet.vn/vi/tim-viec-lam/nhan-vien-ky-thuat-bao-tri.35C6C229.html","Xem chi tiết")</f>
        <v/>
      </c>
      <c r="M12966" s="10" t="n"/>
    </row>
    <row r="12967">
      <c r="B12967" s="7" t="n">
        <v>12965</v>
      </c>
      <c r="C12967" t="inlineStr">
        <is>
          <t>Giáo viên Tiếng Trung Thỉnh giảng [Củ Chi - Hồ Chí Minh]</t>
        </is>
      </c>
      <c r="D12967" t="inlineStr">
        <is>
          <t>Công Ty CP Liên Kết Quốc Tế INTERLINK (Trường Liên Kết Quốc Tế INschool &amp; Ngoại Ngữ Quốc Tế INS ENGLISH &amp; CHINESE)</t>
        </is>
      </c>
      <c r="E12967" t="inlineStr">
        <is>
          <t>Lương:Cạnh tranh</t>
        </is>
      </c>
      <c r="F12967" t="inlineStr">
        <is>
          <t>Hồ Chí Minh</t>
        </is>
      </c>
      <c r="G12967" t="inlineStr">
        <is>
          <t>11-04-2026</t>
        </is>
      </c>
      <c r="H12967" t="inlineStr">
        <is>
          <t>11/04/2026</t>
        </is>
      </c>
      <c r="I12967" t="inlineStr">
        <is>
          <t>17/03/2026</t>
        </is>
      </c>
      <c r="J12967" t="inlineStr">
        <is>
          <t>Giáo dục / Đào tạo, Biên phiên dịch</t>
        </is>
      </c>
      <c r="K12967" t="inlineStr">
        <is>
          <t>N/A</t>
        </is>
      </c>
      <c r="L12967" s="8">
        <f>HYPERLINK("https://careerviet.vn/vi/tim-viec-lam/giao-vien-tieng-trung-thinh-giang-cu-chi-ho-chi-minh.35C6C22A.html","Xem chi tiết")</f>
        <v/>
      </c>
    </row>
    <row r="12968">
      <c r="B12968" s="9" t="n">
        <v>12966</v>
      </c>
      <c r="C12968" s="10" t="inlineStr">
        <is>
          <t>Nhân viên thu mua</t>
        </is>
      </c>
      <c r="D12968" s="10" t="inlineStr">
        <is>
          <t>CÔNG TY TNHH SẢN XUẤT CƠ ĐIỆN THẠC Á</t>
        </is>
      </c>
      <c r="E12968" s="10" t="inlineStr">
        <is>
          <t>Lương:15 Tr - 20 Tr VND</t>
        </is>
      </c>
      <c r="F12968" s="10" t="inlineStr">
        <is>
          <t>Bà Rịa - Vũng Tàu</t>
        </is>
      </c>
      <c r="G12968" s="10" t="inlineStr">
        <is>
          <t>30-04-2026</t>
        </is>
      </c>
      <c r="H12968" s="10" t="inlineStr">
        <is>
          <t>30/04/2026</t>
        </is>
      </c>
      <c r="I12968" s="10" t="inlineStr">
        <is>
          <t>17/03/2026</t>
        </is>
      </c>
      <c r="J12968" s="10" t="inlineStr">
        <is>
          <t>Sản xuất / Vận hành sản xuất</t>
        </is>
      </c>
      <c r="K12968" s="10" t="inlineStr">
        <is>
          <t>1 - 5 Năm</t>
        </is>
      </c>
      <c r="L12968" s="11">
        <f>HYPERLINK("https://careerviet.vn/vi/tim-viec-lam/nhan-vien-thu-mua.35C6C22B.html","Xem chi tiết")</f>
        <v/>
      </c>
      <c r="M12968" s="10" t="n"/>
    </row>
    <row r="12969">
      <c r="B12969" s="7" t="n">
        <v>12967</v>
      </c>
      <c r="C12969" t="inlineStr">
        <is>
          <t>Chuyên Viên Thương Mại Điện Tử</t>
        </is>
      </c>
      <c r="D12969" t="inlineStr">
        <is>
          <t>Công ty TNHH Chế biến thực phẩm Đông Đô</t>
        </is>
      </c>
      <c r="E12969" t="inlineStr">
        <is>
          <t>Lương:13 Tr - 17 Tr VND</t>
        </is>
      </c>
      <c r="F12969" t="inlineStr">
        <is>
          <t>Hà Nội</t>
        </is>
      </c>
      <c r="G12969" t="inlineStr">
        <is>
          <t>20-04-2026</t>
        </is>
      </c>
      <c r="H12969" t="inlineStr">
        <is>
          <t>20/04/2026</t>
        </is>
      </c>
      <c r="I12969" t="inlineStr">
        <is>
          <t>17/03/2026</t>
        </is>
      </c>
      <c r="J12969" t="inlineStr">
        <is>
          <t>Tiếp thị / Marketing, Thương mại điện tử, Truyền hình / Báo chí / Biên tập</t>
        </is>
      </c>
      <c r="K12969" t="inlineStr">
        <is>
          <t>1 - 2 Năm</t>
        </is>
      </c>
      <c r="L12969" s="8">
        <f>HYPERLINK("https://careerviet.vn/vi/tim-viec-lam/chuyen-vien-thuong-mai-dien-tu.35C6C221.html","Xem chi tiết")</f>
        <v/>
      </c>
    </row>
    <row r="12970">
      <c r="B12970" s="9" t="n">
        <v>12968</v>
      </c>
      <c r="C12970" s="10" t="inlineStr">
        <is>
          <t>GIÁO VIÊN TIẾNG ANH [XUYÊN MỘC -  BÀ RỊA VŨNG TÀU]</t>
        </is>
      </c>
      <c r="D12970" s="10" t="inlineStr">
        <is>
          <t>Công Ty CP Liên Kết Quốc Tế INTERLINK (Trường Liên Kết Quốc Tế INschool &amp; Ngoại Ngữ Quốc Tế INS ENGLISH &amp; CHINESE)</t>
        </is>
      </c>
      <c r="E12970" s="10" t="inlineStr">
        <is>
          <t>Lương:9 Tr - 12 Tr VND</t>
        </is>
      </c>
      <c r="F12970" s="10" t="inlineStr">
        <is>
          <t>Bà Rịa - Vũng Tàu</t>
        </is>
      </c>
      <c r="G12970" s="10" t="inlineStr">
        <is>
          <t>11-04-2026</t>
        </is>
      </c>
      <c r="H12970" s="10" t="inlineStr">
        <is>
          <t>11/04/2026</t>
        </is>
      </c>
      <c r="I12970" s="10" t="inlineStr">
        <is>
          <t>17/03/2026</t>
        </is>
      </c>
      <c r="J12970" s="10" t="inlineStr">
        <is>
          <t>Giáo dục / Đào tạo</t>
        </is>
      </c>
      <c r="K12970" s="10" t="inlineStr">
        <is>
          <t>1 - 2 Năm</t>
        </is>
      </c>
      <c r="L12970" s="11">
        <f>HYPERLINK("https://careerviet.vn/vi/tim-viec-lam/giao-vien-tieng-anh-xuyen-moc-ba-ria-vung-tau.35C6C223.html","Xem chi tiết")</f>
        <v/>
      </c>
      <c r="M12970" s="10" t="n"/>
    </row>
    <row r="12971">
      <c r="B12971" s="7" t="n">
        <v>12969</v>
      </c>
      <c r="C12971" t="inlineStr">
        <is>
          <t>GIÁO VIÊN TIẾNG ANH [NHƠN TRẠCH - ĐỒNG NAI]</t>
        </is>
      </c>
      <c r="D12971" t="inlineStr">
        <is>
          <t>Công Ty CP Liên Kết Quốc Tế INTERLINK (Trường Liên Kết Quốc Tế INschool &amp; Ngoại Ngữ Quốc Tế INS ENGLISH &amp; CHINESE)</t>
        </is>
      </c>
      <c r="E12971" t="inlineStr">
        <is>
          <t>Lương:9 Tr - 12 Tr VND</t>
        </is>
      </c>
      <c r="F12971" t="inlineStr">
        <is>
          <t>Đồng Nai</t>
        </is>
      </c>
      <c r="G12971" t="inlineStr">
        <is>
          <t>11-04-2026</t>
        </is>
      </c>
      <c r="H12971" t="inlineStr">
        <is>
          <t>11/04/2026</t>
        </is>
      </c>
      <c r="I12971" t="inlineStr">
        <is>
          <t>17/03/2026</t>
        </is>
      </c>
      <c r="J12971" t="inlineStr">
        <is>
          <t>Giáo dục / Đào tạo</t>
        </is>
      </c>
      <c r="K12971" t="inlineStr">
        <is>
          <t>1 - 2 Năm</t>
        </is>
      </c>
      <c r="L12971" s="8">
        <f>HYPERLINK("https://careerviet.vn/vi/tim-viec-lam/giao-vien-tieng-anh-nhon-trach-dong-nai.35C6C21F.html","Xem chi tiết")</f>
        <v/>
      </c>
    </row>
    <row r="12972">
      <c r="B12972" s="9" t="n">
        <v>12970</v>
      </c>
      <c r="C12972" s="10" t="inlineStr">
        <is>
          <t>GIÁO VIÊN TIẾNG ANH [PHÚ MỸ -  BÀ RỊA VŨNG TÀU]</t>
        </is>
      </c>
      <c r="D12972" s="10" t="inlineStr">
        <is>
          <t>Công Ty CP Liên Kết Quốc Tế INTERLINK (Trường Liên Kết Quốc Tế INschool &amp; Ngoại Ngữ Quốc Tế INS ENGLISH &amp; CHINESE)</t>
        </is>
      </c>
      <c r="E12972" s="10" t="inlineStr">
        <is>
          <t>Lương:9 Tr - 12 Tr VND</t>
        </is>
      </c>
      <c r="F12972" s="10" t="inlineStr">
        <is>
          <t>Bà Rịa - Vũng Tàu</t>
        </is>
      </c>
      <c r="G12972" s="10" t="inlineStr">
        <is>
          <t>11-04-2026</t>
        </is>
      </c>
      <c r="H12972" s="10" t="inlineStr">
        <is>
          <t>11/04/2026</t>
        </is>
      </c>
      <c r="I12972" s="10" t="inlineStr">
        <is>
          <t>17/03/2026</t>
        </is>
      </c>
      <c r="J12972" s="10" t="inlineStr">
        <is>
          <t>Giáo dục / Đào tạo</t>
        </is>
      </c>
      <c r="K12972" s="10" t="inlineStr">
        <is>
          <t>1 - 2 Năm</t>
        </is>
      </c>
      <c r="L12972" s="11">
        <f>HYPERLINK("https://careerviet.vn/vi/tim-viec-lam/giao-vien-tieng-anh-phu-my-ba-ria-vung-tau.35C6C226.html","Xem chi tiết")</f>
        <v/>
      </c>
      <c r="M12972" s="10" t="n"/>
    </row>
    <row r="12973">
      <c r="B12973" s="7" t="n">
        <v>12971</v>
      </c>
      <c r="C12973" t="inlineStr">
        <is>
          <t>Giáo Viên Mầm Non [Củ Chi - Hồ Chí Minh]</t>
        </is>
      </c>
      <c r="D12973" t="inlineStr">
        <is>
          <t>Công Ty CP Liên Kết Quốc Tế INTERLINK (Trường Liên Kết Quốc Tế INschool &amp; Ngoại Ngữ Quốc Tế INS ENGLISH &amp; CHINESE)</t>
        </is>
      </c>
      <c r="E12973" t="inlineStr">
        <is>
          <t>Lương:8 Tr - 12 Tr VND</t>
        </is>
      </c>
      <c r="F12973" t="inlineStr">
        <is>
          <t>Hồ Chí Minh</t>
        </is>
      </c>
      <c r="G12973" t="inlineStr">
        <is>
          <t>11-04-2026</t>
        </is>
      </c>
      <c r="H12973" t="inlineStr">
        <is>
          <t>11/04/2026</t>
        </is>
      </c>
      <c r="I12973" t="inlineStr">
        <is>
          <t>17/03/2026</t>
        </is>
      </c>
      <c r="J12973" t="inlineStr">
        <is>
          <t>Giáo dục / Đào tạo</t>
        </is>
      </c>
      <c r="K12973" t="inlineStr">
        <is>
          <t>1 - 2 Năm</t>
        </is>
      </c>
      <c r="L12973" s="8">
        <f>HYPERLINK("https://careerviet.vn/vi/tim-viec-lam/giao-vien-mam-non-cu-chi-ho-chi-minh.35C6C230.html","Xem chi tiết")</f>
        <v/>
      </c>
    </row>
    <row r="12974">
      <c r="B12974" s="9" t="n">
        <v>12972</v>
      </c>
      <c r="C12974" s="10" t="inlineStr">
        <is>
          <t>KẾ TOÁN TỔNG HỢP</t>
        </is>
      </c>
      <c r="D12974" s="10" t="inlineStr">
        <is>
          <t>Công ty TNHH Hana E&amp;C</t>
        </is>
      </c>
      <c r="E12974" s="10" t="inlineStr">
        <is>
          <t>Lương:18 Tr - 20 Tr VND</t>
        </is>
      </c>
      <c r="F12974" s="10" t="inlineStr">
        <is>
          <t>Hà Nội</t>
        </is>
      </c>
      <c r="G12974" s="10" t="inlineStr">
        <is>
          <t>11-04-2026</t>
        </is>
      </c>
      <c r="H12974" s="10" t="inlineStr">
        <is>
          <t>11/04/2026</t>
        </is>
      </c>
      <c r="I12974" s="10" t="inlineStr">
        <is>
          <t>17/03/2026</t>
        </is>
      </c>
      <c r="J12974" s="10" t="inlineStr">
        <is>
          <t>Kế toán / Kiểm toán</t>
        </is>
      </c>
      <c r="K12974" s="10" t="inlineStr">
        <is>
          <t>Trên 4 Năm</t>
        </is>
      </c>
      <c r="L12974" s="11">
        <f>HYPERLINK("https://careerviet.vn/vi/tim-viec-lam/ke-toan-tong-hop.35C6C222.html","Xem chi tiết")</f>
        <v/>
      </c>
      <c r="M12974" s="10" t="n"/>
    </row>
    <row r="12975">
      <c r="B12975" s="7" t="n">
        <v>12973</v>
      </c>
      <c r="C12975" t="inlineStr">
        <is>
          <t>[CẦN THƠ] - NHÂN VIÊN KINH DOANH / NHÂN VIÊN BÁN HÀNG NGUYÊN LIỆU PHA CHẾ</t>
        </is>
      </c>
      <c r="D12975" t="inlineStr">
        <is>
          <t>Công ty Cổ phần TM-SX-DV Gia Thịnh Phát</t>
        </is>
      </c>
      <c r="E12975" t="inlineStr">
        <is>
          <t>Lương:10 Tr - 15 Tr VND</t>
        </is>
      </c>
      <c r="F12975" t="inlineStr">
        <is>
          <t>Cần Thơ</t>
        </is>
      </c>
      <c r="G12975" t="inlineStr">
        <is>
          <t>12-04-2026</t>
        </is>
      </c>
      <c r="H12975" t="inlineStr">
        <is>
          <t>12/04/2026</t>
        </is>
      </c>
      <c r="I12975" t="inlineStr">
        <is>
          <t>17/03/2026</t>
        </is>
      </c>
      <c r="J12975" t="inlineStr">
        <is>
          <t>Bán lẻ / Bán sỉ, Bán hàng / Kinh doanh, Thực phẩm &amp; Đồ uống</t>
        </is>
      </c>
      <c r="K12975" t="inlineStr">
        <is>
          <t>1 - 3 Năm</t>
        </is>
      </c>
      <c r="L12975" s="8">
        <f>HYPERLINK("https://careerviet.vn/vi/tim-viec-lam/can-tho-nhan-vien-kinh-doanh-nhan-vien-ban-hang-nguyen-lieu-pha-che.35C6C21D.html","Xem chi tiết")</f>
        <v/>
      </c>
    </row>
    <row r="12976">
      <c r="B12976" s="9" t="n">
        <v>12974</v>
      </c>
      <c r="C12976" s="10" t="inlineStr">
        <is>
          <t>Production Supervisor</t>
        </is>
      </c>
      <c r="D12976" s="10" t="inlineStr">
        <is>
          <t>Huhtamaki (Vietnam) Ltd.</t>
        </is>
      </c>
      <c r="E12976" s="10" t="inlineStr">
        <is>
          <t>Lương:Cạnh tranh</t>
        </is>
      </c>
      <c r="F12976" s="10" t="inlineStr">
        <is>
          <t>Bình Dương</t>
        </is>
      </c>
      <c r="G12976" s="10" t="inlineStr">
        <is>
          <t>11-04-2026</t>
        </is>
      </c>
      <c r="H12976" s="10" t="inlineStr">
        <is>
          <t>11/04/2026</t>
        </is>
      </c>
      <c r="I12976" s="10" t="inlineStr">
        <is>
          <t>17/03/2026</t>
        </is>
      </c>
      <c r="J12976" s="10" t="inlineStr">
        <is>
          <t>Sản xuất / Vận hành sản xuất, In ấn / Xuất bản, Cơ khí / Ô tô / Tự động hóa</t>
        </is>
      </c>
      <c r="K12976" s="10" t="inlineStr">
        <is>
          <t>2 - 5 Năm</t>
        </is>
      </c>
      <c r="L12976" s="11">
        <f>HYPERLINK("https://careerviet.vn/vi/tim-viec-lam/production-supervisor.35C6C0D3.html","Xem chi tiết")</f>
        <v/>
      </c>
      <c r="M12976" s="10" t="n"/>
    </row>
    <row r="12977">
      <c r="B12977" s="7" t="n">
        <v>12975</v>
      </c>
      <c r="C12977" t="inlineStr">
        <is>
          <t>GIÁO VIÊN TIẾNG ANH [NGÃI GIAO-  BÀ RỊA VŨNG TÀU]</t>
        </is>
      </c>
      <c r="D12977" t="inlineStr">
        <is>
          <t>Công Ty CP Liên Kết Quốc Tế INTERLINK (Trường Liên Kết Quốc Tế INschool &amp; Ngoại Ngữ Quốc Tế INS ENGLISH &amp; CHINESE)</t>
        </is>
      </c>
      <c r="E12977" t="inlineStr">
        <is>
          <t>Lương:9 Tr - 12 Tr VND</t>
        </is>
      </c>
      <c r="F12977" t="inlineStr">
        <is>
          <t>Bà Rịa - Vũng Tàu</t>
        </is>
      </c>
      <c r="G12977" t="inlineStr">
        <is>
          <t>11-04-2026</t>
        </is>
      </c>
      <c r="H12977" t="inlineStr">
        <is>
          <t>11/04/2026</t>
        </is>
      </c>
      <c r="I12977" t="inlineStr">
        <is>
          <t>17/03/2026</t>
        </is>
      </c>
      <c r="J12977" t="inlineStr">
        <is>
          <t>Giáo dục / Đào tạo</t>
        </is>
      </c>
      <c r="K12977" t="inlineStr">
        <is>
          <t>1 - 2 Năm</t>
        </is>
      </c>
      <c r="L12977" s="8">
        <f>HYPERLINK("https://careerviet.vn/vi/tim-viec-lam/giao-vien-tieng-anh-ngai-giao-ba-ria-vung-tau.35C6C228.html","Xem chi tiết")</f>
        <v/>
      </c>
    </row>
    <row r="12978">
      <c r="B12978" s="9" t="n">
        <v>12976</v>
      </c>
      <c r="C12978" s="10" t="inlineStr">
        <is>
          <t>TRƯỞNG PHÒNG TRADE MARKETING</t>
        </is>
      </c>
      <c r="D12978" s="10" t="inlineStr">
        <is>
          <t>Công ty Cổ phần TM-SX-DV Gia Thịnh Phát</t>
        </is>
      </c>
      <c r="E12978" s="10" t="inlineStr">
        <is>
          <t>Lương:20 Tr - 25 Tr VND</t>
        </is>
      </c>
      <c r="F12978" s="10" t="inlineStr">
        <is>
          <t>Hồ Chí Minh</t>
        </is>
      </c>
      <c r="G12978" s="10" t="inlineStr">
        <is>
          <t>15-04-2026</t>
        </is>
      </c>
      <c r="H12978" s="10" t="inlineStr">
        <is>
          <t>15/04/2026</t>
        </is>
      </c>
      <c r="I12978" s="10" t="inlineStr">
        <is>
          <t>17/03/2026</t>
        </is>
      </c>
      <c r="J12978" s="10" t="inlineStr">
        <is>
          <t>Tiếp thị / Marketing, Bán hàng / Kinh doanh, Thực phẩm &amp; Đồ uống</t>
        </is>
      </c>
      <c r="K12978" s="10" t="inlineStr">
        <is>
          <t>3 - 5 Năm</t>
        </is>
      </c>
      <c r="L12978" s="11">
        <f>HYPERLINK("https://careerviet.vn/vi/tim-viec-lam/truong-phong-trade-marketing.35C6C219.html","Xem chi tiết")</f>
        <v/>
      </c>
      <c r="M12978" s="10" t="n"/>
    </row>
    <row r="12979">
      <c r="B12979" s="7" t="n">
        <v>12977</v>
      </c>
      <c r="C12979" t="inlineStr">
        <is>
          <t>Chuyên viên Tuyển dụng - Đào tạo</t>
        </is>
      </c>
      <c r="D12979" t="inlineStr">
        <is>
          <t>Công ty Cổ phần Xhome Cần Thơ</t>
        </is>
      </c>
      <c r="E12979" t="inlineStr">
        <is>
          <t>Lương:9 Tr - 15 Tr VND</t>
        </is>
      </c>
      <c r="F12979" t="inlineStr">
        <is>
          <t>Cần Thơ</t>
        </is>
      </c>
      <c r="G12979" t="inlineStr">
        <is>
          <t>15-04-2026</t>
        </is>
      </c>
      <c r="H12979" t="inlineStr">
        <is>
          <t>15/04/2026</t>
        </is>
      </c>
      <c r="I12979" t="inlineStr">
        <is>
          <t>17/03/2026</t>
        </is>
      </c>
      <c r="J12979" t="inlineStr">
        <is>
          <t>Nhân sự</t>
        </is>
      </c>
      <c r="K12979" t="inlineStr">
        <is>
          <t>N/A</t>
        </is>
      </c>
      <c r="L12979" s="8">
        <f>HYPERLINK("https://careerviet.vn/vi/tim-viec-lam/chuyen-vien-tuyen-dung-dao-tao.35C6C21C.html","Xem chi tiết")</f>
        <v/>
      </c>
    </row>
    <row r="12980">
      <c r="B12980" s="9" t="n">
        <v>12978</v>
      </c>
      <c r="C12980" s="10" t="inlineStr">
        <is>
          <t>GIÁO VIÊN TIẾNG ANH (CỦ CHI - HỒ CHÍ MINH)</t>
        </is>
      </c>
      <c r="D12980" s="10" t="inlineStr">
        <is>
          <t>Công Ty CP Liên Kết Quốc Tế INTERLINK (Trường Liên Kết Quốc Tế INschool &amp; Ngoại Ngữ Quốc Tế INS ENGLISH &amp; CHINESE)</t>
        </is>
      </c>
      <c r="E12980" s="10" t="inlineStr">
        <is>
          <t>Lương:10 Tr - 12 Tr VND</t>
        </is>
      </c>
      <c r="F12980" s="10" t="inlineStr">
        <is>
          <t>Hồ Chí Minh</t>
        </is>
      </c>
      <c r="G12980" s="10" t="inlineStr">
        <is>
          <t>11-04-2026</t>
        </is>
      </c>
      <c r="H12980" s="10" t="inlineStr">
        <is>
          <t>11/04/2026</t>
        </is>
      </c>
      <c r="I12980" s="10" t="inlineStr">
        <is>
          <t>17/03/2026</t>
        </is>
      </c>
      <c r="J12980" s="10" t="inlineStr">
        <is>
          <t>Giáo dục / Đào tạo</t>
        </is>
      </c>
      <c r="K12980" s="10" t="inlineStr">
        <is>
          <t>1 - 2 Năm</t>
        </is>
      </c>
      <c r="L12980" s="11">
        <f>HYPERLINK("https://careerviet.vn/vi/tim-viec-lam/giao-vien-tieng-anh-cu-chi-ho-chi-minh.35C6C21A.html","Xem chi tiết")</f>
        <v/>
      </c>
      <c r="M12980" s="10" t="n"/>
    </row>
    <row r="12981">
      <c r="B12981" s="7" t="n">
        <v>12979</v>
      </c>
      <c r="C12981" t="inlineStr">
        <is>
          <t>Giáo Viên Tiếng Anh [Xuân Lộc  - Đồng Nai]</t>
        </is>
      </c>
      <c r="D12981" t="inlineStr">
        <is>
          <t>Công Ty CP Liên Kết Quốc Tế INTERLINK (Trường Liên Kết Quốc Tế INschool &amp; Ngoại Ngữ Quốc Tế INS ENGLISH &amp; CHINESE)</t>
        </is>
      </c>
      <c r="E12981" t="inlineStr">
        <is>
          <t>Lương:9 Tr - 12 Tr VND</t>
        </is>
      </c>
      <c r="F12981" t="inlineStr">
        <is>
          <t>Đồng Nai</t>
        </is>
      </c>
      <c r="G12981" t="inlineStr">
        <is>
          <t>11-04-2026</t>
        </is>
      </c>
      <c r="H12981" t="inlineStr">
        <is>
          <t>11/04/2026</t>
        </is>
      </c>
      <c r="I12981" t="inlineStr">
        <is>
          <t>17/03/2026</t>
        </is>
      </c>
      <c r="J12981" t="inlineStr">
        <is>
          <t>Giáo dục / Đào tạo, Biên phiên dịch</t>
        </is>
      </c>
      <c r="K12981" t="inlineStr">
        <is>
          <t>2 - 3 Năm</t>
        </is>
      </c>
      <c r="L12981" s="8">
        <f>HYPERLINK("https://careerviet.vn/vi/tim-viec-lam/giao-vien-tieng-anh-xuan-loc-dong-nai.35C6C21B.html","Xem chi tiết")</f>
        <v/>
      </c>
    </row>
    <row r="12982">
      <c r="B12982" s="9" t="n">
        <v>12980</v>
      </c>
      <c r="C12982" s="10" t="inlineStr">
        <is>
          <t>Trưởng Nhóm Tư Vấn Tuyển Sinh [DĨ AN - BÌNH DƯƠNG]</t>
        </is>
      </c>
      <c r="D12982" s="10" t="inlineStr">
        <is>
          <t>Công Ty CP Liên Kết Quốc Tế INTERLINK (Trường Liên Kết Quốc Tế INschool &amp; Ngoại Ngữ Quốc Tế INS ENGLISH &amp; CHINESE)</t>
        </is>
      </c>
      <c r="E12982" s="10" t="inlineStr">
        <is>
          <t>Lương:10 Tr - 15 Tr VND</t>
        </is>
      </c>
      <c r="F12982" s="10" t="inlineStr">
        <is>
          <t>Bình Dương</t>
        </is>
      </c>
      <c r="G12982" s="10" t="inlineStr">
        <is>
          <t>11-04-2026</t>
        </is>
      </c>
      <c r="H12982" s="10" t="inlineStr">
        <is>
          <t>11/04/2026</t>
        </is>
      </c>
      <c r="I12982" s="10" t="inlineStr">
        <is>
          <t>17/03/2026</t>
        </is>
      </c>
      <c r="J12982" s="10" t="inlineStr">
        <is>
          <t>Bán hàng / Kinh doanh, Tư vấn, Giáo dục / Đào tạo</t>
        </is>
      </c>
      <c r="K12982" s="10" t="inlineStr">
        <is>
          <t>1 - 2 Năm</t>
        </is>
      </c>
      <c r="L12982" s="11">
        <f>HYPERLINK("https://careerviet.vn/vi/tim-viec-lam/truong-nhom-tu-van-tuyen-sinh-di-an-binh-duong.35C6C212.html","Xem chi tiết")</f>
        <v/>
      </c>
      <c r="M12982" s="10" t="n"/>
    </row>
    <row r="12983">
      <c r="B12983" s="7" t="n">
        <v>12981</v>
      </c>
      <c r="C12983" t="inlineStr">
        <is>
          <t>Kế toán tổng hợp</t>
        </is>
      </c>
      <c r="D12983" t="inlineStr">
        <is>
          <t>CÔNG TY CỔ PHẦN XÂY DỰNG NGHĨA PHƯỚC</t>
        </is>
      </c>
      <c r="E12983" t="inlineStr">
        <is>
          <t>Lương:Cạnh tranh</t>
        </is>
      </c>
      <c r="F12983" t="inlineStr">
        <is>
          <t>Hồ Chí Minh</t>
        </is>
      </c>
      <c r="G12983" t="inlineStr">
        <is>
          <t>12-04-2026</t>
        </is>
      </c>
      <c r="H12983" t="inlineStr">
        <is>
          <t>12/04/2026</t>
        </is>
      </c>
      <c r="I12983" t="inlineStr">
        <is>
          <t>17/03/2026</t>
        </is>
      </c>
      <c r="J12983" t="inlineStr">
        <is>
          <t>Kế toán / Kiểm toán, Tài chính / Đầu tư, Xây dựng</t>
        </is>
      </c>
      <c r="K12983" t="inlineStr">
        <is>
          <t>2 - 4 Năm</t>
        </is>
      </c>
      <c r="L12983" s="8">
        <f>HYPERLINK("https://careerviet.vn/vi/tim-viec-lam/ke-toan-tong-hop.35C6C211.html","Xem chi tiết")</f>
        <v/>
      </c>
    </row>
    <row r="12984">
      <c r="B12984" s="9" t="n">
        <v>12982</v>
      </c>
      <c r="C12984" s="10" t="inlineStr">
        <is>
          <t>GIÁO VIÊN TIẾNG ANH (GIA KIỆM - ĐỒNG NAI)</t>
        </is>
      </c>
      <c r="D12984" s="10" t="inlineStr">
        <is>
          <t>Công Ty CP Liên Kết Quốc Tế INTERLINK (Trường Liên Kết Quốc Tế INschool &amp; Ngoại Ngữ Quốc Tế INS ENGLISH &amp; CHINESE)</t>
        </is>
      </c>
      <c r="E12984" s="10" t="inlineStr">
        <is>
          <t>Lương:10 Tr - 12 Tr VND</t>
        </is>
      </c>
      <c r="F12984" s="10" t="inlineStr">
        <is>
          <t>Đồng Nai</t>
        </is>
      </c>
      <c r="G12984" s="10" t="inlineStr">
        <is>
          <t>11-04-2026</t>
        </is>
      </c>
      <c r="H12984" s="10" t="inlineStr">
        <is>
          <t>11/04/2026</t>
        </is>
      </c>
      <c r="I12984" s="10" t="inlineStr">
        <is>
          <t>17/03/2026</t>
        </is>
      </c>
      <c r="J12984" s="10" t="inlineStr">
        <is>
          <t>Giáo dục / Đào tạo</t>
        </is>
      </c>
      <c r="K12984" s="10" t="inlineStr">
        <is>
          <t>1 - 2 Năm</t>
        </is>
      </c>
      <c r="L12984" s="11">
        <f>HYPERLINK("https://careerviet.vn/vi/tim-viec-lam/giao-vien-tieng-anh-gia-kiem-dong-nai.35C6C218.html","Xem chi tiết")</f>
        <v/>
      </c>
      <c r="M12984" s="10" t="n"/>
    </row>
    <row r="12985">
      <c r="B12985" s="7" t="n">
        <v>12983</v>
      </c>
      <c r="C12985" t="inlineStr">
        <is>
          <t>Chuyên viên Kinh Doanh ( mở điểm bán thịt heo)</t>
        </is>
      </c>
      <c r="D12985" t="inlineStr">
        <is>
          <t>Công ty Cổ phần Nông nghiệp BAF Việt Nam</t>
        </is>
      </c>
      <c r="E12985" t="inlineStr">
        <is>
          <t>Lương:12 Tr - 18 Tr VND</t>
        </is>
      </c>
      <c r="F12985" t="inlineStr">
        <is>
          <t>Bà Rịa - Vũng TàuAn GiangLong An</t>
        </is>
      </c>
      <c r="G12985" t="inlineStr">
        <is>
          <t>31-05-2026</t>
        </is>
      </c>
      <c r="H12985" t="inlineStr">
        <is>
          <t>31/05/2026</t>
        </is>
      </c>
      <c r="I12985" t="inlineStr">
        <is>
          <t>17/03/2026</t>
        </is>
      </c>
      <c r="J12985" t="inlineStr">
        <is>
          <t>Bán hàng / Kinh doanh, Tư vấn, Nông nghiệp</t>
        </is>
      </c>
      <c r="K12985" t="inlineStr">
        <is>
          <t>N/A</t>
        </is>
      </c>
      <c r="L12985" s="8">
        <f>HYPERLINK("https://careerviet.vn/vi/tim-viec-lam/chuyen-vien-kinh-doanh-mo-diem-ban-thit-heo.35C6C216.html","Xem chi tiết")</f>
        <v/>
      </c>
    </row>
    <row r="12986">
      <c r="B12986" s="9" t="n">
        <v>12984</v>
      </c>
      <c r="C12986" s="10" t="inlineStr">
        <is>
          <t>Quản lý Trung tâm Tiếng Anh (Đồng Nai)</t>
        </is>
      </c>
      <c r="D12986" s="10" t="inlineStr">
        <is>
          <t>Công Ty CP Liên Kết Quốc Tế INTERLINK (Trường Liên Kết Quốc Tế INschool &amp; Ngoại Ngữ Quốc Tế INS ENGLISH &amp; CHINESE)</t>
        </is>
      </c>
      <c r="E12986" s="10" t="inlineStr">
        <is>
          <t>Lương:18 Tr - 25 Tr VND</t>
        </is>
      </c>
      <c r="F12986" s="10" t="inlineStr">
        <is>
          <t>Đồng Nai</t>
        </is>
      </c>
      <c r="G12986" s="10" t="inlineStr">
        <is>
          <t>11-04-2026</t>
        </is>
      </c>
      <c r="H12986" s="10" t="inlineStr">
        <is>
          <t>11/04/2026</t>
        </is>
      </c>
      <c r="I12986" s="10" t="inlineStr">
        <is>
          <t>17/03/2026</t>
        </is>
      </c>
      <c r="J12986" s="10" t="inlineStr">
        <is>
          <t>Bán hàng / Kinh doanh, Giáo dục / Đào tạo</t>
        </is>
      </c>
      <c r="K12986" s="10" t="inlineStr">
        <is>
          <t>1 - 2 Năm</t>
        </is>
      </c>
      <c r="L12986" s="11">
        <f>HYPERLINK("https://careerviet.vn/vi/tim-viec-lam/quan-ly-trung-tam-tieng-anh-dong-nai.35C6C215.html","Xem chi tiết")</f>
        <v/>
      </c>
      <c r="M12986" s="10" t="n"/>
    </row>
    <row r="12987">
      <c r="B12987" s="7" t="n">
        <v>12985</v>
      </c>
      <c r="C12987" t="inlineStr">
        <is>
          <t>Trưởng Nhóm Tuyển Sinh [Dĩ An - Hồ Chí Minh]</t>
        </is>
      </c>
      <c r="D12987" t="inlineStr">
        <is>
          <t>Công Ty CP Liên Kết Quốc Tế INTERLINK (Trường Liên Kết Quốc Tế INschool &amp; Ngoại Ngữ Quốc Tế INS ENGLISH &amp; CHINESE)</t>
        </is>
      </c>
      <c r="E12987" t="inlineStr">
        <is>
          <t>Lương:10 Tr - 15 Tr VND</t>
        </is>
      </c>
      <c r="F12987" t="inlineStr">
        <is>
          <t>Hồ Chí Minh</t>
        </is>
      </c>
      <c r="G12987" t="inlineStr">
        <is>
          <t>11-04-2026</t>
        </is>
      </c>
      <c r="H12987" t="inlineStr">
        <is>
          <t>11/04/2026</t>
        </is>
      </c>
      <c r="I12987" t="inlineStr">
        <is>
          <t>17/03/2026</t>
        </is>
      </c>
      <c r="J12987" t="inlineStr">
        <is>
          <t>Tiếp thị / Marketing, Bán hàng / Kinh doanh, Tư vấn</t>
        </is>
      </c>
      <c r="K12987" t="inlineStr">
        <is>
          <t>1 - 2 Năm</t>
        </is>
      </c>
      <c r="L12987" s="8">
        <f>HYPERLINK("https://careerviet.vn/vi/tim-viec-lam/truong-nhom-tuyen-sinh-di-an-ho-chi-minh.35C6C206.html","Xem chi tiết")</f>
        <v/>
      </c>
    </row>
    <row r="12988">
      <c r="B12988" s="9" t="n">
        <v>12986</v>
      </c>
      <c r="C12988" s="10" t="inlineStr">
        <is>
          <t>Nhân viên tư vấn tuyển sinh  [Dĩ An - Thủ Đức]</t>
        </is>
      </c>
      <c r="D12988" s="10" t="inlineStr">
        <is>
          <t>Công Ty CP Liên Kết Quốc Tế INTERLINK (Trường Liên Kết Quốc Tế INschool &amp; Ngoại Ngữ Quốc Tế INS ENGLISH &amp; CHINESE)</t>
        </is>
      </c>
      <c r="E12988" s="10" t="inlineStr">
        <is>
          <t>Lương:7 Tr - 10 Tr VND</t>
        </is>
      </c>
      <c r="F12988" s="10" t="inlineStr">
        <is>
          <t>Bình Dương</t>
        </is>
      </c>
      <c r="G12988" s="10" t="inlineStr">
        <is>
          <t>11-04-2026</t>
        </is>
      </c>
      <c r="H12988" s="10" t="inlineStr">
        <is>
          <t>11/04/2026</t>
        </is>
      </c>
      <c r="I12988" s="10" t="inlineStr">
        <is>
          <t>17/03/2026</t>
        </is>
      </c>
      <c r="J12988" s="10" t="inlineStr">
        <is>
          <t>Tiếp thị / Marketing, Tư vấn, Giáo dục / Đào tạo</t>
        </is>
      </c>
      <c r="K12988" s="10" t="inlineStr">
        <is>
          <t>1 - 2 Năm</t>
        </is>
      </c>
      <c r="L12988" s="11">
        <f>HYPERLINK("https://careerviet.vn/vi/tim-viec-lam/nhan-vien-tu-van-tuyen-sinh-di-an-thu-duc.35C6C210.html","Xem chi tiết")</f>
        <v/>
      </c>
      <c r="M12988" s="10" t="n"/>
    </row>
    <row r="12989">
      <c r="B12989" s="7" t="n">
        <v>12987</v>
      </c>
      <c r="C12989" t="inlineStr">
        <is>
          <t>Trợ Giảng Tiếng Anh buổi tối [Xuân Lộc - Đồng Nai]</t>
        </is>
      </c>
      <c r="D12989" t="inlineStr">
        <is>
          <t>Công Ty CP Liên Kết Quốc Tế INTERLINK (Trường Liên Kết Quốc Tế INschool &amp; Ngoại Ngữ Quốc Tế INS ENGLISH &amp; CHINESE)</t>
        </is>
      </c>
      <c r="E12989" t="inlineStr">
        <is>
          <t>Lương:Cạnh tranh</t>
        </is>
      </c>
      <c r="F12989" t="inlineStr">
        <is>
          <t>Hồ Chí Minh</t>
        </is>
      </c>
      <c r="G12989" t="inlineStr">
        <is>
          <t>11-04-2026</t>
        </is>
      </c>
      <c r="H12989" t="inlineStr">
        <is>
          <t>11/04/2026</t>
        </is>
      </c>
      <c r="I12989" t="inlineStr">
        <is>
          <t>17/03/2026</t>
        </is>
      </c>
      <c r="J12989" t="inlineStr">
        <is>
          <t>Giáo dục / Đào tạo, Biên phiên dịch</t>
        </is>
      </c>
      <c r="K12989" t="inlineStr">
        <is>
          <t>1 - 2 Năm</t>
        </is>
      </c>
      <c r="L12989" s="8">
        <f>HYPERLINK("https://careerviet.vn/vi/tim-viec-lam/tro-giang-tieng-anh-buoi-toi-xuan-loc-dong-nai.35C6C20B.html","Xem chi tiết")</f>
        <v/>
      </c>
    </row>
    <row r="12990">
      <c r="B12990" s="9" t="n">
        <v>12988</v>
      </c>
      <c r="C12990" s="10" t="inlineStr">
        <is>
          <t>C&amp;B Officer</t>
        </is>
      </c>
      <c r="D12990" s="10" t="inlineStr">
        <is>
          <t>CÔNG TY CỔ PHẦN GENTA THỤY SĨ</t>
        </is>
      </c>
      <c r="E12990" s="10" t="inlineStr">
        <is>
          <t>Lương:9 Tr - 12 Tr VND</t>
        </is>
      </c>
      <c r="F12990" s="10" t="inlineStr">
        <is>
          <t>Long An</t>
        </is>
      </c>
      <c r="G12990" s="10" t="inlineStr">
        <is>
          <t>09-04-2026</t>
        </is>
      </c>
      <c r="H12990" s="10" t="inlineStr">
        <is>
          <t>09/04/2026</t>
        </is>
      </c>
      <c r="I12990" s="10" t="inlineStr">
        <is>
          <t>17/03/2026</t>
        </is>
      </c>
      <c r="J12990" s="10" t="inlineStr">
        <is>
          <t>Nhân sự</t>
        </is>
      </c>
      <c r="K12990" s="10" t="inlineStr">
        <is>
          <t>1 - 2 Năm</t>
        </is>
      </c>
      <c r="L12990" s="11">
        <f>HYPERLINK("https://careerviet.vn/vi/tim-viec-lam/c-b-officer.35C6C200.html","Xem chi tiết")</f>
        <v/>
      </c>
      <c r="M12990" s="10" t="n"/>
    </row>
    <row r="12991">
      <c r="B12991" s="7" t="n">
        <v>12989</v>
      </c>
      <c r="C12991" t="inlineStr">
        <is>
          <t>Trợ Giảng Tiếng Anh buổi tối [Đức Hoà - Long An]</t>
        </is>
      </c>
      <c r="D12991" t="inlineStr">
        <is>
          <t>Công Ty CP Liên Kết Quốc Tế INTERLINK (Trường Liên Kết Quốc Tế INschool &amp; Ngoại Ngữ Quốc Tế INS ENGLISH &amp; CHINESE)</t>
        </is>
      </c>
      <c r="E12991" t="inlineStr">
        <is>
          <t>Lương:Cạnh tranh</t>
        </is>
      </c>
      <c r="F12991" t="inlineStr">
        <is>
          <t>Hồ Chí Minh</t>
        </is>
      </c>
      <c r="G12991" t="inlineStr">
        <is>
          <t>11-04-2026</t>
        </is>
      </c>
      <c r="H12991" t="inlineStr">
        <is>
          <t>11/04/2026</t>
        </is>
      </c>
      <c r="I12991" t="inlineStr">
        <is>
          <t>17/03/2026</t>
        </is>
      </c>
      <c r="J12991" t="inlineStr">
        <is>
          <t>Giáo dục / Đào tạo, Biên phiên dịch</t>
        </is>
      </c>
      <c r="K12991" t="inlineStr">
        <is>
          <t>1 - 2 Năm</t>
        </is>
      </c>
      <c r="L12991" s="8">
        <f>HYPERLINK("https://careerviet.vn/vi/tim-viec-lam/tro-giang-tieng-anh-buoi-toi-duc-hoa-long-an.35C6C20D.html","Xem chi tiết")</f>
        <v/>
      </c>
    </row>
    <row r="12992">
      <c r="B12992" s="9" t="n">
        <v>12990</v>
      </c>
      <c r="C12992" s="10" t="inlineStr">
        <is>
          <t>Nhân Viên Y Tế Học Đường (Dĩ An - Bình Dương)</t>
        </is>
      </c>
      <c r="D12992" s="10" t="inlineStr">
        <is>
          <t>Công Ty CP Liên Kết Quốc Tế INTERLINK (Trường Liên Kết Quốc Tế INschool &amp; Ngoại Ngữ Quốc Tế INS ENGLISH &amp; CHINESE)</t>
        </is>
      </c>
      <c r="E12992" s="10" t="inlineStr">
        <is>
          <t>Lương:8,5 Tr - 10 Tr VND</t>
        </is>
      </c>
      <c r="F12992" s="10" t="inlineStr">
        <is>
          <t>Bình Dương</t>
        </is>
      </c>
      <c r="G12992" s="10" t="inlineStr">
        <is>
          <t>11-04-2026</t>
        </is>
      </c>
      <c r="H12992" s="10" t="inlineStr">
        <is>
          <t>11/04/2026</t>
        </is>
      </c>
      <c r="I12992" s="10" t="inlineStr">
        <is>
          <t>17/03/2026</t>
        </is>
      </c>
      <c r="J12992" s="10" t="inlineStr">
        <is>
          <t>Y tế / Chăm sóc sức khỏe / Thẩm mỹ / Làm đẹp</t>
        </is>
      </c>
      <c r="K12992" s="10" t="inlineStr">
        <is>
          <t>1 - 2 Năm</t>
        </is>
      </c>
      <c r="L12992" s="11">
        <f>HYPERLINK("https://careerviet.vn/vi/tim-viec-lam/nhan-vien-y-te-hoc-duong-di-an-binh-duong.35C6C20A.html","Xem chi tiết")</f>
        <v/>
      </c>
      <c r="M12992" s="10" t="n"/>
    </row>
    <row r="12993">
      <c r="B12993" s="7" t="n">
        <v>12991</v>
      </c>
      <c r="C12993" t="inlineStr">
        <is>
          <t>Giáo viên Trải nghiệm</t>
        </is>
      </c>
      <c r="D12993" t="inlineStr">
        <is>
          <t>TRƯỜNG PHỔ THÔNG LIÊN CẤP H.A.S</t>
        </is>
      </c>
      <c r="E12993" t="inlineStr">
        <is>
          <t>Lương:10 Tr - 11 Tr VND</t>
        </is>
      </c>
      <c r="F12993" t="inlineStr">
        <is>
          <t>Hà Nội</t>
        </is>
      </c>
      <c r="G12993" t="inlineStr">
        <is>
          <t>30-04-2026</t>
        </is>
      </c>
      <c r="H12993" t="inlineStr">
        <is>
          <t>30/04/2026</t>
        </is>
      </c>
      <c r="I12993" t="inlineStr">
        <is>
          <t>17/03/2026</t>
        </is>
      </c>
      <c r="J12993" t="inlineStr">
        <is>
          <t>Giáo dục / Đào tạo</t>
        </is>
      </c>
      <c r="K12993" t="inlineStr">
        <is>
          <t>1 - 2 Năm</t>
        </is>
      </c>
      <c r="L12993" s="8">
        <f>HYPERLINK("https://careerviet.vn/vi/tim-viec-lam/giao-vien-trai-nghiem.35C6C20F.html","Xem chi tiết")</f>
        <v/>
      </c>
    </row>
    <row r="12994">
      <c r="B12994" s="9" t="n">
        <v>12992</v>
      </c>
      <c r="C12994" s="10" t="inlineStr">
        <is>
          <t>IT Specialist</t>
        </is>
      </c>
      <c r="D12994" s="10" t="inlineStr">
        <is>
          <t>Sonion Vietnam</t>
        </is>
      </c>
      <c r="E12994" s="10" t="inlineStr">
        <is>
          <t>Lương:Cạnh tranh</t>
        </is>
      </c>
      <c r="F12994" s="10" t="inlineStr">
        <is>
          <t>Hồ Chí Minh</t>
        </is>
      </c>
      <c r="G12994" s="10" t="inlineStr">
        <is>
          <t>11-04-2026</t>
        </is>
      </c>
      <c r="H12994" s="10" t="inlineStr">
        <is>
          <t>11/04/2026</t>
        </is>
      </c>
      <c r="I12994" s="10" t="inlineStr">
        <is>
          <t>17/03/2026</t>
        </is>
      </c>
      <c r="J12994" s="10" t="inlineStr">
        <is>
          <t>CNTT - Phần mềm, CNTT - Phần cứng / Mạng</t>
        </is>
      </c>
      <c r="K12994" s="10" t="inlineStr">
        <is>
          <t>2 - 3 Năm</t>
        </is>
      </c>
      <c r="L12994" s="11">
        <f>HYPERLINK("https://careerviet.vn/vi/tim-viec-lam/it-specialist.35C6C201.html","Xem chi tiết")</f>
        <v/>
      </c>
      <c r="M12994" s="10" t="n"/>
    </row>
    <row r="12995">
      <c r="B12995" s="7" t="n">
        <v>12993</v>
      </c>
      <c r="C12995" t="inlineStr">
        <is>
          <t>Nhân viên Hành chính Kế toán (Dĩ An - Bình Dương)</t>
        </is>
      </c>
      <c r="D12995" t="inlineStr">
        <is>
          <t>Công Ty CP Liên Kết Quốc Tế INTERLINK (Trường Liên Kết Quốc Tế INschool &amp; Ngoại Ngữ Quốc Tế INS ENGLISH &amp; CHINESE)</t>
        </is>
      </c>
      <c r="E12995" t="inlineStr">
        <is>
          <t>Lương:8 Tr - 10 Tr VND</t>
        </is>
      </c>
      <c r="F12995" t="inlineStr">
        <is>
          <t>Bình Dương</t>
        </is>
      </c>
      <c r="G12995" t="inlineStr">
        <is>
          <t>11-04-2026</t>
        </is>
      </c>
      <c r="H12995" t="inlineStr">
        <is>
          <t>11/04/2026</t>
        </is>
      </c>
      <c r="I12995" t="inlineStr">
        <is>
          <t>17/03/2026</t>
        </is>
      </c>
      <c r="J12995" t="inlineStr">
        <is>
          <t>Giáo dục / Đào tạo, Hành chính / Thư ký, Kế toán / Kiểm toán</t>
        </is>
      </c>
      <c r="K12995" t="inlineStr">
        <is>
          <t>1 - 2 Năm</t>
        </is>
      </c>
      <c r="L12995" s="8">
        <f>HYPERLINK("https://careerviet.vn/vi/tim-viec-lam/nhan-vien-hanh-chinh-ke-toan-di-an-binh-duong.35C6C208.html","Xem chi tiết")</f>
        <v/>
      </c>
    </row>
    <row r="12996">
      <c r="B12996" s="9" t="n">
        <v>12994</v>
      </c>
      <c r="C12996" s="10" t="inlineStr">
        <is>
          <t>[GVM] Chuyên viên cao cấp Quản lý Thiết kế Hình ảnh</t>
        </is>
      </c>
      <c r="D12996" s="10" t="inlineStr">
        <is>
          <t>Nova Service Group - Công ty Cổ phần Tập đoàn Nova Services</t>
        </is>
      </c>
      <c r="E12996" s="10" t="inlineStr">
        <is>
          <t>Lương:Cạnh tranh</t>
        </is>
      </c>
      <c r="F12996" s="10" t="inlineStr">
        <is>
          <t>Hồ Chí Minh</t>
        </is>
      </c>
      <c r="G12996" s="10" t="inlineStr">
        <is>
          <t>30-04-2026</t>
        </is>
      </c>
      <c r="H12996" s="10" t="inlineStr">
        <is>
          <t>30/04/2026</t>
        </is>
      </c>
      <c r="I12996" s="10" t="inlineStr">
        <is>
          <t>17/03/2026</t>
        </is>
      </c>
      <c r="J12996" s="10" t="inlineStr">
        <is>
          <t>Mỹ thuật / Nghệ thuật / Thiết kế</t>
        </is>
      </c>
      <c r="K12996" s="10" t="inlineStr">
        <is>
          <t>5 - 7 Năm</t>
        </is>
      </c>
      <c r="L12996" s="11">
        <f>HYPERLINK("https://careerviet.vn/vi/tim-viec-lam/gvm-chuyen-vien-cao-cap-quan-ly-thiet-ke-hinh-anh.35C6C20C.html","Xem chi tiết")</f>
        <v/>
      </c>
      <c r="M12996" s="10" t="n"/>
    </row>
    <row r="12997">
      <c r="B12997" s="7" t="n">
        <v>12995</v>
      </c>
      <c r="C12997" t="inlineStr">
        <is>
          <t>Reliability Lab Manager (Electronics)</t>
        </is>
      </c>
      <c r="D12997" t="inlineStr">
        <is>
          <t>Headhunter HRchannels Group</t>
        </is>
      </c>
      <c r="E12997" t="inlineStr">
        <is>
          <t>Lương:1.200 - 1.200 USD</t>
        </is>
      </c>
      <c r="F12997" t="inlineStr">
        <is>
          <t>Hưng YênHà NộiHải Dương</t>
        </is>
      </c>
      <c r="G12997" t="inlineStr">
        <is>
          <t>12-04-2026</t>
        </is>
      </c>
      <c r="H12997" t="inlineStr">
        <is>
          <t>12/04/2026</t>
        </is>
      </c>
      <c r="I12997" t="inlineStr">
        <is>
          <t>17/03/2026</t>
        </is>
      </c>
      <c r="J12997" t="inlineStr">
        <is>
          <t>Điện / Điện tử / Điện lạnh / Điện công nghiệp, Sản xuất / Vận hành sản xuất, Quản lý chất lượng (QA/QC)</t>
        </is>
      </c>
      <c r="K12997" t="inlineStr">
        <is>
          <t>2 - 3 Năm</t>
        </is>
      </c>
      <c r="L12997" s="8">
        <f>HYPERLINK("https://careerviet.vn/vi/tim-viec-lam/reliability-lab-manager-electronics.35C6C1FF.html","Xem chi tiết")</f>
        <v/>
      </c>
    </row>
    <row r="12998">
      <c r="B12998" s="9" t="n">
        <v>12996</v>
      </c>
      <c r="C12998" s="10" t="inlineStr">
        <is>
          <t>Nhân Viên Quản Lý Và Chăm Sóc Khách Hàng</t>
        </is>
      </c>
      <c r="D12998" s="10" t="inlineStr">
        <is>
          <t>CÔNG TY CỔ PHẦN NHỰA XỐP 76</t>
        </is>
      </c>
      <c r="E12998" s="10" t="inlineStr">
        <is>
          <t>Lương:Cạnh tranh</t>
        </is>
      </c>
      <c r="F12998" s="10" t="inlineStr">
        <is>
          <t>Hà Nội</t>
        </is>
      </c>
      <c r="G12998" s="10" t="inlineStr">
        <is>
          <t>10-04-2026</t>
        </is>
      </c>
      <c r="H12998" s="10" t="inlineStr">
        <is>
          <t>10/04/2026</t>
        </is>
      </c>
      <c r="I12998" s="10" t="inlineStr">
        <is>
          <t>17/03/2026</t>
        </is>
      </c>
      <c r="J12998" s="10" t="inlineStr">
        <is>
          <t>Dịch vụ khách hàng, Sản xuất / Vận hành sản xuất, Bán hàng / Kinh doanh</t>
        </is>
      </c>
      <c r="K12998" s="10" t="inlineStr">
        <is>
          <t>N/A</t>
        </is>
      </c>
      <c r="L12998" s="11">
        <f>HYPERLINK("https://careerviet.vn/vi/tim-viec-lam/nhan-vien-quan-ly-va-cham-soc-khach-hang.35C6BF17.html","Xem chi tiết")</f>
        <v/>
      </c>
      <c r="M12998" s="10" t="n"/>
    </row>
    <row r="12999">
      <c r="B12999" s="7" t="n">
        <v>12997</v>
      </c>
      <c r="C12999" t="inlineStr">
        <is>
          <t>Nhân viên Tuyển dụng  (Long Khánh - Đồng Nai)</t>
        </is>
      </c>
      <c r="D12999" t="inlineStr">
        <is>
          <t>Công Ty CP Liên Kết Quốc Tế INTERLINK (Trường Liên Kết Quốc Tế INschool &amp; Ngoại Ngữ Quốc Tế INS ENGLISH &amp; CHINESE)</t>
        </is>
      </c>
      <c r="E12999" t="inlineStr">
        <is>
          <t>Lương:9 Tr - 12 Tr VND</t>
        </is>
      </c>
      <c r="F12999" t="inlineStr">
        <is>
          <t>Đồng Nai</t>
        </is>
      </c>
      <c r="G12999" t="inlineStr">
        <is>
          <t>11-04-2026</t>
        </is>
      </c>
      <c r="H12999" t="inlineStr">
        <is>
          <t>11/04/2026</t>
        </is>
      </c>
      <c r="I12999" t="inlineStr">
        <is>
          <t>17/03/2026</t>
        </is>
      </c>
      <c r="J12999" t="inlineStr">
        <is>
          <t>Tư vấn, Nhân sự</t>
        </is>
      </c>
      <c r="K12999" t="inlineStr">
        <is>
          <t>1 - 2 Năm</t>
        </is>
      </c>
      <c r="L12999" s="8">
        <f>HYPERLINK("https://careerviet.vn/vi/tim-viec-lam/nhan-vien-tuyen-dung-long-khanh-dong-nai.35C6C205.html","Xem chi tiết")</f>
        <v/>
      </c>
    </row>
    <row r="13000">
      <c r="B13000" s="9" t="n">
        <v>12998</v>
      </c>
      <c r="C13000" s="10" t="inlineStr">
        <is>
          <t>Trợ Giảng Tiếng Anh buổi tối [Củ Chi]</t>
        </is>
      </c>
      <c r="D13000" s="10" t="inlineStr">
        <is>
          <t>Công Ty CP Liên Kết Quốc Tế INTERLINK (Trường Liên Kết Quốc Tế INschool &amp; Ngoại Ngữ Quốc Tế INS ENGLISH &amp; CHINESE)</t>
        </is>
      </c>
      <c r="E13000" s="10" t="inlineStr">
        <is>
          <t>Lương:Cạnh tranh</t>
        </is>
      </c>
      <c r="F13000" s="10" t="inlineStr">
        <is>
          <t>Hồ Chí Minh</t>
        </is>
      </c>
      <c r="G13000" s="10" t="inlineStr">
        <is>
          <t>11-04-2026</t>
        </is>
      </c>
      <c r="H13000" s="10" t="inlineStr">
        <is>
          <t>11/04/2026</t>
        </is>
      </c>
      <c r="I13000" s="10" t="inlineStr">
        <is>
          <t>17/03/2026</t>
        </is>
      </c>
      <c r="J13000" s="10" t="inlineStr">
        <is>
          <t>Giáo dục / Đào tạo, Biên phiên dịch</t>
        </is>
      </c>
      <c r="K13000" s="10" t="inlineStr">
        <is>
          <t>1 - 2 Năm</t>
        </is>
      </c>
      <c r="L13000" s="11">
        <f>HYPERLINK("https://careerviet.vn/vi/tim-viec-lam/tro-giang-tieng-anh-buoi-toi-cu-chi.35C6C20E.html","Xem chi tiết")</f>
        <v/>
      </c>
      <c r="M13000" s="10" t="n"/>
    </row>
    <row r="13001">
      <c r="B13001" s="7" t="n">
        <v>12999</v>
      </c>
      <c r="C13001" t="inlineStr">
        <is>
          <t>Quản lý chuyên môn Tiếng Anh Vùng Bà Rịa Vũng Tàu</t>
        </is>
      </c>
      <c r="D13001" t="inlineStr">
        <is>
          <t>Công Ty CP Liên Kết Quốc Tế INTERLINK (Trường Liên Kết Quốc Tế INschool &amp; Ngoại Ngữ Quốc Tế INS ENGLISH &amp; CHINESE)</t>
        </is>
      </c>
      <c r="E13001" t="inlineStr">
        <is>
          <t>Lương:18 Tr - 25 Tr VND</t>
        </is>
      </c>
      <c r="F13001" t="inlineStr">
        <is>
          <t>Bà Rịa - Vũng Tàu</t>
        </is>
      </c>
      <c r="G13001" t="inlineStr">
        <is>
          <t>11-04-2026</t>
        </is>
      </c>
      <c r="H13001" t="inlineStr">
        <is>
          <t>11/04/2026</t>
        </is>
      </c>
      <c r="I13001" t="inlineStr">
        <is>
          <t>17/03/2026</t>
        </is>
      </c>
      <c r="J13001" t="inlineStr">
        <is>
          <t>Giáo dục / Đào tạo</t>
        </is>
      </c>
      <c r="K13001" t="inlineStr">
        <is>
          <t>1 - 2 Năm</t>
        </is>
      </c>
      <c r="L13001" s="8">
        <f>HYPERLINK("https://careerviet.vn/vi/tim-viec-lam/quan-ly-chuyen-mon-tieng-anh-vung-ba-ria-vung-tau.35C6C203.html","Xem chi tiết")</f>
        <v/>
      </c>
    </row>
    <row r="13002">
      <c r="B13002" s="9" t="n">
        <v>13000</v>
      </c>
      <c r="C13002" s="10" t="inlineStr">
        <is>
          <t>Giám sát bán hàng Bia hơi - Bia Tươi</t>
        </is>
      </c>
      <c r="D13002" s="10" t="inlineStr">
        <is>
          <t>CÔNG TY CP BIA &amp; NGK HẠ LONG</t>
        </is>
      </c>
      <c r="E13002" s="10" t="inlineStr">
        <is>
          <t>Lương:19 Tr - 28 Tr VND</t>
        </is>
      </c>
      <c r="F13002" s="10" t="inlineStr">
        <is>
          <t>Hà Nội</t>
        </is>
      </c>
      <c r="G13002" s="10" t="inlineStr">
        <is>
          <t>28-03-2026</t>
        </is>
      </c>
      <c r="H13002" s="10" t="inlineStr">
        <is>
          <t>28/03/2026</t>
        </is>
      </c>
      <c r="I13002" s="10" t="inlineStr">
        <is>
          <t>17/03/2026</t>
        </is>
      </c>
      <c r="J13002" s="10" t="inlineStr">
        <is>
          <t>Thực phẩm &amp; Đồ uống</t>
        </is>
      </c>
      <c r="K13002" s="10" t="inlineStr">
        <is>
          <t>2 - 3 Năm</t>
        </is>
      </c>
      <c r="L13002" s="11">
        <f>HYPERLINK("https://careerviet.vn/vi/tim-viec-lam/giam-sat-ban-hang-bia-hoi-bia-tuoi.35C69BC6.html","Xem chi tiết")</f>
        <v/>
      </c>
      <c r="M13002" s="10" t="n"/>
    </row>
    <row r="13003">
      <c r="B13003" s="7" t="n">
        <v>13001</v>
      </c>
      <c r="C13003" t="inlineStr">
        <is>
          <t>Nhân Viên Tư Vấn Kênh Trả Góp_Cà Mau</t>
        </is>
      </c>
      <c r="D13003" t="inlineStr">
        <is>
          <t>Công Ty Tài Chính TNHH Một Thành Viên Quốc Tế Việt Nam JACCS</t>
        </is>
      </c>
      <c r="E13003" t="inlineStr">
        <is>
          <t>Lương:5 Tr - 15 Tr VND</t>
        </is>
      </c>
      <c r="F13003" t="inlineStr">
        <is>
          <t>Cà Mau</t>
        </is>
      </c>
      <c r="G13003" t="inlineStr">
        <is>
          <t>26-03-2026</t>
        </is>
      </c>
      <c r="H13003" t="inlineStr">
        <is>
          <t>26/03/2026</t>
        </is>
      </c>
      <c r="I13003" t="inlineStr">
        <is>
          <t>17/03/2026</t>
        </is>
      </c>
      <c r="J13003" t="inlineStr">
        <is>
          <t>Bán hàng / Kinh doanh, Tài chính / Đầu tư, Lao động phổ thông</t>
        </is>
      </c>
      <c r="K13003" t="inlineStr">
        <is>
          <t>N/A</t>
        </is>
      </c>
      <c r="L13003" s="8">
        <f>HYPERLINK("https://careerviet.vn/vi/tim-viec-lam/nhan-vien-tu-van-kenh-tra-gop_ca-mau.35C6991E.html","Xem chi tiết")</f>
        <v/>
      </c>
    </row>
    <row r="13004">
      <c r="B13004" s="9" t="n">
        <v>13002</v>
      </c>
      <c r="C13004" s="10" t="inlineStr">
        <is>
          <t>Nhân viên phụ kho Đà nẵng</t>
        </is>
      </c>
      <c r="D13004" s="10" t="inlineStr">
        <is>
          <t>Công ty cổ phần văn phòng phẩm Hồng Hà</t>
        </is>
      </c>
      <c r="E13004" s="10" t="inlineStr">
        <is>
          <t>Lương:8 Tr - 10 Tr VND</t>
        </is>
      </c>
      <c r="F13004" s="10" t="inlineStr">
        <is>
          <t>Đà Nẵng</t>
        </is>
      </c>
      <c r="G13004" s="10" t="inlineStr">
        <is>
          <t>13-04-2026</t>
        </is>
      </c>
      <c r="H13004" s="10" t="inlineStr">
        <is>
          <t>13/04/2026</t>
        </is>
      </c>
      <c r="I13004" s="10" t="inlineStr">
        <is>
          <t>17/03/2026</t>
        </is>
      </c>
      <c r="J13004" s="10" t="inlineStr">
        <is>
          <t>Vận chuyển / Giao nhận / Kho vận</t>
        </is>
      </c>
      <c r="K13004" s="10" t="inlineStr">
        <is>
          <t>1 - 2 Năm</t>
        </is>
      </c>
      <c r="L13004" s="11">
        <f>HYPERLINK("https://careerviet.vn/vi/tim-viec-lam/nhan-vien-phu-kho-da-nang.35C6C1FE.html","Xem chi tiết")</f>
        <v/>
      </c>
      <c r="M13004" s="10" t="n"/>
    </row>
    <row r="13005">
      <c r="B13005" s="7" t="n">
        <v>13003</v>
      </c>
      <c r="C13005" t="inlineStr">
        <is>
          <t>Chuyên Viên Phân Tích Nghiệp Vụ BA</t>
        </is>
      </c>
      <c r="D13005" t="inlineStr">
        <is>
          <t>Tập Đoàn An Phát Holdings</t>
        </is>
      </c>
      <c r="E13005" t="inlineStr">
        <is>
          <t>Lương:13 Tr - 22 Tr VND</t>
        </is>
      </c>
      <c r="F13005" t="inlineStr">
        <is>
          <t>Hà Nội</t>
        </is>
      </c>
      <c r="G13005" t="inlineStr">
        <is>
          <t>31-03-2026</t>
        </is>
      </c>
      <c r="H13005" t="inlineStr">
        <is>
          <t>31/03/2026</t>
        </is>
      </c>
      <c r="I13005" t="inlineStr">
        <is>
          <t>17/03/2026</t>
        </is>
      </c>
      <c r="J13005" t="inlineStr">
        <is>
          <t>Sản xuất / Vận hành sản xuất, Bán hàng / Kinh doanh, CNTT - Phần mềm</t>
        </is>
      </c>
      <c r="K13005" t="inlineStr">
        <is>
          <t>1 - 2 Năm</t>
        </is>
      </c>
      <c r="L13005" s="8">
        <f>HYPERLINK("https://careerviet.vn/vi/tim-viec-lam/chuyen-vien-phan-tich-nghiep-vu-ba.35C6999E.html","Xem chi tiết")</f>
        <v/>
      </c>
    </row>
    <row r="13006">
      <c r="B13006" s="9" t="n">
        <v>13004</v>
      </c>
      <c r="C13006" s="10" t="inlineStr">
        <is>
          <t>TUYỂN DỤNG TRƯỞNG PHÒNG KIỂM TRA CHẤT LƯỢNG (NGÀNH DƯỢC)</t>
        </is>
      </c>
      <c r="D13006" s="10" t="inlineStr">
        <is>
          <t>CÔNG TY CỔ PHẦN DƯỢC PHẨM TIPHARCO</t>
        </is>
      </c>
      <c r="E13006" s="10" t="inlineStr">
        <is>
          <t>Lương:Cạnh tranh</t>
        </is>
      </c>
      <c r="F13006" s="10" t="inlineStr">
        <is>
          <t>Hồ Chí Minh</t>
        </is>
      </c>
      <c r="G13006" s="10" t="inlineStr">
        <is>
          <t>25-03-2026</t>
        </is>
      </c>
      <c r="H13006" s="10" t="inlineStr">
        <is>
          <t>25/03/2026</t>
        </is>
      </c>
      <c r="I13006" s="10" t="inlineStr">
        <is>
          <t>17/03/2026</t>
        </is>
      </c>
      <c r="J13006" s="10" t="inlineStr">
        <is>
          <t>Dược phẩm/ Hóa Mỹ Phẩm, Quản lý chất lượng (QA/QC), Y tế / Chăm sóc sức khỏe / Thẩm mỹ / Làm đẹp</t>
        </is>
      </c>
      <c r="K13006" s="10" t="inlineStr">
        <is>
          <t>2 - 10 Năm</t>
        </is>
      </c>
      <c r="L13006" s="11">
        <f>HYPERLINK("https://careerviet.vn/vi/tim-viec-lam/tuyen-dung-truong-phong-kiem-tra-chat-luong-nganh-duoc.35C69ABC.html","Xem chi tiết")</f>
        <v/>
      </c>
      <c r="M13006" s="10" t="n"/>
    </row>
    <row r="13007">
      <c r="B13007" s="7" t="n">
        <v>13005</v>
      </c>
      <c r="C13007" t="inlineStr">
        <is>
          <t>Nhân Viên Tư Vấn Kênh Trả Góp_Đồng Nai</t>
        </is>
      </c>
      <c r="D13007" t="inlineStr">
        <is>
          <t>Công Ty Tài Chính TNHH Một Thành Viên Quốc Tế Việt Nam JACCS</t>
        </is>
      </c>
      <c r="E13007" t="inlineStr">
        <is>
          <t>Lương:5 Tr - 15 Tr VND</t>
        </is>
      </c>
      <c r="F13007" t="inlineStr">
        <is>
          <t>Đồng Nai</t>
        </is>
      </c>
      <c r="G13007" t="inlineStr">
        <is>
          <t>26-03-2026</t>
        </is>
      </c>
      <c r="H13007" t="inlineStr">
        <is>
          <t>26/03/2026</t>
        </is>
      </c>
      <c r="I13007" t="inlineStr">
        <is>
          <t>17/03/2026</t>
        </is>
      </c>
      <c r="J13007" t="inlineStr">
        <is>
          <t>Bán hàng / Kinh doanh, Tài chính / Đầu tư, Lao động phổ thông</t>
        </is>
      </c>
      <c r="K13007" t="inlineStr">
        <is>
          <t>N/A</t>
        </is>
      </c>
      <c r="L13007" s="8">
        <f>HYPERLINK("https://careerviet.vn/vi/tim-viec-lam/nhan-vien-tu-van-kenh-tra-gop_dong-nai.35C698FF.html","Xem chi tiết")</f>
        <v/>
      </c>
    </row>
    <row r="13008">
      <c r="B13008" s="9" t="n">
        <v>13006</v>
      </c>
      <c r="C13008" s="10" t="inlineStr">
        <is>
          <t>Lập trình viên ERP &amp; CRM</t>
        </is>
      </c>
      <c r="D13008" s="10" t="inlineStr">
        <is>
          <t>Công Ty Cổ Phần Tập Đoàn Sunshine</t>
        </is>
      </c>
      <c r="E13008" s="10" t="inlineStr">
        <is>
          <t>Lương:15 Tr - 45 Tr VND</t>
        </is>
      </c>
      <c r="F13008" s="10" t="inlineStr">
        <is>
          <t>Hà Nội</t>
        </is>
      </c>
      <c r="G13008" s="10" t="inlineStr">
        <is>
          <t>30-03-2026</t>
        </is>
      </c>
      <c r="H13008" s="10" t="inlineStr">
        <is>
          <t>30/03/2026</t>
        </is>
      </c>
      <c r="I13008" s="10" t="inlineStr">
        <is>
          <t>17/03/2026</t>
        </is>
      </c>
      <c r="J13008" s="10" t="inlineStr">
        <is>
          <t>CNTT - Phần mềm</t>
        </is>
      </c>
      <c r="K13008" s="10" t="inlineStr">
        <is>
          <t>1 - 4 Năm</t>
        </is>
      </c>
      <c r="L13008" s="11">
        <f>HYPERLINK("https://careerviet.vn/vi/tim-viec-lam/lap-trinh-vien-erp-crm.35C69A78.html","Xem chi tiết")</f>
        <v/>
      </c>
      <c r="M13008" s="10" t="n"/>
    </row>
    <row r="13009">
      <c r="B13009" s="7" t="n">
        <v>13007</v>
      </c>
      <c r="C13009" t="inlineStr">
        <is>
          <t>Chuyên viên kiểm soát nội bộ</t>
        </is>
      </c>
      <c r="D13009" t="inlineStr">
        <is>
          <t>Bitex (Nhà phân phối độc quyền máy tính Casio tại Việt Nam)</t>
        </is>
      </c>
      <c r="E13009" t="inlineStr">
        <is>
          <t>Lương:Cạnh tranh</t>
        </is>
      </c>
      <c r="F13009" t="inlineStr">
        <is>
          <t>Hồ Chí Minh</t>
        </is>
      </c>
      <c r="G13009" t="inlineStr">
        <is>
          <t>31-03-2026</t>
        </is>
      </c>
      <c r="H13009" t="inlineStr">
        <is>
          <t>31/03/2026</t>
        </is>
      </c>
      <c r="I13009" t="inlineStr">
        <is>
          <t>17/03/2026</t>
        </is>
      </c>
      <c r="J13009" t="inlineStr">
        <is>
          <t>Kế toán / Kiểm toán</t>
        </is>
      </c>
      <c r="K13009" t="inlineStr">
        <is>
          <t>2 - 3 Năm</t>
        </is>
      </c>
      <c r="L13009" s="8">
        <f>HYPERLINK("https://careerviet.vn/vi/tim-viec-lam/chuyen-vien-kiem-soat-noi-bo.35C69C85.html","Xem chi tiết")</f>
        <v/>
      </c>
    </row>
    <row r="13010">
      <c r="B13010" s="9" t="n">
        <v>13008</v>
      </c>
      <c r="C13010" s="10" t="inlineStr">
        <is>
          <t>[QUINCE] Lễ Tân Nhà Hàng</t>
        </is>
      </c>
      <c r="D13010" s="10" t="inlineStr">
        <is>
          <t>Viet Thai International</t>
        </is>
      </c>
      <c r="E13010" s="10" t="inlineStr">
        <is>
          <t>Lương:Cạnh tranh</t>
        </is>
      </c>
      <c r="F13010" s="10" t="inlineStr">
        <is>
          <t>Hồ Chí Minh</t>
        </is>
      </c>
      <c r="G13010" s="10" t="inlineStr">
        <is>
          <t>24-03-2026</t>
        </is>
      </c>
      <c r="H13010" s="10" t="inlineStr">
        <is>
          <t>24/03/2026</t>
        </is>
      </c>
      <c r="I13010" s="10" t="inlineStr">
        <is>
          <t>17/03/2026</t>
        </is>
      </c>
      <c r="J13010" s="10" t="inlineStr">
        <is>
          <t>Nhà hàng / Khách sạn, Mới tốt nghiệp / Thực tập, Dịch vụ khách hàng</t>
        </is>
      </c>
      <c r="K13010" s="10" t="inlineStr">
        <is>
          <t>1 - 2 Năm</t>
        </is>
      </c>
      <c r="L13010" s="11">
        <f>HYPERLINK("https://careerviet.vn/vi/tim-viec-lam/quince-le-tan-nha-hang.35C6997A.html","Xem chi tiết")</f>
        <v/>
      </c>
      <c r="M13010" s="10" t="n"/>
    </row>
    <row r="13011">
      <c r="B13011" s="7" t="n">
        <v>13009</v>
      </c>
      <c r="C13011" t="inlineStr">
        <is>
          <t>Field QC Inspector (Factory-Based)</t>
        </is>
      </c>
      <c r="D13011" t="inlineStr">
        <is>
          <t>Công ty TNHH MV-Gear</t>
        </is>
      </c>
      <c r="E13011" t="inlineStr">
        <is>
          <t>Lương:Cạnh tranh</t>
        </is>
      </c>
      <c r="F13011" t="inlineStr">
        <is>
          <t>Hà Nội</t>
        </is>
      </c>
      <c r="G13011" t="inlineStr">
        <is>
          <t>31-03-2026</t>
        </is>
      </c>
      <c r="H13011" t="inlineStr">
        <is>
          <t>31/03/2026</t>
        </is>
      </c>
      <c r="I13011" t="inlineStr">
        <is>
          <t>17/03/2026</t>
        </is>
      </c>
      <c r="J13011" t="inlineStr">
        <is>
          <t>Dệt may / Da giày / Thời trang, Quản lý chất lượng (QA/QC), Đồ gỗ</t>
        </is>
      </c>
      <c r="K13011" t="inlineStr">
        <is>
          <t>2 - 3 Năm</t>
        </is>
      </c>
      <c r="L13011" s="8">
        <f>HYPERLINK("https://careerviet.vn/vi/tim-viec-lam/field-qc-inspector-factory-based.35C69B78.html","Xem chi tiết")</f>
        <v/>
      </c>
    </row>
    <row r="13012">
      <c r="B13012" s="9" t="n">
        <v>13010</v>
      </c>
      <c r="C13012" s="10" t="inlineStr">
        <is>
          <t>Thư ký Hội đồng Quản trị</t>
        </is>
      </c>
      <c r="D13012" s="10" t="inlineStr">
        <is>
          <t>CÔNG TY CỔ PHẦN TẬP ĐOÀN GDC</t>
        </is>
      </c>
      <c r="E13012" s="10" t="inlineStr">
        <is>
          <t>Lương:18 Tr - 28 Tr VND</t>
        </is>
      </c>
      <c r="F13012" s="10" t="inlineStr">
        <is>
          <t>Hà Nội</t>
        </is>
      </c>
      <c r="G13012" s="10" t="inlineStr">
        <is>
          <t>26-03-2026</t>
        </is>
      </c>
      <c r="H13012" s="10" t="inlineStr">
        <is>
          <t>26/03/2026</t>
        </is>
      </c>
      <c r="I13012" s="10" t="inlineStr">
        <is>
          <t>17/03/2026</t>
        </is>
      </c>
      <c r="J13012" s="10" t="inlineStr">
        <is>
          <t>Xây dựng, Luật / Pháp lý, Hành chính / Thư ký</t>
        </is>
      </c>
      <c r="K13012" s="10" t="inlineStr">
        <is>
          <t>3 - 10 Năm</t>
        </is>
      </c>
      <c r="L13012" s="11">
        <f>HYPERLINK("https://careerviet.vn/vi/tim-viec-lam/thu-ky-hoi-dong-quan-tri.35C69B96.html","Xem chi tiết")</f>
        <v/>
      </c>
      <c r="M13012" s="10" t="n"/>
    </row>
    <row r="13013">
      <c r="B13013" s="7" t="n">
        <v>13011</v>
      </c>
      <c r="C13013" t="inlineStr">
        <is>
          <t>Nhân viên vận hành Flower Academy</t>
        </is>
      </c>
      <c r="D13013" t="inlineStr">
        <is>
          <t>Dalat Hasfarm</t>
        </is>
      </c>
      <c r="E13013" t="inlineStr">
        <is>
          <t>Lương:Cạnh tranh</t>
        </is>
      </c>
      <c r="F13013" t="inlineStr">
        <is>
          <t>Hồ Chí Minh</t>
        </is>
      </c>
      <c r="G13013" t="inlineStr">
        <is>
          <t>25-03-2026</t>
        </is>
      </c>
      <c r="H13013" t="inlineStr">
        <is>
          <t>25/03/2026</t>
        </is>
      </c>
      <c r="I13013" t="inlineStr">
        <is>
          <t>17/03/2026</t>
        </is>
      </c>
      <c r="J13013" t="inlineStr">
        <is>
          <t>Tiếp thị / Marketing, Truyền hình / Báo chí / Biên tập, Quảng cáo / Đối ngoại / Truyền Thông</t>
        </is>
      </c>
      <c r="K13013" t="inlineStr">
        <is>
          <t>2 - 3 Năm</t>
        </is>
      </c>
      <c r="L13013" s="8">
        <f>HYPERLINK("https://careerviet.vn/vi/tim-viec-lam/nhan-vien-van-hanh-flower-academy.35C69C5F.html","Xem chi tiết")</f>
        <v/>
      </c>
    </row>
    <row r="13014">
      <c r="B13014" s="9" t="n">
        <v>13012</v>
      </c>
      <c r="C13014" s="10" t="inlineStr">
        <is>
          <t>Nhân Viên Tư Vấn Kênh Trả Góp_Quảng Nam</t>
        </is>
      </c>
      <c r="D13014" s="10" t="inlineStr">
        <is>
          <t>Công Ty Tài Chính TNHH Một Thành Viên Quốc Tế Việt Nam JACCS</t>
        </is>
      </c>
      <c r="E13014" s="10" t="inlineStr">
        <is>
          <t>Lương:5 Tr - 15 Tr VND</t>
        </is>
      </c>
      <c r="F13014" s="10" t="inlineStr">
        <is>
          <t>Quảng Nam</t>
        </is>
      </c>
      <c r="G13014" s="10" t="inlineStr">
        <is>
          <t>26-03-2026</t>
        </is>
      </c>
      <c r="H13014" s="10" t="inlineStr">
        <is>
          <t>26/03/2026</t>
        </is>
      </c>
      <c r="I13014" s="10" t="inlineStr">
        <is>
          <t>17/03/2026</t>
        </is>
      </c>
      <c r="J13014" s="10" t="inlineStr">
        <is>
          <t>Bán hàng / Kinh doanh, Tài chính / Đầu tư, Lao động phổ thông</t>
        </is>
      </c>
      <c r="K13014" s="10" t="inlineStr">
        <is>
          <t>N/A</t>
        </is>
      </c>
      <c r="L13014" s="11">
        <f>HYPERLINK("https://careerviet.vn/vi/tim-viec-lam/nhan-vien-tu-van-kenh-tra-gop_quang-nam.35C6992C.html","Xem chi tiết")</f>
        <v/>
      </c>
      <c r="M13014" s="10" t="n"/>
    </row>
    <row r="13015">
      <c r="B13015" s="7" t="n">
        <v>13013</v>
      </c>
      <c r="C13015" t="inlineStr">
        <is>
          <t>Chuyên viên Quản lý Kênh thay thế</t>
        </is>
      </c>
      <c r="D13015" t="inlineStr">
        <is>
          <t>Ngân Hàng TMCP Sài Gòn - Hà Nội ( SHB )</t>
        </is>
      </c>
      <c r="E13015" t="inlineStr">
        <is>
          <t>Lương:Cạnh tranh</t>
        </is>
      </c>
      <c r="F13015" t="inlineStr">
        <is>
          <t>Hà Nội</t>
        </is>
      </c>
      <c r="G13015" t="inlineStr">
        <is>
          <t>28-03-2026</t>
        </is>
      </c>
      <c r="H13015" t="inlineStr">
        <is>
          <t>28/03/2026</t>
        </is>
      </c>
      <c r="I13015" t="inlineStr">
        <is>
          <t>17/03/2026</t>
        </is>
      </c>
      <c r="J13015" t="inlineStr">
        <is>
          <t>Ngân hàng, Tài chính / Đầu tư</t>
        </is>
      </c>
      <c r="K13015" t="inlineStr">
        <is>
          <t>Trên 3 Năm</t>
        </is>
      </c>
      <c r="L13015" s="8">
        <f>HYPERLINK("https://careerviet.vn/vi/tim-viec-lam/chuyen-vien-quan-ly-kenh-thay-the.35C698F4.html","Xem chi tiết")</f>
        <v/>
      </c>
    </row>
    <row r="13016">
      <c r="B13016" s="9" t="n">
        <v>13014</v>
      </c>
      <c r="C13016" s="10" t="inlineStr">
        <is>
          <t>Nhân viên bảo trì điện</t>
        </is>
      </c>
      <c r="D13016" s="10" t="inlineStr">
        <is>
          <t>Công ty TNHH Olam Việt Nam</t>
        </is>
      </c>
      <c r="E13016" s="10" t="inlineStr">
        <is>
          <t>Lương:9 Tr - 12 Tr VND</t>
        </is>
      </c>
      <c r="F13016" s="10" t="inlineStr">
        <is>
          <t>Đồng Nai</t>
        </is>
      </c>
      <c r="G13016" s="10" t="inlineStr">
        <is>
          <t>31-03-2026</t>
        </is>
      </c>
      <c r="H13016" s="10" t="inlineStr">
        <is>
          <t>31/03/2026</t>
        </is>
      </c>
      <c r="I13016" s="10" t="inlineStr">
        <is>
          <t>17/03/2026</t>
        </is>
      </c>
      <c r="J13016" s="10" t="inlineStr">
        <is>
          <t>Bảo trì / Sửa chữa</t>
        </is>
      </c>
      <c r="K13016" s="10" t="inlineStr">
        <is>
          <t>1 - 3 Năm</t>
        </is>
      </c>
      <c r="L13016" s="11">
        <f>HYPERLINK("https://careerviet.vn/vi/tim-viec-lam/nhan-vien-bao-tri-dien.35C694CA.html","Xem chi tiết")</f>
        <v/>
      </c>
      <c r="M13016" s="10" t="n"/>
    </row>
    <row r="13017">
      <c r="B13017" s="7" t="n">
        <v>13015</v>
      </c>
      <c r="C13017" t="inlineStr">
        <is>
          <t>Import Export Coordinator (Nhơn Trạch - có xe đưa rước)</t>
        </is>
      </c>
      <c r="D13017" t="inlineStr">
        <is>
          <t>Summit Polymers Vietnam Co Ltd.</t>
        </is>
      </c>
      <c r="E13017" t="inlineStr">
        <is>
          <t>Lương:Cạnh tranh</t>
        </is>
      </c>
      <c r="F13017" t="inlineStr">
        <is>
          <t>Đồng Nai</t>
        </is>
      </c>
      <c r="G13017" t="inlineStr">
        <is>
          <t>26-03-2026</t>
        </is>
      </c>
      <c r="H13017" t="inlineStr">
        <is>
          <t>26/03/2026</t>
        </is>
      </c>
      <c r="I13017" t="inlineStr">
        <is>
          <t>17/03/2026</t>
        </is>
      </c>
      <c r="J13017" t="inlineStr">
        <is>
          <t>Cơ khí / Ô tô / Tự động hóa, Xuất nhập khẩu, Vận chuyển / Giao nhận / Kho vận</t>
        </is>
      </c>
      <c r="K13017" t="inlineStr">
        <is>
          <t>2 - 3 Năm</t>
        </is>
      </c>
      <c r="L13017" s="8">
        <f>HYPERLINK("https://careerviet.vn/vi/tim-viec-lam/import-export-coordinator-nhon-trach-co-xe-dua-ruoc.35C69B36.html","Xem chi tiết")</f>
        <v/>
      </c>
    </row>
    <row r="13018">
      <c r="B13018" s="9" t="n">
        <v>13016</v>
      </c>
      <c r="C13018" s="10" t="inlineStr">
        <is>
          <t>NHÂN VIÊN KỸ THUẬT THÍ NGHIỆM ĐIỆN</t>
        </is>
      </c>
      <c r="D13018" s="10" t="inlineStr">
        <is>
          <t>Công ty TNHH Tư Vấn &amp; Ứng Dụng Năng Lượng 360</t>
        </is>
      </c>
      <c r="E13018" s="10" t="inlineStr">
        <is>
          <t>Lương:8 Tr - 15 Tr VND</t>
        </is>
      </c>
      <c r="F13018" s="10" t="inlineStr">
        <is>
          <t>Đà Nẵng</t>
        </is>
      </c>
      <c r="G13018" s="10" t="inlineStr">
        <is>
          <t>28-04-2026</t>
        </is>
      </c>
      <c r="H13018" s="10" t="inlineStr">
        <is>
          <t>28/04/2026</t>
        </is>
      </c>
      <c r="I13018" s="10" t="inlineStr">
        <is>
          <t>17/03/2026</t>
        </is>
      </c>
      <c r="J13018" s="10" t="inlineStr">
        <is>
          <t>Điện / Điện tử / Điện lạnh / Điện công nghiệp, Bảo trì / Sửa chữa, Tư vấn</t>
        </is>
      </c>
      <c r="K13018" s="10" t="inlineStr">
        <is>
          <t>Chưa có kinh nghiệm</t>
        </is>
      </c>
      <c r="L13018" s="11">
        <f>HYPERLINK("https://careerviet.vn/vi/tim-viec-lam/nhan-vien-ky-thuat-thi-nghiem-dien.35C69AD8.html","Xem chi tiết")</f>
        <v/>
      </c>
      <c r="M13018" s="10" t="n"/>
    </row>
    <row r="13019">
      <c r="B13019" s="7" t="n">
        <v>13017</v>
      </c>
      <c r="C13019" t="inlineStr">
        <is>
          <t>Kỹ sư cơ điện tử</t>
        </is>
      </c>
      <c r="D13019" t="inlineStr">
        <is>
          <t>Công ty Cổ phần Thương mại Cổng Vàng</t>
        </is>
      </c>
      <c r="E13019" t="inlineStr">
        <is>
          <t>Lương:15 Tr - 30 Tr VND</t>
        </is>
      </c>
      <c r="F13019" t="inlineStr">
        <is>
          <t>Hà Nội</t>
        </is>
      </c>
      <c r="G13019" t="inlineStr">
        <is>
          <t>3</t>
        </is>
      </c>
      <c r="H13019" t="inlineStr">
        <is>
          <t>20/03/2026</t>
        </is>
      </c>
      <c r="I13019" t="inlineStr">
        <is>
          <t>17/03/2026</t>
        </is>
      </c>
      <c r="J13019" t="inlineStr">
        <is>
          <t>Cơ khí / Ô tô / Tự động hóa, Điện / Điện tử / Điện lạnh / Điện công nghiệp</t>
        </is>
      </c>
      <c r="K13019" t="inlineStr">
        <is>
          <t>Trên 2 Năm</t>
        </is>
      </c>
      <c r="L13019" s="8">
        <f>HYPERLINK("https://careerviet.vn/vi/tim-viec-lam/ky-su-co-dien-tu.35C69CBF.html","Xem chi tiết")</f>
        <v/>
      </c>
    </row>
    <row r="13020">
      <c r="B13020" s="9" t="n">
        <v>13018</v>
      </c>
      <c r="C13020" s="10" t="inlineStr">
        <is>
          <t>Phó phòng tài chính kế toán</t>
        </is>
      </c>
      <c r="D13020" s="10" t="inlineStr">
        <is>
          <t>CÔNG TY CỔ PHẦN ẨM THỰC SAO PHƯƠNG NAM GROUP</t>
        </is>
      </c>
      <c r="E13020" s="10" t="inlineStr">
        <is>
          <t>Lương:Cạnh tranh</t>
        </is>
      </c>
      <c r="F13020" s="10" t="inlineStr">
        <is>
          <t>Hà Nội</t>
        </is>
      </c>
      <c r="G13020" s="10" t="inlineStr">
        <is>
          <t>31-03-2026</t>
        </is>
      </c>
      <c r="H13020" s="10" t="inlineStr">
        <is>
          <t>31/03/2026</t>
        </is>
      </c>
      <c r="I13020" s="10" t="inlineStr">
        <is>
          <t>17/03/2026</t>
        </is>
      </c>
      <c r="J13020" s="10" t="inlineStr">
        <is>
          <t>Tài chính / Đầu tư, Nhà hàng / Khách sạn, Kế toán / Kiểm toán</t>
        </is>
      </c>
      <c r="K13020" s="10" t="inlineStr">
        <is>
          <t>3 - 5 Năm</t>
        </is>
      </c>
      <c r="L13020" s="11">
        <f>HYPERLINK("https://careerviet.vn/vi/tim-viec-lam/pho-phong-tai-chinh-ke-toan.35C699EB.html","Xem chi tiết")</f>
        <v/>
      </c>
      <c r="M13020" s="10" t="n"/>
    </row>
    <row r="13021">
      <c r="B13021" s="7" t="n">
        <v>13019</v>
      </c>
      <c r="C13021" t="inlineStr">
        <is>
          <t>Nhân viên hành chính nhân sự</t>
        </is>
      </c>
      <c r="D13021" t="inlineStr">
        <is>
          <t>Công Ty TNHH Bao Bì Nhựa Thành Phú</t>
        </is>
      </c>
      <c r="E13021" t="inlineStr">
        <is>
          <t>Lương:Cạnh tranh</t>
        </is>
      </c>
      <c r="F13021" t="inlineStr">
        <is>
          <t>Long An</t>
        </is>
      </c>
      <c r="G13021" t="inlineStr">
        <is>
          <t>25-03-2026</t>
        </is>
      </c>
      <c r="H13021" t="inlineStr">
        <is>
          <t>25/03/2026</t>
        </is>
      </c>
      <c r="I13021" t="inlineStr">
        <is>
          <t>17/03/2026</t>
        </is>
      </c>
      <c r="J13021" t="inlineStr">
        <is>
          <t>Nhân sự, Hành chính / Thư ký</t>
        </is>
      </c>
      <c r="K13021" t="inlineStr">
        <is>
          <t>2 - 3 Năm</t>
        </is>
      </c>
      <c r="L13021" s="8">
        <f>HYPERLINK("https://careerviet.vn/vi/tim-viec-lam/nhan-vien-hanh-chinh-nhan-su.35C697B0.html","Xem chi tiết")</f>
        <v/>
      </c>
    </row>
    <row r="13022">
      <c r="B13022" s="9" t="n">
        <v>13020</v>
      </c>
      <c r="C13022" s="10" t="inlineStr">
        <is>
          <t>Chuyên Viên Tư Vấn Giải Pháp (PreSale)</t>
        </is>
      </c>
      <c r="D13022" s="10" t="inlineStr">
        <is>
          <t>CÔNG TY CỔ PHẦN CÔNG NGHỆ 3S TOÀN CẦU</t>
        </is>
      </c>
      <c r="E13022" s="10" t="inlineStr">
        <is>
          <t>Lương:Cạnh tranh</t>
        </is>
      </c>
      <c r="F13022" s="10" t="inlineStr">
        <is>
          <t>Hà Nội</t>
        </is>
      </c>
      <c r="G13022" s="10" t="inlineStr">
        <is>
          <t>31-03-2026</t>
        </is>
      </c>
      <c r="H13022" s="10" t="inlineStr">
        <is>
          <t>31/03/2026</t>
        </is>
      </c>
      <c r="I13022" s="10" t="inlineStr">
        <is>
          <t>17/03/2026</t>
        </is>
      </c>
      <c r="J13022" s="10" t="inlineStr">
        <is>
          <t>CNTT - Phần mềm, Tư vấn</t>
        </is>
      </c>
      <c r="K13022" s="10" t="inlineStr">
        <is>
          <t>3 - 5 Năm</t>
        </is>
      </c>
      <c r="L13022" s="11">
        <f>HYPERLINK("https://careerviet.vn/vi/tim-viec-lam/chuyen-vien-tu-van-giai-phap-presale.35C6990D.html","Xem chi tiết")</f>
        <v/>
      </c>
      <c r="M13022" s="10" t="n"/>
    </row>
    <row r="13023">
      <c r="B13023" s="7" t="n">
        <v>13021</v>
      </c>
      <c r="C13023" t="inlineStr">
        <is>
          <t>Customer Service Leader</t>
        </is>
      </c>
      <c r="D13023" t="inlineStr">
        <is>
          <t>Công ty TNHH SOKOGROUP</t>
        </is>
      </c>
      <c r="E13023" t="inlineStr">
        <is>
          <t>Lương:Cạnh tranh</t>
        </is>
      </c>
      <c r="F13023" t="inlineStr">
        <is>
          <t>Hồ Chí Minh</t>
        </is>
      </c>
      <c r="G13023" t="inlineStr">
        <is>
          <t>26-03-2026</t>
        </is>
      </c>
      <c r="H13023" t="inlineStr">
        <is>
          <t>26/03/2026</t>
        </is>
      </c>
      <c r="I13023" t="inlineStr">
        <is>
          <t>17/03/2026</t>
        </is>
      </c>
      <c r="J13023" t="inlineStr">
        <is>
          <t>Dịch vụ khách hàng</t>
        </is>
      </c>
      <c r="K13023" t="inlineStr">
        <is>
          <t>Lên đến 2 Năm</t>
        </is>
      </c>
      <c r="L13023" s="8">
        <f>HYPERLINK("https://careerviet.vn/vi/tim-viec-lam/customer-service-leader.35C69B82.html","Xem chi tiết")</f>
        <v/>
      </c>
    </row>
    <row r="13024">
      <c r="B13024" s="9" t="n">
        <v>13022</v>
      </c>
      <c r="C13024" s="10" t="inlineStr">
        <is>
          <t>Key Account Executive</t>
        </is>
      </c>
      <c r="D13024" s="10" t="inlineStr">
        <is>
          <t>CÔNG TY CỔ PHẦN  ITL LOGISTICS</t>
        </is>
      </c>
      <c r="E13024" s="10" t="inlineStr">
        <is>
          <t>Lương:Cạnh tranh</t>
        </is>
      </c>
      <c r="F13024" s="10" t="inlineStr">
        <is>
          <t>Hồ Chí Minh</t>
        </is>
      </c>
      <c r="G13024" s="10" t="inlineStr">
        <is>
          <t>31-03-2026</t>
        </is>
      </c>
      <c r="H13024" s="10" t="inlineStr">
        <is>
          <t>31/03/2026</t>
        </is>
      </c>
      <c r="I13024" s="10" t="inlineStr">
        <is>
          <t>17/03/2026</t>
        </is>
      </c>
      <c r="J13024" s="10" t="inlineStr">
        <is>
          <t>Vận chuyển / Giao nhận / Kho vận, Bán hàng / Kinh doanh</t>
        </is>
      </c>
      <c r="K13024" s="10" t="inlineStr">
        <is>
          <t>1 - 4 Năm</t>
        </is>
      </c>
      <c r="L13024" s="11">
        <f>HYPERLINK("https://careerviet.vn/vi/tim-viec-lam/key-account-executive.35C698E0.html","Xem chi tiết")</f>
        <v/>
      </c>
      <c r="M13024" s="10" t="n"/>
    </row>
    <row r="13025">
      <c r="B13025" s="7" t="n">
        <v>13023</v>
      </c>
      <c r="C13025" t="inlineStr">
        <is>
          <t>Nhân Viên Chứng Từ Khai báo Hải Quan</t>
        </is>
      </c>
      <c r="D13025" t="inlineStr">
        <is>
          <t>Công ty TNHH Khải Minh Group</t>
        </is>
      </c>
      <c r="E13025" t="inlineStr">
        <is>
          <t>Lương:8 Tr - 13 Tr VND</t>
        </is>
      </c>
      <c r="F13025" t="inlineStr">
        <is>
          <t>Hà NộiHải Phòng</t>
        </is>
      </c>
      <c r="G13025" t="inlineStr">
        <is>
          <t>11-03-2026</t>
        </is>
      </c>
      <c r="H13025" t="inlineStr">
        <is>
          <t>28/02/2026</t>
        </is>
      </c>
      <c r="I13025" t="inlineStr">
        <is>
          <t>17/03/2026</t>
        </is>
      </c>
      <c r="J13025" t="inlineStr">
        <is>
          <t>Vận chuyển / Giao nhận / Kho vận, Xuất nhập khẩu</t>
        </is>
      </c>
      <c r="K13025" t="inlineStr">
        <is>
          <t>1 - 2 Năm</t>
        </is>
      </c>
      <c r="L13025" s="8">
        <f>HYPERLINK("https://careerviet.vn/vi/tim-viec-lam/nhan-vien-chung-tu-khai-bao-hai-quan.35C69163.html","Xem chi tiết")</f>
        <v/>
      </c>
    </row>
    <row r="13026">
      <c r="B13026" s="9" t="n">
        <v>13024</v>
      </c>
      <c r="C13026" s="10" t="inlineStr">
        <is>
          <t>Nhân Viên Vận Hành Đóng Gói</t>
        </is>
      </c>
      <c r="D13026" s="10" t="inlineStr">
        <is>
          <t>CÔNG TY TNHH NƯỚC GIẢI KHÁT &amp; BAO BÌ THỰC PHẨM VINAKEN</t>
        </is>
      </c>
      <c r="E13026" s="10" t="inlineStr">
        <is>
          <t>Lương:13 Tr - 15 Tr VND</t>
        </is>
      </c>
      <c r="F13026" s="10" t="inlineStr">
        <is>
          <t>Bắc Giang</t>
        </is>
      </c>
      <c r="G13026" s="10" t="inlineStr">
        <is>
          <t>30-04-2026</t>
        </is>
      </c>
      <c r="H13026" s="10" t="inlineStr">
        <is>
          <t>30/04/2026</t>
        </is>
      </c>
      <c r="I13026" s="10" t="inlineStr">
        <is>
          <t>17/03/2026</t>
        </is>
      </c>
      <c r="J13026" s="10" t="inlineStr">
        <is>
          <t>Cơ khí / Ô tô / Tự động hóa, Bảo trì / Sửa chữa, Sản xuất / Vận hành sản xuất</t>
        </is>
      </c>
      <c r="K13026" s="10" t="inlineStr">
        <is>
          <t>N/A</t>
        </is>
      </c>
      <c r="L13026" s="11">
        <f>HYPERLINK("https://careerviet.vn/vi/tim-viec-lam/nhan-vien-van-hanh-dong-goi.35C69C0C.html","Xem chi tiết")</f>
        <v/>
      </c>
      <c r="M13026" s="10" t="n"/>
    </row>
    <row r="13027">
      <c r="B13027" s="7" t="n">
        <v>13025</v>
      </c>
      <c r="C13027" t="inlineStr">
        <is>
          <t>Giám sát bảo trì điện (Tiến Nga/ An Phước)</t>
        </is>
      </c>
      <c r="D13027" t="inlineStr">
        <is>
          <t>Công ty TNHH Olam Việt Nam</t>
        </is>
      </c>
      <c r="E13027" t="inlineStr">
        <is>
          <t>Lương:Cạnh tranh</t>
        </is>
      </c>
      <c r="F13027" t="inlineStr">
        <is>
          <t>Đồng Nai</t>
        </is>
      </c>
      <c r="G13027" t="inlineStr">
        <is>
          <t>11-03-2026</t>
        </is>
      </c>
      <c r="H13027" t="inlineStr">
        <is>
          <t>28/02/2026</t>
        </is>
      </c>
      <c r="I13027" t="inlineStr">
        <is>
          <t>17/03/2026</t>
        </is>
      </c>
      <c r="J13027" t="inlineStr">
        <is>
          <t>Bảo trì / Sửa chữa</t>
        </is>
      </c>
      <c r="K13027" t="inlineStr">
        <is>
          <t>1 - 2 Năm</t>
        </is>
      </c>
      <c r="L13027" s="8">
        <f>HYPERLINK("https://careerviet.vn/vi/tim-viec-lam/giam-sat-bao-tri-dien-tien-nga-an-phuoc.35C64BC7.html","Xem chi tiết")</f>
        <v/>
      </c>
    </row>
    <row r="13028">
      <c r="B13028" s="9" t="n">
        <v>13026</v>
      </c>
      <c r="C13028" s="10" t="inlineStr">
        <is>
          <t>Chăm sóc học viên HSK</t>
        </is>
      </c>
      <c r="D13028" s="10" t="inlineStr">
        <is>
          <t>CÔNG TY CỔ PHẦN CÔNG NGHỆ PREP</t>
        </is>
      </c>
      <c r="E13028" s="10" t="inlineStr">
        <is>
          <t>Lương:7 Tr - 10 Tr VND</t>
        </is>
      </c>
      <c r="F13028" s="10" t="inlineStr">
        <is>
          <t>Hà Nội</t>
        </is>
      </c>
      <c r="G13028" s="10" t="inlineStr">
        <is>
          <t>31-03-2026</t>
        </is>
      </c>
      <c r="H13028" s="10" t="inlineStr">
        <is>
          <t>31/03/2026</t>
        </is>
      </c>
      <c r="I13028" s="10" t="inlineStr">
        <is>
          <t>17/03/2026</t>
        </is>
      </c>
      <c r="J13028" s="10" t="inlineStr">
        <is>
          <t>Dịch vụ khách hàng, Giáo dục / Đào tạo, Tư vấn</t>
        </is>
      </c>
      <c r="K13028" s="10" t="inlineStr">
        <is>
          <t>Lên đến 1 Năm</t>
        </is>
      </c>
      <c r="L13028" s="11">
        <f>HYPERLINK("https://careerviet.vn/vi/tim-viec-lam/cham-soc-hoc-vien-hsk.35C69A49.html","Xem chi tiết")</f>
        <v/>
      </c>
      <c r="M13028" s="10" t="n"/>
    </row>
    <row r="13029">
      <c r="B13029" s="7" t="n">
        <v>13027</v>
      </c>
      <c r="C13029" t="inlineStr">
        <is>
          <t>Nhân viên chăm sóc khách hàng &amp; sales Online</t>
        </is>
      </c>
      <c r="D13029" t="inlineStr">
        <is>
          <t>Công Ty TNHH XNK Phát Triển Đông Dương</t>
        </is>
      </c>
      <c r="E13029" t="inlineStr">
        <is>
          <t>Lương:13 Tr - 15 Tr VND</t>
        </is>
      </c>
      <c r="F13029" t="inlineStr">
        <is>
          <t>Hồ Chí Minh</t>
        </is>
      </c>
      <c r="G13029" t="inlineStr">
        <is>
          <t>31-03-2026</t>
        </is>
      </c>
      <c r="H13029" t="inlineStr">
        <is>
          <t>31/03/2026</t>
        </is>
      </c>
      <c r="I13029" t="inlineStr">
        <is>
          <t>17/03/2026</t>
        </is>
      </c>
      <c r="J13029" t="inlineStr">
        <is>
          <t>Y tế / Chăm sóc sức khỏe / Thẩm mỹ / Làm đẹp, Tư vấn, Bán hàng / Kinh doanh</t>
        </is>
      </c>
      <c r="K13029" t="inlineStr">
        <is>
          <t>1 - 2 Năm</t>
        </is>
      </c>
      <c r="L13029" s="8">
        <f>HYPERLINK("https://careerviet.vn/vi/tim-viec-lam/nhan-vien-cham-soc-khach-hang-sales-online.35C69C83.html","Xem chi tiết")</f>
        <v/>
      </c>
    </row>
    <row r="13030">
      <c r="B13030" s="9" t="n">
        <v>13028</v>
      </c>
      <c r="C13030" s="10" t="inlineStr">
        <is>
          <t>Nhân Viên Tư Vấn Kênh Trả Góp_Ninh Bình</t>
        </is>
      </c>
      <c r="D13030" s="10" t="inlineStr">
        <is>
          <t>Công Ty Tài Chính TNHH Một Thành Viên Quốc Tế Việt Nam JACCS</t>
        </is>
      </c>
      <c r="E13030" s="10" t="inlineStr">
        <is>
          <t>Lương:5 Tr - 15 Tr VND</t>
        </is>
      </c>
      <c r="F13030" s="10" t="inlineStr">
        <is>
          <t>Ninh Bình</t>
        </is>
      </c>
      <c r="G13030" s="10" t="inlineStr">
        <is>
          <t>26-03-2026</t>
        </is>
      </c>
      <c r="H13030" s="10" t="inlineStr">
        <is>
          <t>26/03/2026</t>
        </is>
      </c>
      <c r="I13030" s="10" t="inlineStr">
        <is>
          <t>17/03/2026</t>
        </is>
      </c>
      <c r="J13030" s="10" t="inlineStr">
        <is>
          <t>Bán hàng / Kinh doanh, Tài chính / Đầu tư, Lao động phổ thông</t>
        </is>
      </c>
      <c r="K13030" s="10" t="inlineStr">
        <is>
          <t>N/A</t>
        </is>
      </c>
      <c r="L13030" s="11">
        <f>HYPERLINK("https://careerviet.vn/vi/tim-viec-lam/nhan-vien-tu-van-kenh-tra-gop_ninh-binh.35C69915.html","Xem chi tiết")</f>
        <v/>
      </c>
      <c r="M13030" s="10" t="n"/>
    </row>
    <row r="13031">
      <c r="B13031" s="7" t="n">
        <v>13029</v>
      </c>
      <c r="C13031" t="inlineStr">
        <is>
          <t>International Salesperson</t>
        </is>
      </c>
      <c r="D13031" t="inlineStr">
        <is>
          <t>Công ty TNHH Sài Gòn Stec</t>
        </is>
      </c>
      <c r="E13031" t="inlineStr">
        <is>
          <t>Lương:10 Tr - 20 Tr VND</t>
        </is>
      </c>
      <c r="F13031" t="inlineStr">
        <is>
          <t>Bình Dương</t>
        </is>
      </c>
      <c r="G13031" t="inlineStr">
        <is>
          <t>26-03-2026</t>
        </is>
      </c>
      <c r="H13031" t="inlineStr">
        <is>
          <t>26/03/2026</t>
        </is>
      </c>
      <c r="I13031" t="inlineStr">
        <is>
          <t>17/03/2026</t>
        </is>
      </c>
      <c r="J13031" t="inlineStr">
        <is>
          <t>Bán hàng / Kinh doanh, Bán Hàng Kỹ Thuật, Thương mại điện tử</t>
        </is>
      </c>
      <c r="K13031" t="inlineStr">
        <is>
          <t>1 - 3 Năm</t>
        </is>
      </c>
      <c r="L13031" s="8">
        <f>HYPERLINK("https://careerviet.vn/vi/tim-viec-lam/international-salesperson.35C699F7.html","Xem chi tiết")</f>
        <v/>
      </c>
    </row>
    <row r="13032">
      <c r="B13032" s="9" t="n">
        <v>13030</v>
      </c>
      <c r="C13032" s="10" t="inlineStr">
        <is>
          <t>Nhân viên Kiểm Kê</t>
        </is>
      </c>
      <c r="D13032" s="10" t="inlineStr">
        <is>
          <t>Công ty đầu tư T&amp;L Việt Nam</t>
        </is>
      </c>
      <c r="E13032" s="10" t="inlineStr">
        <is>
          <t>Lương:Cạnh tranh</t>
        </is>
      </c>
      <c r="F13032" s="10" t="inlineStr">
        <is>
          <t>Hà Nội</t>
        </is>
      </c>
      <c r="G13032" s="10" t="inlineStr">
        <is>
          <t>28-03-2026</t>
        </is>
      </c>
      <c r="H13032" s="10" t="inlineStr">
        <is>
          <t>28/03/2026</t>
        </is>
      </c>
      <c r="I13032" s="10" t="inlineStr">
        <is>
          <t>17/03/2026</t>
        </is>
      </c>
      <c r="J13032" s="10" t="inlineStr">
        <is>
          <t>Kế toán / Kiểm toán</t>
        </is>
      </c>
      <c r="K13032" s="10" t="inlineStr">
        <is>
          <t>Chưa có kinh nghiệm</t>
        </is>
      </c>
      <c r="L13032" s="11">
        <f>HYPERLINK("https://careerviet.vn/vi/tim-viec-lam/nhan-vien-kiem-ke.35C69A5E.html","Xem chi tiết")</f>
        <v/>
      </c>
      <c r="M13032" s="10" t="n"/>
    </row>
    <row r="13033">
      <c r="B13033" s="7" t="n">
        <v>13031</v>
      </c>
      <c r="C13033" t="inlineStr">
        <is>
          <t>Trưởng Bộ Phận Kho Vận</t>
        </is>
      </c>
      <c r="D13033" t="inlineStr">
        <is>
          <t>CÔNG TY TNHH THỰC PHẨM CUỘC SỐNG</t>
        </is>
      </c>
      <c r="E13033" t="inlineStr">
        <is>
          <t>Lương:18 Tr - 25 Tr VND</t>
        </is>
      </c>
      <c r="F13033" t="inlineStr">
        <is>
          <t>Hà Nội</t>
        </is>
      </c>
      <c r="G13033" t="inlineStr">
        <is>
          <t>25-03-2026</t>
        </is>
      </c>
      <c r="H13033" t="inlineStr">
        <is>
          <t>25/03/2026</t>
        </is>
      </c>
      <c r="I13033" t="inlineStr">
        <is>
          <t>17/03/2026</t>
        </is>
      </c>
      <c r="J13033" t="inlineStr">
        <is>
          <t>Vận chuyển / Giao nhận / Kho vận, Quản lý điều hành, Hành chính / Thư ký</t>
        </is>
      </c>
      <c r="K13033" t="inlineStr">
        <is>
          <t>Trên 1 Năm</t>
        </is>
      </c>
      <c r="L13033" s="8">
        <f>HYPERLINK("https://careerviet.vn/vi/tim-viec-lam/truong-bo-phan-kho-van.35C69BE1.html","Xem chi tiết")</f>
        <v/>
      </c>
    </row>
    <row r="13034">
      <c r="B13034" s="9" t="n">
        <v>13032</v>
      </c>
      <c r="C13034" s="10" t="inlineStr">
        <is>
          <t>Nhân Viên Kinh Doanh Logistics</t>
        </is>
      </c>
      <c r="D13034" s="10" t="inlineStr">
        <is>
          <t>Công ty TNHH Khải Minh Group</t>
        </is>
      </c>
      <c r="E13034" s="10" t="inlineStr">
        <is>
          <t>Lương:10 Tr - 20 Tr VND</t>
        </is>
      </c>
      <c r="F13034" s="10" t="inlineStr">
        <is>
          <t>Hà Nội</t>
        </is>
      </c>
      <c r="G13034" s="10" t="inlineStr">
        <is>
          <t>11-03-2026</t>
        </is>
      </c>
      <c r="H13034" s="10" t="inlineStr">
        <is>
          <t>28/02/2026</t>
        </is>
      </c>
      <c r="I13034" s="10" t="inlineStr">
        <is>
          <t>17/03/2026</t>
        </is>
      </c>
      <c r="J13034" s="10" t="inlineStr">
        <is>
          <t>Vận chuyển / Giao nhận / Kho vận, Bán hàng / Kinh doanh</t>
        </is>
      </c>
      <c r="K13034" s="10" t="inlineStr">
        <is>
          <t>1 - 2 Năm</t>
        </is>
      </c>
      <c r="L13034" s="11">
        <f>HYPERLINK("https://careerviet.vn/vi/tim-viec-lam/nhan-vien-kinh-doanh-logistics.35C69165.html","Xem chi tiết")</f>
        <v/>
      </c>
      <c r="M13034" s="10" t="n"/>
    </row>
    <row r="13035">
      <c r="B13035" s="7" t="n">
        <v>13033</v>
      </c>
      <c r="C13035" t="inlineStr">
        <is>
          <t>Chuyên viên CRM (Quản lý Dữ liệu &amp; QH Khách hàng)</t>
        </is>
      </c>
      <c r="D13035" t="inlineStr">
        <is>
          <t>CÔNG TY TNHH ANTA SPORTS VIỆT NAM</t>
        </is>
      </c>
      <c r="E13035" t="inlineStr">
        <is>
          <t>Lương:15 Tr - 20 Tr VND</t>
        </is>
      </c>
      <c r="F13035" t="inlineStr">
        <is>
          <t>Hà Nội</t>
        </is>
      </c>
      <c r="G13035" t="inlineStr">
        <is>
          <t>26-03-2026</t>
        </is>
      </c>
      <c r="H13035" t="inlineStr">
        <is>
          <t>26/03/2026</t>
        </is>
      </c>
      <c r="I13035" t="inlineStr">
        <is>
          <t>17/03/2026</t>
        </is>
      </c>
      <c r="J13035" t="inlineStr">
        <is>
          <t>Tiếp thị / Marketing, Tiếp thị trực tuyến, Dịch vụ khách hàng</t>
        </is>
      </c>
      <c r="K13035" t="inlineStr">
        <is>
          <t>2 - 4 Năm</t>
        </is>
      </c>
      <c r="L13035" s="8">
        <f>HYPERLINK("https://careerviet.vn/vi/tim-viec-lam/chuyen-vien-crm-quan-ly-du-lieu-qh-khach-hang.35C69A35.html","Xem chi tiết")</f>
        <v/>
      </c>
    </row>
    <row r="13036">
      <c r="B13036" s="9" t="n">
        <v>13034</v>
      </c>
      <c r="C13036" s="10" t="inlineStr">
        <is>
          <t>Chuyên viên Thủ tục và Chăm sóc khách hàng - Virex</t>
        </is>
      </c>
      <c r="D13036" s="10" t="inlineStr">
        <is>
          <t>Alphanam Group</t>
        </is>
      </c>
      <c r="E13036" s="10" t="inlineStr">
        <is>
          <t>Lương:Cạnh tranh</t>
        </is>
      </c>
      <c r="F13036" s="10" t="inlineStr">
        <is>
          <t>Hà Nội</t>
        </is>
      </c>
      <c r="G13036" s="10" t="inlineStr">
        <is>
          <t>28-03-2026</t>
        </is>
      </c>
      <c r="H13036" s="10" t="inlineStr">
        <is>
          <t>28/03/2026</t>
        </is>
      </c>
      <c r="I13036" s="10" t="inlineStr">
        <is>
          <t>17/03/2026</t>
        </is>
      </c>
      <c r="J13036" s="10" t="inlineStr">
        <is>
          <t>Bất động sản</t>
        </is>
      </c>
      <c r="K13036" s="10" t="inlineStr">
        <is>
          <t>2 - 3 Năm</t>
        </is>
      </c>
      <c r="L13036" s="11">
        <f>HYPERLINK("https://careerviet.vn/vi/tim-viec-lam/chuyen-vien-thu-tuc-va-cham-soc-khach-hang-virex.35C6990C.html","Xem chi tiết")</f>
        <v/>
      </c>
      <c r="M13036" s="10" t="n"/>
    </row>
    <row r="13037">
      <c r="B13037" s="7" t="n">
        <v>13035</v>
      </c>
      <c r="C13037" t="inlineStr">
        <is>
          <t>Liobank - Chuyên viên Chăm sóc khách hàng</t>
        </is>
      </c>
      <c r="D13037" t="inlineStr">
        <is>
          <t>Ngân Hàng TMCP Phương Đông - OCB</t>
        </is>
      </c>
      <c r="E13037" t="inlineStr">
        <is>
          <t>Lương:Cạnh tranh</t>
        </is>
      </c>
      <c r="F13037" t="inlineStr">
        <is>
          <t>Hồ Chí Minh</t>
        </is>
      </c>
      <c r="G13037" t="inlineStr">
        <is>
          <t>31-03-2026</t>
        </is>
      </c>
      <c r="H13037" t="inlineStr">
        <is>
          <t>31/03/2026</t>
        </is>
      </c>
      <c r="I13037" t="inlineStr">
        <is>
          <t>17/03/2026</t>
        </is>
      </c>
      <c r="J13037" t="inlineStr">
        <is>
          <t>Ngân hàng, Tài chính / Đầu tư</t>
        </is>
      </c>
      <c r="K13037" t="inlineStr">
        <is>
          <t>1 - 3 Năm</t>
        </is>
      </c>
      <c r="L13037" s="8">
        <f>HYPERLINK("https://careerviet.vn/vi/tim-viec-lam/liobank-chuyen-vien-cham-soc-khach-hang.35C69CC2.html","Xem chi tiết")</f>
        <v/>
      </c>
    </row>
    <row r="13038">
      <c r="B13038" s="9" t="n">
        <v>13036</v>
      </c>
      <c r="C13038" s="10" t="inlineStr">
        <is>
          <t>TOUR OPERATION</t>
        </is>
      </c>
      <c r="D13038" s="10" t="inlineStr">
        <is>
          <t>CÔNG TY TNHH SAFFRONCLUB VIỆT NAM</t>
        </is>
      </c>
      <c r="E13038" s="10" t="inlineStr">
        <is>
          <t>Lương:10 Tr - 14 Tr VND</t>
        </is>
      </c>
      <c r="F13038" s="10" t="inlineStr">
        <is>
          <t>Hồ Chí Minh</t>
        </is>
      </c>
      <c r="G13038" s="10" t="inlineStr">
        <is>
          <t>09-04-2026</t>
        </is>
      </c>
      <c r="H13038" s="10" t="inlineStr">
        <is>
          <t>09/04/2026</t>
        </is>
      </c>
      <c r="I13038" s="10" t="inlineStr">
        <is>
          <t>17/03/2026</t>
        </is>
      </c>
      <c r="J13038" s="10" t="inlineStr">
        <is>
          <t>Kế toán / Kiểm toán, Tài chính / Đầu tư, Bán lẻ / Bán sỉ</t>
        </is>
      </c>
      <c r="K13038" s="10" t="inlineStr">
        <is>
          <t>Trên 1 Năm</t>
        </is>
      </c>
      <c r="L13038" s="11">
        <f>HYPERLINK("https://careerviet.vn/vi/tim-viec-lam/tour-operation.35C697B5.html","Xem chi tiết")</f>
        <v/>
      </c>
      <c r="M13038" s="10" t="n"/>
    </row>
    <row r="13039">
      <c r="B13039" s="7" t="n">
        <v>13037</v>
      </c>
      <c r="C13039" t="inlineStr">
        <is>
          <t>Logistics Executive (Temp 8M)</t>
        </is>
      </c>
      <c r="D13039" t="inlineStr">
        <is>
          <t>CÔNG TY TNHH MSC VIỆT NAM</t>
        </is>
      </c>
      <c r="E13039" t="inlineStr">
        <is>
          <t>Lương:Cạnh tranh</t>
        </is>
      </c>
      <c r="F13039" t="inlineStr">
        <is>
          <t>Hồ Chí Minh</t>
        </is>
      </c>
      <c r="G13039" t="inlineStr">
        <is>
          <t>31-03-2026</t>
        </is>
      </c>
      <c r="H13039" t="inlineStr">
        <is>
          <t>31/03/2026</t>
        </is>
      </c>
      <c r="I13039" t="inlineStr">
        <is>
          <t>17/03/2026</t>
        </is>
      </c>
      <c r="J13039" t="inlineStr">
        <is>
          <t>Vận chuyển / Giao nhận / Kho vận, Xuất nhập khẩu</t>
        </is>
      </c>
      <c r="K13039" t="inlineStr">
        <is>
          <t>1 - 2 Năm</t>
        </is>
      </c>
      <c r="L13039" s="8">
        <f>HYPERLINK("https://careerviet.vn/vi/tim-viec-lam/logistics-executive-temp-8m.35C69C88.html","Xem chi tiết")</f>
        <v/>
      </c>
    </row>
    <row r="13040">
      <c r="B13040" s="9" t="n">
        <v>13038</v>
      </c>
      <c r="C13040" s="10" t="inlineStr">
        <is>
          <t>Luật sư nội bộ</t>
        </is>
      </c>
      <c r="D13040" s="10" t="inlineStr">
        <is>
          <t>Công ty TNHH Bình Việt Đức (BIVID)</t>
        </is>
      </c>
      <c r="E13040" s="10" t="inlineStr">
        <is>
          <t>Lương:Cạnh tranh</t>
        </is>
      </c>
      <c r="F13040" s="10" t="inlineStr">
        <is>
          <t>Hồ Chí Minh</t>
        </is>
      </c>
      <c r="G13040" s="10" t="inlineStr">
        <is>
          <t>30-03-2026</t>
        </is>
      </c>
      <c r="H13040" s="10" t="inlineStr">
        <is>
          <t>30/03/2026</t>
        </is>
      </c>
      <c r="I13040" s="10" t="inlineStr">
        <is>
          <t>17/03/2026</t>
        </is>
      </c>
      <c r="J13040" s="10" t="inlineStr">
        <is>
          <t>Y tế / Chăm sóc sức khỏe / Thẩm mỹ / Làm đẹp, Luật / Pháp lý, Nhân sự</t>
        </is>
      </c>
      <c r="K13040" s="10" t="inlineStr">
        <is>
          <t>3 - 5 Năm</t>
        </is>
      </c>
      <c r="L13040" s="11">
        <f>HYPERLINK("https://careerviet.vn/vi/tim-viec-lam/luat-su-noi-bo.35C6994B.html","Xem chi tiết")</f>
        <v/>
      </c>
      <c r="M13040" s="10" t="n"/>
    </row>
    <row r="13041">
      <c r="B13041" s="7" t="n">
        <v>13039</v>
      </c>
      <c r="C13041" t="inlineStr">
        <is>
          <t>Trưởng Ban Kế Hoạch Tiến Độ (Chủ Đầu Tư)</t>
        </is>
      </c>
      <c r="D13041" t="inlineStr">
        <is>
          <t>Tập Đoàn Tân Á Đại Thành</t>
        </is>
      </c>
      <c r="E13041" t="inlineStr">
        <is>
          <t>Lương:Cạnh tranh</t>
        </is>
      </c>
      <c r="F13041" t="inlineStr">
        <is>
          <t>Hà Nội</t>
        </is>
      </c>
      <c r="G13041" t="inlineStr">
        <is>
          <t>28-03-2026</t>
        </is>
      </c>
      <c r="H13041" t="inlineStr">
        <is>
          <t>28/03/2026</t>
        </is>
      </c>
      <c r="I13041" t="inlineStr">
        <is>
          <t>17/03/2026</t>
        </is>
      </c>
      <c r="J13041" t="inlineStr">
        <is>
          <t>Xây dựng</t>
        </is>
      </c>
      <c r="K13041" t="inlineStr">
        <is>
          <t>Trên 5 Năm</t>
        </is>
      </c>
      <c r="L13041" s="8">
        <f>HYPERLINK("https://careerviet.vn/vi/tim-viec-lam/truong-ban-ke-hoach-tien-do-chu-dau-tu.35C69A52.html","Xem chi tiết")</f>
        <v/>
      </c>
    </row>
    <row r="13042">
      <c r="B13042" s="9" t="n">
        <v>13040</v>
      </c>
      <c r="C13042" s="10" t="inlineStr">
        <is>
          <t>Nhân Viên R&amp;D</t>
        </is>
      </c>
      <c r="D13042" s="10" t="inlineStr">
        <is>
          <t>Công ty cổ phần sản xuất và xuất khẩu Quế hồi Việt Nam</t>
        </is>
      </c>
      <c r="E13042" s="10" t="inlineStr">
        <is>
          <t>Lương:15 Tr - 20 Tr VND</t>
        </is>
      </c>
      <c r="F13042" s="10" t="inlineStr">
        <is>
          <t>Hà Nội</t>
        </is>
      </c>
      <c r="G13042" s="10" t="inlineStr">
        <is>
          <t>31-03-2026</t>
        </is>
      </c>
      <c r="H13042" s="10" t="inlineStr">
        <is>
          <t>31/03/2026</t>
        </is>
      </c>
      <c r="I13042" s="10" t="inlineStr">
        <is>
          <t>17/03/2026</t>
        </is>
      </c>
      <c r="J13042" s="10" t="inlineStr">
        <is>
          <t>Dược phẩm/ Hóa Mỹ Phẩm, Công nghệ sinh học, Hóa học</t>
        </is>
      </c>
      <c r="K13042" s="10" t="inlineStr">
        <is>
          <t>1 - 3 Năm</t>
        </is>
      </c>
      <c r="L13042" s="11">
        <f>HYPERLINK("https://careerviet.vn/vi/tim-viec-lam/nhan-vien-r-d.35BF5ED7.html","Xem chi tiết")</f>
        <v/>
      </c>
      <c r="M13042" s="10" t="n"/>
    </row>
    <row r="13043">
      <c r="B13043" s="7" t="n">
        <v>13041</v>
      </c>
      <c r="C13043" t="inlineStr">
        <is>
          <t>Strategic Human Resources Manager</t>
        </is>
      </c>
      <c r="D13043" t="inlineStr">
        <is>
          <t>Action Composites Hightech Industries</t>
        </is>
      </c>
      <c r="E13043" t="inlineStr">
        <is>
          <t>Lương:Cạnh tranh</t>
        </is>
      </c>
      <c r="F13043" t="inlineStr">
        <is>
          <t>Đồng Nai</t>
        </is>
      </c>
      <c r="G13043" t="inlineStr">
        <is>
          <t>15-04-2026</t>
        </is>
      </c>
      <c r="H13043" t="inlineStr">
        <is>
          <t>15/04/2026</t>
        </is>
      </c>
      <c r="I13043" t="inlineStr">
        <is>
          <t>17/03/2026</t>
        </is>
      </c>
      <c r="J13043" t="inlineStr">
        <is>
          <t>Nhân sự, Sản xuất / Vận hành sản xuất, Cơ khí / Ô tô / Tự động hóa</t>
        </is>
      </c>
      <c r="K13043" t="inlineStr">
        <is>
          <t>8 - 15 Năm</t>
        </is>
      </c>
      <c r="L13043" s="8">
        <f>HYPERLINK("https://careerviet.vn/vi/tim-viec-lam/strategic-human-resources-manager.35C69C1A.html","Xem chi tiết")</f>
        <v/>
      </c>
    </row>
    <row r="13044">
      <c r="B13044" s="9" t="n">
        <v>13042</v>
      </c>
      <c r="C13044" s="10" t="inlineStr">
        <is>
          <t>Kế toán thuế</t>
        </is>
      </c>
      <c r="D13044" s="10" t="inlineStr">
        <is>
          <t>CÔNG TY CỔ PHẦN TẬP ĐOÀN GDC</t>
        </is>
      </c>
      <c r="E13044" s="10" t="inlineStr">
        <is>
          <t>Lương:15 Tr - 23 Tr VND</t>
        </is>
      </c>
      <c r="F13044" s="10" t="inlineStr">
        <is>
          <t>Hà Nội</t>
        </is>
      </c>
      <c r="G13044" s="10" t="inlineStr">
        <is>
          <t>26-03-2026</t>
        </is>
      </c>
      <c r="H13044" s="10" t="inlineStr">
        <is>
          <t>26/03/2026</t>
        </is>
      </c>
      <c r="I13044" s="10" t="inlineStr">
        <is>
          <t>17/03/2026</t>
        </is>
      </c>
      <c r="J13044" s="10" t="inlineStr">
        <is>
          <t>Kế toán / Kiểm toán</t>
        </is>
      </c>
      <c r="K13044" s="10" t="inlineStr">
        <is>
          <t>3 - 10 Năm</t>
        </is>
      </c>
      <c r="L13044" s="11">
        <f>HYPERLINK("https://careerviet.vn/vi/tim-viec-lam/ke-toan-thue.35C69CC3.html","Xem chi tiết")</f>
        <v/>
      </c>
      <c r="M13044" s="10" t="n"/>
    </row>
    <row r="13045">
      <c r="B13045" s="7" t="n">
        <v>13043</v>
      </c>
      <c r="C13045" t="inlineStr">
        <is>
          <t>Chuyên Viên Tuân Thủ Chất Lượng</t>
        </is>
      </c>
      <c r="D13045" t="inlineStr">
        <is>
          <t>Orioled Hub</t>
        </is>
      </c>
      <c r="E13045" t="inlineStr">
        <is>
          <t>Lương:Cạnh tranh</t>
        </is>
      </c>
      <c r="F13045" t="inlineStr">
        <is>
          <t>Hồ Chí Minh</t>
        </is>
      </c>
      <c r="G13045" t="inlineStr">
        <is>
          <t>11-04-2026</t>
        </is>
      </c>
      <c r="H13045" t="inlineStr">
        <is>
          <t>11/04/2026</t>
        </is>
      </c>
      <c r="I13045" t="inlineStr">
        <is>
          <t>17/03/2026</t>
        </is>
      </c>
      <c r="J13045" t="inlineStr">
        <is>
          <t>Dược phẩm/ Hóa Mỹ Phẩm, Y tế / Chăm sóc sức khỏe / Thẩm mỹ / Làm đẹp, Quản lý chất lượng (QA/QC)</t>
        </is>
      </c>
      <c r="K13045" t="inlineStr">
        <is>
          <t>Lên đến 3 Năm</t>
        </is>
      </c>
      <c r="L13045" s="8">
        <f>HYPERLINK("https://careerviet.vn/vi/tim-viec-lam/chuyen-vien-tuan-thu-chat-luong.35C6992A.html","Xem chi tiết")</f>
        <v/>
      </c>
    </row>
    <row r="13046">
      <c r="B13046" s="9" t="n">
        <v>13044</v>
      </c>
      <c r="C13046" s="10" t="inlineStr">
        <is>
          <t>Thư ký dự án - Làm việc trực tiếp tại dự án Hà Nội</t>
        </is>
      </c>
      <c r="D13046" s="10" t="inlineStr">
        <is>
          <t>TTT Corporation</t>
        </is>
      </c>
      <c r="E13046" s="10" t="inlineStr">
        <is>
          <t>Lương:10 Tr - 15 Tr VND</t>
        </is>
      </c>
      <c r="F13046" s="10" t="inlineStr">
        <is>
          <t>Hà NộiHồ Chí Minh</t>
        </is>
      </c>
      <c r="G13046" s="10" t="inlineStr">
        <is>
          <t>26-03-2026</t>
        </is>
      </c>
      <c r="H13046" s="10" t="inlineStr">
        <is>
          <t>26/03/2026</t>
        </is>
      </c>
      <c r="I13046" s="10" t="inlineStr">
        <is>
          <t>17/03/2026</t>
        </is>
      </c>
      <c r="J13046" s="10" t="inlineStr">
        <is>
          <t>Hành chính / Thư ký, Biên phiên dịch, Xây dựng</t>
        </is>
      </c>
      <c r="K13046" s="10" t="inlineStr">
        <is>
          <t>Lên đến 1 Năm</t>
        </is>
      </c>
      <c r="L13046" s="11">
        <f>HYPERLINK("https://careerviet.vn/vi/tim-viec-lam/thu-ky-du-an-lam-viec-truc-tiep-tai-du-an-ha-noi.35C69B8B.html","Xem chi tiết")</f>
        <v/>
      </c>
      <c r="M13046" s="10" t="n"/>
    </row>
    <row r="13047">
      <c r="B13047" s="7" t="n">
        <v>13045</v>
      </c>
      <c r="C13047" t="inlineStr">
        <is>
          <t>C&amp;B Manager</t>
        </is>
      </c>
      <c r="D13047" t="inlineStr">
        <is>
          <t>CÔNG TY TNHH JOB HOUSE</t>
        </is>
      </c>
      <c r="E13047" t="inlineStr">
        <is>
          <t>Lương:30 Tr - 40 Tr VND</t>
        </is>
      </c>
      <c r="F13047" t="inlineStr">
        <is>
          <t>Hà Nội</t>
        </is>
      </c>
      <c r="G13047" t="inlineStr">
        <is>
          <t>6</t>
        </is>
      </c>
      <c r="H13047" t="inlineStr">
        <is>
          <t>23/03/2026</t>
        </is>
      </c>
      <c r="I13047" t="inlineStr">
        <is>
          <t>17/03/2026</t>
        </is>
      </c>
      <c r="J13047" t="inlineStr">
        <is>
          <t>Hành chính / Thư ký, Nhân sự, Sản xuất / Vận hành sản xuất</t>
        </is>
      </c>
      <c r="K13047" t="inlineStr">
        <is>
          <t>Trên 5 Năm</t>
        </is>
      </c>
      <c r="L13047" s="8">
        <f>HYPERLINK("https://careerviet.vn/vi/tim-viec-lam/c-b-manager.35C698DD.html","Xem chi tiết")</f>
        <v/>
      </c>
    </row>
    <row r="13048">
      <c r="B13048" s="9" t="n">
        <v>13046</v>
      </c>
      <c r="C13048" s="10" t="inlineStr">
        <is>
          <t>Head of IT Security and Compliance Management</t>
        </is>
      </c>
      <c r="D13048" s="10" t="inlineStr">
        <is>
          <t>Nova Service Group - Công ty Cổ phần Tập đoàn Nova Services</t>
        </is>
      </c>
      <c r="E13048" s="10" t="inlineStr">
        <is>
          <t>Lương:Cạnh tranh</t>
        </is>
      </c>
      <c r="F13048" s="10" t="inlineStr">
        <is>
          <t>Hồ Chí Minh</t>
        </is>
      </c>
      <c r="G13048" s="10" t="inlineStr">
        <is>
          <t>31-03-2026</t>
        </is>
      </c>
      <c r="H13048" s="10" t="inlineStr">
        <is>
          <t>31/03/2026</t>
        </is>
      </c>
      <c r="I13048" s="10" t="inlineStr">
        <is>
          <t>17/03/2026</t>
        </is>
      </c>
      <c r="J13048" s="10" t="inlineStr">
        <is>
          <t>CNTT - Phần mềm</t>
        </is>
      </c>
      <c r="K13048" s="10" t="inlineStr">
        <is>
          <t>7 - 30 Năm</t>
        </is>
      </c>
      <c r="L13048" s="11">
        <f>HYPERLINK("https://careerviet.vn/vi/tim-viec-lam/head-of-it-security-and-compliance-management.35C699A2.html","Xem chi tiết")</f>
        <v/>
      </c>
      <c r="M13048" s="10" t="n"/>
    </row>
    <row r="13049">
      <c r="B13049" s="7" t="n">
        <v>13047</v>
      </c>
      <c r="C13049" t="inlineStr">
        <is>
          <t>TRỢ LÝ CHUYÊN MÔN (TECHNICAL ASSISTANT TO DIRECTOR)</t>
        </is>
      </c>
      <c r="D13049" t="inlineStr">
        <is>
          <t>Ngân hàng TMCP Việt Á – VietABank</t>
        </is>
      </c>
      <c r="E13049" t="inlineStr">
        <is>
          <t>Lương:Cạnh tranh</t>
        </is>
      </c>
      <c r="F13049" t="inlineStr">
        <is>
          <t>Hà Nội</t>
        </is>
      </c>
      <c r="G13049" t="inlineStr">
        <is>
          <t>26-03-2026</t>
        </is>
      </c>
      <c r="H13049" t="inlineStr">
        <is>
          <t>26/03/2026</t>
        </is>
      </c>
      <c r="I13049" t="inlineStr">
        <is>
          <t>17/03/2026</t>
        </is>
      </c>
      <c r="J13049" t="inlineStr">
        <is>
          <t>Ngân hàng, Tài chính / Đầu tư, Chứng khoán</t>
        </is>
      </c>
      <c r="K13049" t="inlineStr">
        <is>
          <t>Trên 2 Năm</t>
        </is>
      </c>
      <c r="L13049" s="8">
        <f>HYPERLINK("https://careerviet.vn/vi/tim-viec-lam/tro-ly-chuyen-mon-technical-assistant-to-director.35C69AD3.html","Xem chi tiết")</f>
        <v/>
      </c>
    </row>
    <row r="13050">
      <c r="B13050" s="9" t="n">
        <v>13048</v>
      </c>
      <c r="C13050" s="10" t="inlineStr">
        <is>
          <t>Chuyên viên phát triển thị trường</t>
        </is>
      </c>
      <c r="D13050" s="10" t="inlineStr">
        <is>
          <t>CÔNG TY TNHH BỆNH VIỆN ĐKTN AN SINH - PHÚC TRƯỜNG MINH</t>
        </is>
      </c>
      <c r="E13050" s="10" t="inlineStr">
        <is>
          <t>Lương:12 Tr - 20 Tr VND</t>
        </is>
      </c>
      <c r="F13050" s="10" t="inlineStr">
        <is>
          <t>Hà Nội</t>
        </is>
      </c>
      <c r="G13050" s="10" t="inlineStr">
        <is>
          <t>31-03-2026</t>
        </is>
      </c>
      <c r="H13050" s="10" t="inlineStr">
        <is>
          <t>31/03/2026</t>
        </is>
      </c>
      <c r="I13050" s="10" t="inlineStr">
        <is>
          <t>17/03/2026</t>
        </is>
      </c>
      <c r="J13050" s="10" t="inlineStr">
        <is>
          <t>Y tế / Chăm sóc sức khỏe / Thẩm mỹ / Làm đẹp</t>
        </is>
      </c>
      <c r="K13050" s="10" t="inlineStr">
        <is>
          <t>1 - 2 Năm</t>
        </is>
      </c>
      <c r="L13050" s="11">
        <f>HYPERLINK("https://careerviet.vn/vi/tim-viec-lam/chuyen-vien-phat-trien-thi-truong.35C69BB5.html","Xem chi tiết")</f>
        <v/>
      </c>
      <c r="M13050" s="10" t="n"/>
    </row>
    <row r="13051">
      <c r="B13051" s="7" t="n">
        <v>13049</v>
      </c>
      <c r="C13051" t="inlineStr">
        <is>
          <t>Nhân Viên Kinh Doanh Bán Hàng Trực Tiếp - CN Hà Nội</t>
        </is>
      </c>
      <c r="D13051" t="inlineStr">
        <is>
          <t>Cty TNHH Yakult Việt Nam</t>
        </is>
      </c>
      <c r="E13051" t="inlineStr">
        <is>
          <t>Lương:10 Tr - 14 Tr VND</t>
        </is>
      </c>
      <c r="F13051" t="inlineStr">
        <is>
          <t>Hà Nội</t>
        </is>
      </c>
      <c r="G13051" t="inlineStr">
        <is>
          <t>31-03-2026</t>
        </is>
      </c>
      <c r="H13051" t="inlineStr">
        <is>
          <t>31/03/2026</t>
        </is>
      </c>
      <c r="I13051" t="inlineStr">
        <is>
          <t>17/03/2026</t>
        </is>
      </c>
      <c r="J13051" t="inlineStr">
        <is>
          <t>Tiếp thị / Marketing, Bán hàng / Kinh doanh, Mới tốt nghiệp / Thực tập</t>
        </is>
      </c>
      <c r="K13051" t="inlineStr">
        <is>
          <t>N/A</t>
        </is>
      </c>
      <c r="L13051" s="8">
        <f>HYPERLINK("https://careerviet.vn/vi/tim-viec-lam/nhan-vien-kinh-doanh-ban-hang-truc-tiep-cn-ha-noi.35C695D1.html","Xem chi tiết")</f>
        <v/>
      </c>
    </row>
    <row r="13052">
      <c r="B13052" s="9" t="n">
        <v>13050</v>
      </c>
      <c r="C13052" s="10" t="inlineStr">
        <is>
          <t>Kế toán tổng hợp</t>
        </is>
      </c>
      <c r="D13052" s="10" t="inlineStr">
        <is>
          <t>CÔNG TY CỔ PHẦN GIAO DỊCH HÀNG HÓA ĐÔNG NAM Á</t>
        </is>
      </c>
      <c r="E13052" s="10" t="inlineStr">
        <is>
          <t>Lương:12 Tr - 15 Tr VND</t>
        </is>
      </c>
      <c r="F13052" s="10" t="inlineStr">
        <is>
          <t>Hồ Chí Minh</t>
        </is>
      </c>
      <c r="G13052" s="10" t="inlineStr">
        <is>
          <t>11-03-2026</t>
        </is>
      </c>
      <c r="H13052" s="10" t="inlineStr">
        <is>
          <t>14/03/2026</t>
        </is>
      </c>
      <c r="I13052" s="10" t="inlineStr">
        <is>
          <t>17/03/2026</t>
        </is>
      </c>
      <c r="J13052" s="10" t="inlineStr">
        <is>
          <t>Bất động sản</t>
        </is>
      </c>
      <c r="K13052" s="10" t="inlineStr">
        <is>
          <t>2 - 3 Năm</t>
        </is>
      </c>
      <c r="L13052" s="11">
        <f>HYPERLINK("https://careerviet.vn/vi/tim-viec-lam/ke-toan-tong-hop.35C69A89.html","Xem chi tiết")</f>
        <v/>
      </c>
      <c r="M13052" s="10" t="n"/>
    </row>
    <row r="13053">
      <c r="B13053" s="7" t="n">
        <v>13051</v>
      </c>
      <c r="C13053" t="inlineStr">
        <is>
          <t>Nhân viên Trả Kết quả - Dịch vụ xét nghiệm Y tế</t>
        </is>
      </c>
      <c r="D13053" t="inlineStr">
        <is>
          <t>Công ty Cổ phần Vật tư Khoa học BIOMEDIC</t>
        </is>
      </c>
      <c r="E13053" t="inlineStr">
        <is>
          <t>Lương:Cạnh tranh</t>
        </is>
      </c>
      <c r="F13053" t="inlineStr">
        <is>
          <t>Hà Nội</t>
        </is>
      </c>
      <c r="G13053" t="inlineStr">
        <is>
          <t>31-03-2026</t>
        </is>
      </c>
      <c r="H13053" t="inlineStr">
        <is>
          <t>31/03/2026</t>
        </is>
      </c>
      <c r="I13053" t="inlineStr">
        <is>
          <t>17/03/2026</t>
        </is>
      </c>
      <c r="J13053" t="inlineStr">
        <is>
          <t>Dịch vụ khách hàng, Nhân sự, Hành chính / Thư ký</t>
        </is>
      </c>
      <c r="K13053" t="inlineStr">
        <is>
          <t>1 - 3 Năm</t>
        </is>
      </c>
      <c r="L13053" s="8">
        <f>HYPERLINK("https://careerviet.vn/vi/tim-viec-lam/nhan-vien-tra-ket-qua-dich-vu-xet-nghiem-y-te.35C699F1.html","Xem chi tiết")</f>
        <v/>
      </c>
    </row>
    <row r="13054">
      <c r="B13054" s="9" t="n">
        <v>13052</v>
      </c>
      <c r="C13054" s="10" t="inlineStr">
        <is>
          <t>NHÂN VIÊN MUA HÀNG NỘI ĐỊA</t>
        </is>
      </c>
      <c r="D13054" s="10" t="inlineStr">
        <is>
          <t>Tập Đoàn Kim Tín</t>
        </is>
      </c>
      <c r="E13054" s="10" t="inlineStr">
        <is>
          <t>Lương:Cạnh tranh</t>
        </is>
      </c>
      <c r="F13054" s="10" t="inlineStr">
        <is>
          <t>Hồ Chí Minh</t>
        </is>
      </c>
      <c r="G13054" s="10" t="inlineStr">
        <is>
          <t>28-03-2026</t>
        </is>
      </c>
      <c r="H13054" s="10" t="inlineStr">
        <is>
          <t>28/03/2026</t>
        </is>
      </c>
      <c r="I13054" s="10" t="inlineStr">
        <is>
          <t>17/03/2026</t>
        </is>
      </c>
      <c r="J13054" s="10" t="inlineStr">
        <is>
          <t>Cơ khí / Ô tô / Tự động hóa, Thu mua / Vật tư, Điện / Điện tử / Điện lạnh / Điện công nghiệp</t>
        </is>
      </c>
      <c r="K13054" s="10" t="inlineStr">
        <is>
          <t>2 - 3 Năm</t>
        </is>
      </c>
      <c r="L13054" s="11">
        <f>HYPERLINK("https://careerviet.vn/vi/tim-viec-lam/nhan-vien-mua-hang-noi-dia.35C69A92.html","Xem chi tiết")</f>
        <v/>
      </c>
      <c r="M13054" s="10" t="n"/>
    </row>
    <row r="13055">
      <c r="B13055" s="7" t="n">
        <v>13053</v>
      </c>
      <c r="C13055" t="inlineStr">
        <is>
          <t>CMM ENGINEER</t>
        </is>
      </c>
      <c r="D13055" t="inlineStr">
        <is>
          <t>CÔNG TY TNHH CARBORI MOLDS VIỆT NAM</t>
        </is>
      </c>
      <c r="E13055" t="inlineStr">
        <is>
          <t>Lương:Cạnh tranh</t>
        </is>
      </c>
      <c r="F13055" t="inlineStr">
        <is>
          <t>Đồng Nai</t>
        </is>
      </c>
      <c r="G13055" t="inlineStr">
        <is>
          <t>27-03-2026</t>
        </is>
      </c>
      <c r="H13055" t="inlineStr">
        <is>
          <t>27/03/2026</t>
        </is>
      </c>
      <c r="I13055" t="inlineStr">
        <is>
          <t>17/03/2026</t>
        </is>
      </c>
      <c r="J13055" t="inlineStr">
        <is>
          <t>Cơ khí / Ô tô / Tự động hóa, Điện / Điện tử / Điện lạnh / Điện công nghiệp, Quản lý chất lượng (QA/QC)</t>
        </is>
      </c>
      <c r="K13055" t="inlineStr">
        <is>
          <t>3 - 5 Năm</t>
        </is>
      </c>
      <c r="L13055" s="8">
        <f>HYPERLINK("https://careerviet.vn/vi/tim-viec-lam/cmm-engineer.35C69AA3.html","Xem chi tiết")</f>
        <v/>
      </c>
    </row>
    <row r="13056">
      <c r="B13056" s="9" t="n">
        <v>13054</v>
      </c>
      <c r="C13056" s="10" t="inlineStr">
        <is>
          <t>CHỈ HUY PHÓ CÔNG TRÌNH</t>
        </is>
      </c>
      <c r="D13056" s="10" t="inlineStr">
        <is>
          <t>CÔNG TY CỔ PHẦN KỸ THUẬT XÂY DỰNG AN TÍN</t>
        </is>
      </c>
      <c r="E13056" s="10" t="inlineStr">
        <is>
          <t>Lương:18 Tr - 20 Tr VND</t>
        </is>
      </c>
      <c r="F13056" s="10" t="inlineStr">
        <is>
          <t>Quảng Trị</t>
        </is>
      </c>
      <c r="G13056" s="10" t="inlineStr">
        <is>
          <t>28-03-2026</t>
        </is>
      </c>
      <c r="H13056" s="10" t="inlineStr">
        <is>
          <t>28/03/2026</t>
        </is>
      </c>
      <c r="I13056" s="10" t="inlineStr">
        <is>
          <t>17/03/2026</t>
        </is>
      </c>
      <c r="J13056" s="10" t="inlineStr">
        <is>
          <t>Xây dựng</t>
        </is>
      </c>
      <c r="K13056" s="10" t="inlineStr">
        <is>
          <t>3 - 5 Năm</t>
        </is>
      </c>
      <c r="L13056" s="11">
        <f>HYPERLINK("https://careerviet.vn/vi/tim-viec-lam/chi-huy-pho-cong-trinh.35C69CFB.html","Xem chi tiết")</f>
        <v/>
      </c>
      <c r="M13056" s="10" t="n"/>
    </row>
    <row r="13057">
      <c r="B13057" s="7" t="n">
        <v>13055</v>
      </c>
      <c r="C13057" t="inlineStr">
        <is>
          <t>Nhân Viên Kinh Doanh</t>
        </is>
      </c>
      <c r="D13057" t="inlineStr">
        <is>
          <t>Công Ty Cổ phần Hệ thống Công Nghệ Hoàng Hải</t>
        </is>
      </c>
      <c r="E13057" t="inlineStr">
        <is>
          <t>Lương:Cạnh tranh</t>
        </is>
      </c>
      <c r="F13057" t="inlineStr">
        <is>
          <t>Hồ Chí Minh</t>
        </is>
      </c>
      <c r="G13057" t="inlineStr">
        <is>
          <t>26-03-2026</t>
        </is>
      </c>
      <c r="H13057" t="inlineStr">
        <is>
          <t>26/03/2026</t>
        </is>
      </c>
      <c r="I13057" t="inlineStr">
        <is>
          <t>17/03/2026</t>
        </is>
      </c>
      <c r="J13057" t="inlineStr">
        <is>
          <t>Bán hàng / Kinh doanh, Bán lẻ / Bán sỉ, CNTT - Phần mềm</t>
        </is>
      </c>
      <c r="K13057" t="inlineStr">
        <is>
          <t>2 - 3 Năm</t>
        </is>
      </c>
      <c r="L13057" s="8">
        <f>HYPERLINK("https://careerviet.vn/vi/tim-viec-lam/nhan-vien-kinh-doanh.35C69A5A.html","Xem chi tiết")</f>
        <v/>
      </c>
    </row>
    <row r="13058">
      <c r="B13058" s="9" t="n">
        <v>13056</v>
      </c>
      <c r="C13058" s="10" t="inlineStr">
        <is>
          <t>Trưởng nhóm Tài chính Dự án - Alphanam Group</t>
        </is>
      </c>
      <c r="D13058" s="10" t="inlineStr">
        <is>
          <t>Alphanam Group</t>
        </is>
      </c>
      <c r="E13058" s="10" t="inlineStr">
        <is>
          <t>Lương:Cạnh tranh</t>
        </is>
      </c>
      <c r="F13058" s="10" t="inlineStr">
        <is>
          <t>Hà Nội</t>
        </is>
      </c>
      <c r="G13058" s="10" t="inlineStr">
        <is>
          <t>28-03-2026</t>
        </is>
      </c>
      <c r="H13058" s="10" t="inlineStr">
        <is>
          <t>28/03/2026</t>
        </is>
      </c>
      <c r="I13058" s="10" t="inlineStr">
        <is>
          <t>17/03/2026</t>
        </is>
      </c>
      <c r="J13058" s="10" t="inlineStr">
        <is>
          <t>Kế toán / Kiểm toán, Bất động sản, Tài chính / Đầu tư</t>
        </is>
      </c>
      <c r="K13058" s="10" t="inlineStr">
        <is>
          <t>4 - 5 Năm</t>
        </is>
      </c>
      <c r="L13058" s="11">
        <f>HYPERLINK("https://careerviet.vn/vi/tim-viec-lam/truong-nhom-tai-chinh-du-an-alphanam-group.35C69A97.html","Xem chi tiết")</f>
        <v/>
      </c>
      <c r="M13058" s="10" t="n"/>
    </row>
    <row r="13059">
      <c r="B13059" s="7" t="n">
        <v>13057</v>
      </c>
      <c r="C13059" t="inlineStr">
        <is>
          <t>Nhân viên kinh doanh</t>
        </is>
      </c>
      <c r="D13059" t="inlineStr">
        <is>
          <t>Công ty TNHH XNK Phú Thành Phát</t>
        </is>
      </c>
      <c r="E13059" t="inlineStr">
        <is>
          <t>Lương:10 Tr - 25 Tr VND</t>
        </is>
      </c>
      <c r="F13059" t="inlineStr">
        <is>
          <t>Hà Nội</t>
        </is>
      </c>
      <c r="G13059" t="inlineStr">
        <is>
          <t>25-03-2026</t>
        </is>
      </c>
      <c r="H13059" t="inlineStr">
        <is>
          <t>25/03/2026</t>
        </is>
      </c>
      <c r="I13059" t="inlineStr">
        <is>
          <t>17/03/2026</t>
        </is>
      </c>
      <c r="J13059" t="inlineStr">
        <is>
          <t>Bán hàng / Kinh doanh</t>
        </is>
      </c>
      <c r="K13059" t="inlineStr">
        <is>
          <t>1 - 2 Năm</t>
        </is>
      </c>
      <c r="L13059" s="8">
        <f>HYPERLINK("https://careerviet.vn/vi/tim-viec-lam/nhan-vien-kinh-doanh.35C69C32.html","Xem chi tiết")</f>
        <v/>
      </c>
    </row>
    <row r="13060">
      <c r="B13060" s="9" t="n">
        <v>13058</v>
      </c>
      <c r="C13060" s="10" t="inlineStr">
        <is>
          <t>Kế Toán Kho Doanh Thu Đầu Ra</t>
        </is>
      </c>
      <c r="D13060" s="10" t="inlineStr">
        <is>
          <t>Công ty Cổ Phần Trang Thiết Bị Y Tế Trọng Tín</t>
        </is>
      </c>
      <c r="E13060" s="10" t="inlineStr">
        <is>
          <t>Lương:9 Tr - 13 Tr VND</t>
        </is>
      </c>
      <c r="F13060" s="10" t="inlineStr">
        <is>
          <t>Hồ Chí Minh</t>
        </is>
      </c>
      <c r="G13060" s="10" t="inlineStr">
        <is>
          <t>26-03-2026</t>
        </is>
      </c>
      <c r="H13060" s="10" t="inlineStr">
        <is>
          <t>26/03/2026</t>
        </is>
      </c>
      <c r="I13060" s="10" t="inlineStr">
        <is>
          <t>17/03/2026</t>
        </is>
      </c>
      <c r="J13060" s="10" t="inlineStr">
        <is>
          <t>Y tế / Chăm sóc sức khỏe / Thẩm mỹ / Làm đẹp, Kế toán / Kiểm toán</t>
        </is>
      </c>
      <c r="K13060" s="10" t="inlineStr">
        <is>
          <t>1 - 2 Năm</t>
        </is>
      </c>
      <c r="L13060" s="11">
        <f>HYPERLINK("https://careerviet.vn/vi/tim-viec-lam/ke-toan-kho-doanh-thu-dau-ra.35C6990F.html","Xem chi tiết")</f>
        <v/>
      </c>
      <c r="M13060" s="10" t="n"/>
    </row>
    <row r="13061">
      <c r="B13061" s="7" t="n">
        <v>13059</v>
      </c>
      <c r="C13061" t="inlineStr">
        <is>
          <t>Tổng Giám Đốc</t>
        </is>
      </c>
      <c r="D13061" t="inlineStr">
        <is>
          <t>Công Ty TNHH APM Springs Vietnam</t>
        </is>
      </c>
      <c r="E13061" t="inlineStr">
        <is>
          <t>Lương:Cạnh tranh</t>
        </is>
      </c>
      <c r="F13061" t="inlineStr">
        <is>
          <t>Bình Dương</t>
        </is>
      </c>
      <c r="G13061" t="inlineStr">
        <is>
          <t>26-03-2026</t>
        </is>
      </c>
      <c r="H13061" t="inlineStr">
        <is>
          <t>26/03/2026</t>
        </is>
      </c>
      <c r="I13061" t="inlineStr">
        <is>
          <t>17/03/2026</t>
        </is>
      </c>
      <c r="J13061" t="inlineStr">
        <is>
          <t>Quản lý điều hành, Sản xuất / Vận hành sản xuất, Quản lý chất lượng (QA/QC)</t>
        </is>
      </c>
      <c r="K13061" t="inlineStr">
        <is>
          <t>Trên 5 Năm</t>
        </is>
      </c>
      <c r="L13061" s="8">
        <f>HYPERLINK("https://careerviet.vn/vi/tim-viec-lam/tong-giam-doc.35C69AAD.html","Xem chi tiết")</f>
        <v/>
      </c>
    </row>
    <row r="13062">
      <c r="B13062" s="9" t="n">
        <v>13060</v>
      </c>
      <c r="C13062" s="10" t="inlineStr">
        <is>
          <t>Nhân Viên Đánh Giá Thiết Bị</t>
        </is>
      </c>
      <c r="D13062" s="10" t="inlineStr">
        <is>
          <t>Orioled Hub</t>
        </is>
      </c>
      <c r="E13062" s="10" t="inlineStr">
        <is>
          <t>Lương:Cạnh tranh</t>
        </is>
      </c>
      <c r="F13062" s="10" t="inlineStr">
        <is>
          <t>Bà Rịa - Vũng Tàu</t>
        </is>
      </c>
      <c r="G13062" s="10" t="inlineStr">
        <is>
          <t>23-04-2026</t>
        </is>
      </c>
      <c r="H13062" s="10" t="inlineStr">
        <is>
          <t>23/04/2026</t>
        </is>
      </c>
      <c r="I13062" s="10" t="inlineStr">
        <is>
          <t>17/03/2026</t>
        </is>
      </c>
      <c r="J13062" s="10" t="inlineStr">
        <is>
          <t>Dược phẩm/ Hóa Mỹ Phẩm, Sản xuất / Vận hành sản xuất, Quản lý chất lượng (QA/QC)</t>
        </is>
      </c>
      <c r="K13062" s="10" t="inlineStr">
        <is>
          <t>Lên đến 1 Năm</t>
        </is>
      </c>
      <c r="L13062" s="11">
        <f>HYPERLINK("https://careerviet.vn/vi/tim-viec-lam/nhan-vien-danh-gia-thiet-bi.35C69A68.html","Xem chi tiết")</f>
        <v/>
      </c>
      <c r="M13062" s="10" t="n"/>
    </row>
    <row r="13063">
      <c r="B13063" s="7" t="n">
        <v>13061</v>
      </c>
      <c r="C13063" t="inlineStr">
        <is>
          <t>Chuyên viên học thuật tiếng Trung</t>
        </is>
      </c>
      <c r="D13063" t="inlineStr">
        <is>
          <t>CÔNG TY CỔ PHẦN CÔNG NGHỆ PREP</t>
        </is>
      </c>
      <c r="E13063" t="inlineStr">
        <is>
          <t>Lương:10 Tr - 14 Tr VND</t>
        </is>
      </c>
      <c r="F13063" t="inlineStr">
        <is>
          <t>Hà Nội</t>
        </is>
      </c>
      <c r="G13063" t="inlineStr">
        <is>
          <t>31-03-2026</t>
        </is>
      </c>
      <c r="H13063" t="inlineStr">
        <is>
          <t>31/03/2026</t>
        </is>
      </c>
      <c r="I13063" t="inlineStr">
        <is>
          <t>17/03/2026</t>
        </is>
      </c>
      <c r="J13063" t="inlineStr">
        <is>
          <t>Giáo dục / Đào tạo</t>
        </is>
      </c>
      <c r="K13063" t="inlineStr">
        <is>
          <t>Lên đến 1 Năm</t>
        </is>
      </c>
      <c r="L13063" s="8">
        <f>HYPERLINK("https://careerviet.vn/vi/tim-viec-lam/chuyen-vien-hoc-thuat-tieng-trung.35C69A77.html","Xem chi tiết")</f>
        <v/>
      </c>
    </row>
    <row r="13064">
      <c r="B13064" s="9" t="n">
        <v>13062</v>
      </c>
      <c r="C13064" s="10" t="inlineStr">
        <is>
          <t>Branch Manager tại Hà Nội</t>
        </is>
      </c>
      <c r="D13064" s="10" t="inlineStr">
        <is>
          <t>Công Ty TNHH Phúc Giang</t>
        </is>
      </c>
      <c r="E13064" s="10" t="inlineStr">
        <is>
          <t>Lương:Cạnh tranh</t>
        </is>
      </c>
      <c r="F13064" s="10" t="inlineStr">
        <is>
          <t>Hà Nội</t>
        </is>
      </c>
      <c r="G13064" s="10" t="inlineStr">
        <is>
          <t>31-03-2026</t>
        </is>
      </c>
      <c r="H13064" s="10" t="inlineStr">
        <is>
          <t>31/03/2026</t>
        </is>
      </c>
      <c r="I13064" s="10" t="inlineStr">
        <is>
          <t>17/03/2026</t>
        </is>
      </c>
      <c r="J13064" s="10" t="inlineStr">
        <is>
          <t>Tiếp thị / Marketing, Bán lẻ / Bán sỉ, Bán hàng / Kinh doanh</t>
        </is>
      </c>
      <c r="K13064" s="10" t="inlineStr">
        <is>
          <t>5 - 10 Năm</t>
        </is>
      </c>
      <c r="L13064" s="11">
        <f>HYPERLINK("https://careerviet.vn/vi/tim-viec-lam/branch-manager-tai-ha-noi.35C69A50.html","Xem chi tiết")</f>
        <v/>
      </c>
      <c r="M13064" s="10" t="n"/>
    </row>
    <row r="13065">
      <c r="B13065" s="7" t="n">
        <v>13063</v>
      </c>
      <c r="C13065" t="inlineStr">
        <is>
          <t>SALES ENGINEER</t>
        </is>
      </c>
      <c r="D13065" t="inlineStr">
        <is>
          <t>CÔNG TY CỔ PHẦN PHÁT TRIỂN CÔNG NGHỆ TECHPRO</t>
        </is>
      </c>
      <c r="E13065" t="inlineStr">
        <is>
          <t>Lương:15 Tr - 30 Tr VND</t>
        </is>
      </c>
      <c r="F13065" t="inlineStr">
        <is>
          <t>Hà NộiHồ Chí Minh</t>
        </is>
      </c>
      <c r="G13065" t="inlineStr">
        <is>
          <t>11-03-2026</t>
        </is>
      </c>
      <c r="H13065" t="inlineStr">
        <is>
          <t>09/03/2026</t>
        </is>
      </c>
      <c r="I13065" t="inlineStr">
        <is>
          <t>17/03/2026</t>
        </is>
      </c>
      <c r="J13065" t="inlineStr">
        <is>
          <t>Bán Hàng Kỹ Thuật, Cơ khí / Ô tô / Tự động hóa, CNTT - Phần mềm</t>
        </is>
      </c>
      <c r="K13065" t="inlineStr">
        <is>
          <t>1 - 5 Năm</t>
        </is>
      </c>
      <c r="L13065" s="8">
        <f>HYPERLINK("https://careerviet.vn/vi/tim-viec-lam/sales-engineer.35C699F9.html","Xem chi tiết")</f>
        <v/>
      </c>
    </row>
    <row r="13066">
      <c r="B13066" s="9" t="n">
        <v>13064</v>
      </c>
      <c r="C13066" s="10" t="inlineStr">
        <is>
          <t>[Nova Service Group] Trưởng phòng Quản lý Nguồn Nhân lực (HRBP Manager)</t>
        </is>
      </c>
      <c r="D13066" s="10" t="inlineStr">
        <is>
          <t>Nova Service Group - Công ty Cổ phần Tập đoàn Nova Services</t>
        </is>
      </c>
      <c r="E13066" s="10" t="inlineStr">
        <is>
          <t>Lương:Cạnh tranh</t>
        </is>
      </c>
      <c r="F13066" s="10" t="inlineStr">
        <is>
          <t>Hồ Chí Minh</t>
        </is>
      </c>
      <c r="G13066" s="10" t="inlineStr">
        <is>
          <t>31-03-2026</t>
        </is>
      </c>
      <c r="H13066" s="10" t="inlineStr">
        <is>
          <t>31/03/2026</t>
        </is>
      </c>
      <c r="I13066" s="10" t="inlineStr">
        <is>
          <t>17/03/2026</t>
        </is>
      </c>
      <c r="J13066" s="10" t="inlineStr">
        <is>
          <t>Nhân sự</t>
        </is>
      </c>
      <c r="K13066" s="10" t="inlineStr">
        <is>
          <t>5 - 7 Năm</t>
        </is>
      </c>
      <c r="L13066" s="11">
        <f>HYPERLINK("https://careerviet.vn/vi/tim-viec-lam/nova-service-group-truong-phong-quan-ly-nguon-nhan-luc-hrbp-manager.35C69A6F.html","Xem chi tiết")</f>
        <v/>
      </c>
      <c r="M13066" s="10" t="n"/>
    </row>
    <row r="13067">
      <c r="B13067" s="7" t="n">
        <v>13065</v>
      </c>
      <c r="C13067" t="inlineStr">
        <is>
          <t>Chuyên viên chính/Chuyên viên Cấp cao Quan hệ khách hàng Cá nhân mảng tín dụng - Khu vực Hải Phòng</t>
        </is>
      </c>
      <c r="D13067" t="inlineStr">
        <is>
          <t>Ngân Hàng TMCP Quốc Dân (NCB)</t>
        </is>
      </c>
      <c r="E13067" t="inlineStr">
        <is>
          <t>Lương:Cạnh tranh</t>
        </is>
      </c>
      <c r="F13067" t="inlineStr">
        <is>
          <t>Hải Phòng</t>
        </is>
      </c>
      <c r="G13067" t="inlineStr">
        <is>
          <t>26-03-2026</t>
        </is>
      </c>
      <c r="H13067" t="inlineStr">
        <is>
          <t>26/03/2026</t>
        </is>
      </c>
      <c r="I13067" t="inlineStr">
        <is>
          <t>17/03/2026</t>
        </is>
      </c>
      <c r="J13067" t="inlineStr">
        <is>
          <t>Bán hàng / Kinh doanh, Ngân hàng, Dịch vụ khách hàng</t>
        </is>
      </c>
      <c r="K13067" t="inlineStr">
        <is>
          <t>Trên 1 Năm</t>
        </is>
      </c>
      <c r="L13067" s="8">
        <f>HYPERLINK("https://careerviet.vn/vi/tim-viec-lam/chuyen-vien-chinh-chuyen-vien-cap-cao-quan-he-khach-hang-ca-nhan-mang-tin-dung-khu-vuc-hai-phong.35C69980.html","Xem chi tiết")</f>
        <v/>
      </c>
    </row>
    <row r="13068">
      <c r="B13068" s="9" t="n">
        <v>13066</v>
      </c>
      <c r="C13068" s="10" t="inlineStr">
        <is>
          <t>Nhân viên kế toán</t>
        </is>
      </c>
      <c r="D13068" s="10" t="inlineStr">
        <is>
          <t>CÔNG TY CỔ PHẦN ẨM THỰC SAO PHƯƠNG NAM GROUP</t>
        </is>
      </c>
      <c r="E13068" s="10" t="inlineStr">
        <is>
          <t>Lương:8 Tr - 15 Tr VND</t>
        </is>
      </c>
      <c r="F13068" s="10" t="inlineStr">
        <is>
          <t>Hồ Chí Minh</t>
        </is>
      </c>
      <c r="G13068" s="10" t="inlineStr">
        <is>
          <t>31-03-2026</t>
        </is>
      </c>
      <c r="H13068" s="10" t="inlineStr">
        <is>
          <t>31/03/2026</t>
        </is>
      </c>
      <c r="I13068" s="10" t="inlineStr">
        <is>
          <t>17/03/2026</t>
        </is>
      </c>
      <c r="J13068" s="10" t="inlineStr">
        <is>
          <t>Kế toán / Kiểm toán, Nhà hàng / Khách sạn</t>
        </is>
      </c>
      <c r="K13068" s="10" t="inlineStr">
        <is>
          <t>1 - 2 Năm</t>
        </is>
      </c>
      <c r="L13068" s="11">
        <f>HYPERLINK("https://careerviet.vn/vi/tim-viec-lam/nhan-vien-ke-toan.35C6995D.html","Xem chi tiết")</f>
        <v/>
      </c>
      <c r="M13068" s="10" t="n"/>
    </row>
    <row r="13069">
      <c r="B13069" s="7" t="n">
        <v>13067</v>
      </c>
      <c r="C13069" t="inlineStr">
        <is>
          <t>Senior Communication &amp; Partnership Executive</t>
        </is>
      </c>
      <c r="D13069" t="inlineStr">
        <is>
          <t>CÔNG TY CỔ PHẦN CÔNG NGHỆ PREP</t>
        </is>
      </c>
      <c r="E13069" t="inlineStr">
        <is>
          <t>Lương:14 Tr - 16 Tr VND</t>
        </is>
      </c>
      <c r="F13069" t="inlineStr">
        <is>
          <t>Hà Nội</t>
        </is>
      </c>
      <c r="G13069" t="inlineStr">
        <is>
          <t>31-03-2026</t>
        </is>
      </c>
      <c r="H13069" t="inlineStr">
        <is>
          <t>31/03/2026</t>
        </is>
      </c>
      <c r="I13069" t="inlineStr">
        <is>
          <t>17/03/2026</t>
        </is>
      </c>
      <c r="J13069" t="inlineStr">
        <is>
          <t>Tiếp thị / Marketing, Giáo dục / Đào tạo</t>
        </is>
      </c>
      <c r="K13069" t="inlineStr">
        <is>
          <t>2 - 3 Năm</t>
        </is>
      </c>
      <c r="L13069" s="8">
        <f>HYPERLINK("https://careerviet.vn/vi/tim-viec-lam/senior-communication-partnership-executive.35C69A5D.html","Xem chi tiết")</f>
        <v/>
      </c>
    </row>
    <row r="13070">
      <c r="B13070" s="9" t="n">
        <v>13068</v>
      </c>
      <c r="C13070" s="10" t="inlineStr">
        <is>
          <t>Nhân Viên Kiểm Soát Rủi Ro</t>
        </is>
      </c>
      <c r="D13070" s="10" t="inlineStr">
        <is>
          <t>Orioled Hub</t>
        </is>
      </c>
      <c r="E13070" s="10" t="inlineStr">
        <is>
          <t>Lương:Cạnh tranh</t>
        </is>
      </c>
      <c r="F13070" s="10" t="inlineStr">
        <is>
          <t>Bà Rịa - Vũng Tàu</t>
        </is>
      </c>
      <c r="G13070" s="10" t="inlineStr">
        <is>
          <t>30-04-2026</t>
        </is>
      </c>
      <c r="H13070" s="10" t="inlineStr">
        <is>
          <t>30/04/2026</t>
        </is>
      </c>
      <c r="I13070" s="10" t="inlineStr">
        <is>
          <t>17/03/2026</t>
        </is>
      </c>
      <c r="J13070" s="10" t="inlineStr">
        <is>
          <t>Dược phẩm/ Hóa Mỹ Phẩm, Sản xuất / Vận hành sản xuất</t>
        </is>
      </c>
      <c r="K13070" s="10" t="inlineStr">
        <is>
          <t>Lên đến 1 Năm</t>
        </is>
      </c>
      <c r="L13070" s="11">
        <f>HYPERLINK("https://careerviet.vn/vi/tim-viec-lam/nhan-vien-kiem-soat-rui-ro.35C69A5F.html","Xem chi tiết")</f>
        <v/>
      </c>
      <c r="M13070" s="10" t="n"/>
    </row>
    <row r="13071">
      <c r="B13071" s="7" t="n">
        <v>13069</v>
      </c>
      <c r="C13071" t="inlineStr">
        <is>
          <t>Nhân Viên Phụ Kho</t>
        </is>
      </c>
      <c r="D13071" t="inlineStr">
        <is>
          <t>DILIGO</t>
        </is>
      </c>
      <c r="E13071" t="inlineStr">
        <is>
          <t>Lương:5 Tr - 12 Tr VND</t>
        </is>
      </c>
      <c r="F13071" t="inlineStr">
        <is>
          <t>Hà NộiHồ Chí Minh</t>
        </is>
      </c>
      <c r="G13071" t="inlineStr">
        <is>
          <t>31-03-2026</t>
        </is>
      </c>
      <c r="H13071" t="inlineStr">
        <is>
          <t>31/03/2026</t>
        </is>
      </c>
      <c r="I13071" t="inlineStr">
        <is>
          <t>17/03/2026</t>
        </is>
      </c>
      <c r="J13071" t="inlineStr">
        <is>
          <t>Vận chuyển / Giao nhận / Kho vận, Lao động phổ thông</t>
        </is>
      </c>
      <c r="K13071" t="inlineStr">
        <is>
          <t>Lên đến 1 Năm</t>
        </is>
      </c>
      <c r="L13071" s="8">
        <f>HYPERLINK("https://careerviet.vn/vi/tim-viec-lam/nhan-vien-phu-kho.35C69A57.html","Xem chi tiết")</f>
        <v/>
      </c>
    </row>
    <row r="13072">
      <c r="B13072" s="9" t="n">
        <v>13070</v>
      </c>
      <c r="C13072" s="10" t="inlineStr">
        <is>
          <t>Nhân Viên Audit Thị Trường</t>
        </is>
      </c>
      <c r="D13072" s="10" t="inlineStr">
        <is>
          <t>Công Ty TNHH Taisun Việt Nam</t>
        </is>
      </c>
      <c r="E13072" s="10" t="inlineStr">
        <is>
          <t>Lương:Cạnh tranh</t>
        </is>
      </c>
      <c r="F13072" s="10" t="inlineStr">
        <is>
          <t>Hồ Chí Minh</t>
        </is>
      </c>
      <c r="G13072" s="10" t="inlineStr">
        <is>
          <t>25-03-2026</t>
        </is>
      </c>
      <c r="H13072" s="10" t="inlineStr">
        <is>
          <t>25/03/2026</t>
        </is>
      </c>
      <c r="I13072" s="10" t="inlineStr">
        <is>
          <t>17/03/2026</t>
        </is>
      </c>
      <c r="J13072" s="10" t="inlineStr">
        <is>
          <t>Bán hàng / Kinh doanh, Kế toán / Kiểm toán, Thực phẩm &amp; Đồ uống</t>
        </is>
      </c>
      <c r="K13072" s="10" t="inlineStr">
        <is>
          <t>3 - 5 Năm</t>
        </is>
      </c>
      <c r="L13072" s="11">
        <f>HYPERLINK("https://careerviet.vn/vi/tim-viec-lam/nhan-vien-audit-thi-truong.35C69A06.html","Xem chi tiết")</f>
        <v/>
      </c>
      <c r="M13072" s="10" t="n"/>
    </row>
    <row r="13073">
      <c r="B13073" s="7" t="n">
        <v>13071</v>
      </c>
      <c r="C13073" t="inlineStr">
        <is>
          <t>Nhân viên Kế toán AR, AP</t>
        </is>
      </c>
      <c r="D13073" t="inlineStr">
        <is>
          <t>nanoHome</t>
        </is>
      </c>
      <c r="E13073" t="inlineStr">
        <is>
          <t>Lương:9 Tr - 12 Tr VND</t>
        </is>
      </c>
      <c r="F13073" t="inlineStr">
        <is>
          <t>Hồ Chí Minh</t>
        </is>
      </c>
      <c r="G13073" t="inlineStr">
        <is>
          <t>26-03-2026</t>
        </is>
      </c>
      <c r="H13073" t="inlineStr">
        <is>
          <t>26/03/2026</t>
        </is>
      </c>
      <c r="I13073" t="inlineStr">
        <is>
          <t>17/03/2026</t>
        </is>
      </c>
      <c r="J13073" t="inlineStr">
        <is>
          <t>Kế toán / Kiểm toán</t>
        </is>
      </c>
      <c r="K13073" t="inlineStr">
        <is>
          <t>2 - 10 Năm</t>
        </is>
      </c>
      <c r="L13073" s="8">
        <f>HYPERLINK("https://careerviet.vn/vi/tim-viec-lam/nhan-vien-ke-toan-ar-ap.35C69950.html","Xem chi tiết")</f>
        <v/>
      </c>
    </row>
    <row r="13074">
      <c r="B13074" s="9" t="n">
        <v>13072</v>
      </c>
      <c r="C13074" s="10" t="inlineStr">
        <is>
          <t>Sales Executive</t>
        </is>
      </c>
      <c r="D13074" s="10" t="inlineStr">
        <is>
          <t>Công Ty TNHH Interflour Việt Nam</t>
        </is>
      </c>
      <c r="E13074" s="10" t="inlineStr">
        <is>
          <t>Lương:Cạnh tranh</t>
        </is>
      </c>
      <c r="F13074" s="10" t="inlineStr">
        <is>
          <t>Hồ Chí Minh</t>
        </is>
      </c>
      <c r="G13074" s="10" t="inlineStr">
        <is>
          <t>11-03-2026</t>
        </is>
      </c>
      <c r="H13074" s="10" t="inlineStr">
        <is>
          <t>09/03/2026</t>
        </is>
      </c>
      <c r="I13074" s="10" t="inlineStr">
        <is>
          <t>17/03/2026</t>
        </is>
      </c>
      <c r="J13074" s="10" t="inlineStr">
        <is>
          <t>Tiếp thị / Marketing, Bán hàng / Kinh doanh</t>
        </is>
      </c>
      <c r="K13074" s="10" t="inlineStr">
        <is>
          <t>1 - 3 Năm</t>
        </is>
      </c>
      <c r="L13074" s="11">
        <f>HYPERLINK("https://careerviet.vn/vi/tim-viec-lam/sales-executive.35C69ABD.html","Xem chi tiết")</f>
        <v/>
      </c>
      <c r="M13074" s="10" t="n"/>
    </row>
    <row r="13075">
      <c r="B13075" s="7" t="n">
        <v>13073</v>
      </c>
      <c r="C13075" t="inlineStr">
        <is>
          <t>Trưởng nhóm Marketing</t>
        </is>
      </c>
      <c r="D13075" t="inlineStr">
        <is>
          <t>Công ty cổ phần Anvy</t>
        </is>
      </c>
      <c r="E13075" t="inlineStr">
        <is>
          <t>Lương:20 Tr - 25 Tr VND</t>
        </is>
      </c>
      <c r="F13075" t="inlineStr">
        <is>
          <t>Hà Nội</t>
        </is>
      </c>
      <c r="G13075" t="inlineStr">
        <is>
          <t>24-03-2026</t>
        </is>
      </c>
      <c r="H13075" t="inlineStr">
        <is>
          <t>24/03/2026</t>
        </is>
      </c>
      <c r="I13075" t="inlineStr">
        <is>
          <t>17/03/2026</t>
        </is>
      </c>
      <c r="J13075" t="inlineStr">
        <is>
          <t>Tiếp thị / Marketing</t>
        </is>
      </c>
      <c r="K13075" t="inlineStr">
        <is>
          <t>2 - 3 Năm</t>
        </is>
      </c>
      <c r="L13075" s="8">
        <f>HYPERLINK("https://careerviet.vn/vi/tim-viec-lam/truong-nhom-marketing.35C69A46.html","Xem chi tiết")</f>
        <v/>
      </c>
    </row>
    <row r="13076">
      <c r="B13076" s="9" t="n">
        <v>13074</v>
      </c>
      <c r="C13076" s="10" t="inlineStr">
        <is>
          <t>Chuyên Viên Pháp Chế (Có Tiếng Anh)</t>
        </is>
      </c>
      <c r="D13076" s="10" t="inlineStr">
        <is>
          <t>Công ty TNHH Khải Minh Group</t>
        </is>
      </c>
      <c r="E13076" s="10" t="inlineStr">
        <is>
          <t>Lương:10 Tr - 20 Tr VND</t>
        </is>
      </c>
      <c r="F13076" s="10" t="inlineStr">
        <is>
          <t>Hà Nội</t>
        </is>
      </c>
      <c r="G13076" s="10" t="inlineStr">
        <is>
          <t>11-03-2026</t>
        </is>
      </c>
      <c r="H13076" s="10" t="inlineStr">
        <is>
          <t>28/02/2026</t>
        </is>
      </c>
      <c r="I13076" s="10" t="inlineStr">
        <is>
          <t>17/03/2026</t>
        </is>
      </c>
      <c r="J13076" s="10" t="inlineStr">
        <is>
          <t>Luật / Pháp lý, Hành chính / Thư ký</t>
        </is>
      </c>
      <c r="K13076" s="10" t="inlineStr">
        <is>
          <t>2 - 3 Năm</t>
        </is>
      </c>
      <c r="L13076" s="11">
        <f>HYPERLINK("https://careerviet.vn/vi/tim-viec-lam/chuyen-vien-phap-che-co-tieng-anh.35C69162.html","Xem chi tiết")</f>
        <v/>
      </c>
      <c r="M13076" s="10" t="n"/>
    </row>
    <row r="13077">
      <c r="B13077" s="7" t="n">
        <v>13075</v>
      </c>
      <c r="C13077" t="inlineStr">
        <is>
          <t>Nhân viên Kỹ Thuật Mài CNC</t>
        </is>
      </c>
      <c r="D13077" t="inlineStr">
        <is>
          <t>Công ty TNHH Cơ Khí Xây Dựng Du Lịch Bách Tùng</t>
        </is>
      </c>
      <c r="E13077" t="inlineStr">
        <is>
          <t>Lương:10 Tr - 17 Tr VND</t>
        </is>
      </c>
      <c r="F13077" t="inlineStr">
        <is>
          <t>Bình Dương</t>
        </is>
      </c>
      <c r="G13077" t="inlineStr">
        <is>
          <t>Hôm nay</t>
        </is>
      </c>
      <c r="H13077" t="inlineStr">
        <is>
          <t>17/03/2026</t>
        </is>
      </c>
      <c r="I13077" t="inlineStr">
        <is>
          <t>17/03/2026</t>
        </is>
      </c>
      <c r="J13077" t="inlineStr">
        <is>
          <t>Cơ khí / Ô tô / Tự động hóa, Sản xuất / Vận hành sản xuất</t>
        </is>
      </c>
      <c r="K13077" t="inlineStr">
        <is>
          <t>1 - 2 Năm</t>
        </is>
      </c>
      <c r="L13077" s="8">
        <f>HYPERLINK("https://careerviet.vn/vi/tim-viec-lam/nhan-vien-ky-thuat-mai-cnc.35C69A0F.html","Xem chi tiết")</f>
        <v/>
      </c>
    </row>
    <row r="13078">
      <c r="B13078" s="9" t="n">
        <v>13076</v>
      </c>
      <c r="C13078" s="10" t="inlineStr">
        <is>
          <t>E-COMMERCE SALES LEADER</t>
        </is>
      </c>
      <c r="D13078" s="10" t="inlineStr">
        <is>
          <t>CÔNG TY CP TẬP ĐOÀN VIỆT HỒNG</t>
        </is>
      </c>
      <c r="E13078" s="10" t="inlineStr">
        <is>
          <t>Lương:25 Tr - 40 Tr VND</t>
        </is>
      </c>
      <c r="F13078" s="10" t="inlineStr">
        <is>
          <t>Hồ Chí Minh</t>
        </is>
      </c>
      <c r="G13078" s="10" t="inlineStr">
        <is>
          <t>31-03-2026</t>
        </is>
      </c>
      <c r="H13078" s="10" t="inlineStr">
        <is>
          <t>31/03/2026</t>
        </is>
      </c>
      <c r="I13078" s="10" t="inlineStr">
        <is>
          <t>17/03/2026</t>
        </is>
      </c>
      <c r="J13078" s="10" t="inlineStr">
        <is>
          <t>Thương mại điện tử, Bán hàng / Kinh doanh</t>
        </is>
      </c>
      <c r="K13078" s="10" t="inlineStr">
        <is>
          <t>3 - 5 Năm</t>
        </is>
      </c>
      <c r="L13078" s="11">
        <f>HYPERLINK("https://careerviet.vn/vi/tim-viec-lam/e-commerce-sales-leader.35C69AC3.html","Xem chi tiết")</f>
        <v/>
      </c>
      <c r="M13078" s="10" t="n"/>
    </row>
    <row r="13079">
      <c r="B13079" s="7" t="n">
        <v>13077</v>
      </c>
      <c r="C13079" t="inlineStr">
        <is>
          <t>CHUYÊN VIÊN SEO</t>
        </is>
      </c>
      <c r="D13079" t="inlineStr">
        <is>
          <t>Bảo mật</t>
        </is>
      </c>
      <c r="E13079" t="inlineStr">
        <is>
          <t>Lương:13 Tr - 15 Tr VND</t>
        </is>
      </c>
      <c r="F13079" t="inlineStr">
        <is>
          <t>Hà Nội</t>
        </is>
      </c>
      <c r="G13079" t="inlineStr">
        <is>
          <t>31-03-2026</t>
        </is>
      </c>
      <c r="H13079" t="inlineStr">
        <is>
          <t>31/03/2026</t>
        </is>
      </c>
      <c r="I13079" t="inlineStr">
        <is>
          <t>17/03/2026</t>
        </is>
      </c>
      <c r="J13079" t="inlineStr">
        <is>
          <t>Tiếp thị / Marketing</t>
        </is>
      </c>
      <c r="K13079" t="inlineStr">
        <is>
          <t>1 - 2 Năm</t>
        </is>
      </c>
      <c r="L13079" s="8">
        <f>HYPERLINK("https://careerviet.vn/vi/tim-viec-lam/chuyen-vien-seo.35C69A59.html","Xem chi tiết")</f>
        <v/>
      </c>
    </row>
    <row r="13080">
      <c r="B13080" s="9" t="n">
        <v>13078</v>
      </c>
      <c r="C13080" s="10" t="inlineStr">
        <is>
          <t>Giám Sát Kinh Doanh Khu Vực Hưng Yên &amp; Hải Dương</t>
        </is>
      </c>
      <c r="D13080" s="10" t="inlineStr">
        <is>
          <t>Công Ty Tài Chính TNHH Một Thành Viên Quốc Tế Việt Nam JACCS</t>
        </is>
      </c>
      <c r="E13080" s="10" t="inlineStr">
        <is>
          <t>Lương:12 Tr - 17 Tr VND</t>
        </is>
      </c>
      <c r="F13080" s="10" t="inlineStr">
        <is>
          <t>Hưng YênHải Dương</t>
        </is>
      </c>
      <c r="G13080" s="10" t="inlineStr">
        <is>
          <t>26-03-2026</t>
        </is>
      </c>
      <c r="H13080" s="10" t="inlineStr">
        <is>
          <t>26/03/2026</t>
        </is>
      </c>
      <c r="I13080" s="10" t="inlineStr">
        <is>
          <t>17/03/2026</t>
        </is>
      </c>
      <c r="J13080" s="10" t="inlineStr">
        <is>
          <t>Ngân hàng, Tài chính / Đầu tư, Xây dựng</t>
        </is>
      </c>
      <c r="K13080" s="10" t="inlineStr">
        <is>
          <t>2 - 5 Năm</t>
        </is>
      </c>
      <c r="L13080" s="11">
        <f>HYPERLINK("https://careerviet.vn/vi/tim-viec-lam/giam-sat-kinh-doanh-khu-vuc-hung-yen-hai-duong.35C69967.html","Xem chi tiết")</f>
        <v/>
      </c>
      <c r="M13080" s="10" t="n"/>
    </row>
    <row r="13081">
      <c r="B13081" s="7" t="n">
        <v>13079</v>
      </c>
      <c r="C13081" t="inlineStr">
        <is>
          <t>Nhân Viên Thu Nợ Trực Tiếp_Cần Thơ</t>
        </is>
      </c>
      <c r="D13081" t="inlineStr">
        <is>
          <t>Công Ty Tài Chính TNHH Một Thành Viên Quốc Tế Việt Nam JACCS</t>
        </is>
      </c>
      <c r="E13081" t="inlineStr">
        <is>
          <t>Lương:8 Tr - 10 Tr VND</t>
        </is>
      </c>
      <c r="F13081" t="inlineStr">
        <is>
          <t>Cần Thơ</t>
        </is>
      </c>
      <c r="G13081" t="inlineStr">
        <is>
          <t>26-03-2026</t>
        </is>
      </c>
      <c r="H13081" t="inlineStr">
        <is>
          <t>26/03/2026</t>
        </is>
      </c>
      <c r="I13081" t="inlineStr">
        <is>
          <t>17/03/2026</t>
        </is>
      </c>
      <c r="J13081" t="inlineStr">
        <is>
          <t>Ngân hàng, Tài chính / Đầu tư, Luật / Pháp lý</t>
        </is>
      </c>
      <c r="K13081" t="inlineStr">
        <is>
          <t>N/A</t>
        </is>
      </c>
      <c r="L13081" s="8">
        <f>HYPERLINK("https://careerviet.vn/vi/tim-viec-lam/nhan-vien-thu-no-truc-tiep_can-tho.35C699A1.html","Xem chi tiết")</f>
        <v/>
      </c>
    </row>
    <row r="13082">
      <c r="B13082" s="9" t="n">
        <v>13080</v>
      </c>
      <c r="C13082" s="10" t="inlineStr">
        <is>
          <t>CHUYÊN VIÊN PHÁT TRIỂN KINH DOANH</t>
        </is>
      </c>
      <c r="D13082" s="10" t="inlineStr">
        <is>
          <t>CÔNG TY TNHH K&amp;M VINA</t>
        </is>
      </c>
      <c r="E13082" s="10" t="inlineStr">
        <is>
          <t>Lương:7,5 Tr - 25 Tr VND</t>
        </is>
      </c>
      <c r="F13082" s="10" t="inlineStr">
        <is>
          <t>Hồ Chí Minh</t>
        </is>
      </c>
      <c r="G13082" s="10" t="inlineStr">
        <is>
          <t>15-04-2026</t>
        </is>
      </c>
      <c r="H13082" s="10" t="inlineStr">
        <is>
          <t>15/04/2026</t>
        </is>
      </c>
      <c r="I13082" s="10" t="inlineStr">
        <is>
          <t>17/03/2026</t>
        </is>
      </c>
      <c r="J13082" s="10" t="inlineStr">
        <is>
          <t>Tiếp thị / Marketing, Bán hàng / Kinh doanh, Tài chính / Đầu tư</t>
        </is>
      </c>
      <c r="K13082" s="10" t="inlineStr">
        <is>
          <t>1 - 2 Năm</t>
        </is>
      </c>
      <c r="L13082" s="11">
        <f>HYPERLINK("https://careerviet.vn/vi/tim-viec-lam/chuyen-vien-phat-trien-kinh-doanh.35C6995C.html","Xem chi tiết")</f>
        <v/>
      </c>
      <c r="M13082" s="10" t="n"/>
    </row>
    <row r="13083">
      <c r="B13083" s="7" t="n">
        <v>13081</v>
      </c>
      <c r="C13083" t="inlineStr">
        <is>
          <t>Nhân Viên Sản Xuất</t>
        </is>
      </c>
      <c r="D13083" t="inlineStr">
        <is>
          <t>Orioled Hub</t>
        </is>
      </c>
      <c r="E13083" t="inlineStr">
        <is>
          <t>Lương:Cạnh tranh</t>
        </is>
      </c>
      <c r="F13083" t="inlineStr">
        <is>
          <t>Bà Rịa - Vũng Tàu</t>
        </is>
      </c>
      <c r="G13083" t="inlineStr">
        <is>
          <t>11-04-2026</t>
        </is>
      </c>
      <c r="H13083" t="inlineStr">
        <is>
          <t>11/04/2026</t>
        </is>
      </c>
      <c r="I13083" t="inlineStr">
        <is>
          <t>17/03/2026</t>
        </is>
      </c>
      <c r="J13083" t="inlineStr">
        <is>
          <t>Dược phẩm/ Hóa Mỹ Phẩm, Cơ khí / Ô tô / Tự động hóa, Sản xuất / Vận hành sản xuất</t>
        </is>
      </c>
      <c r="K13083" t="inlineStr">
        <is>
          <t>N/A</t>
        </is>
      </c>
      <c r="L13083" s="8">
        <f>HYPERLINK("https://careerviet.vn/vi/tim-viec-lam/nhan-vien-san-xuat.35C6994C.html","Xem chi tiết")</f>
        <v/>
      </c>
    </row>
    <row r="13084">
      <c r="B13084" s="9" t="n">
        <v>13082</v>
      </c>
      <c r="C13084" s="10" t="inlineStr">
        <is>
          <t>Nhân Viên Tư Vấn Kênh Trả Góp_An Giang</t>
        </is>
      </c>
      <c r="D13084" s="10" t="inlineStr">
        <is>
          <t>Công Ty Tài Chính TNHH Một Thành Viên Quốc Tế Việt Nam JACCS</t>
        </is>
      </c>
      <c r="E13084" s="10" t="inlineStr">
        <is>
          <t>Lương:5 Tr - 15 Tr VND</t>
        </is>
      </c>
      <c r="F13084" s="10" t="inlineStr">
        <is>
          <t>An Giang</t>
        </is>
      </c>
      <c r="G13084" s="10" t="inlineStr">
        <is>
          <t>26-03-2026</t>
        </is>
      </c>
      <c r="H13084" s="10" t="inlineStr">
        <is>
          <t>26/03/2026</t>
        </is>
      </c>
      <c r="I13084" s="10" t="inlineStr">
        <is>
          <t>17/03/2026</t>
        </is>
      </c>
      <c r="J13084" s="10" t="inlineStr">
        <is>
          <t>Bán hàng / Kinh doanh, Tài chính / Đầu tư, Lao động phổ thông</t>
        </is>
      </c>
      <c r="K13084" s="10" t="inlineStr">
        <is>
          <t>N/A</t>
        </is>
      </c>
      <c r="L13084" s="11">
        <f>HYPERLINK("https://careerviet.vn/vi/tim-viec-lam/nhan-vien-tu-van-kenh-tra-gop_an-giang.35C69922.html","Xem chi tiết")</f>
        <v/>
      </c>
      <c r="M13084" s="10" t="n"/>
    </row>
    <row r="13085">
      <c r="B13085" s="7" t="n">
        <v>13083</v>
      </c>
      <c r="C13085" t="inlineStr">
        <is>
          <t>Trợ Lý CEO - Vận Hành Sản Xuất Và Bán Lẻ</t>
        </is>
      </c>
      <c r="D13085" t="inlineStr">
        <is>
          <t>Công Ty TNHH XNK Phát Triển Đông Dương</t>
        </is>
      </c>
      <c r="E13085" t="inlineStr">
        <is>
          <t>Lương:Cạnh tranh</t>
        </is>
      </c>
      <c r="F13085" t="inlineStr">
        <is>
          <t>Hồ Chí Minh</t>
        </is>
      </c>
      <c r="G13085" t="inlineStr">
        <is>
          <t>31-03-2026</t>
        </is>
      </c>
      <c r="H13085" t="inlineStr">
        <is>
          <t>31/03/2026</t>
        </is>
      </c>
      <c r="I13085" t="inlineStr">
        <is>
          <t>17/03/2026</t>
        </is>
      </c>
      <c r="J13085" t="inlineStr">
        <is>
          <t>Bán lẻ / Bán sỉ, Sản xuất / Vận hành sản xuất, Quản lý điều hành</t>
        </is>
      </c>
      <c r="K13085" t="inlineStr">
        <is>
          <t>3 - 5 Năm</t>
        </is>
      </c>
      <c r="L13085" s="8">
        <f>HYPERLINK("https://careerviet.vn/vi/tim-viec-lam/tro-ly-ceo-van-hanh-san-xuat-va-ban-le.35C699CA.html","Xem chi tiết")</f>
        <v/>
      </c>
    </row>
    <row r="13086">
      <c r="B13086" s="9" t="n">
        <v>13084</v>
      </c>
      <c r="C13086" s="10" t="inlineStr">
        <is>
          <t>Nhân Viên Telesales (Nữ)</t>
        </is>
      </c>
      <c r="D13086" s="10" t="inlineStr">
        <is>
          <t>Công Ty Tài Chính TNHH Một Thành Viên Quốc Tế Việt Nam JACCS</t>
        </is>
      </c>
      <c r="E13086" s="10" t="inlineStr">
        <is>
          <t>Lương:8 Tr - 15 Tr VND</t>
        </is>
      </c>
      <c r="F13086" s="10" t="inlineStr">
        <is>
          <t>Hồ Chí Minh</t>
        </is>
      </c>
      <c r="G13086" s="10" t="inlineStr">
        <is>
          <t>26-03-2026</t>
        </is>
      </c>
      <c r="H13086" s="10" t="inlineStr">
        <is>
          <t>26/03/2026</t>
        </is>
      </c>
      <c r="I13086" s="10" t="inlineStr">
        <is>
          <t>17/03/2026</t>
        </is>
      </c>
      <c r="J13086" s="10" t="inlineStr">
        <is>
          <t>Tiếp thị / Marketing, Bán hàng / Kinh doanh, Tài chính / Đầu tư</t>
        </is>
      </c>
      <c r="K13086" s="10" t="inlineStr">
        <is>
          <t>N/A</t>
        </is>
      </c>
      <c r="L13086" s="11">
        <f>HYPERLINK("https://careerviet.vn/vi/tim-viec-lam/nhan-vien-telesales-nu.35C6996F.html","Xem chi tiết")</f>
        <v/>
      </c>
      <c r="M13086" s="10" t="n"/>
    </row>
    <row r="13087">
      <c r="B13087" s="7" t="n">
        <v>13085</v>
      </c>
      <c r="C13087" t="inlineStr">
        <is>
          <t>Security Engineer</t>
        </is>
      </c>
      <c r="D13087" t="inlineStr">
        <is>
          <t>Công ty TNHH Viettel - CHT</t>
        </is>
      </c>
      <c r="E13087" t="inlineStr">
        <is>
          <t>Lương:Cạnh tranh</t>
        </is>
      </c>
      <c r="F13087" t="inlineStr">
        <is>
          <t>Hà Nội</t>
        </is>
      </c>
      <c r="G13087" t="inlineStr">
        <is>
          <t>28-03-2026</t>
        </is>
      </c>
      <c r="H13087" t="inlineStr">
        <is>
          <t>28/03/2026</t>
        </is>
      </c>
      <c r="I13087" t="inlineStr">
        <is>
          <t>17/03/2026</t>
        </is>
      </c>
      <c r="J13087" t="inlineStr">
        <is>
          <t>CNTT - Phần mềm, CNTT - Phần cứng / Mạng</t>
        </is>
      </c>
      <c r="K13087" t="inlineStr">
        <is>
          <t>Trên 1 Năm</t>
        </is>
      </c>
      <c r="L13087" s="8">
        <f>HYPERLINK("https://careerviet.vn/vi/tim-viec-lam/security-engineer.35C69A2F.html","Xem chi tiết")</f>
        <v/>
      </c>
    </row>
    <row r="13088">
      <c r="B13088" s="9" t="n">
        <v>13086</v>
      </c>
      <c r="C13088" s="10" t="inlineStr">
        <is>
          <t>Sales Engineer</t>
        </is>
      </c>
      <c r="D13088" s="10" t="inlineStr">
        <is>
          <t>Cty TNHH Tuyết Nga</t>
        </is>
      </c>
      <c r="E13088" s="10" t="inlineStr">
        <is>
          <t>Lương:20 Tr - 40 Tr VND</t>
        </is>
      </c>
      <c r="F13088" s="10" t="inlineStr">
        <is>
          <t>Hà NộiHồ Chí Minh</t>
        </is>
      </c>
      <c r="G13088" s="10" t="inlineStr">
        <is>
          <t>30-04-2026</t>
        </is>
      </c>
      <c r="H13088" s="10" t="inlineStr">
        <is>
          <t>30/04/2026</t>
        </is>
      </c>
      <c r="I13088" s="10" t="inlineStr">
        <is>
          <t>17/03/2026</t>
        </is>
      </c>
      <c r="J13088" s="10" t="inlineStr">
        <is>
          <t>: Kinh doanh kỹ thuật, Cơ khí, Tự động hóa</t>
        </is>
      </c>
      <c r="K13088" s="10" t="inlineStr">
        <is>
          <t>2 - 3 Năm</t>
        </is>
      </c>
      <c r="L13088" s="11">
        <f>HYPERLINK("https://careerviet.vn/vi/tim-viec-lam/sales-engineer.35C69992.html","Xem chi tiết")</f>
        <v/>
      </c>
      <c r="M13088" s="10" t="n"/>
    </row>
    <row r="13089">
      <c r="B13089" s="7" t="n">
        <v>13087</v>
      </c>
      <c r="C13089" t="inlineStr">
        <is>
          <t>Thư ký/Trợ lý Kinh doanh</t>
        </is>
      </c>
      <c r="D13089" t="inlineStr">
        <is>
          <t>CÔNG TY CỔ PHẦN ALVANO</t>
        </is>
      </c>
      <c r="E13089" t="inlineStr">
        <is>
          <t>Lương:8 Tr - 11 Tr VND</t>
        </is>
      </c>
      <c r="F13089" t="inlineStr">
        <is>
          <t>Hồ Chí Minh</t>
        </is>
      </c>
      <c r="G13089" t="inlineStr">
        <is>
          <t>31-03-2026</t>
        </is>
      </c>
      <c r="H13089" t="inlineStr">
        <is>
          <t>31/03/2026</t>
        </is>
      </c>
      <c r="I13089" t="inlineStr">
        <is>
          <t>17/03/2026</t>
        </is>
      </c>
      <c r="J13089" t="inlineStr">
        <is>
          <t>Bán lẻ / Bán sỉ, Bán hàng / Kinh doanh, Nội ngoại thất</t>
        </is>
      </c>
      <c r="K13089" t="inlineStr">
        <is>
          <t>1 - 2 Năm</t>
        </is>
      </c>
      <c r="L13089" s="8">
        <f>HYPERLINK("https://careerviet.vn/vi/tim-viec-lam/thu-ky-tro-ly-kinh-doanh.35C69AC4.html","Xem chi tiết")</f>
        <v/>
      </c>
    </row>
    <row r="13090">
      <c r="B13090" s="9" t="n">
        <v>13088</v>
      </c>
      <c r="C13090" s="10" t="inlineStr">
        <is>
          <t>Nhân Viên Bảo Trì Điện Lạnh</t>
        </is>
      </c>
      <c r="D13090" s="10" t="inlineStr">
        <is>
          <t>Công Ty Cổ Phần Đức Mạnh</t>
        </is>
      </c>
      <c r="E13090" s="10" t="inlineStr">
        <is>
          <t>Lương:10 Tr - 11 Tr VND</t>
        </is>
      </c>
      <c r="F13090" s="10" t="inlineStr">
        <is>
          <t>Đà Nẵng</t>
        </is>
      </c>
      <c r="G13090" s="10" t="inlineStr">
        <is>
          <t>31-03-2026</t>
        </is>
      </c>
      <c r="H13090" s="10" t="inlineStr">
        <is>
          <t>31/03/2026</t>
        </is>
      </c>
      <c r="I13090" s="10" t="inlineStr">
        <is>
          <t>17/03/2026</t>
        </is>
      </c>
      <c r="J13090" s="10" t="inlineStr">
        <is>
          <t>Điện / Điện tử / Điện lạnh / Điện công nghiệp, Bảo trì / Sửa chữa</t>
        </is>
      </c>
      <c r="K13090" s="10" t="inlineStr">
        <is>
          <t>1 - 2 Năm</t>
        </is>
      </c>
      <c r="L13090" s="11">
        <f>HYPERLINK("https://careerviet.vn/vi/tim-viec-lam/nhan-vien-bao-tri-dien-lanh.35C699FE.html","Xem chi tiết")</f>
        <v/>
      </c>
      <c r="M13090" s="10" t="n"/>
    </row>
    <row r="13091">
      <c r="B13091" s="7" t="n">
        <v>13089</v>
      </c>
      <c r="C13091" t="inlineStr">
        <is>
          <t>Chuyên Viên Kinh Doanh  vật liệu xây dựng - khu vực Đà Nẵng</t>
        </is>
      </c>
      <c r="D13091" t="inlineStr">
        <is>
          <t>Công ty Cổ phần Đầu tư Ngôi sao Châu á</t>
        </is>
      </c>
      <c r="E13091" t="inlineStr">
        <is>
          <t>Lương:12 Tr - 15 Tr VND</t>
        </is>
      </c>
      <c r="F13091" t="inlineStr">
        <is>
          <t>Đà Nẵng</t>
        </is>
      </c>
      <c r="G13091" t="inlineStr">
        <is>
          <t>30-04-2026</t>
        </is>
      </c>
      <c r="H13091" t="inlineStr">
        <is>
          <t>30/04/2026</t>
        </is>
      </c>
      <c r="I13091" t="inlineStr">
        <is>
          <t>17/03/2026</t>
        </is>
      </c>
      <c r="J13091" t="inlineStr">
        <is>
          <t>Bán hàng / Kinh doanh, Hóa học, Xây dựng</t>
        </is>
      </c>
      <c r="K13091" t="inlineStr">
        <is>
          <t>2 - 3 Năm</t>
        </is>
      </c>
      <c r="L13091" s="8">
        <f>HYPERLINK("https://careerviet.vn/vi/tim-viec-lam/chuyen-vien-kinh-doanh-vat-lieu-xay-dung-khu-vuc-da-nang.35C69944.html","Xem chi tiết")</f>
        <v/>
      </c>
    </row>
    <row r="13092">
      <c r="B13092" s="9" t="n">
        <v>13090</v>
      </c>
      <c r="C13092" s="10" t="inlineStr">
        <is>
          <t>Content Creator</t>
        </is>
      </c>
      <c r="D13092" s="10" t="inlineStr">
        <is>
          <t>Công Ty TNHH Hoa Viên Bình An</t>
        </is>
      </c>
      <c r="E13092" s="10" t="inlineStr">
        <is>
          <t>Lương:Cạnh tranh</t>
        </is>
      </c>
      <c r="F13092" s="10" t="inlineStr">
        <is>
          <t>Hồ Chí Minh</t>
        </is>
      </c>
      <c r="G13092" s="10" t="inlineStr">
        <is>
          <t>11-03-2026</t>
        </is>
      </c>
      <c r="H13092" s="10" t="inlineStr">
        <is>
          <t>26/02/2026</t>
        </is>
      </c>
      <c r="I13092" s="10" t="inlineStr">
        <is>
          <t>17/03/2026</t>
        </is>
      </c>
      <c r="J13092" s="10" t="inlineStr">
        <is>
          <t>Tiếp thị / Marketing, Truyền hình / Báo chí / Biên tập, Tiếp thị trực tuyến</t>
        </is>
      </c>
      <c r="K13092" s="10" t="inlineStr">
        <is>
          <t>1 - 3 Năm</t>
        </is>
      </c>
      <c r="L13092" s="11">
        <f>HYPERLINK("https://careerviet.vn/vi/tim-viec-lam/content-creator.35C698EB.html","Xem chi tiết")</f>
        <v/>
      </c>
      <c r="M13092" s="10" t="n"/>
    </row>
    <row r="13093">
      <c r="B13093" s="7" t="n">
        <v>13091</v>
      </c>
      <c r="C13093" t="inlineStr">
        <is>
          <t>Nhân viên KCS nhà máy sản xuất Đông Anh</t>
        </is>
      </c>
      <c r="D13093" t="inlineStr">
        <is>
          <t>Công ty Cổ phần Đầu tư Ngôi sao Châu á</t>
        </is>
      </c>
      <c r="E13093" t="inlineStr">
        <is>
          <t>Lương:10 Tr - 12 Tr VND</t>
        </is>
      </c>
      <c r="F13093" t="inlineStr">
        <is>
          <t>Hà Nội</t>
        </is>
      </c>
      <c r="G13093" t="inlineStr">
        <is>
          <t>30-04-2026</t>
        </is>
      </c>
      <c r="H13093" t="inlineStr">
        <is>
          <t>30/04/2026</t>
        </is>
      </c>
      <c r="I13093" t="inlineStr">
        <is>
          <t>17/03/2026</t>
        </is>
      </c>
      <c r="J13093" t="inlineStr">
        <is>
          <t>Xây dựng</t>
        </is>
      </c>
      <c r="K13093" t="inlineStr">
        <is>
          <t>1 - 2 Năm</t>
        </is>
      </c>
      <c r="L13093" s="8">
        <f>HYPERLINK("https://careerviet.vn/vi/tim-viec-lam/nhan-vien-kcs-nha-may-san-xuat-dong-anh.35C69936.html","Xem chi tiết")</f>
        <v/>
      </c>
    </row>
    <row r="13094">
      <c r="B13094" s="9" t="n">
        <v>13092</v>
      </c>
      <c r="C13094" s="10" t="inlineStr">
        <is>
          <t>Nhân Viên Tư Vấn Kinh Doanh Mảng Auto trả góp - Đà Nẵng</t>
        </is>
      </c>
      <c r="D13094" s="10" t="inlineStr">
        <is>
          <t>Công Ty Tài Chính TNHH Một Thành Viên Quốc Tế Việt Nam JACCS</t>
        </is>
      </c>
      <c r="E13094" s="10" t="inlineStr">
        <is>
          <t>Lương:7 Tr - 12 Tr VND</t>
        </is>
      </c>
      <c r="F13094" s="10" t="inlineStr">
        <is>
          <t>Đà Nẵng</t>
        </is>
      </c>
      <c r="G13094" s="10" t="inlineStr">
        <is>
          <t>26-03-2026</t>
        </is>
      </c>
      <c r="H13094" s="10" t="inlineStr">
        <is>
          <t>26/03/2026</t>
        </is>
      </c>
      <c r="I13094" s="10" t="inlineStr">
        <is>
          <t>17/03/2026</t>
        </is>
      </c>
      <c r="J13094" s="10" t="inlineStr">
        <is>
          <t>Bán hàng / Kinh doanh, Ngân hàng, Tài chính / Đầu tư</t>
        </is>
      </c>
      <c r="K13094" s="10" t="inlineStr">
        <is>
          <t>1 - 2 Năm</t>
        </is>
      </c>
      <c r="L13094" s="11">
        <f>HYPERLINK("https://careerviet.vn/vi/tim-viec-lam/nhan-vien-tu-van-kinh-doanh-mang-auto-tra-gop-da-nang.35C6995F.html","Xem chi tiết")</f>
        <v/>
      </c>
      <c r="M13094" s="10" t="n"/>
    </row>
    <row r="13095">
      <c r="B13095" s="7" t="n">
        <v>13093</v>
      </c>
      <c r="C13095" t="inlineStr">
        <is>
          <t>Lab Staff</t>
        </is>
      </c>
      <c r="D13095" t="inlineStr">
        <is>
          <t>CÔNG TY TNHH BACONCO</t>
        </is>
      </c>
      <c r="E13095" t="inlineStr">
        <is>
          <t>Lương:Cạnh tranh</t>
        </is>
      </c>
      <c r="F13095" t="inlineStr">
        <is>
          <t>Bà Rịa - Vũng Tàu</t>
        </is>
      </c>
      <c r="G13095" t="inlineStr">
        <is>
          <t>26-03-2026</t>
        </is>
      </c>
      <c r="H13095" t="inlineStr">
        <is>
          <t>26/03/2026</t>
        </is>
      </c>
      <c r="I13095" t="inlineStr">
        <is>
          <t>17/03/2026</t>
        </is>
      </c>
      <c r="J13095" t="inlineStr">
        <is>
          <t>Nông nghiệp, Hóa học, Quản lý chất lượng (QA/QC)</t>
        </is>
      </c>
      <c r="K13095" t="inlineStr">
        <is>
          <t>1 - 2 Năm</t>
        </is>
      </c>
      <c r="L13095" s="8">
        <f>HYPERLINK("https://careerviet.vn/vi/tim-viec-lam/lab-staff.35C69A19.html","Xem chi tiết")</f>
        <v/>
      </c>
    </row>
    <row r="13096">
      <c r="B13096" s="9" t="n">
        <v>13094</v>
      </c>
      <c r="C13096" s="10" t="inlineStr">
        <is>
          <t>HÀNH CHÍNH NHÂN SỰ TIẾNG HÀN</t>
        </is>
      </c>
      <c r="D13096" s="10" t="inlineStr">
        <is>
          <t>CÔNG TY TNHH K&amp;M VINA</t>
        </is>
      </c>
      <c r="E13096" s="10" t="inlineStr">
        <is>
          <t>Lương:15 Tr - 22 Tr VND</t>
        </is>
      </c>
      <c r="F13096" s="10" t="inlineStr">
        <is>
          <t>Hồ Chí Minh</t>
        </is>
      </c>
      <c r="G13096" s="10" t="inlineStr">
        <is>
          <t>15-04-2026</t>
        </is>
      </c>
      <c r="H13096" s="10" t="inlineStr">
        <is>
          <t>15/04/2026</t>
        </is>
      </c>
      <c r="I13096" s="10" t="inlineStr">
        <is>
          <t>17/03/2026</t>
        </is>
      </c>
      <c r="J13096" s="10" t="inlineStr">
        <is>
          <t>Hành chính / Thư ký, Nhân sự, Biên phiên dịch</t>
        </is>
      </c>
      <c r="K13096" s="10" t="inlineStr">
        <is>
          <t>1 - 2 Năm</t>
        </is>
      </c>
      <c r="L13096" s="11">
        <f>HYPERLINK("https://careerviet.vn/vi/tim-viec-lam/hanh-chinh-nhan-su-tieng-han.35C69946.html","Xem chi tiết")</f>
        <v/>
      </c>
      <c r="M13096" s="10" t="n"/>
    </row>
    <row r="13097">
      <c r="B13097" s="7" t="n">
        <v>13095</v>
      </c>
      <c r="C13097" t="inlineStr">
        <is>
          <t>Nhân Viên Tư Vấn Kinh Doanh Mảng Auto trả góp - TP. HCM</t>
        </is>
      </c>
      <c r="D13097" t="inlineStr">
        <is>
          <t>Công Ty Tài Chính TNHH Một Thành Viên Quốc Tế Việt Nam JACCS</t>
        </is>
      </c>
      <c r="E13097" t="inlineStr">
        <is>
          <t>Lương:7 Tr - 12 Tr VND</t>
        </is>
      </c>
      <c r="F13097" t="inlineStr">
        <is>
          <t>Hồ Chí Minh</t>
        </is>
      </c>
      <c r="G13097" t="inlineStr">
        <is>
          <t>26-03-2026</t>
        </is>
      </c>
      <c r="H13097" t="inlineStr">
        <is>
          <t>26/03/2026</t>
        </is>
      </c>
      <c r="I13097" t="inlineStr">
        <is>
          <t>17/03/2026</t>
        </is>
      </c>
      <c r="J13097" t="inlineStr">
        <is>
          <t>Bán hàng / Kinh doanh, Ngân hàng, Tài chính / Đầu tư</t>
        </is>
      </c>
      <c r="K13097" t="inlineStr">
        <is>
          <t>1 - 2 Năm</t>
        </is>
      </c>
      <c r="L13097" s="8">
        <f>HYPERLINK("https://careerviet.vn/vi/tim-viec-lam/nhan-vien-tu-van-kinh-doanh-mang-auto-tra-gop-tp-hcm.35C69957.html","Xem chi tiết")</f>
        <v/>
      </c>
    </row>
    <row r="13098">
      <c r="B13098" s="9" t="n">
        <v>13096</v>
      </c>
      <c r="C13098" s="10" t="inlineStr">
        <is>
          <t>Scrum Master - Khối Ngân hàng số</t>
        </is>
      </c>
      <c r="D13098" s="10" t="inlineStr">
        <is>
          <t>Ngân Hàng TMCP Sài Gòn - Hà Nội ( SHB )</t>
        </is>
      </c>
      <c r="E13098" s="10" t="inlineStr">
        <is>
          <t>Lương:Cạnh tranh</t>
        </is>
      </c>
      <c r="F13098" s="10" t="inlineStr">
        <is>
          <t>Hà Nội</t>
        </is>
      </c>
      <c r="G13098" s="10" t="inlineStr">
        <is>
          <t>28-03-2026</t>
        </is>
      </c>
      <c r="H13098" s="10" t="inlineStr">
        <is>
          <t>28/03/2026</t>
        </is>
      </c>
      <c r="I13098" s="10" t="inlineStr">
        <is>
          <t>17/03/2026</t>
        </is>
      </c>
      <c r="J13098" s="10" t="inlineStr">
        <is>
          <t>CNTT - Phần mềm, Ngân hàng, Tài chính / Đầu tư</t>
        </is>
      </c>
      <c r="K13098" s="10" t="inlineStr">
        <is>
          <t>Trên 2 Năm</t>
        </is>
      </c>
      <c r="L13098" s="11">
        <f>HYPERLINK("https://careerviet.vn/vi/tim-viec-lam/scrum-master-khoi-ngan-hang-so.35C698F3.html","Xem chi tiết")</f>
        <v/>
      </c>
      <c r="M13098" s="10" t="n"/>
    </row>
    <row r="13099">
      <c r="B13099" s="7" t="n">
        <v>13097</v>
      </c>
      <c r="C13099" t="inlineStr">
        <is>
          <t>Chuyên viên cao cấp Tố tụng - QLTD - MSB - 3Y037</t>
        </is>
      </c>
      <c r="D13099" t="inlineStr">
        <is>
          <t>Ngân hàng Thương mại Cổ phần Hàng Hải Việt Nam (MSB)</t>
        </is>
      </c>
      <c r="E13099" t="inlineStr">
        <is>
          <t>Lương:16 Tr - 24 Tr VND</t>
        </is>
      </c>
      <c r="F13099" t="inlineStr">
        <is>
          <t>Hồ Chí MinhCần ThơĐà Nẵng</t>
        </is>
      </c>
      <c r="G13099" t="inlineStr">
        <is>
          <t>26-03-2026</t>
        </is>
      </c>
      <c r="H13099" t="inlineStr">
        <is>
          <t>26/03/2026</t>
        </is>
      </c>
      <c r="I13099" t="inlineStr">
        <is>
          <t>17/03/2026</t>
        </is>
      </c>
      <c r="J13099" t="inlineStr">
        <is>
          <t>Ngân hàng</t>
        </is>
      </c>
      <c r="K13099" t="inlineStr">
        <is>
          <t>3 - 5 Năm</t>
        </is>
      </c>
      <c r="L13099" s="8">
        <f>HYPERLINK("https://careerviet.vn/vi/tim-viec-lam/chuyen-vien-cao-cap-to-tung-qltd-msb-3y037.35C69AF8.html","Xem chi tiết")</f>
        <v/>
      </c>
    </row>
    <row r="13100">
      <c r="B13100" s="9" t="n">
        <v>13098</v>
      </c>
      <c r="C13100" s="10" t="inlineStr">
        <is>
          <t>Chuyên viên/CVCC/Chuyên gia Quản Lý Thay Đổi (Change Management) - Khối Ngân hàng số</t>
        </is>
      </c>
      <c r="D13100" s="10" t="inlineStr">
        <is>
          <t>Ngân Hàng TMCP Sài Gòn - Hà Nội ( SHB )</t>
        </is>
      </c>
      <c r="E13100" s="10" t="inlineStr">
        <is>
          <t>Lương:Cạnh tranh</t>
        </is>
      </c>
      <c r="F13100" s="10" t="inlineStr">
        <is>
          <t>Hà Nội</t>
        </is>
      </c>
      <c r="G13100" s="10" t="inlineStr">
        <is>
          <t>28-03-2026</t>
        </is>
      </c>
      <c r="H13100" s="10" t="inlineStr">
        <is>
          <t>28/03/2026</t>
        </is>
      </c>
      <c r="I13100" s="10" t="inlineStr">
        <is>
          <t>17/03/2026</t>
        </is>
      </c>
      <c r="J13100" s="10" t="inlineStr">
        <is>
          <t>Ngân hàng</t>
        </is>
      </c>
      <c r="K13100" s="10" t="inlineStr">
        <is>
          <t>Trên 2 Năm</t>
        </is>
      </c>
      <c r="L13100" s="11">
        <f>HYPERLINK("https://careerviet.vn/vi/tim-viec-lam/chuyen-vien-cvcc-chuyen-gia-quan-ly-thay-doi-change-management-khoi-ngan-hang-so.35C698F5.html","Xem chi tiết")</f>
        <v/>
      </c>
      <c r="M13100" s="10" t="n"/>
    </row>
    <row r="13101">
      <c r="B13101" s="7" t="n">
        <v>13099</v>
      </c>
      <c r="C13101" t="inlineStr">
        <is>
          <t>Tổng đài Chăm sóc khách hàng MB Bank tại Cát Linh, Đống Đa.H1</t>
        </is>
      </c>
      <c r="D13101" t="inlineStr">
        <is>
          <t>CÔNG TY CỔ PHẦN TRUYỀN THÔNG KIM CƯƠNG</t>
        </is>
      </c>
      <c r="E13101" t="inlineStr">
        <is>
          <t>Lương:8 Tr - 10 Tr VND</t>
        </is>
      </c>
      <c r="F13101" t="inlineStr">
        <is>
          <t>Hà Nội</t>
        </is>
      </c>
      <c r="G13101" t="inlineStr">
        <is>
          <t>31-03-2026</t>
        </is>
      </c>
      <c r="H13101" t="inlineStr">
        <is>
          <t>31/03/2026</t>
        </is>
      </c>
      <c r="I13101" t="inlineStr">
        <is>
          <t>17/03/2026</t>
        </is>
      </c>
      <c r="J13101" t="inlineStr">
        <is>
          <t>Kế toán / Kiểm toán, Bán hàng / Kinh doanh, Thương mại điện tử</t>
        </is>
      </c>
      <c r="K13101" t="inlineStr">
        <is>
          <t>N/A</t>
        </is>
      </c>
      <c r="L13101" s="8">
        <f>HYPERLINK("https://careerviet.vn/vi/tim-viec-lam/tong-dai-cham-soc-khach-hang-mb-bank-tai-cat-linh-dong-da-h1.35C69916.html","Xem chi tiết")</f>
        <v/>
      </c>
    </row>
    <row r="13102">
      <c r="B13102" s="9" t="n">
        <v>13100</v>
      </c>
      <c r="C13102" s="10" t="inlineStr">
        <is>
          <t>Giám đốc Dự án</t>
        </is>
      </c>
      <c r="D13102" s="10" t="inlineStr">
        <is>
          <t>CÔNG TY CỔ PHẦN TẬP ĐOÀN GDC</t>
        </is>
      </c>
      <c r="E13102" s="10" t="inlineStr">
        <is>
          <t>Lương:45 Tr - 55 Tr VND</t>
        </is>
      </c>
      <c r="F13102" s="10" t="inlineStr">
        <is>
          <t>Hà Nội</t>
        </is>
      </c>
      <c r="G13102" s="10" t="inlineStr">
        <is>
          <t>26-03-2026</t>
        </is>
      </c>
      <c r="H13102" s="10" t="inlineStr">
        <is>
          <t>26/03/2026</t>
        </is>
      </c>
      <c r="I13102" s="10" t="inlineStr">
        <is>
          <t>17/03/2026</t>
        </is>
      </c>
      <c r="J13102" s="10" t="inlineStr">
        <is>
          <t>Xây dựng, Kiến trúc</t>
        </is>
      </c>
      <c r="K13102" s="10" t="inlineStr">
        <is>
          <t>7 - 15 Năm</t>
        </is>
      </c>
      <c r="L13102" s="11">
        <f>HYPERLINK("https://careerviet.vn/vi/tim-viec-lam/giam-doc-du-an.35C69C9F.html","Xem chi tiết")</f>
        <v/>
      </c>
      <c r="M13102" s="10" t="n"/>
    </row>
    <row r="13103">
      <c r="B13103" s="7" t="n">
        <v>13101</v>
      </c>
      <c r="C13103" t="inlineStr">
        <is>
          <t>NHÂN VIÊN BÁN HÀNG</t>
        </is>
      </c>
      <c r="D13103" t="inlineStr">
        <is>
          <t>HỆ THỐNG KÍNH MẮT ANNA</t>
        </is>
      </c>
      <c r="E13103" t="inlineStr">
        <is>
          <t>Lương:10 Tr - 15 Tr VND</t>
        </is>
      </c>
      <c r="F13103" t="inlineStr">
        <is>
          <t>Hồ Chí MinhĐà NẵngLâm Đồng</t>
        </is>
      </c>
      <c r="G13103" t="inlineStr">
        <is>
          <t>30-04-2026</t>
        </is>
      </c>
      <c r="H13103" t="inlineStr">
        <is>
          <t>30/04/2026</t>
        </is>
      </c>
      <c r="I13103" t="inlineStr">
        <is>
          <t>17/03/2026</t>
        </is>
      </c>
      <c r="J13103" t="inlineStr">
        <is>
          <t>Bán lẻ / Bán sỉ, Bán hàng / Kinh doanh, Tư vấn</t>
        </is>
      </c>
      <c r="K13103" t="inlineStr">
        <is>
          <t>Chưa có kinh nghiệm</t>
        </is>
      </c>
      <c r="L13103" s="8">
        <f>HYPERLINK("https://careerviet.vn/vi/tim-viec-lam/nhan-vien-ban-hang.35C69C3D.html","Xem chi tiết")</f>
        <v/>
      </c>
    </row>
    <row r="13104">
      <c r="B13104" s="9" t="n">
        <v>13102</v>
      </c>
      <c r="C13104" s="10" t="inlineStr">
        <is>
          <t>Kiến Trúc Sư Quy Hoạch</t>
        </is>
      </c>
      <c r="D13104" s="10" t="inlineStr">
        <is>
          <t>Công ty Cổ phần Đầu tư Tân Minh</t>
        </is>
      </c>
      <c r="E13104" s="10" t="inlineStr">
        <is>
          <t>Lương:10 Tr - 15 Tr VND</t>
        </is>
      </c>
      <c r="F13104" s="10" t="inlineStr">
        <is>
          <t>Hà Nội</t>
        </is>
      </c>
      <c r="G13104" s="10" t="inlineStr">
        <is>
          <t>31-03-2026</t>
        </is>
      </c>
      <c r="H13104" s="10" t="inlineStr">
        <is>
          <t>31/03/2026</t>
        </is>
      </c>
      <c r="I13104" s="10" t="inlineStr">
        <is>
          <t>17/03/2026</t>
        </is>
      </c>
      <c r="J13104" s="10" t="inlineStr">
        <is>
          <t>Kiến trúc</t>
        </is>
      </c>
      <c r="K13104" s="10" t="inlineStr">
        <is>
          <t>N/A</t>
        </is>
      </c>
      <c r="L13104" s="11">
        <f>HYPERLINK("https://careerviet.vn/vi/tim-viec-lam/kien-truc-su-quy-hoach.35C69B44.html","Xem chi tiết")</f>
        <v/>
      </c>
      <c r="M13104" s="10" t="n"/>
    </row>
    <row r="13105">
      <c r="B13105" s="7" t="n">
        <v>13103</v>
      </c>
      <c r="C13105" t="inlineStr">
        <is>
          <t>Nhân Viên Tư Vấn Kênh Trả Góp_Hà Nam</t>
        </is>
      </c>
      <c r="D13105" t="inlineStr">
        <is>
          <t>Công Ty Tài Chính TNHH Một Thành Viên Quốc Tế Việt Nam JACCS</t>
        </is>
      </c>
      <c r="E13105" t="inlineStr">
        <is>
          <t>Lương:5 Tr - 15 Tr VND</t>
        </is>
      </c>
      <c r="F13105" t="inlineStr">
        <is>
          <t>Hà Nam</t>
        </is>
      </c>
      <c r="G13105" t="inlineStr">
        <is>
          <t>26-03-2026</t>
        </is>
      </c>
      <c r="H13105" t="inlineStr">
        <is>
          <t>26/03/2026</t>
        </is>
      </c>
      <c r="I13105" t="inlineStr">
        <is>
          <t>17/03/2026</t>
        </is>
      </c>
      <c r="J13105" t="inlineStr">
        <is>
          <t>Bán hàng / Kinh doanh, Tài chính / Đầu tư, Lao động phổ thông</t>
        </is>
      </c>
      <c r="K13105" t="inlineStr">
        <is>
          <t>N/A</t>
        </is>
      </c>
      <c r="L13105" s="8">
        <f>HYPERLINK("https://careerviet.vn/vi/tim-viec-lam/nhan-vien-tu-van-kenh-tra-gop_ha-nam.35C69913.html","Xem chi tiết")</f>
        <v/>
      </c>
    </row>
    <row r="13106">
      <c r="B13106" s="9" t="n">
        <v>13104</v>
      </c>
      <c r="C13106" s="10" t="inlineStr">
        <is>
          <t>Nhân viên QC - Sản xuất giống cây trồng</t>
        </is>
      </c>
      <c r="D13106" s="10" t="inlineStr">
        <is>
          <t>Công ty cổ phần Nafoods Group</t>
        </is>
      </c>
      <c r="E13106" s="10" t="inlineStr">
        <is>
          <t>Lương:13 Tr - 15 Tr VND</t>
        </is>
      </c>
      <c r="F13106" s="10" t="inlineStr">
        <is>
          <t>Nghệ An</t>
        </is>
      </c>
      <c r="G13106" s="10" t="inlineStr">
        <is>
          <t>31-03-2026</t>
        </is>
      </c>
      <c r="H13106" s="10" t="inlineStr">
        <is>
          <t>31/03/2026</t>
        </is>
      </c>
      <c r="I13106" s="10" t="inlineStr">
        <is>
          <t>17/03/2026</t>
        </is>
      </c>
      <c r="J13106" s="10" t="inlineStr">
        <is>
          <t>Nông nghiệp</t>
        </is>
      </c>
      <c r="K13106" s="10" t="inlineStr">
        <is>
          <t>2 - 5 Năm</t>
        </is>
      </c>
      <c r="L13106" s="11">
        <f>HYPERLINK("https://careerviet.vn/vi/tim-viec-lam/nhan-vien-qc-san-xuat-giong-cay-trong.35C6945C.html","Xem chi tiết")</f>
        <v/>
      </c>
      <c r="M13106" s="10" t="n"/>
    </row>
    <row r="13107">
      <c r="B13107" s="7" t="n">
        <v>13105</v>
      </c>
      <c r="C13107" t="inlineStr">
        <is>
          <t>CHUYÊN VIÊN DỰ TOÁN</t>
        </is>
      </c>
      <c r="D13107" t="inlineStr">
        <is>
          <t>CÔNG TY CỔ PHẦN TƯ VẤN THIẾT KẾ VÀ XÂY DỰNG GREENHN</t>
        </is>
      </c>
      <c r="E13107" t="inlineStr">
        <is>
          <t>Lương:12 Tr - 18 Tr VND</t>
        </is>
      </c>
      <c r="F13107" t="inlineStr">
        <is>
          <t>Hồ Chí MinhHà Nội</t>
        </is>
      </c>
      <c r="G13107" t="inlineStr">
        <is>
          <t>25-03-2026</t>
        </is>
      </c>
      <c r="H13107" t="inlineStr">
        <is>
          <t>25/03/2026</t>
        </is>
      </c>
      <c r="I13107" t="inlineStr">
        <is>
          <t>17/03/2026</t>
        </is>
      </c>
      <c r="J13107" t="inlineStr">
        <is>
          <t>Kiến trúc, Xây dựng</t>
        </is>
      </c>
      <c r="K13107" t="inlineStr">
        <is>
          <t>2 - 5 Năm</t>
        </is>
      </c>
      <c r="L13107" s="8">
        <f>HYPERLINK("https://careerviet.vn/vi/tim-viec-lam/chuyen-vien-du-toan.35C698E6.html","Xem chi tiết")</f>
        <v/>
      </c>
    </row>
    <row r="13108">
      <c r="B13108" s="9" t="n">
        <v>13106</v>
      </c>
      <c r="C13108" s="10" t="inlineStr">
        <is>
          <t>Nhân viên Hành chính Kế toán (Phú Mỹ - Bà Rịa Vũng Tàu)</t>
        </is>
      </c>
      <c r="D13108" s="10" t="inlineStr">
        <is>
          <t>Công Ty CP Liên Kết Quốc Tế INTERLINK (Trường Liên Kết Quốc Tế INschool &amp; Ngoại Ngữ Quốc Tế INS ENGLISH &amp; CHINESE)</t>
        </is>
      </c>
      <c r="E13108" s="10" t="inlineStr">
        <is>
          <t>Lương:7 Tr - 9 Tr VND</t>
        </is>
      </c>
      <c r="F13108" s="10" t="inlineStr">
        <is>
          <t>Bà Rịa - Vũng Tàu</t>
        </is>
      </c>
      <c r="G13108" s="10" t="inlineStr">
        <is>
          <t>26-03-2026</t>
        </is>
      </c>
      <c r="H13108" s="10" t="inlineStr">
        <is>
          <t>26/03/2026</t>
        </is>
      </c>
      <c r="I13108" s="10" t="inlineStr">
        <is>
          <t>17/03/2026</t>
        </is>
      </c>
      <c r="J13108" s="10" t="inlineStr">
        <is>
          <t>Giáo dục / Đào tạo, Hành chính / Thư ký, Kế toán / Kiểm toán</t>
        </is>
      </c>
      <c r="K13108" s="10" t="inlineStr">
        <is>
          <t>1 - 2 Năm</t>
        </is>
      </c>
      <c r="L13108" s="11">
        <f>HYPERLINK("https://careerviet.vn/vi/tim-viec-lam/nhan-vien-hanh-chinh-ke-toan-phu-my-ba-ria-vung-tau.35C69B0D.html","Xem chi tiết")</f>
        <v/>
      </c>
      <c r="M13108" s="10" t="n"/>
    </row>
    <row r="13109">
      <c r="B13109" s="7" t="n">
        <v>13107</v>
      </c>
      <c r="C13109" t="inlineStr">
        <is>
          <t>Kế toán phải trả</t>
        </is>
      </c>
      <c r="D13109" t="inlineStr">
        <is>
          <t>Công ty Cổ phần CANIFA</t>
        </is>
      </c>
      <c r="E13109" t="inlineStr">
        <is>
          <t>Lương:10 Tr - 15 Tr VND</t>
        </is>
      </c>
      <c r="F13109" t="inlineStr">
        <is>
          <t>Hà Nội</t>
        </is>
      </c>
      <c r="G13109" t="inlineStr">
        <is>
          <t>31-03-2026</t>
        </is>
      </c>
      <c r="H13109" t="inlineStr">
        <is>
          <t>31/03/2026</t>
        </is>
      </c>
      <c r="I13109" t="inlineStr">
        <is>
          <t>17/03/2026</t>
        </is>
      </c>
      <c r="J13109" t="inlineStr">
        <is>
          <t>Kế toán / Kiểm toán</t>
        </is>
      </c>
      <c r="K13109" t="inlineStr">
        <is>
          <t>1 - 5 Năm</t>
        </is>
      </c>
      <c r="L13109" s="8">
        <f>HYPERLINK("https://careerviet.vn/vi/tim-viec-lam/ke-toan-phai-tra.35C69B2B.html","Xem chi tiết")</f>
        <v/>
      </c>
    </row>
    <row r="13110">
      <c r="B13110" s="9" t="n">
        <v>13108</v>
      </c>
      <c r="C13110" s="10" t="inlineStr">
        <is>
          <t>Battery Test and Analysis Engineering Manager (open for Expat)</t>
        </is>
      </c>
      <c r="D13110" s="10" t="inlineStr">
        <is>
          <t>Techtronic Industries Vietnam Manufacturing Company Limited</t>
        </is>
      </c>
      <c r="E13110" s="10" t="inlineStr">
        <is>
          <t>Lương:Cạnh tranh</t>
        </is>
      </c>
      <c r="F13110" s="10" t="inlineStr">
        <is>
          <t>Hồ Chí Minh</t>
        </is>
      </c>
      <c r="G13110" s="10" t="inlineStr">
        <is>
          <t>28-03-2026</t>
        </is>
      </c>
      <c r="H13110" s="10" t="inlineStr">
        <is>
          <t>28/03/2026</t>
        </is>
      </c>
      <c r="I13110" s="10" t="inlineStr">
        <is>
          <t>17/03/2026</t>
        </is>
      </c>
      <c r="J13110" s="10" t="inlineStr">
        <is>
          <t>Sản xuất / Vận hành sản xuất, Quản lý chất lượng (QA/QC), Điện / Điện tử / Điện lạnh / Điện công nghiệp</t>
        </is>
      </c>
      <c r="K13110" s="10" t="inlineStr">
        <is>
          <t>7 - 10 Năm</t>
        </is>
      </c>
      <c r="L13110" s="11">
        <f>HYPERLINK("https://careerviet.vn/vi/tim-viec-lam/battery-test-and-analysis-engineering-manager-open-for-expat.35C69ABA.html","Xem chi tiết")</f>
        <v/>
      </c>
      <c r="M13110" s="10" t="n"/>
    </row>
    <row r="13111">
      <c r="B13111" s="7" t="n">
        <v>13109</v>
      </c>
      <c r="C13111" t="inlineStr">
        <is>
          <t>Marketing Manager (Mảng xe điện)</t>
        </is>
      </c>
      <c r="D13111" t="inlineStr">
        <is>
          <t>Công Ty TNHH XNK Phát Triển Đông Dương</t>
        </is>
      </c>
      <c r="E13111" t="inlineStr">
        <is>
          <t>Lương:Cạnh tranh</t>
        </is>
      </c>
      <c r="F13111" t="inlineStr">
        <is>
          <t>Hồ Chí Minh</t>
        </is>
      </c>
      <c r="G13111" t="inlineStr">
        <is>
          <t>27-03-2026</t>
        </is>
      </c>
      <c r="H13111" t="inlineStr">
        <is>
          <t>27/03/2026</t>
        </is>
      </c>
      <c r="I13111" t="inlineStr">
        <is>
          <t>17/03/2026</t>
        </is>
      </c>
      <c r="J13111" t="inlineStr">
        <is>
          <t>Tiếp thị / Marketing, Bán lẻ / Bán sỉ, Bán hàng / Kinh doanh</t>
        </is>
      </c>
      <c r="K13111" t="inlineStr">
        <is>
          <t>4 - 8 Năm</t>
        </is>
      </c>
      <c r="L13111" s="8">
        <f>HYPERLINK("https://careerviet.vn/vi/tim-viec-lam/marketing-manager-mang-xe-dien.35C699B6.html","Xem chi tiết")</f>
        <v/>
      </c>
    </row>
    <row r="13112">
      <c r="B13112" s="9" t="n">
        <v>13110</v>
      </c>
      <c r="C13112" s="10" t="inlineStr">
        <is>
          <t>Nhân Viên Tư Vấn Kênh Trả Góp_Thái Nguyên</t>
        </is>
      </c>
      <c r="D13112" s="10" t="inlineStr">
        <is>
          <t>Công Ty Tài Chính TNHH Một Thành Viên Quốc Tế Việt Nam JACCS</t>
        </is>
      </c>
      <c r="E13112" s="10" t="inlineStr">
        <is>
          <t>Lương:5 Tr - 15 Tr VND</t>
        </is>
      </c>
      <c r="F13112" s="10" t="inlineStr">
        <is>
          <t>Thái Nguyên</t>
        </is>
      </c>
      <c r="G13112" s="10" t="inlineStr">
        <is>
          <t>26-03-2026</t>
        </is>
      </c>
      <c r="H13112" s="10" t="inlineStr">
        <is>
          <t>26/03/2026</t>
        </is>
      </c>
      <c r="I13112" s="10" t="inlineStr">
        <is>
          <t>17/03/2026</t>
        </is>
      </c>
      <c r="J13112" s="10" t="inlineStr">
        <is>
          <t>Bán hàng / Kinh doanh, Tài chính / Đầu tư, Lao động phổ thông</t>
        </is>
      </c>
      <c r="K13112" s="10" t="inlineStr">
        <is>
          <t>N/A</t>
        </is>
      </c>
      <c r="L13112" s="11">
        <f>HYPERLINK("https://careerviet.vn/vi/tim-viec-lam/nhan-vien-tu-van-kenh-tra-gop_thai-nguyen.35C69941.html","Xem chi tiết")</f>
        <v/>
      </c>
      <c r="M13112" s="10" t="n"/>
    </row>
    <row r="13113">
      <c r="B13113" s="7" t="n">
        <v>13111</v>
      </c>
      <c r="C13113" t="inlineStr">
        <is>
          <t>Senior Business Development</t>
        </is>
      </c>
      <c r="D13113" t="inlineStr">
        <is>
          <t>CÔNG TY CỔ PHẦN CÔNG NGHỆ PREP</t>
        </is>
      </c>
      <c r="E13113" t="inlineStr">
        <is>
          <t>Lương:13 Tr - 15 Tr VND</t>
        </is>
      </c>
      <c r="F13113" t="inlineStr">
        <is>
          <t>Hà Nội</t>
        </is>
      </c>
      <c r="G13113" t="inlineStr">
        <is>
          <t>31-03-2026</t>
        </is>
      </c>
      <c r="H13113" t="inlineStr">
        <is>
          <t>31/03/2026</t>
        </is>
      </c>
      <c r="I13113" t="inlineStr">
        <is>
          <t>17/03/2026</t>
        </is>
      </c>
      <c r="J13113" t="inlineStr">
        <is>
          <t>Bán hàng / Kinh doanh, Tư vấn, Giáo dục / Đào tạo</t>
        </is>
      </c>
      <c r="K13113" t="inlineStr">
        <is>
          <t>Lên đến 2 Năm</t>
        </is>
      </c>
      <c r="L13113" s="8">
        <f>HYPERLINK("https://careerviet.vn/vi/tim-viec-lam/senior-business-development.35C69C86.html","Xem chi tiết")</f>
        <v/>
      </c>
    </row>
    <row r="13114">
      <c r="B13114" s="9" t="n">
        <v>13112</v>
      </c>
      <c r="C13114" s="10" t="inlineStr">
        <is>
          <t>Designer</t>
        </is>
      </c>
      <c r="D13114" s="10" t="inlineStr">
        <is>
          <t>Công ty TNHH SXTM XNK Minh Hiền</t>
        </is>
      </c>
      <c r="E13114" s="10" t="inlineStr">
        <is>
          <t>Lương:12 Tr - 20 Tr VND</t>
        </is>
      </c>
      <c r="F13114" s="10" t="inlineStr">
        <is>
          <t>Hồ Chí Minh</t>
        </is>
      </c>
      <c r="G13114" s="10" t="inlineStr">
        <is>
          <t>28-03-2026</t>
        </is>
      </c>
      <c r="H13114" s="10" t="inlineStr">
        <is>
          <t>28/03/2026</t>
        </is>
      </c>
      <c r="I13114" s="10" t="inlineStr">
        <is>
          <t>17/03/2026</t>
        </is>
      </c>
      <c r="J13114" s="10" t="inlineStr">
        <is>
          <t>Mỹ thuật / Nghệ thuật / Thiết kế, Dệt may / Da giày / Thời trang</t>
        </is>
      </c>
      <c r="K13114" s="10" t="inlineStr">
        <is>
          <t>1 - 3 Năm</t>
        </is>
      </c>
      <c r="L13114" s="11">
        <f>HYPERLINK("https://careerviet.vn/vi/tim-viec-lam/designer.35C69ABB.html","Xem chi tiết")</f>
        <v/>
      </c>
      <c r="M13114" s="10" t="n"/>
    </row>
    <row r="13115">
      <c r="B13115" s="7" t="n">
        <v>13113</v>
      </c>
      <c r="C13115" t="inlineStr">
        <is>
          <t>Nhân viên bán hàng</t>
        </is>
      </c>
      <c r="D13115" t="inlineStr">
        <is>
          <t>HỆ THỐNG KÍNH MẮT ANNA</t>
        </is>
      </c>
      <c r="E13115" t="inlineStr">
        <is>
          <t>Lương:8 Tr - 12 Tr VND</t>
        </is>
      </c>
      <c r="F13115" t="inlineStr">
        <is>
          <t>Hải PhòngHải DươngThái Bình</t>
        </is>
      </c>
      <c r="G13115" t="inlineStr">
        <is>
          <t>31-03-2026</t>
        </is>
      </c>
      <c r="H13115" t="inlineStr">
        <is>
          <t>31/03/2026</t>
        </is>
      </c>
      <c r="I13115" t="inlineStr">
        <is>
          <t>17/03/2026</t>
        </is>
      </c>
      <c r="J13115" t="inlineStr">
        <is>
          <t>Bán lẻ / Bán sỉ, Dịch vụ khách hàng, Bán hàng / Kinh doanh</t>
        </is>
      </c>
      <c r="K13115" t="inlineStr">
        <is>
          <t>Chưa có kinh nghiệm</t>
        </is>
      </c>
      <c r="L13115" s="8">
        <f>HYPERLINK("https://careerviet.vn/vi/tim-viec-lam/nhan-vien-ban-hang.35C69C12.html","Xem chi tiết")</f>
        <v/>
      </c>
    </row>
    <row r="13116">
      <c r="B13116" s="9" t="n">
        <v>13114</v>
      </c>
      <c r="C13116" s="10" t="inlineStr">
        <is>
          <t>Giao dịch viên - CN. Phúc Yên (CN26.19)</t>
        </is>
      </c>
      <c r="D13116" s="10" t="inlineStr">
        <is>
          <t>Ngân Hàng TMCP Quân Đội</t>
        </is>
      </c>
      <c r="E13116" s="10" t="inlineStr">
        <is>
          <t>Lương:Cạnh tranh</t>
        </is>
      </c>
      <c r="F13116" s="10" t="inlineStr">
        <is>
          <t>Phú Thọ</t>
        </is>
      </c>
      <c r="G13116" s="10" t="inlineStr">
        <is>
          <t>26-03-2026</t>
        </is>
      </c>
      <c r="H13116" s="10" t="inlineStr">
        <is>
          <t>26/03/2026</t>
        </is>
      </c>
      <c r="I13116" s="10" t="inlineStr">
        <is>
          <t>17/03/2026</t>
        </is>
      </c>
      <c r="J13116" s="10" t="inlineStr">
        <is>
          <t>Ngân hàng</t>
        </is>
      </c>
      <c r="K13116" s="10" t="inlineStr">
        <is>
          <t>N/A</t>
        </is>
      </c>
      <c r="L13116" s="11">
        <f>HYPERLINK("https://careerviet.vn/vi/tim-viec-lam/giao-dich-vien-cn-phuc-yen-cn26-19.35C6994D.html","Xem chi tiết")</f>
        <v/>
      </c>
      <c r="M13116" s="10" t="n"/>
    </row>
    <row r="13117">
      <c r="B13117" s="7" t="n">
        <v>13115</v>
      </c>
      <c r="C13117" t="inlineStr">
        <is>
          <t>Họa viên kiến trúc</t>
        </is>
      </c>
      <c r="D13117" t="inlineStr">
        <is>
          <t>Công Ty TNHH Hoa Viên Bình An</t>
        </is>
      </c>
      <c r="E13117" t="inlineStr">
        <is>
          <t>Lương:Cạnh tranh</t>
        </is>
      </c>
      <c r="F13117" t="inlineStr">
        <is>
          <t>Đồng Nai</t>
        </is>
      </c>
      <c r="G13117" t="inlineStr">
        <is>
          <t>31-03-2026</t>
        </is>
      </c>
      <c r="H13117" t="inlineStr">
        <is>
          <t>31/03/2026</t>
        </is>
      </c>
      <c r="I13117" t="inlineStr">
        <is>
          <t>17/03/2026</t>
        </is>
      </c>
      <c r="J13117" t="inlineStr">
        <is>
          <t>Mỹ thuật / Nghệ thuật / Thiết kế, Kiến trúc, Ngành khác</t>
        </is>
      </c>
      <c r="K13117" t="inlineStr">
        <is>
          <t>1 - 3 Năm</t>
        </is>
      </c>
      <c r="L13117" s="8">
        <f>HYPERLINK("https://careerviet.vn/vi/tim-viec-lam/hoa-vien-kien-truc.35C6971D.html","Xem chi tiết")</f>
        <v/>
      </c>
    </row>
    <row r="13118">
      <c r="B13118" s="9" t="n">
        <v>13116</v>
      </c>
      <c r="C13118" s="10" t="inlineStr">
        <is>
          <t>Chuyên Viên Cao Cấp/ Chuyên Gia Pháp Lý Đầu Tư</t>
        </is>
      </c>
      <c r="D13118" s="10" t="inlineStr">
        <is>
          <t>Công Ty CP Chứng Khoán VNDIRECT</t>
        </is>
      </c>
      <c r="E13118" s="10" t="inlineStr">
        <is>
          <t>Lương:Cạnh tranh</t>
        </is>
      </c>
      <c r="F13118" s="10" t="inlineStr">
        <is>
          <t>Hà Nội</t>
        </is>
      </c>
      <c r="G13118" s="10" t="inlineStr">
        <is>
          <t>28-03-2026</t>
        </is>
      </c>
      <c r="H13118" s="10" t="inlineStr">
        <is>
          <t>28/03/2026</t>
        </is>
      </c>
      <c r="I13118" s="10" t="inlineStr">
        <is>
          <t>17/03/2026</t>
        </is>
      </c>
      <c r="J13118" s="10" t="inlineStr">
        <is>
          <t>Ngân hàng, Luật / Pháp lý, Chứng khoán</t>
        </is>
      </c>
      <c r="K13118" s="10" t="inlineStr">
        <is>
          <t>Trên 5 Năm</t>
        </is>
      </c>
      <c r="L13118" s="11">
        <f>HYPERLINK("https://careerviet.vn/vi/tim-viec-lam/chuyen-vien-cao-cap-chuyen-gia-phap-ly-dau-tu.35C69C9E.html","Xem chi tiết")</f>
        <v/>
      </c>
      <c r="M13118" s="10" t="n"/>
    </row>
    <row r="13119">
      <c r="B13119" s="7" t="n">
        <v>13117</v>
      </c>
      <c r="C13119" t="inlineStr">
        <is>
          <t>Kỹ Sư Dự Toán/ QS</t>
        </is>
      </c>
      <c r="D13119" t="inlineStr">
        <is>
          <t>CÔNG TY CỔ PHẦN ALVANO</t>
        </is>
      </c>
      <c r="E13119" t="inlineStr">
        <is>
          <t>Lương:15 Tr - 25 Tr VND</t>
        </is>
      </c>
      <c r="F13119" t="inlineStr">
        <is>
          <t>Hồ Chí Minh</t>
        </is>
      </c>
      <c r="G13119" t="inlineStr">
        <is>
          <t>30-04-2026</t>
        </is>
      </c>
      <c r="H13119" t="inlineStr">
        <is>
          <t>30/04/2026</t>
        </is>
      </c>
      <c r="I13119" t="inlineStr">
        <is>
          <t>17/03/2026</t>
        </is>
      </c>
      <c r="J13119" t="inlineStr">
        <is>
          <t>Kiến trúc, Xây dựng, Nội ngoại thất</t>
        </is>
      </c>
      <c r="K13119" t="inlineStr">
        <is>
          <t>2 - 5 Năm</t>
        </is>
      </c>
      <c r="L13119" s="8">
        <f>HYPERLINK("https://careerviet.vn/vi/tim-viec-lam/ky-su-du-toan-qs.35C587F7.html","Xem chi tiết")</f>
        <v/>
      </c>
    </row>
    <row r="13120">
      <c r="B13120" s="9" t="n">
        <v>13118</v>
      </c>
      <c r="C13120" s="10" t="inlineStr">
        <is>
          <t>Digital Marketing Executive</t>
        </is>
      </c>
      <c r="D13120" s="10" t="inlineStr">
        <is>
          <t>Công Ty TNHH XNK Phát Triển Đông Dương</t>
        </is>
      </c>
      <c r="E13120" s="10" t="inlineStr">
        <is>
          <t>Lương:14 Tr - 18 Tr VND</t>
        </is>
      </c>
      <c r="F13120" s="10" t="inlineStr">
        <is>
          <t>Hồ Chí Minh</t>
        </is>
      </c>
      <c r="G13120" s="10" t="inlineStr">
        <is>
          <t>31-03-2026</t>
        </is>
      </c>
      <c r="H13120" s="10" t="inlineStr">
        <is>
          <t>31/03/2026</t>
        </is>
      </c>
      <c r="I13120" s="10" t="inlineStr">
        <is>
          <t>17/03/2026</t>
        </is>
      </c>
      <c r="J13120" s="10" t="inlineStr">
        <is>
          <t>Quảng cáo / Đối ngoại / Truyền Thông, Tiếp thị / Marketing</t>
        </is>
      </c>
      <c r="K13120" s="10" t="inlineStr">
        <is>
          <t>1 - 3 Năm</t>
        </is>
      </c>
      <c r="L13120" s="11">
        <f>HYPERLINK("https://careerviet.vn/vi/tim-viec-lam/digital-marketing-executive.35C69C58.html","Xem chi tiết")</f>
        <v/>
      </c>
      <c r="M13120" s="10" t="n"/>
    </row>
    <row r="13121">
      <c r="B13121" s="7" t="n">
        <v>13119</v>
      </c>
      <c r="C13121" t="inlineStr">
        <is>
          <t>NHÂN VIÊN VẬN HÀNH MÁY (Pleiku - Gia Lai)</t>
        </is>
      </c>
      <c r="D13121" t="inlineStr">
        <is>
          <t>Công ty cổ phần Nafoods Group</t>
        </is>
      </c>
      <c r="E13121" t="inlineStr">
        <is>
          <t>Lương:Cạnh tranh</t>
        </is>
      </c>
      <c r="F13121" t="inlineStr">
        <is>
          <t>Gia Lai</t>
        </is>
      </c>
      <c r="G13121" t="inlineStr">
        <is>
          <t>31-03-2026</t>
        </is>
      </c>
      <c r="H13121" t="inlineStr">
        <is>
          <t>31/03/2026</t>
        </is>
      </c>
      <c r="I13121" t="inlineStr">
        <is>
          <t>17/03/2026</t>
        </is>
      </c>
      <c r="J13121" t="inlineStr">
        <is>
          <t>Điện / Điện tử / Điện lạnh / Điện công nghiệp, Công nghệ thực phẩm / Dinh dưỡng, Công nghệ sinh học</t>
        </is>
      </c>
      <c r="K13121" t="inlineStr">
        <is>
          <t>N/A</t>
        </is>
      </c>
      <c r="L13121" s="8">
        <f>HYPERLINK("https://careerviet.vn/vi/tim-viec-lam/nhan-vien-van-hanh-may-pleiku-gia-lai.35C69BC5.html","Xem chi tiết")</f>
        <v/>
      </c>
    </row>
    <row r="13122">
      <c r="B13122" s="9" t="n">
        <v>13120</v>
      </c>
      <c r="C13122" s="10" t="inlineStr">
        <is>
          <t>Chuyên viên/Chuyên viên cao cấp quan hệ khách hàng CÁ NHÂN - MIỀN BẮC [Chiến Dịch Tuyển Dụng Thần Tốc - GO]</t>
        </is>
      </c>
      <c r="D13122" s="10" t="inlineStr">
        <is>
          <t>Ngân hàng TMCP Phát triển TP.HCM (HDBank)</t>
        </is>
      </c>
      <c r="E13122" s="10" t="inlineStr">
        <is>
          <t>Lương:Cạnh tranh</t>
        </is>
      </c>
      <c r="F13122" s="10" t="inlineStr">
        <is>
          <t>Cao Bằng</t>
        </is>
      </c>
      <c r="G13122" s="10" t="inlineStr">
        <is>
          <t>30-04-2026</t>
        </is>
      </c>
      <c r="H13122" s="10" t="inlineStr">
        <is>
          <t>30/04/2026</t>
        </is>
      </c>
      <c r="I13122" s="10" t="inlineStr">
        <is>
          <t>17/03/2026</t>
        </is>
      </c>
      <c r="J13122" s="10" t="inlineStr">
        <is>
          <t>Bán hàng / Kinh doanh, Ngân hàng, Tài chính / Đầu tư</t>
        </is>
      </c>
      <c r="K13122" s="10" t="inlineStr">
        <is>
          <t>Chưa có kinh nghiệm</t>
        </is>
      </c>
      <c r="L13122" s="11">
        <f>HYPERLINK("https://careerviet.vn/vi/tim-viec-lam/chuyen-vien-chuyen-vien-cao-cap-quan-he-khach-hang-ca-nhan-mien-bac-chien-dich-tuyen-dung-than-toc-go.35C69998.html","Xem chi tiết")</f>
        <v/>
      </c>
      <c r="M13122" s="10" t="n"/>
    </row>
    <row r="13123">
      <c r="B13123" s="7" t="n">
        <v>13121</v>
      </c>
      <c r="C13123" t="inlineStr">
        <is>
          <t>Kiểm ngân - CN. Long An (CN26.18)</t>
        </is>
      </c>
      <c r="D13123" t="inlineStr">
        <is>
          <t>Ngân Hàng TMCP Quân Đội</t>
        </is>
      </c>
      <c r="E13123" t="inlineStr">
        <is>
          <t>Lương:Cạnh tranh</t>
        </is>
      </c>
      <c r="F13123" t="inlineStr">
        <is>
          <t>Tây Ninh</t>
        </is>
      </c>
      <c r="G13123" t="inlineStr">
        <is>
          <t>26-03-2026</t>
        </is>
      </c>
      <c r="H13123" t="inlineStr">
        <is>
          <t>26/03/2026</t>
        </is>
      </c>
      <c r="I13123" t="inlineStr">
        <is>
          <t>17/03/2026</t>
        </is>
      </c>
      <c r="J13123" t="inlineStr">
        <is>
          <t>Ngân hàng</t>
        </is>
      </c>
      <c r="K13123" t="inlineStr">
        <is>
          <t>Trên 1 Năm</t>
        </is>
      </c>
      <c r="L13123" s="8">
        <f>HYPERLINK("https://careerviet.vn/vi/tim-viec-lam/kiem-ngan-cn-long-an-cn26-18.35C6993A.html","Xem chi tiết")</f>
        <v/>
      </c>
    </row>
    <row r="13124">
      <c r="B13124" s="9" t="n">
        <v>13122</v>
      </c>
      <c r="C13124" s="10" t="inlineStr">
        <is>
          <t>Chuyên viên cung ứng  xây dựng</t>
        </is>
      </c>
      <c r="D13124" s="10" t="inlineStr">
        <is>
          <t>CÔNG TY CỔ PHẦN TẬP ĐOÀN GDC</t>
        </is>
      </c>
      <c r="E13124" s="10" t="inlineStr">
        <is>
          <t>Lương:15 Tr - 22 Tr VND</t>
        </is>
      </c>
      <c r="F13124" s="10" t="inlineStr">
        <is>
          <t>Hà Nội</t>
        </is>
      </c>
      <c r="G13124" s="10" t="inlineStr">
        <is>
          <t>26-03-2026</t>
        </is>
      </c>
      <c r="H13124" s="10" t="inlineStr">
        <is>
          <t>26/03/2026</t>
        </is>
      </c>
      <c r="I13124" s="10" t="inlineStr">
        <is>
          <t>17/03/2026</t>
        </is>
      </c>
      <c r="J13124" s="10" t="inlineStr">
        <is>
          <t>Xây dựng, Kế toán / Kiểm toán</t>
        </is>
      </c>
      <c r="K13124" s="10" t="inlineStr">
        <is>
          <t>1 - 10 Năm</t>
        </is>
      </c>
      <c r="L13124" s="11">
        <f>HYPERLINK("https://careerviet.vn/vi/tim-viec-lam/chuyen-vien-cung-ung-xay-dung.35C69BBD.html","Xem chi tiết")</f>
        <v/>
      </c>
      <c r="M13124" s="10" t="n"/>
    </row>
    <row r="13125">
      <c r="B13125" s="7" t="n">
        <v>13123</v>
      </c>
      <c r="C13125" t="inlineStr">
        <is>
          <t>Chuyên viên Kế hoạch Dự án/ Thư ký dự án/ Trợ lý Giám đốc</t>
        </is>
      </c>
      <c r="D13125" t="inlineStr">
        <is>
          <t>Tập Đoàn Karofi Holding</t>
        </is>
      </c>
      <c r="E13125" t="inlineStr">
        <is>
          <t>Lương:Cạnh tranh</t>
        </is>
      </c>
      <c r="F13125" t="inlineStr">
        <is>
          <t>Hưng Yên</t>
        </is>
      </c>
      <c r="G13125" t="inlineStr">
        <is>
          <t>28-03-2026</t>
        </is>
      </c>
      <c r="H13125" t="inlineStr">
        <is>
          <t>28/03/2026</t>
        </is>
      </c>
      <c r="I13125" t="inlineStr">
        <is>
          <t>17/03/2026</t>
        </is>
      </c>
      <c r="J13125" t="inlineStr">
        <is>
          <t>Kế toán / Kiểm toán, Hành chính / Thư ký, Nhân sự</t>
        </is>
      </c>
      <c r="K13125" t="inlineStr">
        <is>
          <t>3 - 5 Năm</t>
        </is>
      </c>
      <c r="L13125" s="8">
        <f>HYPERLINK("https://careerviet.vn/vi/tim-viec-lam/chuyen-vien-ke-hoach-du-an-thu-ky-du-an-tro-ly-giam-doc.35C69B3A.html","Xem chi tiết")</f>
        <v/>
      </c>
    </row>
    <row r="13126">
      <c r="B13126" s="9" t="n">
        <v>13124</v>
      </c>
      <c r="C13126" s="10" t="inlineStr">
        <is>
          <t>Nhân viên Tổng vụ  (HSE - Môi trường)</t>
        </is>
      </c>
      <c r="D13126" s="10" t="inlineStr">
        <is>
          <t>Công ty TNHH Asama Yuh Jiun International Việt Nam</t>
        </is>
      </c>
      <c r="E13126" s="10" t="inlineStr">
        <is>
          <t>Lương:12 Tr - 13 Tr VND</t>
        </is>
      </c>
      <c r="F13126" s="10" t="inlineStr">
        <is>
          <t>Bình Dương</t>
        </is>
      </c>
      <c r="G13126" s="10" t="inlineStr">
        <is>
          <t>30-04-2026</t>
        </is>
      </c>
      <c r="H13126" s="10" t="inlineStr">
        <is>
          <t>30/04/2026</t>
        </is>
      </c>
      <c r="I13126" s="10" t="inlineStr">
        <is>
          <t>17/03/2026</t>
        </is>
      </c>
      <c r="J13126" s="10" t="inlineStr">
        <is>
          <t>Hành chính / Thư ký</t>
        </is>
      </c>
      <c r="K13126" s="10" t="inlineStr">
        <is>
          <t>1 - 2 Năm</t>
        </is>
      </c>
      <c r="L13126" s="11">
        <f>HYPERLINK("https://careerviet.vn/vi/tim-viec-lam/nhan-vien-tong-vu-hse-moi-truong.35C698CB.html","Xem chi tiết")</f>
        <v/>
      </c>
      <c r="M13126" s="10" t="n"/>
    </row>
    <row r="13127">
      <c r="B13127" s="7" t="n">
        <v>13125</v>
      </c>
      <c r="C13127" t="inlineStr">
        <is>
          <t>Performance Marketing</t>
        </is>
      </c>
      <c r="D13127" t="inlineStr">
        <is>
          <t>CÔNG TY TNHH ABENLA</t>
        </is>
      </c>
      <c r="E13127" t="inlineStr">
        <is>
          <t>Lương:Trên 12 Tr VND</t>
        </is>
      </c>
      <c r="F13127" t="inlineStr">
        <is>
          <t>Hồ Chí Minh</t>
        </is>
      </c>
      <c r="G13127" t="inlineStr">
        <is>
          <t>26-03-2026</t>
        </is>
      </c>
      <c r="H13127" t="inlineStr">
        <is>
          <t>26/03/2026</t>
        </is>
      </c>
      <c r="I13127" t="inlineStr">
        <is>
          <t>17/03/2026</t>
        </is>
      </c>
      <c r="J13127" t="inlineStr">
        <is>
          <t>Tiếp thị trực tuyến, Tiếp thị / Marketing, Quảng cáo / Đối ngoại / Truyền Thông</t>
        </is>
      </c>
      <c r="K13127" t="inlineStr">
        <is>
          <t>1 - 2 Năm</t>
        </is>
      </c>
      <c r="L13127" s="8">
        <f>HYPERLINK("https://careerviet.vn/vi/tim-viec-lam/performance-marketing.35C69BC7.html","Xem chi tiết")</f>
        <v/>
      </c>
    </row>
    <row r="13128">
      <c r="B13128" s="9" t="n">
        <v>13126</v>
      </c>
      <c r="C13128" s="10" t="inlineStr">
        <is>
          <t>HR Intern (KCN Long Bình)</t>
        </is>
      </c>
      <c r="D13128" s="10" t="inlineStr">
        <is>
          <t>Công ty TNHH Olam Việt Nam</t>
        </is>
      </c>
      <c r="E13128" s="10" t="inlineStr">
        <is>
          <t>Lương:Cạnh tranh</t>
        </is>
      </c>
      <c r="F13128" s="10" t="inlineStr">
        <is>
          <t>Đồng Nai</t>
        </is>
      </c>
      <c r="G13128" s="10" t="inlineStr">
        <is>
          <t>31-03-2026</t>
        </is>
      </c>
      <c r="H13128" s="10" t="inlineStr">
        <is>
          <t>31/03/2026</t>
        </is>
      </c>
      <c r="I13128" s="10" t="inlineStr">
        <is>
          <t>17/03/2026</t>
        </is>
      </c>
      <c r="J13128" s="10" t="inlineStr">
        <is>
          <t>Nhân sự, Tiếp thị / Marketing, Hành chính / Thư ký</t>
        </is>
      </c>
      <c r="K13128" s="10" t="inlineStr">
        <is>
          <t>N/A</t>
        </is>
      </c>
      <c r="L13128" s="11">
        <f>HYPERLINK("https://careerviet.vn/vi/tim-viec-lam/hr-intern-kcn-long-binh.35C57D2A.html","Xem chi tiết")</f>
        <v/>
      </c>
      <c r="M13128" s="10" t="n"/>
    </row>
    <row r="13129">
      <c r="B13129" s="7" t="n">
        <v>13127</v>
      </c>
      <c r="C13129" t="inlineStr">
        <is>
          <t>CHUYÊN VIÊN CAO CẤP PHÁT TRIỂN DỰ ÁN (phụ trách quản lý thiết kế)</t>
        </is>
      </c>
      <c r="D13129" t="inlineStr">
        <is>
          <t>CÔNG TY CỔ PHẦN PHÁT TRIỂN NHÀ THỦ ĐỨC</t>
        </is>
      </c>
      <c r="E13129" t="inlineStr">
        <is>
          <t>Lương:20 Tr - 30 Tr VND</t>
        </is>
      </c>
      <c r="F13129" t="inlineStr">
        <is>
          <t>Hồ Chí Minh</t>
        </is>
      </c>
      <c r="G13129" t="inlineStr">
        <is>
          <t>31-05-2026</t>
        </is>
      </c>
      <c r="H13129" t="inlineStr">
        <is>
          <t>31/05/2026</t>
        </is>
      </c>
      <c r="I13129" t="inlineStr">
        <is>
          <t>17/03/2026</t>
        </is>
      </c>
      <c r="J13129" t="inlineStr">
        <is>
          <t>Bất động sản, Luật / Pháp lý, Kiến trúc</t>
        </is>
      </c>
      <c r="K13129" t="inlineStr">
        <is>
          <t>3 - 5 Năm</t>
        </is>
      </c>
      <c r="L13129" s="8">
        <f>HYPERLINK("https://careerviet.vn/vi/tim-viec-lam/chuyen-vien-cao-cap-phat-trien-du-an-phu-trach-quan-ly-thiet-ke.35C69CEE.html","Xem chi tiết")</f>
        <v/>
      </c>
    </row>
    <row r="13130">
      <c r="B13130" s="9" t="n">
        <v>13128</v>
      </c>
      <c r="C13130" s="10" t="inlineStr">
        <is>
          <t>Bảo trì cơ điện</t>
        </is>
      </c>
      <c r="D13130" s="10" t="inlineStr">
        <is>
          <t>CÔNG TY TRÁCH NHIỆM HỮU HẠN THÉP QSB</t>
        </is>
      </c>
      <c r="E13130" s="10" t="inlineStr">
        <is>
          <t>Lương:10 Tr - 16 Tr VND</t>
        </is>
      </c>
      <c r="F13130" s="10" t="inlineStr">
        <is>
          <t>Long An</t>
        </is>
      </c>
      <c r="G13130" s="10" t="inlineStr">
        <is>
          <t>31-03-2026</t>
        </is>
      </c>
      <c r="H13130" s="10" t="inlineStr">
        <is>
          <t>31/03/2026</t>
        </is>
      </c>
      <c r="I13130" s="10" t="inlineStr">
        <is>
          <t>17/03/2026</t>
        </is>
      </c>
      <c r="J13130" s="10" t="inlineStr">
        <is>
          <t>Cơ khí / Ô tô / Tự động hóa, Điện / Điện tử / Điện lạnh / Điện công nghiệp, Bảo trì / Sửa chữa</t>
        </is>
      </c>
      <c r="K13130" s="10" t="inlineStr">
        <is>
          <t>Lên đến 3 Năm</t>
        </is>
      </c>
      <c r="L13130" s="11">
        <f>HYPERLINK("https://careerviet.vn/vi/tim-viec-lam/bao-tri-co-dien.35C69C80.html","Xem chi tiết")</f>
        <v/>
      </c>
      <c r="M13130" s="10" t="n"/>
    </row>
    <row r="13131">
      <c r="B13131" s="7" t="n">
        <v>13129</v>
      </c>
      <c r="C13131" t="inlineStr">
        <is>
          <t>Kỹ Sư Giám Sát Thi Công (HTKT/Giao thông/Landscape)</t>
        </is>
      </c>
      <c r="D13131" t="inlineStr">
        <is>
          <t>CÔNG TY CỔ PHẦN KỸ THUẬT XÂY DỰNG AN TÍN</t>
        </is>
      </c>
      <c r="E13131" t="inlineStr">
        <is>
          <t>Lương:12 Tr - 18 Tr VND</t>
        </is>
      </c>
      <c r="F13131" t="inlineStr">
        <is>
          <t>Quảng Trị</t>
        </is>
      </c>
      <c r="G13131" t="inlineStr">
        <is>
          <t>11-03-2026</t>
        </is>
      </c>
      <c r="H13131" t="inlineStr">
        <is>
          <t>14/03/2026</t>
        </is>
      </c>
      <c r="I13131" t="inlineStr">
        <is>
          <t>17/03/2026</t>
        </is>
      </c>
      <c r="J13131" t="inlineStr">
        <is>
          <t>Cơ khí / Ô tô / Tự động hóa, Bảo trì / Sửa chữa, Xây dựng</t>
        </is>
      </c>
      <c r="K13131" t="inlineStr">
        <is>
          <t>N/A</t>
        </is>
      </c>
      <c r="L13131" s="8">
        <f>HYPERLINK("https://careerviet.vn/vi/tim-viec-lam/ky-su-giam-sat-thi-cong-htkt-giao-thong-landscape.35C69CF6.html","Xem chi tiết")</f>
        <v/>
      </c>
    </row>
    <row r="13132">
      <c r="B13132" s="9" t="n">
        <v>13130</v>
      </c>
      <c r="C13132" s="10" t="inlineStr">
        <is>
          <t>Chuyên viên Pháp Lý Đầu Tư Dự Án</t>
        </is>
      </c>
      <c r="D13132" s="10" t="inlineStr">
        <is>
          <t>CÔNG TY CỔ PHẦN ĐỆ TAM</t>
        </is>
      </c>
      <c r="E13132" s="10" t="inlineStr">
        <is>
          <t>Lương:Cạnh tranh</t>
        </is>
      </c>
      <c r="F13132" s="10" t="inlineStr">
        <is>
          <t>Hồ Chí Minh</t>
        </is>
      </c>
      <c r="G13132" s="10" t="inlineStr">
        <is>
          <t>25-03-2026</t>
        </is>
      </c>
      <c r="H13132" s="10" t="inlineStr">
        <is>
          <t>25/03/2026</t>
        </is>
      </c>
      <c r="I13132" s="10" t="inlineStr">
        <is>
          <t>17/03/2026</t>
        </is>
      </c>
      <c r="J13132" s="10" t="inlineStr">
        <is>
          <t>Luật / Pháp lý, Tài chính / Đầu tư, Bất động sản</t>
        </is>
      </c>
      <c r="K13132" s="10" t="inlineStr">
        <is>
          <t>Trên 4 Năm</t>
        </is>
      </c>
      <c r="L13132" s="11">
        <f>HYPERLINK("https://careerviet.vn/vi/tim-viec-lam/chuyen-vien-phap-ly-dau-tu-du-an.35C69CE0.html","Xem chi tiết")</f>
        <v/>
      </c>
      <c r="M13132" s="10" t="n"/>
    </row>
    <row r="13133">
      <c r="B13133" s="7" t="n">
        <v>13131</v>
      </c>
      <c r="C13133" t="inlineStr">
        <is>
          <t>Nhân Viên Tư Vấn Kênh Trả Góp_Bình Phước</t>
        </is>
      </c>
      <c r="D13133" t="inlineStr">
        <is>
          <t>Công Ty Tài Chính TNHH Một Thành Viên Quốc Tế Việt Nam JACCS</t>
        </is>
      </c>
      <c r="E13133" t="inlineStr">
        <is>
          <t>Lương:5 Tr - 15 Tr VND</t>
        </is>
      </c>
      <c r="F13133" t="inlineStr">
        <is>
          <t>Bình Phước</t>
        </is>
      </c>
      <c r="G13133" t="inlineStr">
        <is>
          <t>26-03-2026</t>
        </is>
      </c>
      <c r="H13133" t="inlineStr">
        <is>
          <t>26/03/2026</t>
        </is>
      </c>
      <c r="I13133" t="inlineStr">
        <is>
          <t>17/03/2026</t>
        </is>
      </c>
      <c r="J13133" t="inlineStr">
        <is>
          <t>Bán hàng / Kinh doanh, Tài chính / Đầu tư, Lao động phổ thông</t>
        </is>
      </c>
      <c r="K13133" t="inlineStr">
        <is>
          <t>N/A</t>
        </is>
      </c>
      <c r="L13133" s="8">
        <f>HYPERLINK("https://careerviet.vn/vi/tim-viec-lam/nhan-vien-tu-van-kenh-tra-gop_binh-phuoc.35C69930.html","Xem chi tiết")</f>
        <v/>
      </c>
    </row>
    <row r="13134">
      <c r="B13134" s="9" t="n">
        <v>13132</v>
      </c>
      <c r="C13134" s="10" t="inlineStr">
        <is>
          <t>Kỹ Sư MEP ( Cơ - Điện - Cấp thoát nước )</t>
        </is>
      </c>
      <c r="D13134" s="10" t="inlineStr">
        <is>
          <t>CÔNG TY CỔ PHẦN ĐỆ TAM</t>
        </is>
      </c>
      <c r="E13134" s="10" t="inlineStr">
        <is>
          <t>Lương:Cạnh tranh</t>
        </is>
      </c>
      <c r="F13134" s="10" t="inlineStr">
        <is>
          <t>Hồ Chí MinhĐồng Nai</t>
        </is>
      </c>
      <c r="G13134" s="10" t="inlineStr">
        <is>
          <t>25-03-2026</t>
        </is>
      </c>
      <c r="H13134" s="10" t="inlineStr">
        <is>
          <t>25/03/2026</t>
        </is>
      </c>
      <c r="I13134" s="10" t="inlineStr">
        <is>
          <t>17/03/2026</t>
        </is>
      </c>
      <c r="J13134" s="10" t="inlineStr">
        <is>
          <t>Cơ khí / Ô tô / Tự động hóa, Điện / Điện tử / Điện lạnh / Điện công nghiệp, Xây dựng</t>
        </is>
      </c>
      <c r="K13134" s="10" t="inlineStr">
        <is>
          <t>Trên 3 Năm</t>
        </is>
      </c>
      <c r="L13134" s="11">
        <f>HYPERLINK("https://careerviet.vn/vi/tim-viec-lam/ky-su-mep-co-dien-cap-thoat-nuoc.35C69CDE.html","Xem chi tiết")</f>
        <v/>
      </c>
      <c r="M13134" s="10" t="n"/>
    </row>
    <row r="13135">
      <c r="B13135" s="7" t="n">
        <v>13133</v>
      </c>
      <c r="C13135" t="inlineStr">
        <is>
          <t>Nhân Viên Tư Vấn Kênh Trả Góp_Lạng Sơn</t>
        </is>
      </c>
      <c r="D13135" t="inlineStr">
        <is>
          <t>Công Ty Tài Chính TNHH Một Thành Viên Quốc Tế Việt Nam JACCS</t>
        </is>
      </c>
      <c r="E13135" t="inlineStr">
        <is>
          <t>Lương:5 Tr - 15 Tr VND</t>
        </is>
      </c>
      <c r="F13135" t="inlineStr">
        <is>
          <t>Lạng Sơn</t>
        </is>
      </c>
      <c r="G13135" t="inlineStr">
        <is>
          <t>26-03-2026</t>
        </is>
      </c>
      <c r="H13135" t="inlineStr">
        <is>
          <t>26/03/2026</t>
        </is>
      </c>
      <c r="I13135" t="inlineStr">
        <is>
          <t>17/03/2026</t>
        </is>
      </c>
      <c r="J13135" t="inlineStr">
        <is>
          <t>Bán hàng / Kinh doanh, Tài chính / Đầu tư, Lao động phổ thông</t>
        </is>
      </c>
      <c r="K13135" t="inlineStr">
        <is>
          <t>N/A</t>
        </is>
      </c>
      <c r="L13135" s="8">
        <f>HYPERLINK("https://careerviet.vn/vi/tim-viec-lam/nhan-vien-tu-van-kenh-tra-gop_lang-son.35C69935.html","Xem chi tiết")</f>
        <v/>
      </c>
    </row>
    <row r="13136">
      <c r="B13136" s="9" t="n">
        <v>13134</v>
      </c>
      <c r="C13136" s="10" t="inlineStr">
        <is>
          <t>[English] HR Executive</t>
        </is>
      </c>
      <c r="D13136" s="10" t="inlineStr">
        <is>
          <t>Laidon Consulting Vietnam</t>
        </is>
      </c>
      <c r="E13136" s="10" t="inlineStr">
        <is>
          <t>Lương:Cạnh tranh</t>
        </is>
      </c>
      <c r="F13136" s="10" t="inlineStr">
        <is>
          <t>Hồ Chí Minh</t>
        </is>
      </c>
      <c r="G13136" s="10" t="inlineStr">
        <is>
          <t>27-03-2026</t>
        </is>
      </c>
      <c r="H13136" s="10" t="inlineStr">
        <is>
          <t>27/03/2026</t>
        </is>
      </c>
      <c r="I13136" s="10" t="inlineStr">
        <is>
          <t>17/03/2026</t>
        </is>
      </c>
      <c r="J13136" s="10" t="inlineStr">
        <is>
          <t>Nhân sự</t>
        </is>
      </c>
      <c r="K13136" s="10" t="inlineStr">
        <is>
          <t>N/A</t>
        </is>
      </c>
      <c r="L13136" s="11">
        <f>HYPERLINK("https://careerviet.vn/vi/tim-viec-lam/english-hr-executive.35C69CD8.html","Xem chi tiết")</f>
        <v/>
      </c>
      <c r="M13136" s="10" t="n"/>
    </row>
    <row r="13137">
      <c r="B13137" s="7" t="n">
        <v>13135</v>
      </c>
      <c r="C13137" t="inlineStr">
        <is>
          <t>Brand Marketing Executive</t>
        </is>
      </c>
      <c r="D13137" t="inlineStr">
        <is>
          <t>CÔNG TY CỔ PHẦN ULTD THỊNH PHÁT</t>
        </is>
      </c>
      <c r="E13137" t="inlineStr">
        <is>
          <t>Lương:10 Tr - 15 Tr VND</t>
        </is>
      </c>
      <c r="F13137" t="inlineStr">
        <is>
          <t>Hà Nội</t>
        </is>
      </c>
      <c r="G13137" t="inlineStr">
        <is>
          <t>31-03-2026</t>
        </is>
      </c>
      <c r="H13137" t="inlineStr">
        <is>
          <t>31/03/2026</t>
        </is>
      </c>
      <c r="I13137" t="inlineStr">
        <is>
          <t>17/03/2026</t>
        </is>
      </c>
      <c r="J13137" t="inlineStr">
        <is>
          <t>Tiếp thị / Marketing, Dệt may / Da giày / Thời trang, Quảng cáo / Đối ngoại / Truyền Thông</t>
        </is>
      </c>
      <c r="K13137" t="inlineStr">
        <is>
          <t>1 - 2 Năm</t>
        </is>
      </c>
      <c r="L13137" s="8">
        <f>HYPERLINK("https://careerviet.vn/vi/tim-viec-lam/brand-marketing-executive.35C69D05.html","Xem chi tiết")</f>
        <v/>
      </c>
    </row>
    <row r="13138">
      <c r="B13138" s="9" t="n">
        <v>13136</v>
      </c>
      <c r="C13138" s="10" t="inlineStr">
        <is>
          <t>Trưởng nhóm Trắc địa</t>
        </is>
      </c>
      <c r="D13138" s="10" t="inlineStr">
        <is>
          <t>CÔNG TY CỔ PHẦN XÂY DỰNG VILAI VIỆT</t>
        </is>
      </c>
      <c r="E13138" s="10" t="inlineStr">
        <is>
          <t>Lương:22 Tr - 30 Tr VND</t>
        </is>
      </c>
      <c r="F13138" s="10" t="inlineStr">
        <is>
          <t>Hải Phòng</t>
        </is>
      </c>
      <c r="G13138" s="10" t="inlineStr">
        <is>
          <t>31-03-2026</t>
        </is>
      </c>
      <c r="H13138" s="10" t="inlineStr">
        <is>
          <t>31/03/2026</t>
        </is>
      </c>
      <c r="I13138" s="10" t="inlineStr">
        <is>
          <t>17/03/2026</t>
        </is>
      </c>
      <c r="J13138" s="10" t="inlineStr">
        <is>
          <t>Trắc địa / Địa Chất, Xây dựng</t>
        </is>
      </c>
      <c r="K13138" s="10" t="inlineStr">
        <is>
          <t>5 - 7 Năm</t>
        </is>
      </c>
      <c r="L13138" s="11">
        <f>HYPERLINK("https://careerviet.vn/vi/tim-viec-lam/truong-nhom-trac-dia.35C69CD1.html","Xem chi tiết")</f>
        <v/>
      </c>
      <c r="M13138" s="10" t="n"/>
    </row>
    <row r="13139">
      <c r="B13139" s="7" t="n">
        <v>13137</v>
      </c>
      <c r="C13139" t="inlineStr">
        <is>
          <t>Chuyên viên ISO</t>
        </is>
      </c>
      <c r="D13139" t="inlineStr">
        <is>
          <t>Tập Đoàn Kim Tín</t>
        </is>
      </c>
      <c r="E13139" t="inlineStr">
        <is>
          <t>Lương:Cạnh tranh</t>
        </is>
      </c>
      <c r="F13139" t="inlineStr">
        <is>
          <t>Hồ Chí Minh</t>
        </is>
      </c>
      <c r="G13139" t="inlineStr">
        <is>
          <t>28-03-2026</t>
        </is>
      </c>
      <c r="H13139" t="inlineStr">
        <is>
          <t>28/03/2026</t>
        </is>
      </c>
      <c r="I13139" t="inlineStr">
        <is>
          <t>17/03/2026</t>
        </is>
      </c>
      <c r="J13139" t="inlineStr">
        <is>
          <t>Quản lý chất lượng (QA/QC)</t>
        </is>
      </c>
      <c r="K13139" t="inlineStr">
        <is>
          <t>2 - 3 Năm</t>
        </is>
      </c>
      <c r="L13139" s="8">
        <f>HYPERLINK("https://careerviet.vn/vi/tim-viec-lam/chuyen-vien-iso.35C699F2.html","Xem chi tiết")</f>
        <v/>
      </c>
    </row>
    <row r="13140">
      <c r="B13140" s="9" t="n">
        <v>13138</v>
      </c>
      <c r="C13140" s="10" t="inlineStr">
        <is>
          <t>Chuyên viên Kinh doanh dự án Thang máy</t>
        </is>
      </c>
      <c r="D13140" s="10" t="inlineStr">
        <is>
          <t>CÔNG TY CỔ PHẦN TẬP ĐOÀN DAT</t>
        </is>
      </c>
      <c r="E13140" s="10" t="inlineStr">
        <is>
          <t>Lương:17 Tr - 25 Tr VND</t>
        </is>
      </c>
      <c r="F13140" s="10" t="inlineStr">
        <is>
          <t>Hồ Chí Minh</t>
        </is>
      </c>
      <c r="G13140" s="10" t="inlineStr">
        <is>
          <t>31-03-2026</t>
        </is>
      </c>
      <c r="H13140" s="10" t="inlineStr">
        <is>
          <t>31/03/2026</t>
        </is>
      </c>
      <c r="I13140" s="10" t="inlineStr">
        <is>
          <t>17/03/2026</t>
        </is>
      </c>
      <c r="J13140" s="10" t="inlineStr">
        <is>
          <t>Bán hàng / Kinh doanh, Bán Hàng Kỹ Thuật, Điện / Điện tử / Điện lạnh / Điện công nghiệp</t>
        </is>
      </c>
      <c r="K13140" s="10" t="inlineStr">
        <is>
          <t>2 - 3 Năm</t>
        </is>
      </c>
      <c r="L13140" s="11">
        <f>HYPERLINK("https://careerviet.vn/vi/tim-viec-lam/chuyen-vien-kinh-doanh-du-an-thang-may.35C69A73.html","Xem chi tiết")</f>
        <v/>
      </c>
      <c r="M13140" s="10" t="n"/>
    </row>
    <row r="13141">
      <c r="B13141" s="7" t="n">
        <v>13139</v>
      </c>
      <c r="C13141" t="inlineStr">
        <is>
          <t>CHUYÊN VIÊN MUA HÀNG</t>
        </is>
      </c>
      <c r="D13141" t="inlineStr">
        <is>
          <t>CÔNG TY CỔ PHẦN TẬP ĐOÀN VIHAMARK</t>
        </is>
      </c>
      <c r="E13141" t="inlineStr">
        <is>
          <t>Lương:13 Tr - 18 Tr VND</t>
        </is>
      </c>
      <c r="F13141" t="inlineStr">
        <is>
          <t>Hà Nội</t>
        </is>
      </c>
      <c r="G13141" t="inlineStr">
        <is>
          <t>26-03-2026</t>
        </is>
      </c>
      <c r="H13141" t="inlineStr">
        <is>
          <t>26/03/2026</t>
        </is>
      </c>
      <c r="I13141" t="inlineStr">
        <is>
          <t>17/03/2026</t>
        </is>
      </c>
      <c r="J13141" t="inlineStr">
        <is>
          <t>Thu mua / Vật tư, Sản xuất / Vận hành sản xuất</t>
        </is>
      </c>
      <c r="K13141" t="inlineStr">
        <is>
          <t>Trên 3 Năm</t>
        </is>
      </c>
      <c r="L13141" s="8">
        <f>HYPERLINK("https://careerviet.vn/vi/tim-viec-lam/chuyen-vien-mua-hang.35C69C9A.html","Xem chi tiết")</f>
        <v/>
      </c>
    </row>
    <row r="13142">
      <c r="B13142" s="9" t="n">
        <v>13140</v>
      </c>
      <c r="C13142" s="10" t="inlineStr">
        <is>
          <t>GENERAL ACCOUNTANT</t>
        </is>
      </c>
      <c r="D13142" s="10" t="inlineStr">
        <is>
          <t>Sunlight Electrical (Vietnam) Co., Ltd.</t>
        </is>
      </c>
      <c r="E13142" s="10" t="inlineStr">
        <is>
          <t>Lương:11 Tr - 16 Tr VND</t>
        </is>
      </c>
      <c r="F13142" s="10" t="inlineStr">
        <is>
          <t>Bình Dương</t>
        </is>
      </c>
      <c r="G13142" s="10" t="inlineStr">
        <is>
          <t>25-03-2026</t>
        </is>
      </c>
      <c r="H13142" s="10" t="inlineStr">
        <is>
          <t>25/03/2026</t>
        </is>
      </c>
      <c r="I13142" s="10" t="inlineStr">
        <is>
          <t>17/03/2026</t>
        </is>
      </c>
      <c r="J13142" s="10" t="inlineStr">
        <is>
          <t>Kế toán / Kiểm toán, Tài chính / Đầu tư</t>
        </is>
      </c>
      <c r="K13142" s="10" t="inlineStr">
        <is>
          <t>2 - 4 Năm</t>
        </is>
      </c>
      <c r="L13142" s="11">
        <f>HYPERLINK("https://careerviet.vn/vi/tim-viec-lam/general-accountant.35C69CA0.html","Xem chi tiết")</f>
        <v/>
      </c>
      <c r="M13142" s="10" t="n"/>
    </row>
    <row r="13143">
      <c r="B13143" s="7" t="n">
        <v>13141</v>
      </c>
      <c r="C13143" t="inlineStr">
        <is>
          <t>Senior Project Sales (Electrical)/Sales Dự Án Tủ Bảng Điện</t>
        </is>
      </c>
      <c r="D13143" t="inlineStr">
        <is>
          <t>Sunlight Electrical (Vietnam) Co., Ltd.</t>
        </is>
      </c>
      <c r="E13143" t="inlineStr">
        <is>
          <t>Lương:28 Tr - 45 Tr VND</t>
        </is>
      </c>
      <c r="F13143" t="inlineStr">
        <is>
          <t>Hồ Chí Minh</t>
        </is>
      </c>
      <c r="G13143" t="inlineStr">
        <is>
          <t>11-03-2026</t>
        </is>
      </c>
      <c r="H13143" t="inlineStr">
        <is>
          <t>09/03/2026</t>
        </is>
      </c>
      <c r="I13143" t="inlineStr">
        <is>
          <t>17/03/2026</t>
        </is>
      </c>
      <c r="J13143" t="inlineStr">
        <is>
          <t>Bán hàng / Kinh doanh, Bán Hàng Kỹ Thuật, Điện / Điện tử / Điện lạnh / Điện công nghiệp</t>
        </is>
      </c>
      <c r="K13143" t="inlineStr">
        <is>
          <t>4 - 10 Năm</t>
        </is>
      </c>
      <c r="L13143" s="8">
        <f>HYPERLINK("https://careerviet.vn/vi/tim-viec-lam/senior-project-sales-electrical-sales-du-an-tu-bang-dien.35C69C98.html","Xem chi tiết")</f>
        <v/>
      </c>
    </row>
    <row r="13144">
      <c r="B13144" s="9" t="n">
        <v>13142</v>
      </c>
      <c r="C13144" s="10" t="inlineStr">
        <is>
          <t>Chuyên viên Media (Quay dựng)</t>
        </is>
      </c>
      <c r="D13144" s="10" t="inlineStr">
        <is>
          <t>CÔNG TY TNHH XUẤT NHẬP KHẨU MT GROUP</t>
        </is>
      </c>
      <c r="E13144" s="10" t="inlineStr">
        <is>
          <t>Lương:10 Tr - 15 Tr VND</t>
        </is>
      </c>
      <c r="F13144" s="10" t="inlineStr">
        <is>
          <t>Hồ Chí Minh</t>
        </is>
      </c>
      <c r="G13144" s="10" t="inlineStr">
        <is>
          <t>30-04-2026</t>
        </is>
      </c>
      <c r="H13144" s="10" t="inlineStr">
        <is>
          <t>30/04/2026</t>
        </is>
      </c>
      <c r="I13144" s="10" t="inlineStr">
        <is>
          <t>17/03/2026</t>
        </is>
      </c>
      <c r="J13144" s="10" t="inlineStr">
        <is>
          <t>Tiếp thị / Marketing, Quảng cáo / Đối ngoại / Truyền Thông, Cơ khí / Ô tô / Tự động hóa</t>
        </is>
      </c>
      <c r="K13144" s="10" t="inlineStr">
        <is>
          <t>2 - 5 Năm</t>
        </is>
      </c>
      <c r="L13144" s="11">
        <f>HYPERLINK("https://careerviet.vn/vi/tim-viec-lam/chuyen-vien-media-quay-dung.35C69CA9.html","Xem chi tiết")</f>
        <v/>
      </c>
      <c r="M13144" s="10" t="n"/>
    </row>
    <row r="13145">
      <c r="B13145" s="7" t="n">
        <v>13143</v>
      </c>
      <c r="C13145" t="inlineStr">
        <is>
          <t>Trưởng Nhóm Thẩm Định</t>
        </is>
      </c>
      <c r="D13145" t="inlineStr">
        <is>
          <t>Orioled Hub</t>
        </is>
      </c>
      <c r="E13145" t="inlineStr">
        <is>
          <t>Lương:18 Tr - 30 Tr VND</t>
        </is>
      </c>
      <c r="F13145" t="inlineStr">
        <is>
          <t>Bà Rịa - Vũng TàuHồ Chí Minh</t>
        </is>
      </c>
      <c r="G13145" t="inlineStr">
        <is>
          <t>11-04-2026</t>
        </is>
      </c>
      <c r="H13145" t="inlineStr">
        <is>
          <t>11/04/2026</t>
        </is>
      </c>
      <c r="I13145" t="inlineStr">
        <is>
          <t>17/03/2026</t>
        </is>
      </c>
      <c r="J13145" t="inlineStr">
        <is>
          <t>Dược phẩm/ Hóa Mỹ Phẩm, Sản xuất / Vận hành sản xuất, Quản lý chất lượng (QA/QC)</t>
        </is>
      </c>
      <c r="K13145" t="inlineStr">
        <is>
          <t>Lên đến 3 Năm</t>
        </is>
      </c>
      <c r="L13145" s="8">
        <f>HYPERLINK("https://careerviet.vn/vi/tim-viec-lam/truong-nhom-tham-dinh.35C6993B.html","Xem chi tiết")</f>
        <v/>
      </c>
    </row>
    <row r="13146">
      <c r="B13146" s="9" t="n">
        <v>13144</v>
      </c>
      <c r="C13146" s="10" t="inlineStr">
        <is>
          <t>Hưng Yên/ Bắc Giang - Nhân viên Hỗ trợ Thanh Toán khoản vay hiện trường</t>
        </is>
      </c>
      <c r="D13146" s="10" t="inlineStr">
        <is>
          <t>LOTTE FINANCE VIETNAM</t>
        </is>
      </c>
      <c r="E13146" s="10" t="inlineStr">
        <is>
          <t>Lương:Cạnh tranh</t>
        </is>
      </c>
      <c r="F13146" s="10" t="inlineStr">
        <is>
          <t>Hưng YênBắc Giang</t>
        </is>
      </c>
      <c r="G13146" s="10" t="inlineStr">
        <is>
          <t>28-03-2026</t>
        </is>
      </c>
      <c r="H13146" s="10" t="inlineStr">
        <is>
          <t>28/03/2026</t>
        </is>
      </c>
      <c r="I13146" s="10" t="inlineStr">
        <is>
          <t>17/03/2026</t>
        </is>
      </c>
      <c r="J13146" s="10" t="inlineStr">
        <is>
          <t>Bảo hiểm, Luật / Pháp lý, Bán hàng / Kinh doanh</t>
        </is>
      </c>
      <c r="K13146" s="10" t="inlineStr">
        <is>
          <t>1 - 3 Năm</t>
        </is>
      </c>
      <c r="L13146" s="11">
        <f>HYPERLINK("https://careerviet.vn/vi/tim-viec-lam/hung-yen-bac-giang-nhan-vien-ho-tro-thanh-toan-khoan-vay-hien-truong.35C69C95.html","Xem chi tiết")</f>
        <v/>
      </c>
      <c r="M13146" s="10" t="n"/>
    </row>
    <row r="13147">
      <c r="B13147" s="7" t="n">
        <v>13145</v>
      </c>
      <c r="C13147" t="inlineStr">
        <is>
          <t>Trưởng Nhóm Kinh Doanh Qua Điện Thoại</t>
        </is>
      </c>
      <c r="D13147" t="inlineStr">
        <is>
          <t>FE CREDIT</t>
        </is>
      </c>
      <c r="E13147" t="inlineStr">
        <is>
          <t>Lương:Cạnh tranh</t>
        </is>
      </c>
      <c r="F13147" t="inlineStr">
        <is>
          <t>Hồ Chí Minh</t>
        </is>
      </c>
      <c r="G13147" t="inlineStr">
        <is>
          <t>31-03-2026</t>
        </is>
      </c>
      <c r="H13147" t="inlineStr">
        <is>
          <t>31/03/2026</t>
        </is>
      </c>
      <c r="I13147" t="inlineStr">
        <is>
          <t>17/03/2026</t>
        </is>
      </c>
      <c r="J13147" t="inlineStr">
        <is>
          <t>Bán hàng / Kinh doanh, Tài chính / Đầu tư</t>
        </is>
      </c>
      <c r="K13147" t="inlineStr">
        <is>
          <t>1 - 3 Năm</t>
        </is>
      </c>
      <c r="L13147" s="8">
        <f>HYPERLINK("https://careerviet.vn/vi/tim-viec-lam/truong-nhom-kinh-doanh-qua-dien-thoai.35C69C99.html","Xem chi tiết")</f>
        <v/>
      </c>
    </row>
    <row r="13148">
      <c r="B13148" s="9" t="n">
        <v>13146</v>
      </c>
      <c r="C13148" s="10" t="inlineStr">
        <is>
          <t>Nhân Viên Kinh Doanh Dịch Vụ Voice, SMS Brandname (B2B)</t>
        </is>
      </c>
      <c r="D13148" s="10" t="inlineStr">
        <is>
          <t>CÔNG TY TNHH ABENLA</t>
        </is>
      </c>
      <c r="E13148" s="10" t="inlineStr">
        <is>
          <t>Lương:Trên 8 Tr VND</t>
        </is>
      </c>
      <c r="F13148" s="10" t="inlineStr">
        <is>
          <t>Hồ Chí Minh</t>
        </is>
      </c>
      <c r="G13148" s="10" t="inlineStr">
        <is>
          <t>26-03-2026</t>
        </is>
      </c>
      <c r="H13148" s="10" t="inlineStr">
        <is>
          <t>26/03/2026</t>
        </is>
      </c>
      <c r="I13148" s="10" t="inlineStr">
        <is>
          <t>17/03/2026</t>
        </is>
      </c>
      <c r="J13148" s="10" t="inlineStr">
        <is>
          <t>Bán hàng / Kinh doanh, Dịch vụ khách hàng, Tiếp thị trực tuyếnBằng cấpCao đẳngĐộ tuổiKhông giới hạn tuổi</t>
        </is>
      </c>
      <c r="K13148" s="10" t="inlineStr">
        <is>
          <t>N/A</t>
        </is>
      </c>
      <c r="L13148" s="11">
        <f>HYPERLINK("https://careerviet.vn/vi/tim-viec-lam/nhan-vien-kinh-doanh-dich-vu-voice-sms-brandname-b2b.35C69BE6.html","Xem chi tiết")</f>
        <v/>
      </c>
      <c r="M13148" s="10" t="n"/>
    </row>
    <row r="13149">
      <c r="B13149" s="7" t="n">
        <v>13147</v>
      </c>
      <c r="C13149" t="inlineStr">
        <is>
          <t>Chuyên Viên Ứng Dụng AI</t>
        </is>
      </c>
      <c r="D13149" t="inlineStr">
        <is>
          <t>Công Ty TNHH Thương Mại Xuất Nhập Khẩu Fani</t>
        </is>
      </c>
      <c r="E13149" t="inlineStr">
        <is>
          <t>Lương:10 Tr - 30 Tr VND</t>
        </is>
      </c>
      <c r="F13149" t="inlineStr">
        <is>
          <t>Hà Nội</t>
        </is>
      </c>
      <c r="G13149" t="inlineStr">
        <is>
          <t>31-03-2026</t>
        </is>
      </c>
      <c r="H13149" t="inlineStr">
        <is>
          <t>31/03/2026</t>
        </is>
      </c>
      <c r="I13149" t="inlineStr">
        <is>
          <t>17/03/2026</t>
        </is>
      </c>
      <c r="J13149" t="inlineStr">
        <is>
          <t>CNTT - Phần mềm</t>
        </is>
      </c>
      <c r="K13149" t="inlineStr">
        <is>
          <t>1 - 3 Năm</t>
        </is>
      </c>
      <c r="L13149" s="8">
        <f>HYPERLINK("https://careerviet.vn/vi/tim-viec-lam/chuyen-vien-ung-dung-ai.35C69C72.html","Xem chi tiết")</f>
        <v/>
      </c>
    </row>
    <row r="13150">
      <c r="B13150" s="9" t="n">
        <v>13148</v>
      </c>
      <c r="C13150" s="10" t="inlineStr">
        <is>
          <t>NHÂN VIÊN QUAY DỰNG VIDEO &amp; CHỤP ẢNH (Media)</t>
        </is>
      </c>
      <c r="D13150" s="10" t="inlineStr">
        <is>
          <t>Công ty Cổ phần Govi Việt Nam</t>
        </is>
      </c>
      <c r="E13150" s="10" t="inlineStr">
        <is>
          <t>Lương:9 Tr - 13 Tr VND</t>
        </is>
      </c>
      <c r="F13150" s="10" t="inlineStr">
        <is>
          <t>Hà Nội</t>
        </is>
      </c>
      <c r="G13150" s="10" t="inlineStr">
        <is>
          <t>31-03-2026</t>
        </is>
      </c>
      <c r="H13150" s="10" t="inlineStr">
        <is>
          <t>31/03/2026</t>
        </is>
      </c>
      <c r="I13150" s="10" t="inlineStr">
        <is>
          <t>17/03/2026</t>
        </is>
      </c>
      <c r="J13150" s="10" t="inlineStr">
        <is>
          <t>Mỹ thuật / Nghệ thuật / Thiết kế, Quảng cáo / Đối ngoại / Truyền Thông, Tổ chức sự kiện</t>
        </is>
      </c>
      <c r="K13150" s="10" t="inlineStr">
        <is>
          <t>1 - 2 Năm</t>
        </is>
      </c>
      <c r="L13150" s="11">
        <f>HYPERLINK("https://careerviet.vn/vi/tim-viec-lam/nhan-vien-quay-dung-video-chup-anh-media.35C69C7C.html","Xem chi tiết")</f>
        <v/>
      </c>
      <c r="M13150" s="10" t="n"/>
    </row>
    <row r="13151">
      <c r="B13151" s="7" t="n">
        <v>13149</v>
      </c>
      <c r="C13151" t="inlineStr">
        <is>
          <t>GIÁM SÁT HIỆN TRƯỜNG MEP - LÀM VIỆC TẠI HẢI PHÒNG (ML 15tr - 20tr)</t>
        </is>
      </c>
      <c r="D13151" t="inlineStr">
        <is>
          <t>CÔNG TY CỔ PHẦN ĐIỆN VÀ XÂY DỰNG NAM VIỆT</t>
        </is>
      </c>
      <c r="E13151" t="inlineStr">
        <is>
          <t>Lương:15 Tr - 20 Tr VND</t>
        </is>
      </c>
      <c r="F13151" t="inlineStr">
        <is>
          <t>Hải Phòng</t>
        </is>
      </c>
      <c r="G13151" t="inlineStr">
        <is>
          <t>11-03-2026</t>
        </is>
      </c>
      <c r="H13151" t="inlineStr">
        <is>
          <t>10/03/2026</t>
        </is>
      </c>
      <c r="I13151" t="inlineStr">
        <is>
          <t>17/03/2026</t>
        </is>
      </c>
      <c r="J13151" t="inlineStr">
        <is>
          <t>Xây dựng, Điện / Điện tử / Điện lạnh / Điện công nghiệp</t>
        </is>
      </c>
      <c r="K13151" t="inlineStr">
        <is>
          <t>Lên đến 2 Năm</t>
        </is>
      </c>
      <c r="L13151" s="8">
        <f>HYPERLINK("https://careerviet.vn/vi/tim-viec-lam/giam-sat-hien-truong-mep-lam-viec-tai-hai-phong-ml-15tr-20tr.35C69C7A.html","Xem chi tiết")</f>
        <v/>
      </c>
    </row>
    <row r="13152">
      <c r="B13152" s="9" t="n">
        <v>13150</v>
      </c>
      <c r="C13152" s="10" t="inlineStr">
        <is>
          <t>Nhân Viên Bảo Dưỡng Điện</t>
        </is>
      </c>
      <c r="D13152" s="10" t="inlineStr">
        <is>
          <t>CÔNG TY TNHH NƯỚC GIẢI KHÁT &amp; BAO BÌ THỰC PHẨM VINAKEN</t>
        </is>
      </c>
      <c r="E13152" s="10" t="inlineStr">
        <is>
          <t>Lương:13 Tr - 15 Tr VND</t>
        </is>
      </c>
      <c r="F13152" s="10" t="inlineStr">
        <is>
          <t>Bắc Giang</t>
        </is>
      </c>
      <c r="G13152" s="10" t="inlineStr">
        <is>
          <t>30-04-2026</t>
        </is>
      </c>
      <c r="H13152" s="10" t="inlineStr">
        <is>
          <t>30/04/2026</t>
        </is>
      </c>
      <c r="I13152" s="10" t="inlineStr">
        <is>
          <t>17/03/2026</t>
        </is>
      </c>
      <c r="J13152" s="10" t="inlineStr">
        <is>
          <t>Điện / Điện tử / Điện lạnh / Điện công nghiệp, Bảo trì / Sửa chữa, Sản xuất / Vận hành sản xuất</t>
        </is>
      </c>
      <c r="K13152" s="10" t="inlineStr">
        <is>
          <t>2 - 5 Năm</t>
        </is>
      </c>
      <c r="L13152" s="11">
        <f>HYPERLINK("https://careerviet.vn/vi/tim-viec-lam/nhan-vien-bao-duong-dien.35C69C74.html","Xem chi tiết")</f>
        <v/>
      </c>
      <c r="M13152" s="10" t="n"/>
    </row>
    <row r="13153">
      <c r="B13153" s="7" t="n">
        <v>13151</v>
      </c>
      <c r="C13153" t="inlineStr">
        <is>
          <t>Chuyên Viên Chuyển Đổi Số</t>
        </is>
      </c>
      <c r="D13153" t="inlineStr">
        <is>
          <t>Công Ty Tài Chính TNHH Một Thành Viên Quốc Tế Việt Nam JACCS</t>
        </is>
      </c>
      <c r="E13153" t="inlineStr">
        <is>
          <t>Lương:11 Tr - 17 Tr VND</t>
        </is>
      </c>
      <c r="F13153" t="inlineStr">
        <is>
          <t>Hồ Chí Minh</t>
        </is>
      </c>
      <c r="G13153" t="inlineStr">
        <is>
          <t>26-03-2026</t>
        </is>
      </c>
      <c r="H13153" t="inlineStr">
        <is>
          <t>26/03/2026</t>
        </is>
      </c>
      <c r="I13153" t="inlineStr">
        <is>
          <t>17/03/2026</t>
        </is>
      </c>
      <c r="J13153" t="inlineStr">
        <is>
          <t>Tiếp thị / Marketing, CNTT - Phần cứng / Mạng, Quảng cáo / Đối ngoại / Truyền Thông</t>
        </is>
      </c>
      <c r="K13153" t="inlineStr">
        <is>
          <t>1 - 2 Năm</t>
        </is>
      </c>
      <c r="L13153" s="8">
        <f>HYPERLINK("https://careerviet.vn/vi/tim-viec-lam/chuyen-vien-chuyen-doi-so.35C69984.html","Xem chi tiết")</f>
        <v/>
      </c>
    </row>
    <row r="13154">
      <c r="B13154" s="9" t="n">
        <v>13152</v>
      </c>
      <c r="C13154" s="10" t="inlineStr">
        <is>
          <t>Trợ Lý Điều Xe</t>
        </is>
      </c>
      <c r="D13154" s="10" t="inlineStr">
        <is>
          <t>Công ty TNHH Khải Minh Group</t>
        </is>
      </c>
      <c r="E13154" s="10" t="inlineStr">
        <is>
          <t>Lương:9 Tr - 12 Tr VND</t>
        </is>
      </c>
      <c r="F13154" s="10" t="inlineStr">
        <is>
          <t>Hà Nội</t>
        </is>
      </c>
      <c r="G13154" s="10" t="inlineStr">
        <is>
          <t>11-03-2026</t>
        </is>
      </c>
      <c r="H13154" s="10" t="inlineStr">
        <is>
          <t>28/02/2026</t>
        </is>
      </c>
      <c r="I13154" s="10" t="inlineStr">
        <is>
          <t>17/03/2026</t>
        </is>
      </c>
      <c r="J13154" s="10" t="inlineStr">
        <is>
          <t>Vận chuyển / Giao nhận / Kho vận, Hành chính / Thư ký, Xuất nhập khẩu</t>
        </is>
      </c>
      <c r="K13154" s="10" t="inlineStr">
        <is>
          <t>1 - 3 Năm</t>
        </is>
      </c>
      <c r="L13154" s="11">
        <f>HYPERLINK("https://careerviet.vn/vi/tim-viec-lam/tro-ly-dieu-xe.35C6915A.html","Xem chi tiết")</f>
        <v/>
      </c>
      <c r="M13154" s="10" t="n"/>
    </row>
    <row r="13155">
      <c r="B13155" s="7" t="n">
        <v>13153</v>
      </c>
      <c r="C13155" t="inlineStr">
        <is>
          <t>Nhân Viên Chăm Sóc Khách Hàng</t>
        </is>
      </c>
      <c r="D13155" t="inlineStr">
        <is>
          <t>CÔNG TY TNHH TENTAMUS VIỆT NAM</t>
        </is>
      </c>
      <c r="E13155" t="inlineStr">
        <is>
          <t>Lương:Cạnh tranh</t>
        </is>
      </c>
      <c r="F13155" t="inlineStr">
        <is>
          <t>Hồ Chí Minh</t>
        </is>
      </c>
      <c r="G13155" t="inlineStr">
        <is>
          <t>31-03-2026</t>
        </is>
      </c>
      <c r="H13155" t="inlineStr">
        <is>
          <t>31/03/2026</t>
        </is>
      </c>
      <c r="I13155" t="inlineStr">
        <is>
          <t>17/03/2026</t>
        </is>
      </c>
      <c r="J13155" t="inlineStr">
        <is>
          <t>Dịch vụ khách hàng, Công nghệ sinh học, Công nghệ thực phẩm / Dinh dưỡng</t>
        </is>
      </c>
      <c r="K13155" t="inlineStr">
        <is>
          <t>Lên đến 1 Năm</t>
        </is>
      </c>
      <c r="L13155" s="8">
        <f>HYPERLINK("https://careerviet.vn/vi/tim-viec-lam/nhan-vien-cham-soc-khach-hang.35C699EE.html","Xem chi tiết")</f>
        <v/>
      </c>
    </row>
    <row r="13156">
      <c r="B13156" s="9" t="n">
        <v>13154</v>
      </c>
      <c r="C13156" s="10" t="inlineStr">
        <is>
          <t>Chuyên viên chăm sóc khách hàng</t>
        </is>
      </c>
      <c r="D13156" s="10" t="inlineStr">
        <is>
          <t>Công Ty CP Đầu Tư IMG</t>
        </is>
      </c>
      <c r="E13156" s="10" t="inlineStr">
        <is>
          <t>Lương:20 Tr - 30 Tr VND</t>
        </is>
      </c>
      <c r="F13156" s="10" t="inlineStr">
        <is>
          <t>Long AnHồ Chí Minh</t>
        </is>
      </c>
      <c r="G13156" s="10" t="inlineStr">
        <is>
          <t>30-04-2026</t>
        </is>
      </c>
      <c r="H13156" s="10" t="inlineStr">
        <is>
          <t>30/04/2026</t>
        </is>
      </c>
      <c r="I13156" s="10" t="inlineStr">
        <is>
          <t>17/03/2026</t>
        </is>
      </c>
      <c r="J13156" s="10" t="inlineStr">
        <is>
          <t>Xây dựng, Bất động sản, Bán hàng / Kinh doanh</t>
        </is>
      </c>
      <c r="K13156" s="10" t="inlineStr">
        <is>
          <t>3 - 5 Năm</t>
        </is>
      </c>
      <c r="L13156" s="11">
        <f>HYPERLINK("https://careerviet.vn/vi/tim-viec-lam/chuyen-vien-cham-soc-khach-hang.35C69B6D.html","Xem chi tiết")</f>
        <v/>
      </c>
      <c r="M13156" s="10" t="n"/>
    </row>
    <row r="13157">
      <c r="B13157" s="7" t="n">
        <v>13155</v>
      </c>
      <c r="C13157" t="inlineStr">
        <is>
          <t>Kỹ thuật viên MQA | Dầu Giây Đồng Nai</t>
        </is>
      </c>
      <c r="D13157" t="inlineStr">
        <is>
          <t>Techtronic Industries Vietnam Manufacturing Company Limited</t>
        </is>
      </c>
      <c r="E13157" t="inlineStr">
        <is>
          <t>Lương:Cạnh tranh</t>
        </is>
      </c>
      <c r="F13157" t="inlineStr">
        <is>
          <t>Đồng Nai</t>
        </is>
      </c>
      <c r="G13157" t="inlineStr">
        <is>
          <t>25-04-2026</t>
        </is>
      </c>
      <c r="H13157" t="inlineStr">
        <is>
          <t>25/04/2026</t>
        </is>
      </c>
      <c r="I13157" t="inlineStr">
        <is>
          <t>17/03/2026</t>
        </is>
      </c>
      <c r="J13157" t="inlineStr">
        <is>
          <t>Sản xuất / Vận hành sản xuất</t>
        </is>
      </c>
      <c r="K13157" t="inlineStr">
        <is>
          <t>3 - 4 Năm</t>
        </is>
      </c>
      <c r="L13157" s="8">
        <f>HYPERLINK("https://careerviet.vn/vi/tim-viec-lam/ky-thuat-vien-mqa-dau-giay-dong-nai.35C69B72.html","Xem chi tiết")</f>
        <v/>
      </c>
    </row>
    <row r="13158">
      <c r="B13158" s="9" t="n">
        <v>13156</v>
      </c>
      <c r="C13158" s="10" t="inlineStr">
        <is>
          <t>Trưởng bộ phận Dịch vụ khách hàng</t>
        </is>
      </c>
      <c r="D13158" s="10" t="inlineStr">
        <is>
          <t>CÔNG TY CP BIA &amp; NGK HẠ LONG</t>
        </is>
      </c>
      <c r="E13158" s="10" t="inlineStr">
        <is>
          <t>Lương:13 Tr - 18 Tr VND</t>
        </is>
      </c>
      <c r="F13158" s="10" t="inlineStr">
        <is>
          <t>Hà Nội</t>
        </is>
      </c>
      <c r="G13158" s="10" t="inlineStr">
        <is>
          <t>26-03-2026</t>
        </is>
      </c>
      <c r="H13158" s="10" t="inlineStr">
        <is>
          <t>26/03/2026</t>
        </is>
      </c>
      <c r="I13158" s="10" t="inlineStr">
        <is>
          <t>17/03/2026</t>
        </is>
      </c>
      <c r="J13158" s="10" t="inlineStr">
        <is>
          <t>Bán hàng / Kinh doanh</t>
        </is>
      </c>
      <c r="K13158" s="10" t="inlineStr">
        <is>
          <t>3 - 4 Năm</t>
        </is>
      </c>
      <c r="L13158" s="11">
        <f>HYPERLINK("https://careerviet.vn/vi/tim-viec-lam/truong-bo-phan-dich-vu-khach-hang.35C69B8E.html","Xem chi tiết")</f>
        <v/>
      </c>
      <c r="M13158" s="10" t="n"/>
    </row>
    <row r="13159">
      <c r="B13159" s="7" t="n">
        <v>13157</v>
      </c>
      <c r="C13159" t="inlineStr">
        <is>
          <t>Giáo viên Toán Tiếng Anh</t>
        </is>
      </c>
      <c r="D13159" t="inlineStr">
        <is>
          <t>TRƯỜNG PHỔ THÔNG LIÊN CẤP H.A.S</t>
        </is>
      </c>
      <c r="E13159" t="inlineStr">
        <is>
          <t>Lương:11 Tr - 13 Tr VND</t>
        </is>
      </c>
      <c r="F13159" t="inlineStr">
        <is>
          <t>Hà Nội</t>
        </is>
      </c>
      <c r="G13159" t="inlineStr">
        <is>
          <t>31-03-2026</t>
        </is>
      </c>
      <c r="H13159" t="inlineStr">
        <is>
          <t>31/03/2026</t>
        </is>
      </c>
      <c r="I13159" t="inlineStr">
        <is>
          <t>17/03/2026</t>
        </is>
      </c>
      <c r="J13159" t="inlineStr">
        <is>
          <t>Giáo dục / Đào tạo</t>
        </is>
      </c>
      <c r="K13159" t="inlineStr">
        <is>
          <t>1 - 5 Năm</t>
        </is>
      </c>
      <c r="L13159" s="8">
        <f>HYPERLINK("https://careerviet.vn/vi/tim-viec-lam/giao-vien-toan-tieng-anh.35C69996.html","Xem chi tiết")</f>
        <v/>
      </c>
    </row>
    <row r="13160">
      <c r="B13160" s="9" t="n">
        <v>13158</v>
      </c>
      <c r="C13160" s="10" t="inlineStr">
        <is>
          <t>Phó phòng Quản lý thi công</t>
        </is>
      </c>
      <c r="D13160" s="10" t="inlineStr">
        <is>
          <t>CÔNG TY CỔ PHẦN TẬP ĐOÀN GDC</t>
        </is>
      </c>
      <c r="E13160" s="10" t="inlineStr">
        <is>
          <t>Lương:28 Tr - 37 Tr VND</t>
        </is>
      </c>
      <c r="F13160" s="10" t="inlineStr">
        <is>
          <t>Hà Nội</t>
        </is>
      </c>
      <c r="G13160" s="10" t="inlineStr">
        <is>
          <t>26-03-2026</t>
        </is>
      </c>
      <c r="H13160" s="10" t="inlineStr">
        <is>
          <t>26/03/2026</t>
        </is>
      </c>
      <c r="I13160" s="10" t="inlineStr">
        <is>
          <t>17/03/2026</t>
        </is>
      </c>
      <c r="J13160" s="10" t="inlineStr">
        <is>
          <t>Xây dựng, Kiến trúc</t>
        </is>
      </c>
      <c r="K13160" s="10" t="inlineStr">
        <is>
          <t>7 - 15 Năm</t>
        </is>
      </c>
      <c r="L13160" s="11">
        <f>HYPERLINK("https://careerviet.vn/vi/tim-viec-lam/pho-phong-quan-ly-thi-cong.35C69BFB.html","Xem chi tiết")</f>
        <v/>
      </c>
      <c r="M13160" s="10" t="n"/>
    </row>
    <row r="13161">
      <c r="B13161" s="7" t="n">
        <v>13159</v>
      </c>
      <c r="C13161" t="inlineStr">
        <is>
          <t>Chuyên viên/Chuyên viên cao cấp quan hệ khách hàng CÁ NHÂN - HÀ NỘI [Chiến Dịch Tuyển Dụng Thần Tốc - GO]</t>
        </is>
      </c>
      <c r="D13161" t="inlineStr">
        <is>
          <t>Ngân hàng TMCP Phát triển TP.HCM (HDBank)</t>
        </is>
      </c>
      <c r="E13161" t="inlineStr">
        <is>
          <t>Lương:Cạnh tranh</t>
        </is>
      </c>
      <c r="F13161" t="inlineStr">
        <is>
          <t>Hà Nội</t>
        </is>
      </c>
      <c r="G13161" t="inlineStr">
        <is>
          <t>30-04-2026</t>
        </is>
      </c>
      <c r="H13161" t="inlineStr">
        <is>
          <t>30/04/2026</t>
        </is>
      </c>
      <c r="I13161" t="inlineStr">
        <is>
          <t>17/03/2026</t>
        </is>
      </c>
      <c r="J13161" t="inlineStr">
        <is>
          <t>Bán hàng / Kinh doanh, Ngân hàng, Tài chính / Đầu tư</t>
        </is>
      </c>
      <c r="K13161" t="inlineStr">
        <is>
          <t>Chưa có kinh nghiệm</t>
        </is>
      </c>
      <c r="L13161" s="8">
        <f>HYPERLINK("https://careerviet.vn/vi/tim-viec-lam/chuyen-vien-chuyen-vien-cao-cap-quan-he-khach-hang-ca-nhan-ha-noi-chien-dich-tuyen-dung-than-toc-go.35C699A0.html","Xem chi tiết")</f>
        <v/>
      </c>
    </row>
    <row r="13162">
      <c r="B13162" s="9" t="n">
        <v>13160</v>
      </c>
      <c r="C13162" s="10" t="inlineStr">
        <is>
          <t>Nhân Viên Admin Kho</t>
        </is>
      </c>
      <c r="D13162" s="10" t="inlineStr">
        <is>
          <t>CÔNG TY CỔ PHẦN CHẾ BIẾN THỰC PHẨM HOÀNG SƠN</t>
        </is>
      </c>
      <c r="E13162" s="10" t="inlineStr">
        <is>
          <t>Lương:9 Tr - 10 Tr VND</t>
        </is>
      </c>
      <c r="F13162" s="10" t="inlineStr">
        <is>
          <t>Bình Dương</t>
        </is>
      </c>
      <c r="G13162" s="10" t="inlineStr">
        <is>
          <t>31-03-2026</t>
        </is>
      </c>
      <c r="H13162" s="10" t="inlineStr">
        <is>
          <t>31/03/2026</t>
        </is>
      </c>
      <c r="I13162" s="10" t="inlineStr">
        <is>
          <t>17/03/2026</t>
        </is>
      </c>
      <c r="J13162" s="10" t="inlineStr">
        <is>
          <t>Hành chính / Thư ký, Nhân sự, Vận chuyển / Giao nhận / Kho vận</t>
        </is>
      </c>
      <c r="K13162" s="10" t="inlineStr">
        <is>
          <t>1 - 2 Năm</t>
        </is>
      </c>
      <c r="L13162" s="11">
        <f>HYPERLINK("https://careerviet.vn/vi/tim-viec-lam/nhan-vien-admin-kho.35C69AA9.html","Xem chi tiết")</f>
        <v/>
      </c>
      <c r="M13162" s="10" t="n"/>
    </row>
    <row r="13163">
      <c r="B13163" s="7" t="n">
        <v>13161</v>
      </c>
      <c r="C13163" t="inlineStr">
        <is>
          <t>Nhân Viên Triển Khai Phần Mềm E-Office</t>
        </is>
      </c>
      <c r="D13163" t="inlineStr">
        <is>
          <t>LacViet Computing Corporation</t>
        </is>
      </c>
      <c r="E13163" t="inlineStr">
        <is>
          <t>Lương:12 Tr - 20 Tr VND</t>
        </is>
      </c>
      <c r="F13163" t="inlineStr">
        <is>
          <t>Bà Rịa - Vũng Tàu</t>
        </is>
      </c>
      <c r="G13163" t="inlineStr">
        <is>
          <t>30-04-2026</t>
        </is>
      </c>
      <c r="H13163" t="inlineStr">
        <is>
          <t>30/04/2026</t>
        </is>
      </c>
      <c r="I13163" t="inlineStr">
        <is>
          <t>17/03/2026</t>
        </is>
      </c>
      <c r="J13163" t="inlineStr">
        <is>
          <t>CNTT - Phần mềm, Tư vấn</t>
        </is>
      </c>
      <c r="K13163" t="inlineStr">
        <is>
          <t>1 - 3 Năm</t>
        </is>
      </c>
      <c r="L13163" s="8">
        <f>HYPERLINK("https://careerviet.vn/vi/tim-viec-lam/nhan-vien-trien-khai-phan-mem-e-office.35C69AF0.html","Xem chi tiết")</f>
        <v/>
      </c>
    </row>
    <row r="13164">
      <c r="B13164" s="9" t="n">
        <v>13162</v>
      </c>
      <c r="C13164" s="10" t="inlineStr">
        <is>
          <t>PARTNERSHIP MANAGER (MARKETING)</t>
        </is>
      </c>
      <c r="D13164" s="10" t="inlineStr">
        <is>
          <t>Công Ty TNHH XNK Phát Triển Đông Dương</t>
        </is>
      </c>
      <c r="E13164" s="10" t="inlineStr">
        <is>
          <t>Lương:Cạnh tranh</t>
        </is>
      </c>
      <c r="F13164" s="10" t="inlineStr">
        <is>
          <t>Hồ Chí Minh</t>
        </is>
      </c>
      <c r="G13164" s="10" t="inlineStr">
        <is>
          <t>27-03-2026</t>
        </is>
      </c>
      <c r="H13164" s="10" t="inlineStr">
        <is>
          <t>27/03/2026</t>
        </is>
      </c>
      <c r="I13164" s="10" t="inlineStr">
        <is>
          <t>17/03/2026</t>
        </is>
      </c>
      <c r="J13164" s="10" t="inlineStr">
        <is>
          <t>Tiếp thị / Marketing, Bán lẻ / Bán sỉ, Tiếp thị trực tuyến</t>
        </is>
      </c>
      <c r="K13164" s="10" t="inlineStr">
        <is>
          <t>5 - 7 Năm</t>
        </is>
      </c>
      <c r="L13164" s="11">
        <f>HYPERLINK("https://careerviet.vn/vi/tim-viec-lam/partnership-manager-marketing.35C69A2E.html","Xem chi tiết")</f>
        <v/>
      </c>
      <c r="M13164" s="10" t="n"/>
    </row>
    <row r="13165">
      <c r="B13165" s="7" t="n">
        <v>13163</v>
      </c>
      <c r="C13165" t="inlineStr">
        <is>
          <t>THỰC TẬP SINH TƯ VẤN ĐẦU TƯ KHCN (CẦN THƠ )</t>
        </is>
      </c>
      <c r="D13165" t="inlineStr">
        <is>
          <t>VDSC - Công ty CP Chứng khoán Rồng Việt</t>
        </is>
      </c>
      <c r="E13165" t="inlineStr">
        <is>
          <t>Lương:3 Tr - 5 Tr VND</t>
        </is>
      </c>
      <c r="F13165" t="inlineStr">
        <is>
          <t>Cần Thơ</t>
        </is>
      </c>
      <c r="G13165" t="inlineStr">
        <is>
          <t>31-03-2026</t>
        </is>
      </c>
      <c r="H13165" t="inlineStr">
        <is>
          <t>31/03/2026</t>
        </is>
      </c>
      <c r="I13165" t="inlineStr">
        <is>
          <t>17/03/2026</t>
        </is>
      </c>
      <c r="J13165" t="inlineStr">
        <is>
          <t>Ngân hàng, Chứng khoán, Tài chính / Đầu tư</t>
        </is>
      </c>
      <c r="K13165" t="inlineStr">
        <is>
          <t>N/A</t>
        </is>
      </c>
      <c r="L13165" s="8">
        <f>HYPERLINK("https://careerviet.vn/vi/tim-viec-lam/thuc-tap-sinh-tu-van-dau-tu-khcn-can-tho.35C69CB0.html","Xem chi tiết")</f>
        <v/>
      </c>
    </row>
    <row r="13166">
      <c r="B13166" s="9" t="n">
        <v>13164</v>
      </c>
      <c r="C13166" s="10" t="inlineStr">
        <is>
          <t>Giám Sát Thi Công</t>
        </is>
      </c>
      <c r="D13166" s="10" t="inlineStr">
        <is>
          <t>CÔNG TY CỔ PHẦN TẬP ĐOÀN LUKLAK VIỆT NAM</t>
        </is>
      </c>
      <c r="E13166" s="10" t="inlineStr">
        <is>
          <t>Lương:16 Tr - 25 Tr VND</t>
        </is>
      </c>
      <c r="F13166" s="10" t="inlineStr">
        <is>
          <t>Hà Nội</t>
        </is>
      </c>
      <c r="G13166" s="10" t="inlineStr">
        <is>
          <t>26-03-2026</t>
        </is>
      </c>
      <c r="H13166" s="10" t="inlineStr">
        <is>
          <t>26/03/2026</t>
        </is>
      </c>
      <c r="I13166" s="10" t="inlineStr">
        <is>
          <t>17/03/2026</t>
        </is>
      </c>
      <c r="J13166" s="10" t="inlineStr">
        <is>
          <t>Kiến trúc, Xây dựng, Nội ngoại thất</t>
        </is>
      </c>
      <c r="K13166" s="10" t="inlineStr">
        <is>
          <t>1 - 3 Năm</t>
        </is>
      </c>
      <c r="L13166" s="11">
        <f>HYPERLINK("https://careerviet.vn/vi/tim-viec-lam/giam-sat-thi-cong.35C699BA.html","Xem chi tiết")</f>
        <v/>
      </c>
      <c r="M13166" s="10" t="n"/>
    </row>
    <row r="13167">
      <c r="B13167" s="7" t="n">
        <v>13165</v>
      </c>
      <c r="C13167" t="inlineStr">
        <is>
          <t>Nhân viên hỗ trợ khối Doanh nghiệp</t>
        </is>
      </c>
      <c r="D13167" t="inlineStr">
        <is>
          <t>Chương trình Học viện Công nghệ BKACAD</t>
        </is>
      </c>
      <c r="E13167" t="inlineStr">
        <is>
          <t>Lương:10 Tr - 15 Tr VND</t>
        </is>
      </c>
      <c r="F13167" t="inlineStr">
        <is>
          <t>Hà Nội</t>
        </is>
      </c>
      <c r="G13167" t="inlineStr">
        <is>
          <t>11-03-2026</t>
        </is>
      </c>
      <c r="H13167" t="inlineStr">
        <is>
          <t>15/03/2026</t>
        </is>
      </c>
      <c r="I13167" t="inlineStr">
        <is>
          <t>17/03/2026</t>
        </is>
      </c>
      <c r="J13167" t="inlineStr">
        <is>
          <t>Dịch vụ khách hàng, Hành chính / Thư ký, Giáo dục / Đào tạo</t>
        </is>
      </c>
      <c r="K13167" t="inlineStr">
        <is>
          <t>1 - 3 Năm</t>
        </is>
      </c>
      <c r="L13167" s="8">
        <f>HYPERLINK("https://careerviet.vn/vi/tim-viec-lam/nhan-vien-ho-tro-khoi-doanh-nghiep.35C69B80.html","Xem chi tiết")</f>
        <v/>
      </c>
    </row>
    <row r="13168">
      <c r="B13168" s="9" t="n">
        <v>13166</v>
      </c>
      <c r="C13168" s="10" t="inlineStr">
        <is>
          <t>Nhân Viên QC Camera (8h Chuyên ngày)</t>
        </is>
      </c>
      <c r="D13168" s="10" t="inlineStr">
        <is>
          <t>Tập Đoàn An Phát Holdings</t>
        </is>
      </c>
      <c r="E13168" s="10" t="inlineStr">
        <is>
          <t>Lương:8 Tr - 10 Tr VND</t>
        </is>
      </c>
      <c r="F13168" s="10" t="inlineStr">
        <is>
          <t>Hải Dương</t>
        </is>
      </c>
      <c r="G13168" s="10" t="inlineStr">
        <is>
          <t>11-03-2026</t>
        </is>
      </c>
      <c r="H13168" s="10" t="inlineStr">
        <is>
          <t>15/03/2026</t>
        </is>
      </c>
      <c r="I13168" s="10" t="inlineStr">
        <is>
          <t>17/03/2026</t>
        </is>
      </c>
      <c r="J13168" s="10" t="inlineStr">
        <is>
          <t>Sản xuất / Vận hành sản xuất, Quản lý chất lượng (QA/QC)</t>
        </is>
      </c>
      <c r="K13168" s="10" t="inlineStr">
        <is>
          <t>Chưa có kinh nghiệm</t>
        </is>
      </c>
      <c r="L13168" s="11">
        <f>HYPERLINK("https://careerviet.vn/vi/tim-viec-lam/nhan-vien-qc-camera-8h-chuyen-ngay.35C69B06.html","Xem chi tiết")</f>
        <v/>
      </c>
      <c r="M13168" s="10" t="n"/>
    </row>
    <row r="13169">
      <c r="B13169" s="7" t="n">
        <v>13167</v>
      </c>
      <c r="C13169" t="inlineStr">
        <is>
          <t>Nhân Viên Tư Vấn Kênh Trả Góp_Bình Thuận</t>
        </is>
      </c>
      <c r="D13169" t="inlineStr">
        <is>
          <t>Công Ty Tài Chính TNHH Một Thành Viên Quốc Tế Việt Nam JACCS</t>
        </is>
      </c>
      <c r="E13169" t="inlineStr">
        <is>
          <t>Lương:5 Tr - 15 Tr VND</t>
        </is>
      </c>
      <c r="F13169" t="inlineStr">
        <is>
          <t>Bình Thuận</t>
        </is>
      </c>
      <c r="G13169" t="inlineStr">
        <is>
          <t>26-03-2026</t>
        </is>
      </c>
      <c r="H13169" t="inlineStr">
        <is>
          <t>26/03/2026</t>
        </is>
      </c>
      <c r="I13169" t="inlineStr">
        <is>
          <t>17/03/2026</t>
        </is>
      </c>
      <c r="J13169" t="inlineStr">
        <is>
          <t>Bán hàng / Kinh doanh, Tài chính / Đầu tư, Lao động phổ thông</t>
        </is>
      </c>
      <c r="K13169" t="inlineStr">
        <is>
          <t>N/A</t>
        </is>
      </c>
      <c r="L13169" s="8">
        <f>HYPERLINK("https://careerviet.vn/vi/tim-viec-lam/nhan-vien-tu-van-kenh-tra-gop_binh-thuan.35C6992B.html","Xem chi tiết")</f>
        <v/>
      </c>
    </row>
    <row r="13170">
      <c r="B13170" s="9" t="n">
        <v>13168</v>
      </c>
      <c r="C13170" s="10" t="inlineStr">
        <is>
          <t>Nhân viên kế toán tổng hợp</t>
        </is>
      </c>
      <c r="D13170" s="10" t="inlineStr">
        <is>
          <t>CÔNG TY CỔ PHẦN ẨM THỰC SAO PHƯƠNG NAM GROUP</t>
        </is>
      </c>
      <c r="E13170" s="10" t="inlineStr">
        <is>
          <t>Lương:22 Tr - 28 Tr VND</t>
        </is>
      </c>
      <c r="F13170" s="10" t="inlineStr">
        <is>
          <t>Hồ Chí Minh</t>
        </is>
      </c>
      <c r="G13170" s="10" t="inlineStr">
        <is>
          <t>31-03-2026</t>
        </is>
      </c>
      <c r="H13170" s="10" t="inlineStr">
        <is>
          <t>31/03/2026</t>
        </is>
      </c>
      <c r="I13170" s="10" t="inlineStr">
        <is>
          <t>17/03/2026</t>
        </is>
      </c>
      <c r="J13170" s="10" t="inlineStr">
        <is>
          <t>Kế toán / Kiểm toán, Tài chính / Đầu tư, Nhà hàng / Khách sạn</t>
        </is>
      </c>
      <c r="K13170" s="10" t="inlineStr">
        <is>
          <t>2 - 3 Năm</t>
        </is>
      </c>
      <c r="L13170" s="11">
        <f>HYPERLINK("https://careerviet.vn/vi/tim-viec-lam/nhan-vien-ke-toan-tong-hop.35C6993C.html","Xem chi tiết")</f>
        <v/>
      </c>
      <c r="M13170" s="10" t="n"/>
    </row>
    <row r="13171">
      <c r="B13171" s="7" t="n">
        <v>13169</v>
      </c>
      <c r="C13171" t="inlineStr">
        <is>
          <t>Nhân Viên Kế Toán Thanh Toán</t>
        </is>
      </c>
      <c r="D13171" t="inlineStr">
        <is>
          <t>Công Ty Cổ Phần Đầu Tư Xây Dựng Bcons</t>
        </is>
      </c>
      <c r="E13171" t="inlineStr">
        <is>
          <t>Lương:Cạnh tranh</t>
        </is>
      </c>
      <c r="F13171" t="inlineStr">
        <is>
          <t>Hồ Chí Minh</t>
        </is>
      </c>
      <c r="G13171" t="inlineStr">
        <is>
          <t>25-03-2026</t>
        </is>
      </c>
      <c r="H13171" t="inlineStr">
        <is>
          <t>25/03/2026</t>
        </is>
      </c>
      <c r="I13171" t="inlineStr">
        <is>
          <t>17/03/2026</t>
        </is>
      </c>
      <c r="J13171" t="inlineStr">
        <is>
          <t>Xây dựng, Kế toán / Kiểm toán, Tài chính / Đầu tư</t>
        </is>
      </c>
      <c r="K13171" t="inlineStr">
        <is>
          <t>N/A</t>
        </is>
      </c>
      <c r="L13171" s="8">
        <f>HYPERLINK("https://careerviet.vn/vi/tim-viec-lam/nhan-vien-ke-toan-thanh-toan.35C69CE8.html","Xem chi tiết")</f>
        <v/>
      </c>
    </row>
    <row r="13172">
      <c r="B13172" s="9" t="n">
        <v>13170</v>
      </c>
      <c r="C13172" s="10" t="inlineStr">
        <is>
          <t>R&amp;D Draftsman</t>
        </is>
      </c>
      <c r="D13172" s="10" t="inlineStr">
        <is>
          <t>Vietnam Furniture Resources (VFR)</t>
        </is>
      </c>
      <c r="E13172" s="10" t="inlineStr">
        <is>
          <t>Lương:Cạnh tranh</t>
        </is>
      </c>
      <c r="F13172" s="10" t="inlineStr">
        <is>
          <t>Bình Dương</t>
        </is>
      </c>
      <c r="G13172" s="10" t="inlineStr">
        <is>
          <t>26-03-2026</t>
        </is>
      </c>
      <c r="H13172" s="10" t="inlineStr">
        <is>
          <t>26/03/2026</t>
        </is>
      </c>
      <c r="I13172" s="10" t="inlineStr">
        <is>
          <t>17/03/2026</t>
        </is>
      </c>
      <c r="J13172" s="10" t="inlineStr">
        <is>
          <t>Mỹ thuật / Nghệ thuật / Thiết kế, Đồ gỗ, Nội ngoại thất</t>
        </is>
      </c>
      <c r="K13172" s="10" t="inlineStr">
        <is>
          <t>1 - 3 Năm</t>
        </is>
      </c>
      <c r="L13172" s="11">
        <f>HYPERLINK("https://careerviet.vn/vi/tim-viec-lam/r-d-draftsman.35C698E4.html","Xem chi tiết")</f>
        <v/>
      </c>
      <c r="M13172" s="10" t="n"/>
    </row>
    <row r="13173">
      <c r="B13173" s="7" t="n">
        <v>13171</v>
      </c>
      <c r="C13173" t="inlineStr">
        <is>
          <t>CHUYÊN VIÊN XỬ LÝ NỢ HIỆN TRƯỜNG</t>
        </is>
      </c>
      <c r="D13173" t="inlineStr">
        <is>
          <t>CÔNG TY TNHH K&amp;M VINA</t>
        </is>
      </c>
      <c r="E13173" t="inlineStr">
        <is>
          <t>Lương:Cạnh tranh</t>
        </is>
      </c>
      <c r="F13173" t="inlineStr">
        <is>
          <t>Hồ Chí Minh</t>
        </is>
      </c>
      <c r="G13173" t="inlineStr">
        <is>
          <t>15-04-2026</t>
        </is>
      </c>
      <c r="H13173" t="inlineStr">
        <is>
          <t>15/04/2026</t>
        </is>
      </c>
      <c r="I13173" t="inlineStr">
        <is>
          <t>17/03/2026</t>
        </is>
      </c>
      <c r="J13173" t="inlineStr">
        <is>
          <t>Luật / Pháp lý, Tài chính / Đầu tư, Ngân hàng</t>
        </is>
      </c>
      <c r="K13173" t="inlineStr">
        <is>
          <t>1 - 2 Năm</t>
        </is>
      </c>
      <c r="L13173" s="8">
        <f>HYPERLINK("https://careerviet.vn/vi/tim-viec-lam/chuyen-vien-xu-ly-no-hien-truong.35C69934.html","Xem chi tiết")</f>
        <v/>
      </c>
    </row>
    <row r="13174">
      <c r="B13174" s="9" t="n">
        <v>13172</v>
      </c>
      <c r="C13174" s="10" t="inlineStr">
        <is>
          <t>Kỹ sư Tự động hóa</t>
        </is>
      </c>
      <c r="D13174" s="10" t="inlineStr">
        <is>
          <t>CÔNG TY TNHH LTK VIỆT NAM</t>
        </is>
      </c>
      <c r="E13174" s="10" t="inlineStr">
        <is>
          <t>Lương:12 Tr - 15 Tr VND</t>
        </is>
      </c>
      <c r="F13174" s="10" t="inlineStr">
        <is>
          <t>Hưng YênHà NộiBắc Ninh</t>
        </is>
      </c>
      <c r="G13174" s="10" t="inlineStr">
        <is>
          <t>26-03-2026</t>
        </is>
      </c>
      <c r="H13174" s="10" t="inlineStr">
        <is>
          <t>26/03/2026</t>
        </is>
      </c>
      <c r="I13174" s="10" t="inlineStr">
        <is>
          <t>17/03/2026</t>
        </is>
      </c>
      <c r="J13174" s="10" t="inlineStr">
        <is>
          <t>Cơ khí / Ô tô / Tự động hóa, Điện / Điện tử / Điện lạnh / Điện công nghiệp, Bảo trì / Sửa chữa</t>
        </is>
      </c>
      <c r="K13174" s="10" t="inlineStr">
        <is>
          <t>2 - 3 Năm</t>
        </is>
      </c>
      <c r="L13174" s="11">
        <f>HYPERLINK("https://careerviet.vn/vi/tim-viec-lam/ky-su-tu-dong-hoa.35C6997C.html","Xem chi tiết")</f>
        <v/>
      </c>
      <c r="M13174" s="10" t="n"/>
    </row>
    <row r="13175">
      <c r="B13175" s="7" t="n">
        <v>13173</v>
      </c>
      <c r="C13175" t="inlineStr">
        <is>
          <t>Sales Manager (Mảng xe điện)</t>
        </is>
      </c>
      <c r="D13175" t="inlineStr">
        <is>
          <t>Công Ty TNHH XNK Phát Triển Đông Dương</t>
        </is>
      </c>
      <c r="E13175" t="inlineStr">
        <is>
          <t>Lương:Cạnh tranh</t>
        </is>
      </c>
      <c r="F13175" t="inlineStr">
        <is>
          <t>Hồ Chí Minh</t>
        </is>
      </c>
      <c r="G13175" t="inlineStr">
        <is>
          <t>27-03-2026</t>
        </is>
      </c>
      <c r="H13175" t="inlineStr">
        <is>
          <t>27/03/2026</t>
        </is>
      </c>
      <c r="I13175" t="inlineStr">
        <is>
          <t>17/03/2026</t>
        </is>
      </c>
      <c r="J13175" t="inlineStr">
        <is>
          <t>Bán lẻ / Bán sỉ, Thương mại điện tử, Cơ khí / Ô tô / Tự động hóa</t>
        </is>
      </c>
      <c r="K13175" t="inlineStr">
        <is>
          <t>5 - 7 Năm</t>
        </is>
      </c>
      <c r="L13175" s="8">
        <f>HYPERLINK("https://careerviet.vn/vi/tim-viec-lam/sales-manager-mang-xe-dien.35C699B2.html","Xem chi tiết")</f>
        <v/>
      </c>
    </row>
    <row r="13176">
      <c r="B13176" s="9" t="n">
        <v>13174</v>
      </c>
      <c r="C13176" s="10" t="inlineStr">
        <is>
          <t>Kỹ sư điện (Đan Phượng, Hà Nội)</t>
        </is>
      </c>
      <c r="D13176" s="10" t="inlineStr">
        <is>
          <t>Công Ty Cổ Phần Quốc Tế Sơn Hà</t>
        </is>
      </c>
      <c r="E13176" s="10" t="inlineStr">
        <is>
          <t>Lương:Cạnh tranh</t>
        </is>
      </c>
      <c r="F13176" s="10" t="inlineStr">
        <is>
          <t>Hà Nội</t>
        </is>
      </c>
      <c r="G13176" s="10" t="inlineStr">
        <is>
          <t>28-03-2026</t>
        </is>
      </c>
      <c r="H13176" s="10" t="inlineStr">
        <is>
          <t>28/03/2026</t>
        </is>
      </c>
      <c r="I13176" s="10" t="inlineStr">
        <is>
          <t>17/03/2026</t>
        </is>
      </c>
      <c r="J13176" s="10" t="inlineStr">
        <is>
          <t>Cơ khí / Ô tô / Tự động hóa, Điện / Điện tử / Điện lạnh / Điện công nghiệp</t>
        </is>
      </c>
      <c r="K13176" s="10" t="inlineStr">
        <is>
          <t>1 - 2 Năm</t>
        </is>
      </c>
      <c r="L13176" s="11">
        <f>HYPERLINK("https://careerviet.vn/vi/tim-viec-lam/ky-su-dien-dan-phuong-ha-noi.35C69B46.html","Xem chi tiết")</f>
        <v/>
      </c>
      <c r="M13176" s="10" t="n"/>
    </row>
    <row r="13177">
      <c r="B13177" s="7" t="n">
        <v>13175</v>
      </c>
      <c r="C13177" t="inlineStr">
        <is>
          <t>Nhân viên hành chính văn phòng</t>
        </is>
      </c>
      <c r="D13177" t="inlineStr">
        <is>
          <t>CÔNG TY TNHH THIẾT KẾ HPA &amp; PARTNERS (VIÊT NAM)</t>
        </is>
      </c>
      <c r="E13177" t="inlineStr">
        <is>
          <t>Lương:Cạnh tranh</t>
        </is>
      </c>
      <c r="F13177" t="inlineStr">
        <is>
          <t>Hà Nội</t>
        </is>
      </c>
      <c r="G13177" t="inlineStr">
        <is>
          <t>31-03-2026</t>
        </is>
      </c>
      <c r="H13177" t="inlineStr">
        <is>
          <t>31/03/2026</t>
        </is>
      </c>
      <c r="I13177" t="inlineStr">
        <is>
          <t>17/03/2026</t>
        </is>
      </c>
      <c r="J13177" t="inlineStr">
        <is>
          <t>Nội ngoại thất, Mỹ thuật / Nghệ thuật / Thiết kế, Kiến trúc</t>
        </is>
      </c>
      <c r="K13177" t="inlineStr">
        <is>
          <t>Trên 1 Năm</t>
        </is>
      </c>
      <c r="L13177" s="8">
        <f>HYPERLINK("https://careerviet.vn/vi/tim-viec-lam/nhan-vien-hanh-chinh-van-phong.35C69919.html","Xem chi tiết")</f>
        <v/>
      </c>
    </row>
    <row r="13178">
      <c r="B13178" s="9" t="n">
        <v>13176</v>
      </c>
      <c r="C13178" s="10" t="inlineStr">
        <is>
          <t>Kế Toán Trưởng Tổng Hợp</t>
        </is>
      </c>
      <c r="D13178" s="10" t="inlineStr">
        <is>
          <t>CÔNG TY TNHH RICH PAY TEK</t>
        </is>
      </c>
      <c r="E13178" s="10" t="inlineStr">
        <is>
          <t>Lương:Cạnh tranh</t>
        </is>
      </c>
      <c r="F13178" s="10" t="inlineStr">
        <is>
          <t>Hồ Chí Minh</t>
        </is>
      </c>
      <c r="G13178" s="10" t="inlineStr">
        <is>
          <t>26-03-2026</t>
        </is>
      </c>
      <c r="H13178" s="10" t="inlineStr">
        <is>
          <t>26/03/2026</t>
        </is>
      </c>
      <c r="I13178" s="10" t="inlineStr">
        <is>
          <t>17/03/2026</t>
        </is>
      </c>
      <c r="J13178" s="10" t="inlineStr">
        <is>
          <t>Kế toán / Kiểm toán, Tài chính / Đầu tư</t>
        </is>
      </c>
      <c r="K13178" s="10" t="inlineStr">
        <is>
          <t>3 - 5 Năm</t>
        </is>
      </c>
      <c r="L13178" s="11">
        <f>HYPERLINK("https://careerviet.vn/vi/tim-viec-lam/ke-toan-truong-tong-hop.35C69B76.html","Xem chi tiết")</f>
        <v/>
      </c>
      <c r="M13178" s="10" t="n"/>
    </row>
    <row r="13179">
      <c r="B13179" s="7" t="n">
        <v>13177</v>
      </c>
      <c r="C13179" t="inlineStr">
        <is>
          <t>Trưởng Nhóm Tuyển Sinh (Củ Chi - Hồ Chí Minh)</t>
        </is>
      </c>
      <c r="D13179" t="inlineStr">
        <is>
          <t>Công Ty CP Liên Kết Quốc Tế INTERLINK (Trường Liên Kết Quốc Tế INschool &amp; Ngoại Ngữ Quốc Tế INS ENGLISH &amp; CHINESE)</t>
        </is>
      </c>
      <c r="E13179" t="inlineStr">
        <is>
          <t>Lương:10 Tr - 14 Tr VND</t>
        </is>
      </c>
      <c r="F13179" t="inlineStr">
        <is>
          <t>Hồ Chí Minh</t>
        </is>
      </c>
      <c r="G13179" t="inlineStr">
        <is>
          <t>26-03-2026</t>
        </is>
      </c>
      <c r="H13179" t="inlineStr">
        <is>
          <t>26/03/2026</t>
        </is>
      </c>
      <c r="I13179" t="inlineStr">
        <is>
          <t>17/03/2026</t>
        </is>
      </c>
      <c r="J13179" t="inlineStr">
        <is>
          <t>Tiếp thị / Marketing, Bán hàng / Kinh doanh, Tư vấn</t>
        </is>
      </c>
      <c r="K13179" t="inlineStr">
        <is>
          <t>1 - 2 Năm</t>
        </is>
      </c>
      <c r="L13179" s="8">
        <f>HYPERLINK("https://careerviet.vn/vi/tim-viec-lam/truong-nhom-tuyen-sinh-cu-chi-ho-chi-minh.35C69990.html","Xem chi tiết")</f>
        <v/>
      </c>
    </row>
    <row r="13180">
      <c r="B13180" s="9" t="n">
        <v>13178</v>
      </c>
      <c r="C13180" s="10" t="inlineStr">
        <is>
          <t>Trưởng Nhóm Kế Toán Doanh Thu - Chi Phí</t>
        </is>
      </c>
      <c r="D13180" s="10" t="inlineStr">
        <is>
          <t>Công ty TNHH X.E Việt Nam</t>
        </is>
      </c>
      <c r="E13180" s="10" t="inlineStr">
        <is>
          <t>Lương:14 Tr - 16 Tr VND</t>
        </is>
      </c>
      <c r="F13180" s="10" t="inlineStr">
        <is>
          <t>Hà Nội</t>
        </is>
      </c>
      <c r="G13180" s="10" t="inlineStr">
        <is>
          <t>31-03-2026</t>
        </is>
      </c>
      <c r="H13180" s="10" t="inlineStr">
        <is>
          <t>31/03/2026</t>
        </is>
      </c>
      <c r="I13180" s="10" t="inlineStr">
        <is>
          <t>17/03/2026</t>
        </is>
      </c>
      <c r="J13180" s="10" t="inlineStr">
        <is>
          <t>Kế toán / Kiểm toán</t>
        </is>
      </c>
      <c r="K13180" s="10" t="inlineStr">
        <is>
          <t>2 - 4 Năm</t>
        </is>
      </c>
      <c r="L13180" s="11">
        <f>HYPERLINK("https://careerviet.vn/vi/tim-viec-lam/truong-nhom-ke-toan-doanh-thu-chi-phi.35C699EF.html","Xem chi tiết")</f>
        <v/>
      </c>
      <c r="M13180" s="10" t="n"/>
    </row>
    <row r="13181">
      <c r="B13181" s="7" t="n">
        <v>13179</v>
      </c>
      <c r="C13181" t="inlineStr">
        <is>
          <t>NHÂN VIÊN PR VÀ KHOA HỌC - HÀ NỘI (LONG BIÊN)</t>
        </is>
      </c>
      <c r="D13181" t="inlineStr">
        <is>
          <t>Cty TNHH Yakult Việt Nam</t>
        </is>
      </c>
      <c r="E13181" t="inlineStr">
        <is>
          <t>Lương:10 Tr - 15 Tr VND</t>
        </is>
      </c>
      <c r="F13181" t="inlineStr">
        <is>
          <t>Hà Nội</t>
        </is>
      </c>
      <c r="G13181" t="inlineStr">
        <is>
          <t>31-03-2026</t>
        </is>
      </c>
      <c r="H13181" t="inlineStr">
        <is>
          <t>31/03/2026</t>
        </is>
      </c>
      <c r="I13181" t="inlineStr">
        <is>
          <t>17/03/2026</t>
        </is>
      </c>
      <c r="J13181" t="inlineStr">
        <is>
          <t>Tiếp thị / Marketing, Công nghệ sinh học, Công nghệ thực phẩm / Dinh dưỡng</t>
        </is>
      </c>
      <c r="K13181" t="inlineStr">
        <is>
          <t>N/A</t>
        </is>
      </c>
      <c r="L13181" s="8">
        <f>HYPERLINK("https://careerviet.vn/vi/tim-viec-lam/nhan-vien-pr-va-khoa-hoc-ha-noi-long-bien.35C69B99.html","Xem chi tiết")</f>
        <v/>
      </c>
    </row>
    <row r="13182">
      <c r="B13182" s="9" t="n">
        <v>13180</v>
      </c>
      <c r="C13182" s="10" t="inlineStr">
        <is>
          <t>Account Receivable Controller</t>
        </is>
      </c>
      <c r="D13182" s="10" t="inlineStr">
        <is>
          <t>Concung.com - Con Cung Joint Stock Company</t>
        </is>
      </c>
      <c r="E13182" s="10" t="inlineStr">
        <is>
          <t>Lương:Cạnh tranh</t>
        </is>
      </c>
      <c r="F13182" s="10" t="inlineStr">
        <is>
          <t>Hồ Chí Minh</t>
        </is>
      </c>
      <c r="G13182" s="10" t="inlineStr">
        <is>
          <t>26-03-2026</t>
        </is>
      </c>
      <c r="H13182" s="10" t="inlineStr">
        <is>
          <t>26/03/2026</t>
        </is>
      </c>
      <c r="I13182" s="10" t="inlineStr">
        <is>
          <t>17/03/2026</t>
        </is>
      </c>
      <c r="J13182" s="10" t="inlineStr">
        <is>
          <t>Bán lẻ / Bán sỉ, Kế toán / Kiểm toán, Tài chính / Đầu tư</t>
        </is>
      </c>
      <c r="K13182" s="10" t="inlineStr">
        <is>
          <t>Trên 2 Năm</t>
        </is>
      </c>
      <c r="L13182" s="11">
        <f>HYPERLINK("https://careerviet.vn/vi/tim-viec-lam/account-receivable-controller.35C69A3D.html","Xem chi tiết")</f>
        <v/>
      </c>
      <c r="M13182" s="10" t="n"/>
    </row>
    <row r="13183">
      <c r="B13183" s="7" t="n">
        <v>13181</v>
      </c>
      <c r="C13183" t="inlineStr">
        <is>
          <t>Phó phòng tài chính kế toán</t>
        </is>
      </c>
      <c r="D13183" t="inlineStr">
        <is>
          <t>CÔNG TY CỔ PHẦN ẨM THỰC SAO PHƯƠNG NAM GROUP</t>
        </is>
      </c>
      <c r="E13183" t="inlineStr">
        <is>
          <t>Lương:Cạnh tranh</t>
        </is>
      </c>
      <c r="F13183" t="inlineStr">
        <is>
          <t>Hồ Chí Minh</t>
        </is>
      </c>
      <c r="G13183" t="inlineStr">
        <is>
          <t>11-03-2026</t>
        </is>
      </c>
      <c r="H13183" t="inlineStr">
        <is>
          <t>04/03/2026</t>
        </is>
      </c>
      <c r="I13183" t="inlineStr">
        <is>
          <t>17/03/2026</t>
        </is>
      </c>
      <c r="J13183" t="inlineStr">
        <is>
          <t>Tài chính / Đầu tư, Nhà hàng / Khách sạn, Kế toán / Kiểm toán</t>
        </is>
      </c>
      <c r="K13183" t="inlineStr">
        <is>
          <t>3 - 5 Năm</t>
        </is>
      </c>
      <c r="L13183" s="8">
        <f>HYPERLINK("https://careerviet.vn/vi/tim-viec-lam/pho-phong-tai-chinh-ke-toan.35C699E7.html","Xem chi tiết")</f>
        <v/>
      </c>
    </row>
    <row r="13184">
      <c r="B13184" s="9" t="n">
        <v>13182</v>
      </c>
      <c r="C13184" s="10" t="inlineStr">
        <is>
          <t>Chuyên Viên Kinh Tế Kế Hoạch Ban Bất Động Sản</t>
        </is>
      </c>
      <c r="D13184" s="10" t="inlineStr">
        <is>
          <t>Công ty Cổ phần Tập Đoàn Picenza Viet Nam</t>
        </is>
      </c>
      <c r="E13184" s="10" t="inlineStr">
        <is>
          <t>Lương:Cạnh tranh</t>
        </is>
      </c>
      <c r="F13184" s="10" t="inlineStr">
        <is>
          <t>Hà Nội</t>
        </is>
      </c>
      <c r="G13184" s="10" t="inlineStr">
        <is>
          <t>28-03-2026</t>
        </is>
      </c>
      <c r="H13184" s="10" t="inlineStr">
        <is>
          <t>28/03/2026</t>
        </is>
      </c>
      <c r="I13184" s="10" t="inlineStr">
        <is>
          <t>17/03/2026</t>
        </is>
      </c>
      <c r="J13184" s="10" t="inlineStr">
        <is>
          <t>Xây dựng</t>
        </is>
      </c>
      <c r="K13184" s="10" t="inlineStr">
        <is>
          <t>3 - 5 Năm</t>
        </is>
      </c>
      <c r="L13184" s="11">
        <f>HYPERLINK("https://careerviet.vn/vi/tim-viec-lam/chuyen-vien-kinh-te-ke-hoach-ban-bat-dong-san.35C698D2.html","Xem chi tiết")</f>
        <v/>
      </c>
      <c r="M13184" s="10" t="n"/>
    </row>
    <row r="13185">
      <c r="B13185" s="7" t="n">
        <v>13183</v>
      </c>
      <c r="C13185" t="inlineStr">
        <is>
          <t>Kế toán tổng hợp</t>
        </is>
      </c>
      <c r="D13185" t="inlineStr">
        <is>
          <t>nanoHome</t>
        </is>
      </c>
      <c r="E13185" t="inlineStr">
        <is>
          <t>Lương:15 Tr - 18 Tr VND</t>
        </is>
      </c>
      <c r="F13185" t="inlineStr">
        <is>
          <t>Hồ Chí Minh</t>
        </is>
      </c>
      <c r="G13185" t="inlineStr">
        <is>
          <t>26-03-2026</t>
        </is>
      </c>
      <c r="H13185" t="inlineStr">
        <is>
          <t>26/03/2026</t>
        </is>
      </c>
      <c r="I13185" t="inlineStr">
        <is>
          <t>17/03/2026</t>
        </is>
      </c>
      <c r="J13185" t="inlineStr">
        <is>
          <t>Kế toán / Kiểm toán</t>
        </is>
      </c>
      <c r="K13185" t="inlineStr">
        <is>
          <t>3 - 8 Năm</t>
        </is>
      </c>
      <c r="L13185" s="8">
        <f>HYPERLINK("https://careerviet.vn/vi/tim-viec-lam/ke-toan-tong-hop.35C69A23.html","Xem chi tiết")</f>
        <v/>
      </c>
    </row>
    <row r="13186">
      <c r="B13186" s="9" t="n">
        <v>13184</v>
      </c>
      <c r="C13186" s="10" t="inlineStr">
        <is>
          <t>Digital Content Executive</t>
        </is>
      </c>
      <c r="D13186" s="10" t="inlineStr">
        <is>
          <t>Công Ty TNHH XNK Phát Triển Đông Dương</t>
        </is>
      </c>
      <c r="E13186" s="10" t="inlineStr">
        <is>
          <t>Lương:13 Tr - 16 Tr VND</t>
        </is>
      </c>
      <c r="F13186" s="10" t="inlineStr">
        <is>
          <t>Hồ Chí Minh</t>
        </is>
      </c>
      <c r="G13186" s="10" t="inlineStr">
        <is>
          <t>31-03-2026</t>
        </is>
      </c>
      <c r="H13186" s="10" t="inlineStr">
        <is>
          <t>31/03/2026</t>
        </is>
      </c>
      <c r="I13186" s="10" t="inlineStr">
        <is>
          <t>17/03/2026</t>
        </is>
      </c>
      <c r="J13186" s="10" t="inlineStr">
        <is>
          <t>Tiếp thị / Marketing, Truyền hình / Báo chí / Biên tập, Quảng cáo / Đối ngoại / Truyền Thông</t>
        </is>
      </c>
      <c r="K13186" s="10" t="inlineStr">
        <is>
          <t>1 - 2 Năm</t>
        </is>
      </c>
      <c r="L13186" s="11">
        <f>HYPERLINK("https://careerviet.vn/vi/tim-viec-lam/digital-content-executive.35C69C50.html","Xem chi tiết")</f>
        <v/>
      </c>
      <c r="M13186" s="10" t="n"/>
    </row>
    <row r="13187">
      <c r="B13187" s="7" t="n">
        <v>13185</v>
      </c>
      <c r="C13187" t="inlineStr">
        <is>
          <t>Giám Sát Hậu Cần</t>
        </is>
      </c>
      <c r="D13187" t="inlineStr">
        <is>
          <t>CÔNG TY CỔ PHẦN CHẾ BIẾN THỰC PHẨM HOÀNG SƠN</t>
        </is>
      </c>
      <c r="E13187" t="inlineStr">
        <is>
          <t>Lương:Cạnh tranh</t>
        </is>
      </c>
      <c r="F13187" t="inlineStr">
        <is>
          <t>Bình Dương</t>
        </is>
      </c>
      <c r="G13187" t="inlineStr">
        <is>
          <t>31-03-2026</t>
        </is>
      </c>
      <c r="H13187" t="inlineStr">
        <is>
          <t>31/03/2026</t>
        </is>
      </c>
      <c r="I13187" t="inlineStr">
        <is>
          <t>17/03/2026</t>
        </is>
      </c>
      <c r="J13187" t="inlineStr">
        <is>
          <t>Môi trường, Hành chính / Thư ký, Công nghệ sinh học</t>
        </is>
      </c>
      <c r="K13187" t="inlineStr">
        <is>
          <t>1 - 3 Năm</t>
        </is>
      </c>
      <c r="L13187" s="8">
        <f>HYPERLINK("https://careerviet.vn/vi/tim-viec-lam/giam-sat-hau-can.35C69AA4.html","Xem chi tiết")</f>
        <v/>
      </c>
    </row>
    <row r="13188">
      <c r="B13188" s="9" t="n">
        <v>13186</v>
      </c>
      <c r="C13188" s="10" t="inlineStr">
        <is>
          <t>Thư Ký Phòng Thiết kế</t>
        </is>
      </c>
      <c r="D13188" s="10" t="inlineStr">
        <is>
          <t>CÔNG TY CP HÀ YẾN</t>
        </is>
      </c>
      <c r="E13188" s="10" t="inlineStr">
        <is>
          <t>Lương:Cạnh tranh</t>
        </is>
      </c>
      <c r="F13188" s="10" t="inlineStr">
        <is>
          <t>Hồ Chí Minh</t>
        </is>
      </c>
      <c r="G13188" s="10" t="inlineStr">
        <is>
          <t>28-03-2026</t>
        </is>
      </c>
      <c r="H13188" s="10" t="inlineStr">
        <is>
          <t>28/03/2026</t>
        </is>
      </c>
      <c r="I13188" s="10" t="inlineStr">
        <is>
          <t>17/03/2026</t>
        </is>
      </c>
      <c r="J13188" s="10" t="inlineStr">
        <is>
          <t>Hành chính / Thư ký</t>
        </is>
      </c>
      <c r="K13188" s="10" t="inlineStr">
        <is>
          <t>1 - 2 Năm</t>
        </is>
      </c>
      <c r="L13188" s="11">
        <f>HYPERLINK("https://careerviet.vn/vi/tim-viec-lam/thu-ky-phong-thiet-ke.35C69AE0.html","Xem chi tiết")</f>
        <v/>
      </c>
      <c r="M13188" s="10" t="n"/>
    </row>
    <row r="13189">
      <c r="B13189" s="7" t="n">
        <v>13187</v>
      </c>
      <c r="C13189" t="inlineStr">
        <is>
          <t>Nhân viên HSE (ƯU TIÊN SINH VIÊN MỚI RA TRƯỜNG)</t>
        </is>
      </c>
      <c r="D13189" t="inlineStr">
        <is>
          <t>CÔNG TY TNHH KOTOP VINA</t>
        </is>
      </c>
      <c r="E13189" t="inlineStr">
        <is>
          <t>Lương:Cạnh tranh</t>
        </is>
      </c>
      <c r="F13189" t="inlineStr">
        <is>
          <t>Đồng Nai</t>
        </is>
      </c>
      <c r="G13189" t="inlineStr">
        <is>
          <t>28-03-2026</t>
        </is>
      </c>
      <c r="H13189" t="inlineStr">
        <is>
          <t>28/03/2026</t>
        </is>
      </c>
      <c r="I13189" t="inlineStr">
        <is>
          <t>17/03/2026</t>
        </is>
      </c>
      <c r="J13189" t="inlineStr">
        <is>
          <t>Nhân sự, Bảo hiểm, Dệt may / Da giày / Thời trang</t>
        </is>
      </c>
      <c r="K13189" t="inlineStr">
        <is>
          <t>N/A</t>
        </is>
      </c>
      <c r="L13189" s="8">
        <f>HYPERLINK("https://careerviet.vn/vi/tim-viec-lam/nhan-vien-hse-uu-tien-sinh-vien-moi-ra-truong.35C699FA.html","Xem chi tiết")</f>
        <v/>
      </c>
    </row>
    <row r="13190">
      <c r="B13190" s="9" t="n">
        <v>13188</v>
      </c>
      <c r="C13190" s="10" t="inlineStr">
        <is>
          <t>Kiểm thử viên cao cấp/Senior Tester - Khối Ngân hàng Số</t>
        </is>
      </c>
      <c r="D13190" s="10" t="inlineStr">
        <is>
          <t>Ngân Hàng TMCP Sài Gòn - Hà Nội ( SHB )</t>
        </is>
      </c>
      <c r="E13190" s="10" t="inlineStr">
        <is>
          <t>Lương:Cạnh tranh</t>
        </is>
      </c>
      <c r="F13190" s="10" t="inlineStr">
        <is>
          <t>Hà Nội</t>
        </is>
      </c>
      <c r="G13190" s="10" t="inlineStr">
        <is>
          <t>28-03-2026</t>
        </is>
      </c>
      <c r="H13190" s="10" t="inlineStr">
        <is>
          <t>28/03/2026</t>
        </is>
      </c>
      <c r="I13190" s="10" t="inlineStr">
        <is>
          <t>17/03/2026</t>
        </is>
      </c>
      <c r="J13190" s="10" t="inlineStr">
        <is>
          <t>CNTT - Phần mềm, Ngân hàng</t>
        </is>
      </c>
      <c r="K13190" s="10" t="inlineStr">
        <is>
          <t>3 - 5 Năm</t>
        </is>
      </c>
      <c r="L13190" s="11">
        <f>HYPERLINK("https://careerviet.vn/vi/tim-viec-lam/kiem-thu-vien-cao-cap-senior-tester-khoi-ngan-hang-so.35C698F6.html","Xem chi tiết")</f>
        <v/>
      </c>
      <c r="M13190" s="10" t="n"/>
    </row>
    <row r="13191">
      <c r="B13191" s="7" t="n">
        <v>13189</v>
      </c>
      <c r="C13191" t="inlineStr">
        <is>
          <t>ĐẦU BẾP CHÍNH - BẾP ÂU/BẾP Á</t>
        </is>
      </c>
      <c r="D13191" t="inlineStr">
        <is>
          <t>CÔNG TY CỔ PHẦN CẢNG TÀU KHÁCH QUỐC TẾ TUẦN CHÂU</t>
        </is>
      </c>
      <c r="E13191" t="inlineStr">
        <is>
          <t>Lương:Cạnh tranh</t>
        </is>
      </c>
      <c r="F13191" t="inlineStr">
        <is>
          <t>Quảng Ninh</t>
        </is>
      </c>
      <c r="G13191" t="inlineStr">
        <is>
          <t>28-03-2026</t>
        </is>
      </c>
      <c r="H13191" t="inlineStr">
        <is>
          <t>28/03/2026</t>
        </is>
      </c>
      <c r="I13191" t="inlineStr">
        <is>
          <t>17/03/2026</t>
        </is>
      </c>
      <c r="J13191" t="inlineStr">
        <is>
          <t>Nhà hàng / Khách sạn</t>
        </is>
      </c>
      <c r="K13191" t="inlineStr">
        <is>
          <t>2 - 5 Năm</t>
        </is>
      </c>
      <c r="L13191" s="8">
        <f>HYPERLINK("https://careerviet.vn/vi/tim-viec-lam/dau-bep-chinh-bep-au-bep-a.35C69AAF.html","Xem chi tiết")</f>
        <v/>
      </c>
    </row>
    <row r="13192">
      <c r="B13192" s="9" t="n">
        <v>13190</v>
      </c>
      <c r="C13192" s="10" t="inlineStr">
        <is>
          <t>Kế toán trưởng</t>
        </is>
      </c>
      <c r="D13192" s="10" t="inlineStr">
        <is>
          <t>CÔNG TY TNHH XCONS E&amp;C</t>
        </is>
      </c>
      <c r="E13192" s="10" t="inlineStr">
        <is>
          <t>Lương:Cạnh tranh</t>
        </is>
      </c>
      <c r="F13192" s="10" t="inlineStr">
        <is>
          <t>Hồ Chí Minh</t>
        </is>
      </c>
      <c r="G13192" s="10" t="inlineStr">
        <is>
          <t>31-03-2026</t>
        </is>
      </c>
      <c r="H13192" s="10" t="inlineStr">
        <is>
          <t>31/03/2026</t>
        </is>
      </c>
      <c r="I13192" s="10" t="inlineStr">
        <is>
          <t>17/03/2026</t>
        </is>
      </c>
      <c r="J13192" s="10" t="inlineStr">
        <is>
          <t>Kế toán / Kiểm toán, Xây dựng, Nội ngoại thất</t>
        </is>
      </c>
      <c r="K13192" s="10" t="inlineStr">
        <is>
          <t>Trên 4 Năm</t>
        </is>
      </c>
      <c r="L13192" s="11">
        <f>HYPERLINK("https://careerviet.vn/vi/tim-viec-lam/ke-toan-truong.35C69ADC.html","Xem chi tiết")</f>
        <v/>
      </c>
      <c r="M13192" s="10" t="n"/>
    </row>
    <row r="13193">
      <c r="B13193" s="7" t="n">
        <v>13191</v>
      </c>
      <c r="C13193" t="inlineStr">
        <is>
          <t>Trưởng Phòng Xuất Nhập Khẩu</t>
        </is>
      </c>
      <c r="D13193" t="inlineStr">
        <is>
          <t>Công Ty TNHH XNK Phát Triển Đông Dương</t>
        </is>
      </c>
      <c r="E13193" t="inlineStr">
        <is>
          <t>Lương:Cạnh tranh</t>
        </is>
      </c>
      <c r="F13193" t="inlineStr">
        <is>
          <t>Hồ Chí Minh</t>
        </is>
      </c>
      <c r="G13193" t="inlineStr">
        <is>
          <t>31-03-2026</t>
        </is>
      </c>
      <c r="H13193" t="inlineStr">
        <is>
          <t>31/03/2026</t>
        </is>
      </c>
      <c r="I13193" t="inlineStr">
        <is>
          <t>17/03/2026</t>
        </is>
      </c>
      <c r="J13193" t="inlineStr">
        <is>
          <t>Cơ khí / Ô tô / Tự động hóa, Thu mua / Vật tư, Xuất nhập khẩu</t>
        </is>
      </c>
      <c r="K13193" t="inlineStr">
        <is>
          <t>5 - 9 Năm</t>
        </is>
      </c>
      <c r="L13193" s="8">
        <f>HYPERLINK("https://careerviet.vn/vi/tim-viec-lam/truong-phong-xuat-nhap-khau.35C699E6.html","Xem chi tiết")</f>
        <v/>
      </c>
    </row>
    <row r="13194">
      <c r="B13194" s="9" t="n">
        <v>13192</v>
      </c>
      <c r="C13194" s="10" t="inlineStr">
        <is>
          <t>Kế Toán Trưởng</t>
        </is>
      </c>
      <c r="D13194" s="10" t="inlineStr">
        <is>
          <t>CÔNG TY CỔ PHẦN XÂY DỰNG TC BÌNH ĐỊNH</t>
        </is>
      </c>
      <c r="E13194" s="10" t="inlineStr">
        <is>
          <t>Lương:Cạnh tranh</t>
        </is>
      </c>
      <c r="F13194" s="10" t="inlineStr">
        <is>
          <t>Bình Định</t>
        </is>
      </c>
      <c r="G13194" s="10" t="inlineStr">
        <is>
          <t>31-05-2026</t>
        </is>
      </c>
      <c r="H13194" s="10" t="inlineStr">
        <is>
          <t>31/05/2026</t>
        </is>
      </c>
      <c r="I13194" s="10" t="inlineStr">
        <is>
          <t>17/03/2026</t>
        </is>
      </c>
      <c r="J13194" s="10" t="inlineStr">
        <is>
          <t>Cơ khí / Ô tô / Tự động hóa, Xây dựng, Bất động sản</t>
        </is>
      </c>
      <c r="K13194" s="10" t="inlineStr">
        <is>
          <t>Trên 4 Năm</t>
        </is>
      </c>
      <c r="L13194" s="11">
        <f>HYPERLINK("https://careerviet.vn/vi/tim-viec-lam/ke-toan-truong.35C698F2.html","Xem chi tiết")</f>
        <v/>
      </c>
      <c r="M13194" s="10" t="n"/>
    </row>
    <row r="13195">
      <c r="B13195" s="7" t="n">
        <v>13193</v>
      </c>
      <c r="C13195" t="inlineStr">
        <is>
          <t>KẾ TOÁN TỔNG HỢP</t>
        </is>
      </c>
      <c r="D13195" t="inlineStr">
        <is>
          <t>CÔNG TY CỔ PHẦN HÙNG CƯỜNG PHARMA</t>
        </is>
      </c>
      <c r="E13195" t="inlineStr">
        <is>
          <t>Lương:13 Tr - 15 Tr VND</t>
        </is>
      </c>
      <c r="F13195" t="inlineStr">
        <is>
          <t>Hồ Chí Minh</t>
        </is>
      </c>
      <c r="G13195" t="inlineStr">
        <is>
          <t>26-03-2026</t>
        </is>
      </c>
      <c r="H13195" t="inlineStr">
        <is>
          <t>26/03/2026</t>
        </is>
      </c>
      <c r="I13195" t="inlineStr">
        <is>
          <t>17/03/2026</t>
        </is>
      </c>
      <c r="J13195" t="inlineStr">
        <is>
          <t>Kế toán / Kiểm toán, Tài chính / Đầu tư</t>
        </is>
      </c>
      <c r="K13195" t="inlineStr">
        <is>
          <t>3 - 4 Năm</t>
        </is>
      </c>
      <c r="L13195" s="8">
        <f>HYPERLINK("https://careerviet.vn/vi/tim-viec-lam/ke-toan-tong-hop.35C699B5.html","Xem chi tiết")</f>
        <v/>
      </c>
    </row>
    <row r="13196">
      <c r="B13196" s="9" t="n">
        <v>13194</v>
      </c>
      <c r="C13196" s="10" t="inlineStr">
        <is>
          <t>Chuyên viên Phân tích Tài chính</t>
        </is>
      </c>
      <c r="D13196" s="10" t="inlineStr">
        <is>
          <t>CÔNG TY TNHH TẬP ĐOÀN BÁCH MỘC AN</t>
        </is>
      </c>
      <c r="E13196" s="10" t="inlineStr">
        <is>
          <t>Lương:14 Tr - 20 Tr VND</t>
        </is>
      </c>
      <c r="F13196" s="10" t="inlineStr">
        <is>
          <t>Hà Nội</t>
        </is>
      </c>
      <c r="G13196" s="10" t="inlineStr">
        <is>
          <t>31-03-2026</t>
        </is>
      </c>
      <c r="H13196" s="10" t="inlineStr">
        <is>
          <t>31/03/2026</t>
        </is>
      </c>
      <c r="I13196" s="10" t="inlineStr">
        <is>
          <t>17/03/2026</t>
        </is>
      </c>
      <c r="J13196" s="10" t="inlineStr">
        <is>
          <t>Kế toán / Kiểm toán, Tài chính / Đầu tư, Sản xuất / Vận hành sản xuất</t>
        </is>
      </c>
      <c r="K13196" s="10" t="inlineStr">
        <is>
          <t>3 - 5 Năm</t>
        </is>
      </c>
      <c r="L13196" s="11">
        <f>HYPERLINK("https://careerviet.vn/vi/tim-viec-lam/chuyen-vien-phan-tich-tai-chinh.35C69B98.html","Xem chi tiết")</f>
        <v/>
      </c>
      <c r="M13196" s="10" t="n"/>
    </row>
    <row r="13197">
      <c r="B13197" s="7" t="n">
        <v>13195</v>
      </c>
      <c r="C13197" t="inlineStr">
        <is>
          <t>Chuyên viên Thủ tục Hợp đồng</t>
        </is>
      </c>
      <c r="D13197" t="inlineStr">
        <is>
          <t>Công ty cổ phần Tập đoàn Danko</t>
        </is>
      </c>
      <c r="E13197" t="inlineStr">
        <is>
          <t>Lương:12 Tr - 18 Tr VND</t>
        </is>
      </c>
      <c r="F13197" t="inlineStr">
        <is>
          <t>Thái NguyênBắc GiangTuyên Quang</t>
        </is>
      </c>
      <c r="G13197" t="inlineStr">
        <is>
          <t>30-03-2026</t>
        </is>
      </c>
      <c r="H13197" t="inlineStr">
        <is>
          <t>30/03/2026</t>
        </is>
      </c>
      <c r="I13197" t="inlineStr">
        <is>
          <t>17/03/2026</t>
        </is>
      </c>
      <c r="J13197" t="inlineStr">
        <is>
          <t>Dịch vụ khách hàng, Bất động sản, Luật / Pháp lý</t>
        </is>
      </c>
      <c r="K13197" t="inlineStr">
        <is>
          <t>Trên 3 Năm</t>
        </is>
      </c>
      <c r="L13197" s="8">
        <f>HYPERLINK("https://careerviet.vn/vi/tim-viec-lam/chuyen-vien-thu-tuc-hop-dong.35C69900.html","Xem chi tiết")</f>
        <v/>
      </c>
    </row>
    <row r="13198">
      <c r="B13198" s="9" t="n">
        <v>13196</v>
      </c>
      <c r="C13198" s="10" t="inlineStr">
        <is>
          <t>Nhân Viên Kinh Doanh Quốc Tế (Lương cứng từ 9tr đến 12tr chưa bao gồm hoa hồng)</t>
        </is>
      </c>
      <c r="D13198" s="10" t="inlineStr">
        <is>
          <t>CÔNG TY CỔ PHẦN AUSAVINA</t>
        </is>
      </c>
      <c r="E13198" s="10" t="inlineStr">
        <is>
          <t>Lương:9 Tr - 12 Tr VND</t>
        </is>
      </c>
      <c r="F13198" s="10" t="inlineStr">
        <is>
          <t>Bình DươngHồ Chí MinhĐồng Nai</t>
        </is>
      </c>
      <c r="G13198" s="10" t="inlineStr">
        <is>
          <t>31-03-2026</t>
        </is>
      </c>
      <c r="H13198" s="10" t="inlineStr">
        <is>
          <t>31/03/2026</t>
        </is>
      </c>
      <c r="I13198" s="10" t="inlineStr">
        <is>
          <t>17/03/2026</t>
        </is>
      </c>
      <c r="J13198" s="10" t="inlineStr">
        <is>
          <t>Bán hàng / Kinh doanh, Xuất nhập khẩu, Tiếp thị / Marketing</t>
        </is>
      </c>
      <c r="K13198" s="10" t="inlineStr">
        <is>
          <t>N/A</t>
        </is>
      </c>
      <c r="L13198" s="11">
        <f>HYPERLINK("https://careerviet.vn/vi/tim-viec-lam/nhan-vien-kinh-doanh-quoc-te-luong-cung-tu-9tr-den-12tr-chua-bao-gom-hoa-hong.35C69BDD.html","Xem chi tiết")</f>
        <v/>
      </c>
      <c r="M13198" s="10" t="n"/>
    </row>
    <row r="13199">
      <c r="B13199" s="7" t="n">
        <v>13197</v>
      </c>
      <c r="C13199" t="inlineStr">
        <is>
          <t>Nhân Viên Kinh Doanh Ban Phát Triển Miền Trung - CN Bình Định</t>
        </is>
      </c>
      <c r="D13199" t="inlineStr">
        <is>
          <t>Cty TNHH Yakult Việt Nam</t>
        </is>
      </c>
      <c r="E13199" t="inlineStr">
        <is>
          <t>Lương:11 Tr - 15 Tr VND</t>
        </is>
      </c>
      <c r="F13199" t="inlineStr">
        <is>
          <t>Bình Định</t>
        </is>
      </c>
      <c r="G13199" t="inlineStr">
        <is>
          <t>25-03-2026</t>
        </is>
      </c>
      <c r="H13199" t="inlineStr">
        <is>
          <t>25/03/2026</t>
        </is>
      </c>
      <c r="I13199" t="inlineStr">
        <is>
          <t>17/03/2026</t>
        </is>
      </c>
      <c r="J13199" t="inlineStr">
        <is>
          <t>Bán lẻ / Bán sỉ, Bán hàng / Kinh doanh</t>
        </is>
      </c>
      <c r="K13199" t="inlineStr">
        <is>
          <t>N/A</t>
        </is>
      </c>
      <c r="L13199" s="8">
        <f>HYPERLINK("https://careerviet.vn/vi/tim-viec-lam/nhan-vien-kinh-doanh-ban-phat-trien-mien-trung-cn-binh-dinh.35C6974B.html","Xem chi tiết")</f>
        <v/>
      </c>
    </row>
    <row r="13200">
      <c r="B13200" s="9" t="n">
        <v>13198</v>
      </c>
      <c r="C13200" s="10" t="inlineStr">
        <is>
          <t>TRỢ LÝ KINH DOANH TIẾNG TRUNG</t>
        </is>
      </c>
      <c r="D13200" s="10" t="inlineStr">
        <is>
          <t>CÔNG TY TNHH BILLION VIETNAM HOLDING</t>
        </is>
      </c>
      <c r="E13200" s="10" t="inlineStr">
        <is>
          <t>Lương:12 Tr - 18 Tr VND</t>
        </is>
      </c>
      <c r="F13200" s="10" t="inlineStr">
        <is>
          <t>Hồ Chí Minh</t>
        </is>
      </c>
      <c r="G13200" s="10" t="inlineStr">
        <is>
          <t>31-03-2026</t>
        </is>
      </c>
      <c r="H13200" s="10" t="inlineStr">
        <is>
          <t>31/03/2026</t>
        </is>
      </c>
      <c r="I13200" s="10" t="inlineStr">
        <is>
          <t>17/03/2026</t>
        </is>
      </c>
      <c r="J13200" s="10" t="inlineStr">
        <is>
          <t>Bán hàng / Kinh doanh, Biên phiên dịch, Bán lẻ / Bán sỉ</t>
        </is>
      </c>
      <c r="K13200" s="10" t="inlineStr">
        <is>
          <t>2 - 5 Năm</t>
        </is>
      </c>
      <c r="L13200" s="11">
        <f>HYPERLINK("https://careerviet.vn/vi/tim-viec-lam/tro-ly-kinh-doanh-tieng-trung.35C69BC3.html","Xem chi tiết")</f>
        <v/>
      </c>
      <c r="M13200" s="10" t="n"/>
    </row>
    <row r="13201">
      <c r="B13201" s="7" t="n">
        <v>13199</v>
      </c>
      <c r="C13201" t="inlineStr">
        <is>
          <t>TRỢ LÝ TÀI CHÍNH KẾ TOÁN</t>
        </is>
      </c>
      <c r="D13201" t="inlineStr">
        <is>
          <t>CÔNG TY TNHH KEIKO VIỆT NAM</t>
        </is>
      </c>
      <c r="E13201" t="inlineStr">
        <is>
          <t>Lương:13 Tr - 15 Tr VND</t>
        </is>
      </c>
      <c r="F13201" t="inlineStr">
        <is>
          <t>Hà Nội</t>
        </is>
      </c>
      <c r="G13201" t="inlineStr">
        <is>
          <t>05-04-2026</t>
        </is>
      </c>
      <c r="H13201" t="inlineStr">
        <is>
          <t>05/04/2026</t>
        </is>
      </c>
      <c r="I13201" t="inlineStr">
        <is>
          <t>17/03/2026</t>
        </is>
      </c>
      <c r="J13201" t="inlineStr">
        <is>
          <t>Kế toán / Kiểm toán, Tài chính / Đầu tư, Hành chính / Thư ký</t>
        </is>
      </c>
      <c r="K13201" t="inlineStr">
        <is>
          <t>N/A</t>
        </is>
      </c>
      <c r="L13201" s="8">
        <f>HYPERLINK("https://careerviet.vn/vi/tim-viec-lam/tro-ly-tai-chinh-ke-toan.35C6B1A7.html","Xem chi tiết")</f>
        <v/>
      </c>
    </row>
    <row r="13202">
      <c r="B13202" s="9" t="n">
        <v>13200</v>
      </c>
      <c r="C13202" s="10" t="inlineStr">
        <is>
          <t>Nhân viên Marketing</t>
        </is>
      </c>
      <c r="D13202" s="10" t="inlineStr">
        <is>
          <t>CÔNG TY TNHH XÂY DỰNG KIẾN TRÚC TRÍ</t>
        </is>
      </c>
      <c r="E13202" s="10" t="inlineStr">
        <is>
          <t>Lương:15 Tr - 20 Tr VND</t>
        </is>
      </c>
      <c r="F13202" s="10" t="inlineStr">
        <is>
          <t>Hồ Chí Minh</t>
        </is>
      </c>
      <c r="G13202" s="10" t="inlineStr">
        <is>
          <t>10-04-2026</t>
        </is>
      </c>
      <c r="H13202" s="10" t="inlineStr">
        <is>
          <t>10/04/2026</t>
        </is>
      </c>
      <c r="I13202" s="10" t="inlineStr">
        <is>
          <t>17/03/2026</t>
        </is>
      </c>
      <c r="J13202" s="10" t="inlineStr">
        <is>
          <t>Tiếp thị / Marketing</t>
        </is>
      </c>
      <c r="K13202" s="10" t="inlineStr">
        <is>
          <t>3 - 5 Năm</t>
        </is>
      </c>
      <c r="L13202" s="11">
        <f>HYPERLINK("https://careerviet.vn/vi/tim-viec-lam/nhan-vien-marketing.35C6ADF5.html","Xem chi tiết")</f>
        <v/>
      </c>
      <c r="M13202" s="10" t="n"/>
    </row>
    <row r="13203">
      <c r="B13203" s="7" t="n">
        <v>13201</v>
      </c>
      <c r="C13203" t="inlineStr">
        <is>
          <t>NHÂN VIÊN QC</t>
        </is>
      </c>
      <c r="D13203" t="inlineStr">
        <is>
          <t>CÔNG TY TNHH INZI VINA</t>
        </is>
      </c>
      <c r="E13203" t="inlineStr">
        <is>
          <t>Lương:Cạnh tranh</t>
        </is>
      </c>
      <c r="F13203" t="inlineStr">
        <is>
          <t>Đồng Nai</t>
        </is>
      </c>
      <c r="G13203" t="inlineStr">
        <is>
          <t>31-05-2026</t>
        </is>
      </c>
      <c r="H13203" t="inlineStr">
        <is>
          <t>31/05/2026</t>
        </is>
      </c>
      <c r="I13203" t="inlineStr">
        <is>
          <t>17/03/2026</t>
        </is>
      </c>
      <c r="J13203" t="inlineStr">
        <is>
          <t>Cơ khí / Ô tô / Tự động hóa, Điện / Điện tử / Điện lạnh / Điện công nghiệp, Quản lý chất lượng (QA/QC)</t>
        </is>
      </c>
      <c r="K13203" t="inlineStr">
        <is>
          <t>1 - 5 Năm</t>
        </is>
      </c>
      <c r="L13203" s="8">
        <f>HYPERLINK("https://careerviet.vn/vi/tim-viec-lam/nhan-vien-qc.35C6B05C.html","Xem chi tiết")</f>
        <v/>
      </c>
    </row>
    <row r="13204">
      <c r="B13204" s="9" t="n">
        <v>13202</v>
      </c>
      <c r="C13204" s="10" t="inlineStr">
        <is>
          <t>Nhân viên Chăm Sóc Khách Hàng</t>
        </is>
      </c>
      <c r="D13204" s="10" t="inlineStr">
        <is>
          <t>CT CP Tập Đoàn Thái Tuấn</t>
        </is>
      </c>
      <c r="E13204" s="10" t="inlineStr">
        <is>
          <t>Lương:8 Tr - 10 Tr VND</t>
        </is>
      </c>
      <c r="F13204" s="10" t="inlineStr">
        <is>
          <t>Hồ Chí Minh</t>
        </is>
      </c>
      <c r="G13204" s="10" t="inlineStr">
        <is>
          <t>05-04-2026</t>
        </is>
      </c>
      <c r="H13204" s="10" t="inlineStr">
        <is>
          <t>05/04/2026</t>
        </is>
      </c>
      <c r="I13204" s="10" t="inlineStr">
        <is>
          <t>17/03/2026</t>
        </is>
      </c>
      <c r="J13204" s="10" t="inlineStr">
        <is>
          <t>Bán hàng / Kinh doanh, Tư vấn, Hành chính / Thư ký</t>
        </is>
      </c>
      <c r="K13204" s="10" t="inlineStr">
        <is>
          <t>1 - 2 Năm</t>
        </is>
      </c>
      <c r="L13204" s="11">
        <f>HYPERLINK("https://careerviet.vn/vi/tim-viec-lam/nhan-vien-cham-soc-khach-hang.35C6B102.html","Xem chi tiết")</f>
        <v/>
      </c>
      <c r="M13204" s="10" t="n"/>
    </row>
    <row r="13205">
      <c r="B13205" s="7" t="n">
        <v>13203</v>
      </c>
      <c r="C13205" t="inlineStr">
        <is>
          <t>Quality Manager</t>
        </is>
      </c>
      <c r="D13205" t="inlineStr">
        <is>
          <t>AkzoNobel Vietnam</t>
        </is>
      </c>
      <c r="E13205" t="inlineStr">
        <is>
          <t>Lương:Cạnh tranh</t>
        </is>
      </c>
      <c r="F13205" t="inlineStr">
        <is>
          <t>Đồng Nai</t>
        </is>
      </c>
      <c r="G13205" t="inlineStr">
        <is>
          <t>06-04-2026</t>
        </is>
      </c>
      <c r="H13205" t="inlineStr">
        <is>
          <t>06/04/2026</t>
        </is>
      </c>
      <c r="I13205" t="inlineStr">
        <is>
          <t>17/03/2026</t>
        </is>
      </c>
      <c r="J13205" t="inlineStr">
        <is>
          <t>Hóa học, Quản lý chất lượng (QA/QC), Sản xuất / Vận hành sản xuất</t>
        </is>
      </c>
      <c r="K13205" t="inlineStr">
        <is>
          <t>8 - 10 Năm</t>
        </is>
      </c>
      <c r="L13205" s="8">
        <f>HYPERLINK("https://careerviet.vn/vi/tim-viec-lam/quality-manager.35C6B077.html","Xem chi tiết")</f>
        <v/>
      </c>
    </row>
    <row r="13206">
      <c r="B13206" s="9" t="n">
        <v>13204</v>
      </c>
      <c r="C13206" s="10" t="inlineStr">
        <is>
          <t>Nhân viên Booking KOL/KOC</t>
        </is>
      </c>
      <c r="D13206" s="10" t="inlineStr">
        <is>
          <t>Công Ty Cổ Phần Tập Đoàn Thời Trang Việt Nam</t>
        </is>
      </c>
      <c r="E13206" s="10" t="inlineStr">
        <is>
          <t>Lương:12 Tr - 20 Tr VND</t>
        </is>
      </c>
      <c r="F13206" s="10" t="inlineStr">
        <is>
          <t>Hà Nội</t>
        </is>
      </c>
      <c r="G13206" s="10" t="inlineStr">
        <is>
          <t>04-04-2026</t>
        </is>
      </c>
      <c r="H13206" s="10" t="inlineStr">
        <is>
          <t>04/04/2026</t>
        </is>
      </c>
      <c r="I13206" s="10" t="inlineStr">
        <is>
          <t>17/03/2026</t>
        </is>
      </c>
      <c r="J13206" s="10" t="inlineStr">
        <is>
          <t>Tiếp thị / Marketing, Thương mại điện tử</t>
        </is>
      </c>
      <c r="K13206" s="10" t="inlineStr">
        <is>
          <t>1 - 2 Năm</t>
        </is>
      </c>
      <c r="L13206" s="11">
        <f>HYPERLINK("https://careerviet.vn/vi/tim-viec-lam/nhan-vien-booking-kol-koc.35C6B0A9.html","Xem chi tiết")</f>
        <v/>
      </c>
      <c r="M13206" s="10" t="n"/>
    </row>
    <row r="13207">
      <c r="B13207" s="7" t="n">
        <v>13205</v>
      </c>
      <c r="C13207" t="inlineStr">
        <is>
          <t>Nhân Viên Chăm Sóc Khách Hàng (Driver Chat)</t>
        </is>
      </c>
      <c r="D13207" t="inlineStr">
        <is>
          <t>Công Ty TNHH Việt Mỹ-SSU</t>
        </is>
      </c>
      <c r="E13207" t="inlineStr">
        <is>
          <t>Lương:8,5 Tr - 9,3 Tr VND</t>
        </is>
      </c>
      <c r="F13207" t="inlineStr">
        <is>
          <t>Hồ Chí Minh</t>
        </is>
      </c>
      <c r="G13207" t="inlineStr">
        <is>
          <t>04-04-2026</t>
        </is>
      </c>
      <c r="H13207" t="inlineStr">
        <is>
          <t>04/04/2026</t>
        </is>
      </c>
      <c r="I13207" t="inlineStr">
        <is>
          <t>17/03/2026</t>
        </is>
      </c>
      <c r="J13207" t="inlineStr">
        <is>
          <t>Thương mại điện tử, Tư vấn, Dịch vụ khách hàng</t>
        </is>
      </c>
      <c r="K13207" t="inlineStr">
        <is>
          <t>Lên đến 1 Năm</t>
        </is>
      </c>
      <c r="L13207" s="8">
        <f>HYPERLINK("https://careerviet.vn/vi/tim-viec-lam/nhan-vien-cham-soc-khach-hang-driver-chat.35C6AF6D.html","Xem chi tiết")</f>
        <v/>
      </c>
    </row>
    <row r="13208">
      <c r="B13208" s="9" t="n">
        <v>13206</v>
      </c>
      <c r="C13208" s="10" t="inlineStr">
        <is>
          <t>Chuyên viên lao động tiền lương</t>
        </is>
      </c>
      <c r="D13208" s="10" t="inlineStr">
        <is>
          <t>CÔNG TY CỔ PHẦN PHÁT TRIỂN VIỄN THÔNG VÀ TRUYỀN HÌNH VIỆT NAM</t>
        </is>
      </c>
      <c r="E13208" s="10" t="inlineStr">
        <is>
          <t>Lương:12 Tr - 15 Tr VND</t>
        </is>
      </c>
      <c r="F13208" s="10" t="inlineStr">
        <is>
          <t>Hà Nội</t>
        </is>
      </c>
      <c r="G13208" s="10" t="inlineStr">
        <is>
          <t>06-04-2026</t>
        </is>
      </c>
      <c r="H13208" s="10" t="inlineStr">
        <is>
          <t>06/04/2026</t>
        </is>
      </c>
      <c r="I13208" s="10" t="inlineStr">
        <is>
          <t>17/03/2026</t>
        </is>
      </c>
      <c r="J13208" s="10" t="inlineStr">
        <is>
          <t>Nhân sự, Hành chính / Thư ký, Kế toán / Kiểm toán</t>
        </is>
      </c>
      <c r="K13208" s="10" t="inlineStr">
        <is>
          <t>3 - 5 Năm</t>
        </is>
      </c>
      <c r="L13208" s="11">
        <f>HYPERLINK("https://careerviet.vn/vi/tim-viec-lam/chuyen-vien-lao-dong-tien-luong.35C6B007.html","Xem chi tiết")</f>
        <v/>
      </c>
      <c r="M13208" s="10" t="n"/>
    </row>
    <row r="13209">
      <c r="B13209" s="7" t="n">
        <v>13207</v>
      </c>
      <c r="C13209" t="inlineStr">
        <is>
          <t>[HO HN] Chuyên viên cao cấp vận hành thẻ và số (ATM/POS)</t>
        </is>
      </c>
      <c r="D13209" t="inlineStr">
        <is>
          <t>ABBANK - Ngân Hàng TMCP An Bình</t>
        </is>
      </c>
      <c r="E13209" t="inlineStr">
        <is>
          <t>Lương:20 Tr - 25 Tr VND</t>
        </is>
      </c>
      <c r="F13209" t="inlineStr">
        <is>
          <t>Hà Nội</t>
        </is>
      </c>
      <c r="G13209" t="inlineStr">
        <is>
          <t>05-04-2026</t>
        </is>
      </c>
      <c r="H13209" t="inlineStr">
        <is>
          <t>05/04/2026</t>
        </is>
      </c>
      <c r="I13209" t="inlineStr">
        <is>
          <t>17/03/2026</t>
        </is>
      </c>
      <c r="J13209" t="inlineStr">
        <is>
          <t>Ngân hàng, Tài chính / Đầu tư</t>
        </is>
      </c>
      <c r="K13209" t="inlineStr">
        <is>
          <t>3 - 5 Năm</t>
        </is>
      </c>
      <c r="L13209" s="8">
        <f>HYPERLINK("https://careerviet.vn/vi/tim-viec-lam/ho-hn-chuyen-vien-cao-cap-van-hanh-the-va-so-atm-pos.35C6B1B3.html","Xem chi tiết")</f>
        <v/>
      </c>
    </row>
    <row r="13210">
      <c r="B13210" s="9" t="n">
        <v>13208</v>
      </c>
      <c r="C13210" s="10" t="inlineStr">
        <is>
          <t>[ Đà Nẵng] Nhân Viên Thủ Quỹ</t>
        </is>
      </c>
      <c r="D13210" s="10" t="inlineStr">
        <is>
          <t>Công ty Cổ phần Dược Hậu Giang</t>
        </is>
      </c>
      <c r="E13210" s="10" t="inlineStr">
        <is>
          <t>Lương:8 Tr - 11 Tr VND</t>
        </is>
      </c>
      <c r="F13210" s="10" t="inlineStr">
        <is>
          <t>Đà Nẵng</t>
        </is>
      </c>
      <c r="G13210" s="10" t="inlineStr">
        <is>
          <t>31-03-2026</t>
        </is>
      </c>
      <c r="H13210" s="10" t="inlineStr">
        <is>
          <t>31/03/2026</t>
        </is>
      </c>
      <c r="I13210" s="10" t="inlineStr">
        <is>
          <t>17/03/2026</t>
        </is>
      </c>
      <c r="J13210" s="10" t="inlineStr">
        <is>
          <t>Kế toán / Kiểm toán, Dược phẩm/ Hóa Mỹ Phẩm</t>
        </is>
      </c>
      <c r="K13210" s="10" t="inlineStr">
        <is>
          <t>1 - 2 Năm</t>
        </is>
      </c>
      <c r="L13210" s="11">
        <f>HYPERLINK("https://careerviet.vn/vi/tim-viec-lam/da-nang-nhan-vien-thu-quy.35C6AF55.html","Xem chi tiết")</f>
        <v/>
      </c>
      <c r="M13210" s="10" t="n"/>
    </row>
    <row r="13211">
      <c r="B13211" s="7" t="n">
        <v>13209</v>
      </c>
      <c r="C13211" t="inlineStr">
        <is>
          <t>Tuyển Dụng Kỹ Sư Công Nghệ Môi Trường Làm Việc Tại Tp. HCM</t>
        </is>
      </c>
      <c r="D13211" t="inlineStr">
        <is>
          <t>CÔNG TY CỔ PHẦN XÂY DỰNG VÀ CÔNG NGHỆ MÔI TRƯỜNG HỢP NHẤT</t>
        </is>
      </c>
      <c r="E13211" t="inlineStr">
        <is>
          <t>Lương:13 Tr - 25 Tr VND</t>
        </is>
      </c>
      <c r="F13211" t="inlineStr">
        <is>
          <t>Hồ Chí Minh</t>
        </is>
      </c>
      <c r="G13211" t="inlineStr">
        <is>
          <t>31-03-2026</t>
        </is>
      </c>
      <c r="H13211" t="inlineStr">
        <is>
          <t>31/03/2026</t>
        </is>
      </c>
      <c r="I13211" t="inlineStr">
        <is>
          <t>17/03/2026</t>
        </is>
      </c>
      <c r="J13211" t="inlineStr">
        <is>
          <t>Môi trường, Xây dựng</t>
        </is>
      </c>
      <c r="K13211" t="inlineStr">
        <is>
          <t>1 - 10 Năm</t>
        </is>
      </c>
      <c r="L13211" s="8">
        <f>HYPERLINK("https://careerviet.vn/vi/tim-viec-lam/tuyen-dung-ky-su-cong-nghe-moi-truong-lam-viec-tai-tp-hcm.35C6AEF6.html","Xem chi tiết")</f>
        <v/>
      </c>
    </row>
    <row r="13212">
      <c r="B13212" s="9" t="n">
        <v>13210</v>
      </c>
      <c r="C13212" s="10" t="inlineStr">
        <is>
          <t>(Senior) Talent Acquisition Executive</t>
        </is>
      </c>
      <c r="D13212" s="10" t="inlineStr">
        <is>
          <t>Công ty TNHH GS25 Vietnam</t>
        </is>
      </c>
      <c r="E13212" s="10" t="inlineStr">
        <is>
          <t>Lương:Cạnh tranh</t>
        </is>
      </c>
      <c r="F13212" s="10" t="inlineStr">
        <is>
          <t>Hồ Chí Minh</t>
        </is>
      </c>
      <c r="G13212" s="10" t="inlineStr">
        <is>
          <t>30-04-2026</t>
        </is>
      </c>
      <c r="H13212" s="10" t="inlineStr">
        <is>
          <t>30/04/2026</t>
        </is>
      </c>
      <c r="I13212" s="10" t="inlineStr">
        <is>
          <t>17/03/2026</t>
        </is>
      </c>
      <c r="J13212" s="10" t="inlineStr">
        <is>
          <t>Bán lẻ / Bán sỉ, Nhân sự, Thực phẩm &amp; Đồ uống</t>
        </is>
      </c>
      <c r="K13212" s="10" t="inlineStr">
        <is>
          <t>3 - 5 Năm</t>
        </is>
      </c>
      <c r="L13212" s="11">
        <f>HYPERLINK("https://careerviet.vn/vi/tim-viec-lam/senior-talent-acquisition-executive.35C6B22F.html","Xem chi tiết")</f>
        <v/>
      </c>
      <c r="M13212" s="10" t="n"/>
    </row>
    <row r="13213">
      <c r="B13213" s="7" t="n">
        <v>13211</v>
      </c>
      <c r="C13213" t="inlineStr">
        <is>
          <t>CHUYÊN VIÊN QUẢN LÝ HOẠT ĐỘNG ĐÀO TẠO</t>
        </is>
      </c>
      <c r="D13213" t="inlineStr">
        <is>
          <t>CÔNG TY TNHH PHÁT TRIỂN ĐỒ UỐNG AN VIỆT SÔNG HỒNG</t>
        </is>
      </c>
      <c r="E13213" t="inlineStr">
        <is>
          <t>Lương:12 Tr - 20 Tr VND</t>
        </is>
      </c>
      <c r="F13213" t="inlineStr">
        <is>
          <t>Hà Nội</t>
        </is>
      </c>
      <c r="G13213" t="inlineStr">
        <is>
          <t>31-03-2026</t>
        </is>
      </c>
      <c r="H13213" t="inlineStr">
        <is>
          <t>31/03/2026</t>
        </is>
      </c>
      <c r="I13213" t="inlineStr">
        <is>
          <t>17/03/2026</t>
        </is>
      </c>
      <c r="J13213" t="inlineStr">
        <is>
          <t>Dịch vụ khách hàng, Bán hàng / Kinh doanh, Nhân sự</t>
        </is>
      </c>
      <c r="K13213" t="inlineStr">
        <is>
          <t>2 - 3 Năm</t>
        </is>
      </c>
      <c r="L13213" s="8">
        <f>HYPERLINK("https://careerviet.vn/vi/tim-viec-lam/chuyen-vien-quan-ly-hoat-dong-dao-tao.35C6B1E2.html","Xem chi tiết")</f>
        <v/>
      </c>
    </row>
    <row r="13214">
      <c r="B13214" s="9" t="n">
        <v>13212</v>
      </c>
      <c r="C13214" s="10" t="inlineStr">
        <is>
          <t>Nhân Viên Thu Nợ Trực Tiếp_Khu vực Bình Dương</t>
        </is>
      </c>
      <c r="D13214" s="10" t="inlineStr">
        <is>
          <t>Công Ty Tài Chính TNHH Một Thành Viên Quốc Tế Việt Nam JACCS</t>
        </is>
      </c>
      <c r="E13214" s="10" t="inlineStr">
        <is>
          <t>Lương:8 Tr - 10 Tr VND</t>
        </is>
      </c>
      <c r="F13214" s="10" t="inlineStr">
        <is>
          <t>Bình Dương</t>
        </is>
      </c>
      <c r="G13214" s="10" t="inlineStr">
        <is>
          <t>26-03-2026</t>
        </is>
      </c>
      <c r="H13214" s="10" t="inlineStr">
        <is>
          <t>26/03/2026</t>
        </is>
      </c>
      <c r="I13214" s="10" t="inlineStr">
        <is>
          <t>17/03/2026</t>
        </is>
      </c>
      <c r="J13214" s="10" t="inlineStr">
        <is>
          <t>Ngân hàng, Tài chính / Đầu tư, Luật / Pháp lý</t>
        </is>
      </c>
      <c r="K13214" s="10" t="inlineStr">
        <is>
          <t>N/A</t>
        </is>
      </c>
      <c r="L13214" s="11">
        <f>HYPERLINK("https://careerviet.vn/vi/tim-viec-lam/nhan-vien-thu-no-truc-tiep_khu-vuc-binh-duong.35C699A4.html","Xem chi tiết")</f>
        <v/>
      </c>
      <c r="M13214" s="10" t="n"/>
    </row>
    <row r="13215">
      <c r="B13215" s="7" t="n">
        <v>13213</v>
      </c>
      <c r="C13215" t="inlineStr">
        <is>
          <t>Nhân Viên Kho Vận (Khu vực Bình Dương)</t>
        </is>
      </c>
      <c r="D13215" t="inlineStr">
        <is>
          <t>NHÀ SÁCH TIẾN THỌ</t>
        </is>
      </c>
      <c r="E13215" t="inlineStr">
        <is>
          <t>Lương:7,5 Tr - 9 Tr VND</t>
        </is>
      </c>
      <c r="F13215" t="inlineStr">
        <is>
          <t>Bình Dương</t>
        </is>
      </c>
      <c r="G13215" t="inlineStr">
        <is>
          <t>31-03-2026</t>
        </is>
      </c>
      <c r="H13215" t="inlineStr">
        <is>
          <t>31/03/2026</t>
        </is>
      </c>
      <c r="I13215" t="inlineStr">
        <is>
          <t>17/03/2026</t>
        </is>
      </c>
      <c r="J13215" t="inlineStr">
        <is>
          <t>Bán lẻ / Bán sỉ</t>
        </is>
      </c>
      <c r="K13215" t="inlineStr">
        <is>
          <t>Chưa có kinh nghiệm</t>
        </is>
      </c>
      <c r="L13215" s="8">
        <f>HYPERLINK("https://careerviet.vn/vi/tim-viec-lam/nhan-vien-kho-van-khu-vuc-binh-duong.35C6B0F9.html","Xem chi tiết")</f>
        <v/>
      </c>
    </row>
    <row r="13216">
      <c r="B13216" s="9" t="n">
        <v>13214</v>
      </c>
      <c r="C13216" s="10" t="inlineStr">
        <is>
          <t>Thực tập sinh nhân sự</t>
        </is>
      </c>
      <c r="D13216" s="10" t="inlineStr">
        <is>
          <t>CÔNG TY TNHH DỆT LIÊN CHÂU</t>
        </is>
      </c>
      <c r="E13216" s="10" t="inlineStr">
        <is>
          <t>Lương:2 Tr - 3 Tr VND</t>
        </is>
      </c>
      <c r="F13216" s="10" t="inlineStr">
        <is>
          <t>Bình Dương</t>
        </is>
      </c>
      <c r="G13216" s="10" t="inlineStr">
        <is>
          <t>11-03-2026</t>
        </is>
      </c>
      <c r="H13216" s="10" t="inlineStr">
        <is>
          <t>15/03/2026</t>
        </is>
      </c>
      <c r="I13216" s="10" t="inlineStr">
        <is>
          <t>17/03/2026</t>
        </is>
      </c>
      <c r="J13216" s="10" t="inlineStr">
        <is>
          <t>Nhân sự</t>
        </is>
      </c>
      <c r="K13216" s="10" t="inlineStr">
        <is>
          <t>N/A</t>
        </is>
      </c>
      <c r="L13216" s="11">
        <f>HYPERLINK("https://careerviet.vn/vi/tim-viec-lam/thuc-tap-sinh-nhan-su.35C69AED.html","Xem chi tiết")</f>
        <v/>
      </c>
      <c r="M13216" s="10" t="n"/>
    </row>
    <row r="13217">
      <c r="B13217" s="7" t="n">
        <v>13215</v>
      </c>
      <c r="C13217" t="inlineStr">
        <is>
          <t>Thư ký dự án</t>
        </is>
      </c>
      <c r="D13217" t="inlineStr">
        <is>
          <t>Công ty TNHH Bình Việt Đức (BIVID)</t>
        </is>
      </c>
      <c r="E13217" t="inlineStr">
        <is>
          <t>Lương:12 Tr - 18 Tr VND</t>
        </is>
      </c>
      <c r="F13217" t="inlineStr">
        <is>
          <t>Hồ Chí Minh</t>
        </is>
      </c>
      <c r="G13217" t="inlineStr">
        <is>
          <t>15-04-2026</t>
        </is>
      </c>
      <c r="H13217" t="inlineStr">
        <is>
          <t>15/04/2026</t>
        </is>
      </c>
      <c r="I13217" t="inlineStr">
        <is>
          <t>17/03/2026</t>
        </is>
      </c>
      <c r="J13217" t="inlineStr">
        <is>
          <t>Hành chính / Thư ký, Dược phẩm/ Hóa Mỹ Phẩm, Xây dựng</t>
        </is>
      </c>
      <c r="K13217" t="inlineStr">
        <is>
          <t>2 - 3 Năm</t>
        </is>
      </c>
      <c r="L13217" s="8">
        <f>HYPERLINK("https://careerviet.vn/vi/tim-viec-lam/thu-ky-du-an.35C6AFF2.html","Xem chi tiết")</f>
        <v/>
      </c>
    </row>
    <row r="13218">
      <c r="B13218" s="9" t="n">
        <v>13216</v>
      </c>
      <c r="C13218" s="10" t="inlineStr">
        <is>
          <t>Giám Sát Thi Công PCCC  tại Bắc Ninh - Hưng Yên (Không yêu cầu kinh nghiệm)</t>
        </is>
      </c>
      <c r="D13218" s="10" t="inlineStr">
        <is>
          <t>Công ty TNHH Cơ Điện Lạnh EEP Việt Nam</t>
        </is>
      </c>
      <c r="E13218" s="10" t="inlineStr">
        <is>
          <t>Lương:15 Tr - 20 Tr VND</t>
        </is>
      </c>
      <c r="F13218" s="10" t="inlineStr">
        <is>
          <t>Hà NộiHưng YênBắc Ninh</t>
        </is>
      </c>
      <c r="G13218" s="10" t="inlineStr">
        <is>
          <t>31-03-2026</t>
        </is>
      </c>
      <c r="H13218" s="10" t="inlineStr">
        <is>
          <t>31/03/2026</t>
        </is>
      </c>
      <c r="I13218" s="10" t="inlineStr">
        <is>
          <t>17/03/2026</t>
        </is>
      </c>
      <c r="J13218" s="10" t="inlineStr">
        <is>
          <t>Điện / Điện tử / Điện lạnh / Điện công nghiệp, Xây dựng, Cơ khí / Ô tô / Tự động hóa</t>
        </is>
      </c>
      <c r="K13218" s="10" t="inlineStr">
        <is>
          <t>N/A</t>
        </is>
      </c>
      <c r="L13218" s="11">
        <f>HYPERLINK("https://careerviet.vn/vi/tim-viec-lam/giam-sat-thi-cong-pccc-tai-bac-ninh-hung-yen-khong-yeu-cau-kinh-nghiem.35C6B276.html","Xem chi tiết")</f>
        <v/>
      </c>
      <c r="M13218" s="10" t="n"/>
    </row>
    <row r="13219">
      <c r="B13219" s="7" t="n">
        <v>13217</v>
      </c>
      <c r="C13219" t="inlineStr">
        <is>
          <t>Trưởng Nhóm Tuyển Sinh (Ocean Edu Hải Dương)</t>
        </is>
      </c>
      <c r="D13219" t="inlineStr">
        <is>
          <t>Công Ty CP Giáo Dục Đại Dương</t>
        </is>
      </c>
      <c r="E13219" t="inlineStr">
        <is>
          <t>Lương:Cạnh tranh</t>
        </is>
      </c>
      <c r="F13219" t="inlineStr">
        <is>
          <t>Hải Dương</t>
        </is>
      </c>
      <c r="G13219" t="inlineStr">
        <is>
          <t>04-04-2026</t>
        </is>
      </c>
      <c r="H13219" t="inlineStr">
        <is>
          <t>04/04/2026</t>
        </is>
      </c>
      <c r="I13219" t="inlineStr">
        <is>
          <t>17/03/2026</t>
        </is>
      </c>
      <c r="J13219" t="inlineStr">
        <is>
          <t>Tư vấn, Dịch vụ khách hàng, Giáo dục / Đào tạo</t>
        </is>
      </c>
      <c r="K13219" t="inlineStr">
        <is>
          <t>1 - 2 Năm</t>
        </is>
      </c>
      <c r="L13219" s="8">
        <f>HYPERLINK("https://careerviet.vn/vi/tim-viec-lam/truong-nhom-tuyen-sinh-ocean-edu-hai-duong.35C6B13B.html","Xem chi tiết")</f>
        <v/>
      </c>
    </row>
    <row r="13220">
      <c r="B13220" s="9" t="n">
        <v>13218</v>
      </c>
      <c r="C13220" s="10" t="inlineStr">
        <is>
          <t>Chief Customer Officer (CCO)</t>
        </is>
      </c>
      <c r="D13220" s="10" t="inlineStr">
        <is>
          <t>CÔNG TY CỔ PHẦN TẬP ĐOÀN ĐẦU TƯ I.P.A</t>
        </is>
      </c>
      <c r="E13220" s="10" t="inlineStr">
        <is>
          <t>Lương:Cạnh tranh</t>
        </is>
      </c>
      <c r="F13220" s="10" t="inlineStr">
        <is>
          <t>Hà Nội</t>
        </is>
      </c>
      <c r="G13220" s="10" t="inlineStr">
        <is>
          <t>30-04-2026</t>
        </is>
      </c>
      <c r="H13220" s="10" t="inlineStr">
        <is>
          <t>30/04/2026</t>
        </is>
      </c>
      <c r="I13220" s="10" t="inlineStr">
        <is>
          <t>17/03/2026</t>
        </is>
      </c>
      <c r="J13220" s="10" t="inlineStr">
        <is>
          <t>Tài chính / Đầu tư, Bảo hiểm, Dịch vụ khách hàng</t>
        </is>
      </c>
      <c r="K13220" s="10" t="inlineStr">
        <is>
          <t>Trên 10 Năm</t>
        </is>
      </c>
      <c r="L13220" s="11">
        <f>HYPERLINK("https://careerviet.vn/vi/tim-viec-lam/chief-customer-officer-cco.35C6B271.html","Xem chi tiết")</f>
        <v/>
      </c>
      <c r="M13220" s="10" t="n"/>
    </row>
    <row r="13221">
      <c r="B13221" s="7" t="n">
        <v>13219</v>
      </c>
      <c r="C13221" t="inlineStr">
        <is>
          <t>[Hà Nội]Nhân viên kế toán bán hàng</t>
        </is>
      </c>
      <c r="D13221" t="inlineStr">
        <is>
          <t>Tập Đoàn Tân Á Đại Thành</t>
        </is>
      </c>
      <c r="E13221" t="inlineStr">
        <is>
          <t>Lương:10 Tr - 11 Tr VND</t>
        </is>
      </c>
      <c r="F13221" t="inlineStr">
        <is>
          <t>Hà Nội</t>
        </is>
      </c>
      <c r="G13221" t="inlineStr">
        <is>
          <t>31-03-2026</t>
        </is>
      </c>
      <c r="H13221" t="inlineStr">
        <is>
          <t>31/03/2026</t>
        </is>
      </c>
      <c r="I13221" t="inlineStr">
        <is>
          <t>17/03/2026</t>
        </is>
      </c>
      <c r="J13221" t="inlineStr">
        <is>
          <t>Kế toán / Kiểm toán</t>
        </is>
      </c>
      <c r="K13221" t="inlineStr">
        <is>
          <t>1 - 2 Năm</t>
        </is>
      </c>
      <c r="L13221" s="8">
        <f>HYPERLINK("https://careerviet.vn/vi/tim-viec-lam/ha-noi-nhan-vien-ke-toan-ban-hang.35C6AFFB.html","Xem chi tiết")</f>
        <v/>
      </c>
    </row>
    <row r="13222">
      <c r="B13222" s="9" t="n">
        <v>13220</v>
      </c>
      <c r="C13222" s="10" t="inlineStr">
        <is>
          <t>Nhân Viên Giao Nhận</t>
        </is>
      </c>
      <c r="D13222" s="10" t="inlineStr">
        <is>
          <t>CÔNG TY CỔ PHẦN PHÁT TRIỂN INNOVATION TECHNOLOGY</t>
        </is>
      </c>
      <c r="E13222" s="10" t="inlineStr">
        <is>
          <t>Lương:Trên 10 Tr VND</t>
        </is>
      </c>
      <c r="F13222" s="10" t="inlineStr">
        <is>
          <t>Hồ Chí Minh</t>
        </is>
      </c>
      <c r="G13222" s="10" t="inlineStr">
        <is>
          <t>31-03-2026</t>
        </is>
      </c>
      <c r="H13222" s="10" t="inlineStr">
        <is>
          <t>31/03/2026</t>
        </is>
      </c>
      <c r="I13222" s="10" t="inlineStr">
        <is>
          <t>17/03/2026</t>
        </is>
      </c>
      <c r="J13222" s="10" t="inlineStr">
        <is>
          <t>Vận chuyển / Giao nhận / Kho vận, Lao động phổ thông</t>
        </is>
      </c>
      <c r="K13222" s="10" t="inlineStr">
        <is>
          <t>Chưa có kinh nghiệm</t>
        </is>
      </c>
      <c r="L13222" s="11">
        <f>HYPERLINK("https://careerviet.vn/vi/tim-viec-lam/nhan-vien-giao-nhan.35C6AF94.html","Xem chi tiết")</f>
        <v/>
      </c>
      <c r="M13222" s="10" t="n"/>
    </row>
    <row r="13223">
      <c r="B13223" s="7" t="n">
        <v>13221</v>
      </c>
      <c r="C13223" t="inlineStr">
        <is>
          <t>Nhân Viên Sales Admin - Ocean Edu Móng Cái - Thu Nhập Từ 15 Triệu/Đi Làm Ngay</t>
        </is>
      </c>
      <c r="D13223" t="inlineStr">
        <is>
          <t>Công Ty CP Giáo Dục Đại Dương</t>
        </is>
      </c>
      <c r="E13223" t="inlineStr">
        <is>
          <t>Lương:Cạnh tranh</t>
        </is>
      </c>
      <c r="F13223" t="inlineStr">
        <is>
          <t>Quảng Ninh</t>
        </is>
      </c>
      <c r="G13223" t="inlineStr">
        <is>
          <t>04-04-2026</t>
        </is>
      </c>
      <c r="H13223" t="inlineStr">
        <is>
          <t>04/04/2026</t>
        </is>
      </c>
      <c r="I13223" t="inlineStr">
        <is>
          <t>17/03/2026</t>
        </is>
      </c>
      <c r="J13223" t="inlineStr">
        <is>
          <t>Kế toán / Kiểm toán, Giáo dục / Đào tạo</t>
        </is>
      </c>
      <c r="K13223" t="inlineStr">
        <is>
          <t>1 - 2 Năm</t>
        </is>
      </c>
      <c r="L13223" s="8">
        <f>HYPERLINK("https://careerviet.vn/vi/tim-viec-lam/nhan-vien-sales-admin-ocean-edu-mong-cai-thu-nhap-tu-15-trieu-di-lam-ngay.35C6B1BD.html","Xem chi tiết")</f>
        <v/>
      </c>
    </row>
    <row r="13224">
      <c r="B13224" s="9" t="n">
        <v>13222</v>
      </c>
      <c r="C13224" s="10" t="inlineStr">
        <is>
          <t>Chuyên Viên Tư Vấn Giáo Dục - Ocean Edu Phủ Lý  - Thu Nhập Từ 15Triệu/Tháng - Phỏng Vấn Đi Làm Ngay</t>
        </is>
      </c>
      <c r="D13224" s="10" t="inlineStr">
        <is>
          <t>Công Ty CP Giáo Dục Đại Dương</t>
        </is>
      </c>
      <c r="E13224" s="10" t="inlineStr">
        <is>
          <t>Lương:Cạnh tranh</t>
        </is>
      </c>
      <c r="F13224" s="10" t="inlineStr">
        <is>
          <t>Hà Nam</t>
        </is>
      </c>
      <c r="G13224" s="10" t="inlineStr">
        <is>
          <t>04-04-2026</t>
        </is>
      </c>
      <c r="H13224" s="10" t="inlineStr">
        <is>
          <t>04/04/2026</t>
        </is>
      </c>
      <c r="I13224" s="10" t="inlineStr">
        <is>
          <t>17/03/2026</t>
        </is>
      </c>
      <c r="J13224" s="10" t="inlineStr">
        <is>
          <t>Dịch vụ khách hàng, Giáo dục / Đào tạo, Bán hàng / Kinh doanh</t>
        </is>
      </c>
      <c r="K13224" s="10" t="inlineStr">
        <is>
          <t>Chưa có kinh nghiệm</t>
        </is>
      </c>
      <c r="L13224" s="11">
        <f>HYPERLINK("https://careerviet.vn/vi/tim-viec-lam/chuyen-vien-tu-van-giao-duc-ocean-edu-phu-ly-thu-nhap-tu-15trieu-thang-phong-van-di-lam-ngay.35C6AF03.html","Xem chi tiết")</f>
        <v/>
      </c>
      <c r="M13224" s="10" t="n"/>
    </row>
    <row r="13225">
      <c r="B13225" s="7" t="n">
        <v>13223</v>
      </c>
      <c r="C13225" t="inlineStr">
        <is>
          <t>Nhân Viên Kế Toán – Nhận Việc Ngay</t>
        </is>
      </c>
      <c r="D13225" t="inlineStr">
        <is>
          <t>CÔNG TY TNHH HI-MEC VIỆT NAM</t>
        </is>
      </c>
      <c r="E13225" t="inlineStr">
        <is>
          <t>Lương:13 Tr - 15 Tr VND</t>
        </is>
      </c>
      <c r="F13225" t="inlineStr">
        <is>
          <t>Hồ Chí Minh</t>
        </is>
      </c>
      <c r="G13225" t="inlineStr">
        <is>
          <t>05-04-2026</t>
        </is>
      </c>
      <c r="H13225" t="inlineStr">
        <is>
          <t>05/04/2026</t>
        </is>
      </c>
      <c r="I13225" t="inlineStr">
        <is>
          <t>17/03/2026</t>
        </is>
      </c>
      <c r="J13225" t="inlineStr">
        <is>
          <t>Kế toán / Kiểm toán, Sản xuất / Vận hành sản xuất, Tài chính / Đầu tư</t>
        </is>
      </c>
      <c r="K13225" t="inlineStr">
        <is>
          <t>3 - 5 Năm</t>
        </is>
      </c>
      <c r="L13225" s="8">
        <f>HYPERLINK("https://careerviet.vn/vi/tim-viec-lam/nhan-vien-ke-toan-nhan-viec-ngay.35C6B163.html","Xem chi tiết")</f>
        <v/>
      </c>
    </row>
    <row r="13226">
      <c r="B13226" s="9" t="n">
        <v>13224</v>
      </c>
      <c r="C13226" s="10" t="inlineStr">
        <is>
          <t>[NHA TRANG] BẾP TRƯỞNG / BẾP PHÓ</t>
        </is>
      </c>
      <c r="D13226" s="10" t="inlineStr">
        <is>
          <t>Công Ty Cổ Phần Tầm Nhìn Quốc Tế Aladdin</t>
        </is>
      </c>
      <c r="E13226" s="10" t="inlineStr">
        <is>
          <t>Lương:12 Tr - 20 Tr VND</t>
        </is>
      </c>
      <c r="F13226" s="10" t="inlineStr">
        <is>
          <t>Khánh Hòa</t>
        </is>
      </c>
      <c r="G13226" s="10" t="inlineStr">
        <is>
          <t>05-04-2026</t>
        </is>
      </c>
      <c r="H13226" s="10" t="inlineStr">
        <is>
          <t>05/04/2026</t>
        </is>
      </c>
      <c r="I13226" s="10" t="inlineStr">
        <is>
          <t>17/03/2026</t>
        </is>
      </c>
      <c r="J13226" s="10" t="inlineStr">
        <is>
          <t>Thực phẩm &amp; Đồ uống, Nhà hàng / Khách sạn, Quản lý điều hành</t>
        </is>
      </c>
      <c r="K13226" s="10" t="inlineStr">
        <is>
          <t>Trên 2 Năm</t>
        </is>
      </c>
      <c r="L13226" s="11">
        <f>HYPERLINK("https://careerviet.vn/vi/tim-viec-lam/nha-trang-bep-truong-bep-pho.35C6B0B8.html","Xem chi tiết")</f>
        <v/>
      </c>
      <c r="M13226" s="10" t="n"/>
    </row>
    <row r="13227">
      <c r="B13227" s="7" t="n">
        <v>13225</v>
      </c>
      <c r="C13227" t="inlineStr">
        <is>
          <t>NV Kinh doanh - Lương + Thưởng DS + Hoa hồng - Làm tại Hà Nội</t>
        </is>
      </c>
      <c r="D13227" t="inlineStr">
        <is>
          <t>Công Ty Cổ Phần Công Nghệ Mạng Viễn Thông C-LINK</t>
        </is>
      </c>
      <c r="E13227" t="inlineStr">
        <is>
          <t>Lương:10 Tr - 25 Tr VND</t>
        </is>
      </c>
      <c r="F13227" t="inlineStr">
        <is>
          <t>Hà Nội</t>
        </is>
      </c>
      <c r="G13227" t="inlineStr">
        <is>
          <t>31-03-2026</t>
        </is>
      </c>
      <c r="H13227" t="inlineStr">
        <is>
          <t>31/03/2026</t>
        </is>
      </c>
      <c r="I13227" t="inlineStr">
        <is>
          <t>17/03/2026</t>
        </is>
      </c>
      <c r="J13227" t="inlineStr">
        <is>
          <t>Tiếp thị / Marketing, Bán hàng / Kinh doanh, Bưu chính viễn thông</t>
        </is>
      </c>
      <c r="K13227" t="inlineStr">
        <is>
          <t>1 - 5 Năm</t>
        </is>
      </c>
      <c r="L13227" s="8">
        <f>HYPERLINK("https://careerviet.vn/vi/tim-viec-lam/nv-kinh-doanh-luong-thuong-ds-hoa-hong-lam-tai-ha-noi.35C6B0D3.html","Xem chi tiết")</f>
        <v/>
      </c>
    </row>
    <row r="13228">
      <c r="B13228" s="9" t="n">
        <v>13226</v>
      </c>
      <c r="C13228" s="10" t="inlineStr">
        <is>
          <t>Nhân viên kế toán công nợ phải trả</t>
        </is>
      </c>
      <c r="D13228" s="10" t="inlineStr">
        <is>
          <t>Tập Đoàn Tân Á Đại Thành</t>
        </is>
      </c>
      <c r="E13228" s="10" t="inlineStr">
        <is>
          <t>Lương:10 Tr - 11 Tr VND</t>
        </is>
      </c>
      <c r="F13228" s="10" t="inlineStr">
        <is>
          <t>Hà Nội</t>
        </is>
      </c>
      <c r="G13228" s="10" t="inlineStr">
        <is>
          <t>07-04-2026</t>
        </is>
      </c>
      <c r="H13228" s="10" t="inlineStr">
        <is>
          <t>07/04/2026</t>
        </is>
      </c>
      <c r="I13228" s="10" t="inlineStr">
        <is>
          <t>17/03/2026</t>
        </is>
      </c>
      <c r="J13228" s="10" t="inlineStr">
        <is>
          <t>Kế toán / Kiểm toán</t>
        </is>
      </c>
      <c r="K13228" s="10" t="inlineStr">
        <is>
          <t>1 - 2 Năm</t>
        </is>
      </c>
      <c r="L13228" s="11">
        <f>HYPERLINK("https://careerviet.vn/vi/tim-viec-lam/nhan-vien-ke-toan-cong-no-phai-tra.35C6B264.html","Xem chi tiết")</f>
        <v/>
      </c>
      <c r="M13228" s="10" t="n"/>
    </row>
    <row r="13229">
      <c r="B13229" s="7" t="n">
        <v>13227</v>
      </c>
      <c r="C13229" t="inlineStr">
        <is>
          <t>Nhân Viên Kế toán Quỹ (Fund Admin)</t>
        </is>
      </c>
      <c r="D13229" t="inlineStr">
        <is>
          <t>CÔNG TY CỔ PHẦN TẬP ĐOÀN ĐẦU TƯ I.P.A</t>
        </is>
      </c>
      <c r="E13229" t="inlineStr">
        <is>
          <t>Lương:Cạnh tranh</t>
        </is>
      </c>
      <c r="F13229" t="inlineStr">
        <is>
          <t>Hà Nội</t>
        </is>
      </c>
      <c r="G13229" t="inlineStr">
        <is>
          <t>30-04-2026</t>
        </is>
      </c>
      <c r="H13229" t="inlineStr">
        <is>
          <t>30/04/2026</t>
        </is>
      </c>
      <c r="I13229" t="inlineStr">
        <is>
          <t>17/03/2026</t>
        </is>
      </c>
      <c r="J13229" t="inlineStr">
        <is>
          <t>Kế toán / Kiểm toán, Tài chính / Đầu tư, Chứng khoán</t>
        </is>
      </c>
      <c r="K13229" t="inlineStr">
        <is>
          <t>Trên 2 Năm</t>
        </is>
      </c>
      <c r="L13229" s="8">
        <f>HYPERLINK("https://careerviet.vn/vi/tim-viec-lam/nhan-vien-ke-toan-quy-fund-admin.35C6B26F.html","Xem chi tiết")</f>
        <v/>
      </c>
    </row>
    <row r="13230">
      <c r="B13230" s="9" t="n">
        <v>13228</v>
      </c>
      <c r="C13230" s="10" t="inlineStr">
        <is>
          <t>Customer Service (Inspection Services)</t>
        </is>
      </c>
      <c r="D13230" s="10" t="inlineStr">
        <is>
          <t>Cty SGS Việt Nam TNHH</t>
        </is>
      </c>
      <c r="E13230" s="10" t="inlineStr">
        <is>
          <t>Lương:9 Tr - 11 Tr VND</t>
        </is>
      </c>
      <c r="F13230" s="10" t="inlineStr">
        <is>
          <t>Hồ Chí Minh</t>
        </is>
      </c>
      <c r="G13230" s="10" t="inlineStr">
        <is>
          <t>05-04-2026</t>
        </is>
      </c>
      <c r="H13230" s="10" t="inlineStr">
        <is>
          <t>05/04/2026</t>
        </is>
      </c>
      <c r="I13230" s="10" t="inlineStr">
        <is>
          <t>17/03/2026</t>
        </is>
      </c>
      <c r="J13230" s="10" t="inlineStr">
        <is>
          <t>Bán Hàng Kỹ Thuật, Tư vấn, Dịch vụ khách hàng</t>
        </is>
      </c>
      <c r="K13230" s="10" t="inlineStr">
        <is>
          <t>Chưa có kinh nghiệm</t>
        </is>
      </c>
      <c r="L13230" s="11">
        <f>HYPERLINK("https://careerviet.vn/vi/tim-viec-lam/customer-service-inspection-services.35C6B1DD.html","Xem chi tiết")</f>
        <v/>
      </c>
      <c r="M13230" s="10" t="n"/>
    </row>
    <row r="13231">
      <c r="B13231" s="7" t="n">
        <v>13229</v>
      </c>
      <c r="C13231" t="inlineStr">
        <is>
          <t>Điều Dưỡng Viên Khoa Nhi</t>
        </is>
      </c>
      <c r="D13231" t="inlineStr">
        <is>
          <t>Công ty cổ phần phát triển công nghệ Y học Việt Nam - Nhật Bản</t>
        </is>
      </c>
      <c r="E13231" t="inlineStr">
        <is>
          <t>Lương:Cạnh tranh</t>
        </is>
      </c>
      <c r="F13231" t="inlineStr">
        <is>
          <t>Hà Nội</t>
        </is>
      </c>
      <c r="G13231" t="inlineStr">
        <is>
          <t>30-04-2026</t>
        </is>
      </c>
      <c r="H13231" t="inlineStr">
        <is>
          <t>30/04/2026</t>
        </is>
      </c>
      <c r="I13231" t="inlineStr">
        <is>
          <t>17/03/2026</t>
        </is>
      </c>
      <c r="J13231" t="inlineStr">
        <is>
          <t>Y tế / Chăm sóc sức khỏe / Thẩm mỹ / Làm đẹp</t>
        </is>
      </c>
      <c r="K13231" t="inlineStr">
        <is>
          <t>1 - 3 Năm</t>
        </is>
      </c>
      <c r="L13231" s="8">
        <f>HYPERLINK("https://careerviet.vn/vi/tim-viec-lam/dieu-duong-vien-khoa-nhi.35C6B01F.html","Xem chi tiết")</f>
        <v/>
      </c>
    </row>
    <row r="13232">
      <c r="B13232" s="9" t="n">
        <v>13230</v>
      </c>
      <c r="C13232" s="10" t="inlineStr">
        <is>
          <t>NHÂN VIÊN LOGISTICS</t>
        </is>
      </c>
      <c r="D13232" s="10" t="inlineStr">
        <is>
          <t>Công ty Cổ phần Mạc Tích (MARTECH)</t>
        </is>
      </c>
      <c r="E13232" s="10" t="inlineStr">
        <is>
          <t>Lương:Cạnh tranh</t>
        </is>
      </c>
      <c r="F13232" s="10" t="inlineStr">
        <is>
          <t>Hồ Chí Minh</t>
        </is>
      </c>
      <c r="G13232" s="10" t="inlineStr">
        <is>
          <t>15-04-2026</t>
        </is>
      </c>
      <c r="H13232" s="10" t="inlineStr">
        <is>
          <t>15/04/2026</t>
        </is>
      </c>
      <c r="I13232" s="10" t="inlineStr">
        <is>
          <t>17/03/2026</t>
        </is>
      </c>
      <c r="J13232" s="10" t="inlineStr">
        <is>
          <t>Vận chuyển / Giao nhận / Kho vận, Thu mua / Vật tư, Mới tốt nghiệp / Thực tập</t>
        </is>
      </c>
      <c r="K13232" s="10" t="inlineStr">
        <is>
          <t>N/A</t>
        </is>
      </c>
      <c r="L13232" s="11">
        <f>HYPERLINK("https://careerviet.vn/vi/tim-viec-lam/nhan-vien-logistics.35C6B116.html","Xem chi tiết")</f>
        <v/>
      </c>
      <c r="M13232" s="10" t="n"/>
    </row>
    <row r="13233">
      <c r="B13233" s="7" t="n">
        <v>13231</v>
      </c>
      <c r="C13233" t="inlineStr">
        <is>
          <t>Kỹ sư tổng hợp thuốc phóng xạ (QA/QC)</t>
        </is>
      </c>
      <c r="D13233" t="inlineStr">
        <is>
          <t>BỆNH VIỆN ĐA KHOA PHƯƠNG ĐÔNG</t>
        </is>
      </c>
      <c r="E13233" t="inlineStr">
        <is>
          <t>Lương:Cạnh tranh</t>
        </is>
      </c>
      <c r="F13233" t="inlineStr">
        <is>
          <t>Hà Nội</t>
        </is>
      </c>
      <c r="G13233" t="inlineStr">
        <is>
          <t>31-03-2026</t>
        </is>
      </c>
      <c r="H13233" t="inlineStr">
        <is>
          <t>31/03/2026</t>
        </is>
      </c>
      <c r="I13233" t="inlineStr">
        <is>
          <t>17/03/2026</t>
        </is>
      </c>
      <c r="J13233" t="inlineStr">
        <is>
          <t>Y tế / Chăm sóc sức khỏe / Thẩm mỹ / Làm đẹp</t>
        </is>
      </c>
      <c r="K13233" t="inlineStr">
        <is>
          <t>Chưa có kinh nghiệm</t>
        </is>
      </c>
      <c r="L13233" s="8">
        <f>HYPERLINK("https://careerviet.vn/vi/tim-viec-lam/ky-su-tong-hop-thuoc-phong-xa-qa-qc.35C6B1D4.html","Xem chi tiết")</f>
        <v/>
      </c>
    </row>
    <row r="13234">
      <c r="B13234" s="9" t="n">
        <v>13232</v>
      </c>
      <c r="C13234" s="10" t="inlineStr">
        <is>
          <t>Trưởng phòng kỹ thuật</t>
        </is>
      </c>
      <c r="D13234" s="10" t="inlineStr">
        <is>
          <t>CÔNG TY CỔ PHẦN KỸ THUẬT NHIỆT MÈO ĐEN</t>
        </is>
      </c>
      <c r="E13234" s="10" t="inlineStr">
        <is>
          <t>Lương:Cạnh tranh</t>
        </is>
      </c>
      <c r="F13234" s="10" t="inlineStr">
        <is>
          <t>Bà Rịa - Vũng Tàu</t>
        </is>
      </c>
      <c r="G13234" s="10" t="inlineStr">
        <is>
          <t>31-03-2026</t>
        </is>
      </c>
      <c r="H13234" s="10" t="inlineStr">
        <is>
          <t>31/03/2026</t>
        </is>
      </c>
      <c r="I13234" s="10" t="inlineStr">
        <is>
          <t>17/03/2026</t>
        </is>
      </c>
      <c r="J13234" s="10" t="inlineStr">
        <is>
          <t>Cơ khí / Ô tô / Tự động hóa, Dầu khí, Bảo trì / Sửa chữa</t>
        </is>
      </c>
      <c r="K13234" s="10" t="inlineStr">
        <is>
          <t>Trên 5 Năm</t>
        </is>
      </c>
      <c r="L13234" s="11">
        <f>HYPERLINK("https://careerviet.vn/vi/tim-viec-lam/truong-phong-ky-thuat.35C6B1FA.html","Xem chi tiết")</f>
        <v/>
      </c>
      <c r="M13234" s="10" t="n"/>
    </row>
    <row r="13235">
      <c r="B13235" s="7" t="n">
        <v>13233</v>
      </c>
      <c r="C13235" t="inlineStr">
        <is>
          <t>Senior Marketing</t>
        </is>
      </c>
      <c r="D13235" t="inlineStr">
        <is>
          <t>CÔNG TY TNHH 4GS TEXAS REALTY</t>
        </is>
      </c>
      <c r="E13235" t="inlineStr">
        <is>
          <t>Lương:Cạnh tranh</t>
        </is>
      </c>
      <c r="F13235" t="inlineStr">
        <is>
          <t>Hồ Chí Minh</t>
        </is>
      </c>
      <c r="G13235" t="inlineStr">
        <is>
          <t>31-03-2026</t>
        </is>
      </c>
      <c r="H13235" t="inlineStr">
        <is>
          <t>31/03/2026</t>
        </is>
      </c>
      <c r="I13235" t="inlineStr">
        <is>
          <t>17/03/2026</t>
        </is>
      </c>
      <c r="J13235" t="inlineStr">
        <is>
          <t>Tiếp thị / Marketing</t>
        </is>
      </c>
      <c r="K13235" t="inlineStr">
        <is>
          <t>2 - 4 Năm</t>
        </is>
      </c>
      <c r="L13235" s="8">
        <f>HYPERLINK("https://careerviet.vn/vi/tim-viec-lam/senior-marketing.35C6B1C2.html","Xem chi tiết")</f>
        <v/>
      </c>
    </row>
    <row r="13236">
      <c r="B13236" s="9" t="n">
        <v>13234</v>
      </c>
      <c r="C13236" s="10" t="inlineStr">
        <is>
          <t>Chuyên Viên Tư Vấn Tuyển Sinh / Bán Hàng / Kinh Doanh / Sales/ Consultant - Thu Nhập từ 12 triệu đến không giới hạn - ILA Hùng Vương (Quận 5)</t>
        </is>
      </c>
      <c r="D13236" s="10" t="inlineStr">
        <is>
          <t>ILA Việt Nam</t>
        </is>
      </c>
      <c r="E13236" s="10" t="inlineStr">
        <is>
          <t>Lương:15 Tr - 30 Tr VND</t>
        </is>
      </c>
      <c r="F13236" s="10" t="inlineStr">
        <is>
          <t>Hồ Chí Minh</t>
        </is>
      </c>
      <c r="G13236" s="10" t="inlineStr">
        <is>
          <t>11-03-2026</t>
        </is>
      </c>
      <c r="H13236" s="10" t="inlineStr">
        <is>
          <t>14/03/2026</t>
        </is>
      </c>
      <c r="I13236" s="10" t="inlineStr">
        <is>
          <t>17/03/2026</t>
        </is>
      </c>
      <c r="J13236" s="10" t="inlineStr">
        <is>
          <t>Bán hàng / Kinh doanh, Tư vấn, Dịch vụ khách hàng</t>
        </is>
      </c>
      <c r="K13236" s="10" t="inlineStr">
        <is>
          <t>1 - 2 Năm</t>
        </is>
      </c>
      <c r="L13236" s="11">
        <f>HYPERLINK("https://careerviet.vn/vi/tim-viec-lam/chuyen-vien-tu-van-tuyen-sinh-ban-hang-kinh-doanh-sales-consultant-thu-nhap-tu-12-trieu-den-khong-gioi-han-ila-hung-vuong-quan-5.35C6B11D.html","Xem chi tiết")</f>
        <v/>
      </c>
      <c r="M13236" s="10" t="n"/>
    </row>
    <row r="13237">
      <c r="B13237" s="7" t="n">
        <v>13235</v>
      </c>
      <c r="C13237" t="inlineStr">
        <is>
          <t>Chuyên viên tuyển dụng</t>
        </is>
      </c>
      <c r="D13237" t="inlineStr">
        <is>
          <t>PPP Laser Clinic Viet Nam</t>
        </is>
      </c>
      <c r="E13237" t="inlineStr">
        <is>
          <t>Lương:13 Tr - 18 Tr VND</t>
        </is>
      </c>
      <c r="F13237" t="inlineStr">
        <is>
          <t>Hồ Chí Minh</t>
        </is>
      </c>
      <c r="G13237" t="inlineStr">
        <is>
          <t>30-03-2026</t>
        </is>
      </c>
      <c r="H13237" t="inlineStr">
        <is>
          <t>30/03/2026</t>
        </is>
      </c>
      <c r="I13237" t="inlineStr">
        <is>
          <t>17/03/2026</t>
        </is>
      </c>
      <c r="J13237" t="inlineStr">
        <is>
          <t>Y tế / Chăm sóc sức khỏe / Thẩm mỹ / Làm đẹp, Nhân sự, Ngân hàng</t>
        </is>
      </c>
      <c r="K13237" t="inlineStr">
        <is>
          <t>3 - 5 Năm</t>
        </is>
      </c>
      <c r="L13237" s="8">
        <f>HYPERLINK("https://careerviet.vn/vi/tim-viec-lam/chuyen-vien-tuyen-dung.35C6B175.html","Xem chi tiết")</f>
        <v/>
      </c>
    </row>
    <row r="13238">
      <c r="B13238" s="9" t="n">
        <v>13236</v>
      </c>
      <c r="C13238" s="10" t="inlineStr">
        <is>
          <t>Nhân viên Social Media - Video AI</t>
        </is>
      </c>
      <c r="D13238" s="10" t="inlineStr">
        <is>
          <t>Công Ty Cổ Phần Tập Đoàn Thời Trang Việt Nam</t>
        </is>
      </c>
      <c r="E13238" s="10" t="inlineStr">
        <is>
          <t>Lương:12 Tr - 15 Tr VND</t>
        </is>
      </c>
      <c r="F13238" s="10" t="inlineStr">
        <is>
          <t>Hà Nội</t>
        </is>
      </c>
      <c r="G13238" s="10" t="inlineStr">
        <is>
          <t>04-04-2026</t>
        </is>
      </c>
      <c r="H13238" s="10" t="inlineStr">
        <is>
          <t>04/04/2026</t>
        </is>
      </c>
      <c r="I13238" s="10" t="inlineStr">
        <is>
          <t>17/03/2026</t>
        </is>
      </c>
      <c r="J13238" s="10" t="inlineStr">
        <is>
          <t>Tiếp thị / Marketing</t>
        </is>
      </c>
      <c r="K13238" s="10" t="inlineStr">
        <is>
          <t>1 - 2 Năm</t>
        </is>
      </c>
      <c r="L13238" s="11">
        <f>HYPERLINK("https://careerviet.vn/vi/tim-viec-lam/nhan-vien-social-media-video-ai.35C6B0E6.html","Xem chi tiết")</f>
        <v/>
      </c>
      <c r="M13238" s="10" t="n"/>
    </row>
    <row r="13239">
      <c r="B13239" s="7" t="n">
        <v>13237</v>
      </c>
      <c r="C13239" t="inlineStr">
        <is>
          <t>[NHA TRANG] QUẢN LÝ /PHÓ QUẢN LÝ NHÀ HÀNG</t>
        </is>
      </c>
      <c r="D13239" t="inlineStr">
        <is>
          <t>Công Ty Cổ Phần Tầm Nhìn Quốc Tế Aladdin</t>
        </is>
      </c>
      <c r="E13239" t="inlineStr">
        <is>
          <t>Lương:15 Tr - 20 Tr VND</t>
        </is>
      </c>
      <c r="F13239" t="inlineStr">
        <is>
          <t>Khánh Hòa</t>
        </is>
      </c>
      <c r="G13239" t="inlineStr">
        <is>
          <t>05-04-2026</t>
        </is>
      </c>
      <c r="H13239" t="inlineStr">
        <is>
          <t>05/04/2026</t>
        </is>
      </c>
      <c r="I13239" t="inlineStr">
        <is>
          <t>17/03/2026</t>
        </is>
      </c>
      <c r="J13239" t="inlineStr">
        <is>
          <t>Thực phẩm &amp; Đồ uống, Nhà hàng / Khách sạn, Quản lý điều hành</t>
        </is>
      </c>
      <c r="K13239" t="inlineStr">
        <is>
          <t>2 - 4 Năm</t>
        </is>
      </c>
      <c r="L13239" s="8">
        <f>HYPERLINK("https://careerviet.vn/vi/tim-viec-lam/nha-trang-quan-ly-pho-quan-ly-nha-hang.35C6B0B9.html","Xem chi tiết")</f>
        <v/>
      </c>
    </row>
    <row r="13240">
      <c r="B13240" s="9" t="n">
        <v>13238</v>
      </c>
      <c r="C13240" s="10" t="inlineStr">
        <is>
          <t>ĐIỀU DƯỠNG VIÊN</t>
        </is>
      </c>
      <c r="D13240" s="10" t="inlineStr">
        <is>
          <t>CÔNG TY TNHH ĐẦU TƯ Y TẾ QUỐC TẾ DND – SÀI GÒN</t>
        </is>
      </c>
      <c r="E13240" s="10" t="inlineStr">
        <is>
          <t>Lương:10 Tr - 15 Tr VND</t>
        </is>
      </c>
      <c r="F13240" s="10" t="inlineStr">
        <is>
          <t>Hà Nội</t>
        </is>
      </c>
      <c r="G13240" s="10" t="inlineStr">
        <is>
          <t>31-03-2026</t>
        </is>
      </c>
      <c r="H13240" s="10" t="inlineStr">
        <is>
          <t>31/03/2026</t>
        </is>
      </c>
      <c r="I13240" s="10" t="inlineStr">
        <is>
          <t>17/03/2026</t>
        </is>
      </c>
      <c r="J13240" s="10" t="inlineStr">
        <is>
          <t>Dược phẩm/ Hóa Mỹ Phẩm, Y tế / Chăm sóc sức khỏe / Thẩm mỹ / Làm đẹp</t>
        </is>
      </c>
      <c r="K13240" s="10" t="inlineStr">
        <is>
          <t>Trên 1 Năm</t>
        </is>
      </c>
      <c r="L13240" s="11">
        <f>HYPERLINK("https://careerviet.vn/vi/tim-viec-lam/dieu-duong-vien.35C6B222.html","Xem chi tiết")</f>
        <v/>
      </c>
      <c r="M13240" s="10" t="n"/>
    </row>
    <row r="13241">
      <c r="B13241" s="7" t="n">
        <v>13239</v>
      </c>
      <c r="C13241" t="inlineStr">
        <is>
          <t>FSC Auditor (Freshers Considered)</t>
        </is>
      </c>
      <c r="D13241" t="inlineStr">
        <is>
          <t>TÜV SÜD Vietnam</t>
        </is>
      </c>
      <c r="E13241" t="inlineStr">
        <is>
          <t>Lương:Cạnh tranh</t>
        </is>
      </c>
      <c r="F13241" t="inlineStr">
        <is>
          <t>Hà NộiHồ Chí Minh</t>
        </is>
      </c>
      <c r="G13241" t="inlineStr">
        <is>
          <t>05-04-2026</t>
        </is>
      </c>
      <c r="H13241" t="inlineStr">
        <is>
          <t>05/04/2026</t>
        </is>
      </c>
      <c r="I13241" t="inlineStr">
        <is>
          <t>17/03/2026</t>
        </is>
      </c>
      <c r="J13241" t="inlineStr">
        <is>
          <t>Lâm Nghiệp, Quản lý chất lượng (QA/QC)</t>
        </is>
      </c>
      <c r="K13241" t="inlineStr">
        <is>
          <t>1 - 5 Năm</t>
        </is>
      </c>
      <c r="L13241" s="8">
        <f>HYPERLINK("https://careerviet.vn/vi/tim-viec-lam/fsc-auditor-freshers-considered.35C6B1E7.html","Xem chi tiết")</f>
        <v/>
      </c>
    </row>
    <row r="13242">
      <c r="B13242" s="9" t="n">
        <v>13240</v>
      </c>
      <c r="C13242" s="10" t="inlineStr">
        <is>
          <t>Chuyên viên Thiết kế</t>
        </is>
      </c>
      <c r="D13242" s="10" t="inlineStr">
        <is>
          <t>Tập Đoàn Lộc Trời</t>
        </is>
      </c>
      <c r="E13242" s="10" t="inlineStr">
        <is>
          <t>Lương:Cạnh tranh</t>
        </is>
      </c>
      <c r="F13242" s="10" t="inlineStr">
        <is>
          <t>Hồ Chí Minh</t>
        </is>
      </c>
      <c r="G13242" s="10" t="inlineStr">
        <is>
          <t>05-04-2026</t>
        </is>
      </c>
      <c r="H13242" s="10" t="inlineStr">
        <is>
          <t>05/04/2026</t>
        </is>
      </c>
      <c r="I13242" s="10" t="inlineStr">
        <is>
          <t>17/03/2026</t>
        </is>
      </c>
      <c r="J13242" s="10" t="inlineStr">
        <is>
          <t>Nông nghiệp, Mỹ thuật / Nghệ thuật / Thiết kế, In ấn / Xuất bản</t>
        </is>
      </c>
      <c r="K13242" s="10" t="inlineStr">
        <is>
          <t>1 - 3 Năm</t>
        </is>
      </c>
      <c r="L13242" s="11">
        <f>HYPERLINK("https://careerviet.vn/vi/tim-viec-lam/chuyen-vien-thiet-ke.35C6A05F.html","Xem chi tiết")</f>
        <v/>
      </c>
      <c r="M13242" s="10" t="n"/>
    </row>
    <row r="13243">
      <c r="B13243" s="7" t="n">
        <v>13241</v>
      </c>
      <c r="C13243" t="inlineStr">
        <is>
          <t>Trưởng Phòng Hạ Tầng Bảo Mật</t>
        </is>
      </c>
      <c r="D13243" t="inlineStr">
        <is>
          <t>Công ty Cổ phần Tập đoàn Meey Land</t>
        </is>
      </c>
      <c r="E13243" t="inlineStr">
        <is>
          <t>Lương:Cạnh tranh</t>
        </is>
      </c>
      <c r="F13243" t="inlineStr">
        <is>
          <t>Hà Nội</t>
        </is>
      </c>
      <c r="G13243" t="inlineStr">
        <is>
          <t>07-04-2026</t>
        </is>
      </c>
      <c r="H13243" t="inlineStr">
        <is>
          <t>07/04/2026</t>
        </is>
      </c>
      <c r="I13243" t="inlineStr">
        <is>
          <t>17/03/2026</t>
        </is>
      </c>
      <c r="J13243" t="inlineStr">
        <is>
          <t>CNTT - Phần mềm</t>
        </is>
      </c>
      <c r="K13243" t="inlineStr">
        <is>
          <t>5 - 15 Năm</t>
        </is>
      </c>
      <c r="L13243" s="8">
        <f>HYPERLINK("https://careerviet.vn/vi/tim-viec-lam/truong-phong-ha-tang-bao-mat.35C6AECE.html","Xem chi tiết")</f>
        <v/>
      </c>
    </row>
    <row r="13244">
      <c r="B13244" s="9" t="n">
        <v>13242</v>
      </c>
      <c r="C13244" s="10" t="inlineStr">
        <is>
          <t>Nhân viên Khoa Kiểm soát nhiễm khuẩn</t>
        </is>
      </c>
      <c r="D13244" s="10" t="inlineStr">
        <is>
          <t>BỆNH VIỆN ĐA KHOA PHƯƠNG ĐÔNG</t>
        </is>
      </c>
      <c r="E13244" s="10" t="inlineStr">
        <is>
          <t>Lương:9 Tr - 12 Tr VND</t>
        </is>
      </c>
      <c r="F13244" s="10" t="inlineStr">
        <is>
          <t>Hà Nội</t>
        </is>
      </c>
      <c r="G13244" s="10" t="inlineStr">
        <is>
          <t>31-03-2026</t>
        </is>
      </c>
      <c r="H13244" s="10" t="inlineStr">
        <is>
          <t>31/03/2026</t>
        </is>
      </c>
      <c r="I13244" s="10" t="inlineStr">
        <is>
          <t>17/03/2026</t>
        </is>
      </c>
      <c r="J13244" s="10" t="inlineStr">
        <is>
          <t>Y tế / Chăm sóc sức khỏe / Thẩm mỹ / Làm đẹp</t>
        </is>
      </c>
      <c r="K13244" s="10" t="inlineStr">
        <is>
          <t>Chưa có kinh nghiệm</t>
        </is>
      </c>
      <c r="L13244" s="11">
        <f>HYPERLINK("https://careerviet.vn/vi/tim-viec-lam/nhan-vien-khoa-kiem-soat-nhiem-khuan.35C6B1C7.html","Xem chi tiết")</f>
        <v/>
      </c>
      <c r="M13244" s="10" t="n"/>
    </row>
    <row r="13245">
      <c r="B13245" s="7" t="n">
        <v>13243</v>
      </c>
      <c r="C13245" t="inlineStr">
        <is>
          <t>Channel Strategy Supervisor - GT Channel</t>
        </is>
      </c>
      <c r="D13245" t="inlineStr">
        <is>
          <t>Công Ty TNHH CJ Foods Việt Nam</t>
        </is>
      </c>
      <c r="E13245" t="inlineStr">
        <is>
          <t>Lương:Cạnh tranh</t>
        </is>
      </c>
      <c r="F13245" t="inlineStr">
        <is>
          <t>Hồ Chí Minh</t>
        </is>
      </c>
      <c r="G13245" t="inlineStr">
        <is>
          <t>31-03-2026</t>
        </is>
      </c>
      <c r="H13245" t="inlineStr">
        <is>
          <t>31/03/2026</t>
        </is>
      </c>
      <c r="I13245" t="inlineStr">
        <is>
          <t>17/03/2026</t>
        </is>
      </c>
      <c r="J13245" t="inlineStr">
        <is>
          <t>Tiếp thị / Marketing, Bán hàng / Kinh doanh, Thực phẩm &amp; Đồ uống</t>
        </is>
      </c>
      <c r="K13245" t="inlineStr">
        <is>
          <t>2 - 5 Năm</t>
        </is>
      </c>
      <c r="L13245" s="8">
        <f>HYPERLINK("https://careerviet.vn/vi/tim-viec-lam/channel-strategy-supervisor-gt-channel.35C6B252.html","Xem chi tiết")</f>
        <v/>
      </c>
    </row>
    <row r="13246">
      <c r="B13246" s="9" t="n">
        <v>13244</v>
      </c>
      <c r="C13246" s="10" t="inlineStr">
        <is>
          <t>Chuyên viên cao cấp Quản trị hiệu quả công việc - Khối QT&amp;PTNNL</t>
        </is>
      </c>
      <c r="D13246" s="10" t="inlineStr">
        <is>
          <t>Ngân Hàng TMCP Sài Gòn - Hà Nội ( SHB )</t>
        </is>
      </c>
      <c r="E13246" s="10" t="inlineStr">
        <is>
          <t>Lương:Cạnh tranh</t>
        </is>
      </c>
      <c r="F13246" s="10" t="inlineStr">
        <is>
          <t>Hà Nội</t>
        </is>
      </c>
      <c r="G13246" s="10" t="inlineStr">
        <is>
          <t>03-04-2026</t>
        </is>
      </c>
      <c r="H13246" s="10" t="inlineStr">
        <is>
          <t>03/04/2026</t>
        </is>
      </c>
      <c r="I13246" s="10" t="inlineStr">
        <is>
          <t>17/03/2026</t>
        </is>
      </c>
      <c r="J13246" s="10" t="inlineStr">
        <is>
          <t>Ngân hàng, Nhân sự, Tài chính / Đầu tư</t>
        </is>
      </c>
      <c r="K13246" s="10" t="inlineStr">
        <is>
          <t>Trên 3 Năm</t>
        </is>
      </c>
      <c r="L13246" s="11">
        <f>HYPERLINK("https://careerviet.vn/vi/tim-viec-lam/chuyen-vien-cao-cap-quan-tri-hieu-qua-cong-viec-khoi-qt-ptnnl.35C6B24B.html","Xem chi tiết")</f>
        <v/>
      </c>
      <c r="M13246" s="10" t="n"/>
    </row>
    <row r="13247">
      <c r="B13247" s="7" t="n">
        <v>13245</v>
      </c>
      <c r="C13247" t="inlineStr">
        <is>
          <t>Nhân Viên Kinh Doanh - Lương cứng từ 12 triệu/tháng (Ưu tiên tuyển Nữ)</t>
        </is>
      </c>
      <c r="D13247" t="inlineStr">
        <is>
          <t>Công Ty TNHH Tập Đoàn Rita Võ</t>
        </is>
      </c>
      <c r="E13247" t="inlineStr">
        <is>
          <t>Lương:12 Tr - 20 Tr VND</t>
        </is>
      </c>
      <c r="F13247" t="inlineStr">
        <is>
          <t>Hà Nội</t>
        </is>
      </c>
      <c r="G13247" t="inlineStr">
        <is>
          <t>31-03-2026</t>
        </is>
      </c>
      <c r="H13247" t="inlineStr">
        <is>
          <t>31/03/2026</t>
        </is>
      </c>
      <c r="I13247" t="inlineStr">
        <is>
          <t>17/03/2026</t>
        </is>
      </c>
      <c r="J13247" t="inlineStr">
        <is>
          <t>Bán lẻ / Bán sỉ, Bán hàng / Kinh doanh, Tư vấn</t>
        </is>
      </c>
      <c r="K13247" t="inlineStr">
        <is>
          <t>N/A</t>
        </is>
      </c>
      <c r="L13247" s="8">
        <f>HYPERLINK("https://careerviet.vn/vi/tim-viec-lam/nhan-vien-kinh-doanh-luong-cung-tu-12-trieu-thang-uu-tien-tuyen-nu.35C6B110.html","Xem chi tiết")</f>
        <v/>
      </c>
    </row>
    <row r="13248">
      <c r="B13248" s="9" t="n">
        <v>13246</v>
      </c>
      <c r="C13248" s="10" t="inlineStr">
        <is>
          <t>Chuyên Viên Tuyển Dụng Ngành Spa/Thẩm Mỹ Viện</t>
        </is>
      </c>
      <c r="D13248" s="10" t="inlineStr">
        <is>
          <t>THẨM MỸ VIỆN DR DOHYUN</t>
        </is>
      </c>
      <c r="E13248" s="10" t="inlineStr">
        <is>
          <t>Lương:10 Tr - 13 Tr VND</t>
        </is>
      </c>
      <c r="F13248" s="10" t="inlineStr">
        <is>
          <t>Hồ Chí Minh</t>
        </is>
      </c>
      <c r="G13248" s="10" t="inlineStr">
        <is>
          <t>30-04-2026</t>
        </is>
      </c>
      <c r="H13248" s="10" t="inlineStr">
        <is>
          <t>30/04/2026</t>
        </is>
      </c>
      <c r="I13248" s="10" t="inlineStr">
        <is>
          <t>17/03/2026</t>
        </is>
      </c>
      <c r="J13248" s="10" t="inlineStr">
        <is>
          <t>Y tế / Chăm sóc sức khỏe / Thẩm mỹ / Làm đẹp, Dược phẩm/ Hóa Mỹ Phẩm, Hàng gia dụng / Chăm sóc cá nhân</t>
        </is>
      </c>
      <c r="K13248" s="10" t="inlineStr">
        <is>
          <t>2 - 5 Năm</t>
        </is>
      </c>
      <c r="L13248" s="11">
        <f>HYPERLINK("https://careerviet.vn/vi/tim-viec-lam/chuyen-vien-tuyen-dung-nganh-spa-tham-my-vien.35C698CF.html","Xem chi tiết")</f>
        <v/>
      </c>
      <c r="M13248" s="10" t="n"/>
    </row>
    <row r="13249">
      <c r="B13249" s="7" t="n">
        <v>13247</v>
      </c>
      <c r="C13249" t="inlineStr">
        <is>
          <t>Chuyên viên Tối ưu Sản xuất OE (KCN Long Thành - Đồng Nai)</t>
        </is>
      </c>
      <c r="D13249" t="inlineStr">
        <is>
          <t>CÔNG TY CỔ PHẦN DÂY CÁP ĐIỆN VIỆT NAM - CADIVI</t>
        </is>
      </c>
      <c r="E13249" t="inlineStr">
        <is>
          <t>Lương:Cạnh tranh</t>
        </is>
      </c>
      <c r="F13249" t="inlineStr">
        <is>
          <t>Đồng Nai</t>
        </is>
      </c>
      <c r="G13249" t="inlineStr">
        <is>
          <t>05-04-2026</t>
        </is>
      </c>
      <c r="H13249" t="inlineStr">
        <is>
          <t>05/04/2026</t>
        </is>
      </c>
      <c r="I13249" t="inlineStr">
        <is>
          <t>17/03/2026</t>
        </is>
      </c>
      <c r="J13249" t="inlineStr">
        <is>
          <t>Điện / Điện tử / Điện lạnh / Điện công nghiệp, Sản xuất / Vận hành sản xuất, Quản lý chất lượng (QA/QC)</t>
        </is>
      </c>
      <c r="K13249" t="inlineStr">
        <is>
          <t>3 - 10 Năm</t>
        </is>
      </c>
      <c r="L13249" s="8">
        <f>HYPERLINK("https://careerviet.vn/vi/tim-viec-lam/chuyen-vien-toi-uu-san-xuat-oe-kcn-long-thanh-dong-nai.35C6AF84.html","Xem chi tiết")</f>
        <v/>
      </c>
    </row>
    <row r="13250">
      <c r="B13250" s="9" t="n">
        <v>13248</v>
      </c>
      <c r="C13250" s="10" t="inlineStr">
        <is>
          <t>Chuyên viên tuyển dụng</t>
        </is>
      </c>
      <c r="D13250" s="10" t="inlineStr">
        <is>
          <t>Tập Đoàn Tân Á Đại Thành</t>
        </is>
      </c>
      <c r="E13250" s="10" t="inlineStr">
        <is>
          <t>Lương:10 Tr - 12 Tr VND</t>
        </is>
      </c>
      <c r="F13250" s="10" t="inlineStr">
        <is>
          <t>Hà Nội</t>
        </is>
      </c>
      <c r="G13250" s="10" t="inlineStr">
        <is>
          <t>02-04-2026</t>
        </is>
      </c>
      <c r="H13250" s="10" t="inlineStr">
        <is>
          <t>02/04/2026</t>
        </is>
      </c>
      <c r="I13250" s="10" t="inlineStr">
        <is>
          <t>17/03/2026</t>
        </is>
      </c>
      <c r="J13250" s="10" t="inlineStr">
        <is>
          <t>Nhân sự</t>
        </is>
      </c>
      <c r="K13250" s="10" t="inlineStr">
        <is>
          <t>1 - 2 Năm</t>
        </is>
      </c>
      <c r="L13250" s="11">
        <f>HYPERLINK("https://careerviet.vn/vi/tim-viec-lam/chuyen-vien-tuyen-dung.35C6B263.html","Xem chi tiết")</f>
        <v/>
      </c>
      <c r="M13250" s="10" t="n"/>
    </row>
    <row r="13251">
      <c r="B13251" s="7" t="n">
        <v>13249</v>
      </c>
      <c r="C13251" t="inlineStr">
        <is>
          <t>Junior Merchandiser</t>
        </is>
      </c>
      <c r="D13251" t="inlineStr">
        <is>
          <t>CÔNG TY TNHH EVOLUTION ENTERPRISES</t>
        </is>
      </c>
      <c r="E13251" t="inlineStr">
        <is>
          <t>Lương:9 Tr - 13 Tr VND</t>
        </is>
      </c>
      <c r="F13251" t="inlineStr">
        <is>
          <t>Hồ Chí Minh</t>
        </is>
      </c>
      <c r="G13251" t="inlineStr">
        <is>
          <t>31-03-2026</t>
        </is>
      </c>
      <c r="H13251" t="inlineStr">
        <is>
          <t>31/03/2026</t>
        </is>
      </c>
      <c r="I13251" t="inlineStr">
        <is>
          <t>17/03/2026</t>
        </is>
      </c>
      <c r="J13251" t="inlineStr">
        <is>
          <t>Sản xuất / Vận hành sản xuất, Dệt may / Da giày / Thời trang, Bán hàng / Kinh doanh</t>
        </is>
      </c>
      <c r="K13251" t="inlineStr">
        <is>
          <t>1 - 2 Năm</t>
        </is>
      </c>
      <c r="L13251" s="8">
        <f>HYPERLINK("https://careerviet.vn/vi/tim-viec-lam/junior-merchandiser.35C6B24F.html","Xem chi tiết")</f>
        <v/>
      </c>
    </row>
    <row r="13252">
      <c r="B13252" s="9" t="n">
        <v>13250</v>
      </c>
      <c r="C13252" s="10" t="inlineStr">
        <is>
          <t>TRƯỞNG PHÒNG DỰ TOÁN - HCM</t>
        </is>
      </c>
      <c r="D13252" s="10" t="inlineStr">
        <is>
          <t>CÔNG TY CỔ PHẦN TƯ VẤN THIẾT KẾ VÀ XÂY DỰNG GREENHN</t>
        </is>
      </c>
      <c r="E13252" s="10" t="inlineStr">
        <is>
          <t>Lương:20 Tr - 25 Tr VND</t>
        </is>
      </c>
      <c r="F13252" s="10" t="inlineStr">
        <is>
          <t>Hồ Chí Minh</t>
        </is>
      </c>
      <c r="G13252" s="10" t="inlineStr">
        <is>
          <t>25-03-2026</t>
        </is>
      </c>
      <c r="H13252" s="10" t="inlineStr">
        <is>
          <t>25/03/2026</t>
        </is>
      </c>
      <c r="I13252" s="10" t="inlineStr">
        <is>
          <t>17/03/2026</t>
        </is>
      </c>
      <c r="J13252" s="10" t="inlineStr">
        <is>
          <t>Quản lý chất lượng (QA/QC), Thu mua / Vật tư, Xây dựng</t>
        </is>
      </c>
      <c r="K13252" s="10" t="inlineStr">
        <is>
          <t>5 - 7 Năm</t>
        </is>
      </c>
      <c r="L13252" s="11">
        <f>HYPERLINK("https://careerviet.vn/vi/tim-viec-lam/truong-phong-du-toan-hcm.35C698E1.html","Xem chi tiết")</f>
        <v/>
      </c>
      <c r="M13252" s="10" t="n"/>
    </row>
    <row r="13253">
      <c r="B13253" s="7" t="n">
        <v>13251</v>
      </c>
      <c r="C13253" t="inlineStr">
        <is>
          <t>Card Operation Control &amp; Support Expert</t>
        </is>
      </c>
      <c r="D13253" t="inlineStr">
        <is>
          <t>FE CREDIT</t>
        </is>
      </c>
      <c r="E13253" t="inlineStr">
        <is>
          <t>Lương:Cạnh tranh</t>
        </is>
      </c>
      <c r="F13253" t="inlineStr">
        <is>
          <t>Hồ Chí Minh</t>
        </is>
      </c>
      <c r="G13253" t="inlineStr">
        <is>
          <t>11-04-2026</t>
        </is>
      </c>
      <c r="H13253" t="inlineStr">
        <is>
          <t>11/04/2026</t>
        </is>
      </c>
      <c r="I13253" t="inlineStr">
        <is>
          <t>17/03/2026</t>
        </is>
      </c>
      <c r="J13253" t="inlineStr">
        <is>
          <t>Tài chính / Đầu tư, Ngân hàng</t>
        </is>
      </c>
      <c r="K13253" t="inlineStr">
        <is>
          <t>4 - 7 Năm</t>
        </is>
      </c>
      <c r="L13253" s="8">
        <f>HYPERLINK("https://careerviet.vn/vi/tim-viec-lam/card-operation-control-support-expert.35C6AE7C.html","Xem chi tiết")</f>
        <v/>
      </c>
    </row>
    <row r="13254">
      <c r="B13254" s="9" t="n">
        <v>13252</v>
      </c>
      <c r="C13254" s="10" t="inlineStr">
        <is>
          <t>Vận hành KCS</t>
        </is>
      </c>
      <c r="D13254" s="10" t="inlineStr">
        <is>
          <t>Viet Han Concrete JSC.,</t>
        </is>
      </c>
      <c r="E13254" s="10" t="inlineStr">
        <is>
          <t>Lương:7 Tr - 15 Tr VND</t>
        </is>
      </c>
      <c r="F13254" s="10" t="inlineStr">
        <is>
          <t>Bà Rịa - Vũng TàuĐồng NaiHồ Chí Minh</t>
        </is>
      </c>
      <c r="G13254" s="10" t="inlineStr">
        <is>
          <t>05-04-2026</t>
        </is>
      </c>
      <c r="H13254" s="10" t="inlineStr">
        <is>
          <t>05/04/2026</t>
        </is>
      </c>
      <c r="I13254" s="10" t="inlineStr">
        <is>
          <t>17/03/2026</t>
        </is>
      </c>
      <c r="J13254" s="10" t="inlineStr">
        <is>
          <t>Xây dựng</t>
        </is>
      </c>
      <c r="K13254" s="10" t="inlineStr">
        <is>
          <t>1 - 5 Năm</t>
        </is>
      </c>
      <c r="L13254" s="11">
        <f>HYPERLINK("https://careerviet.vn/vi/tim-viec-lam/van-hanh-kcs.35C6B054.html","Xem chi tiết")</f>
        <v/>
      </c>
      <c r="M13254" s="10" t="n"/>
    </row>
    <row r="13255">
      <c r="B13255" s="7" t="n">
        <v>13253</v>
      </c>
      <c r="C13255" t="inlineStr">
        <is>
          <t>Nhân Viên Kho tại Long Biên Hà Nội</t>
        </is>
      </c>
      <c r="D13255" t="inlineStr">
        <is>
          <t>Công Ty TNHH Phúc Giang</t>
        </is>
      </c>
      <c r="E13255" t="inlineStr">
        <is>
          <t>Lương:8,4 Tr - 9 Tr VND</t>
        </is>
      </c>
      <c r="F13255" t="inlineStr">
        <is>
          <t>Hà Nội</t>
        </is>
      </c>
      <c r="G13255" t="inlineStr">
        <is>
          <t>31-03-2026</t>
        </is>
      </c>
      <c r="H13255" t="inlineStr">
        <is>
          <t>31/03/2026</t>
        </is>
      </c>
      <c r="I13255" t="inlineStr">
        <is>
          <t>17/03/2026</t>
        </is>
      </c>
      <c r="J13255" t="inlineStr">
        <is>
          <t>Vận chuyển / Giao nhận / Kho vận, Lao động phổ thông</t>
        </is>
      </c>
      <c r="K13255" t="inlineStr">
        <is>
          <t>N/A</t>
        </is>
      </c>
      <c r="L13255" s="8">
        <f>HYPERLINK("https://careerviet.vn/vi/tim-viec-lam/nhan-vien-kho-tai-long-bien-ha-noi.35C69A3F.html","Xem chi tiết")</f>
        <v/>
      </c>
    </row>
    <row r="13256">
      <c r="B13256" s="9" t="n">
        <v>13254</v>
      </c>
      <c r="C13256" s="10" t="inlineStr">
        <is>
          <t>Kỹ sư cơ khí (Đan Phượng, Hà Nội)</t>
        </is>
      </c>
      <c r="D13256" s="10" t="inlineStr">
        <is>
          <t>Công Ty Cổ Phần Quốc Tế Sơn Hà</t>
        </is>
      </c>
      <c r="E13256" s="10" t="inlineStr">
        <is>
          <t>Lương:Cạnh tranh</t>
        </is>
      </c>
      <c r="F13256" s="10" t="inlineStr">
        <is>
          <t>Hà Nội</t>
        </is>
      </c>
      <c r="G13256" s="10" t="inlineStr">
        <is>
          <t>28-03-2026</t>
        </is>
      </c>
      <c r="H13256" s="10" t="inlineStr">
        <is>
          <t>28/03/2026</t>
        </is>
      </c>
      <c r="I13256" s="10" t="inlineStr">
        <is>
          <t>17/03/2026</t>
        </is>
      </c>
      <c r="J13256" s="10" t="inlineStr">
        <is>
          <t>Cơ khí / Ô tô / Tự động hóa, Sản xuất / Vận hành sản xuất</t>
        </is>
      </c>
      <c r="K13256" s="10" t="inlineStr">
        <is>
          <t>1 - 2 Năm</t>
        </is>
      </c>
      <c r="L13256" s="11">
        <f>HYPERLINK("https://careerviet.vn/vi/tim-viec-lam/ky-su-co-khi-dan-phuong-ha-noi.35C69B3F.html","Xem chi tiết")</f>
        <v/>
      </c>
      <c r="M13256" s="10" t="n"/>
    </row>
    <row r="13257">
      <c r="B13257" s="7" t="n">
        <v>13255</v>
      </c>
      <c r="C13257" t="inlineStr">
        <is>
          <t>Nhân Viên Lắp Ráp</t>
        </is>
      </c>
      <c r="D13257" t="inlineStr">
        <is>
          <t>Công ty TNHH Cơ Khí Xây Dựng Du Lịch Bách Tùng</t>
        </is>
      </c>
      <c r="E13257" t="inlineStr">
        <is>
          <t>Lương:8 Tr - 15 Tr VND</t>
        </is>
      </c>
      <c r="F13257" t="inlineStr">
        <is>
          <t>Bình Dương</t>
        </is>
      </c>
      <c r="G13257" t="inlineStr">
        <is>
          <t>26-03-2026</t>
        </is>
      </c>
      <c r="H13257" t="inlineStr">
        <is>
          <t>26/03/2026</t>
        </is>
      </c>
      <c r="I13257" t="inlineStr">
        <is>
          <t>17/03/2026</t>
        </is>
      </c>
      <c r="J13257" t="inlineStr">
        <is>
          <t>Cơ khí / Ô tô / Tự động hóa, Sản xuất / Vận hành sản xuất</t>
        </is>
      </c>
      <c r="K13257" t="inlineStr">
        <is>
          <t>N/A</t>
        </is>
      </c>
      <c r="L13257" s="8">
        <f>HYPERLINK("https://careerviet.vn/vi/tim-viec-lam/nhan-vien-lap-rap.35C69A1E.html","Xem chi tiết")</f>
        <v/>
      </c>
    </row>
    <row r="13258">
      <c r="B13258" s="9" t="n">
        <v>13256</v>
      </c>
      <c r="C13258" s="10" t="inlineStr">
        <is>
          <t>Nhân Viên Tư Vấn Kênh Trả Góp_Bình Dương</t>
        </is>
      </c>
      <c r="D13258" s="10" t="inlineStr">
        <is>
          <t>Công Ty Tài Chính TNHH Một Thành Viên Quốc Tế Việt Nam JACCS</t>
        </is>
      </c>
      <c r="E13258" s="10" t="inlineStr">
        <is>
          <t>Lương:5 Tr - 15 Tr VND</t>
        </is>
      </c>
      <c r="F13258" s="10" t="inlineStr">
        <is>
          <t>Bình Dương</t>
        </is>
      </c>
      <c r="G13258" s="10" t="inlineStr">
        <is>
          <t>26-03-2026</t>
        </is>
      </c>
      <c r="H13258" s="10" t="inlineStr">
        <is>
          <t>26/03/2026</t>
        </is>
      </c>
      <c r="I13258" s="10" t="inlineStr">
        <is>
          <t>17/03/2026</t>
        </is>
      </c>
      <c r="J13258" s="10" t="inlineStr">
        <is>
          <t>Bán hàng / Kinh doanh, Tài chính / Đầu tư, Lao động phổ thông</t>
        </is>
      </c>
      <c r="K13258" s="10" t="inlineStr">
        <is>
          <t>N/A</t>
        </is>
      </c>
      <c r="L13258" s="11">
        <f>HYPERLINK("https://careerviet.vn/vi/tim-viec-lam/nhan-vien-tu-van-kenh-tra-gop_binh-duong.35C698F8.html","Xem chi tiết")</f>
        <v/>
      </c>
      <c r="M13258" s="10" t="n"/>
    </row>
    <row r="13259">
      <c r="B13259" s="7" t="n">
        <v>13257</v>
      </c>
      <c r="C13259" t="inlineStr">
        <is>
          <t>Nhân viên kinh doanh phần mềm</t>
        </is>
      </c>
      <c r="D13259" t="inlineStr">
        <is>
          <t>CÔNG TY CỔ PHẦN PHÁT TRIỂN CÔNG NGHỆ TECHPRO</t>
        </is>
      </c>
      <c r="E13259" t="inlineStr">
        <is>
          <t>Lương:15 Tr - 30 Tr VND</t>
        </is>
      </c>
      <c r="F13259" t="inlineStr">
        <is>
          <t>Hà Nội</t>
        </is>
      </c>
      <c r="G13259" t="inlineStr">
        <is>
          <t>11-03-2026</t>
        </is>
      </c>
      <c r="H13259" t="inlineStr">
        <is>
          <t>09/03/2026</t>
        </is>
      </c>
      <c r="I13259" t="inlineStr">
        <is>
          <t>17/03/2026</t>
        </is>
      </c>
      <c r="J13259" t="inlineStr">
        <is>
          <t>Tiếp thị / Marketing, Bán hàng / Kinh doanh, CNTT - Phần mềm</t>
        </is>
      </c>
      <c r="K13259" t="inlineStr">
        <is>
          <t>1 - 5 Năm</t>
        </is>
      </c>
      <c r="L13259" s="8">
        <f>HYPERLINK("https://careerviet.vn/vi/tim-viec-lam/nhan-vien-kinh-doanh-phan-mem.35C69A31.html","Xem chi tiết")</f>
        <v/>
      </c>
    </row>
    <row r="13260">
      <c r="B13260" s="9" t="n">
        <v>13258</v>
      </c>
      <c r="C13260" s="10" t="inlineStr">
        <is>
          <t>Nhân Viên Tư Vấn Kênh Trả Góp_Đak Lak</t>
        </is>
      </c>
      <c r="D13260" s="10" t="inlineStr">
        <is>
          <t>Công Ty Tài Chính TNHH Một Thành Viên Quốc Tế Việt Nam JACCS</t>
        </is>
      </c>
      <c r="E13260" s="10" t="inlineStr">
        <is>
          <t>Lương:5 Tr - 15 Tr VND</t>
        </is>
      </c>
      <c r="F13260" s="10" t="inlineStr">
        <is>
          <t>Dak Lak</t>
        </is>
      </c>
      <c r="G13260" s="10" t="inlineStr">
        <is>
          <t>26-03-2026</t>
        </is>
      </c>
      <c r="H13260" s="10" t="inlineStr">
        <is>
          <t>26/03/2026</t>
        </is>
      </c>
      <c r="I13260" s="10" t="inlineStr">
        <is>
          <t>17/03/2026</t>
        </is>
      </c>
      <c r="J13260" s="10" t="inlineStr">
        <is>
          <t>Bán hàng / Kinh doanh, Tài chính / Đầu tư, Lao động phổ thông</t>
        </is>
      </c>
      <c r="K13260" s="10" t="inlineStr">
        <is>
          <t>N/A</t>
        </is>
      </c>
      <c r="L13260" s="11">
        <f>HYPERLINK("https://careerviet.vn/vi/tim-viec-lam/nhan-vien-tu-van-kenh-tra-gop_dak-lak.35C6990E.html","Xem chi tiết")</f>
        <v/>
      </c>
      <c r="M13260" s="10" t="n"/>
    </row>
    <row r="13261">
      <c r="B13261" s="7" t="n">
        <v>13259</v>
      </c>
      <c r="C13261" t="inlineStr">
        <is>
          <t>Giám sát bán hàng kênh GT - Cần Thơ (Thốt Nốt)</t>
        </is>
      </c>
      <c r="D13261" t="inlineStr">
        <is>
          <t>Công Ty Cổ Phần Tập Đoàn TH</t>
        </is>
      </c>
      <c r="E13261" t="inlineStr">
        <is>
          <t>Lương:20 Tr - 25 Tr VND</t>
        </is>
      </c>
      <c r="F13261" t="inlineStr">
        <is>
          <t>Cần Thơ</t>
        </is>
      </c>
      <c r="G13261" t="inlineStr">
        <is>
          <t>31-03-2026</t>
        </is>
      </c>
      <c r="H13261" t="inlineStr">
        <is>
          <t>31/03/2026</t>
        </is>
      </c>
      <c r="I13261" t="inlineStr">
        <is>
          <t>17/03/2026</t>
        </is>
      </c>
      <c r="J13261" t="inlineStr">
        <is>
          <t>Bán lẻ / Bán sỉ, Bán hàng / Kinh doanh, Thực phẩm &amp; Đồ uống</t>
        </is>
      </c>
      <c r="K13261" t="inlineStr">
        <is>
          <t>3 - 5 Năm</t>
        </is>
      </c>
      <c r="L13261" s="8">
        <f>HYPERLINK("https://careerviet.vn/vi/tim-viec-lam/giam-sat-ban-hang-kenh-gt-can-tho-thot-not.35C69BEE.html","Xem chi tiết")</f>
        <v/>
      </c>
    </row>
    <row r="13262">
      <c r="B13262" s="9" t="n">
        <v>13260</v>
      </c>
      <c r="C13262" s="10" t="inlineStr">
        <is>
          <t>SALE MANAGER</t>
        </is>
      </c>
      <c r="D13262" s="10" t="inlineStr">
        <is>
          <t>CÔNG TY TNHH SAFFRONCLUB VIỆT NAM</t>
        </is>
      </c>
      <c r="E13262" s="10" t="inlineStr">
        <is>
          <t>Lương:Cạnh tranh</t>
        </is>
      </c>
      <c r="F13262" s="10" t="inlineStr">
        <is>
          <t>Hà Nội</t>
        </is>
      </c>
      <c r="G13262" s="10" t="inlineStr">
        <is>
          <t>24-03-2026</t>
        </is>
      </c>
      <c r="H13262" s="10" t="inlineStr">
        <is>
          <t>24/03/2026</t>
        </is>
      </c>
      <c r="I13262" s="10" t="inlineStr">
        <is>
          <t>17/03/2026</t>
        </is>
      </c>
      <c r="J13262" s="10" t="inlineStr">
        <is>
          <t>Quản lý điều hành, Bán hàng / Kinh doanh, Tư vấn</t>
        </is>
      </c>
      <c r="K13262" s="10" t="inlineStr">
        <is>
          <t>3 - 5 Năm</t>
        </is>
      </c>
      <c r="L13262" s="11">
        <f>HYPERLINK("https://careerviet.vn/vi/tim-viec-lam/sale-manager.35C697C7.html","Xem chi tiết")</f>
        <v/>
      </c>
      <c r="M13262" s="10" t="n"/>
    </row>
    <row r="13263">
      <c r="B13263" s="7" t="n">
        <v>13261</v>
      </c>
      <c r="C13263" t="inlineStr">
        <is>
          <t>Chuyên viên Marketing Ads</t>
        </is>
      </c>
      <c r="D13263" t="inlineStr">
        <is>
          <t>Công ty CP Công nghệ giáo dục Trường học trực tuyến (ONSCHOOL)</t>
        </is>
      </c>
      <c r="E13263" t="inlineStr">
        <is>
          <t>Lương:13 Tr - 18 Tr VND</t>
        </is>
      </c>
      <c r="F13263" t="inlineStr">
        <is>
          <t>Hồ Chí Minh</t>
        </is>
      </c>
      <c r="G13263" t="inlineStr">
        <is>
          <t>25-03-2026</t>
        </is>
      </c>
      <c r="H13263" t="inlineStr">
        <is>
          <t>25/03/2026</t>
        </is>
      </c>
      <c r="I13263" t="inlineStr">
        <is>
          <t>17/03/2026</t>
        </is>
      </c>
      <c r="J13263" t="inlineStr">
        <is>
          <t>Tiếp thị / Marketing</t>
        </is>
      </c>
      <c r="K13263" t="inlineStr">
        <is>
          <t>2 - 3 Năm</t>
        </is>
      </c>
      <c r="L13263" s="8">
        <f>HYPERLINK("https://careerviet.vn/vi/tim-viec-lam/chuyen-vien-marketing-ads.35C699B0.html","Xem chi tiết")</f>
        <v/>
      </c>
    </row>
    <row r="13264">
      <c r="B13264" s="9" t="n">
        <v>13262</v>
      </c>
      <c r="C13264" s="10" t="inlineStr">
        <is>
          <t>Chuyên viên cao cấp sản phẩm thanh toán, quản lý dòng tiền doanh nghiệp</t>
        </is>
      </c>
      <c r="D13264" s="10" t="inlineStr">
        <is>
          <t>Ngân Hàng TMCP Sài Gòn - Hà Nội ( SHB )</t>
        </is>
      </c>
      <c r="E13264" s="10" t="inlineStr">
        <is>
          <t>Lương:Cạnh tranh</t>
        </is>
      </c>
      <c r="F13264" s="10" t="inlineStr">
        <is>
          <t>Hà Nội</t>
        </is>
      </c>
      <c r="G13264" s="10" t="inlineStr">
        <is>
          <t>28-03-2026</t>
        </is>
      </c>
      <c r="H13264" s="10" t="inlineStr">
        <is>
          <t>28/03/2026</t>
        </is>
      </c>
      <c r="I13264" s="10" t="inlineStr">
        <is>
          <t>17/03/2026</t>
        </is>
      </c>
      <c r="J13264" s="10" t="inlineStr">
        <is>
          <t>Ngân hàng, Tài chính / Đầu tư</t>
        </is>
      </c>
      <c r="K13264" s="10" t="inlineStr">
        <is>
          <t>Trên 3 Năm</t>
        </is>
      </c>
      <c r="L13264" s="11">
        <f>HYPERLINK("https://careerviet.vn/vi/tim-viec-lam/chuyen-vien-cao-cap-san-pham-thanh-toan-quan-ly-dong-tien-doanh-nghiep.35C69C1C.html","Xem chi tiết")</f>
        <v/>
      </c>
      <c r="M13264" s="10" t="n"/>
    </row>
    <row r="13265">
      <c r="B13265" s="7" t="n">
        <v>13263</v>
      </c>
      <c r="C13265" t="inlineStr">
        <is>
          <t>Nhân Viên Thu Hồi Nợ Qua Điện Thoại_Nhóm A (1-30 Ngày)</t>
        </is>
      </c>
      <c r="D13265" t="inlineStr">
        <is>
          <t>Công Ty Tài Chính TNHH Một Thành Viên Quốc Tế Việt Nam JACCS</t>
        </is>
      </c>
      <c r="E13265" t="inlineStr">
        <is>
          <t>Lương:8 Tr - 11 Tr VND</t>
        </is>
      </c>
      <c r="F13265" t="inlineStr">
        <is>
          <t>Hồ Chí Minh</t>
        </is>
      </c>
      <c r="G13265" t="inlineStr">
        <is>
          <t>26-03-2026</t>
        </is>
      </c>
      <c r="H13265" t="inlineStr">
        <is>
          <t>26/03/2026</t>
        </is>
      </c>
      <c r="I13265" t="inlineStr">
        <is>
          <t>17/03/2026</t>
        </is>
      </c>
      <c r="J13265" t="inlineStr">
        <is>
          <t>Luật / Pháp lý, Ngân hàng, Tài chính / Đầu tư</t>
        </is>
      </c>
      <c r="K13265" t="inlineStr">
        <is>
          <t>1 - 2 Năm</t>
        </is>
      </c>
      <c r="L13265" s="8">
        <f>HYPERLINK("https://careerviet.vn/vi/tim-viec-lam/nhan-vien-thu-hoi-no-qua-dien-thoai_nhom-a-1-30-ngay.35C6999C.html","Xem chi tiết")</f>
        <v/>
      </c>
    </row>
    <row r="13266">
      <c r="B13266" s="9" t="n">
        <v>13264</v>
      </c>
      <c r="C13266" s="10" t="inlineStr">
        <is>
          <t>Nhân Viên Tư Vấn Kênh Trả Góp_Đà Nẵng</t>
        </is>
      </c>
      <c r="D13266" s="10" t="inlineStr">
        <is>
          <t>Công Ty Tài Chính TNHH Một Thành Viên Quốc Tế Việt Nam JACCS</t>
        </is>
      </c>
      <c r="E13266" s="10" t="inlineStr">
        <is>
          <t>Lương:5 Tr - 15 Tr VND</t>
        </is>
      </c>
      <c r="F13266" s="10" t="inlineStr">
        <is>
          <t>Đà Nẵng</t>
        </is>
      </c>
      <c r="G13266" s="10" t="inlineStr">
        <is>
          <t>26-03-2026</t>
        </is>
      </c>
      <c r="H13266" s="10" t="inlineStr">
        <is>
          <t>26/03/2026</t>
        </is>
      </c>
      <c r="I13266" s="10" t="inlineStr">
        <is>
          <t>17/03/2026</t>
        </is>
      </c>
      <c r="J13266" s="10" t="inlineStr">
        <is>
          <t>Bán hàng / Kinh doanh, Tài chính / Đầu tư, Lao động phổ thông</t>
        </is>
      </c>
      <c r="K13266" s="10" t="inlineStr">
        <is>
          <t>N/A</t>
        </is>
      </c>
      <c r="L13266" s="11">
        <f>HYPERLINK("https://careerviet.vn/vi/tim-viec-lam/nhan-vien-tu-van-kenh-tra-gop_da-nang.35C69908.html","Xem chi tiết")</f>
        <v/>
      </c>
      <c r="M13266" s="10" t="n"/>
    </row>
    <row r="13267">
      <c r="B13267" s="7" t="n">
        <v>13265</v>
      </c>
      <c r="C13267" t="inlineStr">
        <is>
          <t>CÔNG NHÂN SẢN XUẤT</t>
        </is>
      </c>
      <c r="D13267" t="inlineStr">
        <is>
          <t>AkzoNobel Vietnam</t>
        </is>
      </c>
      <c r="E13267" t="inlineStr">
        <is>
          <t>Lương:Cạnh tranh</t>
        </is>
      </c>
      <c r="F13267" t="inlineStr">
        <is>
          <t>Đồng Nai</t>
        </is>
      </c>
      <c r="G13267" t="inlineStr">
        <is>
          <t>31-03-2026</t>
        </is>
      </c>
      <c r="H13267" t="inlineStr">
        <is>
          <t>31/03/2026</t>
        </is>
      </c>
      <c r="I13267" t="inlineStr">
        <is>
          <t>17/03/2026</t>
        </is>
      </c>
      <c r="J13267" t="inlineStr">
        <is>
          <t>Lao động phổ thông, Sản xuất / Vận hành sản xuất, Hóa học</t>
        </is>
      </c>
      <c r="K13267" t="inlineStr">
        <is>
          <t>1 - 2 Năm</t>
        </is>
      </c>
      <c r="L13267" s="8">
        <f>HYPERLINK("https://careerviet.vn/vi/tim-viec-lam/cong-nhan-san-xuat.35C69BC8.html","Xem chi tiết")</f>
        <v/>
      </c>
    </row>
    <row r="13268">
      <c r="B13268" s="9" t="n">
        <v>13266</v>
      </c>
      <c r="C13268" s="10" t="inlineStr">
        <is>
          <t>Giám Sát Kinh Doanh Khu Vực Đà Nẵng</t>
        </is>
      </c>
      <c r="D13268" s="10" t="inlineStr">
        <is>
          <t>Công Ty Tài Chính TNHH Một Thành Viên Quốc Tế Việt Nam JACCS</t>
        </is>
      </c>
      <c r="E13268" s="10" t="inlineStr">
        <is>
          <t>Lương:9 Tr - 11 Tr VND</t>
        </is>
      </c>
      <c r="F13268" s="10" t="inlineStr">
        <is>
          <t>Đà Nẵng</t>
        </is>
      </c>
      <c r="G13268" s="10" t="inlineStr">
        <is>
          <t>26-03-2026</t>
        </is>
      </c>
      <c r="H13268" s="10" t="inlineStr">
        <is>
          <t>26/03/2026</t>
        </is>
      </c>
      <c r="I13268" s="10" t="inlineStr">
        <is>
          <t>17/03/2026</t>
        </is>
      </c>
      <c r="J13268" s="10" t="inlineStr">
        <is>
          <t>Ngân hàng, Tài chính / Đầu tư, Xây dựng</t>
        </is>
      </c>
      <c r="K13268" s="10" t="inlineStr">
        <is>
          <t>2 - 5 Năm</t>
        </is>
      </c>
      <c r="L13268" s="11">
        <f>HYPERLINK("https://careerviet.vn/vi/tim-viec-lam/giam-sat-kinh-doanh-khu-vuc-da-nang.35C6996B.html","Xem chi tiết")</f>
        <v/>
      </c>
      <c r="M13268" s="10" t="n"/>
    </row>
    <row r="13269">
      <c r="B13269" s="7" t="n">
        <v>13267</v>
      </c>
      <c r="C13269" t="inlineStr">
        <is>
          <t>Nhân viên phát triển kinh doanh thu nhập lên tới 40 triệu/tháng</t>
        </is>
      </c>
      <c r="D13269" t="inlineStr">
        <is>
          <t>Chương trình Học viện Công nghệ BKACAD</t>
        </is>
      </c>
      <c r="E13269" t="inlineStr">
        <is>
          <t>Lương:20 Tr - 40 Tr VND</t>
        </is>
      </c>
      <c r="F13269" t="inlineStr">
        <is>
          <t>Hà Nội</t>
        </is>
      </c>
      <c r="G13269" t="inlineStr">
        <is>
          <t>31-03-2026</t>
        </is>
      </c>
      <c r="H13269" t="inlineStr">
        <is>
          <t>31/03/2026</t>
        </is>
      </c>
      <c r="I13269" t="inlineStr">
        <is>
          <t>17/03/2026</t>
        </is>
      </c>
      <c r="J13269" t="inlineStr">
        <is>
          <t>Bán hàng / Kinh doanh, Tư vấn, Giáo dục / Đào tạo</t>
        </is>
      </c>
      <c r="K13269" t="inlineStr">
        <is>
          <t>1 - 3 Năm</t>
        </is>
      </c>
      <c r="L13269" s="8">
        <f>HYPERLINK("https://careerviet.vn/vi/tim-viec-lam/nhan-vien-phat-trien-kinh-doanh-thu-nhap-len-toi-40-trieu-thang.35C69C3F.html","Xem chi tiết")</f>
        <v/>
      </c>
    </row>
    <row r="13270">
      <c r="B13270" s="9" t="n">
        <v>13268</v>
      </c>
      <c r="C13270" s="10" t="inlineStr">
        <is>
          <t>Kế Toán Nội Bộ</t>
        </is>
      </c>
      <c r="D13270" s="10" t="inlineStr">
        <is>
          <t>Hồng Nga SG - Công ty TNHH Thương Mại Hồng Nga Sài Gòn</t>
        </is>
      </c>
      <c r="E13270" s="10" t="inlineStr">
        <is>
          <t>Lương:9 Tr - 12 Tr VND</t>
        </is>
      </c>
      <c r="F13270" s="10" t="inlineStr">
        <is>
          <t>Đà Nẵng</t>
        </is>
      </c>
      <c r="G13270" s="10" t="inlineStr">
        <is>
          <t>24-03-2026</t>
        </is>
      </c>
      <c r="H13270" s="10" t="inlineStr">
        <is>
          <t>24/03/2026</t>
        </is>
      </c>
      <c r="I13270" s="10" t="inlineStr">
        <is>
          <t>17/03/2026</t>
        </is>
      </c>
      <c r="J13270" s="10" t="inlineStr">
        <is>
          <t>Kế toán / Kiểm toán, Tài chính / Đầu tư, Luật / Pháp lý</t>
        </is>
      </c>
      <c r="K13270" s="10" t="inlineStr">
        <is>
          <t>N/A</t>
        </is>
      </c>
      <c r="L13270" s="11">
        <f>HYPERLINK("https://careerviet.vn/vi/tim-viec-lam/ke-toan-noi-bo.35C69687.html","Xem chi tiết")</f>
        <v/>
      </c>
      <c r="M13270" s="10" t="n"/>
    </row>
    <row r="13271">
      <c r="B13271" s="7" t="n">
        <v>13269</v>
      </c>
      <c r="C13271" t="inlineStr">
        <is>
          <t>Tài xế Giám đốc (Quận 11)</t>
        </is>
      </c>
      <c r="D13271" t="inlineStr">
        <is>
          <t>Concung.com - Con Cung Joint Stock Company</t>
        </is>
      </c>
      <c r="E13271" t="inlineStr">
        <is>
          <t>Lương:Cạnh tranh</t>
        </is>
      </c>
      <c r="F13271" t="inlineStr">
        <is>
          <t>Hồ Chí Minh</t>
        </is>
      </c>
      <c r="G13271" t="inlineStr">
        <is>
          <t>26-03-2026</t>
        </is>
      </c>
      <c r="H13271" t="inlineStr">
        <is>
          <t>26/03/2026</t>
        </is>
      </c>
      <c r="I13271" t="inlineStr">
        <is>
          <t>17/03/2026</t>
        </is>
      </c>
      <c r="J13271" t="inlineStr">
        <is>
          <t>Ngành khác, Lao động phổ thông</t>
        </is>
      </c>
      <c r="K13271" t="inlineStr">
        <is>
          <t>2 - 3 Năm</t>
        </is>
      </c>
      <c r="L13271" s="8">
        <f>HYPERLINK("https://careerviet.vn/vi/tim-viec-lam/tai-xe-giam-doc-quan-11.35C69C30.html","Xem chi tiết")</f>
        <v/>
      </c>
    </row>
    <row r="13272">
      <c r="B13272" s="9" t="n">
        <v>13270</v>
      </c>
      <c r="C13272" s="10" t="inlineStr">
        <is>
          <t>Nhân Viên Triển Khai (POSM, Chương Trình Khuyến Mãi,...)</t>
        </is>
      </c>
      <c r="D13272" s="10" t="inlineStr">
        <is>
          <t>Concung.com - Con Cung Joint Stock Company</t>
        </is>
      </c>
      <c r="E13272" s="10" t="inlineStr">
        <is>
          <t>Lương:Cạnh tranh</t>
        </is>
      </c>
      <c r="F13272" s="10" t="inlineStr">
        <is>
          <t>Hồ Chí Minh</t>
        </is>
      </c>
      <c r="G13272" s="10" t="inlineStr">
        <is>
          <t>26-03-2026</t>
        </is>
      </c>
      <c r="H13272" s="10" t="inlineStr">
        <is>
          <t>26/03/2026</t>
        </is>
      </c>
      <c r="I13272" s="10" t="inlineStr">
        <is>
          <t>17/03/2026</t>
        </is>
      </c>
      <c r="J13272" s="10" t="inlineStr">
        <is>
          <t>Tiếp thị / Marketing, Bán lẻ / Bán sỉ, Ngành khác</t>
        </is>
      </c>
      <c r="K13272" s="10" t="inlineStr">
        <is>
          <t>Trên 1 Năm</t>
        </is>
      </c>
      <c r="L13272" s="11">
        <f>HYPERLINK("https://careerviet.vn/vi/tim-viec-lam/nhan-vien-trien-khai-posm-chuong-trinh-khuyen-mai.35C69986.html","Xem chi tiết")</f>
        <v/>
      </c>
      <c r="M13272" s="10" t="n"/>
    </row>
    <row r="13273">
      <c r="B13273" s="7" t="n">
        <v>13271</v>
      </c>
      <c r="C13273" t="inlineStr">
        <is>
          <t>Nhân Viên Tư Vấn Kênh Trả Góp_Lâm Đồng</t>
        </is>
      </c>
      <c r="D13273" t="inlineStr">
        <is>
          <t>Công Ty Tài Chính TNHH Một Thành Viên Quốc Tế Việt Nam JACCS</t>
        </is>
      </c>
      <c r="E13273" t="inlineStr">
        <is>
          <t>Lương:5 Tr - 15 Tr VND</t>
        </is>
      </c>
      <c r="F13273" t="inlineStr">
        <is>
          <t>Lâm Đồng</t>
        </is>
      </c>
      <c r="G13273" t="inlineStr">
        <is>
          <t>26-03-2026</t>
        </is>
      </c>
      <c r="H13273" t="inlineStr">
        <is>
          <t>26/03/2026</t>
        </is>
      </c>
      <c r="I13273" t="inlineStr">
        <is>
          <t>17/03/2026</t>
        </is>
      </c>
      <c r="J13273" t="inlineStr">
        <is>
          <t>Bán hàng / Kinh doanh, Tài chính / Đầu tư, Lao động phổ thông</t>
        </is>
      </c>
      <c r="K13273" t="inlineStr">
        <is>
          <t>N/A</t>
        </is>
      </c>
      <c r="L13273" s="8">
        <f>HYPERLINK("https://careerviet.vn/vi/tim-viec-lam/nhan-vien-tu-van-kenh-tra-gop_lam-dong.35C69951.html","Xem chi tiết")</f>
        <v/>
      </c>
    </row>
    <row r="13274">
      <c r="B13274" s="9" t="n">
        <v>13272</v>
      </c>
      <c r="C13274" s="10" t="inlineStr">
        <is>
          <t>Nhân Viên Tư Vấn Kênh Trả Góp_Nam Định</t>
        </is>
      </c>
      <c r="D13274" s="10" t="inlineStr">
        <is>
          <t>Công Ty Tài Chính TNHH Một Thành Viên Quốc Tế Việt Nam JACCS</t>
        </is>
      </c>
      <c r="E13274" s="10" t="inlineStr">
        <is>
          <t>Lương:5 Tr - 15 Tr VND</t>
        </is>
      </c>
      <c r="F13274" s="10" t="inlineStr">
        <is>
          <t>Nam Định</t>
        </is>
      </c>
      <c r="G13274" s="10" t="inlineStr">
        <is>
          <t>26-03-2026</t>
        </is>
      </c>
      <c r="H13274" s="10" t="inlineStr">
        <is>
          <t>26/03/2026</t>
        </is>
      </c>
      <c r="I13274" s="10" t="inlineStr">
        <is>
          <t>17/03/2026</t>
        </is>
      </c>
      <c r="J13274" s="10" t="inlineStr">
        <is>
          <t>Bán hàng / Kinh doanh, Tài chính / Đầu tư, Lao động phổ thông</t>
        </is>
      </c>
      <c r="K13274" s="10" t="inlineStr">
        <is>
          <t>N/A</t>
        </is>
      </c>
      <c r="L13274" s="11">
        <f>HYPERLINK("https://careerviet.vn/vi/tim-viec-lam/nhan-vien-tu-van-kenh-tra-gop_nam-dinh.35C698FA.html","Xem chi tiết")</f>
        <v/>
      </c>
      <c r="M13274" s="10" t="n"/>
    </row>
    <row r="13275">
      <c r="B13275" s="7" t="n">
        <v>13273</v>
      </c>
      <c r="C13275" t="inlineStr">
        <is>
          <t>TỔ TRƯỞNG CNC</t>
        </is>
      </c>
      <c r="D13275" t="inlineStr">
        <is>
          <t>CÔNG TY TNHH CARBORI MOLDS VIỆT NAM</t>
        </is>
      </c>
      <c r="E13275" t="inlineStr">
        <is>
          <t>Lương:Cạnh tranh</t>
        </is>
      </c>
      <c r="F13275" t="inlineStr">
        <is>
          <t>Đồng Nai</t>
        </is>
      </c>
      <c r="G13275" t="inlineStr">
        <is>
          <t>1</t>
        </is>
      </c>
      <c r="H13275" t="inlineStr">
        <is>
          <t>18/03/2026</t>
        </is>
      </c>
      <c r="I13275" t="inlineStr">
        <is>
          <t>17/03/2026</t>
        </is>
      </c>
      <c r="J13275" t="inlineStr">
        <is>
          <t>Cơ khí / Ô tô / Tự động hóa, Sản xuất / Vận hành sản xuất</t>
        </is>
      </c>
      <c r="K13275" t="inlineStr">
        <is>
          <t>3 - 6 Năm</t>
        </is>
      </c>
      <c r="L13275" s="8">
        <f>HYPERLINK("https://careerviet.vn/vi/tim-viec-lam/to-truong-cnc.35C69AA1.html","Xem chi tiết")</f>
        <v/>
      </c>
    </row>
    <row r="13276">
      <c r="B13276" s="9" t="n">
        <v>13274</v>
      </c>
      <c r="C13276" s="10" t="inlineStr">
        <is>
          <t>Nhân Viên Thu Hồi Nợ Qua Điện Thoại_Nhóm B+</t>
        </is>
      </c>
      <c r="D13276" s="10" t="inlineStr">
        <is>
          <t>Công Ty Tài Chính TNHH Một Thành Viên Quốc Tế Việt Nam JACCS</t>
        </is>
      </c>
      <c r="E13276" s="10" t="inlineStr">
        <is>
          <t>Lương:8 Tr - 11 Tr VND</t>
        </is>
      </c>
      <c r="F13276" s="10" t="inlineStr">
        <is>
          <t>Hồ Chí Minh</t>
        </is>
      </c>
      <c r="G13276" s="10" t="inlineStr">
        <is>
          <t>26-03-2026</t>
        </is>
      </c>
      <c r="H13276" s="10" t="inlineStr">
        <is>
          <t>26/03/2026</t>
        </is>
      </c>
      <c r="I13276" s="10" t="inlineStr">
        <is>
          <t>17/03/2026</t>
        </is>
      </c>
      <c r="J13276" s="10" t="inlineStr">
        <is>
          <t>Luật / Pháp lý, Ngân hàng, Tài chính / Đầu tư</t>
        </is>
      </c>
      <c r="K13276" s="10" t="inlineStr">
        <is>
          <t>1 - 2 Năm</t>
        </is>
      </c>
      <c r="L13276" s="11">
        <f>HYPERLINK("https://careerviet.vn/vi/tim-viec-lam/nhan-vien-thu-hoi-no-qua-dien-thoai_nhom-b.35C69999.html","Xem chi tiết")</f>
        <v/>
      </c>
      <c r="M13276" s="10" t="n"/>
    </row>
    <row r="13277">
      <c r="B13277" s="7" t="n">
        <v>13275</v>
      </c>
      <c r="C13277" t="inlineStr">
        <is>
          <t>Nhân viên bảo trì máy</t>
        </is>
      </c>
      <c r="D13277" t="inlineStr">
        <is>
          <t>Công ty TNHH Olam Việt Nam</t>
        </is>
      </c>
      <c r="E13277" t="inlineStr">
        <is>
          <t>Lương:9 Tr - 12 Tr VND</t>
        </is>
      </c>
      <c r="F13277" t="inlineStr">
        <is>
          <t>Đồng Nai</t>
        </is>
      </c>
      <c r="G13277" t="inlineStr">
        <is>
          <t>31-03-2026</t>
        </is>
      </c>
      <c r="H13277" t="inlineStr">
        <is>
          <t>31/03/2026</t>
        </is>
      </c>
      <c r="I13277" t="inlineStr">
        <is>
          <t>17/03/2026</t>
        </is>
      </c>
      <c r="J13277" t="inlineStr">
        <is>
          <t>Bảo trì / Sửa chữa</t>
        </is>
      </c>
      <c r="K13277" t="inlineStr">
        <is>
          <t>1 - 3 Năm</t>
        </is>
      </c>
      <c r="L13277" s="8">
        <f>HYPERLINK("https://careerviet.vn/vi/tim-viec-lam/nhan-vien-bao-tri-may.35C694BC.html","Xem chi tiết")</f>
        <v/>
      </c>
    </row>
    <row r="13278">
      <c r="B13278" s="9" t="n">
        <v>13276</v>
      </c>
      <c r="C13278" s="10" t="inlineStr">
        <is>
          <t>Trưởng Hội đồng chuyên môn Trung học | Pathway School</t>
        </is>
      </c>
      <c r="D13278" s="10" t="inlineStr">
        <is>
          <t>Hệ thống trường Pathway Tuệ Đức</t>
        </is>
      </c>
      <c r="E13278" s="10" t="inlineStr">
        <is>
          <t>Lương:Cạnh tranh</t>
        </is>
      </c>
      <c r="F13278" s="10" t="inlineStr">
        <is>
          <t>Hồ Chí Minh</t>
        </is>
      </c>
      <c r="G13278" s="10" t="inlineStr">
        <is>
          <t>31-03-2026</t>
        </is>
      </c>
      <c r="H13278" s="10" t="inlineStr">
        <is>
          <t>31/03/2026</t>
        </is>
      </c>
      <c r="I13278" s="10" t="inlineStr">
        <is>
          <t>17/03/2026</t>
        </is>
      </c>
      <c r="J13278" s="10" t="inlineStr">
        <is>
          <t>Giáo dục / Đào tạo, Quản lý điều hành</t>
        </is>
      </c>
      <c r="K13278" s="10" t="inlineStr">
        <is>
          <t>3 - 5 Năm</t>
        </is>
      </c>
      <c r="L13278" s="11">
        <f>HYPERLINK("https://careerviet.vn/vi/tim-viec-lam/truong-hoi-dong-chuyen-mon-trung-hoc-pathway-school.35C69A21.html","Xem chi tiết")</f>
        <v/>
      </c>
      <c r="M13278" s="10" t="n"/>
    </row>
    <row r="13279">
      <c r="B13279" s="7" t="n">
        <v>13277</v>
      </c>
      <c r="C13279" t="inlineStr">
        <is>
          <t>HEAD OF THE SECONDARY ACADEMIC COUNCIL - HCMC</t>
        </is>
      </c>
      <c r="D13279" t="inlineStr">
        <is>
          <t>CareerViet's client</t>
        </is>
      </c>
      <c r="E13279" t="inlineStr">
        <is>
          <t>Lương:Cạnh tranh</t>
        </is>
      </c>
      <c r="F13279" t="inlineStr">
        <is>
          <t>Hồ Chí Minh</t>
        </is>
      </c>
      <c r="G13279" t="inlineStr">
        <is>
          <t>11-03-2026</t>
        </is>
      </c>
      <c r="H13279" t="inlineStr">
        <is>
          <t>14/03/2026</t>
        </is>
      </c>
      <c r="I13279" t="inlineStr">
        <is>
          <t>17/03/2026</t>
        </is>
      </c>
      <c r="J13279" t="inlineStr">
        <is>
          <t>Giáo dục / Đào tạo, Quản lý điều hành</t>
        </is>
      </c>
      <c r="K13279" t="inlineStr">
        <is>
          <t>3 - 5 Năm</t>
        </is>
      </c>
      <c r="L13279" s="8">
        <f>HYPERLINK("https://careerviet.vn/vi/tim-viec-lam/head-of-the-secondary-academic-council-hcmc.35C69AB6.html","Xem chi tiết")</f>
        <v/>
      </c>
    </row>
    <row r="13280">
      <c r="B13280" s="9" t="n">
        <v>13278</v>
      </c>
      <c r="C13280" s="10" t="inlineStr">
        <is>
          <t>IT Auditor_Chuyên Viên Kiểm Toán Công Nghệ Thông Tin</t>
        </is>
      </c>
      <c r="D13280" s="10" t="inlineStr">
        <is>
          <t>Công Ty Tài Chính TNHH Một Thành Viên Quốc Tế Việt Nam JACCS</t>
        </is>
      </c>
      <c r="E13280" s="10" t="inlineStr">
        <is>
          <t>Lương:18 Tr - 20 Tr VND</t>
        </is>
      </c>
      <c r="F13280" s="10" t="inlineStr">
        <is>
          <t>Hồ Chí Minh</t>
        </is>
      </c>
      <c r="G13280" s="10" t="inlineStr">
        <is>
          <t>26-03-2026</t>
        </is>
      </c>
      <c r="H13280" s="10" t="inlineStr">
        <is>
          <t>26/03/2026</t>
        </is>
      </c>
      <c r="I13280" s="10" t="inlineStr">
        <is>
          <t>17/03/2026</t>
        </is>
      </c>
      <c r="J13280" s="10" t="inlineStr">
        <is>
          <t>CNTT - Phần mềm, Tài chính / Đầu tư, Kế toán / Kiểm toán</t>
        </is>
      </c>
      <c r="K13280" s="10" t="inlineStr">
        <is>
          <t>3 - 4 Năm</t>
        </is>
      </c>
      <c r="L13280" s="11">
        <f>HYPERLINK("https://careerviet.vn/vi/tim-viec-lam/it-auditor_chuyen-vien-kiem-toan-cong-nghe-thong-tin.35C699A6.html","Xem chi tiết")</f>
        <v/>
      </c>
      <c r="M13280" s="10" t="n"/>
    </row>
    <row r="13281">
      <c r="B13281" s="7" t="n">
        <v>13279</v>
      </c>
      <c r="C13281" t="inlineStr">
        <is>
          <t>Nhân Viên Kinh Doanh</t>
        </is>
      </c>
      <c r="D13281" t="inlineStr">
        <is>
          <t>CÔNG TY CỔ PHẦN GIẢI PHÁP CHIẾU SÁNG NAVITEK</t>
        </is>
      </c>
      <c r="E13281" t="inlineStr">
        <is>
          <t>Lương:Cạnh tranh</t>
        </is>
      </c>
      <c r="F13281" t="inlineStr">
        <is>
          <t>Hồ Chí Minh</t>
        </is>
      </c>
      <c r="G13281" t="inlineStr">
        <is>
          <t>25-03-2026</t>
        </is>
      </c>
      <c r="H13281" t="inlineStr">
        <is>
          <t>25/03/2026</t>
        </is>
      </c>
      <c r="I13281" t="inlineStr">
        <is>
          <t>17/03/2026</t>
        </is>
      </c>
      <c r="J13281" t="inlineStr">
        <is>
          <t>Bán hàng / Kinh doanh, Nội ngoại thất, Điện / Điện tử / Điện lạnh / Điện công nghiệp</t>
        </is>
      </c>
      <c r="K13281" t="inlineStr">
        <is>
          <t>1 - 2 Năm</t>
        </is>
      </c>
      <c r="L13281" s="8">
        <f>HYPERLINK("https://careerviet.vn/vi/tim-viec-lam/nhan-vien-kinh-doanh.35C699DF.html","Xem chi tiết")</f>
        <v/>
      </c>
    </row>
    <row r="13282">
      <c r="B13282" s="9" t="n">
        <v>13280</v>
      </c>
      <c r="C13282" s="10" t="inlineStr">
        <is>
          <t>MÁY TRƯỞNG - PHÀ TUẦN CHÂU</t>
        </is>
      </c>
      <c r="D13282" s="10" t="inlineStr">
        <is>
          <t>CÔNG TY CỔ PHẦN CẢNG TÀU KHÁCH QUỐC TẾ TUẦN CHÂU</t>
        </is>
      </c>
      <c r="E13282" s="10" t="inlineStr">
        <is>
          <t>Lương:Cạnh tranh</t>
        </is>
      </c>
      <c r="F13282" s="10" t="inlineStr">
        <is>
          <t>Quảng Ninh</t>
        </is>
      </c>
      <c r="G13282" s="10" t="inlineStr">
        <is>
          <t>28-03-2026</t>
        </is>
      </c>
      <c r="H13282" s="10" t="inlineStr">
        <is>
          <t>28/03/2026</t>
        </is>
      </c>
      <c r="I13282" s="10" t="inlineStr">
        <is>
          <t>17/03/2026</t>
        </is>
      </c>
      <c r="J13282" s="10" t="inlineStr">
        <is>
          <t>Vận chuyển / Giao nhận / Kho vận, Hàng hải, Bảo trì / Sửa chữa</t>
        </is>
      </c>
      <c r="K13282" s="10" t="inlineStr">
        <is>
          <t>2 - 5 Năm</t>
        </is>
      </c>
      <c r="L13282" s="11">
        <f>HYPERLINK("https://careerviet.vn/vi/tim-viec-lam/may-truong-pha-tuan-chau.35C69BA2.html","Xem chi tiết")</f>
        <v/>
      </c>
      <c r="M13282" s="10" t="n"/>
    </row>
    <row r="13283">
      <c r="B13283" s="7" t="n">
        <v>13281</v>
      </c>
      <c r="C13283" t="inlineStr">
        <is>
          <t>Kế toán nội bộ</t>
        </is>
      </c>
      <c r="D13283" t="inlineStr">
        <is>
          <t>CÔNG TY CỔ PHẦN PHÁT TRIỂN VIỄN THÔNG VÀ TRUYỀN HÌNH VIỆT NAM</t>
        </is>
      </c>
      <c r="E13283" t="inlineStr">
        <is>
          <t>Lương:12 Tr - 18 Tr VND</t>
        </is>
      </c>
      <c r="F13283" t="inlineStr">
        <is>
          <t>Hà Nội</t>
        </is>
      </c>
      <c r="G13283" t="inlineStr">
        <is>
          <t>31-03-2026</t>
        </is>
      </c>
      <c r="H13283" t="inlineStr">
        <is>
          <t>31/03/2026</t>
        </is>
      </c>
      <c r="I13283" t="inlineStr">
        <is>
          <t>17/03/2026</t>
        </is>
      </c>
      <c r="J13283" t="inlineStr">
        <is>
          <t>Bưu chính viễn thông, Kế toán / Kiểm toán, Ngân hàng</t>
        </is>
      </c>
      <c r="K13283" t="inlineStr">
        <is>
          <t>3 - 5 Năm</t>
        </is>
      </c>
      <c r="L13283" s="8">
        <f>HYPERLINK("https://careerviet.vn/vi/tim-viec-lam/ke-toan-noi-bo.35C69B33.html","Xem chi tiết")</f>
        <v/>
      </c>
    </row>
    <row r="13284">
      <c r="B13284" s="9" t="n">
        <v>13282</v>
      </c>
      <c r="C13284" s="10" t="inlineStr">
        <is>
          <t>Quản lý Thiết kế Kết cấu</t>
        </is>
      </c>
      <c r="D13284" s="10" t="inlineStr">
        <is>
          <t>Công Ty Cổ Phần Tập Đoàn Đầu Tư Địa Ốc No Va</t>
        </is>
      </c>
      <c r="E13284" s="10" t="inlineStr">
        <is>
          <t>Lương:Cạnh tranh</t>
        </is>
      </c>
      <c r="F13284" s="10" t="inlineStr">
        <is>
          <t>Hồ Chí Minh</t>
        </is>
      </c>
      <c r="G13284" s="10" t="inlineStr">
        <is>
          <t>26-03-2026</t>
        </is>
      </c>
      <c r="H13284" s="10" t="inlineStr">
        <is>
          <t>26/03/2026</t>
        </is>
      </c>
      <c r="I13284" s="10" t="inlineStr">
        <is>
          <t>17/03/2026</t>
        </is>
      </c>
      <c r="J13284" s="10" t="inlineStr">
        <is>
          <t>Bất động sản</t>
        </is>
      </c>
      <c r="K13284" s="10" t="inlineStr">
        <is>
          <t>7 - 10 Năm</t>
        </is>
      </c>
      <c r="L13284" s="11">
        <f>HYPERLINK("https://careerviet.vn/vi/tim-viec-lam/quan-ly-thiet-ke-ket-cau.35C69AF2.html","Xem chi tiết")</f>
        <v/>
      </c>
      <c r="M13284" s="10" t="n"/>
    </row>
    <row r="13285">
      <c r="B13285" s="7" t="n">
        <v>13283</v>
      </c>
      <c r="C13285" t="inlineStr">
        <is>
          <t>Trưởng phòng Bảo hành (Phan Thiết)</t>
        </is>
      </c>
      <c r="D13285" t="inlineStr">
        <is>
          <t>Công Ty Cổ Phần Tập Đoàn Đầu Tư Địa Ốc No Va</t>
        </is>
      </c>
      <c r="E13285" t="inlineStr">
        <is>
          <t>Lương:Cạnh tranh</t>
        </is>
      </c>
      <c r="F13285" t="inlineStr">
        <is>
          <t>Bình Thuận</t>
        </is>
      </c>
      <c r="G13285" t="inlineStr">
        <is>
          <t>26-03-2026</t>
        </is>
      </c>
      <c r="H13285" t="inlineStr">
        <is>
          <t>26/03/2026</t>
        </is>
      </c>
      <c r="I13285" t="inlineStr">
        <is>
          <t>17/03/2026</t>
        </is>
      </c>
      <c r="J13285" t="inlineStr">
        <is>
          <t>Bảo trì / Sửa chữa, Bất động sản, Ngành khác</t>
        </is>
      </c>
      <c r="K13285" t="inlineStr">
        <is>
          <t>10 - 20 Năm</t>
        </is>
      </c>
      <c r="L13285" s="8">
        <f>HYPERLINK("https://careerviet.vn/vi/tim-viec-lam/truong-phong-bao-hanh-phan-thiet.35C69AF5.html","Xem chi tiết")</f>
        <v/>
      </c>
    </row>
    <row r="13286">
      <c r="B13286" s="9" t="n">
        <v>13284</v>
      </c>
      <c r="C13286" s="10" t="inlineStr">
        <is>
          <t>Nhân Viên Tư Vấn Kênh Trả Góp_Vĩnh Phúc</t>
        </is>
      </c>
      <c r="D13286" s="10" t="inlineStr">
        <is>
          <t>Công Ty Tài Chính TNHH Một Thành Viên Quốc Tế Việt Nam JACCS</t>
        </is>
      </c>
      <c r="E13286" s="10" t="inlineStr">
        <is>
          <t>Lương:5 Tr - 15 Tr VND</t>
        </is>
      </c>
      <c r="F13286" s="10" t="inlineStr">
        <is>
          <t>Vĩnh Phúc</t>
        </is>
      </c>
      <c r="G13286" s="10" t="inlineStr">
        <is>
          <t>26-03-2026</t>
        </is>
      </c>
      <c r="H13286" s="10" t="inlineStr">
        <is>
          <t>26/03/2026</t>
        </is>
      </c>
      <c r="I13286" s="10" t="inlineStr">
        <is>
          <t>17/03/2026</t>
        </is>
      </c>
      <c r="J13286" s="10" t="inlineStr">
        <is>
          <t>Bán hàng / Kinh doanh, Tài chính / Đầu tư, Lao động phổ thông</t>
        </is>
      </c>
      <c r="K13286" s="10" t="inlineStr">
        <is>
          <t>N/A</t>
        </is>
      </c>
      <c r="L13286" s="11">
        <f>HYPERLINK("https://careerviet.vn/vi/tim-viec-lam/nhan-vien-tu-van-kenh-tra-gop_vinh-phuc.35C6994E.html","Xem chi tiết")</f>
        <v/>
      </c>
      <c r="M13286" s="10" t="n"/>
    </row>
    <row r="13287">
      <c r="B13287" s="7" t="n">
        <v>13285</v>
      </c>
      <c r="C13287" t="inlineStr">
        <is>
          <t>Hiệu Phó mầm non (Củ Chi - Hồ Chí Minh)</t>
        </is>
      </c>
      <c r="D13287" t="inlineStr">
        <is>
          <t>Công Ty CP Liên Kết Quốc Tế INTERLINK (Trường Liên Kết Quốc Tế INschool &amp; Ngoại Ngữ Quốc Tế INS ENGLISH &amp; CHINESE)</t>
        </is>
      </c>
      <c r="E13287" t="inlineStr">
        <is>
          <t>Lương:13 Tr - 15 Tr VND</t>
        </is>
      </c>
      <c r="F13287" t="inlineStr">
        <is>
          <t>Hồ Chí Minh</t>
        </is>
      </c>
      <c r="G13287" t="inlineStr">
        <is>
          <t>31-03-2026</t>
        </is>
      </c>
      <c r="H13287" t="inlineStr">
        <is>
          <t>31/03/2026</t>
        </is>
      </c>
      <c r="I13287" t="inlineStr">
        <is>
          <t>17/03/2026</t>
        </is>
      </c>
      <c r="J13287" t="inlineStr">
        <is>
          <t>Giáo dục / Đào tạo</t>
        </is>
      </c>
      <c r="K13287" t="inlineStr">
        <is>
          <t>2 - 3 Năm</t>
        </is>
      </c>
      <c r="L13287" s="8">
        <f>HYPERLINK("https://careerviet.vn/vi/tim-viec-lam/hieu-pho-mam-non-cu-chi-ho-chi-minh.35C69983.html","Xem chi tiết")</f>
        <v/>
      </c>
    </row>
    <row r="13288">
      <c r="B13288" s="9" t="n">
        <v>13286</v>
      </c>
      <c r="C13288" s="10" t="inlineStr">
        <is>
          <t>Chuyên viên tuyển dụng đào tạo Thu nhập 13-15 triệu + thưởng hàng tháng</t>
        </is>
      </c>
      <c r="D13288" s="10" t="inlineStr">
        <is>
          <t>CÔNG TY CỔ PHẦN PHÁT TRIỂN CƠ ĐIỆN LẠNH HOÀNG ĐẠT</t>
        </is>
      </c>
      <c r="E13288" s="10" t="inlineStr">
        <is>
          <t>Lương:13 Tr - 15 Tr VND</t>
        </is>
      </c>
      <c r="F13288" s="10" t="inlineStr">
        <is>
          <t>Hà Nội</t>
        </is>
      </c>
      <c r="G13288" s="10" t="inlineStr">
        <is>
          <t>25-03-2026</t>
        </is>
      </c>
      <c r="H13288" s="10" t="inlineStr">
        <is>
          <t>25/03/2026</t>
        </is>
      </c>
      <c r="I13288" s="10" t="inlineStr">
        <is>
          <t>17/03/2026</t>
        </is>
      </c>
      <c r="J13288" s="10" t="inlineStr">
        <is>
          <t>Nhân sự</t>
        </is>
      </c>
      <c r="K13288" s="10" t="inlineStr">
        <is>
          <t>Lên đến 1 Năm</t>
        </is>
      </c>
      <c r="L13288" s="11">
        <f>HYPERLINK("https://careerviet.vn/vi/tim-viec-lam/chuyen-vien-tuyen-dung-dao-tao-thu-nhap-13-15-trieu-thuong-hang-thang.35C69B93.html","Xem chi tiết")</f>
        <v/>
      </c>
      <c r="M13288" s="10" t="n"/>
    </row>
    <row r="13289">
      <c r="B13289" s="7" t="n">
        <v>13287</v>
      </c>
      <c r="C13289" t="inlineStr">
        <is>
          <t>Hà Nội ( Hà Đông )- Quản lí PG</t>
        </is>
      </c>
      <c r="D13289" t="inlineStr">
        <is>
          <t>Cty TNHH Yakult Việt Nam</t>
        </is>
      </c>
      <c r="E13289" t="inlineStr">
        <is>
          <t>Lương:10 Tr - 14 Tr VND</t>
        </is>
      </c>
      <c r="F13289" t="inlineStr">
        <is>
          <t>Hà Nội</t>
        </is>
      </c>
      <c r="G13289" t="inlineStr">
        <is>
          <t>31-03-2026</t>
        </is>
      </c>
      <c r="H13289" t="inlineStr">
        <is>
          <t>31/03/2026</t>
        </is>
      </c>
      <c r="I13289" t="inlineStr">
        <is>
          <t>17/03/2026</t>
        </is>
      </c>
      <c r="J13289" t="inlineStr">
        <is>
          <t>Bán hàng / Kinh doanh</t>
        </is>
      </c>
      <c r="K13289" t="inlineStr">
        <is>
          <t>Chưa có kinh nghiệm</t>
        </is>
      </c>
      <c r="L13289" s="8">
        <f>HYPERLINK("https://careerviet.vn/vi/tim-viec-lam/ha-noi-ha-dong-quan-li-pg.35C695FA.html","Xem chi tiết")</f>
        <v/>
      </c>
    </row>
    <row r="13290">
      <c r="B13290" s="9" t="n">
        <v>13288</v>
      </c>
      <c r="C13290" s="10" t="inlineStr">
        <is>
          <t>HÀ NỘI - QUẢN LÝ KHU VỰC (ANM)</t>
        </is>
      </c>
      <c r="D13290" s="10" t="inlineStr">
        <is>
          <t>Công Ty TNHH BEST Logistics Technology (Việt Nam)</t>
        </is>
      </c>
      <c r="E13290" s="10" t="inlineStr">
        <is>
          <t>Lương:22 Tr - 40 Tr VND</t>
        </is>
      </c>
      <c r="F13290" s="10" t="inlineStr">
        <is>
          <t>Hà Nội</t>
        </is>
      </c>
      <c r="G13290" s="10" t="inlineStr">
        <is>
          <t>31-03-2026</t>
        </is>
      </c>
      <c r="H13290" s="10" t="inlineStr">
        <is>
          <t>31/03/2026</t>
        </is>
      </c>
      <c r="I13290" s="10" t="inlineStr">
        <is>
          <t>17/03/2026</t>
        </is>
      </c>
      <c r="J13290" s="10" t="inlineStr">
        <is>
          <t>Vận chuyển / Giao nhận / Kho vận, Quản lý điều hành, Ngành khác</t>
        </is>
      </c>
      <c r="K13290" s="10" t="inlineStr">
        <is>
          <t>1 - 5 Năm</t>
        </is>
      </c>
      <c r="L13290" s="11">
        <f>HYPERLINK("https://careerviet.vn/vi/tim-viec-lam/ha-noi-quan-ly-khu-vuc-anm.35C69B88.html","Xem chi tiết")</f>
        <v/>
      </c>
      <c r="M13290" s="10" t="n"/>
    </row>
    <row r="13291">
      <c r="B13291" s="7" t="n">
        <v>13289</v>
      </c>
      <c r="C13291" t="inlineStr">
        <is>
          <t>Nhân viên Sale Admin (Mảng M&amp;A)</t>
        </is>
      </c>
      <c r="D13291" t="inlineStr">
        <is>
          <t>Công Ty TNHH ONE-VALUE Việt Nam</t>
        </is>
      </c>
      <c r="E13291" t="inlineStr">
        <is>
          <t>Lương:8 Tr - 12 Tr VND</t>
        </is>
      </c>
      <c r="F13291" t="inlineStr">
        <is>
          <t>Hà Nội</t>
        </is>
      </c>
      <c r="G13291" t="inlineStr">
        <is>
          <t>26-03-2026</t>
        </is>
      </c>
      <c r="H13291" t="inlineStr">
        <is>
          <t>26/03/2026</t>
        </is>
      </c>
      <c r="I13291" t="inlineStr">
        <is>
          <t>17/03/2026</t>
        </is>
      </c>
      <c r="J13291" t="inlineStr">
        <is>
          <t>Tư vấn</t>
        </is>
      </c>
      <c r="K13291" t="inlineStr">
        <is>
          <t>Trên 1 Năm</t>
        </is>
      </c>
      <c r="L13291" s="8">
        <f>HYPERLINK("https://careerviet.vn/vi/tim-viec-lam/nhan-vien-sale-admin-mang-m-a.35C698EF.html","Xem chi tiết")</f>
        <v/>
      </c>
    </row>
    <row r="13292">
      <c r="B13292" s="9" t="n">
        <v>13290</v>
      </c>
      <c r="C13292" s="10" t="inlineStr">
        <is>
          <t>Nhân viên kỹ thuật nhân giống</t>
        </is>
      </c>
      <c r="D13292" s="10" t="inlineStr">
        <is>
          <t>Công ty cổ phần Nafoods Group</t>
        </is>
      </c>
      <c r="E13292" s="10" t="inlineStr">
        <is>
          <t>Lương:10 Tr - 15 Tr VND</t>
        </is>
      </c>
      <c r="F13292" s="10" t="inlineStr">
        <is>
          <t>Nghệ An</t>
        </is>
      </c>
      <c r="G13292" s="10" t="inlineStr">
        <is>
          <t>31-03-2026</t>
        </is>
      </c>
      <c r="H13292" s="10" t="inlineStr">
        <is>
          <t>31/03/2026</t>
        </is>
      </c>
      <c r="I13292" s="10" t="inlineStr">
        <is>
          <t>17/03/2026</t>
        </is>
      </c>
      <c r="J13292" s="10" t="inlineStr">
        <is>
          <t>Nông nghiệp</t>
        </is>
      </c>
      <c r="K13292" s="10" t="inlineStr">
        <is>
          <t>2 - 3 Năm</t>
        </is>
      </c>
      <c r="L13292" s="11">
        <f>HYPERLINK("https://careerviet.vn/vi/tim-viec-lam/nhan-vien-ky-thuat-nhan-giong.35C69467.html","Xem chi tiết")</f>
        <v/>
      </c>
      <c r="M13292" s="10" t="n"/>
    </row>
    <row r="13293">
      <c r="B13293" s="7" t="n">
        <v>13291</v>
      </c>
      <c r="C13293" t="inlineStr">
        <is>
          <t>NHÂN VIÊN KINH DOANH BÁN HÀNG TRỰC TIẾP - CN QUẢNG NAM</t>
        </is>
      </c>
      <c r="D13293" t="inlineStr">
        <is>
          <t>Cty TNHH Yakult Việt Nam</t>
        </is>
      </c>
      <c r="E13293" t="inlineStr">
        <is>
          <t>Lương:10 Tr - 14 Tr VND</t>
        </is>
      </c>
      <c r="F13293" t="inlineStr">
        <is>
          <t>Quảng Nam</t>
        </is>
      </c>
      <c r="G13293" t="inlineStr">
        <is>
          <t>31-03-2026</t>
        </is>
      </c>
      <c r="H13293" t="inlineStr">
        <is>
          <t>31/03/2026</t>
        </is>
      </c>
      <c r="I13293" t="inlineStr">
        <is>
          <t>17/03/2026</t>
        </is>
      </c>
      <c r="J13293" t="inlineStr">
        <is>
          <t>Bán lẻ / Bán sỉ</t>
        </is>
      </c>
      <c r="K13293" t="inlineStr">
        <is>
          <t>N/A</t>
        </is>
      </c>
      <c r="L13293" s="8">
        <f>HYPERLINK("https://careerviet.vn/vi/tim-viec-lam/nhan-vien-kinh-doanh-ban-hang-truc-tiep-cn-quang-nam.35C68FA4.html","Xem chi tiết")</f>
        <v/>
      </c>
    </row>
    <row r="13294">
      <c r="B13294" s="9" t="n">
        <v>13292</v>
      </c>
      <c r="C13294" s="10" t="inlineStr">
        <is>
          <t>CV/CVC/CVCC Phân tích hệ thống dữ liệu (Data warehouse) - Làm việc tại TSC Hà Đông, Hà Nội</t>
        </is>
      </c>
      <c r="D13294" s="10" t="inlineStr">
        <is>
          <t>Ngân hàng TMCP Việt Á – VietABank</t>
        </is>
      </c>
      <c r="E13294" s="10" t="inlineStr">
        <is>
          <t>Lương:Cạnh tranh</t>
        </is>
      </c>
      <c r="F13294" s="10" t="inlineStr">
        <is>
          <t>Hà Nội</t>
        </is>
      </c>
      <c r="G13294" s="10" t="inlineStr">
        <is>
          <t>30-03-2026</t>
        </is>
      </c>
      <c r="H13294" s="10" t="inlineStr">
        <is>
          <t>30/03/2026</t>
        </is>
      </c>
      <c r="I13294" s="10" t="inlineStr">
        <is>
          <t>17/03/2026</t>
        </is>
      </c>
      <c r="J13294" s="10" t="inlineStr">
        <is>
          <t>Ngân hàng</t>
        </is>
      </c>
      <c r="K13294" s="10" t="inlineStr">
        <is>
          <t>2 - 3 Năm</t>
        </is>
      </c>
      <c r="L13294" s="11">
        <f>HYPERLINK("https://careerviet.vn/vi/tim-viec-lam/cv-cvc-cvcc-phan-tich-he-thong-du-lieu-data-warehouse-lam-viec-tai-tsc-ha-dong-ha-noi.35C69B49.html","Xem chi tiết")</f>
        <v/>
      </c>
      <c r="M13294" s="10" t="n"/>
    </row>
    <row r="13295">
      <c r="B13295" s="7" t="n">
        <v>13293</v>
      </c>
      <c r="C13295" t="inlineStr">
        <is>
          <t>Kỹ Thuật Tòa Nhà</t>
        </is>
      </c>
      <c r="D13295" t="inlineStr">
        <is>
          <t>Công Ty Cổ Phần Đầu Tư Xây Dựng Bcons</t>
        </is>
      </c>
      <c r="E13295" t="inlineStr">
        <is>
          <t>Lương:Cạnh tranh</t>
        </is>
      </c>
      <c r="F13295" t="inlineStr">
        <is>
          <t>Hồ Chí Minh</t>
        </is>
      </c>
      <c r="G13295" t="inlineStr">
        <is>
          <t>25-03-2026</t>
        </is>
      </c>
      <c r="H13295" t="inlineStr">
        <is>
          <t>25/03/2026</t>
        </is>
      </c>
      <c r="I13295" t="inlineStr">
        <is>
          <t>17/03/2026</t>
        </is>
      </c>
      <c r="J13295" t="inlineStr">
        <is>
          <t>Xây dựng, Bất động sản, An Ninh / Bảo Vệ</t>
        </is>
      </c>
      <c r="K13295" t="inlineStr">
        <is>
          <t>Trên 1 Năm</t>
        </is>
      </c>
      <c r="L13295" s="8">
        <f>HYPERLINK("https://careerviet.vn/vi/tim-viec-lam/ky-thuat-toa-nha.35C69CED.html","Xem chi tiết")</f>
        <v/>
      </c>
    </row>
    <row r="13296">
      <c r="B13296" s="9" t="n">
        <v>13294</v>
      </c>
      <c r="C13296" s="10" t="inlineStr">
        <is>
          <t>Sales Administration (06 Month Contract)</t>
        </is>
      </c>
      <c r="D13296" s="10" t="inlineStr">
        <is>
          <t>Công Ty TNHH Interflour Việt Nam</t>
        </is>
      </c>
      <c r="E13296" s="10" t="inlineStr">
        <is>
          <t>Lương:Cạnh tranh</t>
        </is>
      </c>
      <c r="F13296" s="10" t="inlineStr">
        <is>
          <t>Hồ Chí Minh</t>
        </is>
      </c>
      <c r="G13296" s="10" t="inlineStr">
        <is>
          <t>31-03-2026</t>
        </is>
      </c>
      <c r="H13296" s="10" t="inlineStr">
        <is>
          <t>31/03/2026</t>
        </is>
      </c>
      <c r="I13296" s="10" t="inlineStr">
        <is>
          <t>17/03/2026</t>
        </is>
      </c>
      <c r="J13296" s="10" t="inlineStr">
        <is>
          <t>Bán hàng / Kinh doanh, Tiếp thị trực tuyến, Ngành khác</t>
        </is>
      </c>
      <c r="K13296" s="10" t="inlineStr">
        <is>
          <t>2 - 3 Năm</t>
        </is>
      </c>
      <c r="L13296" s="11">
        <f>HYPERLINK("https://careerviet.vn/vi/tim-viec-lam/sales-administration-06-month-contract.35C6982A.html","Xem chi tiết")</f>
        <v/>
      </c>
      <c r="M13296" s="10" t="n"/>
    </row>
    <row r="13297">
      <c r="B13297" s="7" t="n">
        <v>13295</v>
      </c>
      <c r="C13297" t="inlineStr">
        <is>
          <t>[Hà Nội] - Chuyên Viên Điều Tra Gian Lận</t>
        </is>
      </c>
      <c r="D13297" t="inlineStr">
        <is>
          <t>Công Ty Tài Chính Mirae Asset (Việt Nam)</t>
        </is>
      </c>
      <c r="E13297" t="inlineStr">
        <is>
          <t>Lương:Cạnh tranh</t>
        </is>
      </c>
      <c r="F13297" t="inlineStr">
        <is>
          <t>Hà Nam</t>
        </is>
      </c>
      <c r="G13297" t="inlineStr">
        <is>
          <t>28-03-2026</t>
        </is>
      </c>
      <c r="H13297" t="inlineStr">
        <is>
          <t>28/03/2026</t>
        </is>
      </c>
      <c r="I13297" t="inlineStr">
        <is>
          <t>17/03/2026</t>
        </is>
      </c>
      <c r="J13297" t="inlineStr">
        <is>
          <t>Ngân hàng, Luật / Pháp lý, An Ninh / Bảo Vệ</t>
        </is>
      </c>
      <c r="K13297" t="inlineStr">
        <is>
          <t>Trên 2 Năm</t>
        </is>
      </c>
      <c r="L13297" s="8">
        <f>HYPERLINK("https://careerviet.vn/vi/tim-viec-lam/ha-noi-chuyen-vien-dieu-tra-gian-lan.35C69CAA.html","Xem chi tiết")</f>
        <v/>
      </c>
    </row>
    <row r="13298">
      <c r="B13298" s="9" t="n">
        <v>13296</v>
      </c>
      <c r="C13298" s="10" t="inlineStr">
        <is>
          <t>Head of Database Administration and Operations</t>
        </is>
      </c>
      <c r="D13298" s="10" t="inlineStr">
        <is>
          <t>Nova Service Group - Công ty Cổ phần Tập đoàn Nova Services</t>
        </is>
      </c>
      <c r="E13298" s="10" t="inlineStr">
        <is>
          <t>Lương:Cạnh tranh</t>
        </is>
      </c>
      <c r="F13298" s="10" t="inlineStr">
        <is>
          <t>Hồ Chí Minh</t>
        </is>
      </c>
      <c r="G13298" s="10" t="inlineStr">
        <is>
          <t>31-03-2026</t>
        </is>
      </c>
      <c r="H13298" s="10" t="inlineStr">
        <is>
          <t>31/03/2026</t>
        </is>
      </c>
      <c r="I13298" s="10" t="inlineStr">
        <is>
          <t>17/03/2026</t>
        </is>
      </c>
      <c r="J13298" s="10" t="inlineStr">
        <is>
          <t>CNTT - Phần mềm</t>
        </is>
      </c>
      <c r="K13298" s="10" t="inlineStr">
        <is>
          <t>7 - 30 Năm</t>
        </is>
      </c>
      <c r="L13298" s="11">
        <f>HYPERLINK("https://careerviet.vn/vi/tim-viec-lam/head-of-database-administration-and-operations.35C699BD.html","Xem chi tiết")</f>
        <v/>
      </c>
      <c r="M13298" s="10" t="n"/>
    </row>
    <row r="13299">
      <c r="B13299" s="7" t="n">
        <v>13297</v>
      </c>
      <c r="C13299" t="inlineStr">
        <is>
          <t>Nhân Viên Kinh Doanh (Based in Đà Lạt)</t>
        </is>
      </c>
      <c r="D13299" t="inlineStr">
        <is>
          <t>CÔNG TY CỔ PHẦN VẮC XIN VÀ SINH PHẨM NAM HƯNG VIỆT</t>
        </is>
      </c>
      <c r="E13299" t="inlineStr">
        <is>
          <t>Lương:12 Tr - 30 Tr VND</t>
        </is>
      </c>
      <c r="F13299" t="inlineStr">
        <is>
          <t>Lâm ĐồngDak NôngDak Lak</t>
        </is>
      </c>
      <c r="G13299" t="inlineStr">
        <is>
          <t>31-03-2026</t>
        </is>
      </c>
      <c r="H13299" t="inlineStr">
        <is>
          <t>31/03/2026</t>
        </is>
      </c>
      <c r="I13299" t="inlineStr">
        <is>
          <t>17/03/2026</t>
        </is>
      </c>
      <c r="J13299" t="inlineStr">
        <is>
          <t>Bán hàng / Kinh doanh, Dược phẩm/ Hóa Mỹ Phẩm, Y tế / Chăm sóc sức khỏe / Thẩm mỹ / Làm đẹp</t>
        </is>
      </c>
      <c r="K13299" t="inlineStr">
        <is>
          <t>2 - 5 Năm</t>
        </is>
      </c>
      <c r="L13299" s="8">
        <f>HYPERLINK("https://careerviet.vn/vi/tim-viec-lam/nhan-vien-kinh-doanh-based-in-da-lat.35C69B92.html","Xem chi tiết")</f>
        <v/>
      </c>
    </row>
    <row r="13300">
      <c r="B13300" s="9" t="n">
        <v>13298</v>
      </c>
      <c r="C13300" s="10" t="inlineStr">
        <is>
          <t>COMPLIANCE SUPERVISOR</t>
        </is>
      </c>
      <c r="D13300" s="10" t="inlineStr">
        <is>
          <t>CÔNG TY TNHH TALENTMAP</t>
        </is>
      </c>
      <c r="E13300" s="10" t="inlineStr">
        <is>
          <t>Lương:700 - 900 USD</t>
        </is>
      </c>
      <c r="F13300" s="10" t="inlineStr">
        <is>
          <t>Bến Tre</t>
        </is>
      </c>
      <c r="G13300" s="10" t="inlineStr">
        <is>
          <t>31-03-2026</t>
        </is>
      </c>
      <c r="H13300" s="10" t="inlineStr">
        <is>
          <t>31/03/2026</t>
        </is>
      </c>
      <c r="I13300" s="10" t="inlineStr">
        <is>
          <t>17/03/2026</t>
        </is>
      </c>
      <c r="J13300" s="10" t="inlineStr">
        <is>
          <t>An toàn lao động, Sản xuất / Vận hành sản xuất</t>
        </is>
      </c>
      <c r="K13300" s="10" t="inlineStr">
        <is>
          <t>5 - 7 Năm</t>
        </is>
      </c>
      <c r="L13300" s="11">
        <f>HYPERLINK("https://careerviet.vn/vi/tim-viec-lam/compliance-supervisor.35C69C49.html","Xem chi tiết")</f>
        <v/>
      </c>
      <c r="M13300" s="10" t="n"/>
    </row>
    <row r="13301">
      <c r="B13301" s="7" t="n">
        <v>13299</v>
      </c>
      <c r="C13301" t="inlineStr">
        <is>
          <t>Personal Assistant for Sales Manager Expat</t>
        </is>
      </c>
      <c r="D13301" t="inlineStr">
        <is>
          <t>Công ty TNHH FES VietNam</t>
        </is>
      </c>
      <c r="E13301" t="inlineStr">
        <is>
          <t>Lương:Cạnh tranh</t>
        </is>
      </c>
      <c r="F13301" t="inlineStr">
        <is>
          <t>Đà Nẵng</t>
        </is>
      </c>
      <c r="G13301" t="inlineStr">
        <is>
          <t>31-05-2026</t>
        </is>
      </c>
      <c r="H13301" t="inlineStr">
        <is>
          <t>31/05/2026</t>
        </is>
      </c>
      <c r="I13301" t="inlineStr">
        <is>
          <t>17/03/2026</t>
        </is>
      </c>
      <c r="J13301" t="inlineStr">
        <is>
          <t>Bán hàng / Kinh doanh, Hành chính / Thư ký, Biên phiên dịch</t>
        </is>
      </c>
      <c r="K13301" t="inlineStr">
        <is>
          <t>1 - 3 Năm</t>
        </is>
      </c>
      <c r="L13301" s="8">
        <f>HYPERLINK("https://careerviet.vn/vi/tim-viec-lam/personal-assistant-for-sales-manager-expat.35C69CBA.html","Xem chi tiết")</f>
        <v/>
      </c>
    </row>
    <row r="13302">
      <c r="B13302" s="9" t="n">
        <v>13300</v>
      </c>
      <c r="C13302" s="10" t="inlineStr">
        <is>
          <t>Nhân viên kiểm soát chất lượng QC</t>
        </is>
      </c>
      <c r="D13302" s="10" t="inlineStr">
        <is>
          <t>Công ty TNHH Thịnh Gia Huy</t>
        </is>
      </c>
      <c r="E13302" s="10" t="inlineStr">
        <is>
          <t>Lương:13 Tr - 20 Tr VND</t>
        </is>
      </c>
      <c r="F13302" s="10" t="inlineStr">
        <is>
          <t>Long An</t>
        </is>
      </c>
      <c r="G13302" s="10" t="inlineStr">
        <is>
          <t>26-03-2026</t>
        </is>
      </c>
      <c r="H13302" s="10" t="inlineStr">
        <is>
          <t>26/03/2026</t>
        </is>
      </c>
      <c r="I13302" s="10" t="inlineStr">
        <is>
          <t>17/03/2026</t>
        </is>
      </c>
      <c r="J13302" s="10" t="inlineStr">
        <is>
          <t>Sản xuất / Vận hành sản xuất, Quản lý chất lượng (QA/QC)</t>
        </is>
      </c>
      <c r="K13302" s="10" t="inlineStr">
        <is>
          <t>1 - 3 Năm</t>
        </is>
      </c>
      <c r="L13302" s="11">
        <f>HYPERLINK("https://careerviet.vn/vi/tim-viec-lam/nhan-vien-kiem-soat-chat-luong-qc.35C698CD.html","Xem chi tiết")</f>
        <v/>
      </c>
      <c r="M13302" s="10" t="n"/>
    </row>
    <row r="13303">
      <c r="B13303" s="7" t="n">
        <v>13301</v>
      </c>
      <c r="C13303" t="inlineStr">
        <is>
          <t>Lobby Ambassador</t>
        </is>
      </c>
      <c r="D13303" t="inlineStr">
        <is>
          <t>Công Ty TNHH Dự Án Hồ Tràm</t>
        </is>
      </c>
      <c r="E13303" t="inlineStr">
        <is>
          <t>Lương:Cạnh tranh</t>
        </is>
      </c>
      <c r="F13303" t="inlineStr">
        <is>
          <t>Hồ Chí Minh</t>
        </is>
      </c>
      <c r="G13303" t="inlineStr">
        <is>
          <t>28-03-2026</t>
        </is>
      </c>
      <c r="H13303" t="inlineStr">
        <is>
          <t>28/03/2026</t>
        </is>
      </c>
      <c r="I13303" t="inlineStr">
        <is>
          <t>17/03/2026</t>
        </is>
      </c>
      <c r="J13303" t="inlineStr">
        <is>
          <t>Dịch vụ khách hàng</t>
        </is>
      </c>
      <c r="K13303" t="inlineStr">
        <is>
          <t>1 - 2 Năm</t>
        </is>
      </c>
      <c r="L13303" s="8">
        <f>HYPERLINK("https://careerviet.vn/vi/tim-viec-lam/lobby-ambassador.35C699E1.html","Xem chi tiết")</f>
        <v/>
      </c>
    </row>
    <row r="13304">
      <c r="B13304" s="9" t="n">
        <v>13302</v>
      </c>
      <c r="C13304" s="10" t="inlineStr">
        <is>
          <t>Nhân Viên Tư Vấn Kinh Doanh Mảng Auto trả góp - Hà Nội</t>
        </is>
      </c>
      <c r="D13304" s="10" t="inlineStr">
        <is>
          <t>Công Ty Tài Chính TNHH Một Thành Viên Quốc Tế Việt Nam JACCS</t>
        </is>
      </c>
      <c r="E13304" s="10" t="inlineStr">
        <is>
          <t>Lương:7 Tr - 12 Tr VND</t>
        </is>
      </c>
      <c r="F13304" s="10" t="inlineStr">
        <is>
          <t>Hà Nội</t>
        </is>
      </c>
      <c r="G13304" s="10" t="inlineStr">
        <is>
          <t>26-03-2026</t>
        </is>
      </c>
      <c r="H13304" s="10" t="inlineStr">
        <is>
          <t>26/03/2026</t>
        </is>
      </c>
      <c r="I13304" s="10" t="inlineStr">
        <is>
          <t>17/03/2026</t>
        </is>
      </c>
      <c r="J13304" s="10" t="inlineStr">
        <is>
          <t>Bán hàng / Kinh doanh, Ngân hàng, Tài chính / Đầu tư</t>
        </is>
      </c>
      <c r="K13304" s="10" t="inlineStr">
        <is>
          <t>1 - 2 Năm</t>
        </is>
      </c>
      <c r="L13304" s="11">
        <f>HYPERLINK("https://careerviet.vn/vi/tim-viec-lam/nhan-vien-tu-van-kinh-doanh-mang-auto-tra-gop-ha-noi.35C6995B.html","Xem chi tiết")</f>
        <v/>
      </c>
      <c r="M13304" s="10" t="n"/>
    </row>
    <row r="13305">
      <c r="B13305" s="7" t="n">
        <v>13303</v>
      </c>
      <c r="C13305" t="inlineStr">
        <is>
          <t>PHIÊN DỊCH TIẾNG HÀN CHO SẢN XUẤT</t>
        </is>
      </c>
      <c r="D13305" t="inlineStr">
        <is>
          <t>CÔNG TY TNHH YN VIỆT NAM</t>
        </is>
      </c>
      <c r="E13305" t="inlineStr">
        <is>
          <t>Lương:18 Tr - 23 Tr VND</t>
        </is>
      </c>
      <c r="F13305" t="inlineStr">
        <is>
          <t>Bình Dương</t>
        </is>
      </c>
      <c r="G13305" t="inlineStr">
        <is>
          <t>31-03-2026</t>
        </is>
      </c>
      <c r="H13305" t="inlineStr">
        <is>
          <t>31/03/2026</t>
        </is>
      </c>
      <c r="I13305" t="inlineStr">
        <is>
          <t>17/03/2026</t>
        </is>
      </c>
      <c r="J13305" t="inlineStr">
        <is>
          <t>Biên phiên dịch, Sản xuất / Vận hành sản xuất, Hành chính / Thư ký</t>
        </is>
      </c>
      <c r="K13305" t="inlineStr">
        <is>
          <t>2 - 4 NămĐịa điểm</t>
        </is>
      </c>
      <c r="L13305" s="8">
        <f>HYPERLINK("https://careerviet.vn/vi/tim-viec-lam/phien-dich-tieng-han-cho-san-xuat.35C698C5.html","Xem chi tiết")</f>
        <v/>
      </c>
    </row>
    <row r="13306">
      <c r="B13306" s="9" t="n">
        <v>13304</v>
      </c>
      <c r="C13306" s="10" t="inlineStr">
        <is>
          <t>Nhân viên kế toán kho (Làm việc tại Đức Hoà - Long An (cũ))</t>
        </is>
      </c>
      <c r="D13306" s="10" t="inlineStr">
        <is>
          <t>Công ty cổ phần Nafoods Group</t>
        </is>
      </c>
      <c r="E13306" s="10" t="inlineStr">
        <is>
          <t>Lương:10 Tr - 12 Tr VND</t>
        </is>
      </c>
      <c r="F13306" s="10" t="inlineStr">
        <is>
          <t>Long An</t>
        </is>
      </c>
      <c r="G13306" s="10" t="inlineStr">
        <is>
          <t>26-03-2026</t>
        </is>
      </c>
      <c r="H13306" s="10" t="inlineStr">
        <is>
          <t>26/03/2026</t>
        </is>
      </c>
      <c r="I13306" s="10" t="inlineStr">
        <is>
          <t>17/03/2026</t>
        </is>
      </c>
      <c r="J13306" s="10" t="inlineStr">
        <is>
          <t>Kế toán / Kiểm toán</t>
        </is>
      </c>
      <c r="K13306" s="10" t="inlineStr">
        <is>
          <t>1 - 2 Năm</t>
        </is>
      </c>
      <c r="L13306" s="11">
        <f>HYPERLINK("https://careerviet.vn/vi/tim-viec-lam/nhan-vien-ke-toan-kho-lam-viec-tai-duc-hoa-long-an-cu.35C69A20.html","Xem chi tiết")</f>
        <v/>
      </c>
      <c r="M13306" s="10" t="n"/>
    </row>
    <row r="13307">
      <c r="B13307" s="7" t="n">
        <v>13305</v>
      </c>
      <c r="C13307" t="inlineStr">
        <is>
          <t>GIÁM SÁT CẢNH QUAN CÂY XANH</t>
        </is>
      </c>
      <c r="D13307" t="inlineStr">
        <is>
          <t>Công Ty Cổ Phần Đầu Tư Nam Long</t>
        </is>
      </c>
      <c r="E13307" t="inlineStr">
        <is>
          <t>Lương:10 Tr - 16 Tr VND</t>
        </is>
      </c>
      <c r="F13307" t="inlineStr">
        <is>
          <t>Hồ Chí Minh</t>
        </is>
      </c>
      <c r="G13307" t="inlineStr">
        <is>
          <t>31-03-2026</t>
        </is>
      </c>
      <c r="H13307" t="inlineStr">
        <is>
          <t>31/03/2026</t>
        </is>
      </c>
      <c r="I13307" t="inlineStr">
        <is>
          <t>17/03/2026</t>
        </is>
      </c>
      <c r="J13307" t="inlineStr">
        <is>
          <t>Lâm Nghiệp</t>
        </is>
      </c>
      <c r="K13307" t="inlineStr">
        <is>
          <t>Chưa có kinh nghiệm</t>
        </is>
      </c>
      <c r="L13307" s="8">
        <f>HYPERLINK("https://careerviet.vn/vi/tim-viec-lam/giam-sat-canh-quan-cay-xanh.35C6997D.html","Xem chi tiết")</f>
        <v/>
      </c>
    </row>
    <row r="13308">
      <c r="B13308" s="9" t="n">
        <v>13306</v>
      </c>
      <c r="C13308" s="10" t="inlineStr">
        <is>
          <t>Kỹ Sư Thiết Kế Cơ Khí R&amp;D (Máy lọc nước Karofi) - Tại Hưng Yên</t>
        </is>
      </c>
      <c r="D13308" s="10" t="inlineStr">
        <is>
          <t>Tập Đoàn Karofi Holding</t>
        </is>
      </c>
      <c r="E13308" s="10" t="inlineStr">
        <is>
          <t>Lương:Cạnh tranh</t>
        </is>
      </c>
      <c r="F13308" s="10" t="inlineStr">
        <is>
          <t>Hưng Yên</t>
        </is>
      </c>
      <c r="G13308" s="10" t="inlineStr">
        <is>
          <t>28-03-2026</t>
        </is>
      </c>
      <c r="H13308" s="10" t="inlineStr">
        <is>
          <t>28/03/2026</t>
        </is>
      </c>
      <c r="I13308" s="10" t="inlineStr">
        <is>
          <t>17/03/2026</t>
        </is>
      </c>
      <c r="J13308" s="10" t="inlineStr">
        <is>
          <t>Cơ khí / Ô tô / Tự động hóa, Sản xuất / Vận hành sản xuất, Điện / Điện tử / Điện lạnh / Điện công nghiệp</t>
        </is>
      </c>
      <c r="K13308" s="10" t="inlineStr">
        <is>
          <t>Trên 1 Năm</t>
        </is>
      </c>
      <c r="L13308" s="11">
        <f>HYPERLINK("https://careerviet.vn/vi/tim-viec-lam/ky-su-thiet-ke-co-khi-r-d-may-loc-nuoc-karofi-tai-hung-yen.35C6998C.html","Xem chi tiết")</f>
        <v/>
      </c>
      <c r="M13308" s="10" t="n"/>
    </row>
    <row r="13309">
      <c r="B13309" s="7" t="n">
        <v>13307</v>
      </c>
      <c r="C13309" t="inlineStr">
        <is>
          <t>Chuyên viên IT Network</t>
        </is>
      </c>
      <c r="D13309" t="inlineStr">
        <is>
          <t>Công ty cổ phần Tập đoàn Danko</t>
        </is>
      </c>
      <c r="E13309" t="inlineStr">
        <is>
          <t>Lương:15 Tr - 20 Tr VND</t>
        </is>
      </c>
      <c r="F13309" t="inlineStr">
        <is>
          <t>Hà Nội</t>
        </is>
      </c>
      <c r="G13309" t="inlineStr">
        <is>
          <t>31-03-2026</t>
        </is>
      </c>
      <c r="H13309" t="inlineStr">
        <is>
          <t>31/03/2026</t>
        </is>
      </c>
      <c r="I13309" t="inlineStr">
        <is>
          <t>17/03/2026</t>
        </is>
      </c>
      <c r="J13309" t="inlineStr">
        <is>
          <t>CNTT - Phần cứng / Mạng</t>
        </is>
      </c>
      <c r="K13309" t="inlineStr">
        <is>
          <t>5 - 10 Năm</t>
        </is>
      </c>
      <c r="L13309" s="8">
        <f>HYPERLINK("https://careerviet.vn/vi/tim-viec-lam/chuyen-vien-it-network.35C698DB.html","Xem chi tiết")</f>
        <v/>
      </c>
    </row>
    <row r="13310">
      <c r="B13310" s="9" t="n">
        <v>13308</v>
      </c>
      <c r="C13310" s="10" t="inlineStr">
        <is>
          <t>GIÁM SÁT HIỆN TRƯỜNG MEP - LÀM VIỆC TẠI PHÚ QUỐC (ML 15tr - 20tr)</t>
        </is>
      </c>
      <c r="D13310" s="10" t="inlineStr">
        <is>
          <t>CÔNG TY CỔ PHẦN ĐIỆN VÀ XÂY DỰNG NAM VIỆT</t>
        </is>
      </c>
      <c r="E13310" s="10" t="inlineStr">
        <is>
          <t>Lương:15 Tr - 20 Tr VND</t>
        </is>
      </c>
      <c r="F13310" s="10" t="inlineStr">
        <is>
          <t>An Giang</t>
        </is>
      </c>
      <c r="G13310" s="10" t="inlineStr">
        <is>
          <t>11-03-2026</t>
        </is>
      </c>
      <c r="H13310" s="10" t="inlineStr">
        <is>
          <t>10/03/2026</t>
        </is>
      </c>
      <c r="I13310" s="10" t="inlineStr">
        <is>
          <t>17/03/2026</t>
        </is>
      </c>
      <c r="J13310" s="10" t="inlineStr">
        <is>
          <t>Xây dựng, Điện / Điện tử / Điện lạnh / Điện công nghiệp, An toàn lao động</t>
        </is>
      </c>
      <c r="K13310" s="10" t="inlineStr">
        <is>
          <t>Lên đến 2 Năm</t>
        </is>
      </c>
      <c r="L13310" s="11">
        <f>HYPERLINK("https://careerviet.vn/vi/tim-viec-lam/giam-sat-hien-truong-mep-lam-viec-tai-phu-quoc-ml-15tr-20tr.35C689B7.html","Xem chi tiết")</f>
        <v/>
      </c>
      <c r="M13310" s="10" t="n"/>
    </row>
    <row r="13311">
      <c r="B13311" s="7" t="n">
        <v>13309</v>
      </c>
      <c r="C13311" t="inlineStr">
        <is>
          <t>NHÂN VIÊN TƯ VẤN VAY TẠI PHÒNG GIAO DỊCH</t>
        </is>
      </c>
      <c r="D13311" t="inlineStr">
        <is>
          <t>CÔNG TY TNHH K&amp;M VINA</t>
        </is>
      </c>
      <c r="E13311" t="inlineStr">
        <is>
          <t>Lương:7 Tr - 20 Tr VND</t>
        </is>
      </c>
      <c r="F13311" t="inlineStr">
        <is>
          <t>Hồ Chí Minh</t>
        </is>
      </c>
      <c r="G13311" t="inlineStr">
        <is>
          <t>15-04-2026</t>
        </is>
      </c>
      <c r="H13311" t="inlineStr">
        <is>
          <t>15/04/2026</t>
        </is>
      </c>
      <c r="I13311" t="inlineStr">
        <is>
          <t>17/03/2026</t>
        </is>
      </c>
      <c r="J13311" t="inlineStr">
        <is>
          <t>Bán hàng / Kinh doanh, Tư vấn, Tài chính / Đầu tư</t>
        </is>
      </c>
      <c r="K13311" t="inlineStr">
        <is>
          <t>N/A</t>
        </is>
      </c>
      <c r="L13311" s="8">
        <f>HYPERLINK("https://careerviet.vn/vi/tim-viec-lam/nhan-vien-tu-van-vay-tai-phong-giao-dich.35C69961.html","Xem chi tiết")</f>
        <v/>
      </c>
    </row>
    <row r="13312">
      <c r="B13312" s="9" t="n">
        <v>13310</v>
      </c>
      <c r="C13312" s="10" t="inlineStr">
        <is>
          <t>Chuyên Viên Marketing</t>
        </is>
      </c>
      <c r="D13312" s="10" t="inlineStr">
        <is>
          <t>CÔNG TY TNHH DỊCH VỤ BẢO AN T&amp;T VIỆT NAM</t>
        </is>
      </c>
      <c r="E13312" s="10" t="inlineStr">
        <is>
          <t>Lương:Cạnh tranh</t>
        </is>
      </c>
      <c r="F13312" s="10" t="inlineStr">
        <is>
          <t>Hà Nội</t>
        </is>
      </c>
      <c r="G13312" s="10" t="inlineStr">
        <is>
          <t>25-03-2026</t>
        </is>
      </c>
      <c r="H13312" s="10" t="inlineStr">
        <is>
          <t>25/03/2026</t>
        </is>
      </c>
      <c r="I13312" s="10" t="inlineStr">
        <is>
          <t>17/03/2026</t>
        </is>
      </c>
      <c r="J13312" s="10" t="inlineStr">
        <is>
          <t>Tiếp thị / Marketing, Tiếp thị trực tuyến, Quảng cáo / Đối ngoại / Truyền Thông</t>
        </is>
      </c>
      <c r="K13312" s="10" t="inlineStr">
        <is>
          <t>Lên đến 1 Năm</t>
        </is>
      </c>
      <c r="L13312" s="11">
        <f>HYPERLINK("https://careerviet.vn/vi/tim-viec-lam/chuyen-vien-marketing.35C69BC1.html","Xem chi tiết")</f>
        <v/>
      </c>
      <c r="M13312" s="10" t="n"/>
    </row>
    <row r="13313">
      <c r="B13313" s="7" t="n">
        <v>13311</v>
      </c>
      <c r="C13313" t="inlineStr">
        <is>
          <t>Chỉ Huy Trưởng Cơ Điện</t>
        </is>
      </c>
      <c r="D13313" t="inlineStr">
        <is>
          <t>CÔNG TY CỔ PHẦN ĐIỆN VÀ XÂY DỰNG NAM VIỆT</t>
        </is>
      </c>
      <c r="E13313" t="inlineStr">
        <is>
          <t>Lương:Cạnh tranh</t>
        </is>
      </c>
      <c r="F13313" t="inlineStr">
        <is>
          <t>Hồ Chí Minh</t>
        </is>
      </c>
      <c r="G13313" t="inlineStr">
        <is>
          <t>11-03-2026</t>
        </is>
      </c>
      <c r="H13313" t="inlineStr">
        <is>
          <t>10/03/2026</t>
        </is>
      </c>
      <c r="I13313" t="inlineStr">
        <is>
          <t>17/03/2026</t>
        </is>
      </c>
      <c r="J13313" t="inlineStr">
        <is>
          <t>Xây dựng, Điện / Điện tử / Điện lạnh / Điện công nghiệp, Quản lý điều hành</t>
        </is>
      </c>
      <c r="K13313" t="inlineStr">
        <is>
          <t>2 - 5 Năm</t>
        </is>
      </c>
      <c r="L13313" s="8">
        <f>HYPERLINK("https://careerviet.vn/vi/tim-viec-lam/chi-huy-truong-co-dien.35C68A1E.html","Xem chi tiết")</f>
        <v/>
      </c>
    </row>
    <row r="13314">
      <c r="B13314" s="9" t="n">
        <v>13312</v>
      </c>
      <c r="C13314" s="10" t="inlineStr">
        <is>
          <t>Giám Sát Hệ Thống Điện</t>
        </is>
      </c>
      <c r="D13314" s="10" t="inlineStr">
        <is>
          <t>CÔNG TY TNHH ĐẦU TƯ CHUYỂN GIAO CÔNG NGHỆ TOÀN CẦU</t>
        </is>
      </c>
      <c r="E13314" s="10" t="inlineStr">
        <is>
          <t>Lương:12 Tr - 25 Tr VND</t>
        </is>
      </c>
      <c r="F13314" s="10" t="inlineStr">
        <is>
          <t>Hồ Chí Minh</t>
        </is>
      </c>
      <c r="G13314" s="10" t="inlineStr">
        <is>
          <t>01-04-2026</t>
        </is>
      </c>
      <c r="H13314" s="10" t="inlineStr">
        <is>
          <t>01/04/2026</t>
        </is>
      </c>
      <c r="I13314" s="10" t="inlineStr">
        <is>
          <t>17/03/2026</t>
        </is>
      </c>
      <c r="J13314" s="10" t="inlineStr">
        <is>
          <t>Điện / Điện tử / Điện lạnh / Điện công nghiệp, Xây dựng, Bảo trì / Sửa chữa</t>
        </is>
      </c>
      <c r="K13314" s="10" t="inlineStr">
        <is>
          <t>3 - 5 Năm</t>
        </is>
      </c>
      <c r="L13314" s="11">
        <f>HYPERLINK("https://careerviet.vn/vi/tim-viec-lam/giam-sat-he-thong-dien.35C69C6A.html","Xem chi tiết")</f>
        <v/>
      </c>
      <c r="M13314" s="10" t="n"/>
    </row>
    <row r="13315">
      <c r="B13315" s="7" t="n">
        <v>13313</v>
      </c>
      <c r="C13315" t="inlineStr">
        <is>
          <t>TUYỂN DỤNG TÀI XẾ LÁI XE CUỐC - tại PHÚ QUỐC (ML: 15tr - 20tr) Có chỗ ở</t>
        </is>
      </c>
      <c r="D13315" t="inlineStr">
        <is>
          <t>CÔNG TY CỔ PHẦN ĐIỆN VÀ XÂY DỰNG NAM VIỆT</t>
        </is>
      </c>
      <c r="E13315" t="inlineStr">
        <is>
          <t>Lương:15 Tr - 20 Tr VND</t>
        </is>
      </c>
      <c r="F13315" t="inlineStr">
        <is>
          <t>An Giang</t>
        </is>
      </c>
      <c r="G13315" t="inlineStr">
        <is>
          <t>26-03-2026</t>
        </is>
      </c>
      <c r="H13315" t="inlineStr">
        <is>
          <t>26/03/2026</t>
        </is>
      </c>
      <c r="I13315" t="inlineStr">
        <is>
          <t>17/03/2026</t>
        </is>
      </c>
      <c r="J13315" t="inlineStr">
        <is>
          <t>Lao động phổ thông, Vận chuyển / Giao nhận / Kho vận, Ngành khác</t>
        </is>
      </c>
      <c r="K13315" t="inlineStr">
        <is>
          <t>2 - 3 Năm</t>
        </is>
      </c>
      <c r="L13315" s="8">
        <f>HYPERLINK("https://careerviet.vn/vi/tim-viec-lam/tuyen-dung-tai-xe-lai-xe-cuoc-tai-phu-quoc-ml-15tr-20tr-co-cho-o.35C68A1C.html","Xem chi tiết")</f>
        <v/>
      </c>
    </row>
    <row r="13316">
      <c r="B13316" s="9" t="n">
        <v>13314</v>
      </c>
      <c r="C13316" s="10" t="inlineStr">
        <is>
          <t>Chuyên viên kiểm toán nội bộ</t>
        </is>
      </c>
      <c r="D13316" s="10" t="inlineStr">
        <is>
          <t>Tập Đoàn Lộc Trời</t>
        </is>
      </c>
      <c r="E13316" s="10" t="inlineStr">
        <is>
          <t>Lương:Cạnh tranh</t>
        </is>
      </c>
      <c r="F13316" s="10" t="inlineStr">
        <is>
          <t>Hồ Chí Minh</t>
        </is>
      </c>
      <c r="G13316" s="10" t="inlineStr">
        <is>
          <t>26-03-2026</t>
        </is>
      </c>
      <c r="H13316" s="10" t="inlineStr">
        <is>
          <t>26/03/2026</t>
        </is>
      </c>
      <c r="I13316" s="10" t="inlineStr">
        <is>
          <t>17/03/2026</t>
        </is>
      </c>
      <c r="J13316" s="10" t="inlineStr">
        <is>
          <t>Kế toán / Kiểm toán, Tài chính / Đầu tư, Sản xuất / Vận hành sản xuất</t>
        </is>
      </c>
      <c r="K13316" s="10" t="inlineStr">
        <is>
          <t>2 - 6 NămĐịa điểm</t>
        </is>
      </c>
      <c r="L13316" s="11">
        <f>HYPERLINK("https://careerviet.vn/vi/tim-viec-lam/chuyen-vien-kiem-toan-noi-bo.35C69C97.html","Xem chi tiết")</f>
        <v/>
      </c>
      <c r="M13316" s="10" t="n"/>
    </row>
    <row r="13317">
      <c r="B13317" s="7" t="n">
        <v>13315</v>
      </c>
      <c r="C13317" t="inlineStr">
        <is>
          <t>Chuyên Viên Sản Xuất Hình Ảnh - Video</t>
        </is>
      </c>
      <c r="D13317" t="inlineStr">
        <is>
          <t>Công Ty Cổ Phần GreenFeed Việt Nam</t>
        </is>
      </c>
      <c r="E13317" t="inlineStr">
        <is>
          <t>Lương:Cạnh tranh</t>
        </is>
      </c>
      <c r="F13317" t="inlineStr">
        <is>
          <t>Hồ Chí Minh</t>
        </is>
      </c>
      <c r="G13317" t="inlineStr">
        <is>
          <t>28-03-2026</t>
        </is>
      </c>
      <c r="H13317" t="inlineStr">
        <is>
          <t>28/03/2026</t>
        </is>
      </c>
      <c r="I13317" t="inlineStr">
        <is>
          <t>17/03/2026</t>
        </is>
      </c>
      <c r="J13317" t="inlineStr">
        <is>
          <t>Quảng cáo / Đối ngoại / Truyền Thông</t>
        </is>
      </c>
      <c r="K13317" t="inlineStr">
        <is>
          <t>1 - 5 Năm</t>
        </is>
      </c>
      <c r="L13317" s="8">
        <f>HYPERLINK("https://careerviet.vn/vi/tim-viec-lam/chuyen-vien-san-xuat-hinh-anh-video.35C69CB7.html","Xem chi tiết")</f>
        <v/>
      </c>
    </row>
    <row r="13318">
      <c r="B13318" s="9" t="n">
        <v>13316</v>
      </c>
      <c r="C13318" s="10" t="inlineStr">
        <is>
          <t>Video Editor (Mảng xe điện)</t>
        </is>
      </c>
      <c r="D13318" s="10" t="inlineStr">
        <is>
          <t>Công Ty TNHH XNK Phát Triển Đông Dương</t>
        </is>
      </c>
      <c r="E13318" s="10" t="inlineStr">
        <is>
          <t>Lương:15 Tr - 18 Tr VND</t>
        </is>
      </c>
      <c r="F13318" s="10" t="inlineStr">
        <is>
          <t>Hồ Chí Minh</t>
        </is>
      </c>
      <c r="G13318" s="10" t="inlineStr">
        <is>
          <t>31-03-2026</t>
        </is>
      </c>
      <c r="H13318" s="10" t="inlineStr">
        <is>
          <t>31/03/2026</t>
        </is>
      </c>
      <c r="I13318" s="10" t="inlineStr">
        <is>
          <t>17/03/2026</t>
        </is>
      </c>
      <c r="J13318" s="10" t="inlineStr">
        <is>
          <t>Tiếp thị / Marketing, Quảng cáo / Đối ngoại / Truyền Thông, Truyền hình / Báo chí / Biên tập</t>
        </is>
      </c>
      <c r="K13318" s="10" t="inlineStr">
        <is>
          <t>2 - 3 Năm</t>
        </is>
      </c>
      <c r="L13318" s="11">
        <f>HYPERLINK("https://careerviet.vn/vi/tim-viec-lam/video-editor-mang-xe-dien.35C69C75.html","Xem chi tiết")</f>
        <v/>
      </c>
      <c r="M13318" s="10" t="n"/>
    </row>
    <row r="13319">
      <c r="B13319" s="7" t="n">
        <v>13317</v>
      </c>
      <c r="C13319" t="inlineStr">
        <is>
          <t>NHÂN VIÊN VẬN HÀNH &amp; BẢO TRÌ HỆ THỐNG LẠNH (Pleiku - Gia Lai)</t>
        </is>
      </c>
      <c r="D13319" t="inlineStr">
        <is>
          <t>Công ty cổ phần Nafoods Group</t>
        </is>
      </c>
      <c r="E13319" t="inlineStr">
        <is>
          <t>Lương:10 Tr - 12 Tr VND</t>
        </is>
      </c>
      <c r="F13319" t="inlineStr">
        <is>
          <t>Gia Lai</t>
        </is>
      </c>
      <c r="G13319" t="inlineStr">
        <is>
          <t>30-04-2026</t>
        </is>
      </c>
      <c r="H13319" t="inlineStr">
        <is>
          <t>30/04/2026</t>
        </is>
      </c>
      <c r="I13319" t="inlineStr">
        <is>
          <t>17/03/2026</t>
        </is>
      </c>
      <c r="J13319" t="inlineStr">
        <is>
          <t>Điện / Điện tử / Điện lạnh / Điện công nghiệp</t>
        </is>
      </c>
      <c r="K13319" t="inlineStr">
        <is>
          <t>Chưa có kinh nghiệm</t>
        </is>
      </c>
      <c r="L13319" s="8">
        <f>HYPERLINK("https://careerviet.vn/vi/tim-viec-lam/nhan-vien-van-hanh-bao-tri-he-thong-lanh-pleiku-gia-lai.35C69B28.html","Xem chi tiết")</f>
        <v/>
      </c>
    </row>
    <row r="13320">
      <c r="B13320" s="9" t="n">
        <v>13318</v>
      </c>
      <c r="C13320" s="10" t="inlineStr">
        <is>
          <t>Chuyên Viên Phát Triển Kinh Doanh</t>
        </is>
      </c>
      <c r="D13320" s="10" t="inlineStr">
        <is>
          <t>Công Ty TNHH Tập Đoàn Rita Võ</t>
        </is>
      </c>
      <c r="E13320" s="10" t="inlineStr">
        <is>
          <t>Lương:12 Tr - 16 Tr VND</t>
        </is>
      </c>
      <c r="F13320" s="10" t="inlineStr">
        <is>
          <t>Hồ Chí Minh</t>
        </is>
      </c>
      <c r="G13320" s="10" t="inlineStr">
        <is>
          <t>31-03-2026</t>
        </is>
      </c>
      <c r="H13320" s="10" t="inlineStr">
        <is>
          <t>31/03/2026</t>
        </is>
      </c>
      <c r="I13320" s="10" t="inlineStr">
        <is>
          <t>17/03/2026</t>
        </is>
      </c>
      <c r="J13320" s="10" t="inlineStr">
        <is>
          <t>Tiếp thị / Marketing, Bán lẻ / Bán sỉ, Bán hàng / Kinh doanh</t>
        </is>
      </c>
      <c r="K13320" s="10" t="inlineStr">
        <is>
          <t>Trên 1 Năm</t>
        </is>
      </c>
      <c r="L13320" s="11">
        <f>HYPERLINK("https://careerviet.vn/vi/tim-viec-lam/chuyen-vien-phat-trien-kinh-doanh.35C69A87.html","Xem chi tiết")</f>
        <v/>
      </c>
      <c r="M13320" s="10" t="n"/>
    </row>
    <row r="13321">
      <c r="B13321" s="7" t="n">
        <v>13319</v>
      </c>
      <c r="C13321" t="inlineStr">
        <is>
          <t>Chuyên viên Cung ứng Cơ điện</t>
        </is>
      </c>
      <c r="D13321" t="inlineStr">
        <is>
          <t>CÔNG TY CỔ PHẦN TẬP ĐOÀN GDC</t>
        </is>
      </c>
      <c r="E13321" t="inlineStr">
        <is>
          <t>Lương:15 Tr - 23 Tr VND</t>
        </is>
      </c>
      <c r="F13321" t="inlineStr">
        <is>
          <t>Hà Nội</t>
        </is>
      </c>
      <c r="G13321" t="inlineStr">
        <is>
          <t>26-03-2026</t>
        </is>
      </c>
      <c r="H13321" t="inlineStr">
        <is>
          <t>26/03/2026</t>
        </is>
      </c>
      <c r="I13321" t="inlineStr">
        <is>
          <t>17/03/2026</t>
        </is>
      </c>
      <c r="J13321" t="inlineStr">
        <is>
          <t>Xây dựng, Điện / Điện tử / Điện lạnh / Điện công nghiệp, Kế toán / Kiểm toán</t>
        </is>
      </c>
      <c r="K13321" t="inlineStr">
        <is>
          <t>2 - 10 Năm</t>
        </is>
      </c>
      <c r="L13321" s="8">
        <f>HYPERLINK("https://careerviet.vn/vi/tim-viec-lam/chuyen-vien-cung-ung-co-dien.35C69BCC.html","Xem chi tiết")</f>
        <v/>
      </c>
    </row>
    <row r="13322">
      <c r="B13322" s="9" t="n">
        <v>13320</v>
      </c>
      <c r="C13322" s="10" t="inlineStr">
        <is>
          <t>[TUYỂN GẤP] CHỈ HUY TRƯỞNG (NGÀNH NỘI THẤT)</t>
        </is>
      </c>
      <c r="D13322" s="10" t="inlineStr">
        <is>
          <t>CÔNG TY CỔ PHẦN SẢN XUẤT THƯƠNG MẠI XÂY DỰNG TRANG TRÍ NỘI THẤT G.S VIỆT NAM</t>
        </is>
      </c>
      <c r="E13322" s="10" t="inlineStr">
        <is>
          <t>Lương:25 Tr - 30 Tr VND</t>
        </is>
      </c>
      <c r="F13322" s="10" t="inlineStr">
        <is>
          <t>Hồ Chí Minh</t>
        </is>
      </c>
      <c r="G13322" s="10" t="inlineStr">
        <is>
          <t>31-03-2026</t>
        </is>
      </c>
      <c r="H13322" s="10" t="inlineStr">
        <is>
          <t>31/03/2026</t>
        </is>
      </c>
      <c r="I13322" s="10" t="inlineStr">
        <is>
          <t>17/03/2026</t>
        </is>
      </c>
      <c r="J13322" s="10" t="inlineStr">
        <is>
          <t>Đồ gỗ, Kiến trúc, Nội ngoại thất</t>
        </is>
      </c>
      <c r="K13322" s="10" t="inlineStr">
        <is>
          <t>2 - 5 Năm</t>
        </is>
      </c>
      <c r="L13322" s="11">
        <f>HYPERLINK("https://careerviet.vn/vi/tim-viec-lam/tuyen-gap-chi-huy-truong-nganh-noi-that.35C69AEB.html","Xem chi tiết")</f>
        <v/>
      </c>
      <c r="M13322" s="10" t="n"/>
    </row>
    <row r="13323">
      <c r="B13323" s="7" t="n">
        <v>13321</v>
      </c>
      <c r="C13323" t="inlineStr">
        <is>
          <t>Chuyên viên cao cấp sản phẩm Tín dụng doanh nghiệp</t>
        </is>
      </c>
      <c r="D13323" t="inlineStr">
        <is>
          <t>Ngân Hàng TMCP Sài Gòn - Hà Nội ( SHB )</t>
        </is>
      </c>
      <c r="E13323" t="inlineStr">
        <is>
          <t>Lương:Cạnh tranh</t>
        </is>
      </c>
      <c r="F13323" t="inlineStr">
        <is>
          <t>Hà Nội</t>
        </is>
      </c>
      <c r="G13323" t="inlineStr">
        <is>
          <t>28-03-2026</t>
        </is>
      </c>
      <c r="H13323" t="inlineStr">
        <is>
          <t>28/03/2026</t>
        </is>
      </c>
      <c r="I13323" t="inlineStr">
        <is>
          <t>17/03/2026</t>
        </is>
      </c>
      <c r="J13323" t="inlineStr">
        <is>
          <t>Ngân hàng, Tài chính / Đầu tư</t>
        </is>
      </c>
      <c r="K13323" t="inlineStr">
        <is>
          <t>Trên 3 Năm</t>
        </is>
      </c>
      <c r="L13323" s="8">
        <f>HYPERLINK("https://careerviet.vn/vi/tim-viec-lam/chuyen-vien-cao-cap-san-pham-tin-dung-doanh-nghiep.35C69BFE.html","Xem chi tiết")</f>
        <v/>
      </c>
    </row>
    <row r="13324">
      <c r="B13324" s="9" t="n">
        <v>13322</v>
      </c>
      <c r="C13324" s="10" t="inlineStr">
        <is>
          <t>[Khánh Hòa) Nhân Viên Kinh Doanh Ban Phát Triển (Giao Hàng Tận Nhà)</t>
        </is>
      </c>
      <c r="D13324" s="10" t="inlineStr">
        <is>
          <t>Cty TNHH Yakult Việt Nam</t>
        </is>
      </c>
      <c r="E13324" s="10" t="inlineStr">
        <is>
          <t>Lương:13 Tr - 18 Tr VND</t>
        </is>
      </c>
      <c r="F13324" s="10" t="inlineStr">
        <is>
          <t>Khánh Hòa</t>
        </is>
      </c>
      <c r="G13324" s="10" t="inlineStr">
        <is>
          <t>3</t>
        </is>
      </c>
      <c r="H13324" s="10" t="inlineStr">
        <is>
          <t>20/03/2026</t>
        </is>
      </c>
      <c r="I13324" s="10" t="inlineStr">
        <is>
          <t>17/03/2026</t>
        </is>
      </c>
      <c r="J13324" s="10" t="inlineStr">
        <is>
          <t>Tiếp thị / Marketing, Bán lẻ / Bán sỉ, Bán hàng / Kinh doanh</t>
        </is>
      </c>
      <c r="K13324" s="10" t="inlineStr">
        <is>
          <t>Chưa có kinh nghiệm</t>
        </is>
      </c>
      <c r="L13324" s="11">
        <f>HYPERLINK("https://careerviet.vn/vi/tim-viec-lam/khanh-hoa-nhan-vien-kinh-doanh-ban-phat-trien-giao-hang-tan-nha.35C691F5.html","Xem chi tiết")</f>
        <v/>
      </c>
      <c r="M13324" s="10" t="n"/>
    </row>
    <row r="13325">
      <c r="B13325" s="7" t="n">
        <v>13323</v>
      </c>
      <c r="C13325" t="inlineStr">
        <is>
          <t>Customer service manager</t>
        </is>
      </c>
      <c r="D13325" t="inlineStr">
        <is>
          <t>Công Ty TNHH XNK Phát Triển Đông Dương</t>
        </is>
      </c>
      <c r="E13325" t="inlineStr">
        <is>
          <t>Lương:Cạnh tranh</t>
        </is>
      </c>
      <c r="F13325" t="inlineStr">
        <is>
          <t>Hồ Chí Minh</t>
        </is>
      </c>
      <c r="G13325" t="inlineStr">
        <is>
          <t>31-03-2026</t>
        </is>
      </c>
      <c r="H13325" t="inlineStr">
        <is>
          <t>31/03/2026</t>
        </is>
      </c>
      <c r="I13325" t="inlineStr">
        <is>
          <t>17/03/2026</t>
        </is>
      </c>
      <c r="J13325" t="inlineStr">
        <is>
          <t>Tiếp thị trực tuyến, Dịch vụ khách hàng, Bán lẻ / Bán sỉ</t>
        </is>
      </c>
      <c r="K13325" t="inlineStr">
        <is>
          <t>3 - 5 Năm</t>
        </is>
      </c>
      <c r="L13325" s="8">
        <f>HYPERLINK("https://careerviet.vn/vi/tim-viec-lam/customer-service-manager.35C69CA1.html","Xem chi tiết")</f>
        <v/>
      </c>
    </row>
    <row r="13326">
      <c r="B13326" s="9" t="n">
        <v>13324</v>
      </c>
      <c r="C13326" s="10" t="inlineStr">
        <is>
          <t>Giao Dịch Viên - Khu vực Hồ Chí Minh (bao gồm Củ Chi)</t>
        </is>
      </c>
      <c r="D13326" s="10" t="inlineStr">
        <is>
          <t>Ngân hàng TMCP Việt Á – VietABank</t>
        </is>
      </c>
      <c r="E13326" s="10" t="inlineStr">
        <is>
          <t>Lương:7 Tr - 12 Tr VND</t>
        </is>
      </c>
      <c r="F13326" s="10" t="inlineStr">
        <is>
          <t>Hồ Chí Minh</t>
        </is>
      </c>
      <c r="G13326" s="10" t="inlineStr">
        <is>
          <t>28-03-2026</t>
        </is>
      </c>
      <c r="H13326" s="10" t="inlineStr">
        <is>
          <t>28/03/2026</t>
        </is>
      </c>
      <c r="I13326" s="10" t="inlineStr">
        <is>
          <t>17/03/2026</t>
        </is>
      </c>
      <c r="J13326" s="10" t="inlineStr">
        <is>
          <t>Ngân hàng, Tài chính / Đầu tư, Bảo hiểm</t>
        </is>
      </c>
      <c r="K13326" s="10" t="inlineStr">
        <is>
          <t>N/A</t>
        </is>
      </c>
      <c r="L13326" s="11">
        <f>HYPERLINK("https://careerviet.vn/vi/tim-viec-lam/giao-dich-vien-khu-vuc-ho-chi-minh-bao-gom-cu-chi.35C69AD2.html","Xem chi tiết")</f>
        <v/>
      </c>
      <c r="M13326" s="10" t="n"/>
    </row>
    <row r="13327">
      <c r="B13327" s="7" t="n">
        <v>13325</v>
      </c>
      <c r="C13327" t="inlineStr">
        <is>
          <t>Chuyên viên chính/Chuyên viên Cấp cao Quan hệ Khách hàng Doanh nghiệp - Khu vực Hải Phòng</t>
        </is>
      </c>
      <c r="D13327" t="inlineStr">
        <is>
          <t>Ngân Hàng TMCP Quốc Dân (NCB)</t>
        </is>
      </c>
      <c r="E13327" t="inlineStr">
        <is>
          <t>Lương:Cạnh tranh</t>
        </is>
      </c>
      <c r="F13327" t="inlineStr">
        <is>
          <t>Hải Phòng</t>
        </is>
      </c>
      <c r="G13327" t="inlineStr">
        <is>
          <t>26-03-2026</t>
        </is>
      </c>
      <c r="H13327" t="inlineStr">
        <is>
          <t>26/03/2026</t>
        </is>
      </c>
      <c r="I13327" t="inlineStr">
        <is>
          <t>17/03/2026</t>
        </is>
      </c>
      <c r="J13327" t="inlineStr">
        <is>
          <t>Ngân hàng, Bán hàng / Kinh doanh, Dịch vụ khách hàng</t>
        </is>
      </c>
      <c r="K13327" t="inlineStr">
        <is>
          <t>Trên 1 Năm</t>
        </is>
      </c>
      <c r="L13327" s="8">
        <f>HYPERLINK("https://careerviet.vn/vi/tim-viec-lam/chuyen-vien-chinh-chuyen-vien-cap-cao-quan-he-khach-hang-doanh-nghiep-khu-vuc-hai-phong.35C699A5.html","Xem chi tiết")</f>
        <v/>
      </c>
    </row>
    <row r="13328">
      <c r="B13328" s="9" t="n">
        <v>13326</v>
      </c>
      <c r="C13328" s="10" t="inlineStr">
        <is>
          <t>Nhân Viên Chăm Sóc Khách Hàng Tagger - ShopBot</t>
        </is>
      </c>
      <c r="D13328" s="10" t="inlineStr">
        <is>
          <t>Công Ty TNHH Việt Mỹ-SSU</t>
        </is>
      </c>
      <c r="E13328" s="10" t="inlineStr">
        <is>
          <t>Lương:6,5 Tr - 7,5 Tr VND</t>
        </is>
      </c>
      <c r="F13328" s="10" t="inlineStr">
        <is>
          <t>Hồ Chí Minh</t>
        </is>
      </c>
      <c r="G13328" s="10" t="inlineStr">
        <is>
          <t>11-03-2026</t>
        </is>
      </c>
      <c r="H13328" s="10" t="inlineStr">
        <is>
          <t>10/03/2026</t>
        </is>
      </c>
      <c r="I13328" s="10" t="inlineStr">
        <is>
          <t>17/03/2026</t>
        </is>
      </c>
      <c r="J13328" s="10" t="inlineStr">
        <is>
          <t>Thương mại điện tử, Dịch vụ khách hàng, Tư vấn</t>
        </is>
      </c>
      <c r="K13328" s="10" t="inlineStr">
        <is>
          <t>Lên đến 1 Năm</t>
        </is>
      </c>
      <c r="L13328" s="11">
        <f>HYPERLINK("https://careerviet.vn/vi/tim-viec-lam/nhan-vien-cham-soc-khach-hang-tagger-shopbot.35C69BED.html","Xem chi tiết")</f>
        <v/>
      </c>
      <c r="M13328" s="10" t="n"/>
    </row>
    <row r="13329">
      <c r="B13329" s="7" t="n">
        <v>13327</v>
      </c>
      <c r="C13329" t="inlineStr">
        <is>
          <t>Mechanical Engineer</t>
        </is>
      </c>
      <c r="D13329" t="inlineStr">
        <is>
          <t>GLOBETECH ASIA JV JSC</t>
        </is>
      </c>
      <c r="E13329" t="inlineStr">
        <is>
          <t>Lương:Cạnh tranh</t>
        </is>
      </c>
      <c r="F13329" t="inlineStr">
        <is>
          <t>Hồ Chí Minh</t>
        </is>
      </c>
      <c r="G13329" t="inlineStr">
        <is>
          <t>25-03-2026</t>
        </is>
      </c>
      <c r="H13329" t="inlineStr">
        <is>
          <t>25/03/2026</t>
        </is>
      </c>
      <c r="I13329" t="inlineStr">
        <is>
          <t>17/03/2026</t>
        </is>
      </c>
      <c r="J13329" t="inlineStr">
        <is>
          <t>Cơ khí / Ô tô / Tự động hóa, Mỹ thuật / Nghệ thuật / Thiết kế, Sản xuất / Vận hành sản xuất</t>
        </is>
      </c>
      <c r="K13329" t="inlineStr">
        <is>
          <t>Trên 5 Năm</t>
        </is>
      </c>
      <c r="L13329" s="8">
        <f>HYPERLINK("https://careerviet.vn/vi/tim-viec-lam/mechanical-engineer.35C69C09.html","Xem chi tiết")</f>
        <v/>
      </c>
    </row>
    <row r="13330">
      <c r="B13330" s="9" t="n">
        <v>13328</v>
      </c>
      <c r="C13330" s="10" t="inlineStr">
        <is>
          <t>Nhân viên kinh doanh – GHTN – Chi nhánh Phú Thọ</t>
        </is>
      </c>
      <c r="D13330" s="10" t="inlineStr">
        <is>
          <t>Cty TNHH Yakult Việt Nam</t>
        </is>
      </c>
      <c r="E13330" s="10" t="inlineStr">
        <is>
          <t>Lương:11 Tr - 14 Tr VND</t>
        </is>
      </c>
      <c r="F13330" s="10" t="inlineStr">
        <is>
          <t>Phú Thọ</t>
        </is>
      </c>
      <c r="G13330" s="10" t="inlineStr">
        <is>
          <t>30-04-2026</t>
        </is>
      </c>
      <c r="H13330" s="10" t="inlineStr">
        <is>
          <t>30/04/2026</t>
        </is>
      </c>
      <c r="I13330" s="10" t="inlineStr">
        <is>
          <t>17/03/2026</t>
        </is>
      </c>
      <c r="J13330" s="10" t="inlineStr">
        <is>
          <t>Tiếp thị / Marketing, Bán lẻ / Bán sỉ, Bán hàng / Kinh doanh</t>
        </is>
      </c>
      <c r="K13330" s="10" t="inlineStr">
        <is>
          <t>Chưa có kinh nghiệm</t>
        </is>
      </c>
      <c r="L13330" s="11">
        <f>HYPERLINK("https://careerviet.vn/vi/tim-viec-lam/nhan-vien-kinh-doanh-ghtn-chi-nhanh-phu-tho.35C694E0.html","Xem chi tiết")</f>
        <v/>
      </c>
      <c r="M13330" s="10" t="n"/>
    </row>
    <row r="13331">
      <c r="B13331" s="7" t="n">
        <v>13329</v>
      </c>
      <c r="C13331" t="inlineStr">
        <is>
          <t>Nhân viên Kinh doanh Ngành In</t>
        </is>
      </c>
      <c r="D13331" t="inlineStr">
        <is>
          <t>CÔNG TY CỔ PHẦN PHÁT TRIỂN CÔNG NGHỆ TECHPRO</t>
        </is>
      </c>
      <c r="E13331" t="inlineStr">
        <is>
          <t>Lương:Cạnh tranh</t>
        </is>
      </c>
      <c r="F13331" t="inlineStr">
        <is>
          <t>Hồ Chí MinhHà Nội</t>
        </is>
      </c>
      <c r="G13331" t="inlineStr">
        <is>
          <t>11-03-2026</t>
        </is>
      </c>
      <c r="H13331" t="inlineStr">
        <is>
          <t>09/03/2026</t>
        </is>
      </c>
      <c r="I13331" t="inlineStr">
        <is>
          <t>17/03/2026</t>
        </is>
      </c>
      <c r="J13331" t="inlineStr">
        <is>
          <t>In ấn / Xuất bản, CNTT - Phần mềm, Bán hàng / Kinh doanh</t>
        </is>
      </c>
      <c r="K13331" t="inlineStr">
        <is>
          <t>1 - 5 Năm</t>
        </is>
      </c>
      <c r="L13331" s="8">
        <f>HYPERLINK("https://careerviet.vn/vi/tim-viec-lam/nhan-vien-kinh-doanh-nganh-in.35C69A03.html","Xem chi tiết")</f>
        <v/>
      </c>
    </row>
    <row r="13332">
      <c r="B13332" s="9" t="n">
        <v>13330</v>
      </c>
      <c r="C13332" s="10" t="inlineStr">
        <is>
          <t>NHÂN VIÊN KINH DOANH LỐP XE</t>
        </is>
      </c>
      <c r="D13332" s="10" t="inlineStr">
        <is>
          <t>CÔNG TY TNHH VINOTIRE</t>
        </is>
      </c>
      <c r="E13332" s="10" t="inlineStr">
        <is>
          <t>Lương:Cạnh tranh</t>
        </is>
      </c>
      <c r="F13332" s="10" t="inlineStr">
        <is>
          <t>Hồ Chí Minh</t>
        </is>
      </c>
      <c r="G13332" s="10" t="inlineStr">
        <is>
          <t>5</t>
        </is>
      </c>
      <c r="H13332" s="10" t="inlineStr">
        <is>
          <t>22/03/2026</t>
        </is>
      </c>
      <c r="I13332" s="10" t="inlineStr">
        <is>
          <t>17/03/2026</t>
        </is>
      </c>
      <c r="J13332" s="10" t="inlineStr">
        <is>
          <t>Bán hàng / Kinh doanh, Tiếp thị / Marketing, Bán lẻ / Bán sỉ</t>
        </is>
      </c>
      <c r="K13332" s="10" t="inlineStr">
        <is>
          <t>2 - 4 Năm</t>
        </is>
      </c>
      <c r="L13332" s="11">
        <f>HYPERLINK("https://careerviet.vn/vi/tim-viec-lam/nhan-vien-kinh-doanh-lop-xe.35C69C84.html","Xem chi tiết")</f>
        <v/>
      </c>
      <c r="M13332" s="10" t="n"/>
    </row>
    <row r="13333">
      <c r="B13333" s="7" t="n">
        <v>13331</v>
      </c>
      <c r="C13333" t="inlineStr">
        <is>
          <t>R&amp;D Engineer/ Mechanical Engineer</t>
        </is>
      </c>
      <c r="D13333" t="inlineStr">
        <is>
          <t>Sunlight Electrical (Vietnam) Co., Ltd.</t>
        </is>
      </c>
      <c r="E13333" t="inlineStr">
        <is>
          <t>Lương:9 Tr - 15 Tr VND</t>
        </is>
      </c>
      <c r="F13333" t="inlineStr">
        <is>
          <t>Bình Dương</t>
        </is>
      </c>
      <c r="G13333" t="inlineStr">
        <is>
          <t>28-03-2026</t>
        </is>
      </c>
      <c r="H13333" t="inlineStr">
        <is>
          <t>28/03/2026</t>
        </is>
      </c>
      <c r="I13333" t="inlineStr">
        <is>
          <t>17/03/2026</t>
        </is>
      </c>
      <c r="J13333" t="inlineStr">
        <is>
          <t>Cơ khí / Ô tô / Tự động hóa, Điện / Điện tử / Điện lạnh / Điện công nghiệp</t>
        </is>
      </c>
      <c r="K13333" t="inlineStr">
        <is>
          <t>2 - 4 Năm</t>
        </is>
      </c>
      <c r="L13333" s="8">
        <f>HYPERLINK("https://careerviet.vn/vi/tim-viec-lam/r-d-engineer-mechanical-engineer.35C69CB1.html","Xem chi tiết")</f>
        <v/>
      </c>
    </row>
    <row r="13334">
      <c r="B13334" s="9" t="n">
        <v>13332</v>
      </c>
      <c r="C13334" s="10" t="inlineStr">
        <is>
          <t>Kế toán tổng hợp kiêm kế toán thuế</t>
        </is>
      </c>
      <c r="D13334" s="10" t="inlineStr">
        <is>
          <t>CÔNG TY CỔ PHẦN ULTD THỊNH PHÁT</t>
        </is>
      </c>
      <c r="E13334" s="10" t="inlineStr">
        <is>
          <t>Lương:15 Tr - 20 Tr VND</t>
        </is>
      </c>
      <c r="F13334" s="10" t="inlineStr">
        <is>
          <t>Hà Nội</t>
        </is>
      </c>
      <c r="G13334" s="10" t="inlineStr">
        <is>
          <t>31-03-2026</t>
        </is>
      </c>
      <c r="H13334" s="10" t="inlineStr">
        <is>
          <t>31/03/2026</t>
        </is>
      </c>
      <c r="I13334" s="10" t="inlineStr">
        <is>
          <t>17/03/2026</t>
        </is>
      </c>
      <c r="J13334" s="10" t="inlineStr">
        <is>
          <t>Kế toán / Kiểm toán</t>
        </is>
      </c>
      <c r="K13334" s="10" t="inlineStr">
        <is>
          <t>2 - 3 Năm</t>
        </is>
      </c>
      <c r="L13334" s="11">
        <f>HYPERLINK("https://careerviet.vn/vi/tim-viec-lam/ke-toan-tong-hop-kiem-ke-toan-thue.35C69D0B.html","Xem chi tiết")</f>
        <v/>
      </c>
      <c r="M13334" s="10" t="n"/>
    </row>
    <row r="13335">
      <c r="B13335" s="7" t="n">
        <v>13333</v>
      </c>
      <c r="C13335" t="inlineStr">
        <is>
          <t>Nhân viên/Chuyên viên Thu hồi nợ Hiện trường (Nợ sớm) - Đắc Lắc, Bình Định - TA155 - 	ID2218</t>
        </is>
      </c>
      <c r="D13335" t="inlineStr">
        <is>
          <t>Ngân Hàng TMCP Việt Nam Thịnh Vượng - VPBANK</t>
        </is>
      </c>
      <c r="E13335" t="inlineStr">
        <is>
          <t>Lương:15 Tr - 40 Tr VND</t>
        </is>
      </c>
      <c r="F13335" t="inlineStr">
        <is>
          <t>Dak LakBình Định</t>
        </is>
      </c>
      <c r="G13335" t="inlineStr">
        <is>
          <t>31-03-2026</t>
        </is>
      </c>
      <c r="H13335" t="inlineStr">
        <is>
          <t>31/03/2026</t>
        </is>
      </c>
      <c r="I13335" t="inlineStr">
        <is>
          <t>17/03/2026</t>
        </is>
      </c>
      <c r="J13335" t="inlineStr">
        <is>
          <t>Bán hàng / Kinh doanh, Luật / Pháp lý, Tài chính / Đầu tư</t>
        </is>
      </c>
      <c r="K13335" t="inlineStr">
        <is>
          <t>1 - 2 Năm</t>
        </is>
      </c>
      <c r="L13335" s="8">
        <f>HYPERLINK("https://careerviet.vn/vi/tim-viec-lam/nhan-vien-chuyen-vien-thu-hoi-no-hien-truong-no-som-dac-lac-binh-dinh-ta155-id2218.35C69BA4.html","Xem chi tiết")</f>
        <v/>
      </c>
    </row>
    <row r="13336">
      <c r="B13336" s="9" t="n">
        <v>13334</v>
      </c>
      <c r="C13336" s="10" t="inlineStr">
        <is>
          <t>[TẬP ĐOÀN PHENIKAA] Chuyên viên An toàn thông tin</t>
        </is>
      </c>
      <c r="D13336" s="10" t="inlineStr">
        <is>
          <t>ĐẠI HỌC PHENIKAA</t>
        </is>
      </c>
      <c r="E13336" s="10" t="inlineStr">
        <is>
          <t>Lương:17 Tr - 25 Tr VND</t>
        </is>
      </c>
      <c r="F13336" s="10" t="inlineStr">
        <is>
          <t>Hà Nội</t>
        </is>
      </c>
      <c r="G13336" s="10" t="inlineStr">
        <is>
          <t>31-03-2026</t>
        </is>
      </c>
      <c r="H13336" s="10" t="inlineStr">
        <is>
          <t>31/03/2026</t>
        </is>
      </c>
      <c r="I13336" s="10" t="inlineStr">
        <is>
          <t>17/03/2026</t>
        </is>
      </c>
      <c r="J13336" s="10" t="inlineStr">
        <is>
          <t>CNTT - Phần mềm, CNTT - Phần cứng / Mạng, Sản xuất / Vận hành sản xuất</t>
        </is>
      </c>
      <c r="K13336" s="10" t="inlineStr">
        <is>
          <t>1 - 2 Năm</t>
        </is>
      </c>
      <c r="L13336" s="11">
        <f>HYPERLINK("https://careerviet.vn/vi/tim-viec-lam/tap-doan-phenikaa-chuyen-vien-an-toan-thong-tin.35C69C7D.html","Xem chi tiết")</f>
        <v/>
      </c>
      <c r="M13336" s="10" t="n"/>
    </row>
    <row r="13337">
      <c r="B13337" s="7" t="n">
        <v>13335</v>
      </c>
      <c r="C13337" t="inlineStr">
        <is>
          <t>Nhân viên vận hành sản xuất</t>
        </is>
      </c>
      <c r="D13337" t="inlineStr">
        <is>
          <t>Công ty TNHH Cung ứng Nhựa đường</t>
        </is>
      </c>
      <c r="E13337" t="inlineStr">
        <is>
          <t>Lương:7,5 Tr - 8 Tr VND</t>
        </is>
      </c>
      <c r="F13337" t="inlineStr">
        <is>
          <t>Thừa Thiên- Huế</t>
        </is>
      </c>
      <c r="G13337" t="inlineStr">
        <is>
          <t>31-03-2026</t>
        </is>
      </c>
      <c r="H13337" t="inlineStr">
        <is>
          <t>31/03/2026</t>
        </is>
      </c>
      <c r="I13337" t="inlineStr">
        <is>
          <t>17/03/2026</t>
        </is>
      </c>
      <c r="J13337" t="inlineStr">
        <is>
          <t>Sản xuất / Vận hành sản xuất</t>
        </is>
      </c>
      <c r="K13337" t="inlineStr">
        <is>
          <t>Chưa có kinh nghiệm</t>
        </is>
      </c>
      <c r="L13337" s="8">
        <f>HYPERLINK("https://careerviet.vn/vi/tim-viec-lam/nhan-vien-van-hanh-san-xuat.35C69B62.html","Xem chi tiết")</f>
        <v/>
      </c>
    </row>
    <row r="13338">
      <c r="B13338" s="9" t="n">
        <v>13336</v>
      </c>
      <c r="C13338" s="10" t="inlineStr">
        <is>
          <t>Chuyên viên Chăm sóc khách hàng (Contact Center 24/7) - KVH - MSB - 3Y034</t>
        </is>
      </c>
      <c r="D13338" s="10" t="inlineStr">
        <is>
          <t>Ngân hàng Thương mại Cổ phần Hàng Hải Việt Nam (MSB)</t>
        </is>
      </c>
      <c r="E13338" s="10" t="inlineStr">
        <is>
          <t>Lương:10 Tr - 15 Tr VND</t>
        </is>
      </c>
      <c r="F13338" s="10" t="inlineStr">
        <is>
          <t>Hà Nội</t>
        </is>
      </c>
      <c r="G13338" s="10" t="inlineStr">
        <is>
          <t>26-03-2026</t>
        </is>
      </c>
      <c r="H13338" s="10" t="inlineStr">
        <is>
          <t>26/03/2026</t>
        </is>
      </c>
      <c r="I13338" s="10" t="inlineStr">
        <is>
          <t>17/03/2026</t>
        </is>
      </c>
      <c r="J13338" s="10" t="inlineStr">
        <is>
          <t>Ngân hàng</t>
        </is>
      </c>
      <c r="K13338" s="10" t="inlineStr">
        <is>
          <t>1 - 2 Năm</t>
        </is>
      </c>
      <c r="L13338" s="11">
        <f>HYPERLINK("https://careerviet.vn/vi/tim-viec-lam/chuyen-vien-cham-soc-khach-hang-contact-center-24-7-kvh-msb-3y034.35C69C5B.html","Xem chi tiết")</f>
        <v/>
      </c>
      <c r="M13338" s="10" t="n"/>
    </row>
    <row r="13339">
      <c r="B13339" s="7" t="n">
        <v>13337</v>
      </c>
      <c r="C13339" t="inlineStr">
        <is>
          <t>Trade Leader</t>
        </is>
      </c>
      <c r="D13339" t="inlineStr">
        <is>
          <t>Công Ty TNHH XNK Phát Triển Đông Dương</t>
        </is>
      </c>
      <c r="E13339" t="inlineStr">
        <is>
          <t>Lương:Cạnh tranh</t>
        </is>
      </c>
      <c r="F13339" t="inlineStr">
        <is>
          <t>Hồ Chí Minh</t>
        </is>
      </c>
      <c r="G13339" t="inlineStr">
        <is>
          <t>27-03-2026</t>
        </is>
      </c>
      <c r="H13339" t="inlineStr">
        <is>
          <t>27/03/2026</t>
        </is>
      </c>
      <c r="I13339" t="inlineStr">
        <is>
          <t>17/03/2026</t>
        </is>
      </c>
      <c r="J13339" t="inlineStr">
        <is>
          <t>Tiếp thị / Marketing, Bán lẻ / Bán sỉ, Y tế / Chăm sóc sức khỏe / Thẩm mỹ / Làm đẹp</t>
        </is>
      </c>
      <c r="K13339" t="inlineStr">
        <is>
          <t>3 - 5 Năm</t>
        </is>
      </c>
      <c r="L13339" s="8">
        <f>HYPERLINK("https://careerviet.vn/vi/tim-viec-lam/trade-leader.35C69A24.html","Xem chi tiết")</f>
        <v/>
      </c>
    </row>
    <row r="13340">
      <c r="B13340" s="9" t="n">
        <v>13338</v>
      </c>
      <c r="C13340" s="10" t="inlineStr">
        <is>
          <t>Kỹ sư trắc đạc</t>
        </is>
      </c>
      <c r="D13340" s="10" t="inlineStr">
        <is>
          <t>CÔNG TY CP ĐẦU TƯ PHÁT TRIỂN TRÍ DƯƠNG</t>
        </is>
      </c>
      <c r="E13340" s="10" t="inlineStr">
        <is>
          <t>Lương:16 Tr - 18 Tr VND</t>
        </is>
      </c>
      <c r="F13340" s="10" t="inlineStr">
        <is>
          <t>Nghệ An</t>
        </is>
      </c>
      <c r="G13340" s="10" t="inlineStr">
        <is>
          <t>31-03-2026</t>
        </is>
      </c>
      <c r="H13340" s="10" t="inlineStr">
        <is>
          <t>31/03/2026</t>
        </is>
      </c>
      <c r="I13340" s="10" t="inlineStr">
        <is>
          <t>17/03/2026</t>
        </is>
      </c>
      <c r="J13340" s="10" t="inlineStr">
        <is>
          <t>Xây dựng, Bất động sản</t>
        </is>
      </c>
      <c r="K13340" s="10" t="inlineStr">
        <is>
          <t>2 - 5 Năm</t>
        </is>
      </c>
      <c r="L13340" s="11">
        <f>HYPERLINK("https://careerviet.vn/vi/tim-viec-lam/ky-su-trac-dac.35C69C81.html","Xem chi tiết")</f>
        <v/>
      </c>
      <c r="M13340" s="10" t="n"/>
    </row>
    <row r="13341">
      <c r="B13341" s="7" t="n">
        <v>13339</v>
      </c>
      <c r="C13341" t="inlineStr">
        <is>
          <t>Customer Service Executive (Phòng Oversea)</t>
        </is>
      </c>
      <c r="D13341" t="inlineStr">
        <is>
          <t>SEAHORSE SHIPPING CORPORATION</t>
        </is>
      </c>
      <c r="E13341" t="inlineStr">
        <is>
          <t>Lương:Cạnh tranh</t>
        </is>
      </c>
      <c r="F13341" t="inlineStr">
        <is>
          <t>Hồ Chí Minh</t>
        </is>
      </c>
      <c r="G13341" t="inlineStr">
        <is>
          <t>26-03-2026</t>
        </is>
      </c>
      <c r="H13341" t="inlineStr">
        <is>
          <t>26/03/2026</t>
        </is>
      </c>
      <c r="I13341" t="inlineStr">
        <is>
          <t>17/03/2026</t>
        </is>
      </c>
      <c r="J13341" t="inlineStr">
        <is>
          <t>Vận chuyển / Giao nhận / Kho vận, Hàng hải, Xuất nhập khẩu</t>
        </is>
      </c>
      <c r="K13341" t="inlineStr">
        <is>
          <t>1 - 3 Năm</t>
        </is>
      </c>
      <c r="L13341" s="8">
        <f>HYPERLINK("https://careerviet.vn/vi/tim-viec-lam/customer-service-executive-phong-oversea.35C69920.html","Xem chi tiết")</f>
        <v/>
      </c>
    </row>
    <row r="13342">
      <c r="B13342" s="9" t="n">
        <v>13340</v>
      </c>
      <c r="C13342" s="10" t="inlineStr">
        <is>
          <t>Nhân viên tư vấn tuyển sinh  [Long Thành - Đồng Nai]</t>
        </is>
      </c>
      <c r="D13342" s="10" t="inlineStr">
        <is>
          <t>Công Ty CP Liên Kết Quốc Tế INTERLINK (Trường Liên Kết Quốc Tế INschool &amp; Ngoại Ngữ Quốc Tế INS ENGLISH &amp; CHINESE)</t>
        </is>
      </c>
      <c r="E13342" s="10" t="inlineStr">
        <is>
          <t>Lương:7 Tr - 10 Tr VND</t>
        </is>
      </c>
      <c r="F13342" s="10" t="inlineStr">
        <is>
          <t>Đồng Nai</t>
        </is>
      </c>
      <c r="G13342" s="10" t="inlineStr">
        <is>
          <t>31-03-2026</t>
        </is>
      </c>
      <c r="H13342" s="10" t="inlineStr">
        <is>
          <t>31/03/2026</t>
        </is>
      </c>
      <c r="I13342" s="10" t="inlineStr">
        <is>
          <t>17/03/2026</t>
        </is>
      </c>
      <c r="J13342" s="10" t="inlineStr">
        <is>
          <t>Tiếp thị / Marketing, Tư vấn, Giáo dục / Đào tạo</t>
        </is>
      </c>
      <c r="K13342" s="10" t="inlineStr">
        <is>
          <t>1 - 2 Năm</t>
        </is>
      </c>
      <c r="L13342" s="11">
        <f>HYPERLINK("https://careerviet.vn/vi/tim-viec-lam/nhan-vien-tu-van-tuyen-sinh-long-thanh-dong-nai.35C69B00.html","Xem chi tiết")</f>
        <v/>
      </c>
      <c r="M13342" s="10" t="n"/>
    </row>
    <row r="13343">
      <c r="B13343" s="7" t="n">
        <v>13341</v>
      </c>
      <c r="C13343" t="inlineStr">
        <is>
          <t>TRƯỞNG PHÒNG HÀNH CHÍNH NHÂN SỰ</t>
        </is>
      </c>
      <c r="D13343" t="inlineStr">
        <is>
          <t>Công ty cổ phần Okapi Việt Nam - Thương hiệu thời trang BADASS</t>
        </is>
      </c>
      <c r="E13343" t="inlineStr">
        <is>
          <t>Lương:20 Tr - 30 Tr VND</t>
        </is>
      </c>
      <c r="F13343" t="inlineStr">
        <is>
          <t>Hà Nội</t>
        </is>
      </c>
      <c r="G13343" t="inlineStr">
        <is>
          <t>28-03-2026</t>
        </is>
      </c>
      <c r="H13343" t="inlineStr">
        <is>
          <t>28/03/2026</t>
        </is>
      </c>
      <c r="I13343" t="inlineStr">
        <is>
          <t>17/03/2026</t>
        </is>
      </c>
      <c r="J13343" t="inlineStr">
        <is>
          <t>Dệt may / Da giày / Thời trang, Nhân sự, Hành chính / Thư ký</t>
        </is>
      </c>
      <c r="K13343" t="inlineStr">
        <is>
          <t>2 - 5 Năm</t>
        </is>
      </c>
      <c r="L13343" s="8">
        <f>HYPERLINK("https://careerviet.vn/vi/tim-viec-lam/truong-phong-hanh-chinh-nhan-su.35C69A85.html","Xem chi tiết")</f>
        <v/>
      </c>
    </row>
    <row r="13344">
      <c r="B13344" s="9" t="n">
        <v>13342</v>
      </c>
      <c r="C13344" s="10" t="inlineStr">
        <is>
          <t>NHÂN VIÊN KẾ TOÁN DOANH THU VÀ CÔNG NỢ PHẢI THU</t>
        </is>
      </c>
      <c r="D13344" s="10" t="inlineStr">
        <is>
          <t>CÔNG TY CỔ PHẦN ASPIRE</t>
        </is>
      </c>
      <c r="E13344" s="10" t="inlineStr">
        <is>
          <t>Lương:Cạnh tranh</t>
        </is>
      </c>
      <c r="F13344" s="10" t="inlineStr">
        <is>
          <t>Hồ Chí Minh</t>
        </is>
      </c>
      <c r="G13344" s="10" t="inlineStr">
        <is>
          <t>26-03-2026</t>
        </is>
      </c>
      <c r="H13344" s="10" t="inlineStr">
        <is>
          <t>26/03/2026</t>
        </is>
      </c>
      <c r="I13344" s="10" t="inlineStr">
        <is>
          <t>17/03/2026</t>
        </is>
      </c>
      <c r="J13344" s="10" t="inlineStr">
        <is>
          <t>Tài chính / Đầu tư, Kế toán / Kiểm toán, Thống kê</t>
        </is>
      </c>
      <c r="K13344" s="10" t="inlineStr">
        <is>
          <t>3 - 4 Năm</t>
        </is>
      </c>
      <c r="L13344" s="11">
        <f>HYPERLINK("https://careerviet.vn/vi/tim-viec-lam/nhan-vien-ke-toan-doanh-thu-va-cong-no-phai-thu.35C69C79.html","Xem chi tiết")</f>
        <v/>
      </c>
      <c r="M13344" s="10" t="n"/>
    </row>
    <row r="13345">
      <c r="B13345" s="7" t="n">
        <v>13343</v>
      </c>
      <c r="C13345" t="inlineStr">
        <is>
          <t>Project Coordinator</t>
        </is>
      </c>
      <c r="D13345" t="inlineStr">
        <is>
          <t>PRECIOUS PRESTIGE TRADING AND LOGISTICS</t>
        </is>
      </c>
      <c r="E13345" t="inlineStr">
        <is>
          <t>Lương:Cạnh tranh</t>
        </is>
      </c>
      <c r="F13345" t="inlineStr">
        <is>
          <t>Hồ Chí Minh</t>
        </is>
      </c>
      <c r="G13345" t="inlineStr">
        <is>
          <t>26-03-2026</t>
        </is>
      </c>
      <c r="H13345" t="inlineStr">
        <is>
          <t>26/03/2026</t>
        </is>
      </c>
      <c r="I13345" t="inlineStr">
        <is>
          <t>17/03/2026</t>
        </is>
      </c>
      <c r="J13345" t="inlineStr">
        <is>
          <t>Vận chuyển / Giao nhận / Kho vận, Sản xuất / Vận hành sản xuất, Quản lý điều hành</t>
        </is>
      </c>
      <c r="K13345" t="inlineStr">
        <is>
          <t>Trên 3 Năm</t>
        </is>
      </c>
      <c r="L13345" s="8">
        <f>HYPERLINK("https://careerviet.vn/vi/tim-viec-lam/project-coordinator.35C699B4.html","Xem chi tiết")</f>
        <v/>
      </c>
    </row>
    <row r="13346">
      <c r="B13346" s="9" t="n">
        <v>13344</v>
      </c>
      <c r="C13346" s="10" t="inlineStr">
        <is>
          <t>Chuyên Viên Phân Tích Dữ Liệu</t>
        </is>
      </c>
      <c r="D13346" s="10" t="inlineStr">
        <is>
          <t>CÔNG TY TNHH BILLION VIETNAM HOLDING</t>
        </is>
      </c>
      <c r="E13346" s="10" t="inlineStr">
        <is>
          <t>Lương:12 Tr - 18 Tr VND</t>
        </is>
      </c>
      <c r="F13346" s="10" t="inlineStr">
        <is>
          <t>Hồ Chí Minh</t>
        </is>
      </c>
      <c r="G13346" s="10" t="inlineStr">
        <is>
          <t>31-03-2026</t>
        </is>
      </c>
      <c r="H13346" s="10" t="inlineStr">
        <is>
          <t>31/03/2026</t>
        </is>
      </c>
      <c r="I13346" s="10" t="inlineStr">
        <is>
          <t>17/03/2026</t>
        </is>
      </c>
      <c r="J13346" s="10" t="inlineStr">
        <is>
          <t>Bán lẻ / Bán sỉ, Thương mại điện tử, Cơ khí / Ô tô / Tự động hóa</t>
        </is>
      </c>
      <c r="K13346" s="10" t="inlineStr">
        <is>
          <t>2 - 5 Năm</t>
        </is>
      </c>
      <c r="L13346" s="11">
        <f>HYPERLINK("https://careerviet.vn/vi/tim-viec-lam/chuyen-vien-phan-tich-du-lieu.35C69B71.html","Xem chi tiết")</f>
        <v/>
      </c>
      <c r="M13346" s="10" t="n"/>
    </row>
    <row r="13347">
      <c r="B13347" s="7" t="n">
        <v>13345</v>
      </c>
      <c r="C13347" t="inlineStr">
        <is>
          <t>Nhân Viên Mua Hàng</t>
        </is>
      </c>
      <c r="D13347" t="inlineStr">
        <is>
          <t>CÔNG TY CỔ PHẦN TẬP ĐOÀN LUKLAK VIỆT NAM</t>
        </is>
      </c>
      <c r="E13347" t="inlineStr">
        <is>
          <t>Lương:12 Tr - 15 Tr VND</t>
        </is>
      </c>
      <c r="F13347" t="inlineStr">
        <is>
          <t>Hà Nội</t>
        </is>
      </c>
      <c r="G13347" t="inlineStr">
        <is>
          <t>26-03-2026</t>
        </is>
      </c>
      <c r="H13347" t="inlineStr">
        <is>
          <t>26/03/2026</t>
        </is>
      </c>
      <c r="I13347" t="inlineStr">
        <is>
          <t>17/03/2026</t>
        </is>
      </c>
      <c r="J13347" t="inlineStr">
        <is>
          <t>Thu mua / Vật tư</t>
        </is>
      </c>
      <c r="K13347" t="inlineStr">
        <is>
          <t>1 - 3 Năm</t>
        </is>
      </c>
      <c r="L13347" s="8">
        <f>HYPERLINK("https://careerviet.vn/vi/tim-viec-lam/nhan-vien-mua-hang.35C699CD.html","Xem chi tiết")</f>
        <v/>
      </c>
    </row>
    <row r="13348">
      <c r="B13348" s="9" t="n">
        <v>13346</v>
      </c>
      <c r="C13348" s="10" t="inlineStr">
        <is>
          <t>CỘNG TÁC VIÊN TÀI CHÍNH</t>
        </is>
      </c>
      <c r="D13348" s="10" t="inlineStr">
        <is>
          <t>CÔNG TY TNHH K&amp;M VINA</t>
        </is>
      </c>
      <c r="E13348" s="10" t="inlineStr">
        <is>
          <t>Lương:7 Tr - 25 Tr VND</t>
        </is>
      </c>
      <c r="F13348" s="10" t="inlineStr">
        <is>
          <t>Hồ Chí Minh</t>
        </is>
      </c>
      <c r="G13348" s="10" t="inlineStr">
        <is>
          <t>15-04-2026</t>
        </is>
      </c>
      <c r="H13348" s="10" t="inlineStr">
        <is>
          <t>15/04/2026</t>
        </is>
      </c>
      <c r="I13348" s="10" t="inlineStr">
        <is>
          <t>17/03/2026</t>
        </is>
      </c>
      <c r="J13348" s="10" t="inlineStr">
        <is>
          <t>Bán hàng / Kinh doanh, Tài chính / Đầu tư</t>
        </is>
      </c>
      <c r="K13348" s="10" t="inlineStr">
        <is>
          <t>N/A</t>
        </is>
      </c>
      <c r="L13348" s="11">
        <f>HYPERLINK("https://careerviet.vn/vi/tim-viec-lam/cong-tac-vien-tai-chinh.35C69989.html","Xem chi tiết")</f>
        <v/>
      </c>
      <c r="M13348" s="10" t="n"/>
    </row>
    <row r="13349">
      <c r="B13349" s="7" t="n">
        <v>13347</v>
      </c>
      <c r="C13349" t="inlineStr">
        <is>
          <t>IMPORT AND EXPORT SHIPPING OPERATION</t>
        </is>
      </c>
      <c r="D13349" t="inlineStr">
        <is>
          <t>Vantage Logistics Corporation</t>
        </is>
      </c>
      <c r="E13349" t="inlineStr">
        <is>
          <t>Lương:Cạnh tranh</t>
        </is>
      </c>
      <c r="F13349" t="inlineStr">
        <is>
          <t>Hồ Chí Minh</t>
        </is>
      </c>
      <c r="G13349" t="inlineStr">
        <is>
          <t>05-04-2026</t>
        </is>
      </c>
      <c r="H13349" t="inlineStr">
        <is>
          <t>05/04/2026</t>
        </is>
      </c>
      <c r="I13349" t="inlineStr">
        <is>
          <t>17/03/2026</t>
        </is>
      </c>
      <c r="J13349" t="inlineStr">
        <is>
          <t>Vận chuyển / Giao nhận / Kho vận, Xuất nhập khẩu, Ngành khác</t>
        </is>
      </c>
      <c r="K13349" t="inlineStr">
        <is>
          <t>1 - 2 Năm</t>
        </is>
      </c>
      <c r="L13349" s="8">
        <f>HYPERLINK("https://careerviet.vn/vi/tim-viec-lam/import-and-export-shipping-operation.35C6B21A.html","Xem chi tiết")</f>
        <v/>
      </c>
    </row>
    <row r="13350">
      <c r="B13350" s="9" t="n">
        <v>13348</v>
      </c>
      <c r="C13350" s="10" t="inlineStr">
        <is>
          <t>Nhân Viên Tư Vấn Kênh Trả Góp_Sơn La</t>
        </is>
      </c>
      <c r="D13350" s="10" t="inlineStr">
        <is>
          <t>Công Ty Tài Chính TNHH Một Thành Viên Quốc Tế Việt Nam JACCS</t>
        </is>
      </c>
      <c r="E13350" s="10" t="inlineStr">
        <is>
          <t>Lương:5 Tr - 15 Tr VND</t>
        </is>
      </c>
      <c r="F13350" s="10" t="inlineStr">
        <is>
          <t>Sơn La</t>
        </is>
      </c>
      <c r="G13350" s="10" t="inlineStr">
        <is>
          <t>26-03-2026</t>
        </is>
      </c>
      <c r="H13350" s="10" t="inlineStr">
        <is>
          <t>26/03/2026</t>
        </is>
      </c>
      <c r="I13350" s="10" t="inlineStr">
        <is>
          <t>17/03/2026</t>
        </is>
      </c>
      <c r="J13350" s="10" t="inlineStr">
        <is>
          <t>Bán hàng / Kinh doanh, Tài chính / Đầu tư, Lao động phổ thông</t>
        </is>
      </c>
      <c r="K13350" s="10" t="inlineStr">
        <is>
          <t>N/A</t>
        </is>
      </c>
      <c r="L13350" s="11">
        <f>HYPERLINK("https://careerviet.vn/vi/tim-viec-lam/nhan-vien-tu-van-kenh-tra-gop_son-la.35C6990A.html","Xem chi tiết")</f>
        <v/>
      </c>
      <c r="M13350" s="10" t="n"/>
    </row>
    <row r="13351">
      <c r="B13351" s="7" t="n">
        <v>13349</v>
      </c>
      <c r="C13351" t="inlineStr">
        <is>
          <t>Nhân viên Logistics</t>
        </is>
      </c>
      <c r="D13351" t="inlineStr">
        <is>
          <t>Bảo mật</t>
        </is>
      </c>
      <c r="E13351" t="inlineStr">
        <is>
          <t>Lương:10 Tr - 12 Tr VND</t>
        </is>
      </c>
      <c r="F13351" t="inlineStr">
        <is>
          <t>Hồ Chí Minh</t>
        </is>
      </c>
      <c r="G13351" t="inlineStr">
        <is>
          <t>04-04-2026</t>
        </is>
      </c>
      <c r="H13351" t="inlineStr">
        <is>
          <t>04/04/2026</t>
        </is>
      </c>
      <c r="I13351" t="inlineStr">
        <is>
          <t>17/03/2026</t>
        </is>
      </c>
      <c r="J13351" t="inlineStr">
        <is>
          <t>Vận chuyển / Giao nhận / Kho vận, Xuất nhập khẩu</t>
        </is>
      </c>
      <c r="K13351" t="inlineStr">
        <is>
          <t>1 - 3 Năm</t>
        </is>
      </c>
      <c r="L13351" s="8">
        <f>HYPERLINK("https://careerviet.vn/vi/tim-viec-lam/nhan-vien-logistics.35C6A85C.html","Xem chi tiết")</f>
        <v/>
      </c>
    </row>
    <row r="13352">
      <c r="B13352" s="9" t="n">
        <v>13350</v>
      </c>
      <c r="C13352" s="10" t="inlineStr">
        <is>
          <t>Training and Culture Manager/ Assistant Training Manager</t>
        </is>
      </c>
      <c r="D13352" s="10" t="inlineStr">
        <is>
          <t>California Wellness Group</t>
        </is>
      </c>
      <c r="E13352" s="10" t="inlineStr">
        <is>
          <t>Lương:Cạnh tranh</t>
        </is>
      </c>
      <c r="F13352" s="10" t="inlineStr">
        <is>
          <t>Hồ Chí Minh</t>
        </is>
      </c>
      <c r="G13352" s="10" t="inlineStr">
        <is>
          <t>11-04-2026</t>
        </is>
      </c>
      <c r="H13352" s="10" t="inlineStr">
        <is>
          <t>11/04/2026</t>
        </is>
      </c>
      <c r="I13352" s="10" t="inlineStr">
        <is>
          <t>17/03/2026</t>
        </is>
      </c>
      <c r="J13352" s="10" t="inlineStr">
        <is>
          <t>Giáo dục / Đào tạo, Nhân sự</t>
        </is>
      </c>
      <c r="K13352" s="10" t="inlineStr">
        <is>
          <t>5 - 10 Năm</t>
        </is>
      </c>
      <c r="L13352" s="11">
        <f>HYPERLINK("https://careerviet.vn/vi/tim-viec-lam/training-and-culture-manager-assistant-training-manager.35C69C40.html","Xem chi tiết")</f>
        <v/>
      </c>
      <c r="M13352" s="10" t="n"/>
    </row>
    <row r="13353">
      <c r="B13353" s="7" t="n">
        <v>13351</v>
      </c>
      <c r="C13353" t="inlineStr">
        <is>
          <t>GIÁM ĐỐC KINH DOANH</t>
        </is>
      </c>
      <c r="D13353" t="inlineStr">
        <is>
          <t>CÔNG TY CỔ PHẦN ĐẦU TƯ BẤT ĐỘNG SẢN LÊ VIN LAND</t>
        </is>
      </c>
      <c r="E13353" t="inlineStr">
        <is>
          <t>Lương:Cạnh tranh</t>
        </is>
      </c>
      <c r="F13353" t="inlineStr">
        <is>
          <t>Hồ Chí Minh</t>
        </is>
      </c>
      <c r="G13353" t="inlineStr">
        <is>
          <t>31-03-2026</t>
        </is>
      </c>
      <c r="H13353" t="inlineStr">
        <is>
          <t>31/03/2026</t>
        </is>
      </c>
      <c r="I13353" t="inlineStr">
        <is>
          <t>17/03/2026</t>
        </is>
      </c>
      <c r="J13353" t="inlineStr">
        <is>
          <t>Bất động sản, Bán hàng / Kinh doanhBằng cấpĐại họcĐộ tuổiTrên 25</t>
        </is>
      </c>
      <c r="K13353" t="inlineStr">
        <is>
          <t>N/A</t>
        </is>
      </c>
      <c r="L13353" s="8">
        <f>HYPERLINK("https://careerviet.vn/vi/tim-viec-lam/giam-doc-kinh-doanh.35C6B1B5.html","Xem chi tiết")</f>
        <v/>
      </c>
    </row>
    <row r="13354">
      <c r="B13354" s="9" t="n">
        <v>13352</v>
      </c>
      <c r="C13354" s="10" t="inlineStr">
        <is>
          <t>Urgent| Service Engineer (Laser/SMT Machine)</t>
        </is>
      </c>
      <c r="D13354" s="10" t="inlineStr">
        <is>
          <t>Bảo mật</t>
        </is>
      </c>
      <c r="E13354" s="10" t="inlineStr">
        <is>
          <t>Lương:Cạnh tranh</t>
        </is>
      </c>
      <c r="F13354" s="10" t="inlineStr">
        <is>
          <t>Hà Nội</t>
        </is>
      </c>
      <c r="G13354" s="10" t="inlineStr">
        <is>
          <t>31-03-2026</t>
        </is>
      </c>
      <c r="H13354" s="10" t="inlineStr">
        <is>
          <t>31/03/2026</t>
        </is>
      </c>
      <c r="I13354" s="10" t="inlineStr">
        <is>
          <t>17/03/2026</t>
        </is>
      </c>
      <c r="J13354" s="10" t="inlineStr">
        <is>
          <t>Cơ khí / Ô tô / Tự động hóa, Điện / Điện tử / Điện lạnh / Điện công nghiệp</t>
        </is>
      </c>
      <c r="K13354" s="10" t="inlineStr">
        <is>
          <t>1 - 4 Năm</t>
        </is>
      </c>
      <c r="L13354" s="11">
        <f>HYPERLINK("https://careerviet.vn/vi/tim-viec-lam/urgent-service-engineer-laser-smt-machine.35C698D6.html","Xem chi tiết")</f>
        <v/>
      </c>
      <c r="M13354" s="10" t="n"/>
    </row>
    <row r="13355">
      <c r="B13355" s="7" t="n">
        <v>13353</v>
      </c>
      <c r="C13355" t="inlineStr">
        <is>
          <t>Human Resources Executive</t>
        </is>
      </c>
      <c r="D13355" t="inlineStr">
        <is>
          <t>CÔNG TY TNHH LESCHACO VIỆT NAM</t>
        </is>
      </c>
      <c r="E13355" t="inlineStr">
        <is>
          <t>Lương:Cạnh tranh</t>
        </is>
      </c>
      <c r="F13355" t="inlineStr">
        <is>
          <t>Hồ Chí Minh</t>
        </is>
      </c>
      <c r="G13355" t="inlineStr">
        <is>
          <t>31-03-2026</t>
        </is>
      </c>
      <c r="H13355" t="inlineStr">
        <is>
          <t>31/03/2026</t>
        </is>
      </c>
      <c r="I13355" t="inlineStr">
        <is>
          <t>17/03/2026</t>
        </is>
      </c>
      <c r="J13355" t="inlineStr">
        <is>
          <t>Nhân sự</t>
        </is>
      </c>
      <c r="K13355" t="inlineStr">
        <is>
          <t>3 - 5 Năm</t>
        </is>
      </c>
      <c r="L13355" s="8">
        <f>HYPERLINK("https://careerviet.vn/vi/tim-viec-lam/human-resources-executive.35C6B15B.html","Xem chi tiết")</f>
        <v/>
      </c>
    </row>
    <row r="13356">
      <c r="B13356" s="9" t="n">
        <v>13354</v>
      </c>
      <c r="C13356" s="10" t="inlineStr">
        <is>
          <t>Chuyên viên kinh doanh mảng truyền thông quảng cáo</t>
        </is>
      </c>
      <c r="D13356" s="10" t="inlineStr">
        <is>
          <t>Công Ty Cổ Phần Tập Đoàn Việt Ba</t>
        </is>
      </c>
      <c r="E13356" s="10" t="inlineStr">
        <is>
          <t>Lương:20 Tr - 30 Tr VND</t>
        </is>
      </c>
      <c r="F13356" s="10" t="inlineStr">
        <is>
          <t>Hồ Chí MinhKhánh Hòa</t>
        </is>
      </c>
      <c r="G13356" s="10" t="inlineStr">
        <is>
          <t>05-04-2026</t>
        </is>
      </c>
      <c r="H13356" s="10" t="inlineStr">
        <is>
          <t>05/04/2026</t>
        </is>
      </c>
      <c r="I13356" s="10" t="inlineStr">
        <is>
          <t>17/03/2026</t>
        </is>
      </c>
      <c r="J13356" s="10" t="inlineStr">
        <is>
          <t>Bán hàng / Kinh doanh, Quảng cáo / Đối ngoại / Truyền Thông, Truyền hình / Báo chí / Biên tập</t>
        </is>
      </c>
      <c r="K13356" s="10" t="inlineStr">
        <is>
          <t>1 - 3 Năm</t>
        </is>
      </c>
      <c r="L13356" s="11">
        <f>HYPERLINK("https://careerviet.vn/vi/tim-viec-lam/chuyen-vien-kinh-doanh-mang-truyen-thong-quang-cao.35C6B21B.html","Xem chi tiết")</f>
        <v/>
      </c>
      <c r="M13356" s="10" t="n"/>
    </row>
    <row r="13357">
      <c r="B13357" s="7" t="n">
        <v>13355</v>
      </c>
      <c r="C13357" t="inlineStr">
        <is>
          <t>Thực tập sinh kế toán</t>
        </is>
      </c>
      <c r="D13357" t="inlineStr">
        <is>
          <t>Công ty TNHH Chế biến thực phẩm Đông Đô</t>
        </is>
      </c>
      <c r="E13357" t="inlineStr">
        <is>
          <t>Lương:3 Tr - 4 Tr VND</t>
        </is>
      </c>
      <c r="F13357" t="inlineStr">
        <is>
          <t>Hà Nội</t>
        </is>
      </c>
      <c r="G13357" t="inlineStr">
        <is>
          <t>05-04-2026</t>
        </is>
      </c>
      <c r="H13357" t="inlineStr">
        <is>
          <t>05/04/2026</t>
        </is>
      </c>
      <c r="I13357" t="inlineStr">
        <is>
          <t>17/03/2026</t>
        </is>
      </c>
      <c r="J13357" t="inlineStr">
        <is>
          <t>Kế toán / Kiểm toán</t>
        </is>
      </c>
      <c r="K13357" t="inlineStr">
        <is>
          <t>N/A</t>
        </is>
      </c>
      <c r="L13357" s="8">
        <f>HYPERLINK("https://careerviet.vn/vi/tim-viec-lam/thuc-tap-sinh-ke-toan.35C6B1ED.html","Xem chi tiết")</f>
        <v/>
      </c>
    </row>
    <row r="13358">
      <c r="B13358" s="9" t="n">
        <v>13356</v>
      </c>
      <c r="C13358" s="10" t="inlineStr">
        <is>
          <t>Trưởng Phòng Kinh Doanh</t>
        </is>
      </c>
      <c r="D13358" s="10" t="inlineStr">
        <is>
          <t>Công Ty Cổ Phần Tập Đoàn Việt Ba</t>
        </is>
      </c>
      <c r="E13358" s="10" t="inlineStr">
        <is>
          <t>Lương:25 Tr - 30 Tr VND</t>
        </is>
      </c>
      <c r="F13358" s="10" t="inlineStr">
        <is>
          <t>Hồ Chí MinhKhánh Hòa</t>
        </is>
      </c>
      <c r="G13358" s="10" t="inlineStr">
        <is>
          <t>05-04-2026</t>
        </is>
      </c>
      <c r="H13358" s="10" t="inlineStr">
        <is>
          <t>05/04/2026</t>
        </is>
      </c>
      <c r="I13358" s="10" t="inlineStr">
        <is>
          <t>17/03/2026</t>
        </is>
      </c>
      <c r="J13358" s="10" t="inlineStr">
        <is>
          <t>Bán hàng / Kinh doanh, Quảng cáo / Đối ngoại / Truyền Thông, Truyền hình / Báo chí / Biên tập</t>
        </is>
      </c>
      <c r="K13358" s="10" t="inlineStr">
        <is>
          <t>5 - 8 Năm</t>
        </is>
      </c>
      <c r="L13358" s="11">
        <f>HYPERLINK("https://careerviet.vn/vi/tim-viec-lam/truong-phong-kinh-doanh.35C6B257.html","Xem chi tiết")</f>
        <v/>
      </c>
      <c r="M13358" s="10" t="n"/>
    </row>
    <row r="13359">
      <c r="B13359" s="7" t="n">
        <v>13357</v>
      </c>
      <c r="C13359" t="inlineStr">
        <is>
          <t>Trưởng nhóm kinh doanh mảng truyền thông quảng cáo</t>
        </is>
      </c>
      <c r="D13359" t="inlineStr">
        <is>
          <t>Công Ty Cổ Phần Tập Đoàn Việt Ba</t>
        </is>
      </c>
      <c r="E13359" t="inlineStr">
        <is>
          <t>Lương:20 Tr - 35 Tr VND</t>
        </is>
      </c>
      <c r="F13359" t="inlineStr">
        <is>
          <t>Hồ Chí MinhKhánh Hòa</t>
        </is>
      </c>
      <c r="G13359" t="inlineStr">
        <is>
          <t>05-04-2026</t>
        </is>
      </c>
      <c r="H13359" t="inlineStr">
        <is>
          <t>05/04/2026</t>
        </is>
      </c>
      <c r="I13359" t="inlineStr">
        <is>
          <t>17/03/2026</t>
        </is>
      </c>
      <c r="J13359" t="inlineStr">
        <is>
          <t>Quảng cáo / Đối ngoại / Truyền Thông, Truyền hình / Báo chí / Biên tập, Bán hàng / Kinh doanh</t>
        </is>
      </c>
      <c r="K13359" t="inlineStr">
        <is>
          <t>2 - 5 Năm</t>
        </is>
      </c>
      <c r="L13359" s="8">
        <f>HYPERLINK("https://careerviet.vn/vi/tim-viec-lam/truong-nhom-kinh-doanh-mang-truyen-thong-quang-cao.35C6B20E.html","Xem chi tiết")</f>
        <v/>
      </c>
    </row>
    <row r="13360">
      <c r="B13360" s="9" t="n">
        <v>13358</v>
      </c>
      <c r="C13360" s="10" t="inlineStr">
        <is>
          <t>Kế Toán Thuế</t>
        </is>
      </c>
      <c r="D13360" s="10" t="inlineStr">
        <is>
          <t>Công Ty Cổ Phần Tập Đoàn Thời Trang Việt Nam</t>
        </is>
      </c>
      <c r="E13360" s="10" t="inlineStr">
        <is>
          <t>Lương:12 Tr - 13 Tr VND</t>
        </is>
      </c>
      <c r="F13360" s="10" t="inlineStr">
        <is>
          <t>Hà Nội</t>
        </is>
      </c>
      <c r="G13360" s="10" t="inlineStr">
        <is>
          <t>04-04-2026</t>
        </is>
      </c>
      <c r="H13360" s="10" t="inlineStr">
        <is>
          <t>04/04/2026</t>
        </is>
      </c>
      <c r="I13360" s="10" t="inlineStr">
        <is>
          <t>17/03/2026</t>
        </is>
      </c>
      <c r="J13360" s="10" t="inlineStr">
        <is>
          <t>Kế toán / Kiểm toán, Tài chính / Đầu tư</t>
        </is>
      </c>
      <c r="K13360" s="10" t="inlineStr">
        <is>
          <t>1 - 2 Năm</t>
        </is>
      </c>
      <c r="L13360" s="11">
        <f>HYPERLINK("https://careerviet.vn/vi/tim-viec-lam/ke-toan-thue.35C6B216.html","Xem chi tiết")</f>
        <v/>
      </c>
      <c r="M13360" s="10" t="n"/>
    </row>
    <row r="13361">
      <c r="B13361" s="7" t="n">
        <v>13359</v>
      </c>
      <c r="C13361" t="inlineStr">
        <is>
          <t>Chuyên viên cao cấp Digital Marketing</t>
        </is>
      </c>
      <c r="D13361" t="inlineStr">
        <is>
          <t>LOTTE FINANCE VIETNAM</t>
        </is>
      </c>
      <c r="E13361" t="inlineStr">
        <is>
          <t>Lương:Cạnh tranh</t>
        </is>
      </c>
      <c r="F13361" t="inlineStr">
        <is>
          <t>Hà Nội</t>
        </is>
      </c>
      <c r="G13361" t="inlineStr">
        <is>
          <t>04-04-2026</t>
        </is>
      </c>
      <c r="H13361" t="inlineStr">
        <is>
          <t>04/04/2026</t>
        </is>
      </c>
      <c r="I13361" t="inlineStr">
        <is>
          <t>17/03/2026</t>
        </is>
      </c>
      <c r="J13361" t="inlineStr">
        <is>
          <t>Ngân hàng, Truyền hình / Báo chí / Biên tập, Quảng cáo / Đối ngoại / Truyền Thông</t>
        </is>
      </c>
      <c r="K13361" t="inlineStr">
        <is>
          <t>Trên 3 Năm</t>
        </is>
      </c>
      <c r="L13361" s="8">
        <f>HYPERLINK("https://careerviet.vn/vi/tim-viec-lam/chuyen-vien-cao-cap-digital-marketing.35C6B24C.html","Xem chi tiết")</f>
        <v/>
      </c>
    </row>
    <row r="13362">
      <c r="B13362" s="9" t="n">
        <v>13360</v>
      </c>
      <c r="C13362" s="10" t="inlineStr">
        <is>
          <t>Chuyên Viên Báo Giá</t>
        </is>
      </c>
      <c r="D13362" s="10" t="inlineStr">
        <is>
          <t>Công ty TNHH Sao Vàng</t>
        </is>
      </c>
      <c r="E13362" s="10" t="inlineStr">
        <is>
          <t>Lương:10 Tr - 14 Tr VND</t>
        </is>
      </c>
      <c r="F13362" s="10" t="inlineStr">
        <is>
          <t>Hải Phòng</t>
        </is>
      </c>
      <c r="G13362" s="10" t="inlineStr">
        <is>
          <t>10-04-2026</t>
        </is>
      </c>
      <c r="H13362" s="10" t="inlineStr">
        <is>
          <t>10/04/2026</t>
        </is>
      </c>
      <c r="I13362" s="10" t="inlineStr">
        <is>
          <t>17/03/2026</t>
        </is>
      </c>
      <c r="J13362" s="10" t="inlineStr">
        <is>
          <t>Bán lẻ / Bán sỉ, Bán hàng / Kinh doanh, Tài chính / Đầu tư</t>
        </is>
      </c>
      <c r="K13362" s="10" t="inlineStr">
        <is>
          <t>N/A</t>
        </is>
      </c>
      <c r="L13362" s="11">
        <f>HYPERLINK("https://careerviet.vn/vi/tim-viec-lam/chuyen-vien-bao-gia.35C6B20F.html","Xem chi tiết")</f>
        <v/>
      </c>
      <c r="M13362" s="10" t="n"/>
    </row>
    <row r="13363">
      <c r="B13363" s="7" t="n">
        <v>13361</v>
      </c>
      <c r="C13363" t="inlineStr">
        <is>
          <t>Chăm Sóc Khách Hàng (Phú Thọ)</t>
        </is>
      </c>
      <c r="D13363" t="inlineStr">
        <is>
          <t>CÔNG TY CỔ PHẦN TẬP ĐOÀN ONSEN FUJI</t>
        </is>
      </c>
      <c r="E13363" t="inlineStr">
        <is>
          <t>Lương:8 Tr - 10 Tr VND</t>
        </is>
      </c>
      <c r="F13363" t="inlineStr">
        <is>
          <t>Phú Thọ</t>
        </is>
      </c>
      <c r="G13363" t="inlineStr">
        <is>
          <t>04-04-2026</t>
        </is>
      </c>
      <c r="H13363" t="inlineStr">
        <is>
          <t>04/04/2026</t>
        </is>
      </c>
      <c r="I13363" t="inlineStr">
        <is>
          <t>17/03/2026</t>
        </is>
      </c>
      <c r="J13363" t="inlineStr">
        <is>
          <t>Nhà hàng / Khách sạn</t>
        </is>
      </c>
      <c r="K13363" t="inlineStr">
        <is>
          <t>Chưa có kinh nghiệm</t>
        </is>
      </c>
      <c r="L13363" s="8">
        <f>HYPERLINK("https://careerviet.vn/vi/tim-viec-lam/cham-soc-khach-hang-phu-tho.35C6AFF5.html","Xem chi tiết")</f>
        <v/>
      </c>
    </row>
    <row r="13364">
      <c r="B13364" s="9" t="n">
        <v>13362</v>
      </c>
      <c r="C13364" s="10" t="inlineStr">
        <is>
          <t>Kỹ sư thiết kế điện</t>
        </is>
      </c>
      <c r="D13364" s="10" t="inlineStr">
        <is>
          <t>Công ty Cổ phần Đầu tư Tân Minh</t>
        </is>
      </c>
      <c r="E13364" s="10" t="inlineStr">
        <is>
          <t>Lương:16 Tr - 20 Tr VND</t>
        </is>
      </c>
      <c r="F13364" s="10" t="inlineStr">
        <is>
          <t>Hà Nội</t>
        </is>
      </c>
      <c r="G13364" s="10" t="inlineStr">
        <is>
          <t>14-04-2026</t>
        </is>
      </c>
      <c r="H13364" s="10" t="inlineStr">
        <is>
          <t>14/04/2026</t>
        </is>
      </c>
      <c r="I13364" s="10" t="inlineStr">
        <is>
          <t>17/03/2026</t>
        </is>
      </c>
      <c r="J13364" s="10" t="inlineStr">
        <is>
          <t>Điện / Điện tử / Điện lạnh / Điện công nghiệp, Xây dựng</t>
        </is>
      </c>
      <c r="K13364" s="10" t="inlineStr">
        <is>
          <t>Trên 1 Năm</t>
        </is>
      </c>
      <c r="L13364" s="11">
        <f>HYPERLINK("https://careerviet.vn/vi/tim-viec-lam/ky-su-thiet-ke-dien.35C6B1B8.html","Xem chi tiết")</f>
        <v/>
      </c>
      <c r="M13364" s="10" t="n"/>
    </row>
    <row r="13365">
      <c r="B13365" s="7" t="n">
        <v>13363</v>
      </c>
      <c r="C13365" t="inlineStr">
        <is>
          <t>KẾ TOÁN TRƯỞNG / CHIEF ACCOUNTANT</t>
        </is>
      </c>
      <c r="D13365" t="inlineStr">
        <is>
          <t>Công Ty TNHH J.G</t>
        </is>
      </c>
      <c r="E13365" t="inlineStr">
        <is>
          <t>Lương:Cạnh tranh</t>
        </is>
      </c>
      <c r="F13365" t="inlineStr">
        <is>
          <t>Hồ Chí Minh</t>
        </is>
      </c>
      <c r="G13365" t="inlineStr">
        <is>
          <t>05-04-2026</t>
        </is>
      </c>
      <c r="H13365" t="inlineStr">
        <is>
          <t>05/04/2026</t>
        </is>
      </c>
      <c r="I13365" t="inlineStr">
        <is>
          <t>17/03/2026</t>
        </is>
      </c>
      <c r="J13365" t="inlineStr">
        <is>
          <t>Kế toán / Kiểm toán, Xây dựng, Tài chính / Đầu tư</t>
        </is>
      </c>
      <c r="K13365" t="inlineStr">
        <is>
          <t>7 - 8 Năm</t>
        </is>
      </c>
      <c r="L13365" s="8">
        <f>HYPERLINK("https://careerviet.vn/vi/tim-viec-lam/ke-toan-truong-chief-accountant.35C6B212.html","Xem chi tiết")</f>
        <v/>
      </c>
    </row>
    <row r="13366">
      <c r="B13366" s="9" t="n">
        <v>13364</v>
      </c>
      <c r="C13366" s="10" t="inlineStr">
        <is>
          <t>Kỹ Sư Sợi Vải</t>
        </is>
      </c>
      <c r="D13366" s="10" t="inlineStr">
        <is>
          <t>Công Ty Cổ Phần Tập Đoàn Thời Trang Việt Nam</t>
        </is>
      </c>
      <c r="E13366" s="10" t="inlineStr">
        <is>
          <t>Lương:15 Tr - 25 Tr VND</t>
        </is>
      </c>
      <c r="F13366" s="10" t="inlineStr">
        <is>
          <t>Hà Nội</t>
        </is>
      </c>
      <c r="G13366" s="10" t="inlineStr">
        <is>
          <t>04-04-2026</t>
        </is>
      </c>
      <c r="H13366" s="10" t="inlineStr">
        <is>
          <t>04/04/2026</t>
        </is>
      </c>
      <c r="I13366" s="10" t="inlineStr">
        <is>
          <t>17/03/2026</t>
        </is>
      </c>
      <c r="J13366" s="10" t="inlineStr">
        <is>
          <t>Sản xuất / Vận hành sản xuất, Dệt may / Da giày / Thời trang, Quản lý chất lượng (QA/QC)</t>
        </is>
      </c>
      <c r="K13366" s="10" t="inlineStr">
        <is>
          <t>2 - 3 Năm</t>
        </is>
      </c>
      <c r="L13366" s="11">
        <f>HYPERLINK("https://careerviet.vn/vi/tim-viec-lam/ky-su-soi-vai.35C6B206.html","Xem chi tiết")</f>
        <v/>
      </c>
      <c r="M13366" s="10" t="n"/>
    </row>
    <row r="13367">
      <c r="B13367" s="7" t="n">
        <v>13365</v>
      </c>
      <c r="C13367" t="inlineStr">
        <is>
          <t>Kỹ Sư Shopdrawing Cơ điện</t>
        </is>
      </c>
      <c r="D13367" t="inlineStr">
        <is>
          <t>CÔNG TY CỔ PHẦN TẬP ĐOÀN GDC</t>
        </is>
      </c>
      <c r="E13367" t="inlineStr">
        <is>
          <t>Lương:18 Tr - 23 Tr VND</t>
        </is>
      </c>
      <c r="F13367" t="inlineStr">
        <is>
          <t>Hà Nội</t>
        </is>
      </c>
      <c r="G13367" t="inlineStr">
        <is>
          <t>05-04-2026</t>
        </is>
      </c>
      <c r="H13367" t="inlineStr">
        <is>
          <t>05/04/2026</t>
        </is>
      </c>
      <c r="I13367" t="inlineStr">
        <is>
          <t>17/03/2026</t>
        </is>
      </c>
      <c r="J13367" t="inlineStr">
        <is>
          <t>Điện / Điện tử / Điện lạnh / Điện công nghiệp</t>
        </is>
      </c>
      <c r="K13367" t="inlineStr">
        <is>
          <t>1 - 10 Năm</t>
        </is>
      </c>
      <c r="L13367" s="8">
        <f>HYPERLINK("https://careerviet.vn/vi/tim-viec-lam/ky-su-shopdrawing-co-dien.35C6B199.html","Xem chi tiết")</f>
        <v/>
      </c>
    </row>
    <row r="13368">
      <c r="B13368" s="9" t="n">
        <v>13366</v>
      </c>
      <c r="C13368" s="10" t="inlineStr">
        <is>
          <t>Chuyên viên cao cấp Thúc đẩy kinh doanh</t>
        </is>
      </c>
      <c r="D13368" s="10" t="inlineStr">
        <is>
          <t>CÔNG TY CỔ PHẦN KINH DOANH F88</t>
        </is>
      </c>
      <c r="E13368" s="10" t="inlineStr">
        <is>
          <t>Lương:Cạnh tranh</t>
        </is>
      </c>
      <c r="F13368" s="10" t="inlineStr">
        <is>
          <t>Hà Nội</t>
        </is>
      </c>
      <c r="G13368" s="10" t="inlineStr">
        <is>
          <t>30-04-2026</t>
        </is>
      </c>
      <c r="H13368" s="10" t="inlineStr">
        <is>
          <t>30/04/2026</t>
        </is>
      </c>
      <c r="I13368" s="10" t="inlineStr">
        <is>
          <t>17/03/2026</t>
        </is>
      </c>
      <c r="J13368" s="10" t="inlineStr">
        <is>
          <t>Bán hàng / Kinh doanh, Ngân hàng, Tài chính / Đầu tư</t>
        </is>
      </c>
      <c r="K13368" s="10" t="inlineStr">
        <is>
          <t>3 - 4 Năm</t>
        </is>
      </c>
      <c r="L13368" s="11">
        <f>HYPERLINK("https://careerviet.vn/vi/tim-viec-lam/chuyen-vien-cao-cap-thuc-day-kinh-doanh.35C6B1C8.html","Xem chi tiết")</f>
        <v/>
      </c>
      <c r="M13368" s="10" t="n"/>
    </row>
    <row r="13369">
      <c r="B13369" s="7" t="n">
        <v>13367</v>
      </c>
      <c r="C13369" t="inlineStr">
        <is>
          <t>Kế Toán Trưởng</t>
        </is>
      </c>
      <c r="D13369" t="inlineStr">
        <is>
          <t>CÔNG TY TNHH ĐẦU TƯ THƯƠNG MẠI VÀ SẢN XUẤT CHÍNH PHÁT</t>
        </is>
      </c>
      <c r="E13369" t="inlineStr">
        <is>
          <t>Lương:35 Tr - 40 Tr VND</t>
        </is>
      </c>
      <c r="F13369" t="inlineStr">
        <is>
          <t>Hà Nội</t>
        </is>
      </c>
      <c r="G13369" t="inlineStr">
        <is>
          <t>06-04-2026</t>
        </is>
      </c>
      <c r="H13369" t="inlineStr">
        <is>
          <t>06/04/2026</t>
        </is>
      </c>
      <c r="I13369" t="inlineStr">
        <is>
          <t>17/03/2026</t>
        </is>
      </c>
      <c r="J13369" t="inlineStr">
        <is>
          <t>Kế toán / Kiểm toán, Thương mại điện tử</t>
        </is>
      </c>
      <c r="K13369" t="inlineStr">
        <is>
          <t>3 - 5 Năm</t>
        </is>
      </c>
      <c r="L13369" s="8">
        <f>HYPERLINK("https://careerviet.vn/vi/tim-viec-lam/ke-toan-truong.35C6B205.html","Xem chi tiết")</f>
        <v/>
      </c>
    </row>
    <row r="13370">
      <c r="B13370" s="9" t="n">
        <v>13368</v>
      </c>
      <c r="C13370" s="10" t="inlineStr">
        <is>
          <t>Marketing Leader</t>
        </is>
      </c>
      <c r="D13370" s="10" t="inlineStr">
        <is>
          <t>CÔNG TY CP TẬP ĐOÀN VIỆT HỒNG</t>
        </is>
      </c>
      <c r="E13370" s="10" t="inlineStr">
        <is>
          <t>Lương:25 Tr - 35 Tr VND</t>
        </is>
      </c>
      <c r="F13370" s="10" t="inlineStr">
        <is>
          <t>Hồ Chí Minh</t>
        </is>
      </c>
      <c r="G13370" s="10" t="inlineStr">
        <is>
          <t>31-03-2026</t>
        </is>
      </c>
      <c r="H13370" s="10" t="inlineStr">
        <is>
          <t>31/03/2026</t>
        </is>
      </c>
      <c r="I13370" s="10" t="inlineStr">
        <is>
          <t>17/03/2026</t>
        </is>
      </c>
      <c r="J13370" s="10" t="inlineStr">
        <is>
          <t>Đồ gỗ, Bán hàng / Kinh doanh, Nội ngoại thất</t>
        </is>
      </c>
      <c r="K13370" s="10" t="inlineStr">
        <is>
          <t>2 - 3 Năm</t>
        </is>
      </c>
      <c r="L13370" s="11">
        <f>HYPERLINK("https://careerviet.vn/vi/tim-viec-lam/marketing-leader.35C69C19.html","Xem chi tiết")</f>
        <v/>
      </c>
      <c r="M13370" s="10" t="n"/>
    </row>
    <row r="13371">
      <c r="B13371" s="7" t="n">
        <v>13369</v>
      </c>
      <c r="C13371" t="inlineStr">
        <is>
          <t>Nhân viên tư vấn tuyển sinh  [Long Khánh - Đồng Nai]</t>
        </is>
      </c>
      <c r="D13371" t="inlineStr">
        <is>
          <t>Công Ty CP Liên Kết Quốc Tế INTERLINK (Trường Liên Kết Quốc Tế INschool &amp; Ngoại Ngữ Quốc Tế INS ENGLISH &amp; CHINESE)</t>
        </is>
      </c>
      <c r="E13371" t="inlineStr">
        <is>
          <t>Lương:7 Tr - 10 Tr VND</t>
        </is>
      </c>
      <c r="F13371" t="inlineStr">
        <is>
          <t>Đồng Nai</t>
        </is>
      </c>
      <c r="G13371" t="inlineStr">
        <is>
          <t>31-03-2026</t>
        </is>
      </c>
      <c r="H13371" t="inlineStr">
        <is>
          <t>31/03/2026</t>
        </is>
      </c>
      <c r="I13371" t="inlineStr">
        <is>
          <t>17/03/2026</t>
        </is>
      </c>
      <c r="J13371" t="inlineStr">
        <is>
          <t>Tiếp thị / Marketing, Tư vấn, Giáo dục / Đào tạo</t>
        </is>
      </c>
      <c r="K13371" t="inlineStr">
        <is>
          <t>1 - 2 Năm</t>
        </is>
      </c>
      <c r="L13371" s="8">
        <f>HYPERLINK("https://careerviet.vn/vi/tim-viec-lam/nhan-vien-tu-van-tuyen-sinh-long-khanh-dong-nai.35C6B143.html","Xem chi tiết")</f>
        <v/>
      </c>
    </row>
    <row r="13372">
      <c r="B13372" s="9" t="n">
        <v>13370</v>
      </c>
      <c r="C13372" s="10" t="inlineStr">
        <is>
          <t>Nhân viên kinh doanh bảo hiểm - địa bàn TP. HCM (Bình Dương cũ)</t>
        </is>
      </c>
      <c r="D13372" s="10" t="inlineStr">
        <is>
          <t>Tổng Công Ty Cổ Phần Bảo Hiểm Ngân Hàng TMCP Công Thương Việt Nam</t>
        </is>
      </c>
      <c r="E13372" s="10" t="inlineStr">
        <is>
          <t>Lương:Cạnh tranh</t>
        </is>
      </c>
      <c r="F13372" s="10" t="inlineStr">
        <is>
          <t>Bình Dương</t>
        </is>
      </c>
      <c r="G13372" s="10" t="inlineStr">
        <is>
          <t>04-04-2026</t>
        </is>
      </c>
      <c r="H13372" s="10" t="inlineStr">
        <is>
          <t>04/04/2026</t>
        </is>
      </c>
      <c r="I13372" s="10" t="inlineStr">
        <is>
          <t>17/03/2026</t>
        </is>
      </c>
      <c r="J13372" s="10" t="inlineStr">
        <is>
          <t>Bảo hiểm</t>
        </is>
      </c>
      <c r="K13372" s="10" t="inlineStr">
        <is>
          <t>2 - 3 Năm</t>
        </is>
      </c>
      <c r="L13372" s="11">
        <f>HYPERLINK("https://careerviet.vn/vi/tim-viec-lam/nhan-vien-kinh-doanh-bao-hiem-dia-ban-tp-hcm-binh-duong-cu.35C6B1D1.html","Xem chi tiết")</f>
        <v/>
      </c>
      <c r="M13372" s="10" t="n"/>
    </row>
    <row r="13373">
      <c r="B13373" s="7" t="n">
        <v>13371</v>
      </c>
      <c r="C13373" t="inlineStr">
        <is>
          <t>Nhân Viên Nghiên Cứu - Phòng Thí Nghiệm</t>
        </is>
      </c>
      <c r="D13373" t="inlineStr">
        <is>
          <t>Dalat Hasfarm</t>
        </is>
      </c>
      <c r="E13373" t="inlineStr">
        <is>
          <t>Lương:Cạnh tranh</t>
        </is>
      </c>
      <c r="F13373" t="inlineStr">
        <is>
          <t>Lâm Đồng</t>
        </is>
      </c>
      <c r="G13373" t="inlineStr">
        <is>
          <t>04-04-2026</t>
        </is>
      </c>
      <c r="H13373" t="inlineStr">
        <is>
          <t>04/04/2026</t>
        </is>
      </c>
      <c r="I13373" t="inlineStr">
        <is>
          <t>17/03/2026</t>
        </is>
      </c>
      <c r="J13373" t="inlineStr">
        <is>
          <t>Công nghệ sinh học, Nông nghiệp</t>
        </is>
      </c>
      <c r="K13373" t="inlineStr">
        <is>
          <t>Trên 1 Năm</t>
        </is>
      </c>
      <c r="L13373" s="8">
        <f>HYPERLINK("https://careerviet.vn/vi/tim-viec-lam/nhan-vien-nghien-cuu-phong-thi-nghiem.35C6B1AC.html","Xem chi tiết")</f>
        <v/>
      </c>
    </row>
    <row r="13374">
      <c r="B13374" s="9" t="n">
        <v>13372</v>
      </c>
      <c r="C13374" s="10" t="inlineStr">
        <is>
          <t>Nhân Viên Quay chụp sản phẩm</t>
        </is>
      </c>
      <c r="D13374" s="10" t="inlineStr">
        <is>
          <t>CÔNG TY TNHH MĂMMY VIỆT NAM</t>
        </is>
      </c>
      <c r="E13374" s="10" t="inlineStr">
        <is>
          <t>Lương:Cạnh tranh</t>
        </is>
      </c>
      <c r="F13374" s="10" t="inlineStr">
        <is>
          <t>Hồ Chí Minh</t>
        </is>
      </c>
      <c r="G13374" s="10" t="inlineStr">
        <is>
          <t>31-03-2026</t>
        </is>
      </c>
      <c r="H13374" s="10" t="inlineStr">
        <is>
          <t>31/03/2026</t>
        </is>
      </c>
      <c r="I13374" s="10" t="inlineStr">
        <is>
          <t>17/03/2026</t>
        </is>
      </c>
      <c r="J13374" s="10" t="inlineStr">
        <is>
          <t>Tiếp thị / Marketing, Truyền hình / Báo chí / Biên tập, Quảng cáo / Đối ngoại / Truyền Thông</t>
        </is>
      </c>
      <c r="K13374" s="10" t="inlineStr">
        <is>
          <t>1 - 2 Năm</t>
        </is>
      </c>
      <c r="L13374" s="11">
        <f>HYPERLINK("https://careerviet.vn/vi/tim-viec-lam/nhan-vien-quay-chup-san-pham.35C6AEF7.html","Xem chi tiết")</f>
        <v/>
      </c>
      <c r="M13374" s="10" t="n"/>
    </row>
    <row r="13375">
      <c r="B13375" s="7" t="n">
        <v>13373</v>
      </c>
      <c r="C13375" t="inlineStr">
        <is>
          <t>TRƯỞNG PHÒNG TỔ CHỨC HÀNH CHÍNH NHÂN SỰ</t>
        </is>
      </c>
      <c r="D13375" t="inlineStr">
        <is>
          <t>Công Ty TNHH Phát Triển Công Nghệ Điện Tử Bình Anh</t>
        </is>
      </c>
      <c r="E13375" t="inlineStr">
        <is>
          <t>Lương:20 Tr - 30 Tr VND</t>
        </is>
      </c>
      <c r="F13375" t="inlineStr">
        <is>
          <t>Hà Nội</t>
        </is>
      </c>
      <c r="G13375" t="inlineStr">
        <is>
          <t>03-04-2026</t>
        </is>
      </c>
      <c r="H13375" t="inlineStr">
        <is>
          <t>03/04/2026</t>
        </is>
      </c>
      <c r="I13375" t="inlineStr">
        <is>
          <t>17/03/2026</t>
        </is>
      </c>
      <c r="J13375" t="inlineStr">
        <is>
          <t>Nhân sự</t>
        </is>
      </c>
      <c r="K13375" t="inlineStr">
        <is>
          <t>5 - 10 Năm</t>
        </is>
      </c>
      <c r="L13375" s="8">
        <f>HYPERLINK("https://careerviet.vn/vi/tim-viec-lam/truong-phong-to-chuc-hanh-chinh-nhan-su.35C6B213.html","Xem chi tiết")</f>
        <v/>
      </c>
    </row>
    <row r="13376">
      <c r="B13376" s="9" t="n">
        <v>13374</v>
      </c>
      <c r="C13376" s="10" t="inlineStr">
        <is>
          <t>Nhân viên thiết kế</t>
        </is>
      </c>
      <c r="D13376" s="10" t="inlineStr">
        <is>
          <t>Công Ty Cổ Phần Gỗ An Cường</t>
        </is>
      </c>
      <c r="E13376" s="10" t="inlineStr">
        <is>
          <t>Lương:800 - 1.000 USD</t>
        </is>
      </c>
      <c r="F13376" s="10" t="inlineStr">
        <is>
          <t>Hồ Chí Minh</t>
        </is>
      </c>
      <c r="G13376" s="10" t="inlineStr">
        <is>
          <t>05-04-2026</t>
        </is>
      </c>
      <c r="H13376" s="10" t="inlineStr">
        <is>
          <t>05/04/2026</t>
        </is>
      </c>
      <c r="I13376" s="10" t="inlineStr">
        <is>
          <t>17/03/2026</t>
        </is>
      </c>
      <c r="J13376" s="10" t="inlineStr">
        <is>
          <t>Mỹ thuật / Nghệ thuật / Thiết kế, Kiến trúc, Nội ngoại thất</t>
        </is>
      </c>
      <c r="K13376" s="10" t="inlineStr">
        <is>
          <t>2 - 3 Năm</t>
        </is>
      </c>
      <c r="L13376" s="11">
        <f>HYPERLINK("https://careerviet.vn/vi/tim-viec-lam/nhan-vien-thiet-ke.35C6B1FC.html","Xem chi tiết")</f>
        <v/>
      </c>
      <c r="M13376" s="10" t="n"/>
    </row>
    <row r="13377">
      <c r="B13377" s="7" t="n">
        <v>13375</v>
      </c>
      <c r="C13377" t="inlineStr">
        <is>
          <t>Trưởng phòng Trải nghiệm khách hàng  (CX Manager)</t>
        </is>
      </c>
      <c r="D13377" t="inlineStr">
        <is>
          <t>HMK Eyewear</t>
        </is>
      </c>
      <c r="E13377" t="inlineStr">
        <is>
          <t>Lương:20 Tr - 35 Tr VND</t>
        </is>
      </c>
      <c r="F13377" t="inlineStr">
        <is>
          <t>Hồ Chí Minh</t>
        </is>
      </c>
      <c r="G13377" t="inlineStr">
        <is>
          <t>31-03-2026</t>
        </is>
      </c>
      <c r="H13377" t="inlineStr">
        <is>
          <t>31/03/2026</t>
        </is>
      </c>
      <c r="I13377" t="inlineStr">
        <is>
          <t>17/03/2026</t>
        </is>
      </c>
      <c r="J13377" t="inlineStr">
        <is>
          <t>Tư vấn, Dịch vụ khách hàng, Y tế / Chăm sóc sức khỏe / Thẩm mỹ / Làm đẹp</t>
        </is>
      </c>
      <c r="K13377" t="inlineStr">
        <is>
          <t>3 - 5 Năm</t>
        </is>
      </c>
      <c r="L13377" s="8">
        <f>HYPERLINK("https://careerviet.vn/vi/tim-viec-lam/truong-phong-trai-nghiem-khach-hang-cx-manager.35C6B1F5.html","Xem chi tiết")</f>
        <v/>
      </c>
    </row>
    <row r="13378">
      <c r="B13378" s="9" t="n">
        <v>13376</v>
      </c>
      <c r="C13378" s="10" t="inlineStr">
        <is>
          <t>Trưởng phòng IT</t>
        </is>
      </c>
      <c r="D13378" s="10" t="inlineStr">
        <is>
          <t>Công ty cổ phần Tập đoàn Danko</t>
        </is>
      </c>
      <c r="E13378" s="10" t="inlineStr">
        <is>
          <t>Lương:Cạnh tranh</t>
        </is>
      </c>
      <c r="F13378" s="10" t="inlineStr">
        <is>
          <t>Hà Nội</t>
        </is>
      </c>
      <c r="G13378" s="10" t="inlineStr">
        <is>
          <t>31-05-2026</t>
        </is>
      </c>
      <c r="H13378" s="10" t="inlineStr">
        <is>
          <t>31/05/2026</t>
        </is>
      </c>
      <c r="I13378" s="10" t="inlineStr">
        <is>
          <t>17/03/2026</t>
        </is>
      </c>
      <c r="J13378" s="10" t="inlineStr">
        <is>
          <t>CNTT - Phần cứng / Mạng</t>
        </is>
      </c>
      <c r="K13378" s="10" t="inlineStr">
        <is>
          <t>5 - 8 Năm</t>
        </is>
      </c>
      <c r="L13378" s="11">
        <f>HYPERLINK("https://careerviet.vn/vi/tim-viec-lam/truong-phong-it.35C6B192.html","Xem chi tiết")</f>
        <v/>
      </c>
      <c r="M13378" s="10" t="n"/>
    </row>
    <row r="13379">
      <c r="B13379" s="7" t="n">
        <v>13377</v>
      </c>
      <c r="C13379" t="inlineStr">
        <is>
          <t>Nhân viên thiết kế 2D ( Bất động sản)</t>
        </is>
      </c>
      <c r="D13379" t="inlineStr">
        <is>
          <t>CÔNG TY CỔ PHẦN EUROWINDOW HOLDING</t>
        </is>
      </c>
      <c r="E13379" t="inlineStr">
        <is>
          <t>Lương:Cạnh tranh</t>
        </is>
      </c>
      <c r="F13379" t="inlineStr">
        <is>
          <t>Hà Nội</t>
        </is>
      </c>
      <c r="G13379" t="inlineStr">
        <is>
          <t>30-04-2026</t>
        </is>
      </c>
      <c r="H13379" t="inlineStr">
        <is>
          <t>30/04/2026</t>
        </is>
      </c>
      <c r="I13379" t="inlineStr">
        <is>
          <t>17/03/2026</t>
        </is>
      </c>
      <c r="J13379" t="inlineStr">
        <is>
          <t>Mỹ thuật / Nghệ thuật / Thiết kế</t>
        </is>
      </c>
      <c r="K13379" t="inlineStr">
        <is>
          <t>3 - 10 Năm</t>
        </is>
      </c>
      <c r="L13379" s="8">
        <f>HYPERLINK("https://careerviet.vn/vi/tim-viec-lam/nhan-vien-thiet-ke-2d-bat-dong-san.35C6B0E8.html","Xem chi tiết")</f>
        <v/>
      </c>
    </row>
    <row r="13380">
      <c r="B13380" s="9" t="n">
        <v>13378</v>
      </c>
      <c r="C13380" s="10" t="inlineStr">
        <is>
          <t>Nhân Viên Kỹ Thuật sửa chữa điện thoại</t>
        </is>
      </c>
      <c r="D13380" s="10" t="inlineStr">
        <is>
          <t>Công ty Cổ phần Masscom Việt Nam</t>
        </is>
      </c>
      <c r="E13380" s="10" t="inlineStr">
        <is>
          <t>Lương:Cạnh tranh</t>
        </is>
      </c>
      <c r="F13380" s="10" t="inlineStr">
        <is>
          <t>Hồ Chí Minh</t>
        </is>
      </c>
      <c r="G13380" s="10" t="inlineStr">
        <is>
          <t>30-04-2026</t>
        </is>
      </c>
      <c r="H13380" s="10" t="inlineStr">
        <is>
          <t>30/04/2026</t>
        </is>
      </c>
      <c r="I13380" s="10" t="inlineStr">
        <is>
          <t>17/03/2026</t>
        </is>
      </c>
      <c r="J13380" s="10" t="inlineStr">
        <is>
          <t>Bảo trì / Sửa chữa, Điện / Điện tử / Điện lạnh / Điện công nghiệp, CNTT - Phần cứng / Mạng</t>
        </is>
      </c>
      <c r="K13380" s="10" t="inlineStr">
        <is>
          <t>1 - 3 Năm</t>
        </is>
      </c>
      <c r="L13380" s="11">
        <f>HYPERLINK("https://careerviet.vn/vi/tim-viec-lam/nhan-vien-ky-thuat-sua-chua-dien-thoai.35C6B204.html","Xem chi tiết")</f>
        <v/>
      </c>
      <c r="M13380" s="10" t="n"/>
    </row>
    <row r="13381">
      <c r="B13381" s="7" t="n">
        <v>13379</v>
      </c>
      <c r="C13381" t="inlineStr">
        <is>
          <t>Production Technology Manager</t>
        </is>
      </c>
      <c r="D13381" t="inlineStr">
        <is>
          <t>CÔNG TY TNHH SEAH M&amp;S VIỆT NAM</t>
        </is>
      </c>
      <c r="E13381" t="inlineStr">
        <is>
          <t>Lương:Cạnh tranh</t>
        </is>
      </c>
      <c r="F13381" t="inlineStr">
        <is>
          <t>Bà Rịa - Vũng TàuHồ Chí Minh</t>
        </is>
      </c>
      <c r="G13381" t="inlineStr">
        <is>
          <t>04-04-2026</t>
        </is>
      </c>
      <c r="H13381" t="inlineStr">
        <is>
          <t>04/04/2026</t>
        </is>
      </c>
      <c r="I13381" t="inlineStr">
        <is>
          <t>17/03/2026</t>
        </is>
      </c>
      <c r="J13381" t="inlineStr">
        <is>
          <t>Sản xuất / Vận hành sản xuất, Hóa học</t>
        </is>
      </c>
      <c r="K13381" t="inlineStr">
        <is>
          <t>9 - 12 Năm</t>
        </is>
      </c>
      <c r="L13381" s="8">
        <f>HYPERLINK("https://careerviet.vn/vi/tim-viec-lam/production-technology-manager.35C6B1C3.html","Xem chi tiết")</f>
        <v/>
      </c>
    </row>
    <row r="13382">
      <c r="B13382" s="9" t="n">
        <v>13380</v>
      </c>
      <c r="C13382" s="10" t="inlineStr">
        <is>
          <t>NHÂN VIÊN BÁN HÀNG (THỜI TRANG)</t>
        </is>
      </c>
      <c r="D13382" s="10" t="inlineStr">
        <is>
          <t>Công Ty TNHH Thời Trang Gior (Nhãn Hàng Thời Trang Giordano)</t>
        </is>
      </c>
      <c r="E13382" s="10" t="inlineStr">
        <is>
          <t>Lương:6,2 Tr - 8 Tr VND</t>
        </is>
      </c>
      <c r="F13382" s="10" t="inlineStr">
        <is>
          <t>Hà NộiĐà Nẵng</t>
        </is>
      </c>
      <c r="G13382" s="10" t="inlineStr">
        <is>
          <t>31-03-2026</t>
        </is>
      </c>
      <c r="H13382" s="10" t="inlineStr">
        <is>
          <t>31/03/2026</t>
        </is>
      </c>
      <c r="I13382" s="10" t="inlineStr">
        <is>
          <t>17/03/2026</t>
        </is>
      </c>
      <c r="J13382" s="10" t="inlineStr">
        <is>
          <t>Bán hàng / Kinh doanh, Bán lẻ / Bán sỉ, Tiếp thị / Marketing</t>
        </is>
      </c>
      <c r="K13382" s="10" t="inlineStr">
        <is>
          <t>N/A</t>
        </is>
      </c>
      <c r="L13382" s="11">
        <f>HYPERLINK("https://careerviet.vn/vi/tim-viec-lam/nhan-vien-ban-hang-thoi-trang.35C6B1A1.html","Xem chi tiết")</f>
        <v/>
      </c>
      <c r="M13382" s="10" t="n"/>
    </row>
    <row r="13383">
      <c r="B13383" s="7" t="n">
        <v>13381</v>
      </c>
      <c r="C13383" t="inlineStr">
        <is>
          <t>Trưởng Nhóm PR Khoa Học - HCM (Thạc sĩ: Thực phẩm/Sinh học)</t>
        </is>
      </c>
      <c r="D13383" t="inlineStr">
        <is>
          <t>Cty TNHH Yakult Việt Nam</t>
        </is>
      </c>
      <c r="E13383" t="inlineStr">
        <is>
          <t>Lương:17 Tr - 18 Tr VND</t>
        </is>
      </c>
      <c r="F13383" t="inlineStr">
        <is>
          <t>Hồ Chí Minh</t>
        </is>
      </c>
      <c r="G13383" t="inlineStr">
        <is>
          <t>30-04-2026</t>
        </is>
      </c>
      <c r="H13383" t="inlineStr">
        <is>
          <t>30/04/2026</t>
        </is>
      </c>
      <c r="I13383" t="inlineStr">
        <is>
          <t>17/03/2026</t>
        </is>
      </c>
      <c r="J13383" t="inlineStr">
        <is>
          <t>Thực phẩm &amp; Đồ uống, Công nghệ sinh học, Công nghệ thực phẩm / Dinh dưỡng</t>
        </is>
      </c>
      <c r="K13383" t="inlineStr">
        <is>
          <t>N/A</t>
        </is>
      </c>
      <c r="L13383" s="8">
        <f>HYPERLINK("https://careerviet.vn/vi/tim-viec-lam/truong-nhom-pr-khoa-hoc-hcm-thac-si-thuc-pham-sinh-hoc.35C6B10F.html","Xem chi tiết")</f>
        <v/>
      </c>
    </row>
    <row r="13384">
      <c r="B13384" s="9" t="n">
        <v>13382</v>
      </c>
      <c r="C13384" s="10" t="inlineStr">
        <is>
          <t>Quản Lý Cửa Hàng Thời Trang (TP Bắc Giang)</t>
        </is>
      </c>
      <c r="D13384" s="10" t="inlineStr">
        <is>
          <t>Công Ty Cổ Phần Tập Đoàn Thời Trang Việt Nam</t>
        </is>
      </c>
      <c r="E13384" s="10" t="inlineStr">
        <is>
          <t>Lương:12 Tr - 15 Tr VND</t>
        </is>
      </c>
      <c r="F13384" s="10" t="inlineStr">
        <is>
          <t>Bắc Giang</t>
        </is>
      </c>
      <c r="G13384" s="10" t="inlineStr">
        <is>
          <t>04-04-2026</t>
        </is>
      </c>
      <c r="H13384" s="10" t="inlineStr">
        <is>
          <t>04/04/2026</t>
        </is>
      </c>
      <c r="I13384" s="10" t="inlineStr">
        <is>
          <t>17/03/2026</t>
        </is>
      </c>
      <c r="J13384" s="10" t="inlineStr">
        <is>
          <t>Bán hàng / Kinh doanh</t>
        </is>
      </c>
      <c r="K13384" s="10" t="inlineStr">
        <is>
          <t>1 - 2 Năm</t>
        </is>
      </c>
      <c r="L13384" s="11">
        <f>HYPERLINK("https://careerviet.vn/vi/tim-viec-lam/quan-ly-cua-hang-thoi-trang-tp-bac-giang.35C6B1D0.html","Xem chi tiết")</f>
        <v/>
      </c>
      <c r="M13384" s="10" t="n"/>
    </row>
    <row r="13385">
      <c r="B13385" s="7" t="n">
        <v>13383</v>
      </c>
      <c r="C13385" t="inlineStr">
        <is>
          <t>Kỹ sư cơ khí</t>
        </is>
      </c>
      <c r="D13385" t="inlineStr">
        <is>
          <t>Tập Đoàn Kim Tín</t>
        </is>
      </c>
      <c r="E13385" t="inlineStr">
        <is>
          <t>Lương:Cạnh tranh</t>
        </is>
      </c>
      <c r="F13385" t="inlineStr">
        <is>
          <t>Hồ Chí MinhBình Phước</t>
        </is>
      </c>
      <c r="G13385" t="inlineStr">
        <is>
          <t>04-04-2026</t>
        </is>
      </c>
      <c r="H13385" t="inlineStr">
        <is>
          <t>04/04/2026</t>
        </is>
      </c>
      <c r="I13385" t="inlineStr">
        <is>
          <t>17/03/2026</t>
        </is>
      </c>
      <c r="J13385" t="inlineStr">
        <is>
          <t>Cơ khí / Ô tô / Tự động hóa</t>
        </is>
      </c>
      <c r="K13385" t="inlineStr">
        <is>
          <t>2 - 5 Năm</t>
        </is>
      </c>
      <c r="L13385" s="8">
        <f>HYPERLINK("https://careerviet.vn/vi/tim-viec-lam/ky-su-co-khi.35C6B1DE.html","Xem chi tiết")</f>
        <v/>
      </c>
    </row>
    <row r="13386">
      <c r="B13386" s="9" t="n">
        <v>13384</v>
      </c>
      <c r="C13386" s="10" t="inlineStr">
        <is>
          <t>Thợ bánh Nướng</t>
        </is>
      </c>
      <c r="D13386" s="10" t="inlineStr">
        <is>
          <t>CÔNG TY TNHH 4GS TEXAS REALTY</t>
        </is>
      </c>
      <c r="E13386" s="10" t="inlineStr">
        <is>
          <t>Lương:8 Tr - 9 Tr VND</t>
        </is>
      </c>
      <c r="F13386" s="10" t="inlineStr">
        <is>
          <t>Hồ Chí Minh</t>
        </is>
      </c>
      <c r="G13386" s="10" t="inlineStr">
        <is>
          <t>31-03-2026</t>
        </is>
      </c>
      <c r="H13386" s="10" t="inlineStr">
        <is>
          <t>31/03/2026</t>
        </is>
      </c>
      <c r="I13386" s="10" t="inlineStr">
        <is>
          <t>17/03/2026</t>
        </is>
      </c>
      <c r="J13386" s="10" t="inlineStr">
        <is>
          <t>Bán lẻ / Bán sỉ, Bán hàng / Kinh doanh, Công nghệ thực phẩm / Dinh dưỡng</t>
        </is>
      </c>
      <c r="K13386" s="10" t="inlineStr">
        <is>
          <t>1 - 2 Năm</t>
        </is>
      </c>
      <c r="L13386" s="11">
        <f>HYPERLINK("https://careerviet.vn/vi/tim-viec-lam/tho-banh-nuong.35C6B1C5.html","Xem chi tiết")</f>
        <v/>
      </c>
      <c r="M13386" s="10" t="n"/>
    </row>
    <row r="13387">
      <c r="B13387" s="7" t="n">
        <v>13385</v>
      </c>
      <c r="C13387" t="inlineStr">
        <is>
          <t>Nhân viên ERP</t>
        </is>
      </c>
      <c r="D13387" t="inlineStr">
        <is>
          <t>Công ty Cổ Phần Nhựa Thiếu Niên Tiền Phong Phía Nam</t>
        </is>
      </c>
      <c r="E13387" t="inlineStr">
        <is>
          <t>Lương:Cạnh tranh</t>
        </is>
      </c>
      <c r="F13387" t="inlineStr">
        <is>
          <t>Bình Dương</t>
        </is>
      </c>
      <c r="G13387" t="inlineStr">
        <is>
          <t>04-04-2026</t>
        </is>
      </c>
      <c r="H13387" t="inlineStr">
        <is>
          <t>04/04/2026</t>
        </is>
      </c>
      <c r="I13387" t="inlineStr">
        <is>
          <t>17/03/2026</t>
        </is>
      </c>
      <c r="J13387" t="inlineStr">
        <is>
          <t>CNTT - Phần mềm</t>
        </is>
      </c>
      <c r="K13387" t="inlineStr">
        <is>
          <t>1 - 2 Năm</t>
        </is>
      </c>
      <c r="L13387" s="8">
        <f>HYPERLINK("https://careerviet.vn/vi/tim-viec-lam/nhan-vien-erp.35C6B1CA.html","Xem chi tiết")</f>
        <v/>
      </c>
    </row>
    <row r="13388">
      <c r="B13388" s="9" t="n">
        <v>13386</v>
      </c>
      <c r="C13388" s="10" t="inlineStr">
        <is>
          <t>Chuyên gia Quản trị rủi ro hoạt động lĩnh vực Bảo hiểm</t>
        </is>
      </c>
      <c r="D13388" s="10" t="inlineStr">
        <is>
          <t>CÔNG TY CỔ PHẦN KINH DOANH F88</t>
        </is>
      </c>
      <c r="E13388" s="10" t="inlineStr">
        <is>
          <t>Lương:Cạnh tranh</t>
        </is>
      </c>
      <c r="F13388" s="10" t="inlineStr">
        <is>
          <t>Hà Nội</t>
        </is>
      </c>
      <c r="G13388" s="10" t="inlineStr">
        <is>
          <t>30-04-2026</t>
        </is>
      </c>
      <c r="H13388" s="10" t="inlineStr">
        <is>
          <t>30/04/2026</t>
        </is>
      </c>
      <c r="I13388" s="10" t="inlineStr">
        <is>
          <t>17/03/2026</t>
        </is>
      </c>
      <c r="J13388" s="10" t="inlineStr">
        <is>
          <t>Kế toán / Kiểm toán, Bảo hiểm, Ngân hàng</t>
        </is>
      </c>
      <c r="K13388" s="10" t="inlineStr">
        <is>
          <t>3 - 5 Năm</t>
        </is>
      </c>
      <c r="L13388" s="11">
        <f>HYPERLINK("https://careerviet.vn/vi/tim-viec-lam/chuyen-gia-quan-tri-rui-ro-hoat-dong-linh-vuc-bao-hiem.35C6B11B.html","Xem chi tiết")</f>
        <v/>
      </c>
      <c r="M13388" s="10" t="n"/>
    </row>
    <row r="13389">
      <c r="B13389" s="7" t="n">
        <v>13387</v>
      </c>
      <c r="C13389" t="inlineStr">
        <is>
          <t>Chuyên viên Biên phiên dịch Tiếng Trung</t>
        </is>
      </c>
      <c r="D13389" t="inlineStr">
        <is>
          <t>Xuân Cầu Holdings</t>
        </is>
      </c>
      <c r="E13389" t="inlineStr">
        <is>
          <t>Lương:Cạnh tranh</t>
        </is>
      </c>
      <c r="F13389" t="inlineStr">
        <is>
          <t>Hà Nội</t>
        </is>
      </c>
      <c r="G13389" t="inlineStr">
        <is>
          <t>11-04-2026</t>
        </is>
      </c>
      <c r="H13389" t="inlineStr">
        <is>
          <t>11/04/2026</t>
        </is>
      </c>
      <c r="I13389" t="inlineStr">
        <is>
          <t>17/03/2026</t>
        </is>
      </c>
      <c r="J13389" t="inlineStr">
        <is>
          <t>Biên phiên dịch</t>
        </is>
      </c>
      <c r="K13389" t="inlineStr">
        <is>
          <t>2 - 5 Năm</t>
        </is>
      </c>
      <c r="L13389" s="8">
        <f>HYPERLINK("https://careerviet.vn/vi/tim-viec-lam/chuyen-vien-bien-phien-dich-tieng-trung.35C6AF1E.html","Xem chi tiết")</f>
        <v/>
      </c>
    </row>
    <row r="13390">
      <c r="B13390" s="9" t="n">
        <v>13388</v>
      </c>
      <c r="C13390" s="10" t="inlineStr">
        <is>
          <t>Nhân viên quy trình (Làm việc tại Đức Hòa, Long An cũ)</t>
        </is>
      </c>
      <c r="D13390" s="10" t="inlineStr">
        <is>
          <t>Công ty cổ phần Nafoods Group</t>
        </is>
      </c>
      <c r="E13390" s="10" t="inlineStr">
        <is>
          <t>Lương:8 Tr - 12 Tr VND</t>
        </is>
      </c>
      <c r="F13390" s="10" t="inlineStr">
        <is>
          <t>Long An</t>
        </is>
      </c>
      <c r="G13390" s="10" t="inlineStr">
        <is>
          <t>06-04-2026</t>
        </is>
      </c>
      <c r="H13390" s="10" t="inlineStr">
        <is>
          <t>06/04/2026</t>
        </is>
      </c>
      <c r="I13390" s="10" t="inlineStr">
        <is>
          <t>17/03/2026</t>
        </is>
      </c>
      <c r="J13390" s="10" t="inlineStr">
        <is>
          <t>Công nghệ thực phẩm / Dinh dưỡng, Thực phẩm &amp; Đồ uống</t>
        </is>
      </c>
      <c r="K13390" s="10" t="inlineStr">
        <is>
          <t>1 - 2 Năm</t>
        </is>
      </c>
      <c r="L13390" s="11">
        <f>HYPERLINK("https://careerviet.vn/vi/tim-viec-lam/nhan-vien-quy-trinh-lam-viec-tai-duc-hoa-long-an-cu.35C6B0EE.html","Xem chi tiết")</f>
        <v/>
      </c>
      <c r="M13390" s="10" t="n"/>
    </row>
    <row r="13391">
      <c r="B13391" s="7" t="n">
        <v>13389</v>
      </c>
      <c r="C13391" t="inlineStr">
        <is>
          <t>Chuyên Viên Tuyển Dụng</t>
        </is>
      </c>
      <c r="D13391" t="inlineStr">
        <is>
          <t>CÔNG TY TNHH ĐẦU TƯ THƯƠNG MẠI VÀ SẢN XUẤT CHÍNH PHÁT</t>
        </is>
      </c>
      <c r="E13391" t="inlineStr">
        <is>
          <t>Lương:15 Tr - 16 Tr VND</t>
        </is>
      </c>
      <c r="F13391" t="inlineStr">
        <is>
          <t>Hà Nội</t>
        </is>
      </c>
      <c r="G13391" t="inlineStr">
        <is>
          <t>06-04-2026</t>
        </is>
      </c>
      <c r="H13391" t="inlineStr">
        <is>
          <t>06/04/2026</t>
        </is>
      </c>
      <c r="I13391" t="inlineStr">
        <is>
          <t>17/03/2026</t>
        </is>
      </c>
      <c r="J13391" t="inlineStr">
        <is>
          <t>Nhân sự</t>
        </is>
      </c>
      <c r="K13391" t="inlineStr">
        <is>
          <t>1 - 2 Năm</t>
        </is>
      </c>
      <c r="L13391" s="8">
        <f>HYPERLINK("https://careerviet.vn/vi/tim-viec-lam/chuyen-vien-tuyen-dung.35C6B12D.html","Xem chi tiết")</f>
        <v/>
      </c>
    </row>
    <row r="13392">
      <c r="B13392" s="9" t="n">
        <v>13390</v>
      </c>
      <c r="C13392" s="10" t="inlineStr">
        <is>
          <t>Nhân viên Quản lý vận hành tòa nhà</t>
        </is>
      </c>
      <c r="D13392" s="10" t="inlineStr">
        <is>
          <t>CÔNG TY TNHH 4GS TEXAS REALTY</t>
        </is>
      </c>
      <c r="E13392" s="10" t="inlineStr">
        <is>
          <t>Lương:Cạnh tranh</t>
        </is>
      </c>
      <c r="F13392" s="10" t="inlineStr">
        <is>
          <t>Hồ Chí Minh</t>
        </is>
      </c>
      <c r="G13392" s="10" t="inlineStr">
        <is>
          <t>31-03-2026</t>
        </is>
      </c>
      <c r="H13392" s="10" t="inlineStr">
        <is>
          <t>31/03/2026</t>
        </is>
      </c>
      <c r="I13392" s="10" t="inlineStr">
        <is>
          <t>17/03/2026</t>
        </is>
      </c>
      <c r="J13392" s="10" t="inlineStr">
        <is>
          <t>Hành chính / Thư ký, Quản lý điều hành, Nhân sự</t>
        </is>
      </c>
      <c r="K13392" s="10" t="inlineStr">
        <is>
          <t>1 - 2 Năm</t>
        </is>
      </c>
      <c r="L13392" s="11">
        <f>HYPERLINK("https://careerviet.vn/vi/tim-viec-lam/nhan-vien-quan-ly-van-hanh-toa-nha.35C6B1BC.html","Xem chi tiết")</f>
        <v/>
      </c>
      <c r="M13392" s="10" t="n"/>
    </row>
    <row r="13393">
      <c r="B13393" s="7" t="n">
        <v>13391</v>
      </c>
      <c r="C13393" t="inlineStr">
        <is>
          <t>Nhân Viên Pha Chế</t>
        </is>
      </c>
      <c r="D13393" t="inlineStr">
        <is>
          <t>CÔNG TY TNHH 4GS TEXAS REALTY</t>
        </is>
      </c>
      <c r="E13393" t="inlineStr">
        <is>
          <t>Lương:7 Tr - 8 Tr VND</t>
        </is>
      </c>
      <c r="F13393" t="inlineStr">
        <is>
          <t>Hồ Chí Minh</t>
        </is>
      </c>
      <c r="G13393" t="inlineStr">
        <is>
          <t>31-03-2026</t>
        </is>
      </c>
      <c r="H13393" t="inlineStr">
        <is>
          <t>31/03/2026</t>
        </is>
      </c>
      <c r="I13393" t="inlineStr">
        <is>
          <t>17/03/2026</t>
        </is>
      </c>
      <c r="J13393" t="inlineStr">
        <is>
          <t>Thực phẩm &amp; Đồ uống</t>
        </is>
      </c>
      <c r="K13393" t="inlineStr">
        <is>
          <t>Lên đến 1 Năm</t>
        </is>
      </c>
      <c r="L13393" s="8">
        <f>HYPERLINK("https://careerviet.vn/vi/tim-viec-lam/nhan-vien-pha-che.35C6B1B6.html","Xem chi tiết")</f>
        <v/>
      </c>
    </row>
    <row r="13394">
      <c r="B13394" s="9" t="n">
        <v>13392</v>
      </c>
      <c r="C13394" s="10" t="inlineStr">
        <is>
          <t>Trưởng Nhóm Tuyển Sinh (Ocean Edu Gia Lộc)</t>
        </is>
      </c>
      <c r="D13394" s="10" t="inlineStr">
        <is>
          <t>Công Ty CP Giáo Dục Đại Dương</t>
        </is>
      </c>
      <c r="E13394" s="10" t="inlineStr">
        <is>
          <t>Lương:Cạnh tranh</t>
        </is>
      </c>
      <c r="F13394" s="10" t="inlineStr">
        <is>
          <t>Hải Dương</t>
        </is>
      </c>
      <c r="G13394" s="10" t="inlineStr">
        <is>
          <t>04-04-2026</t>
        </is>
      </c>
      <c r="H13394" s="10" t="inlineStr">
        <is>
          <t>04/04/2026</t>
        </is>
      </c>
      <c r="I13394" s="10" t="inlineStr">
        <is>
          <t>17/03/2026</t>
        </is>
      </c>
      <c r="J13394" s="10" t="inlineStr">
        <is>
          <t>Tư vấn, Dịch vụ khách hàng, Giáo dục / Đào tạo</t>
        </is>
      </c>
      <c r="K13394" s="10" t="inlineStr">
        <is>
          <t>1 - 2 Năm</t>
        </is>
      </c>
      <c r="L13394" s="11">
        <f>HYPERLINK("https://careerviet.vn/vi/tim-viec-lam/truong-nhom-tuyen-sinh-ocean-edu-gia-loc.35C6B13A.html","Xem chi tiết")</f>
        <v/>
      </c>
      <c r="M13394" s="10" t="n"/>
    </row>
    <row r="13395">
      <c r="B13395" s="7" t="n">
        <v>13393</v>
      </c>
      <c r="C13395" t="inlineStr">
        <is>
          <t>Documentation</t>
        </is>
      </c>
      <c r="D13395" t="inlineStr">
        <is>
          <t>EVERICH VIETNAM</t>
        </is>
      </c>
      <c r="E13395" t="inlineStr">
        <is>
          <t>Lương:Cạnh tranh</t>
        </is>
      </c>
      <c r="F13395" t="inlineStr">
        <is>
          <t>Hồ Chí Minh</t>
        </is>
      </c>
      <c r="G13395" t="inlineStr">
        <is>
          <t>04-04-2026</t>
        </is>
      </c>
      <c r="H13395" t="inlineStr">
        <is>
          <t>04/04/2026</t>
        </is>
      </c>
      <c r="I13395" t="inlineStr">
        <is>
          <t>17/03/2026</t>
        </is>
      </c>
      <c r="J13395" t="inlineStr">
        <is>
          <t>Hành chính / Thư ký, Vận chuyển / Giao nhận / Kho vận, Xuất nhập khẩu</t>
        </is>
      </c>
      <c r="K13395" t="inlineStr">
        <is>
          <t>N/A</t>
        </is>
      </c>
      <c r="L13395" s="8">
        <f>HYPERLINK("https://careerviet.vn/vi/tim-viec-lam/documentation.35C6AFDE.html","Xem chi tiết")</f>
        <v/>
      </c>
    </row>
    <row r="13396">
      <c r="B13396" s="9" t="n">
        <v>13394</v>
      </c>
      <c r="C13396" s="10" t="inlineStr">
        <is>
          <t>Trưởng ban đầu tư</t>
        </is>
      </c>
      <c r="D13396" s="10" t="inlineStr">
        <is>
          <t>CÔNG TY CP ĐẦU TƯ PHÁT TRIỂN TRÍ DƯƠNG</t>
        </is>
      </c>
      <c r="E13396" s="10" t="inlineStr">
        <is>
          <t>Lương:Cạnh tranh</t>
        </is>
      </c>
      <c r="F13396" s="10" t="inlineStr">
        <is>
          <t>Nghệ AnHà NộiThanh Hóa</t>
        </is>
      </c>
      <c r="G13396" s="10" t="inlineStr">
        <is>
          <t>04-04-2026</t>
        </is>
      </c>
      <c r="H13396" s="10" t="inlineStr">
        <is>
          <t>04/04/2026</t>
        </is>
      </c>
      <c r="I13396" s="10" t="inlineStr">
        <is>
          <t>17/03/2026</t>
        </is>
      </c>
      <c r="J13396" s="10" t="inlineStr">
        <is>
          <t>Quản lý điều hành, Bất động sản</t>
        </is>
      </c>
      <c r="K13396" s="10" t="inlineStr">
        <is>
          <t>5 - 10 Năm</t>
        </is>
      </c>
      <c r="L13396" s="11">
        <f>HYPERLINK("https://careerviet.vn/vi/tim-viec-lam/truong-ban-dau-tu.35C6AFD4.html","Xem chi tiết")</f>
        <v/>
      </c>
      <c r="M13396" s="10" t="n"/>
    </row>
    <row r="13397">
      <c r="B13397" s="7" t="n">
        <v>13395</v>
      </c>
      <c r="C13397" t="inlineStr">
        <is>
          <t>Nhân viên Kiểm soát chất lượng dịch vụ (Qua camera)</t>
        </is>
      </c>
      <c r="D13397" t="inlineStr">
        <is>
          <t>THỜI TRANG LINING_CÔNG TY TNHH QUỐC TẾ HẢI LONG</t>
        </is>
      </c>
      <c r="E13397" t="inlineStr">
        <is>
          <t>Lương:10 Tr - 13 Tr VND</t>
        </is>
      </c>
      <c r="F13397" t="inlineStr">
        <is>
          <t>Hà Nội</t>
        </is>
      </c>
      <c r="G13397" t="inlineStr">
        <is>
          <t>05-04-2026</t>
        </is>
      </c>
      <c r="H13397" t="inlineStr">
        <is>
          <t>05/04/2026</t>
        </is>
      </c>
      <c r="I13397" t="inlineStr">
        <is>
          <t>17/03/2026</t>
        </is>
      </c>
      <c r="J13397" t="inlineStr">
        <is>
          <t>Dịch vụ khách hàng, Dệt may / Da giày / Thời trang, Quản lý chất lượng (QA/QC)</t>
        </is>
      </c>
      <c r="K13397" t="inlineStr">
        <is>
          <t>Trên 2 Năm</t>
        </is>
      </c>
      <c r="L13397" s="8">
        <f>HYPERLINK("https://careerviet.vn/vi/tim-viec-lam/nhan-vien-kiem-soat-chat-luong-dich-vu-qua-camera.35C6B0B6.html","Xem chi tiết")</f>
        <v/>
      </c>
    </row>
    <row r="13398">
      <c r="B13398" s="9" t="n">
        <v>13396</v>
      </c>
      <c r="C13398" s="10" t="inlineStr">
        <is>
          <t>Chuyên Viên Marketing/ Event</t>
        </is>
      </c>
      <c r="D13398" s="10" t="inlineStr">
        <is>
          <t>Công Ty Cổ Phần Dịch Vụ Bất Động Sản Danh Khôi</t>
        </is>
      </c>
      <c r="E13398" s="10" t="inlineStr">
        <is>
          <t>Lương:15 Tr - 18 Tr VND</t>
        </is>
      </c>
      <c r="F13398" s="10" t="inlineStr">
        <is>
          <t>Hồ Chí Minh</t>
        </is>
      </c>
      <c r="G13398" s="10" t="inlineStr">
        <is>
          <t>05-04-2026</t>
        </is>
      </c>
      <c r="H13398" s="10" t="inlineStr">
        <is>
          <t>05/04/2026</t>
        </is>
      </c>
      <c r="I13398" s="10" t="inlineStr">
        <is>
          <t>17/03/2026</t>
        </is>
      </c>
      <c r="J13398" s="10" t="inlineStr">
        <is>
          <t>Tiếp thị / Marketing</t>
        </is>
      </c>
      <c r="K13398" s="10" t="inlineStr">
        <is>
          <t>2 - 3 Năm</t>
        </is>
      </c>
      <c r="L13398" s="11">
        <f>HYPERLINK("https://careerviet.vn/vi/tim-viec-lam/chuyen-vien-marketing-event.35C6B196.html","Xem chi tiết")</f>
        <v/>
      </c>
      <c r="M13398" s="10" t="n"/>
    </row>
    <row r="13399">
      <c r="B13399" s="7" t="n">
        <v>13397</v>
      </c>
      <c r="C13399" t="inlineStr">
        <is>
          <t>Air Customer Service Executive / Freight Forwarding Industry</t>
        </is>
      </c>
      <c r="D13399" t="inlineStr">
        <is>
          <t>CÔNG TY TNHH LESCHACO VIỆT NAM</t>
        </is>
      </c>
      <c r="E13399" t="inlineStr">
        <is>
          <t>Lương:Cạnh tranh</t>
        </is>
      </c>
      <c r="F13399" t="inlineStr">
        <is>
          <t>Hồ Chí Minh</t>
        </is>
      </c>
      <c r="G13399" t="inlineStr">
        <is>
          <t>31-03-2026</t>
        </is>
      </c>
      <c r="H13399" t="inlineStr">
        <is>
          <t>31/03/2026</t>
        </is>
      </c>
      <c r="I13399" t="inlineStr">
        <is>
          <t>17/03/2026</t>
        </is>
      </c>
      <c r="J13399" t="inlineStr">
        <is>
          <t>Vận chuyển / Giao nhận / Kho vận, Dịch vụ khách hàng, Xuất nhập khẩu</t>
        </is>
      </c>
      <c r="K13399" t="inlineStr">
        <is>
          <t>3 - 5 Năm</t>
        </is>
      </c>
      <c r="L13399" s="8">
        <f>HYPERLINK("https://careerviet.vn/vi/tim-viec-lam/air-customer-service-executive-freight-forwarding-industry.35C6B165.html","Xem chi tiết")</f>
        <v/>
      </c>
    </row>
    <row r="13400">
      <c r="B13400" s="9" t="n">
        <v>13398</v>
      </c>
      <c r="C13400" s="10" t="inlineStr">
        <is>
          <t>[Móng Cái] - Kiểm soát viên</t>
        </is>
      </c>
      <c r="D13400" s="10" t="inlineStr">
        <is>
          <t>Ngân hàng TMCP Lộc Phát Việt Nam (LPBank)</t>
        </is>
      </c>
      <c r="E13400" s="10" t="inlineStr">
        <is>
          <t>Lương:Cạnh tranh</t>
        </is>
      </c>
      <c r="F13400" s="10" t="inlineStr">
        <is>
          <t>Quảng Ninh</t>
        </is>
      </c>
      <c r="G13400" s="10" t="inlineStr">
        <is>
          <t>04-04-2026</t>
        </is>
      </c>
      <c r="H13400" s="10" t="inlineStr">
        <is>
          <t>04/04/2026</t>
        </is>
      </c>
      <c r="I13400" s="10" t="inlineStr">
        <is>
          <t>17/03/2026</t>
        </is>
      </c>
      <c r="J13400" s="10" t="inlineStr">
        <is>
          <t>Kế toán / Kiểm toán, Ngân hàng, Bán hàng / Kinh doanh</t>
        </is>
      </c>
      <c r="K13400" s="10" t="inlineStr">
        <is>
          <t>Trên 3 Năm</t>
        </is>
      </c>
      <c r="L13400" s="11">
        <f>HYPERLINK("https://careerviet.vn/vi/tim-viec-lam/mong-cai-kiem-soat-vien.35C6B17D.html","Xem chi tiết")</f>
        <v/>
      </c>
      <c r="M13400" s="10" t="n"/>
    </row>
    <row r="13401">
      <c r="B13401" s="7" t="n">
        <v>13399</v>
      </c>
      <c r="C13401" t="inlineStr">
        <is>
          <t>Chuyên Viên Thiết Kế - Graphic Designer / Thu Nhập Đến 18 Triệu</t>
        </is>
      </c>
      <c r="D13401" t="inlineStr">
        <is>
          <t>Công Ty Cổ Phần Dịch Vụ Bất Động Sản Danh Khôi</t>
        </is>
      </c>
      <c r="E13401" t="inlineStr">
        <is>
          <t>Lương:15 Tr - 18 Tr VND</t>
        </is>
      </c>
      <c r="F13401" t="inlineStr">
        <is>
          <t>Hồ Chí Minh</t>
        </is>
      </c>
      <c r="G13401" t="inlineStr">
        <is>
          <t>05-04-2026</t>
        </is>
      </c>
      <c r="H13401" t="inlineStr">
        <is>
          <t>05/04/2026</t>
        </is>
      </c>
      <c r="I13401" t="inlineStr">
        <is>
          <t>17/03/2026</t>
        </is>
      </c>
      <c r="J13401" t="inlineStr">
        <is>
          <t>Mỹ thuật / Nghệ thuật / Thiết kế</t>
        </is>
      </c>
      <c r="K13401" t="inlineStr">
        <is>
          <t>2 - 3 Năm</t>
        </is>
      </c>
      <c r="L13401" s="8">
        <f>HYPERLINK("https://careerviet.vn/vi/tim-viec-lam/chuyen-vien-thiet-ke-graphic-designer-thu-nhap-den-18-trieu.35C6B194.html","Xem chi tiết")</f>
        <v/>
      </c>
    </row>
    <row r="13402">
      <c r="B13402" s="9" t="n">
        <v>13400</v>
      </c>
      <c r="C13402" s="10" t="inlineStr">
        <is>
          <t>Chuyên Viên Tư Vấn Giáo Dục - Ocean Edu Hiệp Hòa - Thu Nhập Từ 15Triệu/Tháng - Phỏng Vấn Đi Làm Ngay</t>
        </is>
      </c>
      <c r="D13402" s="10" t="inlineStr">
        <is>
          <t>Công Ty CP Giáo Dục Đại Dương</t>
        </is>
      </c>
      <c r="E13402" s="10" t="inlineStr">
        <is>
          <t>Lương:Cạnh tranh</t>
        </is>
      </c>
      <c r="F13402" s="10" t="inlineStr">
        <is>
          <t>Bắc Giang</t>
        </is>
      </c>
      <c r="G13402" s="10" t="inlineStr">
        <is>
          <t>04-04-2026</t>
        </is>
      </c>
      <c r="H13402" s="10" t="inlineStr">
        <is>
          <t>04/04/2026</t>
        </is>
      </c>
      <c r="I13402" s="10" t="inlineStr">
        <is>
          <t>17/03/2026</t>
        </is>
      </c>
      <c r="J13402" s="10" t="inlineStr">
        <is>
          <t>Dịch vụ khách hàng, Giáo dục / Đào tạo, Bán hàng / Kinh doanh</t>
        </is>
      </c>
      <c r="K13402" s="10" t="inlineStr">
        <is>
          <t>Chưa có kinh nghiệm</t>
        </is>
      </c>
      <c r="L13402" s="11">
        <f>HYPERLINK("https://careerviet.vn/vi/tim-viec-lam/chuyen-vien-tu-van-giao-duc-ocean-edu-hiep-hoa-thu-nhap-tu-15trieu-thang-phong-van-di-lam-ngay.35C6B04F.html","Xem chi tiết")</f>
        <v/>
      </c>
      <c r="M13402" s="10" t="n"/>
    </row>
    <row r="13403">
      <c r="B13403" s="7" t="n">
        <v>13401</v>
      </c>
      <c r="C13403" t="inlineStr">
        <is>
          <t>Nhân viên Chăm sóc mẹ và bé</t>
        </is>
      </c>
      <c r="D13403" t="inlineStr">
        <is>
          <t>BỆNH VIỆN ĐA KHOA PHƯƠNG ĐÔNG</t>
        </is>
      </c>
      <c r="E13403" t="inlineStr">
        <is>
          <t>Lương:9 Tr - 12 Tr VND</t>
        </is>
      </c>
      <c r="F13403" t="inlineStr">
        <is>
          <t>Hà Nội</t>
        </is>
      </c>
      <c r="G13403" t="inlineStr">
        <is>
          <t>31-03-2026</t>
        </is>
      </c>
      <c r="H13403" t="inlineStr">
        <is>
          <t>31/03/2026</t>
        </is>
      </c>
      <c r="I13403" t="inlineStr">
        <is>
          <t>17/03/2026</t>
        </is>
      </c>
      <c r="J13403" t="inlineStr">
        <is>
          <t>Y tế / Chăm sóc sức khỏe / Thẩm mỹ / Làm đẹp</t>
        </is>
      </c>
      <c r="K13403" t="inlineStr">
        <is>
          <t>1 - 2 Năm</t>
        </is>
      </c>
      <c r="L13403" s="8">
        <f>HYPERLINK("https://careerviet.vn/vi/tim-viec-lam/nhan-vien-cham-soc-me-va-be.35C6AF58.html","Xem chi tiết")</f>
        <v/>
      </c>
    </row>
    <row r="13404">
      <c r="B13404" s="9" t="n">
        <v>13402</v>
      </c>
      <c r="C13404" s="10" t="inlineStr">
        <is>
          <t>Nhân viên PR Marketing</t>
        </is>
      </c>
      <c r="D13404" s="10" t="inlineStr">
        <is>
          <t>Tập Đoàn Kim Tín</t>
        </is>
      </c>
      <c r="E13404" s="10" t="inlineStr">
        <is>
          <t>Lương:Cạnh tranh</t>
        </is>
      </c>
      <c r="F13404" s="10" t="inlineStr">
        <is>
          <t>Hồ Chí Minh</t>
        </is>
      </c>
      <c r="G13404" s="10" t="inlineStr">
        <is>
          <t>04-04-2026</t>
        </is>
      </c>
      <c r="H13404" s="10" t="inlineStr">
        <is>
          <t>04/04/2026</t>
        </is>
      </c>
      <c r="I13404" s="10" t="inlineStr">
        <is>
          <t>17/03/2026</t>
        </is>
      </c>
      <c r="J13404" s="10" t="inlineStr">
        <is>
          <t>Tiếp thị / Marketing, Mỹ thuật / Nghệ thuật / Thiết kế, Truyền hình / Báo chí / Biên tập</t>
        </is>
      </c>
      <c r="K13404" s="10" t="inlineStr">
        <is>
          <t>1 - 2 Năm</t>
        </is>
      </c>
      <c r="L13404" s="11">
        <f>HYPERLINK("https://careerviet.vn/vi/tim-viec-lam/nhan-vien-pr-marketing.35C6AF40.html","Xem chi tiết")</f>
        <v/>
      </c>
      <c r="M13404" s="10" t="n"/>
    </row>
    <row r="13405">
      <c r="B13405" s="7" t="n">
        <v>13403</v>
      </c>
      <c r="C13405" t="inlineStr">
        <is>
          <t>Nhân Viên R&amp;D</t>
        </is>
      </c>
      <c r="D13405" t="inlineStr">
        <is>
          <t>Công ty TNHH Thực Phẩm Sạch Thương Mại T&amp;P</t>
        </is>
      </c>
      <c r="E13405" t="inlineStr">
        <is>
          <t>Lương:Cạnh tranh</t>
        </is>
      </c>
      <c r="F13405" t="inlineStr">
        <is>
          <t>Bắc Ninh</t>
        </is>
      </c>
      <c r="G13405" t="inlineStr">
        <is>
          <t>28-04-2026</t>
        </is>
      </c>
      <c r="H13405" t="inlineStr">
        <is>
          <t>28/04/2026</t>
        </is>
      </c>
      <c r="I13405" t="inlineStr">
        <is>
          <t>17/03/2026</t>
        </is>
      </c>
      <c r="J13405" t="inlineStr">
        <is>
          <t>Công nghệ thực phẩm / Dinh dưỡng, Quản lý chất lượng (QA/QC)</t>
        </is>
      </c>
      <c r="K13405" t="inlineStr">
        <is>
          <t>5 - 7 Năm</t>
        </is>
      </c>
      <c r="L13405" s="8">
        <f>HYPERLINK("https://careerviet.vn/vi/tim-viec-lam/nhan-vien-r-d.35C6AF96.html","Xem chi tiết")</f>
        <v/>
      </c>
    </row>
    <row r="13406">
      <c r="B13406" s="9" t="n">
        <v>13404</v>
      </c>
      <c r="C13406" s="10" t="inlineStr">
        <is>
          <t>Nhân viên Lái xe chở học sinh</t>
        </is>
      </c>
      <c r="D13406" s="10" t="inlineStr">
        <is>
          <t>Công ty CP Giáo dục Quốc tế Việt Úc</t>
        </is>
      </c>
      <c r="E13406" s="10" t="inlineStr">
        <is>
          <t>Lương:Cạnh tranh</t>
        </is>
      </c>
      <c r="F13406" s="10" t="inlineStr">
        <is>
          <t>Hồ Chí Minh</t>
        </is>
      </c>
      <c r="G13406" s="10" t="inlineStr">
        <is>
          <t>15-04-2026</t>
        </is>
      </c>
      <c r="H13406" s="10" t="inlineStr">
        <is>
          <t>15/04/2026</t>
        </is>
      </c>
      <c r="I13406" s="10" t="inlineStr">
        <is>
          <t>17/03/2026</t>
        </is>
      </c>
      <c r="J13406" s="10" t="inlineStr">
        <is>
          <t>Vận chuyển / Giao nhận / Kho vận, Lao động phổ thông, Giáo dục / Đào tạo</t>
        </is>
      </c>
      <c r="K13406" s="10" t="inlineStr">
        <is>
          <t>1 - 3 Năm</t>
        </is>
      </c>
      <c r="L13406" s="11">
        <f>HYPERLINK("https://careerviet.vn/vi/tim-viec-lam/nhan-vien-lai-xe-cho-hoc-sinh.35C6B001.html","Xem chi tiết")</f>
        <v/>
      </c>
      <c r="M13406" s="10" t="n"/>
    </row>
    <row r="13407">
      <c r="B13407" s="7" t="n">
        <v>13405</v>
      </c>
      <c r="C13407" t="inlineStr">
        <is>
          <t>Sales Logistics</t>
        </is>
      </c>
      <c r="D13407" t="inlineStr">
        <is>
          <t>CÔNG TY CỔ PHẦN INTERCHAINS</t>
        </is>
      </c>
      <c r="E13407" t="inlineStr">
        <is>
          <t>Lương:8 Tr - 15 Tr VND</t>
        </is>
      </c>
      <c r="F13407" t="inlineStr">
        <is>
          <t>Hà Nội</t>
        </is>
      </c>
      <c r="G13407" t="inlineStr">
        <is>
          <t>04-04-2026</t>
        </is>
      </c>
      <c r="H13407" t="inlineStr">
        <is>
          <t>04/04/2026</t>
        </is>
      </c>
      <c r="I13407" t="inlineStr">
        <is>
          <t>17/03/2026</t>
        </is>
      </c>
      <c r="J13407" t="inlineStr">
        <is>
          <t>Tư vấn, Vận chuyển / Giao nhận / Kho vận, Xuất nhập khẩu</t>
        </is>
      </c>
      <c r="K13407" t="inlineStr">
        <is>
          <t>Trên 1 Năm</t>
        </is>
      </c>
      <c r="L13407" s="8">
        <f>HYPERLINK("https://careerviet.vn/vi/tim-viec-lam/sales-logistics.35C6AFFE.html","Xem chi tiết")</f>
        <v/>
      </c>
    </row>
    <row r="13408">
      <c r="B13408" s="9" t="n">
        <v>13406</v>
      </c>
      <c r="C13408" s="10" t="inlineStr">
        <is>
          <t>Brand Marketing Manager</t>
        </is>
      </c>
      <c r="D13408" s="10" t="inlineStr">
        <is>
          <t>HMK Eyewear</t>
        </is>
      </c>
      <c r="E13408" s="10" t="inlineStr">
        <is>
          <t>Lương:20 Tr - 35 Tr VND</t>
        </is>
      </c>
      <c r="F13408" s="10" t="inlineStr">
        <is>
          <t>Hồ Chí Minh</t>
        </is>
      </c>
      <c r="G13408" s="10" t="inlineStr">
        <is>
          <t>30-04-2026</t>
        </is>
      </c>
      <c r="H13408" s="10" t="inlineStr">
        <is>
          <t>30/04/2026</t>
        </is>
      </c>
      <c r="I13408" s="10" t="inlineStr">
        <is>
          <t>17/03/2026</t>
        </is>
      </c>
      <c r="J13408" s="10" t="inlineStr">
        <is>
          <t>Tiếp thị / Marketing, Tiếp thị trực tuyến, Quảng cáo / Đối ngoại / Truyền Thông</t>
        </is>
      </c>
      <c r="K13408" s="10" t="inlineStr">
        <is>
          <t>3 - 5 Năm</t>
        </is>
      </c>
      <c r="L13408" s="11">
        <f>HYPERLINK("https://careerviet.vn/vi/tim-viec-lam/brand-marketing-manager.35C6AED5.html","Xem chi tiết")</f>
        <v/>
      </c>
      <c r="M13408" s="10" t="n"/>
    </row>
    <row r="13409">
      <c r="B13409" s="7" t="n">
        <v>13407</v>
      </c>
      <c r="C13409" t="inlineStr">
        <is>
          <t>Thiết Kế Đồ Họa</t>
        </is>
      </c>
      <c r="D13409" t="inlineStr">
        <is>
          <t>CÔNG TY TNHH SẢN XUẤT THƯƠNG MẠI LOTUS PROJECT</t>
        </is>
      </c>
      <c r="E13409" t="inlineStr">
        <is>
          <t>Lương:13 Tr - 15 Tr VND</t>
        </is>
      </c>
      <c r="F13409" t="inlineStr">
        <is>
          <t>Hồ Chí Minh</t>
        </is>
      </c>
      <c r="G13409" t="inlineStr">
        <is>
          <t>04-04-2026</t>
        </is>
      </c>
      <c r="H13409" t="inlineStr">
        <is>
          <t>04/04/2026</t>
        </is>
      </c>
      <c r="I13409" t="inlineStr">
        <is>
          <t>17/03/2026</t>
        </is>
      </c>
      <c r="J13409" t="inlineStr">
        <is>
          <t>Mỹ thuật / Nghệ thuật / Thiết kế, Kiến trúc, Xây dựng</t>
        </is>
      </c>
      <c r="K13409" t="inlineStr">
        <is>
          <t>Trên 1 Năm</t>
        </is>
      </c>
      <c r="L13409" s="8">
        <f>HYPERLINK("https://careerviet.vn/vi/tim-viec-lam/thiet-ke-do-hoa.35C6B01C.html","Xem chi tiết")</f>
        <v/>
      </c>
    </row>
    <row r="13410">
      <c r="B13410" s="9" t="n">
        <v>13408</v>
      </c>
      <c r="C13410" s="10" t="inlineStr">
        <is>
          <t>Chuyên viên kinh doanh bất động sản tại Hải Phòng</t>
        </is>
      </c>
      <c r="D13410" s="10" t="inlineStr">
        <is>
          <t>Hoàng Huy Group</t>
        </is>
      </c>
      <c r="E13410" s="10" t="inlineStr">
        <is>
          <t>Lương:7 Tr - 20 Tr VND</t>
        </is>
      </c>
      <c r="F13410" s="10" t="inlineStr">
        <is>
          <t>Hải Phòng</t>
        </is>
      </c>
      <c r="G13410" s="10" t="inlineStr">
        <is>
          <t>30-04-2026</t>
        </is>
      </c>
      <c r="H13410" s="10" t="inlineStr">
        <is>
          <t>30/04/2026</t>
        </is>
      </c>
      <c r="I13410" s="10" t="inlineStr">
        <is>
          <t>17/03/2026</t>
        </is>
      </c>
      <c r="J13410" s="10" t="inlineStr">
        <is>
          <t>Bất động sản</t>
        </is>
      </c>
      <c r="K13410" s="10" t="inlineStr">
        <is>
          <t>Chưa có kinh nghiệm</t>
        </is>
      </c>
      <c r="L13410" s="11">
        <f>HYPERLINK("https://careerviet.vn/vi/tim-viec-lam/chuyen-vien-kinh-doanh-bat-dong-san-tai-hai-phong.35C6AF98.html","Xem chi tiết")</f>
        <v/>
      </c>
      <c r="M13410" s="10" t="n"/>
    </row>
    <row r="13411">
      <c r="B13411" s="7" t="n">
        <v>13409</v>
      </c>
      <c r="C13411" t="inlineStr">
        <is>
          <t>KẾ TOÁN CÔNG NỢ</t>
        </is>
      </c>
      <c r="D13411" t="inlineStr">
        <is>
          <t>ONE GROUP</t>
        </is>
      </c>
      <c r="E13411" t="inlineStr">
        <is>
          <t>Lương:9 Tr - 13 Tr VND</t>
        </is>
      </c>
      <c r="F13411" t="inlineStr">
        <is>
          <t>Hồ Chí Minh</t>
        </is>
      </c>
      <c r="G13411" t="inlineStr">
        <is>
          <t>11-04-2026</t>
        </is>
      </c>
      <c r="H13411" t="inlineStr">
        <is>
          <t>11/04/2026</t>
        </is>
      </c>
      <c r="I13411" t="inlineStr">
        <is>
          <t>17/03/2026</t>
        </is>
      </c>
      <c r="J13411" t="inlineStr">
        <is>
          <t>Kế toán / Kiểm toán, Thương mại điện tử, Bán lẻ / Bán sỉ</t>
        </is>
      </c>
      <c r="K13411" t="inlineStr">
        <is>
          <t>2 - 3 Năm</t>
        </is>
      </c>
      <c r="L13411" s="8">
        <f>HYPERLINK("https://careerviet.vn/vi/tim-viec-lam/ke-toan-cong-no.35C6B015.html","Xem chi tiết")</f>
        <v/>
      </c>
    </row>
    <row r="13412">
      <c r="B13412" s="9" t="n">
        <v>13410</v>
      </c>
      <c r="C13412" s="10" t="inlineStr">
        <is>
          <t>KẾ TOÁN VIÊN</t>
        </is>
      </c>
      <c r="D13412" s="10" t="inlineStr">
        <is>
          <t>CÔNG TY TNHH XCONS E&amp;C</t>
        </is>
      </c>
      <c r="E13412" s="10" t="inlineStr">
        <is>
          <t>Lương:12 Tr - 14 Tr VND</t>
        </is>
      </c>
      <c r="F13412" s="10" t="inlineStr">
        <is>
          <t>Hồ Chí Minh</t>
        </is>
      </c>
      <c r="G13412" s="10" t="inlineStr">
        <is>
          <t>31-03-2026</t>
        </is>
      </c>
      <c r="H13412" s="10" t="inlineStr">
        <is>
          <t>31/03/2026</t>
        </is>
      </c>
      <c r="I13412" s="10" t="inlineStr">
        <is>
          <t>17/03/2026</t>
        </is>
      </c>
      <c r="J13412" s="10" t="inlineStr">
        <is>
          <t>Kế toán / Kiểm toán, Xây dựng, Nội ngoại thất</t>
        </is>
      </c>
      <c r="K13412" s="10" t="inlineStr">
        <is>
          <t>Trên 2 Năm</t>
        </is>
      </c>
      <c r="L13412" s="11">
        <f>HYPERLINK("https://careerviet.vn/vi/tim-viec-lam/ke-toan-vien.35C6B028.html","Xem chi tiết")</f>
        <v/>
      </c>
      <c r="M13412" s="10" t="n"/>
    </row>
    <row r="13413">
      <c r="B13413" s="7" t="n">
        <v>13411</v>
      </c>
      <c r="C13413" t="inlineStr">
        <is>
          <t>Kế Toán Nội Bộ</t>
        </is>
      </c>
      <c r="D13413" t="inlineStr">
        <is>
          <t>Công ty TNHH Thương mại và Dịch vụ Đồ uống Vietblend</t>
        </is>
      </c>
      <c r="E13413" t="inlineStr">
        <is>
          <t>Lương:13 Tr - 15 Tr VND</t>
        </is>
      </c>
      <c r="F13413" t="inlineStr">
        <is>
          <t>Hà Nội</t>
        </is>
      </c>
      <c r="G13413" t="inlineStr">
        <is>
          <t>04-04-2026</t>
        </is>
      </c>
      <c r="H13413" t="inlineStr">
        <is>
          <t>04/04/2026</t>
        </is>
      </c>
      <c r="I13413" t="inlineStr">
        <is>
          <t>17/03/2026</t>
        </is>
      </c>
      <c r="J13413" t="inlineStr">
        <is>
          <t>Kế toán / Kiểm toán</t>
        </is>
      </c>
      <c r="K13413" t="inlineStr">
        <is>
          <t>3 - 5 Năm</t>
        </is>
      </c>
      <c r="L13413" s="8">
        <f>HYPERLINK("https://careerviet.vn/vi/tim-viec-lam/ke-toan-noi-bo.35C6AF74.html","Xem chi tiết")</f>
        <v/>
      </c>
    </row>
    <row r="13414">
      <c r="B13414" s="9" t="n">
        <v>13412</v>
      </c>
      <c r="C13414" s="10" t="inlineStr">
        <is>
          <t>Trưởng bộ phận kho (Warehouse Manager)</t>
        </is>
      </c>
      <c r="D13414" s="10" t="inlineStr">
        <is>
          <t>Linfox Logistics Vietnam</t>
        </is>
      </c>
      <c r="E13414" s="10" t="inlineStr">
        <is>
          <t>Lương:Cạnh tranh</t>
        </is>
      </c>
      <c r="F13414" s="10" t="inlineStr">
        <is>
          <t>Bình Dương</t>
        </is>
      </c>
      <c r="G13414" s="10" t="inlineStr">
        <is>
          <t>06-04-2026</t>
        </is>
      </c>
      <c r="H13414" s="10" t="inlineStr">
        <is>
          <t>06/04/2026</t>
        </is>
      </c>
      <c r="I13414" s="10" t="inlineStr">
        <is>
          <t>17/03/2026</t>
        </is>
      </c>
      <c r="J13414" s="10" t="inlineStr">
        <is>
          <t>Vận chuyển / Giao nhận / Kho vận</t>
        </is>
      </c>
      <c r="K13414" s="10" t="inlineStr">
        <is>
          <t>3 - 5 Năm</t>
        </is>
      </c>
      <c r="L13414" s="11">
        <f>HYPERLINK("https://careerviet.vn/vi/tim-viec-lam/truong-bo-phan-kho-warehouse-manager.35C6B01E.html","Xem chi tiết")</f>
        <v/>
      </c>
      <c r="M13414" s="10" t="n"/>
    </row>
    <row r="13415">
      <c r="B13415" s="7" t="n">
        <v>13413</v>
      </c>
      <c r="C13415" t="inlineStr">
        <is>
          <t>NHÂN VIÊN MUA HÀNG VẬT TƯ XÂY DỰNG</t>
        </is>
      </c>
      <c r="D13415" t="inlineStr">
        <is>
          <t>CÔNG TY TNHH SX XD TM ĐẠI Á CHÂU</t>
        </is>
      </c>
      <c r="E13415" t="inlineStr">
        <is>
          <t>Lương:10 Tr - 12 Tr VND</t>
        </is>
      </c>
      <c r="F13415" t="inlineStr">
        <is>
          <t>Hồ Chí Minh</t>
        </is>
      </c>
      <c r="G13415" t="inlineStr">
        <is>
          <t>04-04-2026</t>
        </is>
      </c>
      <c r="H13415" t="inlineStr">
        <is>
          <t>04/04/2026</t>
        </is>
      </c>
      <c r="I13415" t="inlineStr">
        <is>
          <t>17/03/2026</t>
        </is>
      </c>
      <c r="J13415" t="inlineStr">
        <is>
          <t>Xây dựng, Thu mua / Vật tư, Kế toán / Kiểm toán</t>
        </is>
      </c>
      <c r="K13415" t="inlineStr">
        <is>
          <t>1 - 3 Năm</t>
        </is>
      </c>
      <c r="L13415" s="8">
        <f>HYPERLINK("https://careerviet.vn/vi/tim-viec-lam/nhan-vien-mua-hang-vat-tu-xay-dung.35C6AFEF.html","Xem chi tiết")</f>
        <v/>
      </c>
    </row>
    <row r="13416">
      <c r="B13416" s="9" t="n">
        <v>13414</v>
      </c>
      <c r="C13416" s="10" t="inlineStr">
        <is>
          <t>Chuyên Viên Digital Marketing (SEO &amp; Performance)</t>
        </is>
      </c>
      <c r="D13416" s="10" t="inlineStr">
        <is>
          <t>CÔNG TY TNHH SX TM DV ĐẶNG GIA TRANG</t>
        </is>
      </c>
      <c r="E13416" s="10" t="inlineStr">
        <is>
          <t>Lương:15 Tr - 25 Tr VND</t>
        </is>
      </c>
      <c r="F13416" s="10" t="inlineStr">
        <is>
          <t>Hồ Chí Minh</t>
        </is>
      </c>
      <c r="G13416" s="10" t="inlineStr">
        <is>
          <t>11-04-2026</t>
        </is>
      </c>
      <c r="H13416" s="10" t="inlineStr">
        <is>
          <t>11/04/2026</t>
        </is>
      </c>
      <c r="I13416" s="10" t="inlineStr">
        <is>
          <t>17/03/2026</t>
        </is>
      </c>
      <c r="J13416" s="10" t="inlineStr">
        <is>
          <t>Tiếp thị / Marketing</t>
        </is>
      </c>
      <c r="K13416" s="10" t="inlineStr">
        <is>
          <t>Trên 3 Năm</t>
        </is>
      </c>
      <c r="L13416" s="11">
        <f>HYPERLINK("https://careerviet.vn/vi/tim-viec-lam/chuyen-vien-digital-marketing-seo-performance.35C6AA66.html","Xem chi tiết")</f>
        <v/>
      </c>
      <c r="M13416" s="10" t="n"/>
    </row>
    <row r="13417">
      <c r="B13417" s="7" t="n">
        <v>13415</v>
      </c>
      <c r="C13417" t="inlineStr">
        <is>
          <t>Kỹ Sư Nghiên Cứu Và Phát Triển Sản Phẩm Polymer</t>
        </is>
      </c>
      <c r="D13417" t="inlineStr">
        <is>
          <t>CÔNG TY TNHH TEX YEAR VIỆT NAM</t>
        </is>
      </c>
      <c r="E13417" t="inlineStr">
        <is>
          <t>Lương:12 Tr - 20 Tr VND</t>
        </is>
      </c>
      <c r="F13417" t="inlineStr">
        <is>
          <t>Bình DươngĐồng Nai</t>
        </is>
      </c>
      <c r="G13417" t="inlineStr">
        <is>
          <t>31-03-2026</t>
        </is>
      </c>
      <c r="H13417" t="inlineStr">
        <is>
          <t>31/03/2026</t>
        </is>
      </c>
      <c r="I13417" t="inlineStr">
        <is>
          <t>17/03/2026</t>
        </is>
      </c>
      <c r="J13417" t="inlineStr">
        <is>
          <t>Công nghệ sinh học, Hóa học, Sản xuất / Vận hành sản xuất</t>
        </is>
      </c>
      <c r="K13417" t="inlineStr">
        <is>
          <t>1 - 2 Năm</t>
        </is>
      </c>
      <c r="L13417" s="8">
        <f>HYPERLINK("https://careerviet.vn/vi/tim-viec-lam/ky-su-nghien-cuu-va-phat-trien-san-pham-polymer.35C6AF80.html","Xem chi tiết")</f>
        <v/>
      </c>
    </row>
    <row r="13418">
      <c r="B13418" s="9" t="n">
        <v>13416</v>
      </c>
      <c r="C13418" s="10" t="inlineStr">
        <is>
          <t>Nhân viên vận hành máy in</t>
        </is>
      </c>
      <c r="D13418" s="10" t="inlineStr">
        <is>
          <t>Công ty Cổ phần ĐẠI ĐỒNG TIẾN</t>
        </is>
      </c>
      <c r="E13418" s="10" t="inlineStr">
        <is>
          <t>Lương:9 Tr - 12 Tr VND</t>
        </is>
      </c>
      <c r="F13418" s="10" t="inlineStr">
        <is>
          <t>Hồ Chí Minh</t>
        </is>
      </c>
      <c r="G13418" s="10" t="inlineStr">
        <is>
          <t>04-04-2026</t>
        </is>
      </c>
      <c r="H13418" s="10" t="inlineStr">
        <is>
          <t>04/04/2026</t>
        </is>
      </c>
      <c r="I13418" s="10" t="inlineStr">
        <is>
          <t>17/03/2026</t>
        </is>
      </c>
      <c r="J13418" s="10" t="inlineStr">
        <is>
          <t>Mỹ thuật / Nghệ thuật / Thiết kế, Sản xuất / Vận hành sản xuất, In ấn / Xuất bản</t>
        </is>
      </c>
      <c r="K13418" s="10" t="inlineStr">
        <is>
          <t>1 - 2 Năm</t>
        </is>
      </c>
      <c r="L13418" s="11">
        <f>HYPERLINK("https://careerviet.vn/vi/tim-viec-lam/nhan-vien-van-hanh-may-in.35C6AFB6.html","Xem chi tiết")</f>
        <v/>
      </c>
      <c r="M13418" s="10" t="n"/>
    </row>
    <row r="13419">
      <c r="B13419" s="7" t="n">
        <v>13417</v>
      </c>
      <c r="C13419" t="inlineStr">
        <is>
          <t>Giáo Viên Chủ Nhiệm (Ocean Edu Kim Văn Kim Lũ) - Lương Từ 15 Triệu/Đi Làm Ngay</t>
        </is>
      </c>
      <c r="D13419" t="inlineStr">
        <is>
          <t>Công Ty CP Giáo Dục Đại Dương</t>
        </is>
      </c>
      <c r="E13419" t="inlineStr">
        <is>
          <t>Lương:Cạnh tranh</t>
        </is>
      </c>
      <c r="F13419" t="inlineStr">
        <is>
          <t>Hà Nội</t>
        </is>
      </c>
      <c r="G13419" t="inlineStr">
        <is>
          <t>04-04-2026</t>
        </is>
      </c>
      <c r="H13419" t="inlineStr">
        <is>
          <t>04/04/2026</t>
        </is>
      </c>
      <c r="I13419" t="inlineStr">
        <is>
          <t>17/03/2026</t>
        </is>
      </c>
      <c r="J13419" t="inlineStr">
        <is>
          <t>Giáo dục / Đào tạo, Bán hàng / Kinh doanh, Biên phiên dịch</t>
        </is>
      </c>
      <c r="K13419" t="inlineStr">
        <is>
          <t>Trên 1 Năm</t>
        </is>
      </c>
      <c r="L13419" s="8">
        <f>HYPERLINK("https://careerviet.vn/vi/tim-viec-lam/giao-vien-chu-nhiem-ocean-edu-kim-van-kim-lu-luong-tu-15-trieu-di-lam-ngay.35C6AFD9.html","Xem chi tiết")</f>
        <v/>
      </c>
    </row>
    <row r="13420">
      <c r="B13420" s="9" t="n">
        <v>13418</v>
      </c>
      <c r="C13420" s="10" t="inlineStr">
        <is>
          <t>Trưởng nhóm Kế Hoạch Sản Xuất (Ngành Hàng Thời Trang)</t>
        </is>
      </c>
      <c r="D13420" s="10" t="inlineStr">
        <is>
          <t>Công Ty Cổ Phần Tập Đoàn Thời Trang Việt Nam</t>
        </is>
      </c>
      <c r="E13420" s="10" t="inlineStr">
        <is>
          <t>Lương:15 Tr - 20 Tr VND</t>
        </is>
      </c>
      <c r="F13420" s="10" t="inlineStr">
        <is>
          <t>Hà Nội</t>
        </is>
      </c>
      <c r="G13420" s="10" t="inlineStr">
        <is>
          <t>03-04-2026</t>
        </is>
      </c>
      <c r="H13420" s="10" t="inlineStr">
        <is>
          <t>03/04/2026</t>
        </is>
      </c>
      <c r="I13420" s="10" t="inlineStr">
        <is>
          <t>17/03/2026</t>
        </is>
      </c>
      <c r="J13420" s="10" t="inlineStr">
        <is>
          <t>Sản xuất / Vận hành sản xuất, Dệt may / Da giày / Thời trang</t>
        </is>
      </c>
      <c r="K13420" s="10" t="inlineStr">
        <is>
          <t>1 - 3 Năm</t>
        </is>
      </c>
      <c r="L13420" s="11">
        <f>HYPERLINK("https://careerviet.vn/vi/tim-viec-lam/truong-nhom-ke-hoach-san-xuat-nganh-hang-thoi-trang.35C6AFE4.html","Xem chi tiết")</f>
        <v/>
      </c>
      <c r="M13420" s="10" t="n"/>
    </row>
    <row r="13421">
      <c r="B13421" s="7" t="n">
        <v>13419</v>
      </c>
      <c r="C13421" t="inlineStr">
        <is>
          <t>GIÁM SÁT THI CÔNG NỘI THẤT</t>
        </is>
      </c>
      <c r="D13421" t="inlineStr">
        <is>
          <t>CÔNG TY TNHH CRAFTEC VIỆT NAM</t>
        </is>
      </c>
      <c r="E13421" t="inlineStr">
        <is>
          <t>Lương:12 Tr - 20 Tr VND</t>
        </is>
      </c>
      <c r="F13421" t="inlineStr">
        <is>
          <t>Hồ Chí Minh</t>
        </is>
      </c>
      <c r="G13421" t="inlineStr">
        <is>
          <t>05-04-2026</t>
        </is>
      </c>
      <c r="H13421" t="inlineStr">
        <is>
          <t>05/04/2026</t>
        </is>
      </c>
      <c r="I13421" t="inlineStr">
        <is>
          <t>17/03/2026</t>
        </is>
      </c>
      <c r="J13421" t="inlineStr">
        <is>
          <t>Kiến trúc, Xây dựng, Nội ngoại thất</t>
        </is>
      </c>
      <c r="K13421" t="inlineStr">
        <is>
          <t>2 - 8 Năm</t>
        </is>
      </c>
      <c r="L13421" s="8">
        <f>HYPERLINK("https://careerviet.vn/vi/tim-viec-lam/giam-sat-thi-cong-noi-that.35C6AF4D.html","Xem chi tiết")</f>
        <v/>
      </c>
    </row>
    <row r="13422">
      <c r="B13422" s="9" t="n">
        <v>13420</v>
      </c>
      <c r="C13422" s="10" t="inlineStr">
        <is>
          <t>Nhân Viên Tư Vấn Kỹ Thuật Heo (Kỹ Thuật Trại Chăn Nuôi Heo)</t>
        </is>
      </c>
      <c r="D13422" s="10" t="inlineStr">
        <is>
          <t>Công Ty Cổ Phần GreenFeed Việt Nam</t>
        </is>
      </c>
      <c r="E13422" s="10" t="inlineStr">
        <is>
          <t>Lương:Cạnh tranh</t>
        </is>
      </c>
      <c r="F13422" s="10" t="inlineStr">
        <is>
          <t>Toàn quốc</t>
        </is>
      </c>
      <c r="G13422" s="10" t="inlineStr">
        <is>
          <t>04-04-2026</t>
        </is>
      </c>
      <c r="H13422" s="10" t="inlineStr">
        <is>
          <t>04/04/2026</t>
        </is>
      </c>
      <c r="I13422" s="10" t="inlineStr">
        <is>
          <t>17/03/2026</t>
        </is>
      </c>
      <c r="J13422" s="10" t="inlineStr">
        <is>
          <t>Chăn nuôi / Thú y</t>
        </is>
      </c>
      <c r="K13422" s="10" t="inlineStr">
        <is>
          <t>N/A</t>
        </is>
      </c>
      <c r="L13422" s="11">
        <f>HYPERLINK("https://careerviet.vn/vi/tim-viec-lam/nhan-vien-tu-van-ky-thuat-heo-ky-thuat-trai-chan-nuoi-heo.35C6AF7E.html","Xem chi tiết")</f>
        <v/>
      </c>
      <c r="M13422" s="10" t="n"/>
    </row>
    <row r="13423">
      <c r="B13423" s="7" t="n">
        <v>13421</v>
      </c>
      <c r="C13423" t="inlineStr">
        <is>
          <t>HƯNG YÊN - NHÂN VIÊN PHIÊN DỊCH TIẾNG NHẬT</t>
        </is>
      </c>
      <c r="D13423" t="inlineStr">
        <is>
          <t>Công ty TNHH AOBA Việt Nam</t>
        </is>
      </c>
      <c r="E13423" t="inlineStr">
        <is>
          <t>Lương:15 Tr - 20 Tr VND</t>
        </is>
      </c>
      <c r="F13423" t="inlineStr">
        <is>
          <t>Hưng Yên</t>
        </is>
      </c>
      <c r="G13423" t="inlineStr">
        <is>
          <t>05-04-2026</t>
        </is>
      </c>
      <c r="H13423" t="inlineStr">
        <is>
          <t>05/04/2026</t>
        </is>
      </c>
      <c r="I13423" t="inlineStr">
        <is>
          <t>17/03/2026</t>
        </is>
      </c>
      <c r="J13423" t="inlineStr">
        <is>
          <t>Biên phiên dịch</t>
        </is>
      </c>
      <c r="K13423" t="inlineStr">
        <is>
          <t>1 - 15 Năm</t>
        </is>
      </c>
      <c r="L13423" s="8">
        <f>HYPERLINK("https://careerviet.vn/vi/tim-viec-lam/hung-yen-nhan-vien-phien-dich-tieng-nhat.35C6AFBE.html","Xem chi tiết")</f>
        <v/>
      </c>
    </row>
    <row r="13424">
      <c r="B13424" s="9" t="n">
        <v>13422</v>
      </c>
      <c r="C13424" s="10" t="inlineStr">
        <is>
          <t>NHÂN VIÊN KẾ HOẠCH/ SINH QUẢN</t>
        </is>
      </c>
      <c r="D13424" s="10" t="inlineStr">
        <is>
          <t>CÔNG TY TNHH GRE ALPHA ELECTRONICS ( VIETNAM)</t>
        </is>
      </c>
      <c r="E13424" s="10" t="inlineStr">
        <is>
          <t>Lương:Cạnh tranh</t>
        </is>
      </c>
      <c r="F13424" s="10" t="inlineStr">
        <is>
          <t>Bình Dương</t>
        </is>
      </c>
      <c r="G13424" s="10" t="inlineStr">
        <is>
          <t>05-04-2026</t>
        </is>
      </c>
      <c r="H13424" s="10" t="inlineStr">
        <is>
          <t>05/04/2026</t>
        </is>
      </c>
      <c r="I13424" s="10" t="inlineStr">
        <is>
          <t>17/03/2026</t>
        </is>
      </c>
      <c r="J13424" s="10" t="inlineStr">
        <is>
          <t>Điện / Điện tử / Điện lạnh / Điện công nghiệp</t>
        </is>
      </c>
      <c r="K13424" s="10" t="inlineStr">
        <is>
          <t>1 - 3 Năm</t>
        </is>
      </c>
      <c r="L13424" s="11">
        <f>HYPERLINK("https://careerviet.vn/vi/tim-viec-lam/nhan-vien-ke-hoach-sinh-quan.35C6AFBF.html","Xem chi tiết")</f>
        <v/>
      </c>
      <c r="M13424" s="10" t="n"/>
    </row>
    <row r="13425">
      <c r="B13425" s="7" t="n">
        <v>13423</v>
      </c>
      <c r="C13425" t="inlineStr">
        <is>
          <t>Trưởng nhóm (dự án điện mặt trời áp mái)</t>
        </is>
      </c>
      <c r="D13425" t="inlineStr">
        <is>
          <t>Xuân Cầu Holdings</t>
        </is>
      </c>
      <c r="E13425" t="inlineStr">
        <is>
          <t>Lương:Cạnh tranh</t>
        </is>
      </c>
      <c r="F13425" t="inlineStr">
        <is>
          <t>Tây Ninh</t>
        </is>
      </c>
      <c r="G13425" t="inlineStr">
        <is>
          <t>31-03-2026</t>
        </is>
      </c>
      <c r="H13425" t="inlineStr">
        <is>
          <t>31/03/2026</t>
        </is>
      </c>
      <c r="I13425" t="inlineStr">
        <is>
          <t>17/03/2026</t>
        </is>
      </c>
      <c r="J13425" t="inlineStr">
        <is>
          <t>Điện / Điện tử / Điện lạnh / Điện công nghiệp</t>
        </is>
      </c>
      <c r="K13425" t="inlineStr">
        <is>
          <t>Lên đến 1 Năm</t>
        </is>
      </c>
      <c r="L13425" s="8">
        <f>HYPERLINK("https://careerviet.vn/vi/tim-viec-lam/truong-nhom-du-an-dien-mat-troi-ap-mai.35C6AFD8.html","Xem chi tiết")</f>
        <v/>
      </c>
    </row>
    <row r="13426">
      <c r="B13426" s="9" t="n">
        <v>13424</v>
      </c>
      <c r="C13426" s="10" t="inlineStr">
        <is>
          <t>Trưởng Nhóm Tuyển Sinh (Ocean Edu Yên Phong)</t>
        </is>
      </c>
      <c r="D13426" s="10" t="inlineStr">
        <is>
          <t>Công Ty CP Giáo Dục Đại Dương</t>
        </is>
      </c>
      <c r="E13426" s="10" t="inlineStr">
        <is>
          <t>Lương:Cạnh tranh</t>
        </is>
      </c>
      <c r="F13426" s="10" t="inlineStr">
        <is>
          <t>Bắc Ninh</t>
        </is>
      </c>
      <c r="G13426" s="10" t="inlineStr">
        <is>
          <t>04-04-2026</t>
        </is>
      </c>
      <c r="H13426" s="10" t="inlineStr">
        <is>
          <t>04/04/2026</t>
        </is>
      </c>
      <c r="I13426" s="10" t="inlineStr">
        <is>
          <t>17/03/2026</t>
        </is>
      </c>
      <c r="J13426" s="10" t="inlineStr">
        <is>
          <t>Tư vấn, Dịch vụ khách hàng, Giáo dục / Đào tạo</t>
        </is>
      </c>
      <c r="K13426" s="10" t="inlineStr">
        <is>
          <t>1 - 2 Năm</t>
        </is>
      </c>
      <c r="L13426" s="11">
        <f>HYPERLINK("https://careerviet.vn/vi/tim-viec-lam/truong-nhom-tuyen-sinh-ocean-edu-yen-phong.35C6AFAC.html","Xem chi tiết")</f>
        <v/>
      </c>
      <c r="M13426" s="10" t="n"/>
    </row>
    <row r="13427">
      <c r="B13427" s="7" t="n">
        <v>13425</v>
      </c>
      <c r="C13427" t="inlineStr">
        <is>
          <t>Nhân viên QC Nguyên phụ liệu thời trang</t>
        </is>
      </c>
      <c r="D13427" t="inlineStr">
        <is>
          <t>Công Ty Cổ Phần Tập Đoàn Thời Trang Việt Nam</t>
        </is>
      </c>
      <c r="E13427" t="inlineStr">
        <is>
          <t>Lương:10 Tr - 12 Tr VND</t>
        </is>
      </c>
      <c r="F13427" t="inlineStr">
        <is>
          <t>Hà Nội</t>
        </is>
      </c>
      <c r="G13427" t="inlineStr">
        <is>
          <t>03-04-2026</t>
        </is>
      </c>
      <c r="H13427" t="inlineStr">
        <is>
          <t>03/04/2026</t>
        </is>
      </c>
      <c r="I13427" t="inlineStr">
        <is>
          <t>17/03/2026</t>
        </is>
      </c>
      <c r="J13427" t="inlineStr">
        <is>
          <t>Quản lý chất lượng (QA/QC)</t>
        </is>
      </c>
      <c r="K13427" t="inlineStr">
        <is>
          <t>Chưa có kinh nghiệm</t>
        </is>
      </c>
      <c r="L13427" s="8">
        <f>HYPERLINK("https://careerviet.vn/vi/tim-viec-lam/nhan-vien-qc-nguyen-phu-lieu-thoi-trang.35C6AFE0.html","Xem chi tiết")</f>
        <v/>
      </c>
    </row>
    <row r="13428">
      <c r="B13428" s="9" t="n">
        <v>13426</v>
      </c>
      <c r="C13428" s="10" t="inlineStr">
        <is>
          <t>Nhân viên kế toán</t>
        </is>
      </c>
      <c r="D13428" s="10" t="inlineStr">
        <is>
          <t>Cty TNHH SX - TM Dược Phẩm Thành Nam</t>
        </is>
      </c>
      <c r="E13428" s="10" t="inlineStr">
        <is>
          <t>Lương:Cạnh tranh</t>
        </is>
      </c>
      <c r="F13428" s="10" t="inlineStr">
        <is>
          <t>Hồ Chí Minh</t>
        </is>
      </c>
      <c r="G13428" s="10" t="inlineStr">
        <is>
          <t>30-04-2026</t>
        </is>
      </c>
      <c r="H13428" s="10" t="inlineStr">
        <is>
          <t>30/04/2026</t>
        </is>
      </c>
      <c r="I13428" s="10" t="inlineStr">
        <is>
          <t>17/03/2026</t>
        </is>
      </c>
      <c r="J13428" s="10" t="inlineStr">
        <is>
          <t>Kế toán / Kiểm toán, Hành chính / Thư ký</t>
        </is>
      </c>
      <c r="K13428" s="10" t="inlineStr">
        <is>
          <t>1 - 2 Năm</t>
        </is>
      </c>
      <c r="L13428" s="11">
        <f>HYPERLINK("https://careerviet.vn/vi/tim-viec-lam/nhan-vien-ke-toan.35C6AF87.html","Xem chi tiết")</f>
        <v/>
      </c>
      <c r="M13428" s="10" t="n"/>
    </row>
    <row r="13429">
      <c r="B13429" s="7" t="n">
        <v>13427</v>
      </c>
      <c r="C13429" t="inlineStr">
        <is>
          <t>Nhân Viên Kinh Doanh</t>
        </is>
      </c>
      <c r="D13429" t="inlineStr">
        <is>
          <t>CÔNG TY CỔ PHẦN THÉP ĐẶC BIỆT SANHO</t>
        </is>
      </c>
      <c r="E13429" t="inlineStr">
        <is>
          <t>Lương:Thỏa Thuận</t>
        </is>
      </c>
      <c r="F13429" t="inlineStr">
        <is>
          <t>Hồ Chí Minh</t>
        </is>
      </c>
      <c r="G13429" t="inlineStr">
        <is>
          <t>05-04-2026</t>
        </is>
      </c>
      <c r="H13429" t="inlineStr">
        <is>
          <t>05/04/2026</t>
        </is>
      </c>
      <c r="I13429" t="inlineStr">
        <is>
          <t>17/03/2026</t>
        </is>
      </c>
      <c r="J13429" t="inlineStr">
        <is>
          <t>Bán hàng / Kinh doanh, Bán lẻ / Bán sỉ, Tiếp thị / Marketing</t>
        </is>
      </c>
      <c r="K13429" t="inlineStr">
        <is>
          <t>Trên 1 Năm</t>
        </is>
      </c>
      <c r="L13429" s="8">
        <f>HYPERLINK("https://careerviet.vn/vi/tim-viec-lam/nhan-vien-kinh-doanh.35C6AFBD.html","Xem chi tiết")</f>
        <v/>
      </c>
    </row>
    <row r="13430">
      <c r="B13430" s="9" t="n">
        <v>13428</v>
      </c>
      <c r="C13430" s="10" t="inlineStr">
        <is>
          <t>TRƯỞNG PHÒNG R&amp;D</t>
        </is>
      </c>
      <c r="D13430" s="10" t="inlineStr">
        <is>
          <t>Công ty cổ phần sản xuất và xuất khẩu Quế hồi Việt Nam</t>
        </is>
      </c>
      <c r="E13430" s="10" t="inlineStr">
        <is>
          <t>Lương:20 Tr - 40 Tr VND</t>
        </is>
      </c>
      <c r="F13430" s="10" t="inlineStr">
        <is>
          <t>Hà Nội</t>
        </is>
      </c>
      <c r="G13430" s="10" t="inlineStr">
        <is>
          <t>30-04-2026</t>
        </is>
      </c>
      <c r="H13430" s="10" t="inlineStr">
        <is>
          <t>30/04/2026</t>
        </is>
      </c>
      <c r="I13430" s="10" t="inlineStr">
        <is>
          <t>17/03/2026</t>
        </is>
      </c>
      <c r="J13430" s="10" t="inlineStr">
        <is>
          <t>Dược phẩm/ Hóa Mỹ Phẩm, Nông nghiệp, Sản xuất / Vận hành sản xuất</t>
        </is>
      </c>
      <c r="K13430" s="10" t="inlineStr">
        <is>
          <t>3 - 5 Năm</t>
        </is>
      </c>
      <c r="L13430" s="11">
        <f>HYPERLINK("https://careerviet.vn/vi/tim-viec-lam/truong-phong-r-d.35C6AF6C.html","Xem chi tiết")</f>
        <v/>
      </c>
      <c r="M13430" s="10" t="n"/>
    </row>
    <row r="13431">
      <c r="B13431" s="7" t="n">
        <v>13429</v>
      </c>
      <c r="C13431" t="inlineStr">
        <is>
          <t>Phó Phòng Phụ Trách Truyền Thông - Marketing</t>
        </is>
      </c>
      <c r="D13431" t="inlineStr">
        <is>
          <t>Công Ty Cổ Phần Đầu Tư Bất Động Sản Hưng Lộc Phát</t>
        </is>
      </c>
      <c r="E13431" t="inlineStr">
        <is>
          <t>Lương:Cạnh tranh</t>
        </is>
      </c>
      <c r="F13431" t="inlineStr">
        <is>
          <t>Hồ Chí Minh</t>
        </is>
      </c>
      <c r="G13431" t="inlineStr">
        <is>
          <t>05-04-2026</t>
        </is>
      </c>
      <c r="H13431" t="inlineStr">
        <is>
          <t>05/04/2026</t>
        </is>
      </c>
      <c r="I13431" t="inlineStr">
        <is>
          <t>17/03/2026</t>
        </is>
      </c>
      <c r="J13431" t="inlineStr">
        <is>
          <t>Quảng cáo / Đối ngoại / Truyền Thông, Tiếp thị / Marketing, Bất động sản</t>
        </is>
      </c>
      <c r="K13431" t="inlineStr">
        <is>
          <t>Trên 4 Năm</t>
        </is>
      </c>
      <c r="L13431" s="8">
        <f>HYPERLINK("https://careerviet.vn/vi/tim-viec-lam/pho-phong-phu-trach-truyen-thong-marketing.35C6AFC0.html","Xem chi tiết")</f>
        <v/>
      </c>
    </row>
    <row r="13432">
      <c r="B13432" s="9" t="n">
        <v>13430</v>
      </c>
      <c r="C13432" s="10" t="inlineStr">
        <is>
          <t>Chuyên viên Hải Quan ( Customs Specialist) - Logistics</t>
        </is>
      </c>
      <c r="D13432" s="10" t="inlineStr">
        <is>
          <t>MN SHIPPING CO., LTD</t>
        </is>
      </c>
      <c r="E13432" s="10" t="inlineStr">
        <is>
          <t>Lương:Cạnh tranh</t>
        </is>
      </c>
      <c r="F13432" s="10" t="inlineStr">
        <is>
          <t>Hồ Chí Minh</t>
        </is>
      </c>
      <c r="G13432" s="10" t="inlineStr">
        <is>
          <t>31-03-2026</t>
        </is>
      </c>
      <c r="H13432" s="10" t="inlineStr">
        <is>
          <t>31/03/2026</t>
        </is>
      </c>
      <c r="I13432" s="10" t="inlineStr">
        <is>
          <t>17/03/2026</t>
        </is>
      </c>
      <c r="J13432" s="10" t="inlineStr">
        <is>
          <t>Xuất nhập khẩu, Vận chuyển / Giao nhận / Kho vận</t>
        </is>
      </c>
      <c r="K13432" s="10" t="inlineStr">
        <is>
          <t>3 - 6 Năm</t>
        </is>
      </c>
      <c r="L13432" s="11">
        <f>HYPERLINK("https://careerviet.vn/vi/tim-viec-lam/chuyen-vien-hai-quan-customs-specialist-logistics.35C6AF8F.html","Xem chi tiết")</f>
        <v/>
      </c>
      <c r="M13432" s="10" t="n"/>
    </row>
    <row r="13433">
      <c r="B13433" s="7" t="n">
        <v>13431</v>
      </c>
      <c r="C13433" t="inlineStr">
        <is>
          <t>CVCC Quản lý năng lực vận hành - Khối Vận hành</t>
        </is>
      </c>
      <c r="D13433" t="inlineStr">
        <is>
          <t>Ngân Hàng TMCP Sài Gòn - Hà Nội ( SHB )</t>
        </is>
      </c>
      <c r="E13433" t="inlineStr">
        <is>
          <t>Lương:Cạnh tranh</t>
        </is>
      </c>
      <c r="F13433" t="inlineStr">
        <is>
          <t>Hà Nội</t>
        </is>
      </c>
      <c r="G13433" t="inlineStr">
        <is>
          <t>04-04-2026</t>
        </is>
      </c>
      <c r="H13433" t="inlineStr">
        <is>
          <t>04/04/2026</t>
        </is>
      </c>
      <c r="I13433" t="inlineStr">
        <is>
          <t>17/03/2026</t>
        </is>
      </c>
      <c r="J13433" t="inlineStr">
        <is>
          <t>Ngân hàng</t>
        </is>
      </c>
      <c r="K13433" t="inlineStr">
        <is>
          <t>Trên 4 Năm</t>
        </is>
      </c>
      <c r="L13433" s="8">
        <f>HYPERLINK("https://careerviet.vn/vi/tim-viec-lam/cvcc-quan-ly-nang-luc-van-hanh-khoi-van-hanh.35C6AFA5.html","Xem chi tiết")</f>
        <v/>
      </c>
    </row>
    <row r="13434">
      <c r="B13434" s="9" t="n">
        <v>13432</v>
      </c>
      <c r="C13434" s="10" t="inlineStr">
        <is>
          <t>Nhân Viên Mua Hàng</t>
        </is>
      </c>
      <c r="D13434" s="10" t="inlineStr">
        <is>
          <t>CÔNG TY CỔ PHẦN CHẾ BIẾN THỰC PHẨM HOÀNG SƠN</t>
        </is>
      </c>
      <c r="E13434" s="10" t="inlineStr">
        <is>
          <t>Lương:10 Tr - 13 Tr VND</t>
        </is>
      </c>
      <c r="F13434" s="10" t="inlineStr">
        <is>
          <t>Bình Dương</t>
        </is>
      </c>
      <c r="G13434" s="10" t="inlineStr">
        <is>
          <t>15-04-2026</t>
        </is>
      </c>
      <c r="H13434" s="10" t="inlineStr">
        <is>
          <t>15/04/2026</t>
        </is>
      </c>
      <c r="I13434" s="10" t="inlineStr">
        <is>
          <t>17/03/2026</t>
        </is>
      </c>
      <c r="J13434" s="10" t="inlineStr">
        <is>
          <t>Thu mua / Vật tư, Hành chính / Thư ký, Ngành khác</t>
        </is>
      </c>
      <c r="K13434" s="10" t="inlineStr">
        <is>
          <t>1 - 2 Năm</t>
        </is>
      </c>
      <c r="L13434" s="11">
        <f>HYPERLINK("https://careerviet.vn/vi/tim-viec-lam/nhan-vien-mua-hang.35C6AFAD.html","Xem chi tiết")</f>
        <v/>
      </c>
      <c r="M13434" s="10" t="n"/>
    </row>
    <row r="13435">
      <c r="B13435" s="7" t="n">
        <v>13433</v>
      </c>
      <c r="C13435" t="inlineStr">
        <is>
          <t>[BẮC GIANG] GIÁM SÁT RẠP CHIẾU PHIM</t>
        </is>
      </c>
      <c r="D13435" t="inlineStr">
        <is>
          <t>CÔNG TY TNHH LOTTECINEMA VIỆT NAM</t>
        </is>
      </c>
      <c r="E13435" t="inlineStr">
        <is>
          <t>Lương:8 Tr - 10 Tr VND</t>
        </is>
      </c>
      <c r="F13435" t="inlineStr">
        <is>
          <t>Bắc Giang</t>
        </is>
      </c>
      <c r="G13435" t="inlineStr">
        <is>
          <t>04-04-2026</t>
        </is>
      </c>
      <c r="H13435" t="inlineStr">
        <is>
          <t>04/04/2026</t>
        </is>
      </c>
      <c r="I13435" t="inlineStr">
        <is>
          <t>17/03/2026</t>
        </is>
      </c>
      <c r="J13435" t="inlineStr">
        <is>
          <t>Dịch vụ khách hàng, Nhà hàng / Khách sạn, Giải trí</t>
        </is>
      </c>
      <c r="K13435" t="inlineStr">
        <is>
          <t>N/A</t>
        </is>
      </c>
      <c r="L13435" s="8">
        <f>HYPERLINK("https://careerviet.vn/vi/tim-viec-lam/bac-giang-giam-sat-rap-chieu-phim.35C6AFBA.html","Xem chi tiết")</f>
        <v/>
      </c>
    </row>
    <row r="13436">
      <c r="B13436" s="9" t="n">
        <v>13434</v>
      </c>
      <c r="C13436" s="10" t="inlineStr">
        <is>
          <t>KEY ACCOUNT MANAGER KÊNH MT ( PLANNING)</t>
        </is>
      </c>
      <c r="D13436" s="10" t="inlineStr">
        <is>
          <t>Công Ty Cổ Phần IPP Group</t>
        </is>
      </c>
      <c r="E13436" s="10" t="inlineStr">
        <is>
          <t>Lương:20 Tr - 30 Tr VND</t>
        </is>
      </c>
      <c r="F13436" s="10" t="inlineStr">
        <is>
          <t>Hồ Chí Minh</t>
        </is>
      </c>
      <c r="G13436" s="10" t="inlineStr">
        <is>
          <t>30-04-2026</t>
        </is>
      </c>
      <c r="H13436" s="10" t="inlineStr">
        <is>
          <t>30/04/2026</t>
        </is>
      </c>
      <c r="I13436" s="10" t="inlineStr">
        <is>
          <t>17/03/2026</t>
        </is>
      </c>
      <c r="J13436" s="10" t="inlineStr">
        <is>
          <t>Bán hàng / Kinh doanh, Bán lẻ / Bán sỉ, Thực phẩm &amp; Đồ uống</t>
        </is>
      </c>
      <c r="K13436" s="10" t="inlineStr">
        <is>
          <t>2 - 3 Năm</t>
        </is>
      </c>
      <c r="L13436" s="11">
        <f>HYPERLINK("https://careerviet.vn/vi/tim-viec-lam/key-account-manager-kenh-mt-planning.35C5B905.html","Xem chi tiết")</f>
        <v/>
      </c>
      <c r="M13436" s="10" t="n"/>
    </row>
    <row r="13437">
      <c r="B13437" s="7" t="n">
        <v>13435</v>
      </c>
      <c r="C13437" t="inlineStr">
        <is>
          <t>CV/CVCC Quản lý nghiệp vụ Thanh toán quốc tế</t>
        </is>
      </c>
      <c r="D13437" t="inlineStr">
        <is>
          <t>Ngân Hàng TMCP Sài Gòn - Hà Nội ( SHB )</t>
        </is>
      </c>
      <c r="E13437" t="inlineStr">
        <is>
          <t>Lương:Cạnh tranh</t>
        </is>
      </c>
      <c r="F13437" t="inlineStr">
        <is>
          <t>Hà Nội</t>
        </is>
      </c>
      <c r="G13437" t="inlineStr">
        <is>
          <t>04-04-2026</t>
        </is>
      </c>
      <c r="H13437" t="inlineStr">
        <is>
          <t>04/04/2026</t>
        </is>
      </c>
      <c r="I13437" t="inlineStr">
        <is>
          <t>17/03/2026</t>
        </is>
      </c>
      <c r="J13437" t="inlineStr">
        <is>
          <t>Ngân hàng</t>
        </is>
      </c>
      <c r="K13437" t="inlineStr">
        <is>
          <t>Trên 2 Năm</t>
        </is>
      </c>
      <c r="L13437" s="8">
        <f>HYPERLINK("https://careerviet.vn/vi/tim-viec-lam/cv-cvcc-quan-ly-nghiep-vu-thanh-toan-quoc-te.35C6AFA3.html","Xem chi tiết")</f>
        <v/>
      </c>
    </row>
    <row r="13438">
      <c r="B13438" s="9" t="n">
        <v>13436</v>
      </c>
      <c r="C13438" s="10" t="inlineStr">
        <is>
          <t>Trưởng Nhóm Tuyển Sinh (Ocean Edu Nho Quan) - Lương Từ 18 Triệu/Đi Làm Ngay</t>
        </is>
      </c>
      <c r="D13438" s="10" t="inlineStr">
        <is>
          <t>Công Ty CP Giáo Dục Đại Dương</t>
        </is>
      </c>
      <c r="E13438" s="10" t="inlineStr">
        <is>
          <t>Lương:Cạnh tranh</t>
        </is>
      </c>
      <c r="F13438" s="10" t="inlineStr">
        <is>
          <t>Ninh Bình</t>
        </is>
      </c>
      <c r="G13438" s="10" t="inlineStr">
        <is>
          <t>04-04-2026</t>
        </is>
      </c>
      <c r="H13438" s="10" t="inlineStr">
        <is>
          <t>04/04/2026</t>
        </is>
      </c>
      <c r="I13438" s="10" t="inlineStr">
        <is>
          <t>17/03/2026</t>
        </is>
      </c>
      <c r="J13438" s="10" t="inlineStr">
        <is>
          <t>Tư vấn, Dịch vụ khách hàng, Giáo dục / Đào tạo</t>
        </is>
      </c>
      <c r="K13438" s="10" t="inlineStr">
        <is>
          <t>1 - 2 Năm</t>
        </is>
      </c>
      <c r="L13438" s="11">
        <f>HYPERLINK("https://careerviet.vn/vi/tim-viec-lam/truong-nhom-tuyen-sinh-ocean-edu-nho-quan-luong-tu-18-trieu-di-lam-ngay.35C6AF19.html","Xem chi tiết")</f>
        <v/>
      </c>
      <c r="M13438" s="10" t="n"/>
    </row>
    <row r="13439">
      <c r="B13439" s="7" t="n">
        <v>13437</v>
      </c>
      <c r="C13439" t="inlineStr">
        <is>
          <t>Nhân Viên Hướng Dẫn Onsen (Phú Thọ)</t>
        </is>
      </c>
      <c r="D13439" t="inlineStr">
        <is>
          <t>CÔNG TY CỔ PHẦN TẬP ĐOÀN ONSEN FUJI</t>
        </is>
      </c>
      <c r="E13439" t="inlineStr">
        <is>
          <t>Lương:7 Tr - 9 Tr VND</t>
        </is>
      </c>
      <c r="F13439" t="inlineStr">
        <is>
          <t>Phú Thọ</t>
        </is>
      </c>
      <c r="G13439" t="inlineStr">
        <is>
          <t>04-04-2026</t>
        </is>
      </c>
      <c r="H13439" t="inlineStr">
        <is>
          <t>04/04/2026</t>
        </is>
      </c>
      <c r="I13439" t="inlineStr">
        <is>
          <t>17/03/2026</t>
        </is>
      </c>
      <c r="J13439" t="inlineStr">
        <is>
          <t>Nhà hàng / Khách sạn</t>
        </is>
      </c>
      <c r="K13439" t="inlineStr">
        <is>
          <t>Chưa có kinh nghiệm</t>
        </is>
      </c>
      <c r="L13439" s="8">
        <f>HYPERLINK("https://careerviet.vn/vi/tim-viec-lam/nhan-vien-huong-dan-onsen-phu-tho.35C6AF9A.html","Xem chi tiết")</f>
        <v/>
      </c>
    </row>
    <row r="13440">
      <c r="B13440" s="9" t="n">
        <v>13438</v>
      </c>
      <c r="C13440" s="10" t="inlineStr">
        <is>
          <t>Nhân Viên Admin Finance</t>
        </is>
      </c>
      <c r="D13440" s="10" t="inlineStr">
        <is>
          <t>Công Ty TNHH Việt Mỹ-SSU</t>
        </is>
      </c>
      <c r="E13440" s="10" t="inlineStr">
        <is>
          <t>Lương:Lên đến 8 Tr VND</t>
        </is>
      </c>
      <c r="F13440" s="10" t="inlineStr">
        <is>
          <t>Hồ Chí Minh</t>
        </is>
      </c>
      <c r="G13440" s="10" t="inlineStr">
        <is>
          <t>04-04-2026</t>
        </is>
      </c>
      <c r="H13440" s="10" t="inlineStr">
        <is>
          <t>04/04/2026</t>
        </is>
      </c>
      <c r="I13440" s="10" t="inlineStr">
        <is>
          <t>17/03/2026</t>
        </is>
      </c>
      <c r="J13440" s="10" t="inlineStr">
        <is>
          <t>Hành chính / Thư ký, Nhân sự</t>
        </is>
      </c>
      <c r="K13440" s="10" t="inlineStr">
        <is>
          <t>Lên đến 1 Năm</t>
        </is>
      </c>
      <c r="L13440" s="11">
        <f>HYPERLINK("https://careerviet.vn/vi/tim-viec-lam/nhan-vien-admin-finance.35C6AF6B.html","Xem chi tiết")</f>
        <v/>
      </c>
      <c r="M13440" s="10" t="n"/>
    </row>
    <row r="13441">
      <c r="B13441" s="7" t="n">
        <v>13439</v>
      </c>
      <c r="C13441" t="inlineStr">
        <is>
          <t>Bếp Chính Á (Phú Thọ)</t>
        </is>
      </c>
      <c r="D13441" t="inlineStr">
        <is>
          <t>CÔNG TY CỔ PHẦN TẬP ĐOÀN ONSEN FUJI</t>
        </is>
      </c>
      <c r="E13441" t="inlineStr">
        <is>
          <t>Lương:10 Tr - 13 Tr VND</t>
        </is>
      </c>
      <c r="F13441" t="inlineStr">
        <is>
          <t>Phú Thọ</t>
        </is>
      </c>
      <c r="G13441" t="inlineStr">
        <is>
          <t>04-04-2026</t>
        </is>
      </c>
      <c r="H13441" t="inlineStr">
        <is>
          <t>04/04/2026</t>
        </is>
      </c>
      <c r="I13441" t="inlineStr">
        <is>
          <t>17/03/2026</t>
        </is>
      </c>
      <c r="J13441" t="inlineStr">
        <is>
          <t>Nhà hàng / Khách sạn</t>
        </is>
      </c>
      <c r="K13441" t="inlineStr">
        <is>
          <t>2 - 3 Năm</t>
        </is>
      </c>
      <c r="L13441" s="8">
        <f>HYPERLINK("https://careerviet.vn/vi/tim-viec-lam/bep-chinh-a-phu-tho.35C6AF7B.html","Xem chi tiết")</f>
        <v/>
      </c>
    </row>
    <row r="13442">
      <c r="B13442" s="9" t="n">
        <v>13440</v>
      </c>
      <c r="C13442" s="10" t="inlineStr">
        <is>
          <t>Trưởng Nhóm Tuyển Sinh (Ocean Edu Linh Đàmk) - Lương Từ 19 Triệu/Đi Làm Ngay</t>
        </is>
      </c>
      <c r="D13442" s="10" t="inlineStr">
        <is>
          <t>Công Ty CP Giáo Dục Đại Dương</t>
        </is>
      </c>
      <c r="E13442" s="10" t="inlineStr">
        <is>
          <t>Lương:Cạnh tranh</t>
        </is>
      </c>
      <c r="F13442" s="10" t="inlineStr">
        <is>
          <t>Hà Nội</t>
        </is>
      </c>
      <c r="G13442" s="10" t="inlineStr">
        <is>
          <t>04-04-2026</t>
        </is>
      </c>
      <c r="H13442" s="10" t="inlineStr">
        <is>
          <t>04/04/2026</t>
        </is>
      </c>
      <c r="I13442" s="10" t="inlineStr">
        <is>
          <t>17/03/2026</t>
        </is>
      </c>
      <c r="J13442" s="10" t="inlineStr">
        <is>
          <t>Tư vấn, Dịch vụ khách hàng, Giáo dục / Đào tạo</t>
        </is>
      </c>
      <c r="K13442" s="10" t="inlineStr">
        <is>
          <t>1 - 2 Năm</t>
        </is>
      </c>
      <c r="L13442" s="11">
        <f>HYPERLINK("https://careerviet.vn/vi/tim-viec-lam/truong-nhom-tuyen-sinh-ocean-edu-linh-damk-luong-tu-19-trieu-di-lam-ngay.35C6AF21.html","Xem chi tiết")</f>
        <v/>
      </c>
      <c r="M13442" s="10" t="n"/>
    </row>
    <row r="13443">
      <c r="B13443" s="7" t="n">
        <v>13441</v>
      </c>
      <c r="C13443" t="inlineStr">
        <is>
          <t>Chuyên Viên Thương mại điện tử</t>
        </is>
      </c>
      <c r="D13443" t="inlineStr">
        <is>
          <t>Công Ty TNHH Công Nghiệp Gin Hung Việt Nam</t>
        </is>
      </c>
      <c r="E13443" t="inlineStr">
        <is>
          <t>Lương:13 Tr - 18 Tr VND</t>
        </is>
      </c>
      <c r="F13443" t="inlineStr">
        <is>
          <t>Hồ Chí Minh</t>
        </is>
      </c>
      <c r="G13443" t="inlineStr">
        <is>
          <t>05-04-2026</t>
        </is>
      </c>
      <c r="H13443" t="inlineStr">
        <is>
          <t>05/04/2026</t>
        </is>
      </c>
      <c r="I13443" t="inlineStr">
        <is>
          <t>17/03/2026</t>
        </is>
      </c>
      <c r="J13443" t="inlineStr">
        <is>
          <t>Bán lẻ / Bán sỉ, Thương mại điện tử</t>
        </is>
      </c>
      <c r="K13443" t="inlineStr">
        <is>
          <t>3 - 5 Năm</t>
        </is>
      </c>
      <c r="L13443" s="8">
        <f>HYPERLINK("https://careerviet.vn/vi/tim-viec-lam/chuyen-vien-thuong-mai-dien-tu.35C6AF72.html","Xem chi tiết")</f>
        <v/>
      </c>
    </row>
    <row r="13444">
      <c r="B13444" s="9" t="n">
        <v>13442</v>
      </c>
      <c r="C13444" s="10" t="inlineStr">
        <is>
          <t>AI Trainer Tagger (ChatBot)</t>
        </is>
      </c>
      <c r="D13444" s="10" t="inlineStr">
        <is>
          <t>Công Ty TNHH Việt Mỹ-SSU</t>
        </is>
      </c>
      <c r="E13444" s="10" t="inlineStr">
        <is>
          <t>Lương:7 Tr - 7,5 Tr VND</t>
        </is>
      </c>
      <c r="F13444" s="10" t="inlineStr">
        <is>
          <t>Hồ Chí Minh</t>
        </is>
      </c>
      <c r="G13444" s="10" t="inlineStr">
        <is>
          <t>04-04-2026</t>
        </is>
      </c>
      <c r="H13444" s="10" t="inlineStr">
        <is>
          <t>04/04/2026</t>
        </is>
      </c>
      <c r="I13444" s="10" t="inlineStr">
        <is>
          <t>17/03/2026</t>
        </is>
      </c>
      <c r="J13444" s="10" t="inlineStr">
        <is>
          <t>Thương mại điện tử</t>
        </is>
      </c>
      <c r="K13444" s="10" t="inlineStr">
        <is>
          <t>Lên đến 1 Năm</t>
        </is>
      </c>
      <c r="L13444" s="11">
        <f>HYPERLINK("https://careerviet.vn/vi/tim-viec-lam/ai-trainer-tagger-chatbot.35C6AF73.html","Xem chi tiết")</f>
        <v/>
      </c>
      <c r="M13444" s="10" t="n"/>
    </row>
    <row r="13445">
      <c r="B13445" s="7" t="n">
        <v>13443</v>
      </c>
      <c r="C13445" t="inlineStr">
        <is>
          <t>Chuyên viên kế toán thuế</t>
        </is>
      </c>
      <c r="D13445" t="inlineStr">
        <is>
          <t>CÔNG TY CỔ PHẦN ULTD THỊNH PHÁT</t>
        </is>
      </c>
      <c r="E13445" t="inlineStr">
        <is>
          <t>Lương:12 Tr - 17 Tr VND</t>
        </is>
      </c>
      <c r="F13445" t="inlineStr">
        <is>
          <t>Hà Nội</t>
        </is>
      </c>
      <c r="G13445" t="inlineStr">
        <is>
          <t>04-04-2026</t>
        </is>
      </c>
      <c r="H13445" t="inlineStr">
        <is>
          <t>04/04/2026</t>
        </is>
      </c>
      <c r="I13445" t="inlineStr">
        <is>
          <t>17/03/2026</t>
        </is>
      </c>
      <c r="J13445" t="inlineStr">
        <is>
          <t>Kế toán / Kiểm toán, Bán lẻ / Bán sỉ, Thương mại điện tử</t>
        </is>
      </c>
      <c r="K13445" t="inlineStr">
        <is>
          <t>2 - 3 Năm</t>
        </is>
      </c>
      <c r="L13445" s="8">
        <f>HYPERLINK("https://careerviet.vn/vi/tim-viec-lam/chuyen-vien-ke-toan-thue.35C6B0EB.html","Xem chi tiết")</f>
        <v/>
      </c>
    </row>
    <row r="13446">
      <c r="B13446" s="9" t="n">
        <v>13444</v>
      </c>
      <c r="C13446" s="10" t="inlineStr">
        <is>
          <t>Chuyên viên Kỹ thuật Bảo trì tòa nhà</t>
        </is>
      </c>
      <c r="D13446" s="10" t="inlineStr">
        <is>
          <t>CÔNG TY CỔ PHẦN ĐẦU TƯ INFINITY GROUP</t>
        </is>
      </c>
      <c r="E13446" s="10" t="inlineStr">
        <is>
          <t>Lương:Cạnh tranh</t>
        </is>
      </c>
      <c r="F13446" s="10" t="inlineStr">
        <is>
          <t>Hà Nội</t>
        </is>
      </c>
      <c r="G13446" s="10" t="inlineStr">
        <is>
          <t>31-03-2026</t>
        </is>
      </c>
      <c r="H13446" s="10" t="inlineStr">
        <is>
          <t>31/03/2026</t>
        </is>
      </c>
      <c r="I13446" s="10" t="inlineStr">
        <is>
          <t>17/03/2026</t>
        </is>
      </c>
      <c r="J13446" s="10" t="inlineStr">
        <is>
          <t>Điện / Điện tử / Điện lạnh / Điện công nghiệp, Xây dựng, Bất động sản</t>
        </is>
      </c>
      <c r="K13446" s="10" t="inlineStr">
        <is>
          <t>3 - 15 Năm</t>
        </is>
      </c>
      <c r="L13446" s="11">
        <f>HYPERLINK("https://careerviet.vn/vi/tim-viec-lam/chuyen-vien-ky-thuat-bao-tri-toa-nha.35C6AF6A.html","Xem chi tiết")</f>
        <v/>
      </c>
      <c r="M13446" s="10" t="n"/>
    </row>
    <row r="13447">
      <c r="B13447" s="7" t="n">
        <v>13445</v>
      </c>
      <c r="C13447" t="inlineStr">
        <is>
          <t>Giáo Viên Chủ Nhiệm (Ocean Edu Phủ Lý - EW) - Chi nhánh mới</t>
        </is>
      </c>
      <c r="D13447" t="inlineStr">
        <is>
          <t>Công Ty CP Giáo Dục Đại Dương</t>
        </is>
      </c>
      <c r="E13447" t="inlineStr">
        <is>
          <t>Lương:Cạnh tranh</t>
        </is>
      </c>
      <c r="F13447" t="inlineStr">
        <is>
          <t>Hà Nam</t>
        </is>
      </c>
      <c r="G13447" t="inlineStr">
        <is>
          <t>04-04-2026</t>
        </is>
      </c>
      <c r="H13447" t="inlineStr">
        <is>
          <t>04/04/2026</t>
        </is>
      </c>
      <c r="I13447" t="inlineStr">
        <is>
          <t>17/03/2026</t>
        </is>
      </c>
      <c r="J13447" t="inlineStr">
        <is>
          <t>Giáo dục / Đào tạo, Bán hàng / Kinh doanh, Biên phiên dịch</t>
        </is>
      </c>
      <c r="K13447" t="inlineStr">
        <is>
          <t>Trên 1 Năm</t>
        </is>
      </c>
      <c r="L13447" s="8">
        <f>HYPERLINK("https://careerviet.vn/vi/tim-viec-lam/giao-vien-chu-nhiem-ocean-edu-phu-ly-ew-chi-nhanh-moi.35C6AF24.html","Xem chi tiết")</f>
        <v/>
      </c>
    </row>
    <row r="13448">
      <c r="B13448" s="9" t="n">
        <v>13446</v>
      </c>
      <c r="C13448" s="10" t="inlineStr">
        <is>
          <t>Giám đốc Phòng giao dịch - Quãng Ngãi, Phú Yên, Bình Thuận</t>
        </is>
      </c>
      <c r="D13448" s="10" t="inlineStr">
        <is>
          <t>Ngân hàng TMCP Phát triển TP.HCM (HDBank)</t>
        </is>
      </c>
      <c r="E13448" s="10" t="inlineStr">
        <is>
          <t>Lương:30 Tr - 40 Tr VND</t>
        </is>
      </c>
      <c r="F13448" s="10" t="inlineStr">
        <is>
          <t>Quảng NgãiPhú YênBình Thuận</t>
        </is>
      </c>
      <c r="G13448" s="10" t="inlineStr">
        <is>
          <t>04-04-2026</t>
        </is>
      </c>
      <c r="H13448" s="10" t="inlineStr">
        <is>
          <t>04/04/2026</t>
        </is>
      </c>
      <c r="I13448" s="10" t="inlineStr">
        <is>
          <t>17/03/2026</t>
        </is>
      </c>
      <c r="J13448" s="10" t="inlineStr">
        <is>
          <t>Ngân hàng, Bảo hiểm, Tài chính / Đầu tư</t>
        </is>
      </c>
      <c r="K13448" s="10" t="inlineStr">
        <is>
          <t>3 - 5 Năm</t>
        </is>
      </c>
      <c r="L13448" s="11">
        <f>HYPERLINK("https://careerviet.vn/vi/tim-viec-lam/giam-doc-phong-giao-dich-quang-ngai-phu-yen-binh-thuan.35C6AF36.html","Xem chi tiết")</f>
        <v/>
      </c>
      <c r="M13448" s="10" t="n"/>
    </row>
    <row r="13449">
      <c r="B13449" s="7" t="n">
        <v>13447</v>
      </c>
      <c r="C13449" t="inlineStr">
        <is>
          <t>Nhân viên Kỹ thuật Thiết kế Bao bì</t>
        </is>
      </c>
      <c r="D13449" t="inlineStr">
        <is>
          <t>Công Ty CP XNK Hóa Chất &amp; Thiết Bị Kim Ngưu</t>
        </is>
      </c>
      <c r="E13449" t="inlineStr">
        <is>
          <t>Lương:Cạnh tranh</t>
        </is>
      </c>
      <c r="F13449" t="inlineStr">
        <is>
          <t>Hà Nội</t>
        </is>
      </c>
      <c r="G13449" t="inlineStr">
        <is>
          <t>04-04-2026</t>
        </is>
      </c>
      <c r="H13449" t="inlineStr">
        <is>
          <t>04/04/2026</t>
        </is>
      </c>
      <c r="I13449" t="inlineStr">
        <is>
          <t>17/03/2026</t>
        </is>
      </c>
      <c r="J13449" t="inlineStr">
        <is>
          <t>Mỹ thuật / Nghệ thuật / Thiết kế, Hóa học, Công nghệ sinh học</t>
        </is>
      </c>
      <c r="K13449" t="inlineStr">
        <is>
          <t>2 - 3 Năm</t>
        </is>
      </c>
      <c r="L13449" s="8">
        <f>HYPERLINK("https://careerviet.vn/vi/tim-viec-lam/nhan-vien-ky-thuat-thiet-ke-bao-bi.35C6AF5D.html","Xem chi tiết")</f>
        <v/>
      </c>
    </row>
    <row r="13450">
      <c r="B13450" s="9" t="n">
        <v>13448</v>
      </c>
      <c r="C13450" s="10" t="inlineStr">
        <is>
          <t>Chuyên viên Đầu tư Giấy tờ có giá</t>
        </is>
      </c>
      <c r="D13450" s="10" t="inlineStr">
        <is>
          <t>Công ty TNHH Chứng khoán Ngân hàng TMCP Ngoại thương Việt Nam (VCBS - Vietcombank Securities)</t>
        </is>
      </c>
      <c r="E13450" s="10" t="inlineStr">
        <is>
          <t>Lương:Cạnh tranh</t>
        </is>
      </c>
      <c r="F13450" s="10" t="inlineStr">
        <is>
          <t>Hà Nội</t>
        </is>
      </c>
      <c r="G13450" s="10" t="inlineStr">
        <is>
          <t>04-04-2026</t>
        </is>
      </c>
      <c r="H13450" s="10" t="inlineStr">
        <is>
          <t>04/04/2026</t>
        </is>
      </c>
      <c r="I13450" s="10" t="inlineStr">
        <is>
          <t>17/03/2026</t>
        </is>
      </c>
      <c r="J13450" s="10" t="inlineStr">
        <is>
          <t>Chứng khoán</t>
        </is>
      </c>
      <c r="K13450" s="10" t="inlineStr">
        <is>
          <t>N/A</t>
        </is>
      </c>
      <c r="L13450" s="11">
        <f>HYPERLINK("https://careerviet.vn/vi/tim-viec-lam/chuyen-vien-dau-tu-giay-to-co-gia.35C6AF59.html","Xem chi tiết")</f>
        <v/>
      </c>
      <c r="M13450" s="10" t="n"/>
    </row>
    <row r="13451">
      <c r="B13451" s="7" t="n">
        <v>13449</v>
      </c>
      <c r="C13451" t="inlineStr">
        <is>
          <t>Chuyên viên tư vấn giáo dục (Ocean Edu Phủ Lý - EW) - Chi nhánh mới</t>
        </is>
      </c>
      <c r="D13451" t="inlineStr">
        <is>
          <t>Công Ty CP Giáo Dục Đại Dương</t>
        </is>
      </c>
      <c r="E13451" t="inlineStr">
        <is>
          <t>Lương:Cạnh tranh</t>
        </is>
      </c>
      <c r="F13451" t="inlineStr">
        <is>
          <t>Hà Nam</t>
        </is>
      </c>
      <c r="G13451" t="inlineStr">
        <is>
          <t>04-04-2026</t>
        </is>
      </c>
      <c r="H13451" t="inlineStr">
        <is>
          <t>04/04/2026</t>
        </is>
      </c>
      <c r="I13451" t="inlineStr">
        <is>
          <t>17/03/2026</t>
        </is>
      </c>
      <c r="J13451" t="inlineStr">
        <is>
          <t>Dịch vụ khách hàng, Giáo dục / Đào tạo, Bán hàng / Kinh doanh</t>
        </is>
      </c>
      <c r="K13451" t="inlineStr">
        <is>
          <t>Lên đến 1 Năm</t>
        </is>
      </c>
      <c r="L13451" s="8">
        <f>HYPERLINK("https://careerviet.vn/vi/tim-viec-lam/chuyen-vien-tu-van-giao-duc-ocean-edu-phu-ly-ew-chi-nhanh-moi.35C6AF26.html","Xem chi tiết")</f>
        <v/>
      </c>
    </row>
    <row r="13452">
      <c r="B13452" s="9" t="n">
        <v>13450</v>
      </c>
      <c r="C13452" s="10" t="inlineStr">
        <is>
          <t>Quản lý dự án kiêm sales tại Hà Nội</t>
        </is>
      </c>
      <c r="D13452" s="10" t="inlineStr">
        <is>
          <t>Công ty TNHH Frontier Consulting Việt Nam</t>
        </is>
      </c>
      <c r="E13452" s="10" t="inlineStr">
        <is>
          <t>Lương:700 - 1.500 USD</t>
        </is>
      </c>
      <c r="F13452" s="10" t="inlineStr">
        <is>
          <t>Hà Nội</t>
        </is>
      </c>
      <c r="G13452" s="10" t="inlineStr">
        <is>
          <t>03-04-2026</t>
        </is>
      </c>
      <c r="H13452" s="10" t="inlineStr">
        <is>
          <t>03/04/2026</t>
        </is>
      </c>
      <c r="I13452" s="10" t="inlineStr">
        <is>
          <t>17/03/2026</t>
        </is>
      </c>
      <c r="J13452" s="10" t="inlineStr">
        <is>
          <t>Bán hàng / Kinh doanh, Nội ngoại thất, Xây dựng</t>
        </is>
      </c>
      <c r="K13452" s="10" t="inlineStr">
        <is>
          <t>2 - 5 Năm</t>
        </is>
      </c>
      <c r="L13452" s="11">
        <f>HYPERLINK("https://careerviet.vn/vi/tim-viec-lam/quan-ly-du-an-kiem-sales-tai-ha-noi.35C6B17E.html","Xem chi tiết")</f>
        <v/>
      </c>
      <c r="M13452" s="10" t="n"/>
    </row>
    <row r="13453">
      <c r="B13453" s="7" t="n">
        <v>13451</v>
      </c>
      <c r="C13453" t="inlineStr">
        <is>
          <t>Giám đốc Kinh doanh qua điện thoại/ Head of Telesales</t>
        </is>
      </c>
      <c r="D13453" t="inlineStr">
        <is>
          <t>LOTTE FINANCE VIETNAM</t>
        </is>
      </c>
      <c r="E13453" t="inlineStr">
        <is>
          <t>Lương:Cạnh tranh</t>
        </is>
      </c>
      <c r="F13453" t="inlineStr">
        <is>
          <t>Hồ Chí MinhHà Nội</t>
        </is>
      </c>
      <c r="G13453" t="inlineStr">
        <is>
          <t>04-04-2026</t>
        </is>
      </c>
      <c r="H13453" t="inlineStr">
        <is>
          <t>04/04/2026</t>
        </is>
      </c>
      <c r="I13453" t="inlineStr">
        <is>
          <t>17/03/2026</t>
        </is>
      </c>
      <c r="J13453" t="inlineStr">
        <is>
          <t>Ngân hàng, Nhân sự, Tài chính / Đầu tư</t>
        </is>
      </c>
      <c r="K13453" t="inlineStr">
        <is>
          <t>7 - 15 Năm</t>
        </is>
      </c>
      <c r="L13453" s="8">
        <f>HYPERLINK("https://careerviet.vn/vi/tim-viec-lam/giam-doc-kinh-doanh-qua-dien-thoai-head-of-telesales.35C6B0FA.html","Xem chi tiết")</f>
        <v/>
      </c>
    </row>
    <row r="13454">
      <c r="B13454" s="9" t="n">
        <v>13452</v>
      </c>
      <c r="C13454" s="10" t="inlineStr">
        <is>
          <t>Nhân Viên Kỹ Thuật Điện Tử + Điện nhẹ (ME) – TP. HCM</t>
        </is>
      </c>
      <c r="D13454" s="10" t="inlineStr">
        <is>
          <t>CÔNG TY CỔ PHẦN THIẾT BỊ VÀ ĐẦU TƯ BÁCH KHOA</t>
        </is>
      </c>
      <c r="E13454" s="10" t="inlineStr">
        <is>
          <t>Lương:9 Tr - 11 Tr VND</t>
        </is>
      </c>
      <c r="F13454" s="10" t="inlineStr">
        <is>
          <t>Hồ Chí Minh</t>
        </is>
      </c>
      <c r="G13454" s="10" t="inlineStr">
        <is>
          <t>31-03-2026</t>
        </is>
      </c>
      <c r="H13454" s="10" t="inlineStr">
        <is>
          <t>31/03/2026</t>
        </is>
      </c>
      <c r="I13454" s="10" t="inlineStr">
        <is>
          <t>17/03/2026</t>
        </is>
      </c>
      <c r="J13454" s="10" t="inlineStr">
        <is>
          <t>Điện / Điện tử / Điện lạnh / Điện công nghiệp, Bảo trì / Sửa chữa, CNTT - Phần cứng / Mạng</t>
        </is>
      </c>
      <c r="K13454" s="10" t="inlineStr">
        <is>
          <t>Trên 1 Năm</t>
        </is>
      </c>
      <c r="L13454" s="11">
        <f>HYPERLINK("https://careerviet.vn/vi/tim-viec-lam/nhan-vien-ky-thuat-dien-tu-dien-nhe-me-tp-hcm.35C6ACB6.html","Xem chi tiết")</f>
        <v/>
      </c>
      <c r="M13454" s="10" t="n"/>
    </row>
    <row r="13455">
      <c r="B13455" s="7" t="n">
        <v>13453</v>
      </c>
      <c r="C13455" t="inlineStr">
        <is>
          <t>NHÂN VIÊN BẢO DƯỠNG KHUÔN</t>
        </is>
      </c>
      <c r="D13455" t="inlineStr">
        <is>
          <t>Tập đoàn Nhựa Bình Thuận</t>
        </is>
      </c>
      <c r="E13455" t="inlineStr">
        <is>
          <t>Lương:Cạnh tranh</t>
        </is>
      </c>
      <c r="F13455" t="inlineStr">
        <is>
          <t>Long An</t>
        </is>
      </c>
      <c r="G13455" t="inlineStr">
        <is>
          <t>05-04-2026</t>
        </is>
      </c>
      <c r="H13455" t="inlineStr">
        <is>
          <t>05/04/2026</t>
        </is>
      </c>
      <c r="I13455" t="inlineStr">
        <is>
          <t>17/03/2026</t>
        </is>
      </c>
      <c r="J13455" t="inlineStr">
        <is>
          <t>Cơ khí / Ô tô / Tự động hóa, Bảo trì / Sửa chữa, Sản xuất / Vận hành sản xuất</t>
        </is>
      </c>
      <c r="K13455" t="inlineStr">
        <is>
          <t>1 - 3 Năm</t>
        </is>
      </c>
      <c r="L13455" s="8">
        <f>HYPERLINK("https://careerviet.vn/vi/tim-viec-lam/nhan-vien-bao-duong-khuon.35C6B183.html","Xem chi tiết")</f>
        <v/>
      </c>
    </row>
    <row r="13456">
      <c r="B13456" s="9" t="n">
        <v>13454</v>
      </c>
      <c r="C13456" s="10" t="inlineStr">
        <is>
          <t>Chuyên viên vận hành</t>
        </is>
      </c>
      <c r="D13456" s="10" t="inlineStr">
        <is>
          <t>Công ty Cổ phần Masscom Việt Nam</t>
        </is>
      </c>
      <c r="E13456" s="10" t="inlineStr">
        <is>
          <t>Lương:12 Tr - 15 Tr VND</t>
        </is>
      </c>
      <c r="F13456" s="10" t="inlineStr">
        <is>
          <t>Hà Nội</t>
        </is>
      </c>
      <c r="G13456" s="10" t="inlineStr">
        <is>
          <t>30-04-2026</t>
        </is>
      </c>
      <c r="H13456" s="10" t="inlineStr">
        <is>
          <t>30/04/2026</t>
        </is>
      </c>
      <c r="I13456" s="10" t="inlineStr">
        <is>
          <t>17/03/2026</t>
        </is>
      </c>
      <c r="J13456" s="10" t="inlineStr">
        <is>
          <t>Bán hàng / Kinh doanh, Vận chuyển / Giao nhận / Kho vận, Kế toán / Kiểm toán</t>
        </is>
      </c>
      <c r="K13456" s="10" t="inlineStr">
        <is>
          <t>2 - 3 Năm</t>
        </is>
      </c>
      <c r="L13456" s="11">
        <f>HYPERLINK("https://careerviet.vn/vi/tim-viec-lam/chuyen-vien-van-hanh.35C6B17F.html","Xem chi tiết")</f>
        <v/>
      </c>
      <c r="M13456" s="10" t="n"/>
    </row>
    <row r="13457">
      <c r="B13457" s="7" t="n">
        <v>13455</v>
      </c>
      <c r="C13457" t="inlineStr">
        <is>
          <t>Collection Admin (6 Months)</t>
        </is>
      </c>
      <c r="D13457" t="inlineStr">
        <is>
          <t>CÔNG TY CỔ PHẦN KREDIVO VIỆT NAM</t>
        </is>
      </c>
      <c r="E13457" t="inlineStr">
        <is>
          <t>Lương:15 Tr - 25 Tr VND</t>
        </is>
      </c>
      <c r="F13457" t="inlineStr">
        <is>
          <t>Hồ Chí Minh</t>
        </is>
      </c>
      <c r="G13457" t="inlineStr">
        <is>
          <t>31-03-2026</t>
        </is>
      </c>
      <c r="H13457" t="inlineStr">
        <is>
          <t>31/03/2026</t>
        </is>
      </c>
      <c r="I13457" t="inlineStr">
        <is>
          <t>17/03/2026</t>
        </is>
      </c>
      <c r="J13457" t="inlineStr">
        <is>
          <t>Tài chính / Đầu tư, Hành chính / Thư ký, Ngân hàng</t>
        </is>
      </c>
      <c r="K13457" t="inlineStr">
        <is>
          <t>1 - 3 Năm</t>
        </is>
      </c>
      <c r="L13457" s="8">
        <f>HYPERLINK("https://careerviet.vn/vi/tim-viec-lam/collection-admin-6-months.35C6B191.html","Xem chi tiết")</f>
        <v/>
      </c>
    </row>
    <row r="13458">
      <c r="B13458" s="9" t="n">
        <v>13456</v>
      </c>
      <c r="C13458" s="10" t="inlineStr">
        <is>
          <t>Quản lý dự án kiêm sales tại TP. Hồ Chí Minh</t>
        </is>
      </c>
      <c r="D13458" s="10" t="inlineStr">
        <is>
          <t>Công ty TNHH Frontier Consulting Việt Nam</t>
        </is>
      </c>
      <c r="E13458" s="10" t="inlineStr">
        <is>
          <t>Lương:700 - 1.000 USD</t>
        </is>
      </c>
      <c r="F13458" s="10" t="inlineStr">
        <is>
          <t>Hồ Chí Minh</t>
        </is>
      </c>
      <c r="G13458" s="10" t="inlineStr">
        <is>
          <t>04-04-2026</t>
        </is>
      </c>
      <c r="H13458" s="10" t="inlineStr">
        <is>
          <t>04/04/2026</t>
        </is>
      </c>
      <c r="I13458" s="10" t="inlineStr">
        <is>
          <t>17/03/2026</t>
        </is>
      </c>
      <c r="J13458" s="10" t="inlineStr">
        <is>
          <t>Bán hàng / Kinh doanh, Nội ngoại thất, Xây dựng</t>
        </is>
      </c>
      <c r="K13458" s="10" t="inlineStr">
        <is>
          <t>2 - 5 Năm</t>
        </is>
      </c>
      <c r="L13458" s="11">
        <f>HYPERLINK("https://careerviet.vn/vi/tim-viec-lam/quan-ly-du-an-kiem-sales-tai-tp-ho-chi-minh.35C6B18B.html","Xem chi tiết")</f>
        <v/>
      </c>
      <c r="M13458" s="10" t="n"/>
    </row>
    <row r="13459">
      <c r="B13459" s="7" t="n">
        <v>13457</v>
      </c>
      <c r="C13459" t="inlineStr">
        <is>
          <t>Digital Marketing Performance</t>
        </is>
      </c>
      <c r="D13459" t="inlineStr">
        <is>
          <t>Công ty TNHH Sản xuất Thương mại &amp; Dịch vụ Hoa Xinh</t>
        </is>
      </c>
      <c r="E13459" t="inlineStr">
        <is>
          <t>Lương:14 Tr - 20 Tr VND</t>
        </is>
      </c>
      <c r="F13459" t="inlineStr">
        <is>
          <t>Hồ Chí Minh</t>
        </is>
      </c>
      <c r="G13459" t="inlineStr">
        <is>
          <t>31-03-2026</t>
        </is>
      </c>
      <c r="H13459" t="inlineStr">
        <is>
          <t>31/03/2026</t>
        </is>
      </c>
      <c r="I13459" t="inlineStr">
        <is>
          <t>17/03/2026</t>
        </is>
      </c>
      <c r="J13459" t="inlineStr">
        <is>
          <t>Tiếp thị / Marketing</t>
        </is>
      </c>
      <c r="K13459" t="inlineStr">
        <is>
          <t>2 - 4 Năm</t>
        </is>
      </c>
      <c r="L13459" s="8">
        <f>HYPERLINK("https://careerviet.vn/vi/tim-viec-lam/digital-marketing-performance.35C6B180.html","Xem chi tiết")</f>
        <v/>
      </c>
    </row>
    <row r="13460">
      <c r="B13460" s="9" t="n">
        <v>13458</v>
      </c>
      <c r="C13460" s="10" t="inlineStr">
        <is>
          <t>Nhân viên Sửa chữa Máy</t>
        </is>
      </c>
      <c r="D13460" s="10" t="inlineStr">
        <is>
          <t>Công ty TNHH TOM Group Việt Nam</t>
        </is>
      </c>
      <c r="E13460" s="10" t="inlineStr">
        <is>
          <t>Lương:10 Tr - 13 Tr VND</t>
        </is>
      </c>
      <c r="F13460" s="10" t="inlineStr">
        <is>
          <t>Hồ Chí Minh</t>
        </is>
      </c>
      <c r="G13460" s="10" t="inlineStr">
        <is>
          <t>06-05-2026</t>
        </is>
      </c>
      <c r="H13460" s="10" t="inlineStr">
        <is>
          <t>06/05/2026</t>
        </is>
      </c>
      <c r="I13460" s="10" t="inlineStr">
        <is>
          <t>17/03/2026</t>
        </is>
      </c>
      <c r="J13460" s="10" t="inlineStr">
        <is>
          <t>Điện / Điện tử / Điện lạnh / Điện công nghiệp</t>
        </is>
      </c>
      <c r="K13460" s="10" t="inlineStr">
        <is>
          <t>1 - 2 Năm</t>
        </is>
      </c>
      <c r="L13460" s="11">
        <f>HYPERLINK("https://careerviet.vn/vi/tim-viec-lam/nhan-vien-sua-chua-may.35C6B172.html","Xem chi tiết")</f>
        <v/>
      </c>
      <c r="M13460" s="10" t="n"/>
    </row>
    <row r="13461">
      <c r="B13461" s="7" t="n">
        <v>13459</v>
      </c>
      <c r="C13461" t="inlineStr">
        <is>
          <t>Khối Kiểm toán nội bộ - Phòng Kiểm toán Hội sở và hệ thống - Kiểm toán viên</t>
        </is>
      </c>
      <c r="D13461" t="inlineStr">
        <is>
          <t>Ngân hàng TMCP Lộc Phát Việt Nam (LPBank)</t>
        </is>
      </c>
      <c r="E13461" t="inlineStr">
        <is>
          <t>Lương:Cạnh tranh</t>
        </is>
      </c>
      <c r="F13461" t="inlineStr">
        <is>
          <t>Hà Nội</t>
        </is>
      </c>
      <c r="G13461" t="inlineStr">
        <is>
          <t>04-04-2026</t>
        </is>
      </c>
      <c r="H13461" t="inlineStr">
        <is>
          <t>04/04/2026</t>
        </is>
      </c>
      <c r="I13461" t="inlineStr">
        <is>
          <t>17/03/2026</t>
        </is>
      </c>
      <c r="J13461" t="inlineStr">
        <is>
          <t>Kế toán / Kiểm toán, Ngân hàng</t>
        </is>
      </c>
      <c r="K13461" t="inlineStr">
        <is>
          <t>Trên 2 Năm</t>
        </is>
      </c>
      <c r="L13461" s="8">
        <f>HYPERLINK("https://careerviet.vn/vi/tim-viec-lam/khoi-kiem-toan-noi-bo-phong-kiem-toan-hoi-so-va-he-thong-kiem-toan-vien.35C6B17B.html","Xem chi tiết")</f>
        <v/>
      </c>
    </row>
    <row r="13462">
      <c r="B13462" s="9" t="n">
        <v>13460</v>
      </c>
      <c r="C13462" s="10" t="inlineStr">
        <is>
          <t>Phó Giám đốc Chi nhánh phụ trách mảng KHCN - Quảng Ngãi, Phú Yên, Ninh Thuận</t>
        </is>
      </c>
      <c r="D13462" s="10" t="inlineStr">
        <is>
          <t>Ngân hàng TMCP Phát triển TP.HCM (HDBank)</t>
        </is>
      </c>
      <c r="E13462" s="10" t="inlineStr">
        <is>
          <t>Lương:40 Tr - 60 Tr VND</t>
        </is>
      </c>
      <c r="F13462" s="10" t="inlineStr">
        <is>
          <t>Quảng NgãiNinh ThuậnPhú Yên</t>
        </is>
      </c>
      <c r="G13462" s="10" t="inlineStr">
        <is>
          <t>04-04-2026</t>
        </is>
      </c>
      <c r="H13462" s="10" t="inlineStr">
        <is>
          <t>04/04/2026</t>
        </is>
      </c>
      <c r="I13462" s="10" t="inlineStr">
        <is>
          <t>17/03/2026</t>
        </is>
      </c>
      <c r="J13462" s="10" t="inlineStr">
        <is>
          <t>Ngân hàng</t>
        </is>
      </c>
      <c r="K13462" s="10" t="inlineStr">
        <is>
          <t>3 - 5 Năm</t>
        </is>
      </c>
      <c r="L13462" s="11">
        <f>HYPERLINK("https://careerviet.vn/vi/tim-viec-lam/pho-giam-doc-chi-nhanh-phu-trach-mang-khcn-quang-ngai-phu-yen-ninh-thuan.35C6AF33.html","Xem chi tiết")</f>
        <v/>
      </c>
      <c r="M13462" s="10" t="n"/>
    </row>
    <row r="13463">
      <c r="B13463" s="7" t="n">
        <v>13461</v>
      </c>
      <c r="C13463" t="inlineStr">
        <is>
          <t>Penetration Testing Engineer (mobile)</t>
        </is>
      </c>
      <c r="D13463" t="inlineStr">
        <is>
          <t>Công ty TNHH Viettel - CHT</t>
        </is>
      </c>
      <c r="E13463" t="inlineStr">
        <is>
          <t>Lương:Cạnh tranh</t>
        </is>
      </c>
      <c r="F13463" t="inlineStr">
        <is>
          <t>Hà Nội</t>
        </is>
      </c>
      <c r="G13463" t="inlineStr">
        <is>
          <t>04-04-2026</t>
        </is>
      </c>
      <c r="H13463" t="inlineStr">
        <is>
          <t>04/04/2026</t>
        </is>
      </c>
      <c r="I13463" t="inlineStr">
        <is>
          <t>17/03/2026</t>
        </is>
      </c>
      <c r="J13463" t="inlineStr">
        <is>
          <t>CNTT - Phần mềm, CNTT - Phần cứng / Mạng</t>
        </is>
      </c>
      <c r="K13463" t="inlineStr">
        <is>
          <t>Trên 2 Năm</t>
        </is>
      </c>
      <c r="L13463" s="8">
        <f>HYPERLINK("https://careerviet.vn/vi/tim-viec-lam/penetration-testing-engineer-mobile.35C6B169.html","Xem chi tiết")</f>
        <v/>
      </c>
    </row>
    <row r="13464">
      <c r="B13464" s="9" t="n">
        <v>13462</v>
      </c>
      <c r="C13464" s="10" t="inlineStr">
        <is>
          <t>CFA (may mặc)</t>
        </is>
      </c>
      <c r="D13464" s="10" t="inlineStr">
        <is>
          <t>Công Ty TNHH Bodynits Tiền Giang</t>
        </is>
      </c>
      <c r="E13464" s="10" t="inlineStr">
        <is>
          <t>Lương:7 Tr - 11 Tr VND</t>
        </is>
      </c>
      <c r="F13464" s="10" t="inlineStr">
        <is>
          <t>Tiền Giang</t>
        </is>
      </c>
      <c r="G13464" s="10" t="inlineStr">
        <is>
          <t>05-04-2026</t>
        </is>
      </c>
      <c r="H13464" s="10" t="inlineStr">
        <is>
          <t>05/04/2026</t>
        </is>
      </c>
      <c r="I13464" s="10" t="inlineStr">
        <is>
          <t>17/03/2026</t>
        </is>
      </c>
      <c r="J13464" s="10" t="inlineStr">
        <is>
          <t>Dệt may / Da giày / Thời trang, Quản lý chất lượng (QA/QC)</t>
        </is>
      </c>
      <c r="K13464" s="10" t="inlineStr">
        <is>
          <t>1 - 5 Năm</t>
        </is>
      </c>
      <c r="L13464" s="11">
        <f>HYPERLINK("https://careerviet.vn/vi/tim-viec-lam/cfa-may-mac.35C6B0C7.html","Xem chi tiết")</f>
        <v/>
      </c>
      <c r="M13464" s="10" t="n"/>
    </row>
    <row r="13465">
      <c r="B13465" s="7" t="n">
        <v>13463</v>
      </c>
      <c r="C13465" t="inlineStr">
        <is>
          <t>Nhân Viên Giám Sát Xây Dựng Cơ Bản</t>
        </is>
      </c>
      <c r="D13465" t="inlineStr">
        <is>
          <t>Dalat Hasfarm</t>
        </is>
      </c>
      <c r="E13465" t="inlineStr">
        <is>
          <t>Lương:Cạnh tranh</t>
        </is>
      </c>
      <c r="F13465" t="inlineStr">
        <is>
          <t>Lâm Đồng</t>
        </is>
      </c>
      <c r="G13465" t="inlineStr">
        <is>
          <t>31-03-2026</t>
        </is>
      </c>
      <c r="H13465" t="inlineStr">
        <is>
          <t>31/03/2026</t>
        </is>
      </c>
      <c r="I13465" t="inlineStr">
        <is>
          <t>17/03/2026</t>
        </is>
      </c>
      <c r="J13465" t="inlineStr">
        <is>
          <t>Xây dựng, Kiến trúc</t>
        </is>
      </c>
      <c r="K13465" t="inlineStr">
        <is>
          <t>Trên 3 Năm</t>
        </is>
      </c>
      <c r="L13465" s="8">
        <f>HYPERLINK("https://careerviet.vn/vi/tim-viec-lam/nhan-vien-giam-sat-xay-dung-co-ban.35C6B190.html","Xem chi tiết")</f>
        <v/>
      </c>
    </row>
    <row r="13466">
      <c r="B13466" s="9" t="n">
        <v>13464</v>
      </c>
      <c r="C13466" s="10" t="inlineStr">
        <is>
          <t>Trưởng Nhóm Tuyển Sinh (Ocean Edu Việt Yên)</t>
        </is>
      </c>
      <c r="D13466" s="10" t="inlineStr">
        <is>
          <t>Công Ty CP Giáo Dục Đại Dương</t>
        </is>
      </c>
      <c r="E13466" s="10" t="inlineStr">
        <is>
          <t>Lương:Cạnh tranh</t>
        </is>
      </c>
      <c r="F13466" s="10" t="inlineStr">
        <is>
          <t>Bắc Giang</t>
        </is>
      </c>
      <c r="G13466" s="10" t="inlineStr">
        <is>
          <t>04-04-2026</t>
        </is>
      </c>
      <c r="H13466" s="10" t="inlineStr">
        <is>
          <t>04/04/2026</t>
        </is>
      </c>
      <c r="I13466" s="10" t="inlineStr">
        <is>
          <t>17/03/2026</t>
        </is>
      </c>
      <c r="J13466" s="10" t="inlineStr">
        <is>
          <t>Tư vấn, Dịch vụ khách hàng, Giáo dục / Đào tạo</t>
        </is>
      </c>
      <c r="K13466" s="10" t="inlineStr">
        <is>
          <t>1 - 2 Năm</t>
        </is>
      </c>
      <c r="L13466" s="11">
        <f>HYPERLINK("https://careerviet.vn/vi/tim-viec-lam/truong-nhom-tuyen-sinh-ocean-edu-viet-yen.35C6B12E.html","Xem chi tiết")</f>
        <v/>
      </c>
      <c r="M13466" s="10" t="n"/>
    </row>
    <row r="13467">
      <c r="B13467" s="7" t="n">
        <v>13465</v>
      </c>
      <c r="C13467" t="inlineStr">
        <is>
          <t>Trưởng Nhóm Tuyển Sinh (Ocean Edu Gang Thép)</t>
        </is>
      </c>
      <c r="D13467" t="inlineStr">
        <is>
          <t>Công Ty CP Giáo Dục Đại Dương</t>
        </is>
      </c>
      <c r="E13467" t="inlineStr">
        <is>
          <t>Lương:Cạnh tranh</t>
        </is>
      </c>
      <c r="F13467" t="inlineStr">
        <is>
          <t>Thái Nguyên</t>
        </is>
      </c>
      <c r="G13467" t="inlineStr">
        <is>
          <t>04-04-2026</t>
        </is>
      </c>
      <c r="H13467" t="inlineStr">
        <is>
          <t>04/04/2026</t>
        </is>
      </c>
      <c r="I13467" t="inlineStr">
        <is>
          <t>17/03/2026</t>
        </is>
      </c>
      <c r="J13467" t="inlineStr">
        <is>
          <t>Tư vấn, Dịch vụ khách hàng, Giáo dục / Đào tạo</t>
        </is>
      </c>
      <c r="K13467" t="inlineStr">
        <is>
          <t>1 - 2 Năm</t>
        </is>
      </c>
      <c r="L13467" s="8">
        <f>HYPERLINK("https://careerviet.vn/vi/tim-viec-lam/truong-nhom-tuyen-sinh-ocean-edu-gang-thep.35C6AFAF.html","Xem chi tiết")</f>
        <v/>
      </c>
    </row>
    <row r="13468">
      <c r="B13468" s="9" t="n">
        <v>13466</v>
      </c>
      <c r="C13468" s="10" t="inlineStr">
        <is>
          <t>Phụ trách Nhân Sự</t>
        </is>
      </c>
      <c r="D13468" s="10" t="inlineStr">
        <is>
          <t>Công Ty CP XNK Hóa Chất &amp; Thiết Bị Kim Ngưu</t>
        </is>
      </c>
      <c r="E13468" s="10" t="inlineStr">
        <is>
          <t>Lương:Cạnh tranh</t>
        </is>
      </c>
      <c r="F13468" s="10" t="inlineStr">
        <is>
          <t>Hưng Yên</t>
        </is>
      </c>
      <c r="G13468" s="10" t="inlineStr">
        <is>
          <t>04-04-2026</t>
        </is>
      </c>
      <c r="H13468" s="10" t="inlineStr">
        <is>
          <t>04/04/2026</t>
        </is>
      </c>
      <c r="I13468" s="10" t="inlineStr">
        <is>
          <t>17/03/2026</t>
        </is>
      </c>
      <c r="J13468" s="10" t="inlineStr">
        <is>
          <t>Hành chính / Thư ký, Nhân sự</t>
        </is>
      </c>
      <c r="K13468" s="10" t="inlineStr">
        <is>
          <t>3 - 5 Năm</t>
        </is>
      </c>
      <c r="L13468" s="11">
        <f>HYPERLINK("https://careerviet.vn/vi/tim-viec-lam/phu-trach-nhan-su.35C6AF48.html","Xem chi tiết")</f>
        <v/>
      </c>
      <c r="M13468" s="10" t="n"/>
    </row>
    <row r="13469">
      <c r="B13469" s="7" t="n">
        <v>13467</v>
      </c>
      <c r="C13469" t="inlineStr">
        <is>
          <t>Trợ Lý Biên Phiên Dịch (Mảng Thiết Bị Y Tế - Song Ngữ Trung Việt)</t>
        </is>
      </c>
      <c r="D13469" t="inlineStr">
        <is>
          <t>CÔNG TY TNHH ĐỈNH VIỆT HEALTHCARE &amp; LIFESTYLE</t>
        </is>
      </c>
      <c r="E13469" t="inlineStr">
        <is>
          <t>Lương:Trên 12 Tr VND</t>
        </is>
      </c>
      <c r="F13469" t="inlineStr">
        <is>
          <t>Hồ Chí Minh</t>
        </is>
      </c>
      <c r="G13469" t="inlineStr">
        <is>
          <t>04-04-2026</t>
        </is>
      </c>
      <c r="H13469" t="inlineStr">
        <is>
          <t>04/04/2026</t>
        </is>
      </c>
      <c r="I13469" t="inlineStr">
        <is>
          <t>17/03/2026</t>
        </is>
      </c>
      <c r="J13469" t="inlineStr">
        <is>
          <t>Y tế / Chăm sóc sức khỏe / Thẩm mỹ / Làm đẹp, Biên phiên dịch, Tiếp thị / Marketing</t>
        </is>
      </c>
      <c r="K13469" t="inlineStr">
        <is>
          <t>N/A</t>
        </is>
      </c>
      <c r="L13469" s="8">
        <f>HYPERLINK("https://careerviet.vn/vi/tim-viec-lam/tro-ly-bien-phien-dich-mang-thiet-bi-y-te-song-ngu-trung-viet.35C6AE38.html","Xem chi tiết")</f>
        <v/>
      </c>
    </row>
    <row r="13470">
      <c r="B13470" s="9" t="n">
        <v>13468</v>
      </c>
      <c r="C13470" s="10" t="inlineStr">
        <is>
          <t>Chuyên Viên Cao Cấp Kế Hoạch Và Quản lý Hiệu Quả Kinh Doanh</t>
        </is>
      </c>
      <c r="D13470" s="10" t="inlineStr">
        <is>
          <t>CÔNG TY CỔ PHẦN KINH DOANH F88</t>
        </is>
      </c>
      <c r="E13470" s="10" t="inlineStr">
        <is>
          <t>Lương:Cạnh tranh</t>
        </is>
      </c>
      <c r="F13470" s="10" t="inlineStr">
        <is>
          <t>Hà Nội</t>
        </is>
      </c>
      <c r="G13470" s="10" t="inlineStr">
        <is>
          <t>30-04-2026</t>
        </is>
      </c>
      <c r="H13470" s="10" t="inlineStr">
        <is>
          <t>30/04/2026</t>
        </is>
      </c>
      <c r="I13470" s="10" t="inlineStr">
        <is>
          <t>17/03/2026</t>
        </is>
      </c>
      <c r="J13470" s="10" t="inlineStr">
        <is>
          <t>Bán hàng / Kinh doanh, Ngân hàng, Tài chính / Đầu tư</t>
        </is>
      </c>
      <c r="K13470" s="10" t="inlineStr">
        <is>
          <t>3 - 4 Năm</t>
        </is>
      </c>
      <c r="L13470" s="11">
        <f>HYPERLINK("https://careerviet.vn/vi/tim-viec-lam/chuyen-vien-cao-cap-ke-hoach-va-quan-ly-hieu-qua-kinh-doanh.35C6B108.html","Xem chi tiết")</f>
        <v/>
      </c>
      <c r="M13470" s="10" t="n"/>
    </row>
    <row r="13471">
      <c r="B13471" s="7" t="n">
        <v>13469</v>
      </c>
      <c r="C13471" t="inlineStr">
        <is>
          <t>NHÂN VIÊN THU NGÂN NHÀ HÀNG BÒ TƠ NHÂN PHÁT (CHI NHÁNH SONG HÀNH/NGUYỄN THỊ THẬP)</t>
        </is>
      </c>
      <c r="D13471" t="inlineStr">
        <is>
          <t>CÔNG TY TNHH TẬP ĐOÀN PHÁT TRIỂN ẨM THỰC VIỆT NAM (VNCD GROUP)</t>
        </is>
      </c>
      <c r="E13471" t="inlineStr">
        <is>
          <t>Lương:6 Tr - 8 Tr VND</t>
        </is>
      </c>
      <c r="F13471" t="inlineStr">
        <is>
          <t>Hồ Chí Minh</t>
        </is>
      </c>
      <c r="G13471" t="inlineStr">
        <is>
          <t>31-03-2026</t>
        </is>
      </c>
      <c r="H13471" t="inlineStr">
        <is>
          <t>31/03/2026</t>
        </is>
      </c>
      <c r="I13471" t="inlineStr">
        <is>
          <t>17/03/2026</t>
        </is>
      </c>
      <c r="J13471" t="inlineStr">
        <is>
          <t>Kế toán / Kiểm toán, Nhà hàng / Khách sạn, Dịch vụ khách hàng</t>
        </is>
      </c>
      <c r="K13471" t="inlineStr">
        <is>
          <t>Chưa có kinh nghiệm</t>
        </is>
      </c>
      <c r="L13471" s="8">
        <f>HYPERLINK("https://careerviet.vn/vi/tim-viec-lam/nhan-vien-thu-ngan-nha-hang-bo-to-nhan-phat-chi-nhanh-song-hanh-nguyen-thi-thap.35C6B0D0.html","Xem chi tiết")</f>
        <v/>
      </c>
    </row>
    <row r="13472">
      <c r="B13472" s="9" t="n">
        <v>13470</v>
      </c>
      <c r="C13472" s="10" t="inlineStr">
        <is>
          <t>Trợ Lý Dự Án (GẤP)</t>
        </is>
      </c>
      <c r="D13472" s="10" t="inlineStr">
        <is>
          <t>CÔNG TY CỔ PHẦN TƯ VẤN CHUYỂN GIAO CÔNG NGHỆ ITC</t>
        </is>
      </c>
      <c r="E13472" s="10" t="inlineStr">
        <is>
          <t>Lương:9 Tr - 11 Tr VND</t>
        </is>
      </c>
      <c r="F13472" s="10" t="inlineStr">
        <is>
          <t>Hà Nội</t>
        </is>
      </c>
      <c r="G13472" s="10" t="inlineStr">
        <is>
          <t>04-04-2026</t>
        </is>
      </c>
      <c r="H13472" s="10" t="inlineStr">
        <is>
          <t>04/04/2026</t>
        </is>
      </c>
      <c r="I13472" s="10" t="inlineStr">
        <is>
          <t>17/03/2026</t>
        </is>
      </c>
      <c r="J13472" s="10" t="inlineStr">
        <is>
          <t>CNTT - Phần mềm, Hành chính / Thư ký</t>
        </is>
      </c>
      <c r="K13472" s="10" t="inlineStr">
        <is>
          <t>N/A</t>
        </is>
      </c>
      <c r="L13472" s="11">
        <f>HYPERLINK("https://careerviet.vn/vi/tim-viec-lam/tro-ly-du-an-gap.35C6B0E3.html","Xem chi tiết")</f>
        <v/>
      </c>
      <c r="M13472" s="10" t="n"/>
    </row>
    <row r="13473">
      <c r="B13473" s="7" t="n">
        <v>13471</v>
      </c>
      <c r="C13473" t="inlineStr">
        <is>
          <t>Trưởng Nhóm Tuyển Sinh (Ocean Edu Yên Định)</t>
        </is>
      </c>
      <c r="D13473" t="inlineStr">
        <is>
          <t>Công Ty CP Giáo Dục Đại Dương</t>
        </is>
      </c>
      <c r="E13473" t="inlineStr">
        <is>
          <t>Lương:Cạnh tranh</t>
        </is>
      </c>
      <c r="F13473" t="inlineStr">
        <is>
          <t>Thanh Hóa</t>
        </is>
      </c>
      <c r="G13473" t="inlineStr">
        <is>
          <t>04-04-2026</t>
        </is>
      </c>
      <c r="H13473" t="inlineStr">
        <is>
          <t>04/04/2026</t>
        </is>
      </c>
      <c r="I13473" t="inlineStr">
        <is>
          <t>17/03/2026</t>
        </is>
      </c>
      <c r="J13473" t="inlineStr">
        <is>
          <t>Tư vấn, Dịch vụ khách hàng, Giáo dục / Đào tạo</t>
        </is>
      </c>
      <c r="K13473" t="inlineStr">
        <is>
          <t>1 - 2 Năm</t>
        </is>
      </c>
      <c r="L13473" s="8">
        <f>HYPERLINK("https://careerviet.vn/vi/tim-viec-lam/truong-nhom-tuyen-sinh-ocean-edu-yen-dinh.35C6B13D.html","Xem chi tiết")</f>
        <v/>
      </c>
    </row>
    <row r="13474">
      <c r="B13474" s="9" t="n">
        <v>13472</v>
      </c>
      <c r="C13474" s="10" t="inlineStr">
        <is>
          <t>Quản lý kho</t>
        </is>
      </c>
      <c r="D13474" s="10" t="inlineStr">
        <is>
          <t>Công ty TNHH GIVI VIỆT NAM</t>
        </is>
      </c>
      <c r="E13474" s="10" t="inlineStr">
        <is>
          <t>Lương:12 Tr - 16 Tr VND</t>
        </is>
      </c>
      <c r="F13474" s="10" t="inlineStr">
        <is>
          <t>Long An</t>
        </is>
      </c>
      <c r="G13474" s="10" t="inlineStr">
        <is>
          <t>11-03-2026</t>
        </is>
      </c>
      <c r="H13474" s="10" t="inlineStr">
        <is>
          <t>05/03/2026</t>
        </is>
      </c>
      <c r="I13474" s="10" t="inlineStr">
        <is>
          <t>17/03/2026</t>
        </is>
      </c>
      <c r="J13474" s="10" t="inlineStr">
        <is>
          <t>Sản xuất / Vận hành sản xuất, Dệt may / Da giày / Thời trang</t>
        </is>
      </c>
      <c r="K13474" s="10" t="inlineStr">
        <is>
          <t>Chưa có kinh nghiệm</t>
        </is>
      </c>
      <c r="L13474" s="11">
        <f>HYPERLINK("https://careerviet.vn/vi/tim-viec-lam/quan-ly-kho.35C6B162.html","Xem chi tiết")</f>
        <v/>
      </c>
      <c r="M13474" s="10" t="n"/>
    </row>
    <row r="13475">
      <c r="B13475" s="7" t="n">
        <v>13473</v>
      </c>
      <c r="C13475" t="inlineStr">
        <is>
          <t>NHÂN VIÊN LIVESTREAM</t>
        </is>
      </c>
      <c r="D13475" t="inlineStr">
        <is>
          <t>CÔNG TY TNHH SẢN XUẤT TẬP ĐOÀN ĐẠI VIỆT</t>
        </is>
      </c>
      <c r="E13475" t="inlineStr">
        <is>
          <t>Lương:15 Tr - 20 Tr VND</t>
        </is>
      </c>
      <c r="F13475" t="inlineStr">
        <is>
          <t>Hồ Chí Minh</t>
        </is>
      </c>
      <c r="G13475" t="inlineStr">
        <is>
          <t>05-04-2026</t>
        </is>
      </c>
      <c r="H13475" t="inlineStr">
        <is>
          <t>05/04/2026</t>
        </is>
      </c>
      <c r="I13475" t="inlineStr">
        <is>
          <t>17/03/2026</t>
        </is>
      </c>
      <c r="J13475" t="inlineStr">
        <is>
          <t>Điện / Điện tử / Điện lạnh / Điện công nghiệp, Sản xuất / Vận hành sản xuất, Thương mại điện tử</t>
        </is>
      </c>
      <c r="K13475" t="inlineStr">
        <is>
          <t>2 - 5 Năm</t>
        </is>
      </c>
      <c r="L13475" s="8">
        <f>HYPERLINK("https://careerviet.vn/vi/tim-viec-lam/nhan-vien-livestream.35C6B14F.html","Xem chi tiết")</f>
        <v/>
      </c>
    </row>
    <row r="13476">
      <c r="B13476" s="9" t="n">
        <v>13474</v>
      </c>
      <c r="C13476" s="10" t="inlineStr">
        <is>
          <t>Trưởng phòng Nhân sự chính sách</t>
        </is>
      </c>
      <c r="D13476" s="10" t="inlineStr">
        <is>
          <t>Công ty Cổ phần công nghệ và đầu tư INTECH</t>
        </is>
      </c>
      <c r="E13476" s="10" t="inlineStr">
        <is>
          <t>Lương:30 Tr - 40 Tr VND</t>
        </is>
      </c>
      <c r="F13476" s="10" t="inlineStr">
        <is>
          <t>Hà Nội</t>
        </is>
      </c>
      <c r="G13476" s="10" t="inlineStr">
        <is>
          <t>30-04-2026</t>
        </is>
      </c>
      <c r="H13476" s="10" t="inlineStr">
        <is>
          <t>30/04/2026</t>
        </is>
      </c>
      <c r="I13476" s="10" t="inlineStr">
        <is>
          <t>17/03/2026</t>
        </is>
      </c>
      <c r="J13476" s="10" t="inlineStr">
        <is>
          <t>Nhân sự, Hành chính / Thư ký</t>
        </is>
      </c>
      <c r="K13476" s="10" t="inlineStr">
        <is>
          <t>4 - 5 Năm</t>
        </is>
      </c>
      <c r="L13476" s="11">
        <f>HYPERLINK("https://careerviet.vn/vi/tim-viec-lam/truong-phong-nhan-su-chinh-sach.35C6B062.html","Xem chi tiết")</f>
        <v/>
      </c>
      <c r="M13476" s="10" t="n"/>
    </row>
    <row r="13477">
      <c r="B13477" s="7" t="n">
        <v>13475</v>
      </c>
      <c r="C13477" t="inlineStr">
        <is>
          <t>Chuyên viên C&amp;B (Senior)</t>
        </is>
      </c>
      <c r="D13477" t="inlineStr">
        <is>
          <t>HMK Eyewear</t>
        </is>
      </c>
      <c r="E13477" t="inlineStr">
        <is>
          <t>Lương:15 Tr - 22 Tr VND</t>
        </is>
      </c>
      <c r="F13477" t="inlineStr">
        <is>
          <t>Hồ Chí Minh</t>
        </is>
      </c>
      <c r="G13477" t="inlineStr">
        <is>
          <t>31-03-2026</t>
        </is>
      </c>
      <c r="H13477" t="inlineStr">
        <is>
          <t>31/03/2026</t>
        </is>
      </c>
      <c r="I13477" t="inlineStr">
        <is>
          <t>17/03/2026</t>
        </is>
      </c>
      <c r="J13477" t="inlineStr">
        <is>
          <t>Nhân sự, Bán lẻ / Bán sỉ, Kế toán / Kiểm toán</t>
        </is>
      </c>
      <c r="K13477" t="inlineStr">
        <is>
          <t>2 - 4 Năm</t>
        </is>
      </c>
      <c r="L13477" s="8">
        <f>HYPERLINK("https://careerviet.vn/vi/tim-viec-lam/chuyen-vien-c-b-senior.35C6B14A.html","Xem chi tiết")</f>
        <v/>
      </c>
    </row>
    <row r="13478">
      <c r="B13478" s="9" t="n">
        <v>13476</v>
      </c>
      <c r="C13478" s="10" t="inlineStr">
        <is>
          <t>Nhân Viên Kế Toán Tổng Hợp</t>
        </is>
      </c>
      <c r="D13478" s="10" t="inlineStr">
        <is>
          <t>EuP Group</t>
        </is>
      </c>
      <c r="E13478" s="10" t="inlineStr">
        <is>
          <t>Lương:20 Tr - 25 Tr VND</t>
        </is>
      </c>
      <c r="F13478" s="10" t="inlineStr">
        <is>
          <t>Hải Phòng</t>
        </is>
      </c>
      <c r="G13478" s="10" t="inlineStr">
        <is>
          <t>04-04-2026</t>
        </is>
      </c>
      <c r="H13478" s="10" t="inlineStr">
        <is>
          <t>04/04/2026</t>
        </is>
      </c>
      <c r="I13478" s="10" t="inlineStr">
        <is>
          <t>17/03/2026</t>
        </is>
      </c>
      <c r="J13478" s="10" t="inlineStr">
        <is>
          <t>Kế toán / Kiểm toán, Thống kê</t>
        </is>
      </c>
      <c r="K13478" s="10" t="inlineStr">
        <is>
          <t>Trên 2 Năm</t>
        </is>
      </c>
      <c r="L13478" s="11">
        <f>HYPERLINK("https://careerviet.vn/vi/tim-viec-lam/nhan-vien-ke-toan-tong-hop.35C6B148.html","Xem chi tiết")</f>
        <v/>
      </c>
      <c r="M13478" s="10" t="n"/>
    </row>
    <row r="13479">
      <c r="B13479" s="7" t="n">
        <v>13477</v>
      </c>
      <c r="C13479" t="inlineStr">
        <is>
          <t>Social Media Executive</t>
        </is>
      </c>
      <c r="D13479" t="inlineStr">
        <is>
          <t>HMK Eyewear</t>
        </is>
      </c>
      <c r="E13479" t="inlineStr">
        <is>
          <t>Lương:Cạnh tranh</t>
        </is>
      </c>
      <c r="F13479" t="inlineStr">
        <is>
          <t>Hồ Chí Minh</t>
        </is>
      </c>
      <c r="G13479" t="inlineStr">
        <is>
          <t>30-04-2026</t>
        </is>
      </c>
      <c r="H13479" t="inlineStr">
        <is>
          <t>30/04/2026</t>
        </is>
      </c>
      <c r="I13479" t="inlineStr">
        <is>
          <t>17/03/2026</t>
        </is>
      </c>
      <c r="J13479" t="inlineStr">
        <is>
          <t>Tiếp thị / Marketing, Tiếp thị trực tuyến, Truyền hình / Báo chí / Biên tập</t>
        </is>
      </c>
      <c r="K13479" t="inlineStr">
        <is>
          <t>2 - 3 Năm</t>
        </is>
      </c>
      <c r="L13479" s="8">
        <f>HYPERLINK("https://careerviet.vn/vi/tim-viec-lam/social-media-executive.35C6B070.html","Xem chi tiết")</f>
        <v/>
      </c>
    </row>
    <row r="13480">
      <c r="B13480" s="9" t="n">
        <v>13478</v>
      </c>
      <c r="C13480" s="10" t="inlineStr">
        <is>
          <t>Chỉ huy trưởng Cơ Điện</t>
        </is>
      </c>
      <c r="D13480" s="10" t="inlineStr">
        <is>
          <t>CÔNG TY CỔ PHẦN TẬP ĐOÀN GDC</t>
        </is>
      </c>
      <c r="E13480" s="10" t="inlineStr">
        <is>
          <t>Lương:35 Tr - 45 Tr VND</t>
        </is>
      </c>
      <c r="F13480" s="10" t="inlineStr">
        <is>
          <t>Hà Nội</t>
        </is>
      </c>
      <c r="G13480" s="10" t="inlineStr">
        <is>
          <t>05-04-2026</t>
        </is>
      </c>
      <c r="H13480" s="10" t="inlineStr">
        <is>
          <t>05/04/2026</t>
        </is>
      </c>
      <c r="I13480" s="10" t="inlineStr">
        <is>
          <t>17/03/2026</t>
        </is>
      </c>
      <c r="J13480" s="10" t="inlineStr">
        <is>
          <t>Điện / Điện tử / Điện lạnh / Điện công nghiệp</t>
        </is>
      </c>
      <c r="K13480" s="10" t="inlineStr">
        <is>
          <t>7 - 15 Năm</t>
        </is>
      </c>
      <c r="L13480" s="11">
        <f>HYPERLINK("https://careerviet.vn/vi/tim-viec-lam/chi-huy-truong-co-dien.35C6B118.html","Xem chi tiết")</f>
        <v/>
      </c>
      <c r="M13480" s="10" t="n"/>
    </row>
    <row r="13481">
      <c r="B13481" s="7" t="n">
        <v>13479</v>
      </c>
      <c r="C13481" t="inlineStr">
        <is>
          <t>GIÁO VIÊN TIỂU HỌC (cơ sở Quận 7 - nhận việc ngay)</t>
        </is>
      </c>
      <c r="D13481" t="inlineStr">
        <is>
          <t>Công ty CP Giáo dục Quốc tế Việt Úc</t>
        </is>
      </c>
      <c r="E13481" t="inlineStr">
        <is>
          <t>Lương:Cạnh tranh</t>
        </is>
      </c>
      <c r="F13481" t="inlineStr">
        <is>
          <t>Hồ Chí Minh</t>
        </is>
      </c>
      <c r="G13481" t="inlineStr">
        <is>
          <t>05-04-2026</t>
        </is>
      </c>
      <c r="H13481" t="inlineStr">
        <is>
          <t>05/04/2026</t>
        </is>
      </c>
      <c r="I13481" t="inlineStr">
        <is>
          <t>17/03/2026</t>
        </is>
      </c>
      <c r="J13481" t="inlineStr">
        <is>
          <t>Giáo dục / Đào tạo</t>
        </is>
      </c>
      <c r="K13481" t="inlineStr">
        <is>
          <t>3 - 5 Năm</t>
        </is>
      </c>
      <c r="L13481" s="8">
        <f>HYPERLINK("https://careerviet.vn/vi/tim-viec-lam/giao-vien-tieu-hoc-co-so-quan-7-nhan-viec-ngay.35C6AF60.html","Xem chi tiết")</f>
        <v/>
      </c>
    </row>
    <row r="13482">
      <c r="B13482" s="9" t="n">
        <v>13480</v>
      </c>
      <c r="C13482" s="10" t="inlineStr">
        <is>
          <t>Trưởng Nhóm Tuyển Sinh (Ocean Edu Tân Yên)</t>
        </is>
      </c>
      <c r="D13482" s="10" t="inlineStr">
        <is>
          <t>Công Ty CP Giáo Dục Đại Dương</t>
        </is>
      </c>
      <c r="E13482" s="10" t="inlineStr">
        <is>
          <t>Lương:Cạnh tranh</t>
        </is>
      </c>
      <c r="F13482" s="10" t="inlineStr">
        <is>
          <t>Bắc Giang</t>
        </is>
      </c>
      <c r="G13482" s="10" t="inlineStr">
        <is>
          <t>04-04-2026</t>
        </is>
      </c>
      <c r="H13482" s="10" t="inlineStr">
        <is>
          <t>04/04/2026</t>
        </is>
      </c>
      <c r="I13482" s="10" t="inlineStr">
        <is>
          <t>17/03/2026</t>
        </is>
      </c>
      <c r="J13482" s="10" t="inlineStr">
        <is>
          <t>Tư vấn, Dịch vụ khách hàng, Giáo dục / Đào tạo</t>
        </is>
      </c>
      <c r="K13482" s="10" t="inlineStr">
        <is>
          <t>1 - 2 Năm</t>
        </is>
      </c>
      <c r="L13482" s="11">
        <f>HYPERLINK("https://careerviet.vn/vi/tim-viec-lam/truong-nhom-tuyen-sinh-ocean-edu-tan-yen.35C6B137.html","Xem chi tiết")</f>
        <v/>
      </c>
      <c r="M13482" s="10" t="n"/>
    </row>
    <row r="13483">
      <c r="B13483" s="7" t="n">
        <v>13481</v>
      </c>
      <c r="C13483" t="inlineStr">
        <is>
          <t>Trợ Lý Giám Đốc - Khu vực Hưng Yên</t>
        </is>
      </c>
      <c r="D13483" t="inlineStr">
        <is>
          <t>Công ty TNHH Cơ Điện Lạnh EEP Việt Nam</t>
        </is>
      </c>
      <c r="E13483" t="inlineStr">
        <is>
          <t>Lương:12 Tr - 18 Tr VND</t>
        </is>
      </c>
      <c r="F13483" t="inlineStr">
        <is>
          <t>Hưng Yên</t>
        </is>
      </c>
      <c r="G13483" t="inlineStr">
        <is>
          <t>31-03-2026</t>
        </is>
      </c>
      <c r="H13483" t="inlineStr">
        <is>
          <t>31/03/2026</t>
        </is>
      </c>
      <c r="I13483" t="inlineStr">
        <is>
          <t>17/03/2026</t>
        </is>
      </c>
      <c r="J13483" t="inlineStr">
        <is>
          <t>Quản lý điều hành, Bán hàng / Kinh doanh, Tiếp thị / Marketing</t>
        </is>
      </c>
      <c r="K13483" t="inlineStr">
        <is>
          <t>N/A</t>
        </is>
      </c>
      <c r="L13483" s="8">
        <f>HYPERLINK("https://careerviet.vn/vi/tim-viec-lam/tro-ly-giam-doc-khu-vuc-hung-yen.35C6B0DD.html","Xem chi tiết")</f>
        <v/>
      </c>
    </row>
    <row r="13484">
      <c r="B13484" s="9" t="n">
        <v>13482</v>
      </c>
      <c r="C13484" s="10" t="inlineStr">
        <is>
          <t>(Hà Nội) Chuyên Viên Kinh Doanh tại Cầu Giấy</t>
        </is>
      </c>
      <c r="D13484" s="10" t="inlineStr">
        <is>
          <t>Công Ty TNHH Tập Đoàn Rita Võ</t>
        </is>
      </c>
      <c r="E13484" s="10" t="inlineStr">
        <is>
          <t>Lương:12 Tr - 20 Tr VND</t>
        </is>
      </c>
      <c r="F13484" s="10" t="inlineStr">
        <is>
          <t>Hà Nội</t>
        </is>
      </c>
      <c r="G13484" s="10" t="inlineStr">
        <is>
          <t>31-03-2026</t>
        </is>
      </c>
      <c r="H13484" s="10" t="inlineStr">
        <is>
          <t>31/03/2026</t>
        </is>
      </c>
      <c r="I13484" s="10" t="inlineStr">
        <is>
          <t>17/03/2026</t>
        </is>
      </c>
      <c r="J13484" s="10" t="inlineStr">
        <is>
          <t>Bán lẻ / Bán sỉ, Bán hàng / Kinh doanh, Tư vấn</t>
        </is>
      </c>
      <c r="K13484" s="10" t="inlineStr">
        <is>
          <t>N/A</t>
        </is>
      </c>
      <c r="L13484" s="11">
        <f>HYPERLINK("https://careerviet.vn/vi/tim-viec-lam/ha-noi-chuyen-vien-kinh-doanh-tai-cau-giay.35C6B109.html","Xem chi tiết")</f>
        <v/>
      </c>
      <c r="M13484" s="10" t="n"/>
    </row>
    <row r="13485">
      <c r="B13485" s="7" t="n">
        <v>13483</v>
      </c>
      <c r="C13485" t="inlineStr">
        <is>
          <t>Kỹ sư giám sát cơ điện</t>
        </is>
      </c>
      <c r="D13485" t="inlineStr">
        <is>
          <t>CÔNG TY CỔ PHẦN TẬP ĐOÀN GDC</t>
        </is>
      </c>
      <c r="E13485" t="inlineStr">
        <is>
          <t>Lương:18 Tr - 23 Tr VND</t>
        </is>
      </c>
      <c r="F13485" t="inlineStr">
        <is>
          <t>Hà Nội</t>
        </is>
      </c>
      <c r="G13485" t="inlineStr">
        <is>
          <t>06-04-2026</t>
        </is>
      </c>
      <c r="H13485" t="inlineStr">
        <is>
          <t>06/04/2026</t>
        </is>
      </c>
      <c r="I13485" t="inlineStr">
        <is>
          <t>17/03/2026</t>
        </is>
      </c>
      <c r="J13485" t="inlineStr">
        <is>
          <t>Điện / Điện tử / Điện lạnh / Điện công nghiệp</t>
        </is>
      </c>
      <c r="K13485" t="inlineStr">
        <is>
          <t>1 - 10 Năm</t>
        </is>
      </c>
      <c r="L13485" s="8">
        <f>HYPERLINK("https://careerviet.vn/vi/tim-viec-lam/ky-su-giam-sat-co-dien.35C6B138.html","Xem chi tiết")</f>
        <v/>
      </c>
    </row>
    <row r="13486">
      <c r="B13486" s="9" t="n">
        <v>13484</v>
      </c>
      <c r="C13486" s="10" t="inlineStr">
        <is>
          <t>Quản Lý Kho Vận</t>
        </is>
      </c>
      <c r="D13486" s="10" t="inlineStr">
        <is>
          <t>CÔNG TY TNHH ĐẦU TƯ THƯƠNG MẠI VÀ SẢN XUẤT CHÍNH PHÁT</t>
        </is>
      </c>
      <c r="E13486" s="10" t="inlineStr">
        <is>
          <t>Lương:12 Tr - 15 Tr VND</t>
        </is>
      </c>
      <c r="F13486" s="10" t="inlineStr">
        <is>
          <t>Hồ Chí Minh</t>
        </is>
      </c>
      <c r="G13486" s="10" t="inlineStr">
        <is>
          <t>06-04-2026</t>
        </is>
      </c>
      <c r="H13486" s="10" t="inlineStr">
        <is>
          <t>06/04/2026</t>
        </is>
      </c>
      <c r="I13486" s="10" t="inlineStr">
        <is>
          <t>17/03/2026</t>
        </is>
      </c>
      <c r="J13486" s="10" t="inlineStr">
        <is>
          <t>Vận chuyển / Giao nhận / Kho vận</t>
        </is>
      </c>
      <c r="K13486" s="10" t="inlineStr">
        <is>
          <t>1 - 2 Năm</t>
        </is>
      </c>
      <c r="L13486" s="11">
        <f>HYPERLINK("https://careerviet.vn/vi/tim-viec-lam/quan-ly-kho-van.35C6AFCC.html","Xem chi tiết")</f>
        <v/>
      </c>
      <c r="M13486" s="10" t="n"/>
    </row>
    <row r="13487">
      <c r="B13487" s="7" t="n">
        <v>13485</v>
      </c>
      <c r="C13487" t="inlineStr">
        <is>
          <t>Creative Content Executive</t>
        </is>
      </c>
      <c r="D13487" t="inlineStr">
        <is>
          <t>HMK Eyewear</t>
        </is>
      </c>
      <c r="E13487" t="inlineStr">
        <is>
          <t>Lương:12 Tr - 18 Tr VND</t>
        </is>
      </c>
      <c r="F13487" t="inlineStr">
        <is>
          <t>Hồ Chí Minh</t>
        </is>
      </c>
      <c r="G13487" t="inlineStr">
        <is>
          <t>31-03-2026</t>
        </is>
      </c>
      <c r="H13487" t="inlineStr">
        <is>
          <t>31/03/2026</t>
        </is>
      </c>
      <c r="I13487" t="inlineStr">
        <is>
          <t>17/03/2026</t>
        </is>
      </c>
      <c r="J13487" t="inlineStr">
        <is>
          <t>Tiếp thị / Marketing, Quảng cáo / Đối ngoại / Truyền Thông, Truyền hình / Báo chí / Biên tập</t>
        </is>
      </c>
      <c r="K13487" t="inlineStr">
        <is>
          <t>1 - 3 Năm</t>
        </is>
      </c>
      <c r="L13487" s="8">
        <f>HYPERLINK("https://careerviet.vn/vi/tim-viec-lam/creative-content-executive.35C6B0DC.html","Xem chi tiết")</f>
        <v/>
      </c>
    </row>
    <row r="13488">
      <c r="B13488" s="9" t="n">
        <v>13486</v>
      </c>
      <c r="C13488" s="10" t="inlineStr">
        <is>
          <t>Nhân viên Chiết rót - Nhà máy Bình Dương</t>
        </is>
      </c>
      <c r="D13488" s="10" t="inlineStr">
        <is>
          <t>Cty TNHH Yakult Việt Nam</t>
        </is>
      </c>
      <c r="E13488" s="10" t="inlineStr">
        <is>
          <t>Lương:8 Tr - 10 Tr VND</t>
        </is>
      </c>
      <c r="F13488" s="10" t="inlineStr">
        <is>
          <t>Bình Dương</t>
        </is>
      </c>
      <c r="G13488" s="10" t="inlineStr">
        <is>
          <t>31-05-2026</t>
        </is>
      </c>
      <c r="H13488" s="10" t="inlineStr">
        <is>
          <t>31/05/2026</t>
        </is>
      </c>
      <c r="I13488" s="10" t="inlineStr">
        <is>
          <t>17/03/2026</t>
        </is>
      </c>
      <c r="J13488" s="10" t="inlineStr">
        <is>
          <t>Công nghệ sinh học, Công nghệ thực phẩm / Dinh dưỡng, Quản lý chất lượng (QA/QC)</t>
        </is>
      </c>
      <c r="K13488" s="10" t="inlineStr">
        <is>
          <t>Lên đến 1 Năm</t>
        </is>
      </c>
      <c r="L13488" s="11">
        <f>HYPERLINK("https://careerviet.vn/vi/tim-viec-lam/nhan-vien-chiet-rot-nha-may-binh-duong.35C6B049.html","Xem chi tiết")</f>
        <v/>
      </c>
      <c r="M13488" s="10" t="n"/>
    </row>
    <row r="13489">
      <c r="B13489" s="7" t="n">
        <v>13487</v>
      </c>
      <c r="C13489" t="inlineStr">
        <is>
          <t>Chuyên viên cao cấp UI/UX Design - Popplife - 4Z004</t>
        </is>
      </c>
      <c r="D13489" t="inlineStr">
        <is>
          <t>Tập đoàn ROX (ROX Group)</t>
        </is>
      </c>
      <c r="E13489" t="inlineStr">
        <is>
          <t>Lương:Cạnh tranh</t>
        </is>
      </c>
      <c r="F13489" t="inlineStr">
        <is>
          <t>Hà Nội</t>
        </is>
      </c>
      <c r="G13489" t="inlineStr">
        <is>
          <t>04-04-2026</t>
        </is>
      </c>
      <c r="H13489" t="inlineStr">
        <is>
          <t>04/04/2026</t>
        </is>
      </c>
      <c r="I13489" t="inlineStr">
        <is>
          <t>17/03/2026</t>
        </is>
      </c>
      <c r="J13489" t="inlineStr">
        <is>
          <t>Quảng cáo / Đối ngoại / Truyền Thông</t>
        </is>
      </c>
      <c r="K13489" t="inlineStr">
        <is>
          <t>Trên 5 Năm</t>
        </is>
      </c>
      <c r="L13489" s="8">
        <f>HYPERLINK("https://careerviet.vn/vi/tim-viec-lam/chuyen-vien-cao-cap-ui-ux-design-popplife-4z004.35C6B0EA.html","Xem chi tiết")</f>
        <v/>
      </c>
    </row>
    <row r="13490">
      <c r="B13490" s="9" t="n">
        <v>13488</v>
      </c>
      <c r="C13490" s="10" t="inlineStr">
        <is>
          <t>Trưởng Nhóm Tuyển Sinh (Ocean Edu Lạng Giang)</t>
        </is>
      </c>
      <c r="D13490" s="10" t="inlineStr">
        <is>
          <t>Công Ty CP Giáo Dục Đại Dương</t>
        </is>
      </c>
      <c r="E13490" s="10" t="inlineStr">
        <is>
          <t>Lương:Cạnh tranh</t>
        </is>
      </c>
      <c r="F13490" s="10" t="inlineStr">
        <is>
          <t>Bắc Giang</t>
        </is>
      </c>
      <c r="G13490" s="10" t="inlineStr">
        <is>
          <t>04-04-2026</t>
        </is>
      </c>
      <c r="H13490" s="10" t="inlineStr">
        <is>
          <t>04/04/2026</t>
        </is>
      </c>
      <c r="I13490" s="10" t="inlineStr">
        <is>
          <t>17/03/2026</t>
        </is>
      </c>
      <c r="J13490" s="10" t="inlineStr">
        <is>
          <t>Tư vấn, Dịch vụ khách hàng, Giáo dục / Đào tạo</t>
        </is>
      </c>
      <c r="K13490" s="10" t="inlineStr">
        <is>
          <t>1 - 2 Năm</t>
        </is>
      </c>
      <c r="L13490" s="11">
        <f>HYPERLINK("https://careerviet.vn/vi/tim-viec-lam/truong-nhom-tuyen-sinh-ocean-edu-lang-giang.35C6B132.html","Xem chi tiết")</f>
        <v/>
      </c>
      <c r="M13490" s="10" t="n"/>
    </row>
    <row r="13491">
      <c r="B13491" s="7" t="n">
        <v>13489</v>
      </c>
      <c r="C13491" t="inlineStr">
        <is>
          <t>Chuyên viên Thiết kế</t>
        </is>
      </c>
      <c r="D13491" t="inlineStr">
        <is>
          <t>Công Ty CP Giáo Dục Đại Dương</t>
        </is>
      </c>
      <c r="E13491" t="inlineStr">
        <is>
          <t>Lương:Cạnh tranh</t>
        </is>
      </c>
      <c r="F13491" t="inlineStr">
        <is>
          <t>Hà Nội</t>
        </is>
      </c>
      <c r="G13491" t="inlineStr">
        <is>
          <t>04-04-2026</t>
        </is>
      </c>
      <c r="H13491" t="inlineStr">
        <is>
          <t>04/04/2026</t>
        </is>
      </c>
      <c r="I13491" t="inlineStr">
        <is>
          <t>17/03/2026</t>
        </is>
      </c>
      <c r="J13491" t="inlineStr">
        <is>
          <t>Mỹ thuật / Nghệ thuật / Thiết kế, Du lịch</t>
        </is>
      </c>
      <c r="K13491" t="inlineStr">
        <is>
          <t>1 - 2 Năm</t>
        </is>
      </c>
      <c r="L13491" s="8">
        <f>HYPERLINK("https://careerviet.vn/vi/tim-viec-lam/chuyen-vien-thiet-ke.35C6B10C.html","Xem chi tiết")</f>
        <v/>
      </c>
    </row>
    <row r="13492">
      <c r="B13492" s="9" t="n">
        <v>13490</v>
      </c>
      <c r="C13492" s="10" t="inlineStr">
        <is>
          <t>Chuyên viên viên kinh doanh  (Phát triển dự án PCCC  - Khu vực Hưng Yên)</t>
        </is>
      </c>
      <c r="D13492" s="10" t="inlineStr">
        <is>
          <t>Công ty TNHH Cơ Điện Lạnh EEP Việt Nam</t>
        </is>
      </c>
      <c r="E13492" s="10" t="inlineStr">
        <is>
          <t>Lương:15 Tr - 35 Tr VND</t>
        </is>
      </c>
      <c r="F13492" s="10" t="inlineStr">
        <is>
          <t>Hưng Yên</t>
        </is>
      </c>
      <c r="G13492" s="10" t="inlineStr">
        <is>
          <t>31-03-2026</t>
        </is>
      </c>
      <c r="H13492" s="10" t="inlineStr">
        <is>
          <t>31/03/2026</t>
        </is>
      </c>
      <c r="I13492" s="10" t="inlineStr">
        <is>
          <t>17/03/2026</t>
        </is>
      </c>
      <c r="J13492" s="10" t="inlineStr">
        <is>
          <t>Bán hàng / Kinh doanh, Tiếp thị / Marketing, Quảng cáo / Đối ngoại / Truyền Thông</t>
        </is>
      </c>
      <c r="K13492" s="10" t="inlineStr">
        <is>
          <t>N/A</t>
        </is>
      </c>
      <c r="L13492" s="11">
        <f>HYPERLINK("https://careerviet.vn/vi/tim-viec-lam/chuyen-vien-vien-kinh-doanh-phat-trien-du-an-pccc-khu-vuc-hung-yen.35C6B0F2.html","Xem chi tiết")</f>
        <v/>
      </c>
      <c r="M13492" s="10" t="n"/>
    </row>
    <row r="13493">
      <c r="B13493" s="7" t="n">
        <v>13491</v>
      </c>
      <c r="C13493" t="inlineStr">
        <is>
          <t>R&amp;D Staff</t>
        </is>
      </c>
      <c r="D13493" t="inlineStr">
        <is>
          <t>CÔNG TY CỔ PHẦN BMP GROUP</t>
        </is>
      </c>
      <c r="E13493" t="inlineStr">
        <is>
          <t>Lương:Cạnh tranh</t>
        </is>
      </c>
      <c r="F13493" t="inlineStr">
        <is>
          <t>Bình Dương</t>
        </is>
      </c>
      <c r="G13493" t="inlineStr">
        <is>
          <t>22-04-2026</t>
        </is>
      </c>
      <c r="H13493" t="inlineStr">
        <is>
          <t>22/04/2026</t>
        </is>
      </c>
      <c r="I13493" t="inlineStr">
        <is>
          <t>17/03/2026</t>
        </is>
      </c>
      <c r="J13493" t="inlineStr">
        <is>
          <t>Hóa học, Sản xuất / Vận hành sản xuất, In ấn / Xuất bản</t>
        </is>
      </c>
      <c r="K13493" t="inlineStr">
        <is>
          <t>1 - 3 Năm</t>
        </is>
      </c>
      <c r="L13493" s="8">
        <f>HYPERLINK("https://careerviet.vn/vi/tim-viec-lam/r-d-staff.35C6B0C4.html","Xem chi tiết")</f>
        <v/>
      </c>
    </row>
    <row r="13494">
      <c r="B13494" s="9" t="n">
        <v>13492</v>
      </c>
      <c r="C13494" s="10" t="inlineStr">
        <is>
          <t>[NovaDreams] Trưởng phòng Thanh tra Chất lượng Sản phẩm</t>
        </is>
      </c>
      <c r="D13494" s="10" t="inlineStr">
        <is>
          <t>Bảo mật</t>
        </is>
      </c>
      <c r="E13494" s="10" t="inlineStr">
        <is>
          <t>Lương:Cạnh tranh</t>
        </is>
      </c>
      <c r="F13494" s="10" t="inlineStr">
        <is>
          <t>Hồ Chí Minh</t>
        </is>
      </c>
      <c r="G13494" s="10" t="inlineStr">
        <is>
          <t>05-04-2026</t>
        </is>
      </c>
      <c r="H13494" s="10" t="inlineStr">
        <is>
          <t>05/04/2026</t>
        </is>
      </c>
      <c r="I13494" s="10" t="inlineStr">
        <is>
          <t>17/03/2026</t>
        </is>
      </c>
      <c r="J13494" s="10" t="inlineStr">
        <is>
          <t>Quản lý chất lượng (QA/QC)</t>
        </is>
      </c>
      <c r="K13494" s="10" t="inlineStr">
        <is>
          <t>4 - 12 Năm</t>
        </is>
      </c>
      <c r="L13494" s="11">
        <f>HYPERLINK("https://careerviet.vn/vi/tim-viec-lam/novadreams-truong-phong-thanh-tra-chat-luong-san-pham.35C6B105.html","Xem chi tiết")</f>
        <v/>
      </c>
      <c r="M13494" s="10" t="n"/>
    </row>
    <row r="13495">
      <c r="B13495" s="7" t="n">
        <v>13493</v>
      </c>
      <c r="C13495" t="inlineStr">
        <is>
          <t>Nhân Viên Kinh Doanh</t>
        </is>
      </c>
      <c r="D13495" t="inlineStr">
        <is>
          <t>Công ty CP Thương Mại Việt Hồng</t>
        </is>
      </c>
      <c r="E13495" t="inlineStr">
        <is>
          <t>Lương:10 Tr - 15 Tr VND</t>
        </is>
      </c>
      <c r="F13495" t="inlineStr">
        <is>
          <t>Hà Nội</t>
        </is>
      </c>
      <c r="G13495" t="inlineStr">
        <is>
          <t>04-04-2026</t>
        </is>
      </c>
      <c r="H13495" t="inlineStr">
        <is>
          <t>04/04/2026</t>
        </is>
      </c>
      <c r="I13495" t="inlineStr">
        <is>
          <t>17/03/2026</t>
        </is>
      </c>
      <c r="J13495" t="inlineStr">
        <is>
          <t>Tiếp thị / Marketing, Bán hàng / Kinh doanh, Tư vấn</t>
        </is>
      </c>
      <c r="K13495" t="inlineStr">
        <is>
          <t>Trên 1 Năm</t>
        </is>
      </c>
      <c r="L13495" s="8">
        <f>HYPERLINK("https://careerviet.vn/vi/tim-viec-lam/nhan-vien-kinh-doanh.35C6B119.html","Xem chi tiết")</f>
        <v/>
      </c>
    </row>
    <row r="13496">
      <c r="B13496" s="9" t="n">
        <v>13494</v>
      </c>
      <c r="C13496" s="10" t="inlineStr">
        <is>
          <t>Chuyên gia Nguồn cung và Ngân hàng giá</t>
        </is>
      </c>
      <c r="D13496" s="10" t="inlineStr">
        <is>
          <t>Công Ty Cổ Phần Tập Đoàn Đầu Tư Địa Ốc No Va</t>
        </is>
      </c>
      <c r="E13496" s="10" t="inlineStr">
        <is>
          <t>Lương:Cạnh tranh</t>
        </is>
      </c>
      <c r="F13496" s="10" t="inlineStr">
        <is>
          <t>Hồ Chí Minh</t>
        </is>
      </c>
      <c r="G13496" s="10" t="inlineStr">
        <is>
          <t>20-04-2026</t>
        </is>
      </c>
      <c r="H13496" s="10" t="inlineStr">
        <is>
          <t>20/04/2026</t>
        </is>
      </c>
      <c r="I13496" s="10" t="inlineStr">
        <is>
          <t>17/03/2026</t>
        </is>
      </c>
      <c r="J13496" s="10" t="inlineStr">
        <is>
          <t>Thu mua / Vật tư</t>
        </is>
      </c>
      <c r="K13496" s="10" t="inlineStr">
        <is>
          <t>10 - 20 Năm</t>
        </is>
      </c>
      <c r="L13496" s="11">
        <f>HYPERLINK("https://careerviet.vn/vi/tim-viec-lam/chuyen-gia-nguon-cung-va-ngan-hang-gia.35C6B10A.html","Xem chi tiết")</f>
        <v/>
      </c>
      <c r="M13496" s="10" t="n"/>
    </row>
    <row r="13497">
      <c r="B13497" s="7" t="n">
        <v>13495</v>
      </c>
      <c r="C13497" t="inlineStr">
        <is>
          <t>KẾ TOÁN KHO (ƯU TIÊN BIẾT LÁI XE NÂNG)</t>
        </is>
      </c>
      <c r="D13497" t="inlineStr">
        <is>
          <t>Syxgen</t>
        </is>
      </c>
      <c r="E13497" t="inlineStr">
        <is>
          <t>Lương:Cạnh tranh</t>
        </is>
      </c>
      <c r="F13497" t="inlineStr">
        <is>
          <t>Bình Định</t>
        </is>
      </c>
      <c r="G13497" t="inlineStr">
        <is>
          <t>31-03-2026</t>
        </is>
      </c>
      <c r="H13497" t="inlineStr">
        <is>
          <t>31/03/2026</t>
        </is>
      </c>
      <c r="I13497" t="inlineStr">
        <is>
          <t>17/03/2026</t>
        </is>
      </c>
      <c r="J13497" t="inlineStr">
        <is>
          <t>Sản xuất / Vận hành sản xuất</t>
        </is>
      </c>
      <c r="K13497" t="inlineStr">
        <is>
          <t>2 - 5 Năm</t>
        </is>
      </c>
      <c r="L13497" s="8">
        <f>HYPERLINK("https://careerviet.vn/vi/tim-viec-lam/ke-toan-kho-uu-tien-biet-lai-xe-nang.35C6B126.html","Xem chi tiết")</f>
        <v/>
      </c>
    </row>
    <row r="13498">
      <c r="B13498" s="9" t="n">
        <v>13496</v>
      </c>
      <c r="C13498" s="10" t="inlineStr">
        <is>
          <t>Giám Sát Bán Hàng</t>
        </is>
      </c>
      <c r="D13498" s="10" t="inlineStr">
        <is>
          <t>Công ty TNHH Dược phẩm Hoa Linh Miền Nam</t>
        </is>
      </c>
      <c r="E13498" s="10" t="inlineStr">
        <is>
          <t>Lương:Cạnh tranh</t>
        </is>
      </c>
      <c r="F13498" s="10" t="inlineStr">
        <is>
          <t>Kiên GiangSóc TrăngBạc Liêu</t>
        </is>
      </c>
      <c r="G13498" s="10" t="inlineStr">
        <is>
          <t>04-04-2026</t>
        </is>
      </c>
      <c r="H13498" s="10" t="inlineStr">
        <is>
          <t>04/04/2026</t>
        </is>
      </c>
      <c r="I13498" s="10" t="inlineStr">
        <is>
          <t>17/03/2026</t>
        </is>
      </c>
      <c r="J13498" s="10" t="inlineStr">
        <is>
          <t>Bán hàng / Kinh doanh, Quản lý điều hành</t>
        </is>
      </c>
      <c r="K13498" s="10" t="inlineStr">
        <is>
          <t>1 - 2 Năm</t>
        </is>
      </c>
      <c r="L13498" s="11">
        <f>HYPERLINK("https://careerviet.vn/vi/tim-viec-lam/giam-sat-ban-hang.35C6B0D8.html","Xem chi tiết")</f>
        <v/>
      </c>
      <c r="M13498" s="10" t="n"/>
    </row>
    <row r="13499">
      <c r="B13499" s="7" t="n">
        <v>13497</v>
      </c>
      <c r="C13499" t="inlineStr">
        <is>
          <t>Trưởng Bưu Cục Sông Mây | Thu nhập đến 25 triệu</t>
        </is>
      </c>
      <c r="D13499" t="inlineStr">
        <is>
          <t>Công Ty Cổ Phần Hai Bốn Bảy</t>
        </is>
      </c>
      <c r="E13499" t="inlineStr">
        <is>
          <t>Lương:15 Tr - 25 Tr VND</t>
        </is>
      </c>
      <c r="F13499" t="inlineStr">
        <is>
          <t>Đồng Nai</t>
        </is>
      </c>
      <c r="G13499" t="inlineStr">
        <is>
          <t>05-04-2026</t>
        </is>
      </c>
      <c r="H13499" t="inlineStr">
        <is>
          <t>05/04/2026</t>
        </is>
      </c>
      <c r="I13499" t="inlineStr">
        <is>
          <t>17/03/2026</t>
        </is>
      </c>
      <c r="J13499" t="inlineStr">
        <is>
          <t>Vận chuyển / Giao nhận / Kho vận</t>
        </is>
      </c>
      <c r="K13499" t="inlineStr">
        <is>
          <t>1 - 2 Năm</t>
        </is>
      </c>
      <c r="L13499" s="8">
        <f>HYPERLINK("https://careerviet.vn/vi/tim-viec-lam/truong-buu-cuc-song-may-thu-nhap-den-25-trieu.35C6B0BB.html","Xem chi tiết")</f>
        <v/>
      </c>
    </row>
    <row r="13500">
      <c r="B13500" s="9" t="n">
        <v>13498</v>
      </c>
      <c r="C13500" s="10" t="inlineStr">
        <is>
          <t>Nhân Viên Lễ Tân Hành Chính</t>
        </is>
      </c>
      <c r="D13500" s="10" t="inlineStr">
        <is>
          <t>Công ty CP Thương Mại Việt Hồng</t>
        </is>
      </c>
      <c r="E13500" s="10" t="inlineStr">
        <is>
          <t>Lương:Trên 7,5 Tr VND</t>
        </is>
      </c>
      <c r="F13500" s="10" t="inlineStr">
        <is>
          <t>Hà Nội</t>
        </is>
      </c>
      <c r="G13500" s="10" t="inlineStr">
        <is>
          <t>04-04-2026</t>
        </is>
      </c>
      <c r="H13500" s="10" t="inlineStr">
        <is>
          <t>04/04/2026</t>
        </is>
      </c>
      <c r="I13500" s="10" t="inlineStr">
        <is>
          <t>17/03/2026</t>
        </is>
      </c>
      <c r="J13500" s="10" t="inlineStr">
        <is>
          <t>Hành chính / Thư ký, Nhân sự, Xây dựng</t>
        </is>
      </c>
      <c r="K13500" s="10" t="inlineStr">
        <is>
          <t>1 - 3 Năm</t>
        </is>
      </c>
      <c r="L13500" s="11">
        <f>HYPERLINK("https://careerviet.vn/vi/tim-viec-lam/nhan-vien-le-tan-hanh-chinh.35C6B114.html","Xem chi tiết")</f>
        <v/>
      </c>
      <c r="M13500" s="10" t="n"/>
    </row>
    <row r="13501">
      <c r="B13501" s="7" t="n">
        <v>13499</v>
      </c>
      <c r="C13501" t="inlineStr">
        <is>
          <t>Nhân viên tạo chai - Nhà Máy Bình Dương</t>
        </is>
      </c>
      <c r="D13501" t="inlineStr">
        <is>
          <t>Cty TNHH Yakult Việt Nam</t>
        </is>
      </c>
      <c r="E13501" t="inlineStr">
        <is>
          <t>Lương:9 Tr - 12 Tr VND</t>
        </is>
      </c>
      <c r="F13501" t="inlineStr">
        <is>
          <t>Bình Dương</t>
        </is>
      </c>
      <c r="G13501" t="inlineStr">
        <is>
          <t>30-04-2026</t>
        </is>
      </c>
      <c r="H13501" t="inlineStr">
        <is>
          <t>30/04/2026</t>
        </is>
      </c>
      <c r="I13501" t="inlineStr">
        <is>
          <t>17/03/2026</t>
        </is>
      </c>
      <c r="J13501" t="inlineStr">
        <is>
          <t>Cơ khí / Ô tô / Tự động hóa, Điện / Điện tử / Điện lạnh / Điện công nghiệp, Công nghệ thực phẩm / Dinh dưỡng</t>
        </is>
      </c>
      <c r="K13501" t="inlineStr">
        <is>
          <t>Lên đến 1 Năm</t>
        </is>
      </c>
      <c r="L13501" s="8">
        <f>HYPERLINK("https://careerviet.vn/vi/tim-viec-lam/nhan-vien-tao-chai-nha-may-binh-duong.35C6B044.html","Xem chi tiết")</f>
        <v/>
      </c>
    </row>
    <row r="13502">
      <c r="B13502" s="9" t="n">
        <v>13500</v>
      </c>
      <c r="C13502" s="10" t="inlineStr">
        <is>
          <t>Nhân Viên Booking KOL, KOC</t>
        </is>
      </c>
      <c r="D13502" s="10" t="inlineStr">
        <is>
          <t>ONE GROUP</t>
        </is>
      </c>
      <c r="E13502" s="10" t="inlineStr">
        <is>
          <t>Lương:9 Tr - 12 Tr VND</t>
        </is>
      </c>
      <c r="F13502" s="10" t="inlineStr">
        <is>
          <t>Hồ Chí Minh</t>
        </is>
      </c>
      <c r="G13502" s="10" t="inlineStr">
        <is>
          <t>04-04-2026</t>
        </is>
      </c>
      <c r="H13502" s="10" t="inlineStr">
        <is>
          <t>04/04/2026</t>
        </is>
      </c>
      <c r="I13502" s="10" t="inlineStr">
        <is>
          <t>17/03/2026</t>
        </is>
      </c>
      <c r="J13502" s="10" t="inlineStr">
        <is>
          <t>Dược phẩm/ Hóa Mỹ Phẩm</t>
        </is>
      </c>
      <c r="K13502" s="10" t="inlineStr">
        <is>
          <t>1 - 5 Năm</t>
        </is>
      </c>
      <c r="L13502" s="11">
        <f>HYPERLINK("https://careerviet.vn/vi/tim-viec-lam/nhan-vien-booking-kol-koc.35C6B0CE.html","Xem chi tiết")</f>
        <v/>
      </c>
      <c r="M13502" s="10" t="n"/>
    </row>
    <row r="13503">
      <c r="B13503" s="7" t="n">
        <v>13501</v>
      </c>
      <c r="C13503" t="inlineStr">
        <is>
          <t>Giáo Viên Chủ Nhiệm (Ocean Edu (Tân Yên) - Lương Từ 15 Triệu/Đi Làm Ngay</t>
        </is>
      </c>
      <c r="D13503" t="inlineStr">
        <is>
          <t>Công Ty CP Giáo Dục Đại Dương</t>
        </is>
      </c>
      <c r="E13503" t="inlineStr">
        <is>
          <t>Lương:Cạnh tranh</t>
        </is>
      </c>
      <c r="F13503" t="inlineStr">
        <is>
          <t>Bắc Giang</t>
        </is>
      </c>
      <c r="G13503" t="inlineStr">
        <is>
          <t>04-04-2026</t>
        </is>
      </c>
      <c r="H13503" t="inlineStr">
        <is>
          <t>04/04/2026</t>
        </is>
      </c>
      <c r="I13503" t="inlineStr">
        <is>
          <t>17/03/2026</t>
        </is>
      </c>
      <c r="J13503" t="inlineStr">
        <is>
          <t>Giáo dục / Đào tạo, Bán hàng / Kinh doanh, Biên phiên dịch</t>
        </is>
      </c>
      <c r="K13503" t="inlineStr">
        <is>
          <t>Trên 1 Năm</t>
        </is>
      </c>
      <c r="L13503" s="8">
        <f>HYPERLINK("https://careerviet.vn/vi/tim-viec-lam/giao-vien-chu-nhiem-ocean-edu-tan-yen-luong-tu-15-trieu-di-lam-ngay.35C6B03B.html","Xem chi tiết")</f>
        <v/>
      </c>
    </row>
    <row r="13504">
      <c r="B13504" s="9" t="n">
        <v>13502</v>
      </c>
      <c r="C13504" s="10" t="inlineStr">
        <is>
          <t>NHÂN VIÊN KẾ TOÁN</t>
        </is>
      </c>
      <c r="D13504" s="10" t="inlineStr">
        <is>
          <t>Công Ty Cổ Phần Công Nghệ Mạng Viễn Thông C-LINK</t>
        </is>
      </c>
      <c r="E13504" s="10" t="inlineStr">
        <is>
          <t>Lương:8 Tr - 9 Tr VND</t>
        </is>
      </c>
      <c r="F13504" s="10" t="inlineStr">
        <is>
          <t>Hà Nội</t>
        </is>
      </c>
      <c r="G13504" s="10" t="inlineStr">
        <is>
          <t>31-03-2026</t>
        </is>
      </c>
      <c r="H13504" s="10" t="inlineStr">
        <is>
          <t>31/03/2026</t>
        </is>
      </c>
      <c r="I13504" s="10" t="inlineStr">
        <is>
          <t>17/03/2026</t>
        </is>
      </c>
      <c r="J13504" s="10" t="inlineStr">
        <is>
          <t>Kế toán / Kiểm toán, Ngành khác</t>
        </is>
      </c>
      <c r="K13504" s="10" t="inlineStr">
        <is>
          <t>1 - 5 Năm</t>
        </is>
      </c>
      <c r="L13504" s="11">
        <f>HYPERLINK("https://careerviet.vn/vi/tim-viec-lam/nhan-vien-ke-toan.35C6B0CD.html","Xem chi tiết")</f>
        <v/>
      </c>
      <c r="M13504" s="10" t="n"/>
    </row>
    <row r="13505">
      <c r="B13505" s="7" t="n">
        <v>13503</v>
      </c>
      <c r="C13505" t="inlineStr">
        <is>
          <t>Giáo Viên Chủ Nhiệm (Ocean Edu Hà Giang) - Lương Từ 15 Triệu/Đi Làm Ngay</t>
        </is>
      </c>
      <c r="D13505" t="inlineStr">
        <is>
          <t>Công Ty CP Giáo Dục Đại Dương</t>
        </is>
      </c>
      <c r="E13505" t="inlineStr">
        <is>
          <t>Lương:Cạnh tranh</t>
        </is>
      </c>
      <c r="F13505" t="inlineStr">
        <is>
          <t>Hà Giang</t>
        </is>
      </c>
      <c r="G13505" t="inlineStr">
        <is>
          <t>04-04-2026</t>
        </is>
      </c>
      <c r="H13505" t="inlineStr">
        <is>
          <t>04/04/2026</t>
        </is>
      </c>
      <c r="I13505" t="inlineStr">
        <is>
          <t>17/03/2026</t>
        </is>
      </c>
      <c r="J13505" t="inlineStr">
        <is>
          <t>Giáo dục / Đào tạo, Bán hàng / Kinh doanh, Biên phiên dịch</t>
        </is>
      </c>
      <c r="K13505" t="inlineStr">
        <is>
          <t>Trên 1 Năm</t>
        </is>
      </c>
      <c r="L13505" s="8">
        <f>HYPERLINK("https://careerviet.vn/vi/tim-viec-lam/giao-vien-chu-nhiem-ocean-edu-ha-giang-luong-tu-15-trieu-di-lam-ngay.35C6AFB9.html","Xem chi tiết")</f>
        <v/>
      </c>
    </row>
    <row r="13506">
      <c r="B13506" s="9" t="n">
        <v>13504</v>
      </c>
      <c r="C13506" s="10" t="inlineStr">
        <is>
          <t>Chuyên viên tuyển dụng (yêu cầu tiếng Trung)</t>
        </is>
      </c>
      <c r="D13506" s="10" t="inlineStr">
        <is>
          <t>CÔNG TY CỔ PHẦN ZTO FREIGHT VIỆT NAM</t>
        </is>
      </c>
      <c r="E13506" s="10" t="inlineStr">
        <is>
          <t>Lương:10 Tr - 25 Tr VND</t>
        </is>
      </c>
      <c r="F13506" s="10" t="inlineStr">
        <is>
          <t>Hà NộiHồ Chí Minh</t>
        </is>
      </c>
      <c r="G13506" s="10" t="inlineStr">
        <is>
          <t>05-04-2026</t>
        </is>
      </c>
      <c r="H13506" s="10" t="inlineStr">
        <is>
          <t>05/04/2026</t>
        </is>
      </c>
      <c r="I13506" s="10" t="inlineStr">
        <is>
          <t>17/03/2026</t>
        </is>
      </c>
      <c r="J13506" s="10" t="inlineStr">
        <is>
          <t>Vận chuyển / Giao nhận / Kho vận, Hành chính / Thư ký, Nhân sự</t>
        </is>
      </c>
      <c r="K13506" s="10" t="inlineStr">
        <is>
          <t>1 - 2 Năm</t>
        </is>
      </c>
      <c r="L13506" s="11">
        <f>HYPERLINK("https://careerviet.vn/vi/tim-viec-lam/chuyen-vien-tuyen-dung-yeu-cau-tieng-trung.35C6B018.html","Xem chi tiết")</f>
        <v/>
      </c>
      <c r="M13506" s="10" t="n"/>
    </row>
    <row r="13507">
      <c r="B13507" s="7" t="n">
        <v>13505</v>
      </c>
      <c r="C13507" t="inlineStr">
        <is>
          <t>QC Online (Làm theo ca, ưu tiên kinh nghiệm ngành bao bì)</t>
        </is>
      </c>
      <c r="D13507" t="inlineStr">
        <is>
          <t>Accredo Asia Packaging Co. Ltd</t>
        </is>
      </c>
      <c r="E13507" t="inlineStr">
        <is>
          <t>Lương:Cạnh tranh</t>
        </is>
      </c>
      <c r="F13507" t="inlineStr">
        <is>
          <t>Bình Dương</t>
        </is>
      </c>
      <c r="G13507" t="inlineStr">
        <is>
          <t>31-03-2026</t>
        </is>
      </c>
      <c r="H13507" t="inlineStr">
        <is>
          <t>31/03/2026</t>
        </is>
      </c>
      <c r="I13507" t="inlineStr">
        <is>
          <t>17/03/2026</t>
        </is>
      </c>
      <c r="J13507" t="inlineStr">
        <is>
          <t>Hóa học, Sản xuất / Vận hành sản xuất, Quản lý chất lượng (QA/QC)</t>
        </is>
      </c>
      <c r="K13507" t="inlineStr">
        <is>
          <t>N/A</t>
        </is>
      </c>
      <c r="L13507" s="8">
        <f>HYPERLINK("https://careerviet.vn/vi/tim-viec-lam/qc-online-lam-theo-ca-uu-tien-kinh-nghiem-nganh-bao-bi.35C6B030.html","Xem chi tiết")</f>
        <v/>
      </c>
    </row>
    <row r="13508">
      <c r="B13508" s="9" t="n">
        <v>13506</v>
      </c>
      <c r="C13508" s="10" t="inlineStr">
        <is>
          <t>Nhân viên Kế toán Tài chính</t>
        </is>
      </c>
      <c r="D13508" s="10" t="inlineStr">
        <is>
          <t>Cty CP Clear Water Metal VN</t>
        </is>
      </c>
      <c r="E13508" s="10" t="inlineStr">
        <is>
          <t>Lương:12 Tr - 20 Tr VND</t>
        </is>
      </c>
      <c r="F13508" s="10" t="inlineStr">
        <is>
          <t>Hồ Chí Minh</t>
        </is>
      </c>
      <c r="G13508" s="10" t="inlineStr">
        <is>
          <t>30-04-2026</t>
        </is>
      </c>
      <c r="H13508" s="10" t="inlineStr">
        <is>
          <t>30/04/2026</t>
        </is>
      </c>
      <c r="I13508" s="10" t="inlineStr">
        <is>
          <t>17/03/2026</t>
        </is>
      </c>
      <c r="J13508" s="10" t="inlineStr">
        <is>
          <t>Kế toán / Kiểm toán, Tài chính / Đầu tư</t>
        </is>
      </c>
      <c r="K13508" s="10" t="inlineStr">
        <is>
          <t>1 - 2 Năm</t>
        </is>
      </c>
      <c r="L13508" s="11">
        <f>HYPERLINK("https://careerviet.vn/vi/tim-viec-lam/nhan-vien-ke-toan-tai-chinh.35C6B0B0.html","Xem chi tiết")</f>
        <v/>
      </c>
      <c r="M13508" s="10" t="n"/>
    </row>
    <row r="13509">
      <c r="B13509" s="7" t="n">
        <v>13507</v>
      </c>
      <c r="C13509" t="inlineStr">
        <is>
          <t>Trưởng phòng Kinh doanh (Sales Manager)</t>
        </is>
      </c>
      <c r="D13509" t="inlineStr">
        <is>
          <t>Công Ty TNHH Truyền Thông Ureka Việt Nam</t>
        </is>
      </c>
      <c r="E13509" t="inlineStr">
        <is>
          <t>Lương:20 Tr - 40 Tr VND</t>
        </is>
      </c>
      <c r="F13509" t="inlineStr">
        <is>
          <t>Hồ Chí Minh</t>
        </is>
      </c>
      <c r="G13509" t="inlineStr">
        <is>
          <t>04-04-2026</t>
        </is>
      </c>
      <c r="H13509" t="inlineStr">
        <is>
          <t>04/04/2026</t>
        </is>
      </c>
      <c r="I13509" t="inlineStr">
        <is>
          <t>17/03/2026</t>
        </is>
      </c>
      <c r="J13509" t="inlineStr">
        <is>
          <t>Quảng cáo / Đối ngoại / Truyền Thông, Bán hàng / Kinh doanh, Tiếp thị / Marketing</t>
        </is>
      </c>
      <c r="K13509" t="inlineStr">
        <is>
          <t>3 - 5 Năm</t>
        </is>
      </c>
      <c r="L13509" s="8">
        <f>HYPERLINK("https://careerviet.vn/vi/tim-viec-lam/truong-phong-kinh-doanh-sales-manager.35C6AFC3.html","Xem chi tiết")</f>
        <v/>
      </c>
    </row>
    <row r="13510">
      <c r="B13510" s="9" t="n">
        <v>13508</v>
      </c>
      <c r="C13510" s="10" t="inlineStr">
        <is>
          <t>[Tân Biên] Admin kiêm CSKH</t>
        </is>
      </c>
      <c r="D13510" s="10" t="inlineStr">
        <is>
          <t>Công Ty Cổ Phần Vacxin Việt Nam</t>
        </is>
      </c>
      <c r="E13510" s="10" t="inlineStr">
        <is>
          <t>Lương:Cạnh tranh</t>
        </is>
      </c>
      <c r="F13510" s="10" t="inlineStr">
        <is>
          <t>Đồng Nai</t>
        </is>
      </c>
      <c r="G13510" s="10" t="inlineStr">
        <is>
          <t>11-03-2026</t>
        </is>
      </c>
      <c r="H13510" s="10" t="inlineStr">
        <is>
          <t>11/03/2026</t>
        </is>
      </c>
      <c r="I13510" s="10" t="inlineStr">
        <is>
          <t>17/03/2026</t>
        </is>
      </c>
      <c r="J13510" s="10" t="inlineStr">
        <is>
          <t>Dịch vụ khách hàng, Hành chính / Thư ký, Kế toán / Kiểm toán</t>
        </is>
      </c>
      <c r="K13510" s="10" t="inlineStr">
        <is>
          <t>1 - 3 Năm</t>
        </is>
      </c>
      <c r="L13510" s="11">
        <f>HYPERLINK("https://careerviet.vn/vi/tim-viec-lam/tan-bien-admin-kiem-cskh.35C6B0A0.html","Xem chi tiết")</f>
        <v/>
      </c>
      <c r="M13510" s="10" t="n"/>
    </row>
    <row r="13511">
      <c r="B13511" s="7" t="n">
        <v>13509</v>
      </c>
      <c r="C13511" t="inlineStr">
        <is>
          <t>NHÂN VIÊN KINH DOANH PHỤ GIA HƯƠNG LIỆU THỰC PHẨM</t>
        </is>
      </c>
      <c r="D13511" t="inlineStr">
        <is>
          <t>CÔNG TY TNHH TEVA TECH</t>
        </is>
      </c>
      <c r="E13511" t="inlineStr">
        <is>
          <t>Lương:Cạnh tranh</t>
        </is>
      </c>
      <c r="F13511" t="inlineStr">
        <is>
          <t>Hồ Chí Minh</t>
        </is>
      </c>
      <c r="G13511" t="inlineStr">
        <is>
          <t>01-05-2026</t>
        </is>
      </c>
      <c r="H13511" t="inlineStr">
        <is>
          <t>01/05/2026</t>
        </is>
      </c>
      <c r="I13511" t="inlineStr">
        <is>
          <t>17/03/2026</t>
        </is>
      </c>
      <c r="J13511" t="inlineStr">
        <is>
          <t>Bán lẻ / Bán sỉ, Bán hàng / Kinh doanh, Thực phẩm &amp; Đồ uống</t>
        </is>
      </c>
      <c r="K13511" t="inlineStr">
        <is>
          <t>N/A</t>
        </is>
      </c>
      <c r="L13511" s="8">
        <f>HYPERLINK("https://careerviet.vn/vi/tim-viec-lam/nhan-vien-kinh-doanh-phu-gia-huong-lieu-thuc-pham.35C6B09F.html","Xem chi tiết")</f>
        <v/>
      </c>
    </row>
    <row r="13512">
      <c r="B13512" s="9" t="n">
        <v>13510</v>
      </c>
      <c r="C13512" s="10" t="inlineStr">
        <is>
          <t>Nhân Viên Kinh Doanh</t>
        </is>
      </c>
      <c r="D13512" s="10" t="inlineStr">
        <is>
          <t>CÔNG TY CỔ PHẦN THÉP ĐẶC BIỆT SANHO</t>
        </is>
      </c>
      <c r="E13512" s="10" t="inlineStr">
        <is>
          <t>Lương:Thỏa Thuận</t>
        </is>
      </c>
      <c r="F13512" s="10" t="inlineStr">
        <is>
          <t>Hồ Chí Minh</t>
        </is>
      </c>
      <c r="G13512" s="10" t="inlineStr">
        <is>
          <t>05-04-2026</t>
        </is>
      </c>
      <c r="H13512" s="10" t="inlineStr">
        <is>
          <t>05/04/2026</t>
        </is>
      </c>
      <c r="I13512" s="10" t="inlineStr">
        <is>
          <t>17/03/2026</t>
        </is>
      </c>
      <c r="J13512" s="10" t="inlineStr">
        <is>
          <t>Bán hàng / Kinh doanh, Bán lẻ / Bán sỉ, Tiếp thị / Marketing</t>
        </is>
      </c>
      <c r="K13512" s="10" t="inlineStr">
        <is>
          <t>Trên 1 Năm</t>
        </is>
      </c>
      <c r="L13512" s="11">
        <f>HYPERLINK("https://careerviet.vn/vi/tim-viec-lam/nhan-vien-kinh-doanh.35C6B0C8.html","Xem chi tiết")</f>
        <v/>
      </c>
      <c r="M13512" s="10" t="n"/>
    </row>
    <row r="13513">
      <c r="B13513" s="7" t="n">
        <v>13511</v>
      </c>
      <c r="C13513" t="inlineStr">
        <is>
          <t>Giáo Viên Chủ Nhiệm (Ocean Edu (Lục Nam) - Lương Từ 15 Triệu/Đi Làm Ngay</t>
        </is>
      </c>
      <c r="D13513" t="inlineStr">
        <is>
          <t>Công Ty CP Giáo Dục Đại Dương</t>
        </is>
      </c>
      <c r="E13513" t="inlineStr">
        <is>
          <t>Lương:Cạnh tranh</t>
        </is>
      </c>
      <c r="F13513" t="inlineStr">
        <is>
          <t>Bắc Giang</t>
        </is>
      </c>
      <c r="G13513" t="inlineStr">
        <is>
          <t>04-04-2026</t>
        </is>
      </c>
      <c r="H13513" t="inlineStr">
        <is>
          <t>04/04/2026</t>
        </is>
      </c>
      <c r="I13513" t="inlineStr">
        <is>
          <t>17/03/2026</t>
        </is>
      </c>
      <c r="J13513" t="inlineStr">
        <is>
          <t>Giáo dục / Đào tạo, Bán hàng / Kinh doanh, Biên phiên dịch</t>
        </is>
      </c>
      <c r="K13513" t="inlineStr">
        <is>
          <t>Trên 1 Năm</t>
        </is>
      </c>
      <c r="L13513" s="8">
        <f>HYPERLINK("https://careerviet.vn/vi/tim-viec-lam/giao-vien-chu-nhiem-ocean-edu-luc-nam-luong-tu-15-trieu-di-lam-ngay.35C6B037.html","Xem chi tiết")</f>
        <v/>
      </c>
    </row>
    <row r="13514">
      <c r="B13514" s="9" t="n">
        <v>13512</v>
      </c>
      <c r="C13514" s="10" t="inlineStr">
        <is>
          <t>Kế Toán Tổng Hợp – Kế Toán Thuế</t>
        </is>
      </c>
      <c r="D13514" s="10" t="inlineStr">
        <is>
          <t>CÔNG TY TNHH HARICO GLOBAL</t>
        </is>
      </c>
      <c r="E13514" s="10" t="inlineStr">
        <is>
          <t>Lương:20 Tr - 25 Tr VND</t>
        </is>
      </c>
      <c r="F13514" s="10" t="inlineStr">
        <is>
          <t>Hà Nội</t>
        </is>
      </c>
      <c r="G13514" s="10" t="inlineStr">
        <is>
          <t>05-04-2026</t>
        </is>
      </c>
      <c r="H13514" s="10" t="inlineStr">
        <is>
          <t>05/04/2026</t>
        </is>
      </c>
      <c r="I13514" s="10" t="inlineStr">
        <is>
          <t>17/03/2026</t>
        </is>
      </c>
      <c r="J13514" s="10" t="inlineStr">
        <is>
          <t>N/A</t>
        </is>
      </c>
      <c r="K13514" s="10" t="inlineStr">
        <is>
          <t>3 - 5 Năm</t>
        </is>
      </c>
      <c r="L13514" s="11">
        <f>HYPERLINK("https://careerviet.vn/vi/tim-viec-lam/ke-toan-tong-hop-ke-toan-thue.35C6B0BF.html","Xem chi tiết")</f>
        <v/>
      </c>
      <c r="M13514" s="10" t="n"/>
    </row>
    <row r="13515">
      <c r="B13515" s="7" t="n">
        <v>13513</v>
      </c>
      <c r="C13515" t="inlineStr">
        <is>
          <t>CHUYÊN VIÊN PHÁP CHẾ DOANH NGHIỆP</t>
        </is>
      </c>
      <c r="D13515" t="inlineStr">
        <is>
          <t>Công ty Cổ phần Inmatech</t>
        </is>
      </c>
      <c r="E13515" t="inlineStr">
        <is>
          <t>Lương:13 Tr - 18 Tr VND</t>
        </is>
      </c>
      <c r="F13515" t="inlineStr">
        <is>
          <t>Hồ Chí Minh</t>
        </is>
      </c>
      <c r="G13515" t="inlineStr">
        <is>
          <t>04-04-2026</t>
        </is>
      </c>
      <c r="H13515" t="inlineStr">
        <is>
          <t>04/04/2026</t>
        </is>
      </c>
      <c r="I13515" t="inlineStr">
        <is>
          <t>17/03/2026</t>
        </is>
      </c>
      <c r="J13515" t="inlineStr">
        <is>
          <t>Xuất nhập khẩu, Luật / Pháp lý, Bán hàng / Kinh doanh</t>
        </is>
      </c>
      <c r="K13515" t="inlineStr">
        <is>
          <t>3 - 5 Năm</t>
        </is>
      </c>
      <c r="L13515" s="8">
        <f>HYPERLINK("https://careerviet.vn/vi/tim-viec-lam/chuyen-vien-phap-che-doanh-nghiep.35C6B042.html","Xem chi tiết")</f>
        <v/>
      </c>
    </row>
    <row r="13516">
      <c r="B13516" s="9" t="n">
        <v>13514</v>
      </c>
      <c r="C13516" s="10" t="inlineStr">
        <is>
          <t>Chuyên viên Cao cấp Marcom Khách hàng Doanh nghiệp (EB) - Popplife - 4Z003</t>
        </is>
      </c>
      <c r="D13516" s="10" t="inlineStr">
        <is>
          <t>Tập đoàn ROX (ROX Group)</t>
        </is>
      </c>
      <c r="E13516" s="10" t="inlineStr">
        <is>
          <t>Lương:Cạnh tranh</t>
        </is>
      </c>
      <c r="F13516" s="10" t="inlineStr">
        <is>
          <t>Hà Nội</t>
        </is>
      </c>
      <c r="G13516" s="10" t="inlineStr">
        <is>
          <t>04-04-2026</t>
        </is>
      </c>
      <c r="H13516" s="10" t="inlineStr">
        <is>
          <t>04/04/2026</t>
        </is>
      </c>
      <c r="I13516" s="10" t="inlineStr">
        <is>
          <t>17/03/2026</t>
        </is>
      </c>
      <c r="J13516" s="10" t="inlineStr">
        <is>
          <t>Tiếp thị / Marketing, Quảng cáo / Đối ngoại / Truyền Thông</t>
        </is>
      </c>
      <c r="K13516" s="10" t="inlineStr">
        <is>
          <t>Trên 5 Năm</t>
        </is>
      </c>
      <c r="L13516" s="11">
        <f>HYPERLINK("https://careerviet.vn/vi/tim-viec-lam/chuyen-vien-cao-cap-marcom-khach-hang-doanh-nghiep-eb-popplife-4z003.35C6B0CB.html","Xem chi tiết")</f>
        <v/>
      </c>
      <c r="M13516" s="10" t="n"/>
    </row>
    <row r="13517">
      <c r="B13517" s="7" t="n">
        <v>13515</v>
      </c>
      <c r="C13517" t="inlineStr">
        <is>
          <t>SENIOR QUALITY ASSURANCE EXECUTIVE</t>
        </is>
      </c>
      <c r="D13517" t="inlineStr">
        <is>
          <t>Công ty Cổ phần S.I.M. VN</t>
        </is>
      </c>
      <c r="E13517" t="inlineStr">
        <is>
          <t>Lương:20 Tr - 30 Tr VND</t>
        </is>
      </c>
      <c r="F13517" t="inlineStr">
        <is>
          <t>Long An</t>
        </is>
      </c>
      <c r="G13517" t="inlineStr">
        <is>
          <t>11-03-2026</t>
        </is>
      </c>
      <c r="H13517" t="inlineStr">
        <is>
          <t>14/03/2026</t>
        </is>
      </c>
      <c r="I13517" t="inlineStr">
        <is>
          <t>17/03/2026</t>
        </is>
      </c>
      <c r="J13517" t="inlineStr">
        <is>
          <t>Thực phẩm &amp; Đồ uống, Công nghệ thực phẩm / Dinh dưỡng, Quản lý chất lượng (QA/QC)</t>
        </is>
      </c>
      <c r="K13517" t="inlineStr">
        <is>
          <t>Chưa có kinh nghiệm</t>
        </is>
      </c>
      <c r="L13517" s="8">
        <f>HYPERLINK("https://careerviet.vn/vi/tim-viec-lam/senior-quality-assurance-executive.35C6B088.html","Xem chi tiết")</f>
        <v/>
      </c>
    </row>
    <row r="13518">
      <c r="B13518" s="9" t="n">
        <v>13516</v>
      </c>
      <c r="C13518" s="10" t="inlineStr">
        <is>
          <t>CÔNG NHÂN BẢO TRÌ MÁY</t>
        </is>
      </c>
      <c r="D13518" s="10" t="inlineStr">
        <is>
          <t>Công Ty TNHH Công Nghiệp Kolon Bình Dương</t>
        </is>
      </c>
      <c r="E13518" s="10" t="inlineStr">
        <is>
          <t>Lương:8 Tr - 15 Tr VND</t>
        </is>
      </c>
      <c r="F13518" s="10" t="inlineStr">
        <is>
          <t>Bình Dương</t>
        </is>
      </c>
      <c r="G13518" s="10" t="inlineStr">
        <is>
          <t>30-05-2026</t>
        </is>
      </c>
      <c r="H13518" s="10" t="inlineStr">
        <is>
          <t>30/05/2026</t>
        </is>
      </c>
      <c r="I13518" s="10" t="inlineStr">
        <is>
          <t>17/03/2026</t>
        </is>
      </c>
      <c r="J13518" s="10" t="inlineStr">
        <is>
          <t>Bảo trì / Sửa chữa, Điện / Điện tử / Điện lạnh / Điện công nghiệp, Cơ khí / Ô tô / Tự động hóa</t>
        </is>
      </c>
      <c r="K13518" s="10" t="inlineStr">
        <is>
          <t>N/A</t>
        </is>
      </c>
      <c r="L13518" s="11">
        <f>HYPERLINK("https://careerviet.vn/vi/tim-viec-lam/cong-nhan-bao-tri-may.35C6B009.html","Xem chi tiết")</f>
        <v/>
      </c>
      <c r="M13518" s="10" t="n"/>
    </row>
    <row r="13519">
      <c r="B13519" s="7" t="n">
        <v>13517</v>
      </c>
      <c r="C13519" t="inlineStr">
        <is>
          <t>Senior Sales Executive (Nguyên liệu, phụ gia ngành bánh kẹo)</t>
        </is>
      </c>
      <c r="D13519" t="inlineStr">
        <is>
          <t>Công ty Cổ phần S.I.M. VN</t>
        </is>
      </c>
      <c r="E13519" t="inlineStr">
        <is>
          <t>Lương:20 Tr - 25 Tr VND</t>
        </is>
      </c>
      <c r="F13519" t="inlineStr">
        <is>
          <t>Bắc Ninh</t>
        </is>
      </c>
      <c r="G13519" t="inlineStr">
        <is>
          <t>11-03-2026</t>
        </is>
      </c>
      <c r="H13519" t="inlineStr">
        <is>
          <t>10/03/2026</t>
        </is>
      </c>
      <c r="I13519" t="inlineStr">
        <is>
          <t>17/03/2026</t>
        </is>
      </c>
      <c r="J13519" t="inlineStr">
        <is>
          <t>Bán hàng / Kinh doanh, Thực phẩm &amp; Đồ uống, Xuất nhập khẩu</t>
        </is>
      </c>
      <c r="K13519" t="inlineStr">
        <is>
          <t>3 - 4 Năm</t>
        </is>
      </c>
      <c r="L13519" s="8">
        <f>HYPERLINK("https://careerviet.vn/vi/tim-viec-lam/senior-sales-executive-nguyen-lieu-phu-gia-nganh-banh-keo.35C6B08B.html","Xem chi tiết")</f>
        <v/>
      </c>
    </row>
    <row r="13520">
      <c r="B13520" s="9" t="n">
        <v>13518</v>
      </c>
      <c r="C13520" s="10" t="inlineStr">
        <is>
          <t>NHÂN VIÊN HÀNH CHÍNH - LỄ TÂN</t>
        </is>
      </c>
      <c r="D13520" s="10" t="inlineStr">
        <is>
          <t>Công ty Cổ phần Mạc Tích (MARTECH)</t>
        </is>
      </c>
      <c r="E13520" s="10" t="inlineStr">
        <is>
          <t>Lương:Cạnh tranh</t>
        </is>
      </c>
      <c r="F13520" s="10" t="inlineStr">
        <is>
          <t>Đồng Nai</t>
        </is>
      </c>
      <c r="G13520" s="10" t="inlineStr">
        <is>
          <t>15-04-2026</t>
        </is>
      </c>
      <c r="H13520" s="10" t="inlineStr">
        <is>
          <t>15/04/2026</t>
        </is>
      </c>
      <c r="I13520" s="10" t="inlineStr">
        <is>
          <t>17/03/2026</t>
        </is>
      </c>
      <c r="J13520" s="10" t="inlineStr">
        <is>
          <t>Hành chính / Thư ký, Nhân sự</t>
        </is>
      </c>
      <c r="K13520" s="10" t="inlineStr">
        <is>
          <t>+ Có kinh nghiệm về,</t>
        </is>
      </c>
      <c r="L13520" s="11">
        <f>HYPERLINK("https://careerviet.vn/vi/tim-viec-lam/nhan-vien-hanh-chinh-le-tan.35C6B091.html","Xem chi tiết")</f>
        <v/>
      </c>
      <c r="M13520" s="10" t="n"/>
    </row>
    <row r="13521">
      <c r="B13521" s="7" t="n">
        <v>13519</v>
      </c>
      <c r="C13521" t="inlineStr">
        <is>
          <t>Trợ Lý Kinh Doanh (Mảng Xuất Nhập Khẩu)</t>
        </is>
      </c>
      <c r="D13521" t="inlineStr">
        <is>
          <t>CÔNG TY TNHH TEX YEAR VIỆT NAM</t>
        </is>
      </c>
      <c r="E13521" t="inlineStr">
        <is>
          <t>Lương:12 Tr - 15 Tr VND</t>
        </is>
      </c>
      <c r="F13521" t="inlineStr">
        <is>
          <t>Bình Dương</t>
        </is>
      </c>
      <c r="G13521" t="inlineStr">
        <is>
          <t>31-03-2026</t>
        </is>
      </c>
      <c r="H13521" t="inlineStr">
        <is>
          <t>31/03/2026</t>
        </is>
      </c>
      <c r="I13521" t="inlineStr">
        <is>
          <t>17/03/2026</t>
        </is>
      </c>
      <c r="J13521" t="inlineStr">
        <is>
          <t>Bán hàng / Kinh doanh, Xuất nhập khẩu, Sản xuất / Vận hành sản xuất</t>
        </is>
      </c>
      <c r="K13521" t="inlineStr">
        <is>
          <t>N/A</t>
        </is>
      </c>
      <c r="L13521" s="8">
        <f>HYPERLINK("https://careerviet.vn/vi/tim-viec-lam/tro-ly-kinh-doanh-mang-xuat-nhap-khau.35C6AF7F.html","Xem chi tiết")</f>
        <v/>
      </c>
    </row>
    <row r="13522">
      <c r="B13522" s="9" t="n">
        <v>13520</v>
      </c>
      <c r="C13522" s="10" t="inlineStr">
        <is>
          <t>Chuyên viên đào tạo</t>
        </is>
      </c>
      <c r="D13522" s="10" t="inlineStr">
        <is>
          <t>Công ty TNHH TOM Group Việt Nam</t>
        </is>
      </c>
      <c r="E13522" s="10" t="inlineStr">
        <is>
          <t>Lương:Cạnh tranh</t>
        </is>
      </c>
      <c r="F13522" s="10" t="inlineStr">
        <is>
          <t>Hồ Chí Minh</t>
        </is>
      </c>
      <c r="G13522" s="10" t="inlineStr">
        <is>
          <t>15-04-2026</t>
        </is>
      </c>
      <c r="H13522" s="10" t="inlineStr">
        <is>
          <t>15/04/2026</t>
        </is>
      </c>
      <c r="I13522" s="10" t="inlineStr">
        <is>
          <t>17/03/2026</t>
        </is>
      </c>
      <c r="J13522" s="10" t="inlineStr">
        <is>
          <t>Bán hàng / Kinh doanh, Tiếp thị / Marketing, Giáo dục / Đào tạo</t>
        </is>
      </c>
      <c r="K13522" s="10" t="inlineStr">
        <is>
          <t>3 - 4 Năm</t>
        </is>
      </c>
      <c r="L13522" s="11">
        <f>HYPERLINK("https://careerviet.vn/vi/tim-viec-lam/chuyen-vien-dao-tao.35C6B013.html","Xem chi tiết")</f>
        <v/>
      </c>
      <c r="M13522" s="10" t="n"/>
    </row>
    <row r="13523">
      <c r="B13523" s="7" t="n">
        <v>13521</v>
      </c>
      <c r="C13523" t="inlineStr">
        <is>
          <t>Trưởng Nhóm Tuyển Sinh (Ocean Edu Quỳnh Phụ) - Lương Từ 18 Triệu/Đi Làm Ngay</t>
        </is>
      </c>
      <c r="D13523" t="inlineStr">
        <is>
          <t>Công Ty CP Giáo Dục Đại Dương</t>
        </is>
      </c>
      <c r="E13523" t="inlineStr">
        <is>
          <t>Lương:Cạnh tranh</t>
        </is>
      </c>
      <c r="F13523" t="inlineStr">
        <is>
          <t>Thái Bình</t>
        </is>
      </c>
      <c r="G13523" t="inlineStr">
        <is>
          <t>04-04-2026</t>
        </is>
      </c>
      <c r="H13523" t="inlineStr">
        <is>
          <t>04/04/2026</t>
        </is>
      </c>
      <c r="I13523" t="inlineStr">
        <is>
          <t>17/03/2026</t>
        </is>
      </c>
      <c r="J13523" t="inlineStr">
        <is>
          <t>Tư vấn, Dịch vụ khách hàng, Giáo dục / Đào tạo</t>
        </is>
      </c>
      <c r="K13523" t="inlineStr">
        <is>
          <t>1 - 2 Năm</t>
        </is>
      </c>
      <c r="L13523" s="8">
        <f>HYPERLINK("https://careerviet.vn/vi/tim-viec-lam/truong-nhom-tuyen-sinh-ocean-edu-quynh-phu-luong-tu-18-trieu-di-lam-ngay.35C6AF1B.html","Xem chi tiết")</f>
        <v/>
      </c>
    </row>
    <row r="13524">
      <c r="B13524" s="9" t="n">
        <v>13522</v>
      </c>
      <c r="C13524" s="10" t="inlineStr">
        <is>
          <t>PLANNING EXECUTIVE</t>
        </is>
      </c>
      <c r="D13524" s="10" t="inlineStr">
        <is>
          <t>Công ty Cổ phần S.I.M. VN</t>
        </is>
      </c>
      <c r="E13524" s="10" t="inlineStr">
        <is>
          <t>Lương:18 Tr - 25 Tr VND</t>
        </is>
      </c>
      <c r="F13524" s="10" t="inlineStr">
        <is>
          <t>Hồ Chí Minh</t>
        </is>
      </c>
      <c r="G13524" s="10" t="inlineStr">
        <is>
          <t>11-03-2026</t>
        </is>
      </c>
      <c r="H13524" s="10" t="inlineStr">
        <is>
          <t>12/03/2026</t>
        </is>
      </c>
      <c r="I13524" s="10" t="inlineStr">
        <is>
          <t>17/03/2026</t>
        </is>
      </c>
      <c r="J13524" s="10" t="inlineStr">
        <is>
          <t>Thực phẩm &amp; Đồ uống, Công nghệ thực phẩm / Dinh dưỡng, Thu mua / Vật tư</t>
        </is>
      </c>
      <c r="K13524" s="10" t="inlineStr">
        <is>
          <t>3 - 4 Năm</t>
        </is>
      </c>
      <c r="L13524" s="11">
        <f>HYPERLINK("https://careerviet.vn/vi/tim-viec-lam/planning-executive.35C6B082.html","Xem chi tiết")</f>
        <v/>
      </c>
      <c r="M13524" s="10" t="n"/>
    </row>
    <row r="13525">
      <c r="B13525" s="7" t="n">
        <v>13523</v>
      </c>
      <c r="C13525" t="inlineStr">
        <is>
          <t>Thí nghiệm công trình</t>
        </is>
      </c>
      <c r="D13525" t="inlineStr">
        <is>
          <t>Viet Han Concrete JSC.,</t>
        </is>
      </c>
      <c r="E13525" t="inlineStr">
        <is>
          <t>Lương:8 Tr - 15 Tr VND</t>
        </is>
      </c>
      <c r="F13525" t="inlineStr">
        <is>
          <t>Hồ Chí MinhBà Rịa - Vũng TàuĐồng Nai</t>
        </is>
      </c>
      <c r="G13525" t="inlineStr">
        <is>
          <t>05-04-2026</t>
        </is>
      </c>
      <c r="H13525" t="inlineStr">
        <is>
          <t>05/04/2026</t>
        </is>
      </c>
      <c r="I13525" t="inlineStr">
        <is>
          <t>17/03/2026</t>
        </is>
      </c>
      <c r="J13525" t="inlineStr">
        <is>
          <t>Xây dựng, Sản xuất / Vận hành sản xuất</t>
        </is>
      </c>
      <c r="K13525" t="inlineStr">
        <is>
          <t>N/A</t>
        </is>
      </c>
      <c r="L13525" s="8">
        <f>HYPERLINK("https://careerviet.vn/vi/tim-viec-lam/thi-nghiem-cong-trinh.35C6B074.html","Xem chi tiết")</f>
        <v/>
      </c>
    </row>
    <row r="13526">
      <c r="B13526" s="9" t="n">
        <v>13524</v>
      </c>
      <c r="C13526" s="10" t="inlineStr">
        <is>
          <t>Trưởng Nhóm Tuyển Sinh (Ocean Edu Trương Định) - Lương Từ 19 Triệu/Đi Làm Ngay</t>
        </is>
      </c>
      <c r="D13526" s="10" t="inlineStr">
        <is>
          <t>Công Ty CP Giáo Dục Đại Dương</t>
        </is>
      </c>
      <c r="E13526" s="10" t="inlineStr">
        <is>
          <t>Lương:Cạnh tranh</t>
        </is>
      </c>
      <c r="F13526" s="10" t="inlineStr">
        <is>
          <t>Hà Nội</t>
        </is>
      </c>
      <c r="G13526" s="10" t="inlineStr">
        <is>
          <t>04-04-2026</t>
        </is>
      </c>
      <c r="H13526" s="10" t="inlineStr">
        <is>
          <t>04/04/2026</t>
        </is>
      </c>
      <c r="I13526" s="10" t="inlineStr">
        <is>
          <t>17/03/2026</t>
        </is>
      </c>
      <c r="J13526" s="10" t="inlineStr">
        <is>
          <t>Tư vấn, Dịch vụ khách hàng, Giáo dục / Đào tạo</t>
        </is>
      </c>
      <c r="K13526" s="10" t="inlineStr">
        <is>
          <t>1 - 2 Năm</t>
        </is>
      </c>
      <c r="L13526" s="11">
        <f>HYPERLINK("https://careerviet.vn/vi/tim-viec-lam/truong-nhom-tuyen-sinh-ocean-edu-truong-dinh-luong-tu-19-trieu-di-lam-ngay.35C6AF1F.html","Xem chi tiết")</f>
        <v/>
      </c>
      <c r="M13526" s="10" t="n"/>
    </row>
    <row r="13527">
      <c r="B13527" s="7" t="n">
        <v>13525</v>
      </c>
      <c r="C13527" t="inlineStr">
        <is>
          <t>Trưởng Nhóm Tuyển Sinh (Ocean Edu Yên Dũng)</t>
        </is>
      </c>
      <c r="D13527" t="inlineStr">
        <is>
          <t>Công Ty CP Giáo Dục Đại Dương</t>
        </is>
      </c>
      <c r="E13527" t="inlineStr">
        <is>
          <t>Lương:Cạnh tranh</t>
        </is>
      </c>
      <c r="F13527" t="inlineStr">
        <is>
          <t>Bắc Giang</t>
        </is>
      </c>
      <c r="G13527" t="inlineStr">
        <is>
          <t>04-04-2026</t>
        </is>
      </c>
      <c r="H13527" t="inlineStr">
        <is>
          <t>04/04/2026</t>
        </is>
      </c>
      <c r="I13527" t="inlineStr">
        <is>
          <t>17/03/2026</t>
        </is>
      </c>
      <c r="J13527" t="inlineStr">
        <is>
          <t>Tư vấn, Dịch vụ khách hàng, Giáo dục / Đào tạo</t>
        </is>
      </c>
      <c r="K13527" t="inlineStr">
        <is>
          <t>1 - 2 Năm</t>
        </is>
      </c>
      <c r="L13527" s="8">
        <f>HYPERLINK("https://careerviet.vn/vi/tim-viec-lam/truong-nhom-tuyen-sinh-ocean-edu-yen-dung.35C6B135.html","Xem chi tiết")</f>
        <v/>
      </c>
    </row>
    <row r="13528">
      <c r="B13528" s="9" t="n">
        <v>13526</v>
      </c>
      <c r="C13528" s="10" t="inlineStr">
        <is>
          <t>Chuyên viên Cao cấp Marketing Phân khúc Khách hàng từ lương - Popplife - 4Z002</t>
        </is>
      </c>
      <c r="D13528" s="10" t="inlineStr">
        <is>
          <t>Tập đoàn ROX (ROX Group)</t>
        </is>
      </c>
      <c r="E13528" s="10" t="inlineStr">
        <is>
          <t>Lương:Cạnh tranh</t>
        </is>
      </c>
      <c r="F13528" s="10" t="inlineStr">
        <is>
          <t>Hà Nội</t>
        </is>
      </c>
      <c r="G13528" s="10" t="inlineStr">
        <is>
          <t>04-04-2026</t>
        </is>
      </c>
      <c r="H13528" s="10" t="inlineStr">
        <is>
          <t>04/04/2026</t>
        </is>
      </c>
      <c r="I13528" s="10" t="inlineStr">
        <is>
          <t>17/03/2026</t>
        </is>
      </c>
      <c r="J13528" s="10" t="inlineStr">
        <is>
          <t>Quảng cáo / Đối ngoại / Truyền Thông</t>
        </is>
      </c>
      <c r="K13528" s="10" t="inlineStr">
        <is>
          <t>Trên 3 Năm</t>
        </is>
      </c>
      <c r="L13528" s="11">
        <f>HYPERLINK("https://careerviet.vn/vi/tim-viec-lam/chuyen-vien-cao-cap-marketing-phan-khuc-khach-hang-tu-luong-popplife-4z002.35C6AF50.html","Xem chi tiết")</f>
        <v/>
      </c>
      <c r="M13528" s="10" t="n"/>
    </row>
    <row r="13529">
      <c r="B13529" s="7" t="n">
        <v>13527</v>
      </c>
      <c r="C13529" t="inlineStr">
        <is>
          <t>[Can Tho] Customer Services Executive</t>
        </is>
      </c>
      <c r="D13529" t="inlineStr">
        <is>
          <t>EUROFINS VIETNAM</t>
        </is>
      </c>
      <c r="E13529" t="inlineStr">
        <is>
          <t>Lương:Cạnh tranh</t>
        </is>
      </c>
      <c r="F13529" t="inlineStr">
        <is>
          <t>Cần Thơ</t>
        </is>
      </c>
      <c r="G13529" t="inlineStr">
        <is>
          <t>31-03-2026</t>
        </is>
      </c>
      <c r="H13529" t="inlineStr">
        <is>
          <t>31/03/2026</t>
        </is>
      </c>
      <c r="I13529" t="inlineStr">
        <is>
          <t>17/03/2026</t>
        </is>
      </c>
      <c r="J13529" t="inlineStr">
        <is>
          <t>Dịch vụ khách hàng, Công nghệ thực phẩm / Dinh dưỡng, Hóa học</t>
        </is>
      </c>
      <c r="K13529" t="inlineStr">
        <is>
          <t>1 - 2 Năm</t>
        </is>
      </c>
      <c r="L13529" s="8">
        <f>HYPERLINK("https://careerviet.vn/vi/tim-viec-lam/can-tho-customer-services-executive.35C6B010.html","Xem chi tiết")</f>
        <v/>
      </c>
    </row>
    <row r="13530">
      <c r="B13530" s="9" t="n">
        <v>13528</v>
      </c>
      <c r="C13530" s="10" t="inlineStr">
        <is>
          <t>Trưởng Nhóm Marketing</t>
        </is>
      </c>
      <c r="D13530" s="10" t="inlineStr">
        <is>
          <t>Công Ty TNHH Thương Mại Xuất Nhập Khẩu Fani</t>
        </is>
      </c>
      <c r="E13530" s="10" t="inlineStr">
        <is>
          <t>Lương:25 Tr - 40 Tr VND</t>
        </is>
      </c>
      <c r="F13530" s="10" t="inlineStr">
        <is>
          <t>Hà Nội</t>
        </is>
      </c>
      <c r="G13530" s="10" t="inlineStr">
        <is>
          <t>31-03-2026</t>
        </is>
      </c>
      <c r="H13530" s="10" t="inlineStr">
        <is>
          <t>31/03/2026</t>
        </is>
      </c>
      <c r="I13530" s="10" t="inlineStr">
        <is>
          <t>17/03/2026</t>
        </is>
      </c>
      <c r="J13530" s="10" t="inlineStr">
        <is>
          <t>Tiếp thị / Marketing</t>
        </is>
      </c>
      <c r="K13530" s="10" t="inlineStr">
        <is>
          <t>3 - 5 Năm</t>
        </is>
      </c>
      <c r="L13530" s="11">
        <f>HYPERLINK("https://careerviet.vn/vi/tim-viec-lam/truong-nhom-marketing.35C6B068.html","Xem chi tiết")</f>
        <v/>
      </c>
      <c r="M13530" s="10" t="n"/>
    </row>
    <row r="13531">
      <c r="B13531" s="7" t="n">
        <v>13529</v>
      </c>
      <c r="C13531" t="inlineStr">
        <is>
          <t>MARKETING ADMIN</t>
        </is>
      </c>
      <c r="D13531" t="inlineStr">
        <is>
          <t>Công ty TNHH TOM Group Việt Nam</t>
        </is>
      </c>
      <c r="E13531" t="inlineStr">
        <is>
          <t>Lương:8 Tr - 15 Tr VND</t>
        </is>
      </c>
      <c r="F13531" t="inlineStr">
        <is>
          <t>Hồ Chí Minh</t>
        </is>
      </c>
      <c r="G13531" t="inlineStr">
        <is>
          <t>15-04-2026</t>
        </is>
      </c>
      <c r="H13531" t="inlineStr">
        <is>
          <t>15/04/2026</t>
        </is>
      </c>
      <c r="I13531" t="inlineStr">
        <is>
          <t>17/03/2026</t>
        </is>
      </c>
      <c r="J13531" t="inlineStr">
        <is>
          <t>Tiếp thị / Marketing</t>
        </is>
      </c>
      <c r="K13531" t="inlineStr">
        <is>
          <t>1 - 2 Năm</t>
        </is>
      </c>
      <c r="L13531" s="8">
        <f>HYPERLINK("https://careerviet.vn/vi/tim-viec-lam/marketing-admin.35C6AF29.html","Xem chi tiết")</f>
        <v/>
      </c>
    </row>
    <row r="13532">
      <c r="B13532" s="9" t="n">
        <v>13530</v>
      </c>
      <c r="C13532" s="10" t="inlineStr">
        <is>
          <t>Trợ lý Tổng Giám đốc (Mảng Đối Ngoại)</t>
        </is>
      </c>
      <c r="D13532" s="10" t="inlineStr">
        <is>
          <t>Công ty Cổ phần Tập đoàn Meey Land</t>
        </is>
      </c>
      <c r="E13532" s="10" t="inlineStr">
        <is>
          <t>Lương:15 Tr - 45 Tr VND</t>
        </is>
      </c>
      <c r="F13532" s="10" t="inlineStr">
        <is>
          <t>Hà Nội</t>
        </is>
      </c>
      <c r="G13532" s="10" t="inlineStr">
        <is>
          <t>09-05-2026</t>
        </is>
      </c>
      <c r="H13532" s="10" t="inlineStr">
        <is>
          <t>09/05/2026</t>
        </is>
      </c>
      <c r="I13532" s="10" t="inlineStr">
        <is>
          <t>17/03/2026</t>
        </is>
      </c>
      <c r="J13532" s="10" t="inlineStr">
        <is>
          <t>CNTT - Phần mềm, Quảng cáo / Đối ngoại / Truyền Thông, Bất động sản</t>
        </is>
      </c>
      <c r="K13532" s="10" t="inlineStr">
        <is>
          <t>2 - 3 Năm</t>
        </is>
      </c>
      <c r="L13532" s="11">
        <f>HYPERLINK("https://careerviet.vn/vi/tim-viec-lam/tro-ly-tong-giam-doc-mang-doi-ngoai.35C6AF9D.html","Xem chi tiết")</f>
        <v/>
      </c>
      <c r="M13532" s="10" t="n"/>
    </row>
    <row r="13533">
      <c r="B13533" s="7" t="n">
        <v>13531</v>
      </c>
      <c r="C13533" t="inlineStr">
        <is>
          <t>Giáo Viên Chủ Nhiệm (Ocean Edu Nho Quan) - Lương Từ 15 Triệu/Đi Làm Ngay</t>
        </is>
      </c>
      <c r="D13533" t="inlineStr">
        <is>
          <t>Công Ty CP Giáo Dục Đại Dương</t>
        </is>
      </c>
      <c r="E13533" t="inlineStr">
        <is>
          <t>Lương:Cạnh tranh</t>
        </is>
      </c>
      <c r="F13533" t="inlineStr">
        <is>
          <t>Ninh Bình</t>
        </is>
      </c>
      <c r="G13533" t="inlineStr">
        <is>
          <t>04-04-2026</t>
        </is>
      </c>
      <c r="H13533" t="inlineStr">
        <is>
          <t>04/04/2026</t>
        </is>
      </c>
      <c r="I13533" t="inlineStr">
        <is>
          <t>17/03/2026</t>
        </is>
      </c>
      <c r="J13533" t="inlineStr">
        <is>
          <t>Giáo dục / Đào tạo, Bán hàng / Kinh doanh, Biên phiên dịch</t>
        </is>
      </c>
      <c r="K13533" t="inlineStr">
        <is>
          <t>Trên 1 Năm</t>
        </is>
      </c>
      <c r="L13533" s="8">
        <f>HYPERLINK("https://careerviet.vn/vi/tim-viec-lam/giao-vien-chu-nhiem-ocean-edu-nho-quan-luong-tu-15-trieu-di-lam-ngay.35C6B020.html","Xem chi tiết")</f>
        <v/>
      </c>
    </row>
    <row r="13534">
      <c r="B13534" s="9" t="n">
        <v>13532</v>
      </c>
      <c r="C13534" s="10" t="inlineStr">
        <is>
          <t>[HCM] Giám Sát Bán Hàng Kênh Siêu Thị/ Sales Supervisor Kênh MT (Base HCM Phụ Trách Tỉnh)</t>
        </is>
      </c>
      <c r="D13534" s="10" t="inlineStr">
        <is>
          <t>Công Ty Cổ Phần Diana Unicharm</t>
        </is>
      </c>
      <c r="E13534" s="10" t="inlineStr">
        <is>
          <t>Lương:Cạnh tranh</t>
        </is>
      </c>
      <c r="F13534" s="10" t="inlineStr">
        <is>
          <t>Hồ Chí Minh</t>
        </is>
      </c>
      <c r="G13534" s="10" t="inlineStr">
        <is>
          <t>10-04-2026</t>
        </is>
      </c>
      <c r="H13534" s="10" t="inlineStr">
        <is>
          <t>10/04/2026</t>
        </is>
      </c>
      <c r="I13534" s="10" t="inlineStr">
        <is>
          <t>17/03/2026</t>
        </is>
      </c>
      <c r="J13534" s="10" t="inlineStr">
        <is>
          <t>Bán lẻ / Bán sỉ, Bán hàng / Kinh doanh, Hàng gia dụng / Chăm sóc cá nhân</t>
        </is>
      </c>
      <c r="K13534" s="10" t="inlineStr">
        <is>
          <t>3 - 5 Năm</t>
        </is>
      </c>
      <c r="L13534" s="11">
        <f>HYPERLINK("https://careerviet.vn/vi/tim-viec-lam/hcm-giam-sat-ban-hang-kenh-sieu-thi-sales-supervisor-kenh-mt-base-hcm-phu-trach-tinh.35C6AFB4.html","Xem chi tiết")</f>
        <v/>
      </c>
      <c r="M13534" s="10" t="n"/>
    </row>
    <row r="13535">
      <c r="B13535" s="7" t="n">
        <v>13533</v>
      </c>
      <c r="C13535" t="inlineStr">
        <is>
          <t>Trưởng nhóm nhân sự</t>
        </is>
      </c>
      <c r="D13535" t="inlineStr">
        <is>
          <t>CÔNG TY CỔ PHẦN ĐẦU TƯ BẤT ĐỘNG SẢN LÊ VIN LAND</t>
        </is>
      </c>
      <c r="E13535" t="inlineStr">
        <is>
          <t>Lương:10 Tr - 15 Tr VND</t>
        </is>
      </c>
      <c r="F13535" t="inlineStr">
        <is>
          <t>Hồ Chí Minh</t>
        </is>
      </c>
      <c r="G13535" t="inlineStr">
        <is>
          <t>31-03-2026</t>
        </is>
      </c>
      <c r="H13535" t="inlineStr">
        <is>
          <t>31/03/2026</t>
        </is>
      </c>
      <c r="I13535" t="inlineStr">
        <is>
          <t>17/03/2026</t>
        </is>
      </c>
      <c r="J13535" t="inlineStr">
        <is>
          <t>Nhân sự, Hành chính / Thư ký, Kế toán / Kiểm toán</t>
        </is>
      </c>
      <c r="K13535" t="inlineStr">
        <is>
          <t>1 - 2 Năm</t>
        </is>
      </c>
      <c r="L13535" s="8">
        <f>HYPERLINK("https://careerviet.vn/vi/tim-viec-lam/truong-nhom-nhan-su.35C60F7E.html","Xem chi tiết")</f>
        <v/>
      </c>
    </row>
    <row r="13536">
      <c r="B13536" s="9" t="n">
        <v>13534</v>
      </c>
      <c r="C13536" s="10" t="inlineStr">
        <is>
          <t>HSE - Safety Staff</t>
        </is>
      </c>
      <c r="D13536" s="10" t="inlineStr">
        <is>
          <t>Vietnam Furniture Resources (VFR)</t>
        </is>
      </c>
      <c r="E13536" s="10" t="inlineStr">
        <is>
          <t>Lương:Cạnh tranh</t>
        </is>
      </c>
      <c r="F13536" s="10" t="inlineStr">
        <is>
          <t>Bình Dương</t>
        </is>
      </c>
      <c r="G13536" s="10" t="inlineStr">
        <is>
          <t>06-04-2026</t>
        </is>
      </c>
      <c r="H13536" s="10" t="inlineStr">
        <is>
          <t>06/04/2026</t>
        </is>
      </c>
      <c r="I13536" s="10" t="inlineStr">
        <is>
          <t>17/03/2026</t>
        </is>
      </c>
      <c r="J13536" s="10" t="inlineStr">
        <is>
          <t>Đồ gỗ, An toàn lao động, Nội ngoại thất</t>
        </is>
      </c>
      <c r="K13536" s="10" t="inlineStr">
        <is>
          <t>2 - 3 Năm</t>
        </is>
      </c>
      <c r="L13536" s="11">
        <f>HYPERLINK("https://careerviet.vn/vi/tim-viec-lam/hse-safety-staff.35C6AF68.html","Xem chi tiết")</f>
        <v/>
      </c>
      <c r="M13536" s="10" t="n"/>
    </row>
    <row r="13537">
      <c r="B13537" s="7" t="n">
        <v>13535</v>
      </c>
      <c r="C13537" t="inlineStr">
        <is>
          <t>Trưởng Nhóm Tuyển Sinh (Ocean Edu Phù Đổng)</t>
        </is>
      </c>
      <c r="D13537" t="inlineStr">
        <is>
          <t>Công Ty CP Giáo Dục Đại Dương</t>
        </is>
      </c>
      <c r="E13537" t="inlineStr">
        <is>
          <t>Lương:Cạnh tranh</t>
        </is>
      </c>
      <c r="F13537" t="inlineStr">
        <is>
          <t>Hà Nội</t>
        </is>
      </c>
      <c r="G13537" t="inlineStr">
        <is>
          <t>04-04-2026</t>
        </is>
      </c>
      <c r="H13537" t="inlineStr">
        <is>
          <t>04/04/2026</t>
        </is>
      </c>
      <c r="I13537" t="inlineStr">
        <is>
          <t>17/03/2026</t>
        </is>
      </c>
      <c r="J13537" t="inlineStr">
        <is>
          <t>Tư vấn, Dịch vụ khách hàng, Giáo dục / Đào tạo</t>
        </is>
      </c>
      <c r="K13537" t="inlineStr">
        <is>
          <t>1 - 2 Năm</t>
        </is>
      </c>
      <c r="L13537" s="8">
        <f>HYPERLINK("https://careerviet.vn/vi/tim-viec-lam/truong-nhom-tuyen-sinh-ocean-edu-phu-dong.35C6AFB1.html","Xem chi tiết")</f>
        <v/>
      </c>
    </row>
    <row r="13538">
      <c r="B13538" s="9" t="n">
        <v>13536</v>
      </c>
      <c r="C13538" s="10" t="inlineStr">
        <is>
          <t>Nhân viên KCS</t>
        </is>
      </c>
      <c r="D13538" s="10" t="inlineStr">
        <is>
          <t>CÔNG TY CP BIA &amp; NGK HẠ LONG</t>
        </is>
      </c>
      <c r="E13538" s="10" t="inlineStr">
        <is>
          <t>Lương:10 Tr - 12 Tr VND</t>
        </is>
      </c>
      <c r="F13538" s="10" t="inlineStr">
        <is>
          <t>Quảng Ninh</t>
        </is>
      </c>
      <c r="G13538" s="10" t="inlineStr">
        <is>
          <t>04-04-2026</t>
        </is>
      </c>
      <c r="H13538" s="10" t="inlineStr">
        <is>
          <t>04/04/2026</t>
        </is>
      </c>
      <c r="I13538" s="10" t="inlineStr">
        <is>
          <t>17/03/2026</t>
        </is>
      </c>
      <c r="J13538" s="10" t="inlineStr">
        <is>
          <t>Thực phẩm &amp; Đồ uống, Sản xuất / Vận hành sản xuất, Quản lý chất lượng (QA/QC)</t>
        </is>
      </c>
      <c r="K13538" s="10" t="inlineStr">
        <is>
          <t>N/A</t>
        </is>
      </c>
      <c r="L13538" s="11">
        <f>HYPERLINK("https://careerviet.vn/vi/tim-viec-lam/nhan-vien-kcs.35C6AFA2.html","Xem chi tiết")</f>
        <v/>
      </c>
      <c r="M13538" s="10" t="n"/>
    </row>
    <row r="13539">
      <c r="B13539" s="7" t="n">
        <v>13537</v>
      </c>
      <c r="C13539" t="inlineStr">
        <is>
          <t>Giáo Viên Chủ Nhiệm (Ocean Edu (Bắc Giang) - Lương Từ 15 Triệu/Đi Làm Ngay</t>
        </is>
      </c>
      <c r="D13539" t="inlineStr">
        <is>
          <t>Công Ty CP Giáo Dục Đại Dương</t>
        </is>
      </c>
      <c r="E13539" t="inlineStr">
        <is>
          <t>Lương:Cạnh tranh</t>
        </is>
      </c>
      <c r="F13539" t="inlineStr">
        <is>
          <t>Bắc Giang</t>
        </is>
      </c>
      <c r="G13539" t="inlineStr">
        <is>
          <t>04-04-2026</t>
        </is>
      </c>
      <c r="H13539" t="inlineStr">
        <is>
          <t>04/04/2026</t>
        </is>
      </c>
      <c r="I13539" t="inlineStr">
        <is>
          <t>17/03/2026</t>
        </is>
      </c>
      <c r="J13539" t="inlineStr">
        <is>
          <t>Giáo dục / Đào tạo, Bán hàng / Kinh doanh, Biên phiên dịch</t>
        </is>
      </c>
      <c r="K13539" t="inlineStr">
        <is>
          <t>Trên 1 Năm</t>
        </is>
      </c>
      <c r="L13539" s="8">
        <f>HYPERLINK("https://careerviet.vn/vi/tim-viec-lam/giao-vien-chu-nhiem-ocean-edu-bac-giang-luong-tu-15-trieu-di-lam-ngay.35C6B039.html","Xem chi tiết")</f>
        <v/>
      </c>
    </row>
    <row r="13540">
      <c r="B13540" s="9" t="n">
        <v>13538</v>
      </c>
      <c r="C13540" s="10" t="inlineStr">
        <is>
          <t>Giáo Viên Chủ Nhiệm (Ocean Edu (Yên Dũng) - Lương Từ 15 Triệu/Đi Làm Ngay</t>
        </is>
      </c>
      <c r="D13540" s="10" t="inlineStr">
        <is>
          <t>Công Ty CP Giáo Dục Đại Dương</t>
        </is>
      </c>
      <c r="E13540" s="10" t="inlineStr">
        <is>
          <t>Lương:Cạnh tranh</t>
        </is>
      </c>
      <c r="F13540" s="10" t="inlineStr">
        <is>
          <t>Bắc Giang</t>
        </is>
      </c>
      <c r="G13540" s="10" t="inlineStr">
        <is>
          <t>04-04-2026</t>
        </is>
      </c>
      <c r="H13540" s="10" t="inlineStr">
        <is>
          <t>04/04/2026</t>
        </is>
      </c>
      <c r="I13540" s="10" t="inlineStr">
        <is>
          <t>17/03/2026</t>
        </is>
      </c>
      <c r="J13540" s="10" t="inlineStr">
        <is>
          <t>Giáo dục / Đào tạo, Bán hàng / Kinh doanh, Biên phiên dịch</t>
        </is>
      </c>
      <c r="K13540" s="10" t="inlineStr">
        <is>
          <t>Trên 1 Năm</t>
        </is>
      </c>
      <c r="L13540" s="11">
        <f>HYPERLINK("https://careerviet.vn/vi/tim-viec-lam/giao-vien-chu-nhiem-ocean-edu-yen-dung-luong-tu-15-trieu-di-lam-ngay.35C6B03A.html","Xem chi tiết")</f>
        <v/>
      </c>
      <c r="M13540" s="10" t="n"/>
    </row>
    <row r="13541">
      <c r="B13541" s="7" t="n">
        <v>13539</v>
      </c>
      <c r="C13541" t="inlineStr">
        <is>
          <t>Chief Accountant</t>
        </is>
      </c>
      <c r="D13541" t="inlineStr">
        <is>
          <t>Công Ty TNHH Red Bull (Việt Nam)</t>
        </is>
      </c>
      <c r="E13541" t="inlineStr">
        <is>
          <t>Lương:Cạnh tranh</t>
        </is>
      </c>
      <c r="F13541" t="inlineStr">
        <is>
          <t>Hồ Chí MinhĐồng NaiBình Dương</t>
        </is>
      </c>
      <c r="G13541" t="inlineStr">
        <is>
          <t>05-04-2026</t>
        </is>
      </c>
      <c r="H13541" t="inlineStr">
        <is>
          <t>05/04/2026</t>
        </is>
      </c>
      <c r="I13541" t="inlineStr">
        <is>
          <t>17/03/2026</t>
        </is>
      </c>
      <c r="J13541" t="inlineStr">
        <is>
          <t>Kế toán / Kiểm toán, Tài chính / Đầu tư</t>
        </is>
      </c>
      <c r="K13541" t="inlineStr">
        <is>
          <t>Trên 3 Năm</t>
        </is>
      </c>
      <c r="L13541" s="8">
        <f>HYPERLINK("https://careerviet.vn/vi/tim-viec-lam/chief-accountant.35C6B066.html","Xem chi tiết")</f>
        <v/>
      </c>
    </row>
    <row r="13542">
      <c r="B13542" s="9" t="n">
        <v>13540</v>
      </c>
      <c r="C13542" s="10" t="inlineStr">
        <is>
          <t>Bếp Chính Bếp Âu (Phú Thọ)</t>
        </is>
      </c>
      <c r="D13542" s="10" t="inlineStr">
        <is>
          <t>CÔNG TY CỔ PHẦN TẬP ĐOÀN ONSEN FUJI</t>
        </is>
      </c>
      <c r="E13542" s="10" t="inlineStr">
        <is>
          <t>Lương:10 Tr - 13 Tr VND</t>
        </is>
      </c>
      <c r="F13542" s="10" t="inlineStr">
        <is>
          <t>Phú Thọ</t>
        </is>
      </c>
      <c r="G13542" s="10" t="inlineStr">
        <is>
          <t>04-04-2026</t>
        </is>
      </c>
      <c r="H13542" s="10" t="inlineStr">
        <is>
          <t>04/04/2026</t>
        </is>
      </c>
      <c r="I13542" s="10" t="inlineStr">
        <is>
          <t>17/03/2026</t>
        </is>
      </c>
      <c r="J13542" s="10" t="inlineStr">
        <is>
          <t>Dịch vụ khách hàng</t>
        </is>
      </c>
      <c r="K13542" s="10" t="inlineStr">
        <is>
          <t>2 - 3 Năm</t>
        </is>
      </c>
      <c r="L13542" s="11">
        <f>HYPERLINK("https://careerviet.vn/vi/tim-viec-lam/bep-chinh-bep-au-phu-tho.35C6AF97.html","Xem chi tiết")</f>
        <v/>
      </c>
      <c r="M13542" s="10" t="n"/>
    </row>
    <row r="13543">
      <c r="B13543" s="7" t="n">
        <v>13541</v>
      </c>
      <c r="C13543" t="inlineStr">
        <is>
          <t>Chuyên viên đào tạo</t>
        </is>
      </c>
      <c r="D13543" t="inlineStr">
        <is>
          <t>CÔNG TY TNHH PHÁT TRIỂN ĐỒ UỐNG AN VIỆT SÔNG HỒNG</t>
        </is>
      </c>
      <c r="E13543" t="inlineStr">
        <is>
          <t>Lương:12 Tr - 20 Tr VND</t>
        </is>
      </c>
      <c r="F13543" t="inlineStr">
        <is>
          <t>Hà Nội</t>
        </is>
      </c>
      <c r="G13543" t="inlineStr">
        <is>
          <t>31-03-2026</t>
        </is>
      </c>
      <c r="H13543" t="inlineStr">
        <is>
          <t>31/03/2026</t>
        </is>
      </c>
      <c r="I13543" t="inlineStr">
        <is>
          <t>17/03/2026</t>
        </is>
      </c>
      <c r="J13543" t="inlineStr">
        <is>
          <t>Bán hàng / Kinh doanh, Dịch vụ khách hàng, Nhân sự</t>
        </is>
      </c>
      <c r="K13543" t="inlineStr">
        <is>
          <t>2 - 3 Năm</t>
        </is>
      </c>
      <c r="L13543" s="8">
        <f>HYPERLINK("https://careerviet.vn/vi/tim-viec-lam/chuyen-vien-dao-tao.35C6B019.html","Xem chi tiết")</f>
        <v/>
      </c>
    </row>
    <row r="13544">
      <c r="B13544" s="9" t="n">
        <v>13542</v>
      </c>
      <c r="C13544" s="10" t="inlineStr">
        <is>
          <t>Key Account Supervisor (Beauty Channel)</t>
        </is>
      </c>
      <c r="D13544" s="10" t="inlineStr">
        <is>
          <t>International Minh Viet Joint Stock Company</t>
        </is>
      </c>
      <c r="E13544" s="10" t="inlineStr">
        <is>
          <t>Lương:15 Tr - 25 Tr VND</t>
        </is>
      </c>
      <c r="F13544" s="10" t="inlineStr">
        <is>
          <t>Hồ Chí Minh</t>
        </is>
      </c>
      <c r="G13544" s="10" t="inlineStr">
        <is>
          <t>31-03-2026</t>
        </is>
      </c>
      <c r="H13544" s="10" t="inlineStr">
        <is>
          <t>31/03/2026</t>
        </is>
      </c>
      <c r="I13544" s="10" t="inlineStr">
        <is>
          <t>17/03/2026</t>
        </is>
      </c>
      <c r="J13544" s="10" t="inlineStr">
        <is>
          <t>Bán hàng / Kinh doanh, Bán lẻ / Bán sỉ, Y tế / Chăm sóc sức khỏe / Thẩm mỹ / Làm đẹp</t>
        </is>
      </c>
      <c r="K13544" s="10" t="inlineStr">
        <is>
          <t>Trên 3 Năm</t>
        </is>
      </c>
      <c r="L13544" s="11">
        <f>HYPERLINK("https://careerviet.vn/vi/tim-viec-lam/key-account-supervisor-beauty-channel.35C6B05A.html","Xem chi tiết")</f>
        <v/>
      </c>
      <c r="M13544" s="10" t="n"/>
    </row>
    <row r="13545">
      <c r="B13545" s="7" t="n">
        <v>13543</v>
      </c>
      <c r="C13545" t="inlineStr">
        <is>
          <t>Chuyên viên cung ứng xây dựng</t>
        </is>
      </c>
      <c r="D13545" t="inlineStr">
        <is>
          <t>CÔNG TY CỔ PHẦN TẬP ĐOÀN T&amp;T</t>
        </is>
      </c>
      <c r="E13545" t="inlineStr">
        <is>
          <t>Lương:Cạnh tranh</t>
        </is>
      </c>
      <c r="F13545" t="inlineStr">
        <is>
          <t>Hà Nội</t>
        </is>
      </c>
      <c r="G13545" t="inlineStr">
        <is>
          <t>05-05-2026</t>
        </is>
      </c>
      <c r="H13545" t="inlineStr">
        <is>
          <t>05/05/2026</t>
        </is>
      </c>
      <c r="I13545" t="inlineStr">
        <is>
          <t>17/03/2026</t>
        </is>
      </c>
      <c r="J13545" t="inlineStr">
        <is>
          <t>Thu mua / Vật tư, Xây dựng, Nội ngoại thất</t>
        </is>
      </c>
      <c r="K13545" t="inlineStr">
        <is>
          <t>Trên 3 Năm</t>
        </is>
      </c>
      <c r="L13545" s="8">
        <f>HYPERLINK("https://careerviet.vn/vi/tim-viec-lam/chuyen-vien-cung-ung-xay-dung.35C6B02E.html","Xem chi tiết")</f>
        <v/>
      </c>
    </row>
    <row r="13546">
      <c r="B13546" s="9" t="n">
        <v>13544</v>
      </c>
      <c r="C13546" s="10" t="inlineStr">
        <is>
          <t>Trưởng nhóm Dịch vụ Kỹ thuật</t>
        </is>
      </c>
      <c r="D13546" s="10" t="inlineStr">
        <is>
          <t>Tập Đoàn Karofi Holding</t>
        </is>
      </c>
      <c r="E13546" s="10" t="inlineStr">
        <is>
          <t>Lương:Cạnh tranh</t>
        </is>
      </c>
      <c r="F13546" s="10" t="inlineStr">
        <is>
          <t>Hà Nội</t>
        </is>
      </c>
      <c r="G13546" s="10" t="inlineStr">
        <is>
          <t>04-04-2026</t>
        </is>
      </c>
      <c r="H13546" s="10" t="inlineStr">
        <is>
          <t>04/04/2026</t>
        </is>
      </c>
      <c r="I13546" s="10" t="inlineStr">
        <is>
          <t>17/03/2026</t>
        </is>
      </c>
      <c r="J13546" s="10" t="inlineStr">
        <is>
          <t>Bảo trì / Sửa chữa</t>
        </is>
      </c>
      <c r="K13546" s="10" t="inlineStr">
        <is>
          <t>Trên 3 Năm</t>
        </is>
      </c>
      <c r="L13546" s="11">
        <f>HYPERLINK("https://careerviet.vn/vi/tim-viec-lam/truong-nhom-dich-vu-ky-thuat.35C6B057.html","Xem chi tiết")</f>
        <v/>
      </c>
      <c r="M13546" s="10" t="n"/>
    </row>
    <row r="13547">
      <c r="B13547" s="7" t="n">
        <v>13545</v>
      </c>
      <c r="C13547" t="inlineStr">
        <is>
          <t>Giáo Viên Chủ Nhiệm (Ocean Edu (Việt Yên) - Lương Từ 15 Triệu/Đi Làm Ngay</t>
        </is>
      </c>
      <c r="D13547" t="inlineStr">
        <is>
          <t>Công Ty CP Giáo Dục Đại Dương</t>
        </is>
      </c>
      <c r="E13547" t="inlineStr">
        <is>
          <t>Lương:Cạnh tranh</t>
        </is>
      </c>
      <c r="F13547" t="inlineStr">
        <is>
          <t>Bắc Giang</t>
        </is>
      </c>
      <c r="G13547" t="inlineStr">
        <is>
          <t>04-04-2026</t>
        </is>
      </c>
      <c r="H13547" t="inlineStr">
        <is>
          <t>04/04/2026</t>
        </is>
      </c>
      <c r="I13547" t="inlineStr">
        <is>
          <t>17/03/2026</t>
        </is>
      </c>
      <c r="J13547" t="inlineStr">
        <is>
          <t>Giáo dục / Đào tạo, Bán hàng / Kinh doanh, Biên phiên dịch</t>
        </is>
      </c>
      <c r="K13547" t="inlineStr">
        <is>
          <t>Trên 1 Năm</t>
        </is>
      </c>
      <c r="L13547" s="8">
        <f>HYPERLINK("https://careerviet.vn/vi/tim-viec-lam/giao-vien-chu-nhiem-ocean-edu-viet-yen-luong-tu-15-trieu-di-lam-ngay.35C6B035.html","Xem chi tiết")</f>
        <v/>
      </c>
    </row>
    <row r="13548">
      <c r="B13548" s="9" t="n">
        <v>13546</v>
      </c>
      <c r="C13548" s="10" t="inlineStr">
        <is>
          <t>Giáo Viên Chủ Nhiệm (Ocean Edu (Thanh Hà) - Lương Từ 15 Triệu/Đi Làm Ngay</t>
        </is>
      </c>
      <c r="D13548" s="10" t="inlineStr">
        <is>
          <t>Công Ty CP Giáo Dục Đại Dương</t>
        </is>
      </c>
      <c r="E13548" s="10" t="inlineStr">
        <is>
          <t>Lương:Cạnh tranh</t>
        </is>
      </c>
      <c r="F13548" s="10" t="inlineStr">
        <is>
          <t>Hải Dương</t>
        </is>
      </c>
      <c r="G13548" s="10" t="inlineStr">
        <is>
          <t>04-04-2026</t>
        </is>
      </c>
      <c r="H13548" s="10" t="inlineStr">
        <is>
          <t>04/04/2026</t>
        </is>
      </c>
      <c r="I13548" s="10" t="inlineStr">
        <is>
          <t>17/03/2026</t>
        </is>
      </c>
      <c r="J13548" s="10" t="inlineStr">
        <is>
          <t>Giáo dục / Đào tạo, Bán hàng / Kinh doanh, Biên phiên dịch</t>
        </is>
      </c>
      <c r="K13548" s="10" t="inlineStr">
        <is>
          <t>Trên 1 Năm</t>
        </is>
      </c>
      <c r="L13548" s="11">
        <f>HYPERLINK("https://careerviet.vn/vi/tim-viec-lam/giao-vien-chu-nhiem-ocean-edu-thanh-ha-luong-tu-15-trieu-di-lam-ngay.35C6B041.html","Xem chi tiết")</f>
        <v/>
      </c>
      <c r="M13548" s="10" t="n"/>
    </row>
    <row r="13549">
      <c r="B13549" s="7" t="n">
        <v>13547</v>
      </c>
      <c r="C13549" t="inlineStr">
        <is>
          <t>Nhân viên Tiền lương - BHXH</t>
        </is>
      </c>
      <c r="D13549" t="inlineStr">
        <is>
          <t>CÔNG TY CỔ PHẦN KỸ THUẬT NHIỆT MÈO ĐEN</t>
        </is>
      </c>
      <c r="E13549" t="inlineStr">
        <is>
          <t>Lương:Cạnh tranh</t>
        </is>
      </c>
      <c r="F13549" t="inlineStr">
        <is>
          <t>Bà Rịa - Vũng Tàu</t>
        </is>
      </c>
      <c r="G13549" t="inlineStr">
        <is>
          <t>3</t>
        </is>
      </c>
      <c r="H13549" t="inlineStr">
        <is>
          <t>20/03/2026</t>
        </is>
      </c>
      <c r="I13549" t="inlineStr">
        <is>
          <t>17/03/2026</t>
        </is>
      </c>
      <c r="J13549" t="inlineStr">
        <is>
          <t>Nhân sự</t>
        </is>
      </c>
      <c r="K13549" t="inlineStr">
        <is>
          <t>Trên 1 Năm</t>
        </is>
      </c>
      <c r="L13549" s="8">
        <f>HYPERLINK("https://careerviet.vn/vi/tim-viec-lam/nhan-vien-tien-luong-bhxh.35C6B1E9.html","Xem chi tiết")</f>
        <v/>
      </c>
    </row>
    <row r="13550">
      <c r="B13550" s="9" t="n">
        <v>13548</v>
      </c>
      <c r="C13550" s="10" t="inlineStr">
        <is>
          <t>Chuyên Viên Thiết Kế (Graphic Design), Phòng Marketing - Truyền Thông</t>
        </is>
      </c>
      <c r="D13550" s="10" t="inlineStr">
        <is>
          <t>Công Ty Cổ Phần Đầu Tư Bất Động Sản Hưng Lộc Phát</t>
        </is>
      </c>
      <c r="E13550" s="10" t="inlineStr">
        <is>
          <t>Lương:Cạnh tranh</t>
        </is>
      </c>
      <c r="F13550" s="10" t="inlineStr">
        <is>
          <t>Hồ Chí Minh</t>
        </is>
      </c>
      <c r="G13550" s="10" t="inlineStr">
        <is>
          <t>05-04-2026</t>
        </is>
      </c>
      <c r="H13550" s="10" t="inlineStr">
        <is>
          <t>05/04/2026</t>
        </is>
      </c>
      <c r="I13550" s="10" t="inlineStr">
        <is>
          <t>17/03/2026</t>
        </is>
      </c>
      <c r="J13550" s="10" t="inlineStr">
        <is>
          <t>Tiếp thị / Marketing, Mỹ thuật / Nghệ thuật / Thiết kế, Bất động sản</t>
        </is>
      </c>
      <c r="K13550" s="10" t="inlineStr">
        <is>
          <t>Trên 2 Năm</t>
        </is>
      </c>
      <c r="L13550" s="11">
        <f>HYPERLINK("https://careerviet.vn/vi/tim-viec-lam/chuyen-vien-thiet-ke-graphic-design-phong-marketing-truyen-thong.35C6AFC1.html","Xem chi tiết")</f>
        <v/>
      </c>
      <c r="M13550" s="10" t="n"/>
    </row>
    <row r="13551">
      <c r="B13551" s="7" t="n">
        <v>13549</v>
      </c>
      <c r="C13551" t="inlineStr">
        <is>
          <t>Senior Warehouse Team Leader</t>
        </is>
      </c>
      <c r="D13551" t="inlineStr">
        <is>
          <t>Techtronic Industries Vietnam Manufacturing Company Limited</t>
        </is>
      </c>
      <c r="E13551" t="inlineStr">
        <is>
          <t>Lương:Cạnh tranh</t>
        </is>
      </c>
      <c r="F13551" t="inlineStr">
        <is>
          <t>Đồng Nai</t>
        </is>
      </c>
      <c r="G13551" t="inlineStr">
        <is>
          <t>04-04-2026</t>
        </is>
      </c>
      <c r="H13551" t="inlineStr">
        <is>
          <t>04/04/2026</t>
        </is>
      </c>
      <c r="I13551" t="inlineStr">
        <is>
          <t>17/03/2026</t>
        </is>
      </c>
      <c r="J13551" t="inlineStr">
        <is>
          <t>Cơ khí / Ô tô / Tự động hóa, Vận chuyển / Giao nhận / Kho vận, Điện / Điện tử / Điện lạnh / Điện công nghiệp</t>
        </is>
      </c>
      <c r="K13551" t="inlineStr">
        <is>
          <t>3 - 7 Năm</t>
        </is>
      </c>
      <c r="L13551" s="8">
        <f>HYPERLINK("https://careerviet.vn/vi/tim-viec-lam/senior-warehouse-team-leader.35C6B03E.html","Xem chi tiết")</f>
        <v/>
      </c>
    </row>
    <row r="13552">
      <c r="B13552" s="9" t="n">
        <v>13550</v>
      </c>
      <c r="C13552" s="10" t="inlineStr">
        <is>
          <t>Nhân viên bảo trì điện công nghiệp</t>
        </is>
      </c>
      <c r="D13552" s="10" t="inlineStr">
        <is>
          <t>Tập đoàn Nhựa Bình Thuận</t>
        </is>
      </c>
      <c r="E13552" s="10" t="inlineStr">
        <is>
          <t>Lương:12 Tr - 14 Tr VND</t>
        </is>
      </c>
      <c r="F13552" s="10" t="inlineStr">
        <is>
          <t>Bình Dương</t>
        </is>
      </c>
      <c r="G13552" s="10" t="inlineStr">
        <is>
          <t>05-04-2026</t>
        </is>
      </c>
      <c r="H13552" s="10" t="inlineStr">
        <is>
          <t>05/04/2026</t>
        </is>
      </c>
      <c r="I13552" s="10" t="inlineStr">
        <is>
          <t>17/03/2026</t>
        </is>
      </c>
      <c r="J13552" s="10" t="inlineStr">
        <is>
          <t>Điện / Điện tử / Điện lạnh / Điện công nghiệp, Bảo trì / Sửa chữa, Sản xuất / Vận hành sản xuất</t>
        </is>
      </c>
      <c r="K13552" s="10" t="inlineStr">
        <is>
          <t>N/A</t>
        </is>
      </c>
      <c r="L13552" s="11">
        <f>HYPERLINK("https://careerviet.vn/vi/tim-viec-lam/nhan-vien-bao-tri-dien-cong-nghiep.35C66223.html","Xem chi tiết")</f>
        <v/>
      </c>
      <c r="M13552" s="10" t="n"/>
    </row>
    <row r="13553">
      <c r="B13553" s="7" t="n">
        <v>13551</v>
      </c>
      <c r="C13553" t="inlineStr">
        <is>
          <t>Giám Nhà Hàng F&amp;B ( Tiếng Hàn)</t>
        </is>
      </c>
      <c r="D13553" t="inlineStr">
        <is>
          <t>Công ty TNHH Sản xuất Thương mại &amp; Dịch vụ Hoa Xinh</t>
        </is>
      </c>
      <c r="E13553" t="inlineStr">
        <is>
          <t>Lương:20 Tr - 30 Tr VND</t>
        </is>
      </c>
      <c r="F13553" t="inlineStr">
        <is>
          <t>Hồ Chí Minh</t>
        </is>
      </c>
      <c r="G13553" t="inlineStr">
        <is>
          <t>11-03-2026</t>
        </is>
      </c>
      <c r="H13553" t="inlineStr">
        <is>
          <t>09/03/2026</t>
        </is>
      </c>
      <c r="I13553" t="inlineStr">
        <is>
          <t>17/03/2026</t>
        </is>
      </c>
      <c r="J13553" t="inlineStr">
        <is>
          <t>Thực phẩm &amp; Đồ uống, Biên phiên dịch, Nhà hàng / Khách sạn</t>
        </is>
      </c>
      <c r="K13553" t="inlineStr">
        <is>
          <t>1 - 5 Năm</t>
        </is>
      </c>
      <c r="L13553" s="8">
        <f>HYPERLINK("https://careerviet.vn/vi/tim-viec-lam/giam-nha-hang-f-b-tieng-han.35C6B097.html","Xem chi tiết")</f>
        <v/>
      </c>
    </row>
    <row r="13554">
      <c r="B13554" s="9" t="n">
        <v>13552</v>
      </c>
      <c r="C13554" s="10" t="inlineStr">
        <is>
          <t>Chuyên Viên Thiết Kế Cơ Điện (MEP)</t>
        </is>
      </c>
      <c r="D13554" s="10" t="inlineStr">
        <is>
          <t>Công Ty Cổ Phần Dịch Vụ, Thương Mại Và Đầu Tư Sao Thủy</t>
        </is>
      </c>
      <c r="E13554" s="10" t="inlineStr">
        <is>
          <t>Lương:Cạnh tranh</t>
        </is>
      </c>
      <c r="F13554" s="10" t="inlineStr">
        <is>
          <t>Hà Nội</t>
        </is>
      </c>
      <c r="G13554" s="10" t="inlineStr">
        <is>
          <t>30-03-2026</t>
        </is>
      </c>
      <c r="H13554" s="10" t="inlineStr">
        <is>
          <t>30/03/2026</t>
        </is>
      </c>
      <c r="I13554" s="10" t="inlineStr">
        <is>
          <t>17/03/2026</t>
        </is>
      </c>
      <c r="J13554" s="10" t="inlineStr">
        <is>
          <t>Kiến trúc, Xây dựng, Điện / Điện tử / Điện lạnh / Điện công nghiệp</t>
        </is>
      </c>
      <c r="K13554" s="10" t="inlineStr">
        <is>
          <t>Trên 3 Năm</t>
        </is>
      </c>
      <c r="L13554" s="11">
        <f>HYPERLINK("https://careerviet.vn/vi/tim-viec-lam/chuyen-vien-thiet-ke-co-dien-mep.35C6B03D.html","Xem chi tiết")</f>
        <v/>
      </c>
      <c r="M13554" s="10" t="n"/>
    </row>
    <row r="13555">
      <c r="B13555" s="7" t="n">
        <v>13553</v>
      </c>
      <c r="C13555" t="inlineStr">
        <is>
          <t>Compliance Team Leader</t>
        </is>
      </c>
      <c r="D13555" t="inlineStr">
        <is>
          <t>Công ty TNHH GS25 Vietnam</t>
        </is>
      </c>
      <c r="E13555" t="inlineStr">
        <is>
          <t>Lương:Cạnh tranh</t>
        </is>
      </c>
      <c r="F13555" t="inlineStr">
        <is>
          <t>Hồ Chí Minh</t>
        </is>
      </c>
      <c r="G13555" t="inlineStr">
        <is>
          <t>30-04-2026</t>
        </is>
      </c>
      <c r="H13555" t="inlineStr">
        <is>
          <t>30/04/2026</t>
        </is>
      </c>
      <c r="I13555" t="inlineStr">
        <is>
          <t>17/03/2026</t>
        </is>
      </c>
      <c r="J13555" t="inlineStr">
        <is>
          <t>Luật / Pháp lý, Tư vấn, Hành chính / Thư ký</t>
        </is>
      </c>
      <c r="K13555" t="inlineStr">
        <is>
          <t>5 - 8 Năm</t>
        </is>
      </c>
      <c r="L13555" s="8">
        <f>HYPERLINK("https://careerviet.vn/vi/tim-viec-lam/compliance-team-leader.35C6B22C.html","Xem chi tiết")</f>
        <v/>
      </c>
    </row>
    <row r="13556">
      <c r="B13556" s="9" t="n">
        <v>13554</v>
      </c>
      <c r="C13556" s="10" t="inlineStr">
        <is>
          <t>Họa Viên Kiến Trúc</t>
        </is>
      </c>
      <c r="D13556" s="10" t="inlineStr">
        <is>
          <t>CÔNG TY CỔ PHẦN THIẾT KẾ VÀ XÂY DỰNG ONECONS</t>
        </is>
      </c>
      <c r="E13556" s="10" t="inlineStr">
        <is>
          <t>Lương:12 Tr - 15 Tr VND</t>
        </is>
      </c>
      <c r="F13556" s="10" t="inlineStr">
        <is>
          <t>Hồ Chí Minh</t>
        </is>
      </c>
      <c r="G13556" s="10" t="inlineStr">
        <is>
          <t>04-04-2026</t>
        </is>
      </c>
      <c r="H13556" s="10" t="inlineStr">
        <is>
          <t>04/04/2026</t>
        </is>
      </c>
      <c r="I13556" s="10" t="inlineStr">
        <is>
          <t>17/03/2026</t>
        </is>
      </c>
      <c r="J13556" s="10" t="inlineStr">
        <is>
          <t>Kiến trúc, Xây dựng, Nội ngoại thất</t>
        </is>
      </c>
      <c r="K13556" s="10" t="inlineStr">
        <is>
          <t>3 - 5 Năm</t>
        </is>
      </c>
      <c r="L13556" s="11">
        <f>HYPERLINK("https://careerviet.vn/vi/tim-viec-lam/hoa-vien-kien-truc.35C6B157.html","Xem chi tiết")</f>
        <v/>
      </c>
      <c r="M13556" s="10" t="n"/>
    </row>
    <row r="13557">
      <c r="B13557" s="7" t="n">
        <v>13555</v>
      </c>
      <c r="C13557" t="inlineStr">
        <is>
          <t>Chuyên Viên Phát Triển Nguồn Hàng Nội Địa - Sourcing R&amp;D tại Hưng Yên</t>
        </is>
      </c>
      <c r="D13557" t="inlineStr">
        <is>
          <t>Tập Đoàn Karofi Holding</t>
        </is>
      </c>
      <c r="E13557" t="inlineStr">
        <is>
          <t>Lương:Cạnh tranh</t>
        </is>
      </c>
      <c r="F13557" t="inlineStr">
        <is>
          <t>Hưng Yên</t>
        </is>
      </c>
      <c r="G13557" t="inlineStr">
        <is>
          <t>04-04-2026</t>
        </is>
      </c>
      <c r="H13557" t="inlineStr">
        <is>
          <t>04/04/2026</t>
        </is>
      </c>
      <c r="I13557" t="inlineStr">
        <is>
          <t>17/03/2026</t>
        </is>
      </c>
      <c r="J13557" t="inlineStr">
        <is>
          <t>Sản xuất / Vận hành sản xuất, Vận chuyển / Giao nhận / Kho vận, Thống kê</t>
        </is>
      </c>
      <c r="K13557" t="inlineStr">
        <is>
          <t>1 - 5 Năm</t>
        </is>
      </c>
      <c r="L13557" s="8">
        <f>HYPERLINK("https://careerviet.vn/vi/tim-viec-lam/chuyen-vien-phat-trien-nguon-hang-noi-dia-sourcing-r-d-tai-hung-yen.35C6B139.html","Xem chi tiết")</f>
        <v/>
      </c>
    </row>
    <row r="13558">
      <c r="B13558" s="9" t="n">
        <v>13556</v>
      </c>
      <c r="C13558" s="10" t="inlineStr">
        <is>
          <t>Chuyên viên Pháp lý dự án</t>
        </is>
      </c>
      <c r="D13558" s="10" t="inlineStr">
        <is>
          <t>CÔNG TY CỔ PHẦN ĐẦU TƯ TẦM NHÌN PHƯƠNG NAM</t>
        </is>
      </c>
      <c r="E13558" s="10" t="inlineStr">
        <is>
          <t>Lương:Cạnh tranh</t>
        </is>
      </c>
      <c r="F13558" s="10" t="inlineStr">
        <is>
          <t>Hồ Chí Minh</t>
        </is>
      </c>
      <c r="G13558" s="10" t="inlineStr">
        <is>
          <t>04-04-2026</t>
        </is>
      </c>
      <c r="H13558" s="10" t="inlineStr">
        <is>
          <t>04/04/2026</t>
        </is>
      </c>
      <c r="I13558" s="10" t="inlineStr">
        <is>
          <t>17/03/2026</t>
        </is>
      </c>
      <c r="J13558" s="10" t="inlineStr">
        <is>
          <t>Luật / Pháp lý, Bất động sản</t>
        </is>
      </c>
      <c r="K13558" s="10" t="inlineStr">
        <is>
          <t>3 - 10 Năm</t>
        </is>
      </c>
      <c r="L13558" s="11">
        <f>HYPERLINK("https://careerviet.vn/vi/tim-viec-lam/chuyen-vien-phap-ly-du-an.35C6B218.html","Xem chi tiết")</f>
        <v/>
      </c>
      <c r="M13558" s="10" t="n"/>
    </row>
    <row r="13559">
      <c r="B13559" s="7" t="n">
        <v>13557</v>
      </c>
      <c r="C13559" t="inlineStr">
        <is>
          <t>Kế toán thanh toán</t>
        </is>
      </c>
      <c r="D13559" t="inlineStr">
        <is>
          <t>CÔNG TY TNHH TRỐNG ĐỒNG VIỆT NAM</t>
        </is>
      </c>
      <c r="E13559" t="inlineStr">
        <is>
          <t>Lương:10 Tr - 14 Tr VND</t>
        </is>
      </c>
      <c r="F13559" t="inlineStr">
        <is>
          <t>Hà Nội</t>
        </is>
      </c>
      <c r="G13559" t="inlineStr">
        <is>
          <t>30-04-2026</t>
        </is>
      </c>
      <c r="H13559" t="inlineStr">
        <is>
          <t>30/04/2026</t>
        </is>
      </c>
      <c r="I13559" t="inlineStr">
        <is>
          <t>17/03/2026</t>
        </is>
      </c>
      <c r="J13559" t="inlineStr">
        <is>
          <t>Kế toán / Kiểm toán</t>
        </is>
      </c>
      <c r="K13559" t="inlineStr">
        <is>
          <t>1 - 2 Năm</t>
        </is>
      </c>
      <c r="L13559" s="8">
        <f>HYPERLINK("https://careerviet.vn/vi/tim-viec-lam/ke-toan-thanh-toan.35C6B040.html","Xem chi tiết")</f>
        <v/>
      </c>
    </row>
    <row r="13560">
      <c r="B13560" s="9" t="n">
        <v>13558</v>
      </c>
      <c r="C13560" s="10" t="inlineStr">
        <is>
          <t>Giám Sát Cửa Hàng F&amp;B</t>
        </is>
      </c>
      <c r="D13560" s="10" t="inlineStr">
        <is>
          <t>Công ty TNHH Sản xuất Thương mại &amp; Dịch vụ Hoa Xinh</t>
        </is>
      </c>
      <c r="E13560" s="10" t="inlineStr">
        <is>
          <t>Lương:10 Tr - 20 Tr VND</t>
        </is>
      </c>
      <c r="F13560" s="10" t="inlineStr">
        <is>
          <t>Bà Rịa - Vũng Tàu</t>
        </is>
      </c>
      <c r="G13560" s="10" t="inlineStr">
        <is>
          <t>03-04-2026</t>
        </is>
      </c>
      <c r="H13560" s="10" t="inlineStr">
        <is>
          <t>03/04/2026</t>
        </is>
      </c>
      <c r="I13560" s="10" t="inlineStr">
        <is>
          <t>17/03/2026</t>
        </is>
      </c>
      <c r="J13560" s="10" t="inlineStr">
        <is>
          <t>Thực phẩm &amp; Đồ uống, Nhà hàng / Khách sạn, Bán lẻ / Bán sỉ</t>
        </is>
      </c>
      <c r="K13560" s="10" t="inlineStr">
        <is>
          <t>1 - 5 Năm</t>
        </is>
      </c>
      <c r="L13560" s="11">
        <f>HYPERLINK("https://careerviet.vn/vi/tim-viec-lam/giam-sat-cua-hang-f-b.35C6B09D.html","Xem chi tiết")</f>
        <v/>
      </c>
      <c r="M13560" s="10" t="n"/>
    </row>
    <row r="13561">
      <c r="B13561" s="7" t="n">
        <v>13559</v>
      </c>
      <c r="C13561" t="inlineStr">
        <is>
          <t>NHÂN VIÊN ADMIN</t>
        </is>
      </c>
      <c r="D13561" t="inlineStr">
        <is>
          <t>CÔNG TY CỔ PHẦN HÙNG CƯỜNG PHARMA</t>
        </is>
      </c>
      <c r="E13561" t="inlineStr">
        <is>
          <t>Lương:8 Tr - 9 Tr VND</t>
        </is>
      </c>
      <c r="F13561" t="inlineStr">
        <is>
          <t>Hồ Chí Minh</t>
        </is>
      </c>
      <c r="G13561" t="inlineStr">
        <is>
          <t>05-04-2026</t>
        </is>
      </c>
      <c r="H13561" t="inlineStr">
        <is>
          <t>05/04/2026</t>
        </is>
      </c>
      <c r="I13561" t="inlineStr">
        <is>
          <t>17/03/2026</t>
        </is>
      </c>
      <c r="J13561" t="inlineStr">
        <is>
          <t>Hành chính / Thư ký, Thống kê</t>
        </is>
      </c>
      <c r="K13561" t="inlineStr">
        <is>
          <t>1 - 2 Năm</t>
        </is>
      </c>
      <c r="L13561" s="8">
        <f>HYPERLINK("https://careerviet.vn/vi/tim-viec-lam/nhan-vien-admin.35C6AF9F.html","Xem chi tiết")</f>
        <v/>
      </c>
    </row>
    <row r="13562">
      <c r="B13562" s="9" t="n">
        <v>13560</v>
      </c>
      <c r="C13562" s="10" t="inlineStr">
        <is>
          <t>Quản lý kinh doanh khu vực miền tây (ASM)</t>
        </is>
      </c>
      <c r="D13562" s="10" t="inlineStr">
        <is>
          <t>HMK Eyewear</t>
        </is>
      </c>
      <c r="E13562" s="10" t="inlineStr">
        <is>
          <t>Lương:Cạnh tranh</t>
        </is>
      </c>
      <c r="F13562" s="10" t="inlineStr">
        <is>
          <t>Cần Thơ</t>
        </is>
      </c>
      <c r="G13562" s="10" t="inlineStr">
        <is>
          <t>31-03-2026</t>
        </is>
      </c>
      <c r="H13562" s="10" t="inlineStr">
        <is>
          <t>31/03/2026</t>
        </is>
      </c>
      <c r="I13562" s="10" t="inlineStr">
        <is>
          <t>17/03/2026</t>
        </is>
      </c>
      <c r="J13562" s="10" t="inlineStr">
        <is>
          <t>Bán lẻ / Bán sỉ, Bán hàng / Kinh doanh</t>
        </is>
      </c>
      <c r="K13562" s="10" t="inlineStr">
        <is>
          <t>2 - 5 Năm</t>
        </is>
      </c>
      <c r="L13562" s="11">
        <f>HYPERLINK("https://careerviet.vn/vi/tim-viec-lam/quan-ly-kinh-doanh-khu-vuc-mien-tay-asm.35C6B25B.html","Xem chi tiết")</f>
        <v/>
      </c>
      <c r="M13562" s="10" t="n"/>
    </row>
    <row r="13563">
      <c r="B13563" s="7" t="n">
        <v>13561</v>
      </c>
      <c r="C13563" t="inlineStr">
        <is>
          <t>Kỹ thuật viên</t>
        </is>
      </c>
      <c r="D13563" t="inlineStr">
        <is>
          <t>CÔNG TY CỔ PHẦN DỊCH VỤ THƯƠNG MẠI SKYLINE</t>
        </is>
      </c>
      <c r="E13563" t="inlineStr">
        <is>
          <t>Lương:10 Tr - 12 Tr VND</t>
        </is>
      </c>
      <c r="F13563" t="inlineStr">
        <is>
          <t>Hồ Chí Minh</t>
        </is>
      </c>
      <c r="G13563" t="inlineStr">
        <is>
          <t>10-04-2026</t>
        </is>
      </c>
      <c r="H13563" t="inlineStr">
        <is>
          <t>10/04/2026</t>
        </is>
      </c>
      <c r="I13563" t="inlineStr">
        <is>
          <t>17/03/2026</t>
        </is>
      </c>
      <c r="J13563" t="inlineStr">
        <is>
          <t>Điện / Điện tử / Điện lạnh / Điện công nghiệp, Bảo trì / Sửa chữa, Công nghệ thực phẩm / Dinh dưỡng</t>
        </is>
      </c>
      <c r="K13563" t="inlineStr">
        <is>
          <t>1 - 3 Năm</t>
        </is>
      </c>
      <c r="L13563" s="8">
        <f>HYPERLINK("https://careerviet.vn/vi/tim-viec-lam/ky-thuat-vien.35C6AFFF.html","Xem chi tiết")</f>
        <v/>
      </c>
    </row>
    <row r="13564">
      <c r="B13564" s="9" t="n">
        <v>13562</v>
      </c>
      <c r="C13564" s="10" t="inlineStr">
        <is>
          <t>SALE CHO THUÊ THIẾT BỊ XÂY DỰNG  (GIÀN GIÁO) BIẾT TIẾNG TRUNG</t>
        </is>
      </c>
      <c r="D13564" s="10" t="inlineStr">
        <is>
          <t>Công Ty TNHH Deli Management Consulting</t>
        </is>
      </c>
      <c r="E13564" s="10" t="inlineStr">
        <is>
          <t>Lương:12 Tr - 25 Tr VND</t>
        </is>
      </c>
      <c r="F13564" s="10" t="inlineStr">
        <is>
          <t>Tiền GiangHồ Chí Minh</t>
        </is>
      </c>
      <c r="G13564" s="10" t="inlineStr">
        <is>
          <t>30-04-2026</t>
        </is>
      </c>
      <c r="H13564" s="10" t="inlineStr">
        <is>
          <t>30/04/2026</t>
        </is>
      </c>
      <c r="I13564" s="10" t="inlineStr">
        <is>
          <t>17/03/2026</t>
        </is>
      </c>
      <c r="J13564" s="10" t="inlineStr">
        <is>
          <t>: Giàn giáo công trình Số lượng: 2 Người Bằng cấp: Cao đẳng Giới tính: Nam/ nữ Thời gian: T2-T7 (8h-17h)</t>
        </is>
      </c>
      <c r="K13564" s="10" t="inlineStr">
        <is>
          <t>Trên 1 Năm</t>
        </is>
      </c>
      <c r="L13564" s="11">
        <f>HYPERLINK("https://careerviet.vn/vi/tim-viec-lam/sale-cho-thue-thiet-bi-xay-dung-gian-giao-biet-tieng-trung.35C6B017.html","Xem chi tiết")</f>
        <v/>
      </c>
      <c r="M13564" s="10" t="n"/>
    </row>
    <row r="13565">
      <c r="B13565" s="7" t="n">
        <v>13563</v>
      </c>
      <c r="C13565" t="inlineStr">
        <is>
          <t>Chuyên viên cao cấp Hệ thống &amp; Quy trình tín dụng</t>
        </is>
      </c>
      <c r="D13565" t="inlineStr">
        <is>
          <t>CÔNG TY CỔ PHẦN KINH DOANH F88</t>
        </is>
      </c>
      <c r="E13565" t="inlineStr">
        <is>
          <t>Lương:Cạnh tranh</t>
        </is>
      </c>
      <c r="F13565" t="inlineStr">
        <is>
          <t>Hà NộiHồ Chí Minh</t>
        </is>
      </c>
      <c r="G13565" t="inlineStr">
        <is>
          <t>30-04-2026</t>
        </is>
      </c>
      <c r="H13565" t="inlineStr">
        <is>
          <t>30/04/2026</t>
        </is>
      </c>
      <c r="I13565" t="inlineStr">
        <is>
          <t>17/03/2026</t>
        </is>
      </c>
      <c r="J13565" t="inlineStr">
        <is>
          <t>CNTT - Phần mềm, Tài chính / Đầu tư</t>
        </is>
      </c>
      <c r="K13565" t="inlineStr">
        <is>
          <t>3 - 4 Năm</t>
        </is>
      </c>
      <c r="L13565" s="8">
        <f>HYPERLINK("https://careerviet.vn/vi/tim-viec-lam/chuyen-vien-cao-cap-he-thong-quy-trinh-tin-dung.35C6B0EF.html","Xem chi tiết")</f>
        <v/>
      </c>
    </row>
    <row r="13566">
      <c r="B13566" s="9" t="n">
        <v>13564</v>
      </c>
      <c r="C13566" s="10" t="inlineStr">
        <is>
          <t>Công nhân kho</t>
        </is>
      </c>
      <c r="D13566" s="10" t="inlineStr">
        <is>
          <t>Công ty TNHH Becker Industrial Coatings Việt Nam</t>
        </is>
      </c>
      <c r="E13566" s="10" t="inlineStr">
        <is>
          <t>Lương:7,5 Tr - 7,8 Tr VND</t>
        </is>
      </c>
      <c r="F13566" s="10" t="inlineStr">
        <is>
          <t>Hồ Chí Minh</t>
        </is>
      </c>
      <c r="G13566" s="10" t="inlineStr">
        <is>
          <t>31-03-2026</t>
        </is>
      </c>
      <c r="H13566" s="10" t="inlineStr">
        <is>
          <t>31/03/2026</t>
        </is>
      </c>
      <c r="I13566" s="10" t="inlineStr">
        <is>
          <t>17/03/2026</t>
        </is>
      </c>
      <c r="J13566" s="10" t="inlineStr">
        <is>
          <t>Vận chuyển / Giao nhận / Kho vận</t>
        </is>
      </c>
      <c r="K13566" s="10" t="inlineStr">
        <is>
          <t>1 - 2 Năm</t>
        </is>
      </c>
      <c r="L13566" s="11">
        <f>HYPERLINK("https://careerviet.vn/vi/tim-viec-lam/cong-nhan-kho.35C6B214.html","Xem chi tiết")</f>
        <v/>
      </c>
      <c r="M13566" s="10" t="n"/>
    </row>
    <row r="13567">
      <c r="B13567" s="7" t="n">
        <v>13565</v>
      </c>
      <c r="C13567" t="inlineStr">
        <is>
          <t>Kế Toán Thuế – Hộ Kinh Doanh</t>
        </is>
      </c>
      <c r="D13567" t="inlineStr">
        <is>
          <t>CÔNG TY TNHH TƯ VẤN NGUYỄN MẪN</t>
        </is>
      </c>
      <c r="E13567" t="inlineStr">
        <is>
          <t>Lương:Cạnh tranh</t>
        </is>
      </c>
      <c r="F13567" t="inlineStr">
        <is>
          <t>Hồ Chí Minh</t>
        </is>
      </c>
      <c r="G13567" t="inlineStr">
        <is>
          <t>03-04-2026</t>
        </is>
      </c>
      <c r="H13567" t="inlineStr">
        <is>
          <t>03/04/2026</t>
        </is>
      </c>
      <c r="I13567" t="inlineStr">
        <is>
          <t>17/03/2026</t>
        </is>
      </c>
      <c r="J13567" t="inlineStr">
        <is>
          <t>Kế toán / Kiểm toán, Tài chính / Đầu tư, Luật / Pháp lý</t>
        </is>
      </c>
      <c r="K13567" t="inlineStr">
        <is>
          <t>Trên 1 Năm</t>
        </is>
      </c>
      <c r="L13567" s="8">
        <f>HYPERLINK("https://careerviet.vn/vi/tim-viec-lam/ke-toan-thue-ho-kinh-doanh.35C6AFCB.html","Xem chi tiết")</f>
        <v/>
      </c>
    </row>
    <row r="13568">
      <c r="B13568" s="9" t="n">
        <v>13566</v>
      </c>
      <c r="C13568" s="10" t="inlineStr">
        <is>
          <t>Chuyên viên tuyển dụng</t>
        </is>
      </c>
      <c r="D13568" s="10" t="inlineStr">
        <is>
          <t>Công ty TNHH Sản xuất Thương mại &amp; Dịch vụ Hoa Xinh</t>
        </is>
      </c>
      <c r="E13568" s="10" t="inlineStr">
        <is>
          <t>Lương:10 Tr - 15 Tr VND</t>
        </is>
      </c>
      <c r="F13568" s="10" t="inlineStr">
        <is>
          <t>Hồ Chí Minh</t>
        </is>
      </c>
      <c r="G13568" s="10" t="inlineStr">
        <is>
          <t>31-03-2026</t>
        </is>
      </c>
      <c r="H13568" s="10" t="inlineStr">
        <is>
          <t>31/03/2026</t>
        </is>
      </c>
      <c r="I13568" s="10" t="inlineStr">
        <is>
          <t>17/03/2026</t>
        </is>
      </c>
      <c r="J13568" s="10" t="inlineStr">
        <is>
          <t>Nhân sự</t>
        </is>
      </c>
      <c r="K13568" s="10" t="inlineStr">
        <is>
          <t>1 - 3 Năm</t>
        </is>
      </c>
      <c r="L13568" s="11">
        <f>HYPERLINK("https://careerviet.vn/vi/tim-viec-lam/chuyen-vien-tuyen-dung.35C6B14E.html","Xem chi tiết")</f>
        <v/>
      </c>
      <c r="M13568" s="10" t="n"/>
    </row>
    <row r="13569">
      <c r="B13569" s="7" t="n">
        <v>13567</v>
      </c>
      <c r="C13569" t="inlineStr">
        <is>
          <t>Airfreight Customer Service</t>
        </is>
      </c>
      <c r="D13569" t="inlineStr">
        <is>
          <t>CÔNG TY TNHH LESCHACO VIỆT NAM</t>
        </is>
      </c>
      <c r="E13569" t="inlineStr">
        <is>
          <t>Lương:Cạnh tranh</t>
        </is>
      </c>
      <c r="F13569" t="inlineStr">
        <is>
          <t>Hồ Chí Minh</t>
        </is>
      </c>
      <c r="G13569" t="inlineStr">
        <is>
          <t>31-03-2026</t>
        </is>
      </c>
      <c r="H13569" t="inlineStr">
        <is>
          <t>31/03/2026</t>
        </is>
      </c>
      <c r="I13569" t="inlineStr">
        <is>
          <t>17/03/2026</t>
        </is>
      </c>
      <c r="J13569" t="inlineStr">
        <is>
          <t>Xuất nhập khẩu</t>
        </is>
      </c>
      <c r="K13569" t="inlineStr">
        <is>
          <t>3 - 5 Năm</t>
        </is>
      </c>
      <c r="L13569" s="8">
        <f>HYPERLINK("https://careerviet.vn/vi/tim-viec-lam/airfreight-customer-service.35C6B14D.html","Xem chi tiết")</f>
        <v/>
      </c>
    </row>
    <row r="13570">
      <c r="B13570" s="9" t="n">
        <v>13568</v>
      </c>
      <c r="C13570" s="10" t="inlineStr">
        <is>
          <t>Nhân viên chất lượng</t>
        </is>
      </c>
      <c r="D13570" s="10" t="inlineStr">
        <is>
          <t>Công ty TNHH Anam Electronics Việt Nam</t>
        </is>
      </c>
      <c r="E13570" s="10" t="inlineStr">
        <is>
          <t>Lương:8 Tr - 10 Tr VND</t>
        </is>
      </c>
      <c r="F13570" s="10" t="inlineStr">
        <is>
          <t>Hà Nam</t>
        </is>
      </c>
      <c r="G13570" s="10" t="inlineStr">
        <is>
          <t>10-04-2026</t>
        </is>
      </c>
      <c r="H13570" s="10" t="inlineStr">
        <is>
          <t>10/04/2026</t>
        </is>
      </c>
      <c r="I13570" s="10" t="inlineStr">
        <is>
          <t>17/03/2026</t>
        </is>
      </c>
      <c r="J13570" s="10" t="inlineStr">
        <is>
          <t>Quản lý chất lượng (QA/QC)</t>
        </is>
      </c>
      <c r="K13570" s="10" t="inlineStr">
        <is>
          <t>Lên đến 2 Năm</t>
        </is>
      </c>
      <c r="L13570" s="11">
        <f>HYPERLINK("https://careerviet.vn/vi/tim-viec-lam/nhan-vien-chat-luong.35C6B09B.html","Xem chi tiết")</f>
        <v/>
      </c>
      <c r="M13570" s="10" t="n"/>
    </row>
    <row r="13571">
      <c r="B13571" s="7" t="n">
        <v>13569</v>
      </c>
      <c r="C13571" t="inlineStr">
        <is>
          <t>Kỹ Sư Giám Sát Xây Dựng</t>
        </is>
      </c>
      <c r="D13571" t="inlineStr">
        <is>
          <t>CT CP Tập Đoàn Thái Tuấn</t>
        </is>
      </c>
      <c r="E13571" t="inlineStr">
        <is>
          <t>Lương:18 Tr - 20 Tr VND</t>
        </is>
      </c>
      <c r="F13571" t="inlineStr">
        <is>
          <t>Long AnBình Thuận</t>
        </is>
      </c>
      <c r="G13571" t="inlineStr">
        <is>
          <t>04-04-2026</t>
        </is>
      </c>
      <c r="H13571" t="inlineStr">
        <is>
          <t>04/04/2026</t>
        </is>
      </c>
      <c r="I13571" t="inlineStr">
        <is>
          <t>17/03/2026</t>
        </is>
      </c>
      <c r="J13571" t="inlineStr">
        <is>
          <t>Kiến trúc, Xây dựng</t>
        </is>
      </c>
      <c r="K13571" t="inlineStr">
        <is>
          <t>5 - 15 Năm</t>
        </is>
      </c>
      <c r="L13571" s="8">
        <f>HYPERLINK("https://careerviet.vn/vi/tim-viec-lam/ky-su-giam-sat-xay-dung.35C6B17A.html","Xem chi tiết")</f>
        <v/>
      </c>
    </row>
    <row r="13572">
      <c r="B13572" s="9" t="n">
        <v>13570</v>
      </c>
      <c r="C13572" s="10" t="inlineStr">
        <is>
          <t>KẾ TOÁN TỔNG HỢP (Mạnh thuế)</t>
        </is>
      </c>
      <c r="D13572" s="10" t="inlineStr">
        <is>
          <t>HMK Eyewear</t>
        </is>
      </c>
      <c r="E13572" s="10" t="inlineStr">
        <is>
          <t>Lương:15 Tr - 22 Tr VND</t>
        </is>
      </c>
      <c r="F13572" s="10" t="inlineStr">
        <is>
          <t>Hồ Chí Minh</t>
        </is>
      </c>
      <c r="G13572" s="10" t="inlineStr">
        <is>
          <t>31-03-2026</t>
        </is>
      </c>
      <c r="H13572" s="10" t="inlineStr">
        <is>
          <t>31/03/2026</t>
        </is>
      </c>
      <c r="I13572" s="10" t="inlineStr">
        <is>
          <t>17/03/2026</t>
        </is>
      </c>
      <c r="J13572" s="10" t="inlineStr">
        <is>
          <t>Kế toán / Kiểm toán, Tài chính / Đầu tư, Bán lẻ / Bán sỉ</t>
        </is>
      </c>
      <c r="K13572" s="10" t="inlineStr">
        <is>
          <t>2 - 5 Năm</t>
        </is>
      </c>
      <c r="L13572" s="11">
        <f>HYPERLINK("https://careerviet.vn/vi/tim-viec-lam/ke-toan-tong-hop-manh-thue.35C6B255.html","Xem chi tiết")</f>
        <v/>
      </c>
      <c r="M13572" s="10" t="n"/>
    </row>
    <row r="13573">
      <c r="B13573" s="7" t="n">
        <v>13571</v>
      </c>
      <c r="C13573" t="inlineStr">
        <is>
          <t>Nhân Viên Kinh Doanh (Miền Bắc)</t>
        </is>
      </c>
      <c r="D13573" t="inlineStr">
        <is>
          <t>CÔNG TY TNHH TEX YEAR VIỆT NAM</t>
        </is>
      </c>
      <c r="E13573" t="inlineStr">
        <is>
          <t>Lương:15 Tr - 17 Tr VND</t>
        </is>
      </c>
      <c r="F13573" t="inlineStr">
        <is>
          <t>Hà NộiBắc NinhHải Phòng</t>
        </is>
      </c>
      <c r="G13573" t="inlineStr">
        <is>
          <t>31-03-2026</t>
        </is>
      </c>
      <c r="H13573" t="inlineStr">
        <is>
          <t>31/03/2026</t>
        </is>
      </c>
      <c r="I13573" t="inlineStr">
        <is>
          <t>17/03/2026</t>
        </is>
      </c>
      <c r="J13573" t="inlineStr">
        <is>
          <t>Bán hàng / Kinh doanh, Hóa học, Điện / Điện tử / Điện lạnh / Điện công nghiệp</t>
        </is>
      </c>
      <c r="K13573" t="inlineStr">
        <is>
          <t>1 - 2 Năm</t>
        </is>
      </c>
      <c r="L13573" s="8">
        <f>HYPERLINK("https://careerviet.vn/vi/tim-viec-lam/nhan-vien-kinh-doanh-mien-bac.35C6AF81.html","Xem chi tiết")</f>
        <v/>
      </c>
    </row>
    <row r="13574">
      <c r="B13574" s="9" t="n">
        <v>13572</v>
      </c>
      <c r="C13574" s="10" t="inlineStr">
        <is>
          <t>Nhân Viên Lễ Tân (Phú Thọ)</t>
        </is>
      </c>
      <c r="D13574" s="10" t="inlineStr">
        <is>
          <t>CÔNG TY CỔ PHẦN TẬP ĐOÀN ONSEN FUJI</t>
        </is>
      </c>
      <c r="E13574" s="10" t="inlineStr">
        <is>
          <t>Lương:8 Tr - 10 Tr VND</t>
        </is>
      </c>
      <c r="F13574" s="10" t="inlineStr">
        <is>
          <t>Phú Thọ</t>
        </is>
      </c>
      <c r="G13574" s="10" t="inlineStr">
        <is>
          <t>04-04-2026</t>
        </is>
      </c>
      <c r="H13574" s="10" t="inlineStr">
        <is>
          <t>04/04/2026</t>
        </is>
      </c>
      <c r="I13574" s="10" t="inlineStr">
        <is>
          <t>17/03/2026</t>
        </is>
      </c>
      <c r="J13574" s="10" t="inlineStr">
        <is>
          <t>Nhà hàng / Khách sạn</t>
        </is>
      </c>
      <c r="K13574" s="10" t="inlineStr">
        <is>
          <t>Chưa có kinh nghiệm</t>
        </is>
      </c>
      <c r="L13574" s="11">
        <f>HYPERLINK("https://careerviet.vn/vi/tim-viec-lam/nhan-vien-le-tan-phu-tho.35C6AFDD.html","Xem chi tiết")</f>
        <v/>
      </c>
      <c r="M13574" s="10" t="n"/>
    </row>
    <row r="13575">
      <c r="B13575" s="7" t="n">
        <v>13573</v>
      </c>
      <c r="C13575" t="inlineStr">
        <is>
          <t>Trưởng Phòng Marketing</t>
        </is>
      </c>
      <c r="D13575" t="inlineStr">
        <is>
          <t>Công Ty Cổ Phần Dịch Vụ Bất Động Sản Danh Khôi</t>
        </is>
      </c>
      <c r="E13575" t="inlineStr">
        <is>
          <t>Lương:30 Tr - 40 Tr VND</t>
        </is>
      </c>
      <c r="F13575" t="inlineStr">
        <is>
          <t>Hồ Chí Minh</t>
        </is>
      </c>
      <c r="G13575" t="inlineStr">
        <is>
          <t>05-04-2026</t>
        </is>
      </c>
      <c r="H13575" t="inlineStr">
        <is>
          <t>05/04/2026</t>
        </is>
      </c>
      <c r="I13575" t="inlineStr">
        <is>
          <t>17/03/2026</t>
        </is>
      </c>
      <c r="J13575" t="inlineStr">
        <is>
          <t>Tiếp thị / Marketing</t>
        </is>
      </c>
      <c r="K13575" t="inlineStr">
        <is>
          <t>2 - 3 Năm</t>
        </is>
      </c>
      <c r="L13575" s="8">
        <f>HYPERLINK("https://careerviet.vn/vi/tim-viec-lam/truong-phong-marketing.35C6B18C.html","Xem chi tiết")</f>
        <v/>
      </c>
    </row>
    <row r="13576">
      <c r="B13576" s="9" t="n">
        <v>13574</v>
      </c>
      <c r="C13576" s="10" t="inlineStr">
        <is>
          <t>LEADER THƯƠNG MẠI NGÀNH XÂY DỰNG</t>
        </is>
      </c>
      <c r="D13576" s="10" t="inlineStr">
        <is>
          <t>CÔNG TY TNHH SX-TM-XD KYODO</t>
        </is>
      </c>
      <c r="E13576" s="10" t="inlineStr">
        <is>
          <t>Lương:13 Tr - 18 Tr VND</t>
        </is>
      </c>
      <c r="F13576" s="10" t="inlineStr">
        <is>
          <t>Hồ Chí Minh</t>
        </is>
      </c>
      <c r="G13576" s="10" t="inlineStr">
        <is>
          <t>30-04-2026</t>
        </is>
      </c>
      <c r="H13576" s="10" t="inlineStr">
        <is>
          <t>30/04/2026</t>
        </is>
      </c>
      <c r="I13576" s="10" t="inlineStr">
        <is>
          <t>17/03/2026</t>
        </is>
      </c>
      <c r="J13576" s="10" t="inlineStr">
        <is>
          <t>Điện / Điện tử / Điện lạnh / Điện công nghiệp, Bán hàng / Kinh doanh</t>
        </is>
      </c>
      <c r="K13576" s="10" t="inlineStr">
        <is>
          <t>2 - 3 Năm</t>
        </is>
      </c>
      <c r="L13576" s="11">
        <f>HYPERLINK("https://careerviet.vn/vi/tim-viec-lam/leader-thuong-mai-nganh-xay-dung.35C6B067.html","Xem chi tiết")</f>
        <v/>
      </c>
      <c r="M13576" s="10" t="n"/>
    </row>
    <row r="13577">
      <c r="B13577" s="7" t="n">
        <v>13575</v>
      </c>
      <c r="C13577" t="inlineStr">
        <is>
          <t>Chuyên Viên Bảo Trì</t>
        </is>
      </c>
      <c r="D13577" t="inlineStr">
        <is>
          <t>Công Ty Cổ Phần GreenFeed Việt Nam</t>
        </is>
      </c>
      <c r="E13577" t="inlineStr">
        <is>
          <t>Lương:Cạnh tranh</t>
        </is>
      </c>
      <c r="F13577" t="inlineStr">
        <is>
          <t>Đồng Nai</t>
        </is>
      </c>
      <c r="G13577" t="inlineStr">
        <is>
          <t>04-04-2026</t>
        </is>
      </c>
      <c r="H13577" t="inlineStr">
        <is>
          <t>04/04/2026</t>
        </is>
      </c>
      <c r="I13577" t="inlineStr">
        <is>
          <t>17/03/2026</t>
        </is>
      </c>
      <c r="J13577" t="inlineStr">
        <is>
          <t>Cơ khí / Ô tô / Tự động hóa, Sản xuất / Vận hành sản xuất, Chăn nuôi / Thú y</t>
        </is>
      </c>
      <c r="K13577" t="inlineStr">
        <is>
          <t>2 - 3 Năm</t>
        </is>
      </c>
      <c r="L13577" s="8">
        <f>HYPERLINK("https://careerviet.vn/vi/tim-viec-lam/chuyen-vien-bao-tri.35C6AF79.html","Xem chi tiết")</f>
        <v/>
      </c>
    </row>
    <row r="13578">
      <c r="B13578" s="9" t="n">
        <v>13576</v>
      </c>
      <c r="C13578" s="10" t="inlineStr">
        <is>
          <t>Kỹ sư Quản lý chất lượng</t>
        </is>
      </c>
      <c r="D13578" s="10" t="inlineStr">
        <is>
          <t>Viet Han Concrete JSC.,</t>
        </is>
      </c>
      <c r="E13578" s="10" t="inlineStr">
        <is>
          <t>Lương:Cạnh tranh</t>
        </is>
      </c>
      <c r="F13578" s="10" t="inlineStr">
        <is>
          <t>Hồ Chí MinhĐồng NaiBà Rịa - Vũng Tàu</t>
        </is>
      </c>
      <c r="G13578" s="10" t="inlineStr">
        <is>
          <t>05-04-2026</t>
        </is>
      </c>
      <c r="H13578" s="10" t="inlineStr">
        <is>
          <t>05/04/2026</t>
        </is>
      </c>
      <c r="I13578" s="10" t="inlineStr">
        <is>
          <t>17/03/2026</t>
        </is>
      </c>
      <c r="J13578" s="10" t="inlineStr">
        <is>
          <t>Sản xuất / Vận hành sản xuất, Quản lý chất lượng (QA/QC), Xây dựng</t>
        </is>
      </c>
      <c r="K13578" s="10" t="inlineStr">
        <is>
          <t>1 - 20 Năm</t>
        </is>
      </c>
      <c r="L13578" s="11">
        <f>HYPERLINK("https://careerviet.vn/vi/tim-viec-lam/ky-su-quan-ly-chat-luong.35C6B04E.html","Xem chi tiết")</f>
        <v/>
      </c>
      <c r="M13578" s="10" t="n"/>
    </row>
    <row r="13579">
      <c r="B13579" s="7" t="n">
        <v>13577</v>
      </c>
      <c r="C13579" t="inlineStr">
        <is>
          <t>Nhân Viên Kinh Doanh Bio-Pro</t>
        </is>
      </c>
      <c r="D13579" t="inlineStr">
        <is>
          <t>Dalat Hasfarm</t>
        </is>
      </c>
      <c r="E13579" t="inlineStr">
        <is>
          <t>Lương:Cạnh tranh</t>
        </is>
      </c>
      <c r="F13579" t="inlineStr">
        <is>
          <t>Lâm Đồng</t>
        </is>
      </c>
      <c r="G13579" t="inlineStr">
        <is>
          <t>04-04-2026</t>
        </is>
      </c>
      <c r="H13579" t="inlineStr">
        <is>
          <t>04/04/2026</t>
        </is>
      </c>
      <c r="I13579" t="inlineStr">
        <is>
          <t>17/03/2026</t>
        </is>
      </c>
      <c r="J13579" t="inlineStr">
        <is>
          <t>Bán hàng / Kinh doanh, Nông nghiệp, Công nghệ sinh học</t>
        </is>
      </c>
      <c r="K13579" t="inlineStr">
        <is>
          <t>Trên 1 Năm</t>
        </is>
      </c>
      <c r="L13579" s="8">
        <f>HYPERLINK("https://careerviet.vn/vi/tim-viec-lam/nhan-vien-kinh-doanh-bio-pro.35C6B1A3.html","Xem chi tiết")</f>
        <v/>
      </c>
    </row>
    <row r="13580">
      <c r="B13580" s="9" t="n">
        <v>13578</v>
      </c>
      <c r="C13580" s="10" t="inlineStr">
        <is>
          <t>[HO HN] Chuyên gia Hoạch định và Chính sách nhân sự</t>
        </is>
      </c>
      <c r="D13580" s="10" t="inlineStr">
        <is>
          <t>ABBANK - Ngân Hàng TMCP An Bình</t>
        </is>
      </c>
      <c r="E13580" s="10" t="inlineStr">
        <is>
          <t>Lương:Cạnh tranh</t>
        </is>
      </c>
      <c r="F13580" s="10" t="inlineStr">
        <is>
          <t>Hà Nội</t>
        </is>
      </c>
      <c r="G13580" s="10" t="inlineStr">
        <is>
          <t>05-04-2026</t>
        </is>
      </c>
      <c r="H13580" s="10" t="inlineStr">
        <is>
          <t>05/04/2026</t>
        </is>
      </c>
      <c r="I13580" s="10" t="inlineStr">
        <is>
          <t>17/03/2026</t>
        </is>
      </c>
      <c r="J13580" s="10" t="inlineStr">
        <is>
          <t>Nhân sự, Ngân hàng</t>
        </is>
      </c>
      <c r="K13580" s="10" t="inlineStr">
        <is>
          <t>5 - 7 Năm</t>
        </is>
      </c>
      <c r="L13580" s="11">
        <f>HYPERLINK("https://careerviet.vn/vi/tim-viec-lam/ho-hn-chuyen-gia-hoach-dinh-va-chinh-sach-nhan-su.35C6B1C4.html","Xem chi tiết")</f>
        <v/>
      </c>
      <c r="M13580" s="10" t="n"/>
    </row>
    <row r="13581">
      <c r="B13581" s="7" t="n">
        <v>13579</v>
      </c>
      <c r="C13581" t="inlineStr">
        <is>
          <t>Kế toán thu chi trường mầm non (RichMond Bình Thạnh)</t>
        </is>
      </c>
      <c r="D13581" t="inlineStr">
        <is>
          <t>TRƯỜNG QUỐC TẾ BLUE RIDGE / BLUE RIDGE INTERNATIONAL SCHOOL (BRIS)</t>
        </is>
      </c>
      <c r="E13581" t="inlineStr">
        <is>
          <t>Lương:7 Tr - 9 Tr VND</t>
        </is>
      </c>
      <c r="F13581" t="inlineStr">
        <is>
          <t>Hồ Chí Minh</t>
        </is>
      </c>
      <c r="G13581" t="inlineStr">
        <is>
          <t>31-03-2026</t>
        </is>
      </c>
      <c r="H13581" t="inlineStr">
        <is>
          <t>31/03/2026</t>
        </is>
      </c>
      <c r="I13581" t="inlineStr">
        <is>
          <t>17/03/2026</t>
        </is>
      </c>
      <c r="J13581" t="inlineStr">
        <is>
          <t>Kế toán / Kiểm toán</t>
        </is>
      </c>
      <c r="K13581" t="inlineStr">
        <is>
          <t>1 - 2 Năm</t>
        </is>
      </c>
      <c r="L13581" s="8">
        <f>HYPERLINK("https://careerviet.vn/vi/tim-viec-lam/ke-toan-thu-chi-truong-mam-non-richmond-binh-thanh.35C6B1F4.html","Xem chi tiết")</f>
        <v/>
      </c>
    </row>
    <row r="13582">
      <c r="B13582" s="9" t="n">
        <v>13580</v>
      </c>
      <c r="C13582" s="10" t="inlineStr">
        <is>
          <t>Chuyên viên Đào tạo (Senior L&amp;D)</t>
        </is>
      </c>
      <c r="D13582" s="10" t="inlineStr">
        <is>
          <t>HMK Eyewear</t>
        </is>
      </c>
      <c r="E13582" s="10" t="inlineStr">
        <is>
          <t>Lương:15 Tr - 22 Tr VND</t>
        </is>
      </c>
      <c r="F13582" s="10" t="inlineStr">
        <is>
          <t>Hồ Chí Minh</t>
        </is>
      </c>
      <c r="G13582" s="10" t="inlineStr">
        <is>
          <t>31-03-2026</t>
        </is>
      </c>
      <c r="H13582" s="10" t="inlineStr">
        <is>
          <t>31/03/2026</t>
        </is>
      </c>
      <c r="I13582" s="10" t="inlineStr">
        <is>
          <t>17/03/2026</t>
        </is>
      </c>
      <c r="J13582" s="10" t="inlineStr">
        <is>
          <t>Nhân sự, Tư vấn, Dịch vụ khách hàng</t>
        </is>
      </c>
      <c r="K13582" s="10" t="inlineStr">
        <is>
          <t>2 - 5 Năm</t>
        </is>
      </c>
      <c r="L13582" s="11">
        <f>HYPERLINK("https://careerviet.vn/vi/tim-viec-lam/chuyen-vien-dao-tao-senior-l-d.35C6B11A.html","Xem chi tiết")</f>
        <v/>
      </c>
      <c r="M13582" s="10" t="n"/>
    </row>
    <row r="13583">
      <c r="B13583" s="7" t="n">
        <v>13581</v>
      </c>
      <c r="C13583" t="inlineStr">
        <is>
          <t>[Cần Thơ] Giám định viên hàng Nông sản - Thủy sản</t>
        </is>
      </c>
      <c r="D13583" t="inlineStr">
        <is>
          <t>EUROFINS VIETNAM</t>
        </is>
      </c>
      <c r="E13583" t="inlineStr">
        <is>
          <t>Lương:Cạnh tranh</t>
        </is>
      </c>
      <c r="F13583" t="inlineStr">
        <is>
          <t>Cần Thơ</t>
        </is>
      </c>
      <c r="G13583" t="inlineStr">
        <is>
          <t>31-03-2026</t>
        </is>
      </c>
      <c r="H13583" t="inlineStr">
        <is>
          <t>31/03/2026</t>
        </is>
      </c>
      <c r="I13583" t="inlineStr">
        <is>
          <t>17/03/2026</t>
        </is>
      </c>
      <c r="J13583" t="inlineStr">
        <is>
          <t>Công nghệ thực phẩm / Dinh dưỡng, Quản lý chất lượng (QA/QC), Hóa học</t>
        </is>
      </c>
      <c r="K13583" t="inlineStr">
        <is>
          <t>2 - 3 Năm</t>
        </is>
      </c>
      <c r="L13583" s="8">
        <f>HYPERLINK("https://careerviet.vn/vi/tim-viec-lam/can-tho-giam-dinh-vien-hang-nong-san-thuy-san.35C6B031.html","Xem chi tiết")</f>
        <v/>
      </c>
    </row>
    <row r="13584">
      <c r="B13584" s="9" t="n">
        <v>13582</v>
      </c>
      <c r="C13584" s="10" t="inlineStr">
        <is>
          <t>Chuyên Viên Tư Vấn Giáo Dục - Ocean Edu Thủy Nguyên - Thu Nhập Từ 15Triệu/Tháng - Phỏng Vấn Đi Làm Ngay</t>
        </is>
      </c>
      <c r="D13584" s="10" t="inlineStr">
        <is>
          <t>Công Ty CP Giáo Dục Đại Dương</t>
        </is>
      </c>
      <c r="E13584" s="10" t="inlineStr">
        <is>
          <t>Lương:Cạnh tranh</t>
        </is>
      </c>
      <c r="F13584" s="10" t="inlineStr">
        <is>
          <t>Hải Phòng</t>
        </is>
      </c>
      <c r="G13584" s="10" t="inlineStr">
        <is>
          <t>04-04-2026</t>
        </is>
      </c>
      <c r="H13584" s="10" t="inlineStr">
        <is>
          <t>04/04/2026</t>
        </is>
      </c>
      <c r="I13584" s="10" t="inlineStr">
        <is>
          <t>17/03/2026</t>
        </is>
      </c>
      <c r="J13584" s="10" t="inlineStr">
        <is>
          <t>Dịch vụ khách hàng, Giáo dục / Đào tạo, Bán hàng / Kinh doanh</t>
        </is>
      </c>
      <c r="K13584" s="10" t="inlineStr">
        <is>
          <t>Chưa có kinh nghiệm</t>
        </is>
      </c>
      <c r="L13584" s="11">
        <f>HYPERLINK("https://careerviet.vn/vi/tim-viec-lam/chuyen-vien-tu-van-giao-duc-ocean-edu-thuy-nguyen-thu-nhap-tu-15trieu-thang-phong-van-di-lam-ngay.35C6B127.html","Xem chi tiết")</f>
        <v/>
      </c>
      <c r="M13584" s="10" t="n"/>
    </row>
    <row r="13585">
      <c r="B13585" s="7" t="n">
        <v>13583</v>
      </c>
      <c r="C13585" t="inlineStr">
        <is>
          <t>Chuyên Viên Tư Vấn Giáo Dục - Ocean Edu Vụ Bản  - Thu Nhập Từ 15Triệu/Tháng - Phỏng Vấn Đi Làm Ngay</t>
        </is>
      </c>
      <c r="D13585" t="inlineStr">
        <is>
          <t>Công Ty CP Giáo Dục Đại Dương</t>
        </is>
      </c>
      <c r="E13585" t="inlineStr">
        <is>
          <t>Lương:Cạnh tranh</t>
        </is>
      </c>
      <c r="F13585" t="inlineStr">
        <is>
          <t>Nam Định</t>
        </is>
      </c>
      <c r="G13585" t="inlineStr">
        <is>
          <t>04-04-2026</t>
        </is>
      </c>
      <c r="H13585" t="inlineStr">
        <is>
          <t>04/04/2026</t>
        </is>
      </c>
      <c r="I13585" t="inlineStr">
        <is>
          <t>17/03/2026</t>
        </is>
      </c>
      <c r="J13585" t="inlineStr">
        <is>
          <t>Dịch vụ khách hàng, Giáo dục / Đào tạo, Bán hàng / Kinh doanh</t>
        </is>
      </c>
      <c r="K13585" t="inlineStr">
        <is>
          <t>Chưa có kinh nghiệm</t>
        </is>
      </c>
      <c r="L13585" s="8">
        <f>HYPERLINK("https://careerviet.vn/vi/tim-viec-lam/chuyen-vien-tu-van-giao-duc-ocean-edu-vu-ban-thu-nhap-tu-15trieu-thang-phong-van-di-lam-ngay.35C6AF09.html","Xem chi tiết")</f>
        <v/>
      </c>
    </row>
    <row r="13586">
      <c r="B13586" s="9" t="n">
        <v>13584</v>
      </c>
      <c r="C13586" s="10" t="inlineStr">
        <is>
          <t>KẾ TOÁN DOANH THU VÀ CÔNG NỢ</t>
        </is>
      </c>
      <c r="D13586" s="10" t="inlineStr">
        <is>
          <t>Công ty TNHH Anh Đức</t>
        </is>
      </c>
      <c r="E13586" s="10" t="inlineStr">
        <is>
          <t>Lương:7 Tr - 9 Tr VND</t>
        </is>
      </c>
      <c r="F13586" s="10" t="inlineStr">
        <is>
          <t>Đà Nẵng</t>
        </is>
      </c>
      <c r="G13586" s="10" t="inlineStr">
        <is>
          <t>31-03-2026</t>
        </is>
      </c>
      <c r="H13586" s="10" t="inlineStr">
        <is>
          <t>31/03/2026</t>
        </is>
      </c>
      <c r="I13586" s="10" t="inlineStr">
        <is>
          <t>17/03/2026</t>
        </is>
      </c>
      <c r="J13586" s="10" t="inlineStr">
        <is>
          <t>Kế toán / Kiểm toán, Thống kê, Bán lẻ / Bán sỉ</t>
        </is>
      </c>
      <c r="K13586" s="10" t="inlineStr">
        <is>
          <t>Trên 1 Năm</t>
        </is>
      </c>
      <c r="L13586" s="11">
        <f>HYPERLINK("https://careerviet.vn/vi/tim-viec-lam/ke-toan-doanh-thu-va-cong-no.35C6AF65.html","Xem chi tiết")</f>
        <v/>
      </c>
      <c r="M13586" s="10" t="n"/>
    </row>
    <row r="13587">
      <c r="B13587" s="7" t="n">
        <v>13585</v>
      </c>
      <c r="C13587" t="inlineStr">
        <is>
          <t>GIÁM SÁT/QUẢN LÝ NHÀ HÀNG BÒ TƠ NHÂN PHÁT VÀ TRẠI DÊ (VNCD GROUP)</t>
        </is>
      </c>
      <c r="D13587" t="inlineStr">
        <is>
          <t>CÔNG TY TNHH TẬP ĐOÀN PHÁT TRIỂN ẨM THỰC VIỆT NAM (VNCD GROUP)</t>
        </is>
      </c>
      <c r="E13587" t="inlineStr">
        <is>
          <t>Lương:10 Tr - 20 Tr VND</t>
        </is>
      </c>
      <c r="F13587" t="inlineStr">
        <is>
          <t>Hồ Chí Minh</t>
        </is>
      </c>
      <c r="G13587" t="inlineStr">
        <is>
          <t>30-04-2026</t>
        </is>
      </c>
      <c r="H13587" t="inlineStr">
        <is>
          <t>30/04/2026</t>
        </is>
      </c>
      <c r="I13587" t="inlineStr">
        <is>
          <t>17/03/2026</t>
        </is>
      </c>
      <c r="J13587" t="inlineStr">
        <is>
          <t>Nhà hàng / Khách sạn, Quản lý điều hành, Lao động phổ thông</t>
        </is>
      </c>
      <c r="K13587" t="inlineStr">
        <is>
          <t>2 - 3 Năm</t>
        </is>
      </c>
      <c r="L13587" s="8">
        <f>HYPERLINK("https://careerviet.vn/vi/tim-viec-lam/gia-m-sa-t-qua-n-ly-nha-ha-ng-bo-to-nhan-phat-va-trai-de-vncd-group.35C6B0F3.html","Xem chi tiết")</f>
        <v/>
      </c>
    </row>
    <row r="13588">
      <c r="B13588" s="9" t="n">
        <v>13586</v>
      </c>
      <c r="C13588" s="10" t="inlineStr">
        <is>
          <t>TRƯỞNG PHÒNG BÁN HÀNG TRỰC TUYẾN</t>
        </is>
      </c>
      <c r="D13588" s="10" t="inlineStr">
        <is>
          <t>Công ty Cổ phần ĐẠI ĐỒNG TIẾN</t>
        </is>
      </c>
      <c r="E13588" s="10" t="inlineStr">
        <is>
          <t>Lương:Cạnh tranh</t>
        </is>
      </c>
      <c r="F13588" s="10" t="inlineStr">
        <is>
          <t>Hồ Chí Minh</t>
        </is>
      </c>
      <c r="G13588" s="10" t="inlineStr">
        <is>
          <t>04-04-2026</t>
        </is>
      </c>
      <c r="H13588" s="10" t="inlineStr">
        <is>
          <t>04/04/2026</t>
        </is>
      </c>
      <c r="I13588" s="10" t="inlineStr">
        <is>
          <t>17/03/2026</t>
        </is>
      </c>
      <c r="J13588" s="10" t="inlineStr">
        <is>
          <t>Tiếp thị / Marketing, Tiếp thị trực tuyến, Thương mại điện tử</t>
        </is>
      </c>
      <c r="K13588" s="10" t="inlineStr">
        <is>
          <t>3 - 5 Năm</t>
        </is>
      </c>
      <c r="L13588" s="11">
        <f>HYPERLINK("https://careerviet.vn/vi/tim-viec-lam/truong-phong-ban-hang-truc-tuyen.35C6AFFA.html","Xem chi tiết")</f>
        <v/>
      </c>
      <c r="M13588" s="10" t="n"/>
    </row>
    <row r="13589">
      <c r="B13589" s="7" t="n">
        <v>13587</v>
      </c>
      <c r="C13589" t="inlineStr">
        <is>
          <t>Host Livestream Quận 2 (Nữ,Full-time)</t>
        </is>
      </c>
      <c r="D13589" t="inlineStr">
        <is>
          <t>Công ty TNHH Sản xuất Thương mại &amp; Dịch vụ Hoa Xinh</t>
        </is>
      </c>
      <c r="E13589" t="inlineStr">
        <is>
          <t>Lương:10 Tr - 15 Tr VND</t>
        </is>
      </c>
      <c r="F13589" t="inlineStr">
        <is>
          <t>Hồ Chí Minh</t>
        </is>
      </c>
      <c r="G13589" t="inlineStr">
        <is>
          <t>25-03-2026</t>
        </is>
      </c>
      <c r="H13589" t="inlineStr">
        <is>
          <t>25/03/2026</t>
        </is>
      </c>
      <c r="I13589" t="inlineStr">
        <is>
          <t>17/03/2026</t>
        </is>
      </c>
      <c r="J13589" t="inlineStr">
        <is>
          <t>Tiếp thị / Marketing, Tiếp thị trực tuyến, Thương mại điện tử</t>
        </is>
      </c>
      <c r="K13589" t="inlineStr">
        <is>
          <t>3 - 10 Năm</t>
        </is>
      </c>
      <c r="L13589" s="8">
        <f>HYPERLINK("https://careerviet.vn/vi/tim-viec-lam/host-livestream-quan-2-nu-full-time.35C6B094.html","Xem chi tiết")</f>
        <v/>
      </c>
    </row>
    <row r="13590">
      <c r="B13590" s="9" t="n">
        <v>13588</v>
      </c>
      <c r="C13590" s="10" t="inlineStr">
        <is>
          <t>Giám sát kỹ thuật (Xây dựng, Hạ tầng, MEP)</t>
        </is>
      </c>
      <c r="D13590" s="10" t="inlineStr">
        <is>
          <t>Công ty Cổ phần Xây dựng CBC</t>
        </is>
      </c>
      <c r="E13590" s="10" t="inlineStr">
        <is>
          <t>Lương:15 Tr - 22 Tr VND</t>
        </is>
      </c>
      <c r="F13590" s="10" t="inlineStr">
        <is>
          <t>Quảng Ninh</t>
        </is>
      </c>
      <c r="G13590" s="10" t="inlineStr">
        <is>
          <t>07-04-2026</t>
        </is>
      </c>
      <c r="H13590" s="10" t="inlineStr">
        <is>
          <t>07/04/2026</t>
        </is>
      </c>
      <c r="I13590" s="10" t="inlineStr">
        <is>
          <t>17/03/2026</t>
        </is>
      </c>
      <c r="J13590" s="10" t="inlineStr">
        <is>
          <t>Xây dựng, Điện / Điện tử / Điện lạnh / Điện công nghiệp</t>
        </is>
      </c>
      <c r="K13590" s="10" t="inlineStr">
        <is>
          <t>1 - 2 Năm</t>
        </is>
      </c>
      <c r="L13590" s="11">
        <f>HYPERLINK("https://careerviet.vn/vi/tim-viec-lam/giam-sat-ky-thuat-xay-dung-ha-tang-mep.35C6AF5F.html","Xem chi tiết")</f>
        <v/>
      </c>
      <c r="M13590" s="10" t="n"/>
    </row>
    <row r="13591">
      <c r="B13591" s="7" t="n">
        <v>13589</v>
      </c>
      <c r="C13591" t="inlineStr">
        <is>
          <t>Chuyên Viên Tư Vấn Giáo Dục - Ocean Edu Yên Dũng - Thu Nhập Từ 15Triệu/Tháng - Phỏng Vấn Đi Làm Ngay</t>
        </is>
      </c>
      <c r="D13591" t="inlineStr">
        <is>
          <t>Công Ty CP Giáo Dục Đại Dương</t>
        </is>
      </c>
      <c r="E13591" t="inlineStr">
        <is>
          <t>Lương:Cạnh tranh</t>
        </is>
      </c>
      <c r="F13591" t="inlineStr">
        <is>
          <t>Bắc Giang</t>
        </is>
      </c>
      <c r="G13591" t="inlineStr">
        <is>
          <t>04-04-2026</t>
        </is>
      </c>
      <c r="H13591" t="inlineStr">
        <is>
          <t>04/04/2026</t>
        </is>
      </c>
      <c r="I13591" t="inlineStr">
        <is>
          <t>17/03/2026</t>
        </is>
      </c>
      <c r="J13591" t="inlineStr">
        <is>
          <t>Dịch vụ khách hàng, Giáo dục / Đào tạo, Bán hàng / Kinh doanh</t>
        </is>
      </c>
      <c r="K13591" t="inlineStr">
        <is>
          <t>Chưa có kinh nghiệm</t>
        </is>
      </c>
      <c r="L13591" s="8">
        <f>HYPERLINK("https://careerviet.vn/vi/tim-viec-lam/chuyen-vien-tu-van-giao-duc-ocean-edu-yen-dung-thu-nhap-tu-15trieu-thang-phong-van-di-lam-ngay.35C6B058.html","Xem chi tiết")</f>
        <v/>
      </c>
    </row>
    <row r="13592">
      <c r="B13592" s="9" t="n">
        <v>13590</v>
      </c>
      <c r="C13592" s="10" t="inlineStr">
        <is>
          <t>Chuyên Viên Tư Vấn Giáo Dục - Ocean Edu Hải Dương 2 - Thu Nhập Từ 15Triệu/Tháng - Phỏng Vấn Đi Làm Ngay</t>
        </is>
      </c>
      <c r="D13592" s="10" t="inlineStr">
        <is>
          <t>Công Ty CP Giáo Dục Đại Dương</t>
        </is>
      </c>
      <c r="E13592" s="10" t="inlineStr">
        <is>
          <t>Lương:Cạnh tranh</t>
        </is>
      </c>
      <c r="F13592" s="10" t="inlineStr">
        <is>
          <t>Hải Dương</t>
        </is>
      </c>
      <c r="G13592" s="10" t="inlineStr">
        <is>
          <t>04-04-2026</t>
        </is>
      </c>
      <c r="H13592" s="10" t="inlineStr">
        <is>
          <t>04/04/2026</t>
        </is>
      </c>
      <c r="I13592" s="10" t="inlineStr">
        <is>
          <t>17/03/2026</t>
        </is>
      </c>
      <c r="J13592" s="10" t="inlineStr">
        <is>
          <t>Dịch vụ khách hàng, Giáo dục / Đào tạo, Bán hàng / Kinh doanh</t>
        </is>
      </c>
      <c r="K13592" s="10" t="inlineStr">
        <is>
          <t>Chưa có kinh nghiệm</t>
        </is>
      </c>
      <c r="L13592" s="11">
        <f>HYPERLINK("https://careerviet.vn/vi/tim-viec-lam/chuyen-vien-tu-van-giao-duc-ocean-edu-hai-duong-2-thu-nhap-tu-15trieu-thang-phong-van-di-lam-ngay.35C6B065.html","Xem chi tiết")</f>
        <v/>
      </c>
      <c r="M13592" s="10" t="n"/>
    </row>
    <row r="13593">
      <c r="B13593" s="7" t="n">
        <v>13591</v>
      </c>
      <c r="C13593" t="inlineStr">
        <is>
          <t>Nhân Viên Kiểm Toán Nội Bộ</t>
        </is>
      </c>
      <c r="D13593" t="inlineStr">
        <is>
          <t>Dalat Hasfarm</t>
        </is>
      </c>
      <c r="E13593" t="inlineStr">
        <is>
          <t>Lương:Cạnh tranh</t>
        </is>
      </c>
      <c r="F13593" t="inlineStr">
        <is>
          <t>Lâm Đồng</t>
        </is>
      </c>
      <c r="G13593" t="inlineStr">
        <is>
          <t>04-04-2026</t>
        </is>
      </c>
      <c r="H13593" t="inlineStr">
        <is>
          <t>04/04/2026</t>
        </is>
      </c>
      <c r="I13593" t="inlineStr">
        <is>
          <t>17/03/2026</t>
        </is>
      </c>
      <c r="J13593" t="inlineStr">
        <is>
          <t>Kế toán / Kiểm toán, Xây dựng</t>
        </is>
      </c>
      <c r="K13593" t="inlineStr">
        <is>
          <t>Trên 2 Năm</t>
        </is>
      </c>
      <c r="L13593" s="8">
        <f>HYPERLINK("https://careerviet.vn/vi/tim-viec-lam/nhan-vien-kiem-toan-noi-bo.35C6B19A.html","Xem chi tiết")</f>
        <v/>
      </c>
    </row>
    <row r="13594">
      <c r="B13594" s="9" t="n">
        <v>13592</v>
      </c>
      <c r="C13594" s="10" t="inlineStr">
        <is>
          <t>Giám đốc Phòng giao dịch Thành Đông - [BAC A BANK - Chi nhánh Hải Dương]</t>
        </is>
      </c>
      <c r="D13594" s="10" t="inlineStr">
        <is>
          <t>Ngân Hàng Thương mại cổ phần Bắc Á- BAC A BANK</t>
        </is>
      </c>
      <c r="E13594" s="10" t="inlineStr">
        <is>
          <t>Lương:Cạnh tranh</t>
        </is>
      </c>
      <c r="F13594" s="10" t="inlineStr">
        <is>
          <t>Hải Dương</t>
        </is>
      </c>
      <c r="G13594" s="10" t="inlineStr">
        <is>
          <t>04-04-2026</t>
        </is>
      </c>
      <c r="H13594" s="10" t="inlineStr">
        <is>
          <t>04/04/2026</t>
        </is>
      </c>
      <c r="I13594" s="10" t="inlineStr">
        <is>
          <t>17/03/2026</t>
        </is>
      </c>
      <c r="J13594" s="10" t="inlineStr">
        <is>
          <t>Quản lý điều hành, Ngân hàng</t>
        </is>
      </c>
      <c r="K13594" s="10" t="inlineStr">
        <is>
          <t>5 - 7 Năm</t>
        </is>
      </c>
      <c r="L13594" s="11">
        <f>HYPERLINK("https://careerviet.vn/vi/tim-viec-lam/giam-doc-phong-giao-dich-thanh-dong-bac-a-bank-chi-nhanh-hai-duong.35C6B0F6.html","Xem chi tiết")</f>
        <v/>
      </c>
      <c r="M13594" s="10" t="n"/>
    </row>
    <row r="13595">
      <c r="B13595" s="7" t="n">
        <v>13593</v>
      </c>
      <c r="C13595" t="inlineStr">
        <is>
          <t>NHÂN VIÊN KẾ TOÁN TỔNG HỢP</t>
        </is>
      </c>
      <c r="D13595" t="inlineStr">
        <is>
          <t>Công ty Cổ phần S.I.M. VN</t>
        </is>
      </c>
      <c r="E13595" t="inlineStr">
        <is>
          <t>Lương:15 Tr - 20 Tr VND</t>
        </is>
      </c>
      <c r="F13595" t="inlineStr">
        <is>
          <t>Long An</t>
        </is>
      </c>
      <c r="G13595" t="inlineStr">
        <is>
          <t>30-04-2026</t>
        </is>
      </c>
      <c r="H13595" t="inlineStr">
        <is>
          <t>30/04/2026</t>
        </is>
      </c>
      <c r="I13595" t="inlineStr">
        <is>
          <t>17/03/2026</t>
        </is>
      </c>
      <c r="J13595" t="inlineStr">
        <is>
          <t>Thực phẩm &amp; Đồ uống, Kế toán / Kiểm toán, Công nghệ thực phẩm / Dinh dưỡng</t>
        </is>
      </c>
      <c r="K13595" t="inlineStr">
        <is>
          <t>2 - 3 Năm</t>
        </is>
      </c>
      <c r="L13595" s="8">
        <f>HYPERLINK("https://careerviet.vn/vi/tim-viec-lam/nhan-vien-ke-toan-tong-hop.35C6B08A.html","Xem chi tiết")</f>
        <v/>
      </c>
    </row>
    <row r="13596">
      <c r="B13596" s="9" t="n">
        <v>13594</v>
      </c>
      <c r="C13596" s="10" t="inlineStr">
        <is>
          <t>Chuyên Viên Tư Vấn Giáo Dục - Ocean Edu Ninh Giang - Thu Nhập Từ 15Triệu/Tháng - Phỏng Vấn Đi Làm Ngay</t>
        </is>
      </c>
      <c r="D13596" s="10" t="inlineStr">
        <is>
          <t>Công Ty CP Giáo Dục Đại Dương</t>
        </is>
      </c>
      <c r="E13596" s="10" t="inlineStr">
        <is>
          <t>Lương:Cạnh tranh</t>
        </is>
      </c>
      <c r="F13596" s="10" t="inlineStr">
        <is>
          <t>Hải Dương</t>
        </is>
      </c>
      <c r="G13596" s="10" t="inlineStr">
        <is>
          <t>04-04-2026</t>
        </is>
      </c>
      <c r="H13596" s="10" t="inlineStr">
        <is>
          <t>04/04/2026</t>
        </is>
      </c>
      <c r="I13596" s="10" t="inlineStr">
        <is>
          <t>17/03/2026</t>
        </is>
      </c>
      <c r="J13596" s="10" t="inlineStr">
        <is>
          <t>Dịch vụ khách hàng, Giáo dục / Đào tạo, Bán hàng / Kinh doanh</t>
        </is>
      </c>
      <c r="K13596" s="10" t="inlineStr">
        <is>
          <t>Chưa có kinh nghiệm</t>
        </is>
      </c>
      <c r="L13596" s="11">
        <f>HYPERLINK("https://careerviet.vn/vi/tim-viec-lam/chuyen-vien-tu-van-giao-duc-ocean-edu-ninh-giang-thu-nhap-tu-15trieu-thang-phong-van-di-lam-ngay.35C6B06A.html","Xem chi tiết")</f>
        <v/>
      </c>
      <c r="M13596" s="10" t="n"/>
    </row>
    <row r="13597">
      <c r="B13597" s="7" t="n">
        <v>13595</v>
      </c>
      <c r="C13597" t="inlineStr">
        <is>
          <t>PURCHASING LEADER</t>
        </is>
      </c>
      <c r="D13597" t="inlineStr">
        <is>
          <t>Công ty TNHH Gardenline International (VN)</t>
        </is>
      </c>
      <c r="E13597" t="inlineStr">
        <is>
          <t>Lương:Cạnh tranh</t>
        </is>
      </c>
      <c r="F13597" t="inlineStr">
        <is>
          <t>Bình Định</t>
        </is>
      </c>
      <c r="G13597" t="inlineStr">
        <is>
          <t>04-04-2026</t>
        </is>
      </c>
      <c r="H13597" t="inlineStr">
        <is>
          <t>04/04/2026</t>
        </is>
      </c>
      <c r="I13597" t="inlineStr">
        <is>
          <t>17/03/2026</t>
        </is>
      </c>
      <c r="J13597" t="inlineStr">
        <is>
          <t>Thu mua / Vật tư, Bán hàng / Kinh doanh</t>
        </is>
      </c>
      <c r="K13597" t="inlineStr">
        <is>
          <t>Lên đến 5 Năm</t>
        </is>
      </c>
      <c r="L13597" s="8">
        <f>HYPERLINK("https://careerviet.vn/vi/tim-viec-lam/purchasing-leader.35C6AFAE.html","Xem chi tiết")</f>
        <v/>
      </c>
    </row>
    <row r="13598">
      <c r="B13598" s="9" t="n">
        <v>13596</v>
      </c>
      <c r="C13598" s="10" t="inlineStr">
        <is>
          <t>NHÂN VIÊN KỸ THUẬT KHÚC XẠ ( Optician)  - c2 eyewear</t>
        </is>
      </c>
      <c r="D13598" s="10" t="inlineStr">
        <is>
          <t>Công ty TNHH Sản xuất Thương mại &amp; Dịch vụ Hoa Xinh</t>
        </is>
      </c>
      <c r="E13598" s="10" t="inlineStr">
        <is>
          <t>Lương:15 Tr - 25 Tr VND</t>
        </is>
      </c>
      <c r="F13598" s="10" t="inlineStr">
        <is>
          <t>Hồ Chí MinhHà Nội</t>
        </is>
      </c>
      <c r="G13598" s="10" t="inlineStr">
        <is>
          <t>11-03-2026</t>
        </is>
      </c>
      <c r="H13598" s="10" t="inlineStr">
        <is>
          <t>11/03/2026</t>
        </is>
      </c>
      <c r="I13598" s="10" t="inlineStr">
        <is>
          <t>17/03/2026</t>
        </is>
      </c>
      <c r="J13598" s="10" t="inlineStr">
        <is>
          <t>Bán Hàng Kỹ Thuật, Y tế / Chăm sóc sức khỏe / Thẩm mỹ / Làm đẹp, Dệt may / Da giày / Thời trang</t>
        </is>
      </c>
      <c r="K13598" s="10" t="inlineStr">
        <is>
          <t>2 - 5 Năm</t>
        </is>
      </c>
      <c r="L13598" s="11">
        <f>HYPERLINK("https://careerviet.vn/vi/tim-viec-lam/nhan-vien-ky-thuat-khuc-xa-optician-c2-eyewear.35C6B089.html","Xem chi tiết")</f>
        <v/>
      </c>
      <c r="M13598" s="10" t="n"/>
    </row>
    <row r="13599">
      <c r="B13599" s="7" t="n">
        <v>13597</v>
      </c>
      <c r="C13599" t="inlineStr">
        <is>
          <t>Nhân Viên Tư Vấn Kênh Trả Góp_Hòa Bình</t>
        </is>
      </c>
      <c r="D13599" t="inlineStr">
        <is>
          <t>Công Ty Tài Chính TNHH Một Thành Viên Quốc Tế Việt Nam JACCS</t>
        </is>
      </c>
      <c r="E13599" t="inlineStr">
        <is>
          <t>Lương:5 Tr - 15 Tr VND</t>
        </is>
      </c>
      <c r="F13599" t="inlineStr">
        <is>
          <t>Hòa Bình</t>
        </is>
      </c>
      <c r="G13599" t="inlineStr">
        <is>
          <t>26-03-2026</t>
        </is>
      </c>
      <c r="H13599" t="inlineStr">
        <is>
          <t>26/03/2026</t>
        </is>
      </c>
      <c r="I13599" t="inlineStr">
        <is>
          <t>17/03/2026</t>
        </is>
      </c>
      <c r="J13599" t="inlineStr">
        <is>
          <t>Bán hàng / Kinh doanh, Tài chính / Đầu tư, Lao động phổ thông</t>
        </is>
      </c>
      <c r="K13599" t="inlineStr">
        <is>
          <t>N/A</t>
        </is>
      </c>
      <c r="L13599" s="8">
        <f>HYPERLINK("https://careerviet.vn/vi/tim-viec-lam/nhan-vien-tu-van-kenh-tra-gop_hoa-binh.35C698EC.html","Xem chi tiết")</f>
        <v/>
      </c>
    </row>
    <row r="13600">
      <c r="B13600" s="9" t="n">
        <v>13598</v>
      </c>
      <c r="C13600" s="10" t="inlineStr">
        <is>
          <t>Tuyển Gấp Nhân viên Telesale thẩm mỹ</t>
        </is>
      </c>
      <c r="D13600" s="10" t="inlineStr">
        <is>
          <t>Viện Thẩm mỹ y khoa Dr Hải Lê</t>
        </is>
      </c>
      <c r="E13600" s="10" t="inlineStr">
        <is>
          <t>Lương:12 Tr - 20 Tr VND</t>
        </is>
      </c>
      <c r="F13600" s="10" t="inlineStr">
        <is>
          <t>Hà Nội</t>
        </is>
      </c>
      <c r="G13600" s="10" t="inlineStr">
        <is>
          <t>10-04-2026</t>
        </is>
      </c>
      <c r="H13600" s="10" t="inlineStr">
        <is>
          <t>10/04/2026</t>
        </is>
      </c>
      <c r="I13600" s="10" t="inlineStr">
        <is>
          <t>17/03/2026</t>
        </is>
      </c>
      <c r="J13600" s="10" t="inlineStr">
        <is>
          <t>Tiếp thị trực tuyến, Y tế / Chăm sóc sức khỏe / Thẩm mỹ / Làm đẹp, Dịch vụ khách hàng</t>
        </is>
      </c>
      <c r="K13600" s="10" t="inlineStr">
        <is>
          <t>1 - 5 Năm</t>
        </is>
      </c>
      <c r="L13600" s="11">
        <f>HYPERLINK("https://careerviet.vn/vi/tim-viec-lam/tuyen-gap-nhan-vien-telesale-tham-my.35C6B0BA.html","Xem chi tiết")</f>
        <v/>
      </c>
      <c r="M13600" s="10" t="n"/>
    </row>
    <row r="13601">
      <c r="B13601" s="7" t="n">
        <v>13599</v>
      </c>
      <c r="C13601" t="inlineStr">
        <is>
          <t>KẾ TOÁN TỔNG HỢP (EVENT)</t>
        </is>
      </c>
      <c r="D13601" t="inlineStr">
        <is>
          <t>ONE GROUP</t>
        </is>
      </c>
      <c r="E13601" t="inlineStr">
        <is>
          <t>Lương:15 Tr - 20 Tr VND</t>
        </is>
      </c>
      <c r="F13601" t="inlineStr">
        <is>
          <t>Hồ Chí Minh</t>
        </is>
      </c>
      <c r="G13601" t="inlineStr">
        <is>
          <t>26-03-2026</t>
        </is>
      </c>
      <c r="H13601" t="inlineStr">
        <is>
          <t>26/03/2026</t>
        </is>
      </c>
      <c r="I13601" t="inlineStr">
        <is>
          <t>17/03/2026</t>
        </is>
      </c>
      <c r="J13601" t="inlineStr">
        <is>
          <t>Tiếp thị / Marketing, Tổ chức sự kiện, Dịch vụ khách hàng</t>
        </is>
      </c>
      <c r="K13601" t="inlineStr">
        <is>
          <t>2 - 3 Năm</t>
        </is>
      </c>
      <c r="L13601" s="8">
        <f>HYPERLINK("https://careerviet.vn/vi/tim-viec-lam/ke-toan-tong-hop-event.35C699DA.html","Xem chi tiết")</f>
        <v/>
      </c>
    </row>
    <row r="13602">
      <c r="B13602" s="9" t="n">
        <v>13600</v>
      </c>
      <c r="C13602" s="10" t="inlineStr">
        <is>
          <t>Nhân Viên Chăm Sóc Khách Hàng</t>
        </is>
      </c>
      <c r="D13602" s="10" t="inlineStr">
        <is>
          <t>Mars Group</t>
        </is>
      </c>
      <c r="E13602" s="10" t="inlineStr">
        <is>
          <t>Lương:Cạnh tranh</t>
        </is>
      </c>
      <c r="F13602" s="10" t="inlineStr">
        <is>
          <t>Hồ Chí Minh</t>
        </is>
      </c>
      <c r="G13602" s="10" t="inlineStr">
        <is>
          <t>31-03-2026</t>
        </is>
      </c>
      <c r="H13602" s="10" t="inlineStr">
        <is>
          <t>31/03/2026</t>
        </is>
      </c>
      <c r="I13602" s="10" t="inlineStr">
        <is>
          <t>17/03/2026</t>
        </is>
      </c>
      <c r="J13602" s="10" t="inlineStr">
        <is>
          <t>Bán hàng / Kinh doanh, Tư vấn, Dịch vụ khách hàng</t>
        </is>
      </c>
      <c r="K13602" s="10" t="inlineStr">
        <is>
          <t>N/A</t>
        </is>
      </c>
      <c r="L13602" s="11">
        <f>HYPERLINK("https://careerviet.vn/vi/tim-viec-lam/nhan-vien-cham-soc-khach-hang.35C698EE.html","Xem chi tiết")</f>
        <v/>
      </c>
      <c r="M13602" s="10" t="n"/>
    </row>
    <row r="13603">
      <c r="B13603" s="7" t="n">
        <v>13601</v>
      </c>
      <c r="C13603" t="inlineStr">
        <is>
          <t>CHUYÊN VIÊN PHÁP CHẾ - CĐT BĐS</t>
        </is>
      </c>
      <c r="D13603" t="inlineStr">
        <is>
          <t>CÔNG TY CỔ PHẦN ĐẦU TƯ DANCO</t>
        </is>
      </c>
      <c r="E13603" t="inlineStr">
        <is>
          <t>Lương:15 Tr - 20 Tr VND</t>
        </is>
      </c>
      <c r="F13603" t="inlineStr">
        <is>
          <t>Hà Nội</t>
        </is>
      </c>
      <c r="G13603" t="inlineStr">
        <is>
          <t>30-04-2026</t>
        </is>
      </c>
      <c r="H13603" t="inlineStr">
        <is>
          <t>30/04/2026</t>
        </is>
      </c>
      <c r="I13603" t="inlineStr">
        <is>
          <t>17/03/2026</t>
        </is>
      </c>
      <c r="J13603" t="inlineStr">
        <is>
          <t>Luật / Pháp lý, Bất động sản, Xây dựng</t>
        </is>
      </c>
      <c r="K13603" t="inlineStr">
        <is>
          <t>3 - 4 Năm</t>
        </is>
      </c>
      <c r="L13603" s="8">
        <f>HYPERLINK("https://careerviet.vn/vi/tim-viec-lam/chuyen-vien-phap-che-cdt-bds.35C6B04D.html","Xem chi tiết")</f>
        <v/>
      </c>
    </row>
    <row r="13604">
      <c r="B13604" s="9" t="n">
        <v>13602</v>
      </c>
      <c r="C13604" s="10" t="inlineStr">
        <is>
          <t>Nam Nhân Viên Kho Thời Trang (Ngọc Hồi)</t>
        </is>
      </c>
      <c r="D13604" s="10" t="inlineStr">
        <is>
          <t>Công Ty Cổ Phần Tập Đoàn Thời Trang Việt Nam</t>
        </is>
      </c>
      <c r="E13604" s="10" t="inlineStr">
        <is>
          <t>Lương:7 Tr - 8 Tr VND</t>
        </is>
      </c>
      <c r="F13604" s="10" t="inlineStr">
        <is>
          <t>Hà Nội</t>
        </is>
      </c>
      <c r="G13604" s="10" t="inlineStr">
        <is>
          <t>03-04-2026</t>
        </is>
      </c>
      <c r="H13604" s="10" t="inlineStr">
        <is>
          <t>03/04/2026</t>
        </is>
      </c>
      <c r="I13604" s="10" t="inlineStr">
        <is>
          <t>17/03/2026</t>
        </is>
      </c>
      <c r="J13604" s="10" t="inlineStr">
        <is>
          <t>Bán lẻ / Bán sỉ, Vận chuyển / Giao nhận / Kho vận, Lao động phổ thông</t>
        </is>
      </c>
      <c r="K13604" s="10" t="inlineStr">
        <is>
          <t>N/A</t>
        </is>
      </c>
      <c r="L13604" s="11">
        <f>HYPERLINK("https://careerviet.vn/vi/tim-viec-lam/nam-nhan-vien-kho-thoi-trang-ngoc-hoi.35C6AFDB.html","Xem chi tiết")</f>
        <v/>
      </c>
      <c r="M13604" s="10" t="n"/>
    </row>
    <row r="13605">
      <c r="B13605" s="7" t="n">
        <v>13603</v>
      </c>
      <c r="C13605" t="inlineStr">
        <is>
          <t>Nhân Viên Y Tế Học Đường (Củ Chi - Hồ Chí Minh)</t>
        </is>
      </c>
      <c r="D13605" t="inlineStr">
        <is>
          <t>Công Ty CP Liên Kết Quốc Tế INTERLINK (Trường Liên Kết Quốc Tế INschool &amp; Ngoại Ngữ Quốc Tế INS ENGLISH &amp; CHINESE)</t>
        </is>
      </c>
      <c r="E13605" t="inlineStr">
        <is>
          <t>Lương:8 Tr - 10 Tr VND</t>
        </is>
      </c>
      <c r="F13605" t="inlineStr">
        <is>
          <t>Hồ Chí Minh</t>
        </is>
      </c>
      <c r="G13605" t="inlineStr">
        <is>
          <t>31-03-2026</t>
        </is>
      </c>
      <c r="H13605" t="inlineStr">
        <is>
          <t>31/03/2026</t>
        </is>
      </c>
      <c r="I13605" t="inlineStr">
        <is>
          <t>17/03/2026</t>
        </is>
      </c>
      <c r="J13605" t="inlineStr">
        <is>
          <t>Y tế / Chăm sóc sức khỏe / Thẩm mỹ / Làm đẹp</t>
        </is>
      </c>
      <c r="K13605" t="inlineStr">
        <is>
          <t>1 - 2 Năm</t>
        </is>
      </c>
      <c r="L13605" s="8">
        <f>HYPERLINK("https://careerviet.vn/vi/tim-viec-lam/nhan-vien-y-te-hoc-duong-cu-chi-ho-chi-minh.35C69988.html","Xem chi tiết")</f>
        <v/>
      </c>
    </row>
    <row r="13606">
      <c r="B13606" s="9" t="n">
        <v>13604</v>
      </c>
      <c r="C13606" s="10" t="inlineStr">
        <is>
          <t>Trưởng phòng Kinh doanh</t>
        </is>
      </c>
      <c r="D13606" s="10" t="inlineStr">
        <is>
          <t>CÔNG TY CỔ PHẦN ĐẦU TƯ BẤT ĐỘNG SẢN HT LAND</t>
        </is>
      </c>
      <c r="E13606" s="10" t="inlineStr">
        <is>
          <t>Lương:15 Tr - 50 Tr VND</t>
        </is>
      </c>
      <c r="F13606" s="10" t="inlineStr">
        <is>
          <t>Hồ Chí Minh</t>
        </is>
      </c>
      <c r="G13606" s="10" t="inlineStr">
        <is>
          <t>31-03-2026</t>
        </is>
      </c>
      <c r="H13606" s="10" t="inlineStr">
        <is>
          <t>31/03/2026</t>
        </is>
      </c>
      <c r="I13606" s="10" t="inlineStr">
        <is>
          <t>17/03/2026</t>
        </is>
      </c>
      <c r="J13606" s="10" t="inlineStr">
        <is>
          <t>Bất động sản, Bán hàng / Kinh doanh</t>
        </is>
      </c>
      <c r="K13606" s="10" t="inlineStr">
        <is>
          <t>3 - 5 Năm</t>
        </is>
      </c>
      <c r="L13606" s="11">
        <f>HYPERLINK("https://careerviet.vn/vi/tim-viec-lam/truong-phong-kinh-doanh.35C699DD.html","Xem chi tiết")</f>
        <v/>
      </c>
      <c r="M13606" s="10" t="n"/>
    </row>
    <row r="13607">
      <c r="B13607" s="7" t="n">
        <v>13605</v>
      </c>
      <c r="C13607" t="inlineStr">
        <is>
          <t>Nhân Viên Tư Vấn Kênh Trả Góp_Vĩnh Long</t>
        </is>
      </c>
      <c r="D13607" t="inlineStr">
        <is>
          <t>Công Ty Tài Chính TNHH Một Thành Viên Quốc Tế Việt Nam JACCS</t>
        </is>
      </c>
      <c r="E13607" t="inlineStr">
        <is>
          <t>Lương:5 Tr - 15 Tr VND</t>
        </is>
      </c>
      <c r="F13607" t="inlineStr">
        <is>
          <t>Vĩnh Long</t>
        </is>
      </c>
      <c r="G13607" t="inlineStr">
        <is>
          <t>26-03-2026</t>
        </is>
      </c>
      <c r="H13607" t="inlineStr">
        <is>
          <t>26/03/2026</t>
        </is>
      </c>
      <c r="I13607" t="inlineStr">
        <is>
          <t>17/03/2026</t>
        </is>
      </c>
      <c r="J13607" t="inlineStr">
        <is>
          <t>Bán hàng / Kinh doanh, Tài chính / Đầu tư, Lao động phổ thông</t>
        </is>
      </c>
      <c r="K13607" t="inlineStr">
        <is>
          <t>N/A</t>
        </is>
      </c>
      <c r="L13607" s="8">
        <f>HYPERLINK("https://careerviet.vn/vi/tim-viec-lam/nhan-vien-tu-van-kenh-tra-gop_vinh-long.35C69903.html","Xem chi tiết")</f>
        <v/>
      </c>
    </row>
    <row r="13608">
      <c r="B13608" s="9" t="n">
        <v>13606</v>
      </c>
      <c r="C13608" s="10" t="inlineStr">
        <is>
          <t>Nhân viên IT Helpdesk</t>
        </is>
      </c>
      <c r="D13608" s="10" t="inlineStr">
        <is>
          <t>Công Ty TNHH Thương Mại Xuất Nhập Khẩu Fani</t>
        </is>
      </c>
      <c r="E13608" s="10" t="inlineStr">
        <is>
          <t>Lương:11 Tr - 15 Tr VND</t>
        </is>
      </c>
      <c r="F13608" s="10" t="inlineStr">
        <is>
          <t>Hà Nội</t>
        </is>
      </c>
      <c r="G13608" s="10" t="inlineStr">
        <is>
          <t>31-03-2026</t>
        </is>
      </c>
      <c r="H13608" s="10" t="inlineStr">
        <is>
          <t>31/03/2026</t>
        </is>
      </c>
      <c r="I13608" s="10" t="inlineStr">
        <is>
          <t>17/03/2026</t>
        </is>
      </c>
      <c r="J13608" s="10" t="inlineStr">
        <is>
          <t>Thương mại điện tử</t>
        </is>
      </c>
      <c r="K13608" s="10" t="inlineStr">
        <is>
          <t>1 - 2 Năm</t>
        </is>
      </c>
      <c r="L13608" s="11">
        <f>HYPERLINK("https://careerviet.vn/vi/tim-viec-lam/nhan-vien-it-helpdesk.35C69C68.html","Xem chi tiết")</f>
        <v/>
      </c>
      <c r="M13608" s="10" t="n"/>
    </row>
    <row r="13609">
      <c r="B13609" s="7" t="n">
        <v>13607</v>
      </c>
      <c r="C13609" t="inlineStr">
        <is>
          <t>PMC Assistant (Trợ lý sinh quản)</t>
        </is>
      </c>
      <c r="D13609" t="inlineStr">
        <is>
          <t>Công Ty TNHH Dệt Tah Tong Việt Nam</t>
        </is>
      </c>
      <c r="E13609" t="inlineStr">
        <is>
          <t>Lương:Cạnh tranh</t>
        </is>
      </c>
      <c r="F13609" t="inlineStr">
        <is>
          <t>Tây NinhHồ Chí Minh</t>
        </is>
      </c>
      <c r="G13609" t="inlineStr">
        <is>
          <t>25-03-2026</t>
        </is>
      </c>
      <c r="H13609" t="inlineStr">
        <is>
          <t>25/03/2026</t>
        </is>
      </c>
      <c r="I13609" t="inlineStr">
        <is>
          <t>17/03/2026</t>
        </is>
      </c>
      <c r="J13609" t="inlineStr">
        <is>
          <t>Sản xuất / Vận hành sản xuất, Dệt may / Da giày / Thời trang</t>
        </is>
      </c>
      <c r="K13609" t="inlineStr">
        <is>
          <t>1 - 6 Năm</t>
        </is>
      </c>
      <c r="L13609" s="8">
        <f>HYPERLINK("https://careerviet.vn/vi/tim-viec-lam/pmc-assistant-tro-ly-sinh-quan.35C693BD.html","Xem chi tiết")</f>
        <v/>
      </c>
    </row>
    <row r="13610">
      <c r="B13610" s="9" t="n">
        <v>13608</v>
      </c>
      <c r="C13610" s="10" t="inlineStr">
        <is>
          <t>Điều dưỡng trưởng khoa Kiểm soát nhiễm khuẩn</t>
        </is>
      </c>
      <c r="D13610" s="10" t="inlineStr">
        <is>
          <t>CÔNG TY TNHH BỆNH VIỆN ĐKTN AN SINH - PHÚC TRƯỜNG MINH</t>
        </is>
      </c>
      <c r="E13610" s="10" t="inlineStr">
        <is>
          <t>Lương:Cạnh tranh</t>
        </is>
      </c>
      <c r="F13610" s="10" t="inlineStr">
        <is>
          <t>Hà Nội</t>
        </is>
      </c>
      <c r="G13610" s="10" t="inlineStr">
        <is>
          <t>28-03-2026</t>
        </is>
      </c>
      <c r="H13610" s="10" t="inlineStr">
        <is>
          <t>28/03/2026</t>
        </is>
      </c>
      <c r="I13610" s="10" t="inlineStr">
        <is>
          <t>17/03/2026</t>
        </is>
      </c>
      <c r="J13610" s="10" t="inlineStr">
        <is>
          <t>Y tế / Chăm sóc sức khỏe / Thẩm mỹ / Làm đẹp</t>
        </is>
      </c>
      <c r="K13610" s="10" t="inlineStr">
        <is>
          <t>3 - 5 Năm</t>
        </is>
      </c>
      <c r="L13610" s="11">
        <f>HYPERLINK("https://careerviet.vn/vi/tim-viec-lam/dieu-duong-truong-khoa-kiem-soat-nhiem-khuan.35C69A30.html","Xem chi tiết")</f>
        <v/>
      </c>
      <c r="M13610" s="10" t="n"/>
    </row>
    <row r="13611">
      <c r="B13611" s="7" t="n">
        <v>13609</v>
      </c>
      <c r="C13611" t="inlineStr">
        <is>
          <t>Kế Toán Tổng Hợp</t>
        </is>
      </c>
      <c r="D13611" t="inlineStr">
        <is>
          <t>Công Ty Cổ Phần Đầu Tư Xây Dựng Bcons</t>
        </is>
      </c>
      <c r="E13611" t="inlineStr">
        <is>
          <t>Lương:Cạnh tranh</t>
        </is>
      </c>
      <c r="F13611" t="inlineStr">
        <is>
          <t>Hồ Chí Minh</t>
        </is>
      </c>
      <c r="G13611" t="inlineStr">
        <is>
          <t>25-03-2026</t>
        </is>
      </c>
      <c r="H13611" t="inlineStr">
        <is>
          <t>25/03/2026</t>
        </is>
      </c>
      <c r="I13611" t="inlineStr">
        <is>
          <t>17/03/2026</t>
        </is>
      </c>
      <c r="J13611" t="inlineStr">
        <is>
          <t>Xây dựng, Kế toán / Kiểm toán, Tài chính / Đầu tư</t>
        </is>
      </c>
      <c r="K13611" t="inlineStr">
        <is>
          <t>2 - 3 Năm</t>
        </is>
      </c>
      <c r="L13611" s="8">
        <f>HYPERLINK("https://careerviet.vn/vi/tim-viec-lam/ke-toan-tong-hop.35C69CE9.html","Xem chi tiết")</f>
        <v/>
      </c>
    </row>
    <row r="13612">
      <c r="B13612" s="9" t="n">
        <v>13610</v>
      </c>
      <c r="C13612" s="10" t="inlineStr">
        <is>
          <t>Automation Control Vision Engineer</t>
        </is>
      </c>
      <c r="D13612" s="10" t="inlineStr">
        <is>
          <t>SAMTEC VIETNAM COMPANY LIMITED</t>
        </is>
      </c>
      <c r="E13612" s="10" t="inlineStr">
        <is>
          <t>Lương:Cạnh tranh</t>
        </is>
      </c>
      <c r="F13612" s="10" t="inlineStr">
        <is>
          <t>Đồng Nai</t>
        </is>
      </c>
      <c r="G13612" s="10" t="inlineStr">
        <is>
          <t>27-03-2026</t>
        </is>
      </c>
      <c r="H13612" s="10" t="inlineStr">
        <is>
          <t>27/03/2026</t>
        </is>
      </c>
      <c r="I13612" s="10" t="inlineStr">
        <is>
          <t>17/03/2026</t>
        </is>
      </c>
      <c r="J13612" s="10" t="inlineStr">
        <is>
          <t>Điện / Điện tử / Điện lạnh / Điện công nghiệp, Sản xuất / Vận hành sản xuất, Ngành khác</t>
        </is>
      </c>
      <c r="K13612" s="10" t="inlineStr">
        <is>
          <t>2 - 5 Năm</t>
        </is>
      </c>
      <c r="L13612" s="11">
        <f>HYPERLINK("https://careerviet.vn/vi/tim-viec-lam/automation-control-vision-engineer.35C698CA.html","Xem chi tiết")</f>
        <v/>
      </c>
      <c r="M13612" s="10" t="n"/>
    </row>
    <row r="13613">
      <c r="B13613" s="7" t="n">
        <v>13611</v>
      </c>
      <c r="C13613" t="inlineStr">
        <is>
          <t>Chuyên Viên Tư Vấn Giáo Dục - Ocean Edu Kim Sơn  - Thu Nhập Từ 15Triệu/Tháng - Phỏng Vấn Đi Làm Ngay</t>
        </is>
      </c>
      <c r="D13613" t="inlineStr">
        <is>
          <t>Công Ty CP Giáo Dục Đại Dương</t>
        </is>
      </c>
      <c r="E13613" t="inlineStr">
        <is>
          <t>Lương:Cạnh tranh</t>
        </is>
      </c>
      <c r="F13613" t="inlineStr">
        <is>
          <t>Ninh Bình</t>
        </is>
      </c>
      <c r="G13613" t="inlineStr">
        <is>
          <t>04-04-2026</t>
        </is>
      </c>
      <c r="H13613" t="inlineStr">
        <is>
          <t>04/04/2026</t>
        </is>
      </c>
      <c r="I13613" t="inlineStr">
        <is>
          <t>17/03/2026</t>
        </is>
      </c>
      <c r="J13613" t="inlineStr">
        <is>
          <t>Dịch vụ khách hàng, Giáo dục / Đào tạo, Bán hàng / Kinh doanh</t>
        </is>
      </c>
      <c r="K13613" t="inlineStr">
        <is>
          <t>Chưa có kinh nghiệm</t>
        </is>
      </c>
      <c r="L13613" s="8">
        <f>HYPERLINK("https://careerviet.vn/vi/tim-viec-lam/chuyen-vien-tu-van-giao-duc-ocean-edu-kim-son-thu-nhap-tu-15trieu-thang-phong-van-di-lam-ngay.35C6AF05.html","Xem chi tiết")</f>
        <v/>
      </c>
    </row>
    <row r="13614">
      <c r="B13614" s="9" t="n">
        <v>13612</v>
      </c>
      <c r="C13614" s="10" t="inlineStr">
        <is>
          <t>CHUYÊN VIÊN PERFORMANCE MARKETING</t>
        </is>
      </c>
      <c r="D13614" s="10" t="inlineStr">
        <is>
          <t>Bảo mật</t>
        </is>
      </c>
      <c r="E13614" s="10" t="inlineStr">
        <is>
          <t>Lương:15 Tr - 18 Tr VND</t>
        </is>
      </c>
      <c r="F13614" s="10" t="inlineStr">
        <is>
          <t>Hà Nội</t>
        </is>
      </c>
      <c r="G13614" s="10" t="inlineStr">
        <is>
          <t>31-03-2026</t>
        </is>
      </c>
      <c r="H13614" s="10" t="inlineStr">
        <is>
          <t>31/03/2026</t>
        </is>
      </c>
      <c r="I13614" s="10" t="inlineStr">
        <is>
          <t>17/03/2026</t>
        </is>
      </c>
      <c r="J13614" s="10" t="inlineStr">
        <is>
          <t>Tiếp thị / Marketing</t>
        </is>
      </c>
      <c r="K13614" s="10" t="inlineStr">
        <is>
          <t>1 - 5 Năm</t>
        </is>
      </c>
      <c r="L13614" s="11">
        <f>HYPERLINK("https://careerviet.vn/vi/tim-viec-lam/chuyen-vien-performance-marketing.35C69A6C.html","Xem chi tiết")</f>
        <v/>
      </c>
      <c r="M13614" s="10" t="n"/>
    </row>
    <row r="13615">
      <c r="B13615" s="7" t="n">
        <v>13613</v>
      </c>
      <c r="C13615" t="inlineStr">
        <is>
          <t>Thư ký</t>
        </is>
      </c>
      <c r="D13615" t="inlineStr">
        <is>
          <t>Công Ty Cổ Phần Công Nghệ Mạng Viễn Thông C-LINK</t>
        </is>
      </c>
      <c r="E13615" t="inlineStr">
        <is>
          <t>Lương:Trên 10 Tr VND</t>
        </is>
      </c>
      <c r="F13615" t="inlineStr">
        <is>
          <t>Hà Nội</t>
        </is>
      </c>
      <c r="G13615" t="inlineStr">
        <is>
          <t>31-03-2026</t>
        </is>
      </c>
      <c r="H13615" t="inlineStr">
        <is>
          <t>31/03/2026</t>
        </is>
      </c>
      <c r="I13615" t="inlineStr">
        <is>
          <t>17/03/2026</t>
        </is>
      </c>
      <c r="J13615" t="inlineStr">
        <is>
          <t>Hành chính / Thư ký</t>
        </is>
      </c>
      <c r="K13615" t="inlineStr">
        <is>
          <t>Chưa có kinh nghiệm</t>
        </is>
      </c>
      <c r="L13615" s="8">
        <f>HYPERLINK("https://careerviet.vn/vi/tim-viec-lam/thu-ky.35C6B0CA.html","Xem chi tiết")</f>
        <v/>
      </c>
    </row>
    <row r="13616">
      <c r="B13616" s="9" t="n">
        <v>13614</v>
      </c>
      <c r="C13616" s="10" t="inlineStr">
        <is>
          <t>Chuyên viên kinh doanh BĐS  (Hoa Hồng cao nhất thị trường)</t>
        </is>
      </c>
      <c r="D13616" s="10" t="inlineStr">
        <is>
          <t>Công Ty CP Đầu Tư IMG</t>
        </is>
      </c>
      <c r="E13616" s="10" t="inlineStr">
        <is>
          <t>Lương:20 Tr - 30 Tr VND</t>
        </is>
      </c>
      <c r="F13616" s="10" t="inlineStr">
        <is>
          <t>Hồ Chí Minh</t>
        </is>
      </c>
      <c r="G13616" s="10" t="inlineStr">
        <is>
          <t>30-04-2026</t>
        </is>
      </c>
      <c r="H13616" s="10" t="inlineStr">
        <is>
          <t>30/04/2026</t>
        </is>
      </c>
      <c r="I13616" s="10" t="inlineStr">
        <is>
          <t>17/03/2026</t>
        </is>
      </c>
      <c r="J13616" s="10" t="inlineStr">
        <is>
          <t>Bán hàng / Kinh doanh, Tài chính / Đầu tư, Bất động sản</t>
        </is>
      </c>
      <c r="K13616" s="10" t="inlineStr">
        <is>
          <t>1 - 3 Năm</t>
        </is>
      </c>
      <c r="L13616" s="11">
        <f>HYPERLINK("https://careerviet.vn/vi/tim-viec-lam/chuyen-vien-kinh-doanh-bds-hoa-hong-cao-nhat-thi-truong.35C69BBF.html","Xem chi tiết")</f>
        <v/>
      </c>
      <c r="M13616" s="10" t="n"/>
    </row>
    <row r="13617">
      <c r="B13617" s="7" t="n">
        <v>13615</v>
      </c>
      <c r="C13617" t="inlineStr">
        <is>
          <t>Nhân Viên Tư Vấn Kênh Trả Góp_Phú Thọ</t>
        </is>
      </c>
      <c r="D13617" t="inlineStr">
        <is>
          <t>Công Ty Tài Chính TNHH Một Thành Viên Quốc Tế Việt Nam JACCS</t>
        </is>
      </c>
      <c r="E13617" t="inlineStr">
        <is>
          <t>Lương:5 Tr - 15 Tr VND</t>
        </is>
      </c>
      <c r="F13617" t="inlineStr">
        <is>
          <t>Phú Thọ</t>
        </is>
      </c>
      <c r="G13617" t="inlineStr">
        <is>
          <t>26-03-2026</t>
        </is>
      </c>
      <c r="H13617" t="inlineStr">
        <is>
          <t>26/03/2026</t>
        </is>
      </c>
      <c r="I13617" t="inlineStr">
        <is>
          <t>17/03/2026</t>
        </is>
      </c>
      <c r="J13617" t="inlineStr">
        <is>
          <t>Bán hàng / Kinh doanh, Tài chính / Đầu tư, Lao động phổ thông</t>
        </is>
      </c>
      <c r="K13617" t="inlineStr">
        <is>
          <t>N/A</t>
        </is>
      </c>
      <c r="L13617" s="8">
        <f>HYPERLINK("https://careerviet.vn/vi/tim-viec-lam/nhan-vien-tu-van-kenh-tra-gop_phu-tho.35C6991D.html","Xem chi tiết")</f>
        <v/>
      </c>
    </row>
    <row r="13618">
      <c r="B13618" s="9" t="n">
        <v>13616</v>
      </c>
      <c r="C13618" s="10" t="inlineStr">
        <is>
          <t>Chuyên Viên Tư Vấn Giáo Dục - Ocean Edu Đồng Văn  - Thu Nhập Từ 15Triệu/Tháng - Phỏng Vấn Đi Làm Ngay</t>
        </is>
      </c>
      <c r="D13618" s="10" t="inlineStr">
        <is>
          <t>Công Ty CP Giáo Dục Đại Dương</t>
        </is>
      </c>
      <c r="E13618" s="10" t="inlineStr">
        <is>
          <t>Lương:Cạnh tranh</t>
        </is>
      </c>
      <c r="F13618" s="10" t="inlineStr">
        <is>
          <t>Hà Nam</t>
        </is>
      </c>
      <c r="G13618" s="10" t="inlineStr">
        <is>
          <t>04-04-2026</t>
        </is>
      </c>
      <c r="H13618" s="10" t="inlineStr">
        <is>
          <t>04/04/2026</t>
        </is>
      </c>
      <c r="I13618" s="10" t="inlineStr">
        <is>
          <t>17/03/2026</t>
        </is>
      </c>
      <c r="J13618" s="10" t="inlineStr">
        <is>
          <t>Dịch vụ khách hàng, Giáo dục / Đào tạo, Bán hàng / Kinh doanh</t>
        </is>
      </c>
      <c r="K13618" s="10" t="inlineStr">
        <is>
          <t>Chưa có kinh nghiệm</t>
        </is>
      </c>
      <c r="L13618" s="11">
        <f>HYPERLINK("https://careerviet.vn/vi/tim-viec-lam/chuyen-vien-tu-van-giao-duc-ocean-edu-dong-van-thu-nhap-tu-15trieu-thang-phong-van-di-lam-ngay.35C6AF04.html","Xem chi tiết")</f>
        <v/>
      </c>
      <c r="M13618" s="10" t="n"/>
    </row>
    <row r="13619">
      <c r="B13619" s="7" t="n">
        <v>13617</v>
      </c>
      <c r="C13619" t="inlineStr">
        <is>
          <t>Kiến trúc sư công trình (Dự án Đại Nam, Bình Dương)</t>
        </is>
      </c>
      <c r="D13619" t="inlineStr">
        <is>
          <t>CÔNG TY TNHH DK BUILD</t>
        </is>
      </c>
      <c r="E13619" t="inlineStr">
        <is>
          <t>Lương:20 Tr - 30 Tr VND</t>
        </is>
      </c>
      <c r="F13619" t="inlineStr">
        <is>
          <t>Bình Dương</t>
        </is>
      </c>
      <c r="G13619" t="inlineStr">
        <is>
          <t>31-03-2026</t>
        </is>
      </c>
      <c r="H13619" t="inlineStr">
        <is>
          <t>31/03/2026</t>
        </is>
      </c>
      <c r="I13619" t="inlineStr">
        <is>
          <t>17/03/2026</t>
        </is>
      </c>
      <c r="J13619" t="inlineStr">
        <is>
          <t>Kiến trúc, Xây dựng</t>
        </is>
      </c>
      <c r="K13619" t="inlineStr">
        <is>
          <t>5 - 7 Năm</t>
        </is>
      </c>
      <c r="L13619" s="8">
        <f>HYPERLINK("https://careerviet.vn/vi/tim-viec-lam/kien-truc-su-cong-trinh-du-an-dai-nam-binh-duong.35C656CE.html","Xem chi tiết")</f>
        <v/>
      </c>
    </row>
    <row r="13620">
      <c r="B13620" s="9" t="n">
        <v>13618</v>
      </c>
      <c r="C13620" s="10" t="inlineStr">
        <is>
          <t>QA/QC Staff (Tiếng Nhật/ Tiếng Anh/ Tiếng Hàn)</t>
        </is>
      </c>
      <c r="D13620" s="10" t="inlineStr">
        <is>
          <t>CÔNG TY TNHH JOB HOUSE</t>
        </is>
      </c>
      <c r="E13620" s="10" t="inlineStr">
        <is>
          <t>Lương:9 Tr - 15 Tr VND</t>
        </is>
      </c>
      <c r="F13620" s="10" t="inlineStr">
        <is>
          <t>Hà NamHà Nội</t>
        </is>
      </c>
      <c r="G13620" s="10" t="inlineStr">
        <is>
          <t>31-03-2026</t>
        </is>
      </c>
      <c r="H13620" s="10" t="inlineStr">
        <is>
          <t>31/03/2026</t>
        </is>
      </c>
      <c r="I13620" s="10" t="inlineStr">
        <is>
          <t>17/03/2026</t>
        </is>
      </c>
      <c r="J13620" s="10" t="inlineStr">
        <is>
          <t>Quản lý chất lượng (QA/QC), Sản xuất / Vận hành sản xuất</t>
        </is>
      </c>
      <c r="K13620" s="10" t="inlineStr">
        <is>
          <t>Trên 1 Năm</t>
        </is>
      </c>
      <c r="L13620" s="11">
        <f>HYPERLINK("https://careerviet.vn/vi/tim-viec-lam/qa-qc-staff-tieng-nhat-tieng-anh-tieng-han.35C69C6B.html","Xem chi tiết")</f>
        <v/>
      </c>
      <c r="M13620" s="10" t="n"/>
    </row>
    <row r="13621">
      <c r="B13621" s="7" t="n">
        <v>13619</v>
      </c>
      <c r="C13621" t="inlineStr">
        <is>
          <t>Phó Bộ Phận Tiền Sảnh (Phú Thọ)</t>
        </is>
      </c>
      <c r="D13621" t="inlineStr">
        <is>
          <t>CÔNG TY CỔ PHẦN TẬP ĐOÀN ONSEN FUJI</t>
        </is>
      </c>
      <c r="E13621" t="inlineStr">
        <is>
          <t>Lương:25 Tr - 35 Tr VND</t>
        </is>
      </c>
      <c r="F13621" t="inlineStr">
        <is>
          <t>Phú Thọ</t>
        </is>
      </c>
      <c r="G13621" t="inlineStr">
        <is>
          <t>05-04-2026</t>
        </is>
      </c>
      <c r="H13621" t="inlineStr">
        <is>
          <t>05/04/2026</t>
        </is>
      </c>
      <c r="I13621" t="inlineStr">
        <is>
          <t>17/03/2026</t>
        </is>
      </c>
      <c r="J13621" t="inlineStr">
        <is>
          <t>Nhà hàng / Khách sạn, Du lịch</t>
        </is>
      </c>
      <c r="K13621" t="inlineStr">
        <is>
          <t>3 - 5 Năm</t>
        </is>
      </c>
      <c r="L13621" s="8">
        <f>HYPERLINK("https://careerviet.vn/vi/tim-viec-lam/pho-bo-phan-tien-sanh-phu-tho.35C6AF6E.html","Xem chi tiết")</f>
        <v/>
      </c>
    </row>
    <row r="13622">
      <c r="B13622" s="9" t="n">
        <v>13620</v>
      </c>
      <c r="C13622" s="10" t="inlineStr">
        <is>
          <t>Giáo Viên Chủ Nhiệm (Ocean Edu Cẩm Phả 2) - Lương Từ 15 Triệu/Đi Làm Ngay</t>
        </is>
      </c>
      <c r="D13622" s="10" t="inlineStr">
        <is>
          <t>Công Ty CP Giáo Dục Đại Dương</t>
        </is>
      </c>
      <c r="E13622" s="10" t="inlineStr">
        <is>
          <t>Lương:Cạnh tranh</t>
        </is>
      </c>
      <c r="F13622" s="10" t="inlineStr">
        <is>
          <t>Quảng Ninh</t>
        </is>
      </c>
      <c r="G13622" s="10" t="inlineStr">
        <is>
          <t>04-04-2026</t>
        </is>
      </c>
      <c r="H13622" s="10" t="inlineStr">
        <is>
          <t>04/04/2026</t>
        </is>
      </c>
      <c r="I13622" s="10" t="inlineStr">
        <is>
          <t>17/03/2026</t>
        </is>
      </c>
      <c r="J13622" s="10" t="inlineStr">
        <is>
          <t>Giáo dục / Đào tạo, Bán hàng / Kinh doanh, Biên phiên dịch</t>
        </is>
      </c>
      <c r="K13622" s="10" t="inlineStr">
        <is>
          <t>Trên 1 Năm</t>
        </is>
      </c>
      <c r="L13622" s="11">
        <f>HYPERLINK("https://careerviet.vn/vi/tim-viec-lam/giao-vien-chu-nhiem-ocean-edu-cam-pha-2-luong-tu-15-trieu-di-lam-ngay.35C6AF10.html","Xem chi tiết")</f>
        <v/>
      </c>
      <c r="M13622" s="10" t="n"/>
    </row>
    <row r="13623">
      <c r="B13623" s="7" t="n">
        <v>13621</v>
      </c>
      <c r="C13623" t="inlineStr">
        <is>
          <t>Chuyên Viên Bảo Trì Điện</t>
        </is>
      </c>
      <c r="D13623" t="inlineStr">
        <is>
          <t>Công Ty Cổ Phần GreenFeed Việt Nam</t>
        </is>
      </c>
      <c r="E13623" t="inlineStr">
        <is>
          <t>Lương:Cạnh tranh</t>
        </is>
      </c>
      <c r="F13623" t="inlineStr">
        <is>
          <t>Hà Nam</t>
        </is>
      </c>
      <c r="G13623" t="inlineStr">
        <is>
          <t>04-04-2026</t>
        </is>
      </c>
      <c r="H13623" t="inlineStr">
        <is>
          <t>04/04/2026</t>
        </is>
      </c>
      <c r="I13623" t="inlineStr">
        <is>
          <t>17/03/2026</t>
        </is>
      </c>
      <c r="J13623" t="inlineStr">
        <is>
          <t>Sản xuất / Vận hành sản xuất, Bảo trì / Sửa chữa</t>
        </is>
      </c>
      <c r="K13623" t="inlineStr">
        <is>
          <t>2 - 5 Năm</t>
        </is>
      </c>
      <c r="L13623" s="8">
        <f>HYPERLINK("https://careerviet.vn/vi/tim-viec-lam/chuyen-vien-bao-tri-dien.35C6AF7A.html","Xem chi tiết")</f>
        <v/>
      </c>
    </row>
    <row r="13624">
      <c r="B13624" s="9" t="n">
        <v>13622</v>
      </c>
      <c r="C13624" s="10" t="inlineStr">
        <is>
          <t>KẾ TOÁN TỔNG HỢP (QUẬN 7 CŨ)</t>
        </is>
      </c>
      <c r="D13624" s="10" t="inlineStr">
        <is>
          <t>Công ty TNHH DV và Kỹ Thuật Biển Xanh (GOTCO)</t>
        </is>
      </c>
      <c r="E13624" s="10" t="inlineStr">
        <is>
          <t>Lương:23 Tr - 35 Tr VND</t>
        </is>
      </c>
      <c r="F13624" s="10" t="inlineStr">
        <is>
          <t>Hồ Chí Minh</t>
        </is>
      </c>
      <c r="G13624" s="10" t="inlineStr">
        <is>
          <t>02-04-2026</t>
        </is>
      </c>
      <c r="H13624" s="10" t="inlineStr">
        <is>
          <t>02/04/2026</t>
        </is>
      </c>
      <c r="I13624" s="10" t="inlineStr">
        <is>
          <t>17/03/2026</t>
        </is>
      </c>
      <c r="J13624" s="10" t="inlineStr">
        <is>
          <t>Kế toán / Kiểm toán, Dịch vụ khách hàng</t>
        </is>
      </c>
      <c r="K13624" s="10" t="inlineStr">
        <is>
          <t>3 - 5 Năm</t>
        </is>
      </c>
      <c r="L13624" s="11">
        <f>HYPERLINK("https://careerviet.vn/vi/tim-viec-lam/ke-toan-tong-hop-quan-7-cu.35C6A5B5.html","Xem chi tiết")</f>
        <v/>
      </c>
      <c r="M13624" s="10" t="n"/>
    </row>
    <row r="13625">
      <c r="B13625" s="7" t="n">
        <v>13623</v>
      </c>
      <c r="C13625" t="inlineStr">
        <is>
          <t>QC Manager-Footwear</t>
        </is>
      </c>
      <c r="D13625" t="inlineStr">
        <is>
          <t>VĂN PHÒNG ĐẠI DIỆN ROFU SINGAPORE PTE. LTD. TẠI THÀNH PHỐ HỒ CHÍ MINH</t>
        </is>
      </c>
      <c r="E13625" t="inlineStr">
        <is>
          <t>Lương:Cạnh tranh</t>
        </is>
      </c>
      <c r="F13625" t="inlineStr">
        <is>
          <t>Bình Dương</t>
        </is>
      </c>
      <c r="G13625" t="inlineStr">
        <is>
          <t>04-04-2026</t>
        </is>
      </c>
      <c r="H13625" t="inlineStr">
        <is>
          <t>04/04/2026</t>
        </is>
      </c>
      <c r="I13625" t="inlineStr">
        <is>
          <t>17/03/2026</t>
        </is>
      </c>
      <c r="J13625" t="inlineStr">
        <is>
          <t>Dệt may / Da giày / Thời trang, Thu mua / Vật tư, Ngành khác</t>
        </is>
      </c>
      <c r="K13625" t="inlineStr">
        <is>
          <t>5 - 10 Năm</t>
        </is>
      </c>
      <c r="L13625" s="8">
        <f>HYPERLINK("https://careerviet.vn/vi/tim-viec-lam/qc-manager-footwear.35C6B16B.html","Xem chi tiết")</f>
        <v/>
      </c>
    </row>
    <row r="13626">
      <c r="B13626" s="9" t="n">
        <v>13624</v>
      </c>
      <c r="C13626" s="10" t="inlineStr">
        <is>
          <t>Giám Nhà Hàng F&amp;B ( Tiếng Hàn) -Thảo Điền</t>
        </is>
      </c>
      <c r="D13626" s="10" t="inlineStr">
        <is>
          <t>Công ty TNHH Sản xuất Thương mại &amp; Dịch vụ Hoa Xinh</t>
        </is>
      </c>
      <c r="E13626" s="10" t="inlineStr">
        <is>
          <t>Lương:20 Tr - 30 Tr VND</t>
        </is>
      </c>
      <c r="F13626" s="10" t="inlineStr">
        <is>
          <t>Hồ Chí Minh</t>
        </is>
      </c>
      <c r="G13626" s="10" t="inlineStr">
        <is>
          <t>11-03-2026</t>
        </is>
      </c>
      <c r="H13626" s="10" t="inlineStr">
        <is>
          <t>09/03/2026</t>
        </is>
      </c>
      <c r="I13626" s="10" t="inlineStr">
        <is>
          <t>17/03/2026</t>
        </is>
      </c>
      <c r="J13626" s="10" t="inlineStr">
        <is>
          <t>Thực phẩm &amp; Đồ uống, Biên phiên dịch, Nhà hàng / Khách sạn</t>
        </is>
      </c>
      <c r="K13626" s="10" t="inlineStr">
        <is>
          <t>1 - 5 Năm</t>
        </is>
      </c>
      <c r="L13626" s="11">
        <f>HYPERLINK("https://careerviet.vn/vi/tim-viec-lam/giam-nha-hang-f-b-tieng-han-thao-dien.35C6B101.html","Xem chi tiết")</f>
        <v/>
      </c>
      <c r="M13626" s="10" t="n"/>
    </row>
    <row r="13627">
      <c r="B13627" s="7" t="n">
        <v>13625</v>
      </c>
      <c r="C13627" t="inlineStr">
        <is>
          <t>Chuyên viên Cung ứng cơ điện</t>
        </is>
      </c>
      <c r="D13627" t="inlineStr">
        <is>
          <t>CÔNG TY CỔ PHẦN TẬP ĐOÀN T&amp;T</t>
        </is>
      </c>
      <c r="E13627" t="inlineStr">
        <is>
          <t>Lương:Cạnh tranh</t>
        </is>
      </c>
      <c r="F13627" t="inlineStr">
        <is>
          <t>Hà Nội</t>
        </is>
      </c>
      <c r="G13627" t="inlineStr">
        <is>
          <t>05-05-2026</t>
        </is>
      </c>
      <c r="H13627" t="inlineStr">
        <is>
          <t>05/05/2026</t>
        </is>
      </c>
      <c r="I13627" t="inlineStr">
        <is>
          <t>17/03/2026</t>
        </is>
      </c>
      <c r="J13627" t="inlineStr">
        <is>
          <t>Thu mua / Vật tư, Bất động sản, Điện / Điện tử / Điện lạnh / Điện công nghiệp</t>
        </is>
      </c>
      <c r="K13627" t="inlineStr">
        <is>
          <t>Trên 3 Năm</t>
        </is>
      </c>
      <c r="L13627" s="8">
        <f>HYPERLINK("https://careerviet.vn/vi/tim-viec-lam/chuyen-vien-cung-ung-co-dien.35C6B02D.html","Xem chi tiết")</f>
        <v/>
      </c>
    </row>
    <row r="13628">
      <c r="B13628" s="9" t="n">
        <v>13626</v>
      </c>
      <c r="C13628" s="10" t="inlineStr">
        <is>
          <t>Tổ Trưởng Lắp Ráp</t>
        </is>
      </c>
      <c r="D13628" s="10" t="inlineStr">
        <is>
          <t>CÔNG TY TNHH ĐẦU TƯ THƯƠNG MẠI VÀ SẢN XUẤT CHÍNH PHÁT</t>
        </is>
      </c>
      <c r="E13628" s="10" t="inlineStr">
        <is>
          <t>Lương:15 Tr - 18 Tr VND</t>
        </is>
      </c>
      <c r="F13628" s="10" t="inlineStr">
        <is>
          <t>Hồ Chí Minh</t>
        </is>
      </c>
      <c r="G13628" s="10" t="inlineStr">
        <is>
          <t>06-04-2026</t>
        </is>
      </c>
      <c r="H13628" s="10" t="inlineStr">
        <is>
          <t>06/04/2026</t>
        </is>
      </c>
      <c r="I13628" s="10" t="inlineStr">
        <is>
          <t>17/03/2026</t>
        </is>
      </c>
      <c r="J13628" s="10" t="inlineStr">
        <is>
          <t>Sản xuất / Vận hành sản xuất, Cơ khí / Ô tô / Tự động hóa, Điện / Điện tử / Điện lạnh / Điện công nghiệp</t>
        </is>
      </c>
      <c r="K13628" s="10" t="inlineStr">
        <is>
          <t>1 - 2 Năm</t>
        </is>
      </c>
      <c r="L13628" s="11">
        <f>HYPERLINK("https://careerviet.vn/vi/tim-viec-lam/to-truong-lap-rap.35C6AFE7.html","Xem chi tiết")</f>
        <v/>
      </c>
      <c r="M13628" s="10" t="n"/>
    </row>
    <row r="13629">
      <c r="B13629" s="7" t="n">
        <v>13627</v>
      </c>
      <c r="C13629" t="inlineStr">
        <is>
          <t>Nhân Viên Content Marketing</t>
        </is>
      </c>
      <c r="D13629" t="inlineStr">
        <is>
          <t>CÔNG TY CỔ PHẦN THẾ GIỚI NỘI THẤT PHÚ THỊNH</t>
        </is>
      </c>
      <c r="E13629" t="inlineStr">
        <is>
          <t>Lương:Cạnh tranh</t>
        </is>
      </c>
      <c r="F13629" t="inlineStr">
        <is>
          <t>Bà Rịa - Vũng TàuHồ Chí Minh</t>
        </is>
      </c>
      <c r="G13629" t="inlineStr">
        <is>
          <t>04-04-2026</t>
        </is>
      </c>
      <c r="H13629" t="inlineStr">
        <is>
          <t>04/04/2026</t>
        </is>
      </c>
      <c r="I13629" t="inlineStr">
        <is>
          <t>17/03/2026</t>
        </is>
      </c>
      <c r="J13629" t="inlineStr">
        <is>
          <t>Nội ngoại thất, Tiếp thị / Marketing, Kiến trúc</t>
        </is>
      </c>
      <c r="K13629" t="inlineStr">
        <is>
          <t>N/A</t>
        </is>
      </c>
      <c r="L13629" s="8">
        <f>HYPERLINK("https://careerviet.vn/vi/tim-viec-lam/nhan-vien-content-marketing.35C6AE4D.html","Xem chi tiết")</f>
        <v/>
      </c>
    </row>
    <row r="13630">
      <c r="B13630" s="9" t="n">
        <v>13628</v>
      </c>
      <c r="C13630" s="10" t="inlineStr">
        <is>
          <t>CHUYÊN VIÊN BÁN BUÔN TỔNG HỢP HÀNG RONG BIỂN (Kênh GT)</t>
        </is>
      </c>
      <c r="D13630" s="10" t="inlineStr">
        <is>
          <t>CÔNG TY TNHH TOHOGENKAI VIỆT NAM</t>
        </is>
      </c>
      <c r="E13630" s="10" t="inlineStr">
        <is>
          <t>Lương:15 Tr - 20 Tr VND</t>
        </is>
      </c>
      <c r="F13630" s="10" t="inlineStr">
        <is>
          <t>Hồ Chí Minh</t>
        </is>
      </c>
      <c r="G13630" s="10" t="inlineStr">
        <is>
          <t>04-04-2026</t>
        </is>
      </c>
      <c r="H13630" s="10" t="inlineStr">
        <is>
          <t>04/04/2026</t>
        </is>
      </c>
      <c r="I13630" s="10" t="inlineStr">
        <is>
          <t>17/03/2026</t>
        </is>
      </c>
      <c r="J13630" s="10" t="inlineStr">
        <is>
          <t>Bán lẻ / Bán sỉ, Bán hàng / Kinh doanh, Thực phẩm &amp; Đồ uống</t>
        </is>
      </c>
      <c r="K13630" s="10" t="inlineStr">
        <is>
          <t>3 - 5 Năm</t>
        </is>
      </c>
      <c r="L13630" s="11">
        <f>HYPERLINK("https://careerviet.vn/vi/tim-viec-lam/chuyen-vien-ban-buon-tong-hop-hang-rong-bien-kenh-gt.35C6AF95.html","Xem chi tiết")</f>
        <v/>
      </c>
      <c r="M13630" s="10" t="n"/>
    </row>
    <row r="13631">
      <c r="B13631" s="7" t="n">
        <v>13629</v>
      </c>
      <c r="C13631" t="inlineStr">
        <is>
          <t>SENIOR LEARNING &amp; DEVELOPMENT EXECUTIVE</t>
        </is>
      </c>
      <c r="D13631" t="inlineStr">
        <is>
          <t>Công ty Cổ phần S.I.M. VN</t>
        </is>
      </c>
      <c r="E13631" t="inlineStr">
        <is>
          <t>Lương:20 Tr - 30 Tr VND</t>
        </is>
      </c>
      <c r="F13631" t="inlineStr">
        <is>
          <t>Hồ Chí Minh</t>
        </is>
      </c>
      <c r="G13631" t="inlineStr">
        <is>
          <t>02-04-2026</t>
        </is>
      </c>
      <c r="H13631" t="inlineStr">
        <is>
          <t>02/04/2026</t>
        </is>
      </c>
      <c r="I13631" t="inlineStr">
        <is>
          <t>17/03/2026</t>
        </is>
      </c>
      <c r="J13631" t="inlineStr">
        <is>
          <t>Nhân sự, Thực phẩm &amp; Đồ uống, Hành chính / Thư ký</t>
        </is>
      </c>
      <c r="K13631" t="inlineStr">
        <is>
          <t>6 - 7 Năm</t>
        </is>
      </c>
      <c r="L13631" s="8">
        <f>HYPERLINK("https://careerviet.vn/vi/tim-viec-lam/senior-learning-development-executive.35C6B08E.html","Xem chi tiết")</f>
        <v/>
      </c>
    </row>
    <row r="13632">
      <c r="B13632" s="9" t="n">
        <v>13630</v>
      </c>
      <c r="C13632" s="10" t="inlineStr">
        <is>
          <t>QM Junior Staff</t>
        </is>
      </c>
      <c r="D13632" s="10" t="inlineStr">
        <is>
          <t>CÔNG TY TNHH SEAH M&amp;S VIỆT NAM</t>
        </is>
      </c>
      <c r="E13632" s="10" t="inlineStr">
        <is>
          <t>Lương:500 - 600 USD</t>
        </is>
      </c>
      <c r="F13632" s="10" t="inlineStr">
        <is>
          <t>Bà Rịa - Vũng TàuHồ Chí Minh</t>
        </is>
      </c>
      <c r="G13632" s="10" t="inlineStr">
        <is>
          <t>04-04-2026</t>
        </is>
      </c>
      <c r="H13632" s="10" t="inlineStr">
        <is>
          <t>04/04/2026</t>
        </is>
      </c>
      <c r="I13632" s="10" t="inlineStr">
        <is>
          <t>17/03/2026</t>
        </is>
      </c>
      <c r="J13632" s="10" t="inlineStr">
        <is>
          <t>Sản xuất / Vận hành sản xuất, Dược phẩm/ Hóa Mỹ Phẩm</t>
        </is>
      </c>
      <c r="K13632" s="10" t="inlineStr">
        <is>
          <t>1 - 2 Năm</t>
        </is>
      </c>
      <c r="L13632" s="11">
        <f>HYPERLINK("https://careerviet.vn/vi/tim-viec-lam/qm-junior-staff.35C6B16F.html","Xem chi tiết")</f>
        <v/>
      </c>
      <c r="M13632" s="10" t="n"/>
    </row>
    <row r="13633">
      <c r="B13633" s="7" t="n">
        <v>13631</v>
      </c>
      <c r="C13633" t="inlineStr">
        <is>
          <t>Kế Toán Tổng Hợp</t>
        </is>
      </c>
      <c r="D13633" t="inlineStr">
        <is>
          <t>Công Ty CP Đầu Tư Thương Mại Dịch Vụ Du Lịch Tuổi Trẻ Việt</t>
        </is>
      </c>
      <c r="E13633" t="inlineStr">
        <is>
          <t>Lương:12 Tr - 18 Tr VND</t>
        </is>
      </c>
      <c r="F13633" t="inlineStr">
        <is>
          <t>Hồ Chí Minh</t>
        </is>
      </c>
      <c r="G13633" t="inlineStr">
        <is>
          <t>30-06-2026</t>
        </is>
      </c>
      <c r="H13633" t="inlineStr">
        <is>
          <t>30/06/2026</t>
        </is>
      </c>
      <c r="I13633" t="inlineStr">
        <is>
          <t>17/03/2026</t>
        </is>
      </c>
      <c r="J13633" t="inlineStr">
        <is>
          <t>Du lịch, Kế toán / Kiểm toán, Tài chính / Đầu tư</t>
        </is>
      </c>
      <c r="K13633" t="inlineStr">
        <is>
          <t>1 - 5 Năm</t>
        </is>
      </c>
      <c r="L13633" s="8">
        <f>HYPERLINK("https://careerviet.vn/vi/tim-viec-lam/ke-toan-tong-hop.35C6AF46.html","Xem chi tiết")</f>
        <v/>
      </c>
    </row>
    <row r="13634">
      <c r="B13634" s="9" t="n">
        <v>13632</v>
      </c>
      <c r="C13634" s="10" t="inlineStr">
        <is>
          <t>Chuyên Viên Tư Vấn Giáo Dục - Ocean Edu Nông Cống - Thu Nhập Từ 15Triệu/Tháng - Phỏng Vấn Đi Làm Ngay</t>
        </is>
      </c>
      <c r="D13634" s="10" t="inlineStr">
        <is>
          <t>Công Ty CP Giáo Dục Đại Dương</t>
        </is>
      </c>
      <c r="E13634" s="10" t="inlineStr">
        <is>
          <t>Lương:Cạnh tranh</t>
        </is>
      </c>
      <c r="F13634" s="10" t="inlineStr">
        <is>
          <t>Thanh Hóa</t>
        </is>
      </c>
      <c r="G13634" s="10" t="inlineStr">
        <is>
          <t>04-04-2026</t>
        </is>
      </c>
      <c r="H13634" s="10" t="inlineStr">
        <is>
          <t>04/04/2026</t>
        </is>
      </c>
      <c r="I13634" s="10" t="inlineStr">
        <is>
          <t>17/03/2026</t>
        </is>
      </c>
      <c r="J13634" s="10" t="inlineStr">
        <is>
          <t>Dịch vụ khách hàng, Giáo dục / Đào tạo, Bán hàng / Kinh doanh</t>
        </is>
      </c>
      <c r="K13634" s="10" t="inlineStr">
        <is>
          <t>Chưa có kinh nghiệm</t>
        </is>
      </c>
      <c r="L13634" s="11">
        <f>HYPERLINK("https://careerviet.vn/vi/tim-viec-lam/chuyen-vien-tu-van-giao-duc-ocean-edu-nong-cong-thu-nhap-tu-15trieu-thang-phong-van-di-lam-ngay.35C6B12B.html","Xem chi tiết")</f>
        <v/>
      </c>
      <c r="M13634" s="10" t="n"/>
    </row>
    <row r="13635">
      <c r="B13635" s="7" t="n">
        <v>13633</v>
      </c>
      <c r="C13635" t="inlineStr">
        <is>
          <t>Nhân viên SQE</t>
        </is>
      </c>
      <c r="D13635" t="inlineStr">
        <is>
          <t>CÔNG TY TNHH GRE ALPHA ELECTRONICS ( VIETNAM)</t>
        </is>
      </c>
      <c r="E13635" t="inlineStr">
        <is>
          <t>Lương:11 Tr - 11 Tr VND</t>
        </is>
      </c>
      <c r="F13635" t="inlineStr">
        <is>
          <t>Bình Dương</t>
        </is>
      </c>
      <c r="G13635" t="inlineStr">
        <is>
          <t>05-04-2026</t>
        </is>
      </c>
      <c r="H13635" t="inlineStr">
        <is>
          <t>05/04/2026</t>
        </is>
      </c>
      <c r="I13635" t="inlineStr">
        <is>
          <t>17/03/2026</t>
        </is>
      </c>
      <c r="J13635" t="inlineStr">
        <is>
          <t>Điện / Điện tử / Điện lạnh / Điện công nghiệp</t>
        </is>
      </c>
      <c r="K13635" t="inlineStr">
        <is>
          <t>1 - 3 Năm</t>
        </is>
      </c>
      <c r="L13635" s="8">
        <f>HYPERLINK("https://careerviet.vn/vi/tim-viec-lam/nhan-vien-sqe.35C6AFBC.html","Xem chi tiết")</f>
        <v/>
      </c>
    </row>
    <row r="13636">
      <c r="B13636" s="9" t="n">
        <v>13634</v>
      </c>
      <c r="C13636" s="10" t="inlineStr">
        <is>
          <t>Inside Sales Manager - Logistics industry</t>
        </is>
      </c>
      <c r="D13636" s="10" t="inlineStr">
        <is>
          <t>CÔNG TY TNHH LESCHACO VIỆT NAM</t>
        </is>
      </c>
      <c r="E13636" s="10" t="inlineStr">
        <is>
          <t>Lương:Cạnh tranh</t>
        </is>
      </c>
      <c r="F13636" s="10" t="inlineStr">
        <is>
          <t>Hồ Chí Minh</t>
        </is>
      </c>
      <c r="G13636" s="10" t="inlineStr">
        <is>
          <t>11-03-2026</t>
        </is>
      </c>
      <c r="H13636" s="10" t="inlineStr">
        <is>
          <t>29/09/2025</t>
        </is>
      </c>
      <c r="I13636" s="10" t="inlineStr">
        <is>
          <t>17/03/2026</t>
        </is>
      </c>
      <c r="J13636" s="10" t="inlineStr">
        <is>
          <t>Xuất nhập khẩu</t>
        </is>
      </c>
      <c r="K13636" s="10" t="inlineStr">
        <is>
          <t>3 - 5 Năm</t>
        </is>
      </c>
      <c r="L13636" s="11">
        <f>HYPERLINK("https://careerviet.vn/vi/tim-viec-lam/inside-sales-manager-logistics-industry.35C56D1C.html","Xem chi tiết")</f>
        <v/>
      </c>
      <c r="M13636" s="10" t="n"/>
    </row>
    <row r="13637">
      <c r="B13637" s="7" t="n">
        <v>13635</v>
      </c>
      <c r="C13637" t="inlineStr">
        <is>
          <t>Nhân Viên Kinh Doanh Ngành Dầu Nhớt</t>
        </is>
      </c>
      <c r="D13637" t="inlineStr">
        <is>
          <t>Công ty TNHH Dầu Nhờn GS Việt Nam</t>
        </is>
      </c>
      <c r="E13637" t="inlineStr">
        <is>
          <t>Lương:Lên đến 25 Tr VND</t>
        </is>
      </c>
      <c r="F13637" t="inlineStr">
        <is>
          <t>Quảng TrịQuảng Ngãi</t>
        </is>
      </c>
      <c r="G13637" t="inlineStr">
        <is>
          <t>05-04-2026</t>
        </is>
      </c>
      <c r="H13637" t="inlineStr">
        <is>
          <t>05/04/2026</t>
        </is>
      </c>
      <c r="I13637" t="inlineStr">
        <is>
          <t>17/03/2026</t>
        </is>
      </c>
      <c r="J13637" t="inlineStr">
        <is>
          <t>Bán hàng / Kinh doanh, Cơ khí / Ô tô / Tự động hóa, Dầu khí</t>
        </is>
      </c>
      <c r="K13637" t="inlineStr">
        <is>
          <t>3 - 5 Năm</t>
        </is>
      </c>
      <c r="L13637" s="8">
        <f>HYPERLINK("https://careerviet.vn/vi/tim-viec-lam/nhan-vien-kinh-doanh-nganh-dau-nhot.35C6B207.html","Xem chi tiết")</f>
        <v/>
      </c>
    </row>
    <row r="13638">
      <c r="B13638" s="9" t="n">
        <v>13636</v>
      </c>
      <c r="C13638" s="10" t="inlineStr">
        <is>
          <t>03 Giám Sát &amp; 03 Nhân Viên Tư Vấn Kỹ Thuật Thương Mại Thủy Sản (Kinh Doanh Thức Ăn Thủy Sản)</t>
        </is>
      </c>
      <c r="D13638" s="10" t="inlineStr">
        <is>
          <t>Công Ty Cổ Phần GreenFeed Việt Nam</t>
        </is>
      </c>
      <c r="E13638" s="10" t="inlineStr">
        <is>
          <t>Lương:Cạnh tranh</t>
        </is>
      </c>
      <c r="F13638" s="10" t="inlineStr">
        <is>
          <t>Cần ThơAn GiangCà Mau</t>
        </is>
      </c>
      <c r="G13638" s="10" t="inlineStr">
        <is>
          <t>04-04-2026</t>
        </is>
      </c>
      <c r="H13638" s="10" t="inlineStr">
        <is>
          <t>04/04/2026</t>
        </is>
      </c>
      <c r="I13638" s="10" t="inlineStr">
        <is>
          <t>17/03/2026</t>
        </is>
      </c>
      <c r="J13638" s="10" t="inlineStr">
        <is>
          <t>Thủy sản / Hải sản</t>
        </is>
      </c>
      <c r="K13638" s="10" t="inlineStr">
        <is>
          <t>1 - 5 Năm</t>
        </is>
      </c>
      <c r="L13638" s="11">
        <f>HYPERLINK("https://careerviet.vn/vi/tim-viec-lam/03-giam-sat-03-nhan-vien-tu-van-ky-thuat-thuong-mai-thuy-san-kinh-doanh-thuc-an-thuy-san.35C6AF90.html","Xem chi tiết")</f>
        <v/>
      </c>
      <c r="M13638" s="10" t="n"/>
    </row>
    <row r="13639">
      <c r="B13639" s="7" t="n">
        <v>13637</v>
      </c>
      <c r="C13639" t="inlineStr">
        <is>
          <t>KẾ TOÁN THANH TOÁN &amp; CÔNG NỢ</t>
        </is>
      </c>
      <c r="D13639" t="inlineStr">
        <is>
          <t>Công ty TNHH Anh Đức</t>
        </is>
      </c>
      <c r="E13639" t="inlineStr">
        <is>
          <t>Lương:7 Tr - 9 Tr VND</t>
        </is>
      </c>
      <c r="F13639" t="inlineStr">
        <is>
          <t>Đà Nẵng</t>
        </is>
      </c>
      <c r="G13639" t="inlineStr">
        <is>
          <t>31-03-2026</t>
        </is>
      </c>
      <c r="H13639" t="inlineStr">
        <is>
          <t>31/03/2026</t>
        </is>
      </c>
      <c r="I13639" t="inlineStr">
        <is>
          <t>17/03/2026</t>
        </is>
      </c>
      <c r="J13639" t="inlineStr">
        <is>
          <t>Kế toán / Kiểm toán, Thống kê, Bán lẻ / Bán sỉ</t>
        </is>
      </c>
      <c r="K13639" t="inlineStr">
        <is>
          <t>Trên 1 Năm</t>
        </is>
      </c>
      <c r="L13639" s="8">
        <f>HYPERLINK("https://careerviet.vn/vi/tim-viec-lam/ke-toan-thanh-toan-cong-no.35C6AF7C.html","Xem chi tiết")</f>
        <v/>
      </c>
    </row>
    <row r="13640">
      <c r="B13640" s="9" t="n">
        <v>13638</v>
      </c>
      <c r="C13640" s="10" t="inlineStr">
        <is>
          <t>Chuyên Viên/Chuyên Viên Cao Cấp Khách Hàng Doanh Nghiệp - Khu Vực Hải Phòng, Quảng Ninh, Thái Bình</t>
        </is>
      </c>
      <c r="D13640" s="10" t="inlineStr">
        <is>
          <t>NGÂN HÀNG TRÁCH NHIỆM HỮU HẠN MỘT THÀNH VIÊN VIỆT NAM HIỆN ĐẠI</t>
        </is>
      </c>
      <c r="E13640" s="10" t="inlineStr">
        <is>
          <t>Lương:Cạnh tranh</t>
        </is>
      </c>
      <c r="F13640" s="10" t="inlineStr">
        <is>
          <t>Thái BìnhHải PhòngQuảng Ninh</t>
        </is>
      </c>
      <c r="G13640" s="10" t="inlineStr">
        <is>
          <t>05-05-2026</t>
        </is>
      </c>
      <c r="H13640" s="10" t="inlineStr">
        <is>
          <t>05/05/2026</t>
        </is>
      </c>
      <c r="I13640" s="10" t="inlineStr">
        <is>
          <t>17/03/2026</t>
        </is>
      </c>
      <c r="J13640" s="10" t="inlineStr">
        <is>
          <t>Ngân hàng, Bán hàng / Kinh doanh, Tài chính / Đầu tư</t>
        </is>
      </c>
      <c r="K13640" s="10" t="inlineStr">
        <is>
          <t>N/A</t>
        </is>
      </c>
      <c r="L13640" s="11">
        <f>HYPERLINK("https://careerviet.vn/vi/tim-viec-lam/chuyen-vien-chuyen-vien-cao-cap-khach-hang-doanh-nghiep-khu-vuc-hai-phong-quang-ninh-thai-binh.35C6B269.html","Xem chi tiết")</f>
        <v/>
      </c>
      <c r="M13640" s="10" t="n"/>
    </row>
    <row r="13641">
      <c r="B13641" s="7" t="n">
        <v>13639</v>
      </c>
      <c r="C13641" t="inlineStr">
        <is>
          <t>ETC Sales Supervisor - Giám sát kinh doanh ETC (Ha Noi &amp; North Provinces)</t>
        </is>
      </c>
      <c r="D13641" t="inlineStr">
        <is>
          <t>Công ty TNHH United International Pharma</t>
        </is>
      </c>
      <c r="E13641" t="inlineStr">
        <is>
          <t>Lương:Cạnh tranh</t>
        </is>
      </c>
      <c r="F13641" t="inlineStr">
        <is>
          <t>Hà Nội</t>
        </is>
      </c>
      <c r="G13641" t="inlineStr">
        <is>
          <t>04-04-2026</t>
        </is>
      </c>
      <c r="H13641" t="inlineStr">
        <is>
          <t>04/04/2026</t>
        </is>
      </c>
      <c r="I13641" t="inlineStr">
        <is>
          <t>17/03/2026</t>
        </is>
      </c>
      <c r="J13641" t="inlineStr">
        <is>
          <t>Y tế / Chăm sóc sức khỏe / Thẩm mỹ / Làm đẹp, Dược phẩm/ Hóa Mỹ Phẩm, Bán hàng / Kinh doanh</t>
        </is>
      </c>
      <c r="K13641" t="inlineStr">
        <is>
          <t>5 - 7 Năm</t>
        </is>
      </c>
      <c r="L13641" s="8">
        <f>HYPERLINK("https://careerviet.vn/vi/tim-viec-lam/etc-sales-supervisor-giam-sat-kinh-doanh-etc-ha-noi-north-provinces.35C6AF76.html","Xem chi tiết")</f>
        <v/>
      </c>
    </row>
    <row r="13642">
      <c r="B13642" s="9" t="n">
        <v>13640</v>
      </c>
      <c r="C13642" s="10" t="inlineStr">
        <is>
          <t>Trưởng phòng Kỹ thuật Vật tư</t>
        </is>
      </c>
      <c r="D13642" s="10" t="inlineStr">
        <is>
          <t>Công ty TNHH Hòa Kiến Nhân</t>
        </is>
      </c>
      <c r="E13642" s="10" t="inlineStr">
        <is>
          <t>Lương:Cạnh tranh</t>
        </is>
      </c>
      <c r="F13642" s="10" t="inlineStr">
        <is>
          <t>Hồ Chí Minh</t>
        </is>
      </c>
      <c r="G13642" s="10" t="inlineStr">
        <is>
          <t>06-04-2026</t>
        </is>
      </c>
      <c r="H13642" s="10" t="inlineStr">
        <is>
          <t>06/04/2026</t>
        </is>
      </c>
      <c r="I13642" s="10" t="inlineStr">
        <is>
          <t>17/03/2026</t>
        </is>
      </c>
      <c r="J13642" s="10" t="inlineStr">
        <is>
          <t>Cơ khí / Ô tô / Tự động hóa, Điện / Điện tử / Điện lạnh / Điện công nghiệp, Thu mua / Vật tư</t>
        </is>
      </c>
      <c r="K13642" s="10" t="inlineStr">
        <is>
          <t>5 - 15 Năm</t>
        </is>
      </c>
      <c r="L13642" s="11">
        <f>HYPERLINK("https://careerviet.vn/vi/tim-viec-lam/truong-phong-ky-thuat-vat-tu.35C6ADAA.html","Xem chi tiết")</f>
        <v/>
      </c>
      <c r="M13642" s="10" t="n"/>
    </row>
    <row r="13643">
      <c r="B13643" s="7" t="n">
        <v>13641</v>
      </c>
      <c r="C13643" t="inlineStr">
        <is>
          <t>Chuyên Viên Tư Vấn Giáo Dục - Ocean Edu Hoa Lư  - Thu Nhập Từ 15Triệu/Tháng - Phỏng Vấn Đi Làm Ngay</t>
        </is>
      </c>
      <c r="D13643" t="inlineStr">
        <is>
          <t>Công Ty CP Giáo Dục Đại Dương</t>
        </is>
      </c>
      <c r="E13643" t="inlineStr">
        <is>
          <t>Lương:Cạnh tranh</t>
        </is>
      </c>
      <c r="F13643" t="inlineStr">
        <is>
          <t>Ninh Bình</t>
        </is>
      </c>
      <c r="G13643" t="inlineStr">
        <is>
          <t>04-04-2026</t>
        </is>
      </c>
      <c r="H13643" t="inlineStr">
        <is>
          <t>04/04/2026</t>
        </is>
      </c>
      <c r="I13643" t="inlineStr">
        <is>
          <t>17/03/2026</t>
        </is>
      </c>
      <c r="J13643" t="inlineStr">
        <is>
          <t>Dịch vụ khách hàng, Giáo dục / Đào tạo, Bán hàng / Kinh doanh</t>
        </is>
      </c>
      <c r="K13643" t="inlineStr">
        <is>
          <t>Chưa có kinh nghiệm</t>
        </is>
      </c>
      <c r="L13643" s="8">
        <f>HYPERLINK("https://careerviet.vn/vi/tim-viec-lam/chuyen-vien-tu-van-giao-duc-ocean-edu-hoa-lu-thu-nhap-tu-15trieu-thang-phong-van-di-lam-ngay.35C6AF07.html","Xem chi tiết")</f>
        <v/>
      </c>
    </row>
    <row r="13644">
      <c r="B13644" s="9" t="n">
        <v>13642</v>
      </c>
      <c r="C13644" s="10" t="inlineStr">
        <is>
          <t>[CẦN THƠ] QUẢN LÝ /PHÓ QUẢN LÝ NHÀ HÀNG</t>
        </is>
      </c>
      <c r="D13644" s="10" t="inlineStr">
        <is>
          <t>Công Ty Cổ Phần Tầm Nhìn Quốc Tế Aladdin</t>
        </is>
      </c>
      <c r="E13644" s="10" t="inlineStr">
        <is>
          <t>Lương:15 Tr - 20 Tr VND</t>
        </is>
      </c>
      <c r="F13644" s="10" t="inlineStr">
        <is>
          <t>Cần Thơ</t>
        </is>
      </c>
      <c r="G13644" s="10" t="inlineStr">
        <is>
          <t>05-04-2026</t>
        </is>
      </c>
      <c r="H13644" s="10" t="inlineStr">
        <is>
          <t>05/04/2026</t>
        </is>
      </c>
      <c r="I13644" s="10" t="inlineStr">
        <is>
          <t>17/03/2026</t>
        </is>
      </c>
      <c r="J13644" s="10" t="inlineStr">
        <is>
          <t>Thực phẩm &amp; Đồ uống, Nhà hàng / Khách sạn, Quản lý điều hành</t>
        </is>
      </c>
      <c r="K13644" s="10" t="inlineStr">
        <is>
          <t>2 - 4 Năm</t>
        </is>
      </c>
      <c r="L13644" s="11">
        <f>HYPERLINK("https://careerviet.vn/vi/tim-viec-lam/can-tho-quan-ly-pho-quan-ly-nha-hang.35C6B26D.html","Xem chi tiết")</f>
        <v/>
      </c>
      <c r="M13644" s="10" t="n"/>
    </row>
    <row r="13645">
      <c r="B13645" s="7" t="n">
        <v>13643</v>
      </c>
      <c r="C13645" t="inlineStr">
        <is>
          <t>Trưởng nhóm thiết kế</t>
        </is>
      </c>
      <c r="D13645" t="inlineStr">
        <is>
          <t>CÔNG TY CỔ PHẦN ĐẦU TƯ BẤT ĐỘNG SẢN LÊ VIN LAND</t>
        </is>
      </c>
      <c r="E13645" t="inlineStr">
        <is>
          <t>Lương:15 Tr - 30 Tr VND</t>
        </is>
      </c>
      <c r="F13645" t="inlineStr">
        <is>
          <t>Hồ Chí Minh</t>
        </is>
      </c>
      <c r="G13645" t="inlineStr">
        <is>
          <t>31-03-2026</t>
        </is>
      </c>
      <c r="H13645" t="inlineStr">
        <is>
          <t>31/03/2026</t>
        </is>
      </c>
      <c r="I13645" t="inlineStr">
        <is>
          <t>17/03/2026</t>
        </is>
      </c>
      <c r="J13645" t="inlineStr">
        <is>
          <t>Mỹ thuật / Nghệ thuật / Thiết kế, Kiến trúc, Nội ngoại thất</t>
        </is>
      </c>
      <c r="K13645" t="inlineStr">
        <is>
          <t>1 - 2 Năm</t>
        </is>
      </c>
      <c r="L13645" s="8">
        <f>HYPERLINK("https://careerviet.vn/vi/tim-viec-lam/truong-nhom-thiet-ke.35C6B073.html","Xem chi tiết")</f>
        <v/>
      </c>
    </row>
    <row r="13646">
      <c r="B13646" s="9" t="n">
        <v>13644</v>
      </c>
      <c r="C13646" s="10" t="inlineStr">
        <is>
          <t>Chuyên Viên Tổng Hợp Báo Cáo</t>
        </is>
      </c>
      <c r="D13646" s="10" t="inlineStr">
        <is>
          <t>Công ty TNHH Sản xuất, lắp ráp Tuấn Nghĩa</t>
        </is>
      </c>
      <c r="E13646" s="10" t="inlineStr">
        <is>
          <t>Lương:12 Tr - 15 Tr VND</t>
        </is>
      </c>
      <c r="F13646" s="10" t="inlineStr">
        <is>
          <t>Hà Nội</t>
        </is>
      </c>
      <c r="G13646" s="10" t="inlineStr">
        <is>
          <t>31-03-2026</t>
        </is>
      </c>
      <c r="H13646" s="10" t="inlineStr">
        <is>
          <t>31/03/2026</t>
        </is>
      </c>
      <c r="I13646" s="10" t="inlineStr">
        <is>
          <t>17/03/2026</t>
        </is>
      </c>
      <c r="J13646" s="10" t="inlineStr">
        <is>
          <t>Hành chính / Thư ký</t>
        </is>
      </c>
      <c r="K13646" s="10" t="inlineStr">
        <is>
          <t>Trên 1 Năm</t>
        </is>
      </c>
      <c r="L13646" s="11">
        <f>HYPERLINK("https://careerviet.vn/vi/tim-viec-lam/chuyen-vien-tong-hop-bao-cao.35C6B07C.html","Xem chi tiết")</f>
        <v/>
      </c>
      <c r="M13646" s="10" t="n"/>
    </row>
    <row r="13647">
      <c r="B13647" s="7" t="n">
        <v>13645</v>
      </c>
      <c r="C13647" t="inlineStr">
        <is>
          <t>Chuyên Viên Tư Vấn Giáo Dục - Ocean Edu Hải Phòng - Thu Nhập Từ 15Triệu/Tháng - Phỏng Vấn Đi Làm Ngay</t>
        </is>
      </c>
      <c r="D13647" t="inlineStr">
        <is>
          <t>Công Ty CP Giáo Dục Đại Dương</t>
        </is>
      </c>
      <c r="E13647" t="inlineStr">
        <is>
          <t>Lương:Cạnh tranh</t>
        </is>
      </c>
      <c r="F13647" t="inlineStr">
        <is>
          <t>Hải Phòng</t>
        </is>
      </c>
      <c r="G13647" t="inlineStr">
        <is>
          <t>04-04-2026</t>
        </is>
      </c>
      <c r="H13647" t="inlineStr">
        <is>
          <t>04/04/2026</t>
        </is>
      </c>
      <c r="I13647" t="inlineStr">
        <is>
          <t>17/03/2026</t>
        </is>
      </c>
      <c r="J13647" t="inlineStr">
        <is>
          <t>Dịch vụ khách hàng, Giáo dục / Đào tạo, Bán hàng / Kinh doanh</t>
        </is>
      </c>
      <c r="K13647" t="inlineStr">
        <is>
          <t>Chưa có kinh nghiệm</t>
        </is>
      </c>
      <c r="L13647" s="8">
        <f>HYPERLINK("https://careerviet.vn/vi/tim-viec-lam/chuyen-vien-tu-van-giao-duc-ocean-edu-hai-phong-thu-nhap-tu-15trieu-thang-phong-van-di-lam-ngay.35C6B117.html","Xem chi tiết")</f>
        <v/>
      </c>
    </row>
    <row r="13648">
      <c r="B13648" s="9" t="n">
        <v>13646</v>
      </c>
      <c r="C13648" s="10" t="inlineStr">
        <is>
          <t>SENIOR SUPPLIER MANAGEMENT EXECUTIVE</t>
        </is>
      </c>
      <c r="D13648" s="10" t="inlineStr">
        <is>
          <t>Công ty Cổ phần S.I.M. VN</t>
        </is>
      </c>
      <c r="E13648" s="10" t="inlineStr">
        <is>
          <t>Lương:25 Tr - 35 Tr VND</t>
        </is>
      </c>
      <c r="F13648" s="10" t="inlineStr">
        <is>
          <t>Hồ Chí Minh</t>
        </is>
      </c>
      <c r="G13648" s="10" t="inlineStr">
        <is>
          <t>11-03-2026</t>
        </is>
      </c>
      <c r="H13648" s="10" t="inlineStr">
        <is>
          <t>12/03/2026</t>
        </is>
      </c>
      <c r="I13648" s="10" t="inlineStr">
        <is>
          <t>17/03/2026</t>
        </is>
      </c>
      <c r="J13648" s="10" t="inlineStr">
        <is>
          <t>Công nghệ thực phẩm / Dinh dưỡng, Xuất nhập khẩu, Thu mua / Vật tư</t>
        </is>
      </c>
      <c r="K13648" s="10" t="inlineStr">
        <is>
          <t>3 - 5 Năm</t>
        </is>
      </c>
      <c r="L13648" s="11">
        <f>HYPERLINK("https://careerviet.vn/vi/tim-viec-lam/senior-supplier-management-executive.35C6B084.html","Xem chi tiết")</f>
        <v/>
      </c>
      <c r="M13648" s="10" t="n"/>
    </row>
    <row r="13649">
      <c r="B13649" s="7" t="n">
        <v>13647</v>
      </c>
      <c r="C13649" t="inlineStr">
        <is>
          <t>Nhân viên thu mua - Không yêu cầu kinh nghiệm</t>
        </is>
      </c>
      <c r="D13649" t="inlineStr">
        <is>
          <t>Cty CP Clear Water Metal VN</t>
        </is>
      </c>
      <c r="E13649" t="inlineStr">
        <is>
          <t>Lương:10 Tr - 15 Tr VND</t>
        </is>
      </c>
      <c r="F13649" t="inlineStr">
        <is>
          <t>Hồ Chí Minh</t>
        </is>
      </c>
      <c r="G13649" t="inlineStr">
        <is>
          <t>30-04-2026</t>
        </is>
      </c>
      <c r="H13649" t="inlineStr">
        <is>
          <t>30/04/2026</t>
        </is>
      </c>
      <c r="I13649" t="inlineStr">
        <is>
          <t>17/03/2026</t>
        </is>
      </c>
      <c r="J13649" t="inlineStr">
        <is>
          <t>Bán hàng / Kinh doanh</t>
        </is>
      </c>
      <c r="K13649" t="inlineStr">
        <is>
          <t>N/A</t>
        </is>
      </c>
      <c r="L13649" s="8">
        <f>HYPERLINK("https://careerviet.vn/vi/tim-viec-lam/nhan-vien-thu-mua-khong-yeu-cau-kinh-nghiem.35C6B154.html","Xem chi tiết")</f>
        <v/>
      </c>
    </row>
    <row r="13650">
      <c r="B13650" s="9" t="n">
        <v>13648</v>
      </c>
      <c r="C13650" s="10" t="inlineStr">
        <is>
          <t>Phó Phòng Kỹ Thuật</t>
        </is>
      </c>
      <c r="D13650" s="10" t="inlineStr">
        <is>
          <t>Công Ty Cổ Phần Quốc Tế Sơn Hà</t>
        </is>
      </c>
      <c r="E13650" s="10" t="inlineStr">
        <is>
          <t>Lương:Cạnh tranh</t>
        </is>
      </c>
      <c r="F13650" s="10" t="inlineStr">
        <is>
          <t>Hà Nội</t>
        </is>
      </c>
      <c r="G13650" s="10" t="inlineStr">
        <is>
          <t>04-04-2026</t>
        </is>
      </c>
      <c r="H13650" s="10" t="inlineStr">
        <is>
          <t>04/04/2026</t>
        </is>
      </c>
      <c r="I13650" s="10" t="inlineStr">
        <is>
          <t>17/03/2026</t>
        </is>
      </c>
      <c r="J13650" s="10" t="inlineStr">
        <is>
          <t>tương đương ). Thông tin khácBằng cấp: Đại họcĐộ tuổi: Không giới hạn tuổiPhúc lợi: Laptop, Chế độ bảo hiểm, Du Lịch, Phụ cấp, Đồng phục, Chăm sóc sức khỏe, Tăng</t>
        </is>
      </c>
      <c r="K13650" s="10" t="inlineStr">
        <is>
          <t>2 - 3 Năm</t>
        </is>
      </c>
      <c r="L13650" s="11">
        <f>HYPERLINK("https://careerviet.vn/vi/tim-viec-lam/pho-phong-ky-thuat.35C6AF3B.html","Xem chi tiết")</f>
        <v/>
      </c>
      <c r="M13650" s="10" t="n"/>
    </row>
    <row r="13651">
      <c r="B13651" s="7" t="n">
        <v>13649</v>
      </c>
      <c r="C13651" t="inlineStr">
        <is>
          <t>Chuyên viên đào tạo và phát triển (DH,$1000)</t>
        </is>
      </c>
      <c r="D13651" t="inlineStr">
        <is>
          <t>Tập Đoàn Karofi Holding</t>
        </is>
      </c>
      <c r="E13651" t="inlineStr">
        <is>
          <t>Lương:Cạnh tranh</t>
        </is>
      </c>
      <c r="F13651" t="inlineStr">
        <is>
          <t>Hà Nội</t>
        </is>
      </c>
      <c r="G13651" t="inlineStr">
        <is>
          <t>04-04-2026</t>
        </is>
      </c>
      <c r="H13651" t="inlineStr">
        <is>
          <t>04/04/2026</t>
        </is>
      </c>
      <c r="I13651" t="inlineStr">
        <is>
          <t>17/03/2026</t>
        </is>
      </c>
      <c r="J13651" t="inlineStr">
        <is>
          <t>Nhân sự, Sản xuất / Vận hành sản xuất, Bán lẻ / Bán sỉ</t>
        </is>
      </c>
      <c r="K13651" t="inlineStr">
        <is>
          <t>3 - 5 Năm</t>
        </is>
      </c>
      <c r="L13651" s="8">
        <f>HYPERLINK("https://careerviet.vn/vi/tim-viec-lam/chuyen-vien-dao-tao-va-phat-trien-dh-1000.35C6B0D5.html","Xem chi tiết")</f>
        <v/>
      </c>
    </row>
    <row r="13652">
      <c r="B13652" s="9" t="n">
        <v>13650</v>
      </c>
      <c r="C13652" s="10" t="inlineStr">
        <is>
          <t>Senior Cost Controller</t>
        </is>
      </c>
      <c r="D13652" s="10" t="inlineStr">
        <is>
          <t>Công ty TNHH Onpoint</t>
        </is>
      </c>
      <c r="E13652" s="10" t="inlineStr">
        <is>
          <t>Lương:Cạnh tranh</t>
        </is>
      </c>
      <c r="F13652" s="10" t="inlineStr">
        <is>
          <t>Hồ Chí Minh</t>
        </is>
      </c>
      <c r="G13652" s="10" t="inlineStr">
        <is>
          <t>31-03-2026</t>
        </is>
      </c>
      <c r="H13652" s="10" t="inlineStr">
        <is>
          <t>31/03/2026</t>
        </is>
      </c>
      <c r="I13652" s="10" t="inlineStr">
        <is>
          <t>17/03/2026</t>
        </is>
      </c>
      <c r="J13652" s="10" t="inlineStr">
        <is>
          <t>Tài chính / Đầu tư, Kế toán / Kiểm toán, Thương mại điện tử</t>
        </is>
      </c>
      <c r="K13652" s="10" t="inlineStr">
        <is>
          <t>2 - 10 Năm</t>
        </is>
      </c>
      <c r="L13652" s="11">
        <f>HYPERLINK("https://careerviet.vn/vi/tim-viec-lam/senior-cost-controller.35C6B142.html","Xem chi tiết")</f>
        <v/>
      </c>
      <c r="M13652" s="10" t="n"/>
    </row>
    <row r="13653">
      <c r="B13653" s="7" t="n">
        <v>13651</v>
      </c>
      <c r="C13653" t="inlineStr">
        <is>
          <t>Senior Procurement (Admin Team)</t>
        </is>
      </c>
      <c r="D13653" t="inlineStr">
        <is>
          <t>UNIEXPORT CO., LTD</t>
        </is>
      </c>
      <c r="E13653" t="inlineStr">
        <is>
          <t>Lương:Cạnh tranh</t>
        </is>
      </c>
      <c r="F13653" t="inlineStr">
        <is>
          <t>Hồ Chí Minh</t>
        </is>
      </c>
      <c r="G13653" t="inlineStr">
        <is>
          <t>31-03-2026</t>
        </is>
      </c>
      <c r="H13653" t="inlineStr">
        <is>
          <t>31/03/2026</t>
        </is>
      </c>
      <c r="I13653" t="inlineStr">
        <is>
          <t>17/03/2026</t>
        </is>
      </c>
      <c r="J13653" t="inlineStr">
        <is>
          <t>Xuất nhập khẩu, Sản xuất / Vận hành sản xuất, Thu mua / Vật tư</t>
        </is>
      </c>
      <c r="K13653" t="inlineStr">
        <is>
          <t>2 - 3 Năm</t>
        </is>
      </c>
      <c r="L13653" s="8">
        <f>HYPERLINK("https://careerviet.vn/vi/tim-viec-lam/senior-procurement-admin-team.35C555B7.html","Xem chi tiết")</f>
        <v/>
      </c>
    </row>
    <row r="13654">
      <c r="B13654" s="9" t="n">
        <v>13652</v>
      </c>
      <c r="C13654" s="10" t="inlineStr">
        <is>
          <t>Kế Toán Trưởng (Tiếng Anh/ Trung)</t>
        </is>
      </c>
      <c r="D13654" s="10" t="inlineStr">
        <is>
          <t>CÔNG TY TNNH THƯƠNG MẠI TIANXINGYUN VIỆT NAM</t>
        </is>
      </c>
      <c r="E13654" s="10" t="inlineStr">
        <is>
          <t>Lương:40 Tr - 50 Tr VND</t>
        </is>
      </c>
      <c r="F13654" s="10" t="inlineStr">
        <is>
          <t>Hồ Chí Minh</t>
        </is>
      </c>
      <c r="G13654" s="10" t="inlineStr">
        <is>
          <t>31-03-2026</t>
        </is>
      </c>
      <c r="H13654" s="10" t="inlineStr">
        <is>
          <t>31/03/2026</t>
        </is>
      </c>
      <c r="I13654" s="10" t="inlineStr">
        <is>
          <t>17/03/2026</t>
        </is>
      </c>
      <c r="J13654" s="10" t="inlineStr">
        <is>
          <t>Kế toán / Kiểm toán, Thống kê, Tài chính / Đầu tư</t>
        </is>
      </c>
      <c r="K13654" s="10" t="inlineStr">
        <is>
          <t>5 - 8 Năm</t>
        </is>
      </c>
      <c r="L13654" s="11">
        <f>HYPERLINK("https://careerviet.vn/vi/tim-viec-lam/ke-toan-truong-tieng-anh-trung.35C6B1EC.html","Xem chi tiết")</f>
        <v/>
      </c>
      <c r="M13654" s="10" t="n"/>
    </row>
    <row r="13655">
      <c r="B13655" s="7" t="n">
        <v>13653</v>
      </c>
      <c r="C13655" t="inlineStr">
        <is>
          <t>Kỹ Sư Cao Cấp Bảo Hành</t>
        </is>
      </c>
      <c r="D13655" t="inlineStr">
        <is>
          <t>Công Ty Cổ Phần Tập Đoàn Đầu Tư Địa Ốc No Va</t>
        </is>
      </c>
      <c r="E13655" t="inlineStr">
        <is>
          <t>Lương:Cạnh tranh</t>
        </is>
      </c>
      <c r="F13655" t="inlineStr">
        <is>
          <t>Bà Rịa - Vũng Tàu</t>
        </is>
      </c>
      <c r="G13655" t="inlineStr">
        <is>
          <t>20-04-2026</t>
        </is>
      </c>
      <c r="H13655" t="inlineStr">
        <is>
          <t>20/04/2026</t>
        </is>
      </c>
      <c r="I13655" t="inlineStr">
        <is>
          <t>17/03/2026</t>
        </is>
      </c>
      <c r="J13655" t="inlineStr">
        <is>
          <t>Nhà hàng / Khách sạn, Bảo trì / Sửa chữa, Bất động sản</t>
        </is>
      </c>
      <c r="K13655" t="inlineStr">
        <is>
          <t>7 - 15 Năm</t>
        </is>
      </c>
      <c r="L13655" s="8">
        <f>HYPERLINK("https://careerviet.vn/vi/tim-viec-lam/ky-su-cao-cap-bao-hanh.35C6B0FC.html","Xem chi tiết")</f>
        <v/>
      </c>
    </row>
    <row r="13656">
      <c r="B13656" s="9" t="n">
        <v>13654</v>
      </c>
      <c r="C13656" s="10" t="inlineStr">
        <is>
          <t>THIẾT KẾ ĐỒ HỌA ( GRAPHIC DESIGN)</t>
        </is>
      </c>
      <c r="D13656" s="10" t="inlineStr">
        <is>
          <t>CÔNG TY CỔ PHẦN ULTD THỊNH PHÁT</t>
        </is>
      </c>
      <c r="E13656" s="10" t="inlineStr">
        <is>
          <t>Lương:12 Tr - 15 Tr VND</t>
        </is>
      </c>
      <c r="F13656" s="10" t="inlineStr">
        <is>
          <t>Hà Nội</t>
        </is>
      </c>
      <c r="G13656" s="10" t="inlineStr">
        <is>
          <t>04-04-2026</t>
        </is>
      </c>
      <c r="H13656" s="10" t="inlineStr">
        <is>
          <t>04/04/2026</t>
        </is>
      </c>
      <c r="I13656" s="10" t="inlineStr">
        <is>
          <t>17/03/2026</t>
        </is>
      </c>
      <c r="J13656" s="10" t="inlineStr">
        <is>
          <t>Mỹ thuật / Nghệ thuật / Thiết kế, Dệt may / Da giày / Thời trang, Tiếp thị / Marketing</t>
        </is>
      </c>
      <c r="K13656" s="10" t="inlineStr">
        <is>
          <t>2 - 3 Năm</t>
        </is>
      </c>
      <c r="L13656" s="11">
        <f>HYPERLINK("https://careerviet.vn/vi/tim-viec-lam/thiet-ke-do-hoa-graphic-design.35C6AFE5.html","Xem chi tiết")</f>
        <v/>
      </c>
      <c r="M13656" s="10" t="n"/>
    </row>
    <row r="13657">
      <c r="B13657" s="7" t="n">
        <v>13655</v>
      </c>
      <c r="C13657" t="inlineStr">
        <is>
          <t>Giám sát An toàn lao động</t>
        </is>
      </c>
      <c r="D13657" t="inlineStr">
        <is>
          <t>Công ty TNHH Xây Dựng Hoàng Liên Sơn</t>
        </is>
      </c>
      <c r="E13657" t="inlineStr">
        <is>
          <t>Lương:13 Tr - 20 Tr VND</t>
        </is>
      </c>
      <c r="F13657" t="inlineStr">
        <is>
          <t>Hồ Chí Minh</t>
        </is>
      </c>
      <c r="G13657" t="inlineStr">
        <is>
          <t>11-03-2026</t>
        </is>
      </c>
      <c r="H13657" t="inlineStr">
        <is>
          <t>05/03/2026</t>
        </is>
      </c>
      <c r="I13657" t="inlineStr">
        <is>
          <t>17/03/2026</t>
        </is>
      </c>
      <c r="J13657" t="inlineStr">
        <is>
          <t>Xây dựng, An toàn lao động</t>
        </is>
      </c>
      <c r="K13657" t="inlineStr">
        <is>
          <t>1 - 5 Năm</t>
        </is>
      </c>
      <c r="L13657" s="8">
        <f>HYPERLINK("https://careerviet.vn/vi/tim-viec-lam/giam-sat-an-toan-lao-dong.35C6B099.html","Xem chi tiết")</f>
        <v/>
      </c>
    </row>
    <row r="13658">
      <c r="B13658" s="9" t="n">
        <v>13656</v>
      </c>
      <c r="C13658" s="10" t="inlineStr">
        <is>
          <t>Trưởng phòng Kinh doanh (Mảng đồng Phục)</t>
        </is>
      </c>
      <c r="D13658" s="10" t="inlineStr">
        <is>
          <t>Công Ty Cổ Phần Tập Đoàn Thời Trang Việt Nam</t>
        </is>
      </c>
      <c r="E13658" s="10" t="inlineStr">
        <is>
          <t>Lương:30 Tr - 40 Tr VND</t>
        </is>
      </c>
      <c r="F13658" s="10" t="inlineStr">
        <is>
          <t>Hà Nội</t>
        </is>
      </c>
      <c r="G13658" s="10" t="inlineStr">
        <is>
          <t>04-04-2026</t>
        </is>
      </c>
      <c r="H13658" s="10" t="inlineStr">
        <is>
          <t>04/04/2026</t>
        </is>
      </c>
      <c r="I13658" s="10" t="inlineStr">
        <is>
          <t>17/03/2026</t>
        </is>
      </c>
      <c r="J13658" s="10" t="inlineStr">
        <is>
          <t>Bán hàng / Kinh doanh, Dệt may / Da giày / Thời trang</t>
        </is>
      </c>
      <c r="K13658" s="10" t="inlineStr">
        <is>
          <t>3 - 5 Năm</t>
        </is>
      </c>
      <c r="L13658" s="11">
        <f>HYPERLINK("https://careerviet.vn/vi/tim-viec-lam/truong-phong-kinh-doanh-mang-dong-phuc.35C6AFE9.html","Xem chi tiết")</f>
        <v/>
      </c>
      <c r="M13658" s="10" t="n"/>
    </row>
    <row r="13659">
      <c r="B13659" s="7" t="n">
        <v>13657</v>
      </c>
      <c r="C13659" t="inlineStr">
        <is>
          <t>Nhân Viên R&amp;D Hồ Sơ Công Bố Sản Phẩm</t>
        </is>
      </c>
      <c r="D13659" t="inlineStr">
        <is>
          <t>CÔNG TY TNHH XUMEI VIỆT NAM</t>
        </is>
      </c>
      <c r="E13659" t="inlineStr">
        <is>
          <t>Lương:Trên 10 Tr VND</t>
        </is>
      </c>
      <c r="F13659" t="inlineStr">
        <is>
          <t>Hồ Chí Minh</t>
        </is>
      </c>
      <c r="G13659" t="inlineStr">
        <is>
          <t>04-04-2026</t>
        </is>
      </c>
      <c r="H13659" t="inlineStr">
        <is>
          <t>04/04/2026</t>
        </is>
      </c>
      <c r="I13659" t="inlineStr">
        <is>
          <t>17/03/2026</t>
        </is>
      </c>
      <c r="J13659" t="inlineStr">
        <is>
          <t>Thực phẩm &amp; Đồ uống, Công nghệ thực phẩm / Dinh dưỡng, Quản lý chất lượng (QA/QC)</t>
        </is>
      </c>
      <c r="K13659" t="inlineStr">
        <is>
          <t>3 - 5 Năm</t>
        </is>
      </c>
      <c r="L13659" s="8">
        <f>HYPERLINK("https://careerviet.vn/vi/tim-viec-lam/nhan-vien-r-d-ho-so-cong-bo-san-pham.35C6B1A8.html","Xem chi tiết")</f>
        <v/>
      </c>
    </row>
    <row r="13660">
      <c r="B13660" s="9" t="n">
        <v>13658</v>
      </c>
      <c r="C13660" s="10" t="inlineStr">
        <is>
          <t>Kế toán tổng hợp</t>
        </is>
      </c>
      <c r="D13660" s="10" t="inlineStr">
        <is>
          <t>Công Ty Cổ Phần Tập Đoàn Thời Trang Việt Nam</t>
        </is>
      </c>
      <c r="E13660" s="10" t="inlineStr">
        <is>
          <t>Lương:15 Tr - 20 Tr VND</t>
        </is>
      </c>
      <c r="F13660" s="10" t="inlineStr">
        <is>
          <t>Hà Nội</t>
        </is>
      </c>
      <c r="G13660" s="10" t="inlineStr">
        <is>
          <t>03-04-2026</t>
        </is>
      </c>
      <c r="H13660" s="10" t="inlineStr">
        <is>
          <t>03/04/2026</t>
        </is>
      </c>
      <c r="I13660" s="10" t="inlineStr">
        <is>
          <t>17/03/2026</t>
        </is>
      </c>
      <c r="J13660" s="10" t="inlineStr">
        <is>
          <t>Kế toán / Kiểm toán</t>
        </is>
      </c>
      <c r="K13660" s="10" t="inlineStr">
        <is>
          <t>2 - 3 Năm</t>
        </is>
      </c>
      <c r="L13660" s="11">
        <f>HYPERLINK("https://careerviet.vn/vi/tim-viec-lam/ke-toan-tong-hop.35C6AFA7.html","Xem chi tiết")</f>
        <v/>
      </c>
      <c r="M13660" s="10" t="n"/>
    </row>
    <row r="13661">
      <c r="B13661" s="7" t="n">
        <v>13659</v>
      </c>
      <c r="C13661" t="inlineStr">
        <is>
          <t>Chuyên Viên Tư Vấn Giáo Dục - Ocean Edu Lục Nam - Thu Nhập Từ 15Triệu/Tháng - Phỏng Vấn Đi Làm Ngay</t>
        </is>
      </c>
      <c r="D13661" t="inlineStr">
        <is>
          <t>Công Ty CP Giáo Dục Đại Dương</t>
        </is>
      </c>
      <c r="E13661" t="inlineStr">
        <is>
          <t>Lương:Cạnh tranh</t>
        </is>
      </c>
      <c r="F13661" t="inlineStr">
        <is>
          <t>Bắc Giang</t>
        </is>
      </c>
      <c r="G13661" t="inlineStr">
        <is>
          <t>04-04-2026</t>
        </is>
      </c>
      <c r="H13661" t="inlineStr">
        <is>
          <t>04/04/2026</t>
        </is>
      </c>
      <c r="I13661" t="inlineStr">
        <is>
          <t>17/03/2026</t>
        </is>
      </c>
      <c r="J13661" t="inlineStr">
        <is>
          <t>Dịch vụ khách hàng, Giáo dục / Đào tạo, Bán hàng / Kinh doanh</t>
        </is>
      </c>
      <c r="K13661" t="inlineStr">
        <is>
          <t>Chưa có kinh nghiệm</t>
        </is>
      </c>
      <c r="L13661" s="8">
        <f>HYPERLINK("https://careerviet.vn/vi/tim-viec-lam/chuyen-vien-tu-van-giao-duc-ocean-edu-luc-nam-thu-nhap-tu-15trieu-thang-phong-van-di-lam-ngay.35C6B04C.html","Xem chi tiết")</f>
        <v/>
      </c>
    </row>
    <row r="13662">
      <c r="B13662" s="9" t="n">
        <v>13660</v>
      </c>
      <c r="C13662" s="10" t="inlineStr">
        <is>
          <t>Chuyên viên / Chuyên viên Cao cấp Kế hoạch - Khối Tài chính Kế hoạch</t>
        </is>
      </c>
      <c r="D13662" s="10" t="inlineStr">
        <is>
          <t>Ngân hàng TMCP Phát triển TP.HCM (HDBank)</t>
        </is>
      </c>
      <c r="E13662" s="10" t="inlineStr">
        <is>
          <t>Lương:15 Tr - 25 Tr VND</t>
        </is>
      </c>
      <c r="F13662" s="10" t="inlineStr">
        <is>
          <t>Hồ Chí Minh</t>
        </is>
      </c>
      <c r="G13662" s="10" t="inlineStr">
        <is>
          <t>29-05-2026</t>
        </is>
      </c>
      <c r="H13662" s="10" t="inlineStr">
        <is>
          <t>29/05/2026</t>
        </is>
      </c>
      <c r="I13662" s="10" t="inlineStr">
        <is>
          <t>17/03/2026</t>
        </is>
      </c>
      <c r="J13662" s="10" t="inlineStr">
        <is>
          <t>Kế toán / Kiểm toán, Ngân hàng, Tài chính / Đầu tư</t>
        </is>
      </c>
      <c r="K13662" s="10" t="inlineStr">
        <is>
          <t>1 - 3 Năm</t>
        </is>
      </c>
      <c r="L13662" s="11">
        <f>HYPERLINK("https://careerviet.vn/vi/tim-viec-lam/chuyen-vien-chuyen-vien-cao-cap-ke-hoach-khoi-tai-chinh-ke-hoach.35C6B0AC.html","Xem chi tiết")</f>
        <v/>
      </c>
      <c r="M13662" s="10" t="n"/>
    </row>
    <row r="13663">
      <c r="B13663" s="7" t="n">
        <v>13661</v>
      </c>
      <c r="C13663" t="inlineStr">
        <is>
          <t>Nhân Viên IE</t>
        </is>
      </c>
      <c r="D13663" t="inlineStr">
        <is>
          <t>Công ty TNHH Sao Vàng</t>
        </is>
      </c>
      <c r="E13663" t="inlineStr">
        <is>
          <t>Lương:10 Tr - 14 Tr VND</t>
        </is>
      </c>
      <c r="F13663" t="inlineStr">
        <is>
          <t>Hải Phòng</t>
        </is>
      </c>
      <c r="G13663" t="inlineStr">
        <is>
          <t>09-04-2026</t>
        </is>
      </c>
      <c r="H13663" t="inlineStr">
        <is>
          <t>09/04/2026</t>
        </is>
      </c>
      <c r="I13663" t="inlineStr">
        <is>
          <t>17/03/2026</t>
        </is>
      </c>
      <c r="J13663" t="inlineStr">
        <is>
          <t>Hành chính / Thư ký, Xuất nhập khẩu, Thu mua / Vật tư</t>
        </is>
      </c>
      <c r="K13663" t="inlineStr">
        <is>
          <t>N/A</t>
        </is>
      </c>
      <c r="L13663" s="8">
        <f>HYPERLINK("https://careerviet.vn/vi/tim-viec-lam/nhan-vien-ie.35C6B20C.html","Xem chi tiết")</f>
        <v/>
      </c>
    </row>
    <row r="13664">
      <c r="B13664" s="9" t="n">
        <v>13662</v>
      </c>
      <c r="C13664" s="10" t="inlineStr">
        <is>
          <t>Thông Dịch Kiêm Quản Lý Golf  Tiếng Hàn</t>
        </is>
      </c>
      <c r="D13664" s="10" t="inlineStr">
        <is>
          <t>Công ty TNHH Sản xuất Thương mại &amp; Dịch vụ Hoa Xinh</t>
        </is>
      </c>
      <c r="E13664" s="10" t="inlineStr">
        <is>
          <t>Lương:18 Tr - 20 Tr VND</t>
        </is>
      </c>
      <c r="F13664" s="10" t="inlineStr">
        <is>
          <t>Hồ Chí Minh</t>
        </is>
      </c>
      <c r="G13664" s="10" t="inlineStr">
        <is>
          <t>30-04-2026</t>
        </is>
      </c>
      <c r="H13664" s="10" t="inlineStr">
        <is>
          <t>30/04/2026</t>
        </is>
      </c>
      <c r="I13664" s="10" t="inlineStr">
        <is>
          <t>17/03/2026</t>
        </is>
      </c>
      <c r="J13664" s="10" t="inlineStr">
        <is>
          <t>Biên phiên dịch, Thực phẩm &amp; Đồ uống, Nhà hàng / Khách sạn</t>
        </is>
      </c>
      <c r="K13664" s="10" t="inlineStr">
        <is>
          <t>1 - 4 Năm</t>
        </is>
      </c>
      <c r="L13664" s="11">
        <f>HYPERLINK("https://careerviet.vn/vi/tim-viec-lam/thong-dich-kiem-quan-ly-golf-tieng-han.35C6B0ED.html","Xem chi tiết")</f>
        <v/>
      </c>
      <c r="M13664" s="10" t="n"/>
    </row>
    <row r="13665">
      <c r="B13665" s="7" t="n">
        <v>13663</v>
      </c>
      <c r="C13665" t="inlineStr">
        <is>
          <t>NHÂN VIÊN KINH DOANH LOGISTICS</t>
        </is>
      </c>
      <c r="D13665" t="inlineStr">
        <is>
          <t>Công Ty CP Interlink</t>
        </is>
      </c>
      <c r="E13665" t="inlineStr">
        <is>
          <t>Lương:Cạnh tranh</t>
        </is>
      </c>
      <c r="F13665" t="inlineStr">
        <is>
          <t>Hải Phòng</t>
        </is>
      </c>
      <c r="G13665" t="inlineStr">
        <is>
          <t>31-03-2026</t>
        </is>
      </c>
      <c r="H13665" t="inlineStr">
        <is>
          <t>31/03/2026</t>
        </is>
      </c>
      <c r="I13665" t="inlineStr">
        <is>
          <t>17/03/2026</t>
        </is>
      </c>
      <c r="J13665" t="inlineStr">
        <is>
          <t>Hàng hải, Vận chuyển / Giao nhận / Kho vận, Xuất nhập khẩu</t>
        </is>
      </c>
      <c r="K13665" t="inlineStr">
        <is>
          <t>1 - 2 Năm</t>
        </is>
      </c>
      <c r="L13665" s="8">
        <f>HYPERLINK("https://careerviet.vn/vi/tim-viec-lam/nhan-vien-kinh-doanh-logistics.35C6B209.html","Xem chi tiết")</f>
        <v/>
      </c>
    </row>
    <row r="13666">
      <c r="B13666" s="9" t="n">
        <v>13664</v>
      </c>
      <c r="C13666" s="10" t="inlineStr">
        <is>
          <t>Chuyên Viên Tư Vấn Giáo Dục - Ocean Edu Kiến An - Thu Nhập Từ 15Triệu/Tháng - Phỏng Vấn Đi Làm Ngay</t>
        </is>
      </c>
      <c r="D13666" s="10" t="inlineStr">
        <is>
          <t>Công Ty CP Giáo Dục Đại Dương</t>
        </is>
      </c>
      <c r="E13666" s="10" t="inlineStr">
        <is>
          <t>Lương:Cạnh tranh</t>
        </is>
      </c>
      <c r="F13666" s="10" t="inlineStr">
        <is>
          <t>Hải Phòng</t>
        </is>
      </c>
      <c r="G13666" s="10" t="inlineStr">
        <is>
          <t>04-04-2026</t>
        </is>
      </c>
      <c r="H13666" s="10" t="inlineStr">
        <is>
          <t>04/04/2026</t>
        </is>
      </c>
      <c r="I13666" s="10" t="inlineStr">
        <is>
          <t>17/03/2026</t>
        </is>
      </c>
      <c r="J13666" s="10" t="inlineStr">
        <is>
          <t>Dịch vụ khách hàng, Giáo dục / Đào tạo, Bán hàng / Kinh doanh</t>
        </is>
      </c>
      <c r="K13666" s="10" t="inlineStr">
        <is>
          <t>Chưa có kinh nghiệm</t>
        </is>
      </c>
      <c r="L13666" s="11">
        <f>HYPERLINK("https://careerviet.vn/vi/tim-viec-lam/chuyen-vien-tu-van-giao-duc-ocean-edu-kien-an-thu-nhap-tu-15trieu-thang-phong-van-di-lam-ngay.35C6B11C.html","Xem chi tiết")</f>
        <v/>
      </c>
      <c r="M13666" s="10" t="n"/>
    </row>
    <row r="13667">
      <c r="B13667" s="7" t="n">
        <v>13665</v>
      </c>
      <c r="C13667" t="inlineStr">
        <is>
          <t>Phó phòng kế toán</t>
        </is>
      </c>
      <c r="D13667" t="inlineStr">
        <is>
          <t>CÔNG TY CỔ PHẦN KẾT CẤU THÉP OMEGA VIỆT NAM</t>
        </is>
      </c>
      <c r="E13667" t="inlineStr">
        <is>
          <t>Lương:15 Tr - 20 Tr VND</t>
        </is>
      </c>
      <c r="F13667" t="inlineStr">
        <is>
          <t>Hà Nội</t>
        </is>
      </c>
      <c r="G13667" t="inlineStr">
        <is>
          <t>05-04-2026</t>
        </is>
      </c>
      <c r="H13667" t="inlineStr">
        <is>
          <t>05/04/2026</t>
        </is>
      </c>
      <c r="I13667" t="inlineStr">
        <is>
          <t>17/03/2026</t>
        </is>
      </c>
      <c r="J13667" t="inlineStr">
        <is>
          <t>Kế toán / Kiểm toán, Tài chính / Đầu tư</t>
        </is>
      </c>
      <c r="K13667" t="inlineStr">
        <is>
          <t>Trên 3 Năm</t>
        </is>
      </c>
      <c r="L13667" s="8">
        <f>HYPERLINK("https://careerviet.vn/vi/tim-viec-lam/pho-phong-ke-toan.35C6AF8A.html","Xem chi tiết")</f>
        <v/>
      </c>
    </row>
    <row r="13668">
      <c r="B13668" s="9" t="n">
        <v>13666</v>
      </c>
      <c r="C13668" s="10" t="inlineStr">
        <is>
          <t>TRƯỞNG PHÒNG KINH DOANH THỜI TRANG</t>
        </is>
      </c>
      <c r="D13668" s="10" t="inlineStr">
        <is>
          <t>CÔNG TY TNHH KEIKO VIỆT NAM</t>
        </is>
      </c>
      <c r="E13668" s="10" t="inlineStr">
        <is>
          <t>Lương:25 Tr - 30 Tr VND</t>
        </is>
      </c>
      <c r="F13668" s="10" t="inlineStr">
        <is>
          <t>Hà Nội</t>
        </is>
      </c>
      <c r="G13668" s="10" t="inlineStr">
        <is>
          <t>05-04-2026</t>
        </is>
      </c>
      <c r="H13668" s="10" t="inlineStr">
        <is>
          <t>05/04/2026</t>
        </is>
      </c>
      <c r="I13668" s="10" t="inlineStr">
        <is>
          <t>17/03/2026</t>
        </is>
      </c>
      <c r="J13668" s="10" t="inlineStr">
        <is>
          <t>Bán lẻ / Bán sỉ, Bán hàng / Kinh doanh, Dệt may / Da giày / Thời trang</t>
        </is>
      </c>
      <c r="K13668" s="10" t="inlineStr">
        <is>
          <t>1 - 2 Năm</t>
        </is>
      </c>
      <c r="L13668" s="11">
        <f>HYPERLINK("https://careerviet.vn/vi/tim-viec-lam/truong-phong-kinh-doanh-thoi-trang.35C6B124.html","Xem chi tiết")</f>
        <v/>
      </c>
      <c r="M13668" s="10" t="n"/>
    </row>
    <row r="13669">
      <c r="B13669" s="7" t="n">
        <v>13667</v>
      </c>
      <c r="C13669" t="inlineStr">
        <is>
          <t>Hành Chính Nhân Sự Xưởng</t>
        </is>
      </c>
      <c r="D13669" t="inlineStr">
        <is>
          <t>CÔNG TY TNHH ĐẦU TƯ THƯƠNG MẠI VÀ SẢN XUẤT CHÍNH PHÁT</t>
        </is>
      </c>
      <c r="E13669" t="inlineStr">
        <is>
          <t>Lương:10 Tr - 12 Tr VND</t>
        </is>
      </c>
      <c r="F13669" t="inlineStr">
        <is>
          <t>Hồ Chí Minh</t>
        </is>
      </c>
      <c r="G13669" t="inlineStr">
        <is>
          <t>06-04-2026</t>
        </is>
      </c>
      <c r="H13669" t="inlineStr">
        <is>
          <t>06/04/2026</t>
        </is>
      </c>
      <c r="I13669" t="inlineStr">
        <is>
          <t>17/03/2026</t>
        </is>
      </c>
      <c r="J13669" t="inlineStr">
        <is>
          <t>Nhân sự</t>
        </is>
      </c>
      <c r="K13669" t="inlineStr">
        <is>
          <t>Lên đến 1 Năm</t>
        </is>
      </c>
      <c r="L13669" s="8">
        <f>HYPERLINK("https://careerviet.vn/vi/tim-viec-lam/hanh-chinh-nhan-su-xuong.35C6AFF7.html","Xem chi tiết")</f>
        <v/>
      </c>
    </row>
    <row r="13670">
      <c r="B13670" s="9" t="n">
        <v>13668</v>
      </c>
      <c r="C13670" s="10" t="inlineStr">
        <is>
          <t>Chuyên Viên Tư Vấn Giáo Dục - Ocean Edu Hải Dương - Thu Nhập Từ 15Triệu/Tháng - Phỏng Vấn Đi Làm Ngay</t>
        </is>
      </c>
      <c r="D13670" s="10" t="inlineStr">
        <is>
          <t>Công Ty CP Giáo Dục Đại Dương</t>
        </is>
      </c>
      <c r="E13670" s="10" t="inlineStr">
        <is>
          <t>Lương:Cạnh tranh</t>
        </is>
      </c>
      <c r="F13670" s="10" t="inlineStr">
        <is>
          <t>Hải Dương</t>
        </is>
      </c>
      <c r="G13670" s="10" t="inlineStr">
        <is>
          <t>04-04-2026</t>
        </is>
      </c>
      <c r="H13670" s="10" t="inlineStr">
        <is>
          <t>04/04/2026</t>
        </is>
      </c>
      <c r="I13670" s="10" t="inlineStr">
        <is>
          <t>17/03/2026</t>
        </is>
      </c>
      <c r="J13670" s="10" t="inlineStr">
        <is>
          <t>Dịch vụ khách hàng, Giáo dục / Đào tạo, Bán hàng / Kinh doanh</t>
        </is>
      </c>
      <c r="K13670" s="10" t="inlineStr">
        <is>
          <t>Chưa có kinh nghiệm</t>
        </is>
      </c>
      <c r="L13670" s="11">
        <f>HYPERLINK("https://careerviet.vn/vi/tim-viec-lam/chuyen-vien-tu-van-giao-duc-ocean-edu-hai-duong-thu-nhap-tu-15trieu-thang-phong-van-di-lam-ngay.35C6B063.html","Xem chi tiết")</f>
        <v/>
      </c>
      <c r="M13670" s="10" t="n"/>
    </row>
    <row r="13671">
      <c r="B13671" s="7" t="n">
        <v>13669</v>
      </c>
      <c r="C13671" t="inlineStr">
        <is>
          <t>Cửa Hàng Trưởng (Ngành F&amp;B)</t>
        </is>
      </c>
      <c r="D13671" t="inlineStr">
        <is>
          <t>CÔNG TY TNHH 4GS TEXAS REALTY</t>
        </is>
      </c>
      <c r="E13671" t="inlineStr">
        <is>
          <t>Lương:Cạnh tranh</t>
        </is>
      </c>
      <c r="F13671" t="inlineStr">
        <is>
          <t>Hồ Chí Minh</t>
        </is>
      </c>
      <c r="G13671" t="inlineStr">
        <is>
          <t>31-03-2026</t>
        </is>
      </c>
      <c r="H13671" t="inlineStr">
        <is>
          <t>31/03/2026</t>
        </is>
      </c>
      <c r="I13671" t="inlineStr">
        <is>
          <t>17/03/2026</t>
        </is>
      </c>
      <c r="J13671" t="inlineStr">
        <is>
          <t>Thực phẩm &amp; Đồ uống</t>
        </is>
      </c>
      <c r="K13671" t="inlineStr">
        <is>
          <t>1 - 2 Năm</t>
        </is>
      </c>
      <c r="L13671" s="8">
        <f>HYPERLINK("https://careerviet.vn/vi/tim-viec-lam/cua-hang-truong-nganh-f-b.35C6B1BB.html","Xem chi tiết")</f>
        <v/>
      </c>
    </row>
    <row r="13672">
      <c r="B13672" s="9" t="n">
        <v>13670</v>
      </c>
      <c r="C13672" s="10" t="inlineStr">
        <is>
          <t>CV/CVCC Quản lý rủi ro thị trường &amp; Thanh khoản</t>
        </is>
      </c>
      <c r="D13672" s="10" t="inlineStr">
        <is>
          <t>Ngân Hàng TMCP Sài Gòn - Hà Nội ( SHB )</t>
        </is>
      </c>
      <c r="E13672" s="10" t="inlineStr">
        <is>
          <t>Lương:Cạnh tranh</t>
        </is>
      </c>
      <c r="F13672" s="10" t="inlineStr">
        <is>
          <t>Hà Nội</t>
        </is>
      </c>
      <c r="G13672" s="10" t="inlineStr">
        <is>
          <t>02-04-2026</t>
        </is>
      </c>
      <c r="H13672" s="10" t="inlineStr">
        <is>
          <t>02/04/2026</t>
        </is>
      </c>
      <c r="I13672" s="10" t="inlineStr">
        <is>
          <t>17/03/2026</t>
        </is>
      </c>
      <c r="J13672" s="10" t="inlineStr">
        <is>
          <t>Ngân hàng, Tài chính / Đầu tư</t>
        </is>
      </c>
      <c r="K13672" s="10" t="inlineStr">
        <is>
          <t>1 - 3 Năm</t>
        </is>
      </c>
      <c r="L13672" s="11">
        <f>HYPERLINK("https://careerviet.vn/vi/tim-viec-lam/cv-cvcc-quan-ly-rui-ro-thi-truong-thanh-khoan.35C6B147.html","Xem chi tiết")</f>
        <v/>
      </c>
      <c r="M13672" s="10" t="n"/>
    </row>
    <row r="13673">
      <c r="B13673" s="7" t="n">
        <v>13671</v>
      </c>
      <c r="C13673" t="inlineStr">
        <is>
          <t>Chuyên Viên Tư Vấn Giáo Dục - Ocean Edu An Dương - Thu Nhập Từ 15Triệu/Tháng - Phỏng Vấn Đi Làm Ngay</t>
        </is>
      </c>
      <c r="D13673" t="inlineStr">
        <is>
          <t>Công Ty CP Giáo Dục Đại Dương</t>
        </is>
      </c>
      <c r="E13673" t="inlineStr">
        <is>
          <t>Lương:Cạnh tranh</t>
        </is>
      </c>
      <c r="F13673" t="inlineStr">
        <is>
          <t>Hải Phòng</t>
        </is>
      </c>
      <c r="G13673" t="inlineStr">
        <is>
          <t>04-04-2026</t>
        </is>
      </c>
      <c r="H13673" t="inlineStr">
        <is>
          <t>04/04/2026</t>
        </is>
      </c>
      <c r="I13673" t="inlineStr">
        <is>
          <t>17/03/2026</t>
        </is>
      </c>
      <c r="J13673" t="inlineStr">
        <is>
          <t>Dịch vụ khách hàng, Giáo dục / Đào tạo, Bán hàng / Kinh doanh</t>
        </is>
      </c>
      <c r="K13673" t="inlineStr">
        <is>
          <t>Chưa có kinh nghiệm</t>
        </is>
      </c>
      <c r="L13673" s="8">
        <f>HYPERLINK("https://careerviet.vn/vi/tim-viec-lam/chuyen-vien-tu-van-giao-duc-ocean-edu-an-duong-thu-nhap-tu-15trieu-thang-phong-van-di-lam-ngay.35C6B11E.html","Xem chi tiết")</f>
        <v/>
      </c>
    </row>
    <row r="13674">
      <c r="B13674" s="9" t="n">
        <v>13672</v>
      </c>
      <c r="C13674" s="10" t="inlineStr">
        <is>
          <t>Nhân Viên Điều Phối Đào Tạo</t>
        </is>
      </c>
      <c r="D13674" s="10" t="inlineStr">
        <is>
          <t>Công ty TNHH ADC</t>
        </is>
      </c>
      <c r="E13674" s="10" t="inlineStr">
        <is>
          <t>Lương:Cạnh tranh</t>
        </is>
      </c>
      <c r="F13674" s="10" t="inlineStr">
        <is>
          <t>Hồ Chí Minh</t>
        </is>
      </c>
      <c r="G13674" s="10" t="inlineStr">
        <is>
          <t>31-03-2026</t>
        </is>
      </c>
      <c r="H13674" s="10" t="inlineStr">
        <is>
          <t>31/03/2026</t>
        </is>
      </c>
      <c r="I13674" s="10" t="inlineStr">
        <is>
          <t>17/03/2026</t>
        </is>
      </c>
      <c r="J13674" s="10" t="inlineStr">
        <is>
          <t>Giáo dục / Đào tạo, Nhân sự, Nông nghiệp</t>
        </is>
      </c>
      <c r="K13674" s="10" t="inlineStr">
        <is>
          <t>2 - 3 Năm</t>
        </is>
      </c>
      <c r="L13674" s="11">
        <f>HYPERLINK("https://careerviet.vn/vi/tim-viec-lam/nhan-vien-dieu-phoi-dao-tao.35C6B00C.html","Xem chi tiết")</f>
        <v/>
      </c>
      <c r="M13674" s="10" t="n"/>
    </row>
    <row r="13675">
      <c r="B13675" s="7" t="n">
        <v>13673</v>
      </c>
      <c r="C13675" t="inlineStr">
        <is>
          <t>Nhân Viên Kho Tổng (Phú Thọ)</t>
        </is>
      </c>
      <c r="D13675" t="inlineStr">
        <is>
          <t>CÔNG TY CỔ PHẦN TẬP ĐOÀN ONSEN FUJI</t>
        </is>
      </c>
      <c r="E13675" t="inlineStr">
        <is>
          <t>Lương:7 Tr - 9 Tr VND</t>
        </is>
      </c>
      <c r="F13675" t="inlineStr">
        <is>
          <t>Phú Thọ</t>
        </is>
      </c>
      <c r="G13675" t="inlineStr">
        <is>
          <t>04-04-2026</t>
        </is>
      </c>
      <c r="H13675" t="inlineStr">
        <is>
          <t>04/04/2026</t>
        </is>
      </c>
      <c r="I13675" t="inlineStr">
        <is>
          <t>17/03/2026</t>
        </is>
      </c>
      <c r="J13675" t="inlineStr">
        <is>
          <t>Nhà hàng / Khách sạn</t>
        </is>
      </c>
      <c r="K13675" t="inlineStr">
        <is>
          <t>1 - 2 Năm</t>
        </is>
      </c>
      <c r="L13675" s="8">
        <f>HYPERLINK("https://careerviet.vn/vi/tim-viec-lam/nhan-vien-kho-tong-phu-tho.35C6AFA6.html","Xem chi tiết")</f>
        <v/>
      </c>
    </row>
    <row r="13676">
      <c r="B13676" s="9" t="n">
        <v>13674</v>
      </c>
      <c r="C13676" s="10" t="inlineStr">
        <is>
          <t>Nhân Viên Phụ Trách Hành Chính Nhân Sự</t>
        </is>
      </c>
      <c r="D13676" s="10" t="inlineStr">
        <is>
          <t>CÔNG TY CỔ PHẦN LIÊN DOANH GALATEX VIỆT NAM</t>
        </is>
      </c>
      <c r="E13676" s="10" t="inlineStr">
        <is>
          <t>Lương:Trên 15 Tr VND</t>
        </is>
      </c>
      <c r="F13676" s="10" t="inlineStr">
        <is>
          <t>Hà Nội</t>
        </is>
      </c>
      <c r="G13676" s="10" t="inlineStr">
        <is>
          <t>04-04-2026</t>
        </is>
      </c>
      <c r="H13676" s="10" t="inlineStr">
        <is>
          <t>04/04/2026</t>
        </is>
      </c>
      <c r="I13676" s="10" t="inlineStr">
        <is>
          <t>17/03/2026</t>
        </is>
      </c>
      <c r="J13676" s="10" t="inlineStr">
        <is>
          <t>Hành chính / Thư ký, Nhân sự</t>
        </is>
      </c>
      <c r="K13676" s="10" t="inlineStr">
        <is>
          <t>Trên 2 Năm</t>
        </is>
      </c>
      <c r="L13676" s="11">
        <f>HYPERLINK("https://careerviet.vn/vi/tim-viec-lam/nhan-vien-phu-trach-hanh-chinh-nhan-su.35C6B15F.html","Xem chi tiết")</f>
        <v/>
      </c>
      <c r="M13676" s="10" t="n"/>
    </row>
    <row r="13677">
      <c r="B13677" s="7" t="n">
        <v>13675</v>
      </c>
      <c r="C13677" t="inlineStr">
        <is>
          <t>Chuyên Viên Tư Vấn Giáo Dục - Ocean Edu Nho Quan  - Thu Nhập Từ 15Triệu/Tháng - Phỏng Vấn Đi Làm Ngay</t>
        </is>
      </c>
      <c r="D13677" t="inlineStr">
        <is>
          <t>Công Ty CP Giáo Dục Đại Dương</t>
        </is>
      </c>
      <c r="E13677" t="inlineStr">
        <is>
          <t>Lương:Cạnh tranh</t>
        </is>
      </c>
      <c r="F13677" t="inlineStr">
        <is>
          <t>Ninh Bình</t>
        </is>
      </c>
      <c r="G13677" t="inlineStr">
        <is>
          <t>04-04-2026</t>
        </is>
      </c>
      <c r="H13677" t="inlineStr">
        <is>
          <t>04/04/2026</t>
        </is>
      </c>
      <c r="I13677" t="inlineStr">
        <is>
          <t>17/03/2026</t>
        </is>
      </c>
      <c r="J13677" t="inlineStr">
        <is>
          <t>Dịch vụ khách hàng, Giáo dục / Đào tạo, Bán hàng / Kinh doanh</t>
        </is>
      </c>
      <c r="K13677" t="inlineStr">
        <is>
          <t>Chưa có kinh nghiệm</t>
        </is>
      </c>
      <c r="L13677" s="8">
        <f>HYPERLINK("https://careerviet.vn/vi/tim-viec-lam/chuyen-vien-tu-van-giao-duc-ocean-edu-nho-quan-thu-nhap-tu-15trieu-thang-phong-van-di-lam-ngay.35C6AF06.html","Xem chi tiết")</f>
        <v/>
      </c>
    </row>
    <row r="13678">
      <c r="B13678" s="9" t="n">
        <v>13676</v>
      </c>
      <c r="C13678" s="10" t="inlineStr">
        <is>
          <t>Nhân viên kinh doanh (Đà Nẵng Quảng Nam Không Yêu cầu Kinh nghiệm)</t>
        </is>
      </c>
      <c r="D13678" s="10" t="inlineStr">
        <is>
          <t>CÔNG TY CỔ PHẦN TẬP ĐOÀN BA THANH</t>
        </is>
      </c>
      <c r="E13678" s="10" t="inlineStr">
        <is>
          <t>Lương:20 Tr - 50 Tr VND</t>
        </is>
      </c>
      <c r="F13678" s="10" t="inlineStr">
        <is>
          <t>Quảng Nam</t>
        </is>
      </c>
      <c r="G13678" s="10" t="inlineStr">
        <is>
          <t>6</t>
        </is>
      </c>
      <c r="H13678" s="10" t="inlineStr">
        <is>
          <t>23/03/2026</t>
        </is>
      </c>
      <c r="I13678" s="10" t="inlineStr">
        <is>
          <t>17/03/2026</t>
        </is>
      </c>
      <c r="J13678" s="10" t="inlineStr">
        <is>
          <t>Bán hàng / Kinh doanh, Nội ngoại thất, Quảng cáo / Đối ngoại / Truyền Thông</t>
        </is>
      </c>
      <c r="K13678" s="10" t="inlineStr">
        <is>
          <t>N/A</t>
        </is>
      </c>
      <c r="L13678" s="11">
        <f>HYPERLINK("https://careerviet.vn/vi/tim-viec-lam/nhan-vien-kinh-doanh-da-nang-quang-nam-khong-yeu-cau-kinh-nghiem.35C6B09A.html","Xem chi tiết")</f>
        <v/>
      </c>
      <c r="M13678" s="10" t="n"/>
    </row>
    <row r="13679">
      <c r="B13679" s="7" t="n">
        <v>13677</v>
      </c>
      <c r="C13679" t="inlineStr">
        <is>
          <t>Warehouse Manager</t>
        </is>
      </c>
      <c r="D13679" t="inlineStr">
        <is>
          <t>CHI NHÁNH THÀNH PHỐ HỒ CHÍ MINH – CÔNG TY TNHH HỆ THỐNG CÔNG NGHỆ TIẾP VẬN KUKDONG</t>
        </is>
      </c>
      <c r="E13679" t="inlineStr">
        <is>
          <t>Lương:15 Tr - 20 Tr VND</t>
        </is>
      </c>
      <c r="F13679" t="inlineStr">
        <is>
          <t>Hồ Chí Minh</t>
        </is>
      </c>
      <c r="G13679" t="inlineStr">
        <is>
          <t>05-04-2026</t>
        </is>
      </c>
      <c r="H13679" t="inlineStr">
        <is>
          <t>05/04/2026</t>
        </is>
      </c>
      <c r="I13679" t="inlineStr">
        <is>
          <t>17/03/2026</t>
        </is>
      </c>
      <c r="J13679" t="inlineStr">
        <is>
          <t>Vận chuyển / Giao nhận / Kho vận</t>
        </is>
      </c>
      <c r="K13679" t="inlineStr">
        <is>
          <t>3 - 5 Năm</t>
        </is>
      </c>
      <c r="L13679" s="8">
        <f>HYPERLINK("https://careerviet.vn/vi/tim-viec-lam/warehouse-manager.35C6B080.html","Xem chi tiết")</f>
        <v/>
      </c>
    </row>
    <row r="13680">
      <c r="B13680" s="9" t="n">
        <v>13678</v>
      </c>
      <c r="C13680" s="10" t="inlineStr">
        <is>
          <t>Giám Sát Cửa Hàng F&amp;B - Katsuya Vincom Gò Vấp</t>
        </is>
      </c>
      <c r="D13680" s="10" t="inlineStr">
        <is>
          <t>Công ty TNHH Sản xuất Thương mại &amp; Dịch vụ Hoa Xinh</t>
        </is>
      </c>
      <c r="E13680" s="10" t="inlineStr">
        <is>
          <t>Lương:10 Tr - 20 Tr VND</t>
        </is>
      </c>
      <c r="F13680" s="10" t="inlineStr">
        <is>
          <t>Hồ Chí Minh</t>
        </is>
      </c>
      <c r="G13680" s="10" t="inlineStr">
        <is>
          <t>03-04-2026</t>
        </is>
      </c>
      <c r="H13680" s="10" t="inlineStr">
        <is>
          <t>03/04/2026</t>
        </is>
      </c>
      <c r="I13680" s="10" t="inlineStr">
        <is>
          <t>17/03/2026</t>
        </is>
      </c>
      <c r="J13680" s="10" t="inlineStr">
        <is>
          <t>Thực phẩm &amp; Đồ uống, Nhà hàng / Khách sạn, Bán lẻ / Bán sỉ</t>
        </is>
      </c>
      <c r="K13680" s="10" t="inlineStr">
        <is>
          <t>1 - 5 Năm</t>
        </is>
      </c>
      <c r="L13680" s="11">
        <f>HYPERLINK("https://careerviet.vn/vi/tim-viec-lam/giam-sat-cua-hang-f-b-katsuya-vincom-go-vap.35C6B0C6.html","Xem chi tiết")</f>
        <v/>
      </c>
      <c r="M13680" s="10" t="n"/>
    </row>
    <row r="13681">
      <c r="B13681" s="7" t="n">
        <v>13679</v>
      </c>
      <c r="C13681" t="inlineStr">
        <is>
          <t>Thực tập sinh Hành chính nhân sự (hỗ trợ lương)</t>
        </is>
      </c>
      <c r="D13681" t="inlineStr">
        <is>
          <t>CÔNG TY CỔ PHẦN ĐIỆN VÀ XÂY DỰNG NAM VIỆT</t>
        </is>
      </c>
      <c r="E13681" t="inlineStr">
        <is>
          <t>Lương:2 Tr - 3 Tr VND</t>
        </is>
      </c>
      <c r="F13681" t="inlineStr">
        <is>
          <t>Hồ Chí Minh</t>
        </is>
      </c>
      <c r="G13681" t="inlineStr">
        <is>
          <t>31-03-2026</t>
        </is>
      </c>
      <c r="H13681" t="inlineStr">
        <is>
          <t>31/03/2026</t>
        </is>
      </c>
      <c r="I13681" t="inlineStr">
        <is>
          <t>17/03/2026</t>
        </is>
      </c>
      <c r="J13681" t="inlineStr">
        <is>
          <t>Nhân sự, Hành chính / Thư ký, Mới tốt nghiệp / Thực tập</t>
        </is>
      </c>
      <c r="K13681" t="inlineStr">
        <is>
          <t>N/A</t>
        </is>
      </c>
      <c r="L13681" s="8">
        <f>HYPERLINK("https://careerviet.vn/vi/tim-viec-lam/thuc-tap-sinh-hanh-chinh-nhan-su-ho-tro-luong.35C6B1F8.html","Xem chi tiết")</f>
        <v/>
      </c>
    </row>
    <row r="13682">
      <c r="B13682" s="9" t="n">
        <v>13680</v>
      </c>
      <c r="C13682" s="10" t="inlineStr">
        <is>
          <t>Business Development Manager / Freight Forwarding Industry</t>
        </is>
      </c>
      <c r="D13682" s="10" t="inlineStr">
        <is>
          <t>CÔNG TY TNHH LESCHACO VIỆT NAM</t>
        </is>
      </c>
      <c r="E13682" s="10" t="inlineStr">
        <is>
          <t>Lương:Cạnh tranh</t>
        </is>
      </c>
      <c r="F13682" s="10" t="inlineStr">
        <is>
          <t>Hồ Chí Minh</t>
        </is>
      </c>
      <c r="G13682" s="10" t="inlineStr">
        <is>
          <t>31-03-2026</t>
        </is>
      </c>
      <c r="H13682" s="10" t="inlineStr">
        <is>
          <t>31/03/2026</t>
        </is>
      </c>
      <c r="I13682" s="10" t="inlineStr">
        <is>
          <t>17/03/2026</t>
        </is>
      </c>
      <c r="J13682" s="10" t="inlineStr">
        <is>
          <t>Tiếp thị / Marketing, Bán hàng / Kinh doanh, Vận chuyển / Giao nhận / Kho vận</t>
        </is>
      </c>
      <c r="K13682" s="10" t="inlineStr">
        <is>
          <t>5 - 10 Năm</t>
        </is>
      </c>
      <c r="L13682" s="11">
        <f>HYPERLINK("https://careerviet.vn/vi/tim-viec-lam/business-development-manager-freight-forwarding-industry.35C6B166.html","Xem chi tiết")</f>
        <v/>
      </c>
      <c r="M13682" s="10" t="n"/>
    </row>
    <row r="13683">
      <c r="B13683" s="7" t="n">
        <v>13681</v>
      </c>
      <c r="C13683" t="inlineStr">
        <is>
          <t>SUPPLIER MANAGEMENT EXECUTIVE</t>
        </is>
      </c>
      <c r="D13683" t="inlineStr">
        <is>
          <t>Công ty Cổ phần S.I.M. VN</t>
        </is>
      </c>
      <c r="E13683" t="inlineStr">
        <is>
          <t>Lương:18 Tr - 25 Tr VND</t>
        </is>
      </c>
      <c r="F13683" t="inlineStr">
        <is>
          <t>Hồ Chí Minh</t>
        </is>
      </c>
      <c r="G13683" t="inlineStr">
        <is>
          <t>11-03-2026</t>
        </is>
      </c>
      <c r="H13683" t="inlineStr">
        <is>
          <t>12/03/2026</t>
        </is>
      </c>
      <c r="I13683" t="inlineStr">
        <is>
          <t>17/03/2026</t>
        </is>
      </c>
      <c r="J13683" t="inlineStr">
        <is>
          <t>Công nghệ thực phẩm / Dinh dưỡng, Thu mua / Vật tư</t>
        </is>
      </c>
      <c r="K13683" t="inlineStr">
        <is>
          <t>2 - 3 Năm</t>
        </is>
      </c>
      <c r="L13683" s="8">
        <f>HYPERLINK("https://careerviet.vn/vi/tim-viec-lam/supplier-management-executive.35C6B085.html","Xem chi tiết")</f>
        <v/>
      </c>
    </row>
    <row r="13684">
      <c r="B13684" s="9" t="n">
        <v>13682</v>
      </c>
      <c r="C13684" s="10" t="inlineStr">
        <is>
          <t>Chuyên Viên Tư Vấn Giáo Dục - Ocean Edu Tân Yên - Thu Nhập Từ 15Triệu/Tháng - Phỏng Vấn Đi Làm Ngay</t>
        </is>
      </c>
      <c r="D13684" s="10" t="inlineStr">
        <is>
          <t>Công Ty CP Giáo Dục Đại Dương</t>
        </is>
      </c>
      <c r="E13684" s="10" t="inlineStr">
        <is>
          <t>Lương:Cạnh tranh</t>
        </is>
      </c>
      <c r="F13684" s="10" t="inlineStr">
        <is>
          <t>Bắc Giang</t>
        </is>
      </c>
      <c r="G13684" s="10" t="inlineStr">
        <is>
          <t>04-04-2026</t>
        </is>
      </c>
      <c r="H13684" s="10" t="inlineStr">
        <is>
          <t>04/04/2026</t>
        </is>
      </c>
      <c r="I13684" s="10" t="inlineStr">
        <is>
          <t>17/03/2026</t>
        </is>
      </c>
      <c r="J13684" s="10" t="inlineStr">
        <is>
          <t>Dịch vụ khách hàng, Giáo dục / Đào tạo, Bán hàng / Kinh doanh</t>
        </is>
      </c>
      <c r="K13684" s="10" t="inlineStr">
        <is>
          <t>Chưa có kinh nghiệm</t>
        </is>
      </c>
      <c r="L13684" s="11">
        <f>HYPERLINK("https://careerviet.vn/vi/tim-viec-lam/chuyen-vien-tu-van-giao-duc-ocean-edu-tan-yen-thu-nhap-tu-15trieu-thang-phong-van-di-lam-ngay.35C6B05B.html","Xem chi tiết")</f>
        <v/>
      </c>
      <c r="M13684" s="10" t="n"/>
    </row>
    <row r="13685">
      <c r="B13685" s="7" t="n">
        <v>13683</v>
      </c>
      <c r="C13685" t="inlineStr">
        <is>
          <t>Nhân viên CSKH và Sale Online (Ngành F&amp;B)</t>
        </is>
      </c>
      <c r="D13685" t="inlineStr">
        <is>
          <t>CÔNG TY TNHH 4GS TEXAS REALTY</t>
        </is>
      </c>
      <c r="E13685" t="inlineStr">
        <is>
          <t>Lương:6,5 Tr - 12 Tr VND</t>
        </is>
      </c>
      <c r="F13685" t="inlineStr">
        <is>
          <t>Hồ Chí Minh</t>
        </is>
      </c>
      <c r="G13685" t="inlineStr">
        <is>
          <t>31-03-2026</t>
        </is>
      </c>
      <c r="H13685" t="inlineStr">
        <is>
          <t>31/03/2026</t>
        </is>
      </c>
      <c r="I13685" t="inlineStr">
        <is>
          <t>17/03/2026</t>
        </is>
      </c>
      <c r="J13685" t="inlineStr">
        <is>
          <t>Bán hàng / Kinh doanh, Tư vấn, Tiếp thị trực tuyến</t>
        </is>
      </c>
      <c r="K13685" t="inlineStr">
        <is>
          <t>1 - 2 Năm</t>
        </is>
      </c>
      <c r="L13685" s="8">
        <f>HYPERLINK("https://careerviet.vn/vi/tim-viec-lam/nhan-vien-cskh-va-sale-online-nganh-f-b.35C6B1BE.html","Xem chi tiết")</f>
        <v/>
      </c>
    </row>
    <row r="13686">
      <c r="B13686" s="9" t="n">
        <v>13684</v>
      </c>
      <c r="C13686" s="10" t="inlineStr">
        <is>
          <t>HR Leader (Mảng Hành chính)</t>
        </is>
      </c>
      <c r="D13686" s="10" t="inlineStr">
        <is>
          <t>Công ty CP Công nghệ giáo dục Trường học trực tuyến (ONSCHOOL)</t>
        </is>
      </c>
      <c r="E13686" s="10" t="inlineStr">
        <is>
          <t>Lương:15 Tr - 17 Tr VND</t>
        </is>
      </c>
      <c r="F13686" s="10" t="inlineStr">
        <is>
          <t>Hà Nội</t>
        </is>
      </c>
      <c r="G13686" s="10" t="inlineStr">
        <is>
          <t>11-03-2026</t>
        </is>
      </c>
      <c r="H13686" s="10" t="inlineStr">
        <is>
          <t>15/03/2026</t>
        </is>
      </c>
      <c r="I13686" s="10" t="inlineStr">
        <is>
          <t>17/03/2026</t>
        </is>
      </c>
      <c r="J13686" s="10" t="inlineStr">
        <is>
          <t>Quản lý điều hành, Hành chính / Thư ký</t>
        </is>
      </c>
      <c r="K13686" s="10" t="inlineStr">
        <is>
          <t>1 - 3 Năm</t>
        </is>
      </c>
      <c r="L13686" s="11">
        <f>HYPERLINK("https://careerviet.vn/vi/tim-viec-lam/hr-leader-mang-hanh-chinh.35C6AF99.html","Xem chi tiết")</f>
        <v/>
      </c>
      <c r="M13686" s="10" t="n"/>
    </row>
    <row r="13687">
      <c r="B13687" s="7" t="n">
        <v>13685</v>
      </c>
      <c r="C13687" t="inlineStr">
        <is>
          <t>NHÂN VIÊN TƯ VẤN BÁN HÀNG FULL TIME  - C2 EYEWEAR</t>
        </is>
      </c>
      <c r="D13687" t="inlineStr">
        <is>
          <t>Bảo mật</t>
        </is>
      </c>
      <c r="E13687" t="inlineStr">
        <is>
          <t>Lương:10 Tr - 15 Tr VND</t>
        </is>
      </c>
      <c r="F13687" t="inlineStr">
        <is>
          <t>Hồ Chí Minh</t>
        </is>
      </c>
      <c r="G13687" t="inlineStr">
        <is>
          <t>3</t>
        </is>
      </c>
      <c r="H13687" t="inlineStr">
        <is>
          <t>20/03/2026</t>
        </is>
      </c>
      <c r="I13687" t="inlineStr">
        <is>
          <t>17/03/2026</t>
        </is>
      </c>
      <c r="J13687" t="inlineStr">
        <is>
          <t>Bán hàng / Kinh doanh, Biên phiên dịch, Mới tốt nghiệp / Thực tập</t>
        </is>
      </c>
      <c r="K13687" t="inlineStr">
        <is>
          <t>N/A</t>
        </is>
      </c>
      <c r="L13687" s="8">
        <f>HYPERLINK("https://careerviet.vn/vi/tim-viec-lam/nhan-vien-tu-van-ban-hang-full-time-c2-eyewear.35C6B0AA.html","Xem chi tiết")</f>
        <v/>
      </c>
    </row>
    <row r="13688">
      <c r="B13688" s="9" t="n">
        <v>13686</v>
      </c>
      <c r="C13688" s="10" t="inlineStr">
        <is>
          <t>Costing Analyst/Senior Costing Analyst-Footwear</t>
        </is>
      </c>
      <c r="D13688" s="10" t="inlineStr">
        <is>
          <t>VĂN PHÒNG ĐẠI DIỆN ROFU SINGAPORE PTE. LTD. TẠI THÀNH PHỐ HỒ CHÍ MINH</t>
        </is>
      </c>
      <c r="E13688" s="10" t="inlineStr">
        <is>
          <t>Lương:Cạnh tranh</t>
        </is>
      </c>
      <c r="F13688" s="10" t="inlineStr">
        <is>
          <t>Bình Dương</t>
        </is>
      </c>
      <c r="G13688" s="10" t="inlineStr">
        <is>
          <t>04-04-2026</t>
        </is>
      </c>
      <c r="H13688" s="10" t="inlineStr">
        <is>
          <t>04/04/2026</t>
        </is>
      </c>
      <c r="I13688" s="10" t="inlineStr">
        <is>
          <t>17/03/2026</t>
        </is>
      </c>
      <c r="J13688" s="10" t="inlineStr">
        <is>
          <t>Dệt may / Da giày / Thời trang, Thu mua / Vật tư</t>
        </is>
      </c>
      <c r="K13688" s="10" t="inlineStr">
        <is>
          <t>5 - 8 Năm</t>
        </is>
      </c>
      <c r="L13688" s="11">
        <f>HYPERLINK("https://careerviet.vn/vi/tim-viec-lam/costing-analyst-senior-costing-analyst-footwear.35C6B150.html","Xem chi tiết")</f>
        <v/>
      </c>
      <c r="M13688" s="10" t="n"/>
    </row>
    <row r="13689">
      <c r="B13689" s="7" t="n">
        <v>13687</v>
      </c>
      <c r="C13689" t="inlineStr">
        <is>
          <t>Chuyên Viên Vận Hành Kho Vận</t>
        </is>
      </c>
      <c r="D13689" t="inlineStr">
        <is>
          <t>CÔNG TY TNHH XUẤT NHẬP KHẨU RUTOP VIỆT NAM - Thương Hiệu Toptotoes</t>
        </is>
      </c>
      <c r="E13689" t="inlineStr">
        <is>
          <t>Lương:10 Tr - 15 Tr VND</t>
        </is>
      </c>
      <c r="F13689" t="inlineStr">
        <is>
          <t>Hà Nội</t>
        </is>
      </c>
      <c r="G13689" t="inlineStr">
        <is>
          <t>05-04-2026</t>
        </is>
      </c>
      <c r="H13689" t="inlineStr">
        <is>
          <t>05/04/2026</t>
        </is>
      </c>
      <c r="I13689" t="inlineStr">
        <is>
          <t>17/03/2026</t>
        </is>
      </c>
      <c r="J13689" t="inlineStr">
        <is>
          <t>Vận chuyển / Giao nhận / Kho vận, Xuất nhập khẩu, Sản xuất / Vận hành sản xuất</t>
        </is>
      </c>
      <c r="K13689" t="inlineStr">
        <is>
          <t>Trên 2 Năm</t>
        </is>
      </c>
      <c r="L13689" s="8">
        <f>HYPERLINK("https://careerviet.vn/vi/tim-viec-lam/chuyen-vien-van-hanh-kho-van.35C6AFD1.html","Xem chi tiết")</f>
        <v/>
      </c>
    </row>
    <row r="13690">
      <c r="B13690" s="9" t="n">
        <v>13688</v>
      </c>
      <c r="C13690" s="10" t="inlineStr">
        <is>
          <t>Chuyên viên Kiểm thử phần mềm - Manual Tester - Khối Công nghệ thông tin (HO26.69)</t>
        </is>
      </c>
      <c r="D13690" s="10" t="inlineStr">
        <is>
          <t>Ngân Hàng TMCP Quân Đội</t>
        </is>
      </c>
      <c r="E13690" s="10" t="inlineStr">
        <is>
          <t>Lương:Cạnh tranh</t>
        </is>
      </c>
      <c r="F13690" s="10" t="inlineStr">
        <is>
          <t>Hà Nội</t>
        </is>
      </c>
      <c r="G13690" s="10" t="inlineStr">
        <is>
          <t>05-04-2026</t>
        </is>
      </c>
      <c r="H13690" s="10" t="inlineStr">
        <is>
          <t>05/04/2026</t>
        </is>
      </c>
      <c r="I13690" s="10" t="inlineStr">
        <is>
          <t>17/03/2026</t>
        </is>
      </c>
      <c r="J13690" s="10" t="inlineStr">
        <is>
          <t>Ngân hàng, CNTT - Phần mềm, CNTT - Phần cứng / Mạng</t>
        </is>
      </c>
      <c r="K13690" s="10" t="inlineStr">
        <is>
          <t>Trên 2 Năm</t>
        </is>
      </c>
      <c r="L13690" s="11">
        <f>HYPERLINK("https://careerviet.vn/vi/tim-viec-lam/chuyen-vien-kiem-thu-phan-mem-manual-tester-khoi-cong-nghe-thong-tin-ho26-69.35C6B014.html","Xem chi tiết")</f>
        <v/>
      </c>
      <c r="M13690" s="10" t="n"/>
    </row>
    <row r="13691">
      <c r="B13691" s="7" t="n">
        <v>13689</v>
      </c>
      <c r="C13691" t="inlineStr">
        <is>
          <t>Chuyên Viên Kỹ Thuật Cây Xanh - Dự Án Park Hyatt</t>
        </is>
      </c>
      <c r="D13691" t="inlineStr">
        <is>
          <t>BIM Group</t>
        </is>
      </c>
      <c r="E13691" t="inlineStr">
        <is>
          <t>Lương:Cạnh tranh</t>
        </is>
      </c>
      <c r="F13691" t="inlineStr">
        <is>
          <t>Kiên Giang</t>
        </is>
      </c>
      <c r="G13691" t="inlineStr">
        <is>
          <t>04-04-2026</t>
        </is>
      </c>
      <c r="H13691" t="inlineStr">
        <is>
          <t>04/04/2026</t>
        </is>
      </c>
      <c r="I13691" t="inlineStr">
        <is>
          <t>17/03/2026</t>
        </is>
      </c>
      <c r="J13691" t="inlineStr">
        <is>
          <t>Bất động sản</t>
        </is>
      </c>
      <c r="K13691" t="inlineStr">
        <is>
          <t>2 - 5 Năm</t>
        </is>
      </c>
      <c r="L13691" s="8">
        <f>HYPERLINK("https://careerviet.vn/vi/tim-viec-lam/chuyen-vien-ky-thuat-cay-xanh-du-an-park-hyatt.35C6AE46.html","Xem chi tiết")</f>
        <v/>
      </c>
    </row>
    <row r="13692">
      <c r="B13692" s="9" t="n">
        <v>13690</v>
      </c>
      <c r="C13692" s="10" t="inlineStr">
        <is>
          <t>Chuyên Viên Quản Trị Hiệu Suất (Kpis) (DH,$1000)</t>
        </is>
      </c>
      <c r="D13692" s="10" t="inlineStr">
        <is>
          <t>Tập Đoàn Karofi Holding</t>
        </is>
      </c>
      <c r="E13692" s="10" t="inlineStr">
        <is>
          <t>Lương:Cạnh tranh</t>
        </is>
      </c>
      <c r="F13692" s="10" t="inlineStr">
        <is>
          <t>Hà Nội</t>
        </is>
      </c>
      <c r="G13692" s="10" t="inlineStr">
        <is>
          <t>04-04-2026</t>
        </is>
      </c>
      <c r="H13692" s="10" t="inlineStr">
        <is>
          <t>04/04/2026</t>
        </is>
      </c>
      <c r="I13692" s="10" t="inlineStr">
        <is>
          <t>17/03/2026</t>
        </is>
      </c>
      <c r="J13692" s="10" t="inlineStr">
        <is>
          <t>Hành chính / Thư ký, Nhân sự, Sản xuất / Vận hành sản xuất</t>
        </is>
      </c>
      <c r="K13692" s="10" t="inlineStr">
        <is>
          <t>3 - 5 Năm</t>
        </is>
      </c>
      <c r="L13692" s="11">
        <f>HYPERLINK("https://careerviet.vn/vi/tim-viec-lam/chuyen-vien-quan-tri-hieu-suat-kpis-dh-1000.35C6AF66.html","Xem chi tiết")</f>
        <v/>
      </c>
      <c r="M13692" s="10" t="n"/>
    </row>
    <row r="13693">
      <c r="B13693" s="7" t="n">
        <v>13691</v>
      </c>
      <c r="C13693" t="inlineStr">
        <is>
          <t>Kỹ Sư QC (Kết Cấu Thép)</t>
        </is>
      </c>
      <c r="D13693" t="inlineStr">
        <is>
          <t>CÔNG TY CỔ PHẦN XD VÀ KCT LONG VIỆT KHANG</t>
        </is>
      </c>
      <c r="E13693" t="inlineStr">
        <is>
          <t>Lương:12 Tr - 15 Tr VND</t>
        </is>
      </c>
      <c r="F13693" t="inlineStr">
        <is>
          <t>Đà Nẵng</t>
        </is>
      </c>
      <c r="G13693" t="inlineStr">
        <is>
          <t>03-04-2026</t>
        </is>
      </c>
      <c r="H13693" t="inlineStr">
        <is>
          <t>03/04/2026</t>
        </is>
      </c>
      <c r="I13693" t="inlineStr">
        <is>
          <t>17/03/2026</t>
        </is>
      </c>
      <c r="J13693" t="inlineStr">
        <is>
          <t>Xây dựng, Quản lý chất lượng (QA/QC), Cơ khí / Ô tô / Tự động hóa</t>
        </is>
      </c>
      <c r="K13693" t="inlineStr">
        <is>
          <t>1 - 2 Năm</t>
        </is>
      </c>
      <c r="L13693" s="8">
        <f>HYPERLINK("https://careerviet.vn/vi/tim-viec-lam/ky-su-qc-ket-cau-thep.35C6ABBF.html","Xem chi tiết")</f>
        <v/>
      </c>
    </row>
    <row r="13694">
      <c r="B13694" s="9" t="n">
        <v>13692</v>
      </c>
      <c r="C13694" s="10" t="inlineStr">
        <is>
          <t>Trưởng Nhóm Tuyển Sinh (Ocean Edu Bãi Cháy) - Lương Từ 18 Triệu/Đi Làm Ngay</t>
        </is>
      </c>
      <c r="D13694" s="10" t="inlineStr">
        <is>
          <t>Công Ty CP Giáo Dục Đại Dương</t>
        </is>
      </c>
      <c r="E13694" s="10" t="inlineStr">
        <is>
          <t>Lương:Cạnh tranh</t>
        </is>
      </c>
      <c r="F13694" s="10" t="inlineStr">
        <is>
          <t>Quảng Ninh</t>
        </is>
      </c>
      <c r="G13694" s="10" t="inlineStr">
        <is>
          <t>04-04-2026</t>
        </is>
      </c>
      <c r="H13694" s="10" t="inlineStr">
        <is>
          <t>04/04/2026</t>
        </is>
      </c>
      <c r="I13694" s="10" t="inlineStr">
        <is>
          <t>17/03/2026</t>
        </is>
      </c>
      <c r="J13694" s="10" t="inlineStr">
        <is>
          <t>Tư vấn, Dịch vụ khách hàng, Giáo dục / Đào tạo</t>
        </is>
      </c>
      <c r="K13694" s="10" t="inlineStr">
        <is>
          <t>1 - 2 Năm</t>
        </is>
      </c>
      <c r="L13694" s="11">
        <f>HYPERLINK("https://careerviet.vn/vi/tim-viec-lam/truong-nhom-tuyen-sinh-ocean-edu-bai-chay-luong-tu-18-trieu-di-lam-ngay.35C6AF16.html","Xem chi tiết")</f>
        <v/>
      </c>
      <c r="M13694" s="10" t="n"/>
    </row>
    <row r="13695">
      <c r="B13695" s="7" t="n">
        <v>13693</v>
      </c>
      <c r="C13695" t="inlineStr">
        <is>
          <t>Trợ lý chuyển đổi số</t>
        </is>
      </c>
      <c r="D13695" t="inlineStr">
        <is>
          <t>Công Ty Cổ Phần Tập Đoàn Đầu Tư Địa Ốc No Va</t>
        </is>
      </c>
      <c r="E13695" t="inlineStr">
        <is>
          <t>Lương:Cạnh tranh</t>
        </is>
      </c>
      <c r="F13695" t="inlineStr">
        <is>
          <t>Hồ Chí Minh</t>
        </is>
      </c>
      <c r="G13695" t="inlineStr">
        <is>
          <t>31-03-2026</t>
        </is>
      </c>
      <c r="H13695" t="inlineStr">
        <is>
          <t>31/03/2026</t>
        </is>
      </c>
      <c r="I13695" t="inlineStr">
        <is>
          <t>17/03/2026</t>
        </is>
      </c>
      <c r="J13695" t="inlineStr">
        <is>
          <t>CNTT - Phần mềm</t>
        </is>
      </c>
      <c r="K13695" t="inlineStr">
        <is>
          <t>8 - 15 Năm</t>
        </is>
      </c>
      <c r="L13695" s="8">
        <f>HYPERLINK("https://careerviet.vn/vi/tim-viec-lam/tro-ly-chuyen-doi-so.35C6B0F1.html","Xem chi tiết")</f>
        <v/>
      </c>
    </row>
    <row r="13696">
      <c r="B13696" s="9" t="n">
        <v>13694</v>
      </c>
      <c r="C13696" s="10" t="inlineStr">
        <is>
          <t>Chuyên Viên Tư Vấn Giáo Dục - Ocean Edu Quảng Yên - Thu Nhập Từ 15Triệu/Tháng - Phỏng Vấn Đi Làm Ngay</t>
        </is>
      </c>
      <c r="D13696" s="10" t="inlineStr">
        <is>
          <t>Công Ty CP Giáo Dục Đại Dương</t>
        </is>
      </c>
      <c r="E13696" s="10" t="inlineStr">
        <is>
          <t>Lương:Cạnh tranh</t>
        </is>
      </c>
      <c r="F13696" s="10" t="inlineStr">
        <is>
          <t>Quảng Ninh</t>
        </is>
      </c>
      <c r="G13696" s="10" t="inlineStr">
        <is>
          <t>04-04-2026</t>
        </is>
      </c>
      <c r="H13696" s="10" t="inlineStr">
        <is>
          <t>04/04/2026</t>
        </is>
      </c>
      <c r="I13696" s="10" t="inlineStr">
        <is>
          <t>17/03/2026</t>
        </is>
      </c>
      <c r="J13696" s="10" t="inlineStr">
        <is>
          <t>Dịch vụ khách hàng, Giáo dục / Đào tạo, Bán hàng / Kinh doanh</t>
        </is>
      </c>
      <c r="K13696" s="10" t="inlineStr">
        <is>
          <t>Chưa có kinh nghiệm</t>
        </is>
      </c>
      <c r="L13696" s="11">
        <f>HYPERLINK("https://careerviet.vn/vi/tim-viec-lam/chuyen-vien-tu-van-giao-duc-ocean-edu-quang-yen-thu-nhap-tu-15trieu-thang-phong-van-di-lam-ngay.35C6B12A.html","Xem chi tiết")</f>
        <v/>
      </c>
      <c r="M13696" s="10" t="n"/>
    </row>
    <row r="13697">
      <c r="B13697" s="7" t="n">
        <v>13695</v>
      </c>
      <c r="C13697" t="inlineStr">
        <is>
          <t>Chuyên Viên Tư Vấn Giáo Dục - Ocean Edu Nam Sách - Thu Nhập Từ 15Triệu/Tháng - Phỏng Vấn Đi Làm Ngay</t>
        </is>
      </c>
      <c r="D13697" t="inlineStr">
        <is>
          <t>Công Ty CP Giáo Dục Đại Dương</t>
        </is>
      </c>
      <c r="E13697" t="inlineStr">
        <is>
          <t>Lương:Cạnh tranh</t>
        </is>
      </c>
      <c r="F13697" t="inlineStr">
        <is>
          <t>Hải Dương</t>
        </is>
      </c>
      <c r="G13697" t="inlineStr">
        <is>
          <t>04-04-2026</t>
        </is>
      </c>
      <c r="H13697" t="inlineStr">
        <is>
          <t>04/04/2026</t>
        </is>
      </c>
      <c r="I13697" t="inlineStr">
        <is>
          <t>17/03/2026</t>
        </is>
      </c>
      <c r="J13697" t="inlineStr">
        <is>
          <t>Dịch vụ khách hàng, Giáo dục / Đào tạo, Bán hàng / Kinh doanh</t>
        </is>
      </c>
      <c r="K13697" t="inlineStr">
        <is>
          <t>Chưa có kinh nghiệm</t>
        </is>
      </c>
      <c r="L13697" s="8">
        <f>HYPERLINK("https://careerviet.vn/vi/tim-viec-lam/chuyen-vien-tu-van-giao-duc-ocean-edu-nam-sach-thu-nhap-tu-15trieu-thang-phong-van-di-lam-ngay.35C6B05D.html","Xem chi tiết")</f>
        <v/>
      </c>
    </row>
    <row r="13698">
      <c r="B13698" s="9" t="n">
        <v>13696</v>
      </c>
      <c r="C13698" s="10" t="inlineStr">
        <is>
          <t>Trưởng nhóm  Maketing( Ngành F&amp;B)</t>
        </is>
      </c>
      <c r="D13698" s="10" t="inlineStr">
        <is>
          <t>CÔNG TY TNHH 4GS TEXAS REALTY</t>
        </is>
      </c>
      <c r="E13698" s="10" t="inlineStr">
        <is>
          <t>Lương:18 Tr - 21 Tr VND</t>
        </is>
      </c>
      <c r="F13698" s="10" t="inlineStr">
        <is>
          <t>Hồ Chí Minh</t>
        </is>
      </c>
      <c r="G13698" s="10" t="inlineStr">
        <is>
          <t>31-03-2026</t>
        </is>
      </c>
      <c r="H13698" s="10" t="inlineStr">
        <is>
          <t>31/03/2026</t>
        </is>
      </c>
      <c r="I13698" s="10" t="inlineStr">
        <is>
          <t>17/03/2026</t>
        </is>
      </c>
      <c r="J13698" s="10" t="inlineStr">
        <is>
          <t>Bán lẻ / Bán sỉ, Bán hàng / Kinh doanh, Tiếp thị trực tuyến</t>
        </is>
      </c>
      <c r="K13698" s="10" t="inlineStr">
        <is>
          <t>2 - 4 Năm</t>
        </is>
      </c>
      <c r="L13698" s="11">
        <f>HYPERLINK("https://careerviet.vn/vi/tim-viec-lam/truong-nhom-maketing-nganh-f-b.35C6B1C0.html","Xem chi tiết")</f>
        <v/>
      </c>
      <c r="M13698" s="10" t="n"/>
    </row>
    <row r="13699">
      <c r="B13699" s="7" t="n">
        <v>13697</v>
      </c>
      <c r="C13699" t="inlineStr">
        <is>
          <t>Trưởng Phòng Theo Dõi Tiến Độ Dự Án</t>
        </is>
      </c>
      <c r="D13699" t="inlineStr">
        <is>
          <t>Công Ty Cổ Phần Tập Đoàn Đầu Tư Địa Ốc No Va</t>
        </is>
      </c>
      <c r="E13699" t="inlineStr">
        <is>
          <t>Lương:Cạnh tranh</t>
        </is>
      </c>
      <c r="F13699" t="inlineStr">
        <is>
          <t>Hồ Chí Minh</t>
        </is>
      </c>
      <c r="G13699" t="inlineStr">
        <is>
          <t>11-03-2026</t>
        </is>
      </c>
      <c r="H13699" t="inlineStr">
        <is>
          <t>27/02/2026</t>
        </is>
      </c>
      <c r="I13699" t="inlineStr">
        <is>
          <t>17/03/2026</t>
        </is>
      </c>
      <c r="J13699" t="inlineStr">
        <is>
          <t>Xây dựng</t>
        </is>
      </c>
      <c r="K13699" t="inlineStr">
        <is>
          <t>10 - 20 Năm</t>
        </is>
      </c>
      <c r="L13699" s="8">
        <f>HYPERLINK("https://careerviet.vn/vi/tim-viec-lam/truong-phong-theo-doi-tien-do-du-an.35C65A49.html","Xem chi tiết")</f>
        <v/>
      </c>
    </row>
    <row r="13700">
      <c r="B13700" s="9" t="n">
        <v>13698</v>
      </c>
      <c r="C13700" s="10" t="inlineStr">
        <is>
          <t>Senior Brand Manager/ Group Brand Manager (Beauty/ Cosmetic)</t>
        </is>
      </c>
      <c r="D13700" s="10" t="inlineStr">
        <is>
          <t>Công Ty TNHH Thương Mại Dịch Vụ Xuất Nhập Khẩu The Vigo</t>
        </is>
      </c>
      <c r="E13700" s="10" t="inlineStr">
        <is>
          <t>Lương:40 Tr - 60 Tr VND</t>
        </is>
      </c>
      <c r="F13700" s="10" t="inlineStr">
        <is>
          <t>Hồ Chí Minh</t>
        </is>
      </c>
      <c r="G13700" s="10" t="inlineStr">
        <is>
          <t>31-03-2026</t>
        </is>
      </c>
      <c r="H13700" s="10" t="inlineStr">
        <is>
          <t>31/03/2026</t>
        </is>
      </c>
      <c r="I13700" s="10" t="inlineStr">
        <is>
          <t>17/03/2026</t>
        </is>
      </c>
      <c r="J13700" s="10" t="inlineStr">
        <is>
          <t>Y tế / Chăm sóc sức khỏe / Thẩm mỹ / Làm đẹp, Dược phẩm/ Hóa Mỹ Phẩm, Tiếp thị / Marketing</t>
        </is>
      </c>
      <c r="K13700" s="10" t="inlineStr">
        <is>
          <t>3 - 5 Năm</t>
        </is>
      </c>
      <c r="L13700" s="11">
        <f>HYPERLINK("https://careerviet.vn/vi/tim-viec-lam/senior-brand-manager-group-brand-manager-beauty-cosmetic.35C69C0F.html","Xem chi tiết")</f>
        <v/>
      </c>
      <c r="M13700" s="10" t="n"/>
    </row>
    <row r="13701">
      <c r="B13701" s="7" t="n">
        <v>13699</v>
      </c>
      <c r="C13701" t="inlineStr">
        <is>
          <t>Quản lý chuyên môn Tiếng Anh [Long Khánh - Đồng Nai]</t>
        </is>
      </c>
      <c r="D13701" t="inlineStr">
        <is>
          <t>Công Ty CP Liên Kết Quốc Tế INTERLINK (Trường Liên Kết Quốc Tế INschool &amp; Ngoại Ngữ Quốc Tế INS ENGLISH &amp; CHINESE)</t>
        </is>
      </c>
      <c r="E13701" t="inlineStr">
        <is>
          <t>Lương:13 Tr - 16 Tr VND</t>
        </is>
      </c>
      <c r="F13701" t="inlineStr">
        <is>
          <t>Đồng Nai</t>
        </is>
      </c>
      <c r="G13701" t="inlineStr">
        <is>
          <t>26-03-2026</t>
        </is>
      </c>
      <c r="H13701" t="inlineStr">
        <is>
          <t>26/03/2026</t>
        </is>
      </c>
      <c r="I13701" t="inlineStr">
        <is>
          <t>17/03/2026</t>
        </is>
      </c>
      <c r="J13701" t="inlineStr">
        <is>
          <t>Giáo dục / Đào tạo, Biên phiên dịch</t>
        </is>
      </c>
      <c r="K13701" t="inlineStr">
        <is>
          <t>1 - 2 Năm</t>
        </is>
      </c>
      <c r="L13701" s="8">
        <f>HYPERLINK("https://careerviet.vn/vi/tim-viec-lam/quan-ly-chuyen-mon-tieng-anh-long-khanh-dong-nai.35C6B141.html","Xem chi tiết")</f>
        <v/>
      </c>
    </row>
    <row r="13702">
      <c r="B13702" s="9" t="n">
        <v>13700</v>
      </c>
      <c r="C13702" s="10" t="inlineStr">
        <is>
          <t>Chuyên Viên Tư Vấn Giáo Dục - Ocean Edu Gia Lộc - Thu Nhập Từ 15Triệu/Tháng - Phỏng Vấn Đi Làm Ngay</t>
        </is>
      </c>
      <c r="D13702" s="10" t="inlineStr">
        <is>
          <t>Công Ty CP Giáo Dục Đại Dương</t>
        </is>
      </c>
      <c r="E13702" s="10" t="inlineStr">
        <is>
          <t>Lương:Cạnh tranh</t>
        </is>
      </c>
      <c r="F13702" s="10" t="inlineStr">
        <is>
          <t>Hải Dương</t>
        </is>
      </c>
      <c r="G13702" s="10" t="inlineStr">
        <is>
          <t>04-04-2026</t>
        </is>
      </c>
      <c r="H13702" s="10" t="inlineStr">
        <is>
          <t>04/04/2026</t>
        </is>
      </c>
      <c r="I13702" s="10" t="inlineStr">
        <is>
          <t>17/03/2026</t>
        </is>
      </c>
      <c r="J13702" s="10" t="inlineStr">
        <is>
          <t>Dịch vụ khách hàng, Giáo dục / Đào tạo, Bán hàng / Kinh doanh</t>
        </is>
      </c>
      <c r="K13702" s="10" t="inlineStr">
        <is>
          <t>Chưa có kinh nghiệm</t>
        </is>
      </c>
      <c r="L13702" s="11">
        <f>HYPERLINK("https://careerviet.vn/vi/tim-viec-lam/chuyen-vien-tu-van-giao-duc-ocean-edu-gia-loc-thu-nhap-tu-15trieu-thang-phong-van-di-lam-ngay.35C6B05E.html","Xem chi tiết")</f>
        <v/>
      </c>
      <c r="M13702" s="10" t="n"/>
    </row>
    <row r="13703">
      <c r="B13703" s="7" t="n">
        <v>13701</v>
      </c>
      <c r="C13703" t="inlineStr">
        <is>
          <t>Nhân Viên QA - QC tiếng Nhật</t>
        </is>
      </c>
      <c r="D13703" t="inlineStr">
        <is>
          <t>Cty TNHH Gunze Plastics &amp; Engineering Việt Nam</t>
        </is>
      </c>
      <c r="E13703" t="inlineStr">
        <is>
          <t>Lương:Trên 20 Tr VND</t>
        </is>
      </c>
      <c r="F13703" t="inlineStr">
        <is>
          <t>Bình Dương</t>
        </is>
      </c>
      <c r="G13703" t="inlineStr">
        <is>
          <t>04-04-2026</t>
        </is>
      </c>
      <c r="H13703" t="inlineStr">
        <is>
          <t>04/04/2026</t>
        </is>
      </c>
      <c r="I13703" t="inlineStr">
        <is>
          <t>17/03/2026</t>
        </is>
      </c>
      <c r="J13703" t="inlineStr">
        <is>
          <t>Sản xuất / Vận hành sản xuất, Quản lý chất lượng (QA/QC), Hóa học</t>
        </is>
      </c>
      <c r="K13703" t="inlineStr">
        <is>
          <t>3 - 5 Năm</t>
        </is>
      </c>
      <c r="L13703" s="8">
        <f>HYPERLINK("https://careerviet.vn/vi/tim-viec-lam/nhan-vien-qa-qc-tieng-nhat.35C6B260.html","Xem chi tiết")</f>
        <v/>
      </c>
    </row>
    <row r="13704">
      <c r="B13704" s="9" t="n">
        <v>13702</v>
      </c>
      <c r="C13704" s="10" t="inlineStr">
        <is>
          <t>Chuyên viên mua hàng Quốc tế</t>
        </is>
      </c>
      <c r="D13704" s="10" t="inlineStr">
        <is>
          <t>Công Ty Cổ Phần Xuất Nhập Khẩu Thương Mại Đài Linh</t>
        </is>
      </c>
      <c r="E13704" s="10" t="inlineStr">
        <is>
          <t>Lương:15 Tr - 17 Tr VND</t>
        </is>
      </c>
      <c r="F13704" s="10" t="inlineStr">
        <is>
          <t>Hà Nội</t>
        </is>
      </c>
      <c r="G13704" s="10" t="inlineStr">
        <is>
          <t>31-03-2026</t>
        </is>
      </c>
      <c r="H13704" s="10" t="inlineStr">
        <is>
          <t>31/03/2026</t>
        </is>
      </c>
      <c r="I13704" s="10" t="inlineStr">
        <is>
          <t>17/03/2026</t>
        </is>
      </c>
      <c r="J13704" s="10" t="inlineStr">
        <is>
          <t>Dược phẩm/ Hóa Mỹ Phẩm, Bán hàng / Kinh doanh</t>
        </is>
      </c>
      <c r="K13704" s="10" t="inlineStr">
        <is>
          <t>3 - 5 Năm</t>
        </is>
      </c>
      <c r="L13704" s="11">
        <f>HYPERLINK("https://careerviet.vn/vi/tim-viec-lam/chuyen-vien-mua-hang-quoc-te.35C6B156.html","Xem chi tiết")</f>
        <v/>
      </c>
      <c r="M13704" s="10" t="n"/>
    </row>
    <row r="13705">
      <c r="B13705" s="7" t="n">
        <v>13703</v>
      </c>
      <c r="C13705" t="inlineStr">
        <is>
          <t>Quản lý Ngành hàng</t>
        </is>
      </c>
      <c r="D13705" t="inlineStr">
        <is>
          <t>CÔNG TY CỔ PHẦN THẾ GIỚI NỘI THẤT PHÚ THỊNH</t>
        </is>
      </c>
      <c r="E13705" t="inlineStr">
        <is>
          <t>Lương:Cạnh tranh</t>
        </is>
      </c>
      <c r="F13705" t="inlineStr">
        <is>
          <t>Hồ Chí MinhBà Rịa - Vũng Tàu</t>
        </is>
      </c>
      <c r="G13705" t="inlineStr">
        <is>
          <t>14-04-2026</t>
        </is>
      </c>
      <c r="H13705" t="inlineStr">
        <is>
          <t>14/04/2026</t>
        </is>
      </c>
      <c r="I13705" t="inlineStr">
        <is>
          <t>17/03/2026</t>
        </is>
      </c>
      <c r="J13705" t="inlineStr">
        <is>
          <t>Tiếp thị / Marketing, Thống kê, Xây dựng</t>
        </is>
      </c>
      <c r="K13705" t="inlineStr">
        <is>
          <t>Trên 2 Năm</t>
        </is>
      </c>
      <c r="L13705" s="8">
        <f>HYPERLINK("https://careerviet.vn/vi/tim-viec-lam/quan-ly-nganh-hang.35C6AE52.html","Xem chi tiết")</f>
        <v/>
      </c>
    </row>
    <row r="13706">
      <c r="B13706" s="9" t="n">
        <v>13704</v>
      </c>
      <c r="C13706" s="10" t="inlineStr">
        <is>
          <t>CVCC Theo Dõi Tiến Độ Dự Án</t>
        </is>
      </c>
      <c r="D13706" s="10" t="inlineStr">
        <is>
          <t>Công Ty Cổ Phần Tập Đoàn Đầu Tư Địa Ốc No Va</t>
        </is>
      </c>
      <c r="E13706" s="10" t="inlineStr">
        <is>
          <t>Lương:Cạnh tranh</t>
        </is>
      </c>
      <c r="F13706" s="10" t="inlineStr">
        <is>
          <t>Hồ Chí Minh</t>
        </is>
      </c>
      <c r="G13706" s="10" t="inlineStr">
        <is>
          <t>20-04-2026</t>
        </is>
      </c>
      <c r="H13706" s="10" t="inlineStr">
        <is>
          <t>20/04/2026</t>
        </is>
      </c>
      <c r="I13706" s="10" t="inlineStr">
        <is>
          <t>17/03/2026</t>
        </is>
      </c>
      <c r="J13706" s="10" t="inlineStr">
        <is>
          <t>Xây dựng</t>
        </is>
      </c>
      <c r="K13706" s="10" t="inlineStr">
        <is>
          <t>5 - 15 Năm</t>
        </is>
      </c>
      <c r="L13706" s="11">
        <f>HYPERLINK("https://careerviet.vn/vi/tim-viec-lam/cvcc-theo-doi-tien-do-du-an.35C6B0F5.html","Xem chi tiết")</f>
        <v/>
      </c>
      <c r="M13706" s="10" t="n"/>
    </row>
    <row r="13707">
      <c r="B13707" s="7" t="n">
        <v>13705</v>
      </c>
      <c r="C13707" t="inlineStr">
        <is>
          <t>Kế Toán Nội Bộ Xưởng</t>
        </is>
      </c>
      <c r="D13707" t="inlineStr">
        <is>
          <t>CÔNG TY TNHH ĐẦU TƯ THƯƠNG MẠI VÀ SẢN XUẤT CHÍNH PHÁT</t>
        </is>
      </c>
      <c r="E13707" t="inlineStr">
        <is>
          <t>Lương:9 Tr - 11 Tr VND</t>
        </is>
      </c>
      <c r="F13707" t="inlineStr">
        <is>
          <t>Hồ Chí Minh</t>
        </is>
      </c>
      <c r="G13707" t="inlineStr">
        <is>
          <t>06-04-2026</t>
        </is>
      </c>
      <c r="H13707" t="inlineStr">
        <is>
          <t>06/04/2026</t>
        </is>
      </c>
      <c r="I13707" t="inlineStr">
        <is>
          <t>17/03/2026</t>
        </is>
      </c>
      <c r="J13707" t="inlineStr">
        <is>
          <t>Kế toán / Kiểm toán, Sản xuất / Vận hành sản xuất, Vận chuyển / Giao nhận / Kho vận</t>
        </is>
      </c>
      <c r="K13707" t="inlineStr">
        <is>
          <t>1 - 2 Năm</t>
        </is>
      </c>
      <c r="L13707" s="8">
        <f>HYPERLINK("https://careerviet.vn/vi/tim-viec-lam/ke-toan-noi-bo-xuong.35C6B012.html","Xem chi tiết")</f>
        <v/>
      </c>
    </row>
    <row r="13708">
      <c r="B13708" s="9" t="n">
        <v>13706</v>
      </c>
      <c r="C13708" s="10" t="inlineStr">
        <is>
          <t>Nhân viên sản xuất - Nhà máy Bình Dương</t>
        </is>
      </c>
      <c r="D13708" s="10" t="inlineStr">
        <is>
          <t>Cty TNHH Yakult Việt Nam</t>
        </is>
      </c>
      <c r="E13708" s="10" t="inlineStr">
        <is>
          <t>Lương:10 Tr - 12 Tr VND</t>
        </is>
      </c>
      <c r="F13708" s="10" t="inlineStr">
        <is>
          <t>Bình Dương</t>
        </is>
      </c>
      <c r="G13708" s="10" t="inlineStr">
        <is>
          <t>30-04-2026</t>
        </is>
      </c>
      <c r="H13708" s="10" t="inlineStr">
        <is>
          <t>30/04/2026</t>
        </is>
      </c>
      <c r="I13708" s="10" t="inlineStr">
        <is>
          <t>17/03/2026</t>
        </is>
      </c>
      <c r="J13708" s="10" t="inlineStr">
        <is>
          <t>Công nghệ sinh học, Hóa học, Điện / Điện tử / Điện lạnh / Điện công nghiệp</t>
        </is>
      </c>
      <c r="K13708" s="10" t="inlineStr">
        <is>
          <t>Lên đến 1 Năm</t>
        </is>
      </c>
      <c r="L13708" s="11">
        <f>HYPERLINK("https://careerviet.vn/vi/tim-viec-lam/nhan-vien-san-xuat-nha-may-binh-duong.35C6B03C.html","Xem chi tiết")</f>
        <v/>
      </c>
      <c r="M13708" s="10" t="n"/>
    </row>
    <row r="13709">
      <c r="B13709" s="7" t="n">
        <v>13707</v>
      </c>
      <c r="C13709" t="inlineStr">
        <is>
          <t>Chuyên Viên R&amp;D</t>
        </is>
      </c>
      <c r="D13709" t="inlineStr">
        <is>
          <t>Công Ty Cổ Phần Đầu Tư Xây Dựng Bcons</t>
        </is>
      </c>
      <c r="E13709" t="inlineStr">
        <is>
          <t>Lương:Cạnh tranh</t>
        </is>
      </c>
      <c r="F13709" t="inlineStr">
        <is>
          <t>Hồ Chí Minh</t>
        </is>
      </c>
      <c r="G13709" t="inlineStr">
        <is>
          <t>03-04-2026</t>
        </is>
      </c>
      <c r="H13709" t="inlineStr">
        <is>
          <t>03/04/2026</t>
        </is>
      </c>
      <c r="I13709" t="inlineStr">
        <is>
          <t>17/03/2026</t>
        </is>
      </c>
      <c r="J13709" t="inlineStr">
        <is>
          <t>Thực phẩm &amp; Đồ uống, Công nghệ thực phẩm / Dinh dưỡng</t>
        </is>
      </c>
      <c r="K13709" t="inlineStr">
        <is>
          <t>2 - 3 Năm</t>
        </is>
      </c>
      <c r="L13709" s="8">
        <f>HYPERLINK("https://careerviet.vn/vi/tim-viec-lam/chuyen-vien-r-d.35C6AC66.html","Xem chi tiết")</f>
        <v/>
      </c>
    </row>
    <row r="13710">
      <c r="B13710" s="9" t="n">
        <v>13708</v>
      </c>
      <c r="C13710" s="10" t="inlineStr">
        <is>
          <t>Kiến Trúc Sư Công Trình Công nghiệp (Không yêu cầu kinh nghiệm)</t>
        </is>
      </c>
      <c r="D13710" s="10" t="inlineStr">
        <is>
          <t>Công ty TNHH Cơ Điện Lạnh EEP Việt Nam</t>
        </is>
      </c>
      <c r="E13710" s="10" t="inlineStr">
        <is>
          <t>Lương:12 Tr - 18 Tr VND</t>
        </is>
      </c>
      <c r="F13710" s="10" t="inlineStr">
        <is>
          <t>Hà Nội</t>
        </is>
      </c>
      <c r="G13710" s="10" t="inlineStr">
        <is>
          <t>31-03-2026</t>
        </is>
      </c>
      <c r="H13710" s="10" t="inlineStr">
        <is>
          <t>31/03/2026</t>
        </is>
      </c>
      <c r="I13710" s="10" t="inlineStr">
        <is>
          <t>17/03/2026</t>
        </is>
      </c>
      <c r="J13710" s="10" t="inlineStr">
        <is>
          <t>Kiến trúc, Xây dựng, Điện / Điện tử / Điện lạnh / Điện công nghiệp</t>
        </is>
      </c>
      <c r="K13710" s="10" t="inlineStr">
        <is>
          <t>N/A</t>
        </is>
      </c>
      <c r="L13710" s="11">
        <f>HYPERLINK("https://careerviet.vn/vi/tim-viec-lam/kien-truc-su-cong-trinh-cong-nghiep-khong-yeu-cau-kinh-nghiem.35C6B275.html","Xem chi tiết")</f>
        <v/>
      </c>
      <c r="M13710" s="10" t="n"/>
    </row>
    <row r="13711">
      <c r="B13711" s="7" t="n">
        <v>13709</v>
      </c>
      <c r="C13711" t="inlineStr">
        <is>
          <t>Cán Bộ Kỹ Thuật - Giám Sát Công Trình</t>
        </is>
      </c>
      <c r="D13711" t="inlineStr">
        <is>
          <t>Công ty CP Thương Mại Việt Hồng</t>
        </is>
      </c>
      <c r="E13711" t="inlineStr">
        <is>
          <t>Lương:15 Tr - 20 Tr VND</t>
        </is>
      </c>
      <c r="F13711" t="inlineStr">
        <is>
          <t>Hà Nội</t>
        </is>
      </c>
      <c r="G13711" t="inlineStr">
        <is>
          <t>04-04-2026</t>
        </is>
      </c>
      <c r="H13711" t="inlineStr">
        <is>
          <t>04/04/2026</t>
        </is>
      </c>
      <c r="I13711" t="inlineStr">
        <is>
          <t>17/03/2026</t>
        </is>
      </c>
      <c r="J13711" t="inlineStr">
        <is>
          <t>Xây dựng, Cơ khí / Ô tô / Tự động hóa</t>
        </is>
      </c>
      <c r="K13711" t="inlineStr">
        <is>
          <t>N/A</t>
        </is>
      </c>
      <c r="L13711" s="8">
        <f>HYPERLINK("https://careerviet.vn/vi/tim-viec-lam/can-bo-ky-thuat-giam-sat-cong-trinh.35C6B112.html","Xem chi tiết")</f>
        <v/>
      </c>
    </row>
    <row r="13712">
      <c r="B13712" s="9" t="n">
        <v>13710</v>
      </c>
      <c r="C13712" s="10" t="inlineStr">
        <is>
          <t>Chuyên Viên Tư Vấn Giáo Dục - Ocean Edu Thanh Hà - Thu Nhập Từ 15Triệu/Tháng - Phỏng Vấn Đi Làm Ngay</t>
        </is>
      </c>
      <c r="D13712" s="10" t="inlineStr">
        <is>
          <t>Công Ty CP Giáo Dục Đại Dương</t>
        </is>
      </c>
      <c r="E13712" s="10" t="inlineStr">
        <is>
          <t>Lương:Cạnh tranh</t>
        </is>
      </c>
      <c r="F13712" s="10" t="inlineStr">
        <is>
          <t>Hải Dương</t>
        </is>
      </c>
      <c r="G13712" s="10" t="inlineStr">
        <is>
          <t>04-04-2026</t>
        </is>
      </c>
      <c r="H13712" s="10" t="inlineStr">
        <is>
          <t>04/04/2026</t>
        </is>
      </c>
      <c r="I13712" s="10" t="inlineStr">
        <is>
          <t>17/03/2026</t>
        </is>
      </c>
      <c r="J13712" s="10" t="inlineStr">
        <is>
          <t>Dịch vụ khách hàng, Giáo dục / Đào tạo, Bán hàng / Kinh doanh</t>
        </is>
      </c>
      <c r="K13712" s="10" t="inlineStr">
        <is>
          <t>Chưa có kinh nghiệm</t>
        </is>
      </c>
      <c r="L13712" s="11">
        <f>HYPERLINK("https://careerviet.vn/vi/tim-viec-lam/chuyen-vien-tu-van-giao-duc-ocean-edu-thanh-ha-thu-nhap-tu-15trieu-thang-phong-van-di-lam-ngay.35C6B069.html","Xem chi tiết")</f>
        <v/>
      </c>
      <c r="M13712" s="10" t="n"/>
    </row>
    <row r="13713">
      <c r="B13713" s="7" t="n">
        <v>13711</v>
      </c>
      <c r="C13713" t="inlineStr">
        <is>
          <t>Kỹ sư thiết kế PCCC-HVAC (Không yêu cầu kinh nghiệm)</t>
        </is>
      </c>
      <c r="D13713" t="inlineStr">
        <is>
          <t>Công ty TNHH Cơ Điện Lạnh EEP Việt Nam</t>
        </is>
      </c>
      <c r="E13713" t="inlineStr">
        <is>
          <t>Lương:10 Tr - 15 Tr VND</t>
        </is>
      </c>
      <c r="F13713" t="inlineStr">
        <is>
          <t>Hà Nội</t>
        </is>
      </c>
      <c r="G13713" t="inlineStr">
        <is>
          <t>31-03-2026</t>
        </is>
      </c>
      <c r="H13713" t="inlineStr">
        <is>
          <t>31/03/2026</t>
        </is>
      </c>
      <c r="I13713" t="inlineStr">
        <is>
          <t>17/03/2026</t>
        </is>
      </c>
      <c r="J13713" t="inlineStr">
        <is>
          <t>Cơ khí / Ô tô / Tự động hóa, Điện / Điện tử / Điện lạnh / Điện công nghiệp, Xây dựng</t>
        </is>
      </c>
      <c r="K13713" t="inlineStr">
        <is>
          <t>N/A</t>
        </is>
      </c>
      <c r="L13713" s="8">
        <f>HYPERLINK("https://careerviet.vn/vi/tim-viec-lam/ky-su-thiet-ke-pccc-hvac-khong-yeu-cau-kinh-nghiem.35C6B10D.html","Xem chi tiết")</f>
        <v/>
      </c>
    </row>
    <row r="13714">
      <c r="B13714" s="9" t="n">
        <v>13712</v>
      </c>
      <c r="C13714" s="10" t="inlineStr">
        <is>
          <t>Trưởng Nhóm Tuyển Sinh (Ocean Edu Phổ Yên 2)</t>
        </is>
      </c>
      <c r="D13714" s="10" t="inlineStr">
        <is>
          <t>Công Ty CP Giáo Dục Đại Dương</t>
        </is>
      </c>
      <c r="E13714" s="10" t="inlineStr">
        <is>
          <t>Lương:Cạnh tranh</t>
        </is>
      </c>
      <c r="F13714" s="10" t="inlineStr">
        <is>
          <t>Thái Nguyên</t>
        </is>
      </c>
      <c r="G13714" s="10" t="inlineStr">
        <is>
          <t>04-04-2026</t>
        </is>
      </c>
      <c r="H13714" s="10" t="inlineStr">
        <is>
          <t>04/04/2026</t>
        </is>
      </c>
      <c r="I13714" s="10" t="inlineStr">
        <is>
          <t>17/03/2026</t>
        </is>
      </c>
      <c r="J13714" s="10" t="inlineStr">
        <is>
          <t>Tư vấn, Dịch vụ khách hàng, Giáo dục / Đào tạo</t>
        </is>
      </c>
      <c r="K13714" s="10" t="inlineStr">
        <is>
          <t>1 - 2 Năm</t>
        </is>
      </c>
      <c r="L13714" s="11">
        <f>HYPERLINK("https://careerviet.vn/vi/tim-viec-lam/truong-nhom-tuyen-sinh-ocean-edu-pho-yen-2.35C6AFA8.html","Xem chi tiết")</f>
        <v/>
      </c>
      <c r="M13714" s="10" t="n"/>
    </row>
    <row r="13715">
      <c r="B13715" s="7" t="n">
        <v>13713</v>
      </c>
      <c r="C13715" t="inlineStr">
        <is>
          <t>Chuyên Viên Tư Vấn Giáo Dục - Ocean Edu Hải An - Thu Nhập Từ 15Triệu/Tháng - Phỏng Vấn Đi Làm Ngay</t>
        </is>
      </c>
      <c r="D13715" t="inlineStr">
        <is>
          <t>Công Ty CP Giáo Dục Đại Dương</t>
        </is>
      </c>
      <c r="E13715" t="inlineStr">
        <is>
          <t>Lương:Cạnh tranh</t>
        </is>
      </c>
      <c r="F13715" t="inlineStr">
        <is>
          <t>Hải Phòng</t>
        </is>
      </c>
      <c r="G13715" t="inlineStr">
        <is>
          <t>04-04-2026</t>
        </is>
      </c>
      <c r="H13715" t="inlineStr">
        <is>
          <t>04/04/2026</t>
        </is>
      </c>
      <c r="I13715" t="inlineStr">
        <is>
          <t>17/03/2026</t>
        </is>
      </c>
      <c r="J13715" t="inlineStr">
        <is>
          <t>Dịch vụ khách hàng, Giáo dục / Đào tạo, Bán hàng / Kinh doanh</t>
        </is>
      </c>
      <c r="K13715" t="inlineStr">
        <is>
          <t>Chưa có kinh nghiệm</t>
        </is>
      </c>
      <c r="L13715" s="8">
        <f>HYPERLINK("https://careerviet.vn/vi/tim-viec-lam/chuyen-vien-tu-van-giao-duc-ocean-edu-hai-an-thu-nhap-tu-15trieu-thang-phong-van-di-lam-ngay.35C6B123.html","Xem chi tiết")</f>
        <v/>
      </c>
    </row>
    <row r="13716">
      <c r="B13716" s="9" t="n">
        <v>13714</v>
      </c>
      <c r="C13716" s="10" t="inlineStr">
        <is>
          <t>Chuyên viên kiểm soát tuân thủ</t>
        </is>
      </c>
      <c r="D13716" s="10" t="inlineStr">
        <is>
          <t>CÔNG TY CỔ PHẦN CÔNG NGHỆ SOTATEK VIỆT NAM</t>
        </is>
      </c>
      <c r="E13716" s="10" t="inlineStr">
        <is>
          <t>Lương:Cạnh tranh</t>
        </is>
      </c>
      <c r="F13716" s="10" t="inlineStr">
        <is>
          <t>Hải Dương</t>
        </is>
      </c>
      <c r="G13716" s="10" t="inlineStr">
        <is>
          <t>31-03-2026</t>
        </is>
      </c>
      <c r="H13716" s="10" t="inlineStr">
        <is>
          <t>31/03/2026</t>
        </is>
      </c>
      <c r="I13716" s="10" t="inlineStr">
        <is>
          <t>17/03/2026</t>
        </is>
      </c>
      <c r="J13716" s="10" t="inlineStr">
        <is>
          <t>An toàn lao động</t>
        </is>
      </c>
      <c r="K13716" s="10" t="inlineStr">
        <is>
          <t>Chưa có kinh nghiệm</t>
        </is>
      </c>
      <c r="L13716" s="11">
        <f>HYPERLINK("https://careerviet.vn/vi/tim-viec-lam/chuyen-vien-kiem-soat-tuan-thu.35C6AF63.html","Xem chi tiết")</f>
        <v/>
      </c>
      <c r="M13716" s="10" t="n"/>
    </row>
    <row r="13717">
      <c r="B13717" s="7" t="n">
        <v>13715</v>
      </c>
      <c r="C13717" t="inlineStr">
        <is>
          <t>[HCM] Sales Representative/ Đại Diện Bán Hàng Kênh GT (FMCG)</t>
        </is>
      </c>
      <c r="D13717" t="inlineStr">
        <is>
          <t>Công Ty Cổ Phần Diana Unicharm</t>
        </is>
      </c>
      <c r="E13717" t="inlineStr">
        <is>
          <t>Lương:Cạnh tranh</t>
        </is>
      </c>
      <c r="F13717" t="inlineStr">
        <is>
          <t>Hồ Chí Minh</t>
        </is>
      </c>
      <c r="G13717" t="inlineStr">
        <is>
          <t>31-03-2026</t>
        </is>
      </c>
      <c r="H13717" t="inlineStr">
        <is>
          <t>31/03/2026</t>
        </is>
      </c>
      <c r="I13717" t="inlineStr">
        <is>
          <t>17/03/2026</t>
        </is>
      </c>
      <c r="J13717" t="inlineStr">
        <is>
          <t>Tiếp thị / Marketing, Bán lẻ / Bán sỉ, Bán hàng / Kinh doanh</t>
        </is>
      </c>
      <c r="K13717" t="inlineStr">
        <is>
          <t>1 - 2 Năm</t>
        </is>
      </c>
      <c r="L13717" s="8">
        <f>HYPERLINK("https://careerviet.vn/vi/tim-viec-lam/hcm-sales-representative-dai-dien-ban-hang-kenh-gt-fmcg.35C6AFDF.html","Xem chi tiết")</f>
        <v/>
      </c>
    </row>
    <row r="13718">
      <c r="B13718" s="9" t="n">
        <v>13716</v>
      </c>
      <c r="C13718" s="10" t="inlineStr">
        <is>
          <t>Nhân Viên Telesale</t>
        </is>
      </c>
      <c r="D13718" s="10" t="inlineStr">
        <is>
          <t>Công ty CP Dược Phẩm Thái Minh</t>
        </is>
      </c>
      <c r="E13718" s="10" t="inlineStr">
        <is>
          <t>Lương:10 Tr - 30 Tr VND</t>
        </is>
      </c>
      <c r="F13718" s="10" t="inlineStr">
        <is>
          <t>Hà Nội</t>
        </is>
      </c>
      <c r="G13718" s="10" t="inlineStr">
        <is>
          <t>30-03-2026</t>
        </is>
      </c>
      <c r="H13718" s="10" t="inlineStr">
        <is>
          <t>30/03/2026</t>
        </is>
      </c>
      <c r="I13718" s="10" t="inlineStr">
        <is>
          <t>17/03/2026</t>
        </is>
      </c>
      <c r="J13718" s="10" t="inlineStr">
        <is>
          <t>Tiếp thị / Marketing, Bán hàng / Kinh doanh, Tư vấn</t>
        </is>
      </c>
      <c r="K13718" s="10" t="inlineStr">
        <is>
          <t>1 - 2 Năm</t>
        </is>
      </c>
      <c r="L13718" s="11">
        <f>HYPERLINK("https://careerviet.vn/vi/tim-viec-lam/nhan-vien-telesale.35C6B22D.html","Xem chi tiết")</f>
        <v/>
      </c>
      <c r="M13718" s="10" t="n"/>
    </row>
    <row r="13719">
      <c r="B13719" s="7" t="n">
        <v>13717</v>
      </c>
      <c r="C13719" t="inlineStr">
        <is>
          <t>NHÂN VIÊN QUẢN LÝ CHẤT LƯỢNG</t>
        </is>
      </c>
      <c r="D13719" t="inlineStr">
        <is>
          <t>CÔNG TY CỔ PHẦN BMP GROUP</t>
        </is>
      </c>
      <c r="E13719" t="inlineStr">
        <is>
          <t>Lương:Cạnh tranh</t>
        </is>
      </c>
      <c r="F13719" t="inlineStr">
        <is>
          <t>Hồ Chí MinhBình Dương</t>
        </is>
      </c>
      <c r="G13719" t="inlineStr">
        <is>
          <t>20-04-2026</t>
        </is>
      </c>
      <c r="H13719" t="inlineStr">
        <is>
          <t>20/04/2026</t>
        </is>
      </c>
      <c r="I13719" t="inlineStr">
        <is>
          <t>17/03/2026</t>
        </is>
      </c>
      <c r="J13719" t="inlineStr">
        <is>
          <t>Quản lý chất lượng (QA/QC), Sản xuất / Vận hành sản xuất</t>
        </is>
      </c>
      <c r="K13719" t="inlineStr">
        <is>
          <t>1 - 3 Năm</t>
        </is>
      </c>
      <c r="L13719" s="8">
        <f>HYPERLINK("https://careerviet.vn/vi/tim-viec-lam/nhan-vien-quan-ly-chat-luong.35C6B0DF.html","Xem chi tiết")</f>
        <v/>
      </c>
    </row>
    <row r="13720">
      <c r="B13720" s="9" t="n">
        <v>13718</v>
      </c>
      <c r="C13720" s="10" t="inlineStr">
        <is>
          <t>Procurement Executive</t>
        </is>
      </c>
      <c r="D13720" s="10" t="inlineStr">
        <is>
          <t>Công ty TNHH Hữu Toàn Group</t>
        </is>
      </c>
      <c r="E13720" s="10" t="inlineStr">
        <is>
          <t>Lương:Cạnh tranh</t>
        </is>
      </c>
      <c r="F13720" s="10" t="inlineStr">
        <is>
          <t>Hồ Chí Minh</t>
        </is>
      </c>
      <c r="G13720" s="10" t="inlineStr">
        <is>
          <t>30-04-2026</t>
        </is>
      </c>
      <c r="H13720" s="10" t="inlineStr">
        <is>
          <t>30/04/2026</t>
        </is>
      </c>
      <c r="I13720" s="10" t="inlineStr">
        <is>
          <t>17/03/2026</t>
        </is>
      </c>
      <c r="J13720" s="10" t="inlineStr">
        <is>
          <t>Thu mua / Vật tư</t>
        </is>
      </c>
      <c r="K13720" s="10" t="inlineStr">
        <is>
          <t>1 - 2 Năm</t>
        </is>
      </c>
      <c r="L13720" s="11">
        <f>HYPERLINK("https://careerviet.vn/vi/tim-viec-lam/procurement-executive.35C6B249.html","Xem chi tiết")</f>
        <v/>
      </c>
      <c r="M13720" s="10" t="n"/>
    </row>
    <row r="13721">
      <c r="B13721" s="7" t="n">
        <v>13719</v>
      </c>
      <c r="C13721" t="inlineStr">
        <is>
          <t>Software Engineer – Camera Test Automation &amp; Data Analysis</t>
        </is>
      </c>
      <c r="D13721" t="inlineStr">
        <is>
          <t>Công ty TNHH Sài Gòn Stec</t>
        </is>
      </c>
      <c r="E13721" t="inlineStr">
        <is>
          <t>Lương:15 Tr - 23 Tr VND</t>
        </is>
      </c>
      <c r="F13721" t="inlineStr">
        <is>
          <t>Bình Dương</t>
        </is>
      </c>
      <c r="G13721" t="inlineStr">
        <is>
          <t>05-04-2026</t>
        </is>
      </c>
      <c r="H13721" t="inlineStr">
        <is>
          <t>05/04/2026</t>
        </is>
      </c>
      <c r="I13721" t="inlineStr">
        <is>
          <t>17/03/2026</t>
        </is>
      </c>
      <c r="J13721" t="inlineStr">
        <is>
          <t>Điện / Điện tử / Điện lạnh / Điện công nghiệp, CNTT - Phần mềm</t>
        </is>
      </c>
      <c r="K13721" t="inlineStr">
        <is>
          <t>1 - 4 Năm</t>
        </is>
      </c>
      <c r="L13721" s="8">
        <f>HYPERLINK("https://careerviet.vn/vi/tim-viec-lam/software-engineer-camera-test-automation-data-analysis.35C6B1E4.html","Xem chi tiết")</f>
        <v/>
      </c>
    </row>
    <row r="13722">
      <c r="B13722" s="9" t="n">
        <v>13720</v>
      </c>
      <c r="C13722" s="10" t="inlineStr">
        <is>
          <t>Chuyên Viên Tuyển Dụng</t>
        </is>
      </c>
      <c r="D13722" s="10" t="inlineStr">
        <is>
          <t>CÔNG TY TNHH VIỆT QUỐC TẾ - VIETINTER FOODS</t>
        </is>
      </c>
      <c r="E13722" s="10" t="inlineStr">
        <is>
          <t>Lương:15 Tr - 17 Tr VND</t>
        </is>
      </c>
      <c r="F13722" s="10" t="inlineStr">
        <is>
          <t>Hồ Chí Minh</t>
        </is>
      </c>
      <c r="G13722" s="10" t="inlineStr">
        <is>
          <t>31-03-2026</t>
        </is>
      </c>
      <c r="H13722" s="10" t="inlineStr">
        <is>
          <t>31/03/2026</t>
        </is>
      </c>
      <c r="I13722" s="10" t="inlineStr">
        <is>
          <t>17/03/2026</t>
        </is>
      </c>
      <c r="J13722" s="10" t="inlineStr">
        <is>
          <t>Nhân sự, Hành chính / Thư ký, Sản xuất / Vận hành sản xuất</t>
        </is>
      </c>
      <c r="K13722" s="10" t="inlineStr">
        <is>
          <t>Trên 2 Năm</t>
        </is>
      </c>
      <c r="L13722" s="11">
        <f>HYPERLINK("https://careerviet.vn/vi/tim-viec-lam/chuyen-vien-tuyen-dung.35C6B195.html","Xem chi tiết")</f>
        <v/>
      </c>
      <c r="M13722" s="10" t="n"/>
    </row>
    <row r="13723">
      <c r="B13723" s="7" t="n">
        <v>13721</v>
      </c>
      <c r="C13723" t="inlineStr">
        <is>
          <t>Trưởng Nhóm Tuyển Sinh (Ocean Edu Hải Phòng)</t>
        </is>
      </c>
      <c r="D13723" t="inlineStr">
        <is>
          <t>Công Ty CP Giáo Dục Đại Dương</t>
        </is>
      </c>
      <c r="E13723" t="inlineStr">
        <is>
          <t>Lương:Cạnh tranh</t>
        </is>
      </c>
      <c r="F13723" t="inlineStr">
        <is>
          <t>Hải Phòng</t>
        </is>
      </c>
      <c r="G13723" t="inlineStr">
        <is>
          <t>04-04-2026</t>
        </is>
      </c>
      <c r="H13723" t="inlineStr">
        <is>
          <t>04/04/2026</t>
        </is>
      </c>
      <c r="I13723" t="inlineStr">
        <is>
          <t>17/03/2026</t>
        </is>
      </c>
      <c r="J13723" t="inlineStr">
        <is>
          <t>Tư vấn, Dịch vụ khách hàng, Giáo dục / Đào tạo</t>
        </is>
      </c>
      <c r="K13723" t="inlineStr">
        <is>
          <t>1 - 2 Năm</t>
        </is>
      </c>
      <c r="L13723" s="8">
        <f>HYPERLINK("https://careerviet.vn/vi/tim-viec-lam/truong-nhom-tuyen-sinh-ocean-edu-hai-phong.35C6B13C.html","Xem chi tiết")</f>
        <v/>
      </c>
    </row>
    <row r="13724">
      <c r="B13724" s="9" t="n">
        <v>13722</v>
      </c>
      <c r="C13724" s="10" t="inlineStr">
        <is>
          <t>Kế Toán Tổng Hợp Sản Xuất</t>
        </is>
      </c>
      <c r="D13724" s="10" t="inlineStr">
        <is>
          <t>CÔNG TY TNHH ĐẦU TƯ THƯƠNG MẠI VÀ SẢN XUẤT CHÍNH PHÁT</t>
        </is>
      </c>
      <c r="E13724" s="10" t="inlineStr">
        <is>
          <t>Lương:15 Tr - 18 Tr VND</t>
        </is>
      </c>
      <c r="F13724" s="10" t="inlineStr">
        <is>
          <t>Hồ Chí Minh</t>
        </is>
      </c>
      <c r="G13724" s="10" t="inlineStr">
        <is>
          <t>06-04-2026</t>
        </is>
      </c>
      <c r="H13724" s="10" t="inlineStr">
        <is>
          <t>06/04/2026</t>
        </is>
      </c>
      <c r="I13724" s="10" t="inlineStr">
        <is>
          <t>17/03/2026</t>
        </is>
      </c>
      <c r="J13724" s="10" t="inlineStr">
        <is>
          <t>Sản xuất / Vận hành sản xuất, Kế toán / Kiểm toán, Vận chuyển / Giao nhận / Kho vận</t>
        </is>
      </c>
      <c r="K13724" s="10" t="inlineStr">
        <is>
          <t>2 - 3 Năm</t>
        </is>
      </c>
      <c r="L13724" s="11">
        <f>HYPERLINK("https://careerviet.vn/vi/tim-viec-lam/ke-toan-tong-hop-san-xuat.35C6B06F.html","Xem chi tiết")</f>
        <v/>
      </c>
      <c r="M13724" s="10" t="n"/>
    </row>
    <row r="13725">
      <c r="B13725" s="7" t="n">
        <v>13723</v>
      </c>
      <c r="C13725" t="inlineStr">
        <is>
          <t>THIẾT KẾ ĐA PHƯƠNG TIỆN</t>
        </is>
      </c>
      <c r="D13725" t="inlineStr">
        <is>
          <t>CÔNG TY TNHH SAIGON MAISON</t>
        </is>
      </c>
      <c r="E13725" t="inlineStr">
        <is>
          <t>Lương:8,5 Tr - 13 Tr VND</t>
        </is>
      </c>
      <c r="F13725" t="inlineStr">
        <is>
          <t>Hồ Chí Minh</t>
        </is>
      </c>
      <c r="G13725" t="inlineStr">
        <is>
          <t>05-04-2026</t>
        </is>
      </c>
      <c r="H13725" t="inlineStr">
        <is>
          <t>05/04/2026</t>
        </is>
      </c>
      <c r="I13725" t="inlineStr">
        <is>
          <t>17/03/2026</t>
        </is>
      </c>
      <c r="J13725" t="inlineStr">
        <is>
          <t>Mỹ thuật / Nghệ thuật / Thiết kế, Kiến trúc, Xây dựng</t>
        </is>
      </c>
      <c r="K13725" t="inlineStr">
        <is>
          <t>1 - 3 Năm</t>
        </is>
      </c>
      <c r="L13725" s="8">
        <f>HYPERLINK("https://careerviet.vn/vi/tim-viec-lam/thiet-ke-da-phuong-tien.35C6B02A.html","Xem chi tiết")</f>
        <v/>
      </c>
    </row>
    <row r="13726">
      <c r="B13726" s="9" t="n">
        <v>13724</v>
      </c>
      <c r="C13726" s="10" t="inlineStr">
        <is>
          <t>Nhân viên kỹ thuật - Vận hành máy Đúc</t>
        </is>
      </c>
      <c r="D13726" s="10" t="inlineStr">
        <is>
          <t>Tập đoàn Nhựa Bình Thuận</t>
        </is>
      </c>
      <c r="E13726" s="10" t="inlineStr">
        <is>
          <t>Lương:12 Tr - 14 Tr VND</t>
        </is>
      </c>
      <c r="F13726" s="10" t="inlineStr">
        <is>
          <t>Bình Dương</t>
        </is>
      </c>
      <c r="G13726" s="10" t="inlineStr">
        <is>
          <t>05-04-2026</t>
        </is>
      </c>
      <c r="H13726" s="10" t="inlineStr">
        <is>
          <t>05/04/2026</t>
        </is>
      </c>
      <c r="I13726" s="10" t="inlineStr">
        <is>
          <t>17/03/2026</t>
        </is>
      </c>
      <c r="J13726" s="10" t="inlineStr">
        <is>
          <t>Cơ khí / Ô tô / Tự động hóa, Điện / Điện tử / Điện lạnh / Điện công nghiệp, Sản xuất / Vận hành sản xuất</t>
        </is>
      </c>
      <c r="K13726" s="10" t="inlineStr">
        <is>
          <t>1 - 3 Năm</t>
        </is>
      </c>
      <c r="L13726" s="11">
        <f>HYPERLINK("https://careerviet.vn/vi/tim-viec-lam/nhan-vien-ky-thuat-van-hanh-may-duc.35C6B185.html","Xem chi tiết")</f>
        <v/>
      </c>
      <c r="M13726" s="10" t="n"/>
    </row>
    <row r="13727">
      <c r="B13727" s="7" t="n">
        <v>13725</v>
      </c>
      <c r="C13727" t="inlineStr">
        <is>
          <t>Nhân viên tư vấn da liễu - Đà Nẵng</t>
        </is>
      </c>
      <c r="D13727" t="inlineStr">
        <is>
          <t>PPP Laser Clinic Viet Nam</t>
        </is>
      </c>
      <c r="E13727" t="inlineStr">
        <is>
          <t>Lương:10 Tr - 20 Tr VND</t>
        </is>
      </c>
      <c r="F13727" t="inlineStr">
        <is>
          <t>Đà Nẵng</t>
        </is>
      </c>
      <c r="G13727" t="inlineStr">
        <is>
          <t>30-03-2026</t>
        </is>
      </c>
      <c r="H13727" t="inlineStr">
        <is>
          <t>30/03/2026</t>
        </is>
      </c>
      <c r="I13727" t="inlineStr">
        <is>
          <t>17/03/2026</t>
        </is>
      </c>
      <c r="J13727" t="inlineStr">
        <is>
          <t>Bán hàng / Kinh doanh, Y tế / Chăm sóc sức khỏe / Thẩm mỹ / Làm đẹp, Dược phẩm/ Hóa Mỹ Phẩm</t>
        </is>
      </c>
      <c r="K13727" t="inlineStr">
        <is>
          <t>1 - 2 Năm</t>
        </is>
      </c>
      <c r="L13727" s="8">
        <f>HYPERLINK("https://careerviet.vn/vi/tim-viec-lam/nhan-vien-tu-van-da-lieu-da-nang.35C6B1A5.html","Xem chi tiết")</f>
        <v/>
      </c>
    </row>
    <row r="13728">
      <c r="B13728" s="9" t="n">
        <v>13726</v>
      </c>
      <c r="C13728" s="10" t="inlineStr">
        <is>
          <t>CHUYÊN VIÊN TUYỂN DỤNG - ĐÀO TẠO</t>
        </is>
      </c>
      <c r="D13728" s="10" t="inlineStr">
        <is>
          <t>IDOCEAN Co.,ltd</t>
        </is>
      </c>
      <c r="E13728" s="10" t="inlineStr">
        <is>
          <t>Lương:Cạnh tranh</t>
        </is>
      </c>
      <c r="F13728" s="10" t="inlineStr">
        <is>
          <t>Hồ Chí Minh</t>
        </is>
      </c>
      <c r="G13728" s="10" t="inlineStr">
        <is>
          <t>03-04-2026</t>
        </is>
      </c>
      <c r="H13728" s="10" t="inlineStr">
        <is>
          <t>03/04/2026</t>
        </is>
      </c>
      <c r="I13728" s="10" t="inlineStr">
        <is>
          <t>17/03/2026</t>
        </is>
      </c>
      <c r="J13728" s="10" t="inlineStr">
        <is>
          <t>Nhân sự, Sản xuất / Vận hành sản xuất, Thực phẩm &amp; Đồ uống</t>
        </is>
      </c>
      <c r="K13728" s="10" t="inlineStr">
        <is>
          <t>2 - 5 Năm</t>
        </is>
      </c>
      <c r="L13728" s="11">
        <f>HYPERLINK("https://careerviet.vn/vi/tim-viec-lam/chuyen-vien-tuyen-dung-dao-tao.35C6B0D9.html","Xem chi tiết")</f>
        <v/>
      </c>
      <c r="M13728" s="10" t="n"/>
    </row>
    <row r="13729">
      <c r="B13729" s="7" t="n">
        <v>13727</v>
      </c>
      <c r="C13729" t="inlineStr">
        <is>
          <t>Chuyên Viên Hành Chính Nhân Sự</t>
        </is>
      </c>
      <c r="D13729" t="inlineStr">
        <is>
          <t>CÔNG TY TNHH XUẤT NHẬP KHẨU RUTOP VIỆT NAM - Thương Hiệu Toptotoes</t>
        </is>
      </c>
      <c r="E13729" t="inlineStr">
        <is>
          <t>Lương:10 Tr - 12 Tr VND</t>
        </is>
      </c>
      <c r="F13729" t="inlineStr">
        <is>
          <t>Hà NộiHồ Chí Minh</t>
        </is>
      </c>
      <c r="G13729" t="inlineStr">
        <is>
          <t>05-04-2026</t>
        </is>
      </c>
      <c r="H13729" t="inlineStr">
        <is>
          <t>05/04/2026</t>
        </is>
      </c>
      <c r="I13729" t="inlineStr">
        <is>
          <t>17/03/2026</t>
        </is>
      </c>
      <c r="J13729" t="inlineStr">
        <is>
          <t>Nhân sự, Hành chính / Thư ký, Vận chuyển / Giao nhận / Kho vận</t>
        </is>
      </c>
      <c r="K13729" t="inlineStr">
        <is>
          <t>1 - 3 Năm</t>
        </is>
      </c>
      <c r="L13729" s="8">
        <f>HYPERLINK("https://careerviet.vn/vi/tim-viec-lam/chuyen-vien-hanh-chinh-nhan-su.35C6B217.html","Xem chi tiết")</f>
        <v/>
      </c>
    </row>
    <row r="13730">
      <c r="B13730" s="9" t="n">
        <v>13728</v>
      </c>
      <c r="C13730" s="10" t="inlineStr">
        <is>
          <t>[Bình Phước] Sales Supervisor/ Giám Sát Bán Hàng Kênh GT</t>
        </is>
      </c>
      <c r="D13730" s="10" t="inlineStr">
        <is>
          <t>Công Ty Cổ Phần Diana Unicharm</t>
        </is>
      </c>
      <c r="E13730" s="10" t="inlineStr">
        <is>
          <t>Lương:Cạnh tranh</t>
        </is>
      </c>
      <c r="F13730" s="10" t="inlineStr">
        <is>
          <t>Bình Phước</t>
        </is>
      </c>
      <c r="G13730" s="10" t="inlineStr">
        <is>
          <t>10-04-2026</t>
        </is>
      </c>
      <c r="H13730" s="10" t="inlineStr">
        <is>
          <t>10/04/2026</t>
        </is>
      </c>
      <c r="I13730" s="10" t="inlineStr">
        <is>
          <t>17/03/2026</t>
        </is>
      </c>
      <c r="J13730" s="10" t="inlineStr">
        <is>
          <t>Bán lẻ / Bán sỉ, Bán hàng / Kinh doanh, Hàng gia dụng / Chăm sóc cá nhân</t>
        </is>
      </c>
      <c r="K13730" s="10" t="inlineStr">
        <is>
          <t>3 - 5 Năm</t>
        </is>
      </c>
      <c r="L13730" s="11">
        <f>HYPERLINK("https://careerviet.vn/vi/tim-viec-lam/binh-phuoc-sales-supervisor-giam-sat-ban-hang-kenh-gt.35C6AF9E.html","Xem chi tiết")</f>
        <v/>
      </c>
      <c r="M13730" s="10" t="n"/>
    </row>
    <row r="13731">
      <c r="B13731" s="7" t="n">
        <v>13729</v>
      </c>
      <c r="C13731" t="inlineStr">
        <is>
          <t>Kỹ Sư Kinh Tế Xây Dựng (Mảng Nội Thất)</t>
        </is>
      </c>
      <c r="D13731" t="inlineStr">
        <is>
          <t>CÔNG TY CỔ PHẦN EUROWINDOW HOLDING</t>
        </is>
      </c>
      <c r="E13731" t="inlineStr">
        <is>
          <t>Lương:Cạnh tranh</t>
        </is>
      </c>
      <c r="F13731" t="inlineStr">
        <is>
          <t>Hà Nội</t>
        </is>
      </c>
      <c r="G13731" t="inlineStr">
        <is>
          <t>11-04-2026</t>
        </is>
      </c>
      <c r="H13731" t="inlineStr">
        <is>
          <t>11/04/2026</t>
        </is>
      </c>
      <c r="I13731" t="inlineStr">
        <is>
          <t>17/03/2026</t>
        </is>
      </c>
      <c r="J13731" t="inlineStr">
        <is>
          <t>Kiến trúc, Xây dựng</t>
        </is>
      </c>
      <c r="K13731" t="inlineStr">
        <is>
          <t>3 - 5 Năm</t>
        </is>
      </c>
      <c r="L13731" s="8">
        <f>HYPERLINK("https://careerviet.vn/vi/tim-viec-lam/ky-su-kinh-te-xay-dung-mang-noi-that.35C6C1DC.html","Xem chi tiết")</f>
        <v/>
      </c>
    </row>
    <row r="13732">
      <c r="B13732" s="9" t="n">
        <v>13730</v>
      </c>
      <c r="C13732" s="10" t="inlineStr">
        <is>
          <t>NHÂN VIÊN TUYỂN DỤNG ĐÀO TẠO</t>
        </is>
      </c>
      <c r="D13732" s="10" t="inlineStr">
        <is>
          <t>CÔNG TY CỔ PHẦN SẢN XUẤT THƯƠNG MẠI XÂY DỰNG TRANG TRÍ NỘI THẤT G.S VIỆT NAM</t>
        </is>
      </c>
      <c r="E13732" s="10" t="inlineStr">
        <is>
          <t>Lương:10 Tr - 15 Tr VND</t>
        </is>
      </c>
      <c r="F13732" s="10" t="inlineStr">
        <is>
          <t>Bình Dương</t>
        </is>
      </c>
      <c r="G13732" s="10" t="inlineStr">
        <is>
          <t>30-04-2026</t>
        </is>
      </c>
      <c r="H13732" s="10" t="inlineStr">
        <is>
          <t>30/04/2026</t>
        </is>
      </c>
      <c r="I13732" s="10" t="inlineStr">
        <is>
          <t>17/03/2026</t>
        </is>
      </c>
      <c r="J13732" s="10" t="inlineStr">
        <is>
          <t>Nhân sự, Hành chính / Thư ký, Xây dựng</t>
        </is>
      </c>
      <c r="K13732" s="10" t="inlineStr">
        <is>
          <t>1 - 3 Năm</t>
        </is>
      </c>
      <c r="L13732" s="11">
        <f>HYPERLINK("https://careerviet.vn/vi/tim-viec-lam/nhan-vien-tuyen-dung-dao-tao.35C6C1EF.html","Xem chi tiết")</f>
        <v/>
      </c>
      <c r="M13732" s="10" t="n"/>
    </row>
    <row r="13733">
      <c r="B13733" s="7" t="n">
        <v>13731</v>
      </c>
      <c r="C13733" t="inlineStr">
        <is>
          <t>Kỹ Sư Thiết Kế Kết Cấu  (Structural Design Engineer)</t>
        </is>
      </c>
      <c r="D13733" t="inlineStr">
        <is>
          <t>Công Ty Cổ Phần Kiến Trúc Tư Vấn Quản Lý Đông Dương</t>
        </is>
      </c>
      <c r="E13733" t="inlineStr">
        <is>
          <t>Lương:Cạnh tranh</t>
        </is>
      </c>
      <c r="F13733" t="inlineStr">
        <is>
          <t>Hồ Chí Minh</t>
        </is>
      </c>
      <c r="G13733" t="inlineStr">
        <is>
          <t>10-04-2026</t>
        </is>
      </c>
      <c r="H13733" t="inlineStr">
        <is>
          <t>10/04/2026</t>
        </is>
      </c>
      <c r="I13733" t="inlineStr">
        <is>
          <t>17/03/2026</t>
        </is>
      </c>
      <c r="J13733" t="inlineStr">
        <is>
          <t>Xây dựng, Kiến trúc, Bất động sản</t>
        </is>
      </c>
      <c r="K13733" t="inlineStr">
        <is>
          <t>2 - 5 Năm</t>
        </is>
      </c>
      <c r="L13733" s="8">
        <f>HYPERLINK("https://careerviet.vn/vi/tim-viec-lam/ky-su-thiet-ke-ket-cau-structural-design-engineer.35C6BFC2.html","Xem chi tiết")</f>
        <v/>
      </c>
    </row>
    <row r="13734">
      <c r="B13734" s="9" t="n">
        <v>13732</v>
      </c>
      <c r="C13734" s="10" t="inlineStr">
        <is>
          <t>Kế toán trưởng</t>
        </is>
      </c>
      <c r="D13734" s="10" t="inlineStr">
        <is>
          <t>CÔNG TY CỔ PHẦN VẠN XUÂN SERVICE</t>
        </is>
      </c>
      <c r="E13734" s="10" t="inlineStr">
        <is>
          <t>Lương:25 Tr - 35 Tr VND</t>
        </is>
      </c>
      <c r="F13734" s="10" t="inlineStr">
        <is>
          <t>Hồ Chí Minh</t>
        </is>
      </c>
      <c r="G13734" s="10" t="inlineStr">
        <is>
          <t>06-04-2026</t>
        </is>
      </c>
      <c r="H13734" s="10" t="inlineStr">
        <is>
          <t>06/04/2026</t>
        </is>
      </c>
      <c r="I13734" s="10" t="inlineStr">
        <is>
          <t>17/03/2026</t>
        </is>
      </c>
      <c r="J13734" s="10" t="inlineStr">
        <is>
          <t>Kế toán / Kiểm toán, Bất động sản, Tài chính / Đầu tư</t>
        </is>
      </c>
      <c r="K13734" s="10" t="inlineStr">
        <is>
          <t>5 - 10 Năm</t>
        </is>
      </c>
      <c r="L13734" s="11">
        <f>HYPERLINK("https://careerviet.vn/vi/tim-viec-lam/ke-toan-truong.35C6AFA1.html","Xem chi tiết")</f>
        <v/>
      </c>
      <c r="M13734" s="10" t="n"/>
    </row>
    <row r="13735">
      <c r="B13735" s="7" t="n">
        <v>13733</v>
      </c>
      <c r="C13735" t="inlineStr">
        <is>
          <t>Mechanical Process Engineer (Precision machining)</t>
        </is>
      </c>
      <c r="D13735" t="inlineStr">
        <is>
          <t>CÔNG TY TNHH BESI VIỆT NAM</t>
        </is>
      </c>
      <c r="E13735" t="inlineStr">
        <is>
          <t>Lương:Cạnh tranh</t>
        </is>
      </c>
      <c r="F13735" t="inlineStr">
        <is>
          <t>Hồ Chí Minh</t>
        </is>
      </c>
      <c r="G13735" t="inlineStr">
        <is>
          <t>31-05-2026</t>
        </is>
      </c>
      <c r="H13735" t="inlineStr">
        <is>
          <t>31/05/2026</t>
        </is>
      </c>
      <c r="I13735" t="inlineStr">
        <is>
          <t>17/03/2026</t>
        </is>
      </c>
      <c r="J13735" t="inlineStr">
        <is>
          <t>Sản xuất / Vận hành sản xuất, Cơ khí / Ô tô / Tự động hóa</t>
        </is>
      </c>
      <c r="K13735" t="inlineStr">
        <is>
          <t>2 - 5 Năm</t>
        </is>
      </c>
      <c r="L13735" s="8">
        <f>HYPERLINK("https://careerviet.vn/vi/tim-viec-lam/mechanical-process-engineer-precision-machining.35C6C1F3.html","Xem chi tiết")</f>
        <v/>
      </c>
    </row>
    <row r="13736">
      <c r="B13736" s="9" t="n">
        <v>13734</v>
      </c>
      <c r="C13736" s="10" t="inlineStr">
        <is>
          <t>Chuyên viên Đào tạo</t>
        </is>
      </c>
      <c r="D13736" s="10" t="inlineStr">
        <is>
          <t>NHÀ SÁCH TIẾN THỌ</t>
        </is>
      </c>
      <c r="E13736" s="10" t="inlineStr">
        <is>
          <t>Lương:13 Tr - 16 Tr VND</t>
        </is>
      </c>
      <c r="F13736" s="10" t="inlineStr">
        <is>
          <t>Hà Nội</t>
        </is>
      </c>
      <c r="G13736" s="10" t="inlineStr">
        <is>
          <t>31-03-2026</t>
        </is>
      </c>
      <c r="H13736" s="10" t="inlineStr">
        <is>
          <t>31/03/2026</t>
        </is>
      </c>
      <c r="I13736" s="10" t="inlineStr">
        <is>
          <t>17/03/2026</t>
        </is>
      </c>
      <c r="J13736" s="10" t="inlineStr">
        <is>
          <t>Bán lẻ / Bán sỉ, Nhân sự</t>
        </is>
      </c>
      <c r="K13736" s="10" t="inlineStr">
        <is>
          <t>Trên 1 Năm</t>
        </is>
      </c>
      <c r="L13736" s="11">
        <f>HYPERLINK("https://careerviet.vn/vi/tim-viec-lam/chuyen-vien-dao-tao.35C6C1D8.html","Xem chi tiết")</f>
        <v/>
      </c>
      <c r="M13736" s="10" t="n"/>
    </row>
    <row r="13737">
      <c r="B13737" s="7" t="n">
        <v>13735</v>
      </c>
      <c r="C13737" t="inlineStr">
        <is>
          <t>Thủ Kho</t>
        </is>
      </c>
      <c r="D13737" t="inlineStr">
        <is>
          <t>Công Ty TNHH Khuôn Mẫu Chính Xác DK</t>
        </is>
      </c>
      <c r="E13737" t="inlineStr">
        <is>
          <t>Lương:Cạnh tranh</t>
        </is>
      </c>
      <c r="F13737" t="inlineStr">
        <is>
          <t>Hồ Chí Minh</t>
        </is>
      </c>
      <c r="G13737" t="inlineStr">
        <is>
          <t>31-03-2026</t>
        </is>
      </c>
      <c r="H13737" t="inlineStr">
        <is>
          <t>31/03/2026</t>
        </is>
      </c>
      <c r="I13737" t="inlineStr">
        <is>
          <t>17/03/2026</t>
        </is>
      </c>
      <c r="J13737" t="inlineStr">
        <is>
          <t>Vận chuyển / Giao nhận / Kho vận, Kế toán / Kiểm toán, Sản xuất / Vận hành sản xuất</t>
        </is>
      </c>
      <c r="K13737" t="inlineStr">
        <is>
          <t>Chưa có kinh nghiệm</t>
        </is>
      </c>
      <c r="L13737" s="8">
        <f>HYPERLINK("https://careerviet.vn/vi/tim-viec-lam/thu-kho.35C6C1E1.html","Xem chi tiết")</f>
        <v/>
      </c>
    </row>
    <row r="13738">
      <c r="B13738" s="9" t="n">
        <v>13736</v>
      </c>
      <c r="C13738" s="10" t="inlineStr">
        <is>
          <t>Senior Procurement Executive</t>
        </is>
      </c>
      <c r="D13738" s="10" t="inlineStr">
        <is>
          <t>DIAG</t>
        </is>
      </c>
      <c r="E13738" s="10" t="inlineStr">
        <is>
          <t>Lương:Cạnh tranh</t>
        </is>
      </c>
      <c r="F13738" s="10" t="inlineStr">
        <is>
          <t>Hồ Chí Minh</t>
        </is>
      </c>
      <c r="G13738" s="10" t="inlineStr">
        <is>
          <t>31-03-2026</t>
        </is>
      </c>
      <c r="H13738" s="10" t="inlineStr">
        <is>
          <t>31/03/2026</t>
        </is>
      </c>
      <c r="I13738" s="10" t="inlineStr">
        <is>
          <t>17/03/2026</t>
        </is>
      </c>
      <c r="J13738" s="10" t="inlineStr">
        <is>
          <t>Thu mua / Vật tư, Sản xuất / Vận hành sản xuất, Xuất nhập khẩu</t>
        </is>
      </c>
      <c r="K13738" s="10" t="inlineStr">
        <is>
          <t>Trên 5 Năm</t>
        </is>
      </c>
      <c r="L13738" s="11">
        <f>HYPERLINK("https://careerviet.vn/vi/tim-viec-lam/senior-procurement-executive.35C6B250.html","Xem chi tiết")</f>
        <v/>
      </c>
      <c r="M13738" s="10" t="n"/>
    </row>
    <row r="13739">
      <c r="B13739" s="7" t="n">
        <v>13737</v>
      </c>
      <c r="C13739" t="inlineStr">
        <is>
          <t>Kiến trúc sư nội thất</t>
        </is>
      </c>
      <c r="D13739" t="inlineStr">
        <is>
          <t>CÔNG TY TNHH ĐẦU TƯ XÂY DỰNG THƯƠNG MẠI DỊCH VỤ ĐẠI LONG</t>
        </is>
      </c>
      <c r="E13739" t="inlineStr">
        <is>
          <t>Lương:15 Tr - 20 Tr VND</t>
        </is>
      </c>
      <c r="F13739" t="inlineStr">
        <is>
          <t>Hồ Chí Minh</t>
        </is>
      </c>
      <c r="G13739" t="inlineStr">
        <is>
          <t>30-04-2026</t>
        </is>
      </c>
      <c r="H13739" t="inlineStr">
        <is>
          <t>30/04/2026</t>
        </is>
      </c>
      <c r="I13739" t="inlineStr">
        <is>
          <t>17/03/2026</t>
        </is>
      </c>
      <c r="J13739" t="inlineStr">
        <is>
          <t>Kiến trúc, Xây dựng, Nội ngoại thất</t>
        </is>
      </c>
      <c r="K13739" t="inlineStr">
        <is>
          <t>3 - 5 Năm</t>
        </is>
      </c>
      <c r="L13739" s="8">
        <f>HYPERLINK("https://careerviet.vn/vi/tim-viec-lam/kien-truc-su-noi-that.35C6C1E3.html","Xem chi tiết")</f>
        <v/>
      </c>
    </row>
    <row r="13740">
      <c r="B13740" s="9" t="n">
        <v>13738</v>
      </c>
      <c r="C13740" s="10" t="inlineStr">
        <is>
          <t>Phó Giám đốc Kinh doanh dự án (Chủ đầu tư BĐS)</t>
        </is>
      </c>
      <c r="D13740" s="10" t="inlineStr">
        <is>
          <t>Công ty Cổ phần Tập đoàn KITA Group</t>
        </is>
      </c>
      <c r="E13740" s="10" t="inlineStr">
        <is>
          <t>Lương:30 Tr - 35 Tr VND</t>
        </is>
      </c>
      <c r="F13740" s="10" t="inlineStr">
        <is>
          <t>Hồ Chí Minh</t>
        </is>
      </c>
      <c r="G13740" s="10" t="inlineStr">
        <is>
          <t>24-03-2026</t>
        </is>
      </c>
      <c r="H13740" s="10" t="inlineStr">
        <is>
          <t>24/03/2026</t>
        </is>
      </c>
      <c r="I13740" s="10" t="inlineStr">
        <is>
          <t>17/03/2026</t>
        </is>
      </c>
      <c r="J13740" s="10" t="inlineStr">
        <is>
          <t>Bán hàng / Kinh doanh, Bất động sản, Dịch vụ khách hàng</t>
        </is>
      </c>
      <c r="K13740" s="10" t="inlineStr">
        <is>
          <t>3 - 5 Năm</t>
        </is>
      </c>
      <c r="L13740" s="11">
        <f>HYPERLINK("https://careerviet.vn/vi/tim-viec-lam/pho-giam-doc-kinh-doanh-du-an-chu-dau-tu-bds.35C69837.html","Xem chi tiết")</f>
        <v/>
      </c>
      <c r="M13740" s="10" t="n"/>
    </row>
    <row r="13741">
      <c r="B13741" s="7" t="n">
        <v>13739</v>
      </c>
      <c r="C13741" t="inlineStr">
        <is>
          <t>Giao dịch viên - CN. Huế (CN26.27)</t>
        </is>
      </c>
      <c r="D13741" t="inlineStr">
        <is>
          <t>Ngân Hàng TMCP Quân Đội</t>
        </is>
      </c>
      <c r="E13741" t="inlineStr">
        <is>
          <t>Lương:Cạnh tranh</t>
        </is>
      </c>
      <c r="F13741" t="inlineStr">
        <is>
          <t>Thừa Thiên- Huế</t>
        </is>
      </c>
      <c r="G13741" t="inlineStr">
        <is>
          <t>14-04-2026</t>
        </is>
      </c>
      <c r="H13741" t="inlineStr">
        <is>
          <t>14/04/2026</t>
        </is>
      </c>
      <c r="I13741" t="inlineStr">
        <is>
          <t>17/03/2026</t>
        </is>
      </c>
      <c r="J13741" t="inlineStr">
        <is>
          <t>Ngân hàng</t>
        </is>
      </c>
      <c r="K13741" t="inlineStr">
        <is>
          <t>N/A</t>
        </is>
      </c>
      <c r="L13741" s="8">
        <f>HYPERLINK("https://careerviet.vn/vi/tim-viec-lam/giao-dich-vien-cn-hue-cn26-27.35C6C1D5.html","Xem chi tiết")</f>
        <v/>
      </c>
    </row>
    <row r="13742">
      <c r="B13742" s="9" t="n">
        <v>13740</v>
      </c>
      <c r="C13742" s="10" t="inlineStr">
        <is>
          <t>Nhân viên Sales admin</t>
        </is>
      </c>
      <c r="D13742" s="10" t="inlineStr">
        <is>
          <t>Công Ty Cổ Phần Gỗ An Cường</t>
        </is>
      </c>
      <c r="E13742" s="10" t="inlineStr">
        <is>
          <t>Lương:10 Tr - 14 Tr VND</t>
        </is>
      </c>
      <c r="F13742" s="10" t="inlineStr">
        <is>
          <t>Hồ Chí Minh</t>
        </is>
      </c>
      <c r="G13742" s="10" t="inlineStr">
        <is>
          <t>12-04-2026</t>
        </is>
      </c>
      <c r="H13742" s="10" t="inlineStr">
        <is>
          <t>12/04/2026</t>
        </is>
      </c>
      <c r="I13742" s="10" t="inlineStr">
        <is>
          <t>17/03/2026</t>
        </is>
      </c>
      <c r="J13742" s="10" t="inlineStr">
        <is>
          <t>Bán hàng / Kinh doanh, Hành chính / Thư ký, Xuất nhập khẩu</t>
        </is>
      </c>
      <c r="K13742" s="10" t="inlineStr">
        <is>
          <t>1 - 2 Năm</t>
        </is>
      </c>
      <c r="L13742" s="11">
        <f>HYPERLINK("https://careerviet.vn/vi/tim-viec-lam/nhan-vien-sales-admin.35C6C31B.html","Xem chi tiết")</f>
        <v/>
      </c>
      <c r="M13742" s="10" t="n"/>
    </row>
    <row r="13743">
      <c r="B13743" s="7" t="n">
        <v>13741</v>
      </c>
      <c r="C13743" t="inlineStr">
        <is>
          <t>Phó phòng Khách hàng Cá nhân - CN. Bến Tre (CN26.26)</t>
        </is>
      </c>
      <c r="D13743" t="inlineStr">
        <is>
          <t>Ngân Hàng TMCP Quân Đội</t>
        </is>
      </c>
      <c r="E13743" t="inlineStr">
        <is>
          <t>Lương:Cạnh tranh</t>
        </is>
      </c>
      <c r="F13743" t="inlineStr">
        <is>
          <t>Vĩnh Long</t>
        </is>
      </c>
      <c r="G13743" t="inlineStr">
        <is>
          <t>11-04-2026</t>
        </is>
      </c>
      <c r="H13743" t="inlineStr">
        <is>
          <t>11/04/2026</t>
        </is>
      </c>
      <c r="I13743" t="inlineStr">
        <is>
          <t>17/03/2026</t>
        </is>
      </c>
      <c r="J13743" t="inlineStr">
        <is>
          <t>Ngân hàng</t>
        </is>
      </c>
      <c r="K13743" t="inlineStr">
        <is>
          <t>Trên 3 Năm</t>
        </is>
      </c>
      <c r="L13743" s="8">
        <f>HYPERLINK("https://careerviet.vn/vi/tim-viec-lam/pho-phong-khach-hang-ca-nhan-cn-ben-tre-cn26-26.35C6C1DE.html","Xem chi tiết")</f>
        <v/>
      </c>
    </row>
    <row r="13744">
      <c r="B13744" s="9" t="n">
        <v>13742</v>
      </c>
      <c r="C13744" s="10" t="inlineStr">
        <is>
          <t>Chuyên viên Tư vấn giáo dục - Thu nhập 16 - 36 triệu/tháng</t>
        </is>
      </c>
      <c r="D13744" s="10" t="inlineStr">
        <is>
          <t>Công ty CP Công nghệ giáo dục Trường học trực tuyến (ONSCHOOL)</t>
        </is>
      </c>
      <c r="E13744" s="10" t="inlineStr">
        <is>
          <t>Lương:16 Tr - 36 Tr VND</t>
        </is>
      </c>
      <c r="F13744" s="10" t="inlineStr">
        <is>
          <t>Hà Nội</t>
        </is>
      </c>
      <c r="G13744" s="10" t="inlineStr">
        <is>
          <t>30-03-2026</t>
        </is>
      </c>
      <c r="H13744" s="10" t="inlineStr">
        <is>
          <t>30/03/2026</t>
        </is>
      </c>
      <c r="I13744" s="10" t="inlineStr">
        <is>
          <t>17/03/2026</t>
        </is>
      </c>
      <c r="J13744" s="10" t="inlineStr">
        <is>
          <t>Bán hàng / Kinh doanh, Giáo dục / Đào tạo</t>
        </is>
      </c>
      <c r="K13744" s="10" t="inlineStr">
        <is>
          <t>1 - 2 Năm</t>
        </is>
      </c>
      <c r="L13744" s="11">
        <f>HYPERLINK("https://careerviet.vn/vi/tim-viec-lam/chuyen-vien-tu-van-giao-duc-thu-nhap-16-36-trieu-thang.35C6C1D1.html","Xem chi tiết")</f>
        <v/>
      </c>
      <c r="M13744" s="10" t="n"/>
    </row>
    <row r="13745">
      <c r="B13745" s="7" t="n">
        <v>13743</v>
      </c>
      <c r="C13745" t="inlineStr">
        <is>
          <t>[TUYỂN GẤP] NHÂN VIÊN TUYỂN DỤNG - ĐÀO TẠO</t>
        </is>
      </c>
      <c r="D13745" t="inlineStr">
        <is>
          <t>CÔNG TY CỔ PHẦN SẢN XUẤT THƯƠNG MẠI XÂY DỰNG TRANG TRÍ NỘI THẤT G.S VIỆT NAM</t>
        </is>
      </c>
      <c r="E13745" t="inlineStr">
        <is>
          <t>Lương:10 Tr - 15 Tr VND</t>
        </is>
      </c>
      <c r="F13745" t="inlineStr">
        <is>
          <t>Bình Dương</t>
        </is>
      </c>
      <c r="G13745" t="inlineStr">
        <is>
          <t>30-04-2026</t>
        </is>
      </c>
      <c r="H13745" t="inlineStr">
        <is>
          <t>30/04/2026</t>
        </is>
      </c>
      <c r="I13745" t="inlineStr">
        <is>
          <t>17/03/2026</t>
        </is>
      </c>
      <c r="J13745" t="inlineStr">
        <is>
          <t>Nhân sự, Hành chính / Thư ký, Xây dựng</t>
        </is>
      </c>
      <c r="K13745" t="inlineStr">
        <is>
          <t>1 - 3 Năm</t>
        </is>
      </c>
      <c r="L13745" s="8">
        <f>HYPERLINK("https://careerviet.vn/vi/tim-viec-lam/tuyen-gap-nhan-vien-tuyen-dung-dao-tao.35C6B65E.html","Xem chi tiết")</f>
        <v/>
      </c>
    </row>
    <row r="13746">
      <c r="B13746" s="9" t="n">
        <v>13744</v>
      </c>
      <c r="C13746" s="10" t="inlineStr">
        <is>
          <t>HR Manager (Talent Management &amp; HRBP)</t>
        </is>
      </c>
      <c r="D13746" s="10" t="inlineStr">
        <is>
          <t>Công ty cổ phần Nafoods Group</t>
        </is>
      </c>
      <c r="E13746" s="10" t="inlineStr">
        <is>
          <t>Lương:Cạnh tranh</t>
        </is>
      </c>
      <c r="F13746" s="10" t="inlineStr">
        <is>
          <t>Hồ Chí Minh</t>
        </is>
      </c>
      <c r="G13746" s="10" t="inlineStr">
        <is>
          <t>31-03-2026</t>
        </is>
      </c>
      <c r="H13746" s="10" t="inlineStr">
        <is>
          <t>31/03/2026</t>
        </is>
      </c>
      <c r="I13746" s="10" t="inlineStr">
        <is>
          <t>17/03/2026</t>
        </is>
      </c>
      <c r="J13746" s="10" t="inlineStr">
        <is>
          <t>Nhân sự, Hành chính / Thư ký, Quản lý điều hành</t>
        </is>
      </c>
      <c r="K13746" s="10" t="inlineStr">
        <is>
          <t>5 - 6 Năm</t>
        </is>
      </c>
      <c r="L13746" s="11">
        <f>HYPERLINK("https://careerviet.vn/vi/tim-viec-lam/hr-manager-talent-management-hrbp.35C6AFF3.html","Xem chi tiết")</f>
        <v/>
      </c>
      <c r="M13746" s="10" t="n"/>
    </row>
    <row r="13747">
      <c r="B13747" s="7" t="n">
        <v>13745</v>
      </c>
      <c r="C13747" t="inlineStr">
        <is>
          <t>Giám Sát Cơ Điện</t>
        </is>
      </c>
      <c r="D13747" t="inlineStr">
        <is>
          <t>CÔNG TY CỔ PHẦN ĐẦU TƯ XÂY DỰNG ENTIZ</t>
        </is>
      </c>
      <c r="E13747" t="inlineStr">
        <is>
          <t>Lương:20 Tr - 25 Tr VND</t>
        </is>
      </c>
      <c r="F13747" t="inlineStr">
        <is>
          <t>Lào Cai</t>
        </is>
      </c>
      <c r="G13747" t="inlineStr">
        <is>
          <t>04-04-2026</t>
        </is>
      </c>
      <c r="H13747" t="inlineStr">
        <is>
          <t>04/04/2026</t>
        </is>
      </c>
      <c r="I13747" t="inlineStr">
        <is>
          <t>17/03/2026</t>
        </is>
      </c>
      <c r="J13747" t="inlineStr">
        <is>
          <t>Xây dựng</t>
        </is>
      </c>
      <c r="K13747" t="inlineStr">
        <is>
          <t>3 - 5 Năm</t>
        </is>
      </c>
      <c r="L13747" s="8">
        <f>HYPERLINK("https://careerviet.vn/vi/tim-viec-lam/giam-sat-co-dien.35C6C1C1.html","Xem chi tiết")</f>
        <v/>
      </c>
    </row>
    <row r="13748">
      <c r="B13748" s="9" t="n">
        <v>13746</v>
      </c>
      <c r="C13748" s="10" t="inlineStr">
        <is>
          <t>Senior Ecommerce Performance</t>
        </is>
      </c>
      <c r="D13748" s="10" t="inlineStr">
        <is>
          <t>HMK Eyewear</t>
        </is>
      </c>
      <c r="E13748" s="10" t="inlineStr">
        <is>
          <t>Lương:Cạnh tranh</t>
        </is>
      </c>
      <c r="F13748" s="10" t="inlineStr">
        <is>
          <t>Hồ Chí Minh</t>
        </is>
      </c>
      <c r="G13748" s="10" t="inlineStr">
        <is>
          <t>31-03-2026</t>
        </is>
      </c>
      <c r="H13748" s="10" t="inlineStr">
        <is>
          <t>31/03/2026</t>
        </is>
      </c>
      <c r="I13748" s="10" t="inlineStr">
        <is>
          <t>17/03/2026</t>
        </is>
      </c>
      <c r="J13748" s="10" t="inlineStr">
        <is>
          <t>Tiếp thị / Marketing, Thương mại điện tử, Tiếp thị trực tuyến</t>
        </is>
      </c>
      <c r="K13748" s="10" t="inlineStr">
        <is>
          <t>2 - 3 Năm</t>
        </is>
      </c>
      <c r="L13748" s="11">
        <f>HYPERLINK("https://careerviet.vn/vi/tim-viec-lam/senior-ecommerce-performance.35C6C1CB.html","Xem chi tiết")</f>
        <v/>
      </c>
      <c r="M13748" s="10" t="n"/>
    </row>
    <row r="13749">
      <c r="B13749" s="7" t="n">
        <v>13747</v>
      </c>
      <c r="C13749" t="inlineStr">
        <is>
          <t>Chuyên viên Tư vấn tuyển sinh ở Hà Nội</t>
        </is>
      </c>
      <c r="D13749" t="inlineStr">
        <is>
          <t>Công ty CP Công nghệ giáo dục Trường học trực tuyến (ONSCHOOL)</t>
        </is>
      </c>
      <c r="E13749" t="inlineStr">
        <is>
          <t>Lương:16 Tr - 36 Tr VND</t>
        </is>
      </c>
      <c r="F13749" t="inlineStr">
        <is>
          <t>Hà Nội</t>
        </is>
      </c>
      <c r="G13749" t="inlineStr">
        <is>
          <t>30-03-2026</t>
        </is>
      </c>
      <c r="H13749" t="inlineStr">
        <is>
          <t>30/03/2026</t>
        </is>
      </c>
      <c r="I13749" t="inlineStr">
        <is>
          <t>17/03/2026</t>
        </is>
      </c>
      <c r="J13749" t="inlineStr">
        <is>
          <t>Bán hàng / Kinh doanh, Giáo dục / Đào tạo</t>
        </is>
      </c>
      <c r="K13749" t="inlineStr">
        <is>
          <t>1 - 2 Năm</t>
        </is>
      </c>
      <c r="L13749" s="8">
        <f>HYPERLINK("https://careerviet.vn/vi/tim-viec-lam/chuyen-vien-tu-van-tuyen-sinh-o-ha-noi.35C6C1CD.html","Xem chi tiết")</f>
        <v/>
      </c>
    </row>
    <row r="13750">
      <c r="B13750" s="9" t="n">
        <v>13748</v>
      </c>
      <c r="C13750" s="10" t="inlineStr">
        <is>
          <t>OEM Account Manager</t>
        </is>
      </c>
      <c r="D13750" s="10" t="inlineStr">
        <is>
          <t>Công Ty TNHH Maker Sixty Four</t>
        </is>
      </c>
      <c r="E13750" s="10" t="inlineStr">
        <is>
          <t>Lương:Cạnh tranh</t>
        </is>
      </c>
      <c r="F13750" s="10" t="inlineStr">
        <is>
          <t>Long An</t>
        </is>
      </c>
      <c r="G13750" s="10" t="inlineStr">
        <is>
          <t>6</t>
        </is>
      </c>
      <c r="H13750" s="10" t="inlineStr">
        <is>
          <t>23/03/2026</t>
        </is>
      </c>
      <c r="I13750" s="10" t="inlineStr">
        <is>
          <t>17/03/2026</t>
        </is>
      </c>
      <c r="J13750" s="10" t="inlineStr">
        <is>
          <t>Bán hàng / Kinh doanh, Nội ngoại thất</t>
        </is>
      </c>
      <c r="K13750" s="10" t="inlineStr">
        <is>
          <t>2 - 4 Năm</t>
        </is>
      </c>
      <c r="L13750" s="11">
        <f>HYPERLINK("https://careerviet.vn/vi/tim-viec-lam/oem-account-manager.35C6653B.html","Xem chi tiết")</f>
        <v/>
      </c>
      <c r="M13750" s="10" t="n"/>
    </row>
    <row r="13751">
      <c r="B13751" s="7" t="n">
        <v>13749</v>
      </c>
      <c r="C13751" t="inlineStr">
        <is>
          <t>Nhân Viên Kỹ Thuật Điện</t>
        </is>
      </c>
      <c r="D13751" t="inlineStr">
        <is>
          <t>Tập Đoàn An Phát Holdings</t>
        </is>
      </c>
      <c r="E13751" t="inlineStr">
        <is>
          <t>Lương:14 Tr - 15 Tr VND</t>
        </is>
      </c>
      <c r="F13751" t="inlineStr">
        <is>
          <t>Hải Dương</t>
        </is>
      </c>
      <c r="G13751" t="inlineStr">
        <is>
          <t>11-04-2026</t>
        </is>
      </c>
      <c r="H13751" t="inlineStr">
        <is>
          <t>11/04/2026</t>
        </is>
      </c>
      <c r="I13751" t="inlineStr">
        <is>
          <t>17/03/2026</t>
        </is>
      </c>
      <c r="J13751" t="inlineStr">
        <is>
          <t>Điện / Điện tử / Điện lạnh / Điện công nghiệp, Cơ khí / Ô tô / Tự động hóa</t>
        </is>
      </c>
      <c r="K13751" t="inlineStr">
        <is>
          <t>N/A</t>
        </is>
      </c>
      <c r="L13751" s="8">
        <f>HYPERLINK("https://careerviet.vn/vi/tim-viec-lam/nhan-vien-ky-thuat-dien.35C6C147.html","Xem chi tiết")</f>
        <v/>
      </c>
    </row>
    <row r="13752">
      <c r="B13752" s="9" t="n">
        <v>13750</v>
      </c>
      <c r="C13752" s="10" t="inlineStr">
        <is>
          <t>Chuyên viên Theo dõi Hợp đồng (Hậu mãi)</t>
        </is>
      </c>
      <c r="D13752" s="10" t="inlineStr">
        <is>
          <t>Công Ty Cổ Phần Tập Đoàn Đầu Tư Địa Ốc No Va</t>
        </is>
      </c>
      <c r="E13752" s="10" t="inlineStr">
        <is>
          <t>Lương:Cạnh tranh</t>
        </is>
      </c>
      <c r="F13752" s="10" t="inlineStr">
        <is>
          <t>Hồ Chí Minh</t>
        </is>
      </c>
      <c r="G13752" s="10" t="inlineStr">
        <is>
          <t>30-04-2026</t>
        </is>
      </c>
      <c r="H13752" s="10" t="inlineStr">
        <is>
          <t>30/04/2026</t>
        </is>
      </c>
      <c r="I13752" s="10" t="inlineStr">
        <is>
          <t>17/03/2026</t>
        </is>
      </c>
      <c r="J13752" s="10" t="inlineStr">
        <is>
          <t>Dịch vụ khách hàng</t>
        </is>
      </c>
      <c r="K13752" s="10" t="inlineStr">
        <is>
          <t>5 - 7 Năm</t>
        </is>
      </c>
      <c r="L13752" s="11">
        <f>HYPERLINK("https://careerviet.vn/vi/tim-viec-lam/chuyen-vien-theo-doi-hop-dong-hau-mai.35C6C1BF.html","Xem chi tiết")</f>
        <v/>
      </c>
      <c r="M13752" s="10" t="n"/>
    </row>
    <row r="13753">
      <c r="B13753" s="7" t="n">
        <v>13751</v>
      </c>
      <c r="C13753" t="inlineStr">
        <is>
          <t>Lab Technician Food (R&amp;D Dairy)</t>
        </is>
      </c>
      <c r="D13753" t="inlineStr">
        <is>
          <t>Công Ty TNHH Brenntag Việt Nam</t>
        </is>
      </c>
      <c r="E13753" t="inlineStr">
        <is>
          <t>Lương:Cạnh tranh</t>
        </is>
      </c>
      <c r="F13753" t="inlineStr">
        <is>
          <t>Hồ Chí Minh</t>
        </is>
      </c>
      <c r="G13753" t="inlineStr">
        <is>
          <t>11-04-2026</t>
        </is>
      </c>
      <c r="H13753" t="inlineStr">
        <is>
          <t>11/04/2026</t>
        </is>
      </c>
      <c r="I13753" t="inlineStr">
        <is>
          <t>17/03/2026</t>
        </is>
      </c>
      <c r="J13753" t="inlineStr">
        <is>
          <t>Công nghệ thực phẩm / Dinh dưỡng</t>
        </is>
      </c>
      <c r="K13753" t="inlineStr">
        <is>
          <t>Trên 3 Năm</t>
        </is>
      </c>
      <c r="L13753" s="8">
        <f>HYPERLINK("https://careerviet.vn/vi/tim-viec-lam/lab-technician-food-r-d-dairy.35C6C14A.html","Xem chi tiết")</f>
        <v/>
      </c>
    </row>
    <row r="13754">
      <c r="B13754" s="9" t="n">
        <v>13752</v>
      </c>
      <c r="C13754" s="10" t="inlineStr">
        <is>
          <t>Product Development Assistant Manager</t>
        </is>
      </c>
      <c r="D13754" s="10" t="inlineStr">
        <is>
          <t>Vietnam Furniture Resources (VFR)</t>
        </is>
      </c>
      <c r="E13754" s="10" t="inlineStr">
        <is>
          <t>Lương:Cạnh tranh</t>
        </is>
      </c>
      <c r="F13754" s="10" t="inlineStr">
        <is>
          <t>Bình Dương</t>
        </is>
      </c>
      <c r="G13754" s="10" t="inlineStr">
        <is>
          <t>30-04-2026</t>
        </is>
      </c>
      <c r="H13754" s="10" t="inlineStr">
        <is>
          <t>30/04/2026</t>
        </is>
      </c>
      <c r="I13754" s="10" t="inlineStr">
        <is>
          <t>17/03/2026</t>
        </is>
      </c>
      <c r="J13754" s="10" t="inlineStr">
        <is>
          <t>Mỹ thuật / Nghệ thuật / Thiết kế, Thu mua / Vật tư, Đồ gỗ</t>
        </is>
      </c>
      <c r="K13754" s="10" t="inlineStr">
        <is>
          <t>5 - 10 Năm</t>
        </is>
      </c>
      <c r="L13754" s="11">
        <f>HYPERLINK("https://careerviet.vn/vi/tim-viec-lam/product-development-assistant-manager.35C6C124.html","Xem chi tiết")</f>
        <v/>
      </c>
      <c r="M13754" s="10" t="n"/>
    </row>
    <row r="13755">
      <c r="B13755" s="7" t="n">
        <v>13753</v>
      </c>
      <c r="C13755" t="inlineStr">
        <is>
          <t>Wood Production Manager</t>
        </is>
      </c>
      <c r="D13755" t="inlineStr">
        <is>
          <t>Vietnam Furniture Resources (VFR)</t>
        </is>
      </c>
      <c r="E13755" t="inlineStr">
        <is>
          <t>Lương:Cạnh tranh</t>
        </is>
      </c>
      <c r="F13755" t="inlineStr">
        <is>
          <t>Bình Dương</t>
        </is>
      </c>
      <c r="G13755" t="inlineStr">
        <is>
          <t>31-03-2026</t>
        </is>
      </c>
      <c r="H13755" t="inlineStr">
        <is>
          <t>31/03/2026</t>
        </is>
      </c>
      <c r="I13755" t="inlineStr">
        <is>
          <t>17/03/2026</t>
        </is>
      </c>
      <c r="J13755" t="inlineStr">
        <is>
          <t>Sản xuất / Vận hành sản xuất, Đồ gỗ, Nội ngoại thất</t>
        </is>
      </c>
      <c r="K13755" t="inlineStr">
        <is>
          <t>5 - 10 Năm</t>
        </is>
      </c>
      <c r="L13755" s="8">
        <f>HYPERLINK("https://careerviet.vn/vi/tim-viec-lam/wood-production-manager.35C6C132.html","Xem chi tiết")</f>
        <v/>
      </c>
    </row>
    <row r="13756">
      <c r="B13756" s="9" t="n">
        <v>13754</v>
      </c>
      <c r="C13756" s="10" t="inlineStr">
        <is>
          <t>Kế toán Kiểm soát Hợp đồng Bán và Công nợ - HO - 4D023</t>
        </is>
      </c>
      <c r="D13756" s="10" t="inlineStr">
        <is>
          <t>Tập đoàn ROX (ROX Group)</t>
        </is>
      </c>
      <c r="E13756" s="10" t="inlineStr">
        <is>
          <t>Lương:24 Tr - 28 Tr VND</t>
        </is>
      </c>
      <c r="F13756" s="10" t="inlineStr">
        <is>
          <t>Hà Nội</t>
        </is>
      </c>
      <c r="G13756" s="10" t="inlineStr">
        <is>
          <t>08-04-2026</t>
        </is>
      </c>
      <c r="H13756" s="10" t="inlineStr">
        <is>
          <t>08/04/2026</t>
        </is>
      </c>
      <c r="I13756" s="10" t="inlineStr">
        <is>
          <t>17/03/2026</t>
        </is>
      </c>
      <c r="J13756" s="10" t="inlineStr">
        <is>
          <t>Kế toán / Kiểm toán</t>
        </is>
      </c>
      <c r="K13756" s="10" t="inlineStr">
        <is>
          <t>Trên 3 Năm</t>
        </is>
      </c>
      <c r="L13756" s="11">
        <f>HYPERLINK("https://careerviet.vn/vi/tim-viec-lam/ke-toan-kiem-soat-hop-dong-ban-va-cong-no-ho-4d023.35C6C140.html","Xem chi tiết")</f>
        <v/>
      </c>
      <c r="M13756" s="10" t="n"/>
    </row>
    <row r="13757">
      <c r="B13757" s="7" t="n">
        <v>13755</v>
      </c>
      <c r="C13757" t="inlineStr">
        <is>
          <t>Trưởng Phòng Kinh Doanh Quốc Tế</t>
        </is>
      </c>
      <c r="D13757" t="inlineStr">
        <is>
          <t>Công Ty TNHH Xuất Nhập Khẩu Thái Châu</t>
        </is>
      </c>
      <c r="E13757" t="inlineStr">
        <is>
          <t>Lương:Cạnh tranh</t>
        </is>
      </c>
      <c r="F13757" t="inlineStr">
        <is>
          <t>Hồ Chí Minh</t>
        </is>
      </c>
      <c r="G13757" t="inlineStr">
        <is>
          <t>11-04-2026</t>
        </is>
      </c>
      <c r="H13757" t="inlineStr">
        <is>
          <t>11/04/2026</t>
        </is>
      </c>
      <c r="I13757" t="inlineStr">
        <is>
          <t>17/03/2026</t>
        </is>
      </c>
      <c r="J13757" t="inlineStr">
        <is>
          <t>Bán hàng / Kinh doanh, Xây dựng, Xuất nhập khẩu</t>
        </is>
      </c>
      <c r="K13757" t="inlineStr">
        <is>
          <t>3 - 5 Năm</t>
        </is>
      </c>
      <c r="L13757" s="8">
        <f>HYPERLINK("https://careerviet.vn/vi/tim-viec-lam/truong-phong-kinh-doanh-quoc-te.35C6C0A4.html","Xem chi tiết")</f>
        <v/>
      </c>
    </row>
    <row r="13758">
      <c r="B13758" s="9" t="n">
        <v>13756</v>
      </c>
      <c r="C13758" s="10" t="inlineStr">
        <is>
          <t>Kỹ Sư Kỹ Thuật Thiết Bị</t>
        </is>
      </c>
      <c r="D13758" s="10" t="inlineStr">
        <is>
          <t>CÔNG TY CỔ PHẦN THIẾT BỊ CÔNG NGHIỆP GEIC</t>
        </is>
      </c>
      <c r="E13758" s="10" t="inlineStr">
        <is>
          <t>Lương:Cạnh tranh</t>
        </is>
      </c>
      <c r="F13758" s="10" t="inlineStr">
        <is>
          <t>Hà Nội</t>
        </is>
      </c>
      <c r="G13758" s="10" t="inlineStr">
        <is>
          <t>11-04-2026</t>
        </is>
      </c>
      <c r="H13758" s="10" t="inlineStr">
        <is>
          <t>11/04/2026</t>
        </is>
      </c>
      <c r="I13758" s="10" t="inlineStr">
        <is>
          <t>17/03/2026</t>
        </is>
      </c>
      <c r="J13758" s="10" t="inlineStr">
        <is>
          <t>Điện / Điện tử / Điện lạnh / Điện công nghiệp, Bảo trì / Sửa chữa, Cơ khí / Ô tô / Tự động hóa</t>
        </is>
      </c>
      <c r="K13758" s="10" t="inlineStr">
        <is>
          <t>Trên 3 Năm</t>
        </is>
      </c>
      <c r="L13758" s="11">
        <f>HYPERLINK("https://careerviet.vn/vi/tim-viec-lam/ky-su-ky-thuat-thiet-bi.35C6C0E5.html","Xem chi tiết")</f>
        <v/>
      </c>
      <c r="M13758" s="10" t="n"/>
    </row>
    <row r="13759">
      <c r="B13759" s="7" t="n">
        <v>13757</v>
      </c>
      <c r="C13759" t="inlineStr">
        <is>
          <t>Chuyên viên vật tư</t>
        </is>
      </c>
      <c r="D13759" t="inlineStr">
        <is>
          <t>BIM Group</t>
        </is>
      </c>
      <c r="E13759" t="inlineStr">
        <is>
          <t>Lương:Cạnh tranh</t>
        </is>
      </c>
      <c r="F13759" t="inlineStr">
        <is>
          <t>Khánh Hòa</t>
        </is>
      </c>
      <c r="G13759" t="inlineStr">
        <is>
          <t>30-04-2026</t>
        </is>
      </c>
      <c r="H13759" t="inlineStr">
        <is>
          <t>30/04/2026</t>
        </is>
      </c>
      <c r="I13759" t="inlineStr">
        <is>
          <t>17/03/2026</t>
        </is>
      </c>
      <c r="J13759" t="inlineStr">
        <is>
          <t>Thu mua / Vật tư</t>
        </is>
      </c>
      <c r="K13759" t="inlineStr">
        <is>
          <t>1 - 3 Năm</t>
        </is>
      </c>
      <c r="L13759" s="8">
        <f>HYPERLINK("https://careerviet.vn/vi/tim-viec-lam/chuyen-vien-vat-tu.35C6BF01.html","Xem chi tiết")</f>
        <v/>
      </c>
    </row>
    <row r="13760">
      <c r="B13760" s="9" t="n">
        <v>13758</v>
      </c>
      <c r="C13760" s="10" t="inlineStr">
        <is>
          <t>Nhân viên Dự toán đấu thầu</t>
        </is>
      </c>
      <c r="D13760" s="10" t="inlineStr">
        <is>
          <t>CÔNG TY CỔ PHẦN CƠ ĐIỆN VÀ PCCC THĂNG LONG</t>
        </is>
      </c>
      <c r="E13760" s="10" t="inlineStr">
        <is>
          <t>Lương:16 Tr - 18 Tr VND</t>
        </is>
      </c>
      <c r="F13760" s="10" t="inlineStr">
        <is>
          <t>Hà Nội</t>
        </is>
      </c>
      <c r="G13760" s="10" t="inlineStr">
        <is>
          <t>10-04-2026</t>
        </is>
      </c>
      <c r="H13760" s="10" t="inlineStr">
        <is>
          <t>10/04/2026</t>
        </is>
      </c>
      <c r="I13760" s="10" t="inlineStr">
        <is>
          <t>17/03/2026</t>
        </is>
      </c>
      <c r="J13760" s="10" t="inlineStr">
        <is>
          <t>Xây dựng, Ngành khác, Quản lý chất lượng (QA/QC)</t>
        </is>
      </c>
      <c r="K13760" s="10" t="inlineStr">
        <is>
          <t>1 - 2 Năm</t>
        </is>
      </c>
      <c r="L13760" s="11">
        <f>HYPERLINK("https://careerviet.vn/vi/tim-viec-lam/nhan-vien-du-toan-dau-thau.35C6C145.html","Xem chi tiết")</f>
        <v/>
      </c>
      <c r="M13760" s="10" t="n"/>
    </row>
    <row r="13761">
      <c r="B13761" s="7" t="n">
        <v>13759</v>
      </c>
      <c r="C13761" t="inlineStr">
        <is>
          <t>Kỹ sư cơ khí/ Mechanical Engineer</t>
        </is>
      </c>
      <c r="D13761" t="inlineStr">
        <is>
          <t>Công ty TNHH Việt Dũng Sài Gòn</t>
        </is>
      </c>
      <c r="E13761" t="inlineStr">
        <is>
          <t>Lương:10 Tr - 15 Tr VND</t>
        </is>
      </c>
      <c r="F13761" t="inlineStr">
        <is>
          <t>Hồ Chí Minh</t>
        </is>
      </c>
      <c r="G13761" t="inlineStr">
        <is>
          <t>30-04-2026</t>
        </is>
      </c>
      <c r="H13761" t="inlineStr">
        <is>
          <t>30/04/2026</t>
        </is>
      </c>
      <c r="I13761" t="inlineStr">
        <is>
          <t>17/03/2026</t>
        </is>
      </c>
      <c r="J13761" t="inlineStr">
        <is>
          <t>Cơ khí / Ô tô / Tự động hóa, Bảo trì / Sửa chữa</t>
        </is>
      </c>
      <c r="K13761" t="inlineStr">
        <is>
          <t>1 - 3 Năm</t>
        </is>
      </c>
      <c r="L13761" s="8">
        <f>HYPERLINK("https://careerviet.vn/vi/tim-viec-lam/ky-su-co-khi-mechanical-engineer.35C6C136.html","Xem chi tiết")</f>
        <v/>
      </c>
    </row>
    <row r="13762">
      <c r="B13762" s="9" t="n">
        <v>13760</v>
      </c>
      <c r="C13762" s="10" t="inlineStr">
        <is>
          <t>Nhân viên thiết kế</t>
        </is>
      </c>
      <c r="D13762" s="10" t="inlineStr">
        <is>
          <t>Công ty TNHH TM&amp;DV Phân Phối Ánh Dương</t>
        </is>
      </c>
      <c r="E13762" s="10" t="inlineStr">
        <is>
          <t>Lương:Cạnh tranh</t>
        </is>
      </c>
      <c r="F13762" s="10" t="inlineStr">
        <is>
          <t>Hà Nội</t>
        </is>
      </c>
      <c r="G13762" s="10" t="inlineStr">
        <is>
          <t>30-04-2026</t>
        </is>
      </c>
      <c r="H13762" s="10" t="inlineStr">
        <is>
          <t>30/04/2026</t>
        </is>
      </c>
      <c r="I13762" s="10" t="inlineStr">
        <is>
          <t>17/03/2026</t>
        </is>
      </c>
      <c r="J13762" s="10" t="inlineStr">
        <is>
          <t>Tiếp thị / Marketing, Mỹ thuật / Nghệ thuật / Thiết kế, Quảng cáo / Đối ngoại / Truyền Thông</t>
        </is>
      </c>
      <c r="K13762" s="10" t="inlineStr">
        <is>
          <t>3 - 4 Năm</t>
        </is>
      </c>
      <c r="L13762" s="11">
        <f>HYPERLINK("https://careerviet.vn/vi/tim-viec-lam/nhan-vien-thiet-ke.35C6BFC8.html","Xem chi tiết")</f>
        <v/>
      </c>
      <c r="M13762" s="10" t="n"/>
    </row>
    <row r="13763">
      <c r="B13763" s="7" t="n">
        <v>13761</v>
      </c>
      <c r="C13763" t="inlineStr">
        <is>
          <t>E-COMMERCE GROWTH LEADER</t>
        </is>
      </c>
      <c r="D13763" t="inlineStr">
        <is>
          <t>Tập Đoàn Karofi Holding</t>
        </is>
      </c>
      <c r="E13763" t="inlineStr">
        <is>
          <t>Lương:Cạnh tranh</t>
        </is>
      </c>
      <c r="F13763" t="inlineStr">
        <is>
          <t>Hồ Chí Minh</t>
        </is>
      </c>
      <c r="G13763" t="inlineStr">
        <is>
          <t>30-03-2026</t>
        </is>
      </c>
      <c r="H13763" t="inlineStr">
        <is>
          <t>30/03/2026</t>
        </is>
      </c>
      <c r="I13763" t="inlineStr">
        <is>
          <t>17/03/2026</t>
        </is>
      </c>
      <c r="J13763" t="inlineStr">
        <is>
          <t>Quản lý điều hành, Ngành khác</t>
        </is>
      </c>
      <c r="K13763" t="inlineStr">
        <is>
          <t>5 - 7 Năm</t>
        </is>
      </c>
      <c r="L13763" s="8">
        <f>HYPERLINK("https://careerviet.vn/vi/tim-viec-lam/e-commerce-growth-leader.35C6C142.html","Xem chi tiết")</f>
        <v/>
      </c>
    </row>
    <row r="13764">
      <c r="B13764" s="9" t="n">
        <v>13762</v>
      </c>
      <c r="C13764" s="10" t="inlineStr">
        <is>
          <t>NHÂN VIÊN KẾ TOÁN</t>
        </is>
      </c>
      <c r="D13764" s="10" t="inlineStr">
        <is>
          <t>CÔNG TY TNHH CƯỜNG QUẬT</t>
        </is>
      </c>
      <c r="E13764" s="10" t="inlineStr">
        <is>
          <t>Lương:9 Tr - 10 Tr VND</t>
        </is>
      </c>
      <c r="F13764" s="10" t="inlineStr">
        <is>
          <t>Hồ Chí Minh</t>
        </is>
      </c>
      <c r="G13764" s="10" t="inlineStr">
        <is>
          <t>11-04-2026</t>
        </is>
      </c>
      <c r="H13764" s="10" t="inlineStr">
        <is>
          <t>11/04/2026</t>
        </is>
      </c>
      <c r="I13764" s="10" t="inlineStr">
        <is>
          <t>17/03/2026</t>
        </is>
      </c>
      <c r="J13764" s="10" t="inlineStr">
        <is>
          <t>Kế toán / Kiểm toán, Bán hàng / Kinh doanh</t>
        </is>
      </c>
      <c r="K13764" s="10" t="inlineStr">
        <is>
          <t>Trên 1 Năm</t>
        </is>
      </c>
      <c r="L13764" s="11">
        <f>HYPERLINK("https://careerviet.vn/vi/tim-viec-lam/nhan-vien-ke-toan.35C6BBCC.html","Xem chi tiết")</f>
        <v/>
      </c>
      <c r="M13764" s="10" t="n"/>
    </row>
    <row r="13765">
      <c r="B13765" s="7" t="n">
        <v>13763</v>
      </c>
      <c r="C13765" t="inlineStr">
        <is>
          <t>Nhân viên may mẫu - thợ may</t>
        </is>
      </c>
      <c r="D13765" t="inlineStr">
        <is>
          <t>Công Ty Cổ Phần Tập Đoàn Thời Trang Việt Nam</t>
        </is>
      </c>
      <c r="E13765" t="inlineStr">
        <is>
          <t>Lương:10 Tr - 15 Tr VND</t>
        </is>
      </c>
      <c r="F13765" t="inlineStr">
        <is>
          <t>Hà Nội</t>
        </is>
      </c>
      <c r="G13765" t="inlineStr">
        <is>
          <t>10-04-2026</t>
        </is>
      </c>
      <c r="H13765" t="inlineStr">
        <is>
          <t>10/04/2026</t>
        </is>
      </c>
      <c r="I13765" t="inlineStr">
        <is>
          <t>17/03/2026</t>
        </is>
      </c>
      <c r="J13765" t="inlineStr">
        <is>
          <t>Mỹ thuật / Nghệ thuật / Thiết kế, Dệt may / Da giày / Thời trang, Quản lý chất lượng (QA/QC)</t>
        </is>
      </c>
      <c r="K13765" t="inlineStr">
        <is>
          <t>2 - 3 Năm</t>
        </is>
      </c>
      <c r="L13765" s="8">
        <f>HYPERLINK("https://careerviet.vn/vi/tim-viec-lam/nhan-vien-may-mau-tho-may.35C6C146.html","Xem chi tiết")</f>
        <v/>
      </c>
    </row>
    <row r="13766">
      <c r="B13766" s="9" t="n">
        <v>13764</v>
      </c>
      <c r="C13766" s="10" t="inlineStr">
        <is>
          <t>Chuyên viên IT - DEV Full Stack</t>
        </is>
      </c>
      <c r="D13766" s="10" t="inlineStr">
        <is>
          <t>CÔNG TY TNHH XUẤT NHẬP KHẨU MT GROUP</t>
        </is>
      </c>
      <c r="E13766" s="10" t="inlineStr">
        <is>
          <t>Lương:12 Tr - 16 Tr VND</t>
        </is>
      </c>
      <c r="F13766" s="10" t="inlineStr">
        <is>
          <t>Hồ Chí Minh</t>
        </is>
      </c>
      <c r="G13766" s="10" t="inlineStr">
        <is>
          <t>30-05-2026</t>
        </is>
      </c>
      <c r="H13766" s="10" t="inlineStr">
        <is>
          <t>30/05/2026</t>
        </is>
      </c>
      <c r="I13766" s="10" t="inlineStr">
        <is>
          <t>17/03/2026</t>
        </is>
      </c>
      <c r="J13766" s="10" t="inlineStr">
        <is>
          <t>CNTT - Phần mềm</t>
        </is>
      </c>
      <c r="K13766" s="10" t="inlineStr">
        <is>
          <t>Trên 2 Năm</t>
        </is>
      </c>
      <c r="L13766" s="11">
        <f>HYPERLINK("https://careerviet.vn/vi/tim-viec-lam/chuyen-vien-it-dev-full-stack.35C6C130.html","Xem chi tiết")</f>
        <v/>
      </c>
      <c r="M13766" s="10" t="n"/>
    </row>
    <row r="13767">
      <c r="B13767" s="7" t="n">
        <v>13765</v>
      </c>
      <c r="C13767" t="inlineStr">
        <is>
          <t>Nhân Viên Đấu Thầu Cơ Điện/PCCC</t>
        </is>
      </c>
      <c r="D13767" t="inlineStr">
        <is>
          <t>CÔNG TY CỔ PHẦN CƠ ĐIỆN VÀ PCCC THĂNG LONG</t>
        </is>
      </c>
      <c r="E13767" t="inlineStr">
        <is>
          <t>Lương:14 Tr - 18 Tr VND</t>
        </is>
      </c>
      <c r="F13767" t="inlineStr">
        <is>
          <t>Hà Nội</t>
        </is>
      </c>
      <c r="G13767" t="inlineStr">
        <is>
          <t>10-04-2026</t>
        </is>
      </c>
      <c r="H13767" t="inlineStr">
        <is>
          <t>10/04/2026</t>
        </is>
      </c>
      <c r="I13767" t="inlineStr">
        <is>
          <t>17/03/2026</t>
        </is>
      </c>
      <c r="J13767" t="inlineStr">
        <is>
          <t>Điện / Điện tử / Điện lạnh / Điện công nghiệp, Xây dựng, Ngành khác</t>
        </is>
      </c>
      <c r="K13767" t="inlineStr">
        <is>
          <t>1 - 2 Năm</t>
        </is>
      </c>
      <c r="L13767" s="8">
        <f>HYPERLINK("https://careerviet.vn/vi/tim-viec-lam/nhan-vien-dau-thau-co-dien-pccc.35C6C139.html","Xem chi tiết")</f>
        <v/>
      </c>
    </row>
    <row r="13768">
      <c r="B13768" s="9" t="n">
        <v>13766</v>
      </c>
      <c r="C13768" s="10" t="inlineStr">
        <is>
          <t>Kỹ Sư Kỹ Thuật Sản Xuất</t>
        </is>
      </c>
      <c r="D13768" s="10" t="inlineStr">
        <is>
          <t>CÔNG TY CỔ PHẦN THIẾT BỊ CÔNG NGHIỆP GEIC</t>
        </is>
      </c>
      <c r="E13768" s="10" t="inlineStr">
        <is>
          <t>Lương:Cạnh tranh</t>
        </is>
      </c>
      <c r="F13768" s="10" t="inlineStr">
        <is>
          <t>Hà Nội</t>
        </is>
      </c>
      <c r="G13768" s="10" t="inlineStr">
        <is>
          <t>11-04-2026</t>
        </is>
      </c>
      <c r="H13768" s="10" t="inlineStr">
        <is>
          <t>11/04/2026</t>
        </is>
      </c>
      <c r="I13768" s="10" t="inlineStr">
        <is>
          <t>17/03/2026</t>
        </is>
      </c>
      <c r="J13768" s="10" t="inlineStr">
        <is>
          <t>Sản xuất / Vận hành sản xuất, Bảo trì / Sửa chữa</t>
        </is>
      </c>
      <c r="K13768" s="10" t="inlineStr">
        <is>
          <t>Trên 3 Năm</t>
        </is>
      </c>
      <c r="L13768" s="11">
        <f>HYPERLINK("https://careerviet.vn/vi/tim-viec-lam/ky-su-ky-thuat-san-xuat.35C6C0BC.html","Xem chi tiết")</f>
        <v/>
      </c>
      <c r="M13768" s="10" t="n"/>
    </row>
    <row r="13769">
      <c r="B13769" s="7" t="n">
        <v>13767</v>
      </c>
      <c r="C13769" t="inlineStr">
        <is>
          <t>Chuyên viên chăm sóc khách hàng</t>
        </is>
      </c>
      <c r="D13769" t="inlineStr">
        <is>
          <t>Công ty CP Công nghệ giáo dục Trường học trực tuyến (ONSCHOOL)</t>
        </is>
      </c>
      <c r="E13769" t="inlineStr">
        <is>
          <t>Lương:13 Tr - 20 Tr VND</t>
        </is>
      </c>
      <c r="F13769" t="inlineStr">
        <is>
          <t>Hồ Chí Minh</t>
        </is>
      </c>
      <c r="G13769" t="inlineStr">
        <is>
          <t>3</t>
        </is>
      </c>
      <c r="H13769" t="inlineStr">
        <is>
          <t>20/03/2026</t>
        </is>
      </c>
      <c r="I13769" t="inlineStr">
        <is>
          <t>17/03/2026</t>
        </is>
      </c>
      <c r="J13769" t="inlineStr">
        <is>
          <t>Dịch vụ khách hàng, Giáo dục / Đào tạo</t>
        </is>
      </c>
      <c r="K13769" t="inlineStr">
        <is>
          <t>2 - 3 Năm</t>
        </is>
      </c>
      <c r="L13769" s="8">
        <f>HYPERLINK("https://careerviet.vn/vi/tim-viec-lam/chuyen-vien-cham-soc-khach-hang.35C6C1CA.html","Xem chi tiết")</f>
        <v/>
      </c>
    </row>
    <row r="13770">
      <c r="B13770" s="9" t="n">
        <v>13768</v>
      </c>
      <c r="C13770" s="10" t="inlineStr">
        <is>
          <t>Kỹ Sư Chất Lượng</t>
        </is>
      </c>
      <c r="D13770" s="10" t="inlineStr">
        <is>
          <t>CÔNG TY CỔ PHẦN THIẾT BỊ CÔNG NGHIỆP GEIC</t>
        </is>
      </c>
      <c r="E13770" s="10" t="inlineStr">
        <is>
          <t>Lương:Cạnh tranh</t>
        </is>
      </c>
      <c r="F13770" s="10" t="inlineStr">
        <is>
          <t>Hà Nội</t>
        </is>
      </c>
      <c r="G13770" s="10" t="inlineStr">
        <is>
          <t>11-04-2026</t>
        </is>
      </c>
      <c r="H13770" s="10" t="inlineStr">
        <is>
          <t>11/04/2026</t>
        </is>
      </c>
      <c r="I13770" s="10" t="inlineStr">
        <is>
          <t>17/03/2026</t>
        </is>
      </c>
      <c r="J13770" s="10" t="inlineStr">
        <is>
          <t>Quản lý chất lượng (QA/QC)</t>
        </is>
      </c>
      <c r="K13770" s="10" t="inlineStr">
        <is>
          <t>Trên 3 Năm</t>
        </is>
      </c>
      <c r="L13770" s="11">
        <f>HYPERLINK("https://careerviet.vn/vi/tim-viec-lam/ky-su-chat-luong.35C6C0D5.html","Xem chi tiết")</f>
        <v/>
      </c>
      <c r="M13770" s="10" t="n"/>
    </row>
    <row r="13771">
      <c r="B13771" s="7" t="n">
        <v>13769</v>
      </c>
      <c r="C13771" t="inlineStr">
        <is>
          <t>Thư ký giám đốc (Admin)</t>
        </is>
      </c>
      <c r="D13771" t="inlineStr">
        <is>
          <t>Công ty Cổ phần Nha khoa quốc tế Sing</t>
        </is>
      </c>
      <c r="E13771" t="inlineStr">
        <is>
          <t>Lương:10 Tr - 15 Tr VND</t>
        </is>
      </c>
      <c r="F13771" t="inlineStr">
        <is>
          <t>Hà Nội</t>
        </is>
      </c>
      <c r="G13771" t="inlineStr">
        <is>
          <t>30-04-2026</t>
        </is>
      </c>
      <c r="H13771" t="inlineStr">
        <is>
          <t>30/04/2026</t>
        </is>
      </c>
      <c r="I13771" t="inlineStr">
        <is>
          <t>17/03/2026</t>
        </is>
      </c>
      <c r="J13771" t="inlineStr">
        <is>
          <t>Y tế / Chăm sóc sức khỏe / Thẩm mỹ / Làm đẹp, Bán lẻ / Bán sỉ</t>
        </is>
      </c>
      <c r="K13771" t="inlineStr">
        <is>
          <t>2 - 3 Năm</t>
        </is>
      </c>
      <c r="L13771" s="8">
        <f>HYPERLINK("https://careerviet.vn/vi/tim-viec-lam/thu-ky-giam-doc-admin.35C6C122.html","Xem chi tiết")</f>
        <v/>
      </c>
    </row>
    <row r="13772">
      <c r="B13772" s="9" t="n">
        <v>13770</v>
      </c>
      <c r="C13772" s="10" t="inlineStr">
        <is>
          <t>[NovaDreams] Chuyên viên Hành chính - Nhân Sự</t>
        </is>
      </c>
      <c r="D13772" s="10" t="inlineStr">
        <is>
          <t>Bảo mật</t>
        </is>
      </c>
      <c r="E13772" s="10" t="inlineStr">
        <is>
          <t>Lương:Cạnh tranh</t>
        </is>
      </c>
      <c r="F13772" s="10" t="inlineStr">
        <is>
          <t>Lâm Đồng</t>
        </is>
      </c>
      <c r="G13772" s="10" t="inlineStr">
        <is>
          <t>11-04-2026</t>
        </is>
      </c>
      <c r="H13772" s="10" t="inlineStr">
        <is>
          <t>11/04/2026</t>
        </is>
      </c>
      <c r="I13772" s="10" t="inlineStr">
        <is>
          <t>17/03/2026</t>
        </is>
      </c>
      <c r="J13772" s="10" t="inlineStr">
        <is>
          <t>Hành chính / Thư ký, Nhân sự</t>
        </is>
      </c>
      <c r="K13772" s="10" t="inlineStr">
        <is>
          <t>5 - 15 Năm</t>
        </is>
      </c>
      <c r="L13772" s="11">
        <f>HYPERLINK("https://careerviet.vn/vi/tim-viec-lam/novadreams-chuyen-vien-hanh-chinh-nhan-su.35C6C072.html","Xem chi tiết")</f>
        <v/>
      </c>
      <c r="M13772" s="10" t="n"/>
    </row>
    <row r="13773">
      <c r="B13773" s="7" t="n">
        <v>13771</v>
      </c>
      <c r="C13773" t="inlineStr">
        <is>
          <t>Nhân viên Ban Dự án</t>
        </is>
      </c>
      <c r="D13773" t="inlineStr">
        <is>
          <t>Tập Đoàn An Phát Holdings</t>
        </is>
      </c>
      <c r="E13773" t="inlineStr">
        <is>
          <t>Lương:14 Tr - 17 Tr VND</t>
        </is>
      </c>
      <c r="F13773" t="inlineStr">
        <is>
          <t>Hải Dương</t>
        </is>
      </c>
      <c r="G13773" t="inlineStr">
        <is>
          <t>09-04-2026</t>
        </is>
      </c>
      <c r="H13773" t="inlineStr">
        <is>
          <t>09/04/2026</t>
        </is>
      </c>
      <c r="I13773" t="inlineStr">
        <is>
          <t>17/03/2026</t>
        </is>
      </c>
      <c r="J13773" t="inlineStr">
        <is>
          <t>Xây dựng</t>
        </is>
      </c>
      <c r="K13773" t="inlineStr">
        <is>
          <t>Trên 2 Năm</t>
        </is>
      </c>
      <c r="L13773" s="8">
        <f>HYPERLINK("https://careerviet.vn/vi/tim-viec-lam/nhan-vien-ban-du-an.35C6C120.html","Xem chi tiết")</f>
        <v/>
      </c>
    </row>
    <row r="13774">
      <c r="B13774" s="9" t="n">
        <v>13772</v>
      </c>
      <c r="C13774" s="10" t="inlineStr">
        <is>
          <t>Quản lý Kho / Giám sát kho</t>
        </is>
      </c>
      <c r="D13774" s="10" t="inlineStr">
        <is>
          <t>HMK Eyewear</t>
        </is>
      </c>
      <c r="E13774" s="10" t="inlineStr">
        <is>
          <t>Lương:Cạnh tranh</t>
        </is>
      </c>
      <c r="F13774" s="10" t="inlineStr">
        <is>
          <t>Hồ Chí Minh</t>
        </is>
      </c>
      <c r="G13774" s="10" t="inlineStr">
        <is>
          <t>30-04-2026</t>
        </is>
      </c>
      <c r="H13774" s="10" t="inlineStr">
        <is>
          <t>30/04/2026</t>
        </is>
      </c>
      <c r="I13774" s="10" t="inlineStr">
        <is>
          <t>17/03/2026</t>
        </is>
      </c>
      <c r="J13774" s="10" t="inlineStr">
        <is>
          <t>Hàng gia dụng / Chăm sóc cá nhân, Vận chuyển / Giao nhận / Kho vận, Lao động phổ thông</t>
        </is>
      </c>
      <c r="K13774" s="10" t="inlineStr">
        <is>
          <t>2 - 3 Năm</t>
        </is>
      </c>
      <c r="L13774" s="11">
        <f>HYPERLINK("https://careerviet.vn/vi/tim-viec-lam/quan-ly-kho-giam-sat-kho.35C6C127.html","Xem chi tiết")</f>
        <v/>
      </c>
      <c r="M13774" s="10" t="n"/>
    </row>
    <row r="13775">
      <c r="B13775" s="7" t="n">
        <v>13773</v>
      </c>
      <c r="C13775" t="inlineStr">
        <is>
          <t>R&amp;D Staff</t>
        </is>
      </c>
      <c r="D13775" t="inlineStr">
        <is>
          <t>DAEYOUNG ELECTRONICS VINA</t>
        </is>
      </c>
      <c r="E13775" t="inlineStr">
        <is>
          <t>Lương:Cạnh tranh</t>
        </is>
      </c>
      <c r="F13775" t="inlineStr">
        <is>
          <t>Hồ Chí Minh</t>
        </is>
      </c>
      <c r="G13775" t="inlineStr">
        <is>
          <t>30-05-2026</t>
        </is>
      </c>
      <c r="H13775" t="inlineStr">
        <is>
          <t>30/05/2026</t>
        </is>
      </c>
      <c r="I13775" t="inlineStr">
        <is>
          <t>17/03/2026</t>
        </is>
      </c>
      <c r="J13775" t="inlineStr">
        <is>
          <t>Điện / Điện tử / Điện lạnh / Điện công nghiệp, Cơ khí / Ô tô / Tự động hóa, Sản xuất / Vận hành sản xuất</t>
        </is>
      </c>
      <c r="K13775" t="inlineStr">
        <is>
          <t>Lên đến 2 Năm</t>
        </is>
      </c>
      <c r="L13775" s="8">
        <f>HYPERLINK("https://careerviet.vn/vi/tim-viec-lam/r-d-staff.35C6C0F2.html","Xem chi tiết")</f>
        <v/>
      </c>
    </row>
    <row r="13776">
      <c r="B13776" s="9" t="n">
        <v>13774</v>
      </c>
      <c r="C13776" s="10" t="inlineStr">
        <is>
          <t>Tuyển Dụng Nhân Viên Thuần CSKH 198 - Được Hướng Dẫn Chi Tiết Trước Khi Lên Line_[BSV]_[G1]</t>
        </is>
      </c>
      <c r="D13776" s="10" t="inlineStr">
        <is>
          <t>BellSystem24-Việt Nam</t>
        </is>
      </c>
      <c r="E13776" s="10" t="inlineStr">
        <is>
          <t>Lương:7 Tr - 10 Tr VND</t>
        </is>
      </c>
      <c r="F13776" s="10" t="inlineStr">
        <is>
          <t>Hồ Chí Minh</t>
        </is>
      </c>
      <c r="G13776" s="10" t="inlineStr">
        <is>
          <t>03-04-2026</t>
        </is>
      </c>
      <c r="H13776" s="10" t="inlineStr">
        <is>
          <t>03/04/2026</t>
        </is>
      </c>
      <c r="I13776" s="10" t="inlineStr">
        <is>
          <t>17/03/2026</t>
        </is>
      </c>
      <c r="J13776" s="10" t="inlineStr">
        <is>
          <t>Bưu chính viễn thông, Dịch vụ khách hàng, Mới tốt nghiệp / Thực tập</t>
        </is>
      </c>
      <c r="K13776" s="10" t="inlineStr">
        <is>
          <t>N/A</t>
        </is>
      </c>
      <c r="L13776" s="11">
        <f>HYPERLINK("https://careerviet.vn/vi/tim-viec-lam/tuyen-dung-nhan-vien-thuan-cskh-198-duoc-huong-dan-chi-tiet-truoc-khi-len-line_-bsv-_-g1.35C6C11B.html","Xem chi tiết")</f>
        <v/>
      </c>
      <c r="M13776" s="10" t="n"/>
    </row>
    <row r="13777">
      <c r="B13777" s="7" t="n">
        <v>13775</v>
      </c>
      <c r="C13777" t="inlineStr">
        <is>
          <t>Chuyên viên điều phối dự án</t>
        </is>
      </c>
      <c r="D13777" t="inlineStr">
        <is>
          <t>BIM Group</t>
        </is>
      </c>
      <c r="E13777" t="inlineStr">
        <is>
          <t>Lương:Cạnh tranh</t>
        </is>
      </c>
      <c r="F13777" t="inlineStr">
        <is>
          <t>Khánh Hòa</t>
        </is>
      </c>
      <c r="G13777" t="inlineStr">
        <is>
          <t>30-04-2026</t>
        </is>
      </c>
      <c r="H13777" t="inlineStr">
        <is>
          <t>30/04/2026</t>
        </is>
      </c>
      <c r="I13777" t="inlineStr">
        <is>
          <t>17/03/2026</t>
        </is>
      </c>
      <c r="J13777" t="inlineStr">
        <is>
          <t>Điện / Điện tử / Điện lạnh / Điện công nghiệp, Luật / Pháp lý, Ngành khác</t>
        </is>
      </c>
      <c r="K13777" t="inlineStr">
        <is>
          <t>3 - 5 Năm</t>
        </is>
      </c>
      <c r="L13777" s="8">
        <f>HYPERLINK("https://careerviet.vn/vi/tim-viec-lam/chuyen-vien-dieu-phoi-du-an.35C6BF08.html","Xem chi tiết")</f>
        <v/>
      </c>
    </row>
    <row r="13778">
      <c r="B13778" s="9" t="n">
        <v>13776</v>
      </c>
      <c r="C13778" s="10" t="inlineStr">
        <is>
          <t>Sales Admin</t>
        </is>
      </c>
      <c r="D13778" s="10" t="inlineStr">
        <is>
          <t>Công Ty CP Truyền Thông Quảng Cáo Song Hành</t>
        </is>
      </c>
      <c r="E13778" s="10" t="inlineStr">
        <is>
          <t>Lương:Cạnh tranh</t>
        </is>
      </c>
      <c r="F13778" s="10" t="inlineStr">
        <is>
          <t>Hồ Chí Minh</t>
        </is>
      </c>
      <c r="G13778" s="10" t="inlineStr">
        <is>
          <t>11-04-2026</t>
        </is>
      </c>
      <c r="H13778" s="10" t="inlineStr">
        <is>
          <t>11/04/2026</t>
        </is>
      </c>
      <c r="I13778" s="10" t="inlineStr">
        <is>
          <t>17/03/2026</t>
        </is>
      </c>
      <c r="J13778" s="10" t="inlineStr">
        <is>
          <t>Hành chính / Thư ký, Bán hàng / Kinh doanh, Tiếp thị / Marketing</t>
        </is>
      </c>
      <c r="K13778" s="10" t="inlineStr">
        <is>
          <t>N/A</t>
        </is>
      </c>
      <c r="L13778" s="11">
        <f>HYPERLINK("https://careerviet.vn/vi/tim-viec-lam/sales-admin.35C6C0EC.html","Xem chi tiết")</f>
        <v/>
      </c>
      <c r="M13778" s="10" t="n"/>
    </row>
    <row r="13779">
      <c r="B13779" s="7" t="n">
        <v>13777</v>
      </c>
      <c r="C13779" t="inlineStr">
        <is>
          <t>Nhân viên Kinh doanh Khách lẻ</t>
        </is>
      </c>
      <c r="D13779" t="inlineStr">
        <is>
          <t>Công Ty Cổ Phần Du Lịch Vietravel</t>
        </is>
      </c>
      <c r="E13779" t="inlineStr">
        <is>
          <t>Lương:Cạnh tranh</t>
        </is>
      </c>
      <c r="F13779" t="inlineStr">
        <is>
          <t>Hà Nội</t>
        </is>
      </c>
      <c r="G13779" t="inlineStr">
        <is>
          <t>08-05-2026</t>
        </is>
      </c>
      <c r="H13779" t="inlineStr">
        <is>
          <t>08/05/2026</t>
        </is>
      </c>
      <c r="I13779" t="inlineStr">
        <is>
          <t>17/03/2026</t>
        </is>
      </c>
      <c r="J13779" t="inlineStr">
        <is>
          <t>Nhà hàng / Khách sạn, Bán hàng / Kinh doanh, Du lịch</t>
        </is>
      </c>
      <c r="K13779" t="inlineStr">
        <is>
          <t>1 - 2 Năm</t>
        </is>
      </c>
      <c r="L13779" s="8">
        <f>HYPERLINK("https://careerviet.vn/vi/tim-viec-lam/nhan-vien-kinh-doanh-khach-le.35C6C119.html","Xem chi tiết")</f>
        <v/>
      </c>
    </row>
    <row r="13780">
      <c r="B13780" s="9" t="n">
        <v>13778</v>
      </c>
      <c r="C13780" s="10" t="inlineStr">
        <is>
          <t>Trưởng phòng Thu mua quốc tế</t>
        </is>
      </c>
      <c r="D13780" s="10" t="inlineStr">
        <is>
          <t>KING ELONG GROUP</t>
        </is>
      </c>
      <c r="E13780" s="10" t="inlineStr">
        <is>
          <t>Lương:18 Tr - 25 Tr VND</t>
        </is>
      </c>
      <c r="F13780" s="10" t="inlineStr">
        <is>
          <t>Hồ Chí Minh</t>
        </is>
      </c>
      <c r="G13780" s="10" t="inlineStr">
        <is>
          <t>10-04-2026</t>
        </is>
      </c>
      <c r="H13780" s="10" t="inlineStr">
        <is>
          <t>10/04/2026</t>
        </is>
      </c>
      <c r="I13780" s="10" t="inlineStr">
        <is>
          <t>17/03/2026</t>
        </is>
      </c>
      <c r="J13780" s="10" t="inlineStr">
        <is>
          <t>Thu mua / Vật tư</t>
        </is>
      </c>
      <c r="K13780" s="10" t="inlineStr">
        <is>
          <t>3 - 5 Năm</t>
        </is>
      </c>
      <c r="L13780" s="11">
        <f>HYPERLINK("https://careerviet.vn/vi/tim-viec-lam/truong-phong-thu-mua-quoc-te.35C6C009.html","Xem chi tiết")</f>
        <v/>
      </c>
      <c r="M13780" s="10" t="n"/>
    </row>
    <row r="13781">
      <c r="B13781" s="7" t="n">
        <v>13779</v>
      </c>
      <c r="C13781" t="inlineStr">
        <is>
          <t>Chuyên Viên C&amp;B</t>
        </is>
      </c>
      <c r="D13781" t="inlineStr">
        <is>
          <t>CÔNG TY CỔ PHẦN KẾT CẤU THÉP QH PLUS (QHPS)</t>
        </is>
      </c>
      <c r="E13781" t="inlineStr">
        <is>
          <t>Lương:14 Tr - 18 Tr VND</t>
        </is>
      </c>
      <c r="F13781" t="inlineStr">
        <is>
          <t>Bà Rịa - Vũng Tàu</t>
        </is>
      </c>
      <c r="G13781" t="inlineStr">
        <is>
          <t>11-04-2026</t>
        </is>
      </c>
      <c r="H13781" t="inlineStr">
        <is>
          <t>11/04/2026</t>
        </is>
      </c>
      <c r="I13781" t="inlineStr">
        <is>
          <t>17/03/2026</t>
        </is>
      </c>
      <c r="J13781" t="inlineStr">
        <is>
          <t>Nhân sự</t>
        </is>
      </c>
      <c r="K13781" t="inlineStr">
        <is>
          <t>2 - 3 Năm</t>
        </is>
      </c>
      <c r="L13781" s="8">
        <f>HYPERLINK("https://careerviet.vn/vi/tim-viec-lam/chuyen-vien-c-b.35C6C11C.html","Xem chi tiết")</f>
        <v/>
      </c>
    </row>
    <row r="13782">
      <c r="B13782" s="9" t="n">
        <v>13780</v>
      </c>
      <c r="C13782" s="10" t="inlineStr">
        <is>
          <t>Chuyên viên R&amp;D (Ngành nông nghiệp)</t>
        </is>
      </c>
      <c r="D13782" s="10" t="inlineStr">
        <is>
          <t>KING ELONG GROUP</t>
        </is>
      </c>
      <c r="E13782" s="10" t="inlineStr">
        <is>
          <t>Lương:13 Tr - 18 Tr VND</t>
        </is>
      </c>
      <c r="F13782" s="10" t="inlineStr">
        <is>
          <t>Hồ Chí Minh</t>
        </is>
      </c>
      <c r="G13782" s="10" t="inlineStr">
        <is>
          <t>10-04-2026</t>
        </is>
      </c>
      <c r="H13782" s="10" t="inlineStr">
        <is>
          <t>10/04/2026</t>
        </is>
      </c>
      <c r="I13782" s="10" t="inlineStr">
        <is>
          <t>17/03/2026</t>
        </is>
      </c>
      <c r="J13782" s="10" t="inlineStr">
        <is>
          <t>Nông nghiệp</t>
        </is>
      </c>
      <c r="K13782" s="10" t="inlineStr">
        <is>
          <t>2 - 3 Năm</t>
        </is>
      </c>
      <c r="L13782" s="11">
        <f>HYPERLINK("https://careerviet.vn/vi/tim-viec-lam/chuyen-vien-r-d-nganh-nong-nghiep.35C6C017.html","Xem chi tiết")</f>
        <v/>
      </c>
      <c r="M13782" s="10" t="n"/>
    </row>
    <row r="13783">
      <c r="B13783" s="7" t="n">
        <v>13781</v>
      </c>
      <c r="C13783" t="inlineStr">
        <is>
          <t>BSV Tuyển Dụng Nhân Viên Tư Vấn Data Có Sẵn - Lương Thưởng Cao Và Đào Tạo Miễn Phí_[BSV]_[G1]</t>
        </is>
      </c>
      <c r="D13783" t="inlineStr">
        <is>
          <t>BellSystem24-Việt Nam</t>
        </is>
      </c>
      <c r="E13783" t="inlineStr">
        <is>
          <t>Lương:8 Tr - 15 Tr VND</t>
        </is>
      </c>
      <c r="F13783" t="inlineStr">
        <is>
          <t>Hồ Chí Minh</t>
        </is>
      </c>
      <c r="G13783" t="inlineStr">
        <is>
          <t>03-04-2026</t>
        </is>
      </c>
      <c r="H13783" t="inlineStr">
        <is>
          <t>03/04/2026</t>
        </is>
      </c>
      <c r="I13783" t="inlineStr">
        <is>
          <t>17/03/2026</t>
        </is>
      </c>
      <c r="J13783" t="inlineStr">
        <is>
          <t>Bưu chính viễn thông, Dịch vụ khách hàng, Tư vấn</t>
        </is>
      </c>
      <c r="K13783" t="inlineStr">
        <is>
          <t>N/A</t>
        </is>
      </c>
      <c r="L13783" s="8">
        <f>HYPERLINK("https://careerviet.vn/vi/tim-viec-lam/bsv-tuyen-dung-nhan-vien-tu-van-data-co-san-luong-thuong-cao-va-dao-tao-mien-phi_-bsv-_-g1.35C6C0F5.html","Xem chi tiết")</f>
        <v/>
      </c>
    </row>
    <row r="13784">
      <c r="B13784" s="9" t="n">
        <v>13782</v>
      </c>
      <c r="C13784" s="10" t="inlineStr">
        <is>
          <t>Giám đốc kinh doanh - B2B Mảng phân bón</t>
        </is>
      </c>
      <c r="D13784" s="10" t="inlineStr">
        <is>
          <t>KING ELONG GROUP</t>
        </is>
      </c>
      <c r="E13784" s="10" t="inlineStr">
        <is>
          <t>Lương:30 Tr - 90 Tr VND</t>
        </is>
      </c>
      <c r="F13784" s="10" t="inlineStr">
        <is>
          <t>Hồ Chí Minh</t>
        </is>
      </c>
      <c r="G13784" s="10" t="inlineStr">
        <is>
          <t>10-04-2026</t>
        </is>
      </c>
      <c r="H13784" s="10" t="inlineStr">
        <is>
          <t>10/04/2026</t>
        </is>
      </c>
      <c r="I13784" s="10" t="inlineStr">
        <is>
          <t>17/03/2026</t>
        </is>
      </c>
      <c r="J13784" s="10" t="inlineStr">
        <is>
          <t>Bán hàng / Kinh doanh</t>
        </is>
      </c>
      <c r="K13784" s="10" t="inlineStr">
        <is>
          <t>3 - 5 Năm</t>
        </is>
      </c>
      <c r="L13784" s="11">
        <f>HYPERLINK("https://careerviet.vn/vi/tim-viec-lam/giam-doc-kinh-doanh-b2b-mang-phan-bon.35C6BFE4.html","Xem chi tiết")</f>
        <v/>
      </c>
      <c r="M13784" s="10" t="n"/>
    </row>
    <row r="13785">
      <c r="B13785" s="7" t="n">
        <v>13783</v>
      </c>
      <c r="C13785" t="inlineStr">
        <is>
          <t>Accountant (AR / Credit Control focus) (6-month contract)</t>
        </is>
      </c>
      <c r="D13785" t="inlineStr">
        <is>
          <t>PEB STEEL BUILDINGS CO., LTD.</t>
        </is>
      </c>
      <c r="E13785" t="inlineStr">
        <is>
          <t>Lương:Cạnh tranh</t>
        </is>
      </c>
      <c r="F13785" t="inlineStr">
        <is>
          <t>Hồ Chí Minh</t>
        </is>
      </c>
      <c r="G13785" t="inlineStr">
        <is>
          <t>30-04-2026</t>
        </is>
      </c>
      <c r="H13785" t="inlineStr">
        <is>
          <t>30/04/2026</t>
        </is>
      </c>
      <c r="I13785" t="inlineStr">
        <is>
          <t>17/03/2026</t>
        </is>
      </c>
      <c r="J13785" t="inlineStr">
        <is>
          <t>Xây dựng, Kế toán / Kiểm toán, Tài chính / Đầu tư</t>
        </is>
      </c>
      <c r="K13785" t="inlineStr">
        <is>
          <t>3 - 5 Năm</t>
        </is>
      </c>
      <c r="L13785" s="8">
        <f>HYPERLINK("https://careerviet.vn/vi/tim-viec-lam/accountant-ar-credit-control-focus-6-month-contract.35C6C11F.html","Xem chi tiết")</f>
        <v/>
      </c>
    </row>
    <row r="13786">
      <c r="B13786" s="9" t="n">
        <v>13784</v>
      </c>
      <c r="C13786" s="10" t="inlineStr">
        <is>
          <t>Chuyên viên Digital Marketing</t>
        </is>
      </c>
      <c r="D13786" s="10" t="inlineStr">
        <is>
          <t>Công Ty TNHH Dược Phẩm Healthy Beauty</t>
        </is>
      </c>
      <c r="E13786" s="10" t="inlineStr">
        <is>
          <t>Lương:18 Tr - 30 Tr VND</t>
        </is>
      </c>
      <c r="F13786" s="10" t="inlineStr">
        <is>
          <t>Hồ Chí Minh</t>
        </is>
      </c>
      <c r="G13786" s="10" t="inlineStr">
        <is>
          <t>30-04-2026</t>
        </is>
      </c>
      <c r="H13786" s="10" t="inlineStr">
        <is>
          <t>30/04/2026</t>
        </is>
      </c>
      <c r="I13786" s="10" t="inlineStr">
        <is>
          <t>17/03/2026</t>
        </is>
      </c>
      <c r="J13786" s="10" t="inlineStr">
        <is>
          <t>Tiếp thị / Marketing, Tiếp thị trực tuyến, Dược phẩm/ Hóa Mỹ Phẩm</t>
        </is>
      </c>
      <c r="K13786" s="10" t="inlineStr">
        <is>
          <t>4 - 6 Năm</t>
        </is>
      </c>
      <c r="L13786" s="11">
        <f>HYPERLINK("https://careerviet.vn/vi/tim-viec-lam/chuyen-vien-digital-marketing.35C6C10C.html","Xem chi tiết")</f>
        <v/>
      </c>
      <c r="M13786" s="10" t="n"/>
    </row>
    <row r="13787">
      <c r="B13787" s="7" t="n">
        <v>13785</v>
      </c>
      <c r="C13787" t="inlineStr">
        <is>
          <t>NHÂN VIÊN DỊCH VỤ KIỂM SOÁT CÔN TRÙNG (CA ĐÊM)</t>
        </is>
      </c>
      <c r="D13787" t="inlineStr">
        <is>
          <t>CÔNG TY TNHH CESCO VIỆT NAM</t>
        </is>
      </c>
      <c r="E13787" t="inlineStr">
        <is>
          <t>Lương:13 Tr - 20 Tr VND</t>
        </is>
      </c>
      <c r="F13787" t="inlineStr">
        <is>
          <t>Hồ Chí Minh</t>
        </is>
      </c>
      <c r="G13787" t="inlineStr">
        <is>
          <t>30-04-2026</t>
        </is>
      </c>
      <c r="H13787" t="inlineStr">
        <is>
          <t>30/04/2026</t>
        </is>
      </c>
      <c r="I13787" t="inlineStr">
        <is>
          <t>17/03/2026</t>
        </is>
      </c>
      <c r="J13787" t="inlineStr">
        <is>
          <t>Dịch vụ khách hàng, Lao động phổ thông, Mới tốt nghiệp / Thực tập</t>
        </is>
      </c>
      <c r="K13787" t="inlineStr">
        <is>
          <t>N/A</t>
        </is>
      </c>
      <c r="L13787" s="8">
        <f>HYPERLINK("https://careerviet.vn/vi/tim-viec-lam/nhan-vien-dich-vu-kiem-soat-con-trung-ca-dem.35C6C0BF.html","Xem chi tiết")</f>
        <v/>
      </c>
    </row>
    <row r="13788">
      <c r="B13788" s="9" t="n">
        <v>13786</v>
      </c>
      <c r="C13788" s="10" t="inlineStr">
        <is>
          <t>Tuyển Dụng Nhân Viên Tổng Đài - Có Lộ Trình Thăng Tiến Rõ Ràng_[BSV]_[G1]</t>
        </is>
      </c>
      <c r="D13788" s="10" t="inlineStr">
        <is>
          <t>BellSystem24-Việt Nam</t>
        </is>
      </c>
      <c r="E13788" s="10" t="inlineStr">
        <is>
          <t>Lương:7 Tr - 10 Tr VND</t>
        </is>
      </c>
      <c r="F13788" s="10" t="inlineStr">
        <is>
          <t>Hồ Chí Minh</t>
        </is>
      </c>
      <c r="G13788" s="10" t="inlineStr">
        <is>
          <t>03-04-2026</t>
        </is>
      </c>
      <c r="H13788" s="10" t="inlineStr">
        <is>
          <t>03/04/2026</t>
        </is>
      </c>
      <c r="I13788" s="10" t="inlineStr">
        <is>
          <t>17/03/2026</t>
        </is>
      </c>
      <c r="J13788" s="10" t="inlineStr">
        <is>
          <t>Bưu chính viễn thông, Dịch vụ khách hàng, Mới tốt nghiệp / Thực tập</t>
        </is>
      </c>
      <c r="K13788" s="10" t="inlineStr">
        <is>
          <t>N/A</t>
        </is>
      </c>
      <c r="L13788" s="11">
        <f>HYPERLINK("https://careerviet.vn/vi/tim-viec-lam/tuyen-dung-nhan-vien-tong-dai-co-lo-trinh-thang-tien-ro-rang_-bsv-_-g1.35C6C0FA.html","Xem chi tiết")</f>
        <v/>
      </c>
      <c r="M13788" s="10" t="n"/>
    </row>
    <row r="13789">
      <c r="B13789" s="7" t="n">
        <v>13787</v>
      </c>
      <c r="C13789" t="inlineStr">
        <is>
          <t>[Tây Ninh] Trình Dược Viên Kênh ETC</t>
        </is>
      </c>
      <c r="D13789" t="inlineStr">
        <is>
          <t>Công ty Cổ phần Dược Hậu Giang</t>
        </is>
      </c>
      <c r="E13789" t="inlineStr">
        <is>
          <t>Lương:10 Tr - 20 Tr VND</t>
        </is>
      </c>
      <c r="F13789" t="inlineStr">
        <is>
          <t>Tây Ninh</t>
        </is>
      </c>
      <c r="G13789" t="inlineStr">
        <is>
          <t>10-04-2026</t>
        </is>
      </c>
      <c r="H13789" t="inlineStr">
        <is>
          <t>10/04/2026</t>
        </is>
      </c>
      <c r="I13789" t="inlineStr">
        <is>
          <t>17/03/2026</t>
        </is>
      </c>
      <c r="J13789" t="inlineStr">
        <is>
          <t>Bán lẻ / Bán sỉ, Dược phẩm/ Hóa Mỹ Phẩm, Y tế / Chăm sóc sức khỏe / Thẩm mỹ / Làm đẹp</t>
        </is>
      </c>
      <c r="K13789" t="inlineStr">
        <is>
          <t>1 - 2 Năm</t>
        </is>
      </c>
      <c r="L13789" s="8">
        <f>HYPERLINK("https://careerviet.vn/vi/tim-viec-lam/tay-ninh-trinh-duoc-vien-kenh-etc.35C6C116.html","Xem chi tiết")</f>
        <v/>
      </c>
    </row>
    <row r="13790">
      <c r="B13790" s="9" t="n">
        <v>13788</v>
      </c>
      <c r="C13790" s="10" t="inlineStr">
        <is>
          <t>Cộng tác viên Dịch vụ Khách hàng (Điều phối viên)</t>
        </is>
      </c>
      <c r="D13790" s="10" t="inlineStr">
        <is>
          <t>Ngân Hàng TMCP Sài Gòn - Hà Nội ( SHB )</t>
        </is>
      </c>
      <c r="E13790" s="10" t="inlineStr">
        <is>
          <t>Lương:Cạnh tranh</t>
        </is>
      </c>
      <c r="F13790" s="10" t="inlineStr">
        <is>
          <t>Sơn LaNinh BìnhLào Cai</t>
        </is>
      </c>
      <c r="G13790" s="10" t="inlineStr">
        <is>
          <t>08-04-2026</t>
        </is>
      </c>
      <c r="H13790" s="10" t="inlineStr">
        <is>
          <t>08/04/2026</t>
        </is>
      </c>
      <c r="I13790" s="10" t="inlineStr">
        <is>
          <t>17/03/2026</t>
        </is>
      </c>
      <c r="J13790" s="10" t="inlineStr">
        <is>
          <t>Dịch vụ khách hàng, Ngân hàng</t>
        </is>
      </c>
      <c r="K13790" s="10" t="inlineStr">
        <is>
          <t>Chưa có kinh nghiệm</t>
        </is>
      </c>
      <c r="L13790" s="11">
        <f>HYPERLINK("https://careerviet.vn/vi/tim-viec-lam/cong-tac-vien-dich-vu-khach-hang-dieu-phoi-vien.35C6C107.html","Xem chi tiết")</f>
        <v/>
      </c>
      <c r="M13790" s="10" t="n"/>
    </row>
    <row r="13791">
      <c r="B13791" s="7" t="n">
        <v>13789</v>
      </c>
      <c r="C13791" t="inlineStr">
        <is>
          <t>[Đà Nẵng] Nhân viên Duyệt đơn hàng</t>
        </is>
      </c>
      <c r="D13791" t="inlineStr">
        <is>
          <t>Công ty Cổ phần Dược Hậu Giang</t>
        </is>
      </c>
      <c r="E13791" t="inlineStr">
        <is>
          <t>Lương:8 Tr - 12 Tr VND</t>
        </is>
      </c>
      <c r="F13791" t="inlineStr">
        <is>
          <t>Đà Nẵng</t>
        </is>
      </c>
      <c r="G13791" t="inlineStr">
        <is>
          <t>10-04-2026</t>
        </is>
      </c>
      <c r="H13791" t="inlineStr">
        <is>
          <t>10/04/2026</t>
        </is>
      </c>
      <c r="I13791" t="inlineStr">
        <is>
          <t>17/03/2026</t>
        </is>
      </c>
      <c r="J13791" t="inlineStr">
        <is>
          <t>Bán hàng / Kinh doanh, Dược phẩm/ Hóa Mỹ Phẩm, Hành chính / Thư ký</t>
        </is>
      </c>
      <c r="K13791" t="inlineStr">
        <is>
          <t>1 - 2 Năm</t>
        </is>
      </c>
      <c r="L13791" s="8">
        <f>HYPERLINK("https://careerviet.vn/vi/tim-viec-lam/da-nang-nhan-vien-duyet-don-hang.35C6C10E.html","Xem chi tiết")</f>
        <v/>
      </c>
    </row>
    <row r="13792">
      <c r="B13792" s="9" t="n">
        <v>13790</v>
      </c>
      <c r="C13792" s="10" t="inlineStr">
        <is>
          <t>Chuyên viên pháp chế</t>
        </is>
      </c>
      <c r="D13792" s="10" t="inlineStr">
        <is>
          <t>CÔNG TY CP THIẾT BỊ VÀ DỊCH VỤ TCE</t>
        </is>
      </c>
      <c r="E13792" s="10" t="inlineStr">
        <is>
          <t>Lương:15 Tr - 25 Tr VND</t>
        </is>
      </c>
      <c r="F13792" s="10" t="inlineStr">
        <is>
          <t>Hà Nội</t>
        </is>
      </c>
      <c r="G13792" s="10" t="inlineStr">
        <is>
          <t>11-03-2026</t>
        </is>
      </c>
      <c r="H13792" s="10" t="inlineStr">
        <is>
          <t>18/01/2026</t>
        </is>
      </c>
      <c r="I13792" s="10" t="inlineStr">
        <is>
          <t>17/03/2026</t>
        </is>
      </c>
      <c r="J13792" s="10" t="inlineStr">
        <is>
          <t>Luật / Pháp lý</t>
        </is>
      </c>
      <c r="K13792" s="10" t="inlineStr">
        <is>
          <t>5 - 7 Năm</t>
        </is>
      </c>
      <c r="L13792" s="11">
        <f>HYPERLINK("https://careerviet.vn/vi/tim-viec-lam/chuyen-vien-phap-che.35C62EBA.html","Xem chi tiết")</f>
        <v/>
      </c>
      <c r="M13792" s="10" t="n"/>
    </row>
    <row r="13793">
      <c r="B13793" s="7" t="n">
        <v>13791</v>
      </c>
      <c r="C13793" t="inlineStr">
        <is>
          <t>Kỹ Sư QS- ME</t>
        </is>
      </c>
      <c r="D13793" t="inlineStr">
        <is>
          <t>CT CP Tập Đoàn Thái Tuấn</t>
        </is>
      </c>
      <c r="E13793" t="inlineStr">
        <is>
          <t>Lương:Cạnh tranh</t>
        </is>
      </c>
      <c r="F13793" t="inlineStr">
        <is>
          <t>Long An</t>
        </is>
      </c>
      <c r="G13793" t="inlineStr">
        <is>
          <t>10-04-2026</t>
        </is>
      </c>
      <c r="H13793" t="inlineStr">
        <is>
          <t>10/04/2026</t>
        </is>
      </c>
      <c r="I13793" t="inlineStr">
        <is>
          <t>17/03/2026</t>
        </is>
      </c>
      <c r="J13793" t="inlineStr">
        <is>
          <t>Kiến trúc, Xây dựng</t>
        </is>
      </c>
      <c r="K13793" t="inlineStr">
        <is>
          <t>5 - 15 Năm</t>
        </is>
      </c>
      <c r="L13793" s="8">
        <f>HYPERLINK("https://careerviet.vn/vi/tim-viec-lam/ky-su-qs-me.35C6C105.html","Xem chi tiết")</f>
        <v/>
      </c>
    </row>
    <row r="13794">
      <c r="B13794" s="9" t="n">
        <v>13792</v>
      </c>
      <c r="C13794" s="10" t="inlineStr">
        <is>
          <t>CHuyên viên kế toán</t>
        </is>
      </c>
      <c r="D13794" s="10" t="inlineStr">
        <is>
          <t>Tổng công ty Xây dựng số 1 – CTCP</t>
        </is>
      </c>
      <c r="E13794" s="10" t="inlineStr">
        <is>
          <t>Lương:Cạnh tranh</t>
        </is>
      </c>
      <c r="F13794" s="10" t="inlineStr">
        <is>
          <t>Hồ Chí Minh</t>
        </is>
      </c>
      <c r="G13794" s="10" t="inlineStr">
        <is>
          <t>29-04-2026</t>
        </is>
      </c>
      <c r="H13794" s="10" t="inlineStr">
        <is>
          <t>29/04/2026</t>
        </is>
      </c>
      <c r="I13794" s="10" t="inlineStr">
        <is>
          <t>17/03/2026</t>
        </is>
      </c>
      <c r="J13794" s="10" t="inlineStr">
        <is>
          <t>Kế toán / Kiểm toán</t>
        </is>
      </c>
      <c r="K13794" s="10" t="inlineStr">
        <is>
          <t>2 - 3 Năm</t>
        </is>
      </c>
      <c r="L13794" s="11">
        <f>HYPERLINK("https://careerviet.vn/vi/tim-viec-lam/chuyen-vien-ke-toan.35C6C11A.html","Xem chi tiết")</f>
        <v/>
      </c>
      <c r="M13794" s="10" t="n"/>
    </row>
    <row r="13795">
      <c r="B13795" s="7" t="n">
        <v>13793</v>
      </c>
      <c r="C13795" t="inlineStr">
        <is>
          <t>Nhân viên Nhân sự Tổng hợp</t>
        </is>
      </c>
      <c r="D13795" t="inlineStr">
        <is>
          <t>CÔNG TY TNHH TẬP ĐOÀN BÁCH MỘC AN</t>
        </is>
      </c>
      <c r="E13795" t="inlineStr">
        <is>
          <t>Lương:13 Tr - 16 Tr VND</t>
        </is>
      </c>
      <c r="F13795" t="inlineStr">
        <is>
          <t>Hà Nội</t>
        </is>
      </c>
      <c r="G13795" t="inlineStr">
        <is>
          <t>30-04-2026</t>
        </is>
      </c>
      <c r="H13795" t="inlineStr">
        <is>
          <t>30/04/2026</t>
        </is>
      </c>
      <c r="I13795" t="inlineStr">
        <is>
          <t>17/03/2026</t>
        </is>
      </c>
      <c r="J13795" t="inlineStr">
        <is>
          <t>Hành chính / Thư ký, Nhân sự, Kế toán / Kiểm toán</t>
        </is>
      </c>
      <c r="K13795" t="inlineStr">
        <is>
          <t>3 - 5 Năm</t>
        </is>
      </c>
      <c r="L13795" s="8">
        <f>HYPERLINK("https://careerviet.vn/vi/tim-viec-lam/nhan-vien-nhan-su-tong-hop.35C6C10D.html","Xem chi tiết")</f>
        <v/>
      </c>
    </row>
    <row r="13796">
      <c r="B13796" s="9" t="n">
        <v>13794</v>
      </c>
      <c r="C13796" s="10" t="inlineStr">
        <is>
          <t>Cộng tác viên Dịch vụ Khách hàng (Điều phối viên)</t>
        </is>
      </c>
      <c r="D13796" s="10" t="inlineStr">
        <is>
          <t>Ngân Hàng TMCP Sài Gòn - Hà Nội ( SHB )</t>
        </is>
      </c>
      <c r="E13796" s="10" t="inlineStr">
        <is>
          <t>Lương:Cạnh tranh</t>
        </is>
      </c>
      <c r="F13796" s="10" t="inlineStr">
        <is>
          <t>Hưng YênNam ĐịnhHà Tĩnh</t>
        </is>
      </c>
      <c r="G13796" s="10" t="inlineStr">
        <is>
          <t>08-04-2026</t>
        </is>
      </c>
      <c r="H13796" s="10" t="inlineStr">
        <is>
          <t>08/04/2026</t>
        </is>
      </c>
      <c r="I13796" s="10" t="inlineStr">
        <is>
          <t>17/03/2026</t>
        </is>
      </c>
      <c r="J13796" s="10" t="inlineStr">
        <is>
          <t>Dịch vụ khách hàng, Ngân hàng</t>
        </is>
      </c>
      <c r="K13796" s="10" t="inlineStr">
        <is>
          <t>Chưa có kinh nghiệm</t>
        </is>
      </c>
      <c r="L13796" s="11">
        <f>HYPERLINK("https://careerviet.vn/vi/tim-viec-lam/cong-tac-vien-dich-vu-khach-hang-dieu-phoi-vien.35C6C106.html","Xem chi tiết")</f>
        <v/>
      </c>
      <c r="M13796" s="10" t="n"/>
    </row>
    <row r="13797">
      <c r="B13797" s="7" t="n">
        <v>13795</v>
      </c>
      <c r="C13797" t="inlineStr">
        <is>
          <t>Sale Admin (Thư Ký Bán Hàng)</t>
        </is>
      </c>
      <c r="D13797" t="inlineStr">
        <is>
          <t>CÔNG TY CP HÀ YẾN</t>
        </is>
      </c>
      <c r="E13797" t="inlineStr">
        <is>
          <t>Lương:Cạnh tranh</t>
        </is>
      </c>
      <c r="F13797" t="inlineStr">
        <is>
          <t>Hà Nội</t>
        </is>
      </c>
      <c r="G13797" t="inlineStr">
        <is>
          <t>09-04-2026</t>
        </is>
      </c>
      <c r="H13797" t="inlineStr">
        <is>
          <t>09/04/2026</t>
        </is>
      </c>
      <c r="I13797" t="inlineStr">
        <is>
          <t>17/03/2026</t>
        </is>
      </c>
      <c r="J13797" t="inlineStr">
        <is>
          <t>Luật / Pháp lý, Bán hàng / Kinh doanh, Hành chính / Thư ký</t>
        </is>
      </c>
      <c r="K13797" t="inlineStr">
        <is>
          <t>1 - 2 Năm</t>
        </is>
      </c>
      <c r="L13797" s="8">
        <f>HYPERLINK("https://careerviet.vn/vi/tim-viec-lam/sale-admin-thu-ky-ban-hang.35C6C10A.html","Xem chi tiết")</f>
        <v/>
      </c>
    </row>
    <row r="13798">
      <c r="B13798" s="9" t="n">
        <v>13796</v>
      </c>
      <c r="C13798" s="10" t="inlineStr">
        <is>
          <t>Cộng tác viên Dịch vụ Khách hàng (Điều phối viên)</t>
        </is>
      </c>
      <c r="D13798" s="10" t="inlineStr">
        <is>
          <t>Ngân Hàng TMCP Sài Gòn - Hà Nội ( SHB )</t>
        </is>
      </c>
      <c r="E13798" s="10" t="inlineStr">
        <is>
          <t>Lương:Cạnh tranh</t>
        </is>
      </c>
      <c r="F13798" s="10" t="inlineStr">
        <is>
          <t>Bến TreAn GiangCần Thơ</t>
        </is>
      </c>
      <c r="G13798" s="10" t="inlineStr">
        <is>
          <t>08-04-2026</t>
        </is>
      </c>
      <c r="H13798" s="10" t="inlineStr">
        <is>
          <t>08/04/2026</t>
        </is>
      </c>
      <c r="I13798" s="10" t="inlineStr">
        <is>
          <t>17/03/2026</t>
        </is>
      </c>
      <c r="J13798" s="10" t="inlineStr">
        <is>
          <t>Dịch vụ khách hàng, Ngân hàng</t>
        </is>
      </c>
      <c r="K13798" s="10" t="inlineStr">
        <is>
          <t>Chưa có kinh nghiệm</t>
        </is>
      </c>
      <c r="L13798" s="11">
        <f>HYPERLINK("https://careerviet.vn/vi/tim-viec-lam/cong-tac-vien-dich-vu-khach-hang-dieu-phoi-vien.35C6C103.html","Xem chi tiết")</f>
        <v/>
      </c>
      <c r="M13798" s="10" t="n"/>
    </row>
    <row r="13799">
      <c r="B13799" s="7" t="n">
        <v>13797</v>
      </c>
      <c r="C13799" t="inlineStr">
        <is>
          <t>NHÂN VIÊN LÀM BẢN VẼ KẾT CẤU THÉP AUTOCAD</t>
        </is>
      </c>
      <c r="D13799" t="inlineStr">
        <is>
          <t>Công ty TNHH Vina Mitsuboshi</t>
        </is>
      </c>
      <c r="E13799" t="inlineStr">
        <is>
          <t>Lương:Cạnh tranh</t>
        </is>
      </c>
      <c r="F13799" t="inlineStr">
        <is>
          <t>Hồ Chí Minh</t>
        </is>
      </c>
      <c r="G13799" t="inlineStr">
        <is>
          <t>11-04-2026</t>
        </is>
      </c>
      <c r="H13799" t="inlineStr">
        <is>
          <t>11/04/2026</t>
        </is>
      </c>
      <c r="I13799" t="inlineStr">
        <is>
          <t>17/03/2026</t>
        </is>
      </c>
      <c r="J13799" t="inlineStr">
        <is>
          <t>Xây dựng, Cơ khí / Ô tô / Tự động hóa</t>
        </is>
      </c>
      <c r="K13799" t="inlineStr">
        <is>
          <t>N/A</t>
        </is>
      </c>
      <c r="L13799" s="8">
        <f>HYPERLINK("https://careerviet.vn/vi/tim-viec-lam/nhan-vien-lam-ban-ve-ket-cau-thep-autocad.35C6C0CB.html","Xem chi tiết")</f>
        <v/>
      </c>
    </row>
    <row r="13800">
      <c r="B13800" s="9" t="n">
        <v>13798</v>
      </c>
      <c r="C13800" s="10" t="inlineStr">
        <is>
          <t>Cộng tác viên Dịch vụ Khách hàng (Điều phối viên)</t>
        </is>
      </c>
      <c r="D13800" s="10" t="inlineStr">
        <is>
          <t>Ngân Hàng TMCP Sài Gòn - Hà Nội ( SHB )</t>
        </is>
      </c>
      <c r="E13800" s="10" t="inlineStr">
        <is>
          <t>Lương:Cạnh tranh</t>
        </is>
      </c>
      <c r="F13800" s="10" t="inlineStr">
        <is>
          <t>Khánh HòaGia LaiDak Lak</t>
        </is>
      </c>
      <c r="G13800" s="10" t="inlineStr">
        <is>
          <t>08-04-2026</t>
        </is>
      </c>
      <c r="H13800" s="10" t="inlineStr">
        <is>
          <t>08/04/2026</t>
        </is>
      </c>
      <c r="I13800" s="10" t="inlineStr">
        <is>
          <t>17/03/2026</t>
        </is>
      </c>
      <c r="J13800" s="10" t="inlineStr">
        <is>
          <t>Dịch vụ khách hàng, Ngân hàng</t>
        </is>
      </c>
      <c r="K13800" s="10" t="inlineStr">
        <is>
          <t>Chưa có kinh nghiệm</t>
        </is>
      </c>
      <c r="L13800" s="11">
        <f>HYPERLINK("https://careerviet.vn/vi/tim-viec-lam/cong-tac-vien-dich-vu-khach-hang-dieu-phoi-vien.35C6C104.html","Xem chi tiết")</f>
        <v/>
      </c>
      <c r="M13800" s="10" t="n"/>
    </row>
    <row r="13801">
      <c r="B13801" s="7" t="n">
        <v>13799</v>
      </c>
      <c r="C13801" t="inlineStr">
        <is>
          <t>Nhân viên thiết kế</t>
        </is>
      </c>
      <c r="D13801" t="inlineStr">
        <is>
          <t>CÔNG TY CỔ PHẦN BỆNH VIỆN QUỐC TẾ BERNARD 1</t>
        </is>
      </c>
      <c r="E13801" t="inlineStr">
        <is>
          <t>Lương:Cạnh tranh</t>
        </is>
      </c>
      <c r="F13801" t="inlineStr">
        <is>
          <t>Hồ Chí Minh</t>
        </is>
      </c>
      <c r="G13801" t="inlineStr">
        <is>
          <t>30-04-2026</t>
        </is>
      </c>
      <c r="H13801" t="inlineStr">
        <is>
          <t>30/04/2026</t>
        </is>
      </c>
      <c r="I13801" t="inlineStr">
        <is>
          <t>17/03/2026</t>
        </is>
      </c>
      <c r="J13801" t="inlineStr">
        <is>
          <t>Tiếp thị / Marketing, Mỹ thuật / Nghệ thuật / Thiết kế, Quảng cáo / Đối ngoại / Truyền Thông</t>
        </is>
      </c>
      <c r="K13801" t="inlineStr">
        <is>
          <t>3 - 5 Năm</t>
        </is>
      </c>
      <c r="L13801" s="8">
        <f>HYPERLINK("https://careerviet.vn/vi/tim-viec-lam/nhan-vien-thiet-ke.35C6C0FF.html","Xem chi tiết")</f>
        <v/>
      </c>
    </row>
    <row r="13802">
      <c r="B13802" s="9" t="n">
        <v>13800</v>
      </c>
      <c r="C13802" s="10" t="inlineStr">
        <is>
          <t>[NOVA Goft Club]  Tổ Trưởng Vận Hành</t>
        </is>
      </c>
      <c r="D13802" s="10" t="inlineStr">
        <is>
          <t>Nova Service Group - Công ty Cổ phần Tập đoàn Nova Services</t>
        </is>
      </c>
      <c r="E13802" s="10" t="inlineStr">
        <is>
          <t>Lương:Cạnh tranh</t>
        </is>
      </c>
      <c r="F13802" s="10" t="inlineStr">
        <is>
          <t>Bình Thuận</t>
        </is>
      </c>
      <c r="G13802" s="10" t="inlineStr">
        <is>
          <t>30-04-2026</t>
        </is>
      </c>
      <c r="H13802" s="10" t="inlineStr">
        <is>
          <t>30/04/2026</t>
        </is>
      </c>
      <c r="I13802" s="10" t="inlineStr">
        <is>
          <t>17/03/2026</t>
        </is>
      </c>
      <c r="J13802" s="10" t="inlineStr">
        <is>
          <t>Ngành khác, Nhà hàng / Khách sạn</t>
        </is>
      </c>
      <c r="K13802" s="10" t="inlineStr">
        <is>
          <t>2 - 4 Năm</t>
        </is>
      </c>
      <c r="L13802" s="11">
        <f>HYPERLINK("https://careerviet.vn/vi/tim-viec-lam/nova-goft-club-to-truong-van-hanh.35C6C0FB.html","Xem chi tiết")</f>
        <v/>
      </c>
      <c r="M13802" s="10" t="n"/>
    </row>
    <row r="13803">
      <c r="B13803" s="7" t="n">
        <v>13801</v>
      </c>
      <c r="C13803" t="inlineStr">
        <is>
          <t>Nhân Viên Kinh Doanh Hàng Thực Phẩm Tại Hải Phòng</t>
        </is>
      </c>
      <c r="D13803" t="inlineStr">
        <is>
          <t>Công ty TNHH Chế biến thực phẩm Đông Đô</t>
        </is>
      </c>
      <c r="E13803" t="inlineStr">
        <is>
          <t>Lương:13 Tr - 17 Tr VND</t>
        </is>
      </c>
      <c r="F13803" t="inlineStr">
        <is>
          <t>Hải Phòng</t>
        </is>
      </c>
      <c r="G13803" t="inlineStr">
        <is>
          <t>20-04-2026</t>
        </is>
      </c>
      <c r="H13803" t="inlineStr">
        <is>
          <t>20/04/2026</t>
        </is>
      </c>
      <c r="I13803" t="inlineStr">
        <is>
          <t>17/03/2026</t>
        </is>
      </c>
      <c r="J13803" t="inlineStr">
        <is>
          <t>Bán lẻ / Bán sỉ, Bán hàng / Kinh doanh, Thực phẩm &amp; Đồ uống</t>
        </is>
      </c>
      <c r="K13803" t="inlineStr">
        <is>
          <t>1 - 2 Năm</t>
        </is>
      </c>
      <c r="L13803" s="8">
        <f>HYPERLINK("https://careerviet.vn/vi/tim-viec-lam/nhan-vien-kinh-doanh-hang-thuc-pham-tai-hai-phong.35C6C027.html","Xem chi tiết")</f>
        <v/>
      </c>
    </row>
    <row r="13804">
      <c r="B13804" s="9" t="n">
        <v>13802</v>
      </c>
      <c r="C13804" s="10" t="inlineStr">
        <is>
          <t>Kỹ sư QA/QC</t>
        </is>
      </c>
      <c r="D13804" s="10" t="inlineStr">
        <is>
          <t>CÔNG TY CỔ PHẦN XÂY DỰNG VILAI VIỆT</t>
        </is>
      </c>
      <c r="E13804" s="10" t="inlineStr">
        <is>
          <t>Lương:13 Tr - 25 Tr VND</t>
        </is>
      </c>
      <c r="F13804" s="10" t="inlineStr">
        <is>
          <t>Hà NộiBắc Giang</t>
        </is>
      </c>
      <c r="G13804" s="10" t="inlineStr">
        <is>
          <t>31-03-2026</t>
        </is>
      </c>
      <c r="H13804" s="10" t="inlineStr">
        <is>
          <t>31/03/2026</t>
        </is>
      </c>
      <c r="I13804" s="10" t="inlineStr">
        <is>
          <t>17/03/2026</t>
        </is>
      </c>
      <c r="J13804" s="10" t="inlineStr">
        <is>
          <t>Xây dựng, Kiến trúc</t>
        </is>
      </c>
      <c r="K13804" s="10" t="inlineStr">
        <is>
          <t>2 - 5 Năm</t>
        </is>
      </c>
      <c r="L13804" s="11">
        <f>HYPERLINK("https://careerviet.vn/vi/tim-viec-lam/ky-su-qa-qc.35C6C0F8.html","Xem chi tiết")</f>
        <v/>
      </c>
      <c r="M13804" s="10" t="n"/>
    </row>
    <row r="13805">
      <c r="B13805" s="7" t="n">
        <v>13803</v>
      </c>
      <c r="C13805" t="inlineStr">
        <is>
          <t>Nhân Viên Kỹ Thuật</t>
        </is>
      </c>
      <c r="D13805" t="inlineStr">
        <is>
          <t>Công ty Cổ Phần Tập Đoàn Điện Quang</t>
        </is>
      </c>
      <c r="E13805" t="inlineStr">
        <is>
          <t>Lương:Cạnh tranh</t>
        </is>
      </c>
      <c r="F13805" t="inlineStr">
        <is>
          <t>Hồ Chí Minh</t>
        </is>
      </c>
      <c r="G13805" t="inlineStr">
        <is>
          <t>02-04-2026</t>
        </is>
      </c>
      <c r="H13805" t="inlineStr">
        <is>
          <t>02/04/2026</t>
        </is>
      </c>
      <c r="I13805" t="inlineStr">
        <is>
          <t>17/03/2026</t>
        </is>
      </c>
      <c r="J13805" t="inlineStr">
        <is>
          <t>Cơ khí / Ô tô / Tự động hóa, Điện / Điện tử / Điện lạnh / Điện công nghiệp</t>
        </is>
      </c>
      <c r="K13805" t="inlineStr">
        <is>
          <t>1 - 2 Năm</t>
        </is>
      </c>
      <c r="L13805" s="8">
        <f>HYPERLINK("https://careerviet.vn/vi/tim-viec-lam/nhan-vien-ky-thuat.35C6C0FD.html","Xem chi tiết")</f>
        <v/>
      </c>
    </row>
    <row r="13806">
      <c r="B13806" s="9" t="n">
        <v>13804</v>
      </c>
      <c r="C13806" s="10" t="inlineStr">
        <is>
          <t>Việc Làm Văn Phòng - Sale Sim Data Có Sẵn - [BSV]-[G1]</t>
        </is>
      </c>
      <c r="D13806" s="10" t="inlineStr">
        <is>
          <t>BellSystem24-Việt Nam</t>
        </is>
      </c>
      <c r="E13806" s="10" t="inlineStr">
        <is>
          <t>Lương:8 Tr - 15 Tr VND</t>
        </is>
      </c>
      <c r="F13806" s="10" t="inlineStr">
        <is>
          <t>Hồ Chí Minh</t>
        </is>
      </c>
      <c r="G13806" s="10" t="inlineStr">
        <is>
          <t>03-04-2026</t>
        </is>
      </c>
      <c r="H13806" s="10" t="inlineStr">
        <is>
          <t>03/04/2026</t>
        </is>
      </c>
      <c r="I13806" s="10" t="inlineStr">
        <is>
          <t>17/03/2026</t>
        </is>
      </c>
      <c r="J13806" s="10" t="inlineStr">
        <is>
          <t>Bưu chính viễn thông, Dịch vụ khách hàng, Tư vấn</t>
        </is>
      </c>
      <c r="K13806" s="10" t="inlineStr">
        <is>
          <t>N/A</t>
        </is>
      </c>
      <c r="L13806" s="11">
        <f>HYPERLINK("https://careerviet.vn/vi/tim-viec-lam/viec-lam-van-phong-sale-sim-data-co-san-bsv-g1.35C6B1BF.html","Xem chi tiết")</f>
        <v/>
      </c>
      <c r="M13806" s="10" t="n"/>
    </row>
    <row r="13807">
      <c r="B13807" s="7" t="n">
        <v>13805</v>
      </c>
      <c r="C13807" t="inlineStr">
        <is>
          <t>Chuyên viên Khách hàng Cá nhân / Doanh nghiệp - Chi nhánh Hội An</t>
        </is>
      </c>
      <c r="D13807" t="inlineStr">
        <is>
          <t>Indovina Bank Ltd.</t>
        </is>
      </c>
      <c r="E13807" t="inlineStr">
        <is>
          <t>Lương:Cạnh tranh</t>
        </is>
      </c>
      <c r="F13807" t="inlineStr">
        <is>
          <t>Quảng Nam</t>
        </is>
      </c>
      <c r="G13807" t="inlineStr">
        <is>
          <t>31-05-2026</t>
        </is>
      </c>
      <c r="H13807" t="inlineStr">
        <is>
          <t>31/05/2026</t>
        </is>
      </c>
      <c r="I13807" t="inlineStr">
        <is>
          <t>17/03/2026</t>
        </is>
      </c>
      <c r="J13807" t="inlineStr">
        <is>
          <t>Bán hàng / Kinh doanh, Ngân hàng, Tài chính / Đầu tư</t>
        </is>
      </c>
      <c r="K13807" t="inlineStr">
        <is>
          <t>1 - 2 Năm</t>
        </is>
      </c>
      <c r="L13807" s="8">
        <f>HYPERLINK("https://careerviet.vn/vi/tim-viec-lam/chuyen-vien-khach-hang-ca-nhan-doanh-nghiep-chi-nhanh-hoi-an.35C6C0F4.html","Xem chi tiết")</f>
        <v/>
      </c>
    </row>
    <row r="13808">
      <c r="B13808" s="9" t="n">
        <v>13806</v>
      </c>
      <c r="C13808" s="10" t="inlineStr">
        <is>
          <t>Chuyên Viên Kiểm Soát Định Mức</t>
        </is>
      </c>
      <c r="D13808" s="10" t="inlineStr">
        <is>
          <t>Tập Đoàn Tân Á Đại Thành</t>
        </is>
      </c>
      <c r="E13808" s="10" t="inlineStr">
        <is>
          <t>Lương:Cạnh tranh</t>
        </is>
      </c>
      <c r="F13808" s="10" t="inlineStr">
        <is>
          <t>Hà Nội</t>
        </is>
      </c>
      <c r="G13808" s="10" t="inlineStr">
        <is>
          <t>29-04-2026</t>
        </is>
      </c>
      <c r="H13808" s="10" t="inlineStr">
        <is>
          <t>29/04/2026</t>
        </is>
      </c>
      <c r="I13808" s="10" t="inlineStr">
        <is>
          <t>17/03/2026</t>
        </is>
      </c>
      <c r="J13808" s="10" t="inlineStr">
        <is>
          <t>Sản xuất / Vận hành sản xuất, Kế toán / Kiểm toán, Quản lý điều hành</t>
        </is>
      </c>
      <c r="K13808" s="10" t="inlineStr">
        <is>
          <t>Trên 2 Năm</t>
        </is>
      </c>
      <c r="L13808" s="11">
        <f>HYPERLINK("https://careerviet.vn/vi/tim-viec-lam/chuyen-vien-kiem-soat-dinh-muc.35C6C0DE.html","Xem chi tiết")</f>
        <v/>
      </c>
      <c r="M13808" s="10" t="n"/>
    </row>
    <row r="13809">
      <c r="B13809" s="7" t="n">
        <v>13807</v>
      </c>
      <c r="C13809" t="inlineStr">
        <is>
          <t>Kỹ Sư Thiết Kế Kết Cấu</t>
        </is>
      </c>
      <c r="D13809" t="inlineStr">
        <is>
          <t>Công ty CP phát triển kỹ thuật Vạn Lợi</t>
        </is>
      </c>
      <c r="E13809" t="inlineStr">
        <is>
          <t>Lương:18 Tr - 28 Tr VND</t>
        </is>
      </c>
      <c r="F13809" t="inlineStr">
        <is>
          <t>Hà Nội</t>
        </is>
      </c>
      <c r="G13809" t="inlineStr">
        <is>
          <t>31-03-2026</t>
        </is>
      </c>
      <c r="H13809" t="inlineStr">
        <is>
          <t>31/03/2026</t>
        </is>
      </c>
      <c r="I13809" t="inlineStr">
        <is>
          <t>17/03/2026</t>
        </is>
      </c>
      <c r="J13809" t="inlineStr">
        <is>
          <t>Kiến trúc, Xây dựng</t>
        </is>
      </c>
      <c r="K13809" t="inlineStr">
        <is>
          <t>3 - 5 Năm</t>
        </is>
      </c>
      <c r="L13809" s="8">
        <f>HYPERLINK("https://careerviet.vn/vi/tim-viec-lam/ky-su-thiet-ke-ket-cau.35C6BF28.html","Xem chi tiết")</f>
        <v/>
      </c>
    </row>
    <row r="13810">
      <c r="B13810" s="9" t="n">
        <v>13808</v>
      </c>
      <c r="C13810" s="10" t="inlineStr">
        <is>
          <t>Chuyên viên Tiếp thị &amp; Quan hệ khách hàng Cá nhân - Chi nhánh Đà Nẵng</t>
        </is>
      </c>
      <c r="D13810" s="10" t="inlineStr">
        <is>
          <t>Indovina Bank Ltd.</t>
        </is>
      </c>
      <c r="E13810" s="10" t="inlineStr">
        <is>
          <t>Lương:Cạnh tranh</t>
        </is>
      </c>
      <c r="F13810" s="10" t="inlineStr">
        <is>
          <t>Đà Nẵng</t>
        </is>
      </c>
      <c r="G13810" s="10" t="inlineStr">
        <is>
          <t>31-05-2026</t>
        </is>
      </c>
      <c r="H13810" s="10" t="inlineStr">
        <is>
          <t>31/05/2026</t>
        </is>
      </c>
      <c r="I13810" s="10" t="inlineStr">
        <is>
          <t>17/03/2026</t>
        </is>
      </c>
      <c r="J13810" s="10" t="inlineStr">
        <is>
          <t>Bán hàng / Kinh doanh, Ngân hàng, Tài chính / Đầu tư</t>
        </is>
      </c>
      <c r="K13810" s="10" t="inlineStr">
        <is>
          <t>1 - 2 Năm</t>
        </is>
      </c>
      <c r="L13810" s="11">
        <f>HYPERLINK("https://careerviet.vn/vi/tim-viec-lam/chuyen-vien-tiep-thi-quan-he-khach-hang-ca-nhan-chi-nhanh-da-nang.35C6C0E3.html","Xem chi tiết")</f>
        <v/>
      </c>
      <c r="M13810" s="10" t="n"/>
    </row>
    <row r="13811">
      <c r="B13811" s="7" t="n">
        <v>13809</v>
      </c>
      <c r="C13811" t="inlineStr">
        <is>
          <t>Elite - Kế toán chi phí</t>
        </is>
      </c>
      <c r="D13811" t="inlineStr">
        <is>
          <t>BIM Group</t>
        </is>
      </c>
      <c r="E13811" t="inlineStr">
        <is>
          <t>Lương:Cạnh tranh</t>
        </is>
      </c>
      <c r="F13811" t="inlineStr">
        <is>
          <t>Hà Nội</t>
        </is>
      </c>
      <c r="G13811" t="inlineStr">
        <is>
          <t>10-04-2026</t>
        </is>
      </c>
      <c r="H13811" t="inlineStr">
        <is>
          <t>10/04/2026</t>
        </is>
      </c>
      <c r="I13811" t="inlineStr">
        <is>
          <t>17/03/2026</t>
        </is>
      </c>
      <c r="J13811" t="inlineStr">
        <is>
          <t>Bán lẻ / Bán sỉ, Kế toán / Kiểm toán</t>
        </is>
      </c>
      <c r="K13811" t="inlineStr">
        <is>
          <t>3 - 5 Năm</t>
        </is>
      </c>
      <c r="L13811" s="8">
        <f>HYPERLINK("https://careerviet.vn/vi/tim-viec-lam/elite-ke-toan-chi-phi.35C6C0C1.html","Xem chi tiết")</f>
        <v/>
      </c>
    </row>
    <row r="13812">
      <c r="B13812" s="9" t="n">
        <v>13810</v>
      </c>
      <c r="C13812" s="10" t="inlineStr">
        <is>
          <t>Nhân viên Kho</t>
        </is>
      </c>
      <c r="D13812" s="10" t="inlineStr">
        <is>
          <t>HMK Eyewear</t>
        </is>
      </c>
      <c r="E13812" s="10" t="inlineStr">
        <is>
          <t>Lương:Cạnh tranh</t>
        </is>
      </c>
      <c r="F13812" s="10" t="inlineStr">
        <is>
          <t>Hồ Chí Minh</t>
        </is>
      </c>
      <c r="G13812" s="10" t="inlineStr">
        <is>
          <t>31-03-2026</t>
        </is>
      </c>
      <c r="H13812" s="10" t="inlineStr">
        <is>
          <t>31/03/2026</t>
        </is>
      </c>
      <c r="I13812" s="10" t="inlineStr">
        <is>
          <t>17/03/2026</t>
        </is>
      </c>
      <c r="J13812" s="10" t="inlineStr">
        <is>
          <t>Lao động phổ thông, Vận chuyển / Giao nhận / Kho vận, Xuất nhập khẩu</t>
        </is>
      </c>
      <c r="K13812" s="10" t="inlineStr">
        <is>
          <t>1 - 2 Năm</t>
        </is>
      </c>
      <c r="L13812" s="11">
        <f>HYPERLINK("https://careerviet.vn/vi/tim-viec-lam/nhan-vien-kho.35C6C0DC.html","Xem chi tiết")</f>
        <v/>
      </c>
      <c r="M13812" s="10" t="n"/>
    </row>
    <row r="13813">
      <c r="B13813" s="7" t="n">
        <v>13811</v>
      </c>
      <c r="C13813" t="inlineStr">
        <is>
          <t>Chuyên viên quản lý giao dịch (Ưu tiên Nam - Có trực đêm)</t>
        </is>
      </c>
      <c r="D13813" t="inlineStr">
        <is>
          <t>CÔNG TY CỔ PHẦN ĐẦU TƯ VÀNG PHÚ QUÝ</t>
        </is>
      </c>
      <c r="E13813" t="inlineStr">
        <is>
          <t>Lương:10 Tr - 15 Tr VND</t>
        </is>
      </c>
      <c r="F13813" t="inlineStr">
        <is>
          <t>Hà Nội</t>
        </is>
      </c>
      <c r="G13813" t="inlineStr">
        <is>
          <t>30-04-2026</t>
        </is>
      </c>
      <c r="H13813" t="inlineStr">
        <is>
          <t>30/04/2026</t>
        </is>
      </c>
      <c r="I13813" t="inlineStr">
        <is>
          <t>17/03/2026</t>
        </is>
      </c>
      <c r="J13813" t="inlineStr">
        <is>
          <t>Tài chính / Đầu tư</t>
        </is>
      </c>
      <c r="K13813" t="inlineStr">
        <is>
          <t>1 - 2 Năm</t>
        </is>
      </c>
      <c r="L13813" s="8">
        <f>HYPERLINK("https://careerviet.vn/vi/tim-viec-lam/chuyen-vien-quan-ly-giao-dich-uu-tien-nam-co-truc-dem.35C6C0BB.html","Xem chi tiết")</f>
        <v/>
      </c>
    </row>
    <row r="13814">
      <c r="B13814" s="9" t="n">
        <v>13812</v>
      </c>
      <c r="C13814" s="10" t="inlineStr">
        <is>
          <t>ADMIN TRAINING</t>
        </is>
      </c>
      <c r="D13814" s="10" t="inlineStr">
        <is>
          <t>CÔNG TY CỔ PHẦN THÁI VIỆT CORPORATION</t>
        </is>
      </c>
      <c r="E13814" s="10" t="inlineStr">
        <is>
          <t>Lương:10 Tr - 13 Tr VND</t>
        </is>
      </c>
      <c r="F13814" s="10" t="inlineStr">
        <is>
          <t>Bình Phước</t>
        </is>
      </c>
      <c r="G13814" s="10" t="inlineStr">
        <is>
          <t>11-04-2026</t>
        </is>
      </c>
      <c r="H13814" s="10" t="inlineStr">
        <is>
          <t>11/04/2026</t>
        </is>
      </c>
      <c r="I13814" s="10" t="inlineStr">
        <is>
          <t>17/03/2026</t>
        </is>
      </c>
      <c r="J13814" s="10" t="inlineStr">
        <is>
          <t>Nhân sự, Giáo dục / Đào tạo</t>
        </is>
      </c>
      <c r="K13814" s="10" t="inlineStr">
        <is>
          <t>N/A</t>
        </is>
      </c>
      <c r="L13814" s="11">
        <f>HYPERLINK("https://careerviet.vn/vi/tim-viec-lam/admin-training.35C6C0DA.html","Xem chi tiết")</f>
        <v/>
      </c>
      <c r="M13814" s="10" t="n"/>
    </row>
    <row r="13815">
      <c r="B13815" s="7" t="n">
        <v>13813</v>
      </c>
      <c r="C13815" t="inlineStr">
        <is>
          <t>Chuyên Viên Cao Cấp Phân tích Tài chính</t>
        </is>
      </c>
      <c r="D13815" t="inlineStr">
        <is>
          <t>CÔNG TY CỔ PHẦN ĐẦU TƯ DANCO</t>
        </is>
      </c>
      <c r="E13815" t="inlineStr">
        <is>
          <t>Lương:22 Tr - 27 Tr VND</t>
        </is>
      </c>
      <c r="F13815" t="inlineStr">
        <is>
          <t>Hà Nội</t>
        </is>
      </c>
      <c r="G13815" t="inlineStr">
        <is>
          <t>01-05-2026</t>
        </is>
      </c>
      <c r="H13815" t="inlineStr">
        <is>
          <t>01/05/2026</t>
        </is>
      </c>
      <c r="I13815" t="inlineStr">
        <is>
          <t>17/03/2026</t>
        </is>
      </c>
      <c r="J13815" t="inlineStr">
        <is>
          <t>Tài chính / Đầu tư, Kế toán / Kiểm toán, Ngân hàng</t>
        </is>
      </c>
      <c r="K13815" t="inlineStr">
        <is>
          <t>Trên 5 Năm</t>
        </is>
      </c>
      <c r="L13815" s="8">
        <f>HYPERLINK("https://careerviet.vn/vi/tim-viec-lam/chuyen-vien-cao-cap-phan-tich-tai-chinh.35C6C0DD.html","Xem chi tiết")</f>
        <v/>
      </c>
    </row>
    <row r="13816">
      <c r="B13816" s="9" t="n">
        <v>13814</v>
      </c>
      <c r="C13816" s="10" t="inlineStr">
        <is>
          <t>A&amp;P Senior Executive</t>
        </is>
      </c>
      <c r="D13816" s="10" t="inlineStr">
        <is>
          <t>Trung tâm Thương mại SC VivoCity</t>
        </is>
      </c>
      <c r="E13816" s="10" t="inlineStr">
        <is>
          <t>Lương:20 Tr - 30 Tr VND</t>
        </is>
      </c>
      <c r="F13816" s="10" t="inlineStr">
        <is>
          <t>Hồ Chí Minh</t>
        </is>
      </c>
      <c r="G13816" s="10" t="inlineStr">
        <is>
          <t>31-03-2026</t>
        </is>
      </c>
      <c r="H13816" s="10" t="inlineStr">
        <is>
          <t>31/03/2026</t>
        </is>
      </c>
      <c r="I13816" s="10" t="inlineStr">
        <is>
          <t>17/03/2026</t>
        </is>
      </c>
      <c r="J13816" s="10" t="inlineStr">
        <is>
          <t>Tiếp thị / Marketing, Bán lẻ / Bán sỉ, Bất động sản</t>
        </is>
      </c>
      <c r="K13816" s="10" t="inlineStr">
        <is>
          <t>3 - 5 Năm</t>
        </is>
      </c>
      <c r="L13816" s="11">
        <f>HYPERLINK("https://careerviet.vn/vi/tim-viec-lam/a-p-senior-executive.35C6C0D7.html","Xem chi tiết")</f>
        <v/>
      </c>
      <c r="M13816" s="10" t="n"/>
    </row>
    <row r="13817">
      <c r="B13817" s="7" t="n">
        <v>13815</v>
      </c>
      <c r="C13817" t="inlineStr">
        <is>
          <t>Chuyên Viên Quan Hệ Khách Hàng Cá nhân/Doanh Nghiệp  - Chi Nhánh Đồng Nai</t>
        </is>
      </c>
      <c r="D13817" t="inlineStr">
        <is>
          <t>Indovina Bank Ltd.</t>
        </is>
      </c>
      <c r="E13817" t="inlineStr">
        <is>
          <t>Lương:Cạnh tranh</t>
        </is>
      </c>
      <c r="F13817" t="inlineStr">
        <is>
          <t>Đồng Nai</t>
        </is>
      </c>
      <c r="G13817" t="inlineStr">
        <is>
          <t>31-05-2026</t>
        </is>
      </c>
      <c r="H13817" t="inlineStr">
        <is>
          <t>31/05/2026</t>
        </is>
      </c>
      <c r="I13817" t="inlineStr">
        <is>
          <t>17/03/2026</t>
        </is>
      </c>
      <c r="J13817" t="inlineStr">
        <is>
          <t>Bán hàng / Kinh doanh, Ngân hàng, Tài chính / Đầu tư</t>
        </is>
      </c>
      <c r="K13817" t="inlineStr">
        <is>
          <t>1 - 2 Năm</t>
        </is>
      </c>
      <c r="L13817" s="8">
        <f>HYPERLINK("https://careerviet.vn/vi/tim-viec-lam/chuyen-vien-quan-he-khach-hang-ca-nhan-doanh-nghiep-chi-nhanh-dong-nai.35C6C0D2.html","Xem chi tiết")</f>
        <v/>
      </c>
    </row>
    <row r="13818">
      <c r="B13818" s="9" t="n">
        <v>13816</v>
      </c>
      <c r="C13818" s="10" t="inlineStr">
        <is>
          <t>[Nova Service Group] Chuyên Viên Tổ Chức Thanh Tra Chất Lượng Dịch Vụ</t>
        </is>
      </c>
      <c r="D13818" s="10" t="inlineStr">
        <is>
          <t>Nova Service Group - Công ty Cổ phần Tập đoàn Nova Services</t>
        </is>
      </c>
      <c r="E13818" s="10" t="inlineStr">
        <is>
          <t>Lương:Cạnh tranh</t>
        </is>
      </c>
      <c r="F13818" s="10" t="inlineStr">
        <is>
          <t>Hồ Chí Minh</t>
        </is>
      </c>
      <c r="G13818" s="10" t="inlineStr">
        <is>
          <t>30-04-2026</t>
        </is>
      </c>
      <c r="H13818" s="10" t="inlineStr">
        <is>
          <t>30/04/2026</t>
        </is>
      </c>
      <c r="I13818" s="10" t="inlineStr">
        <is>
          <t>17/03/2026</t>
        </is>
      </c>
      <c r="J13818" s="10" t="inlineStr">
        <is>
          <t>Hành chính / Thư ký, Dịch vụ khách hàng, Nhà hàng / Khách sạn</t>
        </is>
      </c>
      <c r="K13818" s="10" t="inlineStr">
        <is>
          <t>2 - 3 Năm</t>
        </is>
      </c>
      <c r="L13818" s="11">
        <f>HYPERLINK("https://careerviet.vn/vi/tim-viec-lam/nova-service-group-chuyen-vien-to-chuc-thanh-tra-chat-luong-dich-vu.35C6C0EA.html","Xem chi tiết")</f>
        <v/>
      </c>
      <c r="M13818" s="10" t="n"/>
    </row>
    <row r="13819">
      <c r="B13819" s="7" t="n">
        <v>13817</v>
      </c>
      <c r="C13819" t="inlineStr">
        <is>
          <t>CHUYÊN VIÊN ĐIỆN (Làm việc tại Gia Lai)</t>
        </is>
      </c>
      <c r="D13819" t="inlineStr">
        <is>
          <t>Công ty CP Thành Thành Công - Biên Hòa</t>
        </is>
      </c>
      <c r="E13819" t="inlineStr">
        <is>
          <t>Lương:8 Tr - 12 Tr VND</t>
        </is>
      </c>
      <c r="F13819" t="inlineStr">
        <is>
          <t>Gia Lai</t>
        </is>
      </c>
      <c r="G13819" t="inlineStr">
        <is>
          <t>10-04-2026</t>
        </is>
      </c>
      <c r="H13819" t="inlineStr">
        <is>
          <t>10/04/2026</t>
        </is>
      </c>
      <c r="I13819" t="inlineStr">
        <is>
          <t>17/03/2026</t>
        </is>
      </c>
      <c r="J13819" t="inlineStr">
        <is>
          <t>Điện / Điện tử / Điện lạnh / Điện công nghiệp</t>
        </is>
      </c>
      <c r="K13819" t="inlineStr">
        <is>
          <t>N/A</t>
        </is>
      </c>
      <c r="L13819" s="8">
        <f>HYPERLINK("https://careerviet.vn/vi/tim-viec-lam/chuyen-vien-dien-lam-viec-tai-gia-lai.35C6C0D4.html","Xem chi tiết")</f>
        <v/>
      </c>
    </row>
    <row r="13820">
      <c r="B13820" s="9" t="n">
        <v>13818</v>
      </c>
      <c r="C13820" s="10" t="inlineStr">
        <is>
          <t>Nhân Viên R&amp;D (Nghiên Cứu Và Phát Triển)</t>
        </is>
      </c>
      <c r="D13820" s="10" t="inlineStr">
        <is>
          <t>CÔNG TY TNHH TURBO VINA</t>
        </is>
      </c>
      <c r="E13820" s="10" t="inlineStr">
        <is>
          <t>Lương:9 Tr - 12 Tr VND</t>
        </is>
      </c>
      <c r="F13820" s="10" t="inlineStr">
        <is>
          <t>Bình Dương</t>
        </is>
      </c>
      <c r="G13820" s="10" t="inlineStr">
        <is>
          <t>11-04-2026</t>
        </is>
      </c>
      <c r="H13820" s="10" t="inlineStr">
        <is>
          <t>11/04/2026</t>
        </is>
      </c>
      <c r="I13820" s="10" t="inlineStr">
        <is>
          <t>17/03/2026</t>
        </is>
      </c>
      <c r="J13820" s="10" t="inlineStr">
        <is>
          <t>Sản xuất / Vận hành sản xuất, Mỹ thuật / Nghệ thuật / Thiết kế, Cơ khí / Ô tô / Tự động hóa</t>
        </is>
      </c>
      <c r="K13820" s="10" t="inlineStr">
        <is>
          <t>Trên 1 Năm</t>
        </is>
      </c>
      <c r="L13820" s="11">
        <f>HYPERLINK("https://careerviet.vn/vi/tim-viec-lam/nhan-vien-r-d-nghien-cuu-va-phat-trien.35C6C086.html","Xem chi tiết")</f>
        <v/>
      </c>
      <c r="M13820" s="10" t="n"/>
    </row>
    <row r="13821">
      <c r="B13821" s="7" t="n">
        <v>13819</v>
      </c>
      <c r="C13821" t="inlineStr">
        <is>
          <t>Quản Lý Kho</t>
        </is>
      </c>
      <c r="D13821" t="inlineStr">
        <is>
          <t>CÔNG TY TNHH TURBO VINA</t>
        </is>
      </c>
      <c r="E13821" t="inlineStr">
        <is>
          <t>Lương:9 Tr - 12 Tr VND</t>
        </is>
      </c>
      <c r="F13821" t="inlineStr">
        <is>
          <t>Bình Dương</t>
        </is>
      </c>
      <c r="G13821" t="inlineStr">
        <is>
          <t>11-04-2026</t>
        </is>
      </c>
      <c r="H13821" t="inlineStr">
        <is>
          <t>11/04/2026</t>
        </is>
      </c>
      <c r="I13821" t="inlineStr">
        <is>
          <t>17/03/2026</t>
        </is>
      </c>
      <c r="J13821" t="inlineStr">
        <is>
          <t>Vận chuyển / Giao nhận / Kho vận, Xuất nhập khẩu, Nội ngoại thất</t>
        </is>
      </c>
      <c r="K13821" t="inlineStr">
        <is>
          <t>N/A</t>
        </is>
      </c>
      <c r="L13821" s="8">
        <f>HYPERLINK("https://careerviet.vn/vi/tim-viec-lam/quan-ly-kho.35C6C082.html","Xem chi tiết")</f>
        <v/>
      </c>
    </row>
    <row r="13822">
      <c r="B13822" s="9" t="n">
        <v>13820</v>
      </c>
      <c r="C13822" s="10" t="inlineStr">
        <is>
          <t>Chuyên Viên Dịch Vụ Khách Hàng</t>
        </is>
      </c>
      <c r="D13822" s="10" t="inlineStr">
        <is>
          <t>Bệnh viện Đa khoa Hà Nội</t>
        </is>
      </c>
      <c r="E13822" s="10" t="inlineStr">
        <is>
          <t>Lương:Cạnh tranh</t>
        </is>
      </c>
      <c r="F13822" s="10" t="inlineStr">
        <is>
          <t>Hà Nội</t>
        </is>
      </c>
      <c r="G13822" s="10" t="inlineStr">
        <is>
          <t>10-04-2026</t>
        </is>
      </c>
      <c r="H13822" s="10" t="inlineStr">
        <is>
          <t>10/04/2026</t>
        </is>
      </c>
      <c r="I13822" s="10" t="inlineStr">
        <is>
          <t>17/03/2026</t>
        </is>
      </c>
      <c r="J13822" s="10" t="inlineStr">
        <is>
          <t>Dịch vụ khách hàng, Tư vấn, Y tế / Chăm sóc sức khỏe / Thẩm mỹ / Làm đẹp</t>
        </is>
      </c>
      <c r="K13822" s="10" t="inlineStr">
        <is>
          <t>N/A</t>
        </is>
      </c>
      <c r="L13822" s="11">
        <f>HYPERLINK("https://careerviet.vn/vi/tim-viec-lam/chuyen-vien-dich-vu-khach-hang.35C6C0C9.html","Xem chi tiết")</f>
        <v/>
      </c>
      <c r="M13822" s="10" t="n"/>
    </row>
    <row r="13823">
      <c r="B13823" s="7" t="n">
        <v>13821</v>
      </c>
      <c r="C13823" t="inlineStr">
        <is>
          <t>CHUYÊN VIÊN NHÂN SỰ</t>
        </is>
      </c>
      <c r="D13823" t="inlineStr">
        <is>
          <t>ADC PLASTIC,. JSC</t>
        </is>
      </c>
      <c r="E13823" t="inlineStr">
        <is>
          <t>Lương:15 Tr - 20 Tr VND</t>
        </is>
      </c>
      <c r="F13823" t="inlineStr">
        <is>
          <t>Hưng Yên</t>
        </is>
      </c>
      <c r="G13823" t="inlineStr">
        <is>
          <t>11-04-2026</t>
        </is>
      </c>
      <c r="H13823" t="inlineStr">
        <is>
          <t>11/04/2026</t>
        </is>
      </c>
      <c r="I13823" t="inlineStr">
        <is>
          <t>17/03/2026</t>
        </is>
      </c>
      <c r="J13823" t="inlineStr">
        <is>
          <t>Nhân sự</t>
        </is>
      </c>
      <c r="K13823" t="inlineStr">
        <is>
          <t>5 - 15 Năm</t>
        </is>
      </c>
      <c r="L13823" s="8">
        <f>HYPERLINK("https://careerviet.vn/vi/tim-viec-lam/chuyen-vien-nhan-su.35C6C0C4.html","Xem chi tiết")</f>
        <v/>
      </c>
    </row>
    <row r="13824">
      <c r="B13824" s="9" t="n">
        <v>13822</v>
      </c>
      <c r="C13824" s="10" t="inlineStr">
        <is>
          <t>[Nova Service Group] Giám đốc Phòng Tổ chức Quản lý Rủi ro, Quy trình và Tuân thủ</t>
        </is>
      </c>
      <c r="D13824" s="10" t="inlineStr">
        <is>
          <t>Nova Service Group - Công ty Cổ phần Tập đoàn Nova Services</t>
        </is>
      </c>
      <c r="E13824" s="10" t="inlineStr">
        <is>
          <t>Lương:Cạnh tranh</t>
        </is>
      </c>
      <c r="F13824" s="10" t="inlineStr">
        <is>
          <t>Hồ Chí Minh</t>
        </is>
      </c>
      <c r="G13824" s="10" t="inlineStr">
        <is>
          <t>30-04-2026</t>
        </is>
      </c>
      <c r="H13824" s="10" t="inlineStr">
        <is>
          <t>30/04/2026</t>
        </is>
      </c>
      <c r="I13824" s="10" t="inlineStr">
        <is>
          <t>17/03/2026</t>
        </is>
      </c>
      <c r="J13824" s="10" t="inlineStr">
        <is>
          <t>Tài chính / Đầu tư, Luật / Pháp lý, Kế toán / Kiểm toán</t>
        </is>
      </c>
      <c r="K13824" s="10" t="inlineStr">
        <is>
          <t>10 - 12 Năm</t>
        </is>
      </c>
      <c r="L13824" s="11">
        <f>HYPERLINK("https://careerviet.vn/vi/tim-viec-lam/nova-service-group-giam-doc-phong-to-chuc-quan-ly-rui-ro-quy-trinh-va-tuan-thu.35C6C0CC.html","Xem chi tiết")</f>
        <v/>
      </c>
      <c r="M13824" s="10" t="n"/>
    </row>
    <row r="13825">
      <c r="B13825" s="7" t="n">
        <v>13823</v>
      </c>
      <c r="C13825" t="inlineStr">
        <is>
          <t>Elite - Chuyên Viên Cao Cấp Tuyển Dụng</t>
        </is>
      </c>
      <c r="D13825" t="inlineStr">
        <is>
          <t>BIM Group</t>
        </is>
      </c>
      <c r="E13825" t="inlineStr">
        <is>
          <t>Lương:Cạnh tranh</t>
        </is>
      </c>
      <c r="F13825" t="inlineStr">
        <is>
          <t>Hà Nội</t>
        </is>
      </c>
      <c r="G13825" t="inlineStr">
        <is>
          <t>10-04-2026</t>
        </is>
      </c>
      <c r="H13825" t="inlineStr">
        <is>
          <t>10/04/2026</t>
        </is>
      </c>
      <c r="I13825" t="inlineStr">
        <is>
          <t>17/03/2026</t>
        </is>
      </c>
      <c r="J13825" t="inlineStr">
        <is>
          <t>Nhân sự</t>
        </is>
      </c>
      <c r="K13825" t="inlineStr">
        <is>
          <t>3 - 5 Năm</t>
        </is>
      </c>
      <c r="L13825" s="8">
        <f>HYPERLINK("https://careerviet.vn/vi/tim-viec-lam/elite-chuyen-vien-cao-cap-tuyen-dung.35C6C07B.html","Xem chi tiết")</f>
        <v/>
      </c>
    </row>
    <row r="13826">
      <c r="B13826" s="9" t="n">
        <v>13824</v>
      </c>
      <c r="C13826" s="10" t="inlineStr">
        <is>
          <t>Senior Designer 2D</t>
        </is>
      </c>
      <c r="D13826" s="10" t="inlineStr">
        <is>
          <t>AKI DESIGN</t>
        </is>
      </c>
      <c r="E13826" s="10" t="inlineStr">
        <is>
          <t>Lương:20 Tr - 25 Tr VND</t>
        </is>
      </c>
      <c r="F13826" s="10" t="inlineStr">
        <is>
          <t>Hồ Chí MinhHà Nội</t>
        </is>
      </c>
      <c r="G13826" s="10" t="inlineStr">
        <is>
          <t>31-03-2026</t>
        </is>
      </c>
      <c r="H13826" s="10" t="inlineStr">
        <is>
          <t>31/03/2026</t>
        </is>
      </c>
      <c r="I13826" s="10" t="inlineStr">
        <is>
          <t>17/03/2026</t>
        </is>
      </c>
      <c r="J13826" s="10" t="inlineStr">
        <is>
          <t>Kiến trúc, Xây dựng, Nội ngoại thất</t>
        </is>
      </c>
      <c r="K13826" s="10" t="inlineStr">
        <is>
          <t>4 - 6 Năm</t>
        </is>
      </c>
      <c r="L13826" s="11">
        <f>HYPERLINK("https://careerviet.vn/vi/tim-viec-lam/senior-designer-2d.35C6C0BD.html","Xem chi tiết")</f>
        <v/>
      </c>
      <c r="M13826" s="10" t="n"/>
    </row>
    <row r="13827">
      <c r="B13827" s="7" t="n">
        <v>13825</v>
      </c>
      <c r="C13827" t="inlineStr">
        <is>
          <t>A&amp;P Senior Executive</t>
        </is>
      </c>
      <c r="D13827" t="inlineStr">
        <is>
          <t>Trung tâm Thương mại SC VivoCity</t>
        </is>
      </c>
      <c r="E13827" t="inlineStr">
        <is>
          <t>Lương:20 Tr - 30 Tr VND</t>
        </is>
      </c>
      <c r="F13827" t="inlineStr">
        <is>
          <t>Hồ Chí Minh</t>
        </is>
      </c>
      <c r="G13827" t="inlineStr">
        <is>
          <t>31-03-2026</t>
        </is>
      </c>
      <c r="H13827" t="inlineStr">
        <is>
          <t>31/03/2026</t>
        </is>
      </c>
      <c r="I13827" t="inlineStr">
        <is>
          <t>17/03/2026</t>
        </is>
      </c>
      <c r="J13827" t="inlineStr">
        <is>
          <t>Tiếp thị / Marketing, Bán lẻ / Bán sỉ, Bất động sản</t>
        </is>
      </c>
      <c r="K13827" t="inlineStr">
        <is>
          <t>3 - 5 Năm</t>
        </is>
      </c>
      <c r="L13827" s="8">
        <f>HYPERLINK("https://careerviet.vn/vi/tim-viec-lam/a-p-senior-executive.35C6C0DB.html","Xem chi tiết")</f>
        <v/>
      </c>
    </row>
    <row r="13828">
      <c r="B13828" s="9" t="n">
        <v>13826</v>
      </c>
      <c r="C13828" s="10" t="inlineStr">
        <is>
          <t>Chuyên viên Công nghệ (Làm việc tại Gia Lai)</t>
        </is>
      </c>
      <c r="D13828" s="10" t="inlineStr">
        <is>
          <t>Công ty CP Thành Thành Công - Biên Hòa</t>
        </is>
      </c>
      <c r="E13828" s="10" t="inlineStr">
        <is>
          <t>Lương:8 Tr - 12 Tr VND</t>
        </is>
      </c>
      <c r="F13828" s="10" t="inlineStr">
        <is>
          <t>Gia Lai</t>
        </is>
      </c>
      <c r="G13828" s="10" t="inlineStr">
        <is>
          <t>10-04-2026</t>
        </is>
      </c>
      <c r="H13828" s="10" t="inlineStr">
        <is>
          <t>10/04/2026</t>
        </is>
      </c>
      <c r="I13828" s="10" t="inlineStr">
        <is>
          <t>17/03/2026</t>
        </is>
      </c>
      <c r="J13828" s="10" t="inlineStr">
        <is>
          <t>Công nghệ thực phẩm / Dinh dưỡng</t>
        </is>
      </c>
      <c r="K13828" s="10" t="inlineStr">
        <is>
          <t>N/A</t>
        </is>
      </c>
      <c r="L13828" s="11">
        <f>HYPERLINK("https://careerviet.vn/vi/tim-viec-lam/chuyen-vien-cong-nghe-lam-viec-tai-gia-lai.35C6C0D1.html","Xem chi tiết")</f>
        <v/>
      </c>
      <c r="M13828" s="10" t="n"/>
    </row>
    <row r="13829">
      <c r="B13829" s="7" t="n">
        <v>13827</v>
      </c>
      <c r="C13829" t="inlineStr">
        <is>
          <t>Công nhân vận hành máy chiết rót (Khánh Hòa)</t>
        </is>
      </c>
      <c r="D13829" t="inlineStr">
        <is>
          <t>Bảo mật</t>
        </is>
      </c>
      <c r="E13829" t="inlineStr">
        <is>
          <t>Lương:Cạnh tranh</t>
        </is>
      </c>
      <c r="F13829" t="inlineStr">
        <is>
          <t>Khánh Hòa</t>
        </is>
      </c>
      <c r="G13829" t="inlineStr">
        <is>
          <t>31-05-2026</t>
        </is>
      </c>
      <c r="H13829" t="inlineStr">
        <is>
          <t>31/05/2026</t>
        </is>
      </c>
      <c r="I13829" t="inlineStr">
        <is>
          <t>17/03/2026</t>
        </is>
      </c>
      <c r="J13829" t="inlineStr">
        <is>
          <t>Cơ khí / Ô tô / Tự động hóa, Điện / Điện tử / Điện lạnh / Điện công nghiệp, Thực phẩm &amp; Đồ uống</t>
        </is>
      </c>
      <c r="K13829" t="inlineStr">
        <is>
          <t>Chưa có kinh nghiệm</t>
        </is>
      </c>
      <c r="L13829" s="8">
        <f>HYPERLINK("https://careerviet.vn/vi/tim-viec-lam/cong-nhan-van-hanh-may-chiet-rot-khanh-hoa.35C6C0CF.html","Xem chi tiết")</f>
        <v/>
      </c>
    </row>
    <row r="13830">
      <c r="B13830" s="9" t="n">
        <v>13828</v>
      </c>
      <c r="C13830" s="10" t="inlineStr">
        <is>
          <t>Kế Toán Kho</t>
        </is>
      </c>
      <c r="D13830" s="10" t="inlineStr">
        <is>
          <t>Công Ty CP XNK Hóa Chất &amp; Thiết Bị Kim Ngưu</t>
        </is>
      </c>
      <c r="E13830" s="10" t="inlineStr">
        <is>
          <t>Lương:9 Tr - 11 Tr VND</t>
        </is>
      </c>
      <c r="F13830" s="10" t="inlineStr">
        <is>
          <t>Đồng Nai</t>
        </is>
      </c>
      <c r="G13830" s="10" t="inlineStr">
        <is>
          <t>30-05-2026</t>
        </is>
      </c>
      <c r="H13830" s="10" t="inlineStr">
        <is>
          <t>30/05/2026</t>
        </is>
      </c>
      <c r="I13830" s="10" t="inlineStr">
        <is>
          <t>17/03/2026</t>
        </is>
      </c>
      <c r="J13830" s="10" t="inlineStr">
        <is>
          <t>Kế toán / Kiểm toán</t>
        </is>
      </c>
      <c r="K13830" s="10" t="inlineStr">
        <is>
          <t>2 - 3 Năm</t>
        </is>
      </c>
      <c r="L13830" s="11">
        <f>HYPERLINK("https://careerviet.vn/vi/tim-viec-lam/ke-toan-kho.35C6C0D0.html","Xem chi tiết")</f>
        <v/>
      </c>
      <c r="M13830" s="10" t="n"/>
    </row>
    <row r="13831">
      <c r="B13831" s="7" t="n">
        <v>13829</v>
      </c>
      <c r="C13831" t="inlineStr">
        <is>
          <t>Cộng tác viên Dịch vụ Khách hàng (Điều phối viên)</t>
        </is>
      </c>
      <c r="D13831" t="inlineStr">
        <is>
          <t>Ngân Hàng TMCP Sài Gòn - Hà Nội ( SHB )</t>
        </is>
      </c>
      <c r="E13831" t="inlineStr">
        <is>
          <t>Lương:Cạnh tranh</t>
        </is>
      </c>
      <c r="F13831" t="inlineStr">
        <is>
          <t>Hà Nội</t>
        </is>
      </c>
      <c r="G13831" t="inlineStr">
        <is>
          <t>08-04-2026</t>
        </is>
      </c>
      <c r="H13831" t="inlineStr">
        <is>
          <t>08/04/2026</t>
        </is>
      </c>
      <c r="I13831" t="inlineStr">
        <is>
          <t>17/03/2026</t>
        </is>
      </c>
      <c r="J13831" t="inlineStr">
        <is>
          <t>Dịch vụ khách hàng, Ngân hàng</t>
        </is>
      </c>
      <c r="K13831" t="inlineStr">
        <is>
          <t>Chưa có kinh nghiệm</t>
        </is>
      </c>
      <c r="L13831" s="8">
        <f>HYPERLINK("https://careerviet.vn/vi/tim-viec-lam/cong-tac-vien-dich-vu-khach-hang-dieu-phoi-vien.35C6C0F7.html","Xem chi tiết")</f>
        <v/>
      </c>
    </row>
    <row r="13832">
      <c r="B13832" s="9" t="n">
        <v>13830</v>
      </c>
      <c r="C13832" s="10" t="inlineStr">
        <is>
          <t>Kiến Trúc Sư Concept</t>
        </is>
      </c>
      <c r="D13832" s="10" t="inlineStr">
        <is>
          <t>CÔNG TY TNHH MIA DESIGN STUDIO</t>
        </is>
      </c>
      <c r="E13832" s="10" t="inlineStr">
        <is>
          <t>Lương:Cạnh tranh</t>
        </is>
      </c>
      <c r="F13832" s="10" t="inlineStr">
        <is>
          <t>Hồ Chí Minh</t>
        </is>
      </c>
      <c r="G13832" s="10" t="inlineStr">
        <is>
          <t>31-03-2026</t>
        </is>
      </c>
      <c r="H13832" s="10" t="inlineStr">
        <is>
          <t>31/03/2026</t>
        </is>
      </c>
      <c r="I13832" s="10" t="inlineStr">
        <is>
          <t>17/03/2026</t>
        </is>
      </c>
      <c r="J13832" s="10" t="inlineStr">
        <is>
          <t>Kiến trúc, Nội ngoại thất</t>
        </is>
      </c>
      <c r="K13832" s="10" t="inlineStr">
        <is>
          <t>2 - 3 Năm</t>
        </is>
      </c>
      <c r="L13832" s="11">
        <f>HYPERLINK("https://careerviet.vn/vi/tim-viec-lam/kien-truc-su-concept.35C6BFAC.html","Xem chi tiết")</f>
        <v/>
      </c>
      <c r="M13832" s="10" t="n"/>
    </row>
    <row r="13833">
      <c r="B13833" s="7" t="n">
        <v>13831</v>
      </c>
      <c r="C13833" t="inlineStr">
        <is>
          <t>Nhân viên vận hành máy cô đặc (Khánh Hòa)</t>
        </is>
      </c>
      <c r="D13833" t="inlineStr">
        <is>
          <t>Bảo mật</t>
        </is>
      </c>
      <c r="E13833" t="inlineStr">
        <is>
          <t>Lương:Cạnh tranh</t>
        </is>
      </c>
      <c r="F13833" t="inlineStr">
        <is>
          <t>Khánh Hòa</t>
        </is>
      </c>
      <c r="G13833" t="inlineStr">
        <is>
          <t>31-05-2026</t>
        </is>
      </c>
      <c r="H13833" t="inlineStr">
        <is>
          <t>31/05/2026</t>
        </is>
      </c>
      <c r="I13833" t="inlineStr">
        <is>
          <t>17/03/2026</t>
        </is>
      </c>
      <c r="J13833" t="inlineStr">
        <is>
          <t>Thực phẩm &amp; Đồ uống, Công nghệ thực phẩm / Dinh dưỡng, Cơ khí / Ô tô / Tự động hóa</t>
        </is>
      </c>
      <c r="K13833" t="inlineStr">
        <is>
          <t>N/A</t>
        </is>
      </c>
      <c r="L13833" s="8">
        <f>HYPERLINK("https://careerviet.vn/vi/tim-viec-lam/nhan-vien-van-hanh-may-co-dac-khanh-hoa.35C6C0C2.html","Xem chi tiết")</f>
        <v/>
      </c>
    </row>
    <row r="13834">
      <c r="B13834" s="9" t="n">
        <v>13832</v>
      </c>
      <c r="C13834" s="10" t="inlineStr">
        <is>
          <t>Nhân Viên Kỹ Thuật Bánh Ngọt - Hồ Chí Minh</t>
        </is>
      </c>
      <c r="D13834" s="10" t="inlineStr">
        <is>
          <t>CÔNG TY CỔ PHẦN THƯƠNG MẠI VÀ CÔNG NGHỆ THỰC PHẨM HOÀNG LÂM</t>
        </is>
      </c>
      <c r="E13834" s="10" t="inlineStr">
        <is>
          <t>Lương:10 Tr - 15 Tr VND</t>
        </is>
      </c>
      <c r="F13834" s="10" t="inlineStr">
        <is>
          <t>Hồ Chí Minh</t>
        </is>
      </c>
      <c r="G13834" s="10" t="inlineStr">
        <is>
          <t>22-04-2026</t>
        </is>
      </c>
      <c r="H13834" s="10" t="inlineStr">
        <is>
          <t>22/04/2026</t>
        </is>
      </c>
      <c r="I13834" s="10" t="inlineStr">
        <is>
          <t>17/03/2026</t>
        </is>
      </c>
      <c r="J13834" s="10" t="inlineStr">
        <is>
          <t>Thực phẩm &amp; Đồ uống, Nhà hàng / Khách sạn, Công nghệ thực phẩm / Dinh dưỡng</t>
        </is>
      </c>
      <c r="K13834" s="10" t="inlineStr">
        <is>
          <t>1 - 2 Năm</t>
        </is>
      </c>
      <c r="L13834" s="11">
        <f>HYPERLINK("https://careerviet.vn/vi/tim-viec-lam/nhan-vien-ky-thuat-banh-ngot-ho-chi-minh.35C6C0B6.html","Xem chi tiết")</f>
        <v/>
      </c>
      <c r="M13834" s="10" t="n"/>
    </row>
    <row r="13835">
      <c r="B13835" s="7" t="n">
        <v>13833</v>
      </c>
      <c r="C13835" t="inlineStr">
        <is>
          <t>Trade Marketing Executive</t>
        </is>
      </c>
      <c r="D13835" t="inlineStr">
        <is>
          <t>TRƯỜNG QUỐC TẾ BLUE RIDGE / BLUE RIDGE INTERNATIONAL SCHOOL (BRIS)</t>
        </is>
      </c>
      <c r="E13835" t="inlineStr">
        <is>
          <t>Lương:10 Tr - 12 Tr VND</t>
        </is>
      </c>
      <c r="F13835" t="inlineStr">
        <is>
          <t>Hồ Chí Minh</t>
        </is>
      </c>
      <c r="G13835" t="inlineStr">
        <is>
          <t>12-04-2026</t>
        </is>
      </c>
      <c r="H13835" t="inlineStr">
        <is>
          <t>12/04/2026</t>
        </is>
      </c>
      <c r="I13835" t="inlineStr">
        <is>
          <t>17/03/2026</t>
        </is>
      </c>
      <c r="J13835" t="inlineStr">
        <is>
          <t>Giáo dục / Đào tạo, Quảng cáo / Đối ngoại / Truyền Thông, Tổ chức sự kiện</t>
        </is>
      </c>
      <c r="K13835" t="inlineStr">
        <is>
          <t>2 - 3 Năm</t>
        </is>
      </c>
      <c r="L13835" s="8">
        <f>HYPERLINK("https://careerviet.vn/vi/tim-viec-lam/trade-marketing-executive.35C6C0C5.html","Xem chi tiết")</f>
        <v/>
      </c>
    </row>
    <row r="13836">
      <c r="B13836" s="9" t="n">
        <v>13834</v>
      </c>
      <c r="C13836" s="10" t="inlineStr">
        <is>
          <t>Retail Merchandiser - Product Marketing</t>
        </is>
      </c>
      <c r="D13836" s="10" t="inlineStr">
        <is>
          <t>Savimex Corporation</t>
        </is>
      </c>
      <c r="E13836" s="10" t="inlineStr">
        <is>
          <t>Lương:Cạnh tranh</t>
        </is>
      </c>
      <c r="F13836" s="10" t="inlineStr">
        <is>
          <t>Hồ Chí Minh</t>
        </is>
      </c>
      <c r="G13836" s="10" t="inlineStr">
        <is>
          <t>11-04-2026</t>
        </is>
      </c>
      <c r="H13836" s="10" t="inlineStr">
        <is>
          <t>11/04/2026</t>
        </is>
      </c>
      <c r="I13836" s="10" t="inlineStr">
        <is>
          <t>17/03/2026</t>
        </is>
      </c>
      <c r="J13836" s="10" t="inlineStr">
        <is>
          <t>Đồ gỗ, Nội ngoại thất, Tiếp thị / Marketing</t>
        </is>
      </c>
      <c r="K13836" s="10" t="inlineStr">
        <is>
          <t>Trên 2 Năm</t>
        </is>
      </c>
      <c r="L13836" s="11">
        <f>HYPERLINK("https://careerviet.vn/vi/tim-viec-lam/retail-merchandiser-product-marketing.35C6C0EE.html","Xem chi tiết")</f>
        <v/>
      </c>
      <c r="M13836" s="10" t="n"/>
    </row>
    <row r="13837">
      <c r="B13837" s="7" t="n">
        <v>13835</v>
      </c>
      <c r="C13837" t="inlineStr">
        <is>
          <t>QA Telesales Specialist</t>
        </is>
      </c>
      <c r="D13837" t="inlineStr">
        <is>
          <t>CÔNG TY TNHH THE SUN COSMECTICS</t>
        </is>
      </c>
      <c r="E13837" t="inlineStr">
        <is>
          <t>Lương:Cạnh tranh</t>
        </is>
      </c>
      <c r="F13837" t="inlineStr">
        <is>
          <t>Hồ Chí Minh</t>
        </is>
      </c>
      <c r="G13837" t="inlineStr">
        <is>
          <t>30-04-2026</t>
        </is>
      </c>
      <c r="H13837" t="inlineStr">
        <is>
          <t>30/04/2026</t>
        </is>
      </c>
      <c r="I13837" t="inlineStr">
        <is>
          <t>17/03/2026</t>
        </is>
      </c>
      <c r="J13837" t="inlineStr">
        <is>
          <t>Quản lý chất lượng (QA/QC), Dịch vụ khách hàng, Tư vấn</t>
        </is>
      </c>
      <c r="K13837" t="inlineStr">
        <is>
          <t>1 - 3 Năm</t>
        </is>
      </c>
      <c r="L13837" s="8">
        <f>HYPERLINK("https://careerviet.vn/vi/tim-viec-lam/qa-telesales-specialist.35C6C0F3.html","Xem chi tiết")</f>
        <v/>
      </c>
    </row>
    <row r="13838">
      <c r="B13838" s="9" t="n">
        <v>13836</v>
      </c>
      <c r="C13838" s="10" t="inlineStr">
        <is>
          <t>Chuyên viên Pháp chế Bệnh viện Tạo hình Thẩm Mỹ Dr Hải Lê</t>
        </is>
      </c>
      <c r="D13838" s="10" t="inlineStr">
        <is>
          <t>Viện Thẩm mỹ y khoa Dr Hải Lê</t>
        </is>
      </c>
      <c r="E13838" s="10" t="inlineStr">
        <is>
          <t>Lương:15 Tr - 25 Tr VND</t>
        </is>
      </c>
      <c r="F13838" s="10" t="inlineStr">
        <is>
          <t>Hà Nội</t>
        </is>
      </c>
      <c r="G13838" s="10" t="inlineStr">
        <is>
          <t>30-04-2026</t>
        </is>
      </c>
      <c r="H13838" s="10" t="inlineStr">
        <is>
          <t>30/04/2026</t>
        </is>
      </c>
      <c r="I13838" s="10" t="inlineStr">
        <is>
          <t>17/03/2026</t>
        </is>
      </c>
      <c r="J13838" s="10" t="inlineStr">
        <is>
          <t>Luật / Pháp lý, Quản lý điều hành, Y tế / Chăm sóc sức khỏe / Thẩm mỹ / Làm đẹp</t>
        </is>
      </c>
      <c r="K13838" s="10" t="inlineStr">
        <is>
          <t>3 - 5 Năm</t>
        </is>
      </c>
      <c r="L13838" s="11">
        <f>HYPERLINK("https://careerviet.vn/vi/tim-viec-lam/chuyen-vien-phap-che-benh-vien-tao-hinh-tham-my-dr-hai-le.35C6C0B2.html","Xem chi tiết")</f>
        <v/>
      </c>
      <c r="M13838" s="10" t="n"/>
    </row>
    <row r="13839">
      <c r="B13839" s="7" t="n">
        <v>13837</v>
      </c>
      <c r="C13839" t="inlineStr">
        <is>
          <t>Sales Engineer - Nguyên Liệu Hóa Chất Ngành Cosmetic/Personal Care/Home Care</t>
        </is>
      </c>
      <c r="D13839" t="inlineStr">
        <is>
          <t>Công Ty TNHH Đầu Tư Quốc Tế Tường Ngọc</t>
        </is>
      </c>
      <c r="E13839" t="inlineStr">
        <is>
          <t>Lương:Cạnh tranh</t>
        </is>
      </c>
      <c r="F13839" t="inlineStr">
        <is>
          <t>Hồ Chí MinhHà Nội</t>
        </is>
      </c>
      <c r="G13839" t="inlineStr">
        <is>
          <t>10-04-2026</t>
        </is>
      </c>
      <c r="H13839" t="inlineStr">
        <is>
          <t>10/04/2026</t>
        </is>
      </c>
      <c r="I13839" t="inlineStr">
        <is>
          <t>17/03/2026</t>
        </is>
      </c>
      <c r="J13839" t="inlineStr">
        <is>
          <t>Bán hàng / Kinh doanh, Hóa học, Công nghệ sinh học</t>
        </is>
      </c>
      <c r="K13839" t="inlineStr">
        <is>
          <t>1 - 5 Năm</t>
        </is>
      </c>
      <c r="L13839" s="8">
        <f>HYPERLINK("https://careerviet.vn/vi/tim-viec-lam/sales-engineer-nguyen-lieu-hoa-chat-nganh-cosmetic-personal-care-home-care.35C6C0B3.html","Xem chi tiết")</f>
        <v/>
      </c>
    </row>
    <row r="13840">
      <c r="B13840" s="9" t="n">
        <v>13838</v>
      </c>
      <c r="C13840" s="10" t="inlineStr">
        <is>
          <t>Thư ký ban giám đốc</t>
        </is>
      </c>
      <c r="D13840" s="10" t="inlineStr">
        <is>
          <t>Công Ty Cổ Phần Xây Dựng CDC</t>
        </is>
      </c>
      <c r="E13840" s="10" t="inlineStr">
        <is>
          <t>Lương:Cạnh tranh</t>
        </is>
      </c>
      <c r="F13840" s="10" t="inlineStr">
        <is>
          <t>Hà Nội</t>
        </is>
      </c>
      <c r="G13840" s="10" t="inlineStr">
        <is>
          <t>11-04-2026</t>
        </is>
      </c>
      <c r="H13840" s="10" t="inlineStr">
        <is>
          <t>11/04/2026</t>
        </is>
      </c>
      <c r="I13840" s="10" t="inlineStr">
        <is>
          <t>17/03/2026</t>
        </is>
      </c>
      <c r="J13840" s="10" t="inlineStr">
        <is>
          <t>Hành chính / Thư ký</t>
        </is>
      </c>
      <c r="K13840" s="10" t="inlineStr">
        <is>
          <t>2 - 5 Năm</t>
        </is>
      </c>
      <c r="L13840" s="11">
        <f>HYPERLINK("https://careerviet.vn/vi/tim-viec-lam/thu-ky-ban-giam-doc.35C6C0B5.html","Xem chi tiết")</f>
        <v/>
      </c>
      <c r="M13840" s="10" t="n"/>
    </row>
    <row r="13841">
      <c r="B13841" s="7" t="n">
        <v>13839</v>
      </c>
      <c r="C13841" t="inlineStr">
        <is>
          <t>[NOVA Goft Club] Phó phòng Điều hành Golf</t>
        </is>
      </c>
      <c r="D13841" t="inlineStr">
        <is>
          <t>Nova Service Group - Công ty Cổ phần Tập đoàn Nova Services</t>
        </is>
      </c>
      <c r="E13841" t="inlineStr">
        <is>
          <t>Lương:Cạnh tranh</t>
        </is>
      </c>
      <c r="F13841" t="inlineStr">
        <is>
          <t>Bình Thuận</t>
        </is>
      </c>
      <c r="G13841" t="inlineStr">
        <is>
          <t>30-04-2026</t>
        </is>
      </c>
      <c r="H13841" t="inlineStr">
        <is>
          <t>30/04/2026</t>
        </is>
      </c>
      <c r="I13841" t="inlineStr">
        <is>
          <t>17/03/2026</t>
        </is>
      </c>
      <c r="J13841" t="inlineStr">
        <is>
          <t>Giải trí, Nhà hàng / Khách sạn, Du lịch</t>
        </is>
      </c>
      <c r="K13841" t="inlineStr">
        <is>
          <t>6 - 8 Năm</t>
        </is>
      </c>
      <c r="L13841" s="8">
        <f>HYPERLINK("https://careerviet.vn/vi/tim-viec-lam/nova-goft-club-pho-phong-dieu-hanh-golf.35C6C0EF.html","Xem chi tiết")</f>
        <v/>
      </c>
    </row>
    <row r="13842">
      <c r="B13842" s="9" t="n">
        <v>13840</v>
      </c>
      <c r="C13842" s="10" t="inlineStr">
        <is>
          <t>Quản Lý Kinh Doanh Cửa Hàng - Khu vực Miền Tây (ASM)</t>
        </is>
      </c>
      <c r="D13842" s="10" t="inlineStr">
        <is>
          <t>HMK Eyewear</t>
        </is>
      </c>
      <c r="E13842" s="10" t="inlineStr">
        <is>
          <t>Lương:Cạnh tranh</t>
        </is>
      </c>
      <c r="F13842" s="10" t="inlineStr">
        <is>
          <t>Cần Thơ</t>
        </is>
      </c>
      <c r="G13842" s="10" t="inlineStr">
        <is>
          <t>30-04-2026</t>
        </is>
      </c>
      <c r="H13842" s="10" t="inlineStr">
        <is>
          <t>30/04/2026</t>
        </is>
      </c>
      <c r="I13842" s="10" t="inlineStr">
        <is>
          <t>17/03/2026</t>
        </is>
      </c>
      <c r="J13842" s="10" t="inlineStr">
        <is>
          <t>Bán lẻ / Bán sỉ, Bán hàng / Kinh doanh, Dịch vụ khách hàng</t>
        </is>
      </c>
      <c r="K13842" s="10" t="inlineStr">
        <is>
          <t>2 - 3 Năm</t>
        </is>
      </c>
      <c r="L13842" s="11">
        <f>HYPERLINK("https://careerviet.vn/vi/tim-viec-lam/quan-ly-kinh-doanh-cua-hang-khu-vuc-mien-tay-asm.35C6C0B4.html","Xem chi tiết")</f>
        <v/>
      </c>
      <c r="M13842" s="10" t="n"/>
    </row>
    <row r="13843">
      <c r="B13843" s="7" t="n">
        <v>13841</v>
      </c>
      <c r="C13843" t="inlineStr">
        <is>
          <t>Chuyên viên hành chính nhân sự</t>
        </is>
      </c>
      <c r="D13843" t="inlineStr">
        <is>
          <t>Công ty cổ phần Anvy</t>
        </is>
      </c>
      <c r="E13843" t="inlineStr">
        <is>
          <t>Lương:14 Tr - 18 Tr VND</t>
        </is>
      </c>
      <c r="F13843" t="inlineStr">
        <is>
          <t>Hồ Chí Minh</t>
        </is>
      </c>
      <c r="G13843" t="inlineStr">
        <is>
          <t>30-04-2026</t>
        </is>
      </c>
      <c r="H13843" t="inlineStr">
        <is>
          <t>30/04/2026</t>
        </is>
      </c>
      <c r="I13843" t="inlineStr">
        <is>
          <t>17/03/2026</t>
        </is>
      </c>
      <c r="J13843" t="inlineStr">
        <is>
          <t>Hành chính / Thư ký, Nhân sự</t>
        </is>
      </c>
      <c r="K13843" t="inlineStr">
        <is>
          <t>3 - 5 Năm</t>
        </is>
      </c>
      <c r="L13843" s="8">
        <f>HYPERLINK("https://careerviet.vn/vi/tim-viec-lam/chuyen-vien-hanh-chinh-nhan-su.35C6C0A8.html","Xem chi tiết")</f>
        <v/>
      </c>
    </row>
    <row r="13844">
      <c r="B13844" s="9" t="n">
        <v>13842</v>
      </c>
      <c r="C13844" s="10" t="inlineStr">
        <is>
          <t>Nhân viên Kỹ Thuật Chượp (Khánh Hòa)</t>
        </is>
      </c>
      <c r="D13844" s="10" t="inlineStr">
        <is>
          <t>CareerViet's client</t>
        </is>
      </c>
      <c r="E13844" s="10" t="inlineStr">
        <is>
          <t>Lương:Cạnh tranh</t>
        </is>
      </c>
      <c r="F13844" s="10" t="inlineStr">
        <is>
          <t>Khánh Hòa</t>
        </is>
      </c>
      <c r="G13844" s="10" t="inlineStr">
        <is>
          <t>31-05-2026</t>
        </is>
      </c>
      <c r="H13844" s="10" t="inlineStr">
        <is>
          <t>31/05/2026</t>
        </is>
      </c>
      <c r="I13844" s="10" t="inlineStr">
        <is>
          <t>17/03/2026</t>
        </is>
      </c>
      <c r="J13844" s="10" t="inlineStr">
        <is>
          <t>Thực phẩm &amp; Đồ uống, Công nghệ thực phẩm / Dinh dưỡng</t>
        </is>
      </c>
      <c r="K13844" s="10" t="inlineStr">
        <is>
          <t>Chưa có kinh nghiệm</t>
        </is>
      </c>
      <c r="L13844" s="11">
        <f>HYPERLINK("https://careerviet.vn/vi/tim-viec-lam/nhan-vien-ky-thuat-chuop-khanh-hoa.35C6C0B1.html","Xem chi tiết")</f>
        <v/>
      </c>
      <c r="M13844" s="10" t="n"/>
    </row>
    <row r="13845">
      <c r="B13845" s="7" t="n">
        <v>13843</v>
      </c>
      <c r="C13845" t="inlineStr">
        <is>
          <t>Nhân viên kho</t>
        </is>
      </c>
      <c r="D13845" t="inlineStr">
        <is>
          <t>CÔNG TY TNHH ĐẦU TƯ XNK TÍN VIỆT</t>
        </is>
      </c>
      <c r="E13845" t="inlineStr">
        <is>
          <t>Lương:7 Tr - 10 Tr VND</t>
        </is>
      </c>
      <c r="F13845" t="inlineStr">
        <is>
          <t>Hồ Chí Minh</t>
        </is>
      </c>
      <c r="G13845" t="inlineStr">
        <is>
          <t>30-04-2026</t>
        </is>
      </c>
      <c r="H13845" t="inlineStr">
        <is>
          <t>30/04/2026</t>
        </is>
      </c>
      <c r="I13845" t="inlineStr">
        <is>
          <t>17/03/2026</t>
        </is>
      </c>
      <c r="J13845" t="inlineStr">
        <is>
          <t>Vận chuyển / Giao nhận / Kho vận, Kế toán / Kiểm toán, Bán lẻ / Bán sỉ</t>
        </is>
      </c>
      <c r="K13845" t="inlineStr">
        <is>
          <t>N/A</t>
        </is>
      </c>
      <c r="L13845" s="8">
        <f>HYPERLINK("https://careerviet.vn/vi/tim-viec-lam/nhan-vien-kho.35C6C0A3.html","Xem chi tiết")</f>
        <v/>
      </c>
    </row>
    <row r="13846">
      <c r="B13846" s="9" t="n">
        <v>13844</v>
      </c>
      <c r="C13846" s="10" t="inlineStr">
        <is>
          <t>ADMIN THANH TOÁN</t>
        </is>
      </c>
      <c r="D13846" s="10" t="inlineStr">
        <is>
          <t>CÔNG TY CỔ PHẦN THÁI VIỆT CORPORATION</t>
        </is>
      </c>
      <c r="E13846" s="10" t="inlineStr">
        <is>
          <t>Lương:12 Tr - 15 Tr VND</t>
        </is>
      </c>
      <c r="F13846" s="10" t="inlineStr">
        <is>
          <t>Hồ Chí Minh</t>
        </is>
      </c>
      <c r="G13846" s="10" t="inlineStr">
        <is>
          <t>11-04-2026</t>
        </is>
      </c>
      <c r="H13846" s="10" t="inlineStr">
        <is>
          <t>11/04/2026</t>
        </is>
      </c>
      <c r="I13846" s="10" t="inlineStr">
        <is>
          <t>17/03/2026</t>
        </is>
      </c>
      <c r="J13846" s="10" t="inlineStr">
        <is>
          <t>Kế toán / Kiểm toán, Thống kê</t>
        </is>
      </c>
      <c r="K13846" s="10" t="inlineStr">
        <is>
          <t>1 - 2 Năm</t>
        </is>
      </c>
      <c r="L13846" s="11">
        <f>HYPERLINK("https://careerviet.vn/vi/tim-viec-lam/admin-thanh-toan.35C6C0BE.html","Xem chi tiết")</f>
        <v/>
      </c>
      <c r="M13846" s="10" t="n"/>
    </row>
    <row r="13847">
      <c r="B13847" s="7" t="n">
        <v>13845</v>
      </c>
      <c r="C13847" t="inlineStr">
        <is>
          <t>Business Analyst</t>
        </is>
      </c>
      <c r="D13847" t="inlineStr">
        <is>
          <t>Công ty TNHH Viettel - CHT</t>
        </is>
      </c>
      <c r="E13847" t="inlineStr">
        <is>
          <t>Lương:Cạnh tranh</t>
        </is>
      </c>
      <c r="F13847" t="inlineStr">
        <is>
          <t>Hà Nội</t>
        </is>
      </c>
      <c r="G13847" t="inlineStr">
        <is>
          <t>30-03-2026</t>
        </is>
      </c>
      <c r="H13847" t="inlineStr">
        <is>
          <t>30/03/2026</t>
        </is>
      </c>
      <c r="I13847" t="inlineStr">
        <is>
          <t>17/03/2026</t>
        </is>
      </c>
      <c r="J13847" t="inlineStr">
        <is>
          <t>CNTT - Phần mềm</t>
        </is>
      </c>
      <c r="K13847" t="inlineStr">
        <is>
          <t>Trên 2 Năm</t>
        </is>
      </c>
      <c r="L13847" s="8">
        <f>HYPERLINK("https://careerviet.vn/vi/tim-viec-lam/business-analyst.35C6C0AF.html","Xem chi tiết")</f>
        <v/>
      </c>
    </row>
    <row r="13848">
      <c r="B13848" s="9" t="n">
        <v>13846</v>
      </c>
      <c r="C13848" s="10" t="inlineStr">
        <is>
          <t>Chuyên viên Mua hàng</t>
        </is>
      </c>
      <c r="D13848" s="10" t="inlineStr">
        <is>
          <t>CÔNG TY TNHH THE SUN COSMECTICS</t>
        </is>
      </c>
      <c r="E13848" s="10" t="inlineStr">
        <is>
          <t>Lương:Cạnh tranh</t>
        </is>
      </c>
      <c r="F13848" s="10" t="inlineStr">
        <is>
          <t>Hồ Chí Minh</t>
        </is>
      </c>
      <c r="G13848" s="10" t="inlineStr">
        <is>
          <t>30-04-2026</t>
        </is>
      </c>
      <c r="H13848" s="10" t="inlineStr">
        <is>
          <t>30/04/2026</t>
        </is>
      </c>
      <c r="I13848" s="10" t="inlineStr">
        <is>
          <t>17/03/2026</t>
        </is>
      </c>
      <c r="J13848" s="10" t="inlineStr">
        <is>
          <t>Thu mua / Vật tư, Dược phẩm/ Hóa Mỹ Phẩm, Hóa học</t>
        </is>
      </c>
      <c r="K13848" s="10" t="inlineStr">
        <is>
          <t>1 - 3 Năm</t>
        </is>
      </c>
      <c r="L13848" s="11">
        <f>HYPERLINK("https://careerviet.vn/vi/tim-viec-lam/chuyen-vien-mua-hang.35C6C0A6.html","Xem chi tiết")</f>
        <v/>
      </c>
      <c r="M13848" s="10" t="n"/>
    </row>
    <row r="13849">
      <c r="B13849" s="7" t="n">
        <v>13847</v>
      </c>
      <c r="C13849" t="inlineStr">
        <is>
          <t>Nhân viên giao hàng</t>
        </is>
      </c>
      <c r="D13849" t="inlineStr">
        <is>
          <t>CÔNG TY TNHH ĐẦU TƯ XNK TÍN VIỆT</t>
        </is>
      </c>
      <c r="E13849" t="inlineStr">
        <is>
          <t>Lương:7 Tr - 14 Tr VND</t>
        </is>
      </c>
      <c r="F13849" t="inlineStr">
        <is>
          <t>Hồ Chí Minh</t>
        </is>
      </c>
      <c r="G13849" t="inlineStr">
        <is>
          <t>30-04-2026</t>
        </is>
      </c>
      <c r="H13849" t="inlineStr">
        <is>
          <t>30/04/2026</t>
        </is>
      </c>
      <c r="I13849" t="inlineStr">
        <is>
          <t>17/03/2026</t>
        </is>
      </c>
      <c r="J13849" t="inlineStr">
        <is>
          <t>Vận chuyển / Giao nhận / Kho vận</t>
        </is>
      </c>
      <c r="K13849" t="inlineStr">
        <is>
          <t>1 - 2 Năm</t>
        </is>
      </c>
      <c r="L13849" s="8">
        <f>HYPERLINK("https://careerviet.vn/vi/tim-viec-lam/nhan-vien-giao-hang.35C6C09E.html","Xem chi tiết")</f>
        <v/>
      </c>
    </row>
    <row r="13850">
      <c r="B13850" s="9" t="n">
        <v>13848</v>
      </c>
      <c r="C13850" s="10" t="inlineStr">
        <is>
          <t>Chuyên viên Tiếp thị &amp; Quan hệ Khách hàng – PGD Nhơn Trạch - CN Đồng Nai</t>
        </is>
      </c>
      <c r="D13850" s="10" t="inlineStr">
        <is>
          <t>Indovina Bank Ltd.</t>
        </is>
      </c>
      <c r="E13850" s="10" t="inlineStr">
        <is>
          <t>Lương:Cạnh tranh</t>
        </is>
      </c>
      <c r="F13850" s="10" t="inlineStr">
        <is>
          <t>Đồng Nai</t>
        </is>
      </c>
      <c r="G13850" s="10" t="inlineStr">
        <is>
          <t>31-05-2026</t>
        </is>
      </c>
      <c r="H13850" s="10" t="inlineStr">
        <is>
          <t>31/05/2026</t>
        </is>
      </c>
      <c r="I13850" s="10" t="inlineStr">
        <is>
          <t>17/03/2026</t>
        </is>
      </c>
      <c r="J13850" s="10" t="inlineStr">
        <is>
          <t>Tư vấn, Dịch vụ khách hàng, Ngân hàng</t>
        </is>
      </c>
      <c r="K13850" s="10" t="inlineStr">
        <is>
          <t>Lên đến 1 Năm</t>
        </is>
      </c>
      <c r="L13850" s="11">
        <f>HYPERLINK("https://careerviet.vn/vi/tim-viec-lam/chuyen-vien-tiep-thi-quan-he-khach-hang-pgd-nhon-trach-cn-dong-nai.35C6C0DF.html","Xem chi tiết")</f>
        <v/>
      </c>
      <c r="M13850" s="10" t="n"/>
    </row>
    <row r="13851">
      <c r="B13851" s="7" t="n">
        <v>13849</v>
      </c>
      <c r="C13851" t="inlineStr">
        <is>
          <t>Trưởng Nhóm Tuyển Sinh (Ocean Edu Đông Hưng) - Lương Từ 18 Triệu/Đi Làm Ngay</t>
        </is>
      </c>
      <c r="D13851" t="inlineStr">
        <is>
          <t>Công Ty CP Giáo Dục Đại Dương</t>
        </is>
      </c>
      <c r="E13851" t="inlineStr">
        <is>
          <t>Lương:Cạnh tranh</t>
        </is>
      </c>
      <c r="F13851" t="inlineStr">
        <is>
          <t>Thái Bình</t>
        </is>
      </c>
      <c r="G13851" t="inlineStr">
        <is>
          <t>04-04-2026</t>
        </is>
      </c>
      <c r="H13851" t="inlineStr">
        <is>
          <t>04/04/2026</t>
        </is>
      </c>
      <c r="I13851" t="inlineStr">
        <is>
          <t>17/03/2026</t>
        </is>
      </c>
      <c r="J13851" t="inlineStr">
        <is>
          <t>Tư vấn, Dịch vụ khách hàng, Giáo dục / Đào tạo</t>
        </is>
      </c>
      <c r="K13851" t="inlineStr">
        <is>
          <t>1 - 2 Năm</t>
        </is>
      </c>
      <c r="L13851" s="8">
        <f>HYPERLINK("https://careerviet.vn/vi/tim-viec-lam/truong-nhom-tuyen-sinh-ocean-edu-dong-hung-luong-tu-18-trieu-di-lam-ngay.35C6AF1A.html","Xem chi tiết")</f>
        <v/>
      </c>
    </row>
    <row r="13852">
      <c r="B13852" s="9" t="n">
        <v>13850</v>
      </c>
      <c r="C13852" s="10" t="inlineStr">
        <is>
          <t>Trưởng Nhóm Tuyển Sinh (Ocean Edu Kim Văn Kim Lũ) - Lương Từ 19 Triệu/Đi Làm Ngay</t>
        </is>
      </c>
      <c r="D13852" s="10" t="inlineStr">
        <is>
          <t>Công Ty CP Giáo Dục Đại Dương</t>
        </is>
      </c>
      <c r="E13852" s="10" t="inlineStr">
        <is>
          <t>Lương:Cạnh tranh</t>
        </is>
      </c>
      <c r="F13852" s="10" t="inlineStr">
        <is>
          <t>Hà Nội</t>
        </is>
      </c>
      <c r="G13852" s="10" t="inlineStr">
        <is>
          <t>04-04-2026</t>
        </is>
      </c>
      <c r="H13852" s="10" t="inlineStr">
        <is>
          <t>04/04/2026</t>
        </is>
      </c>
      <c r="I13852" s="10" t="inlineStr">
        <is>
          <t>17/03/2026</t>
        </is>
      </c>
      <c r="J13852" s="10" t="inlineStr">
        <is>
          <t>Tư vấn, Dịch vụ khách hàng, Giáo dục / Đào tạo</t>
        </is>
      </c>
      <c r="K13852" s="10" t="inlineStr">
        <is>
          <t>1 - 2 Năm</t>
        </is>
      </c>
      <c r="L13852" s="11">
        <f>HYPERLINK("https://careerviet.vn/vi/tim-viec-lam/truong-nhom-tuyen-sinh-ocean-edu-kim-van-kim-lu-luong-tu-19-trieu-di-lam-ngay.35C6AF20.html","Xem chi tiết")</f>
        <v/>
      </c>
      <c r="M13852" s="10" t="n"/>
    </row>
    <row r="13853">
      <c r="B13853" s="7" t="n">
        <v>13851</v>
      </c>
      <c r="C13853" t="inlineStr">
        <is>
          <t>Trưởng Nhóm Tuyển Sinh (Ocean Edu Móng Cái) - Lương Từ 18 Triệu/Đi Làm Ngay</t>
        </is>
      </c>
      <c r="D13853" t="inlineStr">
        <is>
          <t>Công Ty CP Giáo Dục Đại Dương</t>
        </is>
      </c>
      <c r="E13853" t="inlineStr">
        <is>
          <t>Lương:Cạnh tranh</t>
        </is>
      </c>
      <c r="F13853" t="inlineStr">
        <is>
          <t>Quảng Ninh</t>
        </is>
      </c>
      <c r="G13853" t="inlineStr">
        <is>
          <t>04-04-2026</t>
        </is>
      </c>
      <c r="H13853" t="inlineStr">
        <is>
          <t>04/04/2026</t>
        </is>
      </c>
      <c r="I13853" t="inlineStr">
        <is>
          <t>17/03/2026</t>
        </is>
      </c>
      <c r="J13853" t="inlineStr">
        <is>
          <t>Tư vấn, Dịch vụ khách hàng, Giáo dục / Đào tạo</t>
        </is>
      </c>
      <c r="K13853" t="inlineStr">
        <is>
          <t>1 - 2 Năm</t>
        </is>
      </c>
      <c r="L13853" s="8">
        <f>HYPERLINK("https://careerviet.vn/vi/tim-viec-lam/truong-nhom-tuyen-sinh-ocean-edu-mong-cai-luong-tu-18-trieu-di-lam-ngay.35C6AF17.html","Xem chi tiết")</f>
        <v/>
      </c>
    </row>
    <row r="13854">
      <c r="B13854" s="9" t="n">
        <v>13852</v>
      </c>
      <c r="C13854" s="10" t="inlineStr">
        <is>
          <t>Senior Construction Specialist (Ho Chi Minh)</t>
        </is>
      </c>
      <c r="D13854" s="10" t="inlineStr">
        <is>
          <t>Starbucks Vietnam</t>
        </is>
      </c>
      <c r="E13854" s="10" t="inlineStr">
        <is>
          <t>Lương:Cạnh tranh</t>
        </is>
      </c>
      <c r="F13854" s="10" t="inlineStr">
        <is>
          <t>Hồ Chí Minh</t>
        </is>
      </c>
      <c r="G13854" s="10" t="inlineStr">
        <is>
          <t>04-04-2026</t>
        </is>
      </c>
      <c r="H13854" s="10" t="inlineStr">
        <is>
          <t>04/04/2026</t>
        </is>
      </c>
      <c r="I13854" s="10" t="inlineStr">
        <is>
          <t>17/03/2026</t>
        </is>
      </c>
      <c r="J13854" s="10" t="inlineStr">
        <is>
          <t>Bảo trì / Sửa chữa, Xây dựng, Kiến trúc</t>
        </is>
      </c>
      <c r="K13854" s="10" t="inlineStr">
        <is>
          <t>5 - 10 Năm</t>
        </is>
      </c>
      <c r="L13854" s="11">
        <f>HYPERLINK("https://careerviet.vn/vi/tim-viec-lam/senior-construction-specialist-ho-chi-minh.35C6C0AB.html","Xem chi tiết")</f>
        <v/>
      </c>
      <c r="M13854" s="10" t="n"/>
    </row>
    <row r="13855">
      <c r="B13855" s="7" t="n">
        <v>13853</v>
      </c>
      <c r="C13855" t="inlineStr">
        <is>
          <t>Trưởng Nhóm Tuyển Sinh (Ocean Edu Hạ Long) - Lương Từ 18 Triệu/Đi Làm Ngay</t>
        </is>
      </c>
      <c r="D13855" t="inlineStr">
        <is>
          <t>Công Ty CP Giáo Dục Đại Dương</t>
        </is>
      </c>
      <c r="E13855" t="inlineStr">
        <is>
          <t>Lương:Cạnh tranh</t>
        </is>
      </c>
      <c r="F13855" t="inlineStr">
        <is>
          <t>Quảng Ninh</t>
        </is>
      </c>
      <c r="G13855" t="inlineStr">
        <is>
          <t>04-04-2026</t>
        </is>
      </c>
      <c r="H13855" t="inlineStr">
        <is>
          <t>04/04/2026</t>
        </is>
      </c>
      <c r="I13855" t="inlineStr">
        <is>
          <t>17/03/2026</t>
        </is>
      </c>
      <c r="J13855" t="inlineStr">
        <is>
          <t>Tư vấn, Dịch vụ khách hàng, Giáo dục / Đào tạo</t>
        </is>
      </c>
      <c r="K13855" t="inlineStr">
        <is>
          <t>1 - 2 Năm</t>
        </is>
      </c>
      <c r="L13855" s="8">
        <f>HYPERLINK("https://careerviet.vn/vi/tim-viec-lam/truong-nhom-tuyen-sinh-ocean-edu-ha-long-luong-tu-18-trieu-di-lam-ngay.35C6AF15.html","Xem chi tiết")</f>
        <v/>
      </c>
    </row>
    <row r="13856">
      <c r="B13856" s="9" t="n">
        <v>13854</v>
      </c>
      <c r="C13856" s="10" t="inlineStr">
        <is>
          <t>Trưởng Nhóm Tuyển Sinh (Ocean Edu Vụ Bản) - Lương Từ 18 Triệu/Đi Làm Ngay</t>
        </is>
      </c>
      <c r="D13856" s="10" t="inlineStr">
        <is>
          <t>Công Ty CP Giáo Dục Đại Dương</t>
        </is>
      </c>
      <c r="E13856" s="10" t="inlineStr">
        <is>
          <t>Lương:Cạnh tranh</t>
        </is>
      </c>
      <c r="F13856" s="10" t="inlineStr">
        <is>
          <t>Nam Định</t>
        </is>
      </c>
      <c r="G13856" s="10" t="inlineStr">
        <is>
          <t>04-04-2026</t>
        </is>
      </c>
      <c r="H13856" s="10" t="inlineStr">
        <is>
          <t>04/04/2026</t>
        </is>
      </c>
      <c r="I13856" s="10" t="inlineStr">
        <is>
          <t>17/03/2026</t>
        </is>
      </c>
      <c r="J13856" s="10" t="inlineStr">
        <is>
          <t>Tư vấn, Dịch vụ khách hàng, Giáo dục / Đào tạo</t>
        </is>
      </c>
      <c r="K13856" s="10" t="inlineStr">
        <is>
          <t>1 - 2 Năm</t>
        </is>
      </c>
      <c r="L13856" s="11">
        <f>HYPERLINK("https://careerviet.vn/vi/tim-viec-lam/truong-nhom-tuyen-sinh-ocean-edu-vu-ban-luong-tu-18-trieu-di-lam-ngay.35C6AF18.html","Xem chi tiết")</f>
        <v/>
      </c>
      <c r="M13856" s="10" t="n"/>
    </row>
    <row r="13857">
      <c r="B13857" s="7" t="n">
        <v>13855</v>
      </c>
      <c r="C13857" t="inlineStr">
        <is>
          <t>Giáo Viên Chủ Nhiệm (Ocean Edu Tố Hữu) - Lương Từ 15 Triệu/Đi Làm Ngay</t>
        </is>
      </c>
      <c r="D13857" t="inlineStr">
        <is>
          <t>Công Ty CP Giáo Dục Đại Dương</t>
        </is>
      </c>
      <c r="E13857" t="inlineStr">
        <is>
          <t>Lương:Cạnh tranh</t>
        </is>
      </c>
      <c r="F13857" t="inlineStr">
        <is>
          <t>Hà Nội</t>
        </is>
      </c>
      <c r="G13857" t="inlineStr">
        <is>
          <t>04-04-2026</t>
        </is>
      </c>
      <c r="H13857" t="inlineStr">
        <is>
          <t>04/04/2026</t>
        </is>
      </c>
      <c r="I13857" t="inlineStr">
        <is>
          <t>17/03/2026</t>
        </is>
      </c>
      <c r="J13857" t="inlineStr">
        <is>
          <t>Giáo dục / Đào tạo, Bán hàng / Kinh doanh, Biên phiên dịch</t>
        </is>
      </c>
      <c r="K13857" t="inlineStr">
        <is>
          <t>Trên 1 Năm</t>
        </is>
      </c>
      <c r="L13857" s="8">
        <f>HYPERLINK("https://careerviet.vn/vi/tim-viec-lam/giao-vien-chu-nhiem-ocean-edu-to-huu-luong-tu-15-trieu-di-lam-ngay.35C6AF14.html","Xem chi tiết")</f>
        <v/>
      </c>
    </row>
    <row r="13858">
      <c r="B13858" s="9" t="n">
        <v>13856</v>
      </c>
      <c r="C13858" s="10" t="inlineStr">
        <is>
          <t>Giáo Viên Chủ Nhiệm (Ocean Edu Lương Tài) - Lương Từ 15 Triệu/Đi Làm Ngay</t>
        </is>
      </c>
      <c r="D13858" s="10" t="inlineStr">
        <is>
          <t>Công Ty CP Giáo Dục Đại Dương</t>
        </is>
      </c>
      <c r="E13858" s="10" t="inlineStr">
        <is>
          <t>Lương:Cạnh tranh</t>
        </is>
      </c>
      <c r="F13858" s="10" t="inlineStr">
        <is>
          <t>Bắc Ninh</t>
        </is>
      </c>
      <c r="G13858" s="10" t="inlineStr">
        <is>
          <t>04-04-2026</t>
        </is>
      </c>
      <c r="H13858" s="10" t="inlineStr">
        <is>
          <t>04/04/2026</t>
        </is>
      </c>
      <c r="I13858" s="10" t="inlineStr">
        <is>
          <t>17/03/2026</t>
        </is>
      </c>
      <c r="J13858" s="10" t="inlineStr">
        <is>
          <t>Giáo dục / Đào tạo, Bán hàng / Kinh doanh, Biên phiên dịch</t>
        </is>
      </c>
      <c r="K13858" s="10" t="inlineStr">
        <is>
          <t>Trên 1 Năm</t>
        </is>
      </c>
      <c r="L13858" s="11">
        <f>HYPERLINK("https://careerviet.vn/vi/tim-viec-lam/giao-vien-chu-nhiem-ocean-edu-luong-tai-luong-tu-15-trieu-di-lam-ngay.35C6AF0C.html","Xem chi tiết")</f>
        <v/>
      </c>
      <c r="M13858" s="10" t="n"/>
    </row>
    <row r="13859">
      <c r="B13859" s="7" t="n">
        <v>13857</v>
      </c>
      <c r="C13859" t="inlineStr">
        <is>
          <t>Chuyên Viên Tư Vấn Giáo Dục - Ocean Edu Việt Yên - Thu Nhập Từ 15Triệu/Tháng - Phỏng Vấn Đi Làm Ngay</t>
        </is>
      </c>
      <c r="D13859" t="inlineStr">
        <is>
          <t>Công Ty CP Giáo Dục Đại Dương</t>
        </is>
      </c>
      <c r="E13859" t="inlineStr">
        <is>
          <t>Lương:Cạnh tranh</t>
        </is>
      </c>
      <c r="F13859" t="inlineStr">
        <is>
          <t>Bắc Giang</t>
        </is>
      </c>
      <c r="G13859" t="inlineStr">
        <is>
          <t>04-04-2026</t>
        </is>
      </c>
      <c r="H13859" t="inlineStr">
        <is>
          <t>04/04/2026</t>
        </is>
      </c>
      <c r="I13859" t="inlineStr">
        <is>
          <t>17/03/2026</t>
        </is>
      </c>
      <c r="J13859" t="inlineStr">
        <is>
          <t>Dịch vụ khách hàng, Giáo dục / Đào tạo, Bán hàng / Kinh doanh</t>
        </is>
      </c>
      <c r="K13859" t="inlineStr">
        <is>
          <t>Chưa có kinh nghiệm</t>
        </is>
      </c>
      <c r="L13859" s="8">
        <f>HYPERLINK("https://careerviet.vn/vi/tim-viec-lam/chuyen-vien-tu-van-giao-duc-ocean-edu-viet-yen-thu-nhap-tu-15trieu-thang-phong-van-di-lam-ngay.35C6B047.html","Xem chi tiết")</f>
        <v/>
      </c>
    </row>
    <row r="13860">
      <c r="B13860" s="9" t="n">
        <v>13858</v>
      </c>
      <c r="C13860" s="10" t="inlineStr">
        <is>
          <t>Senior Customer Service</t>
        </is>
      </c>
      <c r="D13860" s="10" t="inlineStr">
        <is>
          <t>Cty SGS Việt Nam TNHH</t>
        </is>
      </c>
      <c r="E13860" s="10" t="inlineStr">
        <is>
          <t>Lương:Cạnh tranh</t>
        </is>
      </c>
      <c r="F13860" s="10" t="inlineStr">
        <is>
          <t>Hồ Chí Minh</t>
        </is>
      </c>
      <c r="G13860" s="10" t="inlineStr">
        <is>
          <t>03-04-2026</t>
        </is>
      </c>
      <c r="H13860" s="10" t="inlineStr">
        <is>
          <t>03/04/2026</t>
        </is>
      </c>
      <c r="I13860" s="10" t="inlineStr">
        <is>
          <t>17/03/2026</t>
        </is>
      </c>
      <c r="J13860" s="10" t="inlineStr">
        <is>
          <t>Xây dựng, Dịch vụ khách hàng, Bán hàng / Kinh doanh</t>
        </is>
      </c>
      <c r="K13860" s="10" t="inlineStr">
        <is>
          <t>2 - 3 Năm</t>
        </is>
      </c>
      <c r="L13860" s="11">
        <f>HYPERLINK("https://careerviet.vn/vi/tim-viec-lam/senior-customer-service.35C6B048.html","Xem chi tiết")</f>
        <v/>
      </c>
      <c r="M13860" s="10" t="n"/>
    </row>
    <row r="13861">
      <c r="B13861" s="7" t="n">
        <v>13859</v>
      </c>
      <c r="C13861" t="inlineStr">
        <is>
          <t>Nhân viên Giá thành (Costing Staff)</t>
        </is>
      </c>
      <c r="D13861" t="inlineStr">
        <is>
          <t>Công ty Cổ Phần Công nghiệp In &amp; Bao Bì Khang</t>
        </is>
      </c>
      <c r="E13861" t="inlineStr">
        <is>
          <t>Lương:10 Tr - 15 Tr VND</t>
        </is>
      </c>
      <c r="F13861" t="inlineStr">
        <is>
          <t>Hồ Chí Minh</t>
        </is>
      </c>
      <c r="G13861" t="inlineStr">
        <is>
          <t>31-03-2026</t>
        </is>
      </c>
      <c r="H13861" t="inlineStr">
        <is>
          <t>31/03/2026</t>
        </is>
      </c>
      <c r="I13861" t="inlineStr">
        <is>
          <t>17/03/2026</t>
        </is>
      </c>
      <c r="J13861" t="inlineStr">
        <is>
          <t>Bán hàng / Kinh doanh, In ấn / Xuất bản</t>
        </is>
      </c>
      <c r="K13861" t="inlineStr">
        <is>
          <t>1 - 2 Năm</t>
        </is>
      </c>
      <c r="L13861" s="8">
        <f>HYPERLINK("https://careerviet.vn/vi/tim-viec-lam/nhan-vien-gia-thanh-costing-staff.35C6B0B2.html","Xem chi tiết")</f>
        <v/>
      </c>
    </row>
    <row r="13862">
      <c r="B13862" s="9" t="n">
        <v>13860</v>
      </c>
      <c r="C13862" s="10" t="inlineStr">
        <is>
          <t>Chuyên Viên Tài Chính</t>
        </is>
      </c>
      <c r="D13862" s="10" t="inlineStr">
        <is>
          <t>CÔNG TY CỔ PHẦN TẬP ĐOÀN PC1</t>
        </is>
      </c>
      <c r="E13862" s="10" t="inlineStr">
        <is>
          <t>Lương:Cạnh tranh</t>
        </is>
      </c>
      <c r="F13862" s="10" t="inlineStr">
        <is>
          <t>Hà Nội</t>
        </is>
      </c>
      <c r="G13862" s="10" t="inlineStr">
        <is>
          <t>04-04-2026</t>
        </is>
      </c>
      <c r="H13862" s="10" t="inlineStr">
        <is>
          <t>04/04/2026</t>
        </is>
      </c>
      <c r="I13862" s="10" t="inlineStr">
        <is>
          <t>17/03/2026</t>
        </is>
      </c>
      <c r="J13862" s="10" t="inlineStr">
        <is>
          <t>Tài chính / Đầu tư, Luật / Pháp lý, Ngân hàng</t>
        </is>
      </c>
      <c r="K13862" s="10" t="inlineStr">
        <is>
          <t>3 - 5 Năm</t>
        </is>
      </c>
      <c r="L13862" s="11">
        <f>HYPERLINK("https://careerviet.vn/vi/tim-viec-lam/chuyen-vien-tai-chinh.35C6AEB0.html","Xem chi tiết")</f>
        <v/>
      </c>
      <c r="M13862" s="10" t="n"/>
    </row>
    <row r="13863">
      <c r="B13863" s="7" t="n">
        <v>13861</v>
      </c>
      <c r="C13863" t="inlineStr">
        <is>
          <t>Kế toán Tổng hợp</t>
        </is>
      </c>
      <c r="D13863" t="inlineStr">
        <is>
          <t>Công ty Cổ phần Đầu tư Thương mại Kỹ thuật A&amp;T Việt Nam</t>
        </is>
      </c>
      <c r="E13863" t="inlineStr">
        <is>
          <t>Lương:14 Tr - 20 Tr VND</t>
        </is>
      </c>
      <c r="F13863" t="inlineStr">
        <is>
          <t>Hà Nội</t>
        </is>
      </c>
      <c r="G13863" t="inlineStr">
        <is>
          <t>31-03-2026</t>
        </is>
      </c>
      <c r="H13863" t="inlineStr">
        <is>
          <t>31/03/2026</t>
        </is>
      </c>
      <c r="I13863" t="inlineStr">
        <is>
          <t>17/03/2026</t>
        </is>
      </c>
      <c r="J13863" t="inlineStr">
        <is>
          <t>Kế toán / Kiểm toán</t>
        </is>
      </c>
      <c r="K13863" t="inlineStr">
        <is>
          <t>5 - 8 Năm</t>
        </is>
      </c>
      <c r="L13863" s="8">
        <f>HYPERLINK("https://careerviet.vn/vi/tim-viec-lam/ke-toan-tong-hop.35C6AFE6.html","Xem chi tiết")</f>
        <v/>
      </c>
    </row>
    <row r="13864">
      <c r="B13864" s="9" t="n">
        <v>13862</v>
      </c>
      <c r="C13864" s="10" t="inlineStr">
        <is>
          <t>Giáo Viên Chủ Nhiệm (Ocean Edu Hạ Long) - Lương Từ 15 Triệu/Đi Làm Ngay</t>
        </is>
      </c>
      <c r="D13864" s="10" t="inlineStr">
        <is>
          <t>Công Ty CP Giáo Dục Đại Dương</t>
        </is>
      </c>
      <c r="E13864" s="10" t="inlineStr">
        <is>
          <t>Lương:Cạnh tranh</t>
        </is>
      </c>
      <c r="F13864" s="10" t="inlineStr">
        <is>
          <t>Quảng Ninh</t>
        </is>
      </c>
      <c r="G13864" s="10" t="inlineStr">
        <is>
          <t>04-04-2026</t>
        </is>
      </c>
      <c r="H13864" s="10" t="inlineStr">
        <is>
          <t>04/04/2026</t>
        </is>
      </c>
      <c r="I13864" s="10" t="inlineStr">
        <is>
          <t>17/03/2026</t>
        </is>
      </c>
      <c r="J13864" s="10" t="inlineStr">
        <is>
          <t>Giáo dục / Đào tạo, Bán hàng / Kinh doanh, Biên phiên dịch</t>
        </is>
      </c>
      <c r="K13864" s="10" t="inlineStr">
        <is>
          <t>Trên 1 Năm</t>
        </is>
      </c>
      <c r="L13864" s="11">
        <f>HYPERLINK("https://careerviet.vn/vi/tim-viec-lam/giao-vien-chu-nhiem-ocean-edu-ha-long-luong-tu-15-trieu-di-lam-ngay.35C6AF11.html","Xem chi tiết")</f>
        <v/>
      </c>
      <c r="M13864" s="10" t="n"/>
    </row>
    <row r="13865">
      <c r="B13865" s="7" t="n">
        <v>13863</v>
      </c>
      <c r="C13865" t="inlineStr">
        <is>
          <t>Motion Graphics Designer</t>
        </is>
      </c>
      <c r="D13865" t="inlineStr">
        <is>
          <t>IDOCEAN Co.,ltd</t>
        </is>
      </c>
      <c r="E13865" t="inlineStr">
        <is>
          <t>Lương:Cạnh tranh</t>
        </is>
      </c>
      <c r="F13865" t="inlineStr">
        <is>
          <t>Hồ Chí Minh</t>
        </is>
      </c>
      <c r="G13865" t="inlineStr">
        <is>
          <t>11-04-2026</t>
        </is>
      </c>
      <c r="H13865" t="inlineStr">
        <is>
          <t>11/04/2026</t>
        </is>
      </c>
      <c r="I13865" t="inlineStr">
        <is>
          <t>17/03/2026</t>
        </is>
      </c>
      <c r="J13865" t="inlineStr">
        <is>
          <t>Mỹ thuật / Nghệ thuật / Thiết kế, Tiếp thị / Marketing</t>
        </is>
      </c>
      <c r="K13865" t="inlineStr">
        <is>
          <t>2 - 7 Năm</t>
        </is>
      </c>
      <c r="L13865" s="8">
        <f>HYPERLINK("https://careerviet.vn/vi/tim-viec-lam/motion-graphics-designer.35C6B115.html","Xem chi tiết")</f>
        <v/>
      </c>
    </row>
    <row r="13866">
      <c r="B13866" s="9" t="n">
        <v>13864</v>
      </c>
      <c r="C13866" s="10" t="inlineStr">
        <is>
          <t>Giáo Viên Chủ Nhiệm (Ocean Edu Cẩm Phả) - Lương Từ 15 Triệu/Đi Làm Ngay</t>
        </is>
      </c>
      <c r="D13866" s="10" t="inlineStr">
        <is>
          <t>Công Ty CP Giáo Dục Đại Dương</t>
        </is>
      </c>
      <c r="E13866" s="10" t="inlineStr">
        <is>
          <t>Lương:Cạnh tranh</t>
        </is>
      </c>
      <c r="F13866" s="10" t="inlineStr">
        <is>
          <t>Quảng Ninh</t>
        </is>
      </c>
      <c r="G13866" s="10" t="inlineStr">
        <is>
          <t>04-04-2026</t>
        </is>
      </c>
      <c r="H13866" s="10" t="inlineStr">
        <is>
          <t>04/04/2026</t>
        </is>
      </c>
      <c r="I13866" s="10" t="inlineStr">
        <is>
          <t>17/03/2026</t>
        </is>
      </c>
      <c r="J13866" s="10" t="inlineStr">
        <is>
          <t>Giáo dục / Đào tạo, Bán hàng / Kinh doanh, Biên phiên dịch</t>
        </is>
      </c>
      <c r="K13866" s="10" t="inlineStr">
        <is>
          <t>Trên 1 Năm</t>
        </is>
      </c>
      <c r="L13866" s="11">
        <f>HYPERLINK("https://careerviet.vn/vi/tim-viec-lam/giao-vien-chu-nhiem-ocean-edu-cam-pha-luong-tu-15-trieu-di-lam-ngay.35C6AF0E.html","Xem chi tiết")</f>
        <v/>
      </c>
      <c r="M13866" s="10" t="n"/>
    </row>
    <row r="13867">
      <c r="B13867" s="7" t="n">
        <v>13865</v>
      </c>
      <c r="C13867" t="inlineStr">
        <is>
          <t>Chuyên Viên Kinh Doanh Hàng Hóa</t>
        </is>
      </c>
      <c r="D13867" t="inlineStr">
        <is>
          <t>CÔNG TY CỔ PHẦN ĐẦU TƯ VÀNG PHÚ QUÝ</t>
        </is>
      </c>
      <c r="E13867" t="inlineStr">
        <is>
          <t>Lương:20 Tr - 25 Tr VND</t>
        </is>
      </c>
      <c r="F13867" t="inlineStr">
        <is>
          <t>Hà Nội</t>
        </is>
      </c>
      <c r="G13867" t="inlineStr">
        <is>
          <t>30-04-2026</t>
        </is>
      </c>
      <c r="H13867" t="inlineStr">
        <is>
          <t>30/04/2026</t>
        </is>
      </c>
      <c r="I13867" t="inlineStr">
        <is>
          <t>17/03/2026</t>
        </is>
      </c>
      <c r="J13867" t="inlineStr">
        <is>
          <t>Tài chính / Đầu tư</t>
        </is>
      </c>
      <c r="K13867" t="inlineStr">
        <is>
          <t>1 - 2 Năm</t>
        </is>
      </c>
      <c r="L13867" s="8">
        <f>HYPERLINK("https://careerviet.vn/vi/tim-viec-lam/chuyen-vien-kinh-doanh-hang-hoa.35C6C0A2.html","Xem chi tiết")</f>
        <v/>
      </c>
    </row>
    <row r="13868">
      <c r="B13868" s="9" t="n">
        <v>13866</v>
      </c>
      <c r="C13868" s="10" t="inlineStr">
        <is>
          <t>Trưởng Nhóm Tuyển Sinh (Ocean Edu Tố Hữu) - Lương Từ 19 Triệu/Đi Làm Ngay</t>
        </is>
      </c>
      <c r="D13868" s="10" t="inlineStr">
        <is>
          <t>Công Ty CP Giáo Dục Đại Dương</t>
        </is>
      </c>
      <c r="E13868" s="10" t="inlineStr">
        <is>
          <t>Lương:Cạnh tranh</t>
        </is>
      </c>
      <c r="F13868" s="10" t="inlineStr">
        <is>
          <t>Hà Nội</t>
        </is>
      </c>
      <c r="G13868" s="10" t="inlineStr">
        <is>
          <t>04-04-2026</t>
        </is>
      </c>
      <c r="H13868" s="10" t="inlineStr">
        <is>
          <t>04/04/2026</t>
        </is>
      </c>
      <c r="I13868" s="10" t="inlineStr">
        <is>
          <t>17/03/2026</t>
        </is>
      </c>
      <c r="J13868" s="10" t="inlineStr">
        <is>
          <t>Tư vấn, Dịch vụ khách hàng, Giáo dục / Đào tạo</t>
        </is>
      </c>
      <c r="K13868" s="10" t="inlineStr">
        <is>
          <t>1 - 2 Năm</t>
        </is>
      </c>
      <c r="L13868" s="11">
        <f>HYPERLINK("https://careerviet.vn/vi/tim-viec-lam/truong-nhom-tuyen-sinh-ocean-edu-to-huu-luong-tu-19-trieu-di-lam-ngay.35C6AF1D.html","Xem chi tiết")</f>
        <v/>
      </c>
      <c r="M13868" s="10" t="n"/>
    </row>
    <row r="13869">
      <c r="B13869" s="7" t="n">
        <v>13867</v>
      </c>
      <c r="C13869" t="inlineStr">
        <is>
          <t>Administrative &amp; Operations Officer (Data focus)</t>
        </is>
      </c>
      <c r="D13869" t="inlineStr">
        <is>
          <t>CÔNG TY CỔ PHẦN GREEN SPEED</t>
        </is>
      </c>
      <c r="E13869" t="inlineStr">
        <is>
          <t>Lương:15 Tr - 16 Tr VND</t>
        </is>
      </c>
      <c r="F13869" t="inlineStr">
        <is>
          <t>Hồ Chí Minh</t>
        </is>
      </c>
      <c r="G13869" t="inlineStr">
        <is>
          <t>31-03-2026</t>
        </is>
      </c>
      <c r="H13869" t="inlineStr">
        <is>
          <t>31/03/2026</t>
        </is>
      </c>
      <c r="I13869" t="inlineStr">
        <is>
          <t>17/03/2026</t>
        </is>
      </c>
      <c r="J13869" t="inlineStr">
        <is>
          <t>Hành chính / Thư ký, Sản xuất / Vận hành sản xuất</t>
        </is>
      </c>
      <c r="K13869" t="inlineStr">
        <is>
          <t>1 - 2 Năm</t>
        </is>
      </c>
      <c r="L13869" s="8">
        <f>HYPERLINK("https://careerviet.vn/vi/tim-viec-lam/administrative-operations-officer-data-focus.35C6B228.html","Xem chi tiết")</f>
        <v/>
      </c>
    </row>
    <row r="13870">
      <c r="B13870" s="9" t="n">
        <v>13868</v>
      </c>
      <c r="C13870" s="10" t="inlineStr">
        <is>
          <t>Brand Marketing Executive</t>
        </is>
      </c>
      <c r="D13870" s="10" t="inlineStr">
        <is>
          <t>HMK Eyewear</t>
        </is>
      </c>
      <c r="E13870" s="10" t="inlineStr">
        <is>
          <t>Lương:Cạnh tranh</t>
        </is>
      </c>
      <c r="F13870" s="10" t="inlineStr">
        <is>
          <t>Hồ Chí Minh</t>
        </is>
      </c>
      <c r="G13870" s="10" t="inlineStr">
        <is>
          <t>30-04-2026</t>
        </is>
      </c>
      <c r="H13870" s="10" t="inlineStr">
        <is>
          <t>30/04/2026</t>
        </is>
      </c>
      <c r="I13870" s="10" t="inlineStr">
        <is>
          <t>17/03/2026</t>
        </is>
      </c>
      <c r="J13870" s="10" t="inlineStr">
        <is>
          <t>Tiếp thị / Marketing, Tiếp thị trực tuyến, Quảng cáo / Đối ngoại / Truyền Thông</t>
        </is>
      </c>
      <c r="K13870" s="10" t="inlineStr">
        <is>
          <t>2 - 3 Năm</t>
        </is>
      </c>
      <c r="L13870" s="11">
        <f>HYPERLINK("https://careerviet.vn/vi/tim-viec-lam/brand-marketing-executive.35C6B06C.html","Xem chi tiết")</f>
        <v/>
      </c>
      <c r="M13870" s="10" t="n"/>
    </row>
    <row r="13871">
      <c r="B13871" s="7" t="n">
        <v>13869</v>
      </c>
      <c r="C13871" t="inlineStr">
        <is>
          <t>TRƯỞNG PHÒNG PHÁP CHẾ</t>
        </is>
      </c>
      <c r="D13871" t="inlineStr">
        <is>
          <t>SCI Group</t>
        </is>
      </c>
      <c r="E13871" t="inlineStr">
        <is>
          <t>Lương:Cạnh tranh</t>
        </is>
      </c>
      <c r="F13871" t="inlineStr">
        <is>
          <t>Hà Nội</t>
        </is>
      </c>
      <c r="G13871" t="inlineStr">
        <is>
          <t>04-04-2026</t>
        </is>
      </c>
      <c r="H13871" t="inlineStr">
        <is>
          <t>04/04/2026</t>
        </is>
      </c>
      <c r="I13871" t="inlineStr">
        <is>
          <t>17/03/2026</t>
        </is>
      </c>
      <c r="J13871" t="inlineStr">
        <is>
          <t>Luật / Pháp lý</t>
        </is>
      </c>
      <c r="K13871" t="inlineStr">
        <is>
          <t>5 - 6 Năm</t>
        </is>
      </c>
      <c r="L13871" s="8">
        <f>HYPERLINK("https://careerviet.vn/vi/tim-viec-lam/truong-phong-phap-che.35C6AF0A.html","Xem chi tiết")</f>
        <v/>
      </c>
    </row>
    <row r="13872">
      <c r="B13872" s="9" t="n">
        <v>13870</v>
      </c>
      <c r="C13872" s="10" t="inlineStr">
        <is>
          <t>Chuyên Viên Tư Vấn Giáo Dục - Ocean Edu Lạng Giang - Thu Nhập Từ 15Triệu/Tháng - Phỏng Vấn Đi Làm Ngay</t>
        </is>
      </c>
      <c r="D13872" s="10" t="inlineStr">
        <is>
          <t>Công Ty CP Giáo Dục Đại Dương</t>
        </is>
      </c>
      <c r="E13872" s="10" t="inlineStr">
        <is>
          <t>Lương:Cạnh tranh</t>
        </is>
      </c>
      <c r="F13872" s="10" t="inlineStr">
        <is>
          <t>Bắc Giang</t>
        </is>
      </c>
      <c r="G13872" s="10" t="inlineStr">
        <is>
          <t>04-04-2026</t>
        </is>
      </c>
      <c r="H13872" s="10" t="inlineStr">
        <is>
          <t>04/04/2026</t>
        </is>
      </c>
      <c r="I13872" s="10" t="inlineStr">
        <is>
          <t>17/03/2026</t>
        </is>
      </c>
      <c r="J13872" s="10" t="inlineStr">
        <is>
          <t>Dịch vụ khách hàng, Giáo dục / Đào tạo, Bán hàng / Kinh doanh</t>
        </is>
      </c>
      <c r="K13872" s="10" t="inlineStr">
        <is>
          <t>Chưa có kinh nghiệm</t>
        </is>
      </c>
      <c r="L13872" s="11">
        <f>HYPERLINK("https://careerviet.vn/vi/tim-viec-lam/chuyen-vien-tu-van-giao-duc-ocean-edu-lang-giang-thu-nhap-tu-15trieu-thang-phong-van-di-lam-ngay.35C6B052.html","Xem chi tiết")</f>
        <v/>
      </c>
      <c r="M13872" s="10" t="n"/>
    </row>
    <row r="13873">
      <c r="B13873" s="7" t="n">
        <v>13871</v>
      </c>
      <c r="C13873" t="inlineStr">
        <is>
          <t>Chuyên viên Quản lý hoạt động Dịch vụ Đại lý</t>
        </is>
      </c>
      <c r="D13873" t="inlineStr">
        <is>
          <t>Công ty cổ phần Liên Doanh ô tô Hyundai Thành Công Việt Nam</t>
        </is>
      </c>
      <c r="E13873" t="inlineStr">
        <is>
          <t>Lương:Cạnh tranh</t>
        </is>
      </c>
      <c r="F13873" t="inlineStr">
        <is>
          <t>Hồ Chí Minh</t>
        </is>
      </c>
      <c r="G13873" t="inlineStr">
        <is>
          <t>04-04-2026</t>
        </is>
      </c>
      <c r="H13873" t="inlineStr">
        <is>
          <t>04/04/2026</t>
        </is>
      </c>
      <c r="I13873" t="inlineStr">
        <is>
          <t>17/03/2026</t>
        </is>
      </c>
      <c r="J13873" t="inlineStr">
        <is>
          <t>Dịch vụ khách hàng, Cơ khí / Ô tô / Tự động hóa</t>
        </is>
      </c>
      <c r="K13873" t="inlineStr">
        <is>
          <t>Trên 2 Năm</t>
        </is>
      </c>
      <c r="L13873" s="8">
        <f>HYPERLINK("https://careerviet.vn/vi/tim-viec-lam/chuyen-vien-quan-ly-hoat-dong-dich-vu-dai-ly.35C6B1F7.html","Xem chi tiết")</f>
        <v/>
      </c>
    </row>
    <row r="13874">
      <c r="B13874" s="9" t="n">
        <v>13872</v>
      </c>
      <c r="C13874" s="10" t="inlineStr">
        <is>
          <t>Quản Lý Cửa Hàng Thời Trang</t>
        </is>
      </c>
      <c r="D13874" s="10" t="inlineStr">
        <is>
          <t>Công Ty Cổ Phần Tập Đoàn Thời Trang Việt Nam</t>
        </is>
      </c>
      <c r="E13874" s="10" t="inlineStr">
        <is>
          <t>Lương:12 Tr - 15 Tr VND</t>
        </is>
      </c>
      <c r="F13874" s="10" t="inlineStr">
        <is>
          <t>Hà Nội</t>
        </is>
      </c>
      <c r="G13874" s="10" t="inlineStr">
        <is>
          <t>04-04-2026</t>
        </is>
      </c>
      <c r="H13874" s="10" t="inlineStr">
        <is>
          <t>04/04/2026</t>
        </is>
      </c>
      <c r="I13874" s="10" t="inlineStr">
        <is>
          <t>17/03/2026</t>
        </is>
      </c>
      <c r="J13874" s="10" t="inlineStr">
        <is>
          <t>Bán hàng / Kinh doanh</t>
        </is>
      </c>
      <c r="K13874" s="10" t="inlineStr">
        <is>
          <t>1 - 2 Năm</t>
        </is>
      </c>
      <c r="L13874" s="11">
        <f>HYPERLINK("https://careerviet.vn/vi/tim-viec-lam/quan-ly-cua-hang-thoi-trang.35C6B021.html","Xem chi tiết")</f>
        <v/>
      </c>
      <c r="M13874" s="10" t="n"/>
    </row>
    <row r="13875">
      <c r="B13875" s="7" t="n">
        <v>13873</v>
      </c>
      <c r="C13875" t="inlineStr">
        <is>
          <t>Sales Representative (India Market)</t>
        </is>
      </c>
      <c r="D13875" t="inlineStr">
        <is>
          <t>Cty TNHH Gunze Plastics &amp; Engineering Việt Nam</t>
        </is>
      </c>
      <c r="E13875" t="inlineStr">
        <is>
          <t>Lương:Cạnh tranh</t>
        </is>
      </c>
      <c r="F13875" t="inlineStr">
        <is>
          <t>Bình Dương</t>
        </is>
      </c>
      <c r="G13875" t="inlineStr">
        <is>
          <t>04-04-2026</t>
        </is>
      </c>
      <c r="H13875" t="inlineStr">
        <is>
          <t>04/04/2026</t>
        </is>
      </c>
      <c r="I13875" t="inlineStr">
        <is>
          <t>17/03/2026</t>
        </is>
      </c>
      <c r="J13875" t="inlineStr">
        <is>
          <t>Bán hàng / Kinh doanh, Sản xuất / Vận hành sản xuất, In ấn / Xuất bản</t>
        </is>
      </c>
      <c r="K13875" t="inlineStr">
        <is>
          <t>2 - 5 Năm</t>
        </is>
      </c>
      <c r="L13875" s="8">
        <f>HYPERLINK("https://careerviet.vn/vi/tim-viec-lam/sales-representative-india-market.35C6B25F.html","Xem chi tiết")</f>
        <v/>
      </c>
    </row>
    <row r="13876">
      <c r="B13876" s="9" t="n">
        <v>13874</v>
      </c>
      <c r="C13876" s="10" t="inlineStr">
        <is>
          <t>Chuyên Viên Truyền Thông</t>
        </is>
      </c>
      <c r="D13876" s="10" t="inlineStr">
        <is>
          <t>Công Ty Cổ Phần Dịch Vụ Bất Động Sản Danh Khôi</t>
        </is>
      </c>
      <c r="E13876" s="10" t="inlineStr">
        <is>
          <t>Lương:15 Tr - 18 Tr VND</t>
        </is>
      </c>
      <c r="F13876" s="10" t="inlineStr">
        <is>
          <t>Hồ Chí Minh</t>
        </is>
      </c>
      <c r="G13876" s="10" t="inlineStr">
        <is>
          <t>05-04-2026</t>
        </is>
      </c>
      <c r="H13876" s="10" t="inlineStr">
        <is>
          <t>05/04/2026</t>
        </is>
      </c>
      <c r="I13876" s="10" t="inlineStr">
        <is>
          <t>17/03/2026</t>
        </is>
      </c>
      <c r="J13876" s="10" t="inlineStr">
        <is>
          <t>Tiếp thị / Marketing, Quảng cáo / Đối ngoại / Truyền Thông, Truyền hình / Báo chí / Biên tập</t>
        </is>
      </c>
      <c r="K13876" s="10" t="inlineStr">
        <is>
          <t>2 - 3 Năm</t>
        </is>
      </c>
      <c r="L13876" s="11">
        <f>HYPERLINK("https://careerviet.vn/vi/tim-viec-lam/chuyen-vien-truyen-thong.35C6B18E.html","Xem chi tiết")</f>
        <v/>
      </c>
      <c r="M13876" s="10" t="n"/>
    </row>
    <row r="13877">
      <c r="B13877" s="7" t="n">
        <v>13875</v>
      </c>
      <c r="C13877" t="inlineStr">
        <is>
          <t>Ocean Pricing and Procurement Supervisor/ Freight Forwarding Industry</t>
        </is>
      </c>
      <c r="D13877" t="inlineStr">
        <is>
          <t>CÔNG TY TNHH LESCHACO VIỆT NAM</t>
        </is>
      </c>
      <c r="E13877" t="inlineStr">
        <is>
          <t>Lương:Cạnh tranh</t>
        </is>
      </c>
      <c r="F13877" t="inlineStr">
        <is>
          <t>Hồ Chí Minh</t>
        </is>
      </c>
      <c r="G13877" t="inlineStr">
        <is>
          <t>31-03-2026</t>
        </is>
      </c>
      <c r="H13877" t="inlineStr">
        <is>
          <t>31/03/2026</t>
        </is>
      </c>
      <c r="I13877" t="inlineStr">
        <is>
          <t>17/03/2026</t>
        </is>
      </c>
      <c r="J13877" t="inlineStr">
        <is>
          <t>Vận chuyển / Giao nhận / Kho vận, Xuất nhập khẩu</t>
        </is>
      </c>
      <c r="K13877" t="inlineStr">
        <is>
          <t>3 - 10 Năm</t>
        </is>
      </c>
      <c r="L13877" s="8">
        <f>HYPERLINK("https://careerviet.vn/vi/tim-viec-lam/ocean-pricing-and-procurement-supervisor-freight-forwarding-industry.35C6B15E.html","Xem chi tiết")</f>
        <v/>
      </c>
    </row>
    <row r="13878">
      <c r="B13878" s="9" t="n">
        <v>13876</v>
      </c>
      <c r="C13878" s="10" t="inlineStr">
        <is>
          <t>Chuyên Viên Vận Hành Livestream</t>
        </is>
      </c>
      <c r="D13878" s="10" t="inlineStr">
        <is>
          <t>Công ty TNHH Sản xuất Thương mại &amp; Dịch vụ Hoa Xinh</t>
        </is>
      </c>
      <c r="E13878" s="10" t="inlineStr">
        <is>
          <t>Lương:10 Tr - 20 Tr VND</t>
        </is>
      </c>
      <c r="F13878" s="10" t="inlineStr">
        <is>
          <t>Hồ Chí Minh</t>
        </is>
      </c>
      <c r="G13878" s="10" t="inlineStr">
        <is>
          <t>30-04-2026</t>
        </is>
      </c>
      <c r="H13878" s="10" t="inlineStr">
        <is>
          <t>30/04/2026</t>
        </is>
      </c>
      <c r="I13878" s="10" t="inlineStr">
        <is>
          <t>17/03/2026</t>
        </is>
      </c>
      <c r="J13878" s="10" t="inlineStr">
        <is>
          <t>Tiếp thị / Marketing, Tiếp thị trực tuyến, Thương mại điện tử</t>
        </is>
      </c>
      <c r="K13878" s="10" t="inlineStr">
        <is>
          <t>1 - 5 Năm</t>
        </is>
      </c>
      <c r="L13878" s="11">
        <f>HYPERLINK("https://careerviet.vn/vi/tim-viec-lam/chuyen-vien-van-hanh-livestream.35C6B0A6.html","Xem chi tiết")</f>
        <v/>
      </c>
      <c r="M13878" s="10" t="n"/>
    </row>
    <row r="13879">
      <c r="B13879" s="7" t="n">
        <v>13877</v>
      </c>
      <c r="C13879" t="inlineStr">
        <is>
          <t>Sourcing Specialist  (Remote)</t>
        </is>
      </c>
      <c r="D13879" t="inlineStr">
        <is>
          <t>Công ty TNHH TOM Group Việt Nam</t>
        </is>
      </c>
      <c r="E13879" t="inlineStr">
        <is>
          <t>Lương:1.100 - 1.500 USD</t>
        </is>
      </c>
      <c r="F13879" t="inlineStr">
        <is>
          <t>Hồ Chí Minh</t>
        </is>
      </c>
      <c r="G13879" t="inlineStr">
        <is>
          <t>10-04-2026</t>
        </is>
      </c>
      <c r="H13879" t="inlineStr">
        <is>
          <t>10/04/2026</t>
        </is>
      </c>
      <c r="I13879" t="inlineStr">
        <is>
          <t>17/03/2026</t>
        </is>
      </c>
      <c r="J13879" t="inlineStr">
        <is>
          <t>Tiếp thị / Marketing, Bán lẻ / Bán sỉ, Bán hàng / Kinh doanh</t>
        </is>
      </c>
      <c r="K13879" t="inlineStr">
        <is>
          <t>2 - 5 Năm</t>
        </is>
      </c>
      <c r="L13879" s="8">
        <f>HYPERLINK("https://careerviet.vn/vi/tim-viec-lam/sourcing-specialist-remote.35C6B161.html","Xem chi tiết")</f>
        <v/>
      </c>
    </row>
    <row r="13880">
      <c r="B13880" s="9" t="n">
        <v>13878</v>
      </c>
      <c r="C13880" s="10" t="inlineStr">
        <is>
          <t>NHÂN VIÊN TUYỂN DỤNG - ĐÀO TẠO</t>
        </is>
      </c>
      <c r="D13880" s="10" t="inlineStr">
        <is>
          <t>Công ty Cổ phần Mạc Tích (MARTECH)</t>
        </is>
      </c>
      <c r="E13880" s="10" t="inlineStr">
        <is>
          <t>Lương:Cạnh tranh</t>
        </is>
      </c>
      <c r="F13880" s="10" t="inlineStr">
        <is>
          <t>Hồ Chí Minh</t>
        </is>
      </c>
      <c r="G13880" s="10" t="inlineStr">
        <is>
          <t>15-04-2026</t>
        </is>
      </c>
      <c r="H13880" s="10" t="inlineStr">
        <is>
          <t>15/04/2026</t>
        </is>
      </c>
      <c r="I13880" s="10" t="inlineStr">
        <is>
          <t>17/03/2026</t>
        </is>
      </c>
      <c r="J13880" s="10" t="inlineStr">
        <is>
          <t>Nhân sự, Hành chính / Thư ký, Luật / Pháp lý</t>
        </is>
      </c>
      <c r="K13880" s="10" t="inlineStr">
        <is>
          <t>1 - 2 Năm</t>
        </is>
      </c>
      <c r="L13880" s="11">
        <f>HYPERLINK("https://careerviet.vn/vi/tim-viec-lam/nhan-vien-tuyen-dung-dao-tao.35C6B0D2.html","Xem chi tiết")</f>
        <v/>
      </c>
      <c r="M13880" s="10" t="n"/>
    </row>
    <row r="13881">
      <c r="B13881" s="7" t="n">
        <v>13879</v>
      </c>
      <c r="C13881" t="inlineStr">
        <is>
          <t>Sales Executive  (Nguyên liệu, phụ gia ngành thức ăn chăn nuôi)</t>
        </is>
      </c>
      <c r="D13881" t="inlineStr">
        <is>
          <t>Công ty Cổ phần S.I.M. VN</t>
        </is>
      </c>
      <c r="E13881" t="inlineStr">
        <is>
          <t>Lương:20 Tr - 30 Tr VND</t>
        </is>
      </c>
      <c r="F13881" t="inlineStr">
        <is>
          <t>Hồ Chí Minh</t>
        </is>
      </c>
      <c r="G13881" t="inlineStr">
        <is>
          <t>11-03-2026</t>
        </is>
      </c>
      <c r="H13881" t="inlineStr">
        <is>
          <t>10/03/2026</t>
        </is>
      </c>
      <c r="I13881" t="inlineStr">
        <is>
          <t>17/03/2026</t>
        </is>
      </c>
      <c r="J13881" t="inlineStr">
        <is>
          <t>Bán hàng / Kinh doanh, Chăn nuôi / Thú y, Công nghệ thực phẩm / Dinh dưỡng</t>
        </is>
      </c>
      <c r="K13881" t="inlineStr">
        <is>
          <t>1 - 2 Năm</t>
        </is>
      </c>
      <c r="L13881" s="8">
        <f>HYPERLINK("https://careerviet.vn/vi/tim-viec-lam/sales-executive-nguyen-lieu-phu-gia-nganh-thuc-an-chan-nuoi.35C6B087.html","Xem chi tiết")</f>
        <v/>
      </c>
    </row>
    <row r="13882">
      <c r="B13882" s="9" t="n">
        <v>13880</v>
      </c>
      <c r="C13882" s="10" t="inlineStr">
        <is>
          <t>Marketing Executive</t>
        </is>
      </c>
      <c r="D13882" s="10" t="inlineStr">
        <is>
          <t>CÔNG TY CỔ PHẦN GREMSY</t>
        </is>
      </c>
      <c r="E13882" s="10" t="inlineStr">
        <is>
          <t>Lương:Cạnh tranh</t>
        </is>
      </c>
      <c r="F13882" s="10" t="inlineStr">
        <is>
          <t>Hồ Chí Minh</t>
        </is>
      </c>
      <c r="G13882" s="10" t="inlineStr">
        <is>
          <t>30-04-2026</t>
        </is>
      </c>
      <c r="H13882" s="10" t="inlineStr">
        <is>
          <t>30/04/2026</t>
        </is>
      </c>
      <c r="I13882" s="10" t="inlineStr">
        <is>
          <t>17/03/2026</t>
        </is>
      </c>
      <c r="J13882" s="10" t="inlineStr">
        <is>
          <t>Tiếp thị / Marketing, Điện / Điện tử / Điện lạnh / Điện công nghiệp</t>
        </is>
      </c>
      <c r="K13882" s="10" t="inlineStr">
        <is>
          <t>N/A</t>
        </is>
      </c>
      <c r="L13882" s="11">
        <f>HYPERLINK("https://careerviet.vn/vi/tim-viec-lam/marketing-executive.35C6AE5E.html","Xem chi tiết")</f>
        <v/>
      </c>
      <c r="M13882" s="10" t="n"/>
    </row>
    <row r="13883">
      <c r="B13883" s="7" t="n">
        <v>13881</v>
      </c>
      <c r="C13883" t="inlineStr">
        <is>
          <t>Giám sát thi công nội thất</t>
        </is>
      </c>
      <c r="D13883" t="inlineStr">
        <is>
          <t>CÔNG TY CỔ PHẦN ĐẦU TƯ BẤT ĐỘNG SẢN LÊ VIN LAND</t>
        </is>
      </c>
      <c r="E13883" t="inlineStr">
        <is>
          <t>Lương:12 Tr - 20 Tr VND</t>
        </is>
      </c>
      <c r="F13883" t="inlineStr">
        <is>
          <t>Hồ Chí Minh</t>
        </is>
      </c>
      <c r="G13883" t="inlineStr">
        <is>
          <t>31-03-2026</t>
        </is>
      </c>
      <c r="H13883" t="inlineStr">
        <is>
          <t>31/03/2026</t>
        </is>
      </c>
      <c r="I13883" t="inlineStr">
        <is>
          <t>17/03/2026</t>
        </is>
      </c>
      <c r="J13883" t="inlineStr">
        <is>
          <t>Kiến trúc, Xây dựng, Nội ngoại thất</t>
        </is>
      </c>
      <c r="K13883" t="inlineStr">
        <is>
          <t>1 - 2 Năm</t>
        </is>
      </c>
      <c r="L13883" s="8">
        <f>HYPERLINK("https://careerviet.vn/vi/tim-viec-lam/giam-sat-thi-cong-noi-that.35C6B06E.html","Xem chi tiết")</f>
        <v/>
      </c>
    </row>
    <row r="13884">
      <c r="B13884" s="9" t="n">
        <v>13882</v>
      </c>
      <c r="C13884" s="10" t="inlineStr">
        <is>
          <t>ICM Chăm Sóc Khách Hàng</t>
        </is>
      </c>
      <c r="D13884" s="10" t="inlineStr">
        <is>
          <t>Công Ty TNHH Bảo Hiểm Nhân Thọ BIDV MetLife</t>
        </is>
      </c>
      <c r="E13884" s="10" t="inlineStr">
        <is>
          <t>Lương:Cạnh tranh</t>
        </is>
      </c>
      <c r="F13884" s="10" t="inlineStr">
        <is>
          <t>Hà NộiHồ Chí MinhPhú Thọ</t>
        </is>
      </c>
      <c r="G13884" s="10" t="inlineStr">
        <is>
          <t>31-03-2026</t>
        </is>
      </c>
      <c r="H13884" s="10" t="inlineStr">
        <is>
          <t>31/03/2026</t>
        </is>
      </c>
      <c r="I13884" s="10" t="inlineStr">
        <is>
          <t>17/03/2026</t>
        </is>
      </c>
      <c r="J13884" s="10" t="inlineStr">
        <is>
          <t>Bán hàng / Kinh doanh, Tư vấn, Bảo hiểm</t>
        </is>
      </c>
      <c r="K13884" s="10" t="inlineStr">
        <is>
          <t>Trên 13 Năm</t>
        </is>
      </c>
      <c r="L13884" s="11">
        <f>HYPERLINK("https://careerviet.vn/vi/tim-viec-lam/icm-cham-soc-khach-hang.35C6AF86.html","Xem chi tiết")</f>
        <v/>
      </c>
      <c r="M13884" s="10" t="n"/>
    </row>
    <row r="13885">
      <c r="B13885" s="7" t="n">
        <v>13883</v>
      </c>
      <c r="C13885" t="inlineStr">
        <is>
          <t>Production Senior/ Lead</t>
        </is>
      </c>
      <c r="D13885" t="inlineStr">
        <is>
          <t>Công ty TNHH TOM Group Việt Nam</t>
        </is>
      </c>
      <c r="E13885" t="inlineStr">
        <is>
          <t>Lương:18 Tr - 22 Tr VND</t>
        </is>
      </c>
      <c r="F13885" t="inlineStr">
        <is>
          <t>Hồ Chí Minh</t>
        </is>
      </c>
      <c r="G13885" t="inlineStr">
        <is>
          <t>22-04-2026</t>
        </is>
      </c>
      <c r="H13885" t="inlineStr">
        <is>
          <t>22/04/2026</t>
        </is>
      </c>
      <c r="I13885" t="inlineStr">
        <is>
          <t>17/03/2026</t>
        </is>
      </c>
      <c r="J13885" t="inlineStr">
        <is>
          <t>Tiếp thị / Marketing, Bán hàng / Kinh doanh</t>
        </is>
      </c>
      <c r="K13885" t="inlineStr">
        <is>
          <t>4 - 5 Năm</t>
        </is>
      </c>
      <c r="L13885" s="8">
        <f>HYPERLINK("https://careerviet.vn/vi/tim-viec-lam/production-senior-lead.35C6AF0B.html","Xem chi tiết")</f>
        <v/>
      </c>
    </row>
    <row r="13886">
      <c r="B13886" s="9" t="n">
        <v>13884</v>
      </c>
      <c r="C13886" s="10" t="inlineStr">
        <is>
          <t>[SUỐI TIÊN] ĐIỀU HÀNH DU LỊCH TIẾNG ANH</t>
        </is>
      </c>
      <c r="D13886" s="10" t="inlineStr">
        <is>
          <t>CÔNG TY CỔ PHẦN THÀNH PHỐ DU LỊCH SINH THÁI SƠN TIÊN</t>
        </is>
      </c>
      <c r="E13886" s="10" t="inlineStr">
        <is>
          <t>Lương:Cạnh tranh</t>
        </is>
      </c>
      <c r="F13886" s="10" t="inlineStr">
        <is>
          <t>Hồ Chí Minh</t>
        </is>
      </c>
      <c r="G13886" s="10" t="inlineStr">
        <is>
          <t>05-04-2026</t>
        </is>
      </c>
      <c r="H13886" s="10" t="inlineStr">
        <is>
          <t>05/04/2026</t>
        </is>
      </c>
      <c r="I13886" s="10" t="inlineStr">
        <is>
          <t>17/03/2026</t>
        </is>
      </c>
      <c r="J13886" s="10" t="inlineStr">
        <is>
          <t>Du lịch</t>
        </is>
      </c>
      <c r="K13886" s="10" t="inlineStr">
        <is>
          <t>N/A</t>
        </is>
      </c>
      <c r="L13886" s="11">
        <f>HYPERLINK("https://careerviet.vn/vi/tim-viec-lam/suoi-tien-dieu-hanh-du-lich-tieng-anh.35C6B111.html","Xem chi tiết")</f>
        <v/>
      </c>
      <c r="M13886" s="10" t="n"/>
    </row>
    <row r="13887">
      <c r="B13887" s="7" t="n">
        <v>13885</v>
      </c>
      <c r="C13887" t="inlineStr">
        <is>
          <t>KẾ TOÁN DOANH THU</t>
        </is>
      </c>
      <c r="D13887" t="inlineStr">
        <is>
          <t>ONE GROUP</t>
        </is>
      </c>
      <c r="E13887" t="inlineStr">
        <is>
          <t>Lương:10 Tr - 15 Tr VND</t>
        </is>
      </c>
      <c r="F13887" t="inlineStr">
        <is>
          <t>Hồ Chí Minh</t>
        </is>
      </c>
      <c r="G13887" t="inlineStr">
        <is>
          <t>04-04-2026</t>
        </is>
      </c>
      <c r="H13887" t="inlineStr">
        <is>
          <t>04/04/2026</t>
        </is>
      </c>
      <c r="I13887" t="inlineStr">
        <is>
          <t>17/03/2026</t>
        </is>
      </c>
      <c r="J13887" t="inlineStr">
        <is>
          <t>Kế toán / Kiểm toán, Bán lẻ / Bán sỉ, Bán hàng / Kinh doanh</t>
        </is>
      </c>
      <c r="K13887" t="inlineStr">
        <is>
          <t>2 - 3 Năm</t>
        </is>
      </c>
      <c r="L13887" s="8">
        <f>HYPERLINK("https://careerviet.vn/vi/tim-viec-lam/ke-toan-doanh-thu.35C6B022.html","Xem chi tiết")</f>
        <v/>
      </c>
    </row>
    <row r="13888">
      <c r="B13888" s="9" t="n">
        <v>13886</v>
      </c>
      <c r="C13888" s="10" t="inlineStr">
        <is>
          <t>Phó nhóm Trải nghiệm khách hàng (CX Leader)</t>
        </is>
      </c>
      <c r="D13888" s="10" t="inlineStr">
        <is>
          <t>HMK Eyewear</t>
        </is>
      </c>
      <c r="E13888" s="10" t="inlineStr">
        <is>
          <t>Lương:15 Tr - 25 Tr VND</t>
        </is>
      </c>
      <c r="F13888" s="10" t="inlineStr">
        <is>
          <t>Hồ Chí Minh</t>
        </is>
      </c>
      <c r="G13888" s="10" t="inlineStr">
        <is>
          <t>31-03-2026</t>
        </is>
      </c>
      <c r="H13888" s="10" t="inlineStr">
        <is>
          <t>31/03/2026</t>
        </is>
      </c>
      <c r="I13888" s="10" t="inlineStr">
        <is>
          <t>17/03/2026</t>
        </is>
      </c>
      <c r="J13888" s="10" t="inlineStr">
        <is>
          <t>Dịch vụ khách hàng, Tư vấn, Tiếp thị trực tuyến</t>
        </is>
      </c>
      <c r="K13888" s="10" t="inlineStr">
        <is>
          <t>2 - 3 Năm</t>
        </is>
      </c>
      <c r="L13888" s="11">
        <f>HYPERLINK("https://careerviet.vn/vi/tim-viec-lam/pho-nhom-trai-nghiem-khach-hang-cx-leader.35C6B16E.html","Xem chi tiết")</f>
        <v/>
      </c>
      <c r="M13888" s="10" t="n"/>
    </row>
    <row r="13889">
      <c r="B13889" s="7" t="n">
        <v>13887</v>
      </c>
      <c r="C13889" t="inlineStr">
        <is>
          <t>HRM</t>
        </is>
      </c>
      <c r="D13889" t="inlineStr">
        <is>
          <t>HMK Eyewear</t>
        </is>
      </c>
      <c r="E13889" t="inlineStr">
        <is>
          <t>Lương:Cạnh tranh</t>
        </is>
      </c>
      <c r="F13889" t="inlineStr">
        <is>
          <t>Hồ Chí Minh</t>
        </is>
      </c>
      <c r="G13889" t="inlineStr">
        <is>
          <t>31-03-2026</t>
        </is>
      </c>
      <c r="H13889" t="inlineStr">
        <is>
          <t>31/03/2026</t>
        </is>
      </c>
      <c r="I13889" t="inlineStr">
        <is>
          <t>17/03/2026</t>
        </is>
      </c>
      <c r="J13889" t="inlineStr">
        <is>
          <t>Nhân sự, Quản lý điều hành, Hành chính / Thư ký</t>
        </is>
      </c>
      <c r="K13889" t="inlineStr">
        <is>
          <t>3 - 5 Năm</t>
        </is>
      </c>
      <c r="L13889" s="8">
        <f>HYPERLINK("https://careerviet.vn/vi/tim-viec-lam/hrm.35C6B151.html","Xem chi tiết")</f>
        <v/>
      </c>
    </row>
    <row r="13890">
      <c r="B13890" s="9" t="n">
        <v>13888</v>
      </c>
      <c r="C13890" s="10" t="inlineStr">
        <is>
          <t>Sales Executive</t>
        </is>
      </c>
      <c r="D13890" s="10" t="inlineStr">
        <is>
          <t>Accredo Asia Packaging Co. Ltd</t>
        </is>
      </c>
      <c r="E13890" s="10" t="inlineStr">
        <is>
          <t>Lương:Cạnh tranh</t>
        </is>
      </c>
      <c r="F13890" s="10" t="inlineStr">
        <is>
          <t>Bình Dương</t>
        </is>
      </c>
      <c r="G13890" s="10" t="inlineStr">
        <is>
          <t>05-04-2026</t>
        </is>
      </c>
      <c r="H13890" s="10" t="inlineStr">
        <is>
          <t>05/04/2026</t>
        </is>
      </c>
      <c r="I13890" s="10" t="inlineStr">
        <is>
          <t>17/03/2026</t>
        </is>
      </c>
      <c r="J13890" s="10" t="inlineStr">
        <is>
          <t>Bán hàng / Kinh doanh</t>
        </is>
      </c>
      <c r="K13890" s="10" t="inlineStr">
        <is>
          <t>N/A</t>
        </is>
      </c>
      <c r="L13890" s="11">
        <f>HYPERLINK("https://careerviet.vn/vi/tim-viec-lam/sales-executive.35C6B1DF.html","Xem chi tiết")</f>
        <v/>
      </c>
      <c r="M13890" s="10" t="n"/>
    </row>
    <row r="13891">
      <c r="B13891" s="7" t="n">
        <v>13889</v>
      </c>
      <c r="C13891" t="inlineStr">
        <is>
          <t>Nhân viên nhân sự</t>
        </is>
      </c>
      <c r="D13891" t="inlineStr">
        <is>
          <t>BỆNH VIỆN ĐA KHOA PHƯƠNG ĐÔNG</t>
        </is>
      </c>
      <c r="E13891" t="inlineStr">
        <is>
          <t>Lương:Cạnh tranh</t>
        </is>
      </c>
      <c r="F13891" t="inlineStr">
        <is>
          <t>Hà Nội</t>
        </is>
      </c>
      <c r="G13891" t="inlineStr">
        <is>
          <t>30-04-2026</t>
        </is>
      </c>
      <c r="H13891" t="inlineStr">
        <is>
          <t>30/04/2026</t>
        </is>
      </c>
      <c r="I13891" t="inlineStr">
        <is>
          <t>17/03/2026</t>
        </is>
      </c>
      <c r="J13891" t="inlineStr">
        <is>
          <t>Giáo dục / Đào tạo, Nhân sự</t>
        </is>
      </c>
      <c r="K13891" t="inlineStr">
        <is>
          <t>2 - 3 Năm</t>
        </is>
      </c>
      <c r="L13891" s="8">
        <f>HYPERLINK("https://careerviet.vn/vi/tim-viec-lam/nhan-vien-nhan-su.35C6B12C.html","Xem chi tiết")</f>
        <v/>
      </c>
    </row>
    <row r="13892">
      <c r="B13892" s="9" t="n">
        <v>13890</v>
      </c>
      <c r="C13892" s="10" t="inlineStr">
        <is>
          <t>Nhân Viên Giới Thiệu Sản phẩm Toàn Thời Gian</t>
        </is>
      </c>
      <c r="D13892" s="10" t="inlineStr">
        <is>
          <t>Công ty TNHH Chế biến thực phẩm Đông Đô</t>
        </is>
      </c>
      <c r="E13892" s="10" t="inlineStr">
        <is>
          <t>Lương:11 Tr - 14 Tr VND</t>
        </is>
      </c>
      <c r="F13892" s="10" t="inlineStr">
        <is>
          <t>Yên BáiHòa BìnhLào Cai</t>
        </is>
      </c>
      <c r="G13892" s="10" t="inlineStr">
        <is>
          <t>10-04-2026</t>
        </is>
      </c>
      <c r="H13892" s="10" t="inlineStr">
        <is>
          <t>10/04/2026</t>
        </is>
      </c>
      <c r="I13892" s="10" t="inlineStr">
        <is>
          <t>17/03/2026</t>
        </is>
      </c>
      <c r="J13892" s="10" t="inlineStr">
        <is>
          <t>Tiếp thị / Marketing, Bán hàng / Kinh doanh, Thực phẩm &amp; Đồ uống</t>
        </is>
      </c>
      <c r="K13892" s="10" t="inlineStr">
        <is>
          <t>Lên đến 1 Năm</t>
        </is>
      </c>
      <c r="L13892" s="11">
        <f>HYPERLINK("https://careerviet.vn/vi/tim-viec-lam/nhan-vien-gioi-thieu-san-pham-toan-thoi-gian.35C6B229.html","Xem chi tiết")</f>
        <v/>
      </c>
      <c r="M13892" s="10" t="n"/>
    </row>
    <row r="13893">
      <c r="B13893" s="7" t="n">
        <v>13891</v>
      </c>
      <c r="C13893" t="inlineStr">
        <is>
          <t>Admin &amp; Receptionist Officer</t>
        </is>
      </c>
      <c r="D13893" t="inlineStr">
        <is>
          <t>CÔNG TY TNHH LESCHACO VIỆT NAM</t>
        </is>
      </c>
      <c r="E13893" t="inlineStr">
        <is>
          <t>Lương:Cạnh tranh</t>
        </is>
      </c>
      <c r="F13893" t="inlineStr">
        <is>
          <t>Hồ Chí Minh</t>
        </is>
      </c>
      <c r="G13893" t="inlineStr">
        <is>
          <t>31-03-2026</t>
        </is>
      </c>
      <c r="H13893" t="inlineStr">
        <is>
          <t>31/03/2026</t>
        </is>
      </c>
      <c r="I13893" t="inlineStr">
        <is>
          <t>17/03/2026</t>
        </is>
      </c>
      <c r="J13893" t="inlineStr">
        <is>
          <t>Nhân sự</t>
        </is>
      </c>
      <c r="K13893" t="inlineStr">
        <is>
          <t>1 - 2 Năm</t>
        </is>
      </c>
      <c r="L13893" s="8">
        <f>HYPERLINK("https://careerviet.vn/vi/tim-viec-lam/admin-receptionist-officer.35C6ADC8.html","Xem chi tiết")</f>
        <v/>
      </c>
    </row>
    <row r="13894">
      <c r="B13894" s="9" t="n">
        <v>13892</v>
      </c>
      <c r="C13894" s="10" t="inlineStr">
        <is>
          <t>Chuyên Viên Tư Vấn Giáo Dục - Ocean Edu Lạng Sơn - Thu Nhập Từ 15Triệu/Tháng - Phỏng Vấn Đi Làm Ngay</t>
        </is>
      </c>
      <c r="D13894" s="10" t="inlineStr">
        <is>
          <t>Công Ty CP Giáo Dục Đại Dương</t>
        </is>
      </c>
      <c r="E13894" s="10" t="inlineStr">
        <is>
          <t>Lương:Cạnh tranh</t>
        </is>
      </c>
      <c r="F13894" s="10" t="inlineStr">
        <is>
          <t>Lạng Sơn</t>
        </is>
      </c>
      <c r="G13894" s="10" t="inlineStr">
        <is>
          <t>04-04-2026</t>
        </is>
      </c>
      <c r="H13894" s="10" t="inlineStr">
        <is>
          <t>04/04/2026</t>
        </is>
      </c>
      <c r="I13894" s="10" t="inlineStr">
        <is>
          <t>17/03/2026</t>
        </is>
      </c>
      <c r="J13894" s="10" t="inlineStr">
        <is>
          <t>Dịch vụ khách hàng, Giáo dục / Đào tạo, Bán hàng / Kinh doanh</t>
        </is>
      </c>
      <c r="K13894" s="10" t="inlineStr">
        <is>
          <t>Chưa có kinh nghiệm</t>
        </is>
      </c>
      <c r="L13894" s="11">
        <f>HYPERLINK("https://careerviet.vn/vi/tim-viec-lam/chuyen-vien-tu-van-giao-duc-ocean-edu-lang-son-thu-nhap-tu-15trieu-thang-phong-van-di-lam-ngay.35C6B04B.html","Xem chi tiết")</f>
        <v/>
      </c>
      <c r="M13894" s="10" t="n"/>
    </row>
    <row r="13895">
      <c r="B13895" s="7" t="n">
        <v>13893</v>
      </c>
      <c r="C13895" t="inlineStr">
        <is>
          <t>Nhân viên thiết kế 2D/3D</t>
        </is>
      </c>
      <c r="D13895" t="inlineStr">
        <is>
          <t>CÔNG TY CP THỰC PHẨM VÀ NƯỚC GIẢI KHÁT NAM VIỆT</t>
        </is>
      </c>
      <c r="E13895" t="inlineStr">
        <is>
          <t>Lương:9 Tr - 15 Tr VND</t>
        </is>
      </c>
      <c r="F13895" t="inlineStr">
        <is>
          <t>Bình Dương</t>
        </is>
      </c>
      <c r="G13895" t="inlineStr">
        <is>
          <t>30-04-2026</t>
        </is>
      </c>
      <c r="H13895" t="inlineStr">
        <is>
          <t>30/04/2026</t>
        </is>
      </c>
      <c r="I13895" t="inlineStr">
        <is>
          <t>17/03/2026</t>
        </is>
      </c>
      <c r="J13895" t="inlineStr">
        <is>
          <t>Mỹ thuật / Nghệ thuật / Thiết kế, Quảng cáo / Đối ngoại / Truyền Thông</t>
        </is>
      </c>
      <c r="K13895" t="inlineStr">
        <is>
          <t>N/A</t>
        </is>
      </c>
      <c r="L13895" s="8">
        <f>HYPERLINK("https://careerviet.vn/vi/tim-viec-lam/nhan-vien-thiet-ke-2d-3d.35C6B0E0.html","Xem chi tiết")</f>
        <v/>
      </c>
    </row>
    <row r="13896">
      <c r="B13896" s="9" t="n">
        <v>13894</v>
      </c>
      <c r="C13896" s="10" t="inlineStr">
        <is>
          <t>Chuyên Viên Tư Vấn Giáo Dục - Ocean Edu Yên Khánh - Thu Nhập Từ 15Triệu/Tháng - Phỏng Vấn Đi Làm Ngay</t>
        </is>
      </c>
      <c r="D13896" s="10" t="inlineStr">
        <is>
          <t>Công Ty CP Giáo Dục Đại Dương</t>
        </is>
      </c>
      <c r="E13896" s="10" t="inlineStr">
        <is>
          <t>Lương:Cạnh tranh</t>
        </is>
      </c>
      <c r="F13896" s="10" t="inlineStr">
        <is>
          <t>Ninh Bình</t>
        </is>
      </c>
      <c r="G13896" s="10" t="inlineStr">
        <is>
          <t>04-04-2026</t>
        </is>
      </c>
      <c r="H13896" s="10" t="inlineStr">
        <is>
          <t>04/04/2026</t>
        </is>
      </c>
      <c r="I13896" s="10" t="inlineStr">
        <is>
          <t>17/03/2026</t>
        </is>
      </c>
      <c r="J13896" s="10" t="inlineStr">
        <is>
          <t>Dịch vụ khách hàng, Giáo dục / Đào tạo, Bán hàng / Kinh doanh</t>
        </is>
      </c>
      <c r="K13896" s="10" t="inlineStr">
        <is>
          <t>Chưa có kinh nghiệm</t>
        </is>
      </c>
      <c r="L13896" s="11">
        <f>HYPERLINK("https://careerviet.vn/vi/tim-viec-lam/chuyen-vien-tu-van-giao-duc-ocean-edu-yen-khanh-thu-nhap-tu-15trieu-thang-phong-van-di-lam-ngay.35C6AF02.html","Xem chi tiết")</f>
        <v/>
      </c>
      <c r="M13896" s="10" t="n"/>
    </row>
    <row r="13897">
      <c r="B13897" s="7" t="n">
        <v>13895</v>
      </c>
      <c r="C13897" t="inlineStr">
        <is>
          <t>Giao dịch viên/Giao dịch viên Cao cấp -  Ninh Bình</t>
        </is>
      </c>
      <c r="D13897" t="inlineStr">
        <is>
          <t>Ngân hàng Thương mại cổ phần Đông Nam Á (SeABank)</t>
        </is>
      </c>
      <c r="E13897" t="inlineStr">
        <is>
          <t>Lương:Cạnh tranh</t>
        </is>
      </c>
      <c r="F13897" t="inlineStr">
        <is>
          <t>Ninh Bình</t>
        </is>
      </c>
      <c r="G13897" t="inlineStr">
        <is>
          <t>31-03-2026</t>
        </is>
      </c>
      <c r="H13897" t="inlineStr">
        <is>
          <t>31/03/2026</t>
        </is>
      </c>
      <c r="I13897" t="inlineStr">
        <is>
          <t>17/03/2026</t>
        </is>
      </c>
      <c r="J13897" t="inlineStr">
        <is>
          <t>Ngân hàng, Tài chính / Đầu tư, Dịch vụ khách hàng</t>
        </is>
      </c>
      <c r="K13897" t="inlineStr">
        <is>
          <t>1 - 5 Năm</t>
        </is>
      </c>
      <c r="L13897" s="8">
        <f>HYPERLINK("https://careerviet.vn/vi/tim-viec-lam/giao-dich-vien-giao-dich-vien-cao-cap-ninh-binh.35C6B136.html","Xem chi tiết")</f>
        <v/>
      </c>
    </row>
    <row r="13898">
      <c r="B13898" s="9" t="n">
        <v>13896</v>
      </c>
      <c r="C13898" s="10" t="inlineStr">
        <is>
          <t>IT Business Analyst (T24, banking, finance)</t>
        </is>
      </c>
      <c r="D13898" s="10" t="inlineStr">
        <is>
          <t>ABBANK - Ngân Hàng TMCP An Bình</t>
        </is>
      </c>
      <c r="E13898" s="10" t="inlineStr">
        <is>
          <t>Lương:Cạnh tranh</t>
        </is>
      </c>
      <c r="F13898" s="10" t="inlineStr">
        <is>
          <t>Hà Nội</t>
        </is>
      </c>
      <c r="G13898" s="10" t="inlineStr">
        <is>
          <t>05-04-2026</t>
        </is>
      </c>
      <c r="H13898" s="10" t="inlineStr">
        <is>
          <t>05/04/2026</t>
        </is>
      </c>
      <c r="I13898" s="10" t="inlineStr">
        <is>
          <t>17/03/2026</t>
        </is>
      </c>
      <c r="J13898" s="10" t="inlineStr">
        <is>
          <t>Ngân hàng, Tài chính / Đầu tư</t>
        </is>
      </c>
      <c r="K13898" s="10" t="inlineStr">
        <is>
          <t>3 - 5 Năm</t>
        </is>
      </c>
      <c r="L13898" s="11">
        <f>HYPERLINK("https://careerviet.vn/vi/tim-viec-lam/it-business-analyst-t24-banking-finance.35C6B1D9.html","Xem chi tiết")</f>
        <v/>
      </c>
      <c r="M13898" s="10" t="n"/>
    </row>
    <row r="13899">
      <c r="B13899" s="7" t="n">
        <v>13897</v>
      </c>
      <c r="C13899" t="inlineStr">
        <is>
          <t>Chuyên Viên Thu Mua - Purchasing Staff</t>
        </is>
      </c>
      <c r="D13899" t="inlineStr">
        <is>
          <t>CÔNG TY CP THỰC PHẨM VÀ NƯỚC GIẢI KHÁT NAM VIỆT</t>
        </is>
      </c>
      <c r="E13899" t="inlineStr">
        <is>
          <t>Lương:10 Tr - 15 Tr VND</t>
        </is>
      </c>
      <c r="F13899" t="inlineStr">
        <is>
          <t>Bình Dương</t>
        </is>
      </c>
      <c r="G13899" t="inlineStr">
        <is>
          <t>31-03-2026</t>
        </is>
      </c>
      <c r="H13899" t="inlineStr">
        <is>
          <t>31/03/2026</t>
        </is>
      </c>
      <c r="I13899" t="inlineStr">
        <is>
          <t>17/03/2026</t>
        </is>
      </c>
      <c r="J13899" t="inlineStr">
        <is>
          <t>Thu mua / Vật tư, Xuất nhập khẩu</t>
        </is>
      </c>
      <c r="K13899" t="inlineStr">
        <is>
          <t>1 - 5 Năm</t>
        </is>
      </c>
      <c r="L13899" s="8">
        <f>HYPERLINK("https://careerviet.vn/vi/tim-viec-lam/chuyen-vien-thu-mua-purchasing-staff.35C6B26B.html","Xem chi tiết")</f>
        <v/>
      </c>
    </row>
    <row r="13900">
      <c r="B13900" s="9" t="n">
        <v>13898</v>
      </c>
      <c r="C13900" s="10" t="inlineStr">
        <is>
          <t>Chuyên viên khách hàng cá nhân</t>
        </is>
      </c>
      <c r="D13900" s="10" t="inlineStr">
        <is>
          <t>Ngân hàng TMCP Thịnh vượng và Phát triển - PGBank</t>
        </is>
      </c>
      <c r="E13900" s="10" t="inlineStr">
        <is>
          <t>Lương:Cạnh tranh</t>
        </is>
      </c>
      <c r="F13900" s="10" t="inlineStr">
        <is>
          <t>Hà NộiHồ Chí MinhKhánh Hòa</t>
        </is>
      </c>
      <c r="G13900" s="10" t="inlineStr">
        <is>
          <t>04-04-2026</t>
        </is>
      </c>
      <c r="H13900" s="10" t="inlineStr">
        <is>
          <t>04/04/2026</t>
        </is>
      </c>
      <c r="I13900" s="10" t="inlineStr">
        <is>
          <t>17/03/2026</t>
        </is>
      </c>
      <c r="J13900" s="10" t="inlineStr">
        <is>
          <t>Ngân hàng, Bất động sản, Tài chính / Đầu tư</t>
        </is>
      </c>
      <c r="K13900" s="10" t="inlineStr">
        <is>
          <t>1 - 15 Năm</t>
        </is>
      </c>
      <c r="L13900" s="11">
        <f>HYPERLINK("https://careerviet.vn/vi/tim-viec-lam/chuyen-vien-khach-hang-ca-nhan.35C6AF9B.html","Xem chi tiết")</f>
        <v/>
      </c>
      <c r="M13900" s="10" t="n"/>
    </row>
    <row r="13901">
      <c r="B13901" s="7" t="n">
        <v>13899</v>
      </c>
      <c r="C13901" t="inlineStr">
        <is>
          <t>Nhân Viên Content Creator</t>
        </is>
      </c>
      <c r="D13901" t="inlineStr">
        <is>
          <t>Công Ty TNHH Nha Khoa My Auris</t>
        </is>
      </c>
      <c r="E13901" t="inlineStr">
        <is>
          <t>Lương:11 Tr - 15 Tr VND</t>
        </is>
      </c>
      <c r="F13901" t="inlineStr">
        <is>
          <t>Hồ Chí Minh</t>
        </is>
      </c>
      <c r="G13901" t="inlineStr">
        <is>
          <t>03-04-2026</t>
        </is>
      </c>
      <c r="H13901" t="inlineStr">
        <is>
          <t>03/04/2026</t>
        </is>
      </c>
      <c r="I13901" t="inlineStr">
        <is>
          <t>17/03/2026</t>
        </is>
      </c>
      <c r="J13901" t="inlineStr">
        <is>
          <t>Tiếp thị / Marketing, Y tế / Chăm sóc sức khỏe / Thẩm mỹ / Làm đẹp, Mỹ thuật / Nghệ thuật / Thiết kế</t>
        </is>
      </c>
      <c r="K13901" t="inlineStr">
        <is>
          <t>1 - 3 Năm</t>
        </is>
      </c>
      <c r="L13901" s="8">
        <f>HYPERLINK("https://careerviet.vn/vi/tim-viec-lam/nhan-vien-content-creator.35C6B1EF.html","Xem chi tiết")</f>
        <v/>
      </c>
    </row>
    <row r="13902">
      <c r="B13902" s="9" t="n">
        <v>13900</v>
      </c>
      <c r="C13902" s="10" t="inlineStr">
        <is>
          <t>CHUYÊN VIÊN ĐẤU THẦU, HỢP ĐỒNG (CHỦ ĐẦU TƯ)</t>
        </is>
      </c>
      <c r="D13902" s="10" t="inlineStr">
        <is>
          <t>CÔNG TY CỔ PHẦN IFF HOLDINGS</t>
        </is>
      </c>
      <c r="E13902" s="10" t="inlineStr">
        <is>
          <t>Lương:20 Tr - 25 Tr VND</t>
        </is>
      </c>
      <c r="F13902" s="10" t="inlineStr">
        <is>
          <t>Hồ Chí Minh</t>
        </is>
      </c>
      <c r="G13902" s="10" t="inlineStr">
        <is>
          <t>05-04-2026</t>
        </is>
      </c>
      <c r="H13902" s="10" t="inlineStr">
        <is>
          <t>05/04/2026</t>
        </is>
      </c>
      <c r="I13902" s="10" t="inlineStr">
        <is>
          <t>17/03/2026</t>
        </is>
      </c>
      <c r="J13902" s="10" t="inlineStr">
        <is>
          <t>Luật / Pháp lý, Tài chính / Đầu tư, Xây dựng</t>
        </is>
      </c>
      <c r="K13902" s="10" t="inlineStr">
        <is>
          <t>5 - 7 Năm</t>
        </is>
      </c>
      <c r="L13902" s="11">
        <f>HYPERLINK("https://careerviet.vn/vi/tim-viec-lam/chuyen-vien-dau-thau-hop-dong-chu-dau-tu.35C6B22A.html","Xem chi tiết")</f>
        <v/>
      </c>
      <c r="M13902" s="10" t="n"/>
    </row>
    <row r="13903">
      <c r="B13903" s="7" t="n">
        <v>13901</v>
      </c>
      <c r="C13903" t="inlineStr">
        <is>
          <t>NHÂN VIÊN NHÂN SỰ - HÀNH CHÍNH TỔNG VỤ (CÔNG TY QUY MÔ DƯỚI 60 NGƯỜI)</t>
        </is>
      </c>
      <c r="D13903" t="inlineStr">
        <is>
          <t>CÔNG TY TNHH CÔNG NGHỆ TECO (VIỆT NAM)</t>
        </is>
      </c>
      <c r="E13903" t="inlineStr">
        <is>
          <t>Lương:10 Tr - 15 Tr VND</t>
        </is>
      </c>
      <c r="F13903" t="inlineStr">
        <is>
          <t>Bình Dương</t>
        </is>
      </c>
      <c r="G13903" t="inlineStr">
        <is>
          <t>11-04-2026</t>
        </is>
      </c>
      <c r="H13903" t="inlineStr">
        <is>
          <t>11/04/2026</t>
        </is>
      </c>
      <c r="I13903" t="inlineStr">
        <is>
          <t>17/03/2026</t>
        </is>
      </c>
      <c r="J13903" t="inlineStr">
        <is>
          <t>Nhân sự, Hành chính / Thư ký, Kế toán / Kiểm toán</t>
        </is>
      </c>
      <c r="K13903" t="inlineStr">
        <is>
          <t>1 - 2 Năm</t>
        </is>
      </c>
      <c r="L13903" s="8">
        <f>HYPERLINK("https://careerviet.vn/vi/tim-viec-lam/nhan-vien-nhan-su-hanh-chinh-tong-vu-cong-ty-quy-mo-duoi-60-nguoi.35C6C088.html","Xem chi tiết")</f>
        <v/>
      </c>
    </row>
    <row r="13904">
      <c r="B13904" s="9" t="n">
        <v>13902</v>
      </c>
      <c r="C13904" s="10" t="inlineStr">
        <is>
          <t>Planning Staff</t>
        </is>
      </c>
      <c r="D13904" s="10" t="inlineStr">
        <is>
          <t>CÔNG TY TNHH AMPHENOL RF VIỆT NAM</t>
        </is>
      </c>
      <c r="E13904" s="10" t="inlineStr">
        <is>
          <t>Lương:13 Tr - 16 Tr VND</t>
        </is>
      </c>
      <c r="F13904" s="10" t="inlineStr">
        <is>
          <t>Long An</t>
        </is>
      </c>
      <c r="G13904" s="10" t="inlineStr">
        <is>
          <t>31-03-2026</t>
        </is>
      </c>
      <c r="H13904" s="10" t="inlineStr">
        <is>
          <t>31/03/2026</t>
        </is>
      </c>
      <c r="I13904" s="10" t="inlineStr">
        <is>
          <t>17/03/2026</t>
        </is>
      </c>
      <c r="J13904" s="10" t="inlineStr">
        <is>
          <t>Dịch vụ khách hàng, Ngành khác</t>
        </is>
      </c>
      <c r="K13904" s="10" t="inlineStr">
        <is>
          <t>N/A</t>
        </is>
      </c>
      <c r="L13904" s="11">
        <f>HYPERLINK("https://careerviet.vn/vi/tim-viec-lam/planning-staff.35C6C09C.html","Xem chi tiết")</f>
        <v/>
      </c>
      <c r="M13904" s="10" t="n"/>
    </row>
    <row r="13905">
      <c r="B13905" s="7" t="n">
        <v>13903</v>
      </c>
      <c r="C13905" t="inlineStr">
        <is>
          <t>Kỹ Sư Thiết Kế MEP</t>
        </is>
      </c>
      <c r="D13905" t="inlineStr">
        <is>
          <t>AKI DESIGN</t>
        </is>
      </c>
      <c r="E13905" t="inlineStr">
        <is>
          <t>Lương:12 Tr - 20 Tr VND</t>
        </is>
      </c>
      <c r="F13905" t="inlineStr">
        <is>
          <t>Hồ Chí MinhHà Nội</t>
        </is>
      </c>
      <c r="G13905" t="inlineStr">
        <is>
          <t>10-04-2026</t>
        </is>
      </c>
      <c r="H13905" t="inlineStr">
        <is>
          <t>10/04/2026</t>
        </is>
      </c>
      <c r="I13905" t="inlineStr">
        <is>
          <t>17/03/2026</t>
        </is>
      </c>
      <c r="J13905" t="inlineStr">
        <is>
          <t>Kiến trúc, Xây dựng, Nội ngoại thất</t>
        </is>
      </c>
      <c r="K13905" t="inlineStr">
        <is>
          <t>3 - 5 Năm</t>
        </is>
      </c>
      <c r="L13905" s="8">
        <f>HYPERLINK("https://careerviet.vn/vi/tim-viec-lam/ky-su-thiet-ke-mep.35C6C08D.html","Xem chi tiết")</f>
        <v/>
      </c>
    </row>
    <row r="13906">
      <c r="B13906" s="9" t="n">
        <v>13904</v>
      </c>
      <c r="C13906" s="10" t="inlineStr">
        <is>
          <t>TRƯỞNG PHÒNG QUẢN LÝ DỰ ÁN</t>
        </is>
      </c>
      <c r="D13906" s="10" t="inlineStr">
        <is>
          <t>CÔNG TY TNHH ĐẦU TƯ VIỆT THIÊN HÀ</t>
        </is>
      </c>
      <c r="E13906" s="10" t="inlineStr">
        <is>
          <t>Lương:25 Tr - 30 Tr VND</t>
        </is>
      </c>
      <c r="F13906" s="10" t="inlineStr">
        <is>
          <t>Hồ Chí Minh</t>
        </is>
      </c>
      <c r="G13906" s="10" t="inlineStr">
        <is>
          <t>30-04-2026</t>
        </is>
      </c>
      <c r="H13906" s="10" t="inlineStr">
        <is>
          <t>30/04/2026</t>
        </is>
      </c>
      <c r="I13906" s="10" t="inlineStr">
        <is>
          <t>17/03/2026</t>
        </is>
      </c>
      <c r="J13906" s="10" t="inlineStr">
        <is>
          <t>Kiến trúc, Bất động sản, Xây dựng</t>
        </is>
      </c>
      <c r="K13906" s="10" t="inlineStr">
        <is>
          <t>Trên 7 Năm</t>
        </is>
      </c>
      <c r="L13906" s="11">
        <f>HYPERLINK("https://careerviet.vn/vi/tim-viec-lam/truong-phong-quan-ly-du-an.35C6ACAE.html","Xem chi tiết")</f>
        <v/>
      </c>
      <c r="M13906" s="10" t="n"/>
    </row>
    <row r="13907">
      <c r="B13907" s="7" t="n">
        <v>13905</v>
      </c>
      <c r="C13907" t="inlineStr">
        <is>
          <t>Giám đốc Phòng giao dịch</t>
        </is>
      </c>
      <c r="D13907" t="inlineStr">
        <is>
          <t>Ngân Hàng TMCP Sài Gòn - Hà Nội ( SHB )</t>
        </is>
      </c>
      <c r="E13907" t="inlineStr">
        <is>
          <t>Lương:Cạnh tranh</t>
        </is>
      </c>
      <c r="F13907" t="inlineStr">
        <is>
          <t>Hồ Chí Minh</t>
        </is>
      </c>
      <c r="G13907" t="inlineStr">
        <is>
          <t>08-04-2026</t>
        </is>
      </c>
      <c r="H13907" t="inlineStr">
        <is>
          <t>08/04/2026</t>
        </is>
      </c>
      <c r="I13907" t="inlineStr">
        <is>
          <t>17/03/2026</t>
        </is>
      </c>
      <c r="J13907" t="inlineStr">
        <is>
          <t>Quản lý điều hành, Ngân hàng, Tài chính / Đầu tư</t>
        </is>
      </c>
      <c r="K13907" t="inlineStr">
        <is>
          <t>Trên 5 Năm</t>
        </is>
      </c>
      <c r="L13907" s="8">
        <f>HYPERLINK("https://careerviet.vn/vi/tim-viec-lam/giam-doc-phong-giao-dich.35C6C09B.html","Xem chi tiết")</f>
        <v/>
      </c>
    </row>
    <row r="13908">
      <c r="B13908" s="9" t="n">
        <v>13906</v>
      </c>
      <c r="C13908" s="10" t="inlineStr">
        <is>
          <t>Nhân viên nghiên cứu và phát triển sản phẩm</t>
        </is>
      </c>
      <c r="D13908" s="10" t="inlineStr">
        <is>
          <t>CÔNG TY CỔ PHẦN THƯƠNG MẠI MON</t>
        </is>
      </c>
      <c r="E13908" s="10" t="inlineStr">
        <is>
          <t>Lương:Cạnh tranh</t>
        </is>
      </c>
      <c r="F13908" s="10" t="inlineStr">
        <is>
          <t>Hồ Chí Minh</t>
        </is>
      </c>
      <c r="G13908" s="10" t="inlineStr">
        <is>
          <t>10-04-2026</t>
        </is>
      </c>
      <c r="H13908" s="10" t="inlineStr">
        <is>
          <t>10/04/2026</t>
        </is>
      </c>
      <c r="I13908" s="10" t="inlineStr">
        <is>
          <t>17/03/2026</t>
        </is>
      </c>
      <c r="J13908" s="10" t="inlineStr">
        <is>
          <t>Dược phẩm/ Hóa Mỹ Phẩm, Hóa học</t>
        </is>
      </c>
      <c r="K13908" s="10" t="inlineStr">
        <is>
          <t>2 - 3 Năm</t>
        </is>
      </c>
      <c r="L13908" s="11">
        <f>HYPERLINK("https://careerviet.vn/vi/tim-viec-lam/nhan-vien-nghien-cuu-va-phat-trien-san-pham.35C6C08B.html","Xem chi tiết")</f>
        <v/>
      </c>
      <c r="M13908" s="10" t="n"/>
    </row>
    <row r="13909">
      <c r="B13909" s="7" t="n">
        <v>13907</v>
      </c>
      <c r="C13909" t="inlineStr">
        <is>
          <t>Nhân Viên Tư Vấn Bán Hàng</t>
        </is>
      </c>
      <c r="D13909" t="inlineStr">
        <is>
          <t>Công ty TNHH Acer Việt Nam</t>
        </is>
      </c>
      <c r="E13909" t="inlineStr">
        <is>
          <t>Lương:8 Tr - 15 Tr VND</t>
        </is>
      </c>
      <c r="F13909" t="inlineStr">
        <is>
          <t>Hồ Chí MinhBình Dương</t>
        </is>
      </c>
      <c r="G13909" t="inlineStr">
        <is>
          <t>29-03-2026</t>
        </is>
      </c>
      <c r="H13909" t="inlineStr">
        <is>
          <t>29/03/2026</t>
        </is>
      </c>
      <c r="I13909" t="inlineStr">
        <is>
          <t>17/03/2026</t>
        </is>
      </c>
      <c r="J13909" t="inlineStr">
        <is>
          <t>CNTT - Phần cứng / Mạng, Bán hàng / Kinh doanh, Tư vấn</t>
        </is>
      </c>
      <c r="K13909" t="inlineStr">
        <is>
          <t>N/A</t>
        </is>
      </c>
      <c r="L13909" s="8">
        <f>HYPERLINK("https://careerviet.vn/vi/tim-viec-lam/nhan-vien-tu-van-ban-hang.35C64268.html","Xem chi tiết")</f>
        <v/>
      </c>
    </row>
    <row r="13910">
      <c r="B13910" s="9" t="n">
        <v>13908</v>
      </c>
      <c r="C13910" s="10" t="inlineStr">
        <is>
          <t>Chuyên viên Thẩm định Tín Dụng - Chi nhánh Thiên Long</t>
        </is>
      </c>
      <c r="D13910" s="10" t="inlineStr">
        <is>
          <t>Indovina Bank Ltd.</t>
        </is>
      </c>
      <c r="E13910" s="10" t="inlineStr">
        <is>
          <t>Lương:Cạnh tranh</t>
        </is>
      </c>
      <c r="F13910" s="10" t="inlineStr">
        <is>
          <t>Hà Nội</t>
        </is>
      </c>
      <c r="G13910" s="10" t="inlineStr">
        <is>
          <t>31-05-2026</t>
        </is>
      </c>
      <c r="H13910" s="10" t="inlineStr">
        <is>
          <t>31/05/2026</t>
        </is>
      </c>
      <c r="I13910" s="10" t="inlineStr">
        <is>
          <t>17/03/2026</t>
        </is>
      </c>
      <c r="J13910" s="10" t="inlineStr">
        <is>
          <t>Bán hàng / Kinh doanh, Ngân hàng, Tài chính / Đầu tư</t>
        </is>
      </c>
      <c r="K13910" s="10" t="inlineStr">
        <is>
          <t>1 - 2 Năm</t>
        </is>
      </c>
      <c r="L13910" s="11">
        <f>HYPERLINK("https://careerviet.vn/vi/tim-viec-lam/chuyen-vien-tham-dinh-tin-dung-chi-nhanh-thien-long.35C6C08C.html","Xem chi tiết")</f>
        <v/>
      </c>
      <c r="M13910" s="10" t="n"/>
    </row>
    <row r="13911">
      <c r="B13911" s="7" t="n">
        <v>13909</v>
      </c>
      <c r="C13911" t="inlineStr">
        <is>
          <t>Assistant Brand Manager</t>
        </is>
      </c>
      <c r="D13911" t="inlineStr">
        <is>
          <t>Wipro Consumer Care Vietnam</t>
        </is>
      </c>
      <c r="E13911" t="inlineStr">
        <is>
          <t>Lương:Cạnh tranh</t>
        </is>
      </c>
      <c r="F13911" t="inlineStr">
        <is>
          <t>Hồ Chí Minh</t>
        </is>
      </c>
      <c r="G13911" t="inlineStr">
        <is>
          <t>27-03-2026</t>
        </is>
      </c>
      <c r="H13911" t="inlineStr">
        <is>
          <t>27/03/2026</t>
        </is>
      </c>
      <c r="I13911" t="inlineStr">
        <is>
          <t>17/03/2026</t>
        </is>
      </c>
      <c r="J13911" t="inlineStr">
        <is>
          <t>Tiếp thị / Marketing</t>
        </is>
      </c>
      <c r="K13911" t="inlineStr">
        <is>
          <t>3 - 5 Năm</t>
        </is>
      </c>
      <c r="L13911" s="8">
        <f>HYPERLINK("https://careerviet.vn/vi/tim-viec-lam/assistant-brand-manager.35C6C089.html","Xem chi tiết")</f>
        <v/>
      </c>
    </row>
    <row r="13912">
      <c r="B13912" s="9" t="n">
        <v>13910</v>
      </c>
      <c r="C13912" s="10" t="inlineStr">
        <is>
          <t>Chuyên viên Nhân sự tổng hợp</t>
        </is>
      </c>
      <c r="D13912" s="10" t="inlineStr">
        <is>
          <t>Bảo mật</t>
        </is>
      </c>
      <c r="E13912" s="10" t="inlineStr">
        <is>
          <t>Lương:8 Tr - 10 Tr VND</t>
        </is>
      </c>
      <c r="F13912" s="10" t="inlineStr">
        <is>
          <t>Bến Tre</t>
        </is>
      </c>
      <c r="G13912" s="10" t="inlineStr">
        <is>
          <t>10-04-2026</t>
        </is>
      </c>
      <c r="H13912" s="10" t="inlineStr">
        <is>
          <t>10/04/2026</t>
        </is>
      </c>
      <c r="I13912" s="10" t="inlineStr">
        <is>
          <t>17/03/2026</t>
        </is>
      </c>
      <c r="J13912" s="10" t="inlineStr">
        <is>
          <t>Giáo dục / Đào tạo, Nhân sự</t>
        </is>
      </c>
      <c r="K13912" s="10" t="inlineStr">
        <is>
          <t>3 - 5 Năm</t>
        </is>
      </c>
      <c r="L13912" s="11">
        <f>HYPERLINK("https://careerviet.vn/vi/tim-viec-lam/chuyen-vien-nhan-su-tong-hop.35C6C080.html","Xem chi tiết")</f>
        <v/>
      </c>
      <c r="M13912" s="10" t="n"/>
    </row>
    <row r="13913">
      <c r="B13913" s="7" t="n">
        <v>13911</v>
      </c>
      <c r="C13913" t="inlineStr">
        <is>
          <t>Chuyên viên Tiếp thị và Quan hệ Khách hàng Doanh nghiệp - Chi nhánh Hải Phòng</t>
        </is>
      </c>
      <c r="D13913" t="inlineStr">
        <is>
          <t>Indovina Bank Ltd.</t>
        </is>
      </c>
      <c r="E13913" t="inlineStr">
        <is>
          <t>Lương:Cạnh tranh</t>
        </is>
      </c>
      <c r="F13913" t="inlineStr">
        <is>
          <t>Hải Phòng</t>
        </is>
      </c>
      <c r="G13913" t="inlineStr">
        <is>
          <t>31-05-2026</t>
        </is>
      </c>
      <c r="H13913" t="inlineStr">
        <is>
          <t>31/05/2026</t>
        </is>
      </c>
      <c r="I13913" t="inlineStr">
        <is>
          <t>17/03/2026</t>
        </is>
      </c>
      <c r="J13913" t="inlineStr">
        <is>
          <t>Ngân hàng, Chứng khoán, Tài chính / Đầu tư</t>
        </is>
      </c>
      <c r="K13913" t="inlineStr">
        <is>
          <t>1 - 2 Năm</t>
        </is>
      </c>
      <c r="L13913" s="8">
        <f>HYPERLINK("https://careerviet.vn/vi/tim-viec-lam/chuyen-vien-tiep-thi-va-quan-he-khach-hang-doanh-nghiep-chi-nhanh-hai-phong.35C6C083.html","Xem chi tiết")</f>
        <v/>
      </c>
    </row>
    <row r="13914">
      <c r="B13914" s="9" t="n">
        <v>13912</v>
      </c>
      <c r="C13914" s="10" t="inlineStr">
        <is>
          <t>Nhân viên chứng từ nhập khẩu</t>
        </is>
      </c>
      <c r="D13914" s="10" t="inlineStr">
        <is>
          <t>Vietnam Furniture Resources (VFR)</t>
        </is>
      </c>
      <c r="E13914" s="10" t="inlineStr">
        <is>
          <t>Lương:Cạnh tranh</t>
        </is>
      </c>
      <c r="F13914" s="10" t="inlineStr">
        <is>
          <t>Bình Dương</t>
        </is>
      </c>
      <c r="G13914" s="10" t="inlineStr">
        <is>
          <t>12-04-2026</t>
        </is>
      </c>
      <c r="H13914" s="10" t="inlineStr">
        <is>
          <t>12/04/2026</t>
        </is>
      </c>
      <c r="I13914" s="10" t="inlineStr">
        <is>
          <t>17/03/2026</t>
        </is>
      </c>
      <c r="J13914" s="10" t="inlineStr">
        <is>
          <t>Vận chuyển / Giao nhận / Kho vận, Xuất nhập khẩu</t>
        </is>
      </c>
      <c r="K13914" s="10" t="inlineStr">
        <is>
          <t>2 - 5 Năm</t>
        </is>
      </c>
      <c r="L13914" s="11">
        <f>HYPERLINK("https://careerviet.vn/vi/tim-viec-lam/nhan-vien-chung-tu-nhap-khau.35C6C07D.html","Xem chi tiết")</f>
        <v/>
      </c>
      <c r="M13914" s="10" t="n"/>
    </row>
    <row r="13915">
      <c r="B13915" s="7" t="n">
        <v>13913</v>
      </c>
      <c r="C13915" t="inlineStr">
        <is>
          <t>Nhân viên Tiếp thị Kỹ thuật số (Digital Marketing)</t>
        </is>
      </c>
      <c r="D13915" t="inlineStr">
        <is>
          <t>CÔNG TY CỔ PHẦN THƯƠNG MẠI MON</t>
        </is>
      </c>
      <c r="E13915" t="inlineStr">
        <is>
          <t>Lương:Cạnh tranh</t>
        </is>
      </c>
      <c r="F13915" t="inlineStr">
        <is>
          <t>Hồ Chí Minh</t>
        </is>
      </c>
      <c r="G13915" t="inlineStr">
        <is>
          <t>11-04-2026</t>
        </is>
      </c>
      <c r="H13915" t="inlineStr">
        <is>
          <t>11/04/2026</t>
        </is>
      </c>
      <c r="I13915" t="inlineStr">
        <is>
          <t>17/03/2026</t>
        </is>
      </c>
      <c r="J13915" t="inlineStr">
        <is>
          <t>Tiếp thị / Marketing, Thương mại điện tử, Dược phẩm/ Hóa Mỹ Phẩm</t>
        </is>
      </c>
      <c r="K13915" t="inlineStr">
        <is>
          <t>1 - 2 Năm</t>
        </is>
      </c>
      <c r="L13915" s="8">
        <f>HYPERLINK("https://careerviet.vn/vi/tim-viec-lam/nhan-vien-tiep-thi-ky-thuat-so-digital-marketing.35C6C07C.html","Xem chi tiết")</f>
        <v/>
      </c>
    </row>
    <row r="13916">
      <c r="B13916" s="9" t="n">
        <v>13914</v>
      </c>
      <c r="C13916" s="10" t="inlineStr">
        <is>
          <t>Nhân Viên Kho (DDK - Bình Dương)</t>
        </is>
      </c>
      <c r="D13916" s="10" t="inlineStr">
        <is>
          <t>Techtronic Industries Vietnam Manufacturing Company Limited</t>
        </is>
      </c>
      <c r="E13916" s="10" t="inlineStr">
        <is>
          <t>Lương:Cạnh tranh</t>
        </is>
      </c>
      <c r="F13916" s="10" t="inlineStr">
        <is>
          <t>Bình Dương</t>
        </is>
      </c>
      <c r="G13916" s="10" t="inlineStr">
        <is>
          <t>10-04-2026</t>
        </is>
      </c>
      <c r="H13916" s="10" t="inlineStr">
        <is>
          <t>10/04/2026</t>
        </is>
      </c>
      <c r="I13916" s="10" t="inlineStr">
        <is>
          <t>17/03/2026</t>
        </is>
      </c>
      <c r="J13916" s="10" t="inlineStr">
        <is>
          <t>Vận chuyển / Giao nhận / Kho vận</t>
        </is>
      </c>
      <c r="K13916" s="10" t="inlineStr">
        <is>
          <t>N/A</t>
        </is>
      </c>
      <c r="L13916" s="11">
        <f>HYPERLINK("https://careerviet.vn/vi/tim-viec-lam/nhan-vien-kho-ddk-binh-duong.35C6C08F.html","Xem chi tiết")</f>
        <v/>
      </c>
      <c r="M13916" s="10" t="n"/>
    </row>
    <row r="13917">
      <c r="B13917" s="7" t="n">
        <v>13915</v>
      </c>
      <c r="C13917" t="inlineStr">
        <is>
          <t>Sales Admin</t>
        </is>
      </c>
      <c r="D13917" t="inlineStr">
        <is>
          <t>Công Ty TNHH XNK Phát Triển Đông Dương</t>
        </is>
      </c>
      <c r="E13917" t="inlineStr">
        <is>
          <t>Lương:Cạnh tranh</t>
        </is>
      </c>
      <c r="F13917" t="inlineStr">
        <is>
          <t>Hồ Chí Minh</t>
        </is>
      </c>
      <c r="G13917" t="inlineStr">
        <is>
          <t>10-04-2026</t>
        </is>
      </c>
      <c r="H13917" t="inlineStr">
        <is>
          <t>10/04/2026</t>
        </is>
      </c>
      <c r="I13917" t="inlineStr">
        <is>
          <t>17/03/2026</t>
        </is>
      </c>
      <c r="J13917" t="inlineStr">
        <is>
          <t>Bán lẻ / Bán sỉ, Bán hàng / Kinh doanh</t>
        </is>
      </c>
      <c r="K13917" t="inlineStr">
        <is>
          <t>1 - 2 Năm</t>
        </is>
      </c>
      <c r="L13917" s="8">
        <f>HYPERLINK("https://careerviet.vn/vi/tim-viec-lam/sales-admin.35C6C075.html","Xem chi tiết")</f>
        <v/>
      </c>
    </row>
    <row r="13918">
      <c r="B13918" s="9" t="n">
        <v>13916</v>
      </c>
      <c r="C13918" s="10" t="inlineStr">
        <is>
          <t>Kế toán tổng hợp</t>
        </is>
      </c>
      <c r="D13918" s="10" t="inlineStr">
        <is>
          <t>AKI DESIGN</t>
        </is>
      </c>
      <c r="E13918" s="10" t="inlineStr">
        <is>
          <t>Lương:Cạnh tranh</t>
        </is>
      </c>
      <c r="F13918" s="10" t="inlineStr">
        <is>
          <t>Hà NộiHồ Chí Minh</t>
        </is>
      </c>
      <c r="G13918" s="10" t="inlineStr">
        <is>
          <t>11-04-2026</t>
        </is>
      </c>
      <c r="H13918" s="10" t="inlineStr">
        <is>
          <t>11/04/2026</t>
        </is>
      </c>
      <c r="I13918" s="10" t="inlineStr">
        <is>
          <t>17/03/2026</t>
        </is>
      </c>
      <c r="J13918" s="10" t="inlineStr">
        <is>
          <t>Kế toán / Kiểm toán, Tài chính / Đầu tư, Nội ngoại thất</t>
        </is>
      </c>
      <c r="K13918" s="10" t="inlineStr">
        <is>
          <t>3 - 5 Năm</t>
        </is>
      </c>
      <c r="L13918" s="11">
        <f>HYPERLINK("https://careerviet.vn/vi/tim-viec-lam/ke-toan-tong-hop.35C6C069.html","Xem chi tiết")</f>
        <v/>
      </c>
      <c r="M13918" s="10" t="n"/>
    </row>
    <row r="13919">
      <c r="B13919" s="7" t="n">
        <v>13917</v>
      </c>
      <c r="C13919" t="inlineStr">
        <is>
          <t>NHÂN VIÊN TRIỂN KHAI KIẾN TRÚC 2D [XHOME SG]</t>
        </is>
      </c>
      <c r="D13919" t="inlineStr">
        <is>
          <t>Công ty CP XHOME Việt Nam</t>
        </is>
      </c>
      <c r="E13919" t="inlineStr">
        <is>
          <t>Lương:20 Tr - 30 Tr VND</t>
        </is>
      </c>
      <c r="F13919" t="inlineStr">
        <is>
          <t>Hồ Chí Minh</t>
        </is>
      </c>
      <c r="G13919" t="inlineStr">
        <is>
          <t>10-04-2026</t>
        </is>
      </c>
      <c r="H13919" t="inlineStr">
        <is>
          <t>10/04/2026</t>
        </is>
      </c>
      <c r="I13919" t="inlineStr">
        <is>
          <t>17/03/2026</t>
        </is>
      </c>
      <c r="J13919" t="inlineStr">
        <is>
          <t>Kiến trúc, Nội ngoại thất, Xây dựng</t>
        </is>
      </c>
      <c r="K13919" t="inlineStr">
        <is>
          <t>2 - 5 Năm</t>
        </is>
      </c>
      <c r="L13919" s="8">
        <f>HYPERLINK("https://careerviet.vn/vi/tim-viec-lam/nhan-vien-trien-khai-kien-truc-2d-xhome-sg.35C6BD07.html","Xem chi tiết")</f>
        <v/>
      </c>
    </row>
    <row r="13920">
      <c r="B13920" s="9" t="n">
        <v>13918</v>
      </c>
      <c r="C13920" s="10" t="inlineStr">
        <is>
          <t>Nhân Viên Lễ Tân Resort</t>
        </is>
      </c>
      <c r="D13920" s="10" t="inlineStr">
        <is>
          <t>Công Ty Cổ Phần Tập Đoàn Toàn Cầu Xanh</t>
        </is>
      </c>
      <c r="E13920" s="10" t="inlineStr">
        <is>
          <t>Lương:8 Tr - 9 Tr VND</t>
        </is>
      </c>
      <c r="F13920" s="10" t="inlineStr">
        <is>
          <t>Bà Rịa - Vũng Tàu</t>
        </is>
      </c>
      <c r="G13920" s="10" t="inlineStr">
        <is>
          <t>30-04-2026</t>
        </is>
      </c>
      <c r="H13920" s="10" t="inlineStr">
        <is>
          <t>30/04/2026</t>
        </is>
      </c>
      <c r="I13920" s="10" t="inlineStr">
        <is>
          <t>17/03/2026</t>
        </is>
      </c>
      <c r="J13920" s="10" t="inlineStr">
        <is>
          <t>Nhà hàng / Khách sạn, Du lịch, Hành chính / Thư ký</t>
        </is>
      </c>
      <c r="K13920" s="10" t="inlineStr">
        <is>
          <t>1 - 2 Năm</t>
        </is>
      </c>
      <c r="L13920" s="11">
        <f>HYPERLINK("https://careerviet.vn/vi/tim-viec-lam/nhan-vien-le-tan-resort.35C6C071.html","Xem chi tiết")</f>
        <v/>
      </c>
      <c r="M13920" s="10" t="n"/>
    </row>
    <row r="13921">
      <c r="B13921" s="7" t="n">
        <v>13919</v>
      </c>
      <c r="C13921" t="inlineStr">
        <is>
          <t>Nhân Viên Telesale</t>
        </is>
      </c>
      <c r="D13921" t="inlineStr">
        <is>
          <t>CÔNG TY CỔ PHẦN CÔNG NGHỆ CAO QUỐC TẾ THT MEDICAL</t>
        </is>
      </c>
      <c r="E13921" t="inlineStr">
        <is>
          <t>Lương:12 Tr - 25 Tr VND</t>
        </is>
      </c>
      <c r="F13921" t="inlineStr">
        <is>
          <t>Hà Nội</t>
        </is>
      </c>
      <c r="G13921" t="inlineStr">
        <is>
          <t>31-03-2026</t>
        </is>
      </c>
      <c r="H13921" t="inlineStr">
        <is>
          <t>31/03/2026</t>
        </is>
      </c>
      <c r="I13921" t="inlineStr">
        <is>
          <t>17/03/2026</t>
        </is>
      </c>
      <c r="J13921" t="inlineStr">
        <is>
          <t>Y tế / Chăm sóc sức khỏe / Thẩm mỹ / Làm đẹp</t>
        </is>
      </c>
      <c r="K13921" t="inlineStr">
        <is>
          <t>Trên 1 Năm</t>
        </is>
      </c>
      <c r="L13921" s="8">
        <f>HYPERLINK("https://careerviet.vn/vi/tim-viec-lam/nhan-vien-telesale.35C6C06C.html","Xem chi tiết")</f>
        <v/>
      </c>
    </row>
    <row r="13922">
      <c r="B13922" s="9" t="n">
        <v>13920</v>
      </c>
      <c r="C13922" s="10" t="inlineStr">
        <is>
          <t>Kỹ sư Thiết kế Cấp điện (hạ tầng)</t>
        </is>
      </c>
      <c r="D13922" s="10" t="inlineStr">
        <is>
          <t>CÔNG TY TNHH ĐẦU TƯ VTCO</t>
        </is>
      </c>
      <c r="E13922" s="10" t="inlineStr">
        <is>
          <t>Lương:Cạnh tranh</t>
        </is>
      </c>
      <c r="F13922" s="10" t="inlineStr">
        <is>
          <t>Hồ Chí Minh</t>
        </is>
      </c>
      <c r="G13922" s="10" t="inlineStr">
        <is>
          <t>31-05-2026</t>
        </is>
      </c>
      <c r="H13922" s="10" t="inlineStr">
        <is>
          <t>31/05/2026</t>
        </is>
      </c>
      <c r="I13922" s="10" t="inlineStr">
        <is>
          <t>17/03/2026</t>
        </is>
      </c>
      <c r="J13922" s="10" t="inlineStr">
        <is>
          <t>Xây dựng, Mới tốt nghiệp / Thực tập</t>
        </is>
      </c>
      <c r="K13922" s="10" t="inlineStr">
        <is>
          <t>N/A</t>
        </is>
      </c>
      <c r="L13922" s="11">
        <f>HYPERLINK("https://careerviet.vn/vi/tim-viec-lam/ky-su-thiet-ke-cap-dien-ha-tang.35C6C077.html","Xem chi tiết")</f>
        <v/>
      </c>
      <c r="M13922" s="10" t="n"/>
    </row>
    <row r="13923">
      <c r="B13923" s="7" t="n">
        <v>13921</v>
      </c>
      <c r="C13923" t="inlineStr">
        <is>
          <t>TRỢ LÝ/ PHIÊN DỊCH TIẾNG ANH</t>
        </is>
      </c>
      <c r="D13923" t="inlineStr">
        <is>
          <t>Công Ty TNHH Sơn Tùng</t>
        </is>
      </c>
      <c r="E13923" t="inlineStr">
        <is>
          <t>Lương:10 Tr - 20 Tr VND</t>
        </is>
      </c>
      <c r="F13923" t="inlineStr">
        <is>
          <t>Hồ Chí Minh</t>
        </is>
      </c>
      <c r="G13923" t="inlineStr">
        <is>
          <t>10-04-2026</t>
        </is>
      </c>
      <c r="H13923" t="inlineStr">
        <is>
          <t>10/04/2026</t>
        </is>
      </c>
      <c r="I13923" t="inlineStr">
        <is>
          <t>17/03/2026</t>
        </is>
      </c>
      <c r="J13923" t="inlineStr">
        <is>
          <t>Hành chính / Thư ký, Biên phiên dịch</t>
        </is>
      </c>
      <c r="K13923" t="inlineStr">
        <is>
          <t>Chưa có kinh nghiệm</t>
        </is>
      </c>
      <c r="L13923" s="8">
        <f>HYPERLINK("https://careerviet.vn/vi/tim-viec-lam/tro-ly-phien-dich-tieng-anh.35C6C06A.html","Xem chi tiết")</f>
        <v/>
      </c>
    </row>
    <row r="13924">
      <c r="B13924" s="9" t="n">
        <v>13922</v>
      </c>
      <c r="C13924" s="10" t="inlineStr">
        <is>
          <t>Costing &amp;Customer Service Specialist</t>
        </is>
      </c>
      <c r="D13924" s="10" t="inlineStr">
        <is>
          <t>OMV Co., Ltd</t>
        </is>
      </c>
      <c r="E13924" s="10" t="inlineStr">
        <is>
          <t>Lương:Cạnh tranh</t>
        </is>
      </c>
      <c r="F13924" s="10" t="inlineStr">
        <is>
          <t>Long An</t>
        </is>
      </c>
      <c r="G13924" s="10" t="inlineStr">
        <is>
          <t>10-04-2026</t>
        </is>
      </c>
      <c r="H13924" s="10" t="inlineStr">
        <is>
          <t>10/04/2026</t>
        </is>
      </c>
      <c r="I13924" s="10" t="inlineStr">
        <is>
          <t>17/03/2026</t>
        </is>
      </c>
      <c r="J13924" s="10" t="inlineStr">
        <is>
          <t>Dịch vụ khách hàng, Kế toán / Kiểm toán, Sản xuất / Vận hành sản xuất</t>
        </is>
      </c>
      <c r="K13924" s="10" t="inlineStr">
        <is>
          <t>3 - 7 Năm</t>
        </is>
      </c>
      <c r="L13924" s="11">
        <f>HYPERLINK("https://careerviet.vn/vi/tim-viec-lam/costing-customer-service-specialist.35C6C059.html","Xem chi tiết")</f>
        <v/>
      </c>
      <c r="M13924" s="10" t="n"/>
    </row>
    <row r="13925">
      <c r="B13925" s="7" t="n">
        <v>13923</v>
      </c>
      <c r="C13925" t="inlineStr">
        <is>
          <t>Nhân Viên Tư Vấn Bán Hàng Gói Cước Sản Phẩm Viettel Tân Bình Hồ Chí Minh</t>
        </is>
      </c>
      <c r="D13925" t="inlineStr">
        <is>
          <t>CÔNG TY CỔ PHẦN TRUYỀN THÔNG KIM CƯƠNG</t>
        </is>
      </c>
      <c r="E13925" t="inlineStr">
        <is>
          <t>Lương:8 Tr - 12 Tr VND</t>
        </is>
      </c>
      <c r="F13925" t="inlineStr">
        <is>
          <t>Hồ Chí Minh</t>
        </is>
      </c>
      <c r="G13925" t="inlineStr">
        <is>
          <t>09-04-2026</t>
        </is>
      </c>
      <c r="H13925" t="inlineStr">
        <is>
          <t>09/04/2026</t>
        </is>
      </c>
      <c r="I13925" t="inlineStr">
        <is>
          <t>17/03/2026</t>
        </is>
      </c>
      <c r="J13925" t="inlineStr">
        <is>
          <t>Bán hàng / Kinh doanh, Tiếp thị trực tuyến, Dịch vụ khách hàng</t>
        </is>
      </c>
      <c r="K13925" t="inlineStr">
        <is>
          <t>N/A</t>
        </is>
      </c>
      <c r="L13925" s="8">
        <f>HYPERLINK("https://careerviet.vn/vi/tim-viec-lam/nhan-vien-tu-van-ban-hang-goi-cuoc-san-pham-viettel-tan-binh-ho-chi-minh.35C6B6AD.html","Xem chi tiết")</f>
        <v/>
      </c>
    </row>
    <row r="13926">
      <c r="B13926" s="9" t="n">
        <v>13924</v>
      </c>
      <c r="C13926" s="10" t="inlineStr">
        <is>
          <t>Nhân Viên Sales Admin - EW Thái Nguyên - Thu Nhập Từ 15 Triệu/Đi Làm Ngay</t>
        </is>
      </c>
      <c r="D13926" s="10" t="inlineStr">
        <is>
          <t>Công Ty CP Giáo Dục Đại Dương</t>
        </is>
      </c>
      <c r="E13926" s="10" t="inlineStr">
        <is>
          <t>Lương:14 Tr - 15 Tr VND</t>
        </is>
      </c>
      <c r="F13926" s="10" t="inlineStr">
        <is>
          <t>Thái Nguyên</t>
        </is>
      </c>
      <c r="G13926" s="10" t="inlineStr">
        <is>
          <t>05-04-2026</t>
        </is>
      </c>
      <c r="H13926" s="10" t="inlineStr">
        <is>
          <t>05/04/2026</t>
        </is>
      </c>
      <c r="I13926" s="10" t="inlineStr">
        <is>
          <t>17/03/2026</t>
        </is>
      </c>
      <c r="J13926" s="10" t="inlineStr">
        <is>
          <t>Kế toán / Kiểm toán, Giáo dục / Đào tạo</t>
        </is>
      </c>
      <c r="K13926" s="10" t="inlineStr">
        <is>
          <t>1 - 2 Năm</t>
        </is>
      </c>
      <c r="L13926" s="11">
        <f>HYPERLINK("https://careerviet.vn/vi/tim-viec-lam/nhan-vien-sales-admin-ew-thai-nguyen-thu-nhap-tu-15-trieu-di-lam-ngay.35C6C067.html","Xem chi tiết")</f>
        <v/>
      </c>
      <c r="M13926" s="10" t="n"/>
    </row>
    <row r="13927">
      <c r="B13927" s="7" t="n">
        <v>13925</v>
      </c>
      <c r="C13927" t="inlineStr">
        <is>
          <t>Giáo viên Bộ môn Toán - Pathway School</t>
        </is>
      </c>
      <c r="D13927" t="inlineStr">
        <is>
          <t>Hệ thống trường Pathway Tuệ Đức</t>
        </is>
      </c>
      <c r="E13927" t="inlineStr">
        <is>
          <t>Lương:Cạnh tranh</t>
        </is>
      </c>
      <c r="F13927" t="inlineStr">
        <is>
          <t>Hồ Chí Minh</t>
        </is>
      </c>
      <c r="G13927" t="inlineStr">
        <is>
          <t>11-04-2026</t>
        </is>
      </c>
      <c r="H13927" t="inlineStr">
        <is>
          <t>11/04/2026</t>
        </is>
      </c>
      <c r="I13927" t="inlineStr">
        <is>
          <t>17/03/2026</t>
        </is>
      </c>
      <c r="J13927" t="inlineStr">
        <is>
          <t>Giáo dục / Đào tạo</t>
        </is>
      </c>
      <c r="K13927" t="inlineStr">
        <is>
          <t>2 - 3 Năm</t>
        </is>
      </c>
      <c r="L13927" s="8">
        <f>HYPERLINK("https://careerviet.vn/vi/tim-viec-lam/giao-vien-bo-mon-toan-pathway-school.35C6C05B.html","Xem chi tiết")</f>
        <v/>
      </c>
    </row>
    <row r="13928">
      <c r="B13928" s="9" t="n">
        <v>13926</v>
      </c>
      <c r="C13928" s="10" t="inlineStr">
        <is>
          <t>[BÌNH DƯƠNG] CHUYÊN VIÊN DỊCH VỤ KHCN – RETAIL CUSTOMER SERVICE OFFICER</t>
        </is>
      </c>
      <c r="D13928" s="10" t="inlineStr">
        <is>
          <t>Shinhan Bank Vietnam</t>
        </is>
      </c>
      <c r="E13928" s="10" t="inlineStr">
        <is>
          <t>Lương:Cạnh tranh</t>
        </is>
      </c>
      <c r="F13928" s="10" t="inlineStr">
        <is>
          <t>Bình Dương</t>
        </is>
      </c>
      <c r="G13928" s="10" t="inlineStr">
        <is>
          <t>29-04-2026</t>
        </is>
      </c>
      <c r="H13928" s="10" t="inlineStr">
        <is>
          <t>29/04/2026</t>
        </is>
      </c>
      <c r="I13928" s="10" t="inlineStr">
        <is>
          <t>17/03/2026</t>
        </is>
      </c>
      <c r="J13928" s="10" t="inlineStr">
        <is>
          <t>Kế toán / Kiểm toán, Dịch vụ khách hàng, Ngân hàng</t>
        </is>
      </c>
      <c r="K13928" s="10" t="inlineStr">
        <is>
          <t>Trên 1 Năm</t>
        </is>
      </c>
      <c r="L13928" s="11">
        <f>HYPERLINK("https://careerviet.vn/vi/tim-viec-lam/binh-duong-chuyen-vien-dich-vu-khcn-retail-customer-service-officer.35C6C05D.html","Xem chi tiết")</f>
        <v/>
      </c>
      <c r="M13928" s="10" t="n"/>
    </row>
    <row r="13929">
      <c r="B13929" s="7" t="n">
        <v>13927</v>
      </c>
      <c r="C13929" t="inlineStr">
        <is>
          <t>Product Marketing Specialist</t>
        </is>
      </c>
      <c r="D13929" t="inlineStr">
        <is>
          <t>CÔNG TY TNHH THE SUN COSMECTICS</t>
        </is>
      </c>
      <c r="E13929" t="inlineStr">
        <is>
          <t>Lương:Cạnh tranh</t>
        </is>
      </c>
      <c r="F13929" t="inlineStr">
        <is>
          <t>Hồ Chí Minh</t>
        </is>
      </c>
      <c r="G13929" t="inlineStr">
        <is>
          <t>30-04-2026</t>
        </is>
      </c>
      <c r="H13929" t="inlineStr">
        <is>
          <t>30/04/2026</t>
        </is>
      </c>
      <c r="I13929" t="inlineStr">
        <is>
          <t>17/03/2026</t>
        </is>
      </c>
      <c r="J13929" t="inlineStr">
        <is>
          <t>Tiếp thị / Marketing, Bán lẻ / Bán sỉ, Quảng cáo / Đối ngoại / Truyền Thông</t>
        </is>
      </c>
      <c r="K13929" t="inlineStr">
        <is>
          <t>2 - 3 Năm</t>
        </is>
      </c>
      <c r="L13929" s="8">
        <f>HYPERLINK("https://careerviet.vn/vi/tim-viec-lam/product-marketing-specialist.35C6C064.html","Xem chi tiết")</f>
        <v/>
      </c>
    </row>
    <row r="13930">
      <c r="B13930" s="9" t="n">
        <v>13928</v>
      </c>
      <c r="C13930" s="10" t="inlineStr">
        <is>
          <t>Chuyên Viên Tư Vấn Giáo Dục - EW Thái Nguyên - Thu Nhập Từ 15Triệu/Tháng - Phỏng Vấn Đi Làm Ngay</t>
        </is>
      </c>
      <c r="D13930" s="10" t="inlineStr">
        <is>
          <t>Công Ty CP Giáo Dục Đại Dương</t>
        </is>
      </c>
      <c r="E13930" s="10" t="inlineStr">
        <is>
          <t>Lương:15 Tr - 18 Tr VND</t>
        </is>
      </c>
      <c r="F13930" s="10" t="inlineStr">
        <is>
          <t>Thái Nguyên</t>
        </is>
      </c>
      <c r="G13930" s="10" t="inlineStr">
        <is>
          <t>05-04-2026</t>
        </is>
      </c>
      <c r="H13930" s="10" t="inlineStr">
        <is>
          <t>05/04/2026</t>
        </is>
      </c>
      <c r="I13930" s="10" t="inlineStr">
        <is>
          <t>17/03/2026</t>
        </is>
      </c>
      <c r="J13930" s="10" t="inlineStr">
        <is>
          <t>Dịch vụ khách hàng, Giáo dục / Đào tạo, Bán hàng / Kinh doanh</t>
        </is>
      </c>
      <c r="K13930" s="10" t="inlineStr">
        <is>
          <t>Chưa có kinh nghiệm</t>
        </is>
      </c>
      <c r="L13930" s="11">
        <f>HYPERLINK("https://careerviet.vn/vi/tim-viec-lam/chuyen-vien-tu-van-giao-duc-ew-thai-nguyen-thu-nhap-tu-15trieu-thang-phong-van-di-lam-ngay.35C6C06B.html","Xem chi tiết")</f>
        <v/>
      </c>
      <c r="M13930" s="10" t="n"/>
    </row>
    <row r="13931">
      <c r="B13931" s="7" t="n">
        <v>13929</v>
      </c>
      <c r="C13931" t="inlineStr">
        <is>
          <t>Giáo Viên Chủ Nhiệm - EW Thái Nguyên - Lương Từ 15 Triệu/Đi Làm Ngay</t>
        </is>
      </c>
      <c r="D13931" t="inlineStr">
        <is>
          <t>Công Ty CP Giáo Dục Đại Dương</t>
        </is>
      </c>
      <c r="E13931" t="inlineStr">
        <is>
          <t>Lương:15 Tr - 16 Tr VND</t>
        </is>
      </c>
      <c r="F13931" t="inlineStr">
        <is>
          <t>Thái Nguyên</t>
        </is>
      </c>
      <c r="G13931" t="inlineStr">
        <is>
          <t>05-04-2026</t>
        </is>
      </c>
      <c r="H13931" t="inlineStr">
        <is>
          <t>05/04/2026</t>
        </is>
      </c>
      <c r="I13931" t="inlineStr">
        <is>
          <t>17/03/2026</t>
        </is>
      </c>
      <c r="J13931" t="inlineStr">
        <is>
          <t>Giáo dục / Đào tạo, Bán hàng / Kinh doanh, Biên phiên dịch</t>
        </is>
      </c>
      <c r="K13931" t="inlineStr">
        <is>
          <t>Trên 1 Năm</t>
        </is>
      </c>
      <c r="L13931" s="8">
        <f>HYPERLINK("https://careerviet.vn/vi/tim-viec-lam/giao-vien-chu-nhiem-ew-thai-nguyen-luong-tu-15-trieu-di-lam-ngay.35C6C062.html","Xem chi tiết")</f>
        <v/>
      </c>
    </row>
    <row r="13932">
      <c r="B13932" s="9" t="n">
        <v>13930</v>
      </c>
      <c r="C13932" s="10" t="inlineStr">
        <is>
          <t>Nhân viên phân tích tài chính</t>
        </is>
      </c>
      <c r="D13932" s="10" t="inlineStr">
        <is>
          <t>Công ty TNHH Bệnh Viện Gia An 115</t>
        </is>
      </c>
      <c r="E13932" s="10" t="inlineStr">
        <is>
          <t>Lương:Cạnh tranh</t>
        </is>
      </c>
      <c r="F13932" s="10" t="inlineStr">
        <is>
          <t>Hồ Chí Minh</t>
        </is>
      </c>
      <c r="G13932" s="10" t="inlineStr">
        <is>
          <t>11-04-2026</t>
        </is>
      </c>
      <c r="H13932" s="10" t="inlineStr">
        <is>
          <t>11/04/2026</t>
        </is>
      </c>
      <c r="I13932" s="10" t="inlineStr">
        <is>
          <t>17/03/2026</t>
        </is>
      </c>
      <c r="J13932" s="10" t="inlineStr">
        <is>
          <t>Dược phẩm/ Hóa Mỹ Phẩm, Y tế / Chăm sóc sức khỏe / Thẩm mỹ / Làm đẹp, Tài chính / Đầu tư</t>
        </is>
      </c>
      <c r="K13932" s="10" t="inlineStr">
        <is>
          <t>2 - 3 Năm</t>
        </is>
      </c>
      <c r="L13932" s="11">
        <f>HYPERLINK("https://careerviet.vn/vi/tim-viec-lam/nhan-vien-phan-tich-tai-chinh.35C6C049.html","Xem chi tiết")</f>
        <v/>
      </c>
      <c r="M13932" s="10" t="n"/>
    </row>
    <row r="13933">
      <c r="B13933" s="7" t="n">
        <v>13931</v>
      </c>
      <c r="C13933" t="inlineStr">
        <is>
          <t>Nhân Viên Chăm Sóc Khách Hàng Tổng Đài Di Động Viettel Cẩm Lệ Đà Nẵng</t>
        </is>
      </c>
      <c r="D13933" t="inlineStr">
        <is>
          <t>CÔNG TY CỔ PHẦN TRUYỀN THÔNG KIM CƯƠNG</t>
        </is>
      </c>
      <c r="E13933" t="inlineStr">
        <is>
          <t>Lương:6 Tr - 8 Tr VND</t>
        </is>
      </c>
      <c r="F13933" t="inlineStr">
        <is>
          <t>Đà Nẵng</t>
        </is>
      </c>
      <c r="G13933" t="inlineStr">
        <is>
          <t>09-04-2026</t>
        </is>
      </c>
      <c r="H13933" t="inlineStr">
        <is>
          <t>09/04/2026</t>
        </is>
      </c>
      <c r="I13933" t="inlineStr">
        <is>
          <t>17/03/2026</t>
        </is>
      </c>
      <c r="J13933" t="inlineStr">
        <is>
          <t>Tiếp thị trực tuyến, Dịch vụ khách hàng, Tư vấn</t>
        </is>
      </c>
      <c r="K13933" t="inlineStr">
        <is>
          <t>N/A</t>
        </is>
      </c>
      <c r="L13933" s="8">
        <f>HYPERLINK("https://careerviet.vn/vi/tim-viec-lam/nhan-vien-cham-soc-khach-hang-tong-dai-di-dong-viettel-cam-le-da-nang.35C6B6AF.html","Xem chi tiết")</f>
        <v/>
      </c>
    </row>
    <row r="13934">
      <c r="B13934" s="9" t="n">
        <v>13932</v>
      </c>
      <c r="C13934" s="10" t="inlineStr">
        <is>
          <t>GSD Engineer</t>
        </is>
      </c>
      <c r="D13934" s="10" t="inlineStr">
        <is>
          <t>Công ty TNHH May Mặc Bowker</t>
        </is>
      </c>
      <c r="E13934" s="10" t="inlineStr">
        <is>
          <t>Lương:15 Tr - 18 Tr VND</t>
        </is>
      </c>
      <c r="F13934" s="10" t="inlineStr">
        <is>
          <t>Bình Dương</t>
        </is>
      </c>
      <c r="G13934" s="10" t="inlineStr">
        <is>
          <t>31-05-2026</t>
        </is>
      </c>
      <c r="H13934" s="10" t="inlineStr">
        <is>
          <t>31/05/2026</t>
        </is>
      </c>
      <c r="I13934" s="10" t="inlineStr">
        <is>
          <t>17/03/2026</t>
        </is>
      </c>
      <c r="J13934" s="10" t="inlineStr">
        <is>
          <t>Dệt may / Da giày / Thời trang</t>
        </is>
      </c>
      <c r="K13934" s="10" t="inlineStr">
        <is>
          <t>2 - 3 Năm</t>
        </is>
      </c>
      <c r="L13934" s="11">
        <f>HYPERLINK("https://careerviet.vn/vi/tim-viec-lam/gsd-engineer.35C6C05A.html","Xem chi tiết")</f>
        <v/>
      </c>
      <c r="M13934" s="10" t="n"/>
    </row>
    <row r="13935">
      <c r="B13935" s="7" t="n">
        <v>13933</v>
      </c>
      <c r="C13935" t="inlineStr">
        <is>
          <t>Nhân Viên Admin Season - Daikin (Thời Vụ 4 tháng)</t>
        </is>
      </c>
      <c r="D13935" t="inlineStr">
        <is>
          <t>Công Ty TNHH Việt Mỹ-SSU</t>
        </is>
      </c>
      <c r="E13935" t="inlineStr">
        <is>
          <t>Lương:Lên đến 8,5 Tr VND</t>
        </is>
      </c>
      <c r="F13935" t="inlineStr">
        <is>
          <t>Hồ Chí Minh</t>
        </is>
      </c>
      <c r="G13935" t="inlineStr">
        <is>
          <t>02-04-2026</t>
        </is>
      </c>
      <c r="H13935" t="inlineStr">
        <is>
          <t>02/04/2026</t>
        </is>
      </c>
      <c r="I13935" t="inlineStr">
        <is>
          <t>17/03/2026</t>
        </is>
      </c>
      <c r="J13935" t="inlineStr">
        <is>
          <t>Điện / Điện tử / Điện lạnh / Điện công nghiệp, Bán Hàng Kỹ Thuật</t>
        </is>
      </c>
      <c r="K13935" t="inlineStr">
        <is>
          <t>1 - 2 Năm</t>
        </is>
      </c>
      <c r="L13935" s="8">
        <f>HYPERLINK("https://careerviet.vn/vi/tim-viec-lam/nhan-vien-admin-season-daikin-thoi-vu-4-thang.35C6C061.html","Xem chi tiết")</f>
        <v/>
      </c>
    </row>
    <row r="13936">
      <c r="B13936" s="9" t="n">
        <v>13934</v>
      </c>
      <c r="C13936" s="10" t="inlineStr">
        <is>
          <t>[Hưng Yên] Nhân Viên Lái Xe Kho Vận Tại Văn Lâm (Đi Làm Ngay)</t>
        </is>
      </c>
      <c r="D13936" s="10" t="inlineStr">
        <is>
          <t>Công Ty TNHH Tập Đoàn Rita Võ</t>
        </is>
      </c>
      <c r="E13936" s="10" t="inlineStr">
        <is>
          <t>Lương:8,5 Tr - 10 Tr VND</t>
        </is>
      </c>
      <c r="F13936" s="10" t="inlineStr">
        <is>
          <t>Hưng Yên</t>
        </is>
      </c>
      <c r="G13936" s="10" t="inlineStr">
        <is>
          <t>05-04-2026</t>
        </is>
      </c>
      <c r="H13936" s="10" t="inlineStr">
        <is>
          <t>05/04/2026</t>
        </is>
      </c>
      <c r="I13936" s="10" t="inlineStr">
        <is>
          <t>17/03/2026</t>
        </is>
      </c>
      <c r="J13936" s="10" t="inlineStr">
        <is>
          <t>Vận chuyển / Giao nhận / Kho vận</t>
        </is>
      </c>
      <c r="K13936" s="10" t="inlineStr">
        <is>
          <t>N/A</t>
        </is>
      </c>
      <c r="L13936" s="11">
        <f>HYPERLINK("https://careerviet.vn/vi/tim-viec-lam/hung-yen-nhan-vien-lai-xe-kho-van-tai-van-lam-di-lam-ngay.35C6C076.html","Xem chi tiết")</f>
        <v/>
      </c>
      <c r="M13936" s="10" t="n"/>
    </row>
    <row r="13937">
      <c r="B13937" s="7" t="n">
        <v>13935</v>
      </c>
      <c r="C13937" t="inlineStr">
        <is>
          <t>Báo cáo Tài chính và Sổ cái (IFRS)</t>
        </is>
      </c>
      <c r="D13937" t="inlineStr">
        <is>
          <t>Ngân hàng TMCP Phát triển TP.HCM (HDBank)</t>
        </is>
      </c>
      <c r="E13937" t="inlineStr">
        <is>
          <t>Lương:20 Tr - 25 Tr VND</t>
        </is>
      </c>
      <c r="F13937" t="inlineStr">
        <is>
          <t>Hồ Chí Minh</t>
        </is>
      </c>
      <c r="G13937" t="inlineStr">
        <is>
          <t>29-05-2026</t>
        </is>
      </c>
      <c r="H13937" t="inlineStr">
        <is>
          <t>29/05/2026</t>
        </is>
      </c>
      <c r="I13937" t="inlineStr">
        <is>
          <t>17/03/2026</t>
        </is>
      </c>
      <c r="J13937" t="inlineStr">
        <is>
          <t>Kế toán / Kiểm toán, Ngân hàng</t>
        </is>
      </c>
      <c r="K13937" t="inlineStr">
        <is>
          <t>2 - 3 Năm</t>
        </is>
      </c>
      <c r="L13937" s="8">
        <f>HYPERLINK("https://careerviet.vn/vi/tim-viec-lam/bao-cao-tai-chinh-va-so-cai-ifrs.35C6C05F.html","Xem chi tiết")</f>
        <v/>
      </c>
    </row>
    <row r="13938">
      <c r="B13938" s="9" t="n">
        <v>13936</v>
      </c>
      <c r="C13938" s="10" t="inlineStr">
        <is>
          <t>KỸ SƯ TRẮC ĐẠC</t>
        </is>
      </c>
      <c r="D13938" s="10" t="inlineStr">
        <is>
          <t>Công Ty TNHH Sản Xuất Kinh Doanh Hai Thành</t>
        </is>
      </c>
      <c r="E13938" s="10" t="inlineStr">
        <is>
          <t>Lương:18 Tr - 20 Tr VND</t>
        </is>
      </c>
      <c r="F13938" s="10" t="inlineStr">
        <is>
          <t>Hồ Chí Minh</t>
        </is>
      </c>
      <c r="G13938" s="10" t="inlineStr">
        <is>
          <t>11-03-2026</t>
        </is>
      </c>
      <c r="H13938" s="10" t="inlineStr">
        <is>
          <t>11/03/2026</t>
        </is>
      </c>
      <c r="I13938" s="10" t="inlineStr">
        <is>
          <t>17/03/2026</t>
        </is>
      </c>
      <c r="J13938" s="10" t="inlineStr">
        <is>
          <t>Trắc địa / Địa Chất, Xây dựng, Bất động sản</t>
        </is>
      </c>
      <c r="K13938" s="10" t="inlineStr">
        <is>
          <t>3 - 5 Năm</t>
        </is>
      </c>
      <c r="L13938" s="11">
        <f>HYPERLINK("https://careerviet.vn/vi/tim-viec-lam/ky-su-trac-dac.35C6BF74.html","Xem chi tiết")</f>
        <v/>
      </c>
      <c r="M13938" s="10" t="n"/>
    </row>
    <row r="13939">
      <c r="B13939" s="7" t="n">
        <v>13937</v>
      </c>
      <c r="C13939" t="inlineStr">
        <is>
          <t>Giám Đốc Chi Nhánh - EW Thái Nguyên</t>
        </is>
      </c>
      <c r="D13939" t="inlineStr">
        <is>
          <t>Công Ty CP Giáo Dục Đại Dương</t>
        </is>
      </c>
      <c r="E13939" t="inlineStr">
        <is>
          <t>Lương:26 Tr - 30 Tr VND</t>
        </is>
      </c>
      <c r="F13939" t="inlineStr">
        <is>
          <t>Thái Nguyên</t>
        </is>
      </c>
      <c r="G13939" t="inlineStr">
        <is>
          <t>04-04-2026</t>
        </is>
      </c>
      <c r="H13939" t="inlineStr">
        <is>
          <t>04/04/2026</t>
        </is>
      </c>
      <c r="I13939" t="inlineStr">
        <is>
          <t>17/03/2026</t>
        </is>
      </c>
      <c r="J13939" t="inlineStr">
        <is>
          <t>Dịch vụ khách hàng, Giáo dục / Đào tạo, Bán hàng / Kinh doanh</t>
        </is>
      </c>
      <c r="K13939" t="inlineStr">
        <is>
          <t>3 - 5 Năm</t>
        </is>
      </c>
      <c r="L13939" s="8">
        <f>HYPERLINK("https://careerviet.vn/vi/tim-viec-lam/giam-doc-chi-nhanh-ew-thai-nguyen.35C6C060.html","Xem chi tiết")</f>
        <v/>
      </c>
    </row>
    <row r="13940">
      <c r="B13940" s="9" t="n">
        <v>13938</v>
      </c>
      <c r="C13940" s="10" t="inlineStr">
        <is>
          <t>Chuyên viên Social Media</t>
        </is>
      </c>
      <c r="D13940" s="10" t="inlineStr">
        <is>
          <t>CÔNG TY TNHH THƯƠNG MẠI VÀ DỊCH VỤ GOMCN</t>
        </is>
      </c>
      <c r="E13940" s="10" t="inlineStr">
        <is>
          <t>Lương:10 Tr - 12 Tr VND</t>
        </is>
      </c>
      <c r="F13940" s="10" t="inlineStr">
        <is>
          <t>Hồ Chí Minh</t>
        </is>
      </c>
      <c r="G13940" s="10" t="inlineStr">
        <is>
          <t>11-04-2026</t>
        </is>
      </c>
      <c r="H13940" s="10" t="inlineStr">
        <is>
          <t>11/04/2026</t>
        </is>
      </c>
      <c r="I13940" s="10" t="inlineStr">
        <is>
          <t>17/03/2026</t>
        </is>
      </c>
      <c r="J13940" s="10" t="inlineStr">
        <is>
          <t>Tiếp thị trực tuyến, Quảng cáo / Đối ngoại / Truyền Thông, Truyền hình / Báo chí / Biên tập</t>
        </is>
      </c>
      <c r="K13940" s="10" t="inlineStr">
        <is>
          <t>1 - 5 Năm</t>
        </is>
      </c>
      <c r="L13940" s="11">
        <f>HYPERLINK("https://careerviet.vn/vi/tim-viec-lam/chuyen-vien-social-media.35C6C056.html","Xem chi tiết")</f>
        <v/>
      </c>
      <c r="M13940" s="10" t="n"/>
    </row>
    <row r="13941">
      <c r="B13941" s="7" t="n">
        <v>13939</v>
      </c>
      <c r="C13941" t="inlineStr">
        <is>
          <t>SALES MANAGER</t>
        </is>
      </c>
      <c r="D13941" t="inlineStr">
        <is>
          <t>CÔNG TY CỔ PHẦN IFF HOLDINGS</t>
        </is>
      </c>
      <c r="E13941" t="inlineStr">
        <is>
          <t>Lương:30 Tr - 40 Tr VND</t>
        </is>
      </c>
      <c r="F13941" t="inlineStr">
        <is>
          <t>Hồ Chí Minh</t>
        </is>
      </c>
      <c r="G13941" t="inlineStr">
        <is>
          <t>11-04-2026</t>
        </is>
      </c>
      <c r="H13941" t="inlineStr">
        <is>
          <t>11/04/2026</t>
        </is>
      </c>
      <c r="I13941" t="inlineStr">
        <is>
          <t>17/03/2026</t>
        </is>
      </c>
      <c r="J13941" t="inlineStr">
        <is>
          <t>Bán hàng / Kinh doanh</t>
        </is>
      </c>
      <c r="K13941" t="inlineStr">
        <is>
          <t>5 - 10 Năm</t>
        </is>
      </c>
      <c r="L13941" s="8">
        <f>HYPERLINK("https://careerviet.vn/vi/tim-viec-lam/sales-manager.35C6C04F.html","Xem chi tiết")</f>
        <v/>
      </c>
    </row>
    <row r="13942">
      <c r="B13942" s="9" t="n">
        <v>13940</v>
      </c>
      <c r="C13942" s="10" t="inlineStr">
        <is>
          <t>Thực tập sinh Thiết kế Kết cấu - Revit/ Structural Engineer Intern - Revit</t>
        </is>
      </c>
      <c r="D13942" s="10" t="inlineStr">
        <is>
          <t>Công Ty TNHH Boydens Vietnam part of Sweco</t>
        </is>
      </c>
      <c r="E13942" s="10" t="inlineStr">
        <is>
          <t>Lương:Cạnh tranh</t>
        </is>
      </c>
      <c r="F13942" s="10" t="inlineStr">
        <is>
          <t>Hà NộiHồ Chí Minh</t>
        </is>
      </c>
      <c r="G13942" s="10" t="inlineStr">
        <is>
          <t>31-05-2026</t>
        </is>
      </c>
      <c r="H13942" s="10" t="inlineStr">
        <is>
          <t>31/05/2026</t>
        </is>
      </c>
      <c r="I13942" s="10" t="inlineStr">
        <is>
          <t>17/03/2026</t>
        </is>
      </c>
      <c r="J13942" s="10" t="inlineStr">
        <is>
          <t>Kiến trúc, Xây dựng, Mới tốt nghiệp / Thực tập</t>
        </is>
      </c>
      <c r="K13942" s="10" t="inlineStr">
        <is>
          <t>thực tế, chỉ cần thái độ và tiềm năng</t>
        </is>
      </c>
      <c r="L13942" s="11">
        <f>HYPERLINK("https://careerviet.vn/vi/tim-viec-lam/thuc-tap-sinh-thiet-ke-ket-cau-revit-structural-engineer-intern-revit.35C6C04A.html","Xem chi tiết")</f>
        <v/>
      </c>
      <c r="M13942" s="10" t="n"/>
    </row>
    <row r="13943">
      <c r="B13943" s="7" t="n">
        <v>13941</v>
      </c>
      <c r="C13943" t="inlineStr">
        <is>
          <t>Chuyên viên Hệ thống Vận tải (TMS Specialist)</t>
        </is>
      </c>
      <c r="D13943" t="inlineStr">
        <is>
          <t>CÔNG TY CỔ PHẦN THƯƠNG MẠI DỊCH VỤ SẢN XUẤT HƯƠNG THỦY</t>
        </is>
      </c>
      <c r="E13943" t="inlineStr">
        <is>
          <t>Lương:14 Tr - 18 Tr VND</t>
        </is>
      </c>
      <c r="F13943" t="inlineStr">
        <is>
          <t>Hồ Chí Minh</t>
        </is>
      </c>
      <c r="G13943" t="inlineStr">
        <is>
          <t>19-05-2026</t>
        </is>
      </c>
      <c r="H13943" t="inlineStr">
        <is>
          <t>19/05/2026</t>
        </is>
      </c>
      <c r="I13943" t="inlineStr">
        <is>
          <t>17/03/2026</t>
        </is>
      </c>
      <c r="J13943" t="inlineStr">
        <is>
          <t>CNTT - Phần mềm, Kế toán / Kiểm toán, Ngành khác</t>
        </is>
      </c>
      <c r="K13943" t="inlineStr">
        <is>
          <t>2 - 3 Năm</t>
        </is>
      </c>
      <c r="L13943" s="8">
        <f>HYPERLINK("https://careerviet.vn/vi/tim-viec-lam/chuyen-vien-he-thong-van-tai-tms-specialist.35C6C04E.html","Xem chi tiết")</f>
        <v/>
      </c>
    </row>
    <row r="13944">
      <c r="B13944" s="9" t="n">
        <v>13942</v>
      </c>
      <c r="C13944" s="10" t="inlineStr">
        <is>
          <t>Production supervisor</t>
        </is>
      </c>
      <c r="D13944" s="10" t="inlineStr">
        <is>
          <t>Techtronic Industries Vietnam Manufacturing Company Limited</t>
        </is>
      </c>
      <c r="E13944" s="10" t="inlineStr">
        <is>
          <t>Lương:Cạnh tranh</t>
        </is>
      </c>
      <c r="F13944" s="10" t="inlineStr">
        <is>
          <t>Hồ Chí Minh</t>
        </is>
      </c>
      <c r="G13944" s="10" t="inlineStr">
        <is>
          <t>11-04-2026</t>
        </is>
      </c>
      <c r="H13944" s="10" t="inlineStr">
        <is>
          <t>11/04/2026</t>
        </is>
      </c>
      <c r="I13944" s="10" t="inlineStr">
        <is>
          <t>17/03/2026</t>
        </is>
      </c>
      <c r="J13944" s="10" t="inlineStr">
        <is>
          <t>Cơ khí / Ô tô / Tự động hóa, Điện / Điện tử / Điện lạnh / Điện công nghiệp</t>
        </is>
      </c>
      <c r="K13944" s="10" t="inlineStr">
        <is>
          <t>5 - 7 Năm</t>
        </is>
      </c>
      <c r="L13944" s="11">
        <f>HYPERLINK("https://careerviet.vn/vi/tim-viec-lam/production-supervisor.35C6C045.html","Xem chi tiết")</f>
        <v/>
      </c>
      <c r="M13944" s="10" t="n"/>
    </row>
    <row r="13945">
      <c r="B13945" s="7" t="n">
        <v>13943</v>
      </c>
      <c r="C13945" t="inlineStr">
        <is>
          <t>Nhân Viên Quản Lý Chất Lượng  _ QC Staff</t>
        </is>
      </c>
      <c r="D13945" t="inlineStr">
        <is>
          <t>Công Ty TNHH Fursys VN</t>
        </is>
      </c>
      <c r="E13945" t="inlineStr">
        <is>
          <t>Lương:Cạnh tranh</t>
        </is>
      </c>
      <c r="F13945" t="inlineStr">
        <is>
          <t>Đồng Nai</t>
        </is>
      </c>
      <c r="G13945" t="inlineStr">
        <is>
          <t>10-04-2026</t>
        </is>
      </c>
      <c r="H13945" t="inlineStr">
        <is>
          <t>10/04/2026</t>
        </is>
      </c>
      <c r="I13945" t="inlineStr">
        <is>
          <t>17/03/2026</t>
        </is>
      </c>
      <c r="J13945" t="inlineStr">
        <is>
          <t>Sản xuất / Vận hành sản xuất, Quản lý chất lượng (QA/QC), Lâm Nghiệp</t>
        </is>
      </c>
      <c r="K13945" t="inlineStr">
        <is>
          <t>1 - 2 Năm</t>
        </is>
      </c>
      <c r="L13945" s="8">
        <f>HYPERLINK("https://careerviet.vn/vi/tim-viec-lam/nhan-vien-quan-ly-chat-luong-_-qc-staff.35C6C03E.html","Xem chi tiết")</f>
        <v/>
      </c>
    </row>
    <row r="13946">
      <c r="B13946" s="9" t="n">
        <v>13944</v>
      </c>
      <c r="C13946" s="10" t="inlineStr">
        <is>
          <t>Chuyên Viên Kế Toán Giá Thành</t>
        </is>
      </c>
      <c r="D13946" s="10" t="inlineStr">
        <is>
          <t>CÔNG TY CỔ PHẦN TẬP ĐOÀN CƠ KHÍ CÔNG NGHỆ CAO SIBA</t>
        </is>
      </c>
      <c r="E13946" s="10" t="inlineStr">
        <is>
          <t>Lương:Cạnh tranh</t>
        </is>
      </c>
      <c r="F13946" s="10" t="inlineStr">
        <is>
          <t>Hồ Chí Minh</t>
        </is>
      </c>
      <c r="G13946" s="10" t="inlineStr">
        <is>
          <t>30-03-2026</t>
        </is>
      </c>
      <c r="H13946" s="10" t="inlineStr">
        <is>
          <t>30/03/2026</t>
        </is>
      </c>
      <c r="I13946" s="10" t="inlineStr">
        <is>
          <t>17/03/2026</t>
        </is>
      </c>
      <c r="J13946" s="10" t="inlineStr">
        <is>
          <t>Kế toán / Kiểm toán</t>
        </is>
      </c>
      <c r="K13946" s="10" t="inlineStr">
        <is>
          <t>3 - 5 Năm</t>
        </is>
      </c>
      <c r="L13946" s="11">
        <f>HYPERLINK("https://careerviet.vn/vi/tim-viec-lam/chuyen-vien-ke-toan-gia-thanh.35C6C051.html","Xem chi tiết")</f>
        <v/>
      </c>
      <c r="M13946" s="10" t="n"/>
    </row>
    <row r="13947">
      <c r="B13947" s="7" t="n">
        <v>13945</v>
      </c>
      <c r="C13947" t="inlineStr">
        <is>
          <t>Nhân viên Kỹ thuật Nghiên cứu (IE Staff)</t>
        </is>
      </c>
      <c r="D13947" t="inlineStr">
        <is>
          <t>Công ty Cổ Phần Công nghiệp In &amp; Bao Bì Khang</t>
        </is>
      </c>
      <c r="E13947" t="inlineStr">
        <is>
          <t>Lương:11 Tr - 14 Tr VND</t>
        </is>
      </c>
      <c r="F13947" t="inlineStr">
        <is>
          <t>Hồ Chí Minh</t>
        </is>
      </c>
      <c r="G13947" t="inlineStr">
        <is>
          <t>31-03-2026</t>
        </is>
      </c>
      <c r="H13947" t="inlineStr">
        <is>
          <t>31/03/2026</t>
        </is>
      </c>
      <c r="I13947" t="inlineStr">
        <is>
          <t>17/03/2026</t>
        </is>
      </c>
      <c r="J13947" t="inlineStr">
        <is>
          <t>In ấn / Xuất bản</t>
        </is>
      </c>
      <c r="K13947" t="inlineStr">
        <is>
          <t>1 - 5 Năm</t>
        </is>
      </c>
      <c r="L13947" s="8">
        <f>HYPERLINK("https://careerviet.vn/vi/tim-viec-lam/nhan-vien-ky-thuat-nghien-cuu-ie-staff.35C6C047.html","Xem chi tiết")</f>
        <v/>
      </c>
    </row>
    <row r="13948">
      <c r="B13948" s="9" t="n">
        <v>13946</v>
      </c>
      <c r="C13948" s="10" t="inlineStr">
        <is>
          <t>Kỹ thuật viên bảo trì PM Technician | Củ Chi</t>
        </is>
      </c>
      <c r="D13948" s="10" t="inlineStr">
        <is>
          <t>Techtronic Industries Vietnam Manufacturing Company Limited</t>
        </is>
      </c>
      <c r="E13948" s="10" t="inlineStr">
        <is>
          <t>Lương:Cạnh tranh</t>
        </is>
      </c>
      <c r="F13948" s="10" t="inlineStr">
        <is>
          <t>Hồ Chí Minh</t>
        </is>
      </c>
      <c r="G13948" s="10" t="inlineStr">
        <is>
          <t>08-05-2026</t>
        </is>
      </c>
      <c r="H13948" s="10" t="inlineStr">
        <is>
          <t>08/05/2026</t>
        </is>
      </c>
      <c r="I13948" s="10" t="inlineStr">
        <is>
          <t>17/03/2026</t>
        </is>
      </c>
      <c r="J13948" s="10" t="inlineStr">
        <is>
          <t>Cơ khí / Ô tô / Tự động hóa, Điện / Điện tử / Điện lạnh / Điện công nghiệp, Bảo trì / Sửa chữa</t>
        </is>
      </c>
      <c r="K13948" s="10" t="inlineStr">
        <is>
          <t>1 - 3 Năm</t>
        </is>
      </c>
      <c r="L13948" s="11">
        <f>HYPERLINK("https://careerviet.vn/vi/tim-viec-lam/ky-thuat-vien-bao-tri-pm-technician-cu-chi.35C6C040.html","Xem chi tiết")</f>
        <v/>
      </c>
      <c r="M13948" s="10" t="n"/>
    </row>
    <row r="13949">
      <c r="B13949" s="7" t="n">
        <v>13947</v>
      </c>
      <c r="C13949" t="inlineStr">
        <is>
          <t>Phó Giám đốc Chi nhánh - BVBank Thuận An - KV Đông Nam Bộ</t>
        </is>
      </c>
      <c r="D13949" t="inlineStr">
        <is>
          <t>BVBank - Ngân hàng Bản Việt</t>
        </is>
      </c>
      <c r="E13949" t="inlineStr">
        <is>
          <t>Lương:Cạnh tranh</t>
        </is>
      </c>
      <c r="F13949" t="inlineStr">
        <is>
          <t>Bình Dương</t>
        </is>
      </c>
      <c r="G13949" t="inlineStr">
        <is>
          <t>10-04-2026</t>
        </is>
      </c>
      <c r="H13949" t="inlineStr">
        <is>
          <t>10/04/2026</t>
        </is>
      </c>
      <c r="I13949" t="inlineStr">
        <is>
          <t>17/03/2026</t>
        </is>
      </c>
      <c r="J13949" t="inlineStr">
        <is>
          <t>Ngân hàng, Tài chính / Đầu tư, Bán hàng / Kinh doanh</t>
        </is>
      </c>
      <c r="K13949" t="inlineStr">
        <is>
          <t>5 - 6 Năm</t>
        </is>
      </c>
      <c r="L13949" s="8">
        <f>HYPERLINK("https://careerviet.vn/vi/tim-viec-lam/pho-giam-doc-chi-nhanh-bvbank-thuan-an-kv-dong-nam-bo.35C6C03F.html","Xem chi tiết")</f>
        <v/>
      </c>
    </row>
    <row r="13950">
      <c r="B13950" s="9" t="n">
        <v>13948</v>
      </c>
      <c r="C13950" s="10" t="inlineStr">
        <is>
          <t>Trưởng nhóm Thiết kế</t>
        </is>
      </c>
      <c r="D13950" s="10" t="inlineStr">
        <is>
          <t>Công ty TNHH Trường Thắng</t>
        </is>
      </c>
      <c r="E13950" s="10" t="inlineStr">
        <is>
          <t>Lương:Cạnh tranh</t>
        </is>
      </c>
      <c r="F13950" s="10" t="inlineStr">
        <is>
          <t>Hồ Chí Minh</t>
        </is>
      </c>
      <c r="G13950" s="10" t="inlineStr">
        <is>
          <t>30-03-2026</t>
        </is>
      </c>
      <c r="H13950" s="10" t="inlineStr">
        <is>
          <t>30/03/2026</t>
        </is>
      </c>
      <c r="I13950" s="10" t="inlineStr">
        <is>
          <t>17/03/2026</t>
        </is>
      </c>
      <c r="J13950" s="10" t="inlineStr">
        <is>
          <t>Nội ngoại thất, Kiến trúc</t>
        </is>
      </c>
      <c r="K13950" s="10" t="inlineStr">
        <is>
          <t>5 - 8 Năm</t>
        </is>
      </c>
      <c r="L13950" s="11">
        <f>HYPERLINK("https://careerviet.vn/vi/tim-viec-lam/truong-nhom-thiet-ke.35C6C1BB.html","Xem chi tiết")</f>
        <v/>
      </c>
      <c r="M13950" s="10" t="n"/>
    </row>
    <row r="13951">
      <c r="B13951" s="7" t="n">
        <v>13949</v>
      </c>
      <c r="C13951" t="inlineStr">
        <is>
          <t>Kế toán tổng hợp</t>
        </is>
      </c>
      <c r="D13951" t="inlineStr">
        <is>
          <t>CÔNG TY CỔ PHẦN ĐẦU TƯ XÂY DỰNG ENTIZ</t>
        </is>
      </c>
      <c r="E13951" t="inlineStr">
        <is>
          <t>Lương:22 Tr - 28 Tr VND</t>
        </is>
      </c>
      <c r="F13951" t="inlineStr">
        <is>
          <t>Hà Nội</t>
        </is>
      </c>
      <c r="G13951" t="inlineStr">
        <is>
          <t>04-04-2026</t>
        </is>
      </c>
      <c r="H13951" t="inlineStr">
        <is>
          <t>04/04/2026</t>
        </is>
      </c>
      <c r="I13951" t="inlineStr">
        <is>
          <t>17/03/2026</t>
        </is>
      </c>
      <c r="J13951" t="inlineStr">
        <is>
          <t>Kế toán / Kiểm toán</t>
        </is>
      </c>
      <c r="K13951" t="inlineStr">
        <is>
          <t>Trên 5 Năm</t>
        </is>
      </c>
      <c r="L13951" s="8">
        <f>HYPERLINK("https://careerviet.vn/vi/tim-viec-lam/ke-toan-tong-hop.35C6C1A9.html","Xem chi tiết")</f>
        <v/>
      </c>
    </row>
    <row r="13952">
      <c r="B13952" s="9" t="n">
        <v>13950</v>
      </c>
      <c r="C13952" s="10" t="inlineStr">
        <is>
          <t>Kế Toán Nội Bộ</t>
        </is>
      </c>
      <c r="D13952" s="10" t="inlineStr">
        <is>
          <t>CÔNG TY CỔ PHẦN ĐẦU TƯ XÂY DỰNG ENTIZ</t>
        </is>
      </c>
      <c r="E13952" s="10" t="inlineStr">
        <is>
          <t>Lương:15 Tr - 22 Tr VND</t>
        </is>
      </c>
      <c r="F13952" s="10" t="inlineStr">
        <is>
          <t>Hà Nội</t>
        </is>
      </c>
      <c r="G13952" s="10" t="inlineStr">
        <is>
          <t>04-04-2026</t>
        </is>
      </c>
      <c r="H13952" s="10" t="inlineStr">
        <is>
          <t>04/04/2026</t>
        </is>
      </c>
      <c r="I13952" s="10" t="inlineStr">
        <is>
          <t>17/03/2026</t>
        </is>
      </c>
      <c r="J13952" s="10" t="inlineStr">
        <is>
          <t>Kế toán / Kiểm toán</t>
        </is>
      </c>
      <c r="K13952" s="10" t="inlineStr">
        <is>
          <t>Trên 3 Năm</t>
        </is>
      </c>
      <c r="L13952" s="11">
        <f>HYPERLINK("https://careerviet.vn/vi/tim-viec-lam/ke-toan-noi-bo.35C6C1AC.html","Xem chi tiết")</f>
        <v/>
      </c>
      <c r="M13952" s="10" t="n"/>
    </row>
    <row r="13953">
      <c r="B13953" s="7" t="n">
        <v>13951</v>
      </c>
      <c r="C13953" t="inlineStr">
        <is>
          <t>Chuyên Viên Pháp Chế</t>
        </is>
      </c>
      <c r="D13953" t="inlineStr">
        <is>
          <t>CÔNG TY CỔ PHẦN ĐẦU TƯ SÀI GÒN HIGH RISE</t>
        </is>
      </c>
      <c r="E13953" t="inlineStr">
        <is>
          <t>Lương:Cạnh tranh</t>
        </is>
      </c>
      <c r="F13953" t="inlineStr">
        <is>
          <t>Hồ Chí Minh</t>
        </is>
      </c>
      <c r="G13953" t="inlineStr">
        <is>
          <t>10-04-2026</t>
        </is>
      </c>
      <c r="H13953" t="inlineStr">
        <is>
          <t>10/04/2026</t>
        </is>
      </c>
      <c r="I13953" t="inlineStr">
        <is>
          <t>17/03/2026</t>
        </is>
      </c>
      <c r="J13953" t="inlineStr">
        <is>
          <t>Luật / Pháp lý, Quản lý điều hành, Bất động sản</t>
        </is>
      </c>
      <c r="K13953" t="inlineStr">
        <is>
          <t>Trên 5 Năm</t>
        </is>
      </c>
      <c r="L13953" s="8">
        <f>HYPERLINK("https://careerviet.vn/vi/tim-viec-lam/chuyen-vien-phap-che.35C6C1BA.html","Xem chi tiết")</f>
        <v/>
      </c>
    </row>
    <row r="13954">
      <c r="B13954" s="9" t="n">
        <v>13952</v>
      </c>
      <c r="C13954" s="10" t="inlineStr">
        <is>
          <t>Nhân Viên Quan Trắc Hiện Trường</t>
        </is>
      </c>
      <c r="D13954" s="10" t="inlineStr">
        <is>
          <t>công ty tnhh Bách Việt đồng Nai</t>
        </is>
      </c>
      <c r="E13954" s="10" t="inlineStr">
        <is>
          <t>Lương:Cạnh tranh</t>
        </is>
      </c>
      <c r="F13954" s="10" t="inlineStr">
        <is>
          <t>Đồng Nai</t>
        </is>
      </c>
      <c r="G13954" s="10" t="inlineStr">
        <is>
          <t>11-04-2026</t>
        </is>
      </c>
      <c r="H13954" s="10" t="inlineStr">
        <is>
          <t>11/04/2026</t>
        </is>
      </c>
      <c r="I13954" s="10" t="inlineStr">
        <is>
          <t>17/03/2026</t>
        </is>
      </c>
      <c r="J13954" s="10" t="inlineStr">
        <is>
          <t>Hóa học, Môi trường, Trắc địa / Địa Chất</t>
        </is>
      </c>
      <c r="K13954" s="10" t="inlineStr">
        <is>
          <t>N/A</t>
        </is>
      </c>
      <c r="L13954" s="11">
        <f>HYPERLINK("https://careerviet.vn/vi/tim-viec-lam/nhan-vien-quan-trac-hien-truong.35C6C1A3.html","Xem chi tiết")</f>
        <v/>
      </c>
      <c r="M13954" s="10" t="n"/>
    </row>
    <row r="13955">
      <c r="B13955" s="7" t="n">
        <v>13953</v>
      </c>
      <c r="C13955" t="inlineStr">
        <is>
          <t>Kế toán trưởng</t>
        </is>
      </c>
      <c r="D13955" t="inlineStr">
        <is>
          <t>CÔNG TY TNHH ĐẦU TƯ VTCO</t>
        </is>
      </c>
      <c r="E13955" t="inlineStr">
        <is>
          <t>Lương:Cạnh tranh</t>
        </is>
      </c>
      <c r="F13955" t="inlineStr">
        <is>
          <t>Hồ Chí Minh</t>
        </is>
      </c>
      <c r="G13955" t="inlineStr">
        <is>
          <t>31-05-2026</t>
        </is>
      </c>
      <c r="H13955" t="inlineStr">
        <is>
          <t>31/05/2026</t>
        </is>
      </c>
      <c r="I13955" t="inlineStr">
        <is>
          <t>17/03/2026</t>
        </is>
      </c>
      <c r="J13955" t="inlineStr">
        <is>
          <t>Kế toán / Kiểm toán, Tài chính / Đầu tư, Xây dựng</t>
        </is>
      </c>
      <c r="K13955" t="inlineStr">
        <is>
          <t>2 - 5 Năm</t>
        </is>
      </c>
      <c r="L13955" s="8">
        <f>HYPERLINK("https://careerviet.vn/vi/tim-viec-lam/ke-toan-truong.35C6C05E.html","Xem chi tiết")</f>
        <v/>
      </c>
    </row>
    <row r="13956">
      <c r="B13956" s="9" t="n">
        <v>13954</v>
      </c>
      <c r="C13956" s="10" t="inlineStr">
        <is>
          <t>Nhân viên Kinh doanh thị trường khu vực Gia Lâm, Long Biên</t>
        </is>
      </c>
      <c r="D13956" s="10" t="inlineStr">
        <is>
          <t>Công ty TNHH Chế biến thực phẩm Đông Đô</t>
        </is>
      </c>
      <c r="E13956" s="10" t="inlineStr">
        <is>
          <t>Lương:13 Tr - 16 Tr VND</t>
        </is>
      </c>
      <c r="F13956" s="10" t="inlineStr">
        <is>
          <t>Hà Nội</t>
        </is>
      </c>
      <c r="G13956" s="10" t="inlineStr">
        <is>
          <t>20-04-2026</t>
        </is>
      </c>
      <c r="H13956" s="10" t="inlineStr">
        <is>
          <t>20/04/2026</t>
        </is>
      </c>
      <c r="I13956" s="10" t="inlineStr">
        <is>
          <t>17/03/2026</t>
        </is>
      </c>
      <c r="J13956" s="10" t="inlineStr">
        <is>
          <t>Bán hàng / Kinh doanh, Thực phẩm &amp; Đồ uống, Bán lẻ / Bán sỉ</t>
        </is>
      </c>
      <c r="K13956" s="10" t="inlineStr">
        <is>
          <t>1 - 2 Năm</t>
        </is>
      </c>
      <c r="L13956" s="11">
        <f>HYPERLINK("https://careerviet.vn/vi/tim-viec-lam/nhan-vien-kinh-doanh-thi-truong-khu-vuc-gia-lam-long-bien.35C6C1A8.html","Xem chi tiết")</f>
        <v/>
      </c>
      <c r="M13956" s="10" t="n"/>
    </row>
    <row r="13957">
      <c r="B13957" s="7" t="n">
        <v>13955</v>
      </c>
      <c r="C13957" t="inlineStr">
        <is>
          <t>TRƯỞNG PHÒNG HÀNH CHÍNH QUẢN TRỊ - PVCB CAPITAL</t>
        </is>
      </c>
      <c r="D13957" t="inlineStr">
        <is>
          <t>Ngân hàng TMCP Đại Chúng Việt Nam - PVcomBank</t>
        </is>
      </c>
      <c r="E13957" t="inlineStr">
        <is>
          <t>Lương:Cạnh tranh</t>
        </is>
      </c>
      <c r="F13957" t="inlineStr">
        <is>
          <t>Hà Nội</t>
        </is>
      </c>
      <c r="G13957" t="inlineStr">
        <is>
          <t>08-04-2026</t>
        </is>
      </c>
      <c r="H13957" t="inlineStr">
        <is>
          <t>08/04/2026</t>
        </is>
      </c>
      <c r="I13957" t="inlineStr">
        <is>
          <t>17/03/2026</t>
        </is>
      </c>
      <c r="J13957" t="inlineStr">
        <is>
          <t>Ngân hàng, Tài chính / Đầu tư</t>
        </is>
      </c>
      <c r="K13957" t="inlineStr">
        <is>
          <t>5 - 7 Năm</t>
        </is>
      </c>
      <c r="L13957" s="8">
        <f>HYPERLINK("https://careerviet.vn/vi/tim-viec-lam/truong-phong-hanh-chinh-quan-tri-pvcb-capital.35C6C1B4.html","Xem chi tiết")</f>
        <v/>
      </c>
    </row>
    <row r="13958">
      <c r="B13958" s="9" t="n">
        <v>13956</v>
      </c>
      <c r="C13958" s="10" t="inlineStr">
        <is>
          <t>Chuyên viên trắc đạc</t>
        </is>
      </c>
      <c r="D13958" s="10" t="inlineStr">
        <is>
          <t>CÔNG TY CỔ PHẦN ĐẦU TƯ XÂY DỰNG ENTIZ</t>
        </is>
      </c>
      <c r="E13958" s="10" t="inlineStr">
        <is>
          <t>Lương:20 Tr - 25 Tr VND</t>
        </is>
      </c>
      <c r="F13958" s="10" t="inlineStr">
        <is>
          <t>Lào Cai</t>
        </is>
      </c>
      <c r="G13958" s="10" t="inlineStr">
        <is>
          <t>04-04-2026</t>
        </is>
      </c>
      <c r="H13958" s="10" t="inlineStr">
        <is>
          <t>04/04/2026</t>
        </is>
      </c>
      <c r="I13958" s="10" t="inlineStr">
        <is>
          <t>17/03/2026</t>
        </is>
      </c>
      <c r="J13958" s="10" t="inlineStr">
        <is>
          <t>Trắc địa / Địa Chất</t>
        </is>
      </c>
      <c r="K13958" s="10" t="inlineStr">
        <is>
          <t>3 - 5 Năm</t>
        </is>
      </c>
      <c r="L13958" s="11">
        <f>HYPERLINK("https://careerviet.vn/vi/tim-viec-lam/chuyen-vien-trac-dac.35C6C1B8.html","Xem chi tiết")</f>
        <v/>
      </c>
      <c r="M13958" s="10" t="n"/>
    </row>
    <row r="13959">
      <c r="B13959" s="7" t="n">
        <v>13957</v>
      </c>
      <c r="C13959" t="inlineStr">
        <is>
          <t>Kế toán trưởng</t>
        </is>
      </c>
      <c r="D13959" t="inlineStr">
        <is>
          <t>CÔNG TY CỔ PHẦN ĐẦU TƯ XÂY DỰNG ENTIZ</t>
        </is>
      </c>
      <c r="E13959" t="inlineStr">
        <is>
          <t>Lương:25 Tr - 40 Tr VND</t>
        </is>
      </c>
      <c r="F13959" t="inlineStr">
        <is>
          <t>Hà Nội</t>
        </is>
      </c>
      <c r="G13959" t="inlineStr">
        <is>
          <t>04-04-2026</t>
        </is>
      </c>
      <c r="H13959" t="inlineStr">
        <is>
          <t>04/04/2026</t>
        </is>
      </c>
      <c r="I13959" t="inlineStr">
        <is>
          <t>17/03/2026</t>
        </is>
      </c>
      <c r="J13959" t="inlineStr">
        <is>
          <t>Kế toán / Kiểm toán</t>
        </is>
      </c>
      <c r="K13959" t="inlineStr">
        <is>
          <t>Trên 5 Năm</t>
        </is>
      </c>
      <c r="L13959" s="8">
        <f>HYPERLINK("https://careerviet.vn/vi/tim-viec-lam/ke-toan-truong.35C6C1A4.html","Xem chi tiết")</f>
        <v/>
      </c>
    </row>
    <row r="13960">
      <c r="B13960" s="9" t="n">
        <v>13958</v>
      </c>
      <c r="C13960" s="10" t="inlineStr">
        <is>
          <t>Nhân Viên Kinh Doanh Thị Trường Khu Vực Quận 9, Thủ Đức HCM</t>
        </is>
      </c>
      <c r="D13960" s="10" t="inlineStr">
        <is>
          <t>Công ty TNHH Chế biến thực phẩm Đông Đô</t>
        </is>
      </c>
      <c r="E13960" s="10" t="inlineStr">
        <is>
          <t>Lương:13 Tr - 16 Tr VND</t>
        </is>
      </c>
      <c r="F13960" s="10" t="inlineStr">
        <is>
          <t>Hồ Chí Minh</t>
        </is>
      </c>
      <c r="G13960" s="10" t="inlineStr">
        <is>
          <t>20-04-2026</t>
        </is>
      </c>
      <c r="H13960" s="10" t="inlineStr">
        <is>
          <t>20/04/2026</t>
        </is>
      </c>
      <c r="I13960" s="10" t="inlineStr">
        <is>
          <t>17/03/2026</t>
        </is>
      </c>
      <c r="J13960" s="10" t="inlineStr">
        <is>
          <t>Bán lẻ / Bán sỉ, Bán hàng / Kinh doanh, Thực phẩm &amp; Đồ uống</t>
        </is>
      </c>
      <c r="K13960" s="10" t="inlineStr">
        <is>
          <t>1 - 2 Năm</t>
        </is>
      </c>
      <c r="L13960" s="11">
        <f>HYPERLINK("https://careerviet.vn/vi/tim-viec-lam/nhan-vien-kinh-doanh-thi-truong-khu-vuc-quan-9-thu-duc-hcm.35C6C1B3.html","Xem chi tiết")</f>
        <v/>
      </c>
      <c r="M13960" s="10" t="n"/>
    </row>
    <row r="13961">
      <c r="B13961" s="7" t="n">
        <v>13959</v>
      </c>
      <c r="C13961" t="inlineStr">
        <is>
          <t>GIÁM ĐỐC ĐẦU TƯ - PVCB CAPITAL</t>
        </is>
      </c>
      <c r="D13961" t="inlineStr">
        <is>
          <t>Ngân hàng TMCP Đại Chúng Việt Nam - PVcomBank</t>
        </is>
      </c>
      <c r="E13961" t="inlineStr">
        <is>
          <t>Lương:1.500 - 3.000 USD</t>
        </is>
      </c>
      <c r="F13961" t="inlineStr">
        <is>
          <t>Hà Nội</t>
        </is>
      </c>
      <c r="G13961" t="inlineStr">
        <is>
          <t>09-04-2026</t>
        </is>
      </c>
      <c r="H13961" t="inlineStr">
        <is>
          <t>09/04/2026</t>
        </is>
      </c>
      <c r="I13961" t="inlineStr">
        <is>
          <t>17/03/2026</t>
        </is>
      </c>
      <c r="J13961" t="inlineStr">
        <is>
          <t>Ngân hàng, Tài chính / Đầu tư</t>
        </is>
      </c>
      <c r="K13961" t="inlineStr">
        <is>
          <t>5 - 7 Năm</t>
        </is>
      </c>
      <c r="L13961" s="8">
        <f>HYPERLINK("https://careerviet.vn/vi/tim-viec-lam/giam-doc-dau-tu-pvcb-capital.35C6C1AD.html","Xem chi tiết")</f>
        <v/>
      </c>
    </row>
    <row r="13962">
      <c r="B13962" s="9" t="n">
        <v>13960</v>
      </c>
      <c r="C13962" s="10" t="inlineStr">
        <is>
          <t>Nhân Viên Kinh Doanh Kênh MT</t>
        </is>
      </c>
      <c r="D13962" s="10" t="inlineStr">
        <is>
          <t>Công ty TNHH Chế biến thực phẩm Đông Đô</t>
        </is>
      </c>
      <c r="E13962" s="10" t="inlineStr">
        <is>
          <t>Lương:13 Tr - 16 Tr VND</t>
        </is>
      </c>
      <c r="F13962" s="10" t="inlineStr">
        <is>
          <t>Hà NộiHà NamHưng Yên</t>
        </is>
      </c>
      <c r="G13962" s="10" t="inlineStr">
        <is>
          <t>15-04-2026</t>
        </is>
      </c>
      <c r="H13962" s="10" t="inlineStr">
        <is>
          <t>15/04/2026</t>
        </is>
      </c>
      <c r="I13962" s="10" t="inlineStr">
        <is>
          <t>17/03/2026</t>
        </is>
      </c>
      <c r="J13962" s="10" t="inlineStr">
        <is>
          <t>Bán hàng / Kinh doanh, Tư vấn, Thực phẩm &amp; Đồ uống</t>
        </is>
      </c>
      <c r="K13962" s="10" t="inlineStr">
        <is>
          <t>1 - 2 Năm</t>
        </is>
      </c>
      <c r="L13962" s="11">
        <f>HYPERLINK("https://careerviet.vn/vi/tim-viec-lam/nhan-vien-kinh-doanh-kenh-mt.35C6C19F.html","Xem chi tiết")</f>
        <v/>
      </c>
      <c r="M13962" s="10" t="n"/>
    </row>
    <row r="13963">
      <c r="B13963" s="7" t="n">
        <v>13961</v>
      </c>
      <c r="C13963" t="inlineStr">
        <is>
          <t>Phó Hiệu trưởng Tiểu học - Pathway School</t>
        </is>
      </c>
      <c r="D13963" t="inlineStr">
        <is>
          <t>Hệ thống trường Pathway Tuệ Đức</t>
        </is>
      </c>
      <c r="E13963" t="inlineStr">
        <is>
          <t>Lương:Cạnh tranh</t>
        </is>
      </c>
      <c r="F13963" t="inlineStr">
        <is>
          <t>Hồ Chí Minh</t>
        </is>
      </c>
      <c r="G13963" t="inlineStr">
        <is>
          <t>25-03-2026</t>
        </is>
      </c>
      <c r="H13963" t="inlineStr">
        <is>
          <t>25/03/2026</t>
        </is>
      </c>
      <c r="I13963" t="inlineStr">
        <is>
          <t>17/03/2026</t>
        </is>
      </c>
      <c r="J13963" t="inlineStr">
        <is>
          <t>Giáo dục / Đào tạo, Quản lý điều hành</t>
        </is>
      </c>
      <c r="K13963" t="inlineStr">
        <is>
          <t>3 - 5 Năm</t>
        </is>
      </c>
      <c r="L13963" s="8">
        <f>HYPERLINK("https://careerviet.vn/vi/tim-viec-lam/pho-hieu-truong-tieu-hoc-pathway-school.35C6C1AB.html","Xem chi tiết")</f>
        <v/>
      </c>
    </row>
    <row r="13964">
      <c r="B13964" s="9" t="n">
        <v>13962</v>
      </c>
      <c r="C13964" s="10" t="inlineStr">
        <is>
          <t>Nhân Viên Quản lý tài sản  (Phức hợp Nghỉ dưỡng Asahi)</t>
        </is>
      </c>
      <c r="D13964" s="10" t="inlineStr">
        <is>
          <t>BỆNH VIỆN ĐA KHOA PHƯƠNG ĐÔNG</t>
        </is>
      </c>
      <c r="E13964" s="10" t="inlineStr">
        <is>
          <t>Lương:12 Tr - 16 Tr VND</t>
        </is>
      </c>
      <c r="F13964" s="10" t="inlineStr">
        <is>
          <t>Hà Nội</t>
        </is>
      </c>
      <c r="G13964" s="10" t="inlineStr">
        <is>
          <t>31-03-2026</t>
        </is>
      </c>
      <c r="H13964" s="10" t="inlineStr">
        <is>
          <t>31/03/2026</t>
        </is>
      </c>
      <c r="I13964" s="10" t="inlineStr">
        <is>
          <t>17/03/2026</t>
        </is>
      </c>
      <c r="J13964" s="10" t="inlineStr">
        <is>
          <t>Nhà hàng / Khách sạn, Hành chính / Thư ký, Kế toán / Kiểm toán</t>
        </is>
      </c>
      <c r="K13964" s="10" t="inlineStr">
        <is>
          <t>Trên 1 Năm</t>
        </is>
      </c>
      <c r="L13964" s="11">
        <f>HYPERLINK("https://careerviet.vn/vi/tim-viec-lam/nhan-vien-quan-ly-tai-san-phuc-hop-nghi-duong-asahi.35C6C18A.html","Xem chi tiết")</f>
        <v/>
      </c>
      <c r="M13964" s="10" t="n"/>
    </row>
    <row r="13965">
      <c r="B13965" s="7" t="n">
        <v>13963</v>
      </c>
      <c r="C13965" t="inlineStr">
        <is>
          <t>Trưởng Phòng Hành Chính Nhân Sự</t>
        </is>
      </c>
      <c r="D13965" t="inlineStr">
        <is>
          <t>CÔNG TY CỔ PHẦN GIẢI PHÁP CÔNG NGHỆ HCTECH</t>
        </is>
      </c>
      <c r="E13965" t="inlineStr">
        <is>
          <t>Lương:25 Tr - 35 Tr VND</t>
        </is>
      </c>
      <c r="F13965" t="inlineStr">
        <is>
          <t>Bình Dương</t>
        </is>
      </c>
      <c r="G13965" t="inlineStr">
        <is>
          <t>11-04-2026</t>
        </is>
      </c>
      <c r="H13965" t="inlineStr">
        <is>
          <t>11/04/2026</t>
        </is>
      </c>
      <c r="I13965" t="inlineStr">
        <is>
          <t>17/03/2026</t>
        </is>
      </c>
      <c r="J13965" t="inlineStr">
        <is>
          <t>Quản lý điều hành, Hành chính / Thư ký, Nhân sự</t>
        </is>
      </c>
      <c r="K13965" t="inlineStr">
        <is>
          <t>3 - 5 Năm</t>
        </is>
      </c>
      <c r="L13965" s="8">
        <f>HYPERLINK("https://careerviet.vn/vi/tim-viec-lam/truong-phong-hanh-chinh-nhan-su.35C6C196.html","Xem chi tiết")</f>
        <v/>
      </c>
    </row>
    <row r="13966">
      <c r="B13966" s="9" t="n">
        <v>13964</v>
      </c>
      <c r="C13966" s="10" t="inlineStr">
        <is>
          <t>Trợ Giảng (Các môn CNTT)</t>
        </is>
      </c>
      <c r="D13966" s="10" t="inlineStr">
        <is>
          <t>Công ty CP Công nghệ giáo dục Trường học trực tuyến (ONSCHOOL)</t>
        </is>
      </c>
      <c r="E13966" s="10" t="inlineStr">
        <is>
          <t>Lương:10 Tr - 14 Tr VND</t>
        </is>
      </c>
      <c r="F13966" s="10" t="inlineStr">
        <is>
          <t>Hà Nội</t>
        </is>
      </c>
      <c r="G13966" s="10" t="inlineStr">
        <is>
          <t>30-03-2026</t>
        </is>
      </c>
      <c r="H13966" s="10" t="inlineStr">
        <is>
          <t>30/03/2026</t>
        </is>
      </c>
      <c r="I13966" s="10" t="inlineStr">
        <is>
          <t>17/03/2026</t>
        </is>
      </c>
      <c r="J13966" s="10" t="inlineStr">
        <is>
          <t>Giáo dục / Đào tạo, CNTT - Phần mềm</t>
        </is>
      </c>
      <c r="K13966" s="10" t="inlineStr">
        <is>
          <t>Chưa có kinh nghiệm</t>
        </is>
      </c>
      <c r="L13966" s="11">
        <f>HYPERLINK("https://careerviet.vn/vi/tim-viec-lam/tro-giang-cac-mon-cntt.35C6C1A1.html","Xem chi tiết")</f>
        <v/>
      </c>
      <c r="M13966" s="10" t="n"/>
    </row>
    <row r="13967">
      <c r="B13967" s="7" t="n">
        <v>13965</v>
      </c>
      <c r="C13967" t="inlineStr">
        <is>
          <t>Kỹ sư Thiết bị Công nghiệp cấp cao/ Senior Equipment Engineer</t>
        </is>
      </c>
      <c r="D13967" t="inlineStr">
        <is>
          <t>Công Ty TNHH Boydens Vietnam part of Sweco</t>
        </is>
      </c>
      <c r="E13967" t="inlineStr">
        <is>
          <t>Lương:Cạnh tranh</t>
        </is>
      </c>
      <c r="F13967" t="inlineStr">
        <is>
          <t>Hồ Chí MinhHà Nội</t>
        </is>
      </c>
      <c r="G13967" t="inlineStr">
        <is>
          <t>31-05-2026</t>
        </is>
      </c>
      <c r="H13967" t="inlineStr">
        <is>
          <t>31/05/2026</t>
        </is>
      </c>
      <c r="I13967" t="inlineStr">
        <is>
          <t>17/03/2026</t>
        </is>
      </c>
      <c r="J13967" t="inlineStr">
        <is>
          <t>Cơ khí / Ô tô / Tự động hóa, Xây dựng</t>
        </is>
      </c>
      <c r="K13967" t="inlineStr">
        <is>
          <t>5 - 10 Năm</t>
        </is>
      </c>
      <c r="L13967" s="8">
        <f>HYPERLINK("https://careerviet.vn/vi/tim-viec-lam/ky-su-thiet-bi-cong-nghiep-cap-cao-senior-equipment-engineer.35C6C182.html","Xem chi tiết")</f>
        <v/>
      </c>
    </row>
    <row r="13968">
      <c r="B13968" s="9" t="n">
        <v>13966</v>
      </c>
      <c r="C13968" s="10" t="inlineStr">
        <is>
          <t>Kỹ sư Kết cấu Xây dựng - Cầu/ Civil Structural Engineer - Bridge Engineer</t>
        </is>
      </c>
      <c r="D13968" s="10" t="inlineStr">
        <is>
          <t>Công Ty TNHH Boydens Vietnam part of Sweco</t>
        </is>
      </c>
      <c r="E13968" s="10" t="inlineStr">
        <is>
          <t>Lương:Cạnh tranh</t>
        </is>
      </c>
      <c r="F13968" s="10" t="inlineStr">
        <is>
          <t>Hồ Chí MinhHà Nội</t>
        </is>
      </c>
      <c r="G13968" s="10" t="inlineStr">
        <is>
          <t>31-05-2026</t>
        </is>
      </c>
      <c r="H13968" s="10" t="inlineStr">
        <is>
          <t>31/05/2026</t>
        </is>
      </c>
      <c r="I13968" s="10" t="inlineStr">
        <is>
          <t>17/03/2026</t>
        </is>
      </c>
      <c r="J13968" s="10" t="inlineStr">
        <is>
          <t>Trắc địa / Địa Chất, Xây dựng, Ngành khác</t>
        </is>
      </c>
      <c r="K13968" s="10" t="inlineStr">
        <is>
          <t>2 - 10 Năm</t>
        </is>
      </c>
      <c r="L13968" s="11">
        <f>HYPERLINK("https://careerviet.vn/vi/tim-viec-lam/ky-su-ket-cau-xay-dung-cau-civil-structural-engineer-bridge-engineer.35C6C199.html","Xem chi tiết")</f>
        <v/>
      </c>
      <c r="M13968" s="10" t="n"/>
    </row>
    <row r="13969">
      <c r="B13969" s="7" t="n">
        <v>13967</v>
      </c>
      <c r="C13969" t="inlineStr">
        <is>
          <t>Test Engineer ( Blockchain/web3 )</t>
        </is>
      </c>
      <c r="D13969" t="inlineStr">
        <is>
          <t>Nexsoft Technology</t>
        </is>
      </c>
      <c r="E13969" t="inlineStr">
        <is>
          <t>Lương:Cạnh tranh</t>
        </is>
      </c>
      <c r="F13969" t="inlineStr">
        <is>
          <t>Hồ Chí Minh</t>
        </is>
      </c>
      <c r="G13969" t="inlineStr">
        <is>
          <t>10-04-2026</t>
        </is>
      </c>
      <c r="H13969" t="inlineStr">
        <is>
          <t>10/04/2026</t>
        </is>
      </c>
      <c r="I13969" t="inlineStr">
        <is>
          <t>17/03/2026</t>
        </is>
      </c>
      <c r="J13969" t="inlineStr">
        <is>
          <t>CNTT - Phần mềm, CNTT - Phần cứng / Mạng</t>
        </is>
      </c>
      <c r="K13969" t="inlineStr">
        <is>
          <t>Trên 3 Năm</t>
        </is>
      </c>
      <c r="L13969" s="8">
        <f>HYPERLINK("https://careerviet.vn/vi/tim-viec-lam/test-engineer-blockchain-web3.35C6C0B9.html","Xem chi tiết")</f>
        <v/>
      </c>
    </row>
    <row r="13970">
      <c r="B13970" s="9" t="n">
        <v>13968</v>
      </c>
      <c r="C13970" s="10" t="inlineStr">
        <is>
          <t>Data Engineer (Fresher/Junior)</t>
        </is>
      </c>
      <c r="D13970" s="10" t="inlineStr">
        <is>
          <t>Công ty CP Công nghệ giáo dục Trường học trực tuyến (ONSCHOOL)</t>
        </is>
      </c>
      <c r="E13970" s="10" t="inlineStr">
        <is>
          <t>Lương:10 Tr - 15 Tr VND</t>
        </is>
      </c>
      <c r="F13970" s="10" t="inlineStr">
        <is>
          <t>Hà Nội</t>
        </is>
      </c>
      <c r="G13970" s="10" t="inlineStr">
        <is>
          <t>30-03-2026</t>
        </is>
      </c>
      <c r="H13970" s="10" t="inlineStr">
        <is>
          <t>30/03/2026</t>
        </is>
      </c>
      <c r="I13970" s="10" t="inlineStr">
        <is>
          <t>17/03/2026</t>
        </is>
      </c>
      <c r="J13970" s="10" t="inlineStr">
        <is>
          <t>CNTT - Phần mềm</t>
        </is>
      </c>
      <c r="K13970" s="10" t="inlineStr">
        <is>
          <t>1 - 2 Năm</t>
        </is>
      </c>
      <c r="L13970" s="11">
        <f>HYPERLINK("https://careerviet.vn/vi/tim-viec-lam/data-engineer-fresher-junior.35C6C19E.html","Xem chi tiết")</f>
        <v/>
      </c>
      <c r="M13970" s="10" t="n"/>
    </row>
    <row r="13971">
      <c r="B13971" s="7" t="n">
        <v>13969</v>
      </c>
      <c r="C13971" t="inlineStr">
        <is>
          <t>Marketing Executive</t>
        </is>
      </c>
      <c r="D13971" t="inlineStr">
        <is>
          <t>CÔNG TY CỔ PHẦN SẢN XUẤT THƯƠNG MẠI AP BEVERAGE</t>
        </is>
      </c>
      <c r="E13971" t="inlineStr">
        <is>
          <t>Lương:14 Tr - 16 Tr VND</t>
        </is>
      </c>
      <c r="F13971" t="inlineStr">
        <is>
          <t>Hồ Chí Minh</t>
        </is>
      </c>
      <c r="G13971" t="inlineStr">
        <is>
          <t>10-04-2026</t>
        </is>
      </c>
      <c r="H13971" t="inlineStr">
        <is>
          <t>10/04/2026</t>
        </is>
      </c>
      <c r="I13971" t="inlineStr">
        <is>
          <t>17/03/2026</t>
        </is>
      </c>
      <c r="J13971" t="inlineStr">
        <is>
          <t>Tiếp thị / Marketing, Tiếp thị trực tuyến</t>
        </is>
      </c>
      <c r="K13971" t="inlineStr">
        <is>
          <t>2 - 5 Năm</t>
        </is>
      </c>
      <c r="L13971" s="8">
        <f>HYPERLINK("https://careerviet.vn/vi/tim-viec-lam/marketing-executive.35C6C1A5.html","Xem chi tiết")</f>
        <v/>
      </c>
    </row>
    <row r="13972">
      <c r="B13972" s="9" t="n">
        <v>13970</v>
      </c>
      <c r="C13972" s="10" t="inlineStr">
        <is>
          <t>KIẾN TRÚC SƯ CONCEPT 3D</t>
        </is>
      </c>
      <c r="D13972" s="10" t="inlineStr">
        <is>
          <t>CÔNG TY CỔ PHẦN T - ARCHITECTS</t>
        </is>
      </c>
      <c r="E13972" s="10" t="inlineStr">
        <is>
          <t>Lương:Cạnh tranh</t>
        </is>
      </c>
      <c r="F13972" s="10" t="inlineStr">
        <is>
          <t>Hà Nội</t>
        </is>
      </c>
      <c r="G13972" s="10" t="inlineStr">
        <is>
          <t>30-04-2026</t>
        </is>
      </c>
      <c r="H13972" s="10" t="inlineStr">
        <is>
          <t>30/04/2026</t>
        </is>
      </c>
      <c r="I13972" s="10" t="inlineStr">
        <is>
          <t>17/03/2026</t>
        </is>
      </c>
      <c r="J13972" s="10" t="inlineStr">
        <is>
          <t>Kiến trúc, Xây dựng, Mỹ thuật / Nghệ thuật / Thiết kế</t>
        </is>
      </c>
      <c r="K13972" s="10" t="inlineStr">
        <is>
          <t>Trên 2 Năm</t>
        </is>
      </c>
      <c r="L13972" s="11">
        <f>HYPERLINK("https://careerviet.vn/vi/tim-viec-lam/kien-truc-su-concept-3d.35C6C19B.html","Xem chi tiết")</f>
        <v/>
      </c>
      <c r="M13972" s="10" t="n"/>
    </row>
    <row r="13973">
      <c r="B13973" s="7" t="n">
        <v>13971</v>
      </c>
      <c r="C13973" t="inlineStr">
        <is>
          <t>Accounting Lead (Accounts Payable)</t>
        </is>
      </c>
      <c r="D13973" t="inlineStr">
        <is>
          <t>Công Ty Hoàng An Nhiên</t>
        </is>
      </c>
      <c r="E13973" t="inlineStr">
        <is>
          <t>Lương:23 Tr - 25 Tr VND</t>
        </is>
      </c>
      <c r="F13973" t="inlineStr">
        <is>
          <t>Hồ Chí Minh</t>
        </is>
      </c>
      <c r="G13973" t="inlineStr">
        <is>
          <t>15-04-2026</t>
        </is>
      </c>
      <c r="H13973" t="inlineStr">
        <is>
          <t>15/04/2026</t>
        </is>
      </c>
      <c r="I13973" t="inlineStr">
        <is>
          <t>17/03/2026</t>
        </is>
      </c>
      <c r="J13973" t="inlineStr">
        <is>
          <t>Thực phẩm &amp; Đồ uống, Kế toán / Kiểm toán</t>
        </is>
      </c>
      <c r="K13973" t="inlineStr">
        <is>
          <t>4 - 6 Năm</t>
        </is>
      </c>
      <c r="L13973" s="8">
        <f>HYPERLINK("https://careerviet.vn/vi/tim-viec-lam/accounting-lead-accounts-payable.35C6C198.html","Xem chi tiết")</f>
        <v/>
      </c>
    </row>
    <row r="13974">
      <c r="B13974" s="9" t="n">
        <v>13972</v>
      </c>
      <c r="C13974" s="10" t="inlineStr">
        <is>
          <t>B2B Technical Sales Executive</t>
        </is>
      </c>
      <c r="D13974" s="10" t="inlineStr">
        <is>
          <t>KOVA Commerce – KOVA Group</t>
        </is>
      </c>
      <c r="E13974" s="10" t="inlineStr">
        <is>
          <t>Lương:Cạnh tranh</t>
        </is>
      </c>
      <c r="F13974" s="10" t="inlineStr">
        <is>
          <t>Hồ Chí Minh</t>
        </is>
      </c>
      <c r="G13974" s="10" t="inlineStr">
        <is>
          <t>10-04-2026</t>
        </is>
      </c>
      <c r="H13974" s="10" t="inlineStr">
        <is>
          <t>10/04/2026</t>
        </is>
      </c>
      <c r="I13974" s="10" t="inlineStr">
        <is>
          <t>17/03/2026</t>
        </is>
      </c>
      <c r="J13974" s="10" t="inlineStr">
        <is>
          <t>Bán Hàng Kỹ Thuật, Bán lẻ / Bán sỉ, Xây dựng</t>
        </is>
      </c>
      <c r="K13974" s="10" t="inlineStr">
        <is>
          <t>1 - 2 Năm</t>
        </is>
      </c>
      <c r="L13974" s="11">
        <f>HYPERLINK("https://careerviet.vn/vi/tim-viec-lam/b2b-technical-sales-executive.35C6C1B0.html","Xem chi tiết")</f>
        <v/>
      </c>
      <c r="M13974" s="10" t="n"/>
    </row>
    <row r="13975">
      <c r="B13975" s="7" t="n">
        <v>13973</v>
      </c>
      <c r="C13975" t="inlineStr">
        <is>
          <t>Nhân Viên Sửa Chữa Board Mạch Điện Tử</t>
        </is>
      </c>
      <c r="D13975" t="inlineStr">
        <is>
          <t>Công Ty TNHH XNK Phát Triển Đông Dương</t>
        </is>
      </c>
      <c r="E13975" t="inlineStr">
        <is>
          <t>Lương:10 Tr - 15 Tr VND</t>
        </is>
      </c>
      <c r="F13975" t="inlineStr">
        <is>
          <t>Đà Nẵng</t>
        </is>
      </c>
      <c r="G13975" t="inlineStr">
        <is>
          <t>10-04-2026</t>
        </is>
      </c>
      <c r="H13975" t="inlineStr">
        <is>
          <t>10/04/2026</t>
        </is>
      </c>
      <c r="I13975" t="inlineStr">
        <is>
          <t>17/03/2026</t>
        </is>
      </c>
      <c r="J13975" t="inlineStr">
        <is>
          <t>Cơ khí / Ô tô / Tự động hóa, Điện / Điện tử / Điện lạnh / Điện công nghiệp, Bảo trì / Sửa chữa</t>
        </is>
      </c>
      <c r="K13975" t="inlineStr">
        <is>
          <t>1 - 5 Năm</t>
        </is>
      </c>
      <c r="L13975" s="8">
        <f>HYPERLINK("https://careerviet.vn/vi/tim-viec-lam/nhan-vien-sua-chua-board-mach-dien-tu.35C6C194.html","Xem chi tiết")</f>
        <v/>
      </c>
    </row>
    <row r="13976">
      <c r="B13976" s="9" t="n">
        <v>13974</v>
      </c>
      <c r="C13976" s="10" t="inlineStr">
        <is>
          <t>Contract and Payment Executive</t>
        </is>
      </c>
      <c r="D13976" s="10" t="inlineStr">
        <is>
          <t>CÔNG TY TNHH BLUEMEDIA VIỆT NAM</t>
        </is>
      </c>
      <c r="E13976" s="10" t="inlineStr">
        <is>
          <t>Lương:10 Tr - 15 Tr VND</t>
        </is>
      </c>
      <c r="F13976" s="10" t="inlineStr">
        <is>
          <t>Hồ Chí Minh</t>
        </is>
      </c>
      <c r="G13976" s="10" t="inlineStr">
        <is>
          <t>25-03-2026</t>
        </is>
      </c>
      <c r="H13976" s="10" t="inlineStr">
        <is>
          <t>25/03/2026</t>
        </is>
      </c>
      <c r="I13976" s="10" t="inlineStr">
        <is>
          <t>17/03/2026</t>
        </is>
      </c>
      <c r="J13976" s="10" t="inlineStr">
        <is>
          <t>Thương mại điện tử, Hành chính / Thư ký, Luật / Pháp lý</t>
        </is>
      </c>
      <c r="K13976" s="10" t="inlineStr">
        <is>
          <t>1 - 2 Năm</t>
        </is>
      </c>
      <c r="L13976" s="11">
        <f>HYPERLINK("https://careerviet.vn/vi/tim-viec-lam/contract-and-payment-executive.35C6C197.html","Xem chi tiết")</f>
        <v/>
      </c>
      <c r="M13976" s="10" t="n"/>
    </row>
    <row r="13977">
      <c r="B13977" s="7" t="n">
        <v>13975</v>
      </c>
      <c r="C13977" t="inlineStr">
        <is>
          <t>Nhân Viên BIM/Revit Kiến Trúc</t>
        </is>
      </c>
      <c r="D13977" t="inlineStr">
        <is>
          <t>Công ty TNHH tư vấn và ứng dụng công nghệ BIM Việt Nam (ViBIM)</t>
        </is>
      </c>
      <c r="E13977" t="inlineStr">
        <is>
          <t>Lương:9 Tr - 13 Tr VND</t>
        </is>
      </c>
      <c r="F13977" t="inlineStr">
        <is>
          <t>Hà Nội</t>
        </is>
      </c>
      <c r="G13977" t="inlineStr">
        <is>
          <t>11-04-2026</t>
        </is>
      </c>
      <c r="H13977" t="inlineStr">
        <is>
          <t>11/04/2026</t>
        </is>
      </c>
      <c r="I13977" t="inlineStr">
        <is>
          <t>17/03/2026</t>
        </is>
      </c>
      <c r="J13977" t="inlineStr">
        <is>
          <t>Kiến trúc, Xây dựng, Mỹ thuật / Nghệ thuật / Thiết kế</t>
        </is>
      </c>
      <c r="K13977" t="inlineStr">
        <is>
          <t>N/A</t>
        </is>
      </c>
      <c r="L13977" s="8">
        <f>HYPERLINK("https://careerviet.vn/vi/tim-viec-lam/nhan-vien-bim-revit-kien-truc.35C6C13E.html","Xem chi tiết")</f>
        <v/>
      </c>
    </row>
    <row r="13978">
      <c r="B13978" s="9" t="n">
        <v>13976</v>
      </c>
      <c r="C13978" s="10" t="inlineStr">
        <is>
          <t>Chuyên Viên Dịch Vụ Khách Hàng</t>
        </is>
      </c>
      <c r="D13978" s="10" t="inlineStr">
        <is>
          <t>Công Ty Cổ Phần Đông Tây Land</t>
        </is>
      </c>
      <c r="E13978" s="10" t="inlineStr">
        <is>
          <t>Lương:10 Tr - 12 Tr VND</t>
        </is>
      </c>
      <c r="F13978" s="10" t="inlineStr">
        <is>
          <t>Hồ Chí Minh</t>
        </is>
      </c>
      <c r="G13978" s="10" t="inlineStr">
        <is>
          <t>11-04-2026</t>
        </is>
      </c>
      <c r="H13978" s="10" t="inlineStr">
        <is>
          <t>11/04/2026</t>
        </is>
      </c>
      <c r="I13978" s="10" t="inlineStr">
        <is>
          <t>17/03/2026</t>
        </is>
      </c>
      <c r="J13978" s="10" t="inlineStr">
        <is>
          <t>Dịch vụ khách hàng, Bất động sản</t>
        </is>
      </c>
      <c r="K13978" s="10" t="inlineStr">
        <is>
          <t>1 - 2 Năm</t>
        </is>
      </c>
      <c r="L13978" s="11">
        <f>HYPERLINK("https://careerviet.vn/vi/tim-viec-lam/chuyen-vien-dich-vu-khach-hang.35C6C054.html","Xem chi tiết")</f>
        <v/>
      </c>
      <c r="M13978" s="10" t="n"/>
    </row>
    <row r="13979">
      <c r="B13979" s="7" t="n">
        <v>13977</v>
      </c>
      <c r="C13979" t="inlineStr">
        <is>
          <t>quản lý cửa hàng thời trang</t>
        </is>
      </c>
      <c r="D13979" t="inlineStr">
        <is>
          <t>Công ty TNHH Mỹ Phục - Eva De Eva</t>
        </is>
      </c>
      <c r="E13979" t="inlineStr">
        <is>
          <t>Lương:10 Tr - 15 Tr VND</t>
        </is>
      </c>
      <c r="F13979" t="inlineStr">
        <is>
          <t>Đà Nẵng</t>
        </is>
      </c>
      <c r="G13979" t="inlineStr">
        <is>
          <t>10-04-2026</t>
        </is>
      </c>
      <c r="H13979" t="inlineStr">
        <is>
          <t>10/04/2026</t>
        </is>
      </c>
      <c r="I13979" t="inlineStr">
        <is>
          <t>17/03/2026</t>
        </is>
      </c>
      <c r="J13979" t="inlineStr">
        <is>
          <t>Bán hàng / Kinh doanh, Dệt may / Da giày / Thời trang</t>
        </is>
      </c>
      <c r="K13979" t="inlineStr">
        <is>
          <t>2 - 3 Năm</t>
        </is>
      </c>
      <c r="L13979" s="8">
        <f>HYPERLINK("https://careerviet.vn/vi/tim-viec-lam/quan-ly-cua-hang-thoi-trang.35C6C193.html","Xem chi tiết")</f>
        <v/>
      </c>
    </row>
    <row r="13980">
      <c r="B13980" s="9" t="n">
        <v>13978</v>
      </c>
      <c r="C13980" s="10" t="inlineStr">
        <is>
          <t>Media &amp; Graphic Designer</t>
        </is>
      </c>
      <c r="D13980" s="10" t="inlineStr">
        <is>
          <t>CÔNG TY CỔ PHẦN IFF HOLDINGS</t>
        </is>
      </c>
      <c r="E13980" s="10" t="inlineStr">
        <is>
          <t>Lương:15 Tr - 18 Tr VND</t>
        </is>
      </c>
      <c r="F13980" s="10" t="inlineStr">
        <is>
          <t>Hồ Chí Minh</t>
        </is>
      </c>
      <c r="G13980" s="10" t="inlineStr">
        <is>
          <t>11-04-2026</t>
        </is>
      </c>
      <c r="H13980" s="10" t="inlineStr">
        <is>
          <t>11/04/2026</t>
        </is>
      </c>
      <c r="I13980" s="10" t="inlineStr">
        <is>
          <t>17/03/2026</t>
        </is>
      </c>
      <c r="J13980" s="10" t="inlineStr">
        <is>
          <t>Mỹ thuật / Nghệ thuật / Thiết kế</t>
        </is>
      </c>
      <c r="K13980" s="10" t="inlineStr">
        <is>
          <t>3 - 5 Năm</t>
        </is>
      </c>
      <c r="L13980" s="11">
        <f>HYPERLINK("https://careerviet.vn/vi/tim-viec-lam/media-graphic-designer.35C6C043.html","Xem chi tiết")</f>
        <v/>
      </c>
      <c r="M13980" s="10" t="n"/>
    </row>
    <row r="13981">
      <c r="B13981" s="7" t="n">
        <v>13979</v>
      </c>
      <c r="C13981" t="inlineStr">
        <is>
          <t>Nhân viên QC</t>
        </is>
      </c>
      <c r="D13981" t="inlineStr">
        <is>
          <t>CÔNG TY TNHH THỰC PHẨM CUỘC SỐNG</t>
        </is>
      </c>
      <c r="E13981" t="inlineStr">
        <is>
          <t>Lương:9 Tr - 10 Tr VND</t>
        </is>
      </c>
      <c r="F13981" t="inlineStr">
        <is>
          <t>Hà Nội</t>
        </is>
      </c>
      <c r="G13981" t="inlineStr">
        <is>
          <t>2</t>
        </is>
      </c>
      <c r="H13981" t="inlineStr">
        <is>
          <t>19/03/2026</t>
        </is>
      </c>
      <c r="I13981" t="inlineStr">
        <is>
          <t>17/03/2026</t>
        </is>
      </c>
      <c r="J13981" t="inlineStr">
        <is>
          <t>Thực phẩm &amp; Đồ uống, Quản lý chất lượng (QA/QC)</t>
        </is>
      </c>
      <c r="K13981" t="inlineStr">
        <is>
          <t>N/A</t>
        </is>
      </c>
      <c r="L13981" s="8">
        <f>HYPERLINK("https://careerviet.vn/vi/tim-viec-lam/nhan-vien-qc.35C6C17F.html","Xem chi tiết")</f>
        <v/>
      </c>
    </row>
    <row r="13982">
      <c r="B13982" s="9" t="n">
        <v>13980</v>
      </c>
      <c r="C13982" s="10" t="inlineStr">
        <is>
          <t>Nhân Viên Hành Chính Nhân Sự</t>
        </is>
      </c>
      <c r="D13982" s="10" t="inlineStr">
        <is>
          <t>CÔNG TY TNHH DÂY ĐỒNG THIỆN PHÁT</t>
        </is>
      </c>
      <c r="E13982" s="10" t="inlineStr">
        <is>
          <t>Lương:Cạnh tranh</t>
        </is>
      </c>
      <c r="F13982" s="10" t="inlineStr">
        <is>
          <t>Long An</t>
        </is>
      </c>
      <c r="G13982" s="10" t="inlineStr">
        <is>
          <t>31-03-2026</t>
        </is>
      </c>
      <c r="H13982" s="10" t="inlineStr">
        <is>
          <t>31/03/2026</t>
        </is>
      </c>
      <c r="I13982" s="10" t="inlineStr">
        <is>
          <t>17/03/2026</t>
        </is>
      </c>
      <c r="J13982" s="10" t="inlineStr">
        <is>
          <t>Hành chính / Thư ký, Nhân sự</t>
        </is>
      </c>
      <c r="K13982" s="10" t="inlineStr">
        <is>
          <t>3 - 5 Năm</t>
        </is>
      </c>
      <c r="L13982" s="11">
        <f>HYPERLINK("https://careerviet.vn/vi/tim-viec-lam/nhan-vien-hanh-chinh-nhan-su.35C6A200.html","Xem chi tiết")</f>
        <v/>
      </c>
      <c r="M13982" s="10" t="n"/>
    </row>
    <row r="13983">
      <c r="B13983" s="7" t="n">
        <v>13981</v>
      </c>
      <c r="C13983" t="inlineStr">
        <is>
          <t>NHÂN VIÊN QAQC</t>
        </is>
      </c>
      <c r="D13983" t="inlineStr">
        <is>
          <t>Công Ty TNHH Xây Dựng và Nội Thất Cao Cấp Alliance</t>
        </is>
      </c>
      <c r="E13983" t="inlineStr">
        <is>
          <t>Lương:Cạnh tranh</t>
        </is>
      </c>
      <c r="F13983" t="inlineStr">
        <is>
          <t>Đà NẵngHà NộiKiên Giang</t>
        </is>
      </c>
      <c r="G13983" t="inlineStr">
        <is>
          <t>11-04-2026</t>
        </is>
      </c>
      <c r="H13983" t="inlineStr">
        <is>
          <t>11/04/2026</t>
        </is>
      </c>
      <c r="I13983" t="inlineStr">
        <is>
          <t>17/03/2026</t>
        </is>
      </c>
      <c r="J13983" t="inlineStr">
        <is>
          <t>Kiến trúc, Xây dựng, Nội ngoại thất</t>
        </is>
      </c>
      <c r="K13983" t="inlineStr">
        <is>
          <t>3 - 10 Năm</t>
        </is>
      </c>
      <c r="L13983" s="8">
        <f>HYPERLINK("https://careerviet.vn/vi/tim-viec-lam/nhan-vien-qaqc.35C6C187.html","Xem chi tiết")</f>
        <v/>
      </c>
    </row>
    <row r="13984">
      <c r="B13984" s="9" t="n">
        <v>13982</v>
      </c>
      <c r="C13984" s="10" t="inlineStr">
        <is>
          <t>Nhân Viên QC</t>
        </is>
      </c>
      <c r="D13984" s="10" t="inlineStr">
        <is>
          <t>CÔNG TY TNHH DÂY ĐỒNG THIỆN PHÁT</t>
        </is>
      </c>
      <c r="E13984" s="10" t="inlineStr">
        <is>
          <t>Lương:Cạnh tranh</t>
        </is>
      </c>
      <c r="F13984" s="10" t="inlineStr">
        <is>
          <t>Long An</t>
        </is>
      </c>
      <c r="G13984" s="10" t="inlineStr">
        <is>
          <t>31-03-2026</t>
        </is>
      </c>
      <c r="H13984" s="10" t="inlineStr">
        <is>
          <t>31/03/2026</t>
        </is>
      </c>
      <c r="I13984" s="10" t="inlineStr">
        <is>
          <t>17/03/2026</t>
        </is>
      </c>
      <c r="J13984" s="10" t="inlineStr">
        <is>
          <t>Quản lý chất lượng (QA/QC), Sản xuất / Vận hành sản xuất</t>
        </is>
      </c>
      <c r="K13984" s="10" t="inlineStr">
        <is>
          <t>3 - 5 Năm</t>
        </is>
      </c>
      <c r="L13984" s="11">
        <f>HYPERLINK("https://careerviet.vn/vi/tim-viec-lam/nhan-vien-qc.35C6A202.html","Xem chi tiết")</f>
        <v/>
      </c>
      <c r="M13984" s="10" t="n"/>
    </row>
    <row r="13985">
      <c r="B13985" s="7" t="n">
        <v>13983</v>
      </c>
      <c r="C13985" t="inlineStr">
        <is>
          <t>Nhân viên Tư vấn bán hàng</t>
        </is>
      </c>
      <c r="D13985" t="inlineStr">
        <is>
          <t>CÔNG TY CP HÀ YẾN</t>
        </is>
      </c>
      <c r="E13985" t="inlineStr">
        <is>
          <t>Lương:Cạnh tranh</t>
        </is>
      </c>
      <c r="F13985" t="inlineStr">
        <is>
          <t>Hồ Chí Minh</t>
        </is>
      </c>
      <c r="G13985" t="inlineStr">
        <is>
          <t>14-04-2026</t>
        </is>
      </c>
      <c r="H13985" t="inlineStr">
        <is>
          <t>14/04/2026</t>
        </is>
      </c>
      <c r="I13985" t="inlineStr">
        <is>
          <t>17/03/2026</t>
        </is>
      </c>
      <c r="J13985" t="inlineStr">
        <is>
          <t>Bán hàng / Kinh doanh</t>
        </is>
      </c>
      <c r="K13985" t="inlineStr">
        <is>
          <t>1 - 2 Năm</t>
        </is>
      </c>
      <c r="L13985" s="8">
        <f>HYPERLINK("https://careerviet.vn/vi/tim-viec-lam/nhan-vien-tu-van-ban-hang.35C6C18D.html","Xem chi tiết")</f>
        <v/>
      </c>
    </row>
    <row r="13986">
      <c r="B13986" s="9" t="n">
        <v>13984</v>
      </c>
      <c r="C13986" s="10" t="inlineStr">
        <is>
          <t>Nhân viên mua hàng Purchasing Staff</t>
        </is>
      </c>
      <c r="D13986" s="10" t="inlineStr">
        <is>
          <t>CÔNG TY CỔ PHẨN TẬP ĐOÀN MK</t>
        </is>
      </c>
      <c r="E13986" s="10" t="inlineStr">
        <is>
          <t>Lương:Cạnh tranh</t>
        </is>
      </c>
      <c r="F13986" s="10" t="inlineStr">
        <is>
          <t>Hà Nội</t>
        </is>
      </c>
      <c r="G13986" s="10" t="inlineStr">
        <is>
          <t>10-04-2026</t>
        </is>
      </c>
      <c r="H13986" s="10" t="inlineStr">
        <is>
          <t>10/04/2026</t>
        </is>
      </c>
      <c r="I13986" s="10" t="inlineStr">
        <is>
          <t>17/03/2026</t>
        </is>
      </c>
      <c r="J13986" s="10" t="inlineStr">
        <is>
          <t>Xuất nhập khẩu</t>
        </is>
      </c>
      <c r="K13986" s="10" t="inlineStr">
        <is>
          <t>2 - 5 Năm</t>
        </is>
      </c>
      <c r="L13986" s="11">
        <f>HYPERLINK("https://careerviet.vn/vi/tim-viec-lam/nhan-vien-mua-hang-purchasing-staff.35C6C176.html","Xem chi tiết")</f>
        <v/>
      </c>
      <c r="M13986" s="10" t="n"/>
    </row>
    <row r="13987">
      <c r="B13987" s="7" t="n">
        <v>13985</v>
      </c>
      <c r="C13987" t="inlineStr">
        <is>
          <t>Quản lý HSE (Dalatmilk - Lâm Đồng)</t>
        </is>
      </c>
      <c r="D13987" t="inlineStr">
        <is>
          <t>Công Ty Cổ Phần Tập Đoàn TH</t>
        </is>
      </c>
      <c r="E13987" t="inlineStr">
        <is>
          <t>Lương:Cạnh tranh</t>
        </is>
      </c>
      <c r="F13987" t="inlineStr">
        <is>
          <t>Lâm Đồng</t>
        </is>
      </c>
      <c r="G13987" t="inlineStr">
        <is>
          <t>11-04-2026</t>
        </is>
      </c>
      <c r="H13987" t="inlineStr">
        <is>
          <t>11/04/2026</t>
        </is>
      </c>
      <c r="I13987" t="inlineStr">
        <is>
          <t>17/03/2026</t>
        </is>
      </c>
      <c r="J13987" t="inlineStr">
        <is>
          <t>Luật / Pháp lý, Môi trường, An toàn lao động</t>
        </is>
      </c>
      <c r="K13987" t="inlineStr">
        <is>
          <t>5 - 15 Năm</t>
        </is>
      </c>
      <c r="L13987" s="8">
        <f>HYPERLINK("https://careerviet.vn/vi/tim-viec-lam/quan-ly-hse-dalatmilk-lam-dong.35C6C0A7.html","Xem chi tiết")</f>
        <v/>
      </c>
    </row>
    <row r="13988">
      <c r="B13988" s="9" t="n">
        <v>13986</v>
      </c>
      <c r="C13988" s="10" t="inlineStr">
        <is>
          <t>TRƯỞNG NHÓM ĐỐI NGOẠI Y TẾ &amp; SỨC KHỎE</t>
        </is>
      </c>
      <c r="D13988" s="10" t="inlineStr">
        <is>
          <t>Tập Đoàn CT Group Việt Nam</t>
        </is>
      </c>
      <c r="E13988" s="10" t="inlineStr">
        <is>
          <t>Lương:30 Tr - 40 Tr VND</t>
        </is>
      </c>
      <c r="F13988" s="10" t="inlineStr">
        <is>
          <t>Hồ Chí Minh</t>
        </is>
      </c>
      <c r="G13988" s="10" t="inlineStr">
        <is>
          <t>10-04-2026</t>
        </is>
      </c>
      <c r="H13988" s="10" t="inlineStr">
        <is>
          <t>10/04/2026</t>
        </is>
      </c>
      <c r="I13988" s="10" t="inlineStr">
        <is>
          <t>17/03/2026</t>
        </is>
      </c>
      <c r="J13988" s="10" t="inlineStr">
        <is>
          <t>Y tế / Chăm sóc sức khỏe / Thẩm mỹ / Làm đẹp, Biên phiên dịch, Luật / Pháp lý</t>
        </is>
      </c>
      <c r="K13988" s="10" t="inlineStr">
        <is>
          <t>2 - 5 Năm</t>
        </is>
      </c>
      <c r="L13988" s="11">
        <f>HYPERLINK("https://careerviet.vn/vi/tim-viec-lam/truong-nhom-doi-ngoai-y-te-suc-khoe.35C6C15E.html","Xem chi tiết")</f>
        <v/>
      </c>
      <c r="M13988" s="10" t="n"/>
    </row>
    <row r="13989">
      <c r="B13989" s="7" t="n">
        <v>13987</v>
      </c>
      <c r="C13989" t="inlineStr">
        <is>
          <t>Nhân viên Kỹ thuật Công trình</t>
        </is>
      </c>
      <c r="D13989" t="inlineStr">
        <is>
          <t>CÔNG TY CP HÀ YẾN</t>
        </is>
      </c>
      <c r="E13989" t="inlineStr">
        <is>
          <t>Lương:Cạnh tranh</t>
        </is>
      </c>
      <c r="F13989" t="inlineStr">
        <is>
          <t>Hồ Chí Minh</t>
        </is>
      </c>
      <c r="G13989" t="inlineStr">
        <is>
          <t>09-04-2026</t>
        </is>
      </c>
      <c r="H13989" t="inlineStr">
        <is>
          <t>09/04/2026</t>
        </is>
      </c>
      <c r="I13989" t="inlineStr">
        <is>
          <t>17/03/2026</t>
        </is>
      </c>
      <c r="J13989" t="inlineStr">
        <is>
          <t>Cơ khí / Ô tô / Tự động hóa, Điện / Điện tử / Điện lạnh / Điện công nghiệp</t>
        </is>
      </c>
      <c r="K13989" t="inlineStr">
        <is>
          <t>1 - 2 Năm</t>
        </is>
      </c>
      <c r="L13989" s="8">
        <f>HYPERLINK("https://careerviet.vn/vi/tim-viec-lam/nhan-vien-ky-thuat-cong-trinh.35C6C186.html","Xem chi tiết")</f>
        <v/>
      </c>
    </row>
    <row r="13990">
      <c r="B13990" s="9" t="n">
        <v>13988</v>
      </c>
      <c r="C13990" s="10" t="inlineStr">
        <is>
          <t>Kỹ Thuật Viên Vẽ CAD (Không yêu cầu kinh nghiệm – Được đào tạo)</t>
        </is>
      </c>
      <c r="D13990" s="10" t="inlineStr">
        <is>
          <t>Công ty TNHH Vina Tak</t>
        </is>
      </c>
      <c r="E13990" s="10" t="inlineStr">
        <is>
          <t>Lương:9 Tr - 11 Tr VND</t>
        </is>
      </c>
      <c r="F13990" s="10" t="inlineStr">
        <is>
          <t>Hồ Chí Minh</t>
        </is>
      </c>
      <c r="G13990" s="10" t="inlineStr">
        <is>
          <t>06-04-2026</t>
        </is>
      </c>
      <c r="H13990" s="10" t="inlineStr">
        <is>
          <t>06/04/2026</t>
        </is>
      </c>
      <c r="I13990" s="10" t="inlineStr">
        <is>
          <t>17/03/2026</t>
        </is>
      </c>
      <c r="J13990" s="10" t="inlineStr">
        <is>
          <t>Cơ khí / Ô tô / Tự động hóa, Mỹ thuật / Nghệ thuật / Thiết kế, Xây dựng</t>
        </is>
      </c>
      <c r="K13990" s="10" t="inlineStr">
        <is>
          <t>N/A</t>
        </is>
      </c>
      <c r="L13990" s="11">
        <f>HYPERLINK("https://careerviet.vn/vi/tim-viec-lam/ky-thuat-vien-ve-cad-khong-yeu-cau-kinh-nghiem-duoc-dao-tao.35C6C0C8.html","Xem chi tiết")</f>
        <v/>
      </c>
      <c r="M13990" s="10" t="n"/>
    </row>
    <row r="13991">
      <c r="B13991" s="7" t="n">
        <v>13989</v>
      </c>
      <c r="C13991" t="inlineStr">
        <is>
          <t>[HN-HCM] PRODUCT SPECIALIST - SL: 03</t>
        </is>
      </c>
      <c r="D13991" t="inlineStr">
        <is>
          <t>Công ty Cổ phần Vật tư Khoa học BIOMEDIC</t>
        </is>
      </c>
      <c r="E13991" t="inlineStr">
        <is>
          <t>Lương:15 Tr - 30 Tr VND</t>
        </is>
      </c>
      <c r="F13991" t="inlineStr">
        <is>
          <t>Hà NộiHồ Chí Minh</t>
        </is>
      </c>
      <c r="G13991" t="inlineStr">
        <is>
          <t>30-04-2026</t>
        </is>
      </c>
      <c r="H13991" t="inlineStr">
        <is>
          <t>30/04/2026</t>
        </is>
      </c>
      <c r="I13991" t="inlineStr">
        <is>
          <t>17/03/2026</t>
        </is>
      </c>
      <c r="J13991" t="inlineStr">
        <is>
          <t>Công nghệ sinh học, Y tế / Chăm sóc sức khỏe / Thẩm mỹ / Làm đẹp, Hóa học</t>
        </is>
      </c>
      <c r="K13991" t="inlineStr">
        <is>
          <t>1 - 3 Năm</t>
        </is>
      </c>
      <c r="L13991" s="8">
        <f>HYPERLINK("https://careerviet.vn/vi/tim-viec-lam/hn-hcm-product-specialist-sl-03.35C6C167.html","Xem chi tiết")</f>
        <v/>
      </c>
    </row>
    <row r="13992">
      <c r="B13992" s="9" t="n">
        <v>13990</v>
      </c>
      <c r="C13992" s="10" t="inlineStr">
        <is>
          <t>Nhân viên bán hàng tại Showroom</t>
        </is>
      </c>
      <c r="D13992" s="10" t="inlineStr">
        <is>
          <t>Công ty TNHH Trường Thắng</t>
        </is>
      </c>
      <c r="E13992" s="10" t="inlineStr">
        <is>
          <t>Lương:12 Tr - 20 Tr VND</t>
        </is>
      </c>
      <c r="F13992" s="10" t="inlineStr">
        <is>
          <t>Hồ Chí Minh</t>
        </is>
      </c>
      <c r="G13992" s="10" t="inlineStr">
        <is>
          <t>5</t>
        </is>
      </c>
      <c r="H13992" s="10" t="inlineStr">
        <is>
          <t>22/03/2026</t>
        </is>
      </c>
      <c r="I13992" s="10" t="inlineStr">
        <is>
          <t>17/03/2026</t>
        </is>
      </c>
      <c r="J13992" s="10" t="inlineStr">
        <is>
          <t>Bán hàng / Kinh doanh, Nội ngoại thất, Bán lẻ / Bán sỉ</t>
        </is>
      </c>
      <c r="K13992" s="10" t="inlineStr">
        <is>
          <t>1 - 2 Năm</t>
        </is>
      </c>
      <c r="L13992" s="11">
        <f>HYPERLINK("https://careerviet.vn/vi/tim-viec-lam/nhan-vien-ban-hang-tai-showroom.35C6C164.html","Xem chi tiết")</f>
        <v/>
      </c>
      <c r="M13992" s="10" t="n"/>
    </row>
    <row r="13993">
      <c r="B13993" s="7" t="n">
        <v>13991</v>
      </c>
      <c r="C13993" t="inlineStr">
        <is>
          <t>[HO] - DATA SCIENTIST MANAGER</t>
        </is>
      </c>
      <c r="D13993" t="inlineStr">
        <is>
          <t>Shinhan Bank Vietnam</t>
        </is>
      </c>
      <c r="E13993" t="inlineStr">
        <is>
          <t>Lương:Cạnh tranh</t>
        </is>
      </c>
      <c r="F13993" t="inlineStr">
        <is>
          <t>Hồ Chí Minh</t>
        </is>
      </c>
      <c r="G13993" t="inlineStr">
        <is>
          <t>29-04-2026</t>
        </is>
      </c>
      <c r="H13993" t="inlineStr">
        <is>
          <t>29/04/2026</t>
        </is>
      </c>
      <c r="I13993" t="inlineStr">
        <is>
          <t>17/03/2026</t>
        </is>
      </c>
      <c r="J13993" t="inlineStr">
        <is>
          <t>CNTT - Phần mềm, Ngân hàng</t>
        </is>
      </c>
      <c r="K13993" t="inlineStr">
        <is>
          <t>Trên 7 Năm</t>
        </is>
      </c>
      <c r="L13993" s="8">
        <f>HYPERLINK("https://careerviet.vn/vi/tim-viec-lam/ho-data-scientist-manager.35C6C16B.html","Xem chi tiết")</f>
        <v/>
      </c>
    </row>
    <row r="13994">
      <c r="B13994" s="9" t="n">
        <v>13992</v>
      </c>
      <c r="C13994" s="10" t="inlineStr">
        <is>
          <t>Kỹ sư cao cấp Quản lý Chất lượng Xây Dựng QA.QC</t>
        </is>
      </c>
      <c r="D13994" s="10" t="inlineStr">
        <is>
          <t>Công Ty Cổ Phần Tập Đoàn Đầu Tư Địa Ốc No Va</t>
        </is>
      </c>
      <c r="E13994" s="10" t="inlineStr">
        <is>
          <t>Lương:Cạnh tranh</t>
        </is>
      </c>
      <c r="F13994" s="10" t="inlineStr">
        <is>
          <t>Đồng Nai</t>
        </is>
      </c>
      <c r="G13994" s="10" t="inlineStr">
        <is>
          <t>30-04-2026</t>
        </is>
      </c>
      <c r="H13994" s="10" t="inlineStr">
        <is>
          <t>30/04/2026</t>
        </is>
      </c>
      <c r="I13994" s="10" t="inlineStr">
        <is>
          <t>17/03/2026</t>
        </is>
      </c>
      <c r="J13994" s="10" t="inlineStr">
        <is>
          <t>Xây dựng</t>
        </is>
      </c>
      <c r="K13994" s="10" t="inlineStr">
        <is>
          <t>5 - 15 Năm</t>
        </is>
      </c>
      <c r="L13994" s="11">
        <f>HYPERLINK("https://careerviet.vn/vi/tim-viec-lam/ky-su-cao-cap-quan-ly-chat-luong-xay-dung-qa-qc.35C6C169.html","Xem chi tiết")</f>
        <v/>
      </c>
      <c r="M13994" s="10" t="n"/>
    </row>
    <row r="13995">
      <c r="B13995" s="7" t="n">
        <v>13993</v>
      </c>
      <c r="C13995" t="inlineStr">
        <is>
          <t>Kỹ Sư BIM - MEP Cơ Điện</t>
        </is>
      </c>
      <c r="D13995" t="inlineStr">
        <is>
          <t>Công ty TNHH tư vấn và ứng dụng công nghệ BIM Việt Nam (ViBIM)</t>
        </is>
      </c>
      <c r="E13995" t="inlineStr">
        <is>
          <t>Lương:12 Tr - 18 Tr VND</t>
        </is>
      </c>
      <c r="F13995" t="inlineStr">
        <is>
          <t>Hà Nội</t>
        </is>
      </c>
      <c r="G13995" t="inlineStr">
        <is>
          <t>11-04-2026</t>
        </is>
      </c>
      <c r="H13995" t="inlineStr">
        <is>
          <t>11/04/2026</t>
        </is>
      </c>
      <c r="I13995" t="inlineStr">
        <is>
          <t>17/03/2026</t>
        </is>
      </c>
      <c r="J13995" t="inlineStr">
        <is>
          <t>Điện / Điện tử / Điện lạnh / Điện công nghiệp, Cơ khí / Ô tô / Tự động hóa, Xây dựng</t>
        </is>
      </c>
      <c r="K13995" t="inlineStr">
        <is>
          <t>Trên 5 Năm</t>
        </is>
      </c>
      <c r="L13995" s="8">
        <f>HYPERLINK("https://careerviet.vn/vi/tim-viec-lam/ky-su-bim-mep-co-dien.35C6C14E.html","Xem chi tiết")</f>
        <v/>
      </c>
    </row>
    <row r="13996">
      <c r="B13996" s="9" t="n">
        <v>13994</v>
      </c>
      <c r="C13996" s="10" t="inlineStr">
        <is>
          <t>Chuyên viên thiết kế kiểu dáng - Industrial Designer (Senior, Junior | Upto $1200)</t>
        </is>
      </c>
      <c r="D13996" s="10" t="inlineStr">
        <is>
          <t>Tập Đoàn Karofi Holding</t>
        </is>
      </c>
      <c r="E13996" s="10" t="inlineStr">
        <is>
          <t>Lương:800 - 1.200 USD</t>
        </is>
      </c>
      <c r="F13996" s="10" t="inlineStr">
        <is>
          <t>Hà Nội</t>
        </is>
      </c>
      <c r="G13996" s="10" t="inlineStr">
        <is>
          <t>30-05-2026</t>
        </is>
      </c>
      <c r="H13996" s="10" t="inlineStr">
        <is>
          <t>30/05/2026</t>
        </is>
      </c>
      <c r="I13996" s="10" t="inlineStr">
        <is>
          <t>17/03/2026</t>
        </is>
      </c>
      <c r="J13996" s="10" t="inlineStr">
        <is>
          <t>Mỹ thuật / Nghệ thuật / Thiết kế, Cơ khí / Ô tô / Tự động hóa, Quảng cáo / Đối ngoại / Truyền Thông</t>
        </is>
      </c>
      <c r="K13996" s="10" t="inlineStr">
        <is>
          <t>3 - 12 Năm</t>
        </is>
      </c>
      <c r="L13996" s="11">
        <f>HYPERLINK("https://careerviet.vn/vi/tim-viec-lam/chuyen-vien-thiet-ke-kieu-dang-industrial-designer-senior-junior-upto-1200.35C6C174.html","Xem chi tiết")</f>
        <v/>
      </c>
      <c r="M13996" s="10" t="n"/>
    </row>
    <row r="13997">
      <c r="B13997" s="7" t="n">
        <v>13995</v>
      </c>
      <c r="C13997" t="inlineStr">
        <is>
          <t>KẾ TOÁN TRƯỞNG - HÀ NỘI (LƯƠNG CẠNH TRANH)</t>
        </is>
      </c>
      <c r="D13997" t="inlineStr">
        <is>
          <t>Công ty Cổ phần Mediamart Việt Nam</t>
        </is>
      </c>
      <c r="E13997" t="inlineStr">
        <is>
          <t>Lương:Cạnh tranh</t>
        </is>
      </c>
      <c r="F13997" t="inlineStr">
        <is>
          <t>Hà Nội</t>
        </is>
      </c>
      <c r="G13997" t="inlineStr">
        <is>
          <t>11-04-2026</t>
        </is>
      </c>
      <c r="H13997" t="inlineStr">
        <is>
          <t>11/04/2026</t>
        </is>
      </c>
      <c r="I13997" t="inlineStr">
        <is>
          <t>17/03/2026</t>
        </is>
      </c>
      <c r="J13997" t="inlineStr">
        <is>
          <t>Kế toán / Kiểm toán, Tài chính / Đầu tư, Bán lẻ / Bán sỉ</t>
        </is>
      </c>
      <c r="K13997" t="inlineStr">
        <is>
          <t>10 - 18 Năm</t>
        </is>
      </c>
      <c r="L13997" s="8">
        <f>HYPERLINK("https://careerviet.vn/vi/tim-viec-lam/ke-toan-truong-ha-noi-luong-canh-tranh.35C6C166.html","Xem chi tiết")</f>
        <v/>
      </c>
    </row>
    <row r="13998">
      <c r="B13998" s="9" t="n">
        <v>13996</v>
      </c>
      <c r="C13998" s="10" t="inlineStr">
        <is>
          <t>Accountant (2–4 Years Experience) | English Required</t>
        </is>
      </c>
      <c r="D13998" s="10" t="inlineStr">
        <is>
          <t>Sunlight Electrical (Vietnam) Co., Ltd.</t>
        </is>
      </c>
      <c r="E13998" s="10" t="inlineStr">
        <is>
          <t>Lương:12 Tr - 16 Tr VND</t>
        </is>
      </c>
      <c r="F13998" s="10" t="inlineStr">
        <is>
          <t>Bình Dương</t>
        </is>
      </c>
      <c r="G13998" s="10" t="inlineStr">
        <is>
          <t>11-04-2026</t>
        </is>
      </c>
      <c r="H13998" s="10" t="inlineStr">
        <is>
          <t>11/04/2026</t>
        </is>
      </c>
      <c r="I13998" s="10" t="inlineStr">
        <is>
          <t>17/03/2026</t>
        </is>
      </c>
      <c r="J13998" s="10" t="inlineStr">
        <is>
          <t>Kế toán / Kiểm toán</t>
        </is>
      </c>
      <c r="K13998" s="10" t="inlineStr">
        <is>
          <t>2 - 4 Năm</t>
        </is>
      </c>
      <c r="L13998" s="11">
        <f>HYPERLINK("https://careerviet.vn/vi/tim-viec-lam/accountant-2-4-years-experience-english-required.35C6C15F.html","Xem chi tiết")</f>
        <v/>
      </c>
      <c r="M13998" s="10" t="n"/>
    </row>
    <row r="13999">
      <c r="B13999" s="7" t="n">
        <v>13997</v>
      </c>
      <c r="C13999" t="inlineStr">
        <is>
          <t>Livestream Host</t>
        </is>
      </c>
      <c r="D13999" t="inlineStr">
        <is>
          <t>CÔNG TY TNHH BLUEMEDIA VIỆT NAM</t>
        </is>
      </c>
      <c r="E13999" t="inlineStr">
        <is>
          <t>Lương:8 Tr - 15 Tr VND</t>
        </is>
      </c>
      <c r="F13999" t="inlineStr">
        <is>
          <t>Hồ Chí Minh</t>
        </is>
      </c>
      <c r="G13999" t="inlineStr">
        <is>
          <t>25-03-2026</t>
        </is>
      </c>
      <c r="H13999" t="inlineStr">
        <is>
          <t>25/03/2026</t>
        </is>
      </c>
      <c r="I13999" t="inlineStr">
        <is>
          <t>17/03/2026</t>
        </is>
      </c>
      <c r="J13999" t="inlineStr">
        <is>
          <t>Tiếp thị / Marketing, Bán lẻ / Bán sỉ</t>
        </is>
      </c>
      <c r="K13999" t="inlineStr">
        <is>
          <t>N/A</t>
        </is>
      </c>
      <c r="L13999" s="8">
        <f>HYPERLINK("https://careerviet.vn/vi/tim-viec-lam/livestream-host.35C6C161.html","Xem chi tiết")</f>
        <v/>
      </c>
    </row>
    <row r="14000">
      <c r="B14000" s="9" t="n">
        <v>13998</v>
      </c>
      <c r="C14000" s="10" t="inlineStr">
        <is>
          <t>Trưởng phòng Thiết kế Điện tử - Hardware &amp; Firmware Manager</t>
        </is>
      </c>
      <c r="D14000" s="10" t="inlineStr">
        <is>
          <t>Tập Đoàn Karofi Holding</t>
        </is>
      </c>
      <c r="E14000" s="10" t="inlineStr">
        <is>
          <t>Lương:2.000 - 3.000 USD</t>
        </is>
      </c>
      <c r="F14000" s="10" t="inlineStr">
        <is>
          <t>Hưng YênHà Nội</t>
        </is>
      </c>
      <c r="G14000" s="10" t="inlineStr">
        <is>
          <t>30-05-2026</t>
        </is>
      </c>
      <c r="H14000" s="10" t="inlineStr">
        <is>
          <t>30/05/2026</t>
        </is>
      </c>
      <c r="I14000" s="10" t="inlineStr">
        <is>
          <t>17/03/2026</t>
        </is>
      </c>
      <c r="J14000" s="10" t="inlineStr">
        <is>
          <t>CNTT - Phần mềm, Hàng gia dụng / Chăm sóc cá nhân, Điện / Điện tử / Điện lạnh / Điện công nghiệp</t>
        </is>
      </c>
      <c r="K14000" s="10" t="inlineStr">
        <is>
          <t>3 - 10 Năm</t>
        </is>
      </c>
      <c r="L14000" s="11">
        <f>HYPERLINK("https://careerviet.vn/vi/tim-viec-lam/truong-phong-thiet-ke-dien-tu-hardware-firmware-manager.35C6C158.html","Xem chi tiết")</f>
        <v/>
      </c>
      <c r="M14000" s="10" t="n"/>
    </row>
    <row r="14001">
      <c r="B14001" s="7" t="n">
        <v>13999</v>
      </c>
      <c r="C14001" t="inlineStr">
        <is>
          <t>CHUYÊN VIÊN MUA HÀNG - TÌM KIẾM THẦU PHỤ</t>
        </is>
      </c>
      <c r="D14001" t="inlineStr">
        <is>
          <t>Công ty cổ phần xây dựng công nghiệp Megacon</t>
        </is>
      </c>
      <c r="E14001" t="inlineStr">
        <is>
          <t>Lương:20 Tr - 25 Tr VND</t>
        </is>
      </c>
      <c r="F14001" t="inlineStr">
        <is>
          <t>Hà Nội</t>
        </is>
      </c>
      <c r="G14001" t="inlineStr">
        <is>
          <t>31-05-2026</t>
        </is>
      </c>
      <c r="H14001" t="inlineStr">
        <is>
          <t>31/05/2026</t>
        </is>
      </c>
      <c r="I14001" t="inlineStr">
        <is>
          <t>17/03/2026</t>
        </is>
      </c>
      <c r="J14001" t="inlineStr">
        <is>
          <t>Thu mua / Vật tư, Xây dựng</t>
        </is>
      </c>
      <c r="K14001" t="inlineStr">
        <is>
          <t>Trên 2 Năm</t>
        </is>
      </c>
      <c r="L14001" s="8">
        <f>HYPERLINK("https://careerviet.vn/vi/tim-viec-lam/chuyen-vien-mua-hang-tim-kiem-thau-phu.35C6C03C.html","Xem chi tiết")</f>
        <v/>
      </c>
    </row>
    <row r="14002">
      <c r="B14002" s="9" t="n">
        <v>14000</v>
      </c>
      <c r="C14002" s="10" t="inlineStr">
        <is>
          <t>KẾ TOÁN TỔNG HỢP TRỤ SỞ CHÍNH</t>
        </is>
      </c>
      <c r="D14002" s="10" t="inlineStr">
        <is>
          <t>Tổng Công Ty Cổ Phần Bảo Hiểm Ngân Hàng TMCP Công Thương Việt Nam</t>
        </is>
      </c>
      <c r="E14002" s="10" t="inlineStr">
        <is>
          <t>Lương:Cạnh tranh</t>
        </is>
      </c>
      <c r="F14002" s="10" t="inlineStr">
        <is>
          <t>Hà Nội</t>
        </is>
      </c>
      <c r="G14002" s="10" t="inlineStr">
        <is>
          <t>29-04-2026</t>
        </is>
      </c>
      <c r="H14002" s="10" t="inlineStr">
        <is>
          <t>29/04/2026</t>
        </is>
      </c>
      <c r="I14002" s="10" t="inlineStr">
        <is>
          <t>17/03/2026</t>
        </is>
      </c>
      <c r="J14002" s="10" t="inlineStr">
        <is>
          <t>Kế toán / Kiểm toán, Bảo hiểm</t>
        </is>
      </c>
      <c r="K14002" s="10" t="inlineStr">
        <is>
          <t>3 - 7 Năm</t>
        </is>
      </c>
      <c r="L14002" s="11">
        <f>HYPERLINK("https://careerviet.vn/vi/tim-viec-lam/ke-toan-tong-hop-tru-so-chinh.35C6C036.html","Xem chi tiết")</f>
        <v/>
      </c>
      <c r="M14002" s="10" t="n"/>
    </row>
    <row r="14003">
      <c r="B14003" s="7" t="n">
        <v>14001</v>
      </c>
      <c r="C14003" t="inlineStr">
        <is>
          <t>[Bắc Ninh] Nhân viên Cân mẫu, phòng thí nghiệm</t>
        </is>
      </c>
      <c r="D14003" t="inlineStr">
        <is>
          <t>EUROFINS VIETNAM</t>
        </is>
      </c>
      <c r="E14003" t="inlineStr">
        <is>
          <t>Lương:Cạnh tranh</t>
        </is>
      </c>
      <c r="F14003" t="inlineStr">
        <is>
          <t>Bắc Ninh</t>
        </is>
      </c>
      <c r="G14003" t="inlineStr">
        <is>
          <t>10-04-2026</t>
        </is>
      </c>
      <c r="H14003" t="inlineStr">
        <is>
          <t>10/04/2026</t>
        </is>
      </c>
      <c r="I14003" t="inlineStr">
        <is>
          <t>17/03/2026</t>
        </is>
      </c>
      <c r="J14003" t="inlineStr">
        <is>
          <t>Hóa học, Công nghệ thực phẩm / Dinh dưỡng, Công nghệ sinh học</t>
        </is>
      </c>
      <c r="K14003" t="inlineStr">
        <is>
          <t>N/A</t>
        </is>
      </c>
      <c r="L14003" s="8">
        <f>HYPERLINK("https://careerviet.vn/vi/tim-viec-lam/bac-ninh-nhan-vien-can-mau-phong-thi-nghiem.35C6C162.html","Xem chi tiết")</f>
        <v/>
      </c>
    </row>
    <row r="14004">
      <c r="B14004" s="9" t="n">
        <v>14002</v>
      </c>
      <c r="C14004" s="10" t="inlineStr">
        <is>
          <t>Chuyên viên Pháp chế doanh nghiệp</t>
        </is>
      </c>
      <c r="D14004" s="10" t="inlineStr">
        <is>
          <t>CÔNG TY TNHH THE SUN COSMECTICS</t>
        </is>
      </c>
      <c r="E14004" s="10" t="inlineStr">
        <is>
          <t>Lương:Cạnh tranh</t>
        </is>
      </c>
      <c r="F14004" s="10" t="inlineStr">
        <is>
          <t>Hồ Chí Minh</t>
        </is>
      </c>
      <c r="G14004" s="10" t="inlineStr">
        <is>
          <t>30-04-2026</t>
        </is>
      </c>
      <c r="H14004" s="10" t="inlineStr">
        <is>
          <t>30/04/2026</t>
        </is>
      </c>
      <c r="I14004" s="10" t="inlineStr">
        <is>
          <t>17/03/2026</t>
        </is>
      </c>
      <c r="J14004" s="10" t="inlineStr">
        <is>
          <t>Luật / Pháp lý, Tư vấn, Ngành khác</t>
        </is>
      </c>
      <c r="K14004" s="10" t="inlineStr">
        <is>
          <t>2 - 5 Năm</t>
        </is>
      </c>
      <c r="L14004" s="11">
        <f>HYPERLINK("https://careerviet.vn/vi/tim-viec-lam/chuyen-vien-phap-che-doanh-nghiep.35C6C02D.html","Xem chi tiết")</f>
        <v/>
      </c>
      <c r="M14004" s="10" t="n"/>
    </row>
    <row r="14005">
      <c r="B14005" s="7" t="n">
        <v>14003</v>
      </c>
      <c r="C14005" t="inlineStr">
        <is>
          <t>Chuyên Viên Phát Triển Kinh Doanh - Phân Bón</t>
        </is>
      </c>
      <c r="D14005" t="inlineStr">
        <is>
          <t>CÔNG TY TNHH SX TM DV ĐẶNG GIA TRANG</t>
        </is>
      </c>
      <c r="E14005" t="inlineStr">
        <is>
          <t>Lương:15 Tr - 25 Tr VND</t>
        </is>
      </c>
      <c r="F14005" t="inlineStr">
        <is>
          <t>Hồ Chí Minh</t>
        </is>
      </c>
      <c r="G14005" t="inlineStr">
        <is>
          <t>11-04-2026</t>
        </is>
      </c>
      <c r="H14005" t="inlineStr">
        <is>
          <t>11/04/2026</t>
        </is>
      </c>
      <c r="I14005" t="inlineStr">
        <is>
          <t>17/03/2026</t>
        </is>
      </c>
      <c r="J14005" t="inlineStr">
        <is>
          <t>Bán hàng / Kinh doanh, Bán lẻ / Bán sỉ, Tiếp thị / Marketing</t>
        </is>
      </c>
      <c r="K14005" t="inlineStr">
        <is>
          <t>2 - 3 Năm</t>
        </is>
      </c>
      <c r="L14005" s="8">
        <f>HYPERLINK("https://careerviet.vn/vi/tim-viec-lam/chuyen-vien-phat-trien-kinh-doanh-phan-bon.35C6C023.html","Xem chi tiết")</f>
        <v/>
      </c>
    </row>
    <row r="14006">
      <c r="B14006" s="9" t="n">
        <v>14004</v>
      </c>
      <c r="C14006" s="10" t="inlineStr">
        <is>
          <t>Business Consultant - Kênh Nhà Thuốc - Exclusive Team (HCM - thời vụ 6 tháng)</t>
        </is>
      </c>
      <c r="D14006" s="10" t="inlineStr">
        <is>
          <t>Zuellig Pharma Viet Nam</t>
        </is>
      </c>
      <c r="E14006" s="10" t="inlineStr">
        <is>
          <t>Lương:Cạnh tranh</t>
        </is>
      </c>
      <c r="F14006" s="10" t="inlineStr">
        <is>
          <t>Hồ Chí Minh</t>
        </is>
      </c>
      <c r="G14006" s="10" t="inlineStr">
        <is>
          <t>16-04-2026</t>
        </is>
      </c>
      <c r="H14006" s="10" t="inlineStr">
        <is>
          <t>16/04/2026</t>
        </is>
      </c>
      <c r="I14006" s="10" t="inlineStr">
        <is>
          <t>17/03/2026</t>
        </is>
      </c>
      <c r="J14006" s="10" t="inlineStr">
        <is>
          <t>Dược phẩm/ Hóa Mỹ Phẩm, Y tế / Chăm sóc sức khỏe / Thẩm mỹ / Làm đẹp</t>
        </is>
      </c>
      <c r="K14006" s="10" t="inlineStr">
        <is>
          <t>1 - 3 Năm</t>
        </is>
      </c>
      <c r="L14006" s="11">
        <f>HYPERLINK("https://careerviet.vn/vi/tim-viec-lam/business-consultant-kenh-nha-thuoc-exclusive-team-hcm-thoi-vu-6-thang.35C6C033.html","Xem chi tiết")</f>
        <v/>
      </c>
      <c r="M14006" s="10" t="n"/>
    </row>
    <row r="14007">
      <c r="B14007" s="7" t="n">
        <v>14005</v>
      </c>
      <c r="C14007" t="inlineStr">
        <is>
          <t>Sales Dự Án</t>
        </is>
      </c>
      <c r="D14007" t="inlineStr">
        <is>
          <t>CÔNG TY TNHH ĐẦU TƯ XÂY DỰNG THƯƠNG MẠI DỊCH VỤ ĐẠI LONG</t>
        </is>
      </c>
      <c r="E14007" t="inlineStr">
        <is>
          <t>Lương:10 Tr - 15 Tr VND</t>
        </is>
      </c>
      <c r="F14007" t="inlineStr">
        <is>
          <t>Hồ Chí Minh</t>
        </is>
      </c>
      <c r="G14007" t="inlineStr">
        <is>
          <t>30-04-2026</t>
        </is>
      </c>
      <c r="H14007" t="inlineStr">
        <is>
          <t>30/04/2026</t>
        </is>
      </c>
      <c r="I14007" t="inlineStr">
        <is>
          <t>17/03/2026</t>
        </is>
      </c>
      <c r="J14007" t="inlineStr">
        <is>
          <t>Xây dựng, Bán hàng / Kinh doanh</t>
        </is>
      </c>
      <c r="K14007" t="inlineStr">
        <is>
          <t>Lên đến 1 Năm</t>
        </is>
      </c>
      <c r="L14007" s="8">
        <f>HYPERLINK("https://careerviet.vn/vi/tim-viec-lam/sales-du-an.35C6BFFE.html","Xem chi tiết")</f>
        <v/>
      </c>
    </row>
    <row r="14008">
      <c r="B14008" s="9" t="n">
        <v>14006</v>
      </c>
      <c r="C14008" s="10" t="inlineStr">
        <is>
          <t>Thực tập sinh thiết kế hệ thống điện - Revit/ Electrical Engineer Intern - Revit</t>
        </is>
      </c>
      <c r="D14008" s="10" t="inlineStr">
        <is>
          <t>Công Ty TNHH Boydens Vietnam part of Sweco</t>
        </is>
      </c>
      <c r="E14008" s="10" t="inlineStr">
        <is>
          <t>Lương:Cạnh tranh</t>
        </is>
      </c>
      <c r="F14008" s="10" t="inlineStr">
        <is>
          <t>Hà Nội</t>
        </is>
      </c>
      <c r="G14008" s="10" t="inlineStr">
        <is>
          <t>31-05-2026</t>
        </is>
      </c>
      <c r="H14008" s="10" t="inlineStr">
        <is>
          <t>31/05/2026</t>
        </is>
      </c>
      <c r="I14008" s="10" t="inlineStr">
        <is>
          <t>17/03/2026</t>
        </is>
      </c>
      <c r="J14008" s="10" t="inlineStr">
        <is>
          <t>Xây dựng, Điện / Điện tử / Điện lạnh / Điện công nghiệp, Mới tốt nghiệp / Thực tập</t>
        </is>
      </c>
      <c r="K14008" s="10" t="inlineStr">
        <is>
          <t>thực tế, chỉ cần thái độ và tiềm năng</t>
        </is>
      </c>
      <c r="L14008" s="11">
        <f>HYPERLINK("https://careerviet.vn/vi/tim-viec-lam/thuc-tap-sinh-thiet-ke-he-thong-dien-revit-electrical-engineer-intern-revit.35C6C014.html","Xem chi tiết")</f>
        <v/>
      </c>
      <c r="M14008" s="10" t="n"/>
    </row>
    <row r="14009">
      <c r="B14009" s="7" t="n">
        <v>14007</v>
      </c>
      <c r="C14009" t="inlineStr">
        <is>
          <t>Kỹ sư hóa học</t>
        </is>
      </c>
      <c r="D14009" t="inlineStr">
        <is>
          <t>Công Ty Cổ Phần Đầu Tư Và Phát Triển Nhựa Gỗ Châu Âu</t>
        </is>
      </c>
      <c r="E14009" t="inlineStr">
        <is>
          <t>Lương:8 Tr - 16 Tr VND</t>
        </is>
      </c>
      <c r="F14009" t="inlineStr">
        <is>
          <t>Lào Cai</t>
        </is>
      </c>
      <c r="G14009" t="inlineStr">
        <is>
          <t>10-04-2026</t>
        </is>
      </c>
      <c r="H14009" t="inlineStr">
        <is>
          <t>10/04/2026</t>
        </is>
      </c>
      <c r="I14009" t="inlineStr">
        <is>
          <t>17/03/2026</t>
        </is>
      </c>
      <c r="J14009" t="inlineStr">
        <is>
          <t>Hóa học, Sản xuất / Vận hành sản xuất, Dược phẩm/ Hóa Mỹ Phẩm</t>
        </is>
      </c>
      <c r="K14009" t="inlineStr">
        <is>
          <t>N/A</t>
        </is>
      </c>
      <c r="L14009" s="8">
        <f>HYPERLINK("https://careerviet.vn/vi/tim-viec-lam/ky-su-hoa-hoc.35C6C03D.html","Xem chi tiết")</f>
        <v/>
      </c>
    </row>
    <row r="14010">
      <c r="B14010" s="9" t="n">
        <v>14008</v>
      </c>
      <c r="C14010" s="10" t="inlineStr">
        <is>
          <t>Giám đốc Phòng Quan hệ khách hàng Cá nhân - BVBank Sông Hàn - KV Miền Trung</t>
        </is>
      </c>
      <c r="D14010" s="10" t="inlineStr">
        <is>
          <t>BVBank - Ngân hàng Bản Việt</t>
        </is>
      </c>
      <c r="E14010" s="10" t="inlineStr">
        <is>
          <t>Lương:Cạnh tranh</t>
        </is>
      </c>
      <c r="F14010" s="10" t="inlineStr">
        <is>
          <t>Đà Nẵng</t>
        </is>
      </c>
      <c r="G14010" s="10" t="inlineStr">
        <is>
          <t>10-04-2026</t>
        </is>
      </c>
      <c r="H14010" s="10" t="inlineStr">
        <is>
          <t>10/04/2026</t>
        </is>
      </c>
      <c r="I14010" s="10" t="inlineStr">
        <is>
          <t>17/03/2026</t>
        </is>
      </c>
      <c r="J14010" s="10" t="inlineStr">
        <is>
          <t>Ngân hàng, Tài chính / Đầu tư</t>
        </is>
      </c>
      <c r="K14010" s="10" t="inlineStr">
        <is>
          <t>3 - 4 Năm</t>
        </is>
      </c>
      <c r="L14010" s="11">
        <f>HYPERLINK("https://careerviet.vn/vi/tim-viec-lam/giam-doc-phong-quan-he-khach-hang-ca-nhan-bvbank-song-han-kv-mien-trung.35C6C020.html","Xem chi tiết")</f>
        <v/>
      </c>
      <c r="M14010" s="10" t="n"/>
    </row>
    <row r="14011">
      <c r="B14011" s="7" t="n">
        <v>14009</v>
      </c>
      <c r="C14011" t="inlineStr">
        <is>
          <t>Giám Đốc Phòng Thanh Tra Chất Lượng Xây Dựng QA.QC</t>
        </is>
      </c>
      <c r="D14011" t="inlineStr">
        <is>
          <t>Công Ty Cổ Phần Tập Đoàn Đầu Tư Địa Ốc No Va</t>
        </is>
      </c>
      <c r="E14011" t="inlineStr">
        <is>
          <t>Lương:Cạnh tranh</t>
        </is>
      </c>
      <c r="F14011" t="inlineStr">
        <is>
          <t>Hồ Chí Minh</t>
        </is>
      </c>
      <c r="G14011" t="inlineStr">
        <is>
          <t>30-04-2026</t>
        </is>
      </c>
      <c r="H14011" t="inlineStr">
        <is>
          <t>30/04/2026</t>
        </is>
      </c>
      <c r="I14011" t="inlineStr">
        <is>
          <t>17/03/2026</t>
        </is>
      </c>
      <c r="J14011" t="inlineStr">
        <is>
          <t>Xây dựng</t>
        </is>
      </c>
      <c r="K14011" t="inlineStr">
        <is>
          <t>Chưa có kinh nghiệm</t>
        </is>
      </c>
      <c r="L14011" s="8">
        <f>HYPERLINK("https://careerviet.vn/vi/tim-viec-lam/giam-doc-phong-thanh-tra-chat-luong-xay-dung-qa-qc.35C6C021.html","Xem chi tiết")</f>
        <v/>
      </c>
    </row>
    <row r="14012">
      <c r="B14012" s="9" t="n">
        <v>14010</v>
      </c>
      <c r="C14012" s="10" t="inlineStr">
        <is>
          <t>Nhân viên IT vận hành phần mềm</t>
        </is>
      </c>
      <c r="D14012" s="10" t="inlineStr">
        <is>
          <t>Tập Đoàn An Phát Holdings</t>
        </is>
      </c>
      <c r="E14012" s="10" t="inlineStr">
        <is>
          <t>Lương:12 Tr - 16 Tr VND</t>
        </is>
      </c>
      <c r="F14012" s="10" t="inlineStr">
        <is>
          <t>Hà Nội</t>
        </is>
      </c>
      <c r="G14012" s="10" t="inlineStr">
        <is>
          <t>11-04-2026</t>
        </is>
      </c>
      <c r="H14012" s="10" t="inlineStr">
        <is>
          <t>11/04/2026</t>
        </is>
      </c>
      <c r="I14012" s="10" t="inlineStr">
        <is>
          <t>17/03/2026</t>
        </is>
      </c>
      <c r="J14012" s="10" t="inlineStr">
        <is>
          <t>CNTT - Phần mềm, Sản xuất / Vận hành sản xuất, CNTT - Phần cứng / Mạng</t>
        </is>
      </c>
      <c r="K14012" s="10" t="inlineStr">
        <is>
          <t>1 - 5 Năm</t>
        </is>
      </c>
      <c r="L14012" s="11">
        <f>HYPERLINK("https://careerviet.vn/vi/tim-viec-lam/nhan-vien-it-van-hanh-phan-mem.35C6C157.html","Xem chi tiết")</f>
        <v/>
      </c>
      <c r="M14012" s="10" t="n"/>
    </row>
    <row r="14013">
      <c r="B14013" s="7" t="n">
        <v>14011</v>
      </c>
      <c r="C14013" t="inlineStr">
        <is>
          <t>Phó Giám đốc Chi nhánh - BVBank Khánh Hòa - KV Miền Trung</t>
        </is>
      </c>
      <c r="D14013" t="inlineStr">
        <is>
          <t>BVBank - Ngân hàng Bản Việt</t>
        </is>
      </c>
      <c r="E14013" t="inlineStr">
        <is>
          <t>Lương:Cạnh tranh</t>
        </is>
      </c>
      <c r="F14013" t="inlineStr">
        <is>
          <t>Khánh Hòa</t>
        </is>
      </c>
      <c r="G14013" t="inlineStr">
        <is>
          <t>10-04-2026</t>
        </is>
      </c>
      <c r="H14013" t="inlineStr">
        <is>
          <t>10/04/2026</t>
        </is>
      </c>
      <c r="I14013" t="inlineStr">
        <is>
          <t>17/03/2026</t>
        </is>
      </c>
      <c r="J14013" t="inlineStr">
        <is>
          <t>Ngân hàng, Tài chính / Đầu tư</t>
        </is>
      </c>
      <c r="K14013" t="inlineStr">
        <is>
          <t>5 - 6 Năm</t>
        </is>
      </c>
      <c r="L14013" s="8">
        <f>HYPERLINK("https://careerviet.vn/vi/tim-viec-lam/pho-giam-doc-chi-nhanh-bvbank-khanh-hoa-kv-mien-trung.35C6C031.html","Xem chi tiết")</f>
        <v/>
      </c>
    </row>
    <row r="14014">
      <c r="B14014" s="9" t="n">
        <v>14012</v>
      </c>
      <c r="C14014" s="10" t="inlineStr">
        <is>
          <t>Nhân Viên Admin Finance (Fulltime)</t>
        </is>
      </c>
      <c r="D14014" s="10" t="inlineStr">
        <is>
          <t>Công Ty TNHH Việt Mỹ-SSU</t>
        </is>
      </c>
      <c r="E14014" s="10" t="inlineStr">
        <is>
          <t>Lương:6 Tr - 8 Tr VND</t>
        </is>
      </c>
      <c r="F14014" s="10" t="inlineStr">
        <is>
          <t>Hồ Chí Minh</t>
        </is>
      </c>
      <c r="G14014" s="10" t="inlineStr">
        <is>
          <t>11-04-2026</t>
        </is>
      </c>
      <c r="H14014" s="10" t="inlineStr">
        <is>
          <t>11/04/2026</t>
        </is>
      </c>
      <c r="I14014" s="10" t="inlineStr">
        <is>
          <t>17/03/2026</t>
        </is>
      </c>
      <c r="J14014" s="10" t="inlineStr">
        <is>
          <t>Kế toán / Kiểm toán</t>
        </is>
      </c>
      <c r="K14014" s="10" t="inlineStr">
        <is>
          <t>Lên đến 1 Năm</t>
        </is>
      </c>
      <c r="L14014" s="11">
        <f>HYPERLINK("https://careerviet.vn/vi/tim-viec-lam/nhan-vien-admin-finance-fulltime.35C6C034.html","Xem chi tiết")</f>
        <v/>
      </c>
      <c r="M14014" s="10" t="n"/>
    </row>
    <row r="14015">
      <c r="B14015" s="7" t="n">
        <v>14013</v>
      </c>
      <c r="C14015" t="inlineStr">
        <is>
          <t>Sales Admin</t>
        </is>
      </c>
      <c r="D14015" t="inlineStr">
        <is>
          <t>TÜV SÜD Vietnam</t>
        </is>
      </c>
      <c r="E14015" t="inlineStr">
        <is>
          <t>Lương:Cạnh tranh</t>
        </is>
      </c>
      <c r="F14015" t="inlineStr">
        <is>
          <t>Hồ Chí Minh</t>
        </is>
      </c>
      <c r="G14015" t="inlineStr">
        <is>
          <t>31-03-2026</t>
        </is>
      </c>
      <c r="H14015" t="inlineStr">
        <is>
          <t>31/03/2026</t>
        </is>
      </c>
      <c r="I14015" t="inlineStr">
        <is>
          <t>17/03/2026</t>
        </is>
      </c>
      <c r="J14015" t="inlineStr">
        <is>
          <t>Hành chính / Thư ký, Bán hàng / Kinh doanh</t>
        </is>
      </c>
      <c r="K14015" t="inlineStr">
        <is>
          <t>1 - 3 Năm</t>
        </is>
      </c>
      <c r="L14015" s="8">
        <f>HYPERLINK("https://careerviet.vn/vi/tim-viec-lam/sales-admin.35C6BEF5.html","Xem chi tiết")</f>
        <v/>
      </c>
    </row>
    <row r="14016">
      <c r="B14016" s="9" t="n">
        <v>14014</v>
      </c>
      <c r="C14016" s="10" t="inlineStr">
        <is>
          <t>Kế toán thanh toán</t>
        </is>
      </c>
      <c r="D14016" s="10" t="inlineStr">
        <is>
          <t>Đại học Quản lý và Công nghệ Thành phố Hồ Chí Minh</t>
        </is>
      </c>
      <c r="E14016" s="10" t="inlineStr">
        <is>
          <t>Lương:Cạnh tranh</t>
        </is>
      </c>
      <c r="F14016" s="10" t="inlineStr">
        <is>
          <t>Hồ Chí Minh</t>
        </is>
      </c>
      <c r="G14016" s="10" t="inlineStr">
        <is>
          <t>11-04-2026</t>
        </is>
      </c>
      <c r="H14016" s="10" t="inlineStr">
        <is>
          <t>11/04/2026</t>
        </is>
      </c>
      <c r="I14016" s="10" t="inlineStr">
        <is>
          <t>17/03/2026</t>
        </is>
      </c>
      <c r="J14016" s="10" t="inlineStr">
        <is>
          <t>Bán hàng / Kinh doanh, Kế toán / Kiểm toán, Tài chính / Đầu tư</t>
        </is>
      </c>
      <c r="K14016" s="10" t="inlineStr">
        <is>
          <t>1 - 3 Năm</t>
        </is>
      </c>
      <c r="L14016" s="11">
        <f>HYPERLINK("https://careerviet.vn/vi/tim-viec-lam/ke-toan-thanh-toan.35C6C00A.html","Xem chi tiết")</f>
        <v/>
      </c>
      <c r="M14016" s="10" t="n"/>
    </row>
    <row r="14017">
      <c r="B14017" s="7" t="n">
        <v>14015</v>
      </c>
      <c r="C14017" t="inlineStr">
        <is>
          <t>Chuyên Viên Tuyển Dụng &amp; Thu Hút Nhân Tài</t>
        </is>
      </c>
      <c r="D14017" t="inlineStr">
        <is>
          <t>Công Ty Cổ Phần GreenFeed Việt Nam</t>
        </is>
      </c>
      <c r="E14017" t="inlineStr">
        <is>
          <t>Lương:Cạnh tranh</t>
        </is>
      </c>
      <c r="F14017" t="inlineStr">
        <is>
          <t>Hưng YênHà Nội</t>
        </is>
      </c>
      <c r="G14017" t="inlineStr">
        <is>
          <t>14-04-2026</t>
        </is>
      </c>
      <c r="H14017" t="inlineStr">
        <is>
          <t>14/04/2026</t>
        </is>
      </c>
      <c r="I14017" t="inlineStr">
        <is>
          <t>17/03/2026</t>
        </is>
      </c>
      <c r="J14017" t="inlineStr">
        <is>
          <t>Nhân sự</t>
        </is>
      </c>
      <c r="K14017" t="inlineStr">
        <is>
          <t>Trên 3 Năm</t>
        </is>
      </c>
      <c r="L14017" s="8">
        <f>HYPERLINK("https://careerviet.vn/vi/tim-viec-lam/chuyen-vien-tuyen-dung-thu-hut-nhan-tai.35C6C024.html","Xem chi tiết")</f>
        <v/>
      </c>
    </row>
    <row r="14018">
      <c r="B14018" s="9" t="n">
        <v>14016</v>
      </c>
      <c r="C14018" s="10" t="inlineStr">
        <is>
          <t>Kiến trúc sư revit</t>
        </is>
      </c>
      <c r="D14018" s="10" t="inlineStr">
        <is>
          <t>Công ty cổ phần tư vấn và xây dựng KM Việt Nam</t>
        </is>
      </c>
      <c r="E14018" s="10" t="inlineStr">
        <is>
          <t>Lương:10 Tr - 18 Tr VND</t>
        </is>
      </c>
      <c r="F14018" s="10" t="inlineStr">
        <is>
          <t>Hà Nội</t>
        </is>
      </c>
      <c r="G14018" s="10" t="inlineStr">
        <is>
          <t>31-03-2026</t>
        </is>
      </c>
      <c r="H14018" s="10" t="inlineStr">
        <is>
          <t>31/03/2026</t>
        </is>
      </c>
      <c r="I14018" s="10" t="inlineStr">
        <is>
          <t>17/03/2026</t>
        </is>
      </c>
      <c r="J14018" s="10" t="inlineStr">
        <is>
          <t>Mỹ thuật / Nghệ thuật / Thiết kế</t>
        </is>
      </c>
      <c r="K14018" s="10" t="inlineStr">
        <is>
          <t>Chưa có kinh nghiệm</t>
        </is>
      </c>
      <c r="L14018" s="11">
        <f>HYPERLINK("https://careerviet.vn/vi/tim-viec-lam/kien-truc-su-revit.35C6C013.html","Xem chi tiết")</f>
        <v/>
      </c>
      <c r="M14018" s="10" t="n"/>
    </row>
    <row r="14019">
      <c r="B14019" s="7" t="n">
        <v>14017</v>
      </c>
      <c r="C14019" t="inlineStr">
        <is>
          <t>HR Executive (Chuyên Viên Nhân Sự)</t>
        </is>
      </c>
      <c r="D14019" t="inlineStr">
        <is>
          <t>CÔNG TY TNHH VẬN TẢI BIỂN ĐÔNG LONG</t>
        </is>
      </c>
      <c r="E14019" t="inlineStr">
        <is>
          <t>Lương:Cạnh tranh</t>
        </is>
      </c>
      <c r="F14019" t="inlineStr">
        <is>
          <t>Hồ Chí Minh</t>
        </is>
      </c>
      <c r="G14019" t="inlineStr">
        <is>
          <t>10-04-2026</t>
        </is>
      </c>
      <c r="H14019" t="inlineStr">
        <is>
          <t>10/04/2026</t>
        </is>
      </c>
      <c r="I14019" t="inlineStr">
        <is>
          <t>17/03/2026</t>
        </is>
      </c>
      <c r="J14019" t="inlineStr">
        <is>
          <t>Nhân sự, Hành chính / Thư ký, Luật / Pháp lý</t>
        </is>
      </c>
      <c r="K14019" t="inlineStr">
        <is>
          <t>1 - 2 Năm</t>
        </is>
      </c>
      <c r="L14019" s="8">
        <f>HYPERLINK("https://careerviet.vn/vi/tim-viec-lam/hr-executive-chuyen-vien-nhan-su.35C6C016.html","Xem chi tiết")</f>
        <v/>
      </c>
    </row>
    <row r="14020">
      <c r="B14020" s="9" t="n">
        <v>14018</v>
      </c>
      <c r="C14020" s="10" t="inlineStr">
        <is>
          <t>Trưởng Phòng Sản Xuất (Khánh Hòa)</t>
        </is>
      </c>
      <c r="D14020" s="10" t="inlineStr">
        <is>
          <t>CareerViet's client</t>
        </is>
      </c>
      <c r="E14020" s="10" t="inlineStr">
        <is>
          <t>Lương:Cạnh tranh</t>
        </is>
      </c>
      <c r="F14020" s="10" t="inlineStr">
        <is>
          <t>Khánh Hòa</t>
        </is>
      </c>
      <c r="G14020" s="10" t="inlineStr">
        <is>
          <t>31-05-2026</t>
        </is>
      </c>
      <c r="H14020" s="10" t="inlineStr">
        <is>
          <t>31/05/2026</t>
        </is>
      </c>
      <c r="I14020" s="10" t="inlineStr">
        <is>
          <t>17/03/2026</t>
        </is>
      </c>
      <c r="J14020" s="10" t="inlineStr">
        <is>
          <t>Công nghệ thực phẩm / Dinh dưỡng, Sản xuất / Vận hành sản xuất</t>
        </is>
      </c>
      <c r="K14020" s="10" t="inlineStr">
        <is>
          <t>2 - 3 Năm</t>
        </is>
      </c>
      <c r="L14020" s="11">
        <f>HYPERLINK("https://careerviet.vn/vi/tim-viec-lam/truong-phong-san-xuat-khanh-hoa.35C6C012.html","Xem chi tiết")</f>
        <v/>
      </c>
      <c r="M14020" s="10" t="n"/>
    </row>
    <row r="14021">
      <c r="B14021" s="7" t="n">
        <v>14019</v>
      </c>
      <c r="C14021" t="inlineStr">
        <is>
          <t>Kỹ sư cơ điện (HVAC, Điều hòa không khí, Cấp thoát nước...)</t>
        </is>
      </c>
      <c r="D14021" t="inlineStr">
        <is>
          <t>Công ty cổ phần tư vấn và xây dựng KM Việt Nam</t>
        </is>
      </c>
      <c r="E14021" t="inlineStr">
        <is>
          <t>Lương:Trên 10 Tr VND</t>
        </is>
      </c>
      <c r="F14021" t="inlineStr">
        <is>
          <t>Hà Nội</t>
        </is>
      </c>
      <c r="G14021" t="inlineStr">
        <is>
          <t>11-03-2026</t>
        </is>
      </c>
      <c r="H14021" t="inlineStr">
        <is>
          <t>19/07/2024</t>
        </is>
      </c>
      <c r="I14021" t="inlineStr">
        <is>
          <t>17/03/2026</t>
        </is>
      </c>
      <c r="J14021" t="inlineStr">
        <is>
          <t>Cơ khí / Ô tô / Tự động hóa, Điện / Điện tử / Điện lạnh / Điện công nghiệp, Xây dựng</t>
        </is>
      </c>
      <c r="K14021" t="inlineStr">
        <is>
          <t>N/A</t>
        </is>
      </c>
      <c r="L14021" s="8">
        <f>HYPERLINK("https://careerviet.vn/vi/tim-viec-lam/ky-su-co-dien-hvac-dieu-hoa-khong-khi-cap-thoat-nuoc.35C0E7E4.html","Xem chi tiết")</f>
        <v/>
      </c>
    </row>
    <row r="14022">
      <c r="B14022" s="9" t="n">
        <v>14020</v>
      </c>
      <c r="C14022" s="10" t="inlineStr">
        <is>
          <t>Nhân viên đăng ký thuốc - RA</t>
        </is>
      </c>
      <c r="D14022" s="10" t="inlineStr">
        <is>
          <t>BOSTON PHARMA - Công Ty CP Dược Phẩm Boston Việt Nam</t>
        </is>
      </c>
      <c r="E14022" s="10" t="inlineStr">
        <is>
          <t>Lương:Cạnh tranh</t>
        </is>
      </c>
      <c r="F14022" s="10" t="inlineStr">
        <is>
          <t>Bình Dương</t>
        </is>
      </c>
      <c r="G14022" s="10" t="inlineStr">
        <is>
          <t>28-03-2026</t>
        </is>
      </c>
      <c r="H14022" s="10" t="inlineStr">
        <is>
          <t>28/03/2026</t>
        </is>
      </c>
      <c r="I14022" s="10" t="inlineStr">
        <is>
          <t>17/03/2026</t>
        </is>
      </c>
      <c r="J14022" s="10" t="inlineStr">
        <is>
          <t>Dược phẩm/ Hóa Mỹ Phẩm</t>
        </is>
      </c>
      <c r="K14022" s="10" t="inlineStr">
        <is>
          <t>1 - 3 Năm</t>
        </is>
      </c>
      <c r="L14022" s="11">
        <f>HYPERLINK("https://careerviet.vn/vi/tim-viec-lam/nhan-vien-dang-ky-thuoc-ra.35C6C005.html","Xem chi tiết")</f>
        <v/>
      </c>
      <c r="M14022" s="10" t="n"/>
    </row>
    <row r="14023">
      <c r="B14023" s="7" t="n">
        <v>14021</v>
      </c>
      <c r="C14023" t="inlineStr">
        <is>
          <t>Nhân viên hành chính</t>
        </is>
      </c>
      <c r="D14023" t="inlineStr">
        <is>
          <t>Công ty Cổ phần IntelLife</t>
        </is>
      </c>
      <c r="E14023" t="inlineStr">
        <is>
          <t>Lương:10 Tr - 12 Tr VND</t>
        </is>
      </c>
      <c r="F14023" t="inlineStr">
        <is>
          <t>Hà Nội</t>
        </is>
      </c>
      <c r="G14023" t="inlineStr">
        <is>
          <t>30-04-2026</t>
        </is>
      </c>
      <c r="H14023" t="inlineStr">
        <is>
          <t>30/04/2026</t>
        </is>
      </c>
      <c r="I14023" t="inlineStr">
        <is>
          <t>17/03/2026</t>
        </is>
      </c>
      <c r="J14023" t="inlineStr">
        <is>
          <t>Hành chính / Thư ký</t>
        </is>
      </c>
      <c r="K14023" t="inlineStr">
        <is>
          <t>Trên 2 Năm</t>
        </is>
      </c>
      <c r="L14023" s="8">
        <f>HYPERLINK("https://careerviet.vn/vi/tim-viec-lam/nhan-vien-hanh-chinh.35C6C006.html","Xem chi tiết")</f>
        <v/>
      </c>
    </row>
    <row r="14024">
      <c r="B14024" s="9" t="n">
        <v>14022</v>
      </c>
      <c r="C14024" s="10" t="inlineStr">
        <is>
          <t>Kỹ Sư Hệ Thống Cấp Thoát Nước</t>
        </is>
      </c>
      <c r="D14024" s="10" t="inlineStr">
        <is>
          <t>CT CP Tập Đoàn Thái Tuấn</t>
        </is>
      </c>
      <c r="E14024" s="10" t="inlineStr">
        <is>
          <t>Lương:Cạnh tranh</t>
        </is>
      </c>
      <c r="F14024" s="10" t="inlineStr">
        <is>
          <t>Hồ Chí Minh</t>
        </is>
      </c>
      <c r="G14024" s="10" t="inlineStr">
        <is>
          <t>03-04-2026</t>
        </is>
      </c>
      <c r="H14024" s="10" t="inlineStr">
        <is>
          <t>03/04/2026</t>
        </is>
      </c>
      <c r="I14024" s="10" t="inlineStr">
        <is>
          <t>17/03/2026</t>
        </is>
      </c>
      <c r="J14024" s="10" t="inlineStr">
        <is>
          <t>Điện / Điện tử / Điện lạnh / Điện công nghiệp, Xây dựng</t>
        </is>
      </c>
      <c r="K14024" s="10" t="inlineStr">
        <is>
          <t>5 - 10 Năm</t>
        </is>
      </c>
      <c r="L14024" s="11">
        <f>HYPERLINK("https://careerviet.vn/vi/tim-viec-lam/ky-su-he-thong-cap-thoat-nuoc.35C6C008.html","Xem chi tiết")</f>
        <v/>
      </c>
      <c r="M14024" s="10" t="n"/>
    </row>
    <row r="14025">
      <c r="B14025" s="7" t="n">
        <v>14023</v>
      </c>
      <c r="C14025" t="inlineStr">
        <is>
          <t>Trưởng Phòng QAC (Khánh Hòa)</t>
        </is>
      </c>
      <c r="D14025" t="inlineStr">
        <is>
          <t>Bảo mật</t>
        </is>
      </c>
      <c r="E14025" t="inlineStr">
        <is>
          <t>Lương:Cạnh tranh</t>
        </is>
      </c>
      <c r="F14025" t="inlineStr">
        <is>
          <t>Khánh Hòa</t>
        </is>
      </c>
      <c r="G14025" t="inlineStr">
        <is>
          <t>30-05-2026</t>
        </is>
      </c>
      <c r="H14025" t="inlineStr">
        <is>
          <t>30/05/2026</t>
        </is>
      </c>
      <c r="I14025" t="inlineStr">
        <is>
          <t>17/03/2026</t>
        </is>
      </c>
      <c r="J14025" t="inlineStr">
        <is>
          <t>Công nghệ thực phẩm / Dinh dưỡng, Quản lý chất lượng (QA/QC)</t>
        </is>
      </c>
      <c r="K14025" t="inlineStr">
        <is>
          <t>2 - 3 Năm</t>
        </is>
      </c>
      <c r="L14025" s="8">
        <f>HYPERLINK("https://careerviet.vn/vi/tim-viec-lam/truong-phong-qac-khanh-hoa.35C6C000.html","Xem chi tiết")</f>
        <v/>
      </c>
    </row>
    <row r="14026">
      <c r="B14026" s="9" t="n">
        <v>14024</v>
      </c>
      <c r="C14026" s="10" t="inlineStr">
        <is>
          <t>Nhân viên Kế Toán Thanh Toán</t>
        </is>
      </c>
      <c r="D14026" s="10" t="inlineStr">
        <is>
          <t>Công ty Cổ phần IntelLife</t>
        </is>
      </c>
      <c r="E14026" s="10" t="inlineStr">
        <is>
          <t>Lương:10 Tr - 14 Tr VND</t>
        </is>
      </c>
      <c r="F14026" s="10" t="inlineStr">
        <is>
          <t>Hà Nội</t>
        </is>
      </c>
      <c r="G14026" s="10" t="inlineStr">
        <is>
          <t>30-04-2026</t>
        </is>
      </c>
      <c r="H14026" s="10" t="inlineStr">
        <is>
          <t>30/04/2026</t>
        </is>
      </c>
      <c r="I14026" s="10" t="inlineStr">
        <is>
          <t>17/03/2026</t>
        </is>
      </c>
      <c r="J14026" s="10" t="inlineStr">
        <is>
          <t>Kế toán / Kiểm toán</t>
        </is>
      </c>
      <c r="K14026" s="10" t="inlineStr">
        <is>
          <t>Trên 2 Năm</t>
        </is>
      </c>
      <c r="L14026" s="11">
        <f>HYPERLINK("https://careerviet.vn/vi/tim-viec-lam/nhan-vien-ke-toan-thanh-toan.35C6C007.html","Xem chi tiết")</f>
        <v/>
      </c>
      <c r="M14026" s="10" t="n"/>
    </row>
    <row r="14027">
      <c r="B14027" s="7" t="n">
        <v>14025</v>
      </c>
      <c r="C14027" t="inlineStr">
        <is>
          <t>KIỂN NGHIỆM VIÊN PHÁT TRIỂN PHƯƠNG PHÁP PHÂN TÍCH - QC RD</t>
        </is>
      </c>
      <c r="D14027" t="inlineStr">
        <is>
          <t>BOSTON PHARMA - Công Ty CP Dược Phẩm Boston Việt Nam</t>
        </is>
      </c>
      <c r="E14027" t="inlineStr">
        <is>
          <t>Lương:Cạnh tranh</t>
        </is>
      </c>
      <c r="F14027" t="inlineStr">
        <is>
          <t>Bình Dương</t>
        </is>
      </c>
      <c r="G14027" t="inlineStr">
        <is>
          <t>30-03-2026</t>
        </is>
      </c>
      <c r="H14027" t="inlineStr">
        <is>
          <t>30/03/2026</t>
        </is>
      </c>
      <c r="I14027" t="inlineStr">
        <is>
          <t>17/03/2026</t>
        </is>
      </c>
      <c r="J14027" t="inlineStr">
        <is>
          <t>Dược phẩm/ Hóa Mỹ Phẩm, Công nghệ sinh học, Hóa học</t>
        </is>
      </c>
      <c r="K14027" t="inlineStr">
        <is>
          <t>Chưa có kinh nghiệm</t>
        </is>
      </c>
      <c r="L14027" s="8">
        <f>HYPERLINK("https://careerviet.vn/vi/tim-viec-lam/kien-nghiem-vien-phat-trien-phuong-phap-phan-tich-qc-rd.35C6BFF9.html","Xem chi tiết")</f>
        <v/>
      </c>
    </row>
    <row r="14028">
      <c r="B14028" s="9" t="n">
        <v>14026</v>
      </c>
      <c r="C14028" s="10" t="inlineStr">
        <is>
          <t>NHÂN VIÊN SALES ADMIN (SẢN XUẤT - TRỊ AN, ĐỒNG NAI)</t>
        </is>
      </c>
      <c r="D14028" s="10" t="inlineStr">
        <is>
          <t>CÔNG TY TNHH MTV HƯƠNG VĨNH CỬU</t>
        </is>
      </c>
      <c r="E14028" s="10" t="inlineStr">
        <is>
          <t>Lương:8 Tr - 12 Tr VND</t>
        </is>
      </c>
      <c r="F14028" s="10" t="inlineStr">
        <is>
          <t>Đồng Nai</t>
        </is>
      </c>
      <c r="G14028" s="10" t="inlineStr">
        <is>
          <t>10-04-2026</t>
        </is>
      </c>
      <c r="H14028" s="10" t="inlineStr">
        <is>
          <t>10/04/2026</t>
        </is>
      </c>
      <c r="I14028" s="10" t="inlineStr">
        <is>
          <t>17/03/2026</t>
        </is>
      </c>
      <c r="J14028" s="10" t="inlineStr">
        <is>
          <t>Tiếp thị / Marketing, Bán hàng / Kinh doanh, Kế toán / Kiểm toán</t>
        </is>
      </c>
      <c r="K14028" s="10" t="inlineStr">
        <is>
          <t>1 - 2 Năm</t>
        </is>
      </c>
      <c r="L14028" s="11">
        <f>HYPERLINK("https://careerviet.vn/vi/tim-viec-lam/nhan-vien-sales-admin-san-xuat-tri-an-dong-nai.35C6C030.html","Xem chi tiết")</f>
        <v/>
      </c>
      <c r="M14028" s="10" t="n"/>
    </row>
    <row r="14029">
      <c r="B14029" s="7" t="n">
        <v>14027</v>
      </c>
      <c r="C14029" t="inlineStr">
        <is>
          <t>Nhân viên nghiên cứu và phát triển - RD</t>
        </is>
      </c>
      <c r="D14029" t="inlineStr">
        <is>
          <t>BOSTON PHARMA - Công Ty CP Dược Phẩm Boston Việt Nam</t>
        </is>
      </c>
      <c r="E14029" t="inlineStr">
        <is>
          <t>Lương:Cạnh tranh</t>
        </is>
      </c>
      <c r="F14029" t="inlineStr">
        <is>
          <t>Bình Dương</t>
        </is>
      </c>
      <c r="G14029" t="inlineStr">
        <is>
          <t>31-03-2026</t>
        </is>
      </c>
      <c r="H14029" t="inlineStr">
        <is>
          <t>31/03/2026</t>
        </is>
      </c>
      <c r="I14029" t="inlineStr">
        <is>
          <t>17/03/2026</t>
        </is>
      </c>
      <c r="J14029" t="inlineStr">
        <is>
          <t>Dược phẩm/ Hóa Mỹ Phẩm</t>
        </is>
      </c>
      <c r="K14029" t="inlineStr">
        <is>
          <t>1 - 3 Năm</t>
        </is>
      </c>
      <c r="L14029" s="8">
        <f>HYPERLINK("https://careerviet.vn/vi/tim-viec-lam/nhan-vien-nghien-cuu-va-phat-trien-rd.35C6BFF2.html","Xem chi tiết")</f>
        <v/>
      </c>
    </row>
    <row r="14030">
      <c r="B14030" s="9" t="n">
        <v>14028</v>
      </c>
      <c r="C14030" s="10" t="inlineStr">
        <is>
          <t>Nhân viên nhân sự tổng hợp</t>
        </is>
      </c>
      <c r="D14030" s="10" t="inlineStr">
        <is>
          <t>Công ty TNHH Thương Mại &amp; Dịch Vụ Tri Linh</t>
        </is>
      </c>
      <c r="E14030" s="10" t="inlineStr">
        <is>
          <t>Lương:9 Tr - 11 Tr VND</t>
        </is>
      </c>
      <c r="F14030" s="10" t="inlineStr">
        <is>
          <t>Hồ Chí Minh</t>
        </is>
      </c>
      <c r="G14030" s="10" t="inlineStr">
        <is>
          <t>30-04-2026</t>
        </is>
      </c>
      <c r="H14030" s="10" t="inlineStr">
        <is>
          <t>30/04/2026</t>
        </is>
      </c>
      <c r="I14030" s="10" t="inlineStr">
        <is>
          <t>17/03/2026</t>
        </is>
      </c>
      <c r="J14030" s="10" t="inlineStr">
        <is>
          <t>Nhân sự</t>
        </is>
      </c>
      <c r="K14030" s="10" t="inlineStr">
        <is>
          <t>2 - 3 Năm</t>
        </is>
      </c>
      <c r="L14030" s="11">
        <f>HYPERLINK("https://careerviet.vn/vi/tim-viec-lam/nhan-vien-nhan-su-tong-hop.35C6C00C.html","Xem chi tiết")</f>
        <v/>
      </c>
      <c r="M14030" s="10" t="n"/>
    </row>
    <row r="14031">
      <c r="B14031" s="7" t="n">
        <v>14029</v>
      </c>
      <c r="C14031" t="inlineStr">
        <is>
          <t>Nhân viên Đối ngoại (CSR)</t>
        </is>
      </c>
      <c r="D14031" t="inlineStr">
        <is>
          <t>Công ty Cổ Phần Tập Đoàn Thiên Long</t>
        </is>
      </c>
      <c r="E14031" t="inlineStr">
        <is>
          <t>Lương:Cạnh tranh</t>
        </is>
      </c>
      <c r="F14031" t="inlineStr">
        <is>
          <t>Hồ Chí Minh</t>
        </is>
      </c>
      <c r="G14031" t="inlineStr">
        <is>
          <t>11-04-2026</t>
        </is>
      </c>
      <c r="H14031" t="inlineStr">
        <is>
          <t>11/04/2026</t>
        </is>
      </c>
      <c r="I14031" t="inlineStr">
        <is>
          <t>17/03/2026</t>
        </is>
      </c>
      <c r="J14031" t="inlineStr">
        <is>
          <t>Tiếp thị / Marketing</t>
        </is>
      </c>
      <c r="K14031" t="inlineStr">
        <is>
          <t>null - null Năm</t>
        </is>
      </c>
      <c r="L14031" s="8">
        <f>HYPERLINK("https://careerviet.vn/vi/tim-viec-lam/nhan-vien-doi-ngoai-csr.35C6C001.html","Xem chi tiết")</f>
        <v/>
      </c>
    </row>
    <row r="14032">
      <c r="B14032" s="9" t="n">
        <v>14030</v>
      </c>
      <c r="C14032" s="10" t="inlineStr">
        <is>
          <t>Kiểm soát viên Hỗ trợ tín dụng - Khu vực Hà Nội</t>
        </is>
      </c>
      <c r="D14032" s="10" t="inlineStr">
        <is>
          <t>Ngân Hàng TMCP Sài Gòn - Hà Nội ( SHB )</t>
        </is>
      </c>
      <c r="E14032" s="10" t="inlineStr">
        <is>
          <t>Lương:Cạnh tranh</t>
        </is>
      </c>
      <c r="F14032" s="10" t="inlineStr">
        <is>
          <t>Hà Nội</t>
        </is>
      </c>
      <c r="G14032" s="10" t="inlineStr">
        <is>
          <t>08-04-2026</t>
        </is>
      </c>
      <c r="H14032" s="10" t="inlineStr">
        <is>
          <t>08/04/2026</t>
        </is>
      </c>
      <c r="I14032" s="10" t="inlineStr">
        <is>
          <t>17/03/2026</t>
        </is>
      </c>
      <c r="J14032" s="10" t="inlineStr">
        <is>
          <t>Ngân hàng</t>
        </is>
      </c>
      <c r="K14032" s="10" t="inlineStr">
        <is>
          <t>Trên 3 Năm</t>
        </is>
      </c>
      <c r="L14032" s="11">
        <f>HYPERLINK("https://careerviet.vn/vi/tim-viec-lam/kiem-soat-vien-ho-tro-tin-dung-khu-vuc-ha-noi.35C6C00E.html","Xem chi tiết")</f>
        <v/>
      </c>
      <c r="M14032" s="10" t="n"/>
    </row>
    <row r="14033">
      <c r="B14033" s="7" t="n">
        <v>14031</v>
      </c>
      <c r="C14033" t="inlineStr">
        <is>
          <t>Chuyên viên Quản lý Công trình</t>
        </is>
      </c>
      <c r="D14033" t="inlineStr">
        <is>
          <t>Công ty TNHH ENP BIOTECH (VN)</t>
        </is>
      </c>
      <c r="E14033" t="inlineStr">
        <is>
          <t>Lương:15 Tr - 20 Tr VND</t>
        </is>
      </c>
      <c r="F14033" t="inlineStr">
        <is>
          <t>Khánh Hòa</t>
        </is>
      </c>
      <c r="G14033" t="inlineStr">
        <is>
          <t>11-04-2026</t>
        </is>
      </c>
      <c r="H14033" t="inlineStr">
        <is>
          <t>11/04/2026</t>
        </is>
      </c>
      <c r="I14033" t="inlineStr">
        <is>
          <t>17/03/2026</t>
        </is>
      </c>
      <c r="J14033" t="inlineStr">
        <is>
          <t>Chăn nuôi / Thú y, Nông nghiệp, Xây dựng</t>
        </is>
      </c>
      <c r="K14033" t="inlineStr">
        <is>
          <t>Chưa có kinh nghiệm</t>
        </is>
      </c>
      <c r="L14033" s="8">
        <f>HYPERLINK("https://careerviet.vn/vi/tim-viec-lam/chuyen-vien-quan-ly-cong-trinh.35C6C00D.html","Xem chi tiết")</f>
        <v/>
      </c>
    </row>
    <row r="14034">
      <c r="B14034" s="9" t="n">
        <v>14032</v>
      </c>
      <c r="C14034" s="10" t="inlineStr">
        <is>
          <t>Nhân Viên Campaign Execution</t>
        </is>
      </c>
      <c r="D14034" s="10" t="inlineStr">
        <is>
          <t>Công Ty TNHH Việt Mỹ-SSU</t>
        </is>
      </c>
      <c r="E14034" s="10" t="inlineStr">
        <is>
          <t>Lương:Trên 7,3 Tr VND</t>
        </is>
      </c>
      <c r="F14034" s="10" t="inlineStr">
        <is>
          <t>Hồ Chí Minh</t>
        </is>
      </c>
      <c r="G14034" s="10" t="inlineStr">
        <is>
          <t>31-03-2026</t>
        </is>
      </c>
      <c r="H14034" s="10" t="inlineStr">
        <is>
          <t>31/03/2026</t>
        </is>
      </c>
      <c r="I14034" s="10" t="inlineStr">
        <is>
          <t>17/03/2026</t>
        </is>
      </c>
      <c r="J14034" s="10" t="inlineStr">
        <is>
          <t>Thương mại điện tử, Tiếp thị / Marketing</t>
        </is>
      </c>
      <c r="K14034" s="10" t="inlineStr">
        <is>
          <t>1 - 2 Năm</t>
        </is>
      </c>
      <c r="L14034" s="11">
        <f>HYPERLINK("https://careerviet.vn/vi/tim-viec-lam/nhan-vien-campaign-execution.35C6BFF8.html","Xem chi tiết")</f>
        <v/>
      </c>
      <c r="M14034" s="10" t="n"/>
    </row>
    <row r="14035">
      <c r="B14035" s="7" t="n">
        <v>14033</v>
      </c>
      <c r="C14035" t="inlineStr">
        <is>
          <t>CHUYÊN VIÊN TƯ VẤN ĐỊNH CƯ &amp; DI TRÚ</t>
        </is>
      </c>
      <c r="D14035" t="inlineStr">
        <is>
          <t>CÔNG TY TNHH DI TRÚ VÀ QUỐC TỊCH</t>
        </is>
      </c>
      <c r="E14035" t="inlineStr">
        <is>
          <t>Lương:Cạnh tranh</t>
        </is>
      </c>
      <c r="F14035" t="inlineStr">
        <is>
          <t>Hồ Chí Minh</t>
        </is>
      </c>
      <c r="G14035" t="inlineStr">
        <is>
          <t>11-04-2026</t>
        </is>
      </c>
      <c r="H14035" t="inlineStr">
        <is>
          <t>11/04/2026</t>
        </is>
      </c>
      <c r="I14035" t="inlineStr">
        <is>
          <t>17/03/2026</t>
        </is>
      </c>
      <c r="J14035" t="inlineStr">
        <is>
          <t>Tư vấn, Bán hàng / Kinh doanh, Dịch vụ khách hàng</t>
        </is>
      </c>
      <c r="K14035" t="inlineStr">
        <is>
          <t>1 - 2 Năm</t>
        </is>
      </c>
      <c r="L14035" s="8">
        <f>HYPERLINK("https://careerviet.vn/vi/tim-viec-lam/chuyen-vien-tu-van-dinh-cu-di-tru.35C6BFAE.html","Xem chi tiết")</f>
        <v/>
      </c>
    </row>
    <row r="14036">
      <c r="B14036" s="9" t="n">
        <v>14034</v>
      </c>
      <c r="C14036" s="10" t="inlineStr">
        <is>
          <t>Nhân viên Campaign Execution</t>
        </is>
      </c>
      <c r="D14036" s="10" t="inlineStr">
        <is>
          <t>Công Ty TNHH Việt Mỹ-SSU</t>
        </is>
      </c>
      <c r="E14036" s="10" t="inlineStr">
        <is>
          <t>Lương:7 Tr - 8 Tr VND</t>
        </is>
      </c>
      <c r="F14036" s="10" t="inlineStr">
        <is>
          <t>Hồ Chí Minh</t>
        </is>
      </c>
      <c r="G14036" s="10" t="inlineStr">
        <is>
          <t>10-04-2026</t>
        </is>
      </c>
      <c r="H14036" s="10" t="inlineStr">
        <is>
          <t>10/04/2026</t>
        </is>
      </c>
      <c r="I14036" s="10" t="inlineStr">
        <is>
          <t>17/03/2026</t>
        </is>
      </c>
      <c r="J14036" s="10" t="inlineStr">
        <is>
          <t>Dịch vụ khách hàng, Thương mại điện tử</t>
        </is>
      </c>
      <c r="K14036" s="10" t="inlineStr">
        <is>
          <t>Lên đến 1 Năm</t>
        </is>
      </c>
      <c r="L14036" s="11">
        <f>HYPERLINK("https://careerviet.vn/vi/tim-viec-lam/nhan-vien-campaign-execution.35C6C018.html","Xem chi tiết")</f>
        <v/>
      </c>
      <c r="M14036" s="10" t="n"/>
    </row>
    <row r="14037">
      <c r="B14037" s="7" t="n">
        <v>14035</v>
      </c>
      <c r="C14037" t="inlineStr">
        <is>
          <t>Giám sát an toàn lao động</t>
        </is>
      </c>
      <c r="D14037" t="inlineStr">
        <is>
          <t>CÔNG TY TNHH SẢN XUẤT THƯƠNG MẠI XÂY DỰNG PHÚ KHẢI</t>
        </is>
      </c>
      <c r="E14037" t="inlineStr">
        <is>
          <t>Lương:16 Tr - 25 Tr VND</t>
        </is>
      </c>
      <c r="F14037" t="inlineStr">
        <is>
          <t>Hồ Chí Minh</t>
        </is>
      </c>
      <c r="G14037" t="inlineStr">
        <is>
          <t>30-04-2026</t>
        </is>
      </c>
      <c r="H14037" t="inlineStr">
        <is>
          <t>30/04/2026</t>
        </is>
      </c>
      <c r="I14037" t="inlineStr">
        <is>
          <t>17/03/2026</t>
        </is>
      </c>
      <c r="J14037" t="inlineStr">
        <is>
          <t>Xây dựng, Điện / Điện tử / Điện lạnh / Điện công nghiệp</t>
        </is>
      </c>
      <c r="K14037" t="inlineStr">
        <is>
          <t>Trên 2 Năm</t>
        </is>
      </c>
      <c r="L14037" s="8">
        <f>HYPERLINK("https://careerviet.vn/vi/tim-viec-lam/giam-sat-an-toan-lao-dong.35C6BFFA.html","Xem chi tiết")</f>
        <v/>
      </c>
    </row>
    <row r="14038">
      <c r="B14038" s="9" t="n">
        <v>14036</v>
      </c>
      <c r="C14038" s="10" t="inlineStr">
        <is>
          <t>Thực tập sinh nhân sự (thiên tuyển dụng) - Fulltime</t>
        </is>
      </c>
      <c r="D14038" s="10" t="inlineStr">
        <is>
          <t>Công ty TNHH Khải Minh Group</t>
        </is>
      </c>
      <c r="E14038" s="10" t="inlineStr">
        <is>
          <t>Lương:2 Tr - 4 Tr VND</t>
        </is>
      </c>
      <c r="F14038" s="10" t="inlineStr">
        <is>
          <t>Hà Nội</t>
        </is>
      </c>
      <c r="G14038" s="10" t="inlineStr">
        <is>
          <t>31-03-2026</t>
        </is>
      </c>
      <c r="H14038" s="10" t="inlineStr">
        <is>
          <t>31/03/2026</t>
        </is>
      </c>
      <c r="I14038" s="10" t="inlineStr">
        <is>
          <t>17/03/2026</t>
        </is>
      </c>
      <c r="J14038" s="10" t="inlineStr">
        <is>
          <t>Nhân sự, Hành chính / Thư ký</t>
        </is>
      </c>
      <c r="K14038" s="10" t="inlineStr">
        <is>
          <t>N/A</t>
        </is>
      </c>
      <c r="L14038" s="11">
        <f>HYPERLINK("https://careerviet.vn/vi/tim-viec-lam/thuc-tap-sinh-nhan-su-thien-tuyen-dung-fulltime.35C6C003.html","Xem chi tiết")</f>
        <v/>
      </c>
      <c r="M14038" s="10" t="n"/>
    </row>
    <row r="14039">
      <c r="B14039" s="7" t="n">
        <v>14037</v>
      </c>
      <c r="C14039" t="inlineStr">
        <is>
          <t>Nhân Viên Kinh Doanh – Ngành Hàng Tim Mạch Can Thiệp</t>
        </is>
      </c>
      <c r="D14039" t="inlineStr">
        <is>
          <t>Công ty Cổ phần Dược phẩm Đại Tín</t>
        </is>
      </c>
      <c r="E14039" t="inlineStr">
        <is>
          <t>Lương:12 Tr - 18 Tr VND</t>
        </is>
      </c>
      <c r="F14039" t="inlineStr">
        <is>
          <t>Hồ Chí Minh</t>
        </is>
      </c>
      <c r="G14039" t="inlineStr">
        <is>
          <t>10-04-2026</t>
        </is>
      </c>
      <c r="H14039" t="inlineStr">
        <is>
          <t>10/04/2026</t>
        </is>
      </c>
      <c r="I14039" t="inlineStr">
        <is>
          <t>17/03/2026</t>
        </is>
      </c>
      <c r="J14039" t="inlineStr">
        <is>
          <t>Dược phẩm/ Hóa Mỹ Phẩm</t>
        </is>
      </c>
      <c r="K14039" t="inlineStr">
        <is>
          <t>Trên 1 Năm</t>
        </is>
      </c>
      <c r="L14039" s="8">
        <f>HYPERLINK("https://careerviet.vn/vi/tim-viec-lam/nhan-vien-kinh-doanh-nganh-hang-tim-mach-can-thiep.35C6BFFD.html","Xem chi tiết")</f>
        <v/>
      </c>
    </row>
    <row r="14040">
      <c r="B14040" s="9" t="n">
        <v>14038</v>
      </c>
      <c r="C14040" s="10" t="inlineStr">
        <is>
          <t>Trưởng Phòng Bảo Trì (Khánh Hòa)</t>
        </is>
      </c>
      <c r="D14040" s="10" t="inlineStr">
        <is>
          <t>CareerViet's client</t>
        </is>
      </c>
      <c r="E14040" s="10" t="inlineStr">
        <is>
          <t>Lương:Cạnh tranh</t>
        </is>
      </c>
      <c r="F14040" s="10" t="inlineStr">
        <is>
          <t>Khánh Hòa</t>
        </is>
      </c>
      <c r="G14040" s="10" t="inlineStr">
        <is>
          <t>30-05-2026</t>
        </is>
      </c>
      <c r="H14040" s="10" t="inlineStr">
        <is>
          <t>30/05/2026</t>
        </is>
      </c>
      <c r="I14040" s="10" t="inlineStr">
        <is>
          <t>17/03/2026</t>
        </is>
      </c>
      <c r="J14040" s="10" t="inlineStr">
        <is>
          <t>Bảo trì / Sửa chữa</t>
        </is>
      </c>
      <c r="K14040" s="10" t="inlineStr">
        <is>
          <t>2 - 3 Năm</t>
        </is>
      </c>
      <c r="L14040" s="11">
        <f>HYPERLINK("https://careerviet.vn/vi/tim-viec-lam/truong-phong-bao-tri-khanh-hoa.35C6BFF3.html","Xem chi tiết")</f>
        <v/>
      </c>
      <c r="M14040" s="10" t="n"/>
    </row>
    <row r="14041">
      <c r="B14041" s="7" t="n">
        <v>14039</v>
      </c>
      <c r="C14041" t="inlineStr">
        <is>
          <t>Nhân viên mua hàng Purchasing Staff</t>
        </is>
      </c>
      <c r="D14041" t="inlineStr">
        <is>
          <t>CÔNG TY TNHH B &amp; D LINGERIE VIỆT NAM</t>
        </is>
      </c>
      <c r="E14041" t="inlineStr">
        <is>
          <t>Lương:Cạnh tranh</t>
        </is>
      </c>
      <c r="F14041" t="inlineStr">
        <is>
          <t>Gia Lai</t>
        </is>
      </c>
      <c r="G14041" t="inlineStr">
        <is>
          <t>31-03-2026</t>
        </is>
      </c>
      <c r="H14041" t="inlineStr">
        <is>
          <t>31/03/2026</t>
        </is>
      </c>
      <c r="I14041" t="inlineStr">
        <is>
          <t>17/03/2026</t>
        </is>
      </c>
      <c r="J14041" t="inlineStr">
        <is>
          <t>Thu mua / Vật tư</t>
        </is>
      </c>
      <c r="K14041" t="inlineStr">
        <is>
          <t>1 - 2 Năm</t>
        </is>
      </c>
      <c r="L14041" s="8">
        <f>HYPERLINK("https://careerviet.vn/vi/tim-viec-lam/nhan-vien-mua-hang-purchasing-staff.35C6BFE5.html","Xem chi tiết")</f>
        <v/>
      </c>
    </row>
    <row r="14042">
      <c r="B14042" s="9" t="n">
        <v>14040</v>
      </c>
      <c r="C14042" s="10" t="inlineStr">
        <is>
          <t>Nhân viên Kế toán bán hàng</t>
        </is>
      </c>
      <c r="D14042" s="10" t="inlineStr">
        <is>
          <t>Tập Đoàn Kim Tín</t>
        </is>
      </c>
      <c r="E14042" s="10" t="inlineStr">
        <is>
          <t>Lương:Cạnh tranh</t>
        </is>
      </c>
      <c r="F14042" s="10" t="inlineStr">
        <is>
          <t>Hồ Chí Minh</t>
        </is>
      </c>
      <c r="G14042" s="10" t="inlineStr">
        <is>
          <t>09-04-2026</t>
        </is>
      </c>
      <c r="H14042" s="10" t="inlineStr">
        <is>
          <t>09/04/2026</t>
        </is>
      </c>
      <c r="I14042" s="10" t="inlineStr">
        <is>
          <t>17/03/2026</t>
        </is>
      </c>
      <c r="J14042" s="10" t="inlineStr">
        <is>
          <t>Kế toán / Kiểm toán</t>
        </is>
      </c>
      <c r="K14042" s="10" t="inlineStr">
        <is>
          <t>1 - 3 Năm</t>
        </is>
      </c>
      <c r="L14042" s="11">
        <f>HYPERLINK("https://careerviet.vn/vi/tim-viec-lam/nhan-vien-ke-toan-ban-hang.35C6C002.html","Xem chi tiết")</f>
        <v/>
      </c>
      <c r="M14042" s="10" t="n"/>
    </row>
    <row r="14043">
      <c r="B14043" s="7" t="n">
        <v>14041</v>
      </c>
      <c r="C14043" t="inlineStr">
        <is>
          <t>Nhân Viên Thiết Kế Kỹ Thuật - Thu Nhập Hấp Dẫn</t>
        </is>
      </c>
      <c r="D14043" t="inlineStr">
        <is>
          <t>Công Ty Cổ Phần Eurowindow</t>
        </is>
      </c>
      <c r="E14043" t="inlineStr">
        <is>
          <t>Lương:15 Tr - 25 Tr VND</t>
        </is>
      </c>
      <c r="F14043" t="inlineStr">
        <is>
          <t>Hà Nội</t>
        </is>
      </c>
      <c r="G14043" t="inlineStr">
        <is>
          <t>09-04-2026</t>
        </is>
      </c>
      <c r="H14043" t="inlineStr">
        <is>
          <t>09/04/2026</t>
        </is>
      </c>
      <c r="I14043" t="inlineStr">
        <is>
          <t>17/03/2026</t>
        </is>
      </c>
      <c r="J14043" t="inlineStr">
        <is>
          <t>Kiến trúc, Mỹ thuật / Nghệ thuật / Thiết kế, Cơ khí / Ô tô / Tự động hóa</t>
        </is>
      </c>
      <c r="K14043" t="inlineStr">
        <is>
          <t>1 - 3 Năm</t>
        </is>
      </c>
      <c r="L14043" s="8">
        <f>HYPERLINK("https://careerviet.vn/vi/tim-viec-lam/nhan-vien-thiet-ke-ky-thuat-thu-nhap-hap-dan.35C6BFF1.html","Xem chi tiết")</f>
        <v/>
      </c>
    </row>
    <row r="14044">
      <c r="B14044" s="9" t="n">
        <v>14042</v>
      </c>
      <c r="C14044" s="10" t="inlineStr">
        <is>
          <t>Nhân Viên tư Vấn Bán Hàng Telesale Viettel</t>
        </is>
      </c>
      <c r="D14044" s="10" t="inlineStr">
        <is>
          <t>CÔNG TY CỔ PHẦN TRUYỀN THÔNG KIM CƯƠNG</t>
        </is>
      </c>
      <c r="E14044" s="10" t="inlineStr">
        <is>
          <t>Lương:7 Tr - 12 Tr VND</t>
        </is>
      </c>
      <c r="F14044" s="10" t="inlineStr">
        <is>
          <t>Hồ Chí Minh</t>
        </is>
      </c>
      <c r="G14044" s="10" t="inlineStr">
        <is>
          <t>31-03-2026</t>
        </is>
      </c>
      <c r="H14044" s="10" t="inlineStr">
        <is>
          <t>31/03/2026</t>
        </is>
      </c>
      <c r="I14044" s="10" t="inlineStr">
        <is>
          <t>17/03/2026</t>
        </is>
      </c>
      <c r="J14044" s="10" t="inlineStr">
        <is>
          <t>Bán hàng / Kinh doanh, Dịch vụ khách hàng, Bưu chính viễn thông</t>
        </is>
      </c>
      <c r="K14044" s="10" t="inlineStr">
        <is>
          <t>N/A</t>
        </is>
      </c>
      <c r="L14044" s="11">
        <f>HYPERLINK("https://careerviet.vn/vi/tim-viec-lam/nhan-vien-tu-van-ban-hang-telesale-viettel.35C6BFF5.html","Xem chi tiết")</f>
        <v/>
      </c>
      <c r="M14044" s="10" t="n"/>
    </row>
    <row r="14045">
      <c r="B14045" s="7" t="n">
        <v>14043</v>
      </c>
      <c r="C14045" t="inlineStr">
        <is>
          <t>Nhân Viên Tư Vấn Bán Hàng tại Cửa Hàng</t>
        </is>
      </c>
      <c r="D14045" t="inlineStr">
        <is>
          <t>CÔNG TY CỔ PHẦN ULTD THỊNH PHÁT</t>
        </is>
      </c>
      <c r="E14045" t="inlineStr">
        <is>
          <t>Lương:6 Tr - 10 Tr VND</t>
        </is>
      </c>
      <c r="F14045" t="inlineStr">
        <is>
          <t>Nghệ An</t>
        </is>
      </c>
      <c r="G14045" t="inlineStr">
        <is>
          <t>31-03-2026</t>
        </is>
      </c>
      <c r="H14045" t="inlineStr">
        <is>
          <t>31/03/2026</t>
        </is>
      </c>
      <c r="I14045" t="inlineStr">
        <is>
          <t>17/03/2026</t>
        </is>
      </c>
      <c r="J14045" t="inlineStr">
        <is>
          <t>Bán lẻ / Bán sỉ, Bán hàng / Kinh doanh</t>
        </is>
      </c>
      <c r="K14045" t="inlineStr">
        <is>
          <t>Chưa có kinh nghiệm</t>
        </is>
      </c>
      <c r="L14045" s="8">
        <f>HYPERLINK("https://careerviet.vn/vi/tim-viec-lam/nhan-vien-tu-van-ban-hang-tai-cua-hang.35C6BFE8.html","Xem chi tiết")</f>
        <v/>
      </c>
    </row>
    <row r="14046">
      <c r="B14046" s="9" t="n">
        <v>14044</v>
      </c>
      <c r="C14046" s="10" t="inlineStr">
        <is>
          <t>CHĂM SÓC KHÁCH HÀNG DỊCH VỤ EVN</t>
        </is>
      </c>
      <c r="D14046" s="10" t="inlineStr">
        <is>
          <t>CÔNG TY CỔ PHẦN TRUYỀN THÔNG KIM CƯƠNG</t>
        </is>
      </c>
      <c r="E14046" s="10" t="inlineStr">
        <is>
          <t>Lương:7 Tr - 12 Tr VND</t>
        </is>
      </c>
      <c r="F14046" s="10" t="inlineStr">
        <is>
          <t>Hồ Chí Minh</t>
        </is>
      </c>
      <c r="G14046" s="10" t="inlineStr">
        <is>
          <t>31-03-2026</t>
        </is>
      </c>
      <c r="H14046" s="10" t="inlineStr">
        <is>
          <t>31/03/2026</t>
        </is>
      </c>
      <c r="I14046" s="10" t="inlineStr">
        <is>
          <t>17/03/2026</t>
        </is>
      </c>
      <c r="J14046" s="10" t="inlineStr">
        <is>
          <t>Dịch vụ khách hàng, Bưu chính viễn thông, Tư vấn</t>
        </is>
      </c>
      <c r="K14046" s="10" t="inlineStr">
        <is>
          <t>Chưa có kinh nghiệm</t>
        </is>
      </c>
      <c r="L14046" s="11">
        <f>HYPERLINK("https://careerviet.vn/vi/tim-viec-lam/cham-soc-khach-hang-dich-vu-evn.35C6C00B.html","Xem chi tiết")</f>
        <v/>
      </c>
      <c r="M14046" s="10" t="n"/>
    </row>
    <row r="14047">
      <c r="B14047" s="7" t="n">
        <v>14045</v>
      </c>
      <c r="C14047" t="inlineStr">
        <is>
          <t>CHUYÊN VIÊN CAO CẤP QUẢN TRỊ RỦI RO &amp; TUÂN THỦ</t>
        </is>
      </c>
      <c r="D14047" t="inlineStr">
        <is>
          <t>CÔNG TY TNHH MTV CHẾ TÁC VÀ KINH DOANH TRANG SỨC PNJ</t>
        </is>
      </c>
      <c r="E14047" t="inlineStr">
        <is>
          <t>Lương:22 Tr - 25 Tr VND</t>
        </is>
      </c>
      <c r="F14047" t="inlineStr">
        <is>
          <t>Hồ Chí Minh</t>
        </is>
      </c>
      <c r="G14047" t="inlineStr">
        <is>
          <t>29-03-2026</t>
        </is>
      </c>
      <c r="H14047" t="inlineStr">
        <is>
          <t>29/03/2026</t>
        </is>
      </c>
      <c r="I14047" t="inlineStr">
        <is>
          <t>17/03/2026</t>
        </is>
      </c>
      <c r="J14047" t="inlineStr">
        <is>
          <t>Kế toán / Kiểm toán, Tài chính / Đầu tư, Sản xuất / Vận hành sản xuất</t>
        </is>
      </c>
      <c r="K14047" t="inlineStr">
        <is>
          <t>3 - 5 Năm</t>
        </is>
      </c>
      <c r="L14047" s="8">
        <f>HYPERLINK("https://careerviet.vn/vi/tim-viec-lam/chuyen-vien-cao-cap-quan-tri-rui-ro-tuan-thu.35C6BFEE.html","Xem chi tiết")</f>
        <v/>
      </c>
    </row>
    <row r="14048">
      <c r="B14048" s="9" t="n">
        <v>14046</v>
      </c>
      <c r="C14048" s="10" t="inlineStr">
        <is>
          <t>Nhân viên Chăm sóc Khách hàng Ví điện tử (Ca ngày)</t>
        </is>
      </c>
      <c r="D14048" s="10" t="inlineStr">
        <is>
          <t>Công Ty TNHH Việt Mỹ-SSU</t>
        </is>
      </c>
      <c r="E14048" s="10" t="inlineStr">
        <is>
          <t>Lương:7 Tr - 9 Tr VND</t>
        </is>
      </c>
      <c r="F14048" s="10" t="inlineStr">
        <is>
          <t>Hồ Chí Minh</t>
        </is>
      </c>
      <c r="G14048" s="10" t="inlineStr">
        <is>
          <t>11-04-2026</t>
        </is>
      </c>
      <c r="H14048" s="10" t="inlineStr">
        <is>
          <t>11/04/2026</t>
        </is>
      </c>
      <c r="I14048" s="10" t="inlineStr">
        <is>
          <t>17/03/2026</t>
        </is>
      </c>
      <c r="J14048" s="10" t="inlineStr">
        <is>
          <t>Thương mại điện tử, Tư vấn, Dịch vụ khách hàng</t>
        </is>
      </c>
      <c r="K14048" s="10" t="inlineStr">
        <is>
          <t>Chưa có kinh nghiệm</t>
        </is>
      </c>
      <c r="L14048" s="11">
        <f>HYPERLINK("https://careerviet.vn/vi/tim-viec-lam/nhan-vien-cham-soc-khach-hang-vi-dien-tu-ca-ngay.35C6BFD5.html","Xem chi tiết")</f>
        <v/>
      </c>
      <c r="M14048" s="10" t="n"/>
    </row>
    <row r="14049">
      <c r="B14049" s="7" t="n">
        <v>14047</v>
      </c>
      <c r="C14049" t="inlineStr">
        <is>
          <t>Nhân viên Campaign Execution Fulltime</t>
        </is>
      </c>
      <c r="D14049" t="inlineStr">
        <is>
          <t>Công Ty TNHH Việt Mỹ-SSU</t>
        </is>
      </c>
      <c r="E14049" t="inlineStr">
        <is>
          <t>Lương:7 Tr - 7,3 Tr VND</t>
        </is>
      </c>
      <c r="F14049" t="inlineStr">
        <is>
          <t>Hồ Chí Minh</t>
        </is>
      </c>
      <c r="G14049" t="inlineStr">
        <is>
          <t>30-03-2026</t>
        </is>
      </c>
      <c r="H14049" t="inlineStr">
        <is>
          <t>30/03/2026</t>
        </is>
      </c>
      <c r="I14049" t="inlineStr">
        <is>
          <t>17/03/2026</t>
        </is>
      </c>
      <c r="J14049" t="inlineStr">
        <is>
          <t>Dịch vụ khách hàng</t>
        </is>
      </c>
      <c r="K14049" t="inlineStr">
        <is>
          <t>1 - 2 Năm</t>
        </is>
      </c>
      <c r="L14049" s="8">
        <f>HYPERLINK("https://careerviet.vn/vi/tim-viec-lam/nhan-vien-campaign-execution-fulltime.35C6BFE3.html","Xem chi tiết")</f>
        <v/>
      </c>
    </row>
    <row r="14050">
      <c r="B14050" s="9" t="n">
        <v>14048</v>
      </c>
      <c r="C14050" s="10" t="inlineStr">
        <is>
          <t>Nhân viên kho</t>
        </is>
      </c>
      <c r="D14050" s="10" t="inlineStr">
        <is>
          <t>CÔNG TY TNHH CEVA LOGISTICS (VIỆT NAM)</t>
        </is>
      </c>
      <c r="E14050" s="10" t="inlineStr">
        <is>
          <t>Lương:6,5 Tr - 7,5 Tr VND</t>
        </is>
      </c>
      <c r="F14050" s="10" t="inlineStr">
        <is>
          <t>Bình Dương</t>
        </is>
      </c>
      <c r="G14050" s="10" t="inlineStr">
        <is>
          <t>11-04-2026</t>
        </is>
      </c>
      <c r="H14050" s="10" t="inlineStr">
        <is>
          <t>11/04/2026</t>
        </is>
      </c>
      <c r="I14050" s="10" t="inlineStr">
        <is>
          <t>17/03/2026</t>
        </is>
      </c>
      <c r="J14050" s="10" t="inlineStr">
        <is>
          <t>Vận chuyển / Giao nhận / Kho vận</t>
        </is>
      </c>
      <c r="K14050" s="10" t="inlineStr">
        <is>
          <t>1 - 20 Năm</t>
        </is>
      </c>
      <c r="L14050" s="11">
        <f>HYPERLINK("https://careerviet.vn/vi/tim-viec-lam/nhan-vien-kho.35C6BFE1.html","Xem chi tiết")</f>
        <v/>
      </c>
      <c r="M14050" s="10" t="n"/>
    </row>
    <row r="14051">
      <c r="B14051" s="7" t="n">
        <v>14049</v>
      </c>
      <c r="C14051" t="inlineStr">
        <is>
          <t>Nhân Viên Campaign Execution Fulltime</t>
        </is>
      </c>
      <c r="D14051" t="inlineStr">
        <is>
          <t>Công Ty TNHH Việt Mỹ-SSU</t>
        </is>
      </c>
      <c r="E14051" t="inlineStr">
        <is>
          <t>Lương:Lên đến 7,3 Tr VND</t>
        </is>
      </c>
      <c r="F14051" t="inlineStr">
        <is>
          <t>Hồ Chí Minh</t>
        </is>
      </c>
      <c r="G14051" t="inlineStr">
        <is>
          <t>10-04-2026</t>
        </is>
      </c>
      <c r="H14051" t="inlineStr">
        <is>
          <t>10/04/2026</t>
        </is>
      </c>
      <c r="I14051" t="inlineStr">
        <is>
          <t>17/03/2026</t>
        </is>
      </c>
      <c r="J14051" t="inlineStr">
        <is>
          <t>Thương mại điện tử</t>
        </is>
      </c>
      <c r="K14051" t="inlineStr">
        <is>
          <t>Lên đến 1 Năm</t>
        </is>
      </c>
      <c r="L14051" s="8">
        <f>HYPERLINK("https://careerviet.vn/vi/tim-viec-lam/nhan-vien-campaign-execution-fulltime.35C6BFDD.html","Xem chi tiết")</f>
        <v/>
      </c>
    </row>
    <row r="14052">
      <c r="B14052" s="9" t="n">
        <v>14050</v>
      </c>
      <c r="C14052" s="10" t="inlineStr">
        <is>
          <t>Nhân Viên Thời Vụ Shopee Video (Nữ - Không yêu cầu kinh nghiệm)</t>
        </is>
      </c>
      <c r="D14052" s="10" t="inlineStr">
        <is>
          <t>Công Ty TNHH Việt Mỹ-SSU</t>
        </is>
      </c>
      <c r="E14052" s="10" t="inlineStr">
        <is>
          <t>Lương:5 Tr - 7 Tr VND</t>
        </is>
      </c>
      <c r="F14052" s="10" t="inlineStr">
        <is>
          <t>Hồ Chí Minh</t>
        </is>
      </c>
      <c r="G14052" s="10" t="inlineStr">
        <is>
          <t>11-04-2026</t>
        </is>
      </c>
      <c r="H14052" s="10" t="inlineStr">
        <is>
          <t>11/04/2026</t>
        </is>
      </c>
      <c r="I14052" s="10" t="inlineStr">
        <is>
          <t>17/03/2026</t>
        </is>
      </c>
      <c r="J14052" s="10" t="inlineStr">
        <is>
          <t>Thương mại điện tử</t>
        </is>
      </c>
      <c r="K14052" s="10" t="inlineStr">
        <is>
          <t>N/A</t>
        </is>
      </c>
      <c r="L14052" s="11">
        <f>HYPERLINK("https://careerviet.vn/vi/tim-viec-lam/nhan-vien-thoi-vu-shopee-video-nu-khong-yeu-cau-kinh-nghiem.35C6BFF4.html","Xem chi tiết")</f>
        <v/>
      </c>
      <c r="M14052" s="10" t="n"/>
    </row>
    <row r="14053">
      <c r="B14053" s="7" t="n">
        <v>14051</v>
      </c>
      <c r="C14053" t="inlineStr">
        <is>
          <t>Trưởng phòng nhân sự / Chuyên viên</t>
        </is>
      </c>
      <c r="D14053" t="inlineStr">
        <is>
          <t>CÔNG TY CỔ PHẦN CÔNG NGHỆ SOTATEK VIỆT NAM</t>
        </is>
      </c>
      <c r="E14053" t="inlineStr">
        <is>
          <t>Lương:Cạnh tranh</t>
        </is>
      </c>
      <c r="F14053" t="inlineStr">
        <is>
          <t>Ninh Thuận</t>
        </is>
      </c>
      <c r="G14053" t="inlineStr">
        <is>
          <t>31-03-2026</t>
        </is>
      </c>
      <c r="H14053" t="inlineStr">
        <is>
          <t>31/03/2026</t>
        </is>
      </c>
      <c r="I14053" t="inlineStr">
        <is>
          <t>17/03/2026</t>
        </is>
      </c>
      <c r="J14053" t="inlineStr">
        <is>
          <t>Nhân sự, Quản lý điều hành, Hành chính / Thư ký</t>
        </is>
      </c>
      <c r="K14053" t="inlineStr">
        <is>
          <t>Trên 2 Năm</t>
        </is>
      </c>
      <c r="L14053" s="8">
        <f>HYPERLINK("https://careerviet.vn/vi/tim-viec-lam/truong-phong-nhan-su-chuyen-vien.35C6BFF6.html","Xem chi tiết")</f>
        <v/>
      </c>
    </row>
    <row r="14054">
      <c r="B14054" s="9" t="n">
        <v>14052</v>
      </c>
      <c r="C14054" s="10" t="inlineStr">
        <is>
          <t>IT HELPDESK/ ERP support</t>
        </is>
      </c>
      <c r="D14054" s="10" t="inlineStr">
        <is>
          <t>CÔNG TY TNHH EVOLUTION ENTERPRISES</t>
        </is>
      </c>
      <c r="E14054" s="10" t="inlineStr">
        <is>
          <t>Lương:13 Tr - 15 Tr VND</t>
        </is>
      </c>
      <c r="F14054" s="10" t="inlineStr">
        <is>
          <t>Hồ Chí Minh</t>
        </is>
      </c>
      <c r="G14054" s="10" t="inlineStr">
        <is>
          <t>11-04-2026</t>
        </is>
      </c>
      <c r="H14054" s="10" t="inlineStr">
        <is>
          <t>11/04/2026</t>
        </is>
      </c>
      <c r="I14054" s="10" t="inlineStr">
        <is>
          <t>17/03/2026</t>
        </is>
      </c>
      <c r="J14054" s="10" t="inlineStr">
        <is>
          <t>CNTT - Phần cứng / Mạng, CNTT - Phần mềm</t>
        </is>
      </c>
      <c r="K14054" s="10" t="inlineStr">
        <is>
          <t>1 - 3 Năm</t>
        </is>
      </c>
      <c r="L14054" s="11">
        <f>HYPERLINK("https://careerviet.vn/vi/tim-viec-lam/it-helpdesk-erp-support.35C6BFD2.html","Xem chi tiết")</f>
        <v/>
      </c>
      <c r="M14054" s="10" t="n"/>
    </row>
    <row r="14055">
      <c r="B14055" s="7" t="n">
        <v>14053</v>
      </c>
      <c r="C14055" t="inlineStr">
        <is>
          <t>Nhân viên Kế toán tổng hợp - Vietravel Hà Nội</t>
        </is>
      </c>
      <c r="D14055" t="inlineStr">
        <is>
          <t>Công Ty Cổ Phần Du Lịch Vietravel</t>
        </is>
      </c>
      <c r="E14055" t="inlineStr">
        <is>
          <t>Lương:Cạnh tranh</t>
        </is>
      </c>
      <c r="F14055" t="inlineStr">
        <is>
          <t>Hà Nội</t>
        </is>
      </c>
      <c r="G14055" t="inlineStr">
        <is>
          <t>08-04-2026</t>
        </is>
      </c>
      <c r="H14055" t="inlineStr">
        <is>
          <t>08/04/2026</t>
        </is>
      </c>
      <c r="I14055" t="inlineStr">
        <is>
          <t>17/03/2026</t>
        </is>
      </c>
      <c r="J14055" t="inlineStr">
        <is>
          <t>Kế toán / Kiểm toán, Du lịch, Tài chính / Đầu tư</t>
        </is>
      </c>
      <c r="K14055" t="inlineStr">
        <is>
          <t>5 - 6 Năm</t>
        </is>
      </c>
      <c r="L14055" s="8">
        <f>HYPERLINK("https://careerviet.vn/vi/tim-viec-lam/nhan-vien-ke-toan-tong-hop-vietravel-ha-noi.35C6BFDB.html","Xem chi tiết")</f>
        <v/>
      </c>
    </row>
    <row r="14056">
      <c r="B14056" s="9" t="n">
        <v>14054</v>
      </c>
      <c r="C14056" s="10" t="inlineStr">
        <is>
          <t>Nhân Viên Campaign Execution(Fulltime)-Đi Làm Ngay</t>
        </is>
      </c>
      <c r="D14056" s="10" t="inlineStr">
        <is>
          <t>Công Ty TNHH Việt Mỹ-SSU</t>
        </is>
      </c>
      <c r="E14056" s="10" t="inlineStr">
        <is>
          <t>Lương:6 Tr - 7,3 Tr VND</t>
        </is>
      </c>
      <c r="F14056" s="10" t="inlineStr">
        <is>
          <t>Hồ Chí Minh</t>
        </is>
      </c>
      <c r="G14056" s="10" t="inlineStr">
        <is>
          <t>11-04-2026</t>
        </is>
      </c>
      <c r="H14056" s="10" t="inlineStr">
        <is>
          <t>11/04/2026</t>
        </is>
      </c>
      <c r="I14056" s="10" t="inlineStr">
        <is>
          <t>17/03/2026</t>
        </is>
      </c>
      <c r="J14056" s="10" t="inlineStr">
        <is>
          <t>Tiếp thị / Marketing</t>
        </is>
      </c>
      <c r="K14056" s="10" t="inlineStr">
        <is>
          <t>Lên đến 1 Năm</t>
        </is>
      </c>
      <c r="L14056" s="11">
        <f>HYPERLINK("https://careerviet.vn/vi/tim-viec-lam/nhan-vien-campaign-execution-fulltime-di-lam-ngay.35C6BFE0.html","Xem chi tiết")</f>
        <v/>
      </c>
      <c r="M14056" s="10" t="n"/>
    </row>
    <row r="14057">
      <c r="B14057" s="7" t="n">
        <v>14055</v>
      </c>
      <c r="C14057" t="inlineStr">
        <is>
          <t>Demand Planning Senior Supervisor</t>
        </is>
      </c>
      <c r="D14057" t="inlineStr">
        <is>
          <t>Công Ty TNHH Sơn TOA Việt Nam</t>
        </is>
      </c>
      <c r="E14057" t="inlineStr">
        <is>
          <t>Lương:Cạnh tranh</t>
        </is>
      </c>
      <c r="F14057" t="inlineStr">
        <is>
          <t>Bình Dương</t>
        </is>
      </c>
      <c r="G14057" t="inlineStr">
        <is>
          <t>30-04-2026</t>
        </is>
      </c>
      <c r="H14057" t="inlineStr">
        <is>
          <t>30/04/2026</t>
        </is>
      </c>
      <c r="I14057" t="inlineStr">
        <is>
          <t>17/03/2026</t>
        </is>
      </c>
      <c r="J14057" t="inlineStr">
        <is>
          <t>Bán lẻ / Bán sỉ, Vận chuyển / Giao nhận / Kho vận, Sản xuất / Vận hành sản xuất</t>
        </is>
      </c>
      <c r="K14057" t="inlineStr">
        <is>
          <t>5 - 10 Năm</t>
        </is>
      </c>
      <c r="L14057" s="8">
        <f>HYPERLINK("https://careerviet.vn/vi/tim-viec-lam/demand-planning-senior-supervisor.35C6BFEA.html","Xem chi tiết")</f>
        <v/>
      </c>
    </row>
    <row r="14058">
      <c r="B14058" s="9" t="n">
        <v>14056</v>
      </c>
      <c r="C14058" s="10" t="inlineStr">
        <is>
          <t>Nhân viên Xử lý Khiếu nại &amp; Tranh chấp (Dispute Officer)</t>
        </is>
      </c>
      <c r="D14058" s="10" t="inlineStr">
        <is>
          <t>Công Ty TNHH Việt Mỹ-SSU</t>
        </is>
      </c>
      <c r="E14058" s="10" t="inlineStr">
        <is>
          <t>Lương:7 Tr - 9 Tr VND</t>
        </is>
      </c>
      <c r="F14058" s="10" t="inlineStr">
        <is>
          <t>Hồ Chí Minh</t>
        </is>
      </c>
      <c r="G14058" s="10" t="inlineStr">
        <is>
          <t>11-04-2026</t>
        </is>
      </c>
      <c r="H14058" s="10" t="inlineStr">
        <is>
          <t>11/04/2026</t>
        </is>
      </c>
      <c r="I14058" s="10" t="inlineStr">
        <is>
          <t>17/03/2026</t>
        </is>
      </c>
      <c r="J14058" s="10" t="inlineStr">
        <is>
          <t>Thương mại điện tử, Dịch vụ khách hàng</t>
        </is>
      </c>
      <c r="K14058" s="10" t="inlineStr">
        <is>
          <t>Lên đến 1 Năm</t>
        </is>
      </c>
      <c r="L14058" s="11">
        <f>HYPERLINK("https://careerviet.vn/vi/tim-viec-lam/nhan-vien-xu-ly-khieu-nai-tranh-chap-dispute-officer.35C6BFD7.html","Xem chi tiết")</f>
        <v/>
      </c>
      <c r="M14058" s="10" t="n"/>
    </row>
    <row r="14059">
      <c r="B14059" s="7" t="n">
        <v>14057</v>
      </c>
      <c r="C14059" t="inlineStr">
        <is>
          <t>Nhân Viên QA - Dự Án Shopee CS</t>
        </is>
      </c>
      <c r="D14059" t="inlineStr">
        <is>
          <t>Công Ty TNHH Việt Mỹ-SSU</t>
        </is>
      </c>
      <c r="E14059" t="inlineStr">
        <is>
          <t>Lương:Lên đến 11 Tr VND</t>
        </is>
      </c>
      <c r="F14059" t="inlineStr">
        <is>
          <t>Hồ Chí Minh</t>
        </is>
      </c>
      <c r="G14059" t="inlineStr">
        <is>
          <t>10-04-2026</t>
        </is>
      </c>
      <c r="H14059" t="inlineStr">
        <is>
          <t>10/04/2026</t>
        </is>
      </c>
      <c r="I14059" t="inlineStr">
        <is>
          <t>17/03/2026</t>
        </is>
      </c>
      <c r="J14059" t="inlineStr">
        <is>
          <t>Thương mại điện tử, Dịch vụ khách hàng, Tư vấn</t>
        </is>
      </c>
      <c r="K14059" t="inlineStr">
        <is>
          <t>Lên đến 1 Năm</t>
        </is>
      </c>
      <c r="L14059" s="8">
        <f>HYPERLINK("https://careerviet.vn/vi/tim-viec-lam/nhan-vien-qa-du-an-shopee-cs.35C6BFC7.html","Xem chi tiết")</f>
        <v/>
      </c>
    </row>
    <row r="14060">
      <c r="B14060" s="9" t="n">
        <v>14058</v>
      </c>
      <c r="C14060" s="10" t="inlineStr">
        <is>
          <t>Nhân Viên QA - Dự Án QC Project</t>
        </is>
      </c>
      <c r="D14060" s="10" t="inlineStr">
        <is>
          <t>Công Ty TNHH Việt Mỹ-SSU</t>
        </is>
      </c>
      <c r="E14060" s="10" t="inlineStr">
        <is>
          <t>Lương:Lên đến 10 Tr VND</t>
        </is>
      </c>
      <c r="F14060" s="10" t="inlineStr">
        <is>
          <t>Hồ Chí Minh</t>
        </is>
      </c>
      <c r="G14060" s="10" t="inlineStr">
        <is>
          <t>11-04-2026</t>
        </is>
      </c>
      <c r="H14060" s="10" t="inlineStr">
        <is>
          <t>11/04/2026</t>
        </is>
      </c>
      <c r="I14060" s="10" t="inlineStr">
        <is>
          <t>17/03/2026</t>
        </is>
      </c>
      <c r="J14060" s="10" t="inlineStr">
        <is>
          <t>Thương mại điện tử, Dịch vụ khách hàng, Tư vấn</t>
        </is>
      </c>
      <c r="K14060" s="10" t="inlineStr">
        <is>
          <t>Lên đến 1 Năm</t>
        </is>
      </c>
      <c r="L14060" s="11">
        <f>HYPERLINK("https://careerviet.vn/vi/tim-viec-lam/nhan-vien-qa-du-an-qc-project.35C6BFCB.html","Xem chi tiết")</f>
        <v/>
      </c>
      <c r="M14060" s="10" t="n"/>
    </row>
    <row r="14061">
      <c r="B14061" s="7" t="n">
        <v>14059</v>
      </c>
      <c r="C14061" t="inlineStr">
        <is>
          <t>Kế toán trưởng - Vietravel Hà Nội</t>
        </is>
      </c>
      <c r="D14061" t="inlineStr">
        <is>
          <t>Công Ty Cổ Phần Du Lịch Vietravel</t>
        </is>
      </c>
      <c r="E14061" t="inlineStr">
        <is>
          <t>Lương:Cạnh tranh</t>
        </is>
      </c>
      <c r="F14061" t="inlineStr">
        <is>
          <t>Hà Nội</t>
        </is>
      </c>
      <c r="G14061" t="inlineStr">
        <is>
          <t>08-04-2026</t>
        </is>
      </c>
      <c r="H14061" t="inlineStr">
        <is>
          <t>08/04/2026</t>
        </is>
      </c>
      <c r="I14061" t="inlineStr">
        <is>
          <t>17/03/2026</t>
        </is>
      </c>
      <c r="J14061" t="inlineStr">
        <is>
          <t>Kế toán / Kiểm toán, Du lịch, Tài chính / Đầu tư</t>
        </is>
      </c>
      <c r="K14061" t="inlineStr">
        <is>
          <t>5 - 6 Năm</t>
        </is>
      </c>
      <c r="L14061" s="8">
        <f>HYPERLINK("https://careerviet.vn/vi/tim-viec-lam/ke-toan-truong-vietravel-ha-noi.35C6BFD1.html","Xem chi tiết")</f>
        <v/>
      </c>
    </row>
    <row r="14062">
      <c r="B14062" s="9" t="n">
        <v>14060</v>
      </c>
      <c r="C14062" s="10" t="inlineStr">
        <is>
          <t>Senior Security Network Engineer</t>
        </is>
      </c>
      <c r="D14062" s="10" t="inlineStr">
        <is>
          <t>Techtronic Industries Vietnam Manufacturing Company Limited</t>
        </is>
      </c>
      <c r="E14062" s="10" t="inlineStr">
        <is>
          <t>Lương:Cạnh tranh</t>
        </is>
      </c>
      <c r="F14062" s="10" t="inlineStr">
        <is>
          <t>Hồ Chí Minh</t>
        </is>
      </c>
      <c r="G14062" s="10" t="inlineStr">
        <is>
          <t>10-04-2026</t>
        </is>
      </c>
      <c r="H14062" s="10" t="inlineStr">
        <is>
          <t>10/04/2026</t>
        </is>
      </c>
      <c r="I14062" s="10" t="inlineStr">
        <is>
          <t>17/03/2026</t>
        </is>
      </c>
      <c r="J14062" s="10" t="inlineStr">
        <is>
          <t>CNTT - Phần mềm, An Ninh / Bảo Vệ, CNTT - Phần cứng / Mạng</t>
        </is>
      </c>
      <c r="K14062" s="10" t="inlineStr">
        <is>
          <t>3 - 5 Năm</t>
        </is>
      </c>
      <c r="L14062" s="11">
        <f>HYPERLINK("https://careerviet.vn/vi/tim-viec-lam/senior-security-network-engineer.35C6BFD8.html","Xem chi tiết")</f>
        <v/>
      </c>
      <c r="M14062" s="10" t="n"/>
    </row>
    <row r="14063">
      <c r="B14063" s="7" t="n">
        <v>14061</v>
      </c>
      <c r="C14063" t="inlineStr">
        <is>
          <t>NPI Engineer (Fresher)</t>
        </is>
      </c>
      <c r="D14063" t="inlineStr">
        <is>
          <t>Công ty Cổ Phần Tập Đoàn Thiên Long</t>
        </is>
      </c>
      <c r="E14063" t="inlineStr">
        <is>
          <t>Lương:Cạnh tranh</t>
        </is>
      </c>
      <c r="F14063" t="inlineStr">
        <is>
          <t>Hồ Chí Minh</t>
        </is>
      </c>
      <c r="G14063" t="inlineStr">
        <is>
          <t>10-04-2026</t>
        </is>
      </c>
      <c r="H14063" t="inlineStr">
        <is>
          <t>10/04/2026</t>
        </is>
      </c>
      <c r="I14063" t="inlineStr">
        <is>
          <t>17/03/2026</t>
        </is>
      </c>
      <c r="J14063" t="inlineStr">
        <is>
          <t>Cơ khí / Ô tô / Tự động hóa, Sản xuất / Vận hành sản xuất</t>
        </is>
      </c>
      <c r="K14063" t="inlineStr">
        <is>
          <t>Lên đến 1 Năm</t>
        </is>
      </c>
      <c r="L14063" s="8">
        <f>HYPERLINK("https://careerviet.vn/vi/tim-viec-lam/npi-engineer-fresher.35C6BFCE.html","Xem chi tiết")</f>
        <v/>
      </c>
    </row>
    <row r="14064">
      <c r="B14064" s="9" t="n">
        <v>14062</v>
      </c>
      <c r="C14064" s="10" t="inlineStr">
        <is>
          <t>International Business Development Executive</t>
        </is>
      </c>
      <c r="D14064" s="10" t="inlineStr">
        <is>
          <t>Công Ty TNHH Taisun Việt Nam</t>
        </is>
      </c>
      <c r="E14064" s="10" t="inlineStr">
        <is>
          <t>Lương:Cạnh tranh</t>
        </is>
      </c>
      <c r="F14064" s="10" t="inlineStr">
        <is>
          <t>Hồ Chí Minh</t>
        </is>
      </c>
      <c r="G14064" s="10" t="inlineStr">
        <is>
          <t>20-04-2026</t>
        </is>
      </c>
      <c r="H14064" s="10" t="inlineStr">
        <is>
          <t>20/04/2026</t>
        </is>
      </c>
      <c r="I14064" s="10" t="inlineStr">
        <is>
          <t>17/03/2026</t>
        </is>
      </c>
      <c r="J14064" s="10" t="inlineStr">
        <is>
          <t>Hàng gia dụng / Chăm sóc cá nhân, Bán hàng / Kinh doanh, Tiếp thị trực tuyến</t>
        </is>
      </c>
      <c r="K14064" s="10" t="inlineStr">
        <is>
          <t>3 - 5 Năm</t>
        </is>
      </c>
      <c r="L14064" s="11">
        <f>HYPERLINK("https://careerviet.vn/vi/tim-viec-lam/international-business-development-executive.35C6BFC6.html","Xem chi tiết")</f>
        <v/>
      </c>
      <c r="M14064" s="10" t="n"/>
    </row>
    <row r="14065">
      <c r="B14065" s="7" t="n">
        <v>14063</v>
      </c>
      <c r="C14065" t="inlineStr">
        <is>
          <t>Nhân viên QC</t>
        </is>
      </c>
      <c r="D14065" t="inlineStr">
        <is>
          <t>CÔNG TY CỔ PHẦN THƯƠNG MẠI MON</t>
        </is>
      </c>
      <c r="E14065" t="inlineStr">
        <is>
          <t>Lương:Cạnh tranh</t>
        </is>
      </c>
      <c r="F14065" t="inlineStr">
        <is>
          <t>Tây Ninh</t>
        </is>
      </c>
      <c r="G14065" t="inlineStr">
        <is>
          <t>11-04-2026</t>
        </is>
      </c>
      <c r="H14065" t="inlineStr">
        <is>
          <t>11/04/2026</t>
        </is>
      </c>
      <c r="I14065" t="inlineStr">
        <is>
          <t>17/03/2026</t>
        </is>
      </c>
      <c r="J14065" t="inlineStr">
        <is>
          <t>Quản lý chất lượng (QA/QC), Dược phẩm/ Hóa Mỹ Phẩm, Sản xuất / Vận hành sản xuất</t>
        </is>
      </c>
      <c r="K14065" t="inlineStr">
        <is>
          <t>N/A</t>
        </is>
      </c>
      <c r="L14065" s="8">
        <f>HYPERLINK("https://careerviet.vn/vi/tim-viec-lam/nhan-vien-qc.35C6BFC4.html","Xem chi tiết")</f>
        <v/>
      </c>
    </row>
    <row r="14066">
      <c r="B14066" s="9" t="n">
        <v>14064</v>
      </c>
      <c r="C14066" s="10" t="inlineStr">
        <is>
          <t>HCNS Tổng hợp ( Ưu tiên mạnh tuyển dụng)</t>
        </is>
      </c>
      <c r="D14066" s="10" t="inlineStr">
        <is>
          <t>CÔNG TY CỔ PHẦN GECO AI</t>
        </is>
      </c>
      <c r="E14066" s="10" t="inlineStr">
        <is>
          <t>Lương:8 Tr - 10 Tr VND</t>
        </is>
      </c>
      <c r="F14066" s="10" t="inlineStr">
        <is>
          <t>Hà Nội</t>
        </is>
      </c>
      <c r="G14066" s="10" t="inlineStr">
        <is>
          <t>31-03-2026</t>
        </is>
      </c>
      <c r="H14066" s="10" t="inlineStr">
        <is>
          <t>31/03/2026</t>
        </is>
      </c>
      <c r="I14066" s="10" t="inlineStr">
        <is>
          <t>17/03/2026</t>
        </is>
      </c>
      <c r="J14066" s="10" t="inlineStr">
        <is>
          <t>Giáo dục / Đào tạo</t>
        </is>
      </c>
      <c r="K14066" s="10" t="inlineStr">
        <is>
          <t>1 - 2 Năm</t>
        </is>
      </c>
      <c r="L14066" s="11">
        <f>HYPERLINK("https://careerviet.vn/vi/tim-viec-lam/hcns-tong-hop-uu-tien-manh-tuyen-dung.35C6BEDA.html","Xem chi tiết")</f>
        <v/>
      </c>
      <c r="M14066" s="10" t="n"/>
    </row>
    <row r="14067">
      <c r="B14067" s="7" t="n">
        <v>14065</v>
      </c>
      <c r="C14067" t="inlineStr">
        <is>
          <t>Nhân viên Chăm sóc Khách hàng (Kênh Call) – TMĐT</t>
        </is>
      </c>
      <c r="D14067" t="inlineStr">
        <is>
          <t>Công Ty TNHH Việt Mỹ-SSU</t>
        </is>
      </c>
      <c r="E14067" t="inlineStr">
        <is>
          <t>Lương:6,8 Tr - 8,3 Tr VND</t>
        </is>
      </c>
      <c r="F14067" t="inlineStr">
        <is>
          <t>Hồ Chí Minh</t>
        </is>
      </c>
      <c r="G14067" t="inlineStr">
        <is>
          <t>11-04-2026</t>
        </is>
      </c>
      <c r="H14067" t="inlineStr">
        <is>
          <t>11/04/2026</t>
        </is>
      </c>
      <c r="I14067" t="inlineStr">
        <is>
          <t>17/03/2026</t>
        </is>
      </c>
      <c r="J14067" t="inlineStr">
        <is>
          <t>Thương mại điện tử, Tư vấn, Dịch vụ khách hàng</t>
        </is>
      </c>
      <c r="K14067" t="inlineStr">
        <is>
          <t>N/A</t>
        </is>
      </c>
      <c r="L14067" s="8">
        <f>HYPERLINK("https://careerviet.vn/vi/tim-viec-lam/nhan-vien-cham-soc-khach-hang-kenh-call-tmdt.35C6BFD6.html","Xem chi tiết")</f>
        <v/>
      </c>
    </row>
    <row r="14068">
      <c r="B14068" s="9" t="n">
        <v>14066</v>
      </c>
      <c r="C14068" s="10" t="inlineStr">
        <is>
          <t>Nhân viên Chăm sóc Khách hàng Kênh Chat với Tài Xế (Driver Chat – Food)</t>
        </is>
      </c>
      <c r="D14068" s="10" t="inlineStr">
        <is>
          <t>Công Ty TNHH Việt Mỹ-SSU</t>
        </is>
      </c>
      <c r="E14068" s="10" t="inlineStr">
        <is>
          <t>Lương:8,5 Tr - 9,3 Tr VND</t>
        </is>
      </c>
      <c r="F14068" s="10" t="inlineStr">
        <is>
          <t>Hồ Chí Minh</t>
        </is>
      </c>
      <c r="G14068" s="10" t="inlineStr">
        <is>
          <t>11-04-2026</t>
        </is>
      </c>
      <c r="H14068" s="10" t="inlineStr">
        <is>
          <t>11/04/2026</t>
        </is>
      </c>
      <c r="I14068" s="10" t="inlineStr">
        <is>
          <t>17/03/2026</t>
        </is>
      </c>
      <c r="J14068" s="10" t="inlineStr">
        <is>
          <t>Tư vấn, Dịch vụ khách hàng, Ngành khác</t>
        </is>
      </c>
      <c r="K14068" s="10" t="inlineStr">
        <is>
          <t>Lên đến 1 Năm</t>
        </is>
      </c>
      <c r="L14068" s="11">
        <f>HYPERLINK("https://careerviet.vn/vi/tim-viec-lam/nhan-vien-cham-soc-khach-hang-kenh-chat-voi-tai-xe-driver-chat-food.35C6BFD0.html","Xem chi tiết")</f>
        <v/>
      </c>
      <c r="M14068" s="10" t="n"/>
    </row>
    <row r="14069">
      <c r="B14069" s="7" t="n">
        <v>14067</v>
      </c>
      <c r="C14069" t="inlineStr">
        <is>
          <t>Kỹ sư xây dựng (Làm việc tại Gia Lai)</t>
        </is>
      </c>
      <c r="D14069" t="inlineStr">
        <is>
          <t>Công ty CP Thành Thành Công - Biên Hòa</t>
        </is>
      </c>
      <c r="E14069" t="inlineStr">
        <is>
          <t>Lương:8 Tr - 12 Tr VND</t>
        </is>
      </c>
      <c r="F14069" t="inlineStr">
        <is>
          <t>Gia Lai</t>
        </is>
      </c>
      <c r="G14069" t="inlineStr">
        <is>
          <t>10-04-2026</t>
        </is>
      </c>
      <c r="H14069" t="inlineStr">
        <is>
          <t>10/04/2026</t>
        </is>
      </c>
      <c r="I14069" t="inlineStr">
        <is>
          <t>17/03/2026</t>
        </is>
      </c>
      <c r="J14069" t="inlineStr">
        <is>
          <t>Xây dựng</t>
        </is>
      </c>
      <c r="K14069" t="inlineStr">
        <is>
          <t>1 - 2 Năm</t>
        </is>
      </c>
      <c r="L14069" s="8">
        <f>HYPERLINK("https://careerviet.vn/vi/tim-viec-lam/ky-su-xay-dung-lam-viec-tai-gia-lai.35C6BFBC.html","Xem chi tiết")</f>
        <v/>
      </c>
    </row>
    <row r="14070">
      <c r="B14070" s="9" t="n">
        <v>14068</v>
      </c>
      <c r="C14070" s="10" t="inlineStr">
        <is>
          <t>Talent Acquisition Specialist</t>
        </is>
      </c>
      <c r="D14070" s="10" t="inlineStr">
        <is>
          <t>Công ty CP Thành Thành Công - Biên Hòa</t>
        </is>
      </c>
      <c r="E14070" s="10" t="inlineStr">
        <is>
          <t>Lương:Cạnh tranh</t>
        </is>
      </c>
      <c r="F14070" s="10" t="inlineStr">
        <is>
          <t>Hồ Chí Minh</t>
        </is>
      </c>
      <c r="G14070" s="10" t="inlineStr">
        <is>
          <t>10-04-2026</t>
        </is>
      </c>
      <c r="H14070" s="10" t="inlineStr">
        <is>
          <t>10/04/2026</t>
        </is>
      </c>
      <c r="I14070" s="10" t="inlineStr">
        <is>
          <t>17/03/2026</t>
        </is>
      </c>
      <c r="J14070" s="10" t="inlineStr">
        <is>
          <t>Nhân sự</t>
        </is>
      </c>
      <c r="K14070" s="10" t="inlineStr">
        <is>
          <t>3 - 5 Năm</t>
        </is>
      </c>
      <c r="L14070" s="11">
        <f>HYPERLINK("https://careerviet.vn/vi/tim-viec-lam/talent-acquisition-specialist.35C6BFB9.html","Xem chi tiết")</f>
        <v/>
      </c>
      <c r="M14070" s="10" t="n"/>
    </row>
    <row r="14071">
      <c r="B14071" s="7" t="n">
        <v>14069</v>
      </c>
      <c r="C14071" t="inlineStr">
        <is>
          <t>Senior Brand Manager</t>
        </is>
      </c>
      <c r="D14071" t="inlineStr">
        <is>
          <t>Công ty CP Thành Thành Công - Biên Hòa</t>
        </is>
      </c>
      <c r="E14071" t="inlineStr">
        <is>
          <t>Lương:Cạnh tranh</t>
        </is>
      </c>
      <c r="F14071" t="inlineStr">
        <is>
          <t>Hồ Chí Minh</t>
        </is>
      </c>
      <c r="G14071" t="inlineStr">
        <is>
          <t>10-04-2026</t>
        </is>
      </c>
      <c r="H14071" t="inlineStr">
        <is>
          <t>10/04/2026</t>
        </is>
      </c>
      <c r="I14071" t="inlineStr">
        <is>
          <t>17/03/2026</t>
        </is>
      </c>
      <c r="J14071" t="inlineStr">
        <is>
          <t>Tiếp thị / Marketing</t>
        </is>
      </c>
      <c r="K14071" t="inlineStr">
        <is>
          <t>Trên 7 Năm</t>
        </is>
      </c>
      <c r="L14071" s="8">
        <f>HYPERLINK("https://careerviet.vn/vi/tim-viec-lam/senior-brand-manager.35C6BFB4.html","Xem chi tiết")</f>
        <v/>
      </c>
    </row>
    <row r="14072">
      <c r="B14072" s="9" t="n">
        <v>14070</v>
      </c>
      <c r="C14072" s="10" t="inlineStr">
        <is>
          <t>Brand Manager (FMCG)</t>
        </is>
      </c>
      <c r="D14072" s="10" t="inlineStr">
        <is>
          <t>Công ty CP Thành Thành Công - Biên Hòa</t>
        </is>
      </c>
      <c r="E14072" s="10" t="inlineStr">
        <is>
          <t>Lương:Cạnh tranh</t>
        </is>
      </c>
      <c r="F14072" s="10" t="inlineStr">
        <is>
          <t>Hồ Chí Minh</t>
        </is>
      </c>
      <c r="G14072" s="10" t="inlineStr">
        <is>
          <t>10-04-2026</t>
        </is>
      </c>
      <c r="H14072" s="10" t="inlineStr">
        <is>
          <t>10/04/2026</t>
        </is>
      </c>
      <c r="I14072" s="10" t="inlineStr">
        <is>
          <t>17/03/2026</t>
        </is>
      </c>
      <c r="J14072" s="10" t="inlineStr">
        <is>
          <t>Quản lý điều hành</t>
        </is>
      </c>
      <c r="K14072" s="10" t="inlineStr">
        <is>
          <t>Trên 5 Năm</t>
        </is>
      </c>
      <c r="L14072" s="11">
        <f>HYPERLINK("https://careerviet.vn/vi/tim-viec-lam/brand-manager-fmcg.35C6BFB6.html","Xem chi tiết")</f>
        <v/>
      </c>
      <c r="M14072" s="10" t="n"/>
    </row>
    <row r="14073">
      <c r="B14073" s="7" t="n">
        <v>14071</v>
      </c>
      <c r="C14073" t="inlineStr">
        <is>
          <t>Giám Sát Kho (Khánh Hòa)</t>
        </is>
      </c>
      <c r="D14073" t="inlineStr">
        <is>
          <t>CareerViet's client</t>
        </is>
      </c>
      <c r="E14073" t="inlineStr">
        <is>
          <t>Lương:Cạnh tranh</t>
        </is>
      </c>
      <c r="F14073" t="inlineStr">
        <is>
          <t>Khánh Hòa</t>
        </is>
      </c>
      <c r="G14073" t="inlineStr">
        <is>
          <t>30-05-2026</t>
        </is>
      </c>
      <c r="H14073" t="inlineStr">
        <is>
          <t>30/05/2026</t>
        </is>
      </c>
      <c r="I14073" t="inlineStr">
        <is>
          <t>17/03/2026</t>
        </is>
      </c>
      <c r="J14073" t="inlineStr">
        <is>
          <t>Vận chuyển / Giao nhận / Kho vận</t>
        </is>
      </c>
      <c r="K14073" t="inlineStr">
        <is>
          <t>2 - 3 Năm</t>
        </is>
      </c>
      <c r="L14073" s="8">
        <f>HYPERLINK("https://careerviet.vn/vi/tim-viec-lam/giam-sat-kho-khanh-hoa.35C6BFA9.html","Xem chi tiết")</f>
        <v/>
      </c>
    </row>
    <row r="14074">
      <c r="B14074" s="9" t="n">
        <v>14072</v>
      </c>
      <c r="C14074" s="10" t="inlineStr">
        <is>
          <t>Assistant Manager</t>
        </is>
      </c>
      <c r="D14074" s="10" t="inlineStr">
        <is>
          <t>CÔNG TY TNHH EVOLUTION ENTERPRISES</t>
        </is>
      </c>
      <c r="E14074" s="10" t="inlineStr">
        <is>
          <t>Lương:30 Tr - 35 Tr VND</t>
        </is>
      </c>
      <c r="F14074" s="10" t="inlineStr">
        <is>
          <t>Hồ Chí Minh</t>
        </is>
      </c>
      <c r="G14074" s="10" t="inlineStr">
        <is>
          <t>31-03-2026</t>
        </is>
      </c>
      <c r="H14074" s="10" t="inlineStr">
        <is>
          <t>31/03/2026</t>
        </is>
      </c>
      <c r="I14074" s="10" t="inlineStr">
        <is>
          <t>17/03/2026</t>
        </is>
      </c>
      <c r="J14074" s="10" t="inlineStr">
        <is>
          <t>Xuất nhập khẩu, Sản xuất / Vận hành sản xuất, Dệt may / Da giày / Thời trang</t>
        </is>
      </c>
      <c r="K14074" s="10" t="inlineStr">
        <is>
          <t>3 - 5 Năm</t>
        </is>
      </c>
      <c r="L14074" s="11">
        <f>HYPERLINK("https://careerviet.vn/vi/tim-viec-lam/assistant-manager.35C6BF82.html","Xem chi tiết")</f>
        <v/>
      </c>
      <c r="M14074" s="10" t="n"/>
    </row>
    <row r="14075">
      <c r="B14075" s="7" t="n">
        <v>14073</v>
      </c>
      <c r="C14075" t="inlineStr">
        <is>
          <t>Thủ kho</t>
        </is>
      </c>
      <c r="D14075" t="inlineStr">
        <is>
          <t>Công ty CP Thành Thành Công - Biên Hòa</t>
        </is>
      </c>
      <c r="E14075" t="inlineStr">
        <is>
          <t>Lương:Cạnh tranh</t>
        </is>
      </c>
      <c r="F14075" t="inlineStr">
        <is>
          <t>Tây Ninh</t>
        </is>
      </c>
      <c r="G14075" t="inlineStr">
        <is>
          <t>10-04-2026</t>
        </is>
      </c>
      <c r="H14075" t="inlineStr">
        <is>
          <t>10/04/2026</t>
        </is>
      </c>
      <c r="I14075" t="inlineStr">
        <is>
          <t>17/03/2026</t>
        </is>
      </c>
      <c r="J14075" t="inlineStr">
        <is>
          <t>Vận chuyển / Giao nhận / Kho vận</t>
        </is>
      </c>
      <c r="K14075" t="inlineStr">
        <is>
          <t>Trên 1 Năm</t>
        </is>
      </c>
      <c r="L14075" s="8">
        <f>HYPERLINK("https://careerviet.vn/vi/tim-viec-lam/thu-kho.35C6BFB7.html","Xem chi tiết")</f>
        <v/>
      </c>
    </row>
    <row r="14076">
      <c r="B14076" s="9" t="n">
        <v>14074</v>
      </c>
      <c r="C14076" s="10" t="inlineStr">
        <is>
          <t>Quản đốc nhà máy (Gạo)</t>
        </is>
      </c>
      <c r="D14076" s="10" t="inlineStr">
        <is>
          <t>Công ty CP Thành Thành Công - Biên Hòa</t>
        </is>
      </c>
      <c r="E14076" s="10" t="inlineStr">
        <is>
          <t>Lương:Cạnh tranh</t>
        </is>
      </c>
      <c r="F14076" s="10" t="inlineStr">
        <is>
          <t>Tây Ninh</t>
        </is>
      </c>
      <c r="G14076" s="10" t="inlineStr">
        <is>
          <t>10-04-2026</t>
        </is>
      </c>
      <c r="H14076" s="10" t="inlineStr">
        <is>
          <t>10/04/2026</t>
        </is>
      </c>
      <c r="I14076" s="10" t="inlineStr">
        <is>
          <t>17/03/2026</t>
        </is>
      </c>
      <c r="J14076" s="10" t="inlineStr">
        <is>
          <t>Quản lý điều hành</t>
        </is>
      </c>
      <c r="K14076" s="10" t="inlineStr">
        <is>
          <t>Trên 7 Năm</t>
        </is>
      </c>
      <c r="L14076" s="11">
        <f>HYPERLINK("https://careerviet.vn/vi/tim-viec-lam/quan-doc-nha-may-gao.35C6BFB5.html","Xem chi tiết")</f>
        <v/>
      </c>
      <c r="M14076" s="10" t="n"/>
    </row>
    <row r="14077">
      <c r="B14077" s="7" t="n">
        <v>14075</v>
      </c>
      <c r="C14077" t="inlineStr">
        <is>
          <t>Trưởng nhóm Design</t>
        </is>
      </c>
      <c r="D14077" t="inlineStr">
        <is>
          <t>HỆ THỐNG KÍNH MẮT ANNA</t>
        </is>
      </c>
      <c r="E14077" t="inlineStr">
        <is>
          <t>Lương:15 Tr - 25 Tr VND</t>
        </is>
      </c>
      <c r="F14077" t="inlineStr">
        <is>
          <t>Hà NộiHồ Chí Minh</t>
        </is>
      </c>
      <c r="G14077" t="inlineStr">
        <is>
          <t>10-04-2026</t>
        </is>
      </c>
      <c r="H14077" t="inlineStr">
        <is>
          <t>10/04/2026</t>
        </is>
      </c>
      <c r="I14077" t="inlineStr">
        <is>
          <t>17/03/2026</t>
        </is>
      </c>
      <c r="J14077" t="inlineStr">
        <is>
          <t>Tiếp thị / Marketing, Mỹ thuật / Nghệ thuật / Thiết kế, Bán hàng / Kinh doanh</t>
        </is>
      </c>
      <c r="K14077" t="inlineStr">
        <is>
          <t>2 - 3 Năm</t>
        </is>
      </c>
      <c r="L14077" s="8">
        <f>HYPERLINK("https://careerviet.vn/vi/tim-viec-lam/truong-nhom-design.35C6BFA7.html","Xem chi tiết")</f>
        <v/>
      </c>
    </row>
    <row r="14078">
      <c r="B14078" s="9" t="n">
        <v>14076</v>
      </c>
      <c r="C14078" s="10" t="inlineStr">
        <is>
          <t>NHÂN VIÊN CHỨNG TỪ HÀNG NHẬP</t>
        </is>
      </c>
      <c r="D14078" s="10" t="inlineStr">
        <is>
          <t>CÔNG TY TNHH KINGFISHER LOGISTICS</t>
        </is>
      </c>
      <c r="E14078" s="10" t="inlineStr">
        <is>
          <t>Lương:8 Tr - 18 Tr VND</t>
        </is>
      </c>
      <c r="F14078" s="10" t="inlineStr">
        <is>
          <t>Hồ Chí Minh</t>
        </is>
      </c>
      <c r="G14078" s="10" t="inlineStr">
        <is>
          <t>12-04-2026</t>
        </is>
      </c>
      <c r="H14078" s="10" t="inlineStr">
        <is>
          <t>12/04/2026</t>
        </is>
      </c>
      <c r="I14078" s="10" t="inlineStr">
        <is>
          <t>17/03/2026</t>
        </is>
      </c>
      <c r="J14078" s="10" t="inlineStr">
        <is>
          <t>Xuất nhập khẩu, Vận chuyển / Giao nhận / Kho vận, Dịch vụ khách hàng</t>
        </is>
      </c>
      <c r="K14078" s="10" t="inlineStr">
        <is>
          <t>Lên đến 1 Năm</t>
        </is>
      </c>
      <c r="L14078" s="11">
        <f>HYPERLINK("https://careerviet.vn/vi/tim-viec-lam/nhan-vien-chung-tu-hang-nhap.35C6BF99.html","Xem chi tiết")</f>
        <v/>
      </c>
      <c r="M14078" s="10" t="n"/>
    </row>
    <row r="14079">
      <c r="B14079" s="7" t="n">
        <v>14077</v>
      </c>
      <c r="C14079" t="inlineStr">
        <is>
          <t>NHÂN VIÊN TÀI XẾ (DẤU D)</t>
        </is>
      </c>
      <c r="D14079" t="inlineStr">
        <is>
          <t>CÔNG TY TNHH DK BUILD</t>
        </is>
      </c>
      <c r="E14079" t="inlineStr">
        <is>
          <t>Lương:15 Tr - 16 Tr VND</t>
        </is>
      </c>
      <c r="F14079" t="inlineStr">
        <is>
          <t>Hồ Chí MinhĐồng Nai</t>
        </is>
      </c>
      <c r="G14079" t="inlineStr">
        <is>
          <t>30-04-2026</t>
        </is>
      </c>
      <c r="H14079" t="inlineStr">
        <is>
          <t>30/04/2026</t>
        </is>
      </c>
      <c r="I14079" t="inlineStr">
        <is>
          <t>17/03/2026</t>
        </is>
      </c>
      <c r="J14079" t="inlineStr">
        <is>
          <t>Xây dựng</t>
        </is>
      </c>
      <c r="K14079" t="inlineStr">
        <is>
          <t>5 - 10 Năm</t>
        </is>
      </c>
      <c r="L14079" s="8">
        <f>HYPERLINK("https://careerviet.vn/vi/tim-viec-lam/nhan-vien-tai-xe-dau-d.35C6BFA5.html","Xem chi tiết")</f>
        <v/>
      </c>
    </row>
    <row r="14080">
      <c r="B14080" s="9" t="n">
        <v>14078</v>
      </c>
      <c r="C14080" s="10" t="inlineStr">
        <is>
          <t>Interior 3D Visualizer / Nhân Viên Diễn Họa Nội Thất 3D</t>
        </is>
      </c>
      <c r="D14080" s="10" t="inlineStr">
        <is>
          <t>Công ty Cổ Phần Unity Architects</t>
        </is>
      </c>
      <c r="E14080" s="10" t="inlineStr">
        <is>
          <t>Lương:15 Tr - 20 Tr VND</t>
        </is>
      </c>
      <c r="F14080" s="10" t="inlineStr">
        <is>
          <t>Hồ Chí Minh</t>
        </is>
      </c>
      <c r="G14080" s="10" t="inlineStr">
        <is>
          <t>11-04-2026</t>
        </is>
      </c>
      <c r="H14080" s="10" t="inlineStr">
        <is>
          <t>11/04/2026</t>
        </is>
      </c>
      <c r="I14080" s="10" t="inlineStr">
        <is>
          <t>17/03/2026</t>
        </is>
      </c>
      <c r="J14080" s="10" t="inlineStr">
        <is>
          <t>Mỹ thuật / Nghệ thuật / Thiết kế, Nội ngoại thất, Kiến trúc</t>
        </is>
      </c>
      <c r="K14080" s="10" t="inlineStr">
        <is>
          <t>Lên đến 3 Năm</t>
        </is>
      </c>
      <c r="L14080" s="11">
        <f>HYPERLINK("https://careerviet.vn/vi/tim-viec-lam/interior-3d-visualizer-nhan-vien-dien-hoa-noi-that-3d.35C6BF96.html","Xem chi tiết")</f>
        <v/>
      </c>
      <c r="M14080" s="10" t="n"/>
    </row>
    <row r="14081">
      <c r="B14081" s="7" t="n">
        <v>14079</v>
      </c>
      <c r="C14081" t="inlineStr">
        <is>
          <t>Chuyên viên Quản lý Thi Công</t>
        </is>
      </c>
      <c r="D14081" t="inlineStr">
        <is>
          <t>Công Ty Cổ Phần Xây Dựng CDC</t>
        </is>
      </c>
      <c r="E14081" t="inlineStr">
        <is>
          <t>Lương:Cạnh tranh</t>
        </is>
      </c>
      <c r="F14081" t="inlineStr">
        <is>
          <t>Hà Nội</t>
        </is>
      </c>
      <c r="G14081" t="inlineStr">
        <is>
          <t>11-04-2026</t>
        </is>
      </c>
      <c r="H14081" t="inlineStr">
        <is>
          <t>11/04/2026</t>
        </is>
      </c>
      <c r="I14081" t="inlineStr">
        <is>
          <t>17/03/2026</t>
        </is>
      </c>
      <c r="J14081" t="inlineStr">
        <is>
          <t>Điện / Điện tử / Điện lạnh / Điện công nghiệp, Xây dựng</t>
        </is>
      </c>
      <c r="K14081" t="inlineStr">
        <is>
          <t>2 - 3 Năm</t>
        </is>
      </c>
      <c r="L14081" s="8">
        <f>HYPERLINK("https://careerviet.vn/vi/tim-viec-lam/chuyen-vien-quan-ly-thi-cong.35C6BF4D.html","Xem chi tiết")</f>
        <v/>
      </c>
    </row>
    <row r="14082">
      <c r="B14082" s="9" t="n">
        <v>14080</v>
      </c>
      <c r="C14082" s="10" t="inlineStr">
        <is>
          <t>Chuyên viên Thiết kế</t>
        </is>
      </c>
      <c r="D14082" s="10" t="inlineStr">
        <is>
          <t>Công Ty Cổ Phần Giáo Dục Thành Thành Công (IGC Group)</t>
        </is>
      </c>
      <c r="E14082" s="10" t="inlineStr">
        <is>
          <t>Lương:17 Tr - 20 Tr VND</t>
        </is>
      </c>
      <c r="F14082" s="10" t="inlineStr">
        <is>
          <t>Hồ Chí Minh</t>
        </is>
      </c>
      <c r="G14082" s="10" t="inlineStr">
        <is>
          <t>10-04-2026</t>
        </is>
      </c>
      <c r="H14082" s="10" t="inlineStr">
        <is>
          <t>10/04/2026</t>
        </is>
      </c>
      <c r="I14082" s="10" t="inlineStr">
        <is>
          <t>17/03/2026</t>
        </is>
      </c>
      <c r="J14082" s="10" t="inlineStr">
        <is>
          <t>Giáo dục / Đào tạo, Mỹ thuật / Nghệ thuật / Thiết kế, Quảng cáo / Đối ngoại / Truyền Thông</t>
        </is>
      </c>
      <c r="K14082" s="10" t="inlineStr">
        <is>
          <t>3 - 5 Năm</t>
        </is>
      </c>
      <c r="L14082" s="11">
        <f>HYPERLINK("https://careerviet.vn/vi/tim-viec-lam/chuyen-vien-thiet-ke.35C6BF61.html","Xem chi tiết")</f>
        <v/>
      </c>
      <c r="M14082" s="10" t="n"/>
    </row>
    <row r="14083">
      <c r="B14083" s="7" t="n">
        <v>14081</v>
      </c>
      <c r="C14083" t="inlineStr">
        <is>
          <t>Chuyên Viên Quản Lý Chất Lượng</t>
        </is>
      </c>
      <c r="D14083" t="inlineStr">
        <is>
          <t>Công Ty Cổ Phần Xây Dựng CDC</t>
        </is>
      </c>
      <c r="E14083" t="inlineStr">
        <is>
          <t>Lương:Cạnh tranh</t>
        </is>
      </c>
      <c r="F14083" t="inlineStr">
        <is>
          <t>Hà Nội</t>
        </is>
      </c>
      <c r="G14083" t="inlineStr">
        <is>
          <t>30-04-2026</t>
        </is>
      </c>
      <c r="H14083" t="inlineStr">
        <is>
          <t>30/04/2026</t>
        </is>
      </c>
      <c r="I14083" t="inlineStr">
        <is>
          <t>17/03/2026</t>
        </is>
      </c>
      <c r="J14083" t="inlineStr">
        <is>
          <t>Xây dựng</t>
        </is>
      </c>
      <c r="K14083" t="inlineStr">
        <is>
          <t>Trên 1 Năm</t>
        </is>
      </c>
      <c r="L14083" s="8">
        <f>HYPERLINK("https://careerviet.vn/vi/tim-viec-lam/chuyen-vien-quan-ly-chat-luong.35C6BF9F.html","Xem chi tiết")</f>
        <v/>
      </c>
    </row>
    <row r="14084">
      <c r="B14084" s="9" t="n">
        <v>14082</v>
      </c>
      <c r="C14084" s="10" t="inlineStr">
        <is>
          <t>[NovaService] Trưởng phòng Hành chính</t>
        </is>
      </c>
      <c r="D14084" s="10" t="inlineStr">
        <is>
          <t>Nova Service Group - Công ty Cổ phần Tập đoàn Nova Services</t>
        </is>
      </c>
      <c r="E14084" s="10" t="inlineStr">
        <is>
          <t>Lương:Cạnh tranh</t>
        </is>
      </c>
      <c r="F14084" s="10" t="inlineStr">
        <is>
          <t>Hồ Chí Minh</t>
        </is>
      </c>
      <c r="G14084" s="10" t="inlineStr">
        <is>
          <t>11-04-2026</t>
        </is>
      </c>
      <c r="H14084" s="10" t="inlineStr">
        <is>
          <t>11/04/2026</t>
        </is>
      </c>
      <c r="I14084" s="10" t="inlineStr">
        <is>
          <t>17/03/2026</t>
        </is>
      </c>
      <c r="J14084" s="10" t="inlineStr">
        <is>
          <t>Hành chính / Thư ký, Quản lý điều hành, Nhân sự</t>
        </is>
      </c>
      <c r="K14084" s="10" t="inlineStr">
        <is>
          <t>5 - 7 Năm</t>
        </is>
      </c>
      <c r="L14084" s="11">
        <f>HYPERLINK("https://careerviet.vn/vi/tim-viec-lam/novaservice-truong-phong-hanh-chinh.35C6BF7E.html","Xem chi tiết")</f>
        <v/>
      </c>
      <c r="M14084" s="10" t="n"/>
    </row>
    <row r="14085">
      <c r="B14085" s="7" t="n">
        <v>14083</v>
      </c>
      <c r="C14085" t="inlineStr">
        <is>
          <t>Advance Supplier Quality Supervisor</t>
        </is>
      </c>
      <c r="D14085" t="inlineStr">
        <is>
          <t>Techtronic Industries Vietnam Manufacturing Company Limited</t>
        </is>
      </c>
      <c r="E14085" t="inlineStr">
        <is>
          <t>Lương:Cạnh tranh</t>
        </is>
      </c>
      <c r="F14085" t="inlineStr">
        <is>
          <t>Hồ Chí Minh</t>
        </is>
      </c>
      <c r="G14085" t="inlineStr">
        <is>
          <t>21-04-2026</t>
        </is>
      </c>
      <c r="H14085" t="inlineStr">
        <is>
          <t>21/04/2026</t>
        </is>
      </c>
      <c r="I14085" t="inlineStr">
        <is>
          <t>17/03/2026</t>
        </is>
      </c>
      <c r="J14085" t="inlineStr">
        <is>
          <t>Cơ khí / Ô tô / Tự động hóa, Điện / Điện tử / Điện lạnh / Điện công nghiệp</t>
        </is>
      </c>
      <c r="K14085" t="inlineStr">
        <is>
          <t>5 - 6 Năm</t>
        </is>
      </c>
      <c r="L14085" s="8">
        <f>HYPERLINK("https://careerviet.vn/vi/tim-viec-lam/advance-supplier-quality-supervisor.35C6BF94.html","Xem chi tiết")</f>
        <v/>
      </c>
    </row>
    <row r="14086">
      <c r="B14086" s="9" t="n">
        <v>14084</v>
      </c>
      <c r="C14086" s="10" t="inlineStr">
        <is>
          <t>Advance Process Engineer</t>
        </is>
      </c>
      <c r="D14086" s="10" t="inlineStr">
        <is>
          <t>Techtronic Industries Vietnam Manufacturing Company Limited</t>
        </is>
      </c>
      <c r="E14086" s="10" t="inlineStr">
        <is>
          <t>Lương:Cạnh tranh</t>
        </is>
      </c>
      <c r="F14086" s="10" t="inlineStr">
        <is>
          <t>Hồ Chí Minh</t>
        </is>
      </c>
      <c r="G14086" s="10" t="inlineStr">
        <is>
          <t>21-04-2026</t>
        </is>
      </c>
      <c r="H14086" s="10" t="inlineStr">
        <is>
          <t>21/04/2026</t>
        </is>
      </c>
      <c r="I14086" s="10" t="inlineStr">
        <is>
          <t>17/03/2026</t>
        </is>
      </c>
      <c r="J14086" s="10" t="inlineStr">
        <is>
          <t>Cơ khí / Ô tô / Tự động hóa, Quản lý chất lượng (QA/QC)</t>
        </is>
      </c>
      <c r="K14086" s="10" t="inlineStr">
        <is>
          <t>2 - 3 Năm</t>
        </is>
      </c>
      <c r="L14086" s="11">
        <f>HYPERLINK("https://careerviet.vn/vi/tim-viec-lam/advance-process-engineer.35C6BFA0.html","Xem chi tiết")</f>
        <v/>
      </c>
      <c r="M14086" s="10" t="n"/>
    </row>
    <row r="14087">
      <c r="B14087" s="7" t="n">
        <v>14085</v>
      </c>
      <c r="C14087" t="inlineStr">
        <is>
          <t>Chuyên Viên Thủ Tục Và Chăm Sóc Khách Hàng</t>
        </is>
      </c>
      <c r="D14087" t="inlineStr">
        <is>
          <t>Công ty cổ phần Tập đoàn Danko</t>
        </is>
      </c>
      <c r="E14087" t="inlineStr">
        <is>
          <t>Lương:14 Tr - 20 Tr VND</t>
        </is>
      </c>
      <c r="F14087" t="inlineStr">
        <is>
          <t>Hà Nội</t>
        </is>
      </c>
      <c r="G14087" t="inlineStr">
        <is>
          <t>29-04-2026</t>
        </is>
      </c>
      <c r="H14087" t="inlineStr">
        <is>
          <t>29/04/2026</t>
        </is>
      </c>
      <c r="I14087" t="inlineStr">
        <is>
          <t>17/03/2026</t>
        </is>
      </c>
      <c r="J14087" t="inlineStr">
        <is>
          <t>Bán hàng / Kinh doanh, Tư vấn, Dịch vụ khách hàng</t>
        </is>
      </c>
      <c r="K14087" t="inlineStr">
        <is>
          <t>Trên 5 Năm</t>
        </is>
      </c>
      <c r="L14087" s="8">
        <f>HYPERLINK("https://careerviet.vn/vi/tim-viec-lam/chuyen-vien-thu-tuc-va-cham-soc-khach-hang.35C6BF8E.html","Xem chi tiết")</f>
        <v/>
      </c>
    </row>
    <row r="14088">
      <c r="B14088" s="9" t="n">
        <v>14086</v>
      </c>
      <c r="C14088" s="10" t="inlineStr">
        <is>
          <t>Chuyên viên Quản lý Biện pháp thi công</t>
        </is>
      </c>
      <c r="D14088" s="10" t="inlineStr">
        <is>
          <t>Công Ty Cổ Phần Xây Dựng CDC</t>
        </is>
      </c>
      <c r="E14088" s="10" t="inlineStr">
        <is>
          <t>Lương:Cạnh tranh</t>
        </is>
      </c>
      <c r="F14088" s="10" t="inlineStr">
        <is>
          <t>Hà Nội</t>
        </is>
      </c>
      <c r="G14088" s="10" t="inlineStr">
        <is>
          <t>30-04-2026</t>
        </is>
      </c>
      <c r="H14088" s="10" t="inlineStr">
        <is>
          <t>30/04/2026</t>
        </is>
      </c>
      <c r="I14088" s="10" t="inlineStr">
        <is>
          <t>17/03/2026</t>
        </is>
      </c>
      <c r="J14088" s="10" t="inlineStr">
        <is>
          <t>Điện / Điện tử / Điện lạnh / Điện công nghiệp, Xây dựng</t>
        </is>
      </c>
      <c r="K14088" s="10" t="inlineStr">
        <is>
          <t>Trên 2 Năm</t>
        </is>
      </c>
      <c r="L14088" s="11">
        <f>HYPERLINK("https://careerviet.vn/vi/tim-viec-lam/chuyen-vien-quan-ly-bien-phap-thi-cong.35C6BF93.html","Xem chi tiết")</f>
        <v/>
      </c>
      <c r="M14088" s="10" t="n"/>
    </row>
    <row r="14089">
      <c r="B14089" s="7" t="n">
        <v>14087</v>
      </c>
      <c r="C14089" t="inlineStr">
        <is>
          <t>Nhân viên chăm sóc khách hàng</t>
        </is>
      </c>
      <c r="D14089" t="inlineStr">
        <is>
          <t>Công Ty Cổ Phần Hai Bốn Bảy</t>
        </is>
      </c>
      <c r="E14089" t="inlineStr">
        <is>
          <t>Lương:10 Tr - 12 Tr VND</t>
        </is>
      </c>
      <c r="F14089" t="inlineStr">
        <is>
          <t>Hồ Chí Minh</t>
        </is>
      </c>
      <c r="G14089" t="inlineStr">
        <is>
          <t>30-04-2026</t>
        </is>
      </c>
      <c r="H14089" t="inlineStr">
        <is>
          <t>30/04/2026</t>
        </is>
      </c>
      <c r="I14089" t="inlineStr">
        <is>
          <t>17/03/2026</t>
        </is>
      </c>
      <c r="J14089" t="inlineStr">
        <is>
          <t>Bưu chính viễn thông</t>
        </is>
      </c>
      <c r="K14089" t="inlineStr">
        <is>
          <t>1 - 2 Năm</t>
        </is>
      </c>
      <c r="L14089" s="8">
        <f>HYPERLINK("https://careerviet.vn/vi/tim-viec-lam/nhan-vien-cham-soc-khach-hang.35C6BF9C.html","Xem chi tiết")</f>
        <v/>
      </c>
    </row>
    <row r="14090">
      <c r="B14090" s="9" t="n">
        <v>14088</v>
      </c>
      <c r="C14090" s="10" t="inlineStr">
        <is>
          <t>Senior Customer Service Executive</t>
        </is>
      </c>
      <c r="D14090" s="10" t="inlineStr">
        <is>
          <t>Nexgen Packaging Vietnam Ltd</t>
        </is>
      </c>
      <c r="E14090" s="10" t="inlineStr">
        <is>
          <t>Lương:Cạnh tranh</t>
        </is>
      </c>
      <c r="F14090" s="10" t="inlineStr">
        <is>
          <t>Bình Dương</t>
        </is>
      </c>
      <c r="G14090" s="10" t="inlineStr">
        <is>
          <t>30-04-2026</t>
        </is>
      </c>
      <c r="H14090" s="10" t="inlineStr">
        <is>
          <t>30/04/2026</t>
        </is>
      </c>
      <c r="I14090" s="10" t="inlineStr">
        <is>
          <t>17/03/2026</t>
        </is>
      </c>
      <c r="J14090" s="10" t="inlineStr">
        <is>
          <t>In ấn / Xuất bản, Sản xuất / Vận hành sản xuất, Dệt may / Da giày / Thời trang</t>
        </is>
      </c>
      <c r="K14090" s="10" t="inlineStr">
        <is>
          <t>3 - 5 Năm</t>
        </is>
      </c>
      <c r="L14090" s="11">
        <f>HYPERLINK("https://careerviet.vn/vi/tim-viec-lam/senior-customer-service-executive.35C6BF87.html","Xem chi tiết")</f>
        <v/>
      </c>
      <c r="M14090" s="10" t="n"/>
    </row>
    <row r="14091">
      <c r="B14091" s="7" t="n">
        <v>14089</v>
      </c>
      <c r="C14091" t="inlineStr">
        <is>
          <t>Giáo viên Tiếng Anh Tiểu học - Thỉnh giảng 8 tháng</t>
        </is>
      </c>
      <c r="D14091" t="inlineStr">
        <is>
          <t>Hệ thống trường Pathway Tuệ Đức</t>
        </is>
      </c>
      <c r="E14091" t="inlineStr">
        <is>
          <t>Lương:Cạnh tranh</t>
        </is>
      </c>
      <c r="F14091" t="inlineStr">
        <is>
          <t>Hồ Chí Minh</t>
        </is>
      </c>
      <c r="G14091" t="inlineStr">
        <is>
          <t>11-04-2026</t>
        </is>
      </c>
      <c r="H14091" t="inlineStr">
        <is>
          <t>11/04/2026</t>
        </is>
      </c>
      <c r="I14091" t="inlineStr">
        <is>
          <t>17/03/2026</t>
        </is>
      </c>
      <c r="J14091" t="inlineStr">
        <is>
          <t>Giáo dục / Đào tạo</t>
        </is>
      </c>
      <c r="K14091" t="inlineStr">
        <is>
          <t>1 - 5 Năm</t>
        </is>
      </c>
      <c r="L14091" s="8">
        <f>HYPERLINK("https://careerviet.vn/vi/tim-viec-lam/giao-vien-tieng-anh-tieu-hoc-thinh-giang-8-thang.35C6BF7D.html","Xem chi tiết")</f>
        <v/>
      </c>
    </row>
    <row r="14092">
      <c r="B14092" s="9" t="n">
        <v>14090</v>
      </c>
      <c r="C14092" s="10" t="inlineStr">
        <is>
          <t>LẬP KẾ HOẠCH CHO GAME - GAME DESIGNER</t>
        </is>
      </c>
      <c r="D14092" s="10" t="inlineStr">
        <is>
          <t>Koei Tecmo Software Vietnam</t>
        </is>
      </c>
      <c r="E14092" s="10" t="inlineStr">
        <is>
          <t>Lương:Cạnh tranh</t>
        </is>
      </c>
      <c r="F14092" s="10" t="inlineStr">
        <is>
          <t>Hà Nội</t>
        </is>
      </c>
      <c r="G14092" s="10" t="inlineStr">
        <is>
          <t>10-04-2026</t>
        </is>
      </c>
      <c r="H14092" s="10" t="inlineStr">
        <is>
          <t>10/04/2026</t>
        </is>
      </c>
      <c r="I14092" s="10" t="inlineStr">
        <is>
          <t>17/03/2026</t>
        </is>
      </c>
      <c r="J14092" s="10" t="inlineStr">
        <is>
          <t>CNTT - Phần mềm, Mỹ thuật / Nghệ thuật / Thiết kế, Biên phiên dịch</t>
        </is>
      </c>
      <c r="K14092" s="10" t="inlineStr">
        <is>
          <t>Chưa có kinh nghiệm</t>
        </is>
      </c>
      <c r="L14092" s="11">
        <f>HYPERLINK("https://careerviet.vn/vi/tim-viec-lam/lap-ke-hoach-cho-game-game-designer.35C6BF9B.html","Xem chi tiết")</f>
        <v/>
      </c>
      <c r="M14092" s="10" t="n"/>
    </row>
    <row r="14093">
      <c r="B14093" s="7" t="n">
        <v>14091</v>
      </c>
      <c r="C14093" t="inlineStr">
        <is>
          <t>Chuyên viên Tư vấn tuyển sinh</t>
        </is>
      </c>
      <c r="D14093" t="inlineStr">
        <is>
          <t>Công ty CP Công nghệ giáo dục Trường học trực tuyến (ONSCHOOL)</t>
        </is>
      </c>
      <c r="E14093" t="inlineStr">
        <is>
          <t>Lương:15 Tr - 30 Tr VND</t>
        </is>
      </c>
      <c r="F14093" t="inlineStr">
        <is>
          <t>Hồ Chí Minh</t>
        </is>
      </c>
      <c r="G14093" t="inlineStr">
        <is>
          <t>30-03-2026</t>
        </is>
      </c>
      <c r="H14093" t="inlineStr">
        <is>
          <t>30/03/2026</t>
        </is>
      </c>
      <c r="I14093" t="inlineStr">
        <is>
          <t>17/03/2026</t>
        </is>
      </c>
      <c r="J14093" t="inlineStr">
        <is>
          <t>Bán hàng / Kinh doanh, Giáo dục / Đào tạo</t>
        </is>
      </c>
      <c r="K14093" t="inlineStr">
        <is>
          <t>1 - 2 Năm</t>
        </is>
      </c>
      <c r="L14093" s="8">
        <f>HYPERLINK("https://careerviet.vn/vi/tim-viec-lam/chuyen-vien-tu-van-tuyen-sinh.35C6BF8D.html","Xem chi tiết")</f>
        <v/>
      </c>
    </row>
    <row r="14094">
      <c r="B14094" s="9" t="n">
        <v>14092</v>
      </c>
      <c r="C14094" s="10" t="inlineStr">
        <is>
          <t>Kỹ Sư QS – Cơ điện</t>
        </is>
      </c>
      <c r="D14094" s="10" t="inlineStr">
        <is>
          <t>Công ty TNHH Cơ Điện Lạnh EEP Việt Nam</t>
        </is>
      </c>
      <c r="E14094" s="10" t="inlineStr">
        <is>
          <t>Lương:15 Tr - 25 Tr VND</t>
        </is>
      </c>
      <c r="F14094" s="10" t="inlineStr">
        <is>
          <t>Hà Nội</t>
        </is>
      </c>
      <c r="G14094" s="10" t="inlineStr">
        <is>
          <t>31-03-2026</t>
        </is>
      </c>
      <c r="H14094" s="10" t="inlineStr">
        <is>
          <t>31/03/2026</t>
        </is>
      </c>
      <c r="I14094" s="10" t="inlineStr">
        <is>
          <t>17/03/2026</t>
        </is>
      </c>
      <c r="J14094" s="10" t="inlineStr">
        <is>
          <t>Điện / Điện tử / Điện lạnh / Điện công nghiệp, Xây dựng, Bảo trì / Sửa chữa</t>
        </is>
      </c>
      <c r="K14094" s="10" t="inlineStr">
        <is>
          <t>1 - 5 Năm</t>
        </is>
      </c>
      <c r="L14094" s="11">
        <f>HYPERLINK("https://careerviet.vn/vi/tim-viec-lam/ky-su-qs-co-dien.35C6BF7C.html","Xem chi tiết")</f>
        <v/>
      </c>
      <c r="M14094" s="10" t="n"/>
    </row>
    <row r="14095">
      <c r="B14095" s="7" t="n">
        <v>14093</v>
      </c>
      <c r="C14095" t="inlineStr">
        <is>
          <t>Trade Marketing Executive</t>
        </is>
      </c>
      <c r="D14095" t="inlineStr">
        <is>
          <t>HỆ THỐNG KÍNH MẮT ANNA</t>
        </is>
      </c>
      <c r="E14095" t="inlineStr">
        <is>
          <t>Lương:9 Tr - 14 Tr VND</t>
        </is>
      </c>
      <c r="F14095" t="inlineStr">
        <is>
          <t>Hà Nội</t>
        </is>
      </c>
      <c r="G14095" t="inlineStr">
        <is>
          <t>11-04-2026</t>
        </is>
      </c>
      <c r="H14095" t="inlineStr">
        <is>
          <t>11/04/2026</t>
        </is>
      </c>
      <c r="I14095" t="inlineStr">
        <is>
          <t>17/03/2026</t>
        </is>
      </c>
      <c r="J14095" t="inlineStr">
        <is>
          <t>Tiếp thị / Marketing, Bán lẻ / Bán sỉ, Bán hàng / Kinh doanh</t>
        </is>
      </c>
      <c r="K14095" t="inlineStr">
        <is>
          <t>1 - 2 Năm</t>
        </is>
      </c>
      <c r="L14095" s="8">
        <f>HYPERLINK("https://careerviet.vn/vi/tim-viec-lam/trade-marketing-executive.35C6BF84.html","Xem chi tiết")</f>
        <v/>
      </c>
    </row>
    <row r="14096">
      <c r="B14096" s="9" t="n">
        <v>14094</v>
      </c>
      <c r="C14096" s="10" t="inlineStr">
        <is>
          <t>Trưởng Phòng Hành Chính Nhân Sự (Khánh Hòa)</t>
        </is>
      </c>
      <c r="D14096" s="10" t="inlineStr">
        <is>
          <t>CareerViet's client</t>
        </is>
      </c>
      <c r="E14096" s="10" t="inlineStr">
        <is>
          <t>Lương:Cạnh tranh</t>
        </is>
      </c>
      <c r="F14096" s="10" t="inlineStr">
        <is>
          <t>Ninh Thuận</t>
        </is>
      </c>
      <c r="G14096" s="10" t="inlineStr">
        <is>
          <t>30-05-2026</t>
        </is>
      </c>
      <c r="H14096" s="10" t="inlineStr">
        <is>
          <t>30/05/2026</t>
        </is>
      </c>
      <c r="I14096" s="10" t="inlineStr">
        <is>
          <t>17/03/2026</t>
        </is>
      </c>
      <c r="J14096" s="10" t="inlineStr">
        <is>
          <t>Nhân sự, Hành chính / Thư ký, Quản lý điều hành</t>
        </is>
      </c>
      <c r="K14096" s="10" t="inlineStr">
        <is>
          <t>3 - 4 Năm</t>
        </is>
      </c>
      <c r="L14096" s="11">
        <f>HYPERLINK("https://careerviet.vn/vi/tim-viec-lam/truong-phong-hanh-chinh-nhan-su-khanh-hoa.35C6BF77.html","Xem chi tiết")</f>
        <v/>
      </c>
      <c r="M14096" s="10" t="n"/>
    </row>
    <row r="14097">
      <c r="B14097" s="7" t="n">
        <v>14095</v>
      </c>
      <c r="C14097" t="inlineStr">
        <is>
          <t>Purchasing officer</t>
        </is>
      </c>
      <c r="D14097" t="inlineStr">
        <is>
          <t>CÔNG TY TNHH EVOLUTION ENTERPRISES</t>
        </is>
      </c>
      <c r="E14097" t="inlineStr">
        <is>
          <t>Lương:Cạnh tranh</t>
        </is>
      </c>
      <c r="F14097" t="inlineStr">
        <is>
          <t>Hồ Chí Minh</t>
        </is>
      </c>
      <c r="G14097" t="inlineStr">
        <is>
          <t>31-03-2026</t>
        </is>
      </c>
      <c r="H14097" t="inlineStr">
        <is>
          <t>31/03/2026</t>
        </is>
      </c>
      <c r="I14097" t="inlineStr">
        <is>
          <t>17/03/2026</t>
        </is>
      </c>
      <c r="J14097" t="inlineStr">
        <is>
          <t>Dệt may / Da giày / Thời trang, Thu mua / Vật tư</t>
        </is>
      </c>
      <c r="K14097" t="inlineStr">
        <is>
          <t>3 - 5 Năm</t>
        </is>
      </c>
      <c r="L14097" s="8">
        <f>HYPERLINK("https://careerviet.vn/vi/tim-viec-lam/purchasing-officer.35C6BF75.html","Xem chi tiết")</f>
        <v/>
      </c>
    </row>
    <row r="14098">
      <c r="B14098" s="9" t="n">
        <v>14096</v>
      </c>
      <c r="C14098" s="10" t="inlineStr">
        <is>
          <t>Nhân viên Digital Marketing</t>
        </is>
      </c>
      <c r="D14098" s="10" t="inlineStr">
        <is>
          <t>CÔNG TY CP BIA &amp; NGK HẠ LONG</t>
        </is>
      </c>
      <c r="E14098" s="10" t="inlineStr">
        <is>
          <t>Lương:12 Tr - 16 Tr VND</t>
        </is>
      </c>
      <c r="F14098" s="10" t="inlineStr">
        <is>
          <t>Hà Nội</t>
        </is>
      </c>
      <c r="G14098" s="10" t="inlineStr">
        <is>
          <t>10-04-2026</t>
        </is>
      </c>
      <c r="H14098" s="10" t="inlineStr">
        <is>
          <t>10/04/2026</t>
        </is>
      </c>
      <c r="I14098" s="10" t="inlineStr">
        <is>
          <t>17/03/2026</t>
        </is>
      </c>
      <c r="J14098" s="10" t="inlineStr">
        <is>
          <t>Tiếp thị / Marketing, Thực phẩm &amp; Đồ uống</t>
        </is>
      </c>
      <c r="K14098" s="10" t="inlineStr">
        <is>
          <t>3 - 5 Năm</t>
        </is>
      </c>
      <c r="L14098" s="11">
        <f>HYPERLINK("https://careerviet.vn/vi/tim-viec-lam/nhan-vien-digital-marketing.35C6BF8A.html","Xem chi tiết")</f>
        <v/>
      </c>
      <c r="M14098" s="10" t="n"/>
    </row>
    <row r="14099">
      <c r="B14099" s="7" t="n">
        <v>14097</v>
      </c>
      <c r="C14099" t="inlineStr">
        <is>
          <t>Chuyên viên/ Trưởng phòng  C&amp;B</t>
        </is>
      </c>
      <c r="D14099" t="inlineStr">
        <is>
          <t>CÔNG TY CỔ PHẦN CÔNG NGHỆ SOTATEK VIỆT NAM</t>
        </is>
      </c>
      <c r="E14099" t="inlineStr">
        <is>
          <t>Lương:Cạnh tranh</t>
        </is>
      </c>
      <c r="F14099" t="inlineStr">
        <is>
          <t>Ninh Thuận</t>
        </is>
      </c>
      <c r="G14099" t="inlineStr">
        <is>
          <t>01-04-2026</t>
        </is>
      </c>
      <c r="H14099" t="inlineStr">
        <is>
          <t>01/04/2026</t>
        </is>
      </c>
      <c r="I14099" t="inlineStr">
        <is>
          <t>17/03/2026</t>
        </is>
      </c>
      <c r="J14099" t="inlineStr">
        <is>
          <t>Nhân sự, Kế toán / Kiểm toán, Thống kê</t>
        </is>
      </c>
      <c r="K14099" t="inlineStr">
        <is>
          <t>Trên 2 Năm</t>
        </is>
      </c>
      <c r="L14099" s="8">
        <f>HYPERLINK("https://careerviet.vn/vi/tim-viec-lam/chuyen-vien-truong-phong-c-b.35C6BF85.html","Xem chi tiết")</f>
        <v/>
      </c>
    </row>
    <row r="14100">
      <c r="B14100" s="9" t="n">
        <v>14098</v>
      </c>
      <c r="C14100" s="10" t="inlineStr">
        <is>
          <t>[NovaService] Chuyên viên Thu hút Nhân tài (Senior Talent Acquisition)</t>
        </is>
      </c>
      <c r="D14100" s="10" t="inlineStr">
        <is>
          <t>Nova Service Group - Công ty Cổ phần Tập đoàn Nova Services</t>
        </is>
      </c>
      <c r="E14100" s="10" t="inlineStr">
        <is>
          <t>Lương:Cạnh tranh</t>
        </is>
      </c>
      <c r="F14100" s="10" t="inlineStr">
        <is>
          <t>Hồ Chí Minh</t>
        </is>
      </c>
      <c r="G14100" s="10" t="inlineStr">
        <is>
          <t>11-04-2026</t>
        </is>
      </c>
      <c r="H14100" s="10" t="inlineStr">
        <is>
          <t>11/04/2026</t>
        </is>
      </c>
      <c r="I14100" s="10" t="inlineStr">
        <is>
          <t>17/03/2026</t>
        </is>
      </c>
      <c r="J14100" s="10" t="inlineStr">
        <is>
          <t>Dịch vụ khách hàng, Nhân sự, Nhà hàng / Khách sạn</t>
        </is>
      </c>
      <c r="K14100" s="10" t="inlineStr">
        <is>
          <t>5 - 7 Năm</t>
        </is>
      </c>
      <c r="L14100" s="11">
        <f>HYPERLINK("https://careerviet.vn/vi/tim-viec-lam/novaservice-chuyen-vien-thu-hut-nhan-tai-senior-talent-acquisition.35C6BF71.html","Xem chi tiết")</f>
        <v/>
      </c>
      <c r="M14100" s="10" t="n"/>
    </row>
    <row r="14101">
      <c r="B14101" s="7" t="n">
        <v>14099</v>
      </c>
      <c r="C14101" t="inlineStr">
        <is>
          <t>PROJECT MANAGER (ERP ODOO)</t>
        </is>
      </c>
      <c r="D14101" t="inlineStr">
        <is>
          <t>Tổng công ty Xây dựng số 1 – CTCP</t>
        </is>
      </c>
      <c r="E14101" t="inlineStr">
        <is>
          <t>Lương:Cạnh tranh</t>
        </is>
      </c>
      <c r="F14101" t="inlineStr">
        <is>
          <t>Hồ Chí Minh</t>
        </is>
      </c>
      <c r="G14101" t="inlineStr">
        <is>
          <t>09-04-2026</t>
        </is>
      </c>
      <c r="H14101" t="inlineStr">
        <is>
          <t>09/04/2026</t>
        </is>
      </c>
      <c r="I14101" t="inlineStr">
        <is>
          <t>17/03/2026</t>
        </is>
      </c>
      <c r="J14101" t="inlineStr">
        <is>
          <t>CNTT - Phần mềm</t>
        </is>
      </c>
      <c r="K14101" t="inlineStr">
        <is>
          <t>5 - 10 Năm</t>
        </is>
      </c>
      <c r="L14101" s="8">
        <f>HYPERLINK("https://careerviet.vn/vi/tim-viec-lam/project-manager-erp-odoo.35C6BF78.html","Xem chi tiết")</f>
        <v/>
      </c>
    </row>
    <row r="14102">
      <c r="B14102" s="9" t="n">
        <v>14100</v>
      </c>
      <c r="C14102" s="10" t="inlineStr">
        <is>
          <t>Tax Manager</t>
        </is>
      </c>
      <c r="D14102" s="10" t="inlineStr">
        <is>
          <t>Công Ty Cổ Phần GreenFeed Việt Nam</t>
        </is>
      </c>
      <c r="E14102" s="10" t="inlineStr">
        <is>
          <t>Lương:Cạnh tranh</t>
        </is>
      </c>
      <c r="F14102" s="10" t="inlineStr">
        <is>
          <t>Hồ Chí Minh</t>
        </is>
      </c>
      <c r="G14102" s="10" t="inlineStr">
        <is>
          <t>30-03-2026</t>
        </is>
      </c>
      <c r="H14102" s="10" t="inlineStr">
        <is>
          <t>30/03/2026</t>
        </is>
      </c>
      <c r="I14102" s="10" t="inlineStr">
        <is>
          <t>17/03/2026</t>
        </is>
      </c>
      <c r="J14102" s="10" t="inlineStr">
        <is>
          <t>Kế toán / Kiểm toán</t>
        </is>
      </c>
      <c r="K14102" s="10" t="inlineStr">
        <is>
          <t>7 - 10 Năm</t>
        </is>
      </c>
      <c r="L14102" s="11">
        <f>HYPERLINK("https://careerviet.vn/vi/tim-viec-lam/tax-manager.35C6BF79.html","Xem chi tiết")</f>
        <v/>
      </c>
      <c r="M14102" s="10" t="n"/>
    </row>
    <row r="14103">
      <c r="B14103" s="7" t="n">
        <v>14101</v>
      </c>
      <c r="C14103" t="inlineStr">
        <is>
          <t>Chuyên viên Vận hành sàn TMĐT</t>
        </is>
      </c>
      <c r="D14103" t="inlineStr">
        <is>
          <t>HỆ THỐNG KÍNH MẮT ANNA</t>
        </is>
      </c>
      <c r="E14103" t="inlineStr">
        <is>
          <t>Lương:10 Tr - 25 Tr VND</t>
        </is>
      </c>
      <c r="F14103" t="inlineStr">
        <is>
          <t>Hà Nội</t>
        </is>
      </c>
      <c r="G14103" t="inlineStr">
        <is>
          <t>11-04-2026</t>
        </is>
      </c>
      <c r="H14103" t="inlineStr">
        <is>
          <t>11/04/2026</t>
        </is>
      </c>
      <c r="I14103" t="inlineStr">
        <is>
          <t>17/03/2026</t>
        </is>
      </c>
      <c r="J14103" t="inlineStr">
        <is>
          <t>Tiếp thị / Marketing, Bán lẻ / Bán sỉ, Thương mại điện tử</t>
        </is>
      </c>
      <c r="K14103" t="inlineStr">
        <is>
          <t>2 - 3 Năm</t>
        </is>
      </c>
      <c r="L14103" s="8">
        <f>HYPERLINK("https://careerviet.vn/vi/tim-viec-lam/chuyen-vien-van-hanh-san-tmdt.35C6BF95.html","Xem chi tiết")</f>
        <v/>
      </c>
    </row>
    <row r="14104">
      <c r="B14104" s="9" t="n">
        <v>14102</v>
      </c>
      <c r="C14104" s="10" t="inlineStr">
        <is>
          <t>[NovaService] Giám đốc ban Pháp chế</t>
        </is>
      </c>
      <c r="D14104" s="10" t="inlineStr">
        <is>
          <t>Nova Service Group - Công ty Cổ phần Tập đoàn Nova Services</t>
        </is>
      </c>
      <c r="E14104" s="10" t="inlineStr">
        <is>
          <t>Lương:Cạnh tranh</t>
        </is>
      </c>
      <c r="F14104" s="10" t="inlineStr">
        <is>
          <t>Hồ Chí Minh</t>
        </is>
      </c>
      <c r="G14104" s="10" t="inlineStr">
        <is>
          <t>11-04-2026</t>
        </is>
      </c>
      <c r="H14104" s="10" t="inlineStr">
        <is>
          <t>11/04/2026</t>
        </is>
      </c>
      <c r="I14104" s="10" t="inlineStr">
        <is>
          <t>17/03/2026</t>
        </is>
      </c>
      <c r="J14104" s="10" t="inlineStr">
        <is>
          <t>Dịch vụ khách hàng, Quản lý điều hành, Luật / Pháp lý</t>
        </is>
      </c>
      <c r="K14104" s="10" t="inlineStr">
        <is>
          <t>10 - 12 Năm</t>
        </is>
      </c>
      <c r="L14104" s="11">
        <f>HYPERLINK("https://careerviet.vn/vi/tim-viec-lam/novaservice-giam-doc-ban-phap-che.35C6BF76.html","Xem chi tiết")</f>
        <v/>
      </c>
      <c r="M14104" s="10" t="n"/>
    </row>
    <row r="14105">
      <c r="B14105" s="7" t="n">
        <v>14103</v>
      </c>
      <c r="C14105" t="inlineStr">
        <is>
          <t>Chuyên viên cao cấp chăm sóc khách hàng chủ động - Khối Vận hành</t>
        </is>
      </c>
      <c r="D14105" t="inlineStr">
        <is>
          <t>Ngân Hàng TMCP Sài Gòn - Hà Nội ( SHB )</t>
        </is>
      </c>
      <c r="E14105" t="inlineStr">
        <is>
          <t>Lương:Cạnh tranh</t>
        </is>
      </c>
      <c r="F14105" t="inlineStr">
        <is>
          <t>Hà Nội</t>
        </is>
      </c>
      <c r="G14105" t="inlineStr">
        <is>
          <t>08-04-2026</t>
        </is>
      </c>
      <c r="H14105" t="inlineStr">
        <is>
          <t>08/04/2026</t>
        </is>
      </c>
      <c r="I14105" t="inlineStr">
        <is>
          <t>17/03/2026</t>
        </is>
      </c>
      <c r="J14105" t="inlineStr">
        <is>
          <t>Dịch vụ khách hàng, Ngân hàng</t>
        </is>
      </c>
      <c r="K14105" t="inlineStr">
        <is>
          <t>Trên 2 Năm</t>
        </is>
      </c>
      <c r="L14105" s="8">
        <f>HYPERLINK("https://careerviet.vn/vi/tim-viec-lam/chuyen-vien-cao-cap-cham-soc-khach-hang-chu-dong-khoi-van-hanh.35C6BF9D.html","Xem chi tiết")</f>
        <v/>
      </c>
    </row>
    <row r="14106">
      <c r="B14106" s="9" t="n">
        <v>14104</v>
      </c>
      <c r="C14106" s="10" t="inlineStr">
        <is>
          <t>Nhân viên Kế toán</t>
        </is>
      </c>
      <c r="D14106" s="10" t="inlineStr">
        <is>
          <t>SHIN Cà Phê - Công ty Cổ phần Cà phê Golden Beans</t>
        </is>
      </c>
      <c r="E14106" s="10" t="inlineStr">
        <is>
          <t>Lương:12 Tr - 15 Tr VND</t>
        </is>
      </c>
      <c r="F14106" s="10" t="inlineStr">
        <is>
          <t>Hồ Chí Minh</t>
        </is>
      </c>
      <c r="G14106" s="10" t="inlineStr">
        <is>
          <t>10-04-2026</t>
        </is>
      </c>
      <c r="H14106" s="10" t="inlineStr">
        <is>
          <t>10/04/2026</t>
        </is>
      </c>
      <c r="I14106" s="10" t="inlineStr">
        <is>
          <t>17/03/2026</t>
        </is>
      </c>
      <c r="J14106" s="10" t="inlineStr">
        <is>
          <t>Thực phẩm &amp; Đồ uống, Kế toán / Kiểm toán, Tài chính / Đầu tư</t>
        </is>
      </c>
      <c r="K14106" s="10" t="inlineStr">
        <is>
          <t>2 - 3 Năm</t>
        </is>
      </c>
      <c r="L14106" s="11">
        <f>HYPERLINK("https://careerviet.vn/vi/tim-viec-lam/nhan-vien-ke-toan.35C6BF72.html","Xem chi tiết")</f>
        <v/>
      </c>
      <c r="M14106" s="10" t="n"/>
    </row>
    <row r="14107">
      <c r="B14107" s="7" t="n">
        <v>14105</v>
      </c>
      <c r="C14107" t="inlineStr">
        <is>
          <t>Kỹ thuật viên bảo trì máy sản xuất ( EE Technician)</t>
        </is>
      </c>
      <c r="D14107" t="inlineStr">
        <is>
          <t>Techtronic Industries Vietnam Manufacturing Company Limited</t>
        </is>
      </c>
      <c r="E14107" t="inlineStr">
        <is>
          <t>Lương:Cạnh tranh</t>
        </is>
      </c>
      <c r="F14107" t="inlineStr">
        <is>
          <t>Hồ Chí Minh</t>
        </is>
      </c>
      <c r="G14107" t="inlineStr">
        <is>
          <t>29-04-2026</t>
        </is>
      </c>
      <c r="H14107" t="inlineStr">
        <is>
          <t>29/04/2026</t>
        </is>
      </c>
      <c r="I14107" t="inlineStr">
        <is>
          <t>17/03/2026</t>
        </is>
      </c>
      <c r="J14107" t="inlineStr">
        <is>
          <t>Sản xuất / Vận hành sản xuất, Bảo trì / Sửa chữa</t>
        </is>
      </c>
      <c r="K14107" t="inlineStr">
        <is>
          <t>1 - 3 Năm</t>
        </is>
      </c>
      <c r="L14107" s="8">
        <f>HYPERLINK("https://careerviet.vn/vi/tim-viec-lam/ky-thuat-vien-bao-tri-may-san-xuat-ee-technician.35C6BF67.html","Xem chi tiết")</f>
        <v/>
      </c>
    </row>
    <row r="14108">
      <c r="B14108" s="9" t="n">
        <v>14106</v>
      </c>
      <c r="C14108" s="10" t="inlineStr">
        <is>
          <t>KẾ TOÁN KHO HOÀI ĐỨC</t>
        </is>
      </c>
      <c r="D14108" s="10" t="inlineStr">
        <is>
          <t>CÔNG TY TNHH TOHOGENKAI VIỆT NAM</t>
        </is>
      </c>
      <c r="E14108" s="10" t="inlineStr">
        <is>
          <t>Lương:8 Tr - 12 Tr VND</t>
        </is>
      </c>
      <c r="F14108" s="10" t="inlineStr">
        <is>
          <t>Hà Nội</t>
        </is>
      </c>
      <c r="G14108" s="10" t="inlineStr">
        <is>
          <t>11-04-2026</t>
        </is>
      </c>
      <c r="H14108" s="10" t="inlineStr">
        <is>
          <t>11/04/2026</t>
        </is>
      </c>
      <c r="I14108" s="10" t="inlineStr">
        <is>
          <t>17/03/2026</t>
        </is>
      </c>
      <c r="J14108" s="10" t="inlineStr">
        <is>
          <t>Kế toán / Kiểm toán, Mới tốt nghiệp / Thực tập, Ngành khác</t>
        </is>
      </c>
      <c r="K14108" s="10" t="inlineStr">
        <is>
          <t>1 - 3 Năm</t>
        </is>
      </c>
      <c r="L14108" s="11">
        <f>HYPERLINK("https://careerviet.vn/vi/tim-viec-lam/ke-toan-kho-hoai-duc.35C6BF6F.html","Xem chi tiết")</f>
        <v/>
      </c>
      <c r="M14108" s="10" t="n"/>
    </row>
    <row r="14109">
      <c r="B14109" s="7" t="n">
        <v>14107</v>
      </c>
      <c r="C14109" t="inlineStr">
        <is>
          <t>Nhân viên Content Creator</t>
        </is>
      </c>
      <c r="D14109" t="inlineStr">
        <is>
          <t>CÔNG TY TNHH THƯƠNG MẠI HKK</t>
        </is>
      </c>
      <c r="E14109" t="inlineStr">
        <is>
          <t>Lương:13 Tr - 16 Tr VND</t>
        </is>
      </c>
      <c r="F14109" t="inlineStr">
        <is>
          <t>Hà Nội</t>
        </is>
      </c>
      <c r="G14109" t="inlineStr">
        <is>
          <t>15-04-2026</t>
        </is>
      </c>
      <c r="H14109" t="inlineStr">
        <is>
          <t>15/04/2026</t>
        </is>
      </c>
      <c r="I14109" t="inlineStr">
        <is>
          <t>17/03/2026</t>
        </is>
      </c>
      <c r="J14109" t="inlineStr">
        <is>
          <t>Tiếp thị / Marketing, Thương mại điện tử, Quảng cáo / Đối ngoại / Truyền Thông</t>
        </is>
      </c>
      <c r="K14109" t="inlineStr">
        <is>
          <t>Trên 1 Năm</t>
        </is>
      </c>
      <c r="L14109" s="8">
        <f>HYPERLINK("https://careerviet.vn/vi/tim-viec-lam/nhan-vien-content-creator.35C6BF57.html","Xem chi tiết")</f>
        <v/>
      </c>
    </row>
    <row r="14110">
      <c r="B14110" s="9" t="n">
        <v>14108</v>
      </c>
      <c r="C14110" s="10" t="inlineStr">
        <is>
          <t>CHUYÊN VIÊN CAO CẤP TÀI CHÍNH ĐẦU TƯ DỰ ÁN</t>
        </is>
      </c>
      <c r="D14110" s="10" t="inlineStr">
        <is>
          <t>CÔNG TY CỔ PHẦN ĐẦU TƯ DANCO</t>
        </is>
      </c>
      <c r="E14110" s="10" t="inlineStr">
        <is>
          <t>Lương:22 Tr - 27 Tr VND</t>
        </is>
      </c>
      <c r="F14110" s="10" t="inlineStr">
        <is>
          <t>Hà Nội</t>
        </is>
      </c>
      <c r="G14110" s="10" t="inlineStr">
        <is>
          <t>31-05-2026</t>
        </is>
      </c>
      <c r="H14110" s="10" t="inlineStr">
        <is>
          <t>31/05/2026</t>
        </is>
      </c>
      <c r="I14110" s="10" t="inlineStr">
        <is>
          <t>17/03/2026</t>
        </is>
      </c>
      <c r="J14110" s="10" t="inlineStr">
        <is>
          <t>Tài chính / Đầu tư, Ngân hàng, Kế toán / Kiểm toán</t>
        </is>
      </c>
      <c r="K14110" s="10" t="inlineStr">
        <is>
          <t>3 - 5 Năm</t>
        </is>
      </c>
      <c r="L14110" s="11">
        <f>HYPERLINK("https://careerviet.vn/vi/tim-viec-lam/chuyen-vien-cao-cap-tai-chinh-dau-tu-du-an.35C6BF64.html","Xem chi tiết")</f>
        <v/>
      </c>
      <c r="M14110" s="10" t="n"/>
    </row>
    <row r="14111">
      <c r="B14111" s="7" t="n">
        <v>14109</v>
      </c>
      <c r="C14111" t="inlineStr">
        <is>
          <t>Chủ Trì Kỹ Thuật 2D</t>
        </is>
      </c>
      <c r="D14111" t="inlineStr">
        <is>
          <t>CÔNG TY CỔ PHẦN TẬP ĐOÀN LUKLAK VIỆT NAM</t>
        </is>
      </c>
      <c r="E14111" t="inlineStr">
        <is>
          <t>Lương:14 Tr - 25 Tr VND</t>
        </is>
      </c>
      <c r="F14111" t="inlineStr">
        <is>
          <t>Hà Nội</t>
        </is>
      </c>
      <c r="G14111" t="inlineStr">
        <is>
          <t>11-04-2026</t>
        </is>
      </c>
      <c r="H14111" t="inlineStr">
        <is>
          <t>11/04/2026</t>
        </is>
      </c>
      <c r="I14111" t="inlineStr">
        <is>
          <t>17/03/2026</t>
        </is>
      </c>
      <c r="J14111" t="inlineStr">
        <is>
          <t>Kiến trúc, Mỹ thuật / Nghệ thuật / Thiết kế</t>
        </is>
      </c>
      <c r="K14111" t="inlineStr">
        <is>
          <t>3 - 5 Năm</t>
        </is>
      </c>
      <c r="L14111" s="8">
        <f>HYPERLINK("https://careerviet.vn/vi/tim-viec-lam/chu-tri-ky-thuat-2d.35C6BF63.html","Xem chi tiết")</f>
        <v/>
      </c>
    </row>
    <row r="14112">
      <c r="B14112" s="9" t="n">
        <v>14110</v>
      </c>
      <c r="C14112" s="10" t="inlineStr">
        <is>
          <t>Nhân viên Vận hành máy in Offset 2 màu</t>
        </is>
      </c>
      <c r="D14112" s="10" t="inlineStr">
        <is>
          <t>Nexgen Packaging Vietnam Ltd</t>
        </is>
      </c>
      <c r="E14112" s="10" t="inlineStr">
        <is>
          <t>Lương:8 Tr - 15 Tr VND</t>
        </is>
      </c>
      <c r="F14112" s="10" t="inlineStr">
        <is>
          <t>Bình Dương</t>
        </is>
      </c>
      <c r="G14112" s="10" t="inlineStr">
        <is>
          <t>30-04-2026</t>
        </is>
      </c>
      <c r="H14112" s="10" t="inlineStr">
        <is>
          <t>30/04/2026</t>
        </is>
      </c>
      <c r="I14112" s="10" t="inlineStr">
        <is>
          <t>17/03/2026</t>
        </is>
      </c>
      <c r="J14112" s="10" t="inlineStr">
        <is>
          <t>In ấn / Xuất bản, Sản xuất / Vận hành sản xuất, Dệt may / Da giày / Thời trang</t>
        </is>
      </c>
      <c r="K14112" s="10" t="inlineStr">
        <is>
          <t>1 - 2 Năm</t>
        </is>
      </c>
      <c r="L14112" s="11">
        <f>HYPERLINK("https://careerviet.vn/vi/tim-viec-lam/nhan-vien-van-hanh-may-in-offset-2-mau.35C6BF5D.html","Xem chi tiết")</f>
        <v/>
      </c>
      <c r="M14112" s="10" t="n"/>
    </row>
    <row r="14113">
      <c r="B14113" s="7" t="n">
        <v>14111</v>
      </c>
      <c r="C14113" t="inlineStr">
        <is>
          <t>Logistic Manager</t>
        </is>
      </c>
      <c r="D14113" t="inlineStr">
        <is>
          <t>CÔNG TY TNHH AEROCOSTA VINA</t>
        </is>
      </c>
      <c r="E14113" t="inlineStr">
        <is>
          <t>Lương:Cạnh tranh</t>
        </is>
      </c>
      <c r="F14113" t="inlineStr">
        <is>
          <t>Bình Dương</t>
        </is>
      </c>
      <c r="G14113" t="inlineStr">
        <is>
          <t>31-03-2026</t>
        </is>
      </c>
      <c r="H14113" t="inlineStr">
        <is>
          <t>31/03/2026</t>
        </is>
      </c>
      <c r="I14113" t="inlineStr">
        <is>
          <t>17/03/2026</t>
        </is>
      </c>
      <c r="J14113" t="inlineStr">
        <is>
          <t>Xuất nhập khẩu, Sản xuất / Vận hành sản xuất</t>
        </is>
      </c>
      <c r="K14113" t="inlineStr">
        <is>
          <t>5 - 10 Năm</t>
        </is>
      </c>
      <c r="L14113" s="8">
        <f>HYPERLINK("https://careerviet.vn/vi/tim-viec-lam/logistic-manager.35C6BF58.html","Xem chi tiết")</f>
        <v/>
      </c>
    </row>
    <row r="14114">
      <c r="B14114" s="9" t="n">
        <v>14112</v>
      </c>
      <c r="C14114" s="10" t="inlineStr">
        <is>
          <t>ELECTRICAL/ AUTOMATION MAINTENANCE SUPERVISOR</t>
        </is>
      </c>
      <c r="D14114" s="10" t="inlineStr">
        <is>
          <t>CÔNG TY TNHH CRYSTAL ELEGANCE TEXTILES VIỆT NAM</t>
        </is>
      </c>
      <c r="E14114" s="10" t="inlineStr">
        <is>
          <t>Lương:Cạnh tranh</t>
        </is>
      </c>
      <c r="F14114" s="10" t="inlineStr">
        <is>
          <t>Bình Dương</t>
        </is>
      </c>
      <c r="G14114" s="10" t="inlineStr">
        <is>
          <t>30-04-2026</t>
        </is>
      </c>
      <c r="H14114" s="10" t="inlineStr">
        <is>
          <t>30/04/2026</t>
        </is>
      </c>
      <c r="I14114" s="10" t="inlineStr">
        <is>
          <t>17/03/2026</t>
        </is>
      </c>
      <c r="J14114" s="10" t="inlineStr">
        <is>
          <t>Cơ khí / Ô tô / Tự động hóa, Điện / Điện tử / Điện lạnh / Điện công nghiệp, Bảo trì / Sửa chữa</t>
        </is>
      </c>
      <c r="K14114" s="10" t="inlineStr">
        <is>
          <t>3 - 5 Năm</t>
        </is>
      </c>
      <c r="L14114" s="11">
        <f>HYPERLINK("https://careerviet.vn/vi/tim-viec-lam/electrical-automation-maintenance-supervisor.35C6BF30.html","Xem chi tiết")</f>
        <v/>
      </c>
      <c r="M14114" s="10" t="n"/>
    </row>
    <row r="14115">
      <c r="B14115" s="7" t="n">
        <v>14113</v>
      </c>
      <c r="C14115" t="inlineStr">
        <is>
          <t>Customer Service - Food/Chemical</t>
        </is>
      </c>
      <c r="D14115" t="inlineStr">
        <is>
          <t>Cty SGS Việt Nam TNHH</t>
        </is>
      </c>
      <c r="E14115" t="inlineStr">
        <is>
          <t>Lương:Cạnh tranh</t>
        </is>
      </c>
      <c r="F14115" t="inlineStr">
        <is>
          <t>Hồ Chí Minh</t>
        </is>
      </c>
      <c r="G14115" t="inlineStr">
        <is>
          <t>31-03-2026</t>
        </is>
      </c>
      <c r="H14115" t="inlineStr">
        <is>
          <t>31/03/2026</t>
        </is>
      </c>
      <c r="I14115" t="inlineStr">
        <is>
          <t>17/03/2026</t>
        </is>
      </c>
      <c r="J14115" t="inlineStr">
        <is>
          <t>Hóa học</t>
        </is>
      </c>
      <c r="K14115" t="inlineStr">
        <is>
          <t>N/A</t>
        </is>
      </c>
      <c r="L14115" s="8">
        <f>HYPERLINK("https://careerviet.vn/vi/tim-viec-lam/customer-service-food-chemical.35C6BF5E.html","Xem chi tiết")</f>
        <v/>
      </c>
    </row>
    <row r="14116">
      <c r="B14116" s="9" t="n">
        <v>14114</v>
      </c>
      <c r="C14116" s="10" t="inlineStr">
        <is>
          <t>Nhân viên pha chế</t>
        </is>
      </c>
      <c r="D14116" s="10" t="inlineStr">
        <is>
          <t>SHIN Cà Phê - Công ty Cổ phần Cà phê Golden Beans</t>
        </is>
      </c>
      <c r="E14116" s="10" t="inlineStr">
        <is>
          <t>Lương:7 Tr - 8 Tr VND</t>
        </is>
      </c>
      <c r="F14116" s="10" t="inlineStr">
        <is>
          <t>Hồ Chí Minh</t>
        </is>
      </c>
      <c r="G14116" s="10" t="inlineStr">
        <is>
          <t>10-04-2026</t>
        </is>
      </c>
      <c r="H14116" s="10" t="inlineStr">
        <is>
          <t>10/04/2026</t>
        </is>
      </c>
      <c r="I14116" s="10" t="inlineStr">
        <is>
          <t>17/03/2026</t>
        </is>
      </c>
      <c r="J14116" s="10" t="inlineStr">
        <is>
          <t>Dịch vụ khách hàng, Thực phẩm &amp; Đồ uống, Nhà hàng / Khách sạn</t>
        </is>
      </c>
      <c r="K14116" s="10" t="inlineStr">
        <is>
          <t>1 - 2 Năm</t>
        </is>
      </c>
      <c r="L14116" s="11">
        <f>HYPERLINK("https://careerviet.vn/vi/tim-viec-lam/nhan-vien-pha-che.35C6BF73.html","Xem chi tiết")</f>
        <v/>
      </c>
      <c r="M14116" s="10" t="n"/>
    </row>
    <row r="14117">
      <c r="B14117" s="7" t="n">
        <v>14115</v>
      </c>
      <c r="C14117" t="inlineStr">
        <is>
          <t>Chuyên viên đào tạo (Tiếng Anh/Tiếng Trung)</t>
        </is>
      </c>
      <c r="D14117" t="inlineStr">
        <is>
          <t>CÔNG TY CỔ PHẦN CÔNG NGHỆ SOTATEK VIỆT NAM</t>
        </is>
      </c>
      <c r="E14117" t="inlineStr">
        <is>
          <t>Lương:Cạnh tranh</t>
        </is>
      </c>
      <c r="F14117" t="inlineStr">
        <is>
          <t>Ninh Thuận</t>
        </is>
      </c>
      <c r="G14117" t="inlineStr">
        <is>
          <t>01-04-2026</t>
        </is>
      </c>
      <c r="H14117" t="inlineStr">
        <is>
          <t>01/04/2026</t>
        </is>
      </c>
      <c r="I14117" t="inlineStr">
        <is>
          <t>17/03/2026</t>
        </is>
      </c>
      <c r="J14117" t="inlineStr">
        <is>
          <t>Nhân sự, Giáo dục / Đào tạo, Sản xuất / Vận hành sản xuất</t>
        </is>
      </c>
      <c r="K14117" t="inlineStr">
        <is>
          <t>Trên 2 Năm</t>
        </is>
      </c>
      <c r="L14117" s="8">
        <f>HYPERLINK("https://careerviet.vn/vi/tim-viec-lam/chuyen-vien-dao-tao-tieng-anh-tieng-trung.35C6BF6B.html","Xem chi tiết")</f>
        <v/>
      </c>
    </row>
    <row r="14118">
      <c r="B14118" s="9" t="n">
        <v>14116</v>
      </c>
      <c r="C14118" s="10" t="inlineStr">
        <is>
          <t>[Trà Vinh] Trình Dược Viên OTC</t>
        </is>
      </c>
      <c r="D14118" s="10" t="inlineStr">
        <is>
          <t>Công ty Cổ phần Dược Hậu Giang</t>
        </is>
      </c>
      <c r="E14118" s="10" t="inlineStr">
        <is>
          <t>Lương:8 Tr - 20 Tr VND</t>
        </is>
      </c>
      <c r="F14118" s="10" t="inlineStr">
        <is>
          <t>Trà Vinh</t>
        </is>
      </c>
      <c r="G14118" s="10" t="inlineStr">
        <is>
          <t>31-03-2026</t>
        </is>
      </c>
      <c r="H14118" s="10" t="inlineStr">
        <is>
          <t>31/03/2026</t>
        </is>
      </c>
      <c r="I14118" s="10" t="inlineStr">
        <is>
          <t>17/03/2026</t>
        </is>
      </c>
      <c r="J14118" s="10" t="inlineStr">
        <is>
          <t>Tiếp thị / Marketing, Bán hàng / Kinh doanh, Dược phẩm/ Hóa Mỹ Phẩm</t>
        </is>
      </c>
      <c r="K14118" s="10" t="inlineStr">
        <is>
          <t>1 - 2 Năm</t>
        </is>
      </c>
      <c r="L14118" s="11">
        <f>HYPERLINK("https://careerviet.vn/vi/tim-viec-lam/tra-vinh-trinh-duoc-vien-otc.35C6BF53.html","Xem chi tiết")</f>
        <v/>
      </c>
      <c r="M14118" s="10" t="n"/>
    </row>
    <row r="14119">
      <c r="B14119" s="7" t="n">
        <v>14117</v>
      </c>
      <c r="C14119" t="inlineStr">
        <is>
          <t>Nhân viên Kiểm tra chất lượng (QC)</t>
        </is>
      </c>
      <c r="D14119" t="inlineStr">
        <is>
          <t>SHIN Cà Phê - Công ty Cổ phần Cà phê Golden Beans</t>
        </is>
      </c>
      <c r="E14119" t="inlineStr">
        <is>
          <t>Lương:9 Tr - 10 Tr VND</t>
        </is>
      </c>
      <c r="F14119" t="inlineStr">
        <is>
          <t>Hồ Chí Minh</t>
        </is>
      </c>
      <c r="G14119" t="inlineStr">
        <is>
          <t>10-04-2026</t>
        </is>
      </c>
      <c r="H14119" t="inlineStr">
        <is>
          <t>10/04/2026</t>
        </is>
      </c>
      <c r="I14119" t="inlineStr">
        <is>
          <t>17/03/2026</t>
        </is>
      </c>
      <c r="J14119" t="inlineStr">
        <is>
          <t>Thực phẩm &amp; Đồ uống, Công nghệ thực phẩm / Dinh dưỡng, Quản lý chất lượng (QA/QC)</t>
        </is>
      </c>
      <c r="K14119" t="inlineStr">
        <is>
          <t>2 - 3 Năm</t>
        </is>
      </c>
      <c r="L14119" s="8">
        <f>HYPERLINK("https://careerviet.vn/vi/tim-viec-lam/nhan-vien-kiem-tra-chat-luong-qc.35C6BF6E.html","Xem chi tiết")</f>
        <v/>
      </c>
    </row>
    <row r="14120">
      <c r="B14120" s="9" t="n">
        <v>14118</v>
      </c>
      <c r="C14120" s="10" t="inlineStr">
        <is>
          <t>[Tiền Giang] Trình Dược Viên OTC</t>
        </is>
      </c>
      <c r="D14120" s="10" t="inlineStr">
        <is>
          <t>Công ty Cổ phần Dược Hậu Giang</t>
        </is>
      </c>
      <c r="E14120" s="10" t="inlineStr">
        <is>
          <t>Lương:8 Tr - 20 Tr VND</t>
        </is>
      </c>
      <c r="F14120" s="10" t="inlineStr">
        <is>
          <t>Tiền Giang</t>
        </is>
      </c>
      <c r="G14120" s="10" t="inlineStr">
        <is>
          <t>31-03-2026</t>
        </is>
      </c>
      <c r="H14120" s="10" t="inlineStr">
        <is>
          <t>31/03/2026</t>
        </is>
      </c>
      <c r="I14120" s="10" t="inlineStr">
        <is>
          <t>17/03/2026</t>
        </is>
      </c>
      <c r="J14120" s="10" t="inlineStr">
        <is>
          <t>Tiếp thị / Marketing, Bán hàng / Kinh doanh, Dược phẩm/ Hóa Mỹ Phẩm</t>
        </is>
      </c>
      <c r="K14120" s="10" t="inlineStr">
        <is>
          <t>1 - 2 Năm</t>
        </is>
      </c>
      <c r="L14120" s="11">
        <f>HYPERLINK("https://careerviet.vn/vi/tim-viec-lam/tien-giang-trinh-duoc-vien-otc.35C6BF59.html","Xem chi tiết")</f>
        <v/>
      </c>
      <c r="M14120" s="10" t="n"/>
    </row>
    <row r="14121">
      <c r="B14121" s="7" t="n">
        <v>14119</v>
      </c>
      <c r="C14121" t="inlineStr">
        <is>
          <t>Phó Quản Lý Cửa Hàng (Hoàng Mai)</t>
        </is>
      </c>
      <c r="D14121" t="inlineStr">
        <is>
          <t>Công Ty Cổ Phần Tập Đoàn Thời Trang Việt Nam</t>
        </is>
      </c>
      <c r="E14121" t="inlineStr">
        <is>
          <t>Lương:9 Tr - 12 Tr VND</t>
        </is>
      </c>
      <c r="F14121" t="inlineStr">
        <is>
          <t>Hà Nội</t>
        </is>
      </c>
      <c r="G14121" t="inlineStr">
        <is>
          <t>01-04-2026</t>
        </is>
      </c>
      <c r="H14121" t="inlineStr">
        <is>
          <t>01/04/2026</t>
        </is>
      </c>
      <c r="I14121" t="inlineStr">
        <is>
          <t>17/03/2026</t>
        </is>
      </c>
      <c r="J14121" t="inlineStr">
        <is>
          <t>Bán lẻ / Bán sỉ, Bán hàng / Kinh doanh</t>
        </is>
      </c>
      <c r="K14121" t="inlineStr">
        <is>
          <t>1 - 3 Năm</t>
        </is>
      </c>
      <c r="L14121" s="8">
        <f>HYPERLINK("https://careerviet.vn/vi/tim-viec-lam/pho-quan-ly-cua-hang-hoang-mai.35C6BF4E.html","Xem chi tiết")</f>
        <v/>
      </c>
    </row>
    <row r="14122">
      <c r="B14122" s="9" t="n">
        <v>14120</v>
      </c>
      <c r="C14122" s="10" t="inlineStr">
        <is>
          <t>Trưởng Phòng R&amp;D</t>
        </is>
      </c>
      <c r="D14122" s="10" t="inlineStr">
        <is>
          <t>CÔNG TY CỔ PHẦN HIKARI ĐÀ LẠT</t>
        </is>
      </c>
      <c r="E14122" s="10" t="inlineStr">
        <is>
          <t>Lương:9 Tr - 15 Tr VND</t>
        </is>
      </c>
      <c r="F14122" s="10" t="inlineStr">
        <is>
          <t>Lâm Đồng</t>
        </is>
      </c>
      <c r="G14122" s="10" t="inlineStr">
        <is>
          <t>25-05-2026</t>
        </is>
      </c>
      <c r="H14122" s="10" t="inlineStr">
        <is>
          <t>25/05/2026</t>
        </is>
      </c>
      <c r="I14122" s="10" t="inlineStr">
        <is>
          <t>17/03/2026</t>
        </is>
      </c>
      <c r="J14122" s="10" t="inlineStr">
        <is>
          <t>Công nghệ thực phẩm / Dinh dưỡng</t>
        </is>
      </c>
      <c r="K14122" s="10" t="inlineStr">
        <is>
          <t>3 - 5 Năm</t>
        </is>
      </c>
      <c r="L14122" s="11">
        <f>HYPERLINK("https://careerviet.vn/vi/tim-viec-lam/truong-phong-r-d.35C6BF52.html","Xem chi tiết")</f>
        <v/>
      </c>
      <c r="M14122" s="10" t="n"/>
    </row>
    <row r="14123">
      <c r="B14123" s="7" t="n">
        <v>14121</v>
      </c>
      <c r="C14123" t="inlineStr">
        <is>
          <t>Nhân viên kỹ thuật máy nén khí  – Thu Nhập 8–20 Triệu + Hoa Hồng + Phụ Cấp</t>
        </is>
      </c>
      <c r="D14123" t="inlineStr">
        <is>
          <t>CÔNG TY CỔ PHẦN CÔNG NGHIỆP PSI VIỆT NAM</t>
        </is>
      </c>
      <c r="E14123" t="inlineStr">
        <is>
          <t>Lương:8 Tr - 20 Tr VND</t>
        </is>
      </c>
      <c r="F14123" t="inlineStr">
        <is>
          <t>Hà Nội</t>
        </is>
      </c>
      <c r="G14123" t="inlineStr">
        <is>
          <t>10-04-2026</t>
        </is>
      </c>
      <c r="H14123" t="inlineStr">
        <is>
          <t>10/04/2026</t>
        </is>
      </c>
      <c r="I14123" t="inlineStr">
        <is>
          <t>17/03/2026</t>
        </is>
      </c>
      <c r="J14123" t="inlineStr">
        <is>
          <t>Bảo trì / Sửa chữa, Cơ khí / Ô tô / Tự động hóa, Điện / Điện tử / Điện lạnh / Điện công nghiệp</t>
        </is>
      </c>
      <c r="K14123" t="inlineStr">
        <is>
          <t>Lên đến 1 Năm</t>
        </is>
      </c>
      <c r="L14123" s="8">
        <f>HYPERLINK("https://careerviet.vn/vi/tim-viec-lam/nhan-vien-ky-thuat-may-nen-khi-thu-nhap-8-20-trieu-hoa-hong-phu-cap.35C6BF54.html","Xem chi tiết")</f>
        <v/>
      </c>
    </row>
    <row r="14124">
      <c r="B14124" s="9" t="n">
        <v>14122</v>
      </c>
      <c r="C14124" s="10" t="inlineStr">
        <is>
          <t>Chuyên viên cao cấp Hệ thống cung ứng</t>
        </is>
      </c>
      <c r="D14124" s="10" t="inlineStr">
        <is>
          <t>Công Ty Cổ Phần Tập Đoàn Đầu Tư Địa Ốc No Va</t>
        </is>
      </c>
      <c r="E14124" s="10" t="inlineStr">
        <is>
          <t>Lương:Cạnh tranh</t>
        </is>
      </c>
      <c r="F14124" s="10" t="inlineStr">
        <is>
          <t>Hồ Chí Minh</t>
        </is>
      </c>
      <c r="G14124" s="10" t="inlineStr">
        <is>
          <t>30-04-2026</t>
        </is>
      </c>
      <c r="H14124" s="10" t="inlineStr">
        <is>
          <t>30/04/2026</t>
        </is>
      </c>
      <c r="I14124" s="10" t="inlineStr">
        <is>
          <t>17/03/2026</t>
        </is>
      </c>
      <c r="J14124" s="10" t="inlineStr">
        <is>
          <t>Thu mua / Vật tư</t>
        </is>
      </c>
      <c r="K14124" s="10" t="inlineStr">
        <is>
          <t>5 - 15 Năm</t>
        </is>
      </c>
      <c r="L14124" s="11">
        <f>HYPERLINK("https://careerviet.vn/vi/tim-viec-lam/chuyen-vien-cao-cap-he-thong-cung-ung.35C6BF3D.html","Xem chi tiết")</f>
        <v/>
      </c>
      <c r="M14124" s="10" t="n"/>
    </row>
    <row r="14125">
      <c r="B14125" s="7" t="n">
        <v>14123</v>
      </c>
      <c r="C14125" t="inlineStr">
        <is>
          <t>Nhân Viên Phụ Kho</t>
        </is>
      </c>
      <c r="D14125" t="inlineStr">
        <is>
          <t>CÔNG TY TNHH THỰC PHẨM CUỘC SỐNG</t>
        </is>
      </c>
      <c r="E14125" t="inlineStr">
        <is>
          <t>Lương:8 Tr - 11 Tr VND</t>
        </is>
      </c>
      <c r="F14125" t="inlineStr">
        <is>
          <t>Hồ Chí Minh</t>
        </is>
      </c>
      <c r="G14125" t="inlineStr">
        <is>
          <t>10-04-2026</t>
        </is>
      </c>
      <c r="H14125" t="inlineStr">
        <is>
          <t>10/04/2026</t>
        </is>
      </c>
      <c r="I14125" t="inlineStr">
        <is>
          <t>17/03/2026</t>
        </is>
      </c>
      <c r="J14125" t="inlineStr">
        <is>
          <t>Vận chuyển / Giao nhận / Kho vận, Hành chính / Thư ký, Ngành khác</t>
        </is>
      </c>
      <c r="K14125" t="inlineStr">
        <is>
          <t>N/A</t>
        </is>
      </c>
      <c r="L14125" s="8">
        <f>HYPERLINK("https://careerviet.vn/vi/tim-viec-lam/nhan-vien-phu-kho.35C6BF3F.html","Xem chi tiết")</f>
        <v/>
      </c>
    </row>
    <row r="14126">
      <c r="B14126" s="9" t="n">
        <v>14124</v>
      </c>
      <c r="C14126" s="10" t="inlineStr">
        <is>
          <t>Kiến trúc sư</t>
        </is>
      </c>
      <c r="D14126" s="10" t="inlineStr">
        <is>
          <t>CÔNG TY TNHH THIẾT KẾ XÂY DỰNG M.X</t>
        </is>
      </c>
      <c r="E14126" s="10" t="inlineStr">
        <is>
          <t>Lương:Cạnh tranh</t>
        </is>
      </c>
      <c r="F14126" s="10" t="inlineStr">
        <is>
          <t>Hồ Chí Minh</t>
        </is>
      </c>
      <c r="G14126" s="10" t="inlineStr">
        <is>
          <t>10-04-2026</t>
        </is>
      </c>
      <c r="H14126" s="10" t="inlineStr">
        <is>
          <t>10/04/2026</t>
        </is>
      </c>
      <c r="I14126" s="10" t="inlineStr">
        <is>
          <t>17/03/2026</t>
        </is>
      </c>
      <c r="J14126" s="10" t="inlineStr">
        <is>
          <t>Kiến trúc, Xây dựng, Nội ngoại thất</t>
        </is>
      </c>
      <c r="K14126" s="10" t="inlineStr">
        <is>
          <t>2 – 5 năm kinh nghiệm thiết kế kiến trúc (tùy</t>
        </is>
      </c>
      <c r="L14126" s="11">
        <f>HYPERLINK("https://careerviet.vn/vi/tim-viec-lam/kien-truc-su.35C6BF43.html","Xem chi tiết")</f>
        <v/>
      </c>
      <c r="M14126" s="10" t="n"/>
    </row>
    <row r="14127">
      <c r="B14127" s="7" t="n">
        <v>14125</v>
      </c>
      <c r="C14127" t="inlineStr">
        <is>
          <t>Kiến Trúc Sư</t>
        </is>
      </c>
      <c r="D14127" t="inlineStr">
        <is>
          <t>Công ty CP Phát Triển Hùng Hậu</t>
        </is>
      </c>
      <c r="E14127" t="inlineStr">
        <is>
          <t>Lương:Cạnh tranh</t>
        </is>
      </c>
      <c r="F14127" t="inlineStr">
        <is>
          <t>Hồ Chí Minh</t>
        </is>
      </c>
      <c r="G14127" t="inlineStr">
        <is>
          <t>11-04-2026</t>
        </is>
      </c>
      <c r="H14127" t="inlineStr">
        <is>
          <t>11/04/2026</t>
        </is>
      </c>
      <c r="I14127" t="inlineStr">
        <is>
          <t>17/03/2026</t>
        </is>
      </c>
      <c r="J14127" t="inlineStr">
        <is>
          <t>Kiến trúc, Xây dựng</t>
        </is>
      </c>
      <c r="K14127" t="inlineStr">
        <is>
          <t>2 - 5 Năm</t>
        </is>
      </c>
      <c r="L14127" s="8">
        <f>HYPERLINK("https://careerviet.vn/vi/tim-viec-lam/kien-truc-su.35C69D10.html","Xem chi tiết")</f>
        <v/>
      </c>
    </row>
    <row r="14128">
      <c r="B14128" s="9" t="n">
        <v>14126</v>
      </c>
      <c r="C14128" s="10" t="inlineStr">
        <is>
          <t>Production Assistant Manager</t>
        </is>
      </c>
      <c r="D14128" s="10" t="inlineStr">
        <is>
          <t>Công ty TNHH Spartronics Việt Nam</t>
        </is>
      </c>
      <c r="E14128" s="10" t="inlineStr">
        <is>
          <t>Lương:Cạnh tranh</t>
        </is>
      </c>
      <c r="F14128" s="10" t="inlineStr">
        <is>
          <t>Bình Dương</t>
        </is>
      </c>
      <c r="G14128" s="10" t="inlineStr">
        <is>
          <t>11-04-2026</t>
        </is>
      </c>
      <c r="H14128" s="10" t="inlineStr">
        <is>
          <t>11/04/2026</t>
        </is>
      </c>
      <c r="I14128" s="10" t="inlineStr">
        <is>
          <t>17/03/2026</t>
        </is>
      </c>
      <c r="J14128" s="10" t="inlineStr">
        <is>
          <t>Điện / Điện tử / Điện lạnh / Điện công nghiệp, Sản xuất / Vận hành sản xuất</t>
        </is>
      </c>
      <c r="K14128" s="10" t="inlineStr">
        <is>
          <t>5 - 10 Năm</t>
        </is>
      </c>
      <c r="L14128" s="11">
        <f>HYPERLINK("https://careerviet.vn/vi/tim-viec-lam/production-assistant-manager.35C6BEB0.html","Xem chi tiết")</f>
        <v/>
      </c>
      <c r="M14128" s="10" t="n"/>
    </row>
    <row r="14129">
      <c r="B14129" s="7" t="n">
        <v>14127</v>
      </c>
      <c r="C14129" t="inlineStr">
        <is>
          <t>Quality Engineer/  Kỹ sư Chất lượng</t>
        </is>
      </c>
      <c r="D14129" t="inlineStr">
        <is>
          <t>Công ty TNHH VRR Việt Nam</t>
        </is>
      </c>
      <c r="E14129" t="inlineStr">
        <is>
          <t>Lương:Cạnh tranh</t>
        </is>
      </c>
      <c r="F14129" t="inlineStr">
        <is>
          <t>Long An</t>
        </is>
      </c>
      <c r="G14129" t="inlineStr">
        <is>
          <t>31-03-2026</t>
        </is>
      </c>
      <c r="H14129" t="inlineStr">
        <is>
          <t>31/03/2026</t>
        </is>
      </c>
      <c r="I14129" t="inlineStr">
        <is>
          <t>17/03/2026</t>
        </is>
      </c>
      <c r="J14129" t="inlineStr">
        <is>
          <t>Cơ khí / Ô tô / Tự động hóa, Sản xuất / Vận hành sản xuất, Quản lý chất lượng (QA/QC)</t>
        </is>
      </c>
      <c r="K14129" t="inlineStr">
        <is>
          <t>3 - 5 Năm</t>
        </is>
      </c>
      <c r="L14129" s="8">
        <f>HYPERLINK("https://careerviet.vn/vi/tim-viec-lam/quality-engineer-ky-su-chat-luong.35C6BF3C.html","Xem chi tiết")</f>
        <v/>
      </c>
    </row>
    <row r="14130">
      <c r="B14130" s="9" t="n">
        <v>14128</v>
      </c>
      <c r="C14130" s="10" t="inlineStr">
        <is>
          <t>GIÁM ĐỐC PHÁP CHẾ</t>
        </is>
      </c>
      <c r="D14130" s="10" t="inlineStr">
        <is>
          <t>Thuan Phuong Group</t>
        </is>
      </c>
      <c r="E14130" s="10" t="inlineStr">
        <is>
          <t>Lương:40 Tr - 60 Tr VND</t>
        </is>
      </c>
      <c r="F14130" s="10" t="inlineStr">
        <is>
          <t>Hồ Chí Minh</t>
        </is>
      </c>
      <c r="G14130" s="10" t="inlineStr">
        <is>
          <t>11-04-2026</t>
        </is>
      </c>
      <c r="H14130" s="10" t="inlineStr">
        <is>
          <t>11/04/2026</t>
        </is>
      </c>
      <c r="I14130" s="10" t="inlineStr">
        <is>
          <t>17/03/2026</t>
        </is>
      </c>
      <c r="J14130" s="10" t="inlineStr">
        <is>
          <t>Luật / Pháp lý, Dệt may / Da giày / Thời trang, Tư vấn</t>
        </is>
      </c>
      <c r="K14130" s="10" t="inlineStr">
        <is>
          <t>Chưa có kinh nghiệm</t>
        </is>
      </c>
      <c r="L14130" s="11">
        <f>HYPERLINK("https://careerviet.vn/vi/tim-viec-lam/giam-doc-phap-che.35C6BF10.html","Xem chi tiết")</f>
        <v/>
      </c>
      <c r="M14130" s="10" t="n"/>
    </row>
    <row r="14131">
      <c r="B14131" s="7" t="n">
        <v>14129</v>
      </c>
      <c r="C14131" t="inlineStr">
        <is>
          <t>PROJECT MANAGER</t>
        </is>
      </c>
      <c r="D14131" t="inlineStr">
        <is>
          <t>Tổng công ty Xây dựng số 1 – CTCP</t>
        </is>
      </c>
      <c r="E14131" t="inlineStr">
        <is>
          <t>Lương:Cạnh tranh</t>
        </is>
      </c>
      <c r="F14131" t="inlineStr">
        <is>
          <t>Hồ Chí Minh</t>
        </is>
      </c>
      <c r="G14131" t="inlineStr">
        <is>
          <t>09-04-2026</t>
        </is>
      </c>
      <c r="H14131" t="inlineStr">
        <is>
          <t>09/04/2026</t>
        </is>
      </c>
      <c r="I14131" t="inlineStr">
        <is>
          <t>17/03/2026</t>
        </is>
      </c>
      <c r="J14131" t="inlineStr">
        <is>
          <t>CNTT - Phần mềm</t>
        </is>
      </c>
      <c r="K14131" t="inlineStr">
        <is>
          <t>5 - 10 Năm</t>
        </is>
      </c>
      <c r="L14131" s="8">
        <f>HYPERLINK("https://careerviet.vn/vi/tim-viec-lam/project-manager.35C6BF39.html","Xem chi tiết")</f>
        <v/>
      </c>
    </row>
    <row r="14132">
      <c r="B14132" s="9" t="n">
        <v>14130</v>
      </c>
      <c r="C14132" s="10" t="inlineStr">
        <is>
          <t>Nhân viên kinh doanh_ĐắkLắk</t>
        </is>
      </c>
      <c r="D14132" s="10" t="inlineStr">
        <is>
          <t>Công Ty Cổ Phần Thép Việt Xô Hà Nội</t>
        </is>
      </c>
      <c r="E14132" s="10" t="inlineStr">
        <is>
          <t>Lương:15 Tr - 30 Tr VND</t>
        </is>
      </c>
      <c r="F14132" s="10" t="inlineStr">
        <is>
          <t>Dak Lak</t>
        </is>
      </c>
      <c r="G14132" s="10" t="inlineStr">
        <is>
          <t>29-04-2026</t>
        </is>
      </c>
      <c r="H14132" s="10" t="inlineStr">
        <is>
          <t>29/04/2026</t>
        </is>
      </c>
      <c r="I14132" s="10" t="inlineStr">
        <is>
          <t>17/03/2026</t>
        </is>
      </c>
      <c r="J14132" s="10" t="inlineStr">
        <is>
          <t>Bán hàng / Kinh doanh</t>
        </is>
      </c>
      <c r="K14132" s="10" t="inlineStr">
        <is>
          <t>1 - 2 Năm</t>
        </is>
      </c>
      <c r="L14132" s="11">
        <f>HYPERLINK("https://careerviet.vn/vi/tim-viec-lam/nhan-vien-kinh-doanh_daklak.35C6BF45.html","Xem chi tiết")</f>
        <v/>
      </c>
      <c r="M14132" s="10" t="n"/>
    </row>
    <row r="14133">
      <c r="B14133" s="7" t="n">
        <v>14131</v>
      </c>
      <c r="C14133" t="inlineStr">
        <is>
          <t>Nhân viên QC</t>
        </is>
      </c>
      <c r="D14133" t="inlineStr">
        <is>
          <t>CÔNG TY CỔ PHẦN HIKARI ĐÀ LẠT</t>
        </is>
      </c>
      <c r="E14133" t="inlineStr">
        <is>
          <t>Lương:7,5 Tr - 9 Tr VND</t>
        </is>
      </c>
      <c r="F14133" t="inlineStr">
        <is>
          <t>Lâm Đồng</t>
        </is>
      </c>
      <c r="G14133" t="inlineStr">
        <is>
          <t>03-06-2026</t>
        </is>
      </c>
      <c r="H14133" t="inlineStr">
        <is>
          <t>03/06/2026</t>
        </is>
      </c>
      <c r="I14133" t="inlineStr">
        <is>
          <t>17/03/2026</t>
        </is>
      </c>
      <c r="J14133" t="inlineStr">
        <is>
          <t>Quản lý chất lượng (QA/QC)</t>
        </is>
      </c>
      <c r="K14133" t="inlineStr">
        <is>
          <t>N/A</t>
        </is>
      </c>
      <c r="L14133" s="8">
        <f>HYPERLINK("https://careerviet.vn/vi/tim-viec-lam/nhan-vien-qc.35C6AEFF.html","Xem chi tiết")</f>
        <v/>
      </c>
    </row>
    <row r="14134">
      <c r="B14134" s="9" t="n">
        <v>14132</v>
      </c>
      <c r="C14134" s="10" t="inlineStr">
        <is>
          <t>Nhân Viên Giao Hàng Xe Máy</t>
        </is>
      </c>
      <c r="D14134" s="10" t="inlineStr">
        <is>
          <t>CÔNG TY TNHH THỰC PHẨM CUỘC SỐNG</t>
        </is>
      </c>
      <c r="E14134" s="10" t="inlineStr">
        <is>
          <t>Lương:10 Tr - 15 Tr VND</t>
        </is>
      </c>
      <c r="F14134" s="10" t="inlineStr">
        <is>
          <t>Hồ Chí Minh</t>
        </is>
      </c>
      <c r="G14134" s="10" t="inlineStr">
        <is>
          <t>10-04-2026</t>
        </is>
      </c>
      <c r="H14134" s="10" t="inlineStr">
        <is>
          <t>10/04/2026</t>
        </is>
      </c>
      <c r="I14134" s="10" t="inlineStr">
        <is>
          <t>17/03/2026</t>
        </is>
      </c>
      <c r="J14134" s="10" t="inlineStr">
        <is>
          <t>Vận chuyển / Giao nhận / Kho vận, Hành chính / Thư ký, Ngành khác</t>
        </is>
      </c>
      <c r="K14134" s="10" t="inlineStr">
        <is>
          <t>N/A</t>
        </is>
      </c>
      <c r="L14134" s="11">
        <f>HYPERLINK("https://careerviet.vn/vi/tim-viec-lam/nhan-vien-giao-hang-xe-may.35C6BF40.html","Xem chi tiết")</f>
        <v/>
      </c>
      <c r="M14134" s="10" t="n"/>
    </row>
    <row r="14135">
      <c r="B14135" s="7" t="n">
        <v>14133</v>
      </c>
      <c r="C14135" t="inlineStr">
        <is>
          <t>Nhân viên mua hàng/ xuất nhập khẩu</t>
        </is>
      </c>
      <c r="D14135" t="inlineStr">
        <is>
          <t>Công Ty Cổ Phần Đầu Tư Và Phát Triển Nhựa Gỗ Châu Âu</t>
        </is>
      </c>
      <c r="E14135" t="inlineStr">
        <is>
          <t>Lương:13 Tr - 15 Tr VND</t>
        </is>
      </c>
      <c r="F14135" t="inlineStr">
        <is>
          <t>Hà Nội</t>
        </is>
      </c>
      <c r="G14135" t="inlineStr">
        <is>
          <t>11-03-2026</t>
        </is>
      </c>
      <c r="H14135" t="inlineStr">
        <is>
          <t>07/11/2025</t>
        </is>
      </c>
      <c r="I14135" t="inlineStr">
        <is>
          <t>17/03/2026</t>
        </is>
      </c>
      <c r="J14135" t="inlineStr">
        <is>
          <t>Bán hàng / Kinh doanh, Xuất nhập khẩu, Thu mua / Vật tư</t>
        </is>
      </c>
      <c r="K14135" t="inlineStr">
        <is>
          <t>1 - 2 Năm</t>
        </is>
      </c>
      <c r="L14135" s="8">
        <f>HYPERLINK("https://careerviet.vn/vi/tim-viec-lam/nhan-vien-mua-hang-xuat-nhap-khau.35C5A889.html","Xem chi tiết")</f>
        <v/>
      </c>
    </row>
    <row r="14136">
      <c r="B14136" s="9" t="n">
        <v>14134</v>
      </c>
      <c r="C14136" s="10" t="inlineStr">
        <is>
          <t>Giám Đốc Quản Lý Dự Án</t>
        </is>
      </c>
      <c r="D14136" s="10" t="inlineStr">
        <is>
          <t>CÔNG TY TNHH DK BUILD</t>
        </is>
      </c>
      <c r="E14136" s="10" t="inlineStr">
        <is>
          <t>Lương:Cạnh tranh</t>
        </is>
      </c>
      <c r="F14136" s="10" t="inlineStr">
        <is>
          <t>Hồ Chí Minh</t>
        </is>
      </c>
      <c r="G14136" s="10" t="inlineStr">
        <is>
          <t>30-04-2026</t>
        </is>
      </c>
      <c r="H14136" s="10" t="inlineStr">
        <is>
          <t>30/04/2026</t>
        </is>
      </c>
      <c r="I14136" s="10" t="inlineStr">
        <is>
          <t>17/03/2026</t>
        </is>
      </c>
      <c r="J14136" s="10" t="inlineStr">
        <is>
          <t>Xây dựng</t>
        </is>
      </c>
      <c r="K14136" s="10" t="inlineStr">
        <is>
          <t>5 - 10 Năm</t>
        </is>
      </c>
      <c r="L14136" s="11">
        <f>HYPERLINK("https://careerviet.vn/vi/tim-viec-lam/giam-doc-quan-ly-du-an.35C6BF31.html","Xem chi tiết")</f>
        <v/>
      </c>
      <c r="M14136" s="10" t="n"/>
    </row>
    <row r="14137">
      <c r="B14137" s="7" t="n">
        <v>14135</v>
      </c>
      <c r="C14137" t="inlineStr">
        <is>
          <t>Nhân Viên Phòng Quản Trị Rủi Ro</t>
        </is>
      </c>
      <c r="D14137" t="inlineStr">
        <is>
          <t>Cathay Life Insurance (Vietnam) Co., Ltd</t>
        </is>
      </c>
      <c r="E14137" t="inlineStr">
        <is>
          <t>Lương:Cạnh tranh</t>
        </is>
      </c>
      <c r="F14137" t="inlineStr">
        <is>
          <t>Hồ Chí Minh</t>
        </is>
      </c>
      <c r="G14137" t="inlineStr">
        <is>
          <t>11-04-2026</t>
        </is>
      </c>
      <c r="H14137" t="inlineStr">
        <is>
          <t>11/04/2026</t>
        </is>
      </c>
      <c r="I14137" t="inlineStr">
        <is>
          <t>17/03/2026</t>
        </is>
      </c>
      <c r="J14137" t="inlineStr">
        <is>
          <t>Luật / Pháp lý, Kế toán / Kiểm toán, Bảo hiểm</t>
        </is>
      </c>
      <c r="K14137" t="inlineStr">
        <is>
          <t>2 - 8 Năm</t>
        </is>
      </c>
      <c r="L14137" s="8">
        <f>HYPERLINK("https://careerviet.vn/vi/tim-viec-lam/nhan-vien-phong-quan-tri-rui-ro.35C6BF37.html","Xem chi tiết")</f>
        <v/>
      </c>
    </row>
    <row r="14138">
      <c r="B14138" s="9" t="n">
        <v>14136</v>
      </c>
      <c r="C14138" s="10" t="inlineStr">
        <is>
          <t>Nhân viên chứng từ khai quan</t>
        </is>
      </c>
      <c r="D14138" s="10" t="inlineStr">
        <is>
          <t>Công ty Cổ phần THT Cargo Logistics</t>
        </is>
      </c>
      <c r="E14138" s="10" t="inlineStr">
        <is>
          <t>Lương:8,5 Tr - 15 Tr VND</t>
        </is>
      </c>
      <c r="F14138" s="10" t="inlineStr">
        <is>
          <t>Hồ Chí Minh</t>
        </is>
      </c>
      <c r="G14138" s="10" t="inlineStr">
        <is>
          <t>30-04-2026</t>
        </is>
      </c>
      <c r="H14138" s="10" t="inlineStr">
        <is>
          <t>30/04/2026</t>
        </is>
      </c>
      <c r="I14138" s="10" t="inlineStr">
        <is>
          <t>17/03/2026</t>
        </is>
      </c>
      <c r="J14138" s="10" t="inlineStr">
        <is>
          <t>Xuất nhập khẩu, Vận chuyển / Giao nhận / Kho vận, Dịch vụ khách hàng</t>
        </is>
      </c>
      <c r="K14138" s="10" t="inlineStr">
        <is>
          <t>1 - 3 Năm</t>
        </is>
      </c>
      <c r="L14138" s="11">
        <f>HYPERLINK("https://careerviet.vn/vi/tim-viec-lam/nhan-vien-chung-tu-khai-quan.35C6BF2D.html","Xem chi tiết")</f>
        <v/>
      </c>
      <c r="M14138" s="10" t="n"/>
    </row>
    <row r="14139">
      <c r="B14139" s="7" t="n">
        <v>14137</v>
      </c>
      <c r="C14139" t="inlineStr">
        <is>
          <t>Trình dược viên OTC (Chăm Sóc Sức Khỏe) - Bến Tre</t>
        </is>
      </c>
      <c r="D14139" t="inlineStr">
        <is>
          <t>Mega Lifesciences (Vietnam)</t>
        </is>
      </c>
      <c r="E14139" t="inlineStr">
        <is>
          <t>Lương:7 Tr - 15 Tr VND</t>
        </is>
      </c>
      <c r="F14139" t="inlineStr">
        <is>
          <t>Bến Tre</t>
        </is>
      </c>
      <c r="G14139" t="inlineStr">
        <is>
          <t>30-04-2026</t>
        </is>
      </c>
      <c r="H14139" t="inlineStr">
        <is>
          <t>30/04/2026</t>
        </is>
      </c>
      <c r="I14139" t="inlineStr">
        <is>
          <t>17/03/2026</t>
        </is>
      </c>
      <c r="J14139" t="inlineStr">
        <is>
          <t>Y tế / Chăm sóc sức khỏe / Thẩm mỹ / Làm đẹp, Bán hàng / Kinh doanh, Dược phẩm/ Hóa Mỹ Phẩm</t>
        </is>
      </c>
      <c r="K14139" t="inlineStr">
        <is>
          <t>N/A</t>
        </is>
      </c>
      <c r="L14139" s="8">
        <f>HYPERLINK("https://careerviet.vn/vi/tim-viec-lam/trinh-duoc-vien-otc-cham-soc-suc-khoe-ben-tre.35C6BF2A.html","Xem chi tiết")</f>
        <v/>
      </c>
    </row>
    <row r="14140">
      <c r="B14140" s="9" t="n">
        <v>14138</v>
      </c>
      <c r="C14140" s="10" t="inlineStr">
        <is>
          <t>Nhân Viên Chứng Từ - Airfreight</t>
        </is>
      </c>
      <c r="D14140" s="10" t="inlineStr">
        <is>
          <t>Công ty TNHH Khải Minh Group</t>
        </is>
      </c>
      <c r="E14140" s="10" t="inlineStr">
        <is>
          <t>Lương:7,5 Tr - 10 Tr VND</t>
        </is>
      </c>
      <c r="F14140" s="10" t="inlineStr">
        <is>
          <t>Hà Nội</t>
        </is>
      </c>
      <c r="G14140" s="10" t="inlineStr">
        <is>
          <t>03-04-2026</t>
        </is>
      </c>
      <c r="H14140" s="10" t="inlineStr">
        <is>
          <t>03/04/2026</t>
        </is>
      </c>
      <c r="I14140" s="10" t="inlineStr">
        <is>
          <t>17/03/2026</t>
        </is>
      </c>
      <c r="J14140" s="10" t="inlineStr">
        <is>
          <t>Xuất nhập khẩu, Vận chuyển / Giao nhận / Kho vận, Mới tốt nghiệp / Thực tập</t>
        </is>
      </c>
      <c r="K14140" s="10" t="inlineStr">
        <is>
          <t>Lên đến 1 Năm</t>
        </is>
      </c>
      <c r="L14140" s="11">
        <f>HYPERLINK("https://careerviet.vn/vi/tim-viec-lam/nhan-vien-chung-tu-airfreight.35C6BF47.html","Xem chi tiết")</f>
        <v/>
      </c>
      <c r="M14140" s="10" t="n"/>
    </row>
    <row r="14141">
      <c r="B14141" s="7" t="n">
        <v>14139</v>
      </c>
      <c r="C14141" t="inlineStr">
        <is>
          <t>Sales Admin</t>
        </is>
      </c>
      <c r="D14141" t="inlineStr">
        <is>
          <t>CÔNG TY TNHH XUẤT NHẬP KHẨU THƯƠNG MẠI SONG HÂN</t>
        </is>
      </c>
      <c r="E14141" t="inlineStr">
        <is>
          <t>Lương:Cạnh tranh</t>
        </is>
      </c>
      <c r="F14141" t="inlineStr">
        <is>
          <t>Hồ Chí Minh</t>
        </is>
      </c>
      <c r="G14141" t="inlineStr">
        <is>
          <t>10-04-2026</t>
        </is>
      </c>
      <c r="H14141" t="inlineStr">
        <is>
          <t>10/04/2026</t>
        </is>
      </c>
      <c r="I14141" t="inlineStr">
        <is>
          <t>17/03/2026</t>
        </is>
      </c>
      <c r="J14141" t="inlineStr">
        <is>
          <t>Bán hàng / Kinh doanh, Hành chính / Thư ký, Dịch vụ khách hàng</t>
        </is>
      </c>
      <c r="K14141" t="inlineStr">
        <is>
          <t>N/A</t>
        </is>
      </c>
      <c r="L14141" s="8">
        <f>HYPERLINK("https://careerviet.vn/vi/tim-viec-lam/sales-admin.35C6BF2C.html","Xem chi tiết")</f>
        <v/>
      </c>
    </row>
    <row r="14142">
      <c r="B14142" s="9" t="n">
        <v>14140</v>
      </c>
      <c r="C14142" s="10" t="inlineStr">
        <is>
          <t>Chuyên viên cao cấp Quan hệ lao động - TNTalent</t>
        </is>
      </c>
      <c r="D14142" s="10" t="inlineStr">
        <is>
          <t>Tập đoàn ROX (ROX Group)</t>
        </is>
      </c>
      <c r="E14142" s="10" t="inlineStr">
        <is>
          <t>Lương:Cạnh tranh</t>
        </is>
      </c>
      <c r="F14142" s="10" t="inlineStr">
        <is>
          <t>Hà Nội</t>
        </is>
      </c>
      <c r="G14142" s="10" t="inlineStr">
        <is>
          <t>19-04-2026</t>
        </is>
      </c>
      <c r="H14142" s="10" t="inlineStr">
        <is>
          <t>19/04/2026</t>
        </is>
      </c>
      <c r="I14142" s="10" t="inlineStr">
        <is>
          <t>17/03/2026</t>
        </is>
      </c>
      <c r="J14142" s="10" t="inlineStr">
        <is>
          <t>Nhân sự</t>
        </is>
      </c>
      <c r="K14142" s="10" t="inlineStr">
        <is>
          <t>Trên 5 Năm</t>
        </is>
      </c>
      <c r="L14142" s="11">
        <f>HYPERLINK("https://careerviet.vn/vi/tim-viec-lam/chuyen-vien-cao-cap-quan-he-lao-dong-tntalent.35C6BF25.html","Xem chi tiết")</f>
        <v/>
      </c>
      <c r="M14142" s="10" t="n"/>
    </row>
    <row r="14143">
      <c r="B14143" s="7" t="n">
        <v>14141</v>
      </c>
      <c r="C14143" t="inlineStr">
        <is>
          <t>Trình dược viên OTC (Chăm Sóc Sức Khỏe) - An Giang</t>
        </is>
      </c>
      <c r="D14143" t="inlineStr">
        <is>
          <t>Mega Lifesciences (Vietnam)</t>
        </is>
      </c>
      <c r="E14143" t="inlineStr">
        <is>
          <t>Lương:7 Tr - 15 Tr VND</t>
        </is>
      </c>
      <c r="F14143" t="inlineStr">
        <is>
          <t>An Giang</t>
        </is>
      </c>
      <c r="G14143" t="inlineStr">
        <is>
          <t>30-04-2026</t>
        </is>
      </c>
      <c r="H14143" t="inlineStr">
        <is>
          <t>30/04/2026</t>
        </is>
      </c>
      <c r="I14143" t="inlineStr">
        <is>
          <t>17/03/2026</t>
        </is>
      </c>
      <c r="J14143" t="inlineStr">
        <is>
          <t>Y tế / Chăm sóc sức khỏe / Thẩm mỹ / Làm đẹp, Bán hàng / Kinh doanh, Dược phẩm/ Hóa Mỹ Phẩm</t>
        </is>
      </c>
      <c r="K14143" t="inlineStr">
        <is>
          <t>N/A</t>
        </is>
      </c>
      <c r="L14143" s="8">
        <f>HYPERLINK("https://careerviet.vn/vi/tim-viec-lam/trinh-duoc-vien-otc-cham-soc-suc-khoe-an-giang.35C6BF22.html","Xem chi tiết")</f>
        <v/>
      </c>
    </row>
    <row r="14144">
      <c r="B14144" s="9" t="n">
        <v>14142</v>
      </c>
      <c r="C14144" s="10" t="inlineStr">
        <is>
          <t>Kỹ sư kinh doanh- Thiết bị, giải pháp lọc nước cho  mảng nhiệt điện</t>
        </is>
      </c>
      <c r="D14144" s="10" t="inlineStr">
        <is>
          <t>Cong Thanh Environment - Technology Co., Ltd (Envitech co.,Ltd )</t>
        </is>
      </c>
      <c r="E14144" s="10" t="inlineStr">
        <is>
          <t>Lương:15 Tr - 20 Tr VND</t>
        </is>
      </c>
      <c r="F14144" s="10" t="inlineStr">
        <is>
          <t>Hồ Chí Minh</t>
        </is>
      </c>
      <c r="G14144" s="10" t="inlineStr">
        <is>
          <t>09-04-2026</t>
        </is>
      </c>
      <c r="H14144" s="10" t="inlineStr">
        <is>
          <t>09/04/2026</t>
        </is>
      </c>
      <c r="I14144" s="10" t="inlineStr">
        <is>
          <t>17/03/2026</t>
        </is>
      </c>
      <c r="J14144" s="10" t="inlineStr">
        <is>
          <t>Bán Hàng Kỹ Thuật</t>
        </is>
      </c>
      <c r="K14144" s="10" t="inlineStr">
        <is>
          <t>2 - 5 Năm</t>
        </is>
      </c>
      <c r="L14144" s="11">
        <f>HYPERLINK("https://careerviet.vn/vi/tim-viec-lam/ky-su-kinh-doanh-thiet-bi-giai-phap-loc-nuoc-cho-mang-nhiet-dien.35C6BF2B.html","Xem chi tiết")</f>
        <v/>
      </c>
      <c r="M14144" s="10" t="n"/>
    </row>
    <row r="14145">
      <c r="B14145" s="7" t="n">
        <v>14143</v>
      </c>
      <c r="C14145" t="inlineStr">
        <is>
          <t>Kế Toán Trưởng</t>
        </is>
      </c>
      <c r="D14145" t="inlineStr">
        <is>
          <t>Công Ty Cổ Phần Thép Việt Xô Hà Nội</t>
        </is>
      </c>
      <c r="E14145" t="inlineStr">
        <is>
          <t>Lương:Cạnh tranh</t>
        </is>
      </c>
      <c r="F14145" t="inlineStr">
        <is>
          <t>Hà Nội</t>
        </is>
      </c>
      <c r="G14145" t="inlineStr">
        <is>
          <t>15-04-2026</t>
        </is>
      </c>
      <c r="H14145" t="inlineStr">
        <is>
          <t>15/04/2026</t>
        </is>
      </c>
      <c r="I14145" t="inlineStr">
        <is>
          <t>17/03/2026</t>
        </is>
      </c>
      <c r="J14145" t="inlineStr">
        <is>
          <t>Kế toán / Kiểm toán</t>
        </is>
      </c>
      <c r="K14145" t="inlineStr">
        <is>
          <t>10 - 12 Năm</t>
        </is>
      </c>
      <c r="L14145" s="8">
        <f>HYPERLINK("https://careerviet.vn/vi/tim-viec-lam/ke-toan-truong.35C6BF21.html","Xem chi tiết")</f>
        <v/>
      </c>
    </row>
    <row r="14146">
      <c r="B14146" s="9" t="n">
        <v>14144</v>
      </c>
      <c r="C14146" s="10" t="inlineStr">
        <is>
          <t>INTEGRATION DEVELOPER</t>
        </is>
      </c>
      <c r="D14146" s="10" t="inlineStr">
        <is>
          <t>Tổng công ty Xây dựng số 1 – CTCP</t>
        </is>
      </c>
      <c r="E14146" s="10" t="inlineStr">
        <is>
          <t>Lương:Cạnh tranh</t>
        </is>
      </c>
      <c r="F14146" s="10" t="inlineStr">
        <is>
          <t>Hồ Chí Minh</t>
        </is>
      </c>
      <c r="G14146" s="10" t="inlineStr">
        <is>
          <t>09-04-2026</t>
        </is>
      </c>
      <c r="H14146" s="10" t="inlineStr">
        <is>
          <t>09/04/2026</t>
        </is>
      </c>
      <c r="I14146" s="10" t="inlineStr">
        <is>
          <t>17/03/2026</t>
        </is>
      </c>
      <c r="J14146" s="10" t="inlineStr">
        <is>
          <t>CNTT - Phần mềm</t>
        </is>
      </c>
      <c r="K14146" s="10" t="inlineStr">
        <is>
          <t>3 - 5 Năm</t>
        </is>
      </c>
      <c r="L14146" s="11">
        <f>HYPERLINK("https://careerviet.vn/vi/tim-viec-lam/integration-developer.35C6BF20.html","Xem chi tiết")</f>
        <v/>
      </c>
      <c r="M14146" s="10" t="n"/>
    </row>
    <row r="14147">
      <c r="B14147" s="7" t="n">
        <v>14145</v>
      </c>
      <c r="C14147" t="inlineStr">
        <is>
          <t>NHÂN VIÊN HỖ TRỢ KINH DOANH</t>
        </is>
      </c>
      <c r="D14147" t="inlineStr">
        <is>
          <t>Công ty Cổ phần THT Cargo Logistics</t>
        </is>
      </c>
      <c r="E14147" t="inlineStr">
        <is>
          <t>Lương:9 Tr - 12 Tr VND</t>
        </is>
      </c>
      <c r="F14147" t="inlineStr">
        <is>
          <t>Hồ Chí Minh</t>
        </is>
      </c>
      <c r="G14147" t="inlineStr">
        <is>
          <t>15-04-2026</t>
        </is>
      </c>
      <c r="H14147" t="inlineStr">
        <is>
          <t>15/04/2026</t>
        </is>
      </c>
      <c r="I14147" t="inlineStr">
        <is>
          <t>17/03/2026</t>
        </is>
      </c>
      <c r="J14147" t="inlineStr">
        <is>
          <t>Xuất nhập khẩu, Vận chuyển / Giao nhận / Kho vận, Dịch vụ khách hàng</t>
        </is>
      </c>
      <c r="K14147" t="inlineStr">
        <is>
          <t>1 - 3 Năm</t>
        </is>
      </c>
      <c r="L14147" s="8">
        <f>HYPERLINK("https://careerviet.vn/vi/tim-viec-lam/nhan-vien-ho-tro-kinh-doanh.35C6BF1C.html","Xem chi tiết")</f>
        <v/>
      </c>
    </row>
    <row r="14148">
      <c r="B14148" s="9" t="n">
        <v>14146</v>
      </c>
      <c r="C14148" s="10" t="inlineStr">
        <is>
          <t>Digital Marketing Executive</t>
        </is>
      </c>
      <c r="D14148" s="10" t="inlineStr">
        <is>
          <t>CÔNG TY CỔ PHẦN GIẢI PHÁP GENE - GENE SOLUTIONS</t>
        </is>
      </c>
      <c r="E14148" s="10" t="inlineStr">
        <is>
          <t>Lương:Cạnh tranh</t>
        </is>
      </c>
      <c r="F14148" s="10" t="inlineStr">
        <is>
          <t>Hồ Chí Minh</t>
        </is>
      </c>
      <c r="G14148" s="10" t="inlineStr">
        <is>
          <t>11-04-2026</t>
        </is>
      </c>
      <c r="H14148" s="10" t="inlineStr">
        <is>
          <t>11/04/2026</t>
        </is>
      </c>
      <c r="I14148" s="10" t="inlineStr">
        <is>
          <t>17/03/2026</t>
        </is>
      </c>
      <c r="J14148" s="10" t="inlineStr">
        <is>
          <t>Tiếp thị / Marketing</t>
        </is>
      </c>
      <c r="K14148" s="10" t="inlineStr">
        <is>
          <t>Chưa có kinh nghiệm</t>
        </is>
      </c>
      <c r="L14148" s="11">
        <f>HYPERLINK("https://careerviet.vn/vi/tim-viec-lam/digital-marketing-executive.35C6BF18.html","Xem chi tiết")</f>
        <v/>
      </c>
      <c r="M14148" s="10" t="n"/>
    </row>
    <row r="14149">
      <c r="B14149" s="7" t="n">
        <v>14147</v>
      </c>
      <c r="C14149" t="inlineStr">
        <is>
          <t>Cán Bộ Kinh Doanh - Khu vực Thái Nguyên, Cao Bằng, Bắc Kạn</t>
        </is>
      </c>
      <c r="D14149" t="inlineStr">
        <is>
          <t>Tổng Công ty Cổ phần Bảo hiểm Ngân hàng Đầu tư và Phát triển Việt Nam (BIC)</t>
        </is>
      </c>
      <c r="E14149" t="inlineStr">
        <is>
          <t>Lương:Cạnh tranh</t>
        </is>
      </c>
      <c r="F14149" t="inlineStr">
        <is>
          <t>Thái NguyênCao BằngBắc Cạn</t>
        </is>
      </c>
      <c r="G14149" t="inlineStr">
        <is>
          <t>09-04-2026</t>
        </is>
      </c>
      <c r="H14149" t="inlineStr">
        <is>
          <t>09/04/2026</t>
        </is>
      </c>
      <c r="I14149" t="inlineStr">
        <is>
          <t>17/03/2026</t>
        </is>
      </c>
      <c r="J14149" t="inlineStr">
        <is>
          <t>Ngân hàng, Bảo hiểm, Bán hàng / Kinh doanh</t>
        </is>
      </c>
      <c r="K14149" t="inlineStr">
        <is>
          <t>Chưa có kinh nghiệm</t>
        </is>
      </c>
      <c r="L14149" s="8">
        <f>HYPERLINK("https://careerviet.vn/vi/tim-viec-lam/can-bo-kinh-doanh-khu-vuc-thai-nguyen-cao-bang-bac-kan.35C6BF19.html","Xem chi tiết")</f>
        <v/>
      </c>
    </row>
    <row r="14150">
      <c r="B14150" s="9" t="n">
        <v>14148</v>
      </c>
      <c r="C14150" s="10" t="inlineStr">
        <is>
          <t>SHIPPING LEADER</t>
        </is>
      </c>
      <c r="D14150" s="10" t="inlineStr">
        <is>
          <t>Công ty Cổ phần THT Cargo Logistics</t>
        </is>
      </c>
      <c r="E14150" s="10" t="inlineStr">
        <is>
          <t>Lương:16 Tr - 22 Tr VND</t>
        </is>
      </c>
      <c r="F14150" s="10" t="inlineStr">
        <is>
          <t>Hồ Chí Minh</t>
        </is>
      </c>
      <c r="G14150" s="10" t="inlineStr">
        <is>
          <t>10-04-2026</t>
        </is>
      </c>
      <c r="H14150" s="10" t="inlineStr">
        <is>
          <t>10/04/2026</t>
        </is>
      </c>
      <c r="I14150" s="10" t="inlineStr">
        <is>
          <t>17/03/2026</t>
        </is>
      </c>
      <c r="J14150" s="10" t="inlineStr">
        <is>
          <t>Xuất nhập khẩu, Vận chuyển / Giao nhận / Kho vận, Dịch vụ khách hàng</t>
        </is>
      </c>
      <c r="K14150" s="10" t="inlineStr">
        <is>
          <t>2 - 5 Năm</t>
        </is>
      </c>
      <c r="L14150" s="11">
        <f>HYPERLINK("https://careerviet.vn/vi/tim-viec-lam/shipping-leader.35C6BE99.html","Xem chi tiết")</f>
        <v/>
      </c>
      <c r="M14150" s="10" t="n"/>
    </row>
    <row r="14151">
      <c r="B14151" s="7" t="n">
        <v>14149</v>
      </c>
      <c r="C14151" t="inlineStr">
        <is>
          <t>Nhân viên kinh doanh</t>
        </is>
      </c>
      <c r="D14151" t="inlineStr">
        <is>
          <t>Công Ty TNHH MTV Dịch Vụ Lữ Hành Saigontourist</t>
        </is>
      </c>
      <c r="E14151" t="inlineStr">
        <is>
          <t>Lương:6 Tr - 7 Tr VND</t>
        </is>
      </c>
      <c r="F14151" t="inlineStr">
        <is>
          <t>Nghệ An</t>
        </is>
      </c>
      <c r="G14151" t="inlineStr">
        <is>
          <t>29-04-2026</t>
        </is>
      </c>
      <c r="H14151" t="inlineStr">
        <is>
          <t>29/04/2026</t>
        </is>
      </c>
      <c r="I14151" t="inlineStr">
        <is>
          <t>17/03/2026</t>
        </is>
      </c>
      <c r="J14151" t="inlineStr">
        <is>
          <t>Bán hàng / Kinh doanh</t>
        </is>
      </c>
      <c r="K14151" t="inlineStr">
        <is>
          <t>1 - 5 Năm</t>
        </is>
      </c>
      <c r="L14151" s="8">
        <f>HYPERLINK("https://careerviet.vn/vi/tim-viec-lam/nhan-vien-kinh-doanh.35BFA10B.html","Xem chi tiết")</f>
        <v/>
      </c>
    </row>
    <row r="14152">
      <c r="B14152" s="9" t="n">
        <v>14150</v>
      </c>
      <c r="C14152" s="10" t="inlineStr">
        <is>
          <t>Nhân Viên Trực Tổng Đài  Viettel</t>
        </is>
      </c>
      <c r="D14152" s="10" t="inlineStr">
        <is>
          <t>CÔNG TY CỔ PHẦN TRUYỀN THÔNG KIM CƯƠNG</t>
        </is>
      </c>
      <c r="E14152" s="10" t="inlineStr">
        <is>
          <t>Lương:8 Tr - 12 Tr VND</t>
        </is>
      </c>
      <c r="F14152" s="10" t="inlineStr">
        <is>
          <t>Hà Nội</t>
        </is>
      </c>
      <c r="G14152" s="10" t="inlineStr">
        <is>
          <t>11-03-2026</t>
        </is>
      </c>
      <c r="H14152" s="10" t="inlineStr">
        <is>
          <t>11/03/2026</t>
        </is>
      </c>
      <c r="I14152" s="10" t="inlineStr">
        <is>
          <t>17/03/2026</t>
        </is>
      </c>
      <c r="J14152" s="10" t="inlineStr">
        <is>
          <t>Dịch vụ khách hàng, Tư vấn</t>
        </is>
      </c>
      <c r="K14152" s="10" t="inlineStr">
        <is>
          <t>N/A</t>
        </is>
      </c>
      <c r="L14152" s="11">
        <f>HYPERLINK("https://careerviet.vn/vi/tim-viec-lam/nhan-vien-truc-tong-dai-viettel.35C6BEA5.html","Xem chi tiết")</f>
        <v/>
      </c>
      <c r="M14152" s="10" t="n"/>
    </row>
    <row r="14153">
      <c r="B14153" s="7" t="n">
        <v>14151</v>
      </c>
      <c r="C14153" t="inlineStr">
        <is>
          <t>GIÁM ĐỐC DỰ ÁN</t>
        </is>
      </c>
      <c r="D14153" t="inlineStr">
        <is>
          <t>CÔNG TY CỔ PHẨN ỨNG DỤNG VÀ CHUYỂN GIAO CÔNG NGHỆ XÂY DỰNG (CJSC)</t>
        </is>
      </c>
      <c r="E14153" t="inlineStr">
        <is>
          <t>Lương:Cạnh tranh</t>
        </is>
      </c>
      <c r="F14153" t="inlineStr">
        <is>
          <t>Hồ Chí Minh</t>
        </is>
      </c>
      <c r="G14153" t="inlineStr">
        <is>
          <t>10-04-2026</t>
        </is>
      </c>
      <c r="H14153" t="inlineStr">
        <is>
          <t>10/04/2026</t>
        </is>
      </c>
      <c r="I14153" t="inlineStr">
        <is>
          <t>17/03/2026</t>
        </is>
      </c>
      <c r="J14153" t="inlineStr">
        <is>
          <t>Xây dựng, Quản lý điều hành</t>
        </is>
      </c>
      <c r="K14153" t="inlineStr">
        <is>
          <t>7 - 10 Năm</t>
        </is>
      </c>
      <c r="L14153" s="8">
        <f>HYPERLINK("https://careerviet.vn/vi/tim-viec-lam/giam-doc-du-an.35C6BEA4.html","Xem chi tiết")</f>
        <v/>
      </c>
    </row>
    <row r="14154">
      <c r="B14154" s="9" t="n">
        <v>14152</v>
      </c>
      <c r="C14154" s="10" t="inlineStr">
        <is>
          <t>Trưởng phòng Kế Toán - Thuế</t>
        </is>
      </c>
      <c r="D14154" s="10" t="inlineStr">
        <is>
          <t>CÔNG TY TNHH IC&amp;PARTNERS VIỆT NAM</t>
        </is>
      </c>
      <c r="E14154" s="10" t="inlineStr">
        <is>
          <t>Lương:15 Tr - 25 Tr VND</t>
        </is>
      </c>
      <c r="F14154" s="10" t="inlineStr">
        <is>
          <t>Hà Nội</t>
        </is>
      </c>
      <c r="G14154" s="10" t="inlineStr">
        <is>
          <t>11-04-2026</t>
        </is>
      </c>
      <c r="H14154" s="10" t="inlineStr">
        <is>
          <t>11/04/2026</t>
        </is>
      </c>
      <c r="I14154" s="10" t="inlineStr">
        <is>
          <t>17/03/2026</t>
        </is>
      </c>
      <c r="J14154" s="10" t="inlineStr">
        <is>
          <t>Kế toán / Kiểm toán, Tài chính / Đầu tư</t>
        </is>
      </c>
      <c r="K14154" s="10" t="inlineStr">
        <is>
          <t>Trên 5 Năm</t>
        </is>
      </c>
      <c r="L14154" s="11">
        <f>HYPERLINK("https://careerviet.vn/vi/tim-viec-lam/truong-phong-ke-toan-thue.35C6BF12.html","Xem chi tiết")</f>
        <v/>
      </c>
      <c r="M14154" s="10" t="n"/>
    </row>
    <row r="14155">
      <c r="B14155" s="7" t="n">
        <v>14153</v>
      </c>
      <c r="C14155" t="inlineStr">
        <is>
          <t>Specialist, QS &amp; Contract</t>
        </is>
      </c>
      <c r="D14155" t="inlineStr">
        <is>
          <t>Công Ty Cổ Phần Đầu Tư Nam Long</t>
        </is>
      </c>
      <c r="E14155" t="inlineStr">
        <is>
          <t>Lương:Cạnh tranh</t>
        </is>
      </c>
      <c r="F14155" t="inlineStr">
        <is>
          <t>Hồ Chí Minh</t>
        </is>
      </c>
      <c r="G14155" t="inlineStr">
        <is>
          <t>30-04-2026</t>
        </is>
      </c>
      <c r="H14155" t="inlineStr">
        <is>
          <t>30/04/2026</t>
        </is>
      </c>
      <c r="I14155" t="inlineStr">
        <is>
          <t>17/03/2026</t>
        </is>
      </c>
      <c r="J14155" t="inlineStr">
        <is>
          <t>Bất động sản</t>
        </is>
      </c>
      <c r="K14155" t="inlineStr">
        <is>
          <t>3 - 5 Năm</t>
        </is>
      </c>
      <c r="L14155" s="8">
        <f>HYPERLINK("https://careerviet.vn/vi/tim-viec-lam/specialist-qs-contract.35C6BF09.html","Xem chi tiết")</f>
        <v/>
      </c>
    </row>
    <row r="14156">
      <c r="B14156" s="9" t="n">
        <v>14154</v>
      </c>
      <c r="C14156" s="10" t="inlineStr">
        <is>
          <t>Chuyên viên Marketing Ads</t>
        </is>
      </c>
      <c r="D14156" s="10" t="inlineStr">
        <is>
          <t>Công ty CP Công nghệ giáo dục Trường học trực tuyến (ONSCHOOL)</t>
        </is>
      </c>
      <c r="E14156" s="10" t="inlineStr">
        <is>
          <t>Lương:13 Tr - 18 Tr VND</t>
        </is>
      </c>
      <c r="F14156" s="10" t="inlineStr">
        <is>
          <t>Hồ Chí Minh</t>
        </is>
      </c>
      <c r="G14156" s="10" t="inlineStr">
        <is>
          <t>25-03-2026</t>
        </is>
      </c>
      <c r="H14156" s="10" t="inlineStr">
        <is>
          <t>25/03/2026</t>
        </is>
      </c>
      <c r="I14156" s="10" t="inlineStr">
        <is>
          <t>17/03/2026</t>
        </is>
      </c>
      <c r="J14156" s="10" t="inlineStr">
        <is>
          <t>Tiếp thị / Marketing</t>
        </is>
      </c>
      <c r="K14156" s="10" t="inlineStr">
        <is>
          <t>2 - 3 Năm</t>
        </is>
      </c>
      <c r="L14156" s="11">
        <f>HYPERLINK("https://careerviet.vn/vi/tim-viec-lam/chuyen-vien-marketing-ads.35C6BEA1.html","Xem chi tiết")</f>
        <v/>
      </c>
      <c r="M14156" s="10" t="n"/>
    </row>
    <row r="14157">
      <c r="B14157" s="7" t="n">
        <v>14155</v>
      </c>
      <c r="C14157" t="inlineStr">
        <is>
          <t>Cộng tác viên Lấy mẫu hiện trường</t>
        </is>
      </c>
      <c r="D14157" t="inlineStr">
        <is>
          <t>EUROFINS VIETNAM</t>
        </is>
      </c>
      <c r="E14157" t="inlineStr">
        <is>
          <t>Lương:Cạnh tranh</t>
        </is>
      </c>
      <c r="F14157" t="inlineStr">
        <is>
          <t>Hồ Chí Minh</t>
        </is>
      </c>
      <c r="G14157" t="inlineStr">
        <is>
          <t>11-04-2026</t>
        </is>
      </c>
      <c r="H14157" t="inlineStr">
        <is>
          <t>11/04/2026</t>
        </is>
      </c>
      <c r="I14157" t="inlineStr">
        <is>
          <t>17/03/2026</t>
        </is>
      </c>
      <c r="J14157" t="inlineStr">
        <is>
          <t>Công nghệ sinh học, Môi trường, Mới tốt nghiệp / Thực tập</t>
        </is>
      </c>
      <c r="K14157" t="inlineStr">
        <is>
          <t>N/A</t>
        </is>
      </c>
      <c r="L14157" s="8">
        <f>HYPERLINK("https://careerviet.vn/vi/tim-viec-lam/cong-tac-vien-lay-mau-hien-truong.35C6BF03.html","Xem chi tiết")</f>
        <v/>
      </c>
    </row>
    <row r="14158">
      <c r="B14158" s="9" t="n">
        <v>14156</v>
      </c>
      <c r="C14158" s="10" t="inlineStr">
        <is>
          <t>BUSINESS ANALYST - ERP</t>
        </is>
      </c>
      <c r="D14158" s="10" t="inlineStr">
        <is>
          <t>Tổng công ty Xây dựng số 1 – CTCP</t>
        </is>
      </c>
      <c r="E14158" s="10" t="inlineStr">
        <is>
          <t>Lương:Cạnh tranh</t>
        </is>
      </c>
      <c r="F14158" s="10" t="inlineStr">
        <is>
          <t>Hồ Chí Minh</t>
        </is>
      </c>
      <c r="G14158" s="10" t="inlineStr">
        <is>
          <t>09-04-2026</t>
        </is>
      </c>
      <c r="H14158" s="10" t="inlineStr">
        <is>
          <t>09/04/2026</t>
        </is>
      </c>
      <c r="I14158" s="10" t="inlineStr">
        <is>
          <t>17/03/2026</t>
        </is>
      </c>
      <c r="J14158" s="10" t="inlineStr">
        <is>
          <t>CNTT - Phần mềm</t>
        </is>
      </c>
      <c r="K14158" s="10" t="inlineStr">
        <is>
          <t>3 - 5 Năm</t>
        </is>
      </c>
      <c r="L14158" s="11">
        <f>HYPERLINK("https://careerviet.vn/vi/tim-viec-lam/business-analyst-erp.35C6BE98.html","Xem chi tiết")</f>
        <v/>
      </c>
      <c r="M14158" s="10" t="n"/>
    </row>
    <row r="14159">
      <c r="B14159" s="7" t="n">
        <v>14157</v>
      </c>
      <c r="C14159" t="inlineStr">
        <is>
          <t>Tổ trưởng sản xuất</t>
        </is>
      </c>
      <c r="D14159" t="inlineStr">
        <is>
          <t>CÔNG TY TNHH AMPHENOL TECHNOLOGY VIỆT NAM (AFOV)</t>
        </is>
      </c>
      <c r="E14159" t="inlineStr">
        <is>
          <t>Lương:Cạnh tranh</t>
        </is>
      </c>
      <c r="F14159" t="inlineStr">
        <is>
          <t>Long An</t>
        </is>
      </c>
      <c r="G14159" t="inlineStr">
        <is>
          <t>30-04-2026</t>
        </is>
      </c>
      <c r="H14159" t="inlineStr">
        <is>
          <t>30/04/2026</t>
        </is>
      </c>
      <c r="I14159" t="inlineStr">
        <is>
          <t>17/03/2026</t>
        </is>
      </c>
      <c r="J14159" t="inlineStr">
        <is>
          <t>Quản lý điều hành, Sản xuất / Vận hành sản xuất</t>
        </is>
      </c>
      <c r="K14159" t="inlineStr">
        <is>
          <t>N/A</t>
        </is>
      </c>
      <c r="L14159" s="8">
        <f>HYPERLINK("https://careerviet.vn/vi/tim-viec-lam/to-truong-san-xuat.35C6BE28.html","Xem chi tiết")</f>
        <v/>
      </c>
    </row>
    <row r="14160">
      <c r="B14160" s="9" t="n">
        <v>14158</v>
      </c>
      <c r="C14160" s="10" t="inlineStr">
        <is>
          <t>KẾ TOÁN KHO</t>
        </is>
      </c>
      <c r="D14160" s="10" t="inlineStr">
        <is>
          <t>Công ty Cổ phần Mediamart Việt Nam</t>
        </is>
      </c>
      <c r="E14160" s="10" t="inlineStr">
        <is>
          <t>Lương:8 Tr - 9 Tr VND</t>
        </is>
      </c>
      <c r="F14160" s="10" t="inlineStr">
        <is>
          <t>Hà Nội</t>
        </is>
      </c>
      <c r="G14160" s="10" t="inlineStr">
        <is>
          <t>10-04-2026</t>
        </is>
      </c>
      <c r="H14160" s="10" t="inlineStr">
        <is>
          <t>10/04/2026</t>
        </is>
      </c>
      <c r="I14160" s="10" t="inlineStr">
        <is>
          <t>17/03/2026</t>
        </is>
      </c>
      <c r="J14160" s="10" t="inlineStr">
        <is>
          <t>Kế toán / Kiểm toán</t>
        </is>
      </c>
      <c r="K14160" s="10" t="inlineStr">
        <is>
          <t>N/A</t>
        </is>
      </c>
      <c r="L14160" s="11">
        <f>HYPERLINK("https://careerviet.vn/vi/tim-viec-lam/ke-toan-kho.35C6BEA3.html","Xem chi tiết")</f>
        <v/>
      </c>
      <c r="M14160" s="10" t="n"/>
    </row>
    <row r="14161">
      <c r="B14161" s="7" t="n">
        <v>14159</v>
      </c>
      <c r="C14161" t="inlineStr">
        <is>
          <t>Nhân viên vận hành đào tạo (Biết tiếng Đức)</t>
        </is>
      </c>
      <c r="D14161" t="inlineStr">
        <is>
          <t>CÔNG TY CỔ PHẦN GECO AI</t>
        </is>
      </c>
      <c r="E14161" t="inlineStr">
        <is>
          <t>Lương:8 Tr - 10 Tr VND</t>
        </is>
      </c>
      <c r="F14161" t="inlineStr">
        <is>
          <t>Hà Nội</t>
        </is>
      </c>
      <c r="G14161" t="inlineStr">
        <is>
          <t>31-03-2026</t>
        </is>
      </c>
      <c r="H14161" t="inlineStr">
        <is>
          <t>31/03/2026</t>
        </is>
      </c>
      <c r="I14161" t="inlineStr">
        <is>
          <t>17/03/2026</t>
        </is>
      </c>
      <c r="J14161" t="inlineStr">
        <is>
          <t>Giáo dục / Đào tạo</t>
        </is>
      </c>
      <c r="K14161" t="inlineStr">
        <is>
          <t>Chưa có kinh nghiệm</t>
        </is>
      </c>
      <c r="L14161" s="8">
        <f>HYPERLINK("https://careerviet.vn/vi/tim-viec-lam/nhan-vien-van-hanh-dao-tao-biet-tieng-duc.35C6BE94.html","Xem chi tiết")</f>
        <v/>
      </c>
    </row>
    <row r="14162">
      <c r="B14162" s="9" t="n">
        <v>14160</v>
      </c>
      <c r="C14162" s="10" t="inlineStr">
        <is>
          <t>Nhân Viên Đăng Ký Hồ Sơ Thuốc</t>
        </is>
      </c>
      <c r="D14162" s="10" t="inlineStr">
        <is>
          <t>Công ty TNHH Bình Việt Đức (BIVID)</t>
        </is>
      </c>
      <c r="E14162" s="10" t="inlineStr">
        <is>
          <t>Lương:12 Tr - 16 Tr VND</t>
        </is>
      </c>
      <c r="F14162" s="10" t="inlineStr">
        <is>
          <t>Hồ Chí Minh</t>
        </is>
      </c>
      <c r="G14162" s="10" t="inlineStr">
        <is>
          <t>30-04-2026</t>
        </is>
      </c>
      <c r="H14162" s="10" t="inlineStr">
        <is>
          <t>30/04/2026</t>
        </is>
      </c>
      <c r="I14162" s="10" t="inlineStr">
        <is>
          <t>17/03/2026</t>
        </is>
      </c>
      <c r="J14162" s="10" t="inlineStr">
        <is>
          <t>Dược phẩm/ Hóa Mỹ Phẩm, Y tế / Chăm sóc sức khỏe / Thẩm mỹ / Làm đẹp</t>
        </is>
      </c>
      <c r="K14162" s="10" t="inlineStr">
        <is>
          <t>2 - 5 Năm</t>
        </is>
      </c>
      <c r="L14162" s="11">
        <f>HYPERLINK("https://careerviet.vn/vi/tim-viec-lam/nhan-vien-dang-ky-ho-so-thuoc.35C6BE95.html","Xem chi tiết")</f>
        <v/>
      </c>
      <c r="M14162" s="10" t="n"/>
    </row>
    <row r="14163">
      <c r="B14163" s="7" t="n">
        <v>14161</v>
      </c>
      <c r="C14163" t="inlineStr">
        <is>
          <t>Content Marketing Executive</t>
        </is>
      </c>
      <c r="D14163" t="inlineStr">
        <is>
          <t>CÔNG TY CỔ PHẦN HỌC VIỆN MINH TRÍ THÀNH</t>
        </is>
      </c>
      <c r="E14163" t="inlineStr">
        <is>
          <t>Lương:12 Tr - 18 Tr VND</t>
        </is>
      </c>
      <c r="F14163" t="inlineStr">
        <is>
          <t>Hà Nội</t>
        </is>
      </c>
      <c r="G14163" t="inlineStr">
        <is>
          <t>27-04-2026</t>
        </is>
      </c>
      <c r="H14163" t="inlineStr">
        <is>
          <t>27/04/2026</t>
        </is>
      </c>
      <c r="I14163" t="inlineStr">
        <is>
          <t>17/03/2026</t>
        </is>
      </c>
      <c r="J14163" t="inlineStr">
        <is>
          <t>Tiếp thị / Marketing, Truyền hình / Báo chí / Biên tập, Quảng cáo / Đối ngoại / Truyền Thông</t>
        </is>
      </c>
      <c r="K14163" t="inlineStr">
        <is>
          <t>1 - 5 Năm</t>
        </is>
      </c>
      <c r="L14163" s="8">
        <f>HYPERLINK("https://careerviet.vn/vi/tim-viec-lam/content-marketing-executive.35C6BE93.html","Xem chi tiết")</f>
        <v/>
      </c>
    </row>
    <row r="14164">
      <c r="B14164" s="9" t="n">
        <v>14162</v>
      </c>
      <c r="C14164" s="10" t="inlineStr">
        <is>
          <t>Thiết kế đồ họa</t>
        </is>
      </c>
      <c r="D14164" s="10" t="inlineStr">
        <is>
          <t>Công Ty Cổ Phần Tập Đoàn Thời Trang Việt Nam</t>
        </is>
      </c>
      <c r="E14164" s="10" t="inlineStr">
        <is>
          <t>Lương:10 Tr - 15 Tr VND</t>
        </is>
      </c>
      <c r="F14164" s="10" t="inlineStr">
        <is>
          <t>Hà Nội</t>
        </is>
      </c>
      <c r="G14164" s="10" t="inlineStr">
        <is>
          <t>10-04-2026</t>
        </is>
      </c>
      <c r="H14164" s="10" t="inlineStr">
        <is>
          <t>10/04/2026</t>
        </is>
      </c>
      <c r="I14164" s="10" t="inlineStr">
        <is>
          <t>17/03/2026</t>
        </is>
      </c>
      <c r="J14164" s="10" t="inlineStr">
        <is>
          <t>Mỹ thuật / Nghệ thuật / Thiết kế</t>
        </is>
      </c>
      <c r="K14164" s="10" t="inlineStr">
        <is>
          <t>2 - 3 Năm</t>
        </is>
      </c>
      <c r="L14164" s="11">
        <f>HYPERLINK("https://careerviet.vn/vi/tim-viec-lam/thiet-ke-do-hoa.35C6BE97.html","Xem chi tiết")</f>
        <v/>
      </c>
      <c r="M14164" s="10" t="n"/>
    </row>
    <row r="14165">
      <c r="B14165" s="7" t="n">
        <v>14163</v>
      </c>
      <c r="C14165" t="inlineStr">
        <is>
          <t>NHÂN VIÊN PHỤC VỤ - LÀM VIỆC TRÊN TÀU QUỐC TẾ COSTA</t>
        </is>
      </c>
      <c r="D14165" t="inlineStr">
        <is>
          <t>Công Ty TNHH MTV Dịch Vụ Lữ Hành Saigontourist</t>
        </is>
      </c>
      <c r="E14165" t="inlineStr">
        <is>
          <t>Lương:18 Tr - 40 Tr VND</t>
        </is>
      </c>
      <c r="F14165" t="inlineStr">
        <is>
          <t>Quốc tế</t>
        </is>
      </c>
      <c r="G14165" t="inlineStr">
        <is>
          <t>30-04-2026</t>
        </is>
      </c>
      <c r="H14165" t="inlineStr">
        <is>
          <t>30/04/2026</t>
        </is>
      </c>
      <c r="I14165" t="inlineStr">
        <is>
          <t>17/03/2026</t>
        </is>
      </c>
      <c r="J14165" t="inlineStr">
        <is>
          <t>Dịch vụ khách hàng, Nhà hàng / Khách sạn</t>
        </is>
      </c>
      <c r="K14165" t="inlineStr">
        <is>
          <t>Trên 1 Năm</t>
        </is>
      </c>
      <c r="L14165" s="8">
        <f>HYPERLINK("https://careerviet.vn/vi/tim-viec-lam/nhan-vien-phuc-vu-lam-viec-tren-tau-quoc-te-costa.35C66EF1.html","Xem chi tiết")</f>
        <v/>
      </c>
    </row>
    <row r="14166">
      <c r="B14166" s="9" t="n">
        <v>14164</v>
      </c>
      <c r="C14166" s="10" t="inlineStr">
        <is>
          <t>Trưởng bộ phận Đấu thầu</t>
        </is>
      </c>
      <c r="D14166" s="10" t="inlineStr">
        <is>
          <t>CÔNG TY CỔ PHẨN ỨNG DỤNG VÀ CHUYỂN GIAO CÔNG NGHỆ XÂY DỰNG (CJSC)</t>
        </is>
      </c>
      <c r="E14166" s="10" t="inlineStr">
        <is>
          <t>Lương:Cạnh tranh</t>
        </is>
      </c>
      <c r="F14166" s="10" t="inlineStr">
        <is>
          <t>Hồ Chí Minh</t>
        </is>
      </c>
      <c r="G14166" s="10" t="inlineStr">
        <is>
          <t>10-04-2026</t>
        </is>
      </c>
      <c r="H14166" s="10" t="inlineStr">
        <is>
          <t>10/04/2026</t>
        </is>
      </c>
      <c r="I14166" s="10" t="inlineStr">
        <is>
          <t>17/03/2026</t>
        </is>
      </c>
      <c r="J14166" s="10" t="inlineStr">
        <is>
          <t>Xây dựng, Dược phẩm/ Hóa Mỹ Phẩm</t>
        </is>
      </c>
      <c r="K14166" s="10" t="inlineStr">
        <is>
          <t>5 - 10 Năm</t>
        </is>
      </c>
      <c r="L14166" s="11">
        <f>HYPERLINK("https://careerviet.vn/vi/tim-viec-lam/truong-bo-phan-dau-thau.35C6BE8E.html","Xem chi tiết")</f>
        <v/>
      </c>
      <c r="M14166" s="10" t="n"/>
    </row>
    <row r="14167">
      <c r="B14167" s="7" t="n">
        <v>14165</v>
      </c>
      <c r="C14167" t="inlineStr">
        <is>
          <t>Chuyên viên cho thuê bất động sản (Leasing executive)</t>
        </is>
      </c>
      <c r="D14167" t="inlineStr">
        <is>
          <t>Công ty CP OSI Holdings</t>
        </is>
      </c>
      <c r="E14167" t="inlineStr">
        <is>
          <t>Lương:30 Tr - 40 Tr VND</t>
        </is>
      </c>
      <c r="F14167" t="inlineStr">
        <is>
          <t>Hà Nội</t>
        </is>
      </c>
      <c r="G14167" t="inlineStr">
        <is>
          <t>10-04-2026</t>
        </is>
      </c>
      <c r="H14167" t="inlineStr">
        <is>
          <t>10/04/2026</t>
        </is>
      </c>
      <c r="I14167" t="inlineStr">
        <is>
          <t>17/03/2026</t>
        </is>
      </c>
      <c r="J14167" t="inlineStr">
        <is>
          <t>Bất động sản</t>
        </is>
      </c>
      <c r="K14167" t="inlineStr">
        <is>
          <t>Trên 3 Năm</t>
        </is>
      </c>
      <c r="L14167" s="8">
        <f>HYPERLINK("https://careerviet.vn/vi/tim-viec-lam/chuyen-vien-cho-thue-bat-dong-san-leasing-executive.35C6BE8F.html","Xem chi tiết")</f>
        <v/>
      </c>
    </row>
    <row r="14168">
      <c r="B14168" s="9" t="n">
        <v>14166</v>
      </c>
      <c r="C14168" s="10" t="inlineStr">
        <is>
          <t>NHÂN VIÊN QUẦY BAR - BAR ATTENDANT LOUNGES</t>
        </is>
      </c>
      <c r="D14168" s="10" t="inlineStr">
        <is>
          <t>Công Ty TNHH MTV Dịch Vụ Lữ Hành Saigontourist</t>
        </is>
      </c>
      <c r="E14168" s="10" t="inlineStr">
        <is>
          <t>Lương:18 Tr - 40 Tr VND</t>
        </is>
      </c>
      <c r="F14168" s="10" t="inlineStr">
        <is>
          <t>Quốc tế</t>
        </is>
      </c>
      <c r="G14168" s="10" t="inlineStr">
        <is>
          <t>30-04-2026</t>
        </is>
      </c>
      <c r="H14168" s="10" t="inlineStr">
        <is>
          <t>30/04/2026</t>
        </is>
      </c>
      <c r="I14168" s="10" t="inlineStr">
        <is>
          <t>17/03/2026</t>
        </is>
      </c>
      <c r="J14168" s="10" t="inlineStr">
        <is>
          <t>Dịch vụ khách hàng, Vận chuyển / Giao nhận / Kho vận, Nhà hàng / Khách sạn</t>
        </is>
      </c>
      <c r="K14168" s="10" t="inlineStr">
        <is>
          <t>Trên 1 Năm</t>
        </is>
      </c>
      <c r="L14168" s="11">
        <f>HYPERLINK("https://careerviet.vn/vi/tim-viec-lam/nhan-vien-quay-bar-bar-attendant-lounges.35C66EE9.html","Xem chi tiết")</f>
        <v/>
      </c>
      <c r="M14168" s="10" t="n"/>
    </row>
    <row r="14169">
      <c r="B14169" s="7" t="n">
        <v>14167</v>
      </c>
      <c r="C14169" t="inlineStr">
        <is>
          <t>Chuyên viên quản lý chất lượng</t>
        </is>
      </c>
      <c r="D14169" t="inlineStr">
        <is>
          <t>Công Ty Cổ Phần Thép Việt Xô Hà Nội</t>
        </is>
      </c>
      <c r="E14169" t="inlineStr">
        <is>
          <t>Lương:13 Tr - 17 Tr VND</t>
        </is>
      </c>
      <c r="F14169" t="inlineStr">
        <is>
          <t>Hà Nội</t>
        </is>
      </c>
      <c r="G14169" t="inlineStr">
        <is>
          <t>15-04-2026</t>
        </is>
      </c>
      <c r="H14169" t="inlineStr">
        <is>
          <t>15/04/2026</t>
        </is>
      </c>
      <c r="I14169" t="inlineStr">
        <is>
          <t>17/03/2026</t>
        </is>
      </c>
      <c r="J14169" t="inlineStr">
        <is>
          <t>Quản lý chất lượng (QA/QC)</t>
        </is>
      </c>
      <c r="K14169" t="inlineStr">
        <is>
          <t>2 - 3 Năm</t>
        </is>
      </c>
      <c r="L14169" s="8">
        <f>HYPERLINK("https://careerviet.vn/vi/tim-viec-lam/chuyen-vien-quan-ly-chat-luong.35C6BE89.html","Xem chi tiết")</f>
        <v/>
      </c>
    </row>
    <row r="14170">
      <c r="B14170" s="9" t="n">
        <v>14168</v>
      </c>
      <c r="C14170" s="10" t="inlineStr">
        <is>
          <t>Quản lý Kinh doanh Vùng</t>
        </is>
      </c>
      <c r="D14170" s="10" t="inlineStr">
        <is>
          <t>CÔNG TY TRÁCH NHIỆM HỮU HẠN TRUNG SƠN ALPHA (Hệ thống Nhà thuốc Trung Sơn)</t>
        </is>
      </c>
      <c r="E14170" s="10" t="inlineStr">
        <is>
          <t>Lương:Cạnh tranh</t>
        </is>
      </c>
      <c r="F14170" s="10" t="inlineStr">
        <is>
          <t>An GiangCần Thơ</t>
        </is>
      </c>
      <c r="G14170" s="10" t="inlineStr">
        <is>
          <t>30-04-2026</t>
        </is>
      </c>
      <c r="H14170" s="10" t="inlineStr">
        <is>
          <t>30/04/2026</t>
        </is>
      </c>
      <c r="I14170" s="10" t="inlineStr">
        <is>
          <t>17/03/2026</t>
        </is>
      </c>
      <c r="J14170" s="10" t="inlineStr">
        <is>
          <t>Bán hàng / Kinh doanh, Dược phẩm/ Hóa Mỹ Phẩm, Bán lẻ / Bán sỉ</t>
        </is>
      </c>
      <c r="K14170" s="10" t="inlineStr">
        <is>
          <t>2 - 5 Năm</t>
        </is>
      </c>
      <c r="L14170" s="11">
        <f>HYPERLINK("https://careerviet.vn/vi/tim-viec-lam/quan-ly-kinh-doanh-vung.35C6BE86.html","Xem chi tiết")</f>
        <v/>
      </c>
      <c r="M14170" s="10" t="n"/>
    </row>
    <row r="14171">
      <c r="B14171" s="7" t="n">
        <v>14169</v>
      </c>
      <c r="C14171" t="inlineStr">
        <is>
          <t>Sinh viên thực tập kinh doanh (Sales B2B)/ Marketing</t>
        </is>
      </c>
      <c r="D14171" t="inlineStr">
        <is>
          <t>CÔNG TY TNHH INPAT (VIETNAM)</t>
        </is>
      </c>
      <c r="E14171" t="inlineStr">
        <is>
          <t>Lương:Cạnh tranh</t>
        </is>
      </c>
      <c r="F14171" t="inlineStr">
        <is>
          <t>Hồ Chí MinhBình Dương</t>
        </is>
      </c>
      <c r="G14171" t="inlineStr">
        <is>
          <t>31-05-2026</t>
        </is>
      </c>
      <c r="H14171" t="inlineStr">
        <is>
          <t>31/05/2026</t>
        </is>
      </c>
      <c r="I14171" t="inlineStr">
        <is>
          <t>17/03/2026</t>
        </is>
      </c>
      <c r="J14171" t="inlineStr">
        <is>
          <t>Tiếp thị / Marketing, Bán hàng / Kinh doanh, Dịch vụ khách hàng</t>
        </is>
      </c>
      <c r="K14171" t="inlineStr">
        <is>
          <t>N/A</t>
        </is>
      </c>
      <c r="L14171" s="8">
        <f>HYPERLINK("https://careerviet.vn/vi/tim-viec-lam/sinh-vien-thuc-tap-kinh-doanh-sales-b2b-marketing.35C6BE75.html","Xem chi tiết")</f>
        <v/>
      </c>
    </row>
    <row r="14172">
      <c r="B14172" s="9" t="n">
        <v>14170</v>
      </c>
      <c r="C14172" s="10" t="inlineStr">
        <is>
          <t>NHÂN VIÊN QUẦY CASINO - DEALER</t>
        </is>
      </c>
      <c r="D14172" s="10" t="inlineStr">
        <is>
          <t>Công Ty TNHH MTV Dịch Vụ Lữ Hành Saigontourist</t>
        </is>
      </c>
      <c r="E14172" s="10" t="inlineStr">
        <is>
          <t>Lương:18 Tr - 40 Tr VND</t>
        </is>
      </c>
      <c r="F14172" s="10" t="inlineStr">
        <is>
          <t>Quốc tế</t>
        </is>
      </c>
      <c r="G14172" s="10" t="inlineStr">
        <is>
          <t>11-03-2026</t>
        </is>
      </c>
      <c r="H14172" s="10" t="inlineStr">
        <is>
          <t>29/09/2025</t>
        </is>
      </c>
      <c r="I14172" s="10" t="inlineStr">
        <is>
          <t>17/03/2026</t>
        </is>
      </c>
      <c r="J14172" s="10" t="inlineStr">
        <is>
          <t>Nhà hàng / Khách sạn, Du lịch</t>
        </is>
      </c>
      <c r="K14172" s="10" t="inlineStr">
        <is>
          <t>1 - 2 Năm</t>
        </is>
      </c>
      <c r="L14172" s="11">
        <f>HYPERLINK("https://careerviet.vn/vi/tim-viec-lam/nhan-vien-quay-casino-dealer.35C54538.html","Xem chi tiết")</f>
        <v/>
      </c>
      <c r="M14172" s="10" t="n"/>
    </row>
    <row r="14173">
      <c r="B14173" s="7" t="n">
        <v>14171</v>
      </c>
      <c r="C14173" t="inlineStr">
        <is>
          <t>NHÂN VIÊN PHỤC VỤ - LÀM VIỆC TRÊN TÀU QUỐC TẾ COSTA</t>
        </is>
      </c>
      <c r="D14173" t="inlineStr">
        <is>
          <t>Công Ty TNHH MTV Dịch Vụ Lữ Hành Saigontourist</t>
        </is>
      </c>
      <c r="E14173" t="inlineStr">
        <is>
          <t>Lương:18 Tr - 40 Tr VND</t>
        </is>
      </c>
      <c r="F14173" t="inlineStr">
        <is>
          <t>Quốc tế</t>
        </is>
      </c>
      <c r="G14173" t="inlineStr">
        <is>
          <t>30-04-2026</t>
        </is>
      </c>
      <c r="H14173" t="inlineStr">
        <is>
          <t>30/04/2026</t>
        </is>
      </c>
      <c r="I14173" t="inlineStr">
        <is>
          <t>17/03/2026</t>
        </is>
      </c>
      <c r="J14173" t="inlineStr">
        <is>
          <t>Dịch vụ khách hàng, Nhà hàng / Khách sạn</t>
        </is>
      </c>
      <c r="K14173" t="inlineStr">
        <is>
          <t>Trên 1 Năm</t>
        </is>
      </c>
      <c r="L14173" s="8">
        <f>HYPERLINK("https://careerviet.vn/vi/tim-viec-lam/nhan-vien-phuc-vu-lam-viec-tren-tau-quoc-te-costa.35C66EEE.html","Xem chi tiết")</f>
        <v/>
      </c>
    </row>
    <row r="14174">
      <c r="B14174" s="9" t="n">
        <v>14172</v>
      </c>
      <c r="C14174" s="10" t="inlineStr">
        <is>
          <t>Account Payable Accountant</t>
        </is>
      </c>
      <c r="D14174" s="10" t="inlineStr">
        <is>
          <t>DIAG</t>
        </is>
      </c>
      <c r="E14174" s="10" t="inlineStr">
        <is>
          <t>Lương:18 Tr - 21 Tr VND</t>
        </is>
      </c>
      <c r="F14174" s="10" t="inlineStr">
        <is>
          <t>Hồ Chí Minh</t>
        </is>
      </c>
      <c r="G14174" s="10" t="inlineStr">
        <is>
          <t>30-04-2026</t>
        </is>
      </c>
      <c r="H14174" s="10" t="inlineStr">
        <is>
          <t>30/04/2026</t>
        </is>
      </c>
      <c r="I14174" s="10" t="inlineStr">
        <is>
          <t>17/03/2026</t>
        </is>
      </c>
      <c r="J14174" s="10" t="inlineStr">
        <is>
          <t>Kế toán / Kiểm toán, Tài chính / Đầu tư</t>
        </is>
      </c>
      <c r="K14174" s="10" t="inlineStr">
        <is>
          <t>2 - 5 Năm</t>
        </is>
      </c>
      <c r="L14174" s="11">
        <f>HYPERLINK("https://careerviet.vn/vi/tim-viec-lam/account-payable-accountant.35C6BE79.html","Xem chi tiết")</f>
        <v/>
      </c>
      <c r="M14174" s="10" t="n"/>
    </row>
    <row r="14175">
      <c r="B14175" s="7" t="n">
        <v>14173</v>
      </c>
      <c r="C14175" t="inlineStr">
        <is>
          <t>Chuyên viên C&amp;B (phúc lợi - tiền lương)</t>
        </is>
      </c>
      <c r="D14175" t="inlineStr">
        <is>
          <t>HMK Eyewear</t>
        </is>
      </c>
      <c r="E14175" t="inlineStr">
        <is>
          <t>Lương:Cạnh tranh</t>
        </is>
      </c>
      <c r="F14175" t="inlineStr">
        <is>
          <t>Hồ Chí Minh</t>
        </is>
      </c>
      <c r="G14175" t="inlineStr">
        <is>
          <t>31-03-2026</t>
        </is>
      </c>
      <c r="H14175" t="inlineStr">
        <is>
          <t>31/03/2026</t>
        </is>
      </c>
      <c r="I14175" t="inlineStr">
        <is>
          <t>17/03/2026</t>
        </is>
      </c>
      <c r="J14175" t="inlineStr">
        <is>
          <t>Bán lẻ / Bán sỉ, Dịch vụ khách hàng, Mới tốt nghiệp / Thực tập</t>
        </is>
      </c>
      <c r="K14175" t="inlineStr">
        <is>
          <t>1 - 2 Năm</t>
        </is>
      </c>
      <c r="L14175" s="8">
        <f>HYPERLINK("https://careerviet.vn/vi/tim-viec-lam/chuyen-vien-c-b-phuc-loi-tien-luong.35C6BE7A.html","Xem chi tiết")</f>
        <v/>
      </c>
    </row>
    <row r="14176">
      <c r="B14176" s="9" t="n">
        <v>14174</v>
      </c>
      <c r="C14176" s="10" t="inlineStr">
        <is>
          <t>NHÂN VIÊN PHỤ TRÁCH KHAI BÁO HẢI QUAN - CUSTOMS IMMIGR.</t>
        </is>
      </c>
      <c r="D14176" s="10" t="inlineStr">
        <is>
          <t>Công Ty TNHH MTV Dịch Vụ Lữ Hành Saigontourist</t>
        </is>
      </c>
      <c r="E14176" s="10" t="inlineStr">
        <is>
          <t>Lương:18 Tr - 40 Tr VND</t>
        </is>
      </c>
      <c r="F14176" s="10" t="inlineStr">
        <is>
          <t>Quốc tế</t>
        </is>
      </c>
      <c r="G14176" s="10" t="inlineStr">
        <is>
          <t>30-06-2026</t>
        </is>
      </c>
      <c r="H14176" s="10" t="inlineStr">
        <is>
          <t>30/06/2026</t>
        </is>
      </c>
      <c r="I14176" s="10" t="inlineStr">
        <is>
          <t>17/03/2026</t>
        </is>
      </c>
      <c r="J14176" s="10" t="inlineStr">
        <is>
          <t>Nhà hàng / Khách sạn, Du lịch</t>
        </is>
      </c>
      <c r="K14176" s="10" t="inlineStr">
        <is>
          <t>N/A</t>
        </is>
      </c>
      <c r="L14176" s="11">
        <f>HYPERLINK("https://careerviet.vn/vi/tim-viec-lam/nhan-vien-phu-trach-khai-bao-hai-quan-customs-immigr.35C6BE78.html","Xem chi tiết")</f>
        <v/>
      </c>
      <c r="M14176" s="10" t="n"/>
    </row>
    <row r="14177">
      <c r="B14177" s="7" t="n">
        <v>14175</v>
      </c>
      <c r="C14177" t="inlineStr">
        <is>
          <t>Giám sát An toàn / EHS Supervisor</t>
        </is>
      </c>
      <c r="D14177" t="inlineStr">
        <is>
          <t>CÔNG TY TNHH EMI ASIA VIỆT NAM</t>
        </is>
      </c>
      <c r="E14177" t="inlineStr">
        <is>
          <t>Lương:25 Tr - 45 Tr VND</t>
        </is>
      </c>
      <c r="F14177" t="inlineStr">
        <is>
          <t>Long AnHồ Chí Minh</t>
        </is>
      </c>
      <c r="G14177" t="inlineStr">
        <is>
          <t>10-04-2026</t>
        </is>
      </c>
      <c r="H14177" t="inlineStr">
        <is>
          <t>10/04/2026</t>
        </is>
      </c>
      <c r="I14177" t="inlineStr">
        <is>
          <t>17/03/2026</t>
        </is>
      </c>
      <c r="J14177" t="inlineStr">
        <is>
          <t>Nhân sự, An toàn lao động, Sản xuất / Vận hành sản xuất</t>
        </is>
      </c>
      <c r="K14177" t="inlineStr">
        <is>
          <t>7 - 10 Năm</t>
        </is>
      </c>
      <c r="L14177" s="8">
        <f>HYPERLINK("https://careerviet.vn/vi/tim-viec-lam/giam-sat-an-toan-ehs-supervisor.35C6BE2F.html","Xem chi tiết")</f>
        <v/>
      </c>
    </row>
    <row r="14178">
      <c r="B14178" s="9" t="n">
        <v>14176</v>
      </c>
      <c r="C14178" s="10" t="inlineStr">
        <is>
          <t>BUSINESS ANALYST</t>
        </is>
      </c>
      <c r="D14178" s="10" t="inlineStr">
        <is>
          <t>Tổng công ty Xây dựng số 1 – CTCP</t>
        </is>
      </c>
      <c r="E14178" s="10" t="inlineStr">
        <is>
          <t>Lương:Cạnh tranh</t>
        </is>
      </c>
      <c r="F14178" s="10" t="inlineStr">
        <is>
          <t>Hồ Chí Minh</t>
        </is>
      </c>
      <c r="G14178" s="10" t="inlineStr">
        <is>
          <t>09-04-2026</t>
        </is>
      </c>
      <c r="H14178" s="10" t="inlineStr">
        <is>
          <t>09/04/2026</t>
        </is>
      </c>
      <c r="I14178" s="10" t="inlineStr">
        <is>
          <t>17/03/2026</t>
        </is>
      </c>
      <c r="J14178" s="10" t="inlineStr">
        <is>
          <t>CNTT - Phần mềm</t>
        </is>
      </c>
      <c r="K14178" s="10" t="inlineStr">
        <is>
          <t>3 - 5 Năm</t>
        </is>
      </c>
      <c r="L14178" s="11">
        <f>HYPERLINK("https://careerviet.vn/vi/tim-viec-lam/business-analyst.35C6BE7E.html","Xem chi tiết")</f>
        <v/>
      </c>
      <c r="M14178" s="10" t="n"/>
    </row>
    <row r="14179">
      <c r="B14179" s="7" t="n">
        <v>14177</v>
      </c>
      <c r="C14179" t="inlineStr">
        <is>
          <t>CHUYÊN VIÊN BÁN HÀNG TRÊN TÀU DU LỊCH QUỐC TẾ COSTA</t>
        </is>
      </c>
      <c r="D14179" t="inlineStr">
        <is>
          <t>Công Ty TNHH MTV Dịch Vụ Lữ Hành Saigontourist</t>
        </is>
      </c>
      <c r="E14179" t="inlineStr">
        <is>
          <t>Lương:22 Tr - 40 Tr VND</t>
        </is>
      </c>
      <c r="F14179" t="inlineStr">
        <is>
          <t>Quốc tế</t>
        </is>
      </c>
      <c r="G14179" t="inlineStr">
        <is>
          <t>30-04-2026</t>
        </is>
      </c>
      <c r="H14179" t="inlineStr">
        <is>
          <t>30/04/2026</t>
        </is>
      </c>
      <c r="I14179" t="inlineStr">
        <is>
          <t>17/03/2026</t>
        </is>
      </c>
      <c r="J14179" t="inlineStr">
        <is>
          <t>Tiếp thị / Marketing, Dịch vụ khách hàng, Nhà hàng / Khách sạn</t>
        </is>
      </c>
      <c r="K14179" t="inlineStr">
        <is>
          <t>1 - 2 Năm</t>
        </is>
      </c>
      <c r="L14179" s="8">
        <f>HYPERLINK("https://careerviet.vn/vi/tim-viec-lam/chuyen-vien-ban-hang-tren-tau-du-lich-quoc-te-costa.35C66EEF.html","Xem chi tiết")</f>
        <v/>
      </c>
    </row>
    <row r="14180">
      <c r="B14180" s="9" t="n">
        <v>14178</v>
      </c>
      <c r="C14180" s="10" t="inlineStr">
        <is>
          <t>[TP. HCM] TRƯỞNG TRUNG TÂM</t>
        </is>
      </c>
      <c r="D14180" s="10" t="inlineStr">
        <is>
          <t>Công Ty Cổ Phần Vacxin Việt Nam</t>
        </is>
      </c>
      <c r="E14180" s="10" t="inlineStr">
        <is>
          <t>Lương:Cạnh tranh</t>
        </is>
      </c>
      <c r="F14180" s="10" t="inlineStr">
        <is>
          <t>Hồ Chí Minh</t>
        </is>
      </c>
      <c r="G14180" s="10" t="inlineStr">
        <is>
          <t>30-04-2026</t>
        </is>
      </c>
      <c r="H14180" s="10" t="inlineStr">
        <is>
          <t>30/04/2026</t>
        </is>
      </c>
      <c r="I14180" s="10" t="inlineStr">
        <is>
          <t>17/03/2026</t>
        </is>
      </c>
      <c r="J14180" s="10" t="inlineStr">
        <is>
          <t>Tiếp thị / Marketing, Bán lẻ / Bán sỉ, Bán hàng / Kinh doanh</t>
        </is>
      </c>
      <c r="K14180" s="10" t="inlineStr">
        <is>
          <t>3 - 5 Năm</t>
        </is>
      </c>
      <c r="L14180" s="11">
        <f>HYPERLINK("https://careerviet.vn/vi/tim-viec-lam/tp-hcm-truong-trung-tam.35C6BE91.html","Xem chi tiết")</f>
        <v/>
      </c>
      <c r="M14180" s="10" t="n"/>
    </row>
    <row r="14181">
      <c r="B14181" s="7" t="n">
        <v>14179</v>
      </c>
      <c r="C14181" t="inlineStr">
        <is>
          <t>NHÂN VIÊN PHỤ TRÁCH KHAI BÁO HẢI QUAN - CUSTOMS IMMIGR.</t>
        </is>
      </c>
      <c r="D14181" t="inlineStr">
        <is>
          <t>Công Ty TNHH MTV Dịch Vụ Lữ Hành Saigontourist</t>
        </is>
      </c>
      <c r="E14181" t="inlineStr">
        <is>
          <t>Lương:18 Tr - 40 Tr VND</t>
        </is>
      </c>
      <c r="F14181" t="inlineStr">
        <is>
          <t>Quốc tế</t>
        </is>
      </c>
      <c r="G14181" t="inlineStr">
        <is>
          <t>31-03-2026</t>
        </is>
      </c>
      <c r="H14181" t="inlineStr">
        <is>
          <t>31/03/2026</t>
        </is>
      </c>
      <c r="I14181" t="inlineStr">
        <is>
          <t>17/03/2026</t>
        </is>
      </c>
      <c r="J14181" t="inlineStr">
        <is>
          <t>Nhà hàng / Khách sạn, Du lịch</t>
        </is>
      </c>
      <c r="K14181" t="inlineStr">
        <is>
          <t>N/A</t>
        </is>
      </c>
      <c r="L14181" s="8">
        <f>HYPERLINK("https://careerviet.vn/vi/tim-viec-lam/nhan-vien-phu-trach-khai-bao-hai-quan-customs-immigr.35C66EE7.html","Xem chi tiết")</f>
        <v/>
      </c>
    </row>
    <row r="14182">
      <c r="B14182" s="9" t="n">
        <v>14180</v>
      </c>
      <c r="C14182" s="10" t="inlineStr">
        <is>
          <t>Nhân viên kinh doanh (Sales B2B)</t>
        </is>
      </c>
      <c r="D14182" s="10" t="inlineStr">
        <is>
          <t>CÔNG TY TNHH INPAT (VIETNAM)</t>
        </is>
      </c>
      <c r="E14182" s="10" t="inlineStr">
        <is>
          <t>Lương:12 Tr - 18 Tr VND</t>
        </is>
      </c>
      <c r="F14182" s="10" t="inlineStr">
        <is>
          <t>Bình Dương</t>
        </is>
      </c>
      <c r="G14182" s="10" t="inlineStr">
        <is>
          <t>31-03-2026</t>
        </is>
      </c>
      <c r="H14182" s="10" t="inlineStr">
        <is>
          <t>31/03/2026</t>
        </is>
      </c>
      <c r="I14182" s="10" t="inlineStr">
        <is>
          <t>17/03/2026</t>
        </is>
      </c>
      <c r="J14182" s="10" t="inlineStr">
        <is>
          <t>Hóa học</t>
        </is>
      </c>
      <c r="K14182" s="10" t="inlineStr">
        <is>
          <t>1 - 3 Năm</t>
        </is>
      </c>
      <c r="L14182" s="11">
        <f>HYPERLINK("https://careerviet.vn/vi/tim-viec-lam/nhan-vien-kinh-doanh-sales-b2b.35C68CD8.html","Xem chi tiết")</f>
        <v/>
      </c>
      <c r="M14182" s="10" t="n"/>
    </row>
    <row r="14183">
      <c r="B14183" s="7" t="n">
        <v>14181</v>
      </c>
      <c r="C14183" t="inlineStr">
        <is>
          <t>[Hà Nội] Nhân Viên Bán Hàng/ Nhân Viên Kinh Doanh/ Sales</t>
        </is>
      </c>
      <c r="D14183" t="inlineStr">
        <is>
          <t>Coca-Cola Beverages Vietnam</t>
        </is>
      </c>
      <c r="E14183" t="inlineStr">
        <is>
          <t>Lương:Cạnh tranh</t>
        </is>
      </c>
      <c r="F14183" t="inlineStr">
        <is>
          <t>Hà Nội</t>
        </is>
      </c>
      <c r="G14183" t="inlineStr">
        <is>
          <t>30-04-2026</t>
        </is>
      </c>
      <c r="H14183" t="inlineStr">
        <is>
          <t>30/04/2026</t>
        </is>
      </c>
      <c r="I14183" t="inlineStr">
        <is>
          <t>17/03/2026</t>
        </is>
      </c>
      <c r="J14183" t="inlineStr">
        <is>
          <t>Bán lẻ / Bán sỉ, Bán hàng / Kinh doanh</t>
        </is>
      </c>
      <c r="K14183" t="inlineStr">
        <is>
          <t>1 - 10 Năm</t>
        </is>
      </c>
      <c r="L14183" s="8">
        <f>HYPERLINK("https://careerviet.vn/vi/tim-viec-lam/ha-noi-nhan-vien-ban-hang-nhan-vien-kinh-doanh-sales.35C6BE80.html","Xem chi tiết")</f>
        <v/>
      </c>
    </row>
    <row r="14184">
      <c r="B14184" s="9" t="n">
        <v>14182</v>
      </c>
      <c r="C14184" s="10" t="inlineStr">
        <is>
          <t>Nhân viên kế toán - Bắc Giang</t>
        </is>
      </c>
      <c r="D14184" s="10" t="inlineStr">
        <is>
          <t>Công Ty Cổ Phần Thép Việt Xô Hà Nội</t>
        </is>
      </c>
      <c r="E14184" s="10" t="inlineStr">
        <is>
          <t>Lương:10 Tr - 12 Tr VND</t>
        </is>
      </c>
      <c r="F14184" s="10" t="inlineStr">
        <is>
          <t>Bắc Giang</t>
        </is>
      </c>
      <c r="G14184" s="10" t="inlineStr">
        <is>
          <t>15-04-2026</t>
        </is>
      </c>
      <c r="H14184" s="10" t="inlineStr">
        <is>
          <t>15/04/2026</t>
        </is>
      </c>
      <c r="I14184" s="10" t="inlineStr">
        <is>
          <t>17/03/2026</t>
        </is>
      </c>
      <c r="J14184" s="10" t="inlineStr">
        <is>
          <t>Vận chuyển / Giao nhận / Kho vận</t>
        </is>
      </c>
      <c r="K14184" s="10" t="inlineStr">
        <is>
          <t>2 - 3 Năm</t>
        </is>
      </c>
      <c r="L14184" s="11">
        <f>HYPERLINK("https://careerviet.vn/vi/tim-viec-lam/nhan-vien-ke-toan-bac-giang.35C6BE73.html","Xem chi tiết")</f>
        <v/>
      </c>
      <c r="M14184" s="10" t="n"/>
    </row>
    <row r="14185">
      <c r="B14185" s="7" t="n">
        <v>14183</v>
      </c>
      <c r="C14185" t="inlineStr">
        <is>
          <t>CUSTOMER SERVICE STAFF</t>
        </is>
      </c>
      <c r="D14185" t="inlineStr">
        <is>
          <t>Công Ty TNHH Ortholite Việt Nam</t>
        </is>
      </c>
      <c r="E14185" t="inlineStr">
        <is>
          <t>Lương:Cạnh tranh</t>
        </is>
      </c>
      <c r="F14185" t="inlineStr">
        <is>
          <t>Bình Dương</t>
        </is>
      </c>
      <c r="G14185" t="inlineStr">
        <is>
          <t>14-05-2026</t>
        </is>
      </c>
      <c r="H14185" t="inlineStr">
        <is>
          <t>14/05/2026</t>
        </is>
      </c>
      <c r="I14185" t="inlineStr">
        <is>
          <t>17/03/2026</t>
        </is>
      </c>
      <c r="J14185" t="inlineStr">
        <is>
          <t>Dệt may / Da giày / Thời trang</t>
        </is>
      </c>
      <c r="K14185" t="inlineStr">
        <is>
          <t>Chưa có kinh nghiệm</t>
        </is>
      </c>
      <c r="L14185" s="8">
        <f>HYPERLINK("https://careerviet.vn/vi/tim-viec-lam/customer-service-staff.35C6BE6F.html","Xem chi tiết")</f>
        <v/>
      </c>
    </row>
    <row r="14186">
      <c r="B14186" s="9" t="n">
        <v>14184</v>
      </c>
      <c r="C14186" s="10" t="inlineStr">
        <is>
          <t>Trưởng nhóm Quản lí dự án</t>
        </is>
      </c>
      <c r="D14186" s="10" t="inlineStr">
        <is>
          <t>HEXAGON - CÔNG TY CỔ PHẦN THIẾT KẾ LỤC GIÁC</t>
        </is>
      </c>
      <c r="E14186" s="10" t="inlineStr">
        <is>
          <t>Lương:15 Tr - 25 Tr VND</t>
        </is>
      </c>
      <c r="F14186" s="10" t="inlineStr">
        <is>
          <t>Hà Nội</t>
        </is>
      </c>
      <c r="G14186" s="10" t="inlineStr">
        <is>
          <t>11-04-2026</t>
        </is>
      </c>
      <c r="H14186" s="10" t="inlineStr">
        <is>
          <t>11/04/2026</t>
        </is>
      </c>
      <c r="I14186" s="10" t="inlineStr">
        <is>
          <t>17/03/2026</t>
        </is>
      </c>
      <c r="J14186" s="10" t="inlineStr">
        <is>
          <t>Bán hàng / Kinh doanh, Nội ngoại thất</t>
        </is>
      </c>
      <c r="K14186" s="10" t="inlineStr">
        <is>
          <t>3 - 4 Năm</t>
        </is>
      </c>
      <c r="L14186" s="11">
        <f>HYPERLINK("https://careerviet.vn/vi/tim-viec-lam/truong-nhom-quan-li-du-an.35C6BE69.html","Xem chi tiết")</f>
        <v/>
      </c>
      <c r="M14186" s="10" t="n"/>
    </row>
    <row r="14187">
      <c r="B14187" s="7" t="n">
        <v>14185</v>
      </c>
      <c r="C14187" t="inlineStr">
        <is>
          <t>Chuyên Viên Chính Sách - Công Lương</t>
        </is>
      </c>
      <c r="D14187" t="inlineStr">
        <is>
          <t>Tập Đoàn Karofi Holding</t>
        </is>
      </c>
      <c r="E14187" t="inlineStr">
        <is>
          <t>Lương:Cạnh tranh</t>
        </is>
      </c>
      <c r="F14187" t="inlineStr">
        <is>
          <t>Hà Nội</t>
        </is>
      </c>
      <c r="G14187" t="inlineStr">
        <is>
          <t>24-03-2026</t>
        </is>
      </c>
      <c r="H14187" t="inlineStr">
        <is>
          <t>24/03/2026</t>
        </is>
      </c>
      <c r="I14187" t="inlineStr">
        <is>
          <t>17/03/2026</t>
        </is>
      </c>
      <c r="J14187" t="inlineStr">
        <is>
          <t>Nhân sự</t>
        </is>
      </c>
      <c r="K14187" t="inlineStr">
        <is>
          <t>3 - 5 Năm</t>
        </is>
      </c>
      <c r="L14187" s="8">
        <f>HYPERLINK("https://careerviet.vn/vi/tim-viec-lam/chuyen-vien-chinh-sach-cong-luong.35C6BE7B.html","Xem chi tiết")</f>
        <v/>
      </c>
    </row>
    <row r="14188">
      <c r="B14188" s="9" t="n">
        <v>14186</v>
      </c>
      <c r="C14188" s="10" t="inlineStr">
        <is>
          <t>Kế toán thuế lương Upto 20tr</t>
        </is>
      </c>
      <c r="D14188" s="10" t="inlineStr">
        <is>
          <t>Công ty Cổ phần công nghệ T-Tech Việt Nam</t>
        </is>
      </c>
      <c r="E14188" s="10" t="inlineStr">
        <is>
          <t>Lương:18 Tr - 20 Tr VND</t>
        </is>
      </c>
      <c r="F14188" s="10" t="inlineStr">
        <is>
          <t>Hà Nội</t>
        </is>
      </c>
      <c r="G14188" s="10" t="inlineStr">
        <is>
          <t>10-04-2026</t>
        </is>
      </c>
      <c r="H14188" s="10" t="inlineStr">
        <is>
          <t>10/04/2026</t>
        </is>
      </c>
      <c r="I14188" s="10" t="inlineStr">
        <is>
          <t>17/03/2026</t>
        </is>
      </c>
      <c r="J14188" s="10" t="inlineStr">
        <is>
          <t>Kế toán / Kiểm toán, Tài chính / Đầu tư, Ngân hàng</t>
        </is>
      </c>
      <c r="K14188" s="10" t="inlineStr">
        <is>
          <t>Trên 3 Năm</t>
        </is>
      </c>
      <c r="L14188" s="11">
        <f>HYPERLINK("https://careerviet.vn/vi/tim-viec-lam/ke-toan-thue-luong-upto-20tr.35C6BE7C.html","Xem chi tiết")</f>
        <v/>
      </c>
      <c r="M14188" s="10" t="n"/>
    </row>
    <row r="14189">
      <c r="B14189" s="7" t="n">
        <v>14187</v>
      </c>
      <c r="C14189" t="inlineStr">
        <is>
          <t>Nhân viên kế toán - Vĩnh Phúc</t>
        </is>
      </c>
      <c r="D14189" t="inlineStr">
        <is>
          <t>Công Ty Cổ Phần Thép Việt Xô Hà Nội</t>
        </is>
      </c>
      <c r="E14189" t="inlineStr">
        <is>
          <t>Lương:10 Tr - 12 Tr VND</t>
        </is>
      </c>
      <c r="F14189" t="inlineStr">
        <is>
          <t>Vĩnh Phúc</t>
        </is>
      </c>
      <c r="G14189" t="inlineStr">
        <is>
          <t>16-04-2026</t>
        </is>
      </c>
      <c r="H14189" t="inlineStr">
        <is>
          <t>16/04/2026</t>
        </is>
      </c>
      <c r="I14189" t="inlineStr">
        <is>
          <t>17/03/2026</t>
        </is>
      </c>
      <c r="J14189" t="inlineStr">
        <is>
          <t>Vận chuyển / Giao nhận / Kho vận</t>
        </is>
      </c>
      <c r="K14189" t="inlineStr">
        <is>
          <t>2 - 3 Năm</t>
        </is>
      </c>
      <c r="L14189" s="8">
        <f>HYPERLINK("https://careerviet.vn/vi/tim-viec-lam/nhan-vien-ke-toan-vinh-phuc.35C6BE71.html","Xem chi tiết")</f>
        <v/>
      </c>
    </row>
    <row r="14190">
      <c r="B14190" s="9" t="n">
        <v>14188</v>
      </c>
      <c r="C14190" s="10" t="inlineStr">
        <is>
          <t>Nhân viên Kế toán (Chưa hoặc có kinh nghiệm từ 1 năm)</t>
        </is>
      </c>
      <c r="D14190" s="10" t="inlineStr">
        <is>
          <t>Đại học Quản lý và Công nghệ Thành phố Hồ Chí Minh</t>
        </is>
      </c>
      <c r="E14190" s="10" t="inlineStr">
        <is>
          <t>Lương:Cạnh tranh</t>
        </is>
      </c>
      <c r="F14190" s="10" t="inlineStr">
        <is>
          <t>Hồ Chí Minh</t>
        </is>
      </c>
      <c r="G14190" s="10" t="inlineStr">
        <is>
          <t>11-04-2026</t>
        </is>
      </c>
      <c r="H14190" s="10" t="inlineStr">
        <is>
          <t>11/04/2026</t>
        </is>
      </c>
      <c r="I14190" s="10" t="inlineStr">
        <is>
          <t>17/03/2026</t>
        </is>
      </c>
      <c r="J14190" s="10" t="inlineStr">
        <is>
          <t>Kế toán / Kiểm toán, Ngân hàng, Tài chính / Đầu tư</t>
        </is>
      </c>
      <c r="K14190" s="10" t="inlineStr">
        <is>
          <t>N/A</t>
        </is>
      </c>
      <c r="L14190" s="11">
        <f>HYPERLINK("https://careerviet.vn/vi/tim-viec-lam/nhan-vien-ke-toan-chua-hoac-co-kinh-nghiem-tu-1-nam.35C6BE56.html","Xem chi tiết")</f>
        <v/>
      </c>
      <c r="M14190" s="10" t="n"/>
    </row>
    <row r="14191">
      <c r="B14191" s="7" t="n">
        <v>14189</v>
      </c>
      <c r="C14191" t="inlineStr">
        <is>
          <t>Phó Giám đốc Chi nhánh PT Khách hàng cá nhân</t>
        </is>
      </c>
      <c r="D14191" t="inlineStr">
        <is>
          <t>Ngân Hàng TMCP Sài Gòn - Hà Nội ( SHB )</t>
        </is>
      </c>
      <c r="E14191" t="inlineStr">
        <is>
          <t>Lương:Cạnh tranh</t>
        </is>
      </c>
      <c r="F14191" t="inlineStr">
        <is>
          <t>Thanh HóaKiên GiangSơn La</t>
        </is>
      </c>
      <c r="G14191" t="inlineStr">
        <is>
          <t>08-04-2026</t>
        </is>
      </c>
      <c r="H14191" t="inlineStr">
        <is>
          <t>08/04/2026</t>
        </is>
      </c>
      <c r="I14191" t="inlineStr">
        <is>
          <t>17/03/2026</t>
        </is>
      </c>
      <c r="J14191" t="inlineStr">
        <is>
          <t>Quản lý điều hành, Ngân hàng, Tài chính / Đầu tư</t>
        </is>
      </c>
      <c r="K14191" t="inlineStr">
        <is>
          <t>Trên 6 Năm</t>
        </is>
      </c>
      <c r="L14191" s="8">
        <f>HYPERLINK("https://careerviet.vn/vi/tim-viec-lam/pho-giam-doc-chi-nhanh-pt-khach-hang-ca-nhan.35C6BE63.html","Xem chi tiết")</f>
        <v/>
      </c>
    </row>
    <row r="14192">
      <c r="B14192" s="9" t="n">
        <v>14190</v>
      </c>
      <c r="C14192" s="10" t="inlineStr">
        <is>
          <t>FOAMING PRODUCTION SUPERVISOR</t>
        </is>
      </c>
      <c r="D14192" s="10" t="inlineStr">
        <is>
          <t>Công Ty TNHH Ortholite Việt Nam</t>
        </is>
      </c>
      <c r="E14192" s="10" t="inlineStr">
        <is>
          <t>Lương:Cạnh tranh</t>
        </is>
      </c>
      <c r="F14192" s="10" t="inlineStr">
        <is>
          <t>Bình Dương</t>
        </is>
      </c>
      <c r="G14192" s="10" t="inlineStr">
        <is>
          <t>07-05-2026</t>
        </is>
      </c>
      <c r="H14192" s="10" t="inlineStr">
        <is>
          <t>07/05/2026</t>
        </is>
      </c>
      <c r="I14192" s="10" t="inlineStr">
        <is>
          <t>17/03/2026</t>
        </is>
      </c>
      <c r="J14192" s="10" t="inlineStr">
        <is>
          <t>Dệt may / Da giày / Thời trang</t>
        </is>
      </c>
      <c r="K14192" s="10" t="inlineStr">
        <is>
          <t>Chưa có kinh nghiệm</t>
        </is>
      </c>
      <c r="L14192" s="11">
        <f>HYPERLINK("https://careerviet.vn/vi/tim-viec-lam/foaming-production-supervisor.35C6BE68.html","Xem chi tiết")</f>
        <v/>
      </c>
      <c r="M14192" s="10" t="n"/>
    </row>
    <row r="14193">
      <c r="B14193" s="7" t="n">
        <v>14191</v>
      </c>
      <c r="C14193" t="inlineStr">
        <is>
          <t>Chuyên viên Giải pháp KHCN cao cấp</t>
        </is>
      </c>
      <c r="D14193" t="inlineStr">
        <is>
          <t>Ngân Hàng TMCP Sài Gòn - Hà Nội ( SHB )</t>
        </is>
      </c>
      <c r="E14193" t="inlineStr">
        <is>
          <t>Lương:Cạnh tranh</t>
        </is>
      </c>
      <c r="F14193" t="inlineStr">
        <is>
          <t>Hà Nội</t>
        </is>
      </c>
      <c r="G14193" t="inlineStr">
        <is>
          <t>08-04-2026</t>
        </is>
      </c>
      <c r="H14193" t="inlineStr">
        <is>
          <t>08/04/2026</t>
        </is>
      </c>
      <c r="I14193" t="inlineStr">
        <is>
          <t>17/03/2026</t>
        </is>
      </c>
      <c r="J14193" t="inlineStr">
        <is>
          <t>Ngân hàng</t>
        </is>
      </c>
      <c r="K14193" t="inlineStr">
        <is>
          <t>Trên 5 Năm</t>
        </is>
      </c>
      <c r="L14193" s="8">
        <f>HYPERLINK("https://careerviet.vn/vi/tim-viec-lam/chuyen-vien-giai-phap-khcn-cao-cap.35C6BE66.html","Xem chi tiết")</f>
        <v/>
      </c>
    </row>
    <row r="14194">
      <c r="B14194" s="9" t="n">
        <v>14192</v>
      </c>
      <c r="C14194" s="10" t="inlineStr">
        <is>
          <t>Chuyên viên Xử lý nợ</t>
        </is>
      </c>
      <c r="D14194" s="10" t="inlineStr">
        <is>
          <t>Ngân Hàng TMCP Sài Gòn - Hà Nội ( SHB )</t>
        </is>
      </c>
      <c r="E14194" s="10" t="inlineStr">
        <is>
          <t>Lương:Cạnh tranh</t>
        </is>
      </c>
      <c r="F14194" s="10" t="inlineStr">
        <is>
          <t>Long AnTây NinhBà Rịa - Vũng Tàu</t>
        </is>
      </c>
      <c r="G14194" s="10" t="inlineStr">
        <is>
          <t>08-04-2026</t>
        </is>
      </c>
      <c r="H14194" s="10" t="inlineStr">
        <is>
          <t>08/04/2026</t>
        </is>
      </c>
      <c r="I14194" s="10" t="inlineStr">
        <is>
          <t>17/03/2026</t>
        </is>
      </c>
      <c r="J14194" s="10" t="inlineStr">
        <is>
          <t>Ngân hàng</t>
        </is>
      </c>
      <c r="K14194" s="10" t="inlineStr">
        <is>
          <t>Trên 2 Năm</t>
        </is>
      </c>
      <c r="L14194" s="11">
        <f>HYPERLINK("https://careerviet.vn/vi/tim-viec-lam/chuyen-vien-xu-ly-no.35C6BE65.html","Xem chi tiết")</f>
        <v/>
      </c>
      <c r="M14194" s="10" t="n"/>
    </row>
    <row r="14195">
      <c r="B14195" s="7" t="n">
        <v>14193</v>
      </c>
      <c r="C14195" t="inlineStr">
        <is>
          <t>Phó Giám đốc Ban Pháp chế</t>
        </is>
      </c>
      <c r="D14195" t="inlineStr">
        <is>
          <t>Ngân Hàng TMCP Sài Gòn - Hà Nội ( SHB )</t>
        </is>
      </c>
      <c r="E14195" t="inlineStr">
        <is>
          <t>Lương:Cạnh tranh</t>
        </is>
      </c>
      <c r="F14195" t="inlineStr">
        <is>
          <t>Hà Nội</t>
        </is>
      </c>
      <c r="G14195" t="inlineStr">
        <is>
          <t>08-04-2026</t>
        </is>
      </c>
      <c r="H14195" t="inlineStr">
        <is>
          <t>08/04/2026</t>
        </is>
      </c>
      <c r="I14195" t="inlineStr">
        <is>
          <t>17/03/2026</t>
        </is>
      </c>
      <c r="J14195" t="inlineStr">
        <is>
          <t>Ngân hàng, Luật / Pháp lý</t>
        </is>
      </c>
      <c r="K14195" t="inlineStr">
        <is>
          <t>Trên 6 Năm</t>
        </is>
      </c>
      <c r="L14195" s="8">
        <f>HYPERLINK("https://careerviet.vn/vi/tim-viec-lam/pho-giam-doc-ban-phap-che.35C6BE62.html","Xem chi tiết")</f>
        <v/>
      </c>
    </row>
    <row r="14196">
      <c r="B14196" s="9" t="n">
        <v>14194</v>
      </c>
      <c r="C14196" s="10" t="inlineStr">
        <is>
          <t>Phó Giám đốc Khối Quản lý tín dụng</t>
        </is>
      </c>
      <c r="D14196" s="10" t="inlineStr">
        <is>
          <t>Ngân Hàng TMCP Sài Gòn - Hà Nội ( SHB )</t>
        </is>
      </c>
      <c r="E14196" s="10" t="inlineStr">
        <is>
          <t>Lương:Cạnh tranh</t>
        </is>
      </c>
      <c r="F14196" s="10" t="inlineStr">
        <is>
          <t>Hà Nội</t>
        </is>
      </c>
      <c r="G14196" s="10" t="inlineStr">
        <is>
          <t>08-04-2026</t>
        </is>
      </c>
      <c r="H14196" s="10" t="inlineStr">
        <is>
          <t>08/04/2026</t>
        </is>
      </c>
      <c r="I14196" s="10" t="inlineStr">
        <is>
          <t>17/03/2026</t>
        </is>
      </c>
      <c r="J14196" s="10" t="inlineStr">
        <is>
          <t>Quản lý điều hành, Ngân hàng, Tài chính / Đầu tư</t>
        </is>
      </c>
      <c r="K14196" s="10" t="inlineStr">
        <is>
          <t>Trên 10 Năm</t>
        </is>
      </c>
      <c r="L14196" s="11">
        <f>HYPERLINK("https://careerviet.vn/vi/tim-viec-lam/pho-giam-doc-khoi-quan-ly-tin-dung.35C6BE60.html","Xem chi tiết")</f>
        <v/>
      </c>
      <c r="M14196" s="10" t="n"/>
    </row>
    <row r="14197">
      <c r="B14197" s="7" t="n">
        <v>14195</v>
      </c>
      <c r="C14197" t="inlineStr">
        <is>
          <t>Kiểm soát viên Dịch vụ Khách hàng</t>
        </is>
      </c>
      <c r="D14197" t="inlineStr">
        <is>
          <t>Ngân Hàng TMCP Sài Gòn - Hà Nội ( SHB )</t>
        </is>
      </c>
      <c r="E14197" t="inlineStr">
        <is>
          <t>Lương:Cạnh tranh</t>
        </is>
      </c>
      <c r="F14197" t="inlineStr">
        <is>
          <t>Ninh BìnhQuảng NamLong An</t>
        </is>
      </c>
      <c r="G14197" t="inlineStr">
        <is>
          <t>08-04-2026</t>
        </is>
      </c>
      <c r="H14197" t="inlineStr">
        <is>
          <t>08/04/2026</t>
        </is>
      </c>
      <c r="I14197" t="inlineStr">
        <is>
          <t>17/03/2026</t>
        </is>
      </c>
      <c r="J14197" t="inlineStr">
        <is>
          <t>Kế toán / Kiểm toán, Ngân hàng, Tài chính / Đầu tư</t>
        </is>
      </c>
      <c r="K14197" t="inlineStr">
        <is>
          <t>Trên 2 Năm</t>
        </is>
      </c>
      <c r="L14197" s="8">
        <f>HYPERLINK("https://careerviet.vn/vi/tim-viec-lam/kiem-soat-vien-dich-vu-khach-hang.35C6BE5F.html","Xem chi tiết")</f>
        <v/>
      </c>
    </row>
    <row r="14198">
      <c r="B14198" s="9" t="n">
        <v>14196</v>
      </c>
      <c r="C14198" s="10" t="inlineStr">
        <is>
          <t>Chuyên viên Quan hệ Khách hàng Doanh nghiệp (Toàn quốc)</t>
        </is>
      </c>
      <c r="D14198" s="10" t="inlineStr">
        <is>
          <t>Ngân Hàng TMCP Sài Gòn - Hà Nội ( SHB )</t>
        </is>
      </c>
      <c r="E14198" s="10" t="inlineStr">
        <is>
          <t>Lương:Cạnh tranh</t>
        </is>
      </c>
      <c r="F14198" s="10" t="inlineStr">
        <is>
          <t>Hồ Chí MinhBến TreSơn La</t>
        </is>
      </c>
      <c r="G14198" s="10" t="inlineStr">
        <is>
          <t>08-04-2026</t>
        </is>
      </c>
      <c r="H14198" s="10" t="inlineStr">
        <is>
          <t>08/04/2026</t>
        </is>
      </c>
      <c r="I14198" s="10" t="inlineStr">
        <is>
          <t>17/03/2026</t>
        </is>
      </c>
      <c r="J14198" s="10" t="inlineStr">
        <is>
          <t>Ngân hàng, Bán hàng / Kinh doanh</t>
        </is>
      </c>
      <c r="K14198" s="10" t="inlineStr">
        <is>
          <t>N/A</t>
        </is>
      </c>
      <c r="L14198" s="11">
        <f>HYPERLINK("https://careerviet.vn/vi/tim-viec-lam/chuyen-vien-quan-he-khach-hang-doanh-nghiep-toan-quoc.35C6BE5D.html","Xem chi tiết")</f>
        <v/>
      </c>
      <c r="M14198" s="10" t="n"/>
    </row>
    <row r="14199">
      <c r="B14199" s="7" t="n">
        <v>14197</v>
      </c>
      <c r="C14199" t="inlineStr">
        <is>
          <t>GIÁM ĐỐC TÀI CHÍNH</t>
        </is>
      </c>
      <c r="D14199" t="inlineStr">
        <is>
          <t>Công ty cổ phần xây dựng và thương mại Tam Long</t>
        </is>
      </c>
      <c r="E14199" t="inlineStr">
        <is>
          <t>Lương:35 Tr - 50 Tr VND</t>
        </is>
      </c>
      <c r="F14199" t="inlineStr">
        <is>
          <t>Hải Phòng</t>
        </is>
      </c>
      <c r="G14199" t="inlineStr">
        <is>
          <t>09-04-2026</t>
        </is>
      </c>
      <c r="H14199" t="inlineStr">
        <is>
          <t>09/04/2026</t>
        </is>
      </c>
      <c r="I14199" t="inlineStr">
        <is>
          <t>17/03/2026</t>
        </is>
      </c>
      <c r="J14199" t="inlineStr">
        <is>
          <t>Kế toán / Kiểm toán</t>
        </is>
      </c>
      <c r="K14199" t="inlineStr">
        <is>
          <t>3 - 5 Năm</t>
        </is>
      </c>
      <c r="L14199" s="8">
        <f>HYPERLINK("https://careerviet.vn/vi/tim-viec-lam/giam-doc-tai-chinh.35C63906.html","Xem chi tiết")</f>
        <v/>
      </c>
    </row>
    <row r="14200">
      <c r="B14200" s="9" t="n">
        <v>14198</v>
      </c>
      <c r="C14200" s="10" t="inlineStr">
        <is>
          <t>Technical Optimization Specialist</t>
        </is>
      </c>
      <c r="D14200" s="10" t="inlineStr">
        <is>
          <t>Công Ty TNHH Maker Sixty Four</t>
        </is>
      </c>
      <c r="E14200" s="10" t="inlineStr">
        <is>
          <t>Lương:Cạnh tranh</t>
        </is>
      </c>
      <c r="F14200" s="10" t="inlineStr">
        <is>
          <t>Long An</t>
        </is>
      </c>
      <c r="G14200" s="10" t="inlineStr">
        <is>
          <t>09-04-2026</t>
        </is>
      </c>
      <c r="H14200" s="10" t="inlineStr">
        <is>
          <t>09/04/2026</t>
        </is>
      </c>
      <c r="I14200" s="10" t="inlineStr">
        <is>
          <t>17/03/2026</t>
        </is>
      </c>
      <c r="J14200" s="10" t="inlineStr">
        <is>
          <t>Sản xuất / Vận hành sản xuất, Đồ gỗ, Nội ngoại thất</t>
        </is>
      </c>
      <c r="K14200" s="10" t="inlineStr">
        <is>
          <t>5 - 8 Năm</t>
        </is>
      </c>
      <c r="L14200" s="11">
        <f>HYPERLINK("https://careerviet.vn/vi/tim-viec-lam/technical-optimization-specialist.35C650B4.html","Xem chi tiết")</f>
        <v/>
      </c>
      <c r="M14200" s="10" t="n"/>
    </row>
    <row r="14201">
      <c r="B14201" s="7" t="n">
        <v>14199</v>
      </c>
      <c r="C14201" t="inlineStr">
        <is>
          <t>Nhân viên thiết kế Shopdrawing</t>
        </is>
      </c>
      <c r="D14201" t="inlineStr">
        <is>
          <t>Công ty TNHH Nesta</t>
        </is>
      </c>
      <c r="E14201" t="inlineStr">
        <is>
          <t>Lương:12 Tr - 18 Tr VND</t>
        </is>
      </c>
      <c r="F14201" t="inlineStr">
        <is>
          <t>Hà NộiHưng Yên</t>
        </is>
      </c>
      <c r="G14201" t="inlineStr">
        <is>
          <t>09-04-2026</t>
        </is>
      </c>
      <c r="H14201" t="inlineStr">
        <is>
          <t>09/04/2026</t>
        </is>
      </c>
      <c r="I14201" t="inlineStr">
        <is>
          <t>17/03/2026</t>
        </is>
      </c>
      <c r="J14201" t="inlineStr">
        <is>
          <t>Mỹ thuật / Nghệ thuật / Thiết kế, Kiến trúc, Nội ngoại thất</t>
        </is>
      </c>
      <c r="K14201" t="inlineStr">
        <is>
          <t>2 - 3 Năm</t>
        </is>
      </c>
      <c r="L14201" s="8">
        <f>HYPERLINK("https://careerviet.vn/vi/tim-viec-lam/nhan-vien-thiet-ke-shopdrawing.35C650FD.html","Xem chi tiết")</f>
        <v/>
      </c>
    </row>
    <row r="14202">
      <c r="B14202" s="9" t="n">
        <v>14200</v>
      </c>
      <c r="C14202" s="10" t="inlineStr">
        <is>
          <t>126596 - Chemical Purchasing Supervisor - Water/Wastewater Treatment</t>
        </is>
      </c>
      <c r="D14202" s="10" t="inlineStr">
        <is>
          <t>RGF HR Agent Vietnam Co., LTD</t>
        </is>
      </c>
      <c r="E14202" s="10" t="inlineStr">
        <is>
          <t>Lương:22 Tr - 25 Tr VND</t>
        </is>
      </c>
      <c r="F14202" s="10" t="inlineStr">
        <is>
          <t>Hà Nội</t>
        </is>
      </c>
      <c r="G14202" s="10" t="inlineStr">
        <is>
          <t>09-04-2026</t>
        </is>
      </c>
      <c r="H14202" s="10" t="inlineStr">
        <is>
          <t>09/04/2026</t>
        </is>
      </c>
      <c r="I14202" s="10" t="inlineStr">
        <is>
          <t>17/03/2026</t>
        </is>
      </c>
      <c r="J14202" s="10" t="inlineStr">
        <is>
          <t>Hóa học, Thu mua / Vật tư</t>
        </is>
      </c>
      <c r="K14202" s="10" t="inlineStr">
        <is>
          <t>3 - 5 Năm</t>
        </is>
      </c>
      <c r="L14202" s="11">
        <f>HYPERLINK("https://careerviet.vn/vi/tim-viec-lam/126596-chemical-purchasing-supervisor-water-wastewater-treatment.35C651FB.html","Xem chi tiết")</f>
        <v/>
      </c>
      <c r="M14202" s="10" t="n"/>
    </row>
    <row r="14203">
      <c r="B14203" s="7" t="n">
        <v>14201</v>
      </c>
      <c r="C14203" t="inlineStr">
        <is>
          <t>SALE ADMIN</t>
        </is>
      </c>
      <c r="D14203" t="inlineStr">
        <is>
          <t>Công ty cổ phần xây dựng và thương mại Tam Long</t>
        </is>
      </c>
      <c r="E14203" t="inlineStr">
        <is>
          <t>Lương:12 Tr - 15 Tr VND</t>
        </is>
      </c>
      <c r="F14203" t="inlineStr">
        <is>
          <t>Hải Phòng</t>
        </is>
      </c>
      <c r="G14203" t="inlineStr">
        <is>
          <t>09-04-2026</t>
        </is>
      </c>
      <c r="H14203" t="inlineStr">
        <is>
          <t>09/04/2026</t>
        </is>
      </c>
      <c r="I14203" t="inlineStr">
        <is>
          <t>17/03/2026</t>
        </is>
      </c>
      <c r="J14203" t="inlineStr">
        <is>
          <t>Bán hàng / Kinh doanh</t>
        </is>
      </c>
      <c r="K14203" t="inlineStr">
        <is>
          <t>Chưa có kinh nghiệm</t>
        </is>
      </c>
      <c r="L14203" s="8">
        <f>HYPERLINK("https://careerviet.vn/vi/tim-viec-lam/sale-admin.35C64BA9.html","Xem chi tiết")</f>
        <v/>
      </c>
    </row>
    <row r="14204">
      <c r="B14204" s="9" t="n">
        <v>14202</v>
      </c>
      <c r="C14204" s="10" t="inlineStr">
        <is>
          <t>Trưởng phòng Thẩm định</t>
        </is>
      </c>
      <c r="D14204" s="10" t="inlineStr">
        <is>
          <t>Ngân Hàng TMCP Sài Gòn - Hà Nội ( SHB )</t>
        </is>
      </c>
      <c r="E14204" s="10" t="inlineStr">
        <is>
          <t>Lương:Cạnh tranh</t>
        </is>
      </c>
      <c r="F14204" s="10" t="inlineStr">
        <is>
          <t>Lâm ĐồngĐồng Nai</t>
        </is>
      </c>
      <c r="G14204" s="10" t="inlineStr">
        <is>
          <t>08-04-2026</t>
        </is>
      </c>
      <c r="H14204" s="10" t="inlineStr">
        <is>
          <t>08/04/2026</t>
        </is>
      </c>
      <c r="I14204" s="10" t="inlineStr">
        <is>
          <t>17/03/2026</t>
        </is>
      </c>
      <c r="J14204" s="10" t="inlineStr">
        <is>
          <t>Quản lý điều hành, Ngân hàng, Tài chính / Đầu tư</t>
        </is>
      </c>
      <c r="K14204" s="10" t="inlineStr">
        <is>
          <t>Trên 7 Năm</t>
        </is>
      </c>
      <c r="L14204" s="11">
        <f>HYPERLINK("https://careerviet.vn/vi/tim-viec-lam/truong-phong-tham-dinh.35C6BE5E.html","Xem chi tiết")</f>
        <v/>
      </c>
      <c r="M14204" s="10" t="n"/>
    </row>
    <row r="14205">
      <c r="B14205" s="7" t="n">
        <v>14203</v>
      </c>
      <c r="C14205" t="inlineStr">
        <is>
          <t>Facility Specialist</t>
        </is>
      </c>
      <c r="D14205" t="inlineStr">
        <is>
          <t>Starbucks Vietnam</t>
        </is>
      </c>
      <c r="E14205" t="inlineStr">
        <is>
          <t>Lương:Cạnh tranh</t>
        </is>
      </c>
      <c r="F14205" t="inlineStr">
        <is>
          <t>Hồ Chí Minh</t>
        </is>
      </c>
      <c r="G14205" t="inlineStr">
        <is>
          <t>14-04-2026</t>
        </is>
      </c>
      <c r="H14205" t="inlineStr">
        <is>
          <t>14/04/2026</t>
        </is>
      </c>
      <c r="I14205" t="inlineStr">
        <is>
          <t>17/03/2026</t>
        </is>
      </c>
      <c r="J14205" t="inlineStr">
        <is>
          <t>Điện / Điện tử / Điện lạnh / Điện công nghiệp, Bảo trì / Sửa chữa, Xây dựng</t>
        </is>
      </c>
      <c r="K14205" t="inlineStr">
        <is>
          <t>1 - 2 Năm</t>
        </is>
      </c>
      <c r="L14205" s="8">
        <f>HYPERLINK("https://careerviet.vn/vi/tim-viec-lam/facility-specialist.35C6BE51.html","Xem chi tiết")</f>
        <v/>
      </c>
    </row>
    <row r="14206">
      <c r="B14206" s="9" t="n">
        <v>14204</v>
      </c>
      <c r="C14206" s="10" t="inlineStr">
        <is>
          <t>Chuyên viên Mô hình Quản trị Rủi ro Tín dụng</t>
        </is>
      </c>
      <c r="D14206" s="10" t="inlineStr">
        <is>
          <t>Ngân Hàng TMCP Sài Gòn - Hà Nội ( SHB )</t>
        </is>
      </c>
      <c r="E14206" s="10" t="inlineStr">
        <is>
          <t>Lương:Cạnh tranh</t>
        </is>
      </c>
      <c r="F14206" s="10" t="inlineStr">
        <is>
          <t>Hà Nội</t>
        </is>
      </c>
      <c r="G14206" s="10" t="inlineStr">
        <is>
          <t>08-04-2026</t>
        </is>
      </c>
      <c r="H14206" s="10" t="inlineStr">
        <is>
          <t>08/04/2026</t>
        </is>
      </c>
      <c r="I14206" s="10" t="inlineStr">
        <is>
          <t>17/03/2026</t>
        </is>
      </c>
      <c r="J14206" s="10" t="inlineStr">
        <is>
          <t>Ngân hàng, Tài chính / Đầu tư</t>
        </is>
      </c>
      <c r="K14206" s="10" t="inlineStr">
        <is>
          <t>Trên 2 Năm</t>
        </is>
      </c>
      <c r="L14206" s="11">
        <f>HYPERLINK("https://careerviet.vn/vi/tim-viec-lam/chuyen-vien-mo-hinh-quan-tri-rui-ro-tin-dung.35C6BE5C.html","Xem chi tiết")</f>
        <v/>
      </c>
      <c r="M14206" s="10" t="n"/>
    </row>
    <row r="14207">
      <c r="B14207" s="7" t="n">
        <v>14205</v>
      </c>
      <c r="C14207" t="inlineStr">
        <is>
          <t>(Toàn Quốc) Trưởng Nhóm Xử Lý Nợ Thị Trường</t>
        </is>
      </c>
      <c r="D14207" t="inlineStr">
        <is>
          <t>FE CREDIT</t>
        </is>
      </c>
      <c r="E14207" t="inlineStr">
        <is>
          <t>Lương:15 Tr - 30 Tr VND</t>
        </is>
      </c>
      <c r="F14207" t="inlineStr">
        <is>
          <t>Hà NộiAn GiangCần Thơ</t>
        </is>
      </c>
      <c r="G14207" t="inlineStr">
        <is>
          <t>09-04-2026</t>
        </is>
      </c>
      <c r="H14207" t="inlineStr">
        <is>
          <t>09/04/2026</t>
        </is>
      </c>
      <c r="I14207" t="inlineStr">
        <is>
          <t>17/03/2026</t>
        </is>
      </c>
      <c r="J14207" t="inlineStr">
        <is>
          <t>Bán hàng / Kinh doanh, Ngân hàng, Tài chính / Đầu tư</t>
        </is>
      </c>
      <c r="K14207" t="inlineStr">
        <is>
          <t>1 - 2 Năm</t>
        </is>
      </c>
      <c r="L14207" s="8">
        <f>HYPERLINK("https://careerviet.vn/vi/tim-viec-lam/toan-quoc-truong-nhom-xu-ly-no-thi-truong.35C6515F.html","Xem chi tiết")</f>
        <v/>
      </c>
    </row>
    <row r="14208">
      <c r="B14208" s="9" t="n">
        <v>14206</v>
      </c>
      <c r="C14208" s="10" t="inlineStr">
        <is>
          <t>Nhân Viên Thiết Kế Sản Xuất Nội Thất</t>
        </is>
      </c>
      <c r="D14208" s="10" t="inlineStr">
        <is>
          <t>Công ty TNHH Nesta</t>
        </is>
      </c>
      <c r="E14208" s="10" t="inlineStr">
        <is>
          <t>Lương:10 Tr - 17 Tr VND</t>
        </is>
      </c>
      <c r="F14208" s="10" t="inlineStr">
        <is>
          <t>Hà NộiHưng Yên</t>
        </is>
      </c>
      <c r="G14208" s="10" t="inlineStr">
        <is>
          <t>09-04-2026</t>
        </is>
      </c>
      <c r="H14208" s="10" t="inlineStr">
        <is>
          <t>09/04/2026</t>
        </is>
      </c>
      <c r="I14208" s="10" t="inlineStr">
        <is>
          <t>17/03/2026</t>
        </is>
      </c>
      <c r="J14208" s="10" t="inlineStr">
        <is>
          <t>Mỹ thuật / Nghệ thuật / Thiết kế, Sản xuất / Vận hành sản xuất, Nội ngoại thất</t>
        </is>
      </c>
      <c r="K14208" s="10" t="inlineStr">
        <is>
          <t>1 - 3 Năm</t>
        </is>
      </c>
      <c r="L14208" s="11">
        <f>HYPERLINK("https://careerviet.vn/vi/tim-viec-lam/nhan-vien-thiet-ke-san-xuat-noi-that.35C65120.html","Xem chi tiết")</f>
        <v/>
      </c>
      <c r="M14208" s="10" t="n"/>
    </row>
    <row r="14209">
      <c r="B14209" s="7" t="n">
        <v>14207</v>
      </c>
      <c r="C14209" t="inlineStr">
        <is>
          <t>Nhân viên kỹ thuật vận hành máy</t>
        </is>
      </c>
      <c r="D14209" t="inlineStr">
        <is>
          <t>CÔNG TY CỔ PHẦN NHỰA TÁI CHẾ DUY TÂN</t>
        </is>
      </c>
      <c r="E14209" t="inlineStr">
        <is>
          <t>Lương:16 Tr - 17 Tr VND</t>
        </is>
      </c>
      <c r="F14209" t="inlineStr">
        <is>
          <t>Long An</t>
        </is>
      </c>
      <c r="G14209" t="inlineStr">
        <is>
          <t>09-04-2026</t>
        </is>
      </c>
      <c r="H14209" t="inlineStr">
        <is>
          <t>09/04/2026</t>
        </is>
      </c>
      <c r="I14209" t="inlineStr">
        <is>
          <t>17/03/2026</t>
        </is>
      </c>
      <c r="J14209" t="inlineStr">
        <is>
          <t>Cơ khí / Ô tô / Tự động hóa, Điện / Điện tử / Điện lạnh / Điện công nghiệp, Bảo trì / Sửa chữa</t>
        </is>
      </c>
      <c r="K14209" t="inlineStr">
        <is>
          <t>1 - 2 Năm</t>
        </is>
      </c>
      <c r="L14209" s="8">
        <f>HYPERLINK("https://careerviet.vn/vi/tim-viec-lam/nhan-vien-ky-thuat-van-hanh-may.35C650B5.html","Xem chi tiết")</f>
        <v/>
      </c>
    </row>
    <row r="14210">
      <c r="B14210" s="9" t="n">
        <v>14208</v>
      </c>
      <c r="C14210" s="10" t="inlineStr">
        <is>
          <t>Nhân Viên Điện Lạnh</t>
        </is>
      </c>
      <c r="D14210" s="10" t="inlineStr">
        <is>
          <t>Công Ty TNHH May Thêu Giày An Phước</t>
        </is>
      </c>
      <c r="E14210" s="10" t="inlineStr">
        <is>
          <t>Lương:Cạnh tranh</t>
        </is>
      </c>
      <c r="F14210" s="10" t="inlineStr">
        <is>
          <t>Hồ Chí Minh</t>
        </is>
      </c>
      <c r="G14210" s="10" t="inlineStr">
        <is>
          <t>09-04-2026</t>
        </is>
      </c>
      <c r="H14210" s="10" t="inlineStr">
        <is>
          <t>09/04/2026</t>
        </is>
      </c>
      <c r="I14210" s="10" t="inlineStr">
        <is>
          <t>17/03/2026</t>
        </is>
      </c>
      <c r="J14210" s="10" t="inlineStr">
        <is>
          <t>Điện / Điện tử / Điện lạnh / Điện công nghiệp, Bảo trì / Sửa chữa</t>
        </is>
      </c>
      <c r="K14210" s="10" t="inlineStr">
        <is>
          <t>2 - 5 Năm</t>
        </is>
      </c>
      <c r="L14210" s="11">
        <f>HYPERLINK("https://careerviet.vn/vi/tim-viec-lam/nhan-vien-dien-lanh.35C650EC.html","Xem chi tiết")</f>
        <v/>
      </c>
      <c r="M14210" s="10" t="n"/>
    </row>
    <row r="14211">
      <c r="B14211" s="7" t="n">
        <v>14209</v>
      </c>
      <c r="C14211" t="inlineStr">
        <is>
          <t>Chuyên viên kế toán thuế ( Yêu cầu 3 năm kinh nghiệm về thuế hoặc tương đương)</t>
        </is>
      </c>
      <c r="D14211" t="inlineStr">
        <is>
          <t>Công Ty TNHH XNK Cầu Nối Việt</t>
        </is>
      </c>
      <c r="E14211" t="inlineStr">
        <is>
          <t>Lương:14 Tr - 16 Tr VND</t>
        </is>
      </c>
      <c r="F14211" t="inlineStr">
        <is>
          <t>Hà Nội</t>
        </is>
      </c>
      <c r="G14211" t="inlineStr">
        <is>
          <t>09-04-2026</t>
        </is>
      </c>
      <c r="H14211" t="inlineStr">
        <is>
          <t>09/04/2026</t>
        </is>
      </c>
      <c r="I14211" t="inlineStr">
        <is>
          <t>17/03/2026</t>
        </is>
      </c>
      <c r="J14211" t="inlineStr">
        <is>
          <t>Kế toán / Kiểm toán</t>
        </is>
      </c>
      <c r="K14211" t="inlineStr">
        <is>
          <t>N/A</t>
        </is>
      </c>
      <c r="L14211" s="8">
        <f>HYPERLINK("https://careerviet.vn/vi/tim-viec-lam/chuyen-vien-ke-toan-thue-yeu-cau-3-nam-kinh-nghiem-ve-thue-hoac-tuong-duong.35C651E6.html","Xem chi tiết")</f>
        <v/>
      </c>
    </row>
    <row r="14212">
      <c r="B14212" s="9" t="n">
        <v>14210</v>
      </c>
      <c r="C14212" s="10" t="inlineStr">
        <is>
          <t>CVCC/Chuyên gia QLRR hoạt động (IT Risk)</t>
        </is>
      </c>
      <c r="D14212" s="10" t="inlineStr">
        <is>
          <t>Ngân Hàng TMCP Sài Gòn - Hà Nội ( SHB )</t>
        </is>
      </c>
      <c r="E14212" s="10" t="inlineStr">
        <is>
          <t>Lương:Cạnh tranh</t>
        </is>
      </c>
      <c r="F14212" s="10" t="inlineStr">
        <is>
          <t>Hà Nội</t>
        </is>
      </c>
      <c r="G14212" s="10" t="inlineStr">
        <is>
          <t>08-04-2026</t>
        </is>
      </c>
      <c r="H14212" s="10" t="inlineStr">
        <is>
          <t>08/04/2026</t>
        </is>
      </c>
      <c r="I14212" s="10" t="inlineStr">
        <is>
          <t>17/03/2026</t>
        </is>
      </c>
      <c r="J14212" s="10" t="inlineStr">
        <is>
          <t>Ngân hàng</t>
        </is>
      </c>
      <c r="K14212" s="10" t="inlineStr">
        <is>
          <t>Trên 3 Năm</t>
        </is>
      </c>
      <c r="L14212" s="11">
        <f>HYPERLINK("https://careerviet.vn/vi/tim-viec-lam/cvcc-chuyen-gia-qlrr-hoat-dong-it-risk.35C6BE61.html","Xem chi tiết")</f>
        <v/>
      </c>
      <c r="M14212" s="10" t="n"/>
    </row>
    <row r="14213">
      <c r="B14213" s="7" t="n">
        <v>14211</v>
      </c>
      <c r="C14213" t="inlineStr">
        <is>
          <t>Cộng Tác Viên Đào Tạo</t>
        </is>
      </c>
      <c r="D14213" t="inlineStr">
        <is>
          <t>Công ty Cổ Phần Giáo Dục German Link</t>
        </is>
      </c>
      <c r="E14213" t="inlineStr">
        <is>
          <t>Lương:7 Tr - 15 Tr VND</t>
        </is>
      </c>
      <c r="F14213" t="inlineStr">
        <is>
          <t>Hà Nội</t>
        </is>
      </c>
      <c r="G14213" t="inlineStr">
        <is>
          <t>09-04-2026</t>
        </is>
      </c>
      <c r="H14213" t="inlineStr">
        <is>
          <t>09/04/2026</t>
        </is>
      </c>
      <c r="I14213" t="inlineStr">
        <is>
          <t>17/03/2026</t>
        </is>
      </c>
      <c r="J14213" t="inlineStr">
        <is>
          <t>Giáo dục / Đào tạo</t>
        </is>
      </c>
      <c r="K14213" t="inlineStr">
        <is>
          <t>N/A</t>
        </is>
      </c>
      <c r="L14213" s="8">
        <f>HYPERLINK("https://careerviet.vn/vi/tim-viec-lam/cong-tac-vien-dao-tao.35C6511E.html","Xem chi tiết")</f>
        <v/>
      </c>
    </row>
    <row r="14214">
      <c r="B14214" s="9" t="n">
        <v>14212</v>
      </c>
      <c r="C14214" s="10" t="inlineStr">
        <is>
          <t>Trưởng ban Quản lý &amp; Phát triển Chuỗi cửa hàng MEMOS</t>
        </is>
      </c>
      <c r="D14214" s="10" t="inlineStr">
        <is>
          <t>Công ty Cổ phần Đầu tư Thương mại Kỹ thuật A&amp;T Việt Nam</t>
        </is>
      </c>
      <c r="E14214" s="10" t="inlineStr">
        <is>
          <t>Lương:Cạnh tranh</t>
        </is>
      </c>
      <c r="F14214" s="10" t="inlineStr">
        <is>
          <t>Hà Nội</t>
        </is>
      </c>
      <c r="G14214" s="10" t="inlineStr">
        <is>
          <t>09-04-2026</t>
        </is>
      </c>
      <c r="H14214" s="10" t="inlineStr">
        <is>
          <t>09/04/2026</t>
        </is>
      </c>
      <c r="I14214" s="10" t="inlineStr">
        <is>
          <t>17/03/2026</t>
        </is>
      </c>
      <c r="J14214" s="10" t="inlineStr">
        <is>
          <t>Kiến trúc, Xây dựng, Bất động sản</t>
        </is>
      </c>
      <c r="K14214" s="10" t="inlineStr">
        <is>
          <t>5 - 8 Năm</t>
        </is>
      </c>
      <c r="L14214" s="11">
        <f>HYPERLINK("https://careerviet.vn/vi/tim-viec-lam/truong-ban-quan-ly-phat-trien-chuoi-cua-hang-memos.35C6519B.html","Xem chi tiết")</f>
        <v/>
      </c>
      <c r="M14214" s="10" t="n"/>
    </row>
    <row r="14215">
      <c r="B14215" s="7" t="n">
        <v>14213</v>
      </c>
      <c r="C14215" t="inlineStr">
        <is>
          <t>Kế toán trưởng</t>
        </is>
      </c>
      <c r="D14215" t="inlineStr">
        <is>
          <t>CÔNG TY TNHH THƯƠNG MẠI VÀ DỊCH VỤ MINITI VIỆT NAM</t>
        </is>
      </c>
      <c r="E14215" t="inlineStr">
        <is>
          <t>Lương:35 Tr - 45 Tr VND</t>
        </is>
      </c>
      <c r="F14215" t="inlineStr">
        <is>
          <t>Hà Nội</t>
        </is>
      </c>
      <c r="G14215" t="inlineStr">
        <is>
          <t>09-04-2026</t>
        </is>
      </c>
      <c r="H14215" t="inlineStr">
        <is>
          <t>09/04/2026</t>
        </is>
      </c>
      <c r="I14215" t="inlineStr">
        <is>
          <t>17/03/2026</t>
        </is>
      </c>
      <c r="J14215" t="inlineStr">
        <is>
          <t>Hàng gia dụng / Chăm sóc cá nhân, Kế toán / Kiểm toán, Thu mua / Vật tư</t>
        </is>
      </c>
      <c r="K14215" t="inlineStr">
        <is>
          <t>Trên 5 Năm</t>
        </is>
      </c>
      <c r="L14215" s="8">
        <f>HYPERLINK("https://careerviet.vn/vi/tim-viec-lam/ke-toan-truong.35C65193.html","Xem chi tiết")</f>
        <v/>
      </c>
    </row>
    <row r="14216">
      <c r="B14216" s="9" t="n">
        <v>14214</v>
      </c>
      <c r="C14216" s="10" t="inlineStr">
        <is>
          <t>PHÓ PHÒNG QC HÀNG TRẮNG - ĐỒ GỖ NỘI THẤT - Urgent</t>
        </is>
      </c>
      <c r="D14216" s="10" t="inlineStr">
        <is>
          <t>Công Ty TNHH Xây Dựng và Nội Thất Cao Cấp Alliance</t>
        </is>
      </c>
      <c r="E14216" s="10" t="inlineStr">
        <is>
          <t>Lương:Cạnh tranh</t>
        </is>
      </c>
      <c r="F14216" s="10" t="inlineStr">
        <is>
          <t>Long An</t>
        </is>
      </c>
      <c r="G14216" s="10" t="inlineStr">
        <is>
          <t>09-04-2026</t>
        </is>
      </c>
      <c r="H14216" s="10" t="inlineStr">
        <is>
          <t>09/04/2026</t>
        </is>
      </c>
      <c r="I14216" s="10" t="inlineStr">
        <is>
          <t>17/03/2026</t>
        </is>
      </c>
      <c r="J14216" s="10" t="inlineStr">
        <is>
          <t>Đồ gỗ, Quản lý chất lượng (QA/QC), Nội ngoại thất</t>
        </is>
      </c>
      <c r="K14216" s="10" t="inlineStr">
        <is>
          <t>Chưa có kinh nghiệm</t>
        </is>
      </c>
      <c r="L14216" s="11">
        <f>HYPERLINK("https://careerviet.vn/vi/tim-viec-lam/pho-phong-qc-hang-trang-do-go-noi-that-urgent.35C650F5.html","Xem chi tiết")</f>
        <v/>
      </c>
      <c r="M14216" s="10" t="n"/>
    </row>
    <row r="14217">
      <c r="B14217" s="7" t="n">
        <v>14215</v>
      </c>
      <c r="C14217" t="inlineStr">
        <is>
          <t>Trưởng phòng truyền thông (Media)</t>
        </is>
      </c>
      <c r="D14217" t="inlineStr">
        <is>
          <t>CÔNG TY CỔ PHẦN GIẢI PHÁP CƠ KHÍ VNTECH</t>
        </is>
      </c>
      <c r="E14217" t="inlineStr">
        <is>
          <t>Lương:20 Tr - 30 Tr VND</t>
        </is>
      </c>
      <c r="F14217" t="inlineStr">
        <is>
          <t>Hà Nội</t>
        </is>
      </c>
      <c r="G14217" t="inlineStr">
        <is>
          <t>09-04-2026</t>
        </is>
      </c>
      <c r="H14217" t="inlineStr">
        <is>
          <t>09/04/2026</t>
        </is>
      </c>
      <c r="I14217" t="inlineStr">
        <is>
          <t>17/03/2026</t>
        </is>
      </c>
      <c r="J14217" t="inlineStr">
        <is>
          <t>Quảng cáo / Đối ngoại / Truyền Thông, Truyền hình / Báo chí / Biên tập, Tiếp thị / Marketing</t>
        </is>
      </c>
      <c r="K14217" t="inlineStr">
        <is>
          <t>Trên 5 Năm</t>
        </is>
      </c>
      <c r="L14217" s="8">
        <f>HYPERLINK("https://careerviet.vn/vi/tim-viec-lam/truong-phong-truyen-thong-media.35C65228.html","Xem chi tiết")</f>
        <v/>
      </c>
    </row>
    <row r="14218">
      <c r="B14218" s="9" t="n">
        <v>14216</v>
      </c>
      <c r="C14218" s="10" t="inlineStr">
        <is>
          <t>Chuyên viên tuyển dụng</t>
        </is>
      </c>
      <c r="D14218" s="10" t="inlineStr">
        <is>
          <t>Công ty TNHH Công nghệ Bất Động Sản REVER</t>
        </is>
      </c>
      <c r="E14218" s="10" t="inlineStr">
        <is>
          <t>Lương:10 Tr - 12 Tr VND</t>
        </is>
      </c>
      <c r="F14218" s="10" t="inlineStr">
        <is>
          <t>Hồ Chí Minh</t>
        </is>
      </c>
      <c r="G14218" s="10" t="inlineStr">
        <is>
          <t>09-04-2026</t>
        </is>
      </c>
      <c r="H14218" s="10" t="inlineStr">
        <is>
          <t>09/04/2026</t>
        </is>
      </c>
      <c r="I14218" s="10" t="inlineStr">
        <is>
          <t>17/03/2026</t>
        </is>
      </c>
      <c r="J14218" s="10" t="inlineStr">
        <is>
          <t>Hành chính / Thư ký, Bất động sản</t>
        </is>
      </c>
      <c r="K14218" s="10" t="inlineStr">
        <is>
          <t>1 - 2 Năm</t>
        </is>
      </c>
      <c r="L14218" s="11">
        <f>HYPERLINK("https://careerviet.vn/vi/tim-viec-lam/chuyen-vien-tuyen-dung.35C65226.html","Xem chi tiết")</f>
        <v/>
      </c>
      <c r="M14218" s="10" t="n"/>
    </row>
    <row r="14219">
      <c r="B14219" s="7" t="n">
        <v>14217</v>
      </c>
      <c r="C14219" t="inlineStr">
        <is>
          <t>NHÂN VIÊN VIÊN TUYỂN DỤNG (KHỐI SẢN XUẤT)</t>
        </is>
      </c>
      <c r="D14219" t="inlineStr">
        <is>
          <t>CÔNG TY CỔ PHẦN THÉP NAM KIM</t>
        </is>
      </c>
      <c r="E14219" t="inlineStr">
        <is>
          <t>Lương:Cạnh tranh</t>
        </is>
      </c>
      <c r="F14219" t="inlineStr">
        <is>
          <t>Bình Dương</t>
        </is>
      </c>
      <c r="G14219" t="inlineStr">
        <is>
          <t>09-04-2026</t>
        </is>
      </c>
      <c r="H14219" t="inlineStr">
        <is>
          <t>09/04/2026</t>
        </is>
      </c>
      <c r="I14219" t="inlineStr">
        <is>
          <t>17/03/2026</t>
        </is>
      </c>
      <c r="J14219" t="inlineStr">
        <is>
          <t>Hành chính / Thư ký, Nhân sự</t>
        </is>
      </c>
      <c r="K14219" t="inlineStr">
        <is>
          <t>1 - 3 Năm</t>
        </is>
      </c>
      <c r="L14219" s="8">
        <f>HYPERLINK("https://careerviet.vn/vi/tim-viec-lam/nhan-vien-vien-tuyen-dung-khoi-san-xuat.35C6512C.html","Xem chi tiết")</f>
        <v/>
      </c>
    </row>
    <row r="14220">
      <c r="B14220" s="9" t="n">
        <v>14218</v>
      </c>
      <c r="C14220" s="10" t="inlineStr">
        <is>
          <t>Trưởng phòng Tổ chức Phụ trách Cung ứng - Base Phan Thiết</t>
        </is>
      </c>
      <c r="D14220" s="10" t="inlineStr">
        <is>
          <t>Nova Service Group - Công ty Cổ phần Tập đoàn Nova Services</t>
        </is>
      </c>
      <c r="E14220" s="10" t="inlineStr">
        <is>
          <t>Lương:Cạnh tranh</t>
        </is>
      </c>
      <c r="F14220" s="10" t="inlineStr">
        <is>
          <t>Bình Thuận</t>
        </is>
      </c>
      <c r="G14220" s="10" t="inlineStr">
        <is>
          <t>09-04-2026</t>
        </is>
      </c>
      <c r="H14220" s="10" t="inlineStr">
        <is>
          <t>09/04/2026</t>
        </is>
      </c>
      <c r="I14220" s="10" t="inlineStr">
        <is>
          <t>17/03/2026</t>
        </is>
      </c>
      <c r="J14220" s="10" t="inlineStr">
        <is>
          <t>Nhà hàng / Khách sạn, Thu mua / Vật tư</t>
        </is>
      </c>
      <c r="K14220" s="10" t="inlineStr">
        <is>
          <t>3 - 5 Năm</t>
        </is>
      </c>
      <c r="L14220" s="11">
        <f>HYPERLINK("https://careerviet.vn/vi/tim-viec-lam/truong-phong-to-chuc-phu-trach-cung-ung-base-phan-thiet.35C651E3.html","Xem chi tiết")</f>
        <v/>
      </c>
      <c r="M14220" s="10" t="n"/>
    </row>
    <row r="14221">
      <c r="B14221" s="7" t="n">
        <v>14219</v>
      </c>
      <c r="C14221" t="inlineStr">
        <is>
          <t>Kiến trúc sư 2D</t>
        </is>
      </c>
      <c r="D14221" t="inlineStr">
        <is>
          <t>CÔNG TY CỔ PHẦN ABT HOMES</t>
        </is>
      </c>
      <c r="E14221" t="inlineStr">
        <is>
          <t>Lương:10 Tr - 30 Tr VND</t>
        </is>
      </c>
      <c r="F14221" t="inlineStr">
        <is>
          <t>Hà Nội</t>
        </is>
      </c>
      <c r="G14221" t="inlineStr">
        <is>
          <t>09-04-2026</t>
        </is>
      </c>
      <c r="H14221" t="inlineStr">
        <is>
          <t>09/04/2026</t>
        </is>
      </c>
      <c r="I14221" t="inlineStr">
        <is>
          <t>17/03/2026</t>
        </is>
      </c>
      <c r="J14221" t="inlineStr">
        <is>
          <t>Kiến trúc, Xây dựng, Nội ngoại thất</t>
        </is>
      </c>
      <c r="K14221" t="inlineStr">
        <is>
          <t>1 - 2 Năm</t>
        </is>
      </c>
      <c r="L14221" s="8">
        <f>HYPERLINK("https://careerviet.vn/vi/tim-viec-lam/kien-truc-su-2d.35C65207.html","Xem chi tiết")</f>
        <v/>
      </c>
    </row>
    <row r="14222">
      <c r="B14222" s="9" t="n">
        <v>14220</v>
      </c>
      <c r="C14222" s="10" t="inlineStr">
        <is>
          <t>Công Nhân Gia Công</t>
        </is>
      </c>
      <c r="D14222" s="10" t="inlineStr">
        <is>
          <t>CÔNG TY CỔ PHẦN THƯƠNG MẠI DỊCH VỤ XÂY DỰNG E&amp;C</t>
        </is>
      </c>
      <c r="E14222" s="10" t="inlineStr">
        <is>
          <t>Lương:6,5 Tr - 19 Tr VND</t>
        </is>
      </c>
      <c r="F14222" s="10" t="inlineStr">
        <is>
          <t>Hồ Chí Minh</t>
        </is>
      </c>
      <c r="G14222" s="10" t="inlineStr">
        <is>
          <t>09-04-2026</t>
        </is>
      </c>
      <c r="H14222" s="10" t="inlineStr">
        <is>
          <t>09/04/2026</t>
        </is>
      </c>
      <c r="I14222" s="10" t="inlineStr">
        <is>
          <t>17/03/2026</t>
        </is>
      </c>
      <c r="J14222" s="10" t="inlineStr">
        <is>
          <t>Lao động phổ thông, Sản xuất / Vận hành sản xuất, Ngành khác</t>
        </is>
      </c>
      <c r="K14222" s="10" t="inlineStr">
        <is>
          <t>Chưa có kinh nghiệm</t>
        </is>
      </c>
      <c r="L14222" s="11">
        <f>HYPERLINK("https://careerviet.vn/vi/tim-viec-lam/cong-nhan-gia-cong.35C651DB.html","Xem chi tiết")</f>
        <v/>
      </c>
      <c r="M14222" s="10" t="n"/>
    </row>
    <row r="14223">
      <c r="B14223" s="7" t="n">
        <v>14221</v>
      </c>
      <c r="C14223" t="inlineStr">
        <is>
          <t>Senior AI Engineer</t>
        </is>
      </c>
      <c r="D14223" t="inlineStr">
        <is>
          <t>CÔNG TY CỔ PHẦN CÔNG NGHỆ PREP</t>
        </is>
      </c>
      <c r="E14223" t="inlineStr">
        <is>
          <t>Lương:Lên đến 40 Tr VND</t>
        </is>
      </c>
      <c r="F14223" t="inlineStr">
        <is>
          <t>Hà Nội</t>
        </is>
      </c>
      <c r="G14223" t="inlineStr">
        <is>
          <t>09-04-2026</t>
        </is>
      </c>
      <c r="H14223" t="inlineStr">
        <is>
          <t>09/04/2026</t>
        </is>
      </c>
      <c r="I14223" t="inlineStr">
        <is>
          <t>17/03/2026</t>
        </is>
      </c>
      <c r="J14223" t="inlineStr">
        <is>
          <t>CNTT - Phần mềm</t>
        </is>
      </c>
      <c r="K14223" t="inlineStr">
        <is>
          <t>Trên 2 Năm</t>
        </is>
      </c>
      <c r="L14223" s="8">
        <f>HYPERLINK("https://careerviet.vn/vi/tim-viec-lam/senior-ai-engineer.35C651E7.html","Xem chi tiết")</f>
        <v/>
      </c>
    </row>
    <row r="14224">
      <c r="B14224" s="9" t="n">
        <v>14222</v>
      </c>
      <c r="C14224" s="10" t="inlineStr">
        <is>
          <t>NHÂN VIÊN VẬN HÀNH MÁY (Pleiku - Gia Lai)</t>
        </is>
      </c>
      <c r="D14224" s="10" t="inlineStr">
        <is>
          <t>Công ty cổ phần Nafoods Group</t>
        </is>
      </c>
      <c r="E14224" s="10" t="inlineStr">
        <is>
          <t>Lương:Cạnh tranh</t>
        </is>
      </c>
      <c r="F14224" s="10" t="inlineStr">
        <is>
          <t>Gia Lai</t>
        </is>
      </c>
      <c r="G14224" s="10" t="inlineStr">
        <is>
          <t>09-04-2026</t>
        </is>
      </c>
      <c r="H14224" s="10" t="inlineStr">
        <is>
          <t>09/04/2026</t>
        </is>
      </c>
      <c r="I14224" s="10" t="inlineStr">
        <is>
          <t>17/03/2026</t>
        </is>
      </c>
      <c r="J14224" s="10" t="inlineStr">
        <is>
          <t>Cơ khí / Ô tô / Tự động hóa, Điện / Điện tử / Điện lạnh / Điện công nghiệp</t>
        </is>
      </c>
      <c r="K14224" s="10" t="inlineStr">
        <is>
          <t>1 - 2 Năm</t>
        </is>
      </c>
      <c r="L14224" s="11">
        <f>HYPERLINK("https://careerviet.vn/vi/tim-viec-lam/nhan-vien-van-hanh-may-pleiku-gia-lai.35C65128.html","Xem chi tiết")</f>
        <v/>
      </c>
      <c r="M14224" s="10" t="n"/>
    </row>
    <row r="14225">
      <c r="B14225" s="7" t="n">
        <v>14223</v>
      </c>
      <c r="C14225" t="inlineStr">
        <is>
          <t>Recruitment Consultant</t>
        </is>
      </c>
      <c r="D14225" t="inlineStr">
        <is>
          <t>ShelbyGlobal Vietnam Company Limited</t>
        </is>
      </c>
      <c r="E14225" t="inlineStr">
        <is>
          <t>Lương:10 Tr - 15 Tr VND</t>
        </is>
      </c>
      <c r="F14225" t="inlineStr">
        <is>
          <t>Hồ Chí Minh</t>
        </is>
      </c>
      <c r="G14225" t="inlineStr">
        <is>
          <t>09-04-2026</t>
        </is>
      </c>
      <c r="H14225" t="inlineStr">
        <is>
          <t>09/04/2026</t>
        </is>
      </c>
      <c r="I14225" t="inlineStr">
        <is>
          <t>17/03/2026</t>
        </is>
      </c>
      <c r="J14225" t="inlineStr">
        <is>
          <t>Tư vấn</t>
        </is>
      </c>
      <c r="K14225" t="inlineStr">
        <is>
          <t>1 - 3 Năm</t>
        </is>
      </c>
      <c r="L14225" s="8">
        <f>HYPERLINK("https://careerviet.vn/vi/tim-viec-lam/recruitment-consultant.35C650AC.html","Xem chi tiết")</f>
        <v/>
      </c>
    </row>
    <row r="14226">
      <c r="B14226" s="9" t="n">
        <v>14224</v>
      </c>
      <c r="C14226" s="10" t="inlineStr">
        <is>
          <t>Nhân Viên Kinh Doanh</t>
        </is>
      </c>
      <c r="D14226" s="10" t="inlineStr">
        <is>
          <t>Công ty Cổ phần XNK Phụ tùng Ô Tô TDC</t>
        </is>
      </c>
      <c r="E14226" s="10" t="inlineStr">
        <is>
          <t>Lương:15 Tr - 25 Tr VND</t>
        </is>
      </c>
      <c r="F14226" s="10" t="inlineStr">
        <is>
          <t>Hà NộiHồ Chí Minh</t>
        </is>
      </c>
      <c r="G14226" s="10" t="inlineStr">
        <is>
          <t>09-04-2026</t>
        </is>
      </c>
      <c r="H14226" s="10" t="inlineStr">
        <is>
          <t>09/04/2026</t>
        </is>
      </c>
      <c r="I14226" s="10" t="inlineStr">
        <is>
          <t>17/03/2026</t>
        </is>
      </c>
      <c r="J14226" s="10" t="inlineStr">
        <is>
          <t>Cơ khí / Ô tô / Tự động hóa, Xuất nhập khẩu, Bán hàng / Kinh doanh</t>
        </is>
      </c>
      <c r="K14226" s="10" t="inlineStr">
        <is>
          <t>Trên 1 Năm</t>
        </is>
      </c>
      <c r="L14226" s="11">
        <f>HYPERLINK("https://careerviet.vn/vi/tim-viec-lam/nhan-vien-kinh-doanh.35C651D2.html","Xem chi tiết")</f>
        <v/>
      </c>
      <c r="M14226" s="10" t="n"/>
    </row>
    <row r="14227">
      <c r="B14227" s="7" t="n">
        <v>14225</v>
      </c>
      <c r="C14227" t="inlineStr">
        <is>
          <t>Nhân viên kinh doanh XNK (Sales Logistics)</t>
        </is>
      </c>
      <c r="D14227" t="inlineStr">
        <is>
          <t>CÔNG TY CỔ PHẦN XUẤT NHẬP KHẨU SAFACO</t>
        </is>
      </c>
      <c r="E14227" t="inlineStr">
        <is>
          <t>Lương:Lên đến 30 Tr VND</t>
        </is>
      </c>
      <c r="F14227" t="inlineStr">
        <is>
          <t>Hà Nội</t>
        </is>
      </c>
      <c r="G14227" t="inlineStr">
        <is>
          <t>09-04-2026</t>
        </is>
      </c>
      <c r="H14227" t="inlineStr">
        <is>
          <t>09/04/2026</t>
        </is>
      </c>
      <c r="I14227" t="inlineStr">
        <is>
          <t>17/03/2026</t>
        </is>
      </c>
      <c r="J14227" t="inlineStr">
        <is>
          <t>Bán hàng / Kinh doanh, Vận chuyển / Giao nhận / Kho vận, Thu mua / Vật tư</t>
        </is>
      </c>
      <c r="K14227" t="inlineStr">
        <is>
          <t>Trên 1 Năm</t>
        </is>
      </c>
      <c r="L14227" s="8">
        <f>HYPERLINK("https://careerviet.vn/vi/tim-viec-lam/nhan-vien-kinh-doanh-xnk-sales-logistics.35C65139.html","Xem chi tiết")</f>
        <v/>
      </c>
    </row>
    <row r="14228">
      <c r="B14228" s="9" t="n">
        <v>14226</v>
      </c>
      <c r="C14228" s="10" t="inlineStr">
        <is>
          <t>Hà Nội - Nhân viên chăm sóc khách hàng</t>
        </is>
      </c>
      <c r="D14228" s="10" t="inlineStr">
        <is>
          <t>CÔNG TY CỔ PHẦN  ITL LOGISTICS</t>
        </is>
      </c>
      <c r="E14228" s="10" t="inlineStr">
        <is>
          <t>Lương:Cạnh tranh</t>
        </is>
      </c>
      <c r="F14228" s="10" t="inlineStr">
        <is>
          <t>Hà Nội</t>
        </is>
      </c>
      <c r="G14228" s="10" t="inlineStr">
        <is>
          <t>09-04-2026</t>
        </is>
      </c>
      <c r="H14228" s="10" t="inlineStr">
        <is>
          <t>09/04/2026</t>
        </is>
      </c>
      <c r="I14228" s="10" t="inlineStr">
        <is>
          <t>17/03/2026</t>
        </is>
      </c>
      <c r="J14228" s="10" t="inlineStr">
        <is>
          <t>Vận chuyển / Giao nhận / Kho vận</t>
        </is>
      </c>
      <c r="K14228" s="10" t="inlineStr">
        <is>
          <t>Chưa có kinh nghiệm</t>
        </is>
      </c>
      <c r="L14228" s="11">
        <f>HYPERLINK("https://careerviet.vn/vi/tim-viec-lam/ha-noi-nhan-vien-cham-soc-khach-hang.35C65213.html","Xem chi tiết")</f>
        <v/>
      </c>
      <c r="M14228" s="10" t="n"/>
    </row>
    <row r="14229">
      <c r="B14229" s="7" t="n">
        <v>14227</v>
      </c>
      <c r="C14229" t="inlineStr">
        <is>
          <t>Trưởng nhóm thiết kế thời trang cao cấp (Tại Ngoại Giao Đoàn)</t>
        </is>
      </c>
      <c r="D14229" t="inlineStr">
        <is>
          <t>Công Ty TNHH XNK Cầu Nối Việt</t>
        </is>
      </c>
      <c r="E14229" t="inlineStr">
        <is>
          <t>Lương:18 Tr - 25 Tr VND</t>
        </is>
      </c>
      <c r="F14229" t="inlineStr">
        <is>
          <t>Hà Nội</t>
        </is>
      </c>
      <c r="G14229" t="inlineStr">
        <is>
          <t>09-04-2026</t>
        </is>
      </c>
      <c r="H14229" t="inlineStr">
        <is>
          <t>09/04/2026</t>
        </is>
      </c>
      <c r="I14229" t="inlineStr">
        <is>
          <t>17/03/2026</t>
        </is>
      </c>
      <c r="J14229" t="inlineStr">
        <is>
          <t>Mỹ thuật / Nghệ thuật / Thiết kế, Dệt may / Da giày / Thời trang</t>
        </is>
      </c>
      <c r="K14229" t="inlineStr">
        <is>
          <t>3 - 15 Năm</t>
        </is>
      </c>
      <c r="L14229" s="8">
        <f>HYPERLINK("https://careerviet.vn/vi/tim-viec-lam/truong-nhom-thiet-ke-thoi-trang-cao-cap-tai-ngoai-giao-doan.35C650FB.html","Xem chi tiết")</f>
        <v/>
      </c>
    </row>
    <row r="14230">
      <c r="B14230" s="9" t="n">
        <v>14228</v>
      </c>
      <c r="C14230" s="10" t="inlineStr">
        <is>
          <t>TRƯỞNG PHÒNG QA/QC</t>
        </is>
      </c>
      <c r="D14230" s="10" t="inlineStr">
        <is>
          <t>CÔNG TY CỔ PHẦN TẬP ĐOÀN CÔNG NGHỆ IDEA</t>
        </is>
      </c>
      <c r="E14230" s="10" t="inlineStr">
        <is>
          <t>Lương:25 Tr - 30 Tr VND</t>
        </is>
      </c>
      <c r="F14230" s="10" t="inlineStr">
        <is>
          <t>Hồ Chí Minh</t>
        </is>
      </c>
      <c r="G14230" s="10" t="inlineStr">
        <is>
          <t>09-04-2026</t>
        </is>
      </c>
      <c r="H14230" s="10" t="inlineStr">
        <is>
          <t>09/04/2026</t>
        </is>
      </c>
      <c r="I14230" s="10" t="inlineStr">
        <is>
          <t>17/03/2026</t>
        </is>
      </c>
      <c r="J14230" s="10" t="inlineStr">
        <is>
          <t>Cơ khí / Ô tô / Tự động hóa, Điện / Điện tử / Điện lạnh / Điện công nghiệp, Quản lý chất lượng (QA/QC)</t>
        </is>
      </c>
      <c r="K14230" s="10" t="inlineStr">
        <is>
          <t>Chưa có kinh nghiệm</t>
        </is>
      </c>
      <c r="L14230" s="11">
        <f>HYPERLINK("https://careerviet.vn/vi/tim-viec-lam/truong-phong-qa-qc.35C65125.html","Xem chi tiết")</f>
        <v/>
      </c>
      <c r="M14230" s="10" t="n"/>
    </row>
    <row r="14231">
      <c r="B14231" s="7" t="n">
        <v>14229</v>
      </c>
      <c r="C14231" t="inlineStr">
        <is>
          <t>Nhân viên hành chánh văn phòng xưởng</t>
        </is>
      </c>
      <c r="D14231" t="inlineStr">
        <is>
          <t>CÔNG TY CỔ PHẦN NHỰA TÁI CHẾ DUY TÂN</t>
        </is>
      </c>
      <c r="E14231" t="inlineStr">
        <is>
          <t>Lương:9 Tr - 11 Tr VND</t>
        </is>
      </c>
      <c r="F14231" t="inlineStr">
        <is>
          <t>Long An</t>
        </is>
      </c>
      <c r="G14231" t="inlineStr">
        <is>
          <t>09-04-2026</t>
        </is>
      </c>
      <c r="H14231" t="inlineStr">
        <is>
          <t>09/04/2026</t>
        </is>
      </c>
      <c r="I14231" t="inlineStr">
        <is>
          <t>17/03/2026</t>
        </is>
      </c>
      <c r="J14231" t="inlineStr">
        <is>
          <t>Hành chính / Thư ký, Nhân sự, Kế toán / Kiểm toán</t>
        </is>
      </c>
      <c r="K14231" t="inlineStr">
        <is>
          <t>1 - 2 Năm</t>
        </is>
      </c>
      <c r="L14231" s="8">
        <f>HYPERLINK("https://careerviet.vn/vi/tim-viec-lam/nhan-vien-hanh-chanh-van-phong-xuong.35C65102.html","Xem chi tiết")</f>
        <v/>
      </c>
    </row>
    <row r="14232">
      <c r="B14232" s="9" t="n">
        <v>14230</v>
      </c>
      <c r="C14232" s="10" t="inlineStr">
        <is>
          <t>QUẢN LÝ KINH DOANH TIẾNG TRUNG/ANH</t>
        </is>
      </c>
      <c r="D14232" s="10" t="inlineStr">
        <is>
          <t>Công Ty TNHH Deli Management Consulting</t>
        </is>
      </c>
      <c r="E14232" s="10" t="inlineStr">
        <is>
          <t>Lương:30 Tr - 50 Tr VND</t>
        </is>
      </c>
      <c r="F14232" s="10" t="inlineStr">
        <is>
          <t>Đồng Nai</t>
        </is>
      </c>
      <c r="G14232" s="10" t="inlineStr">
        <is>
          <t>09-04-2026</t>
        </is>
      </c>
      <c r="H14232" s="10" t="inlineStr">
        <is>
          <t>09/04/2026</t>
        </is>
      </c>
      <c r="I14232" s="10" t="inlineStr">
        <is>
          <t>17/03/2026</t>
        </is>
      </c>
      <c r="J14232" s="10" t="inlineStr">
        <is>
          <t>N/A</t>
        </is>
      </c>
      <c r="K14232" s="10" t="inlineStr">
        <is>
          <t>Trên 1 Năm</t>
        </is>
      </c>
      <c r="L14232" s="11">
        <f>HYPERLINK("https://careerviet.vn/vi/tim-viec-lam/quan-ly-kinh-doanh-tieng-trung-anh.35C651F7.html","Xem chi tiết")</f>
        <v/>
      </c>
      <c r="M14232" s="10" t="n"/>
    </row>
    <row r="14233">
      <c r="B14233" s="7" t="n">
        <v>14231</v>
      </c>
      <c r="C14233" t="inlineStr">
        <is>
          <t>Product Owner (E-payment/Banking)</t>
        </is>
      </c>
      <c r="D14233" t="inlineStr">
        <is>
          <t>Công ty Cố phần giải pháp công nghệ ITE</t>
        </is>
      </c>
      <c r="E14233" t="inlineStr">
        <is>
          <t>Lương:30 Tr - 40 Tr VND</t>
        </is>
      </c>
      <c r="F14233" t="inlineStr">
        <is>
          <t>Hà Nội</t>
        </is>
      </c>
      <c r="G14233" t="inlineStr">
        <is>
          <t>09-04-2026</t>
        </is>
      </c>
      <c r="H14233" t="inlineStr">
        <is>
          <t>09/04/2026</t>
        </is>
      </c>
      <c r="I14233" t="inlineStr">
        <is>
          <t>17/03/2026</t>
        </is>
      </c>
      <c r="J14233" t="inlineStr">
        <is>
          <t>Dịch vụ khách hàng, Tài chính / Đầu tư, CNTT - Phần mềm</t>
        </is>
      </c>
      <c r="K14233" t="inlineStr">
        <is>
          <t>Trên 3 Năm</t>
        </is>
      </c>
      <c r="L14233" s="8">
        <f>HYPERLINK("https://careerviet.vn/vi/tim-viec-lam/product-owner-e-payment-banking.35C65106.html","Xem chi tiết")</f>
        <v/>
      </c>
    </row>
    <row r="14234">
      <c r="B14234" s="9" t="n">
        <v>14232</v>
      </c>
      <c r="C14234" s="10" t="inlineStr">
        <is>
          <t>[MAG] Nhân viên Hành Chính - Văn thư lưu trữ</t>
        </is>
      </c>
      <c r="D14234" s="10" t="inlineStr">
        <is>
          <t>Công ty Cổ phần Tập đoàn Minh Anh</t>
        </is>
      </c>
      <c r="E14234" s="10" t="inlineStr">
        <is>
          <t>Lương:Cạnh tranh</t>
        </is>
      </c>
      <c r="F14234" s="10" t="inlineStr">
        <is>
          <t>Hà Nội</t>
        </is>
      </c>
      <c r="G14234" s="10" t="inlineStr">
        <is>
          <t>09-04-2026</t>
        </is>
      </c>
      <c r="H14234" s="10" t="inlineStr">
        <is>
          <t>09/04/2026</t>
        </is>
      </c>
      <c r="I14234" s="10" t="inlineStr">
        <is>
          <t>17/03/2026</t>
        </is>
      </c>
      <c r="J14234" s="10" t="inlineStr">
        <is>
          <t>Dịch vụ khách hàng, Luật / Pháp lý, Hành chính / Thư ký</t>
        </is>
      </c>
      <c r="K14234" s="10" t="inlineStr">
        <is>
          <t>2 - 5 Năm</t>
        </is>
      </c>
      <c r="L14234" s="11">
        <f>HYPERLINK("https://careerviet.vn/vi/tim-viec-lam/mag-nhan-vien-hanh-chinh-van-thu-luu-tru.35C651AD.html","Xem chi tiết")</f>
        <v/>
      </c>
      <c r="M14234" s="10" t="n"/>
    </row>
    <row r="14235">
      <c r="B14235" s="7" t="n">
        <v>14233</v>
      </c>
      <c r="C14235" t="inlineStr">
        <is>
          <t>Chuyên Viên Quản lý Thiết kế Kết cấu</t>
        </is>
      </c>
      <c r="D14235" t="inlineStr">
        <is>
          <t>CÔNG TY CỔ PHẦN TẬP ĐOÀN ONSEN FUJI</t>
        </is>
      </c>
      <c r="E14235" t="inlineStr">
        <is>
          <t>Lương:25 Tr - 30 Tr VND</t>
        </is>
      </c>
      <c r="F14235" t="inlineStr">
        <is>
          <t>Hà Nội</t>
        </is>
      </c>
      <c r="G14235" t="inlineStr">
        <is>
          <t>09-04-2026</t>
        </is>
      </c>
      <c r="H14235" t="inlineStr">
        <is>
          <t>09/04/2026</t>
        </is>
      </c>
      <c r="I14235" t="inlineStr">
        <is>
          <t>17/03/2026</t>
        </is>
      </c>
      <c r="J14235" t="inlineStr">
        <is>
          <t>Kiến trúc, Xây dựng, Bất động sản</t>
        </is>
      </c>
      <c r="K14235" t="inlineStr">
        <is>
          <t>3 - 5 Năm</t>
        </is>
      </c>
      <c r="L14235" s="8">
        <f>HYPERLINK("https://careerviet.vn/vi/tim-viec-lam/chuyen-vien-quan-ly-thiet-ke-ket-cau.35C6517E.html","Xem chi tiết")</f>
        <v/>
      </c>
    </row>
    <row r="14236">
      <c r="B14236" s="9" t="n">
        <v>14234</v>
      </c>
      <c r="C14236" s="10" t="inlineStr">
        <is>
          <t>Chuyên Viên Tuyển Dụng</t>
        </is>
      </c>
      <c r="D14236" s="10" t="inlineStr">
        <is>
          <t>Công Ty TNHH Datafa</t>
        </is>
      </c>
      <c r="E14236" s="10" t="inlineStr">
        <is>
          <t>Lương:Cạnh tranh</t>
        </is>
      </c>
      <c r="F14236" s="10" t="inlineStr">
        <is>
          <t>Bình Dương</t>
        </is>
      </c>
      <c r="G14236" s="10" t="inlineStr">
        <is>
          <t>09-04-2026</t>
        </is>
      </c>
      <c r="H14236" s="10" t="inlineStr">
        <is>
          <t>09/04/2026</t>
        </is>
      </c>
      <c r="I14236" s="10" t="inlineStr">
        <is>
          <t>17/03/2026</t>
        </is>
      </c>
      <c r="J14236" s="10" t="inlineStr">
        <is>
          <t>Hành chính / Thư ký, Nhân sự</t>
        </is>
      </c>
      <c r="K14236" s="10" t="inlineStr">
        <is>
          <t>1 - 3 Năm</t>
        </is>
      </c>
      <c r="L14236" s="11">
        <f>HYPERLINK("https://careerviet.vn/vi/tim-viec-lam/chuyen-vien-tuyen-dung.35C650F7.html","Xem chi tiết")</f>
        <v/>
      </c>
      <c r="M14236" s="10" t="n"/>
    </row>
    <row r="14237">
      <c r="B14237" s="7" t="n">
        <v>14235</v>
      </c>
      <c r="C14237" t="inlineStr">
        <is>
          <t>Nhân Viên Lễ Tân Khách Sạn Melinh Tower</t>
        </is>
      </c>
      <c r="D14237" t="inlineStr">
        <is>
          <t>CÔNG TY CỔ PHẦN EUROWINDOW HOLDING</t>
        </is>
      </c>
      <c r="E14237" t="inlineStr">
        <is>
          <t>Lương:9 Tr - 11 Tr VND</t>
        </is>
      </c>
      <c r="F14237" t="inlineStr">
        <is>
          <t>Hà Nội</t>
        </is>
      </c>
      <c r="G14237" t="inlineStr">
        <is>
          <t>09-04-2026</t>
        </is>
      </c>
      <c r="H14237" t="inlineStr">
        <is>
          <t>09/04/2026</t>
        </is>
      </c>
      <c r="I14237" t="inlineStr">
        <is>
          <t>17/03/2026</t>
        </is>
      </c>
      <c r="J14237" t="inlineStr">
        <is>
          <t>Dịch vụ khách hàng, Hành chính / Thư ký, Nhà hàng / Khách sạn</t>
        </is>
      </c>
      <c r="K14237" t="inlineStr">
        <is>
          <t>N/A</t>
        </is>
      </c>
      <c r="L14237" s="8">
        <f>HYPERLINK("https://careerviet.vn/vi/tim-viec-lam/nhan-vien-le-tan-khach-san-melinh-tower.35C650E5.html","Xem chi tiết")</f>
        <v/>
      </c>
    </row>
    <row r="14238">
      <c r="B14238" s="9" t="n">
        <v>14236</v>
      </c>
      <c r="C14238" s="10" t="inlineStr">
        <is>
          <t>Nhân viên Giám sát xe buýt</t>
        </is>
      </c>
      <c r="D14238" s="10" t="inlineStr">
        <is>
          <t>CÔNG TY CỔ PHẦN GIÁO DỤC MAYA</t>
        </is>
      </c>
      <c r="E14238" s="10" t="inlineStr">
        <is>
          <t>Lương:Cạnh tranh</t>
        </is>
      </c>
      <c r="F14238" s="10" t="inlineStr">
        <is>
          <t>Hà Nội</t>
        </is>
      </c>
      <c r="G14238" s="10" t="inlineStr">
        <is>
          <t>09-04-2026</t>
        </is>
      </c>
      <c r="H14238" s="10" t="inlineStr">
        <is>
          <t>09/04/2026</t>
        </is>
      </c>
      <c r="I14238" s="10" t="inlineStr">
        <is>
          <t>17/03/2026</t>
        </is>
      </c>
      <c r="J14238" s="10" t="inlineStr">
        <is>
          <t>Lao động phổ thông, Hành chính / Thư ký, Giáo dục / Đào tạo</t>
        </is>
      </c>
      <c r="K14238" s="10" t="inlineStr">
        <is>
          <t>1 - 2 Năm</t>
        </is>
      </c>
      <c r="L14238" s="11">
        <f>HYPERLINK("https://careerviet.vn/vi/tim-viec-lam/nhan-vien-giam-sat-xe-buyt.35C651C5.html","Xem chi tiết")</f>
        <v/>
      </c>
      <c r="M14238" s="10" t="n"/>
    </row>
    <row r="14239">
      <c r="B14239" s="7" t="n">
        <v>14237</v>
      </c>
      <c r="C14239" t="inlineStr">
        <is>
          <t>[PHENIKAA UNI] Tuyển dụng Giảng viên Trợ giảng - Khoa Kỹ thuật Ô tô và Năng lượng</t>
        </is>
      </c>
      <c r="D14239" t="inlineStr">
        <is>
          <t>ĐẠI HỌC PHENIKAA</t>
        </is>
      </c>
      <c r="E14239" t="inlineStr">
        <is>
          <t>Lương:Cạnh tranh</t>
        </is>
      </c>
      <c r="F14239" t="inlineStr">
        <is>
          <t>Hà Nội</t>
        </is>
      </c>
      <c r="G14239" t="inlineStr">
        <is>
          <t>09-04-2026</t>
        </is>
      </c>
      <c r="H14239" t="inlineStr">
        <is>
          <t>09/04/2026</t>
        </is>
      </c>
      <c r="I14239" t="inlineStr">
        <is>
          <t>17/03/2026</t>
        </is>
      </c>
      <c r="J14239" t="inlineStr">
        <is>
          <t>Giáo dục / Đào tạo</t>
        </is>
      </c>
      <c r="K14239" t="inlineStr">
        <is>
          <t>1 - 2 Năm</t>
        </is>
      </c>
      <c r="L14239" s="8">
        <f>HYPERLINK("https://careerviet.vn/vi/tim-viec-lam/phenikaa-uni-tuyen-dung-giang-vien-tro-giang-khoa-ky-thuat-o-to-va-nang-luong.35C6518D.html","Xem chi tiết")</f>
        <v/>
      </c>
    </row>
    <row r="14240">
      <c r="B14240" s="9" t="n">
        <v>14238</v>
      </c>
      <c r="C14240" s="10" t="inlineStr">
        <is>
          <t>Nhân Viên Sales Admin - Tính Hoa Hồng Dealer</t>
        </is>
      </c>
      <c r="D14240" s="10" t="inlineStr">
        <is>
          <t>Công Ty Tài Chính TNHH Một Thành Viên Quốc Tế Việt Nam JACCS</t>
        </is>
      </c>
      <c r="E14240" s="10" t="inlineStr">
        <is>
          <t>Lương:8 Tr - 9 Tr VND</t>
        </is>
      </c>
      <c r="F14240" s="10" t="inlineStr">
        <is>
          <t>Hồ Chí Minh</t>
        </is>
      </c>
      <c r="G14240" s="10" t="inlineStr">
        <is>
          <t>09-04-2026</t>
        </is>
      </c>
      <c r="H14240" s="10" t="inlineStr">
        <is>
          <t>09/04/2026</t>
        </is>
      </c>
      <c r="I14240" s="10" t="inlineStr">
        <is>
          <t>17/03/2026</t>
        </is>
      </c>
      <c r="J14240" s="10" t="inlineStr">
        <is>
          <t>Bán hàng / Kinh doanh, Ngân hàng, Tài chính / Đầu tư</t>
        </is>
      </c>
      <c r="K14240" s="10" t="inlineStr">
        <is>
          <t>1 - 2 Năm</t>
        </is>
      </c>
      <c r="L14240" s="11">
        <f>HYPERLINK("https://careerviet.vn/vi/tim-viec-lam/nhan-vien-sales-admin-tinh-hoa-hong-dealer.35C6514F.html","Xem chi tiết")</f>
        <v/>
      </c>
      <c r="M14240" s="10" t="n"/>
    </row>
    <row r="14241">
      <c r="B14241" s="7" t="n">
        <v>14239</v>
      </c>
      <c r="C14241" t="inlineStr">
        <is>
          <t>Chuyên viên tư vấn da liễu - Hà Nội</t>
        </is>
      </c>
      <c r="D14241" t="inlineStr">
        <is>
          <t>PPP Laser Clinic Viet Nam</t>
        </is>
      </c>
      <c r="E14241" t="inlineStr">
        <is>
          <t>Lương:10 Tr - 20 Tr VND</t>
        </is>
      </c>
      <c r="F14241" t="inlineStr">
        <is>
          <t>Hà Nội</t>
        </is>
      </c>
      <c r="G14241" t="inlineStr">
        <is>
          <t>09-04-2026</t>
        </is>
      </c>
      <c r="H14241" t="inlineStr">
        <is>
          <t>09/04/2026</t>
        </is>
      </c>
      <c r="I14241" t="inlineStr">
        <is>
          <t>17/03/2026</t>
        </is>
      </c>
      <c r="J14241" t="inlineStr">
        <is>
          <t>Bán hàng / Kinh doanh, Y tế / Chăm sóc sức khỏe / Thẩm mỹ / Làm đẹp, Tư vấn</t>
        </is>
      </c>
      <c r="K14241" t="inlineStr">
        <is>
          <t>1 - 2 Năm</t>
        </is>
      </c>
      <c r="L14241" s="8">
        <f>HYPERLINK("https://careerviet.vn/vi/tim-viec-lam/chuyen-vien-tu-van-da-lieu-ha-noi.35C65167.html","Xem chi tiết")</f>
        <v/>
      </c>
    </row>
    <row r="14242">
      <c r="B14242" s="9" t="n">
        <v>14240</v>
      </c>
      <c r="C14242" s="10" t="inlineStr">
        <is>
          <t>Nhân viên Nghiên cứu và Phát triển Sản phẩm (R&amp;D)</t>
        </is>
      </c>
      <c r="D14242" s="10" t="inlineStr">
        <is>
          <t>Công Ty Cổ Phần Trang</t>
        </is>
      </c>
      <c r="E14242" s="10" t="inlineStr">
        <is>
          <t>Lương:Cạnh tranh</t>
        </is>
      </c>
      <c r="F14242" s="10" t="inlineStr">
        <is>
          <t>Hồ Chí Minh</t>
        </is>
      </c>
      <c r="G14242" s="10" t="inlineStr">
        <is>
          <t>09-04-2026</t>
        </is>
      </c>
      <c r="H14242" s="10" t="inlineStr">
        <is>
          <t>09/04/2026</t>
        </is>
      </c>
      <c r="I14242" s="10" t="inlineStr">
        <is>
          <t>17/03/2026</t>
        </is>
      </c>
      <c r="J14242" s="10" t="inlineStr">
        <is>
          <t>Thực phẩm &amp; Đồ uống</t>
        </is>
      </c>
      <c r="K14242" s="10" t="inlineStr">
        <is>
          <t>1 - 3 Năm</t>
        </is>
      </c>
      <c r="L14242" s="11">
        <f>HYPERLINK("https://careerviet.vn/vi/tim-viec-lam/nhan-vien-nghien-cuu-va-phat-trien-san-pham-r-d.35C65206.html","Xem chi tiết")</f>
        <v/>
      </c>
      <c r="M14242" s="10" t="n"/>
    </row>
    <row r="14243">
      <c r="B14243" s="7" t="n">
        <v>14241</v>
      </c>
      <c r="C14243" t="inlineStr">
        <is>
          <t>MARKETING EXECUTIVE</t>
        </is>
      </c>
      <c r="D14243" t="inlineStr">
        <is>
          <t>CÔNG TY CỔ PHẦN AGENTA2Z</t>
        </is>
      </c>
      <c r="E14243" t="inlineStr">
        <is>
          <t>Lương:10 Tr - 12 Tr VND</t>
        </is>
      </c>
      <c r="F14243" t="inlineStr">
        <is>
          <t>Hồ Chí Minh</t>
        </is>
      </c>
      <c r="G14243" t="inlineStr">
        <is>
          <t>08-04-2026</t>
        </is>
      </c>
      <c r="H14243" t="inlineStr">
        <is>
          <t>08/04/2026</t>
        </is>
      </c>
      <c r="I14243" t="inlineStr">
        <is>
          <t>17/03/2026</t>
        </is>
      </c>
      <c r="J14243" t="inlineStr">
        <is>
          <t>Tiếp thị / Marketing, Y tế / Chăm sóc sức khỏe / Thẩm mỹ / Làm đẹp</t>
        </is>
      </c>
      <c r="K14243" t="inlineStr">
        <is>
          <t>1 - 3 Năm</t>
        </is>
      </c>
      <c r="L14243" s="8">
        <f>HYPERLINK("https://careerviet.vn/vi/tim-viec-lam/marketing-executive.35C65070.html","Xem chi tiết")</f>
        <v/>
      </c>
    </row>
    <row r="14244">
      <c r="B14244" s="9" t="n">
        <v>14242</v>
      </c>
      <c r="C14244" s="10" t="inlineStr">
        <is>
          <t>TRƯỞNG CA SẢN XUẤT (Pleiku - Gia Lai)</t>
        </is>
      </c>
      <c r="D14244" s="10" t="inlineStr">
        <is>
          <t>Công ty cổ phần Nafoods Group</t>
        </is>
      </c>
      <c r="E14244" s="10" t="inlineStr">
        <is>
          <t>Lương:Cạnh tranh</t>
        </is>
      </c>
      <c r="F14244" s="10" t="inlineStr">
        <is>
          <t>Gia Lai</t>
        </is>
      </c>
      <c r="G14244" s="10" t="inlineStr">
        <is>
          <t>09-04-2026</t>
        </is>
      </c>
      <c r="H14244" s="10" t="inlineStr">
        <is>
          <t>09/04/2026</t>
        </is>
      </c>
      <c r="I14244" s="10" t="inlineStr">
        <is>
          <t>17/03/2026</t>
        </is>
      </c>
      <c r="J14244" s="10" t="inlineStr">
        <is>
          <t>Quản lý điều hành, Sản xuất / Vận hành sản xuất</t>
        </is>
      </c>
      <c r="K14244" s="10" t="inlineStr">
        <is>
          <t>1 - 2 Năm</t>
        </is>
      </c>
      <c r="L14244" s="11">
        <f>HYPERLINK("https://careerviet.vn/vi/tim-viec-lam/truong-ca-san-xuat-pleiku-gia-lai.35C651EE.html","Xem chi tiết")</f>
        <v/>
      </c>
      <c r="M14244" s="10" t="n"/>
    </row>
    <row r="14245">
      <c r="B14245" s="7" t="n">
        <v>14243</v>
      </c>
      <c r="C14245" t="inlineStr">
        <is>
          <t>IT Operations Intern</t>
        </is>
      </c>
      <c r="D14245" t="inlineStr">
        <is>
          <t>Công Ty TNHH Maker Sixty Four</t>
        </is>
      </c>
      <c r="E14245" t="inlineStr">
        <is>
          <t>Lương:Cạnh tranh</t>
        </is>
      </c>
      <c r="F14245" t="inlineStr">
        <is>
          <t>Long An</t>
        </is>
      </c>
      <c r="G14245" t="inlineStr">
        <is>
          <t>09-04-2026</t>
        </is>
      </c>
      <c r="H14245" t="inlineStr">
        <is>
          <t>09/04/2026</t>
        </is>
      </c>
      <c r="I14245" t="inlineStr">
        <is>
          <t>17/03/2026</t>
        </is>
      </c>
      <c r="J14245" t="inlineStr">
        <is>
          <t>CNTT - Phần cứng / Mạng, Sản xuất / Vận hành sản xuất</t>
        </is>
      </c>
      <c r="K14245" t="inlineStr">
        <is>
          <t>N/A</t>
        </is>
      </c>
      <c r="L14245" s="8">
        <f>HYPERLINK("https://careerviet.vn/vi/tim-viec-lam/it-operations-intern.35C650AB.html","Xem chi tiết")</f>
        <v/>
      </c>
    </row>
    <row r="14246">
      <c r="B14246" s="9" t="n">
        <v>14244</v>
      </c>
      <c r="C14246" s="10" t="inlineStr">
        <is>
          <t>Nhân Viên Lái Xe</t>
        </is>
      </c>
      <c r="D14246" s="10" t="inlineStr">
        <is>
          <t>CÔNG TY CỔ PHẦN PHÁT TRIỂN BẤT ĐỘNG SẢN VĂN PHÚ</t>
        </is>
      </c>
      <c r="E14246" s="10" t="inlineStr">
        <is>
          <t>Lương:Cạnh tranh</t>
        </is>
      </c>
      <c r="F14246" s="10" t="inlineStr">
        <is>
          <t>Hà Nội</t>
        </is>
      </c>
      <c r="G14246" s="10" t="inlineStr">
        <is>
          <t>09-04-2026</t>
        </is>
      </c>
      <c r="H14246" s="10" t="inlineStr">
        <is>
          <t>09/04/2026</t>
        </is>
      </c>
      <c r="I14246" s="10" t="inlineStr">
        <is>
          <t>17/03/2026</t>
        </is>
      </c>
      <c r="J14246" s="10" t="inlineStr">
        <is>
          <t>Bất động sản, Nhân sự</t>
        </is>
      </c>
      <c r="K14246" s="10" t="inlineStr">
        <is>
          <t>1 - 2 Năm</t>
        </is>
      </c>
      <c r="L14246" s="11">
        <f>HYPERLINK("https://careerviet.vn/vi/tim-viec-lam/nhan-vien-lai-xe.35C65104.html","Xem chi tiết")</f>
        <v/>
      </c>
      <c r="M14246" s="10" t="n"/>
    </row>
    <row r="14247">
      <c r="B14247" s="7" t="n">
        <v>14245</v>
      </c>
      <c r="C14247" t="inlineStr">
        <is>
          <t>Trưởng Phòng Kinh Doanh - [BAC A BANK - Chi nhánh Đồng Tháp]</t>
        </is>
      </c>
      <c r="D14247" t="inlineStr">
        <is>
          <t>Ngân Hàng Thương mại cổ phần Bắc Á- BAC A BANK</t>
        </is>
      </c>
      <c r="E14247" t="inlineStr">
        <is>
          <t>Lương:Cạnh tranh</t>
        </is>
      </c>
      <c r="F14247" t="inlineStr">
        <is>
          <t>Đồng Tháp</t>
        </is>
      </c>
      <c r="G14247" t="inlineStr">
        <is>
          <t>09-04-2026</t>
        </is>
      </c>
      <c r="H14247" t="inlineStr">
        <is>
          <t>09/04/2026</t>
        </is>
      </c>
      <c r="I14247" t="inlineStr">
        <is>
          <t>17/03/2026</t>
        </is>
      </c>
      <c r="J14247" t="inlineStr">
        <is>
          <t>Bán hàng / Kinh doanh, Ngân hàng, Quản lý điều hành</t>
        </is>
      </c>
      <c r="K14247" t="inlineStr">
        <is>
          <t>5 - 7 Năm</t>
        </is>
      </c>
      <c r="L14247" s="8">
        <f>HYPERLINK("https://careerviet.vn/vi/tim-viec-lam/truong-phong-kinh-doanh-bac-a-bank-chi-nhanh-dong-thap.35C6520F.html","Xem chi tiết")</f>
        <v/>
      </c>
    </row>
    <row r="14248">
      <c r="B14248" s="9" t="n">
        <v>14246</v>
      </c>
      <c r="C14248" s="10" t="inlineStr">
        <is>
          <t>Phó Giám đốc Chi nhánh phụ trách Kinh doanh - CN Buôn Ma Thuột</t>
        </is>
      </c>
      <c r="D14248" s="10" t="inlineStr">
        <is>
          <t>Ngân hàng TMCP Việt Á – VietABank</t>
        </is>
      </c>
      <c r="E14248" s="10" t="inlineStr">
        <is>
          <t>Lương:Cạnh tranh</t>
        </is>
      </c>
      <c r="F14248" s="10" t="inlineStr">
        <is>
          <t>Dak Lak</t>
        </is>
      </c>
      <c r="G14248" s="10" t="inlineStr">
        <is>
          <t>09-04-2026</t>
        </is>
      </c>
      <c r="H14248" s="10" t="inlineStr">
        <is>
          <t>09/04/2026</t>
        </is>
      </c>
      <c r="I14248" s="10" t="inlineStr">
        <is>
          <t>17/03/2026</t>
        </is>
      </c>
      <c r="J14248" s="10" t="inlineStr">
        <is>
          <t>Ngân hàng, Tài chính / Đầu tư</t>
        </is>
      </c>
      <c r="K14248" s="10" t="inlineStr">
        <is>
          <t>5 - 6 Năm</t>
        </is>
      </c>
      <c r="L14248" s="11">
        <f>HYPERLINK("https://careerviet.vn/vi/tim-viec-lam/pho-giam-doc-chi-nhanh-phu-trach-kinh-doanh-cn-buon-ma-thuot.35C6508D.html","Xem chi tiết")</f>
        <v/>
      </c>
      <c r="M14248" s="10" t="n"/>
    </row>
    <row r="14249">
      <c r="B14249" s="7" t="n">
        <v>14247</v>
      </c>
      <c r="C14249" t="inlineStr">
        <is>
          <t>Trưởng phòng kinh doanh Bất động sản</t>
        </is>
      </c>
      <c r="D14249" t="inlineStr">
        <is>
          <t>Công ty TNHH Công nghệ Bất Động Sản REVER</t>
        </is>
      </c>
      <c r="E14249" t="inlineStr">
        <is>
          <t>Lương:Cạnh tranh</t>
        </is>
      </c>
      <c r="F14249" t="inlineStr">
        <is>
          <t>Hồ Chí Minh</t>
        </is>
      </c>
      <c r="G14249" t="inlineStr">
        <is>
          <t>09-04-2026</t>
        </is>
      </c>
      <c r="H14249" t="inlineStr">
        <is>
          <t>09/04/2026</t>
        </is>
      </c>
      <c r="I14249" t="inlineStr">
        <is>
          <t>17/03/2026</t>
        </is>
      </c>
      <c r="J14249" t="inlineStr">
        <is>
          <t>Bán hàng / Kinh doanh, Bất động sản</t>
        </is>
      </c>
      <c r="K14249" t="inlineStr">
        <is>
          <t>1 - 2 Năm</t>
        </is>
      </c>
      <c r="L14249" s="8">
        <f>HYPERLINK("https://careerviet.vn/vi/tim-viec-lam/truong-phong-kinh-doanh-bat-dong-san.35C6522D.html","Xem chi tiết")</f>
        <v/>
      </c>
    </row>
    <row r="14250">
      <c r="B14250" s="9" t="n">
        <v>14248</v>
      </c>
      <c r="C14250" s="10" t="inlineStr">
        <is>
          <t>Chuyên viên Quan hệ Khách hàng Cá nhân (Toàn quốc)</t>
        </is>
      </c>
      <c r="D14250" s="10" t="inlineStr">
        <is>
          <t>Ngân Hàng TMCP Sài Gòn - Hà Nội ( SHB )</t>
        </is>
      </c>
      <c r="E14250" s="10" t="inlineStr">
        <is>
          <t>Lương:Cạnh tranh</t>
        </is>
      </c>
      <c r="F14250" s="10" t="inlineStr">
        <is>
          <t>Thanh HóaVĩnh PhúcQuảng Ngãi</t>
        </is>
      </c>
      <c r="G14250" s="10" t="inlineStr">
        <is>
          <t>08-04-2026</t>
        </is>
      </c>
      <c r="H14250" s="10" t="inlineStr">
        <is>
          <t>08/04/2026</t>
        </is>
      </c>
      <c r="I14250" s="10" t="inlineStr">
        <is>
          <t>17/03/2026</t>
        </is>
      </c>
      <c r="J14250" s="10" t="inlineStr">
        <is>
          <t>Ngân hàng, Bán hàng / Kinh doanh</t>
        </is>
      </c>
      <c r="K14250" s="10" t="inlineStr">
        <is>
          <t>N/A</t>
        </is>
      </c>
      <c r="L14250" s="11">
        <f>HYPERLINK("https://careerviet.vn/vi/tim-viec-lam/chuyen-vien-quan-he-khach-hang-ca-nhan-toan-quoc.35C6BE5A.html","Xem chi tiết")</f>
        <v/>
      </c>
      <c r="M14250" s="10" t="n"/>
    </row>
    <row r="14251">
      <c r="B14251" s="7" t="n">
        <v>14249</v>
      </c>
      <c r="C14251" t="inlineStr">
        <is>
          <t>AI Engineer</t>
        </is>
      </c>
      <c r="D14251" t="inlineStr">
        <is>
          <t>Ngân Hàng TMCP Sài Gòn - Hà Nội ( SHB )</t>
        </is>
      </c>
      <c r="E14251" t="inlineStr">
        <is>
          <t>Lương:Cạnh tranh</t>
        </is>
      </c>
      <c r="F14251" t="inlineStr">
        <is>
          <t>Hà Nội</t>
        </is>
      </c>
      <c r="G14251" t="inlineStr">
        <is>
          <t>08-04-2026</t>
        </is>
      </c>
      <c r="H14251" t="inlineStr">
        <is>
          <t>08/04/2026</t>
        </is>
      </c>
      <c r="I14251" t="inlineStr">
        <is>
          <t>17/03/2026</t>
        </is>
      </c>
      <c r="J14251" t="inlineStr">
        <is>
          <t>Ngân hàng</t>
        </is>
      </c>
      <c r="K14251" t="inlineStr">
        <is>
          <t>Trên 2 Năm</t>
        </is>
      </c>
      <c r="L14251" s="8">
        <f>HYPERLINK("https://careerviet.vn/vi/tim-viec-lam/ai-engineer.35C6BE59.html","Xem chi tiết")</f>
        <v/>
      </c>
    </row>
    <row r="14252">
      <c r="B14252" s="9" t="n">
        <v>14250</v>
      </c>
      <c r="C14252" s="10" t="inlineStr">
        <is>
          <t>CVCC Quản lý Trải nghiệm khách hàng - Khối Vận hành</t>
        </is>
      </c>
      <c r="D14252" s="10" t="inlineStr">
        <is>
          <t>Ngân Hàng TMCP Sài Gòn - Hà Nội ( SHB )</t>
        </is>
      </c>
      <c r="E14252" s="10" t="inlineStr">
        <is>
          <t>Lương:Cạnh tranh</t>
        </is>
      </c>
      <c r="F14252" s="10" t="inlineStr">
        <is>
          <t>Hà Nội</t>
        </is>
      </c>
      <c r="G14252" s="10" t="inlineStr">
        <is>
          <t>08-04-2026</t>
        </is>
      </c>
      <c r="H14252" s="10" t="inlineStr">
        <is>
          <t>08/04/2026</t>
        </is>
      </c>
      <c r="I14252" s="10" t="inlineStr">
        <is>
          <t>17/03/2026</t>
        </is>
      </c>
      <c r="J14252" s="10" t="inlineStr">
        <is>
          <t>Ngân hàng</t>
        </is>
      </c>
      <c r="K14252" s="10" t="inlineStr">
        <is>
          <t>Trên 2 Năm</t>
        </is>
      </c>
      <c r="L14252" s="11">
        <f>HYPERLINK("https://careerviet.vn/vi/tim-viec-lam/cvcc-quan-ly-trai-nghiem-khach-hang-khoi-van-hanh.35C6BE5B.html","Xem chi tiết")</f>
        <v/>
      </c>
      <c r="M14252" s="10" t="n"/>
    </row>
    <row r="14253">
      <c r="B14253" s="7" t="n">
        <v>14251</v>
      </c>
      <c r="C14253" t="inlineStr">
        <is>
          <t>Chuyên viên Quan hệ Khách hàng Cá nhân (Toàn quốc)</t>
        </is>
      </c>
      <c r="D14253" t="inlineStr">
        <is>
          <t>Ngân Hàng TMCP Sài Gòn - Hà Nội ( SHB )</t>
        </is>
      </c>
      <c r="E14253" t="inlineStr">
        <is>
          <t>Lương:Cạnh tranh</t>
        </is>
      </c>
      <c r="F14253" t="inlineStr">
        <is>
          <t>Hưng YênQuảng NinhNam Định</t>
        </is>
      </c>
      <c r="G14253" t="inlineStr">
        <is>
          <t>08-04-2026</t>
        </is>
      </c>
      <c r="H14253" t="inlineStr">
        <is>
          <t>08/04/2026</t>
        </is>
      </c>
      <c r="I14253" t="inlineStr">
        <is>
          <t>17/03/2026</t>
        </is>
      </c>
      <c r="J14253" t="inlineStr">
        <is>
          <t>Ngân hàng, Bán hàng / Kinh doanh</t>
        </is>
      </c>
      <c r="K14253" t="inlineStr">
        <is>
          <t>N/A</t>
        </is>
      </c>
      <c r="L14253" s="8">
        <f>HYPERLINK("https://careerviet.vn/vi/tim-viec-lam/chuyen-vien-quan-he-khach-hang-ca-nhan-toan-quoc.35C6BE58.html","Xem chi tiết")</f>
        <v/>
      </c>
    </row>
    <row r="14254">
      <c r="B14254" s="9" t="n">
        <v>14252</v>
      </c>
      <c r="C14254" s="10" t="inlineStr">
        <is>
          <t>Kế toán bán hàng Công ty Mẹ và Bé tại Ngoại giao đoàn, Hà Nội (Chưa có kinh nghiệm được đào tạo)</t>
        </is>
      </c>
      <c r="D14254" s="10" t="inlineStr">
        <is>
          <t>Công Ty TNHH XNK Cầu Nối Việt</t>
        </is>
      </c>
      <c r="E14254" s="10" t="inlineStr">
        <is>
          <t>Lương:8 Tr - 10 Tr VND</t>
        </is>
      </c>
      <c r="F14254" s="10" t="inlineStr">
        <is>
          <t>Hà Nội</t>
        </is>
      </c>
      <c r="G14254" s="10" t="inlineStr">
        <is>
          <t>09-04-2026</t>
        </is>
      </c>
      <c r="H14254" s="10" t="inlineStr">
        <is>
          <t>09/04/2026</t>
        </is>
      </c>
      <c r="I14254" s="10" t="inlineStr">
        <is>
          <t>17/03/2026</t>
        </is>
      </c>
      <c r="J14254" s="10" t="inlineStr">
        <is>
          <t>Kế toán / Kiểm toán</t>
        </is>
      </c>
      <c r="K14254" s="10" t="inlineStr">
        <is>
          <t>N/A</t>
        </is>
      </c>
      <c r="L14254" s="11">
        <f>HYPERLINK("https://careerviet.vn/vi/tim-viec-lam/ke-toan-ban-hang-cong-ty-me-va-be-tai-ngoai-giao-doan-ha-noi-chua-co-kinh-nghiem-duoc-dao-tao.35C650F9.html","Xem chi tiết")</f>
        <v/>
      </c>
      <c r="M14254" s="10" t="n"/>
    </row>
    <row r="14255">
      <c r="B14255" s="7" t="n">
        <v>14253</v>
      </c>
      <c r="C14255" t="inlineStr">
        <is>
          <t>Chuyên viên Quan hệ Khách hàng Cá nhân (Toàn quốc)</t>
        </is>
      </c>
      <c r="D14255" t="inlineStr">
        <is>
          <t>Ngân Hàng TMCP Sài Gòn - Hà Nội ( SHB )</t>
        </is>
      </c>
      <c r="E14255" t="inlineStr">
        <is>
          <t>Lương:Cạnh tranh</t>
        </is>
      </c>
      <c r="F14255" t="inlineStr">
        <is>
          <t>Lạng SơnNghệ AnHà Tĩnh</t>
        </is>
      </c>
      <c r="G14255" t="inlineStr">
        <is>
          <t>08-04-2026</t>
        </is>
      </c>
      <c r="H14255" t="inlineStr">
        <is>
          <t>08/04/2026</t>
        </is>
      </c>
      <c r="I14255" t="inlineStr">
        <is>
          <t>17/03/2026</t>
        </is>
      </c>
      <c r="J14255" t="inlineStr">
        <is>
          <t>Ngân hàng, Bán hàng / Kinh doanh</t>
        </is>
      </c>
      <c r="K14255" t="inlineStr">
        <is>
          <t>N/A</t>
        </is>
      </c>
      <c r="L14255" s="8">
        <f>HYPERLINK("https://careerviet.vn/vi/tim-viec-lam/chuyen-vien-quan-he-khach-hang-ca-nhan-toan-quoc.35C6BE57.html","Xem chi tiết")</f>
        <v/>
      </c>
    </row>
    <row r="14256">
      <c r="B14256" s="9" t="n">
        <v>14254</v>
      </c>
      <c r="C14256" s="10" t="inlineStr">
        <is>
          <t>Phó Giám đốc Chi nhánh PT Khách hàng cá nhân</t>
        </is>
      </c>
      <c r="D14256" s="10" t="inlineStr">
        <is>
          <t>Ngân Hàng TMCP Sài Gòn - Hà Nội ( SHB )</t>
        </is>
      </c>
      <c r="E14256" s="10" t="inlineStr">
        <is>
          <t>Lương:Cạnh tranh</t>
        </is>
      </c>
      <c r="F14256" s="10" t="inlineStr">
        <is>
          <t>Bắc NinhQuảng NgãiTuyên Quang</t>
        </is>
      </c>
      <c r="G14256" s="10" t="inlineStr">
        <is>
          <t>08-04-2026</t>
        </is>
      </c>
      <c r="H14256" s="10" t="inlineStr">
        <is>
          <t>08/04/2026</t>
        </is>
      </c>
      <c r="I14256" s="10" t="inlineStr">
        <is>
          <t>17/03/2026</t>
        </is>
      </c>
      <c r="J14256" s="10" t="inlineStr">
        <is>
          <t>Quản lý điều hành, Ngân hàng, Tài chính / Đầu tư</t>
        </is>
      </c>
      <c r="K14256" s="10" t="inlineStr">
        <is>
          <t>Trên 6 Năm</t>
        </is>
      </c>
      <c r="L14256" s="11">
        <f>HYPERLINK("https://careerviet.vn/vi/tim-viec-lam/pho-giam-doc-chi-nhanh-pt-khach-hang-ca-nhan.35C6BE55.html","Xem chi tiết")</f>
        <v/>
      </c>
      <c r="M14256" s="10" t="n"/>
    </row>
    <row r="14257">
      <c r="B14257" s="7" t="n">
        <v>14255</v>
      </c>
      <c r="C14257" t="inlineStr">
        <is>
          <t>Cán bộ Tư vấn đầu tư - Chi nhánh HCM (làm việc tại địa bàn Cần Thơ)</t>
        </is>
      </c>
      <c r="D14257" t="inlineStr">
        <is>
          <t>Công ty TNHH Chứng khoán Ngân hàng TMCP Ngoại thương Việt Nam (VCBS - Vietcombank Securities)</t>
        </is>
      </c>
      <c r="E14257" t="inlineStr">
        <is>
          <t>Lương:Cạnh tranh</t>
        </is>
      </c>
      <c r="F14257" t="inlineStr">
        <is>
          <t>Cần Thơ</t>
        </is>
      </c>
      <c r="G14257" t="inlineStr">
        <is>
          <t>29-04-2026</t>
        </is>
      </c>
      <c r="H14257" t="inlineStr">
        <is>
          <t>29/04/2026</t>
        </is>
      </c>
      <c r="I14257" t="inlineStr">
        <is>
          <t>17/03/2026</t>
        </is>
      </c>
      <c r="J14257" t="inlineStr">
        <is>
          <t>Chứng khoán</t>
        </is>
      </c>
      <c r="K14257" t="inlineStr">
        <is>
          <t>Lên đến 1 Năm</t>
        </is>
      </c>
      <c r="L14257" s="8">
        <f>HYPERLINK("https://careerviet.vn/vi/tim-viec-lam/can-bo-tu-van-dau-tu-chi-nhanh-hcm-lam-viec-tai-dia-ban-can-tho.35C6BE54.html","Xem chi tiết")</f>
        <v/>
      </c>
    </row>
    <row r="14258">
      <c r="B14258" s="9" t="n">
        <v>14256</v>
      </c>
      <c r="C14258" s="10" t="inlineStr">
        <is>
          <t>Kỹ sư Cơ khí chế tạo máy</t>
        </is>
      </c>
      <c r="D14258" s="10" t="inlineStr">
        <is>
          <t>Công Ty Cổ Phần Trang</t>
        </is>
      </c>
      <c r="E14258" s="10" t="inlineStr">
        <is>
          <t>Lương:Cạnh tranh</t>
        </is>
      </c>
      <c r="F14258" s="10" t="inlineStr">
        <is>
          <t>Hồ Chí Minh</t>
        </is>
      </c>
      <c r="G14258" s="10" t="inlineStr">
        <is>
          <t>09-04-2026</t>
        </is>
      </c>
      <c r="H14258" s="10" t="inlineStr">
        <is>
          <t>09/04/2026</t>
        </is>
      </c>
      <c r="I14258" s="10" t="inlineStr">
        <is>
          <t>17/03/2026</t>
        </is>
      </c>
      <c r="J14258" s="10" t="inlineStr">
        <is>
          <t>Điện / Điện tử / Điện lạnh / Điện công nghiệp</t>
        </is>
      </c>
      <c r="K14258" s="10" t="inlineStr">
        <is>
          <t>1 - 3 Năm</t>
        </is>
      </c>
      <c r="L14258" s="11">
        <f>HYPERLINK("https://careerviet.vn/vi/tim-viec-lam/ky-su-co-khi-che-tao-may.35C6520C.html","Xem chi tiết")</f>
        <v/>
      </c>
      <c r="M14258" s="10" t="n"/>
    </row>
    <row r="14259">
      <c r="B14259" s="7" t="n">
        <v>14257</v>
      </c>
      <c r="C14259" t="inlineStr">
        <is>
          <t>[GOLDEN OPPORTUNITY] CV/CVCC Quan hệ khách hàng Doanh nghiệp - Bình Dương, Bình Phước, Tây Ninh, Bà Rịa Vũng Tàu</t>
        </is>
      </c>
      <c r="D14259" t="inlineStr">
        <is>
          <t>Ngân hàng TMCP Phát triển TP.HCM (HDBank)</t>
        </is>
      </c>
      <c r="E14259" t="inlineStr">
        <is>
          <t>Lương:Trên 13 Tr VND</t>
        </is>
      </c>
      <c r="F14259" t="inlineStr">
        <is>
          <t>Bình DươngBà Rịa - Vũng TàuTây Ninh</t>
        </is>
      </c>
      <c r="G14259" t="inlineStr">
        <is>
          <t>31-03-2026</t>
        </is>
      </c>
      <c r="H14259" t="inlineStr">
        <is>
          <t>31/03/2026</t>
        </is>
      </c>
      <c r="I14259" t="inlineStr">
        <is>
          <t>17/03/2026</t>
        </is>
      </c>
      <c r="J14259" t="inlineStr">
        <is>
          <t>Ngân hàng</t>
        </is>
      </c>
      <c r="K14259" t="inlineStr">
        <is>
          <t>N/A</t>
        </is>
      </c>
      <c r="L14259" s="8">
        <f>HYPERLINK("https://careerviet.vn/vi/tim-viec-lam/golden-opportunity-cv-cvcc-quan-he-khach-hang-doanh-nghiep-binh-duong-binh-phuoc-tay-ninh-ba-ria-vung-tau.35C6BE45.html","Xem chi tiết")</f>
        <v/>
      </c>
    </row>
    <row r="14260">
      <c r="B14260" s="9" t="n">
        <v>14258</v>
      </c>
      <c r="C14260" s="10" t="inlineStr">
        <is>
          <t>Kế toán ngân hàng Upto 18tr</t>
        </is>
      </c>
      <c r="D14260" s="10" t="inlineStr">
        <is>
          <t>Công ty Cổ phần công nghệ T-Tech Việt Nam</t>
        </is>
      </c>
      <c r="E14260" s="10" t="inlineStr">
        <is>
          <t>Lương:15 Tr - 18 Tr VND</t>
        </is>
      </c>
      <c r="F14260" s="10" t="inlineStr">
        <is>
          <t>Hà Nội</t>
        </is>
      </c>
      <c r="G14260" s="10" t="inlineStr">
        <is>
          <t>15-04-2026</t>
        </is>
      </c>
      <c r="H14260" s="10" t="inlineStr">
        <is>
          <t>15/04/2026</t>
        </is>
      </c>
      <c r="I14260" s="10" t="inlineStr">
        <is>
          <t>17/03/2026</t>
        </is>
      </c>
      <c r="J14260" s="10" t="inlineStr">
        <is>
          <t>Kế toán / Kiểm toán, Ngân hàng, Tài chính / Đầu tư</t>
        </is>
      </c>
      <c r="K14260" s="10" t="inlineStr">
        <is>
          <t>3 - 5 Năm</t>
        </is>
      </c>
      <c r="L14260" s="11">
        <f>HYPERLINK("https://careerviet.vn/vi/tim-viec-lam/ke-toan-ngan-hang-upto-18tr.35C6BE4E.html","Xem chi tiết")</f>
        <v/>
      </c>
      <c r="M14260" s="10" t="n"/>
    </row>
    <row r="14261">
      <c r="B14261" s="7" t="n">
        <v>14259</v>
      </c>
      <c r="C14261" t="inlineStr">
        <is>
          <t>Officer / Engineering Officer</t>
        </is>
      </c>
      <c r="D14261" t="inlineStr">
        <is>
          <t>CÔNG TY TNHH NTPM (VIỆT NAM)</t>
        </is>
      </c>
      <c r="E14261" t="inlineStr">
        <is>
          <t>Lương:Cạnh tranh</t>
        </is>
      </c>
      <c r="F14261" t="inlineStr">
        <is>
          <t>Bình Dương</t>
        </is>
      </c>
      <c r="G14261" t="inlineStr">
        <is>
          <t>09-04-2026</t>
        </is>
      </c>
      <c r="H14261" t="inlineStr">
        <is>
          <t>09/04/2026</t>
        </is>
      </c>
      <c r="I14261" t="inlineStr">
        <is>
          <t>17/03/2026</t>
        </is>
      </c>
      <c r="J14261" t="inlineStr">
        <is>
          <t>Quản lý điều hành, Điện / Điện tử / Điện lạnh / Điện công nghiệp, Bảo trì / Sửa chữa</t>
        </is>
      </c>
      <c r="K14261" t="inlineStr">
        <is>
          <t>3 - 5 Năm</t>
        </is>
      </c>
      <c r="L14261" s="8">
        <f>HYPERLINK("https://careerviet.vn/vi/tim-viec-lam/officer-engineering-officer.35C64FA3.html","Xem chi tiết")</f>
        <v/>
      </c>
    </row>
    <row r="14262">
      <c r="B14262" s="9" t="n">
        <v>14260</v>
      </c>
      <c r="C14262" s="10" t="inlineStr">
        <is>
          <t>Kế toán Nội Bộ</t>
        </is>
      </c>
      <c r="D14262" s="10" t="inlineStr">
        <is>
          <t>Công Ty TNHH Quốc Tế Anh Duy</t>
        </is>
      </c>
      <c r="E14262" s="10" t="inlineStr">
        <is>
          <t>Lương:12 Tr - 15 Tr VND</t>
        </is>
      </c>
      <c r="F14262" s="10" t="inlineStr">
        <is>
          <t>Hồ Chí Minh</t>
        </is>
      </c>
      <c r="G14262" s="10" t="inlineStr">
        <is>
          <t>30-04-2026</t>
        </is>
      </c>
      <c r="H14262" s="10" t="inlineStr">
        <is>
          <t>30/04/2026</t>
        </is>
      </c>
      <c r="I14262" s="10" t="inlineStr">
        <is>
          <t>17/03/2026</t>
        </is>
      </c>
      <c r="J14262" s="10" t="inlineStr">
        <is>
          <t>Kế toán / Kiểm toán</t>
        </is>
      </c>
      <c r="K14262" s="10" t="inlineStr">
        <is>
          <t>1 - 2 Năm</t>
        </is>
      </c>
      <c r="L14262" s="11">
        <f>HYPERLINK("https://careerviet.vn/vi/tim-viec-lam/ke-toan-noi-bo.35C6BE42.html","Xem chi tiết")</f>
        <v/>
      </c>
      <c r="M14262" s="10" t="n"/>
    </row>
    <row r="14263">
      <c r="B14263" s="7" t="n">
        <v>14261</v>
      </c>
      <c r="C14263" t="inlineStr">
        <is>
          <t>Chuyên viên Báo cáo và Quản lý Danh mục tín dụng</t>
        </is>
      </c>
      <c r="D14263" t="inlineStr">
        <is>
          <t>BVBank - Ngân hàng Bản Việt</t>
        </is>
      </c>
      <c r="E14263" t="inlineStr">
        <is>
          <t>Lương:Cạnh tranh</t>
        </is>
      </c>
      <c r="F14263" t="inlineStr">
        <is>
          <t>Hồ Chí Minh</t>
        </is>
      </c>
      <c r="G14263" t="inlineStr">
        <is>
          <t>10-04-2026</t>
        </is>
      </c>
      <c r="H14263" t="inlineStr">
        <is>
          <t>10/04/2026</t>
        </is>
      </c>
      <c r="I14263" t="inlineStr">
        <is>
          <t>17/03/2026</t>
        </is>
      </c>
      <c r="J14263" t="inlineStr">
        <is>
          <t>Ngân hàng, Tài chính / Đầu tư</t>
        </is>
      </c>
      <c r="K14263" t="inlineStr">
        <is>
          <t>1 - 2 Năm</t>
        </is>
      </c>
      <c r="L14263" s="8">
        <f>HYPERLINK("https://careerviet.vn/vi/tim-viec-lam/chuyen-vien-bao-cao-va-quan-ly-danh-muc-tin-dung.35C6BE4B.html","Xem chi tiết")</f>
        <v/>
      </c>
    </row>
    <row r="14264">
      <c r="B14264" s="9" t="n">
        <v>14262</v>
      </c>
      <c r="C14264" s="10" t="inlineStr">
        <is>
          <t>Cán bộ Tư vấn đầu tư - Chi nhánh HCM (làm việc tại Phòng giao dịch)</t>
        </is>
      </c>
      <c r="D14264" s="10" t="inlineStr">
        <is>
          <t>Công ty TNHH Chứng khoán Ngân hàng TMCP Ngoại thương Việt Nam (VCBS - Vietcombank Securities)</t>
        </is>
      </c>
      <c r="E14264" s="10" t="inlineStr">
        <is>
          <t>Lương:Cạnh tranh</t>
        </is>
      </c>
      <c r="F14264" s="10" t="inlineStr">
        <is>
          <t>Bình Dương</t>
        </is>
      </c>
      <c r="G14264" s="10" t="inlineStr">
        <is>
          <t>29-04-2026</t>
        </is>
      </c>
      <c r="H14264" s="10" t="inlineStr">
        <is>
          <t>29/04/2026</t>
        </is>
      </c>
      <c r="I14264" s="10" t="inlineStr">
        <is>
          <t>17/03/2026</t>
        </is>
      </c>
      <c r="J14264" s="10" t="inlineStr">
        <is>
          <t>Chứng khoán</t>
        </is>
      </c>
      <c r="K14264" s="10" t="inlineStr">
        <is>
          <t>Lên đến 1 Năm</t>
        </is>
      </c>
      <c r="L14264" s="11">
        <f>HYPERLINK("https://careerviet.vn/vi/tim-viec-lam/can-bo-tu-van-dau-tu-chi-nhanh-hcm-lam-viec-tai-phong-giao-dich.35C6BE48.html","Xem chi tiết")</f>
        <v/>
      </c>
      <c r="M14264" s="10" t="n"/>
    </row>
    <row r="14265">
      <c r="B14265" s="7" t="n">
        <v>14263</v>
      </c>
      <c r="C14265" t="inlineStr">
        <is>
          <t>[GOLDEN OPPORTUNITY] CV/CVCC Quan hệ khách hàng Cá nhân - Bình Dương, Bình Phước, Tây Ninh, Bà Rịa Vũng Tàu</t>
        </is>
      </c>
      <c r="D14265" t="inlineStr">
        <is>
          <t>Ngân hàng TMCP Phát triển TP.HCM (HDBank)</t>
        </is>
      </c>
      <c r="E14265" t="inlineStr">
        <is>
          <t>Lương:Cạnh tranh</t>
        </is>
      </c>
      <c r="F14265" t="inlineStr">
        <is>
          <t>Bình DươngTây NinhBình Phước</t>
        </is>
      </c>
      <c r="G14265" t="inlineStr">
        <is>
          <t>10-04-2026</t>
        </is>
      </c>
      <c r="H14265" t="inlineStr">
        <is>
          <t>10/04/2026</t>
        </is>
      </c>
      <c r="I14265" t="inlineStr">
        <is>
          <t>17/03/2026</t>
        </is>
      </c>
      <c r="J14265" t="inlineStr">
        <is>
          <t>Bán hàng / Kinh doanh, Ngân hàng</t>
        </is>
      </c>
      <c r="K14265" t="inlineStr">
        <is>
          <t>N/A</t>
        </is>
      </c>
      <c r="L14265" s="8">
        <f>HYPERLINK("https://careerviet.vn/vi/tim-viec-lam/golden-opportunity-cv-cvcc-quan-he-khach-hang-ca-nhan-binh-duong-binh-phuoc-tay-ninh-ba-ria-vung-tau.35C6BE3E.html","Xem chi tiết")</f>
        <v/>
      </c>
    </row>
    <row r="14266">
      <c r="B14266" s="9" t="n">
        <v>14264</v>
      </c>
      <c r="C14266" s="10" t="inlineStr">
        <is>
          <t>Chuyên viên Giải pháp Giao dịch thanh toán (Mảng Thẻ)</t>
        </is>
      </c>
      <c r="D14266" s="10" t="inlineStr">
        <is>
          <t>Ngân Hàng TMCP Sài Gòn - Hà Nội ( SHB )</t>
        </is>
      </c>
      <c r="E14266" s="10" t="inlineStr">
        <is>
          <t>Lương:Cạnh tranh</t>
        </is>
      </c>
      <c r="F14266" s="10" t="inlineStr">
        <is>
          <t>Hà Nội</t>
        </is>
      </c>
      <c r="G14266" s="10" t="inlineStr">
        <is>
          <t>08-04-2026</t>
        </is>
      </c>
      <c r="H14266" s="10" t="inlineStr">
        <is>
          <t>08/04/2026</t>
        </is>
      </c>
      <c r="I14266" s="10" t="inlineStr">
        <is>
          <t>17/03/2026</t>
        </is>
      </c>
      <c r="J14266" s="10" t="inlineStr">
        <is>
          <t>Ngân hàng, Tài chính / Đầu tư</t>
        </is>
      </c>
      <c r="K14266" s="10" t="inlineStr">
        <is>
          <t>Trên 3 Năm</t>
        </is>
      </c>
      <c r="L14266" s="11">
        <f>HYPERLINK("https://careerviet.vn/vi/tim-viec-lam/chuyen-vien-giai-phap-giao-dich-thanh-toan-mang-the.35C6BE3C.html","Xem chi tiết")</f>
        <v/>
      </c>
      <c r="M14266" s="10" t="n"/>
    </row>
    <row r="14267">
      <c r="B14267" s="7" t="n">
        <v>14265</v>
      </c>
      <c r="C14267" t="inlineStr">
        <is>
          <t>NHÂN VIÊN KINH DOANH</t>
        </is>
      </c>
      <c r="D14267" t="inlineStr">
        <is>
          <t>CÔNG TY TNHH DỆT LIÊN CHÂU</t>
        </is>
      </c>
      <c r="E14267" t="inlineStr">
        <is>
          <t>Lương:Cạnh tranh</t>
        </is>
      </c>
      <c r="F14267" t="inlineStr">
        <is>
          <t>Bình Dương</t>
        </is>
      </c>
      <c r="G14267" t="inlineStr">
        <is>
          <t>11-04-2026</t>
        </is>
      </c>
      <c r="H14267" t="inlineStr">
        <is>
          <t>11/04/2026</t>
        </is>
      </c>
      <c r="I14267" t="inlineStr">
        <is>
          <t>17/03/2026</t>
        </is>
      </c>
      <c r="J14267" t="inlineStr">
        <is>
          <t>Bán hàng / Kinh doanh, Dịch vụ khách hàng, Dệt may / Da giày / Thời trang</t>
        </is>
      </c>
      <c r="K14267" t="inlineStr">
        <is>
          <t>2 - 5 Năm</t>
        </is>
      </c>
      <c r="L14267" s="8">
        <f>HYPERLINK("https://careerviet.vn/vi/tim-viec-lam/nhan-vien-kinh-doanh.35C6BE37.html","Xem chi tiết")</f>
        <v/>
      </c>
    </row>
    <row r="14268">
      <c r="B14268" s="9" t="n">
        <v>14266</v>
      </c>
      <c r="C14268" s="10" t="inlineStr">
        <is>
          <t>Trade Marketing Executive</t>
        </is>
      </c>
      <c r="D14268" s="10" t="inlineStr">
        <is>
          <t>Công ty Cổ phần Đầu tư Ngôi sao Châu á</t>
        </is>
      </c>
      <c r="E14268" s="10" t="inlineStr">
        <is>
          <t>Lương:13 Tr - 15 Tr VND</t>
        </is>
      </c>
      <c r="F14268" s="10" t="inlineStr">
        <is>
          <t>Hà Nội</t>
        </is>
      </c>
      <c r="G14268" s="10" t="inlineStr">
        <is>
          <t>31-03-2026</t>
        </is>
      </c>
      <c r="H14268" s="10" t="inlineStr">
        <is>
          <t>31/03/2026</t>
        </is>
      </c>
      <c r="I14268" s="10" t="inlineStr">
        <is>
          <t>17/03/2026</t>
        </is>
      </c>
      <c r="J14268" s="10" t="inlineStr">
        <is>
          <t>Tiếp thị / Marketing, Quảng cáo / Đối ngoại / Truyền Thông, Truyền hình / Báo chí / Biên tập</t>
        </is>
      </c>
      <c r="K14268" s="10" t="inlineStr">
        <is>
          <t>2 - 3 Năm</t>
        </is>
      </c>
      <c r="L14268" s="11">
        <f>HYPERLINK("https://careerviet.vn/vi/tim-viec-lam/trade-marketing-executive.35C6BE35.html","Xem chi tiết")</f>
        <v/>
      </c>
      <c r="M14268" s="10" t="n"/>
    </row>
    <row r="14269">
      <c r="B14269" s="7" t="n">
        <v>14267</v>
      </c>
      <c r="C14269" t="inlineStr">
        <is>
          <t>Nhân viên quản lý đơn hàng</t>
        </is>
      </c>
      <c r="D14269" t="inlineStr">
        <is>
          <t>Công ty TNHH Thiết bị y tế Phương Đông</t>
        </is>
      </c>
      <c r="E14269" t="inlineStr">
        <is>
          <t>Lương:Cạnh tranh</t>
        </is>
      </c>
      <c r="F14269" t="inlineStr">
        <is>
          <t>Hà Nội</t>
        </is>
      </c>
      <c r="G14269" t="inlineStr">
        <is>
          <t>09-04-2026</t>
        </is>
      </c>
      <c r="H14269" t="inlineStr">
        <is>
          <t>09/04/2026</t>
        </is>
      </c>
      <c r="I14269" t="inlineStr">
        <is>
          <t>17/03/2026</t>
        </is>
      </c>
      <c r="J14269" t="inlineStr">
        <is>
          <t>Dịch vụ khách hàng, Ngân hàng, Bán hàng / Kinh doanh</t>
        </is>
      </c>
      <c r="K14269" t="inlineStr">
        <is>
          <t>1 - 2 Năm</t>
        </is>
      </c>
      <c r="L14269" s="8">
        <f>HYPERLINK("https://careerviet.vn/vi/tim-viec-lam/nhan-vien-quan-ly-don-hang.35C6BE40.html","Xem chi tiết")</f>
        <v/>
      </c>
    </row>
    <row r="14270">
      <c r="B14270" s="9" t="n">
        <v>14268</v>
      </c>
      <c r="C14270" s="10" t="inlineStr">
        <is>
          <t>Nhân viên Pháp chế</t>
        </is>
      </c>
      <c r="D14270" s="10" t="inlineStr">
        <is>
          <t>Công Ty TNHH Taisun Việt Nam</t>
        </is>
      </c>
      <c r="E14270" s="10" t="inlineStr">
        <is>
          <t>Lương:Cạnh tranh</t>
        </is>
      </c>
      <c r="F14270" s="10" t="inlineStr">
        <is>
          <t>Hồ Chí Minh</t>
        </is>
      </c>
      <c r="G14270" s="10" t="inlineStr">
        <is>
          <t>20-04-2026</t>
        </is>
      </c>
      <c r="H14270" s="10" t="inlineStr">
        <is>
          <t>20/04/2026</t>
        </is>
      </c>
      <c r="I14270" s="10" t="inlineStr">
        <is>
          <t>17/03/2026</t>
        </is>
      </c>
      <c r="J14270" s="10" t="inlineStr">
        <is>
          <t>Nhân sự, Luật / Pháp lý</t>
        </is>
      </c>
      <c r="K14270" s="10" t="inlineStr">
        <is>
          <t>2 - 3 Năm</t>
        </is>
      </c>
      <c r="L14270" s="11">
        <f>HYPERLINK("https://careerviet.vn/vi/tim-viec-lam/nhan-vien-phap-che.35C6BE33.html","Xem chi tiết")</f>
        <v/>
      </c>
      <c r="M14270" s="10" t="n"/>
    </row>
    <row r="14271">
      <c r="B14271" s="7" t="n">
        <v>14269</v>
      </c>
      <c r="C14271" t="inlineStr">
        <is>
          <t>Nhân Viên Cứu Hộ Bể Bơi (Phức hợp Nghỉ dưỡng Asahi)</t>
        </is>
      </c>
      <c r="D14271" t="inlineStr">
        <is>
          <t>BỆNH VIỆN ĐA KHOA PHƯƠNG ĐÔNG</t>
        </is>
      </c>
      <c r="E14271" t="inlineStr">
        <is>
          <t>Lương:10,5 Tr - 12 Tr VND</t>
        </is>
      </c>
      <c r="F14271" t="inlineStr">
        <is>
          <t>Hà Nội</t>
        </is>
      </c>
      <c r="G14271" t="inlineStr">
        <is>
          <t>31-03-2026</t>
        </is>
      </c>
      <c r="H14271" t="inlineStr">
        <is>
          <t>31/03/2026</t>
        </is>
      </c>
      <c r="I14271" t="inlineStr">
        <is>
          <t>17/03/2026</t>
        </is>
      </c>
      <c r="J14271" t="inlineStr">
        <is>
          <t>Nhà hàng / Khách sạn</t>
        </is>
      </c>
      <c r="K14271" t="inlineStr">
        <is>
          <t>Trên 1 Năm</t>
        </is>
      </c>
      <c r="L14271" s="8">
        <f>HYPERLINK("https://careerviet.vn/vi/tim-viec-lam/nhan-vien-cuu-ho-be-boi-phuc-hop-nghi-duong-asahi.35C6BE38.html","Xem chi tiết")</f>
        <v/>
      </c>
    </row>
    <row r="14272">
      <c r="B14272" s="9" t="n">
        <v>14270</v>
      </c>
      <c r="C14272" s="10" t="inlineStr">
        <is>
          <t>Chuyên viên Cải tiến quy trình - Trung tâm vận hành tối ưu - Khối Vận hành</t>
        </is>
      </c>
      <c r="D14272" s="10" t="inlineStr">
        <is>
          <t>Ngân hàng TMCP Đại Chúng Việt Nam - PVcomBank</t>
        </is>
      </c>
      <c r="E14272" s="10" t="inlineStr">
        <is>
          <t>Lương:Cạnh tranh</t>
        </is>
      </c>
      <c r="F14272" s="10" t="inlineStr">
        <is>
          <t>Hà Nội</t>
        </is>
      </c>
      <c r="G14272" s="10" t="inlineStr">
        <is>
          <t>03-04-2026</t>
        </is>
      </c>
      <c r="H14272" s="10" t="inlineStr">
        <is>
          <t>03/04/2026</t>
        </is>
      </c>
      <c r="I14272" s="10" t="inlineStr">
        <is>
          <t>17/03/2026</t>
        </is>
      </c>
      <c r="J14272" s="10" t="inlineStr">
        <is>
          <t>Ngân hàng, Tài chính / Đầu tư</t>
        </is>
      </c>
      <c r="K14272" s="10" t="inlineStr">
        <is>
          <t>1 - 5 Năm</t>
        </is>
      </c>
      <c r="L14272" s="11">
        <f>HYPERLINK("https://careerviet.vn/vi/tim-viec-lam/chuyen-vien-cai-tien-quy-trinh-trung-tam-van-hanh-toi-uu-khoi-van-hanh.35C6BE3A.html","Xem chi tiết")</f>
        <v/>
      </c>
      <c r="M14272" s="10" t="n"/>
    </row>
    <row r="14273">
      <c r="B14273" s="7" t="n">
        <v>14271</v>
      </c>
      <c r="C14273" t="inlineStr">
        <is>
          <t>Chuyên viên tuyển dụng</t>
        </is>
      </c>
      <c r="D14273" t="inlineStr">
        <is>
          <t>Tổng Công ty Vận Tải Thủy</t>
        </is>
      </c>
      <c r="E14273" t="inlineStr">
        <is>
          <t>Lương:10 Tr - 15 Tr VND</t>
        </is>
      </c>
      <c r="F14273" t="inlineStr">
        <is>
          <t>Hà Nội</t>
        </is>
      </c>
      <c r="G14273" t="inlineStr">
        <is>
          <t>10-04-2026</t>
        </is>
      </c>
      <c r="H14273" t="inlineStr">
        <is>
          <t>10/04/2026</t>
        </is>
      </c>
      <c r="I14273" t="inlineStr">
        <is>
          <t>17/03/2026</t>
        </is>
      </c>
      <c r="J14273" t="inlineStr">
        <is>
          <t>Hành chính / Thư ký, Nhân sự</t>
        </is>
      </c>
      <c r="K14273" t="inlineStr">
        <is>
          <t>Chưa có kinh nghiệm</t>
        </is>
      </c>
      <c r="L14273" s="8">
        <f>HYPERLINK("https://careerviet.vn/vi/tim-viec-lam/chuyen-vien-tuyen-dung.35C6BE39.html","Xem chi tiết")</f>
        <v/>
      </c>
    </row>
    <row r="14274">
      <c r="B14274" s="9" t="n">
        <v>14272</v>
      </c>
      <c r="C14274" s="10" t="inlineStr">
        <is>
          <t>Product manager</t>
        </is>
      </c>
      <c r="D14274" s="10" t="inlineStr">
        <is>
          <t>Công ty TNHH Viettel - CHT</t>
        </is>
      </c>
      <c r="E14274" s="10" t="inlineStr">
        <is>
          <t>Lương:Cạnh tranh</t>
        </is>
      </c>
      <c r="F14274" s="10" t="inlineStr">
        <is>
          <t>Hà Nội</t>
        </is>
      </c>
      <c r="G14274" s="10" t="inlineStr">
        <is>
          <t>29-04-2026</t>
        </is>
      </c>
      <c r="H14274" s="10" t="inlineStr">
        <is>
          <t>29/04/2026</t>
        </is>
      </c>
      <c r="I14274" s="10" t="inlineStr">
        <is>
          <t>17/03/2026</t>
        </is>
      </c>
      <c r="J14274" s="10" t="inlineStr">
        <is>
          <t>CNTT - Phần mềm, CNTT - Phần cứng / Mạng</t>
        </is>
      </c>
      <c r="K14274" s="10" t="inlineStr">
        <is>
          <t>Trên 3 Năm</t>
        </is>
      </c>
      <c r="L14274" s="11">
        <f>HYPERLINK("https://careerviet.vn/vi/tim-viec-lam/product-manager.35C6BE2D.html","Xem chi tiết")</f>
        <v/>
      </c>
      <c r="M14274" s="10" t="n"/>
    </row>
    <row r="14275">
      <c r="B14275" s="7" t="n">
        <v>14273</v>
      </c>
      <c r="C14275" t="inlineStr">
        <is>
          <t>Thực Tập Sinh Kế Toán Tại Dĩ An</t>
        </is>
      </c>
      <c r="D14275" t="inlineStr">
        <is>
          <t>Công Ty TNHH Tập Đoàn Rita Võ</t>
        </is>
      </c>
      <c r="E14275" t="inlineStr">
        <is>
          <t>Lương:2 Tr - 2,5 Tr VND</t>
        </is>
      </c>
      <c r="F14275" t="inlineStr">
        <is>
          <t>Bình Dương</t>
        </is>
      </c>
      <c r="G14275" t="inlineStr">
        <is>
          <t>11-04-2026</t>
        </is>
      </c>
      <c r="H14275" t="inlineStr">
        <is>
          <t>11/04/2026</t>
        </is>
      </c>
      <c r="I14275" t="inlineStr">
        <is>
          <t>17/03/2026</t>
        </is>
      </c>
      <c r="J14275" t="inlineStr">
        <is>
          <t>Kế toán / Kiểm toán</t>
        </is>
      </c>
      <c r="K14275" t="inlineStr">
        <is>
          <t>N/A</t>
        </is>
      </c>
      <c r="L14275" s="8">
        <f>HYPERLINK("https://careerviet.vn/vi/tim-viec-lam/thuc-tap-sinh-ke-toan-tai-di-an.35C6BE41.html","Xem chi tiết")</f>
        <v/>
      </c>
    </row>
    <row r="14276">
      <c r="B14276" s="9" t="n">
        <v>14274</v>
      </c>
      <c r="C14276" s="10" t="inlineStr">
        <is>
          <t>Nhân viên lễ tân</t>
        </is>
      </c>
      <c r="D14276" s="10" t="inlineStr">
        <is>
          <t>Công ty cổ phần Tập đoàn Danko</t>
        </is>
      </c>
      <c r="E14276" s="10" t="inlineStr">
        <is>
          <t>Lương:10 Tr - 14 Tr VND</t>
        </is>
      </c>
      <c r="F14276" s="10" t="inlineStr">
        <is>
          <t>Hà Nội</t>
        </is>
      </c>
      <c r="G14276" s="10" t="inlineStr">
        <is>
          <t>30-04-2026</t>
        </is>
      </c>
      <c r="H14276" s="10" t="inlineStr">
        <is>
          <t>30/04/2026</t>
        </is>
      </c>
      <c r="I14276" s="10" t="inlineStr">
        <is>
          <t>17/03/2026</t>
        </is>
      </c>
      <c r="J14276" s="10" t="inlineStr">
        <is>
          <t>Y tế / Chăm sóc sức khỏe / Thẩm mỹ / Làm đẹp, Hành chính / Thư ký</t>
        </is>
      </c>
      <c r="K14276" s="10" t="inlineStr">
        <is>
          <t>Chưa có kinh nghiệm</t>
        </is>
      </c>
      <c r="L14276" s="11">
        <f>HYPERLINK("https://careerviet.vn/vi/tim-viec-lam/nhan-vien-le-tan.35C6BE30.html","Xem chi tiết")</f>
        <v/>
      </c>
      <c r="M14276" s="10" t="n"/>
    </row>
    <row r="14277">
      <c r="B14277" s="7" t="n">
        <v>14275</v>
      </c>
      <c r="C14277" t="inlineStr">
        <is>
          <t>Chuyên Viên Mua Hàng Nội Địa (Purchasing Staff)</t>
        </is>
      </c>
      <c r="D14277" t="inlineStr">
        <is>
          <t>Công ty TNHH Thương mại và Dịch vụ Đồ uống Vietblend</t>
        </is>
      </c>
      <c r="E14277" t="inlineStr">
        <is>
          <t>Lương:10 Tr - 13 Tr VND</t>
        </is>
      </c>
      <c r="F14277" t="inlineStr">
        <is>
          <t>Hà Nội</t>
        </is>
      </c>
      <c r="G14277" t="inlineStr">
        <is>
          <t>10-04-2026</t>
        </is>
      </c>
      <c r="H14277" t="inlineStr">
        <is>
          <t>10/04/2026</t>
        </is>
      </c>
      <c r="I14277" t="inlineStr">
        <is>
          <t>17/03/2026</t>
        </is>
      </c>
      <c r="J14277" t="inlineStr">
        <is>
          <t>Thu mua / Vật tư, Bán lẻ / Bán sỉ, Thực phẩm &amp; Đồ uống</t>
        </is>
      </c>
      <c r="K14277" t="inlineStr">
        <is>
          <t>2 - 3 Năm</t>
        </is>
      </c>
      <c r="L14277" s="8">
        <f>HYPERLINK("https://careerviet.vn/vi/tim-viec-lam/chuyen-vien-mua-hang-noi-dia-purchasing-staff.35C6BE4D.html","Xem chi tiết")</f>
        <v/>
      </c>
    </row>
    <row r="14278">
      <c r="B14278" s="9" t="n">
        <v>14276</v>
      </c>
      <c r="C14278" s="10" t="inlineStr">
        <is>
          <t>Chuyên viên Hành chính – Nhân sự/ HR Admin Executive</t>
        </is>
      </c>
      <c r="D14278" s="10" t="inlineStr">
        <is>
          <t>American International Hospital (AIH)</t>
        </is>
      </c>
      <c r="E14278" s="10" t="inlineStr">
        <is>
          <t>Lương:Cạnh tranh</t>
        </is>
      </c>
      <c r="F14278" s="10" t="inlineStr">
        <is>
          <t>Hồ Chí Minh</t>
        </is>
      </c>
      <c r="G14278" s="10" t="inlineStr">
        <is>
          <t>31-03-2026</t>
        </is>
      </c>
      <c r="H14278" s="10" t="inlineStr">
        <is>
          <t>31/03/2026</t>
        </is>
      </c>
      <c r="I14278" s="10" t="inlineStr">
        <is>
          <t>17/03/2026</t>
        </is>
      </c>
      <c r="J14278" s="10" t="inlineStr">
        <is>
          <t>Hành chính / Thư ký, Nhân sự</t>
        </is>
      </c>
      <c r="K14278" s="10" t="inlineStr">
        <is>
          <t>3 - 5 Năm</t>
        </is>
      </c>
      <c r="L14278" s="11">
        <f>HYPERLINK("https://careerviet.vn/vi/tim-viec-lam/chuyen-vien-hanh-chinh-nhan-su-hr-admin-executive.35C6BE2B.html","Xem chi tiết")</f>
        <v/>
      </c>
      <c r="M14278" s="10" t="n"/>
    </row>
    <row r="14279">
      <c r="B14279" s="7" t="n">
        <v>14277</v>
      </c>
      <c r="C14279" t="inlineStr">
        <is>
          <t>Kỹ thuật viên xét nghiệm</t>
        </is>
      </c>
      <c r="D14279" t="inlineStr">
        <is>
          <t>Công ty TNHH Bình Việt Đức (BIVID)</t>
        </is>
      </c>
      <c r="E14279" t="inlineStr">
        <is>
          <t>Lương:Cạnh tranh</t>
        </is>
      </c>
      <c r="F14279" t="inlineStr">
        <is>
          <t>Hồ Chí Minh</t>
        </is>
      </c>
      <c r="G14279" t="inlineStr">
        <is>
          <t>31-03-2026</t>
        </is>
      </c>
      <c r="H14279" t="inlineStr">
        <is>
          <t>31/03/2026</t>
        </is>
      </c>
      <c r="I14279" t="inlineStr">
        <is>
          <t>17/03/2026</t>
        </is>
      </c>
      <c r="J14279" t="inlineStr">
        <is>
          <t>Dược phẩm/ Hóa Mỹ Phẩm, Y tế / Chăm sóc sức khỏe / Thẩm mỹ / Làm đẹp, Công nghệ sinh học</t>
        </is>
      </c>
      <c r="K14279" t="inlineStr">
        <is>
          <t>2 - 3 Năm</t>
        </is>
      </c>
      <c r="L14279" s="8">
        <f>HYPERLINK("https://careerviet.vn/vi/tim-viec-lam/ky-thuat-vien-xet-nghiem.35C6BE2C.html","Xem chi tiết")</f>
        <v/>
      </c>
    </row>
    <row r="14280">
      <c r="B14280" s="9" t="n">
        <v>14278</v>
      </c>
      <c r="C14280" s="10" t="inlineStr">
        <is>
          <t>Cố Vấn Dịch Vụ Ô tô tại Hòa Vang Cũ</t>
        </is>
      </c>
      <c r="D14280" s="10" t="inlineStr">
        <is>
          <t>Công Ty TNHH Tập Đoàn Rita Võ</t>
        </is>
      </c>
      <c r="E14280" s="10" t="inlineStr">
        <is>
          <t>Lương:10 Tr - 14 Tr VND</t>
        </is>
      </c>
      <c r="F14280" s="10" t="inlineStr">
        <is>
          <t>Đà Nẵng</t>
        </is>
      </c>
      <c r="G14280" s="10" t="inlineStr">
        <is>
          <t>28-03-2026</t>
        </is>
      </c>
      <c r="H14280" s="10" t="inlineStr">
        <is>
          <t>28/03/2026</t>
        </is>
      </c>
      <c r="I14280" s="10" t="inlineStr">
        <is>
          <t>17/03/2026</t>
        </is>
      </c>
      <c r="J14280" s="10" t="inlineStr">
        <is>
          <t>Cơ khí / Ô tô / Tự động hóa, Bảo trì / Sửa chữa</t>
        </is>
      </c>
      <c r="K14280" s="10" t="inlineStr">
        <is>
          <t>Trên 1 Năm</t>
        </is>
      </c>
      <c r="L14280" s="11">
        <f>HYPERLINK("https://careerviet.vn/vi/tim-viec-lam/co-van-dich-vu-o-to-tai-hoa-vang-cu.35C6BE36.html","Xem chi tiết")</f>
        <v/>
      </c>
      <c r="M14280" s="10" t="n"/>
    </row>
    <row r="14281">
      <c r="B14281" s="7" t="n">
        <v>14279</v>
      </c>
      <c r="C14281" t="inlineStr">
        <is>
          <t>Công Nhân Gia Công Cơ Khí</t>
        </is>
      </c>
      <c r="D14281" t="inlineStr">
        <is>
          <t>CÔNG TY TNHH DV HỒ GIA PHÁT</t>
        </is>
      </c>
      <c r="E14281" t="inlineStr">
        <is>
          <t>Lương:Cạnh tranh</t>
        </is>
      </c>
      <c r="F14281" t="inlineStr">
        <is>
          <t>Hồ Chí Minh</t>
        </is>
      </c>
      <c r="G14281" t="inlineStr">
        <is>
          <t>04-04-2026</t>
        </is>
      </c>
      <c r="H14281" t="inlineStr">
        <is>
          <t>04/04/2026</t>
        </is>
      </c>
      <c r="I14281" t="inlineStr">
        <is>
          <t>17/03/2026</t>
        </is>
      </c>
      <c r="J14281" t="inlineStr">
        <is>
          <t>Cơ khí / Ô tô / Tự động hóa, Lao động phổ thông, Điện / Điện tử / Điện lạnh / Điện công nghiệp</t>
        </is>
      </c>
      <c r="K14281" t="inlineStr">
        <is>
          <t>N/A</t>
        </is>
      </c>
      <c r="L14281" s="8">
        <f>HYPERLINK("https://careerviet.vn/vi/tim-viec-lam/cong-nhan-gia-cong-co-khi.35C6BC00.html","Xem chi tiết")</f>
        <v/>
      </c>
    </row>
    <row r="14282">
      <c r="B14282" s="9" t="n">
        <v>14280</v>
      </c>
      <c r="C14282" s="10" t="inlineStr">
        <is>
          <t>Nhân viên kinh doanh</t>
        </is>
      </c>
      <c r="D14282" s="10" t="inlineStr">
        <is>
          <t>CÔNG TY TNHH CHẾ TẠO BƠM TS</t>
        </is>
      </c>
      <c r="E14282" s="10" t="inlineStr">
        <is>
          <t>Lương:10 Tr - 20 Tr VND</t>
        </is>
      </c>
      <c r="F14282" s="10" t="inlineStr">
        <is>
          <t>Cần Thơ</t>
        </is>
      </c>
      <c r="G14282" s="10" t="inlineStr">
        <is>
          <t>31-05-2026</t>
        </is>
      </c>
      <c r="H14282" s="10" t="inlineStr">
        <is>
          <t>31/05/2026</t>
        </is>
      </c>
      <c r="I14282" s="10" t="inlineStr">
        <is>
          <t>17/03/2026</t>
        </is>
      </c>
      <c r="J14282" s="10" t="inlineStr">
        <is>
          <t>Thủy sản / Hải sản, Thủy lợi, Cơ khí / Ô tô / Tự động hóa</t>
        </is>
      </c>
      <c r="K14282" s="10" t="inlineStr">
        <is>
          <t>2 - 5 Năm</t>
        </is>
      </c>
      <c r="L14282" s="11">
        <f>HYPERLINK("https://careerviet.vn/vi/tim-viec-lam/nhan-vien-kinh-doanh.35C6BE34.html","Xem chi tiết")</f>
        <v/>
      </c>
      <c r="M14282" s="10" t="n"/>
    </row>
    <row r="14283">
      <c r="B14283" s="7" t="n">
        <v>14281</v>
      </c>
      <c r="C14283" t="inlineStr">
        <is>
          <t>[HO] - CARD PRODUCT &amp; DIGITAL SUPERVISOR</t>
        </is>
      </c>
      <c r="D14283" t="inlineStr">
        <is>
          <t>Shinhan Bank Vietnam</t>
        </is>
      </c>
      <c r="E14283" t="inlineStr">
        <is>
          <t>Lương:Cạnh tranh</t>
        </is>
      </c>
      <c r="F14283" t="inlineStr">
        <is>
          <t>Hồ Chí Minh</t>
        </is>
      </c>
      <c r="G14283" t="inlineStr">
        <is>
          <t>29-04-2026</t>
        </is>
      </c>
      <c r="H14283" t="inlineStr">
        <is>
          <t>29/04/2026</t>
        </is>
      </c>
      <c r="I14283" t="inlineStr">
        <is>
          <t>17/03/2026</t>
        </is>
      </c>
      <c r="J14283" t="inlineStr">
        <is>
          <t>Ngân hàng</t>
        </is>
      </c>
      <c r="K14283" t="inlineStr">
        <is>
          <t>3 - 7 Năm</t>
        </is>
      </c>
      <c r="L14283" s="8">
        <f>HYPERLINK("https://careerviet.vn/vi/tim-viec-lam/ho-card-product-digital-supervisor.35C6BE26.html","Xem chi tiết")</f>
        <v/>
      </c>
    </row>
    <row r="14284">
      <c r="B14284" s="9" t="n">
        <v>14282</v>
      </c>
      <c r="C14284" s="10" t="inlineStr">
        <is>
          <t>Accounting Staff (Temp 6-month) (KCN Long Bình)</t>
        </is>
      </c>
      <c r="D14284" s="10" t="inlineStr">
        <is>
          <t>Công ty TNHH Olam Việt Nam</t>
        </is>
      </c>
      <c r="E14284" s="10" t="inlineStr">
        <is>
          <t>Lương:Cạnh tranh</t>
        </is>
      </c>
      <c r="F14284" s="10" t="inlineStr">
        <is>
          <t>Đồng Nai</t>
        </is>
      </c>
      <c r="G14284" s="10" t="inlineStr">
        <is>
          <t>31-03-2026</t>
        </is>
      </c>
      <c r="H14284" s="10" t="inlineStr">
        <is>
          <t>31/03/2026</t>
        </is>
      </c>
      <c r="I14284" s="10" t="inlineStr">
        <is>
          <t>17/03/2026</t>
        </is>
      </c>
      <c r="J14284" s="10" t="inlineStr">
        <is>
          <t>Kế toán / Kiểm toán, Hành chính / Thư ký, Thu mua / Vật tư</t>
        </is>
      </c>
      <c r="K14284" s="10" t="inlineStr">
        <is>
          <t>4 - 10 Năm</t>
        </is>
      </c>
      <c r="L14284" s="11">
        <f>HYPERLINK("https://careerviet.vn/vi/tim-viec-lam/accounting-staff-temp-6-month-kcn-long-binh.35C6BE22.html","Xem chi tiết")</f>
        <v/>
      </c>
      <c r="M14284" s="10" t="n"/>
    </row>
    <row r="14285">
      <c r="B14285" s="7" t="n">
        <v>14283</v>
      </c>
      <c r="C14285" t="inlineStr">
        <is>
          <t>[I1] CHUYÊN VIÊN C&amp;B</t>
        </is>
      </c>
      <c r="D14285" t="inlineStr">
        <is>
          <t>BellSystem24-Việt Nam</t>
        </is>
      </c>
      <c r="E14285" t="inlineStr">
        <is>
          <t>Lương:12 Tr - 16 Tr VND</t>
        </is>
      </c>
      <c r="F14285" t="inlineStr">
        <is>
          <t>Hà Nội</t>
        </is>
      </c>
      <c r="G14285" t="inlineStr">
        <is>
          <t>01-04-2026</t>
        </is>
      </c>
      <c r="H14285" t="inlineStr">
        <is>
          <t>01/04/2026</t>
        </is>
      </c>
      <c r="I14285" t="inlineStr">
        <is>
          <t>17/03/2026</t>
        </is>
      </c>
      <c r="J14285" t="inlineStr">
        <is>
          <t>Nhân sự</t>
        </is>
      </c>
      <c r="K14285" t="inlineStr">
        <is>
          <t>3 - 10 Năm</t>
        </is>
      </c>
      <c r="L14285" s="8">
        <f>HYPERLINK("https://careerviet.vn/vi/tim-viec-lam/i1-chuyen-vien-c-b.35C6BE27.html","Xem chi tiết")</f>
        <v/>
      </c>
    </row>
    <row r="14286">
      <c r="B14286" s="9" t="n">
        <v>14284</v>
      </c>
      <c r="C14286" s="10" t="inlineStr">
        <is>
          <t>Production Shift Supervisor (KCN Long Bình)</t>
        </is>
      </c>
      <c r="D14286" s="10" t="inlineStr">
        <is>
          <t>Công ty TNHH Olam Việt Nam</t>
        </is>
      </c>
      <c r="E14286" s="10" t="inlineStr">
        <is>
          <t>Lương:Cạnh tranh</t>
        </is>
      </c>
      <c r="F14286" s="10" t="inlineStr">
        <is>
          <t>Đồng Nai</t>
        </is>
      </c>
      <c r="G14286" s="10" t="inlineStr">
        <is>
          <t>31-03-2026</t>
        </is>
      </c>
      <c r="H14286" s="10" t="inlineStr">
        <is>
          <t>31/03/2026</t>
        </is>
      </c>
      <c r="I14286" s="10" t="inlineStr">
        <is>
          <t>17/03/2026</t>
        </is>
      </c>
      <c r="J14286" s="10" t="inlineStr">
        <is>
          <t>Công nghệ sinh học, Công nghệ thực phẩm / Dinh dưỡng, Sản xuất / Vận hành sản xuất</t>
        </is>
      </c>
      <c r="K14286" s="10" t="inlineStr">
        <is>
          <t>2 - 3 Năm</t>
        </is>
      </c>
      <c r="L14286" s="11">
        <f>HYPERLINK("https://careerviet.vn/vi/tim-viec-lam/production-shift-supervisor-kcn-long-binh.35C6BE23.html","Xem chi tiết")</f>
        <v/>
      </c>
      <c r="M14286" s="10" t="n"/>
    </row>
    <row r="14287">
      <c r="B14287" s="7" t="n">
        <v>14285</v>
      </c>
      <c r="C14287" t="inlineStr">
        <is>
          <t>CHUYÊN VIÊN THIẾT KẾ MEP</t>
        </is>
      </c>
      <c r="D14287" t="inlineStr">
        <is>
          <t>CÔNG TY CỔ PHẦN THÀNH PHỐ DU LỊCH SINH THÁI SƠN TIÊN</t>
        </is>
      </c>
      <c r="E14287" t="inlineStr">
        <is>
          <t>Lương:Cạnh tranh</t>
        </is>
      </c>
      <c r="F14287" t="inlineStr">
        <is>
          <t>Đồng Nai</t>
        </is>
      </c>
      <c r="G14287" t="inlineStr">
        <is>
          <t>09-04-2026</t>
        </is>
      </c>
      <c r="H14287" t="inlineStr">
        <is>
          <t>09/04/2026</t>
        </is>
      </c>
      <c r="I14287" t="inlineStr">
        <is>
          <t>17/03/2026</t>
        </is>
      </c>
      <c r="J14287" t="inlineStr">
        <is>
          <t>Điện / Điện tử / Điện lạnh / Điện công nghiệp</t>
        </is>
      </c>
      <c r="K14287" t="inlineStr">
        <is>
          <t>Trên 3 Năm</t>
        </is>
      </c>
      <c r="L14287" s="8">
        <f>HYPERLINK("https://careerviet.vn/vi/tim-viec-lam/chuyen-vien-thiet-ke-mep.35C650EA.html","Xem chi tiết")</f>
        <v/>
      </c>
    </row>
    <row r="14288">
      <c r="B14288" s="9" t="n">
        <v>14286</v>
      </c>
      <c r="C14288" s="10" t="inlineStr">
        <is>
          <t>HCM - Chuyên Viên Kinh Doanh Khách hàng doanh nghiệp</t>
        </is>
      </c>
      <c r="D14288" s="10" t="inlineStr">
        <is>
          <t>Công ty CP IIG Việt Nam</t>
        </is>
      </c>
      <c r="E14288" s="10" t="inlineStr">
        <is>
          <t>Lương:10 Tr - 15 Tr VND</t>
        </is>
      </c>
      <c r="F14288" s="10" t="inlineStr">
        <is>
          <t>Hồ Chí Minh</t>
        </is>
      </c>
      <c r="G14288" s="10" t="inlineStr">
        <is>
          <t>09-04-2026</t>
        </is>
      </c>
      <c r="H14288" s="10" t="inlineStr">
        <is>
          <t>09/04/2026</t>
        </is>
      </c>
      <c r="I14288" s="10" t="inlineStr">
        <is>
          <t>17/03/2026</t>
        </is>
      </c>
      <c r="J14288" s="10" t="inlineStr">
        <is>
          <t>Bán hàng / Kinh doanh, Giáo dục / Đào tạo</t>
        </is>
      </c>
      <c r="K14288" s="10" t="inlineStr">
        <is>
          <t>Lên đến 3 Năm</t>
        </is>
      </c>
      <c r="L14288" s="11">
        <f>HYPERLINK("https://careerviet.vn/vi/tim-viec-lam/hcm-chuyen-vien-kinh-doanh-khach-hang-doanh-nghiep.35C6507C.html","Xem chi tiết")</f>
        <v/>
      </c>
      <c r="M14288" s="10" t="n"/>
    </row>
    <row r="14289">
      <c r="B14289" s="7" t="n">
        <v>14287</v>
      </c>
      <c r="C14289" t="inlineStr">
        <is>
          <t>Nhân viên Bàn giao Sản xuất In ấn</t>
        </is>
      </c>
      <c r="D14289" t="inlineStr">
        <is>
          <t>Inca Agency</t>
        </is>
      </c>
      <c r="E14289" t="inlineStr">
        <is>
          <t>Lương:12 Tr - 17 Tr VND</t>
        </is>
      </c>
      <c r="F14289" t="inlineStr">
        <is>
          <t>Hà NộiHồ Chí Minh</t>
        </is>
      </c>
      <c r="G14289" t="inlineStr">
        <is>
          <t>09-04-2026</t>
        </is>
      </c>
      <c r="H14289" t="inlineStr">
        <is>
          <t>09/04/2026</t>
        </is>
      </c>
      <c r="I14289" t="inlineStr">
        <is>
          <t>17/03/2026</t>
        </is>
      </c>
      <c r="J14289" t="inlineStr">
        <is>
          <t>Sản xuất / Vận hành sản xuất, In ấn / Xuất bản</t>
        </is>
      </c>
      <c r="K14289" t="inlineStr">
        <is>
          <t>1 - 2 Năm</t>
        </is>
      </c>
      <c r="L14289" s="8">
        <f>HYPERLINK("https://careerviet.vn/vi/tim-viec-lam/nhan-vien-ban-giao-san-xuat-in-an.35C651FC.html","Xem chi tiết")</f>
        <v/>
      </c>
    </row>
    <row r="14290">
      <c r="B14290" s="9" t="n">
        <v>14288</v>
      </c>
      <c r="C14290" s="10" t="inlineStr">
        <is>
          <t>Nhân viên chính thức trực Tổng đài nhà mạng Viettel</t>
        </is>
      </c>
      <c r="D14290" s="10" t="inlineStr">
        <is>
          <t>BellSystem24-Việt Nam</t>
        </is>
      </c>
      <c r="E14290" s="10" t="inlineStr">
        <is>
          <t>Lương:5 Tr - 8 Tr VND</t>
        </is>
      </c>
      <c r="F14290" s="10" t="inlineStr">
        <is>
          <t>Đà Nẵng</t>
        </is>
      </c>
      <c r="G14290" s="10" t="inlineStr">
        <is>
          <t>09-04-2026</t>
        </is>
      </c>
      <c r="H14290" s="10" t="inlineStr">
        <is>
          <t>09/04/2026</t>
        </is>
      </c>
      <c r="I14290" s="10" t="inlineStr">
        <is>
          <t>17/03/2026</t>
        </is>
      </c>
      <c r="J14290" s="10" t="inlineStr">
        <is>
          <t>Tư vấn, Dịch vụ khách hàng, Lao động phổ thông</t>
        </is>
      </c>
      <c r="K14290" s="10" t="inlineStr">
        <is>
          <t>N/A</t>
        </is>
      </c>
      <c r="L14290" s="11">
        <f>HYPERLINK("https://careerviet.vn/vi/tim-viec-lam/nhan-vien-chinh-thuc-truc-tong-dai-nha-mang-viettel.35C651A8.html","Xem chi tiết")</f>
        <v/>
      </c>
      <c r="M14290" s="10" t="n"/>
    </row>
    <row r="14291">
      <c r="B14291" s="7" t="n">
        <v>14289</v>
      </c>
      <c r="C14291" t="inlineStr">
        <is>
          <t>KẾ TOÁN TỔNG HỢP</t>
        </is>
      </c>
      <c r="D14291" t="inlineStr">
        <is>
          <t>Công ty cổ phần xây dựng và thương mại Tam Long</t>
        </is>
      </c>
      <c r="E14291" t="inlineStr">
        <is>
          <t>Lương:18 Tr - 22 Tr VND</t>
        </is>
      </c>
      <c r="F14291" t="inlineStr">
        <is>
          <t>Hải Phòng</t>
        </is>
      </c>
      <c r="G14291" t="inlineStr">
        <is>
          <t>09-04-2026</t>
        </is>
      </c>
      <c r="H14291" t="inlineStr">
        <is>
          <t>09/04/2026</t>
        </is>
      </c>
      <c r="I14291" t="inlineStr">
        <is>
          <t>17/03/2026</t>
        </is>
      </c>
      <c r="J14291" t="inlineStr">
        <is>
          <t>Kế toán / Kiểm toán</t>
        </is>
      </c>
      <c r="K14291" t="inlineStr">
        <is>
          <t>1 - 3 Năm</t>
        </is>
      </c>
      <c r="L14291" s="8">
        <f>HYPERLINK("https://careerviet.vn/vi/tim-viec-lam/ke-toan-tong-hop.35C63D4D.html","Xem chi tiết")</f>
        <v/>
      </c>
    </row>
    <row r="14292">
      <c r="B14292" s="9" t="n">
        <v>14290</v>
      </c>
      <c r="C14292" s="10" t="inlineStr">
        <is>
          <t>General Manager</t>
        </is>
      </c>
      <c r="D14292" s="10" t="inlineStr">
        <is>
          <t>QT Instruments (S) Vietnam</t>
        </is>
      </c>
      <c r="E14292" s="10" t="inlineStr">
        <is>
          <t>Lương:Cạnh tranh</t>
        </is>
      </c>
      <c r="F14292" s="10" t="inlineStr">
        <is>
          <t>Hồ Chí Minh</t>
        </is>
      </c>
      <c r="G14292" s="10" t="inlineStr">
        <is>
          <t>09-04-2026</t>
        </is>
      </c>
      <c r="H14292" s="10" t="inlineStr">
        <is>
          <t>09/04/2026</t>
        </is>
      </c>
      <c r="I14292" s="10" t="inlineStr">
        <is>
          <t>17/03/2026</t>
        </is>
      </c>
      <c r="J14292" s="10" t="inlineStr">
        <is>
          <t>Bán hàng / Kinh doanh, Dược phẩm/ Hóa Mỹ Phẩm, Công nghệ sinh học</t>
        </is>
      </c>
      <c r="K14292" s="10" t="inlineStr">
        <is>
          <t>6 - 8 Năm</t>
        </is>
      </c>
      <c r="L14292" s="11">
        <f>HYPERLINK("https://careerviet.vn/vi/tim-viec-lam/general-manager.35C6513B.html","Xem chi tiết")</f>
        <v/>
      </c>
      <c r="M14292" s="10" t="n"/>
    </row>
    <row r="14293">
      <c r="B14293" s="7" t="n">
        <v>14291</v>
      </c>
      <c r="C14293" t="inlineStr">
        <is>
          <t>Nhân viên Vận hành máy – Thợ kỹ thuật (cơ điện tử)</t>
        </is>
      </c>
      <c r="D14293" t="inlineStr">
        <is>
          <t>CÔNG TY CỔ PHẦN CHẾ BIẾN THỰC PHẨM LÊ NGUYỄN DƯƠNG</t>
        </is>
      </c>
      <c r="E14293" t="inlineStr">
        <is>
          <t>Lương:8 Tr - 9 Tr VND</t>
        </is>
      </c>
      <c r="F14293" t="inlineStr">
        <is>
          <t>Hồ Chí Minh</t>
        </is>
      </c>
      <c r="G14293" t="inlineStr">
        <is>
          <t>09-04-2026</t>
        </is>
      </c>
      <c r="H14293" t="inlineStr">
        <is>
          <t>09/04/2026</t>
        </is>
      </c>
      <c r="I14293" t="inlineStr">
        <is>
          <t>17/03/2026</t>
        </is>
      </c>
      <c r="J14293" t="inlineStr">
        <is>
          <t>Cơ khí / Ô tô / Tự động hóa, Bảo trì / Sửa chữa, Sản xuất / Vận hành sản xuất</t>
        </is>
      </c>
      <c r="K14293" t="inlineStr">
        <is>
          <t>N/A</t>
        </is>
      </c>
      <c r="L14293" s="8">
        <f>HYPERLINK("https://careerviet.vn/vi/tim-viec-lam/nhan-vien-van-hanh-may-tho-ky-thuat-co-dien-tu.35C651DD.html","Xem chi tiết")</f>
        <v/>
      </c>
    </row>
    <row r="14294">
      <c r="B14294" s="9" t="n">
        <v>14292</v>
      </c>
      <c r="C14294" s="10" t="inlineStr">
        <is>
          <t>VẬN HÀNH MÁY</t>
        </is>
      </c>
      <c r="D14294" s="10" t="inlineStr">
        <is>
          <t>CÔNG TY TNHH ELTETE (VIỆT NAM)</t>
        </is>
      </c>
      <c r="E14294" s="10" t="inlineStr">
        <is>
          <t>Lương:Cạnh tranh</t>
        </is>
      </c>
      <c r="F14294" s="10" t="inlineStr">
        <is>
          <t>Bình Dương</t>
        </is>
      </c>
      <c r="G14294" s="10" t="inlineStr">
        <is>
          <t>09-04-2026</t>
        </is>
      </c>
      <c r="H14294" s="10" t="inlineStr">
        <is>
          <t>09/04/2026</t>
        </is>
      </c>
      <c r="I14294" s="10" t="inlineStr">
        <is>
          <t>17/03/2026</t>
        </is>
      </c>
      <c r="J14294" s="10" t="inlineStr">
        <is>
          <t>Sản xuất / Vận hành sản xuất</t>
        </is>
      </c>
      <c r="K14294" s="10" t="inlineStr">
        <is>
          <t>Chưa có kinh nghiệm</t>
        </is>
      </c>
      <c r="L14294" s="11">
        <f>HYPERLINK("https://careerviet.vn/vi/tim-viec-lam/van-hanh-may.35C65225.html","Xem chi tiết")</f>
        <v/>
      </c>
      <c r="M14294" s="10" t="n"/>
    </row>
    <row r="14295">
      <c r="B14295" s="7" t="n">
        <v>14293</v>
      </c>
      <c r="C14295" t="inlineStr">
        <is>
          <t>Sales &amp; Operation Supervisor (Feild force)</t>
        </is>
      </c>
      <c r="D14295" t="inlineStr">
        <is>
          <t>Tập Đoàn Karofi Holding</t>
        </is>
      </c>
      <c r="E14295" t="inlineStr">
        <is>
          <t>Lương:Cạnh tranh</t>
        </is>
      </c>
      <c r="F14295" t="inlineStr">
        <is>
          <t>Hồ Chí Minh</t>
        </is>
      </c>
      <c r="G14295" t="inlineStr">
        <is>
          <t>09-04-2026</t>
        </is>
      </c>
      <c r="H14295" t="inlineStr">
        <is>
          <t>09/04/2026</t>
        </is>
      </c>
      <c r="I14295" t="inlineStr">
        <is>
          <t>17/03/2026</t>
        </is>
      </c>
      <c r="J14295" t="inlineStr">
        <is>
          <t>Bán lẻ / Bán sỉ, Bán hàng / Kinh doanh, Bán Hàng Kỹ Thuật</t>
        </is>
      </c>
      <c r="K14295" t="inlineStr">
        <is>
          <t>5 - 7 Năm</t>
        </is>
      </c>
      <c r="L14295" s="8">
        <f>HYPERLINK("https://careerviet.vn/vi/tim-viec-lam/sales-operation-supervisor-feild-force.35C65111.html","Xem chi tiết")</f>
        <v/>
      </c>
    </row>
    <row r="14296">
      <c r="B14296" s="9" t="n">
        <v>14294</v>
      </c>
      <c r="C14296" s="10" t="inlineStr">
        <is>
          <t>Chuyên gia/Chuyên viên cao cấp Phân tích Tài chính</t>
        </is>
      </c>
      <c r="D14296" s="10" t="inlineStr">
        <is>
          <t>Ngân Hàng TMCP Quốc Tế Việt Nam</t>
        </is>
      </c>
      <c r="E14296" s="10" t="inlineStr">
        <is>
          <t>Lương:Cạnh tranh</t>
        </is>
      </c>
      <c r="F14296" s="10" t="inlineStr">
        <is>
          <t>Hồ Chí Minh</t>
        </is>
      </c>
      <c r="G14296" s="10" t="inlineStr">
        <is>
          <t>09-04-2026</t>
        </is>
      </c>
      <c r="H14296" s="10" t="inlineStr">
        <is>
          <t>09/04/2026</t>
        </is>
      </c>
      <c r="I14296" s="10" t="inlineStr">
        <is>
          <t>17/03/2026</t>
        </is>
      </c>
      <c r="J14296" s="10" t="inlineStr">
        <is>
          <t>Ngân hàng, Tài chính / Đầu tư</t>
        </is>
      </c>
      <c r="K14296" s="10" t="inlineStr">
        <is>
          <t>4 - 7 Năm</t>
        </is>
      </c>
      <c r="L14296" s="11">
        <f>HYPERLINK("https://careerviet.vn/vi/tim-viec-lam/chuyen-gia-chuyen-vien-cao-cap-phan-tich-tai-chinh.35C65194.html","Xem chi tiết")</f>
        <v/>
      </c>
      <c r="M14296" s="10" t="n"/>
    </row>
    <row r="14297">
      <c r="B14297" s="7" t="n">
        <v>14295</v>
      </c>
      <c r="C14297" t="inlineStr">
        <is>
          <t>Kế Toán Trưởng Tập Đoàn</t>
        </is>
      </c>
      <c r="D14297" t="inlineStr">
        <is>
          <t>CÔNG TY CỔ PHẦN TẬP ĐOÀN THÀNH NAM</t>
        </is>
      </c>
      <c r="E14297" t="inlineStr">
        <is>
          <t>Lương:30 Tr - 40 Tr VND</t>
        </is>
      </c>
      <c r="F14297" t="inlineStr">
        <is>
          <t>Hà Nội</t>
        </is>
      </c>
      <c r="G14297" t="inlineStr">
        <is>
          <t>09-04-2026</t>
        </is>
      </c>
      <c r="H14297" t="inlineStr">
        <is>
          <t>09/04/2026</t>
        </is>
      </c>
      <c r="I14297" t="inlineStr">
        <is>
          <t>17/03/2026</t>
        </is>
      </c>
      <c r="J14297" t="inlineStr">
        <is>
          <t>Kế toán / Kiểm toán</t>
        </is>
      </c>
      <c r="K14297" t="inlineStr">
        <is>
          <t>5 - 8 Năm</t>
        </is>
      </c>
      <c r="L14297" s="8">
        <f>HYPERLINK("https://careerviet.vn/vi/tim-viec-lam/ke-toan-truong-tap-doan.35C65076.html","Xem chi tiết")</f>
        <v/>
      </c>
    </row>
    <row r="14298">
      <c r="B14298" s="9" t="n">
        <v>14296</v>
      </c>
      <c r="C14298" s="10" t="inlineStr">
        <is>
          <t>CHUYÊN VIÊN KẾ TOÁN (Pleiku - Gia Lai)</t>
        </is>
      </c>
      <c r="D14298" s="10" t="inlineStr">
        <is>
          <t>Công ty cổ phần Nafoods Group</t>
        </is>
      </c>
      <c r="E14298" s="10" t="inlineStr">
        <is>
          <t>Lương:Cạnh tranh</t>
        </is>
      </c>
      <c r="F14298" s="10" t="inlineStr">
        <is>
          <t>Gia Lai</t>
        </is>
      </c>
      <c r="G14298" s="10" t="inlineStr">
        <is>
          <t>09-04-2026</t>
        </is>
      </c>
      <c r="H14298" s="10" t="inlineStr">
        <is>
          <t>09/04/2026</t>
        </is>
      </c>
      <c r="I14298" s="10" t="inlineStr">
        <is>
          <t>17/03/2026</t>
        </is>
      </c>
      <c r="J14298" s="10" t="inlineStr">
        <is>
          <t>Kế toán / Kiểm toán</t>
        </is>
      </c>
      <c r="K14298" s="10" t="inlineStr">
        <is>
          <t>1 - 2 Năm</t>
        </is>
      </c>
      <c r="L14298" s="11">
        <f>HYPERLINK("https://careerviet.vn/vi/tim-viec-lam/chuyen-vien-ke-toan-pleiku-gia-lai.35C65121.html","Xem chi tiết")</f>
        <v/>
      </c>
      <c r="M14298" s="10" t="n"/>
    </row>
    <row r="14299">
      <c r="B14299" s="7" t="n">
        <v>14297</v>
      </c>
      <c r="C14299" t="inlineStr">
        <is>
          <t>Chuyên viên kế hoạch</t>
        </is>
      </c>
      <c r="D14299" t="inlineStr">
        <is>
          <t>ERAS GROUP</t>
        </is>
      </c>
      <c r="E14299" t="inlineStr">
        <is>
          <t>Lương:Cạnh tranh</t>
        </is>
      </c>
      <c r="F14299" t="inlineStr">
        <is>
          <t>Hồ Chí Minh</t>
        </is>
      </c>
      <c r="G14299" t="inlineStr">
        <is>
          <t>09-04-2026</t>
        </is>
      </c>
      <c r="H14299" t="inlineStr">
        <is>
          <t>09/04/2026</t>
        </is>
      </c>
      <c r="I14299" t="inlineStr">
        <is>
          <t>17/03/2026</t>
        </is>
      </c>
      <c r="J14299" t="inlineStr">
        <is>
          <t>Tư vấn, Quản lý điều hành, Tiếp thị / Marketing</t>
        </is>
      </c>
      <c r="K14299" t="inlineStr">
        <is>
          <t>Trên 2 Năm</t>
        </is>
      </c>
      <c r="L14299" s="8">
        <f>HYPERLINK("https://careerviet.vn/vi/tim-viec-lam/chuyen-vien-ke-hoach.35C650EF.html","Xem chi tiết")</f>
        <v/>
      </c>
    </row>
    <row r="14300">
      <c r="B14300" s="9" t="n">
        <v>14298</v>
      </c>
      <c r="C14300" s="10" t="inlineStr">
        <is>
          <t>Proposal Drawing Engineer (Thiết kế báo giá)</t>
        </is>
      </c>
      <c r="D14300" s="10" t="inlineStr">
        <is>
          <t>PEB STEEL BUILDINGS CO., LTD.</t>
        </is>
      </c>
      <c r="E14300" s="10" t="inlineStr">
        <is>
          <t>Lương:Cạnh tranh</t>
        </is>
      </c>
      <c r="F14300" s="10" t="inlineStr">
        <is>
          <t>Hồ Chí Minh</t>
        </is>
      </c>
      <c r="G14300" s="10" t="inlineStr">
        <is>
          <t>09-04-2026</t>
        </is>
      </c>
      <c r="H14300" s="10" t="inlineStr">
        <is>
          <t>09/04/2026</t>
        </is>
      </c>
      <c r="I14300" s="10" t="inlineStr">
        <is>
          <t>17/03/2026</t>
        </is>
      </c>
      <c r="J14300" s="10" t="inlineStr">
        <is>
          <t>Kiến trúc, Xây dựng</t>
        </is>
      </c>
      <c r="K14300" s="10" t="inlineStr">
        <is>
          <t>2 - 4 Năm</t>
        </is>
      </c>
      <c r="L14300" s="11">
        <f>HYPERLINK("https://careerviet.vn/vi/tim-viec-lam/proposal-drawing-engineer-thiet-ke-bao-gia.35C6518A.html","Xem chi tiết")</f>
        <v/>
      </c>
      <c r="M14300" s="10" t="n"/>
    </row>
    <row r="14301">
      <c r="B14301" s="7" t="n">
        <v>14299</v>
      </c>
      <c r="C14301" t="inlineStr">
        <is>
          <t>Technical Engineer</t>
        </is>
      </c>
      <c r="D14301" t="inlineStr">
        <is>
          <t>Công Ty TNHH Maker Sixty Four</t>
        </is>
      </c>
      <c r="E14301" t="inlineStr">
        <is>
          <t>Lương:Cạnh tranh</t>
        </is>
      </c>
      <c r="F14301" t="inlineStr">
        <is>
          <t>Long An</t>
        </is>
      </c>
      <c r="G14301" t="inlineStr">
        <is>
          <t>09-04-2026</t>
        </is>
      </c>
      <c r="H14301" t="inlineStr">
        <is>
          <t>09/04/2026</t>
        </is>
      </c>
      <c r="I14301" t="inlineStr">
        <is>
          <t>17/03/2026</t>
        </is>
      </c>
      <c r="J14301" t="inlineStr">
        <is>
          <t>Sản xuất / Vận hành sản xuất, Đồ gỗ, Nội ngoại thất</t>
        </is>
      </c>
      <c r="K14301" t="inlineStr">
        <is>
          <t>3 - 5 Năm</t>
        </is>
      </c>
      <c r="L14301" s="8">
        <f>HYPERLINK("https://careerviet.vn/vi/tim-viec-lam/technical-engineer.35C6509C.html","Xem chi tiết")</f>
        <v/>
      </c>
    </row>
    <row r="14302">
      <c r="B14302" s="9" t="n">
        <v>14300</v>
      </c>
      <c r="C14302" s="10" t="inlineStr">
        <is>
          <t>Nhân viên kinh doanh</t>
        </is>
      </c>
      <c r="D14302" s="10" t="inlineStr">
        <is>
          <t>CÔNG TY CỔ PHẦN TRANG THIẾT BỊ Y TẾ ĐỨC TÍN</t>
        </is>
      </c>
      <c r="E14302" s="10" t="inlineStr">
        <is>
          <t>Lương:8 Tr - 35 Tr VND</t>
        </is>
      </c>
      <c r="F14302" s="10" t="inlineStr">
        <is>
          <t>Hà Nội</t>
        </is>
      </c>
      <c r="G14302" s="10" t="inlineStr">
        <is>
          <t>09-04-2026</t>
        </is>
      </c>
      <c r="H14302" s="10" t="inlineStr">
        <is>
          <t>09/04/2026</t>
        </is>
      </c>
      <c r="I14302" s="10" t="inlineStr">
        <is>
          <t>17/03/2026</t>
        </is>
      </c>
      <c r="J14302" s="10" t="inlineStr">
        <is>
          <t>Y tế / Chăm sóc sức khỏe / Thẩm mỹ / Làm đẹp</t>
        </is>
      </c>
      <c r="K14302" s="10" t="inlineStr">
        <is>
          <t>Chưa có kinh nghiệm</t>
        </is>
      </c>
      <c r="L14302" s="11">
        <f>HYPERLINK("https://careerviet.vn/vi/tim-viec-lam/nhan-vien-kinh-doanh.35C6508B.html","Xem chi tiết")</f>
        <v/>
      </c>
      <c r="M14302" s="10" t="n"/>
    </row>
    <row r="14303">
      <c r="B14303" s="7" t="n">
        <v>14301</v>
      </c>
      <c r="C14303" t="inlineStr">
        <is>
          <t>Packing Engineer</t>
        </is>
      </c>
      <c r="D14303" t="inlineStr">
        <is>
          <t>Công Ty TNHH Maker Sixty Four</t>
        </is>
      </c>
      <c r="E14303" t="inlineStr">
        <is>
          <t>Lương:Cạnh tranh</t>
        </is>
      </c>
      <c r="F14303" t="inlineStr">
        <is>
          <t>Long An</t>
        </is>
      </c>
      <c r="G14303" t="inlineStr">
        <is>
          <t>09-04-2026</t>
        </is>
      </c>
      <c r="H14303" t="inlineStr">
        <is>
          <t>09/04/2026</t>
        </is>
      </c>
      <c r="I14303" t="inlineStr">
        <is>
          <t>17/03/2026</t>
        </is>
      </c>
      <c r="J14303" t="inlineStr">
        <is>
          <t>Sản xuất / Vận hành sản xuất, Nội ngoại thất</t>
        </is>
      </c>
      <c r="K14303" t="inlineStr">
        <is>
          <t>2 - 5 Năm</t>
        </is>
      </c>
      <c r="L14303" s="8">
        <f>HYPERLINK("https://careerviet.vn/vi/tim-viec-lam/packing-engineer.35C65089.html","Xem chi tiết")</f>
        <v/>
      </c>
    </row>
    <row r="14304">
      <c r="B14304" s="9" t="n">
        <v>14302</v>
      </c>
      <c r="C14304" s="10" t="inlineStr">
        <is>
          <t>126629 - Tiếng Nhật - Nhân viên Chăm sóc khách hàng - ngành Hậu cần</t>
        </is>
      </c>
      <c r="D14304" s="10" t="inlineStr">
        <is>
          <t>RGF HR Agent Vietnam Co., LTD</t>
        </is>
      </c>
      <c r="E14304" s="10" t="inlineStr">
        <is>
          <t>Lương:15 Tr - 17,5 Tr VND</t>
        </is>
      </c>
      <c r="F14304" s="10" t="inlineStr">
        <is>
          <t>Hà Nội</t>
        </is>
      </c>
      <c r="G14304" s="10" t="inlineStr">
        <is>
          <t>09-04-2026</t>
        </is>
      </c>
      <c r="H14304" s="10" t="inlineStr">
        <is>
          <t>09/04/2026</t>
        </is>
      </c>
      <c r="I14304" s="10" t="inlineStr">
        <is>
          <t>17/03/2026</t>
        </is>
      </c>
      <c r="J14304" s="10" t="inlineStr">
        <is>
          <t>Tư vấn, Vận chuyển / Giao nhận / Kho vận</t>
        </is>
      </c>
      <c r="K14304" s="10" t="inlineStr">
        <is>
          <t>Trên 1 Năm</t>
        </is>
      </c>
      <c r="L14304" s="11">
        <f>HYPERLINK("https://careerviet.vn/vi/tim-viec-lam/126629-tieng-nhat-nhan-vien-cham-soc-khach-hang-nganh-hau-can.35C65203.html","Xem chi tiết")</f>
        <v/>
      </c>
      <c r="M14304" s="10" t="n"/>
    </row>
    <row r="14305">
      <c r="B14305" s="7" t="n">
        <v>14303</v>
      </c>
      <c r="C14305" t="inlineStr">
        <is>
          <t>126547 - Phiên dịch viên - Manufacturing</t>
        </is>
      </c>
      <c r="D14305" t="inlineStr">
        <is>
          <t>RGF HR Agent Vietnam Co., LTD</t>
        </is>
      </c>
      <c r="E14305" t="inlineStr">
        <is>
          <t>Lương:15 Tr - 17 Tr VND</t>
        </is>
      </c>
      <c r="F14305" t="inlineStr">
        <is>
          <t>Hà Nội</t>
        </is>
      </c>
      <c r="G14305" t="inlineStr">
        <is>
          <t>09-04-2026</t>
        </is>
      </c>
      <c r="H14305" t="inlineStr">
        <is>
          <t>09/04/2026</t>
        </is>
      </c>
      <c r="I14305" t="inlineStr">
        <is>
          <t>17/03/2026</t>
        </is>
      </c>
      <c r="J14305" t="inlineStr">
        <is>
          <t>Biên phiên dịch</t>
        </is>
      </c>
      <c r="K14305" t="inlineStr">
        <is>
          <t>Trên 3 Năm</t>
        </is>
      </c>
      <c r="L14305" s="8">
        <f>HYPERLINK("https://careerviet.vn/vi/tim-viec-lam/126547-phien-dich-vien-manufacturing.35C651F5.html","Xem chi tiết")</f>
        <v/>
      </c>
    </row>
    <row r="14306">
      <c r="B14306" s="9" t="n">
        <v>14304</v>
      </c>
      <c r="C14306" s="10" t="inlineStr">
        <is>
          <t>Chuyên Viên Tín Dụng</t>
        </is>
      </c>
      <c r="D14306" s="10" t="inlineStr">
        <is>
          <t>Công Ty Tài Chính Mirae Asset (Việt Nam)</t>
        </is>
      </c>
      <c r="E14306" s="10" t="inlineStr">
        <is>
          <t>Lương:Cạnh tranh</t>
        </is>
      </c>
      <c r="F14306" s="10" t="inlineStr">
        <is>
          <t>Đồng Bằng Sông Cửu LongKV Tây NguyênKV Bắc Trung Bộ</t>
        </is>
      </c>
      <c r="G14306" s="10" t="inlineStr">
        <is>
          <t>09-04-2026</t>
        </is>
      </c>
      <c r="H14306" s="10" t="inlineStr">
        <is>
          <t>09/04/2026</t>
        </is>
      </c>
      <c r="I14306" s="10" t="inlineStr">
        <is>
          <t>17/03/2026</t>
        </is>
      </c>
      <c r="J14306" s="10" t="inlineStr">
        <is>
          <t>Bảo hiểm, Bất động sản, Bán hàng / Kinh doanh</t>
        </is>
      </c>
      <c r="K14306" s="10" t="inlineStr">
        <is>
          <t>1 - 5 Năm</t>
        </is>
      </c>
      <c r="L14306" s="11">
        <f>HYPERLINK("https://careerviet.vn/vi/tim-viec-lam/chuyen-vien-tin-dung.35C650A0.html","Xem chi tiết")</f>
        <v/>
      </c>
      <c r="M14306" s="10" t="n"/>
    </row>
    <row r="14307">
      <c r="B14307" s="7" t="n">
        <v>14305</v>
      </c>
      <c r="C14307" t="inlineStr">
        <is>
          <t>Nhân Viên Kinh Doanh Thị Trường/ Thương Mại Điện Tử</t>
        </is>
      </c>
      <c r="D14307" t="inlineStr">
        <is>
          <t>Công Ty TNHH Công Nghiệp Nhựa Tinh Diệu</t>
        </is>
      </c>
      <c r="E14307" t="inlineStr">
        <is>
          <t>Lương:12 Tr - 25 Tr VND</t>
        </is>
      </c>
      <c r="F14307" t="inlineStr">
        <is>
          <t>Bình Dương</t>
        </is>
      </c>
      <c r="G14307" t="inlineStr">
        <is>
          <t>09-04-2026</t>
        </is>
      </c>
      <c r="H14307" t="inlineStr">
        <is>
          <t>09/04/2026</t>
        </is>
      </c>
      <c r="I14307" t="inlineStr">
        <is>
          <t>17/03/2026</t>
        </is>
      </c>
      <c r="J14307" t="inlineStr">
        <is>
          <t>Bán hàng / Kinh doanh, Thương mại điện tử, Bán lẻ / Bán sỉ</t>
        </is>
      </c>
      <c r="K14307" t="inlineStr">
        <is>
          <t>1 - 2 Năm</t>
        </is>
      </c>
      <c r="L14307" s="8">
        <f>HYPERLINK("https://careerviet.vn/vi/tim-viec-lam/nhan-vien-kinh-doanh-thi-truong-thuong-mai-dien-tu.35C651F0.html","Xem chi tiết")</f>
        <v/>
      </c>
    </row>
    <row r="14308">
      <c r="B14308" s="9" t="n">
        <v>14306</v>
      </c>
      <c r="C14308" s="10" t="inlineStr">
        <is>
          <t>Giáo viên tiếng Đức Full Time/Part Time</t>
        </is>
      </c>
      <c r="D14308" s="10" t="inlineStr">
        <is>
          <t>Công ty Cổ Phần Giáo Dục German Link</t>
        </is>
      </c>
      <c r="E14308" s="10" t="inlineStr">
        <is>
          <t>Lương:25 Tr - 50 Tr VND</t>
        </is>
      </c>
      <c r="F14308" s="10" t="inlineStr">
        <is>
          <t>Hồ Chí MinhHà Nội</t>
        </is>
      </c>
      <c r="G14308" s="10" t="inlineStr">
        <is>
          <t>09-04-2026</t>
        </is>
      </c>
      <c r="H14308" s="10" t="inlineStr">
        <is>
          <t>09/04/2026</t>
        </is>
      </c>
      <c r="I14308" s="10" t="inlineStr">
        <is>
          <t>17/03/2026</t>
        </is>
      </c>
      <c r="J14308" s="10" t="inlineStr">
        <is>
          <t>Giáo dục / Đào tạo</t>
        </is>
      </c>
      <c r="K14308" s="10" t="inlineStr">
        <is>
          <t>Lên đến 1 Năm</t>
        </is>
      </c>
      <c r="L14308" s="11">
        <f>HYPERLINK("https://careerviet.vn/vi/tim-viec-lam/giao-vien-tieng-duc-full-time-part-time.35C6511C.html","Xem chi tiết")</f>
        <v/>
      </c>
      <c r="M14308" s="10" t="n"/>
    </row>
    <row r="14309">
      <c r="B14309" s="7" t="n">
        <v>14307</v>
      </c>
      <c r="C14309" t="inlineStr">
        <is>
          <t>Nhân Viên Sản Xuất Láp Ráp Quạt</t>
        </is>
      </c>
      <c r="D14309" t="inlineStr">
        <is>
          <t>CÔNG TY TNHH SẢN XUẤT THƯƠNG MẠI LIÊN HIỆP</t>
        </is>
      </c>
      <c r="E14309" t="inlineStr">
        <is>
          <t>Lương:8 Tr - 9 Tr VND</t>
        </is>
      </c>
      <c r="F14309" t="inlineStr">
        <is>
          <t>Hồ Chí Minh</t>
        </is>
      </c>
      <c r="G14309" t="inlineStr">
        <is>
          <t>09-04-2026</t>
        </is>
      </c>
      <c r="H14309" t="inlineStr">
        <is>
          <t>09/04/2026</t>
        </is>
      </c>
      <c r="I14309" t="inlineStr">
        <is>
          <t>17/03/2026</t>
        </is>
      </c>
      <c r="J14309" t="inlineStr">
        <is>
          <t>Vận chuyển / Giao nhận / Kho vận, Lao động phổ thông, Sản xuất / Vận hành sản xuất</t>
        </is>
      </c>
      <c r="K14309" t="inlineStr">
        <is>
          <t>N/A</t>
        </is>
      </c>
      <c r="L14309" s="8">
        <f>HYPERLINK("https://careerviet.vn/vi/tim-viec-lam/nhan-vien-san-xuat-lap-rap-quat.35C651D3.html","Xem chi tiết")</f>
        <v/>
      </c>
    </row>
    <row r="14310">
      <c r="B14310" s="9" t="n">
        <v>14308</v>
      </c>
      <c r="C14310" s="10" t="inlineStr">
        <is>
          <t>Affiliate Assistant Manager</t>
        </is>
      </c>
      <c r="D14310" s="10" t="inlineStr">
        <is>
          <t>Công Ty Cổ Phần Goody Group</t>
        </is>
      </c>
      <c r="E14310" s="10" t="inlineStr">
        <is>
          <t>Lương:Cạnh tranh</t>
        </is>
      </c>
      <c r="F14310" s="10" t="inlineStr">
        <is>
          <t>Hồ Chí Minh</t>
        </is>
      </c>
      <c r="G14310" s="10" t="inlineStr">
        <is>
          <t>09-04-2026</t>
        </is>
      </c>
      <c r="H14310" s="10" t="inlineStr">
        <is>
          <t>09/04/2026</t>
        </is>
      </c>
      <c r="I14310" s="10" t="inlineStr">
        <is>
          <t>17/03/2026</t>
        </is>
      </c>
      <c r="J14310" s="10" t="inlineStr">
        <is>
          <t>Tiếp thị / Marketing, Tiếp thị trực tuyến, Thực phẩm &amp; Đồ uống</t>
        </is>
      </c>
      <c r="K14310" s="10" t="inlineStr">
        <is>
          <t>2 - 5 Năm</t>
        </is>
      </c>
      <c r="L14310" s="11">
        <f>HYPERLINK("https://careerviet.vn/vi/tim-viec-lam/affiliate-assistant-manager.35C644DC.html","Xem chi tiết")</f>
        <v/>
      </c>
      <c r="M14310" s="10" t="n"/>
    </row>
    <row r="14311">
      <c r="B14311" s="7" t="n">
        <v>14309</v>
      </c>
      <c r="C14311" t="inlineStr">
        <is>
          <t>Nhân Viên Nghiên Cứu Và Phát Triển Sản Phẩm (Nhựa Gỗ)</t>
        </is>
      </c>
      <c r="D14311" t="inlineStr">
        <is>
          <t>Công Ty Cổ Phần Đầu Tư Và Phát Triển Nhựa Gỗ Châu Âu</t>
        </is>
      </c>
      <c r="E14311" t="inlineStr">
        <is>
          <t>Lương:9 Tr - 15 Tr VND</t>
        </is>
      </c>
      <c r="F14311" t="inlineStr">
        <is>
          <t>Yên Bái</t>
        </is>
      </c>
      <c r="G14311" t="inlineStr">
        <is>
          <t>09-04-2026</t>
        </is>
      </c>
      <c r="H14311" t="inlineStr">
        <is>
          <t>09/04/2026</t>
        </is>
      </c>
      <c r="I14311" t="inlineStr">
        <is>
          <t>17/03/2026</t>
        </is>
      </c>
      <c r="J14311" t="inlineStr">
        <is>
          <t>Cơ khí / Ô tô / Tự động hóa, Điện / Điện tử / Điện lạnh / Điện công nghiệp, Sản xuất / Vận hành sản xuất</t>
        </is>
      </c>
      <c r="K14311" t="inlineStr">
        <is>
          <t>3 - 5 Năm</t>
        </is>
      </c>
      <c r="L14311" s="8">
        <f>HYPERLINK("https://careerviet.vn/vi/tim-viec-lam/nhan-vien-nghien-cuu-va-phat-trien-san-pham-nhua-go.35C650F8.html","Xem chi tiết")</f>
        <v/>
      </c>
    </row>
    <row r="14312">
      <c r="B14312" s="9" t="n">
        <v>14310</v>
      </c>
      <c r="C14312" s="10" t="inlineStr">
        <is>
          <t>Accountant Executive</t>
        </is>
      </c>
      <c r="D14312" s="10" t="inlineStr">
        <is>
          <t>QT Instruments (S) Vietnam</t>
        </is>
      </c>
      <c r="E14312" s="10" t="inlineStr">
        <is>
          <t>Lương:Cạnh tranh</t>
        </is>
      </c>
      <c r="F14312" s="10" t="inlineStr">
        <is>
          <t>Hồ Chí Minh</t>
        </is>
      </c>
      <c r="G14312" s="10" t="inlineStr">
        <is>
          <t>09-04-2026</t>
        </is>
      </c>
      <c r="H14312" s="10" t="inlineStr">
        <is>
          <t>09/04/2026</t>
        </is>
      </c>
      <c r="I14312" s="10" t="inlineStr">
        <is>
          <t>17/03/2026</t>
        </is>
      </c>
      <c r="J14312" s="10" t="inlineStr">
        <is>
          <t>Kế toán / Kiểm toán</t>
        </is>
      </c>
      <c r="K14312" s="10" t="inlineStr">
        <is>
          <t>1 - 2 Năm</t>
        </is>
      </c>
      <c r="L14312" s="11">
        <f>HYPERLINK("https://careerviet.vn/vi/tim-viec-lam/accountant-executive.35C65143.html","Xem chi tiết")</f>
        <v/>
      </c>
      <c r="M14312" s="10" t="n"/>
    </row>
    <row r="14313">
      <c r="B14313" s="7" t="n">
        <v>14311</v>
      </c>
      <c r="C14313" t="inlineStr">
        <is>
          <t>Chuyên Viên Marketing</t>
        </is>
      </c>
      <c r="D14313" t="inlineStr">
        <is>
          <t>CÔNG TY TRÁCH NHIỆM HỮU HẠN R.P</t>
        </is>
      </c>
      <c r="E14313" t="inlineStr">
        <is>
          <t>Lương:Cạnh tranh</t>
        </is>
      </c>
      <c r="F14313" t="inlineStr">
        <is>
          <t>Hồ Chí Minh</t>
        </is>
      </c>
      <c r="G14313" t="inlineStr">
        <is>
          <t>09-04-2026</t>
        </is>
      </c>
      <c r="H14313" t="inlineStr">
        <is>
          <t>09/04/2026</t>
        </is>
      </c>
      <c r="I14313" t="inlineStr">
        <is>
          <t>17/03/2026</t>
        </is>
      </c>
      <c r="J14313" t="inlineStr">
        <is>
          <t>Tiếp thị / Marketing, Quảng cáo / Đối ngoại / Truyền Thông, Thương mại điện tử</t>
        </is>
      </c>
      <c r="K14313" t="inlineStr">
        <is>
          <t>Trên 3 Năm</t>
        </is>
      </c>
      <c r="L14313" s="8">
        <f>HYPERLINK("https://careerviet.vn/vi/tim-viec-lam/chuyen-vien-marketing.35C65190.html","Xem chi tiết")</f>
        <v/>
      </c>
    </row>
    <row r="14314">
      <c r="B14314" s="9" t="n">
        <v>14312</v>
      </c>
      <c r="C14314" s="10" t="inlineStr">
        <is>
          <t>Giáo viên Âm nhạc - TP. Thủ Đức  | Pathway School</t>
        </is>
      </c>
      <c r="D14314" s="10" t="inlineStr">
        <is>
          <t>Hệ thống trường Pathway Tuệ Đức</t>
        </is>
      </c>
      <c r="E14314" s="10" t="inlineStr">
        <is>
          <t>Lương:Cạnh tranh</t>
        </is>
      </c>
      <c r="F14314" s="10" t="inlineStr">
        <is>
          <t>Hồ Chí Minh</t>
        </is>
      </c>
      <c r="G14314" s="10" t="inlineStr">
        <is>
          <t>09-04-2026</t>
        </is>
      </c>
      <c r="H14314" s="10" t="inlineStr">
        <is>
          <t>09/04/2026</t>
        </is>
      </c>
      <c r="I14314" s="10" t="inlineStr">
        <is>
          <t>17/03/2026</t>
        </is>
      </c>
      <c r="J14314" s="10" t="inlineStr">
        <is>
          <t>Giáo dục / Đào tạo, Ngành khác, Mỹ thuật / Nghệ thuật / Thiết kế</t>
        </is>
      </c>
      <c r="K14314" s="10" t="inlineStr">
        <is>
          <t>1 - 3 Năm</t>
        </is>
      </c>
      <c r="L14314" s="11">
        <f>HYPERLINK("https://careerviet.vn/vi/tim-viec-lam/giao-vien-am-nhac-tp-thu-duc-pathway-school.35C651BC.html","Xem chi tiết")</f>
        <v/>
      </c>
      <c r="M14314" s="10" t="n"/>
    </row>
    <row r="14315">
      <c r="B14315" s="7" t="n">
        <v>14313</v>
      </c>
      <c r="C14315" t="inlineStr">
        <is>
          <t>International Sales Executive</t>
        </is>
      </c>
      <c r="D14315" t="inlineStr">
        <is>
          <t>ORION FOOD VINA CO.,LTD</t>
        </is>
      </c>
      <c r="E14315" t="inlineStr">
        <is>
          <t>Lương:Cạnh tranh</t>
        </is>
      </c>
      <c r="F14315" t="inlineStr">
        <is>
          <t>Hồ Chí Minh</t>
        </is>
      </c>
      <c r="G14315" t="inlineStr">
        <is>
          <t>09-04-2026</t>
        </is>
      </c>
      <c r="H14315" t="inlineStr">
        <is>
          <t>09/04/2026</t>
        </is>
      </c>
      <c r="I14315" t="inlineStr">
        <is>
          <t>17/03/2026</t>
        </is>
      </c>
      <c r="J14315" t="inlineStr">
        <is>
          <t>Xuất nhập khẩu, Thực phẩm &amp; Đồ uống, Bán hàng / Kinh doanh</t>
        </is>
      </c>
      <c r="K14315" t="inlineStr">
        <is>
          <t>3 - 5 Năm</t>
        </is>
      </c>
      <c r="L14315" s="8">
        <f>HYPERLINK("https://careerviet.vn/vi/tim-viec-lam/international-sales-executive.35C6509E.html","Xem chi tiết")</f>
        <v/>
      </c>
    </row>
    <row r="14316">
      <c r="B14316" s="9" t="n">
        <v>14314</v>
      </c>
      <c r="C14316" s="10" t="inlineStr">
        <is>
          <t>Quản Lý Thiết Kế Kiến Trúc</t>
        </is>
      </c>
      <c r="D14316" s="10" t="inlineStr">
        <is>
          <t>CÔNG TY CỔ PHẦN ĐẦU TƯ THIÊN ÂN</t>
        </is>
      </c>
      <c r="E14316" s="10" t="inlineStr">
        <is>
          <t>Lương:20 Tr - 25 Tr VND</t>
        </is>
      </c>
      <c r="F14316" s="10" t="inlineStr">
        <is>
          <t>Hà Nội</t>
        </is>
      </c>
      <c r="G14316" s="10" t="inlineStr">
        <is>
          <t>09-04-2026</t>
        </is>
      </c>
      <c r="H14316" s="10" t="inlineStr">
        <is>
          <t>09/04/2026</t>
        </is>
      </c>
      <c r="I14316" s="10" t="inlineStr">
        <is>
          <t>17/03/2026</t>
        </is>
      </c>
      <c r="J14316" s="10" t="inlineStr">
        <is>
          <t>Mỹ thuật / Nghệ thuật / Thiết kế, Kiến trúc, Xây dựng</t>
        </is>
      </c>
      <c r="K14316" s="10" t="inlineStr">
        <is>
          <t>Trên 3 Năm</t>
        </is>
      </c>
      <c r="L14316" s="11">
        <f>HYPERLINK("https://careerviet.vn/vi/tim-viec-lam/quan-ly-thiet-ke-kien-truc.35C650E0.html","Xem chi tiết")</f>
        <v/>
      </c>
      <c r="M14316" s="10" t="n"/>
    </row>
    <row r="14317">
      <c r="B14317" s="7" t="n">
        <v>14315</v>
      </c>
      <c r="C14317" t="inlineStr">
        <is>
          <t>Quản lý kinh doanh chuỗi cửa hàng (HMK)</t>
        </is>
      </c>
      <c r="D14317" t="inlineStr">
        <is>
          <t>HMK Eyewear</t>
        </is>
      </c>
      <c r="E14317" t="inlineStr">
        <is>
          <t>Lương:Cạnh tranh</t>
        </is>
      </c>
      <c r="F14317" t="inlineStr">
        <is>
          <t>Hồ Chí Minh</t>
        </is>
      </c>
      <c r="G14317" t="inlineStr">
        <is>
          <t>09-04-2026</t>
        </is>
      </c>
      <c r="H14317" t="inlineStr">
        <is>
          <t>09/04/2026</t>
        </is>
      </c>
      <c r="I14317" t="inlineStr">
        <is>
          <t>17/03/2026</t>
        </is>
      </c>
      <c r="J14317" t="inlineStr">
        <is>
          <t>Bán lẻ / Bán sỉ, Bán hàng / Kinh doanh</t>
        </is>
      </c>
      <c r="K14317" t="inlineStr">
        <is>
          <t>2 - 5 Năm</t>
        </is>
      </c>
      <c r="L14317" s="8">
        <f>HYPERLINK("https://careerviet.vn/vi/tim-viec-lam/quan-ly-kinh-doanh-chuoi-cua-hang-hmk.35C6510A.html","Xem chi tiết")</f>
        <v/>
      </c>
    </row>
    <row r="14318">
      <c r="B14318" s="9" t="n">
        <v>14316</v>
      </c>
      <c r="C14318" s="10" t="inlineStr">
        <is>
          <t>Technician - Porsche Centre Hanoi</t>
        </is>
      </c>
      <c r="D14318" s="10" t="inlineStr">
        <is>
          <t>Bảo mật</t>
        </is>
      </c>
      <c r="E14318" s="10" t="inlineStr">
        <is>
          <t>Lương:Cạnh tranh</t>
        </is>
      </c>
      <c r="F14318" s="10" t="inlineStr">
        <is>
          <t>Hà Nội</t>
        </is>
      </c>
      <c r="G14318" s="10" t="inlineStr">
        <is>
          <t>09-04-2026</t>
        </is>
      </c>
      <c r="H14318" s="10" t="inlineStr">
        <is>
          <t>09/04/2026</t>
        </is>
      </c>
      <c r="I14318" s="10" t="inlineStr">
        <is>
          <t>17/03/2026</t>
        </is>
      </c>
      <c r="J14318" s="10" t="inlineStr">
        <is>
          <t>Cơ khí / Ô tô / Tự động hóa, Điện / Điện tử / Điện lạnh / Điện công nghiệp, Bảo trì / Sửa chữa</t>
        </is>
      </c>
      <c r="K14318" s="10" t="inlineStr">
        <is>
          <t>Trên 1 Năm</t>
        </is>
      </c>
      <c r="L14318" s="11">
        <f>HYPERLINK("https://careerviet.vn/vi/tim-viec-lam/technician-porsche-centre-hanoi.35C650C0.html","Xem chi tiết")</f>
        <v/>
      </c>
      <c r="M14318" s="10" t="n"/>
    </row>
    <row r="14319">
      <c r="B14319" s="7" t="n">
        <v>14317</v>
      </c>
      <c r="C14319" t="inlineStr">
        <is>
          <t>CHUYÊN VIÊN AN TOÀN LAO ĐỘNG</t>
        </is>
      </c>
      <c r="D14319" t="inlineStr">
        <is>
          <t>Công Ty Cổ Phần Tập Đoàn Bất Động Sản Thắng Lợi</t>
        </is>
      </c>
      <c r="E14319" t="inlineStr">
        <is>
          <t>Lương:Cạnh tranh</t>
        </is>
      </c>
      <c r="F14319" t="inlineStr">
        <is>
          <t>Long An</t>
        </is>
      </c>
      <c r="G14319" t="inlineStr">
        <is>
          <t>09-04-2026</t>
        </is>
      </c>
      <c r="H14319" t="inlineStr">
        <is>
          <t>09/04/2026</t>
        </is>
      </c>
      <c r="I14319" t="inlineStr">
        <is>
          <t>17/03/2026</t>
        </is>
      </c>
      <c r="J14319" t="inlineStr">
        <is>
          <t>An toàn lao động, Xây dựng</t>
        </is>
      </c>
      <c r="K14319" t="inlineStr">
        <is>
          <t>3 - 5 Năm</t>
        </is>
      </c>
      <c r="L14319" s="8">
        <f>HYPERLINK("https://careerviet.vn/vi/tim-viec-lam/chuyen-vien-an-toan-lao-dong.35C650DE.html","Xem chi tiết")</f>
        <v/>
      </c>
    </row>
    <row r="14320">
      <c r="B14320" s="9" t="n">
        <v>14318</v>
      </c>
      <c r="C14320" s="10" t="inlineStr">
        <is>
          <t>{HUE} - Line Technical - Specialist  ( Chuyên viên kỹ thuật dây chuyền)</t>
        </is>
      </c>
      <c r="D14320" s="10" t="inlineStr">
        <is>
          <t>CÔNG TY TNHH BIA CARLSBERG VIỆT NAM</t>
        </is>
      </c>
      <c r="E14320" s="10" t="inlineStr">
        <is>
          <t>Lương:Cạnh tranh</t>
        </is>
      </c>
      <c r="F14320" s="10" t="inlineStr">
        <is>
          <t>Thừa Thiên- Huế</t>
        </is>
      </c>
      <c r="G14320" s="10" t="inlineStr">
        <is>
          <t>09-04-2026</t>
        </is>
      </c>
      <c r="H14320" s="10" t="inlineStr">
        <is>
          <t>09/04/2026</t>
        </is>
      </c>
      <c r="I14320" s="10" t="inlineStr">
        <is>
          <t>17/03/2026</t>
        </is>
      </c>
      <c r="J14320" s="10" t="inlineStr">
        <is>
          <t>Cơ khí / Ô tô / Tự động hóa, Bảo trì / Sửa chữa</t>
        </is>
      </c>
      <c r="K14320" s="10" t="inlineStr">
        <is>
          <t>3 - 4 Năm</t>
        </is>
      </c>
      <c r="L14320" s="11">
        <f>HYPERLINK("https://careerviet.vn/vi/tim-viec-lam/hue-line-technical-specialist-chuyen-vien-ky-thuat-day-chuyen.35C650D2.html","Xem chi tiết")</f>
        <v/>
      </c>
      <c r="M14320" s="10" t="n"/>
    </row>
    <row r="14321">
      <c r="B14321" s="7" t="n">
        <v>14319</v>
      </c>
      <c r="C14321" t="inlineStr">
        <is>
          <t>Sales Executive</t>
        </is>
      </c>
      <c r="D14321" t="inlineStr">
        <is>
          <t>CÔNG TY TNHH GĂNG TAY SRI TRANG VIỆT NAM</t>
        </is>
      </c>
      <c r="E14321" t="inlineStr">
        <is>
          <t>Lương:Cạnh tranh</t>
        </is>
      </c>
      <c r="F14321" t="inlineStr">
        <is>
          <t>Hồ Chí Minh</t>
        </is>
      </c>
      <c r="G14321" t="inlineStr">
        <is>
          <t>09-04-2026</t>
        </is>
      </c>
      <c r="H14321" t="inlineStr">
        <is>
          <t>09/04/2026</t>
        </is>
      </c>
      <c r="I14321" t="inlineStr">
        <is>
          <t>17/03/2026</t>
        </is>
      </c>
      <c r="J14321" t="inlineStr">
        <is>
          <t>Bán lẻ / Bán sỉ, Bán hàng / Kinh doanh, Thực phẩm &amp; Đồ uống</t>
        </is>
      </c>
      <c r="K14321" t="inlineStr">
        <is>
          <t>1 - 3 Năm</t>
        </is>
      </c>
      <c r="L14321" s="8">
        <f>HYPERLINK("https://careerviet.vn/vi/tim-viec-lam/sales-executive.35C651DE.html","Xem chi tiết")</f>
        <v/>
      </c>
    </row>
    <row r="14322">
      <c r="B14322" s="9" t="n">
        <v>14320</v>
      </c>
      <c r="C14322" s="10" t="inlineStr">
        <is>
          <t>NHÂN VIÊN QA - CƠ KHÍ [CỦ CHI]</t>
        </is>
      </c>
      <c r="D14322" s="10" t="inlineStr">
        <is>
          <t>CÔNG TY CP SAIGON AUTO SUPPORTING INDUSTRY</t>
        </is>
      </c>
      <c r="E14322" s="10" t="inlineStr">
        <is>
          <t>Lương:Cạnh tranh</t>
        </is>
      </c>
      <c r="F14322" s="10" t="inlineStr">
        <is>
          <t>Hồ Chí Minh</t>
        </is>
      </c>
      <c r="G14322" s="10" t="inlineStr">
        <is>
          <t>09-04-2026</t>
        </is>
      </c>
      <c r="H14322" s="10" t="inlineStr">
        <is>
          <t>09/04/2026</t>
        </is>
      </c>
      <c r="I14322" s="10" t="inlineStr">
        <is>
          <t>17/03/2026</t>
        </is>
      </c>
      <c r="J14322" s="10" t="inlineStr">
        <is>
          <t>Cơ khí / Ô tô / Tự động hóa, Quản lý chất lượng (QA/QC)</t>
        </is>
      </c>
      <c r="K14322" s="10" t="inlineStr">
        <is>
          <t>1 - 5 Năm</t>
        </is>
      </c>
      <c r="L14322" s="11">
        <f>HYPERLINK("https://careerviet.vn/vi/tim-viec-lam/nhan-vien-qa-co-khi-cu-chi.35C65073.html","Xem chi tiết")</f>
        <v/>
      </c>
      <c r="M14322" s="10" t="n"/>
    </row>
    <row r="14323">
      <c r="B14323" s="7" t="n">
        <v>14321</v>
      </c>
      <c r="C14323" t="inlineStr">
        <is>
          <t>CRAFTSMAN/ Thợ thủ công/ Nghệ nhân</t>
        </is>
      </c>
      <c r="D14323" t="inlineStr">
        <is>
          <t>CÔNG TY TNHH MANSION TECHNOLOGY</t>
        </is>
      </c>
      <c r="E14323" t="inlineStr">
        <is>
          <t>Lương:Trên 8 Tr VND</t>
        </is>
      </c>
      <c r="F14323" t="inlineStr">
        <is>
          <t>Hồ Chí Minh</t>
        </is>
      </c>
      <c r="G14323" t="inlineStr">
        <is>
          <t>09-04-2026</t>
        </is>
      </c>
      <c r="H14323" t="inlineStr">
        <is>
          <t>09/04/2026</t>
        </is>
      </c>
      <c r="I14323" t="inlineStr">
        <is>
          <t>17/03/2026</t>
        </is>
      </c>
      <c r="J14323" t="inlineStr">
        <is>
          <t>Mỹ thuật / Nghệ thuật / Thiết kế</t>
        </is>
      </c>
      <c r="K14323" t="inlineStr">
        <is>
          <t>Trên 1 Năm</t>
        </is>
      </c>
      <c r="L14323" s="8">
        <f>HYPERLINK("https://careerviet.vn/vi/tim-viec-lam/craftsman-tho-thu-cong-nghe-nhan.35C648F1.html","Xem chi tiết")</f>
        <v/>
      </c>
    </row>
    <row r="14324">
      <c r="B14324" s="9" t="n">
        <v>14322</v>
      </c>
      <c r="C14324" s="10" t="inlineStr">
        <is>
          <t>Kế Toán Viên</t>
        </is>
      </c>
      <c r="D14324" s="10" t="inlineStr">
        <is>
          <t>CÔNG TY TRÁCH NHIỆM HỮU HẠN TÂN HỒ TÚ</t>
        </is>
      </c>
      <c r="E14324" s="10" t="inlineStr">
        <is>
          <t>Lương:15 Tr - 25 Tr VND</t>
        </is>
      </c>
      <c r="F14324" s="10" t="inlineStr">
        <is>
          <t>Bình Dương</t>
        </is>
      </c>
      <c r="G14324" s="10" t="inlineStr">
        <is>
          <t>09-04-2026</t>
        </is>
      </c>
      <c r="H14324" s="10" t="inlineStr">
        <is>
          <t>09/04/2026</t>
        </is>
      </c>
      <c r="I14324" s="10" t="inlineStr">
        <is>
          <t>17/03/2026</t>
        </is>
      </c>
      <c r="J14324" s="10" t="inlineStr">
        <is>
          <t>Tài chính / Đầu tư, Luật / Pháp lý, Kế toán / Kiểm toán</t>
        </is>
      </c>
      <c r="K14324" s="10" t="inlineStr">
        <is>
          <t>Trên 4 Năm</t>
        </is>
      </c>
      <c r="L14324" s="11">
        <f>HYPERLINK("https://careerviet.vn/vi/tim-viec-lam/ke-toan-vien.35C6517C.html","Xem chi tiết")</f>
        <v/>
      </c>
      <c r="M14324" s="10" t="n"/>
    </row>
    <row r="14325">
      <c r="B14325" s="7" t="n">
        <v>14323</v>
      </c>
      <c r="C14325" t="inlineStr">
        <is>
          <t>Nhân viên hồ sơ thầu</t>
        </is>
      </c>
      <c r="D14325" t="inlineStr">
        <is>
          <t>Công Ty Tổ Chức Hội Nghị, Sự Kiện Và Du Lịch Quốc Tế Hòa Bình</t>
        </is>
      </c>
      <c r="E14325" t="inlineStr">
        <is>
          <t>Lương:8 Tr - 13 Tr VND</t>
        </is>
      </c>
      <c r="F14325" t="inlineStr">
        <is>
          <t>Hà Nội</t>
        </is>
      </c>
      <c r="G14325" t="inlineStr">
        <is>
          <t>09-04-2026</t>
        </is>
      </c>
      <c r="H14325" t="inlineStr">
        <is>
          <t>09/04/2026</t>
        </is>
      </c>
      <c r="I14325" t="inlineStr">
        <is>
          <t>17/03/2026</t>
        </is>
      </c>
      <c r="J14325" t="inlineStr">
        <is>
          <t>Du lịch, Ngành khác</t>
        </is>
      </c>
      <c r="K14325" t="inlineStr">
        <is>
          <t>1 - 2 Năm</t>
        </is>
      </c>
      <c r="L14325" s="8">
        <f>HYPERLINK("https://careerviet.vn/vi/tim-viec-lam/nhan-vien-ho-so-thau.35C65215.html","Xem chi tiết")</f>
        <v/>
      </c>
    </row>
    <row r="14326">
      <c r="B14326" s="9" t="n">
        <v>14324</v>
      </c>
      <c r="C14326" s="10" t="inlineStr">
        <is>
          <t>Chuyên viên Kế toán Doanh thu</t>
        </is>
      </c>
      <c r="D14326" s="10" t="inlineStr">
        <is>
          <t>Công Ty Cổ Phần Tập Đoàn Đầu Tư Địa Ốc No Va</t>
        </is>
      </c>
      <c r="E14326" s="10" t="inlineStr">
        <is>
          <t>Lương:15 Tr - 20 Tr VND</t>
        </is>
      </c>
      <c r="F14326" s="10" t="inlineStr">
        <is>
          <t>Hồ Chí Minh</t>
        </is>
      </c>
      <c r="G14326" s="10" t="inlineStr">
        <is>
          <t>09-04-2026</t>
        </is>
      </c>
      <c r="H14326" s="10" t="inlineStr">
        <is>
          <t>09/04/2026</t>
        </is>
      </c>
      <c r="I14326" s="10" t="inlineStr">
        <is>
          <t>17/03/2026</t>
        </is>
      </c>
      <c r="J14326" s="10" t="inlineStr">
        <is>
          <t>Kế toán / Kiểm toán, Ngân hàng, Bất động sản</t>
        </is>
      </c>
      <c r="K14326" s="10" t="inlineStr">
        <is>
          <t>1 - 2 Năm</t>
        </is>
      </c>
      <c r="L14326" s="11">
        <f>HYPERLINK("https://careerviet.vn/vi/tim-viec-lam/chuyen-vien-ke-toan-doanh-thu.35C651AB.html","Xem chi tiết")</f>
        <v/>
      </c>
      <c r="M14326" s="10" t="n"/>
    </row>
    <row r="14327">
      <c r="B14327" s="7" t="n">
        <v>14325</v>
      </c>
      <c r="C14327" t="inlineStr">
        <is>
          <t>Production Supervisor/ Giám Sát Sản Xuất (US Company)</t>
        </is>
      </c>
      <c r="D14327" t="inlineStr">
        <is>
          <t>SAMTEC VIETNAM COMPANY LIMITED</t>
        </is>
      </c>
      <c r="E14327" t="inlineStr">
        <is>
          <t>Lương:Cạnh tranh</t>
        </is>
      </c>
      <c r="F14327" t="inlineStr">
        <is>
          <t>Đồng Nai</t>
        </is>
      </c>
      <c r="G14327" t="inlineStr">
        <is>
          <t>09-04-2026</t>
        </is>
      </c>
      <c r="H14327" t="inlineStr">
        <is>
          <t>09/04/2026</t>
        </is>
      </c>
      <c r="I14327" t="inlineStr">
        <is>
          <t>17/03/2026</t>
        </is>
      </c>
      <c r="J14327" t="inlineStr">
        <is>
          <t>Điện / Điện tử / Điện lạnh / Điện công nghiệp, Sản xuất / Vận hành sản xuất</t>
        </is>
      </c>
      <c r="K14327" t="inlineStr">
        <is>
          <t>Trên 3 Năm</t>
        </is>
      </c>
      <c r="L14327" s="8">
        <f>HYPERLINK("https://careerviet.vn/vi/tim-viec-lam/production-supervisor-giam-sat-san-xuat-us-company.35C5204B.html","Xem chi tiết")</f>
        <v/>
      </c>
    </row>
    <row r="14328">
      <c r="B14328" s="9" t="n">
        <v>14326</v>
      </c>
      <c r="C14328" s="10" t="inlineStr">
        <is>
          <t>Tally Accountant</t>
        </is>
      </c>
      <c r="D14328" s="10" t="inlineStr">
        <is>
          <t>Công ty TNHH Olam Việt Nam</t>
        </is>
      </c>
      <c r="E14328" s="10" t="inlineStr">
        <is>
          <t>Lương:7 Tr - 8 Tr VND</t>
        </is>
      </c>
      <c r="F14328" s="10" t="inlineStr">
        <is>
          <t>Đồng Nai</t>
        </is>
      </c>
      <c r="G14328" s="10" t="inlineStr">
        <is>
          <t>09-04-2026</t>
        </is>
      </c>
      <c r="H14328" s="10" t="inlineStr">
        <is>
          <t>09/04/2026</t>
        </is>
      </c>
      <c r="I14328" s="10" t="inlineStr">
        <is>
          <t>17/03/2026</t>
        </is>
      </c>
      <c r="J14328" s="10" t="inlineStr">
        <is>
          <t>Kế toán / Kiểm toán</t>
        </is>
      </c>
      <c r="K14328" s="10" t="inlineStr">
        <is>
          <t>Chưa có kinh nghiệm</t>
        </is>
      </c>
      <c r="L14328" s="11">
        <f>HYPERLINK("https://careerviet.vn/vi/tim-viec-lam/tally-accountant.35C651E9.html","Xem chi tiết")</f>
        <v/>
      </c>
      <c r="M14328" s="10" t="n"/>
    </row>
    <row r="14329">
      <c r="B14329" s="7" t="n">
        <v>14327</v>
      </c>
      <c r="C14329" t="inlineStr">
        <is>
          <t>Nhân viên mua hàng</t>
        </is>
      </c>
      <c r="D14329" t="inlineStr">
        <is>
          <t>CÔNG TY TNHH BBQ VIỆT NAM</t>
        </is>
      </c>
      <c r="E14329" t="inlineStr">
        <is>
          <t>Lương:8 Tr - 11 Tr VND</t>
        </is>
      </c>
      <c r="F14329" t="inlineStr">
        <is>
          <t>Hà Nội</t>
        </is>
      </c>
      <c r="G14329" t="inlineStr">
        <is>
          <t>09-04-2026</t>
        </is>
      </c>
      <c r="H14329" t="inlineStr">
        <is>
          <t>09/04/2026</t>
        </is>
      </c>
      <c r="I14329" t="inlineStr">
        <is>
          <t>17/03/2026</t>
        </is>
      </c>
      <c r="J14329" t="inlineStr">
        <is>
          <t>Thực phẩm &amp; Đồ uống, Thu mua / Vật tư, Ngành khác</t>
        </is>
      </c>
      <c r="K14329" t="inlineStr">
        <is>
          <t>Trên 1 Năm</t>
        </is>
      </c>
      <c r="L14329" s="8">
        <f>HYPERLINK("https://careerviet.vn/vi/tim-viec-lam/nhan-vien-mua-hang.35C6512F.html","Xem chi tiết")</f>
        <v/>
      </c>
    </row>
    <row r="14330">
      <c r="B14330" s="9" t="n">
        <v>14328</v>
      </c>
      <c r="C14330" s="10" t="inlineStr">
        <is>
          <t>Nhân viên kinh doanh</t>
        </is>
      </c>
      <c r="D14330" s="10" t="inlineStr">
        <is>
          <t>CÔNG TY CỔ PHẦN ỐNG THÉP SÀI GÒN</t>
        </is>
      </c>
      <c r="E14330" s="10" t="inlineStr">
        <is>
          <t>Lương:Cạnh tranh</t>
        </is>
      </c>
      <c r="F14330" s="10" t="inlineStr">
        <is>
          <t>Vĩnh LongDak LakKhánh Hòa</t>
        </is>
      </c>
      <c r="G14330" s="10" t="inlineStr">
        <is>
          <t>09-04-2026</t>
        </is>
      </c>
      <c r="H14330" s="10" t="inlineStr">
        <is>
          <t>09/04/2026</t>
        </is>
      </c>
      <c r="I14330" s="10" t="inlineStr">
        <is>
          <t>17/03/2026</t>
        </is>
      </c>
      <c r="J14330" s="10" t="inlineStr">
        <is>
          <t>Bán hàng / Kinh doanh</t>
        </is>
      </c>
      <c r="K14330" s="10" t="inlineStr">
        <is>
          <t>1 - 2 Năm</t>
        </is>
      </c>
      <c r="L14330" s="11">
        <f>HYPERLINK("https://careerviet.vn/vi/tim-viec-lam/nhan-vien-kinh-doanh.35C6501C.html","Xem chi tiết")</f>
        <v/>
      </c>
      <c r="M14330" s="10" t="n"/>
    </row>
    <row r="14331">
      <c r="B14331" s="7" t="n">
        <v>14329</v>
      </c>
      <c r="C14331" t="inlineStr">
        <is>
          <t>Digital Marketing Specialist</t>
        </is>
      </c>
      <c r="D14331" t="inlineStr">
        <is>
          <t>Công Ty TNHH Maker Sixty Four</t>
        </is>
      </c>
      <c r="E14331" t="inlineStr">
        <is>
          <t>Lương:Cạnh tranh</t>
        </is>
      </c>
      <c r="F14331" t="inlineStr">
        <is>
          <t>Hồ Chí Minh</t>
        </is>
      </c>
      <c r="G14331" t="inlineStr">
        <is>
          <t>08-04-2026</t>
        </is>
      </c>
      <c r="H14331" t="inlineStr">
        <is>
          <t>08/04/2026</t>
        </is>
      </c>
      <c r="I14331" t="inlineStr">
        <is>
          <t>17/03/2026</t>
        </is>
      </c>
      <c r="J14331" t="inlineStr">
        <is>
          <t>Tiếp thị trực tuyến, Bán lẻ / Bán sỉ, Tiếp thị / Marketing</t>
        </is>
      </c>
      <c r="K14331" t="inlineStr">
        <is>
          <t>3 - 5 Năm</t>
        </is>
      </c>
      <c r="L14331" s="8">
        <f>HYPERLINK("https://careerviet.vn/vi/tim-viec-lam/digital-marketing-specialist.35C65097.html","Xem chi tiết")</f>
        <v/>
      </c>
    </row>
    <row r="14332">
      <c r="B14332" s="9" t="n">
        <v>14330</v>
      </c>
      <c r="C14332" s="10" t="inlineStr">
        <is>
          <t>Nhân viên mua hàng</t>
        </is>
      </c>
      <c r="D14332" s="10" t="inlineStr">
        <is>
          <t>CÔNG TY CỔ PHẦN THỊNH CƯỜNG</t>
        </is>
      </c>
      <c r="E14332" s="10" t="inlineStr">
        <is>
          <t>Lương:10 Tr - 14 Tr VND</t>
        </is>
      </c>
      <c r="F14332" s="10" t="inlineStr">
        <is>
          <t>Hà Nội</t>
        </is>
      </c>
      <c r="G14332" s="10" t="inlineStr">
        <is>
          <t>09-04-2026</t>
        </is>
      </c>
      <c r="H14332" s="10" t="inlineStr">
        <is>
          <t>09/04/2026</t>
        </is>
      </c>
      <c r="I14332" s="10" t="inlineStr">
        <is>
          <t>17/03/2026</t>
        </is>
      </c>
      <c r="J14332" s="10" t="inlineStr">
        <is>
          <t>Thu mua / Vật tư</t>
        </is>
      </c>
      <c r="K14332" s="10" t="inlineStr">
        <is>
          <t>3 - 5 Năm</t>
        </is>
      </c>
      <c r="L14332" s="11">
        <f>HYPERLINK("https://careerviet.vn/vi/tim-viec-lam/nhan-vien-mua-hang.35C65169.html","Xem chi tiết")</f>
        <v/>
      </c>
      <c r="M14332" s="10" t="n"/>
    </row>
    <row r="14333">
      <c r="B14333" s="7" t="n">
        <v>14331</v>
      </c>
      <c r="C14333" t="inlineStr">
        <is>
          <t>Nhân viên Phụ bếp - Pathway school</t>
        </is>
      </c>
      <c r="D14333" t="inlineStr">
        <is>
          <t>Hệ thống trường Pathway Tuệ Đức</t>
        </is>
      </c>
      <c r="E14333" t="inlineStr">
        <is>
          <t>Lương:Cạnh tranh</t>
        </is>
      </c>
      <c r="F14333" t="inlineStr">
        <is>
          <t>Hồ Chí Minh</t>
        </is>
      </c>
      <c r="G14333" t="inlineStr">
        <is>
          <t>09-04-2026</t>
        </is>
      </c>
      <c r="H14333" t="inlineStr">
        <is>
          <t>09/04/2026</t>
        </is>
      </c>
      <c r="I14333" t="inlineStr">
        <is>
          <t>17/03/2026</t>
        </is>
      </c>
      <c r="J14333" t="inlineStr">
        <is>
          <t>Nhà hàng / Khách sạn</t>
        </is>
      </c>
      <c r="K14333" t="inlineStr">
        <is>
          <t>1 - 2 Năm</t>
        </is>
      </c>
      <c r="L14333" s="8">
        <f>HYPERLINK("https://careerviet.vn/vi/tim-viec-lam/nhan-vien-phu-bep-pathway-school.35C651BD.html","Xem chi tiết")</f>
        <v/>
      </c>
    </row>
    <row r="14334">
      <c r="B14334" s="9" t="n">
        <v>14332</v>
      </c>
      <c r="C14334" s="10" t="inlineStr">
        <is>
          <t>Business Analyst  - Chuyên Viên Phân Tích Nghiệp Vụ (Domain Fintech)</t>
        </is>
      </c>
      <c r="D14334" s="10" t="inlineStr">
        <is>
          <t>Công ty Cố phần giải pháp công nghệ ITE</t>
        </is>
      </c>
      <c r="E14334" s="10" t="inlineStr">
        <is>
          <t>Lương:18 Tr - 25 Tr VND</t>
        </is>
      </c>
      <c r="F14334" s="10" t="inlineStr">
        <is>
          <t>Hà Nội</t>
        </is>
      </c>
      <c r="G14334" s="10" t="inlineStr">
        <is>
          <t>09-04-2026</t>
        </is>
      </c>
      <c r="H14334" s="10" t="inlineStr">
        <is>
          <t>09/04/2026</t>
        </is>
      </c>
      <c r="I14334" s="10" t="inlineStr">
        <is>
          <t>17/03/2026</t>
        </is>
      </c>
      <c r="J14334" s="10" t="inlineStr">
        <is>
          <t>Tài chính / Đầu tư, CNTT - Phần mềm, Ngân hàng</t>
        </is>
      </c>
      <c r="K14334" s="10" t="inlineStr">
        <is>
          <t>Trên 2 Năm</t>
        </is>
      </c>
      <c r="L14334" s="11">
        <f>HYPERLINK("https://careerviet.vn/vi/tim-viec-lam/business-analyst-chuyen-vien-phan-tich-nghiep-vu-domain-fintech.35C649FC.html","Xem chi tiết")</f>
        <v/>
      </c>
      <c r="M14334" s="10" t="n"/>
    </row>
    <row r="14335">
      <c r="B14335" s="7" t="n">
        <v>14333</v>
      </c>
      <c r="C14335" t="inlineStr">
        <is>
          <t>Nhân viên Lễ Tân (Ascott Host) - Somerset Vista Quận 2</t>
        </is>
      </c>
      <c r="D14335" t="inlineStr">
        <is>
          <t>SOMERSET VISTA HCMC</t>
        </is>
      </c>
      <c r="E14335" t="inlineStr">
        <is>
          <t>Lương:8 Tr - 12 Tr VND</t>
        </is>
      </c>
      <c r="F14335" t="inlineStr">
        <is>
          <t>Hồ Chí Minh</t>
        </is>
      </c>
      <c r="G14335" t="inlineStr">
        <is>
          <t>09-04-2026</t>
        </is>
      </c>
      <c r="H14335" t="inlineStr">
        <is>
          <t>09/04/2026</t>
        </is>
      </c>
      <c r="I14335" t="inlineStr">
        <is>
          <t>17/03/2026</t>
        </is>
      </c>
      <c r="J14335" t="inlineStr">
        <is>
          <t>Dịch vụ khách hàng, Hành chính / Thư ký, Nhà hàng / Khách sạn</t>
        </is>
      </c>
      <c r="K14335" t="inlineStr">
        <is>
          <t>1 - 5 Năm</t>
        </is>
      </c>
      <c r="L14335" s="8">
        <f>HYPERLINK("https://careerviet.vn/vi/tim-viec-lam/nhan-vien-le-tan-ascott-host-somerset-vista-quan-2.35C6523E.html","Xem chi tiết")</f>
        <v/>
      </c>
    </row>
    <row r="14336">
      <c r="B14336" s="9" t="n">
        <v>14334</v>
      </c>
      <c r="C14336" s="10" t="inlineStr">
        <is>
          <t>Nhân viên Kỹ Thuật May (biết Tiếng Trung)</t>
        </is>
      </c>
      <c r="D14336" s="10" t="inlineStr">
        <is>
          <t>Công ty TNHH, Liên Doanh Vĩnh Hưng (TMI Việt Nam)</t>
        </is>
      </c>
      <c r="E14336" s="10" t="inlineStr">
        <is>
          <t>Lương:10 Tr - 15 Tr VND</t>
        </is>
      </c>
      <c r="F14336" s="10" t="inlineStr">
        <is>
          <t>Hồ Chí Minh</t>
        </is>
      </c>
      <c r="G14336" s="10" t="inlineStr">
        <is>
          <t>09-04-2026</t>
        </is>
      </c>
      <c r="H14336" s="10" t="inlineStr">
        <is>
          <t>09/04/2026</t>
        </is>
      </c>
      <c r="I14336" s="10" t="inlineStr">
        <is>
          <t>17/03/2026</t>
        </is>
      </c>
      <c r="J14336" s="10" t="inlineStr">
        <is>
          <t>Sản xuất / Vận hành sản xuất, Dệt may / Da giày / Thời trang</t>
        </is>
      </c>
      <c r="K14336" s="10" t="inlineStr">
        <is>
          <t>N/A</t>
        </is>
      </c>
      <c r="L14336" s="11">
        <f>HYPERLINK("https://careerviet.vn/vi/tim-viec-lam/nhan-vien-ky-thuat-may-biet-tieng-trung.35C650A5.html","Xem chi tiết")</f>
        <v/>
      </c>
      <c r="M14336" s="10" t="n"/>
    </row>
    <row r="14337">
      <c r="B14337" s="7" t="n">
        <v>14335</v>
      </c>
      <c r="C14337" t="inlineStr">
        <is>
          <t>Nhân Viên Dịch Vụ Chứng Khoán/ Môi Giới Chứng Khoán</t>
        </is>
      </c>
      <c r="D14337" t="inlineStr">
        <is>
          <t>Công Ty CP Chứng Khoán VNDIRECT</t>
        </is>
      </c>
      <c r="E14337" t="inlineStr">
        <is>
          <t>Lương:Cạnh tranh</t>
        </is>
      </c>
      <c r="F14337" t="inlineStr">
        <is>
          <t>Hồ Chí MinhĐà NẵngHà Nội</t>
        </is>
      </c>
      <c r="G14337" t="inlineStr">
        <is>
          <t>09-04-2026</t>
        </is>
      </c>
      <c r="H14337" t="inlineStr">
        <is>
          <t>09/04/2026</t>
        </is>
      </c>
      <c r="I14337" t="inlineStr">
        <is>
          <t>17/03/2026</t>
        </is>
      </c>
      <c r="J14337" t="inlineStr">
        <is>
          <t>Chứng khoán, Ngân hàng, Tài chính / Đầu tư</t>
        </is>
      </c>
      <c r="K14337" t="inlineStr">
        <is>
          <t>Trên 1 Năm</t>
        </is>
      </c>
      <c r="L14337" s="8">
        <f>HYPERLINK("https://careerviet.vn/vi/tim-viec-lam/nhan-vien-dich-vu-chung-khoan-moi-gioi-chung-khoan.35C65216.html","Xem chi tiết")</f>
        <v/>
      </c>
    </row>
    <row r="14338">
      <c r="B14338" s="9" t="n">
        <v>14336</v>
      </c>
      <c r="C14338" s="10" t="inlineStr">
        <is>
          <t>Nhân viên cơ điện</t>
        </is>
      </c>
      <c r="D14338" s="10" t="inlineStr">
        <is>
          <t>CÔNG TY CỔ PHẦN THỰC PHẨM HỮU NGHỊ</t>
        </is>
      </c>
      <c r="E14338" s="10" t="inlineStr">
        <is>
          <t>Lương:13 Tr - 16 Tr VND</t>
        </is>
      </c>
      <c r="F14338" s="10" t="inlineStr">
        <is>
          <t>Bắc Ninh</t>
        </is>
      </c>
      <c r="G14338" s="10" t="inlineStr">
        <is>
          <t>09-04-2026</t>
        </is>
      </c>
      <c r="H14338" s="10" t="inlineStr">
        <is>
          <t>09/04/2026</t>
        </is>
      </c>
      <c r="I14338" s="10" t="inlineStr">
        <is>
          <t>17/03/2026</t>
        </is>
      </c>
      <c r="J14338" s="10" t="inlineStr">
        <is>
          <t>Cơ khí / Ô tô / Tự động hóa, Điện / Điện tử / Điện lạnh / Điện công nghiệp</t>
        </is>
      </c>
      <c r="K14338" s="10" t="inlineStr">
        <is>
          <t>Chưa có kinh nghiệm</t>
        </is>
      </c>
      <c r="L14338" s="11">
        <f>HYPERLINK("https://careerviet.vn/vi/tim-viec-lam/nhan-vien-co-dien.35C650D4.html","Xem chi tiết")</f>
        <v/>
      </c>
      <c r="M14338" s="10" t="n"/>
    </row>
    <row r="14339">
      <c r="B14339" s="7" t="n">
        <v>14337</v>
      </c>
      <c r="C14339" t="inlineStr">
        <is>
          <t>Chuyên Viên Kinh Doanh</t>
        </is>
      </c>
      <c r="D14339" t="inlineStr">
        <is>
          <t>Công ty cổ phần văn phòng phẩm Hồng Hà</t>
        </is>
      </c>
      <c r="E14339" t="inlineStr">
        <is>
          <t>Lương:10 Tr - 20 Tr VND</t>
        </is>
      </c>
      <c r="F14339" t="inlineStr">
        <is>
          <t>Hà NộiHồ Chí Minh</t>
        </is>
      </c>
      <c r="G14339" t="inlineStr">
        <is>
          <t>09-04-2026</t>
        </is>
      </c>
      <c r="H14339" t="inlineStr">
        <is>
          <t>09/04/2026</t>
        </is>
      </c>
      <c r="I14339" t="inlineStr">
        <is>
          <t>17/03/2026</t>
        </is>
      </c>
      <c r="J14339" t="inlineStr">
        <is>
          <t>Tiếp thị / Marketing, Bán hàng / Kinh doanh, Mới tốt nghiệp / Thực tập</t>
        </is>
      </c>
      <c r="K14339" t="inlineStr">
        <is>
          <t>1 - 2 Năm</t>
        </is>
      </c>
      <c r="L14339" s="8">
        <f>HYPERLINK("https://careerviet.vn/vi/tim-viec-lam/chuyen-vien-kinh-doanh.35C65095.html","Xem chi tiết")</f>
        <v/>
      </c>
    </row>
    <row r="14340">
      <c r="B14340" s="9" t="n">
        <v>14338</v>
      </c>
      <c r="C14340" s="10" t="inlineStr">
        <is>
          <t>Nhân viên kế hoạch sản xuất (chạy bài sx)</t>
        </is>
      </c>
      <c r="D14340" s="10" t="inlineStr">
        <is>
          <t>Inca Agency</t>
        </is>
      </c>
      <c r="E14340" s="10" t="inlineStr">
        <is>
          <t>Lương:12 Tr - 17 Tr VND</t>
        </is>
      </c>
      <c r="F14340" s="10" t="inlineStr">
        <is>
          <t>Hồ Chí MinhHà Nội</t>
        </is>
      </c>
      <c r="G14340" s="10" t="inlineStr">
        <is>
          <t>09-04-2026</t>
        </is>
      </c>
      <c r="H14340" s="10" t="inlineStr">
        <is>
          <t>09/04/2026</t>
        </is>
      </c>
      <c r="I14340" s="10" t="inlineStr">
        <is>
          <t>17/03/2026</t>
        </is>
      </c>
      <c r="J14340" s="10" t="inlineStr">
        <is>
          <t>Sản xuất / Vận hành sản xuất, Thu mua / Vật tư, In ấn / Xuất bản</t>
        </is>
      </c>
      <c r="K14340" s="10" t="inlineStr">
        <is>
          <t>1 - 5 Năm</t>
        </is>
      </c>
      <c r="L14340" s="11">
        <f>HYPERLINK("https://careerviet.vn/vi/tim-viec-lam/nhan-vien-ke-hoach-san-xuat-chay-bai-sx.35C651F9.html","Xem chi tiết")</f>
        <v/>
      </c>
      <c r="M14340" s="10" t="n"/>
    </row>
    <row r="14341">
      <c r="B14341" s="7" t="n">
        <v>14339</v>
      </c>
      <c r="C14341" t="inlineStr">
        <is>
          <t>Nhân Viên Vận Hành Sản Xuất - Làm Việc Tại Nhà Máy Hóa Chất Long An</t>
        </is>
      </c>
      <c r="D14341" t="inlineStr">
        <is>
          <t>Công Ty TNHH HS</t>
        </is>
      </c>
      <c r="E14341" t="inlineStr">
        <is>
          <t>Lương:9 Tr - 12 Tr VND</t>
        </is>
      </c>
      <c r="F14341" t="inlineStr">
        <is>
          <t>Long An</t>
        </is>
      </c>
      <c r="G14341" t="inlineStr">
        <is>
          <t>09-04-2026</t>
        </is>
      </c>
      <c r="H14341" t="inlineStr">
        <is>
          <t>09/04/2026</t>
        </is>
      </c>
      <c r="I14341" t="inlineStr">
        <is>
          <t>17/03/2026</t>
        </is>
      </c>
      <c r="J14341" t="inlineStr">
        <is>
          <t>Hóa học, Sản xuất / Vận hành sản xuất, Quản lý chất lượng (QA/QC)</t>
        </is>
      </c>
      <c r="K14341" t="inlineStr">
        <is>
          <t>N/A</t>
        </is>
      </c>
      <c r="L14341" s="8">
        <f>HYPERLINK("https://careerviet.vn/vi/tim-viec-lam/nhan-vien-van-hanh-san-xuat-lam-viec-tai-nha-may-hoa-chat-long-an.35C6517B.html","Xem chi tiết")</f>
        <v/>
      </c>
    </row>
    <row r="14342">
      <c r="B14342" s="9" t="n">
        <v>14340</v>
      </c>
      <c r="C14342" s="10" t="inlineStr">
        <is>
          <t>Nhân Viên Tư Vấn Môi Trường</t>
        </is>
      </c>
      <c r="D14342" s="10" t="inlineStr">
        <is>
          <t>CÔNG TY TNHH TƯ VẤN ĐẦU TƯ HOA PHƯỢNG</t>
        </is>
      </c>
      <c r="E14342" s="10" t="inlineStr">
        <is>
          <t>Lương:Trên 15 Tr VND</t>
        </is>
      </c>
      <c r="F14342" s="10" t="inlineStr">
        <is>
          <t>Hải Phòng</t>
        </is>
      </c>
      <c r="G14342" s="10" t="inlineStr">
        <is>
          <t>09-04-2026</t>
        </is>
      </c>
      <c r="H14342" s="10" t="inlineStr">
        <is>
          <t>09/04/2026</t>
        </is>
      </c>
      <c r="I14342" s="10" t="inlineStr">
        <is>
          <t>17/03/2026</t>
        </is>
      </c>
      <c r="J14342" s="10" t="inlineStr">
        <is>
          <t>Tư vấn, Môi trường, Hành chính / Thư ký</t>
        </is>
      </c>
      <c r="K14342" s="10" t="inlineStr">
        <is>
          <t>N/A</t>
        </is>
      </c>
      <c r="L14342" s="11">
        <f>HYPERLINK("https://careerviet.vn/vi/tim-viec-lam/nhan-vien-tu-van-moi-truong.35C682D0.html","Xem chi tiết")</f>
        <v/>
      </c>
      <c r="M14342" s="10" t="n"/>
    </row>
    <row r="14343">
      <c r="B14343" s="7" t="n">
        <v>14341</v>
      </c>
      <c r="C14343" t="inlineStr">
        <is>
          <t>Kỹ Sư Thiết Kế Công Nghệ</t>
        </is>
      </c>
      <c r="D14343" t="inlineStr">
        <is>
          <t>CÔNG TY TNHH TƯ VẤN ĐẦU TƯ HOA PHƯỢNG</t>
        </is>
      </c>
      <c r="E14343" t="inlineStr">
        <is>
          <t>Lương:15 Tr - 20 Tr VND</t>
        </is>
      </c>
      <c r="F14343" t="inlineStr">
        <is>
          <t>Hải Phòng</t>
        </is>
      </c>
      <c r="G14343" t="inlineStr">
        <is>
          <t>09-04-2026</t>
        </is>
      </c>
      <c r="H14343" t="inlineStr">
        <is>
          <t>09/04/2026</t>
        </is>
      </c>
      <c r="I14343" t="inlineStr">
        <is>
          <t>17/03/2026</t>
        </is>
      </c>
      <c r="J14343" t="inlineStr">
        <is>
          <t>Môi trường, Mỹ thuật / Nghệ thuật / Thiết kế, Xây dựng</t>
        </is>
      </c>
      <c r="K14343" t="inlineStr">
        <is>
          <t>N/A</t>
        </is>
      </c>
      <c r="L14343" s="8">
        <f>HYPERLINK("https://careerviet.vn/vi/tim-viec-lam/ky-su-thiet-ke-cong-nghe.35C682D1.html","Xem chi tiết")</f>
        <v/>
      </c>
    </row>
    <row r="14344">
      <c r="B14344" s="9" t="n">
        <v>14342</v>
      </c>
      <c r="C14344" s="10" t="inlineStr">
        <is>
          <t>Sales Administration &amp; Production Planning Staff</t>
        </is>
      </c>
      <c r="D14344" s="10" t="inlineStr">
        <is>
          <t>HR Vietnam’s ESS Client</t>
        </is>
      </c>
      <c r="E14344" s="10" t="inlineStr">
        <is>
          <t>Lương:Cạnh tranh</t>
        </is>
      </c>
      <c r="F14344" s="10" t="inlineStr">
        <is>
          <t>Hà Nội</t>
        </is>
      </c>
      <c r="G14344" s="10" t="inlineStr">
        <is>
          <t>09-04-2026</t>
        </is>
      </c>
      <c r="H14344" s="10" t="inlineStr">
        <is>
          <t>09/04/2026</t>
        </is>
      </c>
      <c r="I14344" s="10" t="inlineStr">
        <is>
          <t>17/03/2026</t>
        </is>
      </c>
      <c r="J14344" s="10" t="inlineStr">
        <is>
          <t>Hành chính / Thư ký, Sản xuất / Vận hành sản xuất</t>
        </is>
      </c>
      <c r="K14344" s="10" t="inlineStr">
        <is>
          <t>Trên 2 Năm</t>
        </is>
      </c>
      <c r="L14344" s="11">
        <f>HYPERLINK("https://careerviet.vn/vi/tim-viec-lam/sales-administration-production-planning-staff.35C651C0.html","Xem chi tiết")</f>
        <v/>
      </c>
      <c r="M14344" s="10" t="n"/>
    </row>
    <row r="14345">
      <c r="B14345" s="7" t="n">
        <v>14343</v>
      </c>
      <c r="C14345" t="inlineStr">
        <is>
          <t>Kế Toán Công nợ / Accountant</t>
        </is>
      </c>
      <c r="D14345" t="inlineStr">
        <is>
          <t>Bảo mật</t>
        </is>
      </c>
      <c r="E14345" t="inlineStr">
        <is>
          <t>Lương:Cạnh tranh</t>
        </is>
      </c>
      <c r="F14345" t="inlineStr">
        <is>
          <t>Hồ Chí Minh</t>
        </is>
      </c>
      <c r="G14345" t="inlineStr">
        <is>
          <t>09-04-2026</t>
        </is>
      </c>
      <c r="H14345" t="inlineStr">
        <is>
          <t>09/04/2026</t>
        </is>
      </c>
      <c r="I14345" t="inlineStr">
        <is>
          <t>17/03/2026</t>
        </is>
      </c>
      <c r="J14345" t="inlineStr">
        <is>
          <t>Kế toán / Kiểm toán, Hành chính / Thư ký</t>
        </is>
      </c>
      <c r="K14345" t="inlineStr">
        <is>
          <t>Trên 1 Năm</t>
        </is>
      </c>
      <c r="L14345" s="8">
        <f>HYPERLINK("https://careerviet.vn/vi/tim-viec-lam/ke-toan-cong-no-accountant.35BFAAA7.html","Xem chi tiết")</f>
        <v/>
      </c>
    </row>
    <row r="14346">
      <c r="B14346" s="9" t="n">
        <v>14344</v>
      </c>
      <c r="C14346" s="10" t="inlineStr">
        <is>
          <t>Chuyên Viên Kinh Doanh - Ngành Bao Bì Giấy: Ly Giấy, Ống Hút Giấy</t>
        </is>
      </c>
      <c r="D14346" s="10" t="inlineStr">
        <is>
          <t>Công ty Cổ Phần Thảo Mộc Xanh</t>
        </is>
      </c>
      <c r="E14346" s="10" t="inlineStr">
        <is>
          <t>Lương:Cạnh tranh</t>
        </is>
      </c>
      <c r="F14346" s="10" t="inlineStr">
        <is>
          <t>Hồ Chí Minh</t>
        </is>
      </c>
      <c r="G14346" s="10" t="inlineStr">
        <is>
          <t>09-04-2026</t>
        </is>
      </c>
      <c r="H14346" s="10" t="inlineStr">
        <is>
          <t>09/04/2026</t>
        </is>
      </c>
      <c r="I14346" s="10" t="inlineStr">
        <is>
          <t>17/03/2026</t>
        </is>
      </c>
      <c r="J14346" s="10" t="inlineStr">
        <is>
          <t>Tiếp thị / Marketing, Bán hàng / Kinh doanh, Quảng cáo / Đối ngoại / Truyền Thông</t>
        </is>
      </c>
      <c r="K14346" s="10" t="inlineStr">
        <is>
          <t>Trên 2 Năm</t>
        </is>
      </c>
      <c r="L14346" s="11">
        <f>HYPERLINK("https://careerviet.vn/vi/tim-viec-lam/chuyen-vien-kinh-doanh-nganh-bao-bi-giay-ly-giay-ong-hut-giay.35C682B8.html","Xem chi tiết")</f>
        <v/>
      </c>
      <c r="M14346" s="10" t="n"/>
    </row>
    <row r="14347">
      <c r="B14347" s="7" t="n">
        <v>14345</v>
      </c>
      <c r="C14347" t="inlineStr">
        <is>
          <t>Senior Talent Acquisition</t>
        </is>
      </c>
      <c r="D14347" t="inlineStr">
        <is>
          <t>Tập Đoàn Karofi Holding</t>
        </is>
      </c>
      <c r="E14347" t="inlineStr">
        <is>
          <t>Lương:Cạnh tranh</t>
        </is>
      </c>
      <c r="F14347" t="inlineStr">
        <is>
          <t>Hà Nội</t>
        </is>
      </c>
      <c r="G14347" t="inlineStr">
        <is>
          <t>09-04-2026</t>
        </is>
      </c>
      <c r="H14347" t="inlineStr">
        <is>
          <t>09/04/2026</t>
        </is>
      </c>
      <c r="I14347" t="inlineStr">
        <is>
          <t>17/03/2026</t>
        </is>
      </c>
      <c r="J14347" t="inlineStr">
        <is>
          <t>Nhân sự</t>
        </is>
      </c>
      <c r="K14347" t="inlineStr">
        <is>
          <t>5 - 7 Năm</t>
        </is>
      </c>
      <c r="L14347" s="8">
        <f>HYPERLINK("https://careerviet.vn/vi/tim-viec-lam/senior-talent-acquisition.35C63F1B.html","Xem chi tiết")</f>
        <v/>
      </c>
    </row>
    <row r="14348">
      <c r="B14348" s="9" t="n">
        <v>14346</v>
      </c>
      <c r="C14348" s="10" t="inlineStr">
        <is>
          <t>Nhân Viên Tư Vấn Sản Phẩm tại Điện Máy Chợ Lớn Đồng Hới - Quảng Bình</t>
        </is>
      </c>
      <c r="D14348" s="10" t="inlineStr">
        <is>
          <t>Tập Đoàn Karofi Holding</t>
        </is>
      </c>
      <c r="E14348" s="10" t="inlineStr">
        <is>
          <t>Lương:8 Tr - 15 Tr VND</t>
        </is>
      </c>
      <c r="F14348" s="10" t="inlineStr">
        <is>
          <t>Quảng Bình</t>
        </is>
      </c>
      <c r="G14348" s="10" t="inlineStr">
        <is>
          <t>09-04-2026</t>
        </is>
      </c>
      <c r="H14348" s="10" t="inlineStr">
        <is>
          <t>09/04/2026</t>
        </is>
      </c>
      <c r="I14348" s="10" t="inlineStr">
        <is>
          <t>17/03/2026</t>
        </is>
      </c>
      <c r="J14348" s="10" t="inlineStr">
        <is>
          <t>Bán lẻ / Bán sỉ, Bán hàng / Kinh doanh, Dịch vụ khách hàng</t>
        </is>
      </c>
      <c r="K14348" s="10" t="inlineStr">
        <is>
          <t>Lên đến 1 Năm</t>
        </is>
      </c>
      <c r="L14348" s="11">
        <f>HYPERLINK("https://careerviet.vn/vi/tim-viec-lam/nhan-vien-tu-van-san-pham-tai-dien-may-cho-lon-dong-hoi-quang-binh.35C65127.html","Xem chi tiết")</f>
        <v/>
      </c>
      <c r="M14348" s="10" t="n"/>
    </row>
    <row r="14349">
      <c r="B14349" s="7" t="n">
        <v>14347</v>
      </c>
      <c r="C14349" t="inlineStr">
        <is>
          <t>Dược sỹ trung cấp</t>
        </is>
      </c>
      <c r="D14349" t="inlineStr">
        <is>
          <t>Bảo mật</t>
        </is>
      </c>
      <c r="E14349" t="inlineStr">
        <is>
          <t>Lương:Cạnh tranh</t>
        </is>
      </c>
      <c r="F14349" t="inlineStr">
        <is>
          <t>Hồ Chí Minh</t>
        </is>
      </c>
      <c r="G14349" t="inlineStr">
        <is>
          <t>09-04-2026</t>
        </is>
      </c>
      <c r="H14349" t="inlineStr">
        <is>
          <t>09/04/2026</t>
        </is>
      </c>
      <c r="I14349" t="inlineStr">
        <is>
          <t>17/03/2026</t>
        </is>
      </c>
      <c r="J14349" t="inlineStr">
        <is>
          <t>Dược phẩm/ Hóa Mỹ Phẩm, Y tế / Chăm sóc sức khỏe / Thẩm mỹ / Làm đẹp</t>
        </is>
      </c>
      <c r="K14349" t="inlineStr">
        <is>
          <t>Trên 1 Năm</t>
        </is>
      </c>
      <c r="L14349" s="8">
        <f>HYPERLINK("https://careerviet.vn/vi/tim-viec-lam/duoc-sy-trung-cap.35BFAA9C.html","Xem chi tiết")</f>
        <v/>
      </c>
    </row>
    <row r="14350">
      <c r="B14350" s="9" t="n">
        <v>14348</v>
      </c>
      <c r="C14350" s="10" t="inlineStr">
        <is>
          <t>[Miền Bắc] Nhân Viên Tư Vấn Tín Dụng</t>
        </is>
      </c>
      <c r="D14350" s="10" t="inlineStr">
        <is>
          <t>Công Ty Tài Chính Mirae Asset (Việt Nam)</t>
        </is>
      </c>
      <c r="E14350" s="10" t="inlineStr">
        <is>
          <t>Lương:Cạnh tranh</t>
        </is>
      </c>
      <c r="F14350" s="10" t="inlineStr">
        <is>
          <t>Hà NộiTuyên QuangNghệ An</t>
        </is>
      </c>
      <c r="G14350" s="10" t="inlineStr">
        <is>
          <t>09-04-2026</t>
        </is>
      </c>
      <c r="H14350" s="10" t="inlineStr">
        <is>
          <t>09/04/2026</t>
        </is>
      </c>
      <c r="I14350" s="10" t="inlineStr">
        <is>
          <t>17/03/2026</t>
        </is>
      </c>
      <c r="J14350" s="10" t="inlineStr">
        <is>
          <t>Bán hàng / Kinh doanh, Bán lẻ / Bán sỉ, Chứng khoán</t>
        </is>
      </c>
      <c r="K14350" s="10" t="inlineStr">
        <is>
          <t>1 - 5 Năm</t>
        </is>
      </c>
      <c r="L14350" s="11">
        <f>HYPERLINK("https://careerviet.vn/vi/tim-viec-lam/mien-bac-nhan-vien-tu-van-tin-dung.35C651A0.html","Xem chi tiết")</f>
        <v/>
      </c>
      <c r="M14350" s="10" t="n"/>
    </row>
    <row r="14351">
      <c r="B14351" s="7" t="n">
        <v>14349</v>
      </c>
      <c r="C14351" t="inlineStr">
        <is>
          <t>Nhân viên thiết kế</t>
        </is>
      </c>
      <c r="D14351" t="inlineStr">
        <is>
          <t>Công ty cổ phần xây dựng và thương mại Tam Long</t>
        </is>
      </c>
      <c r="E14351" t="inlineStr">
        <is>
          <t>Lương:18 Tr - 25 Tr VND</t>
        </is>
      </c>
      <c r="F14351" t="inlineStr">
        <is>
          <t>Hải Phòng</t>
        </is>
      </c>
      <c r="G14351" t="inlineStr">
        <is>
          <t>09-04-2026</t>
        </is>
      </c>
      <c r="H14351" t="inlineStr">
        <is>
          <t>09/04/2026</t>
        </is>
      </c>
      <c r="I14351" t="inlineStr">
        <is>
          <t>17/03/2026</t>
        </is>
      </c>
      <c r="J14351" t="inlineStr">
        <is>
          <t>Xây dựng</t>
        </is>
      </c>
      <c r="K14351" t="inlineStr">
        <is>
          <t>1 - 3 Năm</t>
        </is>
      </c>
      <c r="L14351" s="8">
        <f>HYPERLINK("https://careerviet.vn/vi/tim-viec-lam/nhan-vien-thiet-ke.35C64D87.html","Xem chi tiết")</f>
        <v/>
      </c>
    </row>
    <row r="14352">
      <c r="B14352" s="9" t="n">
        <v>14350</v>
      </c>
      <c r="C14352" s="10" t="inlineStr">
        <is>
          <t>Penetration Testing Engineer</t>
        </is>
      </c>
      <c r="D14352" s="10" t="inlineStr">
        <is>
          <t>Công ty TNHH Viettel - CHT</t>
        </is>
      </c>
      <c r="E14352" s="10" t="inlineStr">
        <is>
          <t>Lương:Cạnh tranh</t>
        </is>
      </c>
      <c r="F14352" s="10" t="inlineStr">
        <is>
          <t>Hà Nội</t>
        </is>
      </c>
      <c r="G14352" s="10" t="inlineStr">
        <is>
          <t>27-03-2026</t>
        </is>
      </c>
      <c r="H14352" s="10" t="inlineStr">
        <is>
          <t>27/03/2026</t>
        </is>
      </c>
      <c r="I14352" s="10" t="inlineStr">
        <is>
          <t>17/03/2026</t>
        </is>
      </c>
      <c r="J14352" s="10" t="inlineStr">
        <is>
          <t>CNTT - Phần mềm, CNTT - Phần cứng / Mạng</t>
        </is>
      </c>
      <c r="K14352" s="10" t="inlineStr">
        <is>
          <t>Trên 2 Năm</t>
        </is>
      </c>
      <c r="L14352" s="11">
        <f>HYPERLINK("https://careerviet.vn/vi/tim-viec-lam/penetration-testing-engineer.35C697A2.html","Xem chi tiết")</f>
        <v/>
      </c>
      <c r="M14352" s="10" t="n"/>
    </row>
    <row r="14353">
      <c r="B14353" s="7" t="n">
        <v>14351</v>
      </c>
      <c r="C14353" t="inlineStr">
        <is>
          <t>Nhân viên kinh doanh - Ấn phẩm POSM (lịch, brochure, hộp giấy, catalogue...)</t>
        </is>
      </c>
      <c r="D14353" t="inlineStr">
        <is>
          <t>Công ty Cổ Phần Thảo Mộc Xanh</t>
        </is>
      </c>
      <c r="E14353" t="inlineStr">
        <is>
          <t>Lương:Cạnh tranh</t>
        </is>
      </c>
      <c r="F14353" t="inlineStr">
        <is>
          <t>Hồ Chí Minh</t>
        </is>
      </c>
      <c r="G14353" t="inlineStr">
        <is>
          <t>09-04-2026</t>
        </is>
      </c>
      <c r="H14353" t="inlineStr">
        <is>
          <t>09/04/2026</t>
        </is>
      </c>
      <c r="I14353" t="inlineStr">
        <is>
          <t>17/03/2026</t>
        </is>
      </c>
      <c r="J14353" t="inlineStr">
        <is>
          <t>Tiếp thị / Marketing, Bán hàng / Kinh doanh, In ấn / Xuất bản</t>
        </is>
      </c>
      <c r="K14353" t="inlineStr">
        <is>
          <t>Trên 1 Năm</t>
        </is>
      </c>
      <c r="L14353" s="8">
        <f>HYPERLINK("https://careerviet.vn/vi/tim-viec-lam/nhan-vien-kinh-doanh-an-pham-posm-lich-brochure-hop-giay-catalogue.35BF9EBA.html","Xem chi tiết")</f>
        <v/>
      </c>
    </row>
    <row r="14354">
      <c r="B14354" s="9" t="n">
        <v>14352</v>
      </c>
      <c r="C14354" s="10" t="inlineStr">
        <is>
          <t>CHUYÊN VIÊN MUA HÀNG [CƠ KHÍ -  CỦ CHI]</t>
        </is>
      </c>
      <c r="D14354" s="10" t="inlineStr">
        <is>
          <t>CÔNG TY CP SAIGON AUTO SUPPORTING INDUSTRY</t>
        </is>
      </c>
      <c r="E14354" s="10" t="inlineStr">
        <is>
          <t>Lương:Cạnh tranh</t>
        </is>
      </c>
      <c r="F14354" s="10" t="inlineStr">
        <is>
          <t>Hồ Chí Minh</t>
        </is>
      </c>
      <c r="G14354" s="10" t="inlineStr">
        <is>
          <t>09-04-2026</t>
        </is>
      </c>
      <c r="H14354" s="10" t="inlineStr">
        <is>
          <t>09/04/2026</t>
        </is>
      </c>
      <c r="I14354" s="10" t="inlineStr">
        <is>
          <t>17/03/2026</t>
        </is>
      </c>
      <c r="J14354" s="10" t="inlineStr">
        <is>
          <t>Cơ khí / Ô tô / Tự động hóa, Thu mua / Vật tư, Bán Hàng Kỹ Thuật</t>
        </is>
      </c>
      <c r="K14354" s="10" t="inlineStr">
        <is>
          <t>3 - 10 Năm</t>
        </is>
      </c>
      <c r="L14354" s="11">
        <f>HYPERLINK("https://careerviet.vn/vi/tim-viec-lam/chuyen-vien-mua-hang-co-khi-cu-chi.35C65074.html","Xem chi tiết")</f>
        <v/>
      </c>
      <c r="M14354" s="10" t="n"/>
    </row>
    <row r="14355">
      <c r="B14355" s="7" t="n">
        <v>14353</v>
      </c>
      <c r="C14355" t="inlineStr">
        <is>
          <t>TAX ACCOUNTANT</t>
        </is>
      </c>
      <c r="D14355" t="inlineStr">
        <is>
          <t>Công Ty TNHH Corsair Marine International</t>
        </is>
      </c>
      <c r="E14355" t="inlineStr">
        <is>
          <t>Lương:Cạnh tranh</t>
        </is>
      </c>
      <c r="F14355" t="inlineStr">
        <is>
          <t>Hồ Chí Minh</t>
        </is>
      </c>
      <c r="G14355" t="inlineStr">
        <is>
          <t>31-03-2026</t>
        </is>
      </c>
      <c r="H14355" t="inlineStr">
        <is>
          <t>31/03/2026</t>
        </is>
      </c>
      <c r="I14355" t="inlineStr">
        <is>
          <t>17/03/2026</t>
        </is>
      </c>
      <c r="J14355" t="inlineStr">
        <is>
          <t>Kế toán / Kiểm toán, Tài chính / Đầu tư</t>
        </is>
      </c>
      <c r="K14355" t="inlineStr">
        <is>
          <t>2 - 3 Năm</t>
        </is>
      </c>
      <c r="L14355" s="8">
        <f>HYPERLINK("https://careerviet.vn/vi/tim-viec-lam/tax-accountant.35C6965E.html","Xem chi tiết")</f>
        <v/>
      </c>
    </row>
    <row r="14356">
      <c r="B14356" s="9" t="n">
        <v>14354</v>
      </c>
      <c r="C14356" s="10" t="inlineStr">
        <is>
          <t>Nhân Viên Kiểm Soát Nội Bộ</t>
        </is>
      </c>
      <c r="D14356" s="10" t="inlineStr">
        <is>
          <t>Công Ty Cổ Phần Vacxin Việt Nam</t>
        </is>
      </c>
      <c r="E14356" s="10" t="inlineStr">
        <is>
          <t>Lương:Cạnh tranh</t>
        </is>
      </c>
      <c r="F14356" s="10" t="inlineStr">
        <is>
          <t>Hồ Chí Minh</t>
        </is>
      </c>
      <c r="G14356" s="10" t="inlineStr">
        <is>
          <t>31-03-2026</t>
        </is>
      </c>
      <c r="H14356" s="10" t="inlineStr">
        <is>
          <t>31/03/2026</t>
        </is>
      </c>
      <c r="I14356" s="10" t="inlineStr">
        <is>
          <t>17/03/2026</t>
        </is>
      </c>
      <c r="J14356" s="10" t="inlineStr">
        <is>
          <t>Kế toán / Kiểm toán</t>
        </is>
      </c>
      <c r="K14356" s="10" t="inlineStr">
        <is>
          <t>Chưa có kinh nghiệm</t>
        </is>
      </c>
      <c r="L14356" s="11">
        <f>HYPERLINK("https://careerviet.vn/vi/tim-viec-lam/nhan-vien-kiem-soat-noi-bo.35C69601.html","Xem chi tiết")</f>
        <v/>
      </c>
      <c r="M14356" s="10" t="n"/>
    </row>
    <row r="14357">
      <c r="B14357" s="7" t="n">
        <v>14355</v>
      </c>
      <c r="C14357" t="inlineStr">
        <is>
          <t>General Accountant (Cashew Bien Hoa II)</t>
        </is>
      </c>
      <c r="D14357" t="inlineStr">
        <is>
          <t>Công ty TNHH Olam Việt Nam</t>
        </is>
      </c>
      <c r="E14357" t="inlineStr">
        <is>
          <t>Lương:Cạnh tranh</t>
        </is>
      </c>
      <c r="F14357" t="inlineStr">
        <is>
          <t>Đồng Nai</t>
        </is>
      </c>
      <c r="G14357" t="inlineStr">
        <is>
          <t>3</t>
        </is>
      </c>
      <c r="H14357" t="inlineStr">
        <is>
          <t>20/03/2026</t>
        </is>
      </c>
      <c r="I14357" t="inlineStr">
        <is>
          <t>17/03/2026</t>
        </is>
      </c>
      <c r="J14357" t="inlineStr">
        <is>
          <t>Kế toán / Kiểm toán</t>
        </is>
      </c>
      <c r="K14357" t="inlineStr">
        <is>
          <t>4 - 6 Năm</t>
        </is>
      </c>
      <c r="L14357" s="8">
        <f>HYPERLINK("https://careerviet.vn/vi/tim-viec-lam/general-accountant-cashew-bien-hoa-ii.35C6970B.html","Xem chi tiết")</f>
        <v/>
      </c>
    </row>
    <row r="14358">
      <c r="B14358" s="9" t="n">
        <v>14356</v>
      </c>
      <c r="C14358" s="10" t="inlineStr">
        <is>
          <t>Chuyên Viên C&amp;B - Thu Nhập Upto 18M</t>
        </is>
      </c>
      <c r="D14358" s="10" t="inlineStr">
        <is>
          <t>NHÀ SÁCH TIẾN THỌ</t>
        </is>
      </c>
      <c r="E14358" s="10" t="inlineStr">
        <is>
          <t>Lương:13 Tr - 18 Tr VND</t>
        </is>
      </c>
      <c r="F14358" s="10" t="inlineStr">
        <is>
          <t>Hà Nội</t>
        </is>
      </c>
      <c r="G14358" s="10" t="inlineStr">
        <is>
          <t>31-03-2026</t>
        </is>
      </c>
      <c r="H14358" s="10" t="inlineStr">
        <is>
          <t>31/03/2026</t>
        </is>
      </c>
      <c r="I14358" s="10" t="inlineStr">
        <is>
          <t>17/03/2026</t>
        </is>
      </c>
      <c r="J14358" s="10" t="inlineStr">
        <is>
          <t>Nhân sự</t>
        </is>
      </c>
      <c r="K14358" s="10" t="inlineStr">
        <is>
          <t>Trên 2 Năm</t>
        </is>
      </c>
      <c r="L14358" s="11">
        <f>HYPERLINK("https://careerviet.vn/vi/tim-viec-lam/chuyen-vien-c-b-thu-nhap-upto-18m.35C69887.html","Xem chi tiết")</f>
        <v/>
      </c>
      <c r="M14358" s="10" t="n"/>
    </row>
    <row r="14359">
      <c r="B14359" s="7" t="n">
        <v>14357</v>
      </c>
      <c r="C14359" t="inlineStr">
        <is>
          <t>Giám đốc triển khai Giải pháp Bảo hiểm nhân thọ - Hà Nội - TA161</t>
        </is>
      </c>
      <c r="D14359" t="inlineStr">
        <is>
          <t>Ngân Hàng TMCP Việt Nam Thịnh Vượng - VPBANK</t>
        </is>
      </c>
      <c r="E14359" t="inlineStr">
        <is>
          <t>Lương:50 Tr - 80 Tr VND</t>
        </is>
      </c>
      <c r="F14359" t="inlineStr">
        <is>
          <t>Hà Nội</t>
        </is>
      </c>
      <c r="G14359" t="inlineStr">
        <is>
          <t>10-03-2026</t>
        </is>
      </c>
      <c r="H14359" t="inlineStr">
        <is>
          <t>14/03/2026</t>
        </is>
      </c>
      <c r="I14359" t="inlineStr">
        <is>
          <t>17/03/2026</t>
        </is>
      </c>
      <c r="J14359" t="inlineStr">
        <is>
          <t>Bảo hiểm, Ngân hàng, Tài chính / Đầu tư</t>
        </is>
      </c>
      <c r="K14359" t="inlineStr">
        <is>
          <t>4 - 7 Năm</t>
        </is>
      </c>
      <c r="L14359" s="8">
        <f>HYPERLINK("https://careerviet.vn/vi/tim-viec-lam/giam-doc-trien-khai-giai-phap-bao-hiem-nhan-tho-ha-noi-ta161.35C69883.html","Xem chi tiết")</f>
        <v/>
      </c>
    </row>
    <row r="14360">
      <c r="B14360" s="9" t="n">
        <v>14358</v>
      </c>
      <c r="C14360" s="10" t="inlineStr">
        <is>
          <t>Cán Bộ Phòng Đấu Thầu</t>
        </is>
      </c>
      <c r="D14360" s="10" t="inlineStr">
        <is>
          <t>CÔNG TY CỔ PHẦN XÂY DỰNG MEGASPACE</t>
        </is>
      </c>
      <c r="E14360" s="10" t="inlineStr">
        <is>
          <t>Lương:15 Tr - 25 Tr VND</t>
        </is>
      </c>
      <c r="F14360" s="10" t="inlineStr">
        <is>
          <t>Hà Nội</t>
        </is>
      </c>
      <c r="G14360" s="10" t="inlineStr">
        <is>
          <t>25-03-2026</t>
        </is>
      </c>
      <c r="H14360" s="10" t="inlineStr">
        <is>
          <t>25/03/2026</t>
        </is>
      </c>
      <c r="I14360" s="10" t="inlineStr">
        <is>
          <t>17/03/2026</t>
        </is>
      </c>
      <c r="J14360" s="10" t="inlineStr">
        <is>
          <t>Cơ khí / Ô tô / Tự động hóa, Điện / Điện tử / Điện lạnh / Điện công nghiệp, Xây dựng</t>
        </is>
      </c>
      <c r="K14360" s="10" t="inlineStr">
        <is>
          <t>Trên 3 Năm</t>
        </is>
      </c>
      <c r="L14360" s="11">
        <f>HYPERLINK("https://careerviet.vn/vi/tim-viec-lam/can-bo-phong-dau-thau.35C696A9.html","Xem chi tiết")</f>
        <v/>
      </c>
      <c r="M14360" s="10" t="n"/>
    </row>
    <row r="14361">
      <c r="B14361" s="7" t="n">
        <v>14359</v>
      </c>
      <c r="C14361" t="inlineStr">
        <is>
          <t>[PHENIKAA GROUP] CHUYÊN VIÊN TIÊU CHUẨN</t>
        </is>
      </c>
      <c r="D14361" t="inlineStr">
        <is>
          <t>ĐẠI HỌC PHENIKAA</t>
        </is>
      </c>
      <c r="E14361" t="inlineStr">
        <is>
          <t>Lương:17 Tr - 20 Tr VND</t>
        </is>
      </c>
      <c r="F14361" t="inlineStr">
        <is>
          <t>Hà Nội</t>
        </is>
      </c>
      <c r="G14361" t="inlineStr">
        <is>
          <t>09-04-2026</t>
        </is>
      </c>
      <c r="H14361" t="inlineStr">
        <is>
          <t>09/04/2026</t>
        </is>
      </c>
      <c r="I14361" t="inlineStr">
        <is>
          <t>17/03/2026</t>
        </is>
      </c>
      <c r="J14361" t="inlineStr">
        <is>
          <t>Sản xuất / Vận hành sản xuất, Quản lý chất lượng (QA/QC), Kế toán / Kiểm toán</t>
        </is>
      </c>
      <c r="K14361" t="inlineStr">
        <is>
          <t>1 - 3 Năm</t>
        </is>
      </c>
      <c r="L14361" s="8">
        <f>HYPERLINK("https://careerviet.vn/vi/tim-viec-lam/phenikaa-group-chuyen-vien-tieu-chuan.35C650D7.html","Xem chi tiết")</f>
        <v/>
      </c>
    </row>
    <row r="14362">
      <c r="B14362" s="9" t="n">
        <v>14360</v>
      </c>
      <c r="C14362" s="10" t="inlineStr">
        <is>
          <t>Nhân viên Kinh doanh tại Quảng Ninh</t>
        </is>
      </c>
      <c r="D14362" s="10" t="inlineStr">
        <is>
          <t>Tổng Công Ty Cổ Phần Bảo Hiểm Ngân Hàng TMCP Công Thương Việt Nam</t>
        </is>
      </c>
      <c r="E14362" s="10" t="inlineStr">
        <is>
          <t>Lương:Cạnh tranh</t>
        </is>
      </c>
      <c r="F14362" s="10" t="inlineStr">
        <is>
          <t>Quảng Ninh</t>
        </is>
      </c>
      <c r="G14362" s="10" t="inlineStr">
        <is>
          <t>27-03-2026</t>
        </is>
      </c>
      <c r="H14362" s="10" t="inlineStr">
        <is>
          <t>27/03/2026</t>
        </is>
      </c>
      <c r="I14362" s="10" t="inlineStr">
        <is>
          <t>17/03/2026</t>
        </is>
      </c>
      <c r="J14362" s="10" t="inlineStr">
        <is>
          <t>Ngân hàng, Bảo hiểm, Bán hàng / Kinh doanh</t>
        </is>
      </c>
      <c r="K14362" s="10" t="inlineStr">
        <is>
          <t>1 - 2 Năm</t>
        </is>
      </c>
      <c r="L14362" s="11">
        <f>HYPERLINK("https://careerviet.vn/vi/tim-viec-lam/nhan-vien-kinh-doanh-tai-quang-ninh.35C694DA.html","Xem chi tiết")</f>
        <v/>
      </c>
      <c r="M14362" s="10" t="n"/>
    </row>
    <row r="14363">
      <c r="B14363" s="7" t="n">
        <v>14361</v>
      </c>
      <c r="C14363" t="inlineStr">
        <is>
          <t>Nhân viên quản lý chất lượng (IQC, OQC)</t>
        </is>
      </c>
      <c r="D14363" t="inlineStr">
        <is>
          <t>Công Ty Cổ Phần Quốc Tế Sơn Hà</t>
        </is>
      </c>
      <c r="E14363" t="inlineStr">
        <is>
          <t>Lương:Cạnh tranh</t>
        </is>
      </c>
      <c r="F14363" t="inlineStr">
        <is>
          <t>Bắc Ninh</t>
        </is>
      </c>
      <c r="G14363" t="inlineStr">
        <is>
          <t>27-03-2026</t>
        </is>
      </c>
      <c r="H14363" t="inlineStr">
        <is>
          <t>27/03/2026</t>
        </is>
      </c>
      <c r="I14363" t="inlineStr">
        <is>
          <t>17/03/2026</t>
        </is>
      </c>
      <c r="J14363" t="inlineStr">
        <is>
          <t>Cơ khí / Ô tô / Tự động hóa</t>
        </is>
      </c>
      <c r="K14363" t="inlineStr">
        <is>
          <t>1 - 2 Năm</t>
        </is>
      </c>
      <c r="L14363" s="8">
        <f>HYPERLINK("https://careerviet.vn/vi/tim-viec-lam/nhan-vien-quan-ly-chat-luong-iqc-oqc.35C69532.html","Xem chi tiết")</f>
        <v/>
      </c>
    </row>
    <row r="14364">
      <c r="B14364" s="9" t="n">
        <v>14362</v>
      </c>
      <c r="C14364" s="10" t="inlineStr">
        <is>
          <t>Nhân Viên Vận Hành Máy _ Nhà Máy KCN Biên Hòa II</t>
        </is>
      </c>
      <c r="D14364" s="10" t="inlineStr">
        <is>
          <t>Công ty TNHH Olam Việt Nam</t>
        </is>
      </c>
      <c r="E14364" s="10" t="inlineStr">
        <is>
          <t>Lương:Cạnh tranh</t>
        </is>
      </c>
      <c r="F14364" s="10" t="inlineStr">
        <is>
          <t>Đồng Nai</t>
        </is>
      </c>
      <c r="G14364" s="10" t="inlineStr">
        <is>
          <t>25-03-2026</t>
        </is>
      </c>
      <c r="H14364" s="10" t="inlineStr">
        <is>
          <t>25/03/2026</t>
        </is>
      </c>
      <c r="I14364" s="10" t="inlineStr">
        <is>
          <t>17/03/2026</t>
        </is>
      </c>
      <c r="J14364" s="10" t="inlineStr">
        <is>
          <t>Sản xuất / Vận hành sản xuất, Thực phẩm &amp; Đồ uống, Quản lý chất lượng (QA/QC)</t>
        </is>
      </c>
      <c r="K14364" s="10" t="inlineStr">
        <is>
          <t>N/A</t>
        </is>
      </c>
      <c r="L14364" s="11">
        <f>HYPERLINK("https://careerviet.vn/vi/tim-viec-lam/nhan-vien-van-hanh-may-_-nha-may-kcn-bien-hoa-ii.35C69665.html","Xem chi tiết")</f>
        <v/>
      </c>
      <c r="M14364" s="10" t="n"/>
    </row>
    <row r="14365">
      <c r="B14365" s="7" t="n">
        <v>14363</v>
      </c>
      <c r="C14365" t="inlineStr">
        <is>
          <t>Cán bộ quản lý chi phí các dự án tổng thầu</t>
        </is>
      </c>
      <c r="D14365" t="inlineStr">
        <is>
          <t>CÔNG TY CỔ PHẦN XÂY DỰNG MEGASPACE</t>
        </is>
      </c>
      <c r="E14365" t="inlineStr">
        <is>
          <t>Lương:15 Tr - 22 Tr VND</t>
        </is>
      </c>
      <c r="F14365" t="inlineStr">
        <is>
          <t>Hà Nội</t>
        </is>
      </c>
      <c r="G14365" t="inlineStr">
        <is>
          <t>25-03-2026</t>
        </is>
      </c>
      <c r="H14365" t="inlineStr">
        <is>
          <t>25/03/2026</t>
        </is>
      </c>
      <c r="I14365" t="inlineStr">
        <is>
          <t>17/03/2026</t>
        </is>
      </c>
      <c r="J14365" t="inlineStr">
        <is>
          <t>Cơ khí / Ô tô / Tự động hóa, Điện / Điện tử / Điện lạnh / Điện công nghiệp, Xây dựng</t>
        </is>
      </c>
      <c r="K14365" t="inlineStr">
        <is>
          <t>Trên 5 Năm</t>
        </is>
      </c>
      <c r="L14365" s="8">
        <f>HYPERLINK("https://careerviet.vn/vi/tim-viec-lam/can-bo-quan-ly-chi-phi-cac-du-an-tong-thau.35C6970D.html","Xem chi tiết")</f>
        <v/>
      </c>
    </row>
    <row r="14366">
      <c r="B14366" s="9" t="n">
        <v>14364</v>
      </c>
      <c r="C14366" s="10" t="inlineStr">
        <is>
          <t>[Bình Dương] Kế Toán Công Nợ</t>
        </is>
      </c>
      <c r="D14366" s="10" t="inlineStr">
        <is>
          <t>Công ty Cổ phần Dược Hậu Giang</t>
        </is>
      </c>
      <c r="E14366" s="10" t="inlineStr">
        <is>
          <t>Lương:12 Tr - 15 Tr VND</t>
        </is>
      </c>
      <c r="F14366" s="10" t="inlineStr">
        <is>
          <t>Bình Dương</t>
        </is>
      </c>
      <c r="G14366" s="10" t="inlineStr">
        <is>
          <t>25-03-2026</t>
        </is>
      </c>
      <c r="H14366" s="10" t="inlineStr">
        <is>
          <t>25/03/2026</t>
        </is>
      </c>
      <c r="I14366" s="10" t="inlineStr">
        <is>
          <t>17/03/2026</t>
        </is>
      </c>
      <c r="J14366" s="10" t="inlineStr">
        <is>
          <t>Dược phẩm/ Hóa Mỹ Phẩm, Kế toán / Kiểm toán, Tài chính / Đầu tư</t>
        </is>
      </c>
      <c r="K14366" s="10" t="inlineStr">
        <is>
          <t>1 - 3 Năm</t>
        </is>
      </c>
      <c r="L14366" s="11">
        <f>HYPERLINK("https://careerviet.vn/vi/tim-viec-lam/binh-duong-ke-toan-cong-no.35C6971C.html","Xem chi tiết")</f>
        <v/>
      </c>
      <c r="M14366" s="10" t="n"/>
    </row>
    <row r="14367">
      <c r="B14367" s="7" t="n">
        <v>14365</v>
      </c>
      <c r="C14367" t="inlineStr">
        <is>
          <t>Kỹ sư bán hàng  (Khu vực Bắc Ninh hoặc Hưng Yên)</t>
        </is>
      </c>
      <c r="D14367" t="inlineStr">
        <is>
          <t>Công ty TNHH Cơ Điện Lạnh EEP Việt Nam</t>
        </is>
      </c>
      <c r="E14367" t="inlineStr">
        <is>
          <t>Lương:15 Tr - 35 Tr VND</t>
        </is>
      </c>
      <c r="F14367" t="inlineStr">
        <is>
          <t>Bắc NinhHưng Yên</t>
        </is>
      </c>
      <c r="G14367" t="inlineStr">
        <is>
          <t>31-03-2026</t>
        </is>
      </c>
      <c r="H14367" t="inlineStr">
        <is>
          <t>31/03/2026</t>
        </is>
      </c>
      <c r="I14367" t="inlineStr">
        <is>
          <t>17/03/2026</t>
        </is>
      </c>
      <c r="J14367" t="inlineStr">
        <is>
          <t>Điện / Điện tử / Điện lạnh / Điện công nghiệp, Xây dựng, Cơ khí / Ô tô / Tự động hóa</t>
        </is>
      </c>
      <c r="K14367" t="inlineStr">
        <is>
          <t>1 - 3 Năm</t>
        </is>
      </c>
      <c r="L14367" s="8">
        <f>HYPERLINK("https://careerviet.vn/vi/tim-viec-lam/ky-su-ban-hang-khu-vuc-bac-ninh-hoac-hung-yen.35C6BE1E.html","Xem chi tiết")</f>
        <v/>
      </c>
    </row>
    <row r="14368">
      <c r="B14368" s="9" t="n">
        <v>14366</v>
      </c>
      <c r="C14368" s="10" t="inlineStr">
        <is>
          <t>Nhân viên nấu ăn</t>
        </is>
      </c>
      <c r="D14368" s="10" t="inlineStr">
        <is>
          <t>TỔNG CÔNG TY CỔ PHẦN THƯƠNG MẠI XÂY DỰNG</t>
        </is>
      </c>
      <c r="E14368" s="10" t="inlineStr">
        <is>
          <t>Lương:10 Tr - 12 Tr VND</t>
        </is>
      </c>
      <c r="F14368" s="10" t="inlineStr">
        <is>
          <t>Hà Nội</t>
        </is>
      </c>
      <c r="G14368" s="10" t="inlineStr">
        <is>
          <t>31-03-2026</t>
        </is>
      </c>
      <c r="H14368" s="10" t="inlineStr">
        <is>
          <t>31/03/2026</t>
        </is>
      </c>
      <c r="I14368" s="10" t="inlineStr">
        <is>
          <t>17/03/2026</t>
        </is>
      </c>
      <c r="J14368" s="10" t="inlineStr">
        <is>
          <t>Lao động phổ thông, Ngành khác, Thực phẩm &amp; Đồ uống</t>
        </is>
      </c>
      <c r="K14368" s="10" t="inlineStr">
        <is>
          <t>Trên 5 Năm</t>
        </is>
      </c>
      <c r="L14368" s="11">
        <f>HYPERLINK("https://careerviet.vn/vi/tim-viec-lam/nhan-vien-nau-an.35C697E0.html","Xem chi tiết")</f>
        <v/>
      </c>
      <c r="M14368" s="10" t="n"/>
    </row>
    <row r="14369">
      <c r="B14369" s="7" t="n">
        <v>14367</v>
      </c>
      <c r="C14369" t="inlineStr">
        <is>
          <t>Thực tập sinh Tuyển sinh trường học - Pathway School</t>
        </is>
      </c>
      <c r="D14369" t="inlineStr">
        <is>
          <t>Hệ thống trường Pathway Tuệ Đức</t>
        </is>
      </c>
      <c r="E14369" t="inlineStr">
        <is>
          <t>Lương:3 Tr - 3,5 Tr VND</t>
        </is>
      </c>
      <c r="F14369" t="inlineStr">
        <is>
          <t>Hồ Chí Minh</t>
        </is>
      </c>
      <c r="G14369" t="inlineStr">
        <is>
          <t>08-04-2026</t>
        </is>
      </c>
      <c r="H14369" t="inlineStr">
        <is>
          <t>08/04/2026</t>
        </is>
      </c>
      <c r="I14369" t="inlineStr">
        <is>
          <t>17/03/2026</t>
        </is>
      </c>
      <c r="J14369" t="inlineStr">
        <is>
          <t>Bán hàng / Kinh doanh, Tư vấn, Giáo dục / Đào tạo</t>
        </is>
      </c>
      <c r="K14369" t="inlineStr">
        <is>
          <t>N/A</t>
        </is>
      </c>
      <c r="L14369" s="8">
        <f>HYPERLINK("https://careerviet.vn/vi/tim-viec-lam/thuc-tap-sinh-tuyen-sinh-truong-hoc-pathway-school.35C65072.html","Xem chi tiết")</f>
        <v/>
      </c>
    </row>
    <row r="14370">
      <c r="B14370" s="9" t="n">
        <v>14368</v>
      </c>
      <c r="C14370" s="10" t="inlineStr">
        <is>
          <t>Kế toán trưởng</t>
        </is>
      </c>
      <c r="D14370" s="10" t="inlineStr">
        <is>
          <t>CÔNG TY CỔ PHẦN VẬT LIỆU VĨNH TÂN</t>
        </is>
      </c>
      <c r="E14370" s="10" t="inlineStr">
        <is>
          <t>Lương:20 Tr - 30 Tr VND</t>
        </is>
      </c>
      <c r="F14370" s="10" t="inlineStr">
        <is>
          <t>Bắc Ninh</t>
        </is>
      </c>
      <c r="G14370" s="10" t="inlineStr">
        <is>
          <t>25-03-2026</t>
        </is>
      </c>
      <c r="H14370" s="10" t="inlineStr">
        <is>
          <t>25/03/2026</t>
        </is>
      </c>
      <c r="I14370" s="10" t="inlineStr">
        <is>
          <t>17/03/2026</t>
        </is>
      </c>
      <c r="J14370" s="10" t="inlineStr">
        <is>
          <t>Kế toán / Kiểm toán</t>
        </is>
      </c>
      <c r="K14370" s="10" t="inlineStr">
        <is>
          <t>3 - 5 Năm</t>
        </is>
      </c>
      <c r="L14370" s="11">
        <f>HYPERLINK("https://careerviet.vn/vi/tim-viec-lam/ke-toan-truong.35C697B3.html","Xem chi tiết")</f>
        <v/>
      </c>
      <c r="M14370" s="10" t="n"/>
    </row>
    <row r="14371">
      <c r="B14371" s="7" t="n">
        <v>14369</v>
      </c>
      <c r="C14371" t="inlineStr">
        <is>
          <t>Kỹ thuật bảo hành</t>
        </is>
      </c>
      <c r="D14371" t="inlineStr">
        <is>
          <t>Công ty TNHH Thiên Thủy Mộc</t>
        </is>
      </c>
      <c r="E14371" t="inlineStr">
        <is>
          <t>Lương:10 Tr - 12 Tr VND</t>
        </is>
      </c>
      <c r="F14371" t="inlineStr">
        <is>
          <t>Hà Nội</t>
        </is>
      </c>
      <c r="G14371" t="inlineStr">
        <is>
          <t>30-04-2026</t>
        </is>
      </c>
      <c r="H14371" t="inlineStr">
        <is>
          <t>30/04/2026</t>
        </is>
      </c>
      <c r="I14371" t="inlineStr">
        <is>
          <t>17/03/2026</t>
        </is>
      </c>
      <c r="J14371" t="inlineStr">
        <is>
          <t>Bảo trì / Sửa chữa</t>
        </is>
      </c>
      <c r="K14371" t="inlineStr">
        <is>
          <t>1 - 2 Năm</t>
        </is>
      </c>
      <c r="L14371" s="8">
        <f>HYPERLINK("https://careerviet.vn/vi/tim-viec-lam/ky-thuat-bao-hanh.35C695B7.html","Xem chi tiết")</f>
        <v/>
      </c>
    </row>
    <row r="14372">
      <c r="B14372" s="9" t="n">
        <v>14370</v>
      </c>
      <c r="C14372" s="10" t="inlineStr">
        <is>
          <t>Kỹ sư Dự toán PCCC</t>
        </is>
      </c>
      <c r="D14372" s="10" t="inlineStr">
        <is>
          <t>CÔNG TY CỔ PHẦN CƠ ĐIỆN VÀ PCCC THĂNG LONG</t>
        </is>
      </c>
      <c r="E14372" s="10" t="inlineStr">
        <is>
          <t>Lương:10 Tr - 16 Tr VND</t>
        </is>
      </c>
      <c r="F14372" s="10" t="inlineStr">
        <is>
          <t>Hà Nội</t>
        </is>
      </c>
      <c r="G14372" s="10" t="inlineStr">
        <is>
          <t>31-03-2026</t>
        </is>
      </c>
      <c r="H14372" s="10" t="inlineStr">
        <is>
          <t>31/03/2026</t>
        </is>
      </c>
      <c r="I14372" s="10" t="inlineStr">
        <is>
          <t>17/03/2026</t>
        </is>
      </c>
      <c r="J14372" s="10" t="inlineStr">
        <is>
          <t>Xây dựng, Cơ khí / Ô tô / Tự động hóa, Thủy lợi</t>
        </is>
      </c>
      <c r="K14372" s="10" t="inlineStr">
        <is>
          <t>1 - 2 Năm</t>
        </is>
      </c>
      <c r="L14372" s="11">
        <f>HYPERLINK("https://careerviet.vn/vi/tim-viec-lam/ky-su-du-toan-pccc.35C696D9.html","Xem chi tiết")</f>
        <v/>
      </c>
      <c r="M14372" s="10" t="n"/>
    </row>
    <row r="14373">
      <c r="B14373" s="7" t="n">
        <v>14371</v>
      </c>
      <c r="C14373" t="inlineStr">
        <is>
          <t>Sales Manager - Khoản Vay</t>
        </is>
      </c>
      <c r="D14373" t="inlineStr">
        <is>
          <t>CÔNG TY CỔ PHẦN CITICS</t>
        </is>
      </c>
      <c r="E14373" t="inlineStr">
        <is>
          <t>Lương:20 Tr - 30 Tr VND</t>
        </is>
      </c>
      <c r="F14373" t="inlineStr">
        <is>
          <t>Hồ Chí Minh</t>
        </is>
      </c>
      <c r="G14373" t="inlineStr">
        <is>
          <t>30-04-2026</t>
        </is>
      </c>
      <c r="H14373" t="inlineStr">
        <is>
          <t>30/04/2026</t>
        </is>
      </c>
      <c r="I14373" t="inlineStr">
        <is>
          <t>17/03/2026</t>
        </is>
      </c>
      <c r="J14373" t="inlineStr">
        <is>
          <t>Ngân hàng, Tài chính / Đầu tư, Bất động sản</t>
        </is>
      </c>
      <c r="K14373" t="inlineStr">
        <is>
          <t>Trên 3 Năm</t>
        </is>
      </c>
      <c r="L14373" s="8">
        <f>HYPERLINK("https://careerviet.vn/vi/tim-viec-lam/sales-manager-khoan-vay.35C6987A.html","Xem chi tiết")</f>
        <v/>
      </c>
    </row>
    <row r="14374">
      <c r="B14374" s="9" t="n">
        <v>14372</v>
      </c>
      <c r="C14374" s="10" t="inlineStr">
        <is>
          <t>Nhân viên tư vấn bán hàng -  Thanh Hóa</t>
        </is>
      </c>
      <c r="D14374" s="10" t="inlineStr">
        <is>
          <t>Công ty CP Toshiko Việt Nam</t>
        </is>
      </c>
      <c r="E14374" s="10" t="inlineStr">
        <is>
          <t>Lương:12 Tr - 20 Tr VND</t>
        </is>
      </c>
      <c r="F14374" s="10" t="inlineStr">
        <is>
          <t>Thanh Hóa</t>
        </is>
      </c>
      <c r="G14374" s="10" t="inlineStr">
        <is>
          <t>4</t>
        </is>
      </c>
      <c r="H14374" s="10" t="inlineStr">
        <is>
          <t>21/03/2026</t>
        </is>
      </c>
      <c r="I14374" s="10" t="inlineStr">
        <is>
          <t>17/03/2026</t>
        </is>
      </c>
      <c r="J14374" s="10" t="inlineStr">
        <is>
          <t>Bán hàng / Kinh doanh</t>
        </is>
      </c>
      <c r="K14374" s="10" t="inlineStr">
        <is>
          <t>1 - 2 Năm</t>
        </is>
      </c>
      <c r="L14374" s="11">
        <f>HYPERLINK("https://careerviet.vn/vi/tim-viec-lam/nhan-vien-tu-van-ban-hang-thanh-hoa.35C69801.html","Xem chi tiết")</f>
        <v/>
      </c>
      <c r="M14374" s="10" t="n"/>
    </row>
    <row r="14375">
      <c r="B14375" s="7" t="n">
        <v>14373</v>
      </c>
      <c r="C14375" t="inlineStr">
        <is>
          <t>Nhân viên Bán hàng Thời trang  brand cao cấp Trung tâm thương mại HCM</t>
        </is>
      </c>
      <c r="D14375" t="inlineStr">
        <is>
          <t>CT CP Tập Đoàn Thái Tuấn</t>
        </is>
      </c>
      <c r="E14375" t="inlineStr">
        <is>
          <t>Lương:7 Tr - 12 Tr VND</t>
        </is>
      </c>
      <c r="F14375" t="inlineStr">
        <is>
          <t>Hồ Chí Minh</t>
        </is>
      </c>
      <c r="G14375" t="inlineStr">
        <is>
          <t>26-03-2026</t>
        </is>
      </c>
      <c r="H14375" t="inlineStr">
        <is>
          <t>26/03/2026</t>
        </is>
      </c>
      <c r="I14375" t="inlineStr">
        <is>
          <t>17/03/2026</t>
        </is>
      </c>
      <c r="J14375" t="inlineStr">
        <is>
          <t>Bán lẻ / Bán sỉ, Bán hàng / Kinh doanh, Dệt may / Da giày / Thời trang</t>
        </is>
      </c>
      <c r="K14375" t="inlineStr">
        <is>
          <t>1 - 2 Năm</t>
        </is>
      </c>
      <c r="L14375" s="8">
        <f>HYPERLINK("https://careerviet.vn/vi/tim-viec-lam/nhan-vien-ban-hang-thoi-trang-brand-cao-cap-trung-tam-thuong-mai-hcm.35C695C5.html","Xem chi tiết")</f>
        <v/>
      </c>
    </row>
    <row r="14376">
      <c r="B14376" s="9" t="n">
        <v>14374</v>
      </c>
      <c r="C14376" s="10" t="inlineStr">
        <is>
          <t>[MAG] Nhân Viên Kế Hoạch (May Mặc)</t>
        </is>
      </c>
      <c r="D14376" s="10" t="inlineStr">
        <is>
          <t>Công ty Cổ phần Tập đoàn Minh Anh</t>
        </is>
      </c>
      <c r="E14376" s="10" t="inlineStr">
        <is>
          <t>Lương:15 Tr - 20 Tr VND</t>
        </is>
      </c>
      <c r="F14376" s="10" t="inlineStr">
        <is>
          <t>Hà Nội</t>
        </is>
      </c>
      <c r="G14376" s="10" t="inlineStr">
        <is>
          <t>25-04-2026</t>
        </is>
      </c>
      <c r="H14376" s="10" t="inlineStr">
        <is>
          <t>25/04/2026</t>
        </is>
      </c>
      <c r="I14376" s="10" t="inlineStr">
        <is>
          <t>17/03/2026</t>
        </is>
      </c>
      <c r="J14376" s="10" t="inlineStr">
        <is>
          <t>Dệt may / Da giày / Thời trang</t>
        </is>
      </c>
      <c r="K14376" s="10" t="inlineStr">
        <is>
          <t>Chưa có kinh nghiệm</t>
        </is>
      </c>
      <c r="L14376" s="11">
        <f>HYPERLINK("https://careerviet.vn/vi/tim-viec-lam/mag-nhan-vien-ke-hoach-may-mac.35C696BF.html","Xem chi tiết")</f>
        <v/>
      </c>
      <c r="M14376" s="10" t="n"/>
    </row>
    <row r="14377">
      <c r="B14377" s="7" t="n">
        <v>14375</v>
      </c>
      <c r="C14377" t="inlineStr">
        <is>
          <t>Chuyên gia Tư vấn pháp chế (mảng Khách hàng lớn/ Ngân hàng đầu tư) - Legal Consultant Expert - Khối Pháp chế và Tuân thủ (HO26.48)</t>
        </is>
      </c>
      <c r="D14377" t="inlineStr">
        <is>
          <t>Ngân Hàng TMCP Quân Đội</t>
        </is>
      </c>
      <c r="E14377" t="inlineStr">
        <is>
          <t>Lương:Cạnh tranh</t>
        </is>
      </c>
      <c r="F14377" t="inlineStr">
        <is>
          <t>Hà Nội</t>
        </is>
      </c>
      <c r="G14377" t="inlineStr">
        <is>
          <t>26-03-2026</t>
        </is>
      </c>
      <c r="H14377" t="inlineStr">
        <is>
          <t>26/03/2026</t>
        </is>
      </c>
      <c r="I14377" t="inlineStr">
        <is>
          <t>17/03/2026</t>
        </is>
      </c>
      <c r="J14377" t="inlineStr">
        <is>
          <t>Ngân hàng, Tài chính / Đầu tư, Luật / Pháp lý</t>
        </is>
      </c>
      <c r="K14377" t="inlineStr">
        <is>
          <t>Trên 10 Năm</t>
        </is>
      </c>
      <c r="L14377" s="8">
        <f>HYPERLINK("https://careerviet.vn/vi/tim-viec-lam/chuyen-gia-tu-van-phap-che-mang-khach-hang-lon-ngan-hang-dau-tu-legal-consultant-expert-khoi-phap-che-va-tuan-thu-ho26-48.35C6989A.html","Xem chi tiết")</f>
        <v/>
      </c>
    </row>
    <row r="14378">
      <c r="B14378" s="9" t="n">
        <v>14376</v>
      </c>
      <c r="C14378" s="10" t="inlineStr">
        <is>
          <t>Kỹ sư Xây dựng Dân dụng và Công nghiệp</t>
        </is>
      </c>
      <c r="D14378" s="10" t="inlineStr">
        <is>
          <t>Công ty cổ phần Xây dựng Công trình IPC</t>
        </is>
      </c>
      <c r="E14378" s="10" t="inlineStr">
        <is>
          <t>Lương:30 Tr - 40 Tr VND</t>
        </is>
      </c>
      <c r="F14378" s="10" t="inlineStr">
        <is>
          <t>Hà Nội</t>
        </is>
      </c>
      <c r="G14378" s="10" t="inlineStr">
        <is>
          <t>10-03-2026</t>
        </is>
      </c>
      <c r="H14378" s="10" t="inlineStr">
        <is>
          <t>15/03/2026</t>
        </is>
      </c>
      <c r="I14378" s="10" t="inlineStr">
        <is>
          <t>17/03/2026</t>
        </is>
      </c>
      <c r="J14378" s="10" t="inlineStr">
        <is>
          <t>Xây dựng, Kiến trúc</t>
        </is>
      </c>
      <c r="K14378" s="10" t="inlineStr">
        <is>
          <t>Trên 3 Năm</t>
        </is>
      </c>
      <c r="L14378" s="11">
        <f>HYPERLINK("https://careerviet.vn/vi/tim-viec-lam/ky-su-xay-dung-dan-dung-va-cong-nghiep.35C69555.html","Xem chi tiết")</f>
        <v/>
      </c>
      <c r="M14378" s="10" t="n"/>
    </row>
    <row r="14379">
      <c r="B14379" s="7" t="n">
        <v>14377</v>
      </c>
      <c r="C14379" t="inlineStr">
        <is>
          <t>NHÂN VIÊN TÀI CHÍNH - KẾ TOÁN</t>
        </is>
      </c>
      <c r="D14379" t="inlineStr">
        <is>
          <t>CÔNG TY TNHH ACE (VIỆT NAM)</t>
        </is>
      </c>
      <c r="E14379" t="inlineStr">
        <is>
          <t>Lương:12 Tr - 18 Tr VND</t>
        </is>
      </c>
      <c r="F14379" t="inlineStr">
        <is>
          <t>Hồ Chí Minh</t>
        </is>
      </c>
      <c r="G14379" t="inlineStr">
        <is>
          <t>31-03-2026</t>
        </is>
      </c>
      <c r="H14379" t="inlineStr">
        <is>
          <t>31/03/2026</t>
        </is>
      </c>
      <c r="I14379" t="inlineStr">
        <is>
          <t>17/03/2026</t>
        </is>
      </c>
      <c r="J14379" t="inlineStr">
        <is>
          <t>Khoáng sản, Sản xuất / Vận hành sản xuất, Xây dựng</t>
        </is>
      </c>
      <c r="K14379" t="inlineStr">
        <is>
          <t>Trên 3 Năm</t>
        </is>
      </c>
      <c r="L14379" s="8">
        <f>HYPERLINK("https://careerviet.vn/vi/tim-viec-lam/nhan-vien-tai-chinh-ke-toan.35C6930B.html","Xem chi tiết")</f>
        <v/>
      </c>
    </row>
    <row r="14380">
      <c r="B14380" s="9" t="n">
        <v>14378</v>
      </c>
      <c r="C14380" s="10" t="inlineStr">
        <is>
          <t>Customer service staff</t>
        </is>
      </c>
      <c r="D14380" s="10" t="inlineStr">
        <is>
          <t>CÔNG TY TNHH ĐẦU TƯ XNK TÍN VIỆT</t>
        </is>
      </c>
      <c r="E14380" s="10" t="inlineStr">
        <is>
          <t>Lương:7,5 Tr - 13 Tr VND</t>
        </is>
      </c>
      <c r="F14380" s="10" t="inlineStr">
        <is>
          <t>Hồ Chí Minh</t>
        </is>
      </c>
      <c r="G14380" s="10" t="inlineStr">
        <is>
          <t>31-03-2026</t>
        </is>
      </c>
      <c r="H14380" s="10" t="inlineStr">
        <is>
          <t>31/03/2026</t>
        </is>
      </c>
      <c r="I14380" s="10" t="inlineStr">
        <is>
          <t>17/03/2026</t>
        </is>
      </c>
      <c r="J14380" s="10" t="inlineStr">
        <is>
          <t>Kế toán / Kiểm toán, Dịch vụ khách hàng, Bán hàng / Kinh doanh</t>
        </is>
      </c>
      <c r="K14380" s="10" t="inlineStr">
        <is>
          <t>Trên 1 Năm</t>
        </is>
      </c>
      <c r="L14380" s="11">
        <f>HYPERLINK("https://careerviet.vn/vi/tim-viec-lam/customer-service-staff.35C69629.html","Xem chi tiết")</f>
        <v/>
      </c>
      <c r="M14380" s="10" t="n"/>
    </row>
    <row r="14381">
      <c r="B14381" s="7" t="n">
        <v>14379</v>
      </c>
      <c r="C14381" t="inlineStr">
        <is>
          <t>Assistant Strategic Planning Manager - Phó Phòng Hỗ Trợ Kinh Doanh (Thu Nhập Hấp Dẫn)</t>
        </is>
      </c>
      <c r="D14381" t="inlineStr">
        <is>
          <t>Công Ty Cổ Phần Hai Bốn Bảy</t>
        </is>
      </c>
      <c r="E14381" t="inlineStr">
        <is>
          <t>Lương:35 Tr - 55 Tr VND</t>
        </is>
      </c>
      <c r="F14381" t="inlineStr">
        <is>
          <t>Hồ Chí Minh</t>
        </is>
      </c>
      <c r="G14381" t="inlineStr">
        <is>
          <t>31-03-2026</t>
        </is>
      </c>
      <c r="H14381" t="inlineStr">
        <is>
          <t>31/03/2026</t>
        </is>
      </c>
      <c r="I14381" t="inlineStr">
        <is>
          <t>17/03/2026</t>
        </is>
      </c>
      <c r="J14381" t="inlineStr">
        <is>
          <t>Vận chuyển / Giao nhận / Kho vận</t>
        </is>
      </c>
      <c r="K14381" t="inlineStr">
        <is>
          <t>3 - 6 Năm</t>
        </is>
      </c>
      <c r="L14381" s="8">
        <f>HYPERLINK("https://careerviet.vn/vi/tim-viec-lam/assistant-strategic-planning-manager-pho-phong-ho-tro-kinh-doanh-thu-nhap-hap-dan.35C698B7.html","Xem chi tiết")</f>
        <v/>
      </c>
    </row>
    <row r="14382">
      <c r="B14382" s="9" t="n">
        <v>14380</v>
      </c>
      <c r="C14382" s="10" t="inlineStr">
        <is>
          <t>Kỹ sư Bảo trì Cơ khí</t>
        </is>
      </c>
      <c r="D14382" s="10" t="inlineStr">
        <is>
          <t>Công Ty TNHH Tokuyama Việt Nam</t>
        </is>
      </c>
      <c r="E14382" s="10" t="inlineStr">
        <is>
          <t>Lương:Cạnh tranh</t>
        </is>
      </c>
      <c r="F14382" s="10" t="inlineStr">
        <is>
          <t>Bà Rịa - Vũng Tàu</t>
        </is>
      </c>
      <c r="G14382" s="10" t="inlineStr">
        <is>
          <t>31-03-2026</t>
        </is>
      </c>
      <c r="H14382" s="10" t="inlineStr">
        <is>
          <t>31/03/2026</t>
        </is>
      </c>
      <c r="I14382" s="10" t="inlineStr">
        <is>
          <t>17/03/2026</t>
        </is>
      </c>
      <c r="J14382" s="10" t="inlineStr">
        <is>
          <t>Cơ khí / Ô tô / Tự động hóa, Sản xuất / Vận hành sản xuất, Bảo trì / Sửa chữa</t>
        </is>
      </c>
      <c r="K14382" s="10" t="inlineStr">
        <is>
          <t>Trên 3 Năm</t>
        </is>
      </c>
      <c r="L14382" s="11">
        <f>HYPERLINK("https://careerviet.vn/vi/tim-viec-lam/ky-su-bao-tri-co-khi.35C697E1.html","Xem chi tiết")</f>
        <v/>
      </c>
      <c r="M14382" s="10" t="n"/>
    </row>
    <row r="14383">
      <c r="B14383" s="7" t="n">
        <v>14381</v>
      </c>
      <c r="C14383" t="inlineStr">
        <is>
          <t>Chuyên viên Kỹ thuật</t>
        </is>
      </c>
      <c r="D14383" t="inlineStr">
        <is>
          <t>Công ty Cổ phần FECON</t>
        </is>
      </c>
      <c r="E14383" t="inlineStr">
        <is>
          <t>Lương:Cạnh tranh</t>
        </is>
      </c>
      <c r="F14383" t="inlineStr">
        <is>
          <t>Hà Nội</t>
        </is>
      </c>
      <c r="G14383" t="inlineStr">
        <is>
          <t>27-03-2026</t>
        </is>
      </c>
      <c r="H14383" t="inlineStr">
        <is>
          <t>27/03/2026</t>
        </is>
      </c>
      <c r="I14383" t="inlineStr">
        <is>
          <t>17/03/2026</t>
        </is>
      </c>
      <c r="J14383" t="inlineStr">
        <is>
          <t>Xây dựng</t>
        </is>
      </c>
      <c r="K14383" t="inlineStr">
        <is>
          <t>2 - 3 Năm</t>
        </is>
      </c>
      <c r="L14383" s="8">
        <f>HYPERLINK("https://careerviet.vn/vi/tim-viec-lam/chuyen-vien-ky-thuat.35C6965C.html","Xem chi tiết")</f>
        <v/>
      </c>
    </row>
    <row r="14384">
      <c r="B14384" s="9" t="n">
        <v>14382</v>
      </c>
      <c r="C14384" s="10" t="inlineStr">
        <is>
          <t>Nhân Viên QC (Lấy Mẫu)</t>
        </is>
      </c>
      <c r="D14384" s="10" t="inlineStr">
        <is>
          <t>Orioled Hub</t>
        </is>
      </c>
      <c r="E14384" s="10" t="inlineStr">
        <is>
          <t>Lương:8 Tr - 13 Tr VND</t>
        </is>
      </c>
      <c r="F14384" s="10" t="inlineStr">
        <is>
          <t>Bà Rịa - Vũng Tàu</t>
        </is>
      </c>
      <c r="G14384" s="10" t="inlineStr">
        <is>
          <t>6</t>
        </is>
      </c>
      <c r="H14384" s="10" t="inlineStr">
        <is>
          <t>23/03/2026</t>
        </is>
      </c>
      <c r="I14384" s="10" t="inlineStr">
        <is>
          <t>17/03/2026</t>
        </is>
      </c>
      <c r="J14384" s="10" t="inlineStr">
        <is>
          <t>Công nghệ sinh học, Hóa học, Quản lý chất lượng (QA/QC)</t>
        </is>
      </c>
      <c r="K14384" s="10" t="inlineStr">
        <is>
          <t>Lên đến 1 Năm</t>
        </is>
      </c>
      <c r="L14384" s="11">
        <f>HYPERLINK("https://careerviet.vn/vi/tim-viec-lam/nhan-vien-qc-lay-mau.35C6983F.html","Xem chi tiết")</f>
        <v/>
      </c>
      <c r="M14384" s="10" t="n"/>
    </row>
    <row r="14385">
      <c r="B14385" s="7" t="n">
        <v>14383</v>
      </c>
      <c r="C14385" t="inlineStr">
        <is>
          <t>Graphic Designer</t>
        </is>
      </c>
      <c r="D14385" t="inlineStr">
        <is>
          <t>Blue Sky Corporation</t>
        </is>
      </c>
      <c r="E14385" t="inlineStr">
        <is>
          <t>Lương:Cạnh tranh</t>
        </is>
      </c>
      <c r="F14385" t="inlineStr">
        <is>
          <t>Hồ Chí Minh</t>
        </is>
      </c>
      <c r="G14385" t="inlineStr">
        <is>
          <t>25-03-2026</t>
        </is>
      </c>
      <c r="H14385" t="inlineStr">
        <is>
          <t>25/03/2026</t>
        </is>
      </c>
      <c r="I14385" t="inlineStr">
        <is>
          <t>17/03/2026</t>
        </is>
      </c>
      <c r="J14385" t="inlineStr">
        <is>
          <t>Mỹ thuật / Nghệ thuật / Thiết kế, Quảng cáo / Đối ngoại / Truyền Thông, Tổ chức sự kiện</t>
        </is>
      </c>
      <c r="K14385" t="inlineStr">
        <is>
          <t>Trên 1 Năm</t>
        </is>
      </c>
      <c r="L14385" s="8">
        <f>HYPERLINK("https://careerviet.vn/vi/tim-viec-lam/graphic-designer.35B9F208.html","Xem chi tiết")</f>
        <v/>
      </c>
    </row>
    <row r="14386">
      <c r="B14386" s="9" t="n">
        <v>14384</v>
      </c>
      <c r="C14386" s="10" t="inlineStr">
        <is>
          <t>CÔNG NHÂN MAY</t>
        </is>
      </c>
      <c r="D14386" s="10" t="inlineStr">
        <is>
          <t>CÔNG TY TNHH THƯƠNG MẠI - DỊCH VỤ - SẢN XUẤT THỜI TRANG THANH HÀ H.A</t>
        </is>
      </c>
      <c r="E14386" s="10" t="inlineStr">
        <is>
          <t>Lương:7 Tr - 15 Tr VND</t>
        </is>
      </c>
      <c r="F14386" s="10" t="inlineStr">
        <is>
          <t>Hải Dương</t>
        </is>
      </c>
      <c r="G14386" s="10" t="inlineStr">
        <is>
          <t>31-03-2026</t>
        </is>
      </c>
      <c r="H14386" s="10" t="inlineStr">
        <is>
          <t>31/03/2026</t>
        </is>
      </c>
      <c r="I14386" s="10" t="inlineStr">
        <is>
          <t>17/03/2026</t>
        </is>
      </c>
      <c r="J14386" s="10" t="inlineStr">
        <is>
          <t>Dệt may / Da giày / Thời trang</t>
        </is>
      </c>
      <c r="K14386" s="10" t="inlineStr">
        <is>
          <t>Chưa có kinh nghiệm</t>
        </is>
      </c>
      <c r="L14386" s="11">
        <f>HYPERLINK("https://careerviet.vn/vi/tim-viec-lam/cong-nhan-may.35C69860.html","Xem chi tiết")</f>
        <v/>
      </c>
      <c r="M14386" s="10" t="n"/>
    </row>
    <row r="14387">
      <c r="B14387" s="7" t="n">
        <v>14385</v>
      </c>
      <c r="C14387" t="inlineStr">
        <is>
          <t>Branding Specialist</t>
        </is>
      </c>
      <c r="D14387" t="inlineStr">
        <is>
          <t>CÔNG TY TNHH MẮT VIỆT GROUP</t>
        </is>
      </c>
      <c r="E14387" t="inlineStr">
        <is>
          <t>Lương:16 Tr - 18 Tr VND</t>
        </is>
      </c>
      <c r="F14387" t="inlineStr">
        <is>
          <t>Hồ Chí Minh</t>
        </is>
      </c>
      <c r="G14387" t="inlineStr">
        <is>
          <t>31-03-2026</t>
        </is>
      </c>
      <c r="H14387" t="inlineStr">
        <is>
          <t>31/03/2026</t>
        </is>
      </c>
      <c r="I14387" t="inlineStr">
        <is>
          <t>17/03/2026</t>
        </is>
      </c>
      <c r="J14387" t="inlineStr">
        <is>
          <t>Tiếp thị / Marketing, Bán lẻ / Bán sỉ, Dược phẩm/ Hóa Mỹ Phẩm</t>
        </is>
      </c>
      <c r="K14387" t="inlineStr">
        <is>
          <t>2 - 3 Năm</t>
        </is>
      </c>
      <c r="L14387" s="8">
        <f>HYPERLINK("https://careerviet.vn/vi/tim-viec-lam/branding-specialist.35C69797.html","Xem chi tiết")</f>
        <v/>
      </c>
    </row>
    <row r="14388">
      <c r="B14388" s="9" t="n">
        <v>14386</v>
      </c>
      <c r="C14388" s="10" t="inlineStr">
        <is>
          <t>Chuyên viên Marketing (Công Ty &amp; B2B)</t>
        </is>
      </c>
      <c r="D14388" s="10" t="inlineStr">
        <is>
          <t>Công Ty TNHH May Thêu Giày An Phước</t>
        </is>
      </c>
      <c r="E14388" s="10" t="inlineStr">
        <is>
          <t>Lương:Cạnh tranh</t>
        </is>
      </c>
      <c r="F14388" s="10" t="inlineStr">
        <is>
          <t>Hồ Chí Minh</t>
        </is>
      </c>
      <c r="G14388" s="10" t="inlineStr">
        <is>
          <t>10-03-2026</t>
        </is>
      </c>
      <c r="H14388" s="10" t="inlineStr">
        <is>
          <t>13/03/2026</t>
        </is>
      </c>
      <c r="I14388" s="10" t="inlineStr">
        <is>
          <t>17/03/2026</t>
        </is>
      </c>
      <c r="J14388" s="10" t="inlineStr">
        <is>
          <t>Tiếp thị / Marketing, Quảng cáo / Đối ngoại / Truyền Thông, Hàng gia dụng / Chăm sóc cá nhân</t>
        </is>
      </c>
      <c r="K14388" s="10" t="inlineStr">
        <is>
          <t>3 - 5 Năm</t>
        </is>
      </c>
      <c r="L14388" s="11">
        <f>HYPERLINK("https://careerviet.vn/vi/tim-viec-lam/chuyen-vien-marketing-cong-ty-b2b.35C69510.html","Xem chi tiết")</f>
        <v/>
      </c>
      <c r="M14388" s="10" t="n"/>
    </row>
    <row r="14389">
      <c r="B14389" s="7" t="n">
        <v>14387</v>
      </c>
      <c r="C14389" t="inlineStr">
        <is>
          <t>Tổ trưởng bếp Á</t>
        </is>
      </c>
      <c r="D14389" t="inlineStr">
        <is>
          <t>CÔNG TY TNHH BLUE ELATION</t>
        </is>
      </c>
      <c r="E14389" t="inlineStr">
        <is>
          <t>Lương:11 Tr - 13 Tr VND</t>
        </is>
      </c>
      <c r="F14389" t="inlineStr">
        <is>
          <t>Hồ Chí Minh</t>
        </is>
      </c>
      <c r="G14389" t="inlineStr">
        <is>
          <t>31-03-2026</t>
        </is>
      </c>
      <c r="H14389" t="inlineStr">
        <is>
          <t>31/03/2026</t>
        </is>
      </c>
      <c r="I14389" t="inlineStr">
        <is>
          <t>17/03/2026</t>
        </is>
      </c>
      <c r="J14389" t="inlineStr">
        <is>
          <t>Nhà hàng / Khách sạn, Du lịch, Thực phẩm &amp; Đồ uống</t>
        </is>
      </c>
      <c r="K14389" t="inlineStr">
        <is>
          <t>4 - 10 Năm</t>
        </is>
      </c>
      <c r="L14389" s="8">
        <f>HYPERLINK("https://careerviet.vn/vi/tim-viec-lam/to-truong-bep-a.35C69760.html","Xem chi tiết")</f>
        <v/>
      </c>
    </row>
    <row r="14390">
      <c r="B14390" s="9" t="n">
        <v>14388</v>
      </c>
      <c r="C14390" s="10" t="inlineStr">
        <is>
          <t>[SaPa] Chuyên viên Giám sát Cơ điện</t>
        </is>
      </c>
      <c r="D14390" s="10" t="inlineStr">
        <is>
          <t>Alphanam Group</t>
        </is>
      </c>
      <c r="E14390" s="10" t="inlineStr">
        <is>
          <t>Lương:Cạnh tranh</t>
        </is>
      </c>
      <c r="F14390" s="10" t="inlineStr">
        <is>
          <t>Lào Cai</t>
        </is>
      </c>
      <c r="G14390" s="10" t="inlineStr">
        <is>
          <t>27-03-2026</t>
        </is>
      </c>
      <c r="H14390" s="10" t="inlineStr">
        <is>
          <t>27/03/2026</t>
        </is>
      </c>
      <c r="I14390" s="10" t="inlineStr">
        <is>
          <t>17/03/2026</t>
        </is>
      </c>
      <c r="J14390" s="10" t="inlineStr">
        <is>
          <t>Bất động sản, Điện / Điện tử / Điện lạnh / Điện công nghiệp</t>
        </is>
      </c>
      <c r="K14390" s="10" t="inlineStr">
        <is>
          <t>5 - 7 Năm</t>
        </is>
      </c>
      <c r="L14390" s="11">
        <f>HYPERLINK("https://careerviet.vn/vi/tim-viec-lam/sapa-chuyen-vien-giam-sat-co-dien.35C69861.html","Xem chi tiết")</f>
        <v/>
      </c>
      <c r="M14390" s="10" t="n"/>
    </row>
    <row r="14391">
      <c r="B14391" s="7" t="n">
        <v>14389</v>
      </c>
      <c r="C14391" t="inlineStr">
        <is>
          <t>Chuyên viên C&amp;B</t>
        </is>
      </c>
      <c r="D14391" t="inlineStr">
        <is>
          <t>Công ty TNHH X.E Việt Nam</t>
        </is>
      </c>
      <c r="E14391" t="inlineStr">
        <is>
          <t>Lương:13 Tr - 14 Tr VND</t>
        </is>
      </c>
      <c r="F14391" t="inlineStr">
        <is>
          <t>Hà Nội</t>
        </is>
      </c>
      <c r="G14391" t="inlineStr">
        <is>
          <t>03-04-2026</t>
        </is>
      </c>
      <c r="H14391" t="inlineStr">
        <is>
          <t>03/04/2026</t>
        </is>
      </c>
      <c r="I14391" t="inlineStr">
        <is>
          <t>17/03/2026</t>
        </is>
      </c>
      <c r="J14391" t="inlineStr">
        <is>
          <t>Nhân sự, Vận chuyển / Giao nhận / Kho vận</t>
        </is>
      </c>
      <c r="K14391" t="inlineStr">
        <is>
          <t>2 - 3 Năm</t>
        </is>
      </c>
      <c r="L14391" s="8">
        <f>HYPERLINK("https://careerviet.vn/vi/tim-viec-lam/chuyen-vien-c-b.35C6972C.html","Xem chi tiết")</f>
        <v/>
      </c>
    </row>
    <row r="14392">
      <c r="B14392" s="9" t="n">
        <v>14390</v>
      </c>
      <c r="C14392" s="10" t="inlineStr">
        <is>
          <t>Chuyên viên mua hàng</t>
        </is>
      </c>
      <c r="D14392" s="10" t="inlineStr">
        <is>
          <t>CÔNG TY CỔ PHẦN AN PHA KIM (UA FACADE)</t>
        </is>
      </c>
      <c r="E14392" s="10" t="inlineStr">
        <is>
          <t>Lương:Cạnh tranh</t>
        </is>
      </c>
      <c r="F14392" s="10" t="inlineStr">
        <is>
          <t>Hồ Chí Minh</t>
        </is>
      </c>
      <c r="G14392" s="10" t="inlineStr">
        <is>
          <t>31-03-2026</t>
        </is>
      </c>
      <c r="H14392" s="10" t="inlineStr">
        <is>
          <t>31/03/2026</t>
        </is>
      </c>
      <c r="I14392" s="10" t="inlineStr">
        <is>
          <t>17/03/2026</t>
        </is>
      </c>
      <c r="J14392" s="10" t="inlineStr">
        <is>
          <t>Thu mua / Vật tư, Sản xuất / Vận hành sản xuất, Nội ngoại thất</t>
        </is>
      </c>
      <c r="K14392" s="10" t="inlineStr">
        <is>
          <t>3 - 5 Năm</t>
        </is>
      </c>
      <c r="L14392" s="11">
        <f>HYPERLINK("https://careerviet.vn/vi/tim-viec-lam/chuyen-vien-mua-hang.35C6955F.html","Xem chi tiết")</f>
        <v/>
      </c>
      <c r="M14392" s="10" t="n"/>
    </row>
    <row r="14393">
      <c r="B14393" s="7" t="n">
        <v>14391</v>
      </c>
      <c r="C14393" t="inlineStr">
        <is>
          <t>Kế toán Tổng hợp (Bến Cát - Bình Dương)</t>
        </is>
      </c>
      <c r="D14393" t="inlineStr">
        <is>
          <t>Công Ty CP Liên Kết Quốc Tế INTERLINK (Trường Liên Kết Quốc Tế INschool &amp; Ngoại Ngữ Quốc Tế INS ENGLISH &amp; CHINESE)</t>
        </is>
      </c>
      <c r="E14393" t="inlineStr">
        <is>
          <t>Lương:12 Tr - 16 Tr VND</t>
        </is>
      </c>
      <c r="F14393" t="inlineStr">
        <is>
          <t>Bình Dương</t>
        </is>
      </c>
      <c r="G14393" t="inlineStr">
        <is>
          <t>24-03-2026</t>
        </is>
      </c>
      <c r="H14393" t="inlineStr">
        <is>
          <t>24/03/2026</t>
        </is>
      </c>
      <c r="I14393" t="inlineStr">
        <is>
          <t>17/03/2026</t>
        </is>
      </c>
      <c r="J14393" t="inlineStr">
        <is>
          <t>Kế toán / Kiểm toán, Tài chính / Đầu tư</t>
        </is>
      </c>
      <c r="K14393" t="inlineStr">
        <is>
          <t>2 - 3 Năm</t>
        </is>
      </c>
      <c r="L14393" s="8">
        <f>HYPERLINK("https://careerviet.vn/vi/tim-viec-lam/ke-toan-tong-hop-ben-cat-binh-duong.35C69800.html","Xem chi tiết")</f>
        <v/>
      </c>
    </row>
    <row r="14394">
      <c r="B14394" s="9" t="n">
        <v>14392</v>
      </c>
      <c r="C14394" s="10" t="inlineStr">
        <is>
          <t>Kỹ sư MEP</t>
        </is>
      </c>
      <c r="D14394" s="10" t="inlineStr">
        <is>
          <t>Công ty cổ phần Tập đoàn Danko</t>
        </is>
      </c>
      <c r="E14394" s="10" t="inlineStr">
        <is>
          <t>Lương:22 Tr - 30 Tr VND</t>
        </is>
      </c>
      <c r="F14394" s="10" t="inlineStr">
        <is>
          <t>Bắc GiangTuyên QuangThái Nguyên</t>
        </is>
      </c>
      <c r="G14394" s="10" t="inlineStr">
        <is>
          <t>31-03-2026</t>
        </is>
      </c>
      <c r="H14394" s="10" t="inlineStr">
        <is>
          <t>31/03/2026</t>
        </is>
      </c>
      <c r="I14394" s="10" t="inlineStr">
        <is>
          <t>17/03/2026</t>
        </is>
      </c>
      <c r="J14394" s="10" t="inlineStr">
        <is>
          <t>Xây dựng, Điện / Điện tử / Điện lạnh / Điện công nghiệp</t>
        </is>
      </c>
      <c r="K14394" s="10" t="inlineStr">
        <is>
          <t>Trên 5 Năm</t>
        </is>
      </c>
      <c r="L14394" s="11">
        <f>HYPERLINK("https://careerviet.vn/vi/tim-viec-lam/ky-su-mep.35C69489.html","Xem chi tiết")</f>
        <v/>
      </c>
      <c r="M14394" s="10" t="n"/>
    </row>
    <row r="14395">
      <c r="B14395" s="7" t="n">
        <v>14393</v>
      </c>
      <c r="C14395" t="inlineStr">
        <is>
          <t>Chủ trì thiết kế Quy hoạch</t>
        </is>
      </c>
      <c r="D14395" t="inlineStr">
        <is>
          <t>Công ty cổ phần Tập đoàn Trường Thành Việt Nam</t>
        </is>
      </c>
      <c r="E14395" t="inlineStr">
        <is>
          <t>Lương:20 Tr - 30 Tr VND</t>
        </is>
      </c>
      <c r="F14395" t="inlineStr">
        <is>
          <t>Hà Nội</t>
        </is>
      </c>
      <c r="G14395" t="inlineStr">
        <is>
          <t>31-03-2026</t>
        </is>
      </c>
      <c r="H14395" t="inlineStr">
        <is>
          <t>31/03/2026</t>
        </is>
      </c>
      <c r="I14395" t="inlineStr">
        <is>
          <t>17/03/2026</t>
        </is>
      </c>
      <c r="J14395" t="inlineStr">
        <is>
          <t>Kiến trúc, Mỹ thuật / Nghệ thuật / Thiết kế</t>
        </is>
      </c>
      <c r="K14395" t="inlineStr">
        <is>
          <t>5 - 7 Năm</t>
        </is>
      </c>
      <c r="L14395" s="8">
        <f>HYPERLINK("https://careerviet.vn/vi/tim-viec-lam/chu-tri-thiet-ke-quy-hoach.35C69819.html","Xem chi tiết")</f>
        <v/>
      </c>
    </row>
    <row r="14396">
      <c r="B14396" s="9" t="n">
        <v>14394</v>
      </c>
      <c r="C14396" s="10" t="inlineStr">
        <is>
          <t>HCM - Thực Tập Sinh Tuyển dụng full-time</t>
        </is>
      </c>
      <c r="D14396" s="10" t="inlineStr">
        <is>
          <t>Công ty TNHH Thiên Thủy Mộc</t>
        </is>
      </c>
      <c r="E14396" s="10" t="inlineStr">
        <is>
          <t>Lương:3 Tr - 3,5 Tr VND</t>
        </is>
      </c>
      <c r="F14396" s="10" t="inlineStr">
        <is>
          <t>Hồ Chí Minh</t>
        </is>
      </c>
      <c r="G14396" s="10" t="inlineStr">
        <is>
          <t>26-03-2026</t>
        </is>
      </c>
      <c r="H14396" s="10" t="inlineStr">
        <is>
          <t>26/03/2026</t>
        </is>
      </c>
      <c r="I14396" s="10" t="inlineStr">
        <is>
          <t>17/03/2026</t>
        </is>
      </c>
      <c r="J14396" s="10" t="inlineStr">
        <is>
          <t>Nhân sự</t>
        </is>
      </c>
      <c r="K14396" s="10" t="inlineStr">
        <is>
          <t>N/A</t>
        </is>
      </c>
      <c r="L14396" s="11">
        <f>HYPERLINK("https://careerviet.vn/vi/tim-viec-lam/hcm-thuc-tap-sinh-tuyen-dung-full-time.35C69892.html","Xem chi tiết")</f>
        <v/>
      </c>
      <c r="M14396" s="10" t="n"/>
    </row>
    <row r="14397">
      <c r="B14397" s="7" t="n">
        <v>14395</v>
      </c>
      <c r="C14397" t="inlineStr">
        <is>
          <t>Nhân viên Thiết kế/ Multimedia Graphic Designer</t>
        </is>
      </c>
      <c r="D14397" t="inlineStr">
        <is>
          <t>CÔNG TY CỔ PHẦN DÂY CÁP ĐIỆN VIỆT NAM - CADIVI</t>
        </is>
      </c>
      <c r="E14397" t="inlineStr">
        <is>
          <t>Lương:Cạnh tranh</t>
        </is>
      </c>
      <c r="F14397" t="inlineStr">
        <is>
          <t>Hồ Chí Minh</t>
        </is>
      </c>
      <c r="G14397" t="inlineStr">
        <is>
          <t>24-03-2026</t>
        </is>
      </c>
      <c r="H14397" t="inlineStr">
        <is>
          <t>24/03/2026</t>
        </is>
      </c>
      <c r="I14397" t="inlineStr">
        <is>
          <t>17/03/2026</t>
        </is>
      </c>
      <c r="J14397" t="inlineStr">
        <is>
          <t>Mỹ thuật / Nghệ thuật / Thiết kế</t>
        </is>
      </c>
      <c r="K14397" t="inlineStr">
        <is>
          <t>2 - 4 Năm</t>
        </is>
      </c>
      <c r="L14397" s="8">
        <f>HYPERLINK("https://careerviet.vn/vi/tim-viec-lam/nhan-vien-thiet-ke-multimedia-graphic-designer.35C6947B.html","Xem chi tiết")</f>
        <v/>
      </c>
    </row>
    <row r="14398">
      <c r="B14398" s="9" t="n">
        <v>14396</v>
      </c>
      <c r="C14398" s="10" t="inlineStr">
        <is>
          <t>HCM - Senior Content Creator</t>
        </is>
      </c>
      <c r="D14398" s="10" t="inlineStr">
        <is>
          <t>Công ty TNHH Thiên Thủy Mộc</t>
        </is>
      </c>
      <c r="E14398" s="10" t="inlineStr">
        <is>
          <t>Lương:15 Tr - 17 Tr VND</t>
        </is>
      </c>
      <c r="F14398" s="10" t="inlineStr">
        <is>
          <t>Hồ Chí Minh</t>
        </is>
      </c>
      <c r="G14398" s="10" t="inlineStr">
        <is>
          <t>26-03-2026</t>
        </is>
      </c>
      <c r="H14398" s="10" t="inlineStr">
        <is>
          <t>26/03/2026</t>
        </is>
      </c>
      <c r="I14398" s="10" t="inlineStr">
        <is>
          <t>17/03/2026</t>
        </is>
      </c>
      <c r="J14398" s="10" t="inlineStr">
        <is>
          <t>Tiếp thị / Marketing, Quảng cáo / Đối ngoại / Truyền Thông</t>
        </is>
      </c>
      <c r="K14398" s="10" t="inlineStr">
        <is>
          <t>2 - 4 Năm</t>
        </is>
      </c>
      <c r="L14398" s="11">
        <f>HYPERLINK("https://careerviet.vn/vi/tim-viec-lam/hcm-senior-content-creator.35C69868.html","Xem chi tiết")</f>
        <v/>
      </c>
      <c r="M14398" s="10" t="n"/>
    </row>
    <row r="14399">
      <c r="B14399" s="7" t="n">
        <v>14397</v>
      </c>
      <c r="C14399" t="inlineStr">
        <is>
          <t>Chuyên viên cao cấp Chính sách đãi ngộ - TNTalent</t>
        </is>
      </c>
      <c r="D14399" t="inlineStr">
        <is>
          <t>Tập đoàn ROX (ROX Group)</t>
        </is>
      </c>
      <c r="E14399" t="inlineStr">
        <is>
          <t>Lương:Cạnh tranh</t>
        </is>
      </c>
      <c r="F14399" t="inlineStr">
        <is>
          <t>Hà Nội</t>
        </is>
      </c>
      <c r="G14399" t="inlineStr">
        <is>
          <t>19-04-2026</t>
        </is>
      </c>
      <c r="H14399" t="inlineStr">
        <is>
          <t>19/04/2026</t>
        </is>
      </c>
      <c r="I14399" t="inlineStr">
        <is>
          <t>17/03/2026</t>
        </is>
      </c>
      <c r="J14399" t="inlineStr">
        <is>
          <t>Hành chính / Thư ký, Nhân sự</t>
        </is>
      </c>
      <c r="K14399" t="inlineStr">
        <is>
          <t>Trên 5 Năm</t>
        </is>
      </c>
      <c r="L14399" s="8">
        <f>HYPERLINK("https://careerviet.vn/vi/tim-viec-lam/chuyen-vien-cao-cap-chinh-sach-dai-ngo-tntalent.35C6BF07.html","Xem chi tiết")</f>
        <v/>
      </c>
    </row>
    <row r="14400">
      <c r="B14400" s="9" t="n">
        <v>14398</v>
      </c>
      <c r="C14400" s="10" t="inlineStr">
        <is>
          <t>Trưởng Bưu Cục Đà Nẵng | Thu nhập đến 25 triệu</t>
        </is>
      </c>
      <c r="D14400" s="10" t="inlineStr">
        <is>
          <t>Công Ty Cổ Phần Hai Bốn Bảy</t>
        </is>
      </c>
      <c r="E14400" s="10" t="inlineStr">
        <is>
          <t>Lương:15 Tr - 25 Tr VND</t>
        </is>
      </c>
      <c r="F14400" s="10" t="inlineStr">
        <is>
          <t>Đà Nẵng</t>
        </is>
      </c>
      <c r="G14400" s="10" t="inlineStr">
        <is>
          <t>31-03-2026</t>
        </is>
      </c>
      <c r="H14400" s="10" t="inlineStr">
        <is>
          <t>31/03/2026</t>
        </is>
      </c>
      <c r="I14400" s="10" t="inlineStr">
        <is>
          <t>17/03/2026</t>
        </is>
      </c>
      <c r="J14400" s="10" t="inlineStr">
        <is>
          <t>Vận chuyển / Giao nhận / Kho vận</t>
        </is>
      </c>
      <c r="K14400" s="10" t="inlineStr">
        <is>
          <t>1 - 2 Năm</t>
        </is>
      </c>
      <c r="L14400" s="11">
        <f>HYPERLINK("https://careerviet.vn/vi/tim-viec-lam/truong-buu-cuc-da-nang-thu-nhap-den-25-trieu.35C698B0.html","Xem chi tiết")</f>
        <v/>
      </c>
      <c r="M14400" s="10" t="n"/>
    </row>
    <row r="14401">
      <c r="B14401" s="7" t="n">
        <v>14399</v>
      </c>
      <c r="C14401" t="inlineStr">
        <is>
          <t>Chăm sóc khách hàng Ví điện tử</t>
        </is>
      </c>
      <c r="D14401" t="inlineStr">
        <is>
          <t>Công Ty TNHH Việt Mỹ-SSU</t>
        </is>
      </c>
      <c r="E14401" t="inlineStr">
        <is>
          <t>Lương:6,5 Tr - 8,5 Tr VND</t>
        </is>
      </c>
      <c r="F14401" t="inlineStr">
        <is>
          <t>Hồ Chí Minh</t>
        </is>
      </c>
      <c r="G14401" t="inlineStr">
        <is>
          <t>25-03-2026</t>
        </is>
      </c>
      <c r="H14401" t="inlineStr">
        <is>
          <t>25/03/2026</t>
        </is>
      </c>
      <c r="I14401" t="inlineStr">
        <is>
          <t>17/03/2026</t>
        </is>
      </c>
      <c r="J14401" t="inlineStr">
        <is>
          <t>Thương mại điện tử, Tư vấn, Dịch vụ khách hàng</t>
        </is>
      </c>
      <c r="K14401" t="inlineStr">
        <is>
          <t>Lên đến 1 Năm</t>
        </is>
      </c>
      <c r="L14401" s="8">
        <f>HYPERLINK("https://careerviet.vn/vi/tim-viec-lam/cham-soc-khach-hang-vi-dien-tu.35C65C3C.html","Xem chi tiết")</f>
        <v/>
      </c>
    </row>
    <row r="14402">
      <c r="B14402" s="9" t="n">
        <v>14400</v>
      </c>
      <c r="C14402" s="10" t="inlineStr">
        <is>
          <t>Chuyên Viên Tuyển Dụng</t>
        </is>
      </c>
      <c r="D14402" s="10" t="inlineStr">
        <is>
          <t>CÔNG TY CỔ PHẦN THIẾT BỊ CÔNG NGHIỆP GEIC</t>
        </is>
      </c>
      <c r="E14402" s="10" t="inlineStr">
        <is>
          <t>Lương:Cạnh tranh</t>
        </is>
      </c>
      <c r="F14402" s="10" t="inlineStr">
        <is>
          <t>Hà Nội</t>
        </is>
      </c>
      <c r="G14402" s="10" t="inlineStr">
        <is>
          <t>11-04-2026</t>
        </is>
      </c>
      <c r="H14402" s="10" t="inlineStr">
        <is>
          <t>11/04/2026</t>
        </is>
      </c>
      <c r="I14402" s="10" t="inlineStr">
        <is>
          <t>17/03/2026</t>
        </is>
      </c>
      <c r="J14402" s="10" t="inlineStr">
        <is>
          <t>Nhân sự, Hành chính / Thư ký</t>
        </is>
      </c>
      <c r="K14402" s="10" t="inlineStr">
        <is>
          <t>2 - 3 Năm</t>
        </is>
      </c>
      <c r="L14402" s="11">
        <f>HYPERLINK("https://careerviet.vn/vi/tim-viec-lam/chuyen-vien-tuyen-dung.35C6BEE5.html","Xem chi tiết")</f>
        <v/>
      </c>
      <c r="M14402" s="10" t="n"/>
    </row>
    <row r="14403">
      <c r="B14403" s="7" t="n">
        <v>14401</v>
      </c>
      <c r="C14403" t="inlineStr">
        <is>
          <t>Nhân viên kế hoạch  (6 tháng)</t>
        </is>
      </c>
      <c r="D14403" t="inlineStr">
        <is>
          <t>Công Ty Cổ Phần Vacxin Việt Nam</t>
        </is>
      </c>
      <c r="E14403" t="inlineStr">
        <is>
          <t>Lương:Cạnh tranh</t>
        </is>
      </c>
      <c r="F14403" t="inlineStr">
        <is>
          <t>Hồ Chí Minh</t>
        </is>
      </c>
      <c r="G14403" t="inlineStr">
        <is>
          <t>30-04-2026</t>
        </is>
      </c>
      <c r="H14403" t="inlineStr">
        <is>
          <t>30/04/2026</t>
        </is>
      </c>
      <c r="I14403" t="inlineStr">
        <is>
          <t>17/03/2026</t>
        </is>
      </c>
      <c r="J14403" t="inlineStr">
        <is>
          <t>Kế toán / Kiểm toán, Tài chính / Đầu tư</t>
        </is>
      </c>
      <c r="K14403" t="inlineStr">
        <is>
          <t>2 - 3 Năm</t>
        </is>
      </c>
      <c r="L14403" s="8">
        <f>HYPERLINK("https://careerviet.vn/vi/tim-viec-lam/nhan-vien-ke-hoach-6-thang.35C6BEF8.html","Xem chi tiết")</f>
        <v/>
      </c>
    </row>
    <row r="14404">
      <c r="B14404" s="9" t="n">
        <v>14402</v>
      </c>
      <c r="C14404" s="10" t="inlineStr">
        <is>
          <t>Giám đốc tài chính</t>
        </is>
      </c>
      <c r="D14404" s="10" t="inlineStr">
        <is>
          <t>DILIGO</t>
        </is>
      </c>
      <c r="E14404" s="10" t="inlineStr">
        <is>
          <t>Lương:Cạnh tranh</t>
        </is>
      </c>
      <c r="F14404" s="10" t="inlineStr">
        <is>
          <t>Hà Nội</t>
        </is>
      </c>
      <c r="G14404" s="10" t="inlineStr">
        <is>
          <t>30-04-2026</t>
        </is>
      </c>
      <c r="H14404" s="10" t="inlineStr">
        <is>
          <t>30/04/2026</t>
        </is>
      </c>
      <c r="I14404" s="10" t="inlineStr">
        <is>
          <t>17/03/2026</t>
        </is>
      </c>
      <c r="J14404" s="10" t="inlineStr">
        <is>
          <t>Kế toán / Kiểm toán, Tài chính / Đầu tư</t>
        </is>
      </c>
      <c r="K14404" s="10" t="inlineStr">
        <is>
          <t>5 - 10 Năm</t>
        </is>
      </c>
      <c r="L14404" s="11">
        <f>HYPERLINK("https://careerviet.vn/vi/tim-viec-lam/giam-doc-tai-chinh.35C6BEFF.html","Xem chi tiết")</f>
        <v/>
      </c>
      <c r="M14404" s="10" t="n"/>
    </row>
    <row r="14405">
      <c r="B14405" s="7" t="n">
        <v>14403</v>
      </c>
      <c r="C14405" t="inlineStr">
        <is>
          <t>INFRASTRUCTURE SPECIALIST</t>
        </is>
      </c>
      <c r="D14405" t="inlineStr">
        <is>
          <t>Tổng công ty Xây dựng số 1 – CTCP</t>
        </is>
      </c>
      <c r="E14405" t="inlineStr">
        <is>
          <t>Lương:Cạnh tranh</t>
        </is>
      </c>
      <c r="F14405" t="inlineStr">
        <is>
          <t>Hồ Chí Minh</t>
        </is>
      </c>
      <c r="G14405" t="inlineStr">
        <is>
          <t>09-04-2026</t>
        </is>
      </c>
      <c r="H14405" t="inlineStr">
        <is>
          <t>09/04/2026</t>
        </is>
      </c>
      <c r="I14405" t="inlineStr">
        <is>
          <t>17/03/2026</t>
        </is>
      </c>
      <c r="J14405" t="inlineStr">
        <is>
          <t>CNTT - Phần mềm</t>
        </is>
      </c>
      <c r="K14405" t="inlineStr">
        <is>
          <t>4 - 7 Năm</t>
        </is>
      </c>
      <c r="L14405" s="8">
        <f>HYPERLINK("https://careerviet.vn/vi/tim-viec-lam/infrastructure-specialist.35C6BF05.html","Xem chi tiết")</f>
        <v/>
      </c>
    </row>
    <row r="14406">
      <c r="B14406" s="9" t="n">
        <v>14404</v>
      </c>
      <c r="C14406" s="10" t="inlineStr">
        <is>
          <t>[Hà Nội] Chuyên Viên Trade Marketing</t>
        </is>
      </c>
      <c r="D14406" s="10" t="inlineStr">
        <is>
          <t>Công Ty TNHH XNK Phát Triển Đông Dương</t>
        </is>
      </c>
      <c r="E14406" s="10" t="inlineStr">
        <is>
          <t>Lương:12 Tr - 20 Tr VND</t>
        </is>
      </c>
      <c r="F14406" s="10" t="inlineStr">
        <is>
          <t>Hà Nội</t>
        </is>
      </c>
      <c r="G14406" s="10" t="inlineStr">
        <is>
          <t>11-04-2026</t>
        </is>
      </c>
      <c r="H14406" s="10" t="inlineStr">
        <is>
          <t>11/04/2026</t>
        </is>
      </c>
      <c r="I14406" s="10" t="inlineStr">
        <is>
          <t>17/03/2026</t>
        </is>
      </c>
      <c r="J14406" s="10" t="inlineStr">
        <is>
          <t>Tiếp thị / Marketing, Bán lẻ / Bán sỉ, Tiếp thị trực tuyến</t>
        </is>
      </c>
      <c r="K14406" s="10" t="inlineStr">
        <is>
          <t>Trên 1 Năm</t>
        </is>
      </c>
      <c r="L14406" s="11">
        <f>HYPERLINK("https://careerviet.vn/vi/tim-viec-lam/ha-noi-chuyen-vien-trade-marketing.35C6BF02.html","Xem chi tiết")</f>
        <v/>
      </c>
      <c r="M14406" s="10" t="n"/>
    </row>
    <row r="14407">
      <c r="B14407" s="7" t="n">
        <v>14405</v>
      </c>
      <c r="C14407" t="inlineStr">
        <is>
          <t>Quản Đốc Nhà Máy</t>
        </is>
      </c>
      <c r="D14407" t="inlineStr">
        <is>
          <t>Công Ty Cổ Phần Đầu Tư Và Phát Triển Nhựa Gỗ Châu Âu</t>
        </is>
      </c>
      <c r="E14407" t="inlineStr">
        <is>
          <t>Lương:20 Tr - 25 Tr VND</t>
        </is>
      </c>
      <c r="F14407" t="inlineStr">
        <is>
          <t>Lào Cai</t>
        </is>
      </c>
      <c r="G14407" t="inlineStr">
        <is>
          <t>31-03-2026</t>
        </is>
      </c>
      <c r="H14407" t="inlineStr">
        <is>
          <t>31/03/2026</t>
        </is>
      </c>
      <c r="I14407" t="inlineStr">
        <is>
          <t>17/03/2026</t>
        </is>
      </c>
      <c r="J14407" t="inlineStr">
        <is>
          <t>Cơ khí / Ô tô / Tự động hóa, Sản xuất / Vận hành sản xuất, Quản lý điều hành</t>
        </is>
      </c>
      <c r="K14407" t="inlineStr">
        <is>
          <t>3 - 5 Năm</t>
        </is>
      </c>
      <c r="L14407" s="8">
        <f>HYPERLINK("https://careerviet.vn/vi/tim-viec-lam/quan-doc-nha-may.35C6BF00.html","Xem chi tiết")</f>
        <v/>
      </c>
    </row>
    <row r="14408">
      <c r="B14408" s="9" t="n">
        <v>14406</v>
      </c>
      <c r="C14408" s="10" t="inlineStr">
        <is>
          <t>HCM-Thu Ngân</t>
        </is>
      </c>
      <c r="D14408" s="10" t="inlineStr">
        <is>
          <t>Công ty TNHH Thiên Thủy Mộc</t>
        </is>
      </c>
      <c r="E14408" s="10" t="inlineStr">
        <is>
          <t>Lương:8 Tr - 10 Tr VND</t>
        </is>
      </c>
      <c r="F14408" s="10" t="inlineStr">
        <is>
          <t>Hồ Chí Minh</t>
        </is>
      </c>
      <c r="G14408" s="10" t="inlineStr">
        <is>
          <t>26-03-2026</t>
        </is>
      </c>
      <c r="H14408" s="10" t="inlineStr">
        <is>
          <t>26/03/2026</t>
        </is>
      </c>
      <c r="I14408" s="10" t="inlineStr">
        <is>
          <t>17/03/2026</t>
        </is>
      </c>
      <c r="J14408" s="10" t="inlineStr">
        <is>
          <t>Hành chính / Thư ký, Kế toán / Kiểm toán</t>
        </is>
      </c>
      <c r="K14408" s="10" t="inlineStr">
        <is>
          <t>Lên đến 1 Năm</t>
        </is>
      </c>
      <c r="L14408" s="11">
        <f>HYPERLINK("https://careerviet.vn/vi/tim-viec-lam/hcm-thu-ngan.35C6986F.html","Xem chi tiết")</f>
        <v/>
      </c>
      <c r="M14408" s="10" t="n"/>
    </row>
    <row r="14409">
      <c r="B14409" s="7" t="n">
        <v>14407</v>
      </c>
      <c r="C14409" t="inlineStr">
        <is>
          <t>Kỹ sư Shopdrawing (dự án ở Bình Dương)</t>
        </is>
      </c>
      <c r="D14409" t="inlineStr">
        <is>
          <t>CÔNG TY TNHH DK BUILD</t>
        </is>
      </c>
      <c r="E14409" t="inlineStr">
        <is>
          <t>Lương:15 Tr - 25 Tr VND</t>
        </is>
      </c>
      <c r="F14409" t="inlineStr">
        <is>
          <t>Bình DươngĐồng Nai</t>
        </is>
      </c>
      <c r="G14409" t="inlineStr">
        <is>
          <t>31-05-2026</t>
        </is>
      </c>
      <c r="H14409" t="inlineStr">
        <is>
          <t>31/05/2026</t>
        </is>
      </c>
      <c r="I14409" t="inlineStr">
        <is>
          <t>17/03/2026</t>
        </is>
      </c>
      <c r="J14409" t="inlineStr">
        <is>
          <t>Mỹ thuật / Nghệ thuật / Thiết kế, Kiến trúc, Xây dựng</t>
        </is>
      </c>
      <c r="K14409" t="inlineStr">
        <is>
          <t>3 - 5 Năm</t>
        </is>
      </c>
      <c r="L14409" s="8">
        <f>HYPERLINK("https://careerviet.vn/vi/tim-viec-lam/ky-su-shopdrawing-du-an-o-binh-duong.35C6BEF3.html","Xem chi tiết")</f>
        <v/>
      </c>
    </row>
    <row r="14410">
      <c r="B14410" s="9" t="n">
        <v>14408</v>
      </c>
      <c r="C14410" s="10" t="inlineStr">
        <is>
          <t>[NovaService] Chuyên viên Quản lý tài sản</t>
        </is>
      </c>
      <c r="D14410" s="10" t="inlineStr">
        <is>
          <t>Nova Service Group - Công ty Cổ phần Tập đoàn Nova Services</t>
        </is>
      </c>
      <c r="E14410" s="10" t="inlineStr">
        <is>
          <t>Lương:15 Tr - 25 Tr VND</t>
        </is>
      </c>
      <c r="F14410" s="10" t="inlineStr">
        <is>
          <t>Hồ Chí Minh</t>
        </is>
      </c>
      <c r="G14410" s="10" t="inlineStr">
        <is>
          <t>1</t>
        </is>
      </c>
      <c r="H14410" s="10" t="inlineStr">
        <is>
          <t>18/03/2026</t>
        </is>
      </c>
      <c r="I14410" s="10" t="inlineStr">
        <is>
          <t>17/03/2026</t>
        </is>
      </c>
      <c r="J14410" s="10" t="inlineStr">
        <is>
          <t>Hành chính / Thư ký, Kế toán / Kiểm toán</t>
        </is>
      </c>
      <c r="K14410" s="10" t="inlineStr">
        <is>
          <t>3 - 5 Năm</t>
        </is>
      </c>
      <c r="L14410" s="11">
        <f>HYPERLINK("https://careerviet.vn/vi/tim-viec-lam/novaservice-chuyen-vien-quan-ly-tai-san.35C6BEF7.html","Xem chi tiết")</f>
        <v/>
      </c>
      <c r="M14410" s="10" t="n"/>
    </row>
    <row r="14411">
      <c r="B14411" s="7" t="n">
        <v>14409</v>
      </c>
      <c r="C14411" t="inlineStr">
        <is>
          <t>Quản Lý Kế Hoạch Và Chính Sách Kinh Doanh</t>
        </is>
      </c>
      <c r="D14411" t="inlineStr">
        <is>
          <t>CÔNG TY CỔ PHẦN THIẾT BỊ CÔNG NGHIỆP GEIC</t>
        </is>
      </c>
      <c r="E14411" t="inlineStr">
        <is>
          <t>Lương:Cạnh tranh</t>
        </is>
      </c>
      <c r="F14411" t="inlineStr">
        <is>
          <t>Hà Nội</t>
        </is>
      </c>
      <c r="G14411" t="inlineStr">
        <is>
          <t>11-04-2026</t>
        </is>
      </c>
      <c r="H14411" t="inlineStr">
        <is>
          <t>11/04/2026</t>
        </is>
      </c>
      <c r="I14411" t="inlineStr">
        <is>
          <t>17/03/2026</t>
        </is>
      </c>
      <c r="J14411" t="inlineStr">
        <is>
          <t>Bán hàng / Kinh doanh, Quản lý điều hành, Hành chính / Thư ký</t>
        </is>
      </c>
      <c r="K14411" t="inlineStr">
        <is>
          <t>3 - 5 Năm</t>
        </is>
      </c>
      <c r="L14411" s="8">
        <f>HYPERLINK("https://careerviet.vn/vi/tim-viec-lam/quan-ly-ke-hoach-va-chinh-sach-kinh-doanh.35C6BEFA.html","Xem chi tiết")</f>
        <v/>
      </c>
    </row>
    <row r="14412">
      <c r="B14412" s="9" t="n">
        <v>14410</v>
      </c>
      <c r="C14412" s="10" t="inlineStr">
        <is>
          <t>Nhân viên Kế toán</t>
        </is>
      </c>
      <c r="D14412" s="10" t="inlineStr">
        <is>
          <t>CÔNG TY TNHH SẢN XUẤT THƯƠNG MẠI XÂY DỰNG PHÚ KHẢI</t>
        </is>
      </c>
      <c r="E14412" s="10" t="inlineStr">
        <is>
          <t>Lương:8 Tr - 12 Tr VND</t>
        </is>
      </c>
      <c r="F14412" s="10" t="inlineStr">
        <is>
          <t>Hồ Chí Minh</t>
        </is>
      </c>
      <c r="G14412" s="10" t="inlineStr">
        <is>
          <t>30-04-2026</t>
        </is>
      </c>
      <c r="H14412" s="10" t="inlineStr">
        <is>
          <t>30/04/2026</t>
        </is>
      </c>
      <c r="I14412" s="10" t="inlineStr">
        <is>
          <t>17/03/2026</t>
        </is>
      </c>
      <c r="J14412" s="10" t="inlineStr">
        <is>
          <t>Kế toán / Kiểm toán, Tài chính / Đầu tư, Xây dựng</t>
        </is>
      </c>
      <c r="K14412" s="10" t="inlineStr">
        <is>
          <t>Trên 1 Năm</t>
        </is>
      </c>
      <c r="L14412" s="11">
        <f>HYPERLINK("https://careerviet.vn/vi/tim-viec-lam/nhan-vien-ke-toan.35C6BEEF.html","Xem chi tiết")</f>
        <v/>
      </c>
      <c r="M14412" s="10" t="n"/>
    </row>
    <row r="14413">
      <c r="B14413" s="7" t="n">
        <v>14411</v>
      </c>
      <c r="C14413" t="inlineStr">
        <is>
          <t>Chuyên Viên QS, QC</t>
        </is>
      </c>
      <c r="D14413" t="inlineStr">
        <is>
          <t>CÔNG TY CỔ PHẦN HAWEE BẤT ĐỘNG SẢN</t>
        </is>
      </c>
      <c r="E14413" t="inlineStr">
        <is>
          <t>Lương:25 Tr - 30 Tr VND</t>
        </is>
      </c>
      <c r="F14413" t="inlineStr">
        <is>
          <t>Hà NộiBắc Ninh</t>
        </is>
      </c>
      <c r="G14413" t="inlineStr">
        <is>
          <t>10-04-2026</t>
        </is>
      </c>
      <c r="H14413" t="inlineStr">
        <is>
          <t>10/04/2026</t>
        </is>
      </c>
      <c r="I14413" t="inlineStr">
        <is>
          <t>17/03/2026</t>
        </is>
      </c>
      <c r="J14413" t="inlineStr">
        <is>
          <t>Xây dựng, Kiến trúc, Bất động sản</t>
        </is>
      </c>
      <c r="K14413" t="inlineStr">
        <is>
          <t>Trên 7 Năm</t>
        </is>
      </c>
      <c r="L14413" s="8">
        <f>HYPERLINK("https://careerviet.vn/vi/tim-viec-lam/chuyen-vien-qs-qc.35C6BEFE.html","Xem chi tiết")</f>
        <v/>
      </c>
    </row>
    <row r="14414">
      <c r="B14414" s="9" t="n">
        <v>14412</v>
      </c>
      <c r="C14414" s="10" t="inlineStr">
        <is>
          <t>Trưởng Phòng Marketing</t>
        </is>
      </c>
      <c r="D14414" s="10" t="inlineStr">
        <is>
          <t>CÔNG TY CỔ PHẦN TẬP ĐOÀN LUKLAK VIỆT NAM</t>
        </is>
      </c>
      <c r="E14414" s="10" t="inlineStr">
        <is>
          <t>Lương:18 Tr - 22 Tr VND</t>
        </is>
      </c>
      <c r="F14414" s="10" t="inlineStr">
        <is>
          <t>Hà Nội</t>
        </is>
      </c>
      <c r="G14414" s="10" t="inlineStr">
        <is>
          <t>11-04-2026</t>
        </is>
      </c>
      <c r="H14414" s="10" t="inlineStr">
        <is>
          <t>11/04/2026</t>
        </is>
      </c>
      <c r="I14414" s="10" t="inlineStr">
        <is>
          <t>17/03/2026</t>
        </is>
      </c>
      <c r="J14414" s="10" t="inlineStr">
        <is>
          <t>Quản lý điều hành, Tiếp thị / Marketing, Tiếp thị trực tuyến</t>
        </is>
      </c>
      <c r="K14414" s="10" t="inlineStr">
        <is>
          <t>3 - 5 Năm</t>
        </is>
      </c>
      <c r="L14414" s="11">
        <f>HYPERLINK("https://careerviet.vn/vi/tim-viec-lam/truong-phong-marketing.35C6B006.html","Xem chi tiết")</f>
        <v/>
      </c>
      <c r="M14414" s="10" t="n"/>
    </row>
    <row r="14415">
      <c r="B14415" s="7" t="n">
        <v>14413</v>
      </c>
      <c r="C14415" t="inlineStr">
        <is>
          <t>Chuyên Viên QS</t>
        </is>
      </c>
      <c r="D14415" t="inlineStr">
        <is>
          <t>CÔNG TY CỔ PHẦN HAWEE BẤT ĐỘNG SẢN</t>
        </is>
      </c>
      <c r="E14415" t="inlineStr">
        <is>
          <t>Lương:22 Tr - 30 Tr VND</t>
        </is>
      </c>
      <c r="F14415" t="inlineStr">
        <is>
          <t>Hà NộiBắc Ninh</t>
        </is>
      </c>
      <c r="G14415" t="inlineStr">
        <is>
          <t>10-04-2026</t>
        </is>
      </c>
      <c r="H14415" t="inlineStr">
        <is>
          <t>10/04/2026</t>
        </is>
      </c>
      <c r="I14415" t="inlineStr">
        <is>
          <t>17/03/2026</t>
        </is>
      </c>
      <c r="J14415" t="inlineStr">
        <is>
          <t>Xây dựng, Kiến trúc, Bất động sản</t>
        </is>
      </c>
      <c r="K14415" t="inlineStr">
        <is>
          <t>Trên 7 Năm</t>
        </is>
      </c>
      <c r="L14415" s="8">
        <f>HYPERLINK("https://careerviet.vn/vi/tim-viec-lam/chuyen-vien-qs.35C6BEF2.html","Xem chi tiết")</f>
        <v/>
      </c>
    </row>
    <row r="14416">
      <c r="B14416" s="9" t="n">
        <v>14414</v>
      </c>
      <c r="C14416" s="10" t="inlineStr">
        <is>
          <t>[NovaService] Trưởng phòng Quản lý tài sản</t>
        </is>
      </c>
      <c r="D14416" s="10" t="inlineStr">
        <is>
          <t>Nova Service Group - Công ty Cổ phần Tập đoàn Nova Services</t>
        </is>
      </c>
      <c r="E14416" s="10" t="inlineStr">
        <is>
          <t>Lương:Cạnh tranh</t>
        </is>
      </c>
      <c r="F14416" s="10" t="inlineStr">
        <is>
          <t>Hồ Chí Minh</t>
        </is>
      </c>
      <c r="G14416" s="10" t="inlineStr">
        <is>
          <t>31-03-2026</t>
        </is>
      </c>
      <c r="H14416" s="10" t="inlineStr">
        <is>
          <t>31/03/2026</t>
        </is>
      </c>
      <c r="I14416" s="10" t="inlineStr">
        <is>
          <t>17/03/2026</t>
        </is>
      </c>
      <c r="J14416" s="10" t="inlineStr">
        <is>
          <t>Hành chính / Thư ký, Kế toán / Kiểm toán</t>
        </is>
      </c>
      <c r="K14416" s="10" t="inlineStr">
        <is>
          <t>5 - 7 Năm</t>
        </is>
      </c>
      <c r="L14416" s="11">
        <f>HYPERLINK("https://careerviet.vn/vi/tim-viec-lam/novaservice-truong-phong-quan-ly-tai-san.35C6BEEE.html","Xem chi tiết")</f>
        <v/>
      </c>
      <c r="M14416" s="10" t="n"/>
    </row>
    <row r="14417">
      <c r="B14417" s="7" t="n">
        <v>14415</v>
      </c>
      <c r="C14417" t="inlineStr">
        <is>
          <t>Kế toán trưởng</t>
        </is>
      </c>
      <c r="D14417" t="inlineStr">
        <is>
          <t>CÔNG TY TNHH THIẾT KẾ XÂY DỰNG M.X</t>
        </is>
      </c>
      <c r="E14417" t="inlineStr">
        <is>
          <t>Lương:25 Tr - 30 Tr VND</t>
        </is>
      </c>
      <c r="F14417" t="inlineStr">
        <is>
          <t>Bình Dương</t>
        </is>
      </c>
      <c r="G14417" t="inlineStr">
        <is>
          <t>30-04-2026</t>
        </is>
      </c>
      <c r="H14417" t="inlineStr">
        <is>
          <t>30/04/2026</t>
        </is>
      </c>
      <c r="I14417" t="inlineStr">
        <is>
          <t>17/03/2026</t>
        </is>
      </c>
      <c r="J14417" t="inlineStr">
        <is>
          <t>Kế toán / Kiểm toán</t>
        </is>
      </c>
      <c r="K14417" t="inlineStr">
        <is>
          <t>3 - 5 Năm</t>
        </is>
      </c>
      <c r="L14417" s="8">
        <f>HYPERLINK("https://careerviet.vn/vi/tim-viec-lam/ke-toan-truong.35C6BEF6.html","Xem chi tiết")</f>
        <v/>
      </c>
    </row>
    <row r="14418">
      <c r="B14418" s="9" t="n">
        <v>14416</v>
      </c>
      <c r="C14418" s="10" t="inlineStr">
        <is>
          <t>KỸ THUẬT GIÁM SÁT MEP</t>
        </is>
      </c>
      <c r="D14418" s="10" t="inlineStr">
        <is>
          <t>CÔNG TY TNHH ĐẦU TƯ VÀ XÂY DỰNG TNG</t>
        </is>
      </c>
      <c r="E14418" s="10" t="inlineStr">
        <is>
          <t>Lương:18 Tr - 22 Tr VND</t>
        </is>
      </c>
      <c r="F14418" s="10" t="inlineStr">
        <is>
          <t>Bắc Ninh</t>
        </is>
      </c>
      <c r="G14418" s="10" t="inlineStr">
        <is>
          <t>10-04-2026</t>
        </is>
      </c>
      <c r="H14418" s="10" t="inlineStr">
        <is>
          <t>10/04/2026</t>
        </is>
      </c>
      <c r="I14418" s="10" t="inlineStr">
        <is>
          <t>17/03/2026</t>
        </is>
      </c>
      <c r="J14418" s="10" t="inlineStr">
        <is>
          <t>Điện / Điện tử / Điện lạnh / Điện công nghiệp</t>
        </is>
      </c>
      <c r="K14418" s="10" t="inlineStr">
        <is>
          <t>Trên 1 Năm</t>
        </is>
      </c>
      <c r="L14418" s="11">
        <f>HYPERLINK("https://careerviet.vn/vi/tim-viec-lam/ky-thuat-giam-sat-mep.35C6BEF1.html","Xem chi tiết")</f>
        <v/>
      </c>
      <c r="M14418" s="10" t="n"/>
    </row>
    <row r="14419">
      <c r="B14419" s="7" t="n">
        <v>14417</v>
      </c>
      <c r="C14419" t="inlineStr">
        <is>
          <t>Giám Sát Xây Dựng</t>
        </is>
      </c>
      <c r="D14419" t="inlineStr">
        <is>
          <t>CÔNG TY CỔ PHẦN HAWEE BẤT ĐỘNG SẢN</t>
        </is>
      </c>
      <c r="E14419" t="inlineStr">
        <is>
          <t>Lương:25 Tr - 30 Tr VND</t>
        </is>
      </c>
      <c r="F14419" t="inlineStr">
        <is>
          <t>Hà NộiBắc Ninh</t>
        </is>
      </c>
      <c r="G14419" t="inlineStr">
        <is>
          <t>10-04-2026</t>
        </is>
      </c>
      <c r="H14419" t="inlineStr">
        <is>
          <t>10/04/2026</t>
        </is>
      </c>
      <c r="I14419" t="inlineStr">
        <is>
          <t>17/03/2026</t>
        </is>
      </c>
      <c r="J14419" t="inlineStr">
        <is>
          <t>Xây dựng, Kiến trúc, Bất động sản</t>
        </is>
      </c>
      <c r="K14419" t="inlineStr">
        <is>
          <t>Trên 7 Năm</t>
        </is>
      </c>
      <c r="L14419" s="8">
        <f>HYPERLINK("https://careerviet.vn/vi/tim-viec-lam/giam-sat-xay-dung.35C6BEF9.html","Xem chi tiết")</f>
        <v/>
      </c>
    </row>
    <row r="14420">
      <c r="B14420" s="9" t="n">
        <v>14418</v>
      </c>
      <c r="C14420" s="10" t="inlineStr">
        <is>
          <t>Kỹ sư Kỹ thuật Khuôn Mẫu (Khuôn đột dập)</t>
        </is>
      </c>
      <c r="D14420" s="10" t="inlineStr">
        <is>
          <t>Tập Đoàn Karofi Holding</t>
        </is>
      </c>
      <c r="E14420" s="10" t="inlineStr">
        <is>
          <t>Lương:13 Tr - 18 Tr VND</t>
        </is>
      </c>
      <c r="F14420" s="10" t="inlineStr">
        <is>
          <t>Hưng Yên</t>
        </is>
      </c>
      <c r="G14420" s="10" t="inlineStr">
        <is>
          <t>29-04-2026</t>
        </is>
      </c>
      <c r="H14420" s="10" t="inlineStr">
        <is>
          <t>29/04/2026</t>
        </is>
      </c>
      <c r="I14420" s="10" t="inlineStr">
        <is>
          <t>17/03/2026</t>
        </is>
      </c>
      <c r="J14420" s="10" t="inlineStr">
        <is>
          <t>Cơ khí / Ô tô / Tự động hóa, Sản xuất / Vận hành sản xuất, Bảo trì / Sửa chữa</t>
        </is>
      </c>
      <c r="K14420" s="10" t="inlineStr">
        <is>
          <t>1 - 10 Năm</t>
        </is>
      </c>
      <c r="L14420" s="11">
        <f>HYPERLINK("https://careerviet.vn/vi/tim-viec-lam/ky-su-ky-thuat-khuon-mau-khuon-dot-dap.35C6BEED.html","Xem chi tiết")</f>
        <v/>
      </c>
      <c r="M14420" s="10" t="n"/>
    </row>
    <row r="14421">
      <c r="B14421" s="7" t="n">
        <v>14419</v>
      </c>
      <c r="C14421" t="inlineStr">
        <is>
          <t>[Nova Service] Chuyên viên Quản lý Kế hoạch IC - EB</t>
        </is>
      </c>
      <c r="D14421" t="inlineStr">
        <is>
          <t>Nova Service Group - Công ty Cổ phần Tập đoàn Nova Services</t>
        </is>
      </c>
      <c r="E14421" t="inlineStr">
        <is>
          <t>Lương:Cạnh tranh</t>
        </is>
      </c>
      <c r="F14421" t="inlineStr">
        <is>
          <t>Hồ Chí Minh</t>
        </is>
      </c>
      <c r="G14421" t="inlineStr">
        <is>
          <t>11-03-2026</t>
        </is>
      </c>
      <c r="H14421" t="inlineStr">
        <is>
          <t>27/02/2026</t>
        </is>
      </c>
      <c r="I14421" t="inlineStr">
        <is>
          <t>17/03/2026</t>
        </is>
      </c>
      <c r="J14421" t="inlineStr">
        <is>
          <t>Quảng cáo / Đối ngoại / Truyền Thông</t>
        </is>
      </c>
      <c r="K14421" t="inlineStr">
        <is>
          <t>3 - 5 Năm</t>
        </is>
      </c>
      <c r="L14421" s="8">
        <f>HYPERLINK("https://careerviet.vn/vi/tim-viec-lam/nova-service-chuyen-vien-quan-ly-ke-hoach-ic-eb.35C673ED.html","Xem chi tiết")</f>
        <v/>
      </c>
    </row>
    <row r="14422">
      <c r="B14422" s="9" t="n">
        <v>14420</v>
      </c>
      <c r="C14422" s="10" t="inlineStr">
        <is>
          <t>Kế toán trưởng</t>
        </is>
      </c>
      <c r="D14422" s="10" t="inlineStr">
        <is>
          <t>CÔNG TY CỔ PHẦN ĐẦU TƯ DANCO</t>
        </is>
      </c>
      <c r="E14422" s="10" t="inlineStr">
        <is>
          <t>Lương:30 Tr - 40 Tr VND</t>
        </is>
      </c>
      <c r="F14422" s="10" t="inlineStr">
        <is>
          <t>Hà Nội</t>
        </is>
      </c>
      <c r="G14422" s="10" t="inlineStr">
        <is>
          <t>30-04-2026</t>
        </is>
      </c>
      <c r="H14422" s="10" t="inlineStr">
        <is>
          <t>30/04/2026</t>
        </is>
      </c>
      <c r="I14422" s="10" t="inlineStr">
        <is>
          <t>17/03/2026</t>
        </is>
      </c>
      <c r="J14422" s="10" t="inlineStr">
        <is>
          <t>Kế toán / Kiểm toán, Xây dựng, Ngân hàng</t>
        </is>
      </c>
      <c r="K14422" s="10" t="inlineStr">
        <is>
          <t>5 - 7 Năm</t>
        </is>
      </c>
      <c r="L14422" s="11">
        <f>HYPERLINK("https://careerviet.vn/vi/tim-viec-lam/ke-toan-truong.35C6BEE0.html","Xem chi tiết")</f>
        <v/>
      </c>
      <c r="M14422" s="10" t="n"/>
    </row>
    <row r="14423">
      <c r="B14423" s="7" t="n">
        <v>14421</v>
      </c>
      <c r="C14423" t="inlineStr">
        <is>
          <t>Chuyên viên C&amp;B</t>
        </is>
      </c>
      <c r="D14423" t="inlineStr">
        <is>
          <t>Công ty Cổ Phần Chuỗi Nhà Hàng SVN</t>
        </is>
      </c>
      <c r="E14423" t="inlineStr">
        <is>
          <t>Lương:11 Tr - 13 Tr VND</t>
        </is>
      </c>
      <c r="F14423" t="inlineStr">
        <is>
          <t>Hà Nội</t>
        </is>
      </c>
      <c r="G14423" t="inlineStr">
        <is>
          <t>31-03-2026</t>
        </is>
      </c>
      <c r="H14423" t="inlineStr">
        <is>
          <t>31/03/2026</t>
        </is>
      </c>
      <c r="I14423" t="inlineStr">
        <is>
          <t>17/03/2026</t>
        </is>
      </c>
      <c r="J14423" t="inlineStr">
        <is>
          <t>Nhân sự</t>
        </is>
      </c>
      <c r="K14423" t="inlineStr">
        <is>
          <t>1 - 2 Năm</t>
        </is>
      </c>
      <c r="L14423" s="8">
        <f>HYPERLINK("https://careerviet.vn/vi/tim-viec-lam/chuyen-vien-c-b.35C69583.html","Xem chi tiết")</f>
        <v/>
      </c>
    </row>
    <row r="14424">
      <c r="B14424" s="9" t="n">
        <v>14422</v>
      </c>
      <c r="C14424" s="10" t="inlineStr">
        <is>
          <t>DATA ENGINEER</t>
        </is>
      </c>
      <c r="D14424" s="10" t="inlineStr">
        <is>
          <t>Tổng công ty Xây dựng số 1 – CTCP</t>
        </is>
      </c>
      <c r="E14424" s="10" t="inlineStr">
        <is>
          <t>Lương:Cạnh tranh</t>
        </is>
      </c>
      <c r="F14424" s="10" t="inlineStr">
        <is>
          <t>Hồ Chí Minh</t>
        </is>
      </c>
      <c r="G14424" s="10" t="inlineStr">
        <is>
          <t>09-04-2026</t>
        </is>
      </c>
      <c r="H14424" s="10" t="inlineStr">
        <is>
          <t>09/04/2026</t>
        </is>
      </c>
      <c r="I14424" s="10" t="inlineStr">
        <is>
          <t>17/03/2026</t>
        </is>
      </c>
      <c r="J14424" s="10" t="inlineStr">
        <is>
          <t>CNTT - Phần mềm</t>
        </is>
      </c>
      <c r="K14424" s="10" t="inlineStr">
        <is>
          <t>3 - 5 Năm</t>
        </is>
      </c>
      <c r="L14424" s="11">
        <f>HYPERLINK("https://careerviet.vn/vi/tim-viec-lam/data-engineer.35C6BEE6.html","Xem chi tiết")</f>
        <v/>
      </c>
      <c r="M14424" s="10" t="n"/>
    </row>
    <row r="14425">
      <c r="B14425" s="7" t="n">
        <v>14423</v>
      </c>
      <c r="C14425" t="inlineStr">
        <is>
          <t>Chuyên Viên Hỗ Trợ Tín Dụng - [BAC A BANK - Chi nhánh Hòa Bình/Thái Bình/Thanh Hóa]</t>
        </is>
      </c>
      <c r="D14425" t="inlineStr">
        <is>
          <t>Ngân Hàng Thương mại cổ phần Bắc Á- BAC A BANK</t>
        </is>
      </c>
      <c r="E14425" t="inlineStr">
        <is>
          <t>Lương:Cạnh tranh</t>
        </is>
      </c>
      <c r="F14425" t="inlineStr">
        <is>
          <t>Hòa BìnhThái BìnhThanh Hóa</t>
        </is>
      </c>
      <c r="G14425" t="inlineStr">
        <is>
          <t>14-04-2026</t>
        </is>
      </c>
      <c r="H14425" t="inlineStr">
        <is>
          <t>14/04/2026</t>
        </is>
      </c>
      <c r="I14425" t="inlineStr">
        <is>
          <t>17/03/2026</t>
        </is>
      </c>
      <c r="J14425" t="inlineStr">
        <is>
          <t>Ngân hàng</t>
        </is>
      </c>
      <c r="K14425" t="inlineStr">
        <is>
          <t>1 - 3 Năm</t>
        </is>
      </c>
      <c r="L14425" s="8">
        <f>HYPERLINK("https://careerviet.vn/vi/tim-viec-lam/chuyen-vien-ho-tro-tin-dung-bac-a-bank-chi-nhanh-hoa-binh-thai-binh-thanh-hoa.35C6BEEA.html","Xem chi tiết")</f>
        <v/>
      </c>
    </row>
    <row r="14426">
      <c r="B14426" s="9" t="n">
        <v>14424</v>
      </c>
      <c r="C14426" s="10" t="inlineStr">
        <is>
          <t>Nhân viên hải quan</t>
        </is>
      </c>
      <c r="D14426" s="10" t="inlineStr">
        <is>
          <t>CÔNG TY TNHH ATI VIỆT TRUNG</t>
        </is>
      </c>
      <c r="E14426" s="10" t="inlineStr">
        <is>
          <t>Lương:Cạnh tranh</t>
        </is>
      </c>
      <c r="F14426" s="10" t="inlineStr">
        <is>
          <t>Hà Nội</t>
        </is>
      </c>
      <c r="G14426" s="10" t="inlineStr">
        <is>
          <t>11-04-2026</t>
        </is>
      </c>
      <c r="H14426" s="10" t="inlineStr">
        <is>
          <t>11/04/2026</t>
        </is>
      </c>
      <c r="I14426" s="10" t="inlineStr">
        <is>
          <t>17/03/2026</t>
        </is>
      </c>
      <c r="J14426" s="10" t="inlineStr">
        <is>
          <t>Xuất nhập khẩu, Hành chính / Thư ký, Biên phiên dịch</t>
        </is>
      </c>
      <c r="K14426" s="10" t="inlineStr">
        <is>
          <t>Chưa có kinh nghiệm</t>
        </is>
      </c>
      <c r="L14426" s="11">
        <f>HYPERLINK("https://careerviet.vn/vi/tim-viec-lam/nhan-vien-hai-quan.35C6BEDB.html","Xem chi tiết")</f>
        <v/>
      </c>
      <c r="M14426" s="10" t="n"/>
    </row>
    <row r="14427">
      <c r="B14427" s="7" t="n">
        <v>14425</v>
      </c>
      <c r="C14427" t="inlineStr">
        <is>
          <t>Chuyên viên Đấu thầu - CĐTBất động sản</t>
        </is>
      </c>
      <c r="D14427" t="inlineStr">
        <is>
          <t>CÔNG TY CỔ PHẦN ĐẦU TƯ DANCO</t>
        </is>
      </c>
      <c r="E14427" t="inlineStr">
        <is>
          <t>Lương:25 Tr - 30 Tr VND</t>
        </is>
      </c>
      <c r="F14427" t="inlineStr">
        <is>
          <t>Hà Nội</t>
        </is>
      </c>
      <c r="G14427" t="inlineStr">
        <is>
          <t>30-04-2026</t>
        </is>
      </c>
      <c r="H14427" t="inlineStr">
        <is>
          <t>30/04/2026</t>
        </is>
      </c>
      <c r="I14427" t="inlineStr">
        <is>
          <t>17/03/2026</t>
        </is>
      </c>
      <c r="J14427" t="inlineStr">
        <is>
          <t>Kiến trúc, Xây dựng, Bất động sản</t>
        </is>
      </c>
      <c r="K14427" t="inlineStr">
        <is>
          <t>3 - 5 Năm</t>
        </is>
      </c>
      <c r="L14427" s="8">
        <f>HYPERLINK("https://careerviet.vn/vi/tim-viec-lam/chuyen-vien-dau-thau-cdtbat-dong-san.35C6A648.html","Xem chi tiết")</f>
        <v/>
      </c>
    </row>
    <row r="14428">
      <c r="B14428" s="9" t="n">
        <v>14426</v>
      </c>
      <c r="C14428" s="10" t="inlineStr">
        <is>
          <t>Chuyên Viên Hỗ Trợ Tín Dụng - [BAC A BANK - Chi nhánh Lạng Sơn/Thái Nguyên/Bắc Giang]</t>
        </is>
      </c>
      <c r="D14428" s="10" t="inlineStr">
        <is>
          <t>Ngân Hàng Thương mại cổ phần Bắc Á- BAC A BANK</t>
        </is>
      </c>
      <c r="E14428" s="10" t="inlineStr">
        <is>
          <t>Lương:Cạnh tranh</t>
        </is>
      </c>
      <c r="F14428" s="10" t="inlineStr">
        <is>
          <t>Lạng SơnBắc GiangThái Nguyên</t>
        </is>
      </c>
      <c r="G14428" s="10" t="inlineStr">
        <is>
          <t>14-04-2026</t>
        </is>
      </c>
      <c r="H14428" s="10" t="inlineStr">
        <is>
          <t>14/04/2026</t>
        </is>
      </c>
      <c r="I14428" s="10" t="inlineStr">
        <is>
          <t>17/03/2026</t>
        </is>
      </c>
      <c r="J14428" s="10" t="inlineStr">
        <is>
          <t>Ngân hàng</t>
        </is>
      </c>
      <c r="K14428" s="10" t="inlineStr">
        <is>
          <t>1 - 3 Năm</t>
        </is>
      </c>
      <c r="L14428" s="11">
        <f>HYPERLINK("https://careerviet.vn/vi/tim-viec-lam/chuyen-vien-ho-tro-tin-dung-bac-a-bank-chi-nhanh-lang-son-thai-nguyen-bac-giang.35C6BEE2.html","Xem chi tiết")</f>
        <v/>
      </c>
      <c r="M14428" s="10" t="n"/>
    </row>
    <row r="14429">
      <c r="B14429" s="7" t="n">
        <v>14427</v>
      </c>
      <c r="C14429" t="inlineStr">
        <is>
          <t>Chuyên viên Khách hàng Doanh nghiệp - Chi nhánh Phú Mỹ Hưng</t>
        </is>
      </c>
      <c r="D14429" t="inlineStr">
        <is>
          <t>Indovina Bank Ltd.</t>
        </is>
      </c>
      <c r="E14429" t="inlineStr">
        <is>
          <t>Lương:Cạnh tranh</t>
        </is>
      </c>
      <c r="F14429" t="inlineStr">
        <is>
          <t>Hồ Chí Minh</t>
        </is>
      </c>
      <c r="G14429" t="inlineStr">
        <is>
          <t>30-04-2026</t>
        </is>
      </c>
      <c r="H14429" t="inlineStr">
        <is>
          <t>30/04/2026</t>
        </is>
      </c>
      <c r="I14429" t="inlineStr">
        <is>
          <t>17/03/2026</t>
        </is>
      </c>
      <c r="J14429" t="inlineStr">
        <is>
          <t>Bán hàng / Kinh doanh, Ngân hàng, Tài chính / Đầu tư</t>
        </is>
      </c>
      <c r="K14429" t="inlineStr">
        <is>
          <t>1 - 2 Năm</t>
        </is>
      </c>
      <c r="L14429" s="8">
        <f>HYPERLINK("https://careerviet.vn/vi/tim-viec-lam/chuyen-vien-khach-hang-doanh-nghiep-chi-nhanh-phu-my-hung.35C6BED8.html","Xem chi tiết")</f>
        <v/>
      </c>
    </row>
    <row r="14430">
      <c r="B14430" s="9" t="n">
        <v>14428</v>
      </c>
      <c r="C14430" s="10" t="inlineStr">
        <is>
          <t>Chuyên viên Khách hàng Cá nhân/Doanh nghiệp - Chi Nhánh Tân Bình</t>
        </is>
      </c>
      <c r="D14430" s="10" t="inlineStr">
        <is>
          <t>Indovina Bank Ltd.</t>
        </is>
      </c>
      <c r="E14430" s="10" t="inlineStr">
        <is>
          <t>Lương:Cạnh tranh</t>
        </is>
      </c>
      <c r="F14430" s="10" t="inlineStr">
        <is>
          <t>Hồ Chí Minh</t>
        </is>
      </c>
      <c r="G14430" s="10" t="inlineStr">
        <is>
          <t>30-04-2026</t>
        </is>
      </c>
      <c r="H14430" s="10" t="inlineStr">
        <is>
          <t>30/04/2026</t>
        </is>
      </c>
      <c r="I14430" s="10" t="inlineStr">
        <is>
          <t>17/03/2026</t>
        </is>
      </c>
      <c r="J14430" s="10" t="inlineStr">
        <is>
          <t>Bán hàng / Kinh doanh, Ngân hàng, Tài chính / Đầu tư</t>
        </is>
      </c>
      <c r="K14430" s="10" t="inlineStr">
        <is>
          <t>1 - 2 Năm</t>
        </is>
      </c>
      <c r="L14430" s="11">
        <f>HYPERLINK("https://careerviet.vn/vi/tim-viec-lam/chuyen-vien-khach-hang-ca-nhan-doanh-nghiep-chi-nhanh-tan-binh.35C6BED2.html","Xem chi tiết")</f>
        <v/>
      </c>
      <c r="M14430" s="10" t="n"/>
    </row>
    <row r="14431">
      <c r="B14431" s="7" t="n">
        <v>14429</v>
      </c>
      <c r="C14431" t="inlineStr">
        <is>
          <t>Giảng viên CNTT</t>
        </is>
      </c>
      <c r="D14431" t="inlineStr">
        <is>
          <t>Hệ thống đào tạo lập trình hiện đại CodeGym Việt Nam</t>
        </is>
      </c>
      <c r="E14431" t="inlineStr">
        <is>
          <t>Lương:Cạnh tranh</t>
        </is>
      </c>
      <c r="F14431" t="inlineStr">
        <is>
          <t>Hà Nội</t>
        </is>
      </c>
      <c r="G14431" t="inlineStr">
        <is>
          <t>31-03-2026</t>
        </is>
      </c>
      <c r="H14431" t="inlineStr">
        <is>
          <t>31/03/2026</t>
        </is>
      </c>
      <c r="I14431" t="inlineStr">
        <is>
          <t>17/03/2026</t>
        </is>
      </c>
      <c r="J14431" t="inlineStr">
        <is>
          <t>CNTT - Phần mềm, Giáo dục / Đào tạo</t>
        </is>
      </c>
      <c r="K14431" t="inlineStr">
        <is>
          <t>Trên 3 Năm</t>
        </is>
      </c>
      <c r="L14431" s="8">
        <f>HYPERLINK("https://careerviet.vn/vi/tim-viec-lam/giang-vien-cntt.35C6BECF.html","Xem chi tiết")</f>
        <v/>
      </c>
    </row>
    <row r="14432">
      <c r="B14432" s="9" t="n">
        <v>14430</v>
      </c>
      <c r="C14432" s="10" t="inlineStr">
        <is>
          <t>Nhân viên tuyển dụng</t>
        </is>
      </c>
      <c r="D14432" s="10" t="inlineStr">
        <is>
          <t>Công ty TNHH TOM Group Việt Nam</t>
        </is>
      </c>
      <c r="E14432" s="10" t="inlineStr">
        <is>
          <t>Lương:12 Tr - 16 Tr VND</t>
        </is>
      </c>
      <c r="F14432" s="10" t="inlineStr">
        <is>
          <t>Hồ Chí Minh</t>
        </is>
      </c>
      <c r="G14432" s="10" t="inlineStr">
        <is>
          <t>30-04-2026</t>
        </is>
      </c>
      <c r="H14432" s="10" t="inlineStr">
        <is>
          <t>30/04/2026</t>
        </is>
      </c>
      <c r="I14432" s="10" t="inlineStr">
        <is>
          <t>17/03/2026</t>
        </is>
      </c>
      <c r="J14432" s="10" t="inlineStr">
        <is>
          <t>Nhân sự</t>
        </is>
      </c>
      <c r="K14432" s="10" t="inlineStr">
        <is>
          <t>2 - 4 Năm</t>
        </is>
      </c>
      <c r="L14432" s="11">
        <f>HYPERLINK("https://careerviet.vn/vi/tim-viec-lam/nhan-vien-tuyen-dung.35C6BED5.html","Xem chi tiết")</f>
        <v/>
      </c>
      <c r="M14432" s="10" t="n"/>
    </row>
    <row r="14433">
      <c r="B14433" s="7" t="n">
        <v>14431</v>
      </c>
      <c r="C14433" t="inlineStr">
        <is>
          <t>Chuyên viên Phát triển Dự án - CĐT BĐS</t>
        </is>
      </c>
      <c r="D14433" t="inlineStr">
        <is>
          <t>CÔNG TY CỔ PHẦN ĐẦU TƯ DANCO</t>
        </is>
      </c>
      <c r="E14433" t="inlineStr">
        <is>
          <t>Lương:17 Tr - 25 Tr VND</t>
        </is>
      </c>
      <c r="F14433" t="inlineStr">
        <is>
          <t>Hà Nội</t>
        </is>
      </c>
      <c r="G14433" t="inlineStr">
        <is>
          <t>30-04-2026</t>
        </is>
      </c>
      <c r="H14433" t="inlineStr">
        <is>
          <t>30/04/2026</t>
        </is>
      </c>
      <c r="I14433" t="inlineStr">
        <is>
          <t>17/03/2026</t>
        </is>
      </c>
      <c r="J14433" t="inlineStr">
        <is>
          <t>Xây dựng, Bất động sản, Luật / Pháp lý</t>
        </is>
      </c>
      <c r="K14433" t="inlineStr">
        <is>
          <t>2 - 5 Năm</t>
        </is>
      </c>
      <c r="L14433" s="8">
        <f>HYPERLINK("https://careerviet.vn/vi/tim-viec-lam/chuyen-vien-phat-trien-du-an-cdt-bds.35C6BEE4.html","Xem chi tiết")</f>
        <v/>
      </c>
    </row>
    <row r="14434">
      <c r="B14434" s="9" t="n">
        <v>14432</v>
      </c>
      <c r="C14434" s="10" t="inlineStr">
        <is>
          <t>Chuyên viên Kiểm soát nội bộ và Quản trị rủi ro</t>
        </is>
      </c>
      <c r="D14434" s="10" t="inlineStr">
        <is>
          <t>CÔNG TY TNHH THE SUN COSMECTICS</t>
        </is>
      </c>
      <c r="E14434" s="10" t="inlineStr">
        <is>
          <t>Lương:Cạnh tranh</t>
        </is>
      </c>
      <c r="F14434" s="10" t="inlineStr">
        <is>
          <t>Hồ Chí Minh</t>
        </is>
      </c>
      <c r="G14434" s="10" t="inlineStr">
        <is>
          <t>05-05-2026</t>
        </is>
      </c>
      <c r="H14434" s="10" t="inlineStr">
        <is>
          <t>05/05/2026</t>
        </is>
      </c>
      <c r="I14434" s="10" t="inlineStr">
        <is>
          <t>17/03/2026</t>
        </is>
      </c>
      <c r="J14434" s="10" t="inlineStr">
        <is>
          <t>Kế toán / Kiểm toán, Nhân sự, Quản lý điều hành</t>
        </is>
      </c>
      <c r="K14434" s="10" t="inlineStr">
        <is>
          <t>3 - 5 Năm</t>
        </is>
      </c>
      <c r="L14434" s="11">
        <f>HYPERLINK("https://careerviet.vn/vi/tim-viec-lam/chuyen-vien-kiem-soat-noi-bo-va-quan-tri-rui-ro.35C6BEBC.html","Xem chi tiết")</f>
        <v/>
      </c>
      <c r="M14434" s="10" t="n"/>
    </row>
    <row r="14435">
      <c r="B14435" s="7" t="n">
        <v>14433</v>
      </c>
      <c r="C14435" t="inlineStr">
        <is>
          <t>Social Media Partnership Leader</t>
        </is>
      </c>
      <c r="D14435" t="inlineStr">
        <is>
          <t>HMK Eyewear</t>
        </is>
      </c>
      <c r="E14435" t="inlineStr">
        <is>
          <t>Lương:20 Tr - 30 Tr VND</t>
        </is>
      </c>
      <c r="F14435" t="inlineStr">
        <is>
          <t>Hồ Chí Minh</t>
        </is>
      </c>
      <c r="G14435" t="inlineStr">
        <is>
          <t>30-04-2026</t>
        </is>
      </c>
      <c r="H14435" t="inlineStr">
        <is>
          <t>30/04/2026</t>
        </is>
      </c>
      <c r="I14435" t="inlineStr">
        <is>
          <t>17/03/2026</t>
        </is>
      </c>
      <c r="J14435" t="inlineStr">
        <is>
          <t>Tiếp thị / Marketing, Quảng cáo / Đối ngoại / Truyền Thông, Truyền hình / Báo chí / Biên tập</t>
        </is>
      </c>
      <c r="K14435" t="inlineStr">
        <is>
          <t>2 - 3 Năm</t>
        </is>
      </c>
      <c r="L14435" s="8">
        <f>HYPERLINK("https://careerviet.vn/vi/tim-viec-lam/social-media-partnership-leader.35C6BEC1.html","Xem chi tiết")</f>
        <v/>
      </c>
    </row>
    <row r="14436">
      <c r="B14436" s="9" t="n">
        <v>14434</v>
      </c>
      <c r="C14436" s="10" t="inlineStr">
        <is>
          <t>SALES ADMIN HVAC</t>
        </is>
      </c>
      <c r="D14436" s="10" t="inlineStr">
        <is>
          <t>Công ty cổ phần thương mại kỹ thuật An Việt</t>
        </is>
      </c>
      <c r="E14436" s="10" t="inlineStr">
        <is>
          <t>Lương:15 Tr - 30 Tr VND</t>
        </is>
      </c>
      <c r="F14436" s="10" t="inlineStr">
        <is>
          <t>Hà Nội</t>
        </is>
      </c>
      <c r="G14436" s="10" t="inlineStr">
        <is>
          <t>31-03-2026</t>
        </is>
      </c>
      <c r="H14436" s="10" t="inlineStr">
        <is>
          <t>31/03/2026</t>
        </is>
      </c>
      <c r="I14436" s="10" t="inlineStr">
        <is>
          <t>17/03/2026</t>
        </is>
      </c>
      <c r="J14436" s="10" t="inlineStr">
        <is>
          <t>Bán hàng / Kinh doanh, Tiếp thị / Marketing, Dịch vụ khách hàng</t>
        </is>
      </c>
      <c r="K14436" s="10" t="inlineStr">
        <is>
          <t>3 - 5 Năm</t>
        </is>
      </c>
      <c r="L14436" s="11">
        <f>HYPERLINK("https://careerviet.vn/vi/tim-viec-lam/sales-admin-hvac.35C6BE8D.html","Xem chi tiết")</f>
        <v/>
      </c>
      <c r="M14436" s="10" t="n"/>
    </row>
    <row r="14437">
      <c r="B14437" s="7" t="n">
        <v>14435</v>
      </c>
      <c r="C14437" t="inlineStr">
        <is>
          <t>Kế Toán Tổng Hợp</t>
        </is>
      </c>
      <c r="D14437" t="inlineStr">
        <is>
          <t>Công ty CP Phát Triển Hùng Hậu</t>
        </is>
      </c>
      <c r="E14437" t="inlineStr">
        <is>
          <t>Lương:Cạnh tranh</t>
        </is>
      </c>
      <c r="F14437" t="inlineStr">
        <is>
          <t>Hồ Chí Minh</t>
        </is>
      </c>
      <c r="G14437" t="inlineStr">
        <is>
          <t>11-03-2026</t>
        </is>
      </c>
      <c r="H14437" t="inlineStr">
        <is>
          <t>11/03/2026</t>
        </is>
      </c>
      <c r="I14437" t="inlineStr">
        <is>
          <t>17/03/2026</t>
        </is>
      </c>
      <c r="J14437" t="inlineStr">
        <is>
          <t>Kế toán / Kiểm toán, Tài chính / Đầu tư</t>
        </is>
      </c>
      <c r="K14437" t="inlineStr">
        <is>
          <t>3 - 5 Năm</t>
        </is>
      </c>
      <c r="L14437" s="8">
        <f>HYPERLINK("https://careerviet.vn/vi/tim-viec-lam/ke-toan-tong-hop.35C6BEBB.html","Xem chi tiết")</f>
        <v/>
      </c>
    </row>
    <row r="14438">
      <c r="B14438" s="9" t="n">
        <v>14436</v>
      </c>
      <c r="C14438" s="10" t="inlineStr">
        <is>
          <t>Chuyên viên cao cấp/Chuyên gia Quản trị nhân tài - TNTalent</t>
        </is>
      </c>
      <c r="D14438" s="10" t="inlineStr">
        <is>
          <t>Tập đoàn ROX (ROX Group)</t>
        </is>
      </c>
      <c r="E14438" s="10" t="inlineStr">
        <is>
          <t>Lương:Cạnh tranh</t>
        </is>
      </c>
      <c r="F14438" s="10" t="inlineStr">
        <is>
          <t>Hà Nội</t>
        </is>
      </c>
      <c r="G14438" s="10" t="inlineStr">
        <is>
          <t>19-04-2026</t>
        </is>
      </c>
      <c r="H14438" s="10" t="inlineStr">
        <is>
          <t>19/04/2026</t>
        </is>
      </c>
      <c r="I14438" s="10" t="inlineStr">
        <is>
          <t>17/03/2026</t>
        </is>
      </c>
      <c r="J14438" s="10" t="inlineStr">
        <is>
          <t>Nhân sự, Luật / Pháp lý</t>
        </is>
      </c>
      <c r="K14438" s="10" t="inlineStr">
        <is>
          <t>Trên 3 Năm</t>
        </is>
      </c>
      <c r="L14438" s="11">
        <f>HYPERLINK("https://careerviet.vn/vi/tim-viec-lam/chuyen-vien-cao-cap-chuyen-gia-quan-tri-nhan-tai-tntalent.35C6BEB7.html","Xem chi tiết")</f>
        <v/>
      </c>
      <c r="M14438" s="10" t="n"/>
    </row>
    <row r="14439">
      <c r="B14439" s="7" t="n">
        <v>14437</v>
      </c>
      <c r="C14439" t="inlineStr">
        <is>
          <t>Chuyên Viên Thẩm Định - [BAC A BANK - Chi nhánh Hòa Bình/Lào Cai/Thái Nguyên]]</t>
        </is>
      </c>
      <c r="D14439" t="inlineStr">
        <is>
          <t>Ngân Hàng Thương mại cổ phần Bắc Á- BAC A BANK</t>
        </is>
      </c>
      <c r="E14439" t="inlineStr">
        <is>
          <t>Lương:Cạnh tranh</t>
        </is>
      </c>
      <c r="F14439" t="inlineStr">
        <is>
          <t>Hòa BìnhLào CaiThái Nguyên</t>
        </is>
      </c>
      <c r="G14439" t="inlineStr">
        <is>
          <t>14-04-2026</t>
        </is>
      </c>
      <c r="H14439" t="inlineStr">
        <is>
          <t>14/04/2026</t>
        </is>
      </c>
      <c r="I14439" t="inlineStr">
        <is>
          <t>17/03/2026</t>
        </is>
      </c>
      <c r="J14439" t="inlineStr">
        <is>
          <t>Ngân hàng</t>
        </is>
      </c>
      <c r="K14439" t="inlineStr">
        <is>
          <t>1 - 3 Năm</t>
        </is>
      </c>
      <c r="L14439" s="8">
        <f>HYPERLINK("https://careerviet.vn/vi/tim-viec-lam/chuyen-vien-tham-dinh-bac-a-bank-chi-nhanh-hoa-binh-lao-cai-thai-nguyen.35C6BED4.html","Xem chi tiết")</f>
        <v/>
      </c>
    </row>
    <row r="14440">
      <c r="B14440" s="9" t="n">
        <v>14438</v>
      </c>
      <c r="C14440" s="10" t="inlineStr">
        <is>
          <t>CHUYÊN VIÊN KIỂM TRA CHẤT LƯỢNG - KCS</t>
        </is>
      </c>
      <c r="D14440" s="10" t="inlineStr">
        <is>
          <t>CÔNG TY TNHH MTV CHẾ TÁC VÀ KINH DOANH TRANG SỨC PNJ</t>
        </is>
      </c>
      <c r="E14440" s="10" t="inlineStr">
        <is>
          <t>Lương:13 Tr - 17 Tr VND</t>
        </is>
      </c>
      <c r="F14440" s="10" t="inlineStr">
        <is>
          <t>Long An</t>
        </is>
      </c>
      <c r="G14440" s="10" t="inlineStr">
        <is>
          <t>5</t>
        </is>
      </c>
      <c r="H14440" s="10" t="inlineStr">
        <is>
          <t>22/03/2026</t>
        </is>
      </c>
      <c r="I14440" s="10" t="inlineStr">
        <is>
          <t>17/03/2026</t>
        </is>
      </c>
      <c r="J14440" s="10" t="inlineStr">
        <is>
          <t>Sản xuất / Vận hành sản xuất, Quản lý chất lượng (QA/QC)</t>
        </is>
      </c>
      <c r="K14440" s="10" t="inlineStr">
        <is>
          <t>1 - 5 Năm</t>
        </is>
      </c>
      <c r="L14440" s="11">
        <f>HYPERLINK("https://careerviet.vn/vi/tim-viec-lam/chuyen-vien-kiem-tra-chat-luong-kcs.35C6BEB5.html","Xem chi tiết")</f>
        <v/>
      </c>
      <c r="M14440" s="10" t="n"/>
    </row>
    <row r="14441">
      <c r="B14441" s="7" t="n">
        <v>14439</v>
      </c>
      <c r="C14441" t="inlineStr">
        <is>
          <t>Kỹ Sư QS Đấu Thầu</t>
        </is>
      </c>
      <c r="D14441" t="inlineStr">
        <is>
          <t>Handong Engineering &amp; Construction JSC</t>
        </is>
      </c>
      <c r="E14441" t="inlineStr">
        <is>
          <t>Lương:16 Tr - 22 Tr VND</t>
        </is>
      </c>
      <c r="F14441" t="inlineStr">
        <is>
          <t>Hồ Chí Minh</t>
        </is>
      </c>
      <c r="G14441" t="inlineStr">
        <is>
          <t>12-04-2026</t>
        </is>
      </c>
      <c r="H14441" t="inlineStr">
        <is>
          <t>12/04/2026</t>
        </is>
      </c>
      <c r="I14441" t="inlineStr">
        <is>
          <t>17/03/2026</t>
        </is>
      </c>
      <c r="J14441" t="inlineStr">
        <is>
          <t>Kiến trúc, Xây dựng</t>
        </is>
      </c>
      <c r="K14441" t="inlineStr">
        <is>
          <t>3 - 5 Năm</t>
        </is>
      </c>
      <c r="L14441" s="8">
        <f>HYPERLINK("https://careerviet.vn/vi/tim-viec-lam/ky-su-qs-dau-thau.35C6BD57.html","Xem chi tiết")</f>
        <v/>
      </c>
    </row>
    <row r="14442">
      <c r="B14442" s="9" t="n">
        <v>14440</v>
      </c>
      <c r="C14442" s="10" t="inlineStr">
        <is>
          <t>Chuyên Viên Thẩm Định - [BAC A BANK - Chi nhánh Bắc Ninh/Hải Dương/Thái Bình/Thanh Hóa]]</t>
        </is>
      </c>
      <c r="D14442" s="10" t="inlineStr">
        <is>
          <t>Ngân Hàng Thương mại cổ phần Bắc Á- BAC A BANK</t>
        </is>
      </c>
      <c r="E14442" s="10" t="inlineStr">
        <is>
          <t>Lương:Cạnh tranh</t>
        </is>
      </c>
      <c r="F14442" s="10" t="inlineStr">
        <is>
          <t>Bắc NinhHải DươngThái Bình</t>
        </is>
      </c>
      <c r="G14442" s="10" t="inlineStr">
        <is>
          <t>14-04-2026</t>
        </is>
      </c>
      <c r="H14442" s="10" t="inlineStr">
        <is>
          <t>14/04/2026</t>
        </is>
      </c>
      <c r="I14442" s="10" t="inlineStr">
        <is>
          <t>17/03/2026</t>
        </is>
      </c>
      <c r="J14442" s="10" t="inlineStr">
        <is>
          <t>Ngân hàng</t>
        </is>
      </c>
      <c r="K14442" s="10" t="inlineStr">
        <is>
          <t>1 - 3 Năm</t>
        </is>
      </c>
      <c r="L14442" s="11">
        <f>HYPERLINK("https://careerviet.vn/vi/tim-viec-lam/chuyen-vien-tham-dinh-bac-a-bank-chi-nhanh-bac-ninh-hai-duong-thai-binh-thanh-hoa.35C6BED9.html","Xem chi tiết")</f>
        <v/>
      </c>
      <c r="M14442" s="10" t="n"/>
    </row>
    <row r="14443">
      <c r="B14443" s="7" t="n">
        <v>14441</v>
      </c>
      <c r="C14443" t="inlineStr">
        <is>
          <t>DATA ANALYST</t>
        </is>
      </c>
      <c r="D14443" t="inlineStr">
        <is>
          <t>Tổng công ty Xây dựng số 1 – CTCP</t>
        </is>
      </c>
      <c r="E14443" t="inlineStr">
        <is>
          <t>Lương:Cạnh tranh</t>
        </is>
      </c>
      <c r="F14443" t="inlineStr">
        <is>
          <t>Hồ Chí Minh</t>
        </is>
      </c>
      <c r="G14443" t="inlineStr">
        <is>
          <t>09-04-2026</t>
        </is>
      </c>
      <c r="H14443" t="inlineStr">
        <is>
          <t>09/04/2026</t>
        </is>
      </c>
      <c r="I14443" t="inlineStr">
        <is>
          <t>17/03/2026</t>
        </is>
      </c>
      <c r="J14443" t="inlineStr">
        <is>
          <t>CNTT - Phần mềm</t>
        </is>
      </c>
      <c r="K14443" t="inlineStr">
        <is>
          <t>2 - 5 Năm</t>
        </is>
      </c>
      <c r="L14443" s="8">
        <f>HYPERLINK("https://careerviet.vn/vi/tim-viec-lam/data-analyst.35C6BEC8.html","Xem chi tiết")</f>
        <v/>
      </c>
    </row>
    <row r="14444">
      <c r="B14444" s="9" t="n">
        <v>14442</v>
      </c>
      <c r="C14444" s="10" t="inlineStr">
        <is>
          <t>Chương Mỹ (Hà Nội)- Nhân viên kinh doanh quản lí CTV</t>
        </is>
      </c>
      <c r="D14444" s="10" t="inlineStr">
        <is>
          <t>Cty TNHH Yakult Việt Nam</t>
        </is>
      </c>
      <c r="E14444" s="10" t="inlineStr">
        <is>
          <t>Lương:10 Tr - 14 Tr VND</t>
        </is>
      </c>
      <c r="F14444" s="10" t="inlineStr">
        <is>
          <t>Hà Nội</t>
        </is>
      </c>
      <c r="G14444" s="10" t="inlineStr">
        <is>
          <t>30-04-2026</t>
        </is>
      </c>
      <c r="H14444" s="10" t="inlineStr">
        <is>
          <t>30/04/2026</t>
        </is>
      </c>
      <c r="I14444" s="10" t="inlineStr">
        <is>
          <t>17/03/2026</t>
        </is>
      </c>
      <c r="J14444" s="10" t="inlineStr">
        <is>
          <t>Bán hàng / Kinh doanh</t>
        </is>
      </c>
      <c r="K14444" s="10" t="inlineStr">
        <is>
          <t>1 - 2 Năm</t>
        </is>
      </c>
      <c r="L14444" s="11">
        <f>HYPERLINK("https://careerviet.vn/vi/tim-viec-lam/chuong-my-ha-noi-nhan-vien-kinh-doanh-quan-li-ctv.35C6BEA8.html","Xem chi tiết")</f>
        <v/>
      </c>
      <c r="M14444" s="10" t="n"/>
    </row>
    <row r="14445">
      <c r="B14445" s="7" t="n">
        <v>14443</v>
      </c>
      <c r="C14445" t="inlineStr">
        <is>
          <t>NHÂN VIÊN BẢO TRÌ (Quận 10 - Gò Vấp)</t>
        </is>
      </c>
      <c r="D14445" t="inlineStr">
        <is>
          <t>Công ty CP Giáo dục Quốc tế Việt Úc</t>
        </is>
      </c>
      <c r="E14445" t="inlineStr">
        <is>
          <t>Lương:9 Tr - 11 Tr VND</t>
        </is>
      </c>
      <c r="F14445" t="inlineStr">
        <is>
          <t>Hồ Chí Minh</t>
        </is>
      </c>
      <c r="G14445" t="inlineStr">
        <is>
          <t>31-03-2026</t>
        </is>
      </c>
      <c r="H14445" t="inlineStr">
        <is>
          <t>31/03/2026</t>
        </is>
      </c>
      <c r="I14445" t="inlineStr">
        <is>
          <t>17/03/2026</t>
        </is>
      </c>
      <c r="J14445" t="inlineStr">
        <is>
          <t>Điện / Điện tử / Điện lạnh / Điện công nghiệp</t>
        </is>
      </c>
      <c r="K14445" t="inlineStr">
        <is>
          <t>2 - 10 Năm</t>
        </is>
      </c>
      <c r="L14445" s="8">
        <f>HYPERLINK("https://careerviet.vn/vi/tim-viec-lam/nhan-vien-bao-tri-quan-10-go-vap.35C6BECD.html","Xem chi tiết")</f>
        <v/>
      </c>
    </row>
    <row r="14446">
      <c r="B14446" s="9" t="n">
        <v>14444</v>
      </c>
      <c r="C14446" s="10" t="inlineStr">
        <is>
          <t>Nhân Viên Kinh Doanh / Sales Thị Trường Phú Quốc</t>
        </is>
      </c>
      <c r="D14446" s="10" t="inlineStr">
        <is>
          <t>NANOCO GROUP</t>
        </is>
      </c>
      <c r="E14446" s="10" t="inlineStr">
        <is>
          <t>Lương:Cạnh tranh</t>
        </is>
      </c>
      <c r="F14446" s="10" t="inlineStr">
        <is>
          <t>Kiên Giang</t>
        </is>
      </c>
      <c r="G14446" s="10" t="inlineStr">
        <is>
          <t>10-04-2026</t>
        </is>
      </c>
      <c r="H14446" s="10" t="inlineStr">
        <is>
          <t>10/04/2026</t>
        </is>
      </c>
      <c r="I14446" s="10" t="inlineStr">
        <is>
          <t>17/03/2026</t>
        </is>
      </c>
      <c r="J14446" s="10" t="inlineStr">
        <is>
          <t>Bán hàng / Kinh doanh, Bán lẻ / Bán sỉ, Tiếp thị / Marketing</t>
        </is>
      </c>
      <c r="K14446" s="10" t="inlineStr">
        <is>
          <t>1 - 10 Năm</t>
        </is>
      </c>
      <c r="L14446" s="11">
        <f>HYPERLINK("https://careerviet.vn/vi/tim-viec-lam/nhan-vien-kinh-doanh-sales-thi-truong-phu-quoc.35C6BEAB.html","Xem chi tiết")</f>
        <v/>
      </c>
      <c r="M14446" s="10" t="n"/>
    </row>
    <row r="14447">
      <c r="B14447" s="7" t="n">
        <v>14445</v>
      </c>
      <c r="C14447" t="inlineStr">
        <is>
          <t>Chuyên viên Thẩm định Tín dụng - Trung tâm Kinh Doanh</t>
        </is>
      </c>
      <c r="D14447" t="inlineStr">
        <is>
          <t>Indovina Bank Ltd.</t>
        </is>
      </c>
      <c r="E14447" t="inlineStr">
        <is>
          <t>Lương:Cạnh tranh</t>
        </is>
      </c>
      <c r="F14447" t="inlineStr">
        <is>
          <t>Hồ Chí Minh</t>
        </is>
      </c>
      <c r="G14447" t="inlineStr">
        <is>
          <t>30-04-2026</t>
        </is>
      </c>
      <c r="H14447" t="inlineStr">
        <is>
          <t>30/04/2026</t>
        </is>
      </c>
      <c r="I14447" t="inlineStr">
        <is>
          <t>17/03/2026</t>
        </is>
      </c>
      <c r="J14447" t="inlineStr">
        <is>
          <t>Dịch vụ khách hàng, Ngân hàng, Tài chính / Đầu tư</t>
        </is>
      </c>
      <c r="K14447" t="inlineStr">
        <is>
          <t>1 - 2 Năm</t>
        </is>
      </c>
      <c r="L14447" s="8">
        <f>HYPERLINK("https://careerviet.vn/vi/tim-viec-lam/chuyen-vien-tham-dinh-tin-dung-trung-tam-kinh-doanh.35C6BEC0.html","Xem chi tiết")</f>
        <v/>
      </c>
    </row>
    <row r="14448">
      <c r="B14448" s="9" t="n">
        <v>14446</v>
      </c>
      <c r="C14448" s="10" t="inlineStr">
        <is>
          <t>Kế toán thuế (Làm việc từ thứ 2 đến thứ 6)</t>
        </is>
      </c>
      <c r="D14448" s="10" t="inlineStr">
        <is>
          <t>Công ty TNHH Thiết bị y tế Phương Đông</t>
        </is>
      </c>
      <c r="E14448" s="10" t="inlineStr">
        <is>
          <t>Lương:13 Tr - 16 Tr VND</t>
        </is>
      </c>
      <c r="F14448" s="10" t="inlineStr">
        <is>
          <t>Bắc Ninh</t>
        </is>
      </c>
      <c r="G14448" s="10" t="inlineStr">
        <is>
          <t>30-03-2026</t>
        </is>
      </c>
      <c r="H14448" s="10" t="inlineStr">
        <is>
          <t>30/03/2026</t>
        </is>
      </c>
      <c r="I14448" s="10" t="inlineStr">
        <is>
          <t>17/03/2026</t>
        </is>
      </c>
      <c r="J14448" s="10" t="inlineStr">
        <is>
          <t>Kế toán / Kiểm toán</t>
        </is>
      </c>
      <c r="K14448" s="10" t="inlineStr">
        <is>
          <t>3 - 5 Năm</t>
        </is>
      </c>
      <c r="L14448" s="11">
        <f>HYPERLINK("https://careerviet.vn/vi/tim-viec-lam/ke-toan-thue-lam-viec-tu-thu-2-den-thu-6.35C6BEAD.html","Xem chi tiết")</f>
        <v/>
      </c>
      <c r="M14448" s="10" t="n"/>
    </row>
    <row r="14449">
      <c r="B14449" s="7" t="n">
        <v>14447</v>
      </c>
      <c r="C14449" t="inlineStr">
        <is>
          <t>Nhân viên phát triển nội dung và sản phẩm học tiếng Đức online</t>
        </is>
      </c>
      <c r="D14449" t="inlineStr">
        <is>
          <t>CÔNG TY CỔ PHẦN GECO AI</t>
        </is>
      </c>
      <c r="E14449" t="inlineStr">
        <is>
          <t>Lương:9 Tr - 12 Tr VND</t>
        </is>
      </c>
      <c r="F14449" t="inlineStr">
        <is>
          <t>Hà Nội</t>
        </is>
      </c>
      <c r="G14449" t="inlineStr">
        <is>
          <t>31-03-2026</t>
        </is>
      </c>
      <c r="H14449" t="inlineStr">
        <is>
          <t>31/03/2026</t>
        </is>
      </c>
      <c r="I14449" t="inlineStr">
        <is>
          <t>17/03/2026</t>
        </is>
      </c>
      <c r="J14449" t="inlineStr">
        <is>
          <t>Giáo dục / Đào tạo</t>
        </is>
      </c>
      <c r="K14449" t="inlineStr">
        <is>
          <t>Chưa có kinh nghiệm</t>
        </is>
      </c>
      <c r="L14449" s="8">
        <f>HYPERLINK("https://careerviet.vn/vi/tim-viec-lam/nhan-vien-phat-trien-noi-dung-va-san-pham-hoc-tieng-duc-online.35C6BEAF.html","Xem chi tiết")</f>
        <v/>
      </c>
    </row>
    <row r="14450">
      <c r="B14450" s="9" t="n">
        <v>14448</v>
      </c>
      <c r="C14450" s="10" t="inlineStr">
        <is>
          <t>Chuyên viên chính/ Chuyên viên cao cấp phân tích nghiệp vụ (Dự án EDW) - TNTalent</t>
        </is>
      </c>
      <c r="D14450" s="10" t="inlineStr">
        <is>
          <t>Tập đoàn ROX (ROX Group)</t>
        </is>
      </c>
      <c r="E14450" s="10" t="inlineStr">
        <is>
          <t>Lương:Cạnh tranh</t>
        </is>
      </c>
      <c r="F14450" s="10" t="inlineStr">
        <is>
          <t>Hà Nội</t>
        </is>
      </c>
      <c r="G14450" s="10" t="inlineStr">
        <is>
          <t>19-04-2026</t>
        </is>
      </c>
      <c r="H14450" s="10" t="inlineStr">
        <is>
          <t>19/04/2026</t>
        </is>
      </c>
      <c r="I14450" s="10" t="inlineStr">
        <is>
          <t>17/03/2026</t>
        </is>
      </c>
      <c r="J14450" s="10" t="inlineStr">
        <is>
          <t>Nhân sự</t>
        </is>
      </c>
      <c r="K14450" s="10" t="inlineStr">
        <is>
          <t>Trên 3 Năm</t>
        </is>
      </c>
      <c r="L14450" s="11">
        <f>HYPERLINK("https://careerviet.vn/vi/tim-viec-lam/chuyen-vien-chinh-chuyen-vien-cao-cap-phan-tich-nghiep-vu-du-an-edw-tntalent.35C6BEBE.html","Xem chi tiết")</f>
        <v/>
      </c>
      <c r="M14450" s="10" t="n"/>
    </row>
    <row r="14451">
      <c r="B14451" s="7" t="n">
        <v>14449</v>
      </c>
      <c r="C14451" t="inlineStr">
        <is>
          <t>Nhân Viên Chăm Sóc Khách Hàng KOL-KOC Kênh Youtube</t>
        </is>
      </c>
      <c r="D14451" t="inlineStr">
        <is>
          <t>Công Ty TNHH Việt Mỹ-SSU</t>
        </is>
      </c>
      <c r="E14451" t="inlineStr">
        <is>
          <t>Lương:6 Tr - 9 Tr VND</t>
        </is>
      </c>
      <c r="F14451" t="inlineStr">
        <is>
          <t>Hồ Chí Minh</t>
        </is>
      </c>
      <c r="G14451" t="inlineStr">
        <is>
          <t>27-03-2026</t>
        </is>
      </c>
      <c r="H14451" t="inlineStr">
        <is>
          <t>27/03/2026</t>
        </is>
      </c>
      <c r="I14451" t="inlineStr">
        <is>
          <t>17/03/2026</t>
        </is>
      </c>
      <c r="J14451" t="inlineStr">
        <is>
          <t>Thương mại điện tử, Tư vấn, Dịch vụ khách hàng</t>
        </is>
      </c>
      <c r="K14451" t="inlineStr">
        <is>
          <t>Lên đến 1 Năm</t>
        </is>
      </c>
      <c r="L14451" s="8">
        <f>HYPERLINK("https://careerviet.vn/vi/tim-viec-lam/nhan-vien-cham-soc-khach-hang-kol-koc-kenh-youtube.35C696AF.html","Xem chi tiết")</f>
        <v/>
      </c>
    </row>
    <row r="14452">
      <c r="B14452" s="9" t="n">
        <v>14450</v>
      </c>
      <c r="C14452" s="10" t="inlineStr">
        <is>
          <t>Nhân viên sales phụ trách kênh đại lý</t>
        </is>
      </c>
      <c r="D14452" s="10" t="inlineStr">
        <is>
          <t>CÔNG TY TNHH THƯƠNG MẠI CƠ ĐIỆN KIÊN THÀNH</t>
        </is>
      </c>
      <c r="E14452" s="10" t="inlineStr">
        <is>
          <t>Lương:10 Tr - 50 Tr VND</t>
        </is>
      </c>
      <c r="F14452" s="10" t="inlineStr">
        <is>
          <t>Hồ Chí Minh</t>
        </is>
      </c>
      <c r="G14452" s="10" t="inlineStr">
        <is>
          <t>30-04-2026</t>
        </is>
      </c>
      <c r="H14452" s="10" t="inlineStr">
        <is>
          <t>30/04/2026</t>
        </is>
      </c>
      <c r="I14452" s="10" t="inlineStr">
        <is>
          <t>17/03/2026</t>
        </is>
      </c>
      <c r="J14452" s="10" t="inlineStr">
        <is>
          <t>Bán lẻ / Bán sỉ, Bán hàng / Kinh doanh, Tiếp thị / Marketing</t>
        </is>
      </c>
      <c r="K14452" s="10" t="inlineStr">
        <is>
          <t>2 - 5 Năm</t>
        </is>
      </c>
      <c r="L14452" s="11">
        <f>HYPERLINK("https://careerviet.vn/vi/tim-viec-lam/nhan-vien-sales-phu-trach-kenh-dai-ly.35C6BEA9.html","Xem chi tiết")</f>
        <v/>
      </c>
      <c r="M14452" s="10" t="n"/>
    </row>
    <row r="14453">
      <c r="B14453" s="7" t="n">
        <v>14451</v>
      </c>
      <c r="C14453" t="inlineStr">
        <is>
          <t>HCM - Nhân viên Lái xe văn phòng</t>
        </is>
      </c>
      <c r="D14453" t="inlineStr">
        <is>
          <t>Công ty TNHH Thiên Thủy Mộc</t>
        </is>
      </c>
      <c r="E14453" t="inlineStr">
        <is>
          <t>Lương:10 Tr - 11 Tr VND</t>
        </is>
      </c>
      <c r="F14453" t="inlineStr">
        <is>
          <t>Hồ Chí Minh</t>
        </is>
      </c>
      <c r="G14453" t="inlineStr">
        <is>
          <t>26-03-2026</t>
        </is>
      </c>
      <c r="H14453" t="inlineStr">
        <is>
          <t>26/03/2026</t>
        </is>
      </c>
      <c r="I14453" t="inlineStr">
        <is>
          <t>17/03/2026</t>
        </is>
      </c>
      <c r="J14453" t="inlineStr">
        <is>
          <t>Vận chuyển / Giao nhận / Kho vận</t>
        </is>
      </c>
      <c r="K14453" t="inlineStr">
        <is>
          <t>1 - 2 Năm</t>
        </is>
      </c>
      <c r="L14453" s="8">
        <f>HYPERLINK("https://careerviet.vn/vi/tim-viec-lam/hcm-nhan-vien-lai-xe-van-phong.35C69880.html","Xem chi tiết")</f>
        <v/>
      </c>
    </row>
    <row r="14454">
      <c r="B14454" s="9" t="n">
        <v>14452</v>
      </c>
      <c r="C14454" s="10" t="inlineStr">
        <is>
          <t>Kỹ Sư QS</t>
        </is>
      </c>
      <c r="D14454" s="10" t="inlineStr">
        <is>
          <t>Công ty cổ phần Tập đoàn Danko</t>
        </is>
      </c>
      <c r="E14454" s="10" t="inlineStr">
        <is>
          <t>Lương:22 Tr - 26 Tr VND</t>
        </is>
      </c>
      <c r="F14454" s="10" t="inlineStr">
        <is>
          <t>Bắc GiangThái NguyênThanh Hóa</t>
        </is>
      </c>
      <c r="G14454" s="10" t="inlineStr">
        <is>
          <t>30-03-2026</t>
        </is>
      </c>
      <c r="H14454" s="10" t="inlineStr">
        <is>
          <t>30/03/2026</t>
        </is>
      </c>
      <c r="I14454" s="10" t="inlineStr">
        <is>
          <t>17/03/2026</t>
        </is>
      </c>
      <c r="J14454" s="10" t="inlineStr">
        <is>
          <t>Kiến trúc, Xây dựng, Bất động sản</t>
        </is>
      </c>
      <c r="K14454" s="10" t="inlineStr">
        <is>
          <t>3 - 5 Năm</t>
        </is>
      </c>
      <c r="L14454" s="11">
        <f>HYPERLINK("https://careerviet.vn/vi/tim-viec-lam/ky-su-qs.35C6948E.html","Xem chi tiết")</f>
        <v/>
      </c>
      <c r="M14454" s="10" t="n"/>
    </row>
    <row r="14455">
      <c r="B14455" s="7" t="n">
        <v>14453</v>
      </c>
      <c r="C14455" t="inlineStr">
        <is>
          <t>Giao dịch viên khu vực Hà Nội</t>
        </is>
      </c>
      <c r="D14455" t="inlineStr">
        <is>
          <t>Ngân Hàng TMCP Quốc Dân (NCB)</t>
        </is>
      </c>
      <c r="E14455" t="inlineStr">
        <is>
          <t>Lương:Cạnh tranh</t>
        </is>
      </c>
      <c r="F14455" t="inlineStr">
        <is>
          <t>Hà Nội</t>
        </is>
      </c>
      <c r="G14455" t="inlineStr">
        <is>
          <t>25-03-2026</t>
        </is>
      </c>
      <c r="H14455" t="inlineStr">
        <is>
          <t>25/03/2026</t>
        </is>
      </c>
      <c r="I14455" t="inlineStr">
        <is>
          <t>17/03/2026</t>
        </is>
      </c>
      <c r="J14455" t="inlineStr">
        <is>
          <t>Ngân hàng, Tư vấn, Dịch vụ khách hàng</t>
        </is>
      </c>
      <c r="K14455" t="inlineStr">
        <is>
          <t>Trên 1 Năm</t>
        </is>
      </c>
      <c r="L14455" s="8">
        <f>HYPERLINK("https://careerviet.vn/vi/tim-viec-lam/giao-dich-vien-khu-vuc-ha-noi.35C69788.html","Xem chi tiết")</f>
        <v/>
      </c>
    </row>
    <row r="14456">
      <c r="B14456" s="9" t="n">
        <v>14454</v>
      </c>
      <c r="C14456" s="10" t="inlineStr">
        <is>
          <t>Kiểm toán viên (mảng Công nghệ, Dữ liệu) - Auditor (IT, Model, Data) - Cơ quan Kiểm toán nội bộ (HO26.53)</t>
        </is>
      </c>
      <c r="D14456" s="10" t="inlineStr">
        <is>
          <t>Ngân Hàng TMCP Quân Đội</t>
        </is>
      </c>
      <c r="E14456" s="10" t="inlineStr">
        <is>
          <t>Lương:Cạnh tranh</t>
        </is>
      </c>
      <c r="F14456" s="10" t="inlineStr">
        <is>
          <t>Hà Nội</t>
        </is>
      </c>
      <c r="G14456" s="10" t="inlineStr">
        <is>
          <t>26-03-2026</t>
        </is>
      </c>
      <c r="H14456" s="10" t="inlineStr">
        <is>
          <t>26/03/2026</t>
        </is>
      </c>
      <c r="I14456" s="10" t="inlineStr">
        <is>
          <t>17/03/2026</t>
        </is>
      </c>
      <c r="J14456" s="10" t="inlineStr">
        <is>
          <t>Ngân hàng, Tài chính / Đầu tư, Kế toán / Kiểm toán</t>
        </is>
      </c>
      <c r="K14456" s="10" t="inlineStr">
        <is>
          <t>Trên 3 Năm</t>
        </is>
      </c>
      <c r="L14456" s="11">
        <f>HYPERLINK("https://careerviet.vn/vi/tim-viec-lam/kiem-toan-vien-mang-cong-nghe-du-lieu-auditor-it-model-data-co-quan-kiem-toan-noi-bo-ho26-53.35C698A0.html","Xem chi tiết")</f>
        <v/>
      </c>
      <c r="M14456" s="10" t="n"/>
    </row>
    <row r="14457">
      <c r="B14457" s="7" t="n">
        <v>14455</v>
      </c>
      <c r="C14457" t="inlineStr">
        <is>
          <t>Nhân Viên Hành Chính Nhân Sự Nhà Máy</t>
        </is>
      </c>
      <c r="D14457" t="inlineStr">
        <is>
          <t>Công ty TNHH Thực Phẩm Sạch Thương Mại T&amp;P</t>
        </is>
      </c>
      <c r="E14457" t="inlineStr">
        <is>
          <t>Lương:8 Tr - 10 Tr VND</t>
        </is>
      </c>
      <c r="F14457" t="inlineStr">
        <is>
          <t>Bắc Ninh</t>
        </is>
      </c>
      <c r="G14457" t="inlineStr">
        <is>
          <t>31-03-2026</t>
        </is>
      </c>
      <c r="H14457" t="inlineStr">
        <is>
          <t>31/03/2026</t>
        </is>
      </c>
      <c r="I14457" t="inlineStr">
        <is>
          <t>17/03/2026</t>
        </is>
      </c>
      <c r="J14457" t="inlineStr">
        <is>
          <t>Hành chính / Thư ký, Kế toán / Kiểm toán</t>
        </is>
      </c>
      <c r="K14457" t="inlineStr">
        <is>
          <t>N/A</t>
        </is>
      </c>
      <c r="L14457" s="8">
        <f>HYPERLINK("https://careerviet.vn/vi/tim-viec-lam/nhan-vien-hanh-chinh-nhan-su-nha-may.35C69718.html","Xem chi tiết")</f>
        <v/>
      </c>
    </row>
    <row r="14458">
      <c r="B14458" s="9" t="n">
        <v>14456</v>
      </c>
      <c r="C14458" s="10" t="inlineStr">
        <is>
          <t>Hoài Đức (Hà Nội)- Nhân viên lái xe vận chuyển</t>
        </is>
      </c>
      <c r="D14458" s="10" t="inlineStr">
        <is>
          <t>Cty TNHH Yakult Việt Nam</t>
        </is>
      </c>
      <c r="E14458" s="10" t="inlineStr">
        <is>
          <t>Lương:10 Tr - 14 Tr VND</t>
        </is>
      </c>
      <c r="F14458" s="10" t="inlineStr">
        <is>
          <t>Hà Nội</t>
        </is>
      </c>
      <c r="G14458" s="10" t="inlineStr">
        <is>
          <t>30-04-2026</t>
        </is>
      </c>
      <c r="H14458" s="10" t="inlineStr">
        <is>
          <t>30/04/2026</t>
        </is>
      </c>
      <c r="I14458" s="10" t="inlineStr">
        <is>
          <t>17/03/2026</t>
        </is>
      </c>
      <c r="J14458" s="10" t="inlineStr">
        <is>
          <t>Bán hàng / Kinh doanh</t>
        </is>
      </c>
      <c r="K14458" s="10" t="inlineStr">
        <is>
          <t>2 - 3 Năm</t>
        </is>
      </c>
      <c r="L14458" s="11">
        <f>HYPERLINK("https://careerviet.vn/vi/tim-viec-lam/hoai-duc-ha-noi-nhan-vien-lai-xe-van-chuyen.35C6BEAE.html","Xem chi tiết")</f>
        <v/>
      </c>
      <c r="M14458" s="10" t="n"/>
    </row>
    <row r="14459">
      <c r="B14459" s="7" t="n">
        <v>14457</v>
      </c>
      <c r="C14459" t="inlineStr">
        <is>
          <t>Training Management (Manager/Supervisor/Head)</t>
        </is>
      </c>
      <c r="D14459" t="inlineStr">
        <is>
          <t>CÔNG TY TNHH HWASEUNG VINA</t>
        </is>
      </c>
      <c r="E14459" t="inlineStr">
        <is>
          <t>Lương:Cạnh tranh</t>
        </is>
      </c>
      <c r="F14459" t="inlineStr">
        <is>
          <t>Đồng NaiHồ Chí Minh</t>
        </is>
      </c>
      <c r="G14459" t="inlineStr">
        <is>
          <t>31-03-2026</t>
        </is>
      </c>
      <c r="H14459" t="inlineStr">
        <is>
          <t>31/03/2026</t>
        </is>
      </c>
      <c r="I14459" t="inlineStr">
        <is>
          <t>17/03/2026</t>
        </is>
      </c>
      <c r="J14459" t="inlineStr">
        <is>
          <t>Giáo dục / Đào tạo, Nhân sự, Quảng cáo / Đối ngoại / Truyền Thông</t>
        </is>
      </c>
      <c r="K14459" t="inlineStr">
        <is>
          <t>2 - 15 Năm</t>
        </is>
      </c>
      <c r="L14459" s="8">
        <f>HYPERLINK("https://careerviet.vn/vi/tim-viec-lam/training-management-manager-supervisor-head.35C694E3.html","Xem chi tiết")</f>
        <v/>
      </c>
    </row>
    <row r="14460">
      <c r="B14460" s="9" t="n">
        <v>14458</v>
      </c>
      <c r="C14460" s="10" t="inlineStr">
        <is>
          <t>QUẢN LÝ KHU VỰC (ANM) - THÁI NGUYÊN</t>
        </is>
      </c>
      <c r="D14460" s="10" t="inlineStr">
        <is>
          <t>Công Ty TNHH BEST Logistics Technology (Việt Nam)</t>
        </is>
      </c>
      <c r="E14460" s="10" t="inlineStr">
        <is>
          <t>Lương:22 Tr - 40 Tr VND</t>
        </is>
      </c>
      <c r="F14460" s="10" t="inlineStr">
        <is>
          <t>Thái Nguyên</t>
        </is>
      </c>
      <c r="G14460" s="10" t="inlineStr">
        <is>
          <t>31-03-2026</t>
        </is>
      </c>
      <c r="H14460" s="10" t="inlineStr">
        <is>
          <t>31/03/2026</t>
        </is>
      </c>
      <c r="I14460" s="10" t="inlineStr">
        <is>
          <t>17/03/2026</t>
        </is>
      </c>
      <c r="J14460" s="10" t="inlineStr">
        <is>
          <t>Vận chuyển / Giao nhận / Kho vận</t>
        </is>
      </c>
      <c r="K14460" s="10" t="inlineStr">
        <is>
          <t>1 - 5 Năm</t>
        </is>
      </c>
      <c r="L14460" s="11">
        <f>HYPERLINK("https://careerviet.vn/vi/tim-viec-lam/quan-ly-khu-vuc-anm-thai-nguyen.35C695A5.html","Xem chi tiết")</f>
        <v/>
      </c>
      <c r="M14460" s="10" t="n"/>
    </row>
    <row r="14461">
      <c r="B14461" s="7" t="n">
        <v>14459</v>
      </c>
      <c r="C14461" t="inlineStr">
        <is>
          <t>Nhân viên Sale Admin- Hà Nội</t>
        </is>
      </c>
      <c r="D14461" t="inlineStr">
        <is>
          <t>CÔNG TY TNHH MTV KỸ THUẬT TÚ LỘC</t>
        </is>
      </c>
      <c r="E14461" t="inlineStr">
        <is>
          <t>Lương:10 Tr - 12 Tr VND</t>
        </is>
      </c>
      <c r="F14461" t="inlineStr">
        <is>
          <t>Hà Nội</t>
        </is>
      </c>
      <c r="G14461" t="inlineStr">
        <is>
          <t>10-03-2026</t>
        </is>
      </c>
      <c r="H14461" t="inlineStr">
        <is>
          <t>16/03/2026</t>
        </is>
      </c>
      <c r="I14461" t="inlineStr">
        <is>
          <t>17/03/2026</t>
        </is>
      </c>
      <c r="J14461" t="inlineStr">
        <is>
          <t>Bán hàng / Kinh doanh, Hành chính / Thư ký, Cơ khí / Ô tô / Tự động hóa</t>
        </is>
      </c>
      <c r="K14461" t="inlineStr">
        <is>
          <t>1 - 2 Năm</t>
        </is>
      </c>
      <c r="L14461" s="8">
        <f>HYPERLINK("https://careerviet.vn/vi/tim-viec-lam/nhan-vien-sale-admin-ha-noi.35C694C8.html","Xem chi tiết")</f>
        <v/>
      </c>
    </row>
    <row r="14462">
      <c r="B14462" s="9" t="n">
        <v>14460</v>
      </c>
      <c r="C14462" s="10" t="inlineStr">
        <is>
          <t>Nhân viên vận hành trạm xử lý nước thải</t>
        </is>
      </c>
      <c r="D14462" s="10" t="inlineStr">
        <is>
          <t>Tập Đoàn Tân Á Đại Thành</t>
        </is>
      </c>
      <c r="E14462" s="10" t="inlineStr">
        <is>
          <t>Lương:10 Tr - 12 Tr VND</t>
        </is>
      </c>
      <c r="F14462" s="10" t="inlineStr">
        <is>
          <t>Long An</t>
        </is>
      </c>
      <c r="G14462" s="10" t="inlineStr">
        <is>
          <t>31-03-2026</t>
        </is>
      </c>
      <c r="H14462" s="10" t="inlineStr">
        <is>
          <t>31/03/2026</t>
        </is>
      </c>
      <c r="I14462" s="10" t="inlineStr">
        <is>
          <t>17/03/2026</t>
        </is>
      </c>
      <c r="J14462" s="10" t="inlineStr">
        <is>
          <t>Môi trường</t>
        </is>
      </c>
      <c r="K14462" s="10" t="inlineStr">
        <is>
          <t>Chưa có kinh nghiệm</t>
        </is>
      </c>
      <c r="L14462" s="11">
        <f>HYPERLINK("https://careerviet.vn/vi/tim-viec-lam/nhan-vien-van-hanh-tram-xu-ly-nuoc-thai.35C697CC.html","Xem chi tiết")</f>
        <v/>
      </c>
      <c r="M14462" s="10" t="n"/>
    </row>
    <row r="14463">
      <c r="B14463" s="7" t="n">
        <v>14461</v>
      </c>
      <c r="C14463" t="inlineStr">
        <is>
          <t>Sales Manager (Payroll Outsourcing)</t>
        </is>
      </c>
      <c r="D14463" t="inlineStr">
        <is>
          <t>Công ty TNHH Cadena Việt Nam</t>
        </is>
      </c>
      <c r="E14463" t="inlineStr">
        <is>
          <t>Lương:Cạnh tranh</t>
        </is>
      </c>
      <c r="F14463" t="inlineStr">
        <is>
          <t>Hồ Chí Minh</t>
        </is>
      </c>
      <c r="G14463" t="inlineStr">
        <is>
          <t>25-03-2026</t>
        </is>
      </c>
      <c r="H14463" t="inlineStr">
        <is>
          <t>25/03/2026</t>
        </is>
      </c>
      <c r="I14463" t="inlineStr">
        <is>
          <t>17/03/2026</t>
        </is>
      </c>
      <c r="J14463" t="inlineStr">
        <is>
          <t>Tiếp thị / Marketing, Nhân sự, CNTT - Phần mềm</t>
        </is>
      </c>
      <c r="K14463" t="inlineStr">
        <is>
          <t>5 - 7 Năm</t>
        </is>
      </c>
      <c r="L14463" s="8">
        <f>HYPERLINK("https://careerviet.vn/vi/tim-viec-lam/sales-manager-payroll-outsourcing.35C697F0.html","Xem chi tiết")</f>
        <v/>
      </c>
    </row>
    <row r="14464">
      <c r="B14464" s="9" t="n">
        <v>14462</v>
      </c>
      <c r="C14464" s="10" t="inlineStr">
        <is>
          <t>Nhân Viên Sales Admin</t>
        </is>
      </c>
      <c r="D14464" s="10" t="inlineStr">
        <is>
          <t>TED SAIGON</t>
        </is>
      </c>
      <c r="E14464" s="10" t="inlineStr">
        <is>
          <t>Lương:10 Tr - 12 Tr VND</t>
        </is>
      </c>
      <c r="F14464" s="10" t="inlineStr">
        <is>
          <t>Hồ Chí Minh</t>
        </is>
      </c>
      <c r="G14464" s="10" t="inlineStr">
        <is>
          <t>26-03-2026</t>
        </is>
      </c>
      <c r="H14464" s="10" t="inlineStr">
        <is>
          <t>26/03/2026</t>
        </is>
      </c>
      <c r="I14464" s="10" t="inlineStr">
        <is>
          <t>17/03/2026</t>
        </is>
      </c>
      <c r="J14464" s="10" t="inlineStr">
        <is>
          <t>Hành chính / Thư ký, Giáo dục / Đào tạo, Tư vấn</t>
        </is>
      </c>
      <c r="K14464" s="10" t="inlineStr">
        <is>
          <t>1 - 2 Năm</t>
        </is>
      </c>
      <c r="L14464" s="11">
        <f>HYPERLINK("https://careerviet.vn/vi/tim-viec-lam/nhan-vien-sales-admin.35C6982F.html","Xem chi tiết")</f>
        <v/>
      </c>
      <c r="M14464" s="10" t="n"/>
    </row>
    <row r="14465">
      <c r="B14465" s="7" t="n">
        <v>14463</v>
      </c>
      <c r="C14465" t="inlineStr">
        <is>
          <t>[Khối NS&amp;DVNB] CV/CVC/CVCC Tiền lương và Chế độ đãi ngộ</t>
        </is>
      </c>
      <c r="D14465" t="inlineStr">
        <is>
          <t>Ngân hàng TMCP Lộc Phát Việt Nam (LPBank)</t>
        </is>
      </c>
      <c r="E14465" t="inlineStr">
        <is>
          <t>Lương:Cạnh tranh</t>
        </is>
      </c>
      <c r="F14465" t="inlineStr">
        <is>
          <t>Hà Nội</t>
        </is>
      </c>
      <c r="G14465" t="inlineStr">
        <is>
          <t>27-03-2026</t>
        </is>
      </c>
      <c r="H14465" t="inlineStr">
        <is>
          <t>27/03/2026</t>
        </is>
      </c>
      <c r="I14465" t="inlineStr">
        <is>
          <t>17/03/2026</t>
        </is>
      </c>
      <c r="J14465" t="inlineStr">
        <is>
          <t>Kế toán / Kiểm toán, Ngân hàng, Nhân sự</t>
        </is>
      </c>
      <c r="K14465" t="inlineStr">
        <is>
          <t>Trên 2 Năm</t>
        </is>
      </c>
      <c r="L14465" s="8">
        <f>HYPERLINK("https://careerviet.vn/vi/tim-viec-lam/khoi-ns-dvnb-cv-cvc-cvcc-tien-luong-va-che-do-dai-ngo.35C6956C.html","Xem chi tiết")</f>
        <v/>
      </c>
    </row>
    <row r="14466">
      <c r="B14466" s="9" t="n">
        <v>14464</v>
      </c>
      <c r="C14466" s="10" t="inlineStr">
        <is>
          <t>Key Account Manager</t>
        </is>
      </c>
      <c r="D14466" s="10" t="inlineStr">
        <is>
          <t>CÔNG TY TNHH PHÂN PHỐI NƯỚC GIẢI KHÁT QUỐC TẾ</t>
        </is>
      </c>
      <c r="E14466" s="10" t="inlineStr">
        <is>
          <t>Lương:15 Tr - 25 Tr VND</t>
        </is>
      </c>
      <c r="F14466" s="10" t="inlineStr">
        <is>
          <t>Hồ Chí Minh</t>
        </is>
      </c>
      <c r="G14466" s="10" t="inlineStr">
        <is>
          <t>25-03-2026</t>
        </is>
      </c>
      <c r="H14466" s="10" t="inlineStr">
        <is>
          <t>25/03/2026</t>
        </is>
      </c>
      <c r="I14466" s="10" t="inlineStr">
        <is>
          <t>17/03/2026</t>
        </is>
      </c>
      <c r="J14466" s="10" t="inlineStr">
        <is>
          <t>Bán hàng / Kinh doanh</t>
        </is>
      </c>
      <c r="K14466" s="10" t="inlineStr">
        <is>
          <t>Trên 3 Năm</t>
        </is>
      </c>
      <c r="L14466" s="11">
        <f>HYPERLINK("https://careerviet.vn/vi/tim-viec-lam/key-account-manager.35C6972D.html","Xem chi tiết")</f>
        <v/>
      </c>
      <c r="M14466" s="10" t="n"/>
    </row>
    <row r="14467">
      <c r="B14467" s="7" t="n">
        <v>14465</v>
      </c>
      <c r="C14467" t="inlineStr">
        <is>
          <t>Giám sát hiện trường công trình (Không yêu cầu kinh nghiệm)</t>
        </is>
      </c>
      <c r="D14467" t="inlineStr">
        <is>
          <t>CÔNG TY CỔ PHẦN CƠ ĐIỆN VÀ PCCC THĂNG LONG</t>
        </is>
      </c>
      <c r="E14467" t="inlineStr">
        <is>
          <t>Lương:10 Tr - 15 Tr VND</t>
        </is>
      </c>
      <c r="F14467" t="inlineStr">
        <is>
          <t>Hà NộiQuảng NinhHải Phòng</t>
        </is>
      </c>
      <c r="G14467" t="inlineStr">
        <is>
          <t>31-03-2026</t>
        </is>
      </c>
      <c r="H14467" t="inlineStr">
        <is>
          <t>31/03/2026</t>
        </is>
      </c>
      <c r="I14467" t="inlineStr">
        <is>
          <t>17/03/2026</t>
        </is>
      </c>
      <c r="J14467" t="inlineStr">
        <is>
          <t>Cơ khí / Ô tô / Tự động hóa, Điện / Điện tử / Điện lạnh / Điện công nghiệp, Xây dựng</t>
        </is>
      </c>
      <c r="K14467" t="inlineStr">
        <is>
          <t>N/A</t>
        </is>
      </c>
      <c r="L14467" s="8">
        <f>HYPERLINK("https://careerviet.vn/vi/tim-viec-lam/giam-sat-hien-truong-cong-trinh-khong-yeu-cau-kinh-nghiem.35C695B0.html","Xem chi tiết")</f>
        <v/>
      </c>
    </row>
    <row r="14468">
      <c r="B14468" s="9" t="n">
        <v>14466</v>
      </c>
      <c r="C14468" s="10" t="inlineStr">
        <is>
          <t>Nhân viên kinh doanh</t>
        </is>
      </c>
      <c r="D14468" s="10" t="inlineStr">
        <is>
          <t>CÔNG TY CỔ PHẦN Ô TÔ NHẬT THÀNH</t>
        </is>
      </c>
      <c r="E14468" s="10" t="inlineStr">
        <is>
          <t>Lương:7 Tr - 20 Tr VND</t>
        </is>
      </c>
      <c r="F14468" s="10" t="inlineStr">
        <is>
          <t>Hà Nội</t>
        </is>
      </c>
      <c r="G14468" s="10" t="inlineStr">
        <is>
          <t>31-03-2026</t>
        </is>
      </c>
      <c r="H14468" s="10" t="inlineStr">
        <is>
          <t>31/03/2026</t>
        </is>
      </c>
      <c r="I14468" s="10" t="inlineStr">
        <is>
          <t>17/03/2026</t>
        </is>
      </c>
      <c r="J14468" s="10" t="inlineStr">
        <is>
          <t>Bán hàng / Kinh doanh, Tư vấn, Cơ khí / Ô tô / Tự động hóa</t>
        </is>
      </c>
      <c r="K14468" s="10" t="inlineStr">
        <is>
          <t>Trên 1 Năm</t>
        </is>
      </c>
      <c r="L14468" s="11">
        <f>HYPERLINK("https://careerviet.vn/vi/tim-viec-lam/nhan-vien-kinh-doanh.35C6979A.html","Xem chi tiết")</f>
        <v/>
      </c>
      <c r="M14468" s="10" t="n"/>
    </row>
    <row r="14469">
      <c r="B14469" s="7" t="n">
        <v>14467</v>
      </c>
      <c r="C14469" t="inlineStr">
        <is>
          <t>Giám sát bảo trì điện (Tiến Nga/ An Phước)</t>
        </is>
      </c>
      <c r="D14469" t="inlineStr">
        <is>
          <t>Công ty TNHH Olam Việt Nam</t>
        </is>
      </c>
      <c r="E14469" t="inlineStr">
        <is>
          <t>Lương:Cạnh tranh</t>
        </is>
      </c>
      <c r="F14469" t="inlineStr">
        <is>
          <t>Đồng Nai</t>
        </is>
      </c>
      <c r="G14469" t="inlineStr">
        <is>
          <t>24-03-2026</t>
        </is>
      </c>
      <c r="H14469" t="inlineStr">
        <is>
          <t>24/03/2026</t>
        </is>
      </c>
      <c r="I14469" t="inlineStr">
        <is>
          <t>17/03/2026</t>
        </is>
      </c>
      <c r="J14469" t="inlineStr">
        <is>
          <t>Bảo trì / Sửa chữa</t>
        </is>
      </c>
      <c r="K14469" t="inlineStr">
        <is>
          <t>N/A</t>
        </is>
      </c>
      <c r="L14469" s="8">
        <f>HYPERLINK("https://careerviet.vn/vi/tim-viec-lam/giam-sat-bao-tri-dien-tien-nga-an-phuoc.35C69613.html","Xem chi tiết")</f>
        <v/>
      </c>
    </row>
    <row r="14470">
      <c r="B14470" s="9" t="n">
        <v>14468</v>
      </c>
      <c r="C14470" s="10" t="inlineStr">
        <is>
          <t>HCM - TTS Kỹ Thuật (Ngành Điện - Nước - Xây dựng cơ bản)</t>
        </is>
      </c>
      <c r="D14470" s="10" t="inlineStr">
        <is>
          <t>Công ty TNHH Thiên Thủy Mộc</t>
        </is>
      </c>
      <c r="E14470" s="10" t="inlineStr">
        <is>
          <t>Lương:4 Tr - 5 Tr VND</t>
        </is>
      </c>
      <c r="F14470" s="10" t="inlineStr">
        <is>
          <t>Hồ Chí Minh</t>
        </is>
      </c>
      <c r="G14470" s="10" t="inlineStr">
        <is>
          <t>26-03-2026</t>
        </is>
      </c>
      <c r="H14470" s="10" t="inlineStr">
        <is>
          <t>26/03/2026</t>
        </is>
      </c>
      <c r="I14470" s="10" t="inlineStr">
        <is>
          <t>17/03/2026</t>
        </is>
      </c>
      <c r="J14470" s="10" t="inlineStr">
        <is>
          <t>Điện / Điện tử / Điện lạnh / Điện công nghiệp, Bảo trì / Sửa chữa, Xây dựng</t>
        </is>
      </c>
      <c r="K14470" s="10" t="inlineStr">
        <is>
          <t>N/A</t>
        </is>
      </c>
      <c r="L14470" s="11">
        <f>HYPERLINK("https://careerviet.vn/vi/tim-viec-lam/hcm-tts-ky-thuat-nganh-dien-nuoc-xay-dung-co-ban.35C6988C.html","Xem chi tiết")</f>
        <v/>
      </c>
      <c r="M14470" s="10" t="n"/>
    </row>
    <row r="14471">
      <c r="B14471" s="7" t="n">
        <v>14469</v>
      </c>
      <c r="C14471" t="inlineStr">
        <is>
          <t>KỸ SƯ ĐIỆN</t>
        </is>
      </c>
      <c r="D14471" t="inlineStr">
        <is>
          <t>CÔNG TY CP ĐẦU TƯ HẠ TẦNG KHU CÔNG NGHIỆP HÀ NỘI - BẮC GIANG</t>
        </is>
      </c>
      <c r="E14471" t="inlineStr">
        <is>
          <t>Lương:15 Tr - 25 Tr VND</t>
        </is>
      </c>
      <c r="F14471" t="inlineStr">
        <is>
          <t>Bắc Giang</t>
        </is>
      </c>
      <c r="G14471" t="inlineStr">
        <is>
          <t>01-05-2026</t>
        </is>
      </c>
      <c r="H14471" t="inlineStr">
        <is>
          <t>01/05/2026</t>
        </is>
      </c>
      <c r="I14471" t="inlineStr">
        <is>
          <t>17/03/2026</t>
        </is>
      </c>
      <c r="J14471" t="inlineStr">
        <is>
          <t>Điện / Điện tử / Điện lạnh / Điện công nghiệp, Xây dựng, Bất động sản</t>
        </is>
      </c>
      <c r="K14471" t="inlineStr">
        <is>
          <t>3 - 5 Năm</t>
        </is>
      </c>
      <c r="L14471" s="8">
        <f>HYPERLINK("https://careerviet.vn/vi/tim-viec-lam/ky-su-dien.35C6976F.html","Xem chi tiết")</f>
        <v/>
      </c>
    </row>
    <row r="14472">
      <c r="B14472" s="9" t="n">
        <v>14470</v>
      </c>
      <c r="C14472" s="10" t="inlineStr">
        <is>
          <t>NHÂN VIÊN BÁN HÀNG</t>
        </is>
      </c>
      <c r="D14472" s="10" t="inlineStr">
        <is>
          <t>Công ty cổ phần Okapi Việt Nam - Thương hiệu thời trang BADASS</t>
        </is>
      </c>
      <c r="E14472" s="10" t="inlineStr">
        <is>
          <t>Lương:7 Tr - 9 Tr VND</t>
        </is>
      </c>
      <c r="F14472" s="10" t="inlineStr">
        <is>
          <t>Phú Thọ</t>
        </is>
      </c>
      <c r="G14472" s="10" t="inlineStr">
        <is>
          <t>10-03-2026</t>
        </is>
      </c>
      <c r="H14472" s="10" t="inlineStr">
        <is>
          <t>11/03/2026</t>
        </is>
      </c>
      <c r="I14472" s="10" t="inlineStr">
        <is>
          <t>17/03/2026</t>
        </is>
      </c>
      <c r="J14472" s="10" t="inlineStr">
        <is>
          <t>Bán hàng / Kinh doanh, Dệt may / Da giày / Thời trang</t>
        </is>
      </c>
      <c r="K14472" s="10" t="inlineStr">
        <is>
          <t>N/A</t>
        </is>
      </c>
      <c r="L14472" s="11">
        <f>HYPERLINK("https://careerviet.vn/vi/tim-viec-lam/nhan-vien-ban-hang.35C64F15.html","Xem chi tiết")</f>
        <v/>
      </c>
      <c r="M14472" s="10" t="n"/>
    </row>
    <row r="14473">
      <c r="B14473" s="7" t="n">
        <v>14471</v>
      </c>
      <c r="C14473" t="inlineStr">
        <is>
          <t>Sale Manager - BĐS Thứ Cấp</t>
        </is>
      </c>
      <c r="D14473" t="inlineStr">
        <is>
          <t>CÔNG TY CỔ PHẦN CITICS</t>
        </is>
      </c>
      <c r="E14473" t="inlineStr">
        <is>
          <t>Lương:20 Tr - 30 Tr VND</t>
        </is>
      </c>
      <c r="F14473" t="inlineStr">
        <is>
          <t>Hồ Chí Minh</t>
        </is>
      </c>
      <c r="G14473" t="inlineStr">
        <is>
          <t>30-04-2026</t>
        </is>
      </c>
      <c r="H14473" t="inlineStr">
        <is>
          <t>30/04/2026</t>
        </is>
      </c>
      <c r="I14473" t="inlineStr">
        <is>
          <t>17/03/2026</t>
        </is>
      </c>
      <c r="J14473" t="inlineStr">
        <is>
          <t>Bất động sản</t>
        </is>
      </c>
      <c r="K14473" t="inlineStr">
        <is>
          <t>Trên 3 Năm</t>
        </is>
      </c>
      <c r="L14473" s="8">
        <f>HYPERLINK("https://careerviet.vn/vi/tim-viec-lam/sale-manager-bds-thu-cap.35C69885.html","Xem chi tiết")</f>
        <v/>
      </c>
    </row>
    <row r="14474">
      <c r="B14474" s="9" t="n">
        <v>14472</v>
      </c>
      <c r="C14474" s="10" t="inlineStr">
        <is>
          <t>Nhân Viên Kinh Doanh - Tiếng Hàn</t>
        </is>
      </c>
      <c r="D14474" s="10" t="inlineStr">
        <is>
          <t>Vietnam Concentrix Services Company Limited</t>
        </is>
      </c>
      <c r="E14474" s="10" t="inlineStr">
        <is>
          <t>Lương:21 Tr - 32 Tr VND</t>
        </is>
      </c>
      <c r="F14474" s="10" t="inlineStr">
        <is>
          <t>Hồ Chí Minh</t>
        </is>
      </c>
      <c r="G14474" s="10" t="inlineStr">
        <is>
          <t>24-03-2026</t>
        </is>
      </c>
      <c r="H14474" s="10" t="inlineStr">
        <is>
          <t>24/03/2026</t>
        </is>
      </c>
      <c r="I14474" s="10" t="inlineStr">
        <is>
          <t>17/03/2026</t>
        </is>
      </c>
      <c r="J14474" s="10" t="inlineStr">
        <is>
          <t>Bán hàng / Kinh doanh</t>
        </is>
      </c>
      <c r="K14474" s="10" t="inlineStr">
        <is>
          <t>1 - 2 Năm</t>
        </is>
      </c>
      <c r="L14474" s="11">
        <f>HYPERLINK("https://careerviet.vn/vi/tim-viec-lam/nhan-vien-kinh-doanh-tieng-han.35C697E7.html","Xem chi tiết")</f>
        <v/>
      </c>
      <c r="M14474" s="10" t="n"/>
    </row>
    <row r="14475">
      <c r="B14475" s="7" t="n">
        <v>14473</v>
      </c>
      <c r="C14475" t="inlineStr">
        <is>
          <t>Chuyên viên, Chuyên viên cao cấp mảng Chính sách rủi ro tín dụng - Credit Risk Policy Specialist, Senior Specialist - Khối Quản trị rủi ro (HO26.51)</t>
        </is>
      </c>
      <c r="D14475" t="inlineStr">
        <is>
          <t>Ngân Hàng TMCP Quân Đội</t>
        </is>
      </c>
      <c r="E14475" t="inlineStr">
        <is>
          <t>Lương:Cạnh tranh</t>
        </is>
      </c>
      <c r="F14475" t="inlineStr">
        <is>
          <t>Hà Nội</t>
        </is>
      </c>
      <c r="G14475" t="inlineStr">
        <is>
          <t>26-03-2026</t>
        </is>
      </c>
      <c r="H14475" t="inlineStr">
        <is>
          <t>26/03/2026</t>
        </is>
      </c>
      <c r="I14475" t="inlineStr">
        <is>
          <t>17/03/2026</t>
        </is>
      </c>
      <c r="J14475" t="inlineStr">
        <is>
          <t>Ngân hàng, Tài chính / Đầu tư, Luật / Pháp lý</t>
        </is>
      </c>
      <c r="K14475" t="inlineStr">
        <is>
          <t>Trên 3 Năm</t>
        </is>
      </c>
      <c r="L14475" s="8">
        <f>HYPERLINK("https://careerviet.vn/vi/tim-viec-lam/chuyen-vien-chuyen-vien-cao-cap-mang-chinh-sach-rui-ro-tin-dung-credit-risk-policy-specialist-senior-specialist-khoi-quan-tri-rui-ro-ho26-51.35C6989E.html","Xem chi tiết")</f>
        <v/>
      </c>
    </row>
    <row r="14476">
      <c r="B14476" s="9" t="n">
        <v>14474</v>
      </c>
      <c r="C14476" s="10" t="inlineStr">
        <is>
          <t>Chuyên viên cao cấp mảng đầu tư tài chính - BĐS</t>
        </is>
      </c>
      <c r="D14476" s="10" t="inlineStr">
        <is>
          <t>CÔNG TY CP ĐẦU TƯ HẠ TẦNG KHU CÔNG NGHIỆP HÀ NỘI - BẮC GIANG</t>
        </is>
      </c>
      <c r="E14476" s="10" t="inlineStr">
        <is>
          <t>Lương:30 Tr - 40 Tr VND</t>
        </is>
      </c>
      <c r="F14476" s="10" t="inlineStr">
        <is>
          <t>Hà Nội</t>
        </is>
      </c>
      <c r="G14476" s="10" t="inlineStr">
        <is>
          <t>01-05-2026</t>
        </is>
      </c>
      <c r="H14476" s="10" t="inlineStr">
        <is>
          <t>01/05/2026</t>
        </is>
      </c>
      <c r="I14476" s="10" t="inlineStr">
        <is>
          <t>17/03/2026</t>
        </is>
      </c>
      <c r="J14476" s="10" t="inlineStr">
        <is>
          <t>Tài chính / Đầu tư, Xây dựng, Bất động sản</t>
        </is>
      </c>
      <c r="K14476" s="10" t="inlineStr">
        <is>
          <t>3 - 5 Năm</t>
        </is>
      </c>
      <c r="L14476" s="11">
        <f>HYPERLINK("https://careerviet.vn/vi/tim-viec-lam/chuyen-vien-cao-cap-mang-dau-tu-tai-chinh-bds.35C6976A.html","Xem chi tiết")</f>
        <v/>
      </c>
      <c r="M14476" s="10" t="n"/>
    </row>
    <row r="14477">
      <c r="B14477" s="7" t="n">
        <v>14475</v>
      </c>
      <c r="C14477" t="inlineStr">
        <is>
          <t>Nhân viên KCS (Nhà máy Đà Nẵng)</t>
        </is>
      </c>
      <c r="D14477" t="inlineStr">
        <is>
          <t>CÔNG TY CỔ PHẦN DÂY CÁP ĐIỆN VIỆT NAM - CADIVI</t>
        </is>
      </c>
      <c r="E14477" t="inlineStr">
        <is>
          <t>Lương:Cạnh tranh</t>
        </is>
      </c>
      <c r="F14477" t="inlineStr">
        <is>
          <t>Đà Nẵng</t>
        </is>
      </c>
      <c r="G14477" t="inlineStr">
        <is>
          <t>10-03-2026</t>
        </is>
      </c>
      <c r="H14477" t="inlineStr">
        <is>
          <t>02/03/2026</t>
        </is>
      </c>
      <c r="I14477" t="inlineStr">
        <is>
          <t>17/03/2026</t>
        </is>
      </c>
      <c r="J14477" t="inlineStr">
        <is>
          <t>Sản xuất / Vận hành sản xuất, Quản lý chất lượng (QA/QC)</t>
        </is>
      </c>
      <c r="K14477" t="inlineStr">
        <is>
          <t>1 - 3 Năm</t>
        </is>
      </c>
      <c r="L14477" s="8">
        <f>HYPERLINK("https://careerviet.vn/vi/tim-viec-lam/nhan-vien-kcs-nha-may-da-nang.35C6760D.html","Xem chi tiết")</f>
        <v/>
      </c>
    </row>
    <row r="14478">
      <c r="B14478" s="9" t="n">
        <v>14476</v>
      </c>
      <c r="C14478" s="10" t="inlineStr">
        <is>
          <t>Đại Diện Bán Hàng Hải Dương</t>
        </is>
      </c>
      <c r="D14478" s="10" t="inlineStr">
        <is>
          <t>Tập Đoàn Karofi Holding</t>
        </is>
      </c>
      <c r="E14478" s="10" t="inlineStr">
        <is>
          <t>Lương:Cạnh tranh</t>
        </is>
      </c>
      <c r="F14478" s="10" t="inlineStr">
        <is>
          <t>Hải Dương</t>
        </is>
      </c>
      <c r="G14478" s="10" t="inlineStr">
        <is>
          <t>30-03-2026</t>
        </is>
      </c>
      <c r="H14478" s="10" t="inlineStr">
        <is>
          <t>30/03/2026</t>
        </is>
      </c>
      <c r="I14478" s="10" t="inlineStr">
        <is>
          <t>17/03/2026</t>
        </is>
      </c>
      <c r="J14478" s="10" t="inlineStr">
        <is>
          <t>Hàng gia dụng / Chăm sóc cá nhân, Bán lẻ / Bán sỉ, Bán hàng / Kinh doanh</t>
        </is>
      </c>
      <c r="K14478" s="10" t="inlineStr">
        <is>
          <t>Trên 1 Năm</t>
        </is>
      </c>
      <c r="L14478" s="11">
        <f>HYPERLINK("https://careerviet.vn/vi/tim-viec-lam/dai-dien-ban-hang-hai-duong.35C69502.html","Xem chi tiết")</f>
        <v/>
      </c>
      <c r="M14478" s="10" t="n"/>
    </row>
    <row r="14479">
      <c r="B14479" s="7" t="n">
        <v>14477</v>
      </c>
      <c r="C14479" t="inlineStr">
        <is>
          <t>Nhân Viên Thiết Kế Cơ Khí</t>
        </is>
      </c>
      <c r="D14479" t="inlineStr">
        <is>
          <t>Công ty cổ phần thiết bị ANTTEK Việt Nam</t>
        </is>
      </c>
      <c r="E14479" t="inlineStr">
        <is>
          <t>Lương:7 Tr - 10 Tr VND</t>
        </is>
      </c>
      <c r="F14479" t="inlineStr">
        <is>
          <t>Hà Nội</t>
        </is>
      </c>
      <c r="G14479" t="inlineStr">
        <is>
          <t>24-03-2026</t>
        </is>
      </c>
      <c r="H14479" t="inlineStr">
        <is>
          <t>24/03/2026</t>
        </is>
      </c>
      <c r="I14479" t="inlineStr">
        <is>
          <t>17/03/2026</t>
        </is>
      </c>
      <c r="J14479" t="inlineStr">
        <is>
          <t>Cơ khí / Ô tô / Tự động hóa, Mỹ thuật / Nghệ thuật / Thiết kế, Bảo trì / Sửa chữa</t>
        </is>
      </c>
      <c r="K14479" t="inlineStr">
        <is>
          <t>Chưa có kinh nghiệm</t>
        </is>
      </c>
      <c r="L14479" s="8">
        <f>HYPERLINK("https://careerviet.vn/vi/tim-viec-lam/nhan-vien-thiet-ke-co-khi.35C697FF.html","Xem chi tiết")</f>
        <v/>
      </c>
    </row>
    <row r="14480">
      <c r="B14480" s="9" t="n">
        <v>14478</v>
      </c>
      <c r="C14480" s="10" t="inlineStr">
        <is>
          <t>KỸ SƯ HẠ TẦNG KỸ THUẬT</t>
        </is>
      </c>
      <c r="D14480" s="10" t="inlineStr">
        <is>
          <t>CÔNG TY CP ĐẦU TƯ HẠ TẦNG KHU CÔNG NGHIỆP HÀ NỘI - BẮC GIANG</t>
        </is>
      </c>
      <c r="E14480" s="10" t="inlineStr">
        <is>
          <t>Lương:15 Tr - 30 Tr VND</t>
        </is>
      </c>
      <c r="F14480" s="10" t="inlineStr">
        <is>
          <t>Bắc Giang</t>
        </is>
      </c>
      <c r="G14480" s="10" t="inlineStr">
        <is>
          <t>01-05-2026</t>
        </is>
      </c>
      <c r="H14480" s="10" t="inlineStr">
        <is>
          <t>01/05/2026</t>
        </is>
      </c>
      <c r="I14480" s="10" t="inlineStr">
        <is>
          <t>17/03/2026</t>
        </is>
      </c>
      <c r="J14480" s="10" t="inlineStr">
        <is>
          <t>Xây dựng</t>
        </is>
      </c>
      <c r="K14480" s="10" t="inlineStr">
        <is>
          <t>3 - 5 Năm</t>
        </is>
      </c>
      <c r="L14480" s="11">
        <f>HYPERLINK("https://careerviet.vn/vi/tim-viec-lam/ky-su-ha-tang-ky-thuat.35C69775.html","Xem chi tiết")</f>
        <v/>
      </c>
      <c r="M14480" s="10" t="n"/>
    </row>
    <row r="14481">
      <c r="B14481" s="7" t="n">
        <v>14479</v>
      </c>
      <c r="C14481" t="inlineStr">
        <is>
          <t>Trưởng Bưu Cục Thường Tín | Thu nhập đến 25 triệu</t>
        </is>
      </c>
      <c r="D14481" t="inlineStr">
        <is>
          <t>Công Ty Cổ Phần Hai Bốn Bảy</t>
        </is>
      </c>
      <c r="E14481" t="inlineStr">
        <is>
          <t>Lương:15 Tr - 25 Tr VND</t>
        </is>
      </c>
      <c r="F14481" t="inlineStr">
        <is>
          <t>Hà Nội</t>
        </is>
      </c>
      <c r="G14481" t="inlineStr">
        <is>
          <t>31-03-2026</t>
        </is>
      </c>
      <c r="H14481" t="inlineStr">
        <is>
          <t>31/03/2026</t>
        </is>
      </c>
      <c r="I14481" t="inlineStr">
        <is>
          <t>17/03/2026</t>
        </is>
      </c>
      <c r="J14481" t="inlineStr">
        <is>
          <t>Vận chuyển / Giao nhận / Kho vận</t>
        </is>
      </c>
      <c r="K14481" t="inlineStr">
        <is>
          <t>1 - 2 Năm</t>
        </is>
      </c>
      <c r="L14481" s="8">
        <f>HYPERLINK("https://careerviet.vn/vi/tim-viec-lam/truong-buu-cuc-thuong-tin-thu-nhap-den-25-trieu.35C698B2.html","Xem chi tiết")</f>
        <v/>
      </c>
    </row>
    <row r="14482">
      <c r="B14482" s="9" t="n">
        <v>14480</v>
      </c>
      <c r="C14482" s="10" t="inlineStr">
        <is>
          <t>C&amp;B Specialist</t>
        </is>
      </c>
      <c r="D14482" s="10" t="inlineStr">
        <is>
          <t>CÔNG TY TNHH WILMAR MARKETING CLV</t>
        </is>
      </c>
      <c r="E14482" s="10" t="inlineStr">
        <is>
          <t>Lương:13 Tr - 15 Tr VND</t>
        </is>
      </c>
      <c r="F14482" s="10" t="inlineStr">
        <is>
          <t>Hồ Chí Minh</t>
        </is>
      </c>
      <c r="G14482" s="10" t="inlineStr">
        <is>
          <t>31-03-2026</t>
        </is>
      </c>
      <c r="H14482" s="10" t="inlineStr">
        <is>
          <t>31/03/2026</t>
        </is>
      </c>
      <c r="I14482" s="10" t="inlineStr">
        <is>
          <t>17/03/2026</t>
        </is>
      </c>
      <c r="J14482" s="10" t="inlineStr">
        <is>
          <t>Nhân sự</t>
        </is>
      </c>
      <c r="K14482" s="10" t="inlineStr">
        <is>
          <t>2 - 5 Năm</t>
        </is>
      </c>
      <c r="L14482" s="11">
        <f>HYPERLINK("https://careerviet.vn/vi/tim-viec-lam/c-b-specialist.35C69518.html","Xem chi tiết")</f>
        <v/>
      </c>
      <c r="M14482" s="10" t="n"/>
    </row>
    <row r="14483">
      <c r="B14483" s="7" t="n">
        <v>14481</v>
      </c>
      <c r="C14483" t="inlineStr">
        <is>
          <t>KỸ SƯ XÂY DỰNG</t>
        </is>
      </c>
      <c r="D14483" t="inlineStr">
        <is>
          <t>Tập Đoàn Kim Tín</t>
        </is>
      </c>
      <c r="E14483" t="inlineStr">
        <is>
          <t>Lương:Cạnh tranh</t>
        </is>
      </c>
      <c r="F14483" t="inlineStr">
        <is>
          <t>KV Bắc Trung BộHà NộiHưng Yên</t>
        </is>
      </c>
      <c r="G14483" t="inlineStr">
        <is>
          <t>27-03-2026</t>
        </is>
      </c>
      <c r="H14483" t="inlineStr">
        <is>
          <t>27/03/2026</t>
        </is>
      </c>
      <c r="I14483" t="inlineStr">
        <is>
          <t>17/03/2026</t>
        </is>
      </c>
      <c r="J14483" t="inlineStr">
        <is>
          <t>Xây dựng</t>
        </is>
      </c>
      <c r="K14483" t="inlineStr">
        <is>
          <t>1 - 2 Năm</t>
        </is>
      </c>
      <c r="L14483" s="8">
        <f>HYPERLINK("https://careerviet.vn/vi/tim-viec-lam/ky-su-xay-dung.35C69644.html","Xem chi tiết")</f>
        <v/>
      </c>
    </row>
    <row r="14484">
      <c r="B14484" s="9" t="n">
        <v>14482</v>
      </c>
      <c r="C14484" s="10" t="inlineStr">
        <is>
          <t>KỸ THUẬT CƠ ĐIỆN LẠNH</t>
        </is>
      </c>
      <c r="D14484" s="10" t="inlineStr">
        <is>
          <t>CÔNG TY CỔ PHẦN HIKARI ĐÀ LẠT</t>
        </is>
      </c>
      <c r="E14484" s="10" t="inlineStr">
        <is>
          <t>Lương:9 Tr - 12 Tr VND</t>
        </is>
      </c>
      <c r="F14484" s="10" t="inlineStr">
        <is>
          <t>Lâm Đồng</t>
        </is>
      </c>
      <c r="G14484" s="10" t="inlineStr">
        <is>
          <t>10-04-2026</t>
        </is>
      </c>
      <c r="H14484" s="10" t="inlineStr">
        <is>
          <t>10/04/2026</t>
        </is>
      </c>
      <c r="I14484" s="10" t="inlineStr">
        <is>
          <t>17/03/2026</t>
        </is>
      </c>
      <c r="J14484" s="10" t="inlineStr">
        <is>
          <t>Sản xuất / Vận hành sản xuất</t>
        </is>
      </c>
      <c r="K14484" s="10" t="inlineStr">
        <is>
          <t>N/A</t>
        </is>
      </c>
      <c r="L14484" s="11">
        <f>HYPERLINK("https://careerviet.vn/vi/tim-viec-lam/ky-thuat-co-dien-lanh.35C69464.html","Xem chi tiết")</f>
        <v/>
      </c>
      <c r="M14484" s="10" t="n"/>
    </row>
    <row r="14485">
      <c r="B14485" s="7" t="n">
        <v>14483</v>
      </c>
      <c r="C14485" t="inlineStr">
        <is>
          <t>Chăm Sóc Khách Hàng</t>
        </is>
      </c>
      <c r="D14485" t="inlineStr">
        <is>
          <t>Công ty TNHH X.E Việt Nam</t>
        </is>
      </c>
      <c r="E14485" t="inlineStr">
        <is>
          <t>Lương:9 Tr - 10 Tr VND</t>
        </is>
      </c>
      <c r="F14485" t="inlineStr">
        <is>
          <t>Hà Nội</t>
        </is>
      </c>
      <c r="G14485" t="inlineStr">
        <is>
          <t>25-03-2026</t>
        </is>
      </c>
      <c r="H14485" t="inlineStr">
        <is>
          <t>25/03/2026</t>
        </is>
      </c>
      <c r="I14485" t="inlineStr">
        <is>
          <t>17/03/2026</t>
        </is>
      </c>
      <c r="J14485" t="inlineStr">
        <is>
          <t>Tư vấn</t>
        </is>
      </c>
      <c r="K14485" t="inlineStr">
        <is>
          <t>1 - 3 Năm</t>
        </is>
      </c>
      <c r="L14485" s="8">
        <f>HYPERLINK("https://careerviet.vn/vi/tim-viec-lam/cham-soc-khach-hang.35C6961F.html","Xem chi tiết")</f>
        <v/>
      </c>
    </row>
    <row r="14486">
      <c r="B14486" s="9" t="n">
        <v>14484</v>
      </c>
      <c r="C14486" s="10" t="inlineStr">
        <is>
          <t>Kỹ thuật viên Sản xuất - Làm mẫu</t>
        </is>
      </c>
      <c r="D14486" s="10" t="inlineStr">
        <is>
          <t>Thermtrol Co., Ltd.</t>
        </is>
      </c>
      <c r="E14486" s="10" t="inlineStr">
        <is>
          <t>Lương:Cạnh tranh</t>
        </is>
      </c>
      <c r="F14486" s="10" t="inlineStr">
        <is>
          <t>Bình Dương</t>
        </is>
      </c>
      <c r="G14486" s="10" t="inlineStr">
        <is>
          <t>27-03-2026</t>
        </is>
      </c>
      <c r="H14486" s="10" t="inlineStr">
        <is>
          <t>27/03/2026</t>
        </is>
      </c>
      <c r="I14486" s="10" t="inlineStr">
        <is>
          <t>17/03/2026</t>
        </is>
      </c>
      <c r="J14486" s="10" t="inlineStr">
        <is>
          <t>Cơ khí / Ô tô / Tự động hóa, Điện / Điện tử / Điện lạnh / Điện công nghiệp</t>
        </is>
      </c>
      <c r="K14486" s="10" t="inlineStr">
        <is>
          <t>1 - 3 Năm</t>
        </is>
      </c>
      <c r="L14486" s="11">
        <f>HYPERLINK("https://careerviet.vn/vi/tim-viec-lam/ky-thuat-vien-san-xuat-lam-mau.35C694D3.html","Xem chi tiết")</f>
        <v/>
      </c>
      <c r="M14486" s="10" t="n"/>
    </row>
    <row r="14487">
      <c r="B14487" s="7" t="n">
        <v>14485</v>
      </c>
      <c r="C14487" t="inlineStr">
        <is>
          <t>Nhân Viên Kỹ Thuật May Mẫu</t>
        </is>
      </c>
      <c r="D14487" t="inlineStr">
        <is>
          <t>Công Ty TNHH YKK Việt Nam</t>
        </is>
      </c>
      <c r="E14487" t="inlineStr">
        <is>
          <t>Lương:13 Tr - 18 Tr VND</t>
        </is>
      </c>
      <c r="F14487" t="inlineStr">
        <is>
          <t>Đồng Nai</t>
        </is>
      </c>
      <c r="G14487" t="inlineStr">
        <is>
          <t>31-03-2026</t>
        </is>
      </c>
      <c r="H14487" t="inlineStr">
        <is>
          <t>31/03/2026</t>
        </is>
      </c>
      <c r="I14487" t="inlineStr">
        <is>
          <t>17/03/2026</t>
        </is>
      </c>
      <c r="J14487" t="inlineStr">
        <is>
          <t>Dệt may / Da giày / Thời trang, Cơ khí / Ô tô / Tự động hóa, Mỹ thuật / Nghệ thuật / Thiết kế</t>
        </is>
      </c>
      <c r="K14487" t="inlineStr">
        <is>
          <t>1 - 3 Năm</t>
        </is>
      </c>
      <c r="L14487" s="8">
        <f>HYPERLINK("https://careerviet.vn/vi/tim-viec-lam/nhan-vien-ky-thuat-may-mau.35C6952C.html","Xem chi tiết")</f>
        <v/>
      </c>
    </row>
    <row r="14488">
      <c r="B14488" s="9" t="n">
        <v>14486</v>
      </c>
      <c r="C14488" s="10" t="inlineStr">
        <is>
          <t>Chuyên viên phát triển dự án (Mảng Quy hoạch)</t>
        </is>
      </c>
      <c r="D14488" s="10" t="inlineStr">
        <is>
          <t>CÔNG TY CP ĐẦU TƯ PHÁT TRIỂN TRÍ DƯƠNG</t>
        </is>
      </c>
      <c r="E14488" s="10" t="inlineStr">
        <is>
          <t>Lương:Cạnh tranh</t>
        </is>
      </c>
      <c r="F14488" s="10" t="inlineStr">
        <is>
          <t>Nghệ An</t>
        </is>
      </c>
      <c r="G14488" s="10" t="inlineStr">
        <is>
          <t>10-03-2026</t>
        </is>
      </c>
      <c r="H14488" s="10" t="inlineStr">
        <is>
          <t>14/03/2026</t>
        </is>
      </c>
      <c r="I14488" s="10" t="inlineStr">
        <is>
          <t>17/03/2026</t>
        </is>
      </c>
      <c r="J14488" s="10" t="inlineStr">
        <is>
          <t>Xây dựng, Bất động sản</t>
        </is>
      </c>
      <c r="K14488" s="10" t="inlineStr">
        <is>
          <t>5 - 10 Năm</t>
        </is>
      </c>
      <c r="L14488" s="11">
        <f>HYPERLINK("https://careerviet.vn/vi/tim-viec-lam/chuyen-vien-phat-trien-du-an-mang-quy-hoach.35C6948F.html","Xem chi tiết")</f>
        <v/>
      </c>
      <c r="M14488" s="10" t="n"/>
    </row>
    <row r="14489">
      <c r="B14489" s="7" t="n">
        <v>14487</v>
      </c>
      <c r="C14489" t="inlineStr">
        <is>
          <t>Chuyên Gia Quản Trị Rủi Ro Hoạt Động</t>
        </is>
      </c>
      <c r="D14489" t="inlineStr">
        <is>
          <t>NGÂN HÀNG TMCP KỸ THƯƠNG VIỆT NAM (TECHCOMBANK)</t>
        </is>
      </c>
      <c r="E14489" t="inlineStr">
        <is>
          <t>Lương:Cạnh tranh</t>
        </is>
      </c>
      <c r="F14489" t="inlineStr">
        <is>
          <t>Hà Nội</t>
        </is>
      </c>
      <c r="G14489" t="inlineStr">
        <is>
          <t>25-03-2026</t>
        </is>
      </c>
      <c r="H14489" t="inlineStr">
        <is>
          <t>25/03/2026</t>
        </is>
      </c>
      <c r="I14489" t="inlineStr">
        <is>
          <t>17/03/2026</t>
        </is>
      </c>
      <c r="J14489" t="inlineStr">
        <is>
          <t>Ngân hàng, Tài chính / Đầu tư, Bảo hiểm</t>
        </is>
      </c>
      <c r="K14489" t="inlineStr">
        <is>
          <t>Trên 5 Năm</t>
        </is>
      </c>
      <c r="L14489" s="8">
        <f>HYPERLINK("https://careerviet.vn/vi/tim-viec-lam/chuyen-gia-quan-tri-rui-ro-hoat-dong.35C698A8.html","Xem chi tiết")</f>
        <v/>
      </c>
    </row>
    <row r="14490">
      <c r="B14490" s="9" t="n">
        <v>14488</v>
      </c>
      <c r="C14490" s="10" t="inlineStr">
        <is>
          <t>[Long An] Nhân viên Vận hành sản xuất - Bia</t>
        </is>
      </c>
      <c r="D14490" s="10" t="inlineStr">
        <is>
          <t>Công ty TNHH SAPPORO Vietnam</t>
        </is>
      </c>
      <c r="E14490" s="10" t="inlineStr">
        <is>
          <t>Lương:Cạnh tranh</t>
        </is>
      </c>
      <c r="F14490" s="10" t="inlineStr">
        <is>
          <t>Long An</t>
        </is>
      </c>
      <c r="G14490" s="10" t="inlineStr">
        <is>
          <t>31-03-2026</t>
        </is>
      </c>
      <c r="H14490" s="10" t="inlineStr">
        <is>
          <t>31/03/2026</t>
        </is>
      </c>
      <c r="I14490" s="10" t="inlineStr">
        <is>
          <t>17/03/2026</t>
        </is>
      </c>
      <c r="J14490" s="10" t="inlineStr">
        <is>
          <t>Công nghệ sinh học, Công nghệ thực phẩm / Dinh dưỡng, Hóa học</t>
        </is>
      </c>
      <c r="K14490" s="10" t="inlineStr">
        <is>
          <t>N/A</t>
        </is>
      </c>
      <c r="L14490" s="11">
        <f>HYPERLINK("https://careerviet.vn/vi/tim-viec-lam/long-an-nhan-vien-van-hanh-san-xuat-bia.35C6975F.html","Xem chi tiết")</f>
        <v/>
      </c>
      <c r="M14490" s="10" t="n"/>
    </row>
    <row r="14491">
      <c r="B14491" s="7" t="n">
        <v>14489</v>
      </c>
      <c r="C14491" t="inlineStr">
        <is>
          <t>Nhân viên Sự kiện (Long Khánh - Đồng Nai)</t>
        </is>
      </c>
      <c r="D14491" t="inlineStr">
        <is>
          <t>Công Ty CP Liên Kết Quốc Tế INTERLINK (Trường Liên Kết Quốc Tế INschool &amp; Ngoại Ngữ Quốc Tế INS ENGLISH &amp; CHINESE)</t>
        </is>
      </c>
      <c r="E14491" t="inlineStr">
        <is>
          <t>Lương:9 Tr - 12 Tr VND</t>
        </is>
      </c>
      <c r="F14491" t="inlineStr">
        <is>
          <t>Đồng Nai</t>
        </is>
      </c>
      <c r="G14491" t="inlineStr">
        <is>
          <t>24-03-2026</t>
        </is>
      </c>
      <c r="H14491" t="inlineStr">
        <is>
          <t>24/03/2026</t>
        </is>
      </c>
      <c r="I14491" t="inlineStr">
        <is>
          <t>17/03/2026</t>
        </is>
      </c>
      <c r="J14491" t="inlineStr">
        <is>
          <t>Tổ chức sự kiện</t>
        </is>
      </c>
      <c r="K14491" t="inlineStr">
        <is>
          <t>1 - 2 Năm</t>
        </is>
      </c>
      <c r="L14491" s="8">
        <f>HYPERLINK("https://careerviet.vn/vi/tim-viec-lam/nhan-vien-su-kien-long-khanh-dong-nai.35C697FD.html","Xem chi tiết")</f>
        <v/>
      </c>
    </row>
    <row r="14492">
      <c r="B14492" s="9" t="n">
        <v>14490</v>
      </c>
      <c r="C14492" s="10" t="inlineStr">
        <is>
          <t>Affiliate Support Staff (Seller) - Nhân viên Hỗ trợ chương trình Tiếp thị liên kết (Nhà bán hàng) (Take Care)</t>
        </is>
      </c>
      <c r="D14492" s="10" t="inlineStr">
        <is>
          <t>Công Ty TNHH Việt Mỹ-SSU</t>
        </is>
      </c>
      <c r="E14492" s="10" t="inlineStr">
        <is>
          <t>Lương:6 Tr - 9 Tr VND</t>
        </is>
      </c>
      <c r="F14492" s="10" t="inlineStr">
        <is>
          <t>Hồ Chí Minh</t>
        </is>
      </c>
      <c r="G14492" s="10" t="inlineStr">
        <is>
          <t>25-03-2026</t>
        </is>
      </c>
      <c r="H14492" s="10" t="inlineStr">
        <is>
          <t>25/03/2026</t>
        </is>
      </c>
      <c r="I14492" s="10" t="inlineStr">
        <is>
          <t>17/03/2026</t>
        </is>
      </c>
      <c r="J14492" s="10" t="inlineStr">
        <is>
          <t>Thương mại điện tử, Tư vấn</t>
        </is>
      </c>
      <c r="K14492" s="10" t="inlineStr">
        <is>
          <t>Lên đến 1 Năm</t>
        </is>
      </c>
      <c r="L14492" s="11">
        <f>HYPERLINK("https://careerviet.vn/vi/tim-viec-lam/affiliate-support-staff-seller-nhan-vien-ho-tro-chuong-trinh-tiep-thi-lien-ket-nha-ban-hang-take-care.35C69690.html","Xem chi tiết")</f>
        <v/>
      </c>
      <c r="M14492" s="10" t="n"/>
    </row>
    <row r="14493">
      <c r="B14493" s="7" t="n">
        <v>14491</v>
      </c>
      <c r="C14493" t="inlineStr">
        <is>
          <t>Nhân Viên Shopee SAC</t>
        </is>
      </c>
      <c r="D14493" t="inlineStr">
        <is>
          <t>Công Ty TNHH Việt Mỹ-SSU</t>
        </is>
      </c>
      <c r="E14493" t="inlineStr">
        <is>
          <t>Lương:6,7 Tr - 8,4 Tr VND</t>
        </is>
      </c>
      <c r="F14493" t="inlineStr">
        <is>
          <t>Hồ Chí Minh</t>
        </is>
      </c>
      <c r="G14493" t="inlineStr">
        <is>
          <t>27-03-2026</t>
        </is>
      </c>
      <c r="H14493" t="inlineStr">
        <is>
          <t>27/03/2026</t>
        </is>
      </c>
      <c r="I14493" t="inlineStr">
        <is>
          <t>17/03/2026</t>
        </is>
      </c>
      <c r="J14493" t="inlineStr">
        <is>
          <t>Thương mại điện tử, Tư vấn</t>
        </is>
      </c>
      <c r="K14493" t="inlineStr">
        <is>
          <t>Lên đến 1 Năm</t>
        </is>
      </c>
      <c r="L14493" s="8">
        <f>HYPERLINK("https://careerviet.vn/vi/tim-viec-lam/nhan-vien-shopee-sac.35C696A2.html","Xem chi tiết")</f>
        <v/>
      </c>
    </row>
    <row r="14494">
      <c r="B14494" s="9" t="n">
        <v>14492</v>
      </c>
      <c r="C14494" s="10" t="inlineStr">
        <is>
          <t>Nhân viên kỹ thuật tòa nhà văn phòng</t>
        </is>
      </c>
      <c r="D14494" s="10" t="inlineStr">
        <is>
          <t>CÔNG TY CỔ PHẦN SEREPOK</t>
        </is>
      </c>
      <c r="E14494" s="10" t="inlineStr">
        <is>
          <t>Lương:8 Tr - 11 Tr VND</t>
        </is>
      </c>
      <c r="F14494" s="10" t="inlineStr">
        <is>
          <t>Hồ Chí Minh</t>
        </is>
      </c>
      <c r="G14494" s="10" t="inlineStr">
        <is>
          <t>31-03-2026</t>
        </is>
      </c>
      <c r="H14494" s="10" t="inlineStr">
        <is>
          <t>31/03/2026</t>
        </is>
      </c>
      <c r="I14494" s="10" t="inlineStr">
        <is>
          <t>17/03/2026</t>
        </is>
      </c>
      <c r="J14494" s="10" t="inlineStr">
        <is>
          <t>Cơ khí / Ô tô / Tự động hóa, Điện / Điện tử / Điện lạnh / Điện công nghiệp, Bảo trì / Sửa chữa</t>
        </is>
      </c>
      <c r="K14494" s="10" t="inlineStr">
        <is>
          <t>1 - 5 Năm</t>
        </is>
      </c>
      <c r="L14494" s="11">
        <f>HYPERLINK("https://careerviet.vn/vi/tim-viec-lam/nhan-vien-ky-thuat-toa-nha-van-phong.35C69475.html","Xem chi tiết")</f>
        <v/>
      </c>
      <c r="M14494" s="10" t="n"/>
    </row>
    <row r="14495">
      <c r="B14495" s="7" t="n">
        <v>14493</v>
      </c>
      <c r="C14495" t="inlineStr">
        <is>
          <t>QC Kiểm hàng (Khu vực Bình Dương/Đồng Nai)</t>
        </is>
      </c>
      <c r="D14495" t="inlineStr">
        <is>
          <t>UNIEXPORT CO., LTD</t>
        </is>
      </c>
      <c r="E14495" t="inlineStr">
        <is>
          <t>Lương:Cạnh tranh</t>
        </is>
      </c>
      <c r="F14495" t="inlineStr">
        <is>
          <t>Bình Dương</t>
        </is>
      </c>
      <c r="G14495" t="inlineStr">
        <is>
          <t>31-03-2026</t>
        </is>
      </c>
      <c r="H14495" t="inlineStr">
        <is>
          <t>31/03/2026</t>
        </is>
      </c>
      <c r="I14495" t="inlineStr">
        <is>
          <t>17/03/2026</t>
        </is>
      </c>
      <c r="J14495" t="inlineStr">
        <is>
          <t>Sản xuất / Vận hành sản xuất, Đồ gỗ, Quản lý chất lượng (QA/QC)</t>
        </is>
      </c>
      <c r="K14495" t="inlineStr">
        <is>
          <t>1 - 2 Năm</t>
        </is>
      </c>
      <c r="L14495" s="8">
        <f>HYPERLINK("https://careerviet.vn/vi/tim-viec-lam/qc-kiem-hang-khu-vuc-binh-duong-dong-nai.35C69395.html","Xem chi tiết")</f>
        <v/>
      </c>
    </row>
    <row r="14496">
      <c r="B14496" s="9" t="n">
        <v>14494</v>
      </c>
      <c r="C14496" s="10" t="inlineStr">
        <is>
          <t>[Nghệ An - Hà Tĩnh] Giám sát bán hàng ngành sơn</t>
        </is>
      </c>
      <c r="D14496" s="10" t="inlineStr">
        <is>
          <t>Tập Đoàn Tân Á Đại Thành</t>
        </is>
      </c>
      <c r="E14496" s="10" t="inlineStr">
        <is>
          <t>Lương:20 Tr - 30 Tr VND</t>
        </is>
      </c>
      <c r="F14496" s="10" t="inlineStr">
        <is>
          <t>Nghệ AnHà Tĩnh</t>
        </is>
      </c>
      <c r="G14496" s="10" t="inlineStr">
        <is>
          <t>10-03-2026</t>
        </is>
      </c>
      <c r="H14496" s="10" t="inlineStr">
        <is>
          <t>16/03/2026</t>
        </is>
      </c>
      <c r="I14496" s="10" t="inlineStr">
        <is>
          <t>17/03/2026</t>
        </is>
      </c>
      <c r="J14496" s="10" t="inlineStr">
        <is>
          <t>Bán hàng / Kinh doanh</t>
        </is>
      </c>
      <c r="K14496" s="10" t="inlineStr">
        <is>
          <t>2 - 3 Năm</t>
        </is>
      </c>
      <c r="L14496" s="11">
        <f>HYPERLINK("https://careerviet.vn/vi/tim-viec-lam/nghe-an-ha-tinh-giam-sat-ban-hang-nganh-son.35C6978F.html","Xem chi tiết")</f>
        <v/>
      </c>
      <c r="M14496" s="10" t="n"/>
    </row>
    <row r="14497">
      <c r="B14497" s="7" t="n">
        <v>14495</v>
      </c>
      <c r="C14497" t="inlineStr">
        <is>
          <t>Sr. Planning &amp; Procurement</t>
        </is>
      </c>
      <c r="D14497" t="inlineStr">
        <is>
          <t>CÔNG TY TNHH PHÂN PHỐI NƯỚC GIẢI KHÁT QUỐC TẾ</t>
        </is>
      </c>
      <c r="E14497" t="inlineStr">
        <is>
          <t>Lương:15 Tr - 23 Tr VND</t>
        </is>
      </c>
      <c r="F14497" t="inlineStr">
        <is>
          <t>Hồ Chí Minh</t>
        </is>
      </c>
      <c r="G14497" t="inlineStr">
        <is>
          <t>25-03-2026</t>
        </is>
      </c>
      <c r="H14497" t="inlineStr">
        <is>
          <t>25/03/2026</t>
        </is>
      </c>
      <c r="I14497" t="inlineStr">
        <is>
          <t>17/03/2026</t>
        </is>
      </c>
      <c r="J14497" t="inlineStr">
        <is>
          <t>Thực phẩm &amp; Đồ uống</t>
        </is>
      </c>
      <c r="K14497" t="inlineStr">
        <is>
          <t>Trên 3 Năm</t>
        </is>
      </c>
      <c r="L14497" s="8">
        <f>HYPERLINK("https://careerviet.vn/vi/tim-viec-lam/sr-planning-procurement.35C69713.html","Xem chi tiết")</f>
        <v/>
      </c>
    </row>
    <row r="14498">
      <c r="B14498" s="9" t="n">
        <v>14496</v>
      </c>
      <c r="C14498" s="10" t="inlineStr">
        <is>
          <t>Trưởng Nhóm Kênh Sales Online/Telesales (Làm việc giờ hành chính, lương từ 10 triệu trở lên)</t>
        </is>
      </c>
      <c r="D14498" s="10" t="inlineStr">
        <is>
          <t>CÔNG TY CỔ PHẦN SẢN XUẤT, THƯƠNG MẠI VÀ DỊCH VỤ PHÚC THỊNH</t>
        </is>
      </c>
      <c r="E14498" s="10" t="inlineStr">
        <is>
          <t>Lương:12 Tr - 20 Tr VND</t>
        </is>
      </c>
      <c r="F14498" s="10" t="inlineStr">
        <is>
          <t>Hồ Chí Minh</t>
        </is>
      </c>
      <c r="G14498" s="10" t="inlineStr">
        <is>
          <t>10-03-2026</t>
        </is>
      </c>
      <c r="H14498" s="10" t="inlineStr">
        <is>
          <t>01/03/2026</t>
        </is>
      </c>
      <c r="I14498" s="10" t="inlineStr">
        <is>
          <t>17/03/2026</t>
        </is>
      </c>
      <c r="J14498" s="10" t="inlineStr">
        <is>
          <t>Bán hàng / Kinh doanh, Tiếp thị trực tuyến, Bán lẻ / Bán sỉ</t>
        </is>
      </c>
      <c r="K14498" s="10" t="inlineStr">
        <is>
          <t>1 - 2 Năm</t>
        </is>
      </c>
      <c r="L14498" s="11">
        <f>HYPERLINK("https://careerviet.vn/vi/tim-viec-lam/truong-nhom-kenh-sales-online-telesales-lam-viec-gio-hanh-chinh-luong-tu-10-trieu-tro-len.35C69710.html","Xem chi tiết")</f>
        <v/>
      </c>
      <c r="M14498" s="10" t="n"/>
    </row>
    <row r="14499">
      <c r="B14499" s="7" t="n">
        <v>14497</v>
      </c>
      <c r="C14499" t="inlineStr">
        <is>
          <t>Kế toán Doanh thu kiêm Thanh toán</t>
        </is>
      </c>
      <c r="D14499" t="inlineStr">
        <is>
          <t>CÔNG TY CỔ PHẦN ITL AVIATION LOGISTICS</t>
        </is>
      </c>
      <c r="E14499" t="inlineStr">
        <is>
          <t>Lương:12 Tr - 15 Tr VND</t>
        </is>
      </c>
      <c r="F14499" t="inlineStr">
        <is>
          <t>Hồ Chí Minh</t>
        </is>
      </c>
      <c r="G14499" t="inlineStr">
        <is>
          <t>24-03-2026</t>
        </is>
      </c>
      <c r="H14499" t="inlineStr">
        <is>
          <t>24/03/2026</t>
        </is>
      </c>
      <c r="I14499" t="inlineStr">
        <is>
          <t>17/03/2026</t>
        </is>
      </c>
      <c r="J14499" t="inlineStr">
        <is>
          <t>Kế toán / Kiểm toán, Vận chuyển / Giao nhận / Kho vận</t>
        </is>
      </c>
      <c r="K14499" t="inlineStr">
        <is>
          <t>2 - 3 Năm</t>
        </is>
      </c>
      <c r="L14499" s="8">
        <f>HYPERLINK("https://careerviet.vn/vi/tim-viec-lam/ke-toan-doanh-thu-kiem-thanh-toan.35C696E6.html","Xem chi tiết")</f>
        <v/>
      </c>
    </row>
    <row r="14500">
      <c r="B14500" s="9" t="n">
        <v>14498</v>
      </c>
      <c r="C14500" s="10" t="inlineStr">
        <is>
          <t>Nhân viên Kiểm soát nội bộ</t>
        </is>
      </c>
      <c r="D14500" s="10" t="inlineStr">
        <is>
          <t>Savimex Corporation</t>
        </is>
      </c>
      <c r="E14500" s="10" t="inlineStr">
        <is>
          <t>Lương:Cạnh tranh</t>
        </is>
      </c>
      <c r="F14500" s="10" t="inlineStr">
        <is>
          <t>Hồ Chí Minh</t>
        </is>
      </c>
      <c r="G14500" s="10" t="inlineStr">
        <is>
          <t>27-03-2026</t>
        </is>
      </c>
      <c r="H14500" s="10" t="inlineStr">
        <is>
          <t>27/03/2026</t>
        </is>
      </c>
      <c r="I14500" s="10" t="inlineStr">
        <is>
          <t>17/03/2026</t>
        </is>
      </c>
      <c r="J14500" s="10" t="inlineStr">
        <is>
          <t>Kế toán / Kiểm toán, Tài chính / Đầu tư, Quản lý điều hành</t>
        </is>
      </c>
      <c r="K14500" s="10" t="inlineStr">
        <is>
          <t>Trên 2 Năm</t>
        </is>
      </c>
      <c r="L14500" s="11">
        <f>HYPERLINK("https://careerviet.vn/vi/tim-viec-lam/nhan-vien-kiem-soat-noi-bo.35C69740.html","Xem chi tiết")</f>
        <v/>
      </c>
      <c r="M14500" s="10" t="n"/>
    </row>
    <row r="14501">
      <c r="B14501" s="7" t="n">
        <v>14499</v>
      </c>
      <c r="C14501" t="inlineStr">
        <is>
          <t>Import Export Deputy Manager</t>
        </is>
      </c>
      <c r="D14501" t="inlineStr">
        <is>
          <t>Công ty Omron Healthcare Manufacturing Việt Nam</t>
        </is>
      </c>
      <c r="E14501" t="inlineStr">
        <is>
          <t>Lương:Cạnh tranh</t>
        </is>
      </c>
      <c r="F14501" t="inlineStr">
        <is>
          <t>Bình Dương</t>
        </is>
      </c>
      <c r="G14501" t="inlineStr">
        <is>
          <t>27-03-2026</t>
        </is>
      </c>
      <c r="H14501" t="inlineStr">
        <is>
          <t>27/03/2026</t>
        </is>
      </c>
      <c r="I14501" t="inlineStr">
        <is>
          <t>17/03/2026</t>
        </is>
      </c>
      <c r="J14501" t="inlineStr">
        <is>
          <t>Xuất nhập khẩu, Y tế / Chăm sóc sức khỏe / Thẩm mỹ / Làm đẹp</t>
        </is>
      </c>
      <c r="K14501" t="inlineStr">
        <is>
          <t>2 - 3 Năm</t>
        </is>
      </c>
      <c r="L14501" s="8">
        <f>HYPERLINK("https://careerviet.vn/vi/tim-viec-lam/import-export-deputy-manager.35C69697.html","Xem chi tiết")</f>
        <v/>
      </c>
    </row>
    <row r="14502">
      <c r="B14502" s="9" t="n">
        <v>14500</v>
      </c>
      <c r="C14502" s="10" t="inlineStr">
        <is>
          <t>[HCM] KEY ACCOUNT - RETAIL</t>
        </is>
      </c>
      <c r="D14502" s="10" t="inlineStr">
        <is>
          <t>Classic Fine Foods</t>
        </is>
      </c>
      <c r="E14502" s="10" t="inlineStr">
        <is>
          <t>Lương:Cạnh tranh</t>
        </is>
      </c>
      <c r="F14502" s="10" t="inlineStr">
        <is>
          <t>Hồ Chí Minh</t>
        </is>
      </c>
      <c r="G14502" s="10" t="inlineStr">
        <is>
          <t>27-03-2026</t>
        </is>
      </c>
      <c r="H14502" s="10" t="inlineStr">
        <is>
          <t>27/03/2026</t>
        </is>
      </c>
      <c r="I14502" s="10" t="inlineStr">
        <is>
          <t>17/03/2026</t>
        </is>
      </c>
      <c r="J14502" s="10" t="inlineStr">
        <is>
          <t>Thực phẩm &amp; Đồ uống</t>
        </is>
      </c>
      <c r="K14502" s="10" t="inlineStr">
        <is>
          <t>1 - 3 Năm</t>
        </is>
      </c>
      <c r="L14502" s="11">
        <f>HYPERLINK("https://careerviet.vn/vi/tim-viec-lam/hcm-key-account-retail.35C6977C.html","Xem chi tiết")</f>
        <v/>
      </c>
      <c r="M14502" s="10" t="n"/>
    </row>
    <row r="14503">
      <c r="B14503" s="7" t="n">
        <v>14501</v>
      </c>
      <c r="C14503" t="inlineStr">
        <is>
          <t>Chuyên viên Quản lý thiết kế - Phụ trách Kiến trúc</t>
        </is>
      </c>
      <c r="D14503" t="inlineStr">
        <is>
          <t>Công Ty Cổ Phần Tập Đoàn Sunshine</t>
        </is>
      </c>
      <c r="E14503" t="inlineStr">
        <is>
          <t>Lương:20 Tr - 35 Tr VND</t>
        </is>
      </c>
      <c r="F14503" t="inlineStr">
        <is>
          <t>Hồ Chí Minh</t>
        </is>
      </c>
      <c r="G14503" t="inlineStr">
        <is>
          <t>31-03-2026</t>
        </is>
      </c>
      <c r="H14503" t="inlineStr">
        <is>
          <t>31/03/2026</t>
        </is>
      </c>
      <c r="I14503" t="inlineStr">
        <is>
          <t>17/03/2026</t>
        </is>
      </c>
      <c r="J14503" t="inlineStr">
        <is>
          <t>Kiến trúc, Xây dựng, Bất động sản</t>
        </is>
      </c>
      <c r="K14503" t="inlineStr">
        <is>
          <t>Trên 5 Năm</t>
        </is>
      </c>
      <c r="L14503" s="8">
        <f>HYPERLINK("https://careerviet.vn/vi/tim-viec-lam/chuyen-vien-quan-ly-thiet-ke-phu-trach-kien-truc.35C697C4.html","Xem chi tiết")</f>
        <v/>
      </c>
    </row>
    <row r="14504">
      <c r="B14504" s="9" t="n">
        <v>14502</v>
      </c>
      <c r="C14504" s="10" t="inlineStr">
        <is>
          <t>CHUYÊN VIÊN QUẢN LÝ THIẾT KẾ MEP</t>
        </is>
      </c>
      <c r="D14504" s="10" t="inlineStr">
        <is>
          <t>Công Ty Cổ Phần Kiến Trúc Tư Vấn Quản Lý Đông Dương</t>
        </is>
      </c>
      <c r="E14504" s="10" t="inlineStr">
        <is>
          <t>Lương:Cạnh tranh</t>
        </is>
      </c>
      <c r="F14504" s="10" t="inlineStr">
        <is>
          <t>Hà Nội</t>
        </is>
      </c>
      <c r="G14504" s="10" t="inlineStr">
        <is>
          <t>31-03-2026</t>
        </is>
      </c>
      <c r="H14504" s="10" t="inlineStr">
        <is>
          <t>31/03/2026</t>
        </is>
      </c>
      <c r="I14504" s="10" t="inlineStr">
        <is>
          <t>17/03/2026</t>
        </is>
      </c>
      <c r="J14504" s="10" t="inlineStr">
        <is>
          <t>Kiến trúc, Xây dựng, Bất động sản</t>
        </is>
      </c>
      <c r="K14504" s="10" t="inlineStr">
        <is>
          <t>5 - 10 Năm</t>
        </is>
      </c>
      <c r="L14504" s="11">
        <f>HYPERLINK("https://careerviet.vn/vi/tim-viec-lam/chuyen-vien-quan-ly-thiet-ke-mep.35C6985B.html","Xem chi tiết")</f>
        <v/>
      </c>
      <c r="M14504" s="10" t="n"/>
    </row>
    <row r="14505">
      <c r="B14505" s="7" t="n">
        <v>14503</v>
      </c>
      <c r="C14505" t="inlineStr">
        <is>
          <t>Giám Sát Bán Hàng - Bình Dương Bình Phước Vũng Tàu</t>
        </is>
      </c>
      <c r="D14505" t="inlineStr">
        <is>
          <t>Công ty Cổ Phần Tập Đoàn Điện Quang</t>
        </is>
      </c>
      <c r="E14505" t="inlineStr">
        <is>
          <t>Lương:Cạnh tranh</t>
        </is>
      </c>
      <c r="F14505" t="inlineStr">
        <is>
          <t>Bình DươngBình PhướcBà Rịa - Vũng Tàu</t>
        </is>
      </c>
      <c r="G14505" t="inlineStr">
        <is>
          <t>27-03-2026</t>
        </is>
      </c>
      <c r="H14505" t="inlineStr">
        <is>
          <t>27/03/2026</t>
        </is>
      </c>
      <c r="I14505" t="inlineStr">
        <is>
          <t>17/03/2026</t>
        </is>
      </c>
      <c r="J14505" t="inlineStr">
        <is>
          <t>Bán lẻ / Bán sỉ, Bán hàng / Kinh doanh</t>
        </is>
      </c>
      <c r="K14505" t="inlineStr">
        <is>
          <t>2 - 3 Năm</t>
        </is>
      </c>
      <c r="L14505" s="8">
        <f>HYPERLINK("https://careerviet.vn/vi/tim-viec-lam/giam-sat-ban-hang-binh-duong-binh-phuoc-vung-tau.35C695B6.html","Xem chi tiết")</f>
        <v/>
      </c>
    </row>
    <row r="14506">
      <c r="B14506" s="9" t="n">
        <v>14504</v>
      </c>
      <c r="C14506" s="10" t="inlineStr">
        <is>
          <t>Trưởng phòng kinh doanh tại Quảng Ninh</t>
        </is>
      </c>
      <c r="D14506" s="10" t="inlineStr">
        <is>
          <t>Tổng Công Ty Cổ Phần Bảo Hiểm Ngân Hàng TMCP Công Thương Việt Nam</t>
        </is>
      </c>
      <c r="E14506" s="10" t="inlineStr">
        <is>
          <t>Lương:Cạnh tranh</t>
        </is>
      </c>
      <c r="F14506" s="10" t="inlineStr">
        <is>
          <t>Quảng Ninh</t>
        </is>
      </c>
      <c r="G14506" s="10" t="inlineStr">
        <is>
          <t>27-03-2026</t>
        </is>
      </c>
      <c r="H14506" s="10" t="inlineStr">
        <is>
          <t>27/03/2026</t>
        </is>
      </c>
      <c r="I14506" s="10" t="inlineStr">
        <is>
          <t>17/03/2026</t>
        </is>
      </c>
      <c r="J14506" s="10" t="inlineStr">
        <is>
          <t>Ngân hàng, Bảo hiểm</t>
        </is>
      </c>
      <c r="K14506" s="10" t="inlineStr">
        <is>
          <t>2 - 3 Năm</t>
        </is>
      </c>
      <c r="L14506" s="11">
        <f>HYPERLINK("https://careerviet.vn/vi/tim-viec-lam/truong-phong-kinh-doanh-tai-quang-ninh.35C694D4.html","Xem chi tiết")</f>
        <v/>
      </c>
      <c r="M14506" s="10" t="n"/>
    </row>
    <row r="14507">
      <c r="B14507" s="7" t="n">
        <v>14505</v>
      </c>
      <c r="C14507" t="inlineStr">
        <is>
          <t>Nhân viên Lễ Tân Hành chính</t>
        </is>
      </c>
      <c r="D14507" t="inlineStr">
        <is>
          <t>Công ty đầu tư T&amp;L Việt Nam</t>
        </is>
      </c>
      <c r="E14507" t="inlineStr">
        <is>
          <t>Lương:Cạnh tranh</t>
        </is>
      </c>
      <c r="F14507" t="inlineStr">
        <is>
          <t>Hà Nội</t>
        </is>
      </c>
      <c r="G14507" t="inlineStr">
        <is>
          <t>27-03-2026</t>
        </is>
      </c>
      <c r="H14507" t="inlineStr">
        <is>
          <t>27/03/2026</t>
        </is>
      </c>
      <c r="I14507" t="inlineStr">
        <is>
          <t>17/03/2026</t>
        </is>
      </c>
      <c r="J14507" t="inlineStr">
        <is>
          <t>Hành chính / Thư ký, Nhân sự</t>
        </is>
      </c>
      <c r="K14507" t="inlineStr">
        <is>
          <t>1 - 2 Năm</t>
        </is>
      </c>
      <c r="L14507" s="8">
        <f>HYPERLINK("https://careerviet.vn/vi/tim-viec-lam/nhan-vien-le-tan-hanh-chinh.35C695C6.html","Xem chi tiết")</f>
        <v/>
      </c>
    </row>
    <row r="14508">
      <c r="B14508" s="9" t="n">
        <v>14506</v>
      </c>
      <c r="C14508" s="10" t="inlineStr">
        <is>
          <t>Chuyên Viên Kế Toán Tổng Hợp</t>
        </is>
      </c>
      <c r="D14508" s="10" t="inlineStr">
        <is>
          <t>Tổng Công Ty Cổ Phần Địa Ốc Sài Gòn</t>
        </is>
      </c>
      <c r="E14508" s="10" t="inlineStr">
        <is>
          <t>Lương:18 Tr - 30 Tr VND</t>
        </is>
      </c>
      <c r="F14508" s="10" t="inlineStr">
        <is>
          <t>Hồ Chí Minh</t>
        </is>
      </c>
      <c r="G14508" s="10" t="inlineStr">
        <is>
          <t>10-03-2026</t>
        </is>
      </c>
      <c r="H14508" s="10" t="inlineStr">
        <is>
          <t>29/08/2025</t>
        </is>
      </c>
      <c r="I14508" s="10" t="inlineStr">
        <is>
          <t>17/03/2026</t>
        </is>
      </c>
      <c r="J14508" s="10" t="inlineStr">
        <is>
          <t>Kế toán / Kiểm toán, Bất động sản</t>
        </is>
      </c>
      <c r="K14508" s="10" t="inlineStr">
        <is>
          <t>2 - 5 Năm</t>
        </is>
      </c>
      <c r="L14508" s="11">
        <f>HYPERLINK("https://careerviet.vn/vi/tim-viec-lam/chuyen-vien-ke-toan-tong-hop.35C502FA.html","Xem chi tiết")</f>
        <v/>
      </c>
      <c r="M14508" s="10" t="n"/>
    </row>
    <row r="14509">
      <c r="B14509" s="7" t="n">
        <v>14507</v>
      </c>
      <c r="C14509" t="inlineStr">
        <is>
          <t>HCM - Senior Graphic Designer</t>
        </is>
      </c>
      <c r="D14509" t="inlineStr">
        <is>
          <t>Công ty TNHH Thiên Thủy Mộc</t>
        </is>
      </c>
      <c r="E14509" t="inlineStr">
        <is>
          <t>Lương:15 Tr - 18 Tr VND</t>
        </is>
      </c>
      <c r="F14509" t="inlineStr">
        <is>
          <t>Hồ Chí Minh</t>
        </is>
      </c>
      <c r="G14509" t="inlineStr">
        <is>
          <t>26-03-2026</t>
        </is>
      </c>
      <c r="H14509" t="inlineStr">
        <is>
          <t>26/03/2026</t>
        </is>
      </c>
      <c r="I14509" t="inlineStr">
        <is>
          <t>17/03/2026</t>
        </is>
      </c>
      <c r="J14509" t="inlineStr">
        <is>
          <t>Tiếp thị / Marketing, Mỹ thuật / Nghệ thuật / Thiết kế</t>
        </is>
      </c>
      <c r="K14509" t="inlineStr">
        <is>
          <t>3 - 5 Năm</t>
        </is>
      </c>
      <c r="L14509" s="8">
        <f>HYPERLINK("https://careerviet.vn/vi/tim-viec-lam/hcm-senior-graphic-designer.35C69894.html","Xem chi tiết")</f>
        <v/>
      </c>
    </row>
    <row r="14510">
      <c r="B14510" s="9" t="n">
        <v>14508</v>
      </c>
      <c r="C14510" s="10" t="inlineStr">
        <is>
          <t>Chuyên Viên Xuất Nhập Khẩu</t>
        </is>
      </c>
      <c r="D14510" s="10" t="inlineStr">
        <is>
          <t>CÔNG TY CỔ PHẦN THƯƠNG MẠI VÀ XUẤT NHẬP KHẨU VẬT TƯ GIAO THÔNG</t>
        </is>
      </c>
      <c r="E14510" s="10" t="inlineStr">
        <is>
          <t>Lương:Cạnh tranh</t>
        </is>
      </c>
      <c r="F14510" s="10" t="inlineStr">
        <is>
          <t>Hà Nội</t>
        </is>
      </c>
      <c r="G14510" s="10" t="inlineStr">
        <is>
          <t>24-03-2026</t>
        </is>
      </c>
      <c r="H14510" s="10" t="inlineStr">
        <is>
          <t>24/03/2026</t>
        </is>
      </c>
      <c r="I14510" s="10" t="inlineStr">
        <is>
          <t>17/03/2026</t>
        </is>
      </c>
      <c r="J14510" s="10" t="inlineStr">
        <is>
          <t>Thu mua / Vật tư, Xuất nhập khẩu</t>
        </is>
      </c>
      <c r="K14510" s="10" t="inlineStr">
        <is>
          <t>Trên 2 Năm</t>
        </is>
      </c>
      <c r="L14510" s="11">
        <f>HYPERLINK("https://careerviet.vn/vi/tim-viec-lam/chuyen-vien-xuat-nhap-khau.35C6957F.html","Xem chi tiết")</f>
        <v/>
      </c>
      <c r="M14510" s="10" t="n"/>
    </row>
    <row r="14511">
      <c r="B14511" s="7" t="n">
        <v>14509</v>
      </c>
      <c r="C14511" t="inlineStr">
        <is>
          <t>Nhân viên hành chính</t>
        </is>
      </c>
      <c r="D14511" t="inlineStr">
        <is>
          <t>CÔNG TY TNHH CARE FOR VIỆT NAM</t>
        </is>
      </c>
      <c r="E14511" t="inlineStr">
        <is>
          <t>Lương:10 Tr - 15 Tr VND</t>
        </is>
      </c>
      <c r="F14511" t="inlineStr">
        <is>
          <t>Hà Nội</t>
        </is>
      </c>
      <c r="G14511" t="inlineStr">
        <is>
          <t>31-03-2026</t>
        </is>
      </c>
      <c r="H14511" t="inlineStr">
        <is>
          <t>31/03/2026</t>
        </is>
      </c>
      <c r="I14511" t="inlineStr">
        <is>
          <t>17/03/2026</t>
        </is>
      </c>
      <c r="J14511" t="inlineStr">
        <is>
          <t>Bán lẻ / Bán sỉ, Bán hàng / Kinh doanh, Nhân sự</t>
        </is>
      </c>
      <c r="K14511" t="inlineStr">
        <is>
          <t>1 - 3 Năm</t>
        </is>
      </c>
      <c r="L14511" s="8">
        <f>HYPERLINK("https://careerviet.vn/vi/tim-viec-lam/nhan-vien-hanh-chinh.35C69866.html","Xem chi tiết")</f>
        <v/>
      </c>
    </row>
    <row r="14512">
      <c r="B14512" s="9" t="n">
        <v>14510</v>
      </c>
      <c r="C14512" s="10" t="inlineStr">
        <is>
          <t>Nhân Viên Kinh Doanh (Hà Nội và Bình Dương - đi làm ngay) lương hấp dẫn</t>
        </is>
      </c>
      <c r="D14512" s="10" t="inlineStr">
        <is>
          <t>CIG SCI-TECH COMPANY LIMITED</t>
        </is>
      </c>
      <c r="E14512" s="10" t="inlineStr">
        <is>
          <t>Lương:10 Tr - 20 Tr VND</t>
        </is>
      </c>
      <c r="F14512" s="10" t="inlineStr">
        <is>
          <t>Hà NộiHồ Chí Minh</t>
        </is>
      </c>
      <c r="G14512" s="10" t="inlineStr">
        <is>
          <t>30-04-2026</t>
        </is>
      </c>
      <c r="H14512" s="10" t="inlineStr">
        <is>
          <t>30/04/2026</t>
        </is>
      </c>
      <c r="I14512" s="10" t="inlineStr">
        <is>
          <t>17/03/2026</t>
        </is>
      </c>
      <c r="J14512" s="10" t="inlineStr">
        <is>
          <t>Bán hàng / Kinh doanh, Tư vấn, Biên phiên dịch</t>
        </is>
      </c>
      <c r="K14512" s="10" t="inlineStr">
        <is>
          <t>1 - 3 Năm</t>
        </is>
      </c>
      <c r="L14512" s="11">
        <f>HYPERLINK("https://careerviet.vn/vi/tim-viec-lam/nhan-vien-kinh-doanh-ha-noi-va-binh-duong-di-lam-ngay-luong-hap-dan.35C695F1.html","Xem chi tiết")</f>
        <v/>
      </c>
      <c r="M14512" s="10" t="n"/>
    </row>
    <row r="14513">
      <c r="B14513" s="7" t="n">
        <v>14511</v>
      </c>
      <c r="C14513" t="inlineStr">
        <is>
          <t>(13-20TR) Nhân viên kinh doanh TẠI BÌNH PHƯỚC</t>
        </is>
      </c>
      <c r="D14513" t="inlineStr">
        <is>
          <t>CÔNG TY CỔ PHẦN TẬP ĐOÀN DEKKO</t>
        </is>
      </c>
      <c r="E14513" t="inlineStr">
        <is>
          <t>Lương:13 Tr - 20 Tr VND</t>
        </is>
      </c>
      <c r="F14513" t="inlineStr">
        <is>
          <t>Bình Phước</t>
        </is>
      </c>
      <c r="G14513" t="inlineStr">
        <is>
          <t>10-03-2026</t>
        </is>
      </c>
      <c r="H14513" t="inlineStr">
        <is>
          <t>30/12/2025</t>
        </is>
      </c>
      <c r="I14513" t="inlineStr">
        <is>
          <t>17/03/2026</t>
        </is>
      </c>
      <c r="J14513" t="inlineStr">
        <is>
          <t>Bán hàng / Kinh doanh, Dịch vụ khách hàng</t>
        </is>
      </c>
      <c r="K14513" t="inlineStr">
        <is>
          <t>0 - 0 Năm</t>
        </is>
      </c>
      <c r="L14513" s="8">
        <f>HYPERLINK("https://careerviet.vn/vi/tim-viec-lam/13-20tr-nhan-vien-kinh-doanh-tai-binh-phuoc.35C5FE30.html","Xem chi tiết")</f>
        <v/>
      </c>
    </row>
    <row r="14514">
      <c r="B14514" s="9" t="n">
        <v>14512</v>
      </c>
      <c r="C14514" s="10" t="inlineStr">
        <is>
          <t>QUẢN LÝ NHÀ HÀNG [HCM]</t>
        </is>
      </c>
      <c r="D14514" s="10" t="inlineStr">
        <is>
          <t>Công Ty Cổ Phần Tầm Nhìn Quốc Tế Aladdin</t>
        </is>
      </c>
      <c r="E14514" s="10" t="inlineStr">
        <is>
          <t>Lương:15 Tr - 20 Tr VND</t>
        </is>
      </c>
      <c r="F14514" s="10" t="inlineStr">
        <is>
          <t>Hồ Chí Minh</t>
        </is>
      </c>
      <c r="G14514" s="10" t="inlineStr">
        <is>
          <t>25-03-2026</t>
        </is>
      </c>
      <c r="H14514" s="10" t="inlineStr">
        <is>
          <t>25/03/2026</t>
        </is>
      </c>
      <c r="I14514" s="10" t="inlineStr">
        <is>
          <t>17/03/2026</t>
        </is>
      </c>
      <c r="J14514" s="10" t="inlineStr">
        <is>
          <t>Thực phẩm &amp; Đồ uống, Nhà hàng / Khách sạn, Quản lý điều hành</t>
        </is>
      </c>
      <c r="K14514" s="10" t="inlineStr">
        <is>
          <t>2 - 4 Năm</t>
        </is>
      </c>
      <c r="L14514" s="11">
        <f>HYPERLINK("https://careerviet.vn/vi/tim-viec-lam/quan-ly-nha-hang-hcm.35C69513.html","Xem chi tiết")</f>
        <v/>
      </c>
      <c r="M14514" s="10" t="n"/>
    </row>
    <row r="14515">
      <c r="B14515" s="7" t="n">
        <v>14513</v>
      </c>
      <c r="C14515" t="inlineStr">
        <is>
          <t>Thư ký Dự án (Làm việc tại vp ở Cát Lái, TPHCM)</t>
        </is>
      </c>
      <c r="D14515" t="inlineStr">
        <is>
          <t>CÔNG TY TNHH DK BUILD</t>
        </is>
      </c>
      <c r="E14515" t="inlineStr">
        <is>
          <t>Lương:10 Tr - 15 Tr VND</t>
        </is>
      </c>
      <c r="F14515" t="inlineStr">
        <is>
          <t>Bình Dương</t>
        </is>
      </c>
      <c r="G14515" t="inlineStr">
        <is>
          <t>31-03-2026</t>
        </is>
      </c>
      <c r="H14515" t="inlineStr">
        <is>
          <t>31/03/2026</t>
        </is>
      </c>
      <c r="I14515" t="inlineStr">
        <is>
          <t>17/03/2026</t>
        </is>
      </c>
      <c r="J14515" t="inlineStr">
        <is>
          <t>Xây dựng</t>
        </is>
      </c>
      <c r="K14515" t="inlineStr">
        <is>
          <t>2 - 5 Năm</t>
        </is>
      </c>
      <c r="L14515" s="8">
        <f>HYPERLINK("https://careerviet.vn/vi/tim-viec-lam/thu-ky-du-an-lam-viec-tai-vp-o-cat-lai-tphcm.35C697F6.html","Xem chi tiết")</f>
        <v/>
      </c>
    </row>
    <row r="14516">
      <c r="B14516" s="9" t="n">
        <v>14514</v>
      </c>
      <c r="C14516" s="10" t="inlineStr">
        <is>
          <t>Cán bộ Phụ trách an toàn vệ sinh lao động (HSE)</t>
        </is>
      </c>
      <c r="D14516" s="10" t="inlineStr">
        <is>
          <t>CÔNG TY CỔ PHẦN XÂY DỰNG MEGASPACE</t>
        </is>
      </c>
      <c r="E14516" s="10" t="inlineStr">
        <is>
          <t>Lương:18 Tr - 25 Tr VND</t>
        </is>
      </c>
      <c r="F14516" s="10" t="inlineStr">
        <is>
          <t>Hà NộiBắc Ninh</t>
        </is>
      </c>
      <c r="G14516" s="10" t="inlineStr">
        <is>
          <t>25-03-2026</t>
        </is>
      </c>
      <c r="H14516" s="10" t="inlineStr">
        <is>
          <t>25/03/2026</t>
        </is>
      </c>
      <c r="I14516" s="10" t="inlineStr">
        <is>
          <t>17/03/2026</t>
        </is>
      </c>
      <c r="J14516" s="10" t="inlineStr">
        <is>
          <t>Xây dựng, An toàn lao động, Điện / Điện tử / Điện lạnh / Điện công nghiệp</t>
        </is>
      </c>
      <c r="K14516" s="10" t="inlineStr">
        <is>
          <t>Trên 5 Năm</t>
        </is>
      </c>
      <c r="L14516" s="11">
        <f>HYPERLINK("https://careerviet.vn/vi/tim-viec-lam/can-bo-phu-trach-an-toan-ve-sinh-lao-dong-hse.35C696CB.html","Xem chi tiết")</f>
        <v/>
      </c>
      <c r="M14516" s="10" t="n"/>
    </row>
    <row r="14517">
      <c r="B14517" s="7" t="n">
        <v>14515</v>
      </c>
      <c r="C14517" t="inlineStr">
        <is>
          <t>[Hồ Chí Minh] Trình Dược Viên ETC</t>
        </is>
      </c>
      <c r="D14517" t="inlineStr">
        <is>
          <t>Công ty Cổ phần Dược Hậu Giang</t>
        </is>
      </c>
      <c r="E14517" t="inlineStr">
        <is>
          <t>Lương:8 Tr - 15 Tr VND</t>
        </is>
      </c>
      <c r="F14517" t="inlineStr">
        <is>
          <t>Hồ Chí Minh</t>
        </is>
      </c>
      <c r="G14517" t="inlineStr">
        <is>
          <t>25-03-2026</t>
        </is>
      </c>
      <c r="H14517" t="inlineStr">
        <is>
          <t>25/03/2026</t>
        </is>
      </c>
      <c r="I14517" t="inlineStr">
        <is>
          <t>17/03/2026</t>
        </is>
      </c>
      <c r="J14517" t="inlineStr">
        <is>
          <t>Tiếp thị / Marketing, Bán hàng / Kinh doanh, Dược phẩm/ Hóa Mỹ Phẩm</t>
        </is>
      </c>
      <c r="K14517" t="inlineStr">
        <is>
          <t>1 - 3 Năm</t>
        </is>
      </c>
      <c r="L14517" s="8">
        <f>HYPERLINK("https://careerviet.vn/vi/tim-viec-lam/ho-chi-minh-trinh-duoc-vien-etc.35C69723.html","Xem chi tiết")</f>
        <v/>
      </c>
    </row>
    <row r="14518">
      <c r="B14518" s="9" t="n">
        <v>14516</v>
      </c>
      <c r="C14518" s="10" t="inlineStr">
        <is>
          <t>SEO Manager</t>
        </is>
      </c>
      <c r="D14518" s="10" t="inlineStr">
        <is>
          <t>DIAG</t>
        </is>
      </c>
      <c r="E14518" s="10" t="inlineStr">
        <is>
          <t>Lương:Cạnh tranh</t>
        </is>
      </c>
      <c r="F14518" s="10" t="inlineStr">
        <is>
          <t>Hồ Chí Minh</t>
        </is>
      </c>
      <c r="G14518" s="10" t="inlineStr">
        <is>
          <t>31-03-2026</t>
        </is>
      </c>
      <c r="H14518" s="10" t="inlineStr">
        <is>
          <t>31/03/2026</t>
        </is>
      </c>
      <c r="I14518" s="10" t="inlineStr">
        <is>
          <t>17/03/2026</t>
        </is>
      </c>
      <c r="J14518" s="10" t="inlineStr">
        <is>
          <t>Tiếp thị / Marketing, Thương mại điện tử, Y tế / Chăm sóc sức khỏe / Thẩm mỹ / Làm đẹp</t>
        </is>
      </c>
      <c r="K14518" s="10" t="inlineStr">
        <is>
          <t>5 - 7 Năm</t>
        </is>
      </c>
      <c r="L14518" s="11">
        <f>HYPERLINK("https://careerviet.vn/vi/tim-viec-lam/seo-manager.35C69802.html","Xem chi tiết")</f>
        <v/>
      </c>
      <c r="M14518" s="10" t="n"/>
    </row>
    <row r="14519">
      <c r="B14519" s="7" t="n">
        <v>14517</v>
      </c>
      <c r="C14519" t="inlineStr">
        <is>
          <t>Nhân Viên Thiết Kế Kiến Trúc Nội Thất</t>
        </is>
      </c>
      <c r="D14519" t="inlineStr">
        <is>
          <t>CÔNG TY TNHH KHÔNG GIAN A&amp;A</t>
        </is>
      </c>
      <c r="E14519" t="inlineStr">
        <is>
          <t>Lương:10 Tr - 14 Tr VND</t>
        </is>
      </c>
      <c r="F14519" t="inlineStr">
        <is>
          <t>Hồ Chí Minh</t>
        </is>
      </c>
      <c r="G14519" t="inlineStr">
        <is>
          <t>24-03-2026</t>
        </is>
      </c>
      <c r="H14519" t="inlineStr">
        <is>
          <t>24/03/2026</t>
        </is>
      </c>
      <c r="I14519" t="inlineStr">
        <is>
          <t>17/03/2026</t>
        </is>
      </c>
      <c r="J14519" t="inlineStr">
        <is>
          <t>Mỹ thuật / Nghệ thuật / Thiết kế, Nội ngoại thất, Kiến trúc</t>
        </is>
      </c>
      <c r="K14519" t="inlineStr">
        <is>
          <t>1 - 3 Năm</t>
        </is>
      </c>
      <c r="L14519" s="8">
        <f>HYPERLINK("https://careerviet.vn/vi/tim-viec-lam/nhan-vien-thiet-ke-kien-truc-noi-that.35C69872.html","Xem chi tiết")</f>
        <v/>
      </c>
    </row>
    <row r="14520">
      <c r="B14520" s="9" t="n">
        <v>14518</v>
      </c>
      <c r="C14520" s="10" t="inlineStr">
        <is>
          <t>Quản lý Vùng ETC (VĨNH LONG, TIỀN GIANG)</t>
        </is>
      </c>
      <c r="D14520" s="10" t="inlineStr">
        <is>
          <t>Công ty cổ phần Anvy</t>
        </is>
      </c>
      <c r="E14520" s="10" t="inlineStr">
        <is>
          <t>Lương:25 Tr - 40 Tr VND</t>
        </is>
      </c>
      <c r="F14520" s="10" t="inlineStr">
        <is>
          <t>Vĩnh LongTiền Giang</t>
        </is>
      </c>
      <c r="G14520" s="10" t="inlineStr">
        <is>
          <t>27-03-2026</t>
        </is>
      </c>
      <c r="H14520" s="10" t="inlineStr">
        <is>
          <t>27/03/2026</t>
        </is>
      </c>
      <c r="I14520" s="10" t="inlineStr">
        <is>
          <t>17/03/2026</t>
        </is>
      </c>
      <c r="J14520" s="10" t="inlineStr">
        <is>
          <t>Bán lẻ / Bán sỉ, Dược phẩm/ Hóa Mỹ Phẩm, Y tế / Chăm sóc sức khỏe / Thẩm mỹ / Làm đẹp</t>
        </is>
      </c>
      <c r="K14520" s="10" t="inlineStr">
        <is>
          <t>3 - 5 Năm</t>
        </is>
      </c>
      <c r="L14520" s="11">
        <f>HYPERLINK("https://careerviet.vn/vi/tim-viec-lam/quan-ly-vung-etc-vinh-long-tien-giang.35C697E5.html","Xem chi tiết")</f>
        <v/>
      </c>
      <c r="M14520" s="10" t="n"/>
    </row>
    <row r="14521">
      <c r="B14521" s="7" t="n">
        <v>14519</v>
      </c>
      <c r="C14521" t="inlineStr">
        <is>
          <t>Nhân viên Thủ kho lĩnh vực PCCC</t>
        </is>
      </c>
      <c r="D14521" t="inlineStr">
        <is>
          <t>CÔNG TY CỔ PHẦN CƠ ĐIỆN VÀ PCCC THĂNG LONG</t>
        </is>
      </c>
      <c r="E14521" t="inlineStr">
        <is>
          <t>Lương:10 Tr - 18 Tr VND</t>
        </is>
      </c>
      <c r="F14521" t="inlineStr">
        <is>
          <t>Quảng NinhBắc NinhHải Phòng</t>
        </is>
      </c>
      <c r="G14521" t="inlineStr">
        <is>
          <t>31-03-2026</t>
        </is>
      </c>
      <c r="H14521" t="inlineStr">
        <is>
          <t>31/03/2026</t>
        </is>
      </c>
      <c r="I14521" t="inlineStr">
        <is>
          <t>17/03/2026</t>
        </is>
      </c>
      <c r="J14521" t="inlineStr">
        <is>
          <t>Thu mua / Vật tư, Xây dựng, Điện / Điện tử / Điện lạnh / Điện công nghiệp</t>
        </is>
      </c>
      <c r="K14521" t="inlineStr">
        <is>
          <t>N/A</t>
        </is>
      </c>
      <c r="L14521" s="8">
        <f>HYPERLINK("https://careerviet.vn/vi/tim-viec-lam/nhan-vien-thu-kho-linh-vuc-pccc.35C696F4.html","Xem chi tiết")</f>
        <v/>
      </c>
    </row>
    <row r="14522">
      <c r="B14522" s="9" t="n">
        <v>14520</v>
      </c>
      <c r="C14522" s="10" t="inlineStr">
        <is>
          <t>Chỉ huy trưởng công trình</t>
        </is>
      </c>
      <c r="D14522" s="10" t="inlineStr">
        <is>
          <t>CÔNG TY TNHH DK BUILD</t>
        </is>
      </c>
      <c r="E14522" s="10" t="inlineStr">
        <is>
          <t>Lương:35 Tr - 40 Tr VND</t>
        </is>
      </c>
      <c r="F14522" s="10" t="inlineStr">
        <is>
          <t>Bình Dương</t>
        </is>
      </c>
      <c r="G14522" s="10" t="inlineStr">
        <is>
          <t>31-03-2026</t>
        </is>
      </c>
      <c r="H14522" s="10" t="inlineStr">
        <is>
          <t>31/03/2026</t>
        </is>
      </c>
      <c r="I14522" s="10" t="inlineStr">
        <is>
          <t>17/03/2026</t>
        </is>
      </c>
      <c r="J14522" s="10" t="inlineStr">
        <is>
          <t>Xây dựng</t>
        </is>
      </c>
      <c r="K14522" s="10" t="inlineStr">
        <is>
          <t>5 - 10 Năm</t>
        </is>
      </c>
      <c r="L14522" s="11">
        <f>HYPERLINK("https://careerviet.vn/vi/tim-viec-lam/chi-huy-truong-cong-trinh.35C697FC.html","Xem chi tiết")</f>
        <v/>
      </c>
      <c r="M14522" s="10" t="n"/>
    </row>
    <row r="14523">
      <c r="B14523" s="7" t="n">
        <v>14521</v>
      </c>
      <c r="C14523" t="inlineStr">
        <is>
          <t>Trưởng ban Vận hành Khu đô thị</t>
        </is>
      </c>
      <c r="D14523" t="inlineStr">
        <is>
          <t>Công ty cổ phần Tập đoàn Danko</t>
        </is>
      </c>
      <c r="E14523" t="inlineStr">
        <is>
          <t>Lương:40 Tr - 60 Tr VND</t>
        </is>
      </c>
      <c r="F14523" t="inlineStr">
        <is>
          <t>Thái Nguyên</t>
        </is>
      </c>
      <c r="G14523" t="inlineStr">
        <is>
          <t>30-03-2026</t>
        </is>
      </c>
      <c r="H14523" t="inlineStr">
        <is>
          <t>30/03/2026</t>
        </is>
      </c>
      <c r="I14523" t="inlineStr">
        <is>
          <t>17/03/2026</t>
        </is>
      </c>
      <c r="J14523" t="inlineStr">
        <is>
          <t>Xây dựng, Bất động sản, Điện / Điện tử / Điện lạnh / Điện công nghiệp</t>
        </is>
      </c>
      <c r="K14523" t="inlineStr">
        <is>
          <t>Trên 10 Năm</t>
        </is>
      </c>
      <c r="L14523" s="8">
        <f>HYPERLINK("https://careerviet.vn/vi/tim-viec-lam/truong-ban-van-hanh-khu-do-thi.35C694A1.html","Xem chi tiết")</f>
        <v/>
      </c>
    </row>
    <row r="14524">
      <c r="B14524" s="9" t="n">
        <v>14522</v>
      </c>
      <c r="C14524" s="10" t="inlineStr">
        <is>
          <t>Kỹ thuật viên FAI | Dầu Giây Đồng Nai</t>
        </is>
      </c>
      <c r="D14524" s="10" t="inlineStr">
        <is>
          <t>Techtronic Industries Vietnam Manufacturing Company Limited</t>
        </is>
      </c>
      <c r="E14524" s="10" t="inlineStr">
        <is>
          <t>Lương:Cạnh tranh</t>
        </is>
      </c>
      <c r="F14524" s="10" t="inlineStr">
        <is>
          <t>Đồng Nai</t>
        </is>
      </c>
      <c r="G14524" s="10" t="inlineStr">
        <is>
          <t>24-04-2026</t>
        </is>
      </c>
      <c r="H14524" s="10" t="inlineStr">
        <is>
          <t>24/04/2026</t>
        </is>
      </c>
      <c r="I14524" s="10" t="inlineStr">
        <is>
          <t>17/03/2026</t>
        </is>
      </c>
      <c r="J14524" s="10" t="inlineStr">
        <is>
          <t>Quản lý chất lượng (QA/QC)</t>
        </is>
      </c>
      <c r="K14524" s="10" t="inlineStr">
        <is>
          <t>1 - 3 Năm</t>
        </is>
      </c>
      <c r="L14524" s="11">
        <f>HYPERLINK("https://careerviet.vn/vi/tim-viec-lam/ky-thuat-vien-fai-dau-giay-dong-nai.35C69773.html","Xem chi tiết")</f>
        <v/>
      </c>
      <c r="M14524" s="10" t="n"/>
    </row>
    <row r="14525">
      <c r="B14525" s="7" t="n">
        <v>14523</v>
      </c>
      <c r="C14525" t="inlineStr">
        <is>
          <t>Nhân viên Sale Admin kênh B2B</t>
        </is>
      </c>
      <c r="D14525" t="inlineStr">
        <is>
          <t>Công ty cổ phần văn phòng phẩm Hồng Hà</t>
        </is>
      </c>
      <c r="E14525" t="inlineStr">
        <is>
          <t>Lương:10 Tr - 13 Tr VND</t>
        </is>
      </c>
      <c r="F14525" t="inlineStr">
        <is>
          <t>Hà Nội</t>
        </is>
      </c>
      <c r="G14525" t="inlineStr">
        <is>
          <t>31-03-2026</t>
        </is>
      </c>
      <c r="H14525" t="inlineStr">
        <is>
          <t>31/03/2026</t>
        </is>
      </c>
      <c r="I14525" t="inlineStr">
        <is>
          <t>17/03/2026</t>
        </is>
      </c>
      <c r="J14525" t="inlineStr">
        <is>
          <t>Tiếp thị / Marketing, Bán lẻ / Bán sỉ, Bán hàng / Kinh doanh</t>
        </is>
      </c>
      <c r="K14525" t="inlineStr">
        <is>
          <t>1 - 3 Năm</t>
        </is>
      </c>
      <c r="L14525" s="8">
        <f>HYPERLINK("https://careerviet.vn/vi/tim-viec-lam/nhan-vien-sale-admin-kenh-b2b.35C69466.html","Xem chi tiết")</f>
        <v/>
      </c>
    </row>
    <row r="14526">
      <c r="B14526" s="9" t="n">
        <v>14524</v>
      </c>
      <c r="C14526" s="10" t="inlineStr">
        <is>
          <t>Nhân Viên Chăm Sóc Khách Hàng</t>
        </is>
      </c>
      <c r="D14526" s="10" t="inlineStr">
        <is>
          <t>Công ty TNHH Khải Minh Group</t>
        </is>
      </c>
      <c r="E14526" s="10" t="inlineStr">
        <is>
          <t>Lương:8 Tr - 12 Tr VND</t>
        </is>
      </c>
      <c r="F14526" s="10" t="inlineStr">
        <is>
          <t>Hà Nội</t>
        </is>
      </c>
      <c r="G14526" s="10" t="inlineStr">
        <is>
          <t>28-03-2026</t>
        </is>
      </c>
      <c r="H14526" s="10" t="inlineStr">
        <is>
          <t>28/03/2026</t>
        </is>
      </c>
      <c r="I14526" s="10" t="inlineStr">
        <is>
          <t>17/03/2026</t>
        </is>
      </c>
      <c r="J14526" s="10" t="inlineStr">
        <is>
          <t>Dịch vụ khách hàng, Vận chuyển / Giao nhận / Kho vận, Xuất nhập khẩu</t>
        </is>
      </c>
      <c r="K14526" s="10" t="inlineStr">
        <is>
          <t>1 - 2 Năm</t>
        </is>
      </c>
      <c r="L14526" s="11">
        <f>HYPERLINK("https://careerviet.vn/vi/tim-viec-lam/nhan-vien-cham-soc-khach-hang.35C69166.html","Xem chi tiết")</f>
        <v/>
      </c>
      <c r="M14526" s="10" t="n"/>
    </row>
    <row r="14527">
      <c r="B14527" s="7" t="n">
        <v>14525</v>
      </c>
      <c r="C14527" t="inlineStr">
        <is>
          <t>HCM - TRƯỞNG NHÓM BẢO TRÌ - KỸ THUẬT ĐIỆN NƯỚC</t>
        </is>
      </c>
      <c r="D14527" t="inlineStr">
        <is>
          <t>Bảo mật</t>
        </is>
      </c>
      <c r="E14527" t="inlineStr">
        <is>
          <t>Lương:16 Tr - 20 Tr VND</t>
        </is>
      </c>
      <c r="F14527" t="inlineStr">
        <is>
          <t>Hồ Chí Minh</t>
        </is>
      </c>
      <c r="G14527" t="inlineStr">
        <is>
          <t>26-03-2026</t>
        </is>
      </c>
      <c r="H14527" t="inlineStr">
        <is>
          <t>26/03/2026</t>
        </is>
      </c>
      <c r="I14527" t="inlineStr">
        <is>
          <t>17/03/2026</t>
        </is>
      </c>
      <c r="J14527" t="inlineStr">
        <is>
          <t>Điện / Điện tử / Điện lạnh / Điện công nghiệp</t>
        </is>
      </c>
      <c r="K14527" t="inlineStr">
        <is>
          <t>2 - 5 Năm</t>
        </is>
      </c>
      <c r="L14527" s="8">
        <f>HYPERLINK("https://careerviet.vn/vi/tim-viec-lam/hcm-truong-nhom-bao-tri-ky-thuat-dien-nuoc.35C69869.html","Xem chi tiết")</f>
        <v/>
      </c>
    </row>
    <row r="14528">
      <c r="B14528" s="9" t="n">
        <v>14526</v>
      </c>
      <c r="C14528" s="10" t="inlineStr">
        <is>
          <t>Finance Executive (Accounts Payable)</t>
        </is>
      </c>
      <c r="D14528" s="10" t="inlineStr">
        <is>
          <t>CÔNG TY TNHH MSC VIỆT NAM</t>
        </is>
      </c>
      <c r="E14528" s="10" t="inlineStr">
        <is>
          <t>Lương:Cạnh tranh</t>
        </is>
      </c>
      <c r="F14528" s="10" t="inlineStr">
        <is>
          <t>Hồ Chí Minh</t>
        </is>
      </c>
      <c r="G14528" s="10" t="inlineStr">
        <is>
          <t>24-03-2026</t>
        </is>
      </c>
      <c r="H14528" s="10" t="inlineStr">
        <is>
          <t>24/03/2026</t>
        </is>
      </c>
      <c r="I14528" s="10" t="inlineStr">
        <is>
          <t>17/03/2026</t>
        </is>
      </c>
      <c r="J14528" s="10" t="inlineStr">
        <is>
          <t>Kế toán / Kiểm toán</t>
        </is>
      </c>
      <c r="K14528" s="10" t="inlineStr">
        <is>
          <t>1 - 2 Năm</t>
        </is>
      </c>
      <c r="L14528" s="11">
        <f>HYPERLINK("https://careerviet.vn/vi/tim-viec-lam/finance-executive-accounts-payable.35C69586.html","Xem chi tiết")</f>
        <v/>
      </c>
      <c r="M14528" s="10" t="n"/>
    </row>
    <row r="14529">
      <c r="B14529" s="7" t="n">
        <v>14527</v>
      </c>
      <c r="C14529" t="inlineStr">
        <is>
          <t>Giao dịch viên - NCB Thái Nguyên</t>
        </is>
      </c>
      <c r="D14529" t="inlineStr">
        <is>
          <t>Ngân Hàng TMCP Quốc Dân (NCB)</t>
        </is>
      </c>
      <c r="E14529" t="inlineStr">
        <is>
          <t>Lương:Cạnh tranh</t>
        </is>
      </c>
      <c r="F14529" t="inlineStr">
        <is>
          <t>Thái Nguyên</t>
        </is>
      </c>
      <c r="G14529" t="inlineStr">
        <is>
          <t>25-03-2026</t>
        </is>
      </c>
      <c r="H14529" t="inlineStr">
        <is>
          <t>25/03/2026</t>
        </is>
      </c>
      <c r="I14529" t="inlineStr">
        <is>
          <t>17/03/2026</t>
        </is>
      </c>
      <c r="J14529" t="inlineStr">
        <is>
          <t>Ngân hàng, Dịch vụ khách hàng, Tư vấn</t>
        </is>
      </c>
      <c r="K14529" t="inlineStr">
        <is>
          <t>Trên 1 Năm</t>
        </is>
      </c>
      <c r="L14529" s="8">
        <f>HYPERLINK("https://careerviet.vn/vi/tim-viec-lam/giao-dich-vien-ncb-thai-nguyen.35C6983D.html","Xem chi tiết")</f>
        <v/>
      </c>
    </row>
    <row r="14530">
      <c r="B14530" s="9" t="n">
        <v>14528</v>
      </c>
      <c r="C14530" s="10" t="inlineStr">
        <is>
          <t>HMK HỒ CHÍ MINH- TUYỂN GẤP NHÂN VIÊN BÁN HÀNG TẠI STORE</t>
        </is>
      </c>
      <c r="D14530" s="10" t="inlineStr">
        <is>
          <t>HMK Eyewear</t>
        </is>
      </c>
      <c r="E14530" s="10" t="inlineStr">
        <is>
          <t>Lương:7 Tr - 10 Tr VND</t>
        </is>
      </c>
      <c r="F14530" s="10" t="inlineStr">
        <is>
          <t>Hồ Chí Minh</t>
        </is>
      </c>
      <c r="G14530" s="10" t="inlineStr">
        <is>
          <t>31-03-2026</t>
        </is>
      </c>
      <c r="H14530" s="10" t="inlineStr">
        <is>
          <t>31/03/2026</t>
        </is>
      </c>
      <c r="I14530" s="10" t="inlineStr">
        <is>
          <t>17/03/2026</t>
        </is>
      </c>
      <c r="J14530" s="10" t="inlineStr">
        <is>
          <t>Tiếp thị / Marketing, Bán lẻ / Bán sỉ, Bán hàng / Kinh doanh</t>
        </is>
      </c>
      <c r="K14530" s="10" t="inlineStr">
        <is>
          <t>Chưa có kinh nghiệm</t>
        </is>
      </c>
      <c r="L14530" s="11">
        <f>HYPERLINK("https://careerviet.vn/vi/tim-viec-lam/hmk-ho-chi-minh-tuyen-gap-nhan-vien-ban-hang-tai-store.35C69890.html","Xem chi tiết")</f>
        <v/>
      </c>
      <c r="M14530" s="10" t="n"/>
    </row>
    <row r="14531">
      <c r="B14531" s="7" t="n">
        <v>14529</v>
      </c>
      <c r="C14531" t="inlineStr">
        <is>
          <t>Chuyên viên lập trình máy CNC</t>
        </is>
      </c>
      <c r="D14531" t="inlineStr">
        <is>
          <t>CÔNG TY TNHH MTV KỸ THUẬT TÚ LỘC</t>
        </is>
      </c>
      <c r="E14531" t="inlineStr">
        <is>
          <t>Lương:12 Tr - 17 Tr VND</t>
        </is>
      </c>
      <c r="F14531" t="inlineStr">
        <is>
          <t>Hồ Chí Minh</t>
        </is>
      </c>
      <c r="G14531" t="inlineStr">
        <is>
          <t>1</t>
        </is>
      </c>
      <c r="H14531" t="inlineStr">
        <is>
          <t>18/03/2026</t>
        </is>
      </c>
      <c r="I14531" t="inlineStr">
        <is>
          <t>17/03/2026</t>
        </is>
      </c>
      <c r="J14531" t="inlineStr">
        <is>
          <t>Sản xuất / Vận hành sản xuất, Cơ khí / Ô tô / Tự động hóa, Xây dựng</t>
        </is>
      </c>
      <c r="K14531" t="inlineStr">
        <is>
          <t>2 - 3 Năm</t>
        </is>
      </c>
      <c r="L14531" s="8">
        <f>HYPERLINK("https://careerviet.vn/vi/tim-viec-lam/chuyen-vien-lap-trinh-may-cnc.35C694D6.html","Xem chi tiết")</f>
        <v/>
      </c>
    </row>
    <row r="14532">
      <c r="B14532" s="9" t="n">
        <v>14530</v>
      </c>
      <c r="C14532" s="10" t="inlineStr">
        <is>
          <t>Nhân viên Thủ Kho (Hà Nội)</t>
        </is>
      </c>
      <c r="D14532" s="10" t="inlineStr">
        <is>
          <t>CÔNG TY TNHH MTV KỸ THUẬT TÚ LỘC</t>
        </is>
      </c>
      <c r="E14532" s="10" t="inlineStr">
        <is>
          <t>Lương:9 Tr - 12 Tr VND</t>
        </is>
      </c>
      <c r="F14532" s="10" t="inlineStr">
        <is>
          <t>Hà Nội</t>
        </is>
      </c>
      <c r="G14532" s="10" t="inlineStr">
        <is>
          <t>10-03-2026</t>
        </is>
      </c>
      <c r="H14532" s="10" t="inlineStr">
        <is>
          <t>16/03/2026</t>
        </is>
      </c>
      <c r="I14532" s="10" t="inlineStr">
        <is>
          <t>17/03/2026</t>
        </is>
      </c>
      <c r="J14532" s="10" t="inlineStr">
        <is>
          <t>Vận chuyển / Giao nhận / Kho vận, Cơ khí / Ô tô / Tự động hóa, Sản xuất / Vận hành sản xuất</t>
        </is>
      </c>
      <c r="K14532" s="10" t="inlineStr">
        <is>
          <t>1 - 2 Năm</t>
        </is>
      </c>
      <c r="L14532" s="11">
        <f>HYPERLINK("https://careerviet.vn/vi/tim-viec-lam/nhan-vien-thu-kho-ha-noi.35C694C2.html","Xem chi tiết")</f>
        <v/>
      </c>
      <c r="M14532" s="10" t="n"/>
    </row>
    <row r="14533">
      <c r="B14533" s="7" t="n">
        <v>14531</v>
      </c>
      <c r="C14533" t="inlineStr">
        <is>
          <t>HCM - Kế toán Kho</t>
        </is>
      </c>
      <c r="D14533" t="inlineStr">
        <is>
          <t>Công ty TNHH Thiên Thủy Mộc</t>
        </is>
      </c>
      <c r="E14533" t="inlineStr">
        <is>
          <t>Lương:10 Tr - 15 Tr VND</t>
        </is>
      </c>
      <c r="F14533" t="inlineStr">
        <is>
          <t>Hà Nội</t>
        </is>
      </c>
      <c r="G14533" t="inlineStr">
        <is>
          <t>25-03-2026</t>
        </is>
      </c>
      <c r="H14533" t="inlineStr">
        <is>
          <t>25/03/2026</t>
        </is>
      </c>
      <c r="I14533" t="inlineStr">
        <is>
          <t>17/03/2026</t>
        </is>
      </c>
      <c r="J14533" t="inlineStr">
        <is>
          <t>Vận chuyển / Giao nhận / Kho vận, Kế toán / Kiểm toán</t>
        </is>
      </c>
      <c r="K14533" t="inlineStr">
        <is>
          <t>2 - 4 Năm</t>
        </is>
      </c>
      <c r="L14533" s="8">
        <f>HYPERLINK("https://careerviet.vn/vi/tim-viec-lam/hcm-ke-toan-kho.35C6984A.html","Xem chi tiết")</f>
        <v/>
      </c>
    </row>
    <row r="14534">
      <c r="B14534" s="9" t="n">
        <v>14532</v>
      </c>
      <c r="C14534" s="10" t="inlineStr">
        <is>
          <t>Production Process Engineer (4 vị trí)</t>
        </is>
      </c>
      <c r="D14534" s="10" t="inlineStr">
        <is>
          <t>OMV Co., Ltd</t>
        </is>
      </c>
      <c r="E14534" s="10" t="inlineStr">
        <is>
          <t>Lương:Cạnh tranh</t>
        </is>
      </c>
      <c r="F14534" s="10" t="inlineStr">
        <is>
          <t>Long An</t>
        </is>
      </c>
      <c r="G14534" s="10" t="inlineStr">
        <is>
          <t>25-03-2026</t>
        </is>
      </c>
      <c r="H14534" s="10" t="inlineStr">
        <is>
          <t>25/03/2026</t>
        </is>
      </c>
      <c r="I14534" s="10" t="inlineStr">
        <is>
          <t>17/03/2026</t>
        </is>
      </c>
      <c r="J14534" s="10" t="inlineStr">
        <is>
          <t>Sản xuất / Vận hành sản xuất, Cơ khí / Ô tô / Tự động hóa</t>
        </is>
      </c>
      <c r="K14534" s="10" t="inlineStr">
        <is>
          <t>3 - 5 Năm</t>
        </is>
      </c>
      <c r="L14534" s="11">
        <f>HYPERLINK("https://careerviet.vn/vi/tim-viec-lam/production-process-engineer-4-vi-tri.35C694EE.html","Xem chi tiết")</f>
        <v/>
      </c>
      <c r="M14534" s="10" t="n"/>
    </row>
    <row r="14535">
      <c r="B14535" s="7" t="n">
        <v>14533</v>
      </c>
      <c r="C14535" t="inlineStr">
        <is>
          <t>Nhân Viên Lái Xe Nâng _ KCN Biên Hòa II</t>
        </is>
      </c>
      <c r="D14535" t="inlineStr">
        <is>
          <t>Công ty TNHH Olam Việt Nam</t>
        </is>
      </c>
      <c r="E14535" t="inlineStr">
        <is>
          <t>Lương:Cạnh tranh</t>
        </is>
      </c>
      <c r="F14535" t="inlineStr">
        <is>
          <t>Đồng Nai</t>
        </is>
      </c>
      <c r="G14535" t="inlineStr">
        <is>
          <t>25-03-2026</t>
        </is>
      </c>
      <c r="H14535" t="inlineStr">
        <is>
          <t>25/03/2026</t>
        </is>
      </c>
      <c r="I14535" t="inlineStr">
        <is>
          <t>17/03/2026</t>
        </is>
      </c>
      <c r="J14535" t="inlineStr">
        <is>
          <t>Vận chuyển / Giao nhận / Kho vận, Thực phẩm &amp; Đồ uống</t>
        </is>
      </c>
      <c r="K14535" t="inlineStr">
        <is>
          <t>N/A</t>
        </is>
      </c>
      <c r="L14535" s="8">
        <f>HYPERLINK("https://careerviet.vn/vi/tim-viec-lam/nhan-vien-lai-xe-nang-_-kcn-bien-hoa-ii.35C69660.html","Xem chi tiết")</f>
        <v/>
      </c>
    </row>
    <row r="14536">
      <c r="B14536" s="9" t="n">
        <v>14534</v>
      </c>
      <c r="C14536" s="10" t="inlineStr">
        <is>
          <t>Kế Toán Tổng Hợp Lương từ 18tr - 23tr</t>
        </is>
      </c>
      <c r="D14536" s="10" t="inlineStr">
        <is>
          <t>CÔNG TY TNHH HÒA QUẦN</t>
        </is>
      </c>
      <c r="E14536" s="10" t="inlineStr">
        <is>
          <t>Lương:18 Tr - 23 Tr VND</t>
        </is>
      </c>
      <c r="F14536" s="10" t="inlineStr">
        <is>
          <t>Hà Nội</t>
        </is>
      </c>
      <c r="G14536" s="10" t="inlineStr">
        <is>
          <t>31-03-2026</t>
        </is>
      </c>
      <c r="H14536" s="10" t="inlineStr">
        <is>
          <t>31/03/2026</t>
        </is>
      </c>
      <c r="I14536" s="10" t="inlineStr">
        <is>
          <t>17/03/2026</t>
        </is>
      </c>
      <c r="J14536" s="10" t="inlineStr">
        <is>
          <t>Kế toán / Kiểm toán, Xây dựng</t>
        </is>
      </c>
      <c r="K14536" s="10" t="inlineStr">
        <is>
          <t>N/A</t>
        </is>
      </c>
      <c r="L14536" s="11">
        <f>HYPERLINK("https://careerviet.vn/vi/tim-viec-lam/ke-toan-tong-hop-luong-tu-18tr-23tr.35C690C3.html","Xem chi tiết")</f>
        <v/>
      </c>
      <c r="M14536" s="10" t="n"/>
    </row>
    <row r="14537">
      <c r="B14537" s="7" t="n">
        <v>14535</v>
      </c>
      <c r="C14537" t="inlineStr">
        <is>
          <t>HCM - Trưởng nhóm bán hàng (Thiết Bị Làm Đẹp)</t>
        </is>
      </c>
      <c r="D14537" t="inlineStr">
        <is>
          <t>Công ty TNHH Thiên Thủy Mộc</t>
        </is>
      </c>
      <c r="E14537" t="inlineStr">
        <is>
          <t>Lương:15 Tr - 17 Tr VND</t>
        </is>
      </c>
      <c r="F14537" t="inlineStr">
        <is>
          <t>Hồ Chí Minh</t>
        </is>
      </c>
      <c r="G14537" t="inlineStr">
        <is>
          <t>26-03-2026</t>
        </is>
      </c>
      <c r="H14537" t="inlineStr">
        <is>
          <t>26/03/2026</t>
        </is>
      </c>
      <c r="I14537" t="inlineStr">
        <is>
          <t>17/03/2026</t>
        </is>
      </c>
      <c r="J14537" t="inlineStr">
        <is>
          <t>Y tế / Chăm sóc sức khỏe / Thẩm mỹ / Làm đẹp</t>
        </is>
      </c>
      <c r="K14537" t="inlineStr">
        <is>
          <t>2 - 5 Năm</t>
        </is>
      </c>
      <c r="L14537" s="8">
        <f>HYPERLINK("https://careerviet.vn/vi/tim-viec-lam/hcm-truong-nhom-ban-hang-thiet-bi-lam-dep.35C6986B.html","Xem chi tiết")</f>
        <v/>
      </c>
    </row>
    <row r="14538">
      <c r="B14538" s="9" t="n">
        <v>14536</v>
      </c>
      <c r="C14538" s="10" t="inlineStr">
        <is>
          <t>Nhân Viên Hành Chính Nhân Sự</t>
        </is>
      </c>
      <c r="D14538" s="10" t="inlineStr">
        <is>
          <t>Công ty TNHH Viễn thông IPN</t>
        </is>
      </c>
      <c r="E14538" s="10" t="inlineStr">
        <is>
          <t>Lương:10 Tr - 13 Tr VND</t>
        </is>
      </c>
      <c r="F14538" s="10" t="inlineStr">
        <is>
          <t>Hà Nội</t>
        </is>
      </c>
      <c r="G14538" s="10" t="inlineStr">
        <is>
          <t>24-03-2026</t>
        </is>
      </c>
      <c r="H14538" s="10" t="inlineStr">
        <is>
          <t>24/03/2026</t>
        </is>
      </c>
      <c r="I14538" s="10" t="inlineStr">
        <is>
          <t>17/03/2026</t>
        </is>
      </c>
      <c r="J14538" s="10" t="inlineStr">
        <is>
          <t>Hành chính / Thư ký, Nhân sự, Dịch vụ khách hàng</t>
        </is>
      </c>
      <c r="K14538" s="10" t="inlineStr">
        <is>
          <t>Lên đến 1 Năm</t>
        </is>
      </c>
      <c r="L14538" s="11">
        <f>HYPERLINK("https://careerviet.vn/vi/tim-viec-lam/nhan-vien-hanh-chinh-nhan-su.35C69641.html","Xem chi tiết")</f>
        <v/>
      </c>
      <c r="M14538" s="10" t="n"/>
    </row>
    <row r="14539">
      <c r="B14539" s="7" t="n">
        <v>14537</v>
      </c>
      <c r="C14539" t="inlineStr">
        <is>
          <t>Đầu Bếp</t>
        </is>
      </c>
      <c r="D14539" t="inlineStr">
        <is>
          <t>Công Ty Cổ Phần Y Tế Việt Tiến</t>
        </is>
      </c>
      <c r="E14539" t="inlineStr">
        <is>
          <t>Lương:Cạnh tranh</t>
        </is>
      </c>
      <c r="F14539" t="inlineStr">
        <is>
          <t>Hồ Chí Minh</t>
        </is>
      </c>
      <c r="G14539" t="inlineStr">
        <is>
          <t>27-03-2026</t>
        </is>
      </c>
      <c r="H14539" t="inlineStr">
        <is>
          <t>27/03/2026</t>
        </is>
      </c>
      <c r="I14539" t="inlineStr">
        <is>
          <t>17/03/2026</t>
        </is>
      </c>
      <c r="J14539" t="inlineStr">
        <is>
          <t>Nhà hàng / Khách sạn</t>
        </is>
      </c>
      <c r="K14539" t="inlineStr">
        <is>
          <t>3 - 5 Năm</t>
        </is>
      </c>
      <c r="L14539" s="8">
        <f>HYPERLINK("https://careerviet.vn/vi/tim-viec-lam/dau-bep.35C69571.html","Xem chi tiết")</f>
        <v/>
      </c>
    </row>
    <row r="14540">
      <c r="B14540" s="9" t="n">
        <v>14538</v>
      </c>
      <c r="C14540" s="10" t="inlineStr">
        <is>
          <t>HCM_Marketing Executive</t>
        </is>
      </c>
      <c r="D14540" s="10" t="inlineStr">
        <is>
          <t>Công ty TNHH Thiên Thủy Mộc</t>
        </is>
      </c>
      <c r="E14540" s="10" t="inlineStr">
        <is>
          <t>Lương:15 Tr - 20 Tr VND</t>
        </is>
      </c>
      <c r="F14540" s="10" t="inlineStr">
        <is>
          <t>Hồ Chí Minh</t>
        </is>
      </c>
      <c r="G14540" s="10" t="inlineStr">
        <is>
          <t>26-03-2026</t>
        </is>
      </c>
      <c r="H14540" s="10" t="inlineStr">
        <is>
          <t>26/03/2026</t>
        </is>
      </c>
      <c r="I14540" s="10" t="inlineStr">
        <is>
          <t>17/03/2026</t>
        </is>
      </c>
      <c r="J14540" s="10" t="inlineStr">
        <is>
          <t>Tiếp thị / Marketing, Truyền hình / Báo chí / Biên tập, Quảng cáo / Đối ngoại / Truyền Thông</t>
        </is>
      </c>
      <c r="K14540" s="10" t="inlineStr">
        <is>
          <t>3 - 5 Năm</t>
        </is>
      </c>
      <c r="L14540" s="11">
        <f>HYPERLINK("https://careerviet.vn/vi/tim-viec-lam/hcm_marketing-executive.35C6986D.html","Xem chi tiết")</f>
        <v/>
      </c>
      <c r="M14540" s="10" t="n"/>
    </row>
    <row r="14541">
      <c r="B14541" s="7" t="n">
        <v>14539</v>
      </c>
      <c r="C14541" t="inlineStr">
        <is>
          <t>NHÂN VIÊN THEO DÕI ĐƠN HÀNG</t>
        </is>
      </c>
      <c r="D14541" t="inlineStr">
        <is>
          <t>Công Ty TNHH May Thêu Giày An Phước</t>
        </is>
      </c>
      <c r="E14541" t="inlineStr">
        <is>
          <t>Lương:Cạnh tranh</t>
        </is>
      </c>
      <c r="F14541" t="inlineStr">
        <is>
          <t>Hồ Chí Minh</t>
        </is>
      </c>
      <c r="G14541" t="inlineStr">
        <is>
          <t>10-03-2026</t>
        </is>
      </c>
      <c r="H14541" t="inlineStr">
        <is>
          <t>16/03/2026</t>
        </is>
      </c>
      <c r="I14541" t="inlineStr">
        <is>
          <t>17/03/2026</t>
        </is>
      </c>
      <c r="J14541" t="inlineStr">
        <is>
          <t>Dệt may / Da giày / Thời trang, Thu mua / Vật tư, Quản lý chất lượng (QA/QC)</t>
        </is>
      </c>
      <c r="K14541" t="inlineStr">
        <is>
          <t>3 - 5 Năm</t>
        </is>
      </c>
      <c r="L14541" s="8">
        <f>HYPERLINK("https://careerviet.vn/vi/tim-viec-lam/nhan-vien-theo-doi-don-hang.35C69592.html","Xem chi tiết")</f>
        <v/>
      </c>
    </row>
    <row r="14542">
      <c r="B14542" s="9" t="n">
        <v>14540</v>
      </c>
      <c r="C14542" s="10" t="inlineStr">
        <is>
          <t>TỔ TRƯỜNG KẾ HOẠCH</t>
        </is>
      </c>
      <c r="D14542" s="10" t="inlineStr">
        <is>
          <t>CÔNG TY CỔ PHẦN CHẾ BIẾN THỰC PHẨM HOÀNG SƠN</t>
        </is>
      </c>
      <c r="E14542" s="10" t="inlineStr">
        <is>
          <t>Lương:12 Tr - 15 Tr VND</t>
        </is>
      </c>
      <c r="F14542" s="10" t="inlineStr">
        <is>
          <t>Bình Dương</t>
        </is>
      </c>
      <c r="G14542" s="10" t="inlineStr">
        <is>
          <t>31-03-2026</t>
        </is>
      </c>
      <c r="H14542" s="10" t="inlineStr">
        <is>
          <t>31/03/2026</t>
        </is>
      </c>
      <c r="I14542" s="10" t="inlineStr">
        <is>
          <t>17/03/2026</t>
        </is>
      </c>
      <c r="J14542" s="10" t="inlineStr">
        <is>
          <t>Sản xuất / Vận hành sản xuất, Vận chuyển / Giao nhận / Kho vận, Quản lý điều hành</t>
        </is>
      </c>
      <c r="K14542" s="10" t="inlineStr">
        <is>
          <t>2 - 3 Năm</t>
        </is>
      </c>
      <c r="L14542" s="11">
        <f>HYPERLINK("https://careerviet.vn/vi/tim-viec-lam/to-truong-ke-hoach.35C6972A.html","Xem chi tiết")</f>
        <v/>
      </c>
      <c r="M14542" s="10" t="n"/>
    </row>
    <row r="14543">
      <c r="B14543" s="7" t="n">
        <v>14541</v>
      </c>
      <c r="C14543" t="inlineStr">
        <is>
          <t>Chuyên viên Phòng chống rửa tiền - Anti Money Laundering Specialist  - Khối Quản trị rủi ro (HO26.57)</t>
        </is>
      </c>
      <c r="D14543" t="inlineStr">
        <is>
          <t>Ngân Hàng TMCP Quân Đội</t>
        </is>
      </c>
      <c r="E14543" t="inlineStr">
        <is>
          <t>Lương:Cạnh tranh</t>
        </is>
      </c>
      <c r="F14543" t="inlineStr">
        <is>
          <t>Hà Nội</t>
        </is>
      </c>
      <c r="G14543" t="inlineStr">
        <is>
          <t>26-03-2026</t>
        </is>
      </c>
      <c r="H14543" t="inlineStr">
        <is>
          <t>26/03/2026</t>
        </is>
      </c>
      <c r="I14543" t="inlineStr">
        <is>
          <t>17/03/2026</t>
        </is>
      </c>
      <c r="J14543" t="inlineStr">
        <is>
          <t>Ngân hàng, Tài chính / Đầu tư, Luật / Pháp lý</t>
        </is>
      </c>
      <c r="K14543" t="inlineStr">
        <is>
          <t>Trên 1 Năm</t>
        </is>
      </c>
      <c r="L14543" s="8">
        <f>HYPERLINK("https://careerviet.vn/vi/tim-viec-lam/chuyen-vien-phong-chong-rua-tien-anti-money-laundering-specialist-khoi-quan-tri-rui-ro-ho26-57.35C698A4.html","Xem chi tiết")</f>
        <v/>
      </c>
    </row>
    <row r="14544">
      <c r="B14544" s="9" t="n">
        <v>14542</v>
      </c>
      <c r="C14544" s="10" t="inlineStr">
        <is>
          <t>Giám đốc Quan hệ khách hàng doanh nghiệp lớn (SRM - LCs) - Khu vực Hà Nội</t>
        </is>
      </c>
      <c r="D14544" s="10" t="inlineStr">
        <is>
          <t>Ngân Hàng TMCP Quốc Dân (NCB)</t>
        </is>
      </c>
      <c r="E14544" s="10" t="inlineStr">
        <is>
          <t>Lương:Cạnh tranh</t>
        </is>
      </c>
      <c r="F14544" s="10" t="inlineStr">
        <is>
          <t>Hà Nội</t>
        </is>
      </c>
      <c r="G14544" s="10" t="inlineStr">
        <is>
          <t>25-03-2026</t>
        </is>
      </c>
      <c r="H14544" s="10" t="inlineStr">
        <is>
          <t>25/03/2026</t>
        </is>
      </c>
      <c r="I14544" s="10" t="inlineStr">
        <is>
          <t>17/03/2026</t>
        </is>
      </c>
      <c r="J14544" s="10" t="inlineStr">
        <is>
          <t>Ngân hàng, Bán hàng / Kinh doanh, Tài chính / Đầu tư</t>
        </is>
      </c>
      <c r="K14544" s="10" t="inlineStr">
        <is>
          <t>Trên 1 Năm</t>
        </is>
      </c>
      <c r="L14544" s="11">
        <f>HYPERLINK("https://careerviet.vn/vi/tim-viec-lam/giam-doc-quan-he-khach-hang-doanh-nghiep-lon-srm-lcs-khu-vuc-ha-noi.35C6976B.html","Xem chi tiết")</f>
        <v/>
      </c>
      <c r="M14544" s="10" t="n"/>
    </row>
    <row r="14545">
      <c r="B14545" s="7" t="n">
        <v>14543</v>
      </c>
      <c r="C14545" t="inlineStr">
        <is>
          <t>TA/Employer Branding Officer</t>
        </is>
      </c>
      <c r="D14545" t="inlineStr">
        <is>
          <t>Action Composites Hightech Industries</t>
        </is>
      </c>
      <c r="E14545" t="inlineStr">
        <is>
          <t>Lương:Cạnh tranh</t>
        </is>
      </c>
      <c r="F14545" t="inlineStr">
        <is>
          <t>Đồng Nai</t>
        </is>
      </c>
      <c r="G14545" t="inlineStr">
        <is>
          <t>31-03-2026</t>
        </is>
      </c>
      <c r="H14545" t="inlineStr">
        <is>
          <t>31/03/2026</t>
        </is>
      </c>
      <c r="I14545" t="inlineStr">
        <is>
          <t>17/03/2026</t>
        </is>
      </c>
      <c r="J14545" t="inlineStr">
        <is>
          <t>Nhân sự, Sản xuất / Vận hành sản xuất, Tiếp thị / Marketing</t>
        </is>
      </c>
      <c r="K14545" t="inlineStr">
        <is>
          <t>2 - 3 Năm</t>
        </is>
      </c>
      <c r="L14545" s="8">
        <f>HYPERLINK("https://careerviet.vn/vi/tim-viec-lam/ta-employer-branding-officer.35C69778.html","Xem chi tiết")</f>
        <v/>
      </c>
    </row>
    <row r="14546">
      <c r="B14546" s="9" t="n">
        <v>14544</v>
      </c>
      <c r="C14546" s="10" t="inlineStr">
        <is>
          <t>Chuyên Viên Tuyển Dụng</t>
        </is>
      </c>
      <c r="D14546" s="10" t="inlineStr">
        <is>
          <t>CÔNG TY TNHH RYDER INDUSTRIES VIỆT NAM</t>
        </is>
      </c>
      <c r="E14546" s="10" t="inlineStr">
        <is>
          <t>Lương:Cạnh tranh</t>
        </is>
      </c>
      <c r="F14546" s="10" t="inlineStr">
        <is>
          <t>Đồng Nai</t>
        </is>
      </c>
      <c r="G14546" s="10" t="inlineStr">
        <is>
          <t>10-03-2026</t>
        </is>
      </c>
      <c r="H14546" s="10" t="inlineStr">
        <is>
          <t>18/10/2025</t>
        </is>
      </c>
      <c r="I14546" s="10" t="inlineStr">
        <is>
          <t>17/03/2026</t>
        </is>
      </c>
      <c r="J14546" s="10" t="inlineStr">
        <is>
          <t>Hành chính / Thư ký, Nhân sự, Sản xuất / Vận hành sản xuất</t>
        </is>
      </c>
      <c r="K14546" s="10" t="inlineStr">
        <is>
          <t>Trên 1 Năm</t>
        </is>
      </c>
      <c r="L14546" s="11">
        <f>HYPERLINK("https://careerviet.vn/vi/tim-viec-lam/chuyen-vien-tuyen-dung.35C599C0.html","Xem chi tiết")</f>
        <v/>
      </c>
      <c r="M14546" s="10" t="n"/>
    </row>
    <row r="14547">
      <c r="B14547" s="7" t="n">
        <v>14545</v>
      </c>
      <c r="C14547" t="inlineStr">
        <is>
          <t>Kỹ Sư Giám Sát Xây Dựng (Cụm Đà Lạt)</t>
        </is>
      </c>
      <c r="D14547" t="inlineStr">
        <is>
          <t>Công Ty Cổ Phần Tập Đoàn Đầu Tư Địa Ốc No Va</t>
        </is>
      </c>
      <c r="E14547" t="inlineStr">
        <is>
          <t>Lương:Cạnh tranh</t>
        </is>
      </c>
      <c r="F14547" t="inlineStr">
        <is>
          <t>Lâm Đồng</t>
        </is>
      </c>
      <c r="G14547" t="inlineStr">
        <is>
          <t>31-03-2026</t>
        </is>
      </c>
      <c r="H14547" t="inlineStr">
        <is>
          <t>31/03/2026</t>
        </is>
      </c>
      <c r="I14547" t="inlineStr">
        <is>
          <t>17/03/2026</t>
        </is>
      </c>
      <c r="J14547" t="inlineStr">
        <is>
          <t>Bất động sản</t>
        </is>
      </c>
      <c r="K14547" t="inlineStr">
        <is>
          <t>8 - 15 Năm</t>
        </is>
      </c>
      <c r="L14547" s="8">
        <f>HYPERLINK("https://careerviet.vn/vi/tim-viec-lam/ky-su-giam-sat-xay-dung-cum-da-lat.35C69670.html","Xem chi tiết")</f>
        <v/>
      </c>
    </row>
    <row r="14548">
      <c r="B14548" s="9" t="n">
        <v>14546</v>
      </c>
      <c r="C14548" s="10" t="inlineStr">
        <is>
          <t>Chuyên viên, Chuyên viên cao cấp Quản trị rủi ro tập đoàn - Corporate Risk Management Specialist - Khối Quản trị rủi ro (HO26.52)</t>
        </is>
      </c>
      <c r="D14548" s="10" t="inlineStr">
        <is>
          <t>Ngân Hàng TMCP Quân Đội</t>
        </is>
      </c>
      <c r="E14548" s="10" t="inlineStr">
        <is>
          <t>Lương:Cạnh tranh</t>
        </is>
      </c>
      <c r="F14548" s="10" t="inlineStr">
        <is>
          <t>Hà Nội</t>
        </is>
      </c>
      <c r="G14548" s="10" t="inlineStr">
        <is>
          <t>26-03-2026</t>
        </is>
      </c>
      <c r="H14548" s="10" t="inlineStr">
        <is>
          <t>26/03/2026</t>
        </is>
      </c>
      <c r="I14548" s="10" t="inlineStr">
        <is>
          <t>17/03/2026</t>
        </is>
      </c>
      <c r="J14548" s="10" t="inlineStr">
        <is>
          <t>Ngân hàng, Tài chính / Đầu tư, Luật / Pháp lý</t>
        </is>
      </c>
      <c r="K14548" s="10" t="inlineStr">
        <is>
          <t>Trên 1 Năm</t>
        </is>
      </c>
      <c r="L14548" s="11">
        <f>HYPERLINK("https://careerviet.vn/vi/tim-viec-lam/chuyen-vien-chuyen-vien-cao-cap-quan-tri-rui-ro-tap-doan-corporate-risk-management-specialist-khoi-quan-tri-rui-ro-ho26-52.35C6989F.html","Xem chi tiết")</f>
        <v/>
      </c>
      <c r="M14548" s="10" t="n"/>
    </row>
    <row r="14549">
      <c r="B14549" s="7" t="n">
        <v>14547</v>
      </c>
      <c r="C14549" t="inlineStr">
        <is>
          <t>Nhân viên Phát triển thương hiệu (Chuyên quay và dựng clip)</t>
        </is>
      </c>
      <c r="D14549" t="inlineStr">
        <is>
          <t>CÔNG TY CỔ PHẦN NHỰA BÌNH MINH</t>
        </is>
      </c>
      <c r="E14549" t="inlineStr">
        <is>
          <t>Lương:10 Tr - 15 Tr VND</t>
        </is>
      </c>
      <c r="F14549" t="inlineStr">
        <is>
          <t>Hồ Chí Minh</t>
        </is>
      </c>
      <c r="G14549" t="inlineStr">
        <is>
          <t>26-03-2026</t>
        </is>
      </c>
      <c r="H14549" t="inlineStr">
        <is>
          <t>26/03/2026</t>
        </is>
      </c>
      <c r="I14549" t="inlineStr">
        <is>
          <t>17/03/2026</t>
        </is>
      </c>
      <c r="J14549" t="inlineStr">
        <is>
          <t>Tiếp thị / Marketing</t>
        </is>
      </c>
      <c r="K14549" t="inlineStr">
        <is>
          <t>1 - 2 Năm</t>
        </is>
      </c>
      <c r="L14549" s="8">
        <f>HYPERLINK("https://careerviet.vn/vi/tim-viec-lam/nhan-vien-phat-trien-thuong-hieu-chuyen-quay-va-dung-clip.35C6965D.html","Xem chi tiết")</f>
        <v/>
      </c>
    </row>
    <row r="14550">
      <c r="B14550" s="9" t="n">
        <v>14548</v>
      </c>
      <c r="C14550" s="10" t="inlineStr">
        <is>
          <t>QUẢN LÝ KINH DOANH (DSM) KÊNH OTC KHU VỰC CÀ MAU - BẠC LIÊU</t>
        </is>
      </c>
      <c r="D14550" s="10" t="inlineStr">
        <is>
          <t>BOSTON PHARMA - Công Ty CP Dược Phẩm Boston Việt Nam</t>
        </is>
      </c>
      <c r="E14550" s="10" t="inlineStr">
        <is>
          <t>Lương:Cạnh tranh</t>
        </is>
      </c>
      <c r="F14550" s="10" t="inlineStr">
        <is>
          <t>Cần Thơ</t>
        </is>
      </c>
      <c r="G14550" s="10" t="inlineStr">
        <is>
          <t>25-03-2026</t>
        </is>
      </c>
      <c r="H14550" s="10" t="inlineStr">
        <is>
          <t>25/03/2026</t>
        </is>
      </c>
      <c r="I14550" s="10" t="inlineStr">
        <is>
          <t>17/03/2026</t>
        </is>
      </c>
      <c r="J14550" s="10" t="inlineStr">
        <is>
          <t>Bán hàng / Kinh doanh, Dược phẩm/ Hóa Mỹ Phẩm, Quản lý điều hành</t>
        </is>
      </c>
      <c r="K14550" s="10" t="inlineStr">
        <is>
          <t>2 - 3 Năm</t>
        </is>
      </c>
      <c r="L14550" s="11">
        <f>HYPERLINK("https://careerviet.vn/vi/tim-viec-lam/quan-ly-kinh-doanh-dsm-kenh-otc-khu-vuc-ca-mau-bac-lieu.35C695C3.html","Xem chi tiết")</f>
        <v/>
      </c>
      <c r="M14550" s="10" t="n"/>
    </row>
    <row r="14551">
      <c r="B14551" s="7" t="n">
        <v>14549</v>
      </c>
      <c r="C14551" t="inlineStr">
        <is>
          <t>Chuyên viên viên Quản lý Bảo trì (Làm việc tại Tây Ninh)</t>
        </is>
      </c>
      <c r="D14551" t="inlineStr">
        <is>
          <t>Công ty CP Thành Thành Công - Biên Hòa</t>
        </is>
      </c>
      <c r="E14551" t="inlineStr">
        <is>
          <t>Lương:Cạnh tranh</t>
        </is>
      </c>
      <c r="F14551" t="inlineStr">
        <is>
          <t>Tây Ninh</t>
        </is>
      </c>
      <c r="G14551" t="inlineStr">
        <is>
          <t>27-03-2026</t>
        </is>
      </c>
      <c r="H14551" t="inlineStr">
        <is>
          <t>27/03/2026</t>
        </is>
      </c>
      <c r="I14551" t="inlineStr">
        <is>
          <t>17/03/2026</t>
        </is>
      </c>
      <c r="J14551" t="inlineStr">
        <is>
          <t>Cơ khí / Ô tô / Tự động hóa, Công nghệ thực phẩm / Dinh dưỡng, Bảo trì / Sửa chữa</t>
        </is>
      </c>
      <c r="K14551" t="inlineStr">
        <is>
          <t>3 - 4 Năm</t>
        </is>
      </c>
      <c r="L14551" s="8">
        <f>HYPERLINK("https://careerviet.vn/vi/tim-viec-lam/chuyen-vien-vien-quan-ly-bao-tri-lam-viec-tai-tay-ninh.35C696E7.html","Xem chi tiết")</f>
        <v/>
      </c>
    </row>
    <row r="14552">
      <c r="B14552" s="9" t="n">
        <v>14550</v>
      </c>
      <c r="C14552" s="10" t="inlineStr">
        <is>
          <t>Nhân viên bảo trì máy</t>
        </is>
      </c>
      <c r="D14552" s="10" t="inlineStr">
        <is>
          <t>Công ty TNHH Olam Việt Nam</t>
        </is>
      </c>
      <c r="E14552" s="10" t="inlineStr">
        <is>
          <t>Lương:9 Tr - 12 Tr VND</t>
        </is>
      </c>
      <c r="F14552" s="10" t="inlineStr">
        <is>
          <t>Đồng Nai</t>
        </is>
      </c>
      <c r="G14552" s="10" t="inlineStr">
        <is>
          <t>31-03-2026</t>
        </is>
      </c>
      <c r="H14552" s="10" t="inlineStr">
        <is>
          <t>31/03/2026</t>
        </is>
      </c>
      <c r="I14552" s="10" t="inlineStr">
        <is>
          <t>17/03/2026</t>
        </is>
      </c>
      <c r="J14552" s="10" t="inlineStr">
        <is>
          <t>Bảo trì / Sửa chữa</t>
        </is>
      </c>
      <c r="K14552" s="10" t="inlineStr">
        <is>
          <t>Trên 2 Năm</t>
        </is>
      </c>
      <c r="L14552" s="11">
        <f>HYPERLINK("https://careerviet.vn/vi/tim-viec-lam/nhan-vien-bao-tri-may.35C69615.html","Xem chi tiết")</f>
        <v/>
      </c>
      <c r="M14552" s="10" t="n"/>
    </row>
    <row r="14553">
      <c r="B14553" s="7" t="n">
        <v>14551</v>
      </c>
      <c r="C14553" t="inlineStr">
        <is>
          <t>Nhân viên Phụ bếp</t>
        </is>
      </c>
      <c r="D14553" t="inlineStr">
        <is>
          <t>Công Ty Cổ Phần Y Tế Việt Tiến</t>
        </is>
      </c>
      <c r="E14553" t="inlineStr">
        <is>
          <t>Lương:Cạnh tranh</t>
        </is>
      </c>
      <c r="F14553" t="inlineStr">
        <is>
          <t>Hồ Chí Minh</t>
        </is>
      </c>
      <c r="G14553" t="inlineStr">
        <is>
          <t>27-03-2026</t>
        </is>
      </c>
      <c r="H14553" t="inlineStr">
        <is>
          <t>27/03/2026</t>
        </is>
      </c>
      <c r="I14553" t="inlineStr">
        <is>
          <t>17/03/2026</t>
        </is>
      </c>
      <c r="J14553" t="inlineStr">
        <is>
          <t>Nhà hàng / Khách sạn</t>
        </is>
      </c>
      <c r="K14553" t="inlineStr">
        <is>
          <t>2 - 3 Năm</t>
        </is>
      </c>
      <c r="L14553" s="8">
        <f>HYPERLINK("https://careerviet.vn/vi/tim-viec-lam/nhan-vien-phu-bep.35C69569.html","Xem chi tiết")</f>
        <v/>
      </c>
    </row>
    <row r="14554">
      <c r="B14554" s="9" t="n">
        <v>14552</v>
      </c>
      <c r="C14554" s="10" t="inlineStr">
        <is>
          <t>Product Manager (Medical Device)</t>
        </is>
      </c>
      <c r="D14554" s="10" t="inlineStr">
        <is>
          <t>HR Vietnam’s ESS Client</t>
        </is>
      </c>
      <c r="E14554" s="10" t="inlineStr">
        <is>
          <t>Lương:Cạnh tranh</t>
        </is>
      </c>
      <c r="F14554" s="10" t="inlineStr">
        <is>
          <t>Hồ Chí Minh</t>
        </is>
      </c>
      <c r="G14554" s="10" t="inlineStr">
        <is>
          <t>27-03-2026</t>
        </is>
      </c>
      <c r="H14554" s="10" t="inlineStr">
        <is>
          <t>27/03/2026</t>
        </is>
      </c>
      <c r="I14554" s="10" t="inlineStr">
        <is>
          <t>17/03/2026</t>
        </is>
      </c>
      <c r="J14554" s="10" t="inlineStr">
        <is>
          <t>Tiếp thị / Marketing, Y tế / Chăm sóc sức khỏe / Thẩm mỹ / Làm đẹp</t>
        </is>
      </c>
      <c r="K14554" s="10" t="inlineStr">
        <is>
          <t>4 - 10 Năm</t>
        </is>
      </c>
      <c r="L14554" s="11">
        <f>HYPERLINK("https://careerviet.vn/vi/tim-viec-lam/product-manager-medical-device.35C69827.html","Xem chi tiết")</f>
        <v/>
      </c>
      <c r="M14554" s="10" t="n"/>
    </row>
    <row r="14555">
      <c r="B14555" s="7" t="n">
        <v>14553</v>
      </c>
      <c r="C14555" t="inlineStr">
        <is>
          <t>Giáo viên tiếng Trung - Quận 7</t>
        </is>
      </c>
      <c r="D14555" t="inlineStr">
        <is>
          <t>TED SAIGON</t>
        </is>
      </c>
      <c r="E14555" t="inlineStr">
        <is>
          <t>Lương:10 Tr - 15 Tr VND</t>
        </is>
      </c>
      <c r="F14555" t="inlineStr">
        <is>
          <t>Hồ Chí Minh</t>
        </is>
      </c>
      <c r="G14555" t="inlineStr">
        <is>
          <t>26-03-2026</t>
        </is>
      </c>
      <c r="H14555" t="inlineStr">
        <is>
          <t>26/03/2026</t>
        </is>
      </c>
      <c r="I14555" t="inlineStr">
        <is>
          <t>17/03/2026</t>
        </is>
      </c>
      <c r="J14555" t="inlineStr">
        <is>
          <t>Giáo dục / Đào tạo, Biên phiên dịch, Bán hàng / Kinh doanh</t>
        </is>
      </c>
      <c r="K14555" t="inlineStr">
        <is>
          <t>1 - 2 Năm</t>
        </is>
      </c>
      <c r="L14555" s="8">
        <f>HYPERLINK("https://careerviet.vn/vi/tim-viec-lam/giao-vien-tieng-trung-quan-7.35C6982C.html","Xem chi tiết")</f>
        <v/>
      </c>
    </row>
    <row r="14556">
      <c r="B14556" s="9" t="n">
        <v>14554</v>
      </c>
      <c r="C14556" s="10" t="inlineStr">
        <is>
          <t>Kỹ sư Kĩ thuật sản xuất</t>
        </is>
      </c>
      <c r="D14556" s="10" t="inlineStr">
        <is>
          <t>Công ty Omron Healthcare Manufacturing Việt Nam</t>
        </is>
      </c>
      <c r="E14556" s="10" t="inlineStr">
        <is>
          <t>Lương:Cạnh tranh</t>
        </is>
      </c>
      <c r="F14556" s="10" t="inlineStr">
        <is>
          <t>Bình Dương</t>
        </is>
      </c>
      <c r="G14556" s="10" t="inlineStr">
        <is>
          <t>26-03-2026</t>
        </is>
      </c>
      <c r="H14556" s="10" t="inlineStr">
        <is>
          <t>26/03/2026</t>
        </is>
      </c>
      <c r="I14556" s="10" t="inlineStr">
        <is>
          <t>17/03/2026</t>
        </is>
      </c>
      <c r="J14556" s="10" t="inlineStr">
        <is>
          <t>Điện / Điện tử / Điện lạnh / Điện công nghiệp, Bảo trì / Sửa chữa, Sản xuất / Vận hành sản xuất</t>
        </is>
      </c>
      <c r="K14556" s="10" t="inlineStr">
        <is>
          <t>2 - 3 Năm</t>
        </is>
      </c>
      <c r="L14556" s="11">
        <f>HYPERLINK("https://careerviet.vn/vi/tim-viec-lam/ky-su-ki-thuat-san-xuat.35C69691.html","Xem chi tiết")</f>
        <v/>
      </c>
      <c r="M14556" s="10" t="n"/>
    </row>
    <row r="14557">
      <c r="B14557" s="7" t="n">
        <v>14555</v>
      </c>
      <c r="C14557" t="inlineStr">
        <is>
          <t>Chuyên viên QLTK - Phụ trách Cơ điện</t>
        </is>
      </c>
      <c r="D14557" t="inlineStr">
        <is>
          <t>Công Ty Cổ Phần Tập Đoàn Sunshine</t>
        </is>
      </c>
      <c r="E14557" t="inlineStr">
        <is>
          <t>Lương:20 Tr - 35 Tr VND</t>
        </is>
      </c>
      <c r="F14557" t="inlineStr">
        <is>
          <t>Hồ Chí Minh</t>
        </is>
      </c>
      <c r="G14557" t="inlineStr">
        <is>
          <t>31-03-2026</t>
        </is>
      </c>
      <c r="H14557" t="inlineStr">
        <is>
          <t>31/03/2026</t>
        </is>
      </c>
      <c r="I14557" t="inlineStr">
        <is>
          <t>17/03/2026</t>
        </is>
      </c>
      <c r="J14557" t="inlineStr">
        <is>
          <t>Xây dựng, Kiến trúc</t>
        </is>
      </c>
      <c r="K14557" t="inlineStr">
        <is>
          <t>Chưa có kinh nghiệm</t>
        </is>
      </c>
      <c r="L14557" s="8">
        <f>HYPERLINK("https://careerviet.vn/vi/tim-viec-lam/chuyen-vien-qltk-phu-trach-co-dien.35C6981F.html","Xem chi tiết")</f>
        <v/>
      </c>
    </row>
    <row r="14558">
      <c r="B14558" s="9" t="n">
        <v>14556</v>
      </c>
      <c r="C14558" s="10" t="inlineStr">
        <is>
          <t>Kế toán trưởng</t>
        </is>
      </c>
      <c r="D14558" s="10" t="inlineStr">
        <is>
          <t>Công ty cổ phần Tập đoàn Trường Thành Việt Nam</t>
        </is>
      </c>
      <c r="E14558" s="10" t="inlineStr">
        <is>
          <t>Lương:35 Tr - 45 Tr VND</t>
        </is>
      </c>
      <c r="F14558" s="10" t="inlineStr">
        <is>
          <t>Hà Nội</t>
        </is>
      </c>
      <c r="G14558" s="10" t="inlineStr">
        <is>
          <t>31-03-2026</t>
        </is>
      </c>
      <c r="H14558" s="10" t="inlineStr">
        <is>
          <t>31/03/2026</t>
        </is>
      </c>
      <c r="I14558" s="10" t="inlineStr">
        <is>
          <t>17/03/2026</t>
        </is>
      </c>
      <c r="J14558" s="10" t="inlineStr">
        <is>
          <t>Kế toán / Kiểm toán, Tài chính / Đầu tư</t>
        </is>
      </c>
      <c r="K14558" s="10" t="inlineStr">
        <is>
          <t>5 - 7 Năm</t>
        </is>
      </c>
      <c r="L14558" s="11">
        <f>HYPERLINK("https://careerviet.vn/vi/tim-viec-lam/ke-toan-truong.35C69823.html","Xem chi tiết")</f>
        <v/>
      </c>
      <c r="M14558" s="10" t="n"/>
    </row>
    <row r="14559">
      <c r="B14559" s="7" t="n">
        <v>14557</v>
      </c>
      <c r="C14559" t="inlineStr">
        <is>
          <t>NHÂN VIÊN BP CHẤT LƯỢNG OQC</t>
        </is>
      </c>
      <c r="D14559" t="inlineStr">
        <is>
          <t>Công ty TNHH AOBA Việt Nam</t>
        </is>
      </c>
      <c r="E14559" t="inlineStr">
        <is>
          <t>Lương:Cạnh tranh</t>
        </is>
      </c>
      <c r="F14559" t="inlineStr">
        <is>
          <t>Hải Dương</t>
        </is>
      </c>
      <c r="G14559" t="inlineStr">
        <is>
          <t>31-03-2026</t>
        </is>
      </c>
      <c r="H14559" t="inlineStr">
        <is>
          <t>31/03/2026</t>
        </is>
      </c>
      <c r="I14559" t="inlineStr">
        <is>
          <t>17/03/2026</t>
        </is>
      </c>
      <c r="J14559" t="inlineStr">
        <is>
          <t>Sản xuất / Vận hành sản xuất</t>
        </is>
      </c>
      <c r="K14559" t="inlineStr">
        <is>
          <t>2 - 10 Năm</t>
        </is>
      </c>
      <c r="L14559" s="8">
        <f>HYPERLINK("https://careerviet.vn/vi/tim-viec-lam/nhan-vien-bp-chat-luong-oqc.35C6980B.html","Xem chi tiết")</f>
        <v/>
      </c>
    </row>
    <row r="14560">
      <c r="B14560" s="9" t="n">
        <v>14558</v>
      </c>
      <c r="C14560" s="10" t="inlineStr">
        <is>
          <t>Nhân Viên Tài Liệu Kỹ Thuật</t>
        </is>
      </c>
      <c r="D14560" s="10" t="inlineStr">
        <is>
          <t>CT CP Tập Đoàn Thái Tuấn</t>
        </is>
      </c>
      <c r="E14560" s="10" t="inlineStr">
        <is>
          <t>Lương:12 Tr - 15 Tr VND</t>
        </is>
      </c>
      <c r="F14560" s="10" t="inlineStr">
        <is>
          <t>Hồ Chí Minh</t>
        </is>
      </c>
      <c r="G14560" s="10" t="inlineStr">
        <is>
          <t>31-03-2026</t>
        </is>
      </c>
      <c r="H14560" s="10" t="inlineStr">
        <is>
          <t>31/03/2026</t>
        </is>
      </c>
      <c r="I14560" s="10" t="inlineStr">
        <is>
          <t>17/03/2026</t>
        </is>
      </c>
      <c r="J14560" s="10" t="inlineStr">
        <is>
          <t>Dệt may / Da giày / Thời trang, Mỹ thuật / Nghệ thuật / Thiết kế</t>
        </is>
      </c>
      <c r="K14560" s="10" t="inlineStr">
        <is>
          <t>1 - 3 Năm</t>
        </is>
      </c>
      <c r="L14560" s="11">
        <f>HYPERLINK("https://careerviet.vn/vi/tim-viec-lam/nhan-vien-tai-lieu-ky-thuat.35C69807.html","Xem chi tiết")</f>
        <v/>
      </c>
      <c r="M14560" s="10" t="n"/>
    </row>
    <row r="14561">
      <c r="B14561" s="7" t="n">
        <v>14559</v>
      </c>
      <c r="C14561" t="inlineStr">
        <is>
          <t>Kỹ Sư QE/QE工程师</t>
        </is>
      </c>
      <c r="D14561" t="inlineStr">
        <is>
          <t>CÔNG TY TNHH RYDER INDUSTRIES VIỆT NAM</t>
        </is>
      </c>
      <c r="E14561" t="inlineStr">
        <is>
          <t>Lương:Trên 30 Tr VND</t>
        </is>
      </c>
      <c r="F14561" t="inlineStr">
        <is>
          <t>Hồ Chí Minh</t>
        </is>
      </c>
      <c r="G14561" t="inlineStr">
        <is>
          <t>10-03-2026</t>
        </is>
      </c>
      <c r="H14561" t="inlineStr">
        <is>
          <t>29/12/2025</t>
        </is>
      </c>
      <c r="I14561" t="inlineStr">
        <is>
          <t>17/03/2026</t>
        </is>
      </c>
      <c r="J14561" t="inlineStr">
        <is>
          <t>Sản xuất / Vận hành sản xuất, Quản lý chất lượng (QA/QC)</t>
        </is>
      </c>
      <c r="K14561" t="inlineStr">
        <is>
          <t>Trên 2 Năm</t>
        </is>
      </c>
      <c r="L14561" s="8">
        <f>HYPERLINK("https://careerviet.vn/vi/tim-viec-lam/ky-su-qe-qe.35C5E51F.html","Xem chi tiết")</f>
        <v/>
      </c>
    </row>
    <row r="14562">
      <c r="B14562" s="9" t="n">
        <v>14560</v>
      </c>
      <c r="C14562" s="10" t="inlineStr">
        <is>
          <t>Trưởng Phòng Đào Tạo</t>
        </is>
      </c>
      <c r="D14562" s="10" t="inlineStr">
        <is>
          <t>NHÀ SÁCH TIẾN THỌ</t>
        </is>
      </c>
      <c r="E14562" s="10" t="inlineStr">
        <is>
          <t>Lương:30 Tr - 40 Tr VND</t>
        </is>
      </c>
      <c r="F14562" s="10" t="inlineStr">
        <is>
          <t>Hà Nội</t>
        </is>
      </c>
      <c r="G14562" s="10" t="inlineStr">
        <is>
          <t>31-03-2026</t>
        </is>
      </c>
      <c r="H14562" s="10" t="inlineStr">
        <is>
          <t>31/03/2026</t>
        </is>
      </c>
      <c r="I14562" s="10" t="inlineStr">
        <is>
          <t>17/03/2026</t>
        </is>
      </c>
      <c r="J14562" s="10" t="inlineStr">
        <is>
          <t>Bán lẻ / Bán sỉ, Dịch vụ khách hàng, Giáo dục / Đào tạo</t>
        </is>
      </c>
      <c r="K14562" s="10" t="inlineStr">
        <is>
          <t>Trên 1 Năm</t>
        </is>
      </c>
      <c r="L14562" s="11">
        <f>HYPERLINK("https://careerviet.vn/vi/tim-viec-lam/truong-phong-dao-tao.35C695EB.html","Xem chi tiết")</f>
        <v/>
      </c>
      <c r="M14562" s="10" t="n"/>
    </row>
    <row r="14563">
      <c r="B14563" s="7" t="n">
        <v>14561</v>
      </c>
      <c r="C14563" t="inlineStr">
        <is>
          <t>Giám Sát An Toàn Lao Động (xe đưa rước từ Q9 đi Long Thành)</t>
        </is>
      </c>
      <c r="D14563" t="inlineStr">
        <is>
          <t>CÔNG TY TNHH DK BUILD</t>
        </is>
      </c>
      <c r="E14563" t="inlineStr">
        <is>
          <t>Lương:Lên đến 25 Tr VND</t>
        </is>
      </c>
      <c r="F14563" t="inlineStr">
        <is>
          <t>Đồng NaiBình DươngHồ Chí Minh</t>
        </is>
      </c>
      <c r="G14563" t="inlineStr">
        <is>
          <t>31-03-2026</t>
        </is>
      </c>
      <c r="H14563" t="inlineStr">
        <is>
          <t>31/03/2026</t>
        </is>
      </c>
      <c r="I14563" t="inlineStr">
        <is>
          <t>17/03/2026</t>
        </is>
      </c>
      <c r="J14563" t="inlineStr">
        <is>
          <t>Xây dựng, Quản lý điều hành, Kiến trúc</t>
        </is>
      </c>
      <c r="K14563" t="inlineStr">
        <is>
          <t>3 - 7 Năm</t>
        </is>
      </c>
      <c r="L14563" s="8">
        <f>HYPERLINK("https://careerviet.vn/vi/tim-viec-lam/giam-sat-an-toan-lao-dong-xe-dua-ruoc-tu-q9-di-long-thanh.35C697FE.html","Xem chi tiết")</f>
        <v/>
      </c>
    </row>
    <row r="14564">
      <c r="B14564" s="9" t="n">
        <v>14562</v>
      </c>
      <c r="C14564" s="10" t="inlineStr">
        <is>
          <t>Phó Giám đốc Chi nhánh (KHCN) - Ban giám đốc, CN. Đồng Tháp (CN26.20)</t>
        </is>
      </c>
      <c r="D14564" s="10" t="inlineStr">
        <is>
          <t>Ngân Hàng TMCP Quân Đội</t>
        </is>
      </c>
      <c r="E14564" s="10" t="inlineStr">
        <is>
          <t>Lương:Cạnh tranh</t>
        </is>
      </c>
      <c r="F14564" s="10" t="inlineStr">
        <is>
          <t>Đồng Tháp</t>
        </is>
      </c>
      <c r="G14564" s="10" t="inlineStr">
        <is>
          <t>26-03-2026</t>
        </is>
      </c>
      <c r="H14564" s="10" t="inlineStr">
        <is>
          <t>26/03/2026</t>
        </is>
      </c>
      <c r="I14564" s="10" t="inlineStr">
        <is>
          <t>17/03/2026</t>
        </is>
      </c>
      <c r="J14564" s="10" t="inlineStr">
        <is>
          <t>Ngân hàng, Quản lý điều hành, Tài chính / Đầu tư</t>
        </is>
      </c>
      <c r="K14564" s="10" t="inlineStr">
        <is>
          <t>Trên 5 Năm</t>
        </is>
      </c>
      <c r="L14564" s="11">
        <f>HYPERLINK("https://careerviet.vn/vi/tim-viec-lam/pho-giam-doc-chi-nhanh-khcn-ban-giam-doc-cn-dong-thap-cn26-20.35C69889.html","Xem chi tiết")</f>
        <v/>
      </c>
      <c r="M14564" s="10" t="n"/>
    </row>
    <row r="14565">
      <c r="B14565" s="7" t="n">
        <v>14563</v>
      </c>
      <c r="C14565" t="inlineStr">
        <is>
          <t>Đại diện thương mại tại Cần Thơ (13-20 triệu)</t>
        </is>
      </c>
      <c r="D14565" t="inlineStr">
        <is>
          <t>CÔNG TY CỔ PHẦN TẬP ĐOÀN DEKKO</t>
        </is>
      </c>
      <c r="E14565" t="inlineStr">
        <is>
          <t>Lương:13 Tr - 30 Tr VND</t>
        </is>
      </c>
      <c r="F14565" t="inlineStr">
        <is>
          <t>Cần Thơ</t>
        </is>
      </c>
      <c r="G14565" t="inlineStr">
        <is>
          <t>10-03-2026</t>
        </is>
      </c>
      <c r="H14565" t="inlineStr">
        <is>
          <t>01/03/2026</t>
        </is>
      </c>
      <c r="I14565" t="inlineStr">
        <is>
          <t>17/03/2026</t>
        </is>
      </c>
      <c r="J14565" t="inlineStr">
        <is>
          <t>Bán hàng / Kinh doanh</t>
        </is>
      </c>
      <c r="K14565" t="inlineStr">
        <is>
          <t>Trên 1 Năm</t>
        </is>
      </c>
      <c r="L14565" s="8">
        <f>HYPERLINK("https://careerviet.vn/vi/tim-viec-lam/dai-dien-thuong-mai-tai-can-tho-13-20-trieu.35C697ED.html","Xem chi tiết")</f>
        <v/>
      </c>
    </row>
    <row r="14566">
      <c r="B14566" s="9" t="n">
        <v>14564</v>
      </c>
      <c r="C14566" s="10" t="inlineStr">
        <is>
          <t>Kỹ thuật viên bảo trì</t>
        </is>
      </c>
      <c r="D14566" s="10" t="inlineStr">
        <is>
          <t>De Heus LLC</t>
        </is>
      </c>
      <c r="E14566" s="10" t="inlineStr">
        <is>
          <t>Lương:10,3 Tr - 12 Tr VND</t>
        </is>
      </c>
      <c r="F14566" s="10" t="inlineStr">
        <is>
          <t>Hải Phòng</t>
        </is>
      </c>
      <c r="G14566" s="10" t="inlineStr">
        <is>
          <t>31-03-2026</t>
        </is>
      </c>
      <c r="H14566" s="10" t="inlineStr">
        <is>
          <t>31/03/2026</t>
        </is>
      </c>
      <c r="I14566" s="10" t="inlineStr">
        <is>
          <t>17/03/2026</t>
        </is>
      </c>
      <c r="J14566" s="10" t="inlineStr">
        <is>
          <t>Nông nghiệp</t>
        </is>
      </c>
      <c r="K14566" s="10" t="inlineStr">
        <is>
          <t>1 - 2 Năm</t>
        </is>
      </c>
      <c r="L14566" s="11">
        <f>HYPERLINK("https://careerviet.vn/vi/tim-viec-lam/ky-thuat-vien-bao-tri.35C697E4.html","Xem chi tiết")</f>
        <v/>
      </c>
      <c r="M14566" s="10" t="n"/>
    </row>
    <row r="14567">
      <c r="B14567" s="7" t="n">
        <v>14565</v>
      </c>
      <c r="C14567" t="inlineStr">
        <is>
          <t>Nhân viên IT Helpdesk</t>
        </is>
      </c>
      <c r="D14567" t="inlineStr">
        <is>
          <t>Công ty TNHH Thiên Thủy Mộc</t>
        </is>
      </c>
      <c r="E14567" t="inlineStr">
        <is>
          <t>Lương:10 Tr - 15 Tr VND</t>
        </is>
      </c>
      <c r="F14567" t="inlineStr">
        <is>
          <t>Hà Nội</t>
        </is>
      </c>
      <c r="G14567" t="inlineStr">
        <is>
          <t>25-03-2026</t>
        </is>
      </c>
      <c r="H14567" t="inlineStr">
        <is>
          <t>25/03/2026</t>
        </is>
      </c>
      <c r="I14567" t="inlineStr">
        <is>
          <t>17/03/2026</t>
        </is>
      </c>
      <c r="J14567" t="inlineStr">
        <is>
          <t>CNTT - Phần cứng / Mạng</t>
        </is>
      </c>
      <c r="K14567" t="inlineStr">
        <is>
          <t>1 - 3 Năm</t>
        </is>
      </c>
      <c r="L14567" s="8">
        <f>HYPERLINK("https://careerviet.vn/vi/tim-viec-lam/nhan-vien-it-helpdesk.35C6953A.html","Xem chi tiết")</f>
        <v/>
      </c>
    </row>
    <row r="14568">
      <c r="B14568" s="9" t="n">
        <v>14566</v>
      </c>
      <c r="C14568" s="10" t="inlineStr">
        <is>
          <t>Trưởng phòng Chiến lược và Ứng dụng AI</t>
        </is>
      </c>
      <c r="D14568" s="10" t="inlineStr">
        <is>
          <t>Tập Đoàn Tân Á Đại Thành</t>
        </is>
      </c>
      <c r="E14568" s="10" t="inlineStr">
        <is>
          <t>Lương:Cạnh tranh</t>
        </is>
      </c>
      <c r="F14568" s="10" t="inlineStr">
        <is>
          <t>Hà Nội</t>
        </is>
      </c>
      <c r="G14568" s="10" t="inlineStr">
        <is>
          <t>31-03-2026</t>
        </is>
      </c>
      <c r="H14568" s="10" t="inlineStr">
        <is>
          <t>31/03/2026</t>
        </is>
      </c>
      <c r="I14568" s="10" t="inlineStr">
        <is>
          <t>17/03/2026</t>
        </is>
      </c>
      <c r="J14568" s="10" t="inlineStr">
        <is>
          <t>CNTT - Phần mềm, CNTT - Phần cứng / Mạng, Bất động sản</t>
        </is>
      </c>
      <c r="K14568" s="10" t="inlineStr">
        <is>
          <t>Trên 5 Năm</t>
        </is>
      </c>
      <c r="L14568" s="11">
        <f>HYPERLINK("https://careerviet.vn/vi/tim-viec-lam/truong-phong-chien-luoc-va-ung-dung-ai.35C694A0.html","Xem chi tiết")</f>
        <v/>
      </c>
      <c r="M14568" s="10" t="n"/>
    </row>
    <row r="14569">
      <c r="B14569" s="7" t="n">
        <v>14567</v>
      </c>
      <c r="C14569" t="inlineStr">
        <is>
          <t>CV/CVC/CVCC Quan hệ khách hàng cá nhân khu vực Hà Nội</t>
        </is>
      </c>
      <c r="D14569" t="inlineStr">
        <is>
          <t>Ngân Hàng TMCP Quốc Dân (NCB)</t>
        </is>
      </c>
      <c r="E14569" t="inlineStr">
        <is>
          <t>Lương:Cạnh tranh</t>
        </is>
      </c>
      <c r="F14569" t="inlineStr">
        <is>
          <t>Hà Nội</t>
        </is>
      </c>
      <c r="G14569" t="inlineStr">
        <is>
          <t>25-03-2026</t>
        </is>
      </c>
      <c r="H14569" t="inlineStr">
        <is>
          <t>25/03/2026</t>
        </is>
      </c>
      <c r="I14569" t="inlineStr">
        <is>
          <t>17/03/2026</t>
        </is>
      </c>
      <c r="J14569" t="inlineStr">
        <is>
          <t>Ngân hàng, Bán hàng / Kinh doanh, Tư vấn</t>
        </is>
      </c>
      <c r="K14569" t="inlineStr">
        <is>
          <t>Trên 1 Năm</t>
        </is>
      </c>
      <c r="L14569" s="8">
        <f>HYPERLINK("https://careerviet.vn/vi/tim-viec-lam/cv-cvc-cvcc-quan-he-khach-hang-ca-nhan-khu-vuc-ha-noi.35C697BA.html","Xem chi tiết")</f>
        <v/>
      </c>
    </row>
    <row r="14570">
      <c r="B14570" s="9" t="n">
        <v>14568</v>
      </c>
      <c r="C14570" s="10" t="inlineStr">
        <is>
          <t>Nhân viên lễ tân tòa nhà</t>
        </is>
      </c>
      <c r="D14570" s="10" t="inlineStr">
        <is>
          <t>Công ty TNHH TM&amp;DV Phân Phối Ánh Dương</t>
        </is>
      </c>
      <c r="E14570" s="10" t="inlineStr">
        <is>
          <t>Lương:8 Tr - 10 Tr VND</t>
        </is>
      </c>
      <c r="F14570" s="10" t="inlineStr">
        <is>
          <t>Hà Nội</t>
        </is>
      </c>
      <c r="G14570" s="10" t="inlineStr">
        <is>
          <t>31-03-2026</t>
        </is>
      </c>
      <c r="H14570" s="10" t="inlineStr">
        <is>
          <t>31/03/2026</t>
        </is>
      </c>
      <c r="I14570" s="10" t="inlineStr">
        <is>
          <t>17/03/2026</t>
        </is>
      </c>
      <c r="J14570" s="10" t="inlineStr">
        <is>
          <t>Hành chính / Thư ký</t>
        </is>
      </c>
      <c r="K14570" s="10" t="inlineStr">
        <is>
          <t>2 - 3 Năm</t>
        </is>
      </c>
      <c r="L14570" s="11">
        <f>HYPERLINK("https://careerviet.vn/vi/tim-viec-lam/nhan-vien-le-tan-toa-nha.35C694D8.html","Xem chi tiết")</f>
        <v/>
      </c>
      <c r="M14570" s="10" t="n"/>
    </row>
    <row r="14571">
      <c r="B14571" s="7" t="n">
        <v>14569</v>
      </c>
      <c r="C14571" t="inlineStr">
        <is>
          <t>SEO Intern</t>
        </is>
      </c>
      <c r="D14571" t="inlineStr">
        <is>
          <t>CÔNG TY CỔ PHẦN MAC MARKETING</t>
        </is>
      </c>
      <c r="E14571" t="inlineStr">
        <is>
          <t>Lương:2 Tr - 3 Tr VND</t>
        </is>
      </c>
      <c r="F14571" t="inlineStr">
        <is>
          <t>Hồ Chí Minh</t>
        </is>
      </c>
      <c r="G14571" t="inlineStr">
        <is>
          <t>01-04-2026</t>
        </is>
      </c>
      <c r="H14571" t="inlineStr">
        <is>
          <t>01/04/2026</t>
        </is>
      </c>
      <c r="I14571" t="inlineStr">
        <is>
          <t>17/03/2026</t>
        </is>
      </c>
      <c r="J14571" t="inlineStr">
        <is>
          <t>Mới tốt nghiệp / Thực tập</t>
        </is>
      </c>
      <c r="K14571" t="inlineStr">
        <is>
          <t>N/A</t>
        </is>
      </c>
      <c r="L14571" s="8">
        <f>HYPERLINK("https://careerviet.vn/vi/tim-viec-lam/seo-intern.35C6973A.html","Xem chi tiết")</f>
        <v/>
      </c>
    </row>
    <row r="14572">
      <c r="B14572" s="9" t="n">
        <v>14570</v>
      </c>
      <c r="C14572" s="10" t="inlineStr">
        <is>
          <t>Nhân Viên Thu Mua Vật Tư</t>
        </is>
      </c>
      <c r="D14572" s="10" t="inlineStr">
        <is>
          <t>CÔNG TY CỔ PHẦN CƠ ĐIỆN VÀ PCCC THĂNG LONG</t>
        </is>
      </c>
      <c r="E14572" s="10" t="inlineStr">
        <is>
          <t>Lương:9 Tr - 13 Tr VND</t>
        </is>
      </c>
      <c r="F14572" s="10" t="inlineStr">
        <is>
          <t>Hà Nội</t>
        </is>
      </c>
      <c r="G14572" s="10" t="inlineStr">
        <is>
          <t>31-03-2026</t>
        </is>
      </c>
      <c r="H14572" s="10" t="inlineStr">
        <is>
          <t>31/03/2026</t>
        </is>
      </c>
      <c r="I14572" s="10" t="inlineStr">
        <is>
          <t>17/03/2026</t>
        </is>
      </c>
      <c r="J14572" s="10" t="inlineStr">
        <is>
          <t>Thu mua / Vật tư, Xây dựng, Ngành khác</t>
        </is>
      </c>
      <c r="K14572" s="10" t="inlineStr">
        <is>
          <t>1 - 2 Năm</t>
        </is>
      </c>
      <c r="L14572" s="11">
        <f>HYPERLINK("https://careerviet.vn/vi/tim-viec-lam/nhan-vien-thu-mua-vat-tu.35C696E2.html","Xem chi tiết")</f>
        <v/>
      </c>
      <c r="M14572" s="10" t="n"/>
    </row>
    <row r="14573">
      <c r="B14573" s="7" t="n">
        <v>14571</v>
      </c>
      <c r="C14573" t="inlineStr">
        <is>
          <t>Trưởng Phòng Kiến Trúc Công Nghệ và Dữ Liệu (Head of Architecture and Platform)</t>
        </is>
      </c>
      <c r="D14573" t="inlineStr">
        <is>
          <t>Tập Đoàn Tân Á Đại Thành</t>
        </is>
      </c>
      <c r="E14573" t="inlineStr">
        <is>
          <t>Lương:Cạnh tranh</t>
        </is>
      </c>
      <c r="F14573" t="inlineStr">
        <is>
          <t>Hà Nội</t>
        </is>
      </c>
      <c r="G14573" t="inlineStr">
        <is>
          <t>31-03-2026</t>
        </is>
      </c>
      <c r="H14573" t="inlineStr">
        <is>
          <t>31/03/2026</t>
        </is>
      </c>
      <c r="I14573" t="inlineStr">
        <is>
          <t>17/03/2026</t>
        </is>
      </c>
      <c r="J14573" t="inlineStr">
        <is>
          <t>CNTT - Phần mềm, CNTT - Phần cứng / Mạng</t>
        </is>
      </c>
      <c r="K14573" t="inlineStr">
        <is>
          <t>Trên 8 Năm</t>
        </is>
      </c>
      <c r="L14573" s="8">
        <f>HYPERLINK("https://careerviet.vn/vi/tim-viec-lam/truong-phong-kien-truc-cong-nghe-va-du-lieu-head-of-architecture-and-platform.35C69457.html","Xem chi tiết")</f>
        <v/>
      </c>
    </row>
    <row r="14574">
      <c r="B14574" s="9" t="n">
        <v>14572</v>
      </c>
      <c r="C14574" s="10" t="inlineStr">
        <is>
          <t>Sale admin</t>
        </is>
      </c>
      <c r="D14574" s="10" t="inlineStr">
        <is>
          <t>CÔNG TY CỔ PHẦN CÔNG NGHIỆP ĐÔNG HƯNG</t>
        </is>
      </c>
      <c r="E14574" s="10" t="inlineStr">
        <is>
          <t>Lương:10 Tr - 13 Tr VND</t>
        </is>
      </c>
      <c r="F14574" s="10" t="inlineStr">
        <is>
          <t>Hà Nội</t>
        </is>
      </c>
      <c r="G14574" s="10" t="inlineStr">
        <is>
          <t>31-03-2026</t>
        </is>
      </c>
      <c r="H14574" s="10" t="inlineStr">
        <is>
          <t>31/03/2026</t>
        </is>
      </c>
      <c r="I14574" s="10" t="inlineStr">
        <is>
          <t>17/03/2026</t>
        </is>
      </c>
      <c r="J14574" s="10" t="inlineStr">
        <is>
          <t>Tiếp thị / Marketing</t>
        </is>
      </c>
      <c r="K14574" s="10" t="inlineStr">
        <is>
          <t>1 - 3 Năm</t>
        </is>
      </c>
      <c r="L14574" s="11">
        <f>HYPERLINK("https://careerviet.vn/vi/tim-viec-lam/sale-admin.35C695CA.html","Xem chi tiết")</f>
        <v/>
      </c>
      <c r="M14574" s="10" t="n"/>
    </row>
    <row r="14575">
      <c r="B14575" s="7" t="n">
        <v>14573</v>
      </c>
      <c r="C14575" t="inlineStr">
        <is>
          <t>NHÂN VIÊN HÀNH CHÍNH - KINH DOANH</t>
        </is>
      </c>
      <c r="D14575" t="inlineStr">
        <is>
          <t>Công Ty TNHH Thương Mại Trang Trí Nội Thất Thành Vinh</t>
        </is>
      </c>
      <c r="E14575" t="inlineStr">
        <is>
          <t>Lương:Cạnh tranh</t>
        </is>
      </c>
      <c r="F14575" t="inlineStr">
        <is>
          <t>Hồ Chí Minh</t>
        </is>
      </c>
      <c r="G14575" t="inlineStr">
        <is>
          <t>31-03-2026</t>
        </is>
      </c>
      <c r="H14575" t="inlineStr">
        <is>
          <t>31/03/2026</t>
        </is>
      </c>
      <c r="I14575" t="inlineStr">
        <is>
          <t>17/03/2026</t>
        </is>
      </c>
      <c r="J14575" t="inlineStr">
        <is>
          <t>Bán hàng / Kinh doanh, Tiếp thị / Marketing, Nội ngoại thất</t>
        </is>
      </c>
      <c r="K14575" t="inlineStr">
        <is>
          <t>1 - 2 Năm</t>
        </is>
      </c>
      <c r="L14575" s="8">
        <f>HYPERLINK("https://careerviet.vn/vi/tim-viec-lam/nhan-vien-hanh-chinh-kinh-doanh.35C69750.html","Xem chi tiết")</f>
        <v/>
      </c>
    </row>
    <row r="14576">
      <c r="B14576" s="9" t="n">
        <v>14574</v>
      </c>
      <c r="C14576" s="10" t="inlineStr">
        <is>
          <t>Trưởng Bộ phận Kinh doanh Bất động sản Khu công nghiệp</t>
        </is>
      </c>
      <c r="D14576" s="10" t="inlineStr">
        <is>
          <t>Công ty Cổ phần FECON</t>
        </is>
      </c>
      <c r="E14576" s="10" t="inlineStr">
        <is>
          <t>Lương:Cạnh tranh</t>
        </is>
      </c>
      <c r="F14576" s="10" t="inlineStr">
        <is>
          <t>Hà Nội</t>
        </is>
      </c>
      <c r="G14576" s="10" t="inlineStr">
        <is>
          <t>27-03-2026</t>
        </is>
      </c>
      <c r="H14576" s="10" t="inlineStr">
        <is>
          <t>27/03/2026</t>
        </is>
      </c>
      <c r="I14576" s="10" t="inlineStr">
        <is>
          <t>17/03/2026</t>
        </is>
      </c>
      <c r="J14576" s="10" t="inlineStr">
        <is>
          <t>Bất động sản</t>
        </is>
      </c>
      <c r="K14576" s="10" t="inlineStr">
        <is>
          <t>3 - 5 Năm</t>
        </is>
      </c>
      <c r="L14576" s="11">
        <f>HYPERLINK("https://careerviet.vn/vi/tim-viec-lam/truong-bo-phan-kinh-doanh-bat-dong-san-khu-cong-nghiep.35C6951B.html","Xem chi tiết")</f>
        <v/>
      </c>
      <c r="M14576" s="10" t="n"/>
    </row>
    <row r="14577">
      <c r="B14577" s="7" t="n">
        <v>14575</v>
      </c>
      <c r="C14577" t="inlineStr">
        <is>
          <t>CHUYÊN VIÊN TUYỂN DỤNG</t>
        </is>
      </c>
      <c r="D14577" t="inlineStr">
        <is>
          <t>CÔNG TY CỔ PHẦN TRUYỀN THÔNG KIM CƯƠNG</t>
        </is>
      </c>
      <c r="E14577" t="inlineStr">
        <is>
          <t>Lương:8 Tr - 9,5 Tr VND</t>
        </is>
      </c>
      <c r="F14577" t="inlineStr">
        <is>
          <t>Đà Nẵng</t>
        </is>
      </c>
      <c r="G14577" t="inlineStr">
        <is>
          <t>10-03-2026</t>
        </is>
      </c>
      <c r="H14577" t="inlineStr">
        <is>
          <t>07/03/2026</t>
        </is>
      </c>
      <c r="I14577" t="inlineStr">
        <is>
          <t>17/03/2026</t>
        </is>
      </c>
      <c r="J14577" t="inlineStr">
        <is>
          <t>Dịch vụ khách hàng, Tư vấn</t>
        </is>
      </c>
      <c r="K14577" t="inlineStr">
        <is>
          <t>Chưa có kinh nghiệm</t>
        </is>
      </c>
      <c r="L14577" s="8">
        <f>HYPERLINK("https://careerviet.vn/vi/tim-viec-lam/chuyen-vien-tuyen-dung.35C69758.html","Xem chi tiết")</f>
        <v/>
      </c>
    </row>
    <row r="14578">
      <c r="B14578" s="9" t="n">
        <v>14576</v>
      </c>
      <c r="C14578" s="10" t="inlineStr">
        <is>
          <t>Nhân Viên Thu Ngân - Thẩm Mỹ Viện - Làm tại Quận 10</t>
        </is>
      </c>
      <c r="D14578" s="10" t="inlineStr">
        <is>
          <t>CÔNG TY TNHH THẨM MỸ QUỐC TẾ LINH ANH</t>
        </is>
      </c>
      <c r="E14578" s="10" t="inlineStr">
        <is>
          <t>Lương:9 Tr - 15 Tr VND</t>
        </is>
      </c>
      <c r="F14578" s="10" t="inlineStr">
        <is>
          <t>Hồ Chí Minh</t>
        </is>
      </c>
      <c r="G14578" s="10" t="inlineStr">
        <is>
          <t>09-05-2026</t>
        </is>
      </c>
      <c r="H14578" s="10" t="inlineStr">
        <is>
          <t>09/05/2026</t>
        </is>
      </c>
      <c r="I14578" s="10" t="inlineStr">
        <is>
          <t>17/03/2026</t>
        </is>
      </c>
      <c r="J14578" s="10" t="inlineStr">
        <is>
          <t>Y tế / Chăm sóc sức khỏe / Thẩm mỹ / Làm đẹp</t>
        </is>
      </c>
      <c r="K14578" s="10" t="inlineStr">
        <is>
          <t>1 - 5 Năm</t>
        </is>
      </c>
      <c r="L14578" s="11">
        <f>HYPERLINK("https://careerviet.vn/vi/tim-viec-lam/nhan-vien-thu-ngan-tham-my-vien-lam-tai-quan-10.35C696F3.html","Xem chi tiết")</f>
        <v/>
      </c>
      <c r="M14578" s="10" t="n"/>
    </row>
    <row r="14579">
      <c r="B14579" s="7" t="n">
        <v>14577</v>
      </c>
      <c r="C14579" t="inlineStr">
        <is>
          <t>Chuyên viên Phân tích đầu tư dự án</t>
        </is>
      </c>
      <c r="D14579" t="inlineStr">
        <is>
          <t>Tập Đoàn Kim Tín</t>
        </is>
      </c>
      <c r="E14579" t="inlineStr">
        <is>
          <t>Lương:Cạnh tranh</t>
        </is>
      </c>
      <c r="F14579" t="inlineStr">
        <is>
          <t>Hồ Chí Minh</t>
        </is>
      </c>
      <c r="G14579" t="inlineStr">
        <is>
          <t>27-03-2026</t>
        </is>
      </c>
      <c r="H14579" t="inlineStr">
        <is>
          <t>27/03/2026</t>
        </is>
      </c>
      <c r="I14579" t="inlineStr">
        <is>
          <t>17/03/2026</t>
        </is>
      </c>
      <c r="J14579" t="inlineStr">
        <is>
          <t>Kế toán / Kiểm toán, Tài chính / Đầu tư</t>
        </is>
      </c>
      <c r="K14579" t="inlineStr">
        <is>
          <t>2 - 3 Năm</t>
        </is>
      </c>
      <c r="L14579" s="8">
        <f>HYPERLINK("https://careerviet.vn/vi/tim-viec-lam/chuyen-vien-phan-tich-dau-tu-du-an.35C69719.html","Xem chi tiết")</f>
        <v/>
      </c>
    </row>
    <row r="14580">
      <c r="B14580" s="9" t="n">
        <v>14578</v>
      </c>
      <c r="C14580" s="10" t="inlineStr">
        <is>
          <t>Điều Dưỡng Phòng Khám Thẩm Mỹ</t>
        </is>
      </c>
      <c r="D14580" s="10" t="inlineStr">
        <is>
          <t>CÔNG TY TNHH THẨM MỸ QUỐC TẾ LINH ANH</t>
        </is>
      </c>
      <c r="E14580" s="10" t="inlineStr">
        <is>
          <t>Lương:10 Tr - 30 Tr VND</t>
        </is>
      </c>
      <c r="F14580" s="10" t="inlineStr">
        <is>
          <t>Hồ Chí Minh</t>
        </is>
      </c>
      <c r="G14580" s="10" t="inlineStr">
        <is>
          <t>11-04-2026</t>
        </is>
      </c>
      <c r="H14580" s="10" t="inlineStr">
        <is>
          <t>11/04/2026</t>
        </is>
      </c>
      <c r="I14580" s="10" t="inlineStr">
        <is>
          <t>17/03/2026</t>
        </is>
      </c>
      <c r="J14580" s="10" t="inlineStr">
        <is>
          <t>Y tế / Chăm sóc sức khỏe / Thẩm mỹ / Làm đẹp</t>
        </is>
      </c>
      <c r="K14580" s="10" t="inlineStr">
        <is>
          <t>1 - 5 Năm</t>
        </is>
      </c>
      <c r="L14580" s="11">
        <f>HYPERLINK("https://careerviet.vn/vi/tim-viec-lam/dieu-duong-phong-kham-tham-my.35C696E3.html","Xem chi tiết")</f>
        <v/>
      </c>
      <c r="M14580" s="10" t="n"/>
    </row>
    <row r="14581">
      <c r="B14581" s="7" t="n">
        <v>14579</v>
      </c>
      <c r="C14581" t="inlineStr">
        <is>
          <t>Trợ Lý Tổng Giám Đốc</t>
        </is>
      </c>
      <c r="D14581" t="inlineStr">
        <is>
          <t>Công Ty Cổ Phần Hợp Tác Quốc Tế Việt - Hàn</t>
        </is>
      </c>
      <c r="E14581" t="inlineStr">
        <is>
          <t>Lương:8 Tr - 13 Tr VND</t>
        </is>
      </c>
      <c r="F14581" t="inlineStr">
        <is>
          <t>Hà Nội</t>
        </is>
      </c>
      <c r="G14581" t="inlineStr">
        <is>
          <t>24-03-2026</t>
        </is>
      </c>
      <c r="H14581" t="inlineStr">
        <is>
          <t>24/03/2026</t>
        </is>
      </c>
      <c r="I14581" t="inlineStr">
        <is>
          <t>17/03/2026</t>
        </is>
      </c>
      <c r="J14581" t="inlineStr">
        <is>
          <t>Bán hàng / Kinh doanh, Y tế / Chăm sóc sức khỏe / Thẩm mỹ / Làm đẹp, Tư vấn</t>
        </is>
      </c>
      <c r="K14581" t="inlineStr">
        <is>
          <t>N/A</t>
        </is>
      </c>
      <c r="L14581" s="8">
        <f>HYPERLINK("https://careerviet.vn/vi/tim-viec-lam/tro-ly-tong-giam-doc.35C6958A.html","Xem chi tiết")</f>
        <v/>
      </c>
    </row>
    <row r="14582">
      <c r="B14582" s="9" t="n">
        <v>14580</v>
      </c>
      <c r="C14582" s="10" t="inlineStr">
        <is>
          <t>Trưởng Bưu Cục Phú Quốc | Thu nhập đến 25 triệu</t>
        </is>
      </c>
      <c r="D14582" s="10" t="inlineStr">
        <is>
          <t>Công Ty Cổ Phần Hai Bốn Bảy</t>
        </is>
      </c>
      <c r="E14582" s="10" t="inlineStr">
        <is>
          <t>Lương:15 Tr - 25 Tr VND</t>
        </is>
      </c>
      <c r="F14582" s="10" t="inlineStr">
        <is>
          <t>Kiên Giang</t>
        </is>
      </c>
      <c r="G14582" s="10" t="inlineStr">
        <is>
          <t>31-03-2026</t>
        </is>
      </c>
      <c r="H14582" s="10" t="inlineStr">
        <is>
          <t>31/03/2026</t>
        </is>
      </c>
      <c r="I14582" s="10" t="inlineStr">
        <is>
          <t>17/03/2026</t>
        </is>
      </c>
      <c r="J14582" s="10" t="inlineStr">
        <is>
          <t>Vận chuyển / Giao nhận / Kho vận</t>
        </is>
      </c>
      <c r="K14582" s="10" t="inlineStr">
        <is>
          <t>1 - 2 Năm</t>
        </is>
      </c>
      <c r="L14582" s="11">
        <f>HYPERLINK("https://careerviet.vn/vi/tim-viec-lam/truong-buu-cuc-phu-quoc-thu-nhap-den-25-trieu.35C698AE.html","Xem chi tiết")</f>
        <v/>
      </c>
      <c r="M14582" s="10" t="n"/>
    </row>
    <row r="14583">
      <c r="B14583" s="7" t="n">
        <v>14581</v>
      </c>
      <c r="C14583" t="inlineStr">
        <is>
          <t>Trưởng Nhóm Hành Chính Thu Nhập Lên Đến 25 Triệu Đồng/Tháng</t>
        </is>
      </c>
      <c r="D14583" t="inlineStr">
        <is>
          <t>NHÀ SÁCH TIẾN THỌ</t>
        </is>
      </c>
      <c r="E14583" t="inlineStr">
        <is>
          <t>Lương:17 Tr - 25 Tr VND</t>
        </is>
      </c>
      <c r="F14583" t="inlineStr">
        <is>
          <t>Hà Nội</t>
        </is>
      </c>
      <c r="G14583" t="inlineStr">
        <is>
          <t>31-03-2026</t>
        </is>
      </c>
      <c r="H14583" t="inlineStr">
        <is>
          <t>31/03/2026</t>
        </is>
      </c>
      <c r="I14583" t="inlineStr">
        <is>
          <t>17/03/2026</t>
        </is>
      </c>
      <c r="J14583" t="inlineStr">
        <is>
          <t>Bán lẻ / Bán sỉ, Hành chính / Thư ký, Nhân sự</t>
        </is>
      </c>
      <c r="K14583" t="inlineStr">
        <is>
          <t>Trên 1 Năm</t>
        </is>
      </c>
      <c r="L14583" s="8">
        <f>HYPERLINK("https://careerviet.vn/vi/tim-viec-lam/truong-nhom-hanh-chinh-thu-nhap-len-den-25-trieu-dong-thang.35C69631.html","Xem chi tiết")</f>
        <v/>
      </c>
    </row>
    <row r="14584">
      <c r="B14584" s="9" t="n">
        <v>14582</v>
      </c>
      <c r="C14584" s="10" t="inlineStr">
        <is>
          <t>Trưởng bộ phận quản lý chất lượng - QC Manager</t>
        </is>
      </c>
      <c r="D14584" s="10" t="inlineStr">
        <is>
          <t>Công ty cổ phần xây dựng công nghiệp Megacon</t>
        </is>
      </c>
      <c r="E14584" s="10" t="inlineStr">
        <is>
          <t>Lương:18 Tr - 25 Tr VND</t>
        </is>
      </c>
      <c r="F14584" s="10" t="inlineStr">
        <is>
          <t>Hà Nội</t>
        </is>
      </c>
      <c r="G14584" s="10" t="inlineStr">
        <is>
          <t>30-04-2026</t>
        </is>
      </c>
      <c r="H14584" s="10" t="inlineStr">
        <is>
          <t>30/04/2026</t>
        </is>
      </c>
      <c r="I14584" s="10" t="inlineStr">
        <is>
          <t>17/03/2026</t>
        </is>
      </c>
      <c r="J14584" s="10" t="inlineStr">
        <is>
          <t>Quản lý chất lượng (QA/QC), Xây dựng</t>
        </is>
      </c>
      <c r="K14584" s="10" t="inlineStr">
        <is>
          <t>Trên 3 Năm</t>
        </is>
      </c>
      <c r="L14584" s="11">
        <f>HYPERLINK("https://careerviet.vn/vi/tim-viec-lam/truong-bo-phan-quan-ly-chat-luong-qc-manager.35C695F2.html","Xem chi tiết")</f>
        <v/>
      </c>
      <c r="M14584" s="10" t="n"/>
    </row>
    <row r="14585">
      <c r="B14585" s="7" t="n">
        <v>14583</v>
      </c>
      <c r="C14585" t="inlineStr">
        <is>
          <t>[Vũng Tàu] Store Manager - Cửa hàng trưởng</t>
        </is>
      </c>
      <c r="D14585" t="inlineStr">
        <is>
          <t>Starbucks Vietnam</t>
        </is>
      </c>
      <c r="E14585" t="inlineStr">
        <is>
          <t>Lương:Cạnh tranh</t>
        </is>
      </c>
      <c r="F14585" t="inlineStr">
        <is>
          <t>Bà Rịa - Vũng Tàu</t>
        </is>
      </c>
      <c r="G14585" t="inlineStr">
        <is>
          <t>10-03-2026</t>
        </is>
      </c>
      <c r="H14585" t="inlineStr">
        <is>
          <t>11/03/2026</t>
        </is>
      </c>
      <c r="I14585" t="inlineStr">
        <is>
          <t>17/03/2026</t>
        </is>
      </c>
      <c r="J14585" t="inlineStr">
        <is>
          <t>Bán lẻ / Bán sỉ, Thực phẩm &amp; Đồ uống, Nhà hàng / Khách sạn</t>
        </is>
      </c>
      <c r="K14585" t="inlineStr">
        <is>
          <t>3 - 8 Năm</t>
        </is>
      </c>
      <c r="L14585" s="8">
        <f>HYPERLINK("https://careerviet.vn/vi/tim-viec-lam/vung-tau-store-manager-cua-hang-truong.35C696D8.html","Xem chi tiết")</f>
        <v/>
      </c>
    </row>
    <row r="14586">
      <c r="B14586" s="9" t="n">
        <v>14584</v>
      </c>
      <c r="C14586" s="10" t="inlineStr">
        <is>
          <t>Cán bộ kỹ thuật phụ trách thông gió, tăng áp, hút khói</t>
        </is>
      </c>
      <c r="D14586" s="10" t="inlineStr">
        <is>
          <t>CÔNG TY CỔ PHẦN CƠ ĐIỆN VÀ PCCC THĂNG LONG</t>
        </is>
      </c>
      <c r="E14586" s="10" t="inlineStr">
        <is>
          <t>Lương:12 Tr - 20 Tr VND</t>
        </is>
      </c>
      <c r="F14586" s="10" t="inlineStr">
        <is>
          <t>Hà Nội</t>
        </is>
      </c>
      <c r="G14586" s="10" t="inlineStr">
        <is>
          <t>31-03-2026</t>
        </is>
      </c>
      <c r="H14586" s="10" t="inlineStr">
        <is>
          <t>31/03/2026</t>
        </is>
      </c>
      <c r="I14586" s="10" t="inlineStr">
        <is>
          <t>17/03/2026</t>
        </is>
      </c>
      <c r="J14586" s="10" t="inlineStr">
        <is>
          <t>Cơ khí / Ô tô / Tự động hóa, Điện / Điện tử / Điện lạnh / Điện công nghiệp, Bảo trì / Sửa chữa</t>
        </is>
      </c>
      <c r="K14586" s="10" t="inlineStr">
        <is>
          <t>N/A</t>
        </is>
      </c>
      <c r="L14586" s="11">
        <f>HYPERLINK("https://careerviet.vn/vi/tim-viec-lam/can-bo-ky-thuat-phu-trach-thong-gio-tang-ap-hut-khoi.35C696D5.html","Xem chi tiết")</f>
        <v/>
      </c>
      <c r="M14586" s="10" t="n"/>
    </row>
    <row r="14587">
      <c r="B14587" s="7" t="n">
        <v>14585</v>
      </c>
      <c r="C14587" t="inlineStr">
        <is>
          <t>Trưởng phòng Quản lý chất lượng (Làm việc tại Tây Ninh)</t>
        </is>
      </c>
      <c r="D14587" t="inlineStr">
        <is>
          <t>Công ty CP Thành Thành Công - Biên Hòa</t>
        </is>
      </c>
      <c r="E14587" t="inlineStr">
        <is>
          <t>Lương:Cạnh tranh</t>
        </is>
      </c>
      <c r="F14587" t="inlineStr">
        <is>
          <t>Tây Ninh</t>
        </is>
      </c>
      <c r="G14587" t="inlineStr">
        <is>
          <t>27-03-2026</t>
        </is>
      </c>
      <c r="H14587" t="inlineStr">
        <is>
          <t>27/03/2026</t>
        </is>
      </c>
      <c r="I14587" t="inlineStr">
        <is>
          <t>17/03/2026</t>
        </is>
      </c>
      <c r="J14587" t="inlineStr">
        <is>
          <t>Chăn nuôi / Thú y, Công nghệ sinh học, Công nghệ thực phẩm / Dinh dưỡng</t>
        </is>
      </c>
      <c r="K14587" t="inlineStr">
        <is>
          <t>3 - 5 Năm</t>
        </is>
      </c>
      <c r="L14587" s="8">
        <f>HYPERLINK("https://careerviet.vn/vi/tim-viec-lam/truong-phong-quan-ly-chat-luong-lam-viec-tai-tay-ninh.35C696F8.html","Xem chi tiết")</f>
        <v/>
      </c>
    </row>
    <row r="14588">
      <c r="B14588" s="9" t="n">
        <v>14586</v>
      </c>
      <c r="C14588" s="10" t="inlineStr">
        <is>
          <t>Kỹ sư Thiết kế hệ thống PCCC thu nhập lên đến 20tr/tháng</t>
        </is>
      </c>
      <c r="D14588" s="10" t="inlineStr">
        <is>
          <t>CÔNG TY CỔ PHẦN CƠ ĐIỆN VÀ PCCC THĂNG LONG</t>
        </is>
      </c>
      <c r="E14588" s="10" t="inlineStr">
        <is>
          <t>Lương:10 Tr - 20 Tr VND</t>
        </is>
      </c>
      <c r="F14588" s="10" t="inlineStr">
        <is>
          <t>Hà Nội</t>
        </is>
      </c>
      <c r="G14588" s="10" t="inlineStr">
        <is>
          <t>31-03-2026</t>
        </is>
      </c>
      <c r="H14588" s="10" t="inlineStr">
        <is>
          <t>31/03/2026</t>
        </is>
      </c>
      <c r="I14588" s="10" t="inlineStr">
        <is>
          <t>17/03/2026</t>
        </is>
      </c>
      <c r="J14588" s="10" t="inlineStr">
        <is>
          <t>Cơ khí / Ô tô / Tự động hóa, Điện / Điện tử / Điện lạnh / Điện công nghiệp, Xây dựng</t>
        </is>
      </c>
      <c r="K14588" s="10" t="inlineStr">
        <is>
          <t>1 - 2 Năm</t>
        </is>
      </c>
      <c r="L14588" s="11">
        <f>HYPERLINK("https://careerviet.vn/vi/tim-viec-lam/ky-su-thiet-ke-he-thong-pccc-thu-nhap-len-den-20tr-thang.35C696EE.html","Xem chi tiết")</f>
        <v/>
      </c>
      <c r="M14588" s="10" t="n"/>
    </row>
    <row r="14589">
      <c r="B14589" s="7" t="n">
        <v>14587</v>
      </c>
      <c r="C14589" t="inlineStr">
        <is>
          <t>Trưởng bộ phận Tuyển dụng</t>
        </is>
      </c>
      <c r="D14589" t="inlineStr">
        <is>
          <t>Công Ty Cổ Phần VictoryCons</t>
        </is>
      </c>
      <c r="E14589" t="inlineStr">
        <is>
          <t>Lương:Cạnh tranh</t>
        </is>
      </c>
      <c r="F14589" t="inlineStr">
        <is>
          <t>Hồ Chí Minh</t>
        </is>
      </c>
      <c r="G14589" t="inlineStr">
        <is>
          <t>25-03-2026</t>
        </is>
      </c>
      <c r="H14589" t="inlineStr">
        <is>
          <t>25/03/2026</t>
        </is>
      </c>
      <c r="I14589" t="inlineStr">
        <is>
          <t>17/03/2026</t>
        </is>
      </c>
      <c r="J14589" t="inlineStr">
        <is>
          <t>Xây dựng, Bất động sản, Kiến trúc</t>
        </is>
      </c>
      <c r="K14589" t="inlineStr">
        <is>
          <t>3 - 5 Năm</t>
        </is>
      </c>
      <c r="L14589" s="8">
        <f>HYPERLINK("https://careerviet.vn/vi/tim-viec-lam/truong-bo-phan-tuyen-dung.35C696C3.html","Xem chi tiết")</f>
        <v/>
      </c>
    </row>
    <row r="14590">
      <c r="B14590" s="9" t="n">
        <v>14588</v>
      </c>
      <c r="C14590" s="10" t="inlineStr">
        <is>
          <t>Nhân viên Hành chính Tuyển dụng (Brand Hotpot Dragon)</t>
        </is>
      </c>
      <c r="D14590" s="10" t="inlineStr">
        <is>
          <t>Công Ty Cổ Phần Đầu Tư Vinh Phát</t>
        </is>
      </c>
      <c r="E14590" s="10" t="inlineStr">
        <is>
          <t>Lương:10 Tr - 14 Tr VND</t>
        </is>
      </c>
      <c r="F14590" s="10" t="inlineStr">
        <is>
          <t>Hồ Chí Minh</t>
        </is>
      </c>
      <c r="G14590" s="10" t="inlineStr">
        <is>
          <t>31-03-2026</t>
        </is>
      </c>
      <c r="H14590" s="10" t="inlineStr">
        <is>
          <t>31/03/2026</t>
        </is>
      </c>
      <c r="I14590" s="10" t="inlineStr">
        <is>
          <t>17/03/2026</t>
        </is>
      </c>
      <c r="J14590" s="10" t="inlineStr">
        <is>
          <t>Nhân sự, Nhà hàng / Khách sạn</t>
        </is>
      </c>
      <c r="K14590" s="10" t="inlineStr">
        <is>
          <t>2 - 3 Năm</t>
        </is>
      </c>
      <c r="L14590" s="11">
        <f>HYPERLINK("https://careerviet.vn/vi/tim-viec-lam/nhan-vien-hanh-chinh-tuyen-dung-brand-hotpot-dragon.35C69535.html","Xem chi tiết")</f>
        <v/>
      </c>
      <c r="M14590" s="10" t="n"/>
    </row>
    <row r="14591">
      <c r="B14591" s="7" t="n">
        <v>14589</v>
      </c>
      <c r="C14591" t="inlineStr">
        <is>
          <t>Thợ Điện / Kỹ Thuật Viên Điện</t>
        </is>
      </c>
      <c r="D14591" t="inlineStr">
        <is>
          <t>Công Ty TNHH Corsair Marine International</t>
        </is>
      </c>
      <c r="E14591" t="inlineStr">
        <is>
          <t>Lương:Cạnh tranh</t>
        </is>
      </c>
      <c r="F14591" t="inlineStr">
        <is>
          <t>Hồ Chí Minh</t>
        </is>
      </c>
      <c r="G14591" t="inlineStr">
        <is>
          <t>31-03-2026</t>
        </is>
      </c>
      <c r="H14591" t="inlineStr">
        <is>
          <t>31/03/2026</t>
        </is>
      </c>
      <c r="I14591" t="inlineStr">
        <is>
          <t>17/03/2026</t>
        </is>
      </c>
      <c r="J14591" t="inlineStr">
        <is>
          <t>Điện / Điện tử / Điện lạnh / Điện công nghiệp</t>
        </is>
      </c>
      <c r="K14591" t="inlineStr">
        <is>
          <t>N/A</t>
        </is>
      </c>
      <c r="L14591" s="8">
        <f>HYPERLINK("https://careerviet.vn/vi/tim-viec-lam/tho-dien-ky-thuat-vien-dien.35C69652.html","Xem chi tiết")</f>
        <v/>
      </c>
    </row>
    <row r="14592">
      <c r="B14592" s="9" t="n">
        <v>14590</v>
      </c>
      <c r="C14592" s="10" t="inlineStr">
        <is>
          <t>[Tan Phu] Customer Service Administrator</t>
        </is>
      </c>
      <c r="D14592" s="10" t="inlineStr">
        <is>
          <t>EUROFINS VIETNAM</t>
        </is>
      </c>
      <c r="E14592" s="10" t="inlineStr">
        <is>
          <t>Lương:8 Tr - 10 Tr VND</t>
        </is>
      </c>
      <c r="F14592" s="10" t="inlineStr">
        <is>
          <t>Hồ Chí Minh</t>
        </is>
      </c>
      <c r="G14592" s="10" t="inlineStr">
        <is>
          <t>31-03-2026</t>
        </is>
      </c>
      <c r="H14592" s="10" t="inlineStr">
        <is>
          <t>31/03/2026</t>
        </is>
      </c>
      <c r="I14592" s="10" t="inlineStr">
        <is>
          <t>17/03/2026</t>
        </is>
      </c>
      <c r="J14592" s="10" t="inlineStr">
        <is>
          <t>Dịch vụ khách hàng, Hành chính / Thư ký</t>
        </is>
      </c>
      <c r="K14592" s="10" t="inlineStr">
        <is>
          <t>Lên đến 1 Năm</t>
        </is>
      </c>
      <c r="L14592" s="11">
        <f>HYPERLINK("https://careerviet.vn/vi/tim-viec-lam/tan-phu-customer-service-administrator.35C694B1.html","Xem chi tiết")</f>
        <v/>
      </c>
      <c r="M14592" s="10" t="n"/>
    </row>
    <row r="14593">
      <c r="B14593" s="7" t="n">
        <v>14591</v>
      </c>
      <c r="C14593" t="inlineStr">
        <is>
          <t>Chuyên Viên Google/Youtube Ads Thu nhập Upto 30M/Tháng</t>
        </is>
      </c>
      <c r="D14593" t="inlineStr">
        <is>
          <t>CÔNG TY TNHH THẨM MỸ QUỐC TẾ LINH ANH</t>
        </is>
      </c>
      <c r="E14593" t="inlineStr">
        <is>
          <t>Lương:15 Tr - 20 Tr VND</t>
        </is>
      </c>
      <c r="F14593" t="inlineStr">
        <is>
          <t>Hồ Chí Minh</t>
        </is>
      </c>
      <c r="G14593" t="inlineStr">
        <is>
          <t>04-04-2026</t>
        </is>
      </c>
      <c r="H14593" t="inlineStr">
        <is>
          <t>04/04/2026</t>
        </is>
      </c>
      <c r="I14593" t="inlineStr">
        <is>
          <t>17/03/2026</t>
        </is>
      </c>
      <c r="J14593" t="inlineStr">
        <is>
          <t>Tiếp thị / Marketing</t>
        </is>
      </c>
      <c r="K14593" t="inlineStr">
        <is>
          <t>1 - 5 Năm</t>
        </is>
      </c>
      <c r="L14593" s="8">
        <f>HYPERLINK("https://careerviet.vn/vi/tim-viec-lam/chuyen-vien-google-youtube-ads-thu-nhap-upto-30m-thang.35C69701.html","Xem chi tiết")</f>
        <v/>
      </c>
    </row>
    <row r="14594">
      <c r="B14594" s="9" t="n">
        <v>14592</v>
      </c>
      <c r="C14594" s="10" t="inlineStr">
        <is>
          <t>Chuyên viên mua sắm hàng hóa Cơ Điện MEP (Thi công Nhà xưởng)</t>
        </is>
      </c>
      <c r="D14594" s="10" t="inlineStr">
        <is>
          <t>CÔNG TY CỔ PHẦN XÂY DỰNG MEGASPACE</t>
        </is>
      </c>
      <c r="E14594" s="10" t="inlineStr">
        <is>
          <t>Lương:15 Tr - 22 Tr VND</t>
        </is>
      </c>
      <c r="F14594" s="10" t="inlineStr">
        <is>
          <t>Hà Nội</t>
        </is>
      </c>
      <c r="G14594" s="10" t="inlineStr">
        <is>
          <t>25-03-2026</t>
        </is>
      </c>
      <c r="H14594" s="10" t="inlineStr">
        <is>
          <t>25/03/2026</t>
        </is>
      </c>
      <c r="I14594" s="10" t="inlineStr">
        <is>
          <t>17/03/2026</t>
        </is>
      </c>
      <c r="J14594" s="10" t="inlineStr">
        <is>
          <t>Xây dựng, Cơ khí / Ô tô / Tự động hóa, Điện / Điện tử / Điện lạnh / Điện công nghiệp</t>
        </is>
      </c>
      <c r="K14594" s="10" t="inlineStr">
        <is>
          <t>Trên 5 Năm</t>
        </is>
      </c>
      <c r="L14594" s="11">
        <f>HYPERLINK("https://careerviet.vn/vi/tim-viec-lam/chuyen-vien-mua-sam-hang-hoa-co-dien-mep-thi-cong-nha-xuong.35C696B6.html","Xem chi tiết")</f>
        <v/>
      </c>
      <c r="M14594" s="10" t="n"/>
    </row>
    <row r="14595">
      <c r="B14595" s="7" t="n">
        <v>14593</v>
      </c>
      <c r="C14595" t="inlineStr">
        <is>
          <t>NHÂN VIÊN KINH DOANH THỊ TRƯỜNG - KHU VỰC: HỒ CHÍ MINH</t>
        </is>
      </c>
      <c r="D14595" t="inlineStr">
        <is>
          <t>CÔNG TY CỔ PHẦN SẢN XUẤT, THƯƠNG MẠI VÀ DỊCH VỤ PHÚC THỊNH</t>
        </is>
      </c>
      <c r="E14595" t="inlineStr">
        <is>
          <t>Lương:8 Tr - 13 Tr VND</t>
        </is>
      </c>
      <c r="F14595" t="inlineStr">
        <is>
          <t>Hồ Chí Minh</t>
        </is>
      </c>
      <c r="G14595" t="inlineStr">
        <is>
          <t>10-03-2026</t>
        </is>
      </c>
      <c r="H14595" t="inlineStr">
        <is>
          <t>01/03/2026</t>
        </is>
      </c>
      <c r="I14595" t="inlineStr">
        <is>
          <t>17/03/2026</t>
        </is>
      </c>
      <c r="J14595" t="inlineStr">
        <is>
          <t>Bán lẻ / Bán sỉ, Bán hàng / Kinh doanh, Thực phẩm &amp; Đồ uống</t>
        </is>
      </c>
      <c r="K14595" t="inlineStr">
        <is>
          <t>1 - 2 Năm</t>
        </is>
      </c>
      <c r="L14595" s="8">
        <f>HYPERLINK("https://careerviet.vn/vi/tim-viec-lam/nhan-vien-kinh-doanh-thi-truong-khu-vuc-ho-chi-minh.35C696E1.html","Xem chi tiết")</f>
        <v/>
      </c>
    </row>
    <row r="14596">
      <c r="B14596" s="9" t="n">
        <v>14594</v>
      </c>
      <c r="C14596" s="10" t="inlineStr">
        <is>
          <t>Trưởng phòng kinh doanh</t>
        </is>
      </c>
      <c r="D14596" s="10" t="inlineStr">
        <is>
          <t>CÔNG TY CỔ PHẦN CÔNG NGHIỆP ĐÔNG HƯNG</t>
        </is>
      </c>
      <c r="E14596" s="10" t="inlineStr">
        <is>
          <t>Lương:20 Tr - 25 Tr VND</t>
        </is>
      </c>
      <c r="F14596" s="10" t="inlineStr">
        <is>
          <t>Hà Nội</t>
        </is>
      </c>
      <c r="G14596" s="10" t="inlineStr">
        <is>
          <t>31-03-2026</t>
        </is>
      </c>
      <c r="H14596" s="10" t="inlineStr">
        <is>
          <t>31/03/2026</t>
        </is>
      </c>
      <c r="I14596" s="10" t="inlineStr">
        <is>
          <t>17/03/2026</t>
        </is>
      </c>
      <c r="J14596" s="10" t="inlineStr">
        <is>
          <t>Bán hàng / Kinh doanh</t>
        </is>
      </c>
      <c r="K14596" s="10" t="inlineStr">
        <is>
          <t>1 - 3 Năm</t>
        </is>
      </c>
      <c r="L14596" s="11">
        <f>HYPERLINK("https://careerviet.vn/vi/tim-viec-lam/truong-phong-kinh-doanh.35C695EE.html","Xem chi tiết")</f>
        <v/>
      </c>
      <c r="M14596" s="10" t="n"/>
    </row>
    <row r="14597">
      <c r="B14597" s="7" t="n">
        <v>14595</v>
      </c>
      <c r="C14597" t="inlineStr">
        <is>
          <t>Cán bộ kỹ thuật PCCC tại Hải Dương</t>
        </is>
      </c>
      <c r="D14597" t="inlineStr">
        <is>
          <t>CÔNG TY CỔ PHẦN CƠ ĐIỆN VÀ PCCC THĂNG LONG</t>
        </is>
      </c>
      <c r="E14597" t="inlineStr">
        <is>
          <t>Lương:10 Tr - 25 Tr VND</t>
        </is>
      </c>
      <c r="F14597" t="inlineStr">
        <is>
          <t>Hải Dương</t>
        </is>
      </c>
      <c r="G14597" t="inlineStr">
        <is>
          <t>31-03-2026</t>
        </is>
      </c>
      <c r="H14597" t="inlineStr">
        <is>
          <t>31/03/2026</t>
        </is>
      </c>
      <c r="I14597" t="inlineStr">
        <is>
          <t>17/03/2026</t>
        </is>
      </c>
      <c r="J14597" t="inlineStr">
        <is>
          <t>Cơ khí / Ô tô / Tự động hóa, Điện / Điện tử / Điện lạnh / Điện công nghiệp, Xây dựng</t>
        </is>
      </c>
      <c r="K14597" t="inlineStr">
        <is>
          <t>N/A</t>
        </is>
      </c>
      <c r="L14597" s="8">
        <f>HYPERLINK("https://careerviet.vn/vi/tim-viec-lam/can-bo-ky-thuat-pccc-tai-hai-duong.35C696F0.html","Xem chi tiết")</f>
        <v/>
      </c>
    </row>
    <row r="14598">
      <c r="B14598" s="9" t="n">
        <v>14596</v>
      </c>
      <c r="C14598" s="10" t="inlineStr">
        <is>
          <t>CHUYÊN VIÊN QS/QC PHÒNG CẢNH QUAN</t>
        </is>
      </c>
      <c r="D14598" s="10" t="inlineStr">
        <is>
          <t>Công Ty Cổ Phần Đầu Tư Nam Long</t>
        </is>
      </c>
      <c r="E14598" s="10" t="inlineStr">
        <is>
          <t>Lương:10 Tr - 20 Tr VND</t>
        </is>
      </c>
      <c r="F14598" s="10" t="inlineStr">
        <is>
          <t>Hồ Chí Minh</t>
        </is>
      </c>
      <c r="G14598" s="10" t="inlineStr">
        <is>
          <t>31-03-2026</t>
        </is>
      </c>
      <c r="H14598" s="10" t="inlineStr">
        <is>
          <t>31/03/2026</t>
        </is>
      </c>
      <c r="I14598" s="10" t="inlineStr">
        <is>
          <t>17/03/2026</t>
        </is>
      </c>
      <c r="J14598" s="10" t="inlineStr">
        <is>
          <t>Lâm Nghiệp</t>
        </is>
      </c>
      <c r="K14598" s="10" t="inlineStr">
        <is>
          <t>1 - 2 Năm</t>
        </is>
      </c>
      <c r="L14598" s="11">
        <f>HYPERLINK("https://careerviet.vn/vi/tim-viec-lam/chuyen-vien-qs-qc-phong-canh-quan.35C697F8.html","Xem chi tiết")</f>
        <v/>
      </c>
      <c r="M14598" s="10" t="n"/>
    </row>
    <row r="14599">
      <c r="B14599" s="7" t="n">
        <v>14597</v>
      </c>
      <c r="C14599" t="inlineStr">
        <is>
          <t>Nhân viên Dự toán - Ngân sách</t>
        </is>
      </c>
      <c r="D14599" t="inlineStr">
        <is>
          <t>VINHOMES - Tập đoàn Vingroup</t>
        </is>
      </c>
      <c r="E14599" t="inlineStr">
        <is>
          <t>Lương:Cạnh tranh</t>
        </is>
      </c>
      <c r="F14599" t="inlineStr">
        <is>
          <t>Hà Nội</t>
        </is>
      </c>
      <c r="G14599" t="inlineStr">
        <is>
          <t>31-03-2026</t>
        </is>
      </c>
      <c r="H14599" t="inlineStr">
        <is>
          <t>31/03/2026</t>
        </is>
      </c>
      <c r="I14599" t="inlineStr">
        <is>
          <t>17/03/2026</t>
        </is>
      </c>
      <c r="J14599" t="inlineStr">
        <is>
          <t>Xây dựng</t>
        </is>
      </c>
      <c r="K14599" t="inlineStr">
        <is>
          <t>3 - 5 Năm</t>
        </is>
      </c>
      <c r="L14599" s="8">
        <f>HYPERLINK("https://careerviet.vn/vi/tim-viec-lam/nhan-vien-du-toan-ngan-sach.35C69694.html","Xem chi tiết")</f>
        <v/>
      </c>
    </row>
    <row r="14600">
      <c r="B14600" s="9" t="n">
        <v>14598</v>
      </c>
      <c r="C14600" s="10" t="inlineStr">
        <is>
          <t>PLANNER</t>
        </is>
      </c>
      <c r="D14600" s="10" t="inlineStr">
        <is>
          <t>Blue Sky Corporation</t>
        </is>
      </c>
      <c r="E14600" s="10" t="inlineStr">
        <is>
          <t>Lương:Cạnh tranh</t>
        </is>
      </c>
      <c r="F14600" s="10" t="inlineStr">
        <is>
          <t>Hồ Chí Minh</t>
        </is>
      </c>
      <c r="G14600" s="10" t="inlineStr">
        <is>
          <t>25-03-2026</t>
        </is>
      </c>
      <c r="H14600" s="10" t="inlineStr">
        <is>
          <t>25/03/2026</t>
        </is>
      </c>
      <c r="I14600" s="10" t="inlineStr">
        <is>
          <t>17/03/2026</t>
        </is>
      </c>
      <c r="J14600" s="10" t="inlineStr">
        <is>
          <t>Tiếp thị / Marketing, Hành chính / Thư ký, Quảng cáo / Đối ngoại / Truyền Thông</t>
        </is>
      </c>
      <c r="K14600" s="10" t="inlineStr">
        <is>
          <t>Trên 1 Năm</t>
        </is>
      </c>
      <c r="L14600" s="11">
        <f>HYPERLINK("https://careerviet.vn/vi/tim-viec-lam/planner.35C6965B.html","Xem chi tiết")</f>
        <v/>
      </c>
      <c r="M14600" s="10" t="n"/>
    </row>
    <row r="14601">
      <c r="B14601" s="7" t="n">
        <v>14599</v>
      </c>
      <c r="C14601" t="inlineStr">
        <is>
          <t>Kỹ sư giám sát cơ điện</t>
        </is>
      </c>
      <c r="D14601" t="inlineStr">
        <is>
          <t>Công Ty Cổ Phần VictoryCons</t>
        </is>
      </c>
      <c r="E14601" t="inlineStr">
        <is>
          <t>Lương:Cạnh tranh</t>
        </is>
      </c>
      <c r="F14601" t="inlineStr">
        <is>
          <t>Quảng Bình</t>
        </is>
      </c>
      <c r="G14601" t="inlineStr">
        <is>
          <t>25-03-2026</t>
        </is>
      </c>
      <c r="H14601" t="inlineStr">
        <is>
          <t>25/03/2026</t>
        </is>
      </c>
      <c r="I14601" t="inlineStr">
        <is>
          <t>17/03/2026</t>
        </is>
      </c>
      <c r="J14601" t="inlineStr">
        <is>
          <t>Xây dựng, Kiến trúc, Bất động sản</t>
        </is>
      </c>
      <c r="K14601" t="inlineStr">
        <is>
          <t>1 - 5 Năm</t>
        </is>
      </c>
      <c r="L14601" s="8">
        <f>HYPERLINK("https://careerviet.vn/vi/tim-viec-lam/ky-su-giam-sat-co-dien.35C6981C.html","Xem chi tiết")</f>
        <v/>
      </c>
    </row>
    <row r="14602">
      <c r="B14602" s="9" t="n">
        <v>14600</v>
      </c>
      <c r="C14602" s="10" t="inlineStr">
        <is>
          <t>NHÂN VIÊN CHĂM SÓC KHÁCH HÀNG KÊNH CHAT VỚI USER SPF</t>
        </is>
      </c>
      <c r="D14602" s="10" t="inlineStr">
        <is>
          <t>Công Ty TNHH Việt Mỹ-SSU</t>
        </is>
      </c>
      <c r="E14602" s="10" t="inlineStr">
        <is>
          <t>Lương:7,4 Tr - 8,2 Tr VND</t>
        </is>
      </c>
      <c r="F14602" s="10" t="inlineStr">
        <is>
          <t>Hồ Chí Minh</t>
        </is>
      </c>
      <c r="G14602" s="10" t="inlineStr">
        <is>
          <t>27-03-2026</t>
        </is>
      </c>
      <c r="H14602" s="10" t="inlineStr">
        <is>
          <t>27/03/2026</t>
        </is>
      </c>
      <c r="I14602" s="10" t="inlineStr">
        <is>
          <t>17/03/2026</t>
        </is>
      </c>
      <c r="J14602" s="10" t="inlineStr">
        <is>
          <t>Thương mại điện tử, Tư vấn, Dịch vụ khách hàng</t>
        </is>
      </c>
      <c r="K14602" s="10" t="inlineStr">
        <is>
          <t>Lên đến 1 Năm</t>
        </is>
      </c>
      <c r="L14602" s="11">
        <f>HYPERLINK("https://careerviet.vn/vi/tim-viec-lam/nhan-vien-cham-soc-khach-hang-kenh-chat-voi-user-spf.35C6969B.html","Xem chi tiết")</f>
        <v/>
      </c>
      <c r="M14602" s="10" t="n"/>
    </row>
    <row r="14603">
      <c r="B14603" s="7" t="n">
        <v>14601</v>
      </c>
      <c r="C14603" t="inlineStr">
        <is>
          <t>Nhân viên bán hàng - Hoài Đức</t>
        </is>
      </c>
      <c r="D14603" t="inlineStr">
        <is>
          <t>Công ty CP Toshiko Việt Nam</t>
        </is>
      </c>
      <c r="E14603" t="inlineStr">
        <is>
          <t>Lương:12 Tr - 20 Tr VND</t>
        </is>
      </c>
      <c r="F14603" t="inlineStr">
        <is>
          <t>Hà Nội</t>
        </is>
      </c>
      <c r="G14603" t="inlineStr">
        <is>
          <t>28-03-2026</t>
        </is>
      </c>
      <c r="H14603" t="inlineStr">
        <is>
          <t>28/03/2026</t>
        </is>
      </c>
      <c r="I14603" t="inlineStr">
        <is>
          <t>17/03/2026</t>
        </is>
      </c>
      <c r="J14603" t="inlineStr">
        <is>
          <t>Tiếp thị / Marketing, Bán lẻ / Bán sỉ, Bán hàng / Kinh doanh</t>
        </is>
      </c>
      <c r="K14603" t="inlineStr">
        <is>
          <t>1 - 2 Năm</t>
        </is>
      </c>
      <c r="L14603" s="8">
        <f>HYPERLINK("https://careerviet.vn/vi/tim-viec-lam/nhan-vien-ban-hang-hoai-duc.35C6980A.html","Xem chi tiết")</f>
        <v/>
      </c>
    </row>
    <row r="14604">
      <c r="B14604" s="9" t="n">
        <v>14602</v>
      </c>
      <c r="C14604" s="10" t="inlineStr">
        <is>
          <t>Chuyên viên/Chuyên viên Chính Thẩm định tài sản bảo đảm KV Đà Nẵng - Trung tâm Thẩm định Tài sản bảo đảm</t>
        </is>
      </c>
      <c r="D14604" s="10" t="inlineStr">
        <is>
          <t>Ngân Hàng TMCP Quốc Dân (NCB)</t>
        </is>
      </c>
      <c r="E14604" s="10" t="inlineStr">
        <is>
          <t>Lương:Cạnh tranh</t>
        </is>
      </c>
      <c r="F14604" s="10" t="inlineStr">
        <is>
          <t>Đà Nẵng</t>
        </is>
      </c>
      <c r="G14604" s="10" t="inlineStr">
        <is>
          <t>25-03-2026</t>
        </is>
      </c>
      <c r="H14604" s="10" t="inlineStr">
        <is>
          <t>25/03/2026</t>
        </is>
      </c>
      <c r="I14604" s="10" t="inlineStr">
        <is>
          <t>17/03/2026</t>
        </is>
      </c>
      <c r="J14604" s="10" t="inlineStr">
        <is>
          <t>Ngân hàng, Bất động sản, Bán hàng / Kinh doanh</t>
        </is>
      </c>
      <c r="K14604" s="10" t="inlineStr">
        <is>
          <t>Trên 2 Năm</t>
        </is>
      </c>
      <c r="L14604" s="11">
        <f>HYPERLINK("https://careerviet.vn/vi/tim-viec-lam/chuyen-vien-chuyen-vien-chinh-tham-dinh-tai-san-bao-dam-kv-da-nang-trung-tam-tham-dinh-tai-san-bao-dam.35C69826.html","Xem chi tiết")</f>
        <v/>
      </c>
      <c r="M14604" s="10" t="n"/>
    </row>
    <row r="14605">
      <c r="B14605" s="7" t="n">
        <v>14603</v>
      </c>
      <c r="C14605" t="inlineStr">
        <is>
          <t>Kỹ sư cấp thoát nước</t>
        </is>
      </c>
      <c r="D14605" t="inlineStr">
        <is>
          <t>CÔNG TY CP ĐẦU TƯ HẠ TẦNG KHU CÔNG NGHIỆP HÀ NỘI - BẮC GIANG</t>
        </is>
      </c>
      <c r="E14605" t="inlineStr">
        <is>
          <t>Lương:15 Tr - 25 Tr VND</t>
        </is>
      </c>
      <c r="F14605" t="inlineStr">
        <is>
          <t>Bắc Giang</t>
        </is>
      </c>
      <c r="G14605" t="inlineStr">
        <is>
          <t>01-05-2026</t>
        </is>
      </c>
      <c r="H14605" t="inlineStr">
        <is>
          <t>01/05/2026</t>
        </is>
      </c>
      <c r="I14605" t="inlineStr">
        <is>
          <t>17/03/2026</t>
        </is>
      </c>
      <c r="J14605" t="inlineStr">
        <is>
          <t>Thủy lợi, Xây dựng, Bất động sản</t>
        </is>
      </c>
      <c r="K14605" t="inlineStr">
        <is>
          <t>3 - 5 Năm</t>
        </is>
      </c>
      <c r="L14605" s="8">
        <f>HYPERLINK("https://careerviet.vn/vi/tim-viec-lam/ky-su-cap-thoat-nuoc.35C69771.html","Xem chi tiết")</f>
        <v/>
      </c>
    </row>
    <row r="14606">
      <c r="B14606" s="9" t="n">
        <v>14604</v>
      </c>
      <c r="C14606" s="10" t="inlineStr">
        <is>
          <t>KẾ TOÁN TỔNG HỢP KIÊM KẾ TOÁN TRƯỞNG</t>
        </is>
      </c>
      <c r="D14606" s="10" t="inlineStr">
        <is>
          <t>CÔNG TY TNHH VIỆT NAM YAMAZAKI</t>
        </is>
      </c>
      <c r="E14606" s="10" t="inlineStr">
        <is>
          <t>Lương:15 Tr - 20 Tr VND</t>
        </is>
      </c>
      <c r="F14606" s="10" t="inlineStr">
        <is>
          <t>Hồ Chí Minh</t>
        </is>
      </c>
      <c r="G14606" s="10" t="inlineStr">
        <is>
          <t>31-03-2026</t>
        </is>
      </c>
      <c r="H14606" s="10" t="inlineStr">
        <is>
          <t>31/03/2026</t>
        </is>
      </c>
      <c r="I14606" s="10" t="inlineStr">
        <is>
          <t>17/03/2026</t>
        </is>
      </c>
      <c r="J14606" s="10" t="inlineStr">
        <is>
          <t>Hành chính / Thư ký, Kế toán / Kiểm toán, Tài chính / Đầu tư</t>
        </is>
      </c>
      <c r="K14606" s="10" t="inlineStr">
        <is>
          <t>2 - 3 Năm</t>
        </is>
      </c>
      <c r="L14606" s="11">
        <f>HYPERLINK("https://careerviet.vn/vi/tim-viec-lam/ke-toan-tong-hop-kiem-ke-toan-truong.35C6974A.html","Xem chi tiết")</f>
        <v/>
      </c>
      <c r="M14606" s="10" t="n"/>
    </row>
    <row r="14607">
      <c r="B14607" s="7" t="n">
        <v>14605</v>
      </c>
      <c r="C14607" t="inlineStr">
        <is>
          <t>Giám sát An toàn Lao động (HSE)</t>
        </is>
      </c>
      <c r="D14607" t="inlineStr">
        <is>
          <t>CÔNG TY CỔ PHẦN SEAREFICO</t>
        </is>
      </c>
      <c r="E14607" t="inlineStr">
        <is>
          <t>Lương:Cạnh tranh</t>
        </is>
      </c>
      <c r="F14607" t="inlineStr">
        <is>
          <t>Nghệ An</t>
        </is>
      </c>
      <c r="G14607" t="inlineStr">
        <is>
          <t>27-03-2026</t>
        </is>
      </c>
      <c r="H14607" t="inlineStr">
        <is>
          <t>27/03/2026</t>
        </is>
      </c>
      <c r="I14607" t="inlineStr">
        <is>
          <t>17/03/2026</t>
        </is>
      </c>
      <c r="J14607" t="inlineStr">
        <is>
          <t>Môi trường, An toàn lao động</t>
        </is>
      </c>
      <c r="K14607" t="inlineStr">
        <is>
          <t>1 - 2 Năm</t>
        </is>
      </c>
      <c r="L14607" s="8">
        <f>HYPERLINK("https://careerviet.vn/vi/tim-viec-lam/giam-sat-an-toan-lao-dong-hse.35C697BC.html","Xem chi tiết")</f>
        <v/>
      </c>
    </row>
    <row r="14608">
      <c r="B14608" s="9" t="n">
        <v>14606</v>
      </c>
      <c r="C14608" s="10" t="inlineStr">
        <is>
          <t>Chuyên viên Hành chính Nhân sự Tổng hợp</t>
        </is>
      </c>
      <c r="D14608" s="10" t="inlineStr">
        <is>
          <t>CÔNG TY TNHH MTV KỸ THUẬT TÚ LỘC</t>
        </is>
      </c>
      <c r="E14608" s="10" t="inlineStr">
        <is>
          <t>Lương:12 Tr - 15 Tr VND</t>
        </is>
      </c>
      <c r="F14608" s="10" t="inlineStr">
        <is>
          <t>Hồ Chí Minh</t>
        </is>
      </c>
      <c r="G14608" s="10" t="inlineStr">
        <is>
          <t>26-03-2026</t>
        </is>
      </c>
      <c r="H14608" s="10" t="inlineStr">
        <is>
          <t>26/03/2026</t>
        </is>
      </c>
      <c r="I14608" s="10" t="inlineStr">
        <is>
          <t>17/03/2026</t>
        </is>
      </c>
      <c r="J14608" s="10" t="inlineStr">
        <is>
          <t>Hành chính / Thư ký, Nhân sự</t>
        </is>
      </c>
      <c r="K14608" s="10" t="inlineStr">
        <is>
          <t>2 - 3 Năm</t>
        </is>
      </c>
      <c r="L14608" s="11">
        <f>HYPERLINK("https://careerviet.vn/vi/tim-viec-lam/chuyen-vien-hanh-chinh-nhan-su-tong-hop.35C694CF.html","Xem chi tiết")</f>
        <v/>
      </c>
      <c r="M14608" s="10" t="n"/>
    </row>
    <row r="14609">
      <c r="B14609" s="7" t="n">
        <v>14607</v>
      </c>
      <c r="C14609" t="inlineStr">
        <is>
          <t>Trình Dược Viên ETC (Vĩnh Long)</t>
        </is>
      </c>
      <c r="D14609" t="inlineStr">
        <is>
          <t>Công ty cổ phần Anvy</t>
        </is>
      </c>
      <c r="E14609" t="inlineStr">
        <is>
          <t>Lương:12 Tr - 20 Tr VND</t>
        </is>
      </c>
      <c r="F14609" t="inlineStr">
        <is>
          <t>Vĩnh Long</t>
        </is>
      </c>
      <c r="G14609" t="inlineStr">
        <is>
          <t>26-03-2026</t>
        </is>
      </c>
      <c r="H14609" t="inlineStr">
        <is>
          <t>26/03/2026</t>
        </is>
      </c>
      <c r="I14609" t="inlineStr">
        <is>
          <t>17/03/2026</t>
        </is>
      </c>
      <c r="J14609" t="inlineStr">
        <is>
          <t>Bán hàng / Kinh doanh, Y tế / Chăm sóc sức khỏe / Thẩm mỹ / Làm đẹp, Dược phẩm/ Hóa Mỹ Phẩm</t>
        </is>
      </c>
      <c r="K14609" t="inlineStr">
        <is>
          <t>N/A</t>
        </is>
      </c>
      <c r="L14609" s="8">
        <f>HYPERLINK("https://careerviet.vn/vi/tim-viec-lam/trinh-duoc-vien-etc-vinh-long.35C697B7.html","Xem chi tiết")</f>
        <v/>
      </c>
    </row>
    <row r="14610">
      <c r="B14610" s="9" t="n">
        <v>14608</v>
      </c>
      <c r="C14610" s="10" t="inlineStr">
        <is>
          <t>KẾ TOÁN GIÁ THÀNH</t>
        </is>
      </c>
      <c r="D14610" s="10" t="inlineStr">
        <is>
          <t>Công ty cổ phần Okapi Việt Nam - Thương hiệu thời trang BADASS</t>
        </is>
      </c>
      <c r="E14610" s="10" t="inlineStr">
        <is>
          <t>Lương:10 Tr - 15 Tr VND</t>
        </is>
      </c>
      <c r="F14610" s="10" t="inlineStr">
        <is>
          <t>Hà Nội</t>
        </is>
      </c>
      <c r="G14610" s="10" t="inlineStr">
        <is>
          <t>26-03-2026</t>
        </is>
      </c>
      <c r="H14610" s="10" t="inlineStr">
        <is>
          <t>26/03/2026</t>
        </is>
      </c>
      <c r="I14610" s="10" t="inlineStr">
        <is>
          <t>17/03/2026</t>
        </is>
      </c>
      <c r="J14610" s="10" t="inlineStr">
        <is>
          <t>Bán lẻ / Bán sỉ, Kế toán / Kiểm toán, Dệt may / Da giày / Thời trang</t>
        </is>
      </c>
      <c r="K14610" s="10" t="inlineStr">
        <is>
          <t>Trên 2 Năm</t>
        </is>
      </c>
      <c r="L14610" s="11">
        <f>HYPERLINK("https://careerviet.vn/vi/tim-viec-lam/ke-toan-gia-thanh.35C696C4.html","Xem chi tiết")</f>
        <v/>
      </c>
      <c r="M14610" s="10" t="n"/>
    </row>
    <row r="14611">
      <c r="B14611" s="7" t="n">
        <v>14609</v>
      </c>
      <c r="C14611" t="inlineStr">
        <is>
          <t>Nhân viên kỹ thuật tòa nhà</t>
        </is>
      </c>
      <c r="D14611" t="inlineStr">
        <is>
          <t>Tổng Công Ty Cổ Phần Địa Ốc Sài Gòn</t>
        </is>
      </c>
      <c r="E14611" t="inlineStr">
        <is>
          <t>Lương:9 Tr - 11 Tr VND</t>
        </is>
      </c>
      <c r="F14611" t="inlineStr">
        <is>
          <t>Hồ Chí Minh</t>
        </is>
      </c>
      <c r="G14611" t="inlineStr">
        <is>
          <t>31-03-2026</t>
        </is>
      </c>
      <c r="H14611" t="inlineStr">
        <is>
          <t>31/03/2026</t>
        </is>
      </c>
      <c r="I14611" t="inlineStr">
        <is>
          <t>17/03/2026</t>
        </is>
      </c>
      <c r="J14611" t="inlineStr">
        <is>
          <t>Điện / Điện tử / Điện lạnh / Điện công nghiệp, Bảo trì / Sửa chữa</t>
        </is>
      </c>
      <c r="K14611" t="inlineStr">
        <is>
          <t>1 - 2 Năm</t>
        </is>
      </c>
      <c r="L14611" s="8">
        <f>HYPERLINK("https://careerviet.vn/vi/tim-viec-lam/nhan-vien-ky-thuat-toa-nha.35C69591.html","Xem chi tiết")</f>
        <v/>
      </c>
    </row>
    <row r="14612">
      <c r="B14612" s="9" t="n">
        <v>14610</v>
      </c>
      <c r="C14612" s="10" t="inlineStr">
        <is>
          <t>Nhân viên Kế toán Công nợ - GT (Thời vụ 6 tháng)</t>
        </is>
      </c>
      <c r="D14612" s="10" t="inlineStr">
        <is>
          <t>Công ty TNHH Mayora Việt Nam</t>
        </is>
      </c>
      <c r="E14612" s="10" t="inlineStr">
        <is>
          <t>Lương:Cạnh tranh</t>
        </is>
      </c>
      <c r="F14612" s="10" t="inlineStr">
        <is>
          <t>Hồ Chí Minh</t>
        </is>
      </c>
      <c r="G14612" s="10" t="inlineStr">
        <is>
          <t>25-03-2026</t>
        </is>
      </c>
      <c r="H14612" s="10" t="inlineStr">
        <is>
          <t>25/03/2026</t>
        </is>
      </c>
      <c r="I14612" s="10" t="inlineStr">
        <is>
          <t>17/03/2026</t>
        </is>
      </c>
      <c r="J14612" s="10" t="inlineStr">
        <is>
          <t>Thực phẩm &amp; Đồ uống, Kế toán / Kiểm toán</t>
        </is>
      </c>
      <c r="K14612" s="10" t="inlineStr">
        <is>
          <t>1 - 2 Năm</t>
        </is>
      </c>
      <c r="L14612" s="11">
        <f>HYPERLINK("https://careerviet.vn/vi/tim-viec-lam/nhan-vien-ke-toan-cong-no-gt-thoi-vu-6-thang.35C69662.html","Xem chi tiết")</f>
        <v/>
      </c>
      <c r="M14612" s="10" t="n"/>
    </row>
    <row r="14613">
      <c r="B14613" s="7" t="n">
        <v>14611</v>
      </c>
      <c r="C14613" t="inlineStr">
        <is>
          <t>Sale Admin</t>
        </is>
      </c>
      <c r="D14613" t="inlineStr">
        <is>
          <t>CÔNG TY TNHH CÔNG NGHỆ NĂNG LƯỢNG CERGY</t>
        </is>
      </c>
      <c r="E14613" t="inlineStr">
        <is>
          <t>Lương:7 Tr - 9 Tr VND</t>
        </is>
      </c>
      <c r="F14613" t="inlineStr">
        <is>
          <t>Hồ Chí Minh</t>
        </is>
      </c>
      <c r="G14613" t="inlineStr">
        <is>
          <t>24-03-2026</t>
        </is>
      </c>
      <c r="H14613" t="inlineStr">
        <is>
          <t>24/03/2026</t>
        </is>
      </c>
      <c r="I14613" t="inlineStr">
        <is>
          <t>17/03/2026</t>
        </is>
      </c>
      <c r="J14613" t="inlineStr">
        <is>
          <t>Bán hàng / Kinh doanh, Hành chính / Thư ký, Dịch vụ khách hàng</t>
        </is>
      </c>
      <c r="K14613" t="inlineStr">
        <is>
          <t>N/A</t>
        </is>
      </c>
      <c r="L14613" s="8">
        <f>HYPERLINK("https://careerviet.vn/vi/tim-viec-lam/sale-admin.35C69698.html","Xem chi tiết")</f>
        <v/>
      </c>
    </row>
    <row r="14614">
      <c r="B14614" s="9" t="n">
        <v>14612</v>
      </c>
      <c r="C14614" s="10" t="inlineStr">
        <is>
          <t>Chuyên viên Brand Marketing</t>
        </is>
      </c>
      <c r="D14614" s="10" t="inlineStr">
        <is>
          <t>CÔNG TY TNHH TRỐNG ĐỒNG VIỆT NAM</t>
        </is>
      </c>
      <c r="E14614" s="10" t="inlineStr">
        <is>
          <t>Lương:14 Tr - 17 Tr VND</t>
        </is>
      </c>
      <c r="F14614" s="10" t="inlineStr">
        <is>
          <t>Hà Nội</t>
        </is>
      </c>
      <c r="G14614" s="10" t="inlineStr">
        <is>
          <t>31-03-2026</t>
        </is>
      </c>
      <c r="H14614" s="10" t="inlineStr">
        <is>
          <t>31/03/2026</t>
        </is>
      </c>
      <c r="I14614" s="10" t="inlineStr">
        <is>
          <t>17/03/2026</t>
        </is>
      </c>
      <c r="J14614" s="10" t="inlineStr">
        <is>
          <t>Tiếp thị / Marketing, Nhà hàng / Khách sạn, Ngành khác</t>
        </is>
      </c>
      <c r="K14614" s="10" t="inlineStr">
        <is>
          <t>2 - 3 Năm</t>
        </is>
      </c>
      <c r="L14614" s="11">
        <f>HYPERLINK("https://careerviet.vn/vi/tim-viec-lam/chuyen-vien-brand-marketing.35C6955A.html","Xem chi tiết")</f>
        <v/>
      </c>
      <c r="M14614" s="10" t="n"/>
    </row>
    <row r="14615">
      <c r="B14615" s="7" t="n">
        <v>14613</v>
      </c>
      <c r="C14615" t="inlineStr">
        <is>
          <t>Kế toán công nợ công trình</t>
        </is>
      </c>
      <c r="D14615" t="inlineStr">
        <is>
          <t>CÔNG TY CỔ PHẦN SEAREFICO</t>
        </is>
      </c>
      <c r="E14615" t="inlineStr">
        <is>
          <t>Lương:Cạnh tranh</t>
        </is>
      </c>
      <c r="F14615" t="inlineStr">
        <is>
          <t>Hồ Chí Minh</t>
        </is>
      </c>
      <c r="G14615" t="inlineStr">
        <is>
          <t>27-03-2026</t>
        </is>
      </c>
      <c r="H14615" t="inlineStr">
        <is>
          <t>27/03/2026</t>
        </is>
      </c>
      <c r="I14615" t="inlineStr">
        <is>
          <t>17/03/2026</t>
        </is>
      </c>
      <c r="J14615" t="inlineStr">
        <is>
          <t>Kế toán / Kiểm toán</t>
        </is>
      </c>
      <c r="K14615" t="inlineStr">
        <is>
          <t>1 - 3 Năm</t>
        </is>
      </c>
      <c r="L14615" s="8">
        <f>HYPERLINK("https://careerviet.vn/vi/tim-viec-lam/ke-toan-cong-no-cong-trinh.35C6960C.html","Xem chi tiết")</f>
        <v/>
      </c>
    </row>
    <row r="14616">
      <c r="B14616" s="9" t="n">
        <v>14614</v>
      </c>
      <c r="C14616" s="10" t="inlineStr">
        <is>
          <t>Nhân viên hành chính nhân sự</t>
        </is>
      </c>
      <c r="D14616" s="10" t="inlineStr">
        <is>
          <t>CÔNG TY CP ĐẦU TƯ HẠ TẦNG KHU CÔNG NGHIỆP HÀ NỘI - BẮC GIANG</t>
        </is>
      </c>
      <c r="E14616" s="10" t="inlineStr">
        <is>
          <t>Lương:9 Tr - 13 Tr VND</t>
        </is>
      </c>
      <c r="F14616" s="10" t="inlineStr">
        <is>
          <t>Hà Nội</t>
        </is>
      </c>
      <c r="G14616" s="10" t="inlineStr">
        <is>
          <t>01-05-2026</t>
        </is>
      </c>
      <c r="H14616" s="10" t="inlineStr">
        <is>
          <t>01/05/2026</t>
        </is>
      </c>
      <c r="I14616" s="10" t="inlineStr">
        <is>
          <t>17/03/2026</t>
        </is>
      </c>
      <c r="J14616" s="10" t="inlineStr">
        <is>
          <t>Hành chính / Thư ký, Nhân sự, Bất động sản</t>
        </is>
      </c>
      <c r="K14616" s="10" t="inlineStr">
        <is>
          <t>3 - 5 Năm</t>
        </is>
      </c>
      <c r="L14616" s="11">
        <f>HYPERLINK("https://careerviet.vn/vi/tim-viec-lam/nhan-vien-hanh-chinh-nhan-su.35C6977A.html","Xem chi tiết")</f>
        <v/>
      </c>
      <c r="M14616" s="10" t="n"/>
    </row>
    <row r="14617">
      <c r="B14617" s="7" t="n">
        <v>14615</v>
      </c>
      <c r="C14617" t="inlineStr">
        <is>
          <t>Kế Toán Nội Bộ</t>
        </is>
      </c>
      <c r="D14617" t="inlineStr">
        <is>
          <t>CÔNG TY CỔ PHẦN KỸ THUẬT XÂY DỰNG AN TÍN</t>
        </is>
      </c>
      <c r="E14617" t="inlineStr">
        <is>
          <t>Lương:10 Tr - 15 Tr VND</t>
        </is>
      </c>
      <c r="F14617" t="inlineStr">
        <is>
          <t>Hồ Chí Minh</t>
        </is>
      </c>
      <c r="G14617" t="inlineStr">
        <is>
          <t>24-03-2026</t>
        </is>
      </c>
      <c r="H14617" t="inlineStr">
        <is>
          <t>24/03/2026</t>
        </is>
      </c>
      <c r="I14617" t="inlineStr">
        <is>
          <t>17/03/2026</t>
        </is>
      </c>
      <c r="J14617" t="inlineStr">
        <is>
          <t>Xây dựng, Kế toán / Kiểm toán, Tài chính / Đầu tư</t>
        </is>
      </c>
      <c r="K14617" t="inlineStr">
        <is>
          <t>1 - 2 Năm</t>
        </is>
      </c>
      <c r="L14617" s="8">
        <f>HYPERLINK("https://careerviet.vn/vi/tim-viec-lam/ke-toan-noi-bo.35C69622.html","Xem chi tiết")</f>
        <v/>
      </c>
    </row>
    <row r="14618">
      <c r="B14618" s="9" t="n">
        <v>14616</v>
      </c>
      <c r="C14618" s="10" t="inlineStr">
        <is>
          <t>Nhân Viên Tư Vấn Tuyển Sinh (thử việc full lương)</t>
        </is>
      </c>
      <c r="D14618" s="10" t="inlineStr">
        <is>
          <t>TRƯỜNG QUỐC TẾ BLUE RIDGE / BLUE RIDGE INTERNATIONAL SCHOOL (BRIS)</t>
        </is>
      </c>
      <c r="E14618" s="10" t="inlineStr">
        <is>
          <t>Lương:Trên 10 Tr VND</t>
        </is>
      </c>
      <c r="F14618" s="10" t="inlineStr">
        <is>
          <t>Hồ Chí Minh</t>
        </is>
      </c>
      <c r="G14618" s="10" t="inlineStr">
        <is>
          <t>31-03-2026</t>
        </is>
      </c>
      <c r="H14618" s="10" t="inlineStr">
        <is>
          <t>31/03/2026</t>
        </is>
      </c>
      <c r="I14618" s="10" t="inlineStr">
        <is>
          <t>17/03/2026</t>
        </is>
      </c>
      <c r="J14618" s="10" t="inlineStr">
        <is>
          <t>Bán hàng / Kinh doanh, Giáo dục / Đào tạo</t>
        </is>
      </c>
      <c r="K14618" s="10" t="inlineStr">
        <is>
          <t>Trên 2 Năm</t>
        </is>
      </c>
      <c r="L14618" s="11">
        <f>HYPERLINK("https://careerviet.vn/vi/tim-viec-lam/nhan-vien-tu-van-tuyen-sinh-thu-viec-full-luong.35C6968A.html","Xem chi tiết")</f>
        <v/>
      </c>
      <c r="M14618" s="10" t="n"/>
    </row>
    <row r="14619">
      <c r="B14619" s="7" t="n">
        <v>14617</v>
      </c>
      <c r="C14619" t="inlineStr">
        <is>
          <t>Kỹ sư điện</t>
        </is>
      </c>
      <c r="D14619" t="inlineStr">
        <is>
          <t>CÔNG TY CỔ PHẦN ĐẦU TƯ CÔNG NGHỆ THÔNG MINH</t>
        </is>
      </c>
      <c r="E14619" t="inlineStr">
        <is>
          <t>Lương:15 Tr - 25 Tr VND</t>
        </is>
      </c>
      <c r="F14619" t="inlineStr">
        <is>
          <t>Hà Nội</t>
        </is>
      </c>
      <c r="G14619" t="inlineStr">
        <is>
          <t>10-03-2026</t>
        </is>
      </c>
      <c r="H14619" t="inlineStr">
        <is>
          <t>16/03/2026</t>
        </is>
      </c>
      <c r="I14619" t="inlineStr">
        <is>
          <t>17/03/2026</t>
        </is>
      </c>
      <c r="J14619" t="inlineStr">
        <is>
          <t>Điện / Điện tử / Điện lạnh / Điện công nghiệp, Cơ khí / Ô tô / Tự động hóa</t>
        </is>
      </c>
      <c r="K14619" t="inlineStr">
        <is>
          <t>Lên đến 3 Năm</t>
        </is>
      </c>
      <c r="L14619" s="8">
        <f>HYPERLINK("https://careerviet.vn/vi/tim-viec-lam/ky-su-dien.35C69741.html","Xem chi tiết")</f>
        <v/>
      </c>
    </row>
    <row r="14620">
      <c r="B14620" s="9" t="n">
        <v>14618</v>
      </c>
      <c r="C14620" s="10" t="inlineStr">
        <is>
          <t>Kế toán kho miền Nam</t>
        </is>
      </c>
      <c r="D14620" s="10" t="inlineStr">
        <is>
          <t>Công ty cổ phần văn phòng phẩm Hồng Hà</t>
        </is>
      </c>
      <c r="E14620" s="10" t="inlineStr">
        <is>
          <t>Lương:9 Tr - 15 Tr VND</t>
        </is>
      </c>
      <c r="F14620" s="10" t="inlineStr">
        <is>
          <t>Hồ Chí Minh</t>
        </is>
      </c>
      <c r="G14620" s="10" t="inlineStr">
        <is>
          <t>31-03-2026</t>
        </is>
      </c>
      <c r="H14620" s="10" t="inlineStr">
        <is>
          <t>31/03/2026</t>
        </is>
      </c>
      <c r="I14620" s="10" t="inlineStr">
        <is>
          <t>17/03/2026</t>
        </is>
      </c>
      <c r="J14620" s="10" t="inlineStr">
        <is>
          <t>Kế toán / Kiểm toán, Vận chuyển / Giao nhận / Kho vận, Thống kê</t>
        </is>
      </c>
      <c r="K14620" s="10" t="inlineStr">
        <is>
          <t>1 - 3 Năm</t>
        </is>
      </c>
      <c r="L14620" s="11">
        <f>HYPERLINK("https://careerviet.vn/vi/tim-viec-lam/ke-toan-kho-mien-nam.35C69499.html","Xem chi tiết")</f>
        <v/>
      </c>
      <c r="M14620" s="10" t="n"/>
    </row>
    <row r="14621">
      <c r="B14621" s="7" t="n">
        <v>14619</v>
      </c>
      <c r="C14621" t="inlineStr">
        <is>
          <t>Chuyên Viên Kế Toán Thuế - Lương Từ 15 Đến 20 Triệu/Tháng</t>
        </is>
      </c>
      <c r="D14621" t="inlineStr">
        <is>
          <t>Công Ty CP Giáo Dục Đại Dương</t>
        </is>
      </c>
      <c r="E14621" t="inlineStr">
        <is>
          <t>Lương:Cạnh tranh</t>
        </is>
      </c>
      <c r="F14621" t="inlineStr">
        <is>
          <t>Hà Nội</t>
        </is>
      </c>
      <c r="G14621" t="inlineStr">
        <is>
          <t>27-03-2026</t>
        </is>
      </c>
      <c r="H14621" t="inlineStr">
        <is>
          <t>N/A</t>
        </is>
      </c>
      <c r="I14621" t="inlineStr">
        <is>
          <t>17/03/2026</t>
        </is>
      </c>
      <c r="J14621" t="inlineStr">
        <is>
          <t>Tỉnh, Thành PhốTìm NgayTìm NgayRất tiếc, vị trí Chuyên Viên Kế Toán Thuế -</t>
        </is>
      </c>
      <c r="K14621" t="inlineStr">
        <is>
          <t>N/A</t>
        </is>
      </c>
      <c r="L14621" s="8">
        <f>HYPERLINK("https://careerviet.vn/vi/tim-viec-lam/chuyen-vien-ke-toan-thue-luong-tu-15-den-20-trieu-thang.35C69709.html","Xem chi tiết")</f>
        <v/>
      </c>
    </row>
    <row r="14622">
      <c r="B14622" s="9" t="n">
        <v>14620</v>
      </c>
      <c r="C14622" s="10" t="inlineStr">
        <is>
          <t>Nhân Viên Thu Ngân - Thẩm Mỹ Viện - Làm việc tại Phú Nhuận</t>
        </is>
      </c>
      <c r="D14622" s="10" t="inlineStr">
        <is>
          <t>CÔNG TY TNHH THẨM MỸ QUỐC TẾ LINH ANH</t>
        </is>
      </c>
      <c r="E14622" s="10" t="inlineStr">
        <is>
          <t>Lương:9 Tr - 15 Tr VND</t>
        </is>
      </c>
      <c r="F14622" s="10" t="inlineStr">
        <is>
          <t>Hồ Chí Minh</t>
        </is>
      </c>
      <c r="G14622" s="10" t="inlineStr">
        <is>
          <t>11-04-2026</t>
        </is>
      </c>
      <c r="H14622" s="10" t="inlineStr">
        <is>
          <t>11/04/2026</t>
        </is>
      </c>
      <c r="I14622" s="10" t="inlineStr">
        <is>
          <t>17/03/2026</t>
        </is>
      </c>
      <c r="J14622" s="10" t="inlineStr">
        <is>
          <t>Y tế / Chăm sóc sức khỏe / Thẩm mỹ / Làm đẹp</t>
        </is>
      </c>
      <c r="K14622" s="10" t="inlineStr">
        <is>
          <t>1 - 5 Năm</t>
        </is>
      </c>
      <c r="L14622" s="11">
        <f>HYPERLINK("https://careerviet.vn/vi/tim-viec-lam/nhan-vien-thu-ngan-tham-my-vien-lam-viec-tai-phu-nhuan.35C696EF.html","Xem chi tiết")</f>
        <v/>
      </c>
      <c r="M14622" s="10" t="n"/>
    </row>
    <row r="14623">
      <c r="B14623" s="7" t="n">
        <v>14621</v>
      </c>
      <c r="C14623" t="inlineStr">
        <is>
          <t>Chuyên viên nhân sự</t>
        </is>
      </c>
      <c r="D14623" t="inlineStr">
        <is>
          <t>TED SAIGON</t>
        </is>
      </c>
      <c r="E14623" t="inlineStr">
        <is>
          <t>Lương:10 Tr - 12 Tr VND</t>
        </is>
      </c>
      <c r="F14623" t="inlineStr">
        <is>
          <t>Hồ Chí Minh</t>
        </is>
      </c>
      <c r="G14623" t="inlineStr">
        <is>
          <t>26-03-2026</t>
        </is>
      </c>
      <c r="H14623" t="inlineStr">
        <is>
          <t>26/03/2026</t>
        </is>
      </c>
      <c r="I14623" t="inlineStr">
        <is>
          <t>17/03/2026</t>
        </is>
      </c>
      <c r="J14623" t="inlineStr">
        <is>
          <t>Hành chính / Thư ký, Nhân sự, Kế toán / Kiểm toán</t>
        </is>
      </c>
      <c r="K14623" t="inlineStr">
        <is>
          <t>1 - 2 Năm</t>
        </is>
      </c>
      <c r="L14623" s="8">
        <f>HYPERLINK("https://careerviet.vn/vi/tim-viec-lam/chuyen-vien-nhan-su.35C69841.html","Xem chi tiết")</f>
        <v/>
      </c>
    </row>
    <row r="14624">
      <c r="B14624" s="9" t="n">
        <v>14622</v>
      </c>
      <c r="C14624" s="10" t="inlineStr">
        <is>
          <t>Nhân viên Thiết kế nội thất (AutoCAD)</t>
        </is>
      </c>
      <c r="D14624" s="10" t="inlineStr">
        <is>
          <t>CÔNG TY TNHH DỊCH VỤ THƯƠNG MẠI THIÊN HỒNG</t>
        </is>
      </c>
      <c r="E14624" s="10" t="inlineStr">
        <is>
          <t>Lương:12 Tr - 18 Tr VND</t>
        </is>
      </c>
      <c r="F14624" s="10" t="inlineStr">
        <is>
          <t>Bình Dương</t>
        </is>
      </c>
      <c r="G14624" s="10" t="inlineStr">
        <is>
          <t>30-04-2026</t>
        </is>
      </c>
      <c r="H14624" s="10" t="inlineStr">
        <is>
          <t>30/04/2026</t>
        </is>
      </c>
      <c r="I14624" s="10" t="inlineStr">
        <is>
          <t>17/03/2026</t>
        </is>
      </c>
      <c r="J14624" s="10" t="inlineStr">
        <is>
          <t>Nội ngoại thất, Đồ gỗ</t>
        </is>
      </c>
      <c r="K14624" s="10" t="inlineStr">
        <is>
          <t>1 - 3 Năm</t>
        </is>
      </c>
      <c r="L14624" s="11">
        <f>HYPERLINK("https://careerviet.vn/vi/tim-viec-lam/nhan-vien-thiet-ke-noi-that-autocad.35C696AE.html","Xem chi tiết")</f>
        <v/>
      </c>
      <c r="M14624" s="10" t="n"/>
    </row>
    <row r="14625">
      <c r="B14625" s="7" t="n">
        <v>14623</v>
      </c>
      <c r="C14625" t="inlineStr">
        <is>
          <t>Trưởng Phòng Kinh Doanh HÀ NỘI</t>
        </is>
      </c>
      <c r="D14625" t="inlineStr">
        <is>
          <t>CÔNG TY CỔ PHẦN THIẾT BỊ ĐIỆN VINSHINE</t>
        </is>
      </c>
      <c r="E14625" t="inlineStr">
        <is>
          <t>Lương:15 Tr - 20 Tr VND</t>
        </is>
      </c>
      <c r="F14625" t="inlineStr">
        <is>
          <t>Hà Nội</t>
        </is>
      </c>
      <c r="G14625" t="inlineStr">
        <is>
          <t>31-03-2026</t>
        </is>
      </c>
      <c r="H14625" t="inlineStr">
        <is>
          <t>31/03/2026</t>
        </is>
      </c>
      <c r="I14625" t="inlineStr">
        <is>
          <t>17/03/2026</t>
        </is>
      </c>
      <c r="J14625" t="inlineStr">
        <is>
          <t>Tiếp thị / Marketing, Bán lẻ / Bán sỉ, Bán hàng / Kinh doanh</t>
        </is>
      </c>
      <c r="K14625" t="inlineStr">
        <is>
          <t>2 - 5 Năm</t>
        </is>
      </c>
      <c r="L14625" s="8">
        <f>HYPERLINK("https://careerviet.vn/vi/tim-viec-lam/truong-phong-kinh-doanh-ha-noi.35C6946E.html","Xem chi tiết")</f>
        <v/>
      </c>
    </row>
    <row r="14626">
      <c r="B14626" s="9" t="n">
        <v>14624</v>
      </c>
      <c r="C14626" s="10" t="inlineStr">
        <is>
          <t>Trưởng Nhóm Phát Triển Tăng Trưởng &amp; Marketing Sản Phẩm  (Growth &amp; Product Marketing Lead)</t>
        </is>
      </c>
      <c r="D14626" s="10" t="inlineStr">
        <is>
          <t>CÔNG TY CỔ PHẦN CHỨNG KHOÁN HD</t>
        </is>
      </c>
      <c r="E14626" s="10" t="inlineStr">
        <is>
          <t>Lương:Cạnh tranh</t>
        </is>
      </c>
      <c r="F14626" s="10" t="inlineStr">
        <is>
          <t>Hồ Chí Minh</t>
        </is>
      </c>
      <c r="G14626" s="10" t="inlineStr">
        <is>
          <t>26-03-2026</t>
        </is>
      </c>
      <c r="H14626" s="10" t="inlineStr">
        <is>
          <t>26/03/2026</t>
        </is>
      </c>
      <c r="I14626" s="10" t="inlineStr">
        <is>
          <t>17/03/2026</t>
        </is>
      </c>
      <c r="J14626" s="10" t="inlineStr">
        <is>
          <t>Chứng khoán</t>
        </is>
      </c>
      <c r="K14626" s="10" t="inlineStr">
        <is>
          <t>5 - 6 Năm</t>
        </is>
      </c>
      <c r="L14626" s="11">
        <f>HYPERLINK("https://careerviet.vn/vi/tim-viec-lam/truong-nhom-phat-trien-tang-truong-marketing-san-pham-growth-product-marketing-lead.35C69716.html","Xem chi tiết")</f>
        <v/>
      </c>
      <c r="M14626" s="10" t="n"/>
    </row>
    <row r="14627">
      <c r="B14627" s="7" t="n">
        <v>14625</v>
      </c>
      <c r="C14627" t="inlineStr">
        <is>
          <t>Chuyên Viên Tư Vấn Tài Chính Toàn Thời Gian Red+ (Thu Nhập Lên Tới 45 Triệu)</t>
        </is>
      </c>
      <c r="D14627" t="inlineStr">
        <is>
          <t>Công ty TNHH Bảo hiểm nhân thọ Prudential Việt Nam</t>
        </is>
      </c>
      <c r="E14627" t="inlineStr">
        <is>
          <t>Lương:17 Tr - 45 Tr VND</t>
        </is>
      </c>
      <c r="F14627" t="inlineStr">
        <is>
          <t>Hà NộiHồ Chí Minh</t>
        </is>
      </c>
      <c r="G14627" t="inlineStr">
        <is>
          <t>30-03-2026</t>
        </is>
      </c>
      <c r="H14627" t="inlineStr">
        <is>
          <t>30/03/2026</t>
        </is>
      </c>
      <c r="I14627" t="inlineStr">
        <is>
          <t>17/03/2026</t>
        </is>
      </c>
      <c r="J14627" t="inlineStr">
        <is>
          <t>Bán hàng / Kinh doanh, Tư vấn, Bảo hiểm</t>
        </is>
      </c>
      <c r="K14627" t="inlineStr">
        <is>
          <t>Trên 2 Năm</t>
        </is>
      </c>
      <c r="L14627" s="8">
        <f>HYPERLINK("https://careerviet.vn/vi/tim-viec-lam/chuyen-vien-tu-van-tai-chinh-toan-thoi-gian-red-thu-nhap-len-toi-45-trieu.35C69563.html","Xem chi tiết")</f>
        <v/>
      </c>
    </row>
    <row r="14628">
      <c r="B14628" s="9" t="n">
        <v>14626</v>
      </c>
      <c r="C14628" s="10" t="inlineStr">
        <is>
          <t>Chuyên viên Phát triển mặt bằng điểm bán</t>
        </is>
      </c>
      <c r="D14628" s="10" t="inlineStr">
        <is>
          <t>Công ty Cổ phần CANIFA</t>
        </is>
      </c>
      <c r="E14628" s="10" t="inlineStr">
        <is>
          <t>Lương:20 Tr - 25 Tr VND</t>
        </is>
      </c>
      <c r="F14628" s="10" t="inlineStr">
        <is>
          <t>Hà Nội</t>
        </is>
      </c>
      <c r="G14628" s="10" t="inlineStr">
        <is>
          <t>31-03-2026</t>
        </is>
      </c>
      <c r="H14628" s="10" t="inlineStr">
        <is>
          <t>31/03/2026</t>
        </is>
      </c>
      <c r="I14628" s="10" t="inlineStr">
        <is>
          <t>17/03/2026</t>
        </is>
      </c>
      <c r="J14628" s="10" t="inlineStr">
        <is>
          <t>Bán lẻ / Bán sỉ, Xây dựng, Bất động sản</t>
        </is>
      </c>
      <c r="K14628" s="10" t="inlineStr">
        <is>
          <t>3 - 7 Năm</t>
        </is>
      </c>
      <c r="L14628" s="11">
        <f>HYPERLINK("https://careerviet.vn/vi/tim-viec-lam/chuyen-vien-phat-trien-mat-bang-diem-ban.35C69679.html","Xem chi tiết")</f>
        <v/>
      </c>
      <c r="M14628" s="10" t="n"/>
    </row>
    <row r="14629">
      <c r="B14629" s="7" t="n">
        <v>14627</v>
      </c>
      <c r="C14629" t="inlineStr">
        <is>
          <t>PRODUCT SPECIALIST (BEVERAGE)</t>
        </is>
      </c>
      <c r="D14629" t="inlineStr">
        <is>
          <t>CÔNG TY TNHH MỘT THÀNH VIÊN LÝ GIA VIÊN</t>
        </is>
      </c>
      <c r="E14629" t="inlineStr">
        <is>
          <t>Lương:9 Tr - 12 Tr VND</t>
        </is>
      </c>
      <c r="F14629" t="inlineStr">
        <is>
          <t>Hồ Chí MinhHà Nội</t>
        </is>
      </c>
      <c r="G14629" t="inlineStr">
        <is>
          <t>25-03-2026</t>
        </is>
      </c>
      <c r="H14629" t="inlineStr">
        <is>
          <t>25/03/2026</t>
        </is>
      </c>
      <c r="I14629" t="inlineStr">
        <is>
          <t>17/03/2026</t>
        </is>
      </c>
      <c r="J14629" t="inlineStr">
        <is>
          <t>Nhà hàng / Khách sạn, Thực phẩm &amp; Đồ uống, Tổ chức sự kiện</t>
        </is>
      </c>
      <c r="K14629" t="inlineStr">
        <is>
          <t>2 - 3 Năm</t>
        </is>
      </c>
      <c r="L14629" s="8">
        <f>HYPERLINK("https://careerviet.vn/vi/tim-viec-lam/product-specialist-beverage.35C69537.html","Xem chi tiết")</f>
        <v/>
      </c>
    </row>
    <row r="14630">
      <c r="B14630" s="9" t="n">
        <v>14628</v>
      </c>
      <c r="C14630" s="10" t="inlineStr">
        <is>
          <t>Chuyên viên đào tạo</t>
        </is>
      </c>
      <c r="D14630" s="10" t="inlineStr">
        <is>
          <t>ERAS GROUP</t>
        </is>
      </c>
      <c r="E14630" s="10" t="inlineStr">
        <is>
          <t>Lương:Cạnh tranh</t>
        </is>
      </c>
      <c r="F14630" s="10" t="inlineStr">
        <is>
          <t>Hồ Chí Minh</t>
        </is>
      </c>
      <c r="G14630" s="10" t="inlineStr">
        <is>
          <t>31-03-2026</t>
        </is>
      </c>
      <c r="H14630" s="10" t="inlineStr">
        <is>
          <t>31/03/2026</t>
        </is>
      </c>
      <c r="I14630" s="10" t="inlineStr">
        <is>
          <t>17/03/2026</t>
        </is>
      </c>
      <c r="J14630" s="10" t="inlineStr">
        <is>
          <t>Bất động sản, Giáo dục / Đào tạo</t>
        </is>
      </c>
      <c r="K14630" s="10" t="inlineStr">
        <is>
          <t>3 - 5 Năm</t>
        </is>
      </c>
      <c r="L14630" s="11">
        <f>HYPERLINK("https://careerviet.vn/vi/tim-viec-lam/chuyen-vien-dao-tao.35C6977D.html","Xem chi tiết")</f>
        <v/>
      </c>
      <c r="M14630" s="10" t="n"/>
    </row>
    <row r="14631">
      <c r="B14631" s="7" t="n">
        <v>14629</v>
      </c>
      <c r="C14631" t="inlineStr">
        <is>
          <t>[Bình Dương] Nhân viên kho</t>
        </is>
      </c>
      <c r="D14631" t="inlineStr">
        <is>
          <t>Viet Thai International</t>
        </is>
      </c>
      <c r="E14631" t="inlineStr">
        <is>
          <t>Lương:Cạnh tranh</t>
        </is>
      </c>
      <c r="F14631" t="inlineStr">
        <is>
          <t>Bình Dương</t>
        </is>
      </c>
      <c r="G14631" t="inlineStr">
        <is>
          <t>31-03-2026</t>
        </is>
      </c>
      <c r="H14631" t="inlineStr">
        <is>
          <t>31/03/2026</t>
        </is>
      </c>
      <c r="I14631" t="inlineStr">
        <is>
          <t>17/03/2026</t>
        </is>
      </c>
      <c r="J14631" t="inlineStr">
        <is>
          <t>Vận chuyển / Giao nhận / Kho vận, Sản xuất / Vận hành sản xuất, Quản lý chất lượng (QA/QC)</t>
        </is>
      </c>
      <c r="K14631" t="inlineStr">
        <is>
          <t>Trên 1 Năm</t>
        </is>
      </c>
      <c r="L14631" s="8">
        <f>HYPERLINK("https://careerviet.vn/vi/tim-viec-lam/binh-duong-nhan-vien-kho.35C694FB.html","Xem chi tiết")</f>
        <v/>
      </c>
    </row>
    <row r="14632">
      <c r="B14632" s="9" t="n">
        <v>14630</v>
      </c>
      <c r="C14632" s="10" t="inlineStr">
        <is>
          <t>Database Administrator (HR Software)</t>
        </is>
      </c>
      <c r="D14632" s="10" t="inlineStr">
        <is>
          <t>Công ty TNHH Cadena Việt Nam</t>
        </is>
      </c>
      <c r="E14632" s="10" t="inlineStr">
        <is>
          <t>Lương:Cạnh tranh</t>
        </is>
      </c>
      <c r="F14632" s="10" t="inlineStr">
        <is>
          <t>Hồ Chí Minh</t>
        </is>
      </c>
      <c r="G14632" s="10" t="inlineStr">
        <is>
          <t>25-03-2026</t>
        </is>
      </c>
      <c r="H14632" s="10" t="inlineStr">
        <is>
          <t>25/03/2026</t>
        </is>
      </c>
      <c r="I14632" s="10" t="inlineStr">
        <is>
          <t>17/03/2026</t>
        </is>
      </c>
      <c r="J14632" s="10" t="inlineStr">
        <is>
          <t>CNTT - Phần mềm, Nhân sự</t>
        </is>
      </c>
      <c r="K14632" s="10" t="inlineStr">
        <is>
          <t>5 - 7 Năm</t>
        </is>
      </c>
      <c r="L14632" s="11">
        <f>HYPERLINK("https://careerviet.vn/vi/tim-viec-lam/database-administrator-hr-software.35C69704.html","Xem chi tiết")</f>
        <v/>
      </c>
      <c r="M14632" s="10" t="n"/>
    </row>
    <row r="14633">
      <c r="B14633" s="7" t="n">
        <v>14631</v>
      </c>
      <c r="C14633" t="inlineStr">
        <is>
          <t>Nhân Viên Sales Admin kiêm CSKH</t>
        </is>
      </c>
      <c r="D14633" t="inlineStr">
        <is>
          <t>Công Ty TNHH Dược Phẩm Healthy Beauty</t>
        </is>
      </c>
      <c r="E14633" t="inlineStr">
        <is>
          <t>Lương:9 Tr - 12 Tr VND</t>
        </is>
      </c>
      <c r="F14633" t="inlineStr">
        <is>
          <t>Hồ Chí Minh</t>
        </is>
      </c>
      <c r="G14633" t="inlineStr">
        <is>
          <t>27-03-2026</t>
        </is>
      </c>
      <c r="H14633" t="inlineStr">
        <is>
          <t>27/03/2026</t>
        </is>
      </c>
      <c r="I14633" t="inlineStr">
        <is>
          <t>17/03/2026</t>
        </is>
      </c>
      <c r="J14633" t="inlineStr">
        <is>
          <t>Bán hàng / Kinh doanh, Dược phẩm/ Hóa Mỹ Phẩm, Dịch vụ khách hàng</t>
        </is>
      </c>
      <c r="K14633" t="inlineStr">
        <is>
          <t>1 - 3 Năm</t>
        </is>
      </c>
      <c r="L14633" s="8">
        <f>HYPERLINK("https://careerviet.vn/vi/tim-viec-lam/nhan-vien-sales-admin-kiem-cskh.35C69527.html","Xem chi tiết")</f>
        <v/>
      </c>
    </row>
    <row r="14634">
      <c r="B14634" s="9" t="n">
        <v>14632</v>
      </c>
      <c r="C14634" s="10" t="inlineStr">
        <is>
          <t>Nhân viên chăm sóc khách hàng</t>
        </is>
      </c>
      <c r="D14634" s="10" t="inlineStr">
        <is>
          <t>CÔNG TY CỔ PHẦN THỰC PHẨM FRESCO</t>
        </is>
      </c>
      <c r="E14634" s="10" t="inlineStr">
        <is>
          <t>Lương:10 Tr - 11 Tr VND</t>
        </is>
      </c>
      <c r="F14634" s="10" t="inlineStr">
        <is>
          <t>Hồ Chí Minh</t>
        </is>
      </c>
      <c r="G14634" s="10" t="inlineStr">
        <is>
          <t>3</t>
        </is>
      </c>
      <c r="H14634" s="10" t="inlineStr">
        <is>
          <t>20/03/2026</t>
        </is>
      </c>
      <c r="I14634" s="10" t="inlineStr">
        <is>
          <t>17/03/2026</t>
        </is>
      </c>
      <c r="J14634" s="10" t="inlineStr">
        <is>
          <t>Bán hàng / Kinh doanh, Dịch vụ khách hàng, Mới tốt nghiệp / Thực tập</t>
        </is>
      </c>
      <c r="K14634" s="10" t="inlineStr">
        <is>
          <t>N/A</t>
        </is>
      </c>
      <c r="L14634" s="11">
        <f>HYPERLINK("https://careerviet.vn/vi/tim-viec-lam/nhan-vien-cham-soc-khach-hang.35C694B4.html","Xem chi tiết")</f>
        <v/>
      </c>
      <c r="M14634" s="10" t="n"/>
    </row>
    <row r="14635">
      <c r="B14635" s="7" t="n">
        <v>14633</v>
      </c>
      <c r="C14635" t="inlineStr">
        <is>
          <t>Nhân viên kế toán kho</t>
        </is>
      </c>
      <c r="D14635" t="inlineStr">
        <is>
          <t>CÔNG TY CỔ PHẦN BỆNH VIỆN QUỐC TẾ BERNARD 1</t>
        </is>
      </c>
      <c r="E14635" t="inlineStr">
        <is>
          <t>Lương:Cạnh tranh</t>
        </is>
      </c>
      <c r="F14635" t="inlineStr">
        <is>
          <t>Hồ Chí Minh</t>
        </is>
      </c>
      <c r="G14635" t="inlineStr">
        <is>
          <t>31-03-2026</t>
        </is>
      </c>
      <c r="H14635" t="inlineStr">
        <is>
          <t>31/03/2026</t>
        </is>
      </c>
      <c r="I14635" t="inlineStr">
        <is>
          <t>17/03/2026</t>
        </is>
      </c>
      <c r="J14635" t="inlineStr">
        <is>
          <t>Y tế / Chăm sóc sức khỏe / Thẩm mỹ / Làm đẹp, Kế toán / Kiểm toán, Thu mua / Vật tư</t>
        </is>
      </c>
      <c r="K14635" t="inlineStr">
        <is>
          <t>2 - 5 Năm</t>
        </is>
      </c>
      <c r="L14635" s="8">
        <f>HYPERLINK("https://careerviet.vn/vi/tim-viec-lam/nhan-vien-ke-toan-kho.35C697EE.html","Xem chi tiết")</f>
        <v/>
      </c>
    </row>
    <row r="14636">
      <c r="B14636" s="9" t="n">
        <v>14634</v>
      </c>
      <c r="C14636" s="10" t="inlineStr">
        <is>
          <t>CHUYÊN VIÊN PHÁP CHẾ DOANH NGHIỆP (SENIOR)</t>
        </is>
      </c>
      <c r="D14636" s="10" t="inlineStr">
        <is>
          <t>CÔNG TY TNHH CÔNG NGHỆ VNTRIP</t>
        </is>
      </c>
      <c r="E14636" s="10" t="inlineStr">
        <is>
          <t>Lương:14 Tr - 18 Tr VND</t>
        </is>
      </c>
      <c r="F14636" s="10" t="inlineStr">
        <is>
          <t>Hà Nội</t>
        </is>
      </c>
      <c r="G14636" s="10" t="inlineStr">
        <is>
          <t>31-03-2026</t>
        </is>
      </c>
      <c r="H14636" s="10" t="inlineStr">
        <is>
          <t>31/03/2026</t>
        </is>
      </c>
      <c r="I14636" s="10" t="inlineStr">
        <is>
          <t>17/03/2026</t>
        </is>
      </c>
      <c r="J14636" s="10" t="inlineStr">
        <is>
          <t>Luật / Pháp lý</t>
        </is>
      </c>
      <c r="K14636" s="10" t="inlineStr">
        <is>
          <t>3 - 5 Năm</t>
        </is>
      </c>
      <c r="L14636" s="11">
        <f>HYPERLINK("https://careerviet.vn/vi/tim-viec-lam/chuyen-vien-phap-che-doanh-nghiep-senior.35C697D5.html","Xem chi tiết")</f>
        <v/>
      </c>
      <c r="M14636" s="10" t="n"/>
    </row>
    <row r="14637">
      <c r="B14637" s="7" t="n">
        <v>14635</v>
      </c>
      <c r="C14637" t="inlineStr">
        <is>
          <t>Nhân viên Kế toán trại kiêm Admin</t>
        </is>
      </c>
      <c r="D14637" t="inlineStr">
        <is>
          <t>De Heus LLC</t>
        </is>
      </c>
      <c r="E14637" t="inlineStr">
        <is>
          <t>Lương:Cạnh tranh</t>
        </is>
      </c>
      <c r="F14637" t="inlineStr">
        <is>
          <t>Gia Lai</t>
        </is>
      </c>
      <c r="G14637" t="inlineStr">
        <is>
          <t>30-03-2026</t>
        </is>
      </c>
      <c r="H14637" t="inlineStr">
        <is>
          <t>30/03/2026</t>
        </is>
      </c>
      <c r="I14637" t="inlineStr">
        <is>
          <t>17/03/2026</t>
        </is>
      </c>
      <c r="J14637" t="inlineStr">
        <is>
          <t>Hành chính / Thư ký, Nhân sự, Kế toán / Kiểm toán</t>
        </is>
      </c>
      <c r="K14637" t="inlineStr">
        <is>
          <t>N/A</t>
        </is>
      </c>
      <c r="L14637" s="8">
        <f>HYPERLINK("https://careerviet.vn/vi/tim-viec-lam/nhan-vien-ke-toan-trai-kiem-admin.35C696C1.html","Xem chi tiết")</f>
        <v/>
      </c>
    </row>
    <row r="14638">
      <c r="B14638" s="9" t="n">
        <v>14636</v>
      </c>
      <c r="C14638" s="10" t="inlineStr">
        <is>
          <t>Kỹ sư Trắc đạc</t>
        </is>
      </c>
      <c r="D14638" s="10" t="inlineStr">
        <is>
          <t>Công ty cổ phần Tập đoàn Danko</t>
        </is>
      </c>
      <c r="E14638" s="10" t="inlineStr">
        <is>
          <t>Lương:22 Tr - 26 Tr VND</t>
        </is>
      </c>
      <c r="F14638" s="10" t="inlineStr">
        <is>
          <t>Tuyên QuangThanh HóaBắc Giang</t>
        </is>
      </c>
      <c r="G14638" s="10" t="inlineStr">
        <is>
          <t>30-03-2026</t>
        </is>
      </c>
      <c r="H14638" s="10" t="inlineStr">
        <is>
          <t>30/03/2026</t>
        </is>
      </c>
      <c r="I14638" s="10" t="inlineStr">
        <is>
          <t>17/03/2026</t>
        </is>
      </c>
      <c r="J14638" s="10" t="inlineStr">
        <is>
          <t>Trắc địa / Địa Chất, Xây dựng</t>
        </is>
      </c>
      <c r="K14638" s="10" t="inlineStr">
        <is>
          <t>Trên 5 Năm</t>
        </is>
      </c>
      <c r="L14638" s="11">
        <f>HYPERLINK("https://careerviet.vn/vi/tim-viec-lam/ky-su-trac-dac.35C69492.html","Xem chi tiết")</f>
        <v/>
      </c>
      <c r="M14638" s="10" t="n"/>
    </row>
    <row r="14639">
      <c r="B14639" s="7" t="n">
        <v>14637</v>
      </c>
      <c r="C14639" t="inlineStr">
        <is>
          <t>Chuyên Viên Mua Hàng &amp; Xuất Nhập Khẩu (Tiếng Nhật, làm tại Hưng Yên)</t>
        </is>
      </c>
      <c r="D14639" t="inlineStr">
        <is>
          <t>Headhunter HRchannels Group</t>
        </is>
      </c>
      <c r="E14639" t="inlineStr">
        <is>
          <t>Lương:18 Tr - 22 Tr VND</t>
        </is>
      </c>
      <c r="F14639" t="inlineStr">
        <is>
          <t>Bắc NinhHưng YênHồ Chí Minh</t>
        </is>
      </c>
      <c r="G14639" t="inlineStr">
        <is>
          <t>28-03-2026</t>
        </is>
      </c>
      <c r="H14639" t="inlineStr">
        <is>
          <t>28/03/2026</t>
        </is>
      </c>
      <c r="I14639" t="inlineStr">
        <is>
          <t>17/03/2026</t>
        </is>
      </c>
      <c r="J14639" t="inlineStr">
        <is>
          <t>Thu mua / Vật tư, Xuất nhập khẩu, Vận chuyển / Giao nhận / Kho vận</t>
        </is>
      </c>
      <c r="K14639" t="inlineStr">
        <is>
          <t>2 - 3 Năm</t>
        </is>
      </c>
      <c r="L14639" s="8">
        <f>HYPERLINK("https://careerviet.vn/vi/tim-viec-lam/chuyen-vien-mua-hang-xuat-nhap-khau-tieng-nhat-lam-tai-hung-yen.35C69828.html","Xem chi tiết")</f>
        <v/>
      </c>
    </row>
    <row r="14640">
      <c r="B14640" s="9" t="n">
        <v>14638</v>
      </c>
      <c r="C14640" s="10" t="inlineStr">
        <is>
          <t>Giám Đốc Kinh Doanh (Tiếng Trung) TUYỂN GẤP</t>
        </is>
      </c>
      <c r="D14640" s="10" t="inlineStr">
        <is>
          <t>CIG SCI-TECH COMPANY LIMITED</t>
        </is>
      </c>
      <c r="E14640" s="10" t="inlineStr">
        <is>
          <t>Lương:25 Tr - 45 Tr VND</t>
        </is>
      </c>
      <c r="F14640" s="10" t="inlineStr">
        <is>
          <t>Hà Nội</t>
        </is>
      </c>
      <c r="G14640" s="10" t="inlineStr">
        <is>
          <t>30-04-2026</t>
        </is>
      </c>
      <c r="H14640" s="10" t="inlineStr">
        <is>
          <t>30/04/2026</t>
        </is>
      </c>
      <c r="I14640" s="10" t="inlineStr">
        <is>
          <t>17/03/2026</t>
        </is>
      </c>
      <c r="J14640" s="10" t="inlineStr">
        <is>
          <t>Tiếp thị / Marketing, Bán hàng / Kinh doanh, Biên phiên dịch</t>
        </is>
      </c>
      <c r="K14640" s="10" t="inlineStr">
        <is>
          <t>3 - 5 Năm</t>
        </is>
      </c>
      <c r="L14640" s="11">
        <f>HYPERLINK("https://careerviet.vn/vi/tim-viec-lam/giam-doc-kinh-doanh-tieng-trung-tuyen-gap.35C695E5.html","Xem chi tiết")</f>
        <v/>
      </c>
      <c r="M14640" s="10" t="n"/>
    </row>
    <row r="14641">
      <c r="B14641" s="7" t="n">
        <v>14639</v>
      </c>
      <c r="C14641" t="inlineStr">
        <is>
          <t>Nhân Viên Chăm Sóc Khách Hàng Merchant Offline SPF</t>
        </is>
      </c>
      <c r="D14641" t="inlineStr">
        <is>
          <t>Công Ty TNHH Việt Mỹ-SSU</t>
        </is>
      </c>
      <c r="E14641" t="inlineStr">
        <is>
          <t>Lương:7,4 Tr - 8,2 Tr VND</t>
        </is>
      </c>
      <c r="F14641" t="inlineStr">
        <is>
          <t>Hồ Chí Minh</t>
        </is>
      </c>
      <c r="G14641" t="inlineStr">
        <is>
          <t>25-03-2026</t>
        </is>
      </c>
      <c r="H14641" t="inlineStr">
        <is>
          <t>25/03/2026</t>
        </is>
      </c>
      <c r="I14641" t="inlineStr">
        <is>
          <t>17/03/2026</t>
        </is>
      </c>
      <c r="J14641" t="inlineStr">
        <is>
          <t>Dịch vụ khách hàng</t>
        </is>
      </c>
      <c r="K14641" t="inlineStr">
        <is>
          <t>Lên đến 1 Năm</t>
        </is>
      </c>
      <c r="L14641" s="8">
        <f>HYPERLINK("https://careerviet.vn/vi/tim-viec-lam/nhan-vien-cham-soc-khach-hang-merchant-offline-spf.35C69699.html","Xem chi tiết")</f>
        <v/>
      </c>
    </row>
    <row r="14642">
      <c r="B14642" s="9" t="n">
        <v>14640</v>
      </c>
      <c r="C14642" s="10" t="inlineStr">
        <is>
          <t>Nhân viên bán hàng - TP Vĩnh Phúc</t>
        </is>
      </c>
      <c r="D14642" s="10" t="inlineStr">
        <is>
          <t>Công ty CP Toshiko Việt Nam</t>
        </is>
      </c>
      <c r="E14642" s="10" t="inlineStr">
        <is>
          <t>Lương:12 Tr - 20 Tr VND</t>
        </is>
      </c>
      <c r="F14642" s="10" t="inlineStr">
        <is>
          <t>Vĩnh Phúc</t>
        </is>
      </c>
      <c r="G14642" s="10" t="inlineStr">
        <is>
          <t>28-03-2026</t>
        </is>
      </c>
      <c r="H14642" s="10" t="inlineStr">
        <is>
          <t>28/03/2026</t>
        </is>
      </c>
      <c r="I14642" s="10" t="inlineStr">
        <is>
          <t>17/03/2026</t>
        </is>
      </c>
      <c r="J14642" s="10" t="inlineStr">
        <is>
          <t>Bán hàng / Kinh doanh, Tư vấn, Dịch vụ khách hàng</t>
        </is>
      </c>
      <c r="K14642" s="10" t="inlineStr">
        <is>
          <t>1 - 2 Năm</t>
        </is>
      </c>
      <c r="L14642" s="11">
        <f>HYPERLINK("https://careerviet.vn/vi/tim-viec-lam/nhan-vien-ban-hang-tp-vinh-phuc.35C69803.html","Xem chi tiết")</f>
        <v/>
      </c>
      <c r="M14642" s="10" t="n"/>
    </row>
    <row r="14643">
      <c r="B14643" s="7" t="n">
        <v>14641</v>
      </c>
      <c r="C14643" t="inlineStr">
        <is>
          <t>Chuyên Viên Tư Vấn Giáo Dục - Ocean Edu Nguyễn Trãi - Thu Nhập Từ 16Triệu/Tháng - Phỏng Vấn Đi Làm Ngay</t>
        </is>
      </c>
      <c r="D14643" t="inlineStr">
        <is>
          <t>Công Ty CP Giáo Dục Đại Dương</t>
        </is>
      </c>
      <c r="E14643" t="inlineStr">
        <is>
          <t>Lương:Cạnh tranh</t>
        </is>
      </c>
      <c r="F14643" t="inlineStr">
        <is>
          <t>Hà Nội</t>
        </is>
      </c>
      <c r="G14643" t="inlineStr">
        <is>
          <t>03-04-2026</t>
        </is>
      </c>
      <c r="H14643" t="inlineStr">
        <is>
          <t>03/04/2026</t>
        </is>
      </c>
      <c r="I14643" t="inlineStr">
        <is>
          <t>17/03/2026</t>
        </is>
      </c>
      <c r="J14643" t="inlineStr">
        <is>
          <t>Dịch vụ khách hàng, Giáo dục / Đào tạo, Bán hàng / Kinh doanh</t>
        </is>
      </c>
      <c r="K14643" t="inlineStr">
        <is>
          <t>Chưa có kinh nghiệm</t>
        </is>
      </c>
      <c r="L14643" s="8">
        <f>HYPERLINK("https://careerviet.vn/vi/tim-viec-lam/chuyen-vien-tu-van-giao-duc-ocean-edu-nguyen-trai-thu-nhap-tu-16trieu-thang-phong-van-di-lam-ngay.35C6AE9D.html","Xem chi tiết")</f>
        <v/>
      </c>
    </row>
    <row r="14644">
      <c r="B14644" s="9" t="n">
        <v>14642</v>
      </c>
      <c r="C14644" s="10" t="inlineStr">
        <is>
          <t>Chuyên viên hành chính tổng hợp</t>
        </is>
      </c>
      <c r="D14644" s="10" t="inlineStr">
        <is>
          <t>CÔNG TY TNHH PHÁT TRIỂN ĐỒ UỐNG AN VIỆT SÔNG HỒNG</t>
        </is>
      </c>
      <c r="E14644" s="10" t="inlineStr">
        <is>
          <t>Lương:10 Tr - 15 Tr VND</t>
        </is>
      </c>
      <c r="F14644" s="10" t="inlineStr">
        <is>
          <t>Hà Nội</t>
        </is>
      </c>
      <c r="G14644" s="10" t="inlineStr">
        <is>
          <t>31-03-2026</t>
        </is>
      </c>
      <c r="H14644" s="10" t="inlineStr">
        <is>
          <t>31/03/2026</t>
        </is>
      </c>
      <c r="I14644" s="10" t="inlineStr">
        <is>
          <t>17/03/2026</t>
        </is>
      </c>
      <c r="J14644" s="10" t="inlineStr">
        <is>
          <t>Hành chính / Thư ký, Nhân sự</t>
        </is>
      </c>
      <c r="K14644" s="10" t="inlineStr">
        <is>
          <t>2 - 3 Năm</t>
        </is>
      </c>
      <c r="L14644" s="11">
        <f>HYPERLINK("https://careerviet.vn/vi/tim-viec-lam/chuyen-vien-hanh-chinh-tong-hop.35C6AD39.html","Xem chi tiết")</f>
        <v/>
      </c>
      <c r="M14644" s="10" t="n"/>
    </row>
    <row r="14645">
      <c r="B14645" s="7" t="n">
        <v>14643</v>
      </c>
      <c r="C14645" t="inlineStr">
        <is>
          <t>Account Executive</t>
        </is>
      </c>
      <c r="D14645" t="inlineStr">
        <is>
          <t>Mars Group</t>
        </is>
      </c>
      <c r="E14645" t="inlineStr">
        <is>
          <t>Lương:Cạnh tranh</t>
        </is>
      </c>
      <c r="F14645" t="inlineStr">
        <is>
          <t>Hồ Chí Minh</t>
        </is>
      </c>
      <c r="G14645" t="inlineStr">
        <is>
          <t>11-04-2026</t>
        </is>
      </c>
      <c r="H14645" t="inlineStr">
        <is>
          <t>11/04/2026</t>
        </is>
      </c>
      <c r="I14645" t="inlineStr">
        <is>
          <t>17/03/2026</t>
        </is>
      </c>
      <c r="J14645" t="inlineStr">
        <is>
          <t>Bán hàng / Kinh doanh, Tư vấn, Dịch vụ khách hàng</t>
        </is>
      </c>
      <c r="K14645" t="inlineStr">
        <is>
          <t>1 - 3 Năm</t>
        </is>
      </c>
      <c r="L14645" s="8">
        <f>HYPERLINK("https://careerviet.vn/vi/tim-viec-lam/account-executive.35C6ACAB.html","Xem chi tiết")</f>
        <v/>
      </c>
    </row>
    <row r="14646">
      <c r="B14646" s="9" t="n">
        <v>14644</v>
      </c>
      <c r="C14646" s="10" t="inlineStr">
        <is>
          <t>Kế Toán Trưởng mảng Cơ điện</t>
        </is>
      </c>
      <c r="D14646" s="10" t="inlineStr">
        <is>
          <t>CÔNG TY CỔ PHẦN CƠ ĐIỆN VÀ PCCC THĂNG LONG</t>
        </is>
      </c>
      <c r="E14646" s="10" t="inlineStr">
        <is>
          <t>Lương:16 Tr - 20 Tr VND</t>
        </is>
      </c>
      <c r="F14646" s="10" t="inlineStr">
        <is>
          <t>Hà Nội</t>
        </is>
      </c>
      <c r="G14646" s="10" t="inlineStr">
        <is>
          <t>31-03-2026</t>
        </is>
      </c>
      <c r="H14646" s="10" t="inlineStr">
        <is>
          <t>31/03/2026</t>
        </is>
      </c>
      <c r="I14646" s="10" t="inlineStr">
        <is>
          <t>17/03/2026</t>
        </is>
      </c>
      <c r="J14646" s="10" t="inlineStr">
        <is>
          <t>Kế toán / Kiểm toán, Tài chính / Đầu tư, Xây dựng</t>
        </is>
      </c>
      <c r="K14646" s="10" t="inlineStr">
        <is>
          <t>3 - 5 Năm</t>
        </is>
      </c>
      <c r="L14646" s="11">
        <f>HYPERLINK("https://careerviet.vn/vi/tim-viec-lam/ke-toan-truong-mang-co-dien.35C696DD.html","Xem chi tiết")</f>
        <v/>
      </c>
      <c r="M14646" s="10" t="n"/>
    </row>
    <row r="14647">
      <c r="B14647" s="7" t="n">
        <v>14645</v>
      </c>
      <c r="C14647" t="inlineStr">
        <is>
          <t>HCM - Chuyên Viên Tư Vấn Mỹ Phẩm &amp; Spa (Menard - Thương hiệu Nhật Bản)</t>
        </is>
      </c>
      <c r="D14647" t="inlineStr">
        <is>
          <t>Công ty TNHH Thiên Thủy Mộc</t>
        </is>
      </c>
      <c r="E14647" t="inlineStr">
        <is>
          <t>Lương:15 Tr - 30 Tr VND</t>
        </is>
      </c>
      <c r="F14647" t="inlineStr">
        <is>
          <t>Hồ Chí Minh</t>
        </is>
      </c>
      <c r="G14647" t="inlineStr">
        <is>
          <t>26-03-2026</t>
        </is>
      </c>
      <c r="H14647" t="inlineStr">
        <is>
          <t>26/03/2026</t>
        </is>
      </c>
      <c r="I14647" t="inlineStr">
        <is>
          <t>17/03/2026</t>
        </is>
      </c>
      <c r="J14647" t="inlineStr">
        <is>
          <t>Y tế / Chăm sóc sức khỏe / Thẩm mỹ / Làm đẹp</t>
        </is>
      </c>
      <c r="K14647" t="inlineStr">
        <is>
          <t>1 - 2 Năm</t>
        </is>
      </c>
      <c r="L14647" s="8">
        <f>HYPERLINK("https://careerviet.vn/vi/tim-viec-lam/hcm-chuyen-vien-tu-van-my-pham-spa-menard-thuong-hieu-nhat-ban.35C69857.html","Xem chi tiết")</f>
        <v/>
      </c>
    </row>
    <row r="14648">
      <c r="B14648" s="9" t="n">
        <v>14646</v>
      </c>
      <c r="C14648" s="10" t="inlineStr">
        <is>
          <t>Sales Supervisor</t>
        </is>
      </c>
      <c r="D14648" s="10" t="inlineStr">
        <is>
          <t>Huhtamaki (Vietnam) Ltd.</t>
        </is>
      </c>
      <c r="E14648" s="10" t="inlineStr">
        <is>
          <t>Lương:Cạnh tranh</t>
        </is>
      </c>
      <c r="F14648" s="10" t="inlineStr">
        <is>
          <t>Bình Dương</t>
        </is>
      </c>
      <c r="G14648" s="10" t="inlineStr">
        <is>
          <t>25-03-2026</t>
        </is>
      </c>
      <c r="H14648" s="10" t="inlineStr">
        <is>
          <t>25/03/2026</t>
        </is>
      </c>
      <c r="I14648" s="10" t="inlineStr">
        <is>
          <t>17/03/2026</t>
        </is>
      </c>
      <c r="J14648" s="10" t="inlineStr">
        <is>
          <t>Bán Hàng Kỹ Thuật, In ấn / Xuất bản, Bán lẻ / Bán sỉ</t>
        </is>
      </c>
      <c r="K14648" s="10" t="inlineStr">
        <is>
          <t>2 - 5 Năm</t>
        </is>
      </c>
      <c r="L14648" s="11">
        <f>HYPERLINK("https://careerviet.vn/vi/tim-viec-lam/sales-supervisor.35C69838.html","Xem chi tiết")</f>
        <v/>
      </c>
      <c r="M14648" s="10" t="n"/>
    </row>
    <row r="14649">
      <c r="B14649" s="7" t="n">
        <v>14647</v>
      </c>
      <c r="C14649" t="inlineStr">
        <is>
          <t>Kế Toán Trưởng ( Hà Nội )</t>
        </is>
      </c>
      <c r="D14649" t="inlineStr">
        <is>
          <t>Công Ty TNHH Thương Mại Xuất Nhập Khẩu Fani</t>
        </is>
      </c>
      <c r="E14649" t="inlineStr">
        <is>
          <t>Lương:35 Tr - 50 Tr VND</t>
        </is>
      </c>
      <c r="F14649" t="inlineStr">
        <is>
          <t>Hà Nội</t>
        </is>
      </c>
      <c r="G14649" t="inlineStr">
        <is>
          <t>31-03-2026</t>
        </is>
      </c>
      <c r="H14649" t="inlineStr">
        <is>
          <t>31/03/2026</t>
        </is>
      </c>
      <c r="I14649" t="inlineStr">
        <is>
          <t>17/03/2026</t>
        </is>
      </c>
      <c r="J14649" t="inlineStr">
        <is>
          <t>Kế toán / Kiểm toán</t>
        </is>
      </c>
      <c r="K14649" t="inlineStr">
        <is>
          <t>7 - 15 Năm</t>
        </is>
      </c>
      <c r="L14649" s="8">
        <f>HYPERLINK("https://careerviet.vn/vi/tim-viec-lam/ke-toan-truong-ha-noi.35C6AE43.html","Xem chi tiết")</f>
        <v/>
      </c>
    </row>
    <row r="14650">
      <c r="B14650" s="9" t="n">
        <v>14648</v>
      </c>
      <c r="C14650" s="10" t="inlineStr">
        <is>
          <t>Tài xế xe đầu kéo (Khu vực Bình Dương - Đồng Nai)</t>
        </is>
      </c>
      <c r="D14650" s="10" t="inlineStr">
        <is>
          <t>UNIEXPORT CO., LTD</t>
        </is>
      </c>
      <c r="E14650" s="10" t="inlineStr">
        <is>
          <t>Lương:Cạnh tranh</t>
        </is>
      </c>
      <c r="F14650" s="10" t="inlineStr">
        <is>
          <t>Bình Dương</t>
        </is>
      </c>
      <c r="G14650" s="10" t="inlineStr">
        <is>
          <t>31-03-2026</t>
        </is>
      </c>
      <c r="H14650" s="10" t="inlineStr">
        <is>
          <t>31/03/2026</t>
        </is>
      </c>
      <c r="I14650" s="10" t="inlineStr">
        <is>
          <t>17/03/2026</t>
        </is>
      </c>
      <c r="J14650" s="10" t="inlineStr">
        <is>
          <t>Vận chuyển / Giao nhận / Kho vận, Xuất nhập khẩu, Sản xuất / Vận hành sản xuất</t>
        </is>
      </c>
      <c r="K14650" s="10" t="inlineStr">
        <is>
          <t>3 - 5 Năm</t>
        </is>
      </c>
      <c r="L14650" s="11">
        <f>HYPERLINK("https://careerviet.vn/vi/tim-viec-lam/tai-xe-xe-dau-keo-khu-vuc-binh-duong-dong-nai.35C69393.html","Xem chi tiết")</f>
        <v/>
      </c>
      <c r="M14650" s="10" t="n"/>
    </row>
    <row r="14651">
      <c r="B14651" s="7" t="n">
        <v>14649</v>
      </c>
      <c r="C14651" t="inlineStr">
        <is>
          <t>[I1] NHÂN VIÊN CHECK BÀI BÁO CÁO CỦA KHÁCH HÀNG BÍ MẬT</t>
        </is>
      </c>
      <c r="D14651" t="inlineStr">
        <is>
          <t>BellSystem24-Việt Nam</t>
        </is>
      </c>
      <c r="E14651" t="inlineStr">
        <is>
          <t>Lương:9 Tr - 11 Tr VND</t>
        </is>
      </c>
      <c r="F14651" t="inlineStr">
        <is>
          <t>Hà Nội</t>
        </is>
      </c>
      <c r="G14651" t="inlineStr">
        <is>
          <t>25-03-2026</t>
        </is>
      </c>
      <c r="H14651" t="inlineStr">
        <is>
          <t>25/03/2026</t>
        </is>
      </c>
      <c r="I14651" t="inlineStr">
        <is>
          <t>17/03/2026</t>
        </is>
      </c>
      <c r="J14651" t="inlineStr">
        <is>
          <t>Dịch vụ khách hàng</t>
        </is>
      </c>
      <c r="K14651" t="inlineStr">
        <is>
          <t>Chưa có kinh nghiệm</t>
        </is>
      </c>
      <c r="L14651" s="8">
        <f>HYPERLINK("https://careerviet.vn/vi/tim-viec-lam/i1-nhan-vien-check-bai-bao-cao-cua-khach-hang-bi-mat.35C694F2.html","Xem chi tiết")</f>
        <v/>
      </c>
    </row>
    <row r="14652">
      <c r="B14652" s="9" t="n">
        <v>14650</v>
      </c>
      <c r="C14652" s="10" t="inlineStr">
        <is>
          <t>Chuyên Viên Kiểm Soát Chất Lượng (Phú Thọ)</t>
        </is>
      </c>
      <c r="D14652" s="10" t="inlineStr">
        <is>
          <t>CÔNG TY CỔ PHẦN TẬP ĐOÀN ONSEN FUJI</t>
        </is>
      </c>
      <c r="E14652" s="10" t="inlineStr">
        <is>
          <t>Lương:Cạnh tranh</t>
        </is>
      </c>
      <c r="F14652" s="10" t="inlineStr">
        <is>
          <t>Phú Thọ</t>
        </is>
      </c>
      <c r="G14652" s="10" t="inlineStr">
        <is>
          <t>03-04-2026</t>
        </is>
      </c>
      <c r="H14652" s="10" t="inlineStr">
        <is>
          <t>03/04/2026</t>
        </is>
      </c>
      <c r="I14652" s="10" t="inlineStr">
        <is>
          <t>17/03/2026</t>
        </is>
      </c>
      <c r="J14652" s="10" t="inlineStr">
        <is>
          <t>Nhà hàng / Khách sạn</t>
        </is>
      </c>
      <c r="K14652" s="10" t="inlineStr">
        <is>
          <t>2 - 3 Năm</t>
        </is>
      </c>
      <c r="L14652" s="11">
        <f>HYPERLINK("https://careerviet.vn/vi/tim-viec-lam/chuyen-vien-kiem-soat-chat-luong-phu-tho.35C6AD05.html","Xem chi tiết")</f>
        <v/>
      </c>
      <c r="M14652" s="10" t="n"/>
    </row>
    <row r="14653">
      <c r="B14653" s="7" t="n">
        <v>14651</v>
      </c>
      <c r="C14653" t="inlineStr">
        <is>
          <t>Planning &amp; Invoicing Staff</t>
        </is>
      </c>
      <c r="D14653" t="inlineStr">
        <is>
          <t>Linfox Logistics Vietnam</t>
        </is>
      </c>
      <c r="E14653" t="inlineStr">
        <is>
          <t>Lương:Cạnh tranh</t>
        </is>
      </c>
      <c r="F14653" t="inlineStr">
        <is>
          <t>Bắc Ninh</t>
        </is>
      </c>
      <c r="G14653" t="inlineStr">
        <is>
          <t>31-03-2026</t>
        </is>
      </c>
      <c r="H14653" t="inlineStr">
        <is>
          <t>31/03/2026</t>
        </is>
      </c>
      <c r="I14653" t="inlineStr">
        <is>
          <t>17/03/2026</t>
        </is>
      </c>
      <c r="J14653" t="inlineStr">
        <is>
          <t>Vận chuyển / Giao nhận / Kho vận</t>
        </is>
      </c>
      <c r="K14653" t="inlineStr">
        <is>
          <t>N/A</t>
        </is>
      </c>
      <c r="L14653" s="8">
        <f>HYPERLINK("https://careerviet.vn/vi/tim-viec-lam/planning-invoicing-staff.35C6AEC9.html","Xem chi tiết")</f>
        <v/>
      </c>
    </row>
    <row r="14654">
      <c r="B14654" s="9" t="n">
        <v>14652</v>
      </c>
      <c r="C14654" s="10" t="inlineStr">
        <is>
          <t>Service Sales Engineer (Chiller, AHU, FCU)</t>
        </is>
      </c>
      <c r="D14654" s="10" t="inlineStr">
        <is>
          <t>Daikin Air Conditioning (Vietnam) Joint Stock Company</t>
        </is>
      </c>
      <c r="E14654" s="10" t="inlineStr">
        <is>
          <t>Lương:Cạnh tranh</t>
        </is>
      </c>
      <c r="F14654" s="10" t="inlineStr">
        <is>
          <t>Hồ Chí Minh</t>
        </is>
      </c>
      <c r="G14654" s="10" t="inlineStr">
        <is>
          <t>03-04-2026</t>
        </is>
      </c>
      <c r="H14654" s="10" t="inlineStr">
        <is>
          <t>03/04/2026</t>
        </is>
      </c>
      <c r="I14654" s="10" t="inlineStr">
        <is>
          <t>17/03/2026</t>
        </is>
      </c>
      <c r="J14654" s="10" t="inlineStr">
        <is>
          <t>Bán lẻ / Bán sỉ, Bán hàng / Kinh doanh, Điện / Điện tử / Điện lạnh / Điện công nghiệp</t>
        </is>
      </c>
      <c r="K14654" s="10" t="inlineStr">
        <is>
          <t>Trên 1 Năm</t>
        </is>
      </c>
      <c r="L14654" s="11">
        <f>HYPERLINK("https://careerviet.vn/vi/tim-viec-lam/service-sales-engineer-chiller-ahu-fcu.35C6ACC5.html","Xem chi tiết")</f>
        <v/>
      </c>
      <c r="M14654" s="10" t="n"/>
    </row>
    <row r="14655">
      <c r="B14655" s="7" t="n">
        <v>14653</v>
      </c>
      <c r="C14655" t="inlineStr">
        <is>
          <t>Warehouse Manager</t>
        </is>
      </c>
      <c r="D14655" t="inlineStr">
        <is>
          <t>CÔNG TY TNHH WGR INDUSTRIES</t>
        </is>
      </c>
      <c r="E14655" t="inlineStr">
        <is>
          <t>Lương:Cạnh tranh</t>
        </is>
      </c>
      <c r="F14655" t="inlineStr">
        <is>
          <t>Bình Định</t>
        </is>
      </c>
      <c r="G14655" t="inlineStr">
        <is>
          <t>31-03-2026</t>
        </is>
      </c>
      <c r="H14655" t="inlineStr">
        <is>
          <t>31/03/2026</t>
        </is>
      </c>
      <c r="I14655" t="inlineStr">
        <is>
          <t>17/03/2026</t>
        </is>
      </c>
      <c r="J14655" t="inlineStr">
        <is>
          <t>Đồ gỗ, Sản xuất / Vận hành sản xuất, Xuất nhập khẩu</t>
        </is>
      </c>
      <c r="K14655" t="inlineStr">
        <is>
          <t>8 - 10 Năm</t>
        </is>
      </c>
      <c r="L14655" s="8">
        <f>HYPERLINK("https://careerviet.vn/vi/tim-viec-lam/warehouse-manager.35C6967C.html","Xem chi tiết")</f>
        <v/>
      </c>
    </row>
    <row r="14656">
      <c r="B14656" s="9" t="n">
        <v>14654</v>
      </c>
      <c r="C14656" s="10" t="inlineStr">
        <is>
          <t>KỸ THUẬT VIÊN QC-CƠ KHÍ [CỦ CHI]</t>
        </is>
      </c>
      <c r="D14656" s="10" t="inlineStr">
        <is>
          <t>CÔNG TY CP SAIGON AUTO SUPPORTING INDUSTRY</t>
        </is>
      </c>
      <c r="E14656" s="10" t="inlineStr">
        <is>
          <t>Lương:Cạnh tranh</t>
        </is>
      </c>
      <c r="F14656" s="10" t="inlineStr">
        <is>
          <t>Hồ Chí Minh</t>
        </is>
      </c>
      <c r="G14656" s="10" t="inlineStr">
        <is>
          <t>25-03-2026</t>
        </is>
      </c>
      <c r="H14656" s="10" t="inlineStr">
        <is>
          <t>25/03/2026</t>
        </is>
      </c>
      <c r="I14656" s="10" t="inlineStr">
        <is>
          <t>17/03/2026</t>
        </is>
      </c>
      <c r="J14656" s="10" t="inlineStr">
        <is>
          <t>Cơ khí / Ô tô / Tự động hóa, Quản lý chất lượng (QA/QC)</t>
        </is>
      </c>
      <c r="K14656" s="10" t="inlineStr">
        <is>
          <t>N/A</t>
        </is>
      </c>
      <c r="L14656" s="11">
        <f>HYPERLINK("https://careerviet.vn/vi/tim-viec-lam/ky-thuat-vien-qc-co-khi-cu-chi.35C69783.html","Xem chi tiết")</f>
        <v/>
      </c>
      <c r="M14656" s="10" t="n"/>
    </row>
    <row r="14657">
      <c r="B14657" s="7" t="n">
        <v>14655</v>
      </c>
      <c r="C14657" t="inlineStr">
        <is>
          <t>TRƯỞNG NHÓM PHÁP LÝ DỰ ÁN &amp; ĐẦU TƯ NƯỚC NGOÀI</t>
        </is>
      </c>
      <c r="D14657" t="inlineStr">
        <is>
          <t>Công Ty TNHH ONE-VALUE Việt Nam</t>
        </is>
      </c>
      <c r="E14657" t="inlineStr">
        <is>
          <t>Lương:20 Tr - 30 Tr VND</t>
        </is>
      </c>
      <c r="F14657" t="inlineStr">
        <is>
          <t>Hà Nội</t>
        </is>
      </c>
      <c r="G14657" t="inlineStr">
        <is>
          <t>25-03-2026</t>
        </is>
      </c>
      <c r="H14657" t="inlineStr">
        <is>
          <t>25/03/2026</t>
        </is>
      </c>
      <c r="I14657" t="inlineStr">
        <is>
          <t>17/03/2026</t>
        </is>
      </c>
      <c r="J14657" t="inlineStr">
        <is>
          <t>Luật / Pháp lý</t>
        </is>
      </c>
      <c r="K14657" t="inlineStr">
        <is>
          <t>Trên 4 Năm</t>
        </is>
      </c>
      <c r="L14657" s="8">
        <f>HYPERLINK("https://careerviet.vn/vi/tim-viec-lam/truong-nhom-phap-ly-du-an-dau-tu-nuoc-ngoai.35C696D3.html","Xem chi tiết")</f>
        <v/>
      </c>
    </row>
    <row r="14658">
      <c r="B14658" s="9" t="n">
        <v>14656</v>
      </c>
      <c r="C14658" s="10" t="inlineStr">
        <is>
          <t>Trưởng phòng Chuyển đổi số Bất động sản &amp; Smart City</t>
        </is>
      </c>
      <c r="D14658" s="10" t="inlineStr">
        <is>
          <t>Tập Đoàn Tân Á Đại Thành</t>
        </is>
      </c>
      <c r="E14658" s="10" t="inlineStr">
        <is>
          <t>Lương:Cạnh tranh</t>
        </is>
      </c>
      <c r="F14658" s="10" t="inlineStr">
        <is>
          <t>Hà Nội</t>
        </is>
      </c>
      <c r="G14658" s="10" t="inlineStr">
        <is>
          <t>31-03-2026</t>
        </is>
      </c>
      <c r="H14658" s="10" t="inlineStr">
        <is>
          <t>31/03/2026</t>
        </is>
      </c>
      <c r="I14658" s="10" t="inlineStr">
        <is>
          <t>17/03/2026</t>
        </is>
      </c>
      <c r="J14658" s="10" t="inlineStr">
        <is>
          <t>CNTT - Phần mềm, CNTT - Phần cứng / Mạng</t>
        </is>
      </c>
      <c r="K14658" s="10" t="inlineStr">
        <is>
          <t>Trên 5 Năm</t>
        </is>
      </c>
      <c r="L14658" s="11">
        <f>HYPERLINK("https://careerviet.vn/vi/tim-viec-lam/truong-phong-chuyen-doi-so-bat-dong-san-smart-city.35C69458.html","Xem chi tiết")</f>
        <v/>
      </c>
      <c r="M14658" s="10" t="n"/>
    </row>
    <row r="14659">
      <c r="B14659" s="7" t="n">
        <v>14657</v>
      </c>
      <c r="C14659" t="inlineStr">
        <is>
          <t>Chuyên Viên R&amp;D</t>
        </is>
      </c>
      <c r="D14659" t="inlineStr">
        <is>
          <t>Bitex (Nhà phân phối độc quyền máy tính Casio tại Việt Nam)</t>
        </is>
      </c>
      <c r="E14659" t="inlineStr">
        <is>
          <t>Lương:Cạnh tranh</t>
        </is>
      </c>
      <c r="F14659" t="inlineStr">
        <is>
          <t>Hồ Chí Minh</t>
        </is>
      </c>
      <c r="G14659" t="inlineStr">
        <is>
          <t>31-03-2026</t>
        </is>
      </c>
      <c r="H14659" t="inlineStr">
        <is>
          <t>31/03/2026</t>
        </is>
      </c>
      <c r="I14659" t="inlineStr">
        <is>
          <t>17/03/2026</t>
        </is>
      </c>
      <c r="J14659" t="inlineStr">
        <is>
          <t>Tiếp thị / Marketing, Bán hàng / Kinh doanh</t>
        </is>
      </c>
      <c r="K14659" t="inlineStr">
        <is>
          <t>3 - 5 Năm</t>
        </is>
      </c>
      <c r="L14659" s="8">
        <f>HYPERLINK("https://careerviet.vn/vi/tim-viec-lam/chuyen-vien-r-d.35C69642.html","Xem chi tiết")</f>
        <v/>
      </c>
    </row>
    <row r="14660">
      <c r="B14660" s="9" t="n">
        <v>14658</v>
      </c>
      <c r="C14660" s="10" t="inlineStr">
        <is>
          <t>NHÂN VIÊN PHÁT TRIỂN THỊ TRƯỜNG (XUẤT KHẨU)</t>
        </is>
      </c>
      <c r="D14660" s="10" t="inlineStr">
        <is>
          <t>SHIN Cà Phê - Công ty Cổ phần Cà phê Golden Beans</t>
        </is>
      </c>
      <c r="E14660" s="10" t="inlineStr">
        <is>
          <t>Lương:13 Tr - 15 Tr VND</t>
        </is>
      </c>
      <c r="F14660" s="10" t="inlineStr">
        <is>
          <t>Hồ Chí Minh</t>
        </is>
      </c>
      <c r="G14660" s="10" t="inlineStr">
        <is>
          <t>31-03-2026</t>
        </is>
      </c>
      <c r="H14660" s="10" t="inlineStr">
        <is>
          <t>31/03/2026</t>
        </is>
      </c>
      <c r="I14660" s="10" t="inlineStr">
        <is>
          <t>17/03/2026</t>
        </is>
      </c>
      <c r="J14660" s="10" t="inlineStr">
        <is>
          <t>Bán lẻ / Bán sỉ, Bán hàng / Kinh doanh, Dịch vụ khách hàng</t>
        </is>
      </c>
      <c r="K14660" s="10" t="inlineStr">
        <is>
          <t>2 - 3 Năm</t>
        </is>
      </c>
      <c r="L14660" s="11">
        <f>HYPERLINK("https://careerviet.vn/vi/tim-viec-lam/nhan-vien-phat-trien-thi-truong-xuat-khau.35C697C9.html","Xem chi tiết")</f>
        <v/>
      </c>
      <c r="M14660" s="10" t="n"/>
    </row>
    <row r="14661">
      <c r="B14661" s="7" t="n">
        <v>14659</v>
      </c>
      <c r="C14661" t="inlineStr">
        <is>
          <t>Nhân Viên Dịch Vụ Bán Hàng Gói Cước Sản Phẩm Viettel Tân Bình Hồ Chí Minh</t>
        </is>
      </c>
      <c r="D14661" t="inlineStr">
        <is>
          <t>CÔNG TY CỔ PHẦN TRUYỀN THÔNG KIM CƯƠNG</t>
        </is>
      </c>
      <c r="E14661" t="inlineStr">
        <is>
          <t>Lương:8 Tr - 12 Tr VND</t>
        </is>
      </c>
      <c r="F14661" t="inlineStr">
        <is>
          <t>Hồ Chí Minh</t>
        </is>
      </c>
      <c r="G14661" t="inlineStr">
        <is>
          <t>6</t>
        </is>
      </c>
      <c r="H14661" t="inlineStr">
        <is>
          <t>23/03/2026</t>
        </is>
      </c>
      <c r="I14661" t="inlineStr">
        <is>
          <t>17/03/2026</t>
        </is>
      </c>
      <c r="J14661" t="inlineStr">
        <is>
          <t>Bán hàng / Kinh doanh, Tiếp thị trực tuyến, Dịch vụ khách hàng</t>
        </is>
      </c>
      <c r="K14661" t="inlineStr">
        <is>
          <t>N/A</t>
        </is>
      </c>
      <c r="L14661" s="8">
        <f>HYPERLINK("https://careerviet.vn/vi/tim-viec-lam/nhan-vien-dich-vu-ban-hang-goi-cuoc-san-pham-viettel-tan-binh-ho-chi-minh.35C68CD6.html","Xem chi tiết")</f>
        <v/>
      </c>
    </row>
    <row r="14662">
      <c r="B14662" s="9" t="n">
        <v>14660</v>
      </c>
      <c r="C14662" s="10" t="inlineStr">
        <is>
          <t>Kỹ sư thiết kế phần điện, điện nhẹ hệ thống PCCC</t>
        </is>
      </c>
      <c r="D14662" s="10" t="inlineStr">
        <is>
          <t>CÔNG TY CỔ PHẦN CƠ ĐIỆN VÀ PCCC THĂNG LONG</t>
        </is>
      </c>
      <c r="E14662" s="10" t="inlineStr">
        <is>
          <t>Lương:15 Tr - 20 Tr VND</t>
        </is>
      </c>
      <c r="F14662" s="10" t="inlineStr">
        <is>
          <t>Hà Nội</t>
        </is>
      </c>
      <c r="G14662" s="10" t="inlineStr">
        <is>
          <t>10-03-2026</t>
        </is>
      </c>
      <c r="H14662" s="10" t="inlineStr">
        <is>
          <t>28/02/2026</t>
        </is>
      </c>
      <c r="I14662" s="10" t="inlineStr">
        <is>
          <t>17/03/2026</t>
        </is>
      </c>
      <c r="J14662" s="10" t="inlineStr">
        <is>
          <t>Điện / Điện tử / Điện lạnh / Điện công nghiệp, Mỹ thuật / Nghệ thuật / Thiết kế, Xây dựng</t>
        </is>
      </c>
      <c r="K14662" s="10" t="inlineStr">
        <is>
          <t>2 - 4 Năm</t>
        </is>
      </c>
      <c r="L14662" s="11">
        <f>HYPERLINK("https://careerviet.vn/vi/tim-viec-lam/ky-su-thiet-ke-phan-dien-dien-nhe-he-thong-pccc.35C696E4.html","Xem chi tiết")</f>
        <v/>
      </c>
      <c r="M14662" s="10" t="n"/>
    </row>
    <row r="14663">
      <c r="B14663" s="7" t="n">
        <v>14661</v>
      </c>
      <c r="C14663" t="inlineStr">
        <is>
          <t>HCM - Chuyên Viên Đào Tạo Tay Nghề (Ngành mỹ phẩm, Spa)</t>
        </is>
      </c>
      <c r="D14663" t="inlineStr">
        <is>
          <t>Công ty TNHH Thiên Thủy Mộc</t>
        </is>
      </c>
      <c r="E14663" t="inlineStr">
        <is>
          <t>Lương:15 Tr - 22 Tr VND</t>
        </is>
      </c>
      <c r="F14663" t="inlineStr">
        <is>
          <t>Hồ Chí Minh</t>
        </is>
      </c>
      <c r="G14663" t="inlineStr">
        <is>
          <t>26-03-2026</t>
        </is>
      </c>
      <c r="H14663" t="inlineStr">
        <is>
          <t>26/03/2026</t>
        </is>
      </c>
      <c r="I14663" t="inlineStr">
        <is>
          <t>17/03/2026</t>
        </is>
      </c>
      <c r="J14663" t="inlineStr">
        <is>
          <t>Giáo dục / Đào tạo, Y tế / Chăm sóc sức khỏe / Thẩm mỹ / Làm đẹp, Bán hàng / Kinh doanh</t>
        </is>
      </c>
      <c r="K14663" t="inlineStr">
        <is>
          <t>1 - 4 Năm</t>
        </is>
      </c>
      <c r="L14663" s="8">
        <f>HYPERLINK("https://careerviet.vn/vi/tim-viec-lam/hcm-chuyen-vien-dao-tao-tay-nghe-nganh-my-pham-spa.35C6984E.html","Xem chi tiết")</f>
        <v/>
      </c>
    </row>
    <row r="14664">
      <c r="B14664" s="9" t="n">
        <v>14662</v>
      </c>
      <c r="C14664" s="10" t="inlineStr">
        <is>
          <t>Trưởng nhóm Hành Chính Nhân Sự</t>
        </is>
      </c>
      <c r="D14664" s="10" t="inlineStr">
        <is>
          <t>Công ty TNHH TMDV &amp; Kỹ Thuật Đức Phát</t>
        </is>
      </c>
      <c r="E14664" s="10" t="inlineStr">
        <is>
          <t>Lương:16 Tr - 22 Tr VND</t>
        </is>
      </c>
      <c r="F14664" s="10" t="inlineStr">
        <is>
          <t>Hà Nội</t>
        </is>
      </c>
      <c r="G14664" s="10" t="inlineStr">
        <is>
          <t>27-03-2026</t>
        </is>
      </c>
      <c r="H14664" s="10" t="inlineStr">
        <is>
          <t>27/03/2026</t>
        </is>
      </c>
      <c r="I14664" s="10" t="inlineStr">
        <is>
          <t>17/03/2026</t>
        </is>
      </c>
      <c r="J14664" s="10" t="inlineStr">
        <is>
          <t>Nhân sự, Luật / Pháp lý</t>
        </is>
      </c>
      <c r="K14664" s="10" t="inlineStr">
        <is>
          <t>3 - 4 Năm</t>
        </is>
      </c>
      <c r="L14664" s="11">
        <f>HYPERLINK("https://careerviet.vn/vi/tim-viec-lam/truong-nhom-hanh-chinh-nhan-su.35C695CD.html","Xem chi tiết")</f>
        <v/>
      </c>
      <c r="M14664" s="10" t="n"/>
    </row>
    <row r="14665">
      <c r="B14665" s="7" t="n">
        <v>14663</v>
      </c>
      <c r="C14665" t="inlineStr">
        <is>
          <t>Chuyên viên Tuyển dụng (Ocean Edu Hội sở)</t>
        </is>
      </c>
      <c r="D14665" t="inlineStr">
        <is>
          <t>Công Ty CP Giáo Dục Đại Dương</t>
        </is>
      </c>
      <c r="E14665" t="inlineStr">
        <is>
          <t>Lương:Cạnh tranh</t>
        </is>
      </c>
      <c r="F14665" t="inlineStr">
        <is>
          <t>Hà Nội</t>
        </is>
      </c>
      <c r="G14665" t="inlineStr">
        <is>
          <t>27-03-2026</t>
        </is>
      </c>
      <c r="H14665" t="inlineStr">
        <is>
          <t>27/03/2026</t>
        </is>
      </c>
      <c r="I14665" t="inlineStr">
        <is>
          <t>17/03/2026</t>
        </is>
      </c>
      <c r="J14665" t="inlineStr">
        <is>
          <t>Tư vấn, Nhân sự</t>
        </is>
      </c>
      <c r="K14665" t="inlineStr">
        <is>
          <t>2 - 3 Năm</t>
        </is>
      </c>
      <c r="L14665" s="8">
        <f>HYPERLINK("https://careerviet.vn/vi/tim-viec-lam/chuyen-vien-tuyen-dung-ocean-edu-hoi-so.35C6970E.html","Xem chi tiết")</f>
        <v/>
      </c>
    </row>
    <row r="14666">
      <c r="B14666" s="9" t="n">
        <v>14664</v>
      </c>
      <c r="C14666" s="10" t="inlineStr">
        <is>
          <t>[REMOTE] Influencer Marketer - KOC Booking (Senior/Team Lead)</t>
        </is>
      </c>
      <c r="D14666" s="10" t="inlineStr">
        <is>
          <t>PICKDI</t>
        </is>
      </c>
      <c r="E14666" s="10" t="inlineStr">
        <is>
          <t>Lương:22 Tr - 26 Tr VND</t>
        </is>
      </c>
      <c r="F14666" s="10" t="inlineStr">
        <is>
          <t>Hà NộiHồ Chí MinhĐà Nẵng</t>
        </is>
      </c>
      <c r="G14666" s="10" t="inlineStr">
        <is>
          <t>10-03-2026</t>
        </is>
      </c>
      <c r="H14666" s="10" t="inlineStr">
        <is>
          <t>06/03/2026</t>
        </is>
      </c>
      <c r="I14666" s="10" t="inlineStr">
        <is>
          <t>17/03/2026</t>
        </is>
      </c>
      <c r="J14666" s="10" t="inlineStr">
        <is>
          <t>Quảng cáo / Đối ngoại / Truyền Thông, Truyền hình / Báo chí / Biên tập, Tiếp thị / Marketing</t>
        </is>
      </c>
      <c r="K14666" s="10" t="inlineStr">
        <is>
          <t>3 - 7 Năm</t>
        </is>
      </c>
      <c r="L14666" s="11">
        <f>HYPERLINK("https://careerviet.vn/vi/tim-viec-lam/remote-influencer-marketer-koc-booking-senior-team-lead.35C68CA5.html","Xem chi tiết")</f>
        <v/>
      </c>
      <c r="M14666" s="10" t="n"/>
    </row>
    <row r="14667">
      <c r="B14667" s="7" t="n">
        <v>14665</v>
      </c>
      <c r="C14667" t="inlineStr">
        <is>
          <t>[VUNG TAU] CHUYÊN VIÊN QUAN HỆ KHÁCH HÀNG CÁ NHÂN – RETAIL RELATIONSHIP MANAGER</t>
        </is>
      </c>
      <c r="D14667" t="inlineStr">
        <is>
          <t>Shinhan Bank Vietnam</t>
        </is>
      </c>
      <c r="E14667" t="inlineStr">
        <is>
          <t>Lương:Cạnh tranh</t>
        </is>
      </c>
      <c r="F14667" t="inlineStr">
        <is>
          <t>Bà Rịa - Vũng Tàu</t>
        </is>
      </c>
      <c r="G14667" t="inlineStr">
        <is>
          <t>27-03-2026</t>
        </is>
      </c>
      <c r="H14667" t="inlineStr">
        <is>
          <t>27/03/2026</t>
        </is>
      </c>
      <c r="I14667" t="inlineStr">
        <is>
          <t>17/03/2026</t>
        </is>
      </c>
      <c r="J14667" t="inlineStr">
        <is>
          <t>Kế toán / Kiểm toán, Ngân hàng, Bán lẻ / Bán sỉ</t>
        </is>
      </c>
      <c r="K14667" t="inlineStr">
        <is>
          <t>Trên 1 Năm</t>
        </is>
      </c>
      <c r="L14667" s="8">
        <f>HYPERLINK("https://careerviet.vn/vi/tim-viec-lam/vung-tau-chuyen-vien-quan-he-khach-hang-ca-nhan-retail-relationship-manager.35C69650.html","Xem chi tiết")</f>
        <v/>
      </c>
    </row>
    <row r="14668">
      <c r="B14668" s="9" t="n">
        <v>14666</v>
      </c>
      <c r="C14668" s="10" t="inlineStr">
        <is>
          <t>HCM - Kỹ Thuật Viên (dịch vụ trải nghiệm máy làm đẹp)</t>
        </is>
      </c>
      <c r="D14668" s="10" t="inlineStr">
        <is>
          <t>Công ty TNHH Thiên Thủy Mộc</t>
        </is>
      </c>
      <c r="E14668" s="10" t="inlineStr">
        <is>
          <t>Lương:7 Tr - 15 Tr VND</t>
        </is>
      </c>
      <c r="F14668" s="10" t="inlineStr">
        <is>
          <t>Hồ Chí Minh</t>
        </is>
      </c>
      <c r="G14668" s="10" t="inlineStr">
        <is>
          <t>26-03-2026</t>
        </is>
      </c>
      <c r="H14668" s="10" t="inlineStr">
        <is>
          <t>26/03/2026</t>
        </is>
      </c>
      <c r="I14668" s="10" t="inlineStr">
        <is>
          <t>17/03/2026</t>
        </is>
      </c>
      <c r="J14668" s="10" t="inlineStr">
        <is>
          <t>Y tế / Chăm sóc sức khỏe / Thẩm mỹ / Làm đẹp</t>
        </is>
      </c>
      <c r="K14668" s="10" t="inlineStr">
        <is>
          <t>Trên 2 Năm</t>
        </is>
      </c>
      <c r="L14668" s="11">
        <f>HYPERLINK("https://careerviet.vn/vi/tim-viec-lam/hcm-ky-thuat-vien-dich-vu-trai-nghiem-may-lam-dep.35C69895.html","Xem chi tiết")</f>
        <v/>
      </c>
      <c r="M14668" s="10" t="n"/>
    </row>
    <row r="14669">
      <c r="B14669" s="7" t="n">
        <v>14667</v>
      </c>
      <c r="C14669" t="inlineStr">
        <is>
          <t>Kỹ Sư Dự Án</t>
        </is>
      </c>
      <c r="D14669" t="inlineStr">
        <is>
          <t>CÔNG TY CỔ PHẦN KỸ THUẬT NHIỆT MÈO ĐEN</t>
        </is>
      </c>
      <c r="E14669" t="inlineStr">
        <is>
          <t>Lương:Cạnh tranh</t>
        </is>
      </c>
      <c r="F14669" t="inlineStr">
        <is>
          <t>Bà Rịa - Vũng Tàu</t>
        </is>
      </c>
      <c r="G14669" t="inlineStr">
        <is>
          <t>24-03-2026</t>
        </is>
      </c>
      <c r="H14669" t="inlineStr">
        <is>
          <t>24/03/2026</t>
        </is>
      </c>
      <c r="I14669" t="inlineStr">
        <is>
          <t>17/03/2026</t>
        </is>
      </c>
      <c r="J14669" t="inlineStr">
        <is>
          <t>Cơ khí / Ô tô / Tự động hóa, Quản lý chất lượng (QA/QC), Xây dựng</t>
        </is>
      </c>
      <c r="K14669" t="inlineStr">
        <is>
          <t>3 - 5 Năm</t>
        </is>
      </c>
      <c r="L14669" s="8">
        <f>HYPERLINK("https://careerviet.vn/vi/tim-viec-lam/ky-su-du-an.35C69886.html","Xem chi tiết")</f>
        <v/>
      </c>
    </row>
    <row r="14670">
      <c r="B14670" s="9" t="n">
        <v>14668</v>
      </c>
      <c r="C14670" s="10" t="inlineStr">
        <is>
          <t>Production Engineer</t>
        </is>
      </c>
      <c r="D14670" s="10" t="inlineStr">
        <is>
          <t>Công ty TNHH framas Korea Vina</t>
        </is>
      </c>
      <c r="E14670" s="10" t="inlineStr">
        <is>
          <t>Lương:Cạnh tranh</t>
        </is>
      </c>
      <c r="F14670" s="10" t="inlineStr">
        <is>
          <t>Đồng Nai</t>
        </is>
      </c>
      <c r="G14670" s="10" t="inlineStr">
        <is>
          <t>25-03-2026</t>
        </is>
      </c>
      <c r="H14670" s="10" t="inlineStr">
        <is>
          <t>25/03/2026</t>
        </is>
      </c>
      <c r="I14670" s="10" t="inlineStr">
        <is>
          <t>17/03/2026</t>
        </is>
      </c>
      <c r="J14670" s="10" t="inlineStr">
        <is>
          <t>Cơ khí / Ô tô / Tự động hóa, Sản xuất / Vận hành sản xuất, Dệt may / Da giày / Thời trang</t>
        </is>
      </c>
      <c r="K14670" s="10" t="inlineStr">
        <is>
          <t>1 - 5 Năm</t>
        </is>
      </c>
      <c r="L14670" s="11">
        <f>HYPERLINK("https://careerviet.vn/vi/tim-viec-lam/production-engineer.35C695BF.html","Xem chi tiết")</f>
        <v/>
      </c>
      <c r="M14670" s="10" t="n"/>
    </row>
    <row r="14671">
      <c r="B14671" s="7" t="n">
        <v>14669</v>
      </c>
      <c r="C14671" t="inlineStr">
        <is>
          <t>Sale Manager - BĐS Sơ cấp</t>
        </is>
      </c>
      <c r="D14671" t="inlineStr">
        <is>
          <t>CÔNG TY CỔ PHẦN CITICS</t>
        </is>
      </c>
      <c r="E14671" t="inlineStr">
        <is>
          <t>Lương:20 Tr - 30 Tr VND</t>
        </is>
      </c>
      <c r="F14671" t="inlineStr">
        <is>
          <t>Hồ Chí Minh</t>
        </is>
      </c>
      <c r="G14671" t="inlineStr">
        <is>
          <t>30-04-2026</t>
        </is>
      </c>
      <c r="H14671" t="inlineStr">
        <is>
          <t>30/04/2026</t>
        </is>
      </c>
      <c r="I14671" t="inlineStr">
        <is>
          <t>17/03/2026</t>
        </is>
      </c>
      <c r="J14671" t="inlineStr">
        <is>
          <t>Bất động sản</t>
        </is>
      </c>
      <c r="K14671" t="inlineStr">
        <is>
          <t>Trên 3 Năm</t>
        </is>
      </c>
      <c r="L14671" s="8">
        <f>HYPERLINK("https://careerviet.vn/vi/tim-viec-lam/sale-manager-bds-so-cap.35C69881.html","Xem chi tiết")</f>
        <v/>
      </c>
    </row>
    <row r="14672">
      <c r="B14672" s="9" t="n">
        <v>14670</v>
      </c>
      <c r="C14672" s="10" t="inlineStr">
        <is>
          <t>THIẾT KẾ NỘI THẤT</t>
        </is>
      </c>
      <c r="D14672" s="10" t="inlineStr">
        <is>
          <t>Công Ty Cổ Phần Kiến Trúc Cảnh Quan LSS</t>
        </is>
      </c>
      <c r="E14672" s="10" t="inlineStr">
        <is>
          <t>Lương:10 Tr - 20 Tr VND</t>
        </is>
      </c>
      <c r="F14672" s="10" t="inlineStr">
        <is>
          <t>Hồ Chí Minh</t>
        </is>
      </c>
      <c r="G14672" s="10" t="inlineStr">
        <is>
          <t>15-04-2026</t>
        </is>
      </c>
      <c r="H14672" s="10" t="inlineStr">
        <is>
          <t>15/04/2026</t>
        </is>
      </c>
      <c r="I14672" s="10" t="inlineStr">
        <is>
          <t>17/03/2026</t>
        </is>
      </c>
      <c r="J14672" s="10" t="inlineStr">
        <is>
          <t>Xây dựng, Kiến trúc, Nội ngoại thất</t>
        </is>
      </c>
      <c r="K14672" s="10" t="inlineStr">
        <is>
          <t>1 - 5 Năm</t>
        </is>
      </c>
      <c r="L14672" s="11">
        <f>HYPERLINK("https://careerviet.vn/vi/tim-viec-lam/thiet-ke-noi-that.35C69882.html","Xem chi tiết")</f>
        <v/>
      </c>
      <c r="M14672" s="10" t="n"/>
    </row>
    <row r="14673">
      <c r="B14673" s="7" t="n">
        <v>14671</v>
      </c>
      <c r="C14673" t="inlineStr">
        <is>
          <t>Nhân viên kế toán thanh toán</t>
        </is>
      </c>
      <c r="D14673" t="inlineStr">
        <is>
          <t>CÔNG TY CỔ PHẦN CHẾ BIẾN THỰC PHẨM HOÀNG SƠN</t>
        </is>
      </c>
      <c r="E14673" t="inlineStr">
        <is>
          <t>Lương:12 Tr - 15 Tr VND</t>
        </is>
      </c>
      <c r="F14673" t="inlineStr">
        <is>
          <t>Bình Dương</t>
        </is>
      </c>
      <c r="G14673" t="inlineStr">
        <is>
          <t>10-03-2026</t>
        </is>
      </c>
      <c r="H14673" t="inlineStr">
        <is>
          <t>28/02/2026</t>
        </is>
      </c>
      <c r="I14673" t="inlineStr">
        <is>
          <t>17/03/2026</t>
        </is>
      </c>
      <c r="J14673" t="inlineStr">
        <is>
          <t>Tài chính / Đầu tư, Kế toán / Kiểm toán</t>
        </is>
      </c>
      <c r="K14673" t="inlineStr">
        <is>
          <t>1 - 3 Năm</t>
        </is>
      </c>
      <c r="L14673" s="8">
        <f>HYPERLINK("https://careerviet.vn/vi/tim-viec-lam/nhan-vien-ke-toan-thanh-toan.35C69653.html","Xem chi tiết")</f>
        <v/>
      </c>
    </row>
    <row r="14674">
      <c r="B14674" s="9" t="n">
        <v>14672</v>
      </c>
      <c r="C14674" s="10" t="inlineStr">
        <is>
          <t>Nhân Viên Training Cho BOT Shopee (Shopbot Tagger)</t>
        </is>
      </c>
      <c r="D14674" s="10" t="inlineStr">
        <is>
          <t>Công Ty TNHH Việt Mỹ-SSU</t>
        </is>
      </c>
      <c r="E14674" s="10" t="inlineStr">
        <is>
          <t>Lương:6,5 Tr - 7,5 Tr VND</t>
        </is>
      </c>
      <c r="F14674" s="10" t="inlineStr">
        <is>
          <t>Hồ Chí Minh</t>
        </is>
      </c>
      <c r="G14674" s="10" t="inlineStr">
        <is>
          <t>27-03-2026</t>
        </is>
      </c>
      <c r="H14674" s="10" t="inlineStr">
        <is>
          <t>27/03/2026</t>
        </is>
      </c>
      <c r="I14674" s="10" t="inlineStr">
        <is>
          <t>17/03/2026</t>
        </is>
      </c>
      <c r="J14674" s="10" t="inlineStr">
        <is>
          <t>Thương mại điện tử, Tư vấn, Dịch vụ khách hàng</t>
        </is>
      </c>
      <c r="K14674" s="10" t="inlineStr">
        <is>
          <t>Chưa có kinh nghiệm</t>
        </is>
      </c>
      <c r="L14674" s="11">
        <f>HYPERLINK("https://careerviet.vn/vi/tim-viec-lam/nhan-vien-training-cho-bot-shopee-shopbot-tagger.35C696B7.html","Xem chi tiết")</f>
        <v/>
      </c>
      <c r="M14674" s="10" t="n"/>
    </row>
    <row r="14675">
      <c r="B14675" s="7" t="n">
        <v>14673</v>
      </c>
      <c r="C14675" t="inlineStr">
        <is>
          <t>QUẢN LÝ TUYỂN DỤNG - F&amp;B</t>
        </is>
      </c>
      <c r="D14675" t="inlineStr">
        <is>
          <t>Công Ty Cổ Phần Tầm Nhìn Quốc Tế Aladdin</t>
        </is>
      </c>
      <c r="E14675" t="inlineStr">
        <is>
          <t>Lương:Cạnh tranh</t>
        </is>
      </c>
      <c r="F14675" t="inlineStr">
        <is>
          <t>Hồ Chí Minh</t>
        </is>
      </c>
      <c r="G14675" t="inlineStr">
        <is>
          <t>25-03-2026</t>
        </is>
      </c>
      <c r="H14675" t="inlineStr">
        <is>
          <t>25/03/2026</t>
        </is>
      </c>
      <c r="I14675" t="inlineStr">
        <is>
          <t>17/03/2026</t>
        </is>
      </c>
      <c r="J14675" t="inlineStr">
        <is>
          <t>Nhà hàng / Khách sạn</t>
        </is>
      </c>
      <c r="K14675" t="inlineStr">
        <is>
          <t>3 - 4 Năm</t>
        </is>
      </c>
      <c r="L14675" s="8">
        <f>HYPERLINK("https://careerviet.vn/vi/tim-viec-lam/quan-ly-tuyen-dung-f-b.35C6946F.html","Xem chi tiết")</f>
        <v/>
      </c>
    </row>
    <row r="14676">
      <c r="B14676" s="9" t="n">
        <v>14674</v>
      </c>
      <c r="C14676" s="10" t="inlineStr">
        <is>
          <t>Trưởng Bưu Cục Thủ Đức | Thu nhập đến 25 triệu</t>
        </is>
      </c>
      <c r="D14676" s="10" t="inlineStr">
        <is>
          <t>Công Ty Cổ Phần Hai Bốn Bảy</t>
        </is>
      </c>
      <c r="E14676" s="10" t="inlineStr">
        <is>
          <t>Lương:15 Tr - 25 Tr VND</t>
        </is>
      </c>
      <c r="F14676" s="10" t="inlineStr">
        <is>
          <t>Hồ Chí Minh</t>
        </is>
      </c>
      <c r="G14676" s="10" t="inlineStr">
        <is>
          <t>31-03-2026</t>
        </is>
      </c>
      <c r="H14676" s="10" t="inlineStr">
        <is>
          <t>31/03/2026</t>
        </is>
      </c>
      <c r="I14676" s="10" t="inlineStr">
        <is>
          <t>17/03/2026</t>
        </is>
      </c>
      <c r="J14676" s="10" t="inlineStr">
        <is>
          <t>Vận chuyển / Giao nhận / Kho vận</t>
        </is>
      </c>
      <c r="K14676" s="10" t="inlineStr">
        <is>
          <t>1 - 2 Năm</t>
        </is>
      </c>
      <c r="L14676" s="11">
        <f>HYPERLINK("https://careerviet.vn/vi/tim-viec-lam/truong-buu-cuc-thu-duc-thu-nhap-den-25-trieu.35C698B3.html","Xem chi tiết")</f>
        <v/>
      </c>
      <c r="M14676" s="10" t="n"/>
    </row>
    <row r="14677">
      <c r="B14677" s="7" t="n">
        <v>14675</v>
      </c>
      <c r="C14677" t="inlineStr">
        <is>
          <t>Kế Toán Bán Hàng</t>
        </is>
      </c>
      <c r="D14677" t="inlineStr">
        <is>
          <t>Công ty TNHH Thiên Thủy Mộc</t>
        </is>
      </c>
      <c r="E14677" t="inlineStr">
        <is>
          <t>Lương:10 Tr - 15 Tr VND</t>
        </is>
      </c>
      <c r="F14677" t="inlineStr">
        <is>
          <t>Hà Nội</t>
        </is>
      </c>
      <c r="G14677" t="inlineStr">
        <is>
          <t>24-03-2026</t>
        </is>
      </c>
      <c r="H14677" t="inlineStr">
        <is>
          <t>24/03/2026</t>
        </is>
      </c>
      <c r="I14677" t="inlineStr">
        <is>
          <t>17/03/2026</t>
        </is>
      </c>
      <c r="J14677" t="inlineStr">
        <is>
          <t>Kế toán / Kiểm toán</t>
        </is>
      </c>
      <c r="K14677" t="inlineStr">
        <is>
          <t>1 - 3 Năm</t>
        </is>
      </c>
      <c r="L14677" s="8">
        <f>HYPERLINK("https://careerviet.vn/vi/tim-viec-lam/ke-toan-ban-hang.35C695C8.html","Xem chi tiết")</f>
        <v/>
      </c>
    </row>
    <row r="14678">
      <c r="B14678" s="9" t="n">
        <v>14676</v>
      </c>
      <c r="C14678" s="10" t="inlineStr">
        <is>
          <t>NHÂN VIÊN KỸ THUẬT ĐIỆN CƠ KHÍ</t>
        </is>
      </c>
      <c r="D14678" s="10" t="inlineStr">
        <is>
          <t>CÔNG TY CỔ PHẦN HỒ TIÊU VIỆT</t>
        </is>
      </c>
      <c r="E14678" s="10" t="inlineStr">
        <is>
          <t>Lương:Cạnh tranh</t>
        </is>
      </c>
      <c r="F14678" s="10" t="inlineStr">
        <is>
          <t>Hồ Chí Minh</t>
        </is>
      </c>
      <c r="G14678" s="10" t="inlineStr">
        <is>
          <t>25-03-2026</t>
        </is>
      </c>
      <c r="H14678" s="10" t="inlineStr">
        <is>
          <t>25/03/2026</t>
        </is>
      </c>
      <c r="I14678" s="10" t="inlineStr">
        <is>
          <t>17/03/2026</t>
        </is>
      </c>
      <c r="J14678" s="10" t="inlineStr">
        <is>
          <t>Sản xuất / Vận hành sản xuất, Cơ khí / Ô tô / Tự động hóa, Điện / Điện tử / Điện lạnh / Điện công nghiệp</t>
        </is>
      </c>
      <c r="K14678" s="10" t="inlineStr">
        <is>
          <t>Trên 2 Năm</t>
        </is>
      </c>
      <c r="L14678" s="11">
        <f>HYPERLINK("https://careerviet.vn/vi/tim-viec-lam/nhan-vien-ky-thuat-dien-co-khi.35C69590.html","Xem chi tiết")</f>
        <v/>
      </c>
      <c r="M14678" s="10" t="n"/>
    </row>
    <row r="14679">
      <c r="B14679" s="7" t="n">
        <v>14677</v>
      </c>
      <c r="C14679" t="inlineStr">
        <is>
          <t>Chuyên viên 5S (Làm việc tại Tây Ninh)</t>
        </is>
      </c>
      <c r="D14679" t="inlineStr">
        <is>
          <t>Công ty CP Thành Thành Công - Biên Hòa</t>
        </is>
      </c>
      <c r="E14679" t="inlineStr">
        <is>
          <t>Lương:Cạnh tranh</t>
        </is>
      </c>
      <c r="F14679" t="inlineStr">
        <is>
          <t>Tây Ninh</t>
        </is>
      </c>
      <c r="G14679" t="inlineStr">
        <is>
          <t>27-03-2026</t>
        </is>
      </c>
      <c r="H14679" t="inlineStr">
        <is>
          <t>27/03/2026</t>
        </is>
      </c>
      <c r="I14679" t="inlineStr">
        <is>
          <t>17/03/2026</t>
        </is>
      </c>
      <c r="J14679" t="inlineStr">
        <is>
          <t>Dệt may / Da giày / Thời trang, Công nghệ thực phẩm / Dinh dưỡng, Bảo trì / Sửa chữa</t>
        </is>
      </c>
      <c r="K14679" t="inlineStr">
        <is>
          <t>2 - 3 Năm</t>
        </is>
      </c>
      <c r="L14679" s="8">
        <f>HYPERLINK("https://careerviet.vn/vi/tim-viec-lam/chuyen-vien-5s-lam-viec-tai-tay-ninh.35C696FB.html","Xem chi tiết")</f>
        <v/>
      </c>
    </row>
    <row r="14680">
      <c r="B14680" s="9" t="n">
        <v>14678</v>
      </c>
      <c r="C14680" s="10" t="inlineStr">
        <is>
          <t>Trợ lý lãnh đạo</t>
        </is>
      </c>
      <c r="D14680" s="10" t="inlineStr">
        <is>
          <t>Tổng Công Ty Cổ Phần Địa Ốc Sài Gòn</t>
        </is>
      </c>
      <c r="E14680" s="10" t="inlineStr">
        <is>
          <t>Lương:20 Tr - 30 Tr VND</t>
        </is>
      </c>
      <c r="F14680" s="10" t="inlineStr">
        <is>
          <t>Thái Nguyên</t>
        </is>
      </c>
      <c r="G14680" s="10" t="inlineStr">
        <is>
          <t>25-03-2026</t>
        </is>
      </c>
      <c r="H14680" s="10" t="inlineStr">
        <is>
          <t>25/03/2026</t>
        </is>
      </c>
      <c r="I14680" s="10" t="inlineStr">
        <is>
          <t>17/03/2026</t>
        </is>
      </c>
      <c r="J14680" s="10" t="inlineStr">
        <is>
          <t>Luật / Pháp lý, Hành chính / Thư ký, Xây dựng</t>
        </is>
      </c>
      <c r="K14680" s="10" t="inlineStr">
        <is>
          <t>3 - 5 Năm</t>
        </is>
      </c>
      <c r="L14680" s="11">
        <f>HYPERLINK("https://careerviet.vn/vi/tim-viec-lam/tro-ly-lanh-dao.35C695D7.html","Xem chi tiết")</f>
        <v/>
      </c>
      <c r="M14680" s="10" t="n"/>
    </row>
    <row r="14681">
      <c r="B14681" s="7" t="n">
        <v>14679</v>
      </c>
      <c r="C14681" t="inlineStr">
        <is>
          <t>Sales Supervisor - Công Trình</t>
        </is>
      </c>
      <c r="D14681" t="inlineStr">
        <is>
          <t>KOVA Commerce – KOVA Group</t>
        </is>
      </c>
      <c r="E14681" t="inlineStr">
        <is>
          <t>Lương:Cạnh tranh</t>
        </is>
      </c>
      <c r="F14681" t="inlineStr">
        <is>
          <t>Hồ Chí Minh</t>
        </is>
      </c>
      <c r="G14681" t="inlineStr">
        <is>
          <t>31-03-2026</t>
        </is>
      </c>
      <c r="H14681" t="inlineStr">
        <is>
          <t>31/03/2026</t>
        </is>
      </c>
      <c r="I14681" t="inlineStr">
        <is>
          <t>17/03/2026</t>
        </is>
      </c>
      <c r="J14681" t="inlineStr">
        <is>
          <t>Bán hàng / Kinh doanh, Bán lẻ / Bán sỉ, Xây dựng</t>
        </is>
      </c>
      <c r="K14681" t="inlineStr">
        <is>
          <t>2 - 3 Năm</t>
        </is>
      </c>
      <c r="L14681" s="8">
        <f>HYPERLINK("https://careerviet.vn/vi/tim-viec-lam/sales-supervisor-cong-trinh.35C695B5.html","Xem chi tiết")</f>
        <v/>
      </c>
    </row>
    <row r="14682">
      <c r="B14682" s="9" t="n">
        <v>14680</v>
      </c>
      <c r="C14682" s="10" t="inlineStr">
        <is>
          <t>ACCOUNT EXECUTIVE (Mảng Offline/Activation/Event)</t>
        </is>
      </c>
      <c r="D14682" s="10" t="inlineStr">
        <is>
          <t>CÔNG TY TNHH OMNI-D</t>
        </is>
      </c>
      <c r="E14682" s="10" t="inlineStr">
        <is>
          <t>Lương:10 Tr - 15 Tr VND</t>
        </is>
      </c>
      <c r="F14682" s="10" t="inlineStr">
        <is>
          <t>Hồ Chí Minh</t>
        </is>
      </c>
      <c r="G14682" s="10" t="inlineStr">
        <is>
          <t>31-12-2026</t>
        </is>
      </c>
      <c r="H14682" s="10" t="inlineStr">
        <is>
          <t>31/12/2026</t>
        </is>
      </c>
      <c r="I14682" s="10" t="inlineStr">
        <is>
          <t>17/03/2026</t>
        </is>
      </c>
      <c r="J14682" s="10" t="inlineStr">
        <is>
          <t>Tiếp thị / Marketing, Quảng cáo / Đối ngoại / Truyền Thông, Tổ chức sự kiện</t>
        </is>
      </c>
      <c r="K14682" s="10" t="inlineStr">
        <is>
          <t>1 - 3 Năm</t>
        </is>
      </c>
      <c r="L14682" s="11">
        <f>HYPERLINK("https://careerviet.vn/vi/tim-viec-lam/account-executive-mang-offline-activation-event.35C697DC.html","Xem chi tiết")</f>
        <v/>
      </c>
      <c r="M14682" s="10" t="n"/>
    </row>
    <row r="14683">
      <c r="B14683" s="7" t="n">
        <v>14681</v>
      </c>
      <c r="C14683" t="inlineStr">
        <is>
          <t>Nhân Viên Tư Vấn Sản Phẩm tại Điện Máy Chợ Lớn Cai Lậy - Tiền Giang</t>
        </is>
      </c>
      <c r="D14683" t="inlineStr">
        <is>
          <t>Tập Đoàn Karofi Holding</t>
        </is>
      </c>
      <c r="E14683" t="inlineStr">
        <is>
          <t>Lương:Cạnh tranh</t>
        </is>
      </c>
      <c r="F14683" t="inlineStr">
        <is>
          <t>Tiền Giang</t>
        </is>
      </c>
      <c r="G14683" t="inlineStr">
        <is>
          <t>27-03-2026</t>
        </is>
      </c>
      <c r="H14683" t="inlineStr">
        <is>
          <t>27/03/2026</t>
        </is>
      </c>
      <c r="I14683" t="inlineStr">
        <is>
          <t>17/03/2026</t>
        </is>
      </c>
      <c r="J14683" t="inlineStr">
        <is>
          <t>Dịch vụ khách hàng, Bán lẻ / Bán sỉ, Bán hàng / Kinh doanh</t>
        </is>
      </c>
      <c r="K14683" t="inlineStr">
        <is>
          <t>Lên đến 1 Năm</t>
        </is>
      </c>
      <c r="L14683" s="8">
        <f>HYPERLINK("https://careerviet.vn/vi/tim-viec-lam/nhan-vien-tu-van-san-pham-tai-dien-may-cho-lon-cai-lay-tien-giang.35C697BB.html","Xem chi tiết")</f>
        <v/>
      </c>
    </row>
    <row r="14684">
      <c r="B14684" s="9" t="n">
        <v>14682</v>
      </c>
      <c r="C14684" s="10" t="inlineStr">
        <is>
          <t>Chuyên viên kinh doanh B2b</t>
        </is>
      </c>
      <c r="D14684" s="10" t="inlineStr">
        <is>
          <t>Công ty Cổ phần công nghệ và đầu tư INTECH</t>
        </is>
      </c>
      <c r="E14684" s="10" t="inlineStr">
        <is>
          <t>Lương:10 Tr - 20 Tr VND</t>
        </is>
      </c>
      <c r="F14684" s="10" t="inlineStr">
        <is>
          <t>Hà Nội</t>
        </is>
      </c>
      <c r="G14684" s="10" t="inlineStr">
        <is>
          <t>30-04-2026</t>
        </is>
      </c>
      <c r="H14684" s="10" t="inlineStr">
        <is>
          <t>30/04/2026</t>
        </is>
      </c>
      <c r="I14684" s="10" t="inlineStr">
        <is>
          <t>17/03/2026</t>
        </is>
      </c>
      <c r="J14684" s="10" t="inlineStr">
        <is>
          <t>Bán hàng / Kinh doanh, Tiếp thị / Marketing, Tổ chức sự kiện</t>
        </is>
      </c>
      <c r="K14684" s="10" t="inlineStr">
        <is>
          <t>N/A</t>
        </is>
      </c>
      <c r="L14684" s="11">
        <f>HYPERLINK("https://careerviet.vn/vi/tim-viec-lam/chuyen-vien-kinh-doanh-b2b.35C69459.html","Xem chi tiết")</f>
        <v/>
      </c>
      <c r="M14684" s="10" t="n"/>
    </row>
    <row r="14685">
      <c r="B14685" s="7" t="n">
        <v>14683</v>
      </c>
      <c r="C14685" t="inlineStr">
        <is>
          <t>CVCC Tuân thủ mảng Bảo hiểm - Hà Nội - TA161</t>
        </is>
      </c>
      <c r="D14685" t="inlineStr">
        <is>
          <t>Ngân Hàng TMCP Việt Nam Thịnh Vượng - VPBANK</t>
        </is>
      </c>
      <c r="E14685" t="inlineStr">
        <is>
          <t>Lương:20 Tr - 40 Tr VND</t>
        </is>
      </c>
      <c r="F14685" t="inlineStr">
        <is>
          <t>Hà Nội</t>
        </is>
      </c>
      <c r="G14685" t="inlineStr">
        <is>
          <t>31-03-2026</t>
        </is>
      </c>
      <c r="H14685" t="inlineStr">
        <is>
          <t>31/03/2026</t>
        </is>
      </c>
      <c r="I14685" t="inlineStr">
        <is>
          <t>17/03/2026</t>
        </is>
      </c>
      <c r="J14685" t="inlineStr">
        <is>
          <t>Ngân hàng, Bảo hiểm</t>
        </is>
      </c>
      <c r="K14685" t="inlineStr">
        <is>
          <t>2 - 3 Năm</t>
        </is>
      </c>
      <c r="L14685" s="8">
        <f>HYPERLINK("https://careerviet.vn/vi/tim-viec-lam/cvcc-tuan-thu-mang-bao-hiem-ha-noi-ta161.35C69873.html","Xem chi tiết")</f>
        <v/>
      </c>
    </row>
    <row r="14686">
      <c r="B14686" s="9" t="n">
        <v>14684</v>
      </c>
      <c r="C14686" s="10" t="inlineStr">
        <is>
          <t>Nhân Viên Kế Toán (KCN Sóng thần)</t>
        </is>
      </c>
      <c r="D14686" s="10" t="inlineStr">
        <is>
          <t>CÔNG TY CỔ PHẦN NHỰA BÌNH MINH</t>
        </is>
      </c>
      <c r="E14686" s="10" t="inlineStr">
        <is>
          <t>Lương:Cạnh tranh</t>
        </is>
      </c>
      <c r="F14686" s="10" t="inlineStr">
        <is>
          <t>Bình Dương</t>
        </is>
      </c>
      <c r="G14686" s="10" t="inlineStr">
        <is>
          <t>26-03-2026</t>
        </is>
      </c>
      <c r="H14686" s="10" t="inlineStr">
        <is>
          <t>26/03/2026</t>
        </is>
      </c>
      <c r="I14686" s="10" t="inlineStr">
        <is>
          <t>17/03/2026</t>
        </is>
      </c>
      <c r="J14686" s="10" t="inlineStr">
        <is>
          <t>Hành chính / Thư ký, Kế toán / Kiểm toán, Tài chính / Đầu tư</t>
        </is>
      </c>
      <c r="K14686" s="10" t="inlineStr">
        <is>
          <t>1 - 2 Năm</t>
        </is>
      </c>
      <c r="L14686" s="11">
        <f>HYPERLINK("https://careerviet.vn/vi/tim-viec-lam/nhan-vien-ke-toan-kcn-song-than.35C69659.html","Xem chi tiết")</f>
        <v/>
      </c>
      <c r="M14686" s="10" t="n"/>
    </row>
    <row r="14687">
      <c r="B14687" s="7" t="n">
        <v>14685</v>
      </c>
      <c r="C14687" t="inlineStr">
        <is>
          <t>Kế Toán Viên</t>
        </is>
      </c>
      <c r="D14687" t="inlineStr">
        <is>
          <t>Công ty Cổ Phần Giáo Dục German Link</t>
        </is>
      </c>
      <c r="E14687" t="inlineStr">
        <is>
          <t>Lương:9 Tr - 11 Tr VND</t>
        </is>
      </c>
      <c r="F14687" t="inlineStr">
        <is>
          <t>Hà Nội</t>
        </is>
      </c>
      <c r="G14687" t="inlineStr">
        <is>
          <t>26-03-2026</t>
        </is>
      </c>
      <c r="H14687" t="inlineStr">
        <is>
          <t>26/03/2026</t>
        </is>
      </c>
      <c r="I14687" t="inlineStr">
        <is>
          <t>17/03/2026</t>
        </is>
      </c>
      <c r="J14687" t="inlineStr">
        <is>
          <t>Hành chính / Thư ký, Kế toán / Kiểm toán</t>
        </is>
      </c>
      <c r="K14687" t="inlineStr">
        <is>
          <t>Lên đến 2 Năm</t>
        </is>
      </c>
      <c r="L14687" s="8">
        <f>HYPERLINK("https://careerviet.vn/vi/tim-viec-lam/ke-toan-vien.35C695EC.html","Xem chi tiết")</f>
        <v/>
      </c>
    </row>
    <row r="14688">
      <c r="B14688" s="9" t="n">
        <v>14686</v>
      </c>
      <c r="C14688" s="10" t="inlineStr">
        <is>
          <t>GIẢI PHÓNG MẶT BẰNG</t>
        </is>
      </c>
      <c r="D14688" s="10" t="inlineStr">
        <is>
          <t>CÔNG TY CP ĐẦU TƯ HẠ TẦNG KHU CÔNG NGHIỆP HÀ NỘI - BẮC GIANG</t>
        </is>
      </c>
      <c r="E14688" s="10" t="inlineStr">
        <is>
          <t>Lương:15 Tr - 30 Tr VND</t>
        </is>
      </c>
      <c r="F14688" s="10" t="inlineStr">
        <is>
          <t>Bắc Giang</t>
        </is>
      </c>
      <c r="G14688" s="10" t="inlineStr">
        <is>
          <t>01-05-2026</t>
        </is>
      </c>
      <c r="H14688" s="10" t="inlineStr">
        <is>
          <t>01/05/2026</t>
        </is>
      </c>
      <c r="I14688" s="10" t="inlineStr">
        <is>
          <t>17/03/2026</t>
        </is>
      </c>
      <c r="J14688" s="10" t="inlineStr">
        <is>
          <t>Xây dựng</t>
        </is>
      </c>
      <c r="K14688" s="10" t="inlineStr">
        <is>
          <t>3 - 5 Năm</t>
        </is>
      </c>
      <c r="L14688" s="11">
        <f>HYPERLINK("https://careerviet.vn/vi/tim-viec-lam/giai-phong-mat-bang.35C6976D.html","Xem chi tiết")</f>
        <v/>
      </c>
      <c r="M14688" s="10" t="n"/>
    </row>
    <row r="14689">
      <c r="B14689" s="7" t="n">
        <v>14687</v>
      </c>
      <c r="C14689" t="inlineStr">
        <is>
          <t>Chuyên viên, Chuyên viên cao cấp Quản trị rủi ro mô hình - Model Risk Management Specialist, Senior Specialist - Khối Quản trị rủi ro (HO26.60)</t>
        </is>
      </c>
      <c r="D14689" t="inlineStr">
        <is>
          <t>Ngân Hàng TMCP Quân Đội</t>
        </is>
      </c>
      <c r="E14689" t="inlineStr">
        <is>
          <t>Lương:Cạnh tranh</t>
        </is>
      </c>
      <c r="F14689" t="inlineStr">
        <is>
          <t>Hà Nội</t>
        </is>
      </c>
      <c r="G14689" t="inlineStr">
        <is>
          <t>26-03-2026</t>
        </is>
      </c>
      <c r="H14689" t="inlineStr">
        <is>
          <t>26/03/2026</t>
        </is>
      </c>
      <c r="I14689" t="inlineStr">
        <is>
          <t>17/03/2026</t>
        </is>
      </c>
      <c r="J14689" t="inlineStr">
        <is>
          <t>Ngân hàng, Tài chính / Đầu tư, CNTT - Phần mềm</t>
        </is>
      </c>
      <c r="K14689" t="inlineStr">
        <is>
          <t>N/A</t>
        </is>
      </c>
      <c r="L14689" s="8">
        <f>HYPERLINK("https://careerviet.vn/vi/tim-viec-lam/chuyen-vien-chuyen-vien-cao-cap-quan-tri-rui-ro-mo-hinh-model-risk-management-specialist-senior-specialist-khoi-quan-tri-rui-ro-ho26-60.35C698A7.html","Xem chi tiết")</f>
        <v/>
      </c>
    </row>
    <row r="14690">
      <c r="B14690" s="9" t="n">
        <v>14688</v>
      </c>
      <c r="C14690" s="10" t="inlineStr">
        <is>
          <t>Trưởng phòng GPMB</t>
        </is>
      </c>
      <c r="D14690" s="10" t="inlineStr">
        <is>
          <t>Công ty cổ phần Tập đoàn Danko</t>
        </is>
      </c>
      <c r="E14690" s="10" t="inlineStr">
        <is>
          <t>Lương:30 Tr - 45 Tr VND</t>
        </is>
      </c>
      <c r="F14690" s="10" t="inlineStr">
        <is>
          <t>Bắc GiangHà NộiTuyên Quang</t>
        </is>
      </c>
      <c r="G14690" s="10" t="inlineStr">
        <is>
          <t>31-03-2026</t>
        </is>
      </c>
      <c r="H14690" s="10" t="inlineStr">
        <is>
          <t>31/03/2026</t>
        </is>
      </c>
      <c r="I14690" s="10" t="inlineStr">
        <is>
          <t>17/03/2026</t>
        </is>
      </c>
      <c r="J14690" s="10" t="inlineStr">
        <is>
          <t>Xây dựng, Bất động sản</t>
        </is>
      </c>
      <c r="K14690" s="10" t="inlineStr">
        <is>
          <t>Trên 5 Năm</t>
        </is>
      </c>
      <c r="L14690" s="11">
        <f>HYPERLINK("https://careerviet.vn/vi/tim-viec-lam/truong-phong-gpmb.35C69477.html","Xem chi tiết")</f>
        <v/>
      </c>
      <c r="M14690" s="10" t="n"/>
    </row>
    <row r="14691">
      <c r="B14691" s="7" t="n">
        <v>14689</v>
      </c>
      <c r="C14691" t="inlineStr">
        <is>
          <t>Nhân viên chăm sóc khách hàng (Làm tại Quận 6)</t>
        </is>
      </c>
      <c r="D14691" t="inlineStr">
        <is>
          <t>CÔNG TY TNHH THẨM MỸ QUỐC TẾ LINH ANH</t>
        </is>
      </c>
      <c r="E14691" t="inlineStr">
        <is>
          <t>Lương:12 Tr - 30 Tr VND</t>
        </is>
      </c>
      <c r="F14691" t="inlineStr">
        <is>
          <t>Hồ Chí Minh</t>
        </is>
      </c>
      <c r="G14691" t="inlineStr">
        <is>
          <t>09-05-2026</t>
        </is>
      </c>
      <c r="H14691" t="inlineStr">
        <is>
          <t>09/05/2026</t>
        </is>
      </c>
      <c r="I14691" t="inlineStr">
        <is>
          <t>17/03/2026</t>
        </is>
      </c>
      <c r="J14691" t="inlineStr">
        <is>
          <t>Tiếp thị trực tuyến</t>
        </is>
      </c>
      <c r="K14691" t="inlineStr">
        <is>
          <t>Chưa có kinh nghiệm</t>
        </is>
      </c>
      <c r="L14691" s="8">
        <f>HYPERLINK("https://careerviet.vn/vi/tim-viec-lam/nhan-vien-cham-soc-khach-hang-lam-tai-quan-6.35C696F6.html","Xem chi tiết")</f>
        <v/>
      </c>
    </row>
    <row r="14692">
      <c r="B14692" s="9" t="n">
        <v>14690</v>
      </c>
      <c r="C14692" s="10" t="inlineStr">
        <is>
          <t>Tài xế đưa đón Giám Đốc</t>
        </is>
      </c>
      <c r="D14692" s="10" t="inlineStr">
        <is>
          <t>TED SAIGON</t>
        </is>
      </c>
      <c r="E14692" s="10" t="inlineStr">
        <is>
          <t>Lương:12 Tr - 15 Tr VND</t>
        </is>
      </c>
      <c r="F14692" s="10" t="inlineStr">
        <is>
          <t>Hồ Chí Minh</t>
        </is>
      </c>
      <c r="G14692" s="10" t="inlineStr">
        <is>
          <t>26-03-2026</t>
        </is>
      </c>
      <c r="H14692" s="10" t="inlineStr">
        <is>
          <t>26/03/2026</t>
        </is>
      </c>
      <c r="I14692" s="10" t="inlineStr">
        <is>
          <t>17/03/2026</t>
        </is>
      </c>
      <c r="J14692" s="10" t="inlineStr">
        <is>
          <t>Bán hàng / Kinh doanh, Tư vấn, Giáo dục / Đào tạo</t>
        </is>
      </c>
      <c r="K14692" s="10" t="inlineStr">
        <is>
          <t>2 - 3 Năm</t>
        </is>
      </c>
      <c r="L14692" s="11">
        <f>HYPERLINK("https://careerviet.vn/vi/tim-viec-lam/tai-xe-dua-don-giam-doc.35C6983C.html","Xem chi tiết")</f>
        <v/>
      </c>
      <c r="M14692" s="10" t="n"/>
    </row>
    <row r="14693">
      <c r="B14693" s="7" t="n">
        <v>14691</v>
      </c>
      <c r="C14693" t="inlineStr">
        <is>
          <t>Dược sĩ lâm sàng/ Clinical Pharmacist</t>
        </is>
      </c>
      <c r="D14693" t="inlineStr">
        <is>
          <t>American International Hospital (AIH)</t>
        </is>
      </c>
      <c r="E14693" t="inlineStr">
        <is>
          <t>Lương:16 Tr - 25 Tr VND</t>
        </is>
      </c>
      <c r="F14693" t="inlineStr">
        <is>
          <t>Hồ Chí Minh</t>
        </is>
      </c>
      <c r="G14693" t="inlineStr">
        <is>
          <t>31-03-2026</t>
        </is>
      </c>
      <c r="H14693" t="inlineStr">
        <is>
          <t>31/03/2026</t>
        </is>
      </c>
      <c r="I14693" t="inlineStr">
        <is>
          <t>17/03/2026</t>
        </is>
      </c>
      <c r="J14693" t="inlineStr">
        <is>
          <t>Dược phẩm/ Hóa Mỹ Phẩm, Y tế / Chăm sóc sức khỏe / Thẩm mỹ / Làm đẹp</t>
        </is>
      </c>
      <c r="K14693" t="inlineStr">
        <is>
          <t>3 - 10 Năm</t>
        </is>
      </c>
      <c r="L14693" s="8">
        <f>HYPERLINK("https://careerviet.vn/vi/tim-viec-lam/duoc-si-lam-sang-clinical-pharmacist.35C69538.html","Xem chi tiết")</f>
        <v/>
      </c>
    </row>
    <row r="14694">
      <c r="B14694" s="9" t="n">
        <v>14692</v>
      </c>
      <c r="C14694" s="10" t="inlineStr">
        <is>
          <t>Nhân viên Xử Lý Khiếu Nại (Dispute)– Dự án TMĐT</t>
        </is>
      </c>
      <c r="D14694" s="10" t="inlineStr">
        <is>
          <t>Công Ty TNHH Việt Mỹ-SSU</t>
        </is>
      </c>
      <c r="E14694" s="10" t="inlineStr">
        <is>
          <t>Lương:7 Tr - 9 Tr VND</t>
        </is>
      </c>
      <c r="F14694" s="10" t="inlineStr">
        <is>
          <t>Hồ Chí Minh</t>
        </is>
      </c>
      <c r="G14694" s="10" t="inlineStr">
        <is>
          <t>25-03-2026</t>
        </is>
      </c>
      <c r="H14694" s="10" t="inlineStr">
        <is>
          <t>25/03/2026</t>
        </is>
      </c>
      <c r="I14694" s="10" t="inlineStr">
        <is>
          <t>17/03/2026</t>
        </is>
      </c>
      <c r="J14694" s="10" t="inlineStr">
        <is>
          <t>Thương mại điện tử, Tư vấn, Dịch vụ khách hàng</t>
        </is>
      </c>
      <c r="K14694" s="10" t="inlineStr">
        <is>
          <t>Lên đến 1 Năm</t>
        </is>
      </c>
      <c r="L14694" s="11">
        <f>HYPERLINK("https://careerviet.vn/vi/tim-viec-lam/nhan-vien-xu-ly-khieu-nai-dispute-du-an-tmdt.35C69685.html","Xem chi tiết")</f>
        <v/>
      </c>
      <c r="M14694" s="10" t="n"/>
    </row>
    <row r="14695">
      <c r="B14695" s="7" t="n">
        <v>14693</v>
      </c>
      <c r="C14695" t="inlineStr">
        <is>
          <t>Quản Lý Bán Hàng - HĐ2 (OM)  - Làm việc tại Gò Vấp</t>
        </is>
      </c>
      <c r="D14695" t="inlineStr">
        <is>
          <t>CÔNG TY TNHH THẨM MỸ QUỐC TẾ LINH ANH</t>
        </is>
      </c>
      <c r="E14695" t="inlineStr">
        <is>
          <t>Lương:20 Tr - 30 Tr VND</t>
        </is>
      </c>
      <c r="F14695" t="inlineStr">
        <is>
          <t>Hồ Chí Minh</t>
        </is>
      </c>
      <c r="G14695" t="inlineStr">
        <is>
          <t>07-05-2026</t>
        </is>
      </c>
      <c r="H14695" t="inlineStr">
        <is>
          <t>07/05/2026</t>
        </is>
      </c>
      <c r="I14695" t="inlineStr">
        <is>
          <t>17/03/2026</t>
        </is>
      </c>
      <c r="J14695" t="inlineStr">
        <is>
          <t>Y tế / Chăm sóc sức khỏe / Thẩm mỹ / Làm đẹp</t>
        </is>
      </c>
      <c r="K14695" t="inlineStr">
        <is>
          <t>1 - 5 Năm</t>
        </is>
      </c>
      <c r="L14695" s="8">
        <f>HYPERLINK("https://careerviet.vn/vi/tim-viec-lam/quan-ly-ban-hang-hd2-om-lam-viec-tai-go-vap.35C696DE.html","Xem chi tiết")</f>
        <v/>
      </c>
    </row>
    <row r="14696">
      <c r="B14696" s="9" t="n">
        <v>14694</v>
      </c>
      <c r="C14696" s="10" t="inlineStr">
        <is>
          <t>Kế Toán Kho</t>
        </is>
      </c>
      <c r="D14696" s="10" t="inlineStr">
        <is>
          <t>Công ty TNHH Thiên Thủy Mộc</t>
        </is>
      </c>
      <c r="E14696" s="10" t="inlineStr">
        <is>
          <t>Lương:10 Tr - 13 Tr VND</t>
        </is>
      </c>
      <c r="F14696" s="10" t="inlineStr">
        <is>
          <t>Hà Nội</t>
        </is>
      </c>
      <c r="G14696" s="10" t="inlineStr">
        <is>
          <t>24-03-2026</t>
        </is>
      </c>
      <c r="H14696" s="10" t="inlineStr">
        <is>
          <t>24/03/2026</t>
        </is>
      </c>
      <c r="I14696" s="10" t="inlineStr">
        <is>
          <t>17/03/2026</t>
        </is>
      </c>
      <c r="J14696" s="10" t="inlineStr">
        <is>
          <t>Kế toán / Kiểm toán</t>
        </is>
      </c>
      <c r="K14696" s="10" t="inlineStr">
        <is>
          <t>1 - 3 Năm</t>
        </is>
      </c>
      <c r="L14696" s="11">
        <f>HYPERLINK("https://careerviet.vn/vi/tim-viec-lam/ke-toan-kho.35C695CF.html","Xem chi tiết")</f>
        <v/>
      </c>
      <c r="M14696" s="10" t="n"/>
    </row>
    <row r="14697">
      <c r="B14697" s="7" t="n">
        <v>14695</v>
      </c>
      <c r="C14697" t="inlineStr">
        <is>
          <t>Giám sát An ninh  (Hệ thống Chuỗi Cửa hàng)</t>
        </is>
      </c>
      <c r="D14697" t="inlineStr">
        <is>
          <t>Công ty TNHH Thiên Thủy Mộc</t>
        </is>
      </c>
      <c r="E14697" t="inlineStr">
        <is>
          <t>Lương:12 Tr - 16 Tr VND</t>
        </is>
      </c>
      <c r="F14697" t="inlineStr">
        <is>
          <t>Hà Nội</t>
        </is>
      </c>
      <c r="G14697" t="inlineStr">
        <is>
          <t>25-03-2026</t>
        </is>
      </c>
      <c r="H14697" t="inlineStr">
        <is>
          <t>25/03/2026</t>
        </is>
      </c>
      <c r="I14697" t="inlineStr">
        <is>
          <t>17/03/2026</t>
        </is>
      </c>
      <c r="J14697" t="inlineStr">
        <is>
          <t>An Ninh / Bảo Vệ</t>
        </is>
      </c>
      <c r="K14697" t="inlineStr">
        <is>
          <t>2 - 3 Năm</t>
        </is>
      </c>
      <c r="L14697" s="8">
        <f>HYPERLINK("https://careerviet.vn/vi/tim-viec-lam/giam-sat-an-ninh-he-thong-chuoi-cua-hang.35C695A4.html","Xem chi tiết")</f>
        <v/>
      </c>
    </row>
    <row r="14698">
      <c r="B14698" s="9" t="n">
        <v>14696</v>
      </c>
      <c r="C14698" s="10" t="inlineStr">
        <is>
          <t>Nhân viên kinh doanh hàng kỹ thuật</t>
        </is>
      </c>
      <c r="D14698" s="10" t="inlineStr">
        <is>
          <t>CÔNG TY TNHH THIẾT BỊ HT VIỆT NAM</t>
        </is>
      </c>
      <c r="E14698" s="10" t="inlineStr">
        <is>
          <t>Lương:8 Tr - 20 Tr VND</t>
        </is>
      </c>
      <c r="F14698" s="10" t="inlineStr">
        <is>
          <t>Hà Nội</t>
        </is>
      </c>
      <c r="G14698" s="10" t="inlineStr">
        <is>
          <t>31-03-2026</t>
        </is>
      </c>
      <c r="H14698" s="10" t="inlineStr">
        <is>
          <t>31/03/2026</t>
        </is>
      </c>
      <c r="I14698" s="10" t="inlineStr">
        <is>
          <t>17/03/2026</t>
        </is>
      </c>
      <c r="J14698" s="10" t="inlineStr">
        <is>
          <t>Bán hàng / Kinh doanh, Bán Hàng Kỹ Thuật, Cơ khí / Ô tô / Tự động hóa</t>
        </is>
      </c>
      <c r="K14698" s="10" t="inlineStr">
        <is>
          <t>Lên đến 1 Năm</t>
        </is>
      </c>
      <c r="L14698" s="11">
        <f>HYPERLINK("https://careerviet.vn/vi/tim-viec-lam/nhan-vien-kinh-doanh-hang-ky-thuat.35C69485.html","Xem chi tiết")</f>
        <v/>
      </c>
      <c r="M14698" s="10" t="n"/>
    </row>
    <row r="14699">
      <c r="B14699" s="7" t="n">
        <v>14697</v>
      </c>
      <c r="C14699" t="inlineStr">
        <is>
          <t>KỸ SƯ QA/QC CÔNG TRÌNH XDDD - BÌNH CHÁNH</t>
        </is>
      </c>
      <c r="D14699" t="inlineStr">
        <is>
          <t>CÔNG TY TNHH SX XD TM ĐẠI Á CHÂU</t>
        </is>
      </c>
      <c r="E14699" t="inlineStr">
        <is>
          <t>Lương:14 Tr - 18 Tr VND</t>
        </is>
      </c>
      <c r="F14699" t="inlineStr">
        <is>
          <t>Hồ Chí Minh</t>
        </is>
      </c>
      <c r="G14699" t="inlineStr">
        <is>
          <t>25-03-2026</t>
        </is>
      </c>
      <c r="H14699" t="inlineStr">
        <is>
          <t>25/03/2026</t>
        </is>
      </c>
      <c r="I14699" t="inlineStr">
        <is>
          <t>17/03/2026</t>
        </is>
      </c>
      <c r="J14699" t="inlineStr">
        <is>
          <t>Xây dựng, Quản lý chất lượng (QA/QC), Kiến trúc</t>
        </is>
      </c>
      <c r="K14699" t="inlineStr">
        <is>
          <t>1 - 5 Năm</t>
        </is>
      </c>
      <c r="L14699" s="8">
        <f>HYPERLINK("https://careerviet.vn/vi/tim-viec-lam/ky-su-qa-qc-cong-trinh-xddd-binh-chanh.35C69509.html","Xem chi tiết")</f>
        <v/>
      </c>
    </row>
    <row r="14700">
      <c r="B14700" s="9" t="n">
        <v>14698</v>
      </c>
      <c r="C14700" s="10" t="inlineStr">
        <is>
          <t>Phó phòng Quản lý rủi ro hoạt động</t>
        </is>
      </c>
      <c r="D14700" s="10" t="inlineStr">
        <is>
          <t>Ngân Hàng TMCP Sài Gòn - Hà Nội ( SHB )</t>
        </is>
      </c>
      <c r="E14700" s="10" t="inlineStr">
        <is>
          <t>Lương:Cạnh tranh</t>
        </is>
      </c>
      <c r="F14700" s="10" t="inlineStr">
        <is>
          <t>Hà Nội</t>
        </is>
      </c>
      <c r="G14700" s="10" t="inlineStr">
        <is>
          <t>27-03-2026</t>
        </is>
      </c>
      <c r="H14700" s="10" t="inlineStr">
        <is>
          <t>27/03/2026</t>
        </is>
      </c>
      <c r="I14700" s="10" t="inlineStr">
        <is>
          <t>17/03/2026</t>
        </is>
      </c>
      <c r="J14700" s="10" t="inlineStr">
        <is>
          <t>Ngân hàng, Tài chính / Đầu tư</t>
        </is>
      </c>
      <c r="K14700" s="10" t="inlineStr">
        <is>
          <t>Trên 3 Năm</t>
        </is>
      </c>
      <c r="L14700" s="11">
        <f>HYPERLINK("https://careerviet.vn/vi/tim-viec-lam/pho-phong-quan-ly-rui-ro-hoat-dong.35C695CC.html","Xem chi tiết")</f>
        <v/>
      </c>
      <c r="M14700" s="10" t="n"/>
    </row>
    <row r="14701">
      <c r="B14701" s="7" t="n">
        <v>14699</v>
      </c>
      <c r="C14701" t="inlineStr">
        <is>
          <t>Chuyên viên Phát triển kinh doanh cho Khách hàng tiểu thương, hộ kinh doanh -  Khối Ngân hàng số (HO26.45)</t>
        </is>
      </c>
      <c r="D14701" t="inlineStr">
        <is>
          <t>Ngân Hàng TMCP Quân Đội</t>
        </is>
      </c>
      <c r="E14701" t="inlineStr">
        <is>
          <t>Lương:Cạnh tranh</t>
        </is>
      </c>
      <c r="F14701" t="inlineStr">
        <is>
          <t>Hà Nội</t>
        </is>
      </c>
      <c r="G14701" t="inlineStr">
        <is>
          <t>26-03-2026</t>
        </is>
      </c>
      <c r="H14701" t="inlineStr">
        <is>
          <t>26/03/2026</t>
        </is>
      </c>
      <c r="I14701" t="inlineStr">
        <is>
          <t>17/03/2026</t>
        </is>
      </c>
      <c r="J14701" t="inlineStr">
        <is>
          <t>Ngân hàng, Tài chính / Đầu tư, Bán hàng / Kinh doanh</t>
        </is>
      </c>
      <c r="K14701" t="inlineStr">
        <is>
          <t>N/A</t>
        </is>
      </c>
      <c r="L14701" s="8">
        <f>HYPERLINK("https://careerviet.vn/vi/tim-viec-lam/chuyen-vien-phat-trien-kinh-doanh-cho-khach-hang-tieu-thuong-ho-kinh-doanh-khoi-ngan-hang-so-ho26-45.35C69897.html","Xem chi tiết")</f>
        <v/>
      </c>
    </row>
    <row r="14702">
      <c r="B14702" s="9" t="n">
        <v>14700</v>
      </c>
      <c r="C14702" s="10" t="inlineStr">
        <is>
          <t>Nhân viên Thiết kế Nội thất 3D</t>
        </is>
      </c>
      <c r="D14702" s="10" t="inlineStr">
        <is>
          <t>Công ty TNHH Thiên Thủy Mộc</t>
        </is>
      </c>
      <c r="E14702" s="10" t="inlineStr">
        <is>
          <t>Lương:10 Tr - 15 Tr VND</t>
        </is>
      </c>
      <c r="F14702" s="10" t="inlineStr">
        <is>
          <t>Hà Nội</t>
        </is>
      </c>
      <c r="G14702" s="10" t="inlineStr">
        <is>
          <t>10-03-2026</t>
        </is>
      </c>
      <c r="H14702" s="10" t="inlineStr">
        <is>
          <t>14/03/2026</t>
        </is>
      </c>
      <c r="I14702" s="10" t="inlineStr">
        <is>
          <t>17/03/2026</t>
        </is>
      </c>
      <c r="J14702" s="10" t="inlineStr">
        <is>
          <t>Kiến trúc, Xây dựng, Nội ngoại thất</t>
        </is>
      </c>
      <c r="K14702" s="10" t="inlineStr">
        <is>
          <t>1 - 2 Năm</t>
        </is>
      </c>
      <c r="L14702" s="11">
        <f>HYPERLINK("https://careerviet.vn/vi/tim-viec-lam/nhan-vien-thiet-ke-noi-that-3d.35C695AF.html","Xem chi tiết")</f>
        <v/>
      </c>
      <c r="M14702" s="10" t="n"/>
    </row>
    <row r="14703">
      <c r="B14703" s="7" t="n">
        <v>14701</v>
      </c>
      <c r="C14703" t="inlineStr">
        <is>
          <t>Nhân viên Kinh doanh Hưng Yên</t>
        </is>
      </c>
      <c r="D14703" t="inlineStr">
        <is>
          <t>Công ty cổ phần văn phòng phẩm Hồng Hà</t>
        </is>
      </c>
      <c r="E14703" t="inlineStr">
        <is>
          <t>Lương:8 Tr - 15 Tr VND</t>
        </is>
      </c>
      <c r="F14703" t="inlineStr">
        <is>
          <t>Thái Bình</t>
        </is>
      </c>
      <c r="G14703" t="inlineStr">
        <is>
          <t>31-03-2026</t>
        </is>
      </c>
      <c r="H14703" t="inlineStr">
        <is>
          <t>31/03/2026</t>
        </is>
      </c>
      <c r="I14703" t="inlineStr">
        <is>
          <t>17/03/2026</t>
        </is>
      </c>
      <c r="J14703" t="inlineStr">
        <is>
          <t>Tiếp thị / Marketing, Bán hàng / Kinh doanh, Mới tốt nghiệp / Thực tập</t>
        </is>
      </c>
      <c r="K14703" t="inlineStr">
        <is>
          <t>N/A</t>
        </is>
      </c>
      <c r="L14703" s="8">
        <f>HYPERLINK("https://careerviet.vn/vi/tim-viec-lam/nhan-vien-kinh-doanh-hung-yen.35C694F6.html","Xem chi tiết")</f>
        <v/>
      </c>
    </row>
    <row r="14704">
      <c r="B14704" s="9" t="n">
        <v>14702</v>
      </c>
      <c r="C14704" s="10" t="inlineStr">
        <is>
          <t>Nhân Viên QC Lab (8h Chuyên ngày)</t>
        </is>
      </c>
      <c r="D14704" s="10" t="inlineStr">
        <is>
          <t>Tập Đoàn An Phát Holdings</t>
        </is>
      </c>
      <c r="E14704" s="10" t="inlineStr">
        <is>
          <t>Lương:8 Tr - 10 Tr VND</t>
        </is>
      </c>
      <c r="F14704" s="10" t="inlineStr">
        <is>
          <t>Hải Dương</t>
        </is>
      </c>
      <c r="G14704" s="10" t="inlineStr">
        <is>
          <t>10-03-2026</t>
        </is>
      </c>
      <c r="H14704" s="10" t="inlineStr">
        <is>
          <t>15/03/2026</t>
        </is>
      </c>
      <c r="I14704" s="10" t="inlineStr">
        <is>
          <t>17/03/2026</t>
        </is>
      </c>
      <c r="J14704" s="10" t="inlineStr">
        <is>
          <t>Quản lý chất lượng (QA/QC)</t>
        </is>
      </c>
      <c r="K14704" s="10" t="inlineStr">
        <is>
          <t>Chưa có kinh nghiệm</t>
        </is>
      </c>
      <c r="L14704" s="11">
        <f>HYPERLINK("https://careerviet.vn/vi/tim-viec-lam/nhan-vien-qc-lab-8h-chuyen-ngay.35C695AB.html","Xem chi tiết")</f>
        <v/>
      </c>
      <c r="M14704" s="10" t="n"/>
    </row>
    <row r="14705">
      <c r="B14705" s="7" t="n">
        <v>14703</v>
      </c>
      <c r="C14705" t="inlineStr">
        <is>
          <t>Nhân viên lái xe văn phòng</t>
        </is>
      </c>
      <c r="D14705" t="inlineStr">
        <is>
          <t>TỔNG CÔNG TY CỔ PHẦN THƯƠNG MẠI XÂY DỰNG</t>
        </is>
      </c>
      <c r="E14705" t="inlineStr">
        <is>
          <t>Lương:14 Tr - 15 Tr VND</t>
        </is>
      </c>
      <c r="F14705" t="inlineStr">
        <is>
          <t>Hà Nội</t>
        </is>
      </c>
      <c r="G14705" t="inlineStr">
        <is>
          <t>31-03-2026</t>
        </is>
      </c>
      <c r="H14705" t="inlineStr">
        <is>
          <t>31/03/2026</t>
        </is>
      </c>
      <c r="I14705" t="inlineStr">
        <is>
          <t>17/03/2026</t>
        </is>
      </c>
      <c r="J14705" t="inlineStr">
        <is>
          <t>Lao động phổ thông, Ngành khác, Vận chuyển / Giao nhận / Kho vận</t>
        </is>
      </c>
      <c r="K14705" t="inlineStr">
        <is>
          <t>3 - 5 Năm</t>
        </is>
      </c>
      <c r="L14705" s="8">
        <f>HYPERLINK("https://careerviet.vn/vi/tim-viec-lam/nhan-vien-lai-xe-van-phong.35C697D4.html","Xem chi tiết")</f>
        <v/>
      </c>
    </row>
    <row r="14706">
      <c r="B14706" s="9" t="n">
        <v>14704</v>
      </c>
      <c r="C14706" s="10" t="inlineStr">
        <is>
          <t>Nhân viên An toàn dự án Điện mặt trời</t>
        </is>
      </c>
      <c r="D14706" s="10" t="inlineStr">
        <is>
          <t>Công ty cổ phần Xây dựng Công trình IPC</t>
        </is>
      </c>
      <c r="E14706" s="10" t="inlineStr">
        <is>
          <t>Lương:16 Tr - 20 Tr VND</t>
        </is>
      </c>
      <c r="F14706" s="10" t="inlineStr">
        <is>
          <t>Hồ Chí Minh</t>
        </is>
      </c>
      <c r="G14706" s="10" t="inlineStr">
        <is>
          <t>10-03-2026</t>
        </is>
      </c>
      <c r="H14706" s="10" t="inlineStr">
        <is>
          <t>15/03/2026</t>
        </is>
      </c>
      <c r="I14706" s="10" t="inlineStr">
        <is>
          <t>17/03/2026</t>
        </is>
      </c>
      <c r="J14706" s="10" t="inlineStr">
        <is>
          <t>Điện / Điện tử / Điện lạnh / Điện công nghiệp, An toàn lao động, Xây dựng</t>
        </is>
      </c>
      <c r="K14706" s="10" t="inlineStr">
        <is>
          <t>Trên 1 Năm</t>
        </is>
      </c>
      <c r="L14706" s="11">
        <f>HYPERLINK("https://careerviet.vn/vi/tim-viec-lam/nhan-vien-an-toan-du-an-dien-mat-troi.35C69580.html","Xem chi tiết")</f>
        <v/>
      </c>
      <c r="M14706" s="10" t="n"/>
    </row>
    <row r="14707">
      <c r="B14707" s="7" t="n">
        <v>14705</v>
      </c>
      <c r="C14707" t="inlineStr">
        <is>
          <t>Finance Executive (Counter)</t>
        </is>
      </c>
      <c r="D14707" t="inlineStr">
        <is>
          <t>CÔNG TY TNHH MSC VIỆT NAM</t>
        </is>
      </c>
      <c r="E14707" t="inlineStr">
        <is>
          <t>Lương:Cạnh tranh</t>
        </is>
      </c>
      <c r="F14707" t="inlineStr">
        <is>
          <t>Hồ Chí Minh</t>
        </is>
      </c>
      <c r="G14707" t="inlineStr">
        <is>
          <t>24-03-2026</t>
        </is>
      </c>
      <c r="H14707" t="inlineStr">
        <is>
          <t>24/03/2026</t>
        </is>
      </c>
      <c r="I14707" t="inlineStr">
        <is>
          <t>17/03/2026</t>
        </is>
      </c>
      <c r="J14707" t="inlineStr">
        <is>
          <t>Kế toán / Kiểm toán</t>
        </is>
      </c>
      <c r="K14707" t="inlineStr">
        <is>
          <t>1 - 2 Năm</t>
        </is>
      </c>
      <c r="L14707" s="8">
        <f>HYPERLINK("https://careerviet.vn/vi/tim-viec-lam/finance-executive-counter.35C69596.html","Xem chi tiết")</f>
        <v/>
      </c>
    </row>
    <row r="14708">
      <c r="B14708" s="9" t="n">
        <v>14706</v>
      </c>
      <c r="C14708" s="10" t="inlineStr">
        <is>
          <t>NHÂN VIÊN LIVESTREAM</t>
        </is>
      </c>
      <c r="D14708" s="10" t="inlineStr">
        <is>
          <t>Công ty cổ phần Okapi Việt Nam - Thương hiệu thời trang BADASS</t>
        </is>
      </c>
      <c r="E14708" s="10" t="inlineStr">
        <is>
          <t>Lương:8 Tr - 16 Tr VND</t>
        </is>
      </c>
      <c r="F14708" s="10" t="inlineStr">
        <is>
          <t>Hà Nội</t>
        </is>
      </c>
      <c r="G14708" s="10" t="inlineStr">
        <is>
          <t>31-03-2026</t>
        </is>
      </c>
      <c r="H14708" s="10" t="inlineStr">
        <is>
          <t>31/03/2026</t>
        </is>
      </c>
      <c r="I14708" s="10" t="inlineStr">
        <is>
          <t>17/03/2026</t>
        </is>
      </c>
      <c r="J14708" s="10" t="inlineStr">
        <is>
          <t>Dệt may / Da giày / Thời trang, Thương mại điện tử, Dược phẩm/ Hóa Mỹ Phẩm</t>
        </is>
      </c>
      <c r="K14708" s="10" t="inlineStr">
        <is>
          <t>Trên 1 Năm</t>
        </is>
      </c>
      <c r="L14708" s="11">
        <f>HYPERLINK("https://careerviet.vn/vi/tim-viec-lam/nhan-vien-livestream.35C696C7.html","Xem chi tiết")</f>
        <v/>
      </c>
      <c r="M14708" s="10" t="n"/>
    </row>
    <row r="14709">
      <c r="B14709" s="7" t="n">
        <v>14707</v>
      </c>
      <c r="C14709" t="inlineStr">
        <is>
          <t>Trưởng ca kho</t>
        </is>
      </c>
      <c r="D14709" t="inlineStr">
        <is>
          <t>EuP Group</t>
        </is>
      </c>
      <c r="E14709" t="inlineStr">
        <is>
          <t>Lương:12 Tr - 15 Tr VND</t>
        </is>
      </c>
      <c r="F14709" t="inlineStr">
        <is>
          <t>Hải Phòng</t>
        </is>
      </c>
      <c r="G14709" t="inlineStr">
        <is>
          <t>25-03-2026</t>
        </is>
      </c>
      <c r="H14709" t="inlineStr">
        <is>
          <t>25/03/2026</t>
        </is>
      </c>
      <c r="I14709" t="inlineStr">
        <is>
          <t>17/03/2026</t>
        </is>
      </c>
      <c r="J14709" t="inlineStr">
        <is>
          <t>Vận chuyển / Giao nhận / Kho vận, Lao động phổ thông, Sản xuất / Vận hành sản xuất</t>
        </is>
      </c>
      <c r="K14709" t="inlineStr">
        <is>
          <t>Trên 1 Năm</t>
        </is>
      </c>
      <c r="L14709" s="8">
        <f>HYPERLINK("https://careerviet.vn/vi/tim-viec-lam/truong-ca-kho.35C6957B.html","Xem chi tiết")</f>
        <v/>
      </c>
    </row>
    <row r="14710">
      <c r="B14710" s="9" t="n">
        <v>14708</v>
      </c>
      <c r="C14710" s="10" t="inlineStr">
        <is>
          <t>NHÂN VIÊN KHO &amp; GIAO NHẬN</t>
        </is>
      </c>
      <c r="D14710" s="10" t="inlineStr">
        <is>
          <t>CÔNG TY CỔ PHẦN THIẾT BỊ ĐIỆN VINSHINE</t>
        </is>
      </c>
      <c r="E14710" s="10" t="inlineStr">
        <is>
          <t>Lương:8 Tr - 10 Tr VND</t>
        </is>
      </c>
      <c r="F14710" s="10" t="inlineStr">
        <is>
          <t>Hải Phòng</t>
        </is>
      </c>
      <c r="G14710" s="10" t="inlineStr">
        <is>
          <t>31-03-2026</t>
        </is>
      </c>
      <c r="H14710" s="10" t="inlineStr">
        <is>
          <t>31/03/2026</t>
        </is>
      </c>
      <c r="I14710" s="10" t="inlineStr">
        <is>
          <t>17/03/2026</t>
        </is>
      </c>
      <c r="J14710" s="10" t="inlineStr">
        <is>
          <t>Ngành khác</t>
        </is>
      </c>
      <c r="K14710" s="10" t="inlineStr">
        <is>
          <t>Chưa có kinh nghiệm</t>
        </is>
      </c>
      <c r="L14710" s="11">
        <f>HYPERLINK("https://careerviet.vn/vi/tim-viec-lam/nhan-vien-kho-giao-nhan.35C6946C.html","Xem chi tiết")</f>
        <v/>
      </c>
      <c r="M14710" s="10" t="n"/>
    </row>
    <row r="14711">
      <c r="B14711" s="7" t="n">
        <v>14709</v>
      </c>
      <c r="C14711" t="inlineStr">
        <is>
          <t>Nhân viên kế hoạch</t>
        </is>
      </c>
      <c r="D14711" t="inlineStr">
        <is>
          <t>CÔNG TY CỔ PHẦN CÔNG NGHIỆP ĐÔNG HƯNG</t>
        </is>
      </c>
      <c r="E14711" t="inlineStr">
        <is>
          <t>Lương:10 Tr - 13 Tr VND</t>
        </is>
      </c>
      <c r="F14711" t="inlineStr">
        <is>
          <t>Hà Nội</t>
        </is>
      </c>
      <c r="G14711" t="inlineStr">
        <is>
          <t>31-03-2026</t>
        </is>
      </c>
      <c r="H14711" t="inlineStr">
        <is>
          <t>31/03/2026</t>
        </is>
      </c>
      <c r="I14711" t="inlineStr">
        <is>
          <t>17/03/2026</t>
        </is>
      </c>
      <c r="J14711" t="inlineStr">
        <is>
          <t>Quản lý chất lượng (QA/QC), Xuất nhập khẩu</t>
        </is>
      </c>
      <c r="K14711" t="inlineStr">
        <is>
          <t>Trên 1 Năm</t>
        </is>
      </c>
      <c r="L14711" s="8">
        <f>HYPERLINK("https://careerviet.vn/vi/tim-viec-lam/nhan-vien-ke-hoach.35C695E1.html","Xem chi tiết")</f>
        <v/>
      </c>
    </row>
    <row r="14712">
      <c r="B14712" s="9" t="n">
        <v>14710</v>
      </c>
      <c r="C14712" s="10" t="inlineStr">
        <is>
          <t>Sale Logistics Executive</t>
        </is>
      </c>
      <c r="D14712" s="10" t="inlineStr">
        <is>
          <t>Công ty TNHH X.E Việt Nam</t>
        </is>
      </c>
      <c r="E14712" s="10" t="inlineStr">
        <is>
          <t>Lương:15 Tr - 20 Tr VND</t>
        </is>
      </c>
      <c r="F14712" s="10" t="inlineStr">
        <is>
          <t>Hà Nội</t>
        </is>
      </c>
      <c r="G14712" s="10" t="inlineStr">
        <is>
          <t>25-03-2026</t>
        </is>
      </c>
      <c r="H14712" s="10" t="inlineStr">
        <is>
          <t>25/03/2026</t>
        </is>
      </c>
      <c r="I14712" s="10" t="inlineStr">
        <is>
          <t>17/03/2026</t>
        </is>
      </c>
      <c r="J14712" s="10" t="inlineStr">
        <is>
          <t>Vận chuyển / Giao nhận / Kho vận</t>
        </is>
      </c>
      <c r="K14712" s="10" t="inlineStr">
        <is>
          <t>1 - 3 Năm</t>
        </is>
      </c>
      <c r="L14712" s="11">
        <f>HYPERLINK("https://careerviet.vn/vi/tim-viec-lam/sale-logistics-executive.35C69570.html","Xem chi tiết")</f>
        <v/>
      </c>
      <c r="M14712" s="10" t="n"/>
    </row>
    <row r="14713">
      <c r="B14713" s="7" t="n">
        <v>14711</v>
      </c>
      <c r="C14713" t="inlineStr">
        <is>
          <t>Lào Cai - Tài Xế Kinh Doanh Hạng B2</t>
        </is>
      </c>
      <c r="D14713" t="inlineStr">
        <is>
          <t>Cty TNHH Yakult Việt Nam</t>
        </is>
      </c>
      <c r="E14713" t="inlineStr">
        <is>
          <t>Lương:10 Tr - 14 Tr VND</t>
        </is>
      </c>
      <c r="F14713" t="inlineStr">
        <is>
          <t>Lào Cai</t>
        </is>
      </c>
      <c r="G14713" t="inlineStr">
        <is>
          <t>30-04-2026</t>
        </is>
      </c>
      <c r="H14713" t="inlineStr">
        <is>
          <t>30/04/2026</t>
        </is>
      </c>
      <c r="I14713" t="inlineStr">
        <is>
          <t>17/03/2026</t>
        </is>
      </c>
      <c r="J14713" t="inlineStr">
        <is>
          <t>Ngành khác</t>
        </is>
      </c>
      <c r="K14713" t="inlineStr">
        <is>
          <t>1 - 2 Năm</t>
        </is>
      </c>
      <c r="L14713" s="8">
        <f>HYPERLINK("https://careerviet.vn/vi/tim-viec-lam/lao-cai-tai-xe-kinh-doanh-hang-b2.35C6951A.html","Xem chi tiết")</f>
        <v/>
      </c>
    </row>
    <row r="14714">
      <c r="B14714" s="9" t="n">
        <v>14712</v>
      </c>
      <c r="C14714" s="10" t="inlineStr">
        <is>
          <t>Chuyên Viên Pháp Chế Dự Án</t>
        </is>
      </c>
      <c r="D14714" s="10" t="inlineStr">
        <is>
          <t>CÔNG TY CỔ PHẦN HIRUNDO REALTY</t>
        </is>
      </c>
      <c r="E14714" s="10" t="inlineStr">
        <is>
          <t>Lương:Cạnh tranh</t>
        </is>
      </c>
      <c r="F14714" s="10" t="inlineStr">
        <is>
          <t>Hà Nội</t>
        </is>
      </c>
      <c r="G14714" s="10" t="inlineStr">
        <is>
          <t>31-03-2026</t>
        </is>
      </c>
      <c r="H14714" s="10" t="inlineStr">
        <is>
          <t>31/03/2026</t>
        </is>
      </c>
      <c r="I14714" s="10" t="inlineStr">
        <is>
          <t>17/03/2026</t>
        </is>
      </c>
      <c r="J14714" s="10" t="inlineStr">
        <is>
          <t>Luật / Pháp lý, Tài chính / Đầu tư, Bất động sản</t>
        </is>
      </c>
      <c r="K14714" s="10" t="inlineStr">
        <is>
          <t>Trên 5 Năm</t>
        </is>
      </c>
      <c r="L14714" s="11">
        <f>HYPERLINK("https://careerviet.vn/vi/tim-viec-lam/chuyen-vien-phap-che-du-an.35C69545.html","Xem chi tiết")</f>
        <v/>
      </c>
      <c r="M14714" s="10" t="n"/>
    </row>
    <row r="14715">
      <c r="B14715" s="7" t="n">
        <v>14713</v>
      </c>
      <c r="C14715" t="inlineStr">
        <is>
          <t>NHÂN VIÊN THU HỒI NỢ QUA ĐIỆN THOẠI - BOOK THẾ CHẤP (HÀ NỘI)</t>
        </is>
      </c>
      <c r="D14715" t="inlineStr">
        <is>
          <t>Công Ty Quản Lý Nợ Và Khai Thác Tài Sản - Ngân Hàng TMCP Quân Đội</t>
        </is>
      </c>
      <c r="E14715" t="inlineStr">
        <is>
          <t>Lương:Cạnh tranh</t>
        </is>
      </c>
      <c r="F14715" t="inlineStr">
        <is>
          <t>Hà Nội</t>
        </is>
      </c>
      <c r="G14715" t="inlineStr">
        <is>
          <t>25-03-2026</t>
        </is>
      </c>
      <c r="H14715" t="inlineStr">
        <is>
          <t>25/03/2026</t>
        </is>
      </c>
      <c r="I14715" t="inlineStr">
        <is>
          <t>17/03/2026</t>
        </is>
      </c>
      <c r="J14715" t="inlineStr">
        <is>
          <t>Tài chính / Đầu tư, Dịch vụ khách hàng, Luật / Pháp lý</t>
        </is>
      </c>
      <c r="K14715" t="inlineStr">
        <is>
          <t>N/A</t>
        </is>
      </c>
      <c r="L14715" s="8">
        <f>HYPERLINK("https://careerviet.vn/vi/tim-viec-lam/nhan-vien-thu-hoi-no-qua-dien-thoai-book-the-chap-ha-noi.35C6941C.html","Xem chi tiết")</f>
        <v/>
      </c>
    </row>
    <row r="14716">
      <c r="B14716" s="9" t="n">
        <v>14714</v>
      </c>
      <c r="C14716" s="10" t="inlineStr">
        <is>
          <t>Chuyên viên Đấu thầu (Xây dựng)</t>
        </is>
      </c>
      <c r="D14716" s="10" t="inlineStr">
        <is>
          <t>Công ty cổ phần Tập đoàn Danko</t>
        </is>
      </c>
      <c r="E14716" s="10" t="inlineStr">
        <is>
          <t>Lương:25 Tr - 30 Tr VND</t>
        </is>
      </c>
      <c r="F14716" s="10" t="inlineStr">
        <is>
          <t>Hà Nội</t>
        </is>
      </c>
      <c r="G14716" s="10" t="inlineStr">
        <is>
          <t>31-03-2026</t>
        </is>
      </c>
      <c r="H14716" s="10" t="inlineStr">
        <is>
          <t>31/03/2026</t>
        </is>
      </c>
      <c r="I14716" s="10" t="inlineStr">
        <is>
          <t>17/03/2026</t>
        </is>
      </c>
      <c r="J14716" s="10" t="inlineStr">
        <is>
          <t>Thu mua / Vật tư, Xây dựng, Bất động sản</t>
        </is>
      </c>
      <c r="K14716" s="10" t="inlineStr">
        <is>
          <t>Trên 5 Năm</t>
        </is>
      </c>
      <c r="L14716" s="11">
        <f>HYPERLINK("https://careerviet.vn/vi/tim-viec-lam/chuyen-vien-dau-thau-xay-dung.35C694B8.html","Xem chi tiết")</f>
        <v/>
      </c>
      <c r="M14716" s="10" t="n"/>
    </row>
    <row r="14717">
      <c r="B14717" s="7" t="n">
        <v>14715</v>
      </c>
      <c r="C14717" t="inlineStr">
        <is>
          <t>Nhân viên phụ kho</t>
        </is>
      </c>
      <c r="D14717" t="inlineStr">
        <is>
          <t>Công Ty TNHH Vật Tư Và Trang Thiết Bị Y Tế Hat -Med Việt Nam</t>
        </is>
      </c>
      <c r="E14717" t="inlineStr">
        <is>
          <t>Lương:7 Tr - 10 Tr VND</t>
        </is>
      </c>
      <c r="F14717" t="inlineStr">
        <is>
          <t>Hà Nội</t>
        </is>
      </c>
      <c r="G14717" t="inlineStr">
        <is>
          <t>04-04-2026</t>
        </is>
      </c>
      <c r="H14717" t="inlineStr">
        <is>
          <t>04/04/2026</t>
        </is>
      </c>
      <c r="I14717" t="inlineStr">
        <is>
          <t>17/03/2026</t>
        </is>
      </c>
      <c r="J14717" t="inlineStr">
        <is>
          <t>Y tế / Chăm sóc sức khỏe / Thẩm mỹ / Làm đẹp, Vận chuyển / Giao nhận / Kho vận, Ngành khác</t>
        </is>
      </c>
      <c r="K14717" t="inlineStr">
        <is>
          <t>Chưa có kinh nghiệm</t>
        </is>
      </c>
      <c r="L14717" s="8">
        <f>HYPERLINK("https://careerviet.vn/vi/tim-viec-lam/nhan-vien-phu-kho.35C69593.html","Xem chi tiết")</f>
        <v/>
      </c>
    </row>
    <row r="14718">
      <c r="B14718" s="9" t="n">
        <v>14716</v>
      </c>
      <c r="C14718" s="10" t="inlineStr">
        <is>
          <t>Trưởng phòng QLRR SHB Campuchia</t>
        </is>
      </c>
      <c r="D14718" s="10" t="inlineStr">
        <is>
          <t>Ngân Hàng TMCP Sài Gòn - Hà Nội ( SHB )</t>
        </is>
      </c>
      <c r="E14718" s="10" t="inlineStr">
        <is>
          <t>Lương:Cạnh tranh</t>
        </is>
      </c>
      <c r="F14718" s="10" t="inlineStr">
        <is>
          <t>Phnompenh</t>
        </is>
      </c>
      <c r="G14718" s="10" t="inlineStr">
        <is>
          <t>27-03-2026</t>
        </is>
      </c>
      <c r="H14718" s="10" t="inlineStr">
        <is>
          <t>27/03/2026</t>
        </is>
      </c>
      <c r="I14718" s="10" t="inlineStr">
        <is>
          <t>17/03/2026</t>
        </is>
      </c>
      <c r="J14718" s="10" t="inlineStr">
        <is>
          <t>Ngân hàng</t>
        </is>
      </c>
      <c r="K14718" s="10" t="inlineStr">
        <is>
          <t>Trên 7 Năm</t>
        </is>
      </c>
      <c r="L14718" s="11">
        <f>HYPERLINK("https://careerviet.vn/vi/tim-viec-lam/truong-phong-qlrr-shb-campuchia.35C694C4.html","Xem chi tiết")</f>
        <v/>
      </c>
      <c r="M14718" s="10" t="n"/>
    </row>
    <row r="14719">
      <c r="B14719" s="7" t="n">
        <v>14717</v>
      </c>
      <c r="C14719" t="inlineStr">
        <is>
          <t>Nhân Viên Kinh Doanh Máy Tính Lương cạnh tranh từ 12 - 20 triệu</t>
        </is>
      </c>
      <c r="D14719" t="inlineStr">
        <is>
          <t>CÔNG TY TNHH TMDV &amp; PTTT TÂN PHÁT</t>
        </is>
      </c>
      <c r="E14719" t="inlineStr">
        <is>
          <t>Lương:12 Tr - 20 Tr VND</t>
        </is>
      </c>
      <c r="F14719" t="inlineStr">
        <is>
          <t>Hà NộiHồ Chí Minh</t>
        </is>
      </c>
      <c r="G14719" t="inlineStr">
        <is>
          <t>30-03-2026</t>
        </is>
      </c>
      <c r="H14719" t="inlineStr">
        <is>
          <t>30/03/2026</t>
        </is>
      </c>
      <c r="I14719" t="inlineStr">
        <is>
          <t>17/03/2026</t>
        </is>
      </c>
      <c r="J14719" t="inlineStr">
        <is>
          <t>Bán hàng / Kinh doanh, Tư vấn, CNTT - Phần mềm</t>
        </is>
      </c>
      <c r="K14719" t="inlineStr">
        <is>
          <t>1 - 3 Năm</t>
        </is>
      </c>
      <c r="L14719" s="8">
        <f>HYPERLINK("https://careerviet.vn/vi/tim-viec-lam/nhan-vien-kinh-doanh-may-tinh-luong-canh-tranh-tu-12-20-trieu.35C694E9.html","Xem chi tiết")</f>
        <v/>
      </c>
    </row>
    <row r="14720">
      <c r="B14720" s="9" t="n">
        <v>14718</v>
      </c>
      <c r="C14720" s="10" t="inlineStr">
        <is>
          <t>KỸ SƯ QS - LÀM VIỆC TẠI DỰ ÁN</t>
        </is>
      </c>
      <c r="D14720" s="10" t="inlineStr">
        <is>
          <t>Công ty cổ phần xây dựng công nghiệp Megacon</t>
        </is>
      </c>
      <c r="E14720" s="10" t="inlineStr">
        <is>
          <t>Lương:16 Tr - 22 Tr VND</t>
        </is>
      </c>
      <c r="F14720" s="10" t="inlineStr">
        <is>
          <t>Hưng Yên</t>
        </is>
      </c>
      <c r="G14720" s="10" t="inlineStr">
        <is>
          <t>30-04-2026</t>
        </is>
      </c>
      <c r="H14720" s="10" t="inlineStr">
        <is>
          <t>30/04/2026</t>
        </is>
      </c>
      <c r="I14720" s="10" t="inlineStr">
        <is>
          <t>17/03/2026</t>
        </is>
      </c>
      <c r="J14720" s="10" t="inlineStr">
        <is>
          <t>Xây dựng</t>
        </is>
      </c>
      <c r="K14720" s="10" t="inlineStr">
        <is>
          <t>Trên 2 Năm</t>
        </is>
      </c>
      <c r="L14720" s="11">
        <f>HYPERLINK("https://careerviet.vn/vi/tim-viec-lam/ky-su-qs-lam-viec-tai-du-an.35C695E7.html","Xem chi tiết")</f>
        <v/>
      </c>
      <c r="M14720" s="10" t="n"/>
    </row>
    <row r="14721">
      <c r="B14721" s="7" t="n">
        <v>14719</v>
      </c>
      <c r="C14721" t="inlineStr">
        <is>
          <t>CÔNG NHÂN SẢN XUẤT ĐÈN LED - HẢI PHÒNG</t>
        </is>
      </c>
      <c r="D14721" t="inlineStr">
        <is>
          <t>CÔNG TY CỔ PHẦN THIẾT BỊ ĐIỆN VINSHINE</t>
        </is>
      </c>
      <c r="E14721" t="inlineStr">
        <is>
          <t>Lương:9,5 Tr - 10 Tr VND</t>
        </is>
      </c>
      <c r="F14721" t="inlineStr">
        <is>
          <t>Hải Phòng</t>
        </is>
      </c>
      <c r="G14721" t="inlineStr">
        <is>
          <t>31-03-2026</t>
        </is>
      </c>
      <c r="H14721" t="inlineStr">
        <is>
          <t>31/03/2026</t>
        </is>
      </c>
      <c r="I14721" t="inlineStr">
        <is>
          <t>17/03/2026</t>
        </is>
      </c>
      <c r="J14721" t="inlineStr">
        <is>
          <t>Sản xuất / Vận hành sản xuất</t>
        </is>
      </c>
      <c r="K14721" t="inlineStr">
        <is>
          <t>N/A</t>
        </is>
      </c>
      <c r="L14721" s="8">
        <f>HYPERLINK("https://careerviet.vn/vi/tim-viec-lam/cong-nhan-san-xuat-den-led-hai-phong.35C6946D.html","Xem chi tiết")</f>
        <v/>
      </c>
    </row>
    <row r="14722">
      <c r="B14722" s="9" t="n">
        <v>14720</v>
      </c>
      <c r="C14722" s="10" t="inlineStr">
        <is>
          <t>Nhân viên kinh doanh HN</t>
        </is>
      </c>
      <c r="D14722" s="10" t="inlineStr">
        <is>
          <t>CÔNG TY TNHH MTV KỸ THUẬT TÚ LỘC</t>
        </is>
      </c>
      <c r="E14722" s="10" t="inlineStr">
        <is>
          <t>Lương:10 Tr - 15 Tr VND</t>
        </is>
      </c>
      <c r="F14722" s="10" t="inlineStr">
        <is>
          <t>Hà Nội</t>
        </is>
      </c>
      <c r="G14722" s="10" t="inlineStr">
        <is>
          <t>24-03-2026</t>
        </is>
      </c>
      <c r="H14722" s="10" t="inlineStr">
        <is>
          <t>24/03/2026</t>
        </is>
      </c>
      <c r="I14722" s="10" t="inlineStr">
        <is>
          <t>17/03/2026</t>
        </is>
      </c>
      <c r="J14722" s="10" t="inlineStr">
        <is>
          <t>Bán hàng / Kinh doanh, Cơ khí / Ô tô / Tự động hóa</t>
        </is>
      </c>
      <c r="K14722" s="10" t="inlineStr">
        <is>
          <t>N/A</t>
        </is>
      </c>
      <c r="L14722" s="11">
        <f>HYPERLINK("https://careerviet.vn/vi/tim-viec-lam/nhan-vien-kinh-doanh-hn.35C694EA.html","Xem chi tiết")</f>
        <v/>
      </c>
      <c r="M14722" s="10" t="n"/>
    </row>
    <row r="14723">
      <c r="B14723" s="7" t="n">
        <v>14721</v>
      </c>
      <c r="C14723" t="inlineStr">
        <is>
          <t>Chuyên viên, Chuyên viên cao cấp Quản trị rủi ro tích hợp - Integrated Risk Management Specialist, Senior Specialist - Khối Quản trị rủi ro (HO26.49)</t>
        </is>
      </c>
      <c r="D14723" t="inlineStr">
        <is>
          <t>Ngân Hàng TMCP Quân Đội</t>
        </is>
      </c>
      <c r="E14723" t="inlineStr">
        <is>
          <t>Lương:Cạnh tranh</t>
        </is>
      </c>
      <c r="F14723" t="inlineStr">
        <is>
          <t>Hà Nội</t>
        </is>
      </c>
      <c r="G14723" t="inlineStr">
        <is>
          <t>26-03-2026</t>
        </is>
      </c>
      <c r="H14723" t="inlineStr">
        <is>
          <t>26/03/2026</t>
        </is>
      </c>
      <c r="I14723" t="inlineStr">
        <is>
          <t>17/03/2026</t>
        </is>
      </c>
      <c r="J14723" t="inlineStr">
        <is>
          <t>Ngân hàng, Tài chính / Đầu tư, Luật / Pháp lý</t>
        </is>
      </c>
      <c r="K14723" t="inlineStr">
        <is>
          <t>Trên 2 Năm</t>
        </is>
      </c>
      <c r="L14723" s="8">
        <f>HYPERLINK("https://careerviet.vn/vi/tim-viec-lam/chuyen-vien-chuyen-vien-cao-cap-quan-tri-rui-ro-tich-hop-integrated-risk-management-specialist-senior-specialist-khoi-quan-tri-rui-ro-ho26-49.35C6989B.html","Xem chi tiết")</f>
        <v/>
      </c>
    </row>
    <row r="14724">
      <c r="B14724" s="9" t="n">
        <v>14722</v>
      </c>
      <c r="C14724" s="10" t="inlineStr">
        <is>
          <t>KỸ SƯ DỰ TOÁN/ KỸ SƯ QS (XDDD - GIAO THÔNG)</t>
        </is>
      </c>
      <c r="D14724" s="10" t="inlineStr">
        <is>
          <t>CÔNG TY TNHH SX XD TM ĐẠI Á CHÂU</t>
        </is>
      </c>
      <c r="E14724" s="10" t="inlineStr">
        <is>
          <t>Lương:14 Tr - 18 Tr VND</t>
        </is>
      </c>
      <c r="F14724" s="10" t="inlineStr">
        <is>
          <t>Hồ Chí Minh</t>
        </is>
      </c>
      <c r="G14724" s="10" t="inlineStr">
        <is>
          <t>25-03-2026</t>
        </is>
      </c>
      <c r="H14724" s="10" t="inlineStr">
        <is>
          <t>25/03/2026</t>
        </is>
      </c>
      <c r="I14724" s="10" t="inlineStr">
        <is>
          <t>17/03/2026</t>
        </is>
      </c>
      <c r="J14724" s="10" t="inlineStr">
        <is>
          <t>Xây dựng, Quản lý chất lượng (QA/QC), Kiến trúc</t>
        </is>
      </c>
      <c r="K14724" s="10" t="inlineStr">
        <is>
          <t>1 - 5 Năm</t>
        </is>
      </c>
      <c r="L14724" s="11">
        <f>HYPERLINK("https://careerviet.vn/vi/tim-viec-lam/ky-su-du-toan-ky-su-qs-xddd-giao-thong.35C6952B.html","Xem chi tiết")</f>
        <v/>
      </c>
      <c r="M14724" s="10" t="n"/>
    </row>
    <row r="14725">
      <c r="B14725" s="7" t="n">
        <v>14723</v>
      </c>
      <c r="C14725" t="inlineStr">
        <is>
          <t>Nhân viên phụ trách khu vực bếp &amp; rửa dụng cụ</t>
        </is>
      </c>
      <c r="D14725" t="inlineStr">
        <is>
          <t>Công Ty Cổ Phần Y Tế Việt Tiến</t>
        </is>
      </c>
      <c r="E14725" t="inlineStr">
        <is>
          <t>Lương:Cạnh tranh</t>
        </is>
      </c>
      <c r="F14725" t="inlineStr">
        <is>
          <t>Hồ Chí Minh</t>
        </is>
      </c>
      <c r="G14725" t="inlineStr">
        <is>
          <t>27-03-2026</t>
        </is>
      </c>
      <c r="H14725" t="inlineStr">
        <is>
          <t>27/03/2026</t>
        </is>
      </c>
      <c r="I14725" t="inlineStr">
        <is>
          <t>17/03/2026</t>
        </is>
      </c>
      <c r="J14725" t="inlineStr">
        <is>
          <t>Nhà hàng / Khách sạn</t>
        </is>
      </c>
      <c r="K14725" t="inlineStr">
        <is>
          <t>1 - 3 Năm</t>
        </is>
      </c>
      <c r="L14725" s="8">
        <f>HYPERLINK("https://careerviet.vn/vi/tim-viec-lam/nhan-vien-phu-trach-khu-vuc-bep-rua-dung-cu.35C69564.html","Xem chi tiết")</f>
        <v/>
      </c>
    </row>
    <row r="14726">
      <c r="B14726" s="9" t="n">
        <v>14724</v>
      </c>
      <c r="C14726" s="10" t="inlineStr">
        <is>
          <t>Giám sát vận tải</t>
        </is>
      </c>
      <c r="D14726" s="10" t="inlineStr">
        <is>
          <t>Viet Han Concrete JSC.,</t>
        </is>
      </c>
      <c r="E14726" s="10" t="inlineStr">
        <is>
          <t>Lương:Cạnh tranh</t>
        </is>
      </c>
      <c r="F14726" s="10" t="inlineStr">
        <is>
          <t>Hồ Chí Minh</t>
        </is>
      </c>
      <c r="G14726" s="10" t="inlineStr">
        <is>
          <t>25-03-2026</t>
        </is>
      </c>
      <c r="H14726" s="10" t="inlineStr">
        <is>
          <t>25/03/2026</t>
        </is>
      </c>
      <c r="I14726" s="10" t="inlineStr">
        <is>
          <t>17/03/2026</t>
        </is>
      </c>
      <c r="J14726" s="10" t="inlineStr">
        <is>
          <t>Vận chuyển / Giao nhận / Kho vận</t>
        </is>
      </c>
      <c r="K14726" s="10" t="inlineStr">
        <is>
          <t>2 - 5 Năm</t>
        </is>
      </c>
      <c r="L14726" s="11">
        <f>HYPERLINK("https://careerviet.vn/vi/tim-viec-lam/giam-sat-van-tai.35C69482.html","Xem chi tiết")</f>
        <v/>
      </c>
      <c r="M14726" s="10" t="n"/>
    </row>
    <row r="14727">
      <c r="B14727" s="7" t="n">
        <v>14725</v>
      </c>
      <c r="C14727" t="inlineStr">
        <is>
          <t>Nhân viên bán hàng - Hà Đông</t>
        </is>
      </c>
      <c r="D14727" t="inlineStr">
        <is>
          <t>Công ty CP Toshiko Việt Nam</t>
        </is>
      </c>
      <c r="E14727" t="inlineStr">
        <is>
          <t>Lương:12 Tr - 20 Tr VND</t>
        </is>
      </c>
      <c r="F14727" t="inlineStr">
        <is>
          <t>Hà Nội</t>
        </is>
      </c>
      <c r="G14727" t="inlineStr">
        <is>
          <t>26-03-2026</t>
        </is>
      </c>
      <c r="H14727" t="inlineStr">
        <is>
          <t>26/03/2026</t>
        </is>
      </c>
      <c r="I14727" t="inlineStr">
        <is>
          <t>17/03/2026</t>
        </is>
      </c>
      <c r="J14727" t="inlineStr">
        <is>
          <t>Bán lẻ / Bán sỉ, Bán hàng / Kinh doanh, Tư vấn</t>
        </is>
      </c>
      <c r="K14727" t="inlineStr">
        <is>
          <t>1 - 2 Năm</t>
        </is>
      </c>
      <c r="L14727" s="8">
        <f>HYPERLINK("https://careerviet.vn/vi/tim-viec-lam/nhan-vien-ban-hang-ha-dong.35C69805.html","Xem chi tiết")</f>
        <v/>
      </c>
    </row>
    <row r="14728">
      <c r="B14728" s="9" t="n">
        <v>14726</v>
      </c>
      <c r="C14728" s="10" t="inlineStr">
        <is>
          <t>Kiểm toán viên (mảng Tín dụng, Tài chính, Hoạt động) - Auditor (Credit, Finance, Operation) - Cơ quan Kiểm toán nội bộ (HO26.54)</t>
        </is>
      </c>
      <c r="D14728" s="10" t="inlineStr">
        <is>
          <t>Ngân Hàng TMCP Quân Đội</t>
        </is>
      </c>
      <c r="E14728" s="10" t="inlineStr">
        <is>
          <t>Lương:Cạnh tranh</t>
        </is>
      </c>
      <c r="F14728" s="10" t="inlineStr">
        <is>
          <t>Hà Nội</t>
        </is>
      </c>
      <c r="G14728" s="10" t="inlineStr">
        <is>
          <t>26-03-2026</t>
        </is>
      </c>
      <c r="H14728" s="10" t="inlineStr">
        <is>
          <t>26/03/2026</t>
        </is>
      </c>
      <c r="I14728" s="10" t="inlineStr">
        <is>
          <t>17/03/2026</t>
        </is>
      </c>
      <c r="J14728" s="10" t="inlineStr">
        <is>
          <t>Ngân hàng, Tài chính / Đầu tư, Kế toán / Kiểm toán</t>
        </is>
      </c>
      <c r="K14728" s="10" t="inlineStr">
        <is>
          <t>Trên 3 Năm</t>
        </is>
      </c>
      <c r="L14728" s="11">
        <f>HYPERLINK("https://careerviet.vn/vi/tim-viec-lam/kiem-toan-vien-mang-tin-dung-tai-chinh-hoat-dong-auditor-credit-finance-operation-co-quan-kiem-toan-noi-bo-ho26-54.35C698A1.html","Xem chi tiết")</f>
        <v/>
      </c>
      <c r="M14728" s="10" t="n"/>
    </row>
    <row r="14729">
      <c r="B14729" s="7" t="n">
        <v>14727</v>
      </c>
      <c r="C14729" t="inlineStr">
        <is>
          <t>Kế toán tổng hợp</t>
        </is>
      </c>
      <c r="D14729" t="inlineStr">
        <is>
          <t>Công ty Cổ phần công nghệ T-Tech Việt Nam</t>
        </is>
      </c>
      <c r="E14729" t="inlineStr">
        <is>
          <t>Lương:18 Tr - 25 Tr VND</t>
        </is>
      </c>
      <c r="F14729" t="inlineStr">
        <is>
          <t>Hà Nội</t>
        </is>
      </c>
      <c r="G14729" t="inlineStr">
        <is>
          <t>3</t>
        </is>
      </c>
      <c r="H14729" t="inlineStr">
        <is>
          <t>20/03/2026</t>
        </is>
      </c>
      <c r="I14729" t="inlineStr">
        <is>
          <t>17/03/2026</t>
        </is>
      </c>
      <c r="J14729" t="inlineStr">
        <is>
          <t>Kế toán / Kiểm toán, Tài chính / Đầu tư, Ngân hàng</t>
        </is>
      </c>
      <c r="K14729" t="inlineStr">
        <is>
          <t>3 - 5 Năm</t>
        </is>
      </c>
      <c r="L14729" s="8">
        <f>HYPERLINK("https://careerviet.vn/vi/tim-viec-lam/ke-toan-tong-hop.35C69476.html","Xem chi tiết")</f>
        <v/>
      </c>
    </row>
    <row r="14730">
      <c r="B14730" s="9" t="n">
        <v>14728</v>
      </c>
      <c r="C14730" s="10" t="inlineStr">
        <is>
          <t>Engineer, Production Engineering</t>
        </is>
      </c>
      <c r="D14730" s="10" t="inlineStr">
        <is>
          <t>Công Ty TNHH Metkraft</t>
        </is>
      </c>
      <c r="E14730" s="10" t="inlineStr">
        <is>
          <t>Lương:Cạnh tranh</t>
        </is>
      </c>
      <c r="F14730" s="10" t="inlineStr">
        <is>
          <t>Hồ Chí Minh</t>
        </is>
      </c>
      <c r="G14730" s="10" t="inlineStr">
        <is>
          <t>31-03-2026</t>
        </is>
      </c>
      <c r="H14730" s="10" t="inlineStr">
        <is>
          <t>31/03/2026</t>
        </is>
      </c>
      <c r="I14730" s="10" t="inlineStr">
        <is>
          <t>17/03/2026</t>
        </is>
      </c>
      <c r="J14730" s="10" t="inlineStr">
        <is>
          <t>Cơ khí / Ô tô / Tự động hóa, Sản xuất / Vận hành sản xuất</t>
        </is>
      </c>
      <c r="K14730" s="10" t="inlineStr">
        <is>
          <t>3 - 7 Năm</t>
        </is>
      </c>
      <c r="L14730" s="11">
        <f>HYPERLINK("https://careerviet.vn/vi/tim-viec-lam/engineer-production-engineering.35C6846A.html","Xem chi tiết")</f>
        <v/>
      </c>
      <c r="M14730" s="10" t="n"/>
    </row>
    <row r="14731">
      <c r="B14731" s="7" t="n">
        <v>14729</v>
      </c>
      <c r="C14731" t="inlineStr">
        <is>
          <t>Giáo viên Mầm non</t>
        </is>
      </c>
      <c r="D14731" t="inlineStr">
        <is>
          <t>Him Lam International School - Trường Quốc Tế Him Lam</t>
        </is>
      </c>
      <c r="E14731" t="inlineStr">
        <is>
          <t>Lương:Cạnh tranh</t>
        </is>
      </c>
      <c r="F14731" t="inlineStr">
        <is>
          <t>Bắc Ninh</t>
        </is>
      </c>
      <c r="G14731" t="inlineStr">
        <is>
          <t>27-03-2026</t>
        </is>
      </c>
      <c r="H14731" t="inlineStr">
        <is>
          <t>27/03/2026</t>
        </is>
      </c>
      <c r="I14731" t="inlineStr">
        <is>
          <t>17/03/2026</t>
        </is>
      </c>
      <c r="J14731" t="inlineStr">
        <is>
          <t>Giáo dục / Đào tạo</t>
        </is>
      </c>
      <c r="K14731" t="inlineStr">
        <is>
          <t>1 - 3 Năm</t>
        </is>
      </c>
      <c r="L14731" s="8">
        <f>HYPERLINK("https://careerviet.vn/vi/tim-viec-lam/giao-vien-mam-non.35C6955B.html","Xem chi tiết")</f>
        <v/>
      </c>
    </row>
    <row r="14732">
      <c r="B14732" s="9" t="n">
        <v>14730</v>
      </c>
      <c r="C14732" s="10" t="inlineStr">
        <is>
          <t>Quality Manager (IATF16949)</t>
        </is>
      </c>
      <c r="D14732" s="10" t="inlineStr">
        <is>
          <t>Headhunter HRchannels Group</t>
        </is>
      </c>
      <c r="E14732" s="10" t="inlineStr">
        <is>
          <t>Lương:40 Tr - 50 Tr VND</t>
        </is>
      </c>
      <c r="F14732" s="10" t="inlineStr">
        <is>
          <t>Hồ Chí MinhBình DươngĐồng Nai</t>
        </is>
      </c>
      <c r="G14732" s="10" t="inlineStr">
        <is>
          <t>25-03-2026</t>
        </is>
      </c>
      <c r="H14732" s="10" t="inlineStr">
        <is>
          <t>25/03/2026</t>
        </is>
      </c>
      <c r="I14732" s="10" t="inlineStr">
        <is>
          <t>17/03/2026</t>
        </is>
      </c>
      <c r="J14732" s="10" t="inlineStr">
        <is>
          <t>Quản lý chất lượng (QA/QC), Cơ khí / Ô tô / Tự động hóa, Sản xuất / Vận hành sản xuất</t>
        </is>
      </c>
      <c r="K14732" s="10" t="inlineStr">
        <is>
          <t>3 - 5 Năm</t>
        </is>
      </c>
      <c r="L14732" s="11">
        <f>HYPERLINK("https://careerviet.vn/vi/tim-viec-lam/quality-manager-iatf16949.35C697D6.html","Xem chi tiết")</f>
        <v/>
      </c>
      <c r="M14732" s="10" t="n"/>
    </row>
    <row r="14733">
      <c r="B14733" s="7" t="n">
        <v>14731</v>
      </c>
      <c r="C14733" t="inlineStr">
        <is>
          <t>HCM - Kỹ Thuật Viên Spa - Không Yêu Cầu Kinh Nghiệm</t>
        </is>
      </c>
      <c r="D14733" t="inlineStr">
        <is>
          <t>Công ty TNHH Thiên Thủy Mộc</t>
        </is>
      </c>
      <c r="E14733" t="inlineStr">
        <is>
          <t>Lương:10 Tr - 20 Tr VND</t>
        </is>
      </c>
      <c r="F14733" t="inlineStr">
        <is>
          <t>Hồ Chí Minh</t>
        </is>
      </c>
      <c r="G14733" t="inlineStr">
        <is>
          <t>26-03-2026</t>
        </is>
      </c>
      <c r="H14733" t="inlineStr">
        <is>
          <t>26/03/2026</t>
        </is>
      </c>
      <c r="I14733" t="inlineStr">
        <is>
          <t>17/03/2026</t>
        </is>
      </c>
      <c r="J14733" t="inlineStr">
        <is>
          <t>Y tế / Chăm sóc sức khỏe / Thẩm mỹ / Làm đẹp</t>
        </is>
      </c>
      <c r="K14733" t="inlineStr">
        <is>
          <t>N/A</t>
        </is>
      </c>
      <c r="L14733" s="8">
        <f>HYPERLINK("https://careerviet.vn/vi/tim-viec-lam/hcm-ky-thuat-vien-spa-khong-yeu-cau-kinh-nghiem.35C69865.html","Xem chi tiết")</f>
        <v/>
      </c>
    </row>
    <row r="14734">
      <c r="B14734" s="9" t="n">
        <v>14732</v>
      </c>
      <c r="C14734" s="10" t="inlineStr">
        <is>
          <t>Chuyên viên cấp cao/Chuyên gia Quan hệ Khách hàng Doanh nghiệp Lớn - Trung tâm Khách hàng Doanh nghiệp Lớn - Khối Khách hàng Doanh nghiệp</t>
        </is>
      </c>
      <c r="D14734" s="10" t="inlineStr">
        <is>
          <t>Ngân Hàng TMCP Quốc Dân (NCB)</t>
        </is>
      </c>
      <c r="E14734" s="10" t="inlineStr">
        <is>
          <t>Lương:Cạnh tranh</t>
        </is>
      </c>
      <c r="F14734" s="10" t="inlineStr">
        <is>
          <t>Hồ Chí Minh</t>
        </is>
      </c>
      <c r="G14734" s="10" t="inlineStr">
        <is>
          <t>25-03-2026</t>
        </is>
      </c>
      <c r="H14734" s="10" t="inlineStr">
        <is>
          <t>25/03/2026</t>
        </is>
      </c>
      <c r="I14734" s="10" t="inlineStr">
        <is>
          <t>17/03/2026</t>
        </is>
      </c>
      <c r="J14734" s="10" t="inlineStr">
        <is>
          <t>Ngân hàng, Dịch vụ khách hàng, Bán hàng / Kinh doanh</t>
        </is>
      </c>
      <c r="K14734" s="10" t="inlineStr">
        <is>
          <t>Trên 7 Năm</t>
        </is>
      </c>
      <c r="L14734" s="11">
        <f>HYPERLINK("https://careerviet.vn/vi/tim-viec-lam/chuyen-vien-cap-cao-chuyen-gia-quan-he-khach-hang-doanh-nghiep-lon-trung-tam-khach-hang-doanh-nghiep-lon-khoi-khach-hang-doanh-nghiep.35C69813.html","Xem chi tiết")</f>
        <v/>
      </c>
      <c r="M14734" s="10" t="n"/>
    </row>
    <row r="14735">
      <c r="B14735" s="7" t="n">
        <v>14733</v>
      </c>
      <c r="C14735" t="inlineStr">
        <is>
          <t>Chuyên Viên Digital Marketing (Google Ads)</t>
        </is>
      </c>
      <c r="D14735" t="inlineStr">
        <is>
          <t>Công Ty TNHH XNK Phát Triển Đông Dương</t>
        </is>
      </c>
      <c r="E14735" t="inlineStr">
        <is>
          <t>Lương:15 Tr - 25 Tr VND</t>
        </is>
      </c>
      <c r="F14735" t="inlineStr">
        <is>
          <t>Hồ Chí Minh</t>
        </is>
      </c>
      <c r="G14735" t="inlineStr">
        <is>
          <t>31-03-2026</t>
        </is>
      </c>
      <c r="H14735" t="inlineStr">
        <is>
          <t>31/03/2026</t>
        </is>
      </c>
      <c r="I14735" t="inlineStr">
        <is>
          <t>17/03/2026</t>
        </is>
      </c>
      <c r="J14735" t="inlineStr">
        <is>
          <t>Tiếp thị / Marketing, Tiếp thị trực tuyến, Quảng cáo / Đối ngoại / Truyền Thông</t>
        </is>
      </c>
      <c r="K14735" t="inlineStr">
        <is>
          <t>2 - 5 Năm</t>
        </is>
      </c>
      <c r="L14735" s="8">
        <f>HYPERLINK("https://careerviet.vn/vi/tim-viec-lam/chuyen-vien-digital-marketing-google-ads.35C697F5.html","Xem chi tiết")</f>
        <v/>
      </c>
    </row>
    <row r="14736">
      <c r="B14736" s="9" t="n">
        <v>14734</v>
      </c>
      <c r="C14736" s="10" t="inlineStr">
        <is>
          <t>Kiến Trúc Sư Quy Hoạch Cảnh Quan</t>
        </is>
      </c>
      <c r="D14736" s="10" t="inlineStr">
        <is>
          <t>CÔNG TY TNHH KHÔNG GIAN A&amp;A</t>
        </is>
      </c>
      <c r="E14736" s="10" t="inlineStr">
        <is>
          <t>Lương:10 Tr - 14 Tr VND</t>
        </is>
      </c>
      <c r="F14736" s="10" t="inlineStr">
        <is>
          <t>Hồ Chí Minh</t>
        </is>
      </c>
      <c r="G14736" s="10" t="inlineStr">
        <is>
          <t>24-03-2026</t>
        </is>
      </c>
      <c r="H14736" s="10" t="inlineStr">
        <is>
          <t>24/03/2026</t>
        </is>
      </c>
      <c r="I14736" s="10" t="inlineStr">
        <is>
          <t>17/03/2026</t>
        </is>
      </c>
      <c r="J14736" s="10" t="inlineStr">
        <is>
          <t>Mỹ thuật / Nghệ thuật / Thiết kế, Nội ngoại thất, Kiến trúc</t>
        </is>
      </c>
      <c r="K14736" s="10" t="inlineStr">
        <is>
          <t>1 - 3 Năm</t>
        </is>
      </c>
      <c r="L14736" s="11">
        <f>HYPERLINK("https://careerviet.vn/vi/tim-viec-lam/kien-truc-su-quy-hoach-canh-quan.35C69874.html","Xem chi tiết")</f>
        <v/>
      </c>
      <c r="M14736" s="10" t="n"/>
    </row>
    <row r="14737">
      <c r="B14737" s="7" t="n">
        <v>14735</v>
      </c>
      <c r="C14737" t="inlineStr">
        <is>
          <t>NHÂN VIÊN THỦ KHO</t>
        </is>
      </c>
      <c r="D14737" t="inlineStr">
        <is>
          <t>Công Ty TNHH May Thêu Giày An Phước</t>
        </is>
      </c>
      <c r="E14737" t="inlineStr">
        <is>
          <t>Lương:Cạnh tranh</t>
        </is>
      </c>
      <c r="F14737" t="inlineStr">
        <is>
          <t>Hồ Chí Minh</t>
        </is>
      </c>
      <c r="G14737" t="inlineStr">
        <is>
          <t>10-03-2026</t>
        </is>
      </c>
      <c r="H14737" t="inlineStr">
        <is>
          <t>12/03/2026</t>
        </is>
      </c>
      <c r="I14737" t="inlineStr">
        <is>
          <t>17/03/2026</t>
        </is>
      </c>
      <c r="J14737" t="inlineStr">
        <is>
          <t>Vận chuyển / Giao nhận / Kho vận, Thu mua / Vật tư, Quản lý chất lượng (QA/QC)</t>
        </is>
      </c>
      <c r="K14737" t="inlineStr">
        <is>
          <t>5 - 10 Năm</t>
        </is>
      </c>
      <c r="L14737" s="8">
        <f>HYPERLINK("https://careerviet.vn/vi/tim-viec-lam/nhan-vien-thu-kho.35C695AD.html","Xem chi tiết")</f>
        <v/>
      </c>
    </row>
    <row r="14738">
      <c r="B14738" s="9" t="n">
        <v>14736</v>
      </c>
      <c r="C14738" s="10" t="inlineStr">
        <is>
          <t>Merchandiser (Quản lý đơn hàng bán)</t>
        </is>
      </c>
      <c r="D14738" s="10" t="inlineStr">
        <is>
          <t>CÔNG TY TNHH THƯƠNG MẠI - DỊCH VỤ - SẢN XUẤT THỜI TRANG THANH HÀ H.A</t>
        </is>
      </c>
      <c r="E14738" s="10" t="inlineStr">
        <is>
          <t>Lương:10 Tr - 20 Tr VND</t>
        </is>
      </c>
      <c r="F14738" s="10" t="inlineStr">
        <is>
          <t>Hà Nội</t>
        </is>
      </c>
      <c r="G14738" s="10" t="inlineStr">
        <is>
          <t>04-04-2026</t>
        </is>
      </c>
      <c r="H14738" s="10" t="inlineStr">
        <is>
          <t>04/04/2026</t>
        </is>
      </c>
      <c r="I14738" s="10" t="inlineStr">
        <is>
          <t>17/03/2026</t>
        </is>
      </c>
      <c r="J14738" s="10" t="inlineStr">
        <is>
          <t>Dệt may / Da giày / Thời trang</t>
        </is>
      </c>
      <c r="K14738" s="10" t="inlineStr">
        <is>
          <t>Lên đến 2 Năm</t>
        </is>
      </c>
      <c r="L14738" s="11">
        <f>HYPERLINK("https://careerviet.vn/vi/tim-viec-lam/merchandiser-quan-ly-don-hang-ban.35C69835.html","Xem chi tiết")</f>
        <v/>
      </c>
      <c r="M14738" s="10" t="n"/>
    </row>
    <row r="14739">
      <c r="B14739" s="7" t="n">
        <v>14737</v>
      </c>
      <c r="C14739" t="inlineStr">
        <is>
          <t>Trưởng phòng Nghiên cứu và phát triển sản phẩm</t>
        </is>
      </c>
      <c r="D14739" t="inlineStr">
        <is>
          <t>Công Ty Cổ Phần Quốc Tế Sơn Hà</t>
        </is>
      </c>
      <c r="E14739" t="inlineStr">
        <is>
          <t>Lương:Cạnh tranh</t>
        </is>
      </c>
      <c r="F14739" t="inlineStr">
        <is>
          <t>Hà Nội</t>
        </is>
      </c>
      <c r="G14739" t="inlineStr">
        <is>
          <t>27-03-2026</t>
        </is>
      </c>
      <c r="H14739" t="inlineStr">
        <is>
          <t>27/03/2026</t>
        </is>
      </c>
      <c r="I14739" t="inlineStr">
        <is>
          <t>17/03/2026</t>
        </is>
      </c>
      <c r="J14739" t="inlineStr">
        <is>
          <t>Hàng gia dụng / Chăm sóc cá nhân, Cơ khí / Ô tô / Tự động hóa, Quản lý điều hành</t>
        </is>
      </c>
      <c r="K14739" t="inlineStr">
        <is>
          <t>2 - 3 Năm</t>
        </is>
      </c>
      <c r="L14739" s="8">
        <f>HYPERLINK("https://careerviet.vn/vi/tim-viec-lam/truong-phong-nghien-cuu-va-phat-trien-san-pham.35C696C0.html","Xem chi tiết")</f>
        <v/>
      </c>
    </row>
    <row r="14740">
      <c r="B14740" s="9" t="n">
        <v>14738</v>
      </c>
      <c r="C14740" s="10" t="inlineStr">
        <is>
          <t>KỸ SƯ XÂY DỰNG CÔNG TRÌNH GIAO THÔNG (không yc kinh nghiệm)</t>
        </is>
      </c>
      <c r="D14740" s="10" t="inlineStr">
        <is>
          <t>Công ty cổ phần Xây dựng Công trình IPC</t>
        </is>
      </c>
      <c r="E14740" s="10" t="inlineStr">
        <is>
          <t>Lương:12 Tr - 25 Tr VND</t>
        </is>
      </c>
      <c r="F14740" s="10" t="inlineStr">
        <is>
          <t>Hà Nội</t>
        </is>
      </c>
      <c r="G14740" s="10" t="inlineStr">
        <is>
          <t>10-03-2026</t>
        </is>
      </c>
      <c r="H14740" s="10" t="inlineStr">
        <is>
          <t>15/03/2026</t>
        </is>
      </c>
      <c r="I14740" s="10" t="inlineStr">
        <is>
          <t>17/03/2026</t>
        </is>
      </c>
      <c r="J14740" s="10" t="inlineStr">
        <is>
          <t>Xây dựng, Kiến trúc, Trắc địa / Địa Chất</t>
        </is>
      </c>
      <c r="K14740" s="10" t="inlineStr">
        <is>
          <t>N/A</t>
        </is>
      </c>
      <c r="L14740" s="11">
        <f>HYPERLINK("https://careerviet.vn/vi/tim-viec-lam/ky-su-xay-dung-cong-trinh-giao-thong-khong-yc-kinh-nghiem.35C69548.html","Xem chi tiết")</f>
        <v/>
      </c>
      <c r="M14740" s="10" t="n"/>
    </row>
    <row r="14741">
      <c r="B14741" s="7" t="n">
        <v>14739</v>
      </c>
      <c r="C14741" t="inlineStr">
        <is>
          <t>Medical Aesthetics Doctor (Bác sĩ Thẩm Mỹ Nội Khoa)</t>
        </is>
      </c>
      <c r="D14741" t="inlineStr">
        <is>
          <t>GLO365 CLINIC</t>
        </is>
      </c>
      <c r="E14741" t="inlineStr">
        <is>
          <t>Lương:Cạnh tranh</t>
        </is>
      </c>
      <c r="F14741" t="inlineStr">
        <is>
          <t>Hồ Chí Minh</t>
        </is>
      </c>
      <c r="G14741" t="inlineStr">
        <is>
          <t>25-03-2026</t>
        </is>
      </c>
      <c r="H14741" t="inlineStr">
        <is>
          <t>25/03/2026</t>
        </is>
      </c>
      <c r="I14741" t="inlineStr">
        <is>
          <t>17/03/2026</t>
        </is>
      </c>
      <c r="J14741" t="inlineStr">
        <is>
          <t>Y tế / Chăm sóc sức khỏe / Thẩm mỹ / Làm đẹp</t>
        </is>
      </c>
      <c r="K14741" t="inlineStr">
        <is>
          <t>2 - 3 Năm</t>
        </is>
      </c>
      <c r="L14741" s="8">
        <f>HYPERLINK("https://careerviet.vn/vi/tim-viec-lam/medical-aesthetics-doctor-bac-si-tham-my-noi-khoa.35C697F1.html","Xem chi tiết")</f>
        <v/>
      </c>
    </row>
    <row r="14742">
      <c r="B14742" s="9" t="n">
        <v>14740</v>
      </c>
      <c r="C14742" s="10" t="inlineStr">
        <is>
          <t>[ĐỒNG NAI] Giám Sát Rạp Chiếu Phim</t>
        </is>
      </c>
      <c r="D14742" s="10" t="inlineStr">
        <is>
          <t>CÔNG TY TNHH LOTTECINEMA VIỆT NAM</t>
        </is>
      </c>
      <c r="E14742" s="10" t="inlineStr">
        <is>
          <t>Lương:8 Tr - 10 Tr VND</t>
        </is>
      </c>
      <c r="F14742" s="10" t="inlineStr">
        <is>
          <t>Đồng Nai</t>
        </is>
      </c>
      <c r="G14742" s="10" t="inlineStr">
        <is>
          <t>25-03-2026</t>
        </is>
      </c>
      <c r="H14742" s="10" t="inlineStr">
        <is>
          <t>25/03/2026</t>
        </is>
      </c>
      <c r="I14742" s="10" t="inlineStr">
        <is>
          <t>17/03/2026</t>
        </is>
      </c>
      <c r="J14742" s="10" t="inlineStr">
        <is>
          <t>Nhân sự, Du lịch, Nhà hàng / Khách sạn</t>
        </is>
      </c>
      <c r="K14742" s="10" t="inlineStr">
        <is>
          <t>N/A</t>
        </is>
      </c>
      <c r="L14742" s="11">
        <f>HYPERLINK("https://careerviet.vn/vi/tim-viec-lam/dong-nai-giam-sat-rap-chieu-phim.35C69587.html","Xem chi tiết")</f>
        <v/>
      </c>
      <c r="M14742" s="10" t="n"/>
    </row>
    <row r="14743">
      <c r="B14743" s="7" t="n">
        <v>14741</v>
      </c>
      <c r="C14743" t="inlineStr">
        <is>
          <t>[Khánh Hòa] Nhân Viên Kinh Doanh Nội Thất Tại Nha Trang (Đi Làm Ngay)</t>
        </is>
      </c>
      <c r="D14743" t="inlineStr">
        <is>
          <t>Công Ty TNHH Tập Đoàn Rita Võ</t>
        </is>
      </c>
      <c r="E14743" t="inlineStr">
        <is>
          <t>Lương:12 Tr - 18 Tr VND</t>
        </is>
      </c>
      <c r="F14743" t="inlineStr">
        <is>
          <t>Khánh Hòa</t>
        </is>
      </c>
      <c r="G14743" t="inlineStr">
        <is>
          <t>25-03-2026</t>
        </is>
      </c>
      <c r="H14743" t="inlineStr">
        <is>
          <t>25/03/2026</t>
        </is>
      </c>
      <c r="I14743" t="inlineStr">
        <is>
          <t>17/03/2026</t>
        </is>
      </c>
      <c r="J14743" t="inlineStr">
        <is>
          <t>Bán hàng / Kinh doanh, Nội ngoại thất</t>
        </is>
      </c>
      <c r="K14743" t="inlineStr">
        <is>
          <t>N/A</t>
        </is>
      </c>
      <c r="L14743" s="8">
        <f>HYPERLINK("https://careerviet.vn/vi/tim-viec-lam/khanh-hoa-nhan-vien-kinh-doanh-noi-that-tai-nha-trang-di-lam-ngay.35C697E8.html","Xem chi tiết")</f>
        <v/>
      </c>
    </row>
    <row r="14744">
      <c r="B14744" s="9" t="n">
        <v>14742</v>
      </c>
      <c r="C14744" s="10" t="inlineStr">
        <is>
          <t>Kiểm toán viên - Phòng Quản lý Kiểm toán - Auditor - Internal Audit Management Department - Cơ quan Kiểm toán nội bộ (HO26.55)</t>
        </is>
      </c>
      <c r="D14744" s="10" t="inlineStr">
        <is>
          <t>Ngân Hàng TMCP Quân Đội</t>
        </is>
      </c>
      <c r="E14744" s="10" t="inlineStr">
        <is>
          <t>Lương:Cạnh tranh</t>
        </is>
      </c>
      <c r="F14744" s="10" t="inlineStr">
        <is>
          <t>Hà Nội</t>
        </is>
      </c>
      <c r="G14744" s="10" t="inlineStr">
        <is>
          <t>26-03-2026</t>
        </is>
      </c>
      <c r="H14744" s="10" t="inlineStr">
        <is>
          <t>26/03/2026</t>
        </is>
      </c>
      <c r="I14744" s="10" t="inlineStr">
        <is>
          <t>17/03/2026</t>
        </is>
      </c>
      <c r="J14744" s="10" t="inlineStr">
        <is>
          <t>Ngân hàng, Tài chính / Đầu tư, Kế toán / Kiểm toán</t>
        </is>
      </c>
      <c r="K14744" s="10" t="inlineStr">
        <is>
          <t>Trên 3 Năm</t>
        </is>
      </c>
      <c r="L14744" s="11">
        <f>HYPERLINK("https://careerviet.vn/vi/tim-viec-lam/kiem-toan-vien-phong-quan-ly-kiem-toan-auditor-internal-audit-management-department-co-quan-kiem-toan-noi-bo-ho26-55.35C698A2.html","Xem chi tiết")</f>
        <v/>
      </c>
      <c r="M14744" s="10" t="n"/>
    </row>
    <row r="14745">
      <c r="B14745" s="7" t="n">
        <v>14743</v>
      </c>
      <c r="C14745" t="inlineStr">
        <is>
          <t>NHÂN VIÊN CHẤT LƯỢNG BP SẢN XUẤT</t>
        </is>
      </c>
      <c r="D14745" t="inlineStr">
        <is>
          <t>Công ty TNHH AOBA Việt Nam</t>
        </is>
      </c>
      <c r="E14745" t="inlineStr">
        <is>
          <t>Lương:Cạnh tranh</t>
        </is>
      </c>
      <c r="F14745" t="inlineStr">
        <is>
          <t>Hải Dương</t>
        </is>
      </c>
      <c r="G14745" t="inlineStr">
        <is>
          <t>31-03-2026</t>
        </is>
      </c>
      <c r="H14745" t="inlineStr">
        <is>
          <t>31/03/2026</t>
        </is>
      </c>
      <c r="I14745" t="inlineStr">
        <is>
          <t>17/03/2026</t>
        </is>
      </c>
      <c r="J14745" t="inlineStr">
        <is>
          <t>Sản xuất / Vận hành sản xuất, Quản lý chất lượng (QA/QC)</t>
        </is>
      </c>
      <c r="K14745" t="inlineStr">
        <is>
          <t>2 - 10 Năm</t>
        </is>
      </c>
      <c r="L14745" s="8">
        <f>HYPERLINK("https://careerviet.vn/vi/tim-viec-lam/nhan-vien-chat-luong-bp-san-xuat.35C69812.html","Xem chi tiết")</f>
        <v/>
      </c>
    </row>
    <row r="14746">
      <c r="B14746" s="9" t="n">
        <v>14744</v>
      </c>
      <c r="C14746" s="10" t="inlineStr">
        <is>
          <t>HCM_NHÂN VIÊN KẾ TOÁN CÔNG NỢ (KÊNH ETC)</t>
        </is>
      </c>
      <c r="D14746" s="10" t="inlineStr">
        <is>
          <t>BOSTON PHARMA - Công Ty CP Dược Phẩm Boston Việt Nam</t>
        </is>
      </c>
      <c r="E14746" s="10" t="inlineStr">
        <is>
          <t>Lương:Cạnh tranh</t>
        </is>
      </c>
      <c r="F14746" s="10" t="inlineStr">
        <is>
          <t>Hồ Chí Minh</t>
        </is>
      </c>
      <c r="G14746" s="10" t="inlineStr">
        <is>
          <t>25-03-2026</t>
        </is>
      </c>
      <c r="H14746" s="10" t="inlineStr">
        <is>
          <t>25/03/2026</t>
        </is>
      </c>
      <c r="I14746" s="10" t="inlineStr">
        <is>
          <t>17/03/2026</t>
        </is>
      </c>
      <c r="J14746" s="10" t="inlineStr">
        <is>
          <t>Kế toán / Kiểm toán, Dược phẩm/ Hóa Mỹ Phẩm, Hành chính / Thư ký</t>
        </is>
      </c>
      <c r="K14746" s="10" t="inlineStr">
        <is>
          <t>1 - 2 Năm</t>
        </is>
      </c>
      <c r="L14746" s="11">
        <f>HYPERLINK("https://careerviet.vn/vi/tim-viec-lam/hcm_nhan-vien-ke-toa-n-cong-no-kenh-etc.35C6968C.html","Xem chi tiết")</f>
        <v/>
      </c>
      <c r="M14746" s="10" t="n"/>
    </row>
    <row r="14747">
      <c r="B14747" s="7" t="n">
        <v>14745</v>
      </c>
      <c r="C14747" t="inlineStr">
        <is>
          <t>Purchasing Manager</t>
        </is>
      </c>
      <c r="D14747" t="inlineStr">
        <is>
          <t>CÔNG TY CỔ PHẦN CÔNG NGHIỆP THỰC PHẨM THABICO TIỀN GIANG</t>
        </is>
      </c>
      <c r="E14747" t="inlineStr">
        <is>
          <t>Lương:Cạnh tranh</t>
        </is>
      </c>
      <c r="F14747" t="inlineStr">
        <is>
          <t>Tiền Giang</t>
        </is>
      </c>
      <c r="G14747" t="inlineStr">
        <is>
          <t>24-03-2026</t>
        </is>
      </c>
      <c r="H14747" t="inlineStr">
        <is>
          <t>24/03/2026</t>
        </is>
      </c>
      <c r="I14747" t="inlineStr">
        <is>
          <t>17/03/2026</t>
        </is>
      </c>
      <c r="J14747" t="inlineStr">
        <is>
          <t>Thu mua / Vật tư, Sản xuất / Vận hành sản xuất, Quản lý điều hành</t>
        </is>
      </c>
      <c r="K14747" t="inlineStr">
        <is>
          <t>3 - 5 Năm</t>
        </is>
      </c>
      <c r="L14747" s="8">
        <f>HYPERLINK("https://careerviet.vn/vi/tim-viec-lam/purchasing-manager.35C69888.html","Xem chi tiết")</f>
        <v/>
      </c>
    </row>
    <row r="14748">
      <c r="B14748" s="9" t="n">
        <v>14746</v>
      </c>
      <c r="C14748" s="10" t="inlineStr">
        <is>
          <t>Nhân Viên Quản Trị Hệ Thống (Không Yêu Cầu Kinh Nghiệm)</t>
        </is>
      </c>
      <c r="D14748" s="10" t="inlineStr">
        <is>
          <t>Tập Đoàn Kim Tín</t>
        </is>
      </c>
      <c r="E14748" s="10" t="inlineStr">
        <is>
          <t>Lương:Cạnh tranh</t>
        </is>
      </c>
      <c r="F14748" s="10" t="inlineStr">
        <is>
          <t>Hồ Chí Minh</t>
        </is>
      </c>
      <c r="G14748" s="10" t="inlineStr">
        <is>
          <t>27-03-2026</t>
        </is>
      </c>
      <c r="H14748" s="10" t="inlineStr">
        <is>
          <t>27/03/2026</t>
        </is>
      </c>
      <c r="I14748" s="10" t="inlineStr">
        <is>
          <t>17/03/2026</t>
        </is>
      </c>
      <c r="J14748" s="10" t="inlineStr">
        <is>
          <t>Kế toán / Kiểm toán</t>
        </is>
      </c>
      <c r="K14748" s="10" t="inlineStr">
        <is>
          <t>N/A</t>
        </is>
      </c>
      <c r="L14748" s="11">
        <f>HYPERLINK("https://careerviet.vn/vi/tim-viec-lam/nhan-vien-quan-tri-he-thong-khong-yeu-cau-kinh-nghiem.35C696FD.html","Xem chi tiết")</f>
        <v/>
      </c>
      <c r="M14748" s="10" t="n"/>
    </row>
    <row r="14749">
      <c r="B14749" s="7" t="n">
        <v>14747</v>
      </c>
      <c r="C14749" t="inlineStr">
        <is>
          <t>Nhân Viên Kỹ Thuật</t>
        </is>
      </c>
      <c r="D14749" t="inlineStr">
        <is>
          <t>CÔNG TY TNHH KỸ NGHỆ VIỆT NAM</t>
        </is>
      </c>
      <c r="E14749" t="inlineStr">
        <is>
          <t>Lương:10 Tr - 13 Tr VND</t>
        </is>
      </c>
      <c r="F14749" t="inlineStr">
        <is>
          <t>Hồ Chí Minh</t>
        </is>
      </c>
      <c r="G14749" t="inlineStr">
        <is>
          <t>27-03-2026</t>
        </is>
      </c>
      <c r="H14749" t="inlineStr">
        <is>
          <t>27/03/2026</t>
        </is>
      </c>
      <c r="I14749" t="inlineStr">
        <is>
          <t>17/03/2026</t>
        </is>
      </c>
      <c r="J14749" t="inlineStr">
        <is>
          <t>Cơ khí / Ô tô / Tự động hóa, Điện / Điện tử / Điện lạnh / Điện công nghiệp, Bảo trì / Sửa chữa</t>
        </is>
      </c>
      <c r="K14749" t="inlineStr">
        <is>
          <t>Chưa có kinh nghiệm</t>
        </is>
      </c>
      <c r="L14749" s="8">
        <f>HYPERLINK("https://careerviet.vn/vi/tim-viec-lam/nhan-vien-ky-thuat.35C6961D.html","Xem chi tiết")</f>
        <v/>
      </c>
    </row>
    <row r="14750">
      <c r="B14750" s="9" t="n">
        <v>14748</v>
      </c>
      <c r="C14750" s="10" t="inlineStr">
        <is>
          <t>CHUYÊN VIÊN MUA HÀNG VẬT TƯ  [CỦ CHI]</t>
        </is>
      </c>
      <c r="D14750" s="10" t="inlineStr">
        <is>
          <t>CÔNG TY CP SAIGON AUTO SUPPORTING INDUSTRY</t>
        </is>
      </c>
      <c r="E14750" s="10" t="inlineStr">
        <is>
          <t>Lương:Cạnh tranh</t>
        </is>
      </c>
      <c r="F14750" s="10" t="inlineStr">
        <is>
          <t>Hồ Chí Minh</t>
        </is>
      </c>
      <c r="G14750" s="10" t="inlineStr">
        <is>
          <t>10-03-2026</t>
        </is>
      </c>
      <c r="H14750" s="10" t="inlineStr">
        <is>
          <t>15/03/2026</t>
        </is>
      </c>
      <c r="I14750" s="10" t="inlineStr">
        <is>
          <t>17/03/2026</t>
        </is>
      </c>
      <c r="J14750" s="10" t="inlineStr">
        <is>
          <t>Cơ khí / Ô tô / Tự động hóa, Thu mua / Vật tư, Bán Hàng Kỹ Thuật</t>
        </is>
      </c>
      <c r="K14750" s="10" t="inlineStr">
        <is>
          <t>1 - 3 Năm</t>
        </is>
      </c>
      <c r="L14750" s="11">
        <f>HYPERLINK("https://careerviet.vn/vi/tim-viec-lam/chuyen-vien-mua-hang-vat-tu-cu-chi.35C6976C.html","Xem chi tiết")</f>
        <v/>
      </c>
      <c r="M14750" s="10" t="n"/>
    </row>
    <row r="14751">
      <c r="B14751" s="7" t="n">
        <v>14749</v>
      </c>
      <c r="C14751" t="inlineStr">
        <is>
          <t>HCM - Nhân viên Chăm Sóc Khách Hàng</t>
        </is>
      </c>
      <c r="D14751" t="inlineStr">
        <is>
          <t>Công ty TNHH Thiên Thủy Mộc</t>
        </is>
      </c>
      <c r="E14751" t="inlineStr">
        <is>
          <t>Lương:8 Tr - 10 Tr VND</t>
        </is>
      </c>
      <c r="F14751" t="inlineStr">
        <is>
          <t>Hồ Chí Minh</t>
        </is>
      </c>
      <c r="G14751" t="inlineStr">
        <is>
          <t>26-03-2026</t>
        </is>
      </c>
      <c r="H14751" t="inlineStr">
        <is>
          <t>26/03/2026</t>
        </is>
      </c>
      <c r="I14751" t="inlineStr">
        <is>
          <t>17/03/2026</t>
        </is>
      </c>
      <c r="J14751" t="inlineStr">
        <is>
          <t>Dịch vụ khách hàng, Tư vấn</t>
        </is>
      </c>
      <c r="K14751" t="inlineStr">
        <is>
          <t>1 - 2 Năm</t>
        </is>
      </c>
      <c r="L14751" s="8">
        <f>HYPERLINK("https://careerviet.vn/vi/tim-viec-lam/hcm-nhan-vien-cham-soc-khach-hang.35C6986E.html","Xem chi tiết")</f>
        <v/>
      </c>
    </row>
    <row r="14752">
      <c r="B14752" s="9" t="n">
        <v>14750</v>
      </c>
      <c r="C14752" s="10" t="inlineStr">
        <is>
          <t>Thư Ký Sản Xuất (Production Admin)</t>
        </is>
      </c>
      <c r="D14752" s="10" t="inlineStr">
        <is>
          <t>CÔNG TY CỔ PHẦN CHẾ BIẾN THỰC PHẨM HOÀNG SƠN</t>
        </is>
      </c>
      <c r="E14752" s="10" t="inlineStr">
        <is>
          <t>Lương:9 Tr - 11 Tr VND</t>
        </is>
      </c>
      <c r="F14752" s="10" t="inlineStr">
        <is>
          <t>Bình Dương</t>
        </is>
      </c>
      <c r="G14752" s="10" t="inlineStr">
        <is>
          <t>31-03-2026</t>
        </is>
      </c>
      <c r="H14752" s="10" t="inlineStr">
        <is>
          <t>31/03/2026</t>
        </is>
      </c>
      <c r="I14752" s="10" t="inlineStr">
        <is>
          <t>17/03/2026</t>
        </is>
      </c>
      <c r="J14752" s="10" t="inlineStr">
        <is>
          <t>Hành chính / Thư ký, Nhân sự, Sản xuất / Vận hành sản xuất</t>
        </is>
      </c>
      <c r="K14752" s="10" t="inlineStr">
        <is>
          <t>1 - 3 Năm</t>
        </is>
      </c>
      <c r="L14752" s="11">
        <f>HYPERLINK("https://careerviet.vn/vi/tim-viec-lam/thu-ky-san-xuat-production-admin.35C69643.html","Xem chi tiết")</f>
        <v/>
      </c>
      <c r="M14752" s="10" t="n"/>
    </row>
    <row r="14753">
      <c r="B14753" s="7" t="n">
        <v>14751</v>
      </c>
      <c r="C14753" t="inlineStr">
        <is>
          <t>Chuyên viên chính/chuyên viên cao cấp kế toán nội bộ - SBSI - 4G012 - SBSI - 4G013</t>
        </is>
      </c>
      <c r="D14753" t="inlineStr">
        <is>
          <t>Tập đoàn ROX (ROX Group)</t>
        </is>
      </c>
      <c r="E14753" t="inlineStr">
        <is>
          <t>Lương:Cạnh tranh</t>
        </is>
      </c>
      <c r="F14753" t="inlineStr">
        <is>
          <t>Hà Nội</t>
        </is>
      </c>
      <c r="G14753" t="inlineStr">
        <is>
          <t>27-03-2026</t>
        </is>
      </c>
      <c r="H14753" t="inlineStr">
        <is>
          <t>27/03/2026</t>
        </is>
      </c>
      <c r="I14753" t="inlineStr">
        <is>
          <t>17/03/2026</t>
        </is>
      </c>
      <c r="J14753" t="inlineStr">
        <is>
          <t>Chứng khoán</t>
        </is>
      </c>
      <c r="K14753" t="inlineStr">
        <is>
          <t>3 - 5 Năm</t>
        </is>
      </c>
      <c r="L14753" s="8">
        <f>HYPERLINK("https://careerviet.vn/vi/tim-viec-lam/chuyen-vien-chinh-chuyen-vien-cao-cap-ke-toan-noi-bo-sbsi-4g012-sbsi-4g013.35C69875.html","Xem chi tiết")</f>
        <v/>
      </c>
    </row>
    <row r="14754">
      <c r="B14754" s="9" t="n">
        <v>14752</v>
      </c>
      <c r="C14754" s="10" t="inlineStr">
        <is>
          <t>Nhân Viên Kỹ Thuật Cơ Điện</t>
        </is>
      </c>
      <c r="D14754" s="10" t="inlineStr">
        <is>
          <t>Tập Đoàn An Phát Holdings</t>
        </is>
      </c>
      <c r="E14754" s="10" t="inlineStr">
        <is>
          <t>Lương:13 Tr - 15 Tr VND</t>
        </is>
      </c>
      <c r="F14754" s="10" t="inlineStr">
        <is>
          <t>Hải Dương</t>
        </is>
      </c>
      <c r="G14754" s="10" t="inlineStr">
        <is>
          <t>30-03-2026</t>
        </is>
      </c>
      <c r="H14754" s="10" t="inlineStr">
        <is>
          <t>30/03/2026</t>
        </is>
      </c>
      <c r="I14754" s="10" t="inlineStr">
        <is>
          <t>17/03/2026</t>
        </is>
      </c>
      <c r="J14754" s="10" t="inlineStr">
        <is>
          <t>Điện / Điện tử / Điện lạnh / Điện công nghiệp, Cơ khí / Ô tô / Tự động hóa</t>
        </is>
      </c>
      <c r="K14754" s="10" t="inlineStr">
        <is>
          <t>N/A</t>
        </is>
      </c>
      <c r="L14754" s="11">
        <f>HYPERLINK("https://careerviet.vn/vi/tim-viec-lam/nhan-vien-ky-thuat-co-dien.35C6963E.html","Xem chi tiết")</f>
        <v/>
      </c>
      <c r="M14754" s="10" t="n"/>
    </row>
    <row r="14755">
      <c r="B14755" s="7" t="n">
        <v>14753</v>
      </c>
      <c r="C14755" t="inlineStr">
        <is>
          <t>Sale Admin</t>
        </is>
      </c>
      <c r="D14755" t="inlineStr">
        <is>
          <t>CÔNG TY CỔ PHẦN GREMSY</t>
        </is>
      </c>
      <c r="E14755" t="inlineStr">
        <is>
          <t>Lương:Cạnh tranh</t>
        </is>
      </c>
      <c r="F14755" t="inlineStr">
        <is>
          <t>Hồ Chí Minh</t>
        </is>
      </c>
      <c r="G14755" t="inlineStr">
        <is>
          <t>31-03-2026</t>
        </is>
      </c>
      <c r="H14755" t="inlineStr">
        <is>
          <t>31/03/2026</t>
        </is>
      </c>
      <c r="I14755" t="inlineStr">
        <is>
          <t>17/03/2026</t>
        </is>
      </c>
      <c r="J14755" t="inlineStr">
        <is>
          <t>Bán lẻ / Bán sỉ, Bán hàng / Kinh doanh, Bán Hàng Kỹ Thuật</t>
        </is>
      </c>
      <c r="K14755" t="inlineStr">
        <is>
          <t>1 - 5 Năm</t>
        </is>
      </c>
      <c r="L14755" s="8">
        <f>HYPERLINK("https://careerviet.vn/vi/tim-viec-lam/sale-admin.35C697DD.html","Xem chi tiết")</f>
        <v/>
      </c>
    </row>
    <row r="14756">
      <c r="B14756" s="9" t="n">
        <v>14754</v>
      </c>
      <c r="C14756" s="10" t="inlineStr">
        <is>
          <t>Chuyên viên chính/Chuyên viên Cấp cao Quan hệ khách hàng ưu tiên - Khu vực Bắc Giang</t>
        </is>
      </c>
      <c r="D14756" s="10" t="inlineStr">
        <is>
          <t>Ngân Hàng TMCP Quốc Dân (NCB)</t>
        </is>
      </c>
      <c r="E14756" s="10" t="inlineStr">
        <is>
          <t>Lương:Cạnh tranh</t>
        </is>
      </c>
      <c r="F14756" s="10" t="inlineStr">
        <is>
          <t>Bắc Giang</t>
        </is>
      </c>
      <c r="G14756" s="10" t="inlineStr">
        <is>
          <t>25-03-2026</t>
        </is>
      </c>
      <c r="H14756" s="10" t="inlineStr">
        <is>
          <t>25/03/2026</t>
        </is>
      </c>
      <c r="I14756" s="10" t="inlineStr">
        <is>
          <t>17/03/2026</t>
        </is>
      </c>
      <c r="J14756" s="10" t="inlineStr">
        <is>
          <t>Ngân hàng, Tư vấn, Bán hàng / Kinh doanh</t>
        </is>
      </c>
      <c r="K14756" s="10" t="inlineStr">
        <is>
          <t>Trên 1 Năm</t>
        </is>
      </c>
      <c r="L14756" s="11">
        <f>HYPERLINK("https://careerviet.vn/vi/tim-viec-lam/chuyen-vien-chinh-chuyen-vien-cap-cao-quan-he-khach-hang-uu-tien-khu-vuc-bac-giang.35C69863.html","Xem chi tiết")</f>
        <v/>
      </c>
      <c r="M14756" s="10" t="n"/>
    </row>
    <row r="14757">
      <c r="B14757" s="7" t="n">
        <v>14755</v>
      </c>
      <c r="C14757" t="inlineStr">
        <is>
          <t>[Đà Lạt] Store Manager - Cửa hàng trưởng (Chuỗi Cafe)</t>
        </is>
      </c>
      <c r="D14757" t="inlineStr">
        <is>
          <t>Bảo mật</t>
        </is>
      </c>
      <c r="E14757" t="inlineStr">
        <is>
          <t>Lương:Cạnh tranh</t>
        </is>
      </c>
      <c r="F14757" t="inlineStr">
        <is>
          <t>Lâm Đồng</t>
        </is>
      </c>
      <c r="G14757" t="inlineStr">
        <is>
          <t>10-03-2026</t>
        </is>
      </c>
      <c r="H14757" t="inlineStr">
        <is>
          <t>10/03/2026</t>
        </is>
      </c>
      <c r="I14757" t="inlineStr">
        <is>
          <t>17/03/2026</t>
        </is>
      </c>
      <c r="J14757" t="inlineStr">
        <is>
          <t>Bán lẻ / Bán sỉ, Thực phẩm &amp; Đồ uống, Nhà hàng / Khách sạn</t>
        </is>
      </c>
      <c r="K14757" t="inlineStr">
        <is>
          <t>2 - 4 Năm</t>
        </is>
      </c>
      <c r="L14757" s="8">
        <f>HYPERLINK("https://careerviet.vn/vi/tim-viec-lam/da-lat-store-manager-cua-hang-truong-chuoi-cafe.35C696CF.html","Xem chi tiết")</f>
        <v/>
      </c>
    </row>
    <row r="14758">
      <c r="B14758" s="9" t="n">
        <v>14756</v>
      </c>
      <c r="C14758" s="10" t="inlineStr">
        <is>
          <t>Chuyên viên Media</t>
        </is>
      </c>
      <c r="D14758" s="10" t="inlineStr">
        <is>
          <t>Tập Đoàn Tân Á Đại Thành</t>
        </is>
      </c>
      <c r="E14758" s="10" t="inlineStr">
        <is>
          <t>Lương:16 Tr - 20 Tr VND</t>
        </is>
      </c>
      <c r="F14758" s="10" t="inlineStr">
        <is>
          <t>Hà Nội</t>
        </is>
      </c>
      <c r="G14758" s="10" t="inlineStr">
        <is>
          <t>31-03-2026</t>
        </is>
      </c>
      <c r="H14758" s="10" t="inlineStr">
        <is>
          <t>31/03/2026</t>
        </is>
      </c>
      <c r="I14758" s="10" t="inlineStr">
        <is>
          <t>17/03/2026</t>
        </is>
      </c>
      <c r="J14758" s="10" t="inlineStr">
        <is>
          <t>Thương mại điện tử, Tiếp thị / Marketing, Tiếp thị trực tuyến</t>
        </is>
      </c>
      <c r="K14758" s="10" t="inlineStr">
        <is>
          <t>1 - 2 Năm</t>
        </is>
      </c>
      <c r="L14758" s="11">
        <f>HYPERLINK("https://careerviet.vn/vi/tim-viec-lam/chuyen-vien-media.35C6987F.html","Xem chi tiết")</f>
        <v/>
      </c>
      <c r="M14758" s="10" t="n"/>
    </row>
    <row r="14759">
      <c r="B14759" s="7" t="n">
        <v>14757</v>
      </c>
      <c r="C14759" t="inlineStr">
        <is>
          <t>Cán bộ An toàn lao động</t>
        </is>
      </c>
      <c r="D14759" t="inlineStr">
        <is>
          <t>CÔNG TY CỔ PHẦN CƠ ĐIỆN VÀ PCCC THĂNG LONG</t>
        </is>
      </c>
      <c r="E14759" t="inlineStr">
        <is>
          <t>Lương:8 Tr - 16 Tr VND</t>
        </is>
      </c>
      <c r="F14759" t="inlineStr">
        <is>
          <t>Hải DươngQuảng NinhBắc Ninh</t>
        </is>
      </c>
      <c r="G14759" t="inlineStr">
        <is>
          <t>31-03-2026</t>
        </is>
      </c>
      <c r="H14759" t="inlineStr">
        <is>
          <t>31/03/2026</t>
        </is>
      </c>
      <c r="I14759" t="inlineStr">
        <is>
          <t>17/03/2026</t>
        </is>
      </c>
      <c r="J14759" t="inlineStr">
        <is>
          <t>Điện / Điện tử / Điện lạnh / Điện công nghiệp, Xây dựng, An toàn lao động</t>
        </is>
      </c>
      <c r="K14759" t="inlineStr">
        <is>
          <t>N/A</t>
        </is>
      </c>
      <c r="L14759" s="8">
        <f>HYPERLINK("https://careerviet.vn/vi/tim-viec-lam/can-bo-an-toan-lao-dong.35C696F2.html","Xem chi tiết")</f>
        <v/>
      </c>
    </row>
    <row r="14760">
      <c r="B14760" s="9" t="n">
        <v>14758</v>
      </c>
      <c r="C14760" s="10" t="inlineStr">
        <is>
          <t>Chuyên viên Tuyển dụng</t>
        </is>
      </c>
      <c r="D14760" s="10" t="inlineStr">
        <is>
          <t>NHÀ SÁCH TIẾN THỌ</t>
        </is>
      </c>
      <c r="E14760" s="10" t="inlineStr">
        <is>
          <t>Lương:13 Tr - 18 Tr VND</t>
        </is>
      </c>
      <c r="F14760" s="10" t="inlineStr">
        <is>
          <t>Hà Nội</t>
        </is>
      </c>
      <c r="G14760" s="10" t="inlineStr">
        <is>
          <t>31-03-2026</t>
        </is>
      </c>
      <c r="H14760" s="10" t="inlineStr">
        <is>
          <t>31/03/2026</t>
        </is>
      </c>
      <c r="I14760" s="10" t="inlineStr">
        <is>
          <t>17/03/2026</t>
        </is>
      </c>
      <c r="J14760" s="10" t="inlineStr">
        <is>
          <t>Nhân sự</t>
        </is>
      </c>
      <c r="K14760" s="10" t="inlineStr">
        <is>
          <t>1 - 2 Năm</t>
        </is>
      </c>
      <c r="L14760" s="11">
        <f>HYPERLINK("https://careerviet.vn/vi/tim-viec-lam/chuyen-vien-tuyen-dung.35C695DA.html","Xem chi tiết")</f>
        <v/>
      </c>
      <c r="M14760" s="10" t="n"/>
    </row>
    <row r="14761">
      <c r="B14761" s="7" t="n">
        <v>14759</v>
      </c>
      <c r="C14761" t="inlineStr">
        <is>
          <t>CHUYÊN VIÊN KINH DOAH PHÁT TRIỂN THỊ TRƯỜNG THIẾT BỊ ĐIỆN MẶT TRỜI</t>
        </is>
      </c>
      <c r="D14761" t="inlineStr">
        <is>
          <t>TNHH Giải Pháp Công Nghệ KVA</t>
        </is>
      </c>
      <c r="E14761" t="inlineStr">
        <is>
          <t>Lương:10 Tr - 50 Tr VND</t>
        </is>
      </c>
      <c r="F14761" t="inlineStr">
        <is>
          <t>Bình Dương</t>
        </is>
      </c>
      <c r="G14761" t="inlineStr">
        <is>
          <t>31-03-2026</t>
        </is>
      </c>
      <c r="H14761" t="inlineStr">
        <is>
          <t>31/03/2026</t>
        </is>
      </c>
      <c r="I14761" t="inlineStr">
        <is>
          <t>17/03/2026</t>
        </is>
      </c>
      <c r="J14761" t="inlineStr">
        <is>
          <t>Bán Hàng Kỹ Thuật, Bán hàng / Kinh doanh, Điện / Điện tử / Điện lạnh / Điện công nghiệp</t>
        </is>
      </c>
      <c r="K14761" t="inlineStr">
        <is>
          <t>Chưa có kinh nghiệm</t>
        </is>
      </c>
      <c r="L14761" s="8">
        <f>HYPERLINK("https://careerviet.vn/vi/tim-viec-lam/chuyen-vien-kinh-doah-phat-trien-thi-truong-thiet-bi-dien-mat-troi.35C69142.html","Xem chi tiết")</f>
        <v/>
      </c>
    </row>
    <row r="14762">
      <c r="B14762" s="9" t="n">
        <v>14760</v>
      </c>
      <c r="C14762" s="10" t="inlineStr">
        <is>
          <t>Maintenance Technician</t>
        </is>
      </c>
      <c r="D14762" s="10" t="inlineStr">
        <is>
          <t>CJ Foodville Việt Nam</t>
        </is>
      </c>
      <c r="E14762" s="10" t="inlineStr">
        <is>
          <t>Lương:Cạnh tranh</t>
        </is>
      </c>
      <c r="F14762" s="10" t="inlineStr">
        <is>
          <t>Hồ Chí Minh</t>
        </is>
      </c>
      <c r="G14762" s="10" t="inlineStr">
        <is>
          <t>27-03-2026</t>
        </is>
      </c>
      <c r="H14762" s="10" t="inlineStr">
        <is>
          <t>27/03/2026</t>
        </is>
      </c>
      <c r="I14762" s="10" t="inlineStr">
        <is>
          <t>17/03/2026</t>
        </is>
      </c>
      <c r="J14762" s="10" t="inlineStr">
        <is>
          <t>Bảo trì / Sửa chữa</t>
        </is>
      </c>
      <c r="K14762" s="10" t="inlineStr">
        <is>
          <t>Chưa có kinh nghiệm</t>
        </is>
      </c>
      <c r="L14762" s="11">
        <f>HYPERLINK("https://careerviet.vn/vi/tim-viec-lam/maintenance-technician.35C6964A.html","Xem chi tiết")</f>
        <v/>
      </c>
      <c r="M14762" s="10" t="n"/>
    </row>
    <row r="14763">
      <c r="B14763" s="7" t="n">
        <v>14761</v>
      </c>
      <c r="C14763" t="inlineStr">
        <is>
          <t>GIÁM SÁT NGHIỆP VỤ (TỰ ĐỘNG HÓA - ĐIỆN - ĐIỆN TỬ)</t>
        </is>
      </c>
      <c r="D14763" t="inlineStr">
        <is>
          <t>CÔNG TY CỔ PHẦN CHẾ BIẾN THỰC PHẨM HOÀNG SƠN</t>
        </is>
      </c>
      <c r="E14763" t="inlineStr">
        <is>
          <t>Lương:Cạnh tranh</t>
        </is>
      </c>
      <c r="F14763" t="inlineStr">
        <is>
          <t>Bình Dương</t>
        </is>
      </c>
      <c r="G14763" t="inlineStr">
        <is>
          <t>31-03-2026</t>
        </is>
      </c>
      <c r="H14763" t="inlineStr">
        <is>
          <t>31/03/2026</t>
        </is>
      </c>
      <c r="I14763" t="inlineStr">
        <is>
          <t>17/03/2026</t>
        </is>
      </c>
      <c r="J14763" t="inlineStr">
        <is>
          <t>Bảo trì / Sửa chữa, Điện / Điện tử / Điện lạnh / Điện công nghiệp, Cơ khí / Ô tô / Tự động hóa</t>
        </is>
      </c>
      <c r="K14763" t="inlineStr">
        <is>
          <t>2 - 5 Năm</t>
        </is>
      </c>
      <c r="L14763" s="8">
        <f>HYPERLINK("https://careerviet.vn/vi/tim-viec-lam/giam-sat-nghiep-vu-tu-dong-hoa-dien-dien-tu.35C696D7.html","Xem chi tiết")</f>
        <v/>
      </c>
    </row>
    <row r="14764">
      <c r="B14764" s="9" t="n">
        <v>14762</v>
      </c>
      <c r="C14764" s="10" t="inlineStr">
        <is>
          <t>Giao dịch viên - Bắc Ninh (Từ Sơn, Kinh Bắc)</t>
        </is>
      </c>
      <c r="D14764" s="10" t="inlineStr">
        <is>
          <t>Ngân hàng TMCP Việt Á – VietABank</t>
        </is>
      </c>
      <c r="E14764" s="10" t="inlineStr">
        <is>
          <t>Lương:Cạnh tranh</t>
        </is>
      </c>
      <c r="F14764" s="10" t="inlineStr">
        <is>
          <t>Bắc Ninh</t>
        </is>
      </c>
      <c r="G14764" s="10" t="inlineStr">
        <is>
          <t>31-03-2026</t>
        </is>
      </c>
      <c r="H14764" s="10" t="inlineStr">
        <is>
          <t>31/03/2026</t>
        </is>
      </c>
      <c r="I14764" s="10" t="inlineStr">
        <is>
          <t>17/03/2026</t>
        </is>
      </c>
      <c r="J14764" s="10" t="inlineStr">
        <is>
          <t>Ngân hàng</t>
        </is>
      </c>
      <c r="K14764" s="10" t="inlineStr">
        <is>
          <t>N/A</t>
        </is>
      </c>
      <c r="L14764" s="11">
        <f>HYPERLINK("https://careerviet.vn/vi/tim-viec-lam/giao-dich-vien-bac-ninh-tu-son-kinh-bac.35C6966D.html","Xem chi tiết")</f>
        <v/>
      </c>
      <c r="M14764" s="10" t="n"/>
    </row>
    <row r="14765">
      <c r="B14765" s="7" t="n">
        <v>14763</v>
      </c>
      <c r="C14765" t="inlineStr">
        <is>
          <t>Nhân viên Kế hoạch Sản xuất</t>
        </is>
      </c>
      <c r="D14765" t="inlineStr">
        <is>
          <t>Tập Đoàn Kim Tín</t>
        </is>
      </c>
      <c r="E14765" t="inlineStr">
        <is>
          <t>Lương:Cạnh tranh</t>
        </is>
      </c>
      <c r="F14765" t="inlineStr">
        <is>
          <t>Hồ Chí Minh</t>
        </is>
      </c>
      <c r="G14765" t="inlineStr">
        <is>
          <t>27-03-2026</t>
        </is>
      </c>
      <c r="H14765" t="inlineStr">
        <is>
          <t>27/03/2026</t>
        </is>
      </c>
      <c r="I14765" t="inlineStr">
        <is>
          <t>17/03/2026</t>
        </is>
      </c>
      <c r="J14765" t="inlineStr">
        <is>
          <t>Xuất nhập khẩu, Sản xuất / Vận hành sản xuất</t>
        </is>
      </c>
      <c r="K14765" t="inlineStr">
        <is>
          <t>1 - 3 Năm</t>
        </is>
      </c>
      <c r="L14765" s="8">
        <f>HYPERLINK("https://careerviet.vn/vi/tim-viec-lam/nhan-vien-ke-hoach-san-xuat.35C6969E.html","Xem chi tiết")</f>
        <v/>
      </c>
    </row>
    <row r="14766">
      <c r="B14766" s="9" t="n">
        <v>14764</v>
      </c>
      <c r="C14766" s="10" t="inlineStr">
        <is>
          <t>Cán bộ kỹ thuật thi công nhà xưởng kết cấu thép, nhà xưởng Khu công nghiệp</t>
        </is>
      </c>
      <c r="D14766" s="10" t="inlineStr">
        <is>
          <t>CÔNG TY CỔ PHẦN XÂY DỰNG MEGASPACE</t>
        </is>
      </c>
      <c r="E14766" s="10" t="inlineStr">
        <is>
          <t>Lương:Cạnh tranh</t>
        </is>
      </c>
      <c r="F14766" s="10" t="inlineStr">
        <is>
          <t>Bắc NinhQuảng Ninh</t>
        </is>
      </c>
      <c r="G14766" s="10" t="inlineStr">
        <is>
          <t>25-03-2026</t>
        </is>
      </c>
      <c r="H14766" s="10" t="inlineStr">
        <is>
          <t>25/03/2026</t>
        </is>
      </c>
      <c r="I14766" s="10" t="inlineStr">
        <is>
          <t>17/03/2026</t>
        </is>
      </c>
      <c r="J14766" s="10" t="inlineStr">
        <is>
          <t>Xây dựng, Cơ khí / Ô tô / Tự động hóa, Điện / Điện tử / Điện lạnh / Điện công nghiệp</t>
        </is>
      </c>
      <c r="K14766" s="10" t="inlineStr">
        <is>
          <t>Trên 5 Năm</t>
        </is>
      </c>
      <c r="L14766" s="11">
        <f>HYPERLINK("https://careerviet.vn/vi/tim-viec-lam/can-bo-ky-thuat-thi-cong-nha-xuong-ket-cau-thep-nha-xuong-khu-cong-nghiep.35C696BC.html","Xem chi tiết")</f>
        <v/>
      </c>
      <c r="M14766" s="10" t="n"/>
    </row>
    <row r="14767">
      <c r="B14767" s="7" t="n">
        <v>14765</v>
      </c>
      <c r="C14767" t="inlineStr">
        <is>
          <t>Planning &amp; Logistics Specialist</t>
        </is>
      </c>
      <c r="D14767" t="inlineStr">
        <is>
          <t>TCL (Vietnam) Corporation Limited</t>
        </is>
      </c>
      <c r="E14767" t="inlineStr">
        <is>
          <t>Lương:Cạnh tranh</t>
        </is>
      </c>
      <c r="F14767" t="inlineStr">
        <is>
          <t>Hải Phòng</t>
        </is>
      </c>
      <c r="G14767" t="inlineStr">
        <is>
          <t>27-03-2026</t>
        </is>
      </c>
      <c r="H14767" t="inlineStr">
        <is>
          <t>27/03/2026</t>
        </is>
      </c>
      <c r="I14767" t="inlineStr">
        <is>
          <t>17/03/2026</t>
        </is>
      </c>
      <c r="J14767" t="inlineStr">
        <is>
          <t>Vận chuyển / Giao nhận / Kho vận</t>
        </is>
      </c>
      <c r="K14767" t="inlineStr">
        <is>
          <t>Trên 3 Năm</t>
        </is>
      </c>
      <c r="L14767" s="8">
        <f>HYPERLINK("https://careerviet.vn/vi/tim-viec-lam/planning-logistics-specialist.35C69600.html","Xem chi tiết")</f>
        <v/>
      </c>
    </row>
    <row r="14768">
      <c r="B14768" s="9" t="n">
        <v>14766</v>
      </c>
      <c r="C14768" s="10" t="inlineStr">
        <is>
          <t>Kỹ Sư QS ME - Thu Nhập 16 - 25 Triệu - Bao Ăn Ở Tại Ocean Park 2</t>
        </is>
      </c>
      <c r="D14768" s="10" t="inlineStr">
        <is>
          <t>CÔNG TY CP ĐẦU TƯ THƯƠNG MẠI VÀ KỸ THUẬT HOÀ BÌNH</t>
        </is>
      </c>
      <c r="E14768" s="10" t="inlineStr">
        <is>
          <t>Lương:16 Tr - 25 Tr VND</t>
        </is>
      </c>
      <c r="F14768" s="10" t="inlineStr">
        <is>
          <t>Hưng YênHà Nội</t>
        </is>
      </c>
      <c r="G14768" s="10" t="inlineStr">
        <is>
          <t>31-03-2026</t>
        </is>
      </c>
      <c r="H14768" s="10" t="inlineStr">
        <is>
          <t>31/03/2026</t>
        </is>
      </c>
      <c r="I14768" s="10" t="inlineStr">
        <is>
          <t>17/03/2026</t>
        </is>
      </c>
      <c r="J14768" s="10" t="inlineStr">
        <is>
          <t>Điện / Điện tử / Điện lạnh / Điện công nghiệp, Kiến trúc, Xây dựng</t>
        </is>
      </c>
      <c r="K14768" s="10" t="inlineStr">
        <is>
          <t>1 - 2 Năm</t>
        </is>
      </c>
      <c r="L14768" s="11">
        <f>HYPERLINK("https://careerviet.vn/vi/tim-viec-lam/ky-su-qs-me-thu-nhap-16-25-trieu-bao-an-o-tai-ocean-park-2.35C6978D.html","Xem chi tiết")</f>
        <v/>
      </c>
      <c r="M14768" s="10" t="n"/>
    </row>
    <row r="14769">
      <c r="B14769" s="7" t="n">
        <v>14767</v>
      </c>
      <c r="C14769" t="inlineStr">
        <is>
          <t>Nhân viên kinh doanh</t>
        </is>
      </c>
      <c r="D14769" t="inlineStr">
        <is>
          <t>CÔNG TY CỔ PHẦN TM &amp; DV SAGEN GROUP</t>
        </is>
      </c>
      <c r="E14769" t="inlineStr">
        <is>
          <t>Lương:10 Tr - 14 Tr VND</t>
        </is>
      </c>
      <c r="F14769" t="inlineStr">
        <is>
          <t>Hồ Chí Minh</t>
        </is>
      </c>
      <c r="G14769" t="inlineStr">
        <is>
          <t>25-03-2026</t>
        </is>
      </c>
      <c r="H14769" t="inlineStr">
        <is>
          <t>25/03/2026</t>
        </is>
      </c>
      <c r="I14769" t="inlineStr">
        <is>
          <t>17/03/2026</t>
        </is>
      </c>
      <c r="J14769" t="inlineStr">
        <is>
          <t>Bán lẻ / Bán sỉ, Bán hàng / Kinh doanh, Dược phẩm/ Hóa Mỹ Phẩm</t>
        </is>
      </c>
      <c r="K14769" t="inlineStr">
        <is>
          <t>1 - 2 Năm</t>
        </is>
      </c>
      <c r="L14769" s="8">
        <f>HYPERLINK("https://careerviet.vn/vi/tim-viec-lam/nhan-vien-kinh-doanh.35C6962F.html","Xem chi tiết")</f>
        <v/>
      </c>
    </row>
    <row r="14770">
      <c r="B14770" s="9" t="n">
        <v>14768</v>
      </c>
      <c r="C14770" s="10" t="inlineStr">
        <is>
          <t>Chuyên Viên Thủ Tục</t>
        </is>
      </c>
      <c r="D14770" s="10" t="inlineStr">
        <is>
          <t>CÔNG TY CỔ PHẦN HIRUNDO REALTY</t>
        </is>
      </c>
      <c r="E14770" s="10" t="inlineStr">
        <is>
          <t>Lương:Cạnh tranh</t>
        </is>
      </c>
      <c r="F14770" s="10" t="inlineStr">
        <is>
          <t>Hà Nội</t>
        </is>
      </c>
      <c r="G14770" s="10" t="inlineStr">
        <is>
          <t>31-03-2026</t>
        </is>
      </c>
      <c r="H14770" s="10" t="inlineStr">
        <is>
          <t>31/03/2026</t>
        </is>
      </c>
      <c r="I14770" s="10" t="inlineStr">
        <is>
          <t>17/03/2026</t>
        </is>
      </c>
      <c r="J14770" s="10" t="inlineStr">
        <is>
          <t>Dịch vụ khách hàng, Hành chính / Thư ký, Bất động sản</t>
        </is>
      </c>
      <c r="K14770" s="10" t="inlineStr">
        <is>
          <t>3 - 5 Năm</t>
        </is>
      </c>
      <c r="L14770" s="11">
        <f>HYPERLINK("https://careerviet.vn/vi/tim-viec-lam/chuyen-vien-thu-tuc.35C69544.html","Xem chi tiết")</f>
        <v/>
      </c>
      <c r="M14770" s="10" t="n"/>
    </row>
    <row r="14771">
      <c r="B14771" s="7" t="n">
        <v>14769</v>
      </c>
      <c r="C14771" t="inlineStr">
        <is>
          <t>Nhân viên chăm sóc khách hàng kênh chat Shopee</t>
        </is>
      </c>
      <c r="D14771" t="inlineStr">
        <is>
          <t>Công Ty TNHH Việt Mỹ-SSU</t>
        </is>
      </c>
      <c r="E14771" t="inlineStr">
        <is>
          <t>Lương:6,7 Tr - 8 Tr VND</t>
        </is>
      </c>
      <c r="F14771" t="inlineStr">
        <is>
          <t>Hồ Chí Minh</t>
        </is>
      </c>
      <c r="G14771" t="inlineStr">
        <is>
          <t>25-03-2026</t>
        </is>
      </c>
      <c r="H14771" t="inlineStr">
        <is>
          <t>25/03/2026</t>
        </is>
      </c>
      <c r="I14771" t="inlineStr">
        <is>
          <t>17/03/2026</t>
        </is>
      </c>
      <c r="J14771" t="inlineStr">
        <is>
          <t>Dịch vụ khách hàng</t>
        </is>
      </c>
      <c r="K14771" t="inlineStr">
        <is>
          <t>Chưa có kinh nghiệm</t>
        </is>
      </c>
      <c r="L14771" s="8">
        <f>HYPERLINK("https://careerviet.vn/vi/tim-viec-lam/nhan-vien-cham-soc-khach-hang-kenh-chat-shopee.35C6968E.html","Xem chi tiết")</f>
        <v/>
      </c>
    </row>
    <row r="14772">
      <c r="B14772" s="9" t="n">
        <v>14770</v>
      </c>
      <c r="C14772" s="10" t="inlineStr">
        <is>
          <t>HCM - THU NGÂN SPA - XOAY CA 6.5 TIẾNG/CA (7 triệu - 10 triệu)</t>
        </is>
      </c>
      <c r="D14772" s="10" t="inlineStr">
        <is>
          <t>Công ty TNHH Thiên Thủy Mộc</t>
        </is>
      </c>
      <c r="E14772" s="10" t="inlineStr">
        <is>
          <t>Lương:7 Tr - 10 Tr VND</t>
        </is>
      </c>
      <c r="F14772" s="10" t="inlineStr">
        <is>
          <t>Hồ Chí Minh</t>
        </is>
      </c>
      <c r="G14772" s="10" t="inlineStr">
        <is>
          <t>26-03-2026</t>
        </is>
      </c>
      <c r="H14772" s="10" t="inlineStr">
        <is>
          <t>26/03/2026</t>
        </is>
      </c>
      <c r="I14772" s="10" t="inlineStr">
        <is>
          <t>17/03/2026</t>
        </is>
      </c>
      <c r="J14772" s="10" t="inlineStr">
        <is>
          <t>Tư vấn, Dịch vụ khách hàng, Kế toán / Kiểm toán</t>
        </is>
      </c>
      <c r="K14772" s="10" t="inlineStr">
        <is>
          <t>1 - 2 Năm</t>
        </is>
      </c>
      <c r="L14772" s="11">
        <f>HYPERLINK("https://careerviet.vn/vi/tim-viec-lam/hcm-thu-ngan-spa-xoay-ca-6-5-tieng-ca-7-trieu-10-trieu.35C6987E.html","Xem chi tiết")</f>
        <v/>
      </c>
      <c r="M14772" s="10" t="n"/>
    </row>
    <row r="14773">
      <c r="B14773" s="7" t="n">
        <v>14771</v>
      </c>
      <c r="C14773" t="inlineStr">
        <is>
          <t>Nhân viên giao nhận</t>
        </is>
      </c>
      <c r="D14773" t="inlineStr">
        <is>
          <t>UNIEXPORT CO., LTD</t>
        </is>
      </c>
      <c r="E14773" t="inlineStr">
        <is>
          <t>Lương:Cạnh tranh</t>
        </is>
      </c>
      <c r="F14773" t="inlineStr">
        <is>
          <t>Hồ Chí Minh</t>
        </is>
      </c>
      <c r="G14773" t="inlineStr">
        <is>
          <t>31-03-2026</t>
        </is>
      </c>
      <c r="H14773" t="inlineStr">
        <is>
          <t>31/03/2026</t>
        </is>
      </c>
      <c r="I14773" t="inlineStr">
        <is>
          <t>17/03/2026</t>
        </is>
      </c>
      <c r="J14773" t="inlineStr">
        <is>
          <t>Vận chuyển / Giao nhận / Kho vận</t>
        </is>
      </c>
      <c r="K14773" t="inlineStr">
        <is>
          <t>N/A</t>
        </is>
      </c>
      <c r="L14773" s="8">
        <f>HYPERLINK("https://careerviet.vn/vi/tim-viec-lam/nhan-vien-giao-nhan.35C69394.html","Xem chi tiết")</f>
        <v/>
      </c>
    </row>
    <row r="14774">
      <c r="B14774" s="9" t="n">
        <v>14772</v>
      </c>
      <c r="C14774" s="10" t="inlineStr">
        <is>
          <t>Nhân Viên Tư Vấn</t>
        </is>
      </c>
      <c r="D14774" s="10" t="inlineStr">
        <is>
          <t>CÔNG TY TNHH TRUNG TÂM CHĂM SÓC SỨC KHỎE LẠC CỨU MEDICAL</t>
        </is>
      </c>
      <c r="E14774" s="10" t="inlineStr">
        <is>
          <t>Lương:15 Tr - 25 Tr VND</t>
        </is>
      </c>
      <c r="F14774" s="10" t="inlineStr">
        <is>
          <t>Hồ Chí Minh</t>
        </is>
      </c>
      <c r="G14774" s="10" t="inlineStr">
        <is>
          <t>24-03-2026</t>
        </is>
      </c>
      <c r="H14774" s="10" t="inlineStr">
        <is>
          <t>24/03/2026</t>
        </is>
      </c>
      <c r="I14774" s="10" t="inlineStr">
        <is>
          <t>17/03/2026</t>
        </is>
      </c>
      <c r="J14774" s="10" t="inlineStr">
        <is>
          <t>Tư vấn, Bán hàng / Kinh doanh, Y tế / Chăm sóc sức khỏe / Thẩm mỹ / Làm đẹp</t>
        </is>
      </c>
      <c r="K14774" s="10" t="inlineStr">
        <is>
          <t>Lên đến 1 Năm</t>
        </is>
      </c>
      <c r="L14774" s="11">
        <f>HYPERLINK("https://careerviet.vn/vi/tim-viec-lam/nhan-vien-tu-van.35C697DA.html","Xem chi tiết")</f>
        <v/>
      </c>
      <c r="M14774" s="10" t="n"/>
    </row>
    <row r="14775">
      <c r="B14775" s="7" t="n">
        <v>14773</v>
      </c>
      <c r="C14775" t="inlineStr">
        <is>
          <t>KẾ TOÁN NỘI BỘ</t>
        </is>
      </c>
      <c r="D14775" t="inlineStr">
        <is>
          <t>Công ty cổ phần Okapi Việt Nam - Thương hiệu thời trang BADASS</t>
        </is>
      </c>
      <c r="E14775" t="inlineStr">
        <is>
          <t>Lương:10 Tr - 15 Tr VND</t>
        </is>
      </c>
      <c r="F14775" t="inlineStr">
        <is>
          <t>Hà Nội</t>
        </is>
      </c>
      <c r="G14775" t="inlineStr">
        <is>
          <t>31-03-2026</t>
        </is>
      </c>
      <c r="H14775" t="inlineStr">
        <is>
          <t>31/03/2026</t>
        </is>
      </c>
      <c r="I14775" t="inlineStr">
        <is>
          <t>17/03/2026</t>
        </is>
      </c>
      <c r="J14775" t="inlineStr">
        <is>
          <t>Hành chính / Thư ký, Kế toán / Kiểm toán, Dệt may / Da giày / Thời trang</t>
        </is>
      </c>
      <c r="K14775" t="inlineStr">
        <is>
          <t>1 - 3 Năm</t>
        </is>
      </c>
      <c r="L14775" s="8">
        <f>HYPERLINK("https://careerviet.vn/vi/tim-viec-lam/ke-toan-noi-bo.35C696C2.html","Xem chi tiết")</f>
        <v/>
      </c>
    </row>
    <row r="14776">
      <c r="B14776" s="9" t="n">
        <v>14774</v>
      </c>
      <c r="C14776" s="10" t="inlineStr">
        <is>
          <t>Nhân viên Kế Toán Tổng Hợp</t>
        </is>
      </c>
      <c r="D14776" s="10" t="inlineStr">
        <is>
          <t>CÔNG TY TNHH OMNI-D</t>
        </is>
      </c>
      <c r="E14776" s="10" t="inlineStr">
        <is>
          <t>Lương:14 Tr - 16 Tr VND</t>
        </is>
      </c>
      <c r="F14776" s="10" t="inlineStr">
        <is>
          <t>Hồ Chí Minh</t>
        </is>
      </c>
      <c r="G14776" s="10" t="inlineStr">
        <is>
          <t>31-12-2026</t>
        </is>
      </c>
      <c r="H14776" s="10" t="inlineStr">
        <is>
          <t>31/12/2026</t>
        </is>
      </c>
      <c r="I14776" s="10" t="inlineStr">
        <is>
          <t>17/03/2026</t>
        </is>
      </c>
      <c r="J14776" s="10" t="inlineStr">
        <is>
          <t>Kế toán / Kiểm toán, Quảng cáo / Đối ngoại / Truyền Thông, Tổ chức sự kiện</t>
        </is>
      </c>
      <c r="K14776" s="10" t="inlineStr">
        <is>
          <t>Trên 3 Năm</t>
        </is>
      </c>
      <c r="L14776" s="11">
        <f>HYPERLINK("https://careerviet.vn/vi/tim-viec-lam/nhan-vien-ke-toan-tong-hop.35C69870.html","Xem chi tiết")</f>
        <v/>
      </c>
      <c r="M14776" s="10" t="n"/>
    </row>
    <row r="14777">
      <c r="B14777" s="7" t="n">
        <v>14775</v>
      </c>
      <c r="C14777" t="inlineStr">
        <is>
          <t>Social Media Director</t>
        </is>
      </c>
      <c r="D14777" t="inlineStr">
        <is>
          <t>HR Vietnam’s ESS Client</t>
        </is>
      </c>
      <c r="E14777" t="inlineStr">
        <is>
          <t>Lương:Cạnh tranh</t>
        </is>
      </c>
      <c r="F14777" t="inlineStr">
        <is>
          <t>Hồ Chí Minh</t>
        </is>
      </c>
      <c r="G14777" t="inlineStr">
        <is>
          <t>27-03-2026</t>
        </is>
      </c>
      <c r="H14777" t="inlineStr">
        <is>
          <t>27/03/2026</t>
        </is>
      </c>
      <c r="I14777" t="inlineStr">
        <is>
          <t>17/03/2026</t>
        </is>
      </c>
      <c r="J14777" t="inlineStr">
        <is>
          <t>Tiếp thị / Marketing, Tiếp thị trực tuyến, Quảng cáo / Đối ngoại / Truyền Thông</t>
        </is>
      </c>
      <c r="K14777" t="inlineStr">
        <is>
          <t>10 - 15 Năm</t>
        </is>
      </c>
      <c r="L14777" s="8">
        <f>HYPERLINK("https://careerviet.vn/vi/tim-viec-lam/social-media-director.35C6982B.html","Xem chi tiết")</f>
        <v/>
      </c>
    </row>
    <row r="14778">
      <c r="B14778" s="9" t="n">
        <v>14776</v>
      </c>
      <c r="C14778" s="10" t="inlineStr">
        <is>
          <t>Chuyên viên/Chuyên viên Chính Thẩm định tài sản bảo đảm KV Hà Nội - Trung tâm Thẩm định Tài sản bảo đảm</t>
        </is>
      </c>
      <c r="D14778" s="10" t="inlineStr">
        <is>
          <t>Ngân Hàng TMCP Quốc Dân (NCB)</t>
        </is>
      </c>
      <c r="E14778" s="10" t="inlineStr">
        <is>
          <t>Lương:Cạnh tranh</t>
        </is>
      </c>
      <c r="F14778" s="10" t="inlineStr">
        <is>
          <t>Hà Nội</t>
        </is>
      </c>
      <c r="G14778" s="10" t="inlineStr">
        <is>
          <t>25-03-2026</t>
        </is>
      </c>
      <c r="H14778" s="10" t="inlineStr">
        <is>
          <t>25/03/2026</t>
        </is>
      </c>
      <c r="I14778" s="10" t="inlineStr">
        <is>
          <t>17/03/2026</t>
        </is>
      </c>
      <c r="J14778" s="10" t="inlineStr">
        <is>
          <t>Ngân hàng, Bất động sản, Bán hàng / Kinh doanh</t>
        </is>
      </c>
      <c r="K14778" s="10" t="inlineStr">
        <is>
          <t>Trên 2 Năm</t>
        </is>
      </c>
      <c r="L14778" s="11">
        <f>HYPERLINK("https://careerviet.vn/vi/tim-viec-lam/chuyen-vien-chuyen-vien-chinh-tham-dinh-tai-san-bao-dam-kv-ha-noi-trung-tam-tham-dinh-tai-san-bao-dam.35C69820.html","Xem chi tiết")</f>
        <v/>
      </c>
      <c r="M14778" s="10" t="n"/>
    </row>
    <row r="14779">
      <c r="B14779" s="7" t="n">
        <v>14777</v>
      </c>
      <c r="C14779" t="inlineStr">
        <is>
          <t>Quản Lý Dự Án Xây Dựng Lương từ 30tr - 50tr</t>
        </is>
      </c>
      <c r="D14779" t="inlineStr">
        <is>
          <t>CÔNG TY TNHH HÒA QUẦN</t>
        </is>
      </c>
      <c r="E14779" t="inlineStr">
        <is>
          <t>Lương:30 Tr - 50 Tr VND</t>
        </is>
      </c>
      <c r="F14779" t="inlineStr">
        <is>
          <t>Hà Nội</t>
        </is>
      </c>
      <c r="G14779" t="inlineStr">
        <is>
          <t>31-03-2026</t>
        </is>
      </c>
      <c r="H14779" t="inlineStr">
        <is>
          <t>31/03/2026</t>
        </is>
      </c>
      <c r="I14779" t="inlineStr">
        <is>
          <t>17/03/2026</t>
        </is>
      </c>
      <c r="J14779" t="inlineStr">
        <is>
          <t>Kiến trúc, Xây dựng, Bất động sản</t>
        </is>
      </c>
      <c r="K14779" t="inlineStr">
        <is>
          <t>Trên 5 Năm</t>
        </is>
      </c>
      <c r="L14779" s="8">
        <f>HYPERLINK("https://careerviet.vn/vi/tim-viec-lam/quan-ly-du-an-xay-dung-luong-tu-30tr-50tr.35C690C1.html","Xem chi tiết")</f>
        <v/>
      </c>
    </row>
    <row r="14780">
      <c r="B14780" s="9" t="n">
        <v>14778</v>
      </c>
      <c r="C14780" s="10" t="inlineStr">
        <is>
          <t>CHUYÊN VIÊN PHÁT TRIỂN DỰ ÁN</t>
        </is>
      </c>
      <c r="D14780" s="10" t="inlineStr">
        <is>
          <t>CÔNG TY CP ĐẦU TƯ HẠ TẦNG KHU CÔNG NGHIỆP HÀ NỘI - BẮC GIANG</t>
        </is>
      </c>
      <c r="E14780" s="10" t="inlineStr">
        <is>
          <t>Lương:15 Tr - 30 Tr VND</t>
        </is>
      </c>
      <c r="F14780" s="10" t="inlineStr">
        <is>
          <t>Hà Nội</t>
        </is>
      </c>
      <c r="G14780" s="10" t="inlineStr">
        <is>
          <t>01-05-2026</t>
        </is>
      </c>
      <c r="H14780" s="10" t="inlineStr">
        <is>
          <t>01/05/2026</t>
        </is>
      </c>
      <c r="I14780" s="10" t="inlineStr">
        <is>
          <t>17/03/2026</t>
        </is>
      </c>
      <c r="J14780" s="10" t="inlineStr">
        <is>
          <t>Xây dựng, Bán hàng / Kinh doanh, Bất động sản</t>
        </is>
      </c>
      <c r="K14780" s="10" t="inlineStr">
        <is>
          <t>2 - 5 Năm</t>
        </is>
      </c>
      <c r="L14780" s="11">
        <f>HYPERLINK("https://careerviet.vn/vi/tim-viec-lam/chuyen-vien-phat-trien-du-an.35C697A1.html","Xem chi tiết")</f>
        <v/>
      </c>
      <c r="M14780" s="10" t="n"/>
    </row>
    <row r="14781">
      <c r="B14781" s="7" t="n">
        <v>14779</v>
      </c>
      <c r="C14781" t="inlineStr">
        <is>
          <t>Chuyên viên, Chuyên viên cao cấp Xây dựng Mô hình rủi ro - Risk Modeling Specialist, Senior Specialist - Khối Quản trị rủi ro (HO26.58)</t>
        </is>
      </c>
      <c r="D14781" t="inlineStr">
        <is>
          <t>Ngân Hàng TMCP Quân Đội</t>
        </is>
      </c>
      <c r="E14781" t="inlineStr">
        <is>
          <t>Lương:Cạnh tranh</t>
        </is>
      </c>
      <c r="F14781" t="inlineStr">
        <is>
          <t>Hà Nội</t>
        </is>
      </c>
      <c r="G14781" t="inlineStr">
        <is>
          <t>26-03-2026</t>
        </is>
      </c>
      <c r="H14781" t="inlineStr">
        <is>
          <t>26/03/2026</t>
        </is>
      </c>
      <c r="I14781" t="inlineStr">
        <is>
          <t>17/03/2026</t>
        </is>
      </c>
      <c r="J14781" t="inlineStr">
        <is>
          <t>Ngân hàng, Tài chính / Đầu tư, CNTT - Phần mềm</t>
        </is>
      </c>
      <c r="K14781" t="inlineStr">
        <is>
          <t>N/A</t>
        </is>
      </c>
      <c r="L14781" s="8">
        <f>HYPERLINK("https://careerviet.vn/vi/tim-viec-lam/chuyen-vien-chuyen-vien-cao-cap-xay-dung-mo-hinh-rui-ro-risk-modeling-specialist-senior-specialist-khoi-quan-tri-rui-ro-ho26-58.35C698A5.html","Xem chi tiết")</f>
        <v/>
      </c>
    </row>
    <row r="14782">
      <c r="B14782" s="9" t="n">
        <v>14780</v>
      </c>
      <c r="C14782" s="10" t="inlineStr">
        <is>
          <t>Kỹ sư kinh tế xây dựng</t>
        </is>
      </c>
      <c r="D14782" s="10" t="inlineStr">
        <is>
          <t>CÔNG TY CP ĐẦU TƯ HẠ TẦNG KHU CÔNG NGHIỆP HÀ NỘI - BẮC GIANG</t>
        </is>
      </c>
      <c r="E14782" s="10" t="inlineStr">
        <is>
          <t>Lương:15 Tr - 30 Tr VND</t>
        </is>
      </c>
      <c r="F14782" s="10" t="inlineStr">
        <is>
          <t>Hà Nội</t>
        </is>
      </c>
      <c r="G14782" s="10" t="inlineStr">
        <is>
          <t>01-05-2026</t>
        </is>
      </c>
      <c r="H14782" s="10" t="inlineStr">
        <is>
          <t>01/05/2026</t>
        </is>
      </c>
      <c r="I14782" s="10" t="inlineStr">
        <is>
          <t>17/03/2026</t>
        </is>
      </c>
      <c r="J14782" s="10" t="inlineStr">
        <is>
          <t>Xây dựng, Bất động sản</t>
        </is>
      </c>
      <c r="K14782" s="10" t="inlineStr">
        <is>
          <t>3 - 5 Năm</t>
        </is>
      </c>
      <c r="L14782" s="11">
        <f>HYPERLINK("https://careerviet.vn/vi/tim-viec-lam/ky-su-kinh-te-xay-dung.35C69767.html","Xem chi tiết")</f>
        <v/>
      </c>
      <c r="M14782" s="10" t="n"/>
    </row>
    <row r="14783">
      <c r="B14783" s="7" t="n">
        <v>14781</v>
      </c>
      <c r="C14783" t="inlineStr">
        <is>
          <t>Pricing Executive (Hàng Air)</t>
        </is>
      </c>
      <c r="D14783" t="inlineStr">
        <is>
          <t>3A Logistics</t>
        </is>
      </c>
      <c r="E14783" t="inlineStr">
        <is>
          <t>Lương:10 Tr - 15 Tr VND</t>
        </is>
      </c>
      <c r="F14783" t="inlineStr">
        <is>
          <t>Hà Nội</t>
        </is>
      </c>
      <c r="G14783" t="inlineStr">
        <is>
          <t>10-03-2026</t>
        </is>
      </c>
      <c r="H14783" t="inlineStr">
        <is>
          <t>31/12/2025</t>
        </is>
      </c>
      <c r="I14783" t="inlineStr">
        <is>
          <t>17/03/2026</t>
        </is>
      </c>
      <c r="J14783" t="inlineStr">
        <is>
          <t>Vận chuyển / Giao nhận / Kho vận, Xuất nhập khẩu</t>
        </is>
      </c>
      <c r="K14783" t="inlineStr">
        <is>
          <t>2 - 3 Năm</t>
        </is>
      </c>
      <c r="L14783" s="8">
        <f>HYPERLINK("https://careerviet.vn/vi/tim-viec-lam/pricing-executive-hang-air.35C62035.html","Xem chi tiết")</f>
        <v/>
      </c>
    </row>
    <row r="14784">
      <c r="B14784" s="9" t="n">
        <v>14782</v>
      </c>
      <c r="C14784" s="10" t="inlineStr">
        <is>
          <t>Chuyên viên, Chuyên viên cao cấp Quản lý pháp chế - Legal Management Specialist, Senior Specialist - Khối Pháp chế và Tuân thủ (HO26.47)</t>
        </is>
      </c>
      <c r="D14784" s="10" t="inlineStr">
        <is>
          <t>Ngân Hàng TMCP Quân Đội</t>
        </is>
      </c>
      <c r="E14784" s="10" t="inlineStr">
        <is>
          <t>Lương:Cạnh tranh</t>
        </is>
      </c>
      <c r="F14784" s="10" t="inlineStr">
        <is>
          <t>Hà Nội</t>
        </is>
      </c>
      <c r="G14784" s="10" t="inlineStr">
        <is>
          <t>26-03-2026</t>
        </is>
      </c>
      <c r="H14784" s="10" t="inlineStr">
        <is>
          <t>26/03/2026</t>
        </is>
      </c>
      <c r="I14784" s="10" t="inlineStr">
        <is>
          <t>17/03/2026</t>
        </is>
      </c>
      <c r="J14784" s="10" t="inlineStr">
        <is>
          <t>Ngân hàng, Tài chính / Đầu tư, Luật / Pháp lý</t>
        </is>
      </c>
      <c r="K14784" s="10" t="inlineStr">
        <is>
          <t>Trên 3 Năm</t>
        </is>
      </c>
      <c r="L14784" s="11">
        <f>HYPERLINK("https://careerviet.vn/vi/tim-viec-lam/chuyen-vien-chuyen-vien-cao-cap-quan-ly-phap-che-legal-management-specialist-senior-specialist-khoi-phap-che-va-tuan-thu-ho26-47.35C69899.html","Xem chi tiết")</f>
        <v/>
      </c>
      <c r="M14784" s="10" t="n"/>
    </row>
    <row r="14785">
      <c r="B14785" s="7" t="n">
        <v>14783</v>
      </c>
      <c r="C14785" t="inlineStr">
        <is>
          <t>Nhân viên Bán hàng Thời trang  brand cao cấp Hà Nội</t>
        </is>
      </c>
      <c r="D14785" t="inlineStr">
        <is>
          <t>CT CP Tập Đoàn Thái Tuấn</t>
        </is>
      </c>
      <c r="E14785" t="inlineStr">
        <is>
          <t>Lương:7 Tr - 12 Tr VND</t>
        </is>
      </c>
      <c r="F14785" t="inlineStr">
        <is>
          <t>Hà Nội</t>
        </is>
      </c>
      <c r="G14785" t="inlineStr">
        <is>
          <t>25-03-2026</t>
        </is>
      </c>
      <c r="H14785" t="inlineStr">
        <is>
          <t>25/03/2026</t>
        </is>
      </c>
      <c r="I14785" t="inlineStr">
        <is>
          <t>17/03/2026</t>
        </is>
      </c>
      <c r="J14785" t="inlineStr">
        <is>
          <t>Bán lẻ / Bán sỉ, Bán hàng / Kinh doanh, Dệt may / Da giày / Thời trang</t>
        </is>
      </c>
      <c r="K14785" t="inlineStr">
        <is>
          <t>N/A</t>
        </is>
      </c>
      <c r="L14785" s="8">
        <f>HYPERLINK("https://careerviet.vn/vi/tim-viec-lam/nhan-vien-ban-hang-thoi-trang-brand-cao-cap-ha-noi.35C6959C.html","Xem chi tiết")</f>
        <v/>
      </c>
    </row>
    <row r="14786">
      <c r="B14786" s="9" t="n">
        <v>14784</v>
      </c>
      <c r="C14786" s="10" t="inlineStr">
        <is>
          <t>CHUYÊN VIÊN QUẢN LÝ THI CÔNG</t>
        </is>
      </c>
      <c r="D14786" s="10" t="inlineStr">
        <is>
          <t>Công ty cổ phần xây dựng công nghiệp Megacon</t>
        </is>
      </c>
      <c r="E14786" s="10" t="inlineStr">
        <is>
          <t>Lương:25 Tr - 28 Tr VND</t>
        </is>
      </c>
      <c r="F14786" s="10" t="inlineStr">
        <is>
          <t>Hà Nội</t>
        </is>
      </c>
      <c r="G14786" s="10" t="inlineStr">
        <is>
          <t>30-04-2026</t>
        </is>
      </c>
      <c r="H14786" s="10" t="inlineStr">
        <is>
          <t>30/04/2026</t>
        </is>
      </c>
      <c r="I14786" s="10" t="inlineStr">
        <is>
          <t>17/03/2026</t>
        </is>
      </c>
      <c r="J14786" s="10" t="inlineStr">
        <is>
          <t>Bảo trì / Sửa chữa, Xây dựng</t>
        </is>
      </c>
      <c r="K14786" s="10" t="inlineStr">
        <is>
          <t>Trên 3 Năm</t>
        </is>
      </c>
      <c r="L14786" s="11">
        <f>HYPERLINK("https://careerviet.vn/vi/tim-viec-lam/chuyen-vien-quan-ly-thi-cong.35C695F9.html","Xem chi tiết")</f>
        <v/>
      </c>
      <c r="M14786" s="10" t="n"/>
    </row>
    <row r="14787">
      <c r="B14787" s="7" t="n">
        <v>14785</v>
      </c>
      <c r="C14787" t="inlineStr">
        <is>
          <t>Nhân Viên Phay CNC</t>
        </is>
      </c>
      <c r="D14787" t="inlineStr">
        <is>
          <t>Công ty cổ phần thiết bị ANTTEK Việt Nam</t>
        </is>
      </c>
      <c r="E14787" t="inlineStr">
        <is>
          <t>Lương:7 Tr - 10 Tr VND</t>
        </is>
      </c>
      <c r="F14787" t="inlineStr">
        <is>
          <t>Hà Nội</t>
        </is>
      </c>
      <c r="G14787" t="inlineStr">
        <is>
          <t>24-03-2026</t>
        </is>
      </c>
      <c r="H14787" t="inlineStr">
        <is>
          <t>24/03/2026</t>
        </is>
      </c>
      <c r="I14787" t="inlineStr">
        <is>
          <t>17/03/2026</t>
        </is>
      </c>
      <c r="J14787" t="inlineStr">
        <is>
          <t>Cơ khí / Ô tô / Tự động hóa, Mỹ thuật / Nghệ thuật / Thiết kế, Bảo trì / Sửa chữa</t>
        </is>
      </c>
      <c r="K14787" t="inlineStr">
        <is>
          <t>N/A</t>
        </is>
      </c>
      <c r="L14787" s="8">
        <f>HYPERLINK("https://careerviet.vn/vi/tim-viec-lam/nhan-vien-phay-cnc.35C697F4.html","Xem chi tiết")</f>
        <v/>
      </c>
    </row>
    <row r="14788">
      <c r="B14788" s="9" t="n">
        <v>14786</v>
      </c>
      <c r="C14788" s="10" t="inlineStr">
        <is>
          <t>Product Owner (Supply Chain Management)</t>
        </is>
      </c>
      <c r="D14788" s="10" t="inlineStr">
        <is>
          <t>Công ty Cổ phần Thời Trang YODY</t>
        </is>
      </c>
      <c r="E14788" s="10" t="inlineStr">
        <is>
          <t>Lương:Cạnh tranh</t>
        </is>
      </c>
      <c r="F14788" s="10" t="inlineStr">
        <is>
          <t>Hồ Chí Minh</t>
        </is>
      </c>
      <c r="G14788" s="10" t="inlineStr">
        <is>
          <t>31-03-2026</t>
        </is>
      </c>
      <c r="H14788" s="10" t="inlineStr">
        <is>
          <t>31/03/2026</t>
        </is>
      </c>
      <c r="I14788" s="10" t="inlineStr">
        <is>
          <t>17/03/2026</t>
        </is>
      </c>
      <c r="J14788" s="10" t="inlineStr">
        <is>
          <t>Bán lẻ / Bán sỉ, Dệt may / Da giày / Thời trang</t>
        </is>
      </c>
      <c r="K14788" s="10" t="inlineStr">
        <is>
          <t>1 - 2 Năm</t>
        </is>
      </c>
      <c r="L14788" s="11">
        <f>HYPERLINK("https://careerviet.vn/vi/tim-viec-lam/product-owner-supply-chain-management.35C6981E.html","Xem chi tiết")</f>
        <v/>
      </c>
      <c r="M14788" s="10" t="n"/>
    </row>
    <row r="14789">
      <c r="B14789" s="7" t="n">
        <v>14787</v>
      </c>
      <c r="C14789" t="inlineStr">
        <is>
          <t>Chuyên viên phát triển dự án</t>
        </is>
      </c>
      <c r="D14789" t="inlineStr">
        <is>
          <t>Công ty Cổ phần FECON</t>
        </is>
      </c>
      <c r="E14789" t="inlineStr">
        <is>
          <t>Lương:Cạnh tranh</t>
        </is>
      </c>
      <c r="F14789" t="inlineStr">
        <is>
          <t>Hà Nội</t>
        </is>
      </c>
      <c r="G14789" t="inlineStr">
        <is>
          <t>27-03-2026</t>
        </is>
      </c>
      <c r="H14789" t="inlineStr">
        <is>
          <t>27/03/2026</t>
        </is>
      </c>
      <c r="I14789" t="inlineStr">
        <is>
          <t>17/03/2026</t>
        </is>
      </c>
      <c r="J14789" t="inlineStr">
        <is>
          <t>Bất động sản</t>
        </is>
      </c>
      <c r="K14789" t="inlineStr">
        <is>
          <t>3 - 5 Năm</t>
        </is>
      </c>
      <c r="L14789" s="8">
        <f>HYPERLINK("https://careerviet.vn/vi/tim-viec-lam/chuyen-vien-phat-trien-du-an.35C6951E.html","Xem chi tiết")</f>
        <v/>
      </c>
    </row>
    <row r="14790">
      <c r="B14790" s="9" t="n">
        <v>14788</v>
      </c>
      <c r="C14790" s="10" t="inlineStr">
        <is>
          <t>Nhân Viên Trung Tâm Giải Đáp Khách Hàng Viettel Cẩm Lệ Đà Nẵng</t>
        </is>
      </c>
      <c r="D14790" s="10" t="inlineStr">
        <is>
          <t>CÔNG TY CỔ PHẦN TRUYỀN THÔNG KIM CƯƠNG</t>
        </is>
      </c>
      <c r="E14790" s="10" t="inlineStr">
        <is>
          <t>Lương:6 Tr - 8 Tr VND</t>
        </is>
      </c>
      <c r="F14790" s="10" t="inlineStr">
        <is>
          <t>Đà Nẵng</t>
        </is>
      </c>
      <c r="G14790" s="10" t="inlineStr">
        <is>
          <t>6</t>
        </is>
      </c>
      <c r="H14790" s="10" t="inlineStr">
        <is>
          <t>23/03/2026</t>
        </is>
      </c>
      <c r="I14790" s="10" t="inlineStr">
        <is>
          <t>17/03/2026</t>
        </is>
      </c>
      <c r="J14790" s="10" t="inlineStr">
        <is>
          <t>Tiếp thị trực tuyến, Dịch vụ khách hàng, Bưu chính viễn thông</t>
        </is>
      </c>
      <c r="K14790" s="10" t="inlineStr">
        <is>
          <t>N/A</t>
        </is>
      </c>
      <c r="L14790" s="11">
        <f>HYPERLINK("https://careerviet.vn/vi/tim-viec-lam/nhan-vien-trung-tam-giai-dap-khach-hang-viettel-cam-le-da-nang.35C68CD3.html","Xem chi tiết")</f>
        <v/>
      </c>
      <c r="M14790" s="10" t="n"/>
    </row>
    <row r="14791">
      <c r="B14791" s="7" t="n">
        <v>14789</v>
      </c>
      <c r="C14791" t="inlineStr">
        <is>
          <t>[ĐÀ NẴNG] Nhân Viên Kinh Doanh Thị Trường (Thanh khê, Liên Chiểu)</t>
        </is>
      </c>
      <c r="D14791" t="inlineStr">
        <is>
          <t>CÔNG TY CỔ PHẦN SẢN XUẤT, THƯƠNG MẠI VÀ DỊCH VỤ PHÚC THỊNH</t>
        </is>
      </c>
      <c r="E14791" t="inlineStr">
        <is>
          <t>Lương:8 Tr - 13 Tr VND</t>
        </is>
      </c>
      <c r="F14791" t="inlineStr">
        <is>
          <t>Đà Nẵng</t>
        </is>
      </c>
      <c r="G14791" t="inlineStr">
        <is>
          <t>10-03-2026</t>
        </is>
      </c>
      <c r="H14791" t="inlineStr">
        <is>
          <t>01/03/2026</t>
        </is>
      </c>
      <c r="I14791" t="inlineStr">
        <is>
          <t>17/03/2026</t>
        </is>
      </c>
      <c r="J14791" t="inlineStr">
        <is>
          <t>Bán lẻ / Bán sỉ, Bán hàng / Kinh doanh, Thực phẩm &amp; Đồ uống</t>
        </is>
      </c>
      <c r="K14791" t="inlineStr">
        <is>
          <t>1 - 2 Năm</t>
        </is>
      </c>
      <c r="L14791" s="8">
        <f>HYPERLINK("https://careerviet.vn/vi/tim-viec-lam/da-nang-nhan-vien-kinh-doanh-thi-truong-thanh-khe-lien-chieu.35C69717.html","Xem chi tiết")</f>
        <v/>
      </c>
    </row>
    <row r="14792">
      <c r="B14792" s="9" t="n">
        <v>14790</v>
      </c>
      <c r="C14792" s="10" t="inlineStr">
        <is>
          <t>Chuyên Viên Đào Tạo Tay Nghề (Ngành mỹ phẩm, Spa)</t>
        </is>
      </c>
      <c r="D14792" s="10" t="inlineStr">
        <is>
          <t>Công ty TNHH Thiên Thủy Mộc</t>
        </is>
      </c>
      <c r="E14792" s="10" t="inlineStr">
        <is>
          <t>Lương:15 Tr - 22 Tr VND</t>
        </is>
      </c>
      <c r="F14792" s="10" t="inlineStr">
        <is>
          <t>Hồ Chí MinhHà Nội</t>
        </is>
      </c>
      <c r="G14792" s="10" t="inlineStr">
        <is>
          <t>27-03-2026</t>
        </is>
      </c>
      <c r="H14792" s="10" t="inlineStr">
        <is>
          <t>27/03/2026</t>
        </is>
      </c>
      <c r="I14792" s="10" t="inlineStr">
        <is>
          <t>17/03/2026</t>
        </is>
      </c>
      <c r="J14792" s="10" t="inlineStr">
        <is>
          <t>Giáo dục / Đào tạo, Y tế / Chăm sóc sức khỏe / Thẩm mỹ / Làm đẹp, Bán hàng / Kinh doanh</t>
        </is>
      </c>
      <c r="K14792" s="10" t="inlineStr">
        <is>
          <t>2 - 4 Năm</t>
        </is>
      </c>
      <c r="L14792" s="11">
        <f>HYPERLINK("https://careerviet.vn/vi/tim-viec-lam/chuyen-vien-dao-tao-tay-nghe-nganh-my-pham-spa.35C695DF.html","Xem chi tiết")</f>
        <v/>
      </c>
      <c r="M14792" s="10" t="n"/>
    </row>
    <row r="14793">
      <c r="B14793" s="7" t="n">
        <v>14791</v>
      </c>
      <c r="C14793" t="inlineStr">
        <is>
          <t>Kế toán quản trị kiêm kế toán tổng hợp</t>
        </is>
      </c>
      <c r="D14793" t="inlineStr">
        <is>
          <t>Bảo mật</t>
        </is>
      </c>
      <c r="E14793" t="inlineStr">
        <is>
          <t>Lương:10 Tr - 15 Tr VND</t>
        </is>
      </c>
      <c r="F14793" t="inlineStr">
        <is>
          <t>Hồ Chí Minh</t>
        </is>
      </c>
      <c r="G14793" t="inlineStr">
        <is>
          <t>29-04-2026</t>
        </is>
      </c>
      <c r="H14793" t="inlineStr">
        <is>
          <t>29/04/2026</t>
        </is>
      </c>
      <c r="I14793" t="inlineStr">
        <is>
          <t>17/03/2026</t>
        </is>
      </c>
      <c r="J14793" t="inlineStr">
        <is>
          <t>Bán lẻ / Bán sỉ</t>
        </is>
      </c>
      <c r="K14793" t="inlineStr">
        <is>
          <t>N/A</t>
        </is>
      </c>
      <c r="L14793" s="8">
        <f>HYPERLINK("https://careerviet.vn/vi/tim-viec-lam/ke-toan-quan-tri-kiem-ke-toan-tong-hop.35C66548.html","Xem chi tiết")</f>
        <v/>
      </c>
    </row>
    <row r="14794">
      <c r="B14794" s="9" t="n">
        <v>14792</v>
      </c>
      <c r="C14794" s="10" t="inlineStr">
        <is>
          <t>Chuyên viên, Chuyên viên cao cấp Quản trị rủi ro gian lận - Khối Quản trị rủi ro (HO26.56)</t>
        </is>
      </c>
      <c r="D14794" s="10" t="inlineStr">
        <is>
          <t>Ngân Hàng TMCP Quân Đội</t>
        </is>
      </c>
      <c r="E14794" s="10" t="inlineStr">
        <is>
          <t>Lương:Cạnh tranh</t>
        </is>
      </c>
      <c r="F14794" s="10" t="inlineStr">
        <is>
          <t>Hà Nội</t>
        </is>
      </c>
      <c r="G14794" s="10" t="inlineStr">
        <is>
          <t>26-03-2026</t>
        </is>
      </c>
      <c r="H14794" s="10" t="inlineStr">
        <is>
          <t>26/03/2026</t>
        </is>
      </c>
      <c r="I14794" s="10" t="inlineStr">
        <is>
          <t>17/03/2026</t>
        </is>
      </c>
      <c r="J14794" s="10" t="inlineStr">
        <is>
          <t>Ngân hàng, Tài chính / Đầu tư, Kế toán / Kiểm toán</t>
        </is>
      </c>
      <c r="K14794" s="10" t="inlineStr">
        <is>
          <t>N/A</t>
        </is>
      </c>
      <c r="L14794" s="11">
        <f>HYPERLINK("https://careerviet.vn/vi/tim-viec-lam/chuyen-vien-chuyen-vien-cao-cap-quan-tri-rui-ro-gian-lan-khoi-quan-tri-rui-ro-ho26-56.35C698A3.html","Xem chi tiết")</f>
        <v/>
      </c>
      <c r="M14794" s="10" t="n"/>
    </row>
    <row r="14795">
      <c r="B14795" s="7" t="n">
        <v>14793</v>
      </c>
      <c r="C14795" t="inlineStr">
        <is>
          <t>Pre-sales Consultant (ERP)</t>
        </is>
      </c>
      <c r="D14795" t="inlineStr">
        <is>
          <t>Công ty TNHH Cadena Việt Nam</t>
        </is>
      </c>
      <c r="E14795" t="inlineStr">
        <is>
          <t>Lương:Cạnh tranh</t>
        </is>
      </c>
      <c r="F14795" t="inlineStr">
        <is>
          <t>Hồ Chí Minh</t>
        </is>
      </c>
      <c r="G14795" t="inlineStr">
        <is>
          <t>26-03-2026</t>
        </is>
      </c>
      <c r="H14795" t="inlineStr">
        <is>
          <t>26/03/2026</t>
        </is>
      </c>
      <c r="I14795" t="inlineStr">
        <is>
          <t>17/03/2026</t>
        </is>
      </c>
      <c r="J14795" t="inlineStr">
        <is>
          <t>Tiếp thị / Marketing, Nhân sự, CNTT - Phần mềm</t>
        </is>
      </c>
      <c r="K14795" t="inlineStr">
        <is>
          <t>1 - 3 Năm</t>
        </is>
      </c>
      <c r="L14795" s="8">
        <f>HYPERLINK("https://careerviet.vn/vi/tim-viec-lam/pre-sales-consultant-erp.35C69808.html","Xem chi tiết")</f>
        <v/>
      </c>
    </row>
    <row r="14796">
      <c r="B14796" s="9" t="n">
        <v>14794</v>
      </c>
      <c r="C14796" s="10" t="inlineStr">
        <is>
          <t>HCM Chuyên viên Kế toán Bán hàng (Văn Phòng)</t>
        </is>
      </c>
      <c r="D14796" s="10" t="inlineStr">
        <is>
          <t>Công ty TNHH Thiên Thủy Mộc</t>
        </is>
      </c>
      <c r="E14796" s="10" t="inlineStr">
        <is>
          <t>Lương:11 Tr - 14 Tr VND</t>
        </is>
      </c>
      <c r="F14796" s="10" t="inlineStr">
        <is>
          <t>Hồ Chí Minh</t>
        </is>
      </c>
      <c r="G14796" s="10" t="inlineStr">
        <is>
          <t>26-03-2026</t>
        </is>
      </c>
      <c r="H14796" s="10" t="inlineStr">
        <is>
          <t>26/03/2026</t>
        </is>
      </c>
      <c r="I14796" s="10" t="inlineStr">
        <is>
          <t>17/03/2026</t>
        </is>
      </c>
      <c r="J14796" s="10" t="inlineStr">
        <is>
          <t>Kế toán / Kiểm toán</t>
        </is>
      </c>
      <c r="K14796" s="10" t="inlineStr">
        <is>
          <t>N/A</t>
        </is>
      </c>
      <c r="L14796" s="11">
        <f>HYPERLINK("https://careerviet.vn/vi/tim-viec-lam/hcm-chuyen-vien-ke-toan-ban-hang-van-phong.35C69879.html","Xem chi tiết")</f>
        <v/>
      </c>
      <c r="M14796" s="10" t="n"/>
    </row>
    <row r="14797">
      <c r="B14797" s="7" t="n">
        <v>14795</v>
      </c>
      <c r="C14797" t="inlineStr">
        <is>
          <t>测试工程师</t>
        </is>
      </c>
      <c r="D14797" t="inlineStr">
        <is>
          <t>CÔNG TY TNHH RYDER INDUSTRIES VIỆT NAM</t>
        </is>
      </c>
      <c r="E14797" t="inlineStr">
        <is>
          <t>Lương:30 Tr - 45 Tr VND</t>
        </is>
      </c>
      <c r="F14797" t="inlineStr">
        <is>
          <t>Đồng Nai</t>
        </is>
      </c>
      <c r="G14797" t="inlineStr">
        <is>
          <t>25-03-2026</t>
        </is>
      </c>
      <c r="H14797" t="inlineStr">
        <is>
          <t>25/03/2026</t>
        </is>
      </c>
      <c r="I14797" t="inlineStr">
        <is>
          <t>17/03/2026</t>
        </is>
      </c>
      <c r="J14797" t="inlineStr">
        <is>
          <t>Sản xuất / Vận hành sản xuất</t>
        </is>
      </c>
      <c r="K14797" t="inlineStr">
        <is>
          <t>Chưa có kinh nghiệm</t>
        </is>
      </c>
      <c r="L14797" s="8">
        <f>HYPERLINK("https://careerviet.vn/vi/tim-viec-lam/info.35C69712.html","Xem chi tiết")</f>
        <v/>
      </c>
    </row>
    <row r="14798">
      <c r="B14798" s="9" t="n">
        <v>14796</v>
      </c>
      <c r="C14798" s="10" t="inlineStr">
        <is>
          <t>Giám Đốc Trung Tâm Nghiên Cứu &amp; Phát Triển (R&amp;D)</t>
        </is>
      </c>
      <c r="D14798" s="10" t="inlineStr">
        <is>
          <t>Công Ty Cổ Phần Quốc Tế Sơn Hà</t>
        </is>
      </c>
      <c r="E14798" s="10" t="inlineStr">
        <is>
          <t>Lương:Cạnh tranh</t>
        </is>
      </c>
      <c r="F14798" s="10" t="inlineStr">
        <is>
          <t>Hà Nội</t>
        </is>
      </c>
      <c r="G14798" s="10" t="inlineStr">
        <is>
          <t>27-03-2026</t>
        </is>
      </c>
      <c r="H14798" s="10" t="inlineStr">
        <is>
          <t>27/03/2026</t>
        </is>
      </c>
      <c r="I14798" s="10" t="inlineStr">
        <is>
          <t>17/03/2026</t>
        </is>
      </c>
      <c r="J14798" s="10" t="inlineStr">
        <is>
          <t>Cơ khí / Ô tô / Tự động hóa, Môi trường</t>
        </is>
      </c>
      <c r="K14798" s="10" t="inlineStr">
        <is>
          <t>7 - 15 Năm</t>
        </is>
      </c>
      <c r="L14798" s="11">
        <f>HYPERLINK("https://careerviet.vn/vi/tim-viec-lam/giam-doc-trung-tam-nghien-cuu-phat-trien-r-d.35C69512.html","Xem chi tiết")</f>
        <v/>
      </c>
      <c r="M14798" s="10" t="n"/>
    </row>
    <row r="14799">
      <c r="B14799" s="7" t="n">
        <v>14797</v>
      </c>
      <c r="C14799" t="inlineStr">
        <is>
          <t>Sales Logistics</t>
        </is>
      </c>
      <c r="D14799" t="inlineStr">
        <is>
          <t>Indo Trans Logistics</t>
        </is>
      </c>
      <c r="E14799" t="inlineStr">
        <is>
          <t>Lương:Cạnh tranh</t>
        </is>
      </c>
      <c r="F14799" t="inlineStr">
        <is>
          <t>Đà Nẵng</t>
        </is>
      </c>
      <c r="G14799" t="inlineStr">
        <is>
          <t>25-03-2026</t>
        </is>
      </c>
      <c r="H14799" t="inlineStr">
        <is>
          <t>25/03/2026</t>
        </is>
      </c>
      <c r="I14799" t="inlineStr">
        <is>
          <t>17/03/2026</t>
        </is>
      </c>
      <c r="J14799" t="inlineStr">
        <is>
          <t>Vận chuyển / Giao nhận / Kho vận</t>
        </is>
      </c>
      <c r="K14799" t="inlineStr">
        <is>
          <t>Trên 1 Năm</t>
        </is>
      </c>
      <c r="L14799" s="8">
        <f>HYPERLINK("https://careerviet.vn/vi/tim-viec-lam/sales-logistics.35C6948A.html","Xem chi tiết")</f>
        <v/>
      </c>
    </row>
    <row r="14800">
      <c r="B14800" s="9" t="n">
        <v>14798</v>
      </c>
      <c r="C14800" s="10" t="inlineStr">
        <is>
          <t>Chuyên Viên Cao Cấp C&amp;B</t>
        </is>
      </c>
      <c r="D14800" s="10" t="inlineStr">
        <is>
          <t>CÔNG TY CỔ PHẦN ĐIỆN LỰC GELEX</t>
        </is>
      </c>
      <c r="E14800" s="10" t="inlineStr">
        <is>
          <t>Lương:Cạnh tranh</t>
        </is>
      </c>
      <c r="F14800" s="10" t="inlineStr">
        <is>
          <t>Hà Nội</t>
        </is>
      </c>
      <c r="G14800" s="10" t="inlineStr">
        <is>
          <t>04-04-2026</t>
        </is>
      </c>
      <c r="H14800" s="10" t="inlineStr">
        <is>
          <t>04/04/2026</t>
        </is>
      </c>
      <c r="I14800" s="10" t="inlineStr">
        <is>
          <t>17/03/2026</t>
        </is>
      </c>
      <c r="J14800" s="10" t="inlineStr">
        <is>
          <t>Nhân sự, Hành chính / Thư ký, Điện / Điện tử / Điện lạnh / Điện công nghiệp</t>
        </is>
      </c>
      <c r="K14800" s="10" t="inlineStr">
        <is>
          <t>3 - 5 Năm</t>
        </is>
      </c>
      <c r="L14800" s="11">
        <f>HYPERLINK("https://careerviet.vn/vi/tim-viec-lam/chuyen-vien-cao-cap-c-b.35C6AE7B.html","Xem chi tiết")</f>
        <v/>
      </c>
      <c r="M14800" s="10" t="n"/>
    </row>
    <row r="14801">
      <c r="B14801" s="7" t="n">
        <v>14799</v>
      </c>
      <c r="C14801" t="inlineStr">
        <is>
          <t>Chuyên Viên Marketing</t>
        </is>
      </c>
      <c r="D14801" t="inlineStr">
        <is>
          <t>TẬP ĐOÀN HẠ TẦNG ĐÔ THỊ</t>
        </is>
      </c>
      <c r="E14801" t="inlineStr">
        <is>
          <t>Lương:Cạnh tranh</t>
        </is>
      </c>
      <c r="F14801" t="inlineStr">
        <is>
          <t>Hà Nội</t>
        </is>
      </c>
      <c r="G14801" t="inlineStr">
        <is>
          <t>30-04-2026</t>
        </is>
      </c>
      <c r="H14801" t="inlineStr">
        <is>
          <t>30/04/2026</t>
        </is>
      </c>
      <c r="I14801" t="inlineStr">
        <is>
          <t>17/03/2026</t>
        </is>
      </c>
      <c r="J14801" t="inlineStr">
        <is>
          <t>Bất động sản, Tiếp thị / Marketing, Quảng cáo / Đối ngoại / Truyền Thông</t>
        </is>
      </c>
      <c r="K14801" t="inlineStr">
        <is>
          <t>2 - 5 Năm</t>
        </is>
      </c>
      <c r="L14801" s="8">
        <f>HYPERLINK("https://careerviet.vn/vi/tim-viec-lam/chuyen-vien-marketing.35C697EF.html","Xem chi tiết")</f>
        <v/>
      </c>
    </row>
    <row r="14802">
      <c r="B14802" s="9" t="n">
        <v>14800</v>
      </c>
      <c r="C14802" s="10" t="inlineStr">
        <is>
          <t>Sales Manager (ERP software)</t>
        </is>
      </c>
      <c r="D14802" s="10" t="inlineStr">
        <is>
          <t>Công ty TNHH Cadena Việt Nam</t>
        </is>
      </c>
      <c r="E14802" s="10" t="inlineStr">
        <is>
          <t>Lương:Cạnh tranh</t>
        </is>
      </c>
      <c r="F14802" s="10" t="inlineStr">
        <is>
          <t>Hồ Chí Minh</t>
        </is>
      </c>
      <c r="G14802" s="10" t="inlineStr">
        <is>
          <t>03-04-2026</t>
        </is>
      </c>
      <c r="H14802" s="10" t="inlineStr">
        <is>
          <t>03/04/2026</t>
        </is>
      </c>
      <c r="I14802" s="10" t="inlineStr">
        <is>
          <t>17/03/2026</t>
        </is>
      </c>
      <c r="J14802" s="10" t="inlineStr">
        <is>
          <t>Tiếp thị / Marketing, Nhân sự, CNTT - Phần mềm</t>
        </is>
      </c>
      <c r="K14802" s="10" t="inlineStr">
        <is>
          <t>6 - 8 Năm</t>
        </is>
      </c>
      <c r="L14802" s="11">
        <f>HYPERLINK("https://careerviet.vn/vi/tim-viec-lam/sales-manager-erp-software.35C6AC8E.html","Xem chi tiết")</f>
        <v/>
      </c>
      <c r="M14802" s="10" t="n"/>
    </row>
    <row r="14803">
      <c r="B14803" s="7" t="n">
        <v>14801</v>
      </c>
      <c r="C14803" t="inlineStr">
        <is>
          <t>Internal Audit (Kiểm Soát Nội Bộ)</t>
        </is>
      </c>
      <c r="D14803" t="inlineStr">
        <is>
          <t>CJ Foodville Việt Nam</t>
        </is>
      </c>
      <c r="E14803" t="inlineStr">
        <is>
          <t>Lương:Cạnh tranh</t>
        </is>
      </c>
      <c r="F14803" t="inlineStr">
        <is>
          <t>Hồ Chí Minh</t>
        </is>
      </c>
      <c r="G14803" t="inlineStr">
        <is>
          <t>03-04-2026</t>
        </is>
      </c>
      <c r="H14803" t="inlineStr">
        <is>
          <t>03/04/2026</t>
        </is>
      </c>
      <c r="I14803" t="inlineStr">
        <is>
          <t>17/03/2026</t>
        </is>
      </c>
      <c r="J14803" t="inlineStr">
        <is>
          <t>Kế toán / Kiểm toán, Thực phẩm &amp; Đồ uống, Bán lẻ / Bán sỉ</t>
        </is>
      </c>
      <c r="K14803" t="inlineStr">
        <is>
          <t>2 - 3 Năm</t>
        </is>
      </c>
      <c r="L14803" s="8">
        <f>HYPERLINK("https://careerviet.vn/vi/tim-viec-lam/internal-audit-kiem-soat-noi-bo.35C6AEDF.html","Xem chi tiết")</f>
        <v/>
      </c>
    </row>
    <row r="14804">
      <c r="B14804" s="9" t="n">
        <v>14802</v>
      </c>
      <c r="C14804" s="10" t="inlineStr">
        <is>
          <t>Kỹ sư an toàn lao động</t>
        </is>
      </c>
      <c r="D14804" s="10" t="inlineStr">
        <is>
          <t>Công ty TNHH Nesta</t>
        </is>
      </c>
      <c r="E14804" s="10" t="inlineStr">
        <is>
          <t>Lương:Cạnh tranh</t>
        </is>
      </c>
      <c r="F14804" s="10" t="inlineStr">
        <is>
          <t>Lào Cai</t>
        </is>
      </c>
      <c r="G14804" s="10" t="inlineStr">
        <is>
          <t>02-04-2026</t>
        </is>
      </c>
      <c r="H14804" s="10" t="inlineStr">
        <is>
          <t>02/04/2026</t>
        </is>
      </c>
      <c r="I14804" s="10" t="inlineStr">
        <is>
          <t>17/03/2026</t>
        </is>
      </c>
      <c r="J14804" s="10" t="inlineStr">
        <is>
          <t>Xây dựng, An toàn lao động</t>
        </is>
      </c>
      <c r="K14804" s="10" t="inlineStr">
        <is>
          <t>Trên 2 Năm</t>
        </is>
      </c>
      <c r="L14804" s="11">
        <f>HYPERLINK("https://careerviet.vn/vi/tim-viec-lam/ky-su-an-toan-lao-dong.35C6AE79.html","Xem chi tiết")</f>
        <v/>
      </c>
      <c r="M14804" s="10" t="n"/>
    </row>
    <row r="14805">
      <c r="B14805" s="7" t="n">
        <v>14803</v>
      </c>
      <c r="C14805" t="inlineStr">
        <is>
          <t>Công Nhân Gia Công Cơ Khí</t>
        </is>
      </c>
      <c r="D14805" t="inlineStr">
        <is>
          <t>CÔNG TY TNHH DV HỒ GIA PHÁT</t>
        </is>
      </c>
      <c r="E14805" t="inlineStr">
        <is>
          <t>Lương:Cạnh tranh</t>
        </is>
      </c>
      <c r="F14805" t="inlineStr">
        <is>
          <t>Hồ Chí Minh</t>
        </is>
      </c>
      <c r="G14805" t="inlineStr">
        <is>
          <t>04-04-2026</t>
        </is>
      </c>
      <c r="H14805" t="inlineStr">
        <is>
          <t>04/04/2026</t>
        </is>
      </c>
      <c r="I14805" t="inlineStr">
        <is>
          <t>17/03/2026</t>
        </is>
      </c>
      <c r="J14805" t="inlineStr">
        <is>
          <t>Cơ khí / Ô tô / Tự động hóa, Lao động phổ thông, Điện / Điện tử / Điện lạnh / Điện công nghiệp</t>
        </is>
      </c>
      <c r="K14805" t="inlineStr">
        <is>
          <t>N/A</t>
        </is>
      </c>
      <c r="L14805" s="8">
        <f>HYPERLINK("https://careerviet.vn/vi/tim-viec-lam/cong-nhan-gia-cong-co-khi.35C6AE3E.html","Xem chi tiết")</f>
        <v/>
      </c>
    </row>
    <row r="14806">
      <c r="B14806" s="9" t="n">
        <v>14804</v>
      </c>
      <c r="C14806" s="10" t="inlineStr">
        <is>
          <t>Trưởng ban Kiểm soát nội bộ</t>
        </is>
      </c>
      <c r="D14806" s="10" t="inlineStr">
        <is>
          <t>HR Vietnam’s ESS Client</t>
        </is>
      </c>
      <c r="E14806" s="10" t="inlineStr">
        <is>
          <t>Lương:Cạnh tranh</t>
        </is>
      </c>
      <c r="F14806" s="10" t="inlineStr">
        <is>
          <t>Hồ Chí Minh</t>
        </is>
      </c>
      <c r="G14806" s="10" t="inlineStr">
        <is>
          <t>03-04-2026</t>
        </is>
      </c>
      <c r="H14806" s="10" t="inlineStr">
        <is>
          <t>03/04/2026</t>
        </is>
      </c>
      <c r="I14806" s="10" t="inlineStr">
        <is>
          <t>17/03/2026</t>
        </is>
      </c>
      <c r="J14806" s="10" t="inlineStr">
        <is>
          <t>Kế toán / Kiểm toán, Luật / Pháp lý, Tài chính / Đầu tư</t>
        </is>
      </c>
      <c r="K14806" s="10" t="inlineStr">
        <is>
          <t>7 - 10 Năm</t>
        </is>
      </c>
      <c r="L14806" s="11">
        <f>HYPERLINK("https://careerviet.vn/vi/tim-viec-lam/truong-ban-kiem-soat-noi-bo.35C6AE0E.html","Xem chi tiết")</f>
        <v/>
      </c>
      <c r="M14806" s="10" t="n"/>
    </row>
    <row r="14807">
      <c r="B14807" s="7" t="n">
        <v>14805</v>
      </c>
      <c r="C14807" t="inlineStr">
        <is>
          <t>KỸ SƯ DỰ ÁN</t>
        </is>
      </c>
      <c r="D14807" t="inlineStr">
        <is>
          <t>Công ty Cổ phần Mạc Tích (MARTECH)</t>
        </is>
      </c>
      <c r="E14807" t="inlineStr">
        <is>
          <t>Lương:Cạnh tranh</t>
        </is>
      </c>
      <c r="F14807" t="inlineStr">
        <is>
          <t>Hồ Chí Minh</t>
        </is>
      </c>
      <c r="G14807" t="inlineStr">
        <is>
          <t>15-04-2026</t>
        </is>
      </c>
      <c r="H14807" t="inlineStr">
        <is>
          <t>15/04/2026</t>
        </is>
      </c>
      <c r="I14807" t="inlineStr">
        <is>
          <t>17/03/2026</t>
        </is>
      </c>
      <c r="J14807" t="inlineStr">
        <is>
          <t>Điện / Điện tử / Điện lạnh / Điện công nghiệp, Cơ khí / Ô tô / Tự động hóa</t>
        </is>
      </c>
      <c r="K14807" t="inlineStr">
        <is>
          <t>1 - 2 Năm</t>
        </is>
      </c>
      <c r="L14807" s="8">
        <f>HYPERLINK("https://careerviet.vn/vi/tim-viec-lam/ky-su-du-an.35C6ADF7.html","Xem chi tiết")</f>
        <v/>
      </c>
    </row>
    <row r="14808">
      <c r="B14808" s="9" t="n">
        <v>14806</v>
      </c>
      <c r="C14808" s="10" t="inlineStr">
        <is>
          <t>Junior Product Owner</t>
        </is>
      </c>
      <c r="D14808" s="10" t="inlineStr">
        <is>
          <t>Công ty Cổ phần Masscom Việt Nam</t>
        </is>
      </c>
      <c r="E14808" s="10" t="inlineStr">
        <is>
          <t>Lương:15 Tr - 25 Tr VND</t>
        </is>
      </c>
      <c r="F14808" s="10" t="inlineStr">
        <is>
          <t>Hà Nội</t>
        </is>
      </c>
      <c r="G14808" s="10" t="inlineStr">
        <is>
          <t>31-03-2026</t>
        </is>
      </c>
      <c r="H14808" s="10" t="inlineStr">
        <is>
          <t>31/03/2026</t>
        </is>
      </c>
      <c r="I14808" s="10" t="inlineStr">
        <is>
          <t>17/03/2026</t>
        </is>
      </c>
      <c r="J14808" s="10" t="inlineStr">
        <is>
          <t>Y tế / Chăm sóc sức khỏe / Thẩm mỹ / Làm đẹp, Điện / Điện tử / Điện lạnh / Điện công nghiệp, CNTT - Phần mềm</t>
        </is>
      </c>
      <c r="K14808" s="10" t="inlineStr">
        <is>
          <t>1 - 3 Năm</t>
        </is>
      </c>
      <c r="L14808" s="11">
        <f>HYPERLINK("https://careerviet.vn/vi/tim-viec-lam/junior-product-owner.35C6960E.html","Xem chi tiết")</f>
        <v/>
      </c>
      <c r="M14808" s="10" t="n"/>
    </row>
    <row r="14809">
      <c r="B14809" s="7" t="n">
        <v>14807</v>
      </c>
      <c r="C14809" t="inlineStr">
        <is>
          <t>[Ô Môn - Cần Thơ] Tuyển Nhân Viên Bán Hàng - Chuỗi Cửa Hàng Bán Lẻ Thiết Bị Sức Khỏe</t>
        </is>
      </c>
      <c r="D14809" t="inlineStr">
        <is>
          <t>Công Ty TNHH XNK Phát Triển Đông Dương</t>
        </is>
      </c>
      <c r="E14809" t="inlineStr">
        <is>
          <t>Lương:12 Tr - 20 Tr VND</t>
        </is>
      </c>
      <c r="F14809" t="inlineStr">
        <is>
          <t>Cần Thơ</t>
        </is>
      </c>
      <c r="G14809" t="inlineStr">
        <is>
          <t>09-04-2026</t>
        </is>
      </c>
      <c r="H14809" t="inlineStr">
        <is>
          <t>09/04/2026</t>
        </is>
      </c>
      <c r="I14809" t="inlineStr">
        <is>
          <t>17/03/2026</t>
        </is>
      </c>
      <c r="J14809" t="inlineStr">
        <is>
          <t>Bán lẻ / Bán sỉ, Bán hàng / Kinh doanh, Tư vấn</t>
        </is>
      </c>
      <c r="K14809" t="inlineStr">
        <is>
          <t>N/A</t>
        </is>
      </c>
      <c r="L14809" s="8">
        <f>HYPERLINK("https://careerviet.vn/vi/tim-viec-lam/o-mon-can-tho-tuyen-nhan-vien-ban-hang-chuoi-cua-hang-ban-le-thiet-bi-suc-khoe.35C6ABBE.html","Xem chi tiết")</f>
        <v/>
      </c>
    </row>
    <row r="14810">
      <c r="B14810" s="9" t="n">
        <v>14808</v>
      </c>
      <c r="C14810" s="10" t="inlineStr">
        <is>
          <t>Content Marketing</t>
        </is>
      </c>
      <c r="D14810" s="10" t="inlineStr">
        <is>
          <t>Công Ty Cổ Phần A25 Hotel</t>
        </is>
      </c>
      <c r="E14810" s="10" t="inlineStr">
        <is>
          <t>Lương:14 Tr - 20 Tr VND</t>
        </is>
      </c>
      <c r="F14810" s="10" t="inlineStr">
        <is>
          <t>Hà Nội</t>
        </is>
      </c>
      <c r="G14810" s="10" t="inlineStr">
        <is>
          <t>31-03-2026</t>
        </is>
      </c>
      <c r="H14810" s="10" t="inlineStr">
        <is>
          <t>31/03/2026</t>
        </is>
      </c>
      <c r="I14810" s="10" t="inlineStr">
        <is>
          <t>17/03/2026</t>
        </is>
      </c>
      <c r="J14810" s="10" t="inlineStr">
        <is>
          <t>Tiếp thị / Marketing, Nhà hàng / Khách sạn</t>
        </is>
      </c>
      <c r="K14810" s="10" t="inlineStr">
        <is>
          <t>2 - 3 Năm</t>
        </is>
      </c>
      <c r="L14810" s="11">
        <f>HYPERLINK("https://careerviet.vn/vi/tim-viec-lam/content-marketing.35C6AE84.html","Xem chi tiết")</f>
        <v/>
      </c>
      <c r="M14810" s="10" t="n"/>
    </row>
    <row r="14811">
      <c r="B14811" s="7" t="n">
        <v>14809</v>
      </c>
      <c r="C14811" t="inlineStr">
        <is>
          <t>KỸ THUẬT VIÊN TUABIN</t>
        </is>
      </c>
      <c r="D14811" t="inlineStr">
        <is>
          <t>TỔNG CÔNG TY CỔ PHẦN THƯƠNG MẠI XÂY DỰNG</t>
        </is>
      </c>
      <c r="E14811" t="inlineStr">
        <is>
          <t>Lương:Cạnh tranh</t>
        </is>
      </c>
      <c r="F14811" t="inlineStr">
        <is>
          <t>Quảng Ngãi</t>
        </is>
      </c>
      <c r="G14811" t="inlineStr">
        <is>
          <t>30-04-2026</t>
        </is>
      </c>
      <c r="H14811" t="inlineStr">
        <is>
          <t>30/04/2026</t>
        </is>
      </c>
      <c r="I14811" t="inlineStr">
        <is>
          <t>17/03/2026</t>
        </is>
      </c>
      <c r="J14811" t="inlineStr">
        <is>
          <t>Sản xuất / Vận hành sản xuất, Cơ khí / Ô tô / Tự động hóa, Điện / Điện tử / Điện lạnh / Điện công nghiệp</t>
        </is>
      </c>
      <c r="K14811" t="inlineStr">
        <is>
          <t>Trên 3 Năm</t>
        </is>
      </c>
      <c r="L14811" s="8">
        <f>HYPERLINK("https://careerviet.vn/vi/tim-viec-lam/ky-thuat-vien-tuabin.35C6ADDF.html","Xem chi tiết")</f>
        <v/>
      </c>
    </row>
    <row r="14812">
      <c r="B14812" s="9" t="n">
        <v>14810</v>
      </c>
      <c r="C14812" s="10" t="inlineStr">
        <is>
          <t>(HCM) Kỹ Sư QS MEP</t>
        </is>
      </c>
      <c r="D14812" s="10" t="inlineStr">
        <is>
          <t>Công Ty TNHH Tập Đoàn Rita Võ</t>
        </is>
      </c>
      <c r="E14812" s="10" t="inlineStr">
        <is>
          <t>Lương:Cạnh tranh</t>
        </is>
      </c>
      <c r="F14812" s="10" t="inlineStr">
        <is>
          <t>Hồ Chí Minh</t>
        </is>
      </c>
      <c r="G14812" s="10" t="inlineStr">
        <is>
          <t>26-03-2026</t>
        </is>
      </c>
      <c r="H14812" s="10" t="inlineStr">
        <is>
          <t>26/03/2026</t>
        </is>
      </c>
      <c r="I14812" s="10" t="inlineStr">
        <is>
          <t>17/03/2026</t>
        </is>
      </c>
      <c r="J14812" s="10" t="inlineStr">
        <is>
          <t>Xây dựng, Kiến trúc</t>
        </is>
      </c>
      <c r="K14812" s="10" t="inlineStr">
        <is>
          <t>2 - 4 Năm</t>
        </is>
      </c>
      <c r="L14812" s="11">
        <f>HYPERLINK("https://careerviet.vn/vi/tim-viec-lam/hcm-ky-su-qs-mep.35C69751.html","Xem chi tiết")</f>
        <v/>
      </c>
      <c r="M14812" s="10" t="n"/>
    </row>
    <row r="14813">
      <c r="B14813" s="7" t="n">
        <v>14811</v>
      </c>
      <c r="C14813" t="inlineStr">
        <is>
          <t>Test Engineer</t>
        </is>
      </c>
      <c r="D14813" t="inlineStr">
        <is>
          <t>XP Power  Vietnam</t>
        </is>
      </c>
      <c r="E14813" t="inlineStr">
        <is>
          <t>Lương:Cạnh tranh</t>
        </is>
      </c>
      <c r="F14813" t="inlineStr">
        <is>
          <t>Bình Dương</t>
        </is>
      </c>
      <c r="G14813" t="inlineStr">
        <is>
          <t>04-04-2026</t>
        </is>
      </c>
      <c r="H14813" t="inlineStr">
        <is>
          <t>04/04/2026</t>
        </is>
      </c>
      <c r="I14813" t="inlineStr">
        <is>
          <t>17/03/2026</t>
        </is>
      </c>
      <c r="J14813" t="inlineStr">
        <is>
          <t>Điện / Điện tử / Điện lạnh / Điện công nghiệp</t>
        </is>
      </c>
      <c r="K14813" t="inlineStr">
        <is>
          <t>2 - 3 Năm</t>
        </is>
      </c>
      <c r="L14813" s="8">
        <f>HYPERLINK("https://careerviet.vn/vi/tim-viec-lam/test-engineer.35C6AC4A.html","Xem chi tiết")</f>
        <v/>
      </c>
    </row>
    <row r="14814">
      <c r="B14814" s="9" t="n">
        <v>14812</v>
      </c>
      <c r="C14814" s="10" t="inlineStr">
        <is>
          <t>NHÂN VIÊN NHÂN SỰ - BÌNH DƯƠNG</t>
        </is>
      </c>
      <c r="D14814" s="10" t="inlineStr">
        <is>
          <t>CÔNG TY TNHH POLYTEX FAR EASTERN (VIỆT NAM)</t>
        </is>
      </c>
      <c r="E14814" s="10" t="inlineStr">
        <is>
          <t>Lương:11 Tr - 15 Tr VND</t>
        </is>
      </c>
      <c r="F14814" s="10" t="inlineStr">
        <is>
          <t>Bình Dương</t>
        </is>
      </c>
      <c r="G14814" s="10" t="inlineStr">
        <is>
          <t>26-03-2026</t>
        </is>
      </c>
      <c r="H14814" s="10" t="inlineStr">
        <is>
          <t>26/03/2026</t>
        </is>
      </c>
      <c r="I14814" s="10" t="inlineStr">
        <is>
          <t>17/03/2026</t>
        </is>
      </c>
      <c r="J14814" s="10" t="inlineStr">
        <is>
          <t>Hành chính / Thư ký, Nhân sự, Biên phiên dịch</t>
        </is>
      </c>
      <c r="K14814" s="10" t="inlineStr">
        <is>
          <t>N/A</t>
        </is>
      </c>
      <c r="L14814" s="11">
        <f>HYPERLINK("https://careerviet.vn/vi/tim-viec-lam/nhan-vien-nhan-su-binh-duong.35C6ADBC.html","Xem chi tiết")</f>
        <v/>
      </c>
      <c r="M14814" s="10" t="n"/>
    </row>
    <row r="14815">
      <c r="B14815" s="7" t="n">
        <v>14813</v>
      </c>
      <c r="C14815" t="inlineStr">
        <is>
          <t>Nhân viên Kế Toán Công Nợ</t>
        </is>
      </c>
      <c r="D14815" t="inlineStr">
        <is>
          <t>DILIGO</t>
        </is>
      </c>
      <c r="E14815" t="inlineStr">
        <is>
          <t>Lương:12 Tr - 18 Tr VND</t>
        </is>
      </c>
      <c r="F14815" t="inlineStr">
        <is>
          <t>Hà Nội</t>
        </is>
      </c>
      <c r="G14815" t="inlineStr">
        <is>
          <t>31-03-2026</t>
        </is>
      </c>
      <c r="H14815" t="inlineStr">
        <is>
          <t>31/03/2026</t>
        </is>
      </c>
      <c r="I14815" t="inlineStr">
        <is>
          <t>17/03/2026</t>
        </is>
      </c>
      <c r="J14815" t="inlineStr">
        <is>
          <t>Bán hàng / Kinh doanh</t>
        </is>
      </c>
      <c r="K14815" t="inlineStr">
        <is>
          <t>2 - 5 Năm</t>
        </is>
      </c>
      <c r="L14815" s="8">
        <f>HYPERLINK("https://careerviet.vn/vi/tim-viec-lam/nhan-vien-ke-toan-cong-no.35C6ADFA.html","Xem chi tiết")</f>
        <v/>
      </c>
    </row>
    <row r="14816">
      <c r="B14816" s="9" t="n">
        <v>14814</v>
      </c>
      <c r="C14816" s="10" t="inlineStr">
        <is>
          <t>TRƯỞNG VĂN PHÒNG ĐẠI DIỆN</t>
        </is>
      </c>
      <c r="D14816" s="10" t="inlineStr">
        <is>
          <t>Công ty Cổ phần Giải pháp Tự động hóa ETEK</t>
        </is>
      </c>
      <c r="E14816" s="10" t="inlineStr">
        <is>
          <t>Lương:35 Tr - 45 Tr VND</t>
        </is>
      </c>
      <c r="F14816" s="10" t="inlineStr">
        <is>
          <t>Hồ Chí Minh</t>
        </is>
      </c>
      <c r="G14816" s="10" t="inlineStr">
        <is>
          <t>30-04-2026</t>
        </is>
      </c>
      <c r="H14816" s="10" t="inlineStr">
        <is>
          <t>30/04/2026</t>
        </is>
      </c>
      <c r="I14816" s="10" t="inlineStr">
        <is>
          <t>17/03/2026</t>
        </is>
      </c>
      <c r="J14816" s="10" t="inlineStr">
        <is>
          <t>Cơ khí / Ô tô / Tự động hóa</t>
        </is>
      </c>
      <c r="K14816" s="10" t="inlineStr">
        <is>
          <t>5 - 7 Năm</t>
        </is>
      </c>
      <c r="L14816" s="11">
        <f>HYPERLINK("https://careerviet.vn/vi/tim-viec-lam/truong-van-phong-dai-dien.35C6ABF5.html","Xem chi tiết")</f>
        <v/>
      </c>
      <c r="M14816" s="10" t="n"/>
    </row>
    <row r="14817">
      <c r="B14817" s="7" t="n">
        <v>14815</v>
      </c>
      <c r="C14817" t="inlineStr">
        <is>
          <t>Quản lý khuôn và đồ gá</t>
        </is>
      </c>
      <c r="D14817" t="inlineStr">
        <is>
          <t>CÔNG TY CỔ PHẦN CÔNG NGHỆ SOTATEK VIỆT NAM</t>
        </is>
      </c>
      <c r="E14817" t="inlineStr">
        <is>
          <t>Lương:Cạnh tranh</t>
        </is>
      </c>
      <c r="F14817" t="inlineStr">
        <is>
          <t>Ninh Thuận</t>
        </is>
      </c>
      <c r="G14817" t="inlineStr">
        <is>
          <t>31-03-2026</t>
        </is>
      </c>
      <c r="H14817" t="inlineStr">
        <is>
          <t>31/03/2026</t>
        </is>
      </c>
      <c r="I14817" t="inlineStr">
        <is>
          <t>17/03/2026</t>
        </is>
      </c>
      <c r="J14817" t="inlineStr">
        <is>
          <t>Bảo trì / Sửa chữa, Cơ khí / Ô tô / Tự động hóa</t>
        </is>
      </c>
      <c r="K14817" t="inlineStr">
        <is>
          <t>Trên 4 Năm</t>
        </is>
      </c>
      <c r="L14817" s="8">
        <f>HYPERLINK("https://careerviet.vn/vi/tim-viec-lam/quan-ly-khuon-va-do-ga.35C6AEB8.html","Xem chi tiết")</f>
        <v/>
      </c>
    </row>
    <row r="14818">
      <c r="B14818" s="9" t="n">
        <v>14816</v>
      </c>
      <c r="C14818" s="10" t="inlineStr">
        <is>
          <t>Technical Leader (Java Springboot) - TNEX - 4B034</t>
        </is>
      </c>
      <c r="D14818" s="10" t="inlineStr">
        <is>
          <t>Tập đoàn ROX (ROX Group)</t>
        </is>
      </c>
      <c r="E14818" s="10" t="inlineStr">
        <is>
          <t>Lương:Cạnh tranh</t>
        </is>
      </c>
      <c r="F14818" s="10" t="inlineStr">
        <is>
          <t>Hà Nội</t>
        </is>
      </c>
      <c r="G14818" s="10" t="inlineStr">
        <is>
          <t>03-04-2026</t>
        </is>
      </c>
      <c r="H14818" s="10" t="inlineStr">
        <is>
          <t>03/04/2026</t>
        </is>
      </c>
      <c r="I14818" s="10" t="inlineStr">
        <is>
          <t>17/03/2026</t>
        </is>
      </c>
      <c r="J14818" s="10" t="inlineStr">
        <is>
          <t>Ngân hàng</t>
        </is>
      </c>
      <c r="K14818" s="10" t="inlineStr">
        <is>
          <t>Trên 6 Năm</t>
        </is>
      </c>
      <c r="L14818" s="11">
        <f>HYPERLINK("https://careerviet.vn/vi/tim-viec-lam/technical-leader-java-springboot-tnex-4b034.35C6AE91.html","Xem chi tiết")</f>
        <v/>
      </c>
      <c r="M14818" s="10" t="n"/>
    </row>
    <row r="14819">
      <c r="B14819" s="7" t="n">
        <v>14817</v>
      </c>
      <c r="C14819" t="inlineStr">
        <is>
          <t>Giáo Viên Chủ Nhiệm (Ocean Edu Quốc Oai)</t>
        </is>
      </c>
      <c r="D14819" t="inlineStr">
        <is>
          <t>Công Ty CP Giáo Dục Đại Dương</t>
        </is>
      </c>
      <c r="E14819" t="inlineStr">
        <is>
          <t>Lương:Cạnh tranh</t>
        </is>
      </c>
      <c r="F14819" t="inlineStr">
        <is>
          <t>Hà Nội</t>
        </is>
      </c>
      <c r="G14819" t="inlineStr">
        <is>
          <t>03-04-2026</t>
        </is>
      </c>
      <c r="H14819" t="inlineStr">
        <is>
          <t>03/04/2026</t>
        </is>
      </c>
      <c r="I14819" t="inlineStr">
        <is>
          <t>17/03/2026</t>
        </is>
      </c>
      <c r="J14819" t="inlineStr">
        <is>
          <t>Giáo dục / Đào tạo, Bán hàng / Kinh doanh, Biên phiên dịch</t>
        </is>
      </c>
      <c r="K14819" t="inlineStr">
        <is>
          <t>Trên 1 Năm</t>
        </is>
      </c>
      <c r="L14819" s="8">
        <f>HYPERLINK("https://careerviet.vn/vi/tim-viec-lam/giao-vien-chu-nhiem-ocean-edu-quoc-oai.35C6ABCC.html","Xem chi tiết")</f>
        <v/>
      </c>
    </row>
    <row r="14820">
      <c r="B14820" s="9" t="n">
        <v>14818</v>
      </c>
      <c r="C14820" s="10" t="inlineStr">
        <is>
          <t>Kiến Trúc Sư</t>
        </is>
      </c>
      <c r="D14820" s="10" t="inlineStr">
        <is>
          <t>BỆNH VIỆN ĐA KHOA PHƯƠNG ĐÔNG</t>
        </is>
      </c>
      <c r="E14820" s="10" t="inlineStr">
        <is>
          <t>Lương:20 Tr - 30 Tr VND</t>
        </is>
      </c>
      <c r="F14820" s="10" t="inlineStr">
        <is>
          <t>Hà Nội</t>
        </is>
      </c>
      <c r="G14820" s="10" t="inlineStr">
        <is>
          <t>04-04-2026</t>
        </is>
      </c>
      <c r="H14820" s="10" t="inlineStr">
        <is>
          <t>04/04/2026</t>
        </is>
      </c>
      <c r="I14820" s="10" t="inlineStr">
        <is>
          <t>17/03/2026</t>
        </is>
      </c>
      <c r="J14820" s="10" t="inlineStr">
        <is>
          <t>Xây dựng, Bất động sản, Kiến trúc</t>
        </is>
      </c>
      <c r="K14820" s="10" t="inlineStr">
        <is>
          <t>2 - 5 Năm</t>
        </is>
      </c>
      <c r="L14820" s="11">
        <f>HYPERLINK("https://careerviet.vn/vi/tim-viec-lam/kien-truc-su.35C6AD98.html","Xem chi tiết")</f>
        <v/>
      </c>
      <c r="M14820" s="10" t="n"/>
    </row>
    <row r="14821">
      <c r="B14821" s="7" t="n">
        <v>14819</v>
      </c>
      <c r="C14821" t="inlineStr">
        <is>
          <t>Giáo Viên Chủ Nhiệm (Ocean Edu Vĩnh Tường)</t>
        </is>
      </c>
      <c r="D14821" t="inlineStr">
        <is>
          <t>Công Ty CP Giáo Dục Đại Dương</t>
        </is>
      </c>
      <c r="E14821" t="inlineStr">
        <is>
          <t>Lương:Cạnh tranh</t>
        </is>
      </c>
      <c r="F14821" t="inlineStr">
        <is>
          <t>Vĩnh Phúc</t>
        </is>
      </c>
      <c r="G14821" t="inlineStr">
        <is>
          <t>03-04-2026</t>
        </is>
      </c>
      <c r="H14821" t="inlineStr">
        <is>
          <t>03/04/2026</t>
        </is>
      </c>
      <c r="I14821" t="inlineStr">
        <is>
          <t>17/03/2026</t>
        </is>
      </c>
      <c r="J14821" t="inlineStr">
        <is>
          <t>Giáo dục / Đào tạo, Bán hàng / Kinh doanh, Biên phiên dịch</t>
        </is>
      </c>
      <c r="K14821" t="inlineStr">
        <is>
          <t>Trên 1 Năm</t>
        </is>
      </c>
      <c r="L14821" s="8">
        <f>HYPERLINK("https://careerviet.vn/vi/tim-viec-lam/giao-vien-chu-nhiem-ocean-edu-vinh-tuong.35C6ABC5.html","Xem chi tiết")</f>
        <v/>
      </c>
    </row>
    <row r="14822">
      <c r="B14822" s="9" t="n">
        <v>14820</v>
      </c>
      <c r="C14822" s="10" t="inlineStr">
        <is>
          <t>Nhân Viên Livestrem</t>
        </is>
      </c>
      <c r="D14822" s="10" t="inlineStr">
        <is>
          <t>HỆ THỐNG KÍNH MẮT ANNA</t>
        </is>
      </c>
      <c r="E14822" s="10" t="inlineStr">
        <is>
          <t>Lương:10 Tr - 20 Tr VND</t>
        </is>
      </c>
      <c r="F14822" s="10" t="inlineStr">
        <is>
          <t>Hà Nội</t>
        </is>
      </c>
      <c r="G14822" s="10" t="inlineStr">
        <is>
          <t>04-04-2026</t>
        </is>
      </c>
      <c r="H14822" s="10" t="inlineStr">
        <is>
          <t>04/04/2026</t>
        </is>
      </c>
      <c r="I14822" s="10" t="inlineStr">
        <is>
          <t>17/03/2026</t>
        </is>
      </c>
      <c r="J14822" s="10" t="inlineStr">
        <is>
          <t>Bán hàng / Kinh doanh</t>
        </is>
      </c>
      <c r="K14822" s="10" t="inlineStr">
        <is>
          <t>Trên 1 Năm</t>
        </is>
      </c>
      <c r="L14822" s="11">
        <f>HYPERLINK("https://careerviet.vn/vi/tim-viec-lam/nhan-vien-livestrem.35C6ACF2.html","Xem chi tiết")</f>
        <v/>
      </c>
      <c r="M14822" s="10" t="n"/>
    </row>
    <row r="14823">
      <c r="B14823" s="7" t="n">
        <v>14821</v>
      </c>
      <c r="C14823" t="inlineStr">
        <is>
          <t>Bác sĩ thú y</t>
        </is>
      </c>
      <c r="D14823" t="inlineStr">
        <is>
          <t>CÔNG TY CỔ PHẦN THÁI VIỆT CORPORATION</t>
        </is>
      </c>
      <c r="E14823" t="inlineStr">
        <is>
          <t>Lương:13 Tr - 17 Tr VND</t>
        </is>
      </c>
      <c r="F14823" t="inlineStr">
        <is>
          <t>Sơn LaThanh HóaBình Phước</t>
        </is>
      </c>
      <c r="G14823" t="inlineStr">
        <is>
          <t>03-04-2026</t>
        </is>
      </c>
      <c r="H14823" t="inlineStr">
        <is>
          <t>03/04/2026</t>
        </is>
      </c>
      <c r="I14823" t="inlineStr">
        <is>
          <t>17/03/2026</t>
        </is>
      </c>
      <c r="J14823" t="inlineStr">
        <is>
          <t>Chăn nuôi / Thú y</t>
        </is>
      </c>
      <c r="K14823" t="inlineStr">
        <is>
          <t>1 - 5 Năm</t>
        </is>
      </c>
      <c r="L14823" s="8">
        <f>HYPERLINK("https://careerviet.vn/vi/tim-viec-lam/bac-si-thu-y.35C6AE6D.html","Xem chi tiết")</f>
        <v/>
      </c>
    </row>
    <row r="14824">
      <c r="B14824" s="9" t="n">
        <v>14822</v>
      </c>
      <c r="C14824" s="10" t="inlineStr">
        <is>
          <t>Trưởng bộ phận kiểm tra nguyên vật liệu</t>
        </is>
      </c>
      <c r="D14824" s="10" t="inlineStr">
        <is>
          <t>CÔNG TY CỔ PHẦN CÔNG NGHỆ SOTATEK VIỆT NAM</t>
        </is>
      </c>
      <c r="E14824" s="10" t="inlineStr">
        <is>
          <t>Lương:Cạnh tranh</t>
        </is>
      </c>
      <c r="F14824" s="10" t="inlineStr">
        <is>
          <t>Ninh Thuận</t>
        </is>
      </c>
      <c r="G14824" s="10" t="inlineStr">
        <is>
          <t>31-03-2026</t>
        </is>
      </c>
      <c r="H14824" s="10" t="inlineStr">
        <is>
          <t>31/03/2026</t>
        </is>
      </c>
      <c r="I14824" s="10" t="inlineStr">
        <is>
          <t>17/03/2026</t>
        </is>
      </c>
      <c r="J14824" s="10" t="inlineStr">
        <is>
          <t>Quản lý điều hành, Hóa học</t>
        </is>
      </c>
      <c r="K14824" s="10" t="inlineStr">
        <is>
          <t>Trên 3 Năm</t>
        </is>
      </c>
      <c r="L14824" s="11">
        <f>HYPERLINK("https://careerviet.vn/vi/tim-viec-lam/truong-bo-phan-kiem-tra-nguyen-vat-lieu.35C6AEAE.html","Xem chi tiết")</f>
        <v/>
      </c>
      <c r="M14824" s="10" t="n"/>
    </row>
    <row r="14825">
      <c r="B14825" s="7" t="n">
        <v>14823</v>
      </c>
      <c r="C14825" t="inlineStr">
        <is>
          <t>Quản lý Vùng ETC (TRÀ VINH, ĐỒNG THÁP, BẾN TRE, TIỀN GIANG, TÂY NINH)</t>
        </is>
      </c>
      <c r="D14825" t="inlineStr">
        <is>
          <t>Công ty cổ phần Anvy</t>
        </is>
      </c>
      <c r="E14825" t="inlineStr">
        <is>
          <t>Lương:25 Tr - 40 Tr VND</t>
        </is>
      </c>
      <c r="F14825" t="inlineStr">
        <is>
          <t>Trà VinhĐồng ThápTây Ninh</t>
        </is>
      </c>
      <c r="G14825" t="inlineStr">
        <is>
          <t>05-04-2026</t>
        </is>
      </c>
      <c r="H14825" t="inlineStr">
        <is>
          <t>05/04/2026</t>
        </is>
      </c>
      <c r="I14825" t="inlineStr">
        <is>
          <t>17/03/2026</t>
        </is>
      </c>
      <c r="J14825" t="inlineStr">
        <is>
          <t>Bán lẻ / Bán sỉ, Bán hàng / Kinh doanh, Dược phẩm/ Hóa Mỹ Phẩm</t>
        </is>
      </c>
      <c r="K14825" t="inlineStr">
        <is>
          <t>3 - 5 Năm</t>
        </is>
      </c>
      <c r="L14825" s="8">
        <f>HYPERLINK("https://careerviet.vn/vi/tim-viec-lam/quan-ly-vung-etc-tra-vinh-dong-thap-ben-tre-tien-giang-tay-ninh.35C6AE7A.html","Xem chi tiết")</f>
        <v/>
      </c>
    </row>
    <row r="14826">
      <c r="B14826" s="9" t="n">
        <v>14824</v>
      </c>
      <c r="C14826" s="10" t="inlineStr">
        <is>
          <t>Nhân viên vận hành hệ thống xử lý nước thải</t>
        </is>
      </c>
      <c r="D14826" s="10" t="inlineStr">
        <is>
          <t>CÔNG TY CỔ PHẦN NHỰA TÁI CHẾ DUY TÂN</t>
        </is>
      </c>
      <c r="E14826" s="10" t="inlineStr">
        <is>
          <t>Lương:10 Tr - 12 Tr VND</t>
        </is>
      </c>
      <c r="F14826" s="10" t="inlineStr">
        <is>
          <t>Đồng NaiLong An</t>
        </is>
      </c>
      <c r="G14826" s="10" t="inlineStr">
        <is>
          <t>31-03-2026</t>
        </is>
      </c>
      <c r="H14826" s="10" t="inlineStr">
        <is>
          <t>31/03/2026</t>
        </is>
      </c>
      <c r="I14826" s="10" t="inlineStr">
        <is>
          <t>17/03/2026</t>
        </is>
      </c>
      <c r="J14826" s="10" t="inlineStr">
        <is>
          <t>Môi trường, Hóa học, Sản xuất / Vận hành sản xuất</t>
        </is>
      </c>
      <c r="K14826" s="10" t="inlineStr">
        <is>
          <t>1 - 2 Năm</t>
        </is>
      </c>
      <c r="L14826" s="11">
        <f>HYPERLINK("https://careerviet.vn/vi/tim-viec-lam/nhan-vien-van-hanh-he-thong-xu-ly-nuoc-thai.35C6AC7D.html","Xem chi tiết")</f>
        <v/>
      </c>
      <c r="M14826" s="10" t="n"/>
    </row>
    <row r="14827">
      <c r="B14827" s="7" t="n">
        <v>14825</v>
      </c>
      <c r="C14827" t="inlineStr">
        <is>
          <t>Frontend Developer</t>
        </is>
      </c>
      <c r="D14827" t="inlineStr">
        <is>
          <t>CÔNG TY CỔ PHẦN ULTD THỊNH PHÁT</t>
        </is>
      </c>
      <c r="E14827" t="inlineStr">
        <is>
          <t>Lương:15 Tr - 25 Tr VND</t>
        </is>
      </c>
      <c r="F14827" t="inlineStr">
        <is>
          <t>Hà Nội</t>
        </is>
      </c>
      <c r="G14827" t="inlineStr">
        <is>
          <t>03-04-2026</t>
        </is>
      </c>
      <c r="H14827" t="inlineStr">
        <is>
          <t>03/04/2026</t>
        </is>
      </c>
      <c r="I14827" t="inlineStr">
        <is>
          <t>17/03/2026</t>
        </is>
      </c>
      <c r="J14827" t="inlineStr">
        <is>
          <t>CNTT - Phần mềm, Mỹ thuật / Nghệ thuật / Thiết kế, Tiếp thị / Marketing</t>
        </is>
      </c>
      <c r="K14827" t="inlineStr">
        <is>
          <t>2 - 3 Năm</t>
        </is>
      </c>
      <c r="L14827" s="8">
        <f>HYPERLINK("https://careerviet.vn/vi/tim-viec-lam/frontend-developer.35C6AE24.html","Xem chi tiết")</f>
        <v/>
      </c>
    </row>
    <row r="14828">
      <c r="B14828" s="9" t="n">
        <v>14826</v>
      </c>
      <c r="C14828" s="10" t="inlineStr">
        <is>
          <t>Kỹ sư Plumbing/ HVAC (Mechanical Designer)</t>
        </is>
      </c>
      <c r="D14828" s="10" t="inlineStr">
        <is>
          <t>CÔNG TY TNHH THIẾT KẾ HPA &amp; PARTNERS (VIÊT NAM)</t>
        </is>
      </c>
      <c r="E14828" s="10" t="inlineStr">
        <is>
          <t>Lương:Cạnh tranh</t>
        </is>
      </c>
      <c r="F14828" s="10" t="inlineStr">
        <is>
          <t>Hồ Chí MinhHà Nội</t>
        </is>
      </c>
      <c r="G14828" s="10" t="inlineStr">
        <is>
          <t>06-04-2026</t>
        </is>
      </c>
      <c r="H14828" s="10" t="inlineStr">
        <is>
          <t>06/04/2026</t>
        </is>
      </c>
      <c r="I14828" s="10" t="inlineStr">
        <is>
          <t>17/03/2026</t>
        </is>
      </c>
      <c r="J14828" s="10" t="inlineStr">
        <is>
          <t>Xây dựng, Kiến trúc, Tư vấn</t>
        </is>
      </c>
      <c r="K14828" s="10" t="inlineStr">
        <is>
          <t>Lên đến 4 Năm</t>
        </is>
      </c>
      <c r="L14828" s="11">
        <f>HYPERLINK("https://careerviet.vn/vi/tim-viec-lam/ky-su-plumbing-hvac-mechanical-designer.35C6AD46.html","Xem chi tiết")</f>
        <v/>
      </c>
      <c r="M14828" s="10" t="n"/>
    </row>
    <row r="14829">
      <c r="B14829" s="7" t="n">
        <v>14827</v>
      </c>
      <c r="C14829" t="inlineStr">
        <is>
          <t>Kỹ sư hạ tầng công nghệ thông tin</t>
        </is>
      </c>
      <c r="D14829" t="inlineStr">
        <is>
          <t>CÔNG TY CỔ PHẦN CÔNG NGHỆ SOTATEK VIỆT NAM</t>
        </is>
      </c>
      <c r="E14829" t="inlineStr">
        <is>
          <t>Lương:Cạnh tranh</t>
        </is>
      </c>
      <c r="F14829" t="inlineStr">
        <is>
          <t>Ninh Thuận</t>
        </is>
      </c>
      <c r="G14829" t="inlineStr">
        <is>
          <t>31-03-2026</t>
        </is>
      </c>
      <c r="H14829" t="inlineStr">
        <is>
          <t>31/03/2026</t>
        </is>
      </c>
      <c r="I14829" t="inlineStr">
        <is>
          <t>17/03/2026</t>
        </is>
      </c>
      <c r="J14829" t="inlineStr">
        <is>
          <t>CNTT - Phần cứng / Mạng, CNTT - Phần mềm, Sản xuất / Vận hành sản xuất</t>
        </is>
      </c>
      <c r="K14829" t="inlineStr">
        <is>
          <t>Trên 1 Năm</t>
        </is>
      </c>
      <c r="L14829" s="8">
        <f>HYPERLINK("https://careerviet.vn/vi/tim-viec-lam/ky-su-ha-tang-cong-nghe-thong-tin.35C6ADA4.html","Xem chi tiết")</f>
        <v/>
      </c>
    </row>
    <row r="14830">
      <c r="B14830" s="9" t="n">
        <v>14828</v>
      </c>
      <c r="C14830" s="10" t="inlineStr">
        <is>
          <t>Kỹ thuật viên xét nghiệm (Sinh hóa, Miễn dịch, Sàng lọc trước sinh)</t>
        </is>
      </c>
      <c r="D14830" s="10" t="inlineStr">
        <is>
          <t>DIAG</t>
        </is>
      </c>
      <c r="E14830" s="10" t="inlineStr">
        <is>
          <t>Lương:Cạnh tranh</t>
        </is>
      </c>
      <c r="F14830" s="10" t="inlineStr">
        <is>
          <t>Hồ Chí Minh</t>
        </is>
      </c>
      <c r="G14830" s="10" t="inlineStr">
        <is>
          <t>01-04-2026</t>
        </is>
      </c>
      <c r="H14830" s="10" t="inlineStr">
        <is>
          <t>01/04/2026</t>
        </is>
      </c>
      <c r="I14830" s="10" t="inlineStr">
        <is>
          <t>17/03/2026</t>
        </is>
      </c>
      <c r="J14830" s="10" t="inlineStr">
        <is>
          <t>Y tế / Chăm sóc sức khỏe / Thẩm mỹ / Làm đẹp</t>
        </is>
      </c>
      <c r="K14830" s="10" t="inlineStr">
        <is>
          <t>2 - 10 Năm</t>
        </is>
      </c>
      <c r="L14830" s="11">
        <f>HYPERLINK("https://careerviet.vn/vi/tim-viec-lam/ky-thuat-vien-xet-nghiem-sinh-hoa-mien-dich-sang-loc-truoc-sinh.35C6AC12.html","Xem chi tiết")</f>
        <v/>
      </c>
      <c r="M14830" s="10" t="n"/>
    </row>
    <row r="14831">
      <c r="B14831" s="7" t="n">
        <v>14829</v>
      </c>
      <c r="C14831" t="inlineStr">
        <is>
          <t>Nhân Viên Phát Triển Sản Phẩm</t>
        </is>
      </c>
      <c r="D14831" t="inlineStr">
        <is>
          <t>Tập Đoàn Kim Tín</t>
        </is>
      </c>
      <c r="E14831" t="inlineStr">
        <is>
          <t>Lương:Cạnh tranh</t>
        </is>
      </c>
      <c r="F14831" t="inlineStr">
        <is>
          <t>Hồ Chí Minh</t>
        </is>
      </c>
      <c r="G14831" t="inlineStr">
        <is>
          <t>03-04-2026</t>
        </is>
      </c>
      <c r="H14831" t="inlineStr">
        <is>
          <t>03/04/2026</t>
        </is>
      </c>
      <c r="I14831" t="inlineStr">
        <is>
          <t>17/03/2026</t>
        </is>
      </c>
      <c r="J14831" t="inlineStr">
        <is>
          <t>Sản xuất / Vận hành sản xuất</t>
        </is>
      </c>
      <c r="K14831" t="inlineStr">
        <is>
          <t>1 - 5 Năm</t>
        </is>
      </c>
      <c r="L14831" s="8">
        <f>HYPERLINK("https://careerviet.vn/vi/tim-viec-lam/nhan-vien-phat-trien-san-pham.35C6AC64.html","Xem chi tiết")</f>
        <v/>
      </c>
    </row>
    <row r="14832">
      <c r="B14832" s="9" t="n">
        <v>14830</v>
      </c>
      <c r="C14832" s="10" t="inlineStr">
        <is>
          <t>Kiểm Soát Nội Bộ</t>
        </is>
      </c>
      <c r="D14832" s="10" t="inlineStr">
        <is>
          <t>CÔNG TY TNHH INDOVIETNAM</t>
        </is>
      </c>
      <c r="E14832" s="10" t="inlineStr">
        <is>
          <t>Lương:14 Tr - 17 Tr VND</t>
        </is>
      </c>
      <c r="F14832" s="10" t="inlineStr">
        <is>
          <t>Hồ Chí Minh</t>
        </is>
      </c>
      <c r="G14832" s="10" t="inlineStr">
        <is>
          <t>04-04-2026</t>
        </is>
      </c>
      <c r="H14832" s="10" t="inlineStr">
        <is>
          <t>04/04/2026</t>
        </is>
      </c>
      <c r="I14832" s="10" t="inlineStr">
        <is>
          <t>17/03/2026</t>
        </is>
      </c>
      <c r="J14832" s="10" t="inlineStr">
        <is>
          <t>Kế toán / Kiểm toán, Tài chính / Đầu tư</t>
        </is>
      </c>
      <c r="K14832" s="10" t="inlineStr">
        <is>
          <t>1 - 3 Năm</t>
        </is>
      </c>
      <c r="L14832" s="11">
        <f>HYPERLINK("https://careerviet.vn/vi/tim-viec-lam/kiem-soat-noi-bo.35C6ACB9.html","Xem chi tiết")</f>
        <v/>
      </c>
      <c r="M14832" s="10" t="n"/>
    </row>
    <row r="14833">
      <c r="B14833" s="7" t="n">
        <v>14831</v>
      </c>
      <c r="C14833" t="inlineStr">
        <is>
          <t>NHÂN VIÊN KỸ THUẬT</t>
        </is>
      </c>
      <c r="D14833" t="inlineStr">
        <is>
          <t>CÔNG TY TNHH K O T I T I VIỆT NAM</t>
        </is>
      </c>
      <c r="E14833" t="inlineStr">
        <is>
          <t>Lương:Cạnh tranh</t>
        </is>
      </c>
      <c r="F14833" t="inlineStr">
        <is>
          <t>Hồ Chí Minh</t>
        </is>
      </c>
      <c r="G14833" t="inlineStr">
        <is>
          <t>03-04-2026</t>
        </is>
      </c>
      <c r="H14833" t="inlineStr">
        <is>
          <t>03/04/2026</t>
        </is>
      </c>
      <c r="I14833" t="inlineStr">
        <is>
          <t>17/03/2026</t>
        </is>
      </c>
      <c r="J14833" t="inlineStr">
        <is>
          <t>Bảo trì / Sửa chữa, Dệt may / Da giày / Thời trang</t>
        </is>
      </c>
      <c r="K14833" t="inlineStr">
        <is>
          <t>1 - 3 Năm</t>
        </is>
      </c>
      <c r="L14833" s="8">
        <f>HYPERLINK("https://careerviet.vn/vi/tim-viec-lam/nhan-vien-ky-thuat.35C0ADD6.html","Xem chi tiết")</f>
        <v/>
      </c>
    </row>
    <row r="14834">
      <c r="B14834" s="9" t="n">
        <v>14832</v>
      </c>
      <c r="C14834" s="10" t="inlineStr">
        <is>
          <t>Chuyên viên Phát triển đối tác</t>
        </is>
      </c>
      <c r="D14834" s="10" t="inlineStr">
        <is>
          <t>Tổng Công Ty Cổ Phần Bảo Hiểm Ngân Hàng TMCP Công Thương Việt Nam</t>
        </is>
      </c>
      <c r="E14834" s="10" t="inlineStr">
        <is>
          <t>Lương:Cạnh tranh</t>
        </is>
      </c>
      <c r="F14834" s="10" t="inlineStr">
        <is>
          <t>Hà Nội</t>
        </is>
      </c>
      <c r="G14834" s="10" t="inlineStr">
        <is>
          <t>03-04-2026</t>
        </is>
      </c>
      <c r="H14834" s="10" t="inlineStr">
        <is>
          <t>03/04/2026</t>
        </is>
      </c>
      <c r="I14834" s="10" t="inlineStr">
        <is>
          <t>17/03/2026</t>
        </is>
      </c>
      <c r="J14834" s="10" t="inlineStr">
        <is>
          <t>Bảo hiểm</t>
        </is>
      </c>
      <c r="K14834" s="10" t="inlineStr">
        <is>
          <t>3 - 5 Năm</t>
        </is>
      </c>
      <c r="L14834" s="11">
        <f>HYPERLINK("https://careerviet.vn/vi/tim-viec-lam/chuyen-vien-phat-trien-doi-tac.35C6AD87.html","Xem chi tiết")</f>
        <v/>
      </c>
      <c r="M14834" s="10" t="n"/>
    </row>
    <row r="14835">
      <c r="B14835" s="7" t="n">
        <v>14833</v>
      </c>
      <c r="C14835" t="inlineStr">
        <is>
          <t>Photographer &amp; Designer (Buôn Ma Thuột - Dak Lak)</t>
        </is>
      </c>
      <c r="D14835" t="inlineStr">
        <is>
          <t>Công Ty CP Liên Kết Quốc Tế INTERLINK (Trường Liên Kết Quốc Tế INschool &amp; Ngoại Ngữ Quốc Tế INS ENGLISH &amp; CHINESE)</t>
        </is>
      </c>
      <c r="E14835" t="inlineStr">
        <is>
          <t>Lương:9 Tr - 12 Tr VND</t>
        </is>
      </c>
      <c r="F14835" t="inlineStr">
        <is>
          <t>Dak Lak</t>
        </is>
      </c>
      <c r="G14835" t="inlineStr">
        <is>
          <t>01-04-2026</t>
        </is>
      </c>
      <c r="H14835" t="inlineStr">
        <is>
          <t>01/04/2026</t>
        </is>
      </c>
      <c r="I14835" t="inlineStr">
        <is>
          <t>17/03/2026</t>
        </is>
      </c>
      <c r="J14835" t="inlineStr">
        <is>
          <t>Tiếp thị / Marketing, Mỹ thuật / Nghệ thuật / Thiết kế</t>
        </is>
      </c>
      <c r="K14835" t="inlineStr">
        <is>
          <t>1 - 3 Năm</t>
        </is>
      </c>
      <c r="L14835" s="8">
        <f>HYPERLINK("https://careerviet.vn/vi/tim-viec-lam/photographer-designer-buon-ma-thuot-dak-lak.35C6ADA8.html","Xem chi tiết")</f>
        <v/>
      </c>
    </row>
    <row r="14836">
      <c r="B14836" s="9" t="n">
        <v>14834</v>
      </c>
      <c r="C14836" s="10" t="inlineStr">
        <is>
          <t>Kỹ Sư Thiết Kế Dự Toán M&amp;E – PCCC</t>
        </is>
      </c>
      <c r="D14836" s="10" t="inlineStr">
        <is>
          <t>CÔNG TY CỔ PHẦN CƠ ĐIỆN VÀ PCCC HỒNG LỢI KHANG</t>
        </is>
      </c>
      <c r="E14836" s="10" t="inlineStr">
        <is>
          <t>Lương:15 Tr - 30 Tr VND</t>
        </is>
      </c>
      <c r="F14836" s="10" t="inlineStr">
        <is>
          <t>Hồ Chí Minh</t>
        </is>
      </c>
      <c r="G14836" s="10" t="inlineStr">
        <is>
          <t>03-04-2026</t>
        </is>
      </c>
      <c r="H14836" s="10" t="inlineStr">
        <is>
          <t>03/04/2026</t>
        </is>
      </c>
      <c r="I14836" s="10" t="inlineStr">
        <is>
          <t>17/03/2026</t>
        </is>
      </c>
      <c r="J14836" s="10" t="inlineStr">
        <is>
          <t>Quản lý điều hành, Điện / Điện tử / Điện lạnh / Điện công nghiệp, Xây dựng</t>
        </is>
      </c>
      <c r="K14836" s="10" t="inlineStr">
        <is>
          <t>N/A</t>
        </is>
      </c>
      <c r="L14836" s="11">
        <f>HYPERLINK("https://careerviet.vn/vi/tim-viec-lam/ky-su-thiet-ke-du-toan-m-e-pccc.35C6ACCE.html","Xem chi tiết")</f>
        <v/>
      </c>
      <c r="M14836" s="10" t="n"/>
    </row>
    <row r="14837">
      <c r="B14837" s="7" t="n">
        <v>14835</v>
      </c>
      <c r="C14837" t="inlineStr">
        <is>
          <t>Chuyên Viên Video Editor</t>
        </is>
      </c>
      <c r="D14837" t="inlineStr">
        <is>
          <t>Công Ty Cổ Phần TEECOM</t>
        </is>
      </c>
      <c r="E14837" t="inlineStr">
        <is>
          <t>Lương:Cạnh tranh</t>
        </is>
      </c>
      <c r="F14837" t="inlineStr">
        <is>
          <t>Hồ Chí Minh</t>
        </is>
      </c>
      <c r="G14837" t="inlineStr">
        <is>
          <t>01-04-2026</t>
        </is>
      </c>
      <c r="H14837" t="inlineStr">
        <is>
          <t>01/04/2026</t>
        </is>
      </c>
      <c r="I14837" t="inlineStr">
        <is>
          <t>17/03/2026</t>
        </is>
      </c>
      <c r="J14837" t="inlineStr">
        <is>
          <t>Tiếp thị / Marketing, Tiếp thị trực tuyến, Thương mại điện tử</t>
        </is>
      </c>
      <c r="K14837" t="inlineStr">
        <is>
          <t>2 - 3 Năm</t>
        </is>
      </c>
      <c r="L14837" s="8">
        <f>HYPERLINK("https://careerviet.vn/vi/tim-viec-lam/chuyen-vien-video-editor.35C6ADF9.html","Xem chi tiết")</f>
        <v/>
      </c>
    </row>
    <row r="14838">
      <c r="B14838" s="9" t="n">
        <v>14836</v>
      </c>
      <c r="C14838" s="10" t="inlineStr">
        <is>
          <t>Interior Designer  / Thiết Kế Nội Thất</t>
        </is>
      </c>
      <c r="D14838" s="10" t="inlineStr">
        <is>
          <t>CJ Foodville Việt Nam</t>
        </is>
      </c>
      <c r="E14838" s="10" t="inlineStr">
        <is>
          <t>Lương:Cạnh tranh</t>
        </is>
      </c>
      <c r="F14838" s="10" t="inlineStr">
        <is>
          <t>Hồ Chí Minh</t>
        </is>
      </c>
      <c r="G14838" s="10" t="inlineStr">
        <is>
          <t>03-04-2026</t>
        </is>
      </c>
      <c r="H14838" s="10" t="inlineStr">
        <is>
          <t>03/04/2026</t>
        </is>
      </c>
      <c r="I14838" s="10" t="inlineStr">
        <is>
          <t>17/03/2026</t>
        </is>
      </c>
      <c r="J14838" s="10" t="inlineStr">
        <is>
          <t>Mỹ thuật / Nghệ thuật / Thiết kế, Nội ngoại thất, Thực phẩm &amp; Đồ uống</t>
        </is>
      </c>
      <c r="K14838" s="10" t="inlineStr">
        <is>
          <t>2 - 5 Năm</t>
        </is>
      </c>
      <c r="L14838" s="11">
        <f>HYPERLINK("https://careerviet.vn/vi/tim-viec-lam/interior-designer-thiet-ke-noi-that.35C6AC49.html","Xem chi tiết")</f>
        <v/>
      </c>
      <c r="M14838" s="10" t="n"/>
    </row>
    <row r="14839">
      <c r="B14839" s="7" t="n">
        <v>14837</v>
      </c>
      <c r="C14839" t="inlineStr">
        <is>
          <t>CHUYÊN VIÊN KHÁCH HÀNG DOANH NGHIỆP - KHU VỰC TP. HỒ CHÍ MINH</t>
        </is>
      </c>
      <c r="D14839" t="inlineStr">
        <is>
          <t>NGÂN HÀNG TMCP SÀI GÒN THƯƠNG TÍN (SACOMBANK)</t>
        </is>
      </c>
      <c r="E14839" t="inlineStr">
        <is>
          <t>Lương:Cạnh tranh</t>
        </is>
      </c>
      <c r="F14839" t="inlineStr">
        <is>
          <t>Hồ Chí Minh</t>
        </is>
      </c>
      <c r="G14839" t="inlineStr">
        <is>
          <t>03-04-2026</t>
        </is>
      </c>
      <c r="H14839" t="inlineStr">
        <is>
          <t>03/04/2026</t>
        </is>
      </c>
      <c r="I14839" t="inlineStr">
        <is>
          <t>17/03/2026</t>
        </is>
      </c>
      <c r="J14839" t="inlineStr">
        <is>
          <t>Ngân hàng, Bảo hiểm, Tài chính / Đầu tư</t>
        </is>
      </c>
      <c r="K14839" t="inlineStr">
        <is>
          <t>N/A</t>
        </is>
      </c>
      <c r="L14839" s="8">
        <f>HYPERLINK("https://careerviet.vn/vi/tim-viec-lam/chuyen-vien-khach-hang-doanh-nghiep-khu-vuc-tp-ho-chi-minh.35C6ABA4.html","Xem chi tiết")</f>
        <v/>
      </c>
    </row>
    <row r="14840">
      <c r="B14840" s="9" t="n">
        <v>14838</v>
      </c>
      <c r="C14840" s="10" t="inlineStr">
        <is>
          <t>Quản nhiệm viên (Nam)</t>
        </is>
      </c>
      <c r="D14840" s="10" t="inlineStr">
        <is>
          <t>TRƯỜNG PHỔ THÔNG LIÊN CẤP H.A.S</t>
        </is>
      </c>
      <c r="E14840" s="10" t="inlineStr">
        <is>
          <t>Lương:10 Tr - 11 Tr VND</t>
        </is>
      </c>
      <c r="F14840" s="10" t="inlineStr">
        <is>
          <t>Hà Nội</t>
        </is>
      </c>
      <c r="G14840" s="10" t="inlineStr">
        <is>
          <t>30-04-2026</t>
        </is>
      </c>
      <c r="H14840" s="10" t="inlineStr">
        <is>
          <t>30/04/2026</t>
        </is>
      </c>
      <c r="I14840" s="10" t="inlineStr">
        <is>
          <t>17/03/2026</t>
        </is>
      </c>
      <c r="J14840" s="10" t="inlineStr">
        <is>
          <t>Giáo dục / Đào tạo</t>
        </is>
      </c>
      <c r="K14840" s="10" t="inlineStr">
        <is>
          <t>1 - 2 Năm</t>
        </is>
      </c>
      <c r="L14840" s="11">
        <f>HYPERLINK("https://careerviet.vn/vi/tim-viec-lam/quan-nhiem-vien-nam.35C6AE12.html","Xem chi tiết")</f>
        <v/>
      </c>
      <c r="M14840" s="10" t="n"/>
    </row>
    <row r="14841">
      <c r="B14841" s="7" t="n">
        <v>14839</v>
      </c>
      <c r="C14841" t="inlineStr">
        <is>
          <t>Kỹ sư đồ gá</t>
        </is>
      </c>
      <c r="D14841" t="inlineStr">
        <is>
          <t>CÔNG TY CỔ PHẦN CÔNG NGHỆ SOTATEK VIỆT NAM</t>
        </is>
      </c>
      <c r="E14841" t="inlineStr">
        <is>
          <t>Lương:Cạnh tranh</t>
        </is>
      </c>
      <c r="F14841" t="inlineStr">
        <is>
          <t>Ninh Thuận</t>
        </is>
      </c>
      <c r="G14841" t="inlineStr">
        <is>
          <t>31-03-2026</t>
        </is>
      </c>
      <c r="H14841" t="inlineStr">
        <is>
          <t>31/03/2026</t>
        </is>
      </c>
      <c r="I14841" t="inlineStr">
        <is>
          <t>17/03/2026</t>
        </is>
      </c>
      <c r="J14841" t="inlineStr">
        <is>
          <t>Cơ khí / Ô tô / Tự động hóa, Điện / Điện tử / Điện lạnh / Điện công nghiệp</t>
        </is>
      </c>
      <c r="K14841" t="inlineStr">
        <is>
          <t>Trên 2 Năm</t>
        </is>
      </c>
      <c r="L14841" s="8">
        <f>HYPERLINK("https://careerviet.vn/vi/tim-viec-lam/ky-su-do-ga.35C6ADFD.html","Xem chi tiết")</f>
        <v/>
      </c>
    </row>
    <row r="14842">
      <c r="B14842" s="9" t="n">
        <v>14840</v>
      </c>
      <c r="C14842" s="10" t="inlineStr">
        <is>
          <t>[Giá Rai - Bạc Liêu] Tuyển Nhân Viên Bán Hàng - Chuỗi Cửa Hàng Bán Lẻ Thiết Bị Sức Khỏe</t>
        </is>
      </c>
      <c r="D14842" s="10" t="inlineStr">
        <is>
          <t>Công Ty TNHH XNK Phát Triển Đông Dương</t>
        </is>
      </c>
      <c r="E14842" s="10" t="inlineStr">
        <is>
          <t>Lương:12 Tr - 20 Tr VND</t>
        </is>
      </c>
      <c r="F14842" s="10" t="inlineStr">
        <is>
          <t>Cần Thơ</t>
        </is>
      </c>
      <c r="G14842" s="10" t="inlineStr">
        <is>
          <t>09-04-2026</t>
        </is>
      </c>
      <c r="H14842" s="10" t="inlineStr">
        <is>
          <t>09/04/2026</t>
        </is>
      </c>
      <c r="I14842" s="10" t="inlineStr">
        <is>
          <t>17/03/2026</t>
        </is>
      </c>
      <c r="J14842" s="10" t="inlineStr">
        <is>
          <t>Bán lẻ / Bán sỉ, Bán hàng / Kinh doanh, Tư vấn</t>
        </is>
      </c>
      <c r="K14842" s="10" t="inlineStr">
        <is>
          <t>N/A</t>
        </is>
      </c>
      <c r="L14842" s="11">
        <f>HYPERLINK("https://careerviet.vn/vi/tim-viec-lam/gia-rai-bac-lieu-tuyen-nhan-vien-ban-hang-chuoi-cua-hang-ban-le-thiet-bi-suc-khoe.35C6ABD8.html","Xem chi tiết")</f>
        <v/>
      </c>
      <c r="M14842" s="10" t="n"/>
    </row>
    <row r="14843">
      <c r="B14843" s="7" t="n">
        <v>14841</v>
      </c>
      <c r="C14843" t="inlineStr">
        <is>
          <t>Sales Admin - Retail</t>
        </is>
      </c>
      <c r="D14843" t="inlineStr">
        <is>
          <t>CÔNG TY TNHH MINTHACARE</t>
        </is>
      </c>
      <c r="E14843" t="inlineStr">
        <is>
          <t>Lương:Cạnh tranh</t>
        </is>
      </c>
      <c r="F14843" t="inlineStr">
        <is>
          <t>Hồ Chí Minh</t>
        </is>
      </c>
      <c r="G14843" t="inlineStr">
        <is>
          <t>04-04-2026</t>
        </is>
      </c>
      <c r="H14843" t="inlineStr">
        <is>
          <t>04/04/2026</t>
        </is>
      </c>
      <c r="I14843" t="inlineStr">
        <is>
          <t>17/03/2026</t>
        </is>
      </c>
      <c r="J14843" t="inlineStr">
        <is>
          <t>Bán lẻ / Bán sỉ, Hành chính / Thư ký</t>
        </is>
      </c>
      <c r="K14843" t="inlineStr">
        <is>
          <t>2 - 6 Năm</t>
        </is>
      </c>
      <c r="L14843" s="8">
        <f>HYPERLINK("https://careerviet.vn/vi/tim-viec-lam/sales-admin-retail.35C6AE04.html","Xem chi tiết")</f>
        <v/>
      </c>
    </row>
    <row r="14844">
      <c r="B14844" s="9" t="n">
        <v>14842</v>
      </c>
      <c r="C14844" s="10" t="inlineStr">
        <is>
          <t>GIÁM ĐỐC MARKETING (CMO)</t>
        </is>
      </c>
      <c r="D14844" s="10" t="inlineStr">
        <is>
          <t>HR Vietnam’s ESS Client</t>
        </is>
      </c>
      <c r="E14844" s="10" t="inlineStr">
        <is>
          <t>Lương:Cạnh tranh</t>
        </is>
      </c>
      <c r="F14844" s="10" t="inlineStr">
        <is>
          <t>Hồ Chí Minh</t>
        </is>
      </c>
      <c r="G14844" s="10" t="inlineStr">
        <is>
          <t>03-04-2026</t>
        </is>
      </c>
      <c r="H14844" s="10" t="inlineStr">
        <is>
          <t>03/04/2026</t>
        </is>
      </c>
      <c r="I14844" s="10" t="inlineStr">
        <is>
          <t>17/03/2026</t>
        </is>
      </c>
      <c r="J14844" s="10" t="inlineStr">
        <is>
          <t>Tiếp thị / Marketing, Y tế / Chăm sóc sức khỏe / Thẩm mỹ / Làm đẹp</t>
        </is>
      </c>
      <c r="K14844" s="10" t="inlineStr">
        <is>
          <t>8 - 15 Năm</t>
        </is>
      </c>
      <c r="L14844" s="11">
        <f>HYPERLINK("https://careerviet.vn/vi/tim-viec-lam/giam-doc-marketing-cmo.35C6ADE7.html","Xem chi tiết")</f>
        <v/>
      </c>
      <c r="M14844" s="10" t="n"/>
    </row>
    <row r="14845">
      <c r="B14845" s="7" t="n">
        <v>14843</v>
      </c>
      <c r="C14845" t="inlineStr">
        <is>
          <t>Sales Admin Staff</t>
        </is>
      </c>
      <c r="D14845" t="inlineStr">
        <is>
          <t>CÔNG TY TNHH LASERVALL VIỆT NAM</t>
        </is>
      </c>
      <c r="E14845" t="inlineStr">
        <is>
          <t>Lương:10 Tr - 25 Tr VND</t>
        </is>
      </c>
      <c r="F14845" t="inlineStr">
        <is>
          <t>Hà Nội</t>
        </is>
      </c>
      <c r="G14845" t="inlineStr">
        <is>
          <t>31-03-2026</t>
        </is>
      </c>
      <c r="H14845" t="inlineStr">
        <is>
          <t>31/03/2026</t>
        </is>
      </c>
      <c r="I14845" t="inlineStr">
        <is>
          <t>17/03/2026</t>
        </is>
      </c>
      <c r="J14845" t="inlineStr">
        <is>
          <t>Hành chính / Thư ký</t>
        </is>
      </c>
      <c r="K14845" t="inlineStr">
        <is>
          <t>Chưa có kinh nghiệm</t>
        </is>
      </c>
      <c r="L14845" s="8">
        <f>HYPERLINK("https://careerviet.vn/vi/tim-viec-lam/sales-admin-staff.35C6AD13.html","Xem chi tiết")</f>
        <v/>
      </c>
    </row>
    <row r="14846">
      <c r="B14846" s="9" t="n">
        <v>14844</v>
      </c>
      <c r="C14846" s="10" t="inlineStr">
        <is>
          <t>[NSG] Chuyên Viên Cao Cấp Tổ Chức An Toàn Phòng Chống Cháy Nổ</t>
        </is>
      </c>
      <c r="D14846" s="10" t="inlineStr">
        <is>
          <t>Nova Service Group - Công ty Cổ phần Tập đoàn Nova Services</t>
        </is>
      </c>
      <c r="E14846" s="10" t="inlineStr">
        <is>
          <t>Lương:Cạnh tranh</t>
        </is>
      </c>
      <c r="F14846" s="10" t="inlineStr">
        <is>
          <t>Hồ Chí Minh</t>
        </is>
      </c>
      <c r="G14846" s="10" t="inlineStr">
        <is>
          <t>30-04-2026</t>
        </is>
      </c>
      <c r="H14846" s="10" t="inlineStr">
        <is>
          <t>30/04/2026</t>
        </is>
      </c>
      <c r="I14846" s="10" t="inlineStr">
        <is>
          <t>17/03/2026</t>
        </is>
      </c>
      <c r="J14846" s="10" t="inlineStr">
        <is>
          <t>An Ninh / Bảo Vệ, An toàn lao động</t>
        </is>
      </c>
      <c r="K14846" s="10" t="inlineStr">
        <is>
          <t>3 - 7 Năm</t>
        </is>
      </c>
      <c r="L14846" s="11">
        <f>HYPERLINK("https://careerviet.vn/vi/tim-viec-lam/nsg-chuyen-vien-cao-cap-to-chuc-an-toan-phong-chong-chay-no.35C6ADC0.html","Xem chi tiết")</f>
        <v/>
      </c>
      <c r="M14846" s="10" t="n"/>
    </row>
    <row r="14847">
      <c r="B14847" s="7" t="n">
        <v>14845</v>
      </c>
      <c r="C14847" t="inlineStr">
        <is>
          <t>Nhân viên cứu hộ</t>
        </is>
      </c>
      <c r="D14847" t="inlineStr">
        <is>
          <t>Bảo mật</t>
        </is>
      </c>
      <c r="E14847" t="inlineStr">
        <is>
          <t>Lương:Cạnh tranh</t>
        </is>
      </c>
      <c r="F14847" t="inlineStr">
        <is>
          <t>Hồ Chí Minh</t>
        </is>
      </c>
      <c r="G14847" t="inlineStr">
        <is>
          <t>03-04-2026</t>
        </is>
      </c>
      <c r="H14847" t="inlineStr">
        <is>
          <t>03/04/2026</t>
        </is>
      </c>
      <c r="I14847" t="inlineStr">
        <is>
          <t>17/03/2026</t>
        </is>
      </c>
      <c r="J14847" t="inlineStr">
        <is>
          <t>An toàn lao động, Ngành khác, Dịch vụ khách hàng</t>
        </is>
      </c>
      <c r="K14847" t="inlineStr">
        <is>
          <t>Chưa có kinh nghiệm</t>
        </is>
      </c>
      <c r="L14847" s="8">
        <f>HYPERLINK("https://careerviet.vn/vi/tim-viec-lam/nhan-vien-cuu-ho.35C6AEEF.html","Xem chi tiết")</f>
        <v/>
      </c>
    </row>
    <row r="14848">
      <c r="B14848" s="9" t="n">
        <v>14846</v>
      </c>
      <c r="C14848" s="10" t="inlineStr">
        <is>
          <t>Talent Acquisition Leader</t>
        </is>
      </c>
      <c r="D14848" s="10" t="inlineStr">
        <is>
          <t>CÔNG TY CỔ PHẦN CITICS</t>
        </is>
      </c>
      <c r="E14848" s="10" t="inlineStr">
        <is>
          <t>Lương:20 Tr - 50 Tr VND</t>
        </is>
      </c>
      <c r="F14848" s="10" t="inlineStr">
        <is>
          <t>Hồ Chí Minh</t>
        </is>
      </c>
      <c r="G14848" s="10" t="inlineStr">
        <is>
          <t>30-04-2026</t>
        </is>
      </c>
      <c r="H14848" s="10" t="inlineStr">
        <is>
          <t>30/04/2026</t>
        </is>
      </c>
      <c r="I14848" s="10" t="inlineStr">
        <is>
          <t>17/03/2026</t>
        </is>
      </c>
      <c r="J14848" s="10" t="inlineStr">
        <is>
          <t>Nhân sự</t>
        </is>
      </c>
      <c r="K14848" s="10" t="inlineStr">
        <is>
          <t>5 - 6 Năm</t>
        </is>
      </c>
      <c r="L14848" s="11">
        <f>HYPERLINK("https://careerviet.vn/vi/tim-viec-lam/talent-acquisition-leader.35C6AE9E.html","Xem chi tiết")</f>
        <v/>
      </c>
      <c r="M14848" s="10" t="n"/>
    </row>
    <row r="14849">
      <c r="B14849" s="7" t="n">
        <v>14847</v>
      </c>
      <c r="C14849" t="inlineStr">
        <is>
          <t>CHUYÊN VIÊN PHÁP LÝ</t>
        </is>
      </c>
      <c r="D14849" t="inlineStr">
        <is>
          <t>Công ty TNHH Sài Gòn Stec</t>
        </is>
      </c>
      <c r="E14849" t="inlineStr">
        <is>
          <t>Lương:15 Tr - 25 Tr VND</t>
        </is>
      </c>
      <c r="F14849" t="inlineStr">
        <is>
          <t>Bình Dương</t>
        </is>
      </c>
      <c r="G14849" t="inlineStr">
        <is>
          <t>04-04-2026</t>
        </is>
      </c>
      <c r="H14849" t="inlineStr">
        <is>
          <t>04/04/2026</t>
        </is>
      </c>
      <c r="I14849" t="inlineStr">
        <is>
          <t>17/03/2026</t>
        </is>
      </c>
      <c r="J14849" t="inlineStr">
        <is>
          <t>Luật / Pháp lý, Nhân sự</t>
        </is>
      </c>
      <c r="K14849" t="inlineStr">
        <is>
          <t>3 - 5 Năm</t>
        </is>
      </c>
      <c r="L14849" s="8">
        <f>HYPERLINK("https://careerviet.vn/vi/tim-viec-lam/chuyen-vien-phap-ly.35C6ADA1.html","Xem chi tiết")</f>
        <v/>
      </c>
    </row>
    <row r="14850">
      <c r="B14850" s="9" t="n">
        <v>14848</v>
      </c>
      <c r="C14850" s="10" t="inlineStr">
        <is>
          <t>Thực tập sinh tìm kiếm và phát triển sản phẩm</t>
        </is>
      </c>
      <c r="D14850" s="10" t="inlineStr">
        <is>
          <t>CÔNG TY CỔ PHẦN VUA NỆM</t>
        </is>
      </c>
      <c r="E14850" s="10" t="inlineStr">
        <is>
          <t>Lương:2 Tr - 3 Tr VND</t>
        </is>
      </c>
      <c r="F14850" s="10" t="inlineStr">
        <is>
          <t>Hồ Chí Minh</t>
        </is>
      </c>
      <c r="G14850" s="10" t="inlineStr">
        <is>
          <t>31-03-2026</t>
        </is>
      </c>
      <c r="H14850" s="10" t="inlineStr">
        <is>
          <t>31/03/2026</t>
        </is>
      </c>
      <c r="I14850" s="10" t="inlineStr">
        <is>
          <t>17/03/2026</t>
        </is>
      </c>
      <c r="J14850" s="10" t="inlineStr">
        <is>
          <t>Bán lẻ / Bán sỉ, Thu mua / Vật tư, Mới tốt nghiệp / Thực tập</t>
        </is>
      </c>
      <c r="K14850" s="10" t="inlineStr">
        <is>
          <t>N/A</t>
        </is>
      </c>
      <c r="L14850" s="11">
        <f>HYPERLINK("https://careerviet.vn/vi/tim-viec-lam/thuc-tap-sinh-tim-kiem-va-phat-trien-san-pham.35C6AC5E.html","Xem chi tiết")</f>
        <v/>
      </c>
      <c r="M14850" s="10" t="n"/>
    </row>
    <row r="14851">
      <c r="B14851" s="7" t="n">
        <v>14849</v>
      </c>
      <c r="C14851" t="inlineStr">
        <is>
          <t>Kỹ sư Thiết kế PCB (PCB Design Engineer)</t>
        </is>
      </c>
      <c r="D14851" t="inlineStr">
        <is>
          <t>CÔNG TY TNHH ELECTRONIC TRIPOD VIỆT NAM (CHÂU ĐỨC)</t>
        </is>
      </c>
      <c r="E14851" t="inlineStr">
        <is>
          <t>Lương:Cạnh tranh</t>
        </is>
      </c>
      <c r="F14851" t="inlineStr">
        <is>
          <t>Đồng Nai</t>
        </is>
      </c>
      <c r="G14851" t="inlineStr">
        <is>
          <t>31-03-2026</t>
        </is>
      </c>
      <c r="H14851" t="inlineStr">
        <is>
          <t>31/03/2026</t>
        </is>
      </c>
      <c r="I14851" t="inlineStr">
        <is>
          <t>17/03/2026</t>
        </is>
      </c>
      <c r="J14851" t="inlineStr">
        <is>
          <t>Điện / Điện tử / Điện lạnh / Điện công nghiệp</t>
        </is>
      </c>
      <c r="K14851" t="inlineStr">
        <is>
          <t>1 - 2 Năm</t>
        </is>
      </c>
      <c r="L14851" s="8">
        <f>HYPERLINK("https://careerviet.vn/vi/tim-viec-lam/ky-su-thiet-ke-pcb-pcb-design-engineer.35C6AEF1.html","Xem chi tiết")</f>
        <v/>
      </c>
    </row>
    <row r="14852">
      <c r="B14852" s="9" t="n">
        <v>14850</v>
      </c>
      <c r="C14852" s="10" t="inlineStr">
        <is>
          <t>Trưởng Nhóm Tuyển Sinh (Ocean Tân Triều)</t>
        </is>
      </c>
      <c r="D14852" s="10" t="inlineStr">
        <is>
          <t>Công Ty CP Giáo Dục Đại Dương</t>
        </is>
      </c>
      <c r="E14852" s="10" t="inlineStr">
        <is>
          <t>Lương:Cạnh tranh</t>
        </is>
      </c>
      <c r="F14852" s="10" t="inlineStr">
        <is>
          <t>Hà Nội</t>
        </is>
      </c>
      <c r="G14852" s="10" t="inlineStr">
        <is>
          <t>03-04-2026</t>
        </is>
      </c>
      <c r="H14852" s="10" t="inlineStr">
        <is>
          <t>03/04/2026</t>
        </is>
      </c>
      <c r="I14852" s="10" t="inlineStr">
        <is>
          <t>17/03/2026</t>
        </is>
      </c>
      <c r="J14852" s="10" t="inlineStr">
        <is>
          <t>Tư vấn, Dịch vụ khách hàng, Giáo dục / Đào tạo</t>
        </is>
      </c>
      <c r="K14852" s="10" t="inlineStr">
        <is>
          <t>1 - 2 Năm</t>
        </is>
      </c>
      <c r="L14852" s="11">
        <f>HYPERLINK("https://careerviet.vn/vi/tim-viec-lam/truong-nhom-tuyen-sinh-ocean-tan-trieu.35C6AB91.html","Xem chi tiết")</f>
        <v/>
      </c>
      <c r="M14852" s="10" t="n"/>
    </row>
    <row r="14853">
      <c r="B14853" s="7" t="n">
        <v>14851</v>
      </c>
      <c r="C14853" t="inlineStr">
        <is>
          <t>Kỹ Thuật Viên QC (QC Technical)</t>
        </is>
      </c>
      <c r="D14853" t="inlineStr">
        <is>
          <t>TAVN</t>
        </is>
      </c>
      <c r="E14853" t="inlineStr">
        <is>
          <t>Lương:Cạnh tranh</t>
        </is>
      </c>
      <c r="F14853" t="inlineStr">
        <is>
          <t>Đồng Nai</t>
        </is>
      </c>
      <c r="G14853" t="inlineStr">
        <is>
          <t>31-03-2026</t>
        </is>
      </c>
      <c r="H14853" t="inlineStr">
        <is>
          <t>31/03/2026</t>
        </is>
      </c>
      <c r="I14853" t="inlineStr">
        <is>
          <t>17/03/2026</t>
        </is>
      </c>
      <c r="J14853" t="inlineStr">
        <is>
          <t>Cơ khí / Ô tô / Tự động hóa, Quản lý chất lượng (QA/QC), Điện / Điện tử / Điện lạnh / Điện công nghiệp</t>
        </is>
      </c>
      <c r="K14853" t="inlineStr">
        <is>
          <t>Trên 1 Năm</t>
        </is>
      </c>
      <c r="L14853" s="8">
        <f>HYPERLINK("https://careerviet.vn/vi/tim-viec-lam/ky-thuat-vien-qc-qc-technical.35C6AEEB.html","Xem chi tiết")</f>
        <v/>
      </c>
    </row>
    <row r="14854">
      <c r="B14854" s="9" t="n">
        <v>14852</v>
      </c>
      <c r="C14854" s="10" t="inlineStr">
        <is>
          <t>Nhân viên giao nhận</t>
        </is>
      </c>
      <c r="D14854" s="10" t="inlineStr">
        <is>
          <t>Bảo mật</t>
        </is>
      </c>
      <c r="E14854" s="10" t="inlineStr">
        <is>
          <t>Lương:9 Tr - 15 Tr VND</t>
        </is>
      </c>
      <c r="F14854" s="10" t="inlineStr">
        <is>
          <t>Hồ Chí Minh</t>
        </is>
      </c>
      <c r="G14854" s="10" t="inlineStr">
        <is>
          <t>03-04-2026</t>
        </is>
      </c>
      <c r="H14854" s="10" t="inlineStr">
        <is>
          <t>03/04/2026</t>
        </is>
      </c>
      <c r="I14854" s="10" t="inlineStr">
        <is>
          <t>17/03/2026</t>
        </is>
      </c>
      <c r="J14854" s="10" t="inlineStr">
        <is>
          <t>Vận chuyển / Giao nhận / Kho vận</t>
        </is>
      </c>
      <c r="K14854" s="10" t="inlineStr">
        <is>
          <t>Chưa có kinh nghiệm</t>
        </is>
      </c>
      <c r="L14854" s="11">
        <f>HYPERLINK("https://careerviet.vn/vi/tim-viec-lam/nhan-vien-giao-nhan.35C6AEED.html","Xem chi tiết")</f>
        <v/>
      </c>
      <c r="M14854" s="10" t="n"/>
    </row>
    <row r="14855">
      <c r="B14855" s="7" t="n">
        <v>14853</v>
      </c>
      <c r="C14855" t="inlineStr">
        <is>
          <t>Trưởng nhóm Tiền lương và Phúc lợi</t>
        </is>
      </c>
      <c r="D14855" t="inlineStr">
        <is>
          <t>Công ty cổ phần Tập đoàn Danko</t>
        </is>
      </c>
      <c r="E14855" t="inlineStr">
        <is>
          <t>Lương:25 Tr - 35 Tr VND</t>
        </is>
      </c>
      <c r="F14855" t="inlineStr">
        <is>
          <t>Hà Nội</t>
        </is>
      </c>
      <c r="G14855" t="inlineStr">
        <is>
          <t>30-04-2026</t>
        </is>
      </c>
      <c r="H14855" t="inlineStr">
        <is>
          <t>30/04/2026</t>
        </is>
      </c>
      <c r="I14855" t="inlineStr">
        <is>
          <t>17/03/2026</t>
        </is>
      </c>
      <c r="J14855" t="inlineStr">
        <is>
          <t>Nhân sự</t>
        </is>
      </c>
      <c r="K14855" t="inlineStr">
        <is>
          <t>5 - 10 Năm</t>
        </is>
      </c>
      <c r="L14855" s="8">
        <f>HYPERLINK("https://careerviet.vn/vi/tim-viec-lam/truong-nhom-tien-luong-va-phuc-loi.35C6ADC7.html","Xem chi tiết")</f>
        <v/>
      </c>
    </row>
    <row r="14856">
      <c r="B14856" s="9" t="n">
        <v>14854</v>
      </c>
      <c r="C14856" s="10" t="inlineStr">
        <is>
          <t>Giám đốc/Chuyên viên Dịch vụ khách hàng - BVBank Pleiku - KV Tây Nguyên</t>
        </is>
      </c>
      <c r="D14856" s="10" t="inlineStr">
        <is>
          <t>BVBank - Ngân hàng Bản Việt</t>
        </is>
      </c>
      <c r="E14856" s="10" t="inlineStr">
        <is>
          <t>Lương:Cạnh tranh</t>
        </is>
      </c>
      <c r="F14856" s="10" t="inlineStr">
        <is>
          <t>Gia Lai</t>
        </is>
      </c>
      <c r="G14856" s="10" t="inlineStr">
        <is>
          <t>03-04-2026</t>
        </is>
      </c>
      <c r="H14856" s="10" t="inlineStr">
        <is>
          <t>03/04/2026</t>
        </is>
      </c>
      <c r="I14856" s="10" t="inlineStr">
        <is>
          <t>17/03/2026</t>
        </is>
      </c>
      <c r="J14856" s="10" t="inlineStr">
        <is>
          <t>Ngân hàng, Tài chính / Đầu tư</t>
        </is>
      </c>
      <c r="K14856" s="10" t="inlineStr">
        <is>
          <t>1 - 2 Năm</t>
        </is>
      </c>
      <c r="L14856" s="11">
        <f>HYPERLINK("https://careerviet.vn/vi/tim-viec-lam/giam-doc-chuyen-vien-dich-vu-khach-hang-bvbank-pleiku-kv-tay-nguyen.35C6AD2B.html","Xem chi tiết")</f>
        <v/>
      </c>
      <c r="M14856" s="10" t="n"/>
    </row>
    <row r="14857">
      <c r="B14857" s="7" t="n">
        <v>14855</v>
      </c>
      <c r="C14857" t="inlineStr">
        <is>
          <t>MEP Engineer</t>
        </is>
      </c>
      <c r="D14857" t="inlineStr">
        <is>
          <t>Công ty Cổ phần Thiết kế và Quản lý Kỹ thuật IMP</t>
        </is>
      </c>
      <c r="E14857" t="inlineStr">
        <is>
          <t>Lương:18 Tr - 22 Tr VND</t>
        </is>
      </c>
      <c r="F14857" t="inlineStr">
        <is>
          <t>Quảng TrịHà Tĩnh</t>
        </is>
      </c>
      <c r="G14857" t="inlineStr">
        <is>
          <t>04-04-2026</t>
        </is>
      </c>
      <c r="H14857" t="inlineStr">
        <is>
          <t>04/04/2026</t>
        </is>
      </c>
      <c r="I14857" t="inlineStr">
        <is>
          <t>17/03/2026</t>
        </is>
      </c>
      <c r="J14857" t="inlineStr">
        <is>
          <t>Điện / Điện tử / Điện lạnh / Điện công nghiệp</t>
        </is>
      </c>
      <c r="K14857" t="inlineStr">
        <is>
          <t>3 - 5 Năm</t>
        </is>
      </c>
      <c r="L14857" s="8">
        <f>HYPERLINK("https://careerviet.vn/vi/tim-viec-lam/mep-engineer.35C6AD4A.html","Xem chi tiết")</f>
        <v/>
      </c>
    </row>
    <row r="14858">
      <c r="B14858" s="9" t="n">
        <v>14856</v>
      </c>
      <c r="C14858" s="10" t="inlineStr">
        <is>
          <t>Chuyên viên phát triển CoreBank - Dự án nâng cấp CoreBanking</t>
        </is>
      </c>
      <c r="D14858" s="10" t="inlineStr">
        <is>
          <t>Ngân Hàng TMCP Sài Gòn - Hà Nội ( SHB )</t>
        </is>
      </c>
      <c r="E14858" s="10" t="inlineStr">
        <is>
          <t>Lương:Cạnh tranh</t>
        </is>
      </c>
      <c r="F14858" s="10" t="inlineStr">
        <is>
          <t>Hà Nội</t>
        </is>
      </c>
      <c r="G14858" s="10" t="inlineStr">
        <is>
          <t>03-04-2026</t>
        </is>
      </c>
      <c r="H14858" s="10" t="inlineStr">
        <is>
          <t>03/04/2026</t>
        </is>
      </c>
      <c r="I14858" s="10" t="inlineStr">
        <is>
          <t>17/03/2026</t>
        </is>
      </c>
      <c r="J14858" s="10" t="inlineStr">
        <is>
          <t>CNTT - Phần mềm, Ngân hàng</t>
        </is>
      </c>
      <c r="K14858" s="10" t="inlineStr">
        <is>
          <t>Trên 1 Năm</t>
        </is>
      </c>
      <c r="L14858" s="11">
        <f>HYPERLINK("https://careerviet.vn/vi/tim-viec-lam/chuyen-vien-phat-trien-corebank-du-an-nang-cap-corebanking.35C6ADD6.html","Xem chi tiết")</f>
        <v/>
      </c>
      <c r="M14858" s="10" t="n"/>
    </row>
    <row r="14859">
      <c r="B14859" s="7" t="n">
        <v>14857</v>
      </c>
      <c r="C14859" t="inlineStr">
        <is>
          <t>Chuyên viên Xử lý nợ - Địa bàn Đông Bắc Bộ (Hải Phòng)</t>
        </is>
      </c>
      <c r="D14859" t="inlineStr">
        <is>
          <t>Ngân Hàng TMCP Sài Gòn - Hà Nội ( SHB )</t>
        </is>
      </c>
      <c r="E14859" t="inlineStr">
        <is>
          <t>Lương:Cạnh tranh</t>
        </is>
      </c>
      <c r="F14859" t="inlineStr">
        <is>
          <t>Hải Phòng</t>
        </is>
      </c>
      <c r="G14859" t="inlineStr">
        <is>
          <t>03-04-2026</t>
        </is>
      </c>
      <c r="H14859" t="inlineStr">
        <is>
          <t>03/04/2026</t>
        </is>
      </c>
      <c r="I14859" t="inlineStr">
        <is>
          <t>17/03/2026</t>
        </is>
      </c>
      <c r="J14859" t="inlineStr">
        <is>
          <t>Ngân hàng</t>
        </is>
      </c>
      <c r="K14859" t="inlineStr">
        <is>
          <t>1 - 3 Năm</t>
        </is>
      </c>
      <c r="L14859" s="8">
        <f>HYPERLINK("https://careerviet.vn/vi/tim-viec-lam/chuyen-vien-xu-ly-no-dia-ban-dong-bac-bo-hai-phong.35C6AC5C.html","Xem chi tiết")</f>
        <v/>
      </c>
    </row>
    <row r="14860">
      <c r="B14860" s="9" t="n">
        <v>14858</v>
      </c>
      <c r="C14860" s="10" t="inlineStr">
        <is>
          <t>E-Commerce Platform Executive/Specialist</t>
        </is>
      </c>
      <c r="D14860" s="10" t="inlineStr">
        <is>
          <t>Concung.com - Con Cung Joint Stock Company</t>
        </is>
      </c>
      <c r="E14860" s="10" t="inlineStr">
        <is>
          <t>Lương:Cạnh tranh</t>
        </is>
      </c>
      <c r="F14860" s="10" t="inlineStr">
        <is>
          <t>Hồ Chí Minh</t>
        </is>
      </c>
      <c r="G14860" s="10" t="inlineStr">
        <is>
          <t>31-03-2026</t>
        </is>
      </c>
      <c r="H14860" s="10" t="inlineStr">
        <is>
          <t>31/03/2026</t>
        </is>
      </c>
      <c r="I14860" s="10" t="inlineStr">
        <is>
          <t>17/03/2026</t>
        </is>
      </c>
      <c r="J14860" s="10" t="inlineStr">
        <is>
          <t>Tiếp thị / Marketing, Tiếp thị trực tuyến, Thương mại điện tử</t>
        </is>
      </c>
      <c r="K14860" s="10" t="inlineStr">
        <is>
          <t>2 - 3 Năm</t>
        </is>
      </c>
      <c r="L14860" s="11">
        <f>HYPERLINK("https://careerviet.vn/vi/tim-viec-lam/e-commerce-platform-executive-specialist.35C6AE9A.html","Xem chi tiết")</f>
        <v/>
      </c>
      <c r="M14860" s="10" t="n"/>
    </row>
    <row r="14861">
      <c r="B14861" s="7" t="n">
        <v>14859</v>
      </c>
      <c r="C14861" t="inlineStr">
        <is>
          <t>Chuyên viên Mua hàng (Mảng Thực phẩm - Khách sạn)</t>
        </is>
      </c>
      <c r="D14861" t="inlineStr">
        <is>
          <t>CÔNG TY CỔ PHẦN TẬP ĐOÀN ONSEN FUJI</t>
        </is>
      </c>
      <c r="E14861" t="inlineStr">
        <is>
          <t>Lương:Cạnh tranh</t>
        </is>
      </c>
      <c r="F14861" t="inlineStr">
        <is>
          <t>Hà Nội</t>
        </is>
      </c>
      <c r="G14861" t="inlineStr">
        <is>
          <t>03-04-2026</t>
        </is>
      </c>
      <c r="H14861" t="inlineStr">
        <is>
          <t>03/04/2026</t>
        </is>
      </c>
      <c r="I14861" t="inlineStr">
        <is>
          <t>17/03/2026</t>
        </is>
      </c>
      <c r="J14861" t="inlineStr">
        <is>
          <t>Nhà hàng / Khách sạn</t>
        </is>
      </c>
      <c r="K14861" t="inlineStr">
        <is>
          <t>2 - 3 Năm</t>
        </is>
      </c>
      <c r="L14861" s="8">
        <f>HYPERLINK("https://careerviet.vn/vi/tim-viec-lam/chuyen-vien-mua-hang-mang-thuc-pham-khach-san.35C6ACAC.html","Xem chi tiết")</f>
        <v/>
      </c>
    </row>
    <row r="14862">
      <c r="B14862" s="9" t="n">
        <v>14860</v>
      </c>
      <c r="C14862" s="10" t="inlineStr">
        <is>
          <t>Business Operations Specialist</t>
        </is>
      </c>
      <c r="D14862" s="10" t="inlineStr">
        <is>
          <t>Công Ty Cổ Phần TEECOM</t>
        </is>
      </c>
      <c r="E14862" s="10" t="inlineStr">
        <is>
          <t>Lương:Cạnh tranh</t>
        </is>
      </c>
      <c r="F14862" s="10" t="inlineStr">
        <is>
          <t>Hồ Chí Minh</t>
        </is>
      </c>
      <c r="G14862" s="10" t="inlineStr">
        <is>
          <t>02-04-2026</t>
        </is>
      </c>
      <c r="H14862" s="10" t="inlineStr">
        <is>
          <t>02/04/2026</t>
        </is>
      </c>
      <c r="I14862" s="10" t="inlineStr">
        <is>
          <t>17/03/2026</t>
        </is>
      </c>
      <c r="J14862" s="10" t="inlineStr">
        <is>
          <t>Thương mại điện tử, Bán lẻ / Bán sỉ, Bán hàng / Kinh doanh</t>
        </is>
      </c>
      <c r="K14862" s="10" t="inlineStr">
        <is>
          <t>2 - 4 Năm</t>
        </is>
      </c>
      <c r="L14862" s="11">
        <f>HYPERLINK("https://careerviet.vn/vi/tim-viec-lam/business-operations-specialist.35C6AE62.html","Xem chi tiết")</f>
        <v/>
      </c>
      <c r="M14862" s="10" t="n"/>
    </row>
    <row r="14863">
      <c r="B14863" s="7" t="n">
        <v>14861</v>
      </c>
      <c r="C14863" t="inlineStr">
        <is>
          <t>Nhân viên Điều hành triển khai Năng lượng mặt trời (làm việc tại văn phòng)</t>
        </is>
      </c>
      <c r="D14863" t="inlineStr">
        <is>
          <t>Tổng Công ty Cổ phần Công trình Viettel</t>
        </is>
      </c>
      <c r="E14863" t="inlineStr">
        <is>
          <t>Lương:Cạnh tranh</t>
        </is>
      </c>
      <c r="F14863" t="inlineStr">
        <is>
          <t>Hà Nội</t>
        </is>
      </c>
      <c r="G14863" t="inlineStr">
        <is>
          <t>03-04-2026</t>
        </is>
      </c>
      <c r="H14863" t="inlineStr">
        <is>
          <t>03/04/2026</t>
        </is>
      </c>
      <c r="I14863" t="inlineStr">
        <is>
          <t>17/03/2026</t>
        </is>
      </c>
      <c r="J14863" t="inlineStr">
        <is>
          <t>Điện / Điện tử / Điện lạnh / Điện công nghiệp, An toàn lao động, Bảo trì / Sửa chữa</t>
        </is>
      </c>
      <c r="K14863" t="inlineStr">
        <is>
          <t>3 - 4 Năm</t>
        </is>
      </c>
      <c r="L14863" s="8">
        <f>HYPERLINK("https://careerviet.vn/vi/tim-viec-lam/nhan-vien-dieu-hanh-trien-khai-nang-luong-mat-troi-lam-viec-tai-van-phong.35C6AE18.html","Xem chi tiết")</f>
        <v/>
      </c>
    </row>
    <row r="14864">
      <c r="B14864" s="9" t="n">
        <v>14862</v>
      </c>
      <c r="C14864" s="10" t="inlineStr">
        <is>
          <t>Doctor Internist at PSCs</t>
        </is>
      </c>
      <c r="D14864" s="10" t="inlineStr">
        <is>
          <t>DIAG</t>
        </is>
      </c>
      <c r="E14864" s="10" t="inlineStr">
        <is>
          <t>Lương:Cạnh tranh</t>
        </is>
      </c>
      <c r="F14864" s="10" t="inlineStr">
        <is>
          <t>Hồ Chí Minh</t>
        </is>
      </c>
      <c r="G14864" s="10" t="inlineStr">
        <is>
          <t>11-04-2026</t>
        </is>
      </c>
      <c r="H14864" s="10" t="inlineStr">
        <is>
          <t>11/04/2026</t>
        </is>
      </c>
      <c r="I14864" s="10" t="inlineStr">
        <is>
          <t>17/03/2026</t>
        </is>
      </c>
      <c r="J14864" s="10" t="inlineStr">
        <is>
          <t>Y tế / Chăm sóc sức khỏe / Thẩm mỹ / Làm đẹp</t>
        </is>
      </c>
      <c r="K14864" s="10" t="inlineStr">
        <is>
          <t>5 - 8 Năm</t>
        </is>
      </c>
      <c r="L14864" s="11">
        <f>HYPERLINK("https://careerviet.vn/vi/tim-viec-lam/doctor-internist-at-pscs.35C6AE88.html","Xem chi tiết")</f>
        <v/>
      </c>
      <c r="M14864" s="10" t="n"/>
    </row>
    <row r="14865">
      <c r="B14865" s="7" t="n">
        <v>14863</v>
      </c>
      <c r="C14865" t="inlineStr">
        <is>
          <t>CHUYÊN VIÊN QUẢN LÝ VẬT TƯ</t>
        </is>
      </c>
      <c r="D14865" t="inlineStr">
        <is>
          <t>Công Ty Cổ Phần Kiến Trúc Tư Vấn Quản Lý Đông Dương</t>
        </is>
      </c>
      <c r="E14865" t="inlineStr">
        <is>
          <t>Lương:Cạnh tranh</t>
        </is>
      </c>
      <c r="F14865" t="inlineStr">
        <is>
          <t>Hồ Chí Minh</t>
        </is>
      </c>
      <c r="G14865" t="inlineStr">
        <is>
          <t>04-04-2026</t>
        </is>
      </c>
      <c r="H14865" t="inlineStr">
        <is>
          <t>04/04/2026</t>
        </is>
      </c>
      <c r="I14865" t="inlineStr">
        <is>
          <t>17/03/2026</t>
        </is>
      </c>
      <c r="J14865" t="inlineStr">
        <is>
          <t>Thu mua / Vật tư, Xây dựng, Bất động sản</t>
        </is>
      </c>
      <c r="K14865" t="inlineStr">
        <is>
          <t>2 - 10 Năm</t>
        </is>
      </c>
      <c r="L14865" s="8">
        <f>HYPERLINK("https://careerviet.vn/vi/tim-viec-lam/chuyen-vien-quan-ly-vat-tu.35C69D6D.html","Xem chi tiết")</f>
        <v/>
      </c>
    </row>
    <row r="14866">
      <c r="B14866" s="9" t="n">
        <v>14864</v>
      </c>
      <c r="C14866" s="10" t="inlineStr">
        <is>
          <t>SENIOR COORDINATOR, MATERIAL PRODUCTION</t>
        </is>
      </c>
      <c r="D14866" s="10" t="inlineStr">
        <is>
          <t>CÔNG TY TNHH CALERES INTERNATIONAL VIETNAM</t>
        </is>
      </c>
      <c r="E14866" s="10" t="inlineStr">
        <is>
          <t>Lương:Cạnh tranh</t>
        </is>
      </c>
      <c r="F14866" s="10" t="inlineStr">
        <is>
          <t>Hồ Chí Minh</t>
        </is>
      </c>
      <c r="G14866" s="10" t="inlineStr">
        <is>
          <t>03-04-2026</t>
        </is>
      </c>
      <c r="H14866" s="10" t="inlineStr">
        <is>
          <t>03/04/2026</t>
        </is>
      </c>
      <c r="I14866" s="10" t="inlineStr">
        <is>
          <t>17/03/2026</t>
        </is>
      </c>
      <c r="J14866" s="10" t="inlineStr">
        <is>
          <t>Dệt may / Da giày / Thời trang</t>
        </is>
      </c>
      <c r="K14866" s="10" t="inlineStr">
        <is>
          <t>Trên 5 Năm</t>
        </is>
      </c>
      <c r="L14866" s="11">
        <f>HYPERLINK("https://careerviet.vn/vi/tim-viec-lam/senior-coordinator-material-production.35C6AB3A.html","Xem chi tiết")</f>
        <v/>
      </c>
      <c r="M14866" s="10" t="n"/>
    </row>
    <row r="14867">
      <c r="B14867" s="7" t="n">
        <v>14865</v>
      </c>
      <c r="C14867" t="inlineStr">
        <is>
          <t>[TP Bạc Liêu] Tuyển Nhân Viên Bán Hàng - Chuỗi Cửa Hàng Bán Lẻ Thiết Bị Sức Khỏe</t>
        </is>
      </c>
      <c r="D14867" t="inlineStr">
        <is>
          <t>Công Ty TNHH XNK Phát Triển Đông Dương</t>
        </is>
      </c>
      <c r="E14867" t="inlineStr">
        <is>
          <t>Lương:12 Tr - 20 Tr VND</t>
        </is>
      </c>
      <c r="F14867" t="inlineStr">
        <is>
          <t>Bạc Liêu</t>
        </is>
      </c>
      <c r="G14867" t="inlineStr">
        <is>
          <t>09-04-2026</t>
        </is>
      </c>
      <c r="H14867" t="inlineStr">
        <is>
          <t>09/04/2026</t>
        </is>
      </c>
      <c r="I14867" t="inlineStr">
        <is>
          <t>17/03/2026</t>
        </is>
      </c>
      <c r="J14867" t="inlineStr">
        <is>
          <t>Bán lẻ / Bán sỉ, Bán hàng / Kinh doanh, Tư vấn</t>
        </is>
      </c>
      <c r="K14867" t="inlineStr">
        <is>
          <t>N/A</t>
        </is>
      </c>
      <c r="L14867" s="8">
        <f>HYPERLINK("https://careerviet.vn/vi/tim-viec-lam/tp-bac-lieu-tuyen-nhan-vien-ban-hang-chuoi-cua-hang-ban-le-thiet-bi-suc-khoe.35C6AC1D.html","Xem chi tiết")</f>
        <v/>
      </c>
    </row>
    <row r="14868">
      <c r="B14868" s="9" t="n">
        <v>14866</v>
      </c>
      <c r="C14868" s="10" t="inlineStr">
        <is>
          <t>Nhân Viên Livestream</t>
        </is>
      </c>
      <c r="D14868" s="10" t="inlineStr">
        <is>
          <t>CÔNG TY TNHH WELLNESS LIFESTYLE</t>
        </is>
      </c>
      <c r="E14868" s="10" t="inlineStr">
        <is>
          <t>Lương:Cạnh tranh</t>
        </is>
      </c>
      <c r="F14868" s="10" t="inlineStr">
        <is>
          <t>Hà Nội</t>
        </is>
      </c>
      <c r="G14868" s="10" t="inlineStr">
        <is>
          <t>04-04-2026</t>
        </is>
      </c>
      <c r="H14868" s="10" t="inlineStr">
        <is>
          <t>04/04/2026</t>
        </is>
      </c>
      <c r="I14868" s="10" t="inlineStr">
        <is>
          <t>17/03/2026</t>
        </is>
      </c>
      <c r="J14868" s="10" t="inlineStr">
        <is>
          <t>Tiếp thị trực tuyến, Tư vấn, Thương mại điện tử</t>
        </is>
      </c>
      <c r="K14868" s="10" t="inlineStr">
        <is>
          <t>Lên đến 1 Năm</t>
        </is>
      </c>
      <c r="L14868" s="11">
        <f>HYPERLINK("https://careerviet.vn/vi/tim-viec-lam/nhan-vien-livestream.35C6AC1A.html","Xem chi tiết")</f>
        <v/>
      </c>
      <c r="M14868" s="10" t="n"/>
    </row>
    <row r="14869">
      <c r="B14869" s="7" t="n">
        <v>14867</v>
      </c>
      <c r="C14869" t="inlineStr">
        <is>
          <t>Chuyên viên cao cấp Pháp chế</t>
        </is>
      </c>
      <c r="D14869" t="inlineStr">
        <is>
          <t>CÔNG TY CỔ PHẦN KINH DOANH F88</t>
        </is>
      </c>
      <c r="E14869" t="inlineStr">
        <is>
          <t>Lương:Cạnh tranh</t>
        </is>
      </c>
      <c r="F14869" t="inlineStr">
        <is>
          <t>Hồ Chí MinhHà Nội</t>
        </is>
      </c>
      <c r="G14869" t="inlineStr">
        <is>
          <t>03-04-2026</t>
        </is>
      </c>
      <c r="H14869" t="inlineStr">
        <is>
          <t>03/04/2026</t>
        </is>
      </c>
      <c r="I14869" t="inlineStr">
        <is>
          <t>17/03/2026</t>
        </is>
      </c>
      <c r="J14869" t="inlineStr">
        <is>
          <t>Luật / Pháp lý, Tài chính / Đầu tư</t>
        </is>
      </c>
      <c r="K14869" t="inlineStr">
        <is>
          <t>3 - 5 Năm</t>
        </is>
      </c>
      <c r="L14869" s="8">
        <f>HYPERLINK("https://careerviet.vn/vi/tim-viec-lam/chuyen-vien-cao-cap-phap-che.35C6AA29.html","Xem chi tiết")</f>
        <v/>
      </c>
    </row>
    <row r="14870">
      <c r="B14870" s="9" t="n">
        <v>14868</v>
      </c>
      <c r="C14870" s="10" t="inlineStr">
        <is>
          <t>KTT/ Kế toán Tổng hợp</t>
        </is>
      </c>
      <c r="D14870" s="10" t="inlineStr">
        <is>
          <t>CÔNG TY CỔ PHẦN CUNG ỨNG LẠNH VN</t>
        </is>
      </c>
      <c r="E14870" s="10" t="inlineStr">
        <is>
          <t>Lương:Cạnh tranh</t>
        </is>
      </c>
      <c r="F14870" s="10" t="inlineStr">
        <is>
          <t>Hà Nội</t>
        </is>
      </c>
      <c r="G14870" s="10" t="inlineStr">
        <is>
          <t>03-04-2026</t>
        </is>
      </c>
      <c r="H14870" s="10" t="inlineStr">
        <is>
          <t>03/04/2026</t>
        </is>
      </c>
      <c r="I14870" s="10" t="inlineStr">
        <is>
          <t>17/03/2026</t>
        </is>
      </c>
      <c r="J14870" s="10" t="inlineStr">
        <is>
          <t>Kế toán / Kiểm toán</t>
        </is>
      </c>
      <c r="K14870" s="10" t="inlineStr">
        <is>
          <t>3 - 5 Năm</t>
        </is>
      </c>
      <c r="L14870" s="11">
        <f>HYPERLINK("https://careerviet.vn/vi/tim-viec-lam/ktt-ke-toan-tong-hop.35C6AE8C.html","Xem chi tiết")</f>
        <v/>
      </c>
      <c r="M14870" s="10" t="n"/>
    </row>
    <row r="14871">
      <c r="B14871" s="7" t="n">
        <v>14869</v>
      </c>
      <c r="C14871" t="inlineStr">
        <is>
          <t>Bình Dương - Nhân Viên Kho Tiếng Trung</t>
        </is>
      </c>
      <c r="D14871" t="inlineStr">
        <is>
          <t>CÔNG TY TNHH POLYTEX FAR EASTERN (VIỆT NAM)</t>
        </is>
      </c>
      <c r="E14871" t="inlineStr">
        <is>
          <t>Lương:9,2 Tr - 16 Tr VND</t>
        </is>
      </c>
      <c r="F14871" t="inlineStr">
        <is>
          <t>Bình Dương</t>
        </is>
      </c>
      <c r="G14871" t="inlineStr">
        <is>
          <t>24-03-2026</t>
        </is>
      </c>
      <c r="H14871" t="inlineStr">
        <is>
          <t>24/03/2026</t>
        </is>
      </c>
      <c r="I14871" t="inlineStr">
        <is>
          <t>17/03/2026</t>
        </is>
      </c>
      <c r="J14871" t="inlineStr">
        <is>
          <t>Vận chuyển / Giao nhận / Kho vận, Hành chính / Thư ký, Biên phiên dịch</t>
        </is>
      </c>
      <c r="K14871" t="inlineStr">
        <is>
          <t>N/A</t>
        </is>
      </c>
      <c r="L14871" s="8">
        <f>HYPERLINK("https://careerviet.vn/vi/tim-viec-lam/binh-duong-nhan-vien-kho-tieng-trung.35C6ADA6.html","Xem chi tiết")</f>
        <v/>
      </c>
    </row>
    <row r="14872">
      <c r="B14872" s="9" t="n">
        <v>14870</v>
      </c>
      <c r="C14872" s="10" t="inlineStr">
        <is>
          <t>Training Manager</t>
        </is>
      </c>
      <c r="D14872" s="10" t="inlineStr">
        <is>
          <t>CÔNG TY CỔ PHẦN CITICS</t>
        </is>
      </c>
      <c r="E14872" s="10" t="inlineStr">
        <is>
          <t>Lương:Cạnh tranh</t>
        </is>
      </c>
      <c r="F14872" s="10" t="inlineStr">
        <is>
          <t>Hồ Chí Minh</t>
        </is>
      </c>
      <c r="G14872" s="10" t="inlineStr">
        <is>
          <t>30-04-2026</t>
        </is>
      </c>
      <c r="H14872" s="10" t="inlineStr">
        <is>
          <t>30/04/2026</t>
        </is>
      </c>
      <c r="I14872" s="10" t="inlineStr">
        <is>
          <t>17/03/2026</t>
        </is>
      </c>
      <c r="J14872" s="10" t="inlineStr">
        <is>
          <t>Bất động sản</t>
        </is>
      </c>
      <c r="K14872" s="10" t="inlineStr">
        <is>
          <t>Trên 3 Năm</t>
        </is>
      </c>
      <c r="L14872" s="11">
        <f>HYPERLINK("https://careerviet.vn/vi/tim-viec-lam/training-manager.35C6AEA7.html","Xem chi tiết")</f>
        <v/>
      </c>
      <c r="M14872" s="10" t="n"/>
    </row>
    <row r="14873">
      <c r="B14873" s="7" t="n">
        <v>14871</v>
      </c>
      <c r="C14873" t="inlineStr">
        <is>
          <t>Quản Lý Cửa hàng TokyoLife – Gia Lộc, Hải Dương</t>
        </is>
      </c>
      <c r="D14873" t="inlineStr">
        <is>
          <t>Công ty Cổ phần IntelLife</t>
        </is>
      </c>
      <c r="E14873" t="inlineStr">
        <is>
          <t>Lương:10 Tr - 15 Tr VND</t>
        </is>
      </c>
      <c r="F14873" t="inlineStr">
        <is>
          <t>Hải Dương</t>
        </is>
      </c>
      <c r="G14873" t="inlineStr">
        <is>
          <t>05-04-2026</t>
        </is>
      </c>
      <c r="H14873" t="inlineStr">
        <is>
          <t>05/04/2026</t>
        </is>
      </c>
      <c r="I14873" t="inlineStr">
        <is>
          <t>17/03/2026</t>
        </is>
      </c>
      <c r="J14873" t="inlineStr">
        <is>
          <t>Bán lẻ / Bán sỉ</t>
        </is>
      </c>
      <c r="K14873" t="inlineStr">
        <is>
          <t>1 - 2 Năm</t>
        </is>
      </c>
      <c r="L14873" s="8">
        <f>HYPERLINK("https://careerviet.vn/vi/tim-viec-lam/quan-ly-cua-hang-tokyolife-gia-loc-hai-duong.35C6ABD0.html","Xem chi tiết")</f>
        <v/>
      </c>
    </row>
    <row r="14874">
      <c r="B14874" s="9" t="n">
        <v>14872</v>
      </c>
      <c r="C14874" s="10" t="inlineStr">
        <is>
          <t>Chuyên Viên Sales Thiết Bị Y Tế (Thu Nhập Không Giới Hạn - Nghỉ Thứ 7, Chủ Nhật)</t>
        </is>
      </c>
      <c r="D14874" s="10" t="inlineStr">
        <is>
          <t>Công ty TNHH Thiết bị y tế Phương Đông</t>
        </is>
      </c>
      <c r="E14874" s="10" t="inlineStr">
        <is>
          <t>Lương:Cạnh tranh</t>
        </is>
      </c>
      <c r="F14874" s="10" t="inlineStr">
        <is>
          <t>Hà Nội</t>
        </is>
      </c>
      <c r="G14874" s="10" t="inlineStr">
        <is>
          <t>03-04-2026</t>
        </is>
      </c>
      <c r="H14874" s="10" t="inlineStr">
        <is>
          <t>03/04/2026</t>
        </is>
      </c>
      <c r="I14874" s="10" t="inlineStr">
        <is>
          <t>17/03/2026</t>
        </is>
      </c>
      <c r="J14874" s="10" t="inlineStr">
        <is>
          <t>Dược phẩm/ Hóa Mỹ Phẩm, Bán hàng / Kinh doanh, Y tế / Chăm sóc sức khỏe / Thẩm mỹ / Làm đẹp</t>
        </is>
      </c>
      <c r="K14874" s="10" t="inlineStr">
        <is>
          <t>1 - 3 Năm</t>
        </is>
      </c>
      <c r="L14874" s="11">
        <f>HYPERLINK("https://careerviet.vn/vi/tim-viec-lam/chuyen-vien-sales-thiet-bi-y-te-thu-nhap-khong-gioi-han-nghi-thu-7-chu-nhat.35C6AD08.html","Xem chi tiết")</f>
        <v/>
      </c>
      <c r="M14874" s="10" t="n"/>
    </row>
    <row r="14875">
      <c r="B14875" s="7" t="n">
        <v>14873</v>
      </c>
      <c r="C14875" t="inlineStr">
        <is>
          <t>Quản lý Vùng ETC (MeKong 1)</t>
        </is>
      </c>
      <c r="D14875" t="inlineStr">
        <is>
          <t>Công ty cổ phần Anvy</t>
        </is>
      </c>
      <c r="E14875" t="inlineStr">
        <is>
          <t>Lương:25 Tr - 40 Tr VND</t>
        </is>
      </c>
      <c r="F14875" t="inlineStr">
        <is>
          <t>Trà Vinh</t>
        </is>
      </c>
      <c r="G14875" t="inlineStr">
        <is>
          <t>05-04-2026</t>
        </is>
      </c>
      <c r="H14875" t="inlineStr">
        <is>
          <t>05/04/2026</t>
        </is>
      </c>
      <c r="I14875" t="inlineStr">
        <is>
          <t>17/03/2026</t>
        </is>
      </c>
      <c r="J14875" t="inlineStr">
        <is>
          <t>Bán hàng / Kinh doanh, Bán lẻ / Bán sỉ, Dược phẩm/ Hóa Mỹ Phẩm</t>
        </is>
      </c>
      <c r="K14875" t="inlineStr">
        <is>
          <t>3 - 5 Năm</t>
        </is>
      </c>
      <c r="L14875" s="8">
        <f>HYPERLINK("https://careerviet.vn/vi/tim-viec-lam/quan-ly-vung-etc-mekong-1.35C6AE65.html","Xem chi tiết")</f>
        <v/>
      </c>
    </row>
    <row r="14876">
      <c r="B14876" s="9" t="n">
        <v>14874</v>
      </c>
      <c r="C14876" s="10" t="inlineStr">
        <is>
          <t>[Cái Bè - Tiền Giang] Tuyển Nhân Viên Bán Hàng - Chuỗi Cửa Hàng Bán Lẻ Thiết Bị Sức Khỏe</t>
        </is>
      </c>
      <c r="D14876" s="10" t="inlineStr">
        <is>
          <t>Công Ty TNHH XNK Phát Triển Đông Dương</t>
        </is>
      </c>
      <c r="E14876" s="10" t="inlineStr">
        <is>
          <t>Lương:12 Tr - 20 Tr VND</t>
        </is>
      </c>
      <c r="F14876" s="10" t="inlineStr">
        <is>
          <t>Tiền Giang</t>
        </is>
      </c>
      <c r="G14876" s="10" t="inlineStr">
        <is>
          <t>09-04-2026</t>
        </is>
      </c>
      <c r="H14876" s="10" t="inlineStr">
        <is>
          <t>09/04/2026</t>
        </is>
      </c>
      <c r="I14876" s="10" t="inlineStr">
        <is>
          <t>17/03/2026</t>
        </is>
      </c>
      <c r="J14876" s="10" t="inlineStr">
        <is>
          <t>Bán lẻ / Bán sỉ, Bán hàng / Kinh doanh, Tư vấn</t>
        </is>
      </c>
      <c r="K14876" s="10" t="inlineStr">
        <is>
          <t>N/A</t>
        </is>
      </c>
      <c r="L14876" s="11">
        <f>HYPERLINK("https://careerviet.vn/vi/tim-viec-lam/cai-be-tien-giang-tuyen-nhan-vien-ban-hang-chuoi-cua-hang-ban-le-thiet-bi-suc-khoe.35C6ABF2.html","Xem chi tiết")</f>
        <v/>
      </c>
      <c r="M14876" s="10" t="n"/>
    </row>
    <row r="14877">
      <c r="B14877" s="7" t="n">
        <v>14875</v>
      </c>
      <c r="C14877" t="inlineStr">
        <is>
          <t>Kỹ Sư Hóa Học</t>
        </is>
      </c>
      <c r="D14877" t="inlineStr">
        <is>
          <t>Tập Đoàn Kim Tín</t>
        </is>
      </c>
      <c r="E14877" t="inlineStr">
        <is>
          <t>Lương:Cạnh tranh</t>
        </is>
      </c>
      <c r="F14877" t="inlineStr">
        <is>
          <t>Bình Phước</t>
        </is>
      </c>
      <c r="G14877" t="inlineStr">
        <is>
          <t>03-04-2026</t>
        </is>
      </c>
      <c r="H14877" t="inlineStr">
        <is>
          <t>03/04/2026</t>
        </is>
      </c>
      <c r="I14877" t="inlineStr">
        <is>
          <t>17/03/2026</t>
        </is>
      </c>
      <c r="J14877" t="inlineStr">
        <is>
          <t>Sản xuất / Vận hành sản xuất, Hóa học, Nội ngoại thất</t>
        </is>
      </c>
      <c r="K14877" t="inlineStr">
        <is>
          <t>Trên 1 Năm</t>
        </is>
      </c>
      <c r="L14877" s="8">
        <f>HYPERLINK("https://careerviet.vn/vi/tim-viec-lam/ky-su-hoa-hoc.35C6AC9D.html","Xem chi tiết")</f>
        <v/>
      </c>
    </row>
    <row r="14878">
      <c r="B14878" s="9" t="n">
        <v>14876</v>
      </c>
      <c r="C14878" s="10" t="inlineStr">
        <is>
          <t>Warehouse Team Leader</t>
        </is>
      </c>
      <c r="D14878" s="10" t="inlineStr">
        <is>
          <t>CÔNG TY TNHH AMPHENOL RF VIỆT NAM</t>
        </is>
      </c>
      <c r="E14878" s="10" t="inlineStr">
        <is>
          <t>Lương:12 Tr - 15 Tr VND</t>
        </is>
      </c>
      <c r="F14878" s="10" t="inlineStr">
        <is>
          <t>Long An</t>
        </is>
      </c>
      <c r="G14878" s="10" t="inlineStr">
        <is>
          <t>30-04-2026</t>
        </is>
      </c>
      <c r="H14878" s="10" t="inlineStr">
        <is>
          <t>30/04/2026</t>
        </is>
      </c>
      <c r="I14878" s="10" t="inlineStr">
        <is>
          <t>17/03/2026</t>
        </is>
      </c>
      <c r="J14878" s="10" t="inlineStr">
        <is>
          <t>Ngành khác, Sản xuất / Vận hành sản xuất</t>
        </is>
      </c>
      <c r="K14878" s="10" t="inlineStr">
        <is>
          <t>2 - 3 Năm</t>
        </is>
      </c>
      <c r="L14878" s="11">
        <f>HYPERLINK("https://careerviet.vn/vi/tim-viec-lam/warehouse-team-leader.35C6AE67.html","Xem chi tiết")</f>
        <v/>
      </c>
      <c r="M14878" s="10" t="n"/>
    </row>
    <row r="14879">
      <c r="B14879" s="7" t="n">
        <v>14877</v>
      </c>
      <c r="C14879" t="inlineStr">
        <is>
          <t>Chuyên viên Vận hành Livestream - Thời trang thể thao (Tiktok Shop)</t>
        </is>
      </c>
      <c r="D14879" t="inlineStr">
        <is>
          <t>CÔNG TY TNHH ANTA SPORTS VIỆT NAM</t>
        </is>
      </c>
      <c r="E14879" t="inlineStr">
        <is>
          <t>Lương:13 Tr - 18 Tr VND</t>
        </is>
      </c>
      <c r="F14879" t="inlineStr">
        <is>
          <t>Hồ Chí Minh</t>
        </is>
      </c>
      <c r="G14879" t="inlineStr">
        <is>
          <t>31-03-2026</t>
        </is>
      </c>
      <c r="H14879" t="inlineStr">
        <is>
          <t>31/03/2026</t>
        </is>
      </c>
      <c r="I14879" t="inlineStr">
        <is>
          <t>17/03/2026</t>
        </is>
      </c>
      <c r="J14879" t="inlineStr">
        <is>
          <t>Thương mại điện tử, Tiếp thị / Marketing, Quảng cáo / Đối ngoại / Truyền Thông</t>
        </is>
      </c>
      <c r="K14879" t="inlineStr">
        <is>
          <t>Trên 1 Năm</t>
        </is>
      </c>
      <c r="L14879" s="8">
        <f>HYPERLINK("https://careerviet.vn/vi/tim-viec-lam/chuyen-vien-van-hanh-livestream-thoi-trang-the-thao-tiktok-shop.35C6AD25.html","Xem chi tiết")</f>
        <v/>
      </c>
    </row>
    <row r="14880">
      <c r="B14880" s="9" t="n">
        <v>14878</v>
      </c>
      <c r="C14880" s="10" t="inlineStr">
        <is>
          <t>Chuyên Viên Tư Vấn Giáo Dục - Ocean Edu Linh Đàm - Thu Nhập Từ 16Triệu/Tháng - Phỏng Vấn Đi Làm Ngay</t>
        </is>
      </c>
      <c r="D14880" s="10" t="inlineStr">
        <is>
          <t>Công Ty CP Giáo Dục Đại Dương</t>
        </is>
      </c>
      <c r="E14880" s="10" t="inlineStr">
        <is>
          <t>Lương:Cạnh tranh</t>
        </is>
      </c>
      <c r="F14880" s="10" t="inlineStr">
        <is>
          <t>Hà Nội</t>
        </is>
      </c>
      <c r="G14880" s="10" t="inlineStr">
        <is>
          <t>03-04-2026</t>
        </is>
      </c>
      <c r="H14880" s="10" t="inlineStr">
        <is>
          <t>03/04/2026</t>
        </is>
      </c>
      <c r="I14880" s="10" t="inlineStr">
        <is>
          <t>17/03/2026</t>
        </is>
      </c>
      <c r="J14880" s="10" t="inlineStr">
        <is>
          <t>Dịch vụ khách hàng, Giáo dục / Đào tạo, Bán hàng / Kinh doanh</t>
        </is>
      </c>
      <c r="K14880" s="10" t="inlineStr">
        <is>
          <t>Chưa có kinh nghiệm</t>
        </is>
      </c>
      <c r="L14880" s="11">
        <f>HYPERLINK("https://careerviet.vn/vi/tim-viec-lam/chuyen-vien-tu-van-giao-duc-ocean-edu-linh-dam-thu-nhap-tu-16trieu-thang-phong-van-di-lam-ngay.35C6AEA9.html","Xem chi tiết")</f>
        <v/>
      </c>
      <c r="M14880" s="10" t="n"/>
    </row>
    <row r="14881">
      <c r="B14881" s="7" t="n">
        <v>14879</v>
      </c>
      <c r="C14881" t="inlineStr">
        <is>
          <t>Design UX/ UI</t>
        </is>
      </c>
      <c r="D14881" t="inlineStr">
        <is>
          <t>CÔNG TY CỔ PHẦN ULTD THỊNH PHÁT</t>
        </is>
      </c>
      <c r="E14881" t="inlineStr">
        <is>
          <t>Lương:15 Tr - 25 Tr VND</t>
        </is>
      </c>
      <c r="F14881" t="inlineStr">
        <is>
          <t>Hà Nội</t>
        </is>
      </c>
      <c r="G14881" t="inlineStr">
        <is>
          <t>03-04-2026</t>
        </is>
      </c>
      <c r="H14881" t="inlineStr">
        <is>
          <t>03/04/2026</t>
        </is>
      </c>
      <c r="I14881" t="inlineStr">
        <is>
          <t>17/03/2026</t>
        </is>
      </c>
      <c r="J14881" t="inlineStr">
        <is>
          <t>Mỹ thuật / Nghệ thuật / Thiết kế, CNTT - Phần mềm, Tiếp thị / Marketing</t>
        </is>
      </c>
      <c r="K14881" t="inlineStr">
        <is>
          <t>2 - 3 Năm</t>
        </is>
      </c>
      <c r="L14881" s="8">
        <f>HYPERLINK("https://careerviet.vn/vi/tim-viec-lam/design-ux-ui.35C6AE2C.html","Xem chi tiết")</f>
        <v/>
      </c>
    </row>
    <row r="14882">
      <c r="B14882" s="9" t="n">
        <v>14880</v>
      </c>
      <c r="C14882" s="10" t="inlineStr">
        <is>
          <t>Content Marketing</t>
        </is>
      </c>
      <c r="D14882" s="10" t="inlineStr">
        <is>
          <t>CÔNG TY CỔ PHẦN IFF HOLDINGS</t>
        </is>
      </c>
      <c r="E14882" s="10" t="inlineStr">
        <is>
          <t>Lương:Cạnh tranh</t>
        </is>
      </c>
      <c r="F14882" s="10" t="inlineStr">
        <is>
          <t>Hồ Chí Minh</t>
        </is>
      </c>
      <c r="G14882" s="10" t="inlineStr">
        <is>
          <t>04-04-2026</t>
        </is>
      </c>
      <c r="H14882" s="10" t="inlineStr">
        <is>
          <t>04/04/2026</t>
        </is>
      </c>
      <c r="I14882" s="10" t="inlineStr">
        <is>
          <t>17/03/2026</t>
        </is>
      </c>
      <c r="J14882" s="10" t="inlineStr">
        <is>
          <t>Tiếp thị / Marketing</t>
        </is>
      </c>
      <c r="K14882" s="10" t="inlineStr">
        <is>
          <t>1 - 2 Năm</t>
        </is>
      </c>
      <c r="L14882" s="11">
        <f>HYPERLINK("https://careerviet.vn/vi/tim-viec-lam/content-marketing.35C6AE2A.html","Xem chi tiết")</f>
        <v/>
      </c>
      <c r="M14882" s="10" t="n"/>
    </row>
    <row r="14883">
      <c r="B14883" s="7" t="n">
        <v>14881</v>
      </c>
      <c r="C14883" t="inlineStr">
        <is>
          <t>PHÓ PHÒNG KHO</t>
        </is>
      </c>
      <c r="D14883" t="inlineStr">
        <is>
          <t>CÔNG TY CỔ PHẦN CHẾ BIẾN THỰC PHẨM HOÀNG SƠN</t>
        </is>
      </c>
      <c r="E14883" t="inlineStr">
        <is>
          <t>Lương:Cạnh tranh</t>
        </is>
      </c>
      <c r="F14883" t="inlineStr">
        <is>
          <t>Bình Dương</t>
        </is>
      </c>
      <c r="G14883" t="inlineStr">
        <is>
          <t>15-04-2026</t>
        </is>
      </c>
      <c r="H14883" t="inlineStr">
        <is>
          <t>15/04/2026</t>
        </is>
      </c>
      <c r="I14883" t="inlineStr">
        <is>
          <t>17/03/2026</t>
        </is>
      </c>
      <c r="J14883" t="inlineStr">
        <is>
          <t>Vận chuyển / Giao nhận / Kho vận, Sản xuất / Vận hành sản xuất, Công nghệ thực phẩm / Dinh dưỡng</t>
        </is>
      </c>
      <c r="K14883" t="inlineStr">
        <is>
          <t>1 - 2 Năm</t>
        </is>
      </c>
      <c r="L14883" s="8">
        <f>HYPERLINK("https://careerviet.vn/vi/tim-viec-lam/pho-phong-kho.35C6AB19.html","Xem chi tiết")</f>
        <v/>
      </c>
    </row>
    <row r="14884">
      <c r="B14884" s="9" t="n">
        <v>14882</v>
      </c>
      <c r="C14884" s="10" t="inlineStr">
        <is>
          <t>Kỹ Sư Điện Công Nghiệp</t>
        </is>
      </c>
      <c r="D14884" s="10" t="inlineStr">
        <is>
          <t>Tập Đoàn Kim Tín</t>
        </is>
      </c>
      <c r="E14884" s="10" t="inlineStr">
        <is>
          <t>Lương:Cạnh tranh</t>
        </is>
      </c>
      <c r="F14884" s="10" t="inlineStr">
        <is>
          <t>Bình Phước</t>
        </is>
      </c>
      <c r="G14884" s="10" t="inlineStr">
        <is>
          <t>03-04-2026</t>
        </is>
      </c>
      <c r="H14884" s="10" t="inlineStr">
        <is>
          <t>03/04/2026</t>
        </is>
      </c>
      <c r="I14884" s="10" t="inlineStr">
        <is>
          <t>17/03/2026</t>
        </is>
      </c>
      <c r="J14884" s="10" t="inlineStr">
        <is>
          <t>Cơ khí / Ô tô / Tự động hóa, Sản xuất / Vận hành sản xuất, Điện / Điện tử / Điện lạnh / Điện công nghiệp</t>
        </is>
      </c>
      <c r="K14884" s="10" t="inlineStr">
        <is>
          <t>Trên 1 Năm</t>
        </is>
      </c>
      <c r="L14884" s="11">
        <f>HYPERLINK("https://careerviet.vn/vi/tim-viec-lam/ky-su-dien-cong-nghiep.35C6AC75.html","Xem chi tiết")</f>
        <v/>
      </c>
      <c r="M14884" s="10" t="n"/>
    </row>
    <row r="14885">
      <c r="B14885" s="7" t="n">
        <v>14883</v>
      </c>
      <c r="C14885" t="inlineStr">
        <is>
          <t>[Vị Thanh - Hậu Giang] Tuyển Nhân Viên Bán Hàng - Chuỗi Cửa Hàng Bán Lẻ Thiết Bị Sức Khỏe</t>
        </is>
      </c>
      <c r="D14885" t="inlineStr">
        <is>
          <t>Công Ty TNHH XNK Phát Triển Đông Dương</t>
        </is>
      </c>
      <c r="E14885" t="inlineStr">
        <is>
          <t>Lương:12 Tr - 20 Tr VND</t>
        </is>
      </c>
      <c r="F14885" t="inlineStr">
        <is>
          <t>Hậu Giang</t>
        </is>
      </c>
      <c r="G14885" t="inlineStr">
        <is>
          <t>09-04-2026</t>
        </is>
      </c>
      <c r="H14885" t="inlineStr">
        <is>
          <t>09/04/2026</t>
        </is>
      </c>
      <c r="I14885" t="inlineStr">
        <is>
          <t>17/03/2026</t>
        </is>
      </c>
      <c r="J14885" t="inlineStr">
        <is>
          <t>Bán lẻ / Bán sỉ, Bán hàng / Kinh doanh, Tư vấn</t>
        </is>
      </c>
      <c r="K14885" t="inlineStr">
        <is>
          <t>N/A</t>
        </is>
      </c>
      <c r="L14885" s="8">
        <f>HYPERLINK("https://careerviet.vn/vi/tim-viec-lam/vi-thanh-hau-giang-tuyen-nhan-vien-ban-hang-chuoi-cua-hang-ban-le-thiet-bi-suc-khoe.35C6AC24.html","Xem chi tiết")</f>
        <v/>
      </c>
    </row>
    <row r="14886">
      <c r="B14886" s="9" t="n">
        <v>14884</v>
      </c>
      <c r="C14886" s="10" t="inlineStr">
        <is>
          <t>Nhân viên Marketing (Marketing Executive)</t>
        </is>
      </c>
      <c r="D14886" s="10" t="inlineStr">
        <is>
          <t>Công Ty Cổ Phần Tập Đoàn Ô Tô Hiệp Hòa</t>
        </is>
      </c>
      <c r="E14886" s="10" t="inlineStr">
        <is>
          <t>Lương:12 Tr - 25 Tr VND</t>
        </is>
      </c>
      <c r="F14886" s="10" t="inlineStr">
        <is>
          <t>Hà Nội</t>
        </is>
      </c>
      <c r="G14886" s="10" t="inlineStr">
        <is>
          <t>30-04-2026</t>
        </is>
      </c>
      <c r="H14886" s="10" t="inlineStr">
        <is>
          <t>30/04/2026</t>
        </is>
      </c>
      <c r="I14886" s="10" t="inlineStr">
        <is>
          <t>17/03/2026</t>
        </is>
      </c>
      <c r="J14886" s="10" t="inlineStr">
        <is>
          <t>Tiếp thị / Marketing</t>
        </is>
      </c>
      <c r="K14886" s="10" t="inlineStr">
        <is>
          <t>Trên 1 Năm</t>
        </is>
      </c>
      <c r="L14886" s="11">
        <f>HYPERLINK("https://careerviet.vn/vi/tim-viec-lam/nhan-vien-marketing-marketing-executive.35C6AEE8.html","Xem chi tiết")</f>
        <v/>
      </c>
      <c r="M14886" s="10" t="n"/>
    </row>
    <row r="14887">
      <c r="B14887" s="7" t="n">
        <v>14885</v>
      </c>
      <c r="C14887" t="inlineStr">
        <is>
          <t>[Bắc Ninh] Kỹ sư công nghệ/Technology Engineer</t>
        </is>
      </c>
      <c r="D14887" t="inlineStr">
        <is>
          <t>Công Ty Cổ Phần Diana Unicharm</t>
        </is>
      </c>
      <c r="E14887" t="inlineStr">
        <is>
          <t>Lương:20 Tr - 28 Tr VND</t>
        </is>
      </c>
      <c r="F14887" t="inlineStr">
        <is>
          <t>Bắc Ninh</t>
        </is>
      </c>
      <c r="G14887" t="inlineStr">
        <is>
          <t>04-04-2026</t>
        </is>
      </c>
      <c r="H14887" t="inlineStr">
        <is>
          <t>04/04/2026</t>
        </is>
      </c>
      <c r="I14887" t="inlineStr">
        <is>
          <t>17/03/2026</t>
        </is>
      </c>
      <c r="J14887" t="inlineStr">
        <is>
          <t>Cơ khí / Ô tô / Tự động hóa, Bảo trì / Sửa chữa</t>
        </is>
      </c>
      <c r="K14887" t="inlineStr">
        <is>
          <t>5 - 7 Năm</t>
        </is>
      </c>
      <c r="L14887" s="8">
        <f>HYPERLINK("https://careerviet.vn/vi/tim-viec-lam/bac-ninh-ky-su-cong-nghe-technology-engineer.35C6AD11.html","Xem chi tiết")</f>
        <v/>
      </c>
    </row>
    <row r="14888">
      <c r="B14888" s="9" t="n">
        <v>14886</v>
      </c>
      <c r="C14888" s="10" t="inlineStr">
        <is>
          <t>TRƯỞNG PHÒNG KINH DOANH</t>
        </is>
      </c>
      <c r="D14888" s="10" t="inlineStr">
        <is>
          <t>CÔNG TY CỔ PHẦN ĐẦU TƯ BẤT ĐỘNG SẢN LÊ VIN LAND</t>
        </is>
      </c>
      <c r="E14888" s="10" t="inlineStr">
        <is>
          <t>Lương:Cạnh tranh</t>
        </is>
      </c>
      <c r="F14888" s="10" t="inlineStr">
        <is>
          <t>Hồ Chí Minh</t>
        </is>
      </c>
      <c r="G14888" s="10" t="inlineStr">
        <is>
          <t>31-03-2026</t>
        </is>
      </c>
      <c r="H14888" s="10" t="inlineStr">
        <is>
          <t>31/03/2026</t>
        </is>
      </c>
      <c r="I14888" s="10" t="inlineStr">
        <is>
          <t>17/03/2026</t>
        </is>
      </c>
      <c r="J14888" s="10" t="inlineStr">
        <is>
          <t>Bất động sản, Bán hàng / Kinh doanh, Quản lý điều hành</t>
        </is>
      </c>
      <c r="K14888" s="10" t="inlineStr">
        <is>
          <t>2 - 5 Năm</t>
        </is>
      </c>
      <c r="L14888" s="11">
        <f>HYPERLINK("https://careerviet.vn/vi/tim-viec-lam/truong-phong-kinh-doanh.35C6AE0B.html","Xem chi tiết")</f>
        <v/>
      </c>
      <c r="M14888" s="10" t="n"/>
    </row>
    <row r="14889">
      <c r="B14889" s="7" t="n">
        <v>14887</v>
      </c>
      <c r="C14889" t="inlineStr">
        <is>
          <t>Nhân Viên Hệ Thống Quy Trình Và Chuyển Đổi Số</t>
        </is>
      </c>
      <c r="D14889" t="inlineStr">
        <is>
          <t>Tập Đoàn Kim Tín</t>
        </is>
      </c>
      <c r="E14889" t="inlineStr">
        <is>
          <t>Lương:Cạnh tranh</t>
        </is>
      </c>
      <c r="F14889" t="inlineStr">
        <is>
          <t>Hồ Chí Minh</t>
        </is>
      </c>
      <c r="G14889" t="inlineStr">
        <is>
          <t>03-04-2026</t>
        </is>
      </c>
      <c r="H14889" t="inlineStr">
        <is>
          <t>03/04/2026</t>
        </is>
      </c>
      <c r="I14889" t="inlineStr">
        <is>
          <t>17/03/2026</t>
        </is>
      </c>
      <c r="J14889" t="inlineStr">
        <is>
          <t>Sản xuất / Vận hành sản xuất, Quản lý chất lượng (QA/QC)</t>
        </is>
      </c>
      <c r="K14889" t="inlineStr">
        <is>
          <t>2 - 5 Năm</t>
        </is>
      </c>
      <c r="L14889" s="8">
        <f>HYPERLINK("https://careerviet.vn/vi/tim-viec-lam/nhan-vien-he-thong-quy-trinh-va-chuyen-doi-so.35C6AC6B.html","Xem chi tiết")</f>
        <v/>
      </c>
    </row>
    <row r="14890">
      <c r="B14890" s="9" t="n">
        <v>14888</v>
      </c>
      <c r="C14890" s="10" t="inlineStr">
        <is>
          <t>Kế toán trưởng</t>
        </is>
      </c>
      <c r="D14890" s="10" t="inlineStr">
        <is>
          <t>CÔNG TY TNHH XÂY DỰNG QUỐC TẾ CHUANG XING</t>
        </is>
      </c>
      <c r="E14890" s="10" t="inlineStr">
        <is>
          <t>Lương:22 Tr - 30 Tr VND</t>
        </is>
      </c>
      <c r="F14890" s="10" t="inlineStr">
        <is>
          <t>Hà Nam</t>
        </is>
      </c>
      <c r="G14890" s="10" t="inlineStr">
        <is>
          <t>03-04-2026</t>
        </is>
      </c>
      <c r="H14890" s="10" t="inlineStr">
        <is>
          <t>03/04/2026</t>
        </is>
      </c>
      <c r="I14890" s="10" t="inlineStr">
        <is>
          <t>17/03/2026</t>
        </is>
      </c>
      <c r="J14890" s="10" t="inlineStr">
        <is>
          <t>Xây dựng</t>
        </is>
      </c>
      <c r="K14890" s="10" t="inlineStr">
        <is>
          <t>Trên 3 Năm</t>
        </is>
      </c>
      <c r="L14890" s="11">
        <f>HYPERLINK("https://careerviet.vn/vi/tim-viec-lam/ke-toan-truong.35C6AC45.html","Xem chi tiết")</f>
        <v/>
      </c>
      <c r="M14890" s="10" t="n"/>
    </row>
    <row r="14891">
      <c r="B14891" s="7" t="n">
        <v>14889</v>
      </c>
      <c r="C14891" t="inlineStr">
        <is>
          <t>Quản lý tổng hợp</t>
        </is>
      </c>
      <c r="D14891" t="inlineStr">
        <is>
          <t>CÔNG TY CỔ PHẦN CÔNG NGHỆ SOTATEK VIỆT NAM</t>
        </is>
      </c>
      <c r="E14891" t="inlineStr">
        <is>
          <t>Lương:Cạnh tranh</t>
        </is>
      </c>
      <c r="F14891" t="inlineStr">
        <is>
          <t>Ninh Thuận</t>
        </is>
      </c>
      <c r="G14891" t="inlineStr">
        <is>
          <t>31-03-2026</t>
        </is>
      </c>
      <c r="H14891" t="inlineStr">
        <is>
          <t>31/03/2026</t>
        </is>
      </c>
      <c r="I14891" t="inlineStr">
        <is>
          <t>17/03/2026</t>
        </is>
      </c>
      <c r="J14891" t="inlineStr">
        <is>
          <t>Quản lý điều hành</t>
        </is>
      </c>
      <c r="K14891" t="inlineStr">
        <is>
          <t>Chưa có kinh nghiệm</t>
        </is>
      </c>
      <c r="L14891" s="8">
        <f>HYPERLINK("https://careerviet.vn/vi/tim-viec-lam/quan-ly-tong-hop.35C6AE78.html","Xem chi tiết")</f>
        <v/>
      </c>
    </row>
    <row r="14892">
      <c r="B14892" s="9" t="n">
        <v>14890</v>
      </c>
      <c r="C14892" s="10" t="inlineStr">
        <is>
          <t>Trial Leader</t>
        </is>
      </c>
      <c r="D14892" s="10" t="inlineStr">
        <is>
          <t>CÔNG TY TNHH DENEAST VIỆT NAM</t>
        </is>
      </c>
      <c r="E14892" s="10" t="inlineStr">
        <is>
          <t>Lương:Cạnh tranh</t>
        </is>
      </c>
      <c r="F14892" s="10" t="inlineStr">
        <is>
          <t>Bình Dương</t>
        </is>
      </c>
      <c r="G14892" s="10" t="inlineStr">
        <is>
          <t>04-04-2026</t>
        </is>
      </c>
      <c r="H14892" s="10" t="inlineStr">
        <is>
          <t>04/04/2026</t>
        </is>
      </c>
      <c r="I14892" s="10" t="inlineStr">
        <is>
          <t>17/03/2026</t>
        </is>
      </c>
      <c r="J14892" s="10" t="inlineStr">
        <is>
          <t>Thực phẩm &amp; Đồ uống, Công nghệ thực phẩm / Dinh dưỡng, Hóa học</t>
        </is>
      </c>
      <c r="K14892" s="10" t="inlineStr">
        <is>
          <t>Trên 5 Năm</t>
        </is>
      </c>
      <c r="L14892" s="11">
        <f>HYPERLINK("https://careerviet.vn/vi/tim-viec-lam/trial-leader.35C6ACC7.html","Xem chi tiết")</f>
        <v/>
      </c>
      <c r="M14892" s="10" t="n"/>
    </row>
    <row r="14893">
      <c r="B14893" s="7" t="n">
        <v>14891</v>
      </c>
      <c r="C14893" t="inlineStr">
        <is>
          <t>CHUYÊN VIÊN KHÁCH HÀNG CÁ NHÂN - ĐỊA BÀN LONG BIÊN, ĐÔNG ANH</t>
        </is>
      </c>
      <c r="D14893" t="inlineStr">
        <is>
          <t>NGÂN HÀNG TMCP SÀI GÒN THƯƠNG TÍN (SACOMBANK)</t>
        </is>
      </c>
      <c r="E14893" t="inlineStr">
        <is>
          <t>Lương:Cạnh tranh</t>
        </is>
      </c>
      <c r="F14893" t="inlineStr">
        <is>
          <t>Hà Nội</t>
        </is>
      </c>
      <c r="G14893" t="inlineStr">
        <is>
          <t>31-03-2026</t>
        </is>
      </c>
      <c r="H14893" t="inlineStr">
        <is>
          <t>31/03/2026</t>
        </is>
      </c>
      <c r="I14893" t="inlineStr">
        <is>
          <t>17/03/2026</t>
        </is>
      </c>
      <c r="J14893" t="inlineStr">
        <is>
          <t>Bán lẻ / Bán sỉ, Bán hàng / Kinh doanh, Ngân hàng</t>
        </is>
      </c>
      <c r="K14893" t="inlineStr">
        <is>
          <t>N/A</t>
        </is>
      </c>
      <c r="L14893" s="8">
        <f>HYPERLINK("https://careerviet.vn/vi/tim-viec-lam/chuyen-vien-khach-hang-ca-nhan-dia-ban-long-bien-dong-anh.35C6AADC.html","Xem chi tiết")</f>
        <v/>
      </c>
    </row>
    <row r="14894">
      <c r="B14894" s="9" t="n">
        <v>14892</v>
      </c>
      <c r="C14894" s="10" t="inlineStr">
        <is>
          <t>Graduate Engineering Trainee 2026 - Supply Planning</t>
        </is>
      </c>
      <c r="D14894" s="10" t="inlineStr">
        <is>
          <t>AkzoNobel Vietnam</t>
        </is>
      </c>
      <c r="E14894" s="10" t="inlineStr">
        <is>
          <t>Lương:Cạnh tranh</t>
        </is>
      </c>
      <c r="F14894" s="10" t="inlineStr">
        <is>
          <t>Đồng Nai</t>
        </is>
      </c>
      <c r="G14894" s="10" t="inlineStr">
        <is>
          <t>04-04-2026</t>
        </is>
      </c>
      <c r="H14894" s="10" t="inlineStr">
        <is>
          <t>04/04/2026</t>
        </is>
      </c>
      <c r="I14894" s="10" t="inlineStr">
        <is>
          <t>17/03/2026</t>
        </is>
      </c>
      <c r="J14894" s="10" t="inlineStr">
        <is>
          <t>Sản xuất / Vận hành sản xuất, Hóa học, Mới tốt nghiệp / Thực tập</t>
        </is>
      </c>
      <c r="K14894" s="10" t="inlineStr">
        <is>
          <t>N/A</t>
        </is>
      </c>
      <c r="L14894" s="11">
        <f>HYPERLINK("https://careerviet.vn/vi/tim-viec-lam/graduate-engineering-trainee-2026-supply-planning.35C6AEE9.html","Xem chi tiết")</f>
        <v/>
      </c>
      <c r="M14894" s="10" t="n"/>
    </row>
    <row r="14895">
      <c r="B14895" s="7" t="n">
        <v>14893</v>
      </c>
      <c r="C14895" t="inlineStr">
        <is>
          <t>Quản lý Vùng ETC (Mekong 2)</t>
        </is>
      </c>
      <c r="D14895" t="inlineStr">
        <is>
          <t>Công ty cổ phần Anvy</t>
        </is>
      </c>
      <c r="E14895" t="inlineStr">
        <is>
          <t>Lương:25 Tr - 40 Tr VND</t>
        </is>
      </c>
      <c r="F14895" t="inlineStr">
        <is>
          <t>Cần Thơ</t>
        </is>
      </c>
      <c r="G14895" t="inlineStr">
        <is>
          <t>05-04-2026</t>
        </is>
      </c>
      <c r="H14895" t="inlineStr">
        <is>
          <t>05/04/2026</t>
        </is>
      </c>
      <c r="I14895" t="inlineStr">
        <is>
          <t>17/03/2026</t>
        </is>
      </c>
      <c r="J14895" t="inlineStr">
        <is>
          <t>Bán lẻ / Bán sỉ, Bán hàng / Kinh doanh, Dược phẩm/ Hóa Mỹ Phẩm</t>
        </is>
      </c>
      <c r="K14895" t="inlineStr">
        <is>
          <t>3 - 5 Năm</t>
        </is>
      </c>
      <c r="L14895" s="8">
        <f>HYPERLINK("https://careerviet.vn/vi/tim-viec-lam/quan-ly-vung-etc-mekong-2.35C6AE74.html","Xem chi tiết")</f>
        <v/>
      </c>
    </row>
    <row r="14896">
      <c r="B14896" s="9" t="n">
        <v>14894</v>
      </c>
      <c r="C14896" s="10" t="inlineStr">
        <is>
          <t>Chuyên Viên Tư Vấn Giáo Dục - Ocean Edu Đông Hưng - Thu Nhập Từ 15Triệu/Tháng - Phỏng Vấn Đi Làm Ngay</t>
        </is>
      </c>
      <c r="D14896" s="10" t="inlineStr">
        <is>
          <t>Công Ty CP Giáo Dục Đại Dương</t>
        </is>
      </c>
      <c r="E14896" s="10" t="inlineStr">
        <is>
          <t>Lương:Cạnh tranh</t>
        </is>
      </c>
      <c r="F14896" s="10" t="inlineStr">
        <is>
          <t>Thái Bình</t>
        </is>
      </c>
      <c r="G14896" s="10" t="inlineStr">
        <is>
          <t>03-04-2026</t>
        </is>
      </c>
      <c r="H14896" s="10" t="inlineStr">
        <is>
          <t>03/04/2026</t>
        </is>
      </c>
      <c r="I14896" s="10" t="inlineStr">
        <is>
          <t>17/03/2026</t>
        </is>
      </c>
      <c r="J14896" s="10" t="inlineStr">
        <is>
          <t>Dịch vụ khách hàng, Giáo dục / Đào tạo, Bán hàng / Kinh doanh</t>
        </is>
      </c>
      <c r="K14896" s="10" t="inlineStr">
        <is>
          <t>Chưa có kinh nghiệm</t>
        </is>
      </c>
      <c r="L14896" s="11">
        <f>HYPERLINK("https://careerviet.vn/vi/tim-viec-lam/chuyen-vien-tu-van-giao-duc-ocean-edu-dong-hung-thu-nhap-tu-15trieu-thang-phong-van-di-lam-ngay.35C6AEB3.html","Xem chi tiết")</f>
        <v/>
      </c>
      <c r="M14896" s="10" t="n"/>
    </row>
    <row r="14897">
      <c r="B14897" s="7" t="n">
        <v>14895</v>
      </c>
      <c r="C14897" t="inlineStr">
        <is>
          <t>Senior Content Creator</t>
        </is>
      </c>
      <c r="D14897" t="inlineStr">
        <is>
          <t>Công Ty Cổ Phần TEECOM</t>
        </is>
      </c>
      <c r="E14897" t="inlineStr">
        <is>
          <t>Lương:Cạnh tranh</t>
        </is>
      </c>
      <c r="F14897" t="inlineStr">
        <is>
          <t>Hồ Chí Minh</t>
        </is>
      </c>
      <c r="G14897" t="inlineStr">
        <is>
          <t>31-03-2026</t>
        </is>
      </c>
      <c r="H14897" t="inlineStr">
        <is>
          <t>31/03/2026</t>
        </is>
      </c>
      <c r="I14897" t="inlineStr">
        <is>
          <t>17/03/2026</t>
        </is>
      </c>
      <c r="J14897" t="inlineStr">
        <is>
          <t>Tiếp thị trực tuyến, Thương mại điện tử, Mỹ thuật / Nghệ thuật / Thiết kế</t>
        </is>
      </c>
      <c r="K14897" t="inlineStr">
        <is>
          <t>2 - 4 Năm</t>
        </is>
      </c>
      <c r="L14897" s="8">
        <f>HYPERLINK("https://careerviet.vn/vi/tim-viec-lam/senior-content-creator.35C6AED0.html","Xem chi tiết")</f>
        <v/>
      </c>
    </row>
    <row r="14898">
      <c r="B14898" s="9" t="n">
        <v>14896</v>
      </c>
      <c r="C14898" s="10" t="inlineStr">
        <is>
          <t>KẾ TOÁN THUẾ</t>
        </is>
      </c>
      <c r="D14898" s="10" t="inlineStr">
        <is>
          <t>CÔNG TY TNHH CÔNG NGHỆ GOODM</t>
        </is>
      </c>
      <c r="E14898" s="10" t="inlineStr">
        <is>
          <t>Lương:Cạnh tranh</t>
        </is>
      </c>
      <c r="F14898" s="10" t="inlineStr">
        <is>
          <t>Hồ Chí Minh</t>
        </is>
      </c>
      <c r="G14898" s="10" t="inlineStr">
        <is>
          <t>31-03-2026</t>
        </is>
      </c>
      <c r="H14898" s="10" t="inlineStr">
        <is>
          <t>31/03/2026</t>
        </is>
      </c>
      <c r="I14898" s="10" t="inlineStr">
        <is>
          <t>17/03/2026</t>
        </is>
      </c>
      <c r="J14898" s="10" t="inlineStr">
        <is>
          <t>Kế toán / Kiểm toán</t>
        </is>
      </c>
      <c r="K14898" s="10" t="inlineStr">
        <is>
          <t>3 - 5 Năm</t>
        </is>
      </c>
      <c r="L14898" s="11">
        <f>HYPERLINK("https://careerviet.vn/vi/tim-viec-lam/ke-toan-thue.35C6AD67.html","Xem chi tiết")</f>
        <v/>
      </c>
      <c r="M14898" s="10" t="n"/>
    </row>
    <row r="14899">
      <c r="B14899" s="7" t="n">
        <v>14897</v>
      </c>
      <c r="C14899" t="inlineStr">
        <is>
          <t>Nhân viên bóc tách bản vẽ kỹ thuật (Cơ khí CNC)</t>
        </is>
      </c>
      <c r="D14899" t="inlineStr">
        <is>
          <t>CÔNG TY TNHH MTV KỸ THUẬT TÚ LỘC</t>
        </is>
      </c>
      <c r="E14899" t="inlineStr">
        <is>
          <t>Lương:9 Tr - 15 Tr VND</t>
        </is>
      </c>
      <c r="F14899" t="inlineStr">
        <is>
          <t>Hồ Chí Minh</t>
        </is>
      </c>
      <c r="G14899" t="inlineStr">
        <is>
          <t>31-03-2026</t>
        </is>
      </c>
      <c r="H14899" t="inlineStr">
        <is>
          <t>31/03/2026</t>
        </is>
      </c>
      <c r="I14899" t="inlineStr">
        <is>
          <t>17/03/2026</t>
        </is>
      </c>
      <c r="J14899" t="inlineStr">
        <is>
          <t>Sản xuất / Vận hành sản xuất, Cơ khí / Ô tô / Tự động hóa, Xây dựng</t>
        </is>
      </c>
      <c r="K14899" t="inlineStr">
        <is>
          <t>1 - 2 Năm</t>
        </is>
      </c>
      <c r="L14899" s="8">
        <f>HYPERLINK("https://careerviet.vn/vi/tim-viec-lam/nhan-vien-boc-tach-ban-ve-ky-thuat-co-khi-cnc.35C6AE1A.html","Xem chi tiết")</f>
        <v/>
      </c>
    </row>
    <row r="14900">
      <c r="B14900" s="9" t="n">
        <v>14898</v>
      </c>
      <c r="C14900" s="10" t="inlineStr">
        <is>
          <t>Giám sát Ca Nhà hàng - Shift Supervisor [Shake Shack - Burger Restaurant]</t>
        </is>
      </c>
      <c r="D14900" s="10" t="inlineStr">
        <is>
          <t>Bảo mật</t>
        </is>
      </c>
      <c r="E14900" s="10" t="inlineStr">
        <is>
          <t>Lương:Cạnh tranh</t>
        </is>
      </c>
      <c r="F14900" s="10" t="inlineStr">
        <is>
          <t>Hồ Chí Minh</t>
        </is>
      </c>
      <c r="G14900" s="10" t="inlineStr">
        <is>
          <t>31-05-2026</t>
        </is>
      </c>
      <c r="H14900" s="10" t="inlineStr">
        <is>
          <t>31/05/2026</t>
        </is>
      </c>
      <c r="I14900" s="10" t="inlineStr">
        <is>
          <t>17/03/2026</t>
        </is>
      </c>
      <c r="J14900" s="10" t="inlineStr">
        <is>
          <t>Bán lẻ / Bán sỉ, Thực phẩm &amp; Đồ uống, Nhà hàng / Khách sạn</t>
        </is>
      </c>
      <c r="K14900" s="10" t="inlineStr">
        <is>
          <t>1 - 2 Năm</t>
        </is>
      </c>
      <c r="L14900" s="11">
        <f>HYPERLINK("https://careerviet.vn/vi/tim-viec-lam/giam-sat-ca-nha-hang-shift-supervisor-shake-shack-burger-restaurant.35C6AE32.html","Xem chi tiết")</f>
        <v/>
      </c>
      <c r="M14900" s="10" t="n"/>
    </row>
    <row r="14901">
      <c r="B14901" s="7" t="n">
        <v>14899</v>
      </c>
      <c r="C14901" t="inlineStr">
        <is>
          <t>Giám đốc Trung tâm Khách hàng Cá nhân - Phú Thọ, Ninh Bình</t>
        </is>
      </c>
      <c r="D14901" t="inlineStr">
        <is>
          <t>Ngân hàng Thương mại cổ phần Đông Nam Á (SeABank)</t>
        </is>
      </c>
      <c r="E14901" t="inlineStr">
        <is>
          <t>Lương:Cạnh tranh</t>
        </is>
      </c>
      <c r="F14901" t="inlineStr">
        <is>
          <t>Phú ThọNinh Bình</t>
        </is>
      </c>
      <c r="G14901" t="inlineStr">
        <is>
          <t>31-03-2026</t>
        </is>
      </c>
      <c r="H14901" t="inlineStr">
        <is>
          <t>31/03/2026</t>
        </is>
      </c>
      <c r="I14901" t="inlineStr">
        <is>
          <t>17/03/2026</t>
        </is>
      </c>
      <c r="J14901" t="inlineStr">
        <is>
          <t>Ngân hàng</t>
        </is>
      </c>
      <c r="K14901" t="inlineStr">
        <is>
          <t>3 - 5 Năm</t>
        </is>
      </c>
      <c r="L14901" s="8">
        <f>HYPERLINK("https://careerviet.vn/vi/tim-viec-lam/giam-doc-trung-tam-khach-hang-ca-nhan-phu-tho-ninh-binh.35C6AE25.html","Xem chi tiết")</f>
        <v/>
      </c>
    </row>
    <row r="14902">
      <c r="B14902" s="9" t="n">
        <v>14900</v>
      </c>
      <c r="C14902" s="10" t="inlineStr">
        <is>
          <t>Kế toán kho</t>
        </is>
      </c>
      <c r="D14902" s="10" t="inlineStr">
        <is>
          <t>Công ty cổ phần Okapi Việt Nam - Thương hiệu thời trang BADASS</t>
        </is>
      </c>
      <c r="E14902" s="10" t="inlineStr">
        <is>
          <t>Lương:9 Tr - 12 Tr VND</t>
        </is>
      </c>
      <c r="F14902" s="10" t="inlineStr">
        <is>
          <t>Hà Nội</t>
        </is>
      </c>
      <c r="G14902" s="10" t="inlineStr">
        <is>
          <t>29-03-2026</t>
        </is>
      </c>
      <c r="H14902" s="10" t="inlineStr">
        <is>
          <t>29/03/2026</t>
        </is>
      </c>
      <c r="I14902" s="10" t="inlineStr">
        <is>
          <t>17/03/2026</t>
        </is>
      </c>
      <c r="J14902" s="10" t="inlineStr">
        <is>
          <t>Kế toán / Kiểm toán, Dệt may / Da giày / Thời trang, Thống kê</t>
        </is>
      </c>
      <c r="K14902" s="10" t="inlineStr">
        <is>
          <t>1 - 2 Năm</t>
        </is>
      </c>
      <c r="L14902" s="11">
        <f>HYPERLINK("https://careerviet.vn/vi/tim-viec-lam/ke-toan-kho.35C6AC2F.html","Xem chi tiết")</f>
        <v/>
      </c>
      <c r="M14902" s="10" t="n"/>
    </row>
    <row r="14903">
      <c r="B14903" s="7" t="n">
        <v>14901</v>
      </c>
      <c r="C14903" t="inlineStr">
        <is>
          <t>Nhân viên Sales Admin</t>
        </is>
      </c>
      <c r="D14903" t="inlineStr">
        <is>
          <t>Công Ty Cổ Phần Xuất Nhập Khẩu Thương Mại Đài Linh</t>
        </is>
      </c>
      <c r="E14903" t="inlineStr">
        <is>
          <t>Lương:15 Tr - 20 Tr VND</t>
        </is>
      </c>
      <c r="F14903" t="inlineStr">
        <is>
          <t>Hà Nội</t>
        </is>
      </c>
      <c r="G14903" t="inlineStr">
        <is>
          <t>31-03-2026</t>
        </is>
      </c>
      <c r="H14903" t="inlineStr">
        <is>
          <t>31/03/2026</t>
        </is>
      </c>
      <c r="I14903" t="inlineStr">
        <is>
          <t>17/03/2026</t>
        </is>
      </c>
      <c r="J14903" t="inlineStr">
        <is>
          <t>Bán hàng / Kinh doanh, Hành chính / Thư ký, Kế toán / Kiểm toán</t>
        </is>
      </c>
      <c r="K14903" t="inlineStr">
        <is>
          <t>3 - 4 Năm</t>
        </is>
      </c>
      <c r="L14903" s="8">
        <f>HYPERLINK("https://careerviet.vn/vi/tim-viec-lam/nhan-vien-sales-admin.35C6AE27.html","Xem chi tiết")</f>
        <v/>
      </c>
    </row>
    <row r="14904">
      <c r="B14904" s="9" t="n">
        <v>14902</v>
      </c>
      <c r="C14904" s="10" t="inlineStr">
        <is>
          <t>Marketing Manager (Bewell Clinic)</t>
        </is>
      </c>
      <c r="D14904" s="10" t="inlineStr">
        <is>
          <t>CÔNG TY CỔ PHẦN IFF HOLDINGS</t>
        </is>
      </c>
      <c r="E14904" s="10" t="inlineStr">
        <is>
          <t>Lương:Cạnh tranh</t>
        </is>
      </c>
      <c r="F14904" s="10" t="inlineStr">
        <is>
          <t>Hồ Chí Minh</t>
        </is>
      </c>
      <c r="G14904" s="10" t="inlineStr">
        <is>
          <t>04-04-2026</t>
        </is>
      </c>
      <c r="H14904" s="10" t="inlineStr">
        <is>
          <t>04/04/2026</t>
        </is>
      </c>
      <c r="I14904" s="10" t="inlineStr">
        <is>
          <t>17/03/2026</t>
        </is>
      </c>
      <c r="J14904" s="10" t="inlineStr">
        <is>
          <t>Tiếp thị / Marketing</t>
        </is>
      </c>
      <c r="K14904" s="10" t="inlineStr">
        <is>
          <t>6 - 10 Năm</t>
        </is>
      </c>
      <c r="L14904" s="11">
        <f>HYPERLINK("https://careerviet.vn/vi/tim-viec-lam/marketing-manager-bewell-clinic.35C6AE23.html","Xem chi tiết")</f>
        <v/>
      </c>
      <c r="M14904" s="10" t="n"/>
    </row>
    <row r="14905">
      <c r="B14905" s="7" t="n">
        <v>14903</v>
      </c>
      <c r="C14905" t="inlineStr">
        <is>
          <t>KỸ SƯ ĐIỆN</t>
        </is>
      </c>
      <c r="D14905" t="inlineStr">
        <is>
          <t>TOP E &amp; C</t>
        </is>
      </c>
      <c r="E14905" t="inlineStr">
        <is>
          <t>Lương:Cạnh tranh</t>
        </is>
      </c>
      <c r="F14905" t="inlineStr">
        <is>
          <t>Hồ Chí Minh</t>
        </is>
      </c>
      <c r="G14905" t="inlineStr">
        <is>
          <t>31-05-2026</t>
        </is>
      </c>
      <c r="H14905" t="inlineStr">
        <is>
          <t>31/05/2026</t>
        </is>
      </c>
      <c r="I14905" t="inlineStr">
        <is>
          <t>17/03/2026</t>
        </is>
      </c>
      <c r="J14905" t="inlineStr">
        <is>
          <t>Điện / Điện tử / Điện lạnh / Điện công nghiệp</t>
        </is>
      </c>
      <c r="K14905" t="inlineStr">
        <is>
          <t>2 - 5 Năm</t>
        </is>
      </c>
      <c r="L14905" s="8">
        <f>HYPERLINK("https://careerviet.vn/vi/tim-viec-lam/ky-su-dien.35C6ABF1.html","Xem chi tiết")</f>
        <v/>
      </c>
    </row>
    <row r="14906">
      <c r="B14906" s="9" t="n">
        <v>14904</v>
      </c>
      <c r="C14906" s="10" t="inlineStr">
        <is>
          <t>Internal Control Specialist</t>
        </is>
      </c>
      <c r="D14906" s="10" t="inlineStr">
        <is>
          <t>Công Ty Cổ Phần TEECOM</t>
        </is>
      </c>
      <c r="E14906" s="10" t="inlineStr">
        <is>
          <t>Lương:Cạnh tranh</t>
        </is>
      </c>
      <c r="F14906" s="10" t="inlineStr">
        <is>
          <t>Hồ Chí Minh</t>
        </is>
      </c>
      <c r="G14906" s="10" t="inlineStr">
        <is>
          <t>10-03-2026</t>
        </is>
      </c>
      <c r="H14906" s="10" t="inlineStr">
        <is>
          <t>15/03/2026</t>
        </is>
      </c>
      <c r="I14906" s="10" t="inlineStr">
        <is>
          <t>17/03/2026</t>
        </is>
      </c>
      <c r="J14906" s="10" t="inlineStr">
        <is>
          <t>Tiếp thị / Marketing, Thương mại điện tử, Tiếp thị trực tuyến</t>
        </is>
      </c>
      <c r="K14906" s="10" t="inlineStr">
        <is>
          <t>3 - 5 Năm</t>
        </is>
      </c>
      <c r="L14906" s="11">
        <f>HYPERLINK("https://careerviet.vn/vi/tim-viec-lam/internal-control-specialist.35C6ACC9.html","Xem chi tiết")</f>
        <v/>
      </c>
      <c r="M14906" s="10" t="n"/>
    </row>
    <row r="14907">
      <c r="B14907" s="7" t="n">
        <v>14905</v>
      </c>
      <c r="C14907" t="inlineStr">
        <is>
          <t>Nhân viên quản lý chất lượng hệ thống ISO</t>
        </is>
      </c>
      <c r="D14907" t="inlineStr">
        <is>
          <t>Trung Tâm Kiểm Định Hiệu Chuẩn Đo Lường Miền Nam</t>
        </is>
      </c>
      <c r="E14907" t="inlineStr">
        <is>
          <t>Lương:8 Tr - 15 Tr VND</t>
        </is>
      </c>
      <c r="F14907" t="inlineStr">
        <is>
          <t>Hồ Chí Minh</t>
        </is>
      </c>
      <c r="G14907" t="inlineStr">
        <is>
          <t>31-03-2026</t>
        </is>
      </c>
      <c r="H14907" t="inlineStr">
        <is>
          <t>31/03/2026</t>
        </is>
      </c>
      <c r="I14907" t="inlineStr">
        <is>
          <t>17/03/2026</t>
        </is>
      </c>
      <c r="J14907" t="inlineStr">
        <is>
          <t>Điện / Điện tử / Điện lạnh / Điện công nghiệp, Cơ khí / Ô tô / Tự động hóa, Hóa học</t>
        </is>
      </c>
      <c r="K14907" t="inlineStr">
        <is>
          <t>1 - 3 Năm</t>
        </is>
      </c>
      <c r="L14907" s="8">
        <f>HYPERLINK("https://careerviet.vn/vi/tim-viec-lam/nhan-vien-quan-ly-chat-luong-he-thong-iso.35C6AC76.html","Xem chi tiết")</f>
        <v/>
      </c>
    </row>
    <row r="14908">
      <c r="B14908" s="9" t="n">
        <v>14906</v>
      </c>
      <c r="C14908" s="10" t="inlineStr">
        <is>
          <t>Nhân viên phòng Lab</t>
        </is>
      </c>
      <c r="D14908" s="10" t="inlineStr">
        <is>
          <t>Công Ty TNHH Bodynits Tiền Giang</t>
        </is>
      </c>
      <c r="E14908" s="10" t="inlineStr">
        <is>
          <t>Lương:8 Tr - 10 Tr VND</t>
        </is>
      </c>
      <c r="F14908" s="10" t="inlineStr">
        <is>
          <t>Tiền Giang</t>
        </is>
      </c>
      <c r="G14908" s="10" t="inlineStr">
        <is>
          <t>04-04-2026</t>
        </is>
      </c>
      <c r="H14908" s="10" t="inlineStr">
        <is>
          <t>04/04/2026</t>
        </is>
      </c>
      <c r="I14908" s="10" t="inlineStr">
        <is>
          <t>17/03/2026</t>
        </is>
      </c>
      <c r="J14908" s="10" t="inlineStr">
        <is>
          <t>Hóa học, Dệt may / Da giày / Thời trang, Quản lý chất lượng (QA/QC)</t>
        </is>
      </c>
      <c r="K14908" s="10" t="inlineStr">
        <is>
          <t>1 - 3 Năm</t>
        </is>
      </c>
      <c r="L14908" s="11">
        <f>HYPERLINK("https://careerviet.vn/vi/tim-viec-lam/nhan-vien-phong-lab.35C6AC8B.html","Xem chi tiết")</f>
        <v/>
      </c>
      <c r="M14908" s="10" t="n"/>
    </row>
    <row r="14909">
      <c r="B14909" s="7" t="n">
        <v>14907</v>
      </c>
      <c r="C14909" t="inlineStr">
        <is>
          <t>Trưởng Phòng Tuyển Dụng</t>
        </is>
      </c>
      <c r="D14909" t="inlineStr">
        <is>
          <t>DILIGO</t>
        </is>
      </c>
      <c r="E14909" t="inlineStr">
        <is>
          <t>Lương:20 Tr - 30 Tr VND</t>
        </is>
      </c>
      <c r="F14909" t="inlineStr">
        <is>
          <t>Hà Nội</t>
        </is>
      </c>
      <c r="G14909" t="inlineStr">
        <is>
          <t>31-03-2026</t>
        </is>
      </c>
      <c r="H14909" t="inlineStr">
        <is>
          <t>31/03/2026</t>
        </is>
      </c>
      <c r="I14909" t="inlineStr">
        <is>
          <t>17/03/2026</t>
        </is>
      </c>
      <c r="J14909" t="inlineStr">
        <is>
          <t>Bán hàng / Kinh doanh, Bán lẻ / Bán sỉ, Nhân sự</t>
        </is>
      </c>
      <c r="K14909" t="inlineStr">
        <is>
          <t>3 - 5 Năm</t>
        </is>
      </c>
      <c r="L14909" s="8">
        <f>HYPERLINK("https://careerviet.vn/vi/tim-viec-lam/truong-phong-tuyen-dung.35C6ADFE.html","Xem chi tiết")</f>
        <v/>
      </c>
    </row>
    <row r="14910">
      <c r="B14910" s="9" t="n">
        <v>14908</v>
      </c>
      <c r="C14910" s="10" t="inlineStr">
        <is>
          <t>Export Sales Executive</t>
        </is>
      </c>
      <c r="D14910" s="10" t="inlineStr">
        <is>
          <t>Công ty TNHH FES VietNam</t>
        </is>
      </c>
      <c r="E14910" s="10" t="inlineStr">
        <is>
          <t>Lương:Cạnh tranh</t>
        </is>
      </c>
      <c r="F14910" s="10" t="inlineStr">
        <is>
          <t>Hồ Chí Minh</t>
        </is>
      </c>
      <c r="G14910" s="10" t="inlineStr">
        <is>
          <t>01-06-2026</t>
        </is>
      </c>
      <c r="H14910" s="10" t="inlineStr">
        <is>
          <t>01/06/2026</t>
        </is>
      </c>
      <c r="I14910" s="10" t="inlineStr">
        <is>
          <t>17/03/2026</t>
        </is>
      </c>
      <c r="J14910" s="10" t="inlineStr">
        <is>
          <t>Xuất nhập khẩu, Bán hàng / Kinh doanh, Bán lẻ / Bán sỉ</t>
        </is>
      </c>
      <c r="K14910" s="10" t="inlineStr">
        <is>
          <t>2 - 3 Năm</t>
        </is>
      </c>
      <c r="L14910" s="11">
        <f>HYPERLINK("https://careerviet.vn/vi/tim-viec-lam/export-sales-executive.35C6AC51.html","Xem chi tiết")</f>
        <v/>
      </c>
      <c r="M14910" s="10" t="n"/>
    </row>
    <row r="14911">
      <c r="B14911" s="7" t="n">
        <v>14909</v>
      </c>
      <c r="C14911" t="inlineStr">
        <is>
          <t>Marker Specialist</t>
        </is>
      </c>
      <c r="D14911" t="inlineStr">
        <is>
          <t>Công Ty TNHH Bodynits Tiền Giang</t>
        </is>
      </c>
      <c r="E14911" t="inlineStr">
        <is>
          <t>Lương:Cạnh tranh</t>
        </is>
      </c>
      <c r="F14911" t="inlineStr">
        <is>
          <t>Tiền Giang</t>
        </is>
      </c>
      <c r="G14911" t="inlineStr">
        <is>
          <t>03-04-2026</t>
        </is>
      </c>
      <c r="H14911" t="inlineStr">
        <is>
          <t>03/04/2026</t>
        </is>
      </c>
      <c r="I14911" t="inlineStr">
        <is>
          <t>17/03/2026</t>
        </is>
      </c>
      <c r="J14911" t="inlineStr">
        <is>
          <t>Dệt may / Da giày / Thời trang, Sản xuất / Vận hành sản xuất, Cơ khí / Ô tô / Tự động hóa</t>
        </is>
      </c>
      <c r="K14911" t="inlineStr">
        <is>
          <t>Trên 3 Năm</t>
        </is>
      </c>
      <c r="L14911" s="8">
        <f>HYPERLINK("https://careerviet.vn/vi/tim-viec-lam/marker-specialist.35C6AAE3.html","Xem chi tiết")</f>
        <v/>
      </c>
    </row>
    <row r="14912">
      <c r="B14912" s="9" t="n">
        <v>14910</v>
      </c>
      <c r="C14912" s="10" t="inlineStr">
        <is>
          <t>Phó Phòng dự án Cơ điện</t>
        </is>
      </c>
      <c r="D14912" s="10" t="inlineStr">
        <is>
          <t>Tổng Công ty Cổ phần Công trình Viettel</t>
        </is>
      </c>
      <c r="E14912" s="10" t="inlineStr">
        <is>
          <t>Lương:Cạnh tranh</t>
        </is>
      </c>
      <c r="F14912" s="10" t="inlineStr">
        <is>
          <t>Hà Nội</t>
        </is>
      </c>
      <c r="G14912" s="10" t="inlineStr">
        <is>
          <t>03-04-2026</t>
        </is>
      </c>
      <c r="H14912" s="10" t="inlineStr">
        <is>
          <t>03/04/2026</t>
        </is>
      </c>
      <c r="I14912" s="10" t="inlineStr">
        <is>
          <t>17/03/2026</t>
        </is>
      </c>
      <c r="J14912" s="10" t="inlineStr">
        <is>
          <t>Cơ khí / Ô tô / Tự động hóa, Bán hàng / Kinh doanh, Bảo trì / Sửa chữa</t>
        </is>
      </c>
      <c r="K14912" s="10" t="inlineStr">
        <is>
          <t>3 - 5 Năm</t>
        </is>
      </c>
      <c r="L14912" s="11">
        <f>HYPERLINK("https://careerviet.vn/vi/tim-viec-lam/pho-phong-du-an-co-dien.35C6AD58.html","Xem chi tiết")</f>
        <v/>
      </c>
      <c r="M14912" s="10" t="n"/>
    </row>
    <row r="14913">
      <c r="B14913" s="7" t="n">
        <v>14911</v>
      </c>
      <c r="C14913" t="inlineStr">
        <is>
          <t>Quality Control Manager (QC Manager)</t>
        </is>
      </c>
      <c r="D14913" t="inlineStr">
        <is>
          <t>HR Vietnam’s ESS Client</t>
        </is>
      </c>
      <c r="E14913" t="inlineStr">
        <is>
          <t>Lương:Cạnh tranh</t>
        </is>
      </c>
      <c r="F14913" t="inlineStr">
        <is>
          <t>Long An</t>
        </is>
      </c>
      <c r="G14913" t="inlineStr">
        <is>
          <t>08-04-2026</t>
        </is>
      </c>
      <c r="H14913" t="inlineStr">
        <is>
          <t>08/04/2026</t>
        </is>
      </c>
      <c r="I14913" t="inlineStr">
        <is>
          <t>17/03/2026</t>
        </is>
      </c>
      <c r="J14913" t="inlineStr">
        <is>
          <t>Sản xuất / Vận hành sản xuất, Đồ gỗ</t>
        </is>
      </c>
      <c r="K14913" t="inlineStr">
        <is>
          <t>10 - 15 Năm</t>
        </is>
      </c>
      <c r="L14913" s="8">
        <f>HYPERLINK("https://careerviet.vn/vi/tim-viec-lam/quality-control-manager-qc-manager.35C6AE15.html","Xem chi tiết")</f>
        <v/>
      </c>
    </row>
    <row r="14914">
      <c r="B14914" s="9" t="n">
        <v>14912</v>
      </c>
      <c r="C14914" s="10" t="inlineStr">
        <is>
          <t>[Cai Lậy - Tiền Giang] Tuyển Nhân Viên Bán Hàng - Chuỗi Cửa Hàng Bán Lẻ Thiết Bị Sức Khỏe</t>
        </is>
      </c>
      <c r="D14914" s="10" t="inlineStr">
        <is>
          <t>Công Ty TNHH XNK Phát Triển Đông Dương</t>
        </is>
      </c>
      <c r="E14914" s="10" t="inlineStr">
        <is>
          <t>Lương:12 Tr - 20 Tr VND</t>
        </is>
      </c>
      <c r="F14914" s="10" t="inlineStr">
        <is>
          <t>Tiền Giang</t>
        </is>
      </c>
      <c r="G14914" s="10" t="inlineStr">
        <is>
          <t>09-04-2026</t>
        </is>
      </c>
      <c r="H14914" s="10" t="inlineStr">
        <is>
          <t>09/04/2026</t>
        </is>
      </c>
      <c r="I14914" s="10" t="inlineStr">
        <is>
          <t>17/03/2026</t>
        </is>
      </c>
      <c r="J14914" s="10" t="inlineStr">
        <is>
          <t>Bán lẻ / Bán sỉ, Bán hàng / Kinh doanh, Tư vấn</t>
        </is>
      </c>
      <c r="K14914" s="10" t="inlineStr">
        <is>
          <t>N/A</t>
        </is>
      </c>
      <c r="L14914" s="11">
        <f>HYPERLINK("https://careerviet.vn/vi/tim-viec-lam/cai-lay-tien-giang-tuyen-nhan-vien-ban-hang-chuoi-cua-hang-ban-le-thiet-bi-suc-khoe.35C6ABEF.html","Xem chi tiết")</f>
        <v/>
      </c>
      <c r="M14914" s="10" t="n"/>
    </row>
    <row r="14915">
      <c r="B14915" s="7" t="n">
        <v>14913</v>
      </c>
      <c r="C14915" t="inlineStr">
        <is>
          <t>NHÂN VIÊN KỸ THUẬT SƠN</t>
        </is>
      </c>
      <c r="D14915" t="inlineStr">
        <is>
          <t>Công ty Cổ phần Mạc Tích (MARTECH)</t>
        </is>
      </c>
      <c r="E14915" t="inlineStr">
        <is>
          <t>Lương:Cạnh tranh</t>
        </is>
      </c>
      <c r="F14915" t="inlineStr">
        <is>
          <t>Đồng Nai</t>
        </is>
      </c>
      <c r="G14915" t="inlineStr">
        <is>
          <t>15-04-2026</t>
        </is>
      </c>
      <c r="H14915" t="inlineStr">
        <is>
          <t>15/04/2026</t>
        </is>
      </c>
      <c r="I14915" t="inlineStr">
        <is>
          <t>17/03/2026</t>
        </is>
      </c>
      <c r="J14915" t="inlineStr">
        <is>
          <t>Cơ khí / Ô tô / Tự động hóa, Sản xuất / Vận hành sản xuất, Điện / Điện tử / Điện lạnh / Điện công nghiệp</t>
        </is>
      </c>
      <c r="K14915" t="inlineStr">
        <is>
          <t>1 - 2 Năm</t>
        </is>
      </c>
      <c r="L14915" s="8">
        <f>HYPERLINK("https://careerviet.vn/vi/tim-viec-lam/nhan-vien-ky-thuat-son.35C6ADEC.html","Xem chi tiết")</f>
        <v/>
      </c>
    </row>
    <row r="14916">
      <c r="B14916" s="9" t="n">
        <v>14914</v>
      </c>
      <c r="C14916" s="10" t="inlineStr">
        <is>
          <t>GIÁM SÁT CÔNG TRÌNH</t>
        </is>
      </c>
      <c r="D14916" s="10" t="inlineStr">
        <is>
          <t>Công ty Cổ phần Mạc Tích (MARTECH)</t>
        </is>
      </c>
      <c r="E14916" s="10" t="inlineStr">
        <is>
          <t>Lương:18 Tr - 23 Tr VND</t>
        </is>
      </c>
      <c r="F14916" s="10" t="inlineStr">
        <is>
          <t>Hồ Chí Minh</t>
        </is>
      </c>
      <c r="G14916" s="10" t="inlineStr">
        <is>
          <t>15-04-2026</t>
        </is>
      </c>
      <c r="H14916" s="10" t="inlineStr">
        <is>
          <t>15/04/2026</t>
        </is>
      </c>
      <c r="I14916" s="10" t="inlineStr">
        <is>
          <t>17/03/2026</t>
        </is>
      </c>
      <c r="J14916" s="10" t="inlineStr">
        <is>
          <t>Điện / Điện tử / Điện lạnh / Điện công nghiệp, Cơ khí / Ô tô / Tự động hóa</t>
        </is>
      </c>
      <c r="K14916" s="10" t="inlineStr">
        <is>
          <t>N/A</t>
        </is>
      </c>
      <c r="L14916" s="11">
        <f>HYPERLINK("https://careerviet.vn/vi/tim-viec-lam/giam-sat-cong-trinh.35C6AE00.html","Xem chi tiết")</f>
        <v/>
      </c>
      <c r="M14916" s="10" t="n"/>
    </row>
    <row r="14917">
      <c r="B14917" s="7" t="n">
        <v>14915</v>
      </c>
      <c r="C14917" t="inlineStr">
        <is>
          <t>Kỹ Sư Kết Cấu</t>
        </is>
      </c>
      <c r="D14917" t="inlineStr">
        <is>
          <t>CT CP Tập Đoàn Thái Tuấn</t>
        </is>
      </c>
      <c r="E14917" t="inlineStr">
        <is>
          <t>Lương:Cạnh tranh</t>
        </is>
      </c>
      <c r="F14917" t="inlineStr">
        <is>
          <t>Hồ Chí Minh</t>
        </is>
      </c>
      <c r="G14917" t="inlineStr">
        <is>
          <t>03-04-2026</t>
        </is>
      </c>
      <c r="H14917" t="inlineStr">
        <is>
          <t>03/04/2026</t>
        </is>
      </c>
      <c r="I14917" t="inlineStr">
        <is>
          <t>17/03/2026</t>
        </is>
      </c>
      <c r="J14917" t="inlineStr">
        <is>
          <t>Kiến trúc, Xây dựng</t>
        </is>
      </c>
      <c r="K14917" t="inlineStr">
        <is>
          <t>4 - 10 Năm</t>
        </is>
      </c>
      <c r="L14917" s="8">
        <f>HYPERLINK("https://careerviet.vn/vi/tim-viec-lam/ky-su-ket-cau.35C6ADE0.html","Xem chi tiết")</f>
        <v/>
      </c>
    </row>
    <row r="14918">
      <c r="B14918" s="9" t="n">
        <v>14916</v>
      </c>
      <c r="C14918" s="10" t="inlineStr">
        <is>
          <t>Kỹ sư cơ sở hạ tầng</t>
        </is>
      </c>
      <c r="D14918" s="10" t="inlineStr">
        <is>
          <t>CÔNG TY CỔ PHẦN CÔNG NGHỆ SOTATEK VIỆT NAM</t>
        </is>
      </c>
      <c r="E14918" s="10" t="inlineStr">
        <is>
          <t>Lương:Cạnh tranh</t>
        </is>
      </c>
      <c r="F14918" s="10" t="inlineStr">
        <is>
          <t>Ninh Thuận</t>
        </is>
      </c>
      <c r="G14918" s="10" t="inlineStr">
        <is>
          <t>31-03-2026</t>
        </is>
      </c>
      <c r="H14918" s="10" t="inlineStr">
        <is>
          <t>31/03/2026</t>
        </is>
      </c>
      <c r="I14918" s="10" t="inlineStr">
        <is>
          <t>17/03/2026</t>
        </is>
      </c>
      <c r="J14918" s="10" t="inlineStr">
        <is>
          <t>Bảo trì / Sửa chữa, Xây dựng, Cơ khí / Ô tô / Tự động hóa</t>
        </is>
      </c>
      <c r="K14918" s="10" t="inlineStr">
        <is>
          <t>Trên 2 Năm</t>
        </is>
      </c>
      <c r="L14918" s="11">
        <f>HYPERLINK("https://careerviet.vn/vi/tim-viec-lam/ky-su-co-so-ha-tang.35C6AE11.html","Xem chi tiết")</f>
        <v/>
      </c>
      <c r="M14918" s="10" t="n"/>
    </row>
    <row r="14919">
      <c r="B14919" s="7" t="n">
        <v>14917</v>
      </c>
      <c r="C14919" t="inlineStr">
        <is>
          <t>Design To Cost Engineer</t>
        </is>
      </c>
      <c r="D14919" t="inlineStr">
        <is>
          <t>Friwo Vietnam Co., Ltd</t>
        </is>
      </c>
      <c r="E14919" t="inlineStr">
        <is>
          <t>Lương:Cạnh tranh</t>
        </is>
      </c>
      <c r="F14919" t="inlineStr">
        <is>
          <t>Hồ Chí Minh</t>
        </is>
      </c>
      <c r="G14919" t="inlineStr">
        <is>
          <t>03-04-2026</t>
        </is>
      </c>
      <c r="H14919" t="inlineStr">
        <is>
          <t>03/04/2026</t>
        </is>
      </c>
      <c r="I14919" t="inlineStr">
        <is>
          <t>17/03/2026</t>
        </is>
      </c>
      <c r="J14919" t="inlineStr">
        <is>
          <t>Điện / Điện tử / Điện lạnh / Điện công nghiệp, Sản xuất / Vận hành sản xuất</t>
        </is>
      </c>
      <c r="K14919" t="inlineStr">
        <is>
          <t>2 - 4 Năm</t>
        </is>
      </c>
      <c r="L14919" s="8">
        <f>HYPERLINK("https://careerviet.vn/vi/tim-viec-lam/design-to-cost-engineer.35C6ADBE.html","Xem chi tiết")</f>
        <v/>
      </c>
    </row>
    <row r="14920">
      <c r="B14920" s="9" t="n">
        <v>14918</v>
      </c>
      <c r="C14920" s="10" t="inlineStr">
        <is>
          <t>Thực Tập Sinh Sales Logistics</t>
        </is>
      </c>
      <c r="D14920" s="10" t="inlineStr">
        <is>
          <t>CÔNG TY TNHH VẬN TẢI BIỂN ĐÔNG LONG</t>
        </is>
      </c>
      <c r="E14920" s="10" t="inlineStr">
        <is>
          <t>Lương:Cạnh tranh</t>
        </is>
      </c>
      <c r="F14920" s="10" t="inlineStr">
        <is>
          <t>Hồ Chí Minh</t>
        </is>
      </c>
      <c r="G14920" s="10" t="inlineStr">
        <is>
          <t>04-04-2026</t>
        </is>
      </c>
      <c r="H14920" s="10" t="inlineStr">
        <is>
          <t>04/04/2026</t>
        </is>
      </c>
      <c r="I14920" s="10" t="inlineStr">
        <is>
          <t>17/03/2026</t>
        </is>
      </c>
      <c r="J14920" s="10" t="inlineStr">
        <is>
          <t>Bán hàng / Kinh doanh, Xuất nhập khẩu, Mới tốt nghiệp / Thực tập</t>
        </is>
      </c>
      <c r="K14920" s="10" t="inlineStr">
        <is>
          <t>N/A</t>
        </is>
      </c>
      <c r="L14920" s="11">
        <f>HYPERLINK("https://careerviet.vn/vi/tim-viec-lam/thuc-tap-sinh-sales-logistics.35C6ADD3.html","Xem chi tiết")</f>
        <v/>
      </c>
      <c r="M14920" s="10" t="n"/>
    </row>
    <row r="14921">
      <c r="B14921" s="7" t="n">
        <v>14919</v>
      </c>
      <c r="C14921" t="inlineStr">
        <is>
          <t>Kỹ sư Sản xuất</t>
        </is>
      </c>
      <c r="D14921" t="inlineStr">
        <is>
          <t>CÔNG TY TNHH NS MILLENNIUM VIỆT NAM</t>
        </is>
      </c>
      <c r="E14921" t="inlineStr">
        <is>
          <t>Lương:12 Tr - 25 Tr VND</t>
        </is>
      </c>
      <c r="F14921" t="inlineStr">
        <is>
          <t>Bình Dương</t>
        </is>
      </c>
      <c r="G14921" t="inlineStr">
        <is>
          <t>27-03-2026</t>
        </is>
      </c>
      <c r="H14921" t="inlineStr">
        <is>
          <t>27/03/2026</t>
        </is>
      </c>
      <c r="I14921" t="inlineStr">
        <is>
          <t>17/03/2026</t>
        </is>
      </c>
      <c r="J14921" t="inlineStr">
        <is>
          <t>Mỹ thuật / Nghệ thuật / Thiết kế, Sản xuất / Vận hành sản xuất, Quản lý chất lượng (QA/QC)</t>
        </is>
      </c>
      <c r="K14921" t="inlineStr">
        <is>
          <t>1 - 5 Năm</t>
        </is>
      </c>
      <c r="L14921" s="8">
        <f>HYPERLINK("https://careerviet.vn/vi/tim-viec-lam/ky-su-san-xuat.35C6ABF6.html","Xem chi tiết")</f>
        <v/>
      </c>
    </row>
    <row r="14922">
      <c r="B14922" s="9" t="n">
        <v>14920</v>
      </c>
      <c r="C14922" s="10" t="inlineStr">
        <is>
          <t>Thực Tập Sinh Tuyển Dụng (Recruitment Intern)</t>
        </is>
      </c>
      <c r="D14922" s="10" t="inlineStr">
        <is>
          <t>Headhunter HRchannels Group</t>
        </is>
      </c>
      <c r="E14922" s="10" t="inlineStr">
        <is>
          <t>Lương:Cạnh tranh</t>
        </is>
      </c>
      <c r="F14922" s="10" t="inlineStr">
        <is>
          <t>Hà Nội</t>
        </is>
      </c>
      <c r="G14922" s="10" t="inlineStr">
        <is>
          <t>24-03-2026</t>
        </is>
      </c>
      <c r="H14922" s="10" t="inlineStr">
        <is>
          <t>24/03/2026</t>
        </is>
      </c>
      <c r="I14922" s="10" t="inlineStr">
        <is>
          <t>17/03/2026</t>
        </is>
      </c>
      <c r="J14922" s="10" t="inlineStr">
        <is>
          <t>Nhân sự, Mới tốt nghiệp / Thực tập, Luật / Pháp lý</t>
        </is>
      </c>
      <c r="K14922" s="10" t="inlineStr">
        <is>
          <t>N/A</t>
        </is>
      </c>
      <c r="L14922" s="11">
        <f>HYPERLINK("https://careerviet.vn/vi/tim-viec-lam/thuc-tap-sinh-tuyen-dung-recruitment-intern.35C6AC71.html","Xem chi tiết")</f>
        <v/>
      </c>
      <c r="M14922" s="10" t="n"/>
    </row>
    <row r="14923">
      <c r="B14923" s="7" t="n">
        <v>14921</v>
      </c>
      <c r="C14923" t="inlineStr">
        <is>
          <t>Kỹ Sư Thiết Kế hệ thống Utility</t>
        </is>
      </c>
      <c r="D14923" t="inlineStr">
        <is>
          <t>CT CP Tập Đoàn Thái Tuấn</t>
        </is>
      </c>
      <c r="E14923" t="inlineStr">
        <is>
          <t>Lương:Cạnh tranh</t>
        </is>
      </c>
      <c r="F14923" t="inlineStr">
        <is>
          <t>Hồ Chí Minh</t>
        </is>
      </c>
      <c r="G14923" t="inlineStr">
        <is>
          <t>03-04-2026</t>
        </is>
      </c>
      <c r="H14923" t="inlineStr">
        <is>
          <t>03/04/2026</t>
        </is>
      </c>
      <c r="I14923" t="inlineStr">
        <is>
          <t>17/03/2026</t>
        </is>
      </c>
      <c r="J14923" t="inlineStr">
        <is>
          <t>Điện / Điện tử / Điện lạnh / Điện công nghiệp, Cơ khí / Ô tô / Tự động hóa</t>
        </is>
      </c>
      <c r="K14923" t="inlineStr">
        <is>
          <t>5 - 10 Năm</t>
        </is>
      </c>
      <c r="L14923" s="8">
        <f>HYPERLINK("https://careerviet.vn/vi/tim-viec-lam/ky-su-thiet-ke-he-thong-utility.35C6ADD1.html","Xem chi tiết")</f>
        <v/>
      </c>
    </row>
    <row r="14924">
      <c r="B14924" s="9" t="n">
        <v>14922</v>
      </c>
      <c r="C14924" s="10" t="inlineStr">
        <is>
          <t>Giáo Viên Tiếng Anh Ca Tối Trung Tâm Anh Ngữ (Part-Time -Tân Phú)</t>
        </is>
      </c>
      <c r="D14924" s="10" t="inlineStr">
        <is>
          <t>TRƯỜNG QUỐC TẾ BLUE RIDGE / BLUE RIDGE INTERNATIONAL SCHOOL (BRIS)</t>
        </is>
      </c>
      <c r="E14924" s="10" t="inlineStr">
        <is>
          <t>Lương:Cạnh tranh</t>
        </is>
      </c>
      <c r="F14924" s="10" t="inlineStr">
        <is>
          <t>Hồ Chí Minh</t>
        </is>
      </c>
      <c r="G14924" s="10" t="inlineStr">
        <is>
          <t>31-03-2026</t>
        </is>
      </c>
      <c r="H14924" s="10" t="inlineStr">
        <is>
          <t>31/03/2026</t>
        </is>
      </c>
      <c r="I14924" s="10" t="inlineStr">
        <is>
          <t>17/03/2026</t>
        </is>
      </c>
      <c r="J14924" s="10" t="inlineStr">
        <is>
          <t>Giáo dục / Đào tạo</t>
        </is>
      </c>
      <c r="K14924" s="10" t="inlineStr">
        <is>
          <t>Trên 1 Năm</t>
        </is>
      </c>
      <c r="L14924" s="11">
        <f>HYPERLINK("https://careerviet.vn/vi/tim-viec-lam/giao-vien-tieng-anh-ca-toi-trung-tam-anh-ngu-part-time-tan-phu.35C6ADDC.html","Xem chi tiết")</f>
        <v/>
      </c>
      <c r="M14924" s="10" t="n"/>
    </row>
    <row r="14925">
      <c r="B14925" s="7" t="n">
        <v>14923</v>
      </c>
      <c r="C14925" t="inlineStr">
        <is>
          <t>Chuyên viên Tài chính</t>
        </is>
      </c>
      <c r="D14925" t="inlineStr">
        <is>
          <t>Công ty CP Công nghệ giáo dục Trường học trực tuyến (ONSCHOOL)</t>
        </is>
      </c>
      <c r="E14925" t="inlineStr">
        <is>
          <t>Lương:12 Tr - 15 Tr VND</t>
        </is>
      </c>
      <c r="F14925" t="inlineStr">
        <is>
          <t>Hà Nội</t>
        </is>
      </c>
      <c r="G14925" t="inlineStr">
        <is>
          <t>31-03-2026</t>
        </is>
      </c>
      <c r="H14925" t="inlineStr">
        <is>
          <t>31/03/2026</t>
        </is>
      </c>
      <c r="I14925" t="inlineStr">
        <is>
          <t>17/03/2026</t>
        </is>
      </c>
      <c r="J14925" t="inlineStr">
        <is>
          <t>Tài chính / Đầu tư</t>
        </is>
      </c>
      <c r="K14925" t="inlineStr">
        <is>
          <t>Trên 1 Năm</t>
        </is>
      </c>
      <c r="L14925" s="8">
        <f>HYPERLINK("https://careerviet.vn/vi/tim-viec-lam/chuyen-vien-tai-chinh.35C6ADAE.html","Xem chi tiết")</f>
        <v/>
      </c>
    </row>
    <row r="14926">
      <c r="B14926" s="9" t="n">
        <v>14924</v>
      </c>
      <c r="C14926" s="10" t="inlineStr">
        <is>
          <t>Chuyên viên Thanh tra &amp; Kiểm soát dịch vụ</t>
        </is>
      </c>
      <c r="D14926" s="10" t="inlineStr">
        <is>
          <t>CÔNG TY CỔ PHẦN EUROWINDOW HOLDING</t>
        </is>
      </c>
      <c r="E14926" s="10" t="inlineStr">
        <is>
          <t>Lương:Cạnh tranh</t>
        </is>
      </c>
      <c r="F14926" s="10" t="inlineStr">
        <is>
          <t>Hà Nội</t>
        </is>
      </c>
      <c r="G14926" s="10" t="inlineStr">
        <is>
          <t>31-03-2026</t>
        </is>
      </c>
      <c r="H14926" s="10" t="inlineStr">
        <is>
          <t>31/03/2026</t>
        </is>
      </c>
      <c r="I14926" s="10" t="inlineStr">
        <is>
          <t>17/03/2026</t>
        </is>
      </c>
      <c r="J14926" s="10" t="inlineStr">
        <is>
          <t>Điện / Điện tử / Điện lạnh / Điện công nghiệp, Kế toán / Kiểm toán, Tài chính / Đầu tư</t>
        </is>
      </c>
      <c r="K14926" s="10" t="inlineStr">
        <is>
          <t>1 - 3 Năm</t>
        </is>
      </c>
      <c r="L14926" s="11">
        <f>HYPERLINK("https://careerviet.vn/vi/tim-viec-lam/chuyen-vien-thanh-tra-kiem-soat-dich-vu.35C6ACFC.html","Xem chi tiết")</f>
        <v/>
      </c>
      <c r="M14926" s="10" t="n"/>
    </row>
    <row r="14927">
      <c r="B14927" s="7" t="n">
        <v>14925</v>
      </c>
      <c r="C14927" t="inlineStr">
        <is>
          <t>Chuyên viên Quan hệ khách hàng AM (Khu vực Hải Phòng, Quảng Ninh, Hưng Yên)</t>
        </is>
      </c>
      <c r="D14927" t="inlineStr">
        <is>
          <t>Công Ty Cổ Phần Giải Pháp Thanh Toán Việt Nam (VNPAY)</t>
        </is>
      </c>
      <c r="E14927" t="inlineStr">
        <is>
          <t>Lương:Cạnh tranh</t>
        </is>
      </c>
      <c r="F14927" t="inlineStr">
        <is>
          <t>Hải PhòngQuảng NinhHưng Yên</t>
        </is>
      </c>
      <c r="G14927" t="inlineStr">
        <is>
          <t>31-03-2026</t>
        </is>
      </c>
      <c r="H14927" t="inlineStr">
        <is>
          <t>31/03/2026</t>
        </is>
      </c>
      <c r="I14927" t="inlineStr">
        <is>
          <t>17/03/2026</t>
        </is>
      </c>
      <c r="J14927" t="inlineStr">
        <is>
          <t>Bán hàng / Kinh doanh, CNTT - Phần mềm</t>
        </is>
      </c>
      <c r="K14927" t="inlineStr">
        <is>
          <t>Chưa có kinh nghiệm</t>
        </is>
      </c>
      <c r="L14927" s="8">
        <f>HYPERLINK("https://careerviet.vn/vi/tim-viec-lam/chuyen-vien-quan-he-khach-hang-am-khu-vuc-hai-phong-quang-ninh-hung-yen.35C6AB06.html","Xem chi tiết")</f>
        <v/>
      </c>
    </row>
    <row r="14928">
      <c r="B14928" s="9" t="n">
        <v>14926</v>
      </c>
      <c r="C14928" s="10" t="inlineStr">
        <is>
          <t>Chuyên viên Pháp lý kiêm Hành chính (Legal cum Admin Executive)</t>
        </is>
      </c>
      <c r="D14928" s="10" t="inlineStr">
        <is>
          <t>CÔNG TY TNHH IC&amp;PARTNERS VIỆT NAM</t>
        </is>
      </c>
      <c r="E14928" s="10" t="inlineStr">
        <is>
          <t>Lương:Cạnh tranh</t>
        </is>
      </c>
      <c r="F14928" s="10" t="inlineStr">
        <is>
          <t>Hà Nội</t>
        </is>
      </c>
      <c r="G14928" s="10" t="inlineStr">
        <is>
          <t>04-04-2026</t>
        </is>
      </c>
      <c r="H14928" s="10" t="inlineStr">
        <is>
          <t>04/04/2026</t>
        </is>
      </c>
      <c r="I14928" s="10" t="inlineStr">
        <is>
          <t>17/03/2026</t>
        </is>
      </c>
      <c r="J14928" s="10" t="inlineStr">
        <is>
          <t>Luật / Pháp lý, Hành chính / Thư ký, Nhân sự</t>
        </is>
      </c>
      <c r="K14928" s="10" t="inlineStr">
        <is>
          <t>Lên đến 5 Năm</t>
        </is>
      </c>
      <c r="L14928" s="11">
        <f>HYPERLINK("https://careerviet.vn/vi/tim-viec-lam/chuyen-vien-phap-ly-kiem-hanh-chinh-legal-cum-admin-executive.35C6AC43.html","Xem chi tiết")</f>
        <v/>
      </c>
      <c r="M14928" s="10" t="n"/>
    </row>
    <row r="14929">
      <c r="B14929" s="7" t="n">
        <v>14927</v>
      </c>
      <c r="C14929" t="inlineStr">
        <is>
          <t>NHÂN VIÊN KINH DOANH THỊ TRƯỜNG</t>
        </is>
      </c>
      <c r="D14929" t="inlineStr">
        <is>
          <t>Công ty TNHH SX TM ĐT Nhôm AN LẬP PHÁT</t>
        </is>
      </c>
      <c r="E14929" t="inlineStr">
        <is>
          <t>Lương:8 Tr - 12 Tr VND</t>
        </is>
      </c>
      <c r="F14929" t="inlineStr">
        <is>
          <t>Tiền GiangBến TreVĩnh Long</t>
        </is>
      </c>
      <c r="G14929" t="inlineStr">
        <is>
          <t>03-04-2026</t>
        </is>
      </c>
      <c r="H14929" t="inlineStr">
        <is>
          <t>03/04/2026</t>
        </is>
      </c>
      <c r="I14929" t="inlineStr">
        <is>
          <t>17/03/2026</t>
        </is>
      </c>
      <c r="J14929" t="inlineStr">
        <is>
          <t>Bán hàng / Kinh doanh, Sản xuất / Vận hành sản xuất, Xây dựng</t>
        </is>
      </c>
      <c r="K14929" t="inlineStr">
        <is>
          <t>2 - 3 Năm</t>
        </is>
      </c>
      <c r="L14929" s="8">
        <f>HYPERLINK("https://careerviet.vn/vi/tim-viec-lam/nhan-vien-kinh-doanh-thi-truong.35C6AD06.html","Xem chi tiết")</f>
        <v/>
      </c>
    </row>
    <row r="14930">
      <c r="B14930" s="9" t="n">
        <v>14928</v>
      </c>
      <c r="C14930" s="10" t="inlineStr">
        <is>
          <t>Cán Bộ Giám Sát Thi Công Xây Dựng</t>
        </is>
      </c>
      <c r="D14930" s="10" t="inlineStr">
        <is>
          <t>BỆNH VIỆN ĐA KHOA PHƯƠNG ĐÔNG</t>
        </is>
      </c>
      <c r="E14930" s="10" t="inlineStr">
        <is>
          <t>Lương:Cạnh tranh</t>
        </is>
      </c>
      <c r="F14930" s="10" t="inlineStr">
        <is>
          <t>Hà Nội</t>
        </is>
      </c>
      <c r="G14930" s="10" t="inlineStr">
        <is>
          <t>04-04-2026</t>
        </is>
      </c>
      <c r="H14930" s="10" t="inlineStr">
        <is>
          <t>04/04/2026</t>
        </is>
      </c>
      <c r="I14930" s="10" t="inlineStr">
        <is>
          <t>17/03/2026</t>
        </is>
      </c>
      <c r="J14930" s="10" t="inlineStr">
        <is>
          <t>Kiến trúc, Xây dựng, Bất động sản</t>
        </is>
      </c>
      <c r="K14930" s="10" t="inlineStr">
        <is>
          <t>2 - 5 Năm</t>
        </is>
      </c>
      <c r="L14930" s="11">
        <f>HYPERLINK("https://careerviet.vn/vi/tim-viec-lam/can-bo-giam-sat-thi-cong-xay-dung.35C6AD9E.html","Xem chi tiết")</f>
        <v/>
      </c>
      <c r="M14930" s="10" t="n"/>
    </row>
    <row r="14931">
      <c r="B14931" s="7" t="n">
        <v>14929</v>
      </c>
      <c r="C14931" t="inlineStr">
        <is>
          <t>Field Sales Manager / Freight Forwarding Industry</t>
        </is>
      </c>
      <c r="D14931" t="inlineStr">
        <is>
          <t>CÔNG TY TNHH LESCHACO VIỆT NAM</t>
        </is>
      </c>
      <c r="E14931" t="inlineStr">
        <is>
          <t>Lương:Cạnh tranh</t>
        </is>
      </c>
      <c r="F14931" t="inlineStr">
        <is>
          <t>Hồ Chí MinhHà Nội</t>
        </is>
      </c>
      <c r="G14931" t="inlineStr">
        <is>
          <t>31-03-2026</t>
        </is>
      </c>
      <c r="H14931" t="inlineStr">
        <is>
          <t>31/03/2026</t>
        </is>
      </c>
      <c r="I14931" t="inlineStr">
        <is>
          <t>17/03/2026</t>
        </is>
      </c>
      <c r="J14931" t="inlineStr">
        <is>
          <t>Vận chuyển / Giao nhận / Kho vận, Xuất nhập khẩu</t>
        </is>
      </c>
      <c r="K14931" t="inlineStr">
        <is>
          <t>3 - 5 Năm</t>
        </is>
      </c>
      <c r="L14931" s="8">
        <f>HYPERLINK("https://careerviet.vn/vi/tim-viec-lam/field-sales-manager-freight-forwarding-industry.35C6ADB0.html","Xem chi tiết")</f>
        <v/>
      </c>
    </row>
    <row r="14932">
      <c r="B14932" s="9" t="n">
        <v>14930</v>
      </c>
      <c r="C14932" s="10" t="inlineStr">
        <is>
          <t>Trưởng Nhóm Tuyển Sinh (Ocean Edu Vĩnh Tường)</t>
        </is>
      </c>
      <c r="D14932" s="10" t="inlineStr">
        <is>
          <t>Công Ty CP Giáo Dục Đại Dương</t>
        </is>
      </c>
      <c r="E14932" s="10" t="inlineStr">
        <is>
          <t>Lương:Cạnh tranh</t>
        </is>
      </c>
      <c r="F14932" s="10" t="inlineStr">
        <is>
          <t>Vĩnh Phúc</t>
        </is>
      </c>
      <c r="G14932" s="10" t="inlineStr">
        <is>
          <t>03-04-2026</t>
        </is>
      </c>
      <c r="H14932" s="10" t="inlineStr">
        <is>
          <t>03/04/2026</t>
        </is>
      </c>
      <c r="I14932" s="10" t="inlineStr">
        <is>
          <t>17/03/2026</t>
        </is>
      </c>
      <c r="J14932" s="10" t="inlineStr">
        <is>
          <t>Tư vấn, Dịch vụ khách hàng, Giáo dục / Đào tạo</t>
        </is>
      </c>
      <c r="K14932" s="10" t="inlineStr">
        <is>
          <t>1 - 2 Năm</t>
        </is>
      </c>
      <c r="L14932" s="11">
        <f>HYPERLINK("https://careerviet.vn/vi/tim-viec-lam/truong-nhom-tuyen-sinh-ocean-edu-vinh-tuong.35C6AB66.html","Xem chi tiết")</f>
        <v/>
      </c>
      <c r="M14932" s="10" t="n"/>
    </row>
    <row r="14933">
      <c r="B14933" s="7" t="n">
        <v>14931</v>
      </c>
      <c r="C14933" t="inlineStr">
        <is>
          <t>Kiểm soát viên Phòng Giám định bồi thường Tài sản kỹ thuật làm việc tại Hà Nội - Khối Giám định bồi thường</t>
        </is>
      </c>
      <c r="D14933" t="inlineStr">
        <is>
          <t>Tổng Công ty Cổ phần Bảo hiểm Quân đội (MIC)</t>
        </is>
      </c>
      <c r="E14933" t="inlineStr">
        <is>
          <t>Lương:Cạnh tranh</t>
        </is>
      </c>
      <c r="F14933" t="inlineStr">
        <is>
          <t>Hà Nội</t>
        </is>
      </c>
      <c r="G14933" t="inlineStr">
        <is>
          <t>03-04-2026</t>
        </is>
      </c>
      <c r="H14933" t="inlineStr">
        <is>
          <t>03/04/2026</t>
        </is>
      </c>
      <c r="I14933" t="inlineStr">
        <is>
          <t>17/03/2026</t>
        </is>
      </c>
      <c r="J14933" t="inlineStr">
        <is>
          <t>Bảo hiểm</t>
        </is>
      </c>
      <c r="K14933" t="inlineStr">
        <is>
          <t>3 - 10 Năm</t>
        </is>
      </c>
      <c r="L14933" s="8">
        <f>HYPERLINK("https://careerviet.vn/vi/tim-viec-lam/kiem-soat-vien-phong-giam-dinh-boi-thuong-tai-san-ky-thuat-lam-viec-tai-ha-noi-khoi-giam-dinh-boi-thuong.35C6AD9A.html","Xem chi tiết")</f>
        <v/>
      </c>
    </row>
    <row r="14934">
      <c r="B14934" s="9" t="n">
        <v>14932</v>
      </c>
      <c r="C14934" s="10" t="inlineStr">
        <is>
          <t>Chăm Sóc Khách Hàng ( Sàn TMĐT)</t>
        </is>
      </c>
      <c r="D14934" s="10" t="inlineStr">
        <is>
          <t>HỆ THỐNG KÍNH MẮT ANNA</t>
        </is>
      </c>
      <c r="E14934" s="10" t="inlineStr">
        <is>
          <t>Lương:9 Tr - 12 Tr VND</t>
        </is>
      </c>
      <c r="F14934" s="10" t="inlineStr">
        <is>
          <t>Hà Nội</t>
        </is>
      </c>
      <c r="G14934" s="10" t="inlineStr">
        <is>
          <t>04-04-2026</t>
        </is>
      </c>
      <c r="H14934" s="10" t="inlineStr">
        <is>
          <t>04/04/2026</t>
        </is>
      </c>
      <c r="I14934" s="10" t="inlineStr">
        <is>
          <t>17/03/2026</t>
        </is>
      </c>
      <c r="J14934" s="10" t="inlineStr">
        <is>
          <t>Dịch vụ khách hàng</t>
        </is>
      </c>
      <c r="K14934" s="10" t="inlineStr">
        <is>
          <t>Trên 1 Năm</t>
        </is>
      </c>
      <c r="L14934" s="11">
        <f>HYPERLINK("https://careerviet.vn/vi/tim-viec-lam/cham-soc-khach-hang-san-tmdt.35C6AD1A.html","Xem chi tiết")</f>
        <v/>
      </c>
      <c r="M14934" s="10" t="n"/>
    </row>
    <row r="14935">
      <c r="B14935" s="7" t="n">
        <v>14933</v>
      </c>
      <c r="C14935" t="inlineStr">
        <is>
          <t>Chuyên viên Nhập khẩu (Tiếng trung)</t>
        </is>
      </c>
      <c r="D14935" t="inlineStr">
        <is>
          <t>CÔNG TY CỔ PHẦN CÔNG NGHỆ SOTATEK VIỆT NAM</t>
        </is>
      </c>
      <c r="E14935" t="inlineStr">
        <is>
          <t>Lương:Cạnh tranh</t>
        </is>
      </c>
      <c r="F14935" t="inlineStr">
        <is>
          <t>Ninh Thuận</t>
        </is>
      </c>
      <c r="G14935" t="inlineStr">
        <is>
          <t>31-03-2026</t>
        </is>
      </c>
      <c r="H14935" t="inlineStr">
        <is>
          <t>31/03/2026</t>
        </is>
      </c>
      <c r="I14935" t="inlineStr">
        <is>
          <t>17/03/2026</t>
        </is>
      </c>
      <c r="J14935" t="inlineStr">
        <is>
          <t>Xuất nhập khẩu, Sản xuất / Vận hành sản xuất, Thu mua / Vật tư</t>
        </is>
      </c>
      <c r="K14935" t="inlineStr">
        <is>
          <t>Trên 2 Năm</t>
        </is>
      </c>
      <c r="L14935" s="8">
        <f>HYPERLINK("https://careerviet.vn/vi/tim-viec-lam/chuyen-vien-nhap-khau-tieng-trung.35C6AD6F.html","Xem chi tiết")</f>
        <v/>
      </c>
    </row>
    <row r="14936">
      <c r="B14936" s="9" t="n">
        <v>14934</v>
      </c>
      <c r="C14936" s="10" t="inlineStr">
        <is>
          <t>Nhân Viên Chứng Từ Dịch Vụ Hải Quan</t>
        </is>
      </c>
      <c r="D14936" s="10" t="inlineStr">
        <is>
          <t>Indo Trans Logistics</t>
        </is>
      </c>
      <c r="E14936" s="10" t="inlineStr">
        <is>
          <t>Lương:Cạnh tranh</t>
        </is>
      </c>
      <c r="F14936" s="10" t="inlineStr">
        <is>
          <t>Hồ Chí Minh</t>
        </is>
      </c>
      <c r="G14936" s="10" t="inlineStr">
        <is>
          <t>03-04-2026</t>
        </is>
      </c>
      <c r="H14936" s="10" t="inlineStr">
        <is>
          <t>03/04/2026</t>
        </is>
      </c>
      <c r="I14936" s="10" t="inlineStr">
        <is>
          <t>17/03/2026</t>
        </is>
      </c>
      <c r="J14936" s="10" t="inlineStr">
        <is>
          <t>Vận chuyển / Giao nhận / Kho vận</t>
        </is>
      </c>
      <c r="K14936" s="10" t="inlineStr">
        <is>
          <t>Trên 1 Năm</t>
        </is>
      </c>
      <c r="L14936" s="11">
        <f>HYPERLINK("https://careerviet.vn/vi/tim-viec-lam/nhan-vien-chung-tu-dich-vu-hai-quan.35C6AD92.html","Xem chi tiết")</f>
        <v/>
      </c>
      <c r="M14936" s="10" t="n"/>
    </row>
    <row r="14937">
      <c r="B14937" s="7" t="n">
        <v>14935</v>
      </c>
      <c r="C14937" t="inlineStr">
        <is>
          <t>Giám sát thi công</t>
        </is>
      </c>
      <c r="D14937" t="inlineStr">
        <is>
          <t>Cty TNHH Quảng Cáo &amp; Truyền Thông Trí Việt</t>
        </is>
      </c>
      <c r="E14937" t="inlineStr">
        <is>
          <t>Lương:12 Tr - 15 Tr VND</t>
        </is>
      </c>
      <c r="F14937" t="inlineStr">
        <is>
          <t>Hà Nội</t>
        </is>
      </c>
      <c r="G14937" t="inlineStr">
        <is>
          <t>03-04-2026</t>
        </is>
      </c>
      <c r="H14937" t="inlineStr">
        <is>
          <t>03/04/2026</t>
        </is>
      </c>
      <c r="I14937" t="inlineStr">
        <is>
          <t>17/03/2026</t>
        </is>
      </c>
      <c r="J14937" t="inlineStr">
        <is>
          <t>Quảng cáo / Đối ngoại / Truyền Thông, Xây dựng, Ngành khác</t>
        </is>
      </c>
      <c r="K14937" t="inlineStr">
        <is>
          <t>Trên 1 Năm</t>
        </is>
      </c>
      <c r="L14937" s="8">
        <f>HYPERLINK("https://careerviet.vn/vi/tim-viec-lam/giam-sat-thi-cong.35C6AD6C.html","Xem chi tiết")</f>
        <v/>
      </c>
    </row>
    <row r="14938">
      <c r="B14938" s="9" t="n">
        <v>14936</v>
      </c>
      <c r="C14938" s="10" t="inlineStr">
        <is>
          <t>Chuyên viên hỗ trợ đa kênh trực tiếp</t>
        </is>
      </c>
      <c r="D14938" s="10" t="inlineStr">
        <is>
          <t>Ngân Hàng TMCP Sài Gòn - Hà Nội ( SHB )</t>
        </is>
      </c>
      <c r="E14938" s="10" t="inlineStr">
        <is>
          <t>Lương:Cạnh tranh</t>
        </is>
      </c>
      <c r="F14938" s="10" t="inlineStr">
        <is>
          <t>Hà Nội</t>
        </is>
      </c>
      <c r="G14938" s="10" t="inlineStr">
        <is>
          <t>03-04-2026</t>
        </is>
      </c>
      <c r="H14938" s="10" t="inlineStr">
        <is>
          <t>03/04/2026</t>
        </is>
      </c>
      <c r="I14938" s="10" t="inlineStr">
        <is>
          <t>17/03/2026</t>
        </is>
      </c>
      <c r="J14938" s="10" t="inlineStr">
        <is>
          <t>Ngân hàng</t>
        </is>
      </c>
      <c r="K14938" s="10" t="inlineStr">
        <is>
          <t>Trên 1 Năm</t>
        </is>
      </c>
      <c r="L14938" s="11">
        <f>HYPERLINK("https://careerviet.vn/vi/tim-viec-lam/chuyen-vien-ho-tro-da-kenh-truc-tiep.35C6AD8B.html","Xem chi tiết")</f>
        <v/>
      </c>
      <c r="M14938" s="10" t="n"/>
    </row>
    <row r="14939">
      <c r="B14939" s="7" t="n">
        <v>14937</v>
      </c>
      <c r="C14939" t="inlineStr">
        <is>
          <t>THIẾT KẾ PCCC</t>
        </is>
      </c>
      <c r="D14939" t="inlineStr">
        <is>
          <t>Công ty Cổ phần Thương mại và Đầu tư Hà Thành</t>
        </is>
      </c>
      <c r="E14939" t="inlineStr">
        <is>
          <t>Lương:15 Tr - 25 Tr VND</t>
        </is>
      </c>
      <c r="F14939" t="inlineStr">
        <is>
          <t>Hà Nội</t>
        </is>
      </c>
      <c r="G14939" t="inlineStr">
        <is>
          <t>30-04-2026</t>
        </is>
      </c>
      <c r="H14939" t="inlineStr">
        <is>
          <t>30/04/2026</t>
        </is>
      </c>
      <c r="I14939" t="inlineStr">
        <is>
          <t>17/03/2026</t>
        </is>
      </c>
      <c r="J14939" t="inlineStr">
        <is>
          <t>Điện / Điện tử / Điện lạnh / Điện công nghiệp, Xây dựng, Mỹ thuật / Nghệ thuật / Thiết kế</t>
        </is>
      </c>
      <c r="K14939" t="inlineStr">
        <is>
          <t>1 - 3 Năm</t>
        </is>
      </c>
      <c r="L14939" s="8">
        <f>HYPERLINK("https://careerviet.vn/vi/tim-viec-lam/thiet-ke-pccc.35C6AD94.html","Xem chi tiết")</f>
        <v/>
      </c>
    </row>
    <row r="14940">
      <c r="B14940" s="9" t="n">
        <v>14938</v>
      </c>
      <c r="C14940" s="10" t="inlineStr">
        <is>
          <t>Customer Service Executive (Logistics/Forward)_Có 1 năm kinh nghiệm</t>
        </is>
      </c>
      <c r="D14940" s="10" t="inlineStr">
        <is>
          <t>SEAHORSE SHIPPING CORPORATION</t>
        </is>
      </c>
      <c r="E14940" s="10" t="inlineStr">
        <is>
          <t>Lương:Cạnh tranh</t>
        </is>
      </c>
      <c r="F14940" s="10" t="inlineStr">
        <is>
          <t>Hồ Chí Minh</t>
        </is>
      </c>
      <c r="G14940" s="10" t="inlineStr">
        <is>
          <t>05-04-2026</t>
        </is>
      </c>
      <c r="H14940" s="10" t="inlineStr">
        <is>
          <t>05/04/2026</t>
        </is>
      </c>
      <c r="I14940" s="10" t="inlineStr">
        <is>
          <t>17/03/2026</t>
        </is>
      </c>
      <c r="J14940" s="10" t="inlineStr">
        <is>
          <t>Vận chuyển / Giao nhận / Kho vận, Hàng hải, Xuất nhập khẩu</t>
        </is>
      </c>
      <c r="K14940" s="10" t="inlineStr">
        <is>
          <t>N/A</t>
        </is>
      </c>
      <c r="L14940" s="11">
        <f>HYPERLINK("https://careerviet.vn/vi/tim-viec-lam/customer-service-executive-logistics-forward-_co-1-nam-kinh-nghiem.35C6AD43.html","Xem chi tiết")</f>
        <v/>
      </c>
      <c r="M14940" s="10" t="n"/>
    </row>
    <row r="14941">
      <c r="B14941" s="7" t="n">
        <v>14939</v>
      </c>
      <c r="C14941" t="inlineStr">
        <is>
          <t>Trưởng nhóm Tuyển dụng</t>
        </is>
      </c>
      <c r="D14941" t="inlineStr">
        <is>
          <t>Công ty TNHH PHD</t>
        </is>
      </c>
      <c r="E14941" t="inlineStr">
        <is>
          <t>Lương:18 Tr - 25 Tr VND</t>
        </is>
      </c>
      <c r="F14941" t="inlineStr">
        <is>
          <t>Hà Nội</t>
        </is>
      </c>
      <c r="G14941" t="inlineStr">
        <is>
          <t>31-03-2026</t>
        </is>
      </c>
      <c r="H14941" t="inlineStr">
        <is>
          <t>31/03/2026</t>
        </is>
      </c>
      <c r="I14941" t="inlineStr">
        <is>
          <t>17/03/2026</t>
        </is>
      </c>
      <c r="J14941" t="inlineStr">
        <is>
          <t>Nhân sự, Bán lẻ / Bán sỉ, Bán hàng / Kinh doanh</t>
        </is>
      </c>
      <c r="K14941" t="inlineStr">
        <is>
          <t>2 - 3 Năm</t>
        </is>
      </c>
      <c r="L14941" s="8">
        <f>HYPERLINK("https://careerviet.vn/vi/tim-viec-lam/truong-nhom-tuyen-dung.35C6AD31.html","Xem chi tiết")</f>
        <v/>
      </c>
    </row>
    <row r="14942">
      <c r="B14942" s="9" t="n">
        <v>14940</v>
      </c>
      <c r="C14942" s="10" t="inlineStr">
        <is>
          <t>Chuyên Viên Quản Trị</t>
        </is>
      </c>
      <c r="D14942" s="10" t="inlineStr">
        <is>
          <t>CÔNG TY CỔ PHẦN ĐẦU TƯ XÂY DỰNG TRUNG NAM  - TRUNGNAM</t>
        </is>
      </c>
      <c r="E14942" s="10" t="inlineStr">
        <is>
          <t>Lương:Cạnh tranh</t>
        </is>
      </c>
      <c r="F14942" s="10" t="inlineStr">
        <is>
          <t>Hồ Chí Minh</t>
        </is>
      </c>
      <c r="G14942" s="10" t="inlineStr">
        <is>
          <t>03-04-2026</t>
        </is>
      </c>
      <c r="H14942" s="10" t="inlineStr">
        <is>
          <t>03/04/2026</t>
        </is>
      </c>
      <c r="I14942" s="10" t="inlineStr">
        <is>
          <t>17/03/2026</t>
        </is>
      </c>
      <c r="J14942" s="10" t="inlineStr">
        <is>
          <t>Tài chính / Đầu tư, Kế toán / Kiểm toán, Luật / Pháp lý</t>
        </is>
      </c>
      <c r="K14942" s="10" t="inlineStr">
        <is>
          <t>Trên 3 Năm</t>
        </is>
      </c>
      <c r="L14942" s="11">
        <f>HYPERLINK("https://careerviet.vn/vi/tim-viec-lam/chuyen-vien-quan-tri.35C6AD68.html","Xem chi tiết")</f>
        <v/>
      </c>
      <c r="M14942" s="10" t="n"/>
    </row>
    <row r="14943">
      <c r="B14943" s="7" t="n">
        <v>14941</v>
      </c>
      <c r="C14943" t="inlineStr">
        <is>
          <t>Nhân Viên Admin Kiểm Soát Nội Bộ</t>
        </is>
      </c>
      <c r="D14943" t="inlineStr">
        <is>
          <t>Công ty TNHH Mayora Việt Nam</t>
        </is>
      </c>
      <c r="E14943" t="inlineStr">
        <is>
          <t>Lương:Cạnh tranh</t>
        </is>
      </c>
      <c r="F14943" t="inlineStr">
        <is>
          <t>Hồ Chí Minh</t>
        </is>
      </c>
      <c r="G14943" t="inlineStr">
        <is>
          <t>03-04-2026</t>
        </is>
      </c>
      <c r="H14943" t="inlineStr">
        <is>
          <t>03/04/2026</t>
        </is>
      </c>
      <c r="I14943" t="inlineStr">
        <is>
          <t>17/03/2026</t>
        </is>
      </c>
      <c r="J14943" t="inlineStr">
        <is>
          <t>Thực phẩm &amp; Đồ uống, Kế toán / Kiểm toán</t>
        </is>
      </c>
      <c r="K14943" t="inlineStr">
        <is>
          <t>1 - 2 Năm</t>
        </is>
      </c>
      <c r="L14943" s="8">
        <f>HYPERLINK("https://careerviet.vn/vi/tim-viec-lam/nhan-vien-admin-kiem-soat-noi-bo.35C6AC8D.html","Xem chi tiết")</f>
        <v/>
      </c>
    </row>
    <row r="14944">
      <c r="B14944" s="9" t="n">
        <v>14942</v>
      </c>
      <c r="C14944" s="10" t="inlineStr">
        <is>
          <t>Nhân viên Bảo Trì Điện</t>
        </is>
      </c>
      <c r="D14944" s="10" t="inlineStr">
        <is>
          <t>Công Ty TNHH Interflour Việt Nam</t>
        </is>
      </c>
      <c r="E14944" s="10" t="inlineStr">
        <is>
          <t>Lương:11 Tr - 15 Tr VND</t>
        </is>
      </c>
      <c r="F14944" s="10" t="inlineStr">
        <is>
          <t>Bà Rịa - Vũng Tàu</t>
        </is>
      </c>
      <c r="G14944" s="10" t="inlineStr">
        <is>
          <t>15-04-2026</t>
        </is>
      </c>
      <c r="H14944" s="10" t="inlineStr">
        <is>
          <t>15/04/2026</t>
        </is>
      </c>
      <c r="I14944" s="10" t="inlineStr">
        <is>
          <t>17/03/2026</t>
        </is>
      </c>
      <c r="J14944" s="10" t="inlineStr">
        <is>
          <t>Điện / Điện tử / Điện lạnh / Điện công nghiệp</t>
        </is>
      </c>
      <c r="K14944" s="10" t="inlineStr">
        <is>
          <t>2 - 3 Năm</t>
        </is>
      </c>
      <c r="L14944" s="11">
        <f>HYPERLINK("https://careerviet.vn/vi/tim-viec-lam/nhan-vien-bao-tri-dien.35C6ADC9.html","Xem chi tiết")</f>
        <v/>
      </c>
      <c r="M14944" s="10" t="n"/>
    </row>
    <row r="14945">
      <c r="B14945" s="7" t="n">
        <v>14943</v>
      </c>
      <c r="C14945" t="inlineStr">
        <is>
          <t>E-commerce Manager (Beverage Industry)</t>
        </is>
      </c>
      <c r="D14945" t="inlineStr">
        <is>
          <t>Công Ty Cổ Phần Goody Group</t>
        </is>
      </c>
      <c r="E14945" t="inlineStr">
        <is>
          <t>Lương:Cạnh tranh</t>
        </is>
      </c>
      <c r="F14945" t="inlineStr">
        <is>
          <t>Hồ Chí Minh</t>
        </is>
      </c>
      <c r="G14945" t="inlineStr">
        <is>
          <t>03-04-2026</t>
        </is>
      </c>
      <c r="H14945" t="inlineStr">
        <is>
          <t>03/04/2026</t>
        </is>
      </c>
      <c r="I14945" t="inlineStr">
        <is>
          <t>17/03/2026</t>
        </is>
      </c>
      <c r="J14945" t="inlineStr">
        <is>
          <t>Thương mại điện tử, Tiếp thị trực tuyến, Thực phẩm &amp; Đồ uống</t>
        </is>
      </c>
      <c r="K14945" t="inlineStr">
        <is>
          <t>2 - 6 Năm</t>
        </is>
      </c>
      <c r="L14945" s="8">
        <f>HYPERLINK("https://careerviet.vn/vi/tim-viec-lam/e-commerce-manager-beverage-industry.35C6AD8E.html","Xem chi tiết")</f>
        <v/>
      </c>
    </row>
    <row r="14946">
      <c r="B14946" s="9" t="n">
        <v>14944</v>
      </c>
      <c r="C14946" s="10" t="inlineStr">
        <is>
          <t>Trưởng nhóm Kế toán Thuế</t>
        </is>
      </c>
      <c r="D14946" s="10" t="inlineStr">
        <is>
          <t>Công ty TNHH PHD</t>
        </is>
      </c>
      <c r="E14946" s="10" t="inlineStr">
        <is>
          <t>Lương:20 Tr - 25 Tr VND</t>
        </is>
      </c>
      <c r="F14946" s="10" t="inlineStr">
        <is>
          <t>Hà Nội</t>
        </is>
      </c>
      <c r="G14946" s="10" t="inlineStr">
        <is>
          <t>04-04-2026</t>
        </is>
      </c>
      <c r="H14946" s="10" t="inlineStr">
        <is>
          <t>04/04/2026</t>
        </is>
      </c>
      <c r="I14946" s="10" t="inlineStr">
        <is>
          <t>17/03/2026</t>
        </is>
      </c>
      <c r="J14946" s="10" t="inlineStr">
        <is>
          <t>Kế toán / Kiểm toán</t>
        </is>
      </c>
      <c r="K14946" s="10" t="inlineStr">
        <is>
          <t>2 - 3 Năm</t>
        </is>
      </c>
      <c r="L14946" s="11">
        <f>HYPERLINK("https://careerviet.vn/vi/tim-viec-lam/truong-nhom-ke-toan-thue.35C6AD79.html","Xem chi tiết")</f>
        <v/>
      </c>
      <c r="M14946" s="10" t="n"/>
    </row>
    <row r="14947">
      <c r="B14947" s="7" t="n">
        <v>14945</v>
      </c>
      <c r="C14947" t="inlineStr">
        <is>
          <t>KẾ TOÁN DOANH THU - HÓA ĐƠN</t>
        </is>
      </c>
      <c r="D14947" t="inlineStr">
        <is>
          <t>Công Ty Cổ Phần Đầu Tư Nam Long</t>
        </is>
      </c>
      <c r="E14947" t="inlineStr">
        <is>
          <t>Lương:Cạnh tranh</t>
        </is>
      </c>
      <c r="F14947" t="inlineStr">
        <is>
          <t>Hồ Chí Minh</t>
        </is>
      </c>
      <c r="G14947" t="inlineStr">
        <is>
          <t>30-04-2026</t>
        </is>
      </c>
      <c r="H14947" t="inlineStr">
        <is>
          <t>30/04/2026</t>
        </is>
      </c>
      <c r="I14947" t="inlineStr">
        <is>
          <t>17/03/2026</t>
        </is>
      </c>
      <c r="J14947" t="inlineStr">
        <is>
          <t>Kế toán / Kiểm toán</t>
        </is>
      </c>
      <c r="K14947" t="inlineStr">
        <is>
          <t>2 - 3 Năm</t>
        </is>
      </c>
      <c r="L14947" s="8">
        <f>HYPERLINK("https://careerviet.vn/vi/tim-viec-lam/ke-toan-doanh-thu-hoa-don.35C6AD0B.html","Xem chi tiết")</f>
        <v/>
      </c>
    </row>
    <row r="14948">
      <c r="B14948" s="9" t="n">
        <v>14946</v>
      </c>
      <c r="C14948" s="10" t="inlineStr">
        <is>
          <t>Kế toán chi phí</t>
        </is>
      </c>
      <c r="D14948" s="10" t="inlineStr">
        <is>
          <t>Công ty TNHH PHD</t>
        </is>
      </c>
      <c r="E14948" s="10" t="inlineStr">
        <is>
          <t>Lương:10 Tr - 12 Tr VND</t>
        </is>
      </c>
      <c r="F14948" s="10" t="inlineStr">
        <is>
          <t>Hà Nội</t>
        </is>
      </c>
      <c r="G14948" s="10" t="inlineStr">
        <is>
          <t>04-04-2026</t>
        </is>
      </c>
      <c r="H14948" s="10" t="inlineStr">
        <is>
          <t>04/04/2026</t>
        </is>
      </c>
      <c r="I14948" s="10" t="inlineStr">
        <is>
          <t>17/03/2026</t>
        </is>
      </c>
      <c r="J14948" s="10" t="inlineStr">
        <is>
          <t>Kế toán / Kiểm toán</t>
        </is>
      </c>
      <c r="K14948" s="10" t="inlineStr">
        <is>
          <t>1 - 2 Năm</t>
        </is>
      </c>
      <c r="L14948" s="11">
        <f>HYPERLINK("https://careerviet.vn/vi/tim-viec-lam/ke-toan-chi-phi.35C6AD74.html","Xem chi tiết")</f>
        <v/>
      </c>
      <c r="M14948" s="10" t="n"/>
    </row>
    <row r="14949">
      <c r="B14949" s="7" t="n">
        <v>14947</v>
      </c>
      <c r="C14949" t="inlineStr">
        <is>
          <t>Chuyên Viên Pháp Lý (HĐ 6-8 tháng)</t>
        </is>
      </c>
      <c r="D14949" t="inlineStr">
        <is>
          <t>CÔNG TY CỔ PHẦN MATSUMOTO KIYOSHI VIỆT NAM</t>
        </is>
      </c>
      <c r="E14949" t="inlineStr">
        <is>
          <t>Lương:Cạnh tranh</t>
        </is>
      </c>
      <c r="F14949" t="inlineStr">
        <is>
          <t>Hồ Chí Minh</t>
        </is>
      </c>
      <c r="G14949" t="inlineStr">
        <is>
          <t>04-04-2026</t>
        </is>
      </c>
      <c r="H14949" t="inlineStr">
        <is>
          <t>04/04/2026</t>
        </is>
      </c>
      <c r="I14949" t="inlineStr">
        <is>
          <t>17/03/2026</t>
        </is>
      </c>
      <c r="J14949" t="inlineStr">
        <is>
          <t>Bán lẻ / Bán sỉ, Luật / Pháp lý, Dược phẩm/ Hóa Mỹ Phẩm</t>
        </is>
      </c>
      <c r="K14949" t="inlineStr">
        <is>
          <t>3 - 5 Năm</t>
        </is>
      </c>
      <c r="L14949" s="8">
        <f>HYPERLINK("https://careerviet.vn/vi/tim-viec-lam/chuyen-vien-phap-ly-hd-6-8-thang.35C6AC31.html","Xem chi tiết")</f>
        <v/>
      </c>
    </row>
    <row r="14950">
      <c r="B14950" s="9" t="n">
        <v>14948</v>
      </c>
      <c r="C14950" s="10" t="inlineStr">
        <is>
          <t>Giám đốc/Chuyên viên Quan hệ khách hàng Cá nhân - BVBank Pleiku - KV Tây Nguyên</t>
        </is>
      </c>
      <c r="D14950" s="10" t="inlineStr">
        <is>
          <t>BVBank - Ngân hàng Bản Việt</t>
        </is>
      </c>
      <c r="E14950" s="10" t="inlineStr">
        <is>
          <t>Lương:Cạnh tranh</t>
        </is>
      </c>
      <c r="F14950" s="10" t="inlineStr">
        <is>
          <t>Gia Lai</t>
        </is>
      </c>
      <c r="G14950" s="10" t="inlineStr">
        <is>
          <t>03-04-2026</t>
        </is>
      </c>
      <c r="H14950" s="10" t="inlineStr">
        <is>
          <t>03/04/2026</t>
        </is>
      </c>
      <c r="I14950" s="10" t="inlineStr">
        <is>
          <t>17/03/2026</t>
        </is>
      </c>
      <c r="J14950" s="10" t="inlineStr">
        <is>
          <t>Ngân hàng, Tài chính / Đầu tư</t>
        </is>
      </c>
      <c r="K14950" s="10" t="inlineStr">
        <is>
          <t>1 - 2 Năm</t>
        </is>
      </c>
      <c r="L14950" s="11">
        <f>HYPERLINK("https://careerviet.vn/vi/tim-viec-lam/giam-doc-chuyen-vien-quan-he-khach-hang-ca-nhan-bvbank-pleiku-kv-tay-nguyen.35C6AD23.html","Xem chi tiết")</f>
        <v/>
      </c>
      <c r="M14950" s="10" t="n"/>
    </row>
    <row r="14951">
      <c r="B14951" s="7" t="n">
        <v>14949</v>
      </c>
      <c r="C14951" t="inlineStr">
        <is>
          <t>Business Development</t>
        </is>
      </c>
      <c r="D14951" t="inlineStr">
        <is>
          <t>Công ty TNHH Viettel - CHT</t>
        </is>
      </c>
      <c r="E14951" t="inlineStr">
        <is>
          <t>Lương:Cạnh tranh</t>
        </is>
      </c>
      <c r="F14951" t="inlineStr">
        <is>
          <t>Hà Nội</t>
        </is>
      </c>
      <c r="G14951" t="inlineStr">
        <is>
          <t>27-03-2026</t>
        </is>
      </c>
      <c r="H14951" t="inlineStr">
        <is>
          <t>27/03/2026</t>
        </is>
      </c>
      <c r="I14951" t="inlineStr">
        <is>
          <t>17/03/2026</t>
        </is>
      </c>
      <c r="J14951" t="inlineStr">
        <is>
          <t>CNTT - Phần mềm, Bán hàng / Kinh doanh, CNTT - Phần cứng / Mạng</t>
        </is>
      </c>
      <c r="K14951" t="inlineStr">
        <is>
          <t>Trên 2 Năm</t>
        </is>
      </c>
      <c r="L14951" s="8">
        <f>HYPERLINK("https://careerviet.vn/vi/tim-viec-lam/business-development.35C6953E.html","Xem chi tiết")</f>
        <v/>
      </c>
    </row>
    <row r="14952">
      <c r="B14952" s="9" t="n">
        <v>14950</v>
      </c>
      <c r="C14952" s="10" t="inlineStr">
        <is>
          <t>[Đồng Nai - Bà Rịa Vũng Tàu - Bình Dương] Giám sát bán hàng ngành sơn</t>
        </is>
      </c>
      <c r="D14952" s="10" t="inlineStr">
        <is>
          <t>Tập Đoàn Tân Á Đại Thành</t>
        </is>
      </c>
      <c r="E14952" s="10" t="inlineStr">
        <is>
          <t>Lương:20 Tr - 30 Tr VND</t>
        </is>
      </c>
      <c r="F14952" s="10" t="inlineStr">
        <is>
          <t>Bà Rịa - Vũng TàuBình DươngĐồng Nai</t>
        </is>
      </c>
      <c r="G14952" s="10" t="inlineStr">
        <is>
          <t>11-04-2026</t>
        </is>
      </c>
      <c r="H14952" s="10" t="inlineStr">
        <is>
          <t>11/04/2026</t>
        </is>
      </c>
      <c r="I14952" s="10" t="inlineStr">
        <is>
          <t>17/03/2026</t>
        </is>
      </c>
      <c r="J14952" s="10" t="inlineStr">
        <is>
          <t>Bán hàng / Kinh doanh</t>
        </is>
      </c>
      <c r="K14952" s="10" t="inlineStr">
        <is>
          <t>2 - 3 Năm</t>
        </is>
      </c>
      <c r="L14952" s="11">
        <f>HYPERLINK("https://careerviet.vn/vi/tim-viec-lam/dong-nai-ba-ria-vung-tau-binh-duong-giam-sat-ban-hang-nganh-son.35C6AD37.html","Xem chi tiết")</f>
        <v/>
      </c>
      <c r="M14952" s="10" t="n"/>
    </row>
    <row r="14953">
      <c r="B14953" s="7" t="n">
        <v>14951</v>
      </c>
      <c r="C14953" t="inlineStr">
        <is>
          <t>Trưởng Phòng Nhân Sự （Tuyển dụng-Đào tạo）</t>
        </is>
      </c>
      <c r="D14953" t="inlineStr">
        <is>
          <t>CÔNG TY TNHH RYDER INDUSTRIES VIỆT NAM</t>
        </is>
      </c>
      <c r="E14953" t="inlineStr">
        <is>
          <t>Lương:Cạnh tranh</t>
        </is>
      </c>
      <c r="F14953" t="inlineStr">
        <is>
          <t>Đồng Nai</t>
        </is>
      </c>
      <c r="G14953" t="inlineStr">
        <is>
          <t>26-03-2026</t>
        </is>
      </c>
      <c r="H14953" t="inlineStr">
        <is>
          <t>26/03/2026</t>
        </is>
      </c>
      <c r="I14953" t="inlineStr">
        <is>
          <t>17/03/2026</t>
        </is>
      </c>
      <c r="J14953" t="inlineStr">
        <is>
          <t>Hành chính / Thư ký, Nhân sự, Sản xuất / Vận hành sản xuất</t>
        </is>
      </c>
      <c r="K14953" t="inlineStr">
        <is>
          <t>N/A</t>
        </is>
      </c>
      <c r="L14953" s="8">
        <f>HYPERLINK("https://careerviet.vn/vi/tim-viec-lam/truong-phong-nhan-su-tuyen-dung-dao-tao.35C69744.html","Xem chi tiết")</f>
        <v/>
      </c>
    </row>
    <row r="14954">
      <c r="B14954" s="9" t="n">
        <v>14952</v>
      </c>
      <c r="C14954" s="10" t="inlineStr">
        <is>
          <t>Chuyên viên, Chuyên viên cao cấp Xử lý tranh chấp - Dispute Resolution Specialist, Senior Specialist - Khối Pháp chế và Tuân thủ (HO26.46)</t>
        </is>
      </c>
      <c r="D14954" s="10" t="inlineStr">
        <is>
          <t>Ngân Hàng TMCP Quân Đội</t>
        </is>
      </c>
      <c r="E14954" s="10" t="inlineStr">
        <is>
          <t>Lương:Cạnh tranh</t>
        </is>
      </c>
      <c r="F14954" s="10" t="inlineStr">
        <is>
          <t>Hà Nội</t>
        </is>
      </c>
      <c r="G14954" s="10" t="inlineStr">
        <is>
          <t>26-03-2026</t>
        </is>
      </c>
      <c r="H14954" s="10" t="inlineStr">
        <is>
          <t>26/03/2026</t>
        </is>
      </c>
      <c r="I14954" s="10" t="inlineStr">
        <is>
          <t>17/03/2026</t>
        </is>
      </c>
      <c r="J14954" s="10" t="inlineStr">
        <is>
          <t>Ngân hàng, Tài chính / Đầu tư, Luật / Pháp lý</t>
        </is>
      </c>
      <c r="K14954" s="10" t="inlineStr">
        <is>
          <t>Trên 3 Năm</t>
        </is>
      </c>
      <c r="L14954" s="11">
        <f>HYPERLINK("https://careerviet.vn/vi/tim-viec-lam/chuyen-vien-chuyen-vien-cao-cap-xu-ly-tranh-chap-dispute-resolution-specialist-senior-specialist-khoi-phap-che-va-tuan-thu-ho26-46.35C69898.html","Xem chi tiết")</f>
        <v/>
      </c>
      <c r="M14954" s="10" t="n"/>
    </row>
    <row r="14955">
      <c r="B14955" s="7" t="n">
        <v>14953</v>
      </c>
      <c r="C14955" t="inlineStr">
        <is>
          <t>ADMIN EXECUTIVE</t>
        </is>
      </c>
      <c r="D14955" t="inlineStr">
        <is>
          <t>Công ty Cổ phần S.I.M. VN</t>
        </is>
      </c>
      <c r="E14955" t="inlineStr">
        <is>
          <t>Lương:14 Tr - 17 Tr VND</t>
        </is>
      </c>
      <c r="F14955" t="inlineStr">
        <is>
          <t>Hồ Chí Minh</t>
        </is>
      </c>
      <c r="G14955" t="inlineStr">
        <is>
          <t>04-04-2026</t>
        </is>
      </c>
      <c r="H14955" t="inlineStr">
        <is>
          <t>04/04/2026</t>
        </is>
      </c>
      <c r="I14955" t="inlineStr">
        <is>
          <t>17/03/2026</t>
        </is>
      </c>
      <c r="J14955" t="inlineStr">
        <is>
          <t>Thực phẩm &amp; Đồ uống, Nhân sự, Hành chính / Thư ký</t>
        </is>
      </c>
      <c r="K14955" t="inlineStr">
        <is>
          <t>3 - 4 Năm</t>
        </is>
      </c>
      <c r="L14955" s="8">
        <f>HYPERLINK("https://careerviet.vn/vi/tim-viec-lam/admin-executive.35C6AD85.html","Xem chi tiết")</f>
        <v/>
      </c>
    </row>
    <row r="14956">
      <c r="B14956" s="9" t="n">
        <v>14954</v>
      </c>
      <c r="C14956" s="10" t="inlineStr">
        <is>
          <t>[HCM] SALES LEAD CORNER</t>
        </is>
      </c>
      <c r="D14956" s="10" t="inlineStr">
        <is>
          <t>Classic Fine Foods</t>
        </is>
      </c>
      <c r="E14956" s="10" t="inlineStr">
        <is>
          <t>Lương:Cạnh tranh</t>
        </is>
      </c>
      <c r="F14956" s="10" t="inlineStr">
        <is>
          <t>Hồ Chí Minh</t>
        </is>
      </c>
      <c r="G14956" s="10" t="inlineStr">
        <is>
          <t>27-03-2026</t>
        </is>
      </c>
      <c r="H14956" s="10" t="inlineStr">
        <is>
          <t>27/03/2026</t>
        </is>
      </c>
      <c r="I14956" s="10" t="inlineStr">
        <is>
          <t>17/03/2026</t>
        </is>
      </c>
      <c r="J14956" s="10" t="inlineStr">
        <is>
          <t>Thực phẩm &amp; Đồ uống, Bán lẻ / Bán sỉ, Bán hàng / Kinh doanh</t>
        </is>
      </c>
      <c r="K14956" s="10" t="inlineStr">
        <is>
          <t>1 - 2 Năm</t>
        </is>
      </c>
      <c r="L14956" s="11">
        <f>HYPERLINK("https://careerviet.vn/vi/tim-viec-lam/hcm-sales-lead-corner.35C69737.html","Xem chi tiết")</f>
        <v/>
      </c>
      <c r="M14956" s="10" t="n"/>
    </row>
    <row r="14957">
      <c r="B14957" s="7" t="n">
        <v>14955</v>
      </c>
      <c r="C14957" t="inlineStr">
        <is>
          <t>[Gia Định-HCM] Sales Admin B2B</t>
        </is>
      </c>
      <c r="D14957" t="inlineStr">
        <is>
          <t>CÔNG TY TNHH DAESANG VIỆT NAM</t>
        </is>
      </c>
      <c r="E14957" t="inlineStr">
        <is>
          <t>Lương:10 Tr - 15 Tr VND</t>
        </is>
      </c>
      <c r="F14957" t="inlineStr">
        <is>
          <t>Hồ Chí Minh</t>
        </is>
      </c>
      <c r="G14957" t="inlineStr">
        <is>
          <t>31-03-2026</t>
        </is>
      </c>
      <c r="H14957" t="inlineStr">
        <is>
          <t>31/03/2026</t>
        </is>
      </c>
      <c r="I14957" t="inlineStr">
        <is>
          <t>17/03/2026</t>
        </is>
      </c>
      <c r="J14957" t="inlineStr">
        <is>
          <t>Bán hàng / Kinh doanh, Kế toán / Kiểm toán</t>
        </is>
      </c>
      <c r="K14957" t="inlineStr">
        <is>
          <t>2 - 3 Năm</t>
        </is>
      </c>
      <c r="L14957" s="8">
        <f>HYPERLINK("https://careerviet.vn/vi/tim-viec-lam/gia-dinh-hcm-sales-admin-b2b.35C69550.html","Xem chi tiết")</f>
        <v/>
      </c>
    </row>
    <row r="14958">
      <c r="B14958" s="9" t="n">
        <v>14956</v>
      </c>
      <c r="C14958" s="10" t="inlineStr">
        <is>
          <t>Legal Officer - Quận 7</t>
        </is>
      </c>
      <c r="D14958" s="10" t="inlineStr">
        <is>
          <t>CÔNG TY TNHH POLYTEX FAR EASTERN (VIỆT NAM)</t>
        </is>
      </c>
      <c r="E14958" s="10" t="inlineStr">
        <is>
          <t>Lương:Cạnh tranh</t>
        </is>
      </c>
      <c r="F14958" s="10" t="inlineStr">
        <is>
          <t>Hồ Chí Minh</t>
        </is>
      </c>
      <c r="G14958" s="10" t="inlineStr">
        <is>
          <t>31-03-2026</t>
        </is>
      </c>
      <c r="H14958" s="10" t="inlineStr">
        <is>
          <t>31/03/2026</t>
        </is>
      </c>
      <c r="I14958" s="10" t="inlineStr">
        <is>
          <t>17/03/2026</t>
        </is>
      </c>
      <c r="J14958" s="10" t="inlineStr">
        <is>
          <t>Luật / Pháp lý</t>
        </is>
      </c>
      <c r="K14958" s="10" t="inlineStr">
        <is>
          <t>3 - 10 Năm</t>
        </is>
      </c>
      <c r="L14958" s="11">
        <f>HYPERLINK("https://careerviet.vn/vi/tim-viec-lam/legal-officer-quan-7.35C69859.html","Xem chi tiết")</f>
        <v/>
      </c>
      <c r="M14958" s="10" t="n"/>
    </row>
    <row r="14959">
      <c r="B14959" s="7" t="n">
        <v>14957</v>
      </c>
      <c r="C14959" t="inlineStr">
        <is>
          <t>Nhân viên Bảo trì Cơ khí</t>
        </is>
      </c>
      <c r="D14959" t="inlineStr">
        <is>
          <t>Công Ty TNHH Interflour Việt Nam</t>
        </is>
      </c>
      <c r="E14959" t="inlineStr">
        <is>
          <t>Lương:Cạnh tranh</t>
        </is>
      </c>
      <c r="F14959" t="inlineStr">
        <is>
          <t>Bà Rịa - Vũng Tàu</t>
        </is>
      </c>
      <c r="G14959" t="inlineStr">
        <is>
          <t>10-03-2026</t>
        </is>
      </c>
      <c r="H14959" t="inlineStr">
        <is>
          <t>15/03/2026</t>
        </is>
      </c>
      <c r="I14959" t="inlineStr">
        <is>
          <t>17/03/2026</t>
        </is>
      </c>
      <c r="J14959" t="inlineStr">
        <is>
          <t>Bảo trì / Sửa chữa</t>
        </is>
      </c>
      <c r="K14959" t="inlineStr">
        <is>
          <t>1 - 3 Năm</t>
        </is>
      </c>
      <c r="L14959" s="8">
        <f>HYPERLINK("https://careerviet.vn/vi/tim-viec-lam/nhan-vien-bao-tri-co-khi.35C6947D.html","Xem chi tiết")</f>
        <v/>
      </c>
    </row>
    <row r="14960">
      <c r="B14960" s="9" t="n">
        <v>14958</v>
      </c>
      <c r="C14960" s="10" t="inlineStr">
        <is>
          <t>Chuyên viên Quản lý Thiết kế - Phụ trách kết cấu</t>
        </is>
      </c>
      <c r="D14960" s="10" t="inlineStr">
        <is>
          <t>Công Ty Cổ Phần Tập Đoàn Sunshine</t>
        </is>
      </c>
      <c r="E14960" s="10" t="inlineStr">
        <is>
          <t>Lương:20 Tr - 35 Tr VND</t>
        </is>
      </c>
      <c r="F14960" s="10" t="inlineStr">
        <is>
          <t>Hồ Chí Minh</t>
        </is>
      </c>
      <c r="G14960" s="10" t="inlineStr">
        <is>
          <t>31-03-2026</t>
        </is>
      </c>
      <c r="H14960" s="10" t="inlineStr">
        <is>
          <t>31/03/2026</t>
        </is>
      </c>
      <c r="I14960" s="10" t="inlineStr">
        <is>
          <t>17/03/2026</t>
        </is>
      </c>
      <c r="J14960" s="10" t="inlineStr">
        <is>
          <t>Xây dựng, Kiến trúc</t>
        </is>
      </c>
      <c r="K14960" s="10" t="inlineStr">
        <is>
          <t>Trên 5 Năm</t>
        </is>
      </c>
      <c r="L14960" s="11">
        <f>HYPERLINK("https://careerviet.vn/vi/tim-viec-lam/chuyen-vien-quan-ly-thiet-ke-phu-trach-ket-cau.35C697FB.html","Xem chi tiết")</f>
        <v/>
      </c>
      <c r="M14960" s="10" t="n"/>
    </row>
    <row r="14961">
      <c r="B14961" s="7" t="n">
        <v>14959</v>
      </c>
      <c r="C14961" t="inlineStr">
        <is>
          <t>Nhân viên kho</t>
        </is>
      </c>
      <c r="D14961" t="inlineStr">
        <is>
          <t>CÔNG TY CỔ PHẦN Ô TÔ NHẬT THÀNH</t>
        </is>
      </c>
      <c r="E14961" t="inlineStr">
        <is>
          <t>Lương:Cạnh tranh</t>
        </is>
      </c>
      <c r="F14961" t="inlineStr">
        <is>
          <t>Hưng Yên</t>
        </is>
      </c>
      <c r="G14961" t="inlineStr">
        <is>
          <t>31-03-2026</t>
        </is>
      </c>
      <c r="H14961" t="inlineStr">
        <is>
          <t>31/03/2026</t>
        </is>
      </c>
      <c r="I14961" t="inlineStr">
        <is>
          <t>17/03/2026</t>
        </is>
      </c>
      <c r="J14961" t="inlineStr">
        <is>
          <t>Vận chuyển / Giao nhận / Kho vận, Lao động phổ thông</t>
        </is>
      </c>
      <c r="K14961" t="inlineStr">
        <is>
          <t>N/A</t>
        </is>
      </c>
      <c r="L14961" s="8">
        <f>HYPERLINK("https://careerviet.vn/vi/tim-viec-lam/nhan-vien-kho.35C69790.html","Xem chi tiết")</f>
        <v/>
      </c>
    </row>
    <row r="14962">
      <c r="B14962" s="9" t="n">
        <v>14960</v>
      </c>
      <c r="C14962" s="10" t="inlineStr">
        <is>
          <t>Chuyên Viên Pháp Chế (MảngTuânThủ)</t>
        </is>
      </c>
      <c r="D14962" s="10" t="inlineStr">
        <is>
          <t>Công Ty Cổ Phần TEECOM</t>
        </is>
      </c>
      <c r="E14962" s="10" t="inlineStr">
        <is>
          <t>Lương:Cạnh tranh</t>
        </is>
      </c>
      <c r="F14962" s="10" t="inlineStr">
        <is>
          <t>Hồ Chí Minh</t>
        </is>
      </c>
      <c r="G14962" s="10" t="inlineStr">
        <is>
          <t>31-03-2026</t>
        </is>
      </c>
      <c r="H14962" s="10" t="inlineStr">
        <is>
          <t>31/03/2026</t>
        </is>
      </c>
      <c r="I14962" s="10" t="inlineStr">
        <is>
          <t>17/03/2026</t>
        </is>
      </c>
      <c r="J14962" s="10" t="inlineStr">
        <is>
          <t>Luật / Pháp lý, Bán hàng / Kinh doanh, Thương mại điện tử</t>
        </is>
      </c>
      <c r="K14962" s="10" t="inlineStr">
        <is>
          <t>3 - 6 Năm</t>
        </is>
      </c>
      <c r="L14962" s="11">
        <f>HYPERLINK("https://careerviet.vn/vi/tim-viec-lam/chuyen-vien-phap-che-mangtuanthu.35C6957E.html","Xem chi tiết")</f>
        <v/>
      </c>
      <c r="M14962" s="10" t="n"/>
    </row>
    <row r="14963">
      <c r="B14963" s="7" t="n">
        <v>14961</v>
      </c>
      <c r="C14963" t="inlineStr">
        <is>
          <t>Nhân Viên Kho</t>
        </is>
      </c>
      <c r="D14963" t="inlineStr">
        <is>
          <t>Orioled Hub</t>
        </is>
      </c>
      <c r="E14963" t="inlineStr">
        <is>
          <t>Lương:Cạnh tranh</t>
        </is>
      </c>
      <c r="F14963" t="inlineStr">
        <is>
          <t>Bà Rịa - Vũng Tàu</t>
        </is>
      </c>
      <c r="G14963" t="inlineStr">
        <is>
          <t>31-03-2026</t>
        </is>
      </c>
      <c r="H14963" t="inlineStr">
        <is>
          <t>31/03/2026</t>
        </is>
      </c>
      <c r="I14963" t="inlineStr">
        <is>
          <t>17/03/2026</t>
        </is>
      </c>
      <c r="J14963" t="inlineStr">
        <is>
          <t>Dược phẩm/ Hóa Mỹ Phẩm, Vận chuyển / Giao nhận / Kho vận</t>
        </is>
      </c>
      <c r="K14963" t="inlineStr">
        <is>
          <t>Lên đến 1 Năm</t>
        </is>
      </c>
      <c r="L14963" s="8">
        <f>HYPERLINK("https://careerviet.vn/vi/tim-viec-lam/nhan-vien-kho.35C697C8.html","Xem chi tiết")</f>
        <v/>
      </c>
    </row>
    <row r="14964">
      <c r="B14964" s="9" t="n">
        <v>14962</v>
      </c>
      <c r="C14964" s="10" t="inlineStr">
        <is>
          <t>Air Customer Service Executive</t>
        </is>
      </c>
      <c r="D14964" s="10" t="inlineStr">
        <is>
          <t>CÔNG TY TNHH TIẾP VẬN QUỐC TẾ APEX (VIỆT NAM)</t>
        </is>
      </c>
      <c r="E14964" s="10" t="inlineStr">
        <is>
          <t>Lương:Cạnh tranh</t>
        </is>
      </c>
      <c r="F14964" s="10" t="inlineStr">
        <is>
          <t>Hồ Chí Minh</t>
        </is>
      </c>
      <c r="G14964" s="10" t="inlineStr">
        <is>
          <t>31-03-2026</t>
        </is>
      </c>
      <c r="H14964" s="10" t="inlineStr">
        <is>
          <t>31/03/2026</t>
        </is>
      </c>
      <c r="I14964" s="10" t="inlineStr">
        <is>
          <t>17/03/2026</t>
        </is>
      </c>
      <c r="J14964" s="10" t="inlineStr">
        <is>
          <t>Dịch vụ khách hàng, Vận chuyển / Giao nhận / Kho vận, Hàng không</t>
        </is>
      </c>
      <c r="K14964" s="10" t="inlineStr">
        <is>
          <t>1 - 2 Năm</t>
        </is>
      </c>
      <c r="L14964" s="11">
        <f>HYPERLINK("https://careerviet.vn/vi/tim-viec-lam/air-customer-service-executive.35C69793.html","Xem chi tiết")</f>
        <v/>
      </c>
      <c r="M14964" s="10" t="n"/>
    </row>
    <row r="14965">
      <c r="B14965" s="7" t="n">
        <v>14963</v>
      </c>
      <c r="C14965" t="inlineStr">
        <is>
          <t>Nhân viên bán hàng - Quảng Bình</t>
        </is>
      </c>
      <c r="D14965" t="inlineStr">
        <is>
          <t>Công ty CP Toshiko Việt Nam</t>
        </is>
      </c>
      <c r="E14965" t="inlineStr">
        <is>
          <t>Lương:10 Tr - 15 Tr VND</t>
        </is>
      </c>
      <c r="F14965" t="inlineStr">
        <is>
          <t>Quảng Bình</t>
        </is>
      </c>
      <c r="G14965" t="inlineStr">
        <is>
          <t>25-03-2026</t>
        </is>
      </c>
      <c r="H14965" t="inlineStr">
        <is>
          <t>25/03/2026</t>
        </is>
      </c>
      <c r="I14965" t="inlineStr">
        <is>
          <t>17/03/2026</t>
        </is>
      </c>
      <c r="J14965" t="inlineStr">
        <is>
          <t>Bán lẻ / Bán sỉ, Bán hàng / Kinh doanh, Tư vấn</t>
        </is>
      </c>
      <c r="K14965" t="inlineStr">
        <is>
          <t>1 - 2 Năm</t>
        </is>
      </c>
      <c r="L14965" s="8">
        <f>HYPERLINK("https://careerviet.vn/vi/tim-viec-lam/nhan-vien-ban-hang-quang-binh.35C695D4.html","Xem chi tiết")</f>
        <v/>
      </c>
    </row>
    <row r="14966">
      <c r="B14966" s="9" t="n">
        <v>14964</v>
      </c>
      <c r="C14966" s="10" t="inlineStr">
        <is>
          <t>Chuyên viên, Chuyên viên cao cấp Giám sát rủi ro tín dụng - Credit Risk Monitoring Specialist, Senior Specialist - Khối Quản trị rủi ro (HO26.50)</t>
        </is>
      </c>
      <c r="D14966" s="10" t="inlineStr">
        <is>
          <t>Ngân Hàng TMCP Quân Đội</t>
        </is>
      </c>
      <c r="E14966" s="10" t="inlineStr">
        <is>
          <t>Lương:Cạnh tranh</t>
        </is>
      </c>
      <c r="F14966" s="10" t="inlineStr">
        <is>
          <t>Hà Nội</t>
        </is>
      </c>
      <c r="G14966" s="10" t="inlineStr">
        <is>
          <t>26-03-2026</t>
        </is>
      </c>
      <c r="H14966" s="10" t="inlineStr">
        <is>
          <t>26/03/2026</t>
        </is>
      </c>
      <c r="I14966" s="10" t="inlineStr">
        <is>
          <t>17/03/2026</t>
        </is>
      </c>
      <c r="J14966" s="10" t="inlineStr">
        <is>
          <t>Ngân hàng, Tài chính / Đầu tư, Luật / Pháp lý</t>
        </is>
      </c>
      <c r="K14966" s="10" t="inlineStr">
        <is>
          <t>N/A</t>
        </is>
      </c>
      <c r="L14966" s="11">
        <f>HYPERLINK("https://careerviet.vn/vi/tim-viec-lam/chuyen-vien-chuyen-vien-cao-cap-giam-sat-rui-ro-tin-dung-credit-risk-monitoring-specialist-senior-specialist-khoi-quan-tri-rui-ro-ho26-50.35C6989D.html","Xem chi tiết")</f>
        <v/>
      </c>
      <c r="M14966" s="10" t="n"/>
    </row>
    <row r="14967">
      <c r="B14967" s="7" t="n">
        <v>14965</v>
      </c>
      <c r="C14967" t="inlineStr">
        <is>
          <t>HCM-Lễ Tân Showroom (Ya-Man)</t>
        </is>
      </c>
      <c r="D14967" t="inlineStr">
        <is>
          <t>Công ty TNHH Thiên Thủy Mộc</t>
        </is>
      </c>
      <c r="E14967" t="inlineStr">
        <is>
          <t>Lương:8 Tr - 10 Tr VND</t>
        </is>
      </c>
      <c r="F14967" t="inlineStr">
        <is>
          <t>Hồ Chí Minh</t>
        </is>
      </c>
      <c r="G14967" t="inlineStr">
        <is>
          <t>26-03-2026</t>
        </is>
      </c>
      <c r="H14967" t="inlineStr">
        <is>
          <t>26/03/2026</t>
        </is>
      </c>
      <c r="I14967" t="inlineStr">
        <is>
          <t>17/03/2026</t>
        </is>
      </c>
      <c r="J14967" t="inlineStr">
        <is>
          <t>Bán hàng / Kinh doanh, Tư vấn, Dịch vụ khách hàng</t>
        </is>
      </c>
      <c r="K14967" t="inlineStr">
        <is>
          <t>1 - 2 Năm</t>
        </is>
      </c>
      <c r="L14967" s="8">
        <f>HYPERLINK("https://careerviet.vn/vi/tim-viec-lam/hcm-le-tan-showroom-ya-man.35C69867.html","Xem chi tiết")</f>
        <v/>
      </c>
    </row>
    <row r="14968">
      <c r="B14968" s="9" t="n">
        <v>14966</v>
      </c>
      <c r="C14968" s="10" t="inlineStr">
        <is>
          <t>HSE Specialist</t>
        </is>
      </c>
      <c r="D14968" s="10" t="inlineStr">
        <is>
          <t>CÔNG TY TNHH WGR INDUSTRIES</t>
        </is>
      </c>
      <c r="E14968" s="10" t="inlineStr">
        <is>
          <t>Lương:Cạnh tranh</t>
        </is>
      </c>
      <c r="F14968" s="10" t="inlineStr">
        <is>
          <t>Bình Định</t>
        </is>
      </c>
      <c r="G14968" s="10" t="inlineStr">
        <is>
          <t>31-03-2026</t>
        </is>
      </c>
      <c r="H14968" s="10" t="inlineStr">
        <is>
          <t>31/03/2026</t>
        </is>
      </c>
      <c r="I14968" s="10" t="inlineStr">
        <is>
          <t>17/03/2026</t>
        </is>
      </c>
      <c r="J14968" s="10" t="inlineStr">
        <is>
          <t>Đồ gỗ, Sản xuất / Vận hành sản xuất, An toàn lao động</t>
        </is>
      </c>
      <c r="K14968" s="10" t="inlineStr">
        <is>
          <t>3 - 5 Năm</t>
        </is>
      </c>
      <c r="L14968" s="11">
        <f>HYPERLINK("https://careerviet.vn/vi/tim-viec-lam/hse-specialist.35C697F2.html","Xem chi tiết")</f>
        <v/>
      </c>
      <c r="M14968" s="10" t="n"/>
    </row>
    <row r="14969">
      <c r="B14969" s="7" t="n">
        <v>14967</v>
      </c>
      <c r="C14969" t="inlineStr">
        <is>
          <t>Nhân viên kỹ thuật</t>
        </is>
      </c>
      <c r="D14969" t="inlineStr">
        <is>
          <t>KOVA Commerce – KOVA Group</t>
        </is>
      </c>
      <c r="E14969" t="inlineStr">
        <is>
          <t>Lương:Cạnh tranh</t>
        </is>
      </c>
      <c r="F14969" t="inlineStr">
        <is>
          <t>Hồ Chí Minh</t>
        </is>
      </c>
      <c r="G14969" t="inlineStr">
        <is>
          <t>31-03-2026</t>
        </is>
      </c>
      <c r="H14969" t="inlineStr">
        <is>
          <t>31/03/2026</t>
        </is>
      </c>
      <c r="I14969" t="inlineStr">
        <is>
          <t>17/03/2026</t>
        </is>
      </c>
      <c r="J14969" t="inlineStr">
        <is>
          <t>Bán Hàng Kỹ Thuật, Xây dựng, Hóa học</t>
        </is>
      </c>
      <c r="K14969" t="inlineStr">
        <is>
          <t>1 - 2 Năm</t>
        </is>
      </c>
      <c r="L14969" s="8">
        <f>HYPERLINK("https://careerviet.vn/vi/tim-viec-lam/nhan-vien-ky-thuat.35C695CB.html","Xem chi tiết")</f>
        <v/>
      </c>
    </row>
    <row r="14970">
      <c r="B14970" s="9" t="n">
        <v>14968</v>
      </c>
      <c r="C14970" s="10" t="inlineStr">
        <is>
          <t>Kỹ sư QS Hồ sơ tại Long Biên-Hà Nội</t>
        </is>
      </c>
      <c r="D14970" s="10" t="inlineStr">
        <is>
          <t>CÔNG TY CỔ PHẦN CƠ ĐIỆN VÀ PCCC THĂNG LONG</t>
        </is>
      </c>
      <c r="E14970" s="10" t="inlineStr">
        <is>
          <t>Lương:10 Tr - 15 Tr VND</t>
        </is>
      </c>
      <c r="F14970" s="10" t="inlineStr">
        <is>
          <t>Hà Nội</t>
        </is>
      </c>
      <c r="G14970" s="10" t="inlineStr">
        <is>
          <t>10-03-2026</t>
        </is>
      </c>
      <c r="H14970" s="10" t="inlineStr">
        <is>
          <t>28/02/2026</t>
        </is>
      </c>
      <c r="I14970" s="10" t="inlineStr">
        <is>
          <t>17/03/2026</t>
        </is>
      </c>
      <c r="J14970" s="10" t="inlineStr">
        <is>
          <t>Cơ khí / Ô tô / Tự động hóa, Điện / Điện tử / Điện lạnh / Điện công nghiệp, Xây dựng</t>
        </is>
      </c>
      <c r="K14970" s="10" t="inlineStr">
        <is>
          <t>1 - 2 Năm</t>
        </is>
      </c>
      <c r="L14970" s="11">
        <f>HYPERLINK("https://careerviet.vn/vi/tim-viec-lam/ky-su-qs-ho-so-tai-long-bien-ha-noi.35C696E8.html","Xem chi tiết")</f>
        <v/>
      </c>
      <c r="M14970" s="10" t="n"/>
    </row>
    <row r="14971">
      <c r="B14971" s="7" t="n">
        <v>14969</v>
      </c>
      <c r="C14971" t="inlineStr">
        <is>
          <t>Trưởng phòng Khách hàng Cá nhân khu vực Hà Nội</t>
        </is>
      </c>
      <c r="D14971" t="inlineStr">
        <is>
          <t>Ngân Hàng TMCP Quốc Dân (NCB)</t>
        </is>
      </c>
      <c r="E14971" t="inlineStr">
        <is>
          <t>Lương:Cạnh tranh</t>
        </is>
      </c>
      <c r="F14971" t="inlineStr">
        <is>
          <t>Hà Nội</t>
        </is>
      </c>
      <c r="G14971" t="inlineStr">
        <is>
          <t>25-03-2026</t>
        </is>
      </c>
      <c r="H14971" t="inlineStr">
        <is>
          <t>25/03/2026</t>
        </is>
      </c>
      <c r="I14971" t="inlineStr">
        <is>
          <t>17/03/2026</t>
        </is>
      </c>
      <c r="J14971" t="inlineStr">
        <is>
          <t>Ngân hàng, Bán hàng / Kinh doanh, Tài chính / Đầu tư</t>
        </is>
      </c>
      <c r="K14971" t="inlineStr">
        <is>
          <t>Trên 1 Năm</t>
        </is>
      </c>
      <c r="L14971" s="8">
        <f>HYPERLINK("https://careerviet.vn/vi/tim-viec-lam/truong-phong-khach-hang-ca-nhan-khu-vuc-ha-noi.35C697A4.html","Xem chi tiết")</f>
        <v/>
      </c>
    </row>
    <row r="14972">
      <c r="B14972" s="9" t="n">
        <v>14970</v>
      </c>
      <c r="C14972" s="10" t="inlineStr">
        <is>
          <t>Operation – Vận hành | Agency Quảng cáo</t>
        </is>
      </c>
      <c r="D14972" s="10" t="inlineStr">
        <is>
          <t>Blue Sky Corporation</t>
        </is>
      </c>
      <c r="E14972" s="10" t="inlineStr">
        <is>
          <t>Lương:Cạnh tranh</t>
        </is>
      </c>
      <c r="F14972" s="10" t="inlineStr">
        <is>
          <t>Hồ Chí Minh</t>
        </is>
      </c>
      <c r="G14972" s="10" t="inlineStr">
        <is>
          <t>25-03-2026</t>
        </is>
      </c>
      <c r="H14972" s="10" t="inlineStr">
        <is>
          <t>25/03/2026</t>
        </is>
      </c>
      <c r="I14972" s="10" t="inlineStr">
        <is>
          <t>17/03/2026</t>
        </is>
      </c>
      <c r="J14972" s="10" t="inlineStr">
        <is>
          <t>Quảng cáo / Đối ngoại / Truyền Thông, Tiếp thị / Marketing, Tiếp thị trực tuyến</t>
        </is>
      </c>
      <c r="K14972" s="10" t="inlineStr">
        <is>
          <t>Trên 2 Năm</t>
        </is>
      </c>
      <c r="L14972" s="11">
        <f>HYPERLINK("https://careerviet.vn/vi/tim-viec-lam/operation-van-hanh-agency-quang-cao.35C69654.html","Xem chi tiết")</f>
        <v/>
      </c>
      <c r="M14972" s="10" t="n"/>
    </row>
    <row r="14973">
      <c r="B14973" s="7" t="n">
        <v>14971</v>
      </c>
      <c r="C14973" t="inlineStr">
        <is>
          <t>Nhân viên Sự kiện (Tân An - Buôn Ma Thuột)</t>
        </is>
      </c>
      <c r="D14973" t="inlineStr">
        <is>
          <t>Công Ty CP Liên Kết Quốc Tế INTERLINK (Trường Liên Kết Quốc Tế INschool &amp; Ngoại Ngữ Quốc Tế INS ENGLISH &amp; CHINESE)</t>
        </is>
      </c>
      <c r="E14973" t="inlineStr">
        <is>
          <t>Lương:9 Tr - 12 Tr VND</t>
        </is>
      </c>
      <c r="F14973" t="inlineStr">
        <is>
          <t>Dak Lak</t>
        </is>
      </c>
      <c r="G14973" t="inlineStr">
        <is>
          <t>24-03-2026</t>
        </is>
      </c>
      <c r="H14973" t="inlineStr">
        <is>
          <t>24/03/2026</t>
        </is>
      </c>
      <c r="I14973" t="inlineStr">
        <is>
          <t>17/03/2026</t>
        </is>
      </c>
      <c r="J14973" t="inlineStr">
        <is>
          <t>Giáo dục / Đào tạo</t>
        </is>
      </c>
      <c r="K14973" t="inlineStr">
        <is>
          <t>1 - 2 Năm</t>
        </is>
      </c>
      <c r="L14973" s="8">
        <f>HYPERLINK("https://careerviet.vn/vi/tim-viec-lam/nhan-vien-su-kien-tan-an-buon-ma-thuot.35C69804.html","Xem chi tiết")</f>
        <v/>
      </c>
    </row>
    <row r="14974">
      <c r="B14974" s="9" t="n">
        <v>14972</v>
      </c>
      <c r="C14974" s="10" t="inlineStr">
        <is>
          <t>HCM - Senior Graphic Designer</t>
        </is>
      </c>
      <c r="D14974" s="10" t="inlineStr">
        <is>
          <t>Công ty TNHH Thiên Thủy Mộc</t>
        </is>
      </c>
      <c r="E14974" s="10" t="inlineStr">
        <is>
          <t>Lương:15 Tr - 18 Tr VND</t>
        </is>
      </c>
      <c r="F14974" s="10" t="inlineStr">
        <is>
          <t>Hồ Chí Minh</t>
        </is>
      </c>
      <c r="G14974" s="10" t="inlineStr">
        <is>
          <t>26-03-2026</t>
        </is>
      </c>
      <c r="H14974" s="10" t="inlineStr">
        <is>
          <t>26/03/2026</t>
        </is>
      </c>
      <c r="I14974" s="10" t="inlineStr">
        <is>
          <t>17/03/2026</t>
        </is>
      </c>
      <c r="J14974" s="10" t="inlineStr">
        <is>
          <t>Tiếp thị / Marketing, Mỹ thuật / Nghệ thuật / Thiết kế</t>
        </is>
      </c>
      <c r="K14974" s="10" t="inlineStr">
        <is>
          <t>3 - 5 Năm</t>
        </is>
      </c>
      <c r="L14974" s="11">
        <f>HYPERLINK("https://careerviet.vn/vi/tim-viec-lam/hcm-senior-graphic-designer.35C69849.html","Xem chi tiết")</f>
        <v/>
      </c>
      <c r="M14974" s="10" t="n"/>
    </row>
    <row r="14975">
      <c r="B14975" s="7" t="n">
        <v>14973</v>
      </c>
      <c r="C14975" t="inlineStr">
        <is>
          <t>Nhân Viên Thương Hiệu</t>
        </is>
      </c>
      <c r="D14975" t="inlineStr">
        <is>
          <t>CHI NHÁNH CÔNG TY CỔ PHẦN Y HỌC VĨNH THIỆN- BỆNH VIỆN ĐẠI HỌC PHENIKAA</t>
        </is>
      </c>
      <c r="E14975" t="inlineStr">
        <is>
          <t>Lương:13 Tr - 17 Tr VND</t>
        </is>
      </c>
      <c r="F14975" t="inlineStr">
        <is>
          <t>Hà Nội</t>
        </is>
      </c>
      <c r="G14975" t="inlineStr">
        <is>
          <t>25-03-2026</t>
        </is>
      </c>
      <c r="H14975" t="inlineStr">
        <is>
          <t>25/03/2026</t>
        </is>
      </c>
      <c r="I14975" t="inlineStr">
        <is>
          <t>17/03/2026</t>
        </is>
      </c>
      <c r="J14975" t="inlineStr">
        <is>
          <t>Quảng cáo / Đối ngoại / Truyền Thông, Truyền hình / Báo chí / Biên tập, Y tế / Chăm sóc sức khỏe / Thẩm mỹ / Làm đẹp</t>
        </is>
      </c>
      <c r="K14975" t="inlineStr">
        <is>
          <t>2 - 5 Năm</t>
        </is>
      </c>
      <c r="L14975" s="8">
        <f>HYPERLINK("https://careerviet.vn/vi/tim-viec-lam/nhan-vien-thuong-hieu.35C695D5.html","Xem chi tiết")</f>
        <v/>
      </c>
    </row>
    <row r="14976">
      <c r="B14976" s="9" t="n">
        <v>14974</v>
      </c>
      <c r="C14976" s="10" t="inlineStr">
        <is>
          <t>Nhân Viên Bán Hàng - Hà Nội</t>
        </is>
      </c>
      <c r="D14976" s="10" t="inlineStr">
        <is>
          <t>Công ty Cổ phần CANIFA</t>
        </is>
      </c>
      <c r="E14976" s="10" t="inlineStr">
        <is>
          <t>Lương:7 Tr - 10 Tr VND</t>
        </is>
      </c>
      <c r="F14976" s="10" t="inlineStr">
        <is>
          <t>Hà Nội</t>
        </is>
      </c>
      <c r="G14976" s="10" t="inlineStr">
        <is>
          <t>31-03-2026</t>
        </is>
      </c>
      <c r="H14976" s="10" t="inlineStr">
        <is>
          <t>31/03/2026</t>
        </is>
      </c>
      <c r="I14976" s="10" t="inlineStr">
        <is>
          <t>17/03/2026</t>
        </is>
      </c>
      <c r="J14976" s="10" t="inlineStr">
        <is>
          <t>Tiếp thị / Marketing, Bán lẻ / Bán sỉ, Bán hàng / Kinh doanh</t>
        </is>
      </c>
      <c r="K14976" s="10" t="inlineStr">
        <is>
          <t>Chưa có kinh nghiệm</t>
        </is>
      </c>
      <c r="L14976" s="11">
        <f>HYPERLINK("https://careerviet.vn/vi/tim-viec-lam/nhan-vien-ban-hang-ha-noi.35C69619.html","Xem chi tiết")</f>
        <v/>
      </c>
      <c r="M14976" s="10" t="n"/>
    </row>
    <row r="14977">
      <c r="B14977" s="7" t="n">
        <v>14975</v>
      </c>
      <c r="C14977" t="inlineStr">
        <is>
          <t>Nhân viên Kế hoạch Sản xuất</t>
        </is>
      </c>
      <c r="D14977" t="inlineStr">
        <is>
          <t>Công ty TNHH AOBA Việt Nam</t>
        </is>
      </c>
      <c r="E14977" t="inlineStr">
        <is>
          <t>Lương:Cạnh tranh</t>
        </is>
      </c>
      <c r="F14977" t="inlineStr">
        <is>
          <t>Hải Dương</t>
        </is>
      </c>
      <c r="G14977" t="inlineStr">
        <is>
          <t>31-03-2026</t>
        </is>
      </c>
      <c r="H14977" t="inlineStr">
        <is>
          <t>31/03/2026</t>
        </is>
      </c>
      <c r="I14977" t="inlineStr">
        <is>
          <t>17/03/2026</t>
        </is>
      </c>
      <c r="J14977" t="inlineStr">
        <is>
          <t>Sản xuất / Vận hành sản xuất</t>
        </is>
      </c>
      <c r="K14977" t="inlineStr">
        <is>
          <t>Trên 1 Năm</t>
        </is>
      </c>
      <c r="L14977" s="8">
        <f>HYPERLINK("https://careerviet.vn/vi/tim-viec-lam/nhan-vien-ke-hoach-san-xuat.35C696FF.html","Xem chi tiết")</f>
        <v/>
      </c>
    </row>
    <row r="14978">
      <c r="B14978" s="9" t="n">
        <v>14976</v>
      </c>
      <c r="C14978" s="10" t="inlineStr">
        <is>
          <t>Nhân viên Tự động hóa (AI+IOT)</t>
        </is>
      </c>
      <c r="D14978" s="10" t="inlineStr">
        <is>
          <t>CÔNG TY CỔ PHẦN NHỰA BÌNH MINH</t>
        </is>
      </c>
      <c r="E14978" s="10" t="inlineStr">
        <is>
          <t>Lương:11 Tr - 15 Tr VND</t>
        </is>
      </c>
      <c r="F14978" s="10" t="inlineStr">
        <is>
          <t>Hồ Chí Minh</t>
        </is>
      </c>
      <c r="G14978" s="10" t="inlineStr">
        <is>
          <t>26-03-2026</t>
        </is>
      </c>
      <c r="H14978" s="10" t="inlineStr">
        <is>
          <t>26/03/2026</t>
        </is>
      </c>
      <c r="I14978" s="10" t="inlineStr">
        <is>
          <t>17/03/2026</t>
        </is>
      </c>
      <c r="J14978" s="10" t="inlineStr">
        <is>
          <t>Cơ khí / Ô tô / Tự động hóa</t>
        </is>
      </c>
      <c r="K14978" s="10" t="inlineStr">
        <is>
          <t>1 - 2 Năm</t>
        </is>
      </c>
      <c r="L14978" s="11">
        <f>HYPERLINK("https://careerviet.vn/vi/tim-viec-lam/nhan-vien-tu-dong-hoa-ai-iot.35C69646.html","Xem chi tiết")</f>
        <v/>
      </c>
      <c r="M14978" s="10" t="n"/>
    </row>
    <row r="14979">
      <c r="B14979" s="7" t="n">
        <v>14977</v>
      </c>
      <c r="C14979" t="inlineStr">
        <is>
          <t>Điều Hành Vận Tải Hàng Hoá</t>
        </is>
      </c>
      <c r="D14979" t="inlineStr">
        <is>
          <t>Công ty TNHH X.E Việt Nam</t>
        </is>
      </c>
      <c r="E14979" t="inlineStr">
        <is>
          <t>Lương:12 Tr - 15 Tr VND</t>
        </is>
      </c>
      <c r="F14979" t="inlineStr">
        <is>
          <t>Hà Nội</t>
        </is>
      </c>
      <c r="G14979" t="inlineStr">
        <is>
          <t>25-03-2026</t>
        </is>
      </c>
      <c r="H14979" t="inlineStr">
        <is>
          <t>25/03/2026</t>
        </is>
      </c>
      <c r="I14979" t="inlineStr">
        <is>
          <t>17/03/2026</t>
        </is>
      </c>
      <c r="J14979" t="inlineStr">
        <is>
          <t>Vận chuyển / Giao nhận / Kho vận, Quản lý điều hành</t>
        </is>
      </c>
      <c r="K14979" t="inlineStr">
        <is>
          <t>2 - 4 Năm</t>
        </is>
      </c>
      <c r="L14979" s="8">
        <f>HYPERLINK("https://careerviet.vn/vi/tim-viec-lam/dieu-hanh-van-tai-hang-hoa.35C694DC.html","Xem chi tiết")</f>
        <v/>
      </c>
    </row>
    <row r="14980">
      <c r="B14980" s="9" t="n">
        <v>14978</v>
      </c>
      <c r="C14980" s="10" t="inlineStr">
        <is>
          <t>Chuyên viên Marketing</t>
        </is>
      </c>
      <c r="D14980" s="10" t="inlineStr">
        <is>
          <t>Công Ty TNHH May Thêu Giày An Phước</t>
        </is>
      </c>
      <c r="E14980" s="10" t="inlineStr">
        <is>
          <t>Lương:Cạnh tranh</t>
        </is>
      </c>
      <c r="F14980" s="10" t="inlineStr">
        <is>
          <t>Hồ Chí Minh</t>
        </is>
      </c>
      <c r="G14980" s="10" t="inlineStr">
        <is>
          <t>3</t>
        </is>
      </c>
      <c r="H14980" s="10" t="inlineStr">
        <is>
          <t>20/03/2026</t>
        </is>
      </c>
      <c r="I14980" s="10" t="inlineStr">
        <is>
          <t>17/03/2026</t>
        </is>
      </c>
      <c r="J14980" s="10" t="inlineStr">
        <is>
          <t>Tiếp thị / Marketing, Dệt may / Da giày / Thời trang, Quảng cáo / Đối ngoại / Truyền Thông</t>
        </is>
      </c>
      <c r="K14980" s="10" t="inlineStr">
        <is>
          <t>3 - 5 Năm</t>
        </is>
      </c>
      <c r="L14980" s="11">
        <f>HYPERLINK("https://careerviet.vn/vi/tim-viec-lam/chuyen-vien-marketing.35C694D9.html","Xem chi tiết")</f>
        <v/>
      </c>
      <c r="M14980" s="10" t="n"/>
    </row>
    <row r="14981">
      <c r="B14981" s="7" t="n">
        <v>14979</v>
      </c>
      <c r="C14981" t="inlineStr">
        <is>
          <t>Chuyên viên Thiết kế 3D</t>
        </is>
      </c>
      <c r="D14981" t="inlineStr">
        <is>
          <t>CÔNG TY CỔ PHẦN VẬT LIỆU VĨNH TÂN</t>
        </is>
      </c>
      <c r="E14981" t="inlineStr">
        <is>
          <t>Lương:20 Tr - 25 Tr VND</t>
        </is>
      </c>
      <c r="F14981" t="inlineStr">
        <is>
          <t>Hà Nội</t>
        </is>
      </c>
      <c r="G14981" t="inlineStr">
        <is>
          <t>25-03-2026</t>
        </is>
      </c>
      <c r="H14981" t="inlineStr">
        <is>
          <t>25/03/2026</t>
        </is>
      </c>
      <c r="I14981" t="inlineStr">
        <is>
          <t>17/03/2026</t>
        </is>
      </c>
      <c r="J14981" t="inlineStr">
        <is>
          <t>Mỹ thuật / Nghệ thuật / Thiết kế, Kiến trúc, Nội ngoại thất</t>
        </is>
      </c>
      <c r="K14981" t="inlineStr">
        <is>
          <t>2 - 3 Năm</t>
        </is>
      </c>
      <c r="L14981" s="8">
        <f>HYPERLINK("https://careerviet.vn/vi/tim-viec-lam/chuyen-vien-thiet-ke-3d.35C697A6.html","Xem chi tiết")</f>
        <v/>
      </c>
    </row>
    <row r="14982">
      <c r="B14982" s="9" t="n">
        <v>14980</v>
      </c>
      <c r="C14982" s="10" t="inlineStr">
        <is>
          <t>Điều phối hành khách</t>
        </is>
      </c>
      <c r="D14982" s="10" t="inlineStr">
        <is>
          <t>Công ty TNHH X.E Việt Nam</t>
        </is>
      </c>
      <c r="E14982" s="10" t="inlineStr">
        <is>
          <t>Lương:8,5 Tr - 9 Tr VND</t>
        </is>
      </c>
      <c r="F14982" s="10" t="inlineStr">
        <is>
          <t>Hà Nội</t>
        </is>
      </c>
      <c r="G14982" s="10" t="inlineStr">
        <is>
          <t>25-03-2026</t>
        </is>
      </c>
      <c r="H14982" s="10" t="inlineStr">
        <is>
          <t>25/03/2026</t>
        </is>
      </c>
      <c r="I14982" s="10" t="inlineStr">
        <is>
          <t>17/03/2026</t>
        </is>
      </c>
      <c r="J14982" s="10" t="inlineStr">
        <is>
          <t>Vận chuyển / Giao nhận / Kho vận</t>
        </is>
      </c>
      <c r="K14982" s="10" t="inlineStr">
        <is>
          <t>N/A</t>
        </is>
      </c>
      <c r="L14982" s="11">
        <f>HYPERLINK("https://careerviet.vn/vi/tim-viec-lam/dieu-phoi-hanh-khach.35C694D7.html","Xem chi tiết")</f>
        <v/>
      </c>
      <c r="M14982" s="10" t="n"/>
    </row>
    <row r="14983">
      <c r="B14983" s="7" t="n">
        <v>14981</v>
      </c>
      <c r="C14983" t="inlineStr">
        <is>
          <t>HCM - Video Creator</t>
        </is>
      </c>
      <c r="D14983" t="inlineStr">
        <is>
          <t>Công ty TNHH Thiên Thủy Mộc</t>
        </is>
      </c>
      <c r="E14983" t="inlineStr">
        <is>
          <t>Lương:14 Tr - 20 Tr VND</t>
        </is>
      </c>
      <c r="F14983" t="inlineStr">
        <is>
          <t>Hồ Chí Minh</t>
        </is>
      </c>
      <c r="G14983" t="inlineStr">
        <is>
          <t>26-03-2026</t>
        </is>
      </c>
      <c r="H14983" t="inlineStr">
        <is>
          <t>26/03/2026</t>
        </is>
      </c>
      <c r="I14983" t="inlineStr">
        <is>
          <t>17/03/2026</t>
        </is>
      </c>
      <c r="J14983" t="inlineStr">
        <is>
          <t>Tiếp thị / Marketing, Quảng cáo / Đối ngoại / Truyền Thông, Truyền hình / Báo chí / Biên tập</t>
        </is>
      </c>
      <c r="K14983" t="inlineStr">
        <is>
          <t>2 - 3 Năm</t>
        </is>
      </c>
      <c r="L14983" s="8">
        <f>HYPERLINK("https://careerviet.vn/vi/tim-viec-lam/hcm-video-creator.35C69893.html","Xem chi tiết")</f>
        <v/>
      </c>
    </row>
    <row r="14984">
      <c r="B14984" s="9" t="n">
        <v>14982</v>
      </c>
      <c r="C14984" s="10" t="inlineStr">
        <is>
          <t>Phó Giám đốc Chi nhánh (KHCN) - Ban giám đốc, CN. An Giang (CN26.21)</t>
        </is>
      </c>
      <c r="D14984" s="10" t="inlineStr">
        <is>
          <t>Ngân Hàng TMCP Quân Đội</t>
        </is>
      </c>
      <c r="E14984" s="10" t="inlineStr">
        <is>
          <t>Lương:Cạnh tranh</t>
        </is>
      </c>
      <c r="F14984" s="10" t="inlineStr">
        <is>
          <t>An Giang</t>
        </is>
      </c>
      <c r="G14984" s="10" t="inlineStr">
        <is>
          <t>26-03-2026</t>
        </is>
      </c>
      <c r="H14984" s="10" t="inlineStr">
        <is>
          <t>26/03/2026</t>
        </is>
      </c>
      <c r="I14984" s="10" t="inlineStr">
        <is>
          <t>17/03/2026</t>
        </is>
      </c>
      <c r="J14984" s="10" t="inlineStr">
        <is>
          <t>Ngân hàng, Quản lý điều hành, Tài chính / Đầu tư</t>
        </is>
      </c>
      <c r="K14984" s="10" t="inlineStr">
        <is>
          <t>Trên 5 Năm</t>
        </is>
      </c>
      <c r="L14984" s="11">
        <f>HYPERLINK("https://careerviet.vn/vi/tim-viec-lam/pho-giam-doc-chi-nhanh-khcn-ban-giam-doc-cn-an-giang-cn26-21.35C6988F.html","Xem chi tiết")</f>
        <v/>
      </c>
      <c r="M14984" s="10" t="n"/>
    </row>
    <row r="14985">
      <c r="B14985" s="7" t="n">
        <v>14983</v>
      </c>
      <c r="C14985" t="inlineStr">
        <is>
          <t>Nhân viên bảo trì điện</t>
        </is>
      </c>
      <c r="D14985" t="inlineStr">
        <is>
          <t>Công ty TNHH Olam Việt Nam</t>
        </is>
      </c>
      <c r="E14985" t="inlineStr">
        <is>
          <t>Lương:9 Tr - 12 Tr VND</t>
        </is>
      </c>
      <c r="F14985" t="inlineStr">
        <is>
          <t>Đồng Nai</t>
        </is>
      </c>
      <c r="G14985" t="inlineStr">
        <is>
          <t>31-03-2026</t>
        </is>
      </c>
      <c r="H14985" t="inlineStr">
        <is>
          <t>31/03/2026</t>
        </is>
      </c>
      <c r="I14985" t="inlineStr">
        <is>
          <t>17/03/2026</t>
        </is>
      </c>
      <c r="J14985" t="inlineStr">
        <is>
          <t>Bảo trì / Sửa chữa</t>
        </is>
      </c>
      <c r="K14985" t="inlineStr">
        <is>
          <t>Trên 2 Năm</t>
        </is>
      </c>
      <c r="L14985" s="8">
        <f>HYPERLINK("https://careerviet.vn/vi/tim-viec-lam/nhan-vien-bao-tri-dien.35C69616.html","Xem chi tiết")</f>
        <v/>
      </c>
    </row>
    <row r="14986">
      <c r="B14986" s="9" t="n">
        <v>14984</v>
      </c>
      <c r="C14986" s="10" t="inlineStr">
        <is>
          <t>HCM - CHUYÊN VIÊN TƯ VẤN BÁN HÀNG  (THIẾT BỊ LÀM ĐẸP CÔNG NGHỆ NHẬT BẢN)</t>
        </is>
      </c>
      <c r="D14986" s="10" t="inlineStr">
        <is>
          <t>Công ty TNHH Thiên Thủy Mộc</t>
        </is>
      </c>
      <c r="E14986" s="10" t="inlineStr">
        <is>
          <t>Lương:10 Tr - 20 Tr VND</t>
        </is>
      </c>
      <c r="F14986" s="10" t="inlineStr">
        <is>
          <t>Hồ Chí Minh</t>
        </is>
      </c>
      <c r="G14986" s="10" t="inlineStr">
        <is>
          <t>26-03-2026</t>
        </is>
      </c>
      <c r="H14986" s="10" t="inlineStr">
        <is>
          <t>26/03/2026</t>
        </is>
      </c>
      <c r="I14986" s="10" t="inlineStr">
        <is>
          <t>17/03/2026</t>
        </is>
      </c>
      <c r="J14986" s="10" t="inlineStr">
        <is>
          <t>Bán hàng / Kinh doanh, Tư vấn</t>
        </is>
      </c>
      <c r="K14986" s="10" t="inlineStr">
        <is>
          <t>1 - 3 Năm</t>
        </is>
      </c>
      <c r="L14986" s="11">
        <f>HYPERLINK("https://careerviet.vn/vi/tim-viec-lam/hcm-chuyen-vien-tu-van-ban-hang-thiet-bi-lam-dep-cong-nghe-nhat-ban.35C6987D.html","Xem chi tiết")</f>
        <v/>
      </c>
      <c r="M14986" s="10" t="n"/>
    </row>
    <row r="14987">
      <c r="B14987" s="7" t="n">
        <v>14985</v>
      </c>
      <c r="C14987" t="inlineStr">
        <is>
          <t>Nhân viên kỹ thuật bảo trì, sửa chữa máy (Ngành xây dựng/Máy công nghiệp)</t>
        </is>
      </c>
      <c r="D14987" t="inlineStr">
        <is>
          <t>International IPS</t>
        </is>
      </c>
      <c r="E14987" t="inlineStr">
        <is>
          <t>Lương:12 Tr - 15 Tr VND</t>
        </is>
      </c>
      <c r="F14987" t="inlineStr">
        <is>
          <t>Hồ Chí Minh</t>
        </is>
      </c>
      <c r="G14987" t="inlineStr">
        <is>
          <t>25-03-2026</t>
        </is>
      </c>
      <c r="H14987" t="inlineStr">
        <is>
          <t>25/03/2026</t>
        </is>
      </c>
      <c r="I14987" t="inlineStr">
        <is>
          <t>17/03/2026</t>
        </is>
      </c>
      <c r="J14987" t="inlineStr">
        <is>
          <t>Xây dựng, Cơ khí / Ô tô / Tự động hóa, Bảo trì / Sửa chữa</t>
        </is>
      </c>
      <c r="K14987" t="inlineStr">
        <is>
          <t>2 - 3 Năm</t>
        </is>
      </c>
      <c r="L14987" s="8">
        <f>HYPERLINK("https://careerviet.vn/vi/tim-viec-lam/nhan-vien-ky-thuat-bao-tri-sua-chua-may-nganh-xay-dung-may-cong-nghiep.35C69604.html","Xem chi tiết")</f>
        <v/>
      </c>
    </row>
    <row r="14988">
      <c r="B14988" s="9" t="n">
        <v>14986</v>
      </c>
      <c r="C14988" s="10" t="inlineStr">
        <is>
          <t>Content Branding</t>
        </is>
      </c>
      <c r="D14988" s="10" t="inlineStr">
        <is>
          <t>Công ty Cổ phần Nha khoa quốc tế Sing</t>
        </is>
      </c>
      <c r="E14988" s="10" t="inlineStr">
        <is>
          <t>Lương:14 Tr - 18 Tr VND</t>
        </is>
      </c>
      <c r="F14988" s="10" t="inlineStr">
        <is>
          <t>Hà Nội</t>
        </is>
      </c>
      <c r="G14988" s="10" t="inlineStr">
        <is>
          <t>31-03-2026</t>
        </is>
      </c>
      <c r="H14988" s="10" t="inlineStr">
        <is>
          <t>31/03/2026</t>
        </is>
      </c>
      <c r="I14988" s="10" t="inlineStr">
        <is>
          <t>17/03/2026</t>
        </is>
      </c>
      <c r="J14988" s="10" t="inlineStr">
        <is>
          <t>Tiếp thị / Marketing, Truyền hình / Báo chí / Biên tập, Quảng cáo / Đối ngoại / Truyền Thông</t>
        </is>
      </c>
      <c r="K14988" s="10" t="inlineStr">
        <is>
          <t>2 - 4 Năm</t>
        </is>
      </c>
      <c r="L14988" s="11">
        <f>HYPERLINK("https://careerviet.vn/vi/tim-viec-lam/content-branding.35C69636.html","Xem chi tiết")</f>
        <v/>
      </c>
      <c r="M14988" s="10" t="n"/>
    </row>
    <row r="14989">
      <c r="B14989" s="7" t="n">
        <v>14987</v>
      </c>
      <c r="C14989" t="inlineStr">
        <is>
          <t>Chuyên viên chính/Chuyên viên Cấp cao Quan hệ khách hàng ưu tiên - Khu vực Bắc Ninh</t>
        </is>
      </c>
      <c r="D14989" t="inlineStr">
        <is>
          <t>Ngân Hàng TMCP Quốc Dân (NCB)</t>
        </is>
      </c>
      <c r="E14989" t="inlineStr">
        <is>
          <t>Lương:Cạnh tranh</t>
        </is>
      </c>
      <c r="F14989" t="inlineStr">
        <is>
          <t>Bắc Ninh</t>
        </is>
      </c>
      <c r="G14989" t="inlineStr">
        <is>
          <t>25-03-2026</t>
        </is>
      </c>
      <c r="H14989" t="inlineStr">
        <is>
          <t>25/03/2026</t>
        </is>
      </c>
      <c r="I14989" t="inlineStr">
        <is>
          <t>17/03/2026</t>
        </is>
      </c>
      <c r="J14989" t="inlineStr">
        <is>
          <t>Ngân hàng, Bán hàng / Kinh doanh, Dịch vụ khách hàng</t>
        </is>
      </c>
      <c r="K14989" t="inlineStr">
        <is>
          <t>1 - 3 Năm</t>
        </is>
      </c>
      <c r="L14989" s="8">
        <f>HYPERLINK("https://careerviet.vn/vi/tim-viec-lam/chuyen-vien-chinh-chuyen-vien-cap-cao-quan-he-khach-hang-uu-tien-khu-vuc-bac-ninh.35C69853.html","Xem chi tiết")</f>
        <v/>
      </c>
    </row>
    <row r="14990">
      <c r="B14990" s="9" t="n">
        <v>14988</v>
      </c>
      <c r="C14990" s="10" t="inlineStr">
        <is>
          <t>Chuyên viên quản lý dự án</t>
        </is>
      </c>
      <c r="D14990" s="10" t="inlineStr">
        <is>
          <t>Công Ty TNHH Thương Mại Dịch Vụ Trí Lực Việt</t>
        </is>
      </c>
      <c r="E14990" s="10" t="inlineStr">
        <is>
          <t>Lương:15 Tr - 20 Tr VND</t>
        </is>
      </c>
      <c r="F14990" s="10" t="inlineStr">
        <is>
          <t>Hồ Chí Minh</t>
        </is>
      </c>
      <c r="G14990" s="10" t="inlineStr">
        <is>
          <t>15-04-2026</t>
        </is>
      </c>
      <c r="H14990" s="10" t="inlineStr">
        <is>
          <t>15/04/2026</t>
        </is>
      </c>
      <c r="I14990" s="10" t="inlineStr">
        <is>
          <t>17/03/2026</t>
        </is>
      </c>
      <c r="J14990" s="10" t="inlineStr">
        <is>
          <t>Nội ngoại thất, Xây dựng, Mỹ thuật / Nghệ thuật / Thiết kế</t>
        </is>
      </c>
      <c r="K14990" s="10" t="inlineStr">
        <is>
          <t>2 - 3 Năm</t>
        </is>
      </c>
      <c r="L14990" s="11">
        <f>HYPERLINK("https://careerviet.vn/vi/tim-viec-lam/chuyen-vien-quan-ly-du-an.35C6988E.html","Xem chi tiết")</f>
        <v/>
      </c>
      <c r="M14990" s="10" t="n"/>
    </row>
    <row r="14991">
      <c r="B14991" s="7" t="n">
        <v>14989</v>
      </c>
      <c r="C14991" t="inlineStr">
        <is>
          <t>Air Customer Service/ Documentation (10 MONTH CONTRACT)</t>
        </is>
      </c>
      <c r="D14991" t="inlineStr">
        <is>
          <t>CÔNG TY TNHH TIẾP VẬN QUỐC TẾ APEX (VIỆT NAM)</t>
        </is>
      </c>
      <c r="E14991" t="inlineStr">
        <is>
          <t>Lương:Cạnh tranh</t>
        </is>
      </c>
      <c r="F14991" t="inlineStr">
        <is>
          <t>Hà Nội</t>
        </is>
      </c>
      <c r="G14991" t="inlineStr">
        <is>
          <t>31-03-2026</t>
        </is>
      </c>
      <c r="H14991" t="inlineStr">
        <is>
          <t>31/03/2026</t>
        </is>
      </c>
      <c r="I14991" t="inlineStr">
        <is>
          <t>17/03/2026</t>
        </is>
      </c>
      <c r="J14991" t="inlineStr">
        <is>
          <t>Xuất nhập khẩu</t>
        </is>
      </c>
      <c r="K14991" t="inlineStr">
        <is>
          <t>N/A</t>
        </is>
      </c>
      <c r="L14991" s="8">
        <f>HYPERLINK("https://careerviet.vn/vi/tim-viec-lam/air-customer-service-documentation-10-month-contract.35C6978A.html","Xem chi tiết")</f>
        <v/>
      </c>
    </row>
    <row r="14992">
      <c r="B14992" s="9" t="n">
        <v>14990</v>
      </c>
      <c r="C14992" s="10" t="inlineStr">
        <is>
          <t>Nhân Viên Tư Vấn Sản Phẩm Điện Máy Nguyễn Kim Ninh Kiều, Cần Thơ</t>
        </is>
      </c>
      <c r="D14992" s="10" t="inlineStr">
        <is>
          <t>Tập Đoàn Karofi Holding</t>
        </is>
      </c>
      <c r="E14992" s="10" t="inlineStr">
        <is>
          <t>Lương:Cạnh tranh</t>
        </is>
      </c>
      <c r="F14992" s="10" t="inlineStr">
        <is>
          <t>Cần Thơ</t>
        </is>
      </c>
      <c r="G14992" s="10" t="inlineStr">
        <is>
          <t>27-03-2026</t>
        </is>
      </c>
      <c r="H14992" s="10" t="inlineStr">
        <is>
          <t>27/03/2026</t>
        </is>
      </c>
      <c r="I14992" s="10" t="inlineStr">
        <is>
          <t>17/03/2026</t>
        </is>
      </c>
      <c r="J14992" s="10" t="inlineStr">
        <is>
          <t>Dịch vụ khách hàng, Bán lẻ / Bán sỉ, Bán hàng / Kinh doanh</t>
        </is>
      </c>
      <c r="K14992" s="10" t="inlineStr">
        <is>
          <t>Lên đến 1 Năm</t>
        </is>
      </c>
      <c r="L14992" s="11">
        <f>HYPERLINK("https://careerviet.vn/vi/tim-viec-lam/nhan-vien-tu-van-san-pham-dien-may-nguyen-kim-ninh-kieu-can-tho.35C69850.html","Xem chi tiết")</f>
        <v/>
      </c>
      <c r="M14992" s="10" t="n"/>
    </row>
    <row r="14993">
      <c r="B14993" s="7" t="n">
        <v>14991</v>
      </c>
      <c r="C14993" t="inlineStr">
        <is>
          <t>CVCC Kế hoạch và Quản trị hiệu quả - Hà Nội - TA161</t>
        </is>
      </c>
      <c r="D14993" t="inlineStr">
        <is>
          <t>Ngân Hàng TMCP Việt Nam Thịnh Vượng - VPBANK</t>
        </is>
      </c>
      <c r="E14993" t="inlineStr">
        <is>
          <t>Lương:Cạnh tranh</t>
        </is>
      </c>
      <c r="F14993" t="inlineStr">
        <is>
          <t>Hà Nội</t>
        </is>
      </c>
      <c r="G14993" t="inlineStr">
        <is>
          <t>31-03-2026</t>
        </is>
      </c>
      <c r="H14993" t="inlineStr">
        <is>
          <t>31/03/2026</t>
        </is>
      </c>
      <c r="I14993" t="inlineStr">
        <is>
          <t>17/03/2026</t>
        </is>
      </c>
      <c r="J14993" t="inlineStr">
        <is>
          <t>Ngân hàng, Bảo hiểm</t>
        </is>
      </c>
      <c r="K14993" t="inlineStr">
        <is>
          <t>2 - 3 Năm</t>
        </is>
      </c>
      <c r="L14993" s="8">
        <f>HYPERLINK("https://careerviet.vn/vi/tim-viec-lam/cvcc-ke-hoach-va-quan-tri-hieu-qua-ha-noi-ta161.35C6987B.html","Xem chi tiết")</f>
        <v/>
      </c>
    </row>
    <row r="14994">
      <c r="B14994" s="9" t="n">
        <v>14992</v>
      </c>
      <c r="C14994" s="10" t="inlineStr">
        <is>
          <t>HCM - Nhân viên quay dựng Video (Video Editor)</t>
        </is>
      </c>
      <c r="D14994" s="10" t="inlineStr">
        <is>
          <t>Công ty TNHH Thiên Thủy Mộc</t>
        </is>
      </c>
      <c r="E14994" s="10" t="inlineStr">
        <is>
          <t>Lương:14 Tr - 20 Tr VND</t>
        </is>
      </c>
      <c r="F14994" s="10" t="inlineStr">
        <is>
          <t>Hồ Chí Minh</t>
        </is>
      </c>
      <c r="G14994" s="10" t="inlineStr">
        <is>
          <t>26-03-2026</t>
        </is>
      </c>
      <c r="H14994" s="10" t="inlineStr">
        <is>
          <t>26/03/2026</t>
        </is>
      </c>
      <c r="I14994" s="10" t="inlineStr">
        <is>
          <t>17/03/2026</t>
        </is>
      </c>
      <c r="J14994" s="10" t="inlineStr">
        <is>
          <t>Tiếp thị / Marketing, Quảng cáo / Đối ngoại / Truyền Thông, Tổ chức sự kiện</t>
        </is>
      </c>
      <c r="K14994" s="10" t="inlineStr">
        <is>
          <t>2 - 3 Năm</t>
        </is>
      </c>
      <c r="L14994" s="11">
        <f>HYPERLINK("https://careerviet.vn/vi/tim-viec-lam/hcm-nhan-vien-quay-dung-video-video-editor.35C6985E.html","Xem chi tiết")</f>
        <v/>
      </c>
      <c r="M14994" s="10" t="n"/>
    </row>
    <row r="14995">
      <c r="B14995" s="7" t="n">
        <v>14993</v>
      </c>
      <c r="C14995" t="inlineStr">
        <is>
          <t>Kỹ thuật viên Thiết bị | Củ Chi</t>
        </is>
      </c>
      <c r="D14995" t="inlineStr">
        <is>
          <t>Techtronic Industries Vietnam Manufacturing Company Limited</t>
        </is>
      </c>
      <c r="E14995" t="inlineStr">
        <is>
          <t>Lương:Cạnh tranh</t>
        </is>
      </c>
      <c r="F14995" t="inlineStr">
        <is>
          <t>Hồ Chí Minh</t>
        </is>
      </c>
      <c r="G14995" t="inlineStr">
        <is>
          <t>27-03-2026</t>
        </is>
      </c>
      <c r="H14995" t="inlineStr">
        <is>
          <t>27/03/2026</t>
        </is>
      </c>
      <c r="I14995" t="inlineStr">
        <is>
          <t>17/03/2026</t>
        </is>
      </c>
      <c r="J14995" t="inlineStr">
        <is>
          <t>Bảo trì / Sửa chữa</t>
        </is>
      </c>
      <c r="K14995" t="inlineStr">
        <is>
          <t>2 - 4 Năm</t>
        </is>
      </c>
      <c r="L14995" s="8">
        <f>HYPERLINK("https://careerviet.vn/vi/tim-viec-lam/ky-thuat-vien-thiet-bi-cu-chi.35C69736.html","Xem chi tiết")</f>
        <v/>
      </c>
    </row>
    <row r="14996">
      <c r="B14996" s="9" t="n">
        <v>14994</v>
      </c>
      <c r="C14996" s="10" t="inlineStr">
        <is>
          <t>Lễ Tân Kiêm Chăm Sóc Khách Hàng (CSKH)</t>
        </is>
      </c>
      <c r="D14996" s="10" t="inlineStr">
        <is>
          <t>CÔNG TY CỔ PHẦN ĐẦU TƯ VÀ PHÁT TRIỂN CÔNG NGHỆ KAVIDO VIỆT NAM</t>
        </is>
      </c>
      <c r="E14996" s="10" t="inlineStr">
        <is>
          <t>Lương:Cạnh tranh</t>
        </is>
      </c>
      <c r="F14996" s="10" t="inlineStr">
        <is>
          <t>Hồ Chí Minh</t>
        </is>
      </c>
      <c r="G14996" s="10" t="inlineStr">
        <is>
          <t>25-03-2026</t>
        </is>
      </c>
      <c r="H14996" s="10" t="inlineStr">
        <is>
          <t>25/03/2026</t>
        </is>
      </c>
      <c r="I14996" s="10" t="inlineStr">
        <is>
          <t>17/03/2026</t>
        </is>
      </c>
      <c r="J14996" s="10" t="inlineStr">
        <is>
          <t>Dịch vụ khách hàng, Hành chính / Thư ký, Nhân sự</t>
        </is>
      </c>
      <c r="K14996" s="10" t="inlineStr">
        <is>
          <t>N/A</t>
        </is>
      </c>
      <c r="L14996" s="11">
        <f>HYPERLINK("https://careerviet.vn/vi/tim-viec-lam/le-tan-kiem-cham-soc-khach-hang-cskh.35C69864.html","Xem chi tiết")</f>
        <v/>
      </c>
      <c r="M14996" s="10" t="n"/>
    </row>
    <row r="14997">
      <c r="B14997" s="7" t="n">
        <v>14995</v>
      </c>
      <c r="C14997" t="inlineStr">
        <is>
          <t>Nhân Viên Telesale</t>
        </is>
      </c>
      <c r="D14997" t="inlineStr">
        <is>
          <t>CÔNG TY TNHH THẨM MỸ QUỐC TẾ LINH ANH</t>
        </is>
      </c>
      <c r="E14997" t="inlineStr">
        <is>
          <t>Lương:15 Tr - 30 Tr VND</t>
        </is>
      </c>
      <c r="F14997" t="inlineStr">
        <is>
          <t>Đồng Nai</t>
        </is>
      </c>
      <c r="G14997" t="inlineStr">
        <is>
          <t>25-03-2026</t>
        </is>
      </c>
      <c r="H14997" t="inlineStr">
        <is>
          <t>25/03/2026</t>
        </is>
      </c>
      <c r="I14997" t="inlineStr">
        <is>
          <t>17/03/2026</t>
        </is>
      </c>
      <c r="J14997" t="inlineStr">
        <is>
          <t>Y tế / Chăm sóc sức khỏe / Thẩm mỹ / Làm đẹp, Bán hàng / Kinh doanh</t>
        </is>
      </c>
      <c r="K14997" t="inlineStr">
        <is>
          <t>Chưa có kinh nghiệm</t>
        </is>
      </c>
      <c r="L14997" s="8">
        <f>HYPERLINK("https://careerviet.vn/vi/tim-viec-lam/nhan-vien-telesale.35C6984D.html","Xem chi tiết")</f>
        <v/>
      </c>
    </row>
    <row r="14998">
      <c r="B14998" s="9" t="n">
        <v>14996</v>
      </c>
      <c r="C14998" s="10" t="inlineStr">
        <is>
          <t>Nhân viên vận hành máy ép viên ( số lượng: 02)</t>
        </is>
      </c>
      <c r="D14998" s="10" t="inlineStr">
        <is>
          <t>De Heus LLC</t>
        </is>
      </c>
      <c r="E14998" s="10" t="inlineStr">
        <is>
          <t>Lương:9,3 Tr - 11 Tr VND</t>
        </is>
      </c>
      <c r="F14998" s="10" t="inlineStr">
        <is>
          <t>Vĩnh Phúc</t>
        </is>
      </c>
      <c r="G14998" s="10" t="inlineStr">
        <is>
          <t>3</t>
        </is>
      </c>
      <c r="H14998" s="10" t="inlineStr">
        <is>
          <t>20/03/2026</t>
        </is>
      </c>
      <c r="I14998" s="10" t="inlineStr">
        <is>
          <t>17/03/2026</t>
        </is>
      </c>
      <c r="J14998" s="10" t="inlineStr">
        <is>
          <t>Nông nghiệp</t>
        </is>
      </c>
      <c r="K14998" s="10" t="inlineStr">
        <is>
          <t>1 - 2 Năm</t>
        </is>
      </c>
      <c r="L14998" s="11">
        <f>HYPERLINK("https://careerviet.vn/vi/tim-viec-lam/nhan-vien-van-hanh-may-ep-vien-so-luong-02.35C69627.html","Xem chi tiết")</f>
        <v/>
      </c>
      <c r="M14998" s="10" t="n"/>
    </row>
    <row r="14999">
      <c r="B14999" s="7" t="n">
        <v>14997</v>
      </c>
      <c r="C14999" t="inlineStr">
        <is>
          <t>Phó Giám đốc Phát triển đại lý (Chủ đầu tư BĐS)</t>
        </is>
      </c>
      <c r="D14999" t="inlineStr">
        <is>
          <t>Công ty Cổ phần Tập đoàn KITA Group</t>
        </is>
      </c>
      <c r="E14999" t="inlineStr">
        <is>
          <t>Lương:30 Tr - 35 Tr VND</t>
        </is>
      </c>
      <c r="F14999" t="inlineStr">
        <is>
          <t>Hồ Chí Minh</t>
        </is>
      </c>
      <c r="G14999" t="inlineStr">
        <is>
          <t>31-03-2026</t>
        </is>
      </c>
      <c r="H14999" t="inlineStr">
        <is>
          <t>31/03/2026</t>
        </is>
      </c>
      <c r="I14999" t="inlineStr">
        <is>
          <t>17/03/2026</t>
        </is>
      </c>
      <c r="J14999" t="inlineStr">
        <is>
          <t>Bán hàng / Kinh doanh, Bất động sản, Dịch vụ khách hàng</t>
        </is>
      </c>
      <c r="K14999" t="inlineStr">
        <is>
          <t>3 - 5 Năm</t>
        </is>
      </c>
      <c r="L14999" s="8">
        <f>HYPERLINK("https://careerviet.vn/vi/tim-viec-lam/pho-giam-doc-phat-trien-dai-ly-chu-dau-tu-bds.35C69836.html","Xem chi tiết")</f>
        <v/>
      </c>
    </row>
    <row r="15000">
      <c r="B15000" s="9" t="n">
        <v>14998</v>
      </c>
      <c r="C15000" s="10" t="inlineStr">
        <is>
          <t>Kỹ sư Hiện trường (Nghệ An)</t>
        </is>
      </c>
      <c r="D15000" s="10" t="inlineStr">
        <is>
          <t>CÔNG TY CỔ PHẦN XÂY DỰNG VILAI VIỆT</t>
        </is>
      </c>
      <c r="E15000" s="10" t="inlineStr">
        <is>
          <t>Lương:15 Tr - 25 Tr VND</t>
        </is>
      </c>
      <c r="F15000" s="10" t="inlineStr">
        <is>
          <t>Nghệ An</t>
        </is>
      </c>
      <c r="G15000" s="10" t="inlineStr">
        <is>
          <t>31-03-2026</t>
        </is>
      </c>
      <c r="H15000" s="10" t="inlineStr">
        <is>
          <t>31/03/2026</t>
        </is>
      </c>
      <c r="I15000" s="10" t="inlineStr">
        <is>
          <t>17/03/2026</t>
        </is>
      </c>
      <c r="J15000" s="10" t="inlineStr">
        <is>
          <t>Xây dựng, Kiến trúc</t>
        </is>
      </c>
      <c r="K15000" s="10" t="inlineStr">
        <is>
          <t>2 - 5 Năm</t>
        </is>
      </c>
      <c r="L15000" s="11">
        <f>HYPERLINK("https://careerviet.vn/vi/tim-viec-lam/ky-su-hien-truong-nghe-an.35C69664.html","Xem chi tiết")</f>
        <v/>
      </c>
      <c r="M15000" s="10" t="n"/>
    </row>
    <row r="15001">
      <c r="B15001" s="7" t="n">
        <v>14999</v>
      </c>
      <c r="C15001" t="inlineStr">
        <is>
          <t>CHUYÊN VIÊN HÀNH CHÍNH NHÂN SỰ</t>
        </is>
      </c>
      <c r="D15001" t="inlineStr">
        <is>
          <t>CÔNG TY TNHH TẬP ĐOÀN ĐỊNH AN</t>
        </is>
      </c>
      <c r="E15001" t="inlineStr">
        <is>
          <t>Lương:12 Tr - 17 Tr VND</t>
        </is>
      </c>
      <c r="F15001" t="inlineStr">
        <is>
          <t>Hà Nội</t>
        </is>
      </c>
      <c r="G15001" t="inlineStr">
        <is>
          <t>25-03-2026</t>
        </is>
      </c>
      <c r="H15001" t="inlineStr">
        <is>
          <t>25/03/2026</t>
        </is>
      </c>
      <c r="I15001" t="inlineStr">
        <is>
          <t>17/03/2026</t>
        </is>
      </c>
      <c r="J15001" t="inlineStr">
        <is>
          <t>Nhân sự, Hành chính / Thư ký, Kế toán / Kiểm toán</t>
        </is>
      </c>
      <c r="K15001" t="inlineStr">
        <is>
          <t>Trên 3 Năm</t>
        </is>
      </c>
      <c r="L15001" s="8">
        <f>HYPERLINK("https://careerviet.vn/vi/tim-viec-lam/chuyen-vien-hanh-chinh-nhan-su.35C69667.html","Xem chi tiết")</f>
        <v/>
      </c>
    </row>
    <row r="15002">
      <c r="B15002" s="9" t="n">
        <v>15000</v>
      </c>
      <c r="C15002" s="10" t="inlineStr">
        <is>
          <t>HCM-Nhân viên Kỹ thuật Điện nước</t>
        </is>
      </c>
      <c r="D15002" s="10" t="inlineStr">
        <is>
          <t>Công ty TNHH Thiên Thủy Mộc</t>
        </is>
      </c>
      <c r="E15002" s="10" t="inlineStr">
        <is>
          <t>Lương:9 Tr - 10 Tr VND</t>
        </is>
      </c>
      <c r="F15002" s="10" t="inlineStr">
        <is>
          <t>Hồ Chí Minh</t>
        </is>
      </c>
      <c r="G15002" s="10" t="inlineStr">
        <is>
          <t>26-03-2026</t>
        </is>
      </c>
      <c r="H15002" s="10" t="inlineStr">
        <is>
          <t>26/03/2026</t>
        </is>
      </c>
      <c r="I15002" s="10" t="inlineStr">
        <is>
          <t>17/03/2026</t>
        </is>
      </c>
      <c r="J15002" s="10" t="inlineStr">
        <is>
          <t>Điện / Điện tử / Điện lạnh / Điện công nghiệp, Bảo trì / Sửa chữa</t>
        </is>
      </c>
      <c r="K15002" s="10" t="inlineStr">
        <is>
          <t>1 - 2 Năm</t>
        </is>
      </c>
      <c r="L15002" s="11">
        <f>HYPERLINK("https://careerviet.vn/vi/tim-viec-lam/hcm-nhan-vien-ky-thuat-dien-nuoc.35C69877.html","Xem chi tiết")</f>
        <v/>
      </c>
      <c r="M15002" s="10" t="n"/>
    </row>
    <row r="15003">
      <c r="B15003" s="7" t="n">
        <v>15001</v>
      </c>
      <c r="C15003" t="inlineStr">
        <is>
          <t>CVCC Xử lý than phiền - TT247 - Hà Nội - TA161</t>
        </is>
      </c>
      <c r="D15003" t="inlineStr">
        <is>
          <t>Ngân Hàng TMCP Việt Nam Thịnh Vượng - VPBANK</t>
        </is>
      </c>
      <c r="E15003" t="inlineStr">
        <is>
          <t>Lương:Cạnh tranh</t>
        </is>
      </c>
      <c r="F15003" t="inlineStr">
        <is>
          <t>Hà Nội</t>
        </is>
      </c>
      <c r="G15003" t="inlineStr">
        <is>
          <t>31-03-2026</t>
        </is>
      </c>
      <c r="H15003" t="inlineStr">
        <is>
          <t>31/03/2026</t>
        </is>
      </c>
      <c r="I15003" t="inlineStr">
        <is>
          <t>17/03/2026</t>
        </is>
      </c>
      <c r="J15003" t="inlineStr">
        <is>
          <t>Ngân hàng</t>
        </is>
      </c>
      <c r="K15003" t="inlineStr">
        <is>
          <t>2 - 3 Năm</t>
        </is>
      </c>
      <c r="L15003" s="8">
        <f>HYPERLINK("https://careerviet.vn/vi/tim-viec-lam/cvcc-xu-ly-than-phien-tt247-ha-noi-ta161.35C69871.html","Xem chi tiết")</f>
        <v/>
      </c>
    </row>
    <row r="15004">
      <c r="B15004" s="9" t="n">
        <v>15002</v>
      </c>
      <c r="C15004" s="10" t="inlineStr">
        <is>
          <t>[GLOBAL X_NOVA SERVICE] Chuyên viên Cao cấp Đối tác Nhân sự (Senior HRBP)</t>
        </is>
      </c>
      <c r="D15004" s="10" t="inlineStr">
        <is>
          <t>Nova Service Group - Công ty Cổ phần Tập đoàn Nova Services</t>
        </is>
      </c>
      <c r="E15004" s="10" t="inlineStr">
        <is>
          <t>Lương:Cạnh tranh</t>
        </is>
      </c>
      <c r="F15004" s="10" t="inlineStr">
        <is>
          <t>Hồ Chí Minh</t>
        </is>
      </c>
      <c r="G15004" s="10" t="inlineStr">
        <is>
          <t>24-03-2026</t>
        </is>
      </c>
      <c r="H15004" s="10" t="inlineStr">
        <is>
          <t>24/03/2026</t>
        </is>
      </c>
      <c r="I15004" s="10" t="inlineStr">
        <is>
          <t>17/03/2026</t>
        </is>
      </c>
      <c r="J15004" s="10" t="inlineStr">
        <is>
          <t>Nhân sự</t>
        </is>
      </c>
      <c r="K15004" s="10" t="inlineStr">
        <is>
          <t>Chưa có kinh nghiệm</t>
        </is>
      </c>
      <c r="L15004" s="11">
        <f>HYPERLINK("https://careerviet.vn/vi/tim-viec-lam/global-x_nova-service-chuyen-vien-cao-cap-doi-tac-nhan-su-senior-hrbp.35C69848.html","Xem chi tiết")</f>
        <v/>
      </c>
      <c r="M15004" s="10" t="n"/>
    </row>
    <row r="15005">
      <c r="B15005" s="7" t="n">
        <v>15003</v>
      </c>
      <c r="C15005" t="inlineStr">
        <is>
          <t>ACCOUNTANT STAFF</t>
        </is>
      </c>
      <c r="D15005" t="inlineStr">
        <is>
          <t>Công ty TNHH Marine Biotech Việt Nam</t>
        </is>
      </c>
      <c r="E15005" t="inlineStr">
        <is>
          <t>Lương:Cạnh tranh</t>
        </is>
      </c>
      <c r="F15005" t="inlineStr">
        <is>
          <t>Long An</t>
        </is>
      </c>
      <c r="G15005" t="inlineStr">
        <is>
          <t>30-04-2026</t>
        </is>
      </c>
      <c r="H15005" t="inlineStr">
        <is>
          <t>30/04/2026</t>
        </is>
      </c>
      <c r="I15005" t="inlineStr">
        <is>
          <t>17/03/2026</t>
        </is>
      </c>
      <c r="J15005" t="inlineStr">
        <is>
          <t>Kế toán / Kiểm toán</t>
        </is>
      </c>
      <c r="K15005" t="inlineStr">
        <is>
          <t>Trên 2 Năm</t>
        </is>
      </c>
      <c r="L15005" s="8">
        <f>HYPERLINK("https://careerviet.vn/vi/tim-viec-lam/accountant-staff.35C69645.html","Xem chi tiết")</f>
        <v/>
      </c>
    </row>
    <row r="15006">
      <c r="B15006" s="9" t="n">
        <v>15004</v>
      </c>
      <c r="C15006" s="10" t="inlineStr">
        <is>
          <t>Nhân viên Telesales Driver ShopeeFood</t>
        </is>
      </c>
      <c r="D15006" s="10" t="inlineStr">
        <is>
          <t>Công Ty TNHH Việt Mỹ-SSU</t>
        </is>
      </c>
      <c r="E15006" s="10" t="inlineStr">
        <is>
          <t>Lương:10,0 Tr - 11,3 Tr VND</t>
        </is>
      </c>
      <c r="F15006" s="10" t="inlineStr">
        <is>
          <t>Hồ Chí Minh</t>
        </is>
      </c>
      <c r="G15006" s="10" t="inlineStr">
        <is>
          <t>25-03-2026</t>
        </is>
      </c>
      <c r="H15006" s="10" t="inlineStr">
        <is>
          <t>25/03/2026</t>
        </is>
      </c>
      <c r="I15006" s="10" t="inlineStr">
        <is>
          <t>17/03/2026</t>
        </is>
      </c>
      <c r="J15006" s="10" t="inlineStr">
        <is>
          <t>Dịch vụ khách hàng</t>
        </is>
      </c>
      <c r="K15006" s="10" t="inlineStr">
        <is>
          <t>Lên đến 1 Năm</t>
        </is>
      </c>
      <c r="L15006" s="11">
        <f>HYPERLINK("https://careerviet.vn/vi/tim-viec-lam/nhan-vien-telesales-driver-shopeefood.35C69681.html","Xem chi tiết")</f>
        <v/>
      </c>
      <c r="M15006" s="10" t="n"/>
    </row>
    <row r="15007">
      <c r="B15007" s="7" t="n">
        <v>15005</v>
      </c>
      <c r="C15007" t="inlineStr">
        <is>
          <t>KỸ SƯ TỰ ĐỘNG HÓA</t>
        </is>
      </c>
      <c r="D15007" t="inlineStr">
        <is>
          <t>CÔNG TY CỔ PHẦN CHẾ BIẾN THỰC PHẨM HOÀNG SƠN</t>
        </is>
      </c>
      <c r="E15007" t="inlineStr">
        <is>
          <t>Lương:12 Tr - 15 Tr VND</t>
        </is>
      </c>
      <c r="F15007" t="inlineStr">
        <is>
          <t>Bình Dương</t>
        </is>
      </c>
      <c r="G15007" t="inlineStr">
        <is>
          <t>31-03-2026</t>
        </is>
      </c>
      <c r="H15007" t="inlineStr">
        <is>
          <t>31/03/2026</t>
        </is>
      </c>
      <c r="I15007" t="inlineStr">
        <is>
          <t>17/03/2026</t>
        </is>
      </c>
      <c r="J15007" t="inlineStr">
        <is>
          <t>Bảo trì / Sửa chữa, Điện / Điện tử / Điện lạnh / Điện công nghiệp, Cơ khí / Ô tô / Tự động hóa</t>
        </is>
      </c>
      <c r="K15007" t="inlineStr">
        <is>
          <t>2 - 5 Năm</t>
        </is>
      </c>
      <c r="L15007" s="8">
        <f>HYPERLINK("https://careerviet.vn/vi/tim-viec-lam/ky-su-tu-dong-hoa.35C6964F.html","Xem chi tiết")</f>
        <v/>
      </c>
    </row>
    <row r="15008">
      <c r="B15008" s="9" t="n">
        <v>15006</v>
      </c>
      <c r="C15008" s="10" t="inlineStr">
        <is>
          <t>Tổ Trưởng Sản Xuất</t>
        </is>
      </c>
      <c r="D15008" s="10" t="inlineStr">
        <is>
          <t>CÔNG TY CỔ PHẦN CHẾ BIẾN THỰC PHẨM HOÀNG SƠN</t>
        </is>
      </c>
      <c r="E15008" s="10" t="inlineStr">
        <is>
          <t>Lương:12 Tr - 15 Tr VND</t>
        </is>
      </c>
      <c r="F15008" s="10" t="inlineStr">
        <is>
          <t>Bình Dương</t>
        </is>
      </c>
      <c r="G15008" s="10" t="inlineStr">
        <is>
          <t>31-03-2026</t>
        </is>
      </c>
      <c r="H15008" s="10" t="inlineStr">
        <is>
          <t>31/03/2026</t>
        </is>
      </c>
      <c r="I15008" s="10" t="inlineStr">
        <is>
          <t>17/03/2026</t>
        </is>
      </c>
      <c r="J15008" s="10" t="inlineStr">
        <is>
          <t>Thực phẩm &amp; Đồ uống, Điện / Điện tử / Điện lạnh / Điện công nghiệp, Sản xuất / Vận hành sản xuất</t>
        </is>
      </c>
      <c r="K15008" s="10" t="inlineStr">
        <is>
          <t>3 - 5 Năm</t>
        </is>
      </c>
      <c r="L15008" s="11">
        <f>HYPERLINK("https://careerviet.vn/vi/tim-viec-lam/to-truong-san-xuat.35C69647.html","Xem chi tiết")</f>
        <v/>
      </c>
      <c r="M15008" s="10" t="n"/>
    </row>
    <row r="15009">
      <c r="B15009" s="7" t="n">
        <v>15007</v>
      </c>
      <c r="C15009" t="inlineStr">
        <is>
          <t>CHUYÊN VIÊN NHÂN SỰ</t>
        </is>
      </c>
      <c r="D15009" t="inlineStr">
        <is>
          <t>Blue Sky Corporation</t>
        </is>
      </c>
      <c r="E15009" t="inlineStr">
        <is>
          <t>Lương:Cạnh tranh</t>
        </is>
      </c>
      <c r="F15009" t="inlineStr">
        <is>
          <t>Hồ Chí Minh</t>
        </is>
      </c>
      <c r="G15009" t="inlineStr">
        <is>
          <t>24-03-2026</t>
        </is>
      </c>
      <c r="H15009" t="inlineStr">
        <is>
          <t>24/03/2026</t>
        </is>
      </c>
      <c r="I15009" t="inlineStr">
        <is>
          <t>17/03/2026</t>
        </is>
      </c>
      <c r="J15009" t="inlineStr">
        <is>
          <t>Nhân sự, Kế toán / Kiểm toán, Hành chính / Thư ký</t>
        </is>
      </c>
      <c r="K15009" t="inlineStr">
        <is>
          <t>Chưa có kinh nghiệm</t>
        </is>
      </c>
      <c r="L15009" s="8">
        <f>HYPERLINK("https://careerviet.vn/vi/tim-viec-lam/chuyen-vien-nhan-su.35C6964E.html","Xem chi tiết")</f>
        <v/>
      </c>
    </row>
    <row r="15010">
      <c r="B15010" s="9" t="n">
        <v>15008</v>
      </c>
      <c r="C15010" s="10" t="inlineStr">
        <is>
          <t>CHUYÊN VIÊN VẬN HÀNH HỆ THỐNG</t>
        </is>
      </c>
      <c r="D15010" s="10" t="inlineStr">
        <is>
          <t>CÔNG TY TNHH XUẤT NHẬP KHẨU RUTOP VIỆT NAM - Thương Hiệu Toptotoes</t>
        </is>
      </c>
      <c r="E15010" s="10" t="inlineStr">
        <is>
          <t>Lương:10 Tr - 15 Tr VND</t>
        </is>
      </c>
      <c r="F15010" s="10" t="inlineStr">
        <is>
          <t>Hà Nội</t>
        </is>
      </c>
      <c r="G15010" s="10" t="inlineStr">
        <is>
          <t>24-03-2026</t>
        </is>
      </c>
      <c r="H15010" s="10" t="inlineStr">
        <is>
          <t>24/03/2026</t>
        </is>
      </c>
      <c r="I15010" s="10" t="inlineStr">
        <is>
          <t>17/03/2026</t>
        </is>
      </c>
      <c r="J15010" s="10" t="inlineStr">
        <is>
          <t>Thương mại điện tử, CNTT - Phần mềm, Vận chuyển / Giao nhận / Kho vận</t>
        </is>
      </c>
      <c r="K15010" s="10" t="inlineStr">
        <is>
          <t>Trên 1 Năm</t>
        </is>
      </c>
      <c r="L15010" s="11">
        <f>HYPERLINK("https://careerviet.vn/vi/tim-viec-lam/chuyen-vien-van-hanh-he-thong.35C6966A.html","Xem chi tiết")</f>
        <v/>
      </c>
      <c r="M15010" s="10" t="n"/>
    </row>
    <row r="15011">
      <c r="B15011" s="7" t="n">
        <v>15009</v>
      </c>
      <c r="C15011" t="inlineStr">
        <is>
          <t>Kỹ sư  QA</t>
        </is>
      </c>
      <c r="D15011" t="inlineStr">
        <is>
          <t>EuP Group</t>
        </is>
      </c>
      <c r="E15011" t="inlineStr">
        <is>
          <t>Lương:12 Tr - 18 Tr VND</t>
        </is>
      </c>
      <c r="F15011" t="inlineStr">
        <is>
          <t>Yên Bái</t>
        </is>
      </c>
      <c r="G15011" t="inlineStr">
        <is>
          <t>25-03-2026</t>
        </is>
      </c>
      <c r="H15011" t="inlineStr">
        <is>
          <t>25/03/2026</t>
        </is>
      </c>
      <c r="I15011" t="inlineStr">
        <is>
          <t>17/03/2026</t>
        </is>
      </c>
      <c r="J15011" t="inlineStr">
        <is>
          <t>Sản xuất / Vận hành sản xuất, Quản lý chất lượng (QA/QC), Quản lý điều hành</t>
        </is>
      </c>
      <c r="K15011" t="inlineStr">
        <is>
          <t>Trên 1 Năm</t>
        </is>
      </c>
      <c r="L15011" s="8">
        <f>HYPERLINK("https://careerviet.vn/vi/tim-viec-lam/ky-su-qa.35C69656.html","Xem chi tiết")</f>
        <v/>
      </c>
    </row>
    <row r="15012">
      <c r="B15012" s="9" t="n">
        <v>15010</v>
      </c>
      <c r="C15012" s="10" t="inlineStr">
        <is>
          <t>Nhân Viên Kỹ Thuật - Thi Công Sơn Nước</t>
        </is>
      </c>
      <c r="D15012" s="10" t="inlineStr">
        <is>
          <t>KOVA Commerce – KOVA Group</t>
        </is>
      </c>
      <c r="E15012" s="10" t="inlineStr">
        <is>
          <t>Lương:Cạnh tranh</t>
        </is>
      </c>
      <c r="F15012" s="10" t="inlineStr">
        <is>
          <t>Hồ Chí Minh</t>
        </is>
      </c>
      <c r="G15012" s="10" t="inlineStr">
        <is>
          <t>31-03-2026</t>
        </is>
      </c>
      <c r="H15012" s="10" t="inlineStr">
        <is>
          <t>31/03/2026</t>
        </is>
      </c>
      <c r="I15012" s="10" t="inlineStr">
        <is>
          <t>17/03/2026</t>
        </is>
      </c>
      <c r="J15012" s="10" t="inlineStr">
        <is>
          <t>Xây dựng</t>
        </is>
      </c>
      <c r="K15012" s="10" t="inlineStr">
        <is>
          <t>Chưa có kinh nghiệm</t>
        </is>
      </c>
      <c r="L15012" s="11">
        <f>HYPERLINK("https://careerviet.vn/vi/tim-viec-lam/nhan-vien-ky-thuat-thi-cong-son-nuoc.35C6964C.html","Xem chi tiết")</f>
        <v/>
      </c>
      <c r="M15012" s="10" t="n"/>
    </row>
    <row r="15013">
      <c r="B15013" s="7" t="n">
        <v>15011</v>
      </c>
      <c r="C15013" t="inlineStr">
        <is>
          <t>Chuyên gia Phát triển Sản phẩm số KHDN - Khối Ngân hàng số</t>
        </is>
      </c>
      <c r="D15013" t="inlineStr">
        <is>
          <t>Ngân Hàng TMCP Sài Gòn - Hà Nội ( SHB )</t>
        </is>
      </c>
      <c r="E15013" t="inlineStr">
        <is>
          <t>Lương:Cạnh tranh</t>
        </is>
      </c>
      <c r="F15013" t="inlineStr">
        <is>
          <t>Hà Nội</t>
        </is>
      </c>
      <c r="G15013" t="inlineStr">
        <is>
          <t>27-03-2026</t>
        </is>
      </c>
      <c r="H15013" t="inlineStr">
        <is>
          <t>27/03/2026</t>
        </is>
      </c>
      <c r="I15013" t="inlineStr">
        <is>
          <t>17/03/2026</t>
        </is>
      </c>
      <c r="J15013" t="inlineStr">
        <is>
          <t>CNTT - Phần mềm, Ngân hàng, Tài chính / Đầu tư</t>
        </is>
      </c>
      <c r="K15013" t="inlineStr">
        <is>
          <t>Trên 5 Năm</t>
        </is>
      </c>
      <c r="L15013" s="8">
        <f>HYPERLINK("https://careerviet.vn/vi/tim-viec-lam/chuyen-gia-phat-trien-san-pham-so-khdn-khoi-ngan-hang-so.35C69784.html","Xem chi tiết")</f>
        <v/>
      </c>
    </row>
    <row r="15014">
      <c r="B15014" s="9" t="n">
        <v>15012</v>
      </c>
      <c r="C15014" s="10" t="inlineStr">
        <is>
          <t>Đại Diện Bán Hàng</t>
        </is>
      </c>
      <c r="D15014" s="10" t="inlineStr">
        <is>
          <t>Tập Đoàn Karofi Holding</t>
        </is>
      </c>
      <c r="E15014" s="10" t="inlineStr">
        <is>
          <t>Lương:Cạnh tranh</t>
        </is>
      </c>
      <c r="F15014" s="10" t="inlineStr">
        <is>
          <t>Lào CaiBắc Cạn</t>
        </is>
      </c>
      <c r="G15014" s="10" t="inlineStr">
        <is>
          <t>30-03-2026</t>
        </is>
      </c>
      <c r="H15014" s="10" t="inlineStr">
        <is>
          <t>30/03/2026</t>
        </is>
      </c>
      <c r="I15014" s="10" t="inlineStr">
        <is>
          <t>17/03/2026</t>
        </is>
      </c>
      <c r="J15014" s="10" t="inlineStr">
        <is>
          <t>Hàng gia dụng / Chăm sóc cá nhân, Bán lẻ / Bán sỉ, Bán hàng / Kinh doanh</t>
        </is>
      </c>
      <c r="K15014" s="10" t="inlineStr">
        <is>
          <t>Trên 1 Năm</t>
        </is>
      </c>
      <c r="L15014" s="11">
        <f>HYPERLINK("https://careerviet.vn/vi/tim-viec-lam/dai-dien-ban-hang.35C696E0.html","Xem chi tiết")</f>
        <v/>
      </c>
      <c r="M15014" s="10" t="n"/>
    </row>
    <row r="15015">
      <c r="B15015" s="7" t="n">
        <v>15013</v>
      </c>
      <c r="C15015" t="inlineStr">
        <is>
          <t>Quản lý Kinh Doanh Kênh GT ngành điều hòa</t>
        </is>
      </c>
      <c r="D15015" t="inlineStr">
        <is>
          <t>Tập Đoàn Karofi Holding</t>
        </is>
      </c>
      <c r="E15015" t="inlineStr">
        <is>
          <t>Lương:Cạnh tranh</t>
        </is>
      </c>
      <c r="F15015" t="inlineStr">
        <is>
          <t>Hồ Chí MinhHà Nội</t>
        </is>
      </c>
      <c r="G15015" t="inlineStr">
        <is>
          <t>30-03-2026</t>
        </is>
      </c>
      <c r="H15015" t="inlineStr">
        <is>
          <t>30/03/2026</t>
        </is>
      </c>
      <c r="I15015" t="inlineStr">
        <is>
          <t>17/03/2026</t>
        </is>
      </c>
      <c r="J15015" t="inlineStr">
        <is>
          <t>Bán lẻ / Bán sỉ, Bán hàng / Kinh doanh</t>
        </is>
      </c>
      <c r="K15015" t="inlineStr">
        <is>
          <t>5 - 8 Năm</t>
        </is>
      </c>
      <c r="L15015" s="8">
        <f>HYPERLINK("https://careerviet.vn/vi/tim-viec-lam/quan-ly-kinh-doanh-kenh-gt-nganh-dieu-hoa.35C69581.html","Xem chi tiết")</f>
        <v/>
      </c>
    </row>
    <row r="15016">
      <c r="B15016" s="9" t="n">
        <v>15014</v>
      </c>
      <c r="C15016" s="10" t="inlineStr">
        <is>
          <t>Kế Toán Trưởng (KTT)</t>
        </is>
      </c>
      <c r="D15016" s="10" t="inlineStr">
        <is>
          <t>CÔNG TY CỔ PHẦN THƯƠNG MẠI VÀ DỊCH VỤ HAKICO</t>
        </is>
      </c>
      <c r="E15016" s="10" t="inlineStr">
        <is>
          <t>Lương:Cạnh tranh</t>
        </is>
      </c>
      <c r="F15016" s="10" t="inlineStr">
        <is>
          <t>Hồ Chí Minh</t>
        </is>
      </c>
      <c r="G15016" s="10" t="inlineStr">
        <is>
          <t>24-03-2026</t>
        </is>
      </c>
      <c r="H15016" s="10" t="inlineStr">
        <is>
          <t>24/03/2026</t>
        </is>
      </c>
      <c r="I15016" s="10" t="inlineStr">
        <is>
          <t>17/03/2026</t>
        </is>
      </c>
      <c r="J15016" s="10" t="inlineStr">
        <is>
          <t>Kế toán / Kiểm toán, Luật / Pháp lý, Tài chính / Đầu tư</t>
        </is>
      </c>
      <c r="K15016" s="10" t="inlineStr">
        <is>
          <t>Trên 5 Năm</t>
        </is>
      </c>
      <c r="L15016" s="11">
        <f>HYPERLINK("https://careerviet.vn/vi/tim-viec-lam/ke-toan-truong-ktt.35C6962C.html","Xem chi tiết")</f>
        <v/>
      </c>
      <c r="M15016" s="10" t="n"/>
    </row>
    <row r="15017">
      <c r="B15017" s="7" t="n">
        <v>15015</v>
      </c>
      <c r="C15017" t="inlineStr">
        <is>
          <t>VIDEO EDITOR</t>
        </is>
      </c>
      <c r="D15017" t="inlineStr">
        <is>
          <t>CÔNG TY TNHH THẨM MỸ QUỐC TẾ LINH ANH</t>
        </is>
      </c>
      <c r="E15017" t="inlineStr">
        <is>
          <t>Lương:15 Tr - 25 Tr VND</t>
        </is>
      </c>
      <c r="F15017" t="inlineStr">
        <is>
          <t>Hồ Chí Minh</t>
        </is>
      </c>
      <c r="G15017" t="inlineStr">
        <is>
          <t>04-04-2026</t>
        </is>
      </c>
      <c r="H15017" t="inlineStr">
        <is>
          <t>04/04/2026</t>
        </is>
      </c>
      <c r="I15017" t="inlineStr">
        <is>
          <t>17/03/2026</t>
        </is>
      </c>
      <c r="J15017" t="inlineStr">
        <is>
          <t>Tiếp thị / Marketing</t>
        </is>
      </c>
      <c r="K15017" t="inlineStr">
        <is>
          <t>1 - 5 Năm</t>
        </is>
      </c>
      <c r="L15017" s="8">
        <f>HYPERLINK("https://careerviet.vn/vi/tim-viec-lam/video-editor.35C696D6.html","Xem chi tiết")</f>
        <v/>
      </c>
    </row>
    <row r="15018">
      <c r="B15018" s="9" t="n">
        <v>15016</v>
      </c>
      <c r="C15018" s="10" t="inlineStr">
        <is>
          <t>QA Senior Staff</t>
        </is>
      </c>
      <c r="D15018" s="10" t="inlineStr">
        <is>
          <t>Công Ty TNHH YKK Việt Nam</t>
        </is>
      </c>
      <c r="E15018" s="10" t="inlineStr">
        <is>
          <t>Lương:12 Tr - 16 Tr VND</t>
        </is>
      </c>
      <c r="F15018" s="10" t="inlineStr">
        <is>
          <t>Đồng Nai</t>
        </is>
      </c>
      <c r="G15018" s="10" t="inlineStr">
        <is>
          <t>31-03-2026</t>
        </is>
      </c>
      <c r="H15018" s="10" t="inlineStr">
        <is>
          <t>31/03/2026</t>
        </is>
      </c>
      <c r="I15018" s="10" t="inlineStr">
        <is>
          <t>17/03/2026</t>
        </is>
      </c>
      <c r="J15018" s="10" t="inlineStr">
        <is>
          <t>Hóa học, Quản lý chất lượng (QA/QC)</t>
        </is>
      </c>
      <c r="K15018" s="10" t="inlineStr">
        <is>
          <t>N/A</t>
        </is>
      </c>
      <c r="L15018" s="11">
        <f>HYPERLINK("https://careerviet.vn/vi/tim-viec-lam/qa-senior-staff.35C694DB.html","Xem chi tiết")</f>
        <v/>
      </c>
      <c r="M15018" s="10" t="n"/>
    </row>
    <row r="15019">
      <c r="B15019" s="7" t="n">
        <v>15017</v>
      </c>
      <c r="C15019" t="inlineStr">
        <is>
          <t>Chuyên viên pháp lý dự án</t>
        </is>
      </c>
      <c r="D15019" t="inlineStr">
        <is>
          <t>Công ty Cổ phần công nghệ và đầu tư INTECH</t>
        </is>
      </c>
      <c r="E15019" t="inlineStr">
        <is>
          <t>Lương:13 Tr - 18 Tr VND</t>
        </is>
      </c>
      <c r="F15019" t="inlineStr">
        <is>
          <t>Hà Nội</t>
        </is>
      </c>
      <c r="G15019" t="inlineStr">
        <is>
          <t>31-03-2026</t>
        </is>
      </c>
      <c r="H15019" t="inlineStr">
        <is>
          <t>31/03/2026</t>
        </is>
      </c>
      <c r="I15019" t="inlineStr">
        <is>
          <t>17/03/2026</t>
        </is>
      </c>
      <c r="J15019" t="inlineStr">
        <is>
          <t>Luật / Pháp lý</t>
        </is>
      </c>
      <c r="K15019" t="inlineStr">
        <is>
          <t>1 - 2 Năm</t>
        </is>
      </c>
      <c r="L15019" s="8">
        <f>HYPERLINK("https://careerviet.vn/vi/tim-viec-lam/chuyen-vien-phap-ly-du-an.35C695A3.html","Xem chi tiết")</f>
        <v/>
      </c>
    </row>
    <row r="15020">
      <c r="B15020" s="9" t="n">
        <v>15018</v>
      </c>
      <c r="C15020" s="10" t="inlineStr">
        <is>
          <t>Talent Acquisition Manager (TAM) Cum HRBP</t>
        </is>
      </c>
      <c r="D15020" s="10" t="inlineStr">
        <is>
          <t>Công Ty TNHH XNK Phát Triển Đông Dương</t>
        </is>
      </c>
      <c r="E15020" s="10" t="inlineStr">
        <is>
          <t>Lương:Cạnh tranh</t>
        </is>
      </c>
      <c r="F15020" s="10" t="inlineStr">
        <is>
          <t>Hồ Chí Minh</t>
        </is>
      </c>
      <c r="G15020" s="10" t="inlineStr">
        <is>
          <t>31-03-2026</t>
        </is>
      </c>
      <c r="H15020" s="10" t="inlineStr">
        <is>
          <t>31/03/2026</t>
        </is>
      </c>
      <c r="I15020" s="10" t="inlineStr">
        <is>
          <t>17/03/2026</t>
        </is>
      </c>
      <c r="J15020" s="10" t="inlineStr">
        <is>
          <t>Nhân sự, Quản lý điều hành, Hành chính / Thư ký</t>
        </is>
      </c>
      <c r="K15020" s="10" t="inlineStr">
        <is>
          <t>5 - 9 Năm</t>
        </is>
      </c>
      <c r="L15020" s="11">
        <f>HYPERLINK("https://careerviet.vn/vi/tim-viec-lam/talent-acquisition-manager-tam-cum-hrbp.35C69472.html","Xem chi tiết")</f>
        <v/>
      </c>
      <c r="M15020" s="10" t="n"/>
    </row>
    <row r="15021">
      <c r="B15021" s="7" t="n">
        <v>15019</v>
      </c>
      <c r="C15021" t="inlineStr">
        <is>
          <t>Kế Toán Thanh Toán</t>
        </is>
      </c>
      <c r="D15021" t="inlineStr">
        <is>
          <t>Công ty TNHH Thiên Thủy Mộc</t>
        </is>
      </c>
      <c r="E15021" t="inlineStr">
        <is>
          <t>Lương:10 Tr - 15 Tr VND</t>
        </is>
      </c>
      <c r="F15021" t="inlineStr">
        <is>
          <t>Hà Nội</t>
        </is>
      </c>
      <c r="G15021" t="inlineStr">
        <is>
          <t>24-03-2026</t>
        </is>
      </c>
      <c r="H15021" t="inlineStr">
        <is>
          <t>24/03/2026</t>
        </is>
      </c>
      <c r="I15021" t="inlineStr">
        <is>
          <t>17/03/2026</t>
        </is>
      </c>
      <c r="J15021" t="inlineStr">
        <is>
          <t>Kế toán / Kiểm toán</t>
        </is>
      </c>
      <c r="K15021" t="inlineStr">
        <is>
          <t>1 - 3 Năm</t>
        </is>
      </c>
      <c r="L15021" s="8">
        <f>HYPERLINK("https://careerviet.vn/vi/tim-viec-lam/ke-toan-thanh-toan.35C695BA.html","Xem chi tiết")</f>
        <v/>
      </c>
    </row>
    <row r="15022">
      <c r="B15022" s="9" t="n">
        <v>15020</v>
      </c>
      <c r="C15022" s="10" t="inlineStr">
        <is>
          <t>Cửa hàng trưởng nhà thuốc</t>
        </is>
      </c>
      <c r="D15022" s="10" t="inlineStr">
        <is>
          <t>Medigo Software</t>
        </is>
      </c>
      <c r="E15022" s="10" t="inlineStr">
        <is>
          <t>Lương:12 Tr - 20 Tr VND</t>
        </is>
      </c>
      <c r="F15022" s="10" t="inlineStr">
        <is>
          <t>Hồ Chí Minh</t>
        </is>
      </c>
      <c r="G15022" s="10" t="inlineStr">
        <is>
          <t>23-04-2026</t>
        </is>
      </c>
      <c r="H15022" s="10" t="inlineStr">
        <is>
          <t>23/04/2026</t>
        </is>
      </c>
      <c r="I15022" s="10" t="inlineStr">
        <is>
          <t>17/03/2026</t>
        </is>
      </c>
      <c r="J15022" s="10" t="inlineStr">
        <is>
          <t>Dược phẩm/ Hóa Mỹ Phẩm, Y tế / Chăm sóc sức khỏe / Thẩm mỹ / Làm đẹp, Tư vấn</t>
        </is>
      </c>
      <c r="K15022" s="10" t="inlineStr">
        <is>
          <t>2 - 30 Năm</t>
        </is>
      </c>
      <c r="L15022" s="11">
        <f>HYPERLINK("https://careerviet.vn/vi/tim-viec-lam/cua-hang-truong-nha-thuoc.35C6963F.html","Xem chi tiết")</f>
        <v/>
      </c>
      <c r="M15022" s="10" t="n"/>
    </row>
    <row r="15023">
      <c r="B15023" s="7" t="n">
        <v>15021</v>
      </c>
      <c r="C15023" t="inlineStr">
        <is>
          <t>Nhân viên Kinh doanh Ninh Bình</t>
        </is>
      </c>
      <c r="D15023" t="inlineStr">
        <is>
          <t>Công ty cổ phần văn phòng phẩm Hồng Hà</t>
        </is>
      </c>
      <c r="E15023" t="inlineStr">
        <is>
          <t>Lương:8 Tr - 15 Tr VND</t>
        </is>
      </c>
      <c r="F15023" t="inlineStr">
        <is>
          <t>Hà NamNinh Bình</t>
        </is>
      </c>
      <c r="G15023" t="inlineStr">
        <is>
          <t>Hôm nay</t>
        </is>
      </c>
      <c r="H15023" t="inlineStr">
        <is>
          <t>17/03/2026</t>
        </is>
      </c>
      <c r="I15023" t="inlineStr">
        <is>
          <t>17/03/2026</t>
        </is>
      </c>
      <c r="J15023" t="inlineStr">
        <is>
          <t>Tiếp thị / Marketing, Bán hàng / Kinh doanh, Mới tốt nghiệp / Thực tập</t>
        </is>
      </c>
      <c r="K15023" t="inlineStr">
        <is>
          <t>N/A</t>
        </is>
      </c>
      <c r="L15023" s="8">
        <f>HYPERLINK("https://careerviet.vn/vi/tim-viec-lam/nhan-vien-kinh-doanh-ninh-binh.35C694FA.html","Xem chi tiết")</f>
        <v/>
      </c>
    </row>
    <row r="15024">
      <c r="B15024" s="9" t="n">
        <v>15022</v>
      </c>
      <c r="C15024" s="10" t="inlineStr">
        <is>
          <t>[Long An] Chuyên viên hành chính nhân sự</t>
        </is>
      </c>
      <c r="D15024" s="10" t="inlineStr">
        <is>
          <t>Tập Đoàn Tân Á Đại Thành</t>
        </is>
      </c>
      <c r="E15024" s="10" t="inlineStr">
        <is>
          <t>Lương:12 Tr - 13 Tr VND</t>
        </is>
      </c>
      <c r="F15024" s="10" t="inlineStr">
        <is>
          <t>Long An</t>
        </is>
      </c>
      <c r="G15024" s="10" t="inlineStr">
        <is>
          <t>10-03-2026</t>
        </is>
      </c>
      <c r="H15024" s="10" t="inlineStr">
        <is>
          <t>14/03/2026</t>
        </is>
      </c>
      <c r="I15024" s="10" t="inlineStr">
        <is>
          <t>17/03/2026</t>
        </is>
      </c>
      <c r="J15024" s="10" t="inlineStr">
        <is>
          <t>Nhân sự, Sản xuất / Vận hành sản xuất, Hành chính / Thư ký</t>
        </is>
      </c>
      <c r="K15024" s="10" t="inlineStr">
        <is>
          <t>1 - 3 Năm</t>
        </is>
      </c>
      <c r="L15024" s="11">
        <f>HYPERLINK("https://careerviet.vn/vi/tim-viec-lam/long-an-chuyen-vien-hanh-chinh-nhan-su.35C694B2.html","Xem chi tiết")</f>
        <v/>
      </c>
      <c r="M15024" s="10" t="n"/>
    </row>
    <row r="15025">
      <c r="B15025" s="7" t="n">
        <v>15023</v>
      </c>
      <c r="C15025" t="inlineStr">
        <is>
          <t>Thư ký Dự án</t>
        </is>
      </c>
      <c r="D15025" t="inlineStr">
        <is>
          <t>Công ty Cổ phần FECON</t>
        </is>
      </c>
      <c r="E15025" t="inlineStr">
        <is>
          <t>Lương:Cạnh tranh</t>
        </is>
      </c>
      <c r="F15025" t="inlineStr">
        <is>
          <t>Hà Nội</t>
        </is>
      </c>
      <c r="G15025" t="inlineStr">
        <is>
          <t>27-03-2026</t>
        </is>
      </c>
      <c r="H15025" t="inlineStr">
        <is>
          <t>27/03/2026</t>
        </is>
      </c>
      <c r="I15025" t="inlineStr">
        <is>
          <t>17/03/2026</t>
        </is>
      </c>
      <c r="J15025" t="inlineStr">
        <is>
          <t>Xây dựng</t>
        </is>
      </c>
      <c r="K15025" t="inlineStr">
        <is>
          <t>Trên 2 Năm</t>
        </is>
      </c>
      <c r="L15025" s="8">
        <f>HYPERLINK("https://careerviet.vn/vi/tim-viec-lam/thu-ky-du-an.35C69594.html","Xem chi tiết")</f>
        <v/>
      </c>
    </row>
    <row r="15026">
      <c r="B15026" s="9" t="n">
        <v>15024</v>
      </c>
      <c r="C15026" s="10" t="inlineStr">
        <is>
          <t>Trưởng bộ phận Kinh doanh quốc tế (Làm việc tại Tây Ninh)</t>
        </is>
      </c>
      <c r="D15026" s="10" t="inlineStr">
        <is>
          <t>Công ty CP Thành Thành Công - Biên Hòa</t>
        </is>
      </c>
      <c r="E15026" s="10" t="inlineStr">
        <is>
          <t>Lương:Cạnh tranh</t>
        </is>
      </c>
      <c r="F15026" s="10" t="inlineStr">
        <is>
          <t>Tây Ninh</t>
        </is>
      </c>
      <c r="G15026" s="10" t="inlineStr">
        <is>
          <t>27-03-2026</t>
        </is>
      </c>
      <c r="H15026" s="10" t="inlineStr">
        <is>
          <t>27/03/2026</t>
        </is>
      </c>
      <c r="I15026" s="10" t="inlineStr">
        <is>
          <t>17/03/2026</t>
        </is>
      </c>
      <c r="J15026" s="10" t="inlineStr">
        <is>
          <t>Luật / Pháp lý, Bán lẻ / Bán sỉ, Chứng khoán</t>
        </is>
      </c>
      <c r="K15026" s="10" t="inlineStr">
        <is>
          <t>2 - 4 Năm</t>
        </is>
      </c>
      <c r="L15026" s="11">
        <f>HYPERLINK("https://careerviet.vn/vi/tim-viec-lam/truong-bo-phan-kinh-doanh-quoc-te-lam-viec-tai-tay-ninh.35C696FE.html","Xem chi tiết")</f>
        <v/>
      </c>
      <c r="M15026" s="10" t="n"/>
    </row>
    <row r="15027">
      <c r="B15027" s="7" t="n">
        <v>15025</v>
      </c>
      <c r="C15027" t="inlineStr">
        <is>
          <t>Nhân viên kĩ thuật điện</t>
        </is>
      </c>
      <c r="D15027" t="inlineStr">
        <is>
          <t>CÔNG TY CỔ PHẦN CÔNG NGHIỆP ĐÔNG HƯNG</t>
        </is>
      </c>
      <c r="E15027" t="inlineStr">
        <is>
          <t>Lương:12 Tr - 16 Tr VND</t>
        </is>
      </c>
      <c r="F15027" t="inlineStr">
        <is>
          <t>Hà Nội</t>
        </is>
      </c>
      <c r="G15027" t="inlineStr">
        <is>
          <t>31-03-2026</t>
        </is>
      </c>
      <c r="H15027" t="inlineStr">
        <is>
          <t>31/03/2026</t>
        </is>
      </c>
      <c r="I15027" t="inlineStr">
        <is>
          <t>17/03/2026</t>
        </is>
      </c>
      <c r="J15027" t="inlineStr">
        <is>
          <t>Điện / Điện tử / Điện lạnh / Điện công nghiệp, Bảo trì / Sửa chữa</t>
        </is>
      </c>
      <c r="K15027" t="inlineStr">
        <is>
          <t>2 - 4 Năm</t>
        </is>
      </c>
      <c r="L15027" s="8">
        <f>HYPERLINK("https://careerviet.vn/vi/tim-viec-lam/nhan-vien-ki-thuat-dien.35C693AE.html","Xem chi tiết")</f>
        <v/>
      </c>
    </row>
    <row r="15028">
      <c r="B15028" s="9" t="n">
        <v>15026</v>
      </c>
      <c r="C15028" s="10" t="inlineStr">
        <is>
          <t>Giám Sát Tuân Thủ</t>
        </is>
      </c>
      <c r="D15028" s="10" t="inlineStr">
        <is>
          <t>Công ty TNHH X.E Việt Nam</t>
        </is>
      </c>
      <c r="E15028" s="10" t="inlineStr">
        <is>
          <t>Lương:11 Tr - 15 Tr VND</t>
        </is>
      </c>
      <c r="F15028" s="10" t="inlineStr">
        <is>
          <t>Hà Nội</t>
        </is>
      </c>
      <c r="G15028" s="10" t="inlineStr">
        <is>
          <t>25-03-2026</t>
        </is>
      </c>
      <c r="H15028" s="10" t="inlineStr">
        <is>
          <t>25/03/2026</t>
        </is>
      </c>
      <c r="I15028" s="10" t="inlineStr">
        <is>
          <t>17/03/2026</t>
        </is>
      </c>
      <c r="J15028" s="10" t="inlineStr">
        <is>
          <t>Vận chuyển / Giao nhận / Kho vận, Ngành khác</t>
        </is>
      </c>
      <c r="K15028" s="10" t="inlineStr">
        <is>
          <t>1 - 3 Năm</t>
        </is>
      </c>
      <c r="L15028" s="11">
        <f>HYPERLINK("https://careerviet.vn/vi/tim-viec-lam/giam-sat-tuan-thu.35C69568.html","Xem chi tiết")</f>
        <v/>
      </c>
      <c r="M15028" s="10" t="n"/>
    </row>
    <row r="15029">
      <c r="B15029" s="7" t="n">
        <v>15027</v>
      </c>
      <c r="C15029" t="inlineStr">
        <is>
          <t>Nhân Viên Tư Vấn Tuyển Sinh (Long Khánh - Đồng Nai)</t>
        </is>
      </c>
      <c r="D15029" t="inlineStr">
        <is>
          <t>Công Ty CP Liên Kết Quốc Tế INTERLINK (Trường Liên Kết Quốc Tế INschool &amp; Ngoại Ngữ Quốc Tế INS ENGLISH &amp; CHINESE)</t>
        </is>
      </c>
      <c r="E15029" t="inlineStr">
        <is>
          <t>Lương:7 Tr - 10 Tr VND</t>
        </is>
      </c>
      <c r="F15029" t="inlineStr">
        <is>
          <t>Dak Lak</t>
        </is>
      </c>
      <c r="G15029" t="inlineStr">
        <is>
          <t>24-03-2026</t>
        </is>
      </c>
      <c r="H15029" t="inlineStr">
        <is>
          <t>24/03/2026</t>
        </is>
      </c>
      <c r="I15029" t="inlineStr">
        <is>
          <t>17/03/2026</t>
        </is>
      </c>
      <c r="J15029" t="inlineStr">
        <is>
          <t>Bán lẻ / Bán sỉ, Bán hàng / Kinh doanh, Tư vấn</t>
        </is>
      </c>
      <c r="K15029" t="inlineStr">
        <is>
          <t>1 - 2 Năm</t>
        </is>
      </c>
      <c r="L15029" s="8">
        <f>HYPERLINK("https://careerviet.vn/vi/tim-viec-lam/nhan-vien-tu-van-tuyen-sinh-long-khanh-dong-nai.35C69822.html","Xem chi tiết")</f>
        <v/>
      </c>
    </row>
    <row r="15030">
      <c r="B15030" s="9" t="n">
        <v>15028</v>
      </c>
      <c r="C15030" s="10" t="inlineStr">
        <is>
          <t>Phó Tổng Giám đốc Kinh doanh</t>
        </is>
      </c>
      <c r="D15030" s="10" t="inlineStr">
        <is>
          <t>Công ty Cổ phần Tập đoàn Meey Land</t>
        </is>
      </c>
      <c r="E15030" s="10" t="inlineStr">
        <is>
          <t>Lương:Cạnh tranh</t>
        </is>
      </c>
      <c r="F15030" s="10" t="inlineStr">
        <is>
          <t>Hà Nội</t>
        </is>
      </c>
      <c r="G15030" s="10" t="inlineStr">
        <is>
          <t>26-03-2026</t>
        </is>
      </c>
      <c r="H15030" s="10" t="inlineStr">
        <is>
          <t>26/03/2026</t>
        </is>
      </c>
      <c r="I15030" s="10" t="inlineStr">
        <is>
          <t>17/03/2026</t>
        </is>
      </c>
      <c r="J15030" s="10" t="inlineStr">
        <is>
          <t>Tiếp thị / Marketing, Bán hàng / Kinh doanh, CNTT - Phần mềm</t>
        </is>
      </c>
      <c r="K15030" s="10" t="inlineStr">
        <is>
          <t>10 - 20 Năm</t>
        </is>
      </c>
      <c r="L15030" s="11">
        <f>HYPERLINK("https://careerviet.vn/vi/tim-viec-lam/pho-tong-giam-doc-kinh-doanh.35C69752.html","Xem chi tiết")</f>
        <v/>
      </c>
      <c r="M15030" s="10" t="n"/>
    </row>
    <row r="15031">
      <c r="B15031" s="7" t="n">
        <v>15029</v>
      </c>
      <c r="C15031" t="inlineStr">
        <is>
          <t>Nhân viên Kế Toán</t>
        </is>
      </c>
      <c r="D15031" t="inlineStr">
        <is>
          <t>Công Ty Cổ Phần Y Tế Việt Tiến</t>
        </is>
      </c>
      <c r="E15031" t="inlineStr">
        <is>
          <t>Lương:Cạnh tranh</t>
        </is>
      </c>
      <c r="F15031" t="inlineStr">
        <is>
          <t>Hồ Chí Minh</t>
        </is>
      </c>
      <c r="G15031" t="inlineStr">
        <is>
          <t>27-03-2026</t>
        </is>
      </c>
      <c r="H15031" t="inlineStr">
        <is>
          <t>27/03/2026</t>
        </is>
      </c>
      <c r="I15031" t="inlineStr">
        <is>
          <t>17/03/2026</t>
        </is>
      </c>
      <c r="J15031" t="inlineStr">
        <is>
          <t>Kế toán / Kiểm toán</t>
        </is>
      </c>
      <c r="K15031" t="inlineStr">
        <is>
          <t>1 - 3 Năm</t>
        </is>
      </c>
      <c r="L15031" s="8">
        <f>HYPERLINK("https://careerviet.vn/vi/tim-viec-lam/nhan-vien-ke-toan.35C6957C.html","Xem chi tiết")</f>
        <v/>
      </c>
    </row>
    <row r="15032">
      <c r="B15032" s="9" t="n">
        <v>15030</v>
      </c>
      <c r="C15032" s="10" t="inlineStr">
        <is>
          <t>Tuyển 03 nhân viên Admin</t>
        </is>
      </c>
      <c r="D15032" s="10" t="inlineStr">
        <is>
          <t>TED SAIGON</t>
        </is>
      </c>
      <c r="E15032" s="10" t="inlineStr">
        <is>
          <t>Lương:9 Tr - 10 Tr VND</t>
        </is>
      </c>
      <c r="F15032" s="10" t="inlineStr">
        <is>
          <t>Hồ Chí Minh</t>
        </is>
      </c>
      <c r="G15032" s="10" t="inlineStr">
        <is>
          <t>26-03-2026</t>
        </is>
      </c>
      <c r="H15032" s="10" t="inlineStr">
        <is>
          <t>26/03/2026</t>
        </is>
      </c>
      <c r="I15032" s="10" t="inlineStr">
        <is>
          <t>17/03/2026</t>
        </is>
      </c>
      <c r="J15032" s="10" t="inlineStr">
        <is>
          <t>Giáo dục / Đào tạo, Tư vấn, Bán hàng / Kinh doanh</t>
        </is>
      </c>
      <c r="K15032" s="10" t="inlineStr">
        <is>
          <t>1 - 2 Năm</t>
        </is>
      </c>
      <c r="L15032" s="11">
        <f>HYPERLINK("https://careerviet.vn/vi/tim-viec-lam/tuyen-03-nhan-vien-admin.35C69833.html","Xem chi tiết")</f>
        <v/>
      </c>
      <c r="M15032" s="10" t="n"/>
    </row>
    <row r="15033">
      <c r="B15033" s="7" t="n">
        <v>15031</v>
      </c>
      <c r="C15033" t="inlineStr">
        <is>
          <t>Chuyên viên Thủ tục Hợp đồng (Chủ đầu tư BĐS)</t>
        </is>
      </c>
      <c r="D15033" t="inlineStr">
        <is>
          <t>Công ty Cổ phần Tập đoàn KITA Group</t>
        </is>
      </c>
      <c r="E15033" t="inlineStr">
        <is>
          <t>Lương:Cạnh tranh</t>
        </is>
      </c>
      <c r="F15033" t="inlineStr">
        <is>
          <t>Hồ Chí Minh</t>
        </is>
      </c>
      <c r="G15033" t="inlineStr">
        <is>
          <t>10-03-2026</t>
        </is>
      </c>
      <c r="H15033" t="inlineStr">
        <is>
          <t>27/02/2026</t>
        </is>
      </c>
      <c r="I15033" t="inlineStr">
        <is>
          <t>17/03/2026</t>
        </is>
      </c>
      <c r="J15033" t="inlineStr">
        <is>
          <t>Bán hàng / Kinh doanh, Dịch vụ khách hàng, Bất động sản</t>
        </is>
      </c>
      <c r="K15033" t="inlineStr">
        <is>
          <t>2 - 5 Năm</t>
        </is>
      </c>
      <c r="L15033" s="8">
        <f>HYPERLINK("https://careerviet.vn/vi/tim-viec-lam/chuyen-vien-thu-tuc-hop-dong-chu-dau-tu-bds.35C6983A.html","Xem chi tiết")</f>
        <v/>
      </c>
    </row>
    <row r="15034">
      <c r="B15034" s="9" t="n">
        <v>15032</v>
      </c>
      <c r="C15034" s="10" t="inlineStr">
        <is>
          <t>Nhân viên QC chấm điểm dịch vụ khách hàng</t>
        </is>
      </c>
      <c r="D15034" s="10" t="inlineStr">
        <is>
          <t>NHÀ SÁCH TIẾN THỌ</t>
        </is>
      </c>
      <c r="E15034" s="10" t="inlineStr">
        <is>
          <t>Lương:9 Tr - 12 Tr VND</t>
        </is>
      </c>
      <c r="F15034" s="10" t="inlineStr">
        <is>
          <t>Hà Nội</t>
        </is>
      </c>
      <c r="G15034" s="10" t="inlineStr">
        <is>
          <t>31-03-2026</t>
        </is>
      </c>
      <c r="H15034" s="10" t="inlineStr">
        <is>
          <t>31/03/2026</t>
        </is>
      </c>
      <c r="I15034" s="10" t="inlineStr">
        <is>
          <t>17/03/2026</t>
        </is>
      </c>
      <c r="J15034" s="10" t="inlineStr">
        <is>
          <t>Quản lý chất lượng (QA/QC)</t>
        </is>
      </c>
      <c r="K15034" s="10" t="inlineStr">
        <is>
          <t>Chưa có kinh nghiệm</t>
        </is>
      </c>
      <c r="L15034" s="11">
        <f>HYPERLINK("https://careerviet.vn/vi/tim-viec-lam/nhan-vien-qc-cham-diem-dich-vu-khach-hang.35C69612.html","Xem chi tiết")</f>
        <v/>
      </c>
      <c r="M15034" s="10" t="n"/>
    </row>
    <row r="15035">
      <c r="B15035" s="7" t="n">
        <v>15033</v>
      </c>
      <c r="C15035" t="inlineStr">
        <is>
          <t>GIÁM SÁT KINH DOANH THỊ TRƯỜNG  - KHU VỰC MIỀN ĐÔNG</t>
        </is>
      </c>
      <c r="D15035" t="inlineStr">
        <is>
          <t>CÔNG TY CỔ PHẦN SẢN XUẤT, THƯƠNG MẠI VÀ DỊCH VỤ PHÚC THỊNH</t>
        </is>
      </c>
      <c r="E15035" t="inlineStr">
        <is>
          <t>Lương:10 Tr - 20 Tr VND</t>
        </is>
      </c>
      <c r="F15035" t="inlineStr">
        <is>
          <t>Đồng NaiBình PhướcBình Dương</t>
        </is>
      </c>
      <c r="G15035" t="inlineStr">
        <is>
          <t>10-03-2026</t>
        </is>
      </c>
      <c r="H15035" t="inlineStr">
        <is>
          <t>01/03/2026</t>
        </is>
      </c>
      <c r="I15035" t="inlineStr">
        <is>
          <t>17/03/2026</t>
        </is>
      </c>
      <c r="J15035" t="inlineStr">
        <is>
          <t>Tiếp thị / Marketing, Bán lẻ / Bán sỉ, Bán hàng / Kinh doanh</t>
        </is>
      </c>
      <c r="K15035" t="inlineStr">
        <is>
          <t>1 - 2 Năm</t>
        </is>
      </c>
      <c r="L15035" s="8">
        <f>HYPERLINK("https://careerviet.vn/vi/tim-viec-lam/giam-sat-kinh-doanh-thi-truong-khu-vuc-mien-dong.35C696F5.html","Xem chi tiết")</f>
        <v/>
      </c>
    </row>
    <row r="15036">
      <c r="B15036" s="9" t="n">
        <v>15034</v>
      </c>
      <c r="C15036" s="10" t="inlineStr">
        <is>
          <t>Chuyên viên cao cấp Marketing dự án BĐS</t>
        </is>
      </c>
      <c r="D15036" s="10" t="inlineStr">
        <is>
          <t>Công ty cổ phần Tập đoàn Danko</t>
        </is>
      </c>
      <c r="E15036" s="10" t="inlineStr">
        <is>
          <t>Lương:20 Tr - 30 Tr VND</t>
        </is>
      </c>
      <c r="F15036" s="10" t="inlineStr">
        <is>
          <t>Hà Nội</t>
        </is>
      </c>
      <c r="G15036" s="10" t="inlineStr">
        <is>
          <t>30-03-2026</t>
        </is>
      </c>
      <c r="H15036" s="10" t="inlineStr">
        <is>
          <t>30/03/2026</t>
        </is>
      </c>
      <c r="I15036" s="10" t="inlineStr">
        <is>
          <t>17/03/2026</t>
        </is>
      </c>
      <c r="J15036" s="10" t="inlineStr">
        <is>
          <t>Tiếp thị / Marketing, Quảng cáo / Đối ngoại / Truyền Thông, Bất động sản</t>
        </is>
      </c>
      <c r="K15036" s="10" t="inlineStr">
        <is>
          <t>Trên 5 Năm</t>
        </is>
      </c>
      <c r="L15036" s="11">
        <f>HYPERLINK("https://careerviet.vn/vi/tim-viec-lam/chuyen-vien-cao-cap-marketing-du-an-bds.35C694B3.html","Xem chi tiết")</f>
        <v/>
      </c>
      <c r="M15036" s="10" t="n"/>
    </row>
    <row r="15037">
      <c r="B15037" s="7" t="n">
        <v>15035</v>
      </c>
      <c r="C15037" t="inlineStr">
        <is>
          <t>Nhân Viên Kinh Doanh</t>
        </is>
      </c>
      <c r="D15037" t="inlineStr">
        <is>
          <t>Công Ty Cổ Phần Xuất Nhập Khẩu Nam Thái Sơn</t>
        </is>
      </c>
      <c r="E15037" t="inlineStr">
        <is>
          <t>Lương:Cạnh tranh</t>
        </is>
      </c>
      <c r="F15037" t="inlineStr">
        <is>
          <t>Hồ Chí Minh</t>
        </is>
      </c>
      <c r="G15037" t="inlineStr">
        <is>
          <t>31-03-2026</t>
        </is>
      </c>
      <c r="H15037" t="inlineStr">
        <is>
          <t>31/03/2026</t>
        </is>
      </c>
      <c r="I15037" t="inlineStr">
        <is>
          <t>17/03/2026</t>
        </is>
      </c>
      <c r="J15037" t="inlineStr">
        <is>
          <t>Bán hàng / Kinh doanh, Bán Hàng Kỹ Thuật, Môi trường</t>
        </is>
      </c>
      <c r="K15037" t="inlineStr">
        <is>
          <t>2 - 3 Năm</t>
        </is>
      </c>
      <c r="L15037" s="8">
        <f>HYPERLINK("https://careerviet.vn/vi/tim-viec-lam/nhan-vien-kinh-doanh.35C6973F.html","Xem chi tiết")</f>
        <v/>
      </c>
    </row>
    <row r="15038">
      <c r="B15038" s="9" t="n">
        <v>15036</v>
      </c>
      <c r="C15038" s="10" t="inlineStr">
        <is>
          <t>Chuyên viên QHKH cá nhân/doanh nghiệp (GO) Đồng Nai</t>
        </is>
      </c>
      <c r="D15038" s="10" t="inlineStr">
        <is>
          <t>Ngân hàng TMCP Phát triển TP.HCM (HDBank)</t>
        </is>
      </c>
      <c r="E15038" s="10" t="inlineStr">
        <is>
          <t>Lương:Cạnh tranh</t>
        </is>
      </c>
      <c r="F15038" s="10" t="inlineStr">
        <is>
          <t>Đồng Nai</t>
        </is>
      </c>
      <c r="G15038" s="10" t="inlineStr">
        <is>
          <t>30-04-2026</t>
        </is>
      </c>
      <c r="H15038" s="10" t="inlineStr">
        <is>
          <t>30/04/2026</t>
        </is>
      </c>
      <c r="I15038" s="10" t="inlineStr">
        <is>
          <t>17/03/2026</t>
        </is>
      </c>
      <c r="J15038" s="10" t="inlineStr">
        <is>
          <t>Bán hàng / Kinh doanh, Dịch vụ khách hàng, Ngân hàng</t>
        </is>
      </c>
      <c r="K15038" s="10" t="inlineStr">
        <is>
          <t>1 - 5 Năm</t>
        </is>
      </c>
      <c r="L15038" s="11">
        <f>HYPERLINK("https://careerviet.vn/vi/tim-viec-lam/chuyen-vien-qhkh-ca-nhan-doanh-nghiep-go-dong-nai.35C695A6.html","Xem chi tiết")</f>
        <v/>
      </c>
      <c r="M15038" s="10" t="n"/>
    </row>
    <row r="15039">
      <c r="B15039" s="7" t="n">
        <v>15037</v>
      </c>
      <c r="C15039" t="inlineStr">
        <is>
          <t>Chuyên Viên Tuyển Dụng</t>
        </is>
      </c>
      <c r="D15039" t="inlineStr">
        <is>
          <t>CÔNG TY TNHH SẢN XUẤT XÂY DỰNG ÁNH DƯƠNG XANH</t>
        </is>
      </c>
      <c r="E15039" t="inlineStr">
        <is>
          <t>Lương:14 Tr - 16 Tr VND</t>
        </is>
      </c>
      <c r="F15039" t="inlineStr">
        <is>
          <t>Hồ Chí Minh</t>
        </is>
      </c>
      <c r="G15039" t="inlineStr">
        <is>
          <t>24-03-2026</t>
        </is>
      </c>
      <c r="H15039" t="inlineStr">
        <is>
          <t>24/03/2026</t>
        </is>
      </c>
      <c r="I15039" t="inlineStr">
        <is>
          <t>17/03/2026</t>
        </is>
      </c>
      <c r="J15039" t="inlineStr">
        <is>
          <t>Hành chính / Thư ký, Nhân sự, Xây dựng</t>
        </is>
      </c>
      <c r="K15039" t="inlineStr">
        <is>
          <t>2 - 3 Năm</t>
        </is>
      </c>
      <c r="L15039" s="8">
        <f>HYPERLINK("https://careerviet.vn/vi/tim-viec-lam/chuyen-vien-tuyen-dung.35C69606.html","Xem chi tiết")</f>
        <v/>
      </c>
    </row>
    <row r="15040">
      <c r="B15040" s="9" t="n">
        <v>15038</v>
      </c>
      <c r="C15040" s="10" t="inlineStr">
        <is>
          <t>Kỹ sư Hiện trường (Hà Nội)</t>
        </is>
      </c>
      <c r="D15040" s="10" t="inlineStr">
        <is>
          <t>CÔNG TY CỔ PHẦN XÂY DỰNG VILAI VIỆT</t>
        </is>
      </c>
      <c r="E15040" s="10" t="inlineStr">
        <is>
          <t>Lương:15 Tr - 25 Tr VND</t>
        </is>
      </c>
      <c r="F15040" s="10" t="inlineStr">
        <is>
          <t>Hà Nội</t>
        </is>
      </c>
      <c r="G15040" s="10" t="inlineStr">
        <is>
          <t>31-03-2026</t>
        </is>
      </c>
      <c r="H15040" s="10" t="inlineStr">
        <is>
          <t>31/03/2026</t>
        </is>
      </c>
      <c r="I15040" s="10" t="inlineStr">
        <is>
          <t>17/03/2026</t>
        </is>
      </c>
      <c r="J15040" s="10" t="inlineStr">
        <is>
          <t>Xây dựng, Kiến trúc</t>
        </is>
      </c>
      <c r="K15040" s="10" t="inlineStr">
        <is>
          <t>2 - 5 Năm</t>
        </is>
      </c>
      <c r="L15040" s="11">
        <f>HYPERLINK("https://careerviet.vn/vi/tim-viec-lam/ky-su-hien-truong-ha-noi.35C6966E.html","Xem chi tiết")</f>
        <v/>
      </c>
      <c r="M15040" s="10" t="n"/>
    </row>
    <row r="15041">
      <c r="B15041" s="7" t="n">
        <v>15039</v>
      </c>
      <c r="C15041" t="inlineStr">
        <is>
          <t>CHUYÊN VIÊN PHÁP CHẾ (lĩnh vực BĐS)</t>
        </is>
      </c>
      <c r="D15041" t="inlineStr">
        <is>
          <t>CÔNG TY CP ĐẦU TƯ HẠ TẦNG KHU CÔNG NGHIỆP HÀ NỘI - BẮC GIANG</t>
        </is>
      </c>
      <c r="E15041" t="inlineStr">
        <is>
          <t>Lương:15 Tr - 25 Tr VND</t>
        </is>
      </c>
      <c r="F15041" t="inlineStr">
        <is>
          <t>Hà Nội</t>
        </is>
      </c>
      <c r="G15041" t="inlineStr">
        <is>
          <t>01-05-2026</t>
        </is>
      </c>
      <c r="H15041" t="inlineStr">
        <is>
          <t>01/05/2026</t>
        </is>
      </c>
      <c r="I15041" t="inlineStr">
        <is>
          <t>17/03/2026</t>
        </is>
      </c>
      <c r="J15041" t="inlineStr">
        <is>
          <t>Luật / Pháp lý, Xây dựng, Bất động sản</t>
        </is>
      </c>
      <c r="K15041" t="inlineStr">
        <is>
          <t>2 - 3 Năm</t>
        </is>
      </c>
      <c r="L15041" s="8">
        <f>HYPERLINK("https://careerviet.vn/vi/tim-viec-lam/chuyen-vien-phap-che-linh-vuc-bds.35C69777.html","Xem chi tiết")</f>
        <v/>
      </c>
    </row>
    <row r="15042">
      <c r="B15042" s="9" t="n">
        <v>15040</v>
      </c>
      <c r="C15042" s="10" t="inlineStr">
        <is>
          <t>Trưởng phòng Đào tạo &amp; Phát triển/ L&amp;D Manager</t>
        </is>
      </c>
      <c r="D15042" s="10" t="inlineStr">
        <is>
          <t>CÔNG TY CỔ PHẦN DÂY CÁP ĐIỆN VIỆT NAM - CADIVI</t>
        </is>
      </c>
      <c r="E15042" s="10" t="inlineStr">
        <is>
          <t>Lương:Cạnh tranh</t>
        </is>
      </c>
      <c r="F15042" s="10" t="inlineStr">
        <is>
          <t>Hồ Chí Minh</t>
        </is>
      </c>
      <c r="G15042" s="10" t="inlineStr">
        <is>
          <t>24-03-2026</t>
        </is>
      </c>
      <c r="H15042" s="10" t="inlineStr">
        <is>
          <t>24/03/2026</t>
        </is>
      </c>
      <c r="I15042" s="10" t="inlineStr">
        <is>
          <t>17/03/2026</t>
        </is>
      </c>
      <c r="J15042" s="10" t="inlineStr">
        <is>
          <t>Nhân sự</t>
        </is>
      </c>
      <c r="K15042" s="10" t="inlineStr">
        <is>
          <t>7 - 10 Năm</t>
        </is>
      </c>
      <c r="L15042" s="11">
        <f>HYPERLINK("https://careerviet.vn/vi/tim-viec-lam/truong-phong-dao-tao-phat-trien-l-d-manager.35C69488.html","Xem chi tiết")</f>
        <v/>
      </c>
      <c r="M15042" s="10" t="n"/>
    </row>
    <row r="15043">
      <c r="B15043" s="7" t="n">
        <v>15041</v>
      </c>
      <c r="C15043" t="inlineStr">
        <is>
          <t>Chuyên viên Lean (Làm việc tại Tây Ninh)</t>
        </is>
      </c>
      <c r="D15043" t="inlineStr">
        <is>
          <t>Công ty CP Thành Thành Công - Biên Hòa</t>
        </is>
      </c>
      <c r="E15043" t="inlineStr">
        <is>
          <t>Lương:Cạnh tranh</t>
        </is>
      </c>
      <c r="F15043" t="inlineStr">
        <is>
          <t>Tây Ninh</t>
        </is>
      </c>
      <c r="G15043" t="inlineStr">
        <is>
          <t>27-03-2026</t>
        </is>
      </c>
      <c r="H15043" t="inlineStr">
        <is>
          <t>27/03/2026</t>
        </is>
      </c>
      <c r="I15043" t="inlineStr">
        <is>
          <t>17/03/2026</t>
        </is>
      </c>
      <c r="J15043" t="inlineStr">
        <is>
          <t>An toàn lao động, Công nghệ thực phẩm / Dinh dưỡng, Bảo trì / Sửa chữa</t>
        </is>
      </c>
      <c r="K15043" t="inlineStr">
        <is>
          <t>2 - 3 Năm</t>
        </is>
      </c>
      <c r="L15043" s="8">
        <f>HYPERLINK("https://careerviet.vn/vi/tim-viec-lam/chuyen-vien-lean-lam-viec-tai-tay-ninh.35C69705.html","Xem chi tiết")</f>
        <v/>
      </c>
    </row>
    <row r="15044">
      <c r="B15044" s="9" t="n">
        <v>15042</v>
      </c>
      <c r="C15044" s="10" t="inlineStr">
        <is>
          <t>[Bình Thuận] Trình Dược Viên OTC</t>
        </is>
      </c>
      <c r="D15044" s="10" t="inlineStr">
        <is>
          <t>Công ty Cổ phần Dược Hậu Giang</t>
        </is>
      </c>
      <c r="E15044" s="10" t="inlineStr">
        <is>
          <t>Lương:8 Tr - 20 Tr VND</t>
        </is>
      </c>
      <c r="F15044" s="10" t="inlineStr">
        <is>
          <t>Bình Thuận</t>
        </is>
      </c>
      <c r="G15044" s="10" t="inlineStr">
        <is>
          <t>25-03-2026</t>
        </is>
      </c>
      <c r="H15044" s="10" t="inlineStr">
        <is>
          <t>25/03/2026</t>
        </is>
      </c>
      <c r="I15044" s="10" t="inlineStr">
        <is>
          <t>17/03/2026</t>
        </is>
      </c>
      <c r="J15044" s="10" t="inlineStr">
        <is>
          <t>Tiếp thị / Marketing, Bán hàng / Kinh doanh, Dược phẩm/ Hóa Mỹ Phẩm</t>
        </is>
      </c>
      <c r="K15044" s="10" t="inlineStr">
        <is>
          <t>1 - 3 Năm</t>
        </is>
      </c>
      <c r="L15044" s="11">
        <f>HYPERLINK("https://careerviet.vn/vi/tim-viec-lam/binh-thuan-trinh-duoc-vien-otc.35C6973B.html","Xem chi tiết")</f>
        <v/>
      </c>
      <c r="M15044" s="10" t="n"/>
    </row>
    <row r="15045">
      <c r="B15045" s="7" t="n">
        <v>15043</v>
      </c>
      <c r="C15045" t="inlineStr">
        <is>
          <t>Điều Hành Vận Tải Xe Khách</t>
        </is>
      </c>
      <c r="D15045" t="inlineStr">
        <is>
          <t>Công ty TNHH X.E Việt Nam</t>
        </is>
      </c>
      <c r="E15045" t="inlineStr">
        <is>
          <t>Lương:12 Tr - 15 Tr VND</t>
        </is>
      </c>
      <c r="F15045" t="inlineStr">
        <is>
          <t>Hà Nội</t>
        </is>
      </c>
      <c r="G15045" t="inlineStr">
        <is>
          <t>25-03-2026</t>
        </is>
      </c>
      <c r="H15045" t="inlineStr">
        <is>
          <t>25/03/2026</t>
        </is>
      </c>
      <c r="I15045" t="inlineStr">
        <is>
          <t>17/03/2026</t>
        </is>
      </c>
      <c r="J15045" t="inlineStr">
        <is>
          <t>Vận chuyển / Giao nhận / Kho vận, Quản lý điều hành</t>
        </is>
      </c>
      <c r="K15045" t="inlineStr">
        <is>
          <t>2 - 4 Năm</t>
        </is>
      </c>
      <c r="L15045" s="8">
        <f>HYPERLINK("https://careerviet.vn/vi/tim-viec-lam/dieu-hanh-van-tai-xe-khach.35C69614.html","Xem chi tiết")</f>
        <v/>
      </c>
    </row>
    <row r="15046">
      <c r="B15046" s="9" t="n">
        <v>15044</v>
      </c>
      <c r="C15046" s="10" t="inlineStr">
        <is>
          <t>Nhân Viên Bán Hàng - Thủ Dầu Một</t>
        </is>
      </c>
      <c r="D15046" s="10" t="inlineStr">
        <is>
          <t>Công ty Cổ phần CANIFA</t>
        </is>
      </c>
      <c r="E15046" s="10" t="inlineStr">
        <is>
          <t>Lương:6,5 Tr - 8,5 Tr VND</t>
        </is>
      </c>
      <c r="F15046" s="10" t="inlineStr">
        <is>
          <t>Bình Dương</t>
        </is>
      </c>
      <c r="G15046" s="10" t="inlineStr">
        <is>
          <t>31-03-2026</t>
        </is>
      </c>
      <c r="H15046" s="10" t="inlineStr">
        <is>
          <t>31/03/2026</t>
        </is>
      </c>
      <c r="I15046" s="10" t="inlineStr">
        <is>
          <t>17/03/2026</t>
        </is>
      </c>
      <c r="J15046" s="10" t="inlineStr">
        <is>
          <t>Tiếp thị / Marketing, Bán lẻ / Bán sỉ, Bán hàng / Kinh doanh</t>
        </is>
      </c>
      <c r="K15046" s="10" t="inlineStr">
        <is>
          <t>Chưa có kinh nghiệm</t>
        </is>
      </c>
      <c r="L15046" s="11">
        <f>HYPERLINK("https://careerviet.vn/vi/tim-viec-lam/nhan-vien-ban-hang-thu-dau-mot.35C6961B.html","Xem chi tiết")</f>
        <v/>
      </c>
      <c r="M15046" s="10" t="n"/>
    </row>
    <row r="15047">
      <c r="B15047" s="7" t="n">
        <v>15045</v>
      </c>
      <c r="C15047" t="inlineStr">
        <is>
          <t>Nhân Viên Vận hành &amp; Bảo Trì (Vòng ngoài - Môi trường - Nước thải)</t>
        </is>
      </c>
      <c r="D15047" t="inlineStr">
        <is>
          <t>CÔNG TY CỔ PHẦN CHẾ BIẾN THỰC PHẨM HOÀNG SƠN</t>
        </is>
      </c>
      <c r="E15047" t="inlineStr">
        <is>
          <t>Lương:12 Tr - 15 Tr VND</t>
        </is>
      </c>
      <c r="F15047" t="inlineStr">
        <is>
          <t>Bình Dương</t>
        </is>
      </c>
      <c r="G15047" t="inlineStr">
        <is>
          <t>15-04-2026</t>
        </is>
      </c>
      <c r="H15047" t="inlineStr">
        <is>
          <t>15/04/2026</t>
        </is>
      </c>
      <c r="I15047" t="inlineStr">
        <is>
          <t>17/03/2026</t>
        </is>
      </c>
      <c r="J15047" t="inlineStr">
        <is>
          <t>Môi trường, Bảo trì / Sửa chữa, Điện / Điện tử / Điện lạnh / Điện công nghiệp</t>
        </is>
      </c>
      <c r="K15047" t="inlineStr">
        <is>
          <t>1 - 5 Năm</t>
        </is>
      </c>
      <c r="L15047" s="8">
        <f>HYPERLINK("https://careerviet.vn/vi/tim-viec-lam/nhan-vien-van-hanh-bao-tri-vong-ngoai-moi-truong-nuoc-thai.35C6960A.html","Xem chi tiết")</f>
        <v/>
      </c>
    </row>
    <row r="15048">
      <c r="B15048" s="9" t="n">
        <v>15046</v>
      </c>
      <c r="C15048" s="10" t="inlineStr">
        <is>
          <t>Chuyên viên kinh doanh mảng cám (Bình Phước)</t>
        </is>
      </c>
      <c r="D15048" s="10" t="inlineStr">
        <is>
          <t>CÔNG TY CỔ PHẦN THÁI VIỆT CORPORATION</t>
        </is>
      </c>
      <c r="E15048" s="10" t="inlineStr">
        <is>
          <t>Lương:25 Tr - 34 Tr VND</t>
        </is>
      </c>
      <c r="F15048" s="10" t="inlineStr">
        <is>
          <t>Bình Phước</t>
        </is>
      </c>
      <c r="G15048" s="10" t="inlineStr">
        <is>
          <t>24-03-2026</t>
        </is>
      </c>
      <c r="H15048" s="10" t="inlineStr">
        <is>
          <t>24/03/2026</t>
        </is>
      </c>
      <c r="I15048" s="10" t="inlineStr">
        <is>
          <t>17/03/2026</t>
        </is>
      </c>
      <c r="J15048" s="10" t="inlineStr">
        <is>
          <t>Bán hàng / Kinh doanh, Chăn nuôi / Thú y, Tiếp thị / Marketing</t>
        </is>
      </c>
      <c r="K15048" s="10" t="inlineStr">
        <is>
          <t>1 - 15 Năm</t>
        </is>
      </c>
      <c r="L15048" s="11">
        <f>HYPERLINK("https://careerviet.vn/vi/tim-viec-lam/chuyen-vien-kinh-doanh-mang-cam-binh-phuoc.35C69585.html","Xem chi tiết")</f>
        <v/>
      </c>
      <c r="M15048" s="10" t="n"/>
    </row>
    <row r="15049">
      <c r="B15049" s="7" t="n">
        <v>15047</v>
      </c>
      <c r="C15049" t="inlineStr">
        <is>
          <t>Nhân Viên Thiết Kế</t>
        </is>
      </c>
      <c r="D15049" t="inlineStr">
        <is>
          <t>CHI NHÁNH CÔNG TY CỔ PHẦN Y HỌC VĨNH THIỆN- BỆNH VIỆN ĐẠI HỌC PHENIKAA</t>
        </is>
      </c>
      <c r="E15049" t="inlineStr">
        <is>
          <t>Lương:13 Tr - 17 Tr VND</t>
        </is>
      </c>
      <c r="F15049" t="inlineStr">
        <is>
          <t>Hà Nội</t>
        </is>
      </c>
      <c r="G15049" t="inlineStr">
        <is>
          <t>25-03-2026</t>
        </is>
      </c>
      <c r="H15049" t="inlineStr">
        <is>
          <t>25/03/2026</t>
        </is>
      </c>
      <c r="I15049" t="inlineStr">
        <is>
          <t>17/03/2026</t>
        </is>
      </c>
      <c r="J15049" t="inlineStr">
        <is>
          <t>Mỹ thuật / Nghệ thuật / Thiết kế, Tiếp thị / Marketing, Y tế / Chăm sóc sức khỏe / Thẩm mỹ / Làm đẹp</t>
        </is>
      </c>
      <c r="K15049" t="inlineStr">
        <is>
          <t>2 - 5 Năm</t>
        </is>
      </c>
      <c r="L15049" s="8">
        <f>HYPERLINK("https://careerviet.vn/vi/tim-viec-lam/nhan-vien-thiet-ke.35C695F7.html","Xem chi tiết")</f>
        <v/>
      </c>
    </row>
    <row r="15050">
      <c r="B15050" s="9" t="n">
        <v>15048</v>
      </c>
      <c r="C15050" s="10" t="inlineStr">
        <is>
          <t>Sampling staff</t>
        </is>
      </c>
      <c r="D15050" s="10" t="inlineStr">
        <is>
          <t>Shinpoong Daewoo Pharma</t>
        </is>
      </c>
      <c r="E15050" s="10" t="inlineStr">
        <is>
          <t>Lương:Cạnh tranh</t>
        </is>
      </c>
      <c r="F15050" s="10" t="inlineStr">
        <is>
          <t>Đồng Nai</t>
        </is>
      </c>
      <c r="G15050" s="10" t="inlineStr">
        <is>
          <t>30-04-2026</t>
        </is>
      </c>
      <c r="H15050" s="10" t="inlineStr">
        <is>
          <t>30/04/2026</t>
        </is>
      </c>
      <c r="I15050" s="10" t="inlineStr">
        <is>
          <t>17/03/2026</t>
        </is>
      </c>
      <c r="J15050" s="10" t="inlineStr">
        <is>
          <t>Dược phẩm/ Hóa Mỹ Phẩm</t>
        </is>
      </c>
      <c r="K15050" s="10" t="inlineStr">
        <is>
          <t>1 - 2 Năm</t>
        </is>
      </c>
      <c r="L15050" s="11">
        <f>HYPERLINK("https://careerviet.vn/vi/tim-viec-lam/sampling-staff.35C6ABD1.html","Xem chi tiết")</f>
        <v/>
      </c>
      <c r="M15050" s="10" t="n"/>
    </row>
    <row r="15051">
      <c r="B15051" s="7" t="n">
        <v>15049</v>
      </c>
      <c r="C15051" t="inlineStr">
        <is>
          <t>Giám Đốc Ban Pháp Chế - Head of Legal</t>
        </is>
      </c>
      <c r="D15051" t="inlineStr">
        <is>
          <t>Công ty Cổ phần Tập đoàn Meey Land</t>
        </is>
      </c>
      <c r="E15051" t="inlineStr">
        <is>
          <t>Lương:Cạnh tranh</t>
        </is>
      </c>
      <c r="F15051" t="inlineStr">
        <is>
          <t>Hà Nội</t>
        </is>
      </c>
      <c r="G15051" t="inlineStr">
        <is>
          <t>26-03-2026</t>
        </is>
      </c>
      <c r="H15051" t="inlineStr">
        <is>
          <t>26/03/2026</t>
        </is>
      </c>
      <c r="I15051" t="inlineStr">
        <is>
          <t>17/03/2026</t>
        </is>
      </c>
      <c r="J15051" t="inlineStr">
        <is>
          <t>Luật / Pháp lý, CNTT - Phần mềm, Bất động sản</t>
        </is>
      </c>
      <c r="K15051" t="inlineStr">
        <is>
          <t>10 - 20 Năm</t>
        </is>
      </c>
      <c r="L15051" s="8">
        <f>HYPERLINK("https://careerviet.vn/vi/tim-viec-lam/giam-doc-ban-phap-che-head-of-legal.35C69602.html","Xem chi tiết")</f>
        <v/>
      </c>
    </row>
    <row r="15052">
      <c r="B15052" s="9" t="n">
        <v>15050</v>
      </c>
      <c r="C15052" s="10" t="inlineStr">
        <is>
          <t>CHUYÊN VIÊN TUYỂN DỤNG</t>
        </is>
      </c>
      <c r="D15052" s="10" t="inlineStr">
        <is>
          <t>Công ty cổ phần Okapi Việt Nam - Thương hiệu thời trang BADASS</t>
        </is>
      </c>
      <c r="E15052" s="10" t="inlineStr">
        <is>
          <t>Lương:10 Tr - 15 Tr VND</t>
        </is>
      </c>
      <c r="F15052" s="10" t="inlineStr">
        <is>
          <t>Hà Nội</t>
        </is>
      </c>
      <c r="G15052" s="10" t="inlineStr">
        <is>
          <t>10-03-2026</t>
        </is>
      </c>
      <c r="H15052" s="10" t="inlineStr">
        <is>
          <t>10/03/2026</t>
        </is>
      </c>
      <c r="I15052" s="10" t="inlineStr">
        <is>
          <t>17/03/2026</t>
        </is>
      </c>
      <c r="J15052" s="10" t="inlineStr">
        <is>
          <t>Hành chính / Thư ký, Nhân sự, Dệt may / Da giày / Thời trang</t>
        </is>
      </c>
      <c r="K15052" s="10" t="inlineStr">
        <is>
          <t>Trên 1 Năm</t>
        </is>
      </c>
      <c r="L15052" s="11">
        <f>HYPERLINK("https://careerviet.vn/vi/tim-viec-lam/chuyen-vien-tuyen-dung.35C696C5.html","Xem chi tiết")</f>
        <v/>
      </c>
      <c r="M15052" s="10" t="n"/>
    </row>
    <row r="15053">
      <c r="B15053" s="7" t="n">
        <v>15051</v>
      </c>
      <c r="C15053" t="inlineStr">
        <is>
          <t>[Năm Căn - Cà Mau] Tuyển Nhân Viên Bán Hàng - Chuỗi Cửa Hàng Bán Lẻ Thiết Bị Sức Khỏe</t>
        </is>
      </c>
      <c r="D15053" t="inlineStr">
        <is>
          <t>Công Ty TNHH XNK Phát Triển Đông Dương</t>
        </is>
      </c>
      <c r="E15053" t="inlineStr">
        <is>
          <t>Lương:12 Tr - 20 Tr VND</t>
        </is>
      </c>
      <c r="F15053" t="inlineStr">
        <is>
          <t>Cà Mau</t>
        </is>
      </c>
      <c r="G15053" t="inlineStr">
        <is>
          <t>09-04-2026</t>
        </is>
      </c>
      <c r="H15053" t="inlineStr">
        <is>
          <t>09/04/2026</t>
        </is>
      </c>
      <c r="I15053" t="inlineStr">
        <is>
          <t>17/03/2026</t>
        </is>
      </c>
      <c r="J15053" t="inlineStr">
        <is>
          <t>Bán lẻ / Bán sỉ, Bán hàng / Kinh doanh, Tư vấn</t>
        </is>
      </c>
      <c r="K15053" t="inlineStr">
        <is>
          <t>N/A</t>
        </is>
      </c>
      <c r="L15053" s="8">
        <f>HYPERLINK("https://careerviet.vn/vi/tim-viec-lam/nam-can-ca-mau-tuyen-nhan-vien-ban-hang-chuoi-cua-hang-ban-le-thiet-bi-suc-khoe.35C6ABD5.html","Xem chi tiết")</f>
        <v/>
      </c>
    </row>
    <row r="15054">
      <c r="B15054" s="9" t="n">
        <v>15052</v>
      </c>
      <c r="C15054" s="10" t="inlineStr">
        <is>
          <t>Chuyên viên Quan hệ khách hàng AM (Khu vực Cần Thơ, An Giang, Cà Mau)</t>
        </is>
      </c>
      <c r="D15054" s="10" t="inlineStr">
        <is>
          <t>Công Ty Cổ Phần Giải Pháp Thanh Toán Việt Nam (VNPAY)</t>
        </is>
      </c>
      <c r="E15054" s="10" t="inlineStr">
        <is>
          <t>Lương:Cạnh tranh</t>
        </is>
      </c>
      <c r="F15054" s="10" t="inlineStr">
        <is>
          <t>Cần ThơAn GiangCà Mau</t>
        </is>
      </c>
      <c r="G15054" s="10" t="inlineStr">
        <is>
          <t>31-03-2026</t>
        </is>
      </c>
      <c r="H15054" s="10" t="inlineStr">
        <is>
          <t>31/03/2026</t>
        </is>
      </c>
      <c r="I15054" s="10" t="inlineStr">
        <is>
          <t>17/03/2026</t>
        </is>
      </c>
      <c r="J15054" s="10" t="inlineStr">
        <is>
          <t>Bán hàng / Kinh doanh, CNTT - Phần mềm</t>
        </is>
      </c>
      <c r="K15054" s="10" t="inlineStr">
        <is>
          <t>Chưa có kinh nghiệm</t>
        </is>
      </c>
      <c r="L15054" s="11">
        <f>HYPERLINK("https://careerviet.vn/vi/tim-viec-lam/chuyen-vien-quan-he-khach-hang-am-khu-vuc-can-tho-an-giang-ca-mau.35C6AB05.html","Xem chi tiết")</f>
        <v/>
      </c>
      <c r="M15054" s="10" t="n"/>
    </row>
    <row r="15055">
      <c r="B15055" s="7" t="n">
        <v>15053</v>
      </c>
      <c r="C15055" t="inlineStr">
        <is>
          <t>Kế Toán Tổng Hợp</t>
        </is>
      </c>
      <c r="D15055" t="inlineStr">
        <is>
          <t>CÔNG TY TNHH SẢN XUẤT XÂY DỰNG ÁNH DƯƠNG XANH</t>
        </is>
      </c>
      <c r="E15055" t="inlineStr">
        <is>
          <t>Lương:16 Tr - 20 Tr VND</t>
        </is>
      </c>
      <c r="F15055" t="inlineStr">
        <is>
          <t>Hồ Chí Minh</t>
        </is>
      </c>
      <c r="G15055" t="inlineStr">
        <is>
          <t>24-03-2026</t>
        </is>
      </c>
      <c r="H15055" t="inlineStr">
        <is>
          <t>24/03/2026</t>
        </is>
      </c>
      <c r="I15055" t="inlineStr">
        <is>
          <t>17/03/2026</t>
        </is>
      </c>
      <c r="J15055" t="inlineStr">
        <is>
          <t>Xây dựng, Kế toán / Kiểm toán, Hành chính / Thư ký</t>
        </is>
      </c>
      <c r="K15055" t="inlineStr">
        <is>
          <t>Trên 3 Năm</t>
        </is>
      </c>
      <c r="L15055" s="8">
        <f>HYPERLINK("https://careerviet.vn/vi/tim-viec-lam/ke-toan-tong-hop.35C69608.html","Xem chi tiết")</f>
        <v/>
      </c>
    </row>
    <row r="15056">
      <c r="B15056" s="9" t="n">
        <v>15054</v>
      </c>
      <c r="C15056" s="10" t="inlineStr">
        <is>
          <t>Trưởng Nhóm Tuyển Sinh (Ocean Ngọc Hồi)</t>
        </is>
      </c>
      <c r="D15056" s="10" t="inlineStr">
        <is>
          <t>Công Ty CP Giáo Dục Đại Dương</t>
        </is>
      </c>
      <c r="E15056" s="10" t="inlineStr">
        <is>
          <t>Lương:Cạnh tranh</t>
        </is>
      </c>
      <c r="F15056" s="10" t="inlineStr">
        <is>
          <t>Hà Nội</t>
        </is>
      </c>
      <c r="G15056" s="10" t="inlineStr">
        <is>
          <t>03-04-2026</t>
        </is>
      </c>
      <c r="H15056" s="10" t="inlineStr">
        <is>
          <t>03/04/2026</t>
        </is>
      </c>
      <c r="I15056" s="10" t="inlineStr">
        <is>
          <t>17/03/2026</t>
        </is>
      </c>
      <c r="J15056" s="10" t="inlineStr">
        <is>
          <t>Tư vấn, Dịch vụ khách hàng, Giáo dục / Đào tạo</t>
        </is>
      </c>
      <c r="K15056" s="10" t="inlineStr">
        <is>
          <t>1 - 2 Năm</t>
        </is>
      </c>
      <c r="L15056" s="11">
        <f>HYPERLINK("https://careerviet.vn/vi/tim-viec-lam/truong-nhom-tuyen-sinh-ocean-ngoc-hoi.35C6AB86.html","Xem chi tiết")</f>
        <v/>
      </c>
      <c r="M15056" s="10" t="n"/>
    </row>
    <row r="15057">
      <c r="B15057" s="7" t="n">
        <v>15055</v>
      </c>
      <c r="C15057" t="inlineStr">
        <is>
          <t>Giáo Viên Chủ Nhiệm (Ocean Edu Tân Triều)</t>
        </is>
      </c>
      <c r="D15057" t="inlineStr">
        <is>
          <t>Công Ty CP Giáo Dục Đại Dương</t>
        </is>
      </c>
      <c r="E15057" t="inlineStr">
        <is>
          <t>Lương:Cạnh tranh</t>
        </is>
      </c>
      <c r="F15057" t="inlineStr">
        <is>
          <t>Hà Nội</t>
        </is>
      </c>
      <c r="G15057" t="inlineStr">
        <is>
          <t>03-04-2026</t>
        </is>
      </c>
      <c r="H15057" t="inlineStr">
        <is>
          <t>03/04/2026</t>
        </is>
      </c>
      <c r="I15057" t="inlineStr">
        <is>
          <t>17/03/2026</t>
        </is>
      </c>
      <c r="J15057" t="inlineStr">
        <is>
          <t>Giáo dục / Đào tạo, Bán hàng / Kinh doanh, Biên phiên dịch</t>
        </is>
      </c>
      <c r="K15057" t="inlineStr">
        <is>
          <t>Trên 1 Năm</t>
        </is>
      </c>
      <c r="L15057" s="8">
        <f>HYPERLINK("https://careerviet.vn/vi/tim-viec-lam/giao-vien-chu-nhiem-ocean-edu-tan-trieu.35C6ABDA.html","Xem chi tiết")</f>
        <v/>
      </c>
    </row>
    <row r="15058">
      <c r="B15058" s="9" t="n">
        <v>15056</v>
      </c>
      <c r="C15058" s="10" t="inlineStr">
        <is>
          <t>Giáo Viên Chủ Nhiệm (Ocean Edu Văn Giang)</t>
        </is>
      </c>
      <c r="D15058" s="10" t="inlineStr">
        <is>
          <t>Công Ty CP Giáo Dục Đại Dương</t>
        </is>
      </c>
      <c r="E15058" s="10" t="inlineStr">
        <is>
          <t>Lương:Cạnh tranh</t>
        </is>
      </c>
      <c r="F15058" s="10" t="inlineStr">
        <is>
          <t>Hưng Yên</t>
        </is>
      </c>
      <c r="G15058" s="10" t="inlineStr">
        <is>
          <t>03-04-2026</t>
        </is>
      </c>
      <c r="H15058" s="10" t="inlineStr">
        <is>
          <t>03/04/2026</t>
        </is>
      </c>
      <c r="I15058" s="10" t="inlineStr">
        <is>
          <t>17/03/2026</t>
        </is>
      </c>
      <c r="J15058" s="10" t="inlineStr">
        <is>
          <t>Giáo dục / Đào tạo, Bán hàng / Kinh doanh, Biên phiên dịch</t>
        </is>
      </c>
      <c r="K15058" s="10" t="inlineStr">
        <is>
          <t>Trên 1 Năm</t>
        </is>
      </c>
      <c r="L15058" s="11">
        <f>HYPERLINK("https://careerviet.vn/vi/tim-viec-lam/giao-vien-chu-nhiem-ocean-edu-van-giang.35C6ABD4.html","Xem chi tiết")</f>
        <v/>
      </c>
      <c r="M15058" s="10" t="n"/>
    </row>
    <row r="15059">
      <c r="B15059" s="7" t="n">
        <v>15057</v>
      </c>
      <c r="C15059" t="inlineStr">
        <is>
          <t>Quản lý cửa hàng Vũng Tàu</t>
        </is>
      </c>
      <c r="D15059" t="inlineStr">
        <is>
          <t>Công ty Cổ phần IntelLife</t>
        </is>
      </c>
      <c r="E15059" t="inlineStr">
        <is>
          <t>Lương:10 Tr - 15 Tr VND</t>
        </is>
      </c>
      <c r="F15059" t="inlineStr">
        <is>
          <t>Bà Rịa - Vũng Tàu</t>
        </is>
      </c>
      <c r="G15059" t="inlineStr">
        <is>
          <t>05-04-2026</t>
        </is>
      </c>
      <c r="H15059" t="inlineStr">
        <is>
          <t>05/04/2026</t>
        </is>
      </c>
      <c r="I15059" t="inlineStr">
        <is>
          <t>17/03/2026</t>
        </is>
      </c>
      <c r="J15059" t="inlineStr">
        <is>
          <t>Bán lẻ / Bán sỉ, Bán hàng / Kinh doanh, Tư vấn</t>
        </is>
      </c>
      <c r="K15059" t="inlineStr">
        <is>
          <t>1 - 2 Năm</t>
        </is>
      </c>
      <c r="L15059" s="8">
        <f>HYPERLINK("https://careerviet.vn/vi/tim-viec-lam/quan-ly-cua-hang-vung-tau.35C6ABB9.html","Xem chi tiết")</f>
        <v/>
      </c>
    </row>
    <row r="15060">
      <c r="B15060" s="9" t="n">
        <v>15058</v>
      </c>
      <c r="C15060" s="10" t="inlineStr">
        <is>
          <t>Tổ trưởng Kho (Thủ kho)</t>
        </is>
      </c>
      <c r="D15060" s="10" t="inlineStr">
        <is>
          <t>CÔNG TY CỔ PHẦN CHẾ BIẾN THỰC PHẨM HOÀNG SƠN</t>
        </is>
      </c>
      <c r="E15060" s="10" t="inlineStr">
        <is>
          <t>Lương:12 Tr - 15 Tr VND</t>
        </is>
      </c>
      <c r="F15060" s="10" t="inlineStr">
        <is>
          <t>Bình Dương</t>
        </is>
      </c>
      <c r="G15060" s="10" t="inlineStr">
        <is>
          <t>15-04-2026</t>
        </is>
      </c>
      <c r="H15060" s="10" t="inlineStr">
        <is>
          <t>15/04/2026</t>
        </is>
      </c>
      <c r="I15060" s="10" t="inlineStr">
        <is>
          <t>17/03/2026</t>
        </is>
      </c>
      <c r="J15060" s="10" t="inlineStr">
        <is>
          <t>Vận chuyển / Giao nhận / Kho vận, Thực phẩm &amp; Đồ uống, Sản xuất / Vận hành sản xuất</t>
        </is>
      </c>
      <c r="K15060" s="10" t="inlineStr">
        <is>
          <t>1 - 2 Năm</t>
        </is>
      </c>
      <c r="L15060" s="11">
        <f>HYPERLINK("https://careerviet.vn/vi/tim-viec-lam/to-truong-kho-thu-kho.35C6ABAC.html","Xem chi tiết")</f>
        <v/>
      </c>
      <c r="M15060" s="10" t="n"/>
    </row>
    <row r="15061">
      <c r="B15061" s="7" t="n">
        <v>15059</v>
      </c>
      <c r="C15061" t="inlineStr">
        <is>
          <t>Chuyên viên kiểm soát tồn kho</t>
        </is>
      </c>
      <c r="D15061" t="inlineStr">
        <is>
          <t>Công Ty Cổ Phần Gỗ An Cường</t>
        </is>
      </c>
      <c r="E15061" t="inlineStr">
        <is>
          <t>Lương:20 Tr - 25 Tr VND</t>
        </is>
      </c>
      <c r="F15061" t="inlineStr">
        <is>
          <t>Hồ Chí Minh</t>
        </is>
      </c>
      <c r="G15061" t="inlineStr">
        <is>
          <t>04-04-2026</t>
        </is>
      </c>
      <c r="H15061" t="inlineStr">
        <is>
          <t>04/04/2026</t>
        </is>
      </c>
      <c r="I15061" t="inlineStr">
        <is>
          <t>17/03/2026</t>
        </is>
      </c>
      <c r="J15061" t="inlineStr">
        <is>
          <t>Vận chuyển / Giao nhận / Kho vận, Kế toán / Kiểm toán, Nội ngoại thất</t>
        </is>
      </c>
      <c r="K15061" t="inlineStr">
        <is>
          <t>3 - 5 Năm</t>
        </is>
      </c>
      <c r="L15061" s="8">
        <f>HYPERLINK("https://careerviet.vn/vi/tim-viec-lam/chuyen-vien-kiem-soat-ton-kho.35C6AB69.html","Xem chi tiết")</f>
        <v/>
      </c>
    </row>
    <row r="15062">
      <c r="B15062" s="9" t="n">
        <v>15060</v>
      </c>
      <c r="C15062" s="10" t="inlineStr">
        <is>
          <t>Nhân Viên Sale Admin (Ocean Edu Điện Biên) - Thu nhập từ 15 triệu/tháng - Phỏng vấn đi làm ngay</t>
        </is>
      </c>
      <c r="D15062" s="10" t="inlineStr">
        <is>
          <t>Công Ty CP Giáo Dục Đại Dương</t>
        </is>
      </c>
      <c r="E15062" s="10" t="inlineStr">
        <is>
          <t>Lương:Cạnh tranh</t>
        </is>
      </c>
      <c r="F15062" s="10" t="inlineStr">
        <is>
          <t>Điện Biên</t>
        </is>
      </c>
      <c r="G15062" s="10" t="inlineStr">
        <is>
          <t>03-04-2026</t>
        </is>
      </c>
      <c r="H15062" s="10" t="inlineStr">
        <is>
          <t>03/04/2026</t>
        </is>
      </c>
      <c r="I15062" s="10" t="inlineStr">
        <is>
          <t>17/03/2026</t>
        </is>
      </c>
      <c r="J15062" s="10" t="inlineStr">
        <is>
          <t>Kế toán / Kiểm toán, Giáo dục / Đào tạo, Nhân sự</t>
        </is>
      </c>
      <c r="K15062" s="10" t="inlineStr">
        <is>
          <t>Lên đến 1 Năm</t>
        </is>
      </c>
      <c r="L15062" s="11">
        <f>HYPERLINK("https://careerviet.vn/vi/tim-viec-lam/nhan-vien-sale-admin-ocean-edu-dien-bien-thu-nhap-tu-15-trieu-thang-phong-van-di-lam-ngay.35C6ABB8.html","Xem chi tiết")</f>
        <v/>
      </c>
      <c r="M15062" s="10" t="n"/>
    </row>
    <row r="15063">
      <c r="B15063" s="7" t="n">
        <v>15061</v>
      </c>
      <c r="C15063" t="inlineStr">
        <is>
          <t>CHUYÊN VIÊN BIM (XÂY DỰNG)</t>
        </is>
      </c>
      <c r="D15063" t="inlineStr">
        <is>
          <t>CÔNG TY CỔ PHẦN ĐẦU TƯ XÂY DỰNG VITECCONS</t>
        </is>
      </c>
      <c r="E15063" t="inlineStr">
        <is>
          <t>Lương:15 Tr - 26 Tr VND</t>
        </is>
      </c>
      <c r="F15063" t="inlineStr">
        <is>
          <t>Hồ Chí Minh</t>
        </is>
      </c>
      <c r="G15063" t="inlineStr">
        <is>
          <t>15-04-2026</t>
        </is>
      </c>
      <c r="H15063" t="inlineStr">
        <is>
          <t>15/04/2026</t>
        </is>
      </c>
      <c r="I15063" t="inlineStr">
        <is>
          <t>17/03/2026</t>
        </is>
      </c>
      <c r="J15063" t="inlineStr">
        <is>
          <t>Xây dựng</t>
        </is>
      </c>
      <c r="K15063" t="inlineStr">
        <is>
          <t>1 - 2 Năm</t>
        </is>
      </c>
      <c r="L15063" s="8">
        <f>HYPERLINK("https://careerviet.vn/vi/tim-viec-lam/chuyen-vien-bim-xay-dung.35C6AB9F.html","Xem chi tiết")</f>
        <v/>
      </c>
    </row>
    <row r="15064">
      <c r="B15064" s="9" t="n">
        <v>15062</v>
      </c>
      <c r="C15064" s="10" t="inlineStr">
        <is>
          <t>Giáo Viên Chủ Nhiệm (Ocean Edu Quảng Ngãi 2)</t>
        </is>
      </c>
      <c r="D15064" s="10" t="inlineStr">
        <is>
          <t>Công Ty CP Giáo Dục Đại Dương</t>
        </is>
      </c>
      <c r="E15064" s="10" t="inlineStr">
        <is>
          <t>Lương:Cạnh tranh</t>
        </is>
      </c>
      <c r="F15064" s="10" t="inlineStr">
        <is>
          <t>Quảng Ngãi</t>
        </is>
      </c>
      <c r="G15064" s="10" t="inlineStr">
        <is>
          <t>03-04-2026</t>
        </is>
      </c>
      <c r="H15064" s="10" t="inlineStr">
        <is>
          <t>03/04/2026</t>
        </is>
      </c>
      <c r="I15064" s="10" t="inlineStr">
        <is>
          <t>17/03/2026</t>
        </is>
      </c>
      <c r="J15064" s="10" t="inlineStr">
        <is>
          <t>Giáo dục / Đào tạo, Bán hàng / Kinh doanh, Biên phiên dịch</t>
        </is>
      </c>
      <c r="K15064" s="10" t="inlineStr">
        <is>
          <t>Trên 1 Năm</t>
        </is>
      </c>
      <c r="L15064" s="11">
        <f>HYPERLINK("https://careerviet.vn/vi/tim-viec-lam/giao-vien-chu-nhiem-ocean-edu-quang-ngai-2.35C6ABC4.html","Xem chi tiết")</f>
        <v/>
      </c>
      <c r="M15064" s="10" t="n"/>
    </row>
    <row r="15065">
      <c r="B15065" s="7" t="n">
        <v>15063</v>
      </c>
      <c r="C15065" t="inlineStr">
        <is>
          <t>BÁC SĨ NỘI KHOA</t>
        </is>
      </c>
      <c r="D15065" t="inlineStr">
        <is>
          <t>CÔNG TY TNHH POUYUEN VIỆT NAM</t>
        </is>
      </c>
      <c r="E15065" t="inlineStr">
        <is>
          <t>Lương:Cạnh tranh</t>
        </is>
      </c>
      <c r="F15065" t="inlineStr">
        <is>
          <t>Hồ Chí Minh</t>
        </is>
      </c>
      <c r="G15065" t="inlineStr">
        <is>
          <t>30-04-2026</t>
        </is>
      </c>
      <c r="H15065" t="inlineStr">
        <is>
          <t>30/04/2026</t>
        </is>
      </c>
      <c r="I15065" t="inlineStr">
        <is>
          <t>17/03/2026</t>
        </is>
      </c>
      <c r="J15065" t="inlineStr">
        <is>
          <t>Y tế / Chăm sóc sức khỏe / Thẩm mỹ / Làm đẹp</t>
        </is>
      </c>
      <c r="K15065" t="inlineStr">
        <is>
          <t>N/A</t>
        </is>
      </c>
      <c r="L15065" s="8">
        <f>HYPERLINK("https://careerviet.vn/vi/tim-viec-lam/bac-si-noi-khoa.35C6ABA3.html","Xem chi tiết")</f>
        <v/>
      </c>
    </row>
    <row r="15066">
      <c r="B15066" s="9" t="n">
        <v>15064</v>
      </c>
      <c r="C15066" s="10" t="inlineStr">
        <is>
          <t>Trưởng Nhóm Tuyển Sinh (Ocean Edu Sơn Tây)</t>
        </is>
      </c>
      <c r="D15066" s="10" t="inlineStr">
        <is>
          <t>Công Ty CP Giáo Dục Đại Dương</t>
        </is>
      </c>
      <c r="E15066" s="10" t="inlineStr">
        <is>
          <t>Lương:Cạnh tranh</t>
        </is>
      </c>
      <c r="F15066" s="10" t="inlineStr">
        <is>
          <t>Hà Nội</t>
        </is>
      </c>
      <c r="G15066" s="10" t="inlineStr">
        <is>
          <t>03-04-2026</t>
        </is>
      </c>
      <c r="H15066" s="10" t="inlineStr">
        <is>
          <t>03/04/2026</t>
        </is>
      </c>
      <c r="I15066" s="10" t="inlineStr">
        <is>
          <t>17/03/2026</t>
        </is>
      </c>
      <c r="J15066" s="10" t="inlineStr">
        <is>
          <t>Tư vấn, Dịch vụ khách hàng, Giáo dục / Đào tạo</t>
        </is>
      </c>
      <c r="K15066" s="10" t="inlineStr">
        <is>
          <t>1 - 2 Năm</t>
        </is>
      </c>
      <c r="L15066" s="11">
        <f>HYPERLINK("https://careerviet.vn/vi/tim-viec-lam/truong-nhom-tuyen-sinh-ocean-edu-son-tay.35C6AB77.html","Xem chi tiết")</f>
        <v/>
      </c>
      <c r="M15066" s="10" t="n"/>
    </row>
    <row r="15067">
      <c r="B15067" s="7" t="n">
        <v>15065</v>
      </c>
      <c r="C15067" t="inlineStr">
        <is>
          <t>Senior Coordinator (QHSE&amp;ESG-BA)</t>
        </is>
      </c>
      <c r="D15067" t="inlineStr">
        <is>
          <t>Cty SGS Việt Nam TNHH</t>
        </is>
      </c>
      <c r="E15067" t="inlineStr">
        <is>
          <t>Lương:Cạnh tranh</t>
        </is>
      </c>
      <c r="F15067" t="inlineStr">
        <is>
          <t>Hồ Chí Minh</t>
        </is>
      </c>
      <c r="G15067" t="inlineStr">
        <is>
          <t>30-03-2026</t>
        </is>
      </c>
      <c r="H15067" t="inlineStr">
        <is>
          <t>30/03/2026</t>
        </is>
      </c>
      <c r="I15067" t="inlineStr">
        <is>
          <t>17/03/2026</t>
        </is>
      </c>
      <c r="J15067" t="inlineStr">
        <is>
          <t>Dịch vụ khách hàng, Môi trường, Bán hàng / Kinh doanh</t>
        </is>
      </c>
      <c r="K15067" t="inlineStr">
        <is>
          <t>2 - 5 Năm</t>
        </is>
      </c>
      <c r="L15067" s="8">
        <f>HYPERLINK("https://careerviet.vn/vi/tim-viec-lam/senior-coordinator-qhse-esg-ba.35C6AB88.html","Xem chi tiết")</f>
        <v/>
      </c>
    </row>
    <row r="15068">
      <c r="B15068" s="9" t="n">
        <v>15066</v>
      </c>
      <c r="C15068" s="10" t="inlineStr">
        <is>
          <t>công nhân sản xuất</t>
        </is>
      </c>
      <c r="D15068" s="10" t="inlineStr">
        <is>
          <t>CÔNG TY TNHH THƯƠNG MẠI DỊCH VỤ DƯỢC PHẨM BÌNH PHÚ</t>
        </is>
      </c>
      <c r="E15068" s="10" t="inlineStr">
        <is>
          <t>Lương:Cạnh tranh</t>
        </is>
      </c>
      <c r="F15068" s="10" t="inlineStr">
        <is>
          <t>Đồng Nai</t>
        </is>
      </c>
      <c r="G15068" s="10" t="inlineStr">
        <is>
          <t>31-03-2026</t>
        </is>
      </c>
      <c r="H15068" s="10" t="inlineStr">
        <is>
          <t>31/03/2026</t>
        </is>
      </c>
      <c r="I15068" s="10" t="inlineStr">
        <is>
          <t>17/03/2026</t>
        </is>
      </c>
      <c r="J15068" s="10" t="inlineStr">
        <is>
          <t>Dược phẩm/ Hóa Mỹ Phẩm</t>
        </is>
      </c>
      <c r="K15068" s="10" t="inlineStr">
        <is>
          <t>Chưa có kinh nghiệm</t>
        </is>
      </c>
      <c r="L15068" s="11">
        <f>HYPERLINK("https://careerviet.vn/vi/tim-viec-lam/cong-nhan-san-xuat.35C6AB5A.html","Xem chi tiết")</f>
        <v/>
      </c>
      <c r="M15068" s="10" t="n"/>
    </row>
    <row r="15069">
      <c r="B15069" s="7" t="n">
        <v>15067</v>
      </c>
      <c r="C15069" t="inlineStr">
        <is>
          <t>NHÂN VIÊN MUA HÀNG</t>
        </is>
      </c>
      <c r="D15069" t="inlineStr">
        <is>
          <t>CÔNG TY CỔ PHẦN XÂY DỰNG WORLD STEEL</t>
        </is>
      </c>
      <c r="E15069" t="inlineStr">
        <is>
          <t>Lương:Cạnh tranh</t>
        </is>
      </c>
      <c r="F15069" t="inlineStr">
        <is>
          <t>Hồ Chí Minh</t>
        </is>
      </c>
      <c r="G15069" t="inlineStr">
        <is>
          <t>04-04-2026</t>
        </is>
      </c>
      <c r="H15069" t="inlineStr">
        <is>
          <t>04/04/2026</t>
        </is>
      </c>
      <c r="I15069" t="inlineStr">
        <is>
          <t>17/03/2026</t>
        </is>
      </c>
      <c r="J15069" t="inlineStr">
        <is>
          <t>Bán hàng / Kinh doanh, Thu mua / Vật tư, Xây dựng</t>
        </is>
      </c>
      <c r="K15069" t="inlineStr">
        <is>
          <t>1 - 2 Năm</t>
        </is>
      </c>
      <c r="L15069" s="8">
        <f>HYPERLINK("https://careerviet.vn/vi/tim-viec-lam/nhan-vien-mua-hang.35C6AB4D.html","Xem chi tiết")</f>
        <v/>
      </c>
    </row>
    <row r="15070">
      <c r="B15070" s="9" t="n">
        <v>15068</v>
      </c>
      <c r="C15070" s="10" t="inlineStr">
        <is>
          <t>COR Reporting Coordinator (Global Operations)</t>
        </is>
      </c>
      <c r="D15070" s="10" t="inlineStr">
        <is>
          <t>CÔNG TY TNHH HWASEUNG VINA</t>
        </is>
      </c>
      <c r="E15070" s="10" t="inlineStr">
        <is>
          <t>Lương:12 Tr - 15 Tr VND</t>
        </is>
      </c>
      <c r="F15070" s="10" t="inlineStr">
        <is>
          <t>Đồng NaiHồ Chí Minh</t>
        </is>
      </c>
      <c r="G15070" s="10" t="inlineStr">
        <is>
          <t>31-03-2026</t>
        </is>
      </c>
      <c r="H15070" s="10" t="inlineStr">
        <is>
          <t>31/03/2026</t>
        </is>
      </c>
      <c r="I15070" s="10" t="inlineStr">
        <is>
          <t>17/03/2026</t>
        </is>
      </c>
      <c r="J15070" s="10" t="inlineStr">
        <is>
          <t>Kế toán / Kiểm toán, Thống kê, Tài chính / Đầu tư</t>
        </is>
      </c>
      <c r="K15070" s="10" t="inlineStr">
        <is>
          <t>2 - 5 Năm</t>
        </is>
      </c>
      <c r="L15070" s="11">
        <f>HYPERLINK("https://careerviet.vn/vi/tim-viec-lam/cor-reporting-coordinator-global-operations.35C6AB96.html","Xem chi tiết")</f>
        <v/>
      </c>
      <c r="M15070" s="10" t="n"/>
    </row>
    <row r="15071">
      <c r="B15071" s="7" t="n">
        <v>15069</v>
      </c>
      <c r="C15071" t="inlineStr">
        <is>
          <t>Trưởng Nhóm Tuyển Sinh (Ocean Edu Lương Sơn)</t>
        </is>
      </c>
      <c r="D15071" t="inlineStr">
        <is>
          <t>Công Ty CP Giáo Dục Đại Dương</t>
        </is>
      </c>
      <c r="E15071" t="inlineStr">
        <is>
          <t>Lương:Cạnh tranh</t>
        </is>
      </c>
      <c r="F15071" t="inlineStr">
        <is>
          <t>Hòa Bình</t>
        </is>
      </c>
      <c r="G15071" t="inlineStr">
        <is>
          <t>03-04-2026</t>
        </is>
      </c>
      <c r="H15071" t="inlineStr">
        <is>
          <t>03/04/2026</t>
        </is>
      </c>
      <c r="I15071" t="inlineStr">
        <is>
          <t>17/03/2026</t>
        </is>
      </c>
      <c r="J15071" t="inlineStr">
        <is>
          <t>Tư vấn, Dịch vụ khách hàng, Giáo dục / Đào tạo</t>
        </is>
      </c>
      <c r="K15071" t="inlineStr">
        <is>
          <t>1 - 2 Năm</t>
        </is>
      </c>
      <c r="L15071" s="8">
        <f>HYPERLINK("https://careerviet.vn/vi/tim-viec-lam/truong-nhom-tuyen-sinh-ocean-edu-luong-son.35C6AB74.html","Xem chi tiết")</f>
        <v/>
      </c>
    </row>
    <row r="15072">
      <c r="B15072" s="9" t="n">
        <v>15070</v>
      </c>
      <c r="C15072" s="10" t="inlineStr">
        <is>
          <t>Chuyên Viên Kinh Doanh</t>
        </is>
      </c>
      <c r="D15072" s="10" t="inlineStr">
        <is>
          <t>CÔNG TY CỔ PHẦN ĐẦU TƯ BẤT ĐỘNG SẢN HT LAND</t>
        </is>
      </c>
      <c r="E15072" s="10" t="inlineStr">
        <is>
          <t>Lương:30 Tr - 50 Tr VND</t>
        </is>
      </c>
      <c r="F15072" s="10" t="inlineStr">
        <is>
          <t>Hồ Chí Minh</t>
        </is>
      </c>
      <c r="G15072" s="10" t="inlineStr">
        <is>
          <t>30-04-2026</t>
        </is>
      </c>
      <c r="H15072" s="10" t="inlineStr">
        <is>
          <t>30/04/2026</t>
        </is>
      </c>
      <c r="I15072" s="10" t="inlineStr">
        <is>
          <t>17/03/2026</t>
        </is>
      </c>
      <c r="J15072" s="10" t="inlineStr">
        <is>
          <t>Bán hàng / Kinh doanh, Tư vấn, Bất động sản</t>
        </is>
      </c>
      <c r="K15072" s="10" t="inlineStr">
        <is>
          <t>Lên đến 1 Năm</t>
        </is>
      </c>
      <c r="L15072" s="11">
        <f>HYPERLINK("https://careerviet.vn/vi/tim-viec-lam/chuyen-vien-kinh-doanh.35C6AB23.html","Xem chi tiết")</f>
        <v/>
      </c>
      <c r="M15072" s="10" t="n"/>
    </row>
    <row r="15073">
      <c r="B15073" s="7" t="n">
        <v>15071</v>
      </c>
      <c r="C15073" t="inlineStr">
        <is>
          <t>HCM/ Đồng Nai - Nhân viên Hỗ trợ Thanh Toán khoản vay hiện trường</t>
        </is>
      </c>
      <c r="D15073" t="inlineStr">
        <is>
          <t>LOTTE FINANCE VIETNAM</t>
        </is>
      </c>
      <c r="E15073" t="inlineStr">
        <is>
          <t>Lương:Cạnh tranh</t>
        </is>
      </c>
      <c r="F15073" t="inlineStr">
        <is>
          <t>Hồ Chí MinhĐồng Nai</t>
        </is>
      </c>
      <c r="G15073" t="inlineStr">
        <is>
          <t>03-04-2026</t>
        </is>
      </c>
      <c r="H15073" t="inlineStr">
        <is>
          <t>03/04/2026</t>
        </is>
      </c>
      <c r="I15073" t="inlineStr">
        <is>
          <t>17/03/2026</t>
        </is>
      </c>
      <c r="J15073" t="inlineStr">
        <is>
          <t>Bảo hiểm, Luật / Pháp lý, Bán hàng / Kinh doanh</t>
        </is>
      </c>
      <c r="K15073" t="inlineStr">
        <is>
          <t>1 - 3 Năm</t>
        </is>
      </c>
      <c r="L15073" s="8">
        <f>HYPERLINK("https://careerviet.vn/vi/tim-viec-lam/hcm-dong-nai-nhan-vien-ho-tro-thanh-toan-khoan-vay-hien-truong.35C6AB4C.html","Xem chi tiết")</f>
        <v/>
      </c>
    </row>
    <row r="15074">
      <c r="B15074" s="9" t="n">
        <v>15072</v>
      </c>
      <c r="C15074" s="10" t="inlineStr">
        <is>
          <t>Chuyên viên QS chủ đầu tư (làm tại Hoàng Mai, HN)</t>
        </is>
      </c>
      <c r="D15074" s="10" t="inlineStr">
        <is>
          <t>Tập Đoàn Tân Á Đại Thành</t>
        </is>
      </c>
      <c r="E15074" s="10" t="inlineStr">
        <is>
          <t>Lương:Trên 25 Tr VND</t>
        </is>
      </c>
      <c r="F15074" s="10" t="inlineStr">
        <is>
          <t>Hà Nội</t>
        </is>
      </c>
      <c r="G15074" s="10" t="inlineStr">
        <is>
          <t>04-04-2026</t>
        </is>
      </c>
      <c r="H15074" s="10" t="inlineStr">
        <is>
          <t>04/04/2026</t>
        </is>
      </c>
      <c r="I15074" s="10" t="inlineStr">
        <is>
          <t>17/03/2026</t>
        </is>
      </c>
      <c r="J15074" s="10" t="inlineStr">
        <is>
          <t>Kiến trúc, Xây dựng, Bất động sản</t>
        </is>
      </c>
      <c r="K15074" s="10" t="inlineStr">
        <is>
          <t>Trên 5 Năm</t>
        </is>
      </c>
      <c r="L15074" s="11">
        <f>HYPERLINK("https://careerviet.vn/vi/tim-viec-lam/chuyen-vien-qs-chu-dau-tu-lam-tai-hoang-mai-hn.35C6AB7D.html","Xem chi tiết")</f>
        <v/>
      </c>
      <c r="M15074" s="10" t="n"/>
    </row>
    <row r="15075">
      <c r="B15075" s="7" t="n">
        <v>15073</v>
      </c>
      <c r="C15075" t="inlineStr">
        <is>
          <t>Trưởng Nhóm Tuyển Sinh (Ocean Edu Chí Linh)</t>
        </is>
      </c>
      <c r="D15075" t="inlineStr">
        <is>
          <t>Công Ty CP Giáo Dục Đại Dương</t>
        </is>
      </c>
      <c r="E15075" t="inlineStr">
        <is>
          <t>Lương:Cạnh tranh</t>
        </is>
      </c>
      <c r="F15075" t="inlineStr">
        <is>
          <t>Hải Dương</t>
        </is>
      </c>
      <c r="G15075" t="inlineStr">
        <is>
          <t>03-04-2026</t>
        </is>
      </c>
      <c r="H15075" t="inlineStr">
        <is>
          <t>03/04/2026</t>
        </is>
      </c>
      <c r="I15075" t="inlineStr">
        <is>
          <t>17/03/2026</t>
        </is>
      </c>
      <c r="J15075" t="inlineStr">
        <is>
          <t>Tư vấn, Dịch vụ khách hàng, Giáo dục / Đào tạo</t>
        </is>
      </c>
      <c r="K15075" t="inlineStr">
        <is>
          <t>1 - 2 Năm</t>
        </is>
      </c>
      <c r="L15075" s="8">
        <f>HYPERLINK("https://careerviet.vn/vi/tim-viec-lam/truong-nhom-tuyen-sinh-ocean-edu-chi-linh.35C6AB82.html","Xem chi tiết")</f>
        <v/>
      </c>
    </row>
    <row r="15076">
      <c r="B15076" s="9" t="n">
        <v>15074</v>
      </c>
      <c r="C15076" s="10" t="inlineStr">
        <is>
          <t>CHUYÊN VIÊN KHÁCH HÀNG DOANH NGHIỆP - KV TP. HÀ NỘI</t>
        </is>
      </c>
      <c r="D15076" s="10" t="inlineStr">
        <is>
          <t>NGÂN HÀNG TMCP SÀI GÒN THƯƠNG TÍN (SACOMBANK)</t>
        </is>
      </c>
      <c r="E15076" s="10" t="inlineStr">
        <is>
          <t>Lương:Cạnh tranh</t>
        </is>
      </c>
      <c r="F15076" s="10" t="inlineStr">
        <is>
          <t>Hà Nội</t>
        </is>
      </c>
      <c r="G15076" s="10" t="inlineStr">
        <is>
          <t>31-03-2026</t>
        </is>
      </c>
      <c r="H15076" s="10" t="inlineStr">
        <is>
          <t>31/03/2026</t>
        </is>
      </c>
      <c r="I15076" s="10" t="inlineStr">
        <is>
          <t>17/03/2026</t>
        </is>
      </c>
      <c r="J15076" s="10" t="inlineStr">
        <is>
          <t>Bán lẻ / Bán sỉ, Ngân hàng, Bán hàng / Kinh doanh</t>
        </is>
      </c>
      <c r="K15076" s="10" t="inlineStr">
        <is>
          <t>N/A</t>
        </is>
      </c>
      <c r="L15076" s="11">
        <f>HYPERLINK("https://careerviet.vn/vi/tim-viec-lam/chuyen-vien-khach-hang-doanh-nghiep-kv-tp-ha-noi.35C6AAD8.html","Xem chi tiết")</f>
        <v/>
      </c>
      <c r="M15076" s="10" t="n"/>
    </row>
    <row r="15077">
      <c r="B15077" s="7" t="n">
        <v>15075</v>
      </c>
      <c r="C15077" t="inlineStr">
        <is>
          <t>Thực tập sinh Kỹ thuật cơ khí/điện tử</t>
        </is>
      </c>
      <c r="D15077" t="inlineStr">
        <is>
          <t>Công ty TNHH Greystone Data Systems Việt Nam</t>
        </is>
      </c>
      <c r="E15077" t="inlineStr">
        <is>
          <t>Lương:7,5 Tr - 10 Tr VND</t>
        </is>
      </c>
      <c r="F15077" t="inlineStr">
        <is>
          <t>Hồ Chí Minh</t>
        </is>
      </c>
      <c r="G15077" t="inlineStr">
        <is>
          <t>04-04-2026</t>
        </is>
      </c>
      <c r="H15077" t="inlineStr">
        <is>
          <t>04/04/2026</t>
        </is>
      </c>
      <c r="I15077" t="inlineStr">
        <is>
          <t>17/03/2026</t>
        </is>
      </c>
      <c r="J15077" t="inlineStr">
        <is>
          <t>Cơ khí / Ô tô / Tự động hóa, CNTT - Phần cứng / Mạng, Điện / Điện tử / Điện lạnh / Điện công nghiệp</t>
        </is>
      </c>
      <c r="K15077" t="inlineStr">
        <is>
          <t>N/A</t>
        </is>
      </c>
      <c r="L15077" s="8">
        <f>HYPERLINK("https://careerviet.vn/vi/tim-viec-lam/thuc-tap-sinh-ky-thuat-co-khi-dien-tu.35C6AB41.html","Xem chi tiết")</f>
        <v/>
      </c>
    </row>
    <row r="15078">
      <c r="B15078" s="9" t="n">
        <v>15076</v>
      </c>
      <c r="C15078" s="10" t="inlineStr">
        <is>
          <t>Trưởng phòng Trade Marketing</t>
        </is>
      </c>
      <c r="D15078" s="10" t="inlineStr">
        <is>
          <t>CÔNG TY CỔ PHẦN ULTD THỊNH PHÁT</t>
        </is>
      </c>
      <c r="E15078" s="10" t="inlineStr">
        <is>
          <t>Lương:30 Tr - 40 Tr VND</t>
        </is>
      </c>
      <c r="F15078" s="10" t="inlineStr">
        <is>
          <t>Hà Nội</t>
        </is>
      </c>
      <c r="G15078" s="10" t="inlineStr">
        <is>
          <t>04-04-2026</t>
        </is>
      </c>
      <c r="H15078" s="10" t="inlineStr">
        <is>
          <t>04/04/2026</t>
        </is>
      </c>
      <c r="I15078" s="10" t="inlineStr">
        <is>
          <t>17/03/2026</t>
        </is>
      </c>
      <c r="J15078" s="10" t="inlineStr">
        <is>
          <t>Tiếp thị / Marketing</t>
        </is>
      </c>
      <c r="K15078" s="10" t="inlineStr">
        <is>
          <t>3 - 4 Năm</t>
        </is>
      </c>
      <c r="L15078" s="11">
        <f>HYPERLINK("https://careerviet.vn/vi/tim-viec-lam/truong-phong-trade-marketing.35C6AB15.html","Xem chi tiết")</f>
        <v/>
      </c>
      <c r="M15078" s="10" t="n"/>
    </row>
    <row r="15079">
      <c r="B15079" s="7" t="n">
        <v>15077</v>
      </c>
      <c r="C15079" t="inlineStr">
        <is>
          <t>Kế Toán Tổng Hợp</t>
        </is>
      </c>
      <c r="D15079" t="inlineStr">
        <is>
          <t>CT CP Tập Đoàn Thái Tuấn</t>
        </is>
      </c>
      <c r="E15079" t="inlineStr">
        <is>
          <t>Lương:Cạnh tranh</t>
        </is>
      </c>
      <c r="F15079" t="inlineStr">
        <is>
          <t>Hồ Chí Minh</t>
        </is>
      </c>
      <c r="G15079" t="inlineStr">
        <is>
          <t>03-04-2026</t>
        </is>
      </c>
      <c r="H15079" t="inlineStr">
        <is>
          <t>03/04/2026</t>
        </is>
      </c>
      <c r="I15079" t="inlineStr">
        <is>
          <t>17/03/2026</t>
        </is>
      </c>
      <c r="J15079" t="inlineStr">
        <is>
          <t>Kế toán / Kiểm toán</t>
        </is>
      </c>
      <c r="K15079" t="inlineStr">
        <is>
          <t>1 - 2 Năm</t>
        </is>
      </c>
      <c r="L15079" s="8">
        <f>HYPERLINK("https://careerviet.vn/vi/tim-viec-lam/ke-toan-tong-hop.35C6A992.html","Xem chi tiết")</f>
        <v/>
      </c>
    </row>
    <row r="15080">
      <c r="B15080" s="9" t="n">
        <v>15078</v>
      </c>
      <c r="C15080" s="10" t="inlineStr">
        <is>
          <t>Accounts Receivable Executive</t>
        </is>
      </c>
      <c r="D15080" s="10" t="inlineStr">
        <is>
          <t>Công ty TNHH GS25 Vietnam</t>
        </is>
      </c>
      <c r="E15080" s="10" t="inlineStr">
        <is>
          <t>Lương:Cạnh tranh</t>
        </is>
      </c>
      <c r="F15080" s="10" t="inlineStr">
        <is>
          <t>Hồ Chí Minh</t>
        </is>
      </c>
      <c r="G15080" s="10" t="inlineStr">
        <is>
          <t>03-04-2026</t>
        </is>
      </c>
      <c r="H15080" s="10" t="inlineStr">
        <is>
          <t>03/04/2026</t>
        </is>
      </c>
      <c r="I15080" s="10" t="inlineStr">
        <is>
          <t>17/03/2026</t>
        </is>
      </c>
      <c r="J15080" s="10" t="inlineStr">
        <is>
          <t>Bán lẻ / Bán sỉ, Kế toán / Kiểm toán, Ngân hàng</t>
        </is>
      </c>
      <c r="K15080" s="10" t="inlineStr">
        <is>
          <t>1 - 3 Năm</t>
        </is>
      </c>
      <c r="L15080" s="11">
        <f>HYPERLINK("https://careerviet.vn/vi/tim-viec-lam/accounts-receivable-executive.35C6A953.html","Xem chi tiết")</f>
        <v/>
      </c>
      <c r="M15080" s="10" t="n"/>
    </row>
    <row r="15081">
      <c r="B15081" s="7" t="n">
        <v>15079</v>
      </c>
      <c r="C15081" t="inlineStr">
        <is>
          <t>Nhân viên đóng gói</t>
        </is>
      </c>
      <c r="D15081" t="inlineStr">
        <is>
          <t>CÔNG TY TNHH XUẤT NHẬP KHẨU RUTOP VIỆT NAM - Thương Hiệu Toptotoes</t>
        </is>
      </c>
      <c r="E15081" t="inlineStr">
        <is>
          <t>Lương:7 Tr - 9 Tr VND</t>
        </is>
      </c>
      <c r="F15081" t="inlineStr">
        <is>
          <t>Hà Nội</t>
        </is>
      </c>
      <c r="G15081" t="inlineStr">
        <is>
          <t>31-03-2026</t>
        </is>
      </c>
      <c r="H15081" t="inlineStr">
        <is>
          <t>31/03/2026</t>
        </is>
      </c>
      <c r="I15081" t="inlineStr">
        <is>
          <t>17/03/2026</t>
        </is>
      </c>
      <c r="J15081" t="inlineStr">
        <is>
          <t>Vận chuyển / Giao nhận / Kho vận, Dược phẩm/ Hóa Mỹ Phẩm, Thương mại điện tử</t>
        </is>
      </c>
      <c r="K15081" t="inlineStr">
        <is>
          <t>Chưa có kinh nghiệm</t>
        </is>
      </c>
      <c r="L15081" s="8">
        <f>HYPERLINK("https://careerviet.vn/vi/tim-viec-lam/nhan-vien-dong-goi.35C6AB64.html","Xem chi tiết")</f>
        <v/>
      </c>
    </row>
    <row r="15082">
      <c r="B15082" s="9" t="n">
        <v>15080</v>
      </c>
      <c r="C15082" s="10" t="inlineStr">
        <is>
          <t>Logistics Team Leader</t>
        </is>
      </c>
      <c r="D15082" s="10" t="inlineStr">
        <is>
          <t>Công ty TNHH GS25 Vietnam</t>
        </is>
      </c>
      <c r="E15082" s="10" t="inlineStr">
        <is>
          <t>Lương:Cạnh tranh</t>
        </is>
      </c>
      <c r="F15082" s="10" t="inlineStr">
        <is>
          <t>Hồ Chí Minh</t>
        </is>
      </c>
      <c r="G15082" s="10" t="inlineStr">
        <is>
          <t>31-03-2026</t>
        </is>
      </c>
      <c r="H15082" s="10" t="inlineStr">
        <is>
          <t>31/03/2026</t>
        </is>
      </c>
      <c r="I15082" s="10" t="inlineStr">
        <is>
          <t>17/03/2026</t>
        </is>
      </c>
      <c r="J15082" s="10" t="inlineStr">
        <is>
          <t>Thương mại điện tử, Vận chuyển / Giao nhận / Kho vận, Thực phẩm &amp; Đồ uống</t>
        </is>
      </c>
      <c r="K15082" s="10" t="inlineStr">
        <is>
          <t>3 - 5 Năm</t>
        </is>
      </c>
      <c r="L15082" s="11">
        <f>HYPERLINK("https://careerviet.vn/vi/tim-viec-lam/logistics-team-leader.35C6AA53.html","Xem chi tiết")</f>
        <v/>
      </c>
      <c r="M15082" s="10" t="n"/>
    </row>
    <row r="15083">
      <c r="B15083" s="7" t="n">
        <v>15081</v>
      </c>
      <c r="C15083" t="inlineStr">
        <is>
          <t>Lean Engineer</t>
        </is>
      </c>
      <c r="D15083" t="inlineStr">
        <is>
          <t>Công ty TNHH Sài Gòn Stec</t>
        </is>
      </c>
      <c r="E15083" t="inlineStr">
        <is>
          <t>Lương:15 Tr - 23 Tr VND</t>
        </is>
      </c>
      <c r="F15083" t="inlineStr">
        <is>
          <t>Bình Dương</t>
        </is>
      </c>
      <c r="G15083" t="inlineStr">
        <is>
          <t>04-04-2026</t>
        </is>
      </c>
      <c r="H15083" t="inlineStr">
        <is>
          <t>04/04/2026</t>
        </is>
      </c>
      <c r="I15083" t="inlineStr">
        <is>
          <t>17/03/2026</t>
        </is>
      </c>
      <c r="J15083" t="inlineStr">
        <is>
          <t>Điện / Điện tử / Điện lạnh / Điện công nghiệp, Quản lý điều hành, Sản xuất / Vận hành sản xuất</t>
        </is>
      </c>
      <c r="K15083" t="inlineStr">
        <is>
          <t>1 - 3 Năm</t>
        </is>
      </c>
      <c r="L15083" s="8">
        <f>HYPERLINK("https://careerviet.vn/vi/tim-viec-lam/lean-engineer.35C6AB30.html","Xem chi tiết")</f>
        <v/>
      </c>
    </row>
    <row r="15084">
      <c r="B15084" s="9" t="n">
        <v>15082</v>
      </c>
      <c r="C15084" s="10" t="inlineStr">
        <is>
          <t>Nhân Viên Copywriter</t>
        </is>
      </c>
      <c r="D15084" s="10" t="inlineStr">
        <is>
          <t>CÔNG TY TNHH NHA KHOA QUỐC TẾ SQ GROUP</t>
        </is>
      </c>
      <c r="E15084" s="10" t="inlineStr">
        <is>
          <t>Lương:8 Tr - 12 Tr VND</t>
        </is>
      </c>
      <c r="F15084" s="10" t="inlineStr">
        <is>
          <t>Hồ Chí Minh</t>
        </is>
      </c>
      <c r="G15084" s="10" t="inlineStr">
        <is>
          <t>31-03-2026</t>
        </is>
      </c>
      <c r="H15084" s="10" t="inlineStr">
        <is>
          <t>31/03/2026</t>
        </is>
      </c>
      <c r="I15084" s="10" t="inlineStr">
        <is>
          <t>17/03/2026</t>
        </is>
      </c>
      <c r="J15084" s="10" t="inlineStr">
        <is>
          <t>Quảng cáo / Đối ngoại / Truyền Thông, Truyền hình / Báo chí / Biên tập, Tiếp thị / Marketing</t>
        </is>
      </c>
      <c r="K15084" s="10" t="inlineStr">
        <is>
          <t>1 - 3 Năm</t>
        </is>
      </c>
      <c r="L15084" s="11">
        <f>HYPERLINK("https://careerviet.vn/vi/tim-viec-lam/nhan-vien-copywriter.35C6AD2C.html","Xem chi tiết")</f>
        <v/>
      </c>
      <c r="M15084" s="10" t="n"/>
    </row>
    <row r="15085">
      <c r="B15085" s="7" t="n">
        <v>15083</v>
      </c>
      <c r="C15085" t="inlineStr">
        <is>
          <t>Nhân Viên Hành Chánh Nhân Sự</t>
        </is>
      </c>
      <c r="D15085" t="inlineStr">
        <is>
          <t>Kitapida Mediphar Co., Ltd</t>
        </is>
      </c>
      <c r="E15085" t="inlineStr">
        <is>
          <t>Lương:Cạnh tranh</t>
        </is>
      </c>
      <c r="F15085" t="inlineStr">
        <is>
          <t>Hồ Chí Minh</t>
        </is>
      </c>
      <c r="G15085" t="inlineStr">
        <is>
          <t>03-04-2026</t>
        </is>
      </c>
      <c r="H15085" t="inlineStr">
        <is>
          <t>03/04/2026</t>
        </is>
      </c>
      <c r="I15085" t="inlineStr">
        <is>
          <t>17/03/2026</t>
        </is>
      </c>
      <c r="J15085" t="inlineStr">
        <is>
          <t>Hành chính / Thư ký, Nhân sự</t>
        </is>
      </c>
      <c r="K15085" t="inlineStr">
        <is>
          <t>Trên 1 Năm</t>
        </is>
      </c>
      <c r="L15085" s="8">
        <f>HYPERLINK("https://careerviet.vn/vi/tim-viec-lam/nhan-vien-hanh-chanh-nhan-su.35C6ACD8.html","Xem chi tiết")</f>
        <v/>
      </c>
    </row>
    <row r="15086">
      <c r="B15086" s="9" t="n">
        <v>15084</v>
      </c>
      <c r="C15086" s="10" t="inlineStr">
        <is>
          <t>CHUYÊN VIÊN DỊCH VỤ - PHÒNG KHÁCH HÀNG ƯU TIÊN</t>
        </is>
      </c>
      <c r="D15086" s="10" t="inlineStr">
        <is>
          <t>NGÂN HÀNG TMCP SÀI GÒN THƯƠNG TÍN (SACOMBANK)</t>
        </is>
      </c>
      <c r="E15086" s="10" t="inlineStr">
        <is>
          <t>Lương:Cạnh tranh</t>
        </is>
      </c>
      <c r="F15086" s="10" t="inlineStr">
        <is>
          <t>Hồ Chí Minh</t>
        </is>
      </c>
      <c r="G15086" s="10" t="inlineStr">
        <is>
          <t>03-04-2026</t>
        </is>
      </c>
      <c r="H15086" s="10" t="inlineStr">
        <is>
          <t>03/04/2026</t>
        </is>
      </c>
      <c r="I15086" s="10" t="inlineStr">
        <is>
          <t>17/03/2026</t>
        </is>
      </c>
      <c r="J15086" s="10" t="inlineStr">
        <is>
          <t>Ngân hàng</t>
        </is>
      </c>
      <c r="K15086" s="10" t="inlineStr">
        <is>
          <t>Trên 3 Năm</t>
        </is>
      </c>
      <c r="L15086" s="11">
        <f>HYPERLINK("https://careerviet.vn/vi/tim-viec-lam/chuyen-vien-dich-vu-phong-khach-hang-uu-tien.35C6AEF3.html","Xem chi tiết")</f>
        <v/>
      </c>
      <c r="M15086" s="10" t="n"/>
    </row>
    <row r="15087">
      <c r="B15087" s="7" t="n">
        <v>15085</v>
      </c>
      <c r="C15087" t="inlineStr">
        <is>
          <t>Chuyên viên Phát triển sản phẩm Khách hàng cá nhân - Retail Product Specialist - Ban Sản phẩm và Marketing (HO26.67)</t>
        </is>
      </c>
      <c r="D15087" t="inlineStr">
        <is>
          <t>Ngân Hàng TMCP Quân Đội</t>
        </is>
      </c>
      <c r="E15087" t="inlineStr">
        <is>
          <t>Lương:Cạnh tranh</t>
        </is>
      </c>
      <c r="F15087" t="inlineStr">
        <is>
          <t>Hà Nội</t>
        </is>
      </c>
      <c r="G15087" t="inlineStr">
        <is>
          <t>04-04-2026</t>
        </is>
      </c>
      <c r="H15087" t="inlineStr">
        <is>
          <t>04/04/2026</t>
        </is>
      </c>
      <c r="I15087" t="inlineStr">
        <is>
          <t>17/03/2026</t>
        </is>
      </c>
      <c r="J15087" t="inlineStr">
        <is>
          <t>Ngân hàng, Tài chính / Đầu tư, Bán hàng / Kinh doanh</t>
        </is>
      </c>
      <c r="K15087" t="inlineStr">
        <is>
          <t>Trên 1 Năm</t>
        </is>
      </c>
      <c r="L15087" s="8">
        <f>HYPERLINK("https://careerviet.vn/vi/tim-viec-lam/chuyen-vien-phat-trien-san-pham-khach-hang-ca-nhan-retail-product-specialist-ban-san-pham-va-marketing-ho26-67.35C6AE4C.html","Xem chi tiết")</f>
        <v/>
      </c>
    </row>
    <row r="15088">
      <c r="B15088" s="9" t="n">
        <v>15086</v>
      </c>
      <c r="C15088" s="10" t="inlineStr">
        <is>
          <t>Nhân Viên Kỹ Thuật (Technical Support)</t>
        </is>
      </c>
      <c r="D15088" s="10" t="inlineStr">
        <is>
          <t>CÔNG TY TNHH DV HỒ GIA PHÁT</t>
        </is>
      </c>
      <c r="E15088" s="10" t="inlineStr">
        <is>
          <t>Lương:Cạnh tranh</t>
        </is>
      </c>
      <c r="F15088" s="10" t="inlineStr">
        <is>
          <t>Hồ Chí Minh</t>
        </is>
      </c>
      <c r="G15088" s="10" t="inlineStr">
        <is>
          <t>04-04-2026</t>
        </is>
      </c>
      <c r="H15088" s="10" t="inlineStr">
        <is>
          <t>04/04/2026</t>
        </is>
      </c>
      <c r="I15088" s="10" t="inlineStr">
        <is>
          <t>17/03/2026</t>
        </is>
      </c>
      <c r="J15088" s="10" t="inlineStr">
        <is>
          <t>Bán Hàng Kỹ Thuật, Điện / Điện tử / Điện lạnh / Điện công nghiệp, Cơ khí / Ô tô / Tự động hóa</t>
        </is>
      </c>
      <c r="K15088" s="10" t="inlineStr">
        <is>
          <t>N/A</t>
        </is>
      </c>
      <c r="L15088" s="11">
        <f>HYPERLINK("https://careerviet.vn/vi/tim-viec-lam/nhan-vien-ky-thuat-technical-support.35C6AE48.html","Xem chi tiết")</f>
        <v/>
      </c>
      <c r="M15088" s="10" t="n"/>
    </row>
    <row r="15089">
      <c r="B15089" s="7" t="n">
        <v>15087</v>
      </c>
      <c r="C15089" t="inlineStr">
        <is>
          <t>E-commerce Key Account Manager</t>
        </is>
      </c>
      <c r="D15089" t="inlineStr">
        <is>
          <t>CÔNG TY TNHH MINTHACARE</t>
        </is>
      </c>
      <c r="E15089" t="inlineStr">
        <is>
          <t>Lương:Cạnh tranh</t>
        </is>
      </c>
      <c r="F15089" t="inlineStr">
        <is>
          <t>Hồ Chí Minh</t>
        </is>
      </c>
      <c r="G15089" t="inlineStr">
        <is>
          <t>04-04-2026</t>
        </is>
      </c>
      <c r="H15089" t="inlineStr">
        <is>
          <t>04/04/2026</t>
        </is>
      </c>
      <c r="I15089" t="inlineStr">
        <is>
          <t>17/03/2026</t>
        </is>
      </c>
      <c r="J15089" t="inlineStr">
        <is>
          <t>Thương mại điện tử</t>
        </is>
      </c>
      <c r="K15089" t="inlineStr">
        <is>
          <t>3 - 5 Năm</t>
        </is>
      </c>
      <c r="L15089" s="8">
        <f>HYPERLINK("https://careerviet.vn/vi/tim-viec-lam/e-commerce-key-account-manager.35C6AC87.html","Xem chi tiết")</f>
        <v/>
      </c>
    </row>
    <row r="15090">
      <c r="B15090" s="9" t="n">
        <v>15088</v>
      </c>
      <c r="C15090" s="10" t="inlineStr">
        <is>
          <t>CHUYÊN VIÊN SẢN PHẨM DỊCH VỤ - PHÒNG KHÁCH HÀNG ƯU TIÊN</t>
        </is>
      </c>
      <c r="D15090" s="10" t="inlineStr">
        <is>
          <t>NGÂN HÀNG TMCP SÀI GÒN THƯƠNG TÍN (SACOMBANK)</t>
        </is>
      </c>
      <c r="E15090" s="10" t="inlineStr">
        <is>
          <t>Lương:Cạnh tranh</t>
        </is>
      </c>
      <c r="F15090" s="10" t="inlineStr">
        <is>
          <t>Hồ Chí Minh</t>
        </is>
      </c>
      <c r="G15090" s="10" t="inlineStr">
        <is>
          <t>03-04-2026</t>
        </is>
      </c>
      <c r="H15090" s="10" t="inlineStr">
        <is>
          <t>03/04/2026</t>
        </is>
      </c>
      <c r="I15090" s="10" t="inlineStr">
        <is>
          <t>17/03/2026</t>
        </is>
      </c>
      <c r="J15090" s="10" t="inlineStr">
        <is>
          <t>Ngân hàng</t>
        </is>
      </c>
      <c r="K15090" s="10" t="inlineStr">
        <is>
          <t>Trên 3 Năm</t>
        </is>
      </c>
      <c r="L15090" s="11">
        <f>HYPERLINK("https://careerviet.vn/vi/tim-viec-lam/chuyen-vien-san-pham-dich-vu-phong-khach-hang-uu-tien.35C6AEEE.html","Xem chi tiết")</f>
        <v/>
      </c>
      <c r="M15090" s="10" t="n"/>
    </row>
    <row r="15091">
      <c r="B15091" s="7" t="n">
        <v>15089</v>
      </c>
      <c r="C15091" t="inlineStr">
        <is>
          <t>Chuyên Viên Pháp Lý Doanh Nghiệp</t>
        </is>
      </c>
      <c r="D15091" t="inlineStr">
        <is>
          <t>CÔNG TY TNHH MTV THƯƠNG MẠI DỊCH VỤ BLUE OCEAN- THẾ GIỚI SKINFOOD</t>
        </is>
      </c>
      <c r="E15091" t="inlineStr">
        <is>
          <t>Lương:10 Tr - 12 Tr VND</t>
        </is>
      </c>
      <c r="F15091" t="inlineStr">
        <is>
          <t>Hồ Chí Minh</t>
        </is>
      </c>
      <c r="G15091" t="inlineStr">
        <is>
          <t>03-04-2026</t>
        </is>
      </c>
      <c r="H15091" t="inlineStr">
        <is>
          <t>03/04/2026</t>
        </is>
      </c>
      <c r="I15091" t="inlineStr">
        <is>
          <t>17/03/2026</t>
        </is>
      </c>
      <c r="J15091" t="inlineStr">
        <is>
          <t>Luật / Pháp lý</t>
        </is>
      </c>
      <c r="K15091" t="inlineStr">
        <is>
          <t>2 - 3 Năm</t>
        </is>
      </c>
      <c r="L15091" s="8">
        <f>HYPERLINK("https://careerviet.vn/vi/tim-viec-lam/chuyen-vien-phap-ly-doanh-nghiep.35C6AE51.html","Xem chi tiết")</f>
        <v/>
      </c>
    </row>
    <row r="15092">
      <c r="B15092" s="9" t="n">
        <v>15090</v>
      </c>
      <c r="C15092" s="10" t="inlineStr">
        <is>
          <t>Trưởng Nhóm Tuyển Sinh (Ocean Edu Quốc Oai)</t>
        </is>
      </c>
      <c r="D15092" s="10" t="inlineStr">
        <is>
          <t>Công Ty CP Giáo Dục Đại Dương</t>
        </is>
      </c>
      <c r="E15092" s="10" t="inlineStr">
        <is>
          <t>Lương:Cạnh tranh</t>
        </is>
      </c>
      <c r="F15092" s="10" t="inlineStr">
        <is>
          <t>Hà Nội</t>
        </is>
      </c>
      <c r="G15092" s="10" t="inlineStr">
        <is>
          <t>03-04-2026</t>
        </is>
      </c>
      <c r="H15092" s="10" t="inlineStr">
        <is>
          <t>03/04/2026</t>
        </is>
      </c>
      <c r="I15092" s="10" t="inlineStr">
        <is>
          <t>17/03/2026</t>
        </is>
      </c>
      <c r="J15092" s="10" t="inlineStr">
        <is>
          <t>Tư vấn, Dịch vụ khách hàng, Giáo dục / Đào tạo</t>
        </is>
      </c>
      <c r="K15092" s="10" t="inlineStr">
        <is>
          <t>1 - 2 Năm</t>
        </is>
      </c>
      <c r="L15092" s="11">
        <f>HYPERLINK("https://careerviet.vn/vi/tim-viec-lam/truong-nhom-tuyen-sinh-ocean-edu-quoc-oai.35C6AB6C.html","Xem chi tiết")</f>
        <v/>
      </c>
      <c r="M15092" s="10" t="n"/>
    </row>
    <row r="15093">
      <c r="B15093" s="7" t="n">
        <v>15091</v>
      </c>
      <c r="C15093" t="inlineStr">
        <is>
          <t>QS CÔNG TRÌNH</t>
        </is>
      </c>
      <c r="D15093" t="inlineStr">
        <is>
          <t>Công Ty Cổ Phần Kiến Trúc Tư Vấn Quản Lý Đông Dương</t>
        </is>
      </c>
      <c r="E15093" t="inlineStr">
        <is>
          <t>Lương:Cạnh tranh</t>
        </is>
      </c>
      <c r="F15093" t="inlineStr">
        <is>
          <t>Hà Nội</t>
        </is>
      </c>
      <c r="G15093" t="inlineStr">
        <is>
          <t>30-04-2026</t>
        </is>
      </c>
      <c r="H15093" t="inlineStr">
        <is>
          <t>30/04/2026</t>
        </is>
      </c>
      <c r="I15093" t="inlineStr">
        <is>
          <t>17/03/2026</t>
        </is>
      </c>
      <c r="J15093" t="inlineStr">
        <is>
          <t>Xây dựng</t>
        </is>
      </c>
      <c r="K15093" t="inlineStr">
        <is>
          <t>5 - 15 Năm</t>
        </is>
      </c>
      <c r="L15093" s="8">
        <f>HYPERLINK("https://careerviet.vn/vi/tim-viec-lam/qs-cong-trinh.35C6AC9E.html","Xem chi tiết")</f>
        <v/>
      </c>
    </row>
    <row r="15094">
      <c r="B15094" s="9" t="n">
        <v>15092</v>
      </c>
      <c r="C15094" s="10" t="inlineStr">
        <is>
          <t>Nhân Viên Đăng Ký Sản Phẩm (RA) - Thời vụ 06 tháng</t>
        </is>
      </c>
      <c r="D15094" s="10" t="inlineStr">
        <is>
          <t>Công ty TNHH Thiết bị y tế Phương Đông</t>
        </is>
      </c>
      <c r="E15094" s="10" t="inlineStr">
        <is>
          <t>Lương:Cạnh tranh</t>
        </is>
      </c>
      <c r="F15094" s="10" t="inlineStr">
        <is>
          <t>Hà Nội</t>
        </is>
      </c>
      <c r="G15094" s="10" t="inlineStr">
        <is>
          <t>03-04-2026</t>
        </is>
      </c>
      <c r="H15094" s="10" t="inlineStr">
        <is>
          <t>03/04/2026</t>
        </is>
      </c>
      <c r="I15094" s="10" t="inlineStr">
        <is>
          <t>17/03/2026</t>
        </is>
      </c>
      <c r="J15094" s="10" t="inlineStr">
        <is>
          <t>Y tế / Chăm sóc sức khỏe / Thẩm mỹ / Làm đẹp</t>
        </is>
      </c>
      <c r="K15094" s="10" t="inlineStr">
        <is>
          <t>1 - 3 Năm</t>
        </is>
      </c>
      <c r="L15094" s="11">
        <f>HYPERLINK("https://careerviet.vn/vi/tim-viec-lam/nhan-vien-dang-ky-san-pham-ra-thoi-vu-06-thang.35C6AE83.html","Xem chi tiết")</f>
        <v/>
      </c>
      <c r="M15094" s="10" t="n"/>
    </row>
    <row r="15095">
      <c r="B15095" s="7" t="n">
        <v>15093</v>
      </c>
      <c r="C15095" t="inlineStr">
        <is>
          <t>Sales Admin</t>
        </is>
      </c>
      <c r="D15095" t="inlineStr">
        <is>
          <t>HR Vietnam’s ESS Client</t>
        </is>
      </c>
      <c r="E15095" t="inlineStr">
        <is>
          <t>Lương:Cạnh tranh</t>
        </is>
      </c>
      <c r="F15095" t="inlineStr">
        <is>
          <t>Hồ Chí Minh</t>
        </is>
      </c>
      <c r="G15095" t="inlineStr">
        <is>
          <t>08-04-2026</t>
        </is>
      </c>
      <c r="H15095" t="inlineStr">
        <is>
          <t>08/04/2026</t>
        </is>
      </c>
      <c r="I15095" t="inlineStr">
        <is>
          <t>17/03/2026</t>
        </is>
      </c>
      <c r="J15095" t="inlineStr">
        <is>
          <t>Hành chính / Thư ký, Bán hàng / Kinh doanh</t>
        </is>
      </c>
      <c r="K15095" t="inlineStr">
        <is>
          <t>5 - 10 Năm</t>
        </is>
      </c>
      <c r="L15095" s="8">
        <f>HYPERLINK("https://careerviet.vn/vi/tim-viec-lam/sales-admin.35C6AE02.html","Xem chi tiết")</f>
        <v/>
      </c>
    </row>
    <row r="15096">
      <c r="B15096" s="9" t="n">
        <v>15094</v>
      </c>
      <c r="C15096" s="10" t="inlineStr">
        <is>
          <t>Sales Manager (Payroll Outsourcing)</t>
        </is>
      </c>
      <c r="D15096" s="10" t="inlineStr">
        <is>
          <t>Công ty TNHH Cadena Việt Nam</t>
        </is>
      </c>
      <c r="E15096" s="10" t="inlineStr">
        <is>
          <t>Lương:Cạnh tranh</t>
        </is>
      </c>
      <c r="F15096" s="10" t="inlineStr">
        <is>
          <t>Hồ Chí Minh</t>
        </is>
      </c>
      <c r="G15096" s="10" t="inlineStr">
        <is>
          <t>03-04-2026</t>
        </is>
      </c>
      <c r="H15096" s="10" t="inlineStr">
        <is>
          <t>03/04/2026</t>
        </is>
      </c>
      <c r="I15096" s="10" t="inlineStr">
        <is>
          <t>17/03/2026</t>
        </is>
      </c>
      <c r="J15096" s="10" t="inlineStr">
        <is>
          <t>Tiếp thị / Marketing, Nhân sự, CNTT - Phần mềm</t>
        </is>
      </c>
      <c r="K15096" s="10" t="inlineStr">
        <is>
          <t>5 - 7 Năm</t>
        </is>
      </c>
      <c r="L15096" s="11">
        <f>HYPERLINK("https://careerviet.vn/vi/tim-viec-lam/sales-manager-payroll-outsourcing.35C6AD41.html","Xem chi tiết")</f>
        <v/>
      </c>
      <c r="M15096" s="10" t="n"/>
    </row>
    <row r="15097">
      <c r="B15097" s="7" t="n">
        <v>15095</v>
      </c>
      <c r="C15097" t="inlineStr">
        <is>
          <t>Trợ Lý Giám Đốc Kinh Doanh Kênh MT (Ngành Gia Dụng - Điện Máy)</t>
        </is>
      </c>
      <c r="D15097" t="inlineStr">
        <is>
          <t>Tập Đoàn Karofi Holding</t>
        </is>
      </c>
      <c r="E15097" t="inlineStr">
        <is>
          <t>Lương:Cạnh tranh</t>
        </is>
      </c>
      <c r="F15097" t="inlineStr">
        <is>
          <t>Hồ Chí Minh</t>
        </is>
      </c>
      <c r="G15097" t="inlineStr">
        <is>
          <t>03-04-2026</t>
        </is>
      </c>
      <c r="H15097" t="inlineStr">
        <is>
          <t>03/04/2026</t>
        </is>
      </c>
      <c r="I15097" t="inlineStr">
        <is>
          <t>17/03/2026</t>
        </is>
      </c>
      <c r="J15097" t="inlineStr">
        <is>
          <t>Hành chính / Thư ký, Bán lẻ / Bán sỉ, Bán hàng / Kinh doanh</t>
        </is>
      </c>
      <c r="K15097" t="inlineStr">
        <is>
          <t>1 - 2 Năm</t>
        </is>
      </c>
      <c r="L15097" s="8">
        <f>HYPERLINK("https://careerviet.vn/vi/tim-viec-lam/tro-ly-giam-doc-kinh-doanh-kenh-mt-nganh-gia-dung-dien-may.35C6AE47.html","Xem chi tiết")</f>
        <v/>
      </c>
    </row>
    <row r="15098">
      <c r="B15098" s="9" t="n">
        <v>15096</v>
      </c>
      <c r="C15098" s="10" t="inlineStr">
        <is>
          <t>Intern Social – TTS Phát Triển Khách Hàng</t>
        </is>
      </c>
      <c r="D15098" s="10" t="inlineStr">
        <is>
          <t>CÔNG TY TNHH DỊCH VỤ PHÁT TRIỂN CÔNG NGHỆ HƯNG PHÁT</t>
        </is>
      </c>
      <c r="E15098" s="10" t="inlineStr">
        <is>
          <t>Lương:Cạnh tranh</t>
        </is>
      </c>
      <c r="F15098" s="10" t="inlineStr">
        <is>
          <t>Hồ Chí Minh</t>
        </is>
      </c>
      <c r="G15098" s="10" t="inlineStr">
        <is>
          <t>04-04-2026</t>
        </is>
      </c>
      <c r="H15098" s="10" t="inlineStr">
        <is>
          <t>04/04/2026</t>
        </is>
      </c>
      <c r="I15098" s="10" t="inlineStr">
        <is>
          <t>17/03/2026</t>
        </is>
      </c>
      <c r="J15098" s="10" t="inlineStr">
        <is>
          <t>Mới tốt nghiệp / Thực tập, Tiếp thị / Marketing, Quảng cáo / Đối ngoại / Truyền Thông</t>
        </is>
      </c>
      <c r="K15098" s="10" t="inlineStr">
        <is>
          <t>N/A</t>
        </is>
      </c>
      <c r="L15098" s="11">
        <f>HYPERLINK("https://careerviet.vn/vi/tim-viec-lam/intern-social-tts-phat-trien-khach-hang.35C6ACAA.html","Xem chi tiết")</f>
        <v/>
      </c>
      <c r="M15098" s="10" t="n"/>
    </row>
    <row r="15099">
      <c r="B15099" s="7" t="n">
        <v>15097</v>
      </c>
      <c r="C15099" t="inlineStr">
        <is>
          <t>Nhân Viên Mua Hàng (Tiếng Anh)</t>
        </is>
      </c>
      <c r="D15099" t="inlineStr">
        <is>
          <t>Tập Đoàn An Phát Holdings</t>
        </is>
      </c>
      <c r="E15099" t="inlineStr">
        <is>
          <t>Lương:9 Tr - 12 Tr VND</t>
        </is>
      </c>
      <c r="F15099" t="inlineStr">
        <is>
          <t>Hải Dương</t>
        </is>
      </c>
      <c r="G15099" t="inlineStr">
        <is>
          <t>24-03-2026</t>
        </is>
      </c>
      <c r="H15099" t="inlineStr">
        <is>
          <t>24/03/2026</t>
        </is>
      </c>
      <c r="I15099" t="inlineStr">
        <is>
          <t>17/03/2026</t>
        </is>
      </c>
      <c r="J15099" t="inlineStr">
        <is>
          <t>Thu mua / Vật tư</t>
        </is>
      </c>
      <c r="K15099" t="inlineStr">
        <is>
          <t>N/A</t>
        </is>
      </c>
      <c r="L15099" s="8">
        <f>HYPERLINK("https://careerviet.vn/vi/tim-viec-lam/nhan-vien-mua-hang-tieng-anh.35C6ACF5.html","Xem chi tiết")</f>
        <v/>
      </c>
    </row>
    <row r="15100">
      <c r="B15100" s="9" t="n">
        <v>15098</v>
      </c>
      <c r="C15100" s="10" t="inlineStr">
        <is>
          <t>Key Account Executive (Food Testing)</t>
        </is>
      </c>
      <c r="D15100" s="10" t="inlineStr">
        <is>
          <t>Cty SGS Việt Nam TNHH</t>
        </is>
      </c>
      <c r="E15100" s="10" t="inlineStr">
        <is>
          <t>Lương:Cạnh tranh</t>
        </is>
      </c>
      <c r="F15100" s="10" t="inlineStr">
        <is>
          <t>Hồ Chí Minh</t>
        </is>
      </c>
      <c r="G15100" s="10" t="inlineStr">
        <is>
          <t>31-03-2026</t>
        </is>
      </c>
      <c r="H15100" s="10" t="inlineStr">
        <is>
          <t>31/03/2026</t>
        </is>
      </c>
      <c r="I15100" s="10" t="inlineStr">
        <is>
          <t>17/03/2026</t>
        </is>
      </c>
      <c r="J15100" s="10" t="inlineStr">
        <is>
          <t>Công nghệ thực phẩm / Dinh dưỡng, Bán hàng / Kinh doanh, Dịch vụ khách hàng</t>
        </is>
      </c>
      <c r="K15100" s="10" t="inlineStr">
        <is>
          <t>1 - 3 Năm</t>
        </is>
      </c>
      <c r="L15100" s="11">
        <f>HYPERLINK("https://careerviet.vn/vi/tim-viec-lam/key-account-executive-food-testing.35C6ACE0.html","Xem chi tiết")</f>
        <v/>
      </c>
      <c r="M15100" s="10" t="n"/>
    </row>
    <row r="15101">
      <c r="B15101" s="7" t="n">
        <v>15099</v>
      </c>
      <c r="C15101" t="inlineStr">
        <is>
          <t>Chuyên Viên Digital Marketing (FB Ads, GG Ads)</t>
        </is>
      </c>
      <c r="D15101" t="inlineStr">
        <is>
          <t>CÔNG TY TNHH MTV KỸ THUẬT TÚ LỘC</t>
        </is>
      </c>
      <c r="E15101" t="inlineStr">
        <is>
          <t>Lương:12 Tr - 15 Tr VND</t>
        </is>
      </c>
      <c r="F15101" t="inlineStr">
        <is>
          <t>Hồ Chí Minh</t>
        </is>
      </c>
      <c r="G15101" t="inlineStr">
        <is>
          <t>31-03-2026</t>
        </is>
      </c>
      <c r="H15101" t="inlineStr">
        <is>
          <t>31/03/2026</t>
        </is>
      </c>
      <c r="I15101" t="inlineStr">
        <is>
          <t>17/03/2026</t>
        </is>
      </c>
      <c r="J15101" t="inlineStr">
        <is>
          <t>Quảng cáo / Đối ngoại / Truyền Thông, Tiếp thị / Marketing, Thương mại điện tử</t>
        </is>
      </c>
      <c r="K15101" t="inlineStr">
        <is>
          <t>1 - 2 Năm</t>
        </is>
      </c>
      <c r="L15101" s="8">
        <f>HYPERLINK("https://careerviet.vn/vi/tim-viec-lam/chuyen-vien-digital-marketing-fb-ads-gg-ads.35C6AD0C.html","Xem chi tiết")</f>
        <v/>
      </c>
    </row>
    <row r="15102">
      <c r="B15102" s="9" t="n">
        <v>15100</v>
      </c>
      <c r="C15102" s="10" t="inlineStr">
        <is>
          <t>Chuyên viên Phòng Giám định bồi thường Tài sản kỹ thuật làm việc tại Hà Nội - Khối Giám định bồi thường</t>
        </is>
      </c>
      <c r="D15102" s="10" t="inlineStr">
        <is>
          <t>Tổng Công ty Cổ phần Bảo hiểm Quân đội (MIC)</t>
        </is>
      </c>
      <c r="E15102" s="10" t="inlineStr">
        <is>
          <t>Lương:Cạnh tranh</t>
        </is>
      </c>
      <c r="F15102" s="10" t="inlineStr">
        <is>
          <t>Hà Nội</t>
        </is>
      </c>
      <c r="G15102" s="10" t="inlineStr">
        <is>
          <t>03-04-2026</t>
        </is>
      </c>
      <c r="H15102" s="10" t="inlineStr">
        <is>
          <t>03/04/2026</t>
        </is>
      </c>
      <c r="I15102" s="10" t="inlineStr">
        <is>
          <t>17/03/2026</t>
        </is>
      </c>
      <c r="J15102" s="10" t="inlineStr">
        <is>
          <t>Kế toán / Kiểm toán, Bảo hiểm</t>
        </is>
      </c>
      <c r="K15102" s="10" t="inlineStr">
        <is>
          <t>1 - 10 Năm</t>
        </is>
      </c>
      <c r="L15102" s="11">
        <f>HYPERLINK("https://careerviet.vn/vi/tim-viec-lam/chuyen-vien-phong-giam-dinh-boi-thuong-tai-san-ky-thuat-lam-viec-tai-ha-noi-khoi-giam-dinh-boi-thuong.35C6AD48.html","Xem chi tiết")</f>
        <v/>
      </c>
      <c r="M15102" s="10" t="n"/>
    </row>
    <row r="15103">
      <c r="B15103" s="7" t="n">
        <v>15101</v>
      </c>
      <c r="C15103" t="inlineStr">
        <is>
          <t>Kế Toán Kho (Long Xuyên)</t>
        </is>
      </c>
      <c r="D15103" t="inlineStr">
        <is>
          <t>Công Ty TNHH XNK Phát Triển Đông Dương</t>
        </is>
      </c>
      <c r="E15103" t="inlineStr">
        <is>
          <t>Lương:10 Tr - 12 Tr VND</t>
        </is>
      </c>
      <c r="F15103" t="inlineStr">
        <is>
          <t>An Giang</t>
        </is>
      </c>
      <c r="G15103" t="inlineStr">
        <is>
          <t>10-04-2026</t>
        </is>
      </c>
      <c r="H15103" t="inlineStr">
        <is>
          <t>10/04/2026</t>
        </is>
      </c>
      <c r="I15103" t="inlineStr">
        <is>
          <t>17/03/2026</t>
        </is>
      </c>
      <c r="J15103" t="inlineStr">
        <is>
          <t>Kế toán / Kiểm toán</t>
        </is>
      </c>
      <c r="K15103" t="inlineStr">
        <is>
          <t>1 - 3 Năm</t>
        </is>
      </c>
      <c r="L15103" s="8">
        <f>HYPERLINK("https://careerviet.vn/vi/tim-viec-lam/ke-toan-kho-long-xuyen.35C6AD5F.html","Xem chi tiết")</f>
        <v/>
      </c>
    </row>
    <row r="15104">
      <c r="B15104" s="9" t="n">
        <v>15102</v>
      </c>
      <c r="C15104" s="10" t="inlineStr">
        <is>
          <t>[G.MASTER] QUẢN LÝ /PHÓ QUẢN LÝ NHÀ HÀNG</t>
        </is>
      </c>
      <c r="D15104" s="10" t="inlineStr">
        <is>
          <t>Công Ty Cổ Phần Tầm Nhìn Quốc Tế Aladdin</t>
        </is>
      </c>
      <c r="E15104" s="10" t="inlineStr">
        <is>
          <t>Lương:15 Tr - 20 Tr VND</t>
        </is>
      </c>
      <c r="F15104" s="10" t="inlineStr">
        <is>
          <t>Hồ Chí Minh</t>
        </is>
      </c>
      <c r="G15104" s="10" t="inlineStr">
        <is>
          <t>04-04-2026</t>
        </is>
      </c>
      <c r="H15104" s="10" t="inlineStr">
        <is>
          <t>04/04/2026</t>
        </is>
      </c>
      <c r="I15104" s="10" t="inlineStr">
        <is>
          <t>17/03/2026</t>
        </is>
      </c>
      <c r="J15104" s="10" t="inlineStr">
        <is>
          <t>Thực phẩm &amp; Đồ uống, Nhà hàng / Khách sạn, Quản lý điều hành</t>
        </is>
      </c>
      <c r="K15104" s="10" t="inlineStr">
        <is>
          <t>2 - 4 Năm</t>
        </is>
      </c>
      <c r="L15104" s="11">
        <f>HYPERLINK("https://careerviet.vn/vi/tim-viec-lam/g-master-quan-ly-pho-quan-ly-nha-hang.35C6AB31.html","Xem chi tiết")</f>
        <v/>
      </c>
      <c r="M15104" s="10" t="n"/>
    </row>
    <row r="15105">
      <c r="B15105" s="7" t="n">
        <v>15103</v>
      </c>
      <c r="C15105" t="inlineStr">
        <is>
          <t>Chuyên viên Logistic (Quản lý đối tác kho vận &amp; vận chuyển)</t>
        </is>
      </c>
      <c r="D15105" t="inlineStr">
        <is>
          <t>CÔNG TY TNHH ANTA SPORTS VIỆT NAM</t>
        </is>
      </c>
      <c r="E15105" t="inlineStr">
        <is>
          <t>Lương:18 Tr - 20 Tr VND</t>
        </is>
      </c>
      <c r="F15105" t="inlineStr">
        <is>
          <t>Hà Nội</t>
        </is>
      </c>
      <c r="G15105" t="inlineStr">
        <is>
          <t>31-03-2026</t>
        </is>
      </c>
      <c r="H15105" t="inlineStr">
        <is>
          <t>31/03/2026</t>
        </is>
      </c>
      <c r="I15105" t="inlineStr">
        <is>
          <t>17/03/2026</t>
        </is>
      </c>
      <c r="J15105" t="inlineStr">
        <is>
          <t>Vận chuyển / Giao nhận / Kho vận, Xuất nhập khẩu, Ngành khác</t>
        </is>
      </c>
      <c r="K15105" t="inlineStr">
        <is>
          <t>Trên 2 Năm</t>
        </is>
      </c>
      <c r="L15105" s="8">
        <f>HYPERLINK("https://careerviet.vn/vi/tim-viec-lam/chuyen-vien-logistic-quan-ly-doi-tac-kho-van-van-chuyen.35C6AD10.html","Xem chi tiết")</f>
        <v/>
      </c>
    </row>
    <row r="15106">
      <c r="B15106" s="9" t="n">
        <v>15104</v>
      </c>
      <c r="C15106" s="10" t="inlineStr">
        <is>
          <t>Nhân viên Content Marketing</t>
        </is>
      </c>
      <c r="D15106" s="10" t="inlineStr">
        <is>
          <t>Công ty Cổ phần Đầu tư Thương mại Kỹ thuật A&amp;T Việt Nam</t>
        </is>
      </c>
      <c r="E15106" s="10" t="inlineStr">
        <is>
          <t>Lương:13 Tr - 17 Tr VND</t>
        </is>
      </c>
      <c r="F15106" s="10" t="inlineStr">
        <is>
          <t>Hà Nội</t>
        </is>
      </c>
      <c r="G15106" s="10" t="inlineStr">
        <is>
          <t>01-04-2026</t>
        </is>
      </c>
      <c r="H15106" s="10" t="inlineStr">
        <is>
          <t>01/04/2026</t>
        </is>
      </c>
      <c r="I15106" s="10" t="inlineStr">
        <is>
          <t>17/03/2026</t>
        </is>
      </c>
      <c r="J15106" s="10" t="inlineStr">
        <is>
          <t>Truyền hình / Báo chí / Biên tập</t>
        </is>
      </c>
      <c r="K15106" s="10" t="inlineStr">
        <is>
          <t>2 - 3 Năm</t>
        </is>
      </c>
      <c r="L15106" s="11">
        <f>HYPERLINK("https://careerviet.vn/vi/tim-viec-lam/nhan-vien-content-marketing.35C6ACFE.html","Xem chi tiết")</f>
        <v/>
      </c>
      <c r="M15106" s="10" t="n"/>
    </row>
    <row r="15107">
      <c r="B15107" s="7" t="n">
        <v>15105</v>
      </c>
      <c r="C15107" t="inlineStr">
        <is>
          <t>Chuyên viên kế toán tổng hợp</t>
        </is>
      </c>
      <c r="D15107" t="inlineStr">
        <is>
          <t>Bitex (Nhà phân phối độc quyền máy tính Casio tại Việt Nam)</t>
        </is>
      </c>
      <c r="E15107" t="inlineStr">
        <is>
          <t>Lương:Cạnh tranh</t>
        </is>
      </c>
      <c r="F15107" t="inlineStr">
        <is>
          <t>Hồ Chí Minh</t>
        </is>
      </c>
      <c r="G15107" t="inlineStr">
        <is>
          <t>04-04-2026</t>
        </is>
      </c>
      <c r="H15107" t="inlineStr">
        <is>
          <t>04/04/2026</t>
        </is>
      </c>
      <c r="I15107" t="inlineStr">
        <is>
          <t>17/03/2026</t>
        </is>
      </c>
      <c r="J15107" t="inlineStr">
        <is>
          <t>Kế toán / Kiểm toán</t>
        </is>
      </c>
      <c r="K15107" t="inlineStr">
        <is>
          <t>3 - 5 Năm</t>
        </is>
      </c>
      <c r="L15107" s="8">
        <f>HYPERLINK("https://careerviet.vn/vi/tim-viec-lam/chuyen-vien-ke-toan-tong-hop.35C6AD04.html","Xem chi tiết")</f>
        <v/>
      </c>
    </row>
    <row r="15108">
      <c r="B15108" s="9" t="n">
        <v>15106</v>
      </c>
      <c r="C15108" s="10" t="inlineStr">
        <is>
          <t>Nhân Viên Telesale</t>
        </is>
      </c>
      <c r="D15108" s="10" t="inlineStr">
        <is>
          <t>Viện Thẩm mỹ y khoa Dr Hải Lê</t>
        </is>
      </c>
      <c r="E15108" s="10" t="inlineStr">
        <is>
          <t>Lương:10 Tr - 25 Tr VND</t>
        </is>
      </c>
      <c r="F15108" s="10" t="inlineStr">
        <is>
          <t>Hà Nội</t>
        </is>
      </c>
      <c r="G15108" s="10" t="inlineStr">
        <is>
          <t>18-04-2026</t>
        </is>
      </c>
      <c r="H15108" s="10" t="inlineStr">
        <is>
          <t>18/04/2026</t>
        </is>
      </c>
      <c r="I15108" s="10" t="inlineStr">
        <is>
          <t>17/03/2026</t>
        </is>
      </c>
      <c r="J15108" s="10" t="inlineStr">
        <is>
          <t>Tiếp thị trực tuyến, Y tế / Chăm sóc sức khỏe / Thẩm mỹ / Làm đẹp, Dịch vụ khách hàng</t>
        </is>
      </c>
      <c r="K15108" s="10" t="inlineStr">
        <is>
          <t>1 - 2 Năm</t>
        </is>
      </c>
      <c r="L15108" s="11">
        <f>HYPERLINK("https://careerviet.vn/vi/tim-viec-lam/nhan-vien-telesale.35C6AD2A.html","Xem chi tiết")</f>
        <v/>
      </c>
      <c r="M15108" s="10" t="n"/>
    </row>
    <row r="15109">
      <c r="B15109" s="7" t="n">
        <v>15107</v>
      </c>
      <c r="C15109" t="inlineStr">
        <is>
          <t>Kế Toán Nội Bộ</t>
        </is>
      </c>
      <c r="D15109" t="inlineStr">
        <is>
          <t>CÔNG TY CỔ PHẦN CƠ ĐIỆN VÀ PCCC HỒNG LỢI KHANG</t>
        </is>
      </c>
      <c r="E15109" t="inlineStr">
        <is>
          <t>Lương:8 Tr - 12 Tr VND</t>
        </is>
      </c>
      <c r="F15109" t="inlineStr">
        <is>
          <t>Hồ Chí Minh</t>
        </is>
      </c>
      <c r="G15109" t="inlineStr">
        <is>
          <t>04-04-2026</t>
        </is>
      </c>
      <c r="H15109" t="inlineStr">
        <is>
          <t>04/04/2026</t>
        </is>
      </c>
      <c r="I15109" t="inlineStr">
        <is>
          <t>17/03/2026</t>
        </is>
      </c>
      <c r="J15109" t="inlineStr">
        <is>
          <t>Kế toán / Kiểm toán, Tài chính / Đầu tư, Luật / Pháp lý</t>
        </is>
      </c>
      <c r="K15109" t="inlineStr">
        <is>
          <t>Trên 1 Năm</t>
        </is>
      </c>
      <c r="L15109" s="8">
        <f>HYPERLINK("https://careerviet.vn/vi/tim-viec-lam/ke-toan-noi-bo.35C6AD07.html","Xem chi tiết")</f>
        <v/>
      </c>
    </row>
    <row r="15110">
      <c r="B15110" s="9" t="n">
        <v>15108</v>
      </c>
      <c r="C15110" s="10" t="inlineStr">
        <is>
          <t>Nhân Viên Bán Hàng - Hà Nam</t>
        </is>
      </c>
      <c r="D15110" s="10" t="inlineStr">
        <is>
          <t>CT CP Tập Đoàn Thái Tuấn</t>
        </is>
      </c>
      <c r="E15110" s="10" t="inlineStr">
        <is>
          <t>Lương:6 Tr - 8 Tr VND</t>
        </is>
      </c>
      <c r="F15110" s="10" t="inlineStr">
        <is>
          <t>Hà Nam</t>
        </is>
      </c>
      <c r="G15110" s="10" t="inlineStr">
        <is>
          <t>03-04-2026</t>
        </is>
      </c>
      <c r="H15110" s="10" t="inlineStr">
        <is>
          <t>03/04/2026</t>
        </is>
      </c>
      <c r="I15110" s="10" t="inlineStr">
        <is>
          <t>17/03/2026</t>
        </is>
      </c>
      <c r="J15110" s="10" t="inlineStr">
        <is>
          <t>Bán lẻ / Bán sỉ, Bán hàng / Kinh doanh, Dệt may / Da giày / Thời trang</t>
        </is>
      </c>
      <c r="K15110" s="10" t="inlineStr">
        <is>
          <t>N/A</t>
        </is>
      </c>
      <c r="L15110" s="11">
        <f>HYPERLINK("https://careerviet.vn/vi/tim-viec-lam/nhan-vien-ban-hang-ha-nam.35C6AD3B.html","Xem chi tiết")</f>
        <v/>
      </c>
      <c r="M15110" s="10" t="n"/>
    </row>
    <row r="15111">
      <c r="B15111" s="7" t="n">
        <v>15109</v>
      </c>
      <c r="C15111" t="inlineStr">
        <is>
          <t>PHÓ PHÒNG KỸ THUẬT HỒ CHÍ MINH</t>
        </is>
      </c>
      <c r="D15111" t="inlineStr">
        <is>
          <t>Công Ty Cổ Phần A25 Hotel</t>
        </is>
      </c>
      <c r="E15111" t="inlineStr">
        <is>
          <t>Lương:30 Tr - 50 Tr VND</t>
        </is>
      </c>
      <c r="F15111" t="inlineStr">
        <is>
          <t>Hồ Chí Minh</t>
        </is>
      </c>
      <c r="G15111" t="inlineStr">
        <is>
          <t>31-03-2026</t>
        </is>
      </c>
      <c r="H15111" t="inlineStr">
        <is>
          <t>31/03/2026</t>
        </is>
      </c>
      <c r="I15111" t="inlineStr">
        <is>
          <t>17/03/2026</t>
        </is>
      </c>
      <c r="J15111" t="inlineStr">
        <is>
          <t>Quản lý điều hành, Điện / Điện tử / Điện lạnh / Điện công nghiệp, Bảo trì / Sửa chữa</t>
        </is>
      </c>
      <c r="K15111" t="inlineStr">
        <is>
          <t>3 - 4 Năm</t>
        </is>
      </c>
      <c r="L15111" s="8">
        <f>HYPERLINK("https://careerviet.vn/vi/tim-viec-lam/pho-phong-ky-thuat-ho-chi-minh.35C6ADDA.html","Xem chi tiết")</f>
        <v/>
      </c>
    </row>
    <row r="15112">
      <c r="B15112" s="9" t="n">
        <v>15110</v>
      </c>
      <c r="C15112" s="10" t="inlineStr">
        <is>
          <t>CHUYÊN VIÊN QUẢN LÝ DỰ ÁN (PM) - VĂN PHÒNG QUẢN TRỊ DỰ ÁN - KHỐI NGÂN HÀNG SỐ</t>
        </is>
      </c>
      <c r="D15112" s="10" t="inlineStr">
        <is>
          <t>NGÂN HÀNG TMCP SÀI GÒN THƯƠNG TÍN (SACOMBANK)</t>
        </is>
      </c>
      <c r="E15112" s="10" t="inlineStr">
        <is>
          <t>Lương:Cạnh tranh</t>
        </is>
      </c>
      <c r="F15112" s="10" t="inlineStr">
        <is>
          <t>Hồ Chí Minh</t>
        </is>
      </c>
      <c r="G15112" s="10" t="inlineStr">
        <is>
          <t>03-04-2026</t>
        </is>
      </c>
      <c r="H15112" s="10" t="inlineStr">
        <is>
          <t>03/04/2026</t>
        </is>
      </c>
      <c r="I15112" s="10" t="inlineStr">
        <is>
          <t>17/03/2026</t>
        </is>
      </c>
      <c r="J15112" s="10" t="inlineStr">
        <is>
          <t>Thương mại điện tử, Ngân hàng, CNTT - Phần mềm</t>
        </is>
      </c>
      <c r="K15112" s="10" t="inlineStr">
        <is>
          <t>2 - 3 Năm</t>
        </is>
      </c>
      <c r="L15112" s="11">
        <f>HYPERLINK("https://careerviet.vn/vi/tim-viec-lam/chuyen-vien-quan-ly-du-an-pm-van-phong-quan-tri-du-an-khoi-ngan-hang-so.35C6AAE1.html","Xem chi tiết")</f>
        <v/>
      </c>
      <c r="M15112" s="10" t="n"/>
    </row>
    <row r="15113">
      <c r="B15113" s="7" t="n">
        <v>15111</v>
      </c>
      <c r="C15113" t="inlineStr">
        <is>
          <t>Nhân Viên Chăm Sóc Khác Hàng</t>
        </is>
      </c>
      <c r="D15113" t="inlineStr">
        <is>
          <t>HỆ THỐNG KÍNH MẮT ANNA</t>
        </is>
      </c>
      <c r="E15113" t="inlineStr">
        <is>
          <t>Lương:9 Tr - 12 Tr VND</t>
        </is>
      </c>
      <c r="F15113" t="inlineStr">
        <is>
          <t>Hà Nội</t>
        </is>
      </c>
      <c r="G15113" t="inlineStr">
        <is>
          <t>04-04-2026</t>
        </is>
      </c>
      <c r="H15113" t="inlineStr">
        <is>
          <t>04/04/2026</t>
        </is>
      </c>
      <c r="I15113" t="inlineStr">
        <is>
          <t>17/03/2026</t>
        </is>
      </c>
      <c r="J15113" t="inlineStr">
        <is>
          <t>Dịch vụ khách hàng</t>
        </is>
      </c>
      <c r="K15113" t="inlineStr">
        <is>
          <t>Trên 1 Năm</t>
        </is>
      </c>
      <c r="L15113" s="8">
        <f>HYPERLINK("https://careerviet.vn/vi/tim-viec-lam/nhan-vien-cham-soc-khac-hang.35C6AD00.html","Xem chi tiết")</f>
        <v/>
      </c>
    </row>
    <row r="15114">
      <c r="B15114" s="9" t="n">
        <v>15112</v>
      </c>
      <c r="C15114" s="10" t="inlineStr">
        <is>
          <t>[PHENIKAA] Chuyên viên kế toán tổng hợp</t>
        </is>
      </c>
      <c r="D15114" s="10" t="inlineStr">
        <is>
          <t>ĐẠI HỌC PHENIKAA</t>
        </is>
      </c>
      <c r="E15114" s="10" t="inlineStr">
        <is>
          <t>Lương:17 Tr - 22 Tr VND</t>
        </is>
      </c>
      <c r="F15114" s="10" t="inlineStr">
        <is>
          <t>Hà Nội</t>
        </is>
      </c>
      <c r="G15114" s="10" t="inlineStr">
        <is>
          <t>11-04-2026</t>
        </is>
      </c>
      <c r="H15114" s="10" t="inlineStr">
        <is>
          <t>11/04/2026</t>
        </is>
      </c>
      <c r="I15114" s="10" t="inlineStr">
        <is>
          <t>17/03/2026</t>
        </is>
      </c>
      <c r="J15114" s="10" t="inlineStr">
        <is>
          <t>Kế toán / Kiểm toán, Tài chính / Đầu tư</t>
        </is>
      </c>
      <c r="K15114" s="10" t="inlineStr">
        <is>
          <t>2 - 3 Năm</t>
        </is>
      </c>
      <c r="L15114" s="11">
        <f>HYPERLINK("https://careerviet.vn/vi/tim-viec-lam/phenikaa-chuyen-vien-ke-toan-tong-hop.35C6AD1B.html","Xem chi tiết")</f>
        <v/>
      </c>
      <c r="M15114" s="10" t="n"/>
    </row>
    <row r="15115">
      <c r="B15115" s="7" t="n">
        <v>15113</v>
      </c>
      <c r="C15115" t="inlineStr">
        <is>
          <t>Nhân Viên Kế Toán Công Nợ Hà Nội</t>
        </is>
      </c>
      <c r="D15115" t="inlineStr">
        <is>
          <t>Công ty TNHH Thực Phẩm Sạch Thương Mại T&amp;P</t>
        </is>
      </c>
      <c r="E15115" t="inlineStr">
        <is>
          <t>Lương:10 Tr - 12 Tr VND</t>
        </is>
      </c>
      <c r="F15115" t="inlineStr">
        <is>
          <t>Hà Nội</t>
        </is>
      </c>
      <c r="G15115" t="inlineStr">
        <is>
          <t>29-04-2026</t>
        </is>
      </c>
      <c r="H15115" t="inlineStr">
        <is>
          <t>29/04/2026</t>
        </is>
      </c>
      <c r="I15115" t="inlineStr">
        <is>
          <t>17/03/2026</t>
        </is>
      </c>
      <c r="J15115" t="inlineStr">
        <is>
          <t>Kế toán / Kiểm toán</t>
        </is>
      </c>
      <c r="K15115" t="inlineStr">
        <is>
          <t>1 - 2 Năm</t>
        </is>
      </c>
      <c r="L15115" s="8">
        <f>HYPERLINK("https://careerviet.vn/vi/tim-viec-lam/nhan-vien-ke-toan-cong-no-ha-noi.35C6AD60.html","Xem chi tiết")</f>
        <v/>
      </c>
    </row>
    <row r="15116">
      <c r="B15116" s="9" t="n">
        <v>15114</v>
      </c>
      <c r="C15116" s="10" t="inlineStr">
        <is>
          <t>Nhân Viên Bảo Trì Sửa Chữa Khuôn</t>
        </is>
      </c>
      <c r="D15116" s="10" t="inlineStr">
        <is>
          <t>Công ty Cổ Phần Tập Đoàn Thiên Long</t>
        </is>
      </c>
      <c r="E15116" s="10" t="inlineStr">
        <is>
          <t>Lương:Cạnh tranh</t>
        </is>
      </c>
      <c r="F15116" s="10" t="inlineStr">
        <is>
          <t>Hồ Chí Minh</t>
        </is>
      </c>
      <c r="G15116" s="10" t="inlineStr">
        <is>
          <t>31-03-2026</t>
        </is>
      </c>
      <c r="H15116" s="10" t="inlineStr">
        <is>
          <t>31/03/2026</t>
        </is>
      </c>
      <c r="I15116" s="10" t="inlineStr">
        <is>
          <t>17/03/2026</t>
        </is>
      </c>
      <c r="J15116" s="10" t="inlineStr">
        <is>
          <t>Cơ khí / Ô tô / Tự động hóa, Bảo trì / Sửa chữa, Sản xuất / Vận hành sản xuất</t>
        </is>
      </c>
      <c r="K15116" s="10" t="inlineStr">
        <is>
          <t>Lên đến 1 Năm</t>
        </is>
      </c>
      <c r="L15116" s="11">
        <f>HYPERLINK("https://careerviet.vn/vi/tim-viec-lam/nhan-vien-bao-tri-sua-chua-khuon.35C69E30.html","Xem chi tiết")</f>
        <v/>
      </c>
      <c r="M15116" s="10" t="n"/>
    </row>
    <row r="15117">
      <c r="B15117" s="7" t="n">
        <v>15115</v>
      </c>
      <c r="C15117" t="inlineStr">
        <is>
          <t>nhân viên lập trình</t>
        </is>
      </c>
      <c r="D15117" t="inlineStr">
        <is>
          <t>CÔNG TY CỔ PHẦN ĐẦU TƯ VÀNG PHÚ QUÝ</t>
        </is>
      </c>
      <c r="E15117" t="inlineStr">
        <is>
          <t>Lương:10 Tr - 15 Tr VND</t>
        </is>
      </c>
      <c r="F15117" t="inlineStr">
        <is>
          <t>Hà Nội</t>
        </is>
      </c>
      <c r="G15117" t="inlineStr">
        <is>
          <t>04-04-2026</t>
        </is>
      </c>
      <c r="H15117" t="inlineStr">
        <is>
          <t>04/04/2026</t>
        </is>
      </c>
      <c r="I15117" t="inlineStr">
        <is>
          <t>17/03/2026</t>
        </is>
      </c>
      <c r="J15117" t="inlineStr">
        <is>
          <t>CNTT - Phần mềm</t>
        </is>
      </c>
      <c r="K15117" t="inlineStr">
        <is>
          <t>1 - 2 Năm</t>
        </is>
      </c>
      <c r="L15117" s="8">
        <f>HYPERLINK("https://careerviet.vn/vi/tim-viec-lam/nhan-vien-lap-trinh.35C6ACF9.html","Xem chi tiết")</f>
        <v/>
      </c>
    </row>
    <row r="15118">
      <c r="B15118" s="9" t="n">
        <v>15116</v>
      </c>
      <c r="C15118" s="10" t="inlineStr">
        <is>
          <t>(Nhà Bè) Nhân Viên Nhập Liệu Tại Kho 6 tháng</t>
        </is>
      </c>
      <c r="D15118" s="10" t="inlineStr">
        <is>
          <t>Công Ty TNHH Tập Đoàn Rita Võ</t>
        </is>
      </c>
      <c r="E15118" s="10" t="inlineStr">
        <is>
          <t>Lương:8 Tr - 10 Tr VND</t>
        </is>
      </c>
      <c r="F15118" s="10" t="inlineStr">
        <is>
          <t>Hồ Chí Minh</t>
        </is>
      </c>
      <c r="G15118" s="10" t="inlineStr">
        <is>
          <t>10-03-2026</t>
        </is>
      </c>
      <c r="H15118" s="10" t="inlineStr">
        <is>
          <t>07/03/2026</t>
        </is>
      </c>
      <c r="I15118" s="10" t="inlineStr">
        <is>
          <t>17/03/2026</t>
        </is>
      </c>
      <c r="J15118" s="10" t="inlineStr">
        <is>
          <t>Vận chuyển / Giao nhận / Kho vận, Hành chính / Thư ký, Kế toán / Kiểm toán</t>
        </is>
      </c>
      <c r="K15118" s="10" t="inlineStr">
        <is>
          <t>Trên 1 Năm</t>
        </is>
      </c>
      <c r="L15118" s="11">
        <f>HYPERLINK("https://careerviet.vn/vi/tim-viec-lam/nha-be-nhan-vien-nhap-lieu-tai-kho-6-thang.35C6AB8B.html","Xem chi tiết")</f>
        <v/>
      </c>
      <c r="M15118" s="10" t="n"/>
    </row>
    <row r="15119">
      <c r="B15119" s="7" t="n">
        <v>15117</v>
      </c>
      <c r="C15119" t="inlineStr">
        <is>
          <t>Trưởng Nhóm Tuyển Sinh (Ocean Edu Xuân Mai)</t>
        </is>
      </c>
      <c r="D15119" t="inlineStr">
        <is>
          <t>Công Ty CP Giáo Dục Đại Dương</t>
        </is>
      </c>
      <c r="E15119" t="inlineStr">
        <is>
          <t>Lương:Cạnh tranh</t>
        </is>
      </c>
      <c r="F15119" t="inlineStr">
        <is>
          <t>Hà Nội</t>
        </is>
      </c>
      <c r="G15119" t="inlineStr">
        <is>
          <t>03-04-2026</t>
        </is>
      </c>
      <c r="H15119" t="inlineStr">
        <is>
          <t>03/04/2026</t>
        </is>
      </c>
      <c r="I15119" t="inlineStr">
        <is>
          <t>17/03/2026</t>
        </is>
      </c>
      <c r="J15119" t="inlineStr">
        <is>
          <t>Tư vấn, Dịch vụ khách hàng, Giáo dục / Đào tạo</t>
        </is>
      </c>
      <c r="K15119" t="inlineStr">
        <is>
          <t>1 - 2 Năm</t>
        </is>
      </c>
      <c r="L15119" s="8">
        <f>HYPERLINK("https://careerviet.vn/vi/tim-viec-lam/truong-nhom-tuyen-sinh-ocean-edu-xuan-mai.35C6AB72.html","Xem chi tiết")</f>
        <v/>
      </c>
    </row>
    <row r="15120">
      <c r="B15120" s="9" t="n">
        <v>15118</v>
      </c>
      <c r="C15120" s="10" t="inlineStr">
        <is>
          <t>Kế toán kho/Giá thành</t>
        </is>
      </c>
      <c r="D15120" s="10" t="inlineStr">
        <is>
          <t>Công Ty Cổ Phần Quốc Tế Sơn Hà</t>
        </is>
      </c>
      <c r="E15120" s="10" t="inlineStr">
        <is>
          <t>Lương:8 Tr - 10 Tr VND</t>
        </is>
      </c>
      <c r="F15120" s="10" t="inlineStr">
        <is>
          <t>Nghệ An</t>
        </is>
      </c>
      <c r="G15120" s="10" t="inlineStr">
        <is>
          <t>24-03-2026</t>
        </is>
      </c>
      <c r="H15120" s="10" t="inlineStr">
        <is>
          <t>24/03/2026</t>
        </is>
      </c>
      <c r="I15120" s="10" t="inlineStr">
        <is>
          <t>17/03/2026</t>
        </is>
      </c>
      <c r="J15120" s="10" t="inlineStr">
        <is>
          <t>Sản xuất / Vận hành sản xuất</t>
        </is>
      </c>
      <c r="K15120" s="10" t="inlineStr">
        <is>
          <t>1 - 2 Năm</t>
        </is>
      </c>
      <c r="L15120" s="11">
        <f>HYPERLINK("https://careerviet.vn/vi/tim-viec-lam/ke-toan-kho-gia-thanh.35C6AB47.html","Xem chi tiết")</f>
        <v/>
      </c>
      <c r="M15120" s="10" t="n"/>
    </row>
    <row r="15121">
      <c r="B15121" s="7" t="n">
        <v>15119</v>
      </c>
      <c r="C15121" t="inlineStr">
        <is>
          <t>Nhân viên Facebook Ads_(Lĩnh vực  Nha Khoa/Thẩm Mỹ)</t>
        </is>
      </c>
      <c r="D15121" t="inlineStr">
        <is>
          <t>CÔNG TY TNHH NHA KHOA QUỐC TẾ SQ GROUP</t>
        </is>
      </c>
      <c r="E15121" t="inlineStr">
        <is>
          <t>Lương:10 Tr - 15 Tr VND</t>
        </is>
      </c>
      <c r="F15121" t="inlineStr">
        <is>
          <t>Hồ Chí Minh</t>
        </is>
      </c>
      <c r="G15121" t="inlineStr">
        <is>
          <t>30-03-2026</t>
        </is>
      </c>
      <c r="H15121" t="inlineStr">
        <is>
          <t>30/03/2026</t>
        </is>
      </c>
      <c r="I15121" t="inlineStr">
        <is>
          <t>17/03/2026</t>
        </is>
      </c>
      <c r="J15121" t="inlineStr">
        <is>
          <t>Tiếp thị / Marketing, Quảng cáo / Đối ngoại / Truyền Thông, Y tế / Chăm sóc sức khỏe / Thẩm mỹ / Làm đẹp</t>
        </is>
      </c>
      <c r="K15121" t="inlineStr">
        <is>
          <t>1 - 2 Năm</t>
        </is>
      </c>
      <c r="L15121" s="8">
        <f>HYPERLINK("https://careerviet.vn/vi/tim-viec-lam/nhan-vien-facebook-ads_-linh-vuc-nha-khoa-tham-my.35C6AD26.html","Xem chi tiết")</f>
        <v/>
      </c>
    </row>
    <row r="15122">
      <c r="B15122" s="9" t="n">
        <v>15120</v>
      </c>
      <c r="C15122" s="10" t="inlineStr">
        <is>
          <t>CHUYÊN VIÊN KIỂM SOÁT DỰ ÁN</t>
        </is>
      </c>
      <c r="D15122" s="10" t="inlineStr">
        <is>
          <t>CÔNG TY CỔ PHẦN EUROWINDOW HOLDING</t>
        </is>
      </c>
      <c r="E15122" s="10" t="inlineStr">
        <is>
          <t>Lương:Cạnh tranh</t>
        </is>
      </c>
      <c r="F15122" s="10" t="inlineStr">
        <is>
          <t>Hà Nội</t>
        </is>
      </c>
      <c r="G15122" s="10" t="inlineStr">
        <is>
          <t>31-03-2026</t>
        </is>
      </c>
      <c r="H15122" s="10" t="inlineStr">
        <is>
          <t>31/03/2026</t>
        </is>
      </c>
      <c r="I15122" s="10" t="inlineStr">
        <is>
          <t>17/03/2026</t>
        </is>
      </c>
      <c r="J15122" s="10" t="inlineStr">
        <is>
          <t>Kiến trúc, Xây dựng, Bất động sản</t>
        </is>
      </c>
      <c r="K15122" s="10" t="inlineStr">
        <is>
          <t>4 - 8 Năm</t>
        </is>
      </c>
      <c r="L15122" s="11">
        <f>HYPERLINK("https://careerviet.vn/vi/tim-viec-lam/chuyen-vien-kiem-soat-du-an.35C6ACFA.html","Xem chi tiết")</f>
        <v/>
      </c>
      <c r="M15122" s="10" t="n"/>
    </row>
    <row r="15123">
      <c r="B15123" s="7" t="n">
        <v>15121</v>
      </c>
      <c r="C15123" t="inlineStr">
        <is>
          <t>Nhân Viên Trực Page</t>
        </is>
      </c>
      <c r="D15123" t="inlineStr">
        <is>
          <t>HỆ THỐNG KÍNH MẮT ANNA</t>
        </is>
      </c>
      <c r="E15123" t="inlineStr">
        <is>
          <t>Lương:9 Tr - 12 Tr VND</t>
        </is>
      </c>
      <c r="F15123" t="inlineStr">
        <is>
          <t>Hà Nội</t>
        </is>
      </c>
      <c r="G15123" t="inlineStr">
        <is>
          <t>04-04-2026</t>
        </is>
      </c>
      <c r="H15123" t="inlineStr">
        <is>
          <t>04/04/2026</t>
        </is>
      </c>
      <c r="I15123" t="inlineStr">
        <is>
          <t>17/03/2026</t>
        </is>
      </c>
      <c r="J15123" t="inlineStr">
        <is>
          <t>Dịch vụ khách hàng</t>
        </is>
      </c>
      <c r="K15123" t="inlineStr">
        <is>
          <t>Trên 1 Năm</t>
        </is>
      </c>
      <c r="L15123" s="8">
        <f>HYPERLINK("https://careerviet.vn/vi/tim-viec-lam/nhan-vien-truc-page.35C6AD02.html","Xem chi tiết")</f>
        <v/>
      </c>
    </row>
    <row r="15124">
      <c r="B15124" s="9" t="n">
        <v>15122</v>
      </c>
      <c r="C15124" s="10" t="inlineStr">
        <is>
          <t>Chuyên Viên Tư Vấn Giáo Dục - Ocean Edu Hạ Long - Thu Nhập Từ 15Triệu/Tháng - Phỏng Vấn Đi Làm Ngay</t>
        </is>
      </c>
      <c r="D15124" s="10" t="inlineStr">
        <is>
          <t>Công Ty CP Giáo Dục Đại Dương</t>
        </is>
      </c>
      <c r="E15124" s="10" t="inlineStr">
        <is>
          <t>Lương:Cạnh tranh</t>
        </is>
      </c>
      <c r="F15124" s="10" t="inlineStr">
        <is>
          <t>Quảng Ninh</t>
        </is>
      </c>
      <c r="G15124" s="10" t="inlineStr">
        <is>
          <t>03-04-2026</t>
        </is>
      </c>
      <c r="H15124" s="10" t="inlineStr">
        <is>
          <t>03/04/2026</t>
        </is>
      </c>
      <c r="I15124" s="10" t="inlineStr">
        <is>
          <t>17/03/2026</t>
        </is>
      </c>
      <c r="J15124" s="10" t="inlineStr">
        <is>
          <t>Dịch vụ khách hàng, Giáo dục / Đào tạo, Bán hàng / Kinh doanh</t>
        </is>
      </c>
      <c r="K15124" s="10" t="inlineStr">
        <is>
          <t>Chưa có kinh nghiệm</t>
        </is>
      </c>
      <c r="L15124" s="11">
        <f>HYPERLINK("https://careerviet.vn/vi/tim-viec-lam/chuyen-vien-tu-van-giao-duc-ocean-edu-ha-long-thu-nhap-tu-15trieu-thang-phong-van-di-lam-ngay.35C6AEBF.html","Xem chi tiết")</f>
        <v/>
      </c>
      <c r="M15124" s="10" t="n"/>
    </row>
    <row r="15125">
      <c r="B15125" s="7" t="n">
        <v>15123</v>
      </c>
      <c r="C15125" t="inlineStr">
        <is>
          <t>Backend Developer (ERP Integration – D365 / Odoo)</t>
        </is>
      </c>
      <c r="D15125" t="inlineStr">
        <is>
          <t>Công Ty Cổ Phần TEECOM</t>
        </is>
      </c>
      <c r="E15125" t="inlineStr">
        <is>
          <t>Lương:Cạnh tranh</t>
        </is>
      </c>
      <c r="F15125" t="inlineStr">
        <is>
          <t>Hồ Chí Minh</t>
        </is>
      </c>
      <c r="G15125" t="inlineStr">
        <is>
          <t>31-03-2026</t>
        </is>
      </c>
      <c r="H15125" t="inlineStr">
        <is>
          <t>31/03/2026</t>
        </is>
      </c>
      <c r="I15125" t="inlineStr">
        <is>
          <t>17/03/2026</t>
        </is>
      </c>
      <c r="J15125" t="inlineStr">
        <is>
          <t>CNTT - Phần mềm, CNTT - Phần cứng / Mạng, Thương mại điện tử</t>
        </is>
      </c>
      <c r="K15125" t="inlineStr">
        <is>
          <t>3 - 6 Năm</t>
        </is>
      </c>
      <c r="L15125" s="8">
        <f>HYPERLINK("https://careerviet.vn/vi/tim-viec-lam/backend-developer-erp-integration-d365-odoo.35C6ACBD.html","Xem chi tiết")</f>
        <v/>
      </c>
    </row>
    <row r="15126">
      <c r="B15126" s="9" t="n">
        <v>15124</v>
      </c>
      <c r="C15126" s="10" t="inlineStr">
        <is>
          <t>Quản lý cửa hàng Kiên Giang</t>
        </is>
      </c>
      <c r="D15126" s="10" t="inlineStr">
        <is>
          <t>Công ty Cổ phần IntelLife</t>
        </is>
      </c>
      <c r="E15126" s="10" t="inlineStr">
        <is>
          <t>Lương:10 Tr - 15 Tr VND</t>
        </is>
      </c>
      <c r="F15126" s="10" t="inlineStr">
        <is>
          <t>Kiên Giang</t>
        </is>
      </c>
      <c r="G15126" s="10" t="inlineStr">
        <is>
          <t>05-04-2026</t>
        </is>
      </c>
      <c r="H15126" s="10" t="inlineStr">
        <is>
          <t>05/04/2026</t>
        </is>
      </c>
      <c r="I15126" s="10" t="inlineStr">
        <is>
          <t>17/03/2026</t>
        </is>
      </c>
      <c r="J15126" s="10" t="inlineStr">
        <is>
          <t>Bán lẻ / Bán sỉ, Bán hàng / Kinh doanh, Dệt may / Da giày / Thời trang</t>
        </is>
      </c>
      <c r="K15126" s="10" t="inlineStr">
        <is>
          <t>1 - 2 Năm</t>
        </is>
      </c>
      <c r="L15126" s="11">
        <f>HYPERLINK("https://careerviet.vn/vi/tim-viec-lam/quan-ly-cua-hang-kien-giang.35C6ABCA.html","Xem chi tiết")</f>
        <v/>
      </c>
      <c r="M15126" s="10" t="n"/>
    </row>
    <row r="15127">
      <c r="B15127" s="7" t="n">
        <v>15125</v>
      </c>
      <c r="C15127" t="inlineStr">
        <is>
          <t>CHUYÊN VIÊN TƯ VẤN ĐẦU TƯ CHỨNG KHOÁN (CẦN THƠ)</t>
        </is>
      </c>
      <c r="D15127" t="inlineStr">
        <is>
          <t>VDSC - Công ty CP Chứng khoán Rồng Việt</t>
        </is>
      </c>
      <c r="E15127" t="inlineStr">
        <is>
          <t>Lương:7 Tr - 20 Tr VND</t>
        </is>
      </c>
      <c r="F15127" t="inlineStr">
        <is>
          <t>Cần Thơ</t>
        </is>
      </c>
      <c r="G15127" t="inlineStr">
        <is>
          <t>30-04-2026</t>
        </is>
      </c>
      <c r="H15127" t="inlineStr">
        <is>
          <t>30/04/2026</t>
        </is>
      </c>
      <c r="I15127" t="inlineStr">
        <is>
          <t>17/03/2026</t>
        </is>
      </c>
      <c r="J15127" t="inlineStr">
        <is>
          <t>Ngân hàng, Chứng khoán, Tài chính / Đầu tư</t>
        </is>
      </c>
      <c r="K15127" t="inlineStr">
        <is>
          <t>Lên đến 1 Năm</t>
        </is>
      </c>
      <c r="L15127" s="8">
        <f>HYPERLINK("https://careerviet.vn/vi/tim-viec-lam/chuyen-vien-tu-van-dau-tu-chung-khoan-can-tho.35C6AB44.html","Xem chi tiết")</f>
        <v/>
      </c>
    </row>
    <row r="15128">
      <c r="B15128" s="9" t="n">
        <v>15126</v>
      </c>
      <c r="C15128" s="10" t="inlineStr">
        <is>
          <t>Kế Toán Dịch Vụ</t>
        </is>
      </c>
      <c r="D15128" s="10" t="inlineStr">
        <is>
          <t>CÔNG TY TNHH DỊCH VỤ TƯ VẤN HOC</t>
        </is>
      </c>
      <c r="E15128" s="10" t="inlineStr">
        <is>
          <t>Lương:Cạnh tranh</t>
        </is>
      </c>
      <c r="F15128" s="10" t="inlineStr">
        <is>
          <t>Hồ Chí Minh</t>
        </is>
      </c>
      <c r="G15128" s="10" t="inlineStr">
        <is>
          <t>03-04-2026</t>
        </is>
      </c>
      <c r="H15128" s="10" t="inlineStr">
        <is>
          <t>03/04/2026</t>
        </is>
      </c>
      <c r="I15128" s="10" t="inlineStr">
        <is>
          <t>17/03/2026</t>
        </is>
      </c>
      <c r="J15128" s="10" t="inlineStr">
        <is>
          <t>Luật / Pháp lý, Kế toán / Kiểm toán, Tài chính / Đầu tư</t>
        </is>
      </c>
      <c r="K15128" s="10" t="inlineStr">
        <is>
          <t>Lên đến 3 Năm</t>
        </is>
      </c>
      <c r="L15128" s="11">
        <f>HYPERLINK("https://careerviet.vn/vi/tim-viec-lam/ke-toan-dich-vu.35C6ACD2.html","Xem chi tiết")</f>
        <v/>
      </c>
      <c r="M15128" s="10" t="n"/>
    </row>
    <row r="15129">
      <c r="B15129" s="7" t="n">
        <v>15127</v>
      </c>
      <c r="C15129" t="inlineStr">
        <is>
          <t>Lab Technician</t>
        </is>
      </c>
      <c r="D15129" t="inlineStr">
        <is>
          <t>Vietnam Furniture Resources (VFR)</t>
        </is>
      </c>
      <c r="E15129" t="inlineStr">
        <is>
          <t>Lương:Cạnh tranh</t>
        </is>
      </c>
      <c r="F15129" t="inlineStr">
        <is>
          <t>Bình Dương</t>
        </is>
      </c>
      <c r="G15129" t="inlineStr">
        <is>
          <t>05-04-2026</t>
        </is>
      </c>
      <c r="H15129" t="inlineStr">
        <is>
          <t>05/04/2026</t>
        </is>
      </c>
      <c r="I15129" t="inlineStr">
        <is>
          <t>17/03/2026</t>
        </is>
      </c>
      <c r="J15129" t="inlineStr">
        <is>
          <t>Quản lý chất lượng (QA/QC), Đồ gỗ, Nội ngoại thất</t>
        </is>
      </c>
      <c r="K15129" t="inlineStr">
        <is>
          <t>2 - 3 Năm</t>
        </is>
      </c>
      <c r="L15129" s="8">
        <f>HYPERLINK("https://careerviet.vn/vi/tim-viec-lam/lab-technician.35C6AC03.html","Xem chi tiết")</f>
        <v/>
      </c>
    </row>
    <row r="15130">
      <c r="B15130" s="9" t="n">
        <v>15128</v>
      </c>
      <c r="C15130" s="10" t="inlineStr">
        <is>
          <t>CHUYÊN VIÊN KHÁCH HÀNG CÁ NHÂN - TP. HỒ CHÍ MINH</t>
        </is>
      </c>
      <c r="D15130" s="10" t="inlineStr">
        <is>
          <t>NGÂN HÀNG TMCP SÀI GÒN THƯƠNG TÍN (SACOMBANK)</t>
        </is>
      </c>
      <c r="E15130" s="10" t="inlineStr">
        <is>
          <t>Lương:Cạnh tranh</t>
        </is>
      </c>
      <c r="F15130" s="10" t="inlineStr">
        <is>
          <t>Hồ Chí MinhBình DươngBà Rịa - Vũng Tàu</t>
        </is>
      </c>
      <c r="G15130" s="10" t="inlineStr">
        <is>
          <t>03-04-2026</t>
        </is>
      </c>
      <c r="H15130" s="10" t="inlineStr">
        <is>
          <t>03/04/2026</t>
        </is>
      </c>
      <c r="I15130" s="10" t="inlineStr">
        <is>
          <t>17/03/2026</t>
        </is>
      </c>
      <c r="J15130" s="10" t="inlineStr">
        <is>
          <t>Ngân hàng, Bảo hiểm, Tài chính / Đầu tư</t>
        </is>
      </c>
      <c r="K15130" s="10" t="inlineStr">
        <is>
          <t>N/A</t>
        </is>
      </c>
      <c r="L15130" s="11">
        <f>HYPERLINK("https://careerviet.vn/vi/tim-viec-lam/chuyen-vien-khach-hang-ca-nhan-tp-ho-chi-minh.35C6AB8A.html","Xem chi tiết")</f>
        <v/>
      </c>
      <c r="M15130" s="10" t="n"/>
    </row>
    <row r="15131">
      <c r="B15131" s="7" t="n">
        <v>15129</v>
      </c>
      <c r="C15131" t="inlineStr">
        <is>
          <t>Chuyên viên tổ chức sự kiện</t>
        </is>
      </c>
      <c r="D15131" t="inlineStr">
        <is>
          <t>CÔNG TY TNHH BGROUP MARKETING AGENCY</t>
        </is>
      </c>
      <c r="E15131" t="inlineStr">
        <is>
          <t>Lương:10 Tr - 14 Tr VND</t>
        </is>
      </c>
      <c r="F15131" t="inlineStr">
        <is>
          <t>Hồ Chí Minh</t>
        </is>
      </c>
      <c r="G15131" t="inlineStr">
        <is>
          <t>31-03-2026</t>
        </is>
      </c>
      <c r="H15131" t="inlineStr">
        <is>
          <t>31/03/2026</t>
        </is>
      </c>
      <c r="I15131" t="inlineStr">
        <is>
          <t>17/03/2026</t>
        </is>
      </c>
      <c r="J15131" t="inlineStr">
        <is>
          <t>Tổ chức sự kiện, Sản xuất / Vận hành sản xuất</t>
        </is>
      </c>
      <c r="K15131" t="inlineStr">
        <is>
          <t>1 - 2 Năm</t>
        </is>
      </c>
      <c r="L15131" s="8">
        <f>HYPERLINK("https://careerviet.vn/vi/tim-viec-lam/chuyen-vien-to-chuc-su-kien.35C6ACDA.html","Xem chi tiết")</f>
        <v/>
      </c>
    </row>
    <row r="15132">
      <c r="B15132" s="9" t="n">
        <v>15130</v>
      </c>
      <c r="C15132" s="10" t="inlineStr">
        <is>
          <t>Trưởng Nhóm Tuyển Sinh (Ocean Edu Buôn Ma Thuột)</t>
        </is>
      </c>
      <c r="D15132" s="10" t="inlineStr">
        <is>
          <t>Công Ty CP Giáo Dục Đại Dương</t>
        </is>
      </c>
      <c r="E15132" s="10" t="inlineStr">
        <is>
          <t>Lương:Cạnh tranh</t>
        </is>
      </c>
      <c r="F15132" s="10" t="inlineStr">
        <is>
          <t>Dak Lak</t>
        </is>
      </c>
      <c r="G15132" s="10" t="inlineStr">
        <is>
          <t>03-04-2026</t>
        </is>
      </c>
      <c r="H15132" s="10" t="inlineStr">
        <is>
          <t>03/04/2026</t>
        </is>
      </c>
      <c r="I15132" s="10" t="inlineStr">
        <is>
          <t>17/03/2026</t>
        </is>
      </c>
      <c r="J15132" s="10" t="inlineStr">
        <is>
          <t>Tư vấn, Dịch vụ khách hàng, Giáo dục / Đào tạo</t>
        </is>
      </c>
      <c r="K15132" s="10" t="inlineStr">
        <is>
          <t>1 - 2 Năm</t>
        </is>
      </c>
      <c r="L15132" s="11">
        <f>HYPERLINK("https://careerviet.vn/vi/tim-viec-lam/truong-nhom-tuyen-sinh-ocean-edu-buon-ma-thuot.35C6AB83.html","Xem chi tiết")</f>
        <v/>
      </c>
      <c r="M15132" s="10" t="n"/>
    </row>
    <row r="15133">
      <c r="B15133" s="7" t="n">
        <v>15131</v>
      </c>
      <c r="C15133" t="inlineStr">
        <is>
          <t>Chuyên viên C&amp;B</t>
        </is>
      </c>
      <c r="D15133" t="inlineStr">
        <is>
          <t>CÔNG TY TNHH DƯỢC PHẨM ĐÔ THÀNH</t>
        </is>
      </c>
      <c r="E15133" t="inlineStr">
        <is>
          <t>Lương:9 Tr - 10 Tr VND</t>
        </is>
      </c>
      <c r="F15133" t="inlineStr">
        <is>
          <t>Hồ Chí Minh</t>
        </is>
      </c>
      <c r="G15133" t="inlineStr">
        <is>
          <t>03-04-2026</t>
        </is>
      </c>
      <c r="H15133" t="inlineStr">
        <is>
          <t>03/04/2026</t>
        </is>
      </c>
      <c r="I15133" t="inlineStr">
        <is>
          <t>17/03/2026</t>
        </is>
      </c>
      <c r="J15133" t="inlineStr">
        <is>
          <t>Dược phẩm/ Hóa Mỹ Phẩm</t>
        </is>
      </c>
      <c r="K15133" t="inlineStr">
        <is>
          <t>1 - 2 Năm</t>
        </is>
      </c>
      <c r="L15133" s="8">
        <f>HYPERLINK("https://careerviet.vn/vi/tim-viec-lam/chuyen-vien-c-b.35C6AB7C.html","Xem chi tiết")</f>
        <v/>
      </c>
    </row>
    <row r="15134">
      <c r="B15134" s="9" t="n">
        <v>15132</v>
      </c>
      <c r="C15134" s="10" t="inlineStr">
        <is>
          <t>[Thốt Nốt - Cần Thơ] Tuyển Nhân Viên Bán Hàng - Chuỗi Cửa Hàng Bán Lẻ Thiết Bị Sức Khỏe</t>
        </is>
      </c>
      <c r="D15134" s="10" t="inlineStr">
        <is>
          <t>Công Ty TNHH XNK Phát Triển Đông Dương</t>
        </is>
      </c>
      <c r="E15134" s="10" t="inlineStr">
        <is>
          <t>Lương:12 Tr - 20 Tr VND</t>
        </is>
      </c>
      <c r="F15134" s="10" t="inlineStr">
        <is>
          <t>Cần Thơ</t>
        </is>
      </c>
      <c r="G15134" s="10" t="inlineStr">
        <is>
          <t>09-04-2026</t>
        </is>
      </c>
      <c r="H15134" s="10" t="inlineStr">
        <is>
          <t>09/04/2026</t>
        </is>
      </c>
      <c r="I15134" s="10" t="inlineStr">
        <is>
          <t>17/03/2026</t>
        </is>
      </c>
      <c r="J15134" s="10" t="inlineStr">
        <is>
          <t>Bán lẻ / Bán sỉ, Bán hàng / Kinh doanh, Tư vấn</t>
        </is>
      </c>
      <c r="K15134" s="10" t="inlineStr">
        <is>
          <t>N/A</t>
        </is>
      </c>
      <c r="L15134" s="11">
        <f>HYPERLINK("https://careerviet.vn/vi/tim-viec-lam/thot-not-can-tho-tuyen-nhan-vien-ban-hang-chuoi-cua-hang-ban-le-thiet-bi-suc-khoe.35C6ABD3.html","Xem chi tiết")</f>
        <v/>
      </c>
      <c r="M15134" s="10" t="n"/>
    </row>
    <row r="15135">
      <c r="B15135" s="7" t="n">
        <v>15133</v>
      </c>
      <c r="C15135" t="inlineStr">
        <is>
          <t>Nhân viên Kế toán Thanh toán (KCN Trà Đa - Pleiku)</t>
        </is>
      </c>
      <c r="D15135" t="inlineStr">
        <is>
          <t>Công ty TNHH Olam Việt Nam</t>
        </is>
      </c>
      <c r="E15135" t="inlineStr">
        <is>
          <t>Lương:Cạnh tranh</t>
        </is>
      </c>
      <c r="F15135" t="inlineStr">
        <is>
          <t>Gia Lai</t>
        </is>
      </c>
      <c r="G15135" t="inlineStr">
        <is>
          <t>31-03-2026</t>
        </is>
      </c>
      <c r="H15135" t="inlineStr">
        <is>
          <t>31/03/2026</t>
        </is>
      </c>
      <c r="I15135" t="inlineStr">
        <is>
          <t>17/03/2026</t>
        </is>
      </c>
      <c r="J15135" t="inlineStr">
        <is>
          <t>Kế toán / Kiểm toán</t>
        </is>
      </c>
      <c r="K15135" t="inlineStr">
        <is>
          <t>2 - 5 Năm</t>
        </is>
      </c>
      <c r="L15135" s="8">
        <f>HYPERLINK("https://careerviet.vn/vi/tim-viec-lam/nhan-vien-ke-toan-thanh-toan-kcn-tra-da-pleiku.35C6AC11.html","Xem chi tiết")</f>
        <v/>
      </c>
    </row>
    <row r="15136">
      <c r="B15136" s="9" t="n">
        <v>15134</v>
      </c>
      <c r="C15136" s="10" t="inlineStr">
        <is>
          <t>Chăm sóc khách hàng (TMĐT)</t>
        </is>
      </c>
      <c r="D15136" s="10" t="inlineStr">
        <is>
          <t>Công ty cổ phần Okapi Việt Nam - Thương hiệu thời trang BADASS</t>
        </is>
      </c>
      <c r="E15136" s="10" t="inlineStr">
        <is>
          <t>Lương:7 Tr - 10 Tr VND</t>
        </is>
      </c>
      <c r="F15136" s="10" t="inlineStr">
        <is>
          <t>Hà Nội</t>
        </is>
      </c>
      <c r="G15136" s="10" t="inlineStr">
        <is>
          <t>29-04-2026</t>
        </is>
      </c>
      <c r="H15136" s="10" t="inlineStr">
        <is>
          <t>29/04/2026</t>
        </is>
      </c>
      <c r="I15136" s="10" t="inlineStr">
        <is>
          <t>17/03/2026</t>
        </is>
      </c>
      <c r="J15136" s="10" t="inlineStr">
        <is>
          <t>Thương mại điện tử, Dịch vụ khách hàng</t>
        </is>
      </c>
      <c r="K15136" s="10" t="inlineStr">
        <is>
          <t>Lên đến 1 Năm</t>
        </is>
      </c>
      <c r="L15136" s="11">
        <f>HYPERLINK("https://careerviet.vn/vi/tim-viec-lam/cham-soc-khach-hang-tmdt.35C6ABFB.html","Xem chi tiết")</f>
        <v/>
      </c>
      <c r="M15136" s="10" t="n"/>
    </row>
    <row r="15137">
      <c r="B15137" s="7" t="n">
        <v>15135</v>
      </c>
      <c r="C15137" t="inlineStr">
        <is>
          <t>Application Specialist</t>
        </is>
      </c>
      <c r="D15137" t="inlineStr">
        <is>
          <t>CÔNG TY TNHH DENEAST VIỆT NAM</t>
        </is>
      </c>
      <c r="E15137" t="inlineStr">
        <is>
          <t>Lương:Cạnh tranh</t>
        </is>
      </c>
      <c r="F15137" t="inlineStr">
        <is>
          <t>Bình Dương</t>
        </is>
      </c>
      <c r="G15137" t="inlineStr">
        <is>
          <t>04-04-2026</t>
        </is>
      </c>
      <c r="H15137" t="inlineStr">
        <is>
          <t>04/04/2026</t>
        </is>
      </c>
      <c r="I15137" t="inlineStr">
        <is>
          <t>17/03/2026</t>
        </is>
      </c>
      <c r="J15137" t="inlineStr">
        <is>
          <t>Thực phẩm &amp; Đồ uống, Công nghệ thực phẩm / Dinh dưỡng, Hóa học</t>
        </is>
      </c>
      <c r="K15137" t="inlineStr">
        <is>
          <t>Trên 1 Năm</t>
        </is>
      </c>
      <c r="L15137" s="8">
        <f>HYPERLINK("https://careerviet.vn/vi/tim-viec-lam/application-specialist.35C6ACC8.html","Xem chi tiết")</f>
        <v/>
      </c>
    </row>
    <row r="15138">
      <c r="B15138" s="9" t="n">
        <v>15136</v>
      </c>
      <c r="C15138" s="10" t="inlineStr">
        <is>
          <t>Chuyên viên Quan hệ khách hàng AM (Khu vực Bắc Ninh, Thái Nguyên, Cao Bằng)</t>
        </is>
      </c>
      <c r="D15138" s="10" t="inlineStr">
        <is>
          <t>Công Ty Cổ Phần Giải Pháp Thanh Toán Việt Nam (VNPAY)</t>
        </is>
      </c>
      <c r="E15138" s="10" t="inlineStr">
        <is>
          <t>Lương:Cạnh tranh</t>
        </is>
      </c>
      <c r="F15138" s="10" t="inlineStr">
        <is>
          <t>Bắc NinhThái NguyênCao Bằng</t>
        </is>
      </c>
      <c r="G15138" s="10" t="inlineStr">
        <is>
          <t>31-03-2026</t>
        </is>
      </c>
      <c r="H15138" s="10" t="inlineStr">
        <is>
          <t>31/03/2026</t>
        </is>
      </c>
      <c r="I15138" s="10" t="inlineStr">
        <is>
          <t>17/03/2026</t>
        </is>
      </c>
      <c r="J15138" s="10" t="inlineStr">
        <is>
          <t>Bán hàng / Kinh doanh, CNTT - Phần mềm</t>
        </is>
      </c>
      <c r="K15138" s="10" t="inlineStr">
        <is>
          <t>Chưa có kinh nghiệm</t>
        </is>
      </c>
      <c r="L15138" s="11">
        <f>HYPERLINK("https://careerviet.vn/vi/tim-viec-lam/chuyen-vien-quan-he-khach-hang-am-khu-vuc-bac-ninh-thai-nguyen-cao-bang.35C6AB09.html","Xem chi tiết")</f>
        <v/>
      </c>
      <c r="M15138" s="10" t="n"/>
    </row>
    <row r="15139">
      <c r="B15139" s="7" t="n">
        <v>15137</v>
      </c>
      <c r="C15139" t="inlineStr">
        <is>
          <t>Giám sát thi công cao tầng (làm tại Hoàng Mai, HN)</t>
        </is>
      </c>
      <c r="D15139" t="inlineStr">
        <is>
          <t>Tập Đoàn Tân Á Đại Thành</t>
        </is>
      </c>
      <c r="E15139" t="inlineStr">
        <is>
          <t>Lương:Trên 25 Tr VND</t>
        </is>
      </c>
      <c r="F15139" t="inlineStr">
        <is>
          <t>Hà Nội</t>
        </is>
      </c>
      <c r="G15139" t="inlineStr">
        <is>
          <t>04-04-2026</t>
        </is>
      </c>
      <c r="H15139" t="inlineStr">
        <is>
          <t>04/04/2026</t>
        </is>
      </c>
      <c r="I15139" t="inlineStr">
        <is>
          <t>17/03/2026</t>
        </is>
      </c>
      <c r="J15139" t="inlineStr">
        <is>
          <t>Xây dựng, Bất động sản, Kiến trúc</t>
        </is>
      </c>
      <c r="K15139" t="inlineStr">
        <is>
          <t>Trên 5 Năm</t>
        </is>
      </c>
      <c r="L15139" s="8">
        <f>HYPERLINK("https://careerviet.vn/vi/tim-viec-lam/giam-sat-thi-cong-cao-tang-lam-tai-hoang-mai-hn.35C6AB7A.html","Xem chi tiết")</f>
        <v/>
      </c>
    </row>
    <row r="15140">
      <c r="B15140" s="9" t="n">
        <v>15138</v>
      </c>
      <c r="C15140" s="10" t="inlineStr">
        <is>
          <t>TRỢ LÝ HÀNH CHÍNH CEO</t>
        </is>
      </c>
      <c r="D15140" s="10" t="inlineStr">
        <is>
          <t>THỜI TRANG LINING_CÔNG TY TNHH QUỐC TẾ HẢI LONG</t>
        </is>
      </c>
      <c r="E15140" s="10" t="inlineStr">
        <is>
          <t>Lương:13 Tr - 16 Tr VND</t>
        </is>
      </c>
      <c r="F15140" s="10" t="inlineStr">
        <is>
          <t>Hà Nội</t>
        </is>
      </c>
      <c r="G15140" s="10" t="inlineStr">
        <is>
          <t>10-04-2026</t>
        </is>
      </c>
      <c r="H15140" s="10" t="inlineStr">
        <is>
          <t>10/04/2026</t>
        </is>
      </c>
      <c r="I15140" s="10" t="inlineStr">
        <is>
          <t>17/03/2026</t>
        </is>
      </c>
      <c r="J15140" s="10" t="inlineStr">
        <is>
          <t>Hành chính / Thư ký</t>
        </is>
      </c>
      <c r="K15140" s="10" t="inlineStr">
        <is>
          <t>2 - 3 Năm</t>
        </is>
      </c>
      <c r="L15140" s="11">
        <f>HYPERLINK("https://careerviet.vn/vi/tim-viec-lam/tro-ly-hanh-chinh-ceo.35C6AC50.html","Xem chi tiết")</f>
        <v/>
      </c>
      <c r="M15140" s="10" t="n"/>
    </row>
    <row r="15141">
      <c r="B15141" s="7" t="n">
        <v>15139</v>
      </c>
      <c r="C15141" t="inlineStr">
        <is>
          <t>Chuyên gia QTRR Chính sách KHCN</t>
        </is>
      </c>
      <c r="D15141" t="inlineStr">
        <is>
          <t>Ngân Hàng TMCP Sài Gòn - Hà Nội ( SHB )</t>
        </is>
      </c>
      <c r="E15141" t="inlineStr">
        <is>
          <t>Lương:Cạnh tranh</t>
        </is>
      </c>
      <c r="F15141" t="inlineStr">
        <is>
          <t>Hà Nội</t>
        </is>
      </c>
      <c r="G15141" t="inlineStr">
        <is>
          <t>03-04-2026</t>
        </is>
      </c>
      <c r="H15141" t="inlineStr">
        <is>
          <t>03/04/2026</t>
        </is>
      </c>
      <c r="I15141" t="inlineStr">
        <is>
          <t>17/03/2026</t>
        </is>
      </c>
      <c r="J15141" t="inlineStr">
        <is>
          <t>Kế toán / Kiểm toán, Ngân hàng</t>
        </is>
      </c>
      <c r="K15141" t="inlineStr">
        <is>
          <t>Trên 2 Năm</t>
        </is>
      </c>
      <c r="L15141" s="8">
        <f>HYPERLINK("https://careerviet.vn/vi/tim-viec-lam/chuyen-gia-qtrr-chinh-sach-khcn.35C6AC22.html","Xem chi tiết")</f>
        <v/>
      </c>
    </row>
    <row r="15142">
      <c r="B15142" s="9" t="n">
        <v>15140</v>
      </c>
      <c r="C15142" s="10" t="inlineStr">
        <is>
          <t>[Hồng Ngự - Đồng Tháp] Tuyển Nhân Viên Bán Hàng - Chuỗi Cửa Hàng Bán Lẻ Thiết Bị Sức Khỏe</t>
        </is>
      </c>
      <c r="D15142" s="10" t="inlineStr">
        <is>
          <t>Công Ty TNHH XNK Phát Triển Đông Dương</t>
        </is>
      </c>
      <c r="E15142" s="10" t="inlineStr">
        <is>
          <t>Lương:12 Tr - 20 Tr VND</t>
        </is>
      </c>
      <c r="F15142" s="10" t="inlineStr">
        <is>
          <t>Đồng Tháp</t>
        </is>
      </c>
      <c r="G15142" s="10" t="inlineStr">
        <is>
          <t>09-04-2026</t>
        </is>
      </c>
      <c r="H15142" s="10" t="inlineStr">
        <is>
          <t>09/04/2026</t>
        </is>
      </c>
      <c r="I15142" s="10" t="inlineStr">
        <is>
          <t>17/03/2026</t>
        </is>
      </c>
      <c r="J15142" s="10" t="inlineStr">
        <is>
          <t>Bán lẻ / Bán sỉ, Bán hàng / Kinh doanh, Tư vấn</t>
        </is>
      </c>
      <c r="K15142" s="10" t="inlineStr">
        <is>
          <t>N/A</t>
        </is>
      </c>
      <c r="L15142" s="11">
        <f>HYPERLINK("https://careerviet.vn/vi/tim-viec-lam/hong-ngu-dong-thap-tuyen-nhan-vien-ban-hang-chuoi-cua-hang-ban-le-thiet-bi-suc-khoe.35C6ABE5.html","Xem chi tiết")</f>
        <v/>
      </c>
      <c r="M15142" s="10" t="n"/>
    </row>
    <row r="15143">
      <c r="B15143" s="7" t="n">
        <v>15141</v>
      </c>
      <c r="C15143" t="inlineStr">
        <is>
          <t>Thợ may ghế da - Quận 12</t>
        </is>
      </c>
      <c r="D15143" t="inlineStr">
        <is>
          <t>Công ty CP Toshiko Việt Nam</t>
        </is>
      </c>
      <c r="E15143" t="inlineStr">
        <is>
          <t>Lương:8 Tr - 11 Tr VND</t>
        </is>
      </c>
      <c r="F15143" t="inlineStr">
        <is>
          <t>Hồ Chí Minh</t>
        </is>
      </c>
      <c r="G15143" t="inlineStr">
        <is>
          <t>18-04-2026</t>
        </is>
      </c>
      <c r="H15143" t="inlineStr">
        <is>
          <t>18/04/2026</t>
        </is>
      </c>
      <c r="I15143" t="inlineStr">
        <is>
          <t>17/03/2026</t>
        </is>
      </c>
      <c r="J15143" t="inlineStr">
        <is>
          <t>Dệt may / Da giày / Thời trang</t>
        </is>
      </c>
      <c r="K15143" t="inlineStr">
        <is>
          <t>1 - 2 Năm</t>
        </is>
      </c>
      <c r="L15143" s="8">
        <f>HYPERLINK("https://careerviet.vn/vi/tim-viec-lam/tho-may-ghe-da-quan-12.35C6AE97.html","Xem chi tiết")</f>
        <v/>
      </c>
    </row>
    <row r="15144">
      <c r="B15144" s="9" t="n">
        <v>15142</v>
      </c>
      <c r="C15144" s="10" t="inlineStr">
        <is>
          <t>Nhân viên Pháp lý đấu thầu</t>
        </is>
      </c>
      <c r="D15144" s="10" t="inlineStr">
        <is>
          <t>Công Ty Cổ Phần Xây Dựng Phước Thành</t>
        </is>
      </c>
      <c r="E15144" s="10" t="inlineStr">
        <is>
          <t>Lương:11 Tr - 14 Tr VND</t>
        </is>
      </c>
      <c r="F15144" s="10" t="inlineStr">
        <is>
          <t>Hồ Chí Minh</t>
        </is>
      </c>
      <c r="G15144" s="10" t="inlineStr">
        <is>
          <t>31-03-2026</t>
        </is>
      </c>
      <c r="H15144" s="10" t="inlineStr">
        <is>
          <t>31/03/2026</t>
        </is>
      </c>
      <c r="I15144" s="10" t="inlineStr">
        <is>
          <t>17/03/2026</t>
        </is>
      </c>
      <c r="J15144" s="10" t="inlineStr">
        <is>
          <t>Xây dựng</t>
        </is>
      </c>
      <c r="K15144" s="10" t="inlineStr">
        <is>
          <t>1 - 2 Năm</t>
        </is>
      </c>
      <c r="L15144" s="11">
        <f>HYPERLINK("https://careerviet.vn/vi/tim-viec-lam/nhan-vien-phap-ly-dau-thau.35C6AD76.html","Xem chi tiết")</f>
        <v/>
      </c>
      <c r="M15144" s="10" t="n"/>
    </row>
    <row r="15145">
      <c r="B15145" s="7" t="n">
        <v>15143</v>
      </c>
      <c r="C15145" t="inlineStr">
        <is>
          <t>Chuyên viên Quan hệ khách hàng AM (Khu vực Phú Thọ, Tuyên Quang, Điện Biên)</t>
        </is>
      </c>
      <c r="D15145" t="inlineStr">
        <is>
          <t>Công Ty Cổ Phần Giải Pháp Thanh Toán Việt Nam (VNPAY)</t>
        </is>
      </c>
      <c r="E15145" t="inlineStr">
        <is>
          <t>Lương:Cạnh tranh</t>
        </is>
      </c>
      <c r="F15145" t="inlineStr">
        <is>
          <t>Phú ThọTuyên QuangĐiện Biên</t>
        </is>
      </c>
      <c r="G15145" t="inlineStr">
        <is>
          <t>31-03-2026</t>
        </is>
      </c>
      <c r="H15145" t="inlineStr">
        <is>
          <t>31/03/2026</t>
        </is>
      </c>
      <c r="I15145" t="inlineStr">
        <is>
          <t>17/03/2026</t>
        </is>
      </c>
      <c r="J15145" t="inlineStr">
        <is>
          <t>Bán hàng / Kinh doanh, CNTT - Phần mềm</t>
        </is>
      </c>
      <c r="K15145" t="inlineStr">
        <is>
          <t>Chưa có kinh nghiệm</t>
        </is>
      </c>
      <c r="L15145" s="8">
        <f>HYPERLINK("https://careerviet.vn/vi/tim-viec-lam/chuyen-vien-quan-he-khach-hang-am-khu-vuc-phu-tho-tuyen-quang-dien-bien.35C6AB08.html","Xem chi tiết")</f>
        <v/>
      </c>
    </row>
    <row r="15146">
      <c r="B15146" s="9" t="n">
        <v>15144</v>
      </c>
      <c r="C15146" s="10" t="inlineStr">
        <is>
          <t>KỸ SƯ TỰ ĐỘNG HOÁ Ô TÔ</t>
        </is>
      </c>
      <c r="D15146" s="10" t="inlineStr">
        <is>
          <t>Công Ty Cổ Phần Tập Đoàn Ô Tô Hiệp Hòa</t>
        </is>
      </c>
      <c r="E15146" s="10" t="inlineStr">
        <is>
          <t>Lương:15 Tr - 40 Tr VND</t>
        </is>
      </c>
      <c r="F15146" s="10" t="inlineStr">
        <is>
          <t>Hưng Yên</t>
        </is>
      </c>
      <c r="G15146" s="10" t="inlineStr">
        <is>
          <t>30-04-2026</t>
        </is>
      </c>
      <c r="H15146" s="10" t="inlineStr">
        <is>
          <t>30/04/2026</t>
        </is>
      </c>
      <c r="I15146" s="10" t="inlineStr">
        <is>
          <t>17/03/2026</t>
        </is>
      </c>
      <c r="J15146" s="10" t="inlineStr">
        <is>
          <t>Cơ khí / Ô tô / Tự động hóa</t>
        </is>
      </c>
      <c r="K15146" s="10" t="inlineStr">
        <is>
          <t>Trên 1 Năm</t>
        </is>
      </c>
      <c r="L15146" s="11">
        <f>HYPERLINK("https://careerviet.vn/vi/tim-viec-lam/ky-su-tu-dong-hoa-o-to.35C6AC56.html","Xem chi tiết")</f>
        <v/>
      </c>
      <c r="M15146" s="10" t="n"/>
    </row>
    <row r="15147">
      <c r="B15147" s="7" t="n">
        <v>15145</v>
      </c>
      <c r="C15147" t="inlineStr">
        <is>
          <t>Trưởng Nhóm Tuyển Sinh (Ocean Edu Kon Tum)</t>
        </is>
      </c>
      <c r="D15147" t="inlineStr">
        <is>
          <t>Công Ty CP Giáo Dục Đại Dương</t>
        </is>
      </c>
      <c r="E15147" t="inlineStr">
        <is>
          <t>Lương:Cạnh tranh</t>
        </is>
      </c>
      <c r="F15147" t="inlineStr">
        <is>
          <t>Kon Tum</t>
        </is>
      </c>
      <c r="G15147" t="inlineStr">
        <is>
          <t>03-04-2026</t>
        </is>
      </c>
      <c r="H15147" t="inlineStr">
        <is>
          <t>03/04/2026</t>
        </is>
      </c>
      <c r="I15147" t="inlineStr">
        <is>
          <t>17/03/2026</t>
        </is>
      </c>
      <c r="J15147" t="inlineStr">
        <is>
          <t>Tư vấn, Dịch vụ khách hàng, Giáo dục / Đào tạo</t>
        </is>
      </c>
      <c r="K15147" t="inlineStr">
        <is>
          <t>1 - 2 Năm</t>
        </is>
      </c>
      <c r="L15147" s="8">
        <f>HYPERLINK("https://careerviet.vn/vi/tim-viec-lam/truong-nhom-tuyen-sinh-ocean-edu-kon-tum.35C6AB4E.html","Xem chi tiết")</f>
        <v/>
      </c>
    </row>
    <row r="15148">
      <c r="B15148" s="9" t="n">
        <v>15146</v>
      </c>
      <c r="C15148" s="10" t="inlineStr">
        <is>
          <t>Chuyên Viên Mô Hình Hoá Và Dự Toán Kết Cấu Thép</t>
        </is>
      </c>
      <c r="D15148" s="10" t="inlineStr">
        <is>
          <t>CÔNG TY CỔ PHẦN TẬP ĐOÀN PC1</t>
        </is>
      </c>
      <c r="E15148" s="10" t="inlineStr">
        <is>
          <t>Lương:Cạnh tranh</t>
        </is>
      </c>
      <c r="F15148" s="10" t="inlineStr">
        <is>
          <t>Hà Nội</t>
        </is>
      </c>
      <c r="G15148" s="10" t="inlineStr">
        <is>
          <t>03-04-2026</t>
        </is>
      </c>
      <c r="H15148" s="10" t="inlineStr">
        <is>
          <t>03/04/2026</t>
        </is>
      </c>
      <c r="I15148" s="10" t="inlineStr">
        <is>
          <t>17/03/2026</t>
        </is>
      </c>
      <c r="J15148" s="10" t="inlineStr">
        <is>
          <t>Xây dựng, Bất động sản, Cơ khí / Ô tô / Tự động hóa</t>
        </is>
      </c>
      <c r="K15148" s="10" t="inlineStr">
        <is>
          <t>N/A</t>
        </is>
      </c>
      <c r="L15148" s="11">
        <f>HYPERLINK("https://careerviet.vn/vi/tim-viec-lam/chuyen-vien-mo-hinh-hoa-va-du-toan-ket-cau-thep.35C6AE59.html","Xem chi tiết")</f>
        <v/>
      </c>
      <c r="M15148" s="10" t="n"/>
    </row>
    <row r="15149">
      <c r="B15149" s="7" t="n">
        <v>15147</v>
      </c>
      <c r="C15149" t="inlineStr">
        <is>
          <t>KHOA TRƯỞNG BỘ PHẬN CR -BP. KINH DOANH CHĂM SÓC KHÁCH HÀNG</t>
        </is>
      </c>
      <c r="D15149" t="inlineStr">
        <is>
          <t>CÔNG TY TNHH SẢN XUẤT GREAT LOTUS VIỆT NAM</t>
        </is>
      </c>
      <c r="E15149" t="inlineStr">
        <is>
          <t>Lương:20 Tr - 25 Tr VND</t>
        </is>
      </c>
      <c r="F15149" t="inlineStr">
        <is>
          <t>Hồ Chí Minh</t>
        </is>
      </c>
      <c r="G15149" t="inlineStr">
        <is>
          <t>10-03-2026</t>
        </is>
      </c>
      <c r="H15149" t="inlineStr">
        <is>
          <t>04/03/2026</t>
        </is>
      </c>
      <c r="I15149" t="inlineStr">
        <is>
          <t>17/03/2026</t>
        </is>
      </c>
      <c r="J15149" t="inlineStr">
        <is>
          <t>Sản xuất / Vận hành sản xuất, Dịch vụ khách hàng</t>
        </is>
      </c>
      <c r="K15149" t="inlineStr">
        <is>
          <t>3 - 4 Năm</t>
        </is>
      </c>
      <c r="L15149" s="8">
        <f>HYPERLINK("https://careerviet.vn/vi/tim-viec-lam/khoa-truong-bo-phan-cr-bp-kinh-doanh-cham-soc-khach-hang.35C6ACC4.html","Xem chi tiết")</f>
        <v/>
      </c>
    </row>
    <row r="15150">
      <c r="B15150" s="9" t="n">
        <v>15148</v>
      </c>
      <c r="C15150" s="10" t="inlineStr">
        <is>
          <t>International Sales</t>
        </is>
      </c>
      <c r="D15150" s="10" t="inlineStr">
        <is>
          <t>Công Ty Cổ Phần Goody Group</t>
        </is>
      </c>
      <c r="E15150" s="10" t="inlineStr">
        <is>
          <t>Lương:Cạnh tranh</t>
        </is>
      </c>
      <c r="F15150" s="10" t="inlineStr">
        <is>
          <t>Hồ Chí Minh</t>
        </is>
      </c>
      <c r="G15150" s="10" t="inlineStr">
        <is>
          <t>31-03-2026</t>
        </is>
      </c>
      <c r="H15150" s="10" t="inlineStr">
        <is>
          <t>31/03/2026</t>
        </is>
      </c>
      <c r="I15150" s="10" t="inlineStr">
        <is>
          <t>17/03/2026</t>
        </is>
      </c>
      <c r="J15150" s="10" t="inlineStr">
        <is>
          <t>Bán lẻ / Bán sỉ, Bán hàng / Kinh doanh, Thực phẩm &amp; Đồ uống</t>
        </is>
      </c>
      <c r="K15150" s="10" t="inlineStr">
        <is>
          <t>1 - 5 Năm</t>
        </is>
      </c>
      <c r="L15150" s="11">
        <f>HYPERLINK("https://careerviet.vn/vi/tim-viec-lam/international-sales.35C6AC7E.html","Xem chi tiết")</f>
        <v/>
      </c>
      <c r="M15150" s="10" t="n"/>
    </row>
    <row r="15151">
      <c r="B15151" s="7" t="n">
        <v>15149</v>
      </c>
      <c r="C15151" t="inlineStr">
        <is>
          <t>An Giang - Kế toán tổng hợp (Đi làm ngay)</t>
        </is>
      </c>
      <c r="D15151" t="inlineStr">
        <is>
          <t>Công Ty Cổ Phần Thép Việt Xô Hà Nội</t>
        </is>
      </c>
      <c r="E15151" t="inlineStr">
        <is>
          <t>Lương:14 Tr - 18 Tr VND</t>
        </is>
      </c>
      <c r="F15151" t="inlineStr">
        <is>
          <t>An Giang</t>
        </is>
      </c>
      <c r="G15151" t="inlineStr">
        <is>
          <t>03-04-2026</t>
        </is>
      </c>
      <c r="H15151" t="inlineStr">
        <is>
          <t>03/04/2026</t>
        </is>
      </c>
      <c r="I15151" t="inlineStr">
        <is>
          <t>17/03/2026</t>
        </is>
      </c>
      <c r="J15151" t="inlineStr">
        <is>
          <t>Kế toán / Kiểm toán, Tài chính / Đầu tư</t>
        </is>
      </c>
      <c r="K15151" t="inlineStr">
        <is>
          <t>2 - 3 Năm</t>
        </is>
      </c>
      <c r="L15151" s="8">
        <f>HYPERLINK("https://careerviet.vn/vi/tim-viec-lam/an-giang-ke-toan-tong-hop-di-lam-ngay.35C6AEBC.html","Xem chi tiết")</f>
        <v/>
      </c>
    </row>
    <row r="15152">
      <c r="B15152" s="9" t="n">
        <v>15150</v>
      </c>
      <c r="C15152" s="10" t="inlineStr">
        <is>
          <t>Lab technician - Microbiology (KTV Xét nghiệm vi sinh)</t>
        </is>
      </c>
      <c r="D15152" s="10" t="inlineStr">
        <is>
          <t>DIAG</t>
        </is>
      </c>
      <c r="E15152" s="10" t="inlineStr">
        <is>
          <t>Lương:Cạnh tranh</t>
        </is>
      </c>
      <c r="F15152" s="10" t="inlineStr">
        <is>
          <t>Hồ Chí Minh</t>
        </is>
      </c>
      <c r="G15152" s="10" t="inlineStr">
        <is>
          <t>01-04-2026</t>
        </is>
      </c>
      <c r="H15152" s="10" t="inlineStr">
        <is>
          <t>01/04/2026</t>
        </is>
      </c>
      <c r="I15152" s="10" t="inlineStr">
        <is>
          <t>17/03/2026</t>
        </is>
      </c>
      <c r="J15152" s="10" t="inlineStr">
        <is>
          <t>Y tế / Chăm sóc sức khỏe / Thẩm mỹ / Làm đẹp, Dược phẩm/ Hóa Mỹ Phẩm</t>
        </is>
      </c>
      <c r="K15152" s="10" t="inlineStr">
        <is>
          <t>2 - 10 Năm</t>
        </is>
      </c>
      <c r="L15152" s="11">
        <f>HYPERLINK("https://careerviet.vn/vi/tim-viec-lam/lab-technician-microbiology-ktv-xet-nghiem-vi-sinh.35C6AC0E.html","Xem chi tiết")</f>
        <v/>
      </c>
      <c r="M15152" s="10" t="n"/>
    </row>
    <row r="15153">
      <c r="B15153" s="7" t="n">
        <v>15151</v>
      </c>
      <c r="C15153" t="inlineStr">
        <is>
          <t>Maintenance Technician</t>
        </is>
      </c>
      <c r="D15153" t="inlineStr">
        <is>
          <t>Công Ty TNHH Ortholite Việt Nam</t>
        </is>
      </c>
      <c r="E15153" t="inlineStr">
        <is>
          <t>Lương:Cạnh tranh</t>
        </is>
      </c>
      <c r="F15153" t="inlineStr">
        <is>
          <t>Bình Dương</t>
        </is>
      </c>
      <c r="G15153" t="inlineStr">
        <is>
          <t>03-04-2026</t>
        </is>
      </c>
      <c r="H15153" t="inlineStr">
        <is>
          <t>03/04/2026</t>
        </is>
      </c>
      <c r="I15153" t="inlineStr">
        <is>
          <t>17/03/2026</t>
        </is>
      </c>
      <c r="J15153" t="inlineStr">
        <is>
          <t>Cơ khí / Ô tô / Tự động hóa, Điện / Điện tử / Điện lạnh / Điện công nghiệp</t>
        </is>
      </c>
      <c r="K15153" t="inlineStr">
        <is>
          <t>2 - 3 Năm</t>
        </is>
      </c>
      <c r="L15153" s="8">
        <f>HYPERLINK("https://careerviet.vn/vi/tim-viec-lam/maintenance-technician.35C6ACF8.html","Xem chi tiết")</f>
        <v/>
      </c>
    </row>
    <row r="15154">
      <c r="B15154" s="9" t="n">
        <v>15152</v>
      </c>
      <c r="C15154" s="10" t="inlineStr">
        <is>
          <t>Sales Planning Staff</t>
        </is>
      </c>
      <c r="D15154" s="10" t="inlineStr">
        <is>
          <t>Daikin Air Conditioning (Vietnam) Joint Stock Company</t>
        </is>
      </c>
      <c r="E15154" s="10" t="inlineStr">
        <is>
          <t>Lương:Cạnh tranh</t>
        </is>
      </c>
      <c r="F15154" s="10" t="inlineStr">
        <is>
          <t>Hồ Chí Minh</t>
        </is>
      </c>
      <c r="G15154" s="10" t="inlineStr">
        <is>
          <t>03-04-2026</t>
        </is>
      </c>
      <c r="H15154" s="10" t="inlineStr">
        <is>
          <t>03/04/2026</t>
        </is>
      </c>
      <c r="I15154" s="10" t="inlineStr">
        <is>
          <t>17/03/2026</t>
        </is>
      </c>
      <c r="J15154" s="10" t="inlineStr">
        <is>
          <t>Tài chính / Đầu tư</t>
        </is>
      </c>
      <c r="K15154" s="10" t="inlineStr">
        <is>
          <t>3 - 5 Năm</t>
        </is>
      </c>
      <c r="L15154" s="11">
        <f>HYPERLINK("https://careerviet.vn/vi/tim-viec-lam/sales-planning-staff.35C6ACB5.html","Xem chi tiết")</f>
        <v/>
      </c>
      <c r="M15154" s="10" t="n"/>
    </row>
    <row r="15155">
      <c r="B15155" s="7" t="n">
        <v>15153</v>
      </c>
      <c r="C15155" t="inlineStr">
        <is>
          <t>Nhân Viên Nhân Sự  (Thời vụ 6 tháng)</t>
        </is>
      </c>
      <c r="D15155" t="inlineStr">
        <is>
          <t>Công Ty TNHH Tập Đoàn Rita Võ</t>
        </is>
      </c>
      <c r="E15155" t="inlineStr">
        <is>
          <t>Lương:10 Tr - 12 Tr VND</t>
        </is>
      </c>
      <c r="F15155" t="inlineStr">
        <is>
          <t>Hà Nội</t>
        </is>
      </c>
      <c r="G15155" t="inlineStr">
        <is>
          <t>09-04-2026</t>
        </is>
      </c>
      <c r="H15155" t="inlineStr">
        <is>
          <t>09/04/2026</t>
        </is>
      </c>
      <c r="I15155" t="inlineStr">
        <is>
          <t>17/03/2026</t>
        </is>
      </c>
      <c r="J15155" t="inlineStr">
        <is>
          <t>Hành chính / Thư ký, Luật / Pháp lý, Nhân sự</t>
        </is>
      </c>
      <c r="K15155" t="inlineStr">
        <is>
          <t>2 - 3 Năm</t>
        </is>
      </c>
      <c r="L15155" s="8">
        <f>HYPERLINK("https://careerviet.vn/vi/tim-viec-lam/nhan-vien-nhan-su-thoi-vu-6-thang.35C6AD9C.html","Xem chi tiết")</f>
        <v/>
      </c>
    </row>
    <row r="15156">
      <c r="B15156" s="9" t="n">
        <v>15154</v>
      </c>
      <c r="C15156" s="10" t="inlineStr">
        <is>
          <t>Kỹ sư phòng cháy chữa cháy</t>
        </is>
      </c>
      <c r="D15156" s="10" t="inlineStr">
        <is>
          <t>CÔNG TY CỔ PHẦN CÔNG NGHỆ SOTATEK VIỆT NAM</t>
        </is>
      </c>
      <c r="E15156" s="10" t="inlineStr">
        <is>
          <t>Lương:Cạnh tranh</t>
        </is>
      </c>
      <c r="F15156" s="10" t="inlineStr">
        <is>
          <t>Ninh Thuận</t>
        </is>
      </c>
      <c r="G15156" s="10" t="inlineStr">
        <is>
          <t>31-03-2026</t>
        </is>
      </c>
      <c r="H15156" s="10" t="inlineStr">
        <is>
          <t>31/03/2026</t>
        </is>
      </c>
      <c r="I15156" s="10" t="inlineStr">
        <is>
          <t>17/03/2026</t>
        </is>
      </c>
      <c r="J15156" s="10" t="inlineStr">
        <is>
          <t>An toàn lao động, An Ninh / Bảo Vệ, Sản xuất / Vận hành sản xuất</t>
        </is>
      </c>
      <c r="K15156" s="10" t="inlineStr">
        <is>
          <t>Trên 3 Năm</t>
        </is>
      </c>
      <c r="L15156" s="11">
        <f>HYPERLINK("https://careerviet.vn/vi/tim-viec-lam/ky-su-phong-chay-chua-chay.35C6AE56.html","Xem chi tiết")</f>
        <v/>
      </c>
      <c r="M15156" s="10" t="n"/>
    </row>
    <row r="15157">
      <c r="B15157" s="7" t="n">
        <v>15155</v>
      </c>
      <c r="C15157" t="inlineStr">
        <is>
          <t>Nhân viên Nhân sự - HR Officer (Quan hệ lao động)</t>
        </is>
      </c>
      <c r="D15157" t="inlineStr">
        <is>
          <t>CÔNG TY TNHH B &amp; D LINGERIE VIỆT NAM</t>
        </is>
      </c>
      <c r="E15157" t="inlineStr">
        <is>
          <t>Lương:Cạnh tranh</t>
        </is>
      </c>
      <c r="F15157" t="inlineStr">
        <is>
          <t>Bình Định</t>
        </is>
      </c>
      <c r="G15157" t="inlineStr">
        <is>
          <t>04-04-2026</t>
        </is>
      </c>
      <c r="H15157" t="inlineStr">
        <is>
          <t>04/04/2026</t>
        </is>
      </c>
      <c r="I15157" t="inlineStr">
        <is>
          <t>17/03/2026</t>
        </is>
      </c>
      <c r="J15157" t="inlineStr">
        <is>
          <t>Dệt may / Da giày / Thời trang, Sản xuất / Vận hành sản xuất, Nhân sự</t>
        </is>
      </c>
      <c r="K15157" t="inlineStr">
        <is>
          <t>Lên đến 1 Năm</t>
        </is>
      </c>
      <c r="L15157" s="8">
        <f>HYPERLINK("https://careerviet.vn/vi/tim-viec-lam/nhan-vien-nhan-su-hr-officer-quan-he-lao-dong.35C6AE08.html","Xem chi tiết")</f>
        <v/>
      </c>
    </row>
    <row r="15158">
      <c r="B15158" s="9" t="n">
        <v>15156</v>
      </c>
      <c r="C15158" s="10" t="inlineStr">
        <is>
          <t>Tổ Trưởng Sản Xuất  (Nhà Máy Karofi Hưng Yên )</t>
        </is>
      </c>
      <c r="D15158" s="10" t="inlineStr">
        <is>
          <t>Tập Đoàn Karofi Holding</t>
        </is>
      </c>
      <c r="E15158" s="10" t="inlineStr">
        <is>
          <t>Lương:Cạnh tranh</t>
        </is>
      </c>
      <c r="F15158" s="10" t="inlineStr">
        <is>
          <t>Hưng YênHà Nội</t>
        </is>
      </c>
      <c r="G15158" s="10" t="inlineStr">
        <is>
          <t>03-04-2026</t>
        </is>
      </c>
      <c r="H15158" s="10" t="inlineStr">
        <is>
          <t>03/04/2026</t>
        </is>
      </c>
      <c r="I15158" s="10" t="inlineStr">
        <is>
          <t>17/03/2026</t>
        </is>
      </c>
      <c r="J15158" s="10" t="inlineStr">
        <is>
          <t>Cơ khí / Ô tô / Tự động hóa, Quản lý điều hành, Sản xuất / Vận hành sản xuất</t>
        </is>
      </c>
      <c r="K15158" s="10" t="inlineStr">
        <is>
          <t>1 - 2 Năm</t>
        </is>
      </c>
      <c r="L15158" s="11">
        <f>HYPERLINK("https://careerviet.vn/vi/tim-viec-lam/to-truong-san-xuat-nha-may-karofi-hung-yen.35C6AEE6.html","Xem chi tiết")</f>
        <v/>
      </c>
      <c r="M15158" s="10" t="n"/>
    </row>
    <row r="15159">
      <c r="B15159" s="7" t="n">
        <v>15157</v>
      </c>
      <c r="C15159" t="inlineStr">
        <is>
          <t>Chỉ huy trưởng ME</t>
        </is>
      </c>
      <c r="D15159" t="inlineStr">
        <is>
          <t>Công ty Cổ phần Thương mại và Đầu tư Hà Thành</t>
        </is>
      </c>
      <c r="E15159" t="inlineStr">
        <is>
          <t>Lương:20 Tr - 35 Tr VND</t>
        </is>
      </c>
      <c r="F15159" t="inlineStr">
        <is>
          <t>Hà Nội</t>
        </is>
      </c>
      <c r="G15159" t="inlineStr">
        <is>
          <t>30-04-2026</t>
        </is>
      </c>
      <c r="H15159" t="inlineStr">
        <is>
          <t>30/04/2026</t>
        </is>
      </c>
      <c r="I15159" t="inlineStr">
        <is>
          <t>17/03/2026</t>
        </is>
      </c>
      <c r="J15159" t="inlineStr">
        <is>
          <t>Điện / Điện tử / Điện lạnh / Điện công nghiệp, Xây dựng</t>
        </is>
      </c>
      <c r="K15159" t="inlineStr">
        <is>
          <t>2 - 3 Năm</t>
        </is>
      </c>
      <c r="L15159" s="8">
        <f>HYPERLINK("https://careerviet.vn/vi/tim-viec-lam/chi-huy-truong-me.35C6AD9B.html","Xem chi tiết")</f>
        <v/>
      </c>
    </row>
    <row r="15160">
      <c r="B15160" s="9" t="n">
        <v>15158</v>
      </c>
      <c r="C15160" s="10" t="inlineStr">
        <is>
          <t>Trưởng Phòng Quản Lý Chuỗi Cung Ứng</t>
        </is>
      </c>
      <c r="D15160" s="10" t="inlineStr">
        <is>
          <t>Tập Đoàn Kim Tín</t>
        </is>
      </c>
      <c r="E15160" s="10" t="inlineStr">
        <is>
          <t>Lương:Cạnh tranh</t>
        </is>
      </c>
      <c r="F15160" s="10" t="inlineStr">
        <is>
          <t>Bình Phước</t>
        </is>
      </c>
      <c r="G15160" s="10" t="inlineStr">
        <is>
          <t>03-04-2026</t>
        </is>
      </c>
      <c r="H15160" s="10" t="inlineStr">
        <is>
          <t>03/04/2026</t>
        </is>
      </c>
      <c r="I15160" s="10" t="inlineStr">
        <is>
          <t>17/03/2026</t>
        </is>
      </c>
      <c r="J15160" s="10" t="inlineStr">
        <is>
          <t>Xuất nhập khẩu, Sản xuất / Vận hành sản xuất, Vận chuyển / Giao nhận / Kho vận</t>
        </is>
      </c>
      <c r="K15160" s="10" t="inlineStr">
        <is>
          <t>3 - 5 Năm</t>
        </is>
      </c>
      <c r="L15160" s="11">
        <f>HYPERLINK("https://careerviet.vn/vi/tim-viec-lam/truong-phong-quan-ly-chuoi-cung-ung.35C6ACB7.html","Xem chi tiết")</f>
        <v/>
      </c>
      <c r="M15160" s="10" t="n"/>
    </row>
    <row r="15161">
      <c r="B15161" s="7" t="n">
        <v>15159</v>
      </c>
      <c r="C15161" t="inlineStr">
        <is>
          <t>Kỹ Sư Thi Công</t>
        </is>
      </c>
      <c r="D15161" t="inlineStr">
        <is>
          <t>CÔNG TY TNHH KỸ THUẬT CƠ ĐIỆN KIÊN GIA PHÁT</t>
        </is>
      </c>
      <c r="E15161" t="inlineStr">
        <is>
          <t>Lương:15 Tr - 25 Tr VND</t>
        </is>
      </c>
      <c r="F15161" t="inlineStr">
        <is>
          <t>Hồ Chí Minh</t>
        </is>
      </c>
      <c r="G15161" t="inlineStr">
        <is>
          <t>04-04-2026</t>
        </is>
      </c>
      <c r="H15161" t="inlineStr">
        <is>
          <t>04/04/2026</t>
        </is>
      </c>
      <c r="I15161" t="inlineStr">
        <is>
          <t>17/03/2026</t>
        </is>
      </c>
      <c r="J15161" t="inlineStr">
        <is>
          <t>Xây dựng, Điện / Điện tử / Điện lạnh / Điện công nghiệp, Cơ khí / Ô tô / Tự động hóa</t>
        </is>
      </c>
      <c r="K15161" t="inlineStr">
        <is>
          <t>Lên đến 2 Năm</t>
        </is>
      </c>
      <c r="L15161" s="8">
        <f>HYPERLINK("https://careerviet.vn/vi/tim-viec-lam/ky-su-thi-cong.35C6ABF7.html","Xem chi tiết")</f>
        <v/>
      </c>
    </row>
    <row r="15162">
      <c r="B15162" s="9" t="n">
        <v>15160</v>
      </c>
      <c r="C15162" s="10" t="inlineStr">
        <is>
          <t>TRƯỞNG BỘ PHẬN KINH DOANH - PHÒNG KHÁCH HÀNG ƯU TIÊN</t>
        </is>
      </c>
      <c r="D15162" s="10" t="inlineStr">
        <is>
          <t>NGÂN HÀNG TMCP SÀI GÒN THƯƠNG TÍN (SACOMBANK)</t>
        </is>
      </c>
      <c r="E15162" s="10" t="inlineStr">
        <is>
          <t>Lương:Cạnh tranh</t>
        </is>
      </c>
      <c r="F15162" s="10" t="inlineStr">
        <is>
          <t>Hồ Chí Minh</t>
        </is>
      </c>
      <c r="G15162" s="10" t="inlineStr">
        <is>
          <t>03-04-2026</t>
        </is>
      </c>
      <c r="H15162" s="10" t="inlineStr">
        <is>
          <t>03/04/2026</t>
        </is>
      </c>
      <c r="I15162" s="10" t="inlineStr">
        <is>
          <t>17/03/2026</t>
        </is>
      </c>
      <c r="J15162" s="10" t="inlineStr">
        <is>
          <t>Ngân hàng</t>
        </is>
      </c>
      <c r="K15162" s="10" t="inlineStr">
        <is>
          <t>Trên 5 Năm</t>
        </is>
      </c>
      <c r="L15162" s="11">
        <f>HYPERLINK("https://careerviet.vn/vi/tim-viec-lam/truong-bo-phan-kinh-doanh-phong-khach-hang-uu-tien.35C6AEE2.html","Xem chi tiết")</f>
        <v/>
      </c>
      <c r="M15162" s="10" t="n"/>
    </row>
    <row r="15163">
      <c r="B15163" s="7" t="n">
        <v>15161</v>
      </c>
      <c r="C15163" t="inlineStr">
        <is>
          <t>Kế toán tổng hợp</t>
        </is>
      </c>
      <c r="D15163" t="inlineStr">
        <is>
          <t>Công Ty Cổ Phần Xuất Nhập Khẩu Thương Mại Đài Linh</t>
        </is>
      </c>
      <c r="E15163" t="inlineStr">
        <is>
          <t>Lương:20 Tr - 30 Tr VND</t>
        </is>
      </c>
      <c r="F15163" t="inlineStr">
        <is>
          <t>Hà Nội</t>
        </is>
      </c>
      <c r="G15163" t="inlineStr">
        <is>
          <t>05-04-2026</t>
        </is>
      </c>
      <c r="H15163" t="inlineStr">
        <is>
          <t>05/04/2026</t>
        </is>
      </c>
      <c r="I15163" t="inlineStr">
        <is>
          <t>17/03/2026</t>
        </is>
      </c>
      <c r="J15163" t="inlineStr">
        <is>
          <t>Kế toán / Kiểm toán</t>
        </is>
      </c>
      <c r="K15163" t="inlineStr">
        <is>
          <t>3 - 5 Năm</t>
        </is>
      </c>
      <c r="L15163" s="8">
        <f>HYPERLINK("https://careerviet.vn/vi/tim-viec-lam/ke-toan-tong-hop.35C6AE1D.html","Xem chi tiết")</f>
        <v/>
      </c>
    </row>
    <row r="15164">
      <c r="B15164" s="9" t="n">
        <v>15162</v>
      </c>
      <c r="C15164" s="10" t="inlineStr">
        <is>
          <t>Tổ trưởng kho</t>
        </is>
      </c>
      <c r="D15164" s="10" t="inlineStr">
        <is>
          <t>CÔNG TY CỔ PHẦN NHỰA TÁI CHẾ DUY TÂN</t>
        </is>
      </c>
      <c r="E15164" s="10" t="inlineStr">
        <is>
          <t>Lương:12 Tr - 13 Tr VND</t>
        </is>
      </c>
      <c r="F15164" s="10" t="inlineStr">
        <is>
          <t>Long An</t>
        </is>
      </c>
      <c r="G15164" s="10" t="inlineStr">
        <is>
          <t>31-03-2026</t>
        </is>
      </c>
      <c r="H15164" s="10" t="inlineStr">
        <is>
          <t>31/03/2026</t>
        </is>
      </c>
      <c r="I15164" s="10" t="inlineStr">
        <is>
          <t>17/03/2026</t>
        </is>
      </c>
      <c r="J15164" s="10" t="inlineStr">
        <is>
          <t>Vận chuyển / Giao nhận / Kho vận, Sản xuất / Vận hành sản xuất, Ngành khác</t>
        </is>
      </c>
      <c r="K15164" s="10" t="inlineStr">
        <is>
          <t>1 - 2 Năm</t>
        </is>
      </c>
      <c r="L15164" s="11">
        <f>HYPERLINK("https://careerviet.vn/vi/tim-viec-lam/to-truong-kho.35C68C18.html","Xem chi tiết")</f>
        <v/>
      </c>
      <c r="M15164" s="10" t="n"/>
    </row>
    <row r="15165">
      <c r="B15165" s="7" t="n">
        <v>15163</v>
      </c>
      <c r="C15165" t="inlineStr">
        <is>
          <t>Giám Sát Thi Công Làm Việc Tại TPHCM - Lương Từ 15-20 Triệu</t>
        </is>
      </c>
      <c r="D15165" t="inlineStr">
        <is>
          <t>CÔNG TY TNHH ĐẦU TƯ XÂY DỰNG QUÂN ĐẠT</t>
        </is>
      </c>
      <c r="E15165" t="inlineStr">
        <is>
          <t>Lương:15 Tr - 20 Tr VND</t>
        </is>
      </c>
      <c r="F15165" t="inlineStr">
        <is>
          <t>Hồ Chí Minh</t>
        </is>
      </c>
      <c r="G15165" t="inlineStr">
        <is>
          <t>03-04-2026</t>
        </is>
      </c>
      <c r="H15165" t="inlineStr">
        <is>
          <t>03/04/2026</t>
        </is>
      </c>
      <c r="I15165" t="inlineStr">
        <is>
          <t>17/03/2026</t>
        </is>
      </c>
      <c r="J15165" t="inlineStr">
        <is>
          <t>Kiến trúc, Xây dựng, Nội ngoại thất</t>
        </is>
      </c>
      <c r="K15165" t="inlineStr">
        <is>
          <t>Lên đến 1 Năm</t>
        </is>
      </c>
      <c r="L15165" s="8">
        <f>HYPERLINK("https://careerviet.vn/vi/tim-viec-lam/giam-sat-thi-cong-lam-viec-tai-tphcm-luong-tu-15-20-trieu.35C6ADD9.html","Xem chi tiết")</f>
        <v/>
      </c>
    </row>
    <row r="15166">
      <c r="B15166" s="9" t="n">
        <v>15164</v>
      </c>
      <c r="C15166" s="10" t="inlineStr">
        <is>
          <t>Chuyên viên Vận hành và Phát triển sàn TMĐT quốc tế (Shopee)</t>
        </is>
      </c>
      <c r="D15166" s="10" t="inlineStr">
        <is>
          <t>CÔNG TY CỔ PHẦN VUA NỆM</t>
        </is>
      </c>
      <c r="E15166" s="10" t="inlineStr">
        <is>
          <t>Lương:9 Tr - 12 Tr VND</t>
        </is>
      </c>
      <c r="F15166" s="10" t="inlineStr">
        <is>
          <t>Hà Nội</t>
        </is>
      </c>
      <c r="G15166" s="10" t="inlineStr">
        <is>
          <t>04-04-2026</t>
        </is>
      </c>
      <c r="H15166" s="10" t="inlineStr">
        <is>
          <t>04/04/2026</t>
        </is>
      </c>
      <c r="I15166" s="10" t="inlineStr">
        <is>
          <t>17/03/2026</t>
        </is>
      </c>
      <c r="J15166" s="10" t="inlineStr">
        <is>
          <t>Tiếp thị / Marketing, Tiếp thị trực tuyến, Thương mại điện tử</t>
        </is>
      </c>
      <c r="K15166" s="10" t="inlineStr">
        <is>
          <t>1 - 2 Năm</t>
        </is>
      </c>
      <c r="L15166" s="11">
        <f>HYPERLINK("https://careerviet.vn/vi/tim-viec-lam/chuyen-vien-van-hanh-va-phat-trien-san-tmdt-quoc-te-shopee.35C6AEE1.html","Xem chi tiết")</f>
        <v/>
      </c>
      <c r="M15166" s="10" t="n"/>
    </row>
    <row r="15167">
      <c r="B15167" s="7" t="n">
        <v>15165</v>
      </c>
      <c r="C15167" t="inlineStr">
        <is>
          <t>Nhân viên kế toán</t>
        </is>
      </c>
      <c r="D15167" t="inlineStr">
        <is>
          <t>CÔNG TY TNHH MỘT NGÔI SAO THÔNG MINH VIỆT NAM</t>
        </is>
      </c>
      <c r="E15167" t="inlineStr">
        <is>
          <t>Lương:10 Tr - 15 Tr VND</t>
        </is>
      </c>
      <c r="F15167" t="inlineStr">
        <is>
          <t>Hà Nội</t>
        </is>
      </c>
      <c r="G15167" t="inlineStr">
        <is>
          <t>03-04-2026</t>
        </is>
      </c>
      <c r="H15167" t="inlineStr">
        <is>
          <t>03/04/2026</t>
        </is>
      </c>
      <c r="I15167" t="inlineStr">
        <is>
          <t>17/03/2026</t>
        </is>
      </c>
      <c r="J15167" t="inlineStr">
        <is>
          <t>Kế toán / Kiểm toán</t>
        </is>
      </c>
      <c r="K15167" t="inlineStr">
        <is>
          <t>1 - 2 Năm</t>
        </is>
      </c>
      <c r="L15167" s="8">
        <f>HYPERLINK("https://careerviet.vn/vi/tim-viec-lam/nhan-vien-ke-toan.35C6AE2D.html","Xem chi tiết")</f>
        <v/>
      </c>
    </row>
    <row r="15168">
      <c r="B15168" s="9" t="n">
        <v>15166</v>
      </c>
      <c r="C15168" s="10" t="inlineStr">
        <is>
          <t>Kế toán nhà máy</t>
        </is>
      </c>
      <c r="D15168" s="10" t="inlineStr">
        <is>
          <t>CÔNG TY CỔ PHẦN CÔNG NGHỆ SOTATEK VIỆT NAM</t>
        </is>
      </c>
      <c r="E15168" s="10" t="inlineStr">
        <is>
          <t>Lương:Cạnh tranh</t>
        </is>
      </c>
      <c r="F15168" s="10" t="inlineStr">
        <is>
          <t>Ninh Thuận</t>
        </is>
      </c>
      <c r="G15168" s="10" t="inlineStr">
        <is>
          <t>31-03-2026</t>
        </is>
      </c>
      <c r="H15168" s="10" t="inlineStr">
        <is>
          <t>31/03/2026</t>
        </is>
      </c>
      <c r="I15168" s="10" t="inlineStr">
        <is>
          <t>17/03/2026</t>
        </is>
      </c>
      <c r="J15168" s="10" t="inlineStr">
        <is>
          <t>Kế toán / Kiểm toán, Thống kê, Sản xuất / Vận hành sản xuất</t>
        </is>
      </c>
      <c r="K15168" s="10" t="inlineStr">
        <is>
          <t>Chưa có kinh nghiệm</t>
        </is>
      </c>
      <c r="L15168" s="11">
        <f>HYPERLINK("https://careerviet.vn/vi/tim-viec-lam/ke-toan-nha-may.35C6AED4.html","Xem chi tiết")</f>
        <v/>
      </c>
      <c r="M15168" s="10" t="n"/>
    </row>
    <row r="15169">
      <c r="B15169" s="7" t="n">
        <v>15167</v>
      </c>
      <c r="C15169" t="inlineStr">
        <is>
          <t>Marketing Manager (Chuỗi bán lẻ: Nongnghieppho.vn)</t>
        </is>
      </c>
      <c r="D15169" t="inlineStr">
        <is>
          <t>CÔNG TY TNHH SX TM DV ĐẶNG GIA TRANG</t>
        </is>
      </c>
      <c r="E15169" t="inlineStr">
        <is>
          <t>Lương:Cạnh tranh</t>
        </is>
      </c>
      <c r="F15169" t="inlineStr">
        <is>
          <t>Hồ Chí Minh</t>
        </is>
      </c>
      <c r="G15169" t="inlineStr">
        <is>
          <t>11-04-2026</t>
        </is>
      </c>
      <c r="H15169" t="inlineStr">
        <is>
          <t>11/04/2026</t>
        </is>
      </c>
      <c r="I15169" t="inlineStr">
        <is>
          <t>17/03/2026</t>
        </is>
      </c>
      <c r="J15169" t="inlineStr">
        <is>
          <t>Tiếp thị / Marketing</t>
        </is>
      </c>
      <c r="K15169" t="inlineStr">
        <is>
          <t>2 - 3 Năm</t>
        </is>
      </c>
      <c r="L15169" s="8">
        <f>HYPERLINK("https://careerviet.vn/vi/tim-viec-lam/marketing-manager-chuoi-ban-le-nongnghieppho-vn.35C6AA89.html","Xem chi tiết")</f>
        <v/>
      </c>
    </row>
    <row r="15170">
      <c r="B15170" s="9" t="n">
        <v>15168</v>
      </c>
      <c r="C15170" s="10" t="inlineStr">
        <is>
          <t>NHÂN VIÊN NHÂN SỰ</t>
        </is>
      </c>
      <c r="D15170" s="10" t="inlineStr">
        <is>
          <t>CÔNG TY CỔ PHẦN HÙNG CƯỜNG PHARMA</t>
        </is>
      </c>
      <c r="E15170" s="10" t="inlineStr">
        <is>
          <t>Lương:10 Tr - 12 Tr VND</t>
        </is>
      </c>
      <c r="F15170" s="10" t="inlineStr">
        <is>
          <t>Hồ Chí Minh</t>
        </is>
      </c>
      <c r="G15170" s="10" t="inlineStr">
        <is>
          <t>03-04-2026</t>
        </is>
      </c>
      <c r="H15170" s="10" t="inlineStr">
        <is>
          <t>03/04/2026</t>
        </is>
      </c>
      <c r="I15170" s="10" t="inlineStr">
        <is>
          <t>17/03/2026</t>
        </is>
      </c>
      <c r="J15170" s="10" t="inlineStr">
        <is>
          <t>Hành chính / Thư ký, Nhân sự</t>
        </is>
      </c>
      <c r="K15170" s="10" t="inlineStr">
        <is>
          <t>Trên 2 Năm</t>
        </is>
      </c>
      <c r="L15170" s="11">
        <f>HYPERLINK("https://careerviet.vn/vi/tim-viec-lam/nhan-vien-nhan-su.35C6AE71.html","Xem chi tiết")</f>
        <v/>
      </c>
      <c r="M15170" s="10" t="n"/>
    </row>
    <row r="15171">
      <c r="B15171" s="7" t="n">
        <v>15169</v>
      </c>
      <c r="C15171" t="inlineStr">
        <is>
          <t>NHÂN VIÊN MEDIA</t>
        </is>
      </c>
      <c r="D15171" t="inlineStr">
        <is>
          <t>TMT MEDICAL</t>
        </is>
      </c>
      <c r="E15171" t="inlineStr">
        <is>
          <t>Lương:10 Tr - 13 Tr VND</t>
        </is>
      </c>
      <c r="F15171" t="inlineStr">
        <is>
          <t>Hồ Chí Minh</t>
        </is>
      </c>
      <c r="G15171" t="inlineStr">
        <is>
          <t>31-03-2026</t>
        </is>
      </c>
      <c r="H15171" t="inlineStr">
        <is>
          <t>31/03/2026</t>
        </is>
      </c>
      <c r="I15171" t="inlineStr">
        <is>
          <t>17/03/2026</t>
        </is>
      </c>
      <c r="J15171" t="inlineStr">
        <is>
          <t>Tiếp thị / Marketing, Thương mại điện tử, Y tế / Chăm sóc sức khỏe / Thẩm mỹ / Làm đẹp</t>
        </is>
      </c>
      <c r="K15171" t="inlineStr">
        <is>
          <t>1 - 2 Năm</t>
        </is>
      </c>
      <c r="L15171" s="8">
        <f>HYPERLINK("https://careerviet.vn/vi/tim-viec-lam/nhan-vien-media.35C6AD17.html","Xem chi tiết")</f>
        <v/>
      </c>
    </row>
    <row r="15172">
      <c r="B15172" s="9" t="n">
        <v>15170</v>
      </c>
      <c r="C15172" s="10" t="inlineStr">
        <is>
          <t>[Đơn Dương - Lâm Đồng] Thủ kho thời vụ</t>
        </is>
      </c>
      <c r="D15172" s="10" t="inlineStr">
        <is>
          <t>Công Ty Cổ Phần Tập Đoàn TH</t>
        </is>
      </c>
      <c r="E15172" s="10" t="inlineStr">
        <is>
          <t>Lương:8 Tr - 10 Tr VND</t>
        </is>
      </c>
      <c r="F15172" s="10" t="inlineStr">
        <is>
          <t>Lâm Đồng</t>
        </is>
      </c>
      <c r="G15172" s="10" t="inlineStr">
        <is>
          <t>03-04-2026</t>
        </is>
      </c>
      <c r="H15172" s="10" t="inlineStr">
        <is>
          <t>03/04/2026</t>
        </is>
      </c>
      <c r="I15172" s="10" t="inlineStr">
        <is>
          <t>17/03/2026</t>
        </is>
      </c>
      <c r="J15172" s="10" t="inlineStr">
        <is>
          <t>Vận chuyển / Giao nhận / Kho vận</t>
        </is>
      </c>
      <c r="K15172" s="10" t="inlineStr">
        <is>
          <t>1 - 2 Năm</t>
        </is>
      </c>
      <c r="L15172" s="11">
        <f>HYPERLINK("https://careerviet.vn/vi/tim-viec-lam/don-duong-lam-dong-thu-kho-thoi-vu.35C6AE81.html","Xem chi tiết")</f>
        <v/>
      </c>
      <c r="M15172" s="10" t="n"/>
    </row>
    <row r="15173">
      <c r="B15173" s="7" t="n">
        <v>15171</v>
      </c>
      <c r="C15173" t="inlineStr">
        <is>
          <t>Legal Executive</t>
        </is>
      </c>
      <c r="D15173" t="inlineStr">
        <is>
          <t>VĂN PHÒNG ĐẠI DIỆN TỔNG CÔNG TY PHÁT TRIỂN ĐÔ THỊ KINH BẮC-CTCP TẠI THÀNH PHỐ HỒ CHÍ MINH</t>
        </is>
      </c>
      <c r="E15173" t="inlineStr">
        <is>
          <t>Lương:15 Tr - 20 Tr VND</t>
        </is>
      </c>
      <c r="F15173" t="inlineStr">
        <is>
          <t>Hồ Chí Minh</t>
        </is>
      </c>
      <c r="G15173" t="inlineStr">
        <is>
          <t>30-03-2026</t>
        </is>
      </c>
      <c r="H15173" t="inlineStr">
        <is>
          <t>30/03/2026</t>
        </is>
      </c>
      <c r="I15173" t="inlineStr">
        <is>
          <t>17/03/2026</t>
        </is>
      </c>
      <c r="J15173" t="inlineStr">
        <is>
          <t>Hành chính / Thư ký</t>
        </is>
      </c>
      <c r="K15173" t="inlineStr">
        <is>
          <t>3 - 5 Năm</t>
        </is>
      </c>
      <c r="L15173" s="8">
        <f>HYPERLINK("https://careerviet.vn/vi/tim-viec-lam/legal-executive.35C6AD49.html","Xem chi tiết")</f>
        <v/>
      </c>
    </row>
    <row r="15174">
      <c r="B15174" s="9" t="n">
        <v>15172</v>
      </c>
      <c r="C15174" s="10" t="inlineStr">
        <is>
          <t>Nhân viên xuất nhập khẩu</t>
        </is>
      </c>
      <c r="D15174" s="10" t="inlineStr">
        <is>
          <t>CÔNG TY CỔ PHẦN CÔNG NGHỆ VÀ THƯƠNG MẠI SYSTECH</t>
        </is>
      </c>
      <c r="E15174" s="10" t="inlineStr">
        <is>
          <t>Lương:10 Tr - 15 Tr VND</t>
        </is>
      </c>
      <c r="F15174" s="10" t="inlineStr">
        <is>
          <t>Hà Nội</t>
        </is>
      </c>
      <c r="G15174" s="10" t="inlineStr">
        <is>
          <t>31-03-2026</t>
        </is>
      </c>
      <c r="H15174" s="10" t="inlineStr">
        <is>
          <t>31/03/2026</t>
        </is>
      </c>
      <c r="I15174" s="10" t="inlineStr">
        <is>
          <t>17/03/2026</t>
        </is>
      </c>
      <c r="J15174" s="10" t="inlineStr">
        <is>
          <t>Xuất nhập khẩu, Thu mua / Vật tư, Sản xuất / Vận hành sản xuất</t>
        </is>
      </c>
      <c r="K15174" s="10" t="inlineStr">
        <is>
          <t>2 - 3 Năm</t>
        </is>
      </c>
      <c r="L15174" s="11">
        <f>HYPERLINK("https://careerviet.vn/vi/tim-viec-lam/nhan-vien-xuat-nhap-khau.35C6ACEB.html","Xem chi tiết")</f>
        <v/>
      </c>
      <c r="M15174" s="10" t="n"/>
    </row>
    <row r="15175">
      <c r="B15175" s="7" t="n">
        <v>15173</v>
      </c>
      <c r="C15175" t="inlineStr">
        <is>
          <t>Giám Sát Công Trình</t>
        </is>
      </c>
      <c r="D15175" t="inlineStr">
        <is>
          <t>CÔNG TY TNHH THIẾT KẾ XÂY DỰNG HAIDECOR</t>
        </is>
      </c>
      <c r="E15175" t="inlineStr">
        <is>
          <t>Lương:10 Tr - 15 Tr VND</t>
        </is>
      </c>
      <c r="F15175" t="inlineStr">
        <is>
          <t>Hồ Chí Minh</t>
        </is>
      </c>
      <c r="G15175" t="inlineStr">
        <is>
          <t>03-04-2026</t>
        </is>
      </c>
      <c r="H15175" t="inlineStr">
        <is>
          <t>03/04/2026</t>
        </is>
      </c>
      <c r="I15175" t="inlineStr">
        <is>
          <t>17/03/2026</t>
        </is>
      </c>
      <c r="J15175" t="inlineStr">
        <is>
          <t>Xây dựng, Nội ngoại thất, Quản lý chất lượng (QA/QC)</t>
        </is>
      </c>
      <c r="K15175" t="inlineStr">
        <is>
          <t>2 - 5 Năm</t>
        </is>
      </c>
      <c r="L15175" s="8">
        <f>HYPERLINK("https://careerviet.vn/vi/tim-viec-lam/giam-sat-cong-trinh.35C6AEC7.html","Xem chi tiết")</f>
        <v/>
      </c>
    </row>
    <row r="15176">
      <c r="B15176" s="9" t="n">
        <v>15174</v>
      </c>
      <c r="C15176" s="10" t="inlineStr">
        <is>
          <t>Chuyên Viên Tư Vấn Giáo Dục - Ocean Edu Nguyễn Lương Bằng - Thu Nhập Từ 16Triệu/Tháng - Phỏng Vấn Đi Làm Ngay</t>
        </is>
      </c>
      <c r="D15176" s="10" t="inlineStr">
        <is>
          <t>Công Ty CP Giáo Dục Đại Dương</t>
        </is>
      </c>
      <c r="E15176" s="10" t="inlineStr">
        <is>
          <t>Lương:Cạnh tranh</t>
        </is>
      </c>
      <c r="F15176" s="10" t="inlineStr">
        <is>
          <t>Hà Nội</t>
        </is>
      </c>
      <c r="G15176" s="10" t="inlineStr">
        <is>
          <t>03-04-2026</t>
        </is>
      </c>
      <c r="H15176" s="10" t="inlineStr">
        <is>
          <t>03/04/2026</t>
        </is>
      </c>
      <c r="I15176" s="10" t="inlineStr">
        <is>
          <t>17/03/2026</t>
        </is>
      </c>
      <c r="J15176" s="10" t="inlineStr">
        <is>
          <t>Dịch vụ khách hàng, Giáo dục / Đào tạo, Bán hàng / Kinh doanh</t>
        </is>
      </c>
      <c r="K15176" s="10" t="inlineStr">
        <is>
          <t>Chưa có kinh nghiệm</t>
        </is>
      </c>
      <c r="L15176" s="11">
        <f>HYPERLINK("https://careerviet.vn/vi/tim-viec-lam/chuyen-vien-tu-van-giao-duc-ocean-edu-nguyen-luong-bang-thu-nhap-tu-16trieu-thang-phong-van-di-lam-ngay.35C6AEA1.html","Xem chi tiết")</f>
        <v/>
      </c>
      <c r="M15176" s="10" t="n"/>
    </row>
    <row r="15177">
      <c r="B15177" s="7" t="n">
        <v>15175</v>
      </c>
      <c r="C15177" t="inlineStr">
        <is>
          <t>Trưởng phòng/chuyên viên hành chính</t>
        </is>
      </c>
      <c r="D15177" t="inlineStr">
        <is>
          <t>CÔNG TY CỔ PHẦN CÔNG NGHỆ SOTATEK VIỆT NAM</t>
        </is>
      </c>
      <c r="E15177" t="inlineStr">
        <is>
          <t>Lương:Cạnh tranh</t>
        </is>
      </c>
      <c r="F15177" t="inlineStr">
        <is>
          <t>Ninh Thuận</t>
        </is>
      </c>
      <c r="G15177" t="inlineStr">
        <is>
          <t>31-03-2026</t>
        </is>
      </c>
      <c r="H15177" t="inlineStr">
        <is>
          <t>31/03/2026</t>
        </is>
      </c>
      <c r="I15177" t="inlineStr">
        <is>
          <t>17/03/2026</t>
        </is>
      </c>
      <c r="J15177" t="inlineStr">
        <is>
          <t>Hành chính / Thư ký, Nhân sự, Quản lý điều hành</t>
        </is>
      </c>
      <c r="K15177" t="inlineStr">
        <is>
          <t>Trên 2 Năm</t>
        </is>
      </c>
      <c r="L15177" s="8">
        <f>HYPERLINK("https://careerviet.vn/vi/tim-viec-lam/truong-phong-chuyen-vien-hanh-chinh.35C6AE90.html","Xem chi tiết")</f>
        <v/>
      </c>
    </row>
    <row r="15178">
      <c r="B15178" s="9" t="n">
        <v>15176</v>
      </c>
      <c r="C15178" s="10" t="inlineStr">
        <is>
          <t>Giám đốc Giải pháp Nghiệp vụ Bất động sản (Head BA Proptech) - TNTech - 4B039</t>
        </is>
      </c>
      <c r="D15178" s="10" t="inlineStr">
        <is>
          <t>Tập đoàn ROX (ROX Group)</t>
        </is>
      </c>
      <c r="E15178" s="10" t="inlineStr">
        <is>
          <t>Lương:Cạnh tranh</t>
        </is>
      </c>
      <c r="F15178" s="10" t="inlineStr">
        <is>
          <t>Hà Nội</t>
        </is>
      </c>
      <c r="G15178" s="10" t="inlineStr">
        <is>
          <t>03-04-2026</t>
        </is>
      </c>
      <c r="H15178" s="10" t="inlineStr">
        <is>
          <t>03/04/2026</t>
        </is>
      </c>
      <c r="I15178" s="10" t="inlineStr">
        <is>
          <t>17/03/2026</t>
        </is>
      </c>
      <c r="J15178" s="10" t="inlineStr">
        <is>
          <t>Ngân hàng</t>
        </is>
      </c>
      <c r="K15178" s="10" t="inlineStr">
        <is>
          <t>Trên 5 Năm</t>
        </is>
      </c>
      <c r="L15178" s="11">
        <f>HYPERLINK("https://careerviet.vn/vi/tim-viec-lam/giam-doc-giai-phap-nghiep-vu-bat-dong-san-head-ba-proptech-tntech-4b039.35C6AEAA.html","Xem chi tiết")</f>
        <v/>
      </c>
      <c r="M15178" s="10" t="n"/>
    </row>
    <row r="15179">
      <c r="B15179" s="7" t="n">
        <v>15177</v>
      </c>
      <c r="C15179" t="inlineStr">
        <is>
          <t>Project investment and development manager</t>
        </is>
      </c>
      <c r="D15179" t="inlineStr">
        <is>
          <t>VĂN PHÒNG ĐẠI DIỆN TỔNG CÔNG TY PHÁT TRIỂN ĐÔ THỊ KINH BẮC-CTCP TẠI THÀNH PHỐ HỒ CHÍ MINH</t>
        </is>
      </c>
      <c r="E15179" t="inlineStr">
        <is>
          <t>Lương:70 Tr - 73 Tr VND</t>
        </is>
      </c>
      <c r="F15179" t="inlineStr">
        <is>
          <t>Hồ Chí Minh</t>
        </is>
      </c>
      <c r="G15179" t="inlineStr">
        <is>
          <t>30-03-2026</t>
        </is>
      </c>
      <c r="H15179" t="inlineStr">
        <is>
          <t>30/03/2026</t>
        </is>
      </c>
      <c r="I15179" t="inlineStr">
        <is>
          <t>17/03/2026</t>
        </is>
      </c>
      <c r="J15179" t="inlineStr">
        <is>
          <t>Tài chính / Đầu tư</t>
        </is>
      </c>
      <c r="K15179" t="inlineStr">
        <is>
          <t>7 - 15 Năm</t>
        </is>
      </c>
      <c r="L15179" s="8">
        <f>HYPERLINK("https://careerviet.vn/vi/tim-viec-lam/project-investment-and-development-manager.35C6AD88.html","Xem chi tiết")</f>
        <v/>
      </c>
    </row>
    <row r="15180">
      <c r="B15180" s="9" t="n">
        <v>15178</v>
      </c>
      <c r="C15180" s="10" t="inlineStr">
        <is>
          <t>Trưởng bộ phận hệ thống chất lượng</t>
        </is>
      </c>
      <c r="D15180" s="10" t="inlineStr">
        <is>
          <t>CÔNG TY CỔ PHẦN CÔNG NGHỆ SOTATEK VIỆT NAM</t>
        </is>
      </c>
      <c r="E15180" s="10" t="inlineStr">
        <is>
          <t>Lương:Cạnh tranh</t>
        </is>
      </c>
      <c r="F15180" s="10" t="inlineStr">
        <is>
          <t>Ninh Thuận</t>
        </is>
      </c>
      <c r="G15180" s="10" t="inlineStr">
        <is>
          <t>31-03-2026</t>
        </is>
      </c>
      <c r="H15180" s="10" t="inlineStr">
        <is>
          <t>31/03/2026</t>
        </is>
      </c>
      <c r="I15180" s="10" t="inlineStr">
        <is>
          <t>17/03/2026</t>
        </is>
      </c>
      <c r="J15180" s="10" t="inlineStr">
        <is>
          <t>Quản lý chất lượng (QA/QC), Quản lý điều hành, An toàn lao động</t>
        </is>
      </c>
      <c r="K15180" s="10" t="inlineStr">
        <is>
          <t>Trên 3 Năm</t>
        </is>
      </c>
      <c r="L15180" s="11">
        <f>HYPERLINK("https://careerviet.vn/vi/tim-viec-lam/truong-bo-phan-he-thong-chat-luong.35C6AE9B.html","Xem chi tiết")</f>
        <v/>
      </c>
      <c r="M15180" s="10" t="n"/>
    </row>
    <row r="15181">
      <c r="B15181" s="7" t="n">
        <v>15179</v>
      </c>
      <c r="C15181" t="inlineStr">
        <is>
          <t>Kỹ Sư Cơ Điện</t>
        </is>
      </c>
      <c r="D15181" t="inlineStr">
        <is>
          <t>Tập Đoàn Kim Tín</t>
        </is>
      </c>
      <c r="E15181" t="inlineStr">
        <is>
          <t>Lương:Cạnh tranh</t>
        </is>
      </c>
      <c r="F15181" t="inlineStr">
        <is>
          <t>Bình Phước</t>
        </is>
      </c>
      <c r="G15181" t="inlineStr">
        <is>
          <t>03-04-2026</t>
        </is>
      </c>
      <c r="H15181" t="inlineStr">
        <is>
          <t>03/04/2026</t>
        </is>
      </c>
      <c r="I15181" t="inlineStr">
        <is>
          <t>17/03/2026</t>
        </is>
      </c>
      <c r="J15181" t="inlineStr">
        <is>
          <t>Cơ khí / Ô tô / Tự động hóa, Sản xuất / Vận hành sản xuất, Nội ngoại thất</t>
        </is>
      </c>
      <c r="K15181" t="inlineStr">
        <is>
          <t>Trên 1 Năm</t>
        </is>
      </c>
      <c r="L15181" s="8">
        <f>HYPERLINK("https://careerviet.vn/vi/tim-viec-lam/ky-su-co-dien.35C6ACA8.html","Xem chi tiết")</f>
        <v/>
      </c>
    </row>
    <row r="15182">
      <c r="B15182" s="9" t="n">
        <v>15180</v>
      </c>
      <c r="C15182" s="10" t="inlineStr">
        <is>
          <t>Chuyên Viên Hành Chính</t>
        </is>
      </c>
      <c r="D15182" s="10" t="inlineStr">
        <is>
          <t>Công ty TNHH Long Hành Thiên Hạ</t>
        </is>
      </c>
      <c r="E15182" s="10" t="inlineStr">
        <is>
          <t>Lương:12 Tr - 25 Tr VND</t>
        </is>
      </c>
      <c r="F15182" s="10" t="inlineStr">
        <is>
          <t>Thanh Hóa</t>
        </is>
      </c>
      <c r="G15182" s="10" t="inlineStr">
        <is>
          <t>04-04-2026</t>
        </is>
      </c>
      <c r="H15182" s="10" t="inlineStr">
        <is>
          <t>04/04/2026</t>
        </is>
      </c>
      <c r="I15182" s="10" t="inlineStr">
        <is>
          <t>17/03/2026</t>
        </is>
      </c>
      <c r="J15182" s="10" t="inlineStr">
        <is>
          <t>Hành chính / Thư ký, Nhân sự, Sản xuất / Vận hành sản xuất</t>
        </is>
      </c>
      <c r="K15182" s="10" t="inlineStr">
        <is>
          <t>N/A</t>
        </is>
      </c>
      <c r="L15182" s="11">
        <f>HYPERLINK("https://careerviet.vn/vi/tim-viec-lam/chuyen-vien-hanh-chinh.35C6AED2.html","Xem chi tiết")</f>
        <v/>
      </c>
      <c r="M15182" s="10" t="n"/>
    </row>
    <row r="15183">
      <c r="B15183" s="7" t="n">
        <v>15181</v>
      </c>
      <c r="C15183" t="inlineStr">
        <is>
          <t>Sale Admin - Đồng Nai</t>
        </is>
      </c>
      <c r="D15183" t="inlineStr">
        <is>
          <t>Công Ty TNHH Tập Đoàn Rita Võ</t>
        </is>
      </c>
      <c r="E15183" t="inlineStr">
        <is>
          <t>Lương:8 Tr - 9 Tr VND</t>
        </is>
      </c>
      <c r="F15183" t="inlineStr">
        <is>
          <t>Đồng Nai</t>
        </is>
      </c>
      <c r="G15183" t="inlineStr">
        <is>
          <t>04-04-2026</t>
        </is>
      </c>
      <c r="H15183" t="inlineStr">
        <is>
          <t>04/04/2026</t>
        </is>
      </c>
      <c r="I15183" t="inlineStr">
        <is>
          <t>17/03/2026</t>
        </is>
      </c>
      <c r="J15183" t="inlineStr">
        <is>
          <t>Bán hàng / Kinh doanh, Hành chính / Thư ký, Bán lẻ / Bán sỉ</t>
        </is>
      </c>
      <c r="K15183" t="inlineStr">
        <is>
          <t>1 - 2 Năm</t>
        </is>
      </c>
      <c r="L15183" s="8">
        <f>HYPERLINK("https://careerviet.vn/vi/tim-viec-lam/sale-admin-dong-nai.35C6AE57.html","Xem chi tiết")</f>
        <v/>
      </c>
    </row>
    <row r="15184">
      <c r="B15184" s="9" t="n">
        <v>15182</v>
      </c>
      <c r="C15184" s="10" t="inlineStr">
        <is>
          <t>KỸ THUẬT VIÊN SMT</t>
        </is>
      </c>
      <c r="D15184" s="10" t="inlineStr">
        <is>
          <t>CÔNG TY TNHH GRE ALPHA ELECTRONICS ( VIETNAM)</t>
        </is>
      </c>
      <c r="E15184" s="10" t="inlineStr">
        <is>
          <t>Lương:Cạnh tranh</t>
        </is>
      </c>
      <c r="F15184" s="10" t="inlineStr">
        <is>
          <t>Bình Dương</t>
        </is>
      </c>
      <c r="G15184" s="10" t="inlineStr">
        <is>
          <t>03-04-2026</t>
        </is>
      </c>
      <c r="H15184" s="10" t="inlineStr">
        <is>
          <t>03/04/2026</t>
        </is>
      </c>
      <c r="I15184" s="10" t="inlineStr">
        <is>
          <t>17/03/2026</t>
        </is>
      </c>
      <c r="J15184" s="10" t="inlineStr">
        <is>
          <t>Điện / Điện tử / Điện lạnh / Điện công nghiệp, Sản xuất / Vận hành sản xuất</t>
        </is>
      </c>
      <c r="K15184" s="10" t="inlineStr">
        <is>
          <t>1 - 3 Năm</t>
        </is>
      </c>
      <c r="L15184" s="11">
        <f>HYPERLINK("https://careerviet.vn/vi/tim-viec-lam/ky-thuat-vien-smt.35C6AE7F.html","Xem chi tiết")</f>
        <v/>
      </c>
      <c r="M15184" s="10" t="n"/>
    </row>
    <row r="15185">
      <c r="B15185" s="7" t="n">
        <v>15183</v>
      </c>
      <c r="C15185" t="inlineStr">
        <is>
          <t>CHUYÊN VIÊN PHÂN TÍCH KINH DOANH - TRUNG TÂM QUẢN TRỊ TÀI CHÍNH</t>
        </is>
      </c>
      <c r="D15185" t="inlineStr">
        <is>
          <t>NGÂN HÀNG TMCP SÀI GÒN THƯƠNG TÍN (SACOMBANK)</t>
        </is>
      </c>
      <c r="E15185" t="inlineStr">
        <is>
          <t>Lương:Cạnh tranh</t>
        </is>
      </c>
      <c r="F15185" t="inlineStr">
        <is>
          <t>Hồ Chí Minh</t>
        </is>
      </c>
      <c r="G15185" t="inlineStr">
        <is>
          <t>04-04-2026</t>
        </is>
      </c>
      <c r="H15185" t="inlineStr">
        <is>
          <t>04/04/2026</t>
        </is>
      </c>
      <c r="I15185" t="inlineStr">
        <is>
          <t>17/03/2026</t>
        </is>
      </c>
      <c r="J15185" t="inlineStr">
        <is>
          <t>Tài chính / Đầu tư, Ngân hàng, Chứng khoán</t>
        </is>
      </c>
      <c r="K15185" t="inlineStr">
        <is>
          <t>Lên đến 1 Năm</t>
        </is>
      </c>
      <c r="L15185" s="8">
        <f>HYPERLINK("https://careerviet.vn/vi/tim-viec-lam/chuyen-vien-phan-tich-kinh-doanh-trung-tam-quan-tri-tai-chinh.35C6AE40.html","Xem chi tiết")</f>
        <v/>
      </c>
    </row>
    <row r="15186">
      <c r="B15186" s="9" t="n">
        <v>15184</v>
      </c>
      <c r="C15186" s="10" t="inlineStr">
        <is>
          <t>Phó phòng Cung ứng</t>
        </is>
      </c>
      <c r="D15186" s="10" t="inlineStr">
        <is>
          <t>Công Ty Cổ Phần Thép Việt Xô Hà Nội</t>
        </is>
      </c>
      <c r="E15186" s="10" t="inlineStr">
        <is>
          <t>Lương:25 Tr - 30 Tr VND</t>
        </is>
      </c>
      <c r="F15186" s="10" t="inlineStr">
        <is>
          <t>Hà Nội</t>
        </is>
      </c>
      <c r="G15186" s="10" t="inlineStr">
        <is>
          <t>03-04-2026</t>
        </is>
      </c>
      <c r="H15186" s="10" t="inlineStr">
        <is>
          <t>03/04/2026</t>
        </is>
      </c>
      <c r="I15186" s="10" t="inlineStr">
        <is>
          <t>17/03/2026</t>
        </is>
      </c>
      <c r="J15186" s="10" t="inlineStr">
        <is>
          <t>Xuất nhập khẩu, Thu mua / Vật tư</t>
        </is>
      </c>
      <c r="K15186" s="10" t="inlineStr">
        <is>
          <t>2 - 3 Năm</t>
        </is>
      </c>
      <c r="L15186" s="11">
        <f>HYPERLINK("https://careerviet.vn/vi/tim-viec-lam/pho-phong-cung-ung.35C6AE66.html","Xem chi tiết")</f>
        <v/>
      </c>
      <c r="M15186" s="10" t="n"/>
    </row>
    <row r="15187">
      <c r="B15187" s="7" t="n">
        <v>15185</v>
      </c>
      <c r="C15187" t="inlineStr">
        <is>
          <t>SEO Content Creator</t>
        </is>
      </c>
      <c r="D15187" t="inlineStr">
        <is>
          <t>Công ty TNHH VK Soho Offices</t>
        </is>
      </c>
      <c r="E15187" t="inlineStr">
        <is>
          <t>Lương:10 Tr - 13 Tr VND</t>
        </is>
      </c>
      <c r="F15187" t="inlineStr">
        <is>
          <t>Hồ Chí MinhĐà Nẵng</t>
        </is>
      </c>
      <c r="G15187" t="inlineStr">
        <is>
          <t>04-04-2026</t>
        </is>
      </c>
      <c r="H15187" t="inlineStr">
        <is>
          <t>04/04/2026</t>
        </is>
      </c>
      <c r="I15187" t="inlineStr">
        <is>
          <t>17/03/2026</t>
        </is>
      </c>
      <c r="J15187" t="inlineStr">
        <is>
          <t>Tiếp thị / Marketing, Truyền hình / Báo chí / Biên tập, Quảng cáo / Đối ngoại / Truyền Thông</t>
        </is>
      </c>
      <c r="K15187" t="inlineStr">
        <is>
          <t>1 - 3 Năm</t>
        </is>
      </c>
      <c r="L15187" s="8">
        <f>HYPERLINK("https://careerviet.vn/vi/tim-viec-lam/seo-content-creator.35C6AEE4.html","Xem chi tiết")</f>
        <v/>
      </c>
    </row>
    <row r="15188">
      <c r="B15188" s="9" t="n">
        <v>15186</v>
      </c>
      <c r="C15188" s="10" t="inlineStr">
        <is>
          <t>BUSINESS DEVELOPMENT MANAGER</t>
        </is>
      </c>
      <c r="D15188" s="10" t="inlineStr">
        <is>
          <t>HR Vietnam’s ESS Client</t>
        </is>
      </c>
      <c r="E15188" s="10" t="inlineStr">
        <is>
          <t>Lương:Cạnh tranh</t>
        </is>
      </c>
      <c r="F15188" s="10" t="inlineStr">
        <is>
          <t>Hồ Chí Minh</t>
        </is>
      </c>
      <c r="G15188" s="10" t="inlineStr">
        <is>
          <t>03-04-2026</t>
        </is>
      </c>
      <c r="H15188" s="10" t="inlineStr">
        <is>
          <t>03/04/2026</t>
        </is>
      </c>
      <c r="I15188" s="10" t="inlineStr">
        <is>
          <t>17/03/2026</t>
        </is>
      </c>
      <c r="J15188" s="10" t="inlineStr">
        <is>
          <t>Bán hàng / Kinh doanh, Tiếp thị trực tuyến, Quảng cáo / Đối ngoại / Truyền Thông</t>
        </is>
      </c>
      <c r="K15188" s="10" t="inlineStr">
        <is>
          <t>5 - 10 Năm</t>
        </is>
      </c>
      <c r="L15188" s="11">
        <f>HYPERLINK("https://careerviet.vn/vi/tim-viec-lam/business-development-manager.35C6AE1B.html","Xem chi tiết")</f>
        <v/>
      </c>
      <c r="M15188" s="10" t="n"/>
    </row>
    <row r="15189">
      <c r="B15189" s="7" t="n">
        <v>15187</v>
      </c>
      <c r="C15189" t="inlineStr">
        <is>
          <t>Kỹ sư khuôn mẫu</t>
        </is>
      </c>
      <c r="D15189" t="inlineStr">
        <is>
          <t>CÔNG TY CỔ PHẦN CÔNG NGHỆ SOTATEK VIỆT NAM</t>
        </is>
      </c>
      <c r="E15189" t="inlineStr">
        <is>
          <t>Lương:Cạnh tranh</t>
        </is>
      </c>
      <c r="F15189" t="inlineStr">
        <is>
          <t>Ninh Thuận</t>
        </is>
      </c>
      <c r="G15189" t="inlineStr">
        <is>
          <t>31-03-2026</t>
        </is>
      </c>
      <c r="H15189" t="inlineStr">
        <is>
          <t>31/03/2026</t>
        </is>
      </c>
      <c r="I15189" t="inlineStr">
        <is>
          <t>17/03/2026</t>
        </is>
      </c>
      <c r="J15189" t="inlineStr">
        <is>
          <t>Cơ khí / Ô tô / Tự động hóa, Sản xuất / Vận hành sản xuất</t>
        </is>
      </c>
      <c r="K15189" t="inlineStr">
        <is>
          <t>Trên 2 Năm</t>
        </is>
      </c>
      <c r="L15189" s="8">
        <f>HYPERLINK("https://careerviet.vn/vi/tim-viec-lam/ky-su-khuon-mau.35C6AE07.html","Xem chi tiết")</f>
        <v/>
      </c>
    </row>
    <row r="15190">
      <c r="B15190" s="9" t="n">
        <v>15188</v>
      </c>
      <c r="C15190" s="10" t="inlineStr">
        <is>
          <t>Giám đốc Dịch vụ khách hàng cao cấp - BVBank Đắk Nông - KV Tây Nguyên</t>
        </is>
      </c>
      <c r="D15190" s="10" t="inlineStr">
        <is>
          <t>BVBank - Ngân hàng Bản Việt</t>
        </is>
      </c>
      <c r="E15190" s="10" t="inlineStr">
        <is>
          <t>Lương:Cạnh tranh</t>
        </is>
      </c>
      <c r="F15190" s="10" t="inlineStr">
        <is>
          <t>Dak Nông</t>
        </is>
      </c>
      <c r="G15190" s="10" t="inlineStr">
        <is>
          <t>03-04-2026</t>
        </is>
      </c>
      <c r="H15190" s="10" t="inlineStr">
        <is>
          <t>03/04/2026</t>
        </is>
      </c>
      <c r="I15190" s="10" t="inlineStr">
        <is>
          <t>17/03/2026</t>
        </is>
      </c>
      <c r="J15190" s="10" t="inlineStr">
        <is>
          <t>Ngân hàng, Tài chính / Đầu tư, Dịch vụ khách hàng</t>
        </is>
      </c>
      <c r="K15190" s="10" t="inlineStr">
        <is>
          <t>2 - 3 Năm</t>
        </is>
      </c>
      <c r="L15190" s="11">
        <f>HYPERLINK("https://careerviet.vn/vi/tim-viec-lam/giam-doc-dich-vu-khach-hang-cao-cap-bvbank-dak-nong-kv-tay-nguyen.35C6AE49.html","Xem chi tiết")</f>
        <v/>
      </c>
      <c r="M15190" s="10" t="n"/>
    </row>
    <row r="15191">
      <c r="B15191" s="7" t="n">
        <v>15189</v>
      </c>
      <c r="C15191" t="inlineStr">
        <is>
          <t>Kế toán nội bộ</t>
        </is>
      </c>
      <c r="D15191" t="inlineStr">
        <is>
          <t>Công ty CP Công nghệ giáo dục Trường học trực tuyến (ONSCHOOL)</t>
        </is>
      </c>
      <c r="E15191" t="inlineStr">
        <is>
          <t>Lương:8 Tr - 12 Tr VND</t>
        </is>
      </c>
      <c r="F15191" t="inlineStr">
        <is>
          <t>Hà Nội</t>
        </is>
      </c>
      <c r="G15191" t="inlineStr">
        <is>
          <t>31-03-2026</t>
        </is>
      </c>
      <c r="H15191" t="inlineStr">
        <is>
          <t>31/03/2026</t>
        </is>
      </c>
      <c r="I15191" t="inlineStr">
        <is>
          <t>17/03/2026</t>
        </is>
      </c>
      <c r="J15191" t="inlineStr">
        <is>
          <t>Kế toán / Kiểm toán, Giáo dục / Đào tạo</t>
        </is>
      </c>
      <c r="K15191" t="inlineStr">
        <is>
          <t>Lên đến 1 Năm</t>
        </is>
      </c>
      <c r="L15191" s="8">
        <f>HYPERLINK("https://careerviet.vn/vi/tim-viec-lam/ke-toan-noi-bo.35C6AE4B.html","Xem chi tiết")</f>
        <v/>
      </c>
    </row>
    <row r="15192">
      <c r="B15192" s="9" t="n">
        <v>15190</v>
      </c>
      <c r="C15192" s="10" t="inlineStr">
        <is>
          <t>Chuyên viên Phân tích dữ liệu (Data Analyst)</t>
        </is>
      </c>
      <c r="D15192" s="10" t="inlineStr">
        <is>
          <t>Tổng Công ty Cổ phần Công trình Viettel</t>
        </is>
      </c>
      <c r="E15192" s="10" t="inlineStr">
        <is>
          <t>Lương:Cạnh tranh</t>
        </is>
      </c>
      <c r="F15192" s="10" t="inlineStr">
        <is>
          <t>Hà Nội</t>
        </is>
      </c>
      <c r="G15192" s="10" t="inlineStr">
        <is>
          <t>03-04-2026</t>
        </is>
      </c>
      <c r="H15192" s="10" t="inlineStr">
        <is>
          <t>03/04/2026</t>
        </is>
      </c>
      <c r="I15192" s="10" t="inlineStr">
        <is>
          <t>17/03/2026</t>
        </is>
      </c>
      <c r="J15192" s="10" t="inlineStr">
        <is>
          <t>Bán hàng / Kinh doanh, Bưu chính viễn thông, CNTT - Phần cứng / Mạng</t>
        </is>
      </c>
      <c r="K15192" s="10" t="inlineStr">
        <is>
          <t>2 - 4 Năm</t>
        </is>
      </c>
      <c r="L15192" s="11">
        <f>HYPERLINK("https://careerviet.vn/vi/tim-viec-lam/chuyen-vien-phan-tich-du-lieu-data-analyst.35C6AE69.html","Xem chi tiết")</f>
        <v/>
      </c>
      <c r="M15192" s="10" t="n"/>
    </row>
    <row r="15193">
      <c r="B15193" s="7" t="n">
        <v>15191</v>
      </c>
      <c r="C15193" t="inlineStr">
        <is>
          <t>Nhân viên báo cáo sản xuất</t>
        </is>
      </c>
      <c r="D15193" t="inlineStr">
        <is>
          <t>CÔNG TY CỔ PHẦN BAO BÌ BIÊN HÒA</t>
        </is>
      </c>
      <c r="E15193" t="inlineStr">
        <is>
          <t>Lương:12 Tr - 14 Tr VND</t>
        </is>
      </c>
      <c r="F15193" t="inlineStr">
        <is>
          <t>Đồng Nai</t>
        </is>
      </c>
      <c r="G15193" t="inlineStr">
        <is>
          <t>04-04-2026</t>
        </is>
      </c>
      <c r="H15193" t="inlineStr">
        <is>
          <t>04/04/2026</t>
        </is>
      </c>
      <c r="I15193" t="inlineStr">
        <is>
          <t>17/03/2026</t>
        </is>
      </c>
      <c r="J15193" t="inlineStr">
        <is>
          <t>Kế toán / Kiểm toán, Sản xuất / Vận hành sản xuất, Thống kê</t>
        </is>
      </c>
      <c r="K15193" t="inlineStr">
        <is>
          <t>2 - 3 Năm</t>
        </is>
      </c>
      <c r="L15193" s="8">
        <f>HYPERLINK("https://careerviet.vn/vi/tim-viec-lam/nhan-vien-bao-cao-san-xuat.35C6ADEF.html","Xem chi tiết")</f>
        <v/>
      </c>
    </row>
    <row r="15194">
      <c r="B15194" s="9" t="n">
        <v>15192</v>
      </c>
      <c r="C15194" s="10" t="inlineStr">
        <is>
          <t>Kỹ sư hệ thống</t>
        </is>
      </c>
      <c r="D15194" s="10" t="inlineStr">
        <is>
          <t>CÔNG TY CỔ PHẦN CÔNG NGHỆ SOTATEK VIỆT NAM</t>
        </is>
      </c>
      <c r="E15194" s="10" t="inlineStr">
        <is>
          <t>Lương:Cạnh tranh</t>
        </is>
      </c>
      <c r="F15194" s="10" t="inlineStr">
        <is>
          <t>Ninh Thuận</t>
        </is>
      </c>
      <c r="G15194" s="10" t="inlineStr">
        <is>
          <t>31-03-2026</t>
        </is>
      </c>
      <c r="H15194" s="10" t="inlineStr">
        <is>
          <t>31/03/2026</t>
        </is>
      </c>
      <c r="I15194" s="10" t="inlineStr">
        <is>
          <t>17/03/2026</t>
        </is>
      </c>
      <c r="J15194" s="10" t="inlineStr">
        <is>
          <t>An toàn lao động, Cơ khí / Ô tô / Tự động hóa</t>
        </is>
      </c>
      <c r="K15194" s="10" t="inlineStr">
        <is>
          <t>Trên 2 Năm</t>
        </is>
      </c>
      <c r="L15194" s="11">
        <f>HYPERLINK("https://careerviet.vn/vi/tim-viec-lam/ky-su-he-thong.35C6AE4A.html","Xem chi tiết")</f>
        <v/>
      </c>
      <c r="M15194" s="10" t="n"/>
    </row>
    <row r="15195">
      <c r="B15195" s="7" t="n">
        <v>15193</v>
      </c>
      <c r="C15195" t="inlineStr">
        <is>
          <t>Sale Admin</t>
        </is>
      </c>
      <c r="D15195" t="inlineStr">
        <is>
          <t>CÔNG TY TNHH DV HỒ GIA PHÁT</t>
        </is>
      </c>
      <c r="E15195" t="inlineStr">
        <is>
          <t>Lương:Cạnh tranh</t>
        </is>
      </c>
      <c r="F15195" t="inlineStr">
        <is>
          <t>Hồ Chí Minh</t>
        </is>
      </c>
      <c r="G15195" t="inlineStr">
        <is>
          <t>04-04-2026</t>
        </is>
      </c>
      <c r="H15195" t="inlineStr">
        <is>
          <t>04/04/2026</t>
        </is>
      </c>
      <c r="I15195" t="inlineStr">
        <is>
          <t>17/03/2026</t>
        </is>
      </c>
      <c r="J15195" t="inlineStr">
        <is>
          <t>Bán hàng / Kinh doanh, Bán Hàng Kỹ Thuật, Hành chính / Thư ký</t>
        </is>
      </c>
      <c r="K15195" t="inlineStr">
        <is>
          <t>Trên 1 Năm</t>
        </is>
      </c>
      <c r="L15195" s="8">
        <f>HYPERLINK("https://careerviet.vn/vi/tim-viec-lam/sale-admin.35C6AE3C.html","Xem chi tiết")</f>
        <v/>
      </c>
    </row>
    <row r="15196">
      <c r="B15196" s="9" t="n">
        <v>15194</v>
      </c>
      <c r="C15196" s="10" t="inlineStr">
        <is>
          <t>Nhân viên bảo trì</t>
        </is>
      </c>
      <c r="D15196" s="10" t="inlineStr">
        <is>
          <t>CÔNG TY CỔ PHẦN NHỰA TÁI CHẾ DUY TÂN</t>
        </is>
      </c>
      <c r="E15196" s="10" t="inlineStr">
        <is>
          <t>Lương:9 Tr - 11 Tr VND</t>
        </is>
      </c>
      <c r="F15196" s="10" t="inlineStr">
        <is>
          <t>Long AnVĩnh Long</t>
        </is>
      </c>
      <c r="G15196" s="10" t="inlineStr">
        <is>
          <t>31-03-2026</t>
        </is>
      </c>
      <c r="H15196" s="10" t="inlineStr">
        <is>
          <t>31/03/2026</t>
        </is>
      </c>
      <c r="I15196" s="10" t="inlineStr">
        <is>
          <t>17/03/2026</t>
        </is>
      </c>
      <c r="J15196" s="10" t="inlineStr">
        <is>
          <t>Cơ khí / Ô tô / Tự động hóa, Bảo trì / Sửa chữa, Điện / Điện tử / Điện lạnh / Điện công nghiệp</t>
        </is>
      </c>
      <c r="K15196" s="10" t="inlineStr">
        <is>
          <t>N/A</t>
        </is>
      </c>
      <c r="L15196" s="11">
        <f>HYPERLINK("https://careerviet.vn/vi/tim-viec-lam/nhan-vien-bao-tri.35C6AC77.html","Xem chi tiết")</f>
        <v/>
      </c>
      <c r="M15196" s="10" t="n"/>
    </row>
    <row r="15197">
      <c r="B15197" s="7" t="n">
        <v>15195</v>
      </c>
      <c r="C15197" t="inlineStr">
        <is>
          <t>Thủ kho - Đồng Nai</t>
        </is>
      </c>
      <c r="D15197" t="inlineStr">
        <is>
          <t>Công Ty Cổ Phần Thép Việt Xô Hà Nội</t>
        </is>
      </c>
      <c r="E15197" t="inlineStr">
        <is>
          <t>Lương:9,5 Tr - 11 Tr VND</t>
        </is>
      </c>
      <c r="F15197" t="inlineStr">
        <is>
          <t>Đồng Nai</t>
        </is>
      </c>
      <c r="G15197" t="inlineStr">
        <is>
          <t>03-04-2026</t>
        </is>
      </c>
      <c r="H15197" t="inlineStr">
        <is>
          <t>03/04/2026</t>
        </is>
      </c>
      <c r="I15197" t="inlineStr">
        <is>
          <t>17/03/2026</t>
        </is>
      </c>
      <c r="J15197" t="inlineStr">
        <is>
          <t>Vận chuyển / Giao nhận / Kho vận</t>
        </is>
      </c>
      <c r="K15197" t="inlineStr">
        <is>
          <t>1 - 2 Năm</t>
        </is>
      </c>
      <c r="L15197" s="8">
        <f>HYPERLINK("https://careerviet.vn/vi/tim-viec-lam/thu-kho-dong-nai.35C6AE3A.html","Xem chi tiết")</f>
        <v/>
      </c>
    </row>
    <row r="15198">
      <c r="B15198" s="9" t="n">
        <v>15196</v>
      </c>
      <c r="C15198" s="10" t="inlineStr">
        <is>
          <t>Planning Assistant  Manager</t>
        </is>
      </c>
      <c r="D15198" s="10" t="inlineStr">
        <is>
          <t>Vietnam Furniture Resources (VFR)</t>
        </is>
      </c>
      <c r="E15198" s="10" t="inlineStr">
        <is>
          <t>Lương:Cạnh tranh</t>
        </is>
      </c>
      <c r="F15198" s="10" t="inlineStr">
        <is>
          <t>Bình Dương</t>
        </is>
      </c>
      <c r="G15198" s="10" t="inlineStr">
        <is>
          <t>05-04-2026</t>
        </is>
      </c>
      <c r="H15198" s="10" t="inlineStr">
        <is>
          <t>05/04/2026</t>
        </is>
      </c>
      <c r="I15198" s="10" t="inlineStr">
        <is>
          <t>17/03/2026</t>
        </is>
      </c>
      <c r="J15198" s="10" t="inlineStr">
        <is>
          <t>Thu mua / Vật tư</t>
        </is>
      </c>
      <c r="K15198" s="10" t="inlineStr">
        <is>
          <t>Chưa có kinh nghiệm</t>
        </is>
      </c>
      <c r="L15198" s="11">
        <f>HYPERLINK("https://careerviet.vn/vi/tim-viec-lam/planning-assistant-manager.35C6ABF9.html","Xem chi tiết")</f>
        <v/>
      </c>
      <c r="M15198" s="10" t="n"/>
    </row>
    <row r="15199">
      <c r="B15199" s="7" t="n">
        <v>15197</v>
      </c>
      <c r="C15199" t="inlineStr">
        <is>
          <t>Tuyển Gấp Nhân viên Telesale thẩm mỹ</t>
        </is>
      </c>
      <c r="D15199" t="inlineStr">
        <is>
          <t>Viện Thẩm mỹ y khoa Dr Hải Lê</t>
        </is>
      </c>
      <c r="E15199" t="inlineStr">
        <is>
          <t>Lương:12 Tr - 20 Tr VND</t>
        </is>
      </c>
      <c r="F15199" t="inlineStr">
        <is>
          <t>Hà Nội</t>
        </is>
      </c>
      <c r="G15199" t="inlineStr">
        <is>
          <t>18-04-2026</t>
        </is>
      </c>
      <c r="H15199" t="inlineStr">
        <is>
          <t>18/04/2026</t>
        </is>
      </c>
      <c r="I15199" t="inlineStr">
        <is>
          <t>17/03/2026</t>
        </is>
      </c>
      <c r="J15199" t="inlineStr">
        <is>
          <t>Tiếp thị trực tuyến, Y tế / Chăm sóc sức khỏe / Thẩm mỹ / Làm đẹp, Dịch vụ khách hàng</t>
        </is>
      </c>
      <c r="K15199" t="inlineStr">
        <is>
          <t>1 - 5 Năm</t>
        </is>
      </c>
      <c r="L15199" s="8">
        <f>HYPERLINK("https://careerviet.vn/vi/tim-viec-lam/tuyen-gap-nhan-vien-telesale-tham-my.35C6ACA7.html","Xem chi tiết")</f>
        <v/>
      </c>
    </row>
    <row r="15200">
      <c r="B15200" s="9" t="n">
        <v>15198</v>
      </c>
      <c r="C15200" s="10" t="inlineStr">
        <is>
          <t>[Rạch Giá - Kiên Giang] Tuyển Nhân Viên Bán Hàng - Chuỗi Cửa Hàng Bán Lẻ Thiết Bị Sức Khỏe</t>
        </is>
      </c>
      <c r="D15200" s="10" t="inlineStr">
        <is>
          <t>Công Ty TNHH XNK Phát Triển Đông Dương</t>
        </is>
      </c>
      <c r="E15200" s="10" t="inlineStr">
        <is>
          <t>Lương:12 Tr - 20 Tr VND</t>
        </is>
      </c>
      <c r="F15200" s="10" t="inlineStr">
        <is>
          <t>Kiên Giang</t>
        </is>
      </c>
      <c r="G15200" s="10" t="inlineStr">
        <is>
          <t>09-04-2026</t>
        </is>
      </c>
      <c r="H15200" s="10" t="inlineStr">
        <is>
          <t>09/04/2026</t>
        </is>
      </c>
      <c r="I15200" s="10" t="inlineStr">
        <is>
          <t>17/03/2026</t>
        </is>
      </c>
      <c r="J15200" s="10" t="inlineStr">
        <is>
          <t>Bán lẻ / Bán sỉ, Bán hàng / Kinh doanh, Tư vấn</t>
        </is>
      </c>
      <c r="K15200" s="10" t="inlineStr">
        <is>
          <t>N/A</t>
        </is>
      </c>
      <c r="L15200" s="11">
        <f>HYPERLINK("https://careerviet.vn/vi/tim-viec-lam/rach-gia-kien-giang-tuyen-nhan-vien-ban-hang-chuoi-cua-hang-ban-le-thiet-bi-suc-khoe.35C6AC15.html","Xem chi tiết")</f>
        <v/>
      </c>
      <c r="M15200" s="10" t="n"/>
    </row>
    <row r="15201">
      <c r="B15201" s="7" t="n">
        <v>15199</v>
      </c>
      <c r="C15201" t="inlineStr">
        <is>
          <t>Kỹ Sư R&amp;D Gỗ</t>
        </is>
      </c>
      <c r="D15201" t="inlineStr">
        <is>
          <t>Tập Đoàn Kim Tín</t>
        </is>
      </c>
      <c r="E15201" t="inlineStr">
        <is>
          <t>Lương:Cạnh tranh</t>
        </is>
      </c>
      <c r="F15201" t="inlineStr">
        <is>
          <t>Bình Phước</t>
        </is>
      </c>
      <c r="G15201" t="inlineStr">
        <is>
          <t>03-04-2026</t>
        </is>
      </c>
      <c r="H15201" t="inlineStr">
        <is>
          <t>03/04/2026</t>
        </is>
      </c>
      <c r="I15201" t="inlineStr">
        <is>
          <t>17/03/2026</t>
        </is>
      </c>
      <c r="J15201" t="inlineStr">
        <is>
          <t>Sản xuất / Vận hành sản xuất, Hóa học, Nội ngoại thất</t>
        </is>
      </c>
      <c r="K15201" t="inlineStr">
        <is>
          <t>Trên 1 Năm</t>
        </is>
      </c>
      <c r="L15201" s="8">
        <f>HYPERLINK("https://careerviet.vn/vi/tim-viec-lam/ky-su-r-d-go.35C6AC98.html","Xem chi tiết")</f>
        <v/>
      </c>
    </row>
    <row r="15202">
      <c r="B15202" s="9" t="n">
        <v>15200</v>
      </c>
      <c r="C15202" s="10" t="inlineStr">
        <is>
          <t>Trưởng phòng Tư vấn</t>
        </is>
      </c>
      <c r="D15202" s="10" t="inlineStr">
        <is>
          <t>Hoàn Mỹ Travel - Công Ty TNHH Dịch Vụ Du Lịch Hoàn Mỹ</t>
        </is>
      </c>
      <c r="E15202" s="10" t="inlineStr">
        <is>
          <t>Lương:Cạnh tranh</t>
        </is>
      </c>
      <c r="F15202" s="10" t="inlineStr">
        <is>
          <t>Hồ Chí Minh</t>
        </is>
      </c>
      <c r="G15202" s="10" t="inlineStr">
        <is>
          <t>15-04-2026</t>
        </is>
      </c>
      <c r="H15202" s="10" t="inlineStr">
        <is>
          <t>15/04/2026</t>
        </is>
      </c>
      <c r="I15202" s="10" t="inlineStr">
        <is>
          <t>17/03/2026</t>
        </is>
      </c>
      <c r="J15202" s="10" t="inlineStr">
        <is>
          <t>Bán hàng / Kinh doanh, Du lịch</t>
        </is>
      </c>
      <c r="K15202" s="10" t="inlineStr">
        <is>
          <t>5 - 10 Năm</t>
        </is>
      </c>
      <c r="L15202" s="11">
        <f>HYPERLINK("https://careerviet.vn/vi/tim-viec-lam/truong-phong-tu-van.35C6AE61.html","Xem chi tiết")</f>
        <v/>
      </c>
      <c r="M15202" s="10" t="n"/>
    </row>
    <row r="15203">
      <c r="B15203" s="7" t="n">
        <v>15201</v>
      </c>
      <c r="C15203" t="inlineStr">
        <is>
          <t>SALES - ASSISTANT MANAGER (Japanese Logistics Company)</t>
        </is>
      </c>
      <c r="D15203" t="inlineStr">
        <is>
          <t>Công ty LD TNHH Nippon Express (Việt Nam)</t>
        </is>
      </c>
      <c r="E15203" t="inlineStr">
        <is>
          <t>Lương:Cạnh tranh</t>
        </is>
      </c>
      <c r="F15203" t="inlineStr">
        <is>
          <t>Hồ Chí Minh</t>
        </is>
      </c>
      <c r="G15203" t="inlineStr">
        <is>
          <t>04-04-2026</t>
        </is>
      </c>
      <c r="H15203" t="inlineStr">
        <is>
          <t>04/04/2026</t>
        </is>
      </c>
      <c r="I15203" t="inlineStr">
        <is>
          <t>17/03/2026</t>
        </is>
      </c>
      <c r="J15203" t="inlineStr">
        <is>
          <t>Tiếp thị / Marketing, Bán hàng / Kinh doanh, Xuất nhập khẩu</t>
        </is>
      </c>
      <c r="K15203" t="inlineStr">
        <is>
          <t>3 - 5 Năm</t>
        </is>
      </c>
      <c r="L15203" s="8">
        <f>HYPERLINK("https://careerviet.vn/vi/tim-viec-lam/sales-assistant-manager-japanese-logistics-company.35C6AC88.html","Xem chi tiết")</f>
        <v/>
      </c>
    </row>
    <row r="15204">
      <c r="B15204" s="9" t="n">
        <v>15202</v>
      </c>
      <c r="C15204" s="10" t="inlineStr">
        <is>
          <t>Digital Transformation Manager</t>
        </is>
      </c>
      <c r="D15204" s="10" t="inlineStr">
        <is>
          <t>HR Vietnam’s ESS Client</t>
        </is>
      </c>
      <c r="E15204" s="10" t="inlineStr">
        <is>
          <t>Lương:Cạnh tranh</t>
        </is>
      </c>
      <c r="F15204" s="10" t="inlineStr">
        <is>
          <t>Hồ Chí Minh</t>
        </is>
      </c>
      <c r="G15204" s="10" t="inlineStr">
        <is>
          <t>03-04-2026</t>
        </is>
      </c>
      <c r="H15204" s="10" t="inlineStr">
        <is>
          <t>03/04/2026</t>
        </is>
      </c>
      <c r="I15204" s="10" t="inlineStr">
        <is>
          <t>17/03/2026</t>
        </is>
      </c>
      <c r="J15204" s="10" t="inlineStr">
        <is>
          <t>CNTT - Phần mềm, Tiếp thị trực tuyến, Quảng cáo / Đối ngoại / Truyền Thông</t>
        </is>
      </c>
      <c r="K15204" s="10" t="inlineStr">
        <is>
          <t>5 - 15 Năm</t>
        </is>
      </c>
      <c r="L15204" s="11">
        <f>HYPERLINK("https://careerviet.vn/vi/tim-viec-lam/digital-transformation-manager.35C6AE03.html","Xem chi tiết")</f>
        <v/>
      </c>
      <c r="M15204" s="10" t="n"/>
    </row>
    <row r="15205">
      <c r="B15205" s="7" t="n">
        <v>15203</v>
      </c>
      <c r="C15205" t="inlineStr">
        <is>
          <t>Sale Admin B2B</t>
        </is>
      </c>
      <c r="D15205" t="inlineStr">
        <is>
          <t>CÔNG TY TNHH MỘT NGÔI SAO THÔNG MINH VIỆT NAM</t>
        </is>
      </c>
      <c r="E15205" t="inlineStr">
        <is>
          <t>Lương:8 Tr - 12 Tr VND</t>
        </is>
      </c>
      <c r="F15205" t="inlineStr">
        <is>
          <t>Hà Nội</t>
        </is>
      </c>
      <c r="G15205" t="inlineStr">
        <is>
          <t>04-04-2026</t>
        </is>
      </c>
      <c r="H15205" t="inlineStr">
        <is>
          <t>04/04/2026</t>
        </is>
      </c>
      <c r="I15205" t="inlineStr">
        <is>
          <t>17/03/2026</t>
        </is>
      </c>
      <c r="J15205" t="inlineStr">
        <is>
          <t>Bán hàng / Kinh doanh, Tư vấn</t>
        </is>
      </c>
      <c r="K15205" t="inlineStr">
        <is>
          <t>Chưa có kinh nghiệm</t>
        </is>
      </c>
      <c r="L15205" s="8">
        <f>HYPERLINK("https://careerviet.vn/vi/tim-viec-lam/sale-admin-b2b.35C6AE35.html","Xem chi tiết")</f>
        <v/>
      </c>
    </row>
    <row r="15206">
      <c r="B15206" s="9" t="n">
        <v>15204</v>
      </c>
      <c r="C15206" s="10" t="inlineStr">
        <is>
          <t>Kỹ Sư Bảo Trì Cơ Khí</t>
        </is>
      </c>
      <c r="D15206" s="10" t="inlineStr">
        <is>
          <t>Tập Đoàn Kim Tín</t>
        </is>
      </c>
      <c r="E15206" s="10" t="inlineStr">
        <is>
          <t>Lương:Cạnh tranh</t>
        </is>
      </c>
      <c r="F15206" s="10" t="inlineStr">
        <is>
          <t>Bình Phước</t>
        </is>
      </c>
      <c r="G15206" s="10" t="inlineStr">
        <is>
          <t>03-04-2026</t>
        </is>
      </c>
      <c r="H15206" s="10" t="inlineStr">
        <is>
          <t>03/04/2026</t>
        </is>
      </c>
      <c r="I15206" s="10" t="inlineStr">
        <is>
          <t>17/03/2026</t>
        </is>
      </c>
      <c r="J15206" s="10" t="inlineStr">
        <is>
          <t>Cơ khí / Ô tô / Tự động hóa, Sản xuất / Vận hành sản xuất, Nội ngoại thất</t>
        </is>
      </c>
      <c r="K15206" s="10" t="inlineStr">
        <is>
          <t>Trên 1 Năm</t>
        </is>
      </c>
      <c r="L15206" s="11">
        <f>HYPERLINK("https://careerviet.vn/vi/tim-viec-lam/ky-su-bao-tri-co-khi.35C6ACA2.html","Xem chi tiết")</f>
        <v/>
      </c>
      <c r="M15206" s="10" t="n"/>
    </row>
    <row r="15207">
      <c r="B15207" s="7" t="n">
        <v>15205</v>
      </c>
      <c r="C15207" t="inlineStr">
        <is>
          <t>Thực tập sinh tuyển dụng</t>
        </is>
      </c>
      <c r="D15207" t="inlineStr">
        <is>
          <t>CÔNG TY TNHH THƯƠNG MẠI VÀ DỊCH VỤ TALAD THAI</t>
        </is>
      </c>
      <c r="E15207" t="inlineStr">
        <is>
          <t>Lương:2,5 Tr - 4 Tr VND</t>
        </is>
      </c>
      <c r="F15207" t="inlineStr">
        <is>
          <t>Hồ Chí Minh</t>
        </is>
      </c>
      <c r="G15207" t="inlineStr">
        <is>
          <t>03-04-2026</t>
        </is>
      </c>
      <c r="H15207" t="inlineStr">
        <is>
          <t>03/04/2026</t>
        </is>
      </c>
      <c r="I15207" t="inlineStr">
        <is>
          <t>17/03/2026</t>
        </is>
      </c>
      <c r="J15207" t="inlineStr">
        <is>
          <t>Nhân sự</t>
        </is>
      </c>
      <c r="K15207" t="inlineStr">
        <is>
          <t>N/A</t>
        </is>
      </c>
      <c r="L15207" s="8">
        <f>HYPERLINK("https://careerviet.vn/vi/tim-viec-lam/thuc-tap-sinh-tuyen-dung.35C6ABFE.html","Xem chi tiết")</f>
        <v/>
      </c>
    </row>
    <row r="15208">
      <c r="B15208" s="9" t="n">
        <v>15206</v>
      </c>
      <c r="C15208" s="10" t="inlineStr">
        <is>
          <t>[TP Sóc Trăng] Tuyển Nhân Viên Bán Hàng - Chuỗi Cửa Hàng Bán Lẻ Thiết Bị Sức Khỏe</t>
        </is>
      </c>
      <c r="D15208" s="10" t="inlineStr">
        <is>
          <t>Công Ty TNHH XNK Phát Triển Đông Dương</t>
        </is>
      </c>
      <c r="E15208" s="10" t="inlineStr">
        <is>
          <t>Lương:12 Tr - 20 Tr VND</t>
        </is>
      </c>
      <c r="F15208" s="10" t="inlineStr">
        <is>
          <t>Sóc Trăng</t>
        </is>
      </c>
      <c r="G15208" s="10" t="inlineStr">
        <is>
          <t>09-04-2026</t>
        </is>
      </c>
      <c r="H15208" s="10" t="inlineStr">
        <is>
          <t>09/04/2026</t>
        </is>
      </c>
      <c r="I15208" s="10" t="inlineStr">
        <is>
          <t>17/03/2026</t>
        </is>
      </c>
      <c r="J15208" s="10" t="inlineStr">
        <is>
          <t>Bán lẻ / Bán sỉ, Bán hàng / Kinh doanh, Tư vấn</t>
        </is>
      </c>
      <c r="K15208" s="10" t="inlineStr">
        <is>
          <t>N/A</t>
        </is>
      </c>
      <c r="L15208" s="11">
        <f>HYPERLINK("https://careerviet.vn/vi/tim-viec-lam/tp-soc-trang-tuyen-nhan-vien-ban-hang-chuoi-cua-hang-ban-le-thiet-bi-suc-khoe.35C6AC21.html","Xem chi tiết")</f>
        <v/>
      </c>
      <c r="M15208" s="10" t="n"/>
    </row>
    <row r="15209">
      <c r="B15209" s="7" t="n">
        <v>15207</v>
      </c>
      <c r="C15209" t="inlineStr">
        <is>
          <t>Interpreter/Translator (Japanese - Vietnamese)</t>
        </is>
      </c>
      <c r="D15209" t="inlineStr">
        <is>
          <t>Công Ty TNHH Yokohama Tyre Việt Nam</t>
        </is>
      </c>
      <c r="E15209" t="inlineStr">
        <is>
          <t>Lương:Cạnh tranh</t>
        </is>
      </c>
      <c r="F15209" t="inlineStr">
        <is>
          <t>Bình Dương</t>
        </is>
      </c>
      <c r="G15209" t="inlineStr">
        <is>
          <t>03-04-2026</t>
        </is>
      </c>
      <c r="H15209" t="inlineStr">
        <is>
          <t>03/04/2026</t>
        </is>
      </c>
      <c r="I15209" t="inlineStr">
        <is>
          <t>17/03/2026</t>
        </is>
      </c>
      <c r="J15209" t="inlineStr">
        <is>
          <t>Biên phiên dịch, Hành chính / Thư ký, Sản xuất / Vận hành sản xuất</t>
        </is>
      </c>
      <c r="K15209" t="inlineStr">
        <is>
          <t>Trên 2 Năm</t>
        </is>
      </c>
      <c r="L15209" s="8">
        <f>HYPERLINK("https://careerviet.vn/vi/tim-viec-lam/interpreter-translator-japanese-vietnamese.35C6ABAF.html","Xem chi tiết")</f>
        <v/>
      </c>
    </row>
    <row r="15210">
      <c r="B15210" s="9" t="n">
        <v>15208</v>
      </c>
      <c r="C15210" s="10" t="inlineStr">
        <is>
          <t>Chuyên viên kế toán tổng hợp</t>
        </is>
      </c>
      <c r="D15210" s="10" t="inlineStr">
        <is>
          <t>Linfox Logistics Vietnam</t>
        </is>
      </c>
      <c r="E15210" s="10" t="inlineStr">
        <is>
          <t>Lương:Cạnh tranh</t>
        </is>
      </c>
      <c r="F15210" s="10" t="inlineStr">
        <is>
          <t>Hồ Chí Minh</t>
        </is>
      </c>
      <c r="G15210" s="10" t="inlineStr">
        <is>
          <t>03-04-2026</t>
        </is>
      </c>
      <c r="H15210" s="10" t="inlineStr">
        <is>
          <t>03/04/2026</t>
        </is>
      </c>
      <c r="I15210" s="10" t="inlineStr">
        <is>
          <t>17/03/2026</t>
        </is>
      </c>
      <c r="J15210" s="10" t="inlineStr">
        <is>
          <t>Vận chuyển / Giao nhận / Kho vận, Kế toán / Kiểm toán</t>
        </is>
      </c>
      <c r="K15210" s="10" t="inlineStr">
        <is>
          <t>1 - 2 Năm</t>
        </is>
      </c>
      <c r="L15210" s="11">
        <f>HYPERLINK("https://careerviet.vn/vi/tim-viec-lam/chuyen-vien-ke-toan-tong-hop.35C6AC91.html","Xem chi tiết")</f>
        <v/>
      </c>
      <c r="M15210" s="10" t="n"/>
    </row>
    <row r="15211">
      <c r="B15211" s="7" t="n">
        <v>15209</v>
      </c>
      <c r="C15211" t="inlineStr">
        <is>
          <t>(13-20TR) Nhân viên kinh doanh TẠI HÀ NỘI</t>
        </is>
      </c>
      <c r="D15211" t="inlineStr">
        <is>
          <t>CÔNG TY CỔ PHẦN TẬP ĐOÀN DEKKO</t>
        </is>
      </c>
      <c r="E15211" t="inlineStr">
        <is>
          <t>Lương:13 Tr - 20 Tr VND</t>
        </is>
      </c>
      <c r="F15211" t="inlineStr">
        <is>
          <t>Hà Nội</t>
        </is>
      </c>
      <c r="G15211" t="inlineStr">
        <is>
          <t>31-03-2026</t>
        </is>
      </c>
      <c r="H15211" t="inlineStr">
        <is>
          <t>31/03/2026</t>
        </is>
      </c>
      <c r="I15211" t="inlineStr">
        <is>
          <t>17/03/2026</t>
        </is>
      </c>
      <c r="J15211" t="inlineStr">
        <is>
          <t>Bán hàng / Kinh doanh, Dịch vụ khách hàng</t>
        </is>
      </c>
      <c r="K15211" t="inlineStr">
        <is>
          <t>Lên đến 1 Năm</t>
        </is>
      </c>
      <c r="L15211" s="8">
        <f>HYPERLINK("https://careerviet.vn/vi/tim-viec-lam/13-20tr-nhan-vien-kinh-doanh-tai-ha-noi.35C6AE26.html","Xem chi tiết")</f>
        <v/>
      </c>
    </row>
    <row r="15212">
      <c r="B15212" s="9" t="n">
        <v>15210</v>
      </c>
      <c r="C15212" s="10" t="inlineStr">
        <is>
          <t>Chuyên viên quan hệ khách hàng doanh nghiệp - RB - MSB - 1D046</t>
        </is>
      </c>
      <c r="D15212" s="10" t="inlineStr">
        <is>
          <t>Ngân hàng Thương mại Cổ phần Hàng Hải Việt Nam (MSB)</t>
        </is>
      </c>
      <c r="E15212" s="10" t="inlineStr">
        <is>
          <t>Lương:Cạnh tranh</t>
        </is>
      </c>
      <c r="F15212" s="10" t="inlineStr">
        <is>
          <t>Thừa Thiên- HuếLâm ĐồngQuảng Ngãi</t>
        </is>
      </c>
      <c r="G15212" s="10" t="inlineStr">
        <is>
          <t>30-04-2026</t>
        </is>
      </c>
      <c r="H15212" s="10" t="inlineStr">
        <is>
          <t>30/04/2026</t>
        </is>
      </c>
      <c r="I15212" s="10" t="inlineStr">
        <is>
          <t>17/03/2026</t>
        </is>
      </c>
      <c r="J15212" s="10" t="inlineStr">
        <is>
          <t>Ngân hàng</t>
        </is>
      </c>
      <c r="K15212" s="10" t="inlineStr">
        <is>
          <t>Trên 1 Năm</t>
        </is>
      </c>
      <c r="L15212" s="11">
        <f>HYPERLINK("https://careerviet.vn/vi/tim-viec-lam/chuyen-vien-quan-he-khach-hang-doanh-nghiep-rb-msb-1d046.35C6AC85.html","Xem chi tiết")</f>
        <v/>
      </c>
      <c r="M15212" s="10" t="n"/>
    </row>
    <row r="15213">
      <c r="B15213" s="7" t="n">
        <v>15211</v>
      </c>
      <c r="C15213" t="inlineStr">
        <is>
          <t>Chuyên viên tuyển dụng phòng nhân sự</t>
        </is>
      </c>
      <c r="D15213" t="inlineStr">
        <is>
          <t>Viện Thẩm mỹ y khoa Dr Hải Lê</t>
        </is>
      </c>
      <c r="E15213" t="inlineStr">
        <is>
          <t>Lương:10 Tr - 15 Tr VND</t>
        </is>
      </c>
      <c r="F15213" t="inlineStr">
        <is>
          <t>Hà Nội</t>
        </is>
      </c>
      <c r="G15213" t="inlineStr">
        <is>
          <t>24-04-2026</t>
        </is>
      </c>
      <c r="H15213" t="inlineStr">
        <is>
          <t>24/04/2026</t>
        </is>
      </c>
      <c r="I15213" t="inlineStr">
        <is>
          <t>17/03/2026</t>
        </is>
      </c>
      <c r="J15213" t="inlineStr">
        <is>
          <t>Y tế / Chăm sóc sức khỏe / Thẩm mỹ / Làm đẹp, Hành chính / Thư ký, Nhân sự</t>
        </is>
      </c>
      <c r="K15213" t="inlineStr">
        <is>
          <t>1 - 3 Năm</t>
        </is>
      </c>
      <c r="L15213" s="8">
        <f>HYPERLINK("https://careerviet.vn/vi/tim-viec-lam/chuyen-vien-tuyen-dung-phong-nhan-su.35C6ABEC.html","Xem chi tiết")</f>
        <v/>
      </c>
    </row>
    <row r="15214">
      <c r="B15214" s="9" t="n">
        <v>15212</v>
      </c>
      <c r="C15214" s="10" t="inlineStr">
        <is>
          <t>Nhân viên Quản lý tài sản (Viện Dưỡng Lão)</t>
        </is>
      </c>
      <c r="D15214" s="10" t="inlineStr">
        <is>
          <t>BỆNH VIỆN ĐA KHOA PHƯƠNG ĐÔNG</t>
        </is>
      </c>
      <c r="E15214" s="10" t="inlineStr">
        <is>
          <t>Lương:11 Tr - 14 Tr VND</t>
        </is>
      </c>
      <c r="F15214" s="10" t="inlineStr">
        <is>
          <t>Hà Nội</t>
        </is>
      </c>
      <c r="G15214" s="10" t="inlineStr">
        <is>
          <t>31-03-2026</t>
        </is>
      </c>
      <c r="H15214" s="10" t="inlineStr">
        <is>
          <t>31/03/2026</t>
        </is>
      </c>
      <c r="I15214" s="10" t="inlineStr">
        <is>
          <t>17/03/2026</t>
        </is>
      </c>
      <c r="J15214" s="10" t="inlineStr">
        <is>
          <t>Kế toán / Kiểm toán, Hành chính / Thư ký, Thống kê</t>
        </is>
      </c>
      <c r="K15214" s="10" t="inlineStr">
        <is>
          <t>Trên 2 Năm</t>
        </is>
      </c>
      <c r="L15214" s="11">
        <f>HYPERLINK("https://careerviet.vn/vi/tim-viec-lam/nhan-vien-quan-ly-tai-san-vien-duong-lao.35C6AB32.html","Xem chi tiết")</f>
        <v/>
      </c>
      <c r="M15214" s="10" t="n"/>
    </row>
    <row r="15215">
      <c r="B15215" s="7" t="n">
        <v>15213</v>
      </c>
      <c r="C15215" t="inlineStr">
        <is>
          <t>Kỹ sư cơ khí chế tạo máy</t>
        </is>
      </c>
      <c r="D15215" t="inlineStr">
        <is>
          <t>CÔNG TY CỔ PHẦN TẬP ĐOÀN KỸ THUẬT VÀ CÔNG NGHIỆP VIỆT NAM TẠI HỒ CHÍ MINH</t>
        </is>
      </c>
      <c r="E15215" t="inlineStr">
        <is>
          <t>Lương:10 Tr - 20 Tr VND</t>
        </is>
      </c>
      <c r="F15215" t="inlineStr">
        <is>
          <t>Bình Dương</t>
        </is>
      </c>
      <c r="G15215" t="inlineStr">
        <is>
          <t>04-04-2026</t>
        </is>
      </c>
      <c r="H15215" t="inlineStr">
        <is>
          <t>04/04/2026</t>
        </is>
      </c>
      <c r="I15215" t="inlineStr">
        <is>
          <t>17/03/2026</t>
        </is>
      </c>
      <c r="J15215" t="inlineStr">
        <is>
          <t>Cơ khí / Ô tô / Tự động hóa, Điện / Điện tử / Điện lạnh / Điện công nghiệp, Bán Hàng Kỹ Thuật</t>
        </is>
      </c>
      <c r="K15215" t="inlineStr">
        <is>
          <t>1 - 2 Năm</t>
        </is>
      </c>
      <c r="L15215" s="8">
        <f>HYPERLINK("https://careerviet.vn/vi/tim-viec-lam/ky-su-co-khi-che-tao-may.35C6ABC7.html","Xem chi tiết")</f>
        <v/>
      </c>
    </row>
    <row r="15216">
      <c r="B15216" s="9" t="n">
        <v>15214</v>
      </c>
      <c r="C15216" s="10" t="inlineStr">
        <is>
          <t>Creative Content Manager</t>
        </is>
      </c>
      <c r="D15216" s="10" t="inlineStr">
        <is>
          <t>Vanity Aesthetics &amp; Beauty Clinic</t>
        </is>
      </c>
      <c r="E15216" s="10" t="inlineStr">
        <is>
          <t>Lương:Cạnh tranh</t>
        </is>
      </c>
      <c r="F15216" s="10" t="inlineStr">
        <is>
          <t>Hồ Chí Minh</t>
        </is>
      </c>
      <c r="G15216" s="10" t="inlineStr">
        <is>
          <t>30-04-2026</t>
        </is>
      </c>
      <c r="H15216" s="10" t="inlineStr">
        <is>
          <t>30/04/2026</t>
        </is>
      </c>
      <c r="I15216" s="10" t="inlineStr">
        <is>
          <t>17/03/2026</t>
        </is>
      </c>
      <c r="J15216" s="10" t="inlineStr">
        <is>
          <t>Tiếp thị / Marketing, Y tế / Chăm sóc sức khỏe / Thẩm mỹ / Làm đẹp</t>
        </is>
      </c>
      <c r="K15216" s="10" t="inlineStr">
        <is>
          <t>3 - 5 Năm</t>
        </is>
      </c>
      <c r="L15216" s="11">
        <f>HYPERLINK("https://careerviet.vn/vi/tim-viec-lam/creative-content-manager.35C6AC96.html","Xem chi tiết")</f>
        <v/>
      </c>
      <c r="M15216" s="10" t="n"/>
    </row>
    <row r="15217">
      <c r="B15217" s="7" t="n">
        <v>15215</v>
      </c>
      <c r="C15217" t="inlineStr">
        <is>
          <t>Nhân viên Kế toán Điện Lạnh (Làm việc Tân Bình)</t>
        </is>
      </c>
      <c r="D15217" t="inlineStr">
        <is>
          <t>Công ty TNHH TOM Group Việt Nam</t>
        </is>
      </c>
      <c r="E15217" t="inlineStr">
        <is>
          <t>Lương:10 Tr - 12 Tr VND</t>
        </is>
      </c>
      <c r="F15217" t="inlineStr">
        <is>
          <t>Hồ Chí Minh</t>
        </is>
      </c>
      <c r="G15217" t="inlineStr">
        <is>
          <t>14-05-2026</t>
        </is>
      </c>
      <c r="H15217" t="inlineStr">
        <is>
          <t>14/05/2026</t>
        </is>
      </c>
      <c r="I15217" t="inlineStr">
        <is>
          <t>17/03/2026</t>
        </is>
      </c>
      <c r="J15217" t="inlineStr">
        <is>
          <t>Kế toán / Kiểm toán</t>
        </is>
      </c>
      <c r="K15217" t="inlineStr">
        <is>
          <t>1 - 2 Năm</t>
        </is>
      </c>
      <c r="L15217" s="8">
        <f>HYPERLINK("https://careerviet.vn/vi/tim-viec-lam/nhan-vien-ke-toan-dien-lanh-lam-viec-tan-binh.35C6AB39.html","Xem chi tiết")</f>
        <v/>
      </c>
    </row>
    <row r="15218">
      <c r="B15218" s="9" t="n">
        <v>15216</v>
      </c>
      <c r="C15218" s="10" t="inlineStr">
        <is>
          <t>Talent Acquisition Executive</t>
        </is>
      </c>
      <c r="D15218" s="10" t="inlineStr">
        <is>
          <t>Công Ty Cổ Phần Goody Group</t>
        </is>
      </c>
      <c r="E15218" s="10" t="inlineStr">
        <is>
          <t>Lương:Cạnh tranh</t>
        </is>
      </c>
      <c r="F15218" s="10" t="inlineStr">
        <is>
          <t>Hồ Chí Minh</t>
        </is>
      </c>
      <c r="G15218" s="10" t="inlineStr">
        <is>
          <t>31-03-2026</t>
        </is>
      </c>
      <c r="H15218" s="10" t="inlineStr">
        <is>
          <t>31/03/2026</t>
        </is>
      </c>
      <c r="I15218" s="10" t="inlineStr">
        <is>
          <t>17/03/2026</t>
        </is>
      </c>
      <c r="J15218" s="10" t="inlineStr">
        <is>
          <t>Thực phẩm &amp; Đồ uống, Bán lẻ / Bán sỉ</t>
        </is>
      </c>
      <c r="K15218" s="10" t="inlineStr">
        <is>
          <t>3 - 4 Năm</t>
        </is>
      </c>
      <c r="L15218" s="11">
        <f>HYPERLINK("https://careerviet.vn/vi/tim-viec-lam/talent-acquisition-executive.35C6AC54.html","Xem chi tiết")</f>
        <v/>
      </c>
      <c r="M15218" s="10" t="n"/>
    </row>
    <row r="15219">
      <c r="B15219" s="7" t="n">
        <v>15217</v>
      </c>
      <c r="C15219" t="inlineStr">
        <is>
          <t>Trực Tổng Đài  Viettel Hòa Lạc Hà Nội</t>
        </is>
      </c>
      <c r="D15219" t="inlineStr">
        <is>
          <t>CÔNG TY CỔ PHẦN TRUYỀN THÔNG KIM CƯƠNG</t>
        </is>
      </c>
      <c r="E15219" t="inlineStr">
        <is>
          <t>Lương:8 Tr - 12 Tr VND</t>
        </is>
      </c>
      <c r="F15219" t="inlineStr">
        <is>
          <t>Hà Nội</t>
        </is>
      </c>
      <c r="G15219" t="inlineStr">
        <is>
          <t>01-04-2026</t>
        </is>
      </c>
      <c r="H15219" t="inlineStr">
        <is>
          <t>01/04/2026</t>
        </is>
      </c>
      <c r="I15219" t="inlineStr">
        <is>
          <t>17/03/2026</t>
        </is>
      </c>
      <c r="J15219" t="inlineStr">
        <is>
          <t>Dịch vụ khách hàng, Tư vấn</t>
        </is>
      </c>
      <c r="K15219" t="inlineStr">
        <is>
          <t>N/A</t>
        </is>
      </c>
      <c r="L15219" s="8">
        <f>HYPERLINK("https://careerviet.vn/vi/tim-viec-lam/truc-tong-dai-viettel-hoa-lac-ha-noi.35C6AC83.html","Xem chi tiết")</f>
        <v/>
      </c>
    </row>
    <row r="15220">
      <c r="B15220" s="9" t="n">
        <v>15218</v>
      </c>
      <c r="C15220" s="10" t="inlineStr">
        <is>
          <t>Trưởng Nhóm Tuyển Sinh (Ocean Dương Nội)</t>
        </is>
      </c>
      <c r="D15220" s="10" t="inlineStr">
        <is>
          <t>Công Ty CP Giáo Dục Đại Dương</t>
        </is>
      </c>
      <c r="E15220" s="10" t="inlineStr">
        <is>
          <t>Lương:Cạnh tranh</t>
        </is>
      </c>
      <c r="F15220" s="10" t="inlineStr">
        <is>
          <t>Hà Nội</t>
        </is>
      </c>
      <c r="G15220" s="10" t="inlineStr">
        <is>
          <t>03-04-2026</t>
        </is>
      </c>
      <c r="H15220" s="10" t="inlineStr">
        <is>
          <t>03/04/2026</t>
        </is>
      </c>
      <c r="I15220" s="10" t="inlineStr">
        <is>
          <t>17/03/2026</t>
        </is>
      </c>
      <c r="J15220" s="10" t="inlineStr">
        <is>
          <t>Tư vấn, Dịch vụ khách hàng, Giáo dục / Đào tạo</t>
        </is>
      </c>
      <c r="K15220" s="10" t="inlineStr">
        <is>
          <t>1 - 2 Năm</t>
        </is>
      </c>
      <c r="L15220" s="11">
        <f>HYPERLINK("https://careerviet.vn/vi/tim-viec-lam/truong-nhom-tuyen-sinh-ocean-duong-noi.35C6AB8E.html","Xem chi tiết")</f>
        <v/>
      </c>
      <c r="M15220" s="10" t="n"/>
    </row>
    <row r="15221">
      <c r="B15221" s="7" t="n">
        <v>15219</v>
      </c>
      <c r="C15221" t="inlineStr">
        <is>
          <t>Nhân viên sàn TMĐT</t>
        </is>
      </c>
      <c r="D15221" t="inlineStr">
        <is>
          <t>Công Ty TNHH Banyan Việt Nam</t>
        </is>
      </c>
      <c r="E15221" t="inlineStr">
        <is>
          <t>Lương:Cạnh tranh</t>
        </is>
      </c>
      <c r="F15221" t="inlineStr">
        <is>
          <t>Hồ Chí Minh</t>
        </is>
      </c>
      <c r="G15221" t="inlineStr">
        <is>
          <t>04-04-2026</t>
        </is>
      </c>
      <c r="H15221" t="inlineStr">
        <is>
          <t>04/04/2026</t>
        </is>
      </c>
      <c r="I15221" t="inlineStr">
        <is>
          <t>17/03/2026</t>
        </is>
      </c>
      <c r="J15221" t="inlineStr">
        <is>
          <t>Bán lẻ / Bán sỉ, Tiếp thị / Marketing, Thương mại điện tử</t>
        </is>
      </c>
      <c r="K15221" t="inlineStr">
        <is>
          <t>2 - 3 Năm</t>
        </is>
      </c>
      <c r="L15221" s="8">
        <f>HYPERLINK("https://careerviet.vn/vi/tim-viec-lam/nhan-vien-san-tmdt.35C6AC84.html","Xem chi tiết")</f>
        <v/>
      </c>
    </row>
    <row r="15222">
      <c r="B15222" s="9" t="n">
        <v>15220</v>
      </c>
      <c r="C15222" s="10" t="inlineStr">
        <is>
          <t>Trưởng Trung Tâm phân phối đa khách hàng- Bắc Ninh</t>
        </is>
      </c>
      <c r="D15222" s="10" t="inlineStr">
        <is>
          <t>Linfox Logistics Vietnam</t>
        </is>
      </c>
      <c r="E15222" s="10" t="inlineStr">
        <is>
          <t>Lương:Cạnh tranh</t>
        </is>
      </c>
      <c r="F15222" s="10" t="inlineStr">
        <is>
          <t>Bắc Ninh</t>
        </is>
      </c>
      <c r="G15222" s="10" t="inlineStr">
        <is>
          <t>04-04-2026</t>
        </is>
      </c>
      <c r="H15222" s="10" t="inlineStr">
        <is>
          <t>04/04/2026</t>
        </is>
      </c>
      <c r="I15222" s="10" t="inlineStr">
        <is>
          <t>17/03/2026</t>
        </is>
      </c>
      <c r="J15222" s="10" t="inlineStr">
        <is>
          <t>Vận chuyển / Giao nhận / Kho vận, Hàng gia dụng / Chăm sóc cá nhân</t>
        </is>
      </c>
      <c r="K15222" s="10" t="inlineStr">
        <is>
          <t>3 - 5 Năm</t>
        </is>
      </c>
      <c r="L15222" s="11">
        <f>HYPERLINK("https://careerviet.vn/vi/tim-viec-lam/truong-trung-tam-phan-phoi-da-khach-hang-bac-ninh.35C6AC6A.html","Xem chi tiết")</f>
        <v/>
      </c>
      <c r="M15222" s="10" t="n"/>
    </row>
    <row r="15223">
      <c r="B15223" s="7" t="n">
        <v>15221</v>
      </c>
      <c r="C15223" t="inlineStr">
        <is>
          <t>Nhân viên Kế toán Giá thành (Làm việc tại Attapue, Lào)</t>
        </is>
      </c>
      <c r="D15223" t="inlineStr">
        <is>
          <t>Công ty CP Thành Thành Công - Biên Hòa</t>
        </is>
      </c>
      <c r="E15223" t="inlineStr">
        <is>
          <t>Lương:Cạnh tranh</t>
        </is>
      </c>
      <c r="F15223" t="inlineStr">
        <is>
          <t>Attapeu</t>
        </is>
      </c>
      <c r="G15223" t="inlineStr">
        <is>
          <t>03-04-2026</t>
        </is>
      </c>
      <c r="H15223" t="inlineStr">
        <is>
          <t>03/04/2026</t>
        </is>
      </c>
      <c r="I15223" t="inlineStr">
        <is>
          <t>17/03/2026</t>
        </is>
      </c>
      <c r="J15223" t="inlineStr">
        <is>
          <t>Kế toán / Kiểm toán, Ngành khác, Tài chính / Đầu tư</t>
        </is>
      </c>
      <c r="K15223" t="inlineStr">
        <is>
          <t>1 - 3 Năm</t>
        </is>
      </c>
      <c r="L15223" s="8">
        <f>HYPERLINK("https://careerviet.vn/vi/tim-viec-lam/nhan-vien-ke-toan-gia-thanh-lam-viec-tai-attapue-lao.35C6AC67.html","Xem chi tiết")</f>
        <v/>
      </c>
    </row>
    <row r="15224">
      <c r="B15224" s="9" t="n">
        <v>15222</v>
      </c>
      <c r="C15224" s="10" t="inlineStr">
        <is>
          <t>HR intern</t>
        </is>
      </c>
      <c r="D15224" s="10" t="inlineStr">
        <is>
          <t>Un-Available LTD Co.,</t>
        </is>
      </c>
      <c r="E15224" s="10" t="inlineStr">
        <is>
          <t>Lương:1 Tr - 1 Tr VND</t>
        </is>
      </c>
      <c r="F15224" s="10" t="inlineStr">
        <is>
          <t>Hồ Chí Minh</t>
        </is>
      </c>
      <c r="G15224" s="10" t="inlineStr">
        <is>
          <t>31-03-2026</t>
        </is>
      </c>
      <c r="H15224" s="10" t="inlineStr">
        <is>
          <t>31/03/2026</t>
        </is>
      </c>
      <c r="I15224" s="10" t="inlineStr">
        <is>
          <t>17/03/2026</t>
        </is>
      </c>
      <c r="J15224" s="10" t="inlineStr">
        <is>
          <t>Nhân sự, Biên phiên dịch, Mới tốt nghiệp / Thực tập</t>
        </is>
      </c>
      <c r="K15224" s="10" t="inlineStr">
        <is>
          <t>N/A</t>
        </is>
      </c>
      <c r="L15224" s="11">
        <f>HYPERLINK("https://careerviet.vn/vi/tim-viec-lam/hr-intern.35C6AC13.html","Xem chi tiết")</f>
        <v/>
      </c>
      <c r="M15224" s="10" t="n"/>
    </row>
    <row r="15225">
      <c r="B15225" s="7" t="n">
        <v>15223</v>
      </c>
      <c r="C15225" t="inlineStr">
        <is>
          <t>Nhân viên Phát triển Sản phẩm</t>
        </is>
      </c>
      <c r="D15225" t="inlineStr">
        <is>
          <t>Công ty TNHH SXTM XNK Minh Hiền</t>
        </is>
      </c>
      <c r="E15225" t="inlineStr">
        <is>
          <t>Lương:12 Tr - 18 Tr VND</t>
        </is>
      </c>
      <c r="F15225" t="inlineStr">
        <is>
          <t>Hồ Chí Minh</t>
        </is>
      </c>
      <c r="G15225" t="inlineStr">
        <is>
          <t>04-04-2026</t>
        </is>
      </c>
      <c r="H15225" t="inlineStr">
        <is>
          <t>04/04/2026</t>
        </is>
      </c>
      <c r="I15225" t="inlineStr">
        <is>
          <t>17/03/2026</t>
        </is>
      </c>
      <c r="J15225" t="inlineStr">
        <is>
          <t>Dệt may / Da giày / Thời trang, Quản lý chất lượng (QA/QC), Sản xuất / Vận hành sản xuất</t>
        </is>
      </c>
      <c r="K15225" t="inlineStr">
        <is>
          <t>1 - 2 Năm</t>
        </is>
      </c>
      <c r="L15225" s="8">
        <f>HYPERLINK("https://careerviet.vn/vi/tim-viec-lam/nhan-vien-phat-trien-san-pham.35C6AB5E.html","Xem chi tiết")</f>
        <v/>
      </c>
    </row>
    <row r="15226">
      <c r="B15226" s="9" t="n">
        <v>15224</v>
      </c>
      <c r="C15226" s="10" t="inlineStr">
        <is>
          <t>Kế toán tổng hợp</t>
        </is>
      </c>
      <c r="D15226" s="10" t="inlineStr">
        <is>
          <t>Tập Đoàn Tân Á Đại Thành</t>
        </is>
      </c>
      <c r="E15226" s="10" t="inlineStr">
        <is>
          <t>Lương:15 Tr - 17 Tr VND</t>
        </is>
      </c>
      <c r="F15226" s="10" t="inlineStr">
        <is>
          <t>Long An</t>
        </is>
      </c>
      <c r="G15226" s="10" t="inlineStr">
        <is>
          <t>31-03-2026</t>
        </is>
      </c>
      <c r="H15226" s="10" t="inlineStr">
        <is>
          <t>31/03/2026</t>
        </is>
      </c>
      <c r="I15226" s="10" t="inlineStr">
        <is>
          <t>17/03/2026</t>
        </is>
      </c>
      <c r="J15226" s="10" t="inlineStr">
        <is>
          <t>Kế toán / Kiểm toán</t>
        </is>
      </c>
      <c r="K15226" s="10" t="inlineStr">
        <is>
          <t>1 - 2 Năm</t>
        </is>
      </c>
      <c r="L15226" s="11">
        <f>HYPERLINK("https://careerviet.vn/vi/tim-viec-lam/ke-toan-tong-hop.35C6AC62.html","Xem chi tiết")</f>
        <v/>
      </c>
      <c r="M15226" s="10" t="n"/>
    </row>
    <row r="15227">
      <c r="B15227" s="7" t="n">
        <v>15225</v>
      </c>
      <c r="C15227" t="inlineStr">
        <is>
          <t>Chuyên viên Kế toán Quản trị (Làm việc tại Attapue, Lào)</t>
        </is>
      </c>
      <c r="D15227" t="inlineStr">
        <is>
          <t>Công ty CP Thành Thành Công - Biên Hòa</t>
        </is>
      </c>
      <c r="E15227" t="inlineStr">
        <is>
          <t>Lương:Cạnh tranh</t>
        </is>
      </c>
      <c r="F15227" t="inlineStr">
        <is>
          <t>Attapeu</t>
        </is>
      </c>
      <c r="G15227" t="inlineStr">
        <is>
          <t>03-04-2026</t>
        </is>
      </c>
      <c r="H15227" t="inlineStr">
        <is>
          <t>03/04/2026</t>
        </is>
      </c>
      <c r="I15227" t="inlineStr">
        <is>
          <t>17/03/2026</t>
        </is>
      </c>
      <c r="J15227" t="inlineStr">
        <is>
          <t>Kế toán / Kiểm toán, Ngành khác, Tài chính / Đầu tư</t>
        </is>
      </c>
      <c r="K15227" t="inlineStr">
        <is>
          <t>2 - 3 Năm</t>
        </is>
      </c>
      <c r="L15227" s="8">
        <f>HYPERLINK("https://careerviet.vn/vi/tim-viec-lam/chuyen-vien-ke-toan-quan-tri-lam-viec-tai-attapue-lao.35C6AC6C.html","Xem chi tiết")</f>
        <v/>
      </c>
    </row>
    <row r="15228">
      <c r="B15228" s="9" t="n">
        <v>15226</v>
      </c>
      <c r="C15228" s="10" t="inlineStr">
        <is>
          <t>Chuyên viên Cao cấp Pháp lý Hợp đồng (Vận hành Nhà Chung cư) - HO - 4H103</t>
        </is>
      </c>
      <c r="D15228" s="10" t="inlineStr">
        <is>
          <t>Tập đoàn ROX (ROX Group)</t>
        </is>
      </c>
      <c r="E15228" s="10" t="inlineStr">
        <is>
          <t>Lương:Cạnh tranh</t>
        </is>
      </c>
      <c r="F15228" s="10" t="inlineStr">
        <is>
          <t>Hà Nội</t>
        </is>
      </c>
      <c r="G15228" s="10" t="inlineStr">
        <is>
          <t>03-04-2026</t>
        </is>
      </c>
      <c r="H15228" s="10" t="inlineStr">
        <is>
          <t>03/04/2026</t>
        </is>
      </c>
      <c r="I15228" s="10" t="inlineStr">
        <is>
          <t>17/03/2026</t>
        </is>
      </c>
      <c r="J15228" s="10" t="inlineStr">
        <is>
          <t>Luật / Pháp lý</t>
        </is>
      </c>
      <c r="K15228" s="10" t="inlineStr">
        <is>
          <t>Trên 4 Năm</t>
        </is>
      </c>
      <c r="L15228" s="11">
        <f>HYPERLINK("https://careerviet.vn/vi/tim-viec-lam/chuyen-vien-cao-cap-phap-ly-hop-dong-van-hanh-nha-chung-cu-ho-4h103.35C6AC94.html","Xem chi tiết")</f>
        <v/>
      </c>
      <c r="M15228" s="10" t="n"/>
    </row>
    <row r="15229">
      <c r="B15229" s="7" t="n">
        <v>15227</v>
      </c>
      <c r="C15229" t="inlineStr">
        <is>
          <t>Chuyên viên quan hệ khách hàng doanh nghiệp - RB - MSB - 1D047</t>
        </is>
      </c>
      <c r="D15229" t="inlineStr">
        <is>
          <t>Ngân hàng Thương mại Cổ phần Hàng Hải Việt Nam (MSB)</t>
        </is>
      </c>
      <c r="E15229" t="inlineStr">
        <is>
          <t>Lương:Cạnh tranh</t>
        </is>
      </c>
      <c r="F15229" t="inlineStr">
        <is>
          <t>Dak LakTây NinhQuảng Bình</t>
        </is>
      </c>
      <c r="G15229" t="inlineStr">
        <is>
          <t>30-04-2026</t>
        </is>
      </c>
      <c r="H15229" t="inlineStr">
        <is>
          <t>30/04/2026</t>
        </is>
      </c>
      <c r="I15229" t="inlineStr">
        <is>
          <t>17/03/2026</t>
        </is>
      </c>
      <c r="J15229" t="inlineStr">
        <is>
          <t>Ngân hàng</t>
        </is>
      </c>
      <c r="K15229" t="inlineStr">
        <is>
          <t>Trên 1 Năm</t>
        </is>
      </c>
      <c r="L15229" s="8">
        <f>HYPERLINK("https://careerviet.vn/vi/tim-viec-lam/chuyen-vien-quan-he-khach-hang-doanh-nghiep-rb-msb-1d047.35C6AC37.html","Xem chi tiết")</f>
        <v/>
      </c>
    </row>
    <row r="15230">
      <c r="B15230" s="9" t="n">
        <v>15228</v>
      </c>
      <c r="C15230" s="10" t="inlineStr">
        <is>
          <t>Chuyên Viên Tuyển Dụng | Recruitment Officer (Tiếng Anh/Trung)</t>
        </is>
      </c>
      <c r="D15230" s="10" t="inlineStr">
        <is>
          <t>Headhunter HRchannels Group</t>
        </is>
      </c>
      <c r="E15230" s="10" t="inlineStr">
        <is>
          <t>Lương:500 - 1.000 USD</t>
        </is>
      </c>
      <c r="F15230" s="10" t="inlineStr">
        <is>
          <t>Hà Nội</t>
        </is>
      </c>
      <c r="G15230" s="10" t="inlineStr">
        <is>
          <t>24-03-2026</t>
        </is>
      </c>
      <c r="H15230" s="10" t="inlineStr">
        <is>
          <t>24/03/2026</t>
        </is>
      </c>
      <c r="I15230" s="10" t="inlineStr">
        <is>
          <t>17/03/2026</t>
        </is>
      </c>
      <c r="J15230" s="10" t="inlineStr">
        <is>
          <t>Hành chính / Thư ký, Bán hàng / Kinh doanh, Nhân sự</t>
        </is>
      </c>
      <c r="K15230" s="10" t="inlineStr">
        <is>
          <t>1 - 5 Năm</t>
        </is>
      </c>
      <c r="L15230" s="11">
        <f>HYPERLINK("https://careerviet.vn/vi/tim-viec-lam/chuyen-vien-tuyen-dung-recruitment-officer-tieng-anh-trung.35C6AC57.html","Xem chi tiết")</f>
        <v/>
      </c>
      <c r="M15230" s="10" t="n"/>
    </row>
    <row r="15231">
      <c r="B15231" s="7" t="n">
        <v>15229</v>
      </c>
      <c r="C15231" t="inlineStr">
        <is>
          <t>Trưởng Nhóm Tuyển Sinh (Ocean Edu Văn Giang)</t>
        </is>
      </c>
      <c r="D15231" t="inlineStr">
        <is>
          <t>Công Ty CP Giáo Dục Đại Dương</t>
        </is>
      </c>
      <c r="E15231" t="inlineStr">
        <is>
          <t>Lương:Cạnh tranh</t>
        </is>
      </c>
      <c r="F15231" t="inlineStr">
        <is>
          <t>Hưng Yên</t>
        </is>
      </c>
      <c r="G15231" t="inlineStr">
        <is>
          <t>03-04-2026</t>
        </is>
      </c>
      <c r="H15231" t="inlineStr">
        <is>
          <t>03/04/2026</t>
        </is>
      </c>
      <c r="I15231" t="inlineStr">
        <is>
          <t>17/03/2026</t>
        </is>
      </c>
      <c r="J15231" t="inlineStr">
        <is>
          <t>Tư vấn, Dịch vụ khách hàng, Giáo dục / Đào tạo</t>
        </is>
      </c>
      <c r="K15231" t="inlineStr">
        <is>
          <t>1 - 2 Năm</t>
        </is>
      </c>
      <c r="L15231" s="8">
        <f>HYPERLINK("https://careerviet.vn/vi/tim-viec-lam/truong-nhom-tuyen-sinh-ocean-edu-van-giang.35C6AB7F.html","Xem chi tiết")</f>
        <v/>
      </c>
    </row>
    <row r="15232">
      <c r="B15232" s="9" t="n">
        <v>15230</v>
      </c>
      <c r="C15232" s="10" t="inlineStr">
        <is>
          <t>Electrical Engineer (Chinese Speaking) - Hung Yen</t>
        </is>
      </c>
      <c r="D15232" s="10" t="inlineStr">
        <is>
          <t>TÜV Rheinland Vietnam</t>
        </is>
      </c>
      <c r="E15232" s="10" t="inlineStr">
        <is>
          <t>Lương:Cạnh tranh</t>
        </is>
      </c>
      <c r="F15232" s="10" t="inlineStr">
        <is>
          <t>Hưng Yên</t>
        </is>
      </c>
      <c r="G15232" s="10" t="inlineStr">
        <is>
          <t>04-04-2026</t>
        </is>
      </c>
      <c r="H15232" s="10" t="inlineStr">
        <is>
          <t>04/04/2026</t>
        </is>
      </c>
      <c r="I15232" s="10" t="inlineStr">
        <is>
          <t>17/03/2026</t>
        </is>
      </c>
      <c r="J15232" s="10" t="inlineStr">
        <is>
          <t>Điện / Điện tử / Điện lạnh / Điện công nghiệp</t>
        </is>
      </c>
      <c r="K15232" s="10" t="inlineStr">
        <is>
          <t>1 - 10 Năm</t>
        </is>
      </c>
      <c r="L15232" s="11">
        <f>HYPERLINK("https://careerviet.vn/vi/tim-viec-lam/electrical-engineer-chinese-speaking-hung-yen.35C6AC47.html","Xem chi tiết")</f>
        <v/>
      </c>
      <c r="M15232" s="10" t="n"/>
    </row>
    <row r="15233">
      <c r="B15233" s="7" t="n">
        <v>15231</v>
      </c>
      <c r="C15233" t="inlineStr">
        <is>
          <t>Assistant Trade Marketing Analyst</t>
        </is>
      </c>
      <c r="D15233" t="inlineStr">
        <is>
          <t>Công Ty Cổ Phần Goody Group</t>
        </is>
      </c>
      <c r="E15233" t="inlineStr">
        <is>
          <t>Lương:Cạnh tranh</t>
        </is>
      </c>
      <c r="F15233" t="inlineStr">
        <is>
          <t>Hồ Chí Minh</t>
        </is>
      </c>
      <c r="G15233" t="inlineStr">
        <is>
          <t>31-03-2026</t>
        </is>
      </c>
      <c r="H15233" t="inlineStr">
        <is>
          <t>31/03/2026</t>
        </is>
      </c>
      <c r="I15233" t="inlineStr">
        <is>
          <t>17/03/2026</t>
        </is>
      </c>
      <c r="J15233" t="inlineStr">
        <is>
          <t>Tiếp thị / Marketing, Thực phẩm &amp; Đồ uống, CNTT - Phần mềm</t>
        </is>
      </c>
      <c r="K15233" t="inlineStr">
        <is>
          <t>2 - 5 Năm</t>
        </is>
      </c>
      <c r="L15233" s="8">
        <f>HYPERLINK("https://careerviet.vn/vi/tim-viec-lam/assistant-trade-marketing-analyst.35C6AC4F.html","Xem chi tiết")</f>
        <v/>
      </c>
    </row>
    <row r="15234">
      <c r="B15234" s="9" t="n">
        <v>15232</v>
      </c>
      <c r="C15234" s="10" t="inlineStr">
        <is>
          <t>Project Engineer Testing (Hung Yen) - Solar &amp; Commercial Products</t>
        </is>
      </c>
      <c r="D15234" s="10" t="inlineStr">
        <is>
          <t>TÜV Rheinland Vietnam</t>
        </is>
      </c>
      <c r="E15234" s="10" t="inlineStr">
        <is>
          <t>Lương:Cạnh tranh</t>
        </is>
      </c>
      <c r="F15234" s="10" t="inlineStr">
        <is>
          <t>Hưng Yên</t>
        </is>
      </c>
      <c r="G15234" s="10" t="inlineStr">
        <is>
          <t>04-04-2026</t>
        </is>
      </c>
      <c r="H15234" s="10" t="inlineStr">
        <is>
          <t>04/04/2026</t>
        </is>
      </c>
      <c r="I15234" s="10" t="inlineStr">
        <is>
          <t>17/03/2026</t>
        </is>
      </c>
      <c r="J15234" s="10" t="inlineStr">
        <is>
          <t>Cơ khí / Ô tô / Tự động hóa, Điện / Điện tử / Điện lạnh / Điện công nghiệp, Ngành khác</t>
        </is>
      </c>
      <c r="K15234" s="10" t="inlineStr">
        <is>
          <t>1 - 5 Năm</t>
        </is>
      </c>
      <c r="L15234" s="11">
        <f>HYPERLINK("https://careerviet.vn/vi/tim-viec-lam/project-engineer-testing-hung-yen-solar-commercial-products.35C6AC3E.html","Xem chi tiết")</f>
        <v/>
      </c>
      <c r="M15234" s="10" t="n"/>
    </row>
    <row r="15235">
      <c r="B15235" s="7" t="n">
        <v>15233</v>
      </c>
      <c r="C15235" t="inlineStr">
        <is>
          <t>KỸ SƯ SHOPDRAWING</t>
        </is>
      </c>
      <c r="D15235" t="inlineStr">
        <is>
          <t>CÔNG TY CỔ PHẦN ĐẦU TƯ XÂY DỰNG VITECCONS</t>
        </is>
      </c>
      <c r="E15235" t="inlineStr">
        <is>
          <t>Lương:15 Tr - 26 Tr VND</t>
        </is>
      </c>
      <c r="F15235" t="inlineStr">
        <is>
          <t>Hồ Chí Minh</t>
        </is>
      </c>
      <c r="G15235" t="inlineStr">
        <is>
          <t>15-04-2026</t>
        </is>
      </c>
      <c r="H15235" t="inlineStr">
        <is>
          <t>15/04/2026</t>
        </is>
      </c>
      <c r="I15235" t="inlineStr">
        <is>
          <t>17/03/2026</t>
        </is>
      </c>
      <c r="J15235" t="inlineStr">
        <is>
          <t>Xây dựng</t>
        </is>
      </c>
      <c r="K15235" t="inlineStr">
        <is>
          <t>1 - 2 Năm</t>
        </is>
      </c>
      <c r="L15235" s="8">
        <f>HYPERLINK("https://careerviet.vn/vi/tim-viec-lam/ky-su-shopdrawing.35C6AB58.html","Xem chi tiết")</f>
        <v/>
      </c>
    </row>
    <row r="15236">
      <c r="B15236" s="9" t="n">
        <v>15234</v>
      </c>
      <c r="C15236" s="10" t="inlineStr">
        <is>
          <t>Kỹ Sư Quy Trình</t>
        </is>
      </c>
      <c r="D15236" s="10" t="inlineStr">
        <is>
          <t>CÔNG TY TNHH NS MILLENNIUM VIỆT NAM</t>
        </is>
      </c>
      <c r="E15236" s="10" t="inlineStr">
        <is>
          <t>Lương:15 Tr - 20 Tr VND</t>
        </is>
      </c>
      <c r="F15236" s="10" t="inlineStr">
        <is>
          <t>Bình Dương</t>
        </is>
      </c>
      <c r="G15236" s="10" t="inlineStr">
        <is>
          <t>31-03-2026</t>
        </is>
      </c>
      <c r="H15236" s="10" t="inlineStr">
        <is>
          <t>31/03/2026</t>
        </is>
      </c>
      <c r="I15236" s="10" t="inlineStr">
        <is>
          <t>17/03/2026</t>
        </is>
      </c>
      <c r="J15236" s="10" t="inlineStr">
        <is>
          <t>Sản xuất / Vận hành sản xuất, Dệt may / Da giày / Thời trang, Cơ khí / Ô tô / Tự động hóa</t>
        </is>
      </c>
      <c r="K15236" s="10" t="inlineStr">
        <is>
          <t>3 - 5 Năm</t>
        </is>
      </c>
      <c r="L15236" s="11">
        <f>HYPERLINK("https://careerviet.vn/vi/tim-viec-lam/ky-su-quy-trinh.35C6AC1C.html","Xem chi tiết")</f>
        <v/>
      </c>
      <c r="M15236" s="10" t="n"/>
    </row>
    <row r="15237">
      <c r="B15237" s="7" t="n">
        <v>15235</v>
      </c>
      <c r="C15237" t="inlineStr">
        <is>
          <t>Kỹ Sư Công Nghệ Vật Liệu</t>
        </is>
      </c>
      <c r="D15237" t="inlineStr">
        <is>
          <t>Tập Đoàn Kim Tín</t>
        </is>
      </c>
      <c r="E15237" t="inlineStr">
        <is>
          <t>Lương:Cạnh tranh</t>
        </is>
      </c>
      <c r="F15237" t="inlineStr">
        <is>
          <t>Bình Phước</t>
        </is>
      </c>
      <c r="G15237" t="inlineStr">
        <is>
          <t>03-04-2026</t>
        </is>
      </c>
      <c r="H15237" t="inlineStr">
        <is>
          <t>03/04/2026</t>
        </is>
      </c>
      <c r="I15237" t="inlineStr">
        <is>
          <t>17/03/2026</t>
        </is>
      </c>
      <c r="J15237" t="inlineStr">
        <is>
          <t>Sản xuất / Vận hành sản xuất, Hóa học, Nội ngoại thất</t>
        </is>
      </c>
      <c r="K15237" t="inlineStr">
        <is>
          <t>Trên 1 Năm</t>
        </is>
      </c>
      <c r="L15237" s="8">
        <f>HYPERLINK("https://careerviet.vn/vi/tim-viec-lam/ky-su-cong-nghe-vat-lieu.35C6AC89.html","Xem chi tiết")</f>
        <v/>
      </c>
    </row>
    <row r="15238">
      <c r="B15238" s="9" t="n">
        <v>15236</v>
      </c>
      <c r="C15238" s="10" t="inlineStr">
        <is>
          <t>TRƯỞNG PHÒNG THIẾT KẾ</t>
        </is>
      </c>
      <c r="D15238" s="10" t="inlineStr">
        <is>
          <t>NEM FURNITURE JSC</t>
        </is>
      </c>
      <c r="E15238" s="10" t="inlineStr">
        <is>
          <t>Lương:Cạnh tranh</t>
        </is>
      </c>
      <c r="F15238" s="10" t="inlineStr">
        <is>
          <t>Hồ Chí Minh</t>
        </is>
      </c>
      <c r="G15238" s="10" t="inlineStr">
        <is>
          <t>31-03-2026</t>
        </is>
      </c>
      <c r="H15238" s="10" t="inlineStr">
        <is>
          <t>31/03/2026</t>
        </is>
      </c>
      <c r="I15238" s="10" t="inlineStr">
        <is>
          <t>17/03/2026</t>
        </is>
      </c>
      <c r="J15238" s="10" t="inlineStr">
        <is>
          <t>Nội ngoại thất, Kiến trúc, Xây dựng</t>
        </is>
      </c>
      <c r="K15238" s="10" t="inlineStr">
        <is>
          <t>7 - 10 Năm</t>
        </is>
      </c>
      <c r="L15238" s="11">
        <f>HYPERLINK("https://careerviet.vn/vi/tim-viec-lam/truong-phong-thiet-ke.35C6AC26.html","Xem chi tiết")</f>
        <v/>
      </c>
      <c r="M15238" s="10" t="n"/>
    </row>
    <row r="15239">
      <c r="B15239" s="7" t="n">
        <v>15237</v>
      </c>
      <c r="C15239" t="inlineStr">
        <is>
          <t>QAD Standards Staff</t>
        </is>
      </c>
      <c r="D15239" t="inlineStr">
        <is>
          <t>Vietnam Furniture Resources (VFR)</t>
        </is>
      </c>
      <c r="E15239" t="inlineStr">
        <is>
          <t>Lương:Cạnh tranh</t>
        </is>
      </c>
      <c r="F15239" t="inlineStr">
        <is>
          <t>Bình Dương</t>
        </is>
      </c>
      <c r="G15239" t="inlineStr">
        <is>
          <t>05-04-2026</t>
        </is>
      </c>
      <c r="H15239" t="inlineStr">
        <is>
          <t>05/04/2026</t>
        </is>
      </c>
      <c r="I15239" t="inlineStr">
        <is>
          <t>17/03/2026</t>
        </is>
      </c>
      <c r="J15239" t="inlineStr">
        <is>
          <t>Quản lý chất lượng (QA/QC), Đồ gỗ, Nội ngoại thất</t>
        </is>
      </c>
      <c r="K15239" t="inlineStr">
        <is>
          <t>2 - 3 Năm</t>
        </is>
      </c>
      <c r="L15239" s="8">
        <f>HYPERLINK("https://careerviet.vn/vi/tim-viec-lam/qad-standards-staff.35C6AC0D.html","Xem chi tiết")</f>
        <v/>
      </c>
    </row>
    <row r="15240">
      <c r="B15240" s="9" t="n">
        <v>15238</v>
      </c>
      <c r="C15240" s="10" t="inlineStr">
        <is>
          <t>Accession Officer (Nhân viên nhận mẫu phòng xét nghiệm)</t>
        </is>
      </c>
      <c r="D15240" s="10" t="inlineStr">
        <is>
          <t>DIAG</t>
        </is>
      </c>
      <c r="E15240" s="10" t="inlineStr">
        <is>
          <t>Lương:6,5 Tr - 11 Tr VND</t>
        </is>
      </c>
      <c r="F15240" s="10" t="inlineStr">
        <is>
          <t>Hồ Chí Minh</t>
        </is>
      </c>
      <c r="G15240" s="10" t="inlineStr">
        <is>
          <t>01-04-2026</t>
        </is>
      </c>
      <c r="H15240" s="10" t="inlineStr">
        <is>
          <t>01/04/2026</t>
        </is>
      </c>
      <c r="I15240" s="10" t="inlineStr">
        <is>
          <t>17/03/2026</t>
        </is>
      </c>
      <c r="J15240" s="10" t="inlineStr">
        <is>
          <t>Y tế / Chăm sóc sức khỏe / Thẩm mỹ / Làm đẹp, Công nghệ sinh học</t>
        </is>
      </c>
      <c r="K15240" s="10" t="inlineStr">
        <is>
          <t>Lên đến 1 Năm</t>
        </is>
      </c>
      <c r="L15240" s="11">
        <f>HYPERLINK("https://careerviet.vn/vi/tim-viec-lam/accession-officer-nhan-vien-nhan-mau-phong-xet-nghiem.35C6AC0B.html","Xem chi tiết")</f>
        <v/>
      </c>
      <c r="M15240" s="10" t="n"/>
    </row>
    <row r="15241">
      <c r="B15241" s="7" t="n">
        <v>15239</v>
      </c>
      <c r="C15241" t="inlineStr">
        <is>
          <t>Mechanical Technician (Bảo trì cơ khí)</t>
        </is>
      </c>
      <c r="D15241" t="inlineStr">
        <is>
          <t>PTSC Offshore Services (POS)</t>
        </is>
      </c>
      <c r="E15241" t="inlineStr">
        <is>
          <t>Lương:Cạnh tranh</t>
        </is>
      </c>
      <c r="F15241" t="inlineStr">
        <is>
          <t>Bà Rịa - Vũng Tàu</t>
        </is>
      </c>
      <c r="G15241" t="inlineStr">
        <is>
          <t>03-04-2026</t>
        </is>
      </c>
      <c r="H15241" t="inlineStr">
        <is>
          <t>03/04/2026</t>
        </is>
      </c>
      <c r="I15241" t="inlineStr">
        <is>
          <t>17/03/2026</t>
        </is>
      </c>
      <c r="J15241" t="inlineStr">
        <is>
          <t>Cơ khí / Ô tô / Tự động hóa, Dầu khí, Sản xuất / Vận hành sản xuất</t>
        </is>
      </c>
      <c r="K15241" t="inlineStr">
        <is>
          <t>2 - 15 Năm</t>
        </is>
      </c>
      <c r="L15241" s="8">
        <f>HYPERLINK("https://careerviet.vn/vi/tim-viec-lam/mechanical-technician-bao-tri-co-khi.35C6AB2B.html","Xem chi tiết")</f>
        <v/>
      </c>
    </row>
    <row r="15242">
      <c r="B15242" s="9" t="n">
        <v>15240</v>
      </c>
      <c r="C15242" s="10" t="inlineStr">
        <is>
          <t>Tài Xế Xe Tải</t>
        </is>
      </c>
      <c r="D15242" s="10" t="inlineStr">
        <is>
          <t>Tập Đoàn Kim Tín</t>
        </is>
      </c>
      <c r="E15242" s="10" t="inlineStr">
        <is>
          <t>Lương:Cạnh tranh</t>
        </is>
      </c>
      <c r="F15242" s="10" t="inlineStr">
        <is>
          <t>Hồ Chí Minh</t>
        </is>
      </c>
      <c r="G15242" s="10" t="inlineStr">
        <is>
          <t>03-04-2026</t>
        </is>
      </c>
      <c r="H15242" s="10" t="inlineStr">
        <is>
          <t>03/04/2026</t>
        </is>
      </c>
      <c r="I15242" s="10" t="inlineStr">
        <is>
          <t>17/03/2026</t>
        </is>
      </c>
      <c r="J15242" s="10" t="inlineStr">
        <is>
          <t>Sản xuất / Vận hành sản xuất, Vận chuyển / Giao nhận / Kho vận</t>
        </is>
      </c>
      <c r="K15242" s="10" t="inlineStr">
        <is>
          <t>1 - 2 Năm</t>
        </is>
      </c>
      <c r="L15242" s="11">
        <f>HYPERLINK("https://careerviet.vn/vi/tim-viec-lam/tai-xe-xe-tai.35C6AC5B.html","Xem chi tiết")</f>
        <v/>
      </c>
      <c r="M15242" s="10" t="n"/>
    </row>
    <row r="15243">
      <c r="B15243" s="7" t="n">
        <v>15241</v>
      </c>
      <c r="C15243" t="inlineStr">
        <is>
          <t>Chuyên gia QTRR Chính sách KHDN</t>
        </is>
      </c>
      <c r="D15243" t="inlineStr">
        <is>
          <t>Ngân Hàng TMCP Sài Gòn - Hà Nội ( SHB )</t>
        </is>
      </c>
      <c r="E15243" t="inlineStr">
        <is>
          <t>Lương:Cạnh tranh</t>
        </is>
      </c>
      <c r="F15243" t="inlineStr">
        <is>
          <t>Hà Nội</t>
        </is>
      </c>
      <c r="G15243" t="inlineStr">
        <is>
          <t>03-04-2026</t>
        </is>
      </c>
      <c r="H15243" t="inlineStr">
        <is>
          <t>03/04/2026</t>
        </is>
      </c>
      <c r="I15243" t="inlineStr">
        <is>
          <t>17/03/2026</t>
        </is>
      </c>
      <c r="J15243" t="inlineStr">
        <is>
          <t>Kế toán / Kiểm toán, Ngân hàng</t>
        </is>
      </c>
      <c r="K15243" t="inlineStr">
        <is>
          <t>Trên 2 Năm</t>
        </is>
      </c>
      <c r="L15243" s="8">
        <f>HYPERLINK("https://careerviet.vn/vi/tim-viec-lam/chuyen-gia-qtrr-chinh-sach-khdn.35C6AC20.html","Xem chi tiết")</f>
        <v/>
      </c>
    </row>
    <row r="15244">
      <c r="B15244" s="9" t="n">
        <v>15242</v>
      </c>
      <c r="C15244" s="10" t="inlineStr">
        <is>
          <t>Customer Service - Open for fresher</t>
        </is>
      </c>
      <c r="D15244" s="10" t="inlineStr">
        <is>
          <t>Cty SGS Việt Nam TNHH</t>
        </is>
      </c>
      <c r="E15244" s="10" t="inlineStr">
        <is>
          <t>Lương:Cạnh tranh</t>
        </is>
      </c>
      <c r="F15244" s="10" t="inlineStr">
        <is>
          <t>Hồ Chí Minh</t>
        </is>
      </c>
      <c r="G15244" s="10" t="inlineStr">
        <is>
          <t>31-03-2026</t>
        </is>
      </c>
      <c r="H15244" s="10" t="inlineStr">
        <is>
          <t>31/03/2026</t>
        </is>
      </c>
      <c r="I15244" s="10" t="inlineStr">
        <is>
          <t>17/03/2026</t>
        </is>
      </c>
      <c r="J15244" s="10" t="inlineStr">
        <is>
          <t>Hóa học</t>
        </is>
      </c>
      <c r="K15244" s="10" t="inlineStr">
        <is>
          <t>N/A</t>
        </is>
      </c>
      <c r="L15244" s="11">
        <f>HYPERLINK("https://careerviet.vn/vi/tim-viec-lam/customer-service-open-for-fresher.35C6AC53.html","Xem chi tiết")</f>
        <v/>
      </c>
      <c r="M15244" s="10" t="n"/>
    </row>
    <row r="15245">
      <c r="B15245" s="7" t="n">
        <v>15243</v>
      </c>
      <c r="C15245" t="inlineStr">
        <is>
          <t>Nhân viên theo dõi đơn hàng mẫu</t>
        </is>
      </c>
      <c r="D15245" t="inlineStr">
        <is>
          <t>Công Ty TNHH Ortholite Việt Nam</t>
        </is>
      </c>
      <c r="E15245" t="inlineStr">
        <is>
          <t>Lương:Cạnh tranh</t>
        </is>
      </c>
      <c r="F15245" t="inlineStr">
        <is>
          <t>Bình Dương</t>
        </is>
      </c>
      <c r="G15245" t="inlineStr">
        <is>
          <t>03-04-2026</t>
        </is>
      </c>
      <c r="H15245" t="inlineStr">
        <is>
          <t>03/04/2026</t>
        </is>
      </c>
      <c r="I15245" t="inlineStr">
        <is>
          <t>17/03/2026</t>
        </is>
      </c>
      <c r="J15245" t="inlineStr">
        <is>
          <t>Hàng gia dụng / Chăm sóc cá nhân, Dệt may / Da giày / Thời trang, Quản lý chất lượng (QA/QC)</t>
        </is>
      </c>
      <c r="K15245" t="inlineStr">
        <is>
          <t>Trên 2 Năm</t>
        </is>
      </c>
      <c r="L15245" s="8">
        <f>HYPERLINK("https://careerviet.vn/vi/tim-viec-lam/nhan-vien-theo-doi-don-hang-mau.35C6AC4E.html","Xem chi tiết")</f>
        <v/>
      </c>
    </row>
    <row r="15246">
      <c r="B15246" s="9" t="n">
        <v>15244</v>
      </c>
      <c r="C15246" s="10" t="inlineStr">
        <is>
          <t>Quản Lý Dự Án CNTT (IT Project Manager)</t>
        </is>
      </c>
      <c r="D15246" s="10" t="inlineStr">
        <is>
          <t>Tổng Công ty Cổ phần Công trình Viettel</t>
        </is>
      </c>
      <c r="E15246" s="10" t="inlineStr">
        <is>
          <t>Lương:Cạnh tranh</t>
        </is>
      </c>
      <c r="F15246" s="10" t="inlineStr">
        <is>
          <t>Hà Nội</t>
        </is>
      </c>
      <c r="G15246" s="10" t="inlineStr">
        <is>
          <t>03-04-2026</t>
        </is>
      </c>
      <c r="H15246" s="10" t="inlineStr">
        <is>
          <t>03/04/2026</t>
        </is>
      </c>
      <c r="I15246" s="10" t="inlineStr">
        <is>
          <t>17/03/2026</t>
        </is>
      </c>
      <c r="J15246" s="10" t="inlineStr">
        <is>
          <t>CNTT - Phần mềm</t>
        </is>
      </c>
      <c r="K15246" s="10" t="inlineStr">
        <is>
          <t>3 - 4 Năm</t>
        </is>
      </c>
      <c r="L15246" s="11">
        <f>HYPERLINK("https://careerviet.vn/vi/tim-viec-lam/quan-ly-du-an-cntt-it-project-manager.35C6AB98.html","Xem chi tiết")</f>
        <v/>
      </c>
      <c r="M15246" s="10" t="n"/>
    </row>
    <row r="15247">
      <c r="B15247" s="7" t="n">
        <v>15245</v>
      </c>
      <c r="C15247" t="inlineStr">
        <is>
          <t>Chuyên viên Dịch vụ Khách hàng - Mảng chăm sóc khách hàng khiếu nại</t>
        </is>
      </c>
      <c r="D15247" t="inlineStr">
        <is>
          <t>Công Ty Cổ Phần Tập Đoàn Sunshine</t>
        </is>
      </c>
      <c r="E15247" t="inlineStr">
        <is>
          <t>Lương:15 Tr - 20 Tr VND</t>
        </is>
      </c>
      <c r="F15247" t="inlineStr">
        <is>
          <t>Hà Nội</t>
        </is>
      </c>
      <c r="G15247" t="inlineStr">
        <is>
          <t>04-04-2026</t>
        </is>
      </c>
      <c r="H15247" t="inlineStr">
        <is>
          <t>04/04/2026</t>
        </is>
      </c>
      <c r="I15247" t="inlineStr">
        <is>
          <t>17/03/2026</t>
        </is>
      </c>
      <c r="J15247" t="inlineStr">
        <is>
          <t>Bất động sản, Dịch vụ khách hàng</t>
        </is>
      </c>
      <c r="K15247" t="inlineStr">
        <is>
          <t>1 - 2 Năm</t>
        </is>
      </c>
      <c r="L15247" s="8">
        <f>HYPERLINK("https://careerviet.vn/vi/tim-viec-lam/chuyen-vien-dich-vu-khach-hang-mang-cham-soc-khach-hang-khieu-nai.35C6AC25.html","Xem chi tiết")</f>
        <v/>
      </c>
    </row>
    <row r="15248">
      <c r="B15248" s="9" t="n">
        <v>15246</v>
      </c>
      <c r="C15248" s="10" t="inlineStr">
        <is>
          <t>QUẢN ĐỐC LẮP RÁP ĐỒ GỖ NỘI THẤT - LÀM VIỆC TẠI KCN TÂN ĐỨC - LONG AN CŨ</t>
        </is>
      </c>
      <c r="D15248" s="10" t="inlineStr">
        <is>
          <t>Công Ty TNHH Xây Dựng và Nội Thất Cao Cấp Alliance</t>
        </is>
      </c>
      <c r="E15248" s="10" t="inlineStr">
        <is>
          <t>Lương:Cạnh tranh</t>
        </is>
      </c>
      <c r="F15248" s="10" t="inlineStr">
        <is>
          <t>Hồ Chí MinhLong AnBình Dương</t>
        </is>
      </c>
      <c r="G15248" s="10" t="inlineStr">
        <is>
          <t>04-04-2026</t>
        </is>
      </c>
      <c r="H15248" s="10" t="inlineStr">
        <is>
          <t>04/04/2026</t>
        </is>
      </c>
      <c r="I15248" s="10" t="inlineStr">
        <is>
          <t>17/03/2026</t>
        </is>
      </c>
      <c r="J15248" s="10" t="inlineStr">
        <is>
          <t>Sản xuất / Vận hành sản xuất, Nội ngoại thất, Đồ gỗ</t>
        </is>
      </c>
      <c r="K15248" s="10" t="inlineStr">
        <is>
          <t>5 - 10 Năm</t>
        </is>
      </c>
      <c r="L15248" s="11">
        <f>HYPERLINK("https://careerviet.vn/vi/tim-viec-lam/quan-doc-lap-rap-do-go-noi-that-lam-viec-tai-kcn-tan-duc-long-an-cu.35C6ABF0.html","Xem chi tiết")</f>
        <v/>
      </c>
      <c r="M15248" s="10" t="n"/>
    </row>
    <row r="15249">
      <c r="B15249" s="7" t="n">
        <v>15247</v>
      </c>
      <c r="C15249" t="inlineStr">
        <is>
          <t>Chuyên viên Pháp chế</t>
        </is>
      </c>
      <c r="D15249" t="inlineStr">
        <is>
          <t>Xuân Cầu Holdings</t>
        </is>
      </c>
      <c r="E15249" t="inlineStr">
        <is>
          <t>Lương:Cạnh tranh</t>
        </is>
      </c>
      <c r="F15249" t="inlineStr">
        <is>
          <t>Hà Nội</t>
        </is>
      </c>
      <c r="G15249" t="inlineStr">
        <is>
          <t>15-04-2026</t>
        </is>
      </c>
      <c r="H15249" t="inlineStr">
        <is>
          <t>15/04/2026</t>
        </is>
      </c>
      <c r="I15249" t="inlineStr">
        <is>
          <t>17/03/2026</t>
        </is>
      </c>
      <c r="J15249" t="inlineStr">
        <is>
          <t>Luật / Pháp lý</t>
        </is>
      </c>
      <c r="K15249" t="inlineStr">
        <is>
          <t>2 - 5 Năm</t>
        </is>
      </c>
      <c r="L15249" s="8">
        <f>HYPERLINK("https://careerviet.vn/vi/tim-viec-lam/chuyen-vien-phap-che.35C6AC08.html","Xem chi tiết")</f>
        <v/>
      </c>
    </row>
    <row r="15250">
      <c r="B15250" s="9" t="n">
        <v>15248</v>
      </c>
      <c r="C15250" s="10" t="inlineStr">
        <is>
          <t>[Hà Tiên - Kiên Giang] Tuyển Nhân Viên Bán Hàng - Chuỗi Cửa Hàng Bán Lẻ Thiết Bị Sức Khỏe</t>
        </is>
      </c>
      <c r="D15250" s="10" t="inlineStr">
        <is>
          <t>Công Ty TNHH XNK Phát Triển Đông Dương</t>
        </is>
      </c>
      <c r="E15250" s="10" t="inlineStr">
        <is>
          <t>Lương:12 Tr - 20 Tr VND</t>
        </is>
      </c>
      <c r="F15250" s="10" t="inlineStr">
        <is>
          <t>Kiên Giang</t>
        </is>
      </c>
      <c r="G15250" s="10" t="inlineStr">
        <is>
          <t>09-04-2026</t>
        </is>
      </c>
      <c r="H15250" s="10" t="inlineStr">
        <is>
          <t>09/04/2026</t>
        </is>
      </c>
      <c r="I15250" s="10" t="inlineStr">
        <is>
          <t>17/03/2026</t>
        </is>
      </c>
      <c r="J15250" s="10" t="inlineStr">
        <is>
          <t>Bán lẻ / Bán sỉ, Bán hàng / Kinh doanh, Tư vấn</t>
        </is>
      </c>
      <c r="K15250" s="10" t="inlineStr">
        <is>
          <t>N/A</t>
        </is>
      </c>
      <c r="L15250" s="11">
        <f>HYPERLINK("https://careerviet.vn/vi/tim-viec-lam/ha-tien-kien-giang-tuyen-nhan-vien-ban-hang-chuoi-cua-hang-ban-le-thiet-bi-suc-khoe.35C6AC06.html","Xem chi tiết")</f>
        <v/>
      </c>
      <c r="M15250" s="10" t="n"/>
    </row>
    <row r="15251">
      <c r="B15251" s="7" t="n">
        <v>15249</v>
      </c>
      <c r="C15251" t="inlineStr">
        <is>
          <t>Nhân Viên Tư Vấn Trực Tiếp</t>
        </is>
      </c>
      <c r="D15251" t="inlineStr">
        <is>
          <t>Viện Thẩm mỹ y khoa Dr Hải Lê</t>
        </is>
      </c>
      <c r="E15251" t="inlineStr">
        <is>
          <t>Lương:Cạnh tranh</t>
        </is>
      </c>
      <c r="F15251" t="inlineStr">
        <is>
          <t>Hà Nội</t>
        </is>
      </c>
      <c r="G15251" t="inlineStr">
        <is>
          <t>30-04-2026</t>
        </is>
      </c>
      <c r="H15251" t="inlineStr">
        <is>
          <t>30/04/2026</t>
        </is>
      </c>
      <c r="I15251" t="inlineStr">
        <is>
          <t>17/03/2026</t>
        </is>
      </c>
      <c r="J15251" t="inlineStr">
        <is>
          <t>Y tế / Chăm sóc sức khỏe / Thẩm mỹ / Làm đẹp, Dịch vụ khách hàng, Bán hàng / Kinh doanh</t>
        </is>
      </c>
      <c r="K15251" t="inlineStr">
        <is>
          <t>N/A</t>
        </is>
      </c>
      <c r="L15251" s="8">
        <f>HYPERLINK("https://careerviet.vn/vi/tim-viec-lam/nhan-vien-tu-van-truc-tiep.35C6ABEB.html","Xem chi tiết")</f>
        <v/>
      </c>
    </row>
    <row r="15252">
      <c r="B15252" s="9" t="n">
        <v>15250</v>
      </c>
      <c r="C15252" s="10" t="inlineStr">
        <is>
          <t>Nhân viên điều hành bưu cục tại Hồ Chí Minh</t>
        </is>
      </c>
      <c r="D15252" s="10" t="inlineStr">
        <is>
          <t>Công Ty Cổ Phần Hai Bốn Bảy</t>
        </is>
      </c>
      <c r="E15252" s="10" t="inlineStr">
        <is>
          <t>Lương:10 Tr - 12 Tr VND</t>
        </is>
      </c>
      <c r="F15252" s="10" t="inlineStr">
        <is>
          <t>Hồ Chí Minh</t>
        </is>
      </c>
      <c r="G15252" s="10" t="inlineStr">
        <is>
          <t>31-03-2026</t>
        </is>
      </c>
      <c r="H15252" s="10" t="inlineStr">
        <is>
          <t>31/03/2026</t>
        </is>
      </c>
      <c r="I15252" s="10" t="inlineStr">
        <is>
          <t>17/03/2026</t>
        </is>
      </c>
      <c r="J15252" s="10" t="inlineStr">
        <is>
          <t>Vận chuyển / Giao nhận / Kho vận</t>
        </is>
      </c>
      <c r="K15252" s="10" t="inlineStr">
        <is>
          <t>N/A</t>
        </is>
      </c>
      <c r="L15252" s="11">
        <f>HYPERLINK("https://careerviet.vn/vi/tim-viec-lam/nhan-vien-dieu-hanh-buu-cuc-tai-ho-chi-minh.35C6AA47.html","Xem chi tiết")</f>
        <v/>
      </c>
      <c r="M15252" s="10" t="n"/>
    </row>
    <row r="15253">
      <c r="B15253" s="7" t="n">
        <v>15251</v>
      </c>
      <c r="C15253" t="inlineStr">
        <is>
          <t>Trưởng Nhóm Tuyển Sinh (Ocean Edu Quảng Ngãi 2)</t>
        </is>
      </c>
      <c r="D15253" t="inlineStr">
        <is>
          <t>Công Ty CP Giáo Dục Đại Dương</t>
        </is>
      </c>
      <c r="E15253" t="inlineStr">
        <is>
          <t>Lương:Cạnh tranh</t>
        </is>
      </c>
      <c r="F15253" t="inlineStr">
        <is>
          <t>Quảng Ngãi</t>
        </is>
      </c>
      <c r="G15253" t="inlineStr">
        <is>
          <t>03-04-2026</t>
        </is>
      </c>
      <c r="H15253" t="inlineStr">
        <is>
          <t>03/04/2026</t>
        </is>
      </c>
      <c r="I15253" t="inlineStr">
        <is>
          <t>17/03/2026</t>
        </is>
      </c>
      <c r="J15253" t="inlineStr">
        <is>
          <t>Tư vấn, Dịch vụ khách hàng, Giáo dục / Đào tạo</t>
        </is>
      </c>
      <c r="K15253" t="inlineStr">
        <is>
          <t>1 - 2 Năm</t>
        </is>
      </c>
      <c r="L15253" s="8">
        <f>HYPERLINK("https://careerviet.vn/vi/tim-viec-lam/truong-nhom-tuyen-sinh-ocean-edu-quang-ngai-2.35C6AB51.html","Xem chi tiết")</f>
        <v/>
      </c>
    </row>
    <row r="15254">
      <c r="B15254" s="9" t="n">
        <v>15252</v>
      </c>
      <c r="C15254" s="10" t="inlineStr">
        <is>
          <t>Facility Technician (M&amp;E) - Cu Chi</t>
        </is>
      </c>
      <c r="D15254" s="10" t="inlineStr">
        <is>
          <t>Techtronic Industries Vietnam Manufacturing Company Limited</t>
        </is>
      </c>
      <c r="E15254" s="10" t="inlineStr">
        <is>
          <t>Lương:Cạnh tranh</t>
        </is>
      </c>
      <c r="F15254" s="10" t="inlineStr">
        <is>
          <t>Hồ Chí Minh</t>
        </is>
      </c>
      <c r="G15254" s="10" t="inlineStr">
        <is>
          <t>03-04-2026</t>
        </is>
      </c>
      <c r="H15254" s="10" t="inlineStr">
        <is>
          <t>03/04/2026</t>
        </is>
      </c>
      <c r="I15254" s="10" t="inlineStr">
        <is>
          <t>17/03/2026</t>
        </is>
      </c>
      <c r="J15254" s="10" t="inlineStr">
        <is>
          <t>Xây dựng, Sản xuất / Vận hành sản xuất, Điện / Điện tử / Điện lạnh / Điện công nghiệp</t>
        </is>
      </c>
      <c r="K15254" s="10" t="inlineStr">
        <is>
          <t>2 - 4 Năm</t>
        </is>
      </c>
      <c r="L15254" s="11">
        <f>HYPERLINK("https://careerviet.vn/vi/tim-viec-lam/facility-technician-m-e-cu-chi.35C6AB45.html","Xem chi tiết")</f>
        <v/>
      </c>
      <c r="M15254" s="10" t="n"/>
    </row>
    <row r="15255">
      <c r="B15255" s="7" t="n">
        <v>15253</v>
      </c>
      <c r="C15255" t="inlineStr">
        <is>
          <t>Bác sĩ y khoa, y học dự phòng có CCHN, GPHN</t>
        </is>
      </c>
      <c r="D15255" t="inlineStr">
        <is>
          <t>CÔNG TY TNHH ĐẦU TƯ Y TẾ QUỐC TẾ DND – SÀI GÒN</t>
        </is>
      </c>
      <c r="E15255" t="inlineStr">
        <is>
          <t>Lương:Cạnh tranh</t>
        </is>
      </c>
      <c r="F15255" t="inlineStr">
        <is>
          <t>Hà Nội</t>
        </is>
      </c>
      <c r="G15255" t="inlineStr">
        <is>
          <t>31-03-2026</t>
        </is>
      </c>
      <c r="H15255" t="inlineStr">
        <is>
          <t>31/03/2026</t>
        </is>
      </c>
      <c r="I15255" t="inlineStr">
        <is>
          <t>17/03/2026</t>
        </is>
      </c>
      <c r="J15255" t="inlineStr">
        <is>
          <t>Y tế / Chăm sóc sức khỏe / Thẩm mỹ / Làm đẹp, Dược phẩm/ Hóa Mỹ Phẩm</t>
        </is>
      </c>
      <c r="K15255" t="inlineStr">
        <is>
          <t>Trên 1 Năm</t>
        </is>
      </c>
      <c r="L15255" s="8">
        <f>HYPERLINK("https://careerviet.vn/vi/tim-viec-lam/bac-si-y-khoa-y-hoc-du-phong-co-cchn-gphn.35C6AD81.html","Xem chi tiết")</f>
        <v/>
      </c>
    </row>
    <row r="15256">
      <c r="B15256" s="9" t="n">
        <v>15254</v>
      </c>
      <c r="C15256" s="10" t="inlineStr">
        <is>
          <t>Chuyên Viên Google Ads</t>
        </is>
      </c>
      <c r="D15256" s="10" t="inlineStr">
        <is>
          <t>CÔNG TY TNHH DỊCH VỤ PHÁT TRIỂN CÔNG NGHỆ HƯNG PHÁT</t>
        </is>
      </c>
      <c r="E15256" s="10" t="inlineStr">
        <is>
          <t>Lương:8 Tr - 20 Tr VND</t>
        </is>
      </c>
      <c r="F15256" s="10" t="inlineStr">
        <is>
          <t>Hồ Chí Minh</t>
        </is>
      </c>
      <c r="G15256" s="10" t="inlineStr">
        <is>
          <t>04-04-2026</t>
        </is>
      </c>
      <c r="H15256" s="10" t="inlineStr">
        <is>
          <t>04/04/2026</t>
        </is>
      </c>
      <c r="I15256" s="10" t="inlineStr">
        <is>
          <t>17/03/2026</t>
        </is>
      </c>
      <c r="J15256" s="10" t="inlineStr">
        <is>
          <t>Truyền hình / Báo chí / Biên tập, Quảng cáo / Đối ngoại / Truyền Thông, Tiếp thị / Marketing</t>
        </is>
      </c>
      <c r="K15256" s="10" t="inlineStr">
        <is>
          <t>1 - 2 Năm</t>
        </is>
      </c>
      <c r="L15256" s="11">
        <f>HYPERLINK("https://careerviet.vn/vi/tim-viec-lam/chuyen-vien-google-ads.35C6ACB0.html","Xem chi tiết")</f>
        <v/>
      </c>
      <c r="M15256" s="10" t="n"/>
    </row>
    <row r="15257">
      <c r="B15257" s="7" t="n">
        <v>15255</v>
      </c>
      <c r="C15257" t="inlineStr">
        <is>
          <t>Chuyên Viên Kỹ Thuật Sản Phẩm</t>
        </is>
      </c>
      <c r="D15257" t="inlineStr">
        <is>
          <t>Tập Đoàn Karofi Holding</t>
        </is>
      </c>
      <c r="E15257" t="inlineStr">
        <is>
          <t>Lương:Cạnh tranh</t>
        </is>
      </c>
      <c r="F15257" t="inlineStr">
        <is>
          <t>Hưng Yên</t>
        </is>
      </c>
      <c r="G15257" t="inlineStr">
        <is>
          <t>03-04-2026</t>
        </is>
      </c>
      <c r="H15257" t="inlineStr">
        <is>
          <t>03/04/2026</t>
        </is>
      </c>
      <c r="I15257" t="inlineStr">
        <is>
          <t>17/03/2026</t>
        </is>
      </c>
      <c r="J15257" t="inlineStr">
        <is>
          <t>Sản xuất / Vận hành sản xuất</t>
        </is>
      </c>
      <c r="K15257" t="inlineStr">
        <is>
          <t>Trên 2 Năm</t>
        </is>
      </c>
      <c r="L15257" s="8">
        <f>HYPERLINK("https://careerviet.vn/vi/tim-viec-lam/chuyen-vien-ky-thuat-san-pham.35C6AECB.html","Xem chi tiết")</f>
        <v/>
      </c>
    </row>
    <row r="15258">
      <c r="B15258" s="9" t="n">
        <v>15256</v>
      </c>
      <c r="C15258" s="10" t="inlineStr">
        <is>
          <t>Kế toán Doanh thu</t>
        </is>
      </c>
      <c r="D15258" s="10" t="inlineStr">
        <is>
          <t>Công ty TNHH PHD</t>
        </is>
      </c>
      <c r="E15258" s="10" t="inlineStr">
        <is>
          <t>Lương:10 Tr - 12 Tr VND</t>
        </is>
      </c>
      <c r="F15258" s="10" t="inlineStr">
        <is>
          <t>Hà Nội</t>
        </is>
      </c>
      <c r="G15258" s="10" t="inlineStr">
        <is>
          <t>04-04-2026</t>
        </is>
      </c>
      <c r="H15258" s="10" t="inlineStr">
        <is>
          <t>04/04/2026</t>
        </is>
      </c>
      <c r="I15258" s="10" t="inlineStr">
        <is>
          <t>17/03/2026</t>
        </is>
      </c>
      <c r="J15258" s="10" t="inlineStr">
        <is>
          <t>Kế toán / Kiểm toán</t>
        </is>
      </c>
      <c r="K15258" s="10" t="inlineStr">
        <is>
          <t>1 - 2 Năm</t>
        </is>
      </c>
      <c r="L15258" s="11">
        <f>HYPERLINK("https://careerviet.vn/vi/tim-viec-lam/ke-toan-doanh-thu.35C6AD69.html","Xem chi tiết")</f>
        <v/>
      </c>
      <c r="M15258" s="10" t="n"/>
    </row>
    <row r="15259">
      <c r="B15259" s="7" t="n">
        <v>15257</v>
      </c>
      <c r="C15259" t="inlineStr">
        <is>
          <t>Kỹ Thuật Điện/ Kỹ Sư Điện - Làm việc tại Phường Cát Lái</t>
        </is>
      </c>
      <c r="D15259" t="inlineStr">
        <is>
          <t>Công Ty Cổ Phần Mỹ Phẩm Sài Gòn</t>
        </is>
      </c>
      <c r="E15259" t="inlineStr">
        <is>
          <t>Lương:Cạnh tranh</t>
        </is>
      </c>
      <c r="F15259" t="inlineStr">
        <is>
          <t>Hồ Chí Minh</t>
        </is>
      </c>
      <c r="G15259" t="inlineStr">
        <is>
          <t>03-04-2026</t>
        </is>
      </c>
      <c r="H15259" t="inlineStr">
        <is>
          <t>03/04/2026</t>
        </is>
      </c>
      <c r="I15259" t="inlineStr">
        <is>
          <t>17/03/2026</t>
        </is>
      </c>
      <c r="J15259" t="inlineStr">
        <is>
          <t>Điện / Điện tử / Điện lạnh / Điện công nghiệp, Bảo trì / Sửa chữa</t>
        </is>
      </c>
      <c r="K15259" t="inlineStr">
        <is>
          <t>1 - 3 Năm</t>
        </is>
      </c>
      <c r="L15259" s="8">
        <f>HYPERLINK("https://careerviet.vn/vi/tim-viec-lam/ky-thuat-dien-ky-su-dien-lam-viec-tai-phuong-cat-lai.35C6AB55.html","Xem chi tiết")</f>
        <v/>
      </c>
    </row>
    <row r="15260">
      <c r="B15260" s="9" t="n">
        <v>15258</v>
      </c>
      <c r="C15260" s="10" t="inlineStr">
        <is>
          <t>[G.MASTER] BẾP TRƯỞNG / BẾP PHÓ</t>
        </is>
      </c>
      <c r="D15260" s="10" t="inlineStr">
        <is>
          <t>Công Ty Cổ Phần Tầm Nhìn Quốc Tế Aladdin</t>
        </is>
      </c>
      <c r="E15260" s="10" t="inlineStr">
        <is>
          <t>Lương:12 Tr - 20 Tr VND</t>
        </is>
      </c>
      <c r="F15260" s="10" t="inlineStr">
        <is>
          <t>Hồ Chí Minh</t>
        </is>
      </c>
      <c r="G15260" s="10" t="inlineStr">
        <is>
          <t>04-04-2026</t>
        </is>
      </c>
      <c r="H15260" s="10" t="inlineStr">
        <is>
          <t>04/04/2026</t>
        </is>
      </c>
      <c r="I15260" s="10" t="inlineStr">
        <is>
          <t>17/03/2026</t>
        </is>
      </c>
      <c r="J15260" s="10" t="inlineStr">
        <is>
          <t>Thực phẩm &amp; Đồ uống, Nhà hàng / Khách sạn, Quản lý điều hành</t>
        </is>
      </c>
      <c r="K15260" s="10" t="inlineStr">
        <is>
          <t>Trên 2 Năm</t>
        </is>
      </c>
      <c r="L15260" s="11">
        <f>HYPERLINK("https://careerviet.vn/vi/tim-viec-lam/g-master-bep-truong-bep-pho.35C6AB25.html","Xem chi tiết")</f>
        <v/>
      </c>
      <c r="M15260" s="10" t="n"/>
    </row>
    <row r="15261">
      <c r="B15261" s="7" t="n">
        <v>15259</v>
      </c>
      <c r="C15261" t="inlineStr">
        <is>
          <t>Chuyên Viên Tư Vấn Giáo Dục - Ocean Edu Quỳnh Phụ - Thu Nhập Từ 15Triệu/Tháng - Phỏng Vấn Đi Làm Ngay</t>
        </is>
      </c>
      <c r="D15261" t="inlineStr">
        <is>
          <t>Công Ty CP Giáo Dục Đại Dương</t>
        </is>
      </c>
      <c r="E15261" t="inlineStr">
        <is>
          <t>Lương:Cạnh tranh</t>
        </is>
      </c>
      <c r="F15261" t="inlineStr">
        <is>
          <t>Thái Bình</t>
        </is>
      </c>
      <c r="G15261" t="inlineStr">
        <is>
          <t>03-04-2026</t>
        </is>
      </c>
      <c r="H15261" t="inlineStr">
        <is>
          <t>03/04/2026</t>
        </is>
      </c>
      <c r="I15261" t="inlineStr">
        <is>
          <t>17/03/2026</t>
        </is>
      </c>
      <c r="J15261" t="inlineStr">
        <is>
          <t>Dịch vụ khách hàng, Giáo dục / Đào tạo, Bán hàng / Kinh doanh</t>
        </is>
      </c>
      <c r="K15261" t="inlineStr">
        <is>
          <t>Chưa có kinh nghiệm</t>
        </is>
      </c>
      <c r="L15261" s="8">
        <f>HYPERLINK("https://careerviet.vn/vi/tim-viec-lam/chuyen-vien-tu-van-giao-duc-ocean-edu-quynh-phu-thu-nhap-tu-15trieu-thang-phong-van-di-lam-ngay.35C6AEB7.html","Xem chi tiết")</f>
        <v/>
      </c>
    </row>
    <row r="15262">
      <c r="B15262" s="9" t="n">
        <v>15260</v>
      </c>
      <c r="C15262" s="10" t="inlineStr">
        <is>
          <t>Kỹ sư QS xây dựng</t>
        </is>
      </c>
      <c r="D15262" s="10" t="inlineStr">
        <is>
          <t>CÔNG TY CỔ PHẦN EUROWINDOW HOLDING</t>
        </is>
      </c>
      <c r="E15262" s="10" t="inlineStr">
        <is>
          <t>Lương:Cạnh tranh</t>
        </is>
      </c>
      <c r="F15262" s="10" t="inlineStr">
        <is>
          <t>Hà Nội</t>
        </is>
      </c>
      <c r="G15262" s="10" t="inlineStr">
        <is>
          <t>31-03-2026</t>
        </is>
      </c>
      <c r="H15262" s="10" t="inlineStr">
        <is>
          <t>31/03/2026</t>
        </is>
      </c>
      <c r="I15262" s="10" t="inlineStr">
        <is>
          <t>17/03/2026</t>
        </is>
      </c>
      <c r="J15262" s="10" t="inlineStr">
        <is>
          <t>Xây dựng, Kiến trúc, Bất động sản</t>
        </is>
      </c>
      <c r="K15262" s="10" t="inlineStr">
        <is>
          <t>3 - 5 Năm</t>
        </is>
      </c>
      <c r="L15262" s="11">
        <f>HYPERLINK("https://careerviet.vn/vi/tim-viec-lam/ky-su-qs-xay-dung.35C6AC95.html","Xem chi tiết")</f>
        <v/>
      </c>
      <c r="M15262" s="10" t="n"/>
    </row>
    <row r="15263">
      <c r="B15263" s="7" t="n">
        <v>15261</v>
      </c>
      <c r="C15263" t="inlineStr">
        <is>
          <t>Demand and Supply Planning Manager</t>
        </is>
      </c>
      <c r="D15263" t="inlineStr">
        <is>
          <t>Công Ty TNHH Thương Mại Dịch Vụ Xuất Nhập Khẩu The Vigo</t>
        </is>
      </c>
      <c r="E15263" t="inlineStr">
        <is>
          <t>Lương:Cạnh tranh</t>
        </is>
      </c>
      <c r="F15263" t="inlineStr">
        <is>
          <t>Hồ Chí Minh</t>
        </is>
      </c>
      <c r="G15263" t="inlineStr">
        <is>
          <t>05-04-2026</t>
        </is>
      </c>
      <c r="H15263" t="inlineStr">
        <is>
          <t>05/04/2026</t>
        </is>
      </c>
      <c r="I15263" t="inlineStr">
        <is>
          <t>17/03/2026</t>
        </is>
      </c>
      <c r="J15263" t="inlineStr">
        <is>
          <t>Bán hàng / Kinh doanh, Dược phẩm/ Hóa Mỹ Phẩm, Xuất nhập khẩu</t>
        </is>
      </c>
      <c r="K15263" t="inlineStr">
        <is>
          <t>5 - 15 Năm</t>
        </is>
      </c>
      <c r="L15263" s="8">
        <f>HYPERLINK("https://careerviet.vn/vi/tim-viec-lam/demand-and-supply-planning-manager.35C6AC0F.html","Xem chi tiết")</f>
        <v/>
      </c>
    </row>
    <row r="15264">
      <c r="B15264" s="9" t="n">
        <v>15262</v>
      </c>
      <c r="C15264" s="10" t="inlineStr">
        <is>
          <t>Kế toán Công nợ Nhà cung cấp</t>
        </is>
      </c>
      <c r="D15264" s="10" t="inlineStr">
        <is>
          <t>Công ty TNHH PHD</t>
        </is>
      </c>
      <c r="E15264" s="10" t="inlineStr">
        <is>
          <t>Lương:10 Tr - 12 Tr VND</t>
        </is>
      </c>
      <c r="F15264" s="10" t="inlineStr">
        <is>
          <t>Hà Nội</t>
        </is>
      </c>
      <c r="G15264" s="10" t="inlineStr">
        <is>
          <t>04-04-2026</t>
        </is>
      </c>
      <c r="H15264" s="10" t="inlineStr">
        <is>
          <t>04/04/2026</t>
        </is>
      </c>
      <c r="I15264" s="10" t="inlineStr">
        <is>
          <t>17/03/2026</t>
        </is>
      </c>
      <c r="J15264" s="10" t="inlineStr">
        <is>
          <t>Kế toán / Kiểm toán</t>
        </is>
      </c>
      <c r="K15264" s="10" t="inlineStr">
        <is>
          <t>1 - 2 Năm</t>
        </is>
      </c>
      <c r="L15264" s="11">
        <f>HYPERLINK("https://careerviet.vn/vi/tim-viec-lam/ke-toan-cong-no-nha-cung-cap.35C6AD70.html","Xem chi tiết")</f>
        <v/>
      </c>
      <c r="M15264" s="10" t="n"/>
    </row>
    <row r="15265">
      <c r="B15265" s="7" t="n">
        <v>15263</v>
      </c>
      <c r="C15265" t="inlineStr">
        <is>
          <t>Giáo Viên Chủ Nhiệm (Ocean Edu Lương Sơn)</t>
        </is>
      </c>
      <c r="D15265" t="inlineStr">
        <is>
          <t>Công Ty CP Giáo Dục Đại Dương</t>
        </is>
      </c>
      <c r="E15265" t="inlineStr">
        <is>
          <t>Lương:Cạnh tranh</t>
        </is>
      </c>
      <c r="F15265" t="inlineStr">
        <is>
          <t>Hòa Bình</t>
        </is>
      </c>
      <c r="G15265" t="inlineStr">
        <is>
          <t>03-04-2026</t>
        </is>
      </c>
      <c r="H15265" t="inlineStr">
        <is>
          <t>03/04/2026</t>
        </is>
      </c>
      <c r="I15265" t="inlineStr">
        <is>
          <t>17/03/2026</t>
        </is>
      </c>
      <c r="J15265" t="inlineStr">
        <is>
          <t>Giáo dục / Đào tạo, Bán hàng / Kinh doanh, Biên phiên dịch</t>
        </is>
      </c>
      <c r="K15265" t="inlineStr">
        <is>
          <t>Trên 1 Năm</t>
        </is>
      </c>
      <c r="L15265" s="8">
        <f>HYPERLINK("https://careerviet.vn/vi/tim-viec-lam/giao-vien-chu-nhiem-ocean-edu-luong-son.35C6ABCF.html","Xem chi tiết")</f>
        <v/>
      </c>
    </row>
    <row r="15266">
      <c r="B15266" s="9" t="n">
        <v>15264</v>
      </c>
      <c r="C15266" s="10" t="inlineStr">
        <is>
          <t>[Gia Lai] Tuyển Nhân Viên Bán Hàng</t>
        </is>
      </c>
      <c r="D15266" s="10" t="inlineStr">
        <is>
          <t>Công Ty TNHH XNK Phát Triển Đông Dương</t>
        </is>
      </c>
      <c r="E15266" s="10" t="inlineStr">
        <is>
          <t>Lương:Cạnh tranh</t>
        </is>
      </c>
      <c r="F15266" s="10" t="inlineStr">
        <is>
          <t>Gia Lai</t>
        </is>
      </c>
      <c r="G15266" s="10" t="inlineStr">
        <is>
          <t>03-04-2026</t>
        </is>
      </c>
      <c r="H15266" s="10" t="inlineStr">
        <is>
          <t>03/04/2026</t>
        </is>
      </c>
      <c r="I15266" s="10" t="inlineStr">
        <is>
          <t>17/03/2026</t>
        </is>
      </c>
      <c r="J15266" s="10" t="inlineStr">
        <is>
          <t>Bán lẻ / Bán sỉ, Bán hàng / Kinh doanh, Tư vấn</t>
        </is>
      </c>
      <c r="K15266" s="10" t="inlineStr">
        <is>
          <t>N/A</t>
        </is>
      </c>
      <c r="L15266" s="11">
        <f>HYPERLINK("https://careerviet.vn/vi/tim-viec-lam/gia-lai-tuyen-nhan-vien-ban-hang.35C6AC68.html","Xem chi tiết")</f>
        <v/>
      </c>
      <c r="M15266" s="10" t="n"/>
    </row>
    <row r="15267">
      <c r="B15267" s="7" t="n">
        <v>15265</v>
      </c>
      <c r="C15267" t="inlineStr">
        <is>
          <t>Senior FP&amp;A / Cost Planning Executive (Quantity Surveying Background)</t>
        </is>
      </c>
      <c r="D15267" t="inlineStr">
        <is>
          <t>Công Ty Cổ Phần Tập Đoàn Đầu Tư Địa Ốc No Va</t>
        </is>
      </c>
      <c r="E15267" t="inlineStr">
        <is>
          <t>Lương:Cạnh tranh</t>
        </is>
      </c>
      <c r="F15267" t="inlineStr">
        <is>
          <t>Hồ Chí Minh</t>
        </is>
      </c>
      <c r="G15267" t="inlineStr">
        <is>
          <t>30-05-2026</t>
        </is>
      </c>
      <c r="H15267" t="inlineStr">
        <is>
          <t>30/05/2026</t>
        </is>
      </c>
      <c r="I15267" t="inlineStr">
        <is>
          <t>17/03/2026</t>
        </is>
      </c>
      <c r="J15267" t="inlineStr">
        <is>
          <t>Kiến trúc, Xây dựng, Bất động sản</t>
        </is>
      </c>
      <c r="K15267" t="inlineStr">
        <is>
          <t>3 - 5 Năm</t>
        </is>
      </c>
      <c r="L15267" s="8">
        <f>HYPERLINK("https://careerviet.vn/vi/tim-viec-lam/senior-fp-a-cost-planning-executive-quantity-surveying-background.35C6ABD2.html","Xem chi tiết")</f>
        <v/>
      </c>
    </row>
    <row r="15268">
      <c r="B15268" s="9" t="n">
        <v>15266</v>
      </c>
      <c r="C15268" s="10" t="inlineStr">
        <is>
          <t>Trợ lý Giám đốc Điều hành (Clinic)</t>
        </is>
      </c>
      <c r="D15268" s="10" t="inlineStr">
        <is>
          <t>CÔNG TY CỔ PHẦN IFF HOLDINGS</t>
        </is>
      </c>
      <c r="E15268" s="10" t="inlineStr">
        <is>
          <t>Lương:16 Tr - 18 Tr VND</t>
        </is>
      </c>
      <c r="F15268" s="10" t="inlineStr">
        <is>
          <t>Hồ Chí Minh</t>
        </is>
      </c>
      <c r="G15268" s="10" t="inlineStr">
        <is>
          <t>04-04-2026</t>
        </is>
      </c>
      <c r="H15268" s="10" t="inlineStr">
        <is>
          <t>04/04/2026</t>
        </is>
      </c>
      <c r="I15268" s="10" t="inlineStr">
        <is>
          <t>17/03/2026</t>
        </is>
      </c>
      <c r="J15268" s="10" t="inlineStr">
        <is>
          <t>Hành chính / Thư ký, Quản lý điều hành, Y tế / Chăm sóc sức khỏe / Thẩm mỹ / Làm đẹp</t>
        </is>
      </c>
      <c r="K15268" s="10" t="inlineStr">
        <is>
          <t>2 - 5 Năm</t>
        </is>
      </c>
      <c r="L15268" s="11">
        <f>HYPERLINK("https://careerviet.vn/vi/tim-viec-lam/tro-ly-giam-doc-dieu-hanh-clinic.35C6AE3D.html","Xem chi tiết")</f>
        <v/>
      </c>
      <c r="M15268" s="10" t="n"/>
    </row>
    <row r="15269">
      <c r="B15269" s="7" t="n">
        <v>15267</v>
      </c>
      <c r="C15269" t="inlineStr">
        <is>
          <t>CV/CVC/CVCC Quản trị hệ thống (system management ) làm việc tại Hội sở HCM</t>
        </is>
      </c>
      <c r="D15269" t="inlineStr">
        <is>
          <t>Ngân hàng TMCP Việt Á – VietABank</t>
        </is>
      </c>
      <c r="E15269" t="inlineStr">
        <is>
          <t>Lương:Cạnh tranh</t>
        </is>
      </c>
      <c r="F15269" t="inlineStr">
        <is>
          <t>Hồ Chí Minh</t>
        </is>
      </c>
      <c r="G15269" t="inlineStr">
        <is>
          <t>31-03-2026</t>
        </is>
      </c>
      <c r="H15269" t="inlineStr">
        <is>
          <t>31/03/2026</t>
        </is>
      </c>
      <c r="I15269" t="inlineStr">
        <is>
          <t>17/03/2026</t>
        </is>
      </c>
      <c r="J15269" t="inlineStr">
        <is>
          <t>CNTT - Phần mềm, Ngân hàng</t>
        </is>
      </c>
      <c r="K15269" t="inlineStr">
        <is>
          <t>1 - 3 Năm</t>
        </is>
      </c>
      <c r="L15269" s="8">
        <f>HYPERLINK("https://careerviet.vn/vi/tim-viec-lam/cv-cvc-cvcc-quan-tri-he-thong-system-management-lam-viec-tai-hoi-so-hcm.35C6AD8A.html","Xem chi tiết")</f>
        <v/>
      </c>
    </row>
    <row r="15270">
      <c r="B15270" s="9" t="n">
        <v>15268</v>
      </c>
      <c r="C15270" s="10" t="inlineStr">
        <is>
          <t>Hardware Developer</t>
        </is>
      </c>
      <c r="D15270" s="10" t="inlineStr">
        <is>
          <t>Tập Đoàn Karofi Holding</t>
        </is>
      </c>
      <c r="E15270" s="10" t="inlineStr">
        <is>
          <t>Lương:Cạnh tranh</t>
        </is>
      </c>
      <c r="F15270" s="10" t="inlineStr">
        <is>
          <t>Hà Nội</t>
        </is>
      </c>
      <c r="G15270" s="10" t="inlineStr">
        <is>
          <t>03-04-2026</t>
        </is>
      </c>
      <c r="H15270" s="10" t="inlineStr">
        <is>
          <t>03/04/2026</t>
        </is>
      </c>
      <c r="I15270" s="10" t="inlineStr">
        <is>
          <t>17/03/2026</t>
        </is>
      </c>
      <c r="J15270" s="10" t="inlineStr">
        <is>
          <t>CNTT - Phần mềm, CNTT - Phần cứng / Mạng</t>
        </is>
      </c>
      <c r="K15270" s="10" t="inlineStr">
        <is>
          <t>1 - 3 Năm</t>
        </is>
      </c>
      <c r="L15270" s="11">
        <f>HYPERLINK("https://careerviet.vn/vi/tim-viec-lam/hardware-developer.35C6ADD2.html","Xem chi tiết")</f>
        <v/>
      </c>
      <c r="M15270" s="10" t="n"/>
    </row>
    <row r="15271">
      <c r="B15271" s="7" t="n">
        <v>15269</v>
      </c>
      <c r="C15271" t="inlineStr">
        <is>
          <t>TRƯỞNG BỘ PHẬN DỊCH VỤ - PHÒNG KHÁCH HÀNG ƯU TIÊN</t>
        </is>
      </c>
      <c r="D15271" t="inlineStr">
        <is>
          <t>NGÂN HÀNG TMCP SÀI GÒN THƯƠNG TÍN (SACOMBANK)</t>
        </is>
      </c>
      <c r="E15271" t="inlineStr">
        <is>
          <t>Lương:Cạnh tranh</t>
        </is>
      </c>
      <c r="F15271" t="inlineStr">
        <is>
          <t>Hồ Chí Minh</t>
        </is>
      </c>
      <c r="G15271" t="inlineStr">
        <is>
          <t>03-04-2026</t>
        </is>
      </c>
      <c r="H15271" t="inlineStr">
        <is>
          <t>03/04/2026</t>
        </is>
      </c>
      <c r="I15271" t="inlineStr">
        <is>
          <t>17/03/2026</t>
        </is>
      </c>
      <c r="J15271" t="inlineStr">
        <is>
          <t>Ngân hàng</t>
        </is>
      </c>
      <c r="K15271" t="inlineStr">
        <is>
          <t>Trên 5 Năm</t>
        </is>
      </c>
      <c r="L15271" s="8">
        <f>HYPERLINK("https://careerviet.vn/vi/tim-viec-lam/truong-bo-phan-dich-vu-phong-khach-hang-uu-tien.35C6AEE3.html","Xem chi tiết")</f>
        <v/>
      </c>
    </row>
    <row r="15272">
      <c r="B15272" s="9" t="n">
        <v>15270</v>
      </c>
      <c r="C15272" s="10" t="inlineStr">
        <is>
          <t>Local Marketing</t>
        </is>
      </c>
      <c r="D15272" s="10" t="inlineStr">
        <is>
          <t>HỆ THỐNG TRƯỜNG MẦM NON - TIỂU HỌC ICS</t>
        </is>
      </c>
      <c r="E15272" s="10" t="inlineStr">
        <is>
          <t>Lương:11 Tr - 14 Tr VND</t>
        </is>
      </c>
      <c r="F15272" s="10" t="inlineStr">
        <is>
          <t>Hồ Chí Minh</t>
        </is>
      </c>
      <c r="G15272" s="10" t="inlineStr">
        <is>
          <t>31-03-2026</t>
        </is>
      </c>
      <c r="H15272" s="10" t="inlineStr">
        <is>
          <t>31/03/2026</t>
        </is>
      </c>
      <c r="I15272" s="10" t="inlineStr">
        <is>
          <t>17/03/2026</t>
        </is>
      </c>
      <c r="J15272" s="10" t="inlineStr">
        <is>
          <t>Tiếp thị / Marketing, Giáo dục / Đào tạo, Tổ chức sự kiện</t>
        </is>
      </c>
      <c r="K15272" s="10" t="inlineStr">
        <is>
          <t>1 - 3 Năm</t>
        </is>
      </c>
      <c r="L15272" s="11">
        <f>HYPERLINK("https://careerviet.vn/vi/tim-viec-lam/local-marketing.35C6AD27.html","Xem chi tiết")</f>
        <v/>
      </c>
      <c r="M15272" s="10" t="n"/>
    </row>
    <row r="15273">
      <c r="B15273" s="7" t="n">
        <v>15271</v>
      </c>
      <c r="C15273" t="inlineStr">
        <is>
          <t>HR Executive</t>
        </is>
      </c>
      <c r="D15273" t="inlineStr">
        <is>
          <t>Công Ty TNHH Techbond MFG (Việt Nam)</t>
        </is>
      </c>
      <c r="E15273" t="inlineStr">
        <is>
          <t>Lương:Cạnh tranh</t>
        </is>
      </c>
      <c r="F15273" t="inlineStr">
        <is>
          <t>Bình Dương</t>
        </is>
      </c>
      <c r="G15273" t="inlineStr">
        <is>
          <t>31-03-2026</t>
        </is>
      </c>
      <c r="H15273" t="inlineStr">
        <is>
          <t>31/03/2026</t>
        </is>
      </c>
      <c r="I15273" t="inlineStr">
        <is>
          <t>17/03/2026</t>
        </is>
      </c>
      <c r="J15273" t="inlineStr">
        <is>
          <t>Nhân sự, Sản xuất / Vận hành sản xuất, Hóa học</t>
        </is>
      </c>
      <c r="K15273" t="inlineStr">
        <is>
          <t>Lên đến 3 Năm</t>
        </is>
      </c>
      <c r="L15273" s="8">
        <f>HYPERLINK("https://careerviet.vn/vi/tim-viec-lam/hr-executive.35C6AD50.html","Xem chi tiết")</f>
        <v/>
      </c>
    </row>
    <row r="15274">
      <c r="B15274" s="9" t="n">
        <v>15272</v>
      </c>
      <c r="C15274" s="10" t="inlineStr">
        <is>
          <t>Trợ lý Quản lý Nhà hàng - ARM [Shake Shack - Burger Restaurant]</t>
        </is>
      </c>
      <c r="D15274" s="10" t="inlineStr">
        <is>
          <t>Bảo mật</t>
        </is>
      </c>
      <c r="E15274" s="10" t="inlineStr">
        <is>
          <t>Lương:Cạnh tranh</t>
        </is>
      </c>
      <c r="F15274" s="10" t="inlineStr">
        <is>
          <t>Hồ Chí Minh</t>
        </is>
      </c>
      <c r="G15274" s="10" t="inlineStr">
        <is>
          <t>31-05-2026</t>
        </is>
      </c>
      <c r="H15274" s="10" t="inlineStr">
        <is>
          <t>31/05/2026</t>
        </is>
      </c>
      <c r="I15274" s="10" t="inlineStr">
        <is>
          <t>17/03/2026</t>
        </is>
      </c>
      <c r="J15274" s="10" t="inlineStr">
        <is>
          <t>Bán lẻ / Bán sỉ, Thực phẩm &amp; Đồ uống, Nhà hàng / Khách sạn</t>
        </is>
      </c>
      <c r="K15274" s="10" t="inlineStr">
        <is>
          <t>2 - 5 Năm</t>
        </is>
      </c>
      <c r="L15274" s="11">
        <f>HYPERLINK("https://careerviet.vn/vi/tim-viec-lam/tro-ly-quan-ly-nha-hang-arm-shake-shack-burger-restaurant.35C6AE31.html","Xem chi tiết")</f>
        <v/>
      </c>
      <c r="M15274" s="10" t="n"/>
    </row>
    <row r="15275">
      <c r="B15275" s="7" t="n">
        <v>15273</v>
      </c>
      <c r="C15275" t="inlineStr">
        <is>
          <t>Chuyên viên Pháp chế (Mảng thầu nhà nước)</t>
        </is>
      </c>
      <c r="D15275" t="inlineStr">
        <is>
          <t>CÔNG TY CỔ PHẦN CÔNG NGHỆ FOXAI</t>
        </is>
      </c>
      <c r="E15275" t="inlineStr">
        <is>
          <t>Lương:12 Tr - 18 Tr VND</t>
        </is>
      </c>
      <c r="F15275" t="inlineStr">
        <is>
          <t>Hà Nội</t>
        </is>
      </c>
      <c r="G15275" t="inlineStr">
        <is>
          <t>04-04-2026</t>
        </is>
      </c>
      <c r="H15275" t="inlineStr">
        <is>
          <t>04/04/2026</t>
        </is>
      </c>
      <c r="I15275" t="inlineStr">
        <is>
          <t>17/03/2026</t>
        </is>
      </c>
      <c r="J15275" t="inlineStr">
        <is>
          <t>Luật / Pháp lý, Hành chính / Thư ký, CNTT - Phần mềm</t>
        </is>
      </c>
      <c r="K15275" t="inlineStr">
        <is>
          <t>Trên 2 Năm</t>
        </is>
      </c>
      <c r="L15275" s="8">
        <f>HYPERLINK("https://careerviet.vn/vi/tim-viec-lam/chuyen-vien-phap-che-mang-thau-nha-nuoc.35C6AB48.html","Xem chi tiết")</f>
        <v/>
      </c>
    </row>
    <row r="15276">
      <c r="B15276" s="9" t="n">
        <v>15274</v>
      </c>
      <c r="C15276" s="10" t="inlineStr">
        <is>
          <t>Trưởng Ca Bán Hàng Bà Rịa</t>
        </is>
      </c>
      <c r="D15276" s="10" t="inlineStr">
        <is>
          <t>Công ty Cổ phần IntelLife</t>
        </is>
      </c>
      <c r="E15276" s="10" t="inlineStr">
        <is>
          <t>Lương:8 Tr - 12 Tr VND</t>
        </is>
      </c>
      <c r="F15276" s="10" t="inlineStr">
        <is>
          <t>Bà Rịa - Vũng Tàu</t>
        </is>
      </c>
      <c r="G15276" s="10" t="inlineStr">
        <is>
          <t>05-04-2026</t>
        </is>
      </c>
      <c r="H15276" s="10" t="inlineStr">
        <is>
          <t>05/04/2026</t>
        </is>
      </c>
      <c r="I15276" s="10" t="inlineStr">
        <is>
          <t>17/03/2026</t>
        </is>
      </c>
      <c r="J15276" s="10" t="inlineStr">
        <is>
          <t>Bán hàng / Kinh doanh, Bán lẻ / Bán sỉ, Tư vấn</t>
        </is>
      </c>
      <c r="K15276" s="10" t="inlineStr">
        <is>
          <t>Lên đến 1 Năm</t>
        </is>
      </c>
      <c r="L15276" s="11">
        <f>HYPERLINK("https://careerviet.vn/vi/tim-viec-lam/truong-ca-ban-hang-ba-ria.35C6ABB6.html","Xem chi tiết")</f>
        <v/>
      </c>
      <c r="M15276" s="10" t="n"/>
    </row>
    <row r="15277">
      <c r="B15277" s="7" t="n">
        <v>15275</v>
      </c>
      <c r="C15277" t="inlineStr">
        <is>
          <t>QC staff</t>
        </is>
      </c>
      <c r="D15277" t="inlineStr">
        <is>
          <t>Shinpoong Daewoo Pharma</t>
        </is>
      </c>
      <c r="E15277" t="inlineStr">
        <is>
          <t>Lương:Cạnh tranh</t>
        </is>
      </c>
      <c r="F15277" t="inlineStr">
        <is>
          <t>Đồng Nai</t>
        </is>
      </c>
      <c r="G15277" t="inlineStr">
        <is>
          <t>30-04-2026</t>
        </is>
      </c>
      <c r="H15277" t="inlineStr">
        <is>
          <t>30/04/2026</t>
        </is>
      </c>
      <c r="I15277" t="inlineStr">
        <is>
          <t>17/03/2026</t>
        </is>
      </c>
      <c r="J15277" t="inlineStr">
        <is>
          <t>Dược phẩm/ Hóa Mỹ Phẩm, Hóa học, Quản lý chất lượng (QA/QC)</t>
        </is>
      </c>
      <c r="K15277" t="inlineStr">
        <is>
          <t>3 - 5 Năm</t>
        </is>
      </c>
      <c r="L15277" s="8">
        <f>HYPERLINK("https://careerviet.vn/vi/tim-viec-lam/qc-staff.35C6ABCB.html","Xem chi tiết")</f>
        <v/>
      </c>
    </row>
    <row r="15278">
      <c r="B15278" s="9" t="n">
        <v>15276</v>
      </c>
      <c r="C15278" s="10" t="inlineStr">
        <is>
          <t>Chuyên viên lập trình máy CNC</t>
        </is>
      </c>
      <c r="D15278" s="10" t="inlineStr">
        <is>
          <t>CÔNG TY TNHH MTV KỸ THUẬT TÚ LỘC</t>
        </is>
      </c>
      <c r="E15278" s="10" t="inlineStr">
        <is>
          <t>Lương:12 Tr - 17 Tr VND</t>
        </is>
      </c>
      <c r="F15278" s="10" t="inlineStr">
        <is>
          <t>Hồ Chí Minh</t>
        </is>
      </c>
      <c r="G15278" s="10" t="inlineStr">
        <is>
          <t>31-03-2026</t>
        </is>
      </c>
      <c r="H15278" s="10" t="inlineStr">
        <is>
          <t>31/03/2026</t>
        </is>
      </c>
      <c r="I15278" s="10" t="inlineStr">
        <is>
          <t>17/03/2026</t>
        </is>
      </c>
      <c r="J15278" s="10" t="inlineStr">
        <is>
          <t>Sản xuất / Vận hành sản xuất, Cơ khí / Ô tô / Tự động hóa, Xây dựng</t>
        </is>
      </c>
      <c r="K15278" s="10" t="inlineStr">
        <is>
          <t>1 - 2 Năm</t>
        </is>
      </c>
      <c r="L15278" s="11">
        <f>HYPERLINK("https://careerviet.vn/vi/tim-viec-lam/chuyen-vien-lap-trinh-may-cnc.35C6AE1E.html","Xem chi tiết")</f>
        <v/>
      </c>
      <c r="M15278" s="10" t="n"/>
    </row>
    <row r="15279">
      <c r="B15279" s="7" t="n">
        <v>15277</v>
      </c>
      <c r="C15279" t="inlineStr">
        <is>
          <t>Kỹ sư an toàn</t>
        </is>
      </c>
      <c r="D15279" t="inlineStr">
        <is>
          <t>CÔNG TY CỔ PHẦN CÔNG NGHỆ SOTATEK VIỆT NAM</t>
        </is>
      </c>
      <c r="E15279" t="inlineStr">
        <is>
          <t>Lương:Cạnh tranh</t>
        </is>
      </c>
      <c r="F15279" t="inlineStr">
        <is>
          <t>Ninh Thuận</t>
        </is>
      </c>
      <c r="G15279" t="inlineStr">
        <is>
          <t>31-03-2026</t>
        </is>
      </c>
      <c r="H15279" t="inlineStr">
        <is>
          <t>31/03/2026</t>
        </is>
      </c>
      <c r="I15279" t="inlineStr">
        <is>
          <t>17/03/2026</t>
        </is>
      </c>
      <c r="J15279" t="inlineStr">
        <is>
          <t>An toàn lao động, Bảo trì / Sửa chữa</t>
        </is>
      </c>
      <c r="K15279" t="inlineStr">
        <is>
          <t>Trên 2 Năm</t>
        </is>
      </c>
      <c r="L15279" s="8">
        <f>HYPERLINK("https://careerviet.vn/vi/tim-viec-lam/ky-su-an-toan.35C6AE2B.html","Xem chi tiết")</f>
        <v/>
      </c>
    </row>
    <row r="15280">
      <c r="B15280" s="9" t="n">
        <v>15278</v>
      </c>
      <c r="C15280" s="10" t="inlineStr">
        <is>
          <t>Nhân Viên Hồ Sơ Quy Trình</t>
        </is>
      </c>
      <c r="D15280" s="10" t="inlineStr">
        <is>
          <t>Orioled Hub</t>
        </is>
      </c>
      <c r="E15280" s="10" t="inlineStr">
        <is>
          <t>Lương:Cạnh tranh</t>
        </is>
      </c>
      <c r="F15280" s="10" t="inlineStr">
        <is>
          <t>Bà Rịa - Vũng Tàu</t>
        </is>
      </c>
      <c r="G15280" s="10" t="inlineStr">
        <is>
          <t>30-04-2026</t>
        </is>
      </c>
      <c r="H15280" s="10" t="inlineStr">
        <is>
          <t>30/04/2026</t>
        </is>
      </c>
      <c r="I15280" s="10" t="inlineStr">
        <is>
          <t>17/03/2026</t>
        </is>
      </c>
      <c r="J15280" s="10" t="inlineStr">
        <is>
          <t>Dược phẩm/ Hóa Mỹ Phẩm, Quản lý chất lượng (QA/QC), Sản xuất / Vận hành sản xuất</t>
        </is>
      </c>
      <c r="K15280" s="10" t="inlineStr">
        <is>
          <t>Chưa có kinh nghiệm</t>
        </is>
      </c>
      <c r="L15280" s="11">
        <f>HYPERLINK("https://careerviet.vn/vi/tim-viec-lam/nhan-vien-ho-so-quy-trinh.35C6ADF6.html","Xem chi tiết")</f>
        <v/>
      </c>
      <c r="M15280" s="10" t="n"/>
    </row>
    <row r="15281">
      <c r="B15281" s="7" t="n">
        <v>15279</v>
      </c>
      <c r="C15281" t="inlineStr">
        <is>
          <t>Nhân viên kế hoạch vật tư</t>
        </is>
      </c>
      <c r="D15281" t="inlineStr">
        <is>
          <t>CÔNG TY CỔ PHẦN CÔNG NGHỆ SOTATEK VIỆT NAM</t>
        </is>
      </c>
      <c r="E15281" t="inlineStr">
        <is>
          <t>Lương:Cạnh tranh</t>
        </is>
      </c>
      <c r="F15281" t="inlineStr">
        <is>
          <t>Ninh Thuận</t>
        </is>
      </c>
      <c r="G15281" t="inlineStr">
        <is>
          <t>31-03-2026</t>
        </is>
      </c>
      <c r="H15281" t="inlineStr">
        <is>
          <t>31/03/2026</t>
        </is>
      </c>
      <c r="I15281" t="inlineStr">
        <is>
          <t>17/03/2026</t>
        </is>
      </c>
      <c r="J15281" t="inlineStr">
        <is>
          <t>Thu mua / Vật tư, Sản xuất / Vận hành sản xuất, Vận chuyển / Giao nhận / Kho vận</t>
        </is>
      </c>
      <c r="K15281" t="inlineStr">
        <is>
          <t>Chưa có kinh nghiệm</t>
        </is>
      </c>
      <c r="L15281" s="8">
        <f>HYPERLINK("https://careerviet.vn/vi/tim-viec-lam/nhan-vien-ke-hoach-vat-tu.35C6AD90.html","Xem chi tiết")</f>
        <v/>
      </c>
    </row>
    <row r="15282">
      <c r="B15282" s="9" t="n">
        <v>15280</v>
      </c>
      <c r="C15282" s="10" t="inlineStr">
        <is>
          <t>MES Project Engineer</t>
        </is>
      </c>
      <c r="D15282" s="10" t="inlineStr">
        <is>
          <t>Công ty TNHH Sài Gòn Stec</t>
        </is>
      </c>
      <c r="E15282" s="10" t="inlineStr">
        <is>
          <t>Lương:15 Tr - 23 Tr VND</t>
        </is>
      </c>
      <c r="F15282" s="10" t="inlineStr">
        <is>
          <t>Bình Dương</t>
        </is>
      </c>
      <c r="G15282" s="10" t="inlineStr">
        <is>
          <t>10-03-2026</t>
        </is>
      </c>
      <c r="H15282" s="10" t="inlineStr">
        <is>
          <t>04/03/2026</t>
        </is>
      </c>
      <c r="I15282" s="10" t="inlineStr">
        <is>
          <t>17/03/2026</t>
        </is>
      </c>
      <c r="J15282" s="10" t="inlineStr">
        <is>
          <t>Điện / Điện tử / Điện lạnh / Điện công nghiệp, Cơ khí / Ô tô / Tự động hóa, Bảo trì / Sửa chữa</t>
        </is>
      </c>
      <c r="K15282" s="10" t="inlineStr">
        <is>
          <t>1 - 3 Năm</t>
        </is>
      </c>
      <c r="L15282" s="11">
        <f>HYPERLINK("https://careerviet.vn/vi/tim-viec-lam/mes-project-engineer.35C6AB3F.html","Xem chi tiết")</f>
        <v/>
      </c>
      <c r="M15282" s="10" t="n"/>
    </row>
    <row r="15283">
      <c r="B15283" s="7" t="n">
        <v>15281</v>
      </c>
      <c r="C15283" t="inlineStr">
        <is>
          <t>Quản lý kinh doanh khu vực</t>
        </is>
      </c>
      <c r="D15283" t="inlineStr">
        <is>
          <t>CÔNG TY TNHH MĂMMY VIỆT NAM</t>
        </is>
      </c>
      <c r="E15283" t="inlineStr">
        <is>
          <t>Lương:Cạnh tranh</t>
        </is>
      </c>
      <c r="F15283" t="inlineStr">
        <is>
          <t>Hà NộiHà GiangHòa Bình</t>
        </is>
      </c>
      <c r="G15283" t="inlineStr">
        <is>
          <t>31-03-2026</t>
        </is>
      </c>
      <c r="H15283" t="inlineStr">
        <is>
          <t>31/03/2026</t>
        </is>
      </c>
      <c r="I15283" t="inlineStr">
        <is>
          <t>17/03/2026</t>
        </is>
      </c>
      <c r="J15283" t="inlineStr">
        <is>
          <t>Bán hàng / Kinh doanh, Quản lý điều hành</t>
        </is>
      </c>
      <c r="K15283" t="inlineStr">
        <is>
          <t>3 - 5 Năm</t>
        </is>
      </c>
      <c r="L15283" s="8">
        <f>HYPERLINK("https://careerviet.vn/vi/tim-viec-lam/quan-ly-kinh-doanh-khu-vuc.35C6AE6F.html","Xem chi tiết")</f>
        <v/>
      </c>
    </row>
    <row r="15284">
      <c r="B15284" s="9" t="n">
        <v>15282</v>
      </c>
      <c r="C15284" s="10" t="inlineStr">
        <is>
          <t>CHUYÊN VIÊN PHÁT TRIỂN DỰ ÁN</t>
        </is>
      </c>
      <c r="D15284" s="10" t="inlineStr">
        <is>
          <t>CÔNG TY TƯ VẤN XÂY DỰNG HÀ NỘI - Thuộc Tập đoàn AMACCAO</t>
        </is>
      </c>
      <c r="E15284" s="10" t="inlineStr">
        <is>
          <t>Lương:18 Tr - 28 Tr VND</t>
        </is>
      </c>
      <c r="F15284" s="10" t="inlineStr">
        <is>
          <t>Hà Nội</t>
        </is>
      </c>
      <c r="G15284" s="10" t="inlineStr">
        <is>
          <t>31-03-2026</t>
        </is>
      </c>
      <c r="H15284" s="10" t="inlineStr">
        <is>
          <t>31/03/2026</t>
        </is>
      </c>
      <c r="I15284" s="10" t="inlineStr">
        <is>
          <t>17/03/2026</t>
        </is>
      </c>
      <c r="J15284" s="10" t="inlineStr">
        <is>
          <t>Xây dựng, Môi trường, Luật / Pháp lý</t>
        </is>
      </c>
      <c r="K15284" s="10" t="inlineStr">
        <is>
          <t>Chưa có kinh nghiệm</t>
        </is>
      </c>
      <c r="L15284" s="11">
        <f>HYPERLINK("https://careerviet.vn/vi/tim-viec-lam/chuyen-vien-phat-trien-du-an.35C6AE64.html","Xem chi tiết")</f>
        <v/>
      </c>
      <c r="M15284" s="10" t="n"/>
    </row>
    <row r="15285">
      <c r="B15285" s="7" t="n">
        <v>15283</v>
      </c>
      <c r="C15285" t="inlineStr">
        <is>
          <t>Nhân viên kỹ thuật (Đức Hoà - Long An)</t>
        </is>
      </c>
      <c r="D15285" t="inlineStr">
        <is>
          <t>Công ty Cổ phần TM-SX-DV Gia Thịnh Phát</t>
        </is>
      </c>
      <c r="E15285" t="inlineStr">
        <is>
          <t>Lương:9 Tr - 12 Tr VND</t>
        </is>
      </c>
      <c r="F15285" t="inlineStr">
        <is>
          <t>Long An</t>
        </is>
      </c>
      <c r="G15285" t="inlineStr">
        <is>
          <t>02-04-2026</t>
        </is>
      </c>
      <c r="H15285" t="inlineStr">
        <is>
          <t>02/04/2026</t>
        </is>
      </c>
      <c r="I15285" t="inlineStr">
        <is>
          <t>17/03/2026</t>
        </is>
      </c>
      <c r="J15285" t="inlineStr">
        <is>
          <t>Điện / Điện tử / Điện lạnh / Điện công nghiệp, Bảo trì / Sửa chữa</t>
        </is>
      </c>
      <c r="K15285" t="inlineStr">
        <is>
          <t>Chưa có kinh nghiệm</t>
        </is>
      </c>
      <c r="L15285" s="8">
        <f>HYPERLINK("https://careerviet.vn/vi/tim-viec-lam/nhan-vien-ky-thuat-duc-hoa-long-an.35C6ADC5.html","Xem chi tiết")</f>
        <v/>
      </c>
    </row>
    <row r="15286">
      <c r="B15286" s="9" t="n">
        <v>15284</v>
      </c>
      <c r="C15286" s="10" t="inlineStr">
        <is>
          <t>Nhân Viên Bán Hàng</t>
        </is>
      </c>
      <c r="D15286" s="10" t="inlineStr">
        <is>
          <t>CÔNG TY CỔ PHẦN ULTD THỊNH PHÁT</t>
        </is>
      </c>
      <c r="E15286" s="10" t="inlineStr">
        <is>
          <t>Lương:6 Tr - 10 Tr VND</t>
        </is>
      </c>
      <c r="F15286" s="10" t="inlineStr">
        <is>
          <t>Hà Nội</t>
        </is>
      </c>
      <c r="G15286" s="10" t="inlineStr">
        <is>
          <t>10-03-2026</t>
        </is>
      </c>
      <c r="H15286" s="10" t="inlineStr">
        <is>
          <t>21/01/2026</t>
        </is>
      </c>
      <c r="I15286" s="10" t="inlineStr">
        <is>
          <t>17/03/2026</t>
        </is>
      </c>
      <c r="J15286" s="10" t="inlineStr">
        <is>
          <t>Bán lẻ / Bán sỉ</t>
        </is>
      </c>
      <c r="K15286" s="10" t="inlineStr">
        <is>
          <t>Chưa có kinh nghiệm</t>
        </is>
      </c>
      <c r="L15286" s="11">
        <f>HYPERLINK("https://careerviet.vn/vi/tim-viec-lam/nhan-vien-ban-hang.35C633A0.html","Xem chi tiết")</f>
        <v/>
      </c>
      <c r="M15286" s="10" t="n"/>
    </row>
    <row r="15287">
      <c r="B15287" s="7" t="n">
        <v>15285</v>
      </c>
      <c r="C15287" t="inlineStr">
        <is>
          <t>CHUYÊN VIÊN SALES DỰ ÁN SMARTHOME | AUDIO (B2B)</t>
        </is>
      </c>
      <c r="D15287" t="inlineStr">
        <is>
          <t>Công ty TNHH Anh Đức</t>
        </is>
      </c>
      <c r="E15287" t="inlineStr">
        <is>
          <t>Lương:14 Tr - 20 Tr VND</t>
        </is>
      </c>
      <c r="F15287" t="inlineStr">
        <is>
          <t>Đà Nẵng</t>
        </is>
      </c>
      <c r="G15287" t="inlineStr">
        <is>
          <t>31-03-2026</t>
        </is>
      </c>
      <c r="H15287" t="inlineStr">
        <is>
          <t>31/03/2026</t>
        </is>
      </c>
      <c r="I15287" t="inlineStr">
        <is>
          <t>17/03/2026</t>
        </is>
      </c>
      <c r="J15287" t="inlineStr">
        <is>
          <t>Bán hàng / Kinh doanh, Bán lẻ / Bán sỉ, Tiếp thị / Marketing</t>
        </is>
      </c>
      <c r="K15287" t="inlineStr">
        <is>
          <t>1 - 2 Năm</t>
        </is>
      </c>
      <c r="L15287" s="8">
        <f>HYPERLINK("https://careerviet.vn/vi/tim-viec-lam/chuyen-vien-sales-du-an-smarthome-audio-b2b.35C6AB9D.html","Xem chi tiết")</f>
        <v/>
      </c>
    </row>
    <row r="15288">
      <c r="B15288" s="9" t="n">
        <v>15286</v>
      </c>
      <c r="C15288" s="10" t="inlineStr">
        <is>
          <t>Kỹ sư kinh doanh -  thiết bị lọc nước, lọc chất lỏng, lọc khí bụi</t>
        </is>
      </c>
      <c r="D15288" s="10" t="inlineStr">
        <is>
          <t>Cong Thanh Environment - Technology Co., Ltd (Envitech co.,Ltd )</t>
        </is>
      </c>
      <c r="E15288" s="10" t="inlineStr">
        <is>
          <t>Lương:12 Tr - 18 Tr VND</t>
        </is>
      </c>
      <c r="F15288" s="10" t="inlineStr">
        <is>
          <t>Hồ Chí Minh</t>
        </is>
      </c>
      <c r="G15288" s="10" t="inlineStr">
        <is>
          <t>31-03-2026</t>
        </is>
      </c>
      <c r="H15288" s="10" t="inlineStr">
        <is>
          <t>31/03/2026</t>
        </is>
      </c>
      <c r="I15288" s="10" t="inlineStr">
        <is>
          <t>17/03/2026</t>
        </is>
      </c>
      <c r="J15288" s="10" t="inlineStr">
        <is>
          <t>Bán hàng / Kinh doanh</t>
        </is>
      </c>
      <c r="K15288" s="10" t="inlineStr">
        <is>
          <t>1 - 3 Năm</t>
        </is>
      </c>
      <c r="L15288" s="11">
        <f>HYPERLINK("https://careerviet.vn/vi/tim-viec-lam/ky-su-kinh-doanh-thiet-bi-loc-nuoc-loc-chat-long-loc-khi-bui.35C6AC7F.html","Xem chi tiết")</f>
        <v/>
      </c>
      <c r="M15288" s="10" t="n"/>
    </row>
    <row r="15289">
      <c r="B15289" s="7" t="n">
        <v>15287</v>
      </c>
      <c r="C15289" t="inlineStr">
        <is>
          <t>Chăm sóc khách hàng  (Page Facebook)</t>
        </is>
      </c>
      <c r="D15289" t="inlineStr">
        <is>
          <t>Công ty cổ phần Okapi Việt Nam - Thương hiệu thời trang BADASS</t>
        </is>
      </c>
      <c r="E15289" t="inlineStr">
        <is>
          <t>Lương:7 Tr - 10 Tr VND</t>
        </is>
      </c>
      <c r="F15289" t="inlineStr">
        <is>
          <t>Hà Nội</t>
        </is>
      </c>
      <c r="G15289" t="inlineStr">
        <is>
          <t>29-03-2026</t>
        </is>
      </c>
      <c r="H15289" t="inlineStr">
        <is>
          <t>29/03/2026</t>
        </is>
      </c>
      <c r="I15289" t="inlineStr">
        <is>
          <t>17/03/2026</t>
        </is>
      </c>
      <c r="J15289" t="inlineStr">
        <is>
          <t>Dịch vụ khách hàng</t>
        </is>
      </c>
      <c r="K15289" t="inlineStr">
        <is>
          <t>N/A</t>
        </is>
      </c>
      <c r="L15289" s="8">
        <f>HYPERLINK("https://careerviet.vn/vi/tim-viec-lam/cham-soc-khach-hang-page-facebook.35C6AC00.html","Xem chi tiết")</f>
        <v/>
      </c>
    </row>
    <row r="15290">
      <c r="B15290" s="9" t="n">
        <v>15288</v>
      </c>
      <c r="C15290" s="10" t="inlineStr">
        <is>
          <t>Nhân Viên Kinh Doanh (Quận 3)</t>
        </is>
      </c>
      <c r="D15290" s="10" t="inlineStr">
        <is>
          <t>Công Ty TNHH Tập Đoàn Rita Võ</t>
        </is>
      </c>
      <c r="E15290" s="10" t="inlineStr">
        <is>
          <t>Lương:8,4 Tr - 15 Tr VND</t>
        </is>
      </c>
      <c r="F15290" s="10" t="inlineStr">
        <is>
          <t>Hồ Chí Minh</t>
        </is>
      </c>
      <c r="G15290" s="10" t="inlineStr">
        <is>
          <t>04-04-2026</t>
        </is>
      </c>
      <c r="H15290" s="10" t="inlineStr">
        <is>
          <t>04/04/2026</t>
        </is>
      </c>
      <c r="I15290" s="10" t="inlineStr">
        <is>
          <t>17/03/2026</t>
        </is>
      </c>
      <c r="J15290" s="10" t="inlineStr">
        <is>
          <t>Bán lẻ / Bán sỉ, Bán hàng / Kinh doanh, Bán Hàng Kỹ Thuật</t>
        </is>
      </c>
      <c r="K15290" s="10" t="inlineStr">
        <is>
          <t>Trên 1 Năm</t>
        </is>
      </c>
      <c r="L15290" s="11">
        <f>HYPERLINK("https://careerviet.vn/vi/tim-viec-lam/nhan-vien-kinh-doanh-quan-3.35C6AE58.html","Xem chi tiết")</f>
        <v/>
      </c>
      <c r="M15290" s="10" t="n"/>
    </row>
    <row r="15291">
      <c r="B15291" s="7" t="n">
        <v>15289</v>
      </c>
      <c r="C15291" t="inlineStr">
        <is>
          <t>Chuyên Viên Tư Vấn Giáo Dục - Ocean Edu Bãi Cháy - Thu Nhập Từ 15Triệu/Tháng - Phỏng Vấn Đi Làm Ngay</t>
        </is>
      </c>
      <c r="D15291" t="inlineStr">
        <is>
          <t>Công Ty CP Giáo Dục Đại Dương</t>
        </is>
      </c>
      <c r="E15291" t="inlineStr">
        <is>
          <t>Lương:Cạnh tranh</t>
        </is>
      </c>
      <c r="F15291" t="inlineStr">
        <is>
          <t>Quảng Ninh</t>
        </is>
      </c>
      <c r="G15291" t="inlineStr">
        <is>
          <t>03-04-2026</t>
        </is>
      </c>
      <c r="H15291" t="inlineStr">
        <is>
          <t>03/04/2026</t>
        </is>
      </c>
      <c r="I15291" t="inlineStr">
        <is>
          <t>17/03/2026</t>
        </is>
      </c>
      <c r="J15291" t="inlineStr">
        <is>
          <t>Dịch vụ khách hàng, Giáo dục / Đào tạo, Bán hàng / Kinh doanh</t>
        </is>
      </c>
      <c r="K15291" t="inlineStr">
        <is>
          <t>Chưa có kinh nghiệm</t>
        </is>
      </c>
      <c r="L15291" s="8">
        <f>HYPERLINK("https://careerviet.vn/vi/tim-viec-lam/chuyen-vien-tu-van-giao-duc-ocean-edu-bai-chay-thu-nhap-tu-15trieu-thang-phong-van-di-lam-ngay.35C6AEC0.html","Xem chi tiết")</f>
        <v/>
      </c>
    </row>
    <row r="15292">
      <c r="B15292" s="9" t="n">
        <v>15290</v>
      </c>
      <c r="C15292" s="10" t="inlineStr">
        <is>
          <t>Kế toán tổng hợp</t>
        </is>
      </c>
      <c r="D15292" s="10" t="inlineStr">
        <is>
          <t>CÔNG TY CỔ PHẦN PHÁT TRIỂN VIỄN THÔNG VÀ TRUYỀN HÌNH VIỆT NAM</t>
        </is>
      </c>
      <c r="E15292" s="10" t="inlineStr">
        <is>
          <t>Lương:12 Tr - 18 Tr VND</t>
        </is>
      </c>
      <c r="F15292" s="10" t="inlineStr">
        <is>
          <t>Hà Nội</t>
        </is>
      </c>
      <c r="G15292" s="10" t="inlineStr">
        <is>
          <t>06-04-2026</t>
        </is>
      </c>
      <c r="H15292" s="10" t="inlineStr">
        <is>
          <t>06/04/2026</t>
        </is>
      </c>
      <c r="I15292" s="10" t="inlineStr">
        <is>
          <t>17/03/2026</t>
        </is>
      </c>
      <c r="J15292" s="10" t="inlineStr">
        <is>
          <t>Bưu chính viễn thông, Kế toán / Kiểm toán, Tài chính / Đầu tư</t>
        </is>
      </c>
      <c r="K15292" s="10" t="inlineStr">
        <is>
          <t>3 - 5 Năm</t>
        </is>
      </c>
      <c r="L15292" s="11">
        <f>HYPERLINK("https://careerviet.vn/vi/tim-viec-lam/ke-toan-tong-hop.35C6ADA2.html","Xem chi tiết")</f>
        <v/>
      </c>
      <c r="M15292" s="10" t="n"/>
    </row>
    <row r="15293">
      <c r="B15293" s="7" t="n">
        <v>15291</v>
      </c>
      <c r="C15293" t="inlineStr">
        <is>
          <t>[BRVT] CHUYÊN VIÊN TUYỂN DỤNG - HÀNH CHÍNH NHÂN SỰ</t>
        </is>
      </c>
      <c r="D15293" t="inlineStr">
        <is>
          <t>Nova Service Group - Công ty Cổ phần Tập đoàn Nova Services</t>
        </is>
      </c>
      <c r="E15293" t="inlineStr">
        <is>
          <t>Lương:8 Tr - 12 Tr VND</t>
        </is>
      </c>
      <c r="F15293" t="inlineStr">
        <is>
          <t>Bà Rịa - Vũng Tàu</t>
        </is>
      </c>
      <c r="G15293" t="inlineStr">
        <is>
          <t>25-03-2026</t>
        </is>
      </c>
      <c r="H15293" t="inlineStr">
        <is>
          <t>25/03/2026</t>
        </is>
      </c>
      <c r="I15293" t="inlineStr">
        <is>
          <t>17/03/2026</t>
        </is>
      </c>
      <c r="J15293" t="inlineStr">
        <is>
          <t>Nhân sự, Hành chính / Thư ký</t>
        </is>
      </c>
      <c r="K15293" t="inlineStr">
        <is>
          <t>1 - 2 Năm</t>
        </is>
      </c>
      <c r="L15293" s="8">
        <f>HYPERLINK("https://careerviet.vn/vi/tim-viec-lam/brvt-chuyen-vien-tuyen-dung-hanh-chinh-nhan-su.35C6AC61.html","Xem chi tiết")</f>
        <v/>
      </c>
    </row>
    <row r="15294">
      <c r="B15294" s="9" t="n">
        <v>15292</v>
      </c>
      <c r="C15294" s="10" t="inlineStr">
        <is>
          <t>Giáo Viên Chủ Nhiệm (Ocean Edu Điện Biên)</t>
        </is>
      </c>
      <c r="D15294" s="10" t="inlineStr">
        <is>
          <t>Công Ty CP Giáo Dục Đại Dương</t>
        </is>
      </c>
      <c r="E15294" s="10" t="inlineStr">
        <is>
          <t>Lương:Cạnh tranh</t>
        </is>
      </c>
      <c r="F15294" s="10" t="inlineStr">
        <is>
          <t>Điện Biên</t>
        </is>
      </c>
      <c r="G15294" s="10" t="inlineStr">
        <is>
          <t>03-04-2026</t>
        </is>
      </c>
      <c r="H15294" s="10" t="inlineStr">
        <is>
          <t>03/04/2026</t>
        </is>
      </c>
      <c r="I15294" s="10" t="inlineStr">
        <is>
          <t>17/03/2026</t>
        </is>
      </c>
      <c r="J15294" s="10" t="inlineStr">
        <is>
          <t>Giáo dục / Đào tạo, Bán hàng / Kinh doanh, Biên phiên dịch</t>
        </is>
      </c>
      <c r="K15294" s="10" t="inlineStr">
        <is>
          <t>Trên 1 Năm</t>
        </is>
      </c>
      <c r="L15294" s="11">
        <f>HYPERLINK("https://careerviet.vn/vi/tim-viec-lam/giao-vien-chu-nhiem-ocean-edu-dien-bien.35C6ABD9.html","Xem chi tiết")</f>
        <v/>
      </c>
      <c r="M15294" s="10" t="n"/>
    </row>
    <row r="15295">
      <c r="B15295" s="7" t="n">
        <v>15293</v>
      </c>
      <c r="C15295" t="inlineStr">
        <is>
          <t>KẾ TOÁN HÀNH CHÍNH TỔNG HỢP</t>
        </is>
      </c>
      <c r="D15295" t="inlineStr">
        <is>
          <t>CÔNG TY TNHH SẢN XUẤT VÀ THƯƠNG MẠI THỦY SẢN THIỆN NHÀ TÔM</t>
        </is>
      </c>
      <c r="E15295" t="inlineStr">
        <is>
          <t>Lương:13 Tr - 16 Tr VND</t>
        </is>
      </c>
      <c r="F15295" t="inlineStr">
        <is>
          <t>Hồ Chí MinhĐồng Nai</t>
        </is>
      </c>
      <c r="G15295" t="inlineStr">
        <is>
          <t>30-04-2026</t>
        </is>
      </c>
      <c r="H15295" t="inlineStr">
        <is>
          <t>30/04/2026</t>
        </is>
      </c>
      <c r="I15295" t="inlineStr">
        <is>
          <t>17/03/2026</t>
        </is>
      </c>
      <c r="J15295" t="inlineStr">
        <is>
          <t>Hành chính / Thư ký, Kế toán / Kiểm toán, Ngân hàng</t>
        </is>
      </c>
      <c r="K15295" t="inlineStr">
        <is>
          <t>2 - 5 Năm</t>
        </is>
      </c>
      <c r="L15295" s="8">
        <f>HYPERLINK("https://careerviet.vn/vi/tim-viec-lam/ke-toan-hanh-chinh-tong-hop.35C6ABE1.html","Xem chi tiết")</f>
        <v/>
      </c>
    </row>
    <row r="15296">
      <c r="B15296" s="9" t="n">
        <v>15294</v>
      </c>
      <c r="C15296" s="10" t="inlineStr">
        <is>
          <t>Business Development Executive</t>
        </is>
      </c>
      <c r="D15296" s="10" t="inlineStr">
        <is>
          <t>CÔNG TY CỔ PHẦN INTEGRATED LOGISTICS VELA</t>
        </is>
      </c>
      <c r="E15296" s="10" t="inlineStr">
        <is>
          <t>Lương:Cạnh tranh</t>
        </is>
      </c>
      <c r="F15296" s="10" t="inlineStr">
        <is>
          <t>Hồ Chí Minh</t>
        </is>
      </c>
      <c r="G15296" s="10" t="inlineStr">
        <is>
          <t>03-04-2026</t>
        </is>
      </c>
      <c r="H15296" s="10" t="inlineStr">
        <is>
          <t>03/04/2026</t>
        </is>
      </c>
      <c r="I15296" s="10" t="inlineStr">
        <is>
          <t>17/03/2026</t>
        </is>
      </c>
      <c r="J15296" s="10" t="inlineStr">
        <is>
          <t>Vận chuyển / Giao nhận / Kho vận, CNTT - Phần mềm, Xuất nhập khẩu</t>
        </is>
      </c>
      <c r="K15296" s="10" t="inlineStr">
        <is>
          <t>N/A</t>
        </is>
      </c>
      <c r="L15296" s="11">
        <f>HYPERLINK("https://careerviet.vn/vi/tim-viec-lam/business-development-executive.35C6ACBC.html","Xem chi tiết")</f>
        <v/>
      </c>
      <c r="M15296" s="10" t="n"/>
    </row>
    <row r="15297">
      <c r="B15297" s="7" t="n">
        <v>15295</v>
      </c>
      <c r="C15297" t="inlineStr">
        <is>
          <t>Chuyên viên pháp lý</t>
        </is>
      </c>
      <c r="D15297" t="inlineStr">
        <is>
          <t>CÔNG TY CỔ PHẦN CITICS</t>
        </is>
      </c>
      <c r="E15297" t="inlineStr">
        <is>
          <t>Lương:15 Tr - 20 Tr VND</t>
        </is>
      </c>
      <c r="F15297" t="inlineStr">
        <is>
          <t>Hồ Chí Minh</t>
        </is>
      </c>
      <c r="G15297" t="inlineStr">
        <is>
          <t>30-04-2026</t>
        </is>
      </c>
      <c r="H15297" t="inlineStr">
        <is>
          <t>30/04/2026</t>
        </is>
      </c>
      <c r="I15297" t="inlineStr">
        <is>
          <t>17/03/2026</t>
        </is>
      </c>
      <c r="J15297" t="inlineStr">
        <is>
          <t>Luật / Pháp lý, Bất động sản</t>
        </is>
      </c>
      <c r="K15297" t="inlineStr">
        <is>
          <t>2 - 3 Năm</t>
        </is>
      </c>
      <c r="L15297" s="8">
        <f>HYPERLINK("https://careerviet.vn/vi/tim-viec-lam/chuyen-vien-phap-ly.35C6A5EA.html","Xem chi tiết")</f>
        <v/>
      </c>
    </row>
    <row r="15298">
      <c r="B15298" s="9" t="n">
        <v>15296</v>
      </c>
      <c r="C15298" s="10" t="inlineStr">
        <is>
          <t>[Nova Market] Giám đốc điều hành Vùng - Siêu thị</t>
        </is>
      </c>
      <c r="D15298" s="10" t="inlineStr">
        <is>
          <t>Nova Service Group - Công ty Cổ phần Tập đoàn Nova Services</t>
        </is>
      </c>
      <c r="E15298" s="10" t="inlineStr">
        <is>
          <t>Lương:Cạnh tranh</t>
        </is>
      </c>
      <c r="F15298" s="10" t="inlineStr">
        <is>
          <t>Đồng Nai</t>
        </is>
      </c>
      <c r="G15298" s="10" t="inlineStr">
        <is>
          <t>04-04-2026</t>
        </is>
      </c>
      <c r="H15298" s="10" t="inlineStr">
        <is>
          <t>04/04/2026</t>
        </is>
      </c>
      <c r="I15298" s="10" t="inlineStr">
        <is>
          <t>17/03/2026</t>
        </is>
      </c>
      <c r="J15298" s="10" t="inlineStr">
        <is>
          <t>Bất động sản, Dịch vụ khách hàng, Quản lý điều hành</t>
        </is>
      </c>
      <c r="K15298" s="10" t="inlineStr">
        <is>
          <t>2 - 4 Năm</t>
        </is>
      </c>
      <c r="L15298" s="11">
        <f>HYPERLINK("https://careerviet.vn/vi/tim-viec-lam/nova-market-giam-doc-dieu-hanh-vung-sieu-thi.35C6AE41.html","Xem chi tiết")</f>
        <v/>
      </c>
      <c r="M15298" s="10" t="n"/>
    </row>
    <row r="15299">
      <c r="B15299" s="7" t="n">
        <v>15297</v>
      </c>
      <c r="C15299" t="inlineStr">
        <is>
          <t>Chuyên Viên Sale Admin - Ocean Edu Hội Sở</t>
        </is>
      </c>
      <c r="D15299" t="inlineStr">
        <is>
          <t>Công Ty CP Giáo Dục Đại Dương</t>
        </is>
      </c>
      <c r="E15299" t="inlineStr">
        <is>
          <t>Lương:Cạnh tranh</t>
        </is>
      </c>
      <c r="F15299" t="inlineStr">
        <is>
          <t>Hà Nội</t>
        </is>
      </c>
      <c r="G15299" t="inlineStr">
        <is>
          <t>03-04-2026</t>
        </is>
      </c>
      <c r="H15299" t="inlineStr">
        <is>
          <t>03/04/2026</t>
        </is>
      </c>
      <c r="I15299" t="inlineStr">
        <is>
          <t>17/03/2026</t>
        </is>
      </c>
      <c r="J15299" t="inlineStr">
        <is>
          <t>Tư vấn, Giáo dục / Đào tạo</t>
        </is>
      </c>
      <c r="K15299" t="inlineStr">
        <is>
          <t>Lên đến 1 Năm</t>
        </is>
      </c>
      <c r="L15299" s="8">
        <f>HYPERLINK("https://careerviet.vn/vi/tim-viec-lam/chuyen-vien-sale-admin-ocean-edu-hoi-so.35C6AE44.html","Xem chi tiết")</f>
        <v/>
      </c>
    </row>
    <row r="15300">
      <c r="B15300" s="9" t="n">
        <v>15298</v>
      </c>
      <c r="C15300" s="10" t="inlineStr">
        <is>
          <t>KỸ SƯ XÂY DỰNG</t>
        </is>
      </c>
      <c r="D15300" s="10" t="inlineStr">
        <is>
          <t>TOP E &amp; C</t>
        </is>
      </c>
      <c r="E15300" s="10" t="inlineStr">
        <is>
          <t>Lương:Cạnh tranh</t>
        </is>
      </c>
      <c r="F15300" s="10" t="inlineStr">
        <is>
          <t>Hồ Chí Minh</t>
        </is>
      </c>
      <c r="G15300" s="10" t="inlineStr">
        <is>
          <t>31-05-2026</t>
        </is>
      </c>
      <c r="H15300" s="10" t="inlineStr">
        <is>
          <t>31/05/2026</t>
        </is>
      </c>
      <c r="I15300" s="10" t="inlineStr">
        <is>
          <t>17/03/2026</t>
        </is>
      </c>
      <c r="J15300" s="10" t="inlineStr">
        <is>
          <t>Xây dựng</t>
        </is>
      </c>
      <c r="K15300" s="10" t="inlineStr">
        <is>
          <t>2 - 5 Năm</t>
        </is>
      </c>
      <c r="L15300" s="11">
        <f>HYPERLINK("https://careerviet.vn/vi/tim-viec-lam/ky-su-xay-dung.35C6AE4F.html","Xem chi tiết")</f>
        <v/>
      </c>
      <c r="M15300" s="10" t="n"/>
    </row>
    <row r="15301">
      <c r="B15301" s="7" t="n">
        <v>15299</v>
      </c>
      <c r="C15301" t="inlineStr">
        <is>
          <t>Chuyên Viên Tư Vấn Giáo Dục - Ocean Edu Tố Hữu - Thu Nhập Từ 16Triệu/Tháng - Phỏng Vấn Đi Làm Ngay</t>
        </is>
      </c>
      <c r="D15301" t="inlineStr">
        <is>
          <t>Công Ty CP Giáo Dục Đại Dương</t>
        </is>
      </c>
      <c r="E15301" t="inlineStr">
        <is>
          <t>Lương:Cạnh tranh</t>
        </is>
      </c>
      <c r="F15301" t="inlineStr">
        <is>
          <t>Hà Nội</t>
        </is>
      </c>
      <c r="G15301" t="inlineStr">
        <is>
          <t>03-04-2026</t>
        </is>
      </c>
      <c r="H15301" t="inlineStr">
        <is>
          <t>03/04/2026</t>
        </is>
      </c>
      <c r="I15301" t="inlineStr">
        <is>
          <t>17/03/2026</t>
        </is>
      </c>
      <c r="J15301" t="inlineStr">
        <is>
          <t>Dịch vụ khách hàng, Giáo dục / Đào tạo, Bán hàng / Kinh doanh</t>
        </is>
      </c>
      <c r="K15301" t="inlineStr">
        <is>
          <t>Chưa có kinh nghiệm</t>
        </is>
      </c>
      <c r="L15301" s="8">
        <f>HYPERLINK("https://careerviet.vn/vi/tim-viec-lam/chuyen-vien-tu-van-giao-duc-ocean-edu-to-huu-thu-nhap-tu-16trieu-thang-phong-van-di-lam-ngay.35C6AEA6.html","Xem chi tiết")</f>
        <v/>
      </c>
    </row>
    <row r="15302">
      <c r="B15302" s="9" t="n">
        <v>15300</v>
      </c>
      <c r="C15302" s="10" t="inlineStr">
        <is>
          <t>Quản lý cửa hàng Hưng Yên (Văn Giang, Như Quỳnh, TP Hưng Yên)</t>
        </is>
      </c>
      <c r="D15302" s="10" t="inlineStr">
        <is>
          <t>Công ty Cổ phần IntelLife</t>
        </is>
      </c>
      <c r="E15302" s="10" t="inlineStr">
        <is>
          <t>Lương:10 Tr - 15 Tr VND</t>
        </is>
      </c>
      <c r="F15302" s="10" t="inlineStr">
        <is>
          <t>Hưng Yên</t>
        </is>
      </c>
      <c r="G15302" s="10" t="inlineStr">
        <is>
          <t>05-04-2026</t>
        </is>
      </c>
      <c r="H15302" s="10" t="inlineStr">
        <is>
          <t>05/04/2026</t>
        </is>
      </c>
      <c r="I15302" s="10" t="inlineStr">
        <is>
          <t>17/03/2026</t>
        </is>
      </c>
      <c r="J15302" s="10" t="inlineStr">
        <is>
          <t>Bán lẻ / Bán sỉ</t>
        </is>
      </c>
      <c r="K15302" s="10" t="inlineStr">
        <is>
          <t>1 - 2 Năm</t>
        </is>
      </c>
      <c r="L15302" s="11">
        <f>HYPERLINK("https://careerviet.vn/vi/tim-viec-lam/quan-ly-cua-hang-hung-yen-van-giang-nhu-quynh-tp-hung-yen.35C6ABBD.html","Xem chi tiết")</f>
        <v/>
      </c>
      <c r="M15302" s="10" t="n"/>
    </row>
    <row r="15303">
      <c r="B15303" s="7" t="n">
        <v>15301</v>
      </c>
      <c r="C15303" t="inlineStr">
        <is>
          <t>SEO Executive (Focus Google Maps + Web)</t>
        </is>
      </c>
      <c r="D15303" t="inlineStr">
        <is>
          <t>CÔNG TY CỔ PHẦN MAC MARKETING</t>
        </is>
      </c>
      <c r="E15303" t="inlineStr">
        <is>
          <t>Lương:9 Tr - 13 Tr VND</t>
        </is>
      </c>
      <c r="F15303" t="inlineStr">
        <is>
          <t>Hồ Chí Minh</t>
        </is>
      </c>
      <c r="G15303" t="inlineStr">
        <is>
          <t>01-04-2026</t>
        </is>
      </c>
      <c r="H15303" t="inlineStr">
        <is>
          <t>01/04/2026</t>
        </is>
      </c>
      <c r="I15303" t="inlineStr">
        <is>
          <t>17/03/2026</t>
        </is>
      </c>
      <c r="J15303" t="inlineStr">
        <is>
          <t>Tiếp thị / Marketing</t>
        </is>
      </c>
      <c r="K15303" t="inlineStr">
        <is>
          <t>Trên 1 Năm</t>
        </is>
      </c>
      <c r="L15303" s="8">
        <f>HYPERLINK("https://careerviet.vn/vi/tim-viec-lam/seo-executive-focus-google-maps-web.35C69734.html","Xem chi tiết")</f>
        <v/>
      </c>
    </row>
    <row r="15304">
      <c r="B15304" s="9" t="n">
        <v>15302</v>
      </c>
      <c r="C15304" s="10" t="inlineStr">
        <is>
          <t>Digital Transformation Manager</t>
        </is>
      </c>
      <c r="D15304" s="10" t="inlineStr">
        <is>
          <t>HR Vietnam’s ESS Client</t>
        </is>
      </c>
      <c r="E15304" s="10" t="inlineStr">
        <is>
          <t>Lương:Cạnh tranh</t>
        </is>
      </c>
      <c r="F15304" s="10" t="inlineStr">
        <is>
          <t>Hồ Chí Minh</t>
        </is>
      </c>
      <c r="G15304" s="10" t="inlineStr">
        <is>
          <t>27-03-2026</t>
        </is>
      </c>
      <c r="H15304" s="10" t="inlineStr">
        <is>
          <t>27/03/2026</t>
        </is>
      </c>
      <c r="I15304" s="10" t="inlineStr">
        <is>
          <t>17/03/2026</t>
        </is>
      </c>
      <c r="J15304" s="10" t="inlineStr">
        <is>
          <t>CNTT - Phần mềm, Tiếp thị trực tuyến, Quảng cáo / Đối ngoại / Truyền Thông</t>
        </is>
      </c>
      <c r="K15304" s="10" t="inlineStr">
        <is>
          <t>5 - 15 Năm</t>
        </is>
      </c>
      <c r="L15304" s="11">
        <f>HYPERLINK("https://careerviet.vn/vi/tim-viec-lam/digital-transformation-manager.35C6982D.html","Xem chi tiết")</f>
        <v/>
      </c>
      <c r="M15304" s="10" t="n"/>
    </row>
    <row r="15305">
      <c r="B15305" s="7" t="n">
        <v>15303</v>
      </c>
      <c r="C15305" t="inlineStr">
        <is>
          <t>NHÂN VIÊN KẾ TOÁN TỔNG HỢP</t>
        </is>
      </c>
      <c r="D15305" t="inlineStr">
        <is>
          <t>Công ty TNHH Isu vina</t>
        </is>
      </c>
      <c r="E15305" t="inlineStr">
        <is>
          <t>Lương:14 Tr - 16 Tr VND</t>
        </is>
      </c>
      <c r="F15305" t="inlineStr">
        <is>
          <t>Bình Dương</t>
        </is>
      </c>
      <c r="G15305" t="inlineStr">
        <is>
          <t>31-03-2026</t>
        </is>
      </c>
      <c r="H15305" t="inlineStr">
        <is>
          <t>31/03/2026</t>
        </is>
      </c>
      <c r="I15305" t="inlineStr">
        <is>
          <t>17/03/2026</t>
        </is>
      </c>
      <c r="J15305" t="inlineStr">
        <is>
          <t>Kế toán / Kiểm toán</t>
        </is>
      </c>
      <c r="K15305" t="inlineStr">
        <is>
          <t>5 - 10 Năm</t>
        </is>
      </c>
      <c r="L15305" s="8">
        <f>HYPERLINK("https://careerviet.vn/vi/tim-viec-lam/nhan-vien-ke-toan-tong-hop.35C6954A.html","Xem chi tiết")</f>
        <v/>
      </c>
    </row>
    <row r="15306">
      <c r="B15306" s="9" t="n">
        <v>15304</v>
      </c>
      <c r="C15306" s="10" t="inlineStr">
        <is>
          <t>Kế toán tổng hợp</t>
        </is>
      </c>
      <c r="D15306" s="10" t="inlineStr">
        <is>
          <t>CÔNG TY CP TẬP ĐOÀN VIỆT HỒNG</t>
        </is>
      </c>
      <c r="E15306" s="10" t="inlineStr">
        <is>
          <t>Lương:Cạnh tranh</t>
        </is>
      </c>
      <c r="F15306" s="10" t="inlineStr">
        <is>
          <t>Hồ Chí Minh</t>
        </is>
      </c>
      <c r="G15306" s="10" t="inlineStr">
        <is>
          <t>10-03-2026</t>
        </is>
      </c>
      <c r="H15306" s="10" t="inlineStr">
        <is>
          <t>15/03/2026</t>
        </is>
      </c>
      <c r="I15306" s="10" t="inlineStr">
        <is>
          <t>17/03/2026</t>
        </is>
      </c>
      <c r="J15306" s="10" t="inlineStr">
        <is>
          <t>Xuất nhập khẩu, Bán hàng / Kinh doanh, Sản xuất / Vận hành sản xuất</t>
        </is>
      </c>
      <c r="K15306" s="10" t="inlineStr">
        <is>
          <t>3 - 5 Năm</t>
        </is>
      </c>
      <c r="L15306" s="11">
        <f>HYPERLINK("https://careerviet.vn/vi/tim-viec-lam/ke-toan-tong-hop.35C69845.html","Xem chi tiết")</f>
        <v/>
      </c>
      <c r="M15306" s="10" t="n"/>
    </row>
    <row r="15307">
      <c r="B15307" s="7" t="n">
        <v>15305</v>
      </c>
      <c r="C15307" t="inlineStr">
        <is>
          <t>CHUYÊN VIÊN HUY ĐỘNG VỐN</t>
        </is>
      </c>
      <c r="D15307" t="inlineStr">
        <is>
          <t>Công Ty Cổ Phần Tập Đoàn Bất Động Sản Thắng Lợi</t>
        </is>
      </c>
      <c r="E15307" t="inlineStr">
        <is>
          <t>Lương:Cạnh tranh</t>
        </is>
      </c>
      <c r="F15307" t="inlineStr">
        <is>
          <t>Long An</t>
        </is>
      </c>
      <c r="G15307" t="inlineStr">
        <is>
          <t>30-03-2026</t>
        </is>
      </c>
      <c r="H15307" t="inlineStr">
        <is>
          <t>30/03/2026</t>
        </is>
      </c>
      <c r="I15307" t="inlineStr">
        <is>
          <t>17/03/2026</t>
        </is>
      </c>
      <c r="J15307" t="inlineStr">
        <is>
          <t>Tài chính / Đầu tư, Ngân hàng</t>
        </is>
      </c>
      <c r="K15307" t="inlineStr">
        <is>
          <t>3 - 5 Năm</t>
        </is>
      </c>
      <c r="L15307" s="8">
        <f>HYPERLINK("https://careerviet.vn/vi/tim-viec-lam/chuyen-vien-huy-dong-von.35C696A6.html","Xem chi tiết")</f>
        <v/>
      </c>
    </row>
    <row r="15308">
      <c r="B15308" s="9" t="n">
        <v>15306</v>
      </c>
      <c r="C15308" s="10" t="inlineStr">
        <is>
          <t>[HCM] Nhân Viên Bán Hàng Kênh MT - Sales Retail Executive</t>
        </is>
      </c>
      <c r="D15308" s="10" t="inlineStr">
        <is>
          <t>Classic Fine Foods</t>
        </is>
      </c>
      <c r="E15308" s="10" t="inlineStr">
        <is>
          <t>Lương:Cạnh tranh</t>
        </is>
      </c>
      <c r="F15308" s="10" t="inlineStr">
        <is>
          <t>Hồ Chí Minh</t>
        </is>
      </c>
      <c r="G15308" s="10" t="inlineStr">
        <is>
          <t>27-03-2026</t>
        </is>
      </c>
      <c r="H15308" s="10" t="inlineStr">
        <is>
          <t>27/03/2026</t>
        </is>
      </c>
      <c r="I15308" s="10" t="inlineStr">
        <is>
          <t>17/03/2026</t>
        </is>
      </c>
      <c r="J15308" s="10" t="inlineStr">
        <is>
          <t>Thực phẩm &amp; Đồ uống, Bán lẻ / Bán sỉ, Bán hàng / Kinh doanh</t>
        </is>
      </c>
      <c r="K15308" s="10" t="inlineStr">
        <is>
          <t>1 - 2 Năm</t>
        </is>
      </c>
      <c r="L15308" s="11">
        <f>HYPERLINK("https://careerviet.vn/vi/tim-viec-lam/hcm-nhan-vien-ban-hang-kenh-mt-sales-retail-executive.35C69785.html","Xem chi tiết")</f>
        <v/>
      </c>
      <c r="M15308" s="10" t="n"/>
    </row>
    <row r="15309">
      <c r="B15309" s="7" t="n">
        <v>15307</v>
      </c>
      <c r="C15309" t="inlineStr">
        <is>
          <t>Kế Toán Thuế</t>
        </is>
      </c>
      <c r="D15309" t="inlineStr">
        <is>
          <t>Công ty TNHH X.E Việt Nam</t>
        </is>
      </c>
      <c r="E15309" t="inlineStr">
        <is>
          <t>Lương:14 Tr - 17 Tr VND</t>
        </is>
      </c>
      <c r="F15309" t="inlineStr">
        <is>
          <t>Hà Nội</t>
        </is>
      </c>
      <c r="G15309" t="inlineStr">
        <is>
          <t>25-03-2026</t>
        </is>
      </c>
      <c r="H15309" t="inlineStr">
        <is>
          <t>25/03/2026</t>
        </is>
      </c>
      <c r="I15309" t="inlineStr">
        <is>
          <t>17/03/2026</t>
        </is>
      </c>
      <c r="J15309" t="inlineStr">
        <is>
          <t>Kế toán / Kiểm toán</t>
        </is>
      </c>
      <c r="K15309" t="inlineStr">
        <is>
          <t>2 - 4 Năm</t>
        </is>
      </c>
      <c r="L15309" s="8">
        <f>HYPERLINK("https://careerviet.vn/vi/tim-viec-lam/ke-toan-thue.35C69764.html","Xem chi tiết")</f>
        <v/>
      </c>
    </row>
    <row r="15310">
      <c r="B15310" s="9" t="n">
        <v>15308</v>
      </c>
      <c r="C15310" s="10" t="inlineStr">
        <is>
          <t>Trưởng bộ phận mua sắm hàng hóa (Thi công Nhà xưởng)</t>
        </is>
      </c>
      <c r="D15310" s="10" t="inlineStr">
        <is>
          <t>CÔNG TY CỔ PHẦN XÂY DỰNG MEGASPACE</t>
        </is>
      </c>
      <c r="E15310" s="10" t="inlineStr">
        <is>
          <t>Lương:22 Tr - 30 Tr VND</t>
        </is>
      </c>
      <c r="F15310" s="10" t="inlineStr">
        <is>
          <t>Hà Nội</t>
        </is>
      </c>
      <c r="G15310" s="10" t="inlineStr">
        <is>
          <t>25-03-2026</t>
        </is>
      </c>
      <c r="H15310" s="10" t="inlineStr">
        <is>
          <t>25/03/2026</t>
        </is>
      </c>
      <c r="I15310" s="10" t="inlineStr">
        <is>
          <t>17/03/2026</t>
        </is>
      </c>
      <c r="J15310" s="10" t="inlineStr">
        <is>
          <t>Xây dựng, Cơ khí / Ô tô / Tự động hóa, Điện / Điện tử / Điện lạnh / Điện công nghiệp</t>
        </is>
      </c>
      <c r="K15310" s="10" t="inlineStr">
        <is>
          <t>Trên 5 Năm</t>
        </is>
      </c>
      <c r="L15310" s="11">
        <f>HYPERLINK("https://careerviet.vn/vi/tim-viec-lam/truong-bo-phan-mua-sam-hang-hoa-thi-cong-nha-xuong.35C696B0.html","Xem chi tiết")</f>
        <v/>
      </c>
      <c r="M15310" s="10" t="n"/>
    </row>
    <row r="15311">
      <c r="B15311" s="7" t="n">
        <v>15309</v>
      </c>
      <c r="C15311" t="inlineStr">
        <is>
          <t>Nhân viên bảo vệ</t>
        </is>
      </c>
      <c r="D15311" t="inlineStr">
        <is>
          <t>Công Ty Cổ Phần Gỗ An Cường</t>
        </is>
      </c>
      <c r="E15311" t="inlineStr">
        <is>
          <t>Lương:9 Tr - 10 Tr VND</t>
        </is>
      </c>
      <c r="F15311" t="inlineStr">
        <is>
          <t>Hồ Chí Minh</t>
        </is>
      </c>
      <c r="G15311" t="inlineStr">
        <is>
          <t>25-03-2026</t>
        </is>
      </c>
      <c r="H15311" t="inlineStr">
        <is>
          <t>25/03/2026</t>
        </is>
      </c>
      <c r="I15311" t="inlineStr">
        <is>
          <t>17/03/2026</t>
        </is>
      </c>
      <c r="J15311" t="inlineStr">
        <is>
          <t>Hành chính / Thư ký, Nhân sự</t>
        </is>
      </c>
      <c r="K15311" t="inlineStr">
        <is>
          <t>Chưa có kinh nghiệm</t>
        </is>
      </c>
      <c r="L15311" s="8">
        <f>HYPERLINK("https://careerviet.vn/vi/tim-viec-lam/nhan-vien-bao-ve.35C69478.html","Xem chi tiết")</f>
        <v/>
      </c>
    </row>
    <row r="15312">
      <c r="B15312" s="9" t="n">
        <v>15310</v>
      </c>
      <c r="C15312" s="10" t="inlineStr">
        <is>
          <t>Chuyên Viên Bảo Trì Phần Mềm</t>
        </is>
      </c>
      <c r="D15312" s="10" t="inlineStr">
        <is>
          <t>CÔNG TY CỔ PHẦN CÔNG NGHỆ FOXAI</t>
        </is>
      </c>
      <c r="E15312" s="10" t="inlineStr">
        <is>
          <t>Lương:15 Tr - 35 Tr VND</t>
        </is>
      </c>
      <c r="F15312" s="10" t="inlineStr">
        <is>
          <t>Hà Nội</t>
        </is>
      </c>
      <c r="G15312" s="10" t="inlineStr">
        <is>
          <t>31-03-2026</t>
        </is>
      </c>
      <c r="H15312" s="10" t="inlineStr">
        <is>
          <t>31/03/2026</t>
        </is>
      </c>
      <c r="I15312" s="10" t="inlineStr">
        <is>
          <t>17/03/2026</t>
        </is>
      </c>
      <c r="J15312" s="10" t="inlineStr">
        <is>
          <t>Bảo trì / Sửa chữa, CNTT - Phần mềm</t>
        </is>
      </c>
      <c r="K15312" s="10" t="inlineStr">
        <is>
          <t>Trên 2 Năm</t>
        </is>
      </c>
      <c r="L15312" s="11">
        <f>HYPERLINK("https://careerviet.vn/vi/tim-viec-lam/chuyen-vien-bao-tri-phan-mem.35C695E3.html","Xem chi tiết")</f>
        <v/>
      </c>
      <c r="M15312" s="10" t="n"/>
    </row>
    <row r="15313">
      <c r="B15313" s="7" t="n">
        <v>15311</v>
      </c>
      <c r="C15313" t="inlineStr">
        <is>
          <t>Chuyên Viên Trực Tổng Đài  Viettel Hòa Lạc</t>
        </is>
      </c>
      <c r="D15313" t="inlineStr">
        <is>
          <t>CÔNG TY CỔ PHẦN TRUYỀN THÔNG KIM CƯƠNG</t>
        </is>
      </c>
      <c r="E15313" t="inlineStr">
        <is>
          <t>Lương:8 Tr - 12 Tr VND</t>
        </is>
      </c>
      <c r="F15313" t="inlineStr">
        <is>
          <t>Hà Nội</t>
        </is>
      </c>
      <c r="G15313" t="inlineStr">
        <is>
          <t>10-03-2026</t>
        </is>
      </c>
      <c r="H15313" t="inlineStr">
        <is>
          <t>25/02/2026</t>
        </is>
      </c>
      <c r="I15313" t="inlineStr">
        <is>
          <t>17/03/2026</t>
        </is>
      </c>
      <c r="J15313" t="inlineStr">
        <is>
          <t>Dịch vụ khách hàng, Tư vấn</t>
        </is>
      </c>
      <c r="K15313" t="inlineStr">
        <is>
          <t>N/A</t>
        </is>
      </c>
      <c r="L15313" s="8">
        <f>HYPERLINK("https://careerviet.vn/vi/tim-viec-lam/chuyen-vien-truc-tong-dai-viettel-hoa-lac.35C670EF.html","Xem chi tiết")</f>
        <v/>
      </c>
    </row>
    <row r="15314">
      <c r="B15314" s="9" t="n">
        <v>15312</v>
      </c>
      <c r="C15314" s="10" t="inlineStr">
        <is>
          <t>Nhân Viên Kinh Doanh (Mảng Công Nghiệp B2B)</t>
        </is>
      </c>
      <c r="D15314" s="10" t="inlineStr">
        <is>
          <t>CÔNG TY TNHH KỸ THUẬT CÔNG NGHỆ MÔI TRƯỜNG LONG TRƯỜNG VŨ</t>
        </is>
      </c>
      <c r="E15314" s="10" t="inlineStr">
        <is>
          <t>Lương:9 Tr - 15 Tr VND</t>
        </is>
      </c>
      <c r="F15314" s="10" t="inlineStr">
        <is>
          <t>Hồ Chí MinhĐà NẵngHà Nội</t>
        </is>
      </c>
      <c r="G15314" s="10" t="inlineStr">
        <is>
          <t>27-03-2026</t>
        </is>
      </c>
      <c r="H15314" s="10" t="inlineStr">
        <is>
          <t>27/03/2026</t>
        </is>
      </c>
      <c r="I15314" s="10" t="inlineStr">
        <is>
          <t>17/03/2026</t>
        </is>
      </c>
      <c r="J15314" s="10" t="inlineStr">
        <is>
          <t>Bán hàng / Kinh doanh, Bán lẻ / Bán sỉ, Bán Hàng Kỹ Thuật</t>
        </is>
      </c>
      <c r="K15314" s="10" t="inlineStr">
        <is>
          <t>1 - 2 Năm</t>
        </is>
      </c>
      <c r="L15314" s="11">
        <f>HYPERLINK("https://careerviet.vn/vi/tim-viec-lam/nhan-vien-kinh-doanh-mang-cong-nghiep-b2b.35C695FC.html","Xem chi tiết")</f>
        <v/>
      </c>
      <c r="M15314" s="10" t="n"/>
    </row>
    <row r="15315">
      <c r="B15315" s="7" t="n">
        <v>15313</v>
      </c>
      <c r="C15315" t="inlineStr">
        <is>
          <t>[HÀ NỘI] TRƯỞNG PHÒNG KINH DOANH B2B (B2B SALES MANAGER)</t>
        </is>
      </c>
      <c r="D15315" t="inlineStr">
        <is>
          <t>CÔNG TY CỔ PHẦN NGUYÊN LIỆU MQ</t>
        </is>
      </c>
      <c r="E15315" t="inlineStr">
        <is>
          <t>Lương:Cạnh tranh</t>
        </is>
      </c>
      <c r="F15315" t="inlineStr">
        <is>
          <t>Bắc NinhHà NộiĐồng Bằng Sông Hồng</t>
        </is>
      </c>
      <c r="G15315" t="inlineStr">
        <is>
          <t>31-03-2026</t>
        </is>
      </c>
      <c r="H15315" t="inlineStr">
        <is>
          <t>31/03/2026</t>
        </is>
      </c>
      <c r="I15315" t="inlineStr">
        <is>
          <t>17/03/2026</t>
        </is>
      </c>
      <c r="J15315" t="inlineStr">
        <is>
          <t>Bán hàng / Kinh doanh, Bán Hàng Kỹ Thuật, Dịch vụ khách hàng</t>
        </is>
      </c>
      <c r="K15315" t="inlineStr">
        <is>
          <t>3 - 5 Năm</t>
        </is>
      </c>
      <c r="L15315" s="8">
        <f>HYPERLINK("https://careerviet.vn/vi/tim-viec-lam/ha-noi-truong-phong-kinh-doanh-b2b-b2b-sales-manager.35C69896.html","Xem chi tiết")</f>
        <v/>
      </c>
    </row>
    <row r="15316">
      <c r="B15316" s="9" t="n">
        <v>15314</v>
      </c>
      <c r="C15316" s="10" t="inlineStr">
        <is>
          <t>Nhân Viên Bán Hàng Bách hóa Lưu niệm Làm Tại Sân Bay Tân Sơn Nhất</t>
        </is>
      </c>
      <c r="D15316" s="10" t="inlineStr">
        <is>
          <t>Công ty Cổ phần Đầu tư Thương mại Kỹ thuật A&amp;T Việt Nam</t>
        </is>
      </c>
      <c r="E15316" s="10" t="inlineStr">
        <is>
          <t>Lương:7 Tr - 12 Tr VND</t>
        </is>
      </c>
      <c r="F15316" s="10" t="inlineStr">
        <is>
          <t>Hồ Chí Minh</t>
        </is>
      </c>
      <c r="G15316" s="10" t="inlineStr">
        <is>
          <t>31-03-2026</t>
        </is>
      </c>
      <c r="H15316" s="10" t="inlineStr">
        <is>
          <t>31/03/2026</t>
        </is>
      </c>
      <c r="I15316" s="10" t="inlineStr">
        <is>
          <t>17/03/2026</t>
        </is>
      </c>
      <c r="J15316" s="10" t="inlineStr">
        <is>
          <t>Tiếp thị / Marketing, Bán lẻ / Bán sỉ, Bán hàng / Kinh doanh</t>
        </is>
      </c>
      <c r="K15316" s="10" t="inlineStr">
        <is>
          <t>1 - 2 Năm</t>
        </is>
      </c>
      <c r="L15316" s="11">
        <f>HYPERLINK("https://careerviet.vn/vi/tim-viec-lam/nhan-vien-ban-hang-bach-hoa-luu-niem-lam-tai-san-bay-tan-son-nhat.35C69626.html","Xem chi tiết")</f>
        <v/>
      </c>
      <c r="M15316" s="10" t="n"/>
    </row>
    <row r="15317">
      <c r="B15317" s="7" t="n">
        <v>15315</v>
      </c>
      <c r="C15317" t="inlineStr">
        <is>
          <t>Finance Executive (Invoice &amp; E-Portal)</t>
        </is>
      </c>
      <c r="D15317" t="inlineStr">
        <is>
          <t>CÔNG TY TNHH MSC VIỆT NAM</t>
        </is>
      </c>
      <c r="E15317" t="inlineStr">
        <is>
          <t>Lương:Cạnh tranh</t>
        </is>
      </c>
      <c r="F15317" t="inlineStr">
        <is>
          <t>Hồ Chí Minh</t>
        </is>
      </c>
      <c r="G15317" t="inlineStr">
        <is>
          <t>24-03-2026</t>
        </is>
      </c>
      <c r="H15317" t="inlineStr">
        <is>
          <t>24/03/2026</t>
        </is>
      </c>
      <c r="I15317" t="inlineStr">
        <is>
          <t>17/03/2026</t>
        </is>
      </c>
      <c r="J15317" t="inlineStr">
        <is>
          <t>Kế toán / Kiểm toán</t>
        </is>
      </c>
      <c r="K15317" t="inlineStr">
        <is>
          <t>1 - 2 Năm</t>
        </is>
      </c>
      <c r="L15317" s="8">
        <f>HYPERLINK("https://careerviet.vn/vi/tim-viec-lam/finance-executive-invoice-e-portal.35C695FB.html","Xem chi tiết")</f>
        <v/>
      </c>
    </row>
    <row r="15318">
      <c r="B15318" s="9" t="n">
        <v>15316</v>
      </c>
      <c r="C15318" s="10" t="inlineStr">
        <is>
          <t>Nhân viên quản lý chất lượng</t>
        </is>
      </c>
      <c r="D15318" s="10" t="inlineStr">
        <is>
          <t>Bảo mật</t>
        </is>
      </c>
      <c r="E15318" s="10" t="inlineStr">
        <is>
          <t>Lương:Cạnh tranh</t>
        </is>
      </c>
      <c r="F15318" s="10" t="inlineStr">
        <is>
          <t>Đồng Nai</t>
        </is>
      </c>
      <c r="G15318" s="10" t="inlineStr">
        <is>
          <t>25-03-2026</t>
        </is>
      </c>
      <c r="H15318" s="10" t="inlineStr">
        <is>
          <t>25/03/2026</t>
        </is>
      </c>
      <c r="I15318" s="10" t="inlineStr">
        <is>
          <t>17/03/2026</t>
        </is>
      </c>
      <c r="J15318" s="10" t="inlineStr">
        <is>
          <t>Quản lý chất lượng (QA/QC)</t>
        </is>
      </c>
      <c r="K15318" s="10" t="inlineStr">
        <is>
          <t>Lên đến 1 Năm</t>
        </is>
      </c>
      <c r="L15318" s="11">
        <f>HYPERLINK("https://careerviet.vn/vi/tim-viec-lam/nhan-vien-quan-ly-chat-luong.35C69470.html","Xem chi tiết")</f>
        <v/>
      </c>
      <c r="M15318" s="10" t="n"/>
    </row>
    <row r="15319">
      <c r="B15319" s="7" t="n">
        <v>15317</v>
      </c>
      <c r="C15319" t="inlineStr">
        <is>
          <t>Tài xế xe tải dưới 15 tấn (Tại Đông Anh - Hà Nội) thu nhập lên đến 20 triệu/ tháng</t>
        </is>
      </c>
      <c r="D15319" t="inlineStr">
        <is>
          <t>Công Ty Cổ Phần Hai Bốn Bảy</t>
        </is>
      </c>
      <c r="E15319" t="inlineStr">
        <is>
          <t>Lương:15 Tr - 20 Tr VND</t>
        </is>
      </c>
      <c r="F15319" t="inlineStr">
        <is>
          <t>Hà Nội</t>
        </is>
      </c>
      <c r="G15319" t="inlineStr">
        <is>
          <t>31-03-2026</t>
        </is>
      </c>
      <c r="H15319" t="inlineStr">
        <is>
          <t>31/03/2026</t>
        </is>
      </c>
      <c r="I15319" t="inlineStr">
        <is>
          <t>17/03/2026</t>
        </is>
      </c>
      <c r="J15319" t="inlineStr">
        <is>
          <t>Vận chuyển / Giao nhận / Kho vận</t>
        </is>
      </c>
      <c r="K15319" t="inlineStr">
        <is>
          <t>2 - 5 Năm</t>
        </is>
      </c>
      <c r="L15319" s="8">
        <f>HYPERLINK("https://careerviet.vn/vi/tim-viec-lam/tai-xe-xe-tai-duoi-15-tan-tai-dong-anh-ha-noi-thu-nhap-len-den-20-trieu-thang.35C698B5.html","Xem chi tiết")</f>
        <v/>
      </c>
    </row>
    <row r="15320">
      <c r="B15320" s="9" t="n">
        <v>15318</v>
      </c>
      <c r="C15320" s="10" t="inlineStr">
        <is>
          <t>Chuyên viên Nhiệt điện (Làm việc tại Tây Ninh)</t>
        </is>
      </c>
      <c r="D15320" s="10" t="inlineStr">
        <is>
          <t>Công ty CP Thành Thành Công - Biên Hòa</t>
        </is>
      </c>
      <c r="E15320" s="10" t="inlineStr">
        <is>
          <t>Lương:Cạnh tranh</t>
        </is>
      </c>
      <c r="F15320" s="10" t="inlineStr">
        <is>
          <t>Tây Ninh</t>
        </is>
      </c>
      <c r="G15320" s="10" t="inlineStr">
        <is>
          <t>27-03-2026</t>
        </is>
      </c>
      <c r="H15320" s="10" t="inlineStr">
        <is>
          <t>27/03/2026</t>
        </is>
      </c>
      <c r="I15320" s="10" t="inlineStr">
        <is>
          <t>17/03/2026</t>
        </is>
      </c>
      <c r="J15320" s="10" t="inlineStr">
        <is>
          <t>Cơ khí / Ô tô / Tự động hóa, Công nghệ thực phẩm / Dinh dưỡng, Bảo trì / Sửa chữa</t>
        </is>
      </c>
      <c r="K15320" s="10" t="inlineStr">
        <is>
          <t>2 - 3 Năm</t>
        </is>
      </c>
      <c r="L15320" s="11">
        <f>HYPERLINK("https://careerviet.vn/vi/tim-viec-lam/chuyen-vien-nhiet-dien-lam-viec-tai-tay-ninh.35C696EB.html","Xem chi tiết")</f>
        <v/>
      </c>
      <c r="M15320" s="10" t="n"/>
    </row>
    <row r="15321">
      <c r="B15321" s="7" t="n">
        <v>15319</v>
      </c>
      <c r="C15321" t="inlineStr">
        <is>
          <t>Nhân Viên Vận hành &amp; Bảo Trí (Kỹ thuật Điện)</t>
        </is>
      </c>
      <c r="D15321" t="inlineStr">
        <is>
          <t>CÔNG TY CỔ PHẦN CHẾ BIẾN THỰC PHẨM HOÀNG SƠN</t>
        </is>
      </c>
      <c r="E15321" t="inlineStr">
        <is>
          <t>Lương:12 Tr - 15 Tr VND</t>
        </is>
      </c>
      <c r="F15321" t="inlineStr">
        <is>
          <t>Bình Dương</t>
        </is>
      </c>
      <c r="G15321" t="inlineStr">
        <is>
          <t>15-04-2026</t>
        </is>
      </c>
      <c r="H15321" t="inlineStr">
        <is>
          <t>15/04/2026</t>
        </is>
      </c>
      <c r="I15321" t="inlineStr">
        <is>
          <t>17/03/2026</t>
        </is>
      </c>
      <c r="J15321" t="inlineStr">
        <is>
          <t>Bảo trì / Sửa chữa, Sản xuất / Vận hành sản xuất, Điện / Điện tử / Điện lạnh / Điện công nghiệp</t>
        </is>
      </c>
      <c r="K15321" t="inlineStr">
        <is>
          <t>1 - 3 Năm</t>
        </is>
      </c>
      <c r="L15321" s="8">
        <f>HYPERLINK("https://careerviet.vn/vi/tim-viec-lam/nhan-vien-van-hanh-bao-tri-ky-thuat-dien.35C69610.html","Xem chi tiết")</f>
        <v/>
      </c>
    </row>
    <row r="15322">
      <c r="B15322" s="9" t="n">
        <v>15320</v>
      </c>
      <c r="C15322" s="10" t="inlineStr">
        <is>
          <t>Nhân Viên Chăm Sóc Khách Hàng Service Chat (SBS)</t>
        </is>
      </c>
      <c r="D15322" s="10" t="inlineStr">
        <is>
          <t>Công Ty TNHH Việt Mỹ-SSU</t>
        </is>
      </c>
      <c r="E15322" s="10" t="inlineStr">
        <is>
          <t>Lương:6,5 Tr - 7 Tr VND</t>
        </is>
      </c>
      <c r="F15322" s="10" t="inlineStr">
        <is>
          <t>Hồ Chí Minh</t>
        </is>
      </c>
      <c r="G15322" s="10" t="inlineStr">
        <is>
          <t>27-03-2026</t>
        </is>
      </c>
      <c r="H15322" s="10" t="inlineStr">
        <is>
          <t>27/03/2026</t>
        </is>
      </c>
      <c r="I15322" s="10" t="inlineStr">
        <is>
          <t>17/03/2026</t>
        </is>
      </c>
      <c r="J15322" s="10" t="inlineStr">
        <is>
          <t>Thương mại điện tử, Tư vấn, Dịch vụ khách hàng</t>
        </is>
      </c>
      <c r="K15322" s="10" t="inlineStr">
        <is>
          <t>Lên đến 1 Năm</t>
        </is>
      </c>
      <c r="L15322" s="11">
        <f>HYPERLINK("https://careerviet.vn/vi/tim-viec-lam/nhan-vien-cham-soc-khach-hang-service-chat-sbs.35C696BE.html","Xem chi tiết")</f>
        <v/>
      </c>
      <c r="M15322" s="10" t="n"/>
    </row>
    <row r="15323">
      <c r="B15323" s="7" t="n">
        <v>15321</v>
      </c>
      <c r="C15323" t="inlineStr">
        <is>
          <t>Nhân viên vận hành hệ thống DCS</t>
        </is>
      </c>
      <c r="D15323" t="inlineStr">
        <is>
          <t>Công Ty TNHH Tokuyama Việt Nam</t>
        </is>
      </c>
      <c r="E15323" t="inlineStr">
        <is>
          <t>Lương:Cạnh tranh</t>
        </is>
      </c>
      <c r="F15323" t="inlineStr">
        <is>
          <t>Bà Rịa - Vũng Tàu</t>
        </is>
      </c>
      <c r="G15323" t="inlineStr">
        <is>
          <t>31-03-2026</t>
        </is>
      </c>
      <c r="H15323" t="inlineStr">
        <is>
          <t>31/03/2026</t>
        </is>
      </c>
      <c r="I15323" t="inlineStr">
        <is>
          <t>17/03/2026</t>
        </is>
      </c>
      <c r="J15323" t="inlineStr">
        <is>
          <t>Điện / Điện tử / Điện lạnh / Điện công nghiệp, Cơ khí / Ô tô / Tự động hóa</t>
        </is>
      </c>
      <c r="K15323" t="inlineStr">
        <is>
          <t>Trên 1 Năm</t>
        </is>
      </c>
      <c r="L15323" s="8">
        <f>HYPERLINK("https://careerviet.vn/vi/tim-viec-lam/nhan-vien-van-hanh-he-thong-dcs.35C69674.html","Xem chi tiết")</f>
        <v/>
      </c>
    </row>
    <row r="15324">
      <c r="B15324" s="9" t="n">
        <v>15322</v>
      </c>
      <c r="C15324" s="10" t="inlineStr">
        <is>
          <t>Chuyên viên ISO</t>
        </is>
      </c>
      <c r="D15324" s="10" t="inlineStr">
        <is>
          <t>Nidec Tosok Vietnam</t>
        </is>
      </c>
      <c r="E15324" s="10" t="inlineStr">
        <is>
          <t>Lương:Cạnh tranh</t>
        </is>
      </c>
      <c r="F15324" s="10" t="inlineStr">
        <is>
          <t>Hồ Chí Minh</t>
        </is>
      </c>
      <c r="G15324" s="10" t="inlineStr">
        <is>
          <t>28-03-2026</t>
        </is>
      </c>
      <c r="H15324" s="10" t="inlineStr">
        <is>
          <t>28/03/2026</t>
        </is>
      </c>
      <c r="I15324" s="10" t="inlineStr">
        <is>
          <t>17/03/2026</t>
        </is>
      </c>
      <c r="J15324" s="10" t="inlineStr">
        <is>
          <t>Môi trường, Quản lý chất lượng (QA/QC)</t>
        </is>
      </c>
      <c r="K15324" s="10" t="inlineStr">
        <is>
          <t>Trên 2 Năm</t>
        </is>
      </c>
      <c r="L15324" s="11">
        <f>HYPERLINK("https://careerviet.vn/vi/tim-viec-lam/chuyen-vien-iso.35C69632.html","Xem chi tiết")</f>
        <v/>
      </c>
      <c r="M15324" s="10" t="n"/>
    </row>
    <row r="15325">
      <c r="B15325" s="7" t="n">
        <v>15323</v>
      </c>
      <c r="C15325" t="inlineStr">
        <is>
          <t>Quản Lý Cửa Hàng Trang Sức Cao Cấp</t>
        </is>
      </c>
      <c r="D15325" t="inlineStr">
        <is>
          <t>CÔNG TY CỔ PHẦN VÀNG BẠC ĐÁ QUÝ LỘC PHÚC</t>
        </is>
      </c>
      <c r="E15325" t="inlineStr">
        <is>
          <t>Lương:Cạnh tranh</t>
        </is>
      </c>
      <c r="F15325" t="inlineStr">
        <is>
          <t>Hồ Chí Minh</t>
        </is>
      </c>
      <c r="G15325" t="inlineStr">
        <is>
          <t>31-03-2026</t>
        </is>
      </c>
      <c r="H15325" t="inlineStr">
        <is>
          <t>31/03/2026</t>
        </is>
      </c>
      <c r="I15325" t="inlineStr">
        <is>
          <t>17/03/2026</t>
        </is>
      </c>
      <c r="J15325" t="inlineStr">
        <is>
          <t>Bán lẻ / Bán sỉ</t>
        </is>
      </c>
      <c r="K15325" t="inlineStr">
        <is>
          <t>1 - 2 Năm</t>
        </is>
      </c>
      <c r="L15325" s="8">
        <f>HYPERLINK("https://careerviet.vn/vi/tim-viec-lam/quan-ly-cua-hang-trang-suc-cao-cap.35C69722.html","Xem chi tiết")</f>
        <v/>
      </c>
    </row>
    <row r="15326">
      <c r="B15326" s="9" t="n">
        <v>15324</v>
      </c>
      <c r="C15326" s="10" t="inlineStr">
        <is>
          <t>Tuyển dụng nhân viên hành chính nhân sự</t>
        </is>
      </c>
      <c r="D15326" s="10" t="inlineStr">
        <is>
          <t>Công Ty TNHH Vật Tư Và Trang Thiết Bị Y Tế Hat -Med Việt Nam</t>
        </is>
      </c>
      <c r="E15326" s="10" t="inlineStr">
        <is>
          <t>Lương:9 Tr - 13 Tr VND</t>
        </is>
      </c>
      <c r="F15326" s="10" t="inlineStr">
        <is>
          <t>Hà Nội</t>
        </is>
      </c>
      <c r="G15326" s="10" t="inlineStr">
        <is>
          <t>10-04-2026</t>
        </is>
      </c>
      <c r="H15326" s="10" t="inlineStr">
        <is>
          <t>10/04/2026</t>
        </is>
      </c>
      <c r="I15326" s="10" t="inlineStr">
        <is>
          <t>17/03/2026</t>
        </is>
      </c>
      <c r="J15326" s="10" t="inlineStr">
        <is>
          <t>Tiếp thị / Marketing, Hành chính / Thư ký, Nhân sự</t>
        </is>
      </c>
      <c r="K15326" s="10" t="inlineStr">
        <is>
          <t>N/A</t>
        </is>
      </c>
      <c r="L15326" s="11">
        <f>HYPERLINK("https://careerviet.vn/vi/tim-viec-lam/tuyen-dung-nhan-vien-hanh-chinh-nhan-su.35C695B1.html","Xem chi tiết")</f>
        <v/>
      </c>
      <c r="M15326" s="10" t="n"/>
    </row>
    <row r="15327">
      <c r="B15327" s="7" t="n">
        <v>15325</v>
      </c>
      <c r="C15327" t="inlineStr">
        <is>
          <t>Kỹ Sư Thiết Kế (Cầu Đường, Open Fresher)</t>
        </is>
      </c>
      <c r="D15327" t="inlineStr">
        <is>
          <t>Headhunter HRchannels Group</t>
        </is>
      </c>
      <c r="E15327" t="inlineStr">
        <is>
          <t>Lương:11 Tr - 18 Tr VND</t>
        </is>
      </c>
      <c r="F15327" t="inlineStr">
        <is>
          <t>Hà NộiHưng YênBắc Ninh</t>
        </is>
      </c>
      <c r="G15327" t="inlineStr">
        <is>
          <t>28-03-2026</t>
        </is>
      </c>
      <c r="H15327" t="inlineStr">
        <is>
          <t>28/03/2026</t>
        </is>
      </c>
      <c r="I15327" t="inlineStr">
        <is>
          <t>17/03/2026</t>
        </is>
      </c>
      <c r="J15327" t="inlineStr">
        <is>
          <t>Xây dựng, Kiến trúc, Mới tốt nghiệp / Thực tập</t>
        </is>
      </c>
      <c r="K15327" t="inlineStr">
        <is>
          <t>N/A</t>
        </is>
      </c>
      <c r="L15327" s="8">
        <f>HYPERLINK("https://careerviet.vn/vi/tim-viec-lam/ky-su-thiet-ke-cau-duong-open-fresher.35C69599.html","Xem chi tiết")</f>
        <v/>
      </c>
    </row>
    <row r="15328">
      <c r="B15328" s="9" t="n">
        <v>15326</v>
      </c>
      <c r="C15328" s="10" t="inlineStr">
        <is>
          <t>[Gia Lai - KonTum - Đăk lăk] Giám sát bán hàng ngành sơn</t>
        </is>
      </c>
      <c r="D15328" s="10" t="inlineStr">
        <is>
          <t>Tập Đoàn Tân Á Đại Thành</t>
        </is>
      </c>
      <c r="E15328" s="10" t="inlineStr">
        <is>
          <t>Lương:20 Tr - 30 Tr VND</t>
        </is>
      </c>
      <c r="F15328" s="10" t="inlineStr">
        <is>
          <t>Kon TumGia Lai</t>
        </is>
      </c>
      <c r="G15328" s="10" t="inlineStr">
        <is>
          <t>10-03-2026</t>
        </is>
      </c>
      <c r="H15328" s="10" t="inlineStr">
        <is>
          <t>16/03/2026</t>
        </is>
      </c>
      <c r="I15328" s="10" t="inlineStr">
        <is>
          <t>17/03/2026</t>
        </is>
      </c>
      <c r="J15328" s="10" t="inlineStr">
        <is>
          <t>Bán hàng / Kinh doanh</t>
        </is>
      </c>
      <c r="K15328" s="10" t="inlineStr">
        <is>
          <t>2 - 3 Năm</t>
        </is>
      </c>
      <c r="L15328" s="11">
        <f>HYPERLINK("https://careerviet.vn/vi/tim-viec-lam/gia-lai-kontum-dak-lak-giam-sat-ban-hang-nganh-son.35C697A7.html","Xem chi tiết")</f>
        <v/>
      </c>
      <c r="M15328" s="10" t="n"/>
    </row>
    <row r="15329">
      <c r="B15329" s="7" t="n">
        <v>15327</v>
      </c>
      <c r="C15329" t="inlineStr">
        <is>
          <t>Trưởng Nhóm Chiến Lược Thương Hiệu</t>
        </is>
      </c>
      <c r="D15329" t="inlineStr">
        <is>
          <t>CÔNG TY CỔ PHẦN CHỨNG KHOÁN HD</t>
        </is>
      </c>
      <c r="E15329" t="inlineStr">
        <is>
          <t>Lương:Cạnh tranh</t>
        </is>
      </c>
      <c r="F15329" t="inlineStr">
        <is>
          <t>Hồ Chí Minh</t>
        </is>
      </c>
      <c r="G15329" t="inlineStr">
        <is>
          <t>27-03-2026</t>
        </is>
      </c>
      <c r="H15329" t="inlineStr">
        <is>
          <t>27/03/2026</t>
        </is>
      </c>
      <c r="I15329" t="inlineStr">
        <is>
          <t>17/03/2026</t>
        </is>
      </c>
      <c r="J15329" t="inlineStr">
        <is>
          <t>Chứng khoán</t>
        </is>
      </c>
      <c r="K15329" t="inlineStr">
        <is>
          <t>5 - 6 Năm</t>
        </is>
      </c>
      <c r="L15329" s="8">
        <f>HYPERLINK("https://careerviet.vn/vi/tim-viec-lam/truong-nhom-chien-luoc-thuong-hieu.35C69728.html","Xem chi tiết")</f>
        <v/>
      </c>
    </row>
    <row r="15330">
      <c r="B15330" s="9" t="n">
        <v>15328</v>
      </c>
      <c r="C15330" s="10" t="inlineStr">
        <is>
          <t>Kế toán kho</t>
        </is>
      </c>
      <c r="D15330" s="10" t="inlineStr">
        <is>
          <t>CÔNG TY CỔ PHẦN Ô TÔ NHẬT THÀNH</t>
        </is>
      </c>
      <c r="E15330" s="10" t="inlineStr">
        <is>
          <t>Lương:8 Tr - 12 Tr VND</t>
        </is>
      </c>
      <c r="F15330" s="10" t="inlineStr">
        <is>
          <t>Hưng Yên</t>
        </is>
      </c>
      <c r="G15330" s="10" t="inlineStr">
        <is>
          <t>31-03-2026</t>
        </is>
      </c>
      <c r="H15330" s="10" t="inlineStr">
        <is>
          <t>31/03/2026</t>
        </is>
      </c>
      <c r="I15330" s="10" t="inlineStr">
        <is>
          <t>17/03/2026</t>
        </is>
      </c>
      <c r="J15330" s="10" t="inlineStr">
        <is>
          <t>Kế toán / Kiểm toán, Tài chính / Đầu tư, Hành chính / Thư ký</t>
        </is>
      </c>
      <c r="K15330" s="10" t="inlineStr">
        <is>
          <t>Trên 1 Năm</t>
        </is>
      </c>
      <c r="L15330" s="11">
        <f>HYPERLINK("https://careerviet.vn/vi/tim-viec-lam/ke-toan-kho.35C69789.html","Xem chi tiết")</f>
        <v/>
      </c>
      <c r="M15330" s="10" t="n"/>
    </row>
    <row r="15331">
      <c r="B15331" s="7" t="n">
        <v>15329</v>
      </c>
      <c r="C15331" t="inlineStr">
        <is>
          <t>[HCM] Nhân viên Hành Chính</t>
        </is>
      </c>
      <c r="D15331" t="inlineStr">
        <is>
          <t>Công ty TNHH Thiên Thủy Mộc</t>
        </is>
      </c>
      <c r="E15331" t="inlineStr">
        <is>
          <t>Lương:Cạnh tranh</t>
        </is>
      </c>
      <c r="F15331" t="inlineStr">
        <is>
          <t>Hồ Chí Minh</t>
        </is>
      </c>
      <c r="G15331" t="inlineStr">
        <is>
          <t>25-03-2026</t>
        </is>
      </c>
      <c r="H15331" t="inlineStr">
        <is>
          <t>25/03/2026</t>
        </is>
      </c>
      <c r="I15331" t="inlineStr">
        <is>
          <t>17/03/2026</t>
        </is>
      </c>
      <c r="J15331" t="inlineStr">
        <is>
          <t>Hành chính / Thư ký</t>
        </is>
      </c>
      <c r="K15331" t="inlineStr">
        <is>
          <t>2 - 3 Năm</t>
        </is>
      </c>
      <c r="L15331" s="8">
        <f>HYPERLINK("https://careerviet.vn/vi/tim-viec-lam/hcm-nhan-vien-hanh-chinh.35C69753.html","Xem chi tiết")</f>
        <v/>
      </c>
    </row>
    <row r="15332">
      <c r="B15332" s="9" t="n">
        <v>15330</v>
      </c>
      <c r="C15332" s="10" t="inlineStr">
        <is>
          <t>Kế Toán Tổng Hợp (Bán lẻ, Thương mại Điện tử)</t>
        </is>
      </c>
      <c r="D15332" s="10" t="inlineStr">
        <is>
          <t>Công ty TNHH Thiên Thủy Mộc</t>
        </is>
      </c>
      <c r="E15332" s="10" t="inlineStr">
        <is>
          <t>Lương:15 Tr - 21 Tr VND</t>
        </is>
      </c>
      <c r="F15332" s="10" t="inlineStr">
        <is>
          <t>Hà Nội</t>
        </is>
      </c>
      <c r="G15332" s="10" t="inlineStr">
        <is>
          <t>24-03-2026</t>
        </is>
      </c>
      <c r="H15332" s="10" t="inlineStr">
        <is>
          <t>24/03/2026</t>
        </is>
      </c>
      <c r="I15332" s="10" t="inlineStr">
        <is>
          <t>17/03/2026</t>
        </is>
      </c>
      <c r="J15332" s="10" t="inlineStr">
        <is>
          <t>Kế toán / Kiểm toán</t>
        </is>
      </c>
      <c r="K15332" s="10" t="inlineStr">
        <is>
          <t>4 - 6 Năm</t>
        </is>
      </c>
      <c r="L15332" s="11">
        <f>HYPERLINK("https://careerviet.vn/vi/tim-viec-lam/ke-toan-tong-hop-ban-le-thuong-mai-dien-tu.35C695B8.html","Xem chi tiết")</f>
        <v/>
      </c>
      <c r="M15332" s="10" t="n"/>
    </row>
    <row r="15333">
      <c r="B15333" s="7" t="n">
        <v>15331</v>
      </c>
      <c r="C15333" t="inlineStr">
        <is>
          <t>QUẢN LÝ KHU VỰC (KIÊN GIANG)</t>
        </is>
      </c>
      <c r="D15333" t="inlineStr">
        <is>
          <t>Công Ty TNHH BEST Logistics Technology (Việt Nam)</t>
        </is>
      </c>
      <c r="E15333" t="inlineStr">
        <is>
          <t>Lương:25 Tr - 32 Tr VND</t>
        </is>
      </c>
      <c r="F15333" t="inlineStr">
        <is>
          <t>Kiên Giang</t>
        </is>
      </c>
      <c r="G15333" t="inlineStr">
        <is>
          <t>24-03-2026</t>
        </is>
      </c>
      <c r="H15333" t="inlineStr">
        <is>
          <t>24/03/2026</t>
        </is>
      </c>
      <c r="I15333" t="inlineStr">
        <is>
          <t>17/03/2026</t>
        </is>
      </c>
      <c r="J15333" t="inlineStr">
        <is>
          <t>Thương mại điện tử, Vận chuyển / Giao nhận / Kho vận</t>
        </is>
      </c>
      <c r="K15333" t="inlineStr">
        <is>
          <t>2 - 5 Năm</t>
        </is>
      </c>
      <c r="L15333" s="8">
        <f>HYPERLINK("https://careerviet.vn/vi/tim-viec-lam/quan-ly-khu-vuc-kien-giang.35C695E4.html","Xem chi tiết")</f>
        <v/>
      </c>
    </row>
    <row r="15334">
      <c r="B15334" s="9" t="n">
        <v>15332</v>
      </c>
      <c r="C15334" s="10" t="inlineStr">
        <is>
          <t>Kỹ Sư IE (Tiếng Trung, Điện Tử/Cơ Khí, Làm việc tại Bắc Ninh)</t>
        </is>
      </c>
      <c r="D15334" s="10" t="inlineStr">
        <is>
          <t>Headhunter HRchannels Group</t>
        </is>
      </c>
      <c r="E15334" s="10" t="inlineStr">
        <is>
          <t>Lương:30 Tr - 35 Tr VND</t>
        </is>
      </c>
      <c r="F15334" s="10" t="inlineStr">
        <is>
          <t>Bắc NinhBắc GiangHà Nội</t>
        </is>
      </c>
      <c r="G15334" s="10" t="inlineStr">
        <is>
          <t>25-03-2026</t>
        </is>
      </c>
      <c r="H15334" s="10" t="inlineStr">
        <is>
          <t>25/03/2026</t>
        </is>
      </c>
      <c r="I15334" s="10" t="inlineStr">
        <is>
          <t>17/03/2026</t>
        </is>
      </c>
      <c r="J15334" s="10" t="inlineStr">
        <is>
          <t>Điện / Điện tử / Điện lạnh / Điện công nghiệp, Cơ khí / Ô tô / Tự động hóa</t>
        </is>
      </c>
      <c r="K15334" s="10" t="inlineStr">
        <is>
          <t>2 - 3 Năm</t>
        </is>
      </c>
      <c r="L15334" s="11">
        <f>HYPERLINK("https://careerviet.vn/vi/tim-viec-lam/ky-su-ie-tieng-trung-dien-tu-co-khi-lam-viec-tai-bac-ninh.35C69465.html","Xem chi tiết")</f>
        <v/>
      </c>
      <c r="M15334" s="10" t="n"/>
    </row>
    <row r="15335">
      <c r="B15335" s="7" t="n">
        <v>15333</v>
      </c>
      <c r="C15335" t="inlineStr">
        <is>
          <t>NHÂN VIÊN MAY MẪU</t>
        </is>
      </c>
      <c r="D15335" t="inlineStr">
        <is>
          <t>CÔNG TY TNHH THƯƠNG MẠI - DỊCH VỤ - SẢN XUẤT THỜI TRANG THANH HÀ H.A</t>
        </is>
      </c>
      <c r="E15335" t="inlineStr">
        <is>
          <t>Lương:9 Tr - 15 Tr VND</t>
        </is>
      </c>
      <c r="F15335" t="inlineStr">
        <is>
          <t>Hải Dương</t>
        </is>
      </c>
      <c r="G15335" t="inlineStr">
        <is>
          <t>31-03-2026</t>
        </is>
      </c>
      <c r="H15335" t="inlineStr">
        <is>
          <t>31/03/2026</t>
        </is>
      </c>
      <c r="I15335" t="inlineStr">
        <is>
          <t>17/03/2026</t>
        </is>
      </c>
      <c r="J15335" t="inlineStr">
        <is>
          <t>Dệt may / Da giày / Thời trang, Quản lý chất lượng (QA/QC)</t>
        </is>
      </c>
      <c r="K15335" t="inlineStr">
        <is>
          <t>1 - 3 Năm</t>
        </is>
      </c>
      <c r="L15335" s="8">
        <f>HYPERLINK("https://careerviet.vn/vi/tim-viec-lam/nhan-vien-may-mau.35C6984B.html","Xem chi tiết")</f>
        <v/>
      </c>
    </row>
    <row r="15336">
      <c r="B15336" s="9" t="n">
        <v>15334</v>
      </c>
      <c r="C15336" s="10" t="inlineStr">
        <is>
          <t>QA Automation Engineer</t>
        </is>
      </c>
      <c r="D15336" s="10" t="inlineStr">
        <is>
          <t>Công ty TNHH Cadena Việt Nam</t>
        </is>
      </c>
      <c r="E15336" s="10" t="inlineStr">
        <is>
          <t>Lương:Cạnh tranh</t>
        </is>
      </c>
      <c r="F15336" s="10" t="inlineStr">
        <is>
          <t>Hồ Chí Minh</t>
        </is>
      </c>
      <c r="G15336" s="10" t="inlineStr">
        <is>
          <t>25-03-2026</t>
        </is>
      </c>
      <c r="H15336" s="10" t="inlineStr">
        <is>
          <t>25/03/2026</t>
        </is>
      </c>
      <c r="I15336" s="10" t="inlineStr">
        <is>
          <t>17/03/2026</t>
        </is>
      </c>
      <c r="J15336" s="10" t="inlineStr">
        <is>
          <t>CNTT - Phần mềm, Nhân sự</t>
        </is>
      </c>
      <c r="K15336" s="10" t="inlineStr">
        <is>
          <t>3 - 5 Năm</t>
        </is>
      </c>
      <c r="L15336" s="11">
        <f>HYPERLINK("https://careerviet.vn/vi/tim-viec-lam/qa-automation-engineer.35C696D4.html","Xem chi tiết")</f>
        <v/>
      </c>
      <c r="M15336" s="10" t="n"/>
    </row>
    <row r="15337">
      <c r="B15337" s="7" t="n">
        <v>15335</v>
      </c>
      <c r="C15337" t="inlineStr">
        <is>
          <t>[Hà Nội] Nhân viên Kế toán Chiết khấu</t>
        </is>
      </c>
      <c r="D15337" t="inlineStr">
        <is>
          <t>CÔNG TY TNHH DAESANG VIỆT NAM</t>
        </is>
      </c>
      <c r="E15337" t="inlineStr">
        <is>
          <t>Lương:10 Tr - 17 Tr VND</t>
        </is>
      </c>
      <c r="F15337" t="inlineStr">
        <is>
          <t>Hà Nội</t>
        </is>
      </c>
      <c r="G15337" t="inlineStr">
        <is>
          <t>5</t>
        </is>
      </c>
      <c r="H15337" t="inlineStr">
        <is>
          <t>22/03/2026</t>
        </is>
      </c>
      <c r="I15337" t="inlineStr">
        <is>
          <t>17/03/2026</t>
        </is>
      </c>
      <c r="J15337" t="inlineStr">
        <is>
          <t>Bán lẻ / Bán sỉ, Bán hàng / Kinh doanh</t>
        </is>
      </c>
      <c r="K15337" t="inlineStr">
        <is>
          <t>1 - 2 Năm</t>
        </is>
      </c>
      <c r="L15337" s="8">
        <f>HYPERLINK("https://careerviet.vn/vi/tim-viec-lam/ha-noi-nhan-vien-ke-toan-chiet-khau.35C697B1.html","Xem chi tiết")</f>
        <v/>
      </c>
    </row>
    <row r="15338">
      <c r="B15338" s="9" t="n">
        <v>15336</v>
      </c>
      <c r="C15338" s="10" t="inlineStr">
        <is>
          <t>Chuyên viên Tuyển dụng</t>
        </is>
      </c>
      <c r="D15338" s="10" t="inlineStr">
        <is>
          <t>Công ty TNHH Khải Minh Group</t>
        </is>
      </c>
      <c r="E15338" s="10" t="inlineStr">
        <is>
          <t>Lương:10 Tr - 15 Tr VND</t>
        </is>
      </c>
      <c r="F15338" s="10" t="inlineStr">
        <is>
          <t>Hà Nội</t>
        </is>
      </c>
      <c r="G15338" s="10" t="inlineStr">
        <is>
          <t>24-03-2026</t>
        </is>
      </c>
      <c r="H15338" s="10" t="inlineStr">
        <is>
          <t>24/03/2026</t>
        </is>
      </c>
      <c r="I15338" s="10" t="inlineStr">
        <is>
          <t>17/03/2026</t>
        </is>
      </c>
      <c r="J15338" s="10" t="inlineStr">
        <is>
          <t>Nhân sự</t>
        </is>
      </c>
      <c r="K15338" s="10" t="inlineStr">
        <is>
          <t>2 - 4 Năm</t>
        </is>
      </c>
      <c r="L15338" s="11">
        <f>HYPERLINK("https://careerviet.vn/vi/tim-viec-lam/chuyen-vien-tuyen-dung.35C69167.html","Xem chi tiết")</f>
        <v/>
      </c>
      <c r="M15338" s="10" t="n"/>
    </row>
    <row r="15339">
      <c r="B15339" s="7" t="n">
        <v>15337</v>
      </c>
      <c r="C15339" t="inlineStr">
        <is>
          <t>KẾ TOÁN TRƯỞNG</t>
        </is>
      </c>
      <c r="D15339" t="inlineStr">
        <is>
          <t>Công ty Cổ phần Inmatech</t>
        </is>
      </c>
      <c r="E15339" t="inlineStr">
        <is>
          <t>Lương:25 Tr - 40 Tr VND</t>
        </is>
      </c>
      <c r="F15339" t="inlineStr">
        <is>
          <t>Hồ Chí Minh</t>
        </is>
      </c>
      <c r="G15339" t="inlineStr">
        <is>
          <t>25-03-2026</t>
        </is>
      </c>
      <c r="H15339" t="inlineStr">
        <is>
          <t>25/03/2026</t>
        </is>
      </c>
      <c r="I15339" t="inlineStr">
        <is>
          <t>17/03/2026</t>
        </is>
      </c>
      <c r="J15339" t="inlineStr">
        <is>
          <t>Kế toán / Kiểm toán, Tài chính / Đầu tư</t>
        </is>
      </c>
      <c r="K15339" t="inlineStr">
        <is>
          <t>3 - 5 Năm</t>
        </is>
      </c>
      <c r="L15339" s="8">
        <f>HYPERLINK("https://careerviet.vn/vi/tim-viec-lam/ke-toan-truong.35C697C5.html","Xem chi tiết")</f>
        <v/>
      </c>
    </row>
    <row r="15340">
      <c r="B15340" s="9" t="n">
        <v>15338</v>
      </c>
      <c r="C15340" s="10" t="inlineStr">
        <is>
          <t>Chuyên gia Quản lý Thiết kế Nội thất</t>
        </is>
      </c>
      <c r="D15340" s="10" t="inlineStr">
        <is>
          <t>Công Ty Cổ Phần Tập Đoàn Đầu Tư Địa Ốc No Va</t>
        </is>
      </c>
      <c r="E15340" s="10" t="inlineStr">
        <is>
          <t>Lương:Cạnh tranh</t>
        </is>
      </c>
      <c r="F15340" s="10" t="inlineStr">
        <is>
          <t>Hồ Chí Minh</t>
        </is>
      </c>
      <c r="G15340" s="10" t="inlineStr">
        <is>
          <t>24-03-2026</t>
        </is>
      </c>
      <c r="H15340" s="10" t="inlineStr">
        <is>
          <t>24/03/2026</t>
        </is>
      </c>
      <c r="I15340" s="10" t="inlineStr">
        <is>
          <t>17/03/2026</t>
        </is>
      </c>
      <c r="J15340" s="10" t="inlineStr">
        <is>
          <t>Mỹ thuật / Nghệ thuật / Thiết kế, Bất động sản, Nội ngoại thất</t>
        </is>
      </c>
      <c r="K15340" s="10" t="inlineStr">
        <is>
          <t>5 - 7 Năm</t>
        </is>
      </c>
      <c r="L15340" s="11">
        <f>HYPERLINK("https://careerviet.vn/vi/tim-viec-lam/chuyen-gia-quan-ly-thiet-ke-noi-that.35C69770.html","Xem chi tiết")</f>
        <v/>
      </c>
      <c r="M15340" s="10" t="n"/>
    </row>
    <row r="15341">
      <c r="B15341" s="7" t="n">
        <v>15339</v>
      </c>
      <c r="C15341" t="inlineStr">
        <is>
          <t>Chuyên viên tuyển dụng</t>
        </is>
      </c>
      <c r="D15341" t="inlineStr">
        <is>
          <t>Công Ty TNHH CJ Foods Việt Nam</t>
        </is>
      </c>
      <c r="E15341" t="inlineStr">
        <is>
          <t>Lương:Cạnh tranh</t>
        </is>
      </c>
      <c r="F15341" t="inlineStr">
        <is>
          <t>Bà Rịa - Vũng Tàu</t>
        </is>
      </c>
      <c r="G15341" t="inlineStr">
        <is>
          <t>31-03-2026</t>
        </is>
      </c>
      <c r="H15341" t="inlineStr">
        <is>
          <t>31/03/2026</t>
        </is>
      </c>
      <c r="I15341" t="inlineStr">
        <is>
          <t>17/03/2026</t>
        </is>
      </c>
      <c r="J15341" t="inlineStr">
        <is>
          <t>Sản xuất / Vận hành sản xuất</t>
        </is>
      </c>
      <c r="K15341" t="inlineStr">
        <is>
          <t>2 - 5 Năm</t>
        </is>
      </c>
      <c r="L15341" s="8">
        <f>HYPERLINK("https://careerviet.vn/vi/tim-viec-lam/chuyen-vien-tuyen-dung.35C698BE.html","Xem chi tiết")</f>
        <v/>
      </c>
    </row>
    <row r="15342">
      <c r="B15342" s="9" t="n">
        <v>15340</v>
      </c>
      <c r="C15342" s="10" t="inlineStr">
        <is>
          <t>Chuyên viên tuyển dụng- Talent Acquisition Specialist</t>
        </is>
      </c>
      <c r="D15342" s="10" t="inlineStr">
        <is>
          <t>Công ty TNHH Buymed Logistics</t>
        </is>
      </c>
      <c r="E15342" s="10" t="inlineStr">
        <is>
          <t>Lương:9 Tr - 14 Tr VND</t>
        </is>
      </c>
      <c r="F15342" s="10" t="inlineStr">
        <is>
          <t>Bình Dương</t>
        </is>
      </c>
      <c r="G15342" s="10" t="inlineStr">
        <is>
          <t>26-03-2026</t>
        </is>
      </c>
      <c r="H15342" s="10" t="inlineStr">
        <is>
          <t>26/03/2026</t>
        </is>
      </c>
      <c r="I15342" s="10" t="inlineStr">
        <is>
          <t>17/03/2026</t>
        </is>
      </c>
      <c r="J15342" s="10" t="inlineStr">
        <is>
          <t>Nhân sự, Vận chuyển / Giao nhận / Kho vận, Hành chính / Thư ký</t>
        </is>
      </c>
      <c r="K15342" s="10" t="inlineStr">
        <is>
          <t>2 - 4 Năm</t>
        </is>
      </c>
      <c r="L15342" s="11">
        <f>HYPERLINK("https://careerviet.vn/vi/tim-viec-lam/chuyen-vien-tuyen-dung-talent-acquisition-specialist.35C6952F.html","Xem chi tiết")</f>
        <v/>
      </c>
      <c r="M15342" s="10" t="n"/>
    </row>
    <row r="15343">
      <c r="B15343" s="7" t="n">
        <v>15341</v>
      </c>
      <c r="C15343" t="inlineStr">
        <is>
          <t>Nhân Viên Vận Hành Trung tâm Tế Bào Gốc</t>
        </is>
      </c>
      <c r="D15343" t="inlineStr">
        <is>
          <t>CHI NHÁNH CÔNG TY CỔ PHẦN Y HỌC VĨNH THIỆN- BỆNH VIỆN ĐẠI HỌC PHENIKAA</t>
        </is>
      </c>
      <c r="E15343" t="inlineStr">
        <is>
          <t>Lương:10 Tr - 15 Tr VND</t>
        </is>
      </c>
      <c r="F15343" t="inlineStr">
        <is>
          <t>Hà Nội</t>
        </is>
      </c>
      <c r="G15343" t="inlineStr">
        <is>
          <t>25-03-2026</t>
        </is>
      </c>
      <c r="H15343" t="inlineStr">
        <is>
          <t>25/03/2026</t>
        </is>
      </c>
      <c r="I15343" t="inlineStr">
        <is>
          <t>17/03/2026</t>
        </is>
      </c>
      <c r="J15343" t="inlineStr">
        <is>
          <t>Hành chính / Thư ký, Dịch vụ khách hàng, Y tế / Chăm sóc sức khỏe / Thẩm mỹ / Làm đẹp</t>
        </is>
      </c>
      <c r="K15343" t="inlineStr">
        <is>
          <t>1 - 3 Năm</t>
        </is>
      </c>
      <c r="L15343" s="8">
        <f>HYPERLINK("https://careerviet.vn/vi/tim-viec-lam/nhan-vien-van-hanh-trung-tam-te-bao-goc.35C695A9.html","Xem chi tiết")</f>
        <v/>
      </c>
    </row>
    <row r="15344">
      <c r="B15344" s="9" t="n">
        <v>15342</v>
      </c>
      <c r="C15344" s="10" t="inlineStr">
        <is>
          <t>Kỹ thuật viên Vận Hành Máy</t>
        </is>
      </c>
      <c r="D15344" s="10" t="inlineStr">
        <is>
          <t>CÔNG TY CỔ PHẦN CHẾ BIẾN THỰC PHẨM HOÀNG SƠN</t>
        </is>
      </c>
      <c r="E15344" s="10" t="inlineStr">
        <is>
          <t>Lương:12 Tr - 14 Tr VND</t>
        </is>
      </c>
      <c r="F15344" s="10" t="inlineStr">
        <is>
          <t>Bình Dương</t>
        </is>
      </c>
      <c r="G15344" s="10" t="inlineStr">
        <is>
          <t>31-03-2026</t>
        </is>
      </c>
      <c r="H15344" s="10" t="inlineStr">
        <is>
          <t>31/03/2026</t>
        </is>
      </c>
      <c r="I15344" s="10" t="inlineStr">
        <is>
          <t>17/03/2026</t>
        </is>
      </c>
      <c r="J15344" s="10" t="inlineStr">
        <is>
          <t>Điện / Điện tử / Điện lạnh / Điện công nghiệp, Bảo trì / Sửa chữa, Sản xuất / Vận hành sản xuất</t>
        </is>
      </c>
      <c r="K15344" s="10" t="inlineStr">
        <is>
          <t>1 - 5 Năm</t>
        </is>
      </c>
      <c r="L15344" s="11">
        <f>HYPERLINK("https://careerviet.vn/vi/tim-viec-lam/ky-thuat-vien-van-hanh-may.35C6963A.html","Xem chi tiết")</f>
        <v/>
      </c>
      <c r="M15344" s="10" t="n"/>
    </row>
    <row r="15345">
      <c r="B15345" s="7" t="n">
        <v>15343</v>
      </c>
      <c r="C15345" t="inlineStr">
        <is>
          <t>[Dĩ An] Admin kiêm CSKH</t>
        </is>
      </c>
      <c r="D15345" t="inlineStr">
        <is>
          <t>Công Ty Cổ Phần Vacxin Việt Nam</t>
        </is>
      </c>
      <c r="E15345" t="inlineStr">
        <is>
          <t>Lương:Cạnh tranh</t>
        </is>
      </c>
      <c r="F15345" t="inlineStr">
        <is>
          <t>Bình Dương</t>
        </is>
      </c>
      <c r="G15345" t="inlineStr">
        <is>
          <t>10-03-2026</t>
        </is>
      </c>
      <c r="H15345" t="inlineStr">
        <is>
          <t>28/02/2026</t>
        </is>
      </c>
      <c r="I15345" t="inlineStr">
        <is>
          <t>17/03/2026</t>
        </is>
      </c>
      <c r="J15345" t="inlineStr">
        <is>
          <t>Dịch vụ khách hàng, Hành chính / Thư ký, Kế toán / Kiểm toán</t>
        </is>
      </c>
      <c r="K15345" t="inlineStr">
        <is>
          <t>1 - 3 Năm</t>
        </is>
      </c>
      <c r="L15345" s="8">
        <f>HYPERLINK("https://careerviet.vn/vi/tim-viec-lam/di-an-admin-kiem-cskh.35C69530.html","Xem chi tiết")</f>
        <v/>
      </c>
    </row>
    <row r="15346">
      <c r="B15346" s="9" t="n">
        <v>15344</v>
      </c>
      <c r="C15346" s="10" t="inlineStr">
        <is>
          <t>Corporate PR Manager</t>
        </is>
      </c>
      <c r="D15346" s="10" t="inlineStr">
        <is>
          <t>Công Ty Cổ Phần Thời Trang &amp; Mỹ Phẩm Duy Anh (DAFC)</t>
        </is>
      </c>
      <c r="E15346" s="10" t="inlineStr">
        <is>
          <t>Lương:Cạnh tranh</t>
        </is>
      </c>
      <c r="F15346" s="10" t="inlineStr">
        <is>
          <t>Hồ Chí Minh</t>
        </is>
      </c>
      <c r="G15346" s="10" t="inlineStr">
        <is>
          <t>04-04-2026</t>
        </is>
      </c>
      <c r="H15346" s="10" t="inlineStr">
        <is>
          <t>04/04/2026</t>
        </is>
      </c>
      <c r="I15346" s="10" t="inlineStr">
        <is>
          <t>17/03/2026</t>
        </is>
      </c>
      <c r="J15346" s="10" t="inlineStr">
        <is>
          <t>Tiếp thị / Marketing, Truyền hình / Báo chí / Biên tập, Quảng cáo / Đối ngoại / Truyền Thông</t>
        </is>
      </c>
      <c r="K15346" s="10" t="inlineStr">
        <is>
          <t>Trên 5 Năm</t>
        </is>
      </c>
      <c r="L15346" s="11">
        <f>HYPERLINK("https://careerviet.vn/vi/tim-viec-lam/corporate-pr-manager.35C6951C.html","Xem chi tiết")</f>
        <v/>
      </c>
      <c r="M15346" s="10" t="n"/>
    </row>
    <row r="15347">
      <c r="B15347" s="7" t="n">
        <v>15345</v>
      </c>
      <c r="C15347" t="inlineStr">
        <is>
          <t>Nhân Viên Kế Toán Thanh Toán _ Payable Accountant at Cashew Bien Hoa II</t>
        </is>
      </c>
      <c r="D15347" t="inlineStr">
        <is>
          <t>Công ty TNHH Olam Việt Nam</t>
        </is>
      </c>
      <c r="E15347" t="inlineStr">
        <is>
          <t>Lương:Cạnh tranh</t>
        </is>
      </c>
      <c r="F15347" t="inlineStr">
        <is>
          <t>Đồng Nai</t>
        </is>
      </c>
      <c r="G15347" t="inlineStr">
        <is>
          <t>25-03-2026</t>
        </is>
      </c>
      <c r="H15347" t="inlineStr">
        <is>
          <t>25/03/2026</t>
        </is>
      </c>
      <c r="I15347" t="inlineStr">
        <is>
          <t>17/03/2026</t>
        </is>
      </c>
      <c r="J15347" t="inlineStr">
        <is>
          <t>Kế toán / Kiểm toán</t>
        </is>
      </c>
      <c r="K15347" t="inlineStr">
        <is>
          <t>2 - 5 Năm</t>
        </is>
      </c>
      <c r="L15347" s="8">
        <f>HYPERLINK("https://careerviet.vn/vi/tim-viec-lam/nhan-vien-ke-toan-thanh-toan-_-payable-accountant-at-cashew-bien-hoa-ii.35C6964D.html","Xem chi tiết")</f>
        <v/>
      </c>
    </row>
    <row r="15348">
      <c r="B15348" s="9" t="n">
        <v>15346</v>
      </c>
      <c r="C15348" s="10" t="inlineStr">
        <is>
          <t>HCM - Chuyên viên Digital Marketing</t>
        </is>
      </c>
      <c r="D15348" s="10" t="inlineStr">
        <is>
          <t>Bảo mật</t>
        </is>
      </c>
      <c r="E15348" s="10" t="inlineStr">
        <is>
          <t>Lương:14 Tr - 17 Tr VND</t>
        </is>
      </c>
      <c r="F15348" s="10" t="inlineStr">
        <is>
          <t>Hồ Chí Minh</t>
        </is>
      </c>
      <c r="G15348" s="10" t="inlineStr">
        <is>
          <t>26-03-2026</t>
        </is>
      </c>
      <c r="H15348" s="10" t="inlineStr">
        <is>
          <t>26/03/2026</t>
        </is>
      </c>
      <c r="I15348" s="10" t="inlineStr">
        <is>
          <t>17/03/2026</t>
        </is>
      </c>
      <c r="J15348" s="10" t="inlineStr">
        <is>
          <t>Tiếp thị / Marketing</t>
        </is>
      </c>
      <c r="K15348" s="10" t="inlineStr">
        <is>
          <t>2 - 3 Năm</t>
        </is>
      </c>
      <c r="L15348" s="11">
        <f>HYPERLINK("https://careerviet.vn/vi/tim-viec-lam/hcm-chuyen-vien-digital-marketing.35C69862.html","Xem chi tiết")</f>
        <v/>
      </c>
      <c r="M15348" s="10" t="n"/>
    </row>
    <row r="15349">
      <c r="B15349" s="7" t="n">
        <v>15347</v>
      </c>
      <c r="C15349" t="inlineStr">
        <is>
          <t>Trưởng Bưu Cục Quảng Nam | Thu nhập đến 25 triệu</t>
        </is>
      </c>
      <c r="D15349" t="inlineStr">
        <is>
          <t>Công Ty Cổ Phần Hai Bốn Bảy</t>
        </is>
      </c>
      <c r="E15349" t="inlineStr">
        <is>
          <t>Lương:15 Tr - 25 Tr VND</t>
        </is>
      </c>
      <c r="F15349" t="inlineStr">
        <is>
          <t>Quảng Nam</t>
        </is>
      </c>
      <c r="G15349" t="inlineStr">
        <is>
          <t>31-03-2026</t>
        </is>
      </c>
      <c r="H15349" t="inlineStr">
        <is>
          <t>31/03/2026</t>
        </is>
      </c>
      <c r="I15349" t="inlineStr">
        <is>
          <t>17/03/2026</t>
        </is>
      </c>
      <c r="J15349" t="inlineStr">
        <is>
          <t>Vận chuyển / Giao nhận / Kho vận</t>
        </is>
      </c>
      <c r="K15349" t="inlineStr">
        <is>
          <t>1 - 2 Năm</t>
        </is>
      </c>
      <c r="L15349" s="8">
        <f>HYPERLINK("https://careerviet.vn/vi/tim-viec-lam/truong-buu-cuc-quang-nam-thu-nhap-den-25-trieu.35C698B4.html","Xem chi tiết")</f>
        <v/>
      </c>
    </row>
    <row r="15350">
      <c r="B15350" s="9" t="n">
        <v>15348</v>
      </c>
      <c r="C15350" s="10" t="inlineStr">
        <is>
          <t>Chuyên viên, Chuyên viên cao cấp Kiểm định Mô hình rủi ro - Risk Model Validation Specialist, Senior Specialist - Khối Quản trị rủi ro (HO26.59)</t>
        </is>
      </c>
      <c r="D15350" s="10" t="inlineStr">
        <is>
          <t>Ngân Hàng TMCP Quân Đội</t>
        </is>
      </c>
      <c r="E15350" s="10" t="inlineStr">
        <is>
          <t>Lương:Cạnh tranh</t>
        </is>
      </c>
      <c r="F15350" s="10" t="inlineStr">
        <is>
          <t>Hà Nội</t>
        </is>
      </c>
      <c r="G15350" s="10" t="inlineStr">
        <is>
          <t>26-03-2026</t>
        </is>
      </c>
      <c r="H15350" s="10" t="inlineStr">
        <is>
          <t>26/03/2026</t>
        </is>
      </c>
      <c r="I15350" s="10" t="inlineStr">
        <is>
          <t>17/03/2026</t>
        </is>
      </c>
      <c r="J15350" s="10" t="inlineStr">
        <is>
          <t>Ngân hàng, Tài chính / Đầu tư, CNTT - Phần mềm</t>
        </is>
      </c>
      <c r="K15350" s="10" t="inlineStr">
        <is>
          <t>N/A</t>
        </is>
      </c>
      <c r="L15350" s="11">
        <f>HYPERLINK("https://careerviet.vn/vi/tim-viec-lam/chuyen-vien-chuyen-vien-cao-cap-kiem-dinh-mo-hinh-rui-ro-risk-model-validation-specialist-senior-specialist-khoi-quan-tri-rui-ro-ho26-59.35C698A6.html","Xem chi tiết")</f>
        <v/>
      </c>
      <c r="M15350" s="10" t="n"/>
    </row>
    <row r="15351">
      <c r="B15351" s="7" t="n">
        <v>15349</v>
      </c>
      <c r="C15351" t="inlineStr">
        <is>
          <t>Kỹ Sư Cơ Ký/Ôtô</t>
        </is>
      </c>
      <c r="D15351" t="inlineStr">
        <is>
          <t>PRECIOUS PRESTIGE TRADING AND LOGISTICS</t>
        </is>
      </c>
      <c r="E15351" t="inlineStr">
        <is>
          <t>Lương:Cạnh tranh</t>
        </is>
      </c>
      <c r="F15351" t="inlineStr">
        <is>
          <t>Hồ Chí Minh</t>
        </is>
      </c>
      <c r="G15351" t="inlineStr">
        <is>
          <t>24-03-2026</t>
        </is>
      </c>
      <c r="H15351" t="inlineStr">
        <is>
          <t>24/03/2026</t>
        </is>
      </c>
      <c r="I15351" t="inlineStr">
        <is>
          <t>17/03/2026</t>
        </is>
      </c>
      <c r="J15351" t="inlineStr">
        <is>
          <t>Cơ khí / Ô tô / Tự động hóa, Điện / Điện tử / Điện lạnh / Điện công nghiệp, Bảo trì / Sửa chữa</t>
        </is>
      </c>
      <c r="K15351" t="inlineStr">
        <is>
          <t>N/A</t>
        </is>
      </c>
      <c r="L15351" s="8">
        <f>HYPERLINK("https://careerviet.vn/vi/tim-viec-lam/ky-su-co-ky-oto.35C695BE.html","Xem chi tiết")</f>
        <v/>
      </c>
    </row>
    <row r="15352">
      <c r="B15352" s="9" t="n">
        <v>15350</v>
      </c>
      <c r="C15352" s="10" t="inlineStr">
        <is>
          <t>Manual Tester (Web/Mobile App)</t>
        </is>
      </c>
      <c r="D15352" s="10" t="inlineStr">
        <is>
          <t>CÔNG TY TNHH CÔNG NGHỆ VNTRIP</t>
        </is>
      </c>
      <c r="E15352" s="10" t="inlineStr">
        <is>
          <t>Lương:8 Tr - 15 Tr VND</t>
        </is>
      </c>
      <c r="F15352" s="10" t="inlineStr">
        <is>
          <t>Hà Nội</t>
        </is>
      </c>
      <c r="G15352" s="10" t="inlineStr">
        <is>
          <t>31-03-2026</t>
        </is>
      </c>
      <c r="H15352" s="10" t="inlineStr">
        <is>
          <t>31/03/2026</t>
        </is>
      </c>
      <c r="I15352" s="10" t="inlineStr">
        <is>
          <t>17/03/2026</t>
        </is>
      </c>
      <c r="J15352" s="10" t="inlineStr">
        <is>
          <t>CNTT - Phần mềm</t>
        </is>
      </c>
      <c r="K15352" s="10" t="inlineStr">
        <is>
          <t>1 - 2 Năm</t>
        </is>
      </c>
      <c r="L15352" s="11">
        <f>HYPERLINK("https://careerviet.vn/vi/tim-viec-lam/manual-tester-web-mobile-app.35C693D4.html","Xem chi tiết")</f>
        <v/>
      </c>
      <c r="M15352" s="10" t="n"/>
    </row>
    <row r="15353">
      <c r="B15353" s="7" t="n">
        <v>15351</v>
      </c>
      <c r="C15353" t="inlineStr">
        <is>
          <t>Nhân viên Media</t>
        </is>
      </c>
      <c r="D15353" t="inlineStr">
        <is>
          <t>Công ty Cổ Phần Giáo Dục German Link</t>
        </is>
      </c>
      <c r="E15353" t="inlineStr">
        <is>
          <t>Lương:12 Tr - 15 Tr VND</t>
        </is>
      </c>
      <c r="F15353" t="inlineStr">
        <is>
          <t>Hà Nội</t>
        </is>
      </c>
      <c r="G15353" t="inlineStr">
        <is>
          <t>4</t>
        </is>
      </c>
      <c r="H15353" t="inlineStr">
        <is>
          <t>21/03/2026</t>
        </is>
      </c>
      <c r="I15353" t="inlineStr">
        <is>
          <t>17/03/2026</t>
        </is>
      </c>
      <c r="J15353" t="inlineStr">
        <is>
          <t>Giáo dục / Đào tạo, Mỹ thuật / Nghệ thuật / Thiết kế, Truyền hình / Báo chí / Biên tập</t>
        </is>
      </c>
      <c r="K15353" t="inlineStr">
        <is>
          <t>Lên đến 2 Năm</t>
        </is>
      </c>
      <c r="L15353" s="8">
        <f>HYPERLINK("https://careerviet.vn/vi/tim-viec-lam/nhan-vien-media.35C69147.html","Xem chi tiết")</f>
        <v/>
      </c>
    </row>
    <row r="15354">
      <c r="B15354" s="9" t="n">
        <v>15352</v>
      </c>
      <c r="C15354" s="10" t="inlineStr">
        <is>
          <t>Nhân viên Kinh doanh Quốc tế</t>
        </is>
      </c>
      <c r="D15354" s="10" t="inlineStr">
        <is>
          <t>Công ty cổ phần sản xuất và xuất khẩu Quế hồi Việt Nam</t>
        </is>
      </c>
      <c r="E15354" s="10" t="inlineStr">
        <is>
          <t>Lương:12 Tr - 30 Tr VND</t>
        </is>
      </c>
      <c r="F15354" s="10" t="inlineStr">
        <is>
          <t>Hà Nội</t>
        </is>
      </c>
      <c r="G15354" s="10" t="inlineStr">
        <is>
          <t>31-03-2026</t>
        </is>
      </c>
      <c r="H15354" s="10" t="inlineStr">
        <is>
          <t>31/03/2026</t>
        </is>
      </c>
      <c r="I15354" s="10" t="inlineStr">
        <is>
          <t>17/03/2026</t>
        </is>
      </c>
      <c r="J15354" s="10" t="inlineStr">
        <is>
          <t>Bán hàng / Kinh doanh, Dịch vụ khách hàng, Xuất nhập khẩu</t>
        </is>
      </c>
      <c r="K15354" s="10" t="inlineStr">
        <is>
          <t>Trên 1 Năm</t>
        </is>
      </c>
      <c r="L15354" s="11">
        <f>HYPERLINK("https://careerviet.vn/vi/tim-viec-lam/nhan-vien-kinh-doanh-quoc-te.35C697CA.html","Xem chi tiết")</f>
        <v/>
      </c>
      <c r="M15354" s="10" t="n"/>
    </row>
    <row r="15355">
      <c r="B15355" s="7" t="n">
        <v>15353</v>
      </c>
      <c r="C15355" t="inlineStr">
        <is>
          <t>Kỹ sư thiết kế điện</t>
        </is>
      </c>
      <c r="D15355" t="inlineStr">
        <is>
          <t>Công ty cổ phần Xây dựng Công trình IPC</t>
        </is>
      </c>
      <c r="E15355" t="inlineStr">
        <is>
          <t>Lương:10 Tr - 20 Tr VND</t>
        </is>
      </c>
      <c r="F15355" t="inlineStr">
        <is>
          <t>Hà Nội</t>
        </is>
      </c>
      <c r="G15355" t="inlineStr">
        <is>
          <t>09-03-2026</t>
        </is>
      </c>
      <c r="H15355" t="inlineStr">
        <is>
          <t>15/03/2026</t>
        </is>
      </c>
      <c r="I15355" t="inlineStr">
        <is>
          <t>17/03/2026</t>
        </is>
      </c>
      <c r="J15355" t="inlineStr">
        <is>
          <t>Điện / Điện tử / Điện lạnh / Điện công nghiệp, Cơ khí / Ô tô / Tự động hóa, Xây dựng</t>
        </is>
      </c>
      <c r="K15355" t="inlineStr">
        <is>
          <t>N/A</t>
        </is>
      </c>
      <c r="L15355" s="8">
        <f>HYPERLINK("https://careerviet.vn/vi/tim-viec-lam/ky-su-thiet-ke-dien.35C68FDD.html","Xem chi tiết")</f>
        <v/>
      </c>
    </row>
    <row r="15356">
      <c r="B15356" s="9" t="n">
        <v>15354</v>
      </c>
      <c r="C15356" s="10" t="inlineStr">
        <is>
          <t>Giám đốc nhân sự</t>
        </is>
      </c>
      <c r="D15356" s="10" t="inlineStr">
        <is>
          <t>Công Ty Cổ Phần Xây Dựng CDC</t>
        </is>
      </c>
      <c r="E15356" s="10" t="inlineStr">
        <is>
          <t>Lương:Cạnh tranh</t>
        </is>
      </c>
      <c r="F15356" s="10" t="inlineStr">
        <is>
          <t>Hà Nội</t>
        </is>
      </c>
      <c r="G15356" s="10" t="inlineStr">
        <is>
          <t>24-03-2026</t>
        </is>
      </c>
      <c r="H15356" s="10" t="inlineStr">
        <is>
          <t>24/03/2026</t>
        </is>
      </c>
      <c r="I15356" s="10" t="inlineStr">
        <is>
          <t>17/03/2026</t>
        </is>
      </c>
      <c r="J15356" s="10" t="inlineStr">
        <is>
          <t>Nhân sự</t>
        </is>
      </c>
      <c r="K15356" s="10" t="inlineStr">
        <is>
          <t>5 - 10 Năm</t>
        </is>
      </c>
      <c r="L15356" s="11">
        <f>HYPERLINK("https://careerviet.vn/vi/tim-viec-lam/giam-doc-nhan-su.35C691C7.html","Xem chi tiết")</f>
        <v/>
      </c>
      <c r="M15356" s="10" t="n"/>
    </row>
    <row r="15357">
      <c r="B15357" s="7" t="n">
        <v>15355</v>
      </c>
      <c r="C15357" t="inlineStr">
        <is>
          <t>Nhân Viên Kinh Doanh Kênh Siêu Thị - Ngành Mẹ Và Bé</t>
        </is>
      </c>
      <c r="D15357" t="inlineStr">
        <is>
          <t>Công Ty TNHH XNK Cầu Nối Việt</t>
        </is>
      </c>
      <c r="E15357" t="inlineStr">
        <is>
          <t>Lương:10 Tr - 15 Tr VND</t>
        </is>
      </c>
      <c r="F15357" t="inlineStr">
        <is>
          <t>Hà Nội</t>
        </is>
      </c>
      <c r="G15357" t="inlineStr">
        <is>
          <t>31-05-2026</t>
        </is>
      </c>
      <c r="H15357" t="inlineStr">
        <is>
          <t>31/05/2026</t>
        </is>
      </c>
      <c r="I15357" t="inlineStr">
        <is>
          <t>17/03/2026</t>
        </is>
      </c>
      <c r="J15357" t="inlineStr">
        <is>
          <t>Bán lẻ / Bán sỉ, Bán hàng / Kinh doanh</t>
        </is>
      </c>
      <c r="K15357" t="inlineStr">
        <is>
          <t>1 - 10 Năm</t>
        </is>
      </c>
      <c r="L15357" s="8">
        <f>HYPERLINK("https://careerviet.vn/vi/tim-viec-lam/nhan-vien-kinh-doanh-kenh-sieu-thi-nganh-me-va-be.35C6944E.html","Xem chi tiết")</f>
        <v/>
      </c>
    </row>
    <row r="15358">
      <c r="B15358" s="9" t="n">
        <v>15356</v>
      </c>
      <c r="C15358" s="10" t="inlineStr">
        <is>
          <t>Kỹ thuật QS (Quantity Surveyor) –</t>
        </is>
      </c>
      <c r="D15358" s="10" t="inlineStr">
        <is>
          <t>AD BUILDING - CÔNG TY CỔ PHẦN KẾT CẤU THÉP WIN STEEL</t>
        </is>
      </c>
      <c r="E15358" s="10" t="inlineStr">
        <is>
          <t>Lương:15 Tr - 20 Tr VND</t>
        </is>
      </c>
      <c r="F15358" s="10" t="inlineStr">
        <is>
          <t>Hồ Chí Minh</t>
        </is>
      </c>
      <c r="G15358" s="10" t="inlineStr">
        <is>
          <t>31-03-2026</t>
        </is>
      </c>
      <c r="H15358" s="10" t="inlineStr">
        <is>
          <t>31/03/2026</t>
        </is>
      </c>
      <c r="I15358" s="10" t="inlineStr">
        <is>
          <t>17/03/2026</t>
        </is>
      </c>
      <c r="J15358" s="10" t="inlineStr">
        <is>
          <t>Mỹ thuật / Nghệ thuật / Thiết kế, Xây dựng</t>
        </is>
      </c>
      <c r="K15358" s="10" t="inlineStr">
        <is>
          <t>2 - 5 Năm</t>
        </is>
      </c>
      <c r="L15358" s="11">
        <f>HYPERLINK("https://careerviet.vn/vi/tim-viec-lam/ky-thuat-qs-quantity-surveyor.35C69080.html","Xem chi tiết")</f>
        <v/>
      </c>
      <c r="M15358" s="10" t="n"/>
    </row>
    <row r="15359">
      <c r="B15359" s="7" t="n">
        <v>15357</v>
      </c>
      <c r="C15359" t="inlineStr">
        <is>
          <t>Business Analyst</t>
        </is>
      </c>
      <c r="D15359" t="inlineStr">
        <is>
          <t>CÔNG TY TNHH CÔNG NGHỆ VNTRIP</t>
        </is>
      </c>
      <c r="E15359" t="inlineStr">
        <is>
          <t>Lương:10 Tr - 18 Tr VND</t>
        </is>
      </c>
      <c r="F15359" t="inlineStr">
        <is>
          <t>Hà Nội</t>
        </is>
      </c>
      <c r="G15359" t="inlineStr">
        <is>
          <t>31-03-2026</t>
        </is>
      </c>
      <c r="H15359" t="inlineStr">
        <is>
          <t>31/03/2026</t>
        </is>
      </c>
      <c r="I15359" t="inlineStr">
        <is>
          <t>17/03/2026</t>
        </is>
      </c>
      <c r="J15359" t="inlineStr">
        <is>
          <t>CNTT - Phần mềm</t>
        </is>
      </c>
      <c r="K15359" t="inlineStr">
        <is>
          <t>Trên 1 Năm</t>
        </is>
      </c>
      <c r="L15359" s="8">
        <f>HYPERLINK("https://careerviet.vn/vi/tim-viec-lam/business-analyst.35C693DB.html","Xem chi tiết")</f>
        <v/>
      </c>
    </row>
    <row r="15360">
      <c r="B15360" s="9" t="n">
        <v>15358</v>
      </c>
      <c r="C15360" s="10" t="inlineStr">
        <is>
          <t>Financial Planning and Analysis Executive</t>
        </is>
      </c>
      <c r="D15360" s="10" t="inlineStr">
        <is>
          <t>CÔNG TY CỔ PHẦN MORINAGA NUTRITIONAL FOODS VIỆT NAM</t>
        </is>
      </c>
      <c r="E15360" s="10" t="inlineStr">
        <is>
          <t>Lương:18 Tr - 25 Tr VND</t>
        </is>
      </c>
      <c r="F15360" s="10" t="inlineStr">
        <is>
          <t>Hà Nội</t>
        </is>
      </c>
      <c r="G15360" s="10" t="inlineStr">
        <is>
          <t>31-03-2026</t>
        </is>
      </c>
      <c r="H15360" s="10" t="inlineStr">
        <is>
          <t>31/03/2026</t>
        </is>
      </c>
      <c r="I15360" s="10" t="inlineStr">
        <is>
          <t>17/03/2026</t>
        </is>
      </c>
      <c r="J15360" s="10" t="inlineStr">
        <is>
          <t>Kế toán / Kiểm toán</t>
        </is>
      </c>
      <c r="K15360" s="10" t="inlineStr">
        <is>
          <t>2 - 10 Năm</t>
        </is>
      </c>
      <c r="L15360" s="11">
        <f>HYPERLINK("https://careerviet.vn/vi/tim-viec-lam/financial-planning-and-analysis-executive.35C69435.html","Xem chi tiết")</f>
        <v/>
      </c>
      <c r="M15360" s="10" t="n"/>
    </row>
    <row r="15361">
      <c r="B15361" s="7" t="n">
        <v>15359</v>
      </c>
      <c r="C15361" t="inlineStr">
        <is>
          <t>NHÂN VIÊN HÀNH CHÍNH – NHÂN SỰ (HR Executive)</t>
        </is>
      </c>
      <c r="D15361" t="inlineStr">
        <is>
          <t>Công Ty Cổ Phần Tập Đoàn Ô Tô Hiệp Hòa</t>
        </is>
      </c>
      <c r="E15361" t="inlineStr">
        <is>
          <t>Lương:10 Tr - 20 Tr VND</t>
        </is>
      </c>
      <c r="F15361" t="inlineStr">
        <is>
          <t>Hưng Yên</t>
        </is>
      </c>
      <c r="G15361" t="inlineStr">
        <is>
          <t>31-03-2026</t>
        </is>
      </c>
      <c r="H15361" t="inlineStr">
        <is>
          <t>31/03/2026</t>
        </is>
      </c>
      <c r="I15361" t="inlineStr">
        <is>
          <t>17/03/2026</t>
        </is>
      </c>
      <c r="J15361" t="inlineStr">
        <is>
          <t>Hành chính / Thư ký</t>
        </is>
      </c>
      <c r="K15361" t="inlineStr">
        <is>
          <t>N/A</t>
        </is>
      </c>
      <c r="L15361" s="8">
        <f>HYPERLINK("https://careerviet.vn/vi/tim-viec-lam/nhan-vien-hanh-chinh-nhan-su-hr-executive.35C692B7.html","Xem chi tiết")</f>
        <v/>
      </c>
    </row>
    <row r="15362">
      <c r="B15362" s="9" t="n">
        <v>15360</v>
      </c>
      <c r="C15362" s="10" t="inlineStr">
        <is>
          <t>TRƯỞNG PHÒNG QUY HOẠCH</t>
        </is>
      </c>
      <c r="D15362" s="10" t="inlineStr">
        <is>
          <t>Công ty TNHH Tư Vấn Thiết Kế xây Dựng Phú Gia Hòa</t>
        </is>
      </c>
      <c r="E15362" s="10" t="inlineStr">
        <is>
          <t>Lương:Cạnh tranh</t>
        </is>
      </c>
      <c r="F15362" s="10" t="inlineStr">
        <is>
          <t>Hồ Chí Minh</t>
        </is>
      </c>
      <c r="G15362" s="10" t="inlineStr">
        <is>
          <t>24-03-2026</t>
        </is>
      </c>
      <c r="H15362" s="10" t="inlineStr">
        <is>
          <t>24/03/2026</t>
        </is>
      </c>
      <c r="I15362" s="10" t="inlineStr">
        <is>
          <t>17/03/2026</t>
        </is>
      </c>
      <c r="J15362" s="10" t="inlineStr">
        <is>
          <t>Xây dựng, Luật / Pháp lý, Mỹ thuật / Nghệ thuật / Thiết kế</t>
        </is>
      </c>
      <c r="K15362" s="10" t="inlineStr">
        <is>
          <t>5 - 7 Năm</t>
        </is>
      </c>
      <c r="L15362" s="11">
        <f>HYPERLINK("https://careerviet.vn/vi/tim-viec-lam/truong-phong-quy-hoach.35C69284.html","Xem chi tiết")</f>
        <v/>
      </c>
      <c r="M15362" s="10" t="n"/>
    </row>
    <row r="15363">
      <c r="B15363" s="7" t="n">
        <v>15361</v>
      </c>
      <c r="C15363" t="inlineStr">
        <is>
          <t>Chuyên Viên Tìm Kiếm và Phát Triển Mặt Bằng (Quảng Ninh)</t>
        </is>
      </c>
      <c r="D15363" t="inlineStr">
        <is>
          <t>Concung.com - Con Cung Joint Stock Company</t>
        </is>
      </c>
      <c r="E15363" t="inlineStr">
        <is>
          <t>Lương:25 Tr - 30 Tr VND</t>
        </is>
      </c>
      <c r="F15363" t="inlineStr">
        <is>
          <t>Quảng Ninh</t>
        </is>
      </c>
      <c r="G15363" t="inlineStr">
        <is>
          <t>31-03-2026</t>
        </is>
      </c>
      <c r="H15363" t="inlineStr">
        <is>
          <t>31/03/2026</t>
        </is>
      </c>
      <c r="I15363" t="inlineStr">
        <is>
          <t>17/03/2026</t>
        </is>
      </c>
      <c r="J15363" t="inlineStr">
        <is>
          <t>Bán lẻ / Bán sỉ, Bất động sản, Bán hàng / Kinh doanh</t>
        </is>
      </c>
      <c r="K15363" t="inlineStr">
        <is>
          <t>N/A</t>
        </is>
      </c>
      <c r="L15363" s="8">
        <f>HYPERLINK("https://careerviet.vn/vi/tim-viec-lam/chuyen-vien-tim-kiem-va-phat-trien-mat-bang-quang-ninh.35C693B9.html","Xem chi tiết")</f>
        <v/>
      </c>
    </row>
    <row r="15364">
      <c r="B15364" s="9" t="n">
        <v>15362</v>
      </c>
      <c r="C15364" s="10" t="inlineStr">
        <is>
          <t>Chuyên viên Kế toán - Khối Tài chính Kế toán</t>
        </is>
      </c>
      <c r="D15364" s="10" t="inlineStr">
        <is>
          <t>Tổng Công ty Cổ phần Bảo hiểm Quân đội (MIC)</t>
        </is>
      </c>
      <c r="E15364" s="10" t="inlineStr">
        <is>
          <t>Lương:Cạnh tranh</t>
        </is>
      </c>
      <c r="F15364" s="10" t="inlineStr">
        <is>
          <t>Hà Nội</t>
        </is>
      </c>
      <c r="G15364" s="10" t="inlineStr">
        <is>
          <t>26-03-2026</t>
        </is>
      </c>
      <c r="H15364" s="10" t="inlineStr">
        <is>
          <t>26/03/2026</t>
        </is>
      </c>
      <c r="I15364" s="10" t="inlineStr">
        <is>
          <t>17/03/2026</t>
        </is>
      </c>
      <c r="J15364" s="10" t="inlineStr">
        <is>
          <t>Kế toán / Kiểm toán, Ngân hàng, Bảo hiểm</t>
        </is>
      </c>
      <c r="K15364" s="10" t="inlineStr">
        <is>
          <t>1 - 5 Năm</t>
        </is>
      </c>
      <c r="L15364" s="11">
        <f>HYPERLINK("https://careerviet.vn/vi/tim-viec-lam/chuyen-vien-ke-toan-khoi-tai-chinh-ke-toan.35C69026.html","Xem chi tiết")</f>
        <v/>
      </c>
      <c r="M15364" s="10" t="n"/>
    </row>
    <row r="15365">
      <c r="B15365" s="7" t="n">
        <v>15363</v>
      </c>
      <c r="C15365" t="inlineStr">
        <is>
          <t>Nhân Viên Kế Toán/ Accountant - Quận 7</t>
        </is>
      </c>
      <c r="D15365" t="inlineStr">
        <is>
          <t>One Be Solved Inc</t>
        </is>
      </c>
      <c r="E15365" t="inlineStr">
        <is>
          <t>Lương:10 Tr - 15 Tr VND</t>
        </is>
      </c>
      <c r="F15365" t="inlineStr">
        <is>
          <t>Hồ Chí Minh</t>
        </is>
      </c>
      <c r="G15365" t="inlineStr">
        <is>
          <t>24-03-2026</t>
        </is>
      </c>
      <c r="H15365" t="inlineStr">
        <is>
          <t>24/03/2026</t>
        </is>
      </c>
      <c r="I15365" t="inlineStr">
        <is>
          <t>17/03/2026</t>
        </is>
      </c>
      <c r="J15365" t="inlineStr">
        <is>
          <t>Kế toán / Kiểm toán</t>
        </is>
      </c>
      <c r="K15365" t="inlineStr">
        <is>
          <t>N/A</t>
        </is>
      </c>
      <c r="L15365" s="8">
        <f>HYPERLINK("https://careerviet.vn/vi/tim-viec-lam/nhan-vien-ke-toan-accountant-quan-7.35C68F90.html","Xem chi tiết")</f>
        <v/>
      </c>
    </row>
    <row r="15366">
      <c r="B15366" s="9" t="n">
        <v>15364</v>
      </c>
      <c r="C15366" s="10" t="inlineStr">
        <is>
          <t>CÁN BỘ NỘI NGHIỆP - NGÀNH XÂY DỰNG CẦU ĐƯỜNG</t>
        </is>
      </c>
      <c r="D15366" s="10" t="inlineStr">
        <is>
          <t>CÔNG TY TNHH TẬP ĐOÀN ĐỊNH AN</t>
        </is>
      </c>
      <c r="E15366" s="10" t="inlineStr">
        <is>
          <t>Lương:18 Tr - 27 Tr VND</t>
        </is>
      </c>
      <c r="F15366" s="10" t="inlineStr">
        <is>
          <t>Toàn quốc</t>
        </is>
      </c>
      <c r="G15366" s="10" t="inlineStr">
        <is>
          <t>24-03-2026</t>
        </is>
      </c>
      <c r="H15366" s="10" t="inlineStr">
        <is>
          <t>24/03/2026</t>
        </is>
      </c>
      <c r="I15366" s="10" t="inlineStr">
        <is>
          <t>17/03/2026</t>
        </is>
      </c>
      <c r="J15366" s="10" t="inlineStr">
        <is>
          <t>Xây dựng</t>
        </is>
      </c>
      <c r="K15366" s="10" t="inlineStr">
        <is>
          <t>Trên 3 Năm</t>
        </is>
      </c>
      <c r="L15366" s="11">
        <f>HYPERLINK("https://careerviet.vn/vi/tim-viec-lam/can-bo-noi-nghiep-nganh-xay-dung-cau-duong.35C69280.html","Xem chi tiết")</f>
        <v/>
      </c>
      <c r="M15366" s="10" t="n"/>
    </row>
    <row r="15367">
      <c r="B15367" s="7" t="n">
        <v>15365</v>
      </c>
      <c r="C15367" t="inlineStr">
        <is>
          <t>KỸ SƯ CƠ ĐIỆN (MEP)</t>
        </is>
      </c>
      <c r="D15367" t="inlineStr">
        <is>
          <t>CÔNG TY CỔ PHẦN MEGABUILD</t>
        </is>
      </c>
      <c r="E15367" t="inlineStr">
        <is>
          <t>Lương:17 Tr - 25 Tr VND</t>
        </is>
      </c>
      <c r="F15367" t="inlineStr">
        <is>
          <t>Bình DươngĐồng NaiHồ Chí Minh</t>
        </is>
      </c>
      <c r="G15367" t="inlineStr">
        <is>
          <t>3</t>
        </is>
      </c>
      <c r="H15367" t="inlineStr">
        <is>
          <t>20/03/2026</t>
        </is>
      </c>
      <c r="I15367" t="inlineStr">
        <is>
          <t>17/03/2026</t>
        </is>
      </c>
      <c r="J15367" t="inlineStr">
        <is>
          <t>Xây dựng</t>
        </is>
      </c>
      <c r="K15367" t="inlineStr">
        <is>
          <t>2 - 5 Năm</t>
        </is>
      </c>
      <c r="L15367" s="8">
        <f>HYPERLINK("https://careerviet.vn/vi/tim-viec-lam/ky-su-co-dien-mep.35C6904D.html","Xem chi tiết")</f>
        <v/>
      </c>
    </row>
    <row r="15368">
      <c r="B15368" s="9" t="n">
        <v>15366</v>
      </c>
      <c r="C15368" s="10" t="inlineStr">
        <is>
          <t>NHÂN VIÊN CONTENT CREATOR</t>
        </is>
      </c>
      <c r="D15368" s="10" t="inlineStr">
        <is>
          <t>CÔNG TY CỔ PHẦN GOKI VIỆT NAM</t>
        </is>
      </c>
      <c r="E15368" s="10" t="inlineStr">
        <is>
          <t>Lương:8 Tr - 12 Tr VND</t>
        </is>
      </c>
      <c r="F15368" s="10" t="inlineStr">
        <is>
          <t>Hà Nội</t>
        </is>
      </c>
      <c r="G15368" s="10" t="inlineStr">
        <is>
          <t>31-03-2026</t>
        </is>
      </c>
      <c r="H15368" s="10" t="inlineStr">
        <is>
          <t>31/03/2026</t>
        </is>
      </c>
      <c r="I15368" s="10" t="inlineStr">
        <is>
          <t>17/03/2026</t>
        </is>
      </c>
      <c r="J15368" s="10" t="inlineStr">
        <is>
          <t>Nội ngoại thất</t>
        </is>
      </c>
      <c r="K15368" s="10" t="inlineStr">
        <is>
          <t>1 - 2 Năm</t>
        </is>
      </c>
      <c r="L15368" s="11">
        <f>HYPERLINK("https://careerviet.vn/vi/tim-viec-lam/nhan-vien-content-creator.35C690B5.html","Xem chi tiết")</f>
        <v/>
      </c>
      <c r="M15368" s="10" t="n"/>
    </row>
    <row r="15369">
      <c r="B15369" s="7" t="n">
        <v>15367</v>
      </c>
      <c r="C15369" t="inlineStr">
        <is>
          <t>Production Team Leader (Tổ trưởng sản xuất)</t>
        </is>
      </c>
      <c r="D15369" t="inlineStr">
        <is>
          <t>Huhtamaki (Vietnam) Ltd.</t>
        </is>
      </c>
      <c r="E15369" t="inlineStr">
        <is>
          <t>Lương:Cạnh tranh</t>
        </is>
      </c>
      <c r="F15369" t="inlineStr">
        <is>
          <t>Bình Dương</t>
        </is>
      </c>
      <c r="G15369" t="inlineStr">
        <is>
          <t>4</t>
        </is>
      </c>
      <c r="H15369" t="inlineStr">
        <is>
          <t>21/03/2026</t>
        </is>
      </c>
      <c r="I15369" t="inlineStr">
        <is>
          <t>17/03/2026</t>
        </is>
      </c>
      <c r="J15369" t="inlineStr">
        <is>
          <t>Thống kê, Cơ khí / Ô tô / Tự động hóa, Sản xuất / Vận hành sản xuất</t>
        </is>
      </c>
      <c r="K15369" t="inlineStr">
        <is>
          <t>N/A</t>
        </is>
      </c>
      <c r="L15369" s="8">
        <f>HYPERLINK("https://careerviet.vn/vi/tim-viec-lam/production-team-leader-to-truong-san-xuat.35C6917B.html","Xem chi tiết")</f>
        <v/>
      </c>
    </row>
    <row r="15370">
      <c r="B15370" s="9" t="n">
        <v>15368</v>
      </c>
      <c r="C15370" s="10" t="inlineStr">
        <is>
          <t>Nhân Viên Kinh Doanh / Sales Thị Trường Phú Thọ</t>
        </is>
      </c>
      <c r="D15370" s="10" t="inlineStr">
        <is>
          <t>NANOCO GROUP</t>
        </is>
      </c>
      <c r="E15370" s="10" t="inlineStr">
        <is>
          <t>Lương:Cạnh tranh</t>
        </is>
      </c>
      <c r="F15370" s="10" t="inlineStr">
        <is>
          <t>Phú Thọ</t>
        </is>
      </c>
      <c r="G15370" s="10" t="inlineStr">
        <is>
          <t>25-03-2026</t>
        </is>
      </c>
      <c r="H15370" s="10" t="inlineStr">
        <is>
          <t>25/03/2026</t>
        </is>
      </c>
      <c r="I15370" s="10" t="inlineStr">
        <is>
          <t>17/03/2026</t>
        </is>
      </c>
      <c r="J15370" s="10" t="inlineStr">
        <is>
          <t>Bán hàng / Kinh doanh, Bán lẻ / Bán sỉ, Tiếp thị / Marketing</t>
        </is>
      </c>
      <c r="K15370" s="10" t="inlineStr">
        <is>
          <t>Trên 1 Năm</t>
        </is>
      </c>
      <c r="L15370" s="11">
        <f>HYPERLINK("https://careerviet.vn/vi/tim-viec-lam/nhan-vien-kinh-doanh-sales-thi-truong-phu-tho.35C69092.html","Xem chi tiết")</f>
        <v/>
      </c>
      <c r="M15370" s="10" t="n"/>
    </row>
    <row r="15371">
      <c r="B15371" s="7" t="n">
        <v>15369</v>
      </c>
      <c r="C15371" t="inlineStr">
        <is>
          <t>Phó Tổng Giám Đốc Điều Hành Ngành Bất Động Sản</t>
        </is>
      </c>
      <c r="D15371" t="inlineStr">
        <is>
          <t>CÔNG TY TNHH TẬP ĐOÀN ĐỊNH AN</t>
        </is>
      </c>
      <c r="E15371" t="inlineStr">
        <is>
          <t>Lương:55 Tr - 100 Tr VND</t>
        </is>
      </c>
      <c r="F15371" t="inlineStr">
        <is>
          <t>Hà Nội</t>
        </is>
      </c>
      <c r="G15371" t="inlineStr">
        <is>
          <t>24-03-2026</t>
        </is>
      </c>
      <c r="H15371" t="inlineStr">
        <is>
          <t>24/03/2026</t>
        </is>
      </c>
      <c r="I15371" t="inlineStr">
        <is>
          <t>17/03/2026</t>
        </is>
      </c>
      <c r="J15371" t="inlineStr">
        <is>
          <t>Xây dựng, Kiến trúc, Quản lý điều hành</t>
        </is>
      </c>
      <c r="K15371" t="inlineStr">
        <is>
          <t>3 - 5 Năm</t>
        </is>
      </c>
      <c r="L15371" s="8">
        <f>HYPERLINK("https://careerviet.vn/vi/tim-viec-lam/pho-tong-giam-doc-dieu-hanh-nganh-bat-dong-san.35C68FFF.html","Xem chi tiết")</f>
        <v/>
      </c>
    </row>
    <row r="15372">
      <c r="B15372" s="9" t="n">
        <v>15370</v>
      </c>
      <c r="C15372" s="10" t="inlineStr">
        <is>
          <t>PHIÊN DỊCH VIÊN TIẾNG HÀN</t>
        </is>
      </c>
      <c r="D15372" s="10" t="inlineStr">
        <is>
          <t>Công Ty TNHH Thương Mại K&amp;K Toàn Cầu</t>
        </is>
      </c>
      <c r="E15372" s="10" t="inlineStr">
        <is>
          <t>Lương:13 Tr - 18 Tr VND</t>
        </is>
      </c>
      <c r="F15372" s="10" t="inlineStr">
        <is>
          <t>Hà Nội</t>
        </is>
      </c>
      <c r="G15372" s="10" t="inlineStr">
        <is>
          <t>24-03-2026</t>
        </is>
      </c>
      <c r="H15372" s="10" t="inlineStr">
        <is>
          <t>24/03/2026</t>
        </is>
      </c>
      <c r="I15372" s="10" t="inlineStr">
        <is>
          <t>17/03/2026</t>
        </is>
      </c>
      <c r="J15372" s="10" t="inlineStr">
        <is>
          <t>Hành chính / Thư ký, Biên phiên dịch</t>
        </is>
      </c>
      <c r="K15372" s="10" t="inlineStr">
        <is>
          <t>1 - 2 Năm</t>
        </is>
      </c>
      <c r="L15372" s="11">
        <f>HYPERLINK("https://careerviet.vn/vi/tim-viec-lam/phien-dich-vien-tieng-han.35C69121.html","Xem chi tiết")</f>
        <v/>
      </c>
      <c r="M15372" s="10" t="n"/>
    </row>
    <row r="15373">
      <c r="B15373" s="7" t="n">
        <v>15371</v>
      </c>
      <c r="C15373" t="inlineStr">
        <is>
          <t>Nhân Viên Bảo Trì Điện Công Nghiệp</t>
        </is>
      </c>
      <c r="D15373" t="inlineStr">
        <is>
          <t>Công ty TNHH Greystone Data Systems Việt Nam</t>
        </is>
      </c>
      <c r="E15373" t="inlineStr">
        <is>
          <t>Lương:8,2 Tr - 9 Tr VND</t>
        </is>
      </c>
      <c r="F15373" t="inlineStr">
        <is>
          <t>Hồ Chí Minh</t>
        </is>
      </c>
      <c r="G15373" t="inlineStr">
        <is>
          <t>26-03-2026</t>
        </is>
      </c>
      <c r="H15373" t="inlineStr">
        <is>
          <t>26/03/2026</t>
        </is>
      </c>
      <c r="I15373" t="inlineStr">
        <is>
          <t>17/03/2026</t>
        </is>
      </c>
      <c r="J15373" t="inlineStr">
        <is>
          <t>Cơ khí / Ô tô / Tự động hóa, Điện / Điện tử / Điện lạnh / Điện công nghiệp</t>
        </is>
      </c>
      <c r="K15373" t="inlineStr">
        <is>
          <t>1 - 2 Năm</t>
        </is>
      </c>
      <c r="L15373" s="8">
        <f>HYPERLINK("https://careerviet.vn/vi/tim-viec-lam/nhan-vien-bao-tri-dien-cong-nghiep.35C69204.html","Xem chi tiết")</f>
        <v/>
      </c>
    </row>
    <row r="15374">
      <c r="B15374" s="9" t="n">
        <v>15372</v>
      </c>
      <c r="C15374" s="10" t="inlineStr">
        <is>
          <t>GIÁM ĐỐC NHÂN SỰ (GREEEN I - PARK)</t>
        </is>
      </c>
      <c r="D15374" s="10" t="inlineStr">
        <is>
          <t>CÔNG TY CỔ PHẦN GREEN I-PARK</t>
        </is>
      </c>
      <c r="E15374" s="10" t="inlineStr">
        <is>
          <t>Lương:40 Tr - 50 Tr VND</t>
        </is>
      </c>
      <c r="F15374" s="10" t="inlineStr">
        <is>
          <t>Hà Nội</t>
        </is>
      </c>
      <c r="G15374" s="10" t="inlineStr">
        <is>
          <t>09-03-2026</t>
        </is>
      </c>
      <c r="H15374" s="10" t="inlineStr">
        <is>
          <t>15/03/2026</t>
        </is>
      </c>
      <c r="I15374" s="10" t="inlineStr">
        <is>
          <t>17/03/2026</t>
        </is>
      </c>
      <c r="J15374" s="10" t="inlineStr">
        <is>
          <t>Quản lý điều hành, Nhân sự</t>
        </is>
      </c>
      <c r="K15374" s="10" t="inlineStr">
        <is>
          <t>7 - 10 Năm</t>
        </is>
      </c>
      <c r="L15374" s="11">
        <f>HYPERLINK("https://careerviet.vn/vi/tim-viec-lam/giam-doc-nhan-su-greeen-i-park.35C6935D.html","Xem chi tiết")</f>
        <v/>
      </c>
      <c r="M15374" s="10" t="n"/>
    </row>
    <row r="15375">
      <c r="B15375" s="7" t="n">
        <v>15373</v>
      </c>
      <c r="C15375" t="inlineStr">
        <is>
          <t>Nhân Viên Hành Chính</t>
        </is>
      </c>
      <c r="D15375" t="inlineStr">
        <is>
          <t>Công Ty TNHH Thương Mại Xuất Nhập Khẩu Fani</t>
        </is>
      </c>
      <c r="E15375" t="inlineStr">
        <is>
          <t>Lương:10 Tr - 15 Tr VND</t>
        </is>
      </c>
      <c r="F15375" t="inlineStr">
        <is>
          <t>Hà Nội</t>
        </is>
      </c>
      <c r="G15375" t="inlineStr">
        <is>
          <t>31-03-2026</t>
        </is>
      </c>
      <c r="H15375" t="inlineStr">
        <is>
          <t>31/03/2026</t>
        </is>
      </c>
      <c r="I15375" t="inlineStr">
        <is>
          <t>17/03/2026</t>
        </is>
      </c>
      <c r="J15375" t="inlineStr">
        <is>
          <t>Thương mại điện tử</t>
        </is>
      </c>
      <c r="K15375" t="inlineStr">
        <is>
          <t>1 - 3 Năm</t>
        </is>
      </c>
      <c r="L15375" s="8">
        <f>HYPERLINK("https://careerviet.vn/vi/tim-viec-lam/nhan-vien-hanh-chinh.35C693BE.html","Xem chi tiết")</f>
        <v/>
      </c>
    </row>
    <row r="15376">
      <c r="B15376" s="9" t="n">
        <v>15374</v>
      </c>
      <c r="C15376" s="10" t="inlineStr">
        <is>
          <t>Nhân viên Kinh doanh (Sales) – Ngành Kết cấu Thép</t>
        </is>
      </c>
      <c r="D15376" s="10" t="inlineStr">
        <is>
          <t>AD BUILDING - CÔNG TY CỔ PHẦN KẾT CẤU THÉP WIN STEEL</t>
        </is>
      </c>
      <c r="E15376" s="10" t="inlineStr">
        <is>
          <t>Lương:20 Tr - 25 Tr VND</t>
        </is>
      </c>
      <c r="F15376" s="10" t="inlineStr">
        <is>
          <t>Hồ Chí Minh</t>
        </is>
      </c>
      <c r="G15376" s="10" t="inlineStr">
        <is>
          <t>31-03-2026</t>
        </is>
      </c>
      <c r="H15376" s="10" t="inlineStr">
        <is>
          <t>31/03/2026</t>
        </is>
      </c>
      <c r="I15376" s="10" t="inlineStr">
        <is>
          <t>17/03/2026</t>
        </is>
      </c>
      <c r="J15376" s="10" t="inlineStr">
        <is>
          <t>Bán hàng / Kinh doanh, Tiếp thị / Marketing, Xây dựng</t>
        </is>
      </c>
      <c r="K15376" s="10" t="inlineStr">
        <is>
          <t>3 - 5 Năm</t>
        </is>
      </c>
      <c r="L15376" s="11">
        <f>HYPERLINK("https://careerviet.vn/vi/tim-viec-lam/nhan-vien-kinh-doanh-sales-nganh-ket-cau-thep.35C68F84.html","Xem chi tiết")</f>
        <v/>
      </c>
      <c r="M15376" s="10" t="n"/>
    </row>
    <row r="15377">
      <c r="B15377" s="7" t="n">
        <v>15375</v>
      </c>
      <c r="C15377" t="inlineStr">
        <is>
          <t>Nhân Viên Hành Chính Kiêm C&amp;B</t>
        </is>
      </c>
      <c r="D15377" t="inlineStr">
        <is>
          <t>HỆ THỐNG KÍNH MẮT ANNA</t>
        </is>
      </c>
      <c r="E15377" t="inlineStr">
        <is>
          <t>Lương:8 Tr - 12 Tr VND</t>
        </is>
      </c>
      <c r="F15377" t="inlineStr">
        <is>
          <t>Hà Nội</t>
        </is>
      </c>
      <c r="G15377" t="inlineStr">
        <is>
          <t>31-03-2026</t>
        </is>
      </c>
      <c r="H15377" t="inlineStr">
        <is>
          <t>31/03/2026</t>
        </is>
      </c>
      <c r="I15377" t="inlineStr">
        <is>
          <t>17/03/2026</t>
        </is>
      </c>
      <c r="J15377" t="inlineStr">
        <is>
          <t>Nhân sự</t>
        </is>
      </c>
      <c r="K15377" t="inlineStr">
        <is>
          <t>Trên 1 Năm</t>
        </is>
      </c>
      <c r="L15377" s="8">
        <f>HYPERLINK("https://careerviet.vn/vi/tim-viec-lam/nhan-vien-hanh-chinh-kiem-c-b.35C69320.html","Xem chi tiết")</f>
        <v/>
      </c>
    </row>
    <row r="15378">
      <c r="B15378" s="9" t="n">
        <v>15376</v>
      </c>
      <c r="C15378" s="10" t="inlineStr">
        <is>
          <t>Store Manager (Wilson)</t>
        </is>
      </c>
      <c r="D15378" s="10" t="inlineStr">
        <is>
          <t>CÔNG TY TNHH ANTA SPORTS VIỆT NAM</t>
        </is>
      </c>
      <c r="E15378" s="10" t="inlineStr">
        <is>
          <t>Lương:13 Tr - 20 Tr VND</t>
        </is>
      </c>
      <c r="F15378" s="10" t="inlineStr">
        <is>
          <t>Hà NộiHải PhòngHồ Chí Minh</t>
        </is>
      </c>
      <c r="G15378" s="10" t="inlineStr">
        <is>
          <t>31-03-2026</t>
        </is>
      </c>
      <c r="H15378" s="10" t="inlineStr">
        <is>
          <t>31/03/2026</t>
        </is>
      </c>
      <c r="I15378" s="10" t="inlineStr">
        <is>
          <t>17/03/2026</t>
        </is>
      </c>
      <c r="J15378" s="10" t="inlineStr">
        <is>
          <t>Bán hàng / Kinh doanh, Tiếp thị / Marketing, Bán lẻ / Bán sỉ</t>
        </is>
      </c>
      <c r="K15378" s="10" t="inlineStr">
        <is>
          <t>Trên 2 Năm</t>
        </is>
      </c>
      <c r="L15378" s="11">
        <f>HYPERLINK("https://careerviet.vn/vi/tim-viec-lam/store-manager-wilson.35C69160.html","Xem chi tiết")</f>
        <v/>
      </c>
      <c r="M15378" s="10" t="n"/>
    </row>
    <row r="15379">
      <c r="B15379" s="7" t="n">
        <v>15377</v>
      </c>
      <c r="C15379" t="inlineStr">
        <is>
          <t>Trưởng phòng marketing Ngành thời trang</t>
        </is>
      </c>
      <c r="D15379" t="inlineStr">
        <is>
          <t>Công Ty TNHH XNK Cầu Nối Việt</t>
        </is>
      </c>
      <c r="E15379" t="inlineStr">
        <is>
          <t>Lương:Cạnh tranh</t>
        </is>
      </c>
      <c r="F15379" t="inlineStr">
        <is>
          <t>Hà Nội</t>
        </is>
      </c>
      <c r="G15379" t="inlineStr">
        <is>
          <t>31-05-2026</t>
        </is>
      </c>
      <c r="H15379" t="inlineStr">
        <is>
          <t>31/05/2026</t>
        </is>
      </c>
      <c r="I15379" t="inlineStr">
        <is>
          <t>17/03/2026</t>
        </is>
      </c>
      <c r="J15379" t="inlineStr">
        <is>
          <t>Tiếp thị / Marketing, Dệt may / Da giày / Thời trang, Quản lý điều hành</t>
        </is>
      </c>
      <c r="K15379" t="inlineStr">
        <is>
          <t>1 - 10 Năm</t>
        </is>
      </c>
      <c r="L15379" s="8">
        <f>HYPERLINK("https://careerviet.vn/vi/tim-viec-lam/truong-phong-marketing-nganh-thoi-trang.35C69446.html","Xem chi tiết")</f>
        <v/>
      </c>
    </row>
    <row r="15380">
      <c r="B15380" s="9" t="n">
        <v>15378</v>
      </c>
      <c r="C15380" s="10" t="inlineStr">
        <is>
          <t>Nhân Viên Điều Hành Tour Inbound</t>
        </is>
      </c>
      <c r="D15380" s="10" t="inlineStr">
        <is>
          <t>Vietnam Tourist</t>
        </is>
      </c>
      <c r="E15380" s="10" t="inlineStr">
        <is>
          <t>Lương:Cạnh tranh</t>
        </is>
      </c>
      <c r="F15380" s="10" t="inlineStr">
        <is>
          <t>Hà Nội</t>
        </is>
      </c>
      <c r="G15380" s="10" t="inlineStr">
        <is>
          <t>09-03-2026</t>
        </is>
      </c>
      <c r="H15380" s="10" t="inlineStr">
        <is>
          <t>01/03/2026</t>
        </is>
      </c>
      <c r="I15380" s="10" t="inlineStr">
        <is>
          <t>17/03/2026</t>
        </is>
      </c>
      <c r="J15380" s="10" t="inlineStr">
        <is>
          <t>Du lịch, Quản lý điều hành, Nhà hàng / Khách sạn</t>
        </is>
      </c>
      <c r="K15380" s="10" t="inlineStr">
        <is>
          <t>2 - 20 Năm</t>
        </is>
      </c>
      <c r="L15380" s="11">
        <f>HYPERLINK("https://careerviet.vn/vi/tim-viec-lam/nhan-vien-dieu-hanh-tour-inbound.35C6910D.html","Xem chi tiết")</f>
        <v/>
      </c>
      <c r="M15380" s="10" t="n"/>
    </row>
    <row r="15381">
      <c r="B15381" s="7" t="n">
        <v>15379</v>
      </c>
      <c r="C15381" t="inlineStr">
        <is>
          <t>Chuyên viên Phát triển Kinh doanh  (Business Development Executive)  – Ngành hàng Mẹ &amp; Bé</t>
        </is>
      </c>
      <c r="D15381" t="inlineStr">
        <is>
          <t>Công Ty TNHH XNK Cầu Nối Việt</t>
        </is>
      </c>
      <c r="E15381" t="inlineStr">
        <is>
          <t>Lương:15 Tr - 20 Tr VND</t>
        </is>
      </c>
      <c r="F15381" t="inlineStr">
        <is>
          <t>Hà Nội</t>
        </is>
      </c>
      <c r="G15381" t="inlineStr">
        <is>
          <t>31-05-2026</t>
        </is>
      </c>
      <c r="H15381" t="inlineStr">
        <is>
          <t>31/05/2026</t>
        </is>
      </c>
      <c r="I15381" t="inlineStr">
        <is>
          <t>17/03/2026</t>
        </is>
      </c>
      <c r="J15381" t="inlineStr">
        <is>
          <t>Tiếp thị / Marketing, Bán hàng / Kinh doanh, Truyền hình / Báo chí / Biên tập</t>
        </is>
      </c>
      <c r="K15381" t="inlineStr">
        <is>
          <t>1 - 9 Năm</t>
        </is>
      </c>
      <c r="L15381" s="8">
        <f>HYPERLINK("https://careerviet.vn/vi/tim-viec-lam/chuyen-vien-phat-trien-kinh-doanh-business-development-executive-nganh-hang-me-be.35C69447.html","Xem chi tiết")</f>
        <v/>
      </c>
    </row>
    <row r="15382">
      <c r="B15382" s="9" t="n">
        <v>15380</v>
      </c>
      <c r="C15382" s="10" t="inlineStr">
        <is>
          <t>Trưởng phòng Khách hàng Cá nhân làm việc tại TP.Hồ Chí Minh</t>
        </is>
      </c>
      <c r="D15382" s="10" t="inlineStr">
        <is>
          <t>Ngân hàng TMCP Đại Chúng Việt Nam - PVcomBank</t>
        </is>
      </c>
      <c r="E15382" s="10" t="inlineStr">
        <is>
          <t>Lương:Cạnh tranh</t>
        </is>
      </c>
      <c r="F15382" s="10" t="inlineStr">
        <is>
          <t>Hồ Chí MinhKV Đông Nam Bộ</t>
        </is>
      </c>
      <c r="G15382" s="10" t="inlineStr">
        <is>
          <t>26-03-2026</t>
        </is>
      </c>
      <c r="H15382" s="10" t="inlineStr">
        <is>
          <t>26/03/2026</t>
        </is>
      </c>
      <c r="I15382" s="10" t="inlineStr">
        <is>
          <t>17/03/2026</t>
        </is>
      </c>
      <c r="J15382" s="10" t="inlineStr">
        <is>
          <t>Ngân hàng, Tài chính / Đầu tư</t>
        </is>
      </c>
      <c r="K15382" s="10" t="inlineStr">
        <is>
          <t>3 - 4 Năm</t>
        </is>
      </c>
      <c r="L15382" s="11">
        <f>HYPERLINK("https://careerviet.vn/vi/tim-viec-lam/truong-phong-khach-hang-ca-nhan-lam-viec-tai-tp-ho-chi-minh.35C68FD5.html","Xem chi tiết")</f>
        <v/>
      </c>
      <c r="M15382" s="10" t="n"/>
    </row>
    <row r="15383">
      <c r="B15383" s="7" t="n">
        <v>15381</v>
      </c>
      <c r="C15383" t="inlineStr">
        <is>
          <t>NHÂN VIÊN TRẮC ĐẠC</t>
        </is>
      </c>
      <c r="D15383" t="inlineStr">
        <is>
          <t>Công ty cổ phần Xây dựng Công trình IPC</t>
        </is>
      </c>
      <c r="E15383" t="inlineStr">
        <is>
          <t>Lương:Cạnh tranh</t>
        </is>
      </c>
      <c r="F15383" t="inlineStr">
        <is>
          <t>Thanh Hóa</t>
        </is>
      </c>
      <c r="G15383" t="inlineStr">
        <is>
          <t>09-03-2026</t>
        </is>
      </c>
      <c r="H15383" t="inlineStr">
        <is>
          <t>15/03/2026</t>
        </is>
      </c>
      <c r="I15383" t="inlineStr">
        <is>
          <t>17/03/2026</t>
        </is>
      </c>
      <c r="J15383" t="inlineStr">
        <is>
          <t>Trắc địa / Địa Chất, Cơ khí / Ô tô / Tự động hóa, Xây dựng</t>
        </is>
      </c>
      <c r="K15383" t="inlineStr">
        <is>
          <t>Trên 2 Năm</t>
        </is>
      </c>
      <c r="L15383" s="8">
        <f>HYPERLINK("https://careerviet.vn/vi/tim-viec-lam/nhan-vien-trac-dac.35C68FE8.html","Xem chi tiết")</f>
        <v/>
      </c>
    </row>
    <row r="15384">
      <c r="B15384" s="9" t="n">
        <v>15382</v>
      </c>
      <c r="C15384" s="10" t="inlineStr">
        <is>
          <t>NHÂN VIÊN THIẾT KẾ THI CÔNG NỘI THẤT (SHOPDRAWING)</t>
        </is>
      </c>
      <c r="D15384" s="10" t="inlineStr">
        <is>
          <t>CÔNG TY CỔ PHẦN SẢN XUẤT THƯƠNG MẠI XÂY DỰNG TRANG TRÍ NỘI THẤT G.S VIỆT NAM</t>
        </is>
      </c>
      <c r="E15384" s="10" t="inlineStr">
        <is>
          <t>Lương:Trên 10 Tr VND</t>
        </is>
      </c>
      <c r="F15384" s="10" t="inlineStr">
        <is>
          <t>Hồ Chí Minh</t>
        </is>
      </c>
      <c r="G15384" s="10" t="inlineStr">
        <is>
          <t>31-03-2026</t>
        </is>
      </c>
      <c r="H15384" s="10" t="inlineStr">
        <is>
          <t>31/03/2026</t>
        </is>
      </c>
      <c r="I15384" s="10" t="inlineStr">
        <is>
          <t>17/03/2026</t>
        </is>
      </c>
      <c r="J15384" s="10" t="inlineStr">
        <is>
          <t>Đồ gỗ, Kiến trúc, Nội ngoại thất</t>
        </is>
      </c>
      <c r="K15384" s="10" t="inlineStr">
        <is>
          <t>1 - 2 Năm</t>
        </is>
      </c>
      <c r="L15384" s="11">
        <f>HYPERLINK("https://careerviet.vn/vi/tim-viec-lam/nhan-vien-thiet-ke-thi-cong-noi-that-shopdrawing.35C69072.html","Xem chi tiết")</f>
        <v/>
      </c>
      <c r="M15384" s="10" t="n"/>
    </row>
    <row r="15385">
      <c r="B15385" s="7" t="n">
        <v>15383</v>
      </c>
      <c r="C15385" t="inlineStr">
        <is>
          <t>Chuyên viên Giám định Xe cơ giới tại địa bàn Cần Thơ - Khối Giám định bồi thường</t>
        </is>
      </c>
      <c r="D15385" t="inlineStr">
        <is>
          <t>Tổng Công ty Cổ phần Bảo hiểm Quân đội (MIC)</t>
        </is>
      </c>
      <c r="E15385" t="inlineStr">
        <is>
          <t>Lương:Cạnh tranh</t>
        </is>
      </c>
      <c r="F15385" t="inlineStr">
        <is>
          <t>Cần Thơ</t>
        </is>
      </c>
      <c r="G15385" t="inlineStr">
        <is>
          <t>26-03-2026</t>
        </is>
      </c>
      <c r="H15385" t="inlineStr">
        <is>
          <t>26/03/2026</t>
        </is>
      </c>
      <c r="I15385" t="inlineStr">
        <is>
          <t>17/03/2026</t>
        </is>
      </c>
      <c r="J15385" t="inlineStr">
        <is>
          <t>Bảo hiểm, Bảo trì / Sửa chữa</t>
        </is>
      </c>
      <c r="K15385" t="inlineStr">
        <is>
          <t>1 - 10 Năm</t>
        </is>
      </c>
      <c r="L15385" s="8">
        <f>HYPERLINK("https://careerviet.vn/vi/tim-viec-lam/chuyen-vien-giam-dinh-xe-co-gioi-tai-dia-ban-can-tho-khoi-giam-dinh-boi-thuong.35C692B2.html","Xem chi tiết")</f>
        <v/>
      </c>
    </row>
    <row r="15386">
      <c r="B15386" s="9" t="n">
        <v>15384</v>
      </c>
      <c r="C15386" s="10" t="inlineStr">
        <is>
          <t>Nhân viên cứu hộ bể bơi</t>
        </is>
      </c>
      <c r="D15386" s="10" t="inlineStr">
        <is>
          <t>Công Ty Cổ Phần A25 Hotel</t>
        </is>
      </c>
      <c r="E15386" s="10" t="inlineStr">
        <is>
          <t>Lương:11 Tr - 21 Tr VND</t>
        </is>
      </c>
      <c r="F15386" s="10" t="inlineStr">
        <is>
          <t>Hà Nội</t>
        </is>
      </c>
      <c r="G15386" s="10" t="inlineStr">
        <is>
          <t>31-03-2026</t>
        </is>
      </c>
      <c r="H15386" s="10" t="inlineStr">
        <is>
          <t>31/03/2026</t>
        </is>
      </c>
      <c r="I15386" s="10" t="inlineStr">
        <is>
          <t>17/03/2026</t>
        </is>
      </c>
      <c r="J15386" s="10" t="inlineStr">
        <is>
          <t>Nhà hàng / Khách sạn, Ngành khác, Dịch vụ khách hàng</t>
        </is>
      </c>
      <c r="K15386" s="10" t="inlineStr">
        <is>
          <t>2 - 3 Năm</t>
        </is>
      </c>
      <c r="L15386" s="11">
        <f>HYPERLINK("https://careerviet.vn/vi/tim-viec-lam/nhan-vien-cuu-ho-be-boi.35C69323.html","Xem chi tiết")</f>
        <v/>
      </c>
      <c r="M15386" s="10" t="n"/>
    </row>
    <row r="15387">
      <c r="B15387" s="7" t="n">
        <v>15385</v>
      </c>
      <c r="C15387" t="inlineStr">
        <is>
          <t>Nhân viên Sửa chữa Máy</t>
        </is>
      </c>
      <c r="D15387" t="inlineStr">
        <is>
          <t>Công ty TNHH TOM Group Việt Nam</t>
        </is>
      </c>
      <c r="E15387" t="inlineStr">
        <is>
          <t>Lương:10 Tr - 13 Tr VND</t>
        </is>
      </c>
      <c r="F15387" t="inlineStr">
        <is>
          <t>Hồ Chí Minh</t>
        </is>
      </c>
      <c r="G15387" t="inlineStr">
        <is>
          <t>26-03-2026</t>
        </is>
      </c>
      <c r="H15387" t="inlineStr">
        <is>
          <t>26/03/2026</t>
        </is>
      </c>
      <c r="I15387" t="inlineStr">
        <is>
          <t>17/03/2026</t>
        </is>
      </c>
      <c r="J15387" t="inlineStr">
        <is>
          <t>Điện / Điện tử / Điện lạnh / Điện công nghiệp</t>
        </is>
      </c>
      <c r="K15387" t="inlineStr">
        <is>
          <t>1 - 2 Năm</t>
        </is>
      </c>
      <c r="L15387" s="8">
        <f>HYPERLINK("https://careerviet.vn/vi/tim-viec-lam/nhan-vien-sua-chua-may.35C6940E.html","Xem chi tiết")</f>
        <v/>
      </c>
    </row>
    <row r="15388">
      <c r="B15388" s="9" t="n">
        <v>15386</v>
      </c>
      <c r="C15388" s="10" t="inlineStr">
        <is>
          <t>Chuyên viên Kinh tế - Kế hoạch CĐT - Alphanam Group</t>
        </is>
      </c>
      <c r="D15388" s="10" t="inlineStr">
        <is>
          <t>Alphanam Group</t>
        </is>
      </c>
      <c r="E15388" s="10" t="inlineStr">
        <is>
          <t>Lương:Cạnh tranh</t>
        </is>
      </c>
      <c r="F15388" s="10" t="inlineStr">
        <is>
          <t>Hà Nội</t>
        </is>
      </c>
      <c r="G15388" s="10" t="inlineStr">
        <is>
          <t>26-03-2026</t>
        </is>
      </c>
      <c r="H15388" s="10" t="inlineStr">
        <is>
          <t>26/03/2026</t>
        </is>
      </c>
      <c r="I15388" s="10" t="inlineStr">
        <is>
          <t>17/03/2026</t>
        </is>
      </c>
      <c r="J15388" s="10" t="inlineStr">
        <is>
          <t>Bất động sản</t>
        </is>
      </c>
      <c r="K15388" s="10" t="inlineStr">
        <is>
          <t>3 - 5 Năm</t>
        </is>
      </c>
      <c r="L15388" s="11">
        <f>HYPERLINK("https://careerviet.vn/vi/tim-viec-lam/chuyen-vien-kinh-te-ke-hoach-cdt-alphanam-group.35C6905F.html","Xem chi tiết")</f>
        <v/>
      </c>
      <c r="M15388" s="10" t="n"/>
    </row>
    <row r="15389">
      <c r="B15389" s="7" t="n">
        <v>15387</v>
      </c>
      <c r="C15389" t="inlineStr">
        <is>
          <t>Kế Toán Tổng Hợp</t>
        </is>
      </c>
      <c r="D15389" t="inlineStr">
        <is>
          <t>DA Law - CÔNG TY LUẬT TRÁCH NHIỆM HỮU HẠN ĐÀO ANH</t>
        </is>
      </c>
      <c r="E15389" t="inlineStr">
        <is>
          <t>Lương:12 Tr - 15 Tr VND</t>
        </is>
      </c>
      <c r="F15389" t="inlineStr">
        <is>
          <t>Hồ Chí Minh</t>
        </is>
      </c>
      <c r="G15389" t="inlineStr">
        <is>
          <t>25-03-2026</t>
        </is>
      </c>
      <c r="H15389" t="inlineStr">
        <is>
          <t>25/03/2026</t>
        </is>
      </c>
      <c r="I15389" t="inlineStr">
        <is>
          <t>17/03/2026</t>
        </is>
      </c>
      <c r="J15389" t="inlineStr">
        <is>
          <t>Luật / Pháp lý, Kế toán / Kiểm toán, Tài chính / Đầu tư</t>
        </is>
      </c>
      <c r="K15389" t="inlineStr">
        <is>
          <t>Trên 2 Năm</t>
        </is>
      </c>
      <c r="L15389" s="8">
        <f>HYPERLINK("https://careerviet.vn/vi/tim-viec-lam/ke-toan-tong-hop.35C68F08.html","Xem chi tiết")</f>
        <v/>
      </c>
    </row>
    <row r="15390">
      <c r="B15390" s="9" t="n">
        <v>15388</v>
      </c>
      <c r="C15390" s="10" t="inlineStr">
        <is>
          <t>Content Marketing Executive</t>
        </is>
      </c>
      <c r="D15390" s="10" t="inlineStr">
        <is>
          <t>CÔNG TY TNHH SCIFATE VN</t>
        </is>
      </c>
      <c r="E15390" s="10" t="inlineStr">
        <is>
          <t>Lương:Cạnh tranh</t>
        </is>
      </c>
      <c r="F15390" s="10" t="inlineStr">
        <is>
          <t>Hồ Chí Minh</t>
        </is>
      </c>
      <c r="G15390" s="10" t="inlineStr">
        <is>
          <t>09-03-2026</t>
        </is>
      </c>
      <c r="H15390" s="10" t="inlineStr">
        <is>
          <t>25/02/2026</t>
        </is>
      </c>
      <c r="I15390" s="10" t="inlineStr">
        <is>
          <t>17/03/2026</t>
        </is>
      </c>
      <c r="J15390" s="10" t="inlineStr">
        <is>
          <t>Tiếp thị / Marketing, Bán hàng / Kinh doanh, Tiếp thị trực tuyến</t>
        </is>
      </c>
      <c r="K15390" s="10" t="inlineStr">
        <is>
          <t>Trên 1 Năm</t>
        </is>
      </c>
      <c r="L15390" s="11">
        <f>HYPERLINK("https://careerviet.vn/vi/tim-viec-lam/content-marketing-executive.35C69042.html","Xem chi tiết")</f>
        <v/>
      </c>
      <c r="M15390" s="10" t="n"/>
    </row>
    <row r="15391">
      <c r="B15391" s="7" t="n">
        <v>15389</v>
      </c>
      <c r="C15391" t="inlineStr">
        <is>
          <t>Nhân Viên Tuyển Dụng Đào Tạo (6 tháng)</t>
        </is>
      </c>
      <c r="D15391" t="inlineStr">
        <is>
          <t>Công Ty TNHH Tập Đoàn Rita Võ</t>
        </is>
      </c>
      <c r="E15391" t="inlineStr">
        <is>
          <t>Lương:10 Tr - 12 Tr VND</t>
        </is>
      </c>
      <c r="F15391" t="inlineStr">
        <is>
          <t>Hồ Chí Minh</t>
        </is>
      </c>
      <c r="G15391" t="inlineStr">
        <is>
          <t>25-03-2026</t>
        </is>
      </c>
      <c r="H15391" t="inlineStr">
        <is>
          <t>25/03/2026</t>
        </is>
      </c>
      <c r="I15391" t="inlineStr">
        <is>
          <t>17/03/2026</t>
        </is>
      </c>
      <c r="J15391" t="inlineStr">
        <is>
          <t>Nhân sự</t>
        </is>
      </c>
      <c r="K15391" t="inlineStr">
        <is>
          <t>Trên 1 Năm</t>
        </is>
      </c>
      <c r="L15391" s="8">
        <f>HYPERLINK("https://careerviet.vn/vi/tim-viec-lam/nhan-vien-tuyen-dung-dao-tao-6-thang.35C6918A.html","Xem chi tiết")</f>
        <v/>
      </c>
    </row>
    <row r="15392">
      <c r="B15392" s="9" t="n">
        <v>15390</v>
      </c>
      <c r="C15392" s="10" t="inlineStr">
        <is>
          <t>Chuyên Viên Tìm Kiếm và Phát Triển Mặt Bằng (Hà Nội)</t>
        </is>
      </c>
      <c r="D15392" s="10" t="inlineStr">
        <is>
          <t>Concung.com - Con Cung Joint Stock Company</t>
        </is>
      </c>
      <c r="E15392" s="10" t="inlineStr">
        <is>
          <t>Lương:25 Tr - 30 Tr VND</t>
        </is>
      </c>
      <c r="F15392" s="10" t="inlineStr">
        <is>
          <t>Hà Nội</t>
        </is>
      </c>
      <c r="G15392" s="10" t="inlineStr">
        <is>
          <t>31-03-2026</t>
        </is>
      </c>
      <c r="H15392" s="10" t="inlineStr">
        <is>
          <t>31/03/2026</t>
        </is>
      </c>
      <c r="I15392" s="10" t="inlineStr">
        <is>
          <t>17/03/2026</t>
        </is>
      </c>
      <c r="J15392" s="10" t="inlineStr">
        <is>
          <t>Bán hàng / Kinh doanh, Bất động sản, Bán lẻ / Bán sỉ</t>
        </is>
      </c>
      <c r="K15392" s="10" t="inlineStr">
        <is>
          <t>N/A</t>
        </is>
      </c>
      <c r="L15392" s="11">
        <f>HYPERLINK("https://careerviet.vn/vi/tim-viec-lam/chuyen-vien-tim-kiem-va-phat-trien-mat-bang-ha-noi.35C693AA.html","Xem chi tiết")</f>
        <v/>
      </c>
      <c r="M15392" s="10" t="n"/>
    </row>
    <row r="15393">
      <c r="B15393" s="7" t="n">
        <v>15391</v>
      </c>
      <c r="C15393" t="inlineStr">
        <is>
          <t>KỸ THUẬT VIÊN KHÚC XẠ</t>
        </is>
      </c>
      <c r="D15393" t="inlineStr">
        <is>
          <t>CÔNG TY TNHH ĐẦU TƯ Y TẾ QUỐC TẾ DND – SÀI GÒN</t>
        </is>
      </c>
      <c r="E15393" t="inlineStr">
        <is>
          <t>Lương:Cạnh tranh</t>
        </is>
      </c>
      <c r="F15393" t="inlineStr">
        <is>
          <t>Hồ Chí Minh</t>
        </is>
      </c>
      <c r="G15393" t="inlineStr">
        <is>
          <t>31-03-2026</t>
        </is>
      </c>
      <c r="H15393" t="inlineStr">
        <is>
          <t>31/03/2026</t>
        </is>
      </c>
      <c r="I15393" t="inlineStr">
        <is>
          <t>17/03/2026</t>
        </is>
      </c>
      <c r="J15393" t="inlineStr">
        <is>
          <t>Y tế / Chăm sóc sức khỏe / Thẩm mỹ / Làm đẹp, Dược phẩm/ Hóa Mỹ Phẩm</t>
        </is>
      </c>
      <c r="K15393" t="inlineStr">
        <is>
          <t>N/A</t>
        </is>
      </c>
      <c r="L15393" s="8">
        <f>HYPERLINK("https://careerviet.vn/vi/tim-viec-lam/ky-thuat-vien-khuc-xa.35C693B5.html","Xem chi tiết")</f>
        <v/>
      </c>
    </row>
    <row r="15394">
      <c r="B15394" s="9" t="n">
        <v>15392</v>
      </c>
      <c r="C15394" s="10" t="inlineStr">
        <is>
          <t>Nhân viên lễ tân</t>
        </is>
      </c>
      <c r="D15394" s="10" t="inlineStr">
        <is>
          <t>Bảo mật</t>
        </is>
      </c>
      <c r="E15394" s="10" t="inlineStr">
        <is>
          <t>Lương:13 Tr - 17 Tr VND</t>
        </is>
      </c>
      <c r="F15394" s="10" t="inlineStr">
        <is>
          <t>Hồ Chí Minh</t>
        </is>
      </c>
      <c r="G15394" s="10" t="inlineStr">
        <is>
          <t>31-03-2026</t>
        </is>
      </c>
      <c r="H15394" s="10" t="inlineStr">
        <is>
          <t>31/03/2026</t>
        </is>
      </c>
      <c r="I15394" s="10" t="inlineStr">
        <is>
          <t>17/03/2026</t>
        </is>
      </c>
      <c r="J15394" s="10" t="inlineStr">
        <is>
          <t>Dịch vụ khách hàng</t>
        </is>
      </c>
      <c r="K15394" s="10" t="inlineStr">
        <is>
          <t>1 - 3 Năm</t>
        </is>
      </c>
      <c r="L15394" s="11">
        <f>HYPERLINK("https://careerviet.vn/vi/tim-viec-lam/nhan-vien-le-tan.35C693B4.html","Xem chi tiết")</f>
        <v/>
      </c>
      <c r="M15394" s="10" t="n"/>
    </row>
    <row r="15395">
      <c r="B15395" s="7" t="n">
        <v>15393</v>
      </c>
      <c r="C15395" t="inlineStr">
        <is>
          <t>Content Creator Team Leader</t>
        </is>
      </c>
      <c r="D15395" t="inlineStr">
        <is>
          <t>JoyMall - Nhà Phân Phối Locknlock</t>
        </is>
      </c>
      <c r="E15395" t="inlineStr">
        <is>
          <t>Lương:12 Tr - 20 Tr VND</t>
        </is>
      </c>
      <c r="F15395" t="inlineStr">
        <is>
          <t>Hồ Chí Minh</t>
        </is>
      </c>
      <c r="G15395" t="inlineStr">
        <is>
          <t>31-03-2026</t>
        </is>
      </c>
      <c r="H15395" t="inlineStr">
        <is>
          <t>31/03/2026</t>
        </is>
      </c>
      <c r="I15395" t="inlineStr">
        <is>
          <t>17/03/2026</t>
        </is>
      </c>
      <c r="J15395" t="inlineStr">
        <is>
          <t>Tiếp thị / Marketing, Truyền hình / Báo chí / Biên tập</t>
        </is>
      </c>
      <c r="K15395" t="inlineStr">
        <is>
          <t>Lên đến 1 Năm</t>
        </is>
      </c>
      <c r="L15395" s="8">
        <f>HYPERLINK("https://careerviet.vn/vi/tim-viec-lam/content-creator-team-leader.35C691CE.html","Xem chi tiết")</f>
        <v/>
      </c>
    </row>
    <row r="15396">
      <c r="B15396" s="9" t="n">
        <v>15394</v>
      </c>
      <c r="C15396" s="10" t="inlineStr">
        <is>
          <t>[Phu Hung Thinh] Property Manager</t>
        </is>
      </c>
      <c r="D15396" s="10" t="inlineStr">
        <is>
          <t>Công ty TNHH Phát triển Phú Mỹ Hưng</t>
        </is>
      </c>
      <c r="E15396" s="10" t="inlineStr">
        <is>
          <t>Lương:35 Tr - 45 Tr VND</t>
        </is>
      </c>
      <c r="F15396" s="10" t="inlineStr">
        <is>
          <t>Hồ Chí Minh</t>
        </is>
      </c>
      <c r="G15396" s="10" t="inlineStr">
        <is>
          <t>31-03-2026</t>
        </is>
      </c>
      <c r="H15396" s="10" t="inlineStr">
        <is>
          <t>31/03/2026</t>
        </is>
      </c>
      <c r="I15396" s="10" t="inlineStr">
        <is>
          <t>17/03/2026</t>
        </is>
      </c>
      <c r="J15396" s="10" t="inlineStr">
        <is>
          <t>Dịch vụ khách hàng, Bất động sản, Nhà hàng / Khách sạn</t>
        </is>
      </c>
      <c r="K15396" s="10" t="inlineStr">
        <is>
          <t>7 - 15 Năm</t>
        </is>
      </c>
      <c r="L15396" s="11">
        <f>HYPERLINK("https://careerviet.vn/vi/tim-viec-lam/phu-hung-thinh-property-manager.35C690D4.html","Xem chi tiết")</f>
        <v/>
      </c>
      <c r="M15396" s="10" t="n"/>
    </row>
    <row r="15397">
      <c r="B15397" s="7" t="n">
        <v>15395</v>
      </c>
      <c r="C15397" t="inlineStr">
        <is>
          <t>Sales Admin</t>
        </is>
      </c>
      <c r="D15397" t="inlineStr">
        <is>
          <t>CÔNG TY CỔ PHẦN SEAREFICO</t>
        </is>
      </c>
      <c r="E15397" t="inlineStr">
        <is>
          <t>Lương:Cạnh tranh</t>
        </is>
      </c>
      <c r="F15397" t="inlineStr">
        <is>
          <t>Đà Nẵng</t>
        </is>
      </c>
      <c r="G15397" t="inlineStr">
        <is>
          <t>26-03-2026</t>
        </is>
      </c>
      <c r="H15397" t="inlineStr">
        <is>
          <t>26/03/2026</t>
        </is>
      </c>
      <c r="I15397" t="inlineStr">
        <is>
          <t>17/03/2026</t>
        </is>
      </c>
      <c r="J15397" t="inlineStr">
        <is>
          <t>Kế toán / Kiểm toán, Hành chính / Thư ký, Bán hàng / Kinh doanh</t>
        </is>
      </c>
      <c r="K15397" t="inlineStr">
        <is>
          <t>N/A</t>
        </is>
      </c>
      <c r="L15397" s="8">
        <f>HYPERLINK("https://careerviet.vn/vi/tim-viec-lam/sales-admin.35C690BC.html","Xem chi tiết")</f>
        <v/>
      </c>
    </row>
    <row r="15398">
      <c r="B15398" s="9" t="n">
        <v>15396</v>
      </c>
      <c r="C15398" s="10" t="inlineStr">
        <is>
          <t>Giám đốc xưởng giặt là</t>
        </is>
      </c>
      <c r="D15398" s="10" t="inlineStr">
        <is>
          <t>Công Ty Cổ Phần A25 Hotel</t>
        </is>
      </c>
      <c r="E15398" s="10" t="inlineStr">
        <is>
          <t>Lương:20 Tr - 34 Tr VND</t>
        </is>
      </c>
      <c r="F15398" s="10" t="inlineStr">
        <is>
          <t>Hà NộiHồ Chí Minh</t>
        </is>
      </c>
      <c r="G15398" s="10" t="inlineStr">
        <is>
          <t>31-03-2026</t>
        </is>
      </c>
      <c r="H15398" s="10" t="inlineStr">
        <is>
          <t>31/03/2026</t>
        </is>
      </c>
      <c r="I15398" s="10" t="inlineStr">
        <is>
          <t>17/03/2026</t>
        </is>
      </c>
      <c r="J15398" s="10" t="inlineStr">
        <is>
          <t>Nhà hàng / Khách sạn, Dệt may / Da giày / Thời trang, Quản lý điều hành</t>
        </is>
      </c>
      <c r="K15398" s="10" t="inlineStr">
        <is>
          <t>2 - 3 Năm</t>
        </is>
      </c>
      <c r="L15398" s="11">
        <f>HYPERLINK("https://careerviet.vn/vi/tim-viec-lam/giam-doc-xuong-giat-la.35C69329.html","Xem chi tiết")</f>
        <v/>
      </c>
      <c r="M15398" s="10" t="n"/>
    </row>
    <row r="15399">
      <c r="B15399" s="7" t="n">
        <v>15397</v>
      </c>
      <c r="C15399" t="inlineStr">
        <is>
          <t>Sales Executive</t>
        </is>
      </c>
      <c r="D15399" t="inlineStr">
        <is>
          <t>CÔNG TY TNHH TRUYỀN THÔNG &amp; DỊCH VỤ BC VIỆT NAM ( BC Agency)</t>
        </is>
      </c>
      <c r="E15399" t="inlineStr">
        <is>
          <t>Lương:10 Tr - 20 Tr VND</t>
        </is>
      </c>
      <c r="F15399" t="inlineStr">
        <is>
          <t>Hà NộiHồ Chí Minh</t>
        </is>
      </c>
      <c r="G15399" t="inlineStr">
        <is>
          <t>25-03-2026</t>
        </is>
      </c>
      <c r="H15399" t="inlineStr">
        <is>
          <t>25/03/2026</t>
        </is>
      </c>
      <c r="I15399" t="inlineStr">
        <is>
          <t>17/03/2026</t>
        </is>
      </c>
      <c r="J15399" t="inlineStr">
        <is>
          <t>Bán hàng / Kinh doanh, Tư vấn, Dịch vụ khách hàng</t>
        </is>
      </c>
      <c r="K15399" t="inlineStr">
        <is>
          <t>N/A</t>
        </is>
      </c>
      <c r="L15399" s="8">
        <f>HYPERLINK("https://careerviet.vn/vi/tim-viec-lam/sales-executive.35C690EA.html","Xem chi tiết")</f>
        <v/>
      </c>
    </row>
    <row r="15400">
      <c r="B15400" s="9" t="n">
        <v>15398</v>
      </c>
      <c r="C15400" s="10" t="inlineStr">
        <is>
          <t>Kỹ sư giám sát, kiểm soát khối lượng (QS)</t>
        </is>
      </c>
      <c r="D15400" s="10" t="inlineStr">
        <is>
          <t>CÔNG TY TNHH XÂY DỰNG QUỐC TẾ CHUANG XING</t>
        </is>
      </c>
      <c r="E15400" s="10" t="inlineStr">
        <is>
          <t>Lương:13 Tr - 15 Tr VND</t>
        </is>
      </c>
      <c r="F15400" s="10" t="inlineStr">
        <is>
          <t>Hà Nam</t>
        </is>
      </c>
      <c r="G15400" s="10" t="inlineStr">
        <is>
          <t>03-04-2026</t>
        </is>
      </c>
      <c r="H15400" s="10" t="inlineStr">
        <is>
          <t>03/04/2026</t>
        </is>
      </c>
      <c r="I15400" s="10" t="inlineStr">
        <is>
          <t>17/03/2026</t>
        </is>
      </c>
      <c r="J15400" s="10" t="inlineStr">
        <is>
          <t>Xây dựng</t>
        </is>
      </c>
      <c r="K15400" s="10" t="inlineStr">
        <is>
          <t>Trên 1 Năm</t>
        </is>
      </c>
      <c r="L15400" s="11">
        <f>HYPERLINK("https://careerviet.vn/vi/tim-viec-lam/ky-su-giam-sat-kiem-soat-khoi-luong-qs.35C6AC19.html","Xem chi tiết")</f>
        <v/>
      </c>
      <c r="M15400" s="10" t="n"/>
    </row>
    <row r="15401">
      <c r="B15401" s="7" t="n">
        <v>15399</v>
      </c>
      <c r="C15401" t="inlineStr">
        <is>
          <t>CHUYÊN VIÊN KINH DOANH - PHÒNG KHÁCH HÀNG ƯU TIÊN</t>
        </is>
      </c>
      <c r="D15401" t="inlineStr">
        <is>
          <t>NGÂN HÀNG TMCP SÀI GÒN THƯƠNG TÍN (SACOMBANK)</t>
        </is>
      </c>
      <c r="E15401" t="inlineStr">
        <is>
          <t>Lương:Cạnh tranh</t>
        </is>
      </c>
      <c r="F15401" t="inlineStr">
        <is>
          <t>Hồ Chí Minh</t>
        </is>
      </c>
      <c r="G15401" t="inlineStr">
        <is>
          <t>03-04-2026</t>
        </is>
      </c>
      <c r="H15401" t="inlineStr">
        <is>
          <t>03/04/2026</t>
        </is>
      </c>
      <c r="I15401" t="inlineStr">
        <is>
          <t>17/03/2026</t>
        </is>
      </c>
      <c r="J15401" t="inlineStr">
        <is>
          <t>Ngân hàng</t>
        </is>
      </c>
      <c r="K15401" t="inlineStr">
        <is>
          <t>Trên 3 Năm</t>
        </is>
      </c>
      <c r="L15401" s="8">
        <f>HYPERLINK("https://careerviet.vn/vi/tim-viec-lam/chuyen-vien-kinh-doanh-phong-khach-hang-uu-tien.35C6AEF2.html","Xem chi tiết")</f>
        <v/>
      </c>
    </row>
    <row r="15402">
      <c r="B15402" s="9" t="n">
        <v>15400</v>
      </c>
      <c r="C15402" s="10" t="inlineStr">
        <is>
          <t>Kỹ Sư Giám Sát Xây Dựng Hoàn Thiện</t>
        </is>
      </c>
      <c r="D15402" s="10" t="inlineStr">
        <is>
          <t>Công Ty Cổ Phần Đầu Tư Bất Động Sản Hưng Lộc Phát</t>
        </is>
      </c>
      <c r="E15402" s="10" t="inlineStr">
        <is>
          <t>Lương:Cạnh tranh</t>
        </is>
      </c>
      <c r="F15402" s="10" t="inlineStr">
        <is>
          <t>Hồ Chí Minh</t>
        </is>
      </c>
      <c r="G15402" s="10" t="inlineStr">
        <is>
          <t>03-04-2026</t>
        </is>
      </c>
      <c r="H15402" s="10" t="inlineStr">
        <is>
          <t>03/04/2026</t>
        </is>
      </c>
      <c r="I15402" s="10" t="inlineStr">
        <is>
          <t>17/03/2026</t>
        </is>
      </c>
      <c r="J15402" s="10" t="inlineStr">
        <is>
          <t>Xây dựng, Quản lý điều hành, Bất động sản</t>
        </is>
      </c>
      <c r="K15402" s="10" t="inlineStr">
        <is>
          <t>Trên 3 Năm</t>
        </is>
      </c>
      <c r="L15402" s="11">
        <f>HYPERLINK("https://careerviet.vn/vi/tim-viec-lam/ky-su-giam-sat-xay-dung-hoan-thien.35C6ACDC.html","Xem chi tiết")</f>
        <v/>
      </c>
      <c r="M15402" s="10" t="n"/>
    </row>
    <row r="15403">
      <c r="B15403" s="7" t="n">
        <v>15401</v>
      </c>
      <c r="C15403" t="inlineStr">
        <is>
          <t>Nhân Viên Kỹ Thuật Sơn (R&amp;D/CCM)</t>
        </is>
      </c>
      <c r="D15403" t="inlineStr">
        <is>
          <t>CÔNG TY TNHH KCC VIỆT NAM</t>
        </is>
      </c>
      <c r="E15403" t="inlineStr">
        <is>
          <t>Lương:10 Tr - 15 Tr VND</t>
        </is>
      </c>
      <c r="F15403" t="inlineStr">
        <is>
          <t>Đồng Nai</t>
        </is>
      </c>
      <c r="G15403" t="inlineStr">
        <is>
          <t>31-03-2026</t>
        </is>
      </c>
      <c r="H15403" t="inlineStr">
        <is>
          <t>31/03/2026</t>
        </is>
      </c>
      <c r="I15403" t="inlineStr">
        <is>
          <t>17/03/2026</t>
        </is>
      </c>
      <c r="J15403" t="inlineStr">
        <is>
          <t>Hóa học</t>
        </is>
      </c>
      <c r="K15403" t="inlineStr">
        <is>
          <t>N/A</t>
        </is>
      </c>
      <c r="L15403" s="8">
        <f>HYPERLINK("https://careerviet.vn/vi/tim-viec-lam/nhan-vien-ky-thuat-son-r-d-ccm.35BDDD5F.html","Xem chi tiết")</f>
        <v/>
      </c>
    </row>
    <row r="15404">
      <c r="B15404" s="9" t="n">
        <v>15402</v>
      </c>
      <c r="C15404" s="10" t="inlineStr">
        <is>
          <t>Senior Production Planning Specialist</t>
        </is>
      </c>
      <c r="D15404" s="10" t="inlineStr">
        <is>
          <t>Quickpack Vietnam Limited</t>
        </is>
      </c>
      <c r="E15404" s="10" t="inlineStr">
        <is>
          <t>Lương:28 Tr - 35 Tr VND</t>
        </is>
      </c>
      <c r="F15404" s="10" t="inlineStr">
        <is>
          <t>Long An</t>
        </is>
      </c>
      <c r="G15404" s="10" t="inlineStr">
        <is>
          <t>24-03-2026</t>
        </is>
      </c>
      <c r="H15404" s="10" t="inlineStr">
        <is>
          <t>24/03/2026</t>
        </is>
      </c>
      <c r="I15404" s="10" t="inlineStr">
        <is>
          <t>17/03/2026</t>
        </is>
      </c>
      <c r="J15404" s="10" t="inlineStr">
        <is>
          <t>Sản xuất / Vận hành sản xuất</t>
        </is>
      </c>
      <c r="K15404" s="10" t="inlineStr">
        <is>
          <t>1 - 4 Năm</t>
        </is>
      </c>
      <c r="L15404" s="11">
        <f>HYPERLINK("https://careerviet.vn/vi/tim-viec-lam/senior-production-planning-specialist.35C690B2.html","Xem chi tiết")</f>
        <v/>
      </c>
      <c r="M15404" s="10" t="n"/>
    </row>
    <row r="15405">
      <c r="B15405" s="7" t="n">
        <v>15403</v>
      </c>
      <c r="C15405" t="inlineStr">
        <is>
          <t>Customer Advisor/ Showroom Sale (HCM và Hà Nội)</t>
        </is>
      </c>
      <c r="D15405" t="inlineStr">
        <is>
          <t>nanoHome</t>
        </is>
      </c>
      <c r="E15405" t="inlineStr">
        <is>
          <t>Lương:8 Tr - 12 Tr VND</t>
        </is>
      </c>
      <c r="F15405" t="inlineStr">
        <is>
          <t>Hồ Chí Minh</t>
        </is>
      </c>
      <c r="G15405" t="inlineStr">
        <is>
          <t>24-03-2026</t>
        </is>
      </c>
      <c r="H15405" t="inlineStr">
        <is>
          <t>24/03/2026</t>
        </is>
      </c>
      <c r="I15405" t="inlineStr">
        <is>
          <t>17/03/2026</t>
        </is>
      </c>
      <c r="J15405" t="inlineStr">
        <is>
          <t>Bán lẻ / Bán sỉ, Bán hàng / Kinh doanh, Nội ngoại thất</t>
        </is>
      </c>
      <c r="K15405" t="inlineStr">
        <is>
          <t>1 - 5 Năm</t>
        </is>
      </c>
      <c r="L15405" s="8">
        <f>HYPERLINK("https://careerviet.vn/vi/tim-viec-lam/customer-advisor-showroom-sale-hcm-va-ha-noi.35C69324.html","Xem chi tiết")</f>
        <v/>
      </c>
    </row>
    <row r="15406">
      <c r="B15406" s="9" t="n">
        <v>15404</v>
      </c>
      <c r="C15406" s="10" t="inlineStr">
        <is>
          <t>Chuyên Gia Kiểm Soát Tài Chính (Financial Control)</t>
        </is>
      </c>
      <c r="D15406" s="10" t="inlineStr">
        <is>
          <t>Công Ty CP Chứng Khoán VNDIRECT</t>
        </is>
      </c>
      <c r="E15406" s="10" t="inlineStr">
        <is>
          <t>Lương:Cạnh tranh</t>
        </is>
      </c>
      <c r="F15406" s="10" t="inlineStr">
        <is>
          <t>Hà Nội</t>
        </is>
      </c>
      <c r="G15406" s="10" t="inlineStr">
        <is>
          <t>03-04-2026</t>
        </is>
      </c>
      <c r="H15406" s="10" t="inlineStr">
        <is>
          <t>03/04/2026</t>
        </is>
      </c>
      <c r="I15406" s="10" t="inlineStr">
        <is>
          <t>17/03/2026</t>
        </is>
      </c>
      <c r="J15406" s="10" t="inlineStr">
        <is>
          <t>Kế toán / Kiểm toán, Tài chính / Đầu tư</t>
        </is>
      </c>
      <c r="K15406" s="10" t="inlineStr">
        <is>
          <t>Trên 10 Năm</t>
        </is>
      </c>
      <c r="L15406" s="11">
        <f>HYPERLINK("https://careerviet.vn/vi/tim-viec-lam/chuyen-gia-kiem-soat-tai-chinh-financial-control.35C6AE86.html","Xem chi tiết")</f>
        <v/>
      </c>
      <c r="M15406" s="10" t="n"/>
    </row>
    <row r="15407">
      <c r="B15407" s="7" t="n">
        <v>15405</v>
      </c>
      <c r="C15407" t="inlineStr">
        <is>
          <t>Kỹ sư chất lượng (QA/QC)</t>
        </is>
      </c>
      <c r="D15407" t="inlineStr">
        <is>
          <t>CÔNG TY CỔ PHẦN CÔNG NGHỆ SOTATEK VIỆT NAM</t>
        </is>
      </c>
      <c r="E15407" t="inlineStr">
        <is>
          <t>Lương:Cạnh tranh</t>
        </is>
      </c>
      <c r="F15407" t="inlineStr">
        <is>
          <t>Ninh Thuận</t>
        </is>
      </c>
      <c r="G15407" t="inlineStr">
        <is>
          <t>31-03-2026</t>
        </is>
      </c>
      <c r="H15407" t="inlineStr">
        <is>
          <t>31/03/2026</t>
        </is>
      </c>
      <c r="I15407" t="inlineStr">
        <is>
          <t>17/03/2026</t>
        </is>
      </c>
      <c r="J15407" t="inlineStr">
        <is>
          <t>Điện / Điện tử / Điện lạnh / Điện công nghiệp, Cơ khí / Ô tô / Tự động hóa, Quản lý chất lượng (QA/QC)</t>
        </is>
      </c>
      <c r="K15407" t="inlineStr">
        <is>
          <t>Trên 3 Năm</t>
        </is>
      </c>
      <c r="L15407" s="8">
        <f>HYPERLINK("https://careerviet.vn/vi/tim-viec-lam/ky-su-chat-luong-qa-qc.35C6ADC2.html","Xem chi tiết")</f>
        <v/>
      </c>
    </row>
    <row r="15408">
      <c r="B15408" s="9" t="n">
        <v>15406</v>
      </c>
      <c r="C15408" s="10" t="inlineStr">
        <is>
          <t>Kỹ sư xây dựng - Chủ đầu tư làm việc tại Hải Phòng</t>
        </is>
      </c>
      <c r="D15408" s="10" t="inlineStr">
        <is>
          <t>Hoàng Huy Group</t>
        </is>
      </c>
      <c r="E15408" s="10" t="inlineStr">
        <is>
          <t>Lương:18 Tr - 20 Tr VND</t>
        </is>
      </c>
      <c r="F15408" s="10" t="inlineStr">
        <is>
          <t>Hải Phòng</t>
        </is>
      </c>
      <c r="G15408" s="10" t="inlineStr">
        <is>
          <t>31-03-2026</t>
        </is>
      </c>
      <c r="H15408" s="10" t="inlineStr">
        <is>
          <t>31/03/2026</t>
        </is>
      </c>
      <c r="I15408" s="10" t="inlineStr">
        <is>
          <t>17/03/2026</t>
        </is>
      </c>
      <c r="J15408" s="10" t="inlineStr">
        <is>
          <t>Kiến trúc, Xây dựng, Bất động sản</t>
        </is>
      </c>
      <c r="K15408" s="10" t="inlineStr">
        <is>
          <t>1 - 3 Năm</t>
        </is>
      </c>
      <c r="L15408" s="11">
        <f>HYPERLINK("https://careerviet.vn/vi/tim-viec-lam/ky-su-xay-dung-chu-dau-tu-lam-viec-tai-hai-phong.35C6ABE7.html","Xem chi tiết")</f>
        <v/>
      </c>
      <c r="M15408" s="10" t="n"/>
    </row>
    <row r="15409">
      <c r="B15409" s="7" t="n">
        <v>15407</v>
      </c>
      <c r="C15409" t="inlineStr">
        <is>
          <t>Chuyên viên tuyển dụng</t>
        </is>
      </c>
      <c r="D15409" t="inlineStr">
        <is>
          <t>CÔNG TY CỔ PHẦN THÀNH PHỐ DU LỊCH SINH THÁI SƠN TIÊN</t>
        </is>
      </c>
      <c r="E15409" t="inlineStr">
        <is>
          <t>Lương:13 Tr - 16 Tr VND</t>
        </is>
      </c>
      <c r="F15409" t="inlineStr">
        <is>
          <t>Đồng Nai</t>
        </is>
      </c>
      <c r="G15409" t="inlineStr">
        <is>
          <t>31-03-2026</t>
        </is>
      </c>
      <c r="H15409" t="inlineStr">
        <is>
          <t>31/03/2026</t>
        </is>
      </c>
      <c r="I15409" t="inlineStr">
        <is>
          <t>17/03/2026</t>
        </is>
      </c>
      <c r="J15409" t="inlineStr">
        <is>
          <t>Nhân sự</t>
        </is>
      </c>
      <c r="K15409" t="inlineStr">
        <is>
          <t>2 - 5 Năm</t>
        </is>
      </c>
      <c r="L15409" s="8">
        <f>HYPERLINK("https://careerviet.vn/vi/tim-viec-lam/chuyen-vien-tuyen-dung.35C6AE13.html","Xem chi tiết")</f>
        <v/>
      </c>
    </row>
    <row r="15410">
      <c r="B15410" s="9" t="n">
        <v>15408</v>
      </c>
      <c r="C15410" s="10" t="inlineStr">
        <is>
          <t>Chuyên Viên Tư Vấn Giáo Dục - Ocean Edu Trương Định - Thu Nhập Từ 16Triệu/Tháng - Phỏng Vấn Đi Làm Ngay</t>
        </is>
      </c>
      <c r="D15410" s="10" t="inlineStr">
        <is>
          <t>Công Ty CP Giáo Dục Đại Dương</t>
        </is>
      </c>
      <c r="E15410" s="10" t="inlineStr">
        <is>
          <t>Lương:Cạnh tranh</t>
        </is>
      </c>
      <c r="F15410" s="10" t="inlineStr">
        <is>
          <t>Hà Nội</t>
        </is>
      </c>
      <c r="G15410" s="10" t="inlineStr">
        <is>
          <t>03-04-2026</t>
        </is>
      </c>
      <c r="H15410" s="10" t="inlineStr">
        <is>
          <t>03/04/2026</t>
        </is>
      </c>
      <c r="I15410" s="10" t="inlineStr">
        <is>
          <t>17/03/2026</t>
        </is>
      </c>
      <c r="J15410" s="10" t="inlineStr">
        <is>
          <t>Dịch vụ khách hàng, Giáo dục / Đào tạo, Bán hàng / Kinh doanh</t>
        </is>
      </c>
      <c r="K15410" s="10" t="inlineStr">
        <is>
          <t>Chưa có kinh nghiệm</t>
        </is>
      </c>
      <c r="L15410" s="11">
        <f>HYPERLINK("https://careerviet.vn/vi/tim-viec-lam/chuyen-vien-tu-van-giao-duc-ocean-edu-truong-dinh-thu-nhap-tu-16trieu-thang-phong-van-di-lam-ngay.35C6AEAF.html","Xem chi tiết")</f>
        <v/>
      </c>
      <c r="M15410" s="10" t="n"/>
    </row>
    <row r="15411">
      <c r="B15411" s="7" t="n">
        <v>15409</v>
      </c>
      <c r="C15411" t="inlineStr">
        <is>
          <t>CHUYÊN VIÊN SALES DỰ ÁN (Media | Event | Livestream)</t>
        </is>
      </c>
      <c r="D15411" t="inlineStr">
        <is>
          <t>Công ty TNHH Anh Đức</t>
        </is>
      </c>
      <c r="E15411" t="inlineStr">
        <is>
          <t>Lương:14 Tr - 20 Tr VND</t>
        </is>
      </c>
      <c r="F15411" t="inlineStr">
        <is>
          <t>Đà Nẵng</t>
        </is>
      </c>
      <c r="G15411" t="inlineStr">
        <is>
          <t>31-03-2026</t>
        </is>
      </c>
      <c r="H15411" t="inlineStr">
        <is>
          <t>31/03/2026</t>
        </is>
      </c>
      <c r="I15411" t="inlineStr">
        <is>
          <t>17/03/2026</t>
        </is>
      </c>
      <c r="J15411" t="inlineStr">
        <is>
          <t>Tiếp thị / Marketing, Quảng cáo / Đối ngoại / Truyền Thông, Truyền hình / Báo chí / Biên tập</t>
        </is>
      </c>
      <c r="K15411" t="inlineStr">
        <is>
          <t>Trên 2 Năm</t>
        </is>
      </c>
      <c r="L15411" s="8">
        <f>HYPERLINK("https://careerviet.vn/vi/tim-viec-lam/chuyen-vien-sales-du-an-media-event-livestream.35C6ABE2.html","Xem chi tiết")</f>
        <v/>
      </c>
    </row>
    <row r="15412">
      <c r="B15412" s="9" t="n">
        <v>15410</v>
      </c>
      <c r="C15412" s="10" t="inlineStr">
        <is>
          <t>Trưởng Phòng Kinh Doanh – Leader Sales</t>
        </is>
      </c>
      <c r="D15412" s="10" t="inlineStr">
        <is>
          <t>CÔNG TY TNHH DỊCH VỤ PHÁT TRIỂN CÔNG NGHỆ HƯNG PHÁT</t>
        </is>
      </c>
      <c r="E15412" s="10" t="inlineStr">
        <is>
          <t>Lương:10 Tr - 30 Tr VND</t>
        </is>
      </c>
      <c r="F15412" s="10" t="inlineStr">
        <is>
          <t>Hồ Chí Minh</t>
        </is>
      </c>
      <c r="G15412" s="10" t="inlineStr">
        <is>
          <t>04-04-2026</t>
        </is>
      </c>
      <c r="H15412" s="10" t="inlineStr">
        <is>
          <t>04/04/2026</t>
        </is>
      </c>
      <c r="I15412" s="10" t="inlineStr">
        <is>
          <t>17/03/2026</t>
        </is>
      </c>
      <c r="J15412" s="10" t="inlineStr">
        <is>
          <t>Bán hàng / Kinh doanh, Tiếp thị / Marketing, Bán lẻ / Bán sỉ</t>
        </is>
      </c>
      <c r="K15412" s="10" t="inlineStr">
        <is>
          <t>2 - 3 Năm</t>
        </is>
      </c>
      <c r="L15412" s="11">
        <f>HYPERLINK("https://careerviet.vn/vi/tim-viec-lam/truong-phong-kinh-doanh-leader-sales.35C6ACA1.html","Xem chi tiết")</f>
        <v/>
      </c>
      <c r="M15412" s="10" t="n"/>
    </row>
    <row r="15413">
      <c r="B15413" s="7" t="n">
        <v>15411</v>
      </c>
      <c r="C15413" t="inlineStr">
        <is>
          <t>Nhân viên Kế toán hành chính - địa bàn Khánh Hòa</t>
        </is>
      </c>
      <c r="D15413" t="inlineStr">
        <is>
          <t>Tổng Công Ty Cổ Phần Bảo Hiểm Ngân Hàng TMCP Công Thương Việt Nam</t>
        </is>
      </c>
      <c r="E15413" t="inlineStr">
        <is>
          <t>Lương:Cạnh tranh</t>
        </is>
      </c>
      <c r="F15413" t="inlineStr">
        <is>
          <t>Khánh Hòa</t>
        </is>
      </c>
      <c r="G15413" t="inlineStr">
        <is>
          <t>03-04-2026</t>
        </is>
      </c>
      <c r="H15413" t="inlineStr">
        <is>
          <t>03/04/2026</t>
        </is>
      </c>
      <c r="I15413" t="inlineStr">
        <is>
          <t>17/03/2026</t>
        </is>
      </c>
      <c r="J15413" t="inlineStr">
        <is>
          <t>Kế toán / Kiểm toán</t>
        </is>
      </c>
      <c r="K15413" t="inlineStr">
        <is>
          <t>1 - 2 Năm</t>
        </is>
      </c>
      <c r="L15413" s="8">
        <f>HYPERLINK("https://careerviet.vn/vi/tim-viec-lam/nhan-vien-ke-toan-hanh-chinh-dia-ban-khanh-hoa.35C6AD7C.html","Xem chi tiết")</f>
        <v/>
      </c>
    </row>
    <row r="15414">
      <c r="B15414" s="9" t="n">
        <v>15412</v>
      </c>
      <c r="C15414" s="10" t="inlineStr">
        <is>
          <t>Trưởng nhóm đào tạo</t>
        </is>
      </c>
      <c r="D15414" s="10" t="inlineStr">
        <is>
          <t>Công ty TNHH TOM Group Việt Nam</t>
        </is>
      </c>
      <c r="E15414" s="10" t="inlineStr">
        <is>
          <t>Lương:Cạnh tranh</t>
        </is>
      </c>
      <c r="F15414" s="10" t="inlineStr">
        <is>
          <t>Hồ Chí Minh</t>
        </is>
      </c>
      <c r="G15414" s="10" t="inlineStr">
        <is>
          <t>16-04-2026</t>
        </is>
      </c>
      <c r="H15414" s="10" t="inlineStr">
        <is>
          <t>16/04/2026</t>
        </is>
      </c>
      <c r="I15414" s="10" t="inlineStr">
        <is>
          <t>17/03/2026</t>
        </is>
      </c>
      <c r="J15414" s="10" t="inlineStr">
        <is>
          <t>Giáo dục / Đào tạo</t>
        </is>
      </c>
      <c r="K15414" s="10" t="inlineStr">
        <is>
          <t>3 - 5 Năm</t>
        </is>
      </c>
      <c r="L15414" s="11">
        <f>HYPERLINK("https://careerviet.vn/vi/tim-viec-lam/truong-nhom-dao-tao.35C6AE6B.html","Xem chi tiết")</f>
        <v/>
      </c>
      <c r="M15414" s="10" t="n"/>
    </row>
    <row r="15415">
      <c r="B15415" s="7" t="n">
        <v>15413</v>
      </c>
      <c r="C15415" t="inlineStr">
        <is>
          <t>Thực tập sinh Nhân sự</t>
        </is>
      </c>
      <c r="D15415" t="inlineStr">
        <is>
          <t>CÔNG TY CỔ PHẦN CHỨNG KHOÁN HD</t>
        </is>
      </c>
      <c r="E15415" t="inlineStr">
        <is>
          <t>Lương:Cạnh tranh</t>
        </is>
      </c>
      <c r="F15415" t="inlineStr">
        <is>
          <t>Hồ Chí Minh</t>
        </is>
      </c>
      <c r="G15415" t="inlineStr">
        <is>
          <t>03-04-2026</t>
        </is>
      </c>
      <c r="H15415" t="inlineStr">
        <is>
          <t>03/04/2026</t>
        </is>
      </c>
      <c r="I15415" t="inlineStr">
        <is>
          <t>17/03/2026</t>
        </is>
      </c>
      <c r="J15415" t="inlineStr">
        <is>
          <t>Hành chính / Thư ký, Mới tốt nghiệp / Thực tập, Chứng khoán</t>
        </is>
      </c>
      <c r="K15415" t="inlineStr">
        <is>
          <t>N/A</t>
        </is>
      </c>
      <c r="L15415" s="8">
        <f>HYPERLINK("https://careerviet.vn/vi/tim-viec-lam/thuc-tap-sinh-nhan-su.35C6ABA9.html","Xem chi tiết")</f>
        <v/>
      </c>
    </row>
    <row r="15416">
      <c r="B15416" s="9" t="n">
        <v>15414</v>
      </c>
      <c r="C15416" s="10" t="inlineStr">
        <is>
          <t>Trưởng Nhóm Tuyển Sinh (Ocean Edu Hoài Đức)</t>
        </is>
      </c>
      <c r="D15416" s="10" t="inlineStr">
        <is>
          <t>Công Ty CP Giáo Dục Đại Dương</t>
        </is>
      </c>
      <c r="E15416" s="10" t="inlineStr">
        <is>
          <t>Lương:Cạnh tranh</t>
        </is>
      </c>
      <c r="F15416" s="10" t="inlineStr">
        <is>
          <t>Hà Nội</t>
        </is>
      </c>
      <c r="G15416" s="10" t="inlineStr">
        <is>
          <t>03-04-2026</t>
        </is>
      </c>
      <c r="H15416" s="10" t="inlineStr">
        <is>
          <t>03/04/2026</t>
        </is>
      </c>
      <c r="I15416" s="10" t="inlineStr">
        <is>
          <t>17/03/2026</t>
        </is>
      </c>
      <c r="J15416" s="10" t="inlineStr">
        <is>
          <t>Tư vấn, Dịch vụ khách hàng, Giáo dục / Đào tạo</t>
        </is>
      </c>
      <c r="K15416" s="10" t="inlineStr">
        <is>
          <t>1 - 2 Năm</t>
        </is>
      </c>
      <c r="L15416" s="11">
        <f>HYPERLINK("https://careerviet.vn/vi/tim-viec-lam/truong-nhom-tuyen-sinh-ocean-edu-hoai-duc.35C6AB62.html","Xem chi tiết")</f>
        <v/>
      </c>
      <c r="M15416" s="10" t="n"/>
    </row>
    <row r="15417">
      <c r="B15417" s="7" t="n">
        <v>15415</v>
      </c>
      <c r="C15417" t="inlineStr">
        <is>
          <t>CHUYÊN VIÊN KINH DOANH B2B</t>
        </is>
      </c>
      <c r="D15417" t="inlineStr">
        <is>
          <t>An Bình Chemtech</t>
        </is>
      </c>
      <c r="E15417" t="inlineStr">
        <is>
          <t>Lương:Cạnh tranh</t>
        </is>
      </c>
      <c r="F15417" t="inlineStr">
        <is>
          <t>Hồ Chí Minh</t>
        </is>
      </c>
      <c r="G15417" t="inlineStr">
        <is>
          <t>31-03-2026</t>
        </is>
      </c>
      <c r="H15417" t="inlineStr">
        <is>
          <t>31/03/2026</t>
        </is>
      </c>
      <c r="I15417" t="inlineStr">
        <is>
          <t>17/03/2026</t>
        </is>
      </c>
      <c r="J15417" t="inlineStr">
        <is>
          <t>Bán hàng / Kinh doanh, Hóa học, Thương mại điện tử</t>
        </is>
      </c>
      <c r="K15417" t="inlineStr">
        <is>
          <t>2 - 15 Năm</t>
        </is>
      </c>
      <c r="L15417" s="8">
        <f>HYPERLINK("https://careerviet.vn/vi/tim-viec-lam/chuyen-vien-kinh-doanh-b2b.35C6ADBA.html","Xem chi tiết")</f>
        <v/>
      </c>
    </row>
    <row r="15418">
      <c r="B15418" s="9" t="n">
        <v>15416</v>
      </c>
      <c r="C15418" s="10" t="inlineStr">
        <is>
          <t>Quản lý kho</t>
        </is>
      </c>
      <c r="D15418" s="10" t="inlineStr">
        <is>
          <t>CÔNG TY CỔ PHẦN CÔNG NGHỆ SOTATEK VIỆT NAM</t>
        </is>
      </c>
      <c r="E15418" s="10" t="inlineStr">
        <is>
          <t>Lương:Cạnh tranh</t>
        </is>
      </c>
      <c r="F15418" s="10" t="inlineStr">
        <is>
          <t>Ninh Thuận</t>
        </is>
      </c>
      <c r="G15418" s="10" t="inlineStr">
        <is>
          <t>31-03-2026</t>
        </is>
      </c>
      <c r="H15418" s="10" t="inlineStr">
        <is>
          <t>31/03/2026</t>
        </is>
      </c>
      <c r="I15418" s="10" t="inlineStr">
        <is>
          <t>17/03/2026</t>
        </is>
      </c>
      <c r="J15418" s="10" t="inlineStr">
        <is>
          <t>Vận chuyển / Giao nhận / Kho vận, Xuất nhập khẩu</t>
        </is>
      </c>
      <c r="K15418" s="10" t="inlineStr">
        <is>
          <t>Trên 4 Năm</t>
        </is>
      </c>
      <c r="L15418" s="11">
        <f>HYPERLINK("https://careerviet.vn/vi/tim-viec-lam/quan-ly-kho.35C6AE96.html","Xem chi tiết")</f>
        <v/>
      </c>
      <c r="M15418" s="10" t="n"/>
    </row>
    <row r="15419">
      <c r="B15419" s="7" t="n">
        <v>15417</v>
      </c>
      <c r="C15419" t="inlineStr">
        <is>
          <t>Chuyên Viên Tư Vấn Giáo Dục - Ocean Edu An Khánh - Thu Nhập Từ 16Triệu/Tháng - Phỏng Vấn Đi Làm Ngay</t>
        </is>
      </c>
      <c r="D15419" t="inlineStr">
        <is>
          <t>Công Ty CP Giáo Dục Đại Dương</t>
        </is>
      </c>
      <c r="E15419" t="inlineStr">
        <is>
          <t>Lương:Cạnh tranh</t>
        </is>
      </c>
      <c r="F15419" t="inlineStr">
        <is>
          <t>Hà Nội</t>
        </is>
      </c>
      <c r="G15419" t="inlineStr">
        <is>
          <t>03-04-2026</t>
        </is>
      </c>
      <c r="H15419" t="inlineStr">
        <is>
          <t>03/04/2026</t>
        </is>
      </c>
      <c r="I15419" t="inlineStr">
        <is>
          <t>17/03/2026</t>
        </is>
      </c>
      <c r="J15419" t="inlineStr">
        <is>
          <t>Dịch vụ khách hàng, Giáo dục / Đào tạo, Bán hàng / Kinh doanh</t>
        </is>
      </c>
      <c r="K15419" t="inlineStr">
        <is>
          <t>Chưa có kinh nghiệm</t>
        </is>
      </c>
      <c r="L15419" s="8">
        <f>HYPERLINK("https://careerviet.vn/vi/tim-viec-lam/chuyen-vien-tu-van-giao-duc-ocean-edu-an-khanh-thu-nhap-tu-16trieu-thang-phong-van-di-lam-ngay.35C6AEB1.html","Xem chi tiết")</f>
        <v/>
      </c>
    </row>
    <row r="15420">
      <c r="B15420" s="9" t="n">
        <v>15418</v>
      </c>
      <c r="C15420" s="10" t="inlineStr">
        <is>
          <t>Quản lý an toàn</t>
        </is>
      </c>
      <c r="D15420" s="10" t="inlineStr">
        <is>
          <t>CÔNG TY CỔ PHẦN CÔNG NGHỆ SOTATEK VIỆT NAM</t>
        </is>
      </c>
      <c r="E15420" s="10" t="inlineStr">
        <is>
          <t>Lương:Cạnh tranh</t>
        </is>
      </c>
      <c r="F15420" s="10" t="inlineStr">
        <is>
          <t>Ninh Thuận</t>
        </is>
      </c>
      <c r="G15420" s="10" t="inlineStr">
        <is>
          <t>31-03-2026</t>
        </is>
      </c>
      <c r="H15420" s="10" t="inlineStr">
        <is>
          <t>31/03/2026</t>
        </is>
      </c>
      <c r="I15420" s="10" t="inlineStr">
        <is>
          <t>17/03/2026</t>
        </is>
      </c>
      <c r="J15420" s="10" t="inlineStr">
        <is>
          <t>An toàn lao động, Cơ khí / Ô tô / Tự động hóa, Điện / Điện tử / Điện lạnh / Điện công nghiệp</t>
        </is>
      </c>
      <c r="K15420" s="10" t="inlineStr">
        <is>
          <t>Trên 5 Năm</t>
        </is>
      </c>
      <c r="L15420" s="11">
        <f>HYPERLINK("https://careerviet.vn/vi/tim-viec-lam/quan-ly-an-toan.35C6AEC1.html","Xem chi tiết")</f>
        <v/>
      </c>
      <c r="M15420" s="10" t="n"/>
    </row>
    <row r="15421">
      <c r="B15421" s="7" t="n">
        <v>15419</v>
      </c>
      <c r="C15421" t="inlineStr">
        <is>
          <t>Chuyên Viên Tư Vấn Giáo Dục - Ocean Edu Móng Cái - Thu Nhập Từ 15Triệu/Tháng - Phỏng Vấn Đi Làm Ngay</t>
        </is>
      </c>
      <c r="D15421" t="inlineStr">
        <is>
          <t>Công Ty CP Giáo Dục Đại Dương</t>
        </is>
      </c>
      <c r="E15421" t="inlineStr">
        <is>
          <t>Lương:Cạnh tranh</t>
        </is>
      </c>
      <c r="F15421" t="inlineStr">
        <is>
          <t>Quảng Ninh</t>
        </is>
      </c>
      <c r="G15421" t="inlineStr">
        <is>
          <t>03-04-2026</t>
        </is>
      </c>
      <c r="H15421" t="inlineStr">
        <is>
          <t>03/04/2026</t>
        </is>
      </c>
      <c r="I15421" t="inlineStr">
        <is>
          <t>17/03/2026</t>
        </is>
      </c>
      <c r="J15421" t="inlineStr">
        <is>
          <t>Dịch vụ khách hàng, Giáo dục / Đào tạo, Bán hàng / Kinh doanh</t>
        </is>
      </c>
      <c r="K15421" t="inlineStr">
        <is>
          <t>Chưa có kinh nghiệm</t>
        </is>
      </c>
      <c r="L15421" s="8">
        <f>HYPERLINK("https://careerviet.vn/vi/tim-viec-lam/chuyen-vien-tu-van-giao-duc-ocean-edu-mong-cai-thu-nhap-tu-15trieu-thang-phong-van-di-lam-ngay.35C6AEBD.html","Xem chi tiết")</f>
        <v/>
      </c>
    </row>
    <row r="15422">
      <c r="B15422" s="9" t="n">
        <v>15420</v>
      </c>
      <c r="C15422" s="10" t="inlineStr">
        <is>
          <t>[NSG] Chuyên Viên Tổ Chức Cứu Hộ Cứu Nạn</t>
        </is>
      </c>
      <c r="D15422" s="10" t="inlineStr">
        <is>
          <t>Nova Service Group - Công ty Cổ phần Tập đoàn Nova Services</t>
        </is>
      </c>
      <c r="E15422" s="10" t="inlineStr">
        <is>
          <t>Lương:Cạnh tranh</t>
        </is>
      </c>
      <c r="F15422" s="10" t="inlineStr">
        <is>
          <t>Hồ Chí Minh</t>
        </is>
      </c>
      <c r="G15422" s="10" t="inlineStr">
        <is>
          <t>30-04-2026</t>
        </is>
      </c>
      <c r="H15422" s="10" t="inlineStr">
        <is>
          <t>30/04/2026</t>
        </is>
      </c>
      <c r="I15422" s="10" t="inlineStr">
        <is>
          <t>17/03/2026</t>
        </is>
      </c>
      <c r="J15422" s="10" t="inlineStr">
        <is>
          <t>An Ninh / Bảo Vệ, An toàn lao động</t>
        </is>
      </c>
      <c r="K15422" s="10" t="inlineStr">
        <is>
          <t>3 - 5 Năm</t>
        </is>
      </c>
      <c r="L15422" s="11">
        <f>HYPERLINK("https://careerviet.vn/vi/tim-viec-lam/nsg-chuyen-vien-to-chuc-cuu-ho-cuu-nan.35C6ADC6.html","Xem chi tiết")</f>
        <v/>
      </c>
      <c r="M15422" s="10" t="n"/>
    </row>
    <row r="15423">
      <c r="B15423" s="7" t="n">
        <v>15421</v>
      </c>
      <c r="C15423" t="inlineStr">
        <is>
          <t>Trưởng Phòng IT - Quản lý phần mềm</t>
        </is>
      </c>
      <c r="D15423" t="inlineStr">
        <is>
          <t>Công Ty Cổ Phần A25 Hotel</t>
        </is>
      </c>
      <c r="E15423" t="inlineStr">
        <is>
          <t>Lương:30 Tr - 60 Tr VND</t>
        </is>
      </c>
      <c r="F15423" t="inlineStr">
        <is>
          <t>Hà Nội</t>
        </is>
      </c>
      <c r="G15423" t="inlineStr">
        <is>
          <t>31-03-2026</t>
        </is>
      </c>
      <c r="H15423" t="inlineStr">
        <is>
          <t>31/03/2026</t>
        </is>
      </c>
      <c r="I15423" t="inlineStr">
        <is>
          <t>17/03/2026</t>
        </is>
      </c>
      <c r="J15423" t="inlineStr">
        <is>
          <t>CNTT - Phần mềm, CNTT - Phần cứng / Mạng, Quản lý điều hành</t>
        </is>
      </c>
      <c r="K15423" t="inlineStr">
        <is>
          <t>3 - 5 Năm</t>
        </is>
      </c>
      <c r="L15423" s="8">
        <f>HYPERLINK("https://careerviet.vn/vi/tim-viec-lam/truong-phong-it-quan-ly-phan-mem.35C68F25.html","Xem chi tiết")</f>
        <v/>
      </c>
    </row>
    <row r="15424">
      <c r="B15424" s="9" t="n">
        <v>15422</v>
      </c>
      <c r="C15424" s="10" t="inlineStr">
        <is>
          <t>Thủ kho</t>
        </is>
      </c>
      <c r="D15424" s="10" t="inlineStr">
        <is>
          <t>CÔNG TY CP HÀ YẾN</t>
        </is>
      </c>
      <c r="E15424" s="10" t="inlineStr">
        <is>
          <t>Lương:Cạnh tranh</t>
        </is>
      </c>
      <c r="F15424" s="10" t="inlineStr">
        <is>
          <t>Hưng Yên</t>
        </is>
      </c>
      <c r="G15424" s="10" t="inlineStr">
        <is>
          <t>25-03-2026</t>
        </is>
      </c>
      <c r="H15424" s="10" t="inlineStr">
        <is>
          <t>25/03/2026</t>
        </is>
      </c>
      <c r="I15424" s="10" t="inlineStr">
        <is>
          <t>17/03/2026</t>
        </is>
      </c>
      <c r="J15424" s="10" t="inlineStr">
        <is>
          <t>Kế toán / Kiểm toán, Vận chuyển / Giao nhận / Kho vận</t>
        </is>
      </c>
      <c r="K15424" s="10" t="inlineStr">
        <is>
          <t>1 - 2 Năm</t>
        </is>
      </c>
      <c r="L15424" s="11">
        <f>HYPERLINK("https://careerviet.vn/vi/tim-viec-lam/thu-kho.35C68F98.html","Xem chi tiết")</f>
        <v/>
      </c>
      <c r="M15424" s="10" t="n"/>
    </row>
    <row r="15425">
      <c r="B15425" s="7" t="n">
        <v>15423</v>
      </c>
      <c r="C15425" t="inlineStr">
        <is>
          <t>Tổ trưởng sản xuất/ Production Foreman</t>
        </is>
      </c>
      <c r="D15425" t="inlineStr">
        <is>
          <t>CÔNG TY TNHH SEAH M&amp;S VIỆT NAM</t>
        </is>
      </c>
      <c r="E15425" t="inlineStr">
        <is>
          <t>Lương:12 Tr - 14 Tr VND</t>
        </is>
      </c>
      <c r="F15425" t="inlineStr">
        <is>
          <t>Bà Rịa - Vũng TàuHồ Chí Minh</t>
        </is>
      </c>
      <c r="G15425" t="inlineStr">
        <is>
          <t>03-04-2026</t>
        </is>
      </c>
      <c r="H15425" t="inlineStr">
        <is>
          <t>03/04/2026</t>
        </is>
      </c>
      <c r="I15425" t="inlineStr">
        <is>
          <t>17/03/2026</t>
        </is>
      </c>
      <c r="J15425" t="inlineStr">
        <is>
          <t>Cơ khí / Ô tô / Tự động hóa, Sản xuất / Vận hành sản xuất, Điện / Điện tử / Điện lạnh / Điện công nghiệp</t>
        </is>
      </c>
      <c r="K15425" t="inlineStr">
        <is>
          <t>2 - 3 Năm</t>
        </is>
      </c>
      <c r="L15425" s="8">
        <f>HYPERLINK("https://careerviet.vn/vi/tim-viec-lam/to-truong-san-xuat-production-foreman.35C6AB2E.html","Xem chi tiết")</f>
        <v/>
      </c>
    </row>
    <row r="15426">
      <c r="B15426" s="9" t="n">
        <v>15424</v>
      </c>
      <c r="C15426" s="10" t="inlineStr">
        <is>
          <t>Nhân viên Tuyển dụng / Recruitment Staff</t>
        </is>
      </c>
      <c r="D15426" s="10" t="inlineStr">
        <is>
          <t>Công Ty TNHH Apparel Far Eastern (Việt Nam)</t>
        </is>
      </c>
      <c r="E15426" s="10" t="inlineStr">
        <is>
          <t>Lương:12 Tr - 18 Tr VND</t>
        </is>
      </c>
      <c r="F15426" s="10" t="inlineStr">
        <is>
          <t>Bình Dương</t>
        </is>
      </c>
      <c r="G15426" s="10" t="inlineStr">
        <is>
          <t>24-03-2026</t>
        </is>
      </c>
      <c r="H15426" s="10" t="inlineStr">
        <is>
          <t>24/03/2026</t>
        </is>
      </c>
      <c r="I15426" s="10" t="inlineStr">
        <is>
          <t>17/03/2026</t>
        </is>
      </c>
      <c r="J15426" s="10" t="inlineStr">
        <is>
          <t>Nhân sự, Hành chính / Thư ký, Biên phiên dịch</t>
        </is>
      </c>
      <c r="K15426" s="10" t="inlineStr">
        <is>
          <t>N/A</t>
        </is>
      </c>
      <c r="L15426" s="11">
        <f>HYPERLINK("https://careerviet.vn/vi/tim-viec-lam/nhan-vien-tuyen-dung-recruitment-staff.35C66640.html","Xem chi tiết")</f>
        <v/>
      </c>
      <c r="M15426" s="10" t="n"/>
    </row>
    <row r="15427">
      <c r="B15427" s="7" t="n">
        <v>15425</v>
      </c>
      <c r="C15427" t="inlineStr">
        <is>
          <t>Nhân viên kế toán Công Trình (Ưu tiên Nam)</t>
        </is>
      </c>
      <c r="D15427" t="inlineStr">
        <is>
          <t>CÔNG TY CP HÀ YẾN</t>
        </is>
      </c>
      <c r="E15427" t="inlineStr">
        <is>
          <t>Lương:Cạnh tranh</t>
        </is>
      </c>
      <c r="F15427" t="inlineStr">
        <is>
          <t>Hà Nội</t>
        </is>
      </c>
      <c r="G15427" t="inlineStr">
        <is>
          <t>27-03-2026</t>
        </is>
      </c>
      <c r="H15427" t="inlineStr">
        <is>
          <t>27/03/2026</t>
        </is>
      </c>
      <c r="I15427" t="inlineStr">
        <is>
          <t>17/03/2026</t>
        </is>
      </c>
      <c r="J15427" t="inlineStr">
        <is>
          <t>Kế toán / Kiểm toán</t>
        </is>
      </c>
      <c r="K15427" t="inlineStr">
        <is>
          <t>1 - 2 Năm</t>
        </is>
      </c>
      <c r="L15427" s="8">
        <f>HYPERLINK("https://careerviet.vn/vi/tim-viec-lam/nhan-vien-ke-toan-cong-trinh-uu-tien-nam.35C668E3.html","Xem chi tiết")</f>
        <v/>
      </c>
    </row>
    <row r="15428">
      <c r="B15428" s="9" t="n">
        <v>15426</v>
      </c>
      <c r="C15428" s="10" t="inlineStr">
        <is>
          <t>Chuyên viên thiết kế MEP (Sử dụng autoCAD)</t>
        </is>
      </c>
      <c r="D15428" s="10" t="inlineStr">
        <is>
          <t>CÔNG TY CP HÀ YẾN</t>
        </is>
      </c>
      <c r="E15428" s="10" t="inlineStr">
        <is>
          <t>Lương:Cạnh tranh</t>
        </is>
      </c>
      <c r="F15428" s="10" t="inlineStr">
        <is>
          <t>Hà Nội</t>
        </is>
      </c>
      <c r="G15428" s="10" t="inlineStr">
        <is>
          <t>27-03-2026</t>
        </is>
      </c>
      <c r="H15428" s="10" t="inlineStr">
        <is>
          <t>27/03/2026</t>
        </is>
      </c>
      <c r="I15428" s="10" t="inlineStr">
        <is>
          <t>17/03/2026</t>
        </is>
      </c>
      <c r="J15428" s="10" t="inlineStr">
        <is>
          <t>Mỹ thuật / Nghệ thuật / Thiết kế, Điện / Điện tử / Điện lạnh / Điện công nghiệp</t>
        </is>
      </c>
      <c r="K15428" s="10" t="inlineStr">
        <is>
          <t>1 - 2 Năm</t>
        </is>
      </c>
      <c r="L15428" s="11">
        <f>HYPERLINK("https://careerviet.vn/vi/tim-viec-lam/chuyen-vien-thiet-ke-mep-su-dung-autocad.35C668CE.html","Xem chi tiết")</f>
        <v/>
      </c>
      <c r="M15428" s="10" t="n"/>
    </row>
    <row r="15429">
      <c r="B15429" s="7" t="n">
        <v>15427</v>
      </c>
      <c r="C15429" t="inlineStr">
        <is>
          <t>Event Admin</t>
        </is>
      </c>
      <c r="D15429" t="inlineStr">
        <is>
          <t>ONE GROUP</t>
        </is>
      </c>
      <c r="E15429" t="inlineStr">
        <is>
          <t>Lương:11 Tr - 15 Tr VND</t>
        </is>
      </c>
      <c r="F15429" t="inlineStr">
        <is>
          <t>Hồ Chí Minh</t>
        </is>
      </c>
      <c r="G15429" t="inlineStr">
        <is>
          <t>11-04-2026</t>
        </is>
      </c>
      <c r="H15429" t="inlineStr">
        <is>
          <t>11/04/2026</t>
        </is>
      </c>
      <c r="I15429" t="inlineStr">
        <is>
          <t>17/03/2026</t>
        </is>
      </c>
      <c r="J15429" t="inlineStr">
        <is>
          <t>Tổ chức sự kiện, Giải trí, Truyền hình / Báo chí / Biên tập</t>
        </is>
      </c>
      <c r="K15429" t="inlineStr">
        <is>
          <t>1 - 2 Năm</t>
        </is>
      </c>
      <c r="L15429" s="8">
        <f>HYPERLINK("https://careerviet.vn/vi/tim-viec-lam/event-admin.35C6BC59.html","Xem chi tiết")</f>
        <v/>
      </c>
    </row>
    <row r="15430">
      <c r="B15430" s="9" t="n">
        <v>15428</v>
      </c>
      <c r="C15430" s="10" t="inlineStr">
        <is>
          <t>Nhân viên thiết kế mặt bằng</t>
        </is>
      </c>
      <c r="D15430" s="10" t="inlineStr">
        <is>
          <t>CÔNG TY CP HÀ YẾN</t>
        </is>
      </c>
      <c r="E15430" s="10" t="inlineStr">
        <is>
          <t>Lương:Cạnh tranh</t>
        </is>
      </c>
      <c r="F15430" s="10" t="inlineStr">
        <is>
          <t>Hà Nội</t>
        </is>
      </c>
      <c r="G15430" s="10" t="inlineStr">
        <is>
          <t>02-04-2026</t>
        </is>
      </c>
      <c r="H15430" s="10" t="inlineStr">
        <is>
          <t>02/04/2026</t>
        </is>
      </c>
      <c r="I15430" s="10" t="inlineStr">
        <is>
          <t>17/03/2026</t>
        </is>
      </c>
      <c r="J15430" s="10" t="inlineStr">
        <is>
          <t>Mỹ thuật / Nghệ thuật / Thiết kế, Điện / Điện tử / Điện lạnh / Điện công nghiệp</t>
        </is>
      </c>
      <c r="K15430" s="10" t="inlineStr">
        <is>
          <t>1 - 2 Năm</t>
        </is>
      </c>
      <c r="L15430" s="11">
        <f>HYPERLINK("https://careerviet.vn/vi/tim-viec-lam/nhan-vien-thiet-ke-mat-bang.35C6ABB7.html","Xem chi tiết")</f>
        <v/>
      </c>
      <c r="M15430" s="10" t="n"/>
    </row>
    <row r="15431">
      <c r="B15431" s="7" t="n">
        <v>15429</v>
      </c>
      <c r="C15431" t="inlineStr">
        <is>
          <t>Lễ tân</t>
        </is>
      </c>
      <c r="D15431" t="inlineStr">
        <is>
          <t>PTSC Offshore Services (POS)</t>
        </is>
      </c>
      <c r="E15431" t="inlineStr">
        <is>
          <t>Lương:Cạnh tranh</t>
        </is>
      </c>
      <c r="F15431" t="inlineStr">
        <is>
          <t>Bà Rịa - Vũng Tàu</t>
        </is>
      </c>
      <c r="G15431" t="inlineStr">
        <is>
          <t>10-04-2026</t>
        </is>
      </c>
      <c r="H15431" t="inlineStr">
        <is>
          <t>10/04/2026</t>
        </is>
      </c>
      <c r="I15431" t="inlineStr">
        <is>
          <t>17/03/2026</t>
        </is>
      </c>
      <c r="J15431" t="inlineStr">
        <is>
          <t>Hành chính / Thư ký</t>
        </is>
      </c>
      <c r="K15431" t="inlineStr">
        <is>
          <t>Lên đến 1 Năm</t>
        </is>
      </c>
      <c r="L15431" s="8">
        <f>HYPERLINK("https://careerviet.vn/vi/tim-viec-lam/le-tan.35C6BD84.html","Xem chi tiết")</f>
        <v/>
      </c>
    </row>
    <row r="15432">
      <c r="B15432" s="9" t="n">
        <v>15430</v>
      </c>
      <c r="C15432" s="10" t="inlineStr">
        <is>
          <t>Chuyên Viên IT Phần Mềm</t>
        </is>
      </c>
      <c r="D15432" s="10" t="inlineStr">
        <is>
          <t>Công Ty TNHH Kindy City</t>
        </is>
      </c>
      <c r="E15432" s="10" t="inlineStr">
        <is>
          <t>Lương:Cạnh tranh</t>
        </is>
      </c>
      <c r="F15432" s="10" t="inlineStr">
        <is>
          <t>Hồ Chí Minh</t>
        </is>
      </c>
      <c r="G15432" s="10" t="inlineStr">
        <is>
          <t>09-04-2026</t>
        </is>
      </c>
      <c r="H15432" s="10" t="inlineStr">
        <is>
          <t>09/04/2026</t>
        </is>
      </c>
      <c r="I15432" s="10" t="inlineStr">
        <is>
          <t>17/03/2026</t>
        </is>
      </c>
      <c r="J15432" s="10" t="inlineStr">
        <is>
          <t>CNTT - Phần mềm, Giáo dục / Đào tạo</t>
        </is>
      </c>
      <c r="K15432" s="10" t="inlineStr">
        <is>
          <t>2 - 5 Năm</t>
        </is>
      </c>
      <c r="L15432" s="11">
        <f>HYPERLINK("https://careerviet.vn/vi/tim-viec-lam/chuyen-vien-it-phan-mem.35C6BD16.html","Xem chi tiết")</f>
        <v/>
      </c>
      <c r="M15432" s="10" t="n"/>
    </row>
    <row r="15433">
      <c r="B15433" s="7" t="n">
        <v>15431</v>
      </c>
      <c r="C15433" t="inlineStr">
        <is>
          <t>NHÂN VIÊN MUA HÀNG (LÀM VIỆC TẠI NINH THUẬN)</t>
        </is>
      </c>
      <c r="D15433" t="inlineStr">
        <is>
          <t>SABECO - Saigon Beer-Alcohol-Beverage Corporation</t>
        </is>
      </c>
      <c r="E15433" t="inlineStr">
        <is>
          <t>Lương:Cạnh tranh</t>
        </is>
      </c>
      <c r="F15433" t="inlineStr">
        <is>
          <t>Ninh Thuận</t>
        </is>
      </c>
      <c r="G15433" t="inlineStr">
        <is>
          <t>09-04-2026</t>
        </is>
      </c>
      <c r="H15433" t="inlineStr">
        <is>
          <t>09/04/2026</t>
        </is>
      </c>
      <c r="I15433" t="inlineStr">
        <is>
          <t>17/03/2026</t>
        </is>
      </c>
      <c r="J15433" t="inlineStr">
        <is>
          <t>Sản xuất / Vận hành sản xuất, Thu mua / Vật tư</t>
        </is>
      </c>
      <c r="K15433" t="inlineStr">
        <is>
          <t>2 - 3 Năm</t>
        </is>
      </c>
      <c r="L15433" s="8">
        <f>HYPERLINK("https://careerviet.vn/vi/tim-viec-lam/nhan-vien-mua-hang-lam-viec-tai-ninh-thuan.35C6BD8C.html","Xem chi tiết")</f>
        <v/>
      </c>
    </row>
    <row r="15434">
      <c r="B15434" s="9" t="n">
        <v>15432</v>
      </c>
      <c r="C15434" s="10" t="inlineStr">
        <is>
          <t>Kỹ sư quy trình  (Process Engineer)</t>
        </is>
      </c>
      <c r="D15434" s="10" t="inlineStr">
        <is>
          <t>CÔNG TY CỔ PHẦN CÔNG NGHỆ SOTATEK VIỆT NAM</t>
        </is>
      </c>
      <c r="E15434" s="10" t="inlineStr">
        <is>
          <t>Lương:Cạnh tranh</t>
        </is>
      </c>
      <c r="F15434" s="10" t="inlineStr">
        <is>
          <t>Ninh Thuận</t>
        </is>
      </c>
      <c r="G15434" s="10" t="inlineStr">
        <is>
          <t>31-03-2026</t>
        </is>
      </c>
      <c r="H15434" s="10" t="inlineStr">
        <is>
          <t>31/03/2026</t>
        </is>
      </c>
      <c r="I15434" s="10" t="inlineStr">
        <is>
          <t>17/03/2026</t>
        </is>
      </c>
      <c r="J15434" s="10" t="inlineStr">
        <is>
          <t>Hóa học, Cơ khí / Ô tô / Tự động hóa, Thương mại điện tử</t>
        </is>
      </c>
      <c r="K15434" s="10" t="inlineStr">
        <is>
          <t>N/A</t>
        </is>
      </c>
      <c r="L15434" s="11">
        <f>HYPERLINK("https://careerviet.vn/vi/tim-viec-lam/ky-su-quy-trinh-process-engineer.35C6AECC.html","Xem chi tiết")</f>
        <v/>
      </c>
      <c r="M15434" s="10" t="n"/>
    </row>
    <row r="15435">
      <c r="B15435" s="7" t="n">
        <v>15433</v>
      </c>
      <c r="C15435" t="inlineStr">
        <is>
          <t>Kế toán trưởng - Công ty thành viên</t>
        </is>
      </c>
      <c r="D15435" t="inlineStr">
        <is>
          <t>Công Ty Cổ Phần Tập Đoàn Sunshine</t>
        </is>
      </c>
      <c r="E15435" t="inlineStr">
        <is>
          <t>Lương:30 Tr - 35 Tr VND</t>
        </is>
      </c>
      <c r="F15435" t="inlineStr">
        <is>
          <t>Hồ Chí Minh</t>
        </is>
      </c>
      <c r="G15435" t="inlineStr">
        <is>
          <t>31-03-2026</t>
        </is>
      </c>
      <c r="H15435" t="inlineStr">
        <is>
          <t>31/03/2026</t>
        </is>
      </c>
      <c r="I15435" t="inlineStr">
        <is>
          <t>17/03/2026</t>
        </is>
      </c>
      <c r="J15435" t="inlineStr">
        <is>
          <t>Kế toán / Kiểm toán, Bất động sản</t>
        </is>
      </c>
      <c r="K15435" t="inlineStr">
        <is>
          <t>Trên 5 Năm</t>
        </is>
      </c>
      <c r="L15435" s="8">
        <f>HYPERLINK("https://careerviet.vn/vi/tim-viec-lam/ke-toan-truong-cong-ty-thanh-vien.35C68FF8.html","Xem chi tiết")</f>
        <v/>
      </c>
    </row>
    <row r="15436">
      <c r="B15436" s="9" t="n">
        <v>15434</v>
      </c>
      <c r="C15436" s="10" t="inlineStr">
        <is>
          <t>TRƯỞNG PHÒNG HÀNH CHÍNH – NHÂN SỰ (Tổng công ty)</t>
        </is>
      </c>
      <c r="D15436" s="10" t="inlineStr">
        <is>
          <t>KING ELONG GROUP</t>
        </is>
      </c>
      <c r="E15436" s="10" t="inlineStr">
        <is>
          <t>Lương:15 Tr - 25 Tr VND</t>
        </is>
      </c>
      <c r="F15436" s="10" t="inlineStr">
        <is>
          <t>Hồ Chí Minh</t>
        </is>
      </c>
      <c r="G15436" s="10" t="inlineStr">
        <is>
          <t>10-04-2026</t>
        </is>
      </c>
      <c r="H15436" s="10" t="inlineStr">
        <is>
          <t>10/04/2026</t>
        </is>
      </c>
      <c r="I15436" s="10" t="inlineStr">
        <is>
          <t>17/03/2026</t>
        </is>
      </c>
      <c r="J15436" s="10" t="inlineStr">
        <is>
          <t>Nhân sự, Hành chính / Thư ký, Quản lý điều hành</t>
        </is>
      </c>
      <c r="K15436" s="10" t="inlineStr">
        <is>
          <t>2 - 3 Năm</t>
        </is>
      </c>
      <c r="L15436" s="11">
        <f>HYPERLINK("https://careerviet.vn/vi/tim-viec-lam/truong-phong-hanh-chinh-nhan-su-tong-cong-ty.35C6BC4F.html","Xem chi tiết")</f>
        <v/>
      </c>
      <c r="M15436" s="10" t="n"/>
    </row>
    <row r="15437">
      <c r="B15437" s="7" t="n">
        <v>15435</v>
      </c>
      <c r="C15437" t="inlineStr">
        <is>
          <t>Chuyên viên Hành Chính</t>
        </is>
      </c>
      <c r="D15437" t="inlineStr">
        <is>
          <t>PTSC Offshore Services (POS)</t>
        </is>
      </c>
      <c r="E15437" t="inlineStr">
        <is>
          <t>Lương:Cạnh tranh</t>
        </is>
      </c>
      <c r="F15437" t="inlineStr">
        <is>
          <t>Bà Rịa - Vũng Tàu</t>
        </is>
      </c>
      <c r="G15437" t="inlineStr">
        <is>
          <t>10-04-2026</t>
        </is>
      </c>
      <c r="H15437" t="inlineStr">
        <is>
          <t>10/04/2026</t>
        </is>
      </c>
      <c r="I15437" t="inlineStr">
        <is>
          <t>17/03/2026</t>
        </is>
      </c>
      <c r="J15437" t="inlineStr">
        <is>
          <t>Hành chính / Thư ký</t>
        </is>
      </c>
      <c r="K15437" t="inlineStr">
        <is>
          <t>Lên đến 3 Năm</t>
        </is>
      </c>
      <c r="L15437" s="8">
        <f>HYPERLINK("https://careerviet.vn/vi/tim-viec-lam/chuyen-vien-hanh-chinh.35C6BD21.html","Xem chi tiết")</f>
        <v/>
      </c>
    </row>
    <row r="15438">
      <c r="B15438" s="9" t="n">
        <v>15436</v>
      </c>
      <c r="C15438" s="10" t="inlineStr">
        <is>
          <t>Chuyên Viên QA</t>
        </is>
      </c>
      <c r="D15438" s="10" t="inlineStr">
        <is>
          <t>Orioled Hub</t>
        </is>
      </c>
      <c r="E15438" s="10" t="inlineStr">
        <is>
          <t>Lương:Cạnh tranh</t>
        </is>
      </c>
      <c r="F15438" s="10" t="inlineStr">
        <is>
          <t>Hồ Chí Minh</t>
        </is>
      </c>
      <c r="G15438" s="10" t="inlineStr">
        <is>
          <t>30-04-2026</t>
        </is>
      </c>
      <c r="H15438" s="10" t="inlineStr">
        <is>
          <t>30/04/2026</t>
        </is>
      </c>
      <c r="I15438" s="10" t="inlineStr">
        <is>
          <t>17/03/2026</t>
        </is>
      </c>
      <c r="J15438" s="10" t="inlineStr">
        <is>
          <t>Dược phẩm/ Hóa Mỹ Phẩm, Hóa học, Quản lý chất lượng (QA/QC)</t>
        </is>
      </c>
      <c r="K15438" s="10" t="inlineStr">
        <is>
          <t>Lên đến 1 Năm</t>
        </is>
      </c>
      <c r="L15438" s="11">
        <f>HYPERLINK("https://careerviet.vn/vi/tim-viec-lam/chuyen-vien-qa.35C6BC49.html","Xem chi tiết")</f>
        <v/>
      </c>
      <c r="M15438" s="10" t="n"/>
    </row>
    <row r="15439">
      <c r="B15439" s="7" t="n">
        <v>15437</v>
      </c>
      <c r="C15439" t="inlineStr">
        <is>
          <t>Chuyên viên Nhân sự (C&amp;B)</t>
        </is>
      </c>
      <c r="D15439" t="inlineStr">
        <is>
          <t>CÔNG TY TNHH THƯỜNG NHẬT (SAIGON WATERBUS)</t>
        </is>
      </c>
      <c r="E15439" t="inlineStr">
        <is>
          <t>Lương:10 Tr - 17 Tr VND</t>
        </is>
      </c>
      <c r="F15439" t="inlineStr">
        <is>
          <t>Hồ Chí Minh</t>
        </is>
      </c>
      <c r="G15439" t="inlineStr">
        <is>
          <t>09-05-2026</t>
        </is>
      </c>
      <c r="H15439" t="inlineStr">
        <is>
          <t>09/05/2026</t>
        </is>
      </c>
      <c r="I15439" t="inlineStr">
        <is>
          <t>17/03/2026</t>
        </is>
      </c>
      <c r="J15439" t="inlineStr">
        <is>
          <t>Nhân sự</t>
        </is>
      </c>
      <c r="K15439" t="inlineStr">
        <is>
          <t>2 - 3 Năm</t>
        </is>
      </c>
      <c r="L15439" s="8">
        <f>HYPERLINK("https://careerviet.vn/vi/tim-viec-lam/chuyen-vien-nhan-su-c-b.35C6BC39.html","Xem chi tiết")</f>
        <v/>
      </c>
    </row>
    <row r="15440">
      <c r="B15440" s="9" t="n">
        <v>15438</v>
      </c>
      <c r="C15440" s="10" t="inlineStr">
        <is>
          <t>Chuyên viên Nhân sự (Tuyển dụng)</t>
        </is>
      </c>
      <c r="D15440" s="10" t="inlineStr">
        <is>
          <t>CÔNG TY TNHH THƯỜNG NHẬT (SAIGON WATERBUS)</t>
        </is>
      </c>
      <c r="E15440" s="10" t="inlineStr">
        <is>
          <t>Lương:10 Tr - 18 Tr VND</t>
        </is>
      </c>
      <c r="F15440" s="10" t="inlineStr">
        <is>
          <t>Hồ Chí Minh</t>
        </is>
      </c>
      <c r="G15440" s="10" t="inlineStr">
        <is>
          <t>09-05-2026</t>
        </is>
      </c>
      <c r="H15440" s="10" t="inlineStr">
        <is>
          <t>09/05/2026</t>
        </is>
      </c>
      <c r="I15440" s="10" t="inlineStr">
        <is>
          <t>17/03/2026</t>
        </is>
      </c>
      <c r="J15440" s="10" t="inlineStr">
        <is>
          <t>Nhân sự</t>
        </is>
      </c>
      <c r="K15440" s="10" t="inlineStr">
        <is>
          <t>2 - 3 Năm</t>
        </is>
      </c>
      <c r="L15440" s="11">
        <f>HYPERLINK("https://careerviet.vn/vi/tim-viec-lam/chuyen-vien-nhan-su-tuyen-dung.35C6BC44.html","Xem chi tiết")</f>
        <v/>
      </c>
      <c r="M15440" s="10" t="n"/>
    </row>
    <row r="15441">
      <c r="B15441" s="7" t="n">
        <v>15439</v>
      </c>
      <c r="C15441" t="inlineStr">
        <is>
          <t>Chief Accountant</t>
        </is>
      </c>
      <c r="D15441" t="inlineStr">
        <is>
          <t>CÔNG TY TNHH WGR INDUSTRIES</t>
        </is>
      </c>
      <c r="E15441" t="inlineStr">
        <is>
          <t>Lương:Cạnh tranh</t>
        </is>
      </c>
      <c r="F15441" t="inlineStr">
        <is>
          <t>Bình Định</t>
        </is>
      </c>
      <c r="G15441" t="inlineStr">
        <is>
          <t>08-04-2026</t>
        </is>
      </c>
      <c r="H15441" t="inlineStr">
        <is>
          <t>08/04/2026</t>
        </is>
      </c>
      <c r="I15441" t="inlineStr">
        <is>
          <t>17/03/2026</t>
        </is>
      </c>
      <c r="J15441" t="inlineStr">
        <is>
          <t>Kế toán / Kiểm toán, Tài chính / Đầu tư, Đồ gỗ</t>
        </is>
      </c>
      <c r="K15441" t="inlineStr">
        <is>
          <t>5 - 10 Năm</t>
        </is>
      </c>
      <c r="L15441" s="8">
        <f>HYPERLINK("https://careerviet.vn/vi/tim-viec-lam/chief-accountant.35C64F9B.html","Xem chi tiết")</f>
        <v/>
      </c>
    </row>
    <row r="15442">
      <c r="B15442" s="9" t="n">
        <v>15440</v>
      </c>
      <c r="C15442" s="10" t="inlineStr">
        <is>
          <t>NHÂN VIÊN KẾ HOẠCH SẢN XUẤT - NHÀ MÁY ĐÈN BIÊN HÒA</t>
        </is>
      </c>
      <c r="D15442" s="10" t="inlineStr">
        <is>
          <t>NANOCO GROUP</t>
        </is>
      </c>
      <c r="E15442" s="10" t="inlineStr">
        <is>
          <t>Lương:Cạnh tranh</t>
        </is>
      </c>
      <c r="F15442" s="10" t="inlineStr">
        <is>
          <t>Đồng Nai</t>
        </is>
      </c>
      <c r="G15442" s="10" t="inlineStr">
        <is>
          <t>10-04-2026</t>
        </is>
      </c>
      <c r="H15442" s="10" t="inlineStr">
        <is>
          <t>10/04/2026</t>
        </is>
      </c>
      <c r="I15442" s="10" t="inlineStr">
        <is>
          <t>17/03/2026</t>
        </is>
      </c>
      <c r="J15442" s="10" t="inlineStr">
        <is>
          <t>Điện / Điện tử / Điện lạnh / Điện công nghiệp, Sản xuất / Vận hành sản xuất, Kế toán / Kiểm toán</t>
        </is>
      </c>
      <c r="K15442" s="10" t="inlineStr">
        <is>
          <t>N/A</t>
        </is>
      </c>
      <c r="L15442" s="11">
        <f>HYPERLINK("https://careerviet.vn/vi/tim-viec-lam/nhan-vien-ke-hoach-san-xuat-nha-may-den-bien-hoa.35C6BB51.html","Xem chi tiết")</f>
        <v/>
      </c>
      <c r="M15442" s="10" t="n"/>
    </row>
    <row r="15443">
      <c r="B15443" s="7" t="n">
        <v>15441</v>
      </c>
      <c r="C15443" t="inlineStr">
        <is>
          <t>CV/CVCC Khách hàng Doanh nghiệp - Trung tâm SME Gia Lai - TA175</t>
        </is>
      </c>
      <c r="D15443" t="inlineStr">
        <is>
          <t>Ngân Hàng TMCP Việt Nam Thịnh Vượng - VPBANK</t>
        </is>
      </c>
      <c r="E15443" t="inlineStr">
        <is>
          <t>Lương:15 Tr - 25 Tr VND</t>
        </is>
      </c>
      <c r="F15443" t="inlineStr">
        <is>
          <t>Gia Lai</t>
        </is>
      </c>
      <c r="G15443" t="inlineStr">
        <is>
          <t>08-04-2026</t>
        </is>
      </c>
      <c r="H15443" t="inlineStr">
        <is>
          <t>08/04/2026</t>
        </is>
      </c>
      <c r="I15443" t="inlineStr">
        <is>
          <t>17/03/2026</t>
        </is>
      </c>
      <c r="J15443" t="inlineStr">
        <is>
          <t>Ngân hàng</t>
        </is>
      </c>
      <c r="K15443" t="inlineStr">
        <is>
          <t>1 - 2 Năm</t>
        </is>
      </c>
      <c r="L15443" s="8">
        <f>HYPERLINK("https://careerviet.vn/vi/tim-viec-lam/cv-cvcc-khach-hang-doanh-nghiep-trung-tam-sme-gia-lai-ta175.35C64FBA.html","Xem chi tiết")</f>
        <v/>
      </c>
    </row>
    <row r="15444">
      <c r="B15444" s="9" t="n">
        <v>15442</v>
      </c>
      <c r="C15444" s="10" t="inlineStr">
        <is>
          <t>NV Phát triển vải/ Fabric Developer (Chinese Brand)</t>
        </is>
      </c>
      <c r="D15444" s="10" t="inlineStr">
        <is>
          <t>Công ty TNHH, Liên Doanh Vĩnh Hưng (TMI Việt Nam)</t>
        </is>
      </c>
      <c r="E15444" s="10" t="inlineStr">
        <is>
          <t>Lương:12 Tr - 18 Tr VND</t>
        </is>
      </c>
      <c r="F15444" s="10" t="inlineStr">
        <is>
          <t>Hồ Chí Minh</t>
        </is>
      </c>
      <c r="G15444" s="10" t="inlineStr">
        <is>
          <t>08-04-2026</t>
        </is>
      </c>
      <c r="H15444" s="10" t="inlineStr">
        <is>
          <t>08/04/2026</t>
        </is>
      </c>
      <c r="I15444" s="10" t="inlineStr">
        <is>
          <t>17/03/2026</t>
        </is>
      </c>
      <c r="J15444" s="10" t="inlineStr">
        <is>
          <t>Sản xuất / Vận hành sản xuất, Dệt may / Da giày / Thời trang, Thu mua / Vật tư</t>
        </is>
      </c>
      <c r="K15444" s="10" t="inlineStr">
        <is>
          <t>Lên đến 5 Năm</t>
        </is>
      </c>
      <c r="L15444" s="11">
        <f>HYPERLINK("https://careerviet.vn/vi/tim-viec-lam/nv-phat-trien-vai-fabric-developer-chinese-brand.35C65004.html","Xem chi tiết")</f>
        <v/>
      </c>
      <c r="M15444" s="10" t="n"/>
    </row>
    <row r="15445">
      <c r="B15445" s="7" t="n">
        <v>15443</v>
      </c>
      <c r="C15445" t="inlineStr">
        <is>
          <t>Social Content Creator</t>
        </is>
      </c>
      <c r="D15445" t="inlineStr">
        <is>
          <t>Công Ty TNHH Le Nom Việt Nam</t>
        </is>
      </c>
      <c r="E15445" t="inlineStr">
        <is>
          <t>Lương:10 Tr - 14 Tr VND</t>
        </is>
      </c>
      <c r="F15445" t="inlineStr">
        <is>
          <t>Hồ Chí Minh</t>
        </is>
      </c>
      <c r="G15445" t="inlineStr">
        <is>
          <t>10-04-2026</t>
        </is>
      </c>
      <c r="H15445" t="inlineStr">
        <is>
          <t>10/04/2026</t>
        </is>
      </c>
      <c r="I15445" t="inlineStr">
        <is>
          <t>17/03/2026</t>
        </is>
      </c>
      <c r="J15445" t="inlineStr">
        <is>
          <t>Truyền hình / Báo chí / Biên tập, Quảng cáo / Đối ngoại / Truyền Thông, Tiếp thị / Marketing</t>
        </is>
      </c>
      <c r="K15445" t="inlineStr">
        <is>
          <t>1 - 2 Năm</t>
        </is>
      </c>
      <c r="L15445" s="8">
        <f>HYPERLINK("https://careerviet.vn/vi/tim-viec-lam/social-content-creator.35C6BB0A.html","Xem chi tiết")</f>
        <v/>
      </c>
    </row>
    <row r="15446">
      <c r="B15446" s="9" t="n">
        <v>15444</v>
      </c>
      <c r="C15446" s="10" t="inlineStr">
        <is>
          <t>Nhân viên nhân sự</t>
        </is>
      </c>
      <c r="D15446" s="10" t="inlineStr">
        <is>
          <t>Công Ty TNHH Lốp Kumho Việt Nam</t>
        </is>
      </c>
      <c r="E15446" s="10" t="inlineStr">
        <is>
          <t>Lương:Cạnh tranh</t>
        </is>
      </c>
      <c r="F15446" s="10" t="inlineStr">
        <is>
          <t>Bình Dương</t>
        </is>
      </c>
      <c r="G15446" s="10" t="inlineStr">
        <is>
          <t>10-04-2026</t>
        </is>
      </c>
      <c r="H15446" s="10" t="inlineStr">
        <is>
          <t>10/04/2026</t>
        </is>
      </c>
      <c r="I15446" s="10" t="inlineStr">
        <is>
          <t>17/03/2026</t>
        </is>
      </c>
      <c r="J15446" s="10" t="inlineStr">
        <is>
          <t>Nhân sự</t>
        </is>
      </c>
      <c r="K15446" s="10" t="inlineStr">
        <is>
          <t>1 - 2 Năm</t>
        </is>
      </c>
      <c r="L15446" s="11">
        <f>HYPERLINK("https://careerviet.vn/vi/tim-viec-lam/nhan-vien-nhan-su.35C6BA69.html","Xem chi tiết")</f>
        <v/>
      </c>
      <c r="M15446" s="10" t="n"/>
    </row>
    <row r="15447">
      <c r="B15447" s="7" t="n">
        <v>15445</v>
      </c>
      <c r="C15447" t="inlineStr">
        <is>
          <t>Nhân viên Tuyển dụng và Đào tạo</t>
        </is>
      </c>
      <c r="D15447" t="inlineStr">
        <is>
          <t>Công Ty Cổ Phần Eurowindow</t>
        </is>
      </c>
      <c r="E15447" t="inlineStr">
        <is>
          <t>Lương:Cạnh tranh</t>
        </is>
      </c>
      <c r="F15447" t="inlineStr">
        <is>
          <t>Hồ Chí Minh</t>
        </is>
      </c>
      <c r="G15447" t="inlineStr">
        <is>
          <t>29-04-2026</t>
        </is>
      </c>
      <c r="H15447" t="inlineStr">
        <is>
          <t>29/04/2026</t>
        </is>
      </c>
      <c r="I15447" t="inlineStr">
        <is>
          <t>17/03/2026</t>
        </is>
      </c>
      <c r="J15447" t="inlineStr">
        <is>
          <t>Hành chính / Thư ký, Xây dựng, Nhân sự</t>
        </is>
      </c>
      <c r="K15447" t="inlineStr">
        <is>
          <t>1 - 2 Năm</t>
        </is>
      </c>
      <c r="L15447" s="8">
        <f>HYPERLINK("https://careerviet.vn/vi/tim-viec-lam/nhan-vien-tuyen-dung-va-dao-tao.35C6BB37.html","Xem chi tiết")</f>
        <v/>
      </c>
    </row>
    <row r="15448">
      <c r="B15448" s="9" t="n">
        <v>15446</v>
      </c>
      <c r="C15448" s="10" t="inlineStr">
        <is>
          <t>Trade Marketing Executive</t>
        </is>
      </c>
      <c r="D15448" s="10" t="inlineStr">
        <is>
          <t>Công Ty CP Việt Tinh Anh</t>
        </is>
      </c>
      <c r="E15448" s="10" t="inlineStr">
        <is>
          <t>Lương:Cạnh tranh</t>
        </is>
      </c>
      <c r="F15448" s="10" t="inlineStr">
        <is>
          <t>Hà Nội</t>
        </is>
      </c>
      <c r="G15448" s="10" t="inlineStr">
        <is>
          <t>08-04-2026</t>
        </is>
      </c>
      <c r="H15448" s="10" t="inlineStr">
        <is>
          <t>08/04/2026</t>
        </is>
      </c>
      <c r="I15448" s="10" t="inlineStr">
        <is>
          <t>17/03/2026</t>
        </is>
      </c>
      <c r="J15448" s="10" t="inlineStr">
        <is>
          <t>Tiếp thị / Marketing, Bán lẻ / Bán sỉ, Tổ chức sự kiện</t>
        </is>
      </c>
      <c r="K15448" s="10" t="inlineStr">
        <is>
          <t>1 - 3 Năm</t>
        </is>
      </c>
      <c r="L15448" s="11">
        <f>HYPERLINK("https://careerviet.vn/vi/tim-viec-lam/trade-marketing-executive.35C64EE2.html","Xem chi tiết")</f>
        <v/>
      </c>
      <c r="M15448" s="10" t="n"/>
    </row>
    <row r="15449">
      <c r="B15449" s="7" t="n">
        <v>15447</v>
      </c>
      <c r="C15449" t="inlineStr">
        <is>
          <t>Giám Nhà Hàng F&amp;B ( Tiếng Anh giao tiếp trong công việc )</t>
        </is>
      </c>
      <c r="D15449" t="inlineStr">
        <is>
          <t>Công ty TNHH Sản xuất Thương mại &amp; Dịch vụ Hoa Xinh</t>
        </is>
      </c>
      <c r="E15449" t="inlineStr">
        <is>
          <t>Lương:Cạnh tranh</t>
        </is>
      </c>
      <c r="F15449" t="inlineStr">
        <is>
          <t>Hồ Chí Minh</t>
        </is>
      </c>
      <c r="G15449" t="inlineStr">
        <is>
          <t>08-04-2026</t>
        </is>
      </c>
      <c r="H15449" t="inlineStr">
        <is>
          <t>08/04/2026</t>
        </is>
      </c>
      <c r="I15449" t="inlineStr">
        <is>
          <t>17/03/2026</t>
        </is>
      </c>
      <c r="J15449" t="inlineStr">
        <is>
          <t>Nhà hàng / Khách sạn, Bán lẻ / Bán sỉ, Bán hàng / Kinh doanh</t>
        </is>
      </c>
      <c r="K15449" t="inlineStr">
        <is>
          <t>1 - 5 Năm</t>
        </is>
      </c>
      <c r="L15449" s="8">
        <f>HYPERLINK("https://careerviet.vn/vi/tim-viec-lam/giam-nha-hang-f-b-tieng-anh-giao-tiep-trong-cong-viec.35C64F40.html","Xem chi tiết")</f>
        <v/>
      </c>
    </row>
    <row r="15450">
      <c r="B15450" s="9" t="n">
        <v>15448</v>
      </c>
      <c r="C15450" s="10" t="inlineStr">
        <is>
          <t>Nhân viên bảo trì cơ khí / bảo trì điện / điện lạnh (Làm việc tại Đức Hoà, Long An)</t>
        </is>
      </c>
      <c r="D15450" s="10" t="inlineStr">
        <is>
          <t>Công ty cổ phần Nafoods Miền Nam</t>
        </is>
      </c>
      <c r="E15450" s="10" t="inlineStr">
        <is>
          <t>Lương:8 Tr - 12 Tr VND</t>
        </is>
      </c>
      <c r="F15450" s="10" t="inlineStr">
        <is>
          <t>Long An</t>
        </is>
      </c>
      <c r="G15450" s="10" t="inlineStr">
        <is>
          <t>08-04-2026</t>
        </is>
      </c>
      <c r="H15450" s="10" t="inlineStr">
        <is>
          <t>08/04/2026</t>
        </is>
      </c>
      <c r="I15450" s="10" t="inlineStr">
        <is>
          <t>17/03/2026</t>
        </is>
      </c>
      <c r="J15450" s="10" t="inlineStr">
        <is>
          <t>Cơ khí / Ô tô / Tự động hóa, Điện / Điện tử / Điện lạnh / Điện công nghiệp, Bảo trì / Sửa chữa</t>
        </is>
      </c>
      <c r="K15450" s="10" t="inlineStr">
        <is>
          <t>N/A</t>
        </is>
      </c>
      <c r="L15450" s="11">
        <f>HYPERLINK("https://careerviet.vn/vi/tim-viec-lam/nhan-vien-bao-tri-co-khi-bao-tri-dien-dien-lanh-lam-viec-tai-duc-hoa-long-an.35C64FA8.html","Xem chi tiết")</f>
        <v/>
      </c>
      <c r="M15450" s="10" t="n"/>
    </row>
    <row r="15451">
      <c r="B15451" s="7" t="n">
        <v>15449</v>
      </c>
      <c r="C15451" t="inlineStr">
        <is>
          <t>Chuyên Viên Thiết Kế Đồ Họa</t>
        </is>
      </c>
      <c r="D15451" t="inlineStr">
        <is>
          <t>Công Ty CP Vàng Bạc Đá Quý Phú Nhuận - PNJ</t>
        </is>
      </c>
      <c r="E15451" t="inlineStr">
        <is>
          <t>Lương:Cạnh tranh</t>
        </is>
      </c>
      <c r="F15451" t="inlineStr">
        <is>
          <t>Hồ Chí Minh</t>
        </is>
      </c>
      <c r="G15451" t="inlineStr">
        <is>
          <t>19-04-2026</t>
        </is>
      </c>
      <c r="H15451" t="inlineStr">
        <is>
          <t>19/04/2026</t>
        </is>
      </c>
      <c r="I15451" t="inlineStr">
        <is>
          <t>17/03/2026</t>
        </is>
      </c>
      <c r="J15451" t="inlineStr">
        <is>
          <t>Mỹ thuật / Nghệ thuật / Thiết kế, Bán lẻ / Bán sỉ, Dệt may / Da giày / Thời trang</t>
        </is>
      </c>
      <c r="K15451" t="inlineStr">
        <is>
          <t>2 - 5 Năm</t>
        </is>
      </c>
      <c r="L15451" s="8">
        <f>HYPERLINK("https://careerviet.vn/vi/tim-viec-lam/chuyen-vien-thiet-ke-do-hoa.35C6BBA6.html","Xem chi tiết")</f>
        <v/>
      </c>
    </row>
    <row r="15452">
      <c r="B15452" s="9" t="n">
        <v>15450</v>
      </c>
      <c r="C15452" s="10" t="inlineStr">
        <is>
          <t>Chuyên viên thiết kế</t>
        </is>
      </c>
      <c r="D15452" s="10" t="inlineStr">
        <is>
          <t>CÔNG TY CỔ PHẦN TẬP ĐOÀN ONSEN FUJI</t>
        </is>
      </c>
      <c r="E15452" s="10" t="inlineStr">
        <is>
          <t>Lương:12 Tr - 20 Tr VND</t>
        </is>
      </c>
      <c r="F15452" s="10" t="inlineStr">
        <is>
          <t>Hà Nội</t>
        </is>
      </c>
      <c r="G15452" s="10" t="inlineStr">
        <is>
          <t>08-04-2026</t>
        </is>
      </c>
      <c r="H15452" s="10" t="inlineStr">
        <is>
          <t>08/04/2026</t>
        </is>
      </c>
      <c r="I15452" s="10" t="inlineStr">
        <is>
          <t>17/03/2026</t>
        </is>
      </c>
      <c r="J15452" s="10" t="inlineStr">
        <is>
          <t>Du lịch, Mỹ thuật / Nghệ thuật / Thiết kế, Bất động sản</t>
        </is>
      </c>
      <c r="K15452" s="10" t="inlineStr">
        <is>
          <t>3 - 5 Năm</t>
        </is>
      </c>
      <c r="L15452" s="11">
        <f>HYPERLINK("https://careerviet.vn/vi/tim-viec-lam/chuyen-vien-thiet-ke.35C64F77.html","Xem chi tiết")</f>
        <v/>
      </c>
      <c r="M15452" s="10" t="n"/>
    </row>
    <row r="15453">
      <c r="B15453" s="7" t="n">
        <v>15451</v>
      </c>
      <c r="C15453" t="inlineStr">
        <is>
          <t>Nhân viên Kinh doanh – ADX Plywood</t>
        </is>
      </c>
      <c r="D15453" t="inlineStr">
        <is>
          <t>CÔNG TY TNHH SẢN XUẤT XÂY DỰNG ÁNH DƯƠNG XANH</t>
        </is>
      </c>
      <c r="E15453" t="inlineStr">
        <is>
          <t>Lương:10 Tr - 18 Tr VND</t>
        </is>
      </c>
      <c r="F15453" t="inlineStr">
        <is>
          <t>Hồ Chí Minh</t>
        </is>
      </c>
      <c r="G15453" t="inlineStr">
        <is>
          <t>08-04-2026</t>
        </is>
      </c>
      <c r="H15453" t="inlineStr">
        <is>
          <t>08/04/2026</t>
        </is>
      </c>
      <c r="I15453" t="inlineStr">
        <is>
          <t>17/03/2026</t>
        </is>
      </c>
      <c r="J15453" t="inlineStr">
        <is>
          <t>Bán hàng / Kinh doanh, Xuất nhập khẩu, Đồ gỗ</t>
        </is>
      </c>
      <c r="K15453" t="inlineStr">
        <is>
          <t>1 - 2 Năm</t>
        </is>
      </c>
      <c r="L15453" s="8">
        <f>HYPERLINK("https://careerviet.vn/vi/tim-viec-lam/nhan-vien-kinh-doanh-adx-plywood.35C65007.html","Xem chi tiết")</f>
        <v/>
      </c>
    </row>
    <row r="15454">
      <c r="B15454" s="9" t="n">
        <v>15452</v>
      </c>
      <c r="C15454" s="10" t="inlineStr">
        <is>
          <t>VNVC Tân Kiên Bình Chánh-Nhân viên Chăm sóc khách hàng (Lễ tân-Tư vấn-Thu ngân)</t>
        </is>
      </c>
      <c r="D15454" s="10" t="inlineStr">
        <is>
          <t>Công Ty Cổ Phần Vacxin Việt Nam</t>
        </is>
      </c>
      <c r="E15454" s="10" t="inlineStr">
        <is>
          <t>Lương:7 Tr - 8 Tr VND</t>
        </is>
      </c>
      <c r="F15454" s="10" t="inlineStr">
        <is>
          <t>Hồ Chí Minh</t>
        </is>
      </c>
      <c r="G15454" s="10" t="inlineStr">
        <is>
          <t>08-04-2026</t>
        </is>
      </c>
      <c r="H15454" s="10" t="inlineStr">
        <is>
          <t>08/04/2026</t>
        </is>
      </c>
      <c r="I15454" s="10" t="inlineStr">
        <is>
          <t>17/03/2026</t>
        </is>
      </c>
      <c r="J15454" s="10" t="inlineStr">
        <is>
          <t>Y tế / Chăm sóc sức khỏe / Thẩm mỹ / Làm đẹp, Tư vấn, Dịch vụ khách hàng</t>
        </is>
      </c>
      <c r="K15454" s="10" t="inlineStr">
        <is>
          <t>1 - 2 Năm</t>
        </is>
      </c>
      <c r="L15454" s="11">
        <f>HYPERLINK("https://careerviet.vn/vi/tim-viec-lam/vnvc-tan-kien-binh-chanh-nhan-vien-cham-soc-khach-hang-le-tan-tu-van-thu-ngan.35C64EEC.html","Xem chi tiết")</f>
        <v/>
      </c>
      <c r="M15454" s="10" t="n"/>
    </row>
    <row r="15455">
      <c r="B15455" s="7" t="n">
        <v>15453</v>
      </c>
      <c r="C15455" t="inlineStr">
        <is>
          <t>Senior Application Technology (Flexibles packaging)</t>
        </is>
      </c>
      <c r="D15455" t="inlineStr">
        <is>
          <t>Siegwerk company</t>
        </is>
      </c>
      <c r="E15455" t="inlineStr">
        <is>
          <t>Lương:Cạnh tranh</t>
        </is>
      </c>
      <c r="F15455" t="inlineStr">
        <is>
          <t>Bình Dương</t>
        </is>
      </c>
      <c r="G15455" t="inlineStr">
        <is>
          <t>08-04-2026</t>
        </is>
      </c>
      <c r="H15455" t="inlineStr">
        <is>
          <t>08/04/2026</t>
        </is>
      </c>
      <c r="I15455" t="inlineStr">
        <is>
          <t>17/03/2026</t>
        </is>
      </c>
      <c r="J15455" t="inlineStr">
        <is>
          <t>In ấn / Xuất bản, Ngành khác, Hóa học</t>
        </is>
      </c>
      <c r="K15455" t="inlineStr">
        <is>
          <t>3 - 5 Năm</t>
        </is>
      </c>
      <c r="L15455" s="8">
        <f>HYPERLINK("https://careerviet.vn/vi/tim-viec-lam/senior-application-technology-flexibles-packaging.35BAA726.html","Xem chi tiết")</f>
        <v/>
      </c>
    </row>
    <row r="15456">
      <c r="B15456" s="9" t="n">
        <v>15454</v>
      </c>
      <c r="C15456" s="10" t="inlineStr">
        <is>
          <t>VNVC Cái Bè Tiền Giang -Nhân viên Chăm sóc khách hàng (Lễ tân-Tư vấn-Thu ngân)</t>
        </is>
      </c>
      <c r="D15456" s="10" t="inlineStr">
        <is>
          <t>Công Ty Cổ Phần Vacxin Việt Nam</t>
        </is>
      </c>
      <c r="E15456" s="10" t="inlineStr">
        <is>
          <t>Lương:7 Tr - 8 Tr VND</t>
        </is>
      </c>
      <c r="F15456" s="10" t="inlineStr">
        <is>
          <t>Tiền Giang</t>
        </is>
      </c>
      <c r="G15456" s="10" t="inlineStr">
        <is>
          <t>08-04-2026</t>
        </is>
      </c>
      <c r="H15456" s="10" t="inlineStr">
        <is>
          <t>08/04/2026</t>
        </is>
      </c>
      <c r="I15456" s="10" t="inlineStr">
        <is>
          <t>17/03/2026</t>
        </is>
      </c>
      <c r="J15456" s="10" t="inlineStr">
        <is>
          <t>Y tế / Chăm sóc sức khỏe / Thẩm mỹ / Làm đẹp, Tư vấn, Dịch vụ khách hàng</t>
        </is>
      </c>
      <c r="K15456" s="10" t="inlineStr">
        <is>
          <t>1 - 2 Năm</t>
        </is>
      </c>
      <c r="L15456" s="11">
        <f>HYPERLINK("https://careerviet.vn/vi/tim-viec-lam/vnvc-cai-be-tien-giang-nhan-vien-cham-soc-khach-hang-le-tan-tu-van-thu-ngan.35C64BEA.html","Xem chi tiết")</f>
        <v/>
      </c>
      <c r="M15456" s="10" t="n"/>
    </row>
    <row r="15457">
      <c r="B15457" s="7" t="n">
        <v>15455</v>
      </c>
      <c r="C15457" t="inlineStr">
        <is>
          <t>Chuyên viên kiểm toán nội bộ - [BAC A BANK - Ban Kiểm toán Nội bộ]</t>
        </is>
      </c>
      <c r="D15457" t="inlineStr">
        <is>
          <t>Ngân Hàng Thương mại cổ phần Bắc Á- BAC A BANK</t>
        </is>
      </c>
      <c r="E15457" t="inlineStr">
        <is>
          <t>Lương:Cạnh tranh</t>
        </is>
      </c>
      <c r="F15457" t="inlineStr">
        <is>
          <t>Hà Nội</t>
        </is>
      </c>
      <c r="G15457" t="inlineStr">
        <is>
          <t>08-04-2026</t>
        </is>
      </c>
      <c r="H15457" t="inlineStr">
        <is>
          <t>08/04/2026</t>
        </is>
      </c>
      <c r="I15457" t="inlineStr">
        <is>
          <t>17/03/2026</t>
        </is>
      </c>
      <c r="J15457" t="inlineStr">
        <is>
          <t>Kế toán / Kiểm toán, Ngân hàng</t>
        </is>
      </c>
      <c r="K15457" t="inlineStr">
        <is>
          <t>2 - 5 Năm</t>
        </is>
      </c>
      <c r="L15457" s="8">
        <f>HYPERLINK("https://careerviet.vn/vi/tim-viec-lam/chuyen-vien-kiem-toan-noi-bo-bac-a-bank-ban-kiem-toan-noi-bo.35C64EA7.html","Xem chi tiết")</f>
        <v/>
      </c>
    </row>
    <row r="15458">
      <c r="B15458" s="9" t="n">
        <v>15456</v>
      </c>
      <c r="C15458" s="10" t="inlineStr">
        <is>
          <t>126471 - M&amp;E Engineer - Construction</t>
        </is>
      </c>
      <c r="D15458" s="10" t="inlineStr">
        <is>
          <t>RGF HR Agent Vietnam Co., LTD</t>
        </is>
      </c>
      <c r="E15458" s="10" t="inlineStr">
        <is>
          <t>Lương:15 Tr - 21 Tr VND</t>
        </is>
      </c>
      <c r="F15458" s="10" t="inlineStr">
        <is>
          <t>Hồ Chí Minh</t>
        </is>
      </c>
      <c r="G15458" s="10" t="inlineStr">
        <is>
          <t>08-04-2026</t>
        </is>
      </c>
      <c r="H15458" s="10" t="inlineStr">
        <is>
          <t>08/04/2026</t>
        </is>
      </c>
      <c r="I15458" s="10" t="inlineStr">
        <is>
          <t>17/03/2026</t>
        </is>
      </c>
      <c r="J15458" s="10" t="inlineStr">
        <is>
          <t>Kiến trúc, Xây dựng</t>
        </is>
      </c>
      <c r="K15458" s="10" t="inlineStr">
        <is>
          <t>Trên 5 Năm</t>
        </is>
      </c>
      <c r="L15458" s="11">
        <f>HYPERLINK("https://careerviet.vn/vi/tim-viec-lam/126471-m-e-engineer-construction.35C64EE8.html","Xem chi tiết")</f>
        <v/>
      </c>
      <c r="M15458" s="10" t="n"/>
    </row>
    <row r="15459">
      <c r="B15459" s="7" t="n">
        <v>15457</v>
      </c>
      <c r="C15459" t="inlineStr">
        <is>
          <t>Nhân viên bán hàng tại Liên Chiểu - Đà Nẵng</t>
        </is>
      </c>
      <c r="D15459" t="inlineStr">
        <is>
          <t>HMK Eyewear</t>
        </is>
      </c>
      <c r="E15459" t="inlineStr">
        <is>
          <t>Lương:8 Tr - 15 Tr VND</t>
        </is>
      </c>
      <c r="F15459" t="inlineStr">
        <is>
          <t>Đà Nẵng</t>
        </is>
      </c>
      <c r="G15459" t="inlineStr">
        <is>
          <t>08-04-2026</t>
        </is>
      </c>
      <c r="H15459" t="inlineStr">
        <is>
          <t>08/04/2026</t>
        </is>
      </c>
      <c r="I15459" t="inlineStr">
        <is>
          <t>17/03/2026</t>
        </is>
      </c>
      <c r="J15459" t="inlineStr">
        <is>
          <t>Tiếp thị / Marketing, Bán lẻ / Bán sỉ, Bán hàng / Kinh doanh</t>
        </is>
      </c>
      <c r="K15459" t="inlineStr">
        <is>
          <t>Chưa có kinh nghiệm</t>
        </is>
      </c>
      <c r="L15459" s="8">
        <f>HYPERLINK("https://careerviet.vn/vi/tim-viec-lam/nhan-vien-ban-hang-tai-lien-chieu-da-nang.35C65036.html","Xem chi tiết")</f>
        <v/>
      </c>
    </row>
    <row r="15460">
      <c r="B15460" s="9" t="n">
        <v>15458</v>
      </c>
      <c r="C15460" s="10" t="inlineStr">
        <is>
          <t>KỸ SƯ THIẾT KẾ MÁY</t>
        </is>
      </c>
      <c r="D15460" s="10" t="inlineStr">
        <is>
          <t>CÔNG TY CỔ PHẦN TẬP ĐOÀN KỸ THUẬT VÀ CÔNG NGHIỆP VIỆT NAM TẠI HỒ CHÍ MINH</t>
        </is>
      </c>
      <c r="E15460" s="10" t="inlineStr">
        <is>
          <t>Lương:9 Tr - 15 Tr VND</t>
        </is>
      </c>
      <c r="F15460" s="10" t="inlineStr">
        <is>
          <t>Bình Dương</t>
        </is>
      </c>
      <c r="G15460" s="10" t="inlineStr">
        <is>
          <t>08-04-2026</t>
        </is>
      </c>
      <c r="H15460" s="10" t="inlineStr">
        <is>
          <t>08/04/2026</t>
        </is>
      </c>
      <c r="I15460" s="10" t="inlineStr">
        <is>
          <t>17/03/2026</t>
        </is>
      </c>
      <c r="J15460" s="10" t="inlineStr">
        <is>
          <t>Cơ khí / Ô tô / Tự động hóa, Điện / Điện tử / Điện lạnh / Điện công nghiệp</t>
        </is>
      </c>
      <c r="K15460" s="10" t="inlineStr">
        <is>
          <t>2 - 3 Năm</t>
        </is>
      </c>
      <c r="L15460" s="11">
        <f>HYPERLINK("https://careerviet.vn/vi/tim-viec-lam/ky-su-thiet-ke-may.35C49259.html","Xem chi tiết")</f>
        <v/>
      </c>
      <c r="M15460" s="10" t="n"/>
    </row>
    <row r="15461">
      <c r="B15461" s="7" t="n">
        <v>15459</v>
      </c>
      <c r="C15461" t="inlineStr">
        <is>
          <t>CRM Data Analytics Manager</t>
        </is>
      </c>
      <c r="D15461" t="inlineStr">
        <is>
          <t>Công ty Cổ phần Sữa VitaDairy Việt Nam</t>
        </is>
      </c>
      <c r="E15461" t="inlineStr">
        <is>
          <t>Lương:Cạnh tranh</t>
        </is>
      </c>
      <c r="F15461" t="inlineStr">
        <is>
          <t>Hồ Chí Minh</t>
        </is>
      </c>
      <c r="G15461" t="inlineStr">
        <is>
          <t>08-04-2026</t>
        </is>
      </c>
      <c r="H15461" t="inlineStr">
        <is>
          <t>08/04/2026</t>
        </is>
      </c>
      <c r="I15461" t="inlineStr">
        <is>
          <t>17/03/2026</t>
        </is>
      </c>
      <c r="J15461" t="inlineStr">
        <is>
          <t>Tài chính / Đầu tư, Thống kê, CNTT - Phần mềm</t>
        </is>
      </c>
      <c r="K15461" t="inlineStr">
        <is>
          <t>Trên 5 Năm</t>
        </is>
      </c>
      <c r="L15461" s="8">
        <f>HYPERLINK("https://careerviet.vn/vi/tim-viec-lam/crm-data-analytics-manager.35C64E99.html","Xem chi tiết")</f>
        <v/>
      </c>
    </row>
    <row r="15462">
      <c r="B15462" s="9" t="n">
        <v>15460</v>
      </c>
      <c r="C15462" s="10" t="inlineStr">
        <is>
          <t>126605 - Japanese Speaking - M&amp;E Design Engineer - Construction</t>
        </is>
      </c>
      <c r="D15462" s="10" t="inlineStr">
        <is>
          <t>RGF HR Agent Vietnam Co., LTD</t>
        </is>
      </c>
      <c r="E15462" s="10" t="inlineStr">
        <is>
          <t>Lương:29 Tr - 40 Tr VND</t>
        </is>
      </c>
      <c r="F15462" s="10" t="inlineStr">
        <is>
          <t>Hồ Chí Minh</t>
        </is>
      </c>
      <c r="G15462" s="10" t="inlineStr">
        <is>
          <t>08-04-2026</t>
        </is>
      </c>
      <c r="H15462" s="10" t="inlineStr">
        <is>
          <t>08/04/2026</t>
        </is>
      </c>
      <c r="I15462" s="10" t="inlineStr">
        <is>
          <t>17/03/2026</t>
        </is>
      </c>
      <c r="J15462" s="10" t="inlineStr">
        <is>
          <t>Kiến trúc, Xây dựng</t>
        </is>
      </c>
      <c r="K15462" s="10" t="inlineStr">
        <is>
          <t>Trên 5 Năm</t>
        </is>
      </c>
      <c r="L15462" s="11">
        <f>HYPERLINK("https://careerviet.vn/vi/tim-viec-lam/126605-japanese-speaking-m-e-design-engineer-construction.35C64EF5.html","Xem chi tiết")</f>
        <v/>
      </c>
      <c r="M15462" s="10" t="n"/>
    </row>
    <row r="15463">
      <c r="B15463" s="7" t="n">
        <v>15461</v>
      </c>
      <c r="C15463" t="inlineStr">
        <is>
          <t>Tekla cum Estimating Engineer</t>
        </is>
      </c>
      <c r="D15463" t="inlineStr">
        <is>
          <t>PEB STEEL BUILDINGS CO., LTD.</t>
        </is>
      </c>
      <c r="E15463" t="inlineStr">
        <is>
          <t>Lương:Cạnh tranh</t>
        </is>
      </c>
      <c r="F15463" t="inlineStr">
        <is>
          <t>Hồ Chí Minh</t>
        </is>
      </c>
      <c r="G15463" t="inlineStr">
        <is>
          <t>08-04-2026</t>
        </is>
      </c>
      <c r="H15463" t="inlineStr">
        <is>
          <t>08/04/2026</t>
        </is>
      </c>
      <c r="I15463" t="inlineStr">
        <is>
          <t>17/03/2026</t>
        </is>
      </c>
      <c r="J15463" t="inlineStr">
        <is>
          <t>Xây dựng</t>
        </is>
      </c>
      <c r="K15463" t="inlineStr">
        <is>
          <t>1 - 3 Năm</t>
        </is>
      </c>
      <c r="L15463" s="8">
        <f>HYPERLINK("https://careerviet.vn/vi/tim-viec-lam/tekla-cum-estimating-engineer.35C64F61.html","Xem chi tiết")</f>
        <v/>
      </c>
    </row>
    <row r="15464">
      <c r="B15464" s="9" t="n">
        <v>15462</v>
      </c>
      <c r="C15464" s="10" t="inlineStr">
        <is>
          <t>Packaging Development Engineer</t>
        </is>
      </c>
      <c r="D15464" s="10" t="inlineStr">
        <is>
          <t>Công ty Omron Healthcare Manufacturing Việt Nam</t>
        </is>
      </c>
      <c r="E15464" s="10" t="inlineStr">
        <is>
          <t>Lương:Cạnh tranh</t>
        </is>
      </c>
      <c r="F15464" s="10" t="inlineStr">
        <is>
          <t>Bình Dương</t>
        </is>
      </c>
      <c r="G15464" s="10" t="inlineStr">
        <is>
          <t>08-04-2026</t>
        </is>
      </c>
      <c r="H15464" s="10" t="inlineStr">
        <is>
          <t>08/04/2026</t>
        </is>
      </c>
      <c r="I15464" s="10" t="inlineStr">
        <is>
          <t>17/03/2026</t>
        </is>
      </c>
      <c r="J15464" s="10" t="inlineStr">
        <is>
          <t>Điện / Điện tử / Điện lạnh / Điện công nghiệp, Mỹ thuật / Nghệ thuật / Thiết kế, Biên phiên dịch</t>
        </is>
      </c>
      <c r="K15464" s="10" t="inlineStr">
        <is>
          <t>2 - 4 Năm</t>
        </is>
      </c>
      <c r="L15464" s="11">
        <f>HYPERLINK("https://careerviet.vn/vi/tim-viec-lam/packaging-development-engineer.35C64F43.html","Xem chi tiết")</f>
        <v/>
      </c>
      <c r="M15464" s="10" t="n"/>
    </row>
    <row r="15465">
      <c r="B15465" s="7" t="n">
        <v>15463</v>
      </c>
      <c r="C15465" t="inlineStr">
        <is>
          <t>TRƯỞNG NHÓM SẢN XUẤT</t>
        </is>
      </c>
      <c r="D15465" t="inlineStr">
        <is>
          <t>Công Ty TNHH Ortholite Việt Nam</t>
        </is>
      </c>
      <c r="E15465" t="inlineStr">
        <is>
          <t>Lương:Cạnh tranh</t>
        </is>
      </c>
      <c r="F15465" t="inlineStr">
        <is>
          <t>Bình Dương</t>
        </is>
      </c>
      <c r="G15465" t="inlineStr">
        <is>
          <t>08-04-2026</t>
        </is>
      </c>
      <c r="H15465" t="inlineStr">
        <is>
          <t>08/04/2026</t>
        </is>
      </c>
      <c r="I15465" t="inlineStr">
        <is>
          <t>17/03/2026</t>
        </is>
      </c>
      <c r="J15465" t="inlineStr">
        <is>
          <t>Dệt may / Da giày / Thời trang</t>
        </is>
      </c>
      <c r="K15465" t="inlineStr">
        <is>
          <t>2 - 3 Năm</t>
        </is>
      </c>
      <c r="L15465" s="8">
        <f>HYPERLINK("https://careerviet.vn/vi/tim-viec-lam/truong-nhom-san-xuat.35C64F37.html","Xem chi tiết")</f>
        <v/>
      </c>
    </row>
    <row r="15466">
      <c r="B15466" s="9" t="n">
        <v>15464</v>
      </c>
      <c r="C15466" s="10" t="inlineStr">
        <is>
          <t>Dự toán Xây dựng/Nội thất</t>
        </is>
      </c>
      <c r="D15466" s="10" t="inlineStr">
        <is>
          <t>Công ty Cổ phần Xhome Cần Thơ</t>
        </is>
      </c>
      <c r="E15466" s="10" t="inlineStr">
        <is>
          <t>Lương:10 Tr - 15 Tr VND</t>
        </is>
      </c>
      <c r="F15466" s="10" t="inlineStr">
        <is>
          <t>Cần ThơKiên Giang</t>
        </is>
      </c>
      <c r="G15466" s="10" t="inlineStr">
        <is>
          <t>08-04-2026</t>
        </is>
      </c>
      <c r="H15466" s="10" t="inlineStr">
        <is>
          <t>08/04/2026</t>
        </is>
      </c>
      <c r="I15466" s="10" t="inlineStr">
        <is>
          <t>17/03/2026</t>
        </is>
      </c>
      <c r="J15466" s="10" t="inlineStr">
        <is>
          <t>Kiến trúc, Xây dựng</t>
        </is>
      </c>
      <c r="K15466" s="10" t="inlineStr">
        <is>
          <t>Chưa có kinh nghiệm</t>
        </is>
      </c>
      <c r="L15466" s="11">
        <f>HYPERLINK("https://careerviet.vn/vi/tim-viec-lam/du-toan-xay-dung-noi-that.35C64EDA.html","Xem chi tiết")</f>
        <v/>
      </c>
      <c r="M15466" s="10" t="n"/>
    </row>
    <row r="15467">
      <c r="B15467" s="7" t="n">
        <v>15465</v>
      </c>
      <c r="C15467" t="inlineStr">
        <is>
          <t>Performance marketing (Social growth/Remote)</t>
        </is>
      </c>
      <c r="D15467" t="inlineStr">
        <is>
          <t>CÔNG TY TNHH SCIFATE VN</t>
        </is>
      </c>
      <c r="E15467" t="inlineStr">
        <is>
          <t>Lương:Cạnh tranh</t>
        </is>
      </c>
      <c r="F15467" t="inlineStr">
        <is>
          <t>Hà Nội</t>
        </is>
      </c>
      <c r="G15467" t="inlineStr">
        <is>
          <t>08-04-2026</t>
        </is>
      </c>
      <c r="H15467" t="inlineStr">
        <is>
          <t>08/04/2026</t>
        </is>
      </c>
      <c r="I15467" t="inlineStr">
        <is>
          <t>17/03/2026</t>
        </is>
      </c>
      <c r="J15467" t="inlineStr">
        <is>
          <t>Tiếp thị / Marketing</t>
        </is>
      </c>
      <c r="K15467" t="inlineStr">
        <is>
          <t>Trên 1 Năm</t>
        </is>
      </c>
      <c r="L15467" s="8">
        <f>HYPERLINK("https://careerviet.vn/vi/tim-viec-lam/performance-marketing-social-growth-remote.35C65019.html","Xem chi tiết")</f>
        <v/>
      </c>
    </row>
    <row r="15468">
      <c r="B15468" s="9" t="n">
        <v>15466</v>
      </c>
      <c r="C15468" s="10" t="inlineStr">
        <is>
          <t>[Hà Tĩnh] CV/CVC/Giám đốc Quan hệ Khách hàng Doanh nghiệp</t>
        </is>
      </c>
      <c r="D15468" s="10" t="inlineStr">
        <is>
          <t>Ngân hàng TMCP Lộc Phát Việt Nam (LPBank)</t>
        </is>
      </c>
      <c r="E15468" s="10" t="inlineStr">
        <is>
          <t>Lương:Cạnh tranh</t>
        </is>
      </c>
      <c r="F15468" s="10" t="inlineStr">
        <is>
          <t>Hà Tĩnh</t>
        </is>
      </c>
      <c r="G15468" s="10" t="inlineStr">
        <is>
          <t>08-04-2026</t>
        </is>
      </c>
      <c r="H15468" s="10" t="inlineStr">
        <is>
          <t>08/04/2026</t>
        </is>
      </c>
      <c r="I15468" s="10" t="inlineStr">
        <is>
          <t>17/03/2026</t>
        </is>
      </c>
      <c r="J15468" s="10" t="inlineStr">
        <is>
          <t>Bán hàng / Kinh doanh, Bất động sản, Bảo hiểm</t>
        </is>
      </c>
      <c r="K15468" s="10" t="inlineStr">
        <is>
          <t>Trên 1 Năm</t>
        </is>
      </c>
      <c r="L15468" s="11">
        <f>HYPERLINK("https://careerviet.vn/vi/tim-viec-lam/ha-tinh-cv-cvc-giam-doc-quan-he-khach-hang-doanh-nghiep.35C64EFB.html","Xem chi tiết")</f>
        <v/>
      </c>
      <c r="M15468" s="10" t="n"/>
    </row>
    <row r="15469">
      <c r="B15469" s="7" t="n">
        <v>15467</v>
      </c>
      <c r="C15469" t="inlineStr">
        <is>
          <t>NHÂN VIÊN QUAY DỰNG VIDEO</t>
        </is>
      </c>
      <c r="D15469" t="inlineStr">
        <is>
          <t>CÔNG TY TNHH TƯ VẤN KIẾN TRÚC TLI HÀ NỘI</t>
        </is>
      </c>
      <c r="E15469" t="inlineStr">
        <is>
          <t>Lương:10 Tr - 15 Tr VND</t>
        </is>
      </c>
      <c r="F15469" t="inlineStr">
        <is>
          <t>Hà Nội</t>
        </is>
      </c>
      <c r="G15469" t="inlineStr">
        <is>
          <t>08-04-2026</t>
        </is>
      </c>
      <c r="H15469" t="inlineStr">
        <is>
          <t>08/04/2026</t>
        </is>
      </c>
      <c r="I15469" t="inlineStr">
        <is>
          <t>17/03/2026</t>
        </is>
      </c>
      <c r="J15469" t="inlineStr">
        <is>
          <t>Sản xuất / Vận hành sản xuất, Kiến trúc, Nội ngoại thất</t>
        </is>
      </c>
      <c r="K15469" t="inlineStr">
        <is>
          <t>2 - 3 Năm</t>
        </is>
      </c>
      <c r="L15469" s="8">
        <f>HYPERLINK("https://careerviet.vn/vi/tim-viec-lam/nhan-vien-quay-dung-video.35C64FD6.html","Xem chi tiết")</f>
        <v/>
      </c>
    </row>
    <row r="15470">
      <c r="B15470" s="9" t="n">
        <v>15468</v>
      </c>
      <c r="C15470" s="10" t="inlineStr">
        <is>
          <t>Chuyên Viên Phân Tích Đầu Tư</t>
        </is>
      </c>
      <c r="D15470" s="10" t="inlineStr">
        <is>
          <t>CÔNG TY CỔ PHẦN EUROWINDOW HOLDING</t>
        </is>
      </c>
      <c r="E15470" s="10" t="inlineStr">
        <is>
          <t>Lương:Cạnh tranh</t>
        </is>
      </c>
      <c r="F15470" s="10" t="inlineStr">
        <is>
          <t>Hà Nội</t>
        </is>
      </c>
      <c r="G15470" s="10" t="inlineStr">
        <is>
          <t>08-04-2026</t>
        </is>
      </c>
      <c r="H15470" s="10" t="inlineStr">
        <is>
          <t>08/04/2026</t>
        </is>
      </c>
      <c r="I15470" s="10" t="inlineStr">
        <is>
          <t>17/03/2026</t>
        </is>
      </c>
      <c r="J15470" s="10" t="inlineStr">
        <is>
          <t>Tài chính / Đầu tư</t>
        </is>
      </c>
      <c r="K15470" s="10" t="inlineStr">
        <is>
          <t>3 - 10 Năm</t>
        </is>
      </c>
      <c r="L15470" s="11">
        <f>HYPERLINK("https://careerviet.vn/vi/tim-viec-lam/chuyen-vien-phan-tich-dau-tu.35C64FC8.html","Xem chi tiết")</f>
        <v/>
      </c>
      <c r="M15470" s="10" t="n"/>
    </row>
    <row r="15471">
      <c r="B15471" s="7" t="n">
        <v>15469</v>
      </c>
      <c r="C15471" t="inlineStr">
        <is>
          <t>SALE VẬT TƯ Y TẾ (MẢNG TIM MẠCH CAN THIỆP)</t>
        </is>
      </c>
      <c r="D15471" t="inlineStr">
        <is>
          <t>Công ty Cổ Phần Trang Thiết Bị Y Tế Trọng Tín</t>
        </is>
      </c>
      <c r="E15471" t="inlineStr">
        <is>
          <t>Lương:15 Tr - 25 Tr VND</t>
        </is>
      </c>
      <c r="F15471" t="inlineStr">
        <is>
          <t>Hồ Chí Minh</t>
        </is>
      </c>
      <c r="G15471" t="inlineStr">
        <is>
          <t>08-04-2026</t>
        </is>
      </c>
      <c r="H15471" t="inlineStr">
        <is>
          <t>08/04/2026</t>
        </is>
      </c>
      <c r="I15471" t="inlineStr">
        <is>
          <t>17/03/2026</t>
        </is>
      </c>
      <c r="J15471" t="inlineStr">
        <is>
          <t>Bán hàng / Kinh doanh, Y tế / Chăm sóc sức khỏe / Thẩm mỹ / Làm đẹp</t>
        </is>
      </c>
      <c r="K15471" t="inlineStr">
        <is>
          <t>1 - 2 Năm</t>
        </is>
      </c>
      <c r="L15471" s="8">
        <f>HYPERLINK("https://careerviet.vn/vi/tim-viec-lam/sale-vat-tu-y-te-mang-tim-mach-can-thiep.35C64FD9.html","Xem chi tiết")</f>
        <v/>
      </c>
    </row>
    <row r="15472">
      <c r="B15472" s="9" t="n">
        <v>15470</v>
      </c>
      <c r="C15472" s="10" t="inlineStr">
        <is>
          <t>Giám Nhà Hàng F&amp;B ( Tiếng Hàn Cơ Bản)</t>
        </is>
      </c>
      <c r="D15472" s="10" t="inlineStr">
        <is>
          <t>Công ty TNHH Sản xuất Thương mại &amp; Dịch vụ Hoa Xinh</t>
        </is>
      </c>
      <c r="E15472" s="10" t="inlineStr">
        <is>
          <t>Lương:Cạnh tranh</t>
        </is>
      </c>
      <c r="F15472" s="10" t="inlineStr">
        <is>
          <t>Hồ Chí Minh</t>
        </is>
      </c>
      <c r="G15472" s="10" t="inlineStr">
        <is>
          <t>08-04-2026</t>
        </is>
      </c>
      <c r="H15472" s="10" t="inlineStr">
        <is>
          <t>08/04/2026</t>
        </is>
      </c>
      <c r="I15472" s="10" t="inlineStr">
        <is>
          <t>17/03/2026</t>
        </is>
      </c>
      <c r="J15472" s="10" t="inlineStr">
        <is>
          <t>Thực phẩm &amp; Đồ uống, Biên phiên dịch, Nhà hàng / Khách sạn</t>
        </is>
      </c>
      <c r="K15472" s="10" t="inlineStr">
        <is>
          <t>1 - 5 Năm</t>
        </is>
      </c>
      <c r="L15472" s="11">
        <f>HYPERLINK("https://careerviet.vn/vi/tim-viec-lam/giam-nha-hang-f-b-tieng-han-co-ban.35C64EA6.html","Xem chi tiết")</f>
        <v/>
      </c>
      <c r="M15472" s="10" t="n"/>
    </row>
    <row r="15473">
      <c r="B15473" s="7" t="n">
        <v>15471</v>
      </c>
      <c r="C15473" t="inlineStr">
        <is>
          <t>Giám Sát Vận Hành - Bắc Ninh/Phú Thọ</t>
        </is>
      </c>
      <c r="D15473" t="inlineStr">
        <is>
          <t>CÔNG TY CỔ PHẦN DI CHUYỂN VÀ THÔNG MINH GSM</t>
        </is>
      </c>
      <c r="E15473" t="inlineStr">
        <is>
          <t>Lương:15 Tr - 20 Tr VND</t>
        </is>
      </c>
      <c r="F15473" t="inlineStr">
        <is>
          <t>Bắc Ninh</t>
        </is>
      </c>
      <c r="G15473" t="inlineStr">
        <is>
          <t>08-04-2026</t>
        </is>
      </c>
      <c r="H15473" t="inlineStr">
        <is>
          <t>08/04/2026</t>
        </is>
      </c>
      <c r="I15473" t="inlineStr">
        <is>
          <t>17/03/2026</t>
        </is>
      </c>
      <c r="J15473" t="inlineStr">
        <is>
          <t>Vận chuyển / Giao nhận / Kho vận, Quản lý điều hành, Cơ khí / Ô tô / Tự động hóa</t>
        </is>
      </c>
      <c r="K15473" t="inlineStr">
        <is>
          <t>3 - 10 Năm</t>
        </is>
      </c>
      <c r="L15473" s="8">
        <f>HYPERLINK("https://careerviet.vn/vi/tim-viec-lam/giam-sat-van-hanh-bac-ninh-phu-tho.35C64B1C.html","Xem chi tiết")</f>
        <v/>
      </c>
    </row>
    <row r="15474">
      <c r="B15474" s="9" t="n">
        <v>15472</v>
      </c>
      <c r="C15474" s="10" t="inlineStr">
        <is>
          <t>Nhân viên Phòng cháy chữa cháy</t>
        </is>
      </c>
      <c r="D15474" s="10" t="inlineStr">
        <is>
          <t>Tập Đoàn Kim Tín</t>
        </is>
      </c>
      <c r="E15474" s="10" t="inlineStr">
        <is>
          <t>Lương:Cạnh tranh</t>
        </is>
      </c>
      <c r="F15474" s="10" t="inlineStr">
        <is>
          <t>Hồ Chí Minh</t>
        </is>
      </c>
      <c r="G15474" s="10" t="inlineStr">
        <is>
          <t>08-04-2026</t>
        </is>
      </c>
      <c r="H15474" s="10" t="inlineStr">
        <is>
          <t>08/04/2026</t>
        </is>
      </c>
      <c r="I15474" s="10" t="inlineStr">
        <is>
          <t>17/03/2026</t>
        </is>
      </c>
      <c r="J15474" s="10" t="inlineStr">
        <is>
          <t>An toàn lao động, Quản lý chất lượng (QA/QC)</t>
        </is>
      </c>
      <c r="K15474" s="10" t="inlineStr">
        <is>
          <t>3 - 5 Năm</t>
        </is>
      </c>
      <c r="L15474" s="11">
        <f>HYPERLINK("https://careerviet.vn/vi/tim-viec-lam/nhan-vien-phong-chay-chua-chay.35C64FD2.html","Xem chi tiết")</f>
        <v/>
      </c>
      <c r="M15474" s="10" t="n"/>
    </row>
    <row r="15475">
      <c r="B15475" s="7" t="n">
        <v>15473</v>
      </c>
      <c r="C15475" t="inlineStr">
        <is>
          <t>VNVC Cai Lậy Tiền Giang-Nhân viên Chăm sóc khách hàng (Lễ tân-Tư vấn-Thu ngân)</t>
        </is>
      </c>
      <c r="D15475" t="inlineStr">
        <is>
          <t>Công Ty Cổ Phần Vacxin Việt Nam</t>
        </is>
      </c>
      <c r="E15475" t="inlineStr">
        <is>
          <t>Lương:7 Tr - 8 Tr VND</t>
        </is>
      </c>
      <c r="F15475" t="inlineStr">
        <is>
          <t>Tiền Giang</t>
        </is>
      </c>
      <c r="G15475" t="inlineStr">
        <is>
          <t>08-04-2026</t>
        </is>
      </c>
      <c r="H15475" t="inlineStr">
        <is>
          <t>08/04/2026</t>
        </is>
      </c>
      <c r="I15475" t="inlineStr">
        <is>
          <t>17/03/2026</t>
        </is>
      </c>
      <c r="J15475" t="inlineStr">
        <is>
          <t>Y tế / Chăm sóc sức khỏe / Thẩm mỹ / Làm đẹp, Tư vấn, Dịch vụ khách hàng</t>
        </is>
      </c>
      <c r="K15475" t="inlineStr">
        <is>
          <t>1 - 2 Năm</t>
        </is>
      </c>
      <c r="L15475" s="8">
        <f>HYPERLINK("https://careerviet.vn/vi/tim-viec-lam/vnvc-cai-lay-tien-giang-nhan-vien-cham-soc-khach-hang-le-tan-tu-van-thu-ngan.35C64ED6.html","Xem chi tiết")</f>
        <v/>
      </c>
    </row>
    <row r="15476">
      <c r="B15476" s="9" t="n">
        <v>15474</v>
      </c>
      <c r="C15476" s="10" t="inlineStr">
        <is>
          <t>Product Manager (Medical Device)</t>
        </is>
      </c>
      <c r="D15476" s="10" t="inlineStr">
        <is>
          <t>HR Vietnam’s ESS Client</t>
        </is>
      </c>
      <c r="E15476" s="10" t="inlineStr">
        <is>
          <t>Lương:Cạnh tranh</t>
        </is>
      </c>
      <c r="F15476" s="10" t="inlineStr">
        <is>
          <t>Hồ Chí Minh</t>
        </is>
      </c>
      <c r="G15476" s="10" t="inlineStr">
        <is>
          <t>08-04-2026</t>
        </is>
      </c>
      <c r="H15476" s="10" t="inlineStr">
        <is>
          <t>08/04/2026</t>
        </is>
      </c>
      <c r="I15476" s="10" t="inlineStr">
        <is>
          <t>17/03/2026</t>
        </is>
      </c>
      <c r="J15476" s="10" t="inlineStr">
        <is>
          <t>Y tế / Chăm sóc sức khỏe / Thẩm mỹ / Làm đẹp, Tiếp thị / Marketing</t>
        </is>
      </c>
      <c r="K15476" s="10" t="inlineStr">
        <is>
          <t>4 - 10 Năm</t>
        </is>
      </c>
      <c r="L15476" s="11">
        <f>HYPERLINK("https://careerviet.vn/vi/tim-viec-lam/product-manager-medical-device.35C64F94.html","Xem chi tiết")</f>
        <v/>
      </c>
      <c r="M15476" s="10" t="n"/>
    </row>
    <row r="15477">
      <c r="B15477" s="7" t="n">
        <v>15475</v>
      </c>
      <c r="C15477" t="inlineStr">
        <is>
          <t>TRƯỞNG NHÓM TRÌNH DƯỢC VIÊN KÊNH ETC</t>
        </is>
      </c>
      <c r="D15477" t="inlineStr">
        <is>
          <t>CÔNG TY CỔ PHẦN GIẢI PHÁP GENE - GENE SOLUTIONS</t>
        </is>
      </c>
      <c r="E15477" t="inlineStr">
        <is>
          <t>Lương:Cạnh tranh</t>
        </is>
      </c>
      <c r="F15477" t="inlineStr">
        <is>
          <t>Khánh Hòa</t>
        </is>
      </c>
      <c r="G15477" t="inlineStr">
        <is>
          <t>08-04-2026</t>
        </is>
      </c>
      <c r="H15477" t="inlineStr">
        <is>
          <t>08/04/2026</t>
        </is>
      </c>
      <c r="I15477" t="inlineStr">
        <is>
          <t>17/03/2026</t>
        </is>
      </c>
      <c r="J15477" t="inlineStr">
        <is>
          <t>Dược phẩm/ Hóa Mỹ Phẩm, Y tế / Chăm sóc sức khỏe / Thẩm mỹ / Làm đẹp</t>
        </is>
      </c>
      <c r="K15477" t="inlineStr">
        <is>
          <t>3 - 5 Năm</t>
        </is>
      </c>
      <c r="L15477" s="8">
        <f>HYPERLINK("https://careerviet.vn/vi/tim-viec-lam/truong-nhom-trinh-duoc-vien-kenh-etc.35C64FD8.html","Xem chi tiết")</f>
        <v/>
      </c>
    </row>
    <row r="15478">
      <c r="B15478" s="9" t="n">
        <v>15476</v>
      </c>
      <c r="C15478" s="10" t="inlineStr">
        <is>
          <t>QC Inspector – Finishing (Dimension)</t>
        </is>
      </c>
      <c r="D15478" s="10" t="inlineStr">
        <is>
          <t>PEB STEEL BUILDINGS CO., LTD.</t>
        </is>
      </c>
      <c r="E15478" s="10" t="inlineStr">
        <is>
          <t>Lương:Cạnh tranh</t>
        </is>
      </c>
      <c r="F15478" s="10" t="inlineStr">
        <is>
          <t>Bà Rịa - Vũng Tàu</t>
        </is>
      </c>
      <c r="G15478" s="10" t="inlineStr">
        <is>
          <t>08-04-2026</t>
        </is>
      </c>
      <c r="H15478" s="10" t="inlineStr">
        <is>
          <t>08/04/2026</t>
        </is>
      </c>
      <c r="I15478" s="10" t="inlineStr">
        <is>
          <t>17/03/2026</t>
        </is>
      </c>
      <c r="J15478" s="10" t="inlineStr">
        <is>
          <t>Cơ khí / Ô tô / Tự động hóa, Sản xuất / Vận hành sản xuất, Xây dựng</t>
        </is>
      </c>
      <c r="K15478" s="10" t="inlineStr">
        <is>
          <t>Lên đến 1 Năm</t>
        </is>
      </c>
      <c r="L15478" s="11">
        <f>HYPERLINK("https://careerviet.vn/vi/tim-viec-lam/qc-inspector-finishing-dimension.35C64F72.html","Xem chi tiết")</f>
        <v/>
      </c>
      <c r="M15478" s="10" t="n"/>
    </row>
    <row r="15479">
      <c r="B15479" s="7" t="n">
        <v>15477</v>
      </c>
      <c r="C15479" t="inlineStr">
        <is>
          <t>Kế Toán Công Nợ Phải Thu</t>
        </is>
      </c>
      <c r="D15479" t="inlineStr">
        <is>
          <t>CÔNG TY TNHH MỘT THÀNH VIÊN NHÀ THUỐC TSURUHA VIỆT NAM</t>
        </is>
      </c>
      <c r="E15479" t="inlineStr">
        <is>
          <t>Lương:Cạnh tranh</t>
        </is>
      </c>
      <c r="F15479" t="inlineStr">
        <is>
          <t>Hồ Chí Minh</t>
        </is>
      </c>
      <c r="G15479" t="inlineStr">
        <is>
          <t>08-04-2026</t>
        </is>
      </c>
      <c r="H15479" t="inlineStr">
        <is>
          <t>08/04/2026</t>
        </is>
      </c>
      <c r="I15479" t="inlineStr">
        <is>
          <t>17/03/2026</t>
        </is>
      </c>
      <c r="J15479" t="inlineStr">
        <is>
          <t>Dược phẩm/ Hóa Mỹ Phẩm, Kế toán / Kiểm toán, Tài chính / Đầu tư</t>
        </is>
      </c>
      <c r="K15479" t="inlineStr">
        <is>
          <t>5 - 10 Năm</t>
        </is>
      </c>
      <c r="L15479" s="8">
        <f>HYPERLINK("https://careerviet.vn/vi/tim-viec-lam/ke-toan-cong-no-phai-thu.35C64F05.html","Xem chi tiết")</f>
        <v/>
      </c>
    </row>
    <row r="15480">
      <c r="B15480" s="9" t="n">
        <v>15478</v>
      </c>
      <c r="C15480" s="10" t="inlineStr">
        <is>
          <t>Kế toán tổng hợp  (Thuế)</t>
        </is>
      </c>
      <c r="D15480" s="10" t="inlineStr">
        <is>
          <t>Bảo mật</t>
        </is>
      </c>
      <c r="E15480" s="10" t="inlineStr">
        <is>
          <t>Lương:Cạnh tranh</t>
        </is>
      </c>
      <c r="F15480" s="10" t="inlineStr">
        <is>
          <t>Long AnHồ Chí Minh</t>
        </is>
      </c>
      <c r="G15480" s="10" t="inlineStr">
        <is>
          <t>08-04-2026</t>
        </is>
      </c>
      <c r="H15480" s="10" t="inlineStr">
        <is>
          <t>08/04/2026</t>
        </is>
      </c>
      <c r="I15480" s="10" t="inlineStr">
        <is>
          <t>17/03/2026</t>
        </is>
      </c>
      <c r="J15480" s="10" t="inlineStr">
        <is>
          <t>Kế toán / Kiểm toán, Tài chính / Đầu tư, Sản xuất / Vận hành sản xuất</t>
        </is>
      </c>
      <c r="K15480" s="10" t="inlineStr">
        <is>
          <t>3 - 10 Năm</t>
        </is>
      </c>
      <c r="L15480" s="11">
        <f>HYPERLINK("https://careerviet.vn/vi/tim-viec-lam/ke-toan-tong-hop-thue.35C64EE3.html","Xem chi tiết")</f>
        <v/>
      </c>
      <c r="M15480" s="10" t="n"/>
    </row>
    <row r="15481">
      <c r="B15481" s="7" t="n">
        <v>15479</v>
      </c>
      <c r="C15481" t="inlineStr">
        <is>
          <t>Chuyên Viên Marketing BĐS</t>
        </is>
      </c>
      <c r="D15481" t="inlineStr">
        <is>
          <t>CÔNG TY CỔ PHẦN TẬP ĐOÀN ONSEN FUJI</t>
        </is>
      </c>
      <c r="E15481" t="inlineStr">
        <is>
          <t>Lương:10 Tr - 20 Tr VND</t>
        </is>
      </c>
      <c r="F15481" t="inlineStr">
        <is>
          <t>Hà Nội</t>
        </is>
      </c>
      <c r="G15481" t="inlineStr">
        <is>
          <t>08-04-2026</t>
        </is>
      </c>
      <c r="H15481" t="inlineStr">
        <is>
          <t>08/04/2026</t>
        </is>
      </c>
      <c r="I15481" t="inlineStr">
        <is>
          <t>17/03/2026</t>
        </is>
      </c>
      <c r="J15481" t="inlineStr">
        <is>
          <t>Tiếp thị / Marketing, Bất động sản</t>
        </is>
      </c>
      <c r="K15481" t="inlineStr">
        <is>
          <t>3 - 5 Năm</t>
        </is>
      </c>
      <c r="L15481" s="8">
        <f>HYPERLINK("https://careerviet.vn/vi/tim-viec-lam/chuyen-vien-marketing-bds.35C64F71.html","Xem chi tiết")</f>
        <v/>
      </c>
    </row>
    <row r="15482">
      <c r="B15482" s="9" t="n">
        <v>15480</v>
      </c>
      <c r="C15482" s="10" t="inlineStr">
        <is>
          <t>Giám sát thi công nội thất</t>
        </is>
      </c>
      <c r="D15482" s="10" t="inlineStr">
        <is>
          <t>Công ty TNHH Nesta</t>
        </is>
      </c>
      <c r="E15482" s="10" t="inlineStr">
        <is>
          <t>Lương:15 Tr - 18 Tr VND</t>
        </is>
      </c>
      <c r="F15482" s="10" t="inlineStr">
        <is>
          <t>Hồ Chí MinhĐà NẵngLào Cai</t>
        </is>
      </c>
      <c r="G15482" s="10" t="inlineStr">
        <is>
          <t>08-04-2026</t>
        </is>
      </c>
      <c r="H15482" s="10" t="inlineStr">
        <is>
          <t>08/04/2026</t>
        </is>
      </c>
      <c r="I15482" s="10" t="inlineStr">
        <is>
          <t>17/03/2026</t>
        </is>
      </c>
      <c r="J15482" s="10" t="inlineStr">
        <is>
          <t>Kiến trúc, Xây dựng, Nội ngoại thất</t>
        </is>
      </c>
      <c r="K15482" s="10" t="inlineStr">
        <is>
          <t>2 - 3 Năm</t>
        </is>
      </c>
      <c r="L15482" s="11">
        <f>HYPERLINK("https://careerviet.vn/vi/tim-viec-lam/giam-sat-thi-cong-noi-that.35C64EE0.html","Xem chi tiết")</f>
        <v/>
      </c>
      <c r="M15482" s="10" t="n"/>
    </row>
    <row r="15483">
      <c r="B15483" s="7" t="n">
        <v>15481</v>
      </c>
      <c r="C15483" t="inlineStr">
        <is>
          <t>Account Manager</t>
        </is>
      </c>
      <c r="D15483" t="inlineStr">
        <is>
          <t>CÔNG TY TNHH CỐC CỐC</t>
        </is>
      </c>
      <c r="E15483" t="inlineStr">
        <is>
          <t>Lương:12 Tr - 25 Tr VND</t>
        </is>
      </c>
      <c r="F15483" t="inlineStr">
        <is>
          <t>Hồ Chí Minh</t>
        </is>
      </c>
      <c r="G15483" t="inlineStr">
        <is>
          <t>08-04-2026</t>
        </is>
      </c>
      <c r="H15483" t="inlineStr">
        <is>
          <t>08/04/2026</t>
        </is>
      </c>
      <c r="I15483" t="inlineStr">
        <is>
          <t>17/03/2026</t>
        </is>
      </c>
      <c r="J15483" t="inlineStr">
        <is>
          <t>Tiếp thị / Marketing, Bán hàng / Kinh doanh, Quảng cáo / Đối ngoại / Truyền Thông</t>
        </is>
      </c>
      <c r="K15483" t="inlineStr">
        <is>
          <t>Chưa có kinh nghiệm</t>
        </is>
      </c>
      <c r="L15483" s="8">
        <f>HYPERLINK("https://careerviet.vn/vi/tim-viec-lam/account-manager.35C64E5F.html","Xem chi tiết")</f>
        <v/>
      </c>
    </row>
    <row r="15484">
      <c r="B15484" s="9" t="n">
        <v>15482</v>
      </c>
      <c r="C15484" s="10" t="inlineStr">
        <is>
          <t>Kỹ Sư Xây Dựng Cầu Đường</t>
        </is>
      </c>
      <c r="D15484" s="10" t="inlineStr">
        <is>
          <t>CÔNG TY CỔ PHẦN IDC ĐÔNG DƯƠNG</t>
        </is>
      </c>
      <c r="E15484" s="10" t="inlineStr">
        <is>
          <t>Lương:22 Tr - 25 Tr VND</t>
        </is>
      </c>
      <c r="F15484" s="10" t="inlineStr">
        <is>
          <t>Hồ Chí MinhHà Nội</t>
        </is>
      </c>
      <c r="G15484" s="10" t="inlineStr">
        <is>
          <t>11-04-2026</t>
        </is>
      </c>
      <c r="H15484" s="10" t="inlineStr">
        <is>
          <t>11/04/2026</t>
        </is>
      </c>
      <c r="I15484" s="10" t="inlineStr">
        <is>
          <t>17/03/2026</t>
        </is>
      </c>
      <c r="J15484" s="10" t="inlineStr">
        <is>
          <t>Kiến trúc, Xây dựng</t>
        </is>
      </c>
      <c r="K15484" s="10" t="inlineStr">
        <is>
          <t>Trên 2 Năm</t>
        </is>
      </c>
      <c r="L15484" s="11">
        <f>HYPERLINK("https://careerviet.vn/vi/tim-viec-lam/ky-su-xay-dung-cau-duong.35C65054.html","Xem chi tiết")</f>
        <v/>
      </c>
      <c r="M15484" s="10" t="n"/>
    </row>
    <row r="15485">
      <c r="B15485" s="7" t="n">
        <v>15483</v>
      </c>
      <c r="C15485" t="inlineStr">
        <is>
          <t>KẾ TOÁN VIÊN</t>
        </is>
      </c>
      <c r="D15485" t="inlineStr">
        <is>
          <t>Công Ty TNHH Nha Khoa My Auris</t>
        </is>
      </c>
      <c r="E15485" t="inlineStr">
        <is>
          <t>Lương:10 Tr - 12 Tr VND</t>
        </is>
      </c>
      <c r="F15485" t="inlineStr">
        <is>
          <t>Hồ Chí Minh</t>
        </is>
      </c>
      <c r="G15485" t="inlineStr">
        <is>
          <t>07-04-2026</t>
        </is>
      </c>
      <c r="H15485" t="inlineStr">
        <is>
          <t>07/04/2026</t>
        </is>
      </c>
      <c r="I15485" t="inlineStr">
        <is>
          <t>17/03/2026</t>
        </is>
      </c>
      <c r="J15485" t="inlineStr">
        <is>
          <t>Kế toán / Kiểm toán, Dược phẩm/ Hóa Mỹ Phẩm, Y tế / Chăm sóc sức khỏe / Thẩm mỹ / Làm đẹp</t>
        </is>
      </c>
      <c r="K15485" t="inlineStr">
        <is>
          <t>Trên 1 Năm</t>
        </is>
      </c>
      <c r="L15485" s="8">
        <f>HYPERLINK("https://careerviet.vn/vi/tim-viec-lam/ke-toan-vien.35C64F54.html","Xem chi tiết")</f>
        <v/>
      </c>
    </row>
    <row r="15486">
      <c r="B15486" s="9" t="n">
        <v>15484</v>
      </c>
      <c r="C15486" s="10" t="inlineStr">
        <is>
          <t>Chuyên viên kinh doanh kênh On tại Đà Nẵng</t>
        </is>
      </c>
      <c r="D15486" s="10" t="inlineStr">
        <is>
          <t>Công ty Cổ phần thực phẩm và đồ uống Barett</t>
        </is>
      </c>
      <c r="E15486" s="10" t="inlineStr">
        <is>
          <t>Lương:17 Tr - 20 Tr VND</t>
        </is>
      </c>
      <c r="F15486" s="10" t="inlineStr">
        <is>
          <t>Đà Nẵng</t>
        </is>
      </c>
      <c r="G15486" s="10" t="inlineStr">
        <is>
          <t>08-04-2026</t>
        </is>
      </c>
      <c r="H15486" s="10" t="inlineStr">
        <is>
          <t>08/04/2026</t>
        </is>
      </c>
      <c r="I15486" s="10" t="inlineStr">
        <is>
          <t>17/03/2026</t>
        </is>
      </c>
      <c r="J15486" s="10" t="inlineStr">
        <is>
          <t>Tiếp thị / Marketing, Bán lẻ / Bán sỉ, Bán hàng / Kinh doanh</t>
        </is>
      </c>
      <c r="K15486" s="10" t="inlineStr">
        <is>
          <t>2 - 3 Năm</t>
        </is>
      </c>
      <c r="L15486" s="11">
        <f>HYPERLINK("https://careerviet.vn/vi/tim-viec-lam/chuyen-vien-kinh-doanh-kenh-on-tai-da-nang.35C64FCE.html","Xem chi tiết")</f>
        <v/>
      </c>
      <c r="M15486" s="10" t="n"/>
    </row>
    <row r="15487">
      <c r="B15487" s="7" t="n">
        <v>15485</v>
      </c>
      <c r="C15487" t="inlineStr">
        <is>
          <t>Kỹ thuật viên</t>
        </is>
      </c>
      <c r="D15487" t="inlineStr">
        <is>
          <t>CÔNG TY TNHH EON INDUSTRY VIỆT NAM</t>
        </is>
      </c>
      <c r="E15487" t="inlineStr">
        <is>
          <t>Lương:Cạnh tranh</t>
        </is>
      </c>
      <c r="F15487" t="inlineStr">
        <is>
          <t>Thừa Thiên- Huế</t>
        </is>
      </c>
      <c r="G15487" t="inlineStr">
        <is>
          <t>08-04-2026</t>
        </is>
      </c>
      <c r="H15487" t="inlineStr">
        <is>
          <t>08/04/2026</t>
        </is>
      </c>
      <c r="I15487" t="inlineStr">
        <is>
          <t>17/03/2026</t>
        </is>
      </c>
      <c r="J15487" t="inlineStr">
        <is>
          <t>Bảo trì / Sửa chữa, Sản xuất / Vận hành sản xuất</t>
        </is>
      </c>
      <c r="K15487" t="inlineStr">
        <is>
          <t>1 - 5 Năm</t>
        </is>
      </c>
      <c r="L15487" s="8">
        <f>HYPERLINK("https://careerviet.vn/vi/tim-viec-lam/ky-thuat-vien.35C6501A.html","Xem chi tiết")</f>
        <v/>
      </c>
    </row>
    <row r="15488">
      <c r="B15488" s="9" t="n">
        <v>15486</v>
      </c>
      <c r="C15488" s="10" t="inlineStr">
        <is>
          <t>[HÀ NỘI] KẾ TOÁN VIÊN</t>
        </is>
      </c>
      <c r="D15488" s="10" t="inlineStr">
        <is>
          <t>Classic Fine Foods</t>
        </is>
      </c>
      <c r="E15488" s="10" t="inlineStr">
        <is>
          <t>Lương:Cạnh tranh</t>
        </is>
      </c>
      <c r="F15488" s="10" t="inlineStr">
        <is>
          <t>Hà Nội</t>
        </is>
      </c>
      <c r="G15488" s="10" t="inlineStr">
        <is>
          <t>08-04-2026</t>
        </is>
      </c>
      <c r="H15488" s="10" t="inlineStr">
        <is>
          <t>08/04/2026</t>
        </is>
      </c>
      <c r="I15488" s="10" t="inlineStr">
        <is>
          <t>17/03/2026</t>
        </is>
      </c>
      <c r="J15488" s="10" t="inlineStr">
        <is>
          <t>Kế toán / Kiểm toán, Thực phẩm &amp; Đồ uống</t>
        </is>
      </c>
      <c r="K15488" s="10" t="inlineStr">
        <is>
          <t>1 - 3 Năm</t>
        </is>
      </c>
      <c r="L15488" s="11">
        <f>HYPERLINK("https://careerviet.vn/vi/tim-viec-lam/ha-noi-ke-toan-vien.35C64FA6.html","Xem chi tiết")</f>
        <v/>
      </c>
      <c r="M15488" s="10" t="n"/>
    </row>
    <row r="15489">
      <c r="B15489" s="7" t="n">
        <v>15487</v>
      </c>
      <c r="C15489" t="inlineStr">
        <is>
          <t>Sale &amp; Marketing Manager</t>
        </is>
      </c>
      <c r="D15489" t="inlineStr">
        <is>
          <t>CÔNG TY TNHH THIỀN</t>
        </is>
      </c>
      <c r="E15489" t="inlineStr">
        <is>
          <t>Lương:1.800 - 2.500 USD</t>
        </is>
      </c>
      <c r="F15489" t="inlineStr">
        <is>
          <t>Hải Dương</t>
        </is>
      </c>
      <c r="G15489" t="inlineStr">
        <is>
          <t>08-04-2026</t>
        </is>
      </c>
      <c r="H15489" t="inlineStr">
        <is>
          <t>08/04/2026</t>
        </is>
      </c>
      <c r="I15489" t="inlineStr">
        <is>
          <t>17/03/2026</t>
        </is>
      </c>
      <c r="J15489" t="inlineStr">
        <is>
          <t>Tiếp thị / Marketing, Bán hàng / Kinh doanh, Bán Hàng Kỹ Thuật</t>
        </is>
      </c>
      <c r="K15489" t="inlineStr">
        <is>
          <t>Lên đến 5 Năm</t>
        </is>
      </c>
      <c r="L15489" s="8">
        <f>HYPERLINK("https://careerviet.vn/vi/tim-viec-lam/sale-marketing-manager.35C64F52.html","Xem chi tiết")</f>
        <v/>
      </c>
    </row>
    <row r="15490">
      <c r="B15490" s="9" t="n">
        <v>15488</v>
      </c>
      <c r="C15490" s="10" t="inlineStr">
        <is>
          <t>Phó Phòng Đấu Thầu</t>
        </is>
      </c>
      <c r="D15490" s="10" t="inlineStr">
        <is>
          <t>CÔNG TY CỔ PHẦN TẬP ĐOÀN ONSEN FUJI</t>
        </is>
      </c>
      <c r="E15490" s="10" t="inlineStr">
        <is>
          <t>Lương:30 Tr - 40 Tr VND</t>
        </is>
      </c>
      <c r="F15490" s="10" t="inlineStr">
        <is>
          <t>Hà Nội</t>
        </is>
      </c>
      <c r="G15490" s="10" t="inlineStr">
        <is>
          <t>08-04-2026</t>
        </is>
      </c>
      <c r="H15490" s="10" t="inlineStr">
        <is>
          <t>08/04/2026</t>
        </is>
      </c>
      <c r="I15490" s="10" t="inlineStr">
        <is>
          <t>17/03/2026</t>
        </is>
      </c>
      <c r="J15490" s="10" t="inlineStr">
        <is>
          <t>Kiến trúc, Xây dựng, Bất động sản</t>
        </is>
      </c>
      <c r="K15490" s="10" t="inlineStr">
        <is>
          <t>5 - 7 Năm</t>
        </is>
      </c>
      <c r="L15490" s="11">
        <f>HYPERLINK("https://careerviet.vn/vi/tim-viec-lam/pho-phong-dau-thau.35C64F6E.html","Xem chi tiết")</f>
        <v/>
      </c>
      <c r="M15490" s="10" t="n"/>
    </row>
    <row r="15491">
      <c r="B15491" s="7" t="n">
        <v>15489</v>
      </c>
      <c r="C15491" t="inlineStr">
        <is>
          <t>Nhân viên Kinh doanh Hàng Thời trang &amp; Phụ kiện</t>
        </is>
      </c>
      <c r="D15491" t="inlineStr">
        <is>
          <t>CÔNG TY CỔ PHẦN BÁN LẺ VIỆT MOTO</t>
        </is>
      </c>
      <c r="E15491" t="inlineStr">
        <is>
          <t>Lương:Cạnh tranh</t>
        </is>
      </c>
      <c r="F15491" t="inlineStr">
        <is>
          <t>Hồ Chí Minh</t>
        </is>
      </c>
      <c r="G15491" t="inlineStr">
        <is>
          <t>08-04-2026</t>
        </is>
      </c>
      <c r="H15491" t="inlineStr">
        <is>
          <t>08/04/2026</t>
        </is>
      </c>
      <c r="I15491" t="inlineStr">
        <is>
          <t>17/03/2026</t>
        </is>
      </c>
      <c r="J15491" t="inlineStr">
        <is>
          <t>Bán hàng / Kinh doanh, Bán lẻ / Bán sỉ, Thương mại điện tử</t>
        </is>
      </c>
      <c r="K15491" t="inlineStr">
        <is>
          <t>1 - 2 Năm</t>
        </is>
      </c>
      <c r="L15491" s="8">
        <f>HYPERLINK("https://careerviet.vn/vi/tim-viec-lam/nhan-vien-kinh-doanh-hang-thoi-trang-phu-kien.35C64EC3.html","Xem chi tiết")</f>
        <v/>
      </c>
    </row>
    <row r="15492">
      <c r="B15492" s="9" t="n">
        <v>15490</v>
      </c>
      <c r="C15492" s="10" t="inlineStr">
        <is>
          <t>Giám đốc cơ sở Thẩm mỹ viện - Đà Lạt</t>
        </is>
      </c>
      <c r="D15492" s="10" t="inlineStr">
        <is>
          <t>CÔNG TY TNHH THẨM MỸ QUỐC TẾ LINH ANH</t>
        </is>
      </c>
      <c r="E15492" s="10" t="inlineStr">
        <is>
          <t>Lương:40 Tr - 70 Tr VND</t>
        </is>
      </c>
      <c r="F15492" s="10" t="inlineStr">
        <is>
          <t>Lâm Đồng</t>
        </is>
      </c>
      <c r="G15492" s="10" t="inlineStr">
        <is>
          <t>08-04-2026</t>
        </is>
      </c>
      <c r="H15492" s="10" t="inlineStr">
        <is>
          <t>08/04/2026</t>
        </is>
      </c>
      <c r="I15492" s="10" t="inlineStr">
        <is>
          <t>17/03/2026</t>
        </is>
      </c>
      <c r="J15492" s="10" t="inlineStr">
        <is>
          <t>Y tế / Chăm sóc sức khỏe / Thẩm mỹ / Làm đẹp</t>
        </is>
      </c>
      <c r="K15492" s="10" t="inlineStr">
        <is>
          <t>1 - 2 Năm</t>
        </is>
      </c>
      <c r="L15492" s="11">
        <f>HYPERLINK("https://careerviet.vn/vi/tim-viec-lam/giam-doc-co-so-tham-my-vien-da-lat.35C65033.html","Xem chi tiết")</f>
        <v/>
      </c>
      <c r="M15492" s="10" t="n"/>
    </row>
    <row r="15493">
      <c r="B15493" s="7" t="n">
        <v>15491</v>
      </c>
      <c r="C15493" t="inlineStr">
        <is>
          <t>NHÂN VIÊN TƯ VẤN -CHĂM SÓC KHÁCH HÀNG ONLINE</t>
        </is>
      </c>
      <c r="D15493" t="inlineStr">
        <is>
          <t>Công Ty TNHH Nha Khoa My Auris</t>
        </is>
      </c>
      <c r="E15493" t="inlineStr">
        <is>
          <t>Lương:8 Tr - 15 Tr VND</t>
        </is>
      </c>
      <c r="F15493" t="inlineStr">
        <is>
          <t>Hồ Chí Minh</t>
        </is>
      </c>
      <c r="G15493" t="inlineStr">
        <is>
          <t>08-04-2026</t>
        </is>
      </c>
      <c r="H15493" t="inlineStr">
        <is>
          <t>08/04/2026</t>
        </is>
      </c>
      <c r="I15493" t="inlineStr">
        <is>
          <t>17/03/2026</t>
        </is>
      </c>
      <c r="J15493" t="inlineStr">
        <is>
          <t>Tiếp thị / Marketing, Bán lẻ / Bán sỉ, Bán hàng / Kinh doanh</t>
        </is>
      </c>
      <c r="K15493" t="inlineStr">
        <is>
          <t>N/A</t>
        </is>
      </c>
      <c r="L15493" s="8">
        <f>HYPERLINK("https://careerviet.vn/vi/tim-viec-lam/nhan-vien-tu-van-cham-soc-khach-hang-online.35C64F4D.html","Xem chi tiết")</f>
        <v/>
      </c>
    </row>
    <row r="15494">
      <c r="B15494" s="9" t="n">
        <v>15492</v>
      </c>
      <c r="C15494" s="10" t="inlineStr">
        <is>
          <t>VNVC Cần Giuộc Long An-Nhân viên Chăm sóc khách hàng (Lễ tân-Tư vấn-Thu ngân)</t>
        </is>
      </c>
      <c r="D15494" s="10" t="inlineStr">
        <is>
          <t>Công Ty Cổ Phần Vacxin Việt Nam</t>
        </is>
      </c>
      <c r="E15494" s="10" t="inlineStr">
        <is>
          <t>Lương:7 Tr - 8 Tr VND</t>
        </is>
      </c>
      <c r="F15494" s="10" t="inlineStr">
        <is>
          <t>Long An</t>
        </is>
      </c>
      <c r="G15494" s="10" t="inlineStr">
        <is>
          <t>08-04-2026</t>
        </is>
      </c>
      <c r="H15494" s="10" t="inlineStr">
        <is>
          <t>08/04/2026</t>
        </is>
      </c>
      <c r="I15494" s="10" t="inlineStr">
        <is>
          <t>17/03/2026</t>
        </is>
      </c>
      <c r="J15494" s="10" t="inlineStr">
        <is>
          <t>Y tế / Chăm sóc sức khỏe / Thẩm mỹ / Làm đẹp, Tư vấn, Dịch vụ khách hàng</t>
        </is>
      </c>
      <c r="K15494" s="10" t="inlineStr">
        <is>
          <t>1 - 2 Năm</t>
        </is>
      </c>
      <c r="L15494" s="11">
        <f>HYPERLINK("https://careerviet.vn/vi/tim-viec-lam/vnvc-can-giuoc-long-an-nhan-vien-cham-soc-khach-hang-le-tan-tu-van-thu-ngan.35C64EDD.html","Xem chi tiết")</f>
        <v/>
      </c>
      <c r="M15494" s="10" t="n"/>
    </row>
    <row r="15495">
      <c r="B15495" s="7" t="n">
        <v>15493</v>
      </c>
      <c r="C15495" t="inlineStr">
        <is>
          <t>Nhân Viên Mua Hàng Nhập Khẩu</t>
        </is>
      </c>
      <c r="D15495" t="inlineStr">
        <is>
          <t>Công Ty Cổ Phần Kềm Nghĩa Sài Gòn</t>
        </is>
      </c>
      <c r="E15495" t="inlineStr">
        <is>
          <t>Lương:16 Tr - 18 Tr VND</t>
        </is>
      </c>
      <c r="F15495" t="inlineStr">
        <is>
          <t>Hồ Chí Minh</t>
        </is>
      </c>
      <c r="G15495" t="inlineStr">
        <is>
          <t>08-04-2026</t>
        </is>
      </c>
      <c r="H15495" t="inlineStr">
        <is>
          <t>08/04/2026</t>
        </is>
      </c>
      <c r="I15495" t="inlineStr">
        <is>
          <t>17/03/2026</t>
        </is>
      </c>
      <c r="J15495" t="inlineStr">
        <is>
          <t>Xuất nhập khẩu, Sản xuất / Vận hành sản xuất, Thu mua / Vật tư</t>
        </is>
      </c>
      <c r="K15495" t="inlineStr">
        <is>
          <t>2 - 5 Năm</t>
        </is>
      </c>
      <c r="L15495" s="8">
        <f>HYPERLINK("https://careerviet.vn/vi/tim-viec-lam/nhan-vien-mua-hang-nhap-khau.35C64F5E.html","Xem chi tiết")</f>
        <v/>
      </c>
    </row>
    <row r="15496">
      <c r="B15496" s="9" t="n">
        <v>15494</v>
      </c>
      <c r="C15496" s="10" t="inlineStr">
        <is>
          <t>Chuyên Viên Content Marketing</t>
        </is>
      </c>
      <c r="D15496" s="10" t="inlineStr">
        <is>
          <t>CÔNG TY CỔ PHẦN TẬP ĐOÀN ONSEN FUJI</t>
        </is>
      </c>
      <c r="E15496" s="10" t="inlineStr">
        <is>
          <t>Lương:15 Tr - 25 Tr VND</t>
        </is>
      </c>
      <c r="F15496" s="10" t="inlineStr">
        <is>
          <t>Hà Nội</t>
        </is>
      </c>
      <c r="G15496" s="10" t="inlineStr">
        <is>
          <t>08-04-2026</t>
        </is>
      </c>
      <c r="H15496" s="10" t="inlineStr">
        <is>
          <t>08/04/2026</t>
        </is>
      </c>
      <c r="I15496" s="10" t="inlineStr">
        <is>
          <t>17/03/2026</t>
        </is>
      </c>
      <c r="J15496" s="10" t="inlineStr">
        <is>
          <t>Tiếp thị / Marketing, Du lịch, Bất động sản</t>
        </is>
      </c>
      <c r="K15496" s="10" t="inlineStr">
        <is>
          <t>3 - 5 Năm</t>
        </is>
      </c>
      <c r="L15496" s="11">
        <f>HYPERLINK("https://careerviet.vn/vi/tim-viec-lam/chuyen-vien-content-marketing.35C64F70.html","Xem chi tiết")</f>
        <v/>
      </c>
      <c r="M15496" s="10" t="n"/>
    </row>
    <row r="15497">
      <c r="B15497" s="7" t="n">
        <v>15495</v>
      </c>
      <c r="C15497" t="inlineStr">
        <is>
          <t>Kỹ thuật viên cơ khí (Mechanical Technician)</t>
        </is>
      </c>
      <c r="D15497" t="inlineStr">
        <is>
          <t>PTSC Offshore Services (POS)</t>
        </is>
      </c>
      <c r="E15497" t="inlineStr">
        <is>
          <t>Lương:Cạnh tranh</t>
        </is>
      </c>
      <c r="F15497" t="inlineStr">
        <is>
          <t>Bà Rịa - Vũng Tàu</t>
        </is>
      </c>
      <c r="G15497" t="inlineStr">
        <is>
          <t>08-04-2026</t>
        </is>
      </c>
      <c r="H15497" t="inlineStr">
        <is>
          <t>08/04/2026</t>
        </is>
      </c>
      <c r="I15497" t="inlineStr">
        <is>
          <t>17/03/2026</t>
        </is>
      </c>
      <c r="J15497" t="inlineStr">
        <is>
          <t>Cơ khí / Ô tô / Tự động hóa</t>
        </is>
      </c>
      <c r="K15497" t="inlineStr">
        <is>
          <t>Trên 3 Năm</t>
        </is>
      </c>
      <c r="L15497" s="8">
        <f>HYPERLINK("https://careerviet.vn/vi/tim-viec-lam/ky-thuat-vien-co-khi-mechanical-technician.35C64FF6.html","Xem chi tiết")</f>
        <v/>
      </c>
    </row>
    <row r="15498">
      <c r="B15498" s="9" t="n">
        <v>15496</v>
      </c>
      <c r="C15498" s="10" t="inlineStr">
        <is>
          <t>Creative Content Manager</t>
        </is>
      </c>
      <c r="D15498" s="10" t="inlineStr">
        <is>
          <t>HMK Eyewear</t>
        </is>
      </c>
      <c r="E15498" s="10" t="inlineStr">
        <is>
          <t>Lương:20 Tr - 35 Tr VND</t>
        </is>
      </c>
      <c r="F15498" s="10" t="inlineStr">
        <is>
          <t>Hồ Chí Minh</t>
        </is>
      </c>
      <c r="G15498" s="10" t="inlineStr">
        <is>
          <t>08-04-2026</t>
        </is>
      </c>
      <c r="H15498" s="10" t="inlineStr">
        <is>
          <t>08/04/2026</t>
        </is>
      </c>
      <c r="I15498" s="10" t="inlineStr">
        <is>
          <t>17/03/2026</t>
        </is>
      </c>
      <c r="J15498" s="10" t="inlineStr">
        <is>
          <t>Tiếp thị / Marketing, Truyền hình / Báo chí / Biên tập, Quảng cáo / Đối ngoại / Truyền Thông</t>
        </is>
      </c>
      <c r="K15498" s="10" t="inlineStr">
        <is>
          <t>2 - 3 Năm</t>
        </is>
      </c>
      <c r="L15498" s="11">
        <f>HYPERLINK("https://careerviet.vn/vi/tim-viec-lam/creative-content-manager.35C64EB0.html","Xem chi tiết")</f>
        <v/>
      </c>
      <c r="M15498" s="10" t="n"/>
    </row>
    <row r="15499">
      <c r="B15499" s="7" t="n">
        <v>15497</v>
      </c>
      <c r="C15499" t="inlineStr">
        <is>
          <t>Nhân Viên Pháp Lý (Phòng Công Nghệ Thông Tin)</t>
        </is>
      </c>
      <c r="D15499" t="inlineStr">
        <is>
          <t>Công Ty Tài Chính TNHH Một Thành Viên Quốc Tế Việt Nam JACCS</t>
        </is>
      </c>
      <c r="E15499" t="inlineStr">
        <is>
          <t>Lương:Cạnh tranh</t>
        </is>
      </c>
      <c r="F15499" t="inlineStr">
        <is>
          <t>Hồ Chí Minh</t>
        </is>
      </c>
      <c r="G15499" t="inlineStr">
        <is>
          <t>08-04-2026</t>
        </is>
      </c>
      <c r="H15499" t="inlineStr">
        <is>
          <t>08/04/2026</t>
        </is>
      </c>
      <c r="I15499" t="inlineStr">
        <is>
          <t>17/03/2026</t>
        </is>
      </c>
      <c r="J15499" t="inlineStr">
        <is>
          <t>Luật / Pháp lý</t>
        </is>
      </c>
      <c r="K15499" t="inlineStr">
        <is>
          <t>1 - 2 Năm</t>
        </is>
      </c>
      <c r="L15499" s="8">
        <f>HYPERLINK("https://careerviet.vn/vi/tim-viec-lam/nhan-vien-phap-ly-phong-cong-nghe-thong-tin.35C64EB2.html","Xem chi tiết")</f>
        <v/>
      </c>
    </row>
    <row r="15500">
      <c r="B15500" s="9" t="n">
        <v>15498</v>
      </c>
      <c r="C15500" s="10" t="inlineStr">
        <is>
          <t>Ecommerce executive</t>
        </is>
      </c>
      <c r="D15500" s="10" t="inlineStr">
        <is>
          <t>CÔNG TY CỔ PHẦN THẾ GIỚI SỐ</t>
        </is>
      </c>
      <c r="E15500" s="10" t="inlineStr">
        <is>
          <t>Lương:Cạnh tranh</t>
        </is>
      </c>
      <c r="F15500" s="10" t="inlineStr">
        <is>
          <t>Hồ Chí Minh</t>
        </is>
      </c>
      <c r="G15500" s="10" t="inlineStr">
        <is>
          <t>08-04-2026</t>
        </is>
      </c>
      <c r="H15500" s="10" t="inlineStr">
        <is>
          <t>08/04/2026</t>
        </is>
      </c>
      <c r="I15500" s="10" t="inlineStr">
        <is>
          <t>17/03/2026</t>
        </is>
      </c>
      <c r="J15500" s="10" t="inlineStr">
        <is>
          <t>Bán lẻ / Bán sỉ, Bán hàng / Kinh doanh, Thương mại điện tử</t>
        </is>
      </c>
      <c r="K15500" s="10" t="inlineStr">
        <is>
          <t>2 - 3 Năm</t>
        </is>
      </c>
      <c r="L15500" s="11">
        <f>HYPERLINK("https://careerviet.vn/vi/tim-viec-lam/ecommerce-executive.35C64FBF.html","Xem chi tiết")</f>
        <v/>
      </c>
      <c r="M15500" s="10" t="n"/>
    </row>
    <row r="15501">
      <c r="B15501" s="7" t="n">
        <v>15499</v>
      </c>
      <c r="C15501" t="inlineStr">
        <is>
          <t>Trưởng Phòng Marketing BĐS</t>
        </is>
      </c>
      <c r="D15501" t="inlineStr">
        <is>
          <t>CÔNG TY CỔ PHẦN TẬP ĐOÀN ONSEN FUJI</t>
        </is>
      </c>
      <c r="E15501" t="inlineStr">
        <is>
          <t>Lương:20 Tr - 30 Tr VND</t>
        </is>
      </c>
      <c r="F15501" t="inlineStr">
        <is>
          <t>Hà Nội</t>
        </is>
      </c>
      <c r="G15501" t="inlineStr">
        <is>
          <t>08-04-2026</t>
        </is>
      </c>
      <c r="H15501" t="inlineStr">
        <is>
          <t>08/04/2026</t>
        </is>
      </c>
      <c r="I15501" t="inlineStr">
        <is>
          <t>17/03/2026</t>
        </is>
      </c>
      <c r="J15501" t="inlineStr">
        <is>
          <t>Tiếp thị / Marketing, Bất động sản</t>
        </is>
      </c>
      <c r="K15501" t="inlineStr">
        <is>
          <t>5 - 10 Năm</t>
        </is>
      </c>
      <c r="L15501" s="8">
        <f>HYPERLINK("https://careerviet.vn/vi/tim-viec-lam/truong-phong-marketing-bds.35C64F74.html","Xem chi tiết")</f>
        <v/>
      </c>
    </row>
    <row r="15502">
      <c r="B15502" s="9" t="n">
        <v>15500</v>
      </c>
      <c r="C15502" s="10" t="inlineStr">
        <is>
          <t>Nhân Viên Lái Xe Nâng  - KCN Lê Minh Xuân</t>
        </is>
      </c>
      <c r="D15502" s="10" t="inlineStr">
        <is>
          <t>Công ty TNHH ADC</t>
        </is>
      </c>
      <c r="E15502" s="10" t="inlineStr">
        <is>
          <t>Lương:8 Tr - 10 Tr VND</t>
        </is>
      </c>
      <c r="F15502" s="10" t="inlineStr">
        <is>
          <t>Hồ Chí Minh</t>
        </is>
      </c>
      <c r="G15502" s="10" t="inlineStr">
        <is>
          <t>08-04-2026</t>
        </is>
      </c>
      <c r="H15502" s="10" t="inlineStr">
        <is>
          <t>08/04/2026</t>
        </is>
      </c>
      <c r="I15502" s="10" t="inlineStr">
        <is>
          <t>17/03/2026</t>
        </is>
      </c>
      <c r="J15502" s="10" t="inlineStr">
        <is>
          <t>Vận chuyển / Giao nhận / Kho vận, Cơ khí / Ô tô / Tự động hóa, Ngành khác</t>
        </is>
      </c>
      <c r="K15502" s="10" t="inlineStr">
        <is>
          <t>Lên đến 1 Năm</t>
        </is>
      </c>
      <c r="L15502" s="11">
        <f>HYPERLINK("https://careerviet.vn/vi/tim-viec-lam/nhan-vien-lai-xe-nang-kcn-le-minh-xuan.35C64EF4.html","Xem chi tiết")</f>
        <v/>
      </c>
      <c r="M15502" s="10" t="n"/>
    </row>
    <row r="15503">
      <c r="B15503" s="7" t="n">
        <v>15501</v>
      </c>
      <c r="C15503" t="inlineStr">
        <is>
          <t>126476 - [HCM] Sales Specialist - Logistics</t>
        </is>
      </c>
      <c r="D15503" t="inlineStr">
        <is>
          <t>RGF HR Agent Vietnam Co., LTD</t>
        </is>
      </c>
      <c r="E15503" t="inlineStr">
        <is>
          <t>Lương:25 Tr - 35 Tr VND</t>
        </is>
      </c>
      <c r="F15503" t="inlineStr">
        <is>
          <t>Hồ Chí Minh</t>
        </is>
      </c>
      <c r="G15503" t="inlineStr">
        <is>
          <t>08-04-2026</t>
        </is>
      </c>
      <c r="H15503" t="inlineStr">
        <is>
          <t>08/04/2026</t>
        </is>
      </c>
      <c r="I15503" t="inlineStr">
        <is>
          <t>17/03/2026</t>
        </is>
      </c>
      <c r="J15503" t="inlineStr">
        <is>
          <t>Vận chuyển / Giao nhận / Kho vận</t>
        </is>
      </c>
      <c r="K15503" t="inlineStr">
        <is>
          <t>Trên 4 Năm</t>
        </is>
      </c>
      <c r="L15503" s="8">
        <f>HYPERLINK("https://careerviet.vn/vi/tim-viec-lam/126476-hcm-sales-specialist-logistics.35C64EEF.html","Xem chi tiết")</f>
        <v/>
      </c>
    </row>
    <row r="15504">
      <c r="B15504" s="9" t="n">
        <v>15502</v>
      </c>
      <c r="C15504" s="10" t="inlineStr">
        <is>
          <t>Import Export Deputy Manager</t>
        </is>
      </c>
      <c r="D15504" s="10" t="inlineStr">
        <is>
          <t>Công ty Omron Healthcare Manufacturing Việt Nam</t>
        </is>
      </c>
      <c r="E15504" s="10" t="inlineStr">
        <is>
          <t>Lương:Cạnh tranh</t>
        </is>
      </c>
      <c r="F15504" s="10" t="inlineStr">
        <is>
          <t>Bình Dương</t>
        </is>
      </c>
      <c r="G15504" s="10" t="inlineStr">
        <is>
          <t>08-04-2026</t>
        </is>
      </c>
      <c r="H15504" s="10" t="inlineStr">
        <is>
          <t>08/04/2026</t>
        </is>
      </c>
      <c r="I15504" s="10" t="inlineStr">
        <is>
          <t>17/03/2026</t>
        </is>
      </c>
      <c r="J15504" s="10" t="inlineStr">
        <is>
          <t>Xuất nhập khẩu, Y tế / Chăm sóc sức khỏe / Thẩm mỹ / Làm đẹp</t>
        </is>
      </c>
      <c r="K15504" s="10" t="inlineStr">
        <is>
          <t>3 - 5 Năm</t>
        </is>
      </c>
      <c r="L15504" s="11">
        <f>HYPERLINK("https://careerviet.vn/vi/tim-viec-lam/import-export-deputy-manager.35C64F00.html","Xem chi tiết")</f>
        <v/>
      </c>
      <c r="M15504" s="10" t="n"/>
    </row>
    <row r="15505">
      <c r="B15505" s="7" t="n">
        <v>15503</v>
      </c>
      <c r="C15505" t="inlineStr">
        <is>
          <t>ACCOUNTANT (Payable and expenses function)</t>
        </is>
      </c>
      <c r="D15505" t="inlineStr">
        <is>
          <t>Công ty Cổ Phần Gourmet Partner Việt Nam</t>
        </is>
      </c>
      <c r="E15505" t="inlineStr">
        <is>
          <t>Lương:Cạnh tranh</t>
        </is>
      </c>
      <c r="F15505" t="inlineStr">
        <is>
          <t>Hồ Chí Minh</t>
        </is>
      </c>
      <c r="G15505" t="inlineStr">
        <is>
          <t>08-04-2026</t>
        </is>
      </c>
      <c r="H15505" t="inlineStr">
        <is>
          <t>08/04/2026</t>
        </is>
      </c>
      <c r="I15505" t="inlineStr">
        <is>
          <t>17/03/2026</t>
        </is>
      </c>
      <c r="J15505" t="inlineStr">
        <is>
          <t>Luật / Pháp lý, Kế toán / Kiểm toán, Tài chính / Đầu tư</t>
        </is>
      </c>
      <c r="K15505" t="inlineStr">
        <is>
          <t>Trên 1 Năm</t>
        </is>
      </c>
      <c r="L15505" s="8">
        <f>HYPERLINK("https://careerviet.vn/vi/tim-viec-lam/accountant-payable-and-expenses-function.35C64FF9.html","Xem chi tiết")</f>
        <v/>
      </c>
    </row>
    <row r="15506">
      <c r="B15506" s="9" t="n">
        <v>15504</v>
      </c>
      <c r="C15506" s="10" t="inlineStr">
        <is>
          <t>Nhân Viên Nghiên Cứu Phát Triển Sản Phẩm - R&amp;D PRODUCT</t>
        </is>
      </c>
      <c r="D15506" s="10" t="inlineStr">
        <is>
          <t>CÔNG TY TRÁCH NHIỆM HỮU HẠN NCE GLOBAL</t>
        </is>
      </c>
      <c r="E15506" s="10" t="inlineStr">
        <is>
          <t>Lương:10 Tr - 20 Tr VND</t>
        </is>
      </c>
      <c r="F15506" s="10" t="inlineStr">
        <is>
          <t>Hà Nội</t>
        </is>
      </c>
      <c r="G15506" s="10" t="inlineStr">
        <is>
          <t>08-04-2026</t>
        </is>
      </c>
      <c r="H15506" s="10" t="inlineStr">
        <is>
          <t>08/04/2026</t>
        </is>
      </c>
      <c r="I15506" s="10" t="inlineStr">
        <is>
          <t>17/03/2026</t>
        </is>
      </c>
      <c r="J15506" s="10" t="inlineStr">
        <is>
          <t>Thương mại điện tử</t>
        </is>
      </c>
      <c r="K15506" s="10" t="inlineStr">
        <is>
          <t>1 - 5 Năm</t>
        </is>
      </c>
      <c r="L15506" s="11">
        <f>HYPERLINK("https://careerviet.vn/vi/tim-viec-lam/nhan-vien-nghien-cuu-phat-trien-san-pham-r-d-product.35C65053.html","Xem chi tiết")</f>
        <v/>
      </c>
      <c r="M15506" s="10" t="n"/>
    </row>
    <row r="15507">
      <c r="B15507" s="7" t="n">
        <v>15505</v>
      </c>
      <c r="C15507" t="inlineStr">
        <is>
          <t>Trưởng ca sản xuất (Làm việc tại nhà máy thực phẩm Đức Hoà - Long An)</t>
        </is>
      </c>
      <c r="D15507" t="inlineStr">
        <is>
          <t>Công ty cổ phần Nafoods Miền Nam</t>
        </is>
      </c>
      <c r="E15507" t="inlineStr">
        <is>
          <t>Lương:13 Tr - 18 Tr VND</t>
        </is>
      </c>
      <c r="F15507" t="inlineStr">
        <is>
          <t>Long An</t>
        </is>
      </c>
      <c r="G15507" t="inlineStr">
        <is>
          <t>08-04-2026</t>
        </is>
      </c>
      <c r="H15507" t="inlineStr">
        <is>
          <t>08/04/2026</t>
        </is>
      </c>
      <c r="I15507" t="inlineStr">
        <is>
          <t>17/03/2026</t>
        </is>
      </c>
      <c r="J15507" t="inlineStr">
        <is>
          <t>Thực phẩm &amp; Đồ uống, Công nghệ thực phẩm / Dinh dưỡng, Cơ khí / Ô tô / Tự động hóa</t>
        </is>
      </c>
      <c r="K15507" t="inlineStr">
        <is>
          <t>2 - 5 Năm</t>
        </is>
      </c>
      <c r="L15507" s="8">
        <f>HYPERLINK("https://careerviet.vn/vi/tim-viec-lam/truong-ca-san-xuat-lam-viec-tai-nha-may-thuc-pham-duc-hoa-long-an.35C64F78.html","Xem chi tiết")</f>
        <v/>
      </c>
    </row>
    <row r="15508">
      <c r="B15508" s="9" t="n">
        <v>15506</v>
      </c>
      <c r="C15508" s="10" t="inlineStr">
        <is>
          <t>HCM - Giám sát Thi công</t>
        </is>
      </c>
      <c r="D15508" s="10" t="inlineStr">
        <is>
          <t>Công Ty CP Xây Dựng Số 1 (COFICO)</t>
        </is>
      </c>
      <c r="E15508" s="10" t="inlineStr">
        <is>
          <t>Lương:15 Tr - 20 Tr VND</t>
        </is>
      </c>
      <c r="F15508" s="10" t="inlineStr">
        <is>
          <t>Hồ Chí Minh</t>
        </is>
      </c>
      <c r="G15508" s="10" t="inlineStr">
        <is>
          <t>08-04-2026</t>
        </is>
      </c>
      <c r="H15508" s="10" t="inlineStr">
        <is>
          <t>08/04/2026</t>
        </is>
      </c>
      <c r="I15508" s="10" t="inlineStr">
        <is>
          <t>17/03/2026</t>
        </is>
      </c>
      <c r="J15508" s="10" t="inlineStr">
        <is>
          <t>Xây dựng</t>
        </is>
      </c>
      <c r="K15508" s="10" t="inlineStr">
        <is>
          <t>1 - 5 Năm</t>
        </is>
      </c>
      <c r="L15508" s="11">
        <f>HYPERLINK("https://careerviet.vn/vi/tim-viec-lam/hcm-giam-sat-thi-cong.35C64F5D.html","Xem chi tiết")</f>
        <v/>
      </c>
      <c r="M15508" s="10" t="n"/>
    </row>
    <row r="15509">
      <c r="B15509" s="7" t="n">
        <v>15507</v>
      </c>
      <c r="C15509" t="inlineStr">
        <is>
          <t>Chuyên viên Kiểm soát Xây dựng</t>
        </is>
      </c>
      <c r="D15509" t="inlineStr">
        <is>
          <t>Tập Đoàn Tân Á Đại Thành</t>
        </is>
      </c>
      <c r="E15509" t="inlineStr">
        <is>
          <t>Lương:22 Tr - 25 Tr VND</t>
        </is>
      </c>
      <c r="F15509" t="inlineStr">
        <is>
          <t>Hà Nội</t>
        </is>
      </c>
      <c r="G15509" t="inlineStr">
        <is>
          <t>08-04-2026</t>
        </is>
      </c>
      <c r="H15509" t="inlineStr">
        <is>
          <t>08/04/2026</t>
        </is>
      </c>
      <c r="I15509" t="inlineStr">
        <is>
          <t>17/03/2026</t>
        </is>
      </c>
      <c r="J15509" t="inlineStr">
        <is>
          <t>Nhà hàng / Khách sạn, Xây dựng, Bất động sản</t>
        </is>
      </c>
      <c r="K15509" t="inlineStr">
        <is>
          <t>5 - 7 Năm</t>
        </is>
      </c>
      <c r="L15509" s="8">
        <f>HYPERLINK("https://careerviet.vn/vi/tim-viec-lam/chuyen-vien-kiem-soat-xay-dung.35C65034.html","Xem chi tiết")</f>
        <v/>
      </c>
    </row>
    <row r="15510">
      <c r="B15510" s="9" t="n">
        <v>15508</v>
      </c>
      <c r="C15510" s="10" t="inlineStr">
        <is>
          <t>Chuyên viên Khách hàng Doanh nghiệp - Chi nhánh Bình Dương</t>
        </is>
      </c>
      <c r="D15510" s="10" t="inlineStr">
        <is>
          <t>Indovina Bank Ltd.</t>
        </is>
      </c>
      <c r="E15510" s="10" t="inlineStr">
        <is>
          <t>Lương:Cạnh tranh</t>
        </is>
      </c>
      <c r="F15510" s="10" t="inlineStr">
        <is>
          <t>Bình Dương</t>
        </is>
      </c>
      <c r="G15510" s="10" t="inlineStr">
        <is>
          <t>08-04-2026</t>
        </is>
      </c>
      <c r="H15510" s="10" t="inlineStr">
        <is>
          <t>08/04/2026</t>
        </is>
      </c>
      <c r="I15510" s="10" t="inlineStr">
        <is>
          <t>17/03/2026</t>
        </is>
      </c>
      <c r="J15510" s="10" t="inlineStr">
        <is>
          <t>Bán hàng / Kinh doanh, Ngân hàng, Tài chính / Đầu tư</t>
        </is>
      </c>
      <c r="K15510" s="10" t="inlineStr">
        <is>
          <t>1 - 2 Năm</t>
        </is>
      </c>
      <c r="L15510" s="11">
        <f>HYPERLINK("https://careerviet.vn/vi/tim-viec-lam/chuyen-vien-khach-hang-doanh-nghiep-chi-nhanh-binh-duong.35C64E9A.html","Xem chi tiết")</f>
        <v/>
      </c>
      <c r="M15510" s="10" t="n"/>
    </row>
    <row r="15511">
      <c r="B15511" s="7" t="n">
        <v>15509</v>
      </c>
      <c r="C15511" t="inlineStr">
        <is>
          <t>Bình Dương - IT Helpdesk biết tiếng Trung</t>
        </is>
      </c>
      <c r="D15511" t="inlineStr">
        <is>
          <t>CÔNG TY TNHH POLYTEX FAR EASTERN (VIỆT NAM)</t>
        </is>
      </c>
      <c r="E15511" t="inlineStr">
        <is>
          <t>Lương:11 Tr - 16 Tr VND</t>
        </is>
      </c>
      <c r="F15511" t="inlineStr">
        <is>
          <t>Bình Dương</t>
        </is>
      </c>
      <c r="G15511" t="inlineStr">
        <is>
          <t>08-04-2026</t>
        </is>
      </c>
      <c r="H15511" t="inlineStr">
        <is>
          <t>08/04/2026</t>
        </is>
      </c>
      <c r="I15511" t="inlineStr">
        <is>
          <t>17/03/2026</t>
        </is>
      </c>
      <c r="J15511" t="inlineStr">
        <is>
          <t>CNTT - Phần mềm, CNTT - Phần cứng / Mạng</t>
        </is>
      </c>
      <c r="K15511" t="inlineStr">
        <is>
          <t>1 - 10 Năm</t>
        </is>
      </c>
      <c r="L15511" s="8">
        <f>HYPERLINK("https://careerviet.vn/vi/tim-viec-lam/binh-duong-it-helpdesk-biet-tieng-trung.35C64F21.html","Xem chi tiết")</f>
        <v/>
      </c>
    </row>
    <row r="15512">
      <c r="B15512" s="9" t="n">
        <v>15510</v>
      </c>
      <c r="C15512" s="10" t="inlineStr">
        <is>
          <t>Foreman – Fitting, Welding &amp; Finishing (Đốc công lắp, hàn, và hoàn thiện)</t>
        </is>
      </c>
      <c r="D15512" s="10" t="inlineStr">
        <is>
          <t>PEB STEEL BUILDINGS CO., LTD.</t>
        </is>
      </c>
      <c r="E15512" s="10" t="inlineStr">
        <is>
          <t>Lương:Cạnh tranh</t>
        </is>
      </c>
      <c r="F15512" s="10" t="inlineStr">
        <is>
          <t>Bà Rịa - Vũng Tàu</t>
        </is>
      </c>
      <c r="G15512" s="10" t="inlineStr">
        <is>
          <t>08-04-2026</t>
        </is>
      </c>
      <c r="H15512" s="10" t="inlineStr">
        <is>
          <t>08/04/2026</t>
        </is>
      </c>
      <c r="I15512" s="10" t="inlineStr">
        <is>
          <t>17/03/2026</t>
        </is>
      </c>
      <c r="J15512" s="10" t="inlineStr">
        <is>
          <t>Sản xuất / Vận hành sản xuất</t>
        </is>
      </c>
      <c r="K15512" s="10" t="inlineStr">
        <is>
          <t>3 - 5 Năm</t>
        </is>
      </c>
      <c r="L15512" s="11">
        <f>HYPERLINK("https://careerviet.vn/vi/tim-viec-lam/foreman-fitting-welding-finishing-doc-cong-lap-han-va-hoan-thien.35C67FCA.html","Xem chi tiết")</f>
        <v/>
      </c>
      <c r="M15512" s="10" t="n"/>
    </row>
    <row r="15513">
      <c r="B15513" s="7" t="n">
        <v>15511</v>
      </c>
      <c r="C15513" t="inlineStr">
        <is>
          <t>Nhân viên Kế Toán kho</t>
        </is>
      </c>
      <c r="D15513" t="inlineStr">
        <is>
          <t>Bảo mật</t>
        </is>
      </c>
      <c r="E15513" t="inlineStr">
        <is>
          <t>Lương:Cạnh tranh</t>
        </is>
      </c>
      <c r="F15513" t="inlineStr">
        <is>
          <t>Long An</t>
        </is>
      </c>
      <c r="G15513" t="inlineStr">
        <is>
          <t>08-04-2026</t>
        </is>
      </c>
      <c r="H15513" t="inlineStr">
        <is>
          <t>08/04/2026</t>
        </is>
      </c>
      <c r="I15513" t="inlineStr">
        <is>
          <t>17/03/2026</t>
        </is>
      </c>
      <c r="J15513" t="inlineStr">
        <is>
          <t>Hành chính / Thư ký, Kế toán / Kiểm toán</t>
        </is>
      </c>
      <c r="K15513" t="inlineStr">
        <is>
          <t>Trên 1 Năm</t>
        </is>
      </c>
      <c r="L15513" s="8">
        <f>HYPERLINK("https://careerviet.vn/vi/tim-viec-lam/nhan-vien-ke-toan-kho.35C67FCE.html","Xem chi tiết")</f>
        <v/>
      </c>
    </row>
    <row r="15514">
      <c r="B15514" s="9" t="n">
        <v>15512</v>
      </c>
      <c r="C15514" s="10" t="inlineStr">
        <is>
          <t>Kế Toán Viên</t>
        </is>
      </c>
      <c r="D15514" s="10" t="inlineStr">
        <is>
          <t>CÔNG TY TNHH LOGICALL VIỆT NAM</t>
        </is>
      </c>
      <c r="E15514" s="10" t="inlineStr">
        <is>
          <t>Lương:8 Tr - 9 Tr VND</t>
        </is>
      </c>
      <c r="F15514" s="10" t="inlineStr">
        <is>
          <t>Hồ Chí Minh</t>
        </is>
      </c>
      <c r="G15514" s="10" t="inlineStr">
        <is>
          <t>08-04-2026</t>
        </is>
      </c>
      <c r="H15514" s="10" t="inlineStr">
        <is>
          <t>08/04/2026</t>
        </is>
      </c>
      <c r="I15514" s="10" t="inlineStr">
        <is>
          <t>17/03/2026</t>
        </is>
      </c>
      <c r="J15514" s="10" t="inlineStr">
        <is>
          <t>Kế toán / Kiểm toán, Tài chính / Đầu tư</t>
        </is>
      </c>
      <c r="K15514" s="10" t="inlineStr">
        <is>
          <t>N/A</t>
        </is>
      </c>
      <c r="L15514" s="11">
        <f>HYPERLINK("https://careerviet.vn/vi/tim-viec-lam/ke-toan-vien.35C64F60.html","Xem chi tiết")</f>
        <v/>
      </c>
      <c r="M15514" s="10" t="n"/>
    </row>
    <row r="15515">
      <c r="B15515" s="7" t="n">
        <v>15513</v>
      </c>
      <c r="C15515" t="inlineStr">
        <is>
          <t>Cán Bộ Kinh Doanh - Khu vực Khánh Hòa, Ninh Thuận</t>
        </is>
      </c>
      <c r="D15515" t="inlineStr">
        <is>
          <t>Tổng Công ty Cổ phần Bảo hiểm Ngân hàng Đầu tư và Phát triển Việt Nam (BIC)</t>
        </is>
      </c>
      <c r="E15515" t="inlineStr">
        <is>
          <t>Lương:Cạnh tranh</t>
        </is>
      </c>
      <c r="F15515" t="inlineStr">
        <is>
          <t>Khánh HòaNinh Thuận</t>
        </is>
      </c>
      <c r="G15515" t="inlineStr">
        <is>
          <t>08-04-2026</t>
        </is>
      </c>
      <c r="H15515" t="inlineStr">
        <is>
          <t>08/04/2026</t>
        </is>
      </c>
      <c r="I15515" t="inlineStr">
        <is>
          <t>17/03/2026</t>
        </is>
      </c>
      <c r="J15515" t="inlineStr">
        <is>
          <t>Bảo hiểm, Bán hàng / Kinh doanh, Ngân hàng</t>
        </is>
      </c>
      <c r="K15515" t="inlineStr">
        <is>
          <t>Chưa có kinh nghiệm</t>
        </is>
      </c>
      <c r="L15515" s="8">
        <f>HYPERLINK("https://careerviet.vn/vi/tim-viec-lam/can-bo-kinh-doanh-khu-vuc-khanh-hoa-ninh-thuan.35C67FAE.html","Xem chi tiết")</f>
        <v/>
      </c>
    </row>
    <row r="15516">
      <c r="B15516" s="9" t="n">
        <v>15514</v>
      </c>
      <c r="C15516" s="10" t="inlineStr">
        <is>
          <t>VNVC Phong Phú Bình Chánh-Nhân viên Chăm sóc khách hàng (Lễ tân-Tư vấn-Thu ngân)</t>
        </is>
      </c>
      <c r="D15516" s="10" t="inlineStr">
        <is>
          <t>Công Ty Cổ Phần Vacxin Việt Nam</t>
        </is>
      </c>
      <c r="E15516" s="10" t="inlineStr">
        <is>
          <t>Lương:7 Tr - 8 Tr VND</t>
        </is>
      </c>
      <c r="F15516" s="10" t="inlineStr">
        <is>
          <t>Hồ Chí Minh</t>
        </is>
      </c>
      <c r="G15516" s="10" t="inlineStr">
        <is>
          <t>08-04-2026</t>
        </is>
      </c>
      <c r="H15516" s="10" t="inlineStr">
        <is>
          <t>08/04/2026</t>
        </is>
      </c>
      <c r="I15516" s="10" t="inlineStr">
        <is>
          <t>17/03/2026</t>
        </is>
      </c>
      <c r="J15516" s="10" t="inlineStr">
        <is>
          <t>Y tế / Chăm sóc sức khỏe / Thẩm mỹ / Làm đẹp, Tư vấn, Dịch vụ khách hàng</t>
        </is>
      </c>
      <c r="K15516" s="10" t="inlineStr">
        <is>
          <t>1 - 2 Năm</t>
        </is>
      </c>
      <c r="L15516" s="11">
        <f>HYPERLINK("https://careerviet.vn/vi/tim-viec-lam/vnvc-phong-phu-binh-chanh-nhan-vien-cham-soc-khach-hang-le-tan-tu-van-thu-ngan.35C64EEA.html","Xem chi tiết")</f>
        <v/>
      </c>
      <c r="M15516" s="10" t="n"/>
    </row>
    <row r="15517">
      <c r="B15517" s="7" t="n">
        <v>15515</v>
      </c>
      <c r="C15517" t="inlineStr">
        <is>
          <t>NHÂN VIÊN COSTING</t>
        </is>
      </c>
      <c r="D15517" t="inlineStr">
        <is>
          <t>TBS Land- Công ty Cổ Phần Đầu Tư Thái Bình</t>
        </is>
      </c>
      <c r="E15517" t="inlineStr">
        <is>
          <t>Lương:8 Tr - 12 Tr VND</t>
        </is>
      </c>
      <c r="F15517" t="inlineStr">
        <is>
          <t>Bình Dương</t>
        </is>
      </c>
      <c r="G15517" t="inlineStr">
        <is>
          <t>08-04-2026</t>
        </is>
      </c>
      <c r="H15517" t="inlineStr">
        <is>
          <t>08/04/2026</t>
        </is>
      </c>
      <c r="I15517" t="inlineStr">
        <is>
          <t>17/03/2026</t>
        </is>
      </c>
      <c r="J15517" t="inlineStr">
        <is>
          <t>Kế toán / Kiểm toán, Dệt may / Da giày / Thời trang</t>
        </is>
      </c>
      <c r="K15517" t="inlineStr">
        <is>
          <t>1 - 4 Năm</t>
        </is>
      </c>
      <c r="L15517" s="8">
        <f>HYPERLINK("https://careerviet.vn/vi/tim-viec-lam/nhan-vien-costing.35C68000.html","Xem chi tiết")</f>
        <v/>
      </c>
    </row>
    <row r="15518">
      <c r="B15518" s="9" t="n">
        <v>15516</v>
      </c>
      <c r="C15518" s="10" t="inlineStr">
        <is>
          <t>Dược sỹ đại học phụ trách mảng cung ứng / đấu thầu</t>
        </is>
      </c>
      <c r="D15518" s="10" t="inlineStr">
        <is>
          <t>Công ty Cổ Phần Thảo Mộc Xanh</t>
        </is>
      </c>
      <c r="E15518" s="10" t="inlineStr">
        <is>
          <t>Lương:Cạnh tranh</t>
        </is>
      </c>
      <c r="F15518" s="10" t="inlineStr">
        <is>
          <t>Hồ Chí Minh</t>
        </is>
      </c>
      <c r="G15518" s="10" t="inlineStr">
        <is>
          <t>08-04-2026</t>
        </is>
      </c>
      <c r="H15518" s="10" t="inlineStr">
        <is>
          <t>08/04/2026</t>
        </is>
      </c>
      <c r="I15518" s="10" t="inlineStr">
        <is>
          <t>17/03/2026</t>
        </is>
      </c>
      <c r="J15518" s="10" t="inlineStr">
        <is>
          <t>Dược phẩm/ Hóa Mỹ Phẩm, Y tế / Chăm sóc sức khỏe / Thẩm mỹ / Làm đẹp</t>
        </is>
      </c>
      <c r="K15518" s="10" t="inlineStr">
        <is>
          <t>Trên 1 Năm</t>
        </is>
      </c>
      <c r="L15518" s="11">
        <f>HYPERLINK("https://careerviet.vn/vi/tim-viec-lam/duoc-sy-dai-hoc-phu-trach-mang-cung-ung-dau-thau.35C67FCF.html","Xem chi tiết")</f>
        <v/>
      </c>
      <c r="M15518" s="10" t="n"/>
    </row>
    <row r="15519">
      <c r="B15519" s="7" t="n">
        <v>15517</v>
      </c>
      <c r="C15519" t="inlineStr">
        <is>
          <t>QC Supervisor</t>
        </is>
      </c>
      <c r="D15519" t="inlineStr">
        <is>
          <t>Công ty TNHH Sheh Fung Screws Việt Nam</t>
        </is>
      </c>
      <c r="E15519" t="inlineStr">
        <is>
          <t>Lương:Cạnh tranh</t>
        </is>
      </c>
      <c r="F15519" t="inlineStr">
        <is>
          <t>Bình Thuận</t>
        </is>
      </c>
      <c r="G15519" t="inlineStr">
        <is>
          <t>08-04-2026</t>
        </is>
      </c>
      <c r="H15519" t="inlineStr">
        <is>
          <t>08/04/2026</t>
        </is>
      </c>
      <c r="I15519" t="inlineStr">
        <is>
          <t>17/03/2026</t>
        </is>
      </c>
      <c r="J15519" t="inlineStr">
        <is>
          <t>Quản lý chất lượng (QA/QC)</t>
        </is>
      </c>
      <c r="K15519" t="inlineStr">
        <is>
          <t>2 - 3 Năm</t>
        </is>
      </c>
      <c r="L15519" s="8">
        <f>HYPERLINK("https://careerviet.vn/vi/tim-viec-lam/qc-supervisor.35C67EB9.html","Xem chi tiết")</f>
        <v/>
      </c>
    </row>
    <row r="15520">
      <c r="B15520" s="9" t="n">
        <v>15518</v>
      </c>
      <c r="C15520" s="10" t="inlineStr">
        <is>
          <t>Cán Bộ Kinh Doanh - Khu vực Bình Dương, Tây Ninh, Long An</t>
        </is>
      </c>
      <c r="D15520" s="10" t="inlineStr">
        <is>
          <t>Tổng Công ty Cổ phần Bảo hiểm Ngân hàng Đầu tư và Phát triển Việt Nam (BIC)</t>
        </is>
      </c>
      <c r="E15520" s="10" t="inlineStr">
        <is>
          <t>Lương:Cạnh tranh</t>
        </is>
      </c>
      <c r="F15520" s="10" t="inlineStr">
        <is>
          <t>Bình DươngTây NinhLong An</t>
        </is>
      </c>
      <c r="G15520" s="10" t="inlineStr">
        <is>
          <t>08-04-2026</t>
        </is>
      </c>
      <c r="H15520" s="10" t="inlineStr">
        <is>
          <t>08/04/2026</t>
        </is>
      </c>
      <c r="I15520" s="10" t="inlineStr">
        <is>
          <t>17/03/2026</t>
        </is>
      </c>
      <c r="J15520" s="10" t="inlineStr">
        <is>
          <t>Bảo hiểm, Bán hàng / Kinh doanh, Ngân hàng</t>
        </is>
      </c>
      <c r="K15520" s="10" t="inlineStr">
        <is>
          <t>Chưa có kinh nghiệm</t>
        </is>
      </c>
      <c r="L15520" s="11">
        <f>HYPERLINK("https://careerviet.vn/vi/tim-viec-lam/can-bo-kinh-doanh-khu-vuc-binh-duong-tay-ninh-long-an.35C67FB6.html","Xem chi tiết")</f>
        <v/>
      </c>
      <c r="M15520" s="10" t="n"/>
    </row>
    <row r="15521">
      <c r="B15521" s="7" t="n">
        <v>15519</v>
      </c>
      <c r="C15521" t="inlineStr">
        <is>
          <t>CVCC Đào tạo và Phát triển-TA184-ID1316</t>
        </is>
      </c>
      <c r="D15521" t="inlineStr">
        <is>
          <t>Ngân Hàng TMCP Việt Nam Thịnh Vượng - VPBANK</t>
        </is>
      </c>
      <c r="E15521" t="inlineStr">
        <is>
          <t>Lương:Cạnh tranh</t>
        </is>
      </c>
      <c r="F15521" t="inlineStr">
        <is>
          <t>Hà Nội</t>
        </is>
      </c>
      <c r="G15521" t="inlineStr">
        <is>
          <t>08-04-2026</t>
        </is>
      </c>
      <c r="H15521" t="inlineStr">
        <is>
          <t>08/04/2026</t>
        </is>
      </c>
      <c r="I15521" t="inlineStr">
        <is>
          <t>17/03/2026</t>
        </is>
      </c>
      <c r="J15521" t="inlineStr">
        <is>
          <t>Giáo dục / Đào tạo, Ngân hàng, Bảo hiểm</t>
        </is>
      </c>
      <c r="K15521" t="inlineStr">
        <is>
          <t>4 - 12 Năm</t>
        </is>
      </c>
      <c r="L15521" s="8">
        <f>HYPERLINK("https://careerviet.vn/vi/tim-viec-lam/cvcc-dao-tao-va-phat-trien-ta184-id1316.35C67FE2.html","Xem chi tiết")</f>
        <v/>
      </c>
    </row>
    <row r="15522">
      <c r="B15522" s="9" t="n">
        <v>15520</v>
      </c>
      <c r="C15522" s="10" t="inlineStr">
        <is>
          <t>NHÂN VIÊN QUẢN TRỊ VẬT TƯ (Kế toán Kho)</t>
        </is>
      </c>
      <c r="D15522" s="10" t="inlineStr">
        <is>
          <t>TBS Land- Công ty Cổ Phần Đầu Tư Thái Bình</t>
        </is>
      </c>
      <c r="E15522" s="10" t="inlineStr">
        <is>
          <t>Lương:9 Tr - 12 Tr VND</t>
        </is>
      </c>
      <c r="F15522" s="10" t="inlineStr">
        <is>
          <t>Bình Dương</t>
        </is>
      </c>
      <c r="G15522" s="10" t="inlineStr">
        <is>
          <t>08-04-2026</t>
        </is>
      </c>
      <c r="H15522" s="10" t="inlineStr">
        <is>
          <t>08/04/2026</t>
        </is>
      </c>
      <c r="I15522" s="10" t="inlineStr">
        <is>
          <t>17/03/2026</t>
        </is>
      </c>
      <c r="J15522" s="10" t="inlineStr">
        <is>
          <t>Kế toán / Kiểm toán</t>
        </is>
      </c>
      <c r="K15522" s="10" t="inlineStr">
        <is>
          <t>1 - 3 Năm</t>
        </is>
      </c>
      <c r="L15522" s="11">
        <f>HYPERLINK("https://careerviet.vn/vi/tim-viec-lam/nhan-vien-quan-tri-vat-tu-ke-toan-kho.35C68002.html","Xem chi tiết")</f>
        <v/>
      </c>
      <c r="M15522" s="10" t="n"/>
    </row>
    <row r="15523">
      <c r="B15523" s="7" t="n">
        <v>15521</v>
      </c>
      <c r="C15523" t="inlineStr">
        <is>
          <t>Chuyên viên phát triển thị trường quốc tế</t>
        </is>
      </c>
      <c r="D15523" t="inlineStr">
        <is>
          <t>Tập Đoàn An Phát Holdings</t>
        </is>
      </c>
      <c r="E15523" t="inlineStr">
        <is>
          <t>Lương:Cạnh tranh</t>
        </is>
      </c>
      <c r="F15523" t="inlineStr">
        <is>
          <t>Hà Nội</t>
        </is>
      </c>
      <c r="G15523" t="inlineStr">
        <is>
          <t>08-04-2026</t>
        </is>
      </c>
      <c r="H15523" t="inlineStr">
        <is>
          <t>08/04/2026</t>
        </is>
      </c>
      <c r="I15523" t="inlineStr">
        <is>
          <t>17/03/2026</t>
        </is>
      </c>
      <c r="J15523" t="inlineStr">
        <is>
          <t>Bán hàng / Kinh doanh</t>
        </is>
      </c>
      <c r="K15523" t="inlineStr">
        <is>
          <t>1 - 3 Năm</t>
        </is>
      </c>
      <c r="L15523" s="8">
        <f>HYPERLINK("https://careerviet.vn/vi/tim-viec-lam/chuyen-vien-phat-trien-thi-truong-quoc-te.35C64FDB.html","Xem chi tiết")</f>
        <v/>
      </c>
    </row>
    <row r="15524">
      <c r="B15524" s="9" t="n">
        <v>15522</v>
      </c>
      <c r="C15524" s="10" t="inlineStr">
        <is>
          <t>[CITIGYM] - MASTER TRAINER (FITNESS)</t>
        </is>
      </c>
      <c r="D15524" s="10" t="inlineStr">
        <is>
          <t>CITIGYM</t>
        </is>
      </c>
      <c r="E15524" s="10" t="inlineStr">
        <is>
          <t>Lương:Cạnh tranh</t>
        </is>
      </c>
      <c r="F15524" s="10" t="inlineStr">
        <is>
          <t>Hồ Chí Minh</t>
        </is>
      </c>
      <c r="G15524" s="10" t="inlineStr">
        <is>
          <t>08-04-2026</t>
        </is>
      </c>
      <c r="H15524" s="10" t="inlineStr">
        <is>
          <t>08/04/2026</t>
        </is>
      </c>
      <c r="I15524" s="10" t="inlineStr">
        <is>
          <t>17/03/2026</t>
        </is>
      </c>
      <c r="J15524" s="10" t="inlineStr">
        <is>
          <t>Y tế / Chăm sóc sức khỏe / Thẩm mỹ / Làm đẹp, Giáo dục / Đào tạo, Nhân sự</t>
        </is>
      </c>
      <c r="K15524" s="10" t="inlineStr">
        <is>
          <t>3 - 5 Năm</t>
        </is>
      </c>
      <c r="L15524" s="11">
        <f>HYPERLINK("https://careerviet.vn/vi/tim-viec-lam/citigym-master-trainer-fitness.35C64FBE.html","Xem chi tiết")</f>
        <v/>
      </c>
      <c r="M15524" s="10" t="n"/>
    </row>
    <row r="15525">
      <c r="B15525" s="7" t="n">
        <v>15523</v>
      </c>
      <c r="C15525" t="inlineStr">
        <is>
          <t>Chuyên viên Digital Marketing</t>
        </is>
      </c>
      <c r="D15525" t="inlineStr">
        <is>
          <t>Công ty TNHH SXTMDV XNK Store detailing</t>
        </is>
      </c>
      <c r="E15525" t="inlineStr">
        <is>
          <t>Lương:15 Tr - 17 Tr VND</t>
        </is>
      </c>
      <c r="F15525" t="inlineStr">
        <is>
          <t>Hồ Chí Minh</t>
        </is>
      </c>
      <c r="G15525" t="inlineStr">
        <is>
          <t>08-04-2026</t>
        </is>
      </c>
      <c r="H15525" t="inlineStr">
        <is>
          <t>08/04/2026</t>
        </is>
      </c>
      <c r="I15525" t="inlineStr">
        <is>
          <t>17/03/2026</t>
        </is>
      </c>
      <c r="J15525" t="inlineStr">
        <is>
          <t>Tiếp thị / Marketing</t>
        </is>
      </c>
      <c r="K15525" t="inlineStr">
        <is>
          <t>3 - 5 Năm</t>
        </is>
      </c>
      <c r="L15525" s="8">
        <f>HYPERLINK("https://careerviet.vn/vi/tim-viec-lam/chuyen-vien-digital-marketing.35C67FEC.html","Xem chi tiết")</f>
        <v/>
      </c>
    </row>
    <row r="15526">
      <c r="B15526" s="9" t="n">
        <v>15524</v>
      </c>
      <c r="C15526" s="10" t="inlineStr">
        <is>
          <t>Giám sát kinh doanh (lĩnh vực thời trang)</t>
        </is>
      </c>
      <c r="D15526" s="10" t="inlineStr">
        <is>
          <t>Công ty TNHH Minh Hương P.N.D (thương hiệu thời trang mặc nhà cao cấp Sunfly)</t>
        </is>
      </c>
      <c r="E15526" s="10" t="inlineStr">
        <is>
          <t>Lương:17 Tr - 20 Tr VND</t>
        </is>
      </c>
      <c r="F15526" s="10" t="inlineStr">
        <is>
          <t>Hà Nội</t>
        </is>
      </c>
      <c r="G15526" s="10" t="inlineStr">
        <is>
          <t>08-04-2026</t>
        </is>
      </c>
      <c r="H15526" s="10" t="inlineStr">
        <is>
          <t>08/04/2026</t>
        </is>
      </c>
      <c r="I15526" s="10" t="inlineStr">
        <is>
          <t>17/03/2026</t>
        </is>
      </c>
      <c r="J15526" s="10" t="inlineStr">
        <is>
          <t>Bán lẻ / Bán sỉ, Bán hàng / Kinh doanh, Dệt may / Da giày / Thời trang</t>
        </is>
      </c>
      <c r="K15526" s="10" t="inlineStr">
        <is>
          <t>2 - 3 Năm</t>
        </is>
      </c>
      <c r="L15526" s="11">
        <f>HYPERLINK("https://careerviet.vn/vi/tim-viec-lam/giam-sat-kinh-doanh-linh-vuc-thoi-trang.35C64F51.html","Xem chi tiết")</f>
        <v/>
      </c>
      <c r="M15526" s="10" t="n"/>
    </row>
    <row r="15527">
      <c r="B15527" s="7" t="n">
        <v>15525</v>
      </c>
      <c r="C15527" t="inlineStr">
        <is>
          <t>126549 - Sales and Customer Service Executive - Warehouse</t>
        </is>
      </c>
      <c r="D15527" t="inlineStr">
        <is>
          <t>RGF HR Agent Vietnam Co., LTD</t>
        </is>
      </c>
      <c r="E15527" t="inlineStr">
        <is>
          <t>Lương:Cạnh tranh</t>
        </is>
      </c>
      <c r="F15527" t="inlineStr">
        <is>
          <t>Hồ Chí Minh</t>
        </is>
      </c>
      <c r="G15527" t="inlineStr">
        <is>
          <t>08-04-2026</t>
        </is>
      </c>
      <c r="H15527" t="inlineStr">
        <is>
          <t>08/04/2026</t>
        </is>
      </c>
      <c r="I15527" t="inlineStr">
        <is>
          <t>17/03/2026</t>
        </is>
      </c>
      <c r="J15527" t="inlineStr">
        <is>
          <t>Dịch vụ khách hàng, Bán hàng / Kinh doanh, Vận chuyển / Giao nhận / Kho vận</t>
        </is>
      </c>
      <c r="K15527" t="inlineStr">
        <is>
          <t>Trên 5 Năm</t>
        </is>
      </c>
      <c r="L15527" s="8">
        <f>HYPERLINK("https://careerviet.vn/vi/tim-viec-lam/126549-sales-and-customer-service-executive-warehouse.35C64EFF.html","Xem chi tiết")</f>
        <v/>
      </c>
    </row>
    <row r="15528">
      <c r="B15528" s="9" t="n">
        <v>15526</v>
      </c>
      <c r="C15528" s="10" t="inlineStr">
        <is>
          <t>Kỹ sư triển khai điện nước (MEP)</t>
        </is>
      </c>
      <c r="D15528" s="10" t="inlineStr">
        <is>
          <t>Công ty Cổ phần Xhome Cần Thơ</t>
        </is>
      </c>
      <c r="E15528" s="10" t="inlineStr">
        <is>
          <t>Lương:10 Tr - 15 Tr VND</t>
        </is>
      </c>
      <c r="F15528" s="10" t="inlineStr">
        <is>
          <t>Cần Thơ</t>
        </is>
      </c>
      <c r="G15528" s="10" t="inlineStr">
        <is>
          <t>08-04-2026</t>
        </is>
      </c>
      <c r="H15528" s="10" t="inlineStr">
        <is>
          <t>08/04/2026</t>
        </is>
      </c>
      <c r="I15528" s="10" t="inlineStr">
        <is>
          <t>17/03/2026</t>
        </is>
      </c>
      <c r="J15528" s="10" t="inlineStr">
        <is>
          <t>Điện / Điện tử / Điện lạnh / Điện công nghiệp, Kiến trúc, Xây dựng</t>
        </is>
      </c>
      <c r="K15528" s="10" t="inlineStr">
        <is>
          <t>1 - 5 Năm</t>
        </is>
      </c>
      <c r="L15528" s="11">
        <f>HYPERLINK("https://careerviet.vn/vi/tim-viec-lam/ky-su-trien-khai-dien-nuoc-mep.35C64ED0.html","Xem chi tiết")</f>
        <v/>
      </c>
      <c r="M15528" s="10" t="n"/>
    </row>
    <row r="15529">
      <c r="B15529" s="7" t="n">
        <v>15527</v>
      </c>
      <c r="C15529" t="inlineStr">
        <is>
          <t>User Engagement (CRM)</t>
        </is>
      </c>
      <c r="D15529" t="inlineStr">
        <is>
          <t>CÔNG TY CỔ PHẦN UNITY SPORT</t>
        </is>
      </c>
      <c r="E15529" t="inlineStr">
        <is>
          <t>Lương:Cạnh tranh</t>
        </is>
      </c>
      <c r="F15529" t="inlineStr">
        <is>
          <t>Hồ Chí Minh</t>
        </is>
      </c>
      <c r="G15529" t="inlineStr">
        <is>
          <t>08-04-2026</t>
        </is>
      </c>
      <c r="H15529" t="inlineStr">
        <is>
          <t>08/04/2026</t>
        </is>
      </c>
      <c r="I15529" t="inlineStr">
        <is>
          <t>17/03/2026</t>
        </is>
      </c>
      <c r="J15529" t="inlineStr">
        <is>
          <t>Tiếp thị / Marketing</t>
        </is>
      </c>
      <c r="K15529" t="inlineStr">
        <is>
          <t>2 - 4 Năm</t>
        </is>
      </c>
      <c r="L15529" s="8">
        <f>HYPERLINK("https://careerviet.vn/vi/tim-viec-lam/user-engagement-crm.35C64EE6.html","Xem chi tiết")</f>
        <v/>
      </c>
    </row>
    <row r="15530">
      <c r="B15530" s="9" t="n">
        <v>15528</v>
      </c>
      <c r="C15530" s="10" t="inlineStr">
        <is>
          <t>Chuyên viên tuyển dụng phòng nhân sự</t>
        </is>
      </c>
      <c r="D15530" s="10" t="inlineStr">
        <is>
          <t>Viện Thẩm mỹ y khoa Dr Hải Lê</t>
        </is>
      </c>
      <c r="E15530" s="10" t="inlineStr">
        <is>
          <t>Lương:10 Tr - 15 Tr VND</t>
        </is>
      </c>
      <c r="F15530" s="10" t="inlineStr">
        <is>
          <t>Hà Nội</t>
        </is>
      </c>
      <c r="G15530" s="10" t="inlineStr">
        <is>
          <t>08-04-2026</t>
        </is>
      </c>
      <c r="H15530" s="10" t="inlineStr">
        <is>
          <t>08/04/2026</t>
        </is>
      </c>
      <c r="I15530" s="10" t="inlineStr">
        <is>
          <t>17/03/2026</t>
        </is>
      </c>
      <c r="J15530" s="10" t="inlineStr">
        <is>
          <t>Y tế / Chăm sóc sức khỏe / Thẩm mỹ / Làm đẹp, Hành chính / Thư ký, Nhân sự</t>
        </is>
      </c>
      <c r="K15530" s="10" t="inlineStr">
        <is>
          <t>1 - 3 Năm</t>
        </is>
      </c>
      <c r="L15530" s="11">
        <f>HYPERLINK("https://careerviet.vn/vi/tim-viec-lam/chuyen-vien-tuyen-dung-phong-nhan-su.35C6800B.html","Xem chi tiết")</f>
        <v/>
      </c>
      <c r="M15530" s="10" t="n"/>
    </row>
    <row r="15531">
      <c r="B15531" s="7" t="n">
        <v>15529</v>
      </c>
      <c r="C15531" t="inlineStr">
        <is>
          <t>Tuyển Gấp 2 Nhân Viên QC</t>
        </is>
      </c>
      <c r="D15531" t="inlineStr">
        <is>
          <t>Công ty Cổ Phần Thảo Mộc Xanh</t>
        </is>
      </c>
      <c r="E15531" t="inlineStr">
        <is>
          <t>Lương:Cạnh tranh</t>
        </is>
      </c>
      <c r="F15531" t="inlineStr">
        <is>
          <t>Long An</t>
        </is>
      </c>
      <c r="G15531" t="inlineStr">
        <is>
          <t>08-04-2026</t>
        </is>
      </c>
      <c r="H15531" t="inlineStr">
        <is>
          <t>08/04/2026</t>
        </is>
      </c>
      <c r="I15531" t="inlineStr">
        <is>
          <t>17/03/2026</t>
        </is>
      </c>
      <c r="J15531" t="inlineStr">
        <is>
          <t>Quản lý chất lượng (QA/QC), In ấn / Xuất bản, Ngành khác</t>
        </is>
      </c>
      <c r="K15531" t="inlineStr">
        <is>
          <t>Trên 2 Năm</t>
        </is>
      </c>
      <c r="L15531" s="8">
        <f>HYPERLINK("https://careerviet.vn/vi/tim-viec-lam/tuyen-gap-2-nhan-vien-qc.35C67FD0.html","Xem chi tiết")</f>
        <v/>
      </c>
    </row>
    <row r="15532">
      <c r="B15532" s="9" t="n">
        <v>15530</v>
      </c>
      <c r="C15532" s="10" t="inlineStr">
        <is>
          <t>Nhân viên thiết kế rập</t>
        </is>
      </c>
      <c r="D15532" s="10" t="inlineStr">
        <is>
          <t>CÔNG TY TNHH SẢN XUẤT VÀ THƯƠNG MẠI TRƯƠNG VUI</t>
        </is>
      </c>
      <c r="E15532" s="10" t="inlineStr">
        <is>
          <t>Lương:12 Tr - 15 Tr VND</t>
        </is>
      </c>
      <c r="F15532" s="10" t="inlineStr">
        <is>
          <t>Hồ Chí Minh</t>
        </is>
      </c>
      <c r="G15532" s="10" t="inlineStr">
        <is>
          <t>08-04-2026</t>
        </is>
      </c>
      <c r="H15532" s="10" t="inlineStr">
        <is>
          <t>08/04/2026</t>
        </is>
      </c>
      <c r="I15532" s="10" t="inlineStr">
        <is>
          <t>17/03/2026</t>
        </is>
      </c>
      <c r="J15532" s="10" t="inlineStr">
        <is>
          <t>Mỹ thuật / Nghệ thuật / Thiết kế, Sản xuất / Vận hành sản xuất, Dệt may / Da giày / Thời trang</t>
        </is>
      </c>
      <c r="K15532" s="10" t="inlineStr">
        <is>
          <t>2 - 4 Năm</t>
        </is>
      </c>
      <c r="L15532" s="11">
        <f>HYPERLINK("https://careerviet.vn/vi/tim-viec-lam/nhan-vien-thiet-ke-rap.35C67FC2.html","Xem chi tiết")</f>
        <v/>
      </c>
      <c r="M15532" s="10" t="n"/>
    </row>
    <row r="15533">
      <c r="B15533" s="7" t="n">
        <v>15531</v>
      </c>
      <c r="C15533" t="inlineStr">
        <is>
          <t>Cán Bộ Kinh Doanh - Khu vực Bắc Giang, Lạng Sơn</t>
        </is>
      </c>
      <c r="D15533" t="inlineStr">
        <is>
          <t>Tổng Công ty Cổ phần Bảo hiểm Ngân hàng Đầu tư và Phát triển Việt Nam (BIC)</t>
        </is>
      </c>
      <c r="E15533" t="inlineStr">
        <is>
          <t>Lương:Cạnh tranh</t>
        </is>
      </c>
      <c r="F15533" t="inlineStr">
        <is>
          <t>Bắc GiangLạng Sơn</t>
        </is>
      </c>
      <c r="G15533" t="inlineStr">
        <is>
          <t>08-04-2026</t>
        </is>
      </c>
      <c r="H15533" t="inlineStr">
        <is>
          <t>08/04/2026</t>
        </is>
      </c>
      <c r="I15533" t="inlineStr">
        <is>
          <t>17/03/2026</t>
        </is>
      </c>
      <c r="J15533" t="inlineStr">
        <is>
          <t>Bảo hiểm, Bán hàng / Kinh doanh, Ngân hàng</t>
        </is>
      </c>
      <c r="K15533" t="inlineStr">
        <is>
          <t>Chưa có kinh nghiệm</t>
        </is>
      </c>
      <c r="L15533" s="8">
        <f>HYPERLINK("https://careerviet.vn/vi/tim-viec-lam/can-bo-kinh-doanh-khu-vuc-bac-giang-lang-son.35C67FA9.html","Xem chi tiết")</f>
        <v/>
      </c>
    </row>
    <row r="15534">
      <c r="B15534" s="9" t="n">
        <v>15532</v>
      </c>
      <c r="C15534" s="10" t="inlineStr">
        <is>
          <t>Social Media Community Executive (Remote)</t>
        </is>
      </c>
      <c r="D15534" s="10" t="inlineStr">
        <is>
          <t>CÔNG TY TNHH SCIFATE VN</t>
        </is>
      </c>
      <c r="E15534" s="10" t="inlineStr">
        <is>
          <t>Lương:Cạnh tranh</t>
        </is>
      </c>
      <c r="F15534" s="10" t="inlineStr">
        <is>
          <t>Hà Nội</t>
        </is>
      </c>
      <c r="G15534" s="10" t="inlineStr">
        <is>
          <t>08-04-2026</t>
        </is>
      </c>
      <c r="H15534" s="10" t="inlineStr">
        <is>
          <t>08/04/2026</t>
        </is>
      </c>
      <c r="I15534" s="10" t="inlineStr">
        <is>
          <t>17/03/2026</t>
        </is>
      </c>
      <c r="J15534" s="10" t="inlineStr">
        <is>
          <t>Tiếp thị / Marketing</t>
        </is>
      </c>
      <c r="K15534" s="10" t="inlineStr">
        <is>
          <t>Trên 1 Năm</t>
        </is>
      </c>
      <c r="L15534" s="11">
        <f>HYPERLINK("https://careerviet.vn/vi/tim-viec-lam/social-media-community-executive-remote.35C65018.html","Xem chi tiết")</f>
        <v/>
      </c>
      <c r="M15534" s="10" t="n"/>
    </row>
    <row r="15535">
      <c r="B15535" s="7" t="n">
        <v>15533</v>
      </c>
      <c r="C15535" t="inlineStr">
        <is>
          <t>Chuyên Viên Kinh Doanh - Ngành Quà tặng khuyến mãi</t>
        </is>
      </c>
      <c r="D15535" t="inlineStr">
        <is>
          <t>Công ty Cổ Phần Thảo Mộc Xanh</t>
        </is>
      </c>
      <c r="E15535" t="inlineStr">
        <is>
          <t>Lương:Cạnh tranh</t>
        </is>
      </c>
      <c r="F15535" t="inlineStr">
        <is>
          <t>Hồ Chí Minh</t>
        </is>
      </c>
      <c r="G15535" t="inlineStr">
        <is>
          <t>08-04-2026</t>
        </is>
      </c>
      <c r="H15535" t="inlineStr">
        <is>
          <t>08/04/2026</t>
        </is>
      </c>
      <c r="I15535" t="inlineStr">
        <is>
          <t>17/03/2026</t>
        </is>
      </c>
      <c r="J15535" t="inlineStr">
        <is>
          <t>Tiếp thị / Marketing, Bán hàng / Kinh doanh, Quảng cáo / Đối ngoại / Truyền Thông</t>
        </is>
      </c>
      <c r="K15535" t="inlineStr">
        <is>
          <t>2 - 3 Năm</t>
        </is>
      </c>
      <c r="L15535" s="8">
        <f>HYPERLINK("https://careerviet.vn/vi/tim-viec-lam/chuyen-vien-kinh-doanh-nganh-qua-tang-khuyen-mai.35C67FD8.html","Xem chi tiết")</f>
        <v/>
      </c>
    </row>
    <row r="15536">
      <c r="B15536" s="9" t="n">
        <v>15534</v>
      </c>
      <c r="C15536" s="10" t="inlineStr">
        <is>
          <t>Cán Bộ Kinh Doanh - Khu vực Đồng Nai, Bình Phước</t>
        </is>
      </c>
      <c r="D15536" s="10" t="inlineStr">
        <is>
          <t>Tổng Công ty Cổ phần Bảo hiểm Ngân hàng Đầu tư và Phát triển Việt Nam (BIC)</t>
        </is>
      </c>
      <c r="E15536" s="10" t="inlineStr">
        <is>
          <t>Lương:Cạnh tranh</t>
        </is>
      </c>
      <c r="F15536" s="10" t="inlineStr">
        <is>
          <t>Đồng NaiBình PhướcHồ Chí Minh</t>
        </is>
      </c>
      <c r="G15536" s="10" t="inlineStr">
        <is>
          <t>08-04-2026</t>
        </is>
      </c>
      <c r="H15536" s="10" t="inlineStr">
        <is>
          <t>08/04/2026</t>
        </is>
      </c>
      <c r="I15536" s="10" t="inlineStr">
        <is>
          <t>17/03/2026</t>
        </is>
      </c>
      <c r="J15536" s="10" t="inlineStr">
        <is>
          <t>Bảo hiểm, Bán hàng / Kinh doanh, Ngân hàng</t>
        </is>
      </c>
      <c r="K15536" s="10" t="inlineStr">
        <is>
          <t>Chưa có kinh nghiệm</t>
        </is>
      </c>
      <c r="L15536" s="11">
        <f>HYPERLINK("https://careerviet.vn/vi/tim-viec-lam/can-bo-kinh-doanh-khu-vuc-dong-nai-binh-phuoc.35C67FB9.html","Xem chi tiết")</f>
        <v/>
      </c>
      <c r="M15536" s="10" t="n"/>
    </row>
    <row r="15537">
      <c r="B15537" s="7" t="n">
        <v>15535</v>
      </c>
      <c r="C15537" t="inlineStr">
        <is>
          <t>Nhân viên Lễ tân Sàn giao dịch</t>
        </is>
      </c>
      <c r="D15537" t="inlineStr">
        <is>
          <t>Công Ty Cổ Phần Địa Ốc Phú Long</t>
        </is>
      </c>
      <c r="E15537" t="inlineStr">
        <is>
          <t>Lương:10 Tr - 14 Tr VND</t>
        </is>
      </c>
      <c r="F15537" t="inlineStr">
        <is>
          <t>Hà NộiHồ Chí Minh</t>
        </is>
      </c>
      <c r="G15537" t="inlineStr">
        <is>
          <t>08-04-2026</t>
        </is>
      </c>
      <c r="H15537" t="inlineStr">
        <is>
          <t>08/04/2026</t>
        </is>
      </c>
      <c r="I15537" t="inlineStr">
        <is>
          <t>17/03/2026</t>
        </is>
      </c>
      <c r="J15537" t="inlineStr">
        <is>
          <t>Dịch vụ khách hàng, Nhà hàng / Khách sạn, Bất động sản</t>
        </is>
      </c>
      <c r="K15537" t="inlineStr">
        <is>
          <t>2 - 7 Năm</t>
        </is>
      </c>
      <c r="L15537" s="8">
        <f>HYPERLINK("https://careerviet.vn/vi/tim-viec-lam/nhan-vien-le-tan-san-giao-dich.35C64F06.html","Xem chi tiết")</f>
        <v/>
      </c>
    </row>
    <row r="15538">
      <c r="B15538" s="9" t="n">
        <v>15536</v>
      </c>
      <c r="C15538" s="10" t="inlineStr">
        <is>
          <t>CHUYÊN VIÊN QUẢN LÝ THIẾT KẾ KIẾN TRÚC</t>
        </is>
      </c>
      <c r="D15538" s="10" t="inlineStr">
        <is>
          <t>TBS Land- Công ty Cổ Phần Đầu Tư Thái Bình</t>
        </is>
      </c>
      <c r="E15538" s="10" t="inlineStr">
        <is>
          <t>Lương:Cạnh tranh</t>
        </is>
      </c>
      <c r="F15538" s="10" t="inlineStr">
        <is>
          <t>Bình Dương</t>
        </is>
      </c>
      <c r="G15538" s="10" t="inlineStr">
        <is>
          <t>08-04-2026</t>
        </is>
      </c>
      <c r="H15538" s="10" t="inlineStr">
        <is>
          <t>08/04/2026</t>
        </is>
      </c>
      <c r="I15538" s="10" t="inlineStr">
        <is>
          <t>17/03/2026</t>
        </is>
      </c>
      <c r="J15538" s="10" t="inlineStr">
        <is>
          <t>Kiến trúc, Xây dựng</t>
        </is>
      </c>
      <c r="K15538" s="10" t="inlineStr">
        <is>
          <t>3 - 5 Năm</t>
        </is>
      </c>
      <c r="L15538" s="11">
        <f>HYPERLINK("https://careerviet.vn/vi/tim-viec-lam/chuyen-vien-quan-ly-thiet-ke-kien-truc.35C68005.html","Xem chi tiết")</f>
        <v/>
      </c>
      <c r="M15538" s="10" t="n"/>
    </row>
    <row r="15539">
      <c r="B15539" s="7" t="n">
        <v>15537</v>
      </c>
      <c r="C15539" t="inlineStr">
        <is>
          <t>Kế toán trưởng thu nhập upto 35tr</t>
        </is>
      </c>
      <c r="D15539" t="inlineStr">
        <is>
          <t>Công ty Cổ phần công nghệ T-Tech Việt Nam</t>
        </is>
      </c>
      <c r="E15539" t="inlineStr">
        <is>
          <t>Lương:25 Tr - 35 Tr VND</t>
        </is>
      </c>
      <c r="F15539" t="inlineStr">
        <is>
          <t>Hà Nội</t>
        </is>
      </c>
      <c r="G15539" t="inlineStr">
        <is>
          <t>08-04-2026</t>
        </is>
      </c>
      <c r="H15539" t="inlineStr">
        <is>
          <t>08/04/2026</t>
        </is>
      </c>
      <c r="I15539" t="inlineStr">
        <is>
          <t>17/03/2026</t>
        </is>
      </c>
      <c r="J15539" t="inlineStr">
        <is>
          <t>Kế toán / Kiểm toán, Ngân hàng, Tài chính / Đầu tư</t>
        </is>
      </c>
      <c r="K15539" t="inlineStr">
        <is>
          <t>3 - 5 Năm</t>
        </is>
      </c>
      <c r="L15539" s="8">
        <f>HYPERLINK("https://careerviet.vn/vi/tim-viec-lam/ke-toan-truong-thu-nhap-upto-35tr.35C64EFD.html","Xem chi tiết")</f>
        <v/>
      </c>
    </row>
    <row r="15540">
      <c r="B15540" s="9" t="n">
        <v>15538</v>
      </c>
      <c r="C15540" s="10" t="inlineStr">
        <is>
          <t>Chuyên Viên Kinh Doanh (B2B)</t>
        </is>
      </c>
      <c r="D15540" s="10" t="inlineStr">
        <is>
          <t>CÔNG TY TNHH GIP GROUP</t>
        </is>
      </c>
      <c r="E15540" s="10" t="inlineStr">
        <is>
          <t>Lương:18 Tr - 35 Tr VND</t>
        </is>
      </c>
      <c r="F15540" s="10" t="inlineStr">
        <is>
          <t>Hà Nội</t>
        </is>
      </c>
      <c r="G15540" s="10" t="inlineStr">
        <is>
          <t>08-04-2026</t>
        </is>
      </c>
      <c r="H15540" s="10" t="inlineStr">
        <is>
          <t>08/04/2026</t>
        </is>
      </c>
      <c r="I15540" s="10" t="inlineStr">
        <is>
          <t>17/03/2026</t>
        </is>
      </c>
      <c r="J15540" s="10" t="inlineStr">
        <is>
          <t>Bán hàng / Kinh doanh, Thương mại điện tử, Vận chuyển / Giao nhận / Kho vận</t>
        </is>
      </c>
      <c r="K15540" s="10" t="inlineStr">
        <is>
          <t>1 - 5 Năm</t>
        </is>
      </c>
      <c r="L15540" s="11">
        <f>HYPERLINK("https://careerviet.vn/vi/tim-viec-lam/chuyen-vien-kinh-doanh-b2b.35C67FC5.html","Xem chi tiết")</f>
        <v/>
      </c>
      <c r="M15540" s="10" t="n"/>
    </row>
    <row r="15541">
      <c r="B15541" s="7" t="n">
        <v>15539</v>
      </c>
      <c r="C15541" t="inlineStr">
        <is>
          <t>Section Production Supervisor (Giám sát sản xuất Hàn/Lắp)</t>
        </is>
      </c>
      <c r="D15541" t="inlineStr">
        <is>
          <t>PEB STEEL BUILDINGS CO., LTD.</t>
        </is>
      </c>
      <c r="E15541" t="inlineStr">
        <is>
          <t>Lương:Cạnh tranh</t>
        </is>
      </c>
      <c r="F15541" t="inlineStr">
        <is>
          <t>Bà Rịa - Vũng Tàu</t>
        </is>
      </c>
      <c r="G15541" t="inlineStr">
        <is>
          <t>08-04-2026</t>
        </is>
      </c>
      <c r="H15541" t="inlineStr">
        <is>
          <t>08/04/2026</t>
        </is>
      </c>
      <c r="I15541" t="inlineStr">
        <is>
          <t>17/03/2026</t>
        </is>
      </c>
      <c r="J15541" t="inlineStr">
        <is>
          <t>Cơ khí / Ô tô / Tự động hóa, Sản xuất / Vận hành sản xuất, Xây dựng</t>
        </is>
      </c>
      <c r="K15541" t="inlineStr">
        <is>
          <t>Trên 3 Năm</t>
        </is>
      </c>
      <c r="L15541" s="8">
        <f>HYPERLINK("https://careerviet.vn/vi/tim-viec-lam/section-production-supervisor-giam-sat-san-xuat-han-lap.35C67FC7.html","Xem chi tiết")</f>
        <v/>
      </c>
    </row>
    <row r="15542">
      <c r="B15542" s="9" t="n">
        <v>15540</v>
      </c>
      <c r="C15542" s="10" t="inlineStr">
        <is>
          <t>NHÂN VIÊN KINH DOANH THỊ TRƯỜNG – DẦU NHỚT</t>
        </is>
      </c>
      <c r="D15542" s="10" t="inlineStr">
        <is>
          <t>CÔNG TY TNHH THƯƠNG MẠI ORYX</t>
        </is>
      </c>
      <c r="E15542" s="10" t="inlineStr">
        <is>
          <t>Lương:10 Tr - 25 Tr VND</t>
        </is>
      </c>
      <c r="F15542" s="10" t="inlineStr">
        <is>
          <t>Hồ Chí Minh</t>
        </is>
      </c>
      <c r="G15542" s="10" t="inlineStr">
        <is>
          <t>08-04-2026</t>
        </is>
      </c>
      <c r="H15542" s="10" t="inlineStr">
        <is>
          <t>08/04/2026</t>
        </is>
      </c>
      <c r="I15542" s="10" t="inlineStr">
        <is>
          <t>17/03/2026</t>
        </is>
      </c>
      <c r="J15542" s="10" t="inlineStr">
        <is>
          <t>Tiếp thị / Marketing, Bán hàng / Kinh doanh, Cơ khí / Ô tô / Tự động hóa</t>
        </is>
      </c>
      <c r="K15542" s="10" t="inlineStr">
        <is>
          <t>N/A</t>
        </is>
      </c>
      <c r="L15542" s="11">
        <f>HYPERLINK("https://careerviet.vn/vi/tim-viec-lam/nhan-vien-kinh-doanh-thi-truong-dau-nhot.35C67FE3.html","Xem chi tiết")</f>
        <v/>
      </c>
      <c r="M15542" s="10" t="n"/>
    </row>
    <row r="15543">
      <c r="B15543" s="7" t="n">
        <v>15541</v>
      </c>
      <c r="C15543" t="inlineStr">
        <is>
          <t>Trưởng Bưu Cục Tân Tạo | Thu nhập đến 25 triệu</t>
        </is>
      </c>
      <c r="D15543" t="inlineStr">
        <is>
          <t>Công Ty Cổ Phần Hai Bốn Bảy</t>
        </is>
      </c>
      <c r="E15543" t="inlineStr">
        <is>
          <t>Lương:15 Tr - 25 Tr VND</t>
        </is>
      </c>
      <c r="F15543" t="inlineStr">
        <is>
          <t>Hồ Chí Minh</t>
        </is>
      </c>
      <c r="G15543" t="inlineStr">
        <is>
          <t>08-04-2026</t>
        </is>
      </c>
      <c r="H15543" t="inlineStr">
        <is>
          <t>08/04/2026</t>
        </is>
      </c>
      <c r="I15543" t="inlineStr">
        <is>
          <t>17/03/2026</t>
        </is>
      </c>
      <c r="J15543" t="inlineStr">
        <is>
          <t>Vận chuyển / Giao nhận / Kho vận</t>
        </is>
      </c>
      <c r="K15543" t="inlineStr">
        <is>
          <t>1 - 2 Năm</t>
        </is>
      </c>
      <c r="L15543" s="8">
        <f>HYPERLINK("https://careerviet.vn/vi/tim-viec-lam/truong-buu-cuc-tan-tao-thu-nhap-den-25-trieu.35C67FDC.html","Xem chi tiết")</f>
        <v/>
      </c>
    </row>
    <row r="15544">
      <c r="B15544" s="9" t="n">
        <v>15542</v>
      </c>
      <c r="C15544" s="10" t="inlineStr">
        <is>
          <t>Nhân Viên Kinh Doanh (Sales Executive)</t>
        </is>
      </c>
      <c r="D15544" s="10" t="inlineStr">
        <is>
          <t>CÔNG TY TNHH INPAT (VIETNAM)</t>
        </is>
      </c>
      <c r="E15544" s="10" t="inlineStr">
        <is>
          <t>Lương:12 Tr - 18 Tr VND</t>
        </is>
      </c>
      <c r="F15544" s="10" t="inlineStr">
        <is>
          <t>Hồ Chí MinhBình Dương</t>
        </is>
      </c>
      <c r="G15544" s="10" t="inlineStr">
        <is>
          <t>08-04-2026</t>
        </is>
      </c>
      <c r="H15544" s="10" t="inlineStr">
        <is>
          <t>08/04/2026</t>
        </is>
      </c>
      <c r="I15544" s="10" t="inlineStr">
        <is>
          <t>17/03/2026</t>
        </is>
      </c>
      <c r="J15544" s="10" t="inlineStr">
        <is>
          <t>Bán hàng / Kinh doanh, Tư vấn, Bán Hàng Kỹ Thuật</t>
        </is>
      </c>
      <c r="K15544" s="10" t="inlineStr">
        <is>
          <t>Trên 2 Năm</t>
        </is>
      </c>
      <c r="L15544" s="11">
        <f>HYPERLINK("https://careerviet.vn/vi/tim-viec-lam/nhan-vien-kinh-doanh-sales-executive.35C64F69.html","Xem chi tiết")</f>
        <v/>
      </c>
      <c r="M15544" s="10" t="n"/>
    </row>
    <row r="15545">
      <c r="B15545" s="7" t="n">
        <v>15543</v>
      </c>
      <c r="C15545" t="inlineStr">
        <is>
          <t>Tuyển Gấp 2 Nhân Viên QC</t>
        </is>
      </c>
      <c r="D15545" t="inlineStr">
        <is>
          <t>Công ty Cổ Phần Thảo Mộc Xanh</t>
        </is>
      </c>
      <c r="E15545" t="inlineStr">
        <is>
          <t>Lương:Cạnh tranh</t>
        </is>
      </c>
      <c r="F15545" t="inlineStr">
        <is>
          <t>Long An</t>
        </is>
      </c>
      <c r="G15545" t="inlineStr">
        <is>
          <t>08-04-2026</t>
        </is>
      </c>
      <c r="H15545" t="inlineStr">
        <is>
          <t>08/04/2026</t>
        </is>
      </c>
      <c r="I15545" t="inlineStr">
        <is>
          <t>17/03/2026</t>
        </is>
      </c>
      <c r="J15545" t="inlineStr">
        <is>
          <t>Quản lý chất lượng (QA/QC), In ấn / Xuất bản, Ngành khác</t>
        </is>
      </c>
      <c r="K15545" t="inlineStr">
        <is>
          <t>Trên 2 Năm</t>
        </is>
      </c>
      <c r="L15545" s="8">
        <f>HYPERLINK("https://careerviet.vn/vi/tim-viec-lam/tuyen-gap-2-nhan-vien-qc.35C67FEB.html","Xem chi tiết")</f>
        <v/>
      </c>
    </row>
    <row r="15546">
      <c r="B15546" s="9" t="n">
        <v>15544</v>
      </c>
      <c r="C15546" s="10" t="inlineStr">
        <is>
          <t>Nhân Viên Hành Chính (Làm Tại Hiệp Hội Nội Thất)</t>
        </is>
      </c>
      <c r="D15546" s="10" t="inlineStr">
        <is>
          <t>HEXAGON - CÔNG TY CỔ PHẦN THIẾT KẾ LỤC GIÁC</t>
        </is>
      </c>
      <c r="E15546" s="10" t="inlineStr">
        <is>
          <t>Lương:8 Tr - 10 Tr VND</t>
        </is>
      </c>
      <c r="F15546" s="10" t="inlineStr">
        <is>
          <t>Hà Nội</t>
        </is>
      </c>
      <c r="G15546" s="10" t="inlineStr">
        <is>
          <t>08-04-2026</t>
        </is>
      </c>
      <c r="H15546" s="10" t="inlineStr">
        <is>
          <t>08/04/2026</t>
        </is>
      </c>
      <c r="I15546" s="10" t="inlineStr">
        <is>
          <t>17/03/2026</t>
        </is>
      </c>
      <c r="J15546" s="10" t="inlineStr">
        <is>
          <t>Hành chính / Thư ký, Nhân sự</t>
        </is>
      </c>
      <c r="K15546" s="10" t="inlineStr">
        <is>
          <t>N/A</t>
        </is>
      </c>
      <c r="L15546" s="11">
        <f>HYPERLINK("https://careerviet.vn/vi/tim-viec-lam/nhan-vien-hanh-chinh-lam-tai-hiep-hoi-noi-that.35C67FB0.html","Xem chi tiết")</f>
        <v/>
      </c>
      <c r="M15546" s="10" t="n"/>
    </row>
    <row r="15547">
      <c r="B15547" s="7" t="n">
        <v>15545</v>
      </c>
      <c r="C15547" t="inlineStr">
        <is>
          <t>Nhân Viên Tuyển Dụng Thị Trường</t>
        </is>
      </c>
      <c r="D15547" t="inlineStr">
        <is>
          <t>CÔNG TY TNHH WGR INDUSTRIES</t>
        </is>
      </c>
      <c r="E15547" t="inlineStr">
        <is>
          <t>Lương:Cạnh tranh</t>
        </is>
      </c>
      <c r="F15547" t="inlineStr">
        <is>
          <t>Bình Định</t>
        </is>
      </c>
      <c r="G15547" t="inlineStr">
        <is>
          <t>08-04-2026</t>
        </is>
      </c>
      <c r="H15547" t="inlineStr">
        <is>
          <t>08/04/2026</t>
        </is>
      </c>
      <c r="I15547" t="inlineStr">
        <is>
          <t>17/03/2026</t>
        </is>
      </c>
      <c r="J15547" t="inlineStr">
        <is>
          <t>Tư vấn, Lao động phổ thông, Nhân sự</t>
        </is>
      </c>
      <c r="K15547" t="inlineStr">
        <is>
          <t>Lên đến 1 Năm</t>
        </is>
      </c>
      <c r="L15547" s="8">
        <f>HYPERLINK("https://careerviet.vn/vi/tim-viec-lam/nhan-vien-tuyen-dung-thi-truong.35C64EED.html","Xem chi tiết")</f>
        <v/>
      </c>
    </row>
    <row r="15548">
      <c r="B15548" s="9" t="n">
        <v>15546</v>
      </c>
      <c r="C15548" s="10" t="inlineStr">
        <is>
          <t>Quản lý vận hành Warehouse Bắc Ninh</t>
        </is>
      </c>
      <c r="D15548" s="10" t="inlineStr">
        <is>
          <t>Công Ty TNHH BEST Logistics Technology (Việt Nam)</t>
        </is>
      </c>
      <c r="E15548" s="10" t="inlineStr">
        <is>
          <t>Lương:Cạnh tranh</t>
        </is>
      </c>
      <c r="F15548" s="10" t="inlineStr">
        <is>
          <t>Bắc Ninh</t>
        </is>
      </c>
      <c r="G15548" s="10" t="inlineStr">
        <is>
          <t>08-04-2026</t>
        </is>
      </c>
      <c r="H15548" s="10" t="inlineStr">
        <is>
          <t>08/04/2026</t>
        </is>
      </c>
      <c r="I15548" s="10" t="inlineStr">
        <is>
          <t>17/03/2026</t>
        </is>
      </c>
      <c r="J15548" s="10" t="inlineStr">
        <is>
          <t>Thương mại điện tử, Vận chuyển / Giao nhận / Kho vận, Quản lý điều hành</t>
        </is>
      </c>
      <c r="K15548" s="10" t="inlineStr">
        <is>
          <t>1 - 3 Năm</t>
        </is>
      </c>
      <c r="L15548" s="11">
        <f>HYPERLINK("https://careerviet.vn/vi/tim-viec-lam/quan-ly-van-hanh-warehouse-bac-ninh.35C64EEB.html","Xem chi tiết")</f>
        <v/>
      </c>
      <c r="M15548" s="10" t="n"/>
    </row>
    <row r="15549">
      <c r="B15549" s="7" t="n">
        <v>15547</v>
      </c>
      <c r="C15549" t="inlineStr">
        <is>
          <t>PHÓ GIÁM ĐỐC VĂN PHÒNG MẢNG NỘI THẤT</t>
        </is>
      </c>
      <c r="D15549" t="inlineStr">
        <is>
          <t>Công ty Cổ phần Đầu tư và Phát triển Địa ốc Coreland</t>
        </is>
      </c>
      <c r="E15549" t="inlineStr">
        <is>
          <t>Lương:17 Tr - 20 Tr VND</t>
        </is>
      </c>
      <c r="F15549" t="inlineStr">
        <is>
          <t>Thanh Hóa</t>
        </is>
      </c>
      <c r="G15549" t="inlineStr">
        <is>
          <t>08-04-2026</t>
        </is>
      </c>
      <c r="H15549" t="inlineStr">
        <is>
          <t>08/04/2026</t>
        </is>
      </c>
      <c r="I15549" t="inlineStr">
        <is>
          <t>17/03/2026</t>
        </is>
      </c>
      <c r="J15549" t="inlineStr">
        <is>
          <t>Xây dựng, Bất động sản</t>
        </is>
      </c>
      <c r="K15549" t="inlineStr">
        <is>
          <t>2 - 5 Năm</t>
        </is>
      </c>
      <c r="L15549" s="8">
        <f>HYPERLINK("https://careerviet.vn/vi/tim-viec-lam/pho-giam-doc-van-phong-mang-noi-that.35C68013.html","Xem chi tiết")</f>
        <v/>
      </c>
    </row>
    <row r="15550">
      <c r="B15550" s="9" t="n">
        <v>15548</v>
      </c>
      <c r="C15550" s="10" t="inlineStr">
        <is>
          <t>Giám đốc Trung tâm Nghiên cứu và Phát triển Sản phẩm - [BAC A BANK - Khối Khách hàng Doanh nghiệp]</t>
        </is>
      </c>
      <c r="D15550" s="10" t="inlineStr">
        <is>
          <t>Ngân Hàng Thương mại cổ phần Bắc Á- BAC A BANK</t>
        </is>
      </c>
      <c r="E15550" s="10" t="inlineStr">
        <is>
          <t>Lương:Cạnh tranh</t>
        </is>
      </c>
      <c r="F15550" s="10" t="inlineStr">
        <is>
          <t>Hà Nội</t>
        </is>
      </c>
      <c r="G15550" s="10" t="inlineStr">
        <is>
          <t>08-04-2026</t>
        </is>
      </c>
      <c r="H15550" s="10" t="inlineStr">
        <is>
          <t>08/04/2026</t>
        </is>
      </c>
      <c r="I15550" s="10" t="inlineStr">
        <is>
          <t>17/03/2026</t>
        </is>
      </c>
      <c r="J15550" s="10" t="inlineStr">
        <is>
          <t>Ngân hàng, Quản lý điều hành</t>
        </is>
      </c>
      <c r="K15550" s="10" t="inlineStr">
        <is>
          <t>5 - 7 Năm</t>
        </is>
      </c>
      <c r="L15550" s="11">
        <f>HYPERLINK("https://careerviet.vn/vi/tim-viec-lam/giam-doc-trung-tam-nghien-cuu-va-phat-trien-san-pham-bac-a-bank-khoi-khach-hang-doanh-nghiep.35C64EA5.html","Xem chi tiết")</f>
        <v/>
      </c>
      <c r="M15550" s="10" t="n"/>
    </row>
    <row r="15551">
      <c r="B15551" s="7" t="n">
        <v>15549</v>
      </c>
      <c r="C15551" t="inlineStr">
        <is>
          <t>Giám Sát Bán Hàng - Khu vực Quảng Ninh</t>
        </is>
      </c>
      <c r="D15551" t="inlineStr">
        <is>
          <t>PepsiCo Foods Vietnam Company</t>
        </is>
      </c>
      <c r="E15551" t="inlineStr">
        <is>
          <t>Lương:Cạnh tranh</t>
        </is>
      </c>
      <c r="F15551" t="inlineStr">
        <is>
          <t>Quảng Ninh</t>
        </is>
      </c>
      <c r="G15551" t="inlineStr">
        <is>
          <t>08-04-2026</t>
        </is>
      </c>
      <c r="H15551" t="inlineStr">
        <is>
          <t>08/04/2026</t>
        </is>
      </c>
      <c r="I15551" t="inlineStr">
        <is>
          <t>17/03/2026</t>
        </is>
      </c>
      <c r="J15551" t="inlineStr">
        <is>
          <t>Bán hàng / Kinh doanh</t>
        </is>
      </c>
      <c r="K15551" t="inlineStr">
        <is>
          <t>3 - 5 Năm</t>
        </is>
      </c>
      <c r="L15551" s="8">
        <f>HYPERLINK("https://careerviet.vn/vi/tim-viec-lam/giam-sat-ban-hang-khu-vuc-quang-ninh.35C65051.html","Xem chi tiết")</f>
        <v/>
      </c>
    </row>
    <row r="15552">
      <c r="B15552" s="9" t="n">
        <v>15550</v>
      </c>
      <c r="C15552" s="10" t="inlineStr">
        <is>
          <t>Cán Bộ Kinh Doanh - Khu vực Phú Thọ, Hà Giang</t>
        </is>
      </c>
      <c r="D15552" s="10" t="inlineStr">
        <is>
          <t>Tổng Công ty Cổ phần Bảo hiểm Ngân hàng Đầu tư và Phát triển Việt Nam (BIC)</t>
        </is>
      </c>
      <c r="E15552" s="10" t="inlineStr">
        <is>
          <t>Lương:Cạnh tranh</t>
        </is>
      </c>
      <c r="F15552" s="10" t="inlineStr">
        <is>
          <t>Phú ThọHà Giang</t>
        </is>
      </c>
      <c r="G15552" s="10" t="inlineStr">
        <is>
          <t>08-04-2026</t>
        </is>
      </c>
      <c r="H15552" s="10" t="inlineStr">
        <is>
          <t>08/04/2026</t>
        </is>
      </c>
      <c r="I15552" s="10" t="inlineStr">
        <is>
          <t>17/03/2026</t>
        </is>
      </c>
      <c r="J15552" s="10" t="inlineStr">
        <is>
          <t>Bảo hiểm, Bán hàng / Kinh doanh, Ngân hàng</t>
        </is>
      </c>
      <c r="K15552" s="10" t="inlineStr">
        <is>
          <t>Chưa có kinh nghiệm</t>
        </is>
      </c>
      <c r="L15552" s="11">
        <f>HYPERLINK("https://careerviet.vn/vi/tim-viec-lam/can-bo-kinh-doanh-khu-vuc-phu-tho-ha-giang.35C67FA6.html","Xem chi tiết")</f>
        <v/>
      </c>
      <c r="M15552" s="10" t="n"/>
    </row>
    <row r="15553">
      <c r="B15553" s="7" t="n">
        <v>15551</v>
      </c>
      <c r="C15553" t="inlineStr">
        <is>
          <t>Solution Architecture Expert</t>
        </is>
      </c>
      <c r="D15553" t="inlineStr">
        <is>
          <t>LOTTE FINANCE VIETNAM</t>
        </is>
      </c>
      <c r="E15553" t="inlineStr">
        <is>
          <t>Lương:Cạnh tranh</t>
        </is>
      </c>
      <c r="F15553" t="inlineStr">
        <is>
          <t>Hà Nội</t>
        </is>
      </c>
      <c r="G15553" t="inlineStr">
        <is>
          <t>08-04-2026</t>
        </is>
      </c>
      <c r="H15553" t="inlineStr">
        <is>
          <t>08/04/2026</t>
        </is>
      </c>
      <c r="I15553" t="inlineStr">
        <is>
          <t>17/03/2026</t>
        </is>
      </c>
      <c r="J15553" t="inlineStr">
        <is>
          <t>CNTT - Phần mềm</t>
        </is>
      </c>
      <c r="K15553" t="inlineStr">
        <is>
          <t>5 - 7 Năm</t>
        </is>
      </c>
      <c r="L15553" s="8">
        <f>HYPERLINK("https://careerviet.vn/vi/tim-viec-lam/solution-architecture-expert.35C64F02.html","Xem chi tiết")</f>
        <v/>
      </c>
    </row>
    <row r="15554">
      <c r="B15554" s="9" t="n">
        <v>15552</v>
      </c>
      <c r="C15554" s="10" t="inlineStr">
        <is>
          <t>Trưởng phòng bán lẻ (ngành thời trang)</t>
        </is>
      </c>
      <c r="D15554" s="10" t="inlineStr">
        <is>
          <t>Công ty TNHH Minh Hương P.N.D (thương hiệu thời trang mặc nhà cao cấp Sunfly)</t>
        </is>
      </c>
      <c r="E15554" s="10" t="inlineStr">
        <is>
          <t>Lương:25 Tr - 30 Tr VND</t>
        </is>
      </c>
      <c r="F15554" s="10" t="inlineStr">
        <is>
          <t>Hà Nội</t>
        </is>
      </c>
      <c r="G15554" s="10" t="inlineStr">
        <is>
          <t>08-04-2026</t>
        </is>
      </c>
      <c r="H15554" s="10" t="inlineStr">
        <is>
          <t>08/04/2026</t>
        </is>
      </c>
      <c r="I15554" s="10" t="inlineStr">
        <is>
          <t>17/03/2026</t>
        </is>
      </c>
      <c r="J15554" s="10" t="inlineStr">
        <is>
          <t>Bán hàng / Kinh doanh, Dệt may / Da giày / Thời trang, Bán lẻ / Bán sỉ</t>
        </is>
      </c>
      <c r="K15554" s="10" t="inlineStr">
        <is>
          <t>2 - 5 Năm</t>
        </is>
      </c>
      <c r="L15554" s="11">
        <f>HYPERLINK("https://careerviet.vn/vi/tim-viec-lam/truong-phong-ban-le-nganh-thoi-trang.35C64F53.html","Xem chi tiết")</f>
        <v/>
      </c>
      <c r="M15554" s="10" t="n"/>
    </row>
    <row r="15555">
      <c r="B15555" s="7" t="n">
        <v>15553</v>
      </c>
      <c r="C15555" t="inlineStr">
        <is>
          <t>Kế toán hàng hóa</t>
        </is>
      </c>
      <c r="D15555" t="inlineStr">
        <is>
          <t>Tập Đoàn Kim Tín</t>
        </is>
      </c>
      <c r="E15555" t="inlineStr">
        <is>
          <t>Lương:Cạnh tranh</t>
        </is>
      </c>
      <c r="F15555" t="inlineStr">
        <is>
          <t>Hồ Chí Minh</t>
        </is>
      </c>
      <c r="G15555" t="inlineStr">
        <is>
          <t>08-04-2026</t>
        </is>
      </c>
      <c r="H15555" t="inlineStr">
        <is>
          <t>08/04/2026</t>
        </is>
      </c>
      <c r="I15555" t="inlineStr">
        <is>
          <t>17/03/2026</t>
        </is>
      </c>
      <c r="J15555" t="inlineStr">
        <is>
          <t>Kế toán / Kiểm toán, Mới tốt nghiệp / Thực tập</t>
        </is>
      </c>
      <c r="K15555" t="inlineStr">
        <is>
          <t>N/A</t>
        </is>
      </c>
      <c r="L15555" s="8">
        <f>HYPERLINK("https://careerviet.vn/vi/tim-viec-lam/ke-toan-hang-hoa.35C64F1A.html","Xem chi tiết")</f>
        <v/>
      </c>
    </row>
    <row r="15556">
      <c r="B15556" s="9" t="n">
        <v>15554</v>
      </c>
      <c r="C15556" s="10" t="inlineStr">
        <is>
          <t>Chuyên Gia Quản Trị Trải Nghiệm Khách Hàng</t>
        </is>
      </c>
      <c r="D15556" s="10" t="inlineStr">
        <is>
          <t>NGÂN HÀNG TMCP KỸ THƯƠNG VIỆT NAM (TECHCOMBANK)</t>
        </is>
      </c>
      <c r="E15556" s="10" t="inlineStr">
        <is>
          <t>Lương:Cạnh tranh</t>
        </is>
      </c>
      <c r="F15556" s="10" t="inlineStr">
        <is>
          <t>Hà Nội</t>
        </is>
      </c>
      <c r="G15556" s="10" t="inlineStr">
        <is>
          <t>08-04-2026</t>
        </is>
      </c>
      <c r="H15556" s="10" t="inlineStr">
        <is>
          <t>08/04/2026</t>
        </is>
      </c>
      <c r="I15556" s="10" t="inlineStr">
        <is>
          <t>17/03/2026</t>
        </is>
      </c>
      <c r="J15556" s="10" t="inlineStr">
        <is>
          <t>Ngân hàng, Tài chính / Đầu tư, Dịch vụ khách hàng</t>
        </is>
      </c>
      <c r="K15556" s="10" t="inlineStr">
        <is>
          <t>Trên 7 Năm</t>
        </is>
      </c>
      <c r="L15556" s="11">
        <f>HYPERLINK("https://careerviet.vn/vi/tim-viec-lam/chuyen-gia-quan-tri-trai-nghiem-khach-hang.35C65066.html","Xem chi tiết")</f>
        <v/>
      </c>
      <c r="M15556" s="10" t="n"/>
    </row>
    <row r="15557">
      <c r="B15557" s="7" t="n">
        <v>15555</v>
      </c>
      <c r="C15557" t="inlineStr">
        <is>
          <t>Senior IT Security Officer (mảng Operation)</t>
        </is>
      </c>
      <c r="D15557" t="inlineStr">
        <is>
          <t>LOTTE FINANCE VIETNAM</t>
        </is>
      </c>
      <c r="E15557" t="inlineStr">
        <is>
          <t>Lương:Cạnh tranh</t>
        </is>
      </c>
      <c r="F15557" t="inlineStr">
        <is>
          <t>Hà Nội</t>
        </is>
      </c>
      <c r="G15557" t="inlineStr">
        <is>
          <t>08-04-2026</t>
        </is>
      </c>
      <c r="H15557" t="inlineStr">
        <is>
          <t>08/04/2026</t>
        </is>
      </c>
      <c r="I15557" t="inlineStr">
        <is>
          <t>17/03/2026</t>
        </is>
      </c>
      <c r="J15557" t="inlineStr">
        <is>
          <t>CNTT - Phần mềm</t>
        </is>
      </c>
      <c r="K15557" t="inlineStr">
        <is>
          <t>3 - 5 Năm</t>
        </is>
      </c>
      <c r="L15557" s="8">
        <f>HYPERLINK("https://careerviet.vn/vi/tim-viec-lam/senior-it-security-officer-mang-operation.35C64EF1.html","Xem chi tiết")</f>
        <v/>
      </c>
    </row>
    <row r="15558">
      <c r="B15558" s="9" t="n">
        <v>15556</v>
      </c>
      <c r="C15558" s="10" t="inlineStr">
        <is>
          <t>Project Manager</t>
        </is>
      </c>
      <c r="D15558" s="10" t="inlineStr">
        <is>
          <t>NGÂN HÀNG TMCP KỸ THƯƠNG VIỆT NAM (TECHCOMBANK)</t>
        </is>
      </c>
      <c r="E15558" s="10" t="inlineStr">
        <is>
          <t>Lương:Cạnh tranh</t>
        </is>
      </c>
      <c r="F15558" s="10" t="inlineStr">
        <is>
          <t>Hà Nội</t>
        </is>
      </c>
      <c r="G15558" s="10" t="inlineStr">
        <is>
          <t>08-04-2026</t>
        </is>
      </c>
      <c r="H15558" s="10" t="inlineStr">
        <is>
          <t>08/04/2026</t>
        </is>
      </c>
      <c r="I15558" s="10" t="inlineStr">
        <is>
          <t>17/03/2026</t>
        </is>
      </c>
      <c r="J15558" s="10" t="inlineStr">
        <is>
          <t>Ngân hàng, CNTT - Phần mềm, CNTT - Phần cứng / Mạng</t>
        </is>
      </c>
      <c r="K15558" s="10" t="inlineStr">
        <is>
          <t>Trên 8 Năm</t>
        </is>
      </c>
      <c r="L15558" s="11">
        <f>HYPERLINK("https://careerviet.vn/vi/tim-viec-lam/project-manager.35C65067.html","Xem chi tiết")</f>
        <v/>
      </c>
      <c r="M15558" s="10" t="n"/>
    </row>
    <row r="15559">
      <c r="B15559" s="7" t="n">
        <v>15557</v>
      </c>
      <c r="C15559" t="inlineStr">
        <is>
          <t>[SUỐI TIÊN] ĐIỀU HÀNH DU LỊCH TIẾNG ANH</t>
        </is>
      </c>
      <c r="D15559" t="inlineStr">
        <is>
          <t>CÔNG TY CỔ PHẦN VĂN HÓA DU LỊCH SUỐI TIÊN</t>
        </is>
      </c>
      <c r="E15559" t="inlineStr">
        <is>
          <t>Lương:Cạnh tranh</t>
        </is>
      </c>
      <c r="F15559" t="inlineStr">
        <is>
          <t>Hồ Chí Minh</t>
        </is>
      </c>
      <c r="G15559" t="inlineStr">
        <is>
          <t>08-04-2026</t>
        </is>
      </c>
      <c r="H15559" t="inlineStr">
        <is>
          <t>08/04/2026</t>
        </is>
      </c>
      <c r="I15559" t="inlineStr">
        <is>
          <t>17/03/2026</t>
        </is>
      </c>
      <c r="J15559" t="inlineStr">
        <is>
          <t>Du lịch</t>
        </is>
      </c>
      <c r="K15559" t="inlineStr">
        <is>
          <t>Chưa có kinh nghiệm</t>
        </is>
      </c>
      <c r="L15559" s="8">
        <f>HYPERLINK("https://careerviet.vn/vi/tim-viec-lam/suoi-tien-dieu-hanh-du-lich-tieng-anh.35C65060.html","Xem chi tiết")</f>
        <v/>
      </c>
    </row>
    <row r="15560">
      <c r="B15560" s="9" t="n">
        <v>15558</v>
      </c>
      <c r="C15560" s="10" t="inlineStr">
        <is>
          <t>Senior Omnichannel Marketing Specialist</t>
        </is>
      </c>
      <c r="D15560" s="10" t="inlineStr">
        <is>
          <t>Công Ty CP Vàng Bạc Đá Quý Phú Nhuận - PNJ</t>
        </is>
      </c>
      <c r="E15560" s="10" t="inlineStr">
        <is>
          <t>Lương:Cạnh tranh</t>
        </is>
      </c>
      <c r="F15560" s="10" t="inlineStr">
        <is>
          <t>Hồ Chí Minh</t>
        </is>
      </c>
      <c r="G15560" s="10" t="inlineStr">
        <is>
          <t>08-04-2026</t>
        </is>
      </c>
      <c r="H15560" s="10" t="inlineStr">
        <is>
          <t>08/04/2026</t>
        </is>
      </c>
      <c r="I15560" s="10" t="inlineStr">
        <is>
          <t>17/03/2026</t>
        </is>
      </c>
      <c r="J15560" s="10" t="inlineStr">
        <is>
          <t>Bán lẻ / Bán sỉ, Quảng cáo / Đối ngoại / Truyền Thông, Tiếp thị trực tuyến</t>
        </is>
      </c>
      <c r="K15560" s="10" t="inlineStr">
        <is>
          <t>Trên 2 Năm</t>
        </is>
      </c>
      <c r="L15560" s="11">
        <f>HYPERLINK("https://careerviet.vn/vi/tim-viec-lam/senior-omnichannel-marketing-specialist.35C64EB9.html","Xem chi tiết")</f>
        <v/>
      </c>
      <c r="M15560" s="10" t="n"/>
    </row>
    <row r="15561">
      <c r="B15561" s="7" t="n">
        <v>15559</v>
      </c>
      <c r="C15561" t="inlineStr">
        <is>
          <t>Giám sát bán hàng - Khu vực TPHCM</t>
        </is>
      </c>
      <c r="D15561" t="inlineStr">
        <is>
          <t>PepsiCo Foods Vietnam Company</t>
        </is>
      </c>
      <c r="E15561" t="inlineStr">
        <is>
          <t>Lương:Cạnh tranh</t>
        </is>
      </c>
      <c r="F15561" t="inlineStr">
        <is>
          <t>Hồ Chí Minh</t>
        </is>
      </c>
      <c r="G15561" t="inlineStr">
        <is>
          <t>08-04-2026</t>
        </is>
      </c>
      <c r="H15561" t="inlineStr">
        <is>
          <t>08/04/2026</t>
        </is>
      </c>
      <c r="I15561" t="inlineStr">
        <is>
          <t>17/03/2026</t>
        </is>
      </c>
      <c r="J15561" t="inlineStr">
        <is>
          <t>Bán hàng / Kinh doanh, Thực phẩm &amp; Đồ uống</t>
        </is>
      </c>
      <c r="K15561" t="inlineStr">
        <is>
          <t>5 - 10 Năm</t>
        </is>
      </c>
      <c r="L15561" s="8">
        <f>HYPERLINK("https://careerviet.vn/vi/tim-viec-lam/giam-sat-ban-hang-khu-vuc-tphcm.35C64F89.html","Xem chi tiết")</f>
        <v/>
      </c>
    </row>
    <row r="15562">
      <c r="B15562" s="9" t="n">
        <v>15560</v>
      </c>
      <c r="C15562" s="10" t="inlineStr">
        <is>
          <t>126611 - Tiếng Nhật - Thiết kế kết cấu gỗ - ngành Xây dựng</t>
        </is>
      </c>
      <c r="D15562" s="10" t="inlineStr">
        <is>
          <t>RGF HR Agent Vietnam Co., LTD</t>
        </is>
      </c>
      <c r="E15562" s="10" t="inlineStr">
        <is>
          <t>Lương:28 Tr - 40 Tr VND</t>
        </is>
      </c>
      <c r="F15562" s="10" t="inlineStr">
        <is>
          <t>Bình Dương</t>
        </is>
      </c>
      <c r="G15562" s="10" t="inlineStr">
        <is>
          <t>08-04-2026</t>
        </is>
      </c>
      <c r="H15562" s="10" t="inlineStr">
        <is>
          <t>08/04/2026</t>
        </is>
      </c>
      <c r="I15562" s="10" t="inlineStr">
        <is>
          <t>17/03/2026</t>
        </is>
      </c>
      <c r="J15562" s="10" t="inlineStr">
        <is>
          <t>Kiến trúc, Xây dựng</t>
        </is>
      </c>
      <c r="K15562" s="10" t="inlineStr">
        <is>
          <t>Trên 5 Năm</t>
        </is>
      </c>
      <c r="L15562" s="11">
        <f>HYPERLINK("https://careerviet.vn/vi/tim-viec-lam/126611-tieng-nhat-thiet-ke-ket-cau-go-nganh-xay-dung.35C64F08.html","Xem chi tiết")</f>
        <v/>
      </c>
      <c r="M15562" s="10" t="n"/>
    </row>
    <row r="15563">
      <c r="B15563" s="7" t="n">
        <v>15561</v>
      </c>
      <c r="C15563" t="inlineStr">
        <is>
          <t>KẾ TOÁN HÀNG HÓA</t>
        </is>
      </c>
      <c r="D15563" t="inlineStr">
        <is>
          <t>Công ty TNHH Vạn Niên</t>
        </is>
      </c>
      <c r="E15563" t="inlineStr">
        <is>
          <t>Lương:12 Tr - 15 Tr VND</t>
        </is>
      </c>
      <c r="F15563" t="inlineStr">
        <is>
          <t>Hà Nội</t>
        </is>
      </c>
      <c r="G15563" t="inlineStr">
        <is>
          <t>08-04-2026</t>
        </is>
      </c>
      <c r="H15563" t="inlineStr">
        <is>
          <t>08/04/2026</t>
        </is>
      </c>
      <c r="I15563" t="inlineStr">
        <is>
          <t>17/03/2026</t>
        </is>
      </c>
      <c r="J15563" t="inlineStr">
        <is>
          <t>Kế toán / Kiểm toán</t>
        </is>
      </c>
      <c r="K15563" t="inlineStr">
        <is>
          <t>2 - 10 Năm</t>
        </is>
      </c>
      <c r="L15563" s="8">
        <f>HYPERLINK("https://careerviet.vn/vi/tim-viec-lam/ke-toan-hang-hoa.35C64FDD.html","Xem chi tiết")</f>
        <v/>
      </c>
    </row>
    <row r="15564">
      <c r="B15564" s="9" t="n">
        <v>15562</v>
      </c>
      <c r="C15564" s="10" t="inlineStr">
        <is>
          <t>Sales Trainer (Chuyên Viên Đào Tạo Bán Hàng)</t>
        </is>
      </c>
      <c r="D15564" s="10" t="inlineStr">
        <is>
          <t>CÔNG TY CỔ PHẦN JEMMIA</t>
        </is>
      </c>
      <c r="E15564" s="10" t="inlineStr">
        <is>
          <t>Lương:16 Tr - 20 Tr VND</t>
        </is>
      </c>
      <c r="F15564" s="10" t="inlineStr">
        <is>
          <t>Hồ Chí Minh</t>
        </is>
      </c>
      <c r="G15564" s="10" t="inlineStr">
        <is>
          <t>08-04-2026</t>
        </is>
      </c>
      <c r="H15564" s="10" t="inlineStr">
        <is>
          <t>08/04/2026</t>
        </is>
      </c>
      <c r="I15564" s="10" t="inlineStr">
        <is>
          <t>17/03/2026</t>
        </is>
      </c>
      <c r="J15564" s="10" t="inlineStr">
        <is>
          <t>Bán hàng / Kinh doanh, Giáo dục / Đào tạo</t>
        </is>
      </c>
      <c r="K15564" s="10" t="inlineStr">
        <is>
          <t>3 - 5 Năm</t>
        </is>
      </c>
      <c r="L15564" s="11">
        <f>HYPERLINK("https://careerviet.vn/vi/tim-viec-lam/sales-trainer-chuyen-vien-dao-tao-ban-hang.35C64FF5.html","Xem chi tiết")</f>
        <v/>
      </c>
      <c r="M15564" s="10" t="n"/>
    </row>
    <row r="15565">
      <c r="B15565" s="7" t="n">
        <v>15563</v>
      </c>
      <c r="C15565" t="inlineStr">
        <is>
          <t>Nhân viên bảo trì cơ điện sản xuất</t>
        </is>
      </c>
      <c r="D15565" t="inlineStr">
        <is>
          <t>Công ty Cổ Phần Thảo Mộc Xanh</t>
        </is>
      </c>
      <c r="E15565" t="inlineStr">
        <is>
          <t>Lương:Cạnh tranh</t>
        </is>
      </c>
      <c r="F15565" t="inlineStr">
        <is>
          <t>Long An</t>
        </is>
      </c>
      <c r="G15565" t="inlineStr">
        <is>
          <t>08-04-2026</t>
        </is>
      </c>
      <c r="H15565" t="inlineStr">
        <is>
          <t>08/04/2026</t>
        </is>
      </c>
      <c r="I15565" t="inlineStr">
        <is>
          <t>17/03/2026</t>
        </is>
      </c>
      <c r="J15565" t="inlineStr">
        <is>
          <t>Cơ khí / Ô tô / Tự động hóa, Bảo trì / Sửa chữa, Điện / Điện tử / Điện lạnh / Điện công nghiệp</t>
        </is>
      </c>
      <c r="K15565" t="inlineStr">
        <is>
          <t>Trên 2 Năm</t>
        </is>
      </c>
      <c r="L15565" s="8">
        <f>HYPERLINK("https://careerviet.vn/vi/tim-viec-lam/nhan-vien-bao-tri-co-dien-san-xuat.35C67FD1.html","Xem chi tiết")</f>
        <v/>
      </c>
    </row>
    <row r="15566">
      <c r="B15566" s="9" t="n">
        <v>15564</v>
      </c>
      <c r="C15566" s="10" t="inlineStr">
        <is>
          <t>HRBP Plant Specialist</t>
        </is>
      </c>
      <c r="D15566" s="10" t="inlineStr">
        <is>
          <t>Marico South East Asia Corporation</t>
        </is>
      </c>
      <c r="E15566" s="10" t="inlineStr">
        <is>
          <t>Lương:Cạnh tranh</t>
        </is>
      </c>
      <c r="F15566" s="10" t="inlineStr">
        <is>
          <t>Hồ Chí Minh</t>
        </is>
      </c>
      <c r="G15566" s="10" t="inlineStr">
        <is>
          <t>08-04-2026</t>
        </is>
      </c>
      <c r="H15566" s="10" t="inlineStr">
        <is>
          <t>08/04/2026</t>
        </is>
      </c>
      <c r="I15566" s="10" t="inlineStr">
        <is>
          <t>17/03/2026</t>
        </is>
      </c>
      <c r="J15566" s="10" t="inlineStr">
        <is>
          <t>Nhân sự</t>
        </is>
      </c>
      <c r="K15566" s="10" t="inlineStr">
        <is>
          <t>N/A</t>
        </is>
      </c>
      <c r="L15566" s="11">
        <f>HYPERLINK("https://careerviet.vn/vi/tim-viec-lam/hrbp-plant-specialist.35C64EC5.html","Xem chi tiết")</f>
        <v/>
      </c>
      <c r="M15566" s="10" t="n"/>
    </row>
    <row r="15567">
      <c r="B15567" s="7" t="n">
        <v>15565</v>
      </c>
      <c r="C15567" t="inlineStr">
        <is>
          <t>Trưởng phòng KHDN vừa &amp; nhỏ (SME) - Khu vực Hồ Chí Minh - TA 175</t>
        </is>
      </c>
      <c r="D15567" t="inlineStr">
        <is>
          <t>Ngân Hàng TMCP Việt Nam Thịnh Vượng - VPBANK</t>
        </is>
      </c>
      <c r="E15567" t="inlineStr">
        <is>
          <t>Lương:25 Tr - 35 Tr VND</t>
        </is>
      </c>
      <c r="F15567" t="inlineStr">
        <is>
          <t>Hồ Chí Minh</t>
        </is>
      </c>
      <c r="G15567" t="inlineStr">
        <is>
          <t>08-04-2026</t>
        </is>
      </c>
      <c r="H15567" t="inlineStr">
        <is>
          <t>08/04/2026</t>
        </is>
      </c>
      <c r="I15567" t="inlineStr">
        <is>
          <t>17/03/2026</t>
        </is>
      </c>
      <c r="J15567" t="inlineStr">
        <is>
          <t>Ngân hàng</t>
        </is>
      </c>
      <c r="K15567" t="inlineStr">
        <is>
          <t>1 - 2 Năm</t>
        </is>
      </c>
      <c r="L15567" s="8">
        <f>HYPERLINK("https://careerviet.vn/vi/tim-viec-lam/truong-phong-khdn-vua-nho-sme-khu-vuc-ho-chi-minh-ta-175.35C64FB2.html","Xem chi tiết")</f>
        <v/>
      </c>
    </row>
    <row r="15568">
      <c r="B15568" s="9" t="n">
        <v>15566</v>
      </c>
      <c r="C15568" s="10" t="inlineStr">
        <is>
          <t>Chuyên viên Kinh doanh qua điện thoại Sản phẩm vay không có TSBĐ - Hà Nội</t>
        </is>
      </c>
      <c r="D15568" s="10" t="inlineStr">
        <is>
          <t>Ngân Hàng TMCP Quốc Tế Việt Nam</t>
        </is>
      </c>
      <c r="E15568" s="10" t="inlineStr">
        <is>
          <t>Lương:10 Tr - 15 Tr VND</t>
        </is>
      </c>
      <c r="F15568" s="10" t="inlineStr">
        <is>
          <t>Hà Nội</t>
        </is>
      </c>
      <c r="G15568" s="10" t="inlineStr">
        <is>
          <t>08-04-2026</t>
        </is>
      </c>
      <c r="H15568" s="10" t="inlineStr">
        <is>
          <t>08/04/2026</t>
        </is>
      </c>
      <c r="I15568" s="10" t="inlineStr">
        <is>
          <t>17/03/2026</t>
        </is>
      </c>
      <c r="J15568" s="10" t="inlineStr">
        <is>
          <t>Bán hàng / Kinh doanh, Tiếp thị trực tuyến</t>
        </is>
      </c>
      <c r="K15568" s="10" t="inlineStr">
        <is>
          <t>Trên 1 Năm</t>
        </is>
      </c>
      <c r="L15568" s="11">
        <f>HYPERLINK("https://careerviet.vn/vi/tim-viec-lam/chuyen-vien-kinh-doanh-qua-dien-thoai-san-pham-vay-khong-co-tsbd-ha-noi.35C64FC4.html","Xem chi tiết")</f>
        <v/>
      </c>
      <c r="M15568" s="10" t="n"/>
    </row>
    <row r="15569">
      <c r="B15569" s="7" t="n">
        <v>15567</v>
      </c>
      <c r="C15569" t="inlineStr">
        <is>
          <t>Nhân viên Kế toán Công nợ</t>
        </is>
      </c>
      <c r="D15569" t="inlineStr">
        <is>
          <t>CÔNG TY CỔ PHẦN TRÀ VINH GC</t>
        </is>
      </c>
      <c r="E15569" t="inlineStr">
        <is>
          <t>Lương:14,5 Tr - 20 Tr VND</t>
        </is>
      </c>
      <c r="F15569" t="inlineStr">
        <is>
          <t>Hồ Chí Minh</t>
        </is>
      </c>
      <c r="G15569" t="inlineStr">
        <is>
          <t>08-04-2026</t>
        </is>
      </c>
      <c r="H15569" t="inlineStr">
        <is>
          <t>08/04/2026</t>
        </is>
      </c>
      <c r="I15569" t="inlineStr">
        <is>
          <t>17/03/2026</t>
        </is>
      </c>
      <c r="J15569" t="inlineStr">
        <is>
          <t>Kế toán / Kiểm toán</t>
        </is>
      </c>
      <c r="K15569" t="inlineStr">
        <is>
          <t>1 - 2 Năm</t>
        </is>
      </c>
      <c r="L15569" s="8">
        <f>HYPERLINK("https://careerviet.vn/vi/tim-viec-lam/nhan-vien-ke-toan-cong-no.35C64FEA.html","Xem chi tiết")</f>
        <v/>
      </c>
    </row>
    <row r="15570">
      <c r="B15570" s="9" t="n">
        <v>15568</v>
      </c>
      <c r="C15570" s="10" t="inlineStr">
        <is>
          <t>Chuyên viên Điều phối vận chuyển</t>
        </is>
      </c>
      <c r="D15570" s="10" t="inlineStr">
        <is>
          <t>Công ty TNHH Bình Việt Đức (BIVID)</t>
        </is>
      </c>
      <c r="E15570" s="10" t="inlineStr">
        <is>
          <t>Lương:12 Tr - 15 Tr VND</t>
        </is>
      </c>
      <c r="F15570" s="10" t="inlineStr">
        <is>
          <t>Hồ Chí Minh</t>
        </is>
      </c>
      <c r="G15570" s="10" t="inlineStr">
        <is>
          <t>08-04-2026</t>
        </is>
      </c>
      <c r="H15570" s="10" t="inlineStr">
        <is>
          <t>08/04/2026</t>
        </is>
      </c>
      <c r="I15570" s="10" t="inlineStr">
        <is>
          <t>17/03/2026</t>
        </is>
      </c>
      <c r="J15570" s="10" t="inlineStr">
        <is>
          <t>Dược phẩm/ Hóa Mỹ Phẩm</t>
        </is>
      </c>
      <c r="K15570" s="10" t="inlineStr">
        <is>
          <t>2 - 3 Năm</t>
        </is>
      </c>
      <c r="L15570" s="11">
        <f>HYPERLINK("https://careerviet.vn/vi/tim-viec-lam/chuyen-vien-dieu-phoi-van-chuyen.35C64F5F.html","Xem chi tiết")</f>
        <v/>
      </c>
      <c r="M15570" s="10" t="n"/>
    </row>
    <row r="15571">
      <c r="B15571" s="7" t="n">
        <v>15569</v>
      </c>
      <c r="C15571" t="inlineStr">
        <is>
          <t>126615 - Tiếng Nhật - Kế toán kiêm Hành chính - ngành Xây dựng</t>
        </is>
      </c>
      <c r="D15571" t="inlineStr">
        <is>
          <t>RGF HR Agent Vietnam Co., LTD</t>
        </is>
      </c>
      <c r="E15571" t="inlineStr">
        <is>
          <t>Lương:24 Tr - 30 Tr VND</t>
        </is>
      </c>
      <c r="F15571" t="inlineStr">
        <is>
          <t>Hồ Chí Minh</t>
        </is>
      </c>
      <c r="G15571" t="inlineStr">
        <is>
          <t>08-04-2026</t>
        </is>
      </c>
      <c r="H15571" t="inlineStr">
        <is>
          <t>08/04/2026</t>
        </is>
      </c>
      <c r="I15571" t="inlineStr">
        <is>
          <t>17/03/2026</t>
        </is>
      </c>
      <c r="J15571" t="inlineStr">
        <is>
          <t>Xây dựng, Kế toán / Kiểm toán, Hành chính / Thư ký</t>
        </is>
      </c>
      <c r="K15571" t="inlineStr">
        <is>
          <t>Trên 1 Năm</t>
        </is>
      </c>
      <c r="L15571" s="8">
        <f>HYPERLINK("https://careerviet.vn/vi/tim-viec-lam/126615-tieng-nhat-ke-toan-kiem-hanh-chinh-nganh-xay-dung.35C64F1D.html","Xem chi tiết")</f>
        <v/>
      </c>
    </row>
    <row r="15572">
      <c r="B15572" s="9" t="n">
        <v>15570</v>
      </c>
      <c r="C15572" s="10" t="inlineStr">
        <is>
          <t>Chuyên viên kế hoạch bao bì (Làm việc tại Tây Ninh)</t>
        </is>
      </c>
      <c r="D15572" s="10" t="inlineStr">
        <is>
          <t>Công ty CP Thành Thành Công - Biên Hòa</t>
        </is>
      </c>
      <c r="E15572" s="10" t="inlineStr">
        <is>
          <t>Lương:Cạnh tranh</t>
        </is>
      </c>
      <c r="F15572" s="10" t="inlineStr">
        <is>
          <t>Tây Ninh</t>
        </is>
      </c>
      <c r="G15572" s="10" t="inlineStr">
        <is>
          <t>08-04-2026</t>
        </is>
      </c>
      <c r="H15572" s="10" t="inlineStr">
        <is>
          <t>08/04/2026</t>
        </is>
      </c>
      <c r="I15572" s="10" t="inlineStr">
        <is>
          <t>17/03/2026</t>
        </is>
      </c>
      <c r="J15572" s="10" t="inlineStr">
        <is>
          <t>Kế toán / Kiểm toán, Ngành khác, Tài chính / Đầu tư</t>
        </is>
      </c>
      <c r="K15572" s="10" t="inlineStr">
        <is>
          <t>2 - 5 Năm</t>
        </is>
      </c>
      <c r="L15572" s="11">
        <f>HYPERLINK("https://careerviet.vn/vi/tim-viec-lam/chuyen-vien-ke-hoach-bao-bi-lam-viec-tai-tay-ninh.35C64F5C.html","Xem chi tiết")</f>
        <v/>
      </c>
      <c r="M15572" s="10" t="n"/>
    </row>
    <row r="15573">
      <c r="B15573" s="7" t="n">
        <v>15571</v>
      </c>
      <c r="C15573" t="inlineStr">
        <is>
          <t>Giám đốc Trung tâm Thúc đẩy bán - [BAC A BANK - Khối Khách hàng Doanh nghiệp]</t>
        </is>
      </c>
      <c r="D15573" t="inlineStr">
        <is>
          <t>Ngân Hàng Thương mại cổ phần Bắc Á- BAC A BANK</t>
        </is>
      </c>
      <c r="E15573" t="inlineStr">
        <is>
          <t>Lương:Cạnh tranh</t>
        </is>
      </c>
      <c r="F15573" t="inlineStr">
        <is>
          <t>Hà Nội</t>
        </is>
      </c>
      <c r="G15573" t="inlineStr">
        <is>
          <t>08-04-2026</t>
        </is>
      </c>
      <c r="H15573" t="inlineStr">
        <is>
          <t>08/04/2026</t>
        </is>
      </c>
      <c r="I15573" t="inlineStr">
        <is>
          <t>17/03/2026</t>
        </is>
      </c>
      <c r="J15573" t="inlineStr">
        <is>
          <t>Ngân hàng, Quản lý điều hành</t>
        </is>
      </c>
      <c r="K15573" t="inlineStr">
        <is>
          <t>7 - 10 Năm</t>
        </is>
      </c>
      <c r="L15573" s="8">
        <f>HYPERLINK("https://careerviet.vn/vi/tim-viec-lam/giam-doc-trung-tam-thuc-day-ban-bac-a-bank-khoi-khach-hang-doanh-nghiep.35C64EA3.html","Xem chi tiết")</f>
        <v/>
      </c>
    </row>
    <row r="15574">
      <c r="B15574" s="9" t="n">
        <v>15572</v>
      </c>
      <c r="C15574" s="10" t="inlineStr">
        <is>
          <t>Clearance CS  support staff</t>
        </is>
      </c>
      <c r="D15574" s="10" t="inlineStr">
        <is>
          <t>S.F. EXPRESS LTD.</t>
        </is>
      </c>
      <c r="E15574" s="10" t="inlineStr">
        <is>
          <t>Lương:13 Tr - 18 Tr VND</t>
        </is>
      </c>
      <c r="F15574" s="10" t="inlineStr">
        <is>
          <t>Hồ Chí Minh</t>
        </is>
      </c>
      <c r="G15574" s="10" t="inlineStr">
        <is>
          <t>08-04-2026</t>
        </is>
      </c>
      <c r="H15574" s="10" t="inlineStr">
        <is>
          <t>08/04/2026</t>
        </is>
      </c>
      <c r="I15574" s="10" t="inlineStr">
        <is>
          <t>17/03/2026</t>
        </is>
      </c>
      <c r="J15574" s="10" t="inlineStr">
        <is>
          <t>Vận chuyển / Giao nhận / Kho vận, Xuất nhập khẩu, Hàng hải</t>
        </is>
      </c>
      <c r="K15574" s="10" t="inlineStr">
        <is>
          <t>2 - 5 Năm</t>
        </is>
      </c>
      <c r="L15574" s="11">
        <f>HYPERLINK("https://careerviet.vn/vi/tim-viec-lam/clearance-cs-support-staff.35C64EAA.html","Xem chi tiết")</f>
        <v/>
      </c>
      <c r="M15574" s="10" t="n"/>
    </row>
    <row r="15575">
      <c r="B15575" s="7" t="n">
        <v>15573</v>
      </c>
      <c r="C15575" t="inlineStr">
        <is>
          <t>Ecommerce Operations Leader</t>
        </is>
      </c>
      <c r="D15575" t="inlineStr">
        <is>
          <t>Concung.com - Con Cung Joint Stock Company</t>
        </is>
      </c>
      <c r="E15575" t="inlineStr">
        <is>
          <t>Lương:16 Tr - 25 Tr VND</t>
        </is>
      </c>
      <c r="F15575" t="inlineStr">
        <is>
          <t>Hồ Chí Minh</t>
        </is>
      </c>
      <c r="G15575" t="inlineStr">
        <is>
          <t>08-04-2026</t>
        </is>
      </c>
      <c r="H15575" t="inlineStr">
        <is>
          <t>08/04/2026</t>
        </is>
      </c>
      <c r="I15575" t="inlineStr">
        <is>
          <t>17/03/2026</t>
        </is>
      </c>
      <c r="J15575" t="inlineStr">
        <is>
          <t>Tiếp thị / Marketing, Bán hàng / Kinh doanh, Thương mại điện tử</t>
        </is>
      </c>
      <c r="K15575" t="inlineStr">
        <is>
          <t>2 - 3 Năm</t>
        </is>
      </c>
      <c r="L15575" s="8">
        <f>HYPERLINK("https://careerviet.vn/vi/tim-viec-lam/ecommerce-operations-leader.35C65061.html","Xem chi tiết")</f>
        <v/>
      </c>
    </row>
    <row r="15576">
      <c r="B15576" s="9" t="n">
        <v>15574</v>
      </c>
      <c r="C15576" s="10" t="inlineStr">
        <is>
          <t>Kỹ sư thiết kế sản phẩm</t>
        </is>
      </c>
      <c r="D15576" s="10" t="inlineStr">
        <is>
          <t>Công Ty Cổ Phần Kềm Nghĩa Sài Gòn</t>
        </is>
      </c>
      <c r="E15576" s="10" t="inlineStr">
        <is>
          <t>Lương:20 Tr - 30 Tr VND</t>
        </is>
      </c>
      <c r="F15576" s="10" t="inlineStr">
        <is>
          <t>Hồ Chí Minh</t>
        </is>
      </c>
      <c r="G15576" s="10" t="inlineStr">
        <is>
          <t>08-04-2026</t>
        </is>
      </c>
      <c r="H15576" s="10" t="inlineStr">
        <is>
          <t>08/04/2026</t>
        </is>
      </c>
      <c r="I15576" s="10" t="inlineStr">
        <is>
          <t>17/03/2026</t>
        </is>
      </c>
      <c r="J15576" s="10" t="inlineStr">
        <is>
          <t>Y tế / Chăm sóc sức khỏe / Thẩm mỹ / Làm đẹp, Cơ khí / Ô tô / Tự động hóa, Sản xuất / Vận hành sản xuất</t>
        </is>
      </c>
      <c r="K15576" s="10" t="inlineStr">
        <is>
          <t>3 - 5 Năm</t>
        </is>
      </c>
      <c r="L15576" s="11">
        <f>HYPERLINK("https://careerviet.vn/vi/tim-viec-lam/ky-su-thiet-ke-san-pham.35C64FC1.html","Xem chi tiết")</f>
        <v/>
      </c>
      <c r="M15576" s="10" t="n"/>
    </row>
    <row r="15577">
      <c r="B15577" s="7" t="n">
        <v>15575</v>
      </c>
      <c r="C15577" t="inlineStr">
        <is>
          <t>Giám Sát Kinh Doanh Kênh Siêu Thị - MT Sales Supervisor</t>
        </is>
      </c>
      <c r="D15577" t="inlineStr">
        <is>
          <t>Wipro Consumer Care Vietnam</t>
        </is>
      </c>
      <c r="E15577" t="inlineStr">
        <is>
          <t>Lương:Cạnh tranh</t>
        </is>
      </c>
      <c r="F15577" t="inlineStr">
        <is>
          <t>Hồ Chí Minh</t>
        </is>
      </c>
      <c r="G15577" t="inlineStr">
        <is>
          <t>08-04-2026</t>
        </is>
      </c>
      <c r="H15577" t="inlineStr">
        <is>
          <t>08/04/2026</t>
        </is>
      </c>
      <c r="I15577" t="inlineStr">
        <is>
          <t>17/03/2026</t>
        </is>
      </c>
      <c r="J15577" t="inlineStr">
        <is>
          <t>Tiếp thị / Marketing, Bán lẻ / Bán sỉ, Dược phẩm/ Hóa Mỹ Phẩm</t>
        </is>
      </c>
      <c r="K15577" t="inlineStr">
        <is>
          <t>2 - 5 Năm</t>
        </is>
      </c>
      <c r="L15577" s="8">
        <f>HYPERLINK("https://careerviet.vn/vi/tim-viec-lam/giam-sat-kinh-doanh-kenh-sieu-thi-mt-sales-supervisor.35C6503C.html","Xem chi tiết")</f>
        <v/>
      </c>
    </row>
    <row r="15578">
      <c r="B15578" s="9" t="n">
        <v>15576</v>
      </c>
      <c r="C15578" s="10" t="inlineStr">
        <is>
          <t>Nhân Viên Kinh Doanh Tiếng Nhật (N2)</t>
        </is>
      </c>
      <c r="D15578" s="10" t="inlineStr">
        <is>
          <t>CÔNG TY TNHH WATANABE PIPE VIỆT NAM</t>
        </is>
      </c>
      <c r="E15578" s="10" t="inlineStr">
        <is>
          <t>Lương:15 Tr - 20 Tr VND</t>
        </is>
      </c>
      <c r="F15578" s="10" t="inlineStr">
        <is>
          <t>Hưng YênHà NộiHải Dương</t>
        </is>
      </c>
      <c r="G15578" s="10" t="inlineStr">
        <is>
          <t>07-04-2026</t>
        </is>
      </c>
      <c r="H15578" s="10" t="inlineStr">
        <is>
          <t>07/04/2026</t>
        </is>
      </c>
      <c r="I15578" s="10" t="inlineStr">
        <is>
          <t>17/03/2026</t>
        </is>
      </c>
      <c r="J15578" s="10" t="inlineStr">
        <is>
          <t>Bán hàng / Kinh doanh, Tư vấn, Biên phiên dịch</t>
        </is>
      </c>
      <c r="K15578" s="10" t="inlineStr">
        <is>
          <t>Lên đến 3 Năm</t>
        </is>
      </c>
      <c r="L15578" s="11">
        <f>HYPERLINK("https://careerviet.vn/vi/tim-viec-lam/nhan-vien-kinh-doanh-tieng-nhat-n2.35C6505D.html","Xem chi tiết")</f>
        <v/>
      </c>
      <c r="M15578" s="10" t="n"/>
    </row>
    <row r="15579">
      <c r="B15579" s="7" t="n">
        <v>15577</v>
      </c>
      <c r="C15579" t="inlineStr">
        <is>
          <t>Kế toán trưởng (Lai Vung, Đồng Tháp)</t>
        </is>
      </c>
      <c r="D15579" t="inlineStr">
        <is>
          <t>CÔNG TY TNHH ĐẦU TƯ ITS</t>
        </is>
      </c>
      <c r="E15579" t="inlineStr">
        <is>
          <t>Lương:18 Tr - 25 Tr VND</t>
        </is>
      </c>
      <c r="F15579" t="inlineStr">
        <is>
          <t>Đồng Tháp</t>
        </is>
      </c>
      <c r="G15579" t="inlineStr">
        <is>
          <t>08-04-2026</t>
        </is>
      </c>
      <c r="H15579" t="inlineStr">
        <is>
          <t>08/04/2026</t>
        </is>
      </c>
      <c r="I15579" t="inlineStr">
        <is>
          <t>17/03/2026</t>
        </is>
      </c>
      <c r="J15579" t="inlineStr">
        <is>
          <t>Kế toán / Kiểm toán</t>
        </is>
      </c>
      <c r="K15579" t="inlineStr">
        <is>
          <t>3 - 5 Năm</t>
        </is>
      </c>
      <c r="L15579" s="8">
        <f>HYPERLINK("https://careerviet.vn/vi/tim-viec-lam/ke-toan-truong-lai-vung-dong-thap.35C65029.html","Xem chi tiết")</f>
        <v/>
      </c>
    </row>
    <row r="15580">
      <c r="B15580" s="9" t="n">
        <v>15578</v>
      </c>
      <c r="C15580" s="10" t="inlineStr">
        <is>
          <t>Kế toán doanh thu chi phí</t>
        </is>
      </c>
      <c r="D15580" s="10" t="inlineStr">
        <is>
          <t>CÔNG TY LIÊN DOANH VẬN CHUYỂN QUỐC TẾ HẢI VÂN</t>
        </is>
      </c>
      <c r="E15580" s="10" t="inlineStr">
        <is>
          <t>Lương:9 Tr - 13 Tr VND</t>
        </is>
      </c>
      <c r="F15580" s="10" t="inlineStr">
        <is>
          <t>Hà Nội</t>
        </is>
      </c>
      <c r="G15580" s="10" t="inlineStr">
        <is>
          <t>08-04-2026</t>
        </is>
      </c>
      <c r="H15580" s="10" t="inlineStr">
        <is>
          <t>08/04/2026</t>
        </is>
      </c>
      <c r="I15580" s="10" t="inlineStr">
        <is>
          <t>17/03/2026</t>
        </is>
      </c>
      <c r="J15580" s="10" t="inlineStr">
        <is>
          <t>Kế toán / Kiểm toán</t>
        </is>
      </c>
      <c r="K15580" s="10" t="inlineStr">
        <is>
          <t>Chưa có kinh nghiệm</t>
        </is>
      </c>
      <c r="L15580" s="11">
        <f>HYPERLINK("https://careerviet.vn/vi/tim-viec-lam/ke-toan-doanh-thu-chi-phi.35C6504D.html","Xem chi tiết")</f>
        <v/>
      </c>
      <c r="M15580" s="10" t="n"/>
    </row>
    <row r="15581">
      <c r="B15581" s="7" t="n">
        <v>15579</v>
      </c>
      <c r="C15581" t="inlineStr">
        <is>
          <t>Kỹ sư tư vấn thiết kế/chào thầu kiến trúc - kết cấu nhà công nghiệp  (35-60 triệu/tháng)</t>
        </is>
      </c>
      <c r="D15581" t="inlineStr">
        <is>
          <t>Công ty TNHH Cơ Điện Lạnh EEP Việt Nam</t>
        </is>
      </c>
      <c r="E15581" t="inlineStr">
        <is>
          <t>Lương:35 Tr - 60 Tr VND</t>
        </is>
      </c>
      <c r="F15581" t="inlineStr">
        <is>
          <t>Hà Nội</t>
        </is>
      </c>
      <c r="G15581" t="inlineStr">
        <is>
          <t>08-04-2026</t>
        </is>
      </c>
      <c r="H15581" t="inlineStr">
        <is>
          <t>08/04/2026</t>
        </is>
      </c>
      <c r="I15581" t="inlineStr">
        <is>
          <t>17/03/2026</t>
        </is>
      </c>
      <c r="J15581" t="inlineStr">
        <is>
          <t>Xây dựng, Kiến trúc</t>
        </is>
      </c>
      <c r="K15581" t="inlineStr">
        <is>
          <t>5 - 10 Năm</t>
        </is>
      </c>
      <c r="L15581" s="8">
        <f>HYPERLINK("https://careerviet.vn/vi/tim-viec-lam/ky-su-tu-van-thiet-ke-chao-thau-kien-truc-ket-cau-nha-cong-nghiep-35-60-trieu-thang.35C6506E.html","Xem chi tiết")</f>
        <v/>
      </c>
    </row>
    <row r="15582">
      <c r="B15582" s="9" t="n">
        <v>15580</v>
      </c>
      <c r="C15582" s="10" t="inlineStr">
        <is>
          <t>Y tế trường mầm non cụm Thủ Đức - Quận 9</t>
        </is>
      </c>
      <c r="D15582" s="10" t="inlineStr">
        <is>
          <t>TRƯỜNG QUỐC TẾ BLUE RIDGE / BLUE RIDGE INTERNATIONAL SCHOOL (BRIS)</t>
        </is>
      </c>
      <c r="E15582" s="10" t="inlineStr">
        <is>
          <t>Lương:8 Tr - 9 Tr VND</t>
        </is>
      </c>
      <c r="F15582" s="10" t="inlineStr">
        <is>
          <t>Hồ Chí Minh</t>
        </is>
      </c>
      <c r="G15582" s="10" t="inlineStr">
        <is>
          <t>08-04-2026</t>
        </is>
      </c>
      <c r="H15582" s="10" t="inlineStr">
        <is>
          <t>08/04/2026</t>
        </is>
      </c>
      <c r="I15582" s="10" t="inlineStr">
        <is>
          <t>17/03/2026</t>
        </is>
      </c>
      <c r="J15582" s="10" t="inlineStr">
        <is>
          <t>Y tế / Chăm sóc sức khỏe / Thẩm mỹ / Làm đẹp</t>
        </is>
      </c>
      <c r="K15582" s="10" t="inlineStr">
        <is>
          <t>1 - 2 Năm</t>
        </is>
      </c>
      <c r="L15582" s="11">
        <f>HYPERLINK("https://careerviet.vn/vi/tim-viec-lam/y-te-truong-mam-non-cum-thu-duc-quan-9.35C64EE7.html","Xem chi tiết")</f>
        <v/>
      </c>
      <c r="M15582" s="10" t="n"/>
    </row>
    <row r="15583">
      <c r="B15583" s="7" t="n">
        <v>15581</v>
      </c>
      <c r="C15583" t="inlineStr">
        <is>
          <t>HCM - Merchandise Planning Team Leader</t>
        </is>
      </c>
      <c r="D15583" t="inlineStr">
        <is>
          <t>CÔNG TY CỔ PHẦN MAISON RETAIL MANAGEMENT INTERNATIONAL</t>
        </is>
      </c>
      <c r="E15583" t="inlineStr">
        <is>
          <t>Lương:Cạnh tranh</t>
        </is>
      </c>
      <c r="F15583" t="inlineStr">
        <is>
          <t>Hồ Chí Minh</t>
        </is>
      </c>
      <c r="G15583" t="inlineStr">
        <is>
          <t>08-04-2026</t>
        </is>
      </c>
      <c r="H15583" t="inlineStr">
        <is>
          <t>08/04/2026</t>
        </is>
      </c>
      <c r="I15583" t="inlineStr">
        <is>
          <t>17/03/2026</t>
        </is>
      </c>
      <c r="J15583" t="inlineStr">
        <is>
          <t>Bán lẻ / Bán sỉ, Thu mua / Vật tư</t>
        </is>
      </c>
      <c r="K15583" t="inlineStr">
        <is>
          <t>2 - 3 Năm</t>
        </is>
      </c>
      <c r="L15583" s="8">
        <f>HYPERLINK("https://careerviet.vn/vi/tim-viec-lam/hcm-merchandise-planning-team-leader.35C64FDF.html","Xem chi tiết")</f>
        <v/>
      </c>
    </row>
    <row r="15584">
      <c r="B15584" s="9" t="n">
        <v>15582</v>
      </c>
      <c r="C15584" s="10" t="inlineStr">
        <is>
          <t>Thực Tập Sinh Kế Toán</t>
        </is>
      </c>
      <c r="D15584" s="10" t="inlineStr">
        <is>
          <t>Công ty TNHH Sản xuất Thương mại &amp; Dịch vụ Hoa Xinh</t>
        </is>
      </c>
      <c r="E15584" s="10" t="inlineStr">
        <is>
          <t>Lương:4 Tr - 5 Tr VND</t>
        </is>
      </c>
      <c r="F15584" s="10" t="inlineStr">
        <is>
          <t>Hồ Chí Minh</t>
        </is>
      </c>
      <c r="G15584" s="10" t="inlineStr">
        <is>
          <t>08-04-2026</t>
        </is>
      </c>
      <c r="H15584" s="10" t="inlineStr">
        <is>
          <t>08/04/2026</t>
        </is>
      </c>
      <c r="I15584" s="10" t="inlineStr">
        <is>
          <t>17/03/2026</t>
        </is>
      </c>
      <c r="J15584" s="10" t="inlineStr">
        <is>
          <t>Kế toán / Kiểm toán</t>
        </is>
      </c>
      <c r="K15584" s="10" t="inlineStr">
        <is>
          <t>N/A</t>
        </is>
      </c>
      <c r="L15584" s="11">
        <f>HYPERLINK("https://careerviet.vn/vi/tim-viec-lam/thuc-tap-sinh-ke-toan.35C64FE2.html","Xem chi tiết")</f>
        <v/>
      </c>
      <c r="M15584" s="10" t="n"/>
    </row>
    <row r="15585">
      <c r="B15585" s="7" t="n">
        <v>15583</v>
      </c>
      <c r="C15585" t="inlineStr">
        <is>
          <t>Chuyên viên nhân sự tổng hợp</t>
        </is>
      </c>
      <c r="D15585" t="inlineStr">
        <is>
          <t>CÔNG TY TNHH SẢN XUẤT XÂY DỰNG ÁNH DƯƠNG XANH</t>
        </is>
      </c>
      <c r="E15585" t="inlineStr">
        <is>
          <t>Lương:13 Tr - 16 Tr VND</t>
        </is>
      </c>
      <c r="F15585" t="inlineStr">
        <is>
          <t>Hồ Chí Minh</t>
        </is>
      </c>
      <c r="G15585" t="inlineStr">
        <is>
          <t>08-04-2026</t>
        </is>
      </c>
      <c r="H15585" t="inlineStr">
        <is>
          <t>08/04/2026</t>
        </is>
      </c>
      <c r="I15585" t="inlineStr">
        <is>
          <t>17/03/2026</t>
        </is>
      </c>
      <c r="J15585" t="inlineStr">
        <is>
          <t>Hành chính / Thư ký, Nhân sự</t>
        </is>
      </c>
      <c r="K15585" t="inlineStr">
        <is>
          <t>3 - 5 Năm</t>
        </is>
      </c>
      <c r="L15585" s="8">
        <f>HYPERLINK("https://careerviet.vn/vi/tim-viec-lam/chuyen-vien-nhan-su-tong-hop.35C64FFF.html","Xem chi tiết")</f>
        <v/>
      </c>
    </row>
    <row r="15586">
      <c r="B15586" s="9" t="n">
        <v>15584</v>
      </c>
      <c r="C15586" s="10" t="inlineStr">
        <is>
          <t>Nhân viên an ninh - TP. Thủ Đức - Pathway School</t>
        </is>
      </c>
      <c r="D15586" s="10" t="inlineStr">
        <is>
          <t>Hệ thống trường Pathway Tuệ Đức</t>
        </is>
      </c>
      <c r="E15586" s="10" t="inlineStr">
        <is>
          <t>Lương:Cạnh tranh</t>
        </is>
      </c>
      <c r="F15586" s="10" t="inlineStr">
        <is>
          <t>Hồ Chí Minh</t>
        </is>
      </c>
      <c r="G15586" s="10" t="inlineStr">
        <is>
          <t>08-04-2026</t>
        </is>
      </c>
      <c r="H15586" s="10" t="inlineStr">
        <is>
          <t>08/04/2026</t>
        </is>
      </c>
      <c r="I15586" s="10" t="inlineStr">
        <is>
          <t>17/03/2026</t>
        </is>
      </c>
      <c r="J15586" s="10" t="inlineStr">
        <is>
          <t>An Ninh / Bảo Vệ, Giáo dục / Đào tạo</t>
        </is>
      </c>
      <c r="K15586" s="10" t="inlineStr">
        <is>
          <t>1 - 2 Năm</t>
        </is>
      </c>
      <c r="L15586" s="11">
        <f>HYPERLINK("https://careerviet.vn/vi/tim-viec-lam/nhan-vien-an-ninh-tp-thu-duc-pathway-school.35C64EBA.html","Xem chi tiết")</f>
        <v/>
      </c>
      <c r="M15586" s="10" t="n"/>
    </row>
    <row r="15587">
      <c r="B15587" s="7" t="n">
        <v>15585</v>
      </c>
      <c r="C15587" t="inlineStr">
        <is>
          <t>Kế Toán Thuế</t>
        </is>
      </c>
      <c r="D15587" t="inlineStr">
        <is>
          <t>CÔNG TY TNHH ĐẦU TƯ FEDEX VIỆT NAM</t>
        </is>
      </c>
      <c r="E15587" t="inlineStr">
        <is>
          <t>Lương:12 Tr - 20 Tr VND</t>
        </is>
      </c>
      <c r="F15587" t="inlineStr">
        <is>
          <t>Hà Nội</t>
        </is>
      </c>
      <c r="G15587" t="inlineStr">
        <is>
          <t>08-04-2026</t>
        </is>
      </c>
      <c r="H15587" t="inlineStr">
        <is>
          <t>08/04/2026</t>
        </is>
      </c>
      <c r="I15587" t="inlineStr">
        <is>
          <t>17/03/2026</t>
        </is>
      </c>
      <c r="J15587" t="inlineStr">
        <is>
          <t>Luật / Pháp lý, Tài chính / Đầu tư, Kế toán / Kiểm toán</t>
        </is>
      </c>
      <c r="K15587" t="inlineStr">
        <is>
          <t>Trên 2 Năm</t>
        </is>
      </c>
      <c r="L15587" s="8">
        <f>HYPERLINK("https://careerviet.vn/vi/tim-viec-lam/ke-toan-thue.35C64FF4.html","Xem chi tiết")</f>
        <v/>
      </c>
    </row>
    <row r="15588">
      <c r="B15588" s="9" t="n">
        <v>15586</v>
      </c>
      <c r="C15588" s="10" t="inlineStr">
        <is>
          <t>Nhân viên chăm sóc khách hàng</t>
        </is>
      </c>
      <c r="D15588" s="10" t="inlineStr">
        <is>
          <t>Viện Thẩm mỹ y khoa Dr Hải Lê</t>
        </is>
      </c>
      <c r="E15588" s="10" t="inlineStr">
        <is>
          <t>Lương:10 Tr - 15 Tr VND</t>
        </is>
      </c>
      <c r="F15588" s="10" t="inlineStr">
        <is>
          <t>Hà Nội</t>
        </is>
      </c>
      <c r="G15588" s="10" t="inlineStr">
        <is>
          <t>08-04-2026</t>
        </is>
      </c>
      <c r="H15588" s="10" t="inlineStr">
        <is>
          <t>08/04/2026</t>
        </is>
      </c>
      <c r="I15588" s="10" t="inlineStr">
        <is>
          <t>17/03/2026</t>
        </is>
      </c>
      <c r="J15588" s="10" t="inlineStr">
        <is>
          <t>Y tế / Chăm sóc sức khỏe / Thẩm mỹ / Làm đẹp, Tư vấn, Dịch vụ khách hàng</t>
        </is>
      </c>
      <c r="K15588" s="10" t="inlineStr">
        <is>
          <t>1 - 2 Năm</t>
        </is>
      </c>
      <c r="L15588" s="11">
        <f>HYPERLINK("https://careerviet.vn/vi/tim-viec-lam/nhan-vien-cham-soc-khach-hang.35C64EF8.html","Xem chi tiết")</f>
        <v/>
      </c>
      <c r="M15588" s="10" t="n"/>
    </row>
    <row r="15589">
      <c r="B15589" s="7" t="n">
        <v>15587</v>
      </c>
      <c r="C15589" t="inlineStr">
        <is>
          <t>Interior Designer</t>
        </is>
      </c>
      <c r="D15589" t="inlineStr">
        <is>
          <t>CÔNG TY TNHH LIDDLESTON VIỆT NAM</t>
        </is>
      </c>
      <c r="E15589" t="inlineStr">
        <is>
          <t>Lương:Cạnh tranh</t>
        </is>
      </c>
      <c r="F15589" t="inlineStr">
        <is>
          <t>Hồ Chí Minh</t>
        </is>
      </c>
      <c r="G15589" t="inlineStr">
        <is>
          <t>08-04-2026</t>
        </is>
      </c>
      <c r="H15589" t="inlineStr">
        <is>
          <t>08/04/2026</t>
        </is>
      </c>
      <c r="I15589" t="inlineStr">
        <is>
          <t>17/03/2026</t>
        </is>
      </c>
      <c r="J15589" t="inlineStr">
        <is>
          <t>Tiếp thị / Marketing, Mỹ thuật / Nghệ thuật / Thiết kế, Kiến trúc</t>
        </is>
      </c>
      <c r="K15589" t="inlineStr">
        <is>
          <t>3 - 5 Năm</t>
        </is>
      </c>
      <c r="L15589" s="8">
        <f>HYPERLINK("https://careerviet.vn/vi/tim-viec-lam/interior-designer.35C64FF1.html","Xem chi tiết")</f>
        <v/>
      </c>
    </row>
    <row r="15590">
      <c r="B15590" s="9" t="n">
        <v>15588</v>
      </c>
      <c r="C15590" s="10" t="inlineStr">
        <is>
          <t>Thực Tập Nhân Sự</t>
        </is>
      </c>
      <c r="D15590" s="10" t="inlineStr">
        <is>
          <t>Công ty TNHH Sản xuất Thương mại &amp; Dịch vụ Hoa Xinh</t>
        </is>
      </c>
      <c r="E15590" s="10" t="inlineStr">
        <is>
          <t>Lương:3 Tr - 4 Tr VND</t>
        </is>
      </c>
      <c r="F15590" s="10" t="inlineStr">
        <is>
          <t>Hồ Chí Minh</t>
        </is>
      </c>
      <c r="G15590" s="10" t="inlineStr">
        <is>
          <t>08-04-2026</t>
        </is>
      </c>
      <c r="H15590" s="10" t="inlineStr">
        <is>
          <t>08/04/2026</t>
        </is>
      </c>
      <c r="I15590" s="10" t="inlineStr">
        <is>
          <t>17/03/2026</t>
        </is>
      </c>
      <c r="J15590" s="10" t="inlineStr">
        <is>
          <t>Hành chính / Thư ký, Nhân sự, Mới tốt nghiệp / Thực tập</t>
        </is>
      </c>
      <c r="K15590" s="10" t="inlineStr">
        <is>
          <t>N/A</t>
        </is>
      </c>
      <c r="L15590" s="11">
        <f>HYPERLINK("https://careerviet.vn/vi/tim-viec-lam/thuc-tap-nhan-su.35C64F56.html","Xem chi tiết")</f>
        <v/>
      </c>
      <c r="M15590" s="10" t="n"/>
    </row>
    <row r="15591">
      <c r="B15591" s="7" t="n">
        <v>15589</v>
      </c>
      <c r="C15591" t="inlineStr">
        <is>
          <t>Kế Toán Trưởng, Kế Toán Tổng Hợp</t>
        </is>
      </c>
      <c r="D15591" t="inlineStr">
        <is>
          <t>CÔNG TY CỔ PHẦN XÂY DỰNG TC BÌNH ĐỊNH</t>
        </is>
      </c>
      <c r="E15591" t="inlineStr">
        <is>
          <t>Lương:Cạnh tranh</t>
        </is>
      </c>
      <c r="F15591" t="inlineStr">
        <is>
          <t>Bình Định</t>
        </is>
      </c>
      <c r="G15591" t="inlineStr">
        <is>
          <t>08-04-2026</t>
        </is>
      </c>
      <c r="H15591" t="inlineStr">
        <is>
          <t>08/04/2026</t>
        </is>
      </c>
      <c r="I15591" t="inlineStr">
        <is>
          <t>17/03/2026</t>
        </is>
      </c>
      <c r="J15591" t="inlineStr">
        <is>
          <t>Cơ khí / Ô tô / Tự động hóa, Xây dựng, Bất động sản</t>
        </is>
      </c>
      <c r="K15591" t="inlineStr">
        <is>
          <t>4 - 10 Năm</t>
        </is>
      </c>
      <c r="L15591" s="8">
        <f>HYPERLINK("https://careerviet.vn/vi/tim-viec-lam/ke-toan-truong-ke-toan-tong-hop.35C64FE8.html","Xem chi tiết")</f>
        <v/>
      </c>
    </row>
    <row r="15592">
      <c r="B15592" s="9" t="n">
        <v>15590</v>
      </c>
      <c r="C15592" s="10" t="inlineStr">
        <is>
          <t>CV/CVCC Khách hàng Doanh nghiệp - Trung tâm SME Bảo Lộc - TA175</t>
        </is>
      </c>
      <c r="D15592" s="10" t="inlineStr">
        <is>
          <t>Ngân Hàng TMCP Việt Nam Thịnh Vượng - VPBANK</t>
        </is>
      </c>
      <c r="E15592" s="10" t="inlineStr">
        <is>
          <t>Lương:12 Tr - 25 Tr VND</t>
        </is>
      </c>
      <c r="F15592" s="10" t="inlineStr">
        <is>
          <t>Lâm Đồng</t>
        </is>
      </c>
      <c r="G15592" s="10" t="inlineStr">
        <is>
          <t>08-04-2026</t>
        </is>
      </c>
      <c r="H15592" s="10" t="inlineStr">
        <is>
          <t>08/04/2026</t>
        </is>
      </c>
      <c r="I15592" s="10" t="inlineStr">
        <is>
          <t>17/03/2026</t>
        </is>
      </c>
      <c r="J15592" s="10" t="inlineStr">
        <is>
          <t>Ngân hàng</t>
        </is>
      </c>
      <c r="K15592" s="10" t="inlineStr">
        <is>
          <t>1 - 2 Năm</t>
        </is>
      </c>
      <c r="L15592" s="11">
        <f>HYPERLINK("https://careerviet.vn/vi/tim-viec-lam/cv-cvcc-khach-hang-doanh-nghiep-trung-tam-sme-bao-loc-ta175.35C64FCF.html","Xem chi tiết")</f>
        <v/>
      </c>
      <c r="M15592" s="10" t="n"/>
    </row>
    <row r="15593">
      <c r="B15593" s="7" t="n">
        <v>15591</v>
      </c>
      <c r="C15593" t="inlineStr">
        <is>
          <t>Hỗ trợ kinh doanh - Hành chính (Sale admin)</t>
        </is>
      </c>
      <c r="D15593" t="inlineStr">
        <is>
          <t>Công ty TNHH Vạn Niên</t>
        </is>
      </c>
      <c r="E15593" t="inlineStr">
        <is>
          <t>Lương:8 Tr - 10 Tr VND</t>
        </is>
      </c>
      <c r="F15593" t="inlineStr">
        <is>
          <t>Đà Nẵng</t>
        </is>
      </c>
      <c r="G15593" t="inlineStr">
        <is>
          <t>08-04-2026</t>
        </is>
      </c>
      <c r="H15593" t="inlineStr">
        <is>
          <t>08/04/2026</t>
        </is>
      </c>
      <c r="I15593" t="inlineStr">
        <is>
          <t>17/03/2026</t>
        </is>
      </c>
      <c r="J15593" t="inlineStr">
        <is>
          <t>Bán hàng / Kinh doanh, Dược phẩm/ Hóa Mỹ Phẩm, Y tế / Chăm sóc sức khỏe / Thẩm mỹ / Làm đẹp</t>
        </is>
      </c>
      <c r="K15593" t="inlineStr">
        <is>
          <t>1 - 3 Năm</t>
        </is>
      </c>
      <c r="L15593" s="8">
        <f>HYPERLINK("https://careerviet.vn/vi/tim-viec-lam/ho-tro-kinh-doanh-hanh-chinh-sale-admin.35C64FDE.html","Xem chi tiết")</f>
        <v/>
      </c>
    </row>
    <row r="15594">
      <c r="B15594" s="9" t="n">
        <v>15592</v>
      </c>
      <c r="C15594" s="10" t="inlineStr">
        <is>
          <t>Trưởng phòng Thiết kế</t>
        </is>
      </c>
      <c r="D15594" s="10" t="inlineStr">
        <is>
          <t>CÔNG TY CỔ PHẦN VẬT LIỆU VĨNH TÂN</t>
        </is>
      </c>
      <c r="E15594" s="10" t="inlineStr">
        <is>
          <t>Lương:30 Tr - 40 Tr VND</t>
        </is>
      </c>
      <c r="F15594" s="10" t="inlineStr">
        <is>
          <t>Hà Nội</t>
        </is>
      </c>
      <c r="G15594" s="10" t="inlineStr">
        <is>
          <t>08-04-2026</t>
        </is>
      </c>
      <c r="H15594" s="10" t="inlineStr">
        <is>
          <t>08/04/2026</t>
        </is>
      </c>
      <c r="I15594" s="10" t="inlineStr">
        <is>
          <t>17/03/2026</t>
        </is>
      </c>
      <c r="J15594" s="10" t="inlineStr">
        <is>
          <t>Quản lý điều hành, Kiến trúc, Bất động sản</t>
        </is>
      </c>
      <c r="K15594" s="10" t="inlineStr">
        <is>
          <t>5 - 7 Năm</t>
        </is>
      </c>
      <c r="L15594" s="11">
        <f>HYPERLINK("https://careerviet.vn/vi/tim-viec-lam/truong-phong-thiet-ke.35C64E90.html","Xem chi tiết")</f>
        <v/>
      </c>
      <c r="M15594" s="10" t="n"/>
    </row>
    <row r="15595">
      <c r="B15595" s="7" t="n">
        <v>15593</v>
      </c>
      <c r="C15595" t="inlineStr">
        <is>
          <t>Business Controller - Vinh Tuy, Hanoi</t>
        </is>
      </c>
      <c r="D15595" t="inlineStr">
        <is>
          <t>EUROFINS VIETNAM</t>
        </is>
      </c>
      <c r="E15595" t="inlineStr">
        <is>
          <t>Lương:Cạnh tranh</t>
        </is>
      </c>
      <c r="F15595" t="inlineStr">
        <is>
          <t>Hà Nội</t>
        </is>
      </c>
      <c r="G15595" t="inlineStr">
        <is>
          <t>08-04-2026</t>
        </is>
      </c>
      <c r="H15595" t="inlineStr">
        <is>
          <t>08/04/2026</t>
        </is>
      </c>
      <c r="I15595" t="inlineStr">
        <is>
          <t>17/03/2026</t>
        </is>
      </c>
      <c r="J15595" t="inlineStr">
        <is>
          <t>Y tế / Chăm sóc sức khỏe / Thẩm mỹ / Làm đẹp, Kế toán / Kiểm toán, Tài chính / Đầu tư</t>
        </is>
      </c>
      <c r="K15595" t="inlineStr">
        <is>
          <t>3 - 4 Năm</t>
        </is>
      </c>
      <c r="L15595" s="8">
        <f>HYPERLINK("https://careerviet.vn/vi/tim-viec-lam/business-controller-vinh-tuy-hanoi.35C64F2E.html","Xem chi tiết")</f>
        <v/>
      </c>
    </row>
    <row r="15596">
      <c r="B15596" s="9" t="n">
        <v>15594</v>
      </c>
      <c r="C15596" s="10" t="inlineStr">
        <is>
          <t>IT Quality Control Expert</t>
        </is>
      </c>
      <c r="D15596" s="10" t="inlineStr">
        <is>
          <t>LOTTE FINANCE VIETNAM</t>
        </is>
      </c>
      <c r="E15596" s="10" t="inlineStr">
        <is>
          <t>Lương:Cạnh tranh</t>
        </is>
      </c>
      <c r="F15596" s="10" t="inlineStr">
        <is>
          <t>Hà Nội</t>
        </is>
      </c>
      <c r="G15596" s="10" t="inlineStr">
        <is>
          <t>08-04-2026</t>
        </is>
      </c>
      <c r="H15596" s="10" t="inlineStr">
        <is>
          <t>08/04/2026</t>
        </is>
      </c>
      <c r="I15596" s="10" t="inlineStr">
        <is>
          <t>17/03/2026</t>
        </is>
      </c>
      <c r="J15596" s="10" t="inlineStr">
        <is>
          <t>CNTT - Phần mềm</t>
        </is>
      </c>
      <c r="K15596" s="10" t="inlineStr">
        <is>
          <t>5 - 7 Năm</t>
        </is>
      </c>
      <c r="L15596" s="11">
        <f>HYPERLINK("https://careerviet.vn/vi/tim-viec-lam/it-quality-control-expert.35C64F38.html","Xem chi tiết")</f>
        <v/>
      </c>
      <c r="M15596" s="10" t="n"/>
    </row>
    <row r="15597">
      <c r="B15597" s="7" t="n">
        <v>15595</v>
      </c>
      <c r="C15597" t="inlineStr">
        <is>
          <t>Nhân viên cài tiến công đoạn sản xuất</t>
        </is>
      </c>
      <c r="D15597" t="inlineStr">
        <is>
          <t>CX Technology VN</t>
        </is>
      </c>
      <c r="E15597" t="inlineStr">
        <is>
          <t>Lương:8 Tr - 11 Tr VND</t>
        </is>
      </c>
      <c r="F15597" t="inlineStr">
        <is>
          <t>Hồ Chí Minh</t>
        </is>
      </c>
      <c r="G15597" t="inlineStr">
        <is>
          <t>08-04-2026</t>
        </is>
      </c>
      <c r="H15597" t="inlineStr">
        <is>
          <t>08/04/2026</t>
        </is>
      </c>
      <c r="I15597" t="inlineStr">
        <is>
          <t>17/03/2026</t>
        </is>
      </c>
      <c r="J15597" t="inlineStr">
        <is>
          <t>Cơ khí / Ô tô / Tự động hóa, Sản xuất / Vận hành sản xuất</t>
        </is>
      </c>
      <c r="K15597" t="inlineStr">
        <is>
          <t>N/A</t>
        </is>
      </c>
      <c r="L15597" s="8">
        <f>HYPERLINK("https://careerviet.vn/vi/tim-viec-lam/nhan-vien-cai-tien-cong-doan-san-xuat.35C6502A.html","Xem chi tiết")</f>
        <v/>
      </c>
    </row>
    <row r="15598">
      <c r="B15598" s="9" t="n">
        <v>15596</v>
      </c>
      <c r="C15598" s="10" t="inlineStr">
        <is>
          <t>Phó Phòng Pháp Chế</t>
        </is>
      </c>
      <c r="D15598" s="10" t="inlineStr">
        <is>
          <t>CÔNG TY CỔ PHẦN TẬP ĐOÀN ONSEN FUJI</t>
        </is>
      </c>
      <c r="E15598" s="10" t="inlineStr">
        <is>
          <t>Lương:30 Tr - 40 Tr VND</t>
        </is>
      </c>
      <c r="F15598" s="10" t="inlineStr">
        <is>
          <t>Hà Nội</t>
        </is>
      </c>
      <c r="G15598" s="10" t="inlineStr">
        <is>
          <t>08-04-2026</t>
        </is>
      </c>
      <c r="H15598" s="10" t="inlineStr">
        <is>
          <t>08/04/2026</t>
        </is>
      </c>
      <c r="I15598" s="10" t="inlineStr">
        <is>
          <t>17/03/2026</t>
        </is>
      </c>
      <c r="J15598" s="10" t="inlineStr">
        <is>
          <t>Luật / Pháp lý, Xây dựng, Bất động sản</t>
        </is>
      </c>
      <c r="K15598" s="10" t="inlineStr">
        <is>
          <t>5 - 7 Năm</t>
        </is>
      </c>
      <c r="L15598" s="11">
        <f>HYPERLINK("https://careerviet.vn/vi/tim-viec-lam/pho-phong-phap-che.35C64F6D.html","Xem chi tiết")</f>
        <v/>
      </c>
      <c r="M15598" s="10" t="n"/>
    </row>
    <row r="15599">
      <c r="B15599" s="7" t="n">
        <v>15597</v>
      </c>
      <c r="C15599" t="inlineStr">
        <is>
          <t>Chuyên viên kỹ thuật (Trường nhóm) điện / Kỹ thuật (trưởng nhóm) cơ khí (Làm việc tại Đức Hoà, Long An)</t>
        </is>
      </c>
      <c r="D15599" t="inlineStr">
        <is>
          <t>Công ty cổ phần Nafoods Miền Nam</t>
        </is>
      </c>
      <c r="E15599" t="inlineStr">
        <is>
          <t>Lương:12 Tr - 17 Tr VND</t>
        </is>
      </c>
      <c r="F15599" t="inlineStr">
        <is>
          <t>Long An</t>
        </is>
      </c>
      <c r="G15599" t="inlineStr">
        <is>
          <t>08-04-2026</t>
        </is>
      </c>
      <c r="H15599" t="inlineStr">
        <is>
          <t>08/04/2026</t>
        </is>
      </c>
      <c r="I15599" t="inlineStr">
        <is>
          <t>17/03/2026</t>
        </is>
      </c>
      <c r="J15599" t="inlineStr">
        <is>
          <t>Cơ khí / Ô tô / Tự động hóa, Điện / Điện tử / Điện lạnh / Điện công nghiệp</t>
        </is>
      </c>
      <c r="K15599" t="inlineStr">
        <is>
          <t>3 - 5 Năm</t>
        </is>
      </c>
      <c r="L15599" s="8">
        <f>HYPERLINK("https://careerviet.vn/vi/tim-viec-lam/chuyen-vien-ky-thuat-truong-nhom-dien-ky-thuat-truong-nhom-co-khi-lam-viec-tai-duc-hoa-long-an.35C64F7B.html","Xem chi tiết")</f>
        <v/>
      </c>
    </row>
    <row r="15600">
      <c r="B15600" s="9" t="n">
        <v>15598</v>
      </c>
      <c r="C15600" s="10" t="inlineStr">
        <is>
          <t>Giám đốc Phòng Dịch vụ khách hàng - BVBank Đồng Tháp - KV Tây Nam Bộ</t>
        </is>
      </c>
      <c r="D15600" s="10" t="inlineStr">
        <is>
          <t>BVBank - Ngân hàng Bản Việt</t>
        </is>
      </c>
      <c r="E15600" s="10" t="inlineStr">
        <is>
          <t>Lương:Cạnh tranh</t>
        </is>
      </c>
      <c r="F15600" s="10" t="inlineStr">
        <is>
          <t>Đồng Tháp</t>
        </is>
      </c>
      <c r="G15600" s="10" t="inlineStr">
        <is>
          <t>03-04-2026</t>
        </is>
      </c>
      <c r="H15600" s="10" t="inlineStr">
        <is>
          <t>03/04/2026</t>
        </is>
      </c>
      <c r="I15600" s="10" t="inlineStr">
        <is>
          <t>17/03/2026</t>
        </is>
      </c>
      <c r="J15600" s="10" t="inlineStr">
        <is>
          <t>Ngân hàng, Tài chính / Đầu tư</t>
        </is>
      </c>
      <c r="K15600" s="10" t="inlineStr">
        <is>
          <t>4 - 5 Năm</t>
        </is>
      </c>
      <c r="L15600" s="11">
        <f>HYPERLINK("https://careerviet.vn/vi/tim-viec-lam/giam-doc-phong-dich-vu-khach-hang-bvbank-dong-thap-kv-tay-nam-bo.35C6AD1C.html","Xem chi tiết")</f>
        <v/>
      </c>
      <c r="M15600" s="10" t="n"/>
    </row>
    <row r="15601">
      <c r="B15601" s="7" t="n">
        <v>15599</v>
      </c>
      <c r="C15601" t="inlineStr">
        <is>
          <t>Giám Nhà Hàng F&amp;B ( Tiếng Hàn Cơ Bản)</t>
        </is>
      </c>
      <c r="D15601" t="inlineStr">
        <is>
          <t>Công ty TNHH Sản xuất Thương mại &amp; Dịch vụ Hoa Xinh</t>
        </is>
      </c>
      <c r="E15601" t="inlineStr">
        <is>
          <t>Lương:Cạnh tranh</t>
        </is>
      </c>
      <c r="F15601" t="inlineStr">
        <is>
          <t>Hồ Chí Minh</t>
        </is>
      </c>
      <c r="G15601" t="inlineStr">
        <is>
          <t>08-04-2026</t>
        </is>
      </c>
      <c r="H15601" t="inlineStr">
        <is>
          <t>08/04/2026</t>
        </is>
      </c>
      <c r="I15601" t="inlineStr">
        <is>
          <t>17/03/2026</t>
        </is>
      </c>
      <c r="J15601" t="inlineStr">
        <is>
          <t>Thực phẩm &amp; Đồ uống, Biên phiên dịch, Nhà hàng / Khách sạn</t>
        </is>
      </c>
      <c r="K15601" t="inlineStr">
        <is>
          <t>1 - 5 Năm</t>
        </is>
      </c>
      <c r="L15601" s="8">
        <f>HYPERLINK("https://careerviet.vn/vi/tim-viec-lam/giam-nha-hang-f-b-tieng-han-co-ban.35C64EA8.html","Xem chi tiết")</f>
        <v/>
      </c>
    </row>
    <row r="15602">
      <c r="B15602" s="9" t="n">
        <v>15600</v>
      </c>
      <c r="C15602" s="10" t="inlineStr">
        <is>
          <t>Chuyên Viên Tư Vấn Tuyển Sinh / Bán Hàng / Kinh Doanh / Sales/ Consultant - Thu Nhập từ 12 triệu đến không giới hạn - ILA Long Biên, Hà Nội</t>
        </is>
      </c>
      <c r="D15602" s="10" t="inlineStr">
        <is>
          <t>ILA Việt Nam</t>
        </is>
      </c>
      <c r="E15602" s="10" t="inlineStr">
        <is>
          <t>Lương:Cạnh tranh</t>
        </is>
      </c>
      <c r="F15602" s="10" t="inlineStr">
        <is>
          <t>Hà Nội</t>
        </is>
      </c>
      <c r="G15602" s="10" t="inlineStr">
        <is>
          <t>31-03-2026</t>
        </is>
      </c>
      <c r="H15602" s="10" t="inlineStr">
        <is>
          <t>31/03/2026</t>
        </is>
      </c>
      <c r="I15602" s="10" t="inlineStr">
        <is>
          <t>17/03/2026</t>
        </is>
      </c>
      <c r="J15602" s="10" t="inlineStr">
        <is>
          <t>Tư vấn, Dịch vụ khách hàng, Giáo dục / Đào tạo</t>
        </is>
      </c>
      <c r="K15602" s="10" t="inlineStr">
        <is>
          <t>1 - 2 Năm</t>
        </is>
      </c>
      <c r="L15602" s="11">
        <f>HYPERLINK("https://careerviet.vn/vi/tim-viec-lam/chuyen-vien-tu-van-tuyen-sinh-ban-hang-kinh-doanh-sales-consultant-thu-nhap-tu-12-trieu-den-khong-gioi-han-ila-long-bien-ha-noi.35C6AC10.html","Xem chi tiết")</f>
        <v/>
      </c>
      <c r="M15602" s="10" t="n"/>
    </row>
    <row r="15603">
      <c r="B15603" s="7" t="n">
        <v>15601</v>
      </c>
      <c r="C15603" t="inlineStr">
        <is>
          <t>[QUẢNG BÌNH] KỸ SƯ HSE</t>
        </is>
      </c>
      <c r="D15603" t="inlineStr">
        <is>
          <t>Tổng công ty Xây dựng số 1 – CTCP</t>
        </is>
      </c>
      <c r="E15603" t="inlineStr">
        <is>
          <t>Lương:Cạnh tranh</t>
        </is>
      </c>
      <c r="F15603" t="inlineStr">
        <is>
          <t>Quảng Bình</t>
        </is>
      </c>
      <c r="G15603" t="inlineStr">
        <is>
          <t>08-04-2026</t>
        </is>
      </c>
      <c r="H15603" t="inlineStr">
        <is>
          <t>08/04/2026</t>
        </is>
      </c>
      <c r="I15603" t="inlineStr">
        <is>
          <t>17/03/2026</t>
        </is>
      </c>
      <c r="J15603" t="inlineStr">
        <is>
          <t>Xây dựng</t>
        </is>
      </c>
      <c r="K15603" t="inlineStr">
        <is>
          <t>5 - 10 Năm</t>
        </is>
      </c>
      <c r="L15603" s="8">
        <f>HYPERLINK("https://careerviet.vn/vi/tim-viec-lam/quang-binh-ky-su-hse.35C64E8A.html","Xem chi tiết")</f>
        <v/>
      </c>
    </row>
    <row r="15604">
      <c r="B15604" s="9" t="n">
        <v>15602</v>
      </c>
      <c r="C15604" s="10" t="inlineStr">
        <is>
          <t>Quản Lý Cửa hàng TokyoLife – Kẻ Sặt, Bình Giang, Hải Dương</t>
        </is>
      </c>
      <c r="D15604" s="10" t="inlineStr">
        <is>
          <t>Công ty Cổ phần IntelLife</t>
        </is>
      </c>
      <c r="E15604" s="10" t="inlineStr">
        <is>
          <t>Lương:12 Tr - 15 Tr VND</t>
        </is>
      </c>
      <c r="F15604" s="10" t="inlineStr">
        <is>
          <t>Hải Dương</t>
        </is>
      </c>
      <c r="G15604" s="10" t="inlineStr">
        <is>
          <t>05-04-2026</t>
        </is>
      </c>
      <c r="H15604" s="10" t="inlineStr">
        <is>
          <t>05/04/2026</t>
        </is>
      </c>
      <c r="I15604" s="10" t="inlineStr">
        <is>
          <t>17/03/2026</t>
        </is>
      </c>
      <c r="J15604" s="10" t="inlineStr">
        <is>
          <t>Bán lẻ / Bán sỉ</t>
        </is>
      </c>
      <c r="K15604" s="10" t="inlineStr">
        <is>
          <t>1 - 2 Năm</t>
        </is>
      </c>
      <c r="L15604" s="11">
        <f>HYPERLINK("https://careerviet.vn/vi/tim-viec-lam/quan-ly-cua-hang-tokyolife-ke-sat-binh-giang-hai-duong.35C6ABC1.html","Xem chi tiết")</f>
        <v/>
      </c>
      <c r="M15604" s="10" t="n"/>
    </row>
    <row r="15605">
      <c r="B15605" s="7" t="n">
        <v>15603</v>
      </c>
      <c r="C15605" t="inlineStr">
        <is>
          <t>Store Manager</t>
        </is>
      </c>
      <c r="D15605" t="inlineStr">
        <is>
          <t>Công ty TNHH Anh Đức</t>
        </is>
      </c>
      <c r="E15605" t="inlineStr">
        <is>
          <t>Lương:20 Tr - 30 Tr VND</t>
        </is>
      </c>
      <c r="F15605" t="inlineStr">
        <is>
          <t>Đà Nẵng</t>
        </is>
      </c>
      <c r="G15605" t="inlineStr">
        <is>
          <t>31-03-2026</t>
        </is>
      </c>
      <c r="H15605" t="inlineStr">
        <is>
          <t>31/03/2026</t>
        </is>
      </c>
      <c r="I15605" t="inlineStr">
        <is>
          <t>17/03/2026</t>
        </is>
      </c>
      <c r="J15605" t="inlineStr">
        <is>
          <t>Bán lẻ / Bán sỉ, Bán hàng / Kinh doanh, Dịch vụ khách hàng</t>
        </is>
      </c>
      <c r="K15605" t="inlineStr">
        <is>
          <t>2 - 3 Năm</t>
        </is>
      </c>
      <c r="L15605" s="8">
        <f>HYPERLINK("https://careerviet.vn/vi/tim-viec-lam/store-manager.35C6AB8D.html","Xem chi tiết")</f>
        <v/>
      </c>
    </row>
    <row r="15606">
      <c r="B15606" s="9" t="n">
        <v>15604</v>
      </c>
      <c r="C15606" s="10" t="inlineStr">
        <is>
          <t>Trợ lý Vận hành (Operation Clerk) - Tiếng Trung</t>
        </is>
      </c>
      <c r="D15606" s="10" t="inlineStr">
        <is>
          <t>CÔNG TY TNHH COMPUTIME (VIỆT NAM)</t>
        </is>
      </c>
      <c r="E15606" s="10" t="inlineStr">
        <is>
          <t>Lương:Cạnh tranh</t>
        </is>
      </c>
      <c r="F15606" s="10" t="inlineStr">
        <is>
          <t>Hồ Chí Minh</t>
        </is>
      </c>
      <c r="G15606" s="10" t="inlineStr">
        <is>
          <t>31-03-2026</t>
        </is>
      </c>
      <c r="H15606" s="10" t="inlineStr">
        <is>
          <t>31/03/2026</t>
        </is>
      </c>
      <c r="I15606" s="10" t="inlineStr">
        <is>
          <t>17/03/2026</t>
        </is>
      </c>
      <c r="J15606" s="10" t="inlineStr">
        <is>
          <t>Sản xuất / Vận hành sản xuất, Hành chính / Thư ký, Điện / Điện tử / Điện lạnh / Điện công nghiệp</t>
        </is>
      </c>
      <c r="K15606" s="10" t="inlineStr">
        <is>
          <t>1 - 2 Năm</t>
        </is>
      </c>
      <c r="L15606" s="11">
        <f>HYPERLINK("https://careerviet.vn/vi/tim-viec-lam/tro-ly-van-hanh-operation-clerk-tieng-trung.35C6AD72.html","Xem chi tiết")</f>
        <v/>
      </c>
      <c r="M15606" s="10" t="n"/>
    </row>
    <row r="15607">
      <c r="B15607" s="7" t="n">
        <v>15605</v>
      </c>
      <c r="C15607" t="inlineStr">
        <is>
          <t>Legal Specialist</t>
        </is>
      </c>
      <c r="D15607" t="inlineStr">
        <is>
          <t>De Heus LLC</t>
        </is>
      </c>
      <c r="E15607" t="inlineStr">
        <is>
          <t>Lương:Cạnh tranh</t>
        </is>
      </c>
      <c r="F15607" t="inlineStr">
        <is>
          <t>Hồ Chí Minh</t>
        </is>
      </c>
      <c r="G15607" t="inlineStr">
        <is>
          <t>05-05-2026</t>
        </is>
      </c>
      <c r="H15607" t="inlineStr">
        <is>
          <t>05/05/2026</t>
        </is>
      </c>
      <c r="I15607" t="inlineStr">
        <is>
          <t>17/03/2026</t>
        </is>
      </c>
      <c r="J15607" t="inlineStr">
        <is>
          <t>Luật / Pháp lý</t>
        </is>
      </c>
      <c r="K15607" t="inlineStr">
        <is>
          <t>5 - 7 Năm</t>
        </is>
      </c>
      <c r="L15607" s="8">
        <f>HYPERLINK("https://careerviet.vn/vi/tim-viec-lam/legal-specialist.35C6AB33.html","Xem chi tiết")</f>
        <v/>
      </c>
    </row>
    <row r="15608">
      <c r="B15608" s="9" t="n">
        <v>15606</v>
      </c>
      <c r="C15608" s="10" t="inlineStr">
        <is>
          <t>Chuyên Viên Tư Vấn Tuyển Sinh</t>
        </is>
      </c>
      <c r="D15608" s="10" t="inlineStr">
        <is>
          <t>Công ty CP Giáo dục Quốc tế Việt Úc</t>
        </is>
      </c>
      <c r="E15608" s="10" t="inlineStr">
        <is>
          <t>Lương:Cạnh tranh</t>
        </is>
      </c>
      <c r="F15608" s="10" t="inlineStr">
        <is>
          <t>Hồ Chí Minh</t>
        </is>
      </c>
      <c r="G15608" s="10" t="inlineStr">
        <is>
          <t>08-04-2026</t>
        </is>
      </c>
      <c r="H15608" s="10" t="inlineStr">
        <is>
          <t>08/04/2026</t>
        </is>
      </c>
      <c r="I15608" s="10" t="inlineStr">
        <is>
          <t>17/03/2026</t>
        </is>
      </c>
      <c r="J15608" s="10" t="inlineStr">
        <is>
          <t>Giáo dục / Đào tạo, Dịch vụ khách hàng, Tư vấn</t>
        </is>
      </c>
      <c r="K15608" s="10" t="inlineStr">
        <is>
          <t>2 - 5 Năm</t>
        </is>
      </c>
      <c r="L15608" s="11">
        <f>HYPERLINK("https://careerviet.vn/vi/tim-viec-lam/chuyen-vien-tu-van-tuyen-sinh.35C64E88.html","Xem chi tiết")</f>
        <v/>
      </c>
      <c r="M15608" s="10" t="n"/>
    </row>
    <row r="15609">
      <c r="B15609" s="7" t="n">
        <v>15607</v>
      </c>
      <c r="C15609" t="inlineStr">
        <is>
          <t>Trưởng nhóm Chế độ chính sách (C&amp;B)</t>
        </is>
      </c>
      <c r="D15609" t="inlineStr">
        <is>
          <t>CÔNG TY TNHH BỆNH VIỆN ĐKTN AN SINH - PHÚC TRƯỜNG MINH</t>
        </is>
      </c>
      <c r="E15609" t="inlineStr">
        <is>
          <t>Lương:20 Tr - 25 Tr VND</t>
        </is>
      </c>
      <c r="F15609" t="inlineStr">
        <is>
          <t>Hà Nội</t>
        </is>
      </c>
      <c r="G15609" t="inlineStr">
        <is>
          <t>31-03-2026</t>
        </is>
      </c>
      <c r="H15609" t="inlineStr">
        <is>
          <t>31/03/2026</t>
        </is>
      </c>
      <c r="I15609" t="inlineStr">
        <is>
          <t>17/03/2026</t>
        </is>
      </c>
      <c r="J15609" t="inlineStr">
        <is>
          <t>Nhân sự</t>
        </is>
      </c>
      <c r="K15609" t="inlineStr">
        <is>
          <t>5 - 10 Năm</t>
        </is>
      </c>
      <c r="L15609" s="8">
        <f>HYPERLINK("https://careerviet.vn/vi/tim-viec-lam/truong-nhom-che-do-chinh-sach-c-b.35C6AECD.html","Xem chi tiết")</f>
        <v/>
      </c>
    </row>
    <row r="15610">
      <c r="B15610" s="9" t="n">
        <v>15608</v>
      </c>
      <c r="C15610" s="10" t="inlineStr">
        <is>
          <t>Kế toán thuế</t>
        </is>
      </c>
      <c r="D15610" s="10" t="inlineStr">
        <is>
          <t>Công ty cổ phần Okapi Việt Nam - Thương hiệu thời trang BADASS</t>
        </is>
      </c>
      <c r="E15610" s="10" t="inlineStr">
        <is>
          <t>Lương:15 Tr - 20 Tr VND</t>
        </is>
      </c>
      <c r="F15610" s="10" t="inlineStr">
        <is>
          <t>Hà Nội</t>
        </is>
      </c>
      <c r="G15610" s="10" t="inlineStr">
        <is>
          <t>29-04-2026</t>
        </is>
      </c>
      <c r="H15610" s="10" t="inlineStr">
        <is>
          <t>29/04/2026</t>
        </is>
      </c>
      <c r="I15610" s="10" t="inlineStr">
        <is>
          <t>17/03/2026</t>
        </is>
      </c>
      <c r="J15610" s="10" t="inlineStr">
        <is>
          <t>Kế toán / Kiểm toán, Dệt may / Da giày / Thời trang</t>
        </is>
      </c>
      <c r="K15610" s="10" t="inlineStr">
        <is>
          <t>Lên đến 3 Năm</t>
        </is>
      </c>
      <c r="L15610" s="11">
        <f>HYPERLINK("https://careerviet.vn/vi/tim-viec-lam/ke-toan-thue.35C6ABED.html","Xem chi tiết")</f>
        <v/>
      </c>
      <c r="M15610" s="10" t="n"/>
    </row>
    <row r="15611">
      <c r="B15611" s="7" t="n">
        <v>15609</v>
      </c>
      <c r="C15611" t="inlineStr">
        <is>
          <t>Chuyên Viên Tư Vấn Giáo Dục - Ocean Edu Kim Văn Kim Lũ - Thu Nhập Từ 16Triệu/Tháng - Phỏng Vấn Đi Làm Ngay</t>
        </is>
      </c>
      <c r="D15611" t="inlineStr">
        <is>
          <t>Công Ty CP Giáo Dục Đại Dương</t>
        </is>
      </c>
      <c r="E15611" t="inlineStr">
        <is>
          <t>Lương:Cạnh tranh</t>
        </is>
      </c>
      <c r="F15611" t="inlineStr">
        <is>
          <t>Hà Nội</t>
        </is>
      </c>
      <c r="G15611" t="inlineStr">
        <is>
          <t>03-04-2026</t>
        </is>
      </c>
      <c r="H15611" t="inlineStr">
        <is>
          <t>03/04/2026</t>
        </is>
      </c>
      <c r="I15611" t="inlineStr">
        <is>
          <t>17/03/2026</t>
        </is>
      </c>
      <c r="J15611" t="inlineStr">
        <is>
          <t>Dịch vụ khách hàng, Giáo dục / Đào tạo, Bán hàng / Kinh doanh</t>
        </is>
      </c>
      <c r="K15611" t="inlineStr">
        <is>
          <t>Chưa có kinh nghiệm</t>
        </is>
      </c>
      <c r="L15611" s="8">
        <f>HYPERLINK("https://careerviet.vn/vi/tim-viec-lam/chuyen-vien-tu-van-giao-duc-ocean-edu-kim-van-kim-lu-thu-nhap-tu-16trieu-thang-phong-van-di-lam-ngay.35C6AEA3.html","Xem chi tiết")</f>
        <v/>
      </c>
    </row>
    <row r="15612">
      <c r="B15612" s="9" t="n">
        <v>15610</v>
      </c>
      <c r="C15612" s="10" t="inlineStr">
        <is>
          <t>[H0_Khối QLRR]_Chuyên viên / Chuyên viên Cao cấp Quản lý Rủi ro Hoạt động</t>
        </is>
      </c>
      <c r="D15612" s="10" t="inlineStr">
        <is>
          <t>Ngân hàng TMCP Phát triển TP.HCM (HDBank)</t>
        </is>
      </c>
      <c r="E15612" s="10" t="inlineStr">
        <is>
          <t>Lương:15 Tr - 25 Tr VND</t>
        </is>
      </c>
      <c r="F15612" s="10" t="inlineStr">
        <is>
          <t>Hồ Chí Minh</t>
        </is>
      </c>
      <c r="G15612" s="10" t="inlineStr">
        <is>
          <t>03-04-2026</t>
        </is>
      </c>
      <c r="H15612" s="10" t="inlineStr">
        <is>
          <t>03/04/2026</t>
        </is>
      </c>
      <c r="I15612" s="10" t="inlineStr">
        <is>
          <t>17/03/2026</t>
        </is>
      </c>
      <c r="J15612" s="10" t="inlineStr">
        <is>
          <t>Kế toán / Kiểm toán, Ngân hàng, Tài chính / Đầu tư</t>
        </is>
      </c>
      <c r="K15612" s="10" t="inlineStr">
        <is>
          <t>2 - 5 Năm</t>
        </is>
      </c>
      <c r="L15612" s="11">
        <f>HYPERLINK("https://careerviet.vn/vi/tim-viec-lam/h0_khoi-qlrr-_chuyen-vien-chuyen-vien-cao-cap-quan-ly-rui-ro-hoat-dong.35C6AE1F.html","Xem chi tiết")</f>
        <v/>
      </c>
      <c r="M15612" s="10" t="n"/>
    </row>
    <row r="15613">
      <c r="B15613" s="7" t="n">
        <v>15611</v>
      </c>
      <c r="C15613" t="inlineStr">
        <is>
          <t>Kỹ Sư Điện – Tự Động Hóa</t>
        </is>
      </c>
      <c r="D15613" t="inlineStr">
        <is>
          <t>Tập Đoàn Kim Tín</t>
        </is>
      </c>
      <c r="E15613" t="inlineStr">
        <is>
          <t>Lương:Cạnh tranh</t>
        </is>
      </c>
      <c r="F15613" t="inlineStr">
        <is>
          <t>Bình Phước</t>
        </is>
      </c>
      <c r="G15613" t="inlineStr">
        <is>
          <t>03-04-2026</t>
        </is>
      </c>
      <c r="H15613" t="inlineStr">
        <is>
          <t>03/04/2026</t>
        </is>
      </c>
      <c r="I15613" t="inlineStr">
        <is>
          <t>17/03/2026</t>
        </is>
      </c>
      <c r="J15613" t="inlineStr">
        <is>
          <t>Cơ khí / Ô tô / Tự động hóa, Sản xuất / Vận hành sản xuất, Điện / Điện tử / Điện lạnh / Điện công nghiệp</t>
        </is>
      </c>
      <c r="K15613" t="inlineStr">
        <is>
          <t>Trên 1 Năm</t>
        </is>
      </c>
      <c r="L15613" s="8">
        <f>HYPERLINK("https://careerviet.vn/vi/tim-viec-lam/ky-su-dien-tu-dong-hoa.35C6AC79.html","Xem chi tiết")</f>
        <v/>
      </c>
    </row>
    <row r="15614">
      <c r="B15614" s="9" t="n">
        <v>15612</v>
      </c>
      <c r="C15614" s="10" t="inlineStr">
        <is>
          <t>Chuyên Viên Tư Vấn Giáo Dục - Ocean Edu Mỹ Đình - Thu Nhập Từ 16Triệu/Tháng - Phỏng Vấn Đi Làm Ngay</t>
        </is>
      </c>
      <c r="D15614" s="10" t="inlineStr">
        <is>
          <t>Công Ty CP Giáo Dục Đại Dương</t>
        </is>
      </c>
      <c r="E15614" s="10" t="inlineStr">
        <is>
          <t>Lương:Cạnh tranh</t>
        </is>
      </c>
      <c r="F15614" s="10" t="inlineStr">
        <is>
          <t>Hà Nội</t>
        </is>
      </c>
      <c r="G15614" s="10" t="inlineStr">
        <is>
          <t>03-04-2026</t>
        </is>
      </c>
      <c r="H15614" s="10" t="inlineStr">
        <is>
          <t>03/04/2026</t>
        </is>
      </c>
      <c r="I15614" s="10" t="inlineStr">
        <is>
          <t>17/03/2026</t>
        </is>
      </c>
      <c r="J15614" s="10" t="inlineStr">
        <is>
          <t>Dịch vụ khách hàng, Giáo dục / Đào tạo, Bán hàng / Kinh doanh</t>
        </is>
      </c>
      <c r="K15614" s="10" t="inlineStr">
        <is>
          <t>Chưa có kinh nghiệm</t>
        </is>
      </c>
      <c r="L15614" s="11">
        <f>HYPERLINK("https://careerviet.vn/vi/tim-viec-lam/chuyen-vien-tu-van-giao-duc-ocean-edu-my-dinh-thu-nhap-tu-16trieu-thang-phong-van-di-lam-ngay.35C6AEAC.html","Xem chi tiết")</f>
        <v/>
      </c>
      <c r="M15614" s="10" t="n"/>
    </row>
    <row r="15615">
      <c r="B15615" s="7" t="n">
        <v>15613</v>
      </c>
      <c r="C15615" t="inlineStr">
        <is>
          <t>Chuyên viên đào tạo</t>
        </is>
      </c>
      <c r="D15615" t="inlineStr">
        <is>
          <t>Công ty Cổ phần Thời Trang YODY</t>
        </is>
      </c>
      <c r="E15615" t="inlineStr">
        <is>
          <t>Lương:Cạnh tranh</t>
        </is>
      </c>
      <c r="F15615" t="inlineStr">
        <is>
          <t>Hồ Chí MinhHà Nội</t>
        </is>
      </c>
      <c r="G15615" t="inlineStr">
        <is>
          <t>08-04-2026</t>
        </is>
      </c>
      <c r="H15615" t="inlineStr">
        <is>
          <t>08/04/2026</t>
        </is>
      </c>
      <c r="I15615" t="inlineStr">
        <is>
          <t>17/03/2026</t>
        </is>
      </c>
      <c r="J15615" t="inlineStr">
        <is>
          <t>Dệt may / Da giày / Thời trang, Bán lẻ / Bán sỉ, Nhân sự</t>
        </is>
      </c>
      <c r="K15615" t="inlineStr">
        <is>
          <t>1 - 2 Năm</t>
        </is>
      </c>
      <c r="L15615" s="8">
        <f>HYPERLINK("https://careerviet.vn/vi/tim-viec-lam/chuyen-vien-dao-tao.35C6AB27.html","Xem chi tiết")</f>
        <v/>
      </c>
    </row>
    <row r="15616">
      <c r="B15616" s="9" t="n">
        <v>15614</v>
      </c>
      <c r="C15616" s="10" t="inlineStr">
        <is>
          <t>Kỹ sư Điện tử ô tô (Automotive Electronics Engineer)</t>
        </is>
      </c>
      <c r="D15616" s="10" t="inlineStr">
        <is>
          <t>Công Ty Cổ Phần Tập Đoàn Ô Tô Hiệp Hòa</t>
        </is>
      </c>
      <c r="E15616" s="10" t="inlineStr">
        <is>
          <t>Lương:15 Tr - 50 Tr VND</t>
        </is>
      </c>
      <c r="F15616" s="10" t="inlineStr">
        <is>
          <t>Hưng Yên</t>
        </is>
      </c>
      <c r="G15616" s="10" t="inlineStr">
        <is>
          <t>30-04-2026</t>
        </is>
      </c>
      <c r="H15616" s="10" t="inlineStr">
        <is>
          <t>30/04/2026</t>
        </is>
      </c>
      <c r="I15616" s="10" t="inlineStr">
        <is>
          <t>17/03/2026</t>
        </is>
      </c>
      <c r="J15616" s="10" t="inlineStr">
        <is>
          <t>Điện / Điện tử / Điện lạnh / Điện công nghiệp, Cơ khí / Ô tô / Tự động hóa</t>
        </is>
      </c>
      <c r="K15616" s="10" t="inlineStr">
        <is>
          <t>Trên 1 Năm</t>
        </is>
      </c>
      <c r="L15616" s="11">
        <f>HYPERLINK("https://careerviet.vn/vi/tim-viec-lam/ky-su-dien-tu-o-to-automotive-electronics-engineer.35C6AEEA.html","Xem chi tiết")</f>
        <v/>
      </c>
      <c r="M15616" s="10" t="n"/>
    </row>
    <row r="15617">
      <c r="B15617" s="7" t="n">
        <v>15615</v>
      </c>
      <c r="C15617" t="inlineStr">
        <is>
          <t>Customer Development Planning Executive (FMCG)</t>
        </is>
      </c>
      <c r="D15617" t="inlineStr">
        <is>
          <t>Công ty Cổ phần Sữa VitaDairy Việt Nam</t>
        </is>
      </c>
      <c r="E15617" t="inlineStr">
        <is>
          <t>Lương:Cạnh tranh</t>
        </is>
      </c>
      <c r="F15617" t="inlineStr">
        <is>
          <t>Hồ Chí Minh</t>
        </is>
      </c>
      <c r="G15617" t="inlineStr">
        <is>
          <t>04-04-2026</t>
        </is>
      </c>
      <c r="H15617" t="inlineStr">
        <is>
          <t>04/04/2026</t>
        </is>
      </c>
      <c r="I15617" t="inlineStr">
        <is>
          <t>17/03/2026</t>
        </is>
      </c>
      <c r="J15617" t="inlineStr">
        <is>
          <t>Bán hàng / Kinh doanh, Thực phẩm &amp; Đồ uống</t>
        </is>
      </c>
      <c r="K15617" t="inlineStr">
        <is>
          <t>2 - 3 Năm</t>
        </is>
      </c>
      <c r="L15617" s="8">
        <f>HYPERLINK("https://careerviet.vn/vi/tim-viec-lam/customer-development-planning-executive-fmcg.35C6AB6D.html","Xem chi tiết")</f>
        <v/>
      </c>
    </row>
    <row r="15618">
      <c r="B15618" s="9" t="n">
        <v>15616</v>
      </c>
      <c r="C15618" s="10" t="inlineStr">
        <is>
          <t>Nhân Viên Lái Xe</t>
        </is>
      </c>
      <c r="D15618" s="10" t="inlineStr">
        <is>
          <t>CÔNG TY TNHH KHẢO SÁT VÀ XÂY DỰNG PECC2 (PSC)</t>
        </is>
      </c>
      <c r="E15618" s="10" t="inlineStr">
        <is>
          <t>Lương:Cạnh tranh</t>
        </is>
      </c>
      <c r="F15618" s="10" t="inlineStr">
        <is>
          <t>Hồ Chí Minh</t>
        </is>
      </c>
      <c r="G15618" s="10" t="inlineStr">
        <is>
          <t>31-03-2026</t>
        </is>
      </c>
      <c r="H15618" s="10" t="inlineStr">
        <is>
          <t>31/03/2026</t>
        </is>
      </c>
      <c r="I15618" s="10" t="inlineStr">
        <is>
          <t>17/03/2026</t>
        </is>
      </c>
      <c r="J15618" s="10" t="inlineStr">
        <is>
          <t>Vận chuyển / Giao nhận / Kho vận, Hành chính / Thư ký</t>
        </is>
      </c>
      <c r="K15618" s="10" t="inlineStr">
        <is>
          <t>2 - 10 Năm</t>
        </is>
      </c>
      <c r="L15618" s="11">
        <f>HYPERLINK("https://careerviet.vn/vi/tim-viec-lam/nhan-vien-lai-xe.35C670BC.html","Xem chi tiết")</f>
        <v/>
      </c>
      <c r="M15618" s="10" t="n"/>
    </row>
    <row r="15619">
      <c r="B15619" s="7" t="n">
        <v>15617</v>
      </c>
      <c r="C15619" t="inlineStr">
        <is>
          <t>Nhân viên mua bán vật tư (Procurement / Purchasing Staff)</t>
        </is>
      </c>
      <c r="D15619" t="inlineStr">
        <is>
          <t>Công Ty Cổ Phần Tập Đoàn Ô Tô Hiệp Hòa</t>
        </is>
      </c>
      <c r="E15619" t="inlineStr">
        <is>
          <t>Lương:10 Tr - 25 Tr VND</t>
        </is>
      </c>
      <c r="F15619" t="inlineStr">
        <is>
          <t>Hà Nội</t>
        </is>
      </c>
      <c r="G15619" t="inlineStr">
        <is>
          <t>30-04-2026</t>
        </is>
      </c>
      <c r="H15619" t="inlineStr">
        <is>
          <t>30/04/2026</t>
        </is>
      </c>
      <c r="I15619" t="inlineStr">
        <is>
          <t>17/03/2026</t>
        </is>
      </c>
      <c r="J15619" t="inlineStr">
        <is>
          <t>Thu mua / Vật tư</t>
        </is>
      </c>
      <c r="K15619" t="inlineStr">
        <is>
          <t>Trên 1 Năm</t>
        </is>
      </c>
      <c r="L15619" s="8">
        <f>HYPERLINK("https://careerviet.vn/vi/tim-viec-lam/nhan-vien-mua-ban-vat-tu-procurement-purchasing-staff.35C6AEE7.html","Xem chi tiết")</f>
        <v/>
      </c>
    </row>
    <row r="15620">
      <c r="B15620" s="9" t="n">
        <v>15618</v>
      </c>
      <c r="C15620" s="10" t="inlineStr">
        <is>
          <t>[Đà Nẵng] Tuyển Nhân Viên Bán Hàng</t>
        </is>
      </c>
      <c r="D15620" s="10" t="inlineStr">
        <is>
          <t>Công Ty TNHH XNK Phát Triển Đông Dương</t>
        </is>
      </c>
      <c r="E15620" s="10" t="inlineStr">
        <is>
          <t>Lương:Cạnh tranh</t>
        </is>
      </c>
      <c r="F15620" s="10" t="inlineStr">
        <is>
          <t>Đà Nẵng</t>
        </is>
      </c>
      <c r="G15620" s="10" t="inlineStr">
        <is>
          <t>02-04-2026</t>
        </is>
      </c>
      <c r="H15620" s="10" t="inlineStr">
        <is>
          <t>02/04/2026</t>
        </is>
      </c>
      <c r="I15620" s="10" t="inlineStr">
        <is>
          <t>17/03/2026</t>
        </is>
      </c>
      <c r="J15620" s="10" t="inlineStr">
        <is>
          <t>Bán lẻ / Bán sỉ, Bán hàng / Kinh doanh, Tư vấn</t>
        </is>
      </c>
      <c r="K15620" s="10" t="inlineStr">
        <is>
          <t>N/A</t>
        </is>
      </c>
      <c r="L15620" s="11">
        <f>HYPERLINK("https://careerviet.vn/vi/tim-viec-lam/da-nang-tuyen-nhan-vien-ban-hang.35C6AC69.html","Xem chi tiết")</f>
        <v/>
      </c>
      <c r="M15620" s="10" t="n"/>
    </row>
    <row r="15621">
      <c r="B15621" s="7" t="n">
        <v>15619</v>
      </c>
      <c r="C15621" t="inlineStr">
        <is>
          <t>Giáo Viên Chủ Nhiệm (Ocean Edu Nguyễn Xí)</t>
        </is>
      </c>
      <c r="D15621" t="inlineStr">
        <is>
          <t>Công Ty CP Giáo Dục Đại Dương</t>
        </is>
      </c>
      <c r="E15621" t="inlineStr">
        <is>
          <t>Lương:Cạnh tranh</t>
        </is>
      </c>
      <c r="F15621" t="inlineStr">
        <is>
          <t>Hồ Chí Minh</t>
        </is>
      </c>
      <c r="G15621" t="inlineStr">
        <is>
          <t>03-04-2026</t>
        </is>
      </c>
      <c r="H15621" t="inlineStr">
        <is>
          <t>03/04/2026</t>
        </is>
      </c>
      <c r="I15621" t="inlineStr">
        <is>
          <t>17/03/2026</t>
        </is>
      </c>
      <c r="J15621" t="inlineStr">
        <is>
          <t>Giáo dục / Đào tạo, Bán hàng / Kinh doanh, Biên phiên dịch</t>
        </is>
      </c>
      <c r="K15621" t="inlineStr">
        <is>
          <t>Trên 1 Năm</t>
        </is>
      </c>
      <c r="L15621" s="8">
        <f>HYPERLINK("https://careerviet.vn/vi/tim-viec-lam/giao-vien-chu-nhiem-ocean-edu-nguyen-xi.35C6ABD6.html","Xem chi tiết")</f>
        <v/>
      </c>
    </row>
    <row r="15622">
      <c r="B15622" s="9" t="n">
        <v>15620</v>
      </c>
      <c r="C15622" s="10" t="inlineStr">
        <is>
          <t>Chủ trì Thiết kế điện - Điện nhẹ</t>
        </is>
      </c>
      <c r="D15622" s="10" t="inlineStr">
        <is>
          <t>Công Ty Cổ Phần Xây Dựng Phước Thành</t>
        </is>
      </c>
      <c r="E15622" s="10" t="inlineStr">
        <is>
          <t>Lương:Cạnh tranh</t>
        </is>
      </c>
      <c r="F15622" s="10" t="inlineStr">
        <is>
          <t>Hồ Chí Minh</t>
        </is>
      </c>
      <c r="G15622" s="10" t="inlineStr">
        <is>
          <t>31-03-2026</t>
        </is>
      </c>
      <c r="H15622" s="10" t="inlineStr">
        <is>
          <t>31/03/2026</t>
        </is>
      </c>
      <c r="I15622" s="10" t="inlineStr">
        <is>
          <t>17/03/2026</t>
        </is>
      </c>
      <c r="J15622" s="10" t="inlineStr">
        <is>
          <t>Điện / Điện tử / Điện lạnh / Điện công nghiệp, Kiến trúc</t>
        </is>
      </c>
      <c r="K15622" s="10" t="inlineStr">
        <is>
          <t>2 - 15 Năm</t>
        </is>
      </c>
      <c r="L15622" s="11">
        <f>HYPERLINK("https://careerviet.vn/vi/tim-viec-lam/chu-tri-thiet-ke-dien-dien-nhe.35C6AD54.html","Xem chi tiết")</f>
        <v/>
      </c>
      <c r="M15622" s="10" t="n"/>
    </row>
    <row r="15623">
      <c r="B15623" s="7" t="n">
        <v>15621</v>
      </c>
      <c r="C15623" t="inlineStr">
        <is>
          <t>Product Analyst</t>
        </is>
      </c>
      <c r="D15623" t="inlineStr">
        <is>
          <t>CÔNG TY TNHH DENEAST VIỆT NAM</t>
        </is>
      </c>
      <c r="E15623" t="inlineStr">
        <is>
          <t>Lương:Cạnh tranh</t>
        </is>
      </c>
      <c r="F15623" t="inlineStr">
        <is>
          <t>Bình Dương</t>
        </is>
      </c>
      <c r="G15623" t="inlineStr">
        <is>
          <t>04-04-2026</t>
        </is>
      </c>
      <c r="H15623" t="inlineStr">
        <is>
          <t>04/04/2026</t>
        </is>
      </c>
      <c r="I15623" t="inlineStr">
        <is>
          <t>17/03/2026</t>
        </is>
      </c>
      <c r="J15623" t="inlineStr">
        <is>
          <t>Thực phẩm &amp; Đồ uống, Công nghệ thực phẩm / Dinh dưỡng, Hóa học</t>
        </is>
      </c>
      <c r="K15623" t="inlineStr">
        <is>
          <t>Trên 1 Năm</t>
        </is>
      </c>
      <c r="L15623" s="8">
        <f>HYPERLINK("https://careerviet.vn/vi/tim-viec-lam/product-analyst.35C6ACCB.html","Xem chi tiết")</f>
        <v/>
      </c>
    </row>
    <row r="15624">
      <c r="B15624" s="9" t="n">
        <v>15622</v>
      </c>
      <c r="C15624" s="10" t="inlineStr">
        <is>
          <t>Nhân Viên Hành chính kế toán công trình_Lai Châu</t>
        </is>
      </c>
      <c r="D15624" s="10" t="inlineStr">
        <is>
          <t>Công ty CP Đầu tư phát triển Đô thị và Khu công nghiệp</t>
        </is>
      </c>
      <c r="E15624" s="10" t="inlineStr">
        <is>
          <t>Lương:11 Tr - 13 Tr VND</t>
        </is>
      </c>
      <c r="F15624" s="10" t="inlineStr">
        <is>
          <t>Lai Châu</t>
        </is>
      </c>
      <c r="G15624" s="10" t="inlineStr">
        <is>
          <t>31-03-2026</t>
        </is>
      </c>
      <c r="H15624" s="10" t="inlineStr">
        <is>
          <t>31/03/2026</t>
        </is>
      </c>
      <c r="I15624" s="10" t="inlineStr">
        <is>
          <t>17/03/2026</t>
        </is>
      </c>
      <c r="J15624" s="10" t="inlineStr">
        <is>
          <t>Nhân sự, Xây dựng, Kế toán / Kiểm toán</t>
        </is>
      </c>
      <c r="K15624" s="10" t="inlineStr">
        <is>
          <t>2 - 4 Năm</t>
        </is>
      </c>
      <c r="L15624" s="11">
        <f>HYPERLINK("https://careerviet.vn/vi/tim-viec-lam/nhan-vien-hanh-chinh-ke-toan-cong-trinh_lai-chau.35C6AB43.html","Xem chi tiết")</f>
        <v/>
      </c>
      <c r="M15624" s="10" t="n"/>
    </row>
    <row r="15625">
      <c r="B15625" s="7" t="n">
        <v>15623</v>
      </c>
      <c r="C15625" t="inlineStr">
        <is>
          <t>Quản lý Yến tiệc ( Quản lý sảnh tiệc cưới)</t>
        </is>
      </c>
      <c r="D15625" t="inlineStr">
        <is>
          <t>CÔNG TY TNHH TRỐNG ĐỒNG VIỆT NAM</t>
        </is>
      </c>
      <c r="E15625" t="inlineStr">
        <is>
          <t>Lương:20 Tr - 30 Tr VND</t>
        </is>
      </c>
      <c r="F15625" t="inlineStr">
        <is>
          <t>Hà Nội</t>
        </is>
      </c>
      <c r="G15625" t="inlineStr">
        <is>
          <t>11-04-2026</t>
        </is>
      </c>
      <c r="H15625" t="inlineStr">
        <is>
          <t>11/04/2026</t>
        </is>
      </c>
      <c r="I15625" t="inlineStr">
        <is>
          <t>17/03/2026</t>
        </is>
      </c>
      <c r="J15625" t="inlineStr">
        <is>
          <t>Nhà hàng / Khách sạn</t>
        </is>
      </c>
      <c r="K15625" t="inlineStr">
        <is>
          <t>2 - 3 Năm</t>
        </is>
      </c>
      <c r="L15625" s="8">
        <f>HYPERLINK("https://careerviet.vn/vi/tim-viec-lam/quan-ly-yen-tiec-quan-ly-sanh-tiec-cuoi.35C6AE01.html","Xem chi tiết")</f>
        <v/>
      </c>
    </row>
    <row r="15626">
      <c r="B15626" s="9" t="n">
        <v>15624</v>
      </c>
      <c r="C15626" s="10" t="inlineStr">
        <is>
          <t>TRƯỞNG BỘ PHẬN SẢN PHẨM - PHÒNG KHÁCH HÀNG ƯU TIÊN</t>
        </is>
      </c>
      <c r="D15626" s="10" t="inlineStr">
        <is>
          <t>NGÂN HÀNG TMCP SÀI GÒN THƯƠNG TÍN (SACOMBANK)</t>
        </is>
      </c>
      <c r="E15626" s="10" t="inlineStr">
        <is>
          <t>Lương:Cạnh tranh</t>
        </is>
      </c>
      <c r="F15626" s="10" t="inlineStr">
        <is>
          <t>Hồ Chí Minh</t>
        </is>
      </c>
      <c r="G15626" s="10" t="inlineStr">
        <is>
          <t>03-04-2026</t>
        </is>
      </c>
      <c r="H15626" s="10" t="inlineStr">
        <is>
          <t>03/04/2026</t>
        </is>
      </c>
      <c r="I15626" s="10" t="inlineStr">
        <is>
          <t>17/03/2026</t>
        </is>
      </c>
      <c r="J15626" s="10" t="inlineStr">
        <is>
          <t>Ngân hàng</t>
        </is>
      </c>
      <c r="K15626" s="10" t="inlineStr">
        <is>
          <t>Trên 5 Năm</t>
        </is>
      </c>
      <c r="L15626" s="11">
        <f>HYPERLINK("https://careerviet.vn/vi/tim-viec-lam/truong-bo-phan-san-pham-phong-khach-hang-uu-tien.35C6AEE5.html","Xem chi tiết")</f>
        <v/>
      </c>
      <c r="M15626" s="10" t="n"/>
    </row>
    <row r="15627">
      <c r="B15627" s="7" t="n">
        <v>15625</v>
      </c>
      <c r="C15627" t="inlineStr">
        <is>
          <t>Chuyên Viên Tư Vấn Giáo Dục - Ocean Edu Cẩm Phả - Thu Nhập Từ 15Triệu/Tháng - Phỏng Vấn Đi Làm Ngay</t>
        </is>
      </c>
      <c r="D15627" t="inlineStr">
        <is>
          <t>Công Ty CP Giáo Dục Đại Dương</t>
        </is>
      </c>
      <c r="E15627" t="inlineStr">
        <is>
          <t>Lương:Cạnh tranh</t>
        </is>
      </c>
      <c r="F15627" t="inlineStr">
        <is>
          <t>Quảng Ninh</t>
        </is>
      </c>
      <c r="G15627" t="inlineStr">
        <is>
          <t>03-04-2026</t>
        </is>
      </c>
      <c r="H15627" t="inlineStr">
        <is>
          <t>03/04/2026</t>
        </is>
      </c>
      <c r="I15627" t="inlineStr">
        <is>
          <t>17/03/2026</t>
        </is>
      </c>
      <c r="J15627" t="inlineStr">
        <is>
          <t>Dịch vụ khách hàng, Giáo dục / Đào tạo, Bán hàng / Kinh doanh</t>
        </is>
      </c>
      <c r="K15627" t="inlineStr">
        <is>
          <t>Chưa có kinh nghiệm</t>
        </is>
      </c>
      <c r="L15627" s="8">
        <f>HYPERLINK("https://careerviet.vn/vi/tim-viec-lam/chuyen-vien-tu-van-giao-duc-ocean-edu-cam-pha-thu-nhap-tu-15trieu-thang-phong-van-di-lam-ngay.35C6AEB9.html","Xem chi tiết")</f>
        <v/>
      </c>
    </row>
    <row r="15628">
      <c r="B15628" s="9" t="n">
        <v>15626</v>
      </c>
      <c r="C15628" s="10" t="inlineStr">
        <is>
          <t>Graphic Designer</t>
        </is>
      </c>
      <c r="D15628" s="10" t="inlineStr">
        <is>
          <t>Công Ty Cổ Phần Gỗ An Cường</t>
        </is>
      </c>
      <c r="E15628" s="10" t="inlineStr">
        <is>
          <t>Lương:Cạnh tranh</t>
        </is>
      </c>
      <c r="F15628" s="10" t="inlineStr">
        <is>
          <t>Hồ Chí Minh</t>
        </is>
      </c>
      <c r="G15628" s="10" t="inlineStr">
        <is>
          <t>04-04-2026</t>
        </is>
      </c>
      <c r="H15628" s="10" t="inlineStr">
        <is>
          <t>04/04/2026</t>
        </is>
      </c>
      <c r="I15628" s="10" t="inlineStr">
        <is>
          <t>17/03/2026</t>
        </is>
      </c>
      <c r="J15628" s="10" t="inlineStr">
        <is>
          <t>Mỹ thuật / Nghệ thuật / Thiết kế, Truyền hình / Báo chí / Biên tập, Quảng cáo / Đối ngoại / Truyền Thông</t>
        </is>
      </c>
      <c r="K15628" s="10" t="inlineStr">
        <is>
          <t>2 - 3 Năm</t>
        </is>
      </c>
      <c r="L15628" s="11">
        <f>HYPERLINK("https://careerviet.vn/vi/tim-viec-lam/graphic-designer.35C6ADE1.html","Xem chi tiết")</f>
        <v/>
      </c>
      <c r="M15628" s="10" t="n"/>
    </row>
    <row r="15629">
      <c r="B15629" s="7" t="n">
        <v>15627</v>
      </c>
      <c r="C15629" t="inlineStr">
        <is>
          <t>Chuyên Viên Tư Vấn Giáo Dục - Ocean Edu Cẩm Phả 2 - Thu Nhập Từ 15Triệu/Tháng - Phỏng Vấn Đi Làm Ngay</t>
        </is>
      </c>
      <c r="D15629" t="inlineStr">
        <is>
          <t>Công Ty CP Giáo Dục Đại Dương</t>
        </is>
      </c>
      <c r="E15629" t="inlineStr">
        <is>
          <t>Lương:Cạnh tranh</t>
        </is>
      </c>
      <c r="F15629" t="inlineStr">
        <is>
          <t>Quảng Ninh</t>
        </is>
      </c>
      <c r="G15629" t="inlineStr">
        <is>
          <t>03-04-2026</t>
        </is>
      </c>
      <c r="H15629" t="inlineStr">
        <is>
          <t>03/04/2026</t>
        </is>
      </c>
      <c r="I15629" t="inlineStr">
        <is>
          <t>17/03/2026</t>
        </is>
      </c>
      <c r="J15629" t="inlineStr">
        <is>
          <t>Dịch vụ khách hàng, Giáo dục / Đào tạo, Bán hàng / Kinh doanh</t>
        </is>
      </c>
      <c r="K15629" t="inlineStr">
        <is>
          <t>Chưa có kinh nghiệm</t>
        </is>
      </c>
      <c r="L15629" s="8">
        <f>HYPERLINK("https://careerviet.vn/vi/tim-viec-lam/chuyen-vien-tu-van-giao-duc-ocean-edu-cam-pha-2-thu-nhap-tu-15trieu-thang-phong-van-di-lam-ngay.35C6AEBB.html","Xem chi tiết")</f>
        <v/>
      </c>
    </row>
    <row r="15630">
      <c r="B15630" s="9" t="n">
        <v>15628</v>
      </c>
      <c r="C15630" s="10" t="inlineStr">
        <is>
          <t>Kỹ thuật viên Qui Trình/ Process Technician - Củ Chi</t>
        </is>
      </c>
      <c r="D15630" s="10" t="inlineStr">
        <is>
          <t>Techtronic Industries Vietnam Manufacturing Company Limited</t>
        </is>
      </c>
      <c r="E15630" s="10" t="inlineStr">
        <is>
          <t>Lương:Cạnh tranh</t>
        </is>
      </c>
      <c r="F15630" s="10" t="inlineStr">
        <is>
          <t>Hồ Chí Minh</t>
        </is>
      </c>
      <c r="G15630" s="10" t="inlineStr">
        <is>
          <t>03-04-2026</t>
        </is>
      </c>
      <c r="H15630" s="10" t="inlineStr">
        <is>
          <t>03/04/2026</t>
        </is>
      </c>
      <c r="I15630" s="10" t="inlineStr">
        <is>
          <t>17/03/2026</t>
        </is>
      </c>
      <c r="J15630" s="10" t="inlineStr">
        <is>
          <t>Cơ khí / Ô tô / Tự động hóa, Sản xuất / Vận hành sản xuất, Điện / Điện tử / Điện lạnh / Điện công nghiệp</t>
        </is>
      </c>
      <c r="K15630" s="10" t="inlineStr">
        <is>
          <t>1 - 5 Năm</t>
        </is>
      </c>
      <c r="L15630" s="11">
        <f>HYPERLINK("https://careerviet.vn/vi/tim-viec-lam/ky-thuat-vien-qui-trinh-process-technician-cu-chi.35C6AB7B.html","Xem chi tiết")</f>
        <v/>
      </c>
      <c r="M15630" s="10" t="n"/>
    </row>
    <row r="15631">
      <c r="B15631" s="7" t="n">
        <v>15629</v>
      </c>
      <c r="C15631" t="inlineStr">
        <is>
          <t>Điều phối QC</t>
        </is>
      </c>
      <c r="D15631" t="inlineStr">
        <is>
          <t>Công ty Cổ phần Đầu tư Thương mại Bách Tường Phát</t>
        </is>
      </c>
      <c r="E15631" t="inlineStr">
        <is>
          <t>Lương:Cạnh tranh</t>
        </is>
      </c>
      <c r="F15631" t="inlineStr">
        <is>
          <t>Hồ Chí Minh</t>
        </is>
      </c>
      <c r="G15631" t="inlineStr">
        <is>
          <t>31-03-2026</t>
        </is>
      </c>
      <c r="H15631" t="inlineStr">
        <is>
          <t>31/03/2026</t>
        </is>
      </c>
      <c r="I15631" t="inlineStr">
        <is>
          <t>17/03/2026</t>
        </is>
      </c>
      <c r="J15631" t="inlineStr">
        <is>
          <t>Điện / Điện tử / Điện lạnh / Điện công nghiệp, Bảo trì / Sửa chữa, Hàng gia dụng / Chăm sóc cá nhân</t>
        </is>
      </c>
      <c r="K15631" t="inlineStr">
        <is>
          <t>Chưa có kinh nghiệm</t>
        </is>
      </c>
      <c r="L15631" s="8">
        <f>HYPERLINK("https://careerviet.vn/vi/tim-viec-lam/dieu-phoi-qc.35C6AE6C.html","Xem chi tiết")</f>
        <v/>
      </c>
    </row>
    <row r="15632">
      <c r="B15632" s="9" t="n">
        <v>15630</v>
      </c>
      <c r="C15632" s="10" t="inlineStr">
        <is>
          <t>NHÂN VIÊN KHO - BÌNH DƯƠNG</t>
        </is>
      </c>
      <c r="D15632" s="10" t="inlineStr">
        <is>
          <t>CÔNG TY TNHH POLYTEX FAR EASTERN (VIỆT NAM)</t>
        </is>
      </c>
      <c r="E15632" s="10" t="inlineStr">
        <is>
          <t>Lương:8 Tr - 15 Tr VND</t>
        </is>
      </c>
      <c r="F15632" s="10" t="inlineStr">
        <is>
          <t>Bình Dương</t>
        </is>
      </c>
      <c r="G15632" s="10" t="inlineStr">
        <is>
          <t>24-03-2026</t>
        </is>
      </c>
      <c r="H15632" s="10" t="inlineStr">
        <is>
          <t>24/03/2026</t>
        </is>
      </c>
      <c r="I15632" s="10" t="inlineStr">
        <is>
          <t>17/03/2026</t>
        </is>
      </c>
      <c r="J15632" s="10" t="inlineStr">
        <is>
          <t>Bán hàng / Kinh doanh, Dịch vụ khách hàng, Vận chuyển / Giao nhận / Kho vận</t>
        </is>
      </c>
      <c r="K15632" s="10" t="inlineStr">
        <is>
          <t>N/A</t>
        </is>
      </c>
      <c r="L15632" s="11">
        <f>HYPERLINK("https://careerviet.vn/vi/tim-viec-lam/nhan-vien-kho-binh-duong.35C6ADAC.html","Xem chi tiết")</f>
        <v/>
      </c>
      <c r="M15632" s="10" t="n"/>
    </row>
    <row r="15633">
      <c r="B15633" s="7" t="n">
        <v>15631</v>
      </c>
      <c r="C15633" t="inlineStr">
        <is>
          <t>Nhân Viên Kỹ Thuật</t>
        </is>
      </c>
      <c r="D15633" t="inlineStr">
        <is>
          <t>CÔNG TY TNHH TẬP ĐOÀN DIVI</t>
        </is>
      </c>
      <c r="E15633" t="inlineStr">
        <is>
          <t>Lương:10 Tr - 15 Tr VND</t>
        </is>
      </c>
      <c r="F15633" t="inlineStr">
        <is>
          <t>Hồ Chí Minh</t>
        </is>
      </c>
      <c r="G15633" t="inlineStr">
        <is>
          <t>03-04-2026</t>
        </is>
      </c>
      <c r="H15633" t="inlineStr">
        <is>
          <t>03/04/2026</t>
        </is>
      </c>
      <c r="I15633" t="inlineStr">
        <is>
          <t>17/03/2026</t>
        </is>
      </c>
      <c r="J15633" t="inlineStr">
        <is>
          <t>Cơ khí / Ô tô / Tự động hóa</t>
        </is>
      </c>
      <c r="K15633" t="inlineStr">
        <is>
          <t>N/A</t>
        </is>
      </c>
      <c r="L15633" s="8">
        <f>HYPERLINK("https://careerviet.vn/vi/tim-viec-lam/nhan-vien-ky-thuat.35C6ACE1.html","Xem chi tiết")</f>
        <v/>
      </c>
    </row>
    <row r="15634">
      <c r="B15634" s="9" t="n">
        <v>15632</v>
      </c>
      <c r="C15634" s="10" t="inlineStr">
        <is>
          <t>Nhân Viên Tư Vấn Khách Hàng</t>
        </is>
      </c>
      <c r="D15634" s="10" t="inlineStr">
        <is>
          <t>CÔNG TY TNHH DỊCH VỤ PHÁT TRIỂN CÔNG NGHỆ HƯNG PHÁT</t>
        </is>
      </c>
      <c r="E15634" s="10" t="inlineStr">
        <is>
          <t>Lương:8 Tr - 25 Tr VND</t>
        </is>
      </c>
      <c r="F15634" s="10" t="inlineStr">
        <is>
          <t>Hồ Chí Minh</t>
        </is>
      </c>
      <c r="G15634" s="10" t="inlineStr">
        <is>
          <t>04-04-2026</t>
        </is>
      </c>
      <c r="H15634" s="10" t="inlineStr">
        <is>
          <t>04/04/2026</t>
        </is>
      </c>
      <c r="I15634" s="10" t="inlineStr">
        <is>
          <t>17/03/2026</t>
        </is>
      </c>
      <c r="J15634" s="10" t="inlineStr">
        <is>
          <t>Bán hàng / Kinh doanh, Tư vấn, Dịch vụ khách hàng</t>
        </is>
      </c>
      <c r="K15634" s="10" t="inlineStr">
        <is>
          <t>Trên 2 Năm</t>
        </is>
      </c>
      <c r="L15634" s="11">
        <f>HYPERLINK("https://careerviet.vn/vi/tim-viec-lam/nhan-vien-tu-van-khach-hang.35C6ACB4.html","Xem chi tiết")</f>
        <v/>
      </c>
      <c r="M15634" s="10" t="n"/>
    </row>
    <row r="15635">
      <c r="B15635" s="7" t="n">
        <v>15633</v>
      </c>
      <c r="C15635" t="inlineStr">
        <is>
          <t>Nhân viên nghiên cứu phát triển may mặc</t>
        </is>
      </c>
      <c r="D15635" t="inlineStr">
        <is>
          <t>Chantelle Vietnam</t>
        </is>
      </c>
      <c r="E15635" t="inlineStr">
        <is>
          <t>Lương:Cạnh tranh</t>
        </is>
      </c>
      <c r="F15635" t="inlineStr">
        <is>
          <t>Bình Dương</t>
        </is>
      </c>
      <c r="G15635" t="inlineStr">
        <is>
          <t>04-04-2026</t>
        </is>
      </c>
      <c r="H15635" t="inlineStr">
        <is>
          <t>04/04/2026</t>
        </is>
      </c>
      <c r="I15635" t="inlineStr">
        <is>
          <t>17/03/2026</t>
        </is>
      </c>
      <c r="J15635" t="inlineStr">
        <is>
          <t>Dệt may / Da giày / Thời trang, Sản xuất / Vận hành sản xuất, Quản lý chất lượng (QA/QC)</t>
        </is>
      </c>
      <c r="K15635" t="inlineStr">
        <is>
          <t>1 - 2 Năm</t>
        </is>
      </c>
      <c r="L15635" s="8">
        <f>HYPERLINK("https://careerviet.vn/vi/tim-viec-lam/nhan-vien-nghien-cuu-phat-trien-may-mac.35C6ACF7.html","Xem chi tiết")</f>
        <v/>
      </c>
    </row>
    <row r="15636">
      <c r="B15636" s="9" t="n">
        <v>15634</v>
      </c>
      <c r="C15636" s="10" t="inlineStr">
        <is>
          <t>Nhân viên cải thiện</t>
        </is>
      </c>
      <c r="D15636" s="10" t="inlineStr">
        <is>
          <t>Công ty TNHH Giầy Chingluh Việt Nam</t>
        </is>
      </c>
      <c r="E15636" s="10" t="inlineStr">
        <is>
          <t>Lương:Cạnh tranh</t>
        </is>
      </c>
      <c r="F15636" s="10" t="inlineStr">
        <is>
          <t>Long An</t>
        </is>
      </c>
      <c r="G15636" s="10" t="inlineStr">
        <is>
          <t>30-04-2026</t>
        </is>
      </c>
      <c r="H15636" s="10" t="inlineStr">
        <is>
          <t>30/04/2026</t>
        </is>
      </c>
      <c r="I15636" s="10" t="inlineStr">
        <is>
          <t>17/03/2026</t>
        </is>
      </c>
      <c r="J15636" s="10" t="inlineStr">
        <is>
          <t>Quản lý điều hành, Sản xuất / Vận hành sản xuất, Dệt may / Da giày / Thời trang</t>
        </is>
      </c>
      <c r="K15636" s="10" t="inlineStr">
        <is>
          <t>Trên 1 Năm</t>
        </is>
      </c>
      <c r="L15636" s="11">
        <f>HYPERLINK("https://careerviet.vn/vi/tim-viec-lam/nhan-vien-cai-thien.35C6ACF4.html","Xem chi tiết")</f>
        <v/>
      </c>
      <c r="M15636" s="10" t="n"/>
    </row>
    <row r="15637">
      <c r="B15637" s="7" t="n">
        <v>15635</v>
      </c>
      <c r="C15637" t="inlineStr">
        <is>
          <t>Kỹ thuật viên lắp ráp máy (Không cần kinh nghiệm)</t>
        </is>
      </c>
      <c r="D15637" t="inlineStr">
        <is>
          <t>Công ty TNHH Greystone Data Systems Việt Nam</t>
        </is>
      </c>
      <c r="E15637" t="inlineStr">
        <is>
          <t>Lương:8,5 Tr - 10 Tr VND</t>
        </is>
      </c>
      <c r="F15637" t="inlineStr">
        <is>
          <t>Hồ Chí Minh</t>
        </is>
      </c>
      <c r="G15637" t="inlineStr">
        <is>
          <t>04-04-2026</t>
        </is>
      </c>
      <c r="H15637" t="inlineStr">
        <is>
          <t>04/04/2026</t>
        </is>
      </c>
      <c r="I15637" t="inlineStr">
        <is>
          <t>17/03/2026</t>
        </is>
      </c>
      <c r="J15637" t="inlineStr">
        <is>
          <t>Điện / Điện tử / Điện lạnh / Điện công nghiệp, Bảo trì / Sửa chữa, Cơ khí / Ô tô / Tự động hóa</t>
        </is>
      </c>
      <c r="K15637" t="inlineStr">
        <is>
          <t>N/A</t>
        </is>
      </c>
      <c r="L15637" s="8">
        <f>HYPERLINK("https://careerviet.vn/vi/tim-viec-lam/ky-thuat-vien-lap-rap-may-khong-can-kinh-nghiem.35C6AC60.html","Xem chi tiết")</f>
        <v/>
      </c>
    </row>
    <row r="15638">
      <c r="B15638" s="9" t="n">
        <v>15636</v>
      </c>
      <c r="C15638" s="10" t="inlineStr">
        <is>
          <t>Giám Đốc Kinh Doanh Wellness &amp; Medical Wellness</t>
        </is>
      </c>
      <c r="D15638" s="10" t="inlineStr">
        <is>
          <t>CÔNG TY CỔ PHẦN UNIK XANH</t>
        </is>
      </c>
      <c r="E15638" s="10" t="inlineStr">
        <is>
          <t>Lương:Cạnh tranh</t>
        </is>
      </c>
      <c r="F15638" s="10" t="inlineStr">
        <is>
          <t>Hà NộiHòa Bình</t>
        </is>
      </c>
      <c r="G15638" s="10" t="inlineStr">
        <is>
          <t>04-04-2026</t>
        </is>
      </c>
      <c r="H15638" s="10" t="inlineStr">
        <is>
          <t>04/04/2026</t>
        </is>
      </c>
      <c r="I15638" s="10" t="inlineStr">
        <is>
          <t>17/03/2026</t>
        </is>
      </c>
      <c r="J15638" s="10" t="inlineStr">
        <is>
          <t>Bán hàng / Kinh doanh, Quản lý điều hành, Tiếp thị / Marketing</t>
        </is>
      </c>
      <c r="K15638" s="10" t="inlineStr">
        <is>
          <t>8 - 10 Năm</t>
        </is>
      </c>
      <c r="L15638" s="11">
        <f>HYPERLINK("https://careerviet.vn/vi/tim-viec-lam/giam-doc-kinh-doanh-wellness-medical-wellness.35C6AD5C.html","Xem chi tiết")</f>
        <v/>
      </c>
      <c r="M15638" s="10" t="n"/>
    </row>
    <row r="15639">
      <c r="B15639" s="7" t="n">
        <v>15637</v>
      </c>
      <c r="C15639" t="inlineStr">
        <is>
          <t>Nhân viên Brand Marketing</t>
        </is>
      </c>
      <c r="D15639" t="inlineStr">
        <is>
          <t>Công ty Cổ phần Đầu tư Ngôi sao Châu á</t>
        </is>
      </c>
      <c r="E15639" t="inlineStr">
        <is>
          <t>Lương:14 Tr - 15 Tr VND</t>
        </is>
      </c>
      <c r="F15639" t="inlineStr">
        <is>
          <t>Hà Nội</t>
        </is>
      </c>
      <c r="G15639" t="inlineStr">
        <is>
          <t>31-03-2026</t>
        </is>
      </c>
      <c r="H15639" t="inlineStr">
        <is>
          <t>31/03/2026</t>
        </is>
      </c>
      <c r="I15639" t="inlineStr">
        <is>
          <t>17/03/2026</t>
        </is>
      </c>
      <c r="J15639" t="inlineStr">
        <is>
          <t>Truyền hình / Báo chí / Biên tập, Tiếp thị / Marketing</t>
        </is>
      </c>
      <c r="K15639" t="inlineStr">
        <is>
          <t>2 - 3 Năm</t>
        </is>
      </c>
      <c r="L15639" s="8">
        <f>HYPERLINK("https://careerviet.vn/vi/tim-viec-lam/nhan-vien-brand-marketing.35C6AB34.html","Xem chi tiết")</f>
        <v/>
      </c>
    </row>
    <row r="15640">
      <c r="B15640" s="9" t="n">
        <v>15638</v>
      </c>
      <c r="C15640" s="10" t="inlineStr">
        <is>
          <t>Chuyên viên Vận hành lớp học trực tuyến</t>
        </is>
      </c>
      <c r="D15640" s="10" t="inlineStr">
        <is>
          <t>Công ty CP Công nghệ giáo dục Trường học trực tuyến (ONSCHOOL)</t>
        </is>
      </c>
      <c r="E15640" s="10" t="inlineStr">
        <is>
          <t>Lương:10 Tr - 15 Tr VND</t>
        </is>
      </c>
      <c r="F15640" s="10" t="inlineStr">
        <is>
          <t>Hà Nội</t>
        </is>
      </c>
      <c r="G15640" s="10" t="inlineStr">
        <is>
          <t>31-03-2026</t>
        </is>
      </c>
      <c r="H15640" s="10" t="inlineStr">
        <is>
          <t>31/03/2026</t>
        </is>
      </c>
      <c r="I15640" s="10" t="inlineStr">
        <is>
          <t>17/03/2026</t>
        </is>
      </c>
      <c r="J15640" s="10" t="inlineStr">
        <is>
          <t>Dịch vụ khách hàng, Giáo dục / Đào tạo</t>
        </is>
      </c>
      <c r="K15640" s="10" t="inlineStr">
        <is>
          <t>1 - 3 Năm</t>
        </is>
      </c>
      <c r="L15640" s="11">
        <f>HYPERLINK("https://careerviet.vn/vi/tim-viec-lam/chuyen-vien-van-hanh-lop-hoc-truc-tuyen.35C6ADB2.html","Xem chi tiết")</f>
        <v/>
      </c>
      <c r="M15640" s="10" t="n"/>
    </row>
    <row r="15641">
      <c r="B15641" s="7" t="n">
        <v>15639</v>
      </c>
      <c r="C15641" t="inlineStr">
        <is>
          <t>Chuyên Viên Tư Vấn Giáo Dục - Ocean Edu Lương Tài - Thu Nhập Từ 15Triệu/Tháng - Phỏng Vấn Đi Làm Ngay</t>
        </is>
      </c>
      <c r="D15641" t="inlineStr">
        <is>
          <t>Công Ty CP Giáo Dục Đại Dương</t>
        </is>
      </c>
      <c r="E15641" t="inlineStr">
        <is>
          <t>Lương:Cạnh tranh</t>
        </is>
      </c>
      <c r="F15641" t="inlineStr">
        <is>
          <t>Bắc Ninh</t>
        </is>
      </c>
      <c r="G15641" t="inlineStr">
        <is>
          <t>03-04-2026</t>
        </is>
      </c>
      <c r="H15641" t="inlineStr">
        <is>
          <t>03/04/2026</t>
        </is>
      </c>
      <c r="I15641" t="inlineStr">
        <is>
          <t>17/03/2026</t>
        </is>
      </c>
      <c r="J15641" t="inlineStr">
        <is>
          <t>Dịch vụ khách hàng, Giáo dục / Đào tạo, Bán hàng / Kinh doanh</t>
        </is>
      </c>
      <c r="K15641" t="inlineStr">
        <is>
          <t>Chưa có kinh nghiệm</t>
        </is>
      </c>
      <c r="L15641" s="8">
        <f>HYPERLINK("https://careerviet.vn/vi/tim-viec-lam/chuyen-vien-tu-van-giao-duc-ocean-edu-luong-tai-thu-nhap-tu-15trieu-thang-phong-van-di-lam-ngay.35C6AEB2.html","Xem chi tiết")</f>
        <v/>
      </c>
    </row>
    <row r="15642">
      <c r="B15642" s="9" t="n">
        <v>15640</v>
      </c>
      <c r="C15642" s="10" t="inlineStr">
        <is>
          <t>Kỹ sư thiết kế Phòng cháy chữa cháy</t>
        </is>
      </c>
      <c r="D15642" s="10" t="inlineStr">
        <is>
          <t>Tổng Công ty Cổ phần Công trình Viettel</t>
        </is>
      </c>
      <c r="E15642" s="10" t="inlineStr">
        <is>
          <t>Lương:Cạnh tranh</t>
        </is>
      </c>
      <c r="F15642" s="10" t="inlineStr">
        <is>
          <t>Hà Nội</t>
        </is>
      </c>
      <c r="G15642" s="10" t="inlineStr">
        <is>
          <t>03-04-2026</t>
        </is>
      </c>
      <c r="H15642" s="10" t="inlineStr">
        <is>
          <t>03/04/2026</t>
        </is>
      </c>
      <c r="I15642" s="10" t="inlineStr">
        <is>
          <t>17/03/2026</t>
        </is>
      </c>
      <c r="J15642" s="10" t="inlineStr">
        <is>
          <t>Cơ khí / Ô tô / Tự động hóa, Điện / Điện tử / Điện lạnh / Điện công nghiệp, An toàn lao động</t>
        </is>
      </c>
      <c r="K15642" s="10" t="inlineStr">
        <is>
          <t>2 - 4 Năm</t>
        </is>
      </c>
      <c r="L15642" s="11">
        <f>HYPERLINK("https://careerviet.vn/vi/tim-viec-lam/ky-su-thiet-ke-phong-chay-chua-chay.35C6AE09.html","Xem chi tiết")</f>
        <v/>
      </c>
      <c r="M15642" s="10" t="n"/>
    </row>
    <row r="15643">
      <c r="B15643" s="7" t="n">
        <v>15641</v>
      </c>
      <c r="C15643" t="inlineStr">
        <is>
          <t>GIÁM ĐỐC ĐIỀU HÀNH (CEO/COO)</t>
        </is>
      </c>
      <c r="D15643" t="inlineStr">
        <is>
          <t>HR Vietnam’s ESS Client</t>
        </is>
      </c>
      <c r="E15643" t="inlineStr">
        <is>
          <t>Lương:Cạnh tranh</t>
        </is>
      </c>
      <c r="F15643" t="inlineStr">
        <is>
          <t>Hồ Chí Minh</t>
        </is>
      </c>
      <c r="G15643" t="inlineStr">
        <is>
          <t>03-04-2026</t>
        </is>
      </c>
      <c r="H15643" t="inlineStr">
        <is>
          <t>03/04/2026</t>
        </is>
      </c>
      <c r="I15643" t="inlineStr">
        <is>
          <t>17/03/2026</t>
        </is>
      </c>
      <c r="J15643" t="inlineStr">
        <is>
          <t>Quản lý điều hành, Y tế / Chăm sóc sức khỏe / Thẩm mỹ / Làm đẹp</t>
        </is>
      </c>
      <c r="K15643" t="inlineStr">
        <is>
          <t>8 - 20 Năm</t>
        </is>
      </c>
      <c r="L15643" s="8">
        <f>HYPERLINK("https://careerviet.vn/vi/tim-viec-lam/giam-doc-dieu-hanh-ceo-coo.35C6ADED.html","Xem chi tiết")</f>
        <v/>
      </c>
    </row>
    <row r="15644">
      <c r="B15644" s="9" t="n">
        <v>15642</v>
      </c>
      <c r="C15644" s="10" t="inlineStr">
        <is>
          <t>Trưởng nhóm kinh doanh ngành điện gia dụng (Bắc Giang, Bắc Ninh, Thái Nguyên)</t>
        </is>
      </c>
      <c r="D15644" s="10" t="inlineStr">
        <is>
          <t>Công Ty Cổ Phần Quốc Tế Sơn Hà</t>
        </is>
      </c>
      <c r="E15644" s="10" t="inlineStr">
        <is>
          <t>Lương:Cạnh tranh</t>
        </is>
      </c>
      <c r="F15644" s="10" t="inlineStr">
        <is>
          <t>Hà NộiBắc NinhLạng Sơn</t>
        </is>
      </c>
      <c r="G15644" s="10" t="inlineStr">
        <is>
          <t>03-04-2026</t>
        </is>
      </c>
      <c r="H15644" s="10" t="inlineStr">
        <is>
          <t>03/04/2026</t>
        </is>
      </c>
      <c r="I15644" s="10" t="inlineStr">
        <is>
          <t>17/03/2026</t>
        </is>
      </c>
      <c r="J15644" s="10" t="inlineStr">
        <is>
          <t>Bán hàng / Kinh doanh</t>
        </is>
      </c>
      <c r="K15644" s="10" t="inlineStr">
        <is>
          <t>2 - 5 Năm</t>
        </is>
      </c>
      <c r="L15644" s="11">
        <f>HYPERLINK("https://careerviet.vn/vi/tim-viec-lam/truong-nhom-kinh-doanh-nganh-dien-gia-dung-bac-giang-bac-ninh-thai-nguyen.35C6AC99.html","Xem chi tiết")</f>
        <v/>
      </c>
      <c r="M15644" s="10" t="n"/>
    </row>
    <row r="15645">
      <c r="B15645" s="7" t="n">
        <v>15643</v>
      </c>
      <c r="C15645" t="inlineStr">
        <is>
          <t>Nhân Viên Cung Ứng - Điều Độ</t>
        </is>
      </c>
      <c r="D15645" t="inlineStr">
        <is>
          <t>Orioled Hub</t>
        </is>
      </c>
      <c r="E15645" t="inlineStr">
        <is>
          <t>Lương:10 Tr - 16 Tr VND</t>
        </is>
      </c>
      <c r="F15645" t="inlineStr">
        <is>
          <t>Bà Rịa - Vũng Tàu</t>
        </is>
      </c>
      <c r="G15645" t="inlineStr">
        <is>
          <t>30-04-2026</t>
        </is>
      </c>
      <c r="H15645" t="inlineStr">
        <is>
          <t>30/04/2026</t>
        </is>
      </c>
      <c r="I15645" t="inlineStr">
        <is>
          <t>17/03/2026</t>
        </is>
      </c>
      <c r="J15645" t="inlineStr">
        <is>
          <t>Dược phẩm/ Hóa Mỹ Phẩm, Y tế / Chăm sóc sức khỏe / Thẩm mỹ / Làm đẹp, Thu mua / Vật tư</t>
        </is>
      </c>
      <c r="K15645" t="inlineStr">
        <is>
          <t>1 - 2 Năm</t>
        </is>
      </c>
      <c r="L15645" s="8">
        <f>HYPERLINK("https://careerviet.vn/vi/tim-viec-lam/nhan-vien-cung-ung-dieu-do.35C6ADFF.html","Xem chi tiết")</f>
        <v/>
      </c>
    </row>
    <row r="15646">
      <c r="B15646" s="9" t="n">
        <v>15644</v>
      </c>
      <c r="C15646" s="10" t="inlineStr">
        <is>
          <t>Nhân viên Kiểm kê</t>
        </is>
      </c>
      <c r="D15646" s="10" t="inlineStr">
        <is>
          <t>CÔNG TY CỔ PHẦN TRANG SỨC ĐÁ QUÝ INFINITY</t>
        </is>
      </c>
      <c r="E15646" s="10" t="inlineStr">
        <is>
          <t>Lương:8 Tr - 10 Tr VND</t>
        </is>
      </c>
      <c r="F15646" s="10" t="inlineStr">
        <is>
          <t>Hồ Chí Minh</t>
        </is>
      </c>
      <c r="G15646" s="10" t="inlineStr">
        <is>
          <t>04-04-2026</t>
        </is>
      </c>
      <c r="H15646" s="10" t="inlineStr">
        <is>
          <t>04/04/2026</t>
        </is>
      </c>
      <c r="I15646" s="10" t="inlineStr">
        <is>
          <t>17/03/2026</t>
        </is>
      </c>
      <c r="J15646" s="10" t="inlineStr">
        <is>
          <t>Bán lẻ / Bán sỉ, Ngành khác</t>
        </is>
      </c>
      <c r="K15646" s="10" t="inlineStr">
        <is>
          <t>2 - 3 Năm</t>
        </is>
      </c>
      <c r="L15646" s="11">
        <f>HYPERLINK("https://careerviet.vn/vi/tim-viec-lam/nhan-vien-kiem-ke.35C6ADF3.html","Xem chi tiết")</f>
        <v/>
      </c>
      <c r="M15646" s="10" t="n"/>
    </row>
    <row r="15647">
      <c r="B15647" s="7" t="n">
        <v>15645</v>
      </c>
      <c r="C15647" t="inlineStr">
        <is>
          <t>Chuyên viên kế hoạch sản xuất</t>
        </is>
      </c>
      <c r="D15647" t="inlineStr">
        <is>
          <t>Công ty TNHH Di Đại Hưng</t>
        </is>
      </c>
      <c r="E15647" t="inlineStr">
        <is>
          <t>Lương:12 Tr - 15 Tr VND</t>
        </is>
      </c>
      <c r="F15647" t="inlineStr">
        <is>
          <t>Hồ Chí Minh</t>
        </is>
      </c>
      <c r="G15647" t="inlineStr">
        <is>
          <t>03-04-2026</t>
        </is>
      </c>
      <c r="H15647" t="inlineStr">
        <is>
          <t>03/04/2026</t>
        </is>
      </c>
      <c r="I15647" t="inlineStr">
        <is>
          <t>17/03/2026</t>
        </is>
      </c>
      <c r="J15647" t="inlineStr">
        <is>
          <t>Sản xuất / Vận hành sản xuất, Thu mua / Vật tư, Quản lý chất lượng (QA/QC)</t>
        </is>
      </c>
      <c r="K15647" t="inlineStr">
        <is>
          <t>2 - 4 Năm</t>
        </is>
      </c>
      <c r="L15647" s="8">
        <f>HYPERLINK("https://careerviet.vn/vi/tim-viec-lam/chuyen-vien-ke-hoach-san-xuat.35C6AC4C.html","Xem chi tiết")</f>
        <v/>
      </c>
    </row>
    <row r="15648">
      <c r="B15648" s="9" t="n">
        <v>15646</v>
      </c>
      <c r="C15648" s="10" t="inlineStr">
        <is>
          <t>Trưởng Phòng bảo trì</t>
        </is>
      </c>
      <c r="D15648" s="10" t="inlineStr">
        <is>
          <t>Công Ty TNHH Sơn Tùng</t>
        </is>
      </c>
      <c r="E15648" s="10" t="inlineStr">
        <is>
          <t>Lương:20 Tr - 25 Tr VND</t>
        </is>
      </c>
      <c r="F15648" s="10" t="inlineStr">
        <is>
          <t>Hồ Chí Minh</t>
        </is>
      </c>
      <c r="G15648" s="10" t="inlineStr">
        <is>
          <t>31-03-2026</t>
        </is>
      </c>
      <c r="H15648" s="10" t="inlineStr">
        <is>
          <t>31/03/2026</t>
        </is>
      </c>
      <c r="I15648" s="10" t="inlineStr">
        <is>
          <t>17/03/2026</t>
        </is>
      </c>
      <c r="J15648" s="10" t="inlineStr">
        <is>
          <t>Cơ khí / Ô tô / Tự động hóa, Điện / Điện tử / Điện lạnh / Điện công nghiệp, Bảo trì / Sửa chữa</t>
        </is>
      </c>
      <c r="K15648" s="10" t="inlineStr">
        <is>
          <t>2 - 3 Năm</t>
        </is>
      </c>
      <c r="L15648" s="11">
        <f>HYPERLINK("https://careerviet.vn/vi/tim-viec-lam/truong-phong-bao-tri.35C6ACEC.html","Xem chi tiết")</f>
        <v/>
      </c>
      <c r="M15648" s="10" t="n"/>
    </row>
    <row r="15649">
      <c r="B15649" s="7" t="n">
        <v>15647</v>
      </c>
      <c r="C15649" t="inlineStr">
        <is>
          <t>Chuyên Viên C&amp;B (Long Khánh - Đồng Nai)</t>
        </is>
      </c>
      <c r="D15649" t="inlineStr">
        <is>
          <t>Công Ty CP Liên Kết Quốc Tế INTERLINK (Trường Liên Kết Quốc Tế INschool &amp; Ngoại Ngữ Quốc Tế INS ENGLISH &amp; CHINESE)</t>
        </is>
      </c>
      <c r="E15649" t="inlineStr">
        <is>
          <t>Lương:9 Tr - 13 Tr VND</t>
        </is>
      </c>
      <c r="F15649" t="inlineStr">
        <is>
          <t>Đồng Nai</t>
        </is>
      </c>
      <c r="G15649" t="inlineStr">
        <is>
          <t>02-04-2026</t>
        </is>
      </c>
      <c r="H15649" t="inlineStr">
        <is>
          <t>02/04/2026</t>
        </is>
      </c>
      <c r="I15649" t="inlineStr">
        <is>
          <t>17/03/2026</t>
        </is>
      </c>
      <c r="J15649" t="inlineStr">
        <is>
          <t>Nhân sự, Kế toán / Kiểm toán, Ngân hàng</t>
        </is>
      </c>
      <c r="K15649" t="inlineStr">
        <is>
          <t>2 - 3 Năm</t>
        </is>
      </c>
      <c r="L15649" s="8">
        <f>HYPERLINK("https://careerviet.vn/vi/tim-viec-lam/chuyen-vien-c-b-long-khanh-dong-nai.35C6AD99.html","Xem chi tiết")</f>
        <v/>
      </c>
    </row>
    <row r="15650">
      <c r="B15650" s="9" t="n">
        <v>15648</v>
      </c>
      <c r="C15650" s="10" t="inlineStr">
        <is>
          <t>Human Resources Manager</t>
        </is>
      </c>
      <c r="D15650" s="10" t="inlineStr">
        <is>
          <t>CÔNG TY CỔ PHẦN CÔNG NGHỆ SOTATEK VIỆT NAM</t>
        </is>
      </c>
      <c r="E15650" s="10" t="inlineStr">
        <is>
          <t>Lương:Cạnh tranh</t>
        </is>
      </c>
      <c r="F15650" s="10" t="inlineStr">
        <is>
          <t>Ninh Thuận</t>
        </is>
      </c>
      <c r="G15650" s="10" t="inlineStr">
        <is>
          <t>31-03-2026</t>
        </is>
      </c>
      <c r="H15650" s="10" t="inlineStr">
        <is>
          <t>31/03/2026</t>
        </is>
      </c>
      <c r="I15650" s="10" t="inlineStr">
        <is>
          <t>17/03/2026</t>
        </is>
      </c>
      <c r="J15650" s="10" t="inlineStr">
        <is>
          <t>Nhân sự, Sản xuất / Vận hành sản xuất, Quản lý điều hành</t>
        </is>
      </c>
      <c r="K15650" s="10" t="inlineStr">
        <is>
          <t>Trên 2 Năm</t>
        </is>
      </c>
      <c r="L15650" s="11">
        <f>HYPERLINK("https://careerviet.vn/vi/tim-viec-lam/human-resources-manager.35C6AD7D.html","Xem chi tiết")</f>
        <v/>
      </c>
      <c r="M15650" s="10" t="n"/>
    </row>
    <row r="15651">
      <c r="B15651" s="7" t="n">
        <v>15649</v>
      </c>
      <c r="C15651" t="inlineStr">
        <is>
          <t>Nhân viên kế toán kiểm kê</t>
        </is>
      </c>
      <c r="D15651" t="inlineStr">
        <is>
          <t>Công ty TNHH TOM Group Việt Nam</t>
        </is>
      </c>
      <c r="E15651" t="inlineStr">
        <is>
          <t>Lương:10 Tr - 15 Tr VND</t>
        </is>
      </c>
      <c r="F15651" t="inlineStr">
        <is>
          <t>Hồ Chí Minh</t>
        </is>
      </c>
      <c r="G15651" t="inlineStr">
        <is>
          <t>15-04-2026</t>
        </is>
      </c>
      <c r="H15651" t="inlineStr">
        <is>
          <t>15/04/2026</t>
        </is>
      </c>
      <c r="I15651" t="inlineStr">
        <is>
          <t>17/03/2026</t>
        </is>
      </c>
      <c r="J15651" t="inlineStr">
        <is>
          <t>Kế toán / Kiểm toán, Tài chính / Đầu tư</t>
        </is>
      </c>
      <c r="K15651" t="inlineStr">
        <is>
          <t>1 - 2 Năm</t>
        </is>
      </c>
      <c r="L15651" s="8">
        <f>HYPERLINK("https://careerviet.vn/vi/tim-viec-lam/nhan-vien-ke-toan-kiem-ke.35C69415.html","Xem chi tiết")</f>
        <v/>
      </c>
    </row>
    <row r="15652">
      <c r="B15652" s="9" t="n">
        <v>15650</v>
      </c>
      <c r="C15652" s="10" t="inlineStr">
        <is>
          <t>Giám Sát Công Trình (Kết Cấu Thép)</t>
        </is>
      </c>
      <c r="D15652" s="10" t="inlineStr">
        <is>
          <t>CÔNG TY TRÁCH NHIỆM HỮU HẠN THÉP QSB</t>
        </is>
      </c>
      <c r="E15652" s="10" t="inlineStr">
        <is>
          <t>Lương:15 Tr - 23 Tr VND</t>
        </is>
      </c>
      <c r="F15652" s="10" t="inlineStr">
        <is>
          <t>Hồ Chí Minh</t>
        </is>
      </c>
      <c r="G15652" s="10" t="inlineStr">
        <is>
          <t>31-03-2026</t>
        </is>
      </c>
      <c r="H15652" s="10" t="inlineStr">
        <is>
          <t>31/03/2026</t>
        </is>
      </c>
      <c r="I15652" s="10" t="inlineStr">
        <is>
          <t>17/03/2026</t>
        </is>
      </c>
      <c r="J15652" s="10" t="inlineStr">
        <is>
          <t>Cơ khí / Ô tô / Tự động hóa, Xây dựng</t>
        </is>
      </c>
      <c r="K15652" s="10" t="inlineStr">
        <is>
          <t>2 - 5 Năm</t>
        </is>
      </c>
      <c r="L15652" s="11">
        <f>HYPERLINK("https://careerviet.vn/vi/tim-viec-lam/giam-sat-cong-trinh-ket-cau-thep.35C69051.html","Xem chi tiết")</f>
        <v/>
      </c>
      <c r="M15652" s="10" t="n"/>
    </row>
    <row r="15653">
      <c r="B15653" s="7" t="n">
        <v>15651</v>
      </c>
      <c r="C15653" t="inlineStr">
        <is>
          <t>Nhân viên bán hàng - Trần Thái Tông</t>
        </is>
      </c>
      <c r="D15653" t="inlineStr">
        <is>
          <t>CÔNG TY CỔ PHẦN TẬP ĐOÀN GIOVANNI VIỆT NAM</t>
        </is>
      </c>
      <c r="E15653" t="inlineStr">
        <is>
          <t>Lương:8 Tr - 15 Tr VND</t>
        </is>
      </c>
      <c r="F15653" t="inlineStr">
        <is>
          <t>Hà Nội</t>
        </is>
      </c>
      <c r="G15653" t="inlineStr">
        <is>
          <t>24-03-2026</t>
        </is>
      </c>
      <c r="H15653" t="inlineStr">
        <is>
          <t>24/03/2026</t>
        </is>
      </c>
      <c r="I15653" t="inlineStr">
        <is>
          <t>17/03/2026</t>
        </is>
      </c>
      <c r="J15653" t="inlineStr">
        <is>
          <t>Bán lẻ / Bán sỉ, Bán hàng / Kinh doanh, Dệt may / Da giày / Thời trang</t>
        </is>
      </c>
      <c r="K15653" t="inlineStr">
        <is>
          <t>N/A</t>
        </is>
      </c>
      <c r="L15653" s="8">
        <f>HYPERLINK("https://careerviet.vn/vi/tim-viec-lam/nhan-vien-ban-hang-tran-thai-tong.35C6901F.html","Xem chi tiết")</f>
        <v/>
      </c>
    </row>
    <row r="15654">
      <c r="B15654" s="9" t="n">
        <v>15652</v>
      </c>
      <c r="C15654" s="10" t="inlineStr">
        <is>
          <t>Nhân viên bán hàng - Huỳnh Thúc Kháng</t>
        </is>
      </c>
      <c r="D15654" s="10" t="inlineStr">
        <is>
          <t>CÔNG TY CỔ PHẦN TẬP ĐOÀN GIOVANNI VIỆT NAM</t>
        </is>
      </c>
      <c r="E15654" s="10" t="inlineStr">
        <is>
          <t>Lương:8 Tr - 15 Tr VND</t>
        </is>
      </c>
      <c r="F15654" s="10" t="inlineStr">
        <is>
          <t>Hà Nội</t>
        </is>
      </c>
      <c r="G15654" s="10" t="inlineStr">
        <is>
          <t>24-03-2026</t>
        </is>
      </c>
      <c r="H15654" s="10" t="inlineStr">
        <is>
          <t>24/03/2026</t>
        </is>
      </c>
      <c r="I15654" s="10" t="inlineStr">
        <is>
          <t>17/03/2026</t>
        </is>
      </c>
      <c r="J15654" s="10" t="inlineStr">
        <is>
          <t>Bán hàng / Kinh doanh, Dệt may / Da giày / Thời trang, Tư vấn</t>
        </is>
      </c>
      <c r="K15654" s="10" t="inlineStr">
        <is>
          <t>N/A</t>
        </is>
      </c>
      <c r="L15654" s="11">
        <f>HYPERLINK("https://careerviet.vn/vi/tim-viec-lam/nhan-vien-ban-hang-huynh-thuc-khang.35C6901A.html","Xem chi tiết")</f>
        <v/>
      </c>
      <c r="M15654" s="10" t="n"/>
    </row>
    <row r="15655">
      <c r="B15655" s="7" t="n">
        <v>15653</v>
      </c>
      <c r="C15655" t="inlineStr">
        <is>
          <t>Business Analyst (Chuyên viên phân tích kinh doanh)</t>
        </is>
      </c>
      <c r="D15655" t="inlineStr">
        <is>
          <t>CÔNG TY TNHH MILLENNIUM FURNITURE</t>
        </is>
      </c>
      <c r="E15655" t="inlineStr">
        <is>
          <t>Lương:Cạnh tranh</t>
        </is>
      </c>
      <c r="F15655" t="inlineStr">
        <is>
          <t>Quảng Ngãi</t>
        </is>
      </c>
      <c r="G15655" t="inlineStr">
        <is>
          <t>26-03-2026</t>
        </is>
      </c>
      <c r="H15655" t="inlineStr">
        <is>
          <t>26/03/2026</t>
        </is>
      </c>
      <c r="I15655" t="inlineStr">
        <is>
          <t>17/03/2026</t>
        </is>
      </c>
      <c r="J15655" t="inlineStr">
        <is>
          <t>Kế toán / Kiểm toán, Tài chính / Đầu tư</t>
        </is>
      </c>
      <c r="K15655" t="inlineStr">
        <is>
          <t>1 - 2 Năm</t>
        </is>
      </c>
      <c r="L15655" s="8">
        <f>HYPERLINK("https://careerviet.vn/vi/tim-viec-lam/business-analyst-chuyen-vien-phan-tich-kinh-doanh.35C69053.html","Xem chi tiết")</f>
        <v/>
      </c>
    </row>
    <row r="15656">
      <c r="B15656" s="9" t="n">
        <v>15654</v>
      </c>
      <c r="C15656" s="10" t="inlineStr">
        <is>
          <t>THỦ KHO</t>
        </is>
      </c>
      <c r="D15656" s="10" t="inlineStr">
        <is>
          <t>CÔNG TY CỔ PHẦN MEGABUILD</t>
        </is>
      </c>
      <c r="E15656" s="10" t="inlineStr">
        <is>
          <t>Lương:10 Tr - 15 Tr VND</t>
        </is>
      </c>
      <c r="F15656" s="10" t="inlineStr">
        <is>
          <t>Bình Dương</t>
        </is>
      </c>
      <c r="G15656" s="10" t="inlineStr">
        <is>
          <t>3</t>
        </is>
      </c>
      <c r="H15656" s="10" t="inlineStr">
        <is>
          <t>20/03/2026</t>
        </is>
      </c>
      <c r="I15656" s="10" t="inlineStr">
        <is>
          <t>17/03/2026</t>
        </is>
      </c>
      <c r="J15656" s="10" t="inlineStr">
        <is>
          <t>Vận chuyển / Giao nhận / Kho vận, Xây dựng</t>
        </is>
      </c>
      <c r="K15656" s="10" t="inlineStr">
        <is>
          <t>Chưa có kinh nghiệm</t>
        </is>
      </c>
      <c r="L15656" s="11">
        <f>HYPERLINK("https://careerviet.vn/vi/tim-viec-lam/thu-kho.35C69091.html","Xem chi tiết")</f>
        <v/>
      </c>
      <c r="M15656" s="10" t="n"/>
    </row>
    <row r="15657">
      <c r="B15657" s="7" t="n">
        <v>15655</v>
      </c>
      <c r="C15657" t="inlineStr">
        <is>
          <t>Chuyên viên Chăm sóc Khách hàng Doanh nghiệp (CCS)</t>
        </is>
      </c>
      <c r="D15657" t="inlineStr">
        <is>
          <t>CÔNG TY TNHH CÔNG NGHỆ VNTRIP</t>
        </is>
      </c>
      <c r="E15657" t="inlineStr">
        <is>
          <t>Lương:12 Tr - 17 Tr VND</t>
        </is>
      </c>
      <c r="F15657" t="inlineStr">
        <is>
          <t>Hà Nội</t>
        </is>
      </c>
      <c r="G15657" t="inlineStr">
        <is>
          <t>31-03-2026</t>
        </is>
      </c>
      <c r="H15657" t="inlineStr">
        <is>
          <t>31/03/2026</t>
        </is>
      </c>
      <c r="I15657" t="inlineStr">
        <is>
          <t>17/03/2026</t>
        </is>
      </c>
      <c r="J15657" t="inlineStr">
        <is>
          <t>Dịch vụ khách hàng, Nhà hàng / Khách sạn, Du lịch</t>
        </is>
      </c>
      <c r="K15657" t="inlineStr">
        <is>
          <t>2 - 3 Năm</t>
        </is>
      </c>
      <c r="L15657" s="8">
        <f>HYPERLINK("https://careerviet.vn/vi/tim-viec-lam/chuyen-vien-cham-soc-khach-hang-doanh-nghiep-ccs.35C693CA.html","Xem chi tiết")</f>
        <v/>
      </c>
    </row>
    <row r="15658">
      <c r="B15658" s="9" t="n">
        <v>15656</v>
      </c>
      <c r="C15658" s="10" t="inlineStr">
        <is>
          <t>Trưởng phòng Chất lượng III - Tiếng Trung</t>
        </is>
      </c>
      <c r="D15658" s="10" t="inlineStr">
        <is>
          <t>CÔNG TY TNHH ELECTRONIC TRIPOD VIỆT NAM (CHÂU ĐỨC)</t>
        </is>
      </c>
      <c r="E15658" s="10" t="inlineStr">
        <is>
          <t>Lương:Cạnh tranh</t>
        </is>
      </c>
      <c r="F15658" s="10" t="inlineStr">
        <is>
          <t>Bà Rịa - Vũng TàuĐồng Nai</t>
        </is>
      </c>
      <c r="G15658" s="10" t="inlineStr">
        <is>
          <t>24-03-2026</t>
        </is>
      </c>
      <c r="H15658" s="10" t="inlineStr">
        <is>
          <t>24/03/2026</t>
        </is>
      </c>
      <c r="I15658" s="10" t="inlineStr">
        <is>
          <t>17/03/2026</t>
        </is>
      </c>
      <c r="J15658" s="10" t="inlineStr">
        <is>
          <t>Quản lý chất lượng (QA/QC)</t>
        </is>
      </c>
      <c r="K15658" s="10" t="inlineStr">
        <is>
          <t>3 - 4 Năm</t>
        </is>
      </c>
      <c r="L15658" s="11">
        <f>HYPERLINK("https://careerviet.vn/vi/tim-viec-lam/truong-phong-chat-luong-iii-tieng-trung.35C691B7.html","Xem chi tiết")</f>
        <v/>
      </c>
      <c r="M15658" s="10" t="n"/>
    </row>
    <row r="15659">
      <c r="B15659" s="7" t="n">
        <v>15657</v>
      </c>
      <c r="C15659" t="inlineStr">
        <is>
          <t>NHÂN VIÊN SALE ADMIN (MẢNG M&amp;A)</t>
        </is>
      </c>
      <c r="D15659" t="inlineStr">
        <is>
          <t>Công Ty TNHH ONE-VALUE Việt Nam</t>
        </is>
      </c>
      <c r="E15659" t="inlineStr">
        <is>
          <t>Lương:10 Tr - 12 Tr VND</t>
        </is>
      </c>
      <c r="F15659" t="inlineStr">
        <is>
          <t>Hà Nội</t>
        </is>
      </c>
      <c r="G15659" t="inlineStr">
        <is>
          <t>24-03-2026</t>
        </is>
      </c>
      <c r="H15659" t="inlineStr">
        <is>
          <t>24/03/2026</t>
        </is>
      </c>
      <c r="I15659" t="inlineStr">
        <is>
          <t>17/03/2026</t>
        </is>
      </c>
      <c r="J15659" t="inlineStr">
        <is>
          <t>Tư vấn, Hành chính / Thư ký</t>
        </is>
      </c>
      <c r="K15659" t="inlineStr">
        <is>
          <t>Trên 1 Năm</t>
        </is>
      </c>
      <c r="L15659" s="8">
        <f>HYPERLINK("https://careerviet.vn/vi/tim-viec-lam/nhan-vien-sale-admin-mang-m-a.35C69285.html","Xem chi tiết")</f>
        <v/>
      </c>
    </row>
    <row r="15660">
      <c r="B15660" s="9" t="n">
        <v>15658</v>
      </c>
      <c r="C15660" s="10" t="inlineStr">
        <is>
          <t>Nhân Viên Content - Media Kênh Livestream Tiktok (Lương từ 8 - 12tr/tháng)</t>
        </is>
      </c>
      <c r="D15660" s="10" t="inlineStr">
        <is>
          <t>Công Ty TNHH XNK Cầu Nối Việt</t>
        </is>
      </c>
      <c r="E15660" s="10" t="inlineStr">
        <is>
          <t>Lương:8 Tr - 12 Tr VND</t>
        </is>
      </c>
      <c r="F15660" s="10" t="inlineStr">
        <is>
          <t>Hà Nội</t>
        </is>
      </c>
      <c r="G15660" s="10" t="inlineStr">
        <is>
          <t>31-05-2026</t>
        </is>
      </c>
      <c r="H15660" s="10" t="inlineStr">
        <is>
          <t>31/05/2026</t>
        </is>
      </c>
      <c r="I15660" s="10" t="inlineStr">
        <is>
          <t>17/03/2026</t>
        </is>
      </c>
      <c r="J15660" s="10" t="inlineStr">
        <is>
          <t>Tiếp thị trực tuyến, Tiếp thị / Marketing, Truyền hình / Báo chí / Biên tập</t>
        </is>
      </c>
      <c r="K15660" s="10" t="inlineStr">
        <is>
          <t>Chưa có kinh nghiệm</t>
        </is>
      </c>
      <c r="L15660" s="11">
        <f>HYPERLINK("https://careerviet.vn/vi/tim-viec-lam/nhan-vien-content-media-kenh-livestream-tiktok-luong-tu-8-12tr-thang.35C6944C.html","Xem chi tiết")</f>
        <v/>
      </c>
      <c r="M15660" s="10" t="n"/>
    </row>
    <row r="15661">
      <c r="B15661" s="7" t="n">
        <v>15659</v>
      </c>
      <c r="C15661" t="inlineStr">
        <is>
          <t>Trưởng nhóm Chăm sóc khách hàng</t>
        </is>
      </c>
      <c r="D15661" t="inlineStr">
        <is>
          <t>Công ty Cổ Phần Giáo Dục German Link</t>
        </is>
      </c>
      <c r="E15661" t="inlineStr">
        <is>
          <t>Lương:10 Tr - 25 Tr VND</t>
        </is>
      </c>
      <c r="F15661" t="inlineStr">
        <is>
          <t>Hà Nội</t>
        </is>
      </c>
      <c r="G15661" t="inlineStr">
        <is>
          <t>25-03-2026</t>
        </is>
      </c>
      <c r="H15661" t="inlineStr">
        <is>
          <t>25/03/2026</t>
        </is>
      </c>
      <c r="I15661" t="inlineStr">
        <is>
          <t>17/03/2026</t>
        </is>
      </c>
      <c r="J15661" t="inlineStr">
        <is>
          <t>Tư vấn, Dịch vụ khách hàng, Giáo dục / Đào tạo</t>
        </is>
      </c>
      <c r="K15661" t="inlineStr">
        <is>
          <t>Lên đến 2 Năm</t>
        </is>
      </c>
      <c r="L15661" s="8">
        <f>HYPERLINK("https://careerviet.vn/vi/tim-viec-lam/truong-nhom-cham-soc-khach-hang.35C69103.html","Xem chi tiết")</f>
        <v/>
      </c>
    </row>
    <row r="15662">
      <c r="B15662" s="9" t="n">
        <v>15660</v>
      </c>
      <c r="C15662" s="10" t="inlineStr">
        <is>
          <t>Giáo Viên Chủ Nhiệm (Ocean Edu Kon Tum)</t>
        </is>
      </c>
      <c r="D15662" s="10" t="inlineStr">
        <is>
          <t>Công Ty CP Giáo Dục Đại Dương</t>
        </is>
      </c>
      <c r="E15662" s="10" t="inlineStr">
        <is>
          <t>Lương:Cạnh tranh</t>
        </is>
      </c>
      <c r="F15662" s="10" t="inlineStr">
        <is>
          <t>Kon Tum</t>
        </is>
      </c>
      <c r="G15662" s="10" t="inlineStr">
        <is>
          <t>03-04-2026</t>
        </is>
      </c>
      <c r="H15662" s="10" t="inlineStr">
        <is>
          <t>03/04/2026</t>
        </is>
      </c>
      <c r="I15662" s="10" t="inlineStr">
        <is>
          <t>17/03/2026</t>
        </is>
      </c>
      <c r="J15662" s="10" t="inlineStr">
        <is>
          <t>Giáo dục / Đào tạo, Bán hàng / Kinh doanh, Biên phiên dịch</t>
        </is>
      </c>
      <c r="K15662" s="10" t="inlineStr">
        <is>
          <t>Trên 1 Năm</t>
        </is>
      </c>
      <c r="L15662" s="11">
        <f>HYPERLINK("https://careerviet.vn/vi/tim-viec-lam/giao-vien-chu-nhiem-ocean-edu-kon-tum.35C6ABC0.html","Xem chi tiết")</f>
        <v/>
      </c>
      <c r="M15662" s="10" t="n"/>
    </row>
    <row r="15663">
      <c r="B15663" s="7" t="n">
        <v>15661</v>
      </c>
      <c r="C15663" t="inlineStr">
        <is>
          <t>Kỹ sư Hiện trường (Bắc Giang)</t>
        </is>
      </c>
      <c r="D15663" t="inlineStr">
        <is>
          <t>CÔNG TY CỔ PHẦN XÂY DỰNG VILAI VIỆT</t>
        </is>
      </c>
      <c r="E15663" t="inlineStr">
        <is>
          <t>Lương:15 Tr - 25 Tr VND</t>
        </is>
      </c>
      <c r="F15663" t="inlineStr">
        <is>
          <t>Bắc Giang</t>
        </is>
      </c>
      <c r="G15663" t="inlineStr">
        <is>
          <t>31-03-2026</t>
        </is>
      </c>
      <c r="H15663" t="inlineStr">
        <is>
          <t>31/03/2026</t>
        </is>
      </c>
      <c r="I15663" t="inlineStr">
        <is>
          <t>17/03/2026</t>
        </is>
      </c>
      <c r="J15663" t="inlineStr">
        <is>
          <t>Xây dựng, Kiến trúc</t>
        </is>
      </c>
      <c r="K15663" t="inlineStr">
        <is>
          <t>2 - 5 Năm</t>
        </is>
      </c>
      <c r="L15663" s="8">
        <f>HYPERLINK("https://careerviet.vn/vi/tim-viec-lam/ky-su-hien-truong-bac-giang.35C6903F.html","Xem chi tiết")</f>
        <v/>
      </c>
    </row>
    <row r="15664">
      <c r="B15664" s="9" t="n">
        <v>15662</v>
      </c>
      <c r="C15664" s="10" t="inlineStr">
        <is>
          <t>CHUYÊN VIÊN KẾ TOÁN QUẢN TRỊ</t>
        </is>
      </c>
      <c r="D15664" s="10" t="inlineStr">
        <is>
          <t>Công ty TNHH Thiết bị y tế Phương Đông</t>
        </is>
      </c>
      <c r="E15664" s="10" t="inlineStr">
        <is>
          <t>Lương:Cạnh tranh</t>
        </is>
      </c>
      <c r="F15664" s="10" t="inlineStr">
        <is>
          <t>Hà Nội</t>
        </is>
      </c>
      <c r="G15664" s="10" t="inlineStr">
        <is>
          <t>26-03-2026</t>
        </is>
      </c>
      <c r="H15664" s="10" t="inlineStr">
        <is>
          <t>26/03/2026</t>
        </is>
      </c>
      <c r="I15664" s="10" t="inlineStr">
        <is>
          <t>17/03/2026</t>
        </is>
      </c>
      <c r="J15664" s="10" t="inlineStr">
        <is>
          <t>Kế toán / Kiểm toán, Tài chính / Đầu tư</t>
        </is>
      </c>
      <c r="K15664" s="10" t="inlineStr">
        <is>
          <t>1 - 3 Năm</t>
        </is>
      </c>
      <c r="L15664" s="11">
        <f>HYPERLINK("https://careerviet.vn/vi/tim-viec-lam/chuyen-vien-ke-toan-quan-tri.35C693DC.html","Xem chi tiết")</f>
        <v/>
      </c>
      <c r="M15664" s="10" t="n"/>
    </row>
    <row r="15665">
      <c r="B15665" s="7" t="n">
        <v>15663</v>
      </c>
      <c r="C15665" t="inlineStr">
        <is>
          <t>Trưởng phòng Điều phối hàng hóa (Thời trang - Thể thao)</t>
        </is>
      </c>
      <c r="D15665" t="inlineStr">
        <is>
          <t>CÔNG TY TNHH ANTA SPORTS VIỆT NAM</t>
        </is>
      </c>
      <c r="E15665" t="inlineStr">
        <is>
          <t>Lương:30 Tr - 40 Tr VND</t>
        </is>
      </c>
      <c r="F15665" t="inlineStr">
        <is>
          <t>Hà Nội</t>
        </is>
      </c>
      <c r="G15665" t="inlineStr">
        <is>
          <t>31-03-2026</t>
        </is>
      </c>
      <c r="H15665" t="inlineStr">
        <is>
          <t>31/03/2026</t>
        </is>
      </c>
      <c r="I15665" t="inlineStr">
        <is>
          <t>17/03/2026</t>
        </is>
      </c>
      <c r="J15665" t="inlineStr">
        <is>
          <t>Bán lẻ / Bán sỉ, Bán hàng / Kinh doanh, Ngành khác</t>
        </is>
      </c>
      <c r="K15665" t="inlineStr">
        <is>
          <t>Trên 5 Năm</t>
        </is>
      </c>
      <c r="L15665" s="8">
        <f>HYPERLINK("https://careerviet.vn/vi/tim-viec-lam/truong-phong-dieu-phoi-hang-hoa-thoi-trang-the-thao.35C6AD0A.html","Xem chi tiết")</f>
        <v/>
      </c>
    </row>
    <row r="15666">
      <c r="B15666" s="9" t="n">
        <v>15664</v>
      </c>
      <c r="C15666" s="10" t="inlineStr">
        <is>
          <t>KỸ SƯ KINH TẾ XÂY DỰNG HÀ NỘI</t>
        </is>
      </c>
      <c r="D15666" s="10" t="inlineStr">
        <is>
          <t>Hoàng Huy Group</t>
        </is>
      </c>
      <c r="E15666" s="10" t="inlineStr">
        <is>
          <t>Lương:15 Tr - 22 Tr VND</t>
        </is>
      </c>
      <c r="F15666" s="10" t="inlineStr">
        <is>
          <t>Hà Nội</t>
        </is>
      </c>
      <c r="G15666" s="10" t="inlineStr">
        <is>
          <t>31-03-2026</t>
        </is>
      </c>
      <c r="H15666" s="10" t="inlineStr">
        <is>
          <t>31/03/2026</t>
        </is>
      </c>
      <c r="I15666" s="10" t="inlineStr">
        <is>
          <t>17/03/2026</t>
        </is>
      </c>
      <c r="J15666" s="10" t="inlineStr">
        <is>
          <t>Kiến trúc, Xây dựng, Bất động sản</t>
        </is>
      </c>
      <c r="K15666" s="10" t="inlineStr">
        <is>
          <t>1 - 2 Năm</t>
        </is>
      </c>
      <c r="L15666" s="11">
        <f>HYPERLINK("https://careerviet.vn/vi/tim-viec-lam/ky-su-kinh-te-xay-dung-ha-noi.35C69035.html","Xem chi tiết")</f>
        <v/>
      </c>
      <c r="M15666" s="10" t="n"/>
    </row>
    <row r="15667">
      <c r="B15667" s="7" t="n">
        <v>15665</v>
      </c>
      <c r="C15667" t="inlineStr">
        <is>
          <t>[TÂN BÌNH] BẾP TRƯỞNG / BẾP PHÓ</t>
        </is>
      </c>
      <c r="D15667" t="inlineStr">
        <is>
          <t>Công Ty Cổ Phần Tầm Nhìn Quốc Tế Aladdin</t>
        </is>
      </c>
      <c r="E15667" t="inlineStr">
        <is>
          <t>Lương:12 Tr - 20 Tr VND</t>
        </is>
      </c>
      <c r="F15667" t="inlineStr">
        <is>
          <t>Hồ Chí Minh</t>
        </is>
      </c>
      <c r="G15667" t="inlineStr">
        <is>
          <t>24-03-2026</t>
        </is>
      </c>
      <c r="H15667" t="inlineStr">
        <is>
          <t>24/03/2026</t>
        </is>
      </c>
      <c r="I15667" t="inlineStr">
        <is>
          <t>17/03/2026</t>
        </is>
      </c>
      <c r="J15667" t="inlineStr">
        <is>
          <t>Thực phẩm &amp; Đồ uống, Nhà hàng / Khách sạn, Quản lý điều hành</t>
        </is>
      </c>
      <c r="K15667" t="inlineStr">
        <is>
          <t>Trên 2 Năm</t>
        </is>
      </c>
      <c r="L15667" s="8">
        <f>HYPERLINK("https://careerviet.vn/vi/tim-viec-lam/tan-binh-bep-truong-bep-pho.35C6942B.html","Xem chi tiết")</f>
        <v/>
      </c>
    </row>
    <row r="15668">
      <c r="B15668" s="9" t="n">
        <v>15666</v>
      </c>
      <c r="C15668" s="10" t="inlineStr">
        <is>
          <t>Nhân Viên Tư Vấn Trực Tiếp</t>
        </is>
      </c>
      <c r="D15668" s="10" t="inlineStr">
        <is>
          <t>Viện Thẩm mỹ y khoa Dr Hải Lê</t>
        </is>
      </c>
      <c r="E15668" s="10" t="inlineStr">
        <is>
          <t>Lương:Cạnh tranh</t>
        </is>
      </c>
      <c r="F15668" s="10" t="inlineStr">
        <is>
          <t>Hà Nội</t>
        </is>
      </c>
      <c r="G15668" s="10" t="inlineStr">
        <is>
          <t>28-03-2026</t>
        </is>
      </c>
      <c r="H15668" s="10" t="inlineStr">
        <is>
          <t>28/03/2026</t>
        </is>
      </c>
      <c r="I15668" s="10" t="inlineStr">
        <is>
          <t>17/03/2026</t>
        </is>
      </c>
      <c r="J15668" s="10" t="inlineStr">
        <is>
          <t>Y tế / Chăm sóc sức khỏe / Thẩm mỹ / Làm đẹp, Dịch vụ khách hàng, Bán hàng / Kinh doanh</t>
        </is>
      </c>
      <c r="K15668" s="10" t="inlineStr">
        <is>
          <t>1 - 3 Năm</t>
        </is>
      </c>
      <c r="L15668" s="11">
        <f>HYPERLINK("https://careerviet.vn/vi/tim-viec-lam/nhan-vien-tu-van-truc-tiep.35C691CC.html","Xem chi tiết")</f>
        <v/>
      </c>
      <c r="M15668" s="10" t="n"/>
    </row>
    <row r="15669">
      <c r="B15669" s="7" t="n">
        <v>15667</v>
      </c>
      <c r="C15669" t="inlineStr">
        <is>
          <t>Nhân viên vật tư</t>
        </is>
      </c>
      <c r="D15669" t="inlineStr">
        <is>
          <t>CÔNG TY TNHH YURA CORPORATION TÂY NINH</t>
        </is>
      </c>
      <c r="E15669" t="inlineStr">
        <is>
          <t>Lương:14 Tr - 17 Tr VND</t>
        </is>
      </c>
      <c r="F15669" t="inlineStr">
        <is>
          <t>Tây Ninh</t>
        </is>
      </c>
      <c r="G15669" t="inlineStr">
        <is>
          <t>31-03-2026</t>
        </is>
      </c>
      <c r="H15669" t="inlineStr">
        <is>
          <t>31/03/2026</t>
        </is>
      </c>
      <c r="I15669" t="inlineStr">
        <is>
          <t>17/03/2026</t>
        </is>
      </c>
      <c r="J15669" t="inlineStr">
        <is>
          <t>Sản xuất / Vận hành sản xuất, Thu mua / Vật tư</t>
        </is>
      </c>
      <c r="K15669" t="inlineStr">
        <is>
          <t>3 - 5 Năm</t>
        </is>
      </c>
      <c r="L15669" s="8">
        <f>HYPERLINK("https://careerviet.vn/vi/tim-viec-lam/nhan-vien-vat-tu.35C69181.html","Xem chi tiết")</f>
        <v/>
      </c>
    </row>
    <row r="15670">
      <c r="B15670" s="9" t="n">
        <v>15668</v>
      </c>
      <c r="C15670" s="10" t="inlineStr">
        <is>
          <t>KỸ SƯ KẾT CẤU CAO CẤP</t>
        </is>
      </c>
      <c r="D15670" s="10" t="inlineStr">
        <is>
          <t>HR Vietnam’s ESS Client</t>
        </is>
      </c>
      <c r="E15670" s="10" t="inlineStr">
        <is>
          <t>Lương:Cạnh tranh</t>
        </is>
      </c>
      <c r="F15670" s="10" t="inlineStr">
        <is>
          <t>Nam ĐịnhNinh Bình</t>
        </is>
      </c>
      <c r="G15670" s="10" t="inlineStr">
        <is>
          <t>26-03-2026</t>
        </is>
      </c>
      <c r="H15670" s="10" t="inlineStr">
        <is>
          <t>26/03/2026</t>
        </is>
      </c>
      <c r="I15670" s="10" t="inlineStr">
        <is>
          <t>17/03/2026</t>
        </is>
      </c>
      <c r="J15670" s="10" t="inlineStr">
        <is>
          <t>Xây dựng</t>
        </is>
      </c>
      <c r="K15670" s="10" t="inlineStr">
        <is>
          <t>5 - 6 Năm</t>
        </is>
      </c>
      <c r="L15670" s="11">
        <f>HYPERLINK("https://careerviet.vn/vi/tim-viec-lam/ky-su-ket-cau-cao-cap.35C6909C.html","Xem chi tiết")</f>
        <v/>
      </c>
      <c r="M15670" s="10" t="n"/>
    </row>
    <row r="15671">
      <c r="B15671" s="7" t="n">
        <v>15669</v>
      </c>
      <c r="C15671" t="inlineStr">
        <is>
          <t>Nhân viên Trực Tổng Đài Viettel tại Hoài Đức, Hà Nội</t>
        </is>
      </c>
      <c r="D15671" t="inlineStr">
        <is>
          <t>CÔNG TY CỔ PHẦN TRUYỀN THÔNG KIM CƯƠNG</t>
        </is>
      </c>
      <c r="E15671" t="inlineStr">
        <is>
          <t>Lương:7 Tr - 10 Tr VND</t>
        </is>
      </c>
      <c r="F15671" t="inlineStr">
        <is>
          <t>Hà Nội</t>
        </is>
      </c>
      <c r="G15671" t="inlineStr">
        <is>
          <t>26-03-2026</t>
        </is>
      </c>
      <c r="H15671" t="inlineStr">
        <is>
          <t>26/03/2026</t>
        </is>
      </c>
      <c r="I15671" t="inlineStr">
        <is>
          <t>17/03/2026</t>
        </is>
      </c>
      <c r="J15671" t="inlineStr">
        <is>
          <t>Bán hàng / Kinh doanh, Bán lẻ / Bán sỉ, Tiếp thị / Marketing</t>
        </is>
      </c>
      <c r="K15671" t="inlineStr">
        <is>
          <t>N/A</t>
        </is>
      </c>
      <c r="L15671" s="8">
        <f>HYPERLINK("https://careerviet.vn/vi/tim-viec-lam/nhan-vien-truc-tong-dai-viettel-tai-hoai-duc-ha-noi.35C69378.html","Xem chi tiết")</f>
        <v/>
      </c>
    </row>
    <row r="15672">
      <c r="B15672" s="9" t="n">
        <v>15670</v>
      </c>
      <c r="C15672" s="10" t="inlineStr">
        <is>
          <t>Kế toán ngân hàng</t>
        </is>
      </c>
      <c r="D15672" s="10" t="inlineStr">
        <is>
          <t>Công ty cổ phần Xây dựng Công trình IPC</t>
        </is>
      </c>
      <c r="E15672" s="10" t="inlineStr">
        <is>
          <t>Lương:14 Tr - 18 Tr VND</t>
        </is>
      </c>
      <c r="F15672" s="10" t="inlineStr">
        <is>
          <t>Hà Nội</t>
        </is>
      </c>
      <c r="G15672" s="10" t="inlineStr">
        <is>
          <t>09-03-2026</t>
        </is>
      </c>
      <c r="H15672" s="10" t="inlineStr">
        <is>
          <t>15/03/2026</t>
        </is>
      </c>
      <c r="I15672" s="10" t="inlineStr">
        <is>
          <t>17/03/2026</t>
        </is>
      </c>
      <c r="J15672" s="10" t="inlineStr">
        <is>
          <t>Kế toán / Kiểm toán</t>
        </is>
      </c>
      <c r="K15672" s="10" t="inlineStr">
        <is>
          <t>Trên 2 Năm</t>
        </is>
      </c>
      <c r="L15672" s="11">
        <f>HYPERLINK("https://careerviet.vn/vi/tim-viec-lam/ke-toan-ngan-hang.35C68FE5.html","Xem chi tiết")</f>
        <v/>
      </c>
      <c r="M15672" s="10" t="n"/>
    </row>
    <row r="15673">
      <c r="B15673" s="7" t="n">
        <v>15671</v>
      </c>
      <c r="C15673" t="inlineStr">
        <is>
          <t>Nhân viên Content TikTok</t>
        </is>
      </c>
      <c r="D15673" t="inlineStr">
        <is>
          <t>Công ty Cổ Phần Giáo Dục German Link</t>
        </is>
      </c>
      <c r="E15673" t="inlineStr">
        <is>
          <t>Lương:10 Tr - 12 Tr VND</t>
        </is>
      </c>
      <c r="F15673" t="inlineStr">
        <is>
          <t>Hà Nội</t>
        </is>
      </c>
      <c r="G15673" t="inlineStr">
        <is>
          <t>25-03-2026</t>
        </is>
      </c>
      <c r="H15673" t="inlineStr">
        <is>
          <t>25/03/2026</t>
        </is>
      </c>
      <c r="I15673" t="inlineStr">
        <is>
          <t>17/03/2026</t>
        </is>
      </c>
      <c r="J15673" t="inlineStr">
        <is>
          <t>Tiếp thị / Marketing, Giáo dục / Đào tạo, Quảng cáo / Đối ngoại / Truyền Thông</t>
        </is>
      </c>
      <c r="K15673" t="inlineStr">
        <is>
          <t>Lên đến 2 Năm</t>
        </is>
      </c>
      <c r="L15673" s="8">
        <f>HYPERLINK("https://careerviet.vn/vi/tim-viec-lam/nhan-vien-content-tiktok.35C66761.html","Xem chi tiết")</f>
        <v/>
      </c>
    </row>
    <row r="15674">
      <c r="B15674" s="9" t="n">
        <v>15672</v>
      </c>
      <c r="C15674" s="10" t="inlineStr">
        <is>
          <t>[Quảng Ninh] Giám sát bán hàng kênh GT</t>
        </is>
      </c>
      <c r="D15674" s="10" t="inlineStr">
        <is>
          <t>CÔNG TY TNHH DAESANG VIỆT NAM</t>
        </is>
      </c>
      <c r="E15674" s="10" t="inlineStr">
        <is>
          <t>Lương:15 Tr - 20 Tr VND</t>
        </is>
      </c>
      <c r="F15674" s="10" t="inlineStr">
        <is>
          <t>Quảng Ninh</t>
        </is>
      </c>
      <c r="G15674" s="10" t="inlineStr">
        <is>
          <t>31-03-2026</t>
        </is>
      </c>
      <c r="H15674" s="10" t="inlineStr">
        <is>
          <t>31/03/2026</t>
        </is>
      </c>
      <c r="I15674" s="10" t="inlineStr">
        <is>
          <t>17/03/2026</t>
        </is>
      </c>
      <c r="J15674" s="10" t="inlineStr">
        <is>
          <t>Bán lẻ / Bán sỉ, Bán hàng / Kinh doanh</t>
        </is>
      </c>
      <c r="K15674" s="10" t="inlineStr">
        <is>
          <t>2 - 3 Năm</t>
        </is>
      </c>
      <c r="L15674" s="11">
        <f>HYPERLINK("https://careerviet.vn/vi/tim-viec-lam/quang-ninh-giam-sat-ban-hang-kenh-gt.35C69067.html","Xem chi tiết")</f>
        <v/>
      </c>
      <c r="M15674" s="10" t="n"/>
    </row>
    <row r="15675">
      <c r="B15675" s="7" t="n">
        <v>15673</v>
      </c>
      <c r="C15675" t="inlineStr">
        <is>
          <t>Kế Toán Công Nợ (Receivable Accountant)</t>
        </is>
      </c>
      <c r="D15675" t="inlineStr">
        <is>
          <t>CÔNG TY TNHH SOCIAL BELLA VIỆT NAM</t>
        </is>
      </c>
      <c r="E15675" t="inlineStr">
        <is>
          <t>Lương:Cạnh tranh</t>
        </is>
      </c>
      <c r="F15675" t="inlineStr">
        <is>
          <t>Hồ Chí Minh</t>
        </is>
      </c>
      <c r="G15675" t="inlineStr">
        <is>
          <t>6</t>
        </is>
      </c>
      <c r="H15675" t="inlineStr">
        <is>
          <t>23/03/2026</t>
        </is>
      </c>
      <c r="I15675" t="inlineStr">
        <is>
          <t>17/03/2026</t>
        </is>
      </c>
      <c r="J15675" t="inlineStr">
        <is>
          <t>Bán lẻ / Bán sỉ, Kế toán / Kiểm toán, Tài chính / Đầu tư</t>
        </is>
      </c>
      <c r="K15675" t="inlineStr">
        <is>
          <t>2 - 3 Năm</t>
        </is>
      </c>
      <c r="L15675" s="8">
        <f>HYPERLINK("https://careerviet.vn/vi/tim-viec-lam/ke-toan-cong-no-receivable-accountant.35C692FC.html","Xem chi tiết")</f>
        <v/>
      </c>
    </row>
    <row r="15676">
      <c r="B15676" s="9" t="n">
        <v>15674</v>
      </c>
      <c r="C15676" s="10" t="inlineStr">
        <is>
          <t>Nhân viên hành chính nhân sự tổng hợp</t>
        </is>
      </c>
      <c r="D15676" s="10" t="inlineStr">
        <is>
          <t>Công ty TNHH XNK Phú Thành Phát</t>
        </is>
      </c>
      <c r="E15676" s="10" t="inlineStr">
        <is>
          <t>Lương:11 Tr - 15 Tr VND</t>
        </is>
      </c>
      <c r="F15676" s="10" t="inlineStr">
        <is>
          <t>Hồ Chí Minh</t>
        </is>
      </c>
      <c r="G15676" s="10" t="inlineStr">
        <is>
          <t>29-04-2026</t>
        </is>
      </c>
      <c r="H15676" s="10" t="inlineStr">
        <is>
          <t>29/04/2026</t>
        </is>
      </c>
      <c r="I15676" s="10" t="inlineStr">
        <is>
          <t>17/03/2026</t>
        </is>
      </c>
      <c r="J15676" s="10" t="inlineStr">
        <is>
          <t>Nhân sự, Hành chính / Thư ký</t>
        </is>
      </c>
      <c r="K15676" s="10" t="inlineStr">
        <is>
          <t>2 - 3 Năm</t>
        </is>
      </c>
      <c r="L15676" s="11">
        <f>HYPERLINK("https://careerviet.vn/vi/tim-viec-lam/nhan-vien-hanh-chinh-nhan-su-tong-hop.35C68FC7.html","Xem chi tiết")</f>
        <v/>
      </c>
      <c r="M15676" s="10" t="n"/>
    </row>
    <row r="15677">
      <c r="B15677" s="7" t="n">
        <v>15675</v>
      </c>
      <c r="C15677" t="inlineStr">
        <is>
          <t>Chuyên viên/CVCC Đối tác Nhân sự</t>
        </is>
      </c>
      <c r="D15677" t="inlineStr">
        <is>
          <t>Công ty Cổ phần CANIFA</t>
        </is>
      </c>
      <c r="E15677" t="inlineStr">
        <is>
          <t>Lương:15 Tr - 30 Tr VND</t>
        </is>
      </c>
      <c r="F15677" t="inlineStr">
        <is>
          <t>Hà Nội</t>
        </is>
      </c>
      <c r="G15677" t="inlineStr">
        <is>
          <t>31-03-2026</t>
        </is>
      </c>
      <c r="H15677" t="inlineStr">
        <is>
          <t>31/03/2026</t>
        </is>
      </c>
      <c r="I15677" t="inlineStr">
        <is>
          <t>17/03/2026</t>
        </is>
      </c>
      <c r="J15677" t="inlineStr">
        <is>
          <t>Nhân sự</t>
        </is>
      </c>
      <c r="K15677" t="inlineStr">
        <is>
          <t>3 - 7 Năm</t>
        </is>
      </c>
      <c r="L15677" s="8">
        <f>HYPERLINK("https://careerviet.vn/vi/tim-viec-lam/chuyen-vien-cvcc-doi-tac-nhan-su.35C693DD.html","Xem chi tiết")</f>
        <v/>
      </c>
    </row>
    <row r="15678">
      <c r="B15678" s="9" t="n">
        <v>15676</v>
      </c>
      <c r="C15678" s="10" t="inlineStr">
        <is>
          <t>Chuyên viên Digital Marketing</t>
        </is>
      </c>
      <c r="D15678" s="10" t="inlineStr">
        <is>
          <t>Công ty CP Toshiko Việt Nam</t>
        </is>
      </c>
      <c r="E15678" s="10" t="inlineStr">
        <is>
          <t>Lương:12 Tr - 20 Tr VND</t>
        </is>
      </c>
      <c r="F15678" s="10" t="inlineStr">
        <is>
          <t>Hà Nội</t>
        </is>
      </c>
      <c r="G15678" s="10" t="inlineStr">
        <is>
          <t>04-04-2026</t>
        </is>
      </c>
      <c r="H15678" s="10" t="inlineStr">
        <is>
          <t>04/04/2026</t>
        </is>
      </c>
      <c r="I15678" s="10" t="inlineStr">
        <is>
          <t>17/03/2026</t>
        </is>
      </c>
      <c r="J15678" s="10" t="inlineStr">
        <is>
          <t>Tiếp thị / Marketing</t>
        </is>
      </c>
      <c r="K15678" s="10" t="inlineStr">
        <is>
          <t>1 - 3 Năm</t>
        </is>
      </c>
      <c r="L15678" s="11">
        <f>HYPERLINK("https://careerviet.vn/vi/tim-viec-lam/chuyen-vien-digital-marketing.35C69000.html","Xem chi tiết")</f>
        <v/>
      </c>
      <c r="M15678" s="10" t="n"/>
    </row>
    <row r="15679">
      <c r="B15679" s="7" t="n">
        <v>15677</v>
      </c>
      <c r="C15679" t="inlineStr">
        <is>
          <t>Nhân viên phụ trách bấm giây giờ (Công ty may)</t>
        </is>
      </c>
      <c r="D15679" t="inlineStr">
        <is>
          <t>Công Ty TNHH Linea Aqua Việt Nam</t>
        </is>
      </c>
      <c r="E15679" t="inlineStr">
        <is>
          <t>Lương:Cạnh tranh</t>
        </is>
      </c>
      <c r="F15679" t="inlineStr">
        <is>
          <t>Hưng YênHà NộiHải Dương</t>
        </is>
      </c>
      <c r="G15679" t="inlineStr">
        <is>
          <t>31-03-2026</t>
        </is>
      </c>
      <c r="H15679" t="inlineStr">
        <is>
          <t>31/03/2026</t>
        </is>
      </c>
      <c r="I15679" t="inlineStr">
        <is>
          <t>17/03/2026</t>
        </is>
      </c>
      <c r="J15679" t="inlineStr">
        <is>
          <t>Dệt may / Da giày / Thời trang, Quản lý chất lượng (QA/QC), Sản xuất / Vận hành sản xuất</t>
        </is>
      </c>
      <c r="K15679" t="inlineStr">
        <is>
          <t>N/A</t>
        </is>
      </c>
      <c r="L15679" s="8">
        <f>HYPERLINK("https://careerviet.vn/vi/tim-viec-lam/nhan-vien-phu-trach-bam-giay-gio-cong-ty-may.35C68F8E.html","Xem chi tiết")</f>
        <v/>
      </c>
    </row>
    <row r="15680">
      <c r="B15680" s="9" t="n">
        <v>15678</v>
      </c>
      <c r="C15680" s="10" t="inlineStr">
        <is>
          <t>Nhân Viên Brand Marketing - Lương Lên Đến 15 Triệu</t>
        </is>
      </c>
      <c r="D15680" s="10" t="inlineStr">
        <is>
          <t>Công Ty TNHH XNK Cầu Nối Việt</t>
        </is>
      </c>
      <c r="E15680" s="10" t="inlineStr">
        <is>
          <t>Lương:11 Tr - 15 Tr VND</t>
        </is>
      </c>
      <c r="F15680" s="10" t="inlineStr">
        <is>
          <t>Hà Nội</t>
        </is>
      </c>
      <c r="G15680" s="10" t="inlineStr">
        <is>
          <t>31-05-2026</t>
        </is>
      </c>
      <c r="H15680" s="10" t="inlineStr">
        <is>
          <t>31/05/2026</t>
        </is>
      </c>
      <c r="I15680" s="10" t="inlineStr">
        <is>
          <t>17/03/2026</t>
        </is>
      </c>
      <c r="J15680" s="10" t="inlineStr">
        <is>
          <t>Tiếp thị / Marketing, Truyền hình / Báo chí / Biên tập, Quảng cáo / Đối ngoại / Truyền Thông</t>
        </is>
      </c>
      <c r="K15680" s="10" t="inlineStr">
        <is>
          <t>1 - 10 Năm</t>
        </is>
      </c>
      <c r="L15680" s="11">
        <f>HYPERLINK("https://careerviet.vn/vi/tim-viec-lam/nhan-vien-brand-marketing-luong-len-den-15-trieu.35C69449.html","Xem chi tiết")</f>
        <v/>
      </c>
      <c r="M15680" s="10" t="n"/>
    </row>
    <row r="15681">
      <c r="B15681" s="7" t="n">
        <v>15679</v>
      </c>
      <c r="C15681" t="inlineStr">
        <is>
          <t>[PKĐK Hoàng Ngân] Nhân Viên Chăm Sóc Khách hàng</t>
        </is>
      </c>
      <c r="D15681" t="inlineStr">
        <is>
          <t>CHI NHÁNH CÔNG TY CỔ PHẦN Y HỌC VĨNH THIỆN- BỆNH VIỆN ĐẠI HỌC PHENIKAA</t>
        </is>
      </c>
      <c r="E15681" t="inlineStr">
        <is>
          <t>Lương:8 Tr - 10 Tr VND</t>
        </is>
      </c>
      <c r="F15681" t="inlineStr">
        <is>
          <t>Hà Nội</t>
        </is>
      </c>
      <c r="G15681" t="inlineStr">
        <is>
          <t>24-03-2026</t>
        </is>
      </c>
      <c r="H15681" t="inlineStr">
        <is>
          <t>24/03/2026</t>
        </is>
      </c>
      <c r="I15681" t="inlineStr">
        <is>
          <t>17/03/2026</t>
        </is>
      </c>
      <c r="J15681" t="inlineStr">
        <is>
          <t>Dịch vụ khách hàng, Y tế / Chăm sóc sức khỏe / Thẩm mỹ / Làm đẹp, Tư vấn</t>
        </is>
      </c>
      <c r="K15681" t="inlineStr">
        <is>
          <t>Trên 1 Năm</t>
        </is>
      </c>
      <c r="L15681" s="8">
        <f>HYPERLINK("https://careerviet.vn/vi/tim-viec-lam/pkdk-hoang-ngan-nhan-vien-cham-soc-khach-hang.35C6933D.html","Xem chi tiết")</f>
        <v/>
      </c>
    </row>
    <row r="15682">
      <c r="B15682" s="9" t="n">
        <v>15680</v>
      </c>
      <c r="C15682" s="10" t="inlineStr">
        <is>
          <t>Sales Specialist (MNC Clients)</t>
        </is>
      </c>
      <c r="D15682" s="10" t="inlineStr">
        <is>
          <t>Công ty CP Thành Thành Công - Biên Hòa</t>
        </is>
      </c>
      <c r="E15682" s="10" t="inlineStr">
        <is>
          <t>Lương:Cạnh tranh</t>
        </is>
      </c>
      <c r="F15682" s="10" t="inlineStr">
        <is>
          <t>Hồ Chí Minh</t>
        </is>
      </c>
      <c r="G15682" s="10" t="inlineStr">
        <is>
          <t>26-03-2026</t>
        </is>
      </c>
      <c r="H15682" s="10" t="inlineStr">
        <is>
          <t>26/03/2026</t>
        </is>
      </c>
      <c r="I15682" s="10" t="inlineStr">
        <is>
          <t>17/03/2026</t>
        </is>
      </c>
      <c r="J15682" s="10" t="inlineStr">
        <is>
          <t>Bán hàng / Kinh doanh</t>
        </is>
      </c>
      <c r="K15682" s="10" t="inlineStr">
        <is>
          <t>Trên 3 Năm</t>
        </is>
      </c>
      <c r="L15682" s="11">
        <f>HYPERLINK("https://careerviet.vn/vi/tim-viec-lam/sales-specialist-mnc-clients.35C69087.html","Xem chi tiết")</f>
        <v/>
      </c>
      <c r="M15682" s="10" t="n"/>
    </row>
    <row r="15683">
      <c r="B15683" s="7" t="n">
        <v>15681</v>
      </c>
      <c r="C15683" t="inlineStr">
        <is>
          <t>Kỹ sư cơ điện M&amp;E</t>
        </is>
      </c>
      <c r="D15683" t="inlineStr">
        <is>
          <t>HEXAGON - CÔNG TY CỔ PHẦN THIẾT KẾ LỤC GIÁC</t>
        </is>
      </c>
      <c r="E15683" t="inlineStr">
        <is>
          <t>Lương:12 Tr - 20 Tr VND</t>
        </is>
      </c>
      <c r="F15683" t="inlineStr">
        <is>
          <t>Hà Nội</t>
        </is>
      </c>
      <c r="G15683" t="inlineStr">
        <is>
          <t>31-03-2026</t>
        </is>
      </c>
      <c r="H15683" t="inlineStr">
        <is>
          <t>31/03/2026</t>
        </is>
      </c>
      <c r="I15683" t="inlineStr">
        <is>
          <t>17/03/2026</t>
        </is>
      </c>
      <c r="J15683" t="inlineStr">
        <is>
          <t>Điện / Điện tử / Điện lạnh / Điện công nghiệp, Nội ngoại thất</t>
        </is>
      </c>
      <c r="K15683" t="inlineStr">
        <is>
          <t>N/A</t>
        </is>
      </c>
      <c r="L15683" s="8">
        <f>HYPERLINK("https://careerviet.vn/vi/tim-viec-lam/ky-su-co-dien-m-e.35C693F5.html","Xem chi tiết")</f>
        <v/>
      </c>
    </row>
    <row r="15684">
      <c r="B15684" s="9" t="n">
        <v>15682</v>
      </c>
      <c r="C15684" s="10" t="inlineStr">
        <is>
          <t>Chuyên Viên Đấu Thầu (Giao Thông Và Hạ Tầng Kỹ Thuật) - Làm Việc Tại Thái Bình</t>
        </is>
      </c>
      <c r="D15684" s="10" t="inlineStr">
        <is>
          <t>CÔNG TY CỔ PHẦN GREEN I-PARK</t>
        </is>
      </c>
      <c r="E15684" s="10" t="inlineStr">
        <is>
          <t>Lương:18 Tr - 22 Tr VND</t>
        </is>
      </c>
      <c r="F15684" s="10" t="inlineStr">
        <is>
          <t>Hà NộiThái BìnhToàn quốc</t>
        </is>
      </c>
      <c r="G15684" s="10" t="inlineStr">
        <is>
          <t>30-03-2026</t>
        </is>
      </c>
      <c r="H15684" s="10" t="inlineStr">
        <is>
          <t>30/03/2026</t>
        </is>
      </c>
      <c r="I15684" s="10" t="inlineStr">
        <is>
          <t>17/03/2026</t>
        </is>
      </c>
      <c r="J15684" s="10" t="inlineStr">
        <is>
          <t>Xây dựng, Bất động sản, Ngành khác</t>
        </is>
      </c>
      <c r="K15684" s="10" t="inlineStr">
        <is>
          <t>2 - 5 Năm</t>
        </is>
      </c>
      <c r="L15684" s="11">
        <f>HYPERLINK("https://careerviet.vn/vi/tim-viec-lam/chuyen-vien-dau-thau-giao-thong-va-ha-tang-ky-thuat-lam-viec-tai-thai-binh.35C69359.html","Xem chi tiết")</f>
        <v/>
      </c>
      <c r="M15684" s="10" t="n"/>
    </row>
    <row r="15685">
      <c r="B15685" s="7" t="n">
        <v>15683</v>
      </c>
      <c r="C15685" t="inlineStr">
        <is>
          <t>Maintenance Engineer</t>
        </is>
      </c>
      <c r="D15685" t="inlineStr">
        <is>
          <t>Công ty TNHH Điện Máy Aqua Việt Nam</t>
        </is>
      </c>
      <c r="E15685" t="inlineStr">
        <is>
          <t>Lương:Cạnh tranh</t>
        </is>
      </c>
      <c r="F15685" t="inlineStr">
        <is>
          <t>Đồng Nai</t>
        </is>
      </c>
      <c r="G15685" t="inlineStr">
        <is>
          <t>31-03-2026</t>
        </is>
      </c>
      <c r="H15685" t="inlineStr">
        <is>
          <t>31/03/2026</t>
        </is>
      </c>
      <c r="I15685" t="inlineStr">
        <is>
          <t>17/03/2026</t>
        </is>
      </c>
      <c r="J15685" t="inlineStr">
        <is>
          <t>Bảo trì / Sửa chữa, Cơ khí / Ô tô / Tự động hóa, Sản xuất / Vận hành sản xuất</t>
        </is>
      </c>
      <c r="K15685" t="inlineStr">
        <is>
          <t>1 - 5 NămĐịa điểm</t>
        </is>
      </c>
      <c r="L15685" s="8">
        <f>HYPERLINK("https://careerviet.vn/vi/tim-viec-lam/maintenance-engineer.35C69293.html","Xem chi tiết")</f>
        <v/>
      </c>
    </row>
    <row r="15686">
      <c r="B15686" s="9" t="n">
        <v>15684</v>
      </c>
      <c r="C15686" s="10" t="inlineStr">
        <is>
          <t>IT Support - Alphanam Group</t>
        </is>
      </c>
      <c r="D15686" s="10" t="inlineStr">
        <is>
          <t>Alphanam Group</t>
        </is>
      </c>
      <c r="E15686" s="10" t="inlineStr">
        <is>
          <t>Lương:Cạnh tranh</t>
        </is>
      </c>
      <c r="F15686" s="10" t="inlineStr">
        <is>
          <t>Hà Nội</t>
        </is>
      </c>
      <c r="G15686" s="10" t="inlineStr">
        <is>
          <t>04-04-2026</t>
        </is>
      </c>
      <c r="H15686" s="10" t="inlineStr">
        <is>
          <t>04/04/2026</t>
        </is>
      </c>
      <c r="I15686" s="10" t="inlineStr">
        <is>
          <t>17/03/2026</t>
        </is>
      </c>
      <c r="J15686" s="10" t="inlineStr">
        <is>
          <t>CNTT - Phần cứng / Mạng</t>
        </is>
      </c>
      <c r="K15686" s="10" t="inlineStr">
        <is>
          <t>2 - 5 Năm</t>
        </is>
      </c>
      <c r="L15686" s="11">
        <f>HYPERLINK("https://careerviet.vn/vi/tim-viec-lam/it-support-alphanam-group.35C6912A.html","Xem chi tiết")</f>
        <v/>
      </c>
      <c r="M15686" s="10" t="n"/>
    </row>
    <row r="15687">
      <c r="B15687" s="7" t="n">
        <v>15685</v>
      </c>
      <c r="C15687" t="inlineStr">
        <is>
          <t>NHÂN VIÊN KỸ THUẬT SẢN XUẤT NỘI THẤT</t>
        </is>
      </c>
      <c r="D15687" t="inlineStr">
        <is>
          <t>CÔNG TY CỔ PHẦN SẢN XUẤT THƯƠNG MẠI XÂY DỰNG TRANG TRÍ NỘI THẤT G.S VIỆT NAM</t>
        </is>
      </c>
      <c r="E15687" t="inlineStr">
        <is>
          <t>Lương:Trên 10 Tr VND</t>
        </is>
      </c>
      <c r="F15687" t="inlineStr">
        <is>
          <t>Bình Dương</t>
        </is>
      </c>
      <c r="G15687" t="inlineStr">
        <is>
          <t>31-03-2026</t>
        </is>
      </c>
      <c r="H15687" t="inlineStr">
        <is>
          <t>31/03/2026</t>
        </is>
      </c>
      <c r="I15687" t="inlineStr">
        <is>
          <t>17/03/2026</t>
        </is>
      </c>
      <c r="J15687" t="inlineStr">
        <is>
          <t>Nội ngoại thất, Xây dựng, Kiến trúc</t>
        </is>
      </c>
      <c r="K15687" t="inlineStr">
        <is>
          <t>Trên 1 Năm</t>
        </is>
      </c>
      <c r="L15687" s="8">
        <f>HYPERLINK("https://careerviet.vn/vi/tim-viec-lam/nhan-vien-ky-thuat-san-xuat-noi-that.35C6906F.html","Xem chi tiết")</f>
        <v/>
      </c>
    </row>
    <row r="15688">
      <c r="B15688" s="9" t="n">
        <v>15686</v>
      </c>
      <c r="C15688" s="10" t="inlineStr">
        <is>
          <t>Chuyên Viên Marketing ( Từ 1 Năm Kinh Nghiệm trở lên)</t>
        </is>
      </c>
      <c r="D15688" s="10" t="inlineStr">
        <is>
          <t>Công Ty TNHH XNK Cầu Nối Việt</t>
        </is>
      </c>
      <c r="E15688" s="10" t="inlineStr">
        <is>
          <t>Lương:13 Tr - 15 Tr VND</t>
        </is>
      </c>
      <c r="F15688" s="10" t="inlineStr">
        <is>
          <t>Hà Nội</t>
        </is>
      </c>
      <c r="G15688" s="10" t="inlineStr">
        <is>
          <t>31-05-2026</t>
        </is>
      </c>
      <c r="H15688" s="10" t="inlineStr">
        <is>
          <t>31/05/2026</t>
        </is>
      </c>
      <c r="I15688" s="10" t="inlineStr">
        <is>
          <t>17/03/2026</t>
        </is>
      </c>
      <c r="J15688" s="10" t="inlineStr">
        <is>
          <t>Tiếp thị / Marketing, Truyền hình / Báo chí / Biên tập, Quảng cáo / Đối ngoại / Truyền Thông</t>
        </is>
      </c>
      <c r="K15688" s="10" t="inlineStr">
        <is>
          <t>N/A</t>
        </is>
      </c>
      <c r="L15688" s="11">
        <f>HYPERLINK("https://careerviet.vn/vi/tim-viec-lam/chuyen-vien-marketing-tu-1-nam-kinh-nghiem-tro-len.35C69443.html","Xem chi tiết")</f>
        <v/>
      </c>
      <c r="M15688" s="10" t="n"/>
    </row>
    <row r="15689">
      <c r="B15689" s="7" t="n">
        <v>15687</v>
      </c>
      <c r="C15689" t="inlineStr">
        <is>
          <t>Nhân viên phụ bếp - Thớt</t>
        </is>
      </c>
      <c r="D15689" t="inlineStr">
        <is>
          <t>BỆNH VIỆN ĐA KHOA PHƯƠNG ĐÔNG</t>
        </is>
      </c>
      <c r="E15689" t="inlineStr">
        <is>
          <t>Lương:Cạnh tranh</t>
        </is>
      </c>
      <c r="F15689" t="inlineStr">
        <is>
          <t>Hà Nội</t>
        </is>
      </c>
      <c r="G15689" t="inlineStr">
        <is>
          <t>09-03-2026</t>
        </is>
      </c>
      <c r="H15689" t="inlineStr">
        <is>
          <t>01/03/2026</t>
        </is>
      </c>
      <c r="I15689" t="inlineStr">
        <is>
          <t>17/03/2026</t>
        </is>
      </c>
      <c r="J15689" t="inlineStr">
        <is>
          <t>Dịch vụ khách hàng, Nhà hàng / Khách sạn</t>
        </is>
      </c>
      <c r="K15689" t="inlineStr">
        <is>
          <t>1 - 2 Năm</t>
        </is>
      </c>
      <c r="L15689" s="8">
        <f>HYPERLINK("https://careerviet.vn/vi/tim-viec-lam/nhan-vien-phu-bep-thot.35C69106.html","Xem chi tiết")</f>
        <v/>
      </c>
    </row>
    <row r="15690">
      <c r="B15690" s="9" t="n">
        <v>15688</v>
      </c>
      <c r="C15690" s="10" t="inlineStr">
        <is>
          <t>Quản Lý Cửa Hàng</t>
        </is>
      </c>
      <c r="D15690" s="10" t="inlineStr">
        <is>
          <t>CÔNG TY TNHH SẢN XUẤT VÀ THƯƠNG MẠI THỰC PHẨM LÀNH MẠNH</t>
        </is>
      </c>
      <c r="E15690" s="10" t="inlineStr">
        <is>
          <t>Lương:12 Tr - 15 Tr VND</t>
        </is>
      </c>
      <c r="F15690" s="10" t="inlineStr">
        <is>
          <t>Hà Nội</t>
        </is>
      </c>
      <c r="G15690" s="10" t="inlineStr">
        <is>
          <t>24-03-2026</t>
        </is>
      </c>
      <c r="H15690" s="10" t="inlineStr">
        <is>
          <t>24/03/2026</t>
        </is>
      </c>
      <c r="I15690" s="10" t="inlineStr">
        <is>
          <t>17/03/2026</t>
        </is>
      </c>
      <c r="J15690" s="10" t="inlineStr">
        <is>
          <t>Quản lý điều hành, Thực phẩm &amp; Đồ uống, Nhân sự</t>
        </is>
      </c>
      <c r="K15690" s="10" t="inlineStr">
        <is>
          <t>2 - 3 Năm</t>
        </is>
      </c>
      <c r="L15690" s="11">
        <f>HYPERLINK("https://careerviet.vn/vi/tim-viec-lam/quan-ly-cua-hang.35C6938E.html","Xem chi tiết")</f>
        <v/>
      </c>
      <c r="M15690" s="10" t="n"/>
    </row>
    <row r="15691">
      <c r="B15691" s="7" t="n">
        <v>15689</v>
      </c>
      <c r="C15691" t="inlineStr">
        <is>
          <t>Nhân viên Nghiên cứu - Nông nghiệp</t>
        </is>
      </c>
      <c r="D15691" t="inlineStr">
        <is>
          <t>Công ty TNHH ADC</t>
        </is>
      </c>
      <c r="E15691" t="inlineStr">
        <is>
          <t>Lương:Cạnh tranh</t>
        </is>
      </c>
      <c r="F15691" t="inlineStr">
        <is>
          <t>Cần Thơ</t>
        </is>
      </c>
      <c r="G15691" t="inlineStr">
        <is>
          <t>6</t>
        </is>
      </c>
      <c r="H15691" t="inlineStr">
        <is>
          <t>23/03/2026</t>
        </is>
      </c>
      <c r="I15691" t="inlineStr">
        <is>
          <t>17/03/2026</t>
        </is>
      </c>
      <c r="J15691" t="inlineStr">
        <is>
          <t>Nông nghiệp, Công nghệ sinh học</t>
        </is>
      </c>
      <c r="K15691" t="inlineStr">
        <is>
          <t>N/A</t>
        </is>
      </c>
      <c r="L15691" s="8">
        <f>HYPERLINK("https://careerviet.vn/vi/tim-viec-lam/nhan-vien-nghien-cuu-nong-nghiep.35C691EC.html","Xem chi tiết")</f>
        <v/>
      </c>
    </row>
    <row r="15692">
      <c r="B15692" s="9" t="n">
        <v>15690</v>
      </c>
      <c r="C15692" s="10" t="inlineStr">
        <is>
          <t>Nhân viên Kinh Doanh Outbound/ Nội địa</t>
        </is>
      </c>
      <c r="D15692" s="10" t="inlineStr">
        <is>
          <t>Deks Air Vietnam</t>
        </is>
      </c>
      <c r="E15692" s="10" t="inlineStr">
        <is>
          <t>Lương:Trên 12 Tr VND</t>
        </is>
      </c>
      <c r="F15692" s="10" t="inlineStr">
        <is>
          <t>Hồ Chí Minh</t>
        </is>
      </c>
      <c r="G15692" s="10" t="inlineStr">
        <is>
          <t>25-03-2026</t>
        </is>
      </c>
      <c r="H15692" s="10" t="inlineStr">
        <is>
          <t>25/03/2026</t>
        </is>
      </c>
      <c r="I15692" s="10" t="inlineStr">
        <is>
          <t>17/03/2026</t>
        </is>
      </c>
      <c r="J15692" s="10" t="inlineStr">
        <is>
          <t>Bán hàng / Kinh doanh, Tư vấn, Du lịch</t>
        </is>
      </c>
      <c r="K15692" s="10" t="inlineStr">
        <is>
          <t>Trên 1 Năm</t>
        </is>
      </c>
      <c r="L15692" s="11">
        <f>HYPERLINK("https://careerviet.vn/vi/tim-viec-lam/nhan-vien-kinh-doanh-outbound-noi-dia.35C68EFA.html","Xem chi tiết")</f>
        <v/>
      </c>
      <c r="M15692" s="10" t="n"/>
    </row>
    <row r="15693">
      <c r="B15693" s="7" t="n">
        <v>15691</v>
      </c>
      <c r="C15693" t="inlineStr">
        <is>
          <t>[ Long An] Trưởng Phòng Điều Vận</t>
        </is>
      </c>
      <c r="D15693" t="inlineStr">
        <is>
          <t>Tập Đoàn Tân Á Đại Thành</t>
        </is>
      </c>
      <c r="E15693" t="inlineStr">
        <is>
          <t>Lương:17 Tr - 19 Tr VND</t>
        </is>
      </c>
      <c r="F15693" t="inlineStr">
        <is>
          <t>Long An</t>
        </is>
      </c>
      <c r="G15693" t="inlineStr">
        <is>
          <t>31-03-2026</t>
        </is>
      </c>
      <c r="H15693" t="inlineStr">
        <is>
          <t>31/03/2026</t>
        </is>
      </c>
      <c r="I15693" t="inlineStr">
        <is>
          <t>17/03/2026</t>
        </is>
      </c>
      <c r="J15693" t="inlineStr">
        <is>
          <t>Xuất nhập khẩu, Thu mua / Vật tư, Vận chuyển / Giao nhận / Kho vận</t>
        </is>
      </c>
      <c r="K15693" t="inlineStr">
        <is>
          <t>3 - 5 Năm</t>
        </is>
      </c>
      <c r="L15693" s="8">
        <f>HYPERLINK("https://careerviet.vn/vi/tim-viec-lam/long-an-truong-phong-dieu-van.35C68FF0.html","Xem chi tiết")</f>
        <v/>
      </c>
    </row>
    <row r="15694">
      <c r="B15694" s="9" t="n">
        <v>15692</v>
      </c>
      <c r="C15694" s="10" t="inlineStr">
        <is>
          <t>Leader Cửa Hàng Bán Lẻ Dược Mỹ Phẩm  _  Làm việc tại Đà Nẵng</t>
        </is>
      </c>
      <c r="D15694" s="10" t="inlineStr">
        <is>
          <t>CÔNG TY CỔ PHẦN MATSUMOTO KIYOSHI VIỆT NAM</t>
        </is>
      </c>
      <c r="E15694" s="10" t="inlineStr">
        <is>
          <t>Lương:10 Tr - 12 Tr VND</t>
        </is>
      </c>
      <c r="F15694" s="10" t="inlineStr">
        <is>
          <t>Đà Nẵng</t>
        </is>
      </c>
      <c r="G15694" s="10" t="inlineStr">
        <is>
          <t>25-03-2026</t>
        </is>
      </c>
      <c r="H15694" s="10" t="inlineStr">
        <is>
          <t>25/03/2026</t>
        </is>
      </c>
      <c r="I15694" s="10" t="inlineStr">
        <is>
          <t>17/03/2026</t>
        </is>
      </c>
      <c r="J15694" s="10" t="inlineStr">
        <is>
          <t>Bán lẻ / Bán sỉ, Bán hàng / Kinh doanh, Dược phẩm/ Hóa Mỹ Phẩm</t>
        </is>
      </c>
      <c r="K15694" s="10" t="inlineStr">
        <is>
          <t>1 - 2 Năm</t>
        </is>
      </c>
      <c r="L15694" s="11">
        <f>HYPERLINK("https://careerviet.vn/vi/tim-viec-lam/leader-cua-hang-ban-le-duoc-my-pham-_-lam-viec-tai-da-nang.35C691C4.html","Xem chi tiết")</f>
        <v/>
      </c>
      <c r="M15694" s="10" t="n"/>
    </row>
    <row r="15695">
      <c r="B15695" s="7" t="n">
        <v>15693</v>
      </c>
      <c r="C15695" t="inlineStr">
        <is>
          <t>Kế toán Tổng hợp</t>
        </is>
      </c>
      <c r="D15695" t="inlineStr">
        <is>
          <t>Công ty cổ phần Xây dựng Công trình IPC</t>
        </is>
      </c>
      <c r="E15695" t="inlineStr">
        <is>
          <t>Lương:15 Tr - 20 Tr VND</t>
        </is>
      </c>
      <c r="F15695" t="inlineStr">
        <is>
          <t>Hà Nội</t>
        </is>
      </c>
      <c r="G15695" t="inlineStr">
        <is>
          <t>09-03-2026</t>
        </is>
      </c>
      <c r="H15695" t="inlineStr">
        <is>
          <t>15/03/2026</t>
        </is>
      </c>
      <c r="I15695" t="inlineStr">
        <is>
          <t>17/03/2026</t>
        </is>
      </c>
      <c r="J15695" t="inlineStr">
        <is>
          <t>Kế toán / Kiểm toán</t>
        </is>
      </c>
      <c r="K15695" t="inlineStr">
        <is>
          <t>Trên 3 Năm</t>
        </is>
      </c>
      <c r="L15695" s="8">
        <f>HYPERLINK("https://careerviet.vn/vi/tim-viec-lam/ke-toan-tong-hop.35C68FE2.html","Xem chi tiết")</f>
        <v/>
      </c>
    </row>
    <row r="15696">
      <c r="B15696" s="9" t="n">
        <v>15694</v>
      </c>
      <c r="C15696" s="10" t="inlineStr">
        <is>
          <t>Nhân viên kinh doanh nội địa</t>
        </is>
      </c>
      <c r="D15696" s="10" t="inlineStr">
        <is>
          <t>EuP Group</t>
        </is>
      </c>
      <c r="E15696" s="10" t="inlineStr">
        <is>
          <t>Lương:20 Tr - 25 Tr VND</t>
        </is>
      </c>
      <c r="F15696" s="10" t="inlineStr">
        <is>
          <t>Hà Nội</t>
        </is>
      </c>
      <c r="G15696" s="10" t="inlineStr">
        <is>
          <t>24-03-2026</t>
        </is>
      </c>
      <c r="H15696" s="10" t="inlineStr">
        <is>
          <t>24/03/2026</t>
        </is>
      </c>
      <c r="I15696" s="10" t="inlineStr">
        <is>
          <t>17/03/2026</t>
        </is>
      </c>
      <c r="J15696" s="10" t="inlineStr">
        <is>
          <t>Tiếp thị / Marketing, Bán hàng / Kinh doanh, Bán Hàng Kỹ Thuật</t>
        </is>
      </c>
      <c r="K15696" s="10" t="inlineStr">
        <is>
          <t>Chưa có kinh nghiệm</t>
        </is>
      </c>
      <c r="L15696" s="11">
        <f>HYPERLINK("https://careerviet.vn/vi/tim-viec-lam/nhan-vien-kinh-doanh-noi-dia.35C692D5.html","Xem chi tiết")</f>
        <v/>
      </c>
      <c r="M15696" s="10" t="n"/>
    </row>
    <row r="15697">
      <c r="B15697" s="7" t="n">
        <v>15695</v>
      </c>
      <c r="C15697" t="inlineStr">
        <is>
          <t>Chuyên viên QA/QC (Tổng thầu) - Alphanam Group</t>
        </is>
      </c>
      <c r="D15697" t="inlineStr">
        <is>
          <t>Alphanam Group</t>
        </is>
      </c>
      <c r="E15697" t="inlineStr">
        <is>
          <t>Lương:Cạnh tranh</t>
        </is>
      </c>
      <c r="F15697" t="inlineStr">
        <is>
          <t>Hà Nội</t>
        </is>
      </c>
      <c r="G15697" t="inlineStr">
        <is>
          <t>26-03-2026</t>
        </is>
      </c>
      <c r="H15697" t="inlineStr">
        <is>
          <t>26/03/2026</t>
        </is>
      </c>
      <c r="I15697" t="inlineStr">
        <is>
          <t>17/03/2026</t>
        </is>
      </c>
      <c r="J15697" t="inlineStr">
        <is>
          <t>Xây dựng, Bất động sản, Quản lý chất lượng (QA/QC)</t>
        </is>
      </c>
      <c r="K15697" t="inlineStr">
        <is>
          <t>5 - 7 Năm</t>
        </is>
      </c>
      <c r="L15697" s="8">
        <f>HYPERLINK("https://careerviet.vn/vi/tim-viec-lam/chuyen-vien-qa-qc-tong-thau-alphanam-group.35C6907B.html","Xem chi tiết")</f>
        <v/>
      </c>
    </row>
    <row r="15698">
      <c r="B15698" s="9" t="n">
        <v>15696</v>
      </c>
      <c r="C15698" s="10" t="inlineStr">
        <is>
          <t>Nhân viên phục vụ khu vui chơi</t>
        </is>
      </c>
      <c r="D15698" s="10" t="inlineStr">
        <is>
          <t>CÔNG TY TNHH BỆNH VIỆN ĐKTN AN SINH - PHÚC TRƯỜNG MINH</t>
        </is>
      </c>
      <c r="E15698" s="10" t="inlineStr">
        <is>
          <t>Lương:7 Tr - 8 Tr VND</t>
        </is>
      </c>
      <c r="F15698" s="10" t="inlineStr">
        <is>
          <t>Hà Nội</t>
        </is>
      </c>
      <c r="G15698" s="10" t="inlineStr">
        <is>
          <t>24-03-2026</t>
        </is>
      </c>
      <c r="H15698" s="10" t="inlineStr">
        <is>
          <t>24/03/2026</t>
        </is>
      </c>
      <c r="I15698" s="10" t="inlineStr">
        <is>
          <t>17/03/2026</t>
        </is>
      </c>
      <c r="J15698" s="10" t="inlineStr">
        <is>
          <t>Y tế / Chăm sóc sức khỏe / Thẩm mỹ / Làm đẹp, Dịch vụ khách hàng, Giáo dục / Đào tạo</t>
        </is>
      </c>
      <c r="K15698" s="10" t="inlineStr">
        <is>
          <t>Chưa có kinh nghiệm</t>
        </is>
      </c>
      <c r="L15698" s="11">
        <f>HYPERLINK("https://careerviet.vn/vi/tim-viec-lam/nhan-vien-phuc-vu-khu-vui-choi.35C68FA1.html","Xem chi tiết")</f>
        <v/>
      </c>
      <c r="M15698" s="10" t="n"/>
    </row>
    <row r="15699">
      <c r="B15699" s="7" t="n">
        <v>15697</v>
      </c>
      <c r="C15699" t="inlineStr">
        <is>
          <t>Kế toán thuế - Xuất nhập khẩu</t>
        </is>
      </c>
      <c r="D15699" t="inlineStr">
        <is>
          <t>Công ty CP Toshiko Việt Nam</t>
        </is>
      </c>
      <c r="E15699" t="inlineStr">
        <is>
          <t>Lương:12 Tr - 14 Tr VND</t>
        </is>
      </c>
      <c r="F15699" t="inlineStr">
        <is>
          <t>Hà Nội</t>
        </is>
      </c>
      <c r="G15699" t="inlineStr">
        <is>
          <t>31-03-2026</t>
        </is>
      </c>
      <c r="H15699" t="inlineStr">
        <is>
          <t>31/03/2026</t>
        </is>
      </c>
      <c r="I15699" t="inlineStr">
        <is>
          <t>17/03/2026</t>
        </is>
      </c>
      <c r="J15699" t="inlineStr">
        <is>
          <t>Kế toán / Kiểm toán</t>
        </is>
      </c>
      <c r="K15699" t="inlineStr">
        <is>
          <t>1 - 2 Năm</t>
        </is>
      </c>
      <c r="L15699" s="8">
        <f>HYPERLINK("https://careerviet.vn/vi/tim-viec-lam/ke-toan-thue-xuat-nhap-khau.35C69006.html","Xem chi tiết")</f>
        <v/>
      </c>
    </row>
    <row r="15700">
      <c r="B15700" s="9" t="n">
        <v>15698</v>
      </c>
      <c r="C15700" s="10" t="inlineStr">
        <is>
          <t>Chuyên Viên Mua Hàng (Thi công nội thất)</t>
        </is>
      </c>
      <c r="D15700" s="10" t="inlineStr">
        <is>
          <t>HEXAGON - CÔNG TY CỔ PHẦN THIẾT KẾ LỤC GIÁC</t>
        </is>
      </c>
      <c r="E15700" s="10" t="inlineStr">
        <is>
          <t>Lương:12 Tr - 16 Tr VND</t>
        </is>
      </c>
      <c r="F15700" s="10" t="inlineStr">
        <is>
          <t>Hà Nội</t>
        </is>
      </c>
      <c r="G15700" s="10" t="inlineStr">
        <is>
          <t>28-03-2026</t>
        </is>
      </c>
      <c r="H15700" s="10" t="inlineStr">
        <is>
          <t>28/03/2026</t>
        </is>
      </c>
      <c r="I15700" s="10" t="inlineStr">
        <is>
          <t>17/03/2026</t>
        </is>
      </c>
      <c r="J15700" s="10" t="inlineStr">
        <is>
          <t>Thu mua / Vật tư, Nội ngoại thất</t>
        </is>
      </c>
      <c r="K15700" s="10" t="inlineStr">
        <is>
          <t>2 - 3 Năm</t>
        </is>
      </c>
      <c r="L15700" s="11">
        <f>HYPERLINK("https://careerviet.vn/vi/tim-viec-lam/chuyen-vien-mua-hang-thi-cong-noi-that.35C6931D.html","Xem chi tiết")</f>
        <v/>
      </c>
      <c r="M15700" s="10" t="n"/>
    </row>
    <row r="15701">
      <c r="B15701" s="7" t="n">
        <v>15699</v>
      </c>
      <c r="C15701" t="inlineStr">
        <is>
          <t>Trưởng phòng kinh doanh - Khu vực Khánh Hòa, Phú Yên</t>
        </is>
      </c>
      <c r="D15701" t="inlineStr">
        <is>
          <t>Tổng Công Ty Cổ Phần Bảo Hiểm Ngân Hàng TMCP Công Thương Việt Nam</t>
        </is>
      </c>
      <c r="E15701" t="inlineStr">
        <is>
          <t>Lương:Cạnh tranh</t>
        </is>
      </c>
      <c r="F15701" t="inlineStr">
        <is>
          <t>Khánh Hòa</t>
        </is>
      </c>
      <c r="G15701" t="inlineStr">
        <is>
          <t>08-04-2026</t>
        </is>
      </c>
      <c r="H15701" t="inlineStr">
        <is>
          <t>08/04/2026</t>
        </is>
      </c>
      <c r="I15701" t="inlineStr">
        <is>
          <t>17/03/2026</t>
        </is>
      </c>
      <c r="J15701" t="inlineStr">
        <is>
          <t>Bảo hiểm</t>
        </is>
      </c>
      <c r="K15701" t="inlineStr">
        <is>
          <t>3 - 5 Năm</t>
        </is>
      </c>
      <c r="L15701" s="8">
        <f>HYPERLINK("https://careerviet.vn/vi/tim-viec-lam/truong-phong-kinh-doanh-khu-vuc-khanh-hoa-phu-yen.35C65068.html","Xem chi tiết")</f>
        <v/>
      </c>
    </row>
    <row r="15702">
      <c r="B15702" s="9" t="n">
        <v>15700</v>
      </c>
      <c r="C15702" s="10" t="inlineStr">
        <is>
          <t>Inventory Accountant - Porsche Centre Saigon</t>
        </is>
      </c>
      <c r="D15702" s="10" t="inlineStr">
        <is>
          <t>Prestige Sports Cars Co. Ltd</t>
        </is>
      </c>
      <c r="E15702" s="10" t="inlineStr">
        <is>
          <t>Lương:Cạnh tranh</t>
        </is>
      </c>
      <c r="F15702" s="10" t="inlineStr">
        <is>
          <t>Hồ Chí Minh</t>
        </is>
      </c>
      <c r="G15702" s="10" t="inlineStr">
        <is>
          <t>24-03-2026</t>
        </is>
      </c>
      <c r="H15702" s="10" t="inlineStr">
        <is>
          <t>24/03/2026</t>
        </is>
      </c>
      <c r="I15702" s="10" t="inlineStr">
        <is>
          <t>17/03/2026</t>
        </is>
      </c>
      <c r="J15702" s="10" t="inlineStr">
        <is>
          <t>Kế toán / Kiểm toán, Tài chính / Đầu tư</t>
        </is>
      </c>
      <c r="K15702" s="10" t="inlineStr">
        <is>
          <t>2 - 5 Năm</t>
        </is>
      </c>
      <c r="L15702" s="11">
        <f>HYPERLINK("https://careerviet.vn/vi/tim-viec-lam/inventory-accountant-porsche-centre-saigon.35C6922A.html","Xem chi tiết")</f>
        <v/>
      </c>
      <c r="M15702" s="10" t="n"/>
    </row>
    <row r="15703">
      <c r="B15703" s="7" t="n">
        <v>15701</v>
      </c>
      <c r="C15703" t="inlineStr">
        <is>
          <t>Nhân viên hành chánh tổng hợp kiêm điều giao nhận</t>
        </is>
      </c>
      <c r="D15703" t="inlineStr">
        <is>
          <t>Công ty Cổ Phần Thảo Mộc Xanh</t>
        </is>
      </c>
      <c r="E15703" t="inlineStr">
        <is>
          <t>Lương:Cạnh tranh</t>
        </is>
      </c>
      <c r="F15703" t="inlineStr">
        <is>
          <t>Hồ Chí Minh</t>
        </is>
      </c>
      <c r="G15703" t="inlineStr">
        <is>
          <t>08-04-2026</t>
        </is>
      </c>
      <c r="H15703" t="inlineStr">
        <is>
          <t>08/04/2026</t>
        </is>
      </c>
      <c r="I15703" t="inlineStr">
        <is>
          <t>17/03/2026</t>
        </is>
      </c>
      <c r="J15703" t="inlineStr">
        <is>
          <t>Hành chính / Thư ký, Quản lý điều hành, Ngành khác</t>
        </is>
      </c>
      <c r="K15703" t="inlineStr">
        <is>
          <t>Trên 2 Năm</t>
        </is>
      </c>
      <c r="L15703" s="8">
        <f>HYPERLINK("https://careerviet.vn/vi/tim-viec-lam/nhan-vien-hanh-chanh-tong-hop-kiem-dieu-giao-nhan.35C67FEA.html","Xem chi tiết")</f>
        <v/>
      </c>
    </row>
    <row r="15704">
      <c r="B15704" s="9" t="n">
        <v>15702</v>
      </c>
      <c r="C15704" s="10" t="inlineStr">
        <is>
          <t>Nhân viên Tư vấn Thẩm mỹ viện - Cơ sở Đà Nẵng</t>
        </is>
      </c>
      <c r="D15704" s="10" t="inlineStr">
        <is>
          <t>CÔNG TY TNHH THẨM MỸ QUỐC TẾ LINH ANH</t>
        </is>
      </c>
      <c r="E15704" s="10" t="inlineStr">
        <is>
          <t>Lương:20 Tr - 40 Tr VND</t>
        </is>
      </c>
      <c r="F15704" s="10" t="inlineStr">
        <is>
          <t>Đà Nẵng</t>
        </is>
      </c>
      <c r="G15704" s="10" t="inlineStr">
        <is>
          <t>08-04-2026</t>
        </is>
      </c>
      <c r="H15704" s="10" t="inlineStr">
        <is>
          <t>08/04/2026</t>
        </is>
      </c>
      <c r="I15704" s="10" t="inlineStr">
        <is>
          <t>17/03/2026</t>
        </is>
      </c>
      <c r="J15704" s="10" t="inlineStr">
        <is>
          <t>Tiếp thị / Marketing, Y tế / Chăm sóc sức khỏe / Thẩm mỹ / Làm đẹp, Tư vấn</t>
        </is>
      </c>
      <c r="K15704" s="10" t="inlineStr">
        <is>
          <t>1 - 2 Năm</t>
        </is>
      </c>
      <c r="L15704" s="11">
        <f>HYPERLINK("https://careerviet.vn/vi/tim-viec-lam/nhan-vien-tu-van-tham-my-vien-co-so-da-nang.35C65027.html","Xem chi tiết")</f>
        <v/>
      </c>
      <c r="M15704" s="10" t="n"/>
    </row>
    <row r="15705">
      <c r="B15705" s="7" t="n">
        <v>15703</v>
      </c>
      <c r="C15705" t="inlineStr">
        <is>
          <t>Nhân Viên Kinh Doanh - 10 vị trí</t>
        </is>
      </c>
      <c r="D15705" t="inlineStr">
        <is>
          <t>Công ty Cổ Phần Thảo Mộc Xanh</t>
        </is>
      </c>
      <c r="E15705" t="inlineStr">
        <is>
          <t>Lương:Cạnh tranh</t>
        </is>
      </c>
      <c r="F15705" t="inlineStr">
        <is>
          <t>Hồ Chí Minh</t>
        </is>
      </c>
      <c r="G15705" t="inlineStr">
        <is>
          <t>08-04-2026</t>
        </is>
      </c>
      <c r="H15705" t="inlineStr">
        <is>
          <t>08/04/2026</t>
        </is>
      </c>
      <c r="I15705" t="inlineStr">
        <is>
          <t>17/03/2026</t>
        </is>
      </c>
      <c r="J15705" t="inlineStr">
        <is>
          <t>Tiếp thị / Marketing, Bán hàng / Kinh doanh, Quảng cáo / Đối ngoại / Truyền Thông</t>
        </is>
      </c>
      <c r="K15705" t="inlineStr">
        <is>
          <t>Trên 1 Năm</t>
        </is>
      </c>
      <c r="L15705" s="8">
        <f>HYPERLINK("https://careerviet.vn/vi/tim-viec-lam/nhan-vien-kinh-doanh-10-vi-tri.35C67FEF.html","Xem chi tiết")</f>
        <v/>
      </c>
    </row>
    <row r="15706">
      <c r="B15706" s="9" t="n">
        <v>15704</v>
      </c>
      <c r="C15706" s="10" t="inlineStr">
        <is>
          <t>Dược sỹ đại học phụ trách mảng cung ứng / đấu thầu</t>
        </is>
      </c>
      <c r="D15706" s="10" t="inlineStr">
        <is>
          <t>Công ty Cổ Phần Thảo Mộc Xanh</t>
        </is>
      </c>
      <c r="E15706" s="10" t="inlineStr">
        <is>
          <t>Lương:Cạnh tranh</t>
        </is>
      </c>
      <c r="F15706" s="10" t="inlineStr">
        <is>
          <t>Hồ Chí Minh</t>
        </is>
      </c>
      <c r="G15706" s="10" t="inlineStr">
        <is>
          <t>08-04-2026</t>
        </is>
      </c>
      <c r="H15706" s="10" t="inlineStr">
        <is>
          <t>08/04/2026</t>
        </is>
      </c>
      <c r="I15706" s="10" t="inlineStr">
        <is>
          <t>17/03/2026</t>
        </is>
      </c>
      <c r="J15706" s="10" t="inlineStr">
        <is>
          <t>Dược phẩm/ Hóa Mỹ Phẩm, Y tế / Chăm sóc sức khỏe / Thẩm mỹ / Làm đẹp</t>
        </is>
      </c>
      <c r="K15706" s="10" t="inlineStr">
        <is>
          <t>Trên 1 Năm</t>
        </is>
      </c>
      <c r="L15706" s="11">
        <f>HYPERLINK("https://careerviet.vn/vi/tim-viec-lam/duoc-sy-dai-hoc-phu-trach-mang-cung-ung-dau-thau.35C67FE5.html","Xem chi tiết")</f>
        <v/>
      </c>
      <c r="M15706" s="10" t="n"/>
    </row>
    <row r="15707">
      <c r="B15707" s="7" t="n">
        <v>15705</v>
      </c>
      <c r="C15707" t="inlineStr">
        <is>
          <t>District Manager/ Area Manager</t>
        </is>
      </c>
      <c r="D15707" t="inlineStr">
        <is>
          <t>Công ty TNHH Sản xuất Thương mại &amp; Dịch vụ Hoa Xinh</t>
        </is>
      </c>
      <c r="E15707" t="inlineStr">
        <is>
          <t>Lương:Cạnh tranh</t>
        </is>
      </c>
      <c r="F15707" t="inlineStr">
        <is>
          <t>Hồ Chí Minh</t>
        </is>
      </c>
      <c r="G15707" t="inlineStr">
        <is>
          <t>08-04-2026</t>
        </is>
      </c>
      <c r="H15707" t="inlineStr">
        <is>
          <t>08/04/2026</t>
        </is>
      </c>
      <c r="I15707" t="inlineStr">
        <is>
          <t>17/03/2026</t>
        </is>
      </c>
      <c r="J15707" t="inlineStr">
        <is>
          <t>Bán lẻ / Bán sỉ, Bán hàng / Kinh doanh, Dệt may / Da giày / Thời trang</t>
        </is>
      </c>
      <c r="K15707" t="inlineStr">
        <is>
          <t>3 - 10 Năm</t>
        </is>
      </c>
      <c r="L15707" s="8">
        <f>HYPERLINK("https://careerviet.vn/vi/tim-viec-lam/district-manager-area-manager.35C64EA2.html","Xem chi tiết")</f>
        <v/>
      </c>
    </row>
    <row r="15708">
      <c r="B15708" s="9" t="n">
        <v>15706</v>
      </c>
      <c r="C15708" s="10" t="inlineStr">
        <is>
          <t>NHÂN VIÊN TÀI NGUYÊN</t>
        </is>
      </c>
      <c r="D15708" s="10" t="inlineStr">
        <is>
          <t>TBS Land- Công ty Cổ Phần Đầu Tư Thái Bình</t>
        </is>
      </c>
      <c r="E15708" s="10" t="inlineStr">
        <is>
          <t>Lương:Cạnh tranh</t>
        </is>
      </c>
      <c r="F15708" s="10" t="inlineStr">
        <is>
          <t>Bình Dương</t>
        </is>
      </c>
      <c r="G15708" s="10" t="inlineStr">
        <is>
          <t>08-04-2026</t>
        </is>
      </c>
      <c r="H15708" s="10" t="inlineStr">
        <is>
          <t>08/04/2026</t>
        </is>
      </c>
      <c r="I15708" s="10" t="inlineStr">
        <is>
          <t>17/03/2026</t>
        </is>
      </c>
      <c r="J15708" s="10" t="inlineStr">
        <is>
          <t>Xây dựng, Bất động sản</t>
        </is>
      </c>
      <c r="K15708" s="10" t="inlineStr">
        <is>
          <t>1 - 3 Năm</t>
        </is>
      </c>
      <c r="L15708" s="11">
        <f>HYPERLINK("https://careerviet.vn/vi/tim-viec-lam/nhan-vien-tai-nguyen.35C68008.html","Xem chi tiết")</f>
        <v/>
      </c>
      <c r="M15708" s="10" t="n"/>
    </row>
    <row r="15709">
      <c r="B15709" s="7" t="n">
        <v>15707</v>
      </c>
      <c r="C15709" t="inlineStr">
        <is>
          <t>Cán Bộ Kinh Doanh - Khu vực Vĩnh Phúc, Tuyên Quang</t>
        </is>
      </c>
      <c r="D15709" t="inlineStr">
        <is>
          <t>Tổng Công ty Cổ phần Bảo hiểm Ngân hàng Đầu tư và Phát triển Việt Nam (BIC)</t>
        </is>
      </c>
      <c r="E15709" t="inlineStr">
        <is>
          <t>Lương:Cạnh tranh</t>
        </is>
      </c>
      <c r="F15709" t="inlineStr">
        <is>
          <t>Vĩnh PhúcTuyên Quang</t>
        </is>
      </c>
      <c r="G15709" t="inlineStr">
        <is>
          <t>08-04-2026</t>
        </is>
      </c>
      <c r="H15709" t="inlineStr">
        <is>
          <t>08/04/2026</t>
        </is>
      </c>
      <c r="I15709" t="inlineStr">
        <is>
          <t>17/03/2026</t>
        </is>
      </c>
      <c r="J15709" t="inlineStr">
        <is>
          <t>Bảo hiểm, Bán hàng / Kinh doanh, Ngân hàng</t>
        </is>
      </c>
      <c r="K15709" t="inlineStr">
        <is>
          <t>Chưa có kinh nghiệm</t>
        </is>
      </c>
      <c r="L15709" s="8">
        <f>HYPERLINK("https://careerviet.vn/vi/tim-viec-lam/can-bo-kinh-doanh-khu-vuc-vinh-phuc-tuyen-quang.35C67FA7.html","Xem chi tiết")</f>
        <v/>
      </c>
    </row>
    <row r="15710">
      <c r="B15710" s="9" t="n">
        <v>15708</v>
      </c>
      <c r="C15710" s="10" t="inlineStr">
        <is>
          <t>Cán Bộ Kinh Doanh - Khu vực Bình Thuận, Vũng Tàu</t>
        </is>
      </c>
      <c r="D15710" s="10" t="inlineStr">
        <is>
          <t>Tổng Công ty Cổ phần Bảo hiểm Ngân hàng Đầu tư và Phát triển Việt Nam (BIC)</t>
        </is>
      </c>
      <c r="E15710" s="10" t="inlineStr">
        <is>
          <t>Lương:Cạnh tranh</t>
        </is>
      </c>
      <c r="F15710" s="10" t="inlineStr">
        <is>
          <t>Bà Rịa - Vũng TàuBình Thuận</t>
        </is>
      </c>
      <c r="G15710" s="10" t="inlineStr">
        <is>
          <t>08-04-2026</t>
        </is>
      </c>
      <c r="H15710" s="10" t="inlineStr">
        <is>
          <t>08/04/2026</t>
        </is>
      </c>
      <c r="I15710" s="10" t="inlineStr">
        <is>
          <t>17/03/2026</t>
        </is>
      </c>
      <c r="J15710" s="10" t="inlineStr">
        <is>
          <t>Bảo hiểm, Bán hàng / Kinh doanh, Ngân hàng</t>
        </is>
      </c>
      <c r="K15710" s="10" t="inlineStr">
        <is>
          <t>Chưa có kinh nghiệm</t>
        </is>
      </c>
      <c r="L15710" s="11">
        <f>HYPERLINK("https://careerviet.vn/vi/tim-viec-lam/can-bo-kinh-doanh-khu-vuc-binh-thuan-vung-tau.35C67FAB.html","Xem chi tiết")</f>
        <v/>
      </c>
      <c r="M15710" s="10" t="n"/>
    </row>
    <row r="15711">
      <c r="B15711" s="7" t="n">
        <v>15709</v>
      </c>
      <c r="C15711" t="inlineStr">
        <is>
          <t>Cán Bộ Kinh Doanh - Khu vực Thái Nguyên, Cao Bằng, Bắc Kạn</t>
        </is>
      </c>
      <c r="D15711" t="inlineStr">
        <is>
          <t>Tổng Công ty Cổ phần Bảo hiểm Ngân hàng Đầu tư và Phát triển Việt Nam (BIC)</t>
        </is>
      </c>
      <c r="E15711" t="inlineStr">
        <is>
          <t>Lương:Cạnh tranh</t>
        </is>
      </c>
      <c r="F15711" t="inlineStr">
        <is>
          <t>Thái NguyênCao BằngBắc Cạn</t>
        </is>
      </c>
      <c r="G15711" t="inlineStr">
        <is>
          <t>08-04-2026</t>
        </is>
      </c>
      <c r="H15711" t="inlineStr">
        <is>
          <t>08/04/2026</t>
        </is>
      </c>
      <c r="I15711" t="inlineStr">
        <is>
          <t>17/03/2026</t>
        </is>
      </c>
      <c r="J15711" t="inlineStr">
        <is>
          <t>Bảo hiểm, Bán hàng / Kinh doanh, Ngân hàng</t>
        </is>
      </c>
      <c r="K15711" t="inlineStr">
        <is>
          <t>Chưa có kinh nghiệm</t>
        </is>
      </c>
      <c r="L15711" s="8">
        <f>HYPERLINK("https://careerviet.vn/vi/tim-viec-lam/can-bo-kinh-doanh-khu-vuc-thai-nguyen-cao-bang-bac-kan.35C67FAA.html","Xem chi tiết")</f>
        <v/>
      </c>
    </row>
    <row r="15712">
      <c r="B15712" s="9" t="n">
        <v>15710</v>
      </c>
      <c r="C15712" s="10" t="inlineStr">
        <is>
          <t>Nhân Viên Sale Admin Ngành Hàng Mẹ Và Bé - Lương 10 triệu/ tháng</t>
        </is>
      </c>
      <c r="D15712" s="10" t="inlineStr">
        <is>
          <t>Công Ty TNHH XNK Cầu Nối Việt</t>
        </is>
      </c>
      <c r="E15712" s="10" t="inlineStr">
        <is>
          <t>Lương:8 Tr - 9 Tr VND</t>
        </is>
      </c>
      <c r="F15712" s="10" t="inlineStr">
        <is>
          <t>Hà Nội</t>
        </is>
      </c>
      <c r="G15712" s="10" t="inlineStr">
        <is>
          <t>30-04-2026</t>
        </is>
      </c>
      <c r="H15712" s="10" t="inlineStr">
        <is>
          <t>30/04/2026</t>
        </is>
      </c>
      <c r="I15712" s="10" t="inlineStr">
        <is>
          <t>17/03/2026</t>
        </is>
      </c>
      <c r="J15712" s="10" t="inlineStr">
        <is>
          <t>Bán hàng / Kinh doanh, Kế toán / Kiểm toán</t>
        </is>
      </c>
      <c r="K15712" s="10" t="inlineStr">
        <is>
          <t>1 - 10 Năm</t>
        </is>
      </c>
      <c r="L15712" s="11">
        <f>HYPERLINK("https://careerviet.vn/vi/tim-viec-lam/nhan-vien-sale-admin-nganh-hang-me-va-be-luong-10-trieu-thang.35C69456.html","Xem chi tiết")</f>
        <v/>
      </c>
      <c r="M15712" s="10" t="n"/>
    </row>
    <row r="15713">
      <c r="B15713" s="7" t="n">
        <v>15711</v>
      </c>
      <c r="C15713" t="inlineStr">
        <is>
          <t>[Hà Nội] - Chuyên viên Hỗ trợ Khách hàng Doanh nghiệp</t>
        </is>
      </c>
      <c r="D15713" t="inlineStr">
        <is>
          <t>Ngân hàng TMCP Lộc Phát Việt Nam (LPBank)</t>
        </is>
      </c>
      <c r="E15713" t="inlineStr">
        <is>
          <t>Lương:Cạnh tranh</t>
        </is>
      </c>
      <c r="F15713" t="inlineStr">
        <is>
          <t>Hà Nội</t>
        </is>
      </c>
      <c r="G15713" t="inlineStr">
        <is>
          <t>08-04-2026</t>
        </is>
      </c>
      <c r="H15713" t="inlineStr">
        <is>
          <t>08/04/2026</t>
        </is>
      </c>
      <c r="I15713" t="inlineStr">
        <is>
          <t>17/03/2026</t>
        </is>
      </c>
      <c r="J15713" t="inlineStr">
        <is>
          <t>Bán hàng / Kinh doanh, Kế toán / Kiểm toán, Ngân hàng</t>
        </is>
      </c>
      <c r="K15713" t="inlineStr">
        <is>
          <t>Trên 1 Năm</t>
        </is>
      </c>
      <c r="L15713" s="8">
        <f>HYPERLINK("https://careerviet.vn/vi/tim-viec-lam/ha-noi-chuyen-vien-ho-tro-khach-hang-doanh-nghiep.35C64F65.html","Xem chi tiết")</f>
        <v/>
      </c>
    </row>
    <row r="15714">
      <c r="B15714" s="9" t="n">
        <v>15712</v>
      </c>
      <c r="C15714" s="10" t="inlineStr">
        <is>
          <t>NHÂN VIÊN R&amp;D ngành bánh kẹo</t>
        </is>
      </c>
      <c r="D15714" s="10" t="inlineStr">
        <is>
          <t>CÔNG TY TNHH ĐẦU TƯ SẢN XUẤT BẢO NGỌC MIỀN BẮC</t>
        </is>
      </c>
      <c r="E15714" s="10" t="inlineStr">
        <is>
          <t>Lương:12 Tr - 13 Tr VND</t>
        </is>
      </c>
      <c r="F15714" s="10" t="inlineStr">
        <is>
          <t>Hà Nội</t>
        </is>
      </c>
      <c r="G15714" s="10" t="inlineStr">
        <is>
          <t>08-04-2026</t>
        </is>
      </c>
      <c r="H15714" s="10" t="inlineStr">
        <is>
          <t>08/04/2026</t>
        </is>
      </c>
      <c r="I15714" s="10" t="inlineStr">
        <is>
          <t>17/03/2026</t>
        </is>
      </c>
      <c r="J15714" s="10" t="inlineStr">
        <is>
          <t>Thực phẩm &amp; Đồ uống</t>
        </is>
      </c>
      <c r="K15714" s="10" t="inlineStr">
        <is>
          <t>2 - 3 Năm</t>
        </is>
      </c>
      <c r="L15714" s="11">
        <f>HYPERLINK("https://careerviet.vn/vi/tim-viec-lam/nhan-vien-r-d-nganh-banh-keo.35C6506D.html","Xem chi tiết")</f>
        <v/>
      </c>
      <c r="M15714" s="10" t="n"/>
    </row>
    <row r="15715">
      <c r="B15715" s="7" t="n">
        <v>15713</v>
      </c>
      <c r="C15715" t="inlineStr">
        <is>
          <t>Cán Bộ Kinh Doanh - Khu vực Quảng Ngãi, Quảng Nam</t>
        </is>
      </c>
      <c r="D15715" t="inlineStr">
        <is>
          <t>Tổng Công ty Cổ phần Bảo hiểm Ngân hàng Đầu tư và Phát triển Việt Nam (BIC)</t>
        </is>
      </c>
      <c r="E15715" t="inlineStr">
        <is>
          <t>Lương:Cạnh tranh</t>
        </is>
      </c>
      <c r="F15715" t="inlineStr">
        <is>
          <t>Quảng NamQuảng Ngãi</t>
        </is>
      </c>
      <c r="G15715" t="inlineStr">
        <is>
          <t>08-04-2026</t>
        </is>
      </c>
      <c r="H15715" t="inlineStr">
        <is>
          <t>08/04/2026</t>
        </is>
      </c>
      <c r="I15715" t="inlineStr">
        <is>
          <t>17/03/2026</t>
        </is>
      </c>
      <c r="J15715" t="inlineStr">
        <is>
          <t>Bảo hiểm, Bán hàng / Kinh doanh, Ngân hàng</t>
        </is>
      </c>
      <c r="K15715" t="inlineStr">
        <is>
          <t>Chưa có kinh nghiệm</t>
        </is>
      </c>
      <c r="L15715" s="8">
        <f>HYPERLINK("https://careerviet.vn/vi/tim-viec-lam/can-bo-kinh-doanh-khu-vuc-quang-ngai-quang-nam.35C67FB4.html","Xem chi tiết")</f>
        <v/>
      </c>
    </row>
    <row r="15716">
      <c r="B15716" s="9" t="n">
        <v>15714</v>
      </c>
      <c r="C15716" s="10" t="inlineStr">
        <is>
          <t>Kỹ Sư Dự Toán Báo Giá</t>
        </is>
      </c>
      <c r="D15716" s="10" t="inlineStr">
        <is>
          <t>Công ty Xây Dựng Hàng Rào Biệt Thự (Villafences)</t>
        </is>
      </c>
      <c r="E15716" s="10" t="inlineStr">
        <is>
          <t>Lương:12 Tr - 18 Tr VND</t>
        </is>
      </c>
      <c r="F15716" s="10" t="inlineStr">
        <is>
          <t>Hồ Chí Minh</t>
        </is>
      </c>
      <c r="G15716" s="10" t="inlineStr">
        <is>
          <t>08-04-2026</t>
        </is>
      </c>
      <c r="H15716" s="10" t="inlineStr">
        <is>
          <t>08/04/2026</t>
        </is>
      </c>
      <c r="I15716" s="10" t="inlineStr">
        <is>
          <t>17/03/2026</t>
        </is>
      </c>
      <c r="J15716" s="10" t="inlineStr">
        <is>
          <t>Cơ khí / Ô tô / Tự động hóa, Xây dựng, Nội ngoại thất</t>
        </is>
      </c>
      <c r="K15716" s="10" t="inlineStr">
        <is>
          <t>1 - 5 Năm</t>
        </is>
      </c>
      <c r="L15716" s="11">
        <f>HYPERLINK("https://careerviet.vn/vi/tim-viec-lam/ky-su-du-toan-bao-gia.35C60150.html","Xem chi tiết")</f>
        <v/>
      </c>
      <c r="M15716" s="10" t="n"/>
    </row>
    <row r="15717">
      <c r="B15717" s="7" t="n">
        <v>15715</v>
      </c>
      <c r="C15717" t="inlineStr">
        <is>
          <t>Nhân viên kế toán ngân hàng</t>
        </is>
      </c>
      <c r="D15717" t="inlineStr">
        <is>
          <t>ONE GROUP</t>
        </is>
      </c>
      <c r="E15717" t="inlineStr">
        <is>
          <t>Lương:10 Tr - 15 Tr VND</t>
        </is>
      </c>
      <c r="F15717" t="inlineStr">
        <is>
          <t>Hồ Chí Minh</t>
        </is>
      </c>
      <c r="G15717" t="inlineStr">
        <is>
          <t>08-04-2026</t>
        </is>
      </c>
      <c r="H15717" t="inlineStr">
        <is>
          <t>08/04/2026</t>
        </is>
      </c>
      <c r="I15717" t="inlineStr">
        <is>
          <t>17/03/2026</t>
        </is>
      </c>
      <c r="J15717" t="inlineStr">
        <is>
          <t>Kế toán / Kiểm toán, Ngân hàng, Tài chính / Đầu tư</t>
        </is>
      </c>
      <c r="K15717" t="inlineStr">
        <is>
          <t>Trên 2 Năm</t>
        </is>
      </c>
      <c r="L15717" s="8">
        <f>HYPERLINK("https://careerviet.vn/vi/tim-viec-lam/nhan-vien-ke-toan-ngan-hang.35C64FAA.html","Xem chi tiết")</f>
        <v/>
      </c>
    </row>
    <row r="15718">
      <c r="B15718" s="9" t="n">
        <v>15716</v>
      </c>
      <c r="C15718" s="10" t="inlineStr">
        <is>
          <t>Chuyên viên kinh doanh trực tuyến thẻ (Telesales)</t>
        </is>
      </c>
      <c r="D15718" s="10" t="inlineStr">
        <is>
          <t>Ngân Hàng TMCP Quốc Tế Việt Nam</t>
        </is>
      </c>
      <c r="E15718" s="10" t="inlineStr">
        <is>
          <t>Lương:Cạnh tranh</t>
        </is>
      </c>
      <c r="F15718" s="10" t="inlineStr">
        <is>
          <t>Hồ Chí Minh</t>
        </is>
      </c>
      <c r="G15718" s="10" t="inlineStr">
        <is>
          <t>08-04-2026</t>
        </is>
      </c>
      <c r="H15718" s="10" t="inlineStr">
        <is>
          <t>08/04/2026</t>
        </is>
      </c>
      <c r="I15718" s="10" t="inlineStr">
        <is>
          <t>17/03/2026</t>
        </is>
      </c>
      <c r="J15718" s="10" t="inlineStr">
        <is>
          <t>Ngân hàng, Bán hàng / Kinh doanh, Tư vấn</t>
        </is>
      </c>
      <c r="K15718" s="10" t="inlineStr">
        <is>
          <t>1 - 5 Năm</t>
        </is>
      </c>
      <c r="L15718" s="11">
        <f>HYPERLINK("https://careerviet.vn/vi/tim-viec-lam/chuyen-vien-kinh-doanh-truc-tuyen-the-telesales.35C64E84.html","Xem chi tiết")</f>
        <v/>
      </c>
      <c r="M15718" s="10" t="n"/>
    </row>
    <row r="15719">
      <c r="B15719" s="7" t="n">
        <v>15717</v>
      </c>
      <c r="C15719" t="inlineStr">
        <is>
          <t>Nhân viên An Toàn</t>
        </is>
      </c>
      <c r="D15719" t="inlineStr">
        <is>
          <t>LIXIL Global Manufacturing Vietnam</t>
        </is>
      </c>
      <c r="E15719" t="inlineStr">
        <is>
          <t>Lương:11 Tr - 12 Tr VND</t>
        </is>
      </c>
      <c r="F15719" t="inlineStr">
        <is>
          <t>Đồng Nai</t>
        </is>
      </c>
      <c r="G15719" t="inlineStr">
        <is>
          <t>08-04-2026</t>
        </is>
      </c>
      <c r="H15719" t="inlineStr">
        <is>
          <t>08/04/2026</t>
        </is>
      </c>
      <c r="I15719" t="inlineStr">
        <is>
          <t>17/03/2026</t>
        </is>
      </c>
      <c r="J15719" t="inlineStr">
        <is>
          <t>An toàn lao động</t>
        </is>
      </c>
      <c r="K15719" t="inlineStr">
        <is>
          <t>1 - 2 Năm</t>
        </is>
      </c>
      <c r="L15719" s="8">
        <f>HYPERLINK("https://careerviet.vn/vi/tim-viec-lam/nhan-vien-an-toan.35C68003.html","Xem chi tiết")</f>
        <v/>
      </c>
    </row>
    <row r="15720">
      <c r="B15720" s="9" t="n">
        <v>15718</v>
      </c>
      <c r="C15720" s="10" t="inlineStr">
        <is>
          <t>Thực tập sinh nhân sự</t>
        </is>
      </c>
      <c r="D15720" s="10" t="inlineStr">
        <is>
          <t>CÔNG TY TNHH GIP GROUP</t>
        </is>
      </c>
      <c r="E15720" s="10" t="inlineStr">
        <is>
          <t>Lương:3 Tr - 4 Tr VND</t>
        </is>
      </c>
      <c r="F15720" s="10" t="inlineStr">
        <is>
          <t>Hà Nội</t>
        </is>
      </c>
      <c r="G15720" s="10" t="inlineStr">
        <is>
          <t>08-04-2026</t>
        </is>
      </c>
      <c r="H15720" s="10" t="inlineStr">
        <is>
          <t>08/04/2026</t>
        </is>
      </c>
      <c r="I15720" s="10" t="inlineStr">
        <is>
          <t>17/03/2026</t>
        </is>
      </c>
      <c r="J15720" s="10" t="inlineStr">
        <is>
          <t>Thương mại điện tử, Hành chính / Thư ký, Nhân sự</t>
        </is>
      </c>
      <c r="K15720" s="10" t="inlineStr">
        <is>
          <t>N/A</t>
        </is>
      </c>
      <c r="L15720" s="11">
        <f>HYPERLINK("https://careerviet.vn/vi/tim-viec-lam/thuc-tap-sinh-nhan-su.35C3EFB2.html","Xem chi tiết")</f>
        <v/>
      </c>
      <c r="M15720" s="10" t="n"/>
    </row>
    <row r="15721">
      <c r="B15721" s="7" t="n">
        <v>15719</v>
      </c>
      <c r="C15721" t="inlineStr">
        <is>
          <t>KIẾN TRÚC SƯ LANDSCAPE</t>
        </is>
      </c>
      <c r="D15721" t="inlineStr">
        <is>
          <t>TBS Land- Công ty Cổ Phần Đầu Tư Thái Bình</t>
        </is>
      </c>
      <c r="E15721" t="inlineStr">
        <is>
          <t>Lương:Cạnh tranh</t>
        </is>
      </c>
      <c r="F15721" t="inlineStr">
        <is>
          <t>Bình Dương</t>
        </is>
      </c>
      <c r="G15721" t="inlineStr">
        <is>
          <t>08-04-2026</t>
        </is>
      </c>
      <c r="H15721" t="inlineStr">
        <is>
          <t>08/04/2026</t>
        </is>
      </c>
      <c r="I15721" t="inlineStr">
        <is>
          <t>17/03/2026</t>
        </is>
      </c>
      <c r="J15721" t="inlineStr">
        <is>
          <t>Mỹ thuật / Nghệ thuật / Thiết kế, Kiến trúc, Xây dựng</t>
        </is>
      </c>
      <c r="K15721" t="inlineStr">
        <is>
          <t>2 - 5 Năm</t>
        </is>
      </c>
      <c r="L15721" s="8">
        <f>HYPERLINK("https://careerviet.vn/vi/tim-viec-lam/kien-truc-su-landscape.35C68007.html","Xem chi tiết")</f>
        <v/>
      </c>
    </row>
    <row r="15722">
      <c r="B15722" s="9" t="n">
        <v>15720</v>
      </c>
      <c r="C15722" s="10" t="inlineStr">
        <is>
          <t>Thực tập sinh Truyền thông nội bộ</t>
        </is>
      </c>
      <c r="D15722" s="10" t="inlineStr">
        <is>
          <t>CÔNG TY TNHH GIP GROUP</t>
        </is>
      </c>
      <c r="E15722" s="10" t="inlineStr">
        <is>
          <t>Lương:3 Tr - 4 Tr VND</t>
        </is>
      </c>
      <c r="F15722" s="10" t="inlineStr">
        <is>
          <t>Hà Nội</t>
        </is>
      </c>
      <c r="G15722" s="10" t="inlineStr">
        <is>
          <t>08-04-2026</t>
        </is>
      </c>
      <c r="H15722" s="10" t="inlineStr">
        <is>
          <t>08/04/2026</t>
        </is>
      </c>
      <c r="I15722" s="10" t="inlineStr">
        <is>
          <t>17/03/2026</t>
        </is>
      </c>
      <c r="J15722" s="10" t="inlineStr">
        <is>
          <t>Tiếp thị / Marketing, Nhân sự, Mới tốt nghiệp / Thực tập</t>
        </is>
      </c>
      <c r="K15722" s="10" t="inlineStr">
        <is>
          <t>N/A</t>
        </is>
      </c>
      <c r="L15722" s="11">
        <f>HYPERLINK("https://careerviet.vn/vi/tim-viec-lam/thuc-tap-sinh-truyen-thong-noi-bo.35C67FC3.html","Xem chi tiết")</f>
        <v/>
      </c>
      <c r="M15722" s="10" t="n"/>
    </row>
    <row r="15723">
      <c r="B15723" s="7" t="n">
        <v>15721</v>
      </c>
      <c r="C15723" t="inlineStr">
        <is>
          <t>Chuyên Viên Kinh Doanh - Ngành Bao Bì Dược phẩm và Thực phẩm</t>
        </is>
      </c>
      <c r="D15723" t="inlineStr">
        <is>
          <t>Công ty Cổ Phần Thảo Mộc Xanh</t>
        </is>
      </c>
      <c r="E15723" t="inlineStr">
        <is>
          <t>Lương:Cạnh tranh</t>
        </is>
      </c>
      <c r="F15723" t="inlineStr">
        <is>
          <t>Hồ Chí Minh</t>
        </is>
      </c>
      <c r="G15723" t="inlineStr">
        <is>
          <t>08-04-2026</t>
        </is>
      </c>
      <c r="H15723" t="inlineStr">
        <is>
          <t>08/04/2026</t>
        </is>
      </c>
      <c r="I15723" t="inlineStr">
        <is>
          <t>17/03/2026</t>
        </is>
      </c>
      <c r="J15723" t="inlineStr">
        <is>
          <t>Tiếp thị / Marketing, Bán hàng / Kinh doanh, Quảng cáo / Đối ngoại / Truyền Thông</t>
        </is>
      </c>
      <c r="K15723" t="inlineStr">
        <is>
          <t>Trên 2 Năm</t>
        </is>
      </c>
      <c r="L15723" s="8">
        <f>HYPERLINK("https://careerviet.vn/vi/tim-viec-lam/chuyen-vien-kinh-doanh-nganh-bao-bi-duoc-pham-va-thuc-pham.35C67FCD.html","Xem chi tiết")</f>
        <v/>
      </c>
    </row>
    <row r="15724">
      <c r="B15724" s="9" t="n">
        <v>15722</v>
      </c>
      <c r="C15724" s="10" t="inlineStr">
        <is>
          <t>Tổ trưởng sản xuất</t>
        </is>
      </c>
      <c r="D15724" s="10" t="inlineStr">
        <is>
          <t>CÔNG TY TNHH CHEMTROVINA</t>
        </is>
      </c>
      <c r="E15724" s="10" t="inlineStr">
        <is>
          <t>Lương:Cạnh tranh</t>
        </is>
      </c>
      <c r="F15724" s="10" t="inlineStr">
        <is>
          <t>Đồng Nai</t>
        </is>
      </c>
      <c r="G15724" s="10" t="inlineStr">
        <is>
          <t>08-04-2026</t>
        </is>
      </c>
      <c r="H15724" s="10" t="inlineStr">
        <is>
          <t>08/04/2026</t>
        </is>
      </c>
      <c r="I15724" s="10" t="inlineStr">
        <is>
          <t>17/03/2026</t>
        </is>
      </c>
      <c r="J15724" s="10" t="inlineStr">
        <is>
          <t>Điện / Điện tử / Điện lạnh / Điện công nghiệp</t>
        </is>
      </c>
      <c r="K15724" s="10" t="inlineStr">
        <is>
          <t>Trên 1 Năm</t>
        </is>
      </c>
      <c r="L15724" s="11">
        <f>HYPERLINK("https://careerviet.vn/vi/tim-viec-lam/to-truong-san-xuat.35C67FE9.html","Xem chi tiết")</f>
        <v/>
      </c>
      <c r="M15724" s="10" t="n"/>
    </row>
    <row r="15725">
      <c r="B15725" s="7" t="n">
        <v>15723</v>
      </c>
      <c r="C15725" t="inlineStr">
        <is>
          <t>Nhân viên Kế Toán kho</t>
        </is>
      </c>
      <c r="D15725" t="inlineStr">
        <is>
          <t>Bảo mật</t>
        </is>
      </c>
      <c r="E15725" t="inlineStr">
        <is>
          <t>Lương:Cạnh tranh</t>
        </is>
      </c>
      <c r="F15725" t="inlineStr">
        <is>
          <t>Long An</t>
        </is>
      </c>
      <c r="G15725" t="inlineStr">
        <is>
          <t>08-04-2026</t>
        </is>
      </c>
      <c r="H15725" t="inlineStr">
        <is>
          <t>08/04/2026</t>
        </is>
      </c>
      <c r="I15725" t="inlineStr">
        <is>
          <t>17/03/2026</t>
        </is>
      </c>
      <c r="J15725" t="inlineStr">
        <is>
          <t>Hành chính / Thư ký, Kế toán / Kiểm toán</t>
        </is>
      </c>
      <c r="K15725" t="inlineStr">
        <is>
          <t>Trên 1 Năm</t>
        </is>
      </c>
      <c r="L15725" s="8">
        <f>HYPERLINK("https://careerviet.vn/vi/tim-viec-lam/nhan-vien-ke-toan-kho.35C67FE7.html","Xem chi tiết")</f>
        <v/>
      </c>
    </row>
    <row r="15726">
      <c r="B15726" s="9" t="n">
        <v>15724</v>
      </c>
      <c r="C15726" s="10" t="inlineStr">
        <is>
          <t>Bảo Mẫu Mầm Non (BRIS Gò Vấp)</t>
        </is>
      </c>
      <c r="D15726" s="10" t="inlineStr">
        <is>
          <t>TRƯỜNG QUỐC TẾ BLUE RIDGE / BLUE RIDGE INTERNATIONAL SCHOOL (BRIS)</t>
        </is>
      </c>
      <c r="E15726" s="10" t="inlineStr">
        <is>
          <t>Lương:7 Tr - 8 Tr VND</t>
        </is>
      </c>
      <c r="F15726" s="10" t="inlineStr">
        <is>
          <t>Hồ Chí Minh</t>
        </is>
      </c>
      <c r="G15726" s="10" t="inlineStr">
        <is>
          <t>08-04-2026</t>
        </is>
      </c>
      <c r="H15726" s="10" t="inlineStr">
        <is>
          <t>08/04/2026</t>
        </is>
      </c>
      <c r="I15726" s="10" t="inlineStr">
        <is>
          <t>17/03/2026</t>
        </is>
      </c>
      <c r="J15726" s="10" t="inlineStr">
        <is>
          <t>Giáo dục / Đào tạo</t>
        </is>
      </c>
      <c r="K15726" s="10" t="inlineStr">
        <is>
          <t>1 - 2 Năm</t>
        </is>
      </c>
      <c r="L15726" s="11">
        <f>HYPERLINK("https://careerviet.vn/vi/tim-viec-lam/bao-mau-mam-non-bris-go-vap.35C64FD7.html","Xem chi tiết")</f>
        <v/>
      </c>
      <c r="M15726" s="10" t="n"/>
    </row>
    <row r="15727">
      <c r="B15727" s="7" t="n">
        <v>15725</v>
      </c>
      <c r="C15727" t="inlineStr">
        <is>
          <t>[MIỀN BẮC] GIÁM ĐỐC KINH DOANH KÊNH B2B</t>
        </is>
      </c>
      <c r="D15727" t="inlineStr">
        <is>
          <t>CÔNG TY CỔ PHẦN THƯƠNG MẠI SATORI</t>
        </is>
      </c>
      <c r="E15727" t="inlineStr">
        <is>
          <t>Lương:30 Tr - 50 Tr VND</t>
        </is>
      </c>
      <c r="F15727" t="inlineStr">
        <is>
          <t>Hà Nội</t>
        </is>
      </c>
      <c r="G15727" t="inlineStr">
        <is>
          <t>08-04-2026</t>
        </is>
      </c>
      <c r="H15727" t="inlineStr">
        <is>
          <t>08/04/2026</t>
        </is>
      </c>
      <c r="I15727" t="inlineStr">
        <is>
          <t>17/03/2026</t>
        </is>
      </c>
      <c r="J15727" t="inlineStr">
        <is>
          <t>Bán hàng / Kinh doanh, Thực phẩm &amp; Đồ uống</t>
        </is>
      </c>
      <c r="K15727" t="inlineStr">
        <is>
          <t>5 - 7 Năm</t>
        </is>
      </c>
      <c r="L15727" s="8">
        <f>HYPERLINK("https://careerviet.vn/vi/tim-viec-lam/mien-bac-giam-doc-kinh-doanh-kenh-b2b.35C6801C.html","Xem chi tiết")</f>
        <v/>
      </c>
    </row>
    <row r="15728">
      <c r="B15728" s="9" t="n">
        <v>15726</v>
      </c>
      <c r="C15728" s="10" t="inlineStr">
        <is>
          <t>Safety Officer/Nhân viên an toàn</t>
        </is>
      </c>
      <c r="D15728" s="10" t="inlineStr">
        <is>
          <t>PEB STEEL BUILDINGS CO., LTD.</t>
        </is>
      </c>
      <c r="E15728" s="10" t="inlineStr">
        <is>
          <t>Lương:Cạnh tranh</t>
        </is>
      </c>
      <c r="F15728" s="10" t="inlineStr">
        <is>
          <t>Bà Rịa - Vũng Tàu</t>
        </is>
      </c>
      <c r="G15728" s="10" t="inlineStr">
        <is>
          <t>08-04-2026</t>
        </is>
      </c>
      <c r="H15728" s="10" t="inlineStr">
        <is>
          <t>08/04/2026</t>
        </is>
      </c>
      <c r="I15728" s="10" t="inlineStr">
        <is>
          <t>17/03/2026</t>
        </is>
      </c>
      <c r="J15728" s="10" t="inlineStr">
        <is>
          <t>Cơ khí / Ô tô / Tự động hóa, Sản xuất / Vận hành sản xuất, An toàn lao động</t>
        </is>
      </c>
      <c r="K15728" s="10" t="inlineStr">
        <is>
          <t>Trên 1 Năm</t>
        </is>
      </c>
      <c r="L15728" s="11">
        <f>HYPERLINK("https://careerviet.vn/vi/tim-viec-lam/safety-officer-nhan-vien-an-toan.35C67FBF.html","Xem chi tiết")</f>
        <v/>
      </c>
      <c r="M15728" s="10" t="n"/>
    </row>
    <row r="15729">
      <c r="B15729" s="7" t="n">
        <v>15727</v>
      </c>
      <c r="C15729" t="inlineStr">
        <is>
          <t>Nhân viên chất lượng (QA Customer)</t>
        </is>
      </c>
      <c r="D15729" t="inlineStr">
        <is>
          <t>Công Ty TNHH Công Nghiệp Kolon Bình Dương</t>
        </is>
      </c>
      <c r="E15729" t="inlineStr">
        <is>
          <t>Lương:Cạnh tranh</t>
        </is>
      </c>
      <c r="F15729" t="inlineStr">
        <is>
          <t>Bình Dương</t>
        </is>
      </c>
      <c r="G15729" t="inlineStr">
        <is>
          <t>08-04-2026</t>
        </is>
      </c>
      <c r="H15729" t="inlineStr">
        <is>
          <t>08/04/2026</t>
        </is>
      </c>
      <c r="I15729" t="inlineStr">
        <is>
          <t>17/03/2026</t>
        </is>
      </c>
      <c r="J15729" t="inlineStr">
        <is>
          <t>Công nghệ sinh học, Hóa học, Quản lý chất lượng (QA/QC)</t>
        </is>
      </c>
      <c r="K15729" t="inlineStr">
        <is>
          <t>1 - 2 Năm</t>
        </is>
      </c>
      <c r="L15729" s="8">
        <f>HYPERLINK("https://careerviet.vn/vi/tim-viec-lam/nhan-vien-chat-luong-qa-customer.35C68006.html","Xem chi tiết")</f>
        <v/>
      </c>
    </row>
    <row r="15730">
      <c r="B15730" s="9" t="n">
        <v>15728</v>
      </c>
      <c r="C15730" s="10" t="inlineStr">
        <is>
          <t>Trưởng Phòng Kinh Doanh (Bán Lẻ)</t>
        </is>
      </c>
      <c r="D15730" s="10" t="inlineStr">
        <is>
          <t>CÔNG TY CỔ PHẦN TẬP ĐOÀN HTM</t>
        </is>
      </c>
      <c r="E15730" s="10" t="inlineStr">
        <is>
          <t>Lương:Cạnh tranh</t>
        </is>
      </c>
      <c r="F15730" s="10" t="inlineStr">
        <is>
          <t>Hồ Chí Minh</t>
        </is>
      </c>
      <c r="G15730" s="10" t="inlineStr">
        <is>
          <t>08-04-2026</t>
        </is>
      </c>
      <c r="H15730" s="10" t="inlineStr">
        <is>
          <t>08/04/2026</t>
        </is>
      </c>
      <c r="I15730" s="10" t="inlineStr">
        <is>
          <t>17/03/2026</t>
        </is>
      </c>
      <c r="J15730" s="10" t="inlineStr">
        <is>
          <t>Bán hàng / Kinh doanh</t>
        </is>
      </c>
      <c r="K15730" s="10" t="inlineStr">
        <is>
          <t>4 - 5 Năm</t>
        </is>
      </c>
      <c r="L15730" s="11">
        <f>HYPERLINK("https://careerviet.vn/vi/tim-viec-lam/truong-phong-kinh-doanh-ban-le.35C64F1F.html","Xem chi tiết")</f>
        <v/>
      </c>
      <c r="M15730" s="10" t="n"/>
    </row>
    <row r="15731">
      <c r="B15731" s="7" t="n">
        <v>15729</v>
      </c>
      <c r="C15731" t="inlineStr">
        <is>
          <t>Senior IT Procurement Officer (Attractive salary package) - TA184 - ID1108</t>
        </is>
      </c>
      <c r="D15731" t="inlineStr">
        <is>
          <t>Ngân Hàng TMCP Việt Nam Thịnh Vượng - VPBANK</t>
        </is>
      </c>
      <c r="E15731" t="inlineStr">
        <is>
          <t>Lương:Cạnh tranh</t>
        </is>
      </c>
      <c r="F15731" t="inlineStr">
        <is>
          <t>Hà Nội</t>
        </is>
      </c>
      <c r="G15731" t="inlineStr">
        <is>
          <t>08-04-2026</t>
        </is>
      </c>
      <c r="H15731" t="inlineStr">
        <is>
          <t>08/04/2026</t>
        </is>
      </c>
      <c r="I15731" t="inlineStr">
        <is>
          <t>17/03/2026</t>
        </is>
      </c>
      <c r="J15731" t="inlineStr">
        <is>
          <t>Ngân hàng, CNTT - Phần mềm, CNTT - Phần cứng / Mạng</t>
        </is>
      </c>
      <c r="K15731" t="inlineStr">
        <is>
          <t>5 - 15 Năm</t>
        </is>
      </c>
      <c r="L15731" s="8">
        <f>HYPERLINK("https://careerviet.vn/vi/tim-viec-lam/senior-it-procurement-officer-attractive-salary-package-ta184-id1108.35C64ED3.html","Xem chi tiết")</f>
        <v/>
      </c>
    </row>
    <row r="15732">
      <c r="B15732" s="9" t="n">
        <v>15730</v>
      </c>
      <c r="C15732" s="10" t="inlineStr">
        <is>
          <t>Chuyên Viên Kinh Doanh - Bao Bì Giấy: Ly/Tô Giấy, Ống Hút Giấy, hộp giấy</t>
        </is>
      </c>
      <c r="D15732" s="10" t="inlineStr">
        <is>
          <t>Công ty Cổ Phần Thảo Mộc Xanh</t>
        </is>
      </c>
      <c r="E15732" s="10" t="inlineStr">
        <is>
          <t>Lương:Cạnh tranh</t>
        </is>
      </c>
      <c r="F15732" s="10" t="inlineStr">
        <is>
          <t>Hồ Chí Minh</t>
        </is>
      </c>
      <c r="G15732" s="10" t="inlineStr">
        <is>
          <t>08-04-2026</t>
        </is>
      </c>
      <c r="H15732" s="10" t="inlineStr">
        <is>
          <t>08/04/2026</t>
        </is>
      </c>
      <c r="I15732" s="10" t="inlineStr">
        <is>
          <t>17/03/2026</t>
        </is>
      </c>
      <c r="J15732" s="10" t="inlineStr">
        <is>
          <t>Tiếp thị / Marketing, Bán hàng / Kinh doanh, Quảng cáo / Đối ngoại / Truyền Thông</t>
        </is>
      </c>
      <c r="K15732" s="10" t="inlineStr">
        <is>
          <t>2 - 3 Năm</t>
        </is>
      </c>
      <c r="L15732" s="11">
        <f>HYPERLINK("https://careerviet.vn/vi/tim-viec-lam/chuyen-vien-kinh-doanh-bao-bi-giay-ly-to-giay-ong-hut-giay-hop-giay.35C67FD7.html","Xem chi tiết")</f>
        <v/>
      </c>
      <c r="M15732" s="10" t="n"/>
    </row>
    <row r="15733">
      <c r="B15733" s="7" t="n">
        <v>15731</v>
      </c>
      <c r="C15733" t="inlineStr">
        <is>
          <t>Phó Phòng Sản Xuất (Bếp Ăn Công Nghiệp)</t>
        </is>
      </c>
      <c r="D15733" t="inlineStr">
        <is>
          <t>Tập Đoàn An Phát Holdings</t>
        </is>
      </c>
      <c r="E15733" t="inlineStr">
        <is>
          <t>Lương:15 Tr - 25 Tr VND</t>
        </is>
      </c>
      <c r="F15733" t="inlineStr">
        <is>
          <t>Hải Dương</t>
        </is>
      </c>
      <c r="G15733" t="inlineStr">
        <is>
          <t>08-04-2026</t>
        </is>
      </c>
      <c r="H15733" t="inlineStr">
        <is>
          <t>08/04/2026</t>
        </is>
      </c>
      <c r="I15733" t="inlineStr">
        <is>
          <t>17/03/2026</t>
        </is>
      </c>
      <c r="J15733" t="inlineStr">
        <is>
          <t>Nhà hàng / Khách sạn, Sản xuất / Vận hành sản xuất</t>
        </is>
      </c>
      <c r="K15733" t="inlineStr">
        <is>
          <t>3 - 5 Năm</t>
        </is>
      </c>
      <c r="L15733" s="8">
        <f>HYPERLINK("https://careerviet.vn/vi/tim-viec-lam/pho-phong-san-xuat-bep-an-cong-nghiep.35C67FBE.html","Xem chi tiết")</f>
        <v/>
      </c>
    </row>
    <row r="15734">
      <c r="B15734" s="9" t="n">
        <v>15732</v>
      </c>
      <c r="C15734" s="10" t="inlineStr">
        <is>
          <t>Kỹ thuật viên ép thổi nhựa sản xuất</t>
        </is>
      </c>
      <c r="D15734" s="10" t="inlineStr">
        <is>
          <t>Công ty Cổ Phần Thảo Mộc Xanh</t>
        </is>
      </c>
      <c r="E15734" s="10" t="inlineStr">
        <is>
          <t>Lương:Cạnh tranh</t>
        </is>
      </c>
      <c r="F15734" s="10" t="inlineStr">
        <is>
          <t>Long An</t>
        </is>
      </c>
      <c r="G15734" s="10" t="inlineStr">
        <is>
          <t>08-04-2026</t>
        </is>
      </c>
      <c r="H15734" s="10" t="inlineStr">
        <is>
          <t>08/04/2026</t>
        </is>
      </c>
      <c r="I15734" s="10" t="inlineStr">
        <is>
          <t>17/03/2026</t>
        </is>
      </c>
      <c r="J15734" s="10" t="inlineStr">
        <is>
          <t>Cơ khí / Ô tô / Tự động hóa, Sản xuất / Vận hành sản xuất, Điện / Điện tử / Điện lạnh / Điện công nghiệp</t>
        </is>
      </c>
      <c r="K15734" s="10" t="inlineStr">
        <is>
          <t>4 - 5 Năm</t>
        </is>
      </c>
      <c r="L15734" s="11">
        <f>HYPERLINK("https://careerviet.vn/vi/tim-viec-lam/ky-thuat-vien-ep-thoi-nhua-san-xuat.35C67FD2.html","Xem chi tiết")</f>
        <v/>
      </c>
      <c r="M15734" s="10" t="n"/>
    </row>
    <row r="15735">
      <c r="B15735" s="7" t="n">
        <v>15733</v>
      </c>
      <c r="C15735" t="inlineStr">
        <is>
          <t>Nhân Viên Kỹ Thuật Bảo Trì (PLC)</t>
        </is>
      </c>
      <c r="D15735" t="inlineStr">
        <is>
          <t>LIXIL Global Manufacturing Vietnam</t>
        </is>
      </c>
      <c r="E15735" t="inlineStr">
        <is>
          <t>Lương:10 Tr - 12 Tr VND</t>
        </is>
      </c>
      <c r="F15735" t="inlineStr">
        <is>
          <t>Đồng Nai</t>
        </is>
      </c>
      <c r="G15735" t="inlineStr">
        <is>
          <t>08-04-2026</t>
        </is>
      </c>
      <c r="H15735" t="inlineStr">
        <is>
          <t>08/04/2026</t>
        </is>
      </c>
      <c r="I15735" t="inlineStr">
        <is>
          <t>17/03/2026</t>
        </is>
      </c>
      <c r="J15735" t="inlineStr">
        <is>
          <t>Cơ khí / Ô tô / Tự động hóa, Điện / Điện tử / Điện lạnh / Điện công nghiệp</t>
        </is>
      </c>
      <c r="K15735" t="inlineStr">
        <is>
          <t>N/A</t>
        </is>
      </c>
      <c r="L15735" s="8">
        <f>HYPERLINK("https://careerviet.vn/vi/tim-viec-lam/nhan-vien-ky-thuat-bao-tri-plc.35C68004.html","Xem chi tiết")</f>
        <v/>
      </c>
    </row>
    <row r="15736">
      <c r="B15736" s="9" t="n">
        <v>15734</v>
      </c>
      <c r="C15736" s="10" t="inlineStr">
        <is>
          <t>Chuyên Viên Kinh Doanh - Ngành Bao Bì Giấy: Ly Giấy, Ống Hút Giấy</t>
        </is>
      </c>
      <c r="D15736" s="10" t="inlineStr">
        <is>
          <t>Công ty Cổ Phần Thảo Mộc Xanh</t>
        </is>
      </c>
      <c r="E15736" s="10" t="inlineStr">
        <is>
          <t>Lương:Cạnh tranh</t>
        </is>
      </c>
      <c r="F15736" s="10" t="inlineStr">
        <is>
          <t>Hồ Chí Minh</t>
        </is>
      </c>
      <c r="G15736" s="10" t="inlineStr">
        <is>
          <t>08-04-2026</t>
        </is>
      </c>
      <c r="H15736" s="10" t="inlineStr">
        <is>
          <t>08/04/2026</t>
        </is>
      </c>
      <c r="I15736" s="10" t="inlineStr">
        <is>
          <t>17/03/2026</t>
        </is>
      </c>
      <c r="J15736" s="10" t="inlineStr">
        <is>
          <t>Tiếp thị / Marketing, Bán hàng / Kinh doanh, Quảng cáo / Đối ngoại / Truyền Thông</t>
        </is>
      </c>
      <c r="K15736" s="10" t="inlineStr">
        <is>
          <t>Trên 1 Năm</t>
        </is>
      </c>
      <c r="L15736" s="11">
        <f>HYPERLINK("https://careerviet.vn/vi/tim-viec-lam/chuyen-vien-kinh-doanh-nganh-bao-bi-giay-ly-giay-ong-hut-giay.35C67FD6.html","Xem chi tiết")</f>
        <v/>
      </c>
      <c r="M15736" s="10" t="n"/>
    </row>
    <row r="15737">
      <c r="B15737" s="7" t="n">
        <v>15735</v>
      </c>
      <c r="C15737" t="inlineStr">
        <is>
          <t>Nhân Viên Bán Hàng Qua Điện Thoại - Telesales</t>
        </is>
      </c>
      <c r="D15737" t="inlineStr">
        <is>
          <t>Công ty TNHH SX-TM-DV Qui Phúc</t>
        </is>
      </c>
      <c r="E15737" t="inlineStr">
        <is>
          <t>Lương:8,5 Tr - 15 Tr VND</t>
        </is>
      </c>
      <c r="F15737" t="inlineStr">
        <is>
          <t>Hồ Chí Minh</t>
        </is>
      </c>
      <c r="G15737" t="inlineStr">
        <is>
          <t>26-03-2026</t>
        </is>
      </c>
      <c r="H15737" t="inlineStr">
        <is>
          <t>26/03/2026</t>
        </is>
      </c>
      <c r="I15737" t="inlineStr">
        <is>
          <t>17/03/2026</t>
        </is>
      </c>
      <c r="J15737" t="inlineStr">
        <is>
          <t>Bán lẻ / Bán sỉ, Bán hàng / Kinh doanh, Tiếp thị / Marketing</t>
        </is>
      </c>
      <c r="K15737" t="inlineStr">
        <is>
          <t>1 - 2 Năm</t>
        </is>
      </c>
      <c r="L15737" s="8">
        <f>HYPERLINK("https://careerviet.vn/vi/tim-viec-lam/nhan-vien-ban-hang-qua-dien-thoai-telesales.35C693E7.html","Xem chi tiết")</f>
        <v/>
      </c>
    </row>
    <row r="15738">
      <c r="B15738" s="9" t="n">
        <v>15736</v>
      </c>
      <c r="C15738" s="10" t="inlineStr">
        <is>
          <t>Chuyên viên kiểm soát nội bộ</t>
        </is>
      </c>
      <c r="D15738" s="10" t="inlineStr">
        <is>
          <t>Tập Đoàn Karofi Holding</t>
        </is>
      </c>
      <c r="E15738" s="10" t="inlineStr">
        <is>
          <t>Lương:Cạnh tranh</t>
        </is>
      </c>
      <c r="F15738" s="10" t="inlineStr">
        <is>
          <t>Hà Nội</t>
        </is>
      </c>
      <c r="G15738" s="10" t="inlineStr">
        <is>
          <t>30-03-2026</t>
        </is>
      </c>
      <c r="H15738" s="10" t="inlineStr">
        <is>
          <t>30/03/2026</t>
        </is>
      </c>
      <c r="I15738" s="10" t="inlineStr">
        <is>
          <t>17/03/2026</t>
        </is>
      </c>
      <c r="J15738" s="10" t="inlineStr">
        <is>
          <t>Bán hàng / Kinh doanh</t>
        </is>
      </c>
      <c r="K15738" s="10" t="inlineStr">
        <is>
          <t>2 - 3 Năm</t>
        </is>
      </c>
      <c r="L15738" s="11">
        <f>HYPERLINK("https://careerviet.vn/vi/tim-viec-lam/chuyen-vien-kiem-soat-noi-bo.35C693CF.html","Xem chi tiết")</f>
        <v/>
      </c>
      <c r="M15738" s="10" t="n"/>
    </row>
    <row r="15739">
      <c r="B15739" s="7" t="n">
        <v>15737</v>
      </c>
      <c r="C15739" t="inlineStr">
        <is>
          <t>KIẾN TRÚC SƯ LANDSCAPE</t>
        </is>
      </c>
      <c r="D15739" t="inlineStr">
        <is>
          <t>TBS Land- Công ty Cổ Phần Đầu Tư Thái Bình</t>
        </is>
      </c>
      <c r="E15739" t="inlineStr">
        <is>
          <t>Lương:Cạnh tranh</t>
        </is>
      </c>
      <c r="F15739" t="inlineStr">
        <is>
          <t>Bình Dương</t>
        </is>
      </c>
      <c r="G15739" t="inlineStr">
        <is>
          <t>24-03-2026</t>
        </is>
      </c>
      <c r="H15739" t="inlineStr">
        <is>
          <t>24/03/2026</t>
        </is>
      </c>
      <c r="I15739" t="inlineStr">
        <is>
          <t>17/03/2026</t>
        </is>
      </c>
      <c r="J15739" t="inlineStr">
        <is>
          <t>Mỹ thuật / Nghệ thuật / Thiết kế, Kiến trúc, Xây dựng</t>
        </is>
      </c>
      <c r="K15739" t="inlineStr">
        <is>
          <t>2 - 5 Năm</t>
        </is>
      </c>
      <c r="L15739" s="8">
        <f>HYPERLINK("https://careerviet.vn/vi/tim-viec-lam/kien-truc-su-landscape.35C69030.html","Xem chi tiết")</f>
        <v/>
      </c>
    </row>
    <row r="15740">
      <c r="B15740" s="9" t="n">
        <v>15738</v>
      </c>
      <c r="C15740" s="10" t="inlineStr">
        <is>
          <t>BẾP TRƯỞNG  - CƠM NIÊU HẢI SƯ</t>
        </is>
      </c>
      <c r="D15740" s="10" t="inlineStr">
        <is>
          <t>Công Ty Cổ Phần Tầm Nhìn Quốc Tế Aladdin</t>
        </is>
      </c>
      <c r="E15740" s="10" t="inlineStr">
        <is>
          <t>Lương:15 Tr - 20 Tr VND</t>
        </is>
      </c>
      <c r="F15740" s="10" t="inlineStr">
        <is>
          <t>Hồ Chí Minh</t>
        </is>
      </c>
      <c r="G15740" s="10" t="inlineStr">
        <is>
          <t>24-03-2026</t>
        </is>
      </c>
      <c r="H15740" s="10" t="inlineStr">
        <is>
          <t>24/03/2026</t>
        </is>
      </c>
      <c r="I15740" s="10" t="inlineStr">
        <is>
          <t>17/03/2026</t>
        </is>
      </c>
      <c r="J15740" s="10" t="inlineStr">
        <is>
          <t>Thực phẩm &amp; Đồ uống, Nhà hàng / Khách sạn, Quản lý điều hành</t>
        </is>
      </c>
      <c r="K15740" s="10" t="inlineStr">
        <is>
          <t>2 - 4 Năm</t>
        </is>
      </c>
      <c r="L15740" s="11">
        <f>HYPERLINK("https://careerviet.vn/vi/tim-viec-lam/bep-truong-com-nieu-hai-su.35C68FF7.html","Xem chi tiết")</f>
        <v/>
      </c>
      <c r="M15740" s="10" t="n"/>
    </row>
    <row r="15741">
      <c r="B15741" s="7" t="n">
        <v>15739</v>
      </c>
      <c r="C15741" t="inlineStr">
        <is>
          <t>FACILITIES SUPERVISOR (ENGINEER)</t>
        </is>
      </c>
      <c r="D15741" t="inlineStr">
        <is>
          <t>CÔNG TY TNHH CRYSTAL ELEGANCE TEXTILES VIỆT NAM</t>
        </is>
      </c>
      <c r="E15741" t="inlineStr">
        <is>
          <t>Lương:Cạnh tranh</t>
        </is>
      </c>
      <c r="F15741" t="inlineStr">
        <is>
          <t>Bình Dương</t>
        </is>
      </c>
      <c r="G15741" t="inlineStr">
        <is>
          <t>31-03-2026</t>
        </is>
      </c>
      <c r="H15741" t="inlineStr">
        <is>
          <t>31/03/2026</t>
        </is>
      </c>
      <c r="I15741" t="inlineStr">
        <is>
          <t>17/03/2026</t>
        </is>
      </c>
      <c r="J15741" t="inlineStr">
        <is>
          <t>Cơ khí / Ô tô / Tự động hóa, Điện / Điện tử / Điện lạnh / Điện công nghiệp, Xây dựng</t>
        </is>
      </c>
      <c r="K15741" t="inlineStr">
        <is>
          <t>4 - 5 Năm</t>
        </is>
      </c>
      <c r="L15741" s="8">
        <f>HYPERLINK("https://careerviet.vn/vi/tim-viec-lam/facilities-supervisor-engineer.35C68FBA.html","Xem chi tiết")</f>
        <v/>
      </c>
    </row>
    <row r="15742">
      <c r="B15742" s="9" t="n">
        <v>15740</v>
      </c>
      <c r="C15742" s="10" t="inlineStr">
        <is>
          <t>KỸ SƯ KẾT CẤU CAO CẤP</t>
        </is>
      </c>
      <c r="D15742" s="10" t="inlineStr">
        <is>
          <t>HR Vietnam’s ESS Client</t>
        </is>
      </c>
      <c r="E15742" s="10" t="inlineStr">
        <is>
          <t>Lương:Cạnh tranh</t>
        </is>
      </c>
      <c r="F15742" s="10" t="inlineStr">
        <is>
          <t>Nam ĐịnhNinh Bình</t>
        </is>
      </c>
      <c r="G15742" s="10" t="inlineStr">
        <is>
          <t>26-03-2026</t>
        </is>
      </c>
      <c r="H15742" s="10" t="inlineStr">
        <is>
          <t>26/03/2026</t>
        </is>
      </c>
      <c r="I15742" s="10" t="inlineStr">
        <is>
          <t>17/03/2026</t>
        </is>
      </c>
      <c r="J15742" s="10" t="inlineStr">
        <is>
          <t>Xây dựng</t>
        </is>
      </c>
      <c r="K15742" s="10" t="inlineStr">
        <is>
          <t>5 - 6 Năm</t>
        </is>
      </c>
      <c r="L15742" s="11">
        <f>HYPERLINK("https://careerviet.vn/vi/tim-viec-lam/ky-su-ket-cau-cao-cap.35C6909B.html","Xem chi tiết")</f>
        <v/>
      </c>
      <c r="M15742" s="10" t="n"/>
    </row>
    <row r="15743">
      <c r="B15743" s="7" t="n">
        <v>15741</v>
      </c>
      <c r="C15743" t="inlineStr">
        <is>
          <t>Nhân viên bán hàng online</t>
        </is>
      </c>
      <c r="D15743" t="inlineStr">
        <is>
          <t>CT CP Tập Đoàn Thái Tuấn</t>
        </is>
      </c>
      <c r="E15743" t="inlineStr">
        <is>
          <t>Lương:Cạnh tranh</t>
        </is>
      </c>
      <c r="F15743" t="inlineStr">
        <is>
          <t>Hồ Chí Minh</t>
        </is>
      </c>
      <c r="G15743" t="inlineStr">
        <is>
          <t>6</t>
        </is>
      </c>
      <c r="H15743" t="inlineStr">
        <is>
          <t>23/03/2026</t>
        </is>
      </c>
      <c r="I15743" t="inlineStr">
        <is>
          <t>17/03/2026</t>
        </is>
      </c>
      <c r="J15743" t="inlineStr">
        <is>
          <t>Bán hàng / Kinh doanh</t>
        </is>
      </c>
      <c r="K15743" t="inlineStr">
        <is>
          <t>Trên 1 Năm</t>
        </is>
      </c>
      <c r="L15743" s="8">
        <f>HYPERLINK("https://careerviet.vn/vi/tim-viec-lam/nhan-vien-ban-hang-online.35C692D0.html","Xem chi tiết")</f>
        <v/>
      </c>
    </row>
    <row r="15744">
      <c r="B15744" s="9" t="n">
        <v>15742</v>
      </c>
      <c r="C15744" s="10" t="inlineStr">
        <is>
          <t>Buyer Specialist (Chuyên viên ngành hàng)</t>
        </is>
      </c>
      <c r="D15744" s="10" t="inlineStr">
        <is>
          <t>CÔNG TY TNHH SOCIAL BELLA VIỆT NAM</t>
        </is>
      </c>
      <c r="E15744" s="10" t="inlineStr">
        <is>
          <t>Lương:Cạnh tranh</t>
        </is>
      </c>
      <c r="F15744" s="10" t="inlineStr">
        <is>
          <t>Hồ Chí Minh</t>
        </is>
      </c>
      <c r="G15744" s="10" t="inlineStr">
        <is>
          <t>6</t>
        </is>
      </c>
      <c r="H15744" s="10" t="inlineStr">
        <is>
          <t>23/03/2026</t>
        </is>
      </c>
      <c r="I15744" s="10" t="inlineStr">
        <is>
          <t>17/03/2026</t>
        </is>
      </c>
      <c r="J15744" s="10" t="inlineStr">
        <is>
          <t>Tiếp thị / Marketing, Bán lẻ / Bán sỉ, Tiếp thị trực tuyến</t>
        </is>
      </c>
      <c r="K15744" s="10" t="inlineStr">
        <is>
          <t>Trên 3 Năm</t>
        </is>
      </c>
      <c r="L15744" s="11">
        <f>HYPERLINK("https://careerviet.vn/vi/tim-viec-lam/buyer-specialist-chuyen-vien-nganh-hang.35C692FD.html","Xem chi tiết")</f>
        <v/>
      </c>
      <c r="M15744" s="10" t="n"/>
    </row>
    <row r="15745">
      <c r="B15745" s="7" t="n">
        <v>15743</v>
      </c>
      <c r="C15745" t="inlineStr">
        <is>
          <t>Production Assistant Manager</t>
        </is>
      </c>
      <c r="D15745" t="inlineStr">
        <is>
          <t>CÔNG TY TNHH MILLENNIUM FURNITURE</t>
        </is>
      </c>
      <c r="E15745" t="inlineStr">
        <is>
          <t>Lương:Cạnh tranh</t>
        </is>
      </c>
      <c r="F15745" t="inlineStr">
        <is>
          <t>Quảng Ngãi</t>
        </is>
      </c>
      <c r="G15745" t="inlineStr">
        <is>
          <t>26-03-2026</t>
        </is>
      </c>
      <c r="H15745" t="inlineStr">
        <is>
          <t>26/03/2026</t>
        </is>
      </c>
      <c r="I15745" t="inlineStr">
        <is>
          <t>17/03/2026</t>
        </is>
      </c>
      <c r="J15745" t="inlineStr">
        <is>
          <t>Quản lý điều hành</t>
        </is>
      </c>
      <c r="K15745" t="inlineStr">
        <is>
          <t>Trên 10 Năm</t>
        </is>
      </c>
      <c r="L15745" s="8">
        <f>HYPERLINK("https://careerviet.vn/vi/tim-viec-lam/production-assistant-manager.35C69263.html","Xem chi tiết")</f>
        <v/>
      </c>
    </row>
    <row r="15746">
      <c r="B15746" s="9" t="n">
        <v>15744</v>
      </c>
      <c r="C15746" s="10" t="inlineStr">
        <is>
          <t>Nhân viên Khai thác Bất động sản Kho</t>
        </is>
      </c>
      <c r="D15746" s="10" t="inlineStr">
        <is>
          <t>CÔNG TY CỔ PHẦN SEAREFICO</t>
        </is>
      </c>
      <c r="E15746" s="10" t="inlineStr">
        <is>
          <t>Lương:Cạnh tranh</t>
        </is>
      </c>
      <c r="F15746" s="10" t="inlineStr">
        <is>
          <t>Đà Nẵng</t>
        </is>
      </c>
      <c r="G15746" s="10" t="inlineStr">
        <is>
          <t>26-03-2026</t>
        </is>
      </c>
      <c r="H15746" s="10" t="inlineStr">
        <is>
          <t>26/03/2026</t>
        </is>
      </c>
      <c r="I15746" s="10" t="inlineStr">
        <is>
          <t>17/03/2026</t>
        </is>
      </c>
      <c r="J15746" s="10" t="inlineStr">
        <is>
          <t>Dịch vụ khách hàng, Bất động sản, Bán hàng / Kinh doanh</t>
        </is>
      </c>
      <c r="K15746" s="10" t="inlineStr">
        <is>
          <t>Trên 1 Năm</t>
        </is>
      </c>
      <c r="L15746" s="11">
        <f>HYPERLINK("https://careerviet.vn/vi/tim-viec-lam/nhan-vien-khai-thac-bat-dong-san-kho.35C69146.html","Xem chi tiết")</f>
        <v/>
      </c>
      <c r="M15746" s="10" t="n"/>
    </row>
    <row r="15747">
      <c r="B15747" s="7" t="n">
        <v>15745</v>
      </c>
      <c r="C15747" t="inlineStr">
        <is>
          <t>[Sapa] Chuyên viên An toàn lao động, môi trường - Alphanam Group</t>
        </is>
      </c>
      <c r="D15747" t="inlineStr">
        <is>
          <t>Alphanam Group</t>
        </is>
      </c>
      <c r="E15747" t="inlineStr">
        <is>
          <t>Lương:Cạnh tranh</t>
        </is>
      </c>
      <c r="F15747" t="inlineStr">
        <is>
          <t>Lào Cai</t>
        </is>
      </c>
      <c r="G15747" t="inlineStr">
        <is>
          <t>26-03-2026</t>
        </is>
      </c>
      <c r="H15747" t="inlineStr">
        <is>
          <t>26/03/2026</t>
        </is>
      </c>
      <c r="I15747" t="inlineStr">
        <is>
          <t>17/03/2026</t>
        </is>
      </c>
      <c r="J15747" t="inlineStr">
        <is>
          <t>Xây dựng, Bất động sản, An toàn lao động</t>
        </is>
      </c>
      <c r="K15747" t="inlineStr">
        <is>
          <t>2 - 5 Năm</t>
        </is>
      </c>
      <c r="L15747" s="8">
        <f>HYPERLINK("https://careerviet.vn/vi/tim-viec-lam/sapa-chuyen-vien-an-toan-lao-dong-moi-truong-alphanam-group.35C69059.html","Xem chi tiết")</f>
        <v/>
      </c>
    </row>
    <row r="15748">
      <c r="B15748" s="9" t="n">
        <v>15746</v>
      </c>
      <c r="C15748" s="10" t="inlineStr">
        <is>
          <t>CHUYÊN VIÊN KINH DOANH_HỒ CHÍ MINH</t>
        </is>
      </c>
      <c r="D15748" s="10" t="inlineStr">
        <is>
          <t>CÔNG TY TNHH CESCO VIỆT NAM</t>
        </is>
      </c>
      <c r="E15748" s="10" t="inlineStr">
        <is>
          <t>Lương:7,8 Tr - 12 Tr VND</t>
        </is>
      </c>
      <c r="F15748" s="10" t="inlineStr">
        <is>
          <t>Hồ Chí Minh</t>
        </is>
      </c>
      <c r="G15748" s="10" t="inlineStr">
        <is>
          <t>31-03-2026</t>
        </is>
      </c>
      <c r="H15748" s="10" t="inlineStr">
        <is>
          <t>31/03/2026</t>
        </is>
      </c>
      <c r="I15748" s="10" t="inlineStr">
        <is>
          <t>17/03/2026</t>
        </is>
      </c>
      <c r="J15748" s="10" t="inlineStr">
        <is>
          <t>Bán hàng / Kinh doanh, Bán Hàng Kỹ Thuật, Tư vấn</t>
        </is>
      </c>
      <c r="K15748" s="10" t="inlineStr">
        <is>
          <t>1 - 3 Năm</t>
        </is>
      </c>
      <c r="L15748" s="11">
        <f>HYPERLINK("https://careerviet.vn/vi/tim-viec-lam/chuyen-vien-kinh-doanh_ho-chi-minh.35C690D5.html","Xem chi tiết")</f>
        <v/>
      </c>
      <c r="M15748" s="10" t="n"/>
    </row>
    <row r="15749">
      <c r="B15749" s="7" t="n">
        <v>15747</v>
      </c>
      <c r="C15749" t="inlineStr">
        <is>
          <t>Technical Training Manager</t>
        </is>
      </c>
      <c r="D15749" t="inlineStr">
        <is>
          <t>CÔNG TY TNHH MILLENNIUM FURNITURE</t>
        </is>
      </c>
      <c r="E15749" t="inlineStr">
        <is>
          <t>Lương:Cạnh tranh</t>
        </is>
      </c>
      <c r="F15749" t="inlineStr">
        <is>
          <t>Quảng Ngãi</t>
        </is>
      </c>
      <c r="G15749" t="inlineStr">
        <is>
          <t>09-03-2026</t>
        </is>
      </c>
      <c r="H15749" t="inlineStr">
        <is>
          <t>30/12/2025</t>
        </is>
      </c>
      <c r="I15749" t="inlineStr">
        <is>
          <t>17/03/2026</t>
        </is>
      </c>
      <c r="J15749" t="inlineStr">
        <is>
          <t>Giáo dục / Đào tạo, Quản lý điều hành</t>
        </is>
      </c>
      <c r="K15749" t="inlineStr">
        <is>
          <t>Trên 2 Năm</t>
        </is>
      </c>
      <c r="L15749" s="8">
        <f>HYPERLINK("https://careerviet.vn/vi/tim-viec-lam/technical-training-manager.35C61266.html","Xem chi tiết")</f>
        <v/>
      </c>
    </row>
    <row r="15750">
      <c r="B15750" s="9" t="n">
        <v>15748</v>
      </c>
      <c r="C15750" s="10" t="inlineStr">
        <is>
          <t>Nhân viên content marketing</t>
        </is>
      </c>
      <c r="D15750" s="10" t="inlineStr">
        <is>
          <t>CÔNG TY CỔ PHẦN DƯỢC PHẨM REVO</t>
        </is>
      </c>
      <c r="E15750" s="10" t="inlineStr">
        <is>
          <t>Lương:12 Tr - 15 Tr VND</t>
        </is>
      </c>
      <c r="F15750" s="10" t="inlineStr">
        <is>
          <t>Hà Nội</t>
        </is>
      </c>
      <c r="G15750" s="10" t="inlineStr">
        <is>
          <t>31-03-2026</t>
        </is>
      </c>
      <c r="H15750" s="10" t="inlineStr">
        <is>
          <t>31/03/2026</t>
        </is>
      </c>
      <c r="I15750" s="10" t="inlineStr">
        <is>
          <t>17/03/2026</t>
        </is>
      </c>
      <c r="J15750" s="10" t="inlineStr">
        <is>
          <t>Tiếp thị / Marketing, Truyền hình / Báo chí / Biên tập, Quảng cáo / Đối ngoại / Truyền Thông</t>
        </is>
      </c>
      <c r="K15750" s="10" t="inlineStr">
        <is>
          <t>Trên 1 Năm</t>
        </is>
      </c>
      <c r="L15750" s="11">
        <f>HYPERLINK("https://careerviet.vn/vi/tim-viec-lam/nhan-vien-content-marketing.35C691C2.html","Xem chi tiết")</f>
        <v/>
      </c>
      <c r="M15750" s="10" t="n"/>
    </row>
    <row r="15751">
      <c r="B15751" s="7" t="n">
        <v>15749</v>
      </c>
      <c r="C15751" t="inlineStr">
        <is>
          <t>HUBSPOT LEAD  (CRM / RevOps / CSKH / Marketing Automation) – Multi-Brand</t>
        </is>
      </c>
      <c r="D15751" t="inlineStr">
        <is>
          <t>Công ty TNHH TOM Group Việt Nam</t>
        </is>
      </c>
      <c r="E15751" t="inlineStr">
        <is>
          <t>Lương:Cạnh tranh</t>
        </is>
      </c>
      <c r="F15751" t="inlineStr">
        <is>
          <t>Hồ Chí Minh</t>
        </is>
      </c>
      <c r="G15751" t="inlineStr">
        <is>
          <t>24-03-2026</t>
        </is>
      </c>
      <c r="H15751" t="inlineStr">
        <is>
          <t>24/03/2026</t>
        </is>
      </c>
      <c r="I15751" t="inlineStr">
        <is>
          <t>17/03/2026</t>
        </is>
      </c>
      <c r="J15751" t="inlineStr">
        <is>
          <t>Tiếp thị / Marketing, Bán hàng / Kinh doanh, Bán Hàng Kỹ Thuật</t>
        </is>
      </c>
      <c r="K15751" t="inlineStr">
        <is>
          <t>3 - 5 Năm</t>
        </is>
      </c>
      <c r="L15751" s="8">
        <f>HYPERLINK("https://careerviet.vn/vi/tim-viec-lam/hubspot-lead-crm-revops-cskh-marketing-automation-multi-brand.35C69180.html","Xem chi tiết")</f>
        <v/>
      </c>
    </row>
    <row r="15752">
      <c r="B15752" s="9" t="n">
        <v>15750</v>
      </c>
      <c r="C15752" s="10" t="inlineStr">
        <is>
          <t>Trợ lý vận hành Pickleball (Full time)</t>
        </is>
      </c>
      <c r="D15752" s="10" t="inlineStr">
        <is>
          <t>Xuân Cầu Holdings</t>
        </is>
      </c>
      <c r="E15752" s="10" t="inlineStr">
        <is>
          <t>Lương:Cạnh tranh</t>
        </is>
      </c>
      <c r="F15752" s="10" t="inlineStr">
        <is>
          <t>Hà Nội</t>
        </is>
      </c>
      <c r="G15752" s="10" t="inlineStr">
        <is>
          <t>5</t>
        </is>
      </c>
      <c r="H15752" s="10" t="inlineStr">
        <is>
          <t>22/03/2026</t>
        </is>
      </c>
      <c r="I15752" s="10" t="inlineStr">
        <is>
          <t>17/03/2026</t>
        </is>
      </c>
      <c r="J15752" s="10" t="inlineStr">
        <is>
          <t>Hành chính / Thư ký, Giải trí, Tổ chức sự kiện</t>
        </is>
      </c>
      <c r="K15752" s="10" t="inlineStr">
        <is>
          <t>Lên đến 1 Năm</t>
        </is>
      </c>
      <c r="L15752" s="11">
        <f>HYPERLINK("https://careerviet.vn/vi/tim-viec-lam/tro-ly-van-hanh-pickleball-full-time.35C69264.html","Xem chi tiết")</f>
        <v/>
      </c>
      <c r="M15752" s="10" t="n"/>
    </row>
    <row r="15753">
      <c r="B15753" s="7" t="n">
        <v>15751</v>
      </c>
      <c r="C15753" t="inlineStr">
        <is>
          <t>Kế toán Nữ</t>
        </is>
      </c>
      <c r="D15753" t="inlineStr">
        <is>
          <t>CÔNG TY TRÁCH NHIỆM HỮU HẠN THÉP QSB</t>
        </is>
      </c>
      <c r="E15753" t="inlineStr">
        <is>
          <t>Lương:8 Tr - 15 Tr VND</t>
        </is>
      </c>
      <c r="F15753" t="inlineStr">
        <is>
          <t>Hồ Chí Minh</t>
        </is>
      </c>
      <c r="G15753" t="inlineStr">
        <is>
          <t>31-03-2026</t>
        </is>
      </c>
      <c r="H15753" t="inlineStr">
        <is>
          <t>31/03/2026</t>
        </is>
      </c>
      <c r="I15753" t="inlineStr">
        <is>
          <t>17/03/2026</t>
        </is>
      </c>
      <c r="J15753" t="inlineStr">
        <is>
          <t>Kế toán / Kiểm toán, Ngân hàng, Tài chính / Đầu tư</t>
        </is>
      </c>
      <c r="K15753" t="inlineStr">
        <is>
          <t>Lên đến 5 Năm</t>
        </is>
      </c>
      <c r="L15753" s="8">
        <f>HYPERLINK("https://careerviet.vn/vi/tim-viec-lam/ke-toan-nu.35C4E82F.html","Xem chi tiết")</f>
        <v/>
      </c>
    </row>
    <row r="15754">
      <c r="B15754" s="9" t="n">
        <v>15752</v>
      </c>
      <c r="C15754" s="10" t="inlineStr">
        <is>
          <t>TRƯỞNG PHÒNG TÀI CHÍNH</t>
        </is>
      </c>
      <c r="D15754" s="10" t="inlineStr">
        <is>
          <t>Công ty cổ phần sản xuất và xuất khẩu Quế hồi Việt Nam</t>
        </is>
      </c>
      <c r="E15754" s="10" t="inlineStr">
        <is>
          <t>Lương:25 Tr - 40 Tr VND</t>
        </is>
      </c>
      <c r="F15754" s="10" t="inlineStr">
        <is>
          <t>Hà Nội</t>
        </is>
      </c>
      <c r="G15754" s="10" t="inlineStr">
        <is>
          <t>31-03-2026</t>
        </is>
      </c>
      <c r="H15754" s="10" t="inlineStr">
        <is>
          <t>31/03/2026</t>
        </is>
      </c>
      <c r="I15754" s="10" t="inlineStr">
        <is>
          <t>17/03/2026</t>
        </is>
      </c>
      <c r="J15754" s="10" t="inlineStr">
        <is>
          <t>Nông nghiệp, Tài chính / Đầu tư, Kế toán / Kiểm toán</t>
        </is>
      </c>
      <c r="K15754" s="10" t="inlineStr">
        <is>
          <t>3 - 5 Năm</t>
        </is>
      </c>
      <c r="L15754" s="11">
        <f>HYPERLINK("https://careerviet.vn/vi/tim-viec-lam/truong-phong-tai-chinh.35C69330.html","Xem chi tiết")</f>
        <v/>
      </c>
      <c r="M15754" s="10" t="n"/>
    </row>
    <row r="15755">
      <c r="B15755" s="7" t="n">
        <v>15753</v>
      </c>
      <c r="C15755" t="inlineStr">
        <is>
          <t>Chuyên viên Kế toán hệ thống - Trụ sở chính VBI (Hà Nội)</t>
        </is>
      </c>
      <c r="D15755" t="inlineStr">
        <is>
          <t>Tổng Công Ty Cổ Phần Bảo Hiểm Ngân Hàng TMCP Công Thương Việt Nam</t>
        </is>
      </c>
      <c r="E15755" t="inlineStr">
        <is>
          <t>Lương:Cạnh tranh</t>
        </is>
      </c>
      <c r="F15755" t="inlineStr">
        <is>
          <t>Hà Nội</t>
        </is>
      </c>
      <c r="G15755" t="inlineStr">
        <is>
          <t>26-03-2026</t>
        </is>
      </c>
      <c r="H15755" t="inlineStr">
        <is>
          <t>26/03/2026</t>
        </is>
      </c>
      <c r="I15755" t="inlineStr">
        <is>
          <t>17/03/2026</t>
        </is>
      </c>
      <c r="J15755" t="inlineStr">
        <is>
          <t>Kế toán / Kiểm toán, Ngân hàng, Bảo hiểm</t>
        </is>
      </c>
      <c r="K15755" t="inlineStr">
        <is>
          <t>1 - 5 Năm</t>
        </is>
      </c>
      <c r="L15755" s="8">
        <f>HYPERLINK("https://careerviet.vn/vi/tim-viec-lam/chuyen-vien-ke-toan-he-thong-tru-so-chinh-vbi-ha-noi.35C693E9.html","Xem chi tiết")</f>
        <v/>
      </c>
    </row>
    <row r="15756">
      <c r="B15756" s="9" t="n">
        <v>15754</v>
      </c>
      <c r="C15756" s="10" t="inlineStr">
        <is>
          <t>Kỹ sư Hiện trường (Hải Phòng)</t>
        </is>
      </c>
      <c r="D15756" s="10" t="inlineStr">
        <is>
          <t>CÔNG TY CỔ PHẦN XÂY DỰNG VILAI VIỆT</t>
        </is>
      </c>
      <c r="E15756" s="10" t="inlineStr">
        <is>
          <t>Lương:15 Tr - 25 Tr VND</t>
        </is>
      </c>
      <c r="F15756" s="10" t="inlineStr">
        <is>
          <t>Hải Phòng</t>
        </is>
      </c>
      <c r="G15756" s="10" t="inlineStr">
        <is>
          <t>31-03-2026</t>
        </is>
      </c>
      <c r="H15756" s="10" t="inlineStr">
        <is>
          <t>31/03/2026</t>
        </is>
      </c>
      <c r="I15756" s="10" t="inlineStr">
        <is>
          <t>17/03/2026</t>
        </is>
      </c>
      <c r="J15756" s="10" t="inlineStr">
        <is>
          <t>Xây dựng, Kiến trúc</t>
        </is>
      </c>
      <c r="K15756" s="10" t="inlineStr">
        <is>
          <t>2 - 5 Năm</t>
        </is>
      </c>
      <c r="L15756" s="11">
        <f>HYPERLINK("https://careerviet.vn/vi/tim-viec-lam/ky-su-hien-truong-hai-phong.35C69046.html","Xem chi tiết")</f>
        <v/>
      </c>
      <c r="M15756" s="10" t="n"/>
    </row>
    <row r="15757">
      <c r="B15757" s="7" t="n">
        <v>15755</v>
      </c>
      <c r="C15757" t="inlineStr">
        <is>
          <t>Phó Phòng Thiết Kế</t>
        </is>
      </c>
      <c r="D15757" t="inlineStr">
        <is>
          <t>CÔNG TY CỔ PHẦN TƯ VẤN THIẾT KẾ &amp; XÂY DỰNG NAM TRUNG</t>
        </is>
      </c>
      <c r="E15757" t="inlineStr">
        <is>
          <t>Lương:Trên 35 Tr VND</t>
        </is>
      </c>
      <c r="F15757" t="inlineStr">
        <is>
          <t>Bà Rịa - Vũng Tàu</t>
        </is>
      </c>
      <c r="G15757" t="inlineStr">
        <is>
          <t>24-03-2026</t>
        </is>
      </c>
      <c r="H15757" t="inlineStr">
        <is>
          <t>24/03/2026</t>
        </is>
      </c>
      <c r="I15757" t="inlineStr">
        <is>
          <t>17/03/2026</t>
        </is>
      </c>
      <c r="J15757" t="inlineStr">
        <is>
          <t>Xây dựng, Kiến trúc</t>
        </is>
      </c>
      <c r="K15757" t="inlineStr">
        <is>
          <t>Trên 4 Năm</t>
        </is>
      </c>
      <c r="L15757" s="8">
        <f>HYPERLINK("https://careerviet.vn/vi/tim-viec-lam/pho-phong-thiet-ke.35C69282.html","Xem chi tiết")</f>
        <v/>
      </c>
    </row>
    <row r="15758">
      <c r="B15758" s="9" t="n">
        <v>15756</v>
      </c>
      <c r="C15758" s="10" t="inlineStr">
        <is>
          <t>Inventory Accounting Senior Executive</t>
        </is>
      </c>
      <c r="D15758" s="10" t="inlineStr">
        <is>
          <t>Công ty TNHH GS25 Vietnam</t>
        </is>
      </c>
      <c r="E15758" s="10" t="inlineStr">
        <is>
          <t>Lương:Cạnh tranh</t>
        </is>
      </c>
      <c r="F15758" s="10" t="inlineStr">
        <is>
          <t>Hồ Chí Minh</t>
        </is>
      </c>
      <c r="G15758" s="10" t="inlineStr">
        <is>
          <t>31-03-2026</t>
        </is>
      </c>
      <c r="H15758" s="10" t="inlineStr">
        <is>
          <t>31/03/2026</t>
        </is>
      </c>
      <c r="I15758" s="10" t="inlineStr">
        <is>
          <t>17/03/2026</t>
        </is>
      </c>
      <c r="J15758" s="10" t="inlineStr">
        <is>
          <t>Kế toán / Kiểm toán, Tài chính / Đầu tư, Vận chuyển / Giao nhận / Kho vận</t>
        </is>
      </c>
      <c r="K15758" s="10" t="inlineStr">
        <is>
          <t>3 - 5 Năm</t>
        </is>
      </c>
      <c r="L15758" s="11">
        <f>HYPERLINK("https://careerviet.vn/vi/tim-viec-lam/inventory-accounting-senior-executive.35C693D7.html","Xem chi tiết")</f>
        <v/>
      </c>
      <c r="M15758" s="10" t="n"/>
    </row>
    <row r="15759">
      <c r="B15759" s="7" t="n">
        <v>15757</v>
      </c>
      <c r="C15759" t="inlineStr">
        <is>
          <t>[Hà Nội] Chuyên viên Tổng đài chăm sóc khách hàng 24/7</t>
        </is>
      </c>
      <c r="D15759" t="inlineStr">
        <is>
          <t>Ngân hàng TMCP Lộc Phát Việt Nam (LPBank)</t>
        </is>
      </c>
      <c r="E15759" t="inlineStr">
        <is>
          <t>Lương:Cạnh tranh</t>
        </is>
      </c>
      <c r="F15759" t="inlineStr">
        <is>
          <t>Hà Nội</t>
        </is>
      </c>
      <c r="G15759" t="inlineStr">
        <is>
          <t>26-03-2026</t>
        </is>
      </c>
      <c r="H15759" t="inlineStr">
        <is>
          <t>26/03/2026</t>
        </is>
      </c>
      <c r="I15759" t="inlineStr">
        <is>
          <t>17/03/2026</t>
        </is>
      </c>
      <c r="J15759" t="inlineStr">
        <is>
          <t>Dịch vụ khách hàng, Ngân hàng</t>
        </is>
      </c>
      <c r="K15759" t="inlineStr">
        <is>
          <t>Trên 3 Năm</t>
        </is>
      </c>
      <c r="L15759" s="8">
        <f>HYPERLINK("https://careerviet.vn/vi/tim-viec-lam/ha-noi-chuyen-vien-tong-dai-cham-soc-khach-hang-24-7.35C692CE.html","Xem chi tiết")</f>
        <v/>
      </c>
    </row>
    <row r="15760">
      <c r="B15760" s="9" t="n">
        <v>15758</v>
      </c>
      <c r="C15760" s="10" t="inlineStr">
        <is>
          <t>Kỹ Sư Giám Sát Xây Dựng</t>
        </is>
      </c>
      <c r="D15760" s="10" t="inlineStr">
        <is>
          <t>Công Ty Cổ Phần Tập Đoàn Đầu Tư Địa Ốc No Va</t>
        </is>
      </c>
      <c r="E15760" s="10" t="inlineStr">
        <is>
          <t>Lương:Cạnh tranh</t>
        </is>
      </c>
      <c r="F15760" s="10" t="inlineStr">
        <is>
          <t>Khánh Hòa</t>
        </is>
      </c>
      <c r="G15760" s="10" t="inlineStr">
        <is>
          <t>31-03-2026</t>
        </is>
      </c>
      <c r="H15760" s="10" t="inlineStr">
        <is>
          <t>31/03/2026</t>
        </is>
      </c>
      <c r="I15760" s="10" t="inlineStr">
        <is>
          <t>17/03/2026</t>
        </is>
      </c>
      <c r="J15760" s="10" t="inlineStr">
        <is>
          <t>Bất động sản</t>
        </is>
      </c>
      <c r="K15760" s="10" t="inlineStr">
        <is>
          <t>8 - 15 Năm</t>
        </is>
      </c>
      <c r="L15760" s="11">
        <f>HYPERLINK("https://careerviet.vn/vi/tim-viec-lam/ky-su-giam-sat-xay-dung.35C693F4.html","Xem chi tiết")</f>
        <v/>
      </c>
      <c r="M15760" s="10" t="n"/>
    </row>
    <row r="15761">
      <c r="B15761" s="7" t="n">
        <v>15759</v>
      </c>
      <c r="C15761" t="inlineStr">
        <is>
          <t>Nhân viên triển khai sự kiện</t>
        </is>
      </c>
      <c r="D15761" t="inlineStr">
        <is>
          <t>HEXAGON - CÔNG TY CỔ PHẦN THIẾT KẾ LỤC GIÁC</t>
        </is>
      </c>
      <c r="E15761" t="inlineStr">
        <is>
          <t>Lương:Cạnh tranh</t>
        </is>
      </c>
      <c r="F15761" t="inlineStr">
        <is>
          <t>Hà Nội</t>
        </is>
      </c>
      <c r="G15761" t="inlineStr">
        <is>
          <t>28-03-2026</t>
        </is>
      </c>
      <c r="H15761" t="inlineStr">
        <is>
          <t>28/03/2026</t>
        </is>
      </c>
      <c r="I15761" t="inlineStr">
        <is>
          <t>17/03/2026</t>
        </is>
      </c>
      <c r="J15761" t="inlineStr">
        <is>
          <t>Tổ chức sự kiện</t>
        </is>
      </c>
      <c r="K15761" t="inlineStr">
        <is>
          <t>2 - 3 Năm</t>
        </is>
      </c>
      <c r="L15761" s="8">
        <f>HYPERLINK("https://careerviet.vn/vi/tim-viec-lam/nhan-vien-trien-khai-su-kien.35C6940D.html","Xem chi tiết")</f>
        <v/>
      </c>
    </row>
    <row r="15762">
      <c r="B15762" s="9" t="n">
        <v>15760</v>
      </c>
      <c r="C15762" s="10" t="inlineStr">
        <is>
          <t>Nhân viên Hành chính Tổng vụ (Visa &amp; Lao động người nước ngoài) - Tiếng Trung</t>
        </is>
      </c>
      <c r="D15762" s="10" t="inlineStr">
        <is>
          <t>CÔNG TY TNHH ELECTRONIC TRIPOD VIỆT NAM (CHÂU ĐỨC)</t>
        </is>
      </c>
      <c r="E15762" s="10" t="inlineStr">
        <is>
          <t>Lương:Cạnh tranh</t>
        </is>
      </c>
      <c r="F15762" s="10" t="inlineStr">
        <is>
          <t>Bà Rịa - Vũng Tàu</t>
        </is>
      </c>
      <c r="G15762" s="10" t="inlineStr">
        <is>
          <t>24-03-2026</t>
        </is>
      </c>
      <c r="H15762" s="10" t="inlineStr">
        <is>
          <t>24/03/2026</t>
        </is>
      </c>
      <c r="I15762" s="10" t="inlineStr">
        <is>
          <t>17/03/2026</t>
        </is>
      </c>
      <c r="J15762" s="10" t="inlineStr">
        <is>
          <t>Hành chính / Thư ký, Nhân sự, Quản lý điều hành</t>
        </is>
      </c>
      <c r="K15762" s="10" t="inlineStr">
        <is>
          <t>N/A</t>
        </is>
      </c>
      <c r="L15762" s="11">
        <f>HYPERLINK("https://careerviet.vn/vi/tim-viec-lam/nhan-vien-hanh-chinh-tong-vu-visa-lao-dong-nguoi-nuoc-ngoai-tieng-trung.35C69186.html","Xem chi tiết")</f>
        <v/>
      </c>
      <c r="M15762" s="10" t="n"/>
    </row>
    <row r="15763">
      <c r="B15763" s="7" t="n">
        <v>15761</v>
      </c>
      <c r="C15763" t="inlineStr">
        <is>
          <t>Kế Toán Thuế</t>
        </is>
      </c>
      <c r="D15763" t="inlineStr">
        <is>
          <t>PRECIOUS PRESTIGE TRADING AND LOGISTICS</t>
        </is>
      </c>
      <c r="E15763" t="inlineStr">
        <is>
          <t>Lương:Cạnh tranh</t>
        </is>
      </c>
      <c r="F15763" t="inlineStr">
        <is>
          <t>Hồ Chí Minh</t>
        </is>
      </c>
      <c r="G15763" t="inlineStr">
        <is>
          <t>30-03-2026</t>
        </is>
      </c>
      <c r="H15763" t="inlineStr">
        <is>
          <t>30/03/2026</t>
        </is>
      </c>
      <c r="I15763" t="inlineStr">
        <is>
          <t>17/03/2026</t>
        </is>
      </c>
      <c r="J15763" t="inlineStr">
        <is>
          <t>Kế toán / Kiểm toán, Tài chính / Đầu tư, Luật / Pháp lý</t>
        </is>
      </c>
      <c r="K15763" t="inlineStr">
        <is>
          <t>N/A</t>
        </is>
      </c>
      <c r="L15763" s="8">
        <f>HYPERLINK("https://careerviet.vn/vi/tim-viec-lam/ke-toan-thue.35C6912D.html","Xem chi tiết")</f>
        <v/>
      </c>
    </row>
    <row r="15764">
      <c r="B15764" s="9" t="n">
        <v>15762</v>
      </c>
      <c r="C15764" s="10" t="inlineStr">
        <is>
          <t>Kỹ sư kế hoạch dự án (Kết cấu thép)</t>
        </is>
      </c>
      <c r="D15764" s="10" t="inlineStr">
        <is>
          <t>CÔNG TY TRÁCH NHIỆM HỮU HẠN THÉP QSB</t>
        </is>
      </c>
      <c r="E15764" s="10" t="inlineStr">
        <is>
          <t>Lương:15 Tr - 18 Tr VND</t>
        </is>
      </c>
      <c r="F15764" s="10" t="inlineStr">
        <is>
          <t>Hồ Chí Minh</t>
        </is>
      </c>
      <c r="G15764" s="10" t="inlineStr">
        <is>
          <t>31-03-2026</t>
        </is>
      </c>
      <c r="H15764" s="10" t="inlineStr">
        <is>
          <t>31/03/2026</t>
        </is>
      </c>
      <c r="I15764" s="10" t="inlineStr">
        <is>
          <t>17/03/2026</t>
        </is>
      </c>
      <c r="J15764" s="10" t="inlineStr">
        <is>
          <t>Cơ khí / Ô tô / Tự động hóa, Kiến trúc, Xây dựng</t>
        </is>
      </c>
      <c r="K15764" s="10" t="inlineStr">
        <is>
          <t>2 - 3 Năm</t>
        </is>
      </c>
      <c r="L15764" s="11">
        <f>HYPERLINK("https://careerviet.vn/vi/tim-viec-lam/ky-su-ke-hoach-du-an-ket-cau-thep.35C690DC.html","Xem chi tiết")</f>
        <v/>
      </c>
      <c r="M15764" s="10" t="n"/>
    </row>
    <row r="15765">
      <c r="B15765" s="7" t="n">
        <v>15763</v>
      </c>
      <c r="C15765" t="inlineStr">
        <is>
          <t>Kế toán tổng hợp</t>
        </is>
      </c>
      <c r="D15765" t="inlineStr">
        <is>
          <t>Công ty Cổ Phần Xây Dựng Thương Mại Dịch Vụ Nhất Tín</t>
        </is>
      </c>
      <c r="E15765" t="inlineStr">
        <is>
          <t>Lương:Cạnh tranh</t>
        </is>
      </c>
      <c r="F15765" t="inlineStr">
        <is>
          <t>Bình ĐịnhHồ Chí Minh</t>
        </is>
      </c>
      <c r="G15765" t="inlineStr">
        <is>
          <t>25-03-2026</t>
        </is>
      </c>
      <c r="H15765" t="inlineStr">
        <is>
          <t>25/03/2026</t>
        </is>
      </c>
      <c r="I15765" t="inlineStr">
        <is>
          <t>17/03/2026</t>
        </is>
      </c>
      <c r="J15765" t="inlineStr">
        <is>
          <t>Kế toán / Kiểm toán, Tài chính / Đầu tư</t>
        </is>
      </c>
      <c r="K15765" t="inlineStr">
        <is>
          <t>1 - 5 Năm</t>
        </is>
      </c>
      <c r="L15765" s="8">
        <f>HYPERLINK("https://careerviet.vn/vi/tim-viec-lam/ke-toan-tong-hop.35C69238.html","Xem chi tiết")</f>
        <v/>
      </c>
    </row>
    <row r="15766">
      <c r="B15766" s="9" t="n">
        <v>15764</v>
      </c>
      <c r="C15766" s="10" t="inlineStr">
        <is>
          <t>Sales Representative - Trình Dược Viên OTC (Hồ Chí Minh)</t>
        </is>
      </c>
      <c r="D15766" s="10" t="inlineStr">
        <is>
          <t>Công ty TNHH United International Pharma</t>
        </is>
      </c>
      <c r="E15766" s="10" t="inlineStr">
        <is>
          <t>Lương:Cạnh tranh</t>
        </is>
      </c>
      <c r="F15766" s="10" t="inlineStr">
        <is>
          <t>Hồ Chí Minh</t>
        </is>
      </c>
      <c r="G15766" s="10" t="inlineStr">
        <is>
          <t>6</t>
        </is>
      </c>
      <c r="H15766" s="10" t="inlineStr">
        <is>
          <t>23/03/2026</t>
        </is>
      </c>
      <c r="I15766" s="10" t="inlineStr">
        <is>
          <t>17/03/2026</t>
        </is>
      </c>
      <c r="J15766" s="10" t="inlineStr">
        <is>
          <t>Y tế / Chăm sóc sức khỏe / Thẩm mỹ / Làm đẹp, Dược phẩm/ Hóa Mỹ Phẩm, Bán hàng / Kinh doanh</t>
        </is>
      </c>
      <c r="K15766" s="10" t="inlineStr">
        <is>
          <t>2 - 5 Năm</t>
        </is>
      </c>
      <c r="L15766" s="11">
        <f>HYPERLINK("https://careerviet.vn/vi/tim-viec-lam/sales-representative-trinh-duoc-vien-otc-ho-chi-minh.35C69089.html","Xem chi tiết")</f>
        <v/>
      </c>
      <c r="M15766" s="10" t="n"/>
    </row>
    <row r="15767">
      <c r="B15767" s="7" t="n">
        <v>15765</v>
      </c>
      <c r="C15767" t="inlineStr">
        <is>
          <t>Kiến trúc sư quản lý thiết kế (chủ đầu tư)</t>
        </is>
      </c>
      <c r="D15767" t="inlineStr">
        <is>
          <t>Tập Đoàn Tân Á Đại Thành</t>
        </is>
      </c>
      <c r="E15767" t="inlineStr">
        <is>
          <t>Lương:Cạnh tranh</t>
        </is>
      </c>
      <c r="F15767" t="inlineStr">
        <is>
          <t>Hà Nội</t>
        </is>
      </c>
      <c r="G15767" t="inlineStr">
        <is>
          <t>25-03-2026</t>
        </is>
      </c>
      <c r="H15767" t="inlineStr">
        <is>
          <t>25/03/2026</t>
        </is>
      </c>
      <c r="I15767" t="inlineStr">
        <is>
          <t>17/03/2026</t>
        </is>
      </c>
      <c r="J15767" t="inlineStr">
        <is>
          <t>Kiến trúc, Xây dựng, Bất động sản</t>
        </is>
      </c>
      <c r="K15767" t="inlineStr">
        <is>
          <t>3 - 5 Năm</t>
        </is>
      </c>
      <c r="L15767" s="8">
        <f>HYPERLINK("https://careerviet.vn/vi/tim-viec-lam/kien-truc-su-quan-ly-thiet-ke-chu-dau-tu.35C69119.html","Xem chi tiết")</f>
        <v/>
      </c>
    </row>
    <row r="15768">
      <c r="B15768" s="9" t="n">
        <v>15766</v>
      </c>
      <c r="C15768" s="10" t="inlineStr">
        <is>
          <t>Kỹ sư QS (Quantity Surveyor)</t>
        </is>
      </c>
      <c r="D15768" s="10" t="inlineStr">
        <is>
          <t>CÔNG TY CỔ PHẦN XÂY DỰNG VILAI VIỆT</t>
        </is>
      </c>
      <c r="E15768" s="10" t="inlineStr">
        <is>
          <t>Lương:13 Tr - 25 Tr VND</t>
        </is>
      </c>
      <c r="F15768" s="10" t="inlineStr">
        <is>
          <t>Hà NộiBắc Giang</t>
        </is>
      </c>
      <c r="G15768" s="10" t="inlineStr">
        <is>
          <t>31-03-2026</t>
        </is>
      </c>
      <c r="H15768" s="10" t="inlineStr">
        <is>
          <t>31/03/2026</t>
        </is>
      </c>
      <c r="I15768" s="10" t="inlineStr">
        <is>
          <t>17/03/2026</t>
        </is>
      </c>
      <c r="J15768" s="10" t="inlineStr">
        <is>
          <t>Xây dựng, Kiến trúc</t>
        </is>
      </c>
      <c r="K15768" s="10" t="inlineStr">
        <is>
          <t>2 - 5 Năm</t>
        </is>
      </c>
      <c r="L15768" s="11">
        <f>HYPERLINK("https://careerviet.vn/vi/tim-viec-lam/ky-su-qs-quantity-surveyor.35C69141.html","Xem chi tiết")</f>
        <v/>
      </c>
      <c r="M15768" s="10" t="n"/>
    </row>
    <row r="15769">
      <c r="B15769" s="7" t="n">
        <v>15767</v>
      </c>
      <c r="C15769" t="inlineStr">
        <is>
          <t>Kỹ sư Thiết bị y tế (Không yêu cầu kinh nghiệm)</t>
        </is>
      </c>
      <c r="D15769" t="inlineStr">
        <is>
          <t>Công ty TNHH Thiết bị y tế Phương Đông</t>
        </is>
      </c>
      <c r="E15769" t="inlineStr">
        <is>
          <t>Lương:Cạnh tranh</t>
        </is>
      </c>
      <c r="F15769" t="inlineStr">
        <is>
          <t>Hà Nội</t>
        </is>
      </c>
      <c r="G15769" t="inlineStr">
        <is>
          <t>26-03-2026</t>
        </is>
      </c>
      <c r="H15769" t="inlineStr">
        <is>
          <t>26/03/2026</t>
        </is>
      </c>
      <c r="I15769" t="inlineStr">
        <is>
          <t>17/03/2026</t>
        </is>
      </c>
      <c r="J15769" t="inlineStr">
        <is>
          <t>Ngân hàng, Mới tốt nghiệp / Thực tập, Bảo trì / Sửa chữa</t>
        </is>
      </c>
      <c r="K15769" t="inlineStr">
        <is>
          <t>N/A</t>
        </is>
      </c>
      <c r="L15769" s="8">
        <f>HYPERLINK("https://careerviet.vn/vi/tim-viec-lam/ky-su-thiet-bi-y-te-khong-yeu-cau-kinh-nghiem.35C693DE.html","Xem chi tiết")</f>
        <v/>
      </c>
    </row>
    <row r="15770">
      <c r="B15770" s="9" t="n">
        <v>15768</v>
      </c>
      <c r="C15770" s="10" t="inlineStr">
        <is>
          <t>NHÂN VIÊN DIỆT CÔN TRÙNG_BÌNH DƯƠNG</t>
        </is>
      </c>
      <c r="D15770" s="10" t="inlineStr">
        <is>
          <t>CÔNG TY TNHH CESCO VIỆT NAM</t>
        </is>
      </c>
      <c r="E15770" s="10" t="inlineStr">
        <is>
          <t>Lương:10 Tr - 15 Tr VND</t>
        </is>
      </c>
      <c r="F15770" s="10" t="inlineStr">
        <is>
          <t>Bình Dương</t>
        </is>
      </c>
      <c r="G15770" s="10" t="inlineStr">
        <is>
          <t>26-03-2026</t>
        </is>
      </c>
      <c r="H15770" s="10" t="inlineStr">
        <is>
          <t>26/03/2026</t>
        </is>
      </c>
      <c r="I15770" s="10" t="inlineStr">
        <is>
          <t>17/03/2026</t>
        </is>
      </c>
      <c r="J15770" s="10" t="inlineStr">
        <is>
          <t>Ngành khác, Lao động phổ thông, Tư vấn</t>
        </is>
      </c>
      <c r="K15770" s="10" t="inlineStr">
        <is>
          <t>Chưa có kinh nghiệm</t>
        </is>
      </c>
      <c r="L15770" s="11">
        <f>HYPERLINK("https://careerviet.vn/vi/tim-viec-lam/nhan-vien-diet-con-trung_binh-duong.35C690F3.html","Xem chi tiết")</f>
        <v/>
      </c>
      <c r="M15770" s="10" t="n"/>
    </row>
    <row r="15771">
      <c r="B15771" s="7" t="n">
        <v>15769</v>
      </c>
      <c r="C15771" t="inlineStr">
        <is>
          <t>Process Technician - Dau Giay</t>
        </is>
      </c>
      <c r="D15771" t="inlineStr">
        <is>
          <t>Techtronic Industries Vietnam Manufacturing Company Limited</t>
        </is>
      </c>
      <c r="E15771" t="inlineStr">
        <is>
          <t>Lương:Cạnh tranh</t>
        </is>
      </c>
      <c r="F15771" t="inlineStr">
        <is>
          <t>Đồng Nai</t>
        </is>
      </c>
      <c r="G15771" t="inlineStr">
        <is>
          <t>26-03-2026</t>
        </is>
      </c>
      <c r="H15771" t="inlineStr">
        <is>
          <t>26/03/2026</t>
        </is>
      </c>
      <c r="I15771" t="inlineStr">
        <is>
          <t>17/03/2026</t>
        </is>
      </c>
      <c r="J15771" t="inlineStr">
        <is>
          <t>Cơ khí / Ô tô / Tự động hóa, Sản xuất / Vận hành sản xuất, Điện / Điện tử / Điện lạnh / Điện công nghiệp</t>
        </is>
      </c>
      <c r="K15771" t="inlineStr">
        <is>
          <t>N/A</t>
        </is>
      </c>
      <c r="L15771" s="8">
        <f>HYPERLINK("https://careerviet.vn/vi/tim-viec-lam/process-technician-dau-giay.35C69430.html","Xem chi tiết")</f>
        <v/>
      </c>
    </row>
    <row r="15772">
      <c r="B15772" s="9" t="n">
        <v>15770</v>
      </c>
      <c r="C15772" s="10" t="inlineStr">
        <is>
          <t>Senior IT Security Officer (Data Protection)</t>
        </is>
      </c>
      <c r="D15772" s="10" t="inlineStr">
        <is>
          <t>LOTTE FINANCE VIETNAM</t>
        </is>
      </c>
      <c r="E15772" s="10" t="inlineStr">
        <is>
          <t>Lương:Cạnh tranh</t>
        </is>
      </c>
      <c r="F15772" s="10" t="inlineStr">
        <is>
          <t>Hà Nội</t>
        </is>
      </c>
      <c r="G15772" s="10" t="inlineStr">
        <is>
          <t>26-03-2026</t>
        </is>
      </c>
      <c r="H15772" s="10" t="inlineStr">
        <is>
          <t>26/03/2026</t>
        </is>
      </c>
      <c r="I15772" s="10" t="inlineStr">
        <is>
          <t>17/03/2026</t>
        </is>
      </c>
      <c r="J15772" s="10" t="inlineStr">
        <is>
          <t>CNTT - Phần mềm</t>
        </is>
      </c>
      <c r="K15772" s="10" t="inlineStr">
        <is>
          <t>Trên 2 Năm</t>
        </is>
      </c>
      <c r="L15772" s="11">
        <f>HYPERLINK("https://careerviet.vn/vi/tim-viec-lam/senior-it-security-officer-data-protection.35C692CC.html","Xem chi tiết")</f>
        <v/>
      </c>
      <c r="M15772" s="10" t="n"/>
    </row>
    <row r="15773">
      <c r="B15773" s="7" t="n">
        <v>15771</v>
      </c>
      <c r="C15773" t="inlineStr">
        <is>
          <t>Senior Sales Planning Officer</t>
        </is>
      </c>
      <c r="D15773" t="inlineStr">
        <is>
          <t>LOTTE FINANCE VIETNAM</t>
        </is>
      </c>
      <c r="E15773" t="inlineStr">
        <is>
          <t>Lương:Cạnh tranh</t>
        </is>
      </c>
      <c r="F15773" t="inlineStr">
        <is>
          <t>Hà Nội</t>
        </is>
      </c>
      <c r="G15773" t="inlineStr">
        <is>
          <t>26-03-2026</t>
        </is>
      </c>
      <c r="H15773" t="inlineStr">
        <is>
          <t>26/03/2026</t>
        </is>
      </c>
      <c r="I15773" t="inlineStr">
        <is>
          <t>17/03/2026</t>
        </is>
      </c>
      <c r="J15773" t="inlineStr">
        <is>
          <t>Bán hàng / Kinh doanh</t>
        </is>
      </c>
      <c r="K15773" t="inlineStr">
        <is>
          <t>Trên 3 Năm</t>
        </is>
      </c>
      <c r="L15773" s="8">
        <f>HYPERLINK("https://careerviet.vn/vi/tim-viec-lam/senior-sales-planning-officer.35C6927C.html","Xem chi tiết")</f>
        <v/>
      </c>
    </row>
    <row r="15774">
      <c r="B15774" s="9" t="n">
        <v>15772</v>
      </c>
      <c r="C15774" s="10" t="inlineStr">
        <is>
          <t>Leader Marketing</t>
        </is>
      </c>
      <c r="D15774" s="10" t="inlineStr">
        <is>
          <t>Bảo mật</t>
        </is>
      </c>
      <c r="E15774" s="10" t="inlineStr">
        <is>
          <t>Lương:15 Tr - 20 Tr VND</t>
        </is>
      </c>
      <c r="F15774" s="10" t="inlineStr">
        <is>
          <t>Hồ Chí Minh</t>
        </is>
      </c>
      <c r="G15774" s="10" t="inlineStr">
        <is>
          <t>31-03-2026</t>
        </is>
      </c>
      <c r="H15774" s="10" t="inlineStr">
        <is>
          <t>31/03/2026</t>
        </is>
      </c>
      <c r="I15774" s="10" t="inlineStr">
        <is>
          <t>17/03/2026</t>
        </is>
      </c>
      <c r="J15774" s="10" t="inlineStr">
        <is>
          <t>Tiếp thị / Marketing</t>
        </is>
      </c>
      <c r="K15774" s="10" t="inlineStr">
        <is>
          <t>Trên 1 Năm</t>
        </is>
      </c>
      <c r="L15774" s="11">
        <f>HYPERLINK("https://careerviet.vn/vi/tim-viec-lam/leader-marketing.35C692FE.html","Xem chi tiết")</f>
        <v/>
      </c>
      <c r="M15774" s="10" t="n"/>
    </row>
    <row r="15775">
      <c r="B15775" s="7" t="n">
        <v>15773</v>
      </c>
      <c r="C15775" t="inlineStr">
        <is>
          <t>Kế Toán Bán Hàng (Nhà Máy)</t>
        </is>
      </c>
      <c r="D15775" t="inlineStr">
        <is>
          <t>Tập Đoàn Karofi Holding</t>
        </is>
      </c>
      <c r="E15775" t="inlineStr">
        <is>
          <t>Lương:Cạnh tranh</t>
        </is>
      </c>
      <c r="F15775" t="inlineStr">
        <is>
          <t>Hưng Yên</t>
        </is>
      </c>
      <c r="G15775" t="inlineStr">
        <is>
          <t>15-04-2026</t>
        </is>
      </c>
      <c r="H15775" t="inlineStr">
        <is>
          <t>15/04/2026</t>
        </is>
      </c>
      <c r="I15775" t="inlineStr">
        <is>
          <t>17/03/2026</t>
        </is>
      </c>
      <c r="J15775" t="inlineStr">
        <is>
          <t>Kế toán / Kiểm toán</t>
        </is>
      </c>
      <c r="K15775" t="inlineStr">
        <is>
          <t>1 - 2 Năm</t>
        </is>
      </c>
      <c r="L15775" s="8">
        <f>HYPERLINK("https://careerviet.vn/vi/tim-viec-lam/ke-toan-ban-hang-nha-may.35C692DE.html","Xem chi tiết")</f>
        <v/>
      </c>
    </row>
    <row r="15776">
      <c r="B15776" s="9" t="n">
        <v>15774</v>
      </c>
      <c r="C15776" s="10" t="inlineStr">
        <is>
          <t>Electronic Production Engineer (Kỹ sư điện tử sản xuất ổ cứng)</t>
        </is>
      </c>
      <c r="D15776" s="10" t="inlineStr">
        <is>
          <t>Công ty TNHH Greystone Data Systems Việt Nam</t>
        </is>
      </c>
      <c r="E15776" s="10" t="inlineStr">
        <is>
          <t>Lương:10 Tr - 13 Tr VND</t>
        </is>
      </c>
      <c r="F15776" s="10" t="inlineStr">
        <is>
          <t>Hồ Chí Minh</t>
        </is>
      </c>
      <c r="G15776" s="10" t="inlineStr">
        <is>
          <t>26-03-2026</t>
        </is>
      </c>
      <c r="H15776" s="10" t="inlineStr">
        <is>
          <t>26/03/2026</t>
        </is>
      </c>
      <c r="I15776" s="10" t="inlineStr">
        <is>
          <t>17/03/2026</t>
        </is>
      </c>
      <c r="J15776" s="10" t="inlineStr">
        <is>
          <t>Điện / Điện tử / Điện lạnh / Điện công nghiệp, CNTT - Phần cứng / Mạng, Sản xuất / Vận hành sản xuất</t>
        </is>
      </c>
      <c r="K15776" s="10" t="inlineStr">
        <is>
          <t>N/A</t>
        </is>
      </c>
      <c r="L15776" s="11">
        <f>HYPERLINK("https://careerviet.vn/vi/tim-viec-lam/electronic-production-engineer-ky-su-dien-tu-san-xuat-o-cung.35C69241.html","Xem chi tiết")</f>
        <v/>
      </c>
      <c r="M15776" s="10" t="n"/>
    </row>
    <row r="15777">
      <c r="B15777" s="7" t="n">
        <v>15775</v>
      </c>
      <c r="C15777" t="inlineStr">
        <is>
          <t>Nhân viên bán hàng tại Lotte Mall Võ Chí Công và Lotte Liễu Giai (phù hợp với sinh viên/người đi làm)</t>
        </is>
      </c>
      <c r="D15777" t="inlineStr">
        <is>
          <t>Công Ty TNHH XNK Cầu Nối Việt</t>
        </is>
      </c>
      <c r="E15777" t="inlineStr">
        <is>
          <t>Lương:8 Tr - 9 Tr VND</t>
        </is>
      </c>
      <c r="F15777" t="inlineStr">
        <is>
          <t>Hà Nội</t>
        </is>
      </c>
      <c r="G15777" t="inlineStr">
        <is>
          <t>29-05-2026</t>
        </is>
      </c>
      <c r="H15777" t="inlineStr">
        <is>
          <t>29/05/2026</t>
        </is>
      </c>
      <c r="I15777" t="inlineStr">
        <is>
          <t>17/03/2026</t>
        </is>
      </c>
      <c r="J15777" t="inlineStr">
        <is>
          <t>Bán lẻ / Bán sỉ, Bán hàng / Kinh doanh, Tiếp thị / Marketing</t>
        </is>
      </c>
      <c r="K15777" t="inlineStr">
        <is>
          <t>N/A</t>
        </is>
      </c>
      <c r="L15777" s="8">
        <f>HYPERLINK("https://careerviet.vn/vi/tim-viec-lam/nhan-vien-ban-hang-tai-lotte-mall-vo-chi-cong-va-lotte-lieu-giai-phu-hop-voi-sinh-vien-nguoi-di-lam.35C6943D.html","Xem chi tiết")</f>
        <v/>
      </c>
    </row>
    <row r="15778">
      <c r="B15778" s="9" t="n">
        <v>15776</v>
      </c>
      <c r="C15778" s="10" t="inlineStr">
        <is>
          <t>Chuyên viên Cung ứng</t>
        </is>
      </c>
      <c r="D15778" s="10" t="inlineStr">
        <is>
          <t>Tổng công ty Xây dựng số 1 – CTCP</t>
        </is>
      </c>
      <c r="E15778" s="10" t="inlineStr">
        <is>
          <t>Lương:Cạnh tranh</t>
        </is>
      </c>
      <c r="F15778" s="10" t="inlineStr">
        <is>
          <t>Hồ Chí Minh</t>
        </is>
      </c>
      <c r="G15778" s="10" t="inlineStr">
        <is>
          <t>26-03-2026</t>
        </is>
      </c>
      <c r="H15778" s="10" t="inlineStr">
        <is>
          <t>26/03/2026</t>
        </is>
      </c>
      <c r="I15778" s="10" t="inlineStr">
        <is>
          <t>17/03/2026</t>
        </is>
      </c>
      <c r="J15778" s="10" t="inlineStr">
        <is>
          <t>Xây dựng</t>
        </is>
      </c>
      <c r="K15778" s="10" t="inlineStr">
        <is>
          <t>2 - 3 Năm</t>
        </is>
      </c>
      <c r="L15778" s="11">
        <f>HYPERLINK("https://careerviet.vn/vi/tim-viec-lam/chuyen-vien-cung-ung.35C692AC.html","Xem chi tiết")</f>
        <v/>
      </c>
      <c r="M15778" s="10" t="n"/>
    </row>
    <row r="15779">
      <c r="B15779" s="7" t="n">
        <v>15777</v>
      </c>
      <c r="C15779" t="inlineStr">
        <is>
          <t>Senior Design Supporter</t>
        </is>
      </c>
      <c r="D15779" t="inlineStr">
        <is>
          <t>PEB STEEL BUILDINGS CO., LTD.</t>
        </is>
      </c>
      <c r="E15779" t="inlineStr">
        <is>
          <t>Lương:Cạnh tranh</t>
        </is>
      </c>
      <c r="F15779" t="inlineStr">
        <is>
          <t>Hồ Chí Minh</t>
        </is>
      </c>
      <c r="G15779" t="inlineStr">
        <is>
          <t>31-03-2026</t>
        </is>
      </c>
      <c r="H15779" t="inlineStr">
        <is>
          <t>31/03/2026</t>
        </is>
      </c>
      <c r="I15779" t="inlineStr">
        <is>
          <t>17/03/2026</t>
        </is>
      </c>
      <c r="J15779" t="inlineStr">
        <is>
          <t>Kiến trúc, Xây dựng</t>
        </is>
      </c>
      <c r="K15779" t="inlineStr">
        <is>
          <t>5 - 7 Năm</t>
        </is>
      </c>
      <c r="L15779" s="8">
        <f>HYPERLINK("https://careerviet.vn/vi/tim-viec-lam/senior-design-supporter.35C690A7.html","Xem chi tiết")</f>
        <v/>
      </c>
    </row>
    <row r="15780">
      <c r="B15780" s="9" t="n">
        <v>15778</v>
      </c>
      <c r="C15780" s="10" t="inlineStr">
        <is>
          <t>Nhân Viên Shop Drawing</t>
        </is>
      </c>
      <c r="D15780" s="10" t="inlineStr">
        <is>
          <t>CÔNG TY TNHH THIẾT KẾ XÂY DỰNG M.X</t>
        </is>
      </c>
      <c r="E15780" s="10" t="inlineStr">
        <is>
          <t>Lương:15 Tr - 25 Tr VND</t>
        </is>
      </c>
      <c r="F15780" s="10" t="inlineStr">
        <is>
          <t>Hồ Chí Minh</t>
        </is>
      </c>
      <c r="G15780" s="10" t="inlineStr">
        <is>
          <t>31-03-2026</t>
        </is>
      </c>
      <c r="H15780" s="10" t="inlineStr">
        <is>
          <t>31/03/2026</t>
        </is>
      </c>
      <c r="I15780" s="10" t="inlineStr">
        <is>
          <t>17/03/2026</t>
        </is>
      </c>
      <c r="J15780" s="10" t="inlineStr">
        <is>
          <t>Kiến trúc, Xây dựng</t>
        </is>
      </c>
      <c r="K15780" s="10" t="inlineStr">
        <is>
          <t>2 - 3 Năm</t>
        </is>
      </c>
      <c r="L15780" s="11">
        <f>HYPERLINK("https://careerviet.vn/vi/tim-viec-lam/nhan-vien-shop-drawing.35C69050.html","Xem chi tiết")</f>
        <v/>
      </c>
      <c r="M15780" s="10" t="n"/>
    </row>
    <row r="15781">
      <c r="B15781" s="7" t="n">
        <v>15779</v>
      </c>
      <c r="C15781" t="inlineStr">
        <is>
          <t>Nhân viên bán hàng - Lotte Liễu Giai</t>
        </is>
      </c>
      <c r="D15781" t="inlineStr">
        <is>
          <t>CÔNG TY CỔ PHẦN TẬP ĐOÀN GIOVANNI VIỆT NAM</t>
        </is>
      </c>
      <c r="E15781" t="inlineStr">
        <is>
          <t>Lương:8 Tr - 15 Tr VND</t>
        </is>
      </c>
      <c r="F15781" t="inlineStr">
        <is>
          <t>Hà Nội</t>
        </is>
      </c>
      <c r="G15781" t="inlineStr">
        <is>
          <t>24-03-2026</t>
        </is>
      </c>
      <c r="H15781" t="inlineStr">
        <is>
          <t>24/03/2026</t>
        </is>
      </c>
      <c r="I15781" t="inlineStr">
        <is>
          <t>17/03/2026</t>
        </is>
      </c>
      <c r="J15781" t="inlineStr">
        <is>
          <t>Bán hàng / Kinh doanh, Bán lẻ / Bán sỉ, Dệt may / Da giày / Thời trang</t>
        </is>
      </c>
      <c r="K15781" t="inlineStr">
        <is>
          <t>N/A</t>
        </is>
      </c>
      <c r="L15781" s="8">
        <f>HYPERLINK("https://careerviet.vn/vi/tim-viec-lam/nhan-vien-ban-hang-lotte-lieu-giai.35C69024.html","Xem chi tiết")</f>
        <v/>
      </c>
    </row>
    <row r="15782">
      <c r="B15782" s="9" t="n">
        <v>15780</v>
      </c>
      <c r="C15782" s="10" t="inlineStr">
        <is>
          <t>CHUYÊN VIÊN TUYỂN DỤNG - HÀNH CHÍNH</t>
        </is>
      </c>
      <c r="D15782" s="10" t="inlineStr">
        <is>
          <t>Viện Thẩm mỹ y khoa Dr Hải Lê</t>
        </is>
      </c>
      <c r="E15782" s="10" t="inlineStr">
        <is>
          <t>Lương:12 Tr - 15 Tr VND</t>
        </is>
      </c>
      <c r="F15782" s="10" t="inlineStr">
        <is>
          <t>Hà Nội</t>
        </is>
      </c>
      <c r="G15782" s="10" t="inlineStr">
        <is>
          <t>31-03-2026</t>
        </is>
      </c>
      <c r="H15782" s="10" t="inlineStr">
        <is>
          <t>31/03/2026</t>
        </is>
      </c>
      <c r="I15782" s="10" t="inlineStr">
        <is>
          <t>17/03/2026</t>
        </is>
      </c>
      <c r="J15782" s="10" t="inlineStr">
        <is>
          <t>Y tế / Chăm sóc sức khỏe / Thẩm mỹ / Làm đẹp, Hành chính / Thư ký, Nhân sự</t>
        </is>
      </c>
      <c r="K15782" s="10" t="inlineStr">
        <is>
          <t>Chưa có kinh nghiệm</t>
        </is>
      </c>
      <c r="L15782" s="11">
        <f>HYPERLINK("https://careerviet.vn/vi/tim-viec-lam/chuyen-vien-tuyen-dung-hanh-chinh.35C69365.html","Xem chi tiết")</f>
        <v/>
      </c>
      <c r="M15782" s="10" t="n"/>
    </row>
    <row r="15783">
      <c r="B15783" s="7" t="n">
        <v>15781</v>
      </c>
      <c r="C15783" t="inlineStr">
        <is>
          <t>Kỹ sư thiết kế sản phẩm (R&amp;D)</t>
        </is>
      </c>
      <c r="D15783" t="inlineStr">
        <is>
          <t>Công ty TNHH TOM Group Việt Nam</t>
        </is>
      </c>
      <c r="E15783" t="inlineStr">
        <is>
          <t>Lương:14 Tr - 18 Tr VND</t>
        </is>
      </c>
      <c r="F15783" t="inlineStr">
        <is>
          <t>Hồ Chí Minh</t>
        </is>
      </c>
      <c r="G15783" t="inlineStr">
        <is>
          <t>24-03-2026</t>
        </is>
      </c>
      <c r="H15783" t="inlineStr">
        <is>
          <t>24/03/2026</t>
        </is>
      </c>
      <c r="I15783" t="inlineStr">
        <is>
          <t>17/03/2026</t>
        </is>
      </c>
      <c r="J15783" t="inlineStr">
        <is>
          <t>Điện / Điện tử / Điện lạnh / Điện công nghiệp</t>
        </is>
      </c>
      <c r="K15783" t="inlineStr">
        <is>
          <t>2 - 3 Năm</t>
        </is>
      </c>
      <c r="L15783" s="8">
        <f>HYPERLINK("https://careerviet.vn/vi/tim-viec-lam/ky-su-thiet-ke-san-pham-r-d.35C69407.html","Xem chi tiết")</f>
        <v/>
      </c>
    </row>
    <row r="15784">
      <c r="B15784" s="9" t="n">
        <v>15782</v>
      </c>
      <c r="C15784" s="10" t="inlineStr">
        <is>
          <t>Kỹ sư An toàn lao động</t>
        </is>
      </c>
      <c r="D15784" s="10" t="inlineStr">
        <is>
          <t>CÔNG TY CỔ PHẦN XÂY DỰNG VILAI VIỆT</t>
        </is>
      </c>
      <c r="E15784" s="10" t="inlineStr">
        <is>
          <t>Lương:15 Tr - 25 Tr VND</t>
        </is>
      </c>
      <c r="F15784" s="10" t="inlineStr">
        <is>
          <t>Hải PhòngHà NộiBắc Giang</t>
        </is>
      </c>
      <c r="G15784" s="10" t="inlineStr">
        <is>
          <t>31-03-2026</t>
        </is>
      </c>
      <c r="H15784" s="10" t="inlineStr">
        <is>
          <t>31/03/2026</t>
        </is>
      </c>
      <c r="I15784" s="10" t="inlineStr">
        <is>
          <t>17/03/2026</t>
        </is>
      </c>
      <c r="J15784" s="10" t="inlineStr">
        <is>
          <t>An toàn lao động, Xây dựng, Kiến trúc</t>
        </is>
      </c>
      <c r="K15784" s="10" t="inlineStr">
        <is>
          <t>1 - 5 Năm</t>
        </is>
      </c>
      <c r="L15784" s="11">
        <f>HYPERLINK("https://careerviet.vn/vi/tim-viec-lam/ky-su-an-toan-lao-dong.35C69133.html","Xem chi tiết")</f>
        <v/>
      </c>
      <c r="M15784" s="10" t="n"/>
    </row>
    <row r="15785">
      <c r="B15785" s="7" t="n">
        <v>15783</v>
      </c>
      <c r="C15785" t="inlineStr">
        <is>
          <t>Giám sát thi công nội thất</t>
        </is>
      </c>
      <c r="D15785" t="inlineStr">
        <is>
          <t>HEXAGON - CÔNG TY CỔ PHẦN THIẾT KẾ LỤC GIÁC</t>
        </is>
      </c>
      <c r="E15785" t="inlineStr">
        <is>
          <t>Lương:10 Tr - 18 Tr VND</t>
        </is>
      </c>
      <c r="F15785" t="inlineStr">
        <is>
          <t>Hà Nội</t>
        </is>
      </c>
      <c r="G15785" t="inlineStr">
        <is>
          <t>31-03-2026</t>
        </is>
      </c>
      <c r="H15785" t="inlineStr">
        <is>
          <t>31/03/2026</t>
        </is>
      </c>
      <c r="I15785" t="inlineStr">
        <is>
          <t>17/03/2026</t>
        </is>
      </c>
      <c r="J15785" t="inlineStr">
        <is>
          <t>Xây dựng, Nội ngoại thất, Kiến trúc</t>
        </is>
      </c>
      <c r="K15785" t="inlineStr">
        <is>
          <t>Chưa có kinh nghiệm</t>
        </is>
      </c>
      <c r="L15785" s="8">
        <f>HYPERLINK("https://careerviet.vn/vi/tim-viec-lam/giam-sat-thi-cong-noi-that.35C693EB.html","Xem chi tiết")</f>
        <v/>
      </c>
    </row>
    <row r="15786">
      <c r="B15786" s="9" t="n">
        <v>15784</v>
      </c>
      <c r="C15786" s="10" t="inlineStr">
        <is>
          <t>Nhân viên Phân Công Thử nghiệm - Test Assign (CS Department)</t>
        </is>
      </c>
      <c r="D15786" s="10" t="inlineStr">
        <is>
          <t>CÔNG TY TNHH K O T I T I VIỆT NAM</t>
        </is>
      </c>
      <c r="E15786" s="10" t="inlineStr">
        <is>
          <t>Lương:Cạnh tranh</t>
        </is>
      </c>
      <c r="F15786" s="10" t="inlineStr">
        <is>
          <t>Hồ Chí Minh</t>
        </is>
      </c>
      <c r="G15786" s="10" t="inlineStr">
        <is>
          <t>26-03-2026</t>
        </is>
      </c>
      <c r="H15786" s="10" t="inlineStr">
        <is>
          <t>26/03/2026</t>
        </is>
      </c>
      <c r="I15786" s="10" t="inlineStr">
        <is>
          <t>17/03/2026</t>
        </is>
      </c>
      <c r="J15786" s="10" t="inlineStr">
        <is>
          <t>Bán hàng / Kinh doanh, Dịch vụ khách hàng, Dệt may / Da giày / Thời trang</t>
        </is>
      </c>
      <c r="K15786" s="10" t="inlineStr">
        <is>
          <t>Trên 2 Năm</t>
        </is>
      </c>
      <c r="L15786" s="11">
        <f>HYPERLINK("https://careerviet.vn/vi/tim-viec-lam/nhan-vien-phan-cong-thu-nghiem-test-assign-cs-department.35C692AD.html","Xem chi tiết")</f>
        <v/>
      </c>
      <c r="M15786" s="10" t="n"/>
    </row>
    <row r="15787">
      <c r="B15787" s="7" t="n">
        <v>15785</v>
      </c>
      <c r="C15787" t="inlineStr">
        <is>
          <t>Chuyên viên Kế toán - ngành Xây dựng Cầu đường</t>
        </is>
      </c>
      <c r="D15787" t="inlineStr">
        <is>
          <t>CÔNG TY TNHH TẬP ĐOÀN ĐỊNH AN</t>
        </is>
      </c>
      <c r="E15787" t="inlineStr">
        <is>
          <t>Lương:15 Tr - 22 Tr VND</t>
        </is>
      </c>
      <c r="F15787" t="inlineStr">
        <is>
          <t>Hà Nội</t>
        </is>
      </c>
      <c r="G15787" t="inlineStr">
        <is>
          <t>24-03-2026</t>
        </is>
      </c>
      <c r="H15787" t="inlineStr">
        <is>
          <t>24/03/2026</t>
        </is>
      </c>
      <c r="I15787" t="inlineStr">
        <is>
          <t>17/03/2026</t>
        </is>
      </c>
      <c r="J15787" t="inlineStr">
        <is>
          <t>Xây dựng, Tài chính / Đầu tư, Kế toán / Kiểm toán</t>
        </is>
      </c>
      <c r="K15787" t="inlineStr">
        <is>
          <t>2 - 3 Năm</t>
        </is>
      </c>
      <c r="L15787" s="8">
        <f>HYPERLINK("https://careerviet.vn/vi/tim-viec-lam/chuyen-vien-ke-toan-nganh-xay-dung-cau-duong.35C68FF2.html","Xem chi tiết")</f>
        <v/>
      </c>
    </row>
    <row r="15788">
      <c r="B15788" s="9" t="n">
        <v>15786</v>
      </c>
      <c r="C15788" s="10" t="inlineStr">
        <is>
          <t>Nhân Viên Quản Lý Chất Lượng</t>
        </is>
      </c>
      <c r="D15788" s="10" t="inlineStr">
        <is>
          <t>CÔNG TY TNHH TENTAMUS VIỆT NAM</t>
        </is>
      </c>
      <c r="E15788" s="10" t="inlineStr">
        <is>
          <t>Lương:Cạnh tranh</t>
        </is>
      </c>
      <c r="F15788" s="10" t="inlineStr">
        <is>
          <t>Hồ Chí Minh</t>
        </is>
      </c>
      <c r="G15788" s="10" t="inlineStr">
        <is>
          <t>31-03-2026</t>
        </is>
      </c>
      <c r="H15788" s="10" t="inlineStr">
        <is>
          <t>31/03/2026</t>
        </is>
      </c>
      <c r="I15788" s="10" t="inlineStr">
        <is>
          <t>17/03/2026</t>
        </is>
      </c>
      <c r="J15788" s="10" t="inlineStr">
        <is>
          <t>Quản lý chất lượng (QA/QC)</t>
        </is>
      </c>
      <c r="K15788" s="10" t="inlineStr">
        <is>
          <t>Lên đến 1 Năm</t>
        </is>
      </c>
      <c r="L15788" s="11">
        <f>HYPERLINK("https://careerviet.vn/vi/tim-viec-lam/nhan-vien-quan-ly-chat-luong.35C693AD.html","Xem chi tiết")</f>
        <v/>
      </c>
      <c r="M15788" s="10" t="n"/>
    </row>
    <row r="15789">
      <c r="B15789" s="7" t="n">
        <v>15787</v>
      </c>
      <c r="C15789" t="inlineStr">
        <is>
          <t>Nhân viên giám sát Điện mặt trời</t>
        </is>
      </c>
      <c r="D15789" t="inlineStr">
        <is>
          <t>Công ty cổ phần Xây dựng Công trình IPC</t>
        </is>
      </c>
      <c r="E15789" t="inlineStr">
        <is>
          <t>Lương:16 Tr - 20 Tr VND</t>
        </is>
      </c>
      <c r="F15789" t="inlineStr">
        <is>
          <t>Hồ Chí Minh</t>
        </is>
      </c>
      <c r="G15789" t="inlineStr">
        <is>
          <t>09-03-2026</t>
        </is>
      </c>
      <c r="H15789" t="inlineStr">
        <is>
          <t>15/03/2026</t>
        </is>
      </c>
      <c r="I15789" t="inlineStr">
        <is>
          <t>17/03/2026</t>
        </is>
      </c>
      <c r="J15789" t="inlineStr">
        <is>
          <t>Điện / Điện tử / Điện lạnh / Điện công nghiệp, Quản lý chất lượng (QA/QC), Xây dựng</t>
        </is>
      </c>
      <c r="K15789" t="inlineStr">
        <is>
          <t>Trên 1 Năm</t>
        </is>
      </c>
      <c r="L15789" s="8">
        <f>HYPERLINK("https://careerviet.vn/vi/tim-viec-lam/nhan-vien-giam-sat-dien-mat-troi.35C68FE0.html","Xem chi tiết")</f>
        <v/>
      </c>
    </row>
    <row r="15790">
      <c r="B15790" s="9" t="n">
        <v>15788</v>
      </c>
      <c r="C15790" s="10" t="inlineStr">
        <is>
          <t>Nhân viên pháp chế (Part time/Full time)</t>
        </is>
      </c>
      <c r="D15790" s="10" t="inlineStr">
        <is>
          <t>Xuân Cầu Holdings</t>
        </is>
      </c>
      <c r="E15790" s="10" t="inlineStr">
        <is>
          <t>Lương:Cạnh tranh</t>
        </is>
      </c>
      <c r="F15790" s="10" t="inlineStr">
        <is>
          <t>Hà Nội</t>
        </is>
      </c>
      <c r="G15790" s="10" t="inlineStr">
        <is>
          <t>24-03-2026</t>
        </is>
      </c>
      <c r="H15790" s="10" t="inlineStr">
        <is>
          <t>24/03/2026</t>
        </is>
      </c>
      <c r="I15790" s="10" t="inlineStr">
        <is>
          <t>17/03/2026</t>
        </is>
      </c>
      <c r="J15790" s="10" t="inlineStr">
        <is>
          <t>Tư vấn, Luật / Pháp lý, Tổ chức sự kiện</t>
        </is>
      </c>
      <c r="K15790" s="10" t="inlineStr">
        <is>
          <t>2 - 3 Năm</t>
        </is>
      </c>
      <c r="L15790" s="11">
        <f>HYPERLINK("https://careerviet.vn/vi/tim-viec-lam/nhan-vien-phap-che-part-time-full-time.35C69267.html","Xem chi tiết")</f>
        <v/>
      </c>
      <c r="M15790" s="10" t="n"/>
    </row>
    <row r="15791">
      <c r="B15791" s="7" t="n">
        <v>15789</v>
      </c>
      <c r="C15791" t="inlineStr">
        <is>
          <t>Project Coordinator</t>
        </is>
      </c>
      <c r="D15791" t="inlineStr">
        <is>
          <t>Công ty Cổ phần Gamuda Land (HCMC)</t>
        </is>
      </c>
      <c r="E15791" t="inlineStr">
        <is>
          <t>Lương:Cạnh tranh</t>
        </is>
      </c>
      <c r="F15791" t="inlineStr">
        <is>
          <t>Hồ Chí Minh</t>
        </is>
      </c>
      <c r="G15791" t="inlineStr">
        <is>
          <t>24-03-2026</t>
        </is>
      </c>
      <c r="H15791" t="inlineStr">
        <is>
          <t>24/03/2026</t>
        </is>
      </c>
      <c r="I15791" t="inlineStr">
        <is>
          <t>17/03/2026</t>
        </is>
      </c>
      <c r="J15791" t="inlineStr">
        <is>
          <t>Hành chính / Thư ký, Xây dựng, Bất động sản</t>
        </is>
      </c>
      <c r="K15791" t="inlineStr">
        <is>
          <t>3 - 4 Năm</t>
        </is>
      </c>
      <c r="L15791" s="8">
        <f>HYPERLINK("https://careerviet.vn/vi/tim-viec-lam/project-coordinator.35C69310.html","Xem chi tiết")</f>
        <v/>
      </c>
    </row>
    <row r="15792">
      <c r="B15792" s="9" t="n">
        <v>15790</v>
      </c>
      <c r="C15792" s="10" t="inlineStr">
        <is>
          <t>Demand Planner</t>
        </is>
      </c>
      <c r="D15792" s="10" t="inlineStr">
        <is>
          <t>Công Ty TNHH Taisun Việt Nam</t>
        </is>
      </c>
      <c r="E15792" s="10" t="inlineStr">
        <is>
          <t>Lương:15 Tr - 20 Tr VND</t>
        </is>
      </c>
      <c r="F15792" s="10" t="inlineStr">
        <is>
          <t>Hồ Chí Minh</t>
        </is>
      </c>
      <c r="G15792" s="10" t="inlineStr">
        <is>
          <t>24-03-2026</t>
        </is>
      </c>
      <c r="H15792" s="10" t="inlineStr">
        <is>
          <t>24/03/2026</t>
        </is>
      </c>
      <c r="I15792" s="10" t="inlineStr">
        <is>
          <t>17/03/2026</t>
        </is>
      </c>
      <c r="J15792" s="10" t="inlineStr">
        <is>
          <t>Bán hàng / Kinh doanh, Kế toán / Kiểm toán, Thu mua / Vật tư</t>
        </is>
      </c>
      <c r="K15792" s="10" t="inlineStr">
        <is>
          <t>3 - 5 Năm</t>
        </is>
      </c>
      <c r="L15792" s="11">
        <f>HYPERLINK("https://careerviet.vn/vi/tim-viec-lam/demand-planner.35C6920D.html","Xem chi tiết")</f>
        <v/>
      </c>
      <c r="M15792" s="10" t="n"/>
    </row>
    <row r="15793">
      <c r="B15793" s="7" t="n">
        <v>15791</v>
      </c>
      <c r="C15793" t="inlineStr">
        <is>
          <t>Nhân Viên Bán Hàng Tại Showroom Điện Máy</t>
        </is>
      </c>
      <c r="D15793" t="inlineStr">
        <is>
          <t>HEXAGON - CÔNG TY CỔ PHẦN THIẾT KẾ LỤC GIÁC</t>
        </is>
      </c>
      <c r="E15793" t="inlineStr">
        <is>
          <t>Lương:11 Tr - 15 Tr VND</t>
        </is>
      </c>
      <c r="F15793" t="inlineStr">
        <is>
          <t>Hà Nội</t>
        </is>
      </c>
      <c r="G15793" t="inlineStr">
        <is>
          <t>28-03-2026</t>
        </is>
      </c>
      <c r="H15793" t="inlineStr">
        <is>
          <t>28/03/2026</t>
        </is>
      </c>
      <c r="I15793" t="inlineStr">
        <is>
          <t>17/03/2026</t>
        </is>
      </c>
      <c r="J15793" t="inlineStr">
        <is>
          <t>Bán hàng / Kinh doanh, Tư vấn, Dịch vụ khách hàng</t>
        </is>
      </c>
      <c r="K15793" t="inlineStr">
        <is>
          <t>1 - 2 Năm</t>
        </is>
      </c>
      <c r="L15793" s="8">
        <f>HYPERLINK("https://careerviet.vn/vi/tim-viec-lam/nhan-vien-ban-hang-tai-showroom-dien-may.35C6941D.html","Xem chi tiết")</f>
        <v/>
      </c>
    </row>
    <row r="15794">
      <c r="B15794" s="9" t="n">
        <v>15792</v>
      </c>
      <c r="C15794" s="10" t="inlineStr">
        <is>
          <t>Nhân viên An toàn lao động</t>
        </is>
      </c>
      <c r="D15794" s="10" t="inlineStr">
        <is>
          <t>Công Ty TNHH Xây Dựng Và Thương Mại An Tâm</t>
        </is>
      </c>
      <c r="E15794" s="10" t="inlineStr">
        <is>
          <t>Lương:Cạnh tranh</t>
        </is>
      </c>
      <c r="F15794" s="10" t="inlineStr">
        <is>
          <t>Hồ Chí Minh</t>
        </is>
      </c>
      <c r="G15794" s="10" t="inlineStr">
        <is>
          <t>24-03-2026</t>
        </is>
      </c>
      <c r="H15794" s="10" t="inlineStr">
        <is>
          <t>24/03/2026</t>
        </is>
      </c>
      <c r="I15794" s="10" t="inlineStr">
        <is>
          <t>17/03/2026</t>
        </is>
      </c>
      <c r="J15794" s="10" t="inlineStr">
        <is>
          <t>Xây dựng</t>
        </is>
      </c>
      <c r="K15794" s="10" t="inlineStr">
        <is>
          <t>Trên 1 Năm</t>
        </is>
      </c>
      <c r="L15794" s="11">
        <f>HYPERLINK("https://careerviet.vn/vi/tim-viec-lam/nhan-vien-an-toan-lao-dong.35C68FA7.html","Xem chi tiết")</f>
        <v/>
      </c>
      <c r="M15794" s="10" t="n"/>
    </row>
    <row r="15795">
      <c r="B15795" s="7" t="n">
        <v>15793</v>
      </c>
      <c r="C15795" t="inlineStr">
        <is>
          <t>Trưởng Phòng An Ninh - NSG</t>
        </is>
      </c>
      <c r="D15795" t="inlineStr">
        <is>
          <t>Nova Service Group - Công ty Cổ phần Tập đoàn Nova Services</t>
        </is>
      </c>
      <c r="E15795" t="inlineStr">
        <is>
          <t>Lương:Cạnh tranh</t>
        </is>
      </c>
      <c r="F15795" t="inlineStr">
        <is>
          <t>Hồ Chí Minh</t>
        </is>
      </c>
      <c r="G15795" t="inlineStr">
        <is>
          <t>24-03-2026</t>
        </is>
      </c>
      <c r="H15795" t="inlineStr">
        <is>
          <t>24/03/2026</t>
        </is>
      </c>
      <c r="I15795" t="inlineStr">
        <is>
          <t>17/03/2026</t>
        </is>
      </c>
      <c r="J15795" t="inlineStr">
        <is>
          <t>An Ninh / Bảo Vệ, CNTT - Phần cứng / Mạng</t>
        </is>
      </c>
      <c r="K15795" t="inlineStr">
        <is>
          <t>Trên 7 Năm</t>
        </is>
      </c>
      <c r="L15795" s="8">
        <f>HYPERLINK("https://careerviet.vn/vi/tim-viec-lam/truong-phong-an-ninh-nsg.35C69363.html","Xem chi tiết")</f>
        <v/>
      </c>
    </row>
    <row r="15796">
      <c r="B15796" s="9" t="n">
        <v>15794</v>
      </c>
      <c r="C15796" s="10" t="inlineStr">
        <is>
          <t>Nhân viên Tư vấn nội viện - Mảng thẩm mỹ</t>
        </is>
      </c>
      <c r="D15796" s="10" t="inlineStr">
        <is>
          <t>BỆNH VIỆN ĐA KHOA PHƯƠNG ĐÔNG</t>
        </is>
      </c>
      <c r="E15796" s="10" t="inlineStr">
        <is>
          <t>Lương:8 Tr - 30 Tr VND</t>
        </is>
      </c>
      <c r="F15796" s="10" t="inlineStr">
        <is>
          <t>Hà Nội</t>
        </is>
      </c>
      <c r="G15796" s="10" t="inlineStr">
        <is>
          <t>30-05-2026</t>
        </is>
      </c>
      <c r="H15796" s="10" t="inlineStr">
        <is>
          <t>30/05/2026</t>
        </is>
      </c>
      <c r="I15796" s="10" t="inlineStr">
        <is>
          <t>17/03/2026</t>
        </is>
      </c>
      <c r="J15796" s="10" t="inlineStr">
        <is>
          <t>Y tế / Chăm sóc sức khỏe / Thẩm mỹ / Làm đẹp</t>
        </is>
      </c>
      <c r="K15796" s="10" t="inlineStr">
        <is>
          <t>1 - 3 Năm</t>
        </is>
      </c>
      <c r="L15796" s="11">
        <f>HYPERLINK("https://careerviet.vn/vi/tim-viec-lam/nhan-vien-tu-van-noi-vien-mang-tham-my.35C690D9.html","Xem chi tiết")</f>
        <v/>
      </c>
      <c r="M15796" s="10" t="n"/>
    </row>
    <row r="15797">
      <c r="B15797" s="7" t="n">
        <v>15795</v>
      </c>
      <c r="C15797" t="inlineStr">
        <is>
          <t>TRƯỞNG NHÓM THƯƠNG MẠI ĐIỆN TỬ</t>
        </is>
      </c>
      <c r="D15797" t="inlineStr">
        <is>
          <t>CÔNG TY TNHH XUẤT NHẬP KHẨU RUTOP VIỆT NAM - Thương Hiệu Toptotoes</t>
        </is>
      </c>
      <c r="E15797" t="inlineStr">
        <is>
          <t>Lương:14 Tr - 18 Tr VND</t>
        </is>
      </c>
      <c r="F15797" t="inlineStr">
        <is>
          <t>Hà Nội</t>
        </is>
      </c>
      <c r="G15797" t="inlineStr">
        <is>
          <t>31-03-2026</t>
        </is>
      </c>
      <c r="H15797" t="inlineStr">
        <is>
          <t>31/03/2026</t>
        </is>
      </c>
      <c r="I15797" t="inlineStr">
        <is>
          <t>17/03/2026</t>
        </is>
      </c>
      <c r="J15797" t="inlineStr">
        <is>
          <t>Tiếp thị / Marketing, Quảng cáo / Đối ngoại / Truyền Thông, Dược phẩm/ Hóa Mỹ Phẩm</t>
        </is>
      </c>
      <c r="K15797" t="inlineStr">
        <is>
          <t>2 - 3 Năm</t>
        </is>
      </c>
      <c r="L15797" s="8">
        <f>HYPERLINK("https://careerviet.vn/vi/tim-viec-lam/truong-nhom-thuong-mai-dien-tu.35C690FA.html","Xem chi tiết")</f>
        <v/>
      </c>
    </row>
    <row r="15798">
      <c r="B15798" s="9" t="n">
        <v>15796</v>
      </c>
      <c r="C15798" s="10" t="inlineStr">
        <is>
          <t>Nhân Viên Bảo Trì Khuôn - Nhơn Trạch</t>
        </is>
      </c>
      <c r="D15798" s="10" t="inlineStr">
        <is>
          <t>Summit Polymers Vietnam Co Ltd.</t>
        </is>
      </c>
      <c r="E15798" s="10" t="inlineStr">
        <is>
          <t>Lương:Cạnh tranh</t>
        </is>
      </c>
      <c r="F15798" s="10" t="inlineStr">
        <is>
          <t>Đồng Nai</t>
        </is>
      </c>
      <c r="G15798" s="10" t="inlineStr">
        <is>
          <t>09-03-2026</t>
        </is>
      </c>
      <c r="H15798" s="10" t="inlineStr">
        <is>
          <t>15/03/2026</t>
        </is>
      </c>
      <c r="I15798" s="10" t="inlineStr">
        <is>
          <t>17/03/2026</t>
        </is>
      </c>
      <c r="J15798" s="10" t="inlineStr">
        <is>
          <t>Sản xuất / Vận hành sản xuất, Bảo trì / Sửa chữa, Cơ khí / Ô tô / Tự động hóa</t>
        </is>
      </c>
      <c r="K15798" s="10" t="inlineStr">
        <is>
          <t>2 - 4 Năm</t>
        </is>
      </c>
      <c r="L15798" s="11">
        <f>HYPERLINK("https://careerviet.vn/vi/tim-viec-lam/nhan-vien-bao-tri-khuon-nhon-trach.35C690E8.html","Xem chi tiết")</f>
        <v/>
      </c>
      <c r="M15798" s="10" t="n"/>
    </row>
    <row r="15799">
      <c r="B15799" s="7" t="n">
        <v>15797</v>
      </c>
      <c r="C15799" t="inlineStr">
        <is>
          <t>Tuyển 05 Nhân Viên Kinh Doanh – Bình Nước Nóng / Thái Dương Năng</t>
        </is>
      </c>
      <c r="D15799" t="inlineStr">
        <is>
          <t>Tập Đoàn Karofi Holding</t>
        </is>
      </c>
      <c r="E15799" t="inlineStr">
        <is>
          <t>Lương:Cạnh tranh</t>
        </is>
      </c>
      <c r="F15799" t="inlineStr">
        <is>
          <t>Hà Nội</t>
        </is>
      </c>
      <c r="G15799" t="inlineStr">
        <is>
          <t>29-04-2026</t>
        </is>
      </c>
      <c r="H15799" t="inlineStr">
        <is>
          <t>29/04/2026</t>
        </is>
      </c>
      <c r="I15799" t="inlineStr">
        <is>
          <t>17/03/2026</t>
        </is>
      </c>
      <c r="J15799" t="inlineStr">
        <is>
          <t>Tiếp thị / Marketing, Bán lẻ / Bán sỉ, Bán hàng / Kinh doanh</t>
        </is>
      </c>
      <c r="K15799" t="inlineStr">
        <is>
          <t>Trên 1 Năm</t>
        </is>
      </c>
      <c r="L15799" s="8">
        <f>HYPERLINK("https://careerviet.vn/vi/tim-viec-lam/tuyen-05-nhan-vien-kinh-doanh-binh-nuoc-nong-thai-duong-nang.35C69068.html","Xem chi tiết")</f>
        <v/>
      </c>
    </row>
    <row r="15800">
      <c r="B15800" s="9" t="n">
        <v>15798</v>
      </c>
      <c r="C15800" s="10" t="inlineStr">
        <is>
          <t>Nhân Viên  Nhà Hàng - Parttime</t>
        </is>
      </c>
      <c r="D15800" s="10" t="inlineStr">
        <is>
          <t>BỆNH VIỆN ĐA KHOA PHƯƠNG ĐÔNG</t>
        </is>
      </c>
      <c r="E15800" s="10" t="inlineStr">
        <is>
          <t>Lương:Cạnh tranh</t>
        </is>
      </c>
      <c r="F15800" s="10" t="inlineStr">
        <is>
          <t>Hà Nội</t>
        </is>
      </c>
      <c r="G15800" s="10" t="inlineStr">
        <is>
          <t>31-05-2026</t>
        </is>
      </c>
      <c r="H15800" s="10" t="inlineStr">
        <is>
          <t>31/05/2026</t>
        </is>
      </c>
      <c r="I15800" s="10" t="inlineStr">
        <is>
          <t>17/03/2026</t>
        </is>
      </c>
      <c r="J15800" s="10" t="inlineStr">
        <is>
          <t>Dịch vụ khách hàng, Nhà hàng / Khách sạn</t>
        </is>
      </c>
      <c r="K15800" s="10" t="inlineStr">
        <is>
          <t>N/A</t>
        </is>
      </c>
      <c r="L15800" s="11">
        <f>HYPERLINK("https://careerviet.vn/vi/tim-viec-lam/nhan-vien-nha-hang-parttime.35C690F9.html","Xem chi tiết")</f>
        <v/>
      </c>
      <c r="M15800" s="10" t="n"/>
    </row>
    <row r="15801">
      <c r="B15801" s="7" t="n">
        <v>15799</v>
      </c>
      <c r="C15801" t="inlineStr">
        <is>
          <t>Nhân viên báo cáo - Report Typist [Tuyển Dụng Bổ Sung Do Mở Rộng Kinh Doanh]</t>
        </is>
      </c>
      <c r="D15801" t="inlineStr">
        <is>
          <t>CÔNG TY TNHH K O T I T I VIỆT NAM</t>
        </is>
      </c>
      <c r="E15801" t="inlineStr">
        <is>
          <t>Lương:9 Tr - 17 Tr VND</t>
        </is>
      </c>
      <c r="F15801" t="inlineStr">
        <is>
          <t>Hồ Chí Minh</t>
        </is>
      </c>
      <c r="G15801" t="inlineStr">
        <is>
          <t>26-03-2026</t>
        </is>
      </c>
      <c r="H15801" t="inlineStr">
        <is>
          <t>26/03/2026</t>
        </is>
      </c>
      <c r="I15801" t="inlineStr">
        <is>
          <t>17/03/2026</t>
        </is>
      </c>
      <c r="J15801" t="inlineStr">
        <is>
          <t>Bán hàng / Kinh doanh, Hóa học, Dệt may / Da giày / Thời trang</t>
        </is>
      </c>
      <c r="K15801" t="inlineStr">
        <is>
          <t>Trên 1 Năm</t>
        </is>
      </c>
      <c r="L15801" s="8">
        <f>HYPERLINK("https://careerviet.vn/vi/tim-viec-lam/nhan-vien-bao-cao-report-typist-tuyen-dung-bo-sung-do-mo-rong-kinh-doanh.35C692BF.html","Xem chi tiết")</f>
        <v/>
      </c>
    </row>
    <row r="15802">
      <c r="B15802" s="9" t="n">
        <v>15800</v>
      </c>
      <c r="C15802" s="10" t="inlineStr">
        <is>
          <t>Nhân viên kế toán</t>
        </is>
      </c>
      <c r="D15802" s="10" t="inlineStr">
        <is>
          <t>CÔNG TY TNHH ĐẦU TƯ XÂY DỰNG PHÁT TRIỂN THÁI DƯƠNG</t>
        </is>
      </c>
      <c r="E15802" s="10" t="inlineStr">
        <is>
          <t>Lương:10 Tr - 12 Tr VND</t>
        </is>
      </c>
      <c r="F15802" s="10" t="inlineStr">
        <is>
          <t>Hồ Chí Minh</t>
        </is>
      </c>
      <c r="G15802" s="10" t="inlineStr">
        <is>
          <t>31-03-2026</t>
        </is>
      </c>
      <c r="H15802" s="10" t="inlineStr">
        <is>
          <t>31/03/2026</t>
        </is>
      </c>
      <c r="I15802" s="10" t="inlineStr">
        <is>
          <t>17/03/2026</t>
        </is>
      </c>
      <c r="J15802" s="10" t="inlineStr">
        <is>
          <t>Kế toán / Kiểm toán</t>
        </is>
      </c>
      <c r="K15802" s="10" t="inlineStr">
        <is>
          <t>1 - 2 Năm</t>
        </is>
      </c>
      <c r="L15802" s="11">
        <f>HYPERLINK("https://careerviet.vn/vi/tim-viec-lam/nhan-vien-ke-toan.35C693B0.html","Xem chi tiết")</f>
        <v/>
      </c>
      <c r="M15802" s="10" t="n"/>
    </row>
    <row r="15803">
      <c r="B15803" s="7" t="n">
        <v>15801</v>
      </c>
      <c r="C15803" t="inlineStr">
        <is>
          <t>CHUYÊN VIÊN TUYỂN DỤNG - F&amp;B</t>
        </is>
      </c>
      <c r="D15803" t="inlineStr">
        <is>
          <t>Công Ty Cổ Phần Tầm Nhìn Quốc Tế Aladdin</t>
        </is>
      </c>
      <c r="E15803" t="inlineStr">
        <is>
          <t>Lương:Cạnh tranh</t>
        </is>
      </c>
      <c r="F15803" t="inlineStr">
        <is>
          <t>Hồ Chí Minh</t>
        </is>
      </c>
      <c r="G15803" t="inlineStr">
        <is>
          <t>24-03-2026</t>
        </is>
      </c>
      <c r="H15803" t="inlineStr">
        <is>
          <t>24/03/2026</t>
        </is>
      </c>
      <c r="I15803" t="inlineStr">
        <is>
          <t>17/03/2026</t>
        </is>
      </c>
      <c r="J15803" t="inlineStr">
        <is>
          <t>Bán lẻ / Bán sỉ, Nhân sự, Nhà hàng / Khách sạn</t>
        </is>
      </c>
      <c r="K15803" t="inlineStr">
        <is>
          <t>2 - 3 Năm</t>
        </is>
      </c>
      <c r="L15803" s="8">
        <f>HYPERLINK("https://careerviet.vn/vi/tim-viec-lam/chuyen-vien-tuyen-dung-f-b.35C6900A.html","Xem chi tiết")</f>
        <v/>
      </c>
    </row>
    <row r="15804">
      <c r="B15804" s="9" t="n">
        <v>15802</v>
      </c>
      <c r="C15804" s="10" t="inlineStr">
        <is>
          <t>Chuyên Viên Hành chính - GA Executive</t>
        </is>
      </c>
      <c r="D15804" s="10" t="inlineStr">
        <is>
          <t>CÔNG TY TNHH K O T I T I VIỆT NAM</t>
        </is>
      </c>
      <c r="E15804" s="10" t="inlineStr">
        <is>
          <t>Lương:9 Tr - 18 Tr VND</t>
        </is>
      </c>
      <c r="F15804" s="10" t="inlineStr">
        <is>
          <t>Hồ Chí Minh</t>
        </is>
      </c>
      <c r="G15804" s="10" t="inlineStr">
        <is>
          <t>26-03-2026</t>
        </is>
      </c>
      <c r="H15804" s="10" t="inlineStr">
        <is>
          <t>26/03/2026</t>
        </is>
      </c>
      <c r="I15804" s="10" t="inlineStr">
        <is>
          <t>17/03/2026</t>
        </is>
      </c>
      <c r="J15804" s="10" t="inlineStr">
        <is>
          <t>Luật / Pháp lý, Hành chính / Thư ký, Nhân sự</t>
        </is>
      </c>
      <c r="K15804" s="10" t="inlineStr">
        <is>
          <t>1 - 6 Năm</t>
        </is>
      </c>
      <c r="L15804" s="11">
        <f>HYPERLINK("https://careerviet.vn/vi/tim-viec-lam/chuyen-vien-hanh-chinh-ga-executive.35C69299.html","Xem chi tiết")</f>
        <v/>
      </c>
      <c r="M15804" s="10" t="n"/>
    </row>
    <row r="15805">
      <c r="B15805" s="7" t="n">
        <v>15803</v>
      </c>
      <c r="C15805" t="inlineStr">
        <is>
          <t>Nhân Viên Kinh Doanh / Sales Thị Trường Yên Bái</t>
        </is>
      </c>
      <c r="D15805" t="inlineStr">
        <is>
          <t>NANOCO GROUP</t>
        </is>
      </c>
      <c r="E15805" t="inlineStr">
        <is>
          <t>Lương:Cạnh tranh</t>
        </is>
      </c>
      <c r="F15805" t="inlineStr">
        <is>
          <t>Yên Bái</t>
        </is>
      </c>
      <c r="G15805" t="inlineStr">
        <is>
          <t>25-03-2026</t>
        </is>
      </c>
      <c r="H15805" t="inlineStr">
        <is>
          <t>25/03/2026</t>
        </is>
      </c>
      <c r="I15805" t="inlineStr">
        <is>
          <t>17/03/2026</t>
        </is>
      </c>
      <c r="J15805" t="inlineStr">
        <is>
          <t>Bán hàng / Kinh doanh, Bán lẻ / Bán sỉ, Tiếp thị / Marketing</t>
        </is>
      </c>
      <c r="K15805" t="inlineStr">
        <is>
          <t>Trên 1 Năm</t>
        </is>
      </c>
      <c r="L15805" s="8">
        <f>HYPERLINK("https://careerviet.vn/vi/tim-viec-lam/nhan-vien-kinh-doanh-sales-thi-truong-yen-bai.35C6908D.html","Xem chi tiết")</f>
        <v/>
      </c>
    </row>
    <row r="15806">
      <c r="B15806" s="9" t="n">
        <v>15804</v>
      </c>
      <c r="C15806" s="10" t="inlineStr">
        <is>
          <t>Nhân viên thiết kế 3D sự kiện</t>
        </is>
      </c>
      <c r="D15806" s="10" t="inlineStr">
        <is>
          <t>HEXAGON - CÔNG TY CỔ PHẦN THIẾT KẾ LỤC GIÁC</t>
        </is>
      </c>
      <c r="E15806" s="10" t="inlineStr">
        <is>
          <t>Lương:12 Tr - 16 Tr VND</t>
        </is>
      </c>
      <c r="F15806" s="10" t="inlineStr">
        <is>
          <t>Hà Nội</t>
        </is>
      </c>
      <c r="G15806" s="10" t="inlineStr">
        <is>
          <t>28-03-2026</t>
        </is>
      </c>
      <c r="H15806" s="10" t="inlineStr">
        <is>
          <t>28/03/2026</t>
        </is>
      </c>
      <c r="I15806" s="10" t="inlineStr">
        <is>
          <t>17/03/2026</t>
        </is>
      </c>
      <c r="J15806" s="10" t="inlineStr">
        <is>
          <t>Mỹ thuật / Nghệ thuật / Thiết kế, Tổ chức sự kiện</t>
        </is>
      </c>
      <c r="K15806" s="10" t="inlineStr">
        <is>
          <t>2 - 3 Năm</t>
        </is>
      </c>
      <c r="L15806" s="11">
        <f>HYPERLINK("https://careerviet.vn/vi/tim-viec-lam/nhan-vien-thiet-ke-3d-su-kien.35C6941A.html","Xem chi tiết")</f>
        <v/>
      </c>
      <c r="M15806" s="10" t="n"/>
    </row>
    <row r="15807">
      <c r="B15807" s="7" t="n">
        <v>15805</v>
      </c>
      <c r="C15807" t="inlineStr">
        <is>
          <t>Kế toán tổng hợp</t>
        </is>
      </c>
      <c r="D15807" t="inlineStr">
        <is>
          <t>CÔNG TY CỔ PHẦN NGUYÊN LIỆU THỰC PHẨM MONOVA</t>
        </is>
      </c>
      <c r="E15807" t="inlineStr">
        <is>
          <t>Lương:15 Tr - 18 Tr VND</t>
        </is>
      </c>
      <c r="F15807" t="inlineStr">
        <is>
          <t>Hồ Chí Minh</t>
        </is>
      </c>
      <c r="G15807" t="inlineStr">
        <is>
          <t>6</t>
        </is>
      </c>
      <c r="H15807" t="inlineStr">
        <is>
          <t>23/03/2026</t>
        </is>
      </c>
      <c r="I15807" t="inlineStr">
        <is>
          <t>17/03/2026</t>
        </is>
      </c>
      <c r="J15807" t="inlineStr">
        <is>
          <t>Kế toán / Kiểm toán</t>
        </is>
      </c>
      <c r="K15807" t="inlineStr">
        <is>
          <t>3 - 4 Năm</t>
        </is>
      </c>
      <c r="L15807" s="8">
        <f>HYPERLINK("https://careerviet.vn/vi/tim-viec-lam/ke-toan-tong-hop.35C68FC5.html","Xem chi tiết")</f>
        <v/>
      </c>
    </row>
    <row r="15808">
      <c r="B15808" s="9" t="n">
        <v>15806</v>
      </c>
      <c r="C15808" s="10" t="inlineStr">
        <is>
          <t>CHUYÊN VIÊN GIẢI PHÓNG MẶT BẰNG</t>
        </is>
      </c>
      <c r="D15808" s="10" t="inlineStr">
        <is>
          <t>CÔNG TY CỔ PHẦN GREEN I-PARK</t>
        </is>
      </c>
      <c r="E15808" s="10" t="inlineStr">
        <is>
          <t>Lương:15 Tr - 18 Tr VND</t>
        </is>
      </c>
      <c r="F15808" s="10" t="inlineStr">
        <is>
          <t>Toàn quốcTrà VinhĐồng Bằng Sông Cửu Long</t>
        </is>
      </c>
      <c r="G15808" s="10" t="inlineStr">
        <is>
          <t>31-03-2026</t>
        </is>
      </c>
      <c r="H15808" s="10" t="inlineStr">
        <is>
          <t>31/03/2026</t>
        </is>
      </c>
      <c r="I15808" s="10" t="inlineStr">
        <is>
          <t>17/03/2026</t>
        </is>
      </c>
      <c r="J15808" s="10" t="inlineStr">
        <is>
          <t>Trắc địa / Địa Chất, Xây dựng, Bất động sản</t>
        </is>
      </c>
      <c r="K15808" s="10" t="inlineStr">
        <is>
          <t>3 - 5 Năm</t>
        </is>
      </c>
      <c r="L15808" s="11">
        <f>HYPERLINK("https://careerviet.vn/vi/tim-viec-lam/chuyen-vien-giai-phong-mat-bang.35C69383.html","Xem chi tiết")</f>
        <v/>
      </c>
      <c r="M15808" s="10" t="n"/>
    </row>
    <row r="15809">
      <c r="B15809" s="7" t="n">
        <v>15807</v>
      </c>
      <c r="C15809" t="inlineStr">
        <is>
          <t>Chuyên Viên Báo Cáo &amp; Kiểm Soát Thương Mại</t>
        </is>
      </c>
      <c r="D15809" t="inlineStr">
        <is>
          <t>BETRIMEX - Công Ty Cổ Phần Xuất Nhập Khẩu Bến Tre</t>
        </is>
      </c>
      <c r="E15809" t="inlineStr">
        <is>
          <t>Lương:Cạnh tranh</t>
        </is>
      </c>
      <c r="F15809" t="inlineStr">
        <is>
          <t>Hồ Chí Minh</t>
        </is>
      </c>
      <c r="G15809" t="inlineStr">
        <is>
          <t>24-03-2026</t>
        </is>
      </c>
      <c r="H15809" t="inlineStr">
        <is>
          <t>24/03/2026</t>
        </is>
      </c>
      <c r="I15809" t="inlineStr">
        <is>
          <t>17/03/2026</t>
        </is>
      </c>
      <c r="J15809" t="inlineStr">
        <is>
          <t>Kế toán / Kiểm toán, Tài chính / Đầu tư</t>
        </is>
      </c>
      <c r="K15809" t="inlineStr">
        <is>
          <t>3 - 5 Năm</t>
        </is>
      </c>
      <c r="L15809" s="8">
        <f>HYPERLINK("https://careerviet.vn/vi/tim-viec-lam/chuyen-vien-bao-cao-kiem-soat-thuong-mai.35C692A4.html","Xem chi tiết")</f>
        <v/>
      </c>
    </row>
    <row r="15810">
      <c r="B15810" s="9" t="n">
        <v>15808</v>
      </c>
      <c r="C15810" s="10" t="inlineStr">
        <is>
          <t>CHUYÊN VIÊN NHÂN SỰ TỔNG HỢP/ HR GENERALIST</t>
        </is>
      </c>
      <c r="D15810" s="10" t="inlineStr">
        <is>
          <t>Công ty TNHH Cobi One</t>
        </is>
      </c>
      <c r="E15810" s="10" t="inlineStr">
        <is>
          <t>Lương:13 Tr - 16 Tr VND</t>
        </is>
      </c>
      <c r="F15810" s="10" t="inlineStr">
        <is>
          <t>Long An</t>
        </is>
      </c>
      <c r="G15810" s="10" t="inlineStr">
        <is>
          <t>31-03-2026</t>
        </is>
      </c>
      <c r="H15810" s="10" t="inlineStr">
        <is>
          <t>31/03/2026</t>
        </is>
      </c>
      <c r="I15810" s="10" t="inlineStr">
        <is>
          <t>17/03/2026</t>
        </is>
      </c>
      <c r="J15810" s="10" t="inlineStr">
        <is>
          <t>Quản lý điều hành, Nhân sự</t>
        </is>
      </c>
      <c r="K15810" s="10" t="inlineStr">
        <is>
          <t>2 - 4 Năm</t>
        </is>
      </c>
      <c r="L15810" s="11">
        <f>HYPERLINK("https://careerviet.vn/vi/tim-viec-lam/chuyen-vien-nhan-su-tong-hop-hr-generalist.35C68FFD.html","Xem chi tiết")</f>
        <v/>
      </c>
      <c r="M15810" s="10" t="n"/>
    </row>
    <row r="15811">
      <c r="B15811" s="7" t="n">
        <v>15809</v>
      </c>
      <c r="C15811" t="inlineStr">
        <is>
          <t>Quản lý Dự án (Project Manager)</t>
        </is>
      </c>
      <c r="D15811" t="inlineStr">
        <is>
          <t>AD BUILDING - CÔNG TY CỔ PHẦN KẾT CẤU THÉP WIN STEEL</t>
        </is>
      </c>
      <c r="E15811" t="inlineStr">
        <is>
          <t>Lương:20 Tr - 30 Tr VND</t>
        </is>
      </c>
      <c r="F15811" t="inlineStr">
        <is>
          <t>Hồ Chí Minh</t>
        </is>
      </c>
      <c r="G15811" t="inlineStr">
        <is>
          <t>31-03-2026</t>
        </is>
      </c>
      <c r="H15811" t="inlineStr">
        <is>
          <t>31/03/2026</t>
        </is>
      </c>
      <c r="I15811" t="inlineStr">
        <is>
          <t>17/03/2026</t>
        </is>
      </c>
      <c r="J15811" t="inlineStr">
        <is>
          <t>Xây dựng, Sản xuất / Vận hành sản xuất</t>
        </is>
      </c>
      <c r="K15811" t="inlineStr">
        <is>
          <t>3 - 5 Năm</t>
        </is>
      </c>
      <c r="L15811" s="8">
        <f>HYPERLINK("https://careerviet.vn/vi/tim-viec-lam/quan-ly-du-an-project-manager.35C69115.html","Xem chi tiết")</f>
        <v/>
      </c>
    </row>
    <row r="15812">
      <c r="B15812" s="9" t="n">
        <v>15810</v>
      </c>
      <c r="C15812" s="10" t="inlineStr">
        <is>
          <t>VJ LIVESTREAM</t>
        </is>
      </c>
      <c r="D15812" s="10" t="inlineStr">
        <is>
          <t>CÔNG TY TNHH XUẤT NHẬP KHẨU RUTOP VIỆT NAM - Thương Hiệu Toptotoes</t>
        </is>
      </c>
      <c r="E15812" s="10" t="inlineStr">
        <is>
          <t>Lương:12 Tr - 20 Tr VND</t>
        </is>
      </c>
      <c r="F15812" s="10" t="inlineStr">
        <is>
          <t>Hồ Chí Minh</t>
        </is>
      </c>
      <c r="G15812" s="10" t="inlineStr">
        <is>
          <t>31-03-2026</t>
        </is>
      </c>
      <c r="H15812" s="10" t="inlineStr">
        <is>
          <t>31/03/2026</t>
        </is>
      </c>
      <c r="I15812" s="10" t="inlineStr">
        <is>
          <t>17/03/2026</t>
        </is>
      </c>
      <c r="J15812" s="10" t="inlineStr">
        <is>
          <t>Tiếp thị trực tuyến, Giải trí, Quảng cáo / Đối ngoại / Truyền Thông</t>
        </is>
      </c>
      <c r="K15812" s="10" t="inlineStr">
        <is>
          <t>1 - 3 Năm</t>
        </is>
      </c>
      <c r="L15812" s="11">
        <f>HYPERLINK("https://careerviet.vn/vi/tim-viec-lam/vj-livestream.35C690B6.html","Xem chi tiết")</f>
        <v/>
      </c>
      <c r="M15812" s="10" t="n"/>
    </row>
    <row r="15813">
      <c r="B15813" s="7" t="n">
        <v>15811</v>
      </c>
      <c r="C15813" t="inlineStr">
        <is>
          <t>Kỹ sư xây dựng</t>
        </is>
      </c>
      <c r="D15813" t="inlineStr">
        <is>
          <t>Công Ty TNHH Xây Dựng Và Thương Mại An Tâm</t>
        </is>
      </c>
      <c r="E15813" t="inlineStr">
        <is>
          <t>Lương:Cạnh tranh</t>
        </is>
      </c>
      <c r="F15813" t="inlineStr">
        <is>
          <t>Hồ Chí Minh</t>
        </is>
      </c>
      <c r="G15813" t="inlineStr">
        <is>
          <t>31-03-2026</t>
        </is>
      </c>
      <c r="H15813" t="inlineStr">
        <is>
          <t>31/03/2026</t>
        </is>
      </c>
      <c r="I15813" t="inlineStr">
        <is>
          <t>17/03/2026</t>
        </is>
      </c>
      <c r="J15813" t="inlineStr">
        <is>
          <t>Xây dựng</t>
        </is>
      </c>
      <c r="K15813" t="inlineStr">
        <is>
          <t>N/A</t>
        </is>
      </c>
      <c r="L15813" s="8">
        <f>HYPERLINK("https://careerviet.vn/vi/tim-viec-lam/ky-su-xay-dung.35C68F97.html","Xem chi tiết")</f>
        <v/>
      </c>
    </row>
    <row r="15814">
      <c r="B15814" s="9" t="n">
        <v>15812</v>
      </c>
      <c r="C15814" s="10" t="inlineStr">
        <is>
          <t>NHÂN VIÊN BÁN HÀNG TẠI SHOWROOM</t>
        </is>
      </c>
      <c r="D15814" s="10" t="inlineStr">
        <is>
          <t>Hệ Thống Cửa Hàng Giày Da Đông Hải</t>
        </is>
      </c>
      <c r="E15814" s="10" t="inlineStr">
        <is>
          <t>Lương:8 Tr - 10 Tr VND</t>
        </is>
      </c>
      <c r="F15814" s="10" t="inlineStr">
        <is>
          <t>Đồng Nai</t>
        </is>
      </c>
      <c r="G15814" s="10" t="inlineStr">
        <is>
          <t>31-03-2026</t>
        </is>
      </c>
      <c r="H15814" s="10" t="inlineStr">
        <is>
          <t>31/03/2026</t>
        </is>
      </c>
      <c r="I15814" s="10" t="inlineStr">
        <is>
          <t>17/03/2026</t>
        </is>
      </c>
      <c r="J15814" s="10" t="inlineStr">
        <is>
          <t>Bán hàng / Kinh doanh, Bán lẻ / Bán sỉ, Tư vấn</t>
        </is>
      </c>
      <c r="K15814" s="10" t="inlineStr">
        <is>
          <t>N/A</t>
        </is>
      </c>
      <c r="L15814" s="11">
        <f>HYPERLINK("https://careerviet.vn/vi/tim-viec-lam/nhan-vien-ban-hang-tai-showroom.35C6912B.html","Xem chi tiết")</f>
        <v/>
      </c>
      <c r="M15814" s="10" t="n"/>
    </row>
    <row r="15815">
      <c r="B15815" s="7" t="n">
        <v>15813</v>
      </c>
      <c r="C15815" t="inlineStr">
        <is>
          <t>Nhân viên kinh doanh - Khu vực Tỉnh Miền Nam lương upto 15.000.000VNĐ</t>
        </is>
      </c>
      <c r="D15815" t="inlineStr">
        <is>
          <t>Công Ty TNHH XNK Cầu Nối Việt</t>
        </is>
      </c>
      <c r="E15815" t="inlineStr">
        <is>
          <t>Lương:14 Tr - 20 Tr VND</t>
        </is>
      </c>
      <c r="F15815" t="inlineStr">
        <is>
          <t>Hồ Chí Minh</t>
        </is>
      </c>
      <c r="G15815" t="inlineStr">
        <is>
          <t>30-04-2026</t>
        </is>
      </c>
      <c r="H15815" t="inlineStr">
        <is>
          <t>30/04/2026</t>
        </is>
      </c>
      <c r="I15815" t="inlineStr">
        <is>
          <t>17/03/2026</t>
        </is>
      </c>
      <c r="J15815" t="inlineStr">
        <is>
          <t>Bán hàng / Kinh doanh</t>
        </is>
      </c>
      <c r="K15815" t="inlineStr">
        <is>
          <t>Lên đến 1 Năm</t>
        </is>
      </c>
      <c r="L15815" s="8">
        <f>HYPERLINK("https://careerviet.vn/vi/tim-viec-lam/nhan-vien-kinh-doanh-khu-vuc-tinh-mien-nam-luong-upto-15-000-000vnd.35C69452.html","Xem chi tiết")</f>
        <v/>
      </c>
    </row>
    <row r="15816">
      <c r="B15816" s="9" t="n">
        <v>15814</v>
      </c>
      <c r="C15816" s="10" t="inlineStr">
        <is>
          <t>Trường phòng Kho Nguyên vật liệu (Raw Materials Warehouse Supervisor) - Tiếng Trung</t>
        </is>
      </c>
      <c r="D15816" s="10" t="inlineStr">
        <is>
          <t>CÔNG TY TNHH ELECTRONIC TRIPOD VIỆT NAM (CHÂU ĐỨC)</t>
        </is>
      </c>
      <c r="E15816" s="10" t="inlineStr">
        <is>
          <t>Lương:Cạnh tranh</t>
        </is>
      </c>
      <c r="F15816" s="10" t="inlineStr">
        <is>
          <t>Bà Rịa - Vũng TàuĐồng Nai</t>
        </is>
      </c>
      <c r="G15816" s="10" t="inlineStr">
        <is>
          <t>24-03-2026</t>
        </is>
      </c>
      <c r="H15816" s="10" t="inlineStr">
        <is>
          <t>24/03/2026</t>
        </is>
      </c>
      <c r="I15816" s="10" t="inlineStr">
        <is>
          <t>17/03/2026</t>
        </is>
      </c>
      <c r="J15816" s="10" t="inlineStr">
        <is>
          <t>Vận chuyển / Giao nhận / Kho vận, Quản lý điều hành, Xuất nhập khẩu</t>
        </is>
      </c>
      <c r="K15816" s="10" t="inlineStr">
        <is>
          <t>2 - 4 Năm</t>
        </is>
      </c>
      <c r="L15816" s="11">
        <f>HYPERLINK("https://careerviet.vn/vi/tim-viec-lam/truong-phong-kho-nguyen-vat-lieu-raw-materials-warehouse-supervisor-tieng-trung.35C691B1.html","Xem chi tiết")</f>
        <v/>
      </c>
      <c r="M15816" s="10" t="n"/>
    </row>
    <row r="15817">
      <c r="B15817" s="7" t="n">
        <v>15815</v>
      </c>
      <c r="C15817" t="inlineStr">
        <is>
          <t>Nhân viên Kinh doanh lĩnh vực sự kiện thể thao (Full time)</t>
        </is>
      </c>
      <c r="D15817" t="inlineStr">
        <is>
          <t>Xuân Cầu Holdings</t>
        </is>
      </c>
      <c r="E15817" t="inlineStr">
        <is>
          <t>Lương:Cạnh tranh</t>
        </is>
      </c>
      <c r="F15817" t="inlineStr">
        <is>
          <t>Hà Nội</t>
        </is>
      </c>
      <c r="G15817" t="inlineStr">
        <is>
          <t>6</t>
        </is>
      </c>
      <c r="H15817" t="inlineStr">
        <is>
          <t>23/03/2026</t>
        </is>
      </c>
      <c r="I15817" t="inlineStr">
        <is>
          <t>17/03/2026</t>
        </is>
      </c>
      <c r="J15817" t="inlineStr">
        <is>
          <t>Bán hàng / Kinh doanh, Quảng cáo / Đối ngoại / Truyền Thông, Tổ chức sự kiện</t>
        </is>
      </c>
      <c r="K15817" t="inlineStr">
        <is>
          <t>1 - 2 Năm</t>
        </is>
      </c>
      <c r="L15817" s="8">
        <f>HYPERLINK("https://careerviet.vn/vi/tim-viec-lam/nhan-vien-kinh-doanh-linh-vuc-su-kien-the-thao-full-time.35C6926D.html","Xem chi tiết")</f>
        <v/>
      </c>
    </row>
    <row r="15818">
      <c r="B15818" s="9" t="n">
        <v>15816</v>
      </c>
      <c r="C15818" s="10" t="inlineStr">
        <is>
          <t>NHÂN VIÊN KỸ THUẬT HIỆN TRƯỜNG - LÀM VIỆC TẠI DỰ ÁN</t>
        </is>
      </c>
      <c r="D15818" s="10" t="inlineStr">
        <is>
          <t>Công ty cổ phần xây dựng công nghiệp Megacon</t>
        </is>
      </c>
      <c r="E15818" s="10" t="inlineStr">
        <is>
          <t>Lương:16 Tr - 22 Tr VND</t>
        </is>
      </c>
      <c r="F15818" s="10" t="inlineStr">
        <is>
          <t>Hưng Yên</t>
        </is>
      </c>
      <c r="G15818" s="10" t="inlineStr">
        <is>
          <t>30-04-2026</t>
        </is>
      </c>
      <c r="H15818" s="10" t="inlineStr">
        <is>
          <t>30/04/2026</t>
        </is>
      </c>
      <c r="I15818" s="10" t="inlineStr">
        <is>
          <t>17/03/2026</t>
        </is>
      </c>
      <c r="J15818" s="10" t="inlineStr">
        <is>
          <t>Xây dựng</t>
        </is>
      </c>
      <c r="K15818" s="10" t="inlineStr">
        <is>
          <t>Trên 2 Năm</t>
        </is>
      </c>
      <c r="L15818" s="11">
        <f>HYPERLINK("https://careerviet.vn/vi/tim-viec-lam/nhan-vien-ky-thuat-hien-truong-lam-viec-tai-du-an.35C69013.html","Xem chi tiết")</f>
        <v/>
      </c>
      <c r="M15818" s="10" t="n"/>
    </row>
    <row r="15819">
      <c r="B15819" s="7" t="n">
        <v>15817</v>
      </c>
      <c r="C15819" t="inlineStr">
        <is>
          <t>[Hải Phòng] Nhân viên dịch vụ khách hàng_ Vận tải</t>
        </is>
      </c>
      <c r="D15819" t="inlineStr">
        <is>
          <t>CÔNG TY CỔ PHẦN  ITL LOGISTICS</t>
        </is>
      </c>
      <c r="E15819" t="inlineStr">
        <is>
          <t>Lương:10 Tr - 12 Tr VND</t>
        </is>
      </c>
      <c r="F15819" t="inlineStr">
        <is>
          <t>Hải Phòng</t>
        </is>
      </c>
      <c r="G15819" t="inlineStr">
        <is>
          <t>31-03-2026</t>
        </is>
      </c>
      <c r="H15819" t="inlineStr">
        <is>
          <t>31/03/2026</t>
        </is>
      </c>
      <c r="I15819" t="inlineStr">
        <is>
          <t>17/03/2026</t>
        </is>
      </c>
      <c r="J15819" t="inlineStr">
        <is>
          <t>Vận chuyển / Giao nhận / Kho vận</t>
        </is>
      </c>
      <c r="K15819" t="inlineStr">
        <is>
          <t>1 - 2 Năm</t>
        </is>
      </c>
      <c r="L15819" s="8">
        <f>HYPERLINK("https://careerviet.vn/vi/tim-viec-lam/hai-phong-nhan-vien-dich-vu-khach-hang_-van-tai.35C69055.html","Xem chi tiết")</f>
        <v/>
      </c>
    </row>
    <row r="15820">
      <c r="B15820" s="9" t="n">
        <v>15818</v>
      </c>
      <c r="C15820" s="10" t="inlineStr">
        <is>
          <t>Chuyên viên Kinh doanh dự án (Xây dựng và cung ứng vật tư)</t>
        </is>
      </c>
      <c r="D15820" s="10" t="inlineStr">
        <is>
          <t>CÔNG TY TNHH PHÁT TRIỂN THƯƠNG HIỆU VÀ DỊCH VỤ KẾT NỐI BÁN LẺ CHÂU Á</t>
        </is>
      </c>
      <c r="E15820" s="10" t="inlineStr">
        <is>
          <t>Lương:12 Tr - 30 Tr VND</t>
        </is>
      </c>
      <c r="F15820" s="10" t="inlineStr">
        <is>
          <t>Hồ Chí Minh</t>
        </is>
      </c>
      <c r="G15820" s="10" t="inlineStr">
        <is>
          <t>24-03-2026</t>
        </is>
      </c>
      <c r="H15820" s="10" t="inlineStr">
        <is>
          <t>24/03/2026</t>
        </is>
      </c>
      <c r="I15820" s="10" t="inlineStr">
        <is>
          <t>17/03/2026</t>
        </is>
      </c>
      <c r="J15820" s="10" t="inlineStr">
        <is>
          <t>Bán hàng / Kinh doanh, Bán lẻ / Bán sỉ</t>
        </is>
      </c>
      <c r="K15820" s="10" t="inlineStr">
        <is>
          <t>3 - 5 Năm</t>
        </is>
      </c>
      <c r="L15820" s="11">
        <f>HYPERLINK("https://careerviet.vn/vi/tim-viec-lam/chuyen-vien-kinh-doanh-du-an-xay-dung-va-cung-ung-vat-tu.35C69221.html","Xem chi tiết")</f>
        <v/>
      </c>
      <c r="M15820" s="10" t="n"/>
    </row>
    <row r="15821">
      <c r="B15821" s="7" t="n">
        <v>15819</v>
      </c>
      <c r="C15821" t="inlineStr">
        <is>
          <t>Kỹ Sư Cơ Khí Tự Động Hóa Công Nghiệp</t>
        </is>
      </c>
      <c r="D15821" t="inlineStr">
        <is>
          <t>Công ty TNHH LECI</t>
        </is>
      </c>
      <c r="E15821" t="inlineStr">
        <is>
          <t>Lương:8 Tr - 12 Tr VND</t>
        </is>
      </c>
      <c r="F15821" t="inlineStr">
        <is>
          <t>Hồ Chí MinhHà Nội</t>
        </is>
      </c>
      <c r="G15821" t="inlineStr">
        <is>
          <t>6</t>
        </is>
      </c>
      <c r="H15821" t="inlineStr">
        <is>
          <t>23/03/2026</t>
        </is>
      </c>
      <c r="I15821" t="inlineStr">
        <is>
          <t>17/03/2026</t>
        </is>
      </c>
      <c r="J15821" t="inlineStr">
        <is>
          <t>Cơ khí / Ô tô / Tự động hóa, Điện / Điện tử / Điện lạnh / Điện công nghiệp, Bảo trì / Sửa chữa</t>
        </is>
      </c>
      <c r="K15821" t="inlineStr">
        <is>
          <t>1 - 2 Năm</t>
        </is>
      </c>
      <c r="L15821" s="8">
        <f>HYPERLINK("https://careerviet.vn/vi/tim-viec-lam/ky-su-co-khi-tu-dong-hoa-cong-nghiep.35C69148.html","Xem chi tiết")</f>
        <v/>
      </c>
    </row>
    <row r="15822">
      <c r="B15822" s="9" t="n">
        <v>15820</v>
      </c>
      <c r="C15822" s="10" t="inlineStr">
        <is>
          <t>KỸ SƯ CHẤT LƯỢNG</t>
        </is>
      </c>
      <c r="D15822" s="10" t="inlineStr">
        <is>
          <t>Công ty TNHH Starry Việt Nam</t>
        </is>
      </c>
      <c r="E15822" s="10" t="inlineStr">
        <is>
          <t>Lương:18 Tr - 25 Tr VND</t>
        </is>
      </c>
      <c r="F15822" s="10" t="inlineStr">
        <is>
          <t>Long An</t>
        </is>
      </c>
      <c r="G15822" s="10" t="inlineStr">
        <is>
          <t>09-03-2026</t>
        </is>
      </c>
      <c r="H15822" s="10" t="inlineStr">
        <is>
          <t>14/03/2026</t>
        </is>
      </c>
      <c r="I15822" s="10" t="inlineStr">
        <is>
          <t>17/03/2026</t>
        </is>
      </c>
      <c r="J15822" s="10" t="inlineStr">
        <is>
          <t>Dệt may / Da giày / Thời trang, Cơ khí / Ô tô / Tự động hóa, Quản lý chất lượng (QA/QC)</t>
        </is>
      </c>
      <c r="K15822" s="10" t="inlineStr">
        <is>
          <t>2 - 5 Năm</t>
        </is>
      </c>
      <c r="L15822" s="11">
        <f>HYPERLINK("https://careerviet.vn/vi/tim-viec-lam/ky-su-chat-luong.35C68828.html","Xem chi tiết")</f>
        <v/>
      </c>
      <c r="M15822" s="10" t="n"/>
    </row>
    <row r="15823">
      <c r="B15823" s="7" t="n">
        <v>15821</v>
      </c>
      <c r="C15823" t="inlineStr">
        <is>
          <t>Nhân Viên Kế toán Thuế (Không yêu cầu kinh nghiệm)</t>
        </is>
      </c>
      <c r="D15823" t="inlineStr">
        <is>
          <t>Công Ty TNHH XNK Cầu Nối Việt</t>
        </is>
      </c>
      <c r="E15823" t="inlineStr">
        <is>
          <t>Lương:8 Tr - 16 Tr VND</t>
        </is>
      </c>
      <c r="F15823" t="inlineStr">
        <is>
          <t>Hà Nội</t>
        </is>
      </c>
      <c r="G15823" t="inlineStr">
        <is>
          <t>30-04-2026</t>
        </is>
      </c>
      <c r="H15823" t="inlineStr">
        <is>
          <t>30/04/2026</t>
        </is>
      </c>
      <c r="I15823" t="inlineStr">
        <is>
          <t>17/03/2026</t>
        </is>
      </c>
      <c r="J15823" t="inlineStr">
        <is>
          <t>Kế toán / Kiểm toán</t>
        </is>
      </c>
      <c r="K15823" t="inlineStr">
        <is>
          <t>N/A</t>
        </is>
      </c>
      <c r="L15823" s="8">
        <f>HYPERLINK("https://careerviet.vn/vi/tim-viec-lam/nhan-vien-ke-toan-thue-khong-yeu-cau-kinh-nghiem.35C69445.html","Xem chi tiết")</f>
        <v/>
      </c>
    </row>
    <row r="15824">
      <c r="B15824" s="9" t="n">
        <v>15822</v>
      </c>
      <c r="C15824" s="10" t="inlineStr">
        <is>
          <t>Admin Kỹ Thuật</t>
        </is>
      </c>
      <c r="D15824" s="10" t="inlineStr">
        <is>
          <t>Công Ty Cổ Phần Tân Vĩnh Cửu (Tavico group)</t>
        </is>
      </c>
      <c r="E15824" s="10" t="inlineStr">
        <is>
          <t>Lương:Cạnh tranh</t>
        </is>
      </c>
      <c r="F15824" s="10" t="inlineStr">
        <is>
          <t>Đồng Nai</t>
        </is>
      </c>
      <c r="G15824" s="10" t="inlineStr">
        <is>
          <t>26-03-2026</t>
        </is>
      </c>
      <c r="H15824" s="10" t="inlineStr">
        <is>
          <t>26/03/2026</t>
        </is>
      </c>
      <c r="I15824" s="10" t="inlineStr">
        <is>
          <t>17/03/2026</t>
        </is>
      </c>
      <c r="J15824" s="10" t="inlineStr">
        <is>
          <t>Bảo trì / Sửa chữa, Điện / Điện tử / Điện lạnh / Điện công nghiệp</t>
        </is>
      </c>
      <c r="K15824" s="10" t="inlineStr">
        <is>
          <t>2 - 3 Năm</t>
        </is>
      </c>
      <c r="L15824" s="11">
        <f>HYPERLINK("https://careerviet.vn/vi/tim-viec-lam/admin-ky-thuat.35C693C3.html","Xem chi tiết")</f>
        <v/>
      </c>
      <c r="M15824" s="10" t="n"/>
    </row>
    <row r="15825">
      <c r="B15825" s="7" t="n">
        <v>15823</v>
      </c>
      <c r="C15825" t="inlineStr">
        <is>
          <t>STORE MANAGER</t>
        </is>
      </c>
      <c r="D15825" t="inlineStr">
        <is>
          <t>Công Ty Cổ Phần Thời Trang &amp; Mỹ Phẩm Duy Anh (DAFC)</t>
        </is>
      </c>
      <c r="E15825" t="inlineStr">
        <is>
          <t>Lương:20 Tr - 25 Tr VND</t>
        </is>
      </c>
      <c r="F15825" t="inlineStr">
        <is>
          <t>Hà Nội</t>
        </is>
      </c>
      <c r="G15825" t="inlineStr">
        <is>
          <t>30-03-2026</t>
        </is>
      </c>
      <c r="H15825" t="inlineStr">
        <is>
          <t>30/03/2026</t>
        </is>
      </c>
      <c r="I15825" t="inlineStr">
        <is>
          <t>17/03/2026</t>
        </is>
      </c>
      <c r="J15825" t="inlineStr">
        <is>
          <t>Bán lẻ / Bán sỉ, Bán hàng / Kinh doanh, Dệt may / Da giày / Thời trang</t>
        </is>
      </c>
      <c r="K15825" t="inlineStr">
        <is>
          <t>2 - 5 Năm</t>
        </is>
      </c>
      <c r="L15825" s="8">
        <f>HYPERLINK("https://careerviet.vn/vi/tim-viec-lam/store-manager.35C690C4.html","Xem chi tiết")</f>
        <v/>
      </c>
    </row>
    <row r="15826">
      <c r="B15826" s="9" t="n">
        <v>15824</v>
      </c>
      <c r="C15826" s="10" t="inlineStr">
        <is>
          <t>NHÂN VIÊN LẬP DỰ TOÁN</t>
        </is>
      </c>
      <c r="D15826" s="10" t="inlineStr">
        <is>
          <t>Công ty cổ phần Kovitech</t>
        </is>
      </c>
      <c r="E15826" s="10" t="inlineStr">
        <is>
          <t>Lương:10 Tr - 15 Tr VND</t>
        </is>
      </c>
      <c r="F15826" s="10" t="inlineStr">
        <is>
          <t>Hà Nội</t>
        </is>
      </c>
      <c r="G15826" s="10" t="inlineStr">
        <is>
          <t>6</t>
        </is>
      </c>
      <c r="H15826" s="10" t="inlineStr">
        <is>
          <t>23/03/2026</t>
        </is>
      </c>
      <c r="I15826" s="10" t="inlineStr">
        <is>
          <t>17/03/2026</t>
        </is>
      </c>
      <c r="J15826" s="10" t="inlineStr">
        <is>
          <t>Kiến trúc, Nội ngoại thất, Xây dựng</t>
        </is>
      </c>
      <c r="K15826" s="10" t="inlineStr">
        <is>
          <t>N/A</t>
        </is>
      </c>
      <c r="L15826" s="11">
        <f>HYPERLINK("https://careerviet.vn/vi/tim-viec-lam/nhan-vien-la-p-du-toa-n.35C69420.html","Xem chi tiết")</f>
        <v/>
      </c>
      <c r="M15826" s="10" t="n"/>
    </row>
    <row r="15827">
      <c r="B15827" s="7" t="n">
        <v>15825</v>
      </c>
      <c r="C15827" t="inlineStr">
        <is>
          <t>Java Developer (Spring Boot, SQL, AWS)</t>
        </is>
      </c>
      <c r="D15827" t="inlineStr">
        <is>
          <t>NGÂN HÀNG TRÁCH NHIỆM HỮU HẠN MỘT THÀNH VIÊN VIỆT NAM HIỆN ĐẠI</t>
        </is>
      </c>
      <c r="E15827" t="inlineStr">
        <is>
          <t>Lương:Cạnh tranh</t>
        </is>
      </c>
      <c r="F15827" t="inlineStr">
        <is>
          <t>Hà Nội</t>
        </is>
      </c>
      <c r="G15827" t="inlineStr">
        <is>
          <t>31-03-2026</t>
        </is>
      </c>
      <c r="H15827" t="inlineStr">
        <is>
          <t>31/03/2026</t>
        </is>
      </c>
      <c r="I15827" t="inlineStr">
        <is>
          <t>17/03/2026</t>
        </is>
      </c>
      <c r="J15827" t="inlineStr">
        <is>
          <t>CNTT - Phần mềm</t>
        </is>
      </c>
      <c r="K15827" t="inlineStr">
        <is>
          <t>1 - 2 Năm</t>
        </is>
      </c>
      <c r="L15827" s="8">
        <f>HYPERLINK("https://careerviet.vn/vi/tim-viec-lam/java-developer-spring-boot-sql-aws.35C6925F.html","Xem chi tiết")</f>
        <v/>
      </c>
    </row>
    <row r="15828">
      <c r="B15828" s="9" t="n">
        <v>15826</v>
      </c>
      <c r="C15828" s="10" t="inlineStr">
        <is>
          <t>[Bình Dương]_Nhân Viên Bảo Trì Hệ Thống Utility</t>
        </is>
      </c>
      <c r="D15828" s="10" t="inlineStr">
        <is>
          <t>BOSTON PHARMA - Công Ty CP Dược Phẩm Boston Việt Nam</t>
        </is>
      </c>
      <c r="E15828" s="10" t="inlineStr">
        <is>
          <t>Lương:Cạnh tranh</t>
        </is>
      </c>
      <c r="F15828" s="10" t="inlineStr">
        <is>
          <t>Bình Dương</t>
        </is>
      </c>
      <c r="G15828" s="10" t="inlineStr">
        <is>
          <t>24-03-2026</t>
        </is>
      </c>
      <c r="H15828" s="10" t="inlineStr">
        <is>
          <t>24/03/2026</t>
        </is>
      </c>
      <c r="I15828" s="10" t="inlineStr">
        <is>
          <t>17/03/2026</t>
        </is>
      </c>
      <c r="J15828" s="10" t="inlineStr">
        <is>
          <t>Cơ khí / Ô tô / Tự động hóa, Điện / Điện tử / Điện lạnh / Điện công nghiệp, Bảo trì / Sửa chữa</t>
        </is>
      </c>
      <c r="K15828" s="10" t="inlineStr">
        <is>
          <t>1 - 3 Năm</t>
        </is>
      </c>
      <c r="L15828" s="11">
        <f>HYPERLINK("https://careerviet.vn/vi/tim-viec-lam/binh-duong-_nhan-vien-bao-tri-he-thong-utility.35C690D1.html","Xem chi tiết")</f>
        <v/>
      </c>
      <c r="M15828" s="10" t="n"/>
    </row>
    <row r="15829">
      <c r="B15829" s="7" t="n">
        <v>15827</v>
      </c>
      <c r="C15829" t="inlineStr">
        <is>
          <t>Trưởng phòng hạ tầng</t>
        </is>
      </c>
      <c r="D15829" t="inlineStr">
        <is>
          <t>Tập Đoàn Tân Á Đại Thành</t>
        </is>
      </c>
      <c r="E15829" t="inlineStr">
        <is>
          <t>Lương:Cạnh tranh</t>
        </is>
      </c>
      <c r="F15829" t="inlineStr">
        <is>
          <t>Hà Nội</t>
        </is>
      </c>
      <c r="G15829" t="inlineStr">
        <is>
          <t>6</t>
        </is>
      </c>
      <c r="H15829" t="inlineStr">
        <is>
          <t>23/03/2026</t>
        </is>
      </c>
      <c r="I15829" t="inlineStr">
        <is>
          <t>17/03/2026</t>
        </is>
      </c>
      <c r="J15829" t="inlineStr">
        <is>
          <t>CNTT - Phần cứng / Mạng</t>
        </is>
      </c>
      <c r="K15829" t="inlineStr">
        <is>
          <t>Trên 5 Năm</t>
        </is>
      </c>
      <c r="L15829" s="8">
        <f>HYPERLINK("https://careerviet.vn/vi/tim-viec-lam/truong-phong-ha-tang.35C69270.html","Xem chi tiết")</f>
        <v/>
      </c>
    </row>
    <row r="15830">
      <c r="B15830" s="9" t="n">
        <v>15828</v>
      </c>
      <c r="C15830" s="10" t="inlineStr">
        <is>
          <t>Nhân Viên Media</t>
        </is>
      </c>
      <c r="D15830" s="10" t="inlineStr">
        <is>
          <t>CHI NHÁNH CÔNG TY CỔ PHẦN Y HỌC VĨNH THIỆN- BỆNH VIỆN ĐẠI HỌC PHENIKAA</t>
        </is>
      </c>
      <c r="E15830" s="10" t="inlineStr">
        <is>
          <t>Lương:13 Tr - 17 Tr VND</t>
        </is>
      </c>
      <c r="F15830" s="10" t="inlineStr">
        <is>
          <t>Hà Nội</t>
        </is>
      </c>
      <c r="G15830" s="10" t="inlineStr">
        <is>
          <t>24-03-2026</t>
        </is>
      </c>
      <c r="H15830" s="10" t="inlineStr">
        <is>
          <t>24/03/2026</t>
        </is>
      </c>
      <c r="I15830" s="10" t="inlineStr">
        <is>
          <t>17/03/2026</t>
        </is>
      </c>
      <c r="J15830" s="10" t="inlineStr">
        <is>
          <t>Truyền hình / Báo chí / Biên tập, Mỹ thuật / Nghệ thuật / Thiết kế, Y tế / Chăm sóc sức khỏe / Thẩm mỹ / Làm đẹp</t>
        </is>
      </c>
      <c r="K15830" s="10" t="inlineStr">
        <is>
          <t>2 - 5 Năm</t>
        </is>
      </c>
      <c r="L15830" s="11">
        <f>HYPERLINK("https://careerviet.vn/vi/tim-viec-lam/nhan-vien-media.35C6939B.html","Xem chi tiết")</f>
        <v/>
      </c>
      <c r="M15830" s="10" t="n"/>
    </row>
    <row r="15831">
      <c r="B15831" s="7" t="n">
        <v>15829</v>
      </c>
      <c r="C15831" t="inlineStr">
        <is>
          <t>Nhân viên kinh doanh cho thuê thiết bị</t>
        </is>
      </c>
      <c r="D15831" t="inlineStr">
        <is>
          <t>Công ty TNHH ACE CT</t>
        </is>
      </c>
      <c r="E15831" t="inlineStr">
        <is>
          <t>Lương:8 Tr - 20 Tr VND</t>
        </is>
      </c>
      <c r="F15831" t="inlineStr">
        <is>
          <t>Hà NộiHồ Chí Minh</t>
        </is>
      </c>
      <c r="G15831" t="inlineStr">
        <is>
          <t>6</t>
        </is>
      </c>
      <c r="H15831" t="inlineStr">
        <is>
          <t>23/03/2026</t>
        </is>
      </c>
      <c r="I15831" t="inlineStr">
        <is>
          <t>17/03/2026</t>
        </is>
      </c>
      <c r="J15831" t="inlineStr">
        <is>
          <t>Bán hàng / Kinh doanh, Bán Hàng Kỹ Thuật, Tiếp thị / Marketing</t>
        </is>
      </c>
      <c r="K15831" t="inlineStr">
        <is>
          <t>1 - 3 Năm</t>
        </is>
      </c>
      <c r="L15831" s="8">
        <f>HYPERLINK("https://careerviet.vn/vi/tim-viec-lam/nhan-vien-kinh-doanh-cho-thue-thiet-bi.35C68CD1.html","Xem chi tiết")</f>
        <v/>
      </c>
    </row>
    <row r="15832">
      <c r="B15832" s="9" t="n">
        <v>15830</v>
      </c>
      <c r="C15832" s="10" t="inlineStr">
        <is>
          <t>Chuyên viên Tài liệu kỹ thuật may</t>
        </is>
      </c>
      <c r="D15832" s="10" t="inlineStr">
        <is>
          <t>CÔNG TY CỔ PHẦN TẬP ĐOÀN GIOVANNI VIỆT NAM</t>
        </is>
      </c>
      <c r="E15832" s="10" t="inlineStr">
        <is>
          <t>Lương:12 Tr - 18 Tr VND</t>
        </is>
      </c>
      <c r="F15832" s="10" t="inlineStr">
        <is>
          <t>Hà Nội</t>
        </is>
      </c>
      <c r="G15832" s="10" t="inlineStr">
        <is>
          <t>24-03-2026</t>
        </is>
      </c>
      <c r="H15832" s="10" t="inlineStr">
        <is>
          <t>24/03/2026</t>
        </is>
      </c>
      <c r="I15832" s="10" t="inlineStr">
        <is>
          <t>17/03/2026</t>
        </is>
      </c>
      <c r="J15832" s="10" t="inlineStr">
        <is>
          <t>Dệt may / Da giày / Thời trang, Sản xuất / Vận hành sản xuất</t>
        </is>
      </c>
      <c r="K15832" s="10" t="inlineStr">
        <is>
          <t>3 - 5 Năm</t>
        </is>
      </c>
      <c r="L15832" s="11">
        <f>HYPERLINK("https://careerviet.vn/vi/tim-viec-lam/chuyen-vien-tai-lieu-ky-thuat-may.35C68FF3.html","Xem chi tiết")</f>
        <v/>
      </c>
      <c r="M15832" s="10" t="n"/>
    </row>
    <row r="15833">
      <c r="B15833" s="7" t="n">
        <v>15831</v>
      </c>
      <c r="C15833" t="inlineStr">
        <is>
          <t>Nhân viên Vận hành Máy UT</t>
        </is>
      </c>
      <c r="D15833" t="inlineStr">
        <is>
          <t>MARUICHI SUN STEEL JSC.</t>
        </is>
      </c>
      <c r="E15833" t="inlineStr">
        <is>
          <t>Lương:12 Tr - 15 Tr VND</t>
        </is>
      </c>
      <c r="F15833" t="inlineStr">
        <is>
          <t>Bình Dương</t>
        </is>
      </c>
      <c r="G15833" t="inlineStr">
        <is>
          <t>24-03-2026</t>
        </is>
      </c>
      <c r="H15833" t="inlineStr">
        <is>
          <t>24/03/2026</t>
        </is>
      </c>
      <c r="I15833" t="inlineStr">
        <is>
          <t>17/03/2026</t>
        </is>
      </c>
      <c r="J15833" t="inlineStr">
        <is>
          <t>Bảo trì / Sửa chữa, Quản lý chất lượng (QA/QC), Sản xuất / Vận hành sản xuất</t>
        </is>
      </c>
      <c r="K15833" t="inlineStr">
        <is>
          <t>1 - 3 Năm</t>
        </is>
      </c>
      <c r="L15833" s="8">
        <f>HYPERLINK("https://careerviet.vn/vi/tim-viec-lam/nhan-vien-van-hanh-may-ut.35C691AD.html","Xem chi tiết")</f>
        <v/>
      </c>
    </row>
    <row r="15834">
      <c r="B15834" s="9" t="n">
        <v>15832</v>
      </c>
      <c r="C15834" s="10" t="inlineStr">
        <is>
          <t>[ĐÀ NẴNG] GIÁM SÁT RẠP CHIẾU PHIM</t>
        </is>
      </c>
      <c r="D15834" s="10" t="inlineStr">
        <is>
          <t>CÔNG TY TNHH LOTTECINEMA VIỆT NAM</t>
        </is>
      </c>
      <c r="E15834" s="10" t="inlineStr">
        <is>
          <t>Lương:8 Tr - 10 Tr VND</t>
        </is>
      </c>
      <c r="F15834" s="10" t="inlineStr">
        <is>
          <t>Đà Nẵng</t>
        </is>
      </c>
      <c r="G15834" s="10" t="inlineStr">
        <is>
          <t>24-03-2026</t>
        </is>
      </c>
      <c r="H15834" s="10" t="inlineStr">
        <is>
          <t>24/03/2026</t>
        </is>
      </c>
      <c r="I15834" s="10" t="inlineStr">
        <is>
          <t>17/03/2026</t>
        </is>
      </c>
      <c r="J15834" s="10" t="inlineStr">
        <is>
          <t>Dịch vụ khách hàng, Nhà hàng / Khách sạn, Giải trí</t>
        </is>
      </c>
      <c r="K15834" s="10" t="inlineStr">
        <is>
          <t>N/A</t>
        </is>
      </c>
      <c r="L15834" s="11">
        <f>HYPERLINK("https://careerviet.vn/vi/tim-viec-lam/da-nang-giam-sat-rap-chieu-phim.35C69189.html","Xem chi tiết")</f>
        <v/>
      </c>
      <c r="M15834" s="10" t="n"/>
    </row>
    <row r="15835">
      <c r="B15835" s="7" t="n">
        <v>15833</v>
      </c>
      <c r="C15835" t="inlineStr">
        <is>
          <t>Nhân viên trực chat</t>
        </is>
      </c>
      <c r="D15835" t="inlineStr">
        <is>
          <t>BỆNH VIỆN ĐA KHOA PHƯƠNG ĐÔNG</t>
        </is>
      </c>
      <c r="E15835" t="inlineStr">
        <is>
          <t>Lương:7 Tr - 10 Tr VND</t>
        </is>
      </c>
      <c r="F15835" t="inlineStr">
        <is>
          <t>Hà Nội</t>
        </is>
      </c>
      <c r="G15835" t="inlineStr">
        <is>
          <t>30-04-2026</t>
        </is>
      </c>
      <c r="H15835" t="inlineStr">
        <is>
          <t>30/04/2026</t>
        </is>
      </c>
      <c r="I15835" t="inlineStr">
        <is>
          <t>17/03/2026</t>
        </is>
      </c>
      <c r="J15835" t="inlineStr">
        <is>
          <t>Bán hàng / Kinh doanh, Tiếp thị trực tuyến, Y tế / Chăm sóc sức khỏe / Thẩm mỹ / Làm đẹp</t>
        </is>
      </c>
      <c r="K15835" t="inlineStr">
        <is>
          <t>N/A</t>
        </is>
      </c>
      <c r="L15835" s="8">
        <f>HYPERLINK("https://careerviet.vn/vi/tim-viec-lam/nhan-vien-truc-chat.35C69097.html","Xem chi tiết")</f>
        <v/>
      </c>
    </row>
    <row r="15836">
      <c r="B15836" s="9" t="n">
        <v>15834</v>
      </c>
      <c r="C15836" s="10" t="inlineStr">
        <is>
          <t>Chuyên viên cao cấp Quản lý tài sản có rủi ro</t>
        </is>
      </c>
      <c r="D15836" s="10" t="inlineStr">
        <is>
          <t>Ngân Hàng TMCP Sài Gòn - Hà Nội ( SHB )</t>
        </is>
      </c>
      <c r="E15836" s="10" t="inlineStr">
        <is>
          <t>Lương:Cạnh tranh</t>
        </is>
      </c>
      <c r="F15836" s="10" t="inlineStr">
        <is>
          <t>Hà Nội</t>
        </is>
      </c>
      <c r="G15836" s="10" t="inlineStr">
        <is>
          <t>26-03-2026</t>
        </is>
      </c>
      <c r="H15836" s="10" t="inlineStr">
        <is>
          <t>26/03/2026</t>
        </is>
      </c>
      <c r="I15836" s="10" t="inlineStr">
        <is>
          <t>17/03/2026</t>
        </is>
      </c>
      <c r="J15836" s="10" t="inlineStr">
        <is>
          <t>Kế toán / Kiểm toán, Ngân hàng</t>
        </is>
      </c>
      <c r="K15836" s="10" t="inlineStr">
        <is>
          <t>Trên 4 Năm</t>
        </is>
      </c>
      <c r="L15836" s="11">
        <f>HYPERLINK("https://careerviet.vn/vi/tim-viec-lam/chuyen-vien-cao-cap-quan-ly-tai-san-co-rui-ro.35C690D2.html","Xem chi tiết")</f>
        <v/>
      </c>
      <c r="M15836" s="10" t="n"/>
    </row>
    <row r="15837">
      <c r="B15837" s="7" t="n">
        <v>15835</v>
      </c>
      <c r="C15837" t="inlineStr">
        <is>
          <t>Nhân viên tư vấn khách hàng MB bank tại Đống Đa, Hà Nội</t>
        </is>
      </c>
      <c r="D15837" t="inlineStr">
        <is>
          <t>CÔNG TY CỔ PHẦN TRUYỀN THÔNG KIM CƯƠNG</t>
        </is>
      </c>
      <c r="E15837" t="inlineStr">
        <is>
          <t>Lương:8 Tr - 12 Tr VND</t>
        </is>
      </c>
      <c r="F15837" t="inlineStr">
        <is>
          <t>Hà Nội</t>
        </is>
      </c>
      <c r="G15837" t="inlineStr">
        <is>
          <t>26-03-2026</t>
        </is>
      </c>
      <c r="H15837" t="inlineStr">
        <is>
          <t>26/03/2026</t>
        </is>
      </c>
      <c r="I15837" t="inlineStr">
        <is>
          <t>17/03/2026</t>
        </is>
      </c>
      <c r="J15837" t="inlineStr">
        <is>
          <t>Bán hàng / Kinh doanh, Tư vấn, Dịch vụ khách hàng</t>
        </is>
      </c>
      <c r="K15837" t="inlineStr">
        <is>
          <t>N/A</t>
        </is>
      </c>
      <c r="L15837" s="8">
        <f>HYPERLINK("https://careerviet.vn/vi/tim-viec-lam/nhan-vien-tu-van-khach-hang-mb-bank-tai-dong-da-ha-noi.35C6937E.html","Xem chi tiết")</f>
        <v/>
      </c>
    </row>
    <row r="15838">
      <c r="B15838" s="9" t="n">
        <v>15836</v>
      </c>
      <c r="C15838" s="10" t="inlineStr">
        <is>
          <t>[GLOBAL X_Nova Service] Chuyên viên Cao cấp C&amp;B</t>
        </is>
      </c>
      <c r="D15838" s="10" t="inlineStr">
        <is>
          <t>Nova Service Group - Công ty Cổ phần Tập đoàn Nova Services</t>
        </is>
      </c>
      <c r="E15838" s="10" t="inlineStr">
        <is>
          <t>Lương:Cạnh tranh</t>
        </is>
      </c>
      <c r="F15838" s="10" t="inlineStr">
        <is>
          <t>Hồ Chí Minh</t>
        </is>
      </c>
      <c r="G15838" s="10" t="inlineStr">
        <is>
          <t>25-03-2026</t>
        </is>
      </c>
      <c r="H15838" s="10" t="inlineStr">
        <is>
          <t>25/03/2026</t>
        </is>
      </c>
      <c r="I15838" s="10" t="inlineStr">
        <is>
          <t>17/03/2026</t>
        </is>
      </c>
      <c r="J15838" s="10" t="inlineStr">
        <is>
          <t>Nhân sự</t>
        </is>
      </c>
      <c r="K15838" s="10" t="inlineStr">
        <is>
          <t>2 - 3 Năm</t>
        </is>
      </c>
      <c r="L15838" s="11">
        <f>HYPERLINK("https://careerviet.vn/vi/tim-viec-lam/global-x_nova-service-chuyen-vien-cao-cap-c-b.35C690D0.html","Xem chi tiết")</f>
        <v/>
      </c>
      <c r="M15838" s="10" t="n"/>
    </row>
    <row r="15839">
      <c r="B15839" s="7" t="n">
        <v>15837</v>
      </c>
      <c r="C15839" t="inlineStr">
        <is>
          <t>Nhân viên Kinh doanh</t>
        </is>
      </c>
      <c r="D15839" t="inlineStr">
        <is>
          <t>EuP Group</t>
        </is>
      </c>
      <c r="E15839" t="inlineStr">
        <is>
          <t>Lương:15 Tr - 30 Tr VND</t>
        </is>
      </c>
      <c r="F15839" t="inlineStr">
        <is>
          <t>Hồ Chí Minh</t>
        </is>
      </c>
      <c r="G15839" t="inlineStr">
        <is>
          <t>24-03-2026</t>
        </is>
      </c>
      <c r="H15839" t="inlineStr">
        <is>
          <t>24/03/2026</t>
        </is>
      </c>
      <c r="I15839" t="inlineStr">
        <is>
          <t>17/03/2026</t>
        </is>
      </c>
      <c r="J15839" t="inlineStr">
        <is>
          <t>Bán hàng / Kinh doanh, Hóa học, Quảng cáo / Đối ngoại / Truyền Thông</t>
        </is>
      </c>
      <c r="K15839" t="inlineStr">
        <is>
          <t>Chưa có kinh nghiệm</t>
        </is>
      </c>
      <c r="L15839" s="8">
        <f>HYPERLINK("https://careerviet.vn/vi/tim-viec-lam/nhan-vien-kinh-doanh.35C1878F.html","Xem chi tiết")</f>
        <v/>
      </c>
    </row>
    <row r="15840">
      <c r="B15840" s="9" t="n">
        <v>15838</v>
      </c>
      <c r="C15840" s="10" t="inlineStr">
        <is>
          <t>Nhân viên Kỹ thuật-Hành chính</t>
        </is>
      </c>
      <c r="D15840" s="10" t="inlineStr">
        <is>
          <t>Viện Thẩm mỹ y khoa Dr Hải Lê</t>
        </is>
      </c>
      <c r="E15840" s="10" t="inlineStr">
        <is>
          <t>Lương:12 Tr - 15 Tr VND</t>
        </is>
      </c>
      <c r="F15840" s="10" t="inlineStr">
        <is>
          <t>Hà Nội</t>
        </is>
      </c>
      <c r="G15840" s="10" t="inlineStr">
        <is>
          <t>28-03-2026</t>
        </is>
      </c>
      <c r="H15840" s="10" t="inlineStr">
        <is>
          <t>28/03/2026</t>
        </is>
      </c>
      <c r="I15840" s="10" t="inlineStr">
        <is>
          <t>17/03/2026</t>
        </is>
      </c>
      <c r="J15840" s="10" t="inlineStr">
        <is>
          <t>Bán Hàng Kỹ Thuật, Hành chính / Thư ký, Bảo trì / Sửa chữa</t>
        </is>
      </c>
      <c r="K15840" s="10" t="inlineStr">
        <is>
          <t>1 - 3 Năm</t>
        </is>
      </c>
      <c r="L15840" s="11">
        <f>HYPERLINK("https://careerviet.vn/vi/tim-viec-lam/nhan-vien-ky-thuat-hanh-chinh.35C691D1.html","Xem chi tiết")</f>
        <v/>
      </c>
      <c r="M15840" s="10" t="n"/>
    </row>
    <row r="15841">
      <c r="B15841" s="7" t="n">
        <v>15839</v>
      </c>
      <c r="C15841" t="inlineStr">
        <is>
          <t>GIÁM SÁT BẾP</t>
        </is>
      </c>
      <c r="D15841" t="inlineStr">
        <is>
          <t>CÔNG TY TNHH BLUE ELATION</t>
        </is>
      </c>
      <c r="E15841" t="inlineStr">
        <is>
          <t>Lương:10 Tr - 18 Tr VND</t>
        </is>
      </c>
      <c r="F15841" t="inlineStr">
        <is>
          <t>Hồ Chí Minh</t>
        </is>
      </c>
      <c r="G15841" t="inlineStr">
        <is>
          <t>31-03-2026</t>
        </is>
      </c>
      <c r="H15841" t="inlineStr">
        <is>
          <t>31/03/2026</t>
        </is>
      </c>
      <c r="I15841" t="inlineStr">
        <is>
          <t>17/03/2026</t>
        </is>
      </c>
      <c r="J15841" t="inlineStr">
        <is>
          <t>Thực phẩm &amp; Đồ uống, Công nghệ thực phẩm / Dinh dưỡng, Ngành khác</t>
        </is>
      </c>
      <c r="K15841" t="inlineStr">
        <is>
          <t>1 - 3 Năm</t>
        </is>
      </c>
      <c r="L15841" s="8">
        <f>HYPERLINK("https://careerviet.vn/vi/tim-viec-lam/giam-sat-bep.35C6911C.html","Xem chi tiết")</f>
        <v/>
      </c>
    </row>
    <row r="15842">
      <c r="B15842" s="9" t="n">
        <v>15840</v>
      </c>
      <c r="C15842" s="10" t="inlineStr">
        <is>
          <t>Nhân Viên Lễ Tân</t>
        </is>
      </c>
      <c r="D15842" s="10" t="inlineStr">
        <is>
          <t>CHI NHÁNH CÔNG TY CỔ PHẦN Y HỌC VĨNH THIỆN- BỆNH VIỆN ĐẠI HỌC PHENIKAA</t>
        </is>
      </c>
      <c r="E15842" s="10" t="inlineStr">
        <is>
          <t>Lương:8 Tr - 10 Tr VND</t>
        </is>
      </c>
      <c r="F15842" s="10" t="inlineStr">
        <is>
          <t>Hà Nội</t>
        </is>
      </c>
      <c r="G15842" s="10" t="inlineStr">
        <is>
          <t>24-03-2026</t>
        </is>
      </c>
      <c r="H15842" s="10" t="inlineStr">
        <is>
          <t>24/03/2026</t>
        </is>
      </c>
      <c r="I15842" s="10" t="inlineStr">
        <is>
          <t>17/03/2026</t>
        </is>
      </c>
      <c r="J15842" s="10" t="inlineStr">
        <is>
          <t>Dịch vụ khách hàng, Y tế / Chăm sóc sức khỏe / Thẩm mỹ / Làm đẹp</t>
        </is>
      </c>
      <c r="K15842" s="10" t="inlineStr">
        <is>
          <t>Chưa có kinh nghiệm</t>
        </is>
      </c>
      <c r="L15842" s="11">
        <f>HYPERLINK("https://careerviet.vn/vi/tim-viec-lam/nhan-vien-le-tan.35C693E8.html","Xem chi tiết")</f>
        <v/>
      </c>
      <c r="M15842" s="10" t="n"/>
    </row>
    <row r="15843">
      <c r="B15843" s="7" t="n">
        <v>15841</v>
      </c>
      <c r="C15843" t="inlineStr">
        <is>
          <t>Key Account Manager</t>
        </is>
      </c>
      <c r="D15843" t="inlineStr">
        <is>
          <t>International Minh Viet Joint Stock Company</t>
        </is>
      </c>
      <c r="E15843" t="inlineStr">
        <is>
          <t>Lương:25 Tr - 35 Tr VND</t>
        </is>
      </c>
      <c r="F15843" t="inlineStr">
        <is>
          <t>Hồ Chí Minh</t>
        </is>
      </c>
      <c r="G15843" t="inlineStr">
        <is>
          <t>31-03-2026</t>
        </is>
      </c>
      <c r="H15843" t="inlineStr">
        <is>
          <t>31/03/2026</t>
        </is>
      </c>
      <c r="I15843" t="inlineStr">
        <is>
          <t>17/03/2026</t>
        </is>
      </c>
      <c r="J15843" t="inlineStr">
        <is>
          <t>Bán hàng / Kinh doanh</t>
        </is>
      </c>
      <c r="K15843" t="inlineStr">
        <is>
          <t>3 - 5 Năm</t>
        </is>
      </c>
      <c r="L15843" s="8">
        <f>HYPERLINK("https://careerviet.vn/vi/tim-viec-lam/key-account-manager.35C692D7.html","Xem chi tiết")</f>
        <v/>
      </c>
    </row>
    <row r="15844">
      <c r="B15844" s="9" t="n">
        <v>15842</v>
      </c>
      <c r="C15844" s="10" t="inlineStr">
        <is>
          <t>Chuyên viên thiết kế 3D Nội thất</t>
        </is>
      </c>
      <c r="D15844" s="10" t="inlineStr">
        <is>
          <t>HEXAGON - CÔNG TY CỔ PHẦN THIẾT KẾ LỤC GIÁC</t>
        </is>
      </c>
      <c r="E15844" s="10" t="inlineStr">
        <is>
          <t>Lương:10 Tr - 20 Tr VND</t>
        </is>
      </c>
      <c r="F15844" s="10" t="inlineStr">
        <is>
          <t>Hà Nội</t>
        </is>
      </c>
      <c r="G15844" s="10" t="inlineStr">
        <is>
          <t>31-03-2026</t>
        </is>
      </c>
      <c r="H15844" s="10" t="inlineStr">
        <is>
          <t>31/03/2026</t>
        </is>
      </c>
      <c r="I15844" s="10" t="inlineStr">
        <is>
          <t>17/03/2026</t>
        </is>
      </c>
      <c r="J15844" s="10" t="inlineStr">
        <is>
          <t>Mỹ thuật / Nghệ thuật / Thiết kế, Nội ngoại thất</t>
        </is>
      </c>
      <c r="K15844" s="10" t="inlineStr">
        <is>
          <t>2 - 4 Năm</t>
        </is>
      </c>
      <c r="L15844" s="11">
        <f>HYPERLINK("https://careerviet.vn/vi/tim-viec-lam/chuyen-vien-thiet-ke-3d-noi-that.35C693F2.html","Xem chi tiết")</f>
        <v/>
      </c>
      <c r="M15844" s="10" t="n"/>
    </row>
    <row r="15845">
      <c r="B15845" s="7" t="n">
        <v>15843</v>
      </c>
      <c r="C15845" t="inlineStr">
        <is>
          <t>Công Nhân Sản Xuất</t>
        </is>
      </c>
      <c r="D15845" t="inlineStr">
        <is>
          <t>Công Ty TNHH TM &amp; XNK Nhất Lâm</t>
        </is>
      </c>
      <c r="E15845" t="inlineStr">
        <is>
          <t>Lương:6,8 Tr - 9 Tr VND</t>
        </is>
      </c>
      <c r="F15845" t="inlineStr">
        <is>
          <t>Hồ Chí Minh</t>
        </is>
      </c>
      <c r="G15845" t="inlineStr">
        <is>
          <t>31-03-2026</t>
        </is>
      </c>
      <c r="H15845" t="inlineStr">
        <is>
          <t>31/03/2026</t>
        </is>
      </c>
      <c r="I15845" t="inlineStr">
        <is>
          <t>17/03/2026</t>
        </is>
      </c>
      <c r="J15845" t="inlineStr">
        <is>
          <t>Sản xuất / Vận hành sản xuất</t>
        </is>
      </c>
      <c r="K15845" t="inlineStr">
        <is>
          <t>N/A</t>
        </is>
      </c>
      <c r="L15845" s="8">
        <f>HYPERLINK("https://careerviet.vn/vi/tim-viec-lam/cong-nhan-san-xuat.35C69439.html","Xem chi tiết")</f>
        <v/>
      </c>
    </row>
    <row r="15846">
      <c r="B15846" s="9" t="n">
        <v>15844</v>
      </c>
      <c r="C15846" s="10" t="inlineStr">
        <is>
          <t>Nhân Viên Kế Toán</t>
        </is>
      </c>
      <c r="D15846" s="10" t="inlineStr">
        <is>
          <t>CÔNG TY TNHH XUẤT NHẬP KHẨU RUTOP VIỆT NAM - Thương Hiệu Toptotoes</t>
        </is>
      </c>
      <c r="E15846" s="10" t="inlineStr">
        <is>
          <t>Lương:9 Tr - 12 Tr VND</t>
        </is>
      </c>
      <c r="F15846" s="10" t="inlineStr">
        <is>
          <t>Hà Nội</t>
        </is>
      </c>
      <c r="G15846" s="10" t="inlineStr">
        <is>
          <t>31-03-2026</t>
        </is>
      </c>
      <c r="H15846" s="10" t="inlineStr">
        <is>
          <t>31/03/2026</t>
        </is>
      </c>
      <c r="I15846" s="10" t="inlineStr">
        <is>
          <t>17/03/2026</t>
        </is>
      </c>
      <c r="J15846" s="10" t="inlineStr">
        <is>
          <t>Bán hàng / Kinh doanh, Dược phẩm/ Hóa Mỹ Phẩm, Kế toán / Kiểm toán</t>
        </is>
      </c>
      <c r="K15846" s="10" t="inlineStr">
        <is>
          <t>1 - 2 Năm</t>
        </is>
      </c>
      <c r="L15846" s="11">
        <f>HYPERLINK("https://careerviet.vn/vi/tim-viec-lam/nhan-vien-ke-toan.35C690C0.html","Xem chi tiết")</f>
        <v/>
      </c>
      <c r="M15846" s="10" t="n"/>
    </row>
    <row r="15847">
      <c r="B15847" s="7" t="n">
        <v>15845</v>
      </c>
      <c r="C15847" t="inlineStr">
        <is>
          <t>KẾ TOÁN TỔNG HỢP (TUYỂN GẤP - QUẬN 7)</t>
        </is>
      </c>
      <c r="D15847" t="inlineStr">
        <is>
          <t>Công Ty Cổ Phần Quản Lý Bất Động Sản Nam Sài Gòn</t>
        </is>
      </c>
      <c r="E15847" t="inlineStr">
        <is>
          <t>Lương:13 Tr - 18 Tr VND</t>
        </is>
      </c>
      <c r="F15847" t="inlineStr">
        <is>
          <t>Hồ Chí Minh</t>
        </is>
      </c>
      <c r="G15847" t="inlineStr">
        <is>
          <t>31-03-2026</t>
        </is>
      </c>
      <c r="H15847" t="inlineStr">
        <is>
          <t>31/03/2026</t>
        </is>
      </c>
      <c r="I15847" t="inlineStr">
        <is>
          <t>17/03/2026</t>
        </is>
      </c>
      <c r="J15847" t="inlineStr">
        <is>
          <t>Kế toán / Kiểm toán, Tài chính / Đầu tư, Bất động sản</t>
        </is>
      </c>
      <c r="K15847" t="inlineStr">
        <is>
          <t>3 - 5 Năm</t>
        </is>
      </c>
      <c r="L15847" s="8">
        <f>HYPERLINK("https://careerviet.vn/vi/tim-viec-lam/ke-toan-tong-hop-tuyen-gap-quan-7.35C6901C.html","Xem chi tiết")</f>
        <v/>
      </c>
    </row>
    <row r="15848">
      <c r="B15848" s="9" t="n">
        <v>15846</v>
      </c>
      <c r="C15848" s="10" t="inlineStr">
        <is>
          <t>NHÂN VIÊN SALES ONLINE</t>
        </is>
      </c>
      <c r="D15848" s="10" t="inlineStr">
        <is>
          <t>Hệ Thống Cửa Hàng Giày Da Đông Hải</t>
        </is>
      </c>
      <c r="E15848" s="10" t="inlineStr">
        <is>
          <t>Lương:8 Tr - 10 Tr VND</t>
        </is>
      </c>
      <c r="F15848" s="10" t="inlineStr">
        <is>
          <t>Hồ Chí Minh</t>
        </is>
      </c>
      <c r="G15848" s="10" t="inlineStr">
        <is>
          <t>31-03-2026</t>
        </is>
      </c>
      <c r="H15848" s="10" t="inlineStr">
        <is>
          <t>31/03/2026</t>
        </is>
      </c>
      <c r="I15848" s="10" t="inlineStr">
        <is>
          <t>17/03/2026</t>
        </is>
      </c>
      <c r="J15848" s="10" t="inlineStr">
        <is>
          <t>Bán hàng / Kinh doanh, Tiếp thị trực tuyến, Thương mại điện tử</t>
        </is>
      </c>
      <c r="K15848" s="10" t="inlineStr">
        <is>
          <t>1 - 2 Năm</t>
        </is>
      </c>
      <c r="L15848" s="11">
        <f>HYPERLINK("https://careerviet.vn/vi/tim-viec-lam/nhan-vien-sales-online.35C69107.html","Xem chi tiết")</f>
        <v/>
      </c>
      <c r="M15848" s="10" t="n"/>
    </row>
    <row r="15849">
      <c r="B15849" s="7" t="n">
        <v>15847</v>
      </c>
      <c r="C15849" t="inlineStr">
        <is>
          <t>Chuyên Viên Marketing Điểm Bán</t>
        </is>
      </c>
      <c r="D15849" t="inlineStr">
        <is>
          <t>Tập Đoàn Karofi Holding</t>
        </is>
      </c>
      <c r="E15849" t="inlineStr">
        <is>
          <t>Lương:Cạnh tranh</t>
        </is>
      </c>
      <c r="F15849" t="inlineStr">
        <is>
          <t>Hà Nội</t>
        </is>
      </c>
      <c r="G15849" t="inlineStr">
        <is>
          <t>25-03-2026</t>
        </is>
      </c>
      <c r="H15849" t="inlineStr">
        <is>
          <t>25/03/2026</t>
        </is>
      </c>
      <c r="I15849" t="inlineStr">
        <is>
          <t>17/03/2026</t>
        </is>
      </c>
      <c r="J15849" t="inlineStr">
        <is>
          <t>Tiếp thị / Marketing, Quảng cáo / Đối ngoại / Truyền Thông</t>
        </is>
      </c>
      <c r="K15849" t="inlineStr">
        <is>
          <t>1 - 2 Năm</t>
        </is>
      </c>
      <c r="L15849" s="8">
        <f>HYPERLINK("https://careerviet.vn/vi/tim-viec-lam/chuyen-vien-marketing-diem-ban.35C693E5.html","Xem chi tiết")</f>
        <v/>
      </c>
    </row>
    <row r="15850">
      <c r="B15850" s="9" t="n">
        <v>15848</v>
      </c>
      <c r="C15850" s="10" t="inlineStr">
        <is>
          <t>Trưởng nhóm thiết kế thời trang cao cấp (Tại Ngoại Giao Đoàn)</t>
        </is>
      </c>
      <c r="D15850" s="10" t="inlineStr">
        <is>
          <t>Công Ty TNHH XNK Cầu Nối Việt</t>
        </is>
      </c>
      <c r="E15850" s="10" t="inlineStr">
        <is>
          <t>Lương:18 Tr - 25 Tr VND</t>
        </is>
      </c>
      <c r="F15850" s="10" t="inlineStr">
        <is>
          <t>Hà Nội</t>
        </is>
      </c>
      <c r="G15850" s="10" t="inlineStr">
        <is>
          <t>31-05-2026</t>
        </is>
      </c>
      <c r="H15850" s="10" t="inlineStr">
        <is>
          <t>31/05/2026</t>
        </is>
      </c>
      <c r="I15850" s="10" t="inlineStr">
        <is>
          <t>17/03/2026</t>
        </is>
      </c>
      <c r="J15850" s="10" t="inlineStr">
        <is>
          <t>Mỹ thuật / Nghệ thuật / Thiết kế, Dệt may / Da giày / Thời trang</t>
        </is>
      </c>
      <c r="K15850" s="10" t="inlineStr">
        <is>
          <t>3 - 15 Năm</t>
        </is>
      </c>
      <c r="L15850" s="11">
        <f>HYPERLINK("https://careerviet.vn/vi/tim-viec-lam/truong-nhom-thiet-ke-thoi-trang-cao-cap-tai-ngoai-giao-doan.35C69451.html","Xem chi tiết")</f>
        <v/>
      </c>
      <c r="M15850" s="10" t="n"/>
    </row>
    <row r="15851">
      <c r="B15851" s="7" t="n">
        <v>15849</v>
      </c>
      <c r="C15851" t="inlineStr">
        <is>
          <t>[HCM] NHÂN VIÊN ĐẦU TƯ HÀNG HÓA PHÁI SINH</t>
        </is>
      </c>
      <c r="D15851" t="inlineStr">
        <is>
          <t>CÔNG TY CỔ PHẦN GIAO DỊCH HÀNG HÓA ĐÔNG NAM Á</t>
        </is>
      </c>
      <c r="E15851" t="inlineStr">
        <is>
          <t>Lương:8 Tr - 15 Tr VND</t>
        </is>
      </c>
      <c r="F15851" t="inlineStr">
        <is>
          <t>Hồ Chí Minh</t>
        </is>
      </c>
      <c r="G15851" t="inlineStr">
        <is>
          <t>31-03-2026</t>
        </is>
      </c>
      <c r="H15851" t="inlineStr">
        <is>
          <t>31/03/2026</t>
        </is>
      </c>
      <c r="I15851" t="inlineStr">
        <is>
          <t>17/03/2026</t>
        </is>
      </c>
      <c r="J15851" t="inlineStr">
        <is>
          <t>Tài chính / Đầu tư</t>
        </is>
      </c>
      <c r="K15851" t="inlineStr">
        <is>
          <t>Lên đến 1 Năm</t>
        </is>
      </c>
      <c r="L15851" s="8">
        <f>HYPERLINK("https://careerviet.vn/vi/tim-viec-lam/hcm-nhan-vien-dau-tu-hang-hoa-phai-sinh.35C69258.html","Xem chi tiết")</f>
        <v/>
      </c>
    </row>
    <row r="15852">
      <c r="B15852" s="9" t="n">
        <v>15850</v>
      </c>
      <c r="C15852" s="10" t="inlineStr">
        <is>
          <t>Civil &amp; Structural Project Senior Executive (Mạnh về Quản lý thiết kế)</t>
        </is>
      </c>
      <c r="D15852" s="10" t="inlineStr">
        <is>
          <t>Công ty Cổ phần Gamuda Land (HCMC)</t>
        </is>
      </c>
      <c r="E15852" s="10" t="inlineStr">
        <is>
          <t>Lương:Cạnh tranh</t>
        </is>
      </c>
      <c r="F15852" s="10" t="inlineStr">
        <is>
          <t>Hồ Chí Minh</t>
        </is>
      </c>
      <c r="G15852" s="10" t="inlineStr">
        <is>
          <t>25-03-2026</t>
        </is>
      </c>
      <c r="H15852" s="10" t="inlineStr">
        <is>
          <t>25/03/2026</t>
        </is>
      </c>
      <c r="I15852" s="10" t="inlineStr">
        <is>
          <t>17/03/2026</t>
        </is>
      </c>
      <c r="J15852" s="10" t="inlineStr">
        <is>
          <t>Xây dựng, Bất động sản, Ngành khác</t>
        </is>
      </c>
      <c r="K15852" s="10" t="inlineStr">
        <is>
          <t>3 - 5 Năm</t>
        </is>
      </c>
      <c r="L15852" s="11">
        <f>HYPERLINK("https://careerviet.vn/vi/tim-viec-lam/civil-structural-project-senior-executive-manh-ve-quan-ly-thiet-ke.35C6932A.html","Xem chi tiết")</f>
        <v/>
      </c>
      <c r="M15852" s="10" t="n"/>
    </row>
    <row r="15853">
      <c r="B15853" s="7" t="n">
        <v>15851</v>
      </c>
      <c r="C15853" t="inlineStr">
        <is>
          <t>THƯ KÝ CÔNG TRÌNH - LÀM VIỆC Ở HỒ TRÀM (TPHCM)- VĨNH PHÚC- HẠ LONG</t>
        </is>
      </c>
      <c r="D15853" t="inlineStr">
        <is>
          <t>Công Ty TNHH Xây Dựng và Nội Thất Cao Cấp Alliance</t>
        </is>
      </c>
      <c r="E15853" t="inlineStr">
        <is>
          <t>Lương:Cạnh tranh</t>
        </is>
      </c>
      <c r="F15853" t="inlineStr">
        <is>
          <t>Hồ Chí MinhQuảng NinhPhú Thọ</t>
        </is>
      </c>
      <c r="G15853" t="inlineStr">
        <is>
          <t>24-03-2026</t>
        </is>
      </c>
      <c r="H15853" t="inlineStr">
        <is>
          <t>24/03/2026</t>
        </is>
      </c>
      <c r="I15853" t="inlineStr">
        <is>
          <t>17/03/2026</t>
        </is>
      </c>
      <c r="J15853" t="inlineStr">
        <is>
          <t>Hành chính / Thư ký, Nhân sự, Xây dựng</t>
        </is>
      </c>
      <c r="K15853" t="inlineStr">
        <is>
          <t>Lên đến 1 Năm</t>
        </is>
      </c>
      <c r="L15853" s="8">
        <f>HYPERLINK("https://careerviet.vn/vi/tim-viec-lam/thu-ky-cong-trinh-lam-viec-o-ho-tram-tphcm-vinh-phuc-ha-long.35C692C6.html","Xem chi tiết")</f>
        <v/>
      </c>
    </row>
    <row r="15854">
      <c r="B15854" s="9" t="n">
        <v>15852</v>
      </c>
      <c r="C15854" s="10" t="inlineStr">
        <is>
          <t>NHÂN VIÊN TÀI NGUYÊN</t>
        </is>
      </c>
      <c r="D15854" s="10" t="inlineStr">
        <is>
          <t>TBS Land- Công ty Cổ Phần Đầu Tư Thái Bình</t>
        </is>
      </c>
      <c r="E15854" s="10" t="inlineStr">
        <is>
          <t>Lương:Cạnh tranh</t>
        </is>
      </c>
      <c r="F15854" s="10" t="inlineStr">
        <is>
          <t>Bình Dương</t>
        </is>
      </c>
      <c r="G15854" s="10" t="inlineStr">
        <is>
          <t>24-03-2026</t>
        </is>
      </c>
      <c r="H15854" s="10" t="inlineStr">
        <is>
          <t>24/03/2026</t>
        </is>
      </c>
      <c r="I15854" s="10" t="inlineStr">
        <is>
          <t>17/03/2026</t>
        </is>
      </c>
      <c r="J15854" s="10" t="inlineStr">
        <is>
          <t>Xây dựng, Bất động sản</t>
        </is>
      </c>
      <c r="K15854" s="10" t="inlineStr">
        <is>
          <t>1 - 3 Năm</t>
        </is>
      </c>
      <c r="L15854" s="11">
        <f>HYPERLINK("https://careerviet.vn/vi/tim-viec-lam/nhan-vien-tai-nguyen.35C69022.html","Xem chi tiết")</f>
        <v/>
      </c>
      <c r="M15854" s="10" t="n"/>
    </row>
    <row r="15855">
      <c r="B15855" s="7" t="n">
        <v>15853</v>
      </c>
      <c r="C15855" t="inlineStr">
        <is>
          <t>Nhân Viên Kinh Doanh B2B (Ngành Xây Dựng/ Cơ Điện)</t>
        </is>
      </c>
      <c r="D15855" t="inlineStr">
        <is>
          <t>Bảo mật</t>
        </is>
      </c>
      <c r="E15855" t="inlineStr">
        <is>
          <t>Lương:10 Tr - 20 Tr VND</t>
        </is>
      </c>
      <c r="F15855" t="inlineStr">
        <is>
          <t>Hồ Chí Minh</t>
        </is>
      </c>
      <c r="G15855" t="inlineStr">
        <is>
          <t>31-03-2026</t>
        </is>
      </c>
      <c r="H15855" t="inlineStr">
        <is>
          <t>31/03/2026</t>
        </is>
      </c>
      <c r="I15855" t="inlineStr">
        <is>
          <t>17/03/2026</t>
        </is>
      </c>
      <c r="J15855" t="inlineStr">
        <is>
          <t>Bán hàng / Kinh doanh, Xây dựng, Điện / Điện tử / Điện lạnh / Điện công nghiệp</t>
        </is>
      </c>
      <c r="K15855" t="inlineStr">
        <is>
          <t>Trên 2 Năm</t>
        </is>
      </c>
      <c r="L15855" s="8">
        <f>HYPERLINK("https://careerviet.vn/vi/tim-viec-lam/nhan-vien-kinh-doanh-b2b-nganh-xay-dung-co-dien.35C691F9.html","Xem chi tiết")</f>
        <v/>
      </c>
    </row>
    <row r="15856">
      <c r="B15856" s="9" t="n">
        <v>15854</v>
      </c>
      <c r="C15856" s="10" t="inlineStr">
        <is>
          <t>Quản lý Chất lượng  (QC )</t>
        </is>
      </c>
      <c r="D15856" s="10" t="inlineStr">
        <is>
          <t>AD BUILDING - CÔNG TY CỔ PHẦN KẾT CẤU THÉP WIN STEEL</t>
        </is>
      </c>
      <c r="E15856" s="10" t="inlineStr">
        <is>
          <t>Lương:17 Tr - 20 Tr VND</t>
        </is>
      </c>
      <c r="F15856" s="10" t="inlineStr">
        <is>
          <t>Tây Ninh</t>
        </is>
      </c>
      <c r="G15856" s="10" t="inlineStr">
        <is>
          <t>31-03-2026</t>
        </is>
      </c>
      <c r="H15856" s="10" t="inlineStr">
        <is>
          <t>31/03/2026</t>
        </is>
      </c>
      <c r="I15856" s="10" t="inlineStr">
        <is>
          <t>17/03/2026</t>
        </is>
      </c>
      <c r="J15856" s="10" t="inlineStr">
        <is>
          <t>Quản lý chất lượng (QA/QC), An toàn lao động, Xây dựng</t>
        </is>
      </c>
      <c r="K15856" s="10" t="inlineStr">
        <is>
          <t>2 - 5 Năm</t>
        </is>
      </c>
      <c r="L15856" s="11">
        <f>HYPERLINK("https://careerviet.vn/vi/tim-viec-lam/quan-ly-chat-luong-qc.35C690A1.html","Xem chi tiết")</f>
        <v/>
      </c>
      <c r="M15856" s="10" t="n"/>
    </row>
    <row r="15857">
      <c r="B15857" s="7" t="n">
        <v>15855</v>
      </c>
      <c r="C15857" t="inlineStr">
        <is>
          <t>Accounts Payable Team Leader</t>
        </is>
      </c>
      <c r="D15857" t="inlineStr">
        <is>
          <t>Công Ty TNHH CJ Foods Việt Nam</t>
        </is>
      </c>
      <c r="E15857" t="inlineStr">
        <is>
          <t>Lương:Cạnh tranh</t>
        </is>
      </c>
      <c r="F15857" t="inlineStr">
        <is>
          <t>Hồ Chí Minh</t>
        </is>
      </c>
      <c r="G15857" t="inlineStr">
        <is>
          <t>20-04-2026</t>
        </is>
      </c>
      <c r="H15857" t="inlineStr">
        <is>
          <t>20/04/2026</t>
        </is>
      </c>
      <c r="I15857" t="inlineStr">
        <is>
          <t>17/03/2026</t>
        </is>
      </c>
      <c r="J15857" t="inlineStr">
        <is>
          <t>Bán lẻ / Bán sỉ, Thực phẩm &amp; Đồ uống, Kế toán / Kiểm toán</t>
        </is>
      </c>
      <c r="K15857" t="inlineStr">
        <is>
          <t>5 - 7 Năm</t>
        </is>
      </c>
      <c r="L15857" s="8">
        <f>HYPERLINK("https://careerviet.vn/vi/tim-viec-lam/accounts-payable-team-leader.35C693C1.html","Xem chi tiết")</f>
        <v/>
      </c>
    </row>
    <row r="15858">
      <c r="B15858" s="9" t="n">
        <v>15856</v>
      </c>
      <c r="C15858" s="10" t="inlineStr">
        <is>
          <t>Nhân Viên Kinh Doanh Vật Liệu Xây Dựng - Đà Nẵng</t>
        </is>
      </c>
      <c r="D15858" s="10" t="inlineStr">
        <is>
          <t>Công Ty TNHH Tập Đoàn Rita Võ</t>
        </is>
      </c>
      <c r="E15858" s="10" t="inlineStr">
        <is>
          <t>Lương:12 Tr - 18 Tr VND</t>
        </is>
      </c>
      <c r="F15858" s="10" t="inlineStr">
        <is>
          <t>Đà Nẵng</t>
        </is>
      </c>
      <c r="G15858" s="10" t="inlineStr">
        <is>
          <t>16-04-2026</t>
        </is>
      </c>
      <c r="H15858" s="10" t="inlineStr">
        <is>
          <t>16/04/2026</t>
        </is>
      </c>
      <c r="I15858" s="10" t="inlineStr">
        <is>
          <t>17/03/2026</t>
        </is>
      </c>
      <c r="J15858" s="10" t="inlineStr">
        <is>
          <t>Bán hàng / Kinh doanh, Bán lẻ / Bán sỉ, Kiến trúc</t>
        </is>
      </c>
      <c r="K15858" s="10" t="inlineStr">
        <is>
          <t>N/A</t>
        </is>
      </c>
      <c r="L15858" s="11">
        <f>HYPERLINK("https://careerviet.vn/vi/tim-viec-lam/nhan-vien-kinh-doanh-vat-lieu-xay-dung-da-nang.35C68A6A.html","Xem chi tiết")</f>
        <v/>
      </c>
      <c r="M15858" s="10" t="n"/>
    </row>
    <row r="15859">
      <c r="B15859" s="7" t="n">
        <v>15857</v>
      </c>
      <c r="C15859" t="inlineStr">
        <is>
          <t>Nhân viên Kinh doanh</t>
        </is>
      </c>
      <c r="D15859" t="inlineStr">
        <is>
          <t>Công ty Cổ phần Xhome Cần Thơ</t>
        </is>
      </c>
      <c r="E15859" t="inlineStr">
        <is>
          <t>Lương:9 Tr - 14 Tr VND</t>
        </is>
      </c>
      <c r="F15859" t="inlineStr">
        <is>
          <t>Cần Thơ</t>
        </is>
      </c>
      <c r="G15859" t="inlineStr">
        <is>
          <t>31-03-2026</t>
        </is>
      </c>
      <c r="H15859" t="inlineStr">
        <is>
          <t>31/03/2026</t>
        </is>
      </c>
      <c r="I15859" t="inlineStr">
        <is>
          <t>17/03/2026</t>
        </is>
      </c>
      <c r="J15859" t="inlineStr">
        <is>
          <t>Bán hàng / Kinh doanh, Bán Hàng Kỹ Thuật, Xây dựng</t>
        </is>
      </c>
      <c r="K15859" t="inlineStr">
        <is>
          <t>1 - 3 Năm</t>
        </is>
      </c>
      <c r="L15859" s="8">
        <f>HYPERLINK("https://careerviet.vn/vi/tim-viec-lam/nhan-vien-kinh-doanh.35C690B1.html","Xem chi tiết")</f>
        <v/>
      </c>
    </row>
    <row r="15860">
      <c r="B15860" s="9" t="n">
        <v>15858</v>
      </c>
      <c r="C15860" s="10" t="inlineStr">
        <is>
          <t>KỸ SƯ QA-QC (quản lý chất lượng) - Văn phòng HCM/Đồng Nai</t>
        </is>
      </c>
      <c r="D15860" s="10" t="inlineStr">
        <is>
          <t>CÔNG TY CỔ PHẦN FECON SOUTH</t>
        </is>
      </c>
      <c r="E15860" s="10" t="inlineStr">
        <is>
          <t>Lương:20 Tr - 28 Tr VND</t>
        </is>
      </c>
      <c r="F15860" s="10" t="inlineStr">
        <is>
          <t>Hồ Chí Minh</t>
        </is>
      </c>
      <c r="G15860" s="10" t="inlineStr">
        <is>
          <t>25-03-2026</t>
        </is>
      </c>
      <c r="H15860" s="10" t="inlineStr">
        <is>
          <t>25/03/2026</t>
        </is>
      </c>
      <c r="I15860" s="10" t="inlineStr">
        <is>
          <t>17/03/2026</t>
        </is>
      </c>
      <c r="J15860" s="10" t="inlineStr">
        <is>
          <t>Xây dựng, Quản lý chất lượng (QA/QC)</t>
        </is>
      </c>
      <c r="K15860" s="10" t="inlineStr">
        <is>
          <t>5 - 10 Năm</t>
        </is>
      </c>
      <c r="L15860" s="11">
        <f>HYPERLINK("https://careerviet.vn/vi/tim-viec-lam/ky-su-qa-qc-quan-ly-chat-luong-van-phong-hcm-dong-nai.35C692B3.html","Xem chi tiết")</f>
        <v/>
      </c>
      <c r="M15860" s="10" t="n"/>
    </row>
    <row r="15861">
      <c r="B15861" s="7" t="n">
        <v>15859</v>
      </c>
      <c r="C15861" t="inlineStr">
        <is>
          <t>Kế toán thanh toán/tổng hợp</t>
        </is>
      </c>
      <c r="D15861" t="inlineStr">
        <is>
          <t>Công ty cổ phần Xây dựng Công trình IPC</t>
        </is>
      </c>
      <c r="E15861" t="inlineStr">
        <is>
          <t>Lương:14 Tr - 18 Tr VND</t>
        </is>
      </c>
      <c r="F15861" t="inlineStr">
        <is>
          <t>Hà Nội</t>
        </is>
      </c>
      <c r="G15861" t="inlineStr">
        <is>
          <t>09-03-2026</t>
        </is>
      </c>
      <c r="H15861" t="inlineStr">
        <is>
          <t>15/03/2026</t>
        </is>
      </c>
      <c r="I15861" t="inlineStr">
        <is>
          <t>17/03/2026</t>
        </is>
      </c>
      <c r="J15861" t="inlineStr">
        <is>
          <t>Kế toán / Kiểm toán, Tài chính / Đầu tư</t>
        </is>
      </c>
      <c r="K15861" t="inlineStr">
        <is>
          <t>Trên 2 Năm</t>
        </is>
      </c>
      <c r="L15861" s="8">
        <f>HYPERLINK("https://careerviet.vn/vi/tim-viec-lam/ke-toan-thanh-toan-tong-hop.35C68FE6.html","Xem chi tiết")</f>
        <v/>
      </c>
    </row>
    <row r="15862">
      <c r="B15862" s="9" t="n">
        <v>15860</v>
      </c>
      <c r="C15862" s="10" t="inlineStr">
        <is>
          <t>CHUYÊN VIÊN KIỂM SOÁT NỘI BỘ</t>
        </is>
      </c>
      <c r="D15862" s="10" t="inlineStr">
        <is>
          <t>Công ty TNHH Thiết bị y tế Phương Đông</t>
        </is>
      </c>
      <c r="E15862" s="10" t="inlineStr">
        <is>
          <t>Lương:Cạnh tranh</t>
        </is>
      </c>
      <c r="F15862" s="10" t="inlineStr">
        <is>
          <t>Hà Nội</t>
        </is>
      </c>
      <c r="G15862" s="10" t="inlineStr">
        <is>
          <t>26-03-2026</t>
        </is>
      </c>
      <c r="H15862" s="10" t="inlineStr">
        <is>
          <t>26/03/2026</t>
        </is>
      </c>
      <c r="I15862" s="10" t="inlineStr">
        <is>
          <t>17/03/2026</t>
        </is>
      </c>
      <c r="J15862" s="10" t="inlineStr">
        <is>
          <t>Kế toán / Kiểm toán, Tài chính / Đầu tư</t>
        </is>
      </c>
      <c r="K15862" s="10" t="inlineStr">
        <is>
          <t>1 - 3 Năm</t>
        </is>
      </c>
      <c r="L15862" s="11">
        <f>HYPERLINK("https://careerviet.vn/vi/tim-viec-lam/chuyen-vien-kiem-soat-noi-bo.35C693D8.html","Xem chi tiết")</f>
        <v/>
      </c>
      <c r="M15862" s="10" t="n"/>
    </row>
    <row r="15863">
      <c r="B15863" s="7" t="n">
        <v>15861</v>
      </c>
      <c r="C15863" t="inlineStr">
        <is>
          <t>Phụ bếp - Nhặt rau, chia phần cơm</t>
        </is>
      </c>
      <c r="D15863" t="inlineStr">
        <is>
          <t>BỆNH VIỆN ĐA KHOA PHƯƠNG ĐÔNG</t>
        </is>
      </c>
      <c r="E15863" t="inlineStr">
        <is>
          <t>Lương:7 Tr - 10 Tr VND</t>
        </is>
      </c>
      <c r="F15863" t="inlineStr">
        <is>
          <t>Hà Nội</t>
        </is>
      </c>
      <c r="G15863" t="inlineStr">
        <is>
          <t>01-05-2026</t>
        </is>
      </c>
      <c r="H15863" t="inlineStr">
        <is>
          <t>01/05/2026</t>
        </is>
      </c>
      <c r="I15863" t="inlineStr">
        <is>
          <t>17/03/2026</t>
        </is>
      </c>
      <c r="J15863" t="inlineStr">
        <is>
          <t>Nhà hàng / Khách sạn, Dịch vụ khách hàng, Y tế / Chăm sóc sức khỏe / Thẩm mỹ / Làm đẹp</t>
        </is>
      </c>
      <c r="K15863" t="inlineStr">
        <is>
          <t>1 - 2 Năm</t>
        </is>
      </c>
      <c r="L15863" s="8">
        <f>HYPERLINK("https://careerviet.vn/vi/tim-viec-lam/phu-bep-nhat-rau-chia-phan-com.35C69101.html","Xem chi tiết")</f>
        <v/>
      </c>
    </row>
    <row r="15864">
      <c r="B15864" s="9" t="n">
        <v>15862</v>
      </c>
      <c r="C15864" s="10" t="inlineStr">
        <is>
          <t>Trưởng phòng Pháp chế</t>
        </is>
      </c>
      <c r="D15864" s="10" t="inlineStr">
        <is>
          <t>CÔNG TY CỔ PHẦN ĐẦU TƯ ĐÔNG BẮC LAND</t>
        </is>
      </c>
      <c r="E15864" s="10" t="inlineStr">
        <is>
          <t>Lương:17 Tr - 30 Tr VND</t>
        </is>
      </c>
      <c r="F15864" s="10" t="inlineStr">
        <is>
          <t>Hà Nội</t>
        </is>
      </c>
      <c r="G15864" s="10" t="inlineStr">
        <is>
          <t>31-03-2026</t>
        </is>
      </c>
      <c r="H15864" s="10" t="inlineStr">
        <is>
          <t>31/03/2026</t>
        </is>
      </c>
      <c r="I15864" s="10" t="inlineStr">
        <is>
          <t>17/03/2026</t>
        </is>
      </c>
      <c r="J15864" s="10" t="inlineStr">
        <is>
          <t>Bán hàng / Kinh doanh, Xây dựng, Bất động sản</t>
        </is>
      </c>
      <c r="K15864" s="10" t="inlineStr">
        <is>
          <t>Lên đến 5 Năm</t>
        </is>
      </c>
      <c r="L15864" s="11">
        <f>HYPERLINK("https://careerviet.vn/vi/tim-viec-lam/truong-phong-phap-che.35C6908E.html","Xem chi tiết")</f>
        <v/>
      </c>
      <c r="M15864" s="10" t="n"/>
    </row>
    <row r="15865">
      <c r="B15865" s="7" t="n">
        <v>15863</v>
      </c>
      <c r="C15865" t="inlineStr">
        <is>
          <t>Kỹ Thuật Viên Điện Tử (Bảo trì thiết bị)</t>
        </is>
      </c>
      <c r="D15865" t="inlineStr">
        <is>
          <t>Công ty TNHH Greystone Data Systems Việt Nam</t>
        </is>
      </c>
      <c r="E15865" t="inlineStr">
        <is>
          <t>Lương:8,2 Tr - 10 Tr VND</t>
        </is>
      </c>
      <c r="F15865" t="inlineStr">
        <is>
          <t>Hồ Chí Minh</t>
        </is>
      </c>
      <c r="G15865" t="inlineStr">
        <is>
          <t>26-03-2026</t>
        </is>
      </c>
      <c r="H15865" t="inlineStr">
        <is>
          <t>26/03/2026</t>
        </is>
      </c>
      <c r="I15865" t="inlineStr">
        <is>
          <t>17/03/2026</t>
        </is>
      </c>
      <c r="J15865" t="inlineStr">
        <is>
          <t>Điện / Điện tử / Điện lạnh / Điện công nghiệp, CNTT - Phần cứng / Mạng</t>
        </is>
      </c>
      <c r="K15865" t="inlineStr">
        <is>
          <t>N/A</t>
        </is>
      </c>
      <c r="L15865" s="8">
        <f>HYPERLINK("https://careerviet.vn/vi/tim-viec-lam/ky-thuat-vien-dien-tu-bao-tri-thiet-bi.35C6921D.html","Xem chi tiết")</f>
        <v/>
      </c>
    </row>
    <row r="15866">
      <c r="B15866" s="9" t="n">
        <v>15864</v>
      </c>
      <c r="C15866" s="10" t="inlineStr">
        <is>
          <t>Nhân viên Content Marketing</t>
        </is>
      </c>
      <c r="D15866" s="10" t="inlineStr">
        <is>
          <t>Công ty Cổ Phần Giáo Dục German Link</t>
        </is>
      </c>
      <c r="E15866" s="10" t="inlineStr">
        <is>
          <t>Lương:11 Tr - 13 Tr VND</t>
        </is>
      </c>
      <c r="F15866" s="10" t="inlineStr">
        <is>
          <t>Hà Nội</t>
        </is>
      </c>
      <c r="G15866" s="10" t="inlineStr">
        <is>
          <t>25-03-2026</t>
        </is>
      </c>
      <c r="H15866" s="10" t="inlineStr">
        <is>
          <t>25/03/2026</t>
        </is>
      </c>
      <c r="I15866" s="10" t="inlineStr">
        <is>
          <t>17/03/2026</t>
        </is>
      </c>
      <c r="J15866" s="10" t="inlineStr">
        <is>
          <t>Tiếp thị / Marketing, Thương mại điện tử, Giáo dục / Đào tạo</t>
        </is>
      </c>
      <c r="K15866" s="10" t="inlineStr">
        <is>
          <t>Lên đến 2 Năm</t>
        </is>
      </c>
      <c r="L15866" s="11">
        <f>HYPERLINK("https://careerviet.vn/vi/tim-viec-lam/nhan-vien-content-marketing.35C69145.html","Xem chi tiết")</f>
        <v/>
      </c>
      <c r="M15866" s="10" t="n"/>
    </row>
    <row r="15867">
      <c r="B15867" s="7" t="n">
        <v>15865</v>
      </c>
      <c r="C15867" t="inlineStr">
        <is>
          <t>Senior Molding Process Engineer - Nhơn Trạch</t>
        </is>
      </c>
      <c r="D15867" t="inlineStr">
        <is>
          <t>Summit Polymers Vietnam Co Ltd.</t>
        </is>
      </c>
      <c r="E15867" t="inlineStr">
        <is>
          <t>Lương:Cạnh tranh</t>
        </is>
      </c>
      <c r="F15867" t="inlineStr">
        <is>
          <t>Đồng Nai</t>
        </is>
      </c>
      <c r="G15867" t="inlineStr">
        <is>
          <t>09-03-2026</t>
        </is>
      </c>
      <c r="H15867" t="inlineStr">
        <is>
          <t>14/03/2026</t>
        </is>
      </c>
      <c r="I15867" t="inlineStr">
        <is>
          <t>17/03/2026</t>
        </is>
      </c>
      <c r="J15867" t="inlineStr">
        <is>
          <t>Cơ khí / Ô tô / Tự động hóa, Sản xuất / Vận hành sản xuất, Bảo trì / Sửa chữa</t>
        </is>
      </c>
      <c r="K15867" t="inlineStr">
        <is>
          <t>2 - 5 Năm</t>
        </is>
      </c>
      <c r="L15867" s="8">
        <f>HYPERLINK("https://careerviet.vn/vi/tim-viec-lam/senior-molding-process-engineer-nhon-trach.35C69025.html","Xem chi tiết")</f>
        <v/>
      </c>
    </row>
    <row r="15868">
      <c r="B15868" s="9" t="n">
        <v>15866</v>
      </c>
      <c r="C15868" s="10" t="inlineStr">
        <is>
          <t>Chuyên viên cao cấp Điều phối Ngân quỹ</t>
        </is>
      </c>
      <c r="D15868" s="10" t="inlineStr">
        <is>
          <t>Công Ty Cổ Phần Tập Đoàn Đầu Tư Địa Ốc No Va</t>
        </is>
      </c>
      <c r="E15868" s="10" t="inlineStr">
        <is>
          <t>Lương:Cạnh tranh</t>
        </is>
      </c>
      <c r="F15868" s="10" t="inlineStr">
        <is>
          <t>Hồ Chí Minh</t>
        </is>
      </c>
      <c r="G15868" s="10" t="inlineStr">
        <is>
          <t>30-04-2026</t>
        </is>
      </c>
      <c r="H15868" s="10" t="inlineStr">
        <is>
          <t>30/04/2026</t>
        </is>
      </c>
      <c r="I15868" s="10" t="inlineStr">
        <is>
          <t>17/03/2026</t>
        </is>
      </c>
      <c r="J15868" s="10" t="inlineStr">
        <is>
          <t>Tài chính / Đầu tư, Kế toán / Kiểm toán, Ngân hàng</t>
        </is>
      </c>
      <c r="K15868" s="10" t="inlineStr">
        <is>
          <t>3 - 5 Năm</t>
        </is>
      </c>
      <c r="L15868" s="11">
        <f>HYPERLINK("https://careerviet.vn/vi/tim-viec-lam/chuyen-vien-cao-cap-dieu-phoi-ngan-quy.35C69307.html","Xem chi tiết")</f>
        <v/>
      </c>
      <c r="M15868" s="10" t="n"/>
    </row>
    <row r="15869">
      <c r="B15869" s="7" t="n">
        <v>15867</v>
      </c>
      <c r="C15869" t="inlineStr">
        <is>
          <t>NHÂN VIÊN LÁI XE VĂN PHÒNG</t>
        </is>
      </c>
      <c r="D15869" t="inlineStr">
        <is>
          <t>CÔNG TY TNHH TẬP ĐOÀN ĐỊNH AN</t>
        </is>
      </c>
      <c r="E15869" t="inlineStr">
        <is>
          <t>Lương:13 Tr - 15 Tr VND</t>
        </is>
      </c>
      <c r="F15869" t="inlineStr">
        <is>
          <t>Hà Nội</t>
        </is>
      </c>
      <c r="G15869" t="inlineStr">
        <is>
          <t>24-03-2026</t>
        </is>
      </c>
      <c r="H15869" t="inlineStr">
        <is>
          <t>24/03/2026</t>
        </is>
      </c>
      <c r="I15869" t="inlineStr">
        <is>
          <t>17/03/2026</t>
        </is>
      </c>
      <c r="J15869" t="inlineStr">
        <is>
          <t>Ngành khác</t>
        </is>
      </c>
      <c r="K15869" t="inlineStr">
        <is>
          <t>Trên 3 Năm</t>
        </is>
      </c>
      <c r="L15869" s="8">
        <f>HYPERLINK("https://careerviet.vn/vi/tim-viec-lam/nhan-vien-lai-xe-van-phong.35C6900E.html","Xem chi tiết")</f>
        <v/>
      </c>
    </row>
    <row r="15870">
      <c r="B15870" s="9" t="n">
        <v>15868</v>
      </c>
      <c r="C15870" s="10" t="inlineStr">
        <is>
          <t>Nhân Viên Kế Hoạch Sản Xuất</t>
        </is>
      </c>
      <c r="D15870" s="10" t="inlineStr">
        <is>
          <t>CÔNG TY TNHH THỰC PHẨM CUỘC SỐNG</t>
        </is>
      </c>
      <c r="E15870" s="10" t="inlineStr">
        <is>
          <t>Lương:11 Tr - 15 Tr VND</t>
        </is>
      </c>
      <c r="F15870" s="10" t="inlineStr">
        <is>
          <t>Hà Nội</t>
        </is>
      </c>
      <c r="G15870" s="10" t="inlineStr">
        <is>
          <t>24-03-2026</t>
        </is>
      </c>
      <c r="H15870" s="10" t="inlineStr">
        <is>
          <t>24/03/2026</t>
        </is>
      </c>
      <c r="I15870" s="10" t="inlineStr">
        <is>
          <t>17/03/2026</t>
        </is>
      </c>
      <c r="J15870" s="10" t="inlineStr">
        <is>
          <t>Sản xuất / Vận hành sản xuất, Thực phẩm &amp; Đồ uống, Công nghệ thực phẩm / Dinh dưỡng</t>
        </is>
      </c>
      <c r="K15870" s="10" t="inlineStr">
        <is>
          <t>N/A</t>
        </is>
      </c>
      <c r="L15870" s="11">
        <f>HYPERLINK("https://careerviet.vn/vi/tim-viec-lam/nhan-vien-ke-hoach-san-xuat.35C693FF.html","Xem chi tiết")</f>
        <v/>
      </c>
      <c r="M15870" s="10" t="n"/>
    </row>
    <row r="15871">
      <c r="B15871" s="7" t="n">
        <v>15869</v>
      </c>
      <c r="C15871" t="inlineStr">
        <is>
          <t>Chuyên Viên Đào Tạo Nội Bộ</t>
        </is>
      </c>
      <c r="D15871" t="inlineStr">
        <is>
          <t>Công ty TNHH X.E Việt Nam</t>
        </is>
      </c>
      <c r="E15871" t="inlineStr">
        <is>
          <t>Lương:15 Tr - 18 Tr VND</t>
        </is>
      </c>
      <c r="F15871" t="inlineStr">
        <is>
          <t>Hà Nội</t>
        </is>
      </c>
      <c r="G15871" t="inlineStr">
        <is>
          <t>25-03-2026</t>
        </is>
      </c>
      <c r="H15871" t="inlineStr">
        <is>
          <t>25/03/2026</t>
        </is>
      </c>
      <c r="I15871" t="inlineStr">
        <is>
          <t>17/03/2026</t>
        </is>
      </c>
      <c r="J15871" t="inlineStr">
        <is>
          <t>Nhân sự</t>
        </is>
      </c>
      <c r="K15871" t="inlineStr">
        <is>
          <t>2 - 4 Năm</t>
        </is>
      </c>
      <c r="L15871" s="8">
        <f>HYPERLINK("https://careerviet.vn/vi/tim-viec-lam/chuyen-vien-dao-tao-noi-bo.35C6911A.html","Xem chi tiết")</f>
        <v/>
      </c>
    </row>
    <row r="15872">
      <c r="B15872" s="9" t="n">
        <v>15870</v>
      </c>
      <c r="C15872" s="10" t="inlineStr">
        <is>
          <t>Kiến trúc sư QLTK nội thất (chủ đầu tư)</t>
        </is>
      </c>
      <c r="D15872" s="10" t="inlineStr">
        <is>
          <t>Tập Đoàn Tân Á Đại Thành</t>
        </is>
      </c>
      <c r="E15872" s="10" t="inlineStr">
        <is>
          <t>Lương:Cạnh tranh</t>
        </is>
      </c>
      <c r="F15872" s="10" t="inlineStr">
        <is>
          <t>Hà Nội</t>
        </is>
      </c>
      <c r="G15872" s="10" t="inlineStr">
        <is>
          <t>25-03-2026</t>
        </is>
      </c>
      <c r="H15872" s="10" t="inlineStr">
        <is>
          <t>25/03/2026</t>
        </is>
      </c>
      <c r="I15872" s="10" t="inlineStr">
        <is>
          <t>17/03/2026</t>
        </is>
      </c>
      <c r="J15872" s="10" t="inlineStr">
        <is>
          <t>Kiến trúc, Xây dựng, Nội ngoại thất</t>
        </is>
      </c>
      <c r="K15872" s="10" t="inlineStr">
        <is>
          <t>3 - 5 Năm</t>
        </is>
      </c>
      <c r="L15872" s="11">
        <f>HYPERLINK("https://careerviet.vn/vi/tim-viec-lam/kien-truc-su-qltk-noi-that-chu-dau-tu.35C69116.html","Xem chi tiết")</f>
        <v/>
      </c>
      <c r="M15872" s="10" t="n"/>
    </row>
    <row r="15873">
      <c r="B15873" s="7" t="n">
        <v>15871</v>
      </c>
      <c r="C15873" t="inlineStr">
        <is>
          <t>Nhân Viên Kiểm Soát Nội Bộ</t>
        </is>
      </c>
      <c r="D15873" t="inlineStr">
        <is>
          <t>CX Technology VN</t>
        </is>
      </c>
      <c r="E15873" t="inlineStr">
        <is>
          <t>Lương:Cạnh tranh</t>
        </is>
      </c>
      <c r="F15873" t="inlineStr">
        <is>
          <t>Hồ Chí Minh</t>
        </is>
      </c>
      <c r="G15873" t="inlineStr">
        <is>
          <t>6</t>
        </is>
      </c>
      <c r="H15873" t="inlineStr">
        <is>
          <t>23/03/2026</t>
        </is>
      </c>
      <c r="I15873" t="inlineStr">
        <is>
          <t>17/03/2026</t>
        </is>
      </c>
      <c r="J15873" t="inlineStr">
        <is>
          <t>Phi chính phủ / Phi lợi nhuận, Hành chính / Thư ký, Tài chính / Đầu tư</t>
        </is>
      </c>
      <c r="K15873" t="inlineStr">
        <is>
          <t>N/A</t>
        </is>
      </c>
      <c r="L15873" s="8">
        <f>HYPERLINK("https://careerviet.vn/vi/tim-viec-lam/nhan-vien-kiem-soat-noi-bo.35C69249.html","Xem chi tiết")</f>
        <v/>
      </c>
    </row>
    <row r="15874">
      <c r="B15874" s="9" t="n">
        <v>15872</v>
      </c>
      <c r="C15874" s="10" t="inlineStr">
        <is>
          <t>Kỹ Thuật Viên Phòng Thí Nghiệm Lý - Textile Lab Technician</t>
        </is>
      </c>
      <c r="D15874" s="10" t="inlineStr">
        <is>
          <t>CÔNG TY TNHH K O T I T I VIỆT NAM</t>
        </is>
      </c>
      <c r="E15874" s="10" t="inlineStr">
        <is>
          <t>Lương:Cạnh tranh</t>
        </is>
      </c>
      <c r="F15874" s="10" t="inlineStr">
        <is>
          <t>Hồ Chí Minh</t>
        </is>
      </c>
      <c r="G15874" s="10" t="inlineStr">
        <is>
          <t>31-03-2026</t>
        </is>
      </c>
      <c r="H15874" s="10" t="inlineStr">
        <is>
          <t>31/03/2026</t>
        </is>
      </c>
      <c r="I15874" s="10" t="inlineStr">
        <is>
          <t>17/03/2026</t>
        </is>
      </c>
      <c r="J15874" s="10" t="inlineStr">
        <is>
          <t>Hóa học, Dệt may / Da giày / Thời trang, Quản lý chất lượng (QA/QC)</t>
        </is>
      </c>
      <c r="K15874" s="10" t="inlineStr">
        <is>
          <t>1 - 2 Năm</t>
        </is>
      </c>
      <c r="L15874" s="11">
        <f>HYPERLINK("https://careerviet.vn/vi/tim-viec-lam/ky-thuat-vien-phong-thi-nghiem-ly-textile-lab-technician.35C6928C.html","Xem chi tiết")</f>
        <v/>
      </c>
      <c r="M15874" s="10" t="n"/>
    </row>
    <row r="15875">
      <c r="B15875" s="7" t="n">
        <v>15873</v>
      </c>
      <c r="C15875" t="inlineStr">
        <is>
          <t>Kỹ Sư Cơ Điện (MEP)</t>
        </is>
      </c>
      <c r="D15875" t="inlineStr">
        <is>
          <t>CÔNG TY CỔ PHẦN XÂY DỰNG VILAI VIỆT</t>
        </is>
      </c>
      <c r="E15875" t="inlineStr">
        <is>
          <t>Lương:18 Tr - 30 Tr VND</t>
        </is>
      </c>
      <c r="F15875" t="inlineStr">
        <is>
          <t>Quảng NinhBắc GiangHưng Yên</t>
        </is>
      </c>
      <c r="G15875" t="inlineStr">
        <is>
          <t>31-03-2026</t>
        </is>
      </c>
      <c r="H15875" t="inlineStr">
        <is>
          <t>31/03/2026</t>
        </is>
      </c>
      <c r="I15875" t="inlineStr">
        <is>
          <t>17/03/2026</t>
        </is>
      </c>
      <c r="J15875" t="inlineStr">
        <is>
          <t>Điện / Điện tử / Điện lạnh / Điện công nghiệp, Sản xuất / Vận hành sản xuất, Xây dựng</t>
        </is>
      </c>
      <c r="K15875" t="inlineStr">
        <is>
          <t>2 - 5 Năm</t>
        </is>
      </c>
      <c r="L15875" s="8">
        <f>HYPERLINK("https://careerviet.vn/vi/tim-viec-lam/ky-su-co-dien-mep.35C691E0.html","Xem chi tiết")</f>
        <v/>
      </c>
    </row>
    <row r="15876">
      <c r="B15876" s="9" t="n">
        <v>15874</v>
      </c>
      <c r="C15876" s="10" t="inlineStr">
        <is>
          <t>Chuyên viên QS kỹ thuật cây xanh (làm tại Bãi Lữ, Nghệ An)</t>
        </is>
      </c>
      <c r="D15876" s="10" t="inlineStr">
        <is>
          <t>Tập Đoàn Tân Á Đại Thành</t>
        </is>
      </c>
      <c r="E15876" s="10" t="inlineStr">
        <is>
          <t>Lương:15 Tr - 18 Tr VND</t>
        </is>
      </c>
      <c r="F15876" s="10" t="inlineStr">
        <is>
          <t>Nghệ AnHà NộiHồ Chí Minh</t>
        </is>
      </c>
      <c r="G15876" s="10" t="inlineStr">
        <is>
          <t>25-03-2026</t>
        </is>
      </c>
      <c r="H15876" s="10" t="inlineStr">
        <is>
          <t>25/03/2026</t>
        </is>
      </c>
      <c r="I15876" s="10" t="inlineStr">
        <is>
          <t>17/03/2026</t>
        </is>
      </c>
      <c r="J15876" s="10" t="inlineStr">
        <is>
          <t>Nông nghiệp, Lâm Nghiệp, Xây dựng</t>
        </is>
      </c>
      <c r="K15876" s="10" t="inlineStr">
        <is>
          <t>2 - 3 Năm</t>
        </is>
      </c>
      <c r="L15876" s="11">
        <f>HYPERLINK("https://careerviet.vn/vi/tim-viec-lam/chuyen-vien-qs-ky-thuat-cay-xanh-lam-tai-bai-lu-nghe-an.35C69159.html","Xem chi tiết")</f>
        <v/>
      </c>
      <c r="M15876" s="10" t="n"/>
    </row>
    <row r="15877">
      <c r="B15877" s="7" t="n">
        <v>15875</v>
      </c>
      <c r="C15877" t="inlineStr">
        <is>
          <t>Giáo Viên Chủ Nhiệm (Ocean Edu Từ Sơn)</t>
        </is>
      </c>
      <c r="D15877" t="inlineStr">
        <is>
          <t>Công Ty CP Giáo Dục Đại Dương</t>
        </is>
      </c>
      <c r="E15877" t="inlineStr">
        <is>
          <t>Lương:Cạnh tranh</t>
        </is>
      </c>
      <c r="F15877" t="inlineStr">
        <is>
          <t>Bắc Ninh</t>
        </is>
      </c>
      <c r="G15877" t="inlineStr">
        <is>
          <t>26-03-2026</t>
        </is>
      </c>
      <c r="H15877" t="inlineStr">
        <is>
          <t>26/03/2026</t>
        </is>
      </c>
      <c r="I15877" t="inlineStr">
        <is>
          <t>17/03/2026</t>
        </is>
      </c>
      <c r="J15877" t="inlineStr">
        <is>
          <t>Giáo dục / Đào tạo, Bán hàng / Kinh doanh, Biên phiên dịch</t>
        </is>
      </c>
      <c r="K15877" t="inlineStr">
        <is>
          <t>Trên 1 Năm</t>
        </is>
      </c>
      <c r="L15877" s="8">
        <f>HYPERLINK("https://careerviet.vn/vi/tim-viec-lam/giao-vien-chu-nhiem-ocean-edu-tu-son.35C690DB.html","Xem chi tiết")</f>
        <v/>
      </c>
    </row>
    <row r="15878">
      <c r="B15878" s="9" t="n">
        <v>15876</v>
      </c>
      <c r="C15878" s="10" t="inlineStr">
        <is>
          <t>Giáo viên mầm non/ Giáo viên Tiếng Anh mầm non - Cơ sở Hải Phòng</t>
        </is>
      </c>
      <c r="D15878" s="10" t="inlineStr">
        <is>
          <t>CÔNG TY CỔ PHẦN ĐẦU TƯ GIÁO DỤC VIỆT MỸ</t>
        </is>
      </c>
      <c r="E15878" s="10" t="inlineStr">
        <is>
          <t>Lương:8 Tr - 11 Tr VND</t>
        </is>
      </c>
      <c r="F15878" s="10" t="inlineStr">
        <is>
          <t>Hải Phòng</t>
        </is>
      </c>
      <c r="G15878" s="10" t="inlineStr">
        <is>
          <t>31-03-2026</t>
        </is>
      </c>
      <c r="H15878" s="10" t="inlineStr">
        <is>
          <t>31/03/2026</t>
        </is>
      </c>
      <c r="I15878" s="10" t="inlineStr">
        <is>
          <t>17/03/2026</t>
        </is>
      </c>
      <c r="J15878" s="10" t="inlineStr">
        <is>
          <t>Giáo dục / Đào tạo</t>
        </is>
      </c>
      <c r="K15878" s="10" t="inlineStr">
        <is>
          <t>N/A</t>
        </is>
      </c>
      <c r="L15878" s="11">
        <f>HYPERLINK("https://careerviet.vn/vi/tim-viec-lam/giao-vien-mam-non-giao-vien-tieng-anh-mam-non-co-so-hai-phong.35C6929C.html","Xem chi tiết")</f>
        <v/>
      </c>
      <c r="M15878" s="10" t="n"/>
    </row>
    <row r="15879">
      <c r="B15879" s="7" t="n">
        <v>15877</v>
      </c>
      <c r="C15879" t="inlineStr">
        <is>
          <t>Kỹ Sư Giám Sát (Công Trình Giao Thông) - Làm Việc Tại Thái Bình</t>
        </is>
      </c>
      <c r="D15879" t="inlineStr">
        <is>
          <t>CÔNG TY CỔ PHẦN GREEN I-PARK</t>
        </is>
      </c>
      <c r="E15879" t="inlineStr">
        <is>
          <t>Lương:15 Tr - 20 Tr VND</t>
        </is>
      </c>
      <c r="F15879" t="inlineStr">
        <is>
          <t>Thái BìnhHà NộiToàn quốc</t>
        </is>
      </c>
      <c r="G15879" t="inlineStr">
        <is>
          <t>31-03-2026</t>
        </is>
      </c>
      <c r="H15879" t="inlineStr">
        <is>
          <t>31/03/2026</t>
        </is>
      </c>
      <c r="I15879" t="inlineStr">
        <is>
          <t>17/03/2026</t>
        </is>
      </c>
      <c r="J15879" t="inlineStr">
        <is>
          <t>Xây dựng, Kiến trúc, Ngành khác</t>
        </is>
      </c>
      <c r="K15879" t="inlineStr">
        <is>
          <t>2 - 5 Năm</t>
        </is>
      </c>
      <c r="L15879" s="8">
        <f>HYPERLINK("https://careerviet.vn/vi/tim-viec-lam/ky-su-giam-sat-cong-trinh-giao-thong-lam-viec-tai-thai-binh.35C6934D.html","Xem chi tiết")</f>
        <v/>
      </c>
    </row>
    <row r="15880">
      <c r="B15880" s="9" t="n">
        <v>15878</v>
      </c>
      <c r="C15880" s="10" t="inlineStr">
        <is>
          <t>Kỹ Thuật Viên Phòng Thí Nghiệm Lý - Textile Lab Technician</t>
        </is>
      </c>
      <c r="D15880" s="10" t="inlineStr">
        <is>
          <t>CÔNG TY TNHH K O T I T I VIỆT NAM</t>
        </is>
      </c>
      <c r="E15880" s="10" t="inlineStr">
        <is>
          <t>Lương:Cạnh tranh</t>
        </is>
      </c>
      <c r="F15880" s="10" t="inlineStr">
        <is>
          <t>Hồ Chí Minh</t>
        </is>
      </c>
      <c r="G15880" s="10" t="inlineStr">
        <is>
          <t>26-03-2026</t>
        </is>
      </c>
      <c r="H15880" s="10" t="inlineStr">
        <is>
          <t>26/03/2026</t>
        </is>
      </c>
      <c r="I15880" s="10" t="inlineStr">
        <is>
          <t>17/03/2026</t>
        </is>
      </c>
      <c r="J15880" s="10" t="inlineStr">
        <is>
          <t>Hóa học, Dệt may / Da giày / Thời trang, Quản lý chất lượng (QA/QC)</t>
        </is>
      </c>
      <c r="K15880" s="10" t="inlineStr">
        <is>
          <t>1 - 2 Năm</t>
        </is>
      </c>
      <c r="L15880" s="11">
        <f>HYPERLINK("https://careerviet.vn/vi/tim-viec-lam/ky-thuat-vien-phong-thi-nghiem-ly-textile-lab-technician.35C692E1.html","Xem chi tiết")</f>
        <v/>
      </c>
      <c r="M15880" s="10" t="n"/>
    </row>
    <row r="15881">
      <c r="B15881" s="7" t="n">
        <v>15879</v>
      </c>
      <c r="C15881" t="inlineStr">
        <is>
          <t>Nhân Viên Kế toán bán hàng tại Ngoại giao đoàn (lương 8 - 11 Triệu)</t>
        </is>
      </c>
      <c r="D15881" t="inlineStr">
        <is>
          <t>Công Ty TNHH XNK Cầu Nối Việt</t>
        </is>
      </c>
      <c r="E15881" t="inlineStr">
        <is>
          <t>Lương:8 Tr - 11 Tr VND</t>
        </is>
      </c>
      <c r="F15881" t="inlineStr">
        <is>
          <t>Hà Nội</t>
        </is>
      </c>
      <c r="G15881" t="inlineStr">
        <is>
          <t>30-06-2026</t>
        </is>
      </c>
      <c r="H15881" t="inlineStr">
        <is>
          <t>30/06/2026</t>
        </is>
      </c>
      <c r="I15881" t="inlineStr">
        <is>
          <t>17/03/2026</t>
        </is>
      </c>
      <c r="J15881" t="inlineStr">
        <is>
          <t>Kế toán / Kiểm toán</t>
        </is>
      </c>
      <c r="K15881" t="inlineStr">
        <is>
          <t>Chưa có kinh nghiệm</t>
        </is>
      </c>
      <c r="L15881" s="8">
        <f>HYPERLINK("https://careerviet.vn/vi/tim-viec-lam/nhan-vien-ke-toan-ban-hang-tai-ngoai-giao-doan-luong-8-11-trieu.35C6944D.html","Xem chi tiết")</f>
        <v/>
      </c>
    </row>
    <row r="15882">
      <c r="B15882" s="9" t="n">
        <v>15880</v>
      </c>
      <c r="C15882" s="10" t="inlineStr">
        <is>
          <t>Nhân Viên Livestream</t>
        </is>
      </c>
      <c r="D15882" s="10" t="inlineStr">
        <is>
          <t>Tập Đoàn Karofi Holding</t>
        </is>
      </c>
      <c r="E15882" s="10" t="inlineStr">
        <is>
          <t>Lương:Cạnh tranh</t>
        </is>
      </c>
      <c r="F15882" s="10" t="inlineStr">
        <is>
          <t>Hà Nội</t>
        </is>
      </c>
      <c r="G15882" s="10" t="inlineStr">
        <is>
          <t>30-03-2026</t>
        </is>
      </c>
      <c r="H15882" s="10" t="inlineStr">
        <is>
          <t>30/03/2026</t>
        </is>
      </c>
      <c r="I15882" s="10" t="inlineStr">
        <is>
          <t>17/03/2026</t>
        </is>
      </c>
      <c r="J15882" s="10" t="inlineStr">
        <is>
          <t>Quảng cáo / Đối ngoại / Truyền Thông</t>
        </is>
      </c>
      <c r="K15882" s="10" t="inlineStr">
        <is>
          <t>1 - 2 Năm</t>
        </is>
      </c>
      <c r="L15882" s="11">
        <f>HYPERLINK("https://careerviet.vn/vi/tim-viec-lam/nhan-vien-livestream.35C693C0.html","Xem chi tiết")</f>
        <v/>
      </c>
      <c r="M15882" s="10" t="n"/>
    </row>
    <row r="15883">
      <c r="B15883" s="7" t="n">
        <v>15881</v>
      </c>
      <c r="C15883" t="inlineStr">
        <is>
          <t>MIS Officer</t>
        </is>
      </c>
      <c r="D15883" t="inlineStr">
        <is>
          <t>LOTTE FINANCE VIETNAM</t>
        </is>
      </c>
      <c r="E15883" t="inlineStr">
        <is>
          <t>Lương:Cạnh tranh</t>
        </is>
      </c>
      <c r="F15883" t="inlineStr">
        <is>
          <t>Hà Nội</t>
        </is>
      </c>
      <c r="G15883" t="inlineStr">
        <is>
          <t>26-03-2026</t>
        </is>
      </c>
      <c r="H15883" t="inlineStr">
        <is>
          <t>26/03/2026</t>
        </is>
      </c>
      <c r="I15883" t="inlineStr">
        <is>
          <t>17/03/2026</t>
        </is>
      </c>
      <c r="J15883" t="inlineStr">
        <is>
          <t>Tài chính / Đầu tư</t>
        </is>
      </c>
      <c r="K15883" t="inlineStr">
        <is>
          <t>Trên 1 Năm</t>
        </is>
      </c>
      <c r="L15883" s="8">
        <f>HYPERLINK("https://careerviet.vn/vi/tim-viec-lam/mis-officer.35C69275.html","Xem chi tiết")</f>
        <v/>
      </c>
    </row>
    <row r="15884">
      <c r="B15884" s="9" t="n">
        <v>15882</v>
      </c>
      <c r="C15884" s="10" t="inlineStr">
        <is>
          <t>Nhân viên IT Helpdesk</t>
        </is>
      </c>
      <c r="D15884" s="10" t="inlineStr">
        <is>
          <t>Công ty cổ phần sản xuất và xuất khẩu Quế hồi Việt Nam</t>
        </is>
      </c>
      <c r="E15884" s="10" t="inlineStr">
        <is>
          <t>Lương:12 Tr - 18 Tr VND</t>
        </is>
      </c>
      <c r="F15884" s="10" t="inlineStr">
        <is>
          <t>Hà Nội</t>
        </is>
      </c>
      <c r="G15884" s="10" t="inlineStr">
        <is>
          <t>31-03-2026</t>
        </is>
      </c>
      <c r="H15884" s="10" t="inlineStr">
        <is>
          <t>31/03/2026</t>
        </is>
      </c>
      <c r="I15884" s="10" t="inlineStr">
        <is>
          <t>17/03/2026</t>
        </is>
      </c>
      <c r="J15884" s="10" t="inlineStr">
        <is>
          <t>Bưu chính viễn thông, Bảo trì / Sửa chữa, CNTT - Phần cứng / Mạng</t>
        </is>
      </c>
      <c r="K15884" s="10" t="inlineStr">
        <is>
          <t>1 - 3 Năm</t>
        </is>
      </c>
      <c r="L15884" s="11">
        <f>HYPERLINK("https://careerviet.vn/vi/tim-viec-lam/nhan-vien-it-helpdesk.35C69374.html","Xem chi tiết")</f>
        <v/>
      </c>
      <c r="M15884" s="10" t="n"/>
    </row>
    <row r="15885">
      <c r="B15885" s="7" t="n">
        <v>15883</v>
      </c>
      <c r="C15885" t="inlineStr">
        <is>
          <t>Event &amp; Tour Operation Executive</t>
        </is>
      </c>
      <c r="D15885" t="inlineStr">
        <is>
          <t>Mystery of Mekong - Công Ty TNHH Du Lịch Mê Kông Huyền Bí</t>
        </is>
      </c>
      <c r="E15885" t="inlineStr">
        <is>
          <t>Lương:Cạnh tranh</t>
        </is>
      </c>
      <c r="F15885" t="inlineStr">
        <is>
          <t>Hồ Chí Minh</t>
        </is>
      </c>
      <c r="G15885" t="inlineStr">
        <is>
          <t>24-03-2026</t>
        </is>
      </c>
      <c r="H15885" t="inlineStr">
        <is>
          <t>24/03/2026</t>
        </is>
      </c>
      <c r="I15885" t="inlineStr">
        <is>
          <t>17/03/2026</t>
        </is>
      </c>
      <c r="J15885" t="inlineStr">
        <is>
          <t>Du lịch, Tổ chức sự kiện, Tiếp thị / Marketing</t>
        </is>
      </c>
      <c r="K15885" t="inlineStr">
        <is>
          <t>Trên 1 Năm</t>
        </is>
      </c>
      <c r="L15885" s="8">
        <f>HYPERLINK("https://careerviet.vn/vi/tim-viec-lam/event-tour-operation-executive.35C69216.html","Xem chi tiết")</f>
        <v/>
      </c>
    </row>
    <row r="15886">
      <c r="B15886" s="9" t="n">
        <v>15884</v>
      </c>
      <c r="C15886" s="10" t="inlineStr">
        <is>
          <t>Automation Engineer/Kỹ sư Tự động hoá/Kỹ sư dịch vụ</t>
        </is>
      </c>
      <c r="D15886" s="10" t="inlineStr">
        <is>
          <t>CÔNG TY CỔ PHẦN VIET DYNAMIC</t>
        </is>
      </c>
      <c r="E15886" s="10" t="inlineStr">
        <is>
          <t>Lương:Cạnh tranh</t>
        </is>
      </c>
      <c r="F15886" s="10" t="inlineStr">
        <is>
          <t>Hải PhòngHà Nội</t>
        </is>
      </c>
      <c r="G15886" s="10" t="inlineStr">
        <is>
          <t>31-03-2026</t>
        </is>
      </c>
      <c r="H15886" s="10" t="inlineStr">
        <is>
          <t>31/03/2026</t>
        </is>
      </c>
      <c r="I15886" s="10" t="inlineStr">
        <is>
          <t>17/03/2026</t>
        </is>
      </c>
      <c r="J15886" s="10" t="inlineStr">
        <is>
          <t>Cơ khí / Ô tô / Tự động hóa, Điện / Điện tử / Điện lạnh / Điện công nghiệp</t>
        </is>
      </c>
      <c r="K15886" s="10" t="inlineStr">
        <is>
          <t>2 - 5 Năm</t>
        </is>
      </c>
      <c r="L15886" s="11">
        <f>HYPERLINK("https://careerviet.vn/vi/tim-viec-lam/automation-engineer-ky-su-tu-dong-hoa-ky-su-dich-vu.35C69003.html","Xem chi tiết")</f>
        <v/>
      </c>
      <c r="M15886" s="10" t="n"/>
    </row>
    <row r="15887">
      <c r="B15887" s="7" t="n">
        <v>15885</v>
      </c>
      <c r="C15887" t="inlineStr">
        <is>
          <t>Trưởng Phòng F&amp;B</t>
        </is>
      </c>
      <c r="D15887" t="inlineStr">
        <is>
          <t>Công Ty Cổ Phần A25 Hotel</t>
        </is>
      </c>
      <c r="E15887" t="inlineStr">
        <is>
          <t>Lương:30 Tr - 50 Tr VND</t>
        </is>
      </c>
      <c r="F15887" t="inlineStr">
        <is>
          <t>Hà Nội</t>
        </is>
      </c>
      <c r="G15887" t="inlineStr">
        <is>
          <t>31-03-2026</t>
        </is>
      </c>
      <c r="H15887" t="inlineStr">
        <is>
          <t>31/03/2026</t>
        </is>
      </c>
      <c r="I15887" t="inlineStr">
        <is>
          <t>17/03/2026</t>
        </is>
      </c>
      <c r="J15887" t="inlineStr">
        <is>
          <t>Quản lý điều hành, Nhà hàng / Khách sạn</t>
        </is>
      </c>
      <c r="K15887" t="inlineStr">
        <is>
          <t>3 - 5 Năm</t>
        </is>
      </c>
      <c r="L15887" s="8">
        <f>HYPERLINK("https://careerviet.vn/vi/tim-viec-lam/truong-phong-f-b.35C69369.html","Xem chi tiết")</f>
        <v/>
      </c>
    </row>
    <row r="15888">
      <c r="B15888" s="9" t="n">
        <v>15886</v>
      </c>
      <c r="C15888" s="10" t="inlineStr">
        <is>
          <t>Nhân Viên Lễ Tân – Văn Phòng Bán Hàng</t>
        </is>
      </c>
      <c r="D15888" s="10" t="inlineStr">
        <is>
          <t>Công Ty Cổ Phần Tập Đoàn Sunshine</t>
        </is>
      </c>
      <c r="E15888" s="10" t="inlineStr">
        <is>
          <t>Lương:12 Tr - 15 Tr VND</t>
        </is>
      </c>
      <c r="F15888" s="10" t="inlineStr">
        <is>
          <t>Hồ Chí Minh</t>
        </is>
      </c>
      <c r="G15888" s="10" t="inlineStr">
        <is>
          <t>31-03-2026</t>
        </is>
      </c>
      <c r="H15888" s="10" t="inlineStr">
        <is>
          <t>31/03/2026</t>
        </is>
      </c>
      <c r="I15888" s="10" t="inlineStr">
        <is>
          <t>17/03/2026</t>
        </is>
      </c>
      <c r="J15888" s="10" t="inlineStr">
        <is>
          <t>Dịch vụ khách hàng, Nhà hàng / Khách sạn, Du lịch</t>
        </is>
      </c>
      <c r="K15888" s="10" t="inlineStr">
        <is>
          <t>Trên 1 Năm</t>
        </is>
      </c>
      <c r="L15888" s="11">
        <f>HYPERLINK("https://careerviet.vn/vi/tim-viec-lam/nhan-vien-le-tan-van-phong-ban-hang.35C68FFC.html","Xem chi tiết")</f>
        <v/>
      </c>
      <c r="M15888" s="10" t="n"/>
    </row>
    <row r="15889">
      <c r="B15889" s="7" t="n">
        <v>15887</v>
      </c>
      <c r="C15889" t="inlineStr">
        <is>
          <t>Nhân Viên Lễ Tân - Hành Chính</t>
        </is>
      </c>
      <c r="D15889" t="inlineStr">
        <is>
          <t>Bảo mật</t>
        </is>
      </c>
      <c r="E15889" t="inlineStr">
        <is>
          <t>Lương:10 Tr - 13 Tr VND</t>
        </is>
      </c>
      <c r="F15889" t="inlineStr">
        <is>
          <t>Hà Nội</t>
        </is>
      </c>
      <c r="G15889" t="inlineStr">
        <is>
          <t>24-03-2026</t>
        </is>
      </c>
      <c r="H15889" t="inlineStr">
        <is>
          <t>24/03/2026</t>
        </is>
      </c>
      <c r="I15889" t="inlineStr">
        <is>
          <t>17/03/2026</t>
        </is>
      </c>
      <c r="J15889" t="inlineStr">
        <is>
          <t>Hành chính / Thư ký, Nhân sự, Kế toán / Kiểm toán</t>
        </is>
      </c>
      <c r="K15889" t="inlineStr">
        <is>
          <t>Trên 1 Năm</t>
        </is>
      </c>
      <c r="L15889" s="8">
        <f>HYPERLINK("https://careerviet.vn/vi/tim-viec-lam/nhan-vien-le-tan-hanh-chinh.35C692A8.html","Xem chi tiết")</f>
        <v/>
      </c>
    </row>
    <row r="15890">
      <c r="B15890" s="9" t="n">
        <v>15888</v>
      </c>
      <c r="C15890" s="10" t="inlineStr">
        <is>
          <t>CHUYÊN VIÊN HCNS (Pháp lý - pháp chế) BỆNH VIỆN MẮT DND - SÀI GÒN</t>
        </is>
      </c>
      <c r="D15890" s="10" t="inlineStr">
        <is>
          <t>CÔNG TY TNHH ĐẦU TƯ Y TẾ QUỐC TẾ DND – SÀI GÒN</t>
        </is>
      </c>
      <c r="E15890" s="10" t="inlineStr">
        <is>
          <t>Lương:Cạnh tranh</t>
        </is>
      </c>
      <c r="F15890" s="10" t="inlineStr">
        <is>
          <t>Hồ Chí Minh</t>
        </is>
      </c>
      <c r="G15890" s="10" t="inlineStr">
        <is>
          <t>31-03-2026</t>
        </is>
      </c>
      <c r="H15890" s="10" t="inlineStr">
        <is>
          <t>31/03/2026</t>
        </is>
      </c>
      <c r="I15890" s="10" t="inlineStr">
        <is>
          <t>17/03/2026</t>
        </is>
      </c>
      <c r="J15890" s="10" t="inlineStr">
        <is>
          <t>Luật / Pháp lý, Hành chính / Thư ký, Nhân sự</t>
        </is>
      </c>
      <c r="K15890" s="10" t="inlineStr">
        <is>
          <t>Trên 3 Năm</t>
        </is>
      </c>
      <c r="L15890" s="11">
        <f>HYPERLINK("https://careerviet.vn/vi/tim-viec-lam/chuyen-vien-hcns-phap-ly-phap-che-benh-vien-mat-dnd-sai-gon.35C69381.html","Xem chi tiết")</f>
        <v/>
      </c>
      <c r="M15890" s="10" t="n"/>
    </row>
    <row r="15891">
      <c r="B15891" s="7" t="n">
        <v>15889</v>
      </c>
      <c r="C15891" t="inlineStr">
        <is>
          <t>Nhân Viên Kế Hoạch</t>
        </is>
      </c>
      <c r="D15891" t="inlineStr">
        <is>
          <t>Công Ty Cổ Phần Sản Xuất Nhựa Duy Tân</t>
        </is>
      </c>
      <c r="E15891" t="inlineStr">
        <is>
          <t>Lương:Cạnh tranh</t>
        </is>
      </c>
      <c r="F15891" t="inlineStr">
        <is>
          <t>Hồ Chí Minh</t>
        </is>
      </c>
      <c r="G15891" t="inlineStr">
        <is>
          <t>26-03-2026</t>
        </is>
      </c>
      <c r="H15891" t="inlineStr">
        <is>
          <t>26/03/2026</t>
        </is>
      </c>
      <c r="I15891" t="inlineStr">
        <is>
          <t>17/03/2026</t>
        </is>
      </c>
      <c r="J15891" t="inlineStr">
        <is>
          <t>Sản xuất / Vận hành sản xuất</t>
        </is>
      </c>
      <c r="K15891" t="inlineStr">
        <is>
          <t>2 - 3 Năm</t>
        </is>
      </c>
      <c r="L15891" s="8">
        <f>HYPERLINK("https://careerviet.vn/vi/tim-viec-lam/nhan-vien-ke-hoach.35C68FDE.html","Xem chi tiết")</f>
        <v/>
      </c>
    </row>
    <row r="15892">
      <c r="B15892" s="9" t="n">
        <v>15890</v>
      </c>
      <c r="C15892" s="10" t="inlineStr">
        <is>
          <t>Project Manager (Quản lý Dự án Chuyển đổi số cấp Tập đoàn)</t>
        </is>
      </c>
      <c r="D15892" s="10" t="inlineStr">
        <is>
          <t>Tập Đoàn Tân Á Đại Thành</t>
        </is>
      </c>
      <c r="E15892" s="10" t="inlineStr">
        <is>
          <t>Lương:Cạnh tranh</t>
        </is>
      </c>
      <c r="F15892" s="10" t="inlineStr">
        <is>
          <t>Hà Nội</t>
        </is>
      </c>
      <c r="G15892" s="10" t="inlineStr">
        <is>
          <t>31-03-2026</t>
        </is>
      </c>
      <c r="H15892" s="10" t="inlineStr">
        <is>
          <t>31/03/2026</t>
        </is>
      </c>
      <c r="I15892" s="10" t="inlineStr">
        <is>
          <t>17/03/2026</t>
        </is>
      </c>
      <c r="J15892" s="10" t="inlineStr">
        <is>
          <t>CNTT - Phần mềm, CNTT - Phần cứng / Mạng</t>
        </is>
      </c>
      <c r="K15892" s="10" t="inlineStr">
        <is>
          <t>Trên 5 Năm</t>
        </is>
      </c>
      <c r="L15892" s="11">
        <f>HYPERLINK("https://careerviet.vn/vi/tim-viec-lam/project-manager-quan-ly-du-an-chuyen-doi-so-cap-tap-doan.35C69424.html","Xem chi tiết")</f>
        <v/>
      </c>
      <c r="M15892" s="10" t="n"/>
    </row>
    <row r="15893">
      <c r="B15893" s="7" t="n">
        <v>15891</v>
      </c>
      <c r="C15893" t="inlineStr">
        <is>
          <t>Procurement Executive</t>
        </is>
      </c>
      <c r="D15893" t="inlineStr">
        <is>
          <t>Công Ty TNHH Taisun Việt Nam</t>
        </is>
      </c>
      <c r="E15893" t="inlineStr">
        <is>
          <t>Lương:Cạnh tranh</t>
        </is>
      </c>
      <c r="F15893" t="inlineStr">
        <is>
          <t>Hồ Chí Minh</t>
        </is>
      </c>
      <c r="G15893" t="inlineStr">
        <is>
          <t>24-03-2026</t>
        </is>
      </c>
      <c r="H15893" t="inlineStr">
        <is>
          <t>24/03/2026</t>
        </is>
      </c>
      <c r="I15893" t="inlineStr">
        <is>
          <t>17/03/2026</t>
        </is>
      </c>
      <c r="J15893" t="inlineStr">
        <is>
          <t>Bán hàng / Kinh doanh, Kế toán / Kiểm toán, Thu mua / Vật tư</t>
        </is>
      </c>
      <c r="K15893" t="inlineStr">
        <is>
          <t>5 - 8 Năm</t>
        </is>
      </c>
      <c r="L15893" s="8">
        <f>HYPERLINK("https://careerviet.vn/vi/tim-viec-lam/procurement-executive.35C69213.html","Xem chi tiết")</f>
        <v/>
      </c>
    </row>
    <row r="15894">
      <c r="B15894" s="9" t="n">
        <v>15892</v>
      </c>
      <c r="C15894" s="10" t="inlineStr">
        <is>
          <t>Chuyên viên phân tích nghiệp vụ - Business Analyst (BA)</t>
        </is>
      </c>
      <c r="D15894" s="10" t="inlineStr">
        <is>
          <t>CÔNG TY CỔ PHẦN CHỨNG KHOÁN HD</t>
        </is>
      </c>
      <c r="E15894" s="10" t="inlineStr">
        <is>
          <t>Lương:Cạnh tranh</t>
        </is>
      </c>
      <c r="F15894" s="10" t="inlineStr">
        <is>
          <t>Hồ Chí Minh</t>
        </is>
      </c>
      <c r="G15894" s="10" t="inlineStr">
        <is>
          <t>26-03-2026</t>
        </is>
      </c>
      <c r="H15894" s="10" t="inlineStr">
        <is>
          <t>26/03/2026</t>
        </is>
      </c>
      <c r="I15894" s="10" t="inlineStr">
        <is>
          <t>17/03/2026</t>
        </is>
      </c>
      <c r="J15894" s="10" t="inlineStr">
        <is>
          <t>CNTT - Phần mềm, Chứng khoán, CNTT - Phần cứng / Mạng</t>
        </is>
      </c>
      <c r="K15894" s="10" t="inlineStr">
        <is>
          <t>3 - 10 Năm</t>
        </is>
      </c>
      <c r="L15894" s="11">
        <f>HYPERLINK("https://careerviet.vn/vi/tim-viec-lam/chuyen-vien-phan-tich-nghiep-vu-business-analyst-ba.35C6910B.html","Xem chi tiết")</f>
        <v/>
      </c>
      <c r="M15894" s="10" t="n"/>
    </row>
    <row r="15895">
      <c r="B15895" s="7" t="n">
        <v>15893</v>
      </c>
      <c r="C15895" t="inlineStr">
        <is>
          <t>Chuyên Viên Nội Dung (PR Content Executive)</t>
        </is>
      </c>
      <c r="D15895" t="inlineStr">
        <is>
          <t>HEXAGON - CÔNG TY CỔ PHẦN THIẾT KẾ LỤC GIÁC</t>
        </is>
      </c>
      <c r="E15895" t="inlineStr">
        <is>
          <t>Lương:Cạnh tranh</t>
        </is>
      </c>
      <c r="F15895" t="inlineStr">
        <is>
          <t>Hà Nội</t>
        </is>
      </c>
      <c r="G15895" t="inlineStr">
        <is>
          <t>28-03-2026</t>
        </is>
      </c>
      <c r="H15895" t="inlineStr">
        <is>
          <t>28/03/2026</t>
        </is>
      </c>
      <c r="I15895" t="inlineStr">
        <is>
          <t>17/03/2026</t>
        </is>
      </c>
      <c r="J15895" t="inlineStr">
        <is>
          <t>Truyền hình / Báo chí / Biên tập, Quảng cáo / Đối ngoại / Truyền Thông</t>
        </is>
      </c>
      <c r="K15895" t="inlineStr">
        <is>
          <t>1 - 2 Năm</t>
        </is>
      </c>
      <c r="L15895" s="8">
        <f>HYPERLINK("https://careerviet.vn/vi/tim-viec-lam/chuyen-vien-noi-dung-pr-content-executive.35C69416.html","Xem chi tiết")</f>
        <v/>
      </c>
    </row>
    <row r="15896">
      <c r="B15896" s="9" t="n">
        <v>15894</v>
      </c>
      <c r="C15896" s="10" t="inlineStr">
        <is>
          <t>Trưởng nhóm phát triển kinh doanh - Dự án Travel App - Ngân hàng số</t>
        </is>
      </c>
      <c r="D15896" s="10" t="inlineStr">
        <is>
          <t>Ngân hàng TMCP Đại Chúng Việt Nam - PVcomBank</t>
        </is>
      </c>
      <c r="E15896" s="10" t="inlineStr">
        <is>
          <t>Lương:Cạnh tranh</t>
        </is>
      </c>
      <c r="F15896" s="10" t="inlineStr">
        <is>
          <t>Hà Nội</t>
        </is>
      </c>
      <c r="G15896" s="10" t="inlineStr">
        <is>
          <t>26-03-2026</t>
        </is>
      </c>
      <c r="H15896" s="10" t="inlineStr">
        <is>
          <t>26/03/2026</t>
        </is>
      </c>
      <c r="I15896" s="10" t="inlineStr">
        <is>
          <t>17/03/2026</t>
        </is>
      </c>
      <c r="J15896" s="10" t="inlineStr">
        <is>
          <t>Quản lý điều hành, Bán hàng / Kinh doanh, Tiếp thị trực tuyến</t>
        </is>
      </c>
      <c r="K15896" s="10" t="inlineStr">
        <is>
          <t>5 - 10 Năm</t>
        </is>
      </c>
      <c r="L15896" s="11">
        <f>HYPERLINK("https://careerviet.vn/vi/tim-viec-lam/truong-nhom-phat-trien-kinh-doanh-du-an-travel-app-ngan-hang-so.35C69090.html","Xem chi tiết")</f>
        <v/>
      </c>
      <c r="M15896" s="10" t="n"/>
    </row>
    <row r="15897">
      <c r="B15897" s="7" t="n">
        <v>15895</v>
      </c>
      <c r="C15897" t="inlineStr">
        <is>
          <t>Nhân viên Logistics</t>
        </is>
      </c>
      <c r="D15897" t="inlineStr">
        <is>
          <t>Công ty cổ phần Anvy</t>
        </is>
      </c>
      <c r="E15897" t="inlineStr">
        <is>
          <t>Lương:10 Tr - 12 Tr VND</t>
        </is>
      </c>
      <c r="F15897" t="inlineStr">
        <is>
          <t>Hồ Chí Minh</t>
        </is>
      </c>
      <c r="G15897" t="inlineStr">
        <is>
          <t>31-03-2026</t>
        </is>
      </c>
      <c r="H15897" t="inlineStr">
        <is>
          <t>31/03/2026</t>
        </is>
      </c>
      <c r="I15897" t="inlineStr">
        <is>
          <t>17/03/2026</t>
        </is>
      </c>
      <c r="J15897" t="inlineStr">
        <is>
          <t>Y tế / Chăm sóc sức khỏe / Thẩm mỹ / Làm đẹp, Bán hàng / Kinh doanh, Hành chính / Thư ký</t>
        </is>
      </c>
      <c r="K15897" t="inlineStr">
        <is>
          <t>1 - 3 Năm</t>
        </is>
      </c>
      <c r="L15897" s="8">
        <f>HYPERLINK("https://careerviet.vn/vi/tim-viec-lam/nhan-vien-logistics.35C69261.html","Xem chi tiết")</f>
        <v/>
      </c>
    </row>
    <row r="15898">
      <c r="B15898" s="9" t="n">
        <v>15896</v>
      </c>
      <c r="C15898" s="10" t="inlineStr">
        <is>
          <t>Nhân Viên Hành Chính Nhân Sự - Bình Phước</t>
        </is>
      </c>
      <c r="D15898" s="10" t="inlineStr">
        <is>
          <t>CÔNG TY TNHH TM DV XỬ LÝ MÔI TRƯỜNG VIỆT KHẢI</t>
        </is>
      </c>
      <c r="E15898" s="10" t="inlineStr">
        <is>
          <t>Lương:8 Tr - 10 Tr VND</t>
        </is>
      </c>
      <c r="F15898" s="10" t="inlineStr">
        <is>
          <t>Bình Phước</t>
        </is>
      </c>
      <c r="G15898" s="10" t="inlineStr">
        <is>
          <t>31-03-2026</t>
        </is>
      </c>
      <c r="H15898" s="10" t="inlineStr">
        <is>
          <t>31/03/2026</t>
        </is>
      </c>
      <c r="I15898" s="10" t="inlineStr">
        <is>
          <t>17/03/2026</t>
        </is>
      </c>
      <c r="J15898" s="10" t="inlineStr">
        <is>
          <t>Hành chính / Thư ký, Nhân sự, Kế toán / Kiểm toán</t>
        </is>
      </c>
      <c r="K15898" s="10" t="inlineStr">
        <is>
          <t>N/A</t>
        </is>
      </c>
      <c r="L15898" s="11">
        <f>HYPERLINK("https://careerviet.vn/vi/tim-viec-lam/nhan-vien-hanh-chinh-nhan-su-binh-phuoc.35C68F9B.html","Xem chi tiết")</f>
        <v/>
      </c>
      <c r="M15898" s="10" t="n"/>
    </row>
    <row r="15899">
      <c r="B15899" s="7" t="n">
        <v>15897</v>
      </c>
      <c r="C15899" t="inlineStr">
        <is>
          <t>Kế toán viên</t>
        </is>
      </c>
      <c r="D15899" t="inlineStr">
        <is>
          <t>Công ty Cổ phần Xhome Cần Thơ</t>
        </is>
      </c>
      <c r="E15899" t="inlineStr">
        <is>
          <t>Lương:9 Tr - 14 Tr VND</t>
        </is>
      </c>
      <c r="F15899" t="inlineStr">
        <is>
          <t>Cần Thơ</t>
        </is>
      </c>
      <c r="G15899" t="inlineStr">
        <is>
          <t>31-03-2026</t>
        </is>
      </c>
      <c r="H15899" t="inlineStr">
        <is>
          <t>31/03/2026</t>
        </is>
      </c>
      <c r="I15899" t="inlineStr">
        <is>
          <t>17/03/2026</t>
        </is>
      </c>
      <c r="J15899" t="inlineStr">
        <is>
          <t>Kế toán / Kiểm toán</t>
        </is>
      </c>
      <c r="K15899" t="inlineStr">
        <is>
          <t>1 - 3 Năm</t>
        </is>
      </c>
      <c r="L15899" s="8">
        <f>HYPERLINK("https://careerviet.vn/vi/tim-viec-lam/ke-toan-vien.35C6939C.html","Xem chi tiết")</f>
        <v/>
      </c>
    </row>
    <row r="15900">
      <c r="B15900" s="9" t="n">
        <v>15898</v>
      </c>
      <c r="C15900" s="10" t="inlineStr">
        <is>
          <t>Nhân viên kho</t>
        </is>
      </c>
      <c r="D15900" s="10" t="inlineStr">
        <is>
          <t>CÔNG TY TNHH TRỐNG ĐỒNG VIỆT NAM</t>
        </is>
      </c>
      <c r="E15900" s="10" t="inlineStr">
        <is>
          <t>Lương:9 Tr - 10 Tr VND</t>
        </is>
      </c>
      <c r="F15900" s="10" t="inlineStr">
        <is>
          <t>Hà NộiNam Định</t>
        </is>
      </c>
      <c r="G15900" s="10" t="inlineStr">
        <is>
          <t>31-03-2026</t>
        </is>
      </c>
      <c r="H15900" s="10" t="inlineStr">
        <is>
          <t>31/03/2026</t>
        </is>
      </c>
      <c r="I15900" s="10" t="inlineStr">
        <is>
          <t>17/03/2026</t>
        </is>
      </c>
      <c r="J15900" s="10" t="inlineStr">
        <is>
          <t>Nhà hàng / Khách sạn, Bán hàng / Kinh doanh, Kế toán / Kiểm toán</t>
        </is>
      </c>
      <c r="K15900" s="10" t="inlineStr">
        <is>
          <t>N/A</t>
        </is>
      </c>
      <c r="L15900" s="11">
        <f>HYPERLINK("https://careerviet.vn/vi/tim-viec-lam/nhan-vien-kho.35C69239.html","Xem chi tiết")</f>
        <v/>
      </c>
      <c r="M15900" s="10" t="n"/>
    </row>
    <row r="15901">
      <c r="B15901" s="7" t="n">
        <v>15899</v>
      </c>
      <c r="C15901" t="inlineStr">
        <is>
          <t>Quản lý Quản trị rủi ro và Tuân thủ</t>
        </is>
      </c>
      <c r="D15901" t="inlineStr">
        <is>
          <t>CÔNG TY TNHH MTV CHẾ TÁC VÀ KINH DOANH TRANG SỨC PNJ</t>
        </is>
      </c>
      <c r="E15901" t="inlineStr">
        <is>
          <t>Lương:35 Tr - 50 Tr VND</t>
        </is>
      </c>
      <c r="F15901" t="inlineStr">
        <is>
          <t>Hồ Chí Minh</t>
        </is>
      </c>
      <c r="G15901" t="inlineStr">
        <is>
          <t>15-04-2026</t>
        </is>
      </c>
      <c r="H15901" t="inlineStr">
        <is>
          <t>15/04/2026</t>
        </is>
      </c>
      <c r="I15901" t="inlineStr">
        <is>
          <t>17/03/2026</t>
        </is>
      </c>
      <c r="J15901" t="inlineStr">
        <is>
          <t>Kế toán / Kiểm toán, Sản xuất / Vận hành sản xuất, Tài chính / Đầu tư</t>
        </is>
      </c>
      <c r="K15901" t="inlineStr">
        <is>
          <t>5 - 7 Năm</t>
        </is>
      </c>
      <c r="L15901" s="8">
        <f>HYPERLINK("https://careerviet.vn/vi/tim-viec-lam/quan-ly-quan-tri-rui-ro-va-tuan-thu.35C68F8C.html","Xem chi tiết")</f>
        <v/>
      </c>
    </row>
    <row r="15902">
      <c r="B15902" s="9" t="n">
        <v>15900</v>
      </c>
      <c r="C15902" s="10" t="inlineStr">
        <is>
          <t>Kế toán trưởng (Làm việc tại Campuchia)</t>
        </is>
      </c>
      <c r="D15902" s="10" t="inlineStr">
        <is>
          <t>Công ty CP Thành Thành Công - Biên Hòa</t>
        </is>
      </c>
      <c r="E15902" s="10" t="inlineStr">
        <is>
          <t>Lương:Cạnh tranh</t>
        </is>
      </c>
      <c r="F15902" s="10" t="inlineStr">
        <is>
          <t>Kratie</t>
        </is>
      </c>
      <c r="G15902" s="10" t="inlineStr">
        <is>
          <t>26-03-2026</t>
        </is>
      </c>
      <c r="H15902" s="10" t="inlineStr">
        <is>
          <t>26/03/2026</t>
        </is>
      </c>
      <c r="I15902" s="10" t="inlineStr">
        <is>
          <t>17/03/2026</t>
        </is>
      </c>
      <c r="J15902" s="10" t="inlineStr">
        <is>
          <t>Kế toán / Kiểm toán, Ngành khác, Tài chính / Đầu tư</t>
        </is>
      </c>
      <c r="K15902" s="10" t="inlineStr">
        <is>
          <t>3 - 5 Năm</t>
        </is>
      </c>
      <c r="L15902" s="11">
        <f>HYPERLINK("https://careerviet.vn/vi/tim-viec-lam/ke-toan-truong-lam-viec-tai-campuchia.35C692F2.html","Xem chi tiết")</f>
        <v/>
      </c>
      <c r="M15902" s="10" t="n"/>
    </row>
    <row r="15903">
      <c r="B15903" s="7" t="n">
        <v>15901</v>
      </c>
      <c r="C15903" t="inlineStr">
        <is>
          <t>Nhân Viên Kinh Doanh Nguyên liệu Bánh - Bakery Khu vực Hà Nội</t>
        </is>
      </c>
      <c r="D15903" t="inlineStr">
        <is>
          <t>CÔNG TY CỔ PHẦN THƯƠNG MẠI VÀ CÔNG NGHỆ THỰC PHẨM HOÀNG LÂM</t>
        </is>
      </c>
      <c r="E15903" t="inlineStr">
        <is>
          <t>Lương:Trên 20 Tr VND</t>
        </is>
      </c>
      <c r="F15903" t="inlineStr">
        <is>
          <t>Hà Nội</t>
        </is>
      </c>
      <c r="G15903" t="inlineStr">
        <is>
          <t>31-03-2026</t>
        </is>
      </c>
      <c r="H15903" t="inlineStr">
        <is>
          <t>31/03/2026</t>
        </is>
      </c>
      <c r="I15903" t="inlineStr">
        <is>
          <t>17/03/2026</t>
        </is>
      </c>
      <c r="J15903" t="inlineStr">
        <is>
          <t>Bán hàng / Kinh doanh, Thực phẩm &amp; Đồ uống, Công nghệ thực phẩm / Dinh dưỡng</t>
        </is>
      </c>
      <c r="K15903" t="inlineStr">
        <is>
          <t>Trên 1 Năm</t>
        </is>
      </c>
      <c r="L15903" s="8">
        <f>HYPERLINK("https://careerviet.vn/vi/tim-viec-lam/nhan-vien-kinh-doanh-nguyen-lieu-banh-bakery-khu-vuc-ha-noi.35C691C0.html","Xem chi tiết")</f>
        <v/>
      </c>
    </row>
    <row r="15904">
      <c r="B15904" s="9" t="n">
        <v>15902</v>
      </c>
      <c r="C15904" s="10" t="inlineStr">
        <is>
          <t>Nhân viên bell man</t>
        </is>
      </c>
      <c r="D15904" s="10" t="inlineStr">
        <is>
          <t>Công Ty Cổ Phần A25 Hotel</t>
        </is>
      </c>
      <c r="E15904" s="10" t="inlineStr">
        <is>
          <t>Lương:9,5 Tr - 19 Tr VND</t>
        </is>
      </c>
      <c r="F15904" s="10" t="inlineStr">
        <is>
          <t>Hà Nội</t>
        </is>
      </c>
      <c r="G15904" s="10" t="inlineStr">
        <is>
          <t>31-03-2026</t>
        </is>
      </c>
      <c r="H15904" s="10" t="inlineStr">
        <is>
          <t>31/03/2026</t>
        </is>
      </c>
      <c r="I15904" s="10" t="inlineStr">
        <is>
          <t>17/03/2026</t>
        </is>
      </c>
      <c r="J15904" s="10" t="inlineStr">
        <is>
          <t>Lao động phổ thông, Nhà hàng / Khách sạn, Mới tốt nghiệp / Thực tập</t>
        </is>
      </c>
      <c r="K15904" s="10" t="inlineStr">
        <is>
          <t>N/A</t>
        </is>
      </c>
      <c r="L15904" s="11">
        <f>HYPERLINK("https://careerviet.vn/vi/tim-viec-lam/nhan-vien-bell-man.35C6938F.html","Xem chi tiết")</f>
        <v/>
      </c>
      <c r="M15904" s="10" t="n"/>
    </row>
    <row r="15905">
      <c r="B15905" s="7" t="n">
        <v>15903</v>
      </c>
      <c r="C15905" t="inlineStr">
        <is>
          <t>Trưởng phòng Sản xuất Thông minh (Intelligent Manufacturing Manager) - Tiếng Trung</t>
        </is>
      </c>
      <c r="D15905" t="inlineStr">
        <is>
          <t>CÔNG TY TNHH ELECTRONIC TRIPOD VIỆT NAM (CHÂU ĐỨC)</t>
        </is>
      </c>
      <c r="E15905" t="inlineStr">
        <is>
          <t>Lương:Cạnh tranh</t>
        </is>
      </c>
      <c r="F15905" t="inlineStr">
        <is>
          <t>Bà Rịa - Vũng Tàu</t>
        </is>
      </c>
      <c r="G15905" t="inlineStr">
        <is>
          <t>24-03-2026</t>
        </is>
      </c>
      <c r="H15905" t="inlineStr">
        <is>
          <t>24/03/2026</t>
        </is>
      </c>
      <c r="I15905" t="inlineStr">
        <is>
          <t>17/03/2026</t>
        </is>
      </c>
      <c r="J15905" t="inlineStr">
        <is>
          <t>Sản xuất / Vận hành sản xuất, CNTT - Phần cứng / Mạng, CNTT - Phần mềm</t>
        </is>
      </c>
      <c r="K15905" t="inlineStr">
        <is>
          <t>1 - 2 Năm</t>
        </is>
      </c>
      <c r="L15905" s="8">
        <f>HYPERLINK("https://careerviet.vn/vi/tim-viec-lam/truong-phong-san-xuat-thong-minh-intelligent-manufacturing-manager-tieng-trung.35C69192.html","Xem chi tiết")</f>
        <v/>
      </c>
    </row>
    <row r="15906">
      <c r="B15906" s="9" t="n">
        <v>15904</v>
      </c>
      <c r="C15906" s="10" t="inlineStr">
        <is>
          <t>Sales Tour Inbound Tiếng Anh</t>
        </is>
      </c>
      <c r="D15906" s="10" t="inlineStr">
        <is>
          <t>Vietnam Tourist</t>
        </is>
      </c>
      <c r="E15906" s="10" t="inlineStr">
        <is>
          <t>Lương:15 Tr - 20 Tr VND</t>
        </is>
      </c>
      <c r="F15906" s="10" t="inlineStr">
        <is>
          <t>Hà Nội</t>
        </is>
      </c>
      <c r="G15906" s="10" t="inlineStr">
        <is>
          <t>09-03-2026</t>
        </is>
      </c>
      <c r="H15906" s="10" t="inlineStr">
        <is>
          <t>24/02/2026</t>
        </is>
      </c>
      <c r="I15906" s="10" t="inlineStr">
        <is>
          <t>17/03/2026</t>
        </is>
      </c>
      <c r="J15906" s="10" t="inlineStr">
        <is>
          <t>Du lịch</t>
        </is>
      </c>
      <c r="K15906" s="10" t="inlineStr">
        <is>
          <t>1 - 2 Năm</t>
        </is>
      </c>
      <c r="L15906" s="11">
        <f>HYPERLINK("https://careerviet.vn/vi/tim-viec-lam/sales-tour-inbound-tieng-anh.35C69100.html","Xem chi tiết")</f>
        <v/>
      </c>
      <c r="M15906" s="10" t="n"/>
    </row>
    <row r="15907">
      <c r="B15907" s="7" t="n">
        <v>15905</v>
      </c>
      <c r="C15907" t="inlineStr">
        <is>
          <t>Nhân Viên  Nhà Hàng</t>
        </is>
      </c>
      <c r="D15907" t="inlineStr">
        <is>
          <t>BỆNH VIỆN ĐA KHOA PHƯƠNG ĐÔNG</t>
        </is>
      </c>
      <c r="E15907" t="inlineStr">
        <is>
          <t>Lương:Cạnh tranh</t>
        </is>
      </c>
      <c r="F15907" t="inlineStr">
        <is>
          <t>Hà Nội</t>
        </is>
      </c>
      <c r="G15907" t="inlineStr">
        <is>
          <t>31-05-2026</t>
        </is>
      </c>
      <c r="H15907" t="inlineStr">
        <is>
          <t>31/05/2026</t>
        </is>
      </c>
      <c r="I15907" t="inlineStr">
        <is>
          <t>17/03/2026</t>
        </is>
      </c>
      <c r="J15907" t="inlineStr">
        <is>
          <t>Dịch vụ khách hàng, Nhà hàng / Khách sạn</t>
        </is>
      </c>
      <c r="K15907" t="inlineStr">
        <is>
          <t>N/A</t>
        </is>
      </c>
      <c r="L15907" s="8">
        <f>HYPERLINK("https://careerviet.vn/vi/tim-viec-lam/nhan-vien-nha-hang.35C690F5.html","Xem chi tiết")</f>
        <v/>
      </c>
    </row>
    <row r="15908">
      <c r="B15908" s="9" t="n">
        <v>15906</v>
      </c>
      <c r="C15908" s="10" t="inlineStr">
        <is>
          <t>[Sa Pa] Phó Ban Quản lý dự án (Phụ trách Cơ điện) - Alphanam Group</t>
        </is>
      </c>
      <c r="D15908" s="10" t="inlineStr">
        <is>
          <t>Alphanam Group</t>
        </is>
      </c>
      <c r="E15908" s="10" t="inlineStr">
        <is>
          <t>Lương:Cạnh tranh</t>
        </is>
      </c>
      <c r="F15908" s="10" t="inlineStr">
        <is>
          <t>Lào Cai</t>
        </is>
      </c>
      <c r="G15908" s="10" t="inlineStr">
        <is>
          <t>26-03-2026</t>
        </is>
      </c>
      <c r="H15908" s="10" t="inlineStr">
        <is>
          <t>26/03/2026</t>
        </is>
      </c>
      <c r="I15908" s="10" t="inlineStr">
        <is>
          <t>17/03/2026</t>
        </is>
      </c>
      <c r="J15908" s="10" t="inlineStr">
        <is>
          <t>Bất động sản, Điện / Điện tử / Điện lạnh / Điện công nghiệp</t>
        </is>
      </c>
      <c r="K15908" s="10" t="inlineStr">
        <is>
          <t>5 - 7 Năm</t>
        </is>
      </c>
      <c r="L15908" s="11">
        <f>HYPERLINK("https://careerviet.vn/vi/tim-viec-lam/sa-pa-pho-ban-quan-ly-du-an-phu-trach-co-dien-alphanam-group.35C69041.html","Xem chi tiết")</f>
        <v/>
      </c>
      <c r="M15908" s="10" t="n"/>
    </row>
    <row r="15909">
      <c r="B15909" s="7" t="n">
        <v>15907</v>
      </c>
      <c r="C15909" t="inlineStr">
        <is>
          <t>Chuyên viên Hành chính Tổng hợp</t>
        </is>
      </c>
      <c r="D15909" t="inlineStr">
        <is>
          <t>Công Ty Cổ Phần Tập Đoàn Sunshine</t>
        </is>
      </c>
      <c r="E15909" t="inlineStr">
        <is>
          <t>Lương:11 Tr - 15 Tr VND</t>
        </is>
      </c>
      <c r="F15909" t="inlineStr">
        <is>
          <t>Hồ Chí Minh</t>
        </is>
      </c>
      <c r="G15909" t="inlineStr">
        <is>
          <t>6</t>
        </is>
      </c>
      <c r="H15909" t="inlineStr">
        <is>
          <t>23/03/2026</t>
        </is>
      </c>
      <c r="I15909" t="inlineStr">
        <is>
          <t>17/03/2026</t>
        </is>
      </c>
      <c r="J15909" t="inlineStr">
        <is>
          <t>Hành chính / Thư ký, Nhân sự, Bất động sản</t>
        </is>
      </c>
      <c r="K15909" t="inlineStr">
        <is>
          <t>2 - 5 Năm</t>
        </is>
      </c>
      <c r="L15909" s="8">
        <f>HYPERLINK("https://careerviet.vn/vi/tim-viec-lam/chuyen-vien-hanh-chinh-tong-hop.35C68FEC.html","Xem chi tiết")</f>
        <v/>
      </c>
    </row>
    <row r="15910">
      <c r="B15910" s="9" t="n">
        <v>15908</v>
      </c>
      <c r="C15910" s="10" t="inlineStr">
        <is>
          <t>[CITIGYM] Chuyên viên An ninh An toàn</t>
        </is>
      </c>
      <c r="D15910" s="10" t="inlineStr">
        <is>
          <t>Nova Service Group - Công ty Cổ phần Tập đoàn Nova Services</t>
        </is>
      </c>
      <c r="E15910" s="10" t="inlineStr">
        <is>
          <t>Lương:13 Tr - 17 Tr VND</t>
        </is>
      </c>
      <c r="F15910" s="10" t="inlineStr">
        <is>
          <t>Hồ Chí Minh</t>
        </is>
      </c>
      <c r="G15910" s="10" t="inlineStr">
        <is>
          <t>24-03-2026</t>
        </is>
      </c>
      <c r="H15910" s="10" t="inlineStr">
        <is>
          <t>24/03/2026</t>
        </is>
      </c>
      <c r="I15910" s="10" t="inlineStr">
        <is>
          <t>17/03/2026</t>
        </is>
      </c>
      <c r="J15910" s="10" t="inlineStr">
        <is>
          <t>Bán hàng / Kinh doanh</t>
        </is>
      </c>
      <c r="K15910" s="10" t="inlineStr">
        <is>
          <t>3 - 4 Năm</t>
        </is>
      </c>
      <c r="L15910" s="11">
        <f>HYPERLINK("https://careerviet.vn/vi/tim-viec-lam/citigym-chuyen-vien-an-ninh-an-toan.35C6941B.html","Xem chi tiết")</f>
        <v/>
      </c>
      <c r="M15910" s="10" t="n"/>
    </row>
    <row r="15911">
      <c r="B15911" s="7" t="n">
        <v>15909</v>
      </c>
      <c r="C15911" t="inlineStr">
        <is>
          <t>Nhân Viên Kho</t>
        </is>
      </c>
      <c r="D15911" t="inlineStr">
        <is>
          <t>CÔNG TY TNHH SẢN XUẤT VÀ THƯƠNG MẠI THỰC PHẨM LÀNH MẠNH</t>
        </is>
      </c>
      <c r="E15911" t="inlineStr">
        <is>
          <t>Lương:8 Tr - 10 Tr VND</t>
        </is>
      </c>
      <c r="F15911" t="inlineStr">
        <is>
          <t>Hà Nội</t>
        </is>
      </c>
      <c r="G15911" t="inlineStr">
        <is>
          <t>24-03-2026</t>
        </is>
      </c>
      <c r="H15911" t="inlineStr">
        <is>
          <t>24/03/2026</t>
        </is>
      </c>
      <c r="I15911" t="inlineStr">
        <is>
          <t>17/03/2026</t>
        </is>
      </c>
      <c r="J15911" t="inlineStr">
        <is>
          <t>Vận chuyển / Giao nhận / Kho vận, Hành chính / Thư ký, Thực phẩm &amp; Đồ uống</t>
        </is>
      </c>
      <c r="K15911" t="inlineStr">
        <is>
          <t>N/A</t>
        </is>
      </c>
      <c r="L15911" s="8">
        <f>HYPERLINK("https://careerviet.vn/vi/tim-viec-lam/nhan-vien-kho.35C69376.html","Xem chi tiết")</f>
        <v/>
      </c>
    </row>
    <row r="15912">
      <c r="B15912" s="9" t="n">
        <v>15910</v>
      </c>
      <c r="C15912" s="10" t="inlineStr">
        <is>
          <t>Nhân viên Bếp</t>
        </is>
      </c>
      <c r="D15912" s="10" t="inlineStr">
        <is>
          <t>Công ty cổ phần phát triển công nghệ Y học Việt Nam - Nhật Bản</t>
        </is>
      </c>
      <c r="E15912" s="10" t="inlineStr">
        <is>
          <t>Lương:Cạnh tranh</t>
        </is>
      </c>
      <c r="F15912" s="10" t="inlineStr">
        <is>
          <t>Hà Nội</t>
        </is>
      </c>
      <c r="G15912" s="10" t="inlineStr">
        <is>
          <t>24-03-2026</t>
        </is>
      </c>
      <c r="H15912" s="10" t="inlineStr">
        <is>
          <t>24/03/2026</t>
        </is>
      </c>
      <c r="I15912" s="10" t="inlineStr">
        <is>
          <t>17/03/2026</t>
        </is>
      </c>
      <c r="J15912" s="10" t="inlineStr">
        <is>
          <t>Nhà hàng / Khách sạn, Y tế / Chăm sóc sức khỏe / Thẩm mỹ / Làm đẹp</t>
        </is>
      </c>
      <c r="K15912" s="10" t="inlineStr">
        <is>
          <t>2 - 5 Năm</t>
        </is>
      </c>
      <c r="L15912" s="11">
        <f>HYPERLINK("https://careerviet.vn/vi/tim-viec-lam/nhan-vien-bep.35C693BC.html","Xem chi tiết")</f>
        <v/>
      </c>
      <c r="M15912" s="10" t="n"/>
    </row>
    <row r="15913">
      <c r="B15913" s="7" t="n">
        <v>15911</v>
      </c>
      <c r="C15913" t="inlineStr">
        <is>
          <t>General Accountant</t>
        </is>
      </c>
      <c r="D15913" t="inlineStr">
        <is>
          <t>Friwo Vietnam Co., Ltd</t>
        </is>
      </c>
      <c r="E15913" t="inlineStr">
        <is>
          <t>Lương:Cạnh tranh</t>
        </is>
      </c>
      <c r="F15913" t="inlineStr">
        <is>
          <t>Đồng Nai</t>
        </is>
      </c>
      <c r="G15913" t="inlineStr">
        <is>
          <t>6</t>
        </is>
      </c>
      <c r="H15913" t="inlineStr">
        <is>
          <t>23/03/2026</t>
        </is>
      </c>
      <c r="I15913" t="inlineStr">
        <is>
          <t>17/03/2026</t>
        </is>
      </c>
      <c r="J15913" t="inlineStr">
        <is>
          <t>Kế toán / Kiểm toán, Sản xuất / Vận hành sản xuất</t>
        </is>
      </c>
      <c r="K15913" t="inlineStr">
        <is>
          <t>3 - 5 Năm</t>
        </is>
      </c>
      <c r="L15913" s="8">
        <f>HYPERLINK("https://careerviet.vn/vi/tim-viec-lam/general-accountant.35C6911E.html","Xem chi tiết")</f>
        <v/>
      </c>
    </row>
    <row r="15914">
      <c r="B15914" s="9" t="n">
        <v>15912</v>
      </c>
      <c r="C15914" s="10" t="inlineStr">
        <is>
          <t>NV Kỹ thuật tòa nhà</t>
        </is>
      </c>
      <c r="D15914" s="10" t="inlineStr">
        <is>
          <t>CÔNG TY CỔ PHẦN FUCO E&amp;C</t>
        </is>
      </c>
      <c r="E15914" s="10" t="inlineStr">
        <is>
          <t>Lương:7 Tr - 10 Tr VND</t>
        </is>
      </c>
      <c r="F15914" s="10" t="inlineStr">
        <is>
          <t>Hà Nội</t>
        </is>
      </c>
      <c r="G15914" s="10" t="inlineStr">
        <is>
          <t>31-03-2026</t>
        </is>
      </c>
      <c r="H15914" s="10" t="inlineStr">
        <is>
          <t>31/03/2026</t>
        </is>
      </c>
      <c r="I15914" s="10" t="inlineStr">
        <is>
          <t>17/03/2026</t>
        </is>
      </c>
      <c r="J15914" s="10" t="inlineStr">
        <is>
          <t>Cơ khí / Ô tô / Tự động hóa, CNTT - Phần cứng / Mạng, Điện / Điện tử / Điện lạnh / Điện công nghiệp</t>
        </is>
      </c>
      <c r="K15914" s="10" t="inlineStr">
        <is>
          <t>Chưa có kinh nghiệm</t>
        </is>
      </c>
      <c r="L15914" s="11">
        <f>HYPERLINK("https://careerviet.vn/vi/tim-viec-lam/nv-ky-thuat-toa-nha.35C69004.html","Xem chi tiết")</f>
        <v/>
      </c>
      <c r="M15914" s="10" t="n"/>
    </row>
    <row r="15915">
      <c r="B15915" s="7" t="n">
        <v>15913</v>
      </c>
      <c r="C15915" t="inlineStr">
        <is>
          <t>Graphic Designer</t>
        </is>
      </c>
      <c r="D15915" t="inlineStr">
        <is>
          <t>CÔNG TY CỔ PHẦN HỒ TIÊU VIỆT</t>
        </is>
      </c>
      <c r="E15915" t="inlineStr">
        <is>
          <t>Lương:12 Tr - 15 Tr VND</t>
        </is>
      </c>
      <c r="F15915" t="inlineStr">
        <is>
          <t>Hồ Chí Minh</t>
        </is>
      </c>
      <c r="G15915" t="inlineStr">
        <is>
          <t>24-03-2026</t>
        </is>
      </c>
      <c r="H15915" t="inlineStr">
        <is>
          <t>24/03/2026</t>
        </is>
      </c>
      <c r="I15915" t="inlineStr">
        <is>
          <t>17/03/2026</t>
        </is>
      </c>
      <c r="J15915" t="inlineStr">
        <is>
          <t>Tiếp thị / Marketing, Mỹ thuật / Nghệ thuật / Thiết kế, Kiến trúc</t>
        </is>
      </c>
      <c r="K15915" t="inlineStr">
        <is>
          <t>Trên 3 Năm</t>
        </is>
      </c>
      <c r="L15915" s="8">
        <f>HYPERLINK("https://careerviet.vn/vi/tim-viec-lam/graphic-designer.35C69007.html","Xem chi tiết")</f>
        <v/>
      </c>
    </row>
    <row r="15916">
      <c r="B15916" s="9" t="n">
        <v>15914</v>
      </c>
      <c r="C15916" s="10" t="inlineStr">
        <is>
          <t>Nhân viên Bù trừ giao dịch</t>
        </is>
      </c>
      <c r="D15916" s="10" t="inlineStr">
        <is>
          <t>Sở Giao dịch Hàng hóa Việt Nam</t>
        </is>
      </c>
      <c r="E15916" s="10" t="inlineStr">
        <is>
          <t>Lương:10 Tr - 15 Tr VND</t>
        </is>
      </c>
      <c r="F15916" s="10" t="inlineStr">
        <is>
          <t>Hà Nội</t>
        </is>
      </c>
      <c r="G15916" s="10" t="inlineStr">
        <is>
          <t>31-03-2026</t>
        </is>
      </c>
      <c r="H15916" s="10" t="inlineStr">
        <is>
          <t>31/03/2026</t>
        </is>
      </c>
      <c r="I15916" s="10" t="inlineStr">
        <is>
          <t>17/03/2026</t>
        </is>
      </c>
      <c r="J15916" s="10" t="inlineStr">
        <is>
          <t>Kế toán / Kiểm toán, Chứng khoán, Tài chính / Đầu tư</t>
        </is>
      </c>
      <c r="K15916" s="10" t="inlineStr">
        <is>
          <t>1 - 5 Năm</t>
        </is>
      </c>
      <c r="L15916" s="11">
        <f>HYPERLINK("https://careerviet.vn/vi/tim-viec-lam/nhan-vien-bu-tru-giao-dich.35C69371.html","Xem chi tiết")</f>
        <v/>
      </c>
      <c r="M15916" s="10" t="n"/>
    </row>
    <row r="15917">
      <c r="B15917" s="7" t="n">
        <v>15915</v>
      </c>
      <c r="C15917" t="inlineStr">
        <is>
          <t>Kỹ sư Thiết kế Cơ khí/ Mechanical Engineer</t>
        </is>
      </c>
      <c r="D15917" t="inlineStr">
        <is>
          <t>CÔNG TY CỔ PHẦN VIET DYNAMIC</t>
        </is>
      </c>
      <c r="E15917" t="inlineStr">
        <is>
          <t>Lương:Cạnh tranh</t>
        </is>
      </c>
      <c r="F15917" t="inlineStr">
        <is>
          <t>Hải PhòngHồ Chí MinhHà Nội</t>
        </is>
      </c>
      <c r="G15917" t="inlineStr">
        <is>
          <t>09-03-2026</t>
        </is>
      </c>
      <c r="H15917" t="inlineStr">
        <is>
          <t>09/03/2026</t>
        </is>
      </c>
      <c r="I15917" t="inlineStr">
        <is>
          <t>17/03/2026</t>
        </is>
      </c>
      <c r="J15917" t="inlineStr">
        <is>
          <t>Cơ khí / Ô tô / Tự động hóa</t>
        </is>
      </c>
      <c r="K15917" t="inlineStr">
        <is>
          <t>2 - 5 Năm</t>
        </is>
      </c>
      <c r="L15917" s="8">
        <f>HYPERLINK("https://careerviet.vn/vi/tim-viec-lam/ky-su-thiet-ke-co-khi-mechanical-engineer.35C68FD4.html","Xem chi tiết")</f>
        <v/>
      </c>
    </row>
    <row r="15918">
      <c r="B15918" s="9" t="n">
        <v>15916</v>
      </c>
      <c r="C15918" s="10" t="inlineStr">
        <is>
          <t>Payable &amp; Payment Accountant / Kế Toán Thanh Toán</t>
        </is>
      </c>
      <c r="D15918" s="10" t="inlineStr">
        <is>
          <t>Ocean Coatings (Vietnam) Co. Ltd</t>
        </is>
      </c>
      <c r="E15918" s="10" t="inlineStr">
        <is>
          <t>Lương:Cạnh tranh</t>
        </is>
      </c>
      <c r="F15918" s="10" t="inlineStr">
        <is>
          <t>Đồng Nai</t>
        </is>
      </c>
      <c r="G15918" s="10" t="inlineStr">
        <is>
          <t>09-03-2026</t>
        </is>
      </c>
      <c r="H15918" s="10" t="inlineStr">
        <is>
          <t>14/03/2026</t>
        </is>
      </c>
      <c r="I15918" s="10" t="inlineStr">
        <is>
          <t>17/03/2026</t>
        </is>
      </c>
      <c r="J15918" s="10" t="inlineStr">
        <is>
          <t>Hành chính / Thư ký, Kế toán / Kiểm toán, Tài chính / Đầu tư</t>
        </is>
      </c>
      <c r="K15918" s="10" t="inlineStr">
        <is>
          <t>1 - 2 Năm</t>
        </is>
      </c>
      <c r="L15918" s="11">
        <f>HYPERLINK("https://careerviet.vn/vi/tim-viec-lam/payable-payment-accountant-ke-toan-thanh-toan.35C68FEE.html","Xem chi tiết")</f>
        <v/>
      </c>
      <c r="M15918" s="10" t="n"/>
    </row>
    <row r="15919">
      <c r="B15919" s="7" t="n">
        <v>15917</v>
      </c>
      <c r="C15919" t="inlineStr">
        <is>
          <t>Nhân viên Trade Marketing</t>
        </is>
      </c>
      <c r="D15919" t="inlineStr">
        <is>
          <t>CÔNG TY TNHH XUẤT NHẬP KHẨU RUTOP VIỆT NAM - Thương Hiệu Toptotoes</t>
        </is>
      </c>
      <c r="E15919" t="inlineStr">
        <is>
          <t>Lương:10 Tr - 15 Tr VND</t>
        </is>
      </c>
      <c r="F15919" t="inlineStr">
        <is>
          <t>Hồ Chí Minh</t>
        </is>
      </c>
      <c r="G15919" t="inlineStr">
        <is>
          <t>31-03-2026</t>
        </is>
      </c>
      <c r="H15919" t="inlineStr">
        <is>
          <t>31/03/2026</t>
        </is>
      </c>
      <c r="I15919" t="inlineStr">
        <is>
          <t>17/03/2026</t>
        </is>
      </c>
      <c r="J15919" t="inlineStr">
        <is>
          <t>Tiếp thị / Marketing, Dược phẩm/ Hóa Mỹ Phẩm, Quảng cáo / Đối ngoại / Truyền Thông</t>
        </is>
      </c>
      <c r="K15919" t="inlineStr">
        <is>
          <t>1 - 3 Năm</t>
        </is>
      </c>
      <c r="L15919" s="8">
        <f>HYPERLINK("https://careerviet.vn/vi/tim-viec-lam/nhan-vien-trade-marketing.35C690CE.html","Xem chi tiết")</f>
        <v/>
      </c>
    </row>
    <row r="15920">
      <c r="B15920" s="9" t="n">
        <v>15918</v>
      </c>
      <c r="C15920" s="10" t="inlineStr">
        <is>
          <t>[CITIGYM] Chuyên viên Chăm sóc Khách hàng</t>
        </is>
      </c>
      <c r="D15920" s="10" t="inlineStr">
        <is>
          <t>Nova Service Group - Công ty Cổ phần Tập đoàn Nova Services</t>
        </is>
      </c>
      <c r="E15920" s="10" t="inlineStr">
        <is>
          <t>Lương:7 Tr - 8 Tr VND</t>
        </is>
      </c>
      <c r="F15920" s="10" t="inlineStr">
        <is>
          <t>Hồ Chí Minh</t>
        </is>
      </c>
      <c r="G15920" s="10" t="inlineStr">
        <is>
          <t>31-03-2026</t>
        </is>
      </c>
      <c r="H15920" s="10" t="inlineStr">
        <is>
          <t>31/03/2026</t>
        </is>
      </c>
      <c r="I15920" s="10" t="inlineStr">
        <is>
          <t>17/03/2026</t>
        </is>
      </c>
      <c r="J15920" s="10" t="inlineStr">
        <is>
          <t>Dịch vụ khách hàng</t>
        </is>
      </c>
      <c r="K15920" s="10" t="inlineStr">
        <is>
          <t>1 - 2 Năm</t>
        </is>
      </c>
      <c r="L15920" s="11">
        <f>HYPERLINK("https://careerviet.vn/vi/tim-viec-lam/citigym-chuyen-vien-cham-soc-khach-hang.35C68FC6.html","Xem chi tiết")</f>
        <v/>
      </c>
      <c r="M15920" s="10" t="n"/>
    </row>
    <row r="15921">
      <c r="B15921" s="7" t="n">
        <v>15919</v>
      </c>
      <c r="C15921" t="inlineStr">
        <is>
          <t>Nhân viên QS (Hồ sơ)</t>
        </is>
      </c>
      <c r="D15921" t="inlineStr">
        <is>
          <t>CÔNG TY TNHH BÊ TÔNG VÀ XÂY DỰNG MINH ĐỨC</t>
        </is>
      </c>
      <c r="E15921" t="inlineStr">
        <is>
          <t>Lương:11 Tr - 15 Tr VND</t>
        </is>
      </c>
      <c r="F15921" t="inlineStr">
        <is>
          <t>Hà Nội</t>
        </is>
      </c>
      <c r="G15921" t="inlineStr">
        <is>
          <t>31-03-2026</t>
        </is>
      </c>
      <c r="H15921" t="inlineStr">
        <is>
          <t>31/03/2026</t>
        </is>
      </c>
      <c r="I15921" t="inlineStr">
        <is>
          <t>17/03/2026</t>
        </is>
      </c>
      <c r="J15921" t="inlineStr">
        <is>
          <t>Xây dựng</t>
        </is>
      </c>
      <c r="K15921" t="inlineStr">
        <is>
          <t>Trên 1 Năm</t>
        </is>
      </c>
      <c r="L15921" s="8">
        <f>HYPERLINK("https://careerviet.vn/vi/tim-viec-lam/nhan-vien-qs-ho-so.35C6902A.html","Xem chi tiết")</f>
        <v/>
      </c>
    </row>
    <row r="15922">
      <c r="B15922" s="9" t="n">
        <v>15920</v>
      </c>
      <c r="C15922" s="10" t="inlineStr">
        <is>
          <t>Nhân viên Digital Marketing</t>
        </is>
      </c>
      <c r="D15922" s="10" t="inlineStr">
        <is>
          <t>JoyMall - Nhà Phân Phối Locknlock</t>
        </is>
      </c>
      <c r="E15922" s="10" t="inlineStr">
        <is>
          <t>Lương:7 Tr - 12 Tr VND</t>
        </is>
      </c>
      <c r="F15922" s="10" t="inlineStr">
        <is>
          <t>Hồ Chí Minh</t>
        </is>
      </c>
      <c r="G15922" s="10" t="inlineStr">
        <is>
          <t>31-03-2026</t>
        </is>
      </c>
      <c r="H15922" s="10" t="inlineStr">
        <is>
          <t>31/03/2026</t>
        </is>
      </c>
      <c r="I15922" s="10" t="inlineStr">
        <is>
          <t>17/03/2026</t>
        </is>
      </c>
      <c r="J15922" s="10" t="inlineStr">
        <is>
          <t>Tiếp thị / Marketing, Quảng cáo / Đối ngoại / Truyền Thông</t>
        </is>
      </c>
      <c r="K15922" s="10" t="inlineStr">
        <is>
          <t>Chưa có kinh nghiệm</t>
        </is>
      </c>
      <c r="L15922" s="11">
        <f>HYPERLINK("https://careerviet.vn/vi/tim-viec-lam/nhan-vien-digital-marketing.35C69193.html","Xem chi tiết")</f>
        <v/>
      </c>
      <c r="M15922" s="10" t="n"/>
    </row>
    <row r="15923">
      <c r="B15923" s="7" t="n">
        <v>15921</v>
      </c>
      <c r="C15923" t="inlineStr">
        <is>
          <t>Nhân Viên Kinh Doanh Mảng Quảng Cáo</t>
        </is>
      </c>
      <c r="D15923" t="inlineStr">
        <is>
          <t>Cty TNHH Quảng Cáo &amp; Truyền Thông Trí Việt</t>
        </is>
      </c>
      <c r="E15923" t="inlineStr">
        <is>
          <t>Lương:30 Tr - 50 Tr VND</t>
        </is>
      </c>
      <c r="F15923" t="inlineStr">
        <is>
          <t>Hà Nội</t>
        </is>
      </c>
      <c r="G15923" t="inlineStr">
        <is>
          <t>3</t>
        </is>
      </c>
      <c r="H15923" t="inlineStr">
        <is>
          <t>20/03/2026</t>
        </is>
      </c>
      <c r="I15923" t="inlineStr">
        <is>
          <t>17/03/2026</t>
        </is>
      </c>
      <c r="J15923" t="inlineStr">
        <is>
          <t>Quảng cáo / Đối ngoại / Truyền Thông, Bán hàng / Kinh doanh, Tiếp thị / Marketing</t>
        </is>
      </c>
      <c r="K15923" t="inlineStr">
        <is>
          <t>Trên 1 Năm</t>
        </is>
      </c>
      <c r="L15923" s="8">
        <f>HYPERLINK("https://careerviet.vn/vi/tim-viec-lam/nhan-vien-kinh-doanh-mang-quang-cao.35C692FF.html","Xem chi tiết")</f>
        <v/>
      </c>
    </row>
    <row r="15924">
      <c r="B15924" s="9" t="n">
        <v>15922</v>
      </c>
      <c r="C15924" s="10" t="inlineStr">
        <is>
          <t>Industrial Engineer</t>
        </is>
      </c>
      <c r="D15924" s="10" t="inlineStr">
        <is>
          <t>CÔNG TY TNHH MILLENNIUM FURNITURE</t>
        </is>
      </c>
      <c r="E15924" s="10" t="inlineStr">
        <is>
          <t>Lương:Cạnh tranh</t>
        </is>
      </c>
      <c r="F15924" s="10" t="inlineStr">
        <is>
          <t>Quảng Ngãi</t>
        </is>
      </c>
      <c r="G15924" s="10" t="inlineStr">
        <is>
          <t>26-03-2026</t>
        </is>
      </c>
      <c r="H15924" s="10" t="inlineStr">
        <is>
          <t>26/03/2026</t>
        </is>
      </c>
      <c r="I15924" s="10" t="inlineStr">
        <is>
          <t>17/03/2026</t>
        </is>
      </c>
      <c r="J15924" s="10" t="inlineStr">
        <is>
          <t>Cơ khí / Ô tô / Tự động hóa</t>
        </is>
      </c>
      <c r="K15924" s="10" t="inlineStr">
        <is>
          <t>Trên 1 Năm</t>
        </is>
      </c>
      <c r="L15924" s="11">
        <f>HYPERLINK("https://careerviet.vn/vi/tim-viec-lam/industrial-engineer.35C69052.html","Xem chi tiết")</f>
        <v/>
      </c>
      <c r="M15924" s="10" t="n"/>
    </row>
    <row r="15925">
      <c r="B15925" s="7" t="n">
        <v>15923</v>
      </c>
      <c r="C15925" t="inlineStr">
        <is>
          <t>Nhân Viên Nữ Đóng Gói Kho Hàng</t>
        </is>
      </c>
      <c r="D15925" t="inlineStr">
        <is>
          <t>JoyMall - Nhà Phân Phối Locknlock</t>
        </is>
      </c>
      <c r="E15925" t="inlineStr">
        <is>
          <t>Lương:6 Tr - 8 Tr VND</t>
        </is>
      </c>
      <c r="F15925" t="inlineStr">
        <is>
          <t>Hồ Chí Minh</t>
        </is>
      </c>
      <c r="G15925" t="inlineStr">
        <is>
          <t>31-03-2026</t>
        </is>
      </c>
      <c r="H15925" t="inlineStr">
        <is>
          <t>31/03/2026</t>
        </is>
      </c>
      <c r="I15925" t="inlineStr">
        <is>
          <t>17/03/2026</t>
        </is>
      </c>
      <c r="J15925" t="inlineStr">
        <is>
          <t>Lao động phổ thông, Sản xuất / Vận hành sản xuất, Vận chuyển / Giao nhận / Kho vận</t>
        </is>
      </c>
      <c r="K15925" t="inlineStr">
        <is>
          <t>N/A</t>
        </is>
      </c>
      <c r="L15925" s="8">
        <f>HYPERLINK("https://careerviet.vn/vi/tim-viec-lam/nhan-vien-nu-dong-goi-kho-hang.35C691FD.html","Xem chi tiết")</f>
        <v/>
      </c>
    </row>
    <row r="15926">
      <c r="B15926" s="9" t="n">
        <v>15924</v>
      </c>
      <c r="C15926" s="10" t="inlineStr">
        <is>
          <t>Chuyên viên Nhân sự (HR Specialist)</t>
        </is>
      </c>
      <c r="D15926" s="10" t="inlineStr">
        <is>
          <t>CÔNG TY CỔ PHẦN CHỨNG KHOÁN HD</t>
        </is>
      </c>
      <c r="E15926" s="10" t="inlineStr">
        <is>
          <t>Lương:Cạnh tranh</t>
        </is>
      </c>
      <c r="F15926" s="10" t="inlineStr">
        <is>
          <t>Hồ Chí Minh</t>
        </is>
      </c>
      <c r="G15926" s="10" t="inlineStr">
        <is>
          <t>26-03-2026</t>
        </is>
      </c>
      <c r="H15926" s="10" t="inlineStr">
        <is>
          <t>26/03/2026</t>
        </is>
      </c>
      <c r="I15926" s="10" t="inlineStr">
        <is>
          <t>17/03/2026</t>
        </is>
      </c>
      <c r="J15926" s="10" t="inlineStr">
        <is>
          <t>Nhân sự, Chứng khoán, Tài chính / Đầu tư</t>
        </is>
      </c>
      <c r="K15926" s="10" t="inlineStr">
        <is>
          <t>3 - 5 Năm</t>
        </is>
      </c>
      <c r="L15926" s="11">
        <f>HYPERLINK("https://careerviet.vn/vi/tim-viec-lam/chuyen-vien-nhan-su-hr-specialist.35C6920E.html","Xem chi tiết")</f>
        <v/>
      </c>
      <c r="M15926" s="10" t="n"/>
    </row>
    <row r="15927">
      <c r="B15927" s="7" t="n">
        <v>15925</v>
      </c>
      <c r="C15927" t="inlineStr">
        <is>
          <t>Chuyên viên truyền thông (PR Account)</t>
        </is>
      </c>
      <c r="D15927" t="inlineStr">
        <is>
          <t>HEXAGON - CÔNG TY CỔ PHẦN THIẾT KẾ LỤC GIÁC</t>
        </is>
      </c>
      <c r="E15927" t="inlineStr">
        <is>
          <t>Lương:Cạnh tranh</t>
        </is>
      </c>
      <c r="F15927" t="inlineStr">
        <is>
          <t>Hà Nội</t>
        </is>
      </c>
      <c r="G15927" t="inlineStr">
        <is>
          <t>27-03-2026</t>
        </is>
      </c>
      <c r="H15927" t="inlineStr">
        <is>
          <t>27/03/2026</t>
        </is>
      </c>
      <c r="I15927" t="inlineStr">
        <is>
          <t>17/03/2026</t>
        </is>
      </c>
      <c r="J15927" t="inlineStr">
        <is>
          <t>Tiếp thị / Marketing, Quảng cáo / Đối ngoại / Truyền Thông, Truyền hình / Báo chí / Biên tập</t>
        </is>
      </c>
      <c r="K15927" t="inlineStr">
        <is>
          <t>1 - 3 Năm</t>
        </is>
      </c>
      <c r="L15927" s="8">
        <f>HYPERLINK("https://careerviet.vn/vi/tim-viec-lam/chuyen-vien-truyen-thong-pr-account.35C693FD.html","Xem chi tiết")</f>
        <v/>
      </c>
    </row>
    <row r="15928">
      <c r="B15928" s="9" t="n">
        <v>15926</v>
      </c>
      <c r="C15928" s="10" t="inlineStr">
        <is>
          <t>Content Creator</t>
        </is>
      </c>
      <c r="D15928" s="10" t="inlineStr">
        <is>
          <t>JoyMall - Nhà Phân Phối Locknlock</t>
        </is>
      </c>
      <c r="E15928" s="10" t="inlineStr">
        <is>
          <t>Lương:7 Tr - 12 Tr VND</t>
        </is>
      </c>
      <c r="F15928" s="10" t="inlineStr">
        <is>
          <t>Hồ Chí Minh</t>
        </is>
      </c>
      <c r="G15928" s="10" t="inlineStr">
        <is>
          <t>31-03-2026</t>
        </is>
      </c>
      <c r="H15928" s="10" t="inlineStr">
        <is>
          <t>31/03/2026</t>
        </is>
      </c>
      <c r="I15928" s="10" t="inlineStr">
        <is>
          <t>17/03/2026</t>
        </is>
      </c>
      <c r="J15928" s="10" t="inlineStr">
        <is>
          <t>Tiếp thị / Marketing, Quảng cáo / Đối ngoại / Truyền Thông</t>
        </is>
      </c>
      <c r="K15928" s="10" t="inlineStr">
        <is>
          <t>Lên đến 1 Năm</t>
        </is>
      </c>
      <c r="L15928" s="11">
        <f>HYPERLINK("https://careerviet.vn/vi/tim-viec-lam/content-creator.35C691C1.html","Xem chi tiết")</f>
        <v/>
      </c>
      <c r="M15928" s="10" t="n"/>
    </row>
    <row r="15929">
      <c r="B15929" s="7" t="n">
        <v>15927</v>
      </c>
      <c r="C15929" t="inlineStr">
        <is>
          <t>CHUYÊN VIÊN HÀNH CHÍNH NHÂN SỰ TỔNG HỢP (MẠNH TUYỂN DỤNG)</t>
        </is>
      </c>
      <c r="D15929" t="inlineStr">
        <is>
          <t>CÔNG TY CỔ PHẦN OROTECH</t>
        </is>
      </c>
      <c r="E15929" t="inlineStr">
        <is>
          <t>Lương:Cạnh tranh</t>
        </is>
      </c>
      <c r="F15929" t="inlineStr">
        <is>
          <t>Hồ Chí Minh</t>
        </is>
      </c>
      <c r="G15929" t="inlineStr">
        <is>
          <t>24-03-2026</t>
        </is>
      </c>
      <c r="H15929" t="inlineStr">
        <is>
          <t>24/03/2026</t>
        </is>
      </c>
      <c r="I15929" t="inlineStr">
        <is>
          <t>17/03/2026</t>
        </is>
      </c>
      <c r="J15929" t="inlineStr">
        <is>
          <t>Hành chính / Thư ký, Nhân sự, Thương mại điện tử</t>
        </is>
      </c>
      <c r="K15929" t="inlineStr">
        <is>
          <t>Trên 2 Năm</t>
        </is>
      </c>
      <c r="L15929" s="8">
        <f>HYPERLINK("https://careerviet.vn/vi/tim-viec-lam/chuyen-vien-hanh-chinh-nhan-su-tong-hop-manh-tuyen-dung.35C692D6.html","Xem chi tiết")</f>
        <v/>
      </c>
    </row>
    <row r="15930">
      <c r="B15930" s="9" t="n">
        <v>15928</v>
      </c>
      <c r="C15930" s="10" t="inlineStr">
        <is>
          <t>[SaPa] Trưởng bộ phận An Toàn Lao Động BQLDA - Alphanam Group</t>
        </is>
      </c>
      <c r="D15930" s="10" t="inlineStr">
        <is>
          <t>Alphanam Group</t>
        </is>
      </c>
      <c r="E15930" s="10" t="inlineStr">
        <is>
          <t>Lương:Cạnh tranh</t>
        </is>
      </c>
      <c r="F15930" s="10" t="inlineStr">
        <is>
          <t>Lào Cai</t>
        </is>
      </c>
      <c r="G15930" s="10" t="inlineStr">
        <is>
          <t>26-03-2026</t>
        </is>
      </c>
      <c r="H15930" s="10" t="inlineStr">
        <is>
          <t>26/03/2026</t>
        </is>
      </c>
      <c r="I15930" s="10" t="inlineStr">
        <is>
          <t>17/03/2026</t>
        </is>
      </c>
      <c r="J15930" s="10" t="inlineStr">
        <is>
          <t>Xây dựng, Bất động sản, An toàn lao động</t>
        </is>
      </c>
      <c r="K15930" s="10" t="inlineStr">
        <is>
          <t>5 - 7 Năm</t>
        </is>
      </c>
      <c r="L15930" s="11">
        <f>HYPERLINK("https://careerviet.vn/vi/tim-viec-lam/sapa-truong-bo-phan-an-toan-lao-dong-bqlda-alphanam-group.35C69084.html","Xem chi tiết")</f>
        <v/>
      </c>
      <c r="M15930" s="10" t="n"/>
    </row>
    <row r="15931">
      <c r="B15931" s="7" t="n">
        <v>15929</v>
      </c>
      <c r="C15931" t="inlineStr">
        <is>
          <t>Nhân viên MEP công ty điện PC5 (Làm việc tại Long An)</t>
        </is>
      </c>
      <c r="D15931" t="inlineStr">
        <is>
          <t>Công Ty CP Đầu Tư IMG</t>
        </is>
      </c>
      <c r="E15931" t="inlineStr">
        <is>
          <t>Lương:18 Tr - 20 Tr VND</t>
        </is>
      </c>
      <c r="F15931" t="inlineStr">
        <is>
          <t>Long An</t>
        </is>
      </c>
      <c r="G15931" t="inlineStr">
        <is>
          <t>09-03-2026</t>
        </is>
      </c>
      <c r="H15931" t="inlineStr">
        <is>
          <t>15/03/2026</t>
        </is>
      </c>
      <c r="I15931" t="inlineStr">
        <is>
          <t>17/03/2026</t>
        </is>
      </c>
      <c r="J15931" t="inlineStr">
        <is>
          <t>Điện / Điện tử / Điện lạnh / Điện công nghiệp, Xây dựng, Bất động sản</t>
        </is>
      </c>
      <c r="K15931" t="inlineStr">
        <is>
          <t>2 - 5 Năm</t>
        </is>
      </c>
      <c r="L15931" s="8">
        <f>HYPERLINK("https://careerviet.vn/vi/tim-viec-lam/nhan-vien-mep-cong-ty-dien-pc5-lam-viec-tai-long-an.35C68FA8.html","Xem chi tiết")</f>
        <v/>
      </c>
    </row>
    <row r="15932">
      <c r="B15932" s="9" t="n">
        <v>15930</v>
      </c>
      <c r="C15932" s="10" t="inlineStr">
        <is>
          <t>Chuyên Viên Kiểm Soát Nội Bộ (Kiểm Toán)</t>
        </is>
      </c>
      <c r="D15932" s="10" t="inlineStr">
        <is>
          <t>Công Ty TNHH Tập Đoàn Rita Võ</t>
        </is>
      </c>
      <c r="E15932" s="10" t="inlineStr">
        <is>
          <t>Lương:Cạnh tranh</t>
        </is>
      </c>
      <c r="F15932" s="10" t="inlineStr">
        <is>
          <t>Hồ Chí Minh</t>
        </is>
      </c>
      <c r="G15932" s="10" t="inlineStr">
        <is>
          <t>31-03-2026</t>
        </is>
      </c>
      <c r="H15932" s="10" t="inlineStr">
        <is>
          <t>31/03/2026</t>
        </is>
      </c>
      <c r="I15932" s="10" t="inlineStr">
        <is>
          <t>17/03/2026</t>
        </is>
      </c>
      <c r="J15932" s="10" t="inlineStr">
        <is>
          <t>Kế toán / Kiểm toán, Tài chính / Đầu tư, Xuất nhập khẩu</t>
        </is>
      </c>
      <c r="K15932" s="10" t="inlineStr">
        <is>
          <t>Trên 3 Năm</t>
        </is>
      </c>
      <c r="L15932" s="11">
        <f>HYPERLINK("https://careerviet.vn/vi/tim-viec-lam/chuyen-vien-kiem-soat-noi-bo-kiem-toan.35C6904F.html","Xem chi tiết")</f>
        <v/>
      </c>
      <c r="M15932" s="10" t="n"/>
    </row>
    <row r="15933">
      <c r="B15933" s="7" t="n">
        <v>15931</v>
      </c>
      <c r="C15933" t="inlineStr">
        <is>
          <t>Nhân Viên Xuất Nhập Khẩu</t>
        </is>
      </c>
      <c r="D15933" t="inlineStr">
        <is>
          <t>CÔNG TY CỔ PHẦN CHẾ BIẾN THỰC PHẨM HOÀNG SƠN</t>
        </is>
      </c>
      <c r="E15933" t="inlineStr">
        <is>
          <t>Lương:11 Tr - 14 Tr VND</t>
        </is>
      </c>
      <c r="F15933" t="inlineStr">
        <is>
          <t>Bình Dương</t>
        </is>
      </c>
      <c r="G15933" t="inlineStr">
        <is>
          <t>3</t>
        </is>
      </c>
      <c r="H15933" t="inlineStr">
        <is>
          <t>20/03/2026</t>
        </is>
      </c>
      <c r="I15933" t="inlineStr">
        <is>
          <t>17/03/2026</t>
        </is>
      </c>
      <c r="J15933" t="inlineStr">
        <is>
          <t>Tiếp thị / Marketing, Thực phẩm &amp; Đồ uống, Xuất nhập khẩu</t>
        </is>
      </c>
      <c r="K15933" t="inlineStr">
        <is>
          <t>1 - 2 Năm</t>
        </is>
      </c>
      <c r="L15933" s="8">
        <f>HYPERLINK("https://careerviet.vn/vi/tim-viec-lam/nhan-vien-xuat-nhap-khau.35C691D9.html","Xem chi tiết")</f>
        <v/>
      </c>
    </row>
    <row r="15934">
      <c r="B15934" s="9" t="n">
        <v>15932</v>
      </c>
      <c r="C15934" s="10" t="inlineStr">
        <is>
          <t>Business Development Specialist</t>
        </is>
      </c>
      <c r="D15934" s="10" t="inlineStr">
        <is>
          <t>BETRIMEX - Công Ty Cổ Phần Xuất Nhập Khẩu Bến Tre</t>
        </is>
      </c>
      <c r="E15934" s="10" t="inlineStr">
        <is>
          <t>Lương:Cạnh tranh</t>
        </is>
      </c>
      <c r="F15934" s="10" t="inlineStr">
        <is>
          <t>Hồ Chí Minh</t>
        </is>
      </c>
      <c r="G15934" s="10" t="inlineStr">
        <is>
          <t>26-03-2026</t>
        </is>
      </c>
      <c r="H15934" s="10" t="inlineStr">
        <is>
          <t>26/03/2026</t>
        </is>
      </c>
      <c r="I15934" s="10" t="inlineStr">
        <is>
          <t>17/03/2026</t>
        </is>
      </c>
      <c r="J15934" s="10" t="inlineStr">
        <is>
          <t>Bán hàng / Kinh doanh, Bán lẻ / Bán sỉ</t>
        </is>
      </c>
      <c r="K15934" s="10" t="inlineStr">
        <is>
          <t>3 - 5 Năm</t>
        </is>
      </c>
      <c r="L15934" s="11">
        <f>HYPERLINK("https://careerviet.vn/vi/tim-viec-lam/business-development-specialist.35C692CD.html","Xem chi tiết")</f>
        <v/>
      </c>
      <c r="M15934" s="10" t="n"/>
    </row>
    <row r="15935">
      <c r="B15935" s="7" t="n">
        <v>15933</v>
      </c>
      <c r="C15935" t="inlineStr">
        <is>
          <t>Chuyên viên Cao cấp Hệ thống Tài chính</t>
        </is>
      </c>
      <c r="D15935" t="inlineStr">
        <is>
          <t>Công Ty Cổ Phần Tập Đoàn Đầu Tư Địa Ốc No Va</t>
        </is>
      </c>
      <c r="E15935" t="inlineStr">
        <is>
          <t>Lương:Cạnh tranh</t>
        </is>
      </c>
      <c r="F15935" t="inlineStr">
        <is>
          <t>Hồ Chí Minh</t>
        </is>
      </c>
      <c r="G15935" t="inlineStr">
        <is>
          <t>30-04-2026</t>
        </is>
      </c>
      <c r="H15935" t="inlineStr">
        <is>
          <t>30/04/2026</t>
        </is>
      </c>
      <c r="I15935" t="inlineStr">
        <is>
          <t>17/03/2026</t>
        </is>
      </c>
      <c r="J15935" t="inlineStr">
        <is>
          <t>Kế toán / Kiểm toán, Tài chính / Đầu tư, CNTT - Phần mềm</t>
        </is>
      </c>
      <c r="K15935" t="inlineStr">
        <is>
          <t>2 - 5 Năm</t>
        </is>
      </c>
      <c r="L15935" s="8">
        <f>HYPERLINK("https://careerviet.vn/vi/tim-viec-lam/chuyen-vien-cao-cap-he-thong-tai-chinh.35C69316.html","Xem chi tiết")</f>
        <v/>
      </c>
    </row>
    <row r="15936">
      <c r="B15936" s="9" t="n">
        <v>15934</v>
      </c>
      <c r="C15936" s="10" t="inlineStr">
        <is>
          <t>GRAPHIC DESIGNER</t>
        </is>
      </c>
      <c r="D15936" s="10" t="inlineStr">
        <is>
          <t>Mystery of Mekong - Công Ty TNHH Du Lịch Mê Kông Huyền Bí</t>
        </is>
      </c>
      <c r="E15936" s="10" t="inlineStr">
        <is>
          <t>Lương:Cạnh tranh</t>
        </is>
      </c>
      <c r="F15936" s="10" t="inlineStr">
        <is>
          <t>Hồ Chí Minh</t>
        </is>
      </c>
      <c r="G15936" s="10" t="inlineStr">
        <is>
          <t>24-03-2026</t>
        </is>
      </c>
      <c r="H15936" s="10" t="inlineStr">
        <is>
          <t>24/03/2026</t>
        </is>
      </c>
      <c r="I15936" s="10" t="inlineStr">
        <is>
          <t>17/03/2026</t>
        </is>
      </c>
      <c r="J15936" s="10" t="inlineStr">
        <is>
          <t>Mỹ thuật / Nghệ thuật / Thiết kế, Du lịch, Tổ chức sự kiện</t>
        </is>
      </c>
      <c r="K15936" s="10" t="inlineStr">
        <is>
          <t>Trên 2 Năm</t>
        </is>
      </c>
      <c r="L15936" s="11">
        <f>HYPERLINK("https://careerviet.vn/vi/tim-viec-lam/graphic-designer.35C69403.html","Xem chi tiết")</f>
        <v/>
      </c>
      <c r="M15936" s="10" t="n"/>
    </row>
    <row r="15937">
      <c r="B15937" s="7" t="n">
        <v>15935</v>
      </c>
      <c r="C15937" t="inlineStr">
        <is>
          <t>Công nhân sản xuất</t>
        </is>
      </c>
      <c r="D15937" t="inlineStr">
        <is>
          <t>CÔNG TY TNHH CHEMTROVINA</t>
        </is>
      </c>
      <c r="E15937" t="inlineStr">
        <is>
          <t>Lương:Cạnh tranh</t>
        </is>
      </c>
      <c r="F15937" t="inlineStr">
        <is>
          <t>Đồng Nai</t>
        </is>
      </c>
      <c r="G15937" t="inlineStr">
        <is>
          <t>6</t>
        </is>
      </c>
      <c r="H15937" t="inlineStr">
        <is>
          <t>23/03/2026</t>
        </is>
      </c>
      <c r="I15937" t="inlineStr">
        <is>
          <t>17/03/2026</t>
        </is>
      </c>
      <c r="J15937" t="inlineStr">
        <is>
          <t>Điện / Điện tử / Điện lạnh / Điện công nghiệp, Bảo trì / Sửa chữa, Sản xuất / Vận hành sản xuất</t>
        </is>
      </c>
      <c r="K15937" t="inlineStr">
        <is>
          <t>N/A</t>
        </is>
      </c>
      <c r="L15937" s="8">
        <f>HYPERLINK("https://careerviet.vn/vi/tim-viec-lam/cong-nhan-san-xuat.35C6918F.html","Xem chi tiết")</f>
        <v/>
      </c>
    </row>
    <row r="15938">
      <c r="B15938" s="9" t="n">
        <v>15936</v>
      </c>
      <c r="C15938" s="10" t="inlineStr">
        <is>
          <t>Trợ lý kinh doanh</t>
        </is>
      </c>
      <c r="D15938" s="10" t="inlineStr">
        <is>
          <t>Tập Đoàn Karofi Holding</t>
        </is>
      </c>
      <c r="E15938" s="10" t="inlineStr">
        <is>
          <t>Lương:Cạnh tranh</t>
        </is>
      </c>
      <c r="F15938" s="10" t="inlineStr">
        <is>
          <t>Hà Nội</t>
        </is>
      </c>
      <c r="G15938" s="10" t="inlineStr">
        <is>
          <t>30-03-2026</t>
        </is>
      </c>
      <c r="H15938" s="10" t="inlineStr">
        <is>
          <t>30/03/2026</t>
        </is>
      </c>
      <c r="I15938" s="10" t="inlineStr">
        <is>
          <t>17/03/2026</t>
        </is>
      </c>
      <c r="J15938" s="10" t="inlineStr">
        <is>
          <t>Bán hàng / Kinh doanh</t>
        </is>
      </c>
      <c r="K15938" s="10" t="inlineStr">
        <is>
          <t>1 - 2 Năm</t>
        </is>
      </c>
      <c r="L15938" s="11">
        <f>HYPERLINK("https://careerviet.vn/vi/tim-viec-lam/tro-ly-kinh-doanh.35C693C4.html","Xem chi tiết")</f>
        <v/>
      </c>
      <c r="M15938" s="10" t="n"/>
    </row>
    <row r="15939">
      <c r="B15939" s="7" t="n">
        <v>15937</v>
      </c>
      <c r="C15939" t="inlineStr">
        <is>
          <t>Nhân Viên Kế Toán Tổng Hợp Thuế Công Ty Mẹ Và Bé</t>
        </is>
      </c>
      <c r="D15939" t="inlineStr">
        <is>
          <t>Công Ty TNHH XNK Cầu Nối Việt</t>
        </is>
      </c>
      <c r="E15939" t="inlineStr">
        <is>
          <t>Lương:10 Tr - 15 Tr VND</t>
        </is>
      </c>
      <c r="F15939" t="inlineStr">
        <is>
          <t>Hà Nội</t>
        </is>
      </c>
      <c r="G15939" t="inlineStr">
        <is>
          <t>31-05-2026</t>
        </is>
      </c>
      <c r="H15939" t="inlineStr">
        <is>
          <t>31/05/2026</t>
        </is>
      </c>
      <c r="I15939" t="inlineStr">
        <is>
          <t>17/03/2026</t>
        </is>
      </c>
      <c r="J15939" t="inlineStr">
        <is>
          <t>Kế toán / Kiểm toán</t>
        </is>
      </c>
      <c r="K15939" t="inlineStr">
        <is>
          <t>1 - 5 Năm</t>
        </is>
      </c>
      <c r="L15939" s="8">
        <f>HYPERLINK("https://careerviet.vn/vi/tim-viec-lam/nhan-vien-ke-toan-tong-hop-thue-cong-ty-me-va-be.35C6944F.html","Xem chi tiết")</f>
        <v/>
      </c>
    </row>
    <row r="15940">
      <c r="B15940" s="9" t="n">
        <v>15938</v>
      </c>
      <c r="C15940" s="10" t="inlineStr">
        <is>
          <t>Kế toán chi phí - Kho</t>
        </is>
      </c>
      <c r="D15940" s="10" t="inlineStr">
        <is>
          <t>CÔNG TY CỔ PHẦN DỊCH VỤ KỸ THUẬT AN PHÁT ĐẠT</t>
        </is>
      </c>
      <c r="E15940" s="10" t="inlineStr">
        <is>
          <t>Lương:Cạnh tranh</t>
        </is>
      </c>
      <c r="F15940" s="10" t="inlineStr">
        <is>
          <t>Bà Rịa - Vũng Tàu</t>
        </is>
      </c>
      <c r="G15940" s="10" t="inlineStr">
        <is>
          <t>09-03-2026</t>
        </is>
      </c>
      <c r="H15940" s="10" t="inlineStr">
        <is>
          <t>12/03/2026</t>
        </is>
      </c>
      <c r="I15940" s="10" t="inlineStr">
        <is>
          <t>17/03/2026</t>
        </is>
      </c>
      <c r="J15940" s="10" t="inlineStr">
        <is>
          <t>Kế toán / Kiểm toán, Ngân hàng</t>
        </is>
      </c>
      <c r="K15940" s="10" t="inlineStr">
        <is>
          <t>Lên đến 2 Năm</t>
        </is>
      </c>
      <c r="L15940" s="11">
        <f>HYPERLINK("https://careerviet.vn/vi/tim-viec-lam/ke-toan-chi-phi-kho.35C690A8.html","Xem chi tiết")</f>
        <v/>
      </c>
      <c r="M15940" s="10" t="n"/>
    </row>
    <row r="15941">
      <c r="B15941" s="7" t="n">
        <v>15939</v>
      </c>
      <c r="C15941" t="inlineStr">
        <is>
          <t>MRO Buyer</t>
        </is>
      </c>
      <c r="D15941" t="inlineStr">
        <is>
          <t>CÔNG TY TNHH MILLENNIUM FURNITURE</t>
        </is>
      </c>
      <c r="E15941" t="inlineStr">
        <is>
          <t>Lương:9 Tr - 15 Tr VND</t>
        </is>
      </c>
      <c r="F15941" t="inlineStr">
        <is>
          <t>Quảng Ngãi</t>
        </is>
      </c>
      <c r="G15941" t="inlineStr">
        <is>
          <t>26-03-2026</t>
        </is>
      </c>
      <c r="H15941" t="inlineStr">
        <is>
          <t>26/03/2026</t>
        </is>
      </c>
      <c r="I15941" t="inlineStr">
        <is>
          <t>17/03/2026</t>
        </is>
      </c>
      <c r="J15941" t="inlineStr">
        <is>
          <t>Xây dựng</t>
        </is>
      </c>
      <c r="K15941" t="inlineStr">
        <is>
          <t>1 - 2 Năm</t>
        </is>
      </c>
      <c r="L15941" s="8">
        <f>HYPERLINK("https://careerviet.vn/vi/tim-viec-lam/mro-buyer.35C69063.html","Xem chi tiết")</f>
        <v/>
      </c>
    </row>
    <row r="15942">
      <c r="B15942" s="9" t="n">
        <v>15940</v>
      </c>
      <c r="C15942" s="10" t="inlineStr">
        <is>
          <t>Account Executive</t>
        </is>
      </c>
      <c r="D15942" s="10" t="inlineStr">
        <is>
          <t>HEXAGON - CÔNG TY CỔ PHẦN THIẾT KẾ LỤC GIÁC</t>
        </is>
      </c>
      <c r="E15942" s="10" t="inlineStr">
        <is>
          <t>Lương:Cạnh tranh</t>
        </is>
      </c>
      <c r="F15942" s="10" t="inlineStr">
        <is>
          <t>Hà Nội</t>
        </is>
      </c>
      <c r="G15942" s="10" t="inlineStr">
        <is>
          <t>27-03-2026</t>
        </is>
      </c>
      <c r="H15942" s="10" t="inlineStr">
        <is>
          <t>27/03/2026</t>
        </is>
      </c>
      <c r="I15942" s="10" t="inlineStr">
        <is>
          <t>17/03/2026</t>
        </is>
      </c>
      <c r="J15942" s="10" t="inlineStr">
        <is>
          <t>Quảng cáo / Đối ngoại / Truyền Thông, Truyền hình / Báo chí / Biên tập</t>
        </is>
      </c>
      <c r="K15942" s="10" t="inlineStr">
        <is>
          <t>2 - 3 Năm</t>
        </is>
      </c>
      <c r="L15942" s="11">
        <f>HYPERLINK("https://careerviet.vn/vi/tim-viec-lam/account-executive.35C693FA.html","Xem chi tiết")</f>
        <v/>
      </c>
      <c r="M15942" s="10" t="n"/>
    </row>
    <row r="15943">
      <c r="B15943" s="7" t="n">
        <v>15941</v>
      </c>
      <c r="C15943" t="inlineStr">
        <is>
          <t>KẾ TOÁN TRƯỞNG</t>
        </is>
      </c>
      <c r="D15943" t="inlineStr">
        <is>
          <t>Mystery of Mekong - Công Ty TNHH Du Lịch Mê Kông Huyền Bí</t>
        </is>
      </c>
      <c r="E15943" t="inlineStr">
        <is>
          <t>Lương:Cạnh tranh</t>
        </is>
      </c>
      <c r="F15943" t="inlineStr">
        <is>
          <t>Hồ Chí Minh</t>
        </is>
      </c>
      <c r="G15943" t="inlineStr">
        <is>
          <t>24-03-2026</t>
        </is>
      </c>
      <c r="H15943" t="inlineStr">
        <is>
          <t>24/03/2026</t>
        </is>
      </c>
      <c r="I15943" t="inlineStr">
        <is>
          <t>17/03/2026</t>
        </is>
      </c>
      <c r="J15943" t="inlineStr">
        <is>
          <t>Du lịch, Kế toán / Kiểm toán, Tài chính / Đầu tư</t>
        </is>
      </c>
      <c r="K15943" t="inlineStr">
        <is>
          <t>Trên 5 Năm</t>
        </is>
      </c>
      <c r="L15943" s="8">
        <f>HYPERLINK("https://careerviet.vn/vi/tim-viec-lam/ke-toan-truong.35C69231.html","Xem chi tiết")</f>
        <v/>
      </c>
    </row>
    <row r="15944">
      <c r="B15944" s="9" t="n">
        <v>15942</v>
      </c>
      <c r="C15944" s="10" t="inlineStr">
        <is>
          <t>Senior Trade Marketing Executive</t>
        </is>
      </c>
      <c r="D15944" s="10" t="inlineStr">
        <is>
          <t>International Minh Viet Joint Stock Company</t>
        </is>
      </c>
      <c r="E15944" s="10" t="inlineStr">
        <is>
          <t>Lương:Cạnh tranh</t>
        </is>
      </c>
      <c r="F15944" s="10" t="inlineStr">
        <is>
          <t>Hồ Chí Minh</t>
        </is>
      </c>
      <c r="G15944" s="10" t="inlineStr">
        <is>
          <t>31-03-2026</t>
        </is>
      </c>
      <c r="H15944" s="10" t="inlineStr">
        <is>
          <t>31/03/2026</t>
        </is>
      </c>
      <c r="I15944" s="10" t="inlineStr">
        <is>
          <t>17/03/2026</t>
        </is>
      </c>
      <c r="J15944" s="10" t="inlineStr">
        <is>
          <t>Bán lẻ / Bán sỉ, Bán hàng / Kinh doanh, Y tế / Chăm sóc sức khỏe / Thẩm mỹ / Làm đẹp</t>
        </is>
      </c>
      <c r="K15944" s="10" t="inlineStr">
        <is>
          <t>3 - 5 Năm</t>
        </is>
      </c>
      <c r="L15944" s="11">
        <f>HYPERLINK("https://careerviet.vn/vi/tim-viec-lam/senior-trade-marketing-executive.35C692C4.html","Xem chi tiết")</f>
        <v/>
      </c>
      <c r="M15944" s="10" t="n"/>
    </row>
    <row r="15945">
      <c r="B15945" s="7" t="n">
        <v>15943</v>
      </c>
      <c r="C15945" t="inlineStr">
        <is>
          <t>GIÁO VIÊN TIẾNG ANH PART-TIME, FULL TIME BIÊN HÒA</t>
        </is>
      </c>
      <c r="D15945" t="inlineStr">
        <is>
          <t>Trung Tâm ngoại ngữ Anh ngữ Quốc Tế Queen</t>
        </is>
      </c>
      <c r="E15945" t="inlineStr">
        <is>
          <t>Lương:7 Tr - 15 Tr VND</t>
        </is>
      </c>
      <c r="F15945" t="inlineStr">
        <is>
          <t>Đồng Nai</t>
        </is>
      </c>
      <c r="G15945" t="inlineStr">
        <is>
          <t>6</t>
        </is>
      </c>
      <c r="H15945" t="inlineStr">
        <is>
          <t>23/03/2026</t>
        </is>
      </c>
      <c r="I15945" t="inlineStr">
        <is>
          <t>17/03/2026</t>
        </is>
      </c>
      <c r="J15945" t="inlineStr">
        <is>
          <t>Giáo dục / Đào tạo, Biên phiên dịch</t>
        </is>
      </c>
      <c r="K15945" t="inlineStr">
        <is>
          <t>Lên đến 1 Năm</t>
        </is>
      </c>
      <c r="L15945" s="8">
        <f>HYPERLINK("https://careerviet.vn/vi/tim-viec-lam/giao-vien-tieng-anh-part-time-full-time-bien-hoa.35C69132.html","Xem chi tiết")</f>
        <v/>
      </c>
    </row>
    <row r="15946">
      <c r="B15946" s="9" t="n">
        <v>15944</v>
      </c>
      <c r="C15946" s="10" t="inlineStr">
        <is>
          <t>GIÁM ĐỐC TUYỂN DỤNG TIẾNG TRUNG</t>
        </is>
      </c>
      <c r="D15946" s="10" t="inlineStr">
        <is>
          <t>CÔNG TY TNHH YIMI J&amp;T CARGO TRANSPORTATION</t>
        </is>
      </c>
      <c r="E15946" s="10" t="inlineStr">
        <is>
          <t>Lương:30 Tr - 50 Tr VND</t>
        </is>
      </c>
      <c r="F15946" s="10" t="inlineStr">
        <is>
          <t>Hồ Chí Minh</t>
        </is>
      </c>
      <c r="G15946" s="10" t="inlineStr">
        <is>
          <t>31-03-2026</t>
        </is>
      </c>
      <c r="H15946" s="10" t="inlineStr">
        <is>
          <t>31/03/2026</t>
        </is>
      </c>
      <c r="I15946" s="10" t="inlineStr">
        <is>
          <t>17/03/2026</t>
        </is>
      </c>
      <c r="J15946" s="10" t="inlineStr">
        <is>
          <t>Nhân sự, Quản lý điều hành, Biên phiên dịch</t>
        </is>
      </c>
      <c r="K15946" s="10" t="inlineStr">
        <is>
          <t>5 - 10 Năm</t>
        </is>
      </c>
      <c r="L15946" s="11">
        <f>HYPERLINK("https://careerviet.vn/vi/tim-viec-lam/giam-doc-tuyen-dung-tieng-trung.35C69367.html","Xem chi tiết")</f>
        <v/>
      </c>
      <c r="M15946" s="10" t="n"/>
    </row>
    <row r="15947">
      <c r="B15947" s="7" t="n">
        <v>15945</v>
      </c>
      <c r="C15947" t="inlineStr">
        <is>
          <t>Nhân viên quản lý chất lượng</t>
        </is>
      </c>
      <c r="D15947" t="inlineStr">
        <is>
          <t>CÔNG TY TNHH YURA CORPORATION TÂY NINH</t>
        </is>
      </c>
      <c r="E15947" t="inlineStr">
        <is>
          <t>Lương:14 Tr - 17 Tr VND</t>
        </is>
      </c>
      <c r="F15947" t="inlineStr">
        <is>
          <t>Long An</t>
        </is>
      </c>
      <c r="G15947" t="inlineStr">
        <is>
          <t>31-03-2026</t>
        </is>
      </c>
      <c r="H15947" t="inlineStr">
        <is>
          <t>31/03/2026</t>
        </is>
      </c>
      <c r="I15947" t="inlineStr">
        <is>
          <t>17/03/2026</t>
        </is>
      </c>
      <c r="J15947" t="inlineStr">
        <is>
          <t>Sản xuất / Vận hành sản xuất, Quản lý chất lượng (QA/QC)</t>
        </is>
      </c>
      <c r="K15947" t="inlineStr">
        <is>
          <t>3 - 5 Năm</t>
        </is>
      </c>
      <c r="L15947" s="8">
        <f>HYPERLINK("https://careerviet.vn/vi/tim-viec-lam/nhan-vien-quan-ly-chat-luong.35C69158.html","Xem chi tiết")</f>
        <v/>
      </c>
    </row>
    <row r="15948">
      <c r="B15948" s="9" t="n">
        <v>15946</v>
      </c>
      <c r="C15948" s="10" t="inlineStr">
        <is>
          <t>Nhân viên Kinh doanh miền Trung (base tại Đà Nẵng) - Đi Kinh Doanh Tại Các Tỉnh Miền Trung Mặt Hàng Thời Trang Trẻ Em</t>
        </is>
      </c>
      <c r="D15948" s="10" t="inlineStr">
        <is>
          <t>Công Ty TNHH XNK Cầu Nối Việt</t>
        </is>
      </c>
      <c r="E15948" s="10" t="inlineStr">
        <is>
          <t>Lương:10 Tr - 15 Tr VND</t>
        </is>
      </c>
      <c r="F15948" s="10" t="inlineStr">
        <is>
          <t>Đà Nẵng</t>
        </is>
      </c>
      <c r="G15948" s="10" t="inlineStr">
        <is>
          <t>09-03-2026</t>
        </is>
      </c>
      <c r="H15948" s="10" t="inlineStr">
        <is>
          <t>28/02/2026</t>
        </is>
      </c>
      <c r="I15948" s="10" t="inlineStr">
        <is>
          <t>17/03/2026</t>
        </is>
      </c>
      <c r="J15948" s="10" t="inlineStr">
        <is>
          <t>Bán hàng / Kinh doanh</t>
        </is>
      </c>
      <c r="K15948" s="10" t="inlineStr">
        <is>
          <t>1 - 10 Năm</t>
        </is>
      </c>
      <c r="L15948" s="11">
        <f>HYPERLINK("https://careerviet.vn/vi/tim-viec-lam/nhan-vien-kinh-doanh-mien-trung-base-tai-da-nang-di-kinh-doanh-tai-cac-tinh-mien-trung-mat-hang-thoi-trang-tre-em.35C6944B.html","Xem chi tiết")</f>
        <v/>
      </c>
      <c r="M15948" s="10" t="n"/>
    </row>
    <row r="15949">
      <c r="B15949" s="7" t="n">
        <v>15947</v>
      </c>
      <c r="C15949" t="inlineStr">
        <is>
          <t>Nhân viên phụ kho ( Kho Kim Nỗ - Đông Anh) - Ngành hàng mẹ và bé</t>
        </is>
      </c>
      <c r="D15949" t="inlineStr">
        <is>
          <t>Công Ty TNHH XNK Cầu Nối Việt</t>
        </is>
      </c>
      <c r="E15949" t="inlineStr">
        <is>
          <t>Lương:8 Tr - 9 Tr VND</t>
        </is>
      </c>
      <c r="F15949" t="inlineStr">
        <is>
          <t>Hà Nội</t>
        </is>
      </c>
      <c r="G15949" t="inlineStr">
        <is>
          <t>30-04-2026</t>
        </is>
      </c>
      <c r="H15949" t="inlineStr">
        <is>
          <t>30/04/2026</t>
        </is>
      </c>
      <c r="I15949" t="inlineStr">
        <is>
          <t>17/03/2026</t>
        </is>
      </c>
      <c r="J15949" t="inlineStr">
        <is>
          <t>Vận chuyển / Giao nhận / Kho vận</t>
        </is>
      </c>
      <c r="K15949" t="inlineStr">
        <is>
          <t>N/A</t>
        </is>
      </c>
      <c r="L15949" s="8">
        <f>HYPERLINK("https://careerviet.vn/vi/tim-viec-lam/nhan-vien-phu-kho-kho-kim-no-dong-anh-nganh-hang-me-va-be.35C6944A.html","Xem chi tiết")</f>
        <v/>
      </c>
    </row>
    <row r="15950">
      <c r="B15950" s="9" t="n">
        <v>15948</v>
      </c>
      <c r="C15950" s="10" t="inlineStr">
        <is>
          <t>Chuyên Viên Tìm Kiếm và Phát Triển Mặt Bằng (Thanh Hóa)</t>
        </is>
      </c>
      <c r="D15950" s="10" t="inlineStr">
        <is>
          <t>Concung.com - Con Cung Joint Stock Company</t>
        </is>
      </c>
      <c r="E15950" s="10" t="inlineStr">
        <is>
          <t>Lương:25 Tr - 30 Tr VND</t>
        </is>
      </c>
      <c r="F15950" s="10" t="inlineStr">
        <is>
          <t>Thanh Hóa</t>
        </is>
      </c>
      <c r="G15950" s="10" t="inlineStr">
        <is>
          <t>31-03-2026</t>
        </is>
      </c>
      <c r="H15950" s="10" t="inlineStr">
        <is>
          <t>31/03/2026</t>
        </is>
      </c>
      <c r="I15950" s="10" t="inlineStr">
        <is>
          <t>17/03/2026</t>
        </is>
      </c>
      <c r="J15950" s="10" t="inlineStr">
        <is>
          <t>Bán hàng / Kinh doanh, Bất động sản, Bán lẻ / Bán sỉ</t>
        </is>
      </c>
      <c r="K15950" s="10" t="inlineStr">
        <is>
          <t>N/A</t>
        </is>
      </c>
      <c r="L15950" s="11">
        <f>HYPERLINK("https://careerviet.vn/vi/tim-viec-lam/chuyen-vien-tim-kiem-va-phat-trien-mat-bang-thanh-hoa.35C693AF.html","Xem chi tiết")</f>
        <v/>
      </c>
      <c r="M15950" s="10" t="n"/>
    </row>
    <row r="15951">
      <c r="B15951" s="7" t="n">
        <v>15949</v>
      </c>
      <c r="C15951" t="inlineStr">
        <is>
          <t>Quản lý cửa hàng thời trang thể thao Puma/Adidas</t>
        </is>
      </c>
      <c r="D15951" t="inlineStr">
        <is>
          <t>CÔNG TY TRÁCH NHIỆM HỮU HẠN THỤC SAN NGUYỄN</t>
        </is>
      </c>
      <c r="E15951" t="inlineStr">
        <is>
          <t>Lương:10 Tr - 15 Tr VND</t>
        </is>
      </c>
      <c r="F15951" t="inlineStr">
        <is>
          <t>Đà NẵngNghệ An</t>
        </is>
      </c>
      <c r="G15951" t="inlineStr">
        <is>
          <t>6</t>
        </is>
      </c>
      <c r="H15951" t="inlineStr">
        <is>
          <t>23/03/2026</t>
        </is>
      </c>
      <c r="I15951" t="inlineStr">
        <is>
          <t>17/03/2026</t>
        </is>
      </c>
      <c r="J15951" t="inlineStr">
        <is>
          <t>N/A</t>
        </is>
      </c>
      <c r="K15951" t="inlineStr">
        <is>
          <t>N/A</t>
        </is>
      </c>
      <c r="L15951" s="8">
        <f>HYPERLINK("https://careerviet.vn/vi/tim-viec-lam/quan-ly-cua-hang-thoi-trang-the-thao-puma-adidas.35C6935F.html","Xem chi tiết")</f>
        <v/>
      </c>
    </row>
    <row r="15952">
      <c r="B15952" s="9" t="n">
        <v>15950</v>
      </c>
      <c r="C15952" s="10" t="inlineStr">
        <is>
          <t>Kỹ sư trắc đạc</t>
        </is>
      </c>
      <c r="D15952" s="10" t="inlineStr">
        <is>
          <t>CÔNG TY CỔ PHẦN XÂY DỰNG VILAI VIỆT</t>
        </is>
      </c>
      <c r="E15952" s="10" t="inlineStr">
        <is>
          <t>Lương:15 Tr - 25 Tr VND</t>
        </is>
      </c>
      <c r="F15952" s="10" t="inlineStr">
        <is>
          <t>Hải PhòngHà NộiBắc Giang</t>
        </is>
      </c>
      <c r="G15952" s="10" t="inlineStr">
        <is>
          <t>31-03-2026</t>
        </is>
      </c>
      <c r="H15952" s="10" t="inlineStr">
        <is>
          <t>31/03/2026</t>
        </is>
      </c>
      <c r="I15952" s="10" t="inlineStr">
        <is>
          <t>17/03/2026</t>
        </is>
      </c>
      <c r="J15952" s="10" t="inlineStr">
        <is>
          <t>Trắc địa / Địa Chất, Xây dựng</t>
        </is>
      </c>
      <c r="K15952" s="10" t="inlineStr">
        <is>
          <t>3 - 5 Năm</t>
        </is>
      </c>
      <c r="L15952" s="11">
        <f>HYPERLINK("https://careerviet.vn/vi/tim-viec-lam/ky-su-trac-dac.35C69054.html","Xem chi tiết")</f>
        <v/>
      </c>
      <c r="M15952" s="10" t="n"/>
    </row>
    <row r="15953">
      <c r="B15953" s="7" t="n">
        <v>15951</v>
      </c>
      <c r="C15953" t="inlineStr">
        <is>
          <t>Chuyên viên Quản trị nhãn hiệu/Brand Manager</t>
        </is>
      </c>
      <c r="D15953" t="inlineStr">
        <is>
          <t>Tổng công ty Cổ phần Bia - Rượu - Nước giải khát Hà Nội (HABECO - Bia Hà Nội)</t>
        </is>
      </c>
      <c r="E15953" t="inlineStr">
        <is>
          <t>Lương:Cạnh tranh</t>
        </is>
      </c>
      <c r="F15953" t="inlineStr">
        <is>
          <t>Hà Nội</t>
        </is>
      </c>
      <c r="G15953" t="inlineStr">
        <is>
          <t>26-03-2026</t>
        </is>
      </c>
      <c r="H15953" t="inlineStr">
        <is>
          <t>26/03/2026</t>
        </is>
      </c>
      <c r="I15953" t="inlineStr">
        <is>
          <t>17/03/2026</t>
        </is>
      </c>
      <c r="J15953" t="inlineStr">
        <is>
          <t>Tiếp thị trực tuyến, Quảng cáo / Đối ngoại / Truyền Thông, Tổ chức sự kiện</t>
        </is>
      </c>
      <c r="K15953" t="inlineStr">
        <is>
          <t>1 - 5 Năm</t>
        </is>
      </c>
      <c r="L15953" s="8">
        <f>HYPERLINK("https://careerviet.vn/vi/tim-viec-lam/chuyen-vien-quan-tri-nhan-hieu-brand-manager.35C691DD.html","Xem chi tiết")</f>
        <v/>
      </c>
    </row>
    <row r="15954">
      <c r="B15954" s="9" t="n">
        <v>15952</v>
      </c>
      <c r="C15954" s="10" t="inlineStr">
        <is>
          <t>Kỹ sư thiết kế kết cấu</t>
        </is>
      </c>
      <c r="D15954" s="10" t="inlineStr">
        <is>
          <t>CÔNG TY CỔ PHẦN XÂY DỰNG VILAI VIỆT</t>
        </is>
      </c>
      <c r="E15954" s="10" t="inlineStr">
        <is>
          <t>Lương:18 Tr - 27 Tr VND</t>
        </is>
      </c>
      <c r="F15954" s="10" t="inlineStr">
        <is>
          <t>Hà Nội</t>
        </is>
      </c>
      <c r="G15954" s="10" t="inlineStr">
        <is>
          <t>31-03-2026</t>
        </is>
      </c>
      <c r="H15954" s="10" t="inlineStr">
        <is>
          <t>31/03/2026</t>
        </is>
      </c>
      <c r="I15954" s="10" t="inlineStr">
        <is>
          <t>17/03/2026</t>
        </is>
      </c>
      <c r="J15954" s="10" t="inlineStr">
        <is>
          <t>Kiến trúc, Xây dựng</t>
        </is>
      </c>
      <c r="K15954" s="10" t="inlineStr">
        <is>
          <t>3 - 7 Năm</t>
        </is>
      </c>
      <c r="L15954" s="11">
        <f>HYPERLINK("https://careerviet.vn/vi/tim-viec-lam/ky-su-thiet-ke-ket-cau.35C6912E.html","Xem chi tiết")</f>
        <v/>
      </c>
      <c r="M15954" s="10" t="n"/>
    </row>
    <row r="15955">
      <c r="B15955" s="7" t="n">
        <v>15953</v>
      </c>
      <c r="C15955" t="inlineStr">
        <is>
          <t>Kỹ thuật viên lắp ráp máy (Không cần kinh nghiệm)</t>
        </is>
      </c>
      <c r="D15955" t="inlineStr">
        <is>
          <t>Công ty TNHH Greystone Data Systems Việt Nam</t>
        </is>
      </c>
      <c r="E15955" t="inlineStr">
        <is>
          <t>Lương:8,2 Tr - 10 Tr VND</t>
        </is>
      </c>
      <c r="F15955" t="inlineStr">
        <is>
          <t>Hồ Chí Minh</t>
        </is>
      </c>
      <c r="G15955" t="inlineStr">
        <is>
          <t>26-03-2026</t>
        </is>
      </c>
      <c r="H15955" t="inlineStr">
        <is>
          <t>26/03/2026</t>
        </is>
      </c>
      <c r="I15955" t="inlineStr">
        <is>
          <t>17/03/2026</t>
        </is>
      </c>
      <c r="J15955" t="inlineStr">
        <is>
          <t>Điện / Điện tử / Điện lạnh / Điện công nghiệp, Bảo trì / Sửa chữa, Cơ khí / Ô tô / Tự động hóa</t>
        </is>
      </c>
      <c r="K15955" t="inlineStr">
        <is>
          <t>N/A</t>
        </is>
      </c>
      <c r="L15955" s="8">
        <f>HYPERLINK("https://careerviet.vn/vi/tim-viec-lam/ky-thuat-vien-lap-rap-may-khong-can-kinh-nghiem.35C691FF.html","Xem chi tiết")</f>
        <v/>
      </c>
    </row>
    <row r="15956">
      <c r="B15956" s="9" t="n">
        <v>15954</v>
      </c>
      <c r="C15956" s="10" t="inlineStr">
        <is>
          <t>Area Sales Manager</t>
        </is>
      </c>
      <c r="D15956" s="10" t="inlineStr">
        <is>
          <t>Công ty TNHH AB Mauri Viet Nam</t>
        </is>
      </c>
      <c r="E15956" s="10" t="inlineStr">
        <is>
          <t>Lương:Cạnh tranh</t>
        </is>
      </c>
      <c r="F15956" s="10" t="inlineStr">
        <is>
          <t>Hồ Chí Minh</t>
        </is>
      </c>
      <c r="G15956" s="10" t="inlineStr">
        <is>
          <t>31-03-2026</t>
        </is>
      </c>
      <c r="H15956" s="10" t="inlineStr">
        <is>
          <t>31/03/2026</t>
        </is>
      </c>
      <c r="I15956" s="10" t="inlineStr">
        <is>
          <t>17/03/2026</t>
        </is>
      </c>
      <c r="J15956" s="10" t="inlineStr">
        <is>
          <t>Bán hàng / Kinh doanh, Thực phẩm &amp; Đồ uống, Bán lẻ / Bán sỉ</t>
        </is>
      </c>
      <c r="K15956" s="10" t="inlineStr">
        <is>
          <t>5 - 10 Năm</t>
        </is>
      </c>
      <c r="L15956" s="11">
        <f>HYPERLINK("https://careerviet.vn/vi/tim-viec-lam/area-sales-manager.35C69139.html","Xem chi tiết")</f>
        <v/>
      </c>
      <c r="M15956" s="10" t="n"/>
    </row>
    <row r="15957">
      <c r="B15957" s="7" t="n">
        <v>15955</v>
      </c>
      <c r="C15957" t="inlineStr">
        <is>
          <t>Nhân Viên Sales Admin Hà Nội</t>
        </is>
      </c>
      <c r="D15957" t="inlineStr">
        <is>
          <t>CÔNG TY CỔ PHẦN THỰC PHẨM FUJI</t>
        </is>
      </c>
      <c r="E15957" t="inlineStr">
        <is>
          <t>Lương:Cạnh tranh</t>
        </is>
      </c>
      <c r="F15957" t="inlineStr">
        <is>
          <t>Hà Nội</t>
        </is>
      </c>
      <c r="G15957" t="inlineStr">
        <is>
          <t>31-03-2026</t>
        </is>
      </c>
      <c r="H15957" t="inlineStr">
        <is>
          <t>31/03/2026</t>
        </is>
      </c>
      <c r="I15957" t="inlineStr">
        <is>
          <t>17/03/2026</t>
        </is>
      </c>
      <c r="J15957" t="inlineStr">
        <is>
          <t>Bán hàng / Kinh doanh, Hành chính / Thư ký, Vận chuyển / Giao nhận / Kho vận</t>
        </is>
      </c>
      <c r="K15957" t="inlineStr">
        <is>
          <t>1 - 3 Năm</t>
        </is>
      </c>
      <c r="L15957" s="8">
        <f>HYPERLINK("https://careerviet.vn/vi/tim-viec-lam/nhan-vien-sales-admin-ha-noi.35C68EA5.html","Xem chi tiết")</f>
        <v/>
      </c>
    </row>
    <row r="15958">
      <c r="B15958" s="9" t="n">
        <v>15956</v>
      </c>
      <c r="C15958" s="10" t="inlineStr">
        <is>
          <t>Kế toán trưởng / Chief Accountant</t>
        </is>
      </c>
      <c r="D15958" s="10" t="inlineStr">
        <is>
          <t>The Deck Restaurant</t>
        </is>
      </c>
      <c r="E15958" s="10" t="inlineStr">
        <is>
          <t>Lương:Cạnh tranh</t>
        </is>
      </c>
      <c r="F15958" s="10" t="inlineStr">
        <is>
          <t>Hồ Chí Minh</t>
        </is>
      </c>
      <c r="G15958" s="10" t="inlineStr">
        <is>
          <t>31-03-2026</t>
        </is>
      </c>
      <c r="H15958" s="10" t="inlineStr">
        <is>
          <t>31/03/2026</t>
        </is>
      </c>
      <c r="I15958" s="10" t="inlineStr">
        <is>
          <t>17/03/2026</t>
        </is>
      </c>
      <c r="J15958" s="10" t="inlineStr">
        <is>
          <t>Kế toán / Kiểm toán, Nhà hàng / Khách sạn</t>
        </is>
      </c>
      <c r="K15958" s="10" t="inlineStr">
        <is>
          <t>3 - 5 Năm</t>
        </is>
      </c>
      <c r="L15958" s="11">
        <f>HYPERLINK("https://careerviet.vn/vi/tim-viec-lam/ke-toan-truong-chief-accountant.35C691EA.html","Xem chi tiết")</f>
        <v/>
      </c>
      <c r="M15958" s="10" t="n"/>
    </row>
    <row r="15959">
      <c r="B15959" s="7" t="n">
        <v>15957</v>
      </c>
      <c r="C15959" t="inlineStr">
        <is>
          <t>Nhân viên hành chánh nhân sự</t>
        </is>
      </c>
      <c r="D15959" t="inlineStr">
        <is>
          <t>CÔNG TY TRÁCH NHIỆM HỮU HẠN THÉP QSB</t>
        </is>
      </c>
      <c r="E15959" t="inlineStr">
        <is>
          <t>Lương:10 Tr - 12 Tr VND</t>
        </is>
      </c>
      <c r="F15959" t="inlineStr">
        <is>
          <t>Long An</t>
        </is>
      </c>
      <c r="G15959" t="inlineStr">
        <is>
          <t>09-03-2026</t>
        </is>
      </c>
      <c r="H15959" t="inlineStr">
        <is>
          <t>15/03/2026</t>
        </is>
      </c>
      <c r="I15959" t="inlineStr">
        <is>
          <t>17/03/2026</t>
        </is>
      </c>
      <c r="J15959" t="inlineStr">
        <is>
          <t>Hành chính / Thư ký, Nhân sự, Kế toán / Kiểm toán</t>
        </is>
      </c>
      <c r="K15959" t="inlineStr">
        <is>
          <t>1 - 3 Năm</t>
        </is>
      </c>
      <c r="L15959" s="8">
        <f>HYPERLINK("https://careerviet.vn/vi/tim-viec-lam/nhan-vien-hanh-chanh-nhan-su.35C6926C.html","Xem chi tiết")</f>
        <v/>
      </c>
    </row>
    <row r="15960">
      <c r="B15960" s="9" t="n">
        <v>15958</v>
      </c>
      <c r="C15960" s="10" t="inlineStr">
        <is>
          <t>Chuyên viên Phát triển sản phẩm</t>
        </is>
      </c>
      <c r="D15960" s="10" t="inlineStr">
        <is>
          <t>Công Ty Cổ Phần Sản Xuất Nhựa Duy Tân</t>
        </is>
      </c>
      <c r="E15960" s="10" t="inlineStr">
        <is>
          <t>Lương:Cạnh tranh</t>
        </is>
      </c>
      <c r="F15960" s="10" t="inlineStr">
        <is>
          <t>Hồ Chí Minh</t>
        </is>
      </c>
      <c r="G15960" s="10" t="inlineStr">
        <is>
          <t>26-03-2026</t>
        </is>
      </c>
      <c r="H15960" s="10" t="inlineStr">
        <is>
          <t>26/03/2026</t>
        </is>
      </c>
      <c r="I15960" s="10" t="inlineStr">
        <is>
          <t>17/03/2026</t>
        </is>
      </c>
      <c r="J15960" s="10" t="inlineStr">
        <is>
          <t>Sản xuất / Vận hành sản xuất</t>
        </is>
      </c>
      <c r="K15960" s="10" t="inlineStr">
        <is>
          <t>2 - 3 Năm</t>
        </is>
      </c>
      <c r="L15960" s="11">
        <f>HYPERLINK("https://careerviet.vn/vi/tim-viec-lam/chuyen-vien-phat-trien-san-pham.35C6921C.html","Xem chi tiết")</f>
        <v/>
      </c>
      <c r="M15960" s="10" t="n"/>
    </row>
    <row r="15961">
      <c r="B15961" s="7" t="n">
        <v>15959</v>
      </c>
      <c r="C15961" t="inlineStr">
        <is>
          <t>Quản lý nhà hàng</t>
        </is>
      </c>
      <c r="D15961" t="inlineStr">
        <is>
          <t>CÔNG TY CỔ PHẦN ẨM THỰC SAO PHƯƠNG NAM GROUP</t>
        </is>
      </c>
      <c r="E15961" t="inlineStr">
        <is>
          <t>Lương:Cạnh tranh</t>
        </is>
      </c>
      <c r="F15961" t="inlineStr">
        <is>
          <t>Đồng Nai</t>
        </is>
      </c>
      <c r="G15961" t="inlineStr">
        <is>
          <t>31-03-2026</t>
        </is>
      </c>
      <c r="H15961" t="inlineStr">
        <is>
          <t>31/03/2026</t>
        </is>
      </c>
      <c r="I15961" t="inlineStr">
        <is>
          <t>17/03/2026</t>
        </is>
      </c>
      <c r="J15961" t="inlineStr">
        <is>
          <t>Nhà hàng / Khách sạn, Quản lý điều hành</t>
        </is>
      </c>
      <c r="K15961" t="inlineStr">
        <is>
          <t>2 - 3 Năm</t>
        </is>
      </c>
      <c r="L15961" s="8">
        <f>HYPERLINK("https://careerviet.vn/vi/tim-viec-lam/quan-ly-nha-hang.35C6924E.html","Xem chi tiết")</f>
        <v/>
      </c>
    </row>
    <row r="15962">
      <c r="B15962" s="9" t="n">
        <v>15960</v>
      </c>
      <c r="C15962" s="10" t="inlineStr">
        <is>
          <t>Sales Logistics</t>
        </is>
      </c>
      <c r="D15962" s="10" t="inlineStr">
        <is>
          <t>CÔNG TY CỔ PHẦN TIẾP VẬN INTERCARGO</t>
        </is>
      </c>
      <c r="E15962" s="10" t="inlineStr">
        <is>
          <t>Lương:7 Tr - 15 Tr VND</t>
        </is>
      </c>
      <c r="F15962" s="10" t="inlineStr">
        <is>
          <t>Hà Nội</t>
        </is>
      </c>
      <c r="G15962" s="10" t="inlineStr">
        <is>
          <t>30-04-2026</t>
        </is>
      </c>
      <c r="H15962" s="10" t="inlineStr">
        <is>
          <t>30/04/2026</t>
        </is>
      </c>
      <c r="I15962" s="10" t="inlineStr">
        <is>
          <t>17/03/2026</t>
        </is>
      </c>
      <c r="J15962" s="10" t="inlineStr">
        <is>
          <t>Vận chuyển / Giao nhận / Kho vận, Xuất nhập khẩu</t>
        </is>
      </c>
      <c r="K15962" s="10" t="inlineStr">
        <is>
          <t>Lên đến 1 Năm</t>
        </is>
      </c>
      <c r="L15962" s="11">
        <f>HYPERLINK("https://careerviet.vn/vi/tim-viec-lam/sales-logistics.35C69170.html","Xem chi tiết")</f>
        <v/>
      </c>
      <c r="M15962" s="10" t="n"/>
    </row>
    <row r="15963">
      <c r="B15963" s="7" t="n">
        <v>15961</v>
      </c>
      <c r="C15963" t="inlineStr">
        <is>
          <t>Nhân Viên Hiệu Chuẩn - Thẩm Định - Kiểm Định MMTB</t>
        </is>
      </c>
      <c r="D15963" t="inlineStr">
        <is>
          <t>BOSTON PHARMA - Công Ty CP Dược Phẩm Boston Việt Nam</t>
        </is>
      </c>
      <c r="E15963" t="inlineStr">
        <is>
          <t>Lương:Cạnh tranh</t>
        </is>
      </c>
      <c r="F15963" t="inlineStr">
        <is>
          <t>Bình Dương</t>
        </is>
      </c>
      <c r="G15963" t="inlineStr">
        <is>
          <t>24-03-2026</t>
        </is>
      </c>
      <c r="H15963" t="inlineStr">
        <is>
          <t>24/03/2026</t>
        </is>
      </c>
      <c r="I15963" t="inlineStr">
        <is>
          <t>17/03/2026</t>
        </is>
      </c>
      <c r="J15963" t="inlineStr">
        <is>
          <t>Cơ khí / Ô tô / Tự động hóa, Điện / Điện tử / Điện lạnh / Điện công nghiệp, Bảo trì / Sửa chữa</t>
        </is>
      </c>
      <c r="K15963" t="inlineStr">
        <is>
          <t>1 - 2 Năm</t>
        </is>
      </c>
      <c r="L15963" s="8">
        <f>HYPERLINK("https://careerviet.vn/vi/tim-viec-lam/nhan-vien-hieu-chuan-tham-dinh-kiem-dinh-mmtb.35C691FE.html","Xem chi tiết")</f>
        <v/>
      </c>
    </row>
    <row r="15964">
      <c r="B15964" s="9" t="n">
        <v>15962</v>
      </c>
      <c r="C15964" s="10" t="inlineStr">
        <is>
          <t>NPI  Engineer</t>
        </is>
      </c>
      <c r="D15964" s="10" t="inlineStr">
        <is>
          <t>CÔNG TY TNHH AMPHENOL TECHNOLOGY VIỆT NAM (AFOV)</t>
        </is>
      </c>
      <c r="E15964" s="10" t="inlineStr">
        <is>
          <t>Lương:Cạnh tranh</t>
        </is>
      </c>
      <c r="F15964" s="10" t="inlineStr">
        <is>
          <t>Long An</t>
        </is>
      </c>
      <c r="G15964" s="10" t="inlineStr">
        <is>
          <t>31-03-2026</t>
        </is>
      </c>
      <c r="H15964" s="10" t="inlineStr">
        <is>
          <t>31/03/2026</t>
        </is>
      </c>
      <c r="I15964" s="10" t="inlineStr">
        <is>
          <t>17/03/2026</t>
        </is>
      </c>
      <c r="J15964" s="10" t="inlineStr">
        <is>
          <t>Cơ khí / Ô tô / Tự động hóa, Bảo trì / Sửa chữa, Mỹ thuật / Nghệ thuật / Thiết kế</t>
        </is>
      </c>
      <c r="K15964" s="10" t="inlineStr">
        <is>
          <t>1 Năm</t>
        </is>
      </c>
      <c r="L15964" s="11">
        <f>HYPERLINK("https://careerviet.vn/vi/tim-viec-lam/npi-engineer.35C6931E.html","Xem chi tiết")</f>
        <v/>
      </c>
      <c r="M15964" s="10" t="n"/>
    </row>
    <row r="15965">
      <c r="B15965" s="7" t="n">
        <v>15963</v>
      </c>
      <c r="C15965" t="inlineStr">
        <is>
          <t>TRƯỞNG NHÓM MARKETING (Marketing Leader – B2B / Industrial)</t>
        </is>
      </c>
      <c r="D15965" t="inlineStr">
        <is>
          <t>Công Ty Cổ Phần Tập Đoàn Ô Tô Hiệp Hòa</t>
        </is>
      </c>
      <c r="E15965" t="inlineStr">
        <is>
          <t>Lương:15 Tr - 20 Tr VND</t>
        </is>
      </c>
      <c r="F15965" t="inlineStr">
        <is>
          <t>Hà Nội</t>
        </is>
      </c>
      <c r="G15965" t="inlineStr">
        <is>
          <t>31-03-2026</t>
        </is>
      </c>
      <c r="H15965" t="inlineStr">
        <is>
          <t>31/03/2026</t>
        </is>
      </c>
      <c r="I15965" t="inlineStr">
        <is>
          <t>17/03/2026</t>
        </is>
      </c>
      <c r="J15965" t="inlineStr">
        <is>
          <t>Tiếp thị / Marketing, Bán Hàng Kỹ Thuật, Bán hàng / Kinh doanh</t>
        </is>
      </c>
      <c r="K15965" t="inlineStr">
        <is>
          <t>Trên 3 Năm</t>
        </is>
      </c>
      <c r="L15965" s="8">
        <f>HYPERLINK("https://careerviet.vn/vi/tim-viec-lam/truong-nhom-marketing-marketing-leader-b2b-industrial.35C692A2.html","Xem chi tiết")</f>
        <v/>
      </c>
    </row>
    <row r="15966">
      <c r="B15966" s="9" t="n">
        <v>15964</v>
      </c>
      <c r="C15966" s="10" t="inlineStr">
        <is>
          <t>Kỹ sư thiết kế Cơ điện công trình</t>
        </is>
      </c>
      <c r="D15966" s="10" t="inlineStr">
        <is>
          <t>Công ty cổ phần đầu tư Xây dựng và thương mại Nhật Việt</t>
        </is>
      </c>
      <c r="E15966" s="10" t="inlineStr">
        <is>
          <t>Lương:Cạnh tranh</t>
        </is>
      </c>
      <c r="F15966" s="10" t="inlineStr">
        <is>
          <t>Hà Nội</t>
        </is>
      </c>
      <c r="G15966" s="10" t="inlineStr">
        <is>
          <t>24-03-2026</t>
        </is>
      </c>
      <c r="H15966" s="10" t="inlineStr">
        <is>
          <t>24/03/2026</t>
        </is>
      </c>
      <c r="I15966" s="10" t="inlineStr">
        <is>
          <t>17/03/2026</t>
        </is>
      </c>
      <c r="J15966" s="10" t="inlineStr">
        <is>
          <t>Xây dựng, Điện / Điện tử / Điện lạnh / Điện công nghiệp, Mỹ thuật / Nghệ thuật / Thiết kế</t>
        </is>
      </c>
      <c r="K15966" s="10" t="inlineStr">
        <is>
          <t>3 - 5 Năm</t>
        </is>
      </c>
      <c r="L15966" s="11">
        <f>HYPERLINK("https://careerviet.vn/vi/tim-viec-lam/ky-su-thiet-ke-co-dien-cong-trinh.35C68FD7.html","Xem chi tiết")</f>
        <v/>
      </c>
      <c r="M15966" s="10" t="n"/>
    </row>
    <row r="15967">
      <c r="B15967" s="7" t="n">
        <v>15965</v>
      </c>
      <c r="C15967" t="inlineStr">
        <is>
          <t>Trưởng ca/ giám sát ca</t>
        </is>
      </c>
      <c r="D15967" t="inlineStr">
        <is>
          <t>CÔNG TY TNHH BLUE ELATION</t>
        </is>
      </c>
      <c r="E15967" t="inlineStr">
        <is>
          <t>Lương:10 Tr - 13 Tr VND</t>
        </is>
      </c>
      <c r="F15967" t="inlineStr">
        <is>
          <t>Hồ Chí Minh</t>
        </is>
      </c>
      <c r="G15967" t="inlineStr">
        <is>
          <t>4</t>
        </is>
      </c>
      <c r="H15967" t="inlineStr">
        <is>
          <t>21/03/2026</t>
        </is>
      </c>
      <c r="I15967" t="inlineStr">
        <is>
          <t>17/03/2026</t>
        </is>
      </c>
      <c r="J15967" t="inlineStr">
        <is>
          <t>Nhà hàng / Khách sạn, Du lịch, Thực phẩm &amp; Đồ uống</t>
        </is>
      </c>
      <c r="K15967" t="inlineStr">
        <is>
          <t>3 - 5 Năm</t>
        </is>
      </c>
      <c r="L15967" s="8">
        <f>HYPERLINK("https://careerviet.vn/vi/tim-viec-lam/truong-ca-giam-sat-ca.35C691EB.html","Xem chi tiết")</f>
        <v/>
      </c>
    </row>
    <row r="15968">
      <c r="B15968" s="9" t="n">
        <v>15966</v>
      </c>
      <c r="C15968" s="10" t="inlineStr">
        <is>
          <t>CHUYÊN VIÊN KINH DOANH_ĐÀ NẴNG</t>
        </is>
      </c>
      <c r="D15968" s="10" t="inlineStr">
        <is>
          <t>CÔNG TY TNHH CESCO VIỆT NAM</t>
        </is>
      </c>
      <c r="E15968" s="10" t="inlineStr">
        <is>
          <t>Lương:7,8 Tr - 12 Tr VND</t>
        </is>
      </c>
      <c r="F15968" s="10" t="inlineStr">
        <is>
          <t>Đà Nẵng</t>
        </is>
      </c>
      <c r="G15968" s="10" t="inlineStr">
        <is>
          <t>31-03-2026</t>
        </is>
      </c>
      <c r="H15968" s="10" t="inlineStr">
        <is>
          <t>31/03/2026</t>
        </is>
      </c>
      <c r="I15968" s="10" t="inlineStr">
        <is>
          <t>17/03/2026</t>
        </is>
      </c>
      <c r="J15968" s="10" t="inlineStr">
        <is>
          <t>Bán hàng / Kinh doanh, Bán Hàng Kỹ Thuật, Tư vấn</t>
        </is>
      </c>
      <c r="K15968" s="10" t="inlineStr">
        <is>
          <t>1 - 2 Năm</t>
        </is>
      </c>
      <c r="L15968" s="11">
        <f>HYPERLINK("https://careerviet.vn/vi/tim-viec-lam/chuyen-vien-kinh-doanh_da-nang.35C690B9.html","Xem chi tiết")</f>
        <v/>
      </c>
      <c r="M15968" s="10" t="n"/>
    </row>
    <row r="15969">
      <c r="B15969" s="7" t="n">
        <v>15967</v>
      </c>
      <c r="C15969" t="inlineStr">
        <is>
          <t>Nhân Viên Vận Hành Máy Ép Đùn</t>
        </is>
      </c>
      <c r="D15969" t="inlineStr">
        <is>
          <t>CÔNG TY TNHH ARCHER DANIELS MIDLAND VN</t>
        </is>
      </c>
      <c r="E15969" t="inlineStr">
        <is>
          <t>Lương:Cạnh tranh</t>
        </is>
      </c>
      <c r="F15969" t="inlineStr">
        <is>
          <t>Bình Dương</t>
        </is>
      </c>
      <c r="G15969" t="inlineStr">
        <is>
          <t>30-03-2026</t>
        </is>
      </c>
      <c r="H15969" t="inlineStr">
        <is>
          <t>30/03/2026</t>
        </is>
      </c>
      <c r="I15969" t="inlineStr">
        <is>
          <t>17/03/2026</t>
        </is>
      </c>
      <c r="J15969" t="inlineStr">
        <is>
          <t>Sản xuất / Vận hành sản xuất</t>
        </is>
      </c>
      <c r="K15969" t="inlineStr">
        <is>
          <t>Trên 1 Năm</t>
        </is>
      </c>
      <c r="L15969" s="8">
        <f>HYPERLINK("https://careerviet.vn/vi/tim-viec-lam/nhan-vien-van-hanh-may-ep-dun.35C67C7A.html","Xem chi tiết")</f>
        <v/>
      </c>
    </row>
    <row r="15970">
      <c r="B15970" s="9" t="n">
        <v>15968</v>
      </c>
      <c r="C15970" s="10" t="inlineStr">
        <is>
          <t>Trưởng Phòng Marketing</t>
        </is>
      </c>
      <c r="D15970" s="10" t="inlineStr">
        <is>
          <t>Công ty TNHH Phát Triển Giáo Dục Và Hợp Tác Quốc Tế THANHMAIHSK</t>
        </is>
      </c>
      <c r="E15970" s="10" t="inlineStr">
        <is>
          <t>Lương:25 Tr - 35 Tr VND</t>
        </is>
      </c>
      <c r="F15970" s="10" t="inlineStr">
        <is>
          <t>Hà Nội</t>
        </is>
      </c>
      <c r="G15970" s="10" t="inlineStr">
        <is>
          <t>31-03-2026</t>
        </is>
      </c>
      <c r="H15970" s="10" t="inlineStr">
        <is>
          <t>31/03/2026</t>
        </is>
      </c>
      <c r="I15970" s="10" t="inlineStr">
        <is>
          <t>17/03/2026</t>
        </is>
      </c>
      <c r="J15970" s="10" t="inlineStr">
        <is>
          <t>Tiếp thị / Marketing</t>
        </is>
      </c>
      <c r="K15970" s="10" t="inlineStr">
        <is>
          <t>2 - 3 Năm</t>
        </is>
      </c>
      <c r="L15970" s="11">
        <f>HYPERLINK("https://careerviet.vn/vi/tim-viec-lam/truong-phong-marketing.35C691BD.html","Xem chi tiết")</f>
        <v/>
      </c>
      <c r="M15970" s="10" t="n"/>
    </row>
    <row r="15971">
      <c r="B15971" s="7" t="n">
        <v>15969</v>
      </c>
      <c r="C15971" t="inlineStr">
        <is>
          <t>Kỹ sư Hiện trường (chuyên Hoàn thiện)</t>
        </is>
      </c>
      <c r="D15971" t="inlineStr">
        <is>
          <t>CÔNG TY CỔ PHẦN XÂY DỰNG VILAI VIỆT</t>
        </is>
      </c>
      <c r="E15971" t="inlineStr">
        <is>
          <t>Lương:18 Tr - 25 Tr VND</t>
        </is>
      </c>
      <c r="F15971" t="inlineStr">
        <is>
          <t>Quảng Ninh</t>
        </is>
      </c>
      <c r="G15971" t="inlineStr">
        <is>
          <t>31-03-2026</t>
        </is>
      </c>
      <c r="H15971" t="inlineStr">
        <is>
          <t>31/03/2026</t>
        </is>
      </c>
      <c r="I15971" t="inlineStr">
        <is>
          <t>17/03/2026</t>
        </is>
      </c>
      <c r="J15971" t="inlineStr">
        <is>
          <t>Xây dựng, Kiến trúc</t>
        </is>
      </c>
      <c r="K15971" t="inlineStr">
        <is>
          <t>2 - 5 Năm</t>
        </is>
      </c>
      <c r="L15971" s="8">
        <f>HYPERLINK("https://careerviet.vn/vi/tim-viec-lam/ky-su-hien-truong-chuyen-hoan-thien.35C69079.html","Xem chi tiết")</f>
        <v/>
      </c>
    </row>
    <row r="15972">
      <c r="B15972" s="9" t="n">
        <v>15970</v>
      </c>
      <c r="C15972" s="10" t="inlineStr">
        <is>
          <t>BÁC SĨ CHUYÊN KHOA MẮT</t>
        </is>
      </c>
      <c r="D15972" s="10" t="inlineStr">
        <is>
          <t>CÔNG TY TNHH ĐẦU TƯ Y TẾ QUỐC TẾ DND – SÀI GÒN</t>
        </is>
      </c>
      <c r="E15972" s="10" t="inlineStr">
        <is>
          <t>Lương:Cạnh tranh</t>
        </is>
      </c>
      <c r="F15972" s="10" t="inlineStr">
        <is>
          <t>Hồ Chí Minh</t>
        </is>
      </c>
      <c r="G15972" s="10" t="inlineStr">
        <is>
          <t>31-03-2026</t>
        </is>
      </c>
      <c r="H15972" s="10" t="inlineStr">
        <is>
          <t>31/03/2026</t>
        </is>
      </c>
      <c r="I15972" s="10" t="inlineStr">
        <is>
          <t>17/03/2026</t>
        </is>
      </c>
      <c r="J15972" s="10" t="inlineStr">
        <is>
          <t>Y tế / Chăm sóc sức khỏe / Thẩm mỹ / Làm đẹp, Dược phẩm/ Hóa Mỹ Phẩm</t>
        </is>
      </c>
      <c r="K15972" s="10" t="inlineStr">
        <is>
          <t>Trên 2 Năm</t>
        </is>
      </c>
      <c r="L15972" s="11">
        <f>HYPERLINK("https://careerviet.vn/vi/tim-viec-lam/bac-si-chuyen-khoa-mat.35C693A2.html","Xem chi tiết")</f>
        <v/>
      </c>
      <c r="M15972" s="10" t="n"/>
    </row>
    <row r="15973">
      <c r="B15973" s="7" t="n">
        <v>15971</v>
      </c>
      <c r="C15973" t="inlineStr">
        <is>
          <t>Giám sát Thi công MEP</t>
        </is>
      </c>
      <c r="D15973" t="inlineStr">
        <is>
          <t>CÔNG TY CỔ PHẦN SEAREFICO</t>
        </is>
      </c>
      <c r="E15973" t="inlineStr">
        <is>
          <t>Lương:Cạnh tranh</t>
        </is>
      </c>
      <c r="F15973" t="inlineStr">
        <is>
          <t>Đà NẵngĐồng NaiGia Lai</t>
        </is>
      </c>
      <c r="G15973" t="inlineStr">
        <is>
          <t>26-03-2026</t>
        </is>
      </c>
      <c r="H15973" t="inlineStr">
        <is>
          <t>26/03/2026</t>
        </is>
      </c>
      <c r="I15973" t="inlineStr">
        <is>
          <t>17/03/2026</t>
        </is>
      </c>
      <c r="J15973" t="inlineStr">
        <is>
          <t>Xây dựng, Cơ khí / Ô tô / Tự động hóa, Điện / Điện tử / Điện lạnh / Điện công nghiệp</t>
        </is>
      </c>
      <c r="K15973" t="inlineStr">
        <is>
          <t>Trên 1 Năm</t>
        </is>
      </c>
      <c r="L15973" s="8">
        <f>HYPERLINK("https://careerviet.vn/vi/tim-viec-lam/giam-sat-thi-cong-mep.35C690EE.html","Xem chi tiết")</f>
        <v/>
      </c>
    </row>
    <row r="15974">
      <c r="B15974" s="9" t="n">
        <v>15972</v>
      </c>
      <c r="C15974" s="10" t="inlineStr">
        <is>
          <t>Chuyên Viên Thẩm Định Giá Bất Động Sản</t>
        </is>
      </c>
      <c r="D15974" s="10" t="inlineStr">
        <is>
          <t>Công ty Cổ phần Tập đoàn Meey Land</t>
        </is>
      </c>
      <c r="E15974" s="10" t="inlineStr">
        <is>
          <t>Lương:13 Tr - 20 Tr VND</t>
        </is>
      </c>
      <c r="F15974" s="10" t="inlineStr">
        <is>
          <t>Hà Nội</t>
        </is>
      </c>
      <c r="G15974" s="10" t="inlineStr">
        <is>
          <t>24-03-2026</t>
        </is>
      </c>
      <c r="H15974" s="10" t="inlineStr">
        <is>
          <t>24/03/2026</t>
        </is>
      </c>
      <c r="I15974" s="10" t="inlineStr">
        <is>
          <t>17/03/2026</t>
        </is>
      </c>
      <c r="J15974" s="10" t="inlineStr">
        <is>
          <t>Bất động sản</t>
        </is>
      </c>
      <c r="K15974" s="10" t="inlineStr">
        <is>
          <t>Trên 1 Năm</t>
        </is>
      </c>
      <c r="L15974" s="11">
        <f>HYPERLINK("https://careerviet.vn/vi/tim-viec-lam/chuyen-vien-tham-dinh-gia-bat-dong-san.35C6929B.html","Xem chi tiết")</f>
        <v/>
      </c>
      <c r="M15974" s="10" t="n"/>
    </row>
    <row r="15975">
      <c r="B15975" s="7" t="n">
        <v>15973</v>
      </c>
      <c r="C15975" t="inlineStr">
        <is>
          <t>Cộng tác viên kinh doanh qua điện thoại</t>
        </is>
      </c>
      <c r="D15975" t="inlineStr">
        <is>
          <t>CÔNG TY TÀI CHÍNH TÍN DỤNG TIÊU DÙNG TNHH MTV AEON</t>
        </is>
      </c>
      <c r="E15975" t="inlineStr">
        <is>
          <t>Lương:Cạnh tranh</t>
        </is>
      </c>
      <c r="F15975" t="inlineStr">
        <is>
          <t>Hà NộiHồ Chí MinhĐà Nẵng</t>
        </is>
      </c>
      <c r="G15975" t="inlineStr">
        <is>
          <t>24-03-2026</t>
        </is>
      </c>
      <c r="H15975" t="inlineStr">
        <is>
          <t>24/03/2026</t>
        </is>
      </c>
      <c r="I15975" t="inlineStr">
        <is>
          <t>17/03/2026</t>
        </is>
      </c>
      <c r="J15975" t="inlineStr">
        <is>
          <t>Bán hàng / Kinh doanh, Tài chính / Đầu tư</t>
        </is>
      </c>
      <c r="K15975" t="inlineStr">
        <is>
          <t>N/A</t>
        </is>
      </c>
      <c r="L15975" s="8">
        <f>HYPERLINK("https://careerviet.vn/vi/tim-viec-lam/cong-tac-vien-kinh-doanh-qua-dien-thoai.35C6903A.html","Xem chi tiết")</f>
        <v/>
      </c>
    </row>
    <row r="15976">
      <c r="B15976" s="9" t="n">
        <v>15974</v>
      </c>
      <c r="C15976" s="10" t="inlineStr">
        <is>
          <t>Training &amp; Development Manager</t>
        </is>
      </c>
      <c r="D15976" s="10" t="inlineStr">
        <is>
          <t>CÔNG TY TNHH MILLENNIUM FURNITURE</t>
        </is>
      </c>
      <c r="E15976" s="10" t="inlineStr">
        <is>
          <t>Lương:Cạnh tranh</t>
        </is>
      </c>
      <c r="F15976" s="10" t="inlineStr">
        <is>
          <t>Quảng Ngãi</t>
        </is>
      </c>
      <c r="G15976" s="10" t="inlineStr">
        <is>
          <t>09-03-2026</t>
        </is>
      </c>
      <c r="H15976" s="10" t="inlineStr">
        <is>
          <t>30/12/2025</t>
        </is>
      </c>
      <c r="I15976" s="10" t="inlineStr">
        <is>
          <t>17/03/2026</t>
        </is>
      </c>
      <c r="J15976" s="10" t="inlineStr">
        <is>
          <t>Giáo dục / Đào tạo</t>
        </is>
      </c>
      <c r="K15976" s="10" t="inlineStr">
        <is>
          <t>Trên 5 Năm</t>
        </is>
      </c>
      <c r="L15976" s="11">
        <f>HYPERLINK("https://careerviet.vn/vi/tim-viec-lam/training-development-manager.35C61A32.html","Xem chi tiết")</f>
        <v/>
      </c>
      <c r="M15976" s="10" t="n"/>
    </row>
    <row r="15977">
      <c r="B15977" s="7" t="n">
        <v>15975</v>
      </c>
      <c r="C15977" t="inlineStr">
        <is>
          <t>Nhân viên kinh doanh</t>
        </is>
      </c>
      <c r="D15977" t="inlineStr">
        <is>
          <t>CÔNG TY CỔ PHẦN CHĂN NUÔI MAVIN</t>
        </is>
      </c>
      <c r="E15977" t="inlineStr">
        <is>
          <t>Lương:13 Tr - 25 Tr VND</t>
        </is>
      </c>
      <c r="F15977" t="inlineStr">
        <is>
          <t>Hà Nội</t>
        </is>
      </c>
      <c r="G15977" t="inlineStr">
        <is>
          <t>31-03-2026</t>
        </is>
      </c>
      <c r="H15977" t="inlineStr">
        <is>
          <t>31/03/2026</t>
        </is>
      </c>
      <c r="I15977" t="inlineStr">
        <is>
          <t>17/03/2026</t>
        </is>
      </c>
      <c r="J15977" t="inlineStr">
        <is>
          <t>Bán lẻ / Bán sỉ, Bán hàng / Kinh doanh, Tiếp thị / Marketing</t>
        </is>
      </c>
      <c r="K15977" t="inlineStr">
        <is>
          <t>1 - 5 Năm</t>
        </is>
      </c>
      <c r="L15977" s="8">
        <f>HYPERLINK("https://careerviet.vn/vi/tim-viec-lam/nhan-vien-kinh-doanh.35C69109.html","Xem chi tiết")</f>
        <v/>
      </c>
    </row>
    <row r="15978">
      <c r="B15978" s="9" t="n">
        <v>15976</v>
      </c>
      <c r="C15978" s="10" t="inlineStr">
        <is>
          <t>Content Supervisor</t>
        </is>
      </c>
      <c r="D15978" s="10" t="inlineStr">
        <is>
          <t>International Minh Viet Joint Stock Company</t>
        </is>
      </c>
      <c r="E15978" s="10" t="inlineStr">
        <is>
          <t>Lương:15 Tr - 20 Tr VND</t>
        </is>
      </c>
      <c r="F15978" s="10" t="inlineStr">
        <is>
          <t>Hồ Chí Minh</t>
        </is>
      </c>
      <c r="G15978" s="10" t="inlineStr">
        <is>
          <t>31-03-2026</t>
        </is>
      </c>
      <c r="H15978" s="10" t="inlineStr">
        <is>
          <t>31/03/2026</t>
        </is>
      </c>
      <c r="I15978" s="10" t="inlineStr">
        <is>
          <t>17/03/2026</t>
        </is>
      </c>
      <c r="J15978" s="10" t="inlineStr">
        <is>
          <t>Tiếp thị / Marketing, Mỹ thuật / Nghệ thuật / Thiết kế</t>
        </is>
      </c>
      <c r="K15978" s="10" t="inlineStr">
        <is>
          <t>2 - 4 Năm</t>
        </is>
      </c>
      <c r="L15978" s="11">
        <f>HYPERLINK("https://careerviet.vn/vi/tim-viec-lam/content-supervisor.35C69300.html","Xem chi tiết")</f>
        <v/>
      </c>
      <c r="M15978" s="10" t="n"/>
    </row>
    <row r="15979">
      <c r="B15979" s="7" t="n">
        <v>15977</v>
      </c>
      <c r="C15979" t="inlineStr">
        <is>
          <t>Kỹ sư Quản lý Hệ thống Chất lượng (QMS Engineer) - Tiếng Trung</t>
        </is>
      </c>
      <c r="D15979" t="inlineStr">
        <is>
          <t>CÔNG TY TNHH ELECTRONIC TRIPOD VIỆT NAM (CHÂU ĐỨC)</t>
        </is>
      </c>
      <c r="E15979" t="inlineStr">
        <is>
          <t>Lương:Cạnh tranh</t>
        </is>
      </c>
      <c r="F15979" t="inlineStr">
        <is>
          <t>Bà Rịa - Vũng Tàu</t>
        </is>
      </c>
      <c r="G15979" t="inlineStr">
        <is>
          <t>24-03-2026</t>
        </is>
      </c>
      <c r="H15979" t="inlineStr">
        <is>
          <t>24/03/2026</t>
        </is>
      </c>
      <c r="I15979" t="inlineStr">
        <is>
          <t>17/03/2026</t>
        </is>
      </c>
      <c r="J15979" t="inlineStr">
        <is>
          <t>Quản lý điều hành, Hóa học, Quản lý chất lượng (QA/QC)</t>
        </is>
      </c>
      <c r="K15979" t="inlineStr">
        <is>
          <t>Trên 1 Năm</t>
        </is>
      </c>
      <c r="L15979" s="8">
        <f>HYPERLINK("https://careerviet.vn/vi/tim-viec-lam/ky-su-quan-ly-he-thong-chat-luong-qms-engineer-tieng-trung.35C6919D.html","Xem chi tiết")</f>
        <v/>
      </c>
    </row>
    <row r="15980">
      <c r="B15980" s="9" t="n">
        <v>15978</v>
      </c>
      <c r="C15980" s="10" t="inlineStr">
        <is>
          <t>Giám Sát Kênh FS</t>
        </is>
      </c>
      <c r="D15980" s="10" t="inlineStr">
        <is>
          <t>CÔNG TY TNHH THỰC PHẨM CUỘC SỐNG</t>
        </is>
      </c>
      <c r="E15980" s="10" t="inlineStr">
        <is>
          <t>Lương:18 Tr - 20 Tr VND</t>
        </is>
      </c>
      <c r="F15980" s="10" t="inlineStr">
        <is>
          <t>Hà Nội</t>
        </is>
      </c>
      <c r="G15980" s="10" t="inlineStr">
        <is>
          <t>24-03-2026</t>
        </is>
      </c>
      <c r="H15980" s="10" t="inlineStr">
        <is>
          <t>24/03/2026</t>
        </is>
      </c>
      <c r="I15980" s="10" t="inlineStr">
        <is>
          <t>17/03/2026</t>
        </is>
      </c>
      <c r="J15980" s="10" t="inlineStr">
        <is>
          <t>Thực phẩm &amp; Đồ uống, Công nghệ thực phẩm / Dinh dưỡng, Tiếp thị / Marketing</t>
        </is>
      </c>
      <c r="K15980" s="10" t="inlineStr">
        <is>
          <t>Trên 2 Năm</t>
        </is>
      </c>
      <c r="L15980" s="11">
        <f>HYPERLINK("https://careerviet.vn/vi/tim-viec-lam/giam-sat-kenh-fs.35C6940C.html","Xem chi tiết")</f>
        <v/>
      </c>
      <c r="M15980" s="10" t="n"/>
    </row>
    <row r="15981">
      <c r="B15981" s="7" t="n">
        <v>15979</v>
      </c>
      <c r="C15981" t="inlineStr">
        <is>
          <t>Kế toán tổng hợp</t>
        </is>
      </c>
      <c r="D15981" t="inlineStr">
        <is>
          <t>CÔNG TY CP ĐẦU TƯ PHÁT TRIỂN TRÍ DƯƠNG</t>
        </is>
      </c>
      <c r="E15981" t="inlineStr">
        <is>
          <t>Lương:Cạnh tranh</t>
        </is>
      </c>
      <c r="F15981" t="inlineStr">
        <is>
          <t>Nghệ An</t>
        </is>
      </c>
      <c r="G15981" t="inlineStr">
        <is>
          <t>09-03-2026</t>
        </is>
      </c>
      <c r="H15981" t="inlineStr">
        <is>
          <t>14/03/2026</t>
        </is>
      </c>
      <c r="I15981" t="inlineStr">
        <is>
          <t>17/03/2026</t>
        </is>
      </c>
      <c r="J15981" t="inlineStr">
        <is>
          <t>Kế toán / Kiểm toán, Xây dựng, Bất động sản</t>
        </is>
      </c>
      <c r="K15981" t="inlineStr">
        <is>
          <t>5 - 7 Năm</t>
        </is>
      </c>
      <c r="L15981" s="8">
        <f>HYPERLINK("https://careerviet.vn/vi/tim-viec-lam/ke-toan-tong-hop.35C691B6.html","Xem chi tiết")</f>
        <v/>
      </c>
    </row>
    <row r="15982">
      <c r="B15982" s="9" t="n">
        <v>15980</v>
      </c>
      <c r="C15982" s="10" t="inlineStr">
        <is>
          <t>Nhân viên vận hành máy</t>
        </is>
      </c>
      <c r="D15982" s="10" t="inlineStr">
        <is>
          <t>Hercules VN Co., Ltd.</t>
        </is>
      </c>
      <c r="E15982" s="10" t="inlineStr">
        <is>
          <t>Lương:8 Tr - 14 Tr VND</t>
        </is>
      </c>
      <c r="F15982" s="10" t="inlineStr">
        <is>
          <t>Bình Dương</t>
        </is>
      </c>
      <c r="G15982" s="10" t="inlineStr">
        <is>
          <t>30-04-2026</t>
        </is>
      </c>
      <c r="H15982" s="10" t="inlineStr">
        <is>
          <t>30/04/2026</t>
        </is>
      </c>
      <c r="I15982" s="10" t="inlineStr">
        <is>
          <t>17/03/2026</t>
        </is>
      </c>
      <c r="J15982" s="10" t="inlineStr">
        <is>
          <t>Bảo trì / Sửa chữa, Sản xuất / Vận hành sản xuất</t>
        </is>
      </c>
      <c r="K15982" s="10" t="inlineStr">
        <is>
          <t>1 - 2 Năm</t>
        </is>
      </c>
      <c r="L15982" s="11">
        <f>HYPERLINK("https://careerviet.vn/vi/tim-viec-lam/nhan-vien-van-hanh-may.35C66E1C.html","Xem chi tiết")</f>
        <v/>
      </c>
      <c r="M15982" s="10" t="n"/>
    </row>
    <row r="15983">
      <c r="B15983" s="7" t="n">
        <v>15981</v>
      </c>
      <c r="C15983" t="inlineStr">
        <is>
          <t>KẾ TOÁN TỔNG HỢP</t>
        </is>
      </c>
      <c r="D15983" t="inlineStr">
        <is>
          <t>CÔNG TY TNHH DEGO HOLDING</t>
        </is>
      </c>
      <c r="E15983" t="inlineStr">
        <is>
          <t>Lương:18 Tr - 25 Tr VND</t>
        </is>
      </c>
      <c r="F15983" t="inlineStr">
        <is>
          <t>Hồ Chí Minh</t>
        </is>
      </c>
      <c r="G15983" t="inlineStr">
        <is>
          <t>6</t>
        </is>
      </c>
      <c r="H15983" t="inlineStr">
        <is>
          <t>23/03/2026</t>
        </is>
      </c>
      <c r="I15983" t="inlineStr">
        <is>
          <t>17/03/2026</t>
        </is>
      </c>
      <c r="J15983" t="inlineStr">
        <is>
          <t>Kế toán / Kiểm toán, Tài chính / Đầu tư, Sản xuất / Vận hành sản xuất</t>
        </is>
      </c>
      <c r="K15983" t="inlineStr">
        <is>
          <t>2 - 3 Năm</t>
        </is>
      </c>
      <c r="L15983" s="8">
        <f>HYPERLINK("https://careerviet.vn/vi/tim-viec-lam/ke-toan-tong-hop.35C693C9.html","Xem chi tiết")</f>
        <v/>
      </c>
    </row>
    <row r="15984">
      <c r="B15984" s="9" t="n">
        <v>15982</v>
      </c>
      <c r="C15984" s="10" t="inlineStr">
        <is>
          <t>Junior Multi-Media Specialist</t>
        </is>
      </c>
      <c r="D15984" s="10" t="inlineStr">
        <is>
          <t>nanoHome</t>
        </is>
      </c>
      <c r="E15984" s="10" t="inlineStr">
        <is>
          <t>Lương:10 Tr - 12 Tr VND</t>
        </is>
      </c>
      <c r="F15984" s="10" t="inlineStr">
        <is>
          <t>Hồ Chí Minh</t>
        </is>
      </c>
      <c r="G15984" s="10" t="inlineStr">
        <is>
          <t>24-03-2026</t>
        </is>
      </c>
      <c r="H15984" s="10" t="inlineStr">
        <is>
          <t>24/03/2026</t>
        </is>
      </c>
      <c r="I15984" s="10" t="inlineStr">
        <is>
          <t>17/03/2026</t>
        </is>
      </c>
      <c r="J15984" s="10" t="inlineStr">
        <is>
          <t>Tiếp thị / Marketing, Tiếp thị trực tuyến, Bán hàng / Kinh doanh</t>
        </is>
      </c>
      <c r="K15984" s="10" t="inlineStr">
        <is>
          <t>1 - 3 Năm</t>
        </is>
      </c>
      <c r="L15984" s="11">
        <f>HYPERLINK("https://careerviet.vn/vi/tim-viec-lam/junior-multi-media-specialist.35C69319.html","Xem chi tiết")</f>
        <v/>
      </c>
      <c r="M15984" s="10" t="n"/>
    </row>
    <row r="15985">
      <c r="B15985" s="7" t="n">
        <v>15983</v>
      </c>
      <c r="C15985" t="inlineStr">
        <is>
          <t>Chuyên Viên Lễ Tân Hành Chính</t>
        </is>
      </c>
      <c r="D15985" t="inlineStr">
        <is>
          <t>CÔNG TY CỔ PHẦN STELLAR</t>
        </is>
      </c>
      <c r="E15985" t="inlineStr">
        <is>
          <t>Lương:Cạnh tranh</t>
        </is>
      </c>
      <c r="F15985" t="inlineStr">
        <is>
          <t>Hà Nội</t>
        </is>
      </c>
      <c r="G15985" t="inlineStr">
        <is>
          <t>6</t>
        </is>
      </c>
      <c r="H15985" t="inlineStr">
        <is>
          <t>23/03/2026</t>
        </is>
      </c>
      <c r="I15985" t="inlineStr">
        <is>
          <t>17/03/2026</t>
        </is>
      </c>
      <c r="J15985" t="inlineStr">
        <is>
          <t>Hành chính / Thư ký, Nhân sự, Bất động sản</t>
        </is>
      </c>
      <c r="K15985" t="inlineStr">
        <is>
          <t>Trên 1 Năm</t>
        </is>
      </c>
      <c r="L15985" s="8">
        <f>HYPERLINK("https://careerviet.vn/vi/tim-viec-lam/chuyen-vien-le-tan-hanh-chinh.35C692E9.html","Xem chi tiết")</f>
        <v/>
      </c>
    </row>
    <row r="15986">
      <c r="B15986" s="9" t="n">
        <v>15984</v>
      </c>
      <c r="C15986" s="10" t="inlineStr">
        <is>
          <t>WH Manager</t>
        </is>
      </c>
      <c r="D15986" s="10" t="inlineStr">
        <is>
          <t>CÔNG TY TNHH MILLENNIUM FURNITURE</t>
        </is>
      </c>
      <c r="E15986" s="10" t="inlineStr">
        <is>
          <t>Lương:Cạnh tranh</t>
        </is>
      </c>
      <c r="F15986" s="10" t="inlineStr">
        <is>
          <t>Quảng Ngãi</t>
        </is>
      </c>
      <c r="G15986" s="10" t="inlineStr">
        <is>
          <t>26-03-2026</t>
        </is>
      </c>
      <c r="H15986" s="10" t="inlineStr">
        <is>
          <t>26/03/2026</t>
        </is>
      </c>
      <c r="I15986" s="10" t="inlineStr">
        <is>
          <t>17/03/2026</t>
        </is>
      </c>
      <c r="J15986" s="10" t="inlineStr">
        <is>
          <t>Quản lý điều hành</t>
        </is>
      </c>
      <c r="K15986" s="10" t="inlineStr">
        <is>
          <t>Trên 5 Năm</t>
        </is>
      </c>
      <c r="L15986" s="11">
        <f>HYPERLINK("https://careerviet.vn/vi/tim-viec-lam/wh-manager.35C69045.html","Xem chi tiết")</f>
        <v/>
      </c>
      <c r="M15986" s="10" t="n"/>
    </row>
    <row r="15987">
      <c r="B15987" s="7" t="n">
        <v>15985</v>
      </c>
      <c r="C15987" t="inlineStr">
        <is>
          <t>Phó phòng Marketing</t>
        </is>
      </c>
      <c r="D15987" t="inlineStr">
        <is>
          <t>CÔNG TY CỔ PHẦN GREEN SPEED</t>
        </is>
      </c>
      <c r="E15987" t="inlineStr">
        <is>
          <t>Lương:20 Tr - 25 Tr VND</t>
        </is>
      </c>
      <c r="F15987" t="inlineStr">
        <is>
          <t>Hồ Chí Minh</t>
        </is>
      </c>
      <c r="G15987" t="inlineStr">
        <is>
          <t>24-03-2026</t>
        </is>
      </c>
      <c r="H15987" t="inlineStr">
        <is>
          <t>24/03/2026</t>
        </is>
      </c>
      <c r="I15987" t="inlineStr">
        <is>
          <t>17/03/2026</t>
        </is>
      </c>
      <c r="J15987" t="inlineStr">
        <is>
          <t>Tiếp thị / Marketing, Tiếp thị trực tuyến, Dịch vụ khách hàng</t>
        </is>
      </c>
      <c r="K15987" t="inlineStr">
        <is>
          <t>3 - 6 Năm</t>
        </is>
      </c>
      <c r="L15987" s="8">
        <f>HYPERLINK("https://careerviet.vn/vi/tim-viec-lam/pho-phong-marketing.35C69064.html","Xem chi tiết")</f>
        <v/>
      </c>
    </row>
    <row r="15988">
      <c r="B15988" s="9" t="n">
        <v>15986</v>
      </c>
      <c r="C15988" s="10" t="inlineStr">
        <is>
          <t>Solution Architecture Manager</t>
        </is>
      </c>
      <c r="D15988" s="10" t="inlineStr">
        <is>
          <t>LOTTE FINANCE VIETNAM</t>
        </is>
      </c>
      <c r="E15988" s="10" t="inlineStr">
        <is>
          <t>Lương:Cạnh tranh</t>
        </is>
      </c>
      <c r="F15988" s="10" t="inlineStr">
        <is>
          <t>Hà Nội</t>
        </is>
      </c>
      <c r="G15988" s="10" t="inlineStr">
        <is>
          <t>26-03-2026</t>
        </is>
      </c>
      <c r="H15988" s="10" t="inlineStr">
        <is>
          <t>26/03/2026</t>
        </is>
      </c>
      <c r="I15988" s="10" t="inlineStr">
        <is>
          <t>17/03/2026</t>
        </is>
      </c>
      <c r="J15988" s="10" t="inlineStr">
        <is>
          <t>CNTT - Phần mềm</t>
        </is>
      </c>
      <c r="K15988" s="10" t="inlineStr">
        <is>
          <t>Trên 7 Năm</t>
        </is>
      </c>
      <c r="L15988" s="11">
        <f>HYPERLINK("https://careerviet.vn/vi/tim-viec-lam/solution-architecture-manager.35C69260.html","Xem chi tiết")</f>
        <v/>
      </c>
      <c r="M15988" s="10" t="n"/>
    </row>
    <row r="15989">
      <c r="B15989" s="7" t="n">
        <v>15987</v>
      </c>
      <c r="C15989" t="inlineStr">
        <is>
          <t>WORK ORDER PREPARER - MC</t>
        </is>
      </c>
      <c r="D15989" t="inlineStr">
        <is>
          <t>Công Ty TNHH Roeders Việt Nam</t>
        </is>
      </c>
      <c r="E15989" t="inlineStr">
        <is>
          <t>Lương:Cạnh tranh</t>
        </is>
      </c>
      <c r="F15989" t="inlineStr">
        <is>
          <t>Hồ Chí Minh</t>
        </is>
      </c>
      <c r="G15989" t="inlineStr">
        <is>
          <t>24-03-2026</t>
        </is>
      </c>
      <c r="H15989" t="inlineStr">
        <is>
          <t>24/03/2026</t>
        </is>
      </c>
      <c r="I15989" t="inlineStr">
        <is>
          <t>17/03/2026</t>
        </is>
      </c>
      <c r="J15989" t="inlineStr">
        <is>
          <t>Cơ khí / Ô tô / Tự động hóa, Sản xuất / Vận hành sản xuất, Bảo trì / Sửa chữa</t>
        </is>
      </c>
      <c r="K15989" t="inlineStr">
        <is>
          <t>2 - 3 Năm</t>
        </is>
      </c>
      <c r="L15989" s="8">
        <f>HYPERLINK("https://careerviet.vn/vi/tim-viec-lam/work-order-preparer-mc.35C692AB.html","Xem chi tiết")</f>
        <v/>
      </c>
    </row>
    <row r="15990">
      <c r="B15990" s="9" t="n">
        <v>15988</v>
      </c>
      <c r="C15990" s="10" t="inlineStr">
        <is>
          <t>Kiến Trúc Sư Triển Khai Hồ Sơ Kiến Trúc (Bổ kỹ thuật kiến trúc)</t>
        </is>
      </c>
      <c r="D15990" s="10" t="inlineStr">
        <is>
          <t>Công ty cổ phần Kiến trúc Xây dựng Xcons Việt Nam</t>
        </is>
      </c>
      <c r="E15990" s="10" t="inlineStr">
        <is>
          <t>Lương:Lên đến 35 Tr VND</t>
        </is>
      </c>
      <c r="F15990" s="10" t="inlineStr">
        <is>
          <t>Hà Nội</t>
        </is>
      </c>
      <c r="G15990" s="10" t="inlineStr">
        <is>
          <t>6</t>
        </is>
      </c>
      <c r="H15990" s="10" t="inlineStr">
        <is>
          <t>23/03/2026</t>
        </is>
      </c>
      <c r="I15990" s="10" t="inlineStr">
        <is>
          <t>17/03/2026</t>
        </is>
      </c>
      <c r="J15990" s="10" t="inlineStr">
        <is>
          <t>Kiến trúc, Nội ngoại thất, Xây dựng</t>
        </is>
      </c>
      <c r="K15990" s="10" t="inlineStr">
        <is>
          <t>Trên 3 Năm</t>
        </is>
      </c>
      <c r="L15990" s="11">
        <f>HYPERLINK("https://careerviet.vn/vi/tim-viec-lam/kien-truc-su-trien-khai-ho-so-kien-truc-bo-ky-thuat-kien-truc.35C6914E.html","Xem chi tiết")</f>
        <v/>
      </c>
      <c r="M15990" s="10" t="n"/>
    </row>
    <row r="15991">
      <c r="B15991" s="7" t="n">
        <v>15989</v>
      </c>
      <c r="C15991" t="inlineStr">
        <is>
          <t>Trưởng phòng kinh doanh</t>
        </is>
      </c>
      <c r="D15991" t="inlineStr">
        <is>
          <t>CÔNG TY TNHH THỰC PHẨM CUỘC SỐNG</t>
        </is>
      </c>
      <c r="E15991" t="inlineStr">
        <is>
          <t>Lương:40 Tr - 70 Tr VND</t>
        </is>
      </c>
      <c r="F15991" t="inlineStr">
        <is>
          <t>Hà Nội</t>
        </is>
      </c>
      <c r="G15991" t="inlineStr">
        <is>
          <t>24-03-2026</t>
        </is>
      </c>
      <c r="H15991" t="inlineStr">
        <is>
          <t>24/03/2026</t>
        </is>
      </c>
      <c r="I15991" t="inlineStr">
        <is>
          <t>17/03/2026</t>
        </is>
      </c>
      <c r="J15991" t="inlineStr">
        <is>
          <t>Bán hàng / Kinh doanh, Tư vấn, Thực phẩm &amp; Đồ uống</t>
        </is>
      </c>
      <c r="K15991" t="inlineStr">
        <is>
          <t>5 - 7 Năm</t>
        </is>
      </c>
      <c r="L15991" s="8">
        <f>HYPERLINK("https://careerviet.vn/vi/tim-viec-lam/truong-phong-kinh-doanh.35C69400.html","Xem chi tiết")</f>
        <v/>
      </c>
    </row>
    <row r="15992">
      <c r="B15992" s="9" t="n">
        <v>15990</v>
      </c>
      <c r="C15992" s="10" t="inlineStr">
        <is>
          <t>TRƯỞNG BAN QUẢN LÝ TÒA NHÀ/ GIÁM SÁT DỊCH VỤ - TUYỂN GẤP</t>
        </is>
      </c>
      <c r="D15992" s="10" t="inlineStr">
        <is>
          <t>Công Ty Cổ Phần Quản Lý Bất Động Sản Nam Sài Gòn</t>
        </is>
      </c>
      <c r="E15992" s="10" t="inlineStr">
        <is>
          <t>Lương:Cạnh tranh</t>
        </is>
      </c>
      <c r="F15992" s="10" t="inlineStr">
        <is>
          <t>Hồ Chí Minh</t>
        </is>
      </c>
      <c r="G15992" s="10" t="inlineStr">
        <is>
          <t>31-03-2026</t>
        </is>
      </c>
      <c r="H15992" s="10" t="inlineStr">
        <is>
          <t>31/03/2026</t>
        </is>
      </c>
      <c r="I15992" s="10" t="inlineStr">
        <is>
          <t>17/03/2026</t>
        </is>
      </c>
      <c r="J15992" s="10" t="inlineStr">
        <is>
          <t>Bất động sản, Xây dựng, Nhà hàng / Khách sạn</t>
        </is>
      </c>
      <c r="K15992" s="10" t="inlineStr">
        <is>
          <t>3 - 5 Năm</t>
        </is>
      </c>
      <c r="L15992" s="11">
        <f>HYPERLINK("https://careerviet.vn/vi/tim-viec-lam/truong-ban-quan-ly-toa-nha-giam-sat-dich-vu-tuyen-gap.35C69027.html","Xem chi tiết")</f>
        <v/>
      </c>
      <c r="M15992" s="10" t="n"/>
    </row>
    <row r="15993">
      <c r="B15993" s="7" t="n">
        <v>15991</v>
      </c>
      <c r="C15993" t="inlineStr">
        <is>
          <t>Chuyên Viên Tuyển Dụng ( Nhà máy Karofi Hưng Yên )</t>
        </is>
      </c>
      <c r="D15993" t="inlineStr">
        <is>
          <t>Tập Đoàn Karofi Holding</t>
        </is>
      </c>
      <c r="E15993" t="inlineStr">
        <is>
          <t>Lương:Cạnh tranh</t>
        </is>
      </c>
      <c r="F15993" t="inlineStr">
        <is>
          <t>Hưng Yên</t>
        </is>
      </c>
      <c r="G15993" t="inlineStr">
        <is>
          <t>23-04-2026</t>
        </is>
      </c>
      <c r="H15993" t="inlineStr">
        <is>
          <t>23/04/2026</t>
        </is>
      </c>
      <c r="I15993" t="inlineStr">
        <is>
          <t>17/03/2026</t>
        </is>
      </c>
      <c r="J15993" t="inlineStr">
        <is>
          <t>Cơ khí / Ô tô / Tự động hóa, Nhân sự, Sản xuất / Vận hành sản xuất</t>
        </is>
      </c>
      <c r="K15993" t="inlineStr">
        <is>
          <t>2 - 5 Năm</t>
        </is>
      </c>
      <c r="L15993" s="8">
        <f>HYPERLINK("https://careerviet.vn/vi/tim-viec-lam/chuyen-vien-tuyen-dung-nha-may-karofi-hung-yen.35C68FCA.html","Xem chi tiết")</f>
        <v/>
      </c>
    </row>
    <row r="15994">
      <c r="B15994" s="9" t="n">
        <v>15992</v>
      </c>
      <c r="C15994" s="10" t="inlineStr">
        <is>
          <t>Kế toán tổng hợp</t>
        </is>
      </c>
      <c r="D15994" s="10" t="inlineStr">
        <is>
          <t>Công Ty TNHH ONE-VALUE Việt Nam</t>
        </is>
      </c>
      <c r="E15994" s="10" t="inlineStr">
        <is>
          <t>Lương:18 Tr - 20 Tr VND</t>
        </is>
      </c>
      <c r="F15994" s="10" t="inlineStr">
        <is>
          <t>Hà Nội</t>
        </is>
      </c>
      <c r="G15994" s="10" t="inlineStr">
        <is>
          <t>24-03-2026</t>
        </is>
      </c>
      <c r="H15994" s="10" t="inlineStr">
        <is>
          <t>24/03/2026</t>
        </is>
      </c>
      <c r="I15994" s="10" t="inlineStr">
        <is>
          <t>17/03/2026</t>
        </is>
      </c>
      <c r="J15994" s="10" t="inlineStr">
        <is>
          <t>Kế toán / Kiểm toán</t>
        </is>
      </c>
      <c r="K15994" s="10" t="inlineStr">
        <is>
          <t>Trên 3 Năm</t>
        </is>
      </c>
      <c r="L15994" s="11">
        <f>HYPERLINK("https://careerviet.vn/vi/tim-viec-lam/ke-toan-tong-hop.35C69271.html","Xem chi tiết")</f>
        <v/>
      </c>
      <c r="M15994" s="10" t="n"/>
    </row>
    <row r="15995">
      <c r="B15995" s="7" t="n">
        <v>15993</v>
      </c>
      <c r="C15995" t="inlineStr">
        <is>
          <t>Nhân viên bán hàng - Thủ Dầu Một</t>
        </is>
      </c>
      <c r="D15995" t="inlineStr">
        <is>
          <t>Công ty CP Toshiko Việt Nam</t>
        </is>
      </c>
      <c r="E15995" t="inlineStr">
        <is>
          <t>Lương:10 Tr - 15 Tr VND</t>
        </is>
      </c>
      <c r="F15995" t="inlineStr">
        <is>
          <t>Bình Dương</t>
        </is>
      </c>
      <c r="G15995" t="inlineStr">
        <is>
          <t>24-03-2026</t>
        </is>
      </c>
      <c r="H15995" t="inlineStr">
        <is>
          <t>24/03/2026</t>
        </is>
      </c>
      <c r="I15995" t="inlineStr">
        <is>
          <t>17/03/2026</t>
        </is>
      </c>
      <c r="J15995" t="inlineStr">
        <is>
          <t>Bán lẻ / Bán sỉ, Bán hàng / Kinh doanh, Tư vấn</t>
        </is>
      </c>
      <c r="K15995" t="inlineStr">
        <is>
          <t>1 - 2 Năm</t>
        </is>
      </c>
      <c r="L15995" s="8">
        <f>HYPERLINK("https://careerviet.vn/vi/tim-viec-lam/nhan-vien-ban-hang-thu-dau-mot.35C6901B.html","Xem chi tiết")</f>
        <v/>
      </c>
    </row>
    <row r="15996">
      <c r="B15996" s="9" t="n">
        <v>15994</v>
      </c>
      <c r="C15996" s="10" t="inlineStr">
        <is>
          <t>GIÁM SÁT XÂY DỰNG</t>
        </is>
      </c>
      <c r="D15996" s="10" t="inlineStr">
        <is>
          <t>CÔNG TY CỔ PHẦN MEGABUILD</t>
        </is>
      </c>
      <c r="E15996" s="10" t="inlineStr">
        <is>
          <t>Lương:17 Tr - 22 Tr VND</t>
        </is>
      </c>
      <c r="F15996" s="10" t="inlineStr">
        <is>
          <t>Bình DươngĐồng NaiHồ Chí Minh</t>
        </is>
      </c>
      <c r="G15996" s="10" t="inlineStr">
        <is>
          <t>3</t>
        </is>
      </c>
      <c r="H15996" s="10" t="inlineStr">
        <is>
          <t>20/03/2026</t>
        </is>
      </c>
      <c r="I15996" s="10" t="inlineStr">
        <is>
          <t>17/03/2026</t>
        </is>
      </c>
      <c r="J15996" s="10" t="inlineStr">
        <is>
          <t>Xây dựng</t>
        </is>
      </c>
      <c r="K15996" s="10" t="inlineStr">
        <is>
          <t>Trên 5 Năm</t>
        </is>
      </c>
      <c r="L15996" s="11">
        <f>HYPERLINK("https://careerviet.vn/vi/tim-viec-lam/giam-sat-xay-dung.35C69023.html","Xem chi tiết")</f>
        <v/>
      </c>
      <c r="M15996" s="10" t="n"/>
    </row>
    <row r="15997">
      <c r="B15997" s="7" t="n">
        <v>15995</v>
      </c>
      <c r="C15997" t="inlineStr">
        <is>
          <t>Quản lý Giám sát Thi công Công trình</t>
        </is>
      </c>
      <c r="D15997" t="inlineStr">
        <is>
          <t>AD BUILDING - CÔNG TY CỔ PHẦN KẾT CẤU THÉP WIN STEEL</t>
        </is>
      </c>
      <c r="E15997" t="inlineStr">
        <is>
          <t>Lương:18 Tr - 25 Tr VND</t>
        </is>
      </c>
      <c r="F15997" t="inlineStr">
        <is>
          <t>Hồ Chí Minh</t>
        </is>
      </c>
      <c r="G15997" t="inlineStr">
        <is>
          <t>31-03-2026</t>
        </is>
      </c>
      <c r="H15997" t="inlineStr">
        <is>
          <t>31/03/2026</t>
        </is>
      </c>
      <c r="I15997" t="inlineStr">
        <is>
          <t>17/03/2026</t>
        </is>
      </c>
      <c r="J15997" t="inlineStr">
        <is>
          <t>Xây dựng, Bán Hàng Kỹ Thuật, Sản xuất / Vận hành sản xuất</t>
        </is>
      </c>
      <c r="K15997" t="inlineStr">
        <is>
          <t>3 - 5 Năm</t>
        </is>
      </c>
      <c r="L15997" s="8">
        <f>HYPERLINK("https://careerviet.vn/vi/tim-viec-lam/quan-ly-giam-sat-thi-cong-cong-trinh.35C69140.html","Xem chi tiết")</f>
        <v/>
      </c>
    </row>
    <row r="15998">
      <c r="B15998" s="9" t="n">
        <v>15996</v>
      </c>
      <c r="C15998" s="10" t="inlineStr">
        <is>
          <t>Chuyên viên Digital Marketing</t>
        </is>
      </c>
      <c r="D15998" s="10" t="inlineStr">
        <is>
          <t>CÔNG TY CỔ PHẦN ĐẦU TƯ PHÁT TRIỂN THỦ THỪA</t>
        </is>
      </c>
      <c r="E15998" s="10" t="inlineStr">
        <is>
          <t>Lương:15 Tr - 25 Tr VND</t>
        </is>
      </c>
      <c r="F15998" s="10" t="inlineStr">
        <is>
          <t>Hồ Chí Minh</t>
        </is>
      </c>
      <c r="G15998" s="10" t="inlineStr">
        <is>
          <t>26-03-2026</t>
        </is>
      </c>
      <c r="H15998" s="10" t="inlineStr">
        <is>
          <t>26/03/2026</t>
        </is>
      </c>
      <c r="I15998" s="10" t="inlineStr">
        <is>
          <t>17/03/2026</t>
        </is>
      </c>
      <c r="J15998" s="10" t="inlineStr">
        <is>
          <t>Tiếp thị / Marketing</t>
        </is>
      </c>
      <c r="K15998" s="10" t="inlineStr">
        <is>
          <t>3 - 5 Năm</t>
        </is>
      </c>
      <c r="L15998" s="11">
        <f>HYPERLINK("https://careerviet.vn/vi/tim-viec-lam/chuyen-vien-digital-marketing.35C690A4.html","Xem chi tiết")</f>
        <v/>
      </c>
      <c r="M15998" s="10" t="n"/>
    </row>
    <row r="15999">
      <c r="B15999" s="7" t="n">
        <v>15997</v>
      </c>
      <c r="C15999" t="inlineStr">
        <is>
          <t>GIÁM ĐỐC DỰ ÁN</t>
        </is>
      </c>
      <c r="D15999" t="inlineStr">
        <is>
          <t>CÔNG TY CỔ PHẦN ĐẦU TƯ XÂY DỰNG HÀ TIÊN</t>
        </is>
      </c>
      <c r="E15999" t="inlineStr">
        <is>
          <t>Lương:Cạnh tranh</t>
        </is>
      </c>
      <c r="F15999" t="inlineStr">
        <is>
          <t>Hồ Chí Minh</t>
        </is>
      </c>
      <c r="G15999" t="inlineStr">
        <is>
          <t>31-03-2026</t>
        </is>
      </c>
      <c r="H15999" t="inlineStr">
        <is>
          <t>31/03/2026</t>
        </is>
      </c>
      <c r="I15999" t="inlineStr">
        <is>
          <t>17/03/2026</t>
        </is>
      </c>
      <c r="J15999" t="inlineStr">
        <is>
          <t>Xây dựng, Bất động sản, Quản lý chất lượng (QA/QC)</t>
        </is>
      </c>
      <c r="K15999" t="inlineStr">
        <is>
          <t>5 - 7 Năm</t>
        </is>
      </c>
      <c r="L15999" s="8">
        <f>HYPERLINK("https://careerviet.vn/vi/tim-viec-lam/giam-doc-du-an.35C6A71B.html","Xem chi tiết")</f>
        <v/>
      </c>
    </row>
    <row r="16000">
      <c r="B16000" s="9" t="n">
        <v>15998</v>
      </c>
      <c r="C16000" s="10" t="inlineStr">
        <is>
          <t>Trưởng Phòng Tư Vấn Tuyển Sinh (Biên Hòa)</t>
        </is>
      </c>
      <c r="D16000" s="10" t="inlineStr">
        <is>
          <t>Trung Tâm ngoại ngữ Anh ngữ Quốc Tế Queen</t>
        </is>
      </c>
      <c r="E16000" s="10" t="inlineStr">
        <is>
          <t>Lương:15 Tr - 30 Tr VND</t>
        </is>
      </c>
      <c r="F16000" s="10" t="inlineStr">
        <is>
          <t>Đồng Nai</t>
        </is>
      </c>
      <c r="G16000" s="10" t="inlineStr">
        <is>
          <t>31-03-2026</t>
        </is>
      </c>
      <c r="H16000" s="10" t="inlineStr">
        <is>
          <t>31/03/2026</t>
        </is>
      </c>
      <c r="I16000" s="10" t="inlineStr">
        <is>
          <t>17/03/2026</t>
        </is>
      </c>
      <c r="J16000" s="10" t="inlineStr">
        <is>
          <t>Bán hàng / Kinh doanh, Giáo dục / Đào tạo, Tư vấn</t>
        </is>
      </c>
      <c r="K16000" s="10" t="inlineStr">
        <is>
          <t>1 - 3 Năm</t>
        </is>
      </c>
      <c r="L16000" s="11">
        <f>HYPERLINK("https://careerviet.vn/vi/tim-viec-lam/truong-phong-tu-van-tuyen-sinh-bien-hoa.35C69169.html","Xem chi tiết")</f>
        <v/>
      </c>
      <c r="M16000" s="10" t="n"/>
    </row>
    <row r="16001">
      <c r="B16001" s="7" t="n">
        <v>15999</v>
      </c>
      <c r="C16001" t="inlineStr">
        <is>
          <t>Kỹ sư SQE( tiếng Trung/tiếng Anh)</t>
        </is>
      </c>
      <c r="D16001" t="inlineStr">
        <is>
          <t>CÔNG TY TNHH QISDA VIỆT NAM</t>
        </is>
      </c>
      <c r="E16001" t="inlineStr">
        <is>
          <t>Lương:Cạnh tranh</t>
        </is>
      </c>
      <c r="F16001" t="inlineStr">
        <is>
          <t>Hà Nam</t>
        </is>
      </c>
      <c r="G16001" t="inlineStr">
        <is>
          <t>26-03-2026</t>
        </is>
      </c>
      <c r="H16001" t="inlineStr">
        <is>
          <t>26/03/2026</t>
        </is>
      </c>
      <c r="I16001" t="inlineStr">
        <is>
          <t>17/03/2026</t>
        </is>
      </c>
      <c r="J16001" t="inlineStr">
        <is>
          <t>Quản lý chất lượng (QA/QC)</t>
        </is>
      </c>
      <c r="K16001" t="inlineStr">
        <is>
          <t>2 - 5 Năm</t>
        </is>
      </c>
      <c r="L16001" s="8">
        <f>HYPERLINK("https://careerviet.vn/vi/tim-viec-lam/ky-su-sqe-tieng-trung-tieng-anh.35C692F3.html","Xem chi tiết")</f>
        <v/>
      </c>
    </row>
    <row r="16002">
      <c r="B16002" s="9" t="n">
        <v>16000</v>
      </c>
      <c r="C16002" s="10" t="inlineStr">
        <is>
          <t>Nhân Viên Triển Khai Kỹ Thuật Nội Thất</t>
        </is>
      </c>
      <c r="D16002" s="10" t="inlineStr">
        <is>
          <t>HEXAGON - CÔNG TY CỔ PHẦN THIẾT KẾ LỤC GIÁC</t>
        </is>
      </c>
      <c r="E16002" s="10" t="inlineStr">
        <is>
          <t>Lương:13 Tr - 18 Tr VND</t>
        </is>
      </c>
      <c r="F16002" s="10" t="inlineStr">
        <is>
          <t>Hà Nội</t>
        </is>
      </c>
      <c r="G16002" s="10" t="inlineStr">
        <is>
          <t>28-03-2026</t>
        </is>
      </c>
      <c r="H16002" s="10" t="inlineStr">
        <is>
          <t>28/03/2026</t>
        </is>
      </c>
      <c r="I16002" s="10" t="inlineStr">
        <is>
          <t>17/03/2026</t>
        </is>
      </c>
      <c r="J16002" s="10" t="inlineStr">
        <is>
          <t>Nội ngoại thất, Mỹ thuật / Nghệ thuật / Thiết kế</t>
        </is>
      </c>
      <c r="K16002" s="10" t="inlineStr">
        <is>
          <t>1 - 2 Năm</t>
        </is>
      </c>
      <c r="L16002" s="11">
        <f>HYPERLINK("https://careerviet.vn/vi/tim-viec-lam/nhan-vien-trien-khai-ky-thuat-noi-that.35C6932D.html","Xem chi tiết")</f>
        <v/>
      </c>
      <c r="M16002" s="10" t="n"/>
    </row>
    <row r="16003">
      <c r="B16003" s="7" t="n">
        <v>16001</v>
      </c>
      <c r="C16003" t="inlineStr">
        <is>
          <t>Nhân viên IT Helpdesk - Cần Thơ</t>
        </is>
      </c>
      <c r="D16003" t="inlineStr">
        <is>
          <t>Công ty TNHH ADC</t>
        </is>
      </c>
      <c r="E16003" t="inlineStr">
        <is>
          <t>Lương:7 Tr - 8 Tr VND</t>
        </is>
      </c>
      <c r="F16003" t="inlineStr">
        <is>
          <t>Cần Thơ</t>
        </is>
      </c>
      <c r="G16003" t="inlineStr">
        <is>
          <t>03-04-2026</t>
        </is>
      </c>
      <c r="H16003" t="inlineStr">
        <is>
          <t>03/04/2026</t>
        </is>
      </c>
      <c r="I16003" t="inlineStr">
        <is>
          <t>17/03/2026</t>
        </is>
      </c>
      <c r="J16003" t="inlineStr">
        <is>
          <t>CNTT - Phần cứng / Mạng, CNTT - Phần mềm, Bảo trì / Sửa chữa</t>
        </is>
      </c>
      <c r="K16003" t="inlineStr">
        <is>
          <t>1 - 2 Năm</t>
        </is>
      </c>
      <c r="L16003" s="8">
        <f>HYPERLINK("https://careerviet.vn/vi/tim-viec-lam/nhan-vien-it-helpdesk-can-tho.35C6A8B5.html","Xem chi tiết")</f>
        <v/>
      </c>
    </row>
    <row r="16004">
      <c r="B16004" s="9" t="n">
        <v>16002</v>
      </c>
      <c r="C16004" s="10" t="inlineStr">
        <is>
          <t>Nhân viên Tuyển dụng (Mass FnB)</t>
        </is>
      </c>
      <c r="D16004" s="10" t="inlineStr">
        <is>
          <t>CÔNG TY CỔ PHẦN THE STREET</t>
        </is>
      </c>
      <c r="E16004" s="10" t="inlineStr">
        <is>
          <t>Lương:8 Tr - 10 Tr VND</t>
        </is>
      </c>
      <c r="F16004" s="10" t="inlineStr">
        <is>
          <t>Hồ Chí Minh</t>
        </is>
      </c>
      <c r="G16004" s="10" t="inlineStr">
        <is>
          <t>03-04-2026</t>
        </is>
      </c>
      <c r="H16004" s="10" t="inlineStr">
        <is>
          <t>03/04/2026</t>
        </is>
      </c>
      <c r="I16004" s="10" t="inlineStr">
        <is>
          <t>17/03/2026</t>
        </is>
      </c>
      <c r="J16004" s="10" t="inlineStr">
        <is>
          <t>Nhà hàng / Khách sạn, Nhân sự</t>
        </is>
      </c>
      <c r="K16004" s="10" t="inlineStr">
        <is>
          <t>1 - 3 Năm</t>
        </is>
      </c>
      <c r="L16004" s="11">
        <f>HYPERLINK("https://careerviet.vn/vi/tim-viec-lam/nhan-vien-tuyen-dung-mass-fnb.35C6A9A4.html","Xem chi tiết")</f>
        <v/>
      </c>
      <c r="M16004" s="10" t="n"/>
    </row>
    <row r="16005">
      <c r="B16005" s="7" t="n">
        <v>16003</v>
      </c>
      <c r="C16005" t="inlineStr">
        <is>
          <t>QUẢN LÝ BÁN HÀNG KÊNH SIÊU THỊ MT</t>
        </is>
      </c>
      <c r="D16005" t="inlineStr">
        <is>
          <t>Công ty Cổ phần Đầu tư Dừa Bến Tre</t>
        </is>
      </c>
      <c r="E16005" t="inlineStr">
        <is>
          <t>Lương:Cạnh tranh</t>
        </is>
      </c>
      <c r="F16005" t="inlineStr">
        <is>
          <t>Hồ Chí Minh</t>
        </is>
      </c>
      <c r="G16005" t="inlineStr">
        <is>
          <t>31-03-2026</t>
        </is>
      </c>
      <c r="H16005" t="inlineStr">
        <is>
          <t>31/03/2026</t>
        </is>
      </c>
      <c r="I16005" t="inlineStr">
        <is>
          <t>17/03/2026</t>
        </is>
      </c>
      <c r="J16005" t="inlineStr">
        <is>
          <t>Bán lẻ / Bán sỉ, Bán hàng / Kinh doanh, Thực phẩm &amp; Đồ uống</t>
        </is>
      </c>
      <c r="K16005" t="inlineStr">
        <is>
          <t>3 - 4 Năm</t>
        </is>
      </c>
      <c r="L16005" s="8">
        <f>HYPERLINK("https://careerviet.vn/vi/tim-viec-lam/quan-ly-ban-hang-kenh-sieu-thi-mt.35C6AAFB.html","Xem chi tiết")</f>
        <v/>
      </c>
    </row>
    <row r="16006">
      <c r="B16006" s="9" t="n">
        <v>16004</v>
      </c>
      <c r="C16006" s="10" t="inlineStr">
        <is>
          <t>Kế Toán Nhập Liệu Tempo 10 Months</t>
        </is>
      </c>
      <c r="D16006" s="10" t="inlineStr">
        <is>
          <t>Oishi - Công Ty TNHH Công Nghiệp Thực Phẩm Liwayway Sài Gòn</t>
        </is>
      </c>
      <c r="E16006" s="10" t="inlineStr">
        <is>
          <t>Lương:Lên đến 10,9 Tr VND</t>
        </is>
      </c>
      <c r="F16006" s="10" t="inlineStr">
        <is>
          <t>Hồ Chí Minh</t>
        </is>
      </c>
      <c r="G16006" s="10" t="inlineStr">
        <is>
          <t>30-04-2026</t>
        </is>
      </c>
      <c r="H16006" s="10" t="inlineStr">
        <is>
          <t>30/04/2026</t>
        </is>
      </c>
      <c r="I16006" s="10" t="inlineStr">
        <is>
          <t>17/03/2026</t>
        </is>
      </c>
      <c r="J16006" s="10" t="inlineStr">
        <is>
          <t>Bán hàng / Kinh doanh, Thực phẩm &amp; Đồ uống, Kế toán / Kiểm toán</t>
        </is>
      </c>
      <c r="K16006" s="10" t="inlineStr">
        <is>
          <t>Chưa có kinh nghiệm</t>
        </is>
      </c>
      <c r="L16006" s="11">
        <f>HYPERLINK("https://careerviet.vn/vi/tim-viec-lam/ke-toan-nhap-lieu-tempo-10-months.35C6A9D0.html","Xem chi tiết")</f>
        <v/>
      </c>
      <c r="M16006" s="10" t="n"/>
    </row>
    <row r="16007">
      <c r="B16007" s="7" t="n">
        <v>16005</v>
      </c>
      <c r="C16007" t="inlineStr">
        <is>
          <t>TRƯỞNG PHÒNG HÀNH CHÍNH NHÂN SỰ (ĐỨC HÒA, LONG AN)</t>
        </is>
      </c>
      <c r="D16007" t="inlineStr">
        <is>
          <t>Bảo mật</t>
        </is>
      </c>
      <c r="E16007" t="inlineStr">
        <is>
          <t>Lương:Cạnh tranh</t>
        </is>
      </c>
      <c r="F16007" t="inlineStr">
        <is>
          <t>Long An</t>
        </is>
      </c>
      <c r="G16007" t="inlineStr">
        <is>
          <t>31-03-2026</t>
        </is>
      </c>
      <c r="H16007" t="inlineStr">
        <is>
          <t>31/03/2026</t>
        </is>
      </c>
      <c r="I16007" t="inlineStr">
        <is>
          <t>17/03/2026</t>
        </is>
      </c>
      <c r="J16007" t="inlineStr">
        <is>
          <t>Nhân sự, Hành chính / Thư ký, Quản lý điều hành</t>
        </is>
      </c>
      <c r="K16007" t="inlineStr">
        <is>
          <t>1 - 3 Năm</t>
        </is>
      </c>
      <c r="L16007" s="8">
        <f>HYPERLINK("https://careerviet.vn/vi/tim-viec-lam/truong-phong-hanh-chinh-nhan-su-duc-hoa-long-an.35C6A7E0.html","Xem chi tiết")</f>
        <v/>
      </c>
    </row>
    <row r="16008">
      <c r="B16008" s="9" t="n">
        <v>16006</v>
      </c>
      <c r="C16008" s="10" t="inlineStr">
        <is>
          <t>Trưởng nhóm C&amp;B</t>
        </is>
      </c>
      <c r="D16008" s="10" t="inlineStr">
        <is>
          <t>CÔNG TY CỔ PHẦN TẬP ĐOÀN HAMIER VIỆT NAM - LG CLINIC</t>
        </is>
      </c>
      <c r="E16008" s="10" t="inlineStr">
        <is>
          <t>Lương:20 Tr - 24 Tr VND</t>
        </is>
      </c>
      <c r="F16008" s="10" t="inlineStr">
        <is>
          <t>Hồ Chí Minh</t>
        </is>
      </c>
      <c r="G16008" s="10" t="inlineStr">
        <is>
          <t>04-04-2026</t>
        </is>
      </c>
      <c r="H16008" s="10" t="inlineStr">
        <is>
          <t>04/04/2026</t>
        </is>
      </c>
      <c r="I16008" s="10" t="inlineStr">
        <is>
          <t>17/03/2026</t>
        </is>
      </c>
      <c r="J16008" s="10" t="inlineStr">
        <is>
          <t>Nhân sự</t>
        </is>
      </c>
      <c r="K16008" s="10" t="inlineStr">
        <is>
          <t>4 - 5 Năm</t>
        </is>
      </c>
      <c r="L16008" s="11">
        <f>HYPERLINK("https://careerviet.vn/vi/tim-viec-lam/truong-nhom-c-b.35C6AA4A.html","Xem chi tiết")</f>
        <v/>
      </c>
      <c r="M16008" s="10" t="n"/>
    </row>
    <row r="16009">
      <c r="B16009" s="7" t="n">
        <v>16007</v>
      </c>
      <c r="C16009" t="inlineStr">
        <is>
          <t>Giám sát sản xuất</t>
        </is>
      </c>
      <c r="D16009" t="inlineStr">
        <is>
          <t>Công Ty Cổ Phần Sản Xuất Nhựa Duy Tân</t>
        </is>
      </c>
      <c r="E16009" t="inlineStr">
        <is>
          <t>Lương:Cạnh tranh</t>
        </is>
      </c>
      <c r="F16009" t="inlineStr">
        <is>
          <t>Long An</t>
        </is>
      </c>
      <c r="G16009" t="inlineStr">
        <is>
          <t>02-04-2026</t>
        </is>
      </c>
      <c r="H16009" t="inlineStr">
        <is>
          <t>02/04/2026</t>
        </is>
      </c>
      <c r="I16009" t="inlineStr">
        <is>
          <t>17/03/2026</t>
        </is>
      </c>
      <c r="J16009" t="inlineStr">
        <is>
          <t>Cơ khí / Ô tô / Tự động hóa, Quản lý điều hành, Sản xuất / Vận hành sản xuất</t>
        </is>
      </c>
      <c r="K16009" t="inlineStr">
        <is>
          <t>3 - 5 Năm</t>
        </is>
      </c>
      <c r="L16009" s="8">
        <f>HYPERLINK("https://careerviet.vn/vi/tim-viec-lam/giam-sat-san-xuat.35C6A99D.html","Xem chi tiết")</f>
        <v/>
      </c>
    </row>
    <row r="16010">
      <c r="B16010" s="9" t="n">
        <v>16008</v>
      </c>
      <c r="C16010" s="10" t="inlineStr">
        <is>
          <t>Assistant Trade Marketing Manager</t>
        </is>
      </c>
      <c r="D16010" s="10" t="inlineStr">
        <is>
          <t>DIAG</t>
        </is>
      </c>
      <c r="E16010" s="10" t="inlineStr">
        <is>
          <t>Lương:Cạnh tranh</t>
        </is>
      </c>
      <c r="F16010" s="10" t="inlineStr">
        <is>
          <t>Hồ Chí Minh</t>
        </is>
      </c>
      <c r="G16010" s="10" t="inlineStr">
        <is>
          <t>31-03-2026</t>
        </is>
      </c>
      <c r="H16010" s="10" t="inlineStr">
        <is>
          <t>31/03/2026</t>
        </is>
      </c>
      <c r="I16010" s="10" t="inlineStr">
        <is>
          <t>17/03/2026</t>
        </is>
      </c>
      <c r="J16010" s="10" t="inlineStr">
        <is>
          <t>Tiếp thị / Marketing, Quảng cáo / Đối ngoại / Truyền Thông</t>
        </is>
      </c>
      <c r="K16010" s="10" t="inlineStr">
        <is>
          <t>Trên 5 Năm</t>
        </is>
      </c>
      <c r="L16010" s="11">
        <f>HYPERLINK("https://careerviet.vn/vi/tim-viec-lam/assistant-trade-marketing-manager.35C6A78D.html","Xem chi tiết")</f>
        <v/>
      </c>
      <c r="M16010" s="10" t="n"/>
    </row>
    <row r="16011">
      <c r="B16011" s="7" t="n">
        <v>16009</v>
      </c>
      <c r="C16011" t="inlineStr">
        <is>
          <t>NHÂN VIÊN MUA HÀNG</t>
        </is>
      </c>
      <c r="D16011" t="inlineStr">
        <is>
          <t>DAEYOUNG ELECTRONICS VINA</t>
        </is>
      </c>
      <c r="E16011" t="inlineStr">
        <is>
          <t>Lương:Cạnh tranh</t>
        </is>
      </c>
      <c r="F16011" t="inlineStr">
        <is>
          <t>Hồ Chí Minh</t>
        </is>
      </c>
      <c r="G16011" t="inlineStr">
        <is>
          <t>30-04-2026</t>
        </is>
      </c>
      <c r="H16011" t="inlineStr">
        <is>
          <t>30/04/2026</t>
        </is>
      </c>
      <c r="I16011" t="inlineStr">
        <is>
          <t>17/03/2026</t>
        </is>
      </c>
      <c r="J16011" t="inlineStr">
        <is>
          <t>Vận chuyển / Giao nhận / Kho vận, Xuất nhập khẩu, Thu mua / Vật tư</t>
        </is>
      </c>
      <c r="K16011" t="inlineStr">
        <is>
          <t>Lên đến 2 Năm</t>
        </is>
      </c>
      <c r="L16011" s="8">
        <f>HYPERLINK("https://careerviet.vn/vi/tim-viec-lam/nhan-vien-mua-hang.35C6A9B6.html","Xem chi tiết")</f>
        <v/>
      </c>
    </row>
    <row r="16012">
      <c r="B16012" s="9" t="n">
        <v>16010</v>
      </c>
      <c r="C16012" s="10" t="inlineStr">
        <is>
          <t>(HN) IT Helpdesk</t>
        </is>
      </c>
      <c r="D16012" s="10" t="inlineStr">
        <is>
          <t>UrBox - Công ty Cổ phần Tiếp Thị Số Tô Quà</t>
        </is>
      </c>
      <c r="E16012" s="10" t="inlineStr">
        <is>
          <t>Lương:Cạnh tranh</t>
        </is>
      </c>
      <c r="F16012" s="10" t="inlineStr">
        <is>
          <t>Hồ Chí Minh</t>
        </is>
      </c>
      <c r="G16012" s="10" t="inlineStr">
        <is>
          <t>05-04-2026</t>
        </is>
      </c>
      <c r="H16012" s="10" t="inlineStr">
        <is>
          <t>05/04/2026</t>
        </is>
      </c>
      <c r="I16012" s="10" t="inlineStr">
        <is>
          <t>17/03/2026</t>
        </is>
      </c>
      <c r="J16012" s="10" t="inlineStr">
        <is>
          <t>CNTT - Phần mềm, CNTT - Phần cứng / Mạng</t>
        </is>
      </c>
      <c r="K16012" s="10" t="inlineStr">
        <is>
          <t>2 - 4 Năm</t>
        </is>
      </c>
      <c r="L16012" s="11">
        <f>HYPERLINK("https://careerviet.vn/vi/tim-viec-lam/hn-it-helpdesk.35C6A7DC.html","Xem chi tiết")</f>
        <v/>
      </c>
      <c r="M16012" s="10" t="n"/>
    </row>
    <row r="16013">
      <c r="B16013" s="7" t="n">
        <v>16011</v>
      </c>
      <c r="C16013" t="inlineStr">
        <is>
          <t>[TUYỂN GẤP] NHÂN VIÊN HÀNH CHÍNH NHÂN SỰ</t>
        </is>
      </c>
      <c r="D16013" t="inlineStr">
        <is>
          <t>CÔNG TY CỔ PHẦN SẢN XUẤT THƯƠNG MẠI XÂY DỰNG TRANG TRÍ NỘI THẤT G.S VIỆT NAM</t>
        </is>
      </c>
      <c r="E16013" t="inlineStr">
        <is>
          <t>Lương:Trên 14 Tr VND</t>
        </is>
      </c>
      <c r="F16013" t="inlineStr">
        <is>
          <t>Bình Dương</t>
        </is>
      </c>
      <c r="G16013" t="inlineStr">
        <is>
          <t>30-04-2026</t>
        </is>
      </c>
      <c r="H16013" t="inlineStr">
        <is>
          <t>30/04/2026</t>
        </is>
      </c>
      <c r="I16013" t="inlineStr">
        <is>
          <t>17/03/2026</t>
        </is>
      </c>
      <c r="J16013" t="inlineStr">
        <is>
          <t>Hành chính / Thư ký, Nhân sự, Xây dựng</t>
        </is>
      </c>
      <c r="K16013" t="inlineStr">
        <is>
          <t>1 - 3 Năm</t>
        </is>
      </c>
      <c r="L16013" s="8">
        <f>HYPERLINK("https://careerviet.vn/vi/tim-viec-lam/tuyen-gap-nhan-vien-hanh-chinh-nhan-su.35C6A8B2.html","Xem chi tiết")</f>
        <v/>
      </c>
    </row>
    <row r="16014">
      <c r="B16014" s="9" t="n">
        <v>16012</v>
      </c>
      <c r="C16014" s="10" t="inlineStr">
        <is>
          <t>Chuyên viên Business Analyst</t>
        </is>
      </c>
      <c r="D16014" s="10" t="inlineStr">
        <is>
          <t>Công Ty Cổ Phần Du Lịch Vietravel</t>
        </is>
      </c>
      <c r="E16014" s="10" t="inlineStr">
        <is>
          <t>Lương:Cạnh tranh</t>
        </is>
      </c>
      <c r="F16014" s="10" t="inlineStr">
        <is>
          <t>Hồ Chí Minh</t>
        </is>
      </c>
      <c r="G16014" s="10" t="inlineStr">
        <is>
          <t>02-04-2026</t>
        </is>
      </c>
      <c r="H16014" s="10" t="inlineStr">
        <is>
          <t>02/04/2026</t>
        </is>
      </c>
      <c r="I16014" s="10" t="inlineStr">
        <is>
          <t>17/03/2026</t>
        </is>
      </c>
      <c r="J16014" s="10" t="inlineStr">
        <is>
          <t>CNTT - Phần mềm, Bưu chính viễn thông, CNTT - Phần cứng / Mạng</t>
        </is>
      </c>
      <c r="K16014" s="10" t="inlineStr">
        <is>
          <t>2 - 5 Năm</t>
        </is>
      </c>
      <c r="L16014" s="11">
        <f>HYPERLINK("https://careerviet.vn/vi/tim-viec-lam/chuyen-vien-business-analyst.35C6AA99.html","Xem chi tiết")</f>
        <v/>
      </c>
      <c r="M16014" s="10" t="n"/>
    </row>
    <row r="16015">
      <c r="B16015" s="7" t="n">
        <v>16013</v>
      </c>
      <c r="C16015" t="inlineStr">
        <is>
          <t>Nhân viên hành chính nhân sự</t>
        </is>
      </c>
      <c r="D16015" t="inlineStr">
        <is>
          <t>Sai Gon Hikari Eye Center</t>
        </is>
      </c>
      <c r="E16015" t="inlineStr">
        <is>
          <t>Lương:9 Tr - 13 Tr VND</t>
        </is>
      </c>
      <c r="F16015" t="inlineStr">
        <is>
          <t>Hồ Chí Minh</t>
        </is>
      </c>
      <c r="G16015" t="inlineStr">
        <is>
          <t>02-04-2026</t>
        </is>
      </c>
      <c r="H16015" t="inlineStr">
        <is>
          <t>02/04/2026</t>
        </is>
      </c>
      <c r="I16015" t="inlineStr">
        <is>
          <t>17/03/2026</t>
        </is>
      </c>
      <c r="J16015" t="inlineStr">
        <is>
          <t>Y tế / Chăm sóc sức khỏe / Thẩm mỹ / Làm đẹp</t>
        </is>
      </c>
      <c r="K16015" t="inlineStr">
        <is>
          <t>1 - 3 Năm</t>
        </is>
      </c>
      <c r="L16015" s="8">
        <f>HYPERLINK("https://careerviet.vn/vi/tim-viec-lam/nhan-vien-hanh-chinh-nhan-su.35C6AAB4.html","Xem chi tiết")</f>
        <v/>
      </c>
    </row>
    <row r="16016">
      <c r="B16016" s="9" t="n">
        <v>16014</v>
      </c>
      <c r="C16016" s="10" t="inlineStr">
        <is>
          <t>Kĩ Thuật Viên Chất Lượng QA/QC (Đồng Nai)</t>
        </is>
      </c>
      <c r="D16016" s="10" t="inlineStr">
        <is>
          <t>Coherent Corp.</t>
        </is>
      </c>
      <c r="E16016" s="10" t="inlineStr">
        <is>
          <t>Lương:10 Tr - 16 Tr VND</t>
        </is>
      </c>
      <c r="F16016" s="10" t="inlineStr">
        <is>
          <t>Đồng Nai</t>
        </is>
      </c>
      <c r="G16016" s="10" t="inlineStr">
        <is>
          <t>31-03-2026</t>
        </is>
      </c>
      <c r="H16016" s="10" t="inlineStr">
        <is>
          <t>31/03/2026</t>
        </is>
      </c>
      <c r="I16016" s="10" t="inlineStr">
        <is>
          <t>17/03/2026</t>
        </is>
      </c>
      <c r="J16016" s="10" t="inlineStr">
        <is>
          <t>Quản lý chất lượng (QA/QC)</t>
        </is>
      </c>
      <c r="K16016" s="10" t="inlineStr">
        <is>
          <t>N/A</t>
        </is>
      </c>
      <c r="L16016" s="11">
        <f>HYPERLINK("https://careerviet.vn/vi/tim-viec-lam/ki-thuat-vien-chat-luong-qa-qc-dong-nai.35C6A97F.html","Xem chi tiết")</f>
        <v/>
      </c>
      <c r="M16016" s="10" t="n"/>
    </row>
    <row r="16017">
      <c r="B16017" s="7" t="n">
        <v>16015</v>
      </c>
      <c r="C16017" t="inlineStr">
        <is>
          <t>Nhân viên Kho - Warehouse Executive</t>
        </is>
      </c>
      <c r="D16017" t="inlineStr">
        <is>
          <t>Công Ty Cổ Phần TEKCOM</t>
        </is>
      </c>
      <c r="E16017" t="inlineStr">
        <is>
          <t>Lương:Cạnh tranh</t>
        </is>
      </c>
      <c r="F16017" t="inlineStr">
        <is>
          <t>Bình Dương</t>
        </is>
      </c>
      <c r="G16017" t="inlineStr">
        <is>
          <t>03-04-2026</t>
        </is>
      </c>
      <c r="H16017" t="inlineStr">
        <is>
          <t>03/04/2026</t>
        </is>
      </c>
      <c r="I16017" t="inlineStr">
        <is>
          <t>17/03/2026</t>
        </is>
      </c>
      <c r="J16017" t="inlineStr">
        <is>
          <t>Vận chuyển / Giao nhận / Kho vận, Sản xuất / Vận hành sản xuất, Đồ gỗ</t>
        </is>
      </c>
      <c r="K16017" t="inlineStr">
        <is>
          <t>1 - 2 Năm</t>
        </is>
      </c>
      <c r="L16017" s="8">
        <f>HYPERLINK("https://careerviet.vn/vi/tim-viec-lam/nhan-vien-kho-warehouse-executive.35C6A8E9.html","Xem chi tiết")</f>
        <v/>
      </c>
    </row>
    <row r="16018">
      <c r="B16018" s="9" t="n">
        <v>16016</v>
      </c>
      <c r="C16018" s="10" t="inlineStr">
        <is>
          <t>Nhân Viên Bán Hàng Showroom Cần Thơ</t>
        </is>
      </c>
      <c r="D16018" s="10" t="inlineStr">
        <is>
          <t>Công ty TNHH Minh Long I</t>
        </is>
      </c>
      <c r="E16018" s="10" t="inlineStr">
        <is>
          <t>Lương:10 Tr - 15 Tr VND</t>
        </is>
      </c>
      <c r="F16018" s="10" t="inlineStr">
        <is>
          <t>Cần Thơ</t>
        </is>
      </c>
      <c r="G16018" s="10" t="inlineStr">
        <is>
          <t>04-04-2026</t>
        </is>
      </c>
      <c r="H16018" s="10" t="inlineStr">
        <is>
          <t>04/04/2026</t>
        </is>
      </c>
      <c r="I16018" s="10" t="inlineStr">
        <is>
          <t>17/03/2026</t>
        </is>
      </c>
      <c r="J16018" s="10" t="inlineStr">
        <is>
          <t>Bán lẻ / Bán sỉ, Bán hàng / Kinh doanh, Tiếp thị / Marketing</t>
        </is>
      </c>
      <c r="K16018" s="10" t="inlineStr">
        <is>
          <t>Chưa có kinh nghiệm</t>
        </is>
      </c>
      <c r="L16018" s="11">
        <f>HYPERLINK("https://careerviet.vn/vi/tim-viec-lam/nhan-vien-ban-hang-showroom-can-tho.35C6A732.html","Xem chi tiết")</f>
        <v/>
      </c>
      <c r="M16018" s="10" t="n"/>
    </row>
    <row r="16019">
      <c r="B16019" s="7" t="n">
        <v>16017</v>
      </c>
      <c r="C16019" t="inlineStr">
        <is>
          <t>Nhân viên Content</t>
        </is>
      </c>
      <c r="D16019" t="inlineStr">
        <is>
          <t>Tập Đoàn Kim Tín</t>
        </is>
      </c>
      <c r="E16019" t="inlineStr">
        <is>
          <t>Lương:Cạnh tranh</t>
        </is>
      </c>
      <c r="F16019" t="inlineStr">
        <is>
          <t>Hồ Chí Minh</t>
        </is>
      </c>
      <c r="G16019" t="inlineStr">
        <is>
          <t>02-04-2026</t>
        </is>
      </c>
      <c r="H16019" t="inlineStr">
        <is>
          <t>02/04/2026</t>
        </is>
      </c>
      <c r="I16019" t="inlineStr">
        <is>
          <t>17/03/2026</t>
        </is>
      </c>
      <c r="J16019" t="inlineStr">
        <is>
          <t>Bán hàng / Kinh doanh, Truyền hình / Báo chí / Biên tập, Quảng cáo / Đối ngoại / Truyền Thông</t>
        </is>
      </c>
      <c r="K16019" t="inlineStr">
        <is>
          <t>1 - 2 Năm</t>
        </is>
      </c>
      <c r="L16019" s="8">
        <f>HYPERLINK("https://careerviet.vn/vi/tim-viec-lam/nhan-vien-content.35C6A7A2.html","Xem chi tiết")</f>
        <v/>
      </c>
    </row>
    <row r="16020">
      <c r="B16020" s="9" t="n">
        <v>16018</v>
      </c>
      <c r="C16020" s="10" t="inlineStr">
        <is>
          <t>Trưởng phòng Tuyển dụng</t>
        </is>
      </c>
      <c r="D16020" s="10" t="inlineStr">
        <is>
          <t>Công Ty Cổ Phần Tập Đoàn Trường Hải</t>
        </is>
      </c>
      <c r="E16020" s="10" t="inlineStr">
        <is>
          <t>Lương:Cạnh tranh</t>
        </is>
      </c>
      <c r="F16020" s="10" t="inlineStr">
        <is>
          <t>Hồ Chí Minh</t>
        </is>
      </c>
      <c r="G16020" s="10" t="inlineStr">
        <is>
          <t>03-04-2026</t>
        </is>
      </c>
      <c r="H16020" s="10" t="inlineStr">
        <is>
          <t>03/04/2026</t>
        </is>
      </c>
      <c r="I16020" s="10" t="inlineStr">
        <is>
          <t>17/03/2026</t>
        </is>
      </c>
      <c r="J16020" s="10" t="inlineStr">
        <is>
          <t>Nhân sự, Luật / Pháp lý</t>
        </is>
      </c>
      <c r="K16020" s="10" t="inlineStr">
        <is>
          <t>5 - 10 Năm</t>
        </is>
      </c>
      <c r="L16020" s="11">
        <f>HYPERLINK("https://careerviet.vn/vi/tim-viec-lam/truong-phong-tuyen-dung.35C6AD8D.html","Xem chi tiết")</f>
        <v/>
      </c>
      <c r="M16020" s="10" t="n"/>
    </row>
    <row r="16021">
      <c r="B16021" s="7" t="n">
        <v>16019</v>
      </c>
      <c r="C16021" t="inlineStr">
        <is>
          <t>Nhân viên Logistics</t>
        </is>
      </c>
      <c r="D16021" t="inlineStr">
        <is>
          <t>NANOCO GROUP</t>
        </is>
      </c>
      <c r="E16021" t="inlineStr">
        <is>
          <t>Lương:Cạnh tranh</t>
        </is>
      </c>
      <c r="F16021" t="inlineStr">
        <is>
          <t>Hồ Chí Minh</t>
        </is>
      </c>
      <c r="G16021" t="inlineStr">
        <is>
          <t>03-04-2026</t>
        </is>
      </c>
      <c r="H16021" t="inlineStr">
        <is>
          <t>03/04/2026</t>
        </is>
      </c>
      <c r="I16021" t="inlineStr">
        <is>
          <t>17/03/2026</t>
        </is>
      </c>
      <c r="J16021" t="inlineStr">
        <is>
          <t>Vận chuyển / Giao nhận / Kho vận, Điện / Điện tử / Điện lạnh / Điện công nghiệp</t>
        </is>
      </c>
      <c r="K16021" t="inlineStr">
        <is>
          <t>1 - 5 Năm</t>
        </is>
      </c>
      <c r="L16021" s="8">
        <f>HYPERLINK("https://careerviet.vn/vi/tim-viec-lam/nhan-vien-logistics.35C6A92F.html","Xem chi tiết")</f>
        <v/>
      </c>
    </row>
    <row r="16022">
      <c r="B16022" s="9" t="n">
        <v>16020</v>
      </c>
      <c r="C16022" s="10" t="inlineStr">
        <is>
          <t>CHUYÊN VIÊN THU MUA &amp; TÌM KIẾM NGUỒN CUNG (PROCUREMENT &amp; SOURCING EXECUTIVE)</t>
        </is>
      </c>
      <c r="D16022" s="10" t="inlineStr">
        <is>
          <t>Công ty TNHH Enzo &amp; Leo</t>
        </is>
      </c>
      <c r="E16022" s="10" t="inlineStr">
        <is>
          <t>Lương:18 Tr - 25 Tr VND</t>
        </is>
      </c>
      <c r="F16022" s="10" t="inlineStr">
        <is>
          <t>Hồ Chí Minh</t>
        </is>
      </c>
      <c r="G16022" s="10" t="inlineStr">
        <is>
          <t>31-03-2026</t>
        </is>
      </c>
      <c r="H16022" s="10" t="inlineStr">
        <is>
          <t>31/03/2026</t>
        </is>
      </c>
      <c r="I16022" s="10" t="inlineStr">
        <is>
          <t>17/03/2026</t>
        </is>
      </c>
      <c r="J16022" s="10" t="inlineStr">
        <is>
          <t>Thu mua / Vật tư, Dệt may / Da giày / Thời trang</t>
        </is>
      </c>
      <c r="K16022" s="10" t="inlineStr">
        <is>
          <t>3 - 5 Năm</t>
        </is>
      </c>
      <c r="L16022" s="11">
        <f>HYPERLINK("https://careerviet.vn/vi/tim-viec-lam/chuyen-vien-thu-mua-tim-kiem-nguon-cung-procurement-sourcing-executive.35C6A894.html","Xem chi tiết")</f>
        <v/>
      </c>
      <c r="M16022" s="10" t="n"/>
    </row>
    <row r="16023">
      <c r="B16023" s="7" t="n">
        <v>16021</v>
      </c>
      <c r="C16023" t="inlineStr">
        <is>
          <t>Kỹ thuật Nội nghiệp</t>
        </is>
      </c>
      <c r="D16023" t="inlineStr">
        <is>
          <t>Công Ty Cổ Phần Tập Đoàn Đèo Cả</t>
        </is>
      </c>
      <c r="E16023" t="inlineStr">
        <is>
          <t>Lương:15 Tr - 20 Tr VND</t>
        </is>
      </c>
      <c r="F16023" t="inlineStr">
        <is>
          <t>Tiền GiangTrà VinhHồ Chí Minh</t>
        </is>
      </c>
      <c r="G16023" t="inlineStr">
        <is>
          <t>28-03-2026</t>
        </is>
      </c>
      <c r="H16023" t="inlineStr">
        <is>
          <t>28/03/2026</t>
        </is>
      </c>
      <c r="I16023" t="inlineStr">
        <is>
          <t>17/03/2026</t>
        </is>
      </c>
      <c r="J16023" t="inlineStr">
        <is>
          <t>Xây dựng</t>
        </is>
      </c>
      <c r="K16023" t="inlineStr">
        <is>
          <t>Trên 1 Năm</t>
        </is>
      </c>
      <c r="L16023" s="8">
        <f>HYPERLINK("https://careerviet.vn/vi/tim-viec-lam/ky-thuat-noi-nghiep.35C68D36.html","Xem chi tiết")</f>
        <v/>
      </c>
    </row>
    <row r="16024">
      <c r="B16024" s="9" t="n">
        <v>16022</v>
      </c>
      <c r="C16024" s="10" t="inlineStr">
        <is>
          <t>Chuyên viên HSE</t>
        </is>
      </c>
      <c r="D16024" s="10" t="inlineStr">
        <is>
          <t>Công Ty Cổ Phần Sản Xuất Nhựa Duy Tân</t>
        </is>
      </c>
      <c r="E16024" s="10" t="inlineStr">
        <is>
          <t>Lương:Cạnh tranh</t>
        </is>
      </c>
      <c r="F16024" s="10" t="inlineStr">
        <is>
          <t>Hồ Chí Minh</t>
        </is>
      </c>
      <c r="G16024" s="10" t="inlineStr">
        <is>
          <t>02-04-2026</t>
        </is>
      </c>
      <c r="H16024" s="10" t="inlineStr">
        <is>
          <t>02/04/2026</t>
        </is>
      </c>
      <c r="I16024" s="10" t="inlineStr">
        <is>
          <t>17/03/2026</t>
        </is>
      </c>
      <c r="J16024" s="10" t="inlineStr">
        <is>
          <t>Môi trường, Y tế / Chăm sóc sức khỏe / Thẩm mỹ / Làm đẹp, An toàn lao động</t>
        </is>
      </c>
      <c r="K16024" s="10" t="inlineStr">
        <is>
          <t>2 - 4 Năm</t>
        </is>
      </c>
      <c r="L16024" s="11">
        <f>HYPERLINK("https://careerviet.vn/vi/tim-viec-lam/chuyen-vien-hse.35C6AA5A.html","Xem chi tiết")</f>
        <v/>
      </c>
      <c r="M16024" s="10" t="n"/>
    </row>
    <row r="16025">
      <c r="B16025" s="7" t="n">
        <v>16023</v>
      </c>
      <c r="C16025" t="inlineStr">
        <is>
          <t>Giám sát bán hàng (Supervisor – Sales)</t>
        </is>
      </c>
      <c r="D16025" t="inlineStr">
        <is>
          <t>Công Ty Cổ Phần Thương Mại Bia Sài Gòn Trung Tâm</t>
        </is>
      </c>
      <c r="E16025" t="inlineStr">
        <is>
          <t>Lương:Cạnh tranh</t>
        </is>
      </c>
      <c r="F16025" t="inlineStr">
        <is>
          <t>Hồ Chí Minh</t>
        </is>
      </c>
      <c r="G16025" t="inlineStr">
        <is>
          <t>30-04-2026</t>
        </is>
      </c>
      <c r="H16025" t="inlineStr">
        <is>
          <t>30/04/2026</t>
        </is>
      </c>
      <c r="I16025" t="inlineStr">
        <is>
          <t>17/03/2026</t>
        </is>
      </c>
      <c r="J16025" t="inlineStr">
        <is>
          <t>Tiếp thị / Marketing, Bán lẻ / Bán sỉ, Bán hàng / Kinh doanh</t>
        </is>
      </c>
      <c r="K16025" t="inlineStr">
        <is>
          <t>2 - 10 Năm</t>
        </is>
      </c>
      <c r="L16025" s="8">
        <f>HYPERLINK("https://careerviet.vn/vi/tim-viec-lam/giam-sat-ban-hang-supervisor-sales.35C6A76E.html","Xem chi tiết")</f>
        <v/>
      </c>
    </row>
    <row r="16026">
      <c r="B16026" s="9" t="n">
        <v>16024</v>
      </c>
      <c r="C16026" s="10" t="inlineStr">
        <is>
          <t>Senior Supply Planner (FMCG)</t>
        </is>
      </c>
      <c r="D16026" s="10" t="inlineStr">
        <is>
          <t>Công ty Cổ phần Sữa VitaDairy Việt Nam</t>
        </is>
      </c>
      <c r="E16026" s="10" t="inlineStr">
        <is>
          <t>Lương:Cạnh tranh</t>
        </is>
      </c>
      <c r="F16026" s="10" t="inlineStr">
        <is>
          <t>Hồ Chí Minh</t>
        </is>
      </c>
      <c r="G16026" s="10" t="inlineStr">
        <is>
          <t>03-04-2026</t>
        </is>
      </c>
      <c r="H16026" s="10" t="inlineStr">
        <is>
          <t>03/04/2026</t>
        </is>
      </c>
      <c r="I16026" s="10" t="inlineStr">
        <is>
          <t>17/03/2026</t>
        </is>
      </c>
      <c r="J16026" s="10" t="inlineStr">
        <is>
          <t>Thực phẩm &amp; Đồ uống</t>
        </is>
      </c>
      <c r="K16026" s="10" t="inlineStr">
        <is>
          <t>3 - 5 Năm</t>
        </is>
      </c>
      <c r="L16026" s="11">
        <f>HYPERLINK("https://careerviet.vn/vi/tim-viec-lam/senior-supply-planner-fmcg.35C6AA0F.html","Xem chi tiết")</f>
        <v/>
      </c>
      <c r="M16026" s="10" t="n"/>
    </row>
    <row r="16027">
      <c r="B16027" s="7" t="n">
        <v>16025</v>
      </c>
      <c r="C16027" t="inlineStr">
        <is>
          <t>Thư Ký Văn Phòng</t>
        </is>
      </c>
      <c r="D16027" t="inlineStr">
        <is>
          <t>CÔNG TY TNHH THƯƠNG MẠI DỊCH VỤ &amp; SẢN XUẤT NHẬT QUANG</t>
        </is>
      </c>
      <c r="E16027" t="inlineStr">
        <is>
          <t>Lương:Cạnh tranh</t>
        </is>
      </c>
      <c r="F16027" t="inlineStr">
        <is>
          <t>Hồ Chí Minh</t>
        </is>
      </c>
      <c r="G16027" t="inlineStr">
        <is>
          <t>02-04-2026</t>
        </is>
      </c>
      <c r="H16027" t="inlineStr">
        <is>
          <t>02/04/2026</t>
        </is>
      </c>
      <c r="I16027" t="inlineStr">
        <is>
          <t>17/03/2026</t>
        </is>
      </c>
      <c r="J16027" t="inlineStr">
        <is>
          <t>Dịch vụ khách hàng, Hành chính / Thư ký, Nhân sự</t>
        </is>
      </c>
      <c r="K16027" t="inlineStr">
        <is>
          <t>1 - 2 Năm</t>
        </is>
      </c>
      <c r="L16027" s="8">
        <f>HYPERLINK("https://careerviet.vn/vi/tim-viec-lam/thu-ky-van-phong.35C6A907.html","Xem chi tiết")</f>
        <v/>
      </c>
    </row>
    <row r="16028">
      <c r="B16028" s="9" t="n">
        <v>16026</v>
      </c>
      <c r="C16028" s="10" t="inlineStr">
        <is>
          <t>Chuyên Viên C&amp;B</t>
        </is>
      </c>
      <c r="D16028" s="10" t="inlineStr">
        <is>
          <t>Orioled Hub</t>
        </is>
      </c>
      <c r="E16028" s="10" t="inlineStr">
        <is>
          <t>Lương:Cạnh tranh</t>
        </is>
      </c>
      <c r="F16028" s="10" t="inlineStr">
        <is>
          <t>Hồ Chí Minh</t>
        </is>
      </c>
      <c r="G16028" s="10" t="inlineStr">
        <is>
          <t>30-04-2026</t>
        </is>
      </c>
      <c r="H16028" s="10" t="inlineStr">
        <is>
          <t>30/04/2026</t>
        </is>
      </c>
      <c r="I16028" s="10" t="inlineStr">
        <is>
          <t>17/03/2026</t>
        </is>
      </c>
      <c r="J16028" s="10" t="inlineStr">
        <is>
          <t>Nhân sự</t>
        </is>
      </c>
      <c r="K16028" s="10" t="inlineStr">
        <is>
          <t>2 - 3 Năm</t>
        </is>
      </c>
      <c r="L16028" s="11">
        <f>HYPERLINK("https://careerviet.vn/vi/tim-viec-lam/chuyen-vien-c-b.35C6B99F.html","Xem chi tiết")</f>
        <v/>
      </c>
      <c r="M16028" s="10" t="n"/>
    </row>
    <row r="16029">
      <c r="B16029" s="7" t="n">
        <v>16027</v>
      </c>
      <c r="C16029" t="inlineStr">
        <is>
          <t>TRƯỞNG PHÒNG NGUỒN LỰC NHÂN SỰ VÀ HÀNH CHÍNH (CÔNG TY THÀNH VIÊN CỦA SABECO)</t>
        </is>
      </c>
      <c r="D16029" t="inlineStr">
        <is>
          <t>SABECO - Saigon Beer-Alcohol-Beverage Corporation</t>
        </is>
      </c>
      <c r="E16029" t="inlineStr">
        <is>
          <t>Lương:Cạnh tranh</t>
        </is>
      </c>
      <c r="F16029" t="inlineStr">
        <is>
          <t>Bình Dương</t>
        </is>
      </c>
      <c r="G16029" t="inlineStr">
        <is>
          <t>08-04-2026</t>
        </is>
      </c>
      <c r="H16029" t="inlineStr">
        <is>
          <t>08/04/2026</t>
        </is>
      </c>
      <c r="I16029" t="inlineStr">
        <is>
          <t>17/03/2026</t>
        </is>
      </c>
      <c r="J16029" t="inlineStr">
        <is>
          <t>Luật / Pháp lý, Quản lý điều hành, Nhân sự</t>
        </is>
      </c>
      <c r="K16029" t="inlineStr">
        <is>
          <t>7 - 10 Năm</t>
        </is>
      </c>
      <c r="L16029" s="8">
        <f>HYPERLINK("https://careerviet.vn/vi/tim-viec-lam/truong-phong-nguon-luc-nhan-su-va-hanh-chinh-cong-ty-thanh-vien-cua-sabeco.35C6B99B.html","Xem chi tiết")</f>
        <v/>
      </c>
    </row>
    <row r="16030">
      <c r="B16030" s="9" t="n">
        <v>16028</v>
      </c>
      <c r="C16030" s="10" t="inlineStr">
        <is>
          <t>Admin Executive</t>
        </is>
      </c>
      <c r="D16030" s="10" t="inlineStr">
        <is>
          <t>Công Ty TNHH LF Logistics (Việt Nam)</t>
        </is>
      </c>
      <c r="E16030" s="10" t="inlineStr">
        <is>
          <t>Lương:Cạnh tranh</t>
        </is>
      </c>
      <c r="F16030" s="10" t="inlineStr">
        <is>
          <t>Bình Dương</t>
        </is>
      </c>
      <c r="G16030" s="10" t="inlineStr">
        <is>
          <t>30-04-2026</t>
        </is>
      </c>
      <c r="H16030" s="10" t="inlineStr">
        <is>
          <t>30/04/2026</t>
        </is>
      </c>
      <c r="I16030" s="10" t="inlineStr">
        <is>
          <t>17/03/2026</t>
        </is>
      </c>
      <c r="J16030" s="10" t="inlineStr">
        <is>
          <t>Vận chuyển / Giao nhận / Kho vận, Hành chính / Thư ký</t>
        </is>
      </c>
      <c r="K16030" s="10" t="inlineStr">
        <is>
          <t>1 - 3 Năm</t>
        </is>
      </c>
      <c r="L16030" s="11">
        <f>HYPERLINK("https://careerviet.vn/vi/tim-viec-lam/admin-executive.35C6BA65.html","Xem chi tiết")</f>
        <v/>
      </c>
      <c r="M16030" s="10" t="n"/>
    </row>
    <row r="16031">
      <c r="B16031" s="7" t="n">
        <v>16029</v>
      </c>
      <c r="C16031" t="inlineStr">
        <is>
          <t>[Thu Duc] Microbiology Technician | Kỹ Thuật Viên Vi Sinh</t>
        </is>
      </c>
      <c r="D16031" t="inlineStr">
        <is>
          <t>EUROFINS VIETNAM</t>
        </is>
      </c>
      <c r="E16031" t="inlineStr">
        <is>
          <t>Lương:Cạnh tranh</t>
        </is>
      </c>
      <c r="F16031" t="inlineStr">
        <is>
          <t>Hồ Chí Minh</t>
        </is>
      </c>
      <c r="G16031" t="inlineStr">
        <is>
          <t>31-03-2026</t>
        </is>
      </c>
      <c r="H16031" t="inlineStr">
        <is>
          <t>31/03/2026</t>
        </is>
      </c>
      <c r="I16031" t="inlineStr">
        <is>
          <t>17/03/2026</t>
        </is>
      </c>
      <c r="J16031" t="inlineStr">
        <is>
          <t>Công nghệ sinh học</t>
        </is>
      </c>
      <c r="K16031" t="inlineStr">
        <is>
          <t>N/A</t>
        </is>
      </c>
      <c r="L16031" s="8">
        <f>HYPERLINK("https://careerviet.vn/vi/tim-viec-lam/thu-duc-microbiology-technician-ky-thuat-vien-vi-sinh.35C6B82D.html","Xem chi tiết")</f>
        <v/>
      </c>
    </row>
    <row r="16032">
      <c r="B16032" s="9" t="n">
        <v>16030</v>
      </c>
      <c r="C16032" s="10" t="inlineStr">
        <is>
          <t>Data Analytics Intern</t>
        </is>
      </c>
      <c r="D16032" s="10" t="inlineStr">
        <is>
          <t>Un-Available LTD Co.,</t>
        </is>
      </c>
      <c r="E16032" s="10" t="inlineStr">
        <is>
          <t>Lương:Cạnh tranh</t>
        </is>
      </c>
      <c r="F16032" s="10" t="inlineStr">
        <is>
          <t>Hồ Chí Minh</t>
        </is>
      </c>
      <c r="G16032" s="10" t="inlineStr">
        <is>
          <t>31-03-2026</t>
        </is>
      </c>
      <c r="H16032" s="10" t="inlineStr">
        <is>
          <t>31/03/2026</t>
        </is>
      </c>
      <c r="I16032" s="10" t="inlineStr">
        <is>
          <t>17/03/2026</t>
        </is>
      </c>
      <c r="J16032" s="10" t="inlineStr">
        <is>
          <t>Mới tốt nghiệp / Thực tập, Thống kê</t>
        </is>
      </c>
      <c r="K16032" s="10" t="inlineStr">
        <is>
          <t>N/A</t>
        </is>
      </c>
      <c r="L16032" s="11">
        <f>HYPERLINK("https://careerviet.vn/vi/tim-viec-lam/data-analytics-intern.35C6B964.html","Xem chi tiết")</f>
        <v/>
      </c>
      <c r="M16032" s="10" t="n"/>
    </row>
    <row r="16033">
      <c r="B16033" s="7" t="n">
        <v>16031</v>
      </c>
      <c r="C16033" t="inlineStr">
        <is>
          <t>Chuyên viên Chính sách &amp; Phúc lợi (C&amp;B)</t>
        </is>
      </c>
      <c r="D16033" t="inlineStr">
        <is>
          <t>Công Ty Cổ Phần Sản Xuất Nhựa Duy Tân</t>
        </is>
      </c>
      <c r="E16033" t="inlineStr">
        <is>
          <t>Lương:Cạnh tranh</t>
        </is>
      </c>
      <c r="F16033" t="inlineStr">
        <is>
          <t>Hồ Chí Minh</t>
        </is>
      </c>
      <c r="G16033" t="inlineStr">
        <is>
          <t>09-03-2026</t>
        </is>
      </c>
      <c r="H16033" t="inlineStr">
        <is>
          <t>09/03/2026</t>
        </is>
      </c>
      <c r="I16033" t="inlineStr">
        <is>
          <t>17/03/2026</t>
        </is>
      </c>
      <c r="J16033" t="inlineStr">
        <is>
          <t>Kế toán / Kiểm toán, Nhân sự, Luật / Pháp lý</t>
        </is>
      </c>
      <c r="K16033" t="inlineStr">
        <is>
          <t>3 - 5 Năm</t>
        </is>
      </c>
      <c r="L16033" s="8">
        <f>HYPERLINK("https://careerviet.vn/vi/tim-viec-lam/chuyen-vien-chinh-sach-phuc-loi-c-b.35C6B97B.html","Xem chi tiết")</f>
        <v/>
      </c>
    </row>
    <row r="16034">
      <c r="B16034" s="9" t="n">
        <v>16032</v>
      </c>
      <c r="C16034" s="10" t="inlineStr">
        <is>
          <t>MARKETING DIGITAL  (Digital Marketing Executive / Specialist)</t>
        </is>
      </c>
      <c r="D16034" s="10" t="inlineStr">
        <is>
          <t>CÔNG TY CỔ PHẦN AGENTA2Z</t>
        </is>
      </c>
      <c r="E16034" s="10" t="inlineStr">
        <is>
          <t>Lương:12 Tr - 17 Tr VND</t>
        </is>
      </c>
      <c r="F16034" s="10" t="inlineStr">
        <is>
          <t>Hồ Chí Minh</t>
        </is>
      </c>
      <c r="G16034" s="10" t="inlineStr">
        <is>
          <t>28-03-2026</t>
        </is>
      </c>
      <c r="H16034" s="10" t="inlineStr">
        <is>
          <t>28/03/2026</t>
        </is>
      </c>
      <c r="I16034" s="10" t="inlineStr">
        <is>
          <t>17/03/2026</t>
        </is>
      </c>
      <c r="J16034" s="10" t="inlineStr">
        <is>
          <t>Tiếp thị / Marketing, Y tế / Chăm sóc sức khỏe / Thẩm mỹ / Làm đẹp, Quảng cáo / Đối ngoại / Truyền Thông</t>
        </is>
      </c>
      <c r="K16034" s="10" t="inlineStr">
        <is>
          <t>2 - 7 Năm</t>
        </is>
      </c>
      <c r="L16034" s="11">
        <f>HYPERLINK("https://careerviet.vn/vi/tim-viec-lam/marketing-digital-digital-marketing-executive-specialist.35C66AE0.html","Xem chi tiết")</f>
        <v/>
      </c>
      <c r="M16034" s="10" t="n"/>
    </row>
    <row r="16035">
      <c r="B16035" s="7" t="n">
        <v>16033</v>
      </c>
      <c r="C16035" t="inlineStr">
        <is>
          <t>[Nova Hotels &amp; Resorts World] Chuyên viên Cao cấp Thiết kế (Sr Graphic Designer)</t>
        </is>
      </c>
      <c r="D16035" t="inlineStr">
        <is>
          <t>Nova Service Group - Công ty Cổ phần Tập đoàn Nova Services</t>
        </is>
      </c>
      <c r="E16035" t="inlineStr">
        <is>
          <t>Lương:Cạnh tranh</t>
        </is>
      </c>
      <c r="F16035" t="inlineStr">
        <is>
          <t>Hồ Chí Minh</t>
        </is>
      </c>
      <c r="G16035" t="inlineStr">
        <is>
          <t>09-04-2026</t>
        </is>
      </c>
      <c r="H16035" t="inlineStr">
        <is>
          <t>09/04/2026</t>
        </is>
      </c>
      <c r="I16035" t="inlineStr">
        <is>
          <t>17/03/2026</t>
        </is>
      </c>
      <c r="J16035" t="inlineStr">
        <is>
          <t>Mỹ thuật / Nghệ thuật / Thiết kế, Nhà hàng / Khách sạn, Du lịch</t>
        </is>
      </c>
      <c r="K16035" t="inlineStr">
        <is>
          <t>5 - 7 Năm</t>
        </is>
      </c>
      <c r="L16035" s="8">
        <f>HYPERLINK("https://careerviet.vn/vi/tim-viec-lam/nova-hotels-resorts-world-chuyen-vien-cao-cap-thiet-ke-sr-graphic-designer.35C6B778.html","Xem chi tiết")</f>
        <v/>
      </c>
    </row>
    <row r="16036">
      <c r="B16036" s="9" t="n">
        <v>16034</v>
      </c>
      <c r="C16036" s="10" t="inlineStr">
        <is>
          <t>Chuyên viên chính Đấu thầu và Thanh Quyết toán</t>
        </is>
      </c>
      <c r="D16036" s="10" t="inlineStr">
        <is>
          <t>CÔNG TY CỔ PHẦN STELLAR</t>
        </is>
      </c>
      <c r="E16036" s="10" t="inlineStr">
        <is>
          <t>Lương:Cạnh tranh</t>
        </is>
      </c>
      <c r="F16036" s="10" t="inlineStr">
        <is>
          <t>Hà Nội</t>
        </is>
      </c>
      <c r="G16036" s="10" t="inlineStr">
        <is>
          <t>07-04-2026</t>
        </is>
      </c>
      <c r="H16036" s="10" t="inlineStr">
        <is>
          <t>07/04/2026</t>
        </is>
      </c>
      <c r="I16036" s="10" t="inlineStr">
        <is>
          <t>17/03/2026</t>
        </is>
      </c>
      <c r="J16036" s="10" t="inlineStr">
        <is>
          <t>Xây dựng, Bất động sản</t>
        </is>
      </c>
      <c r="K16036" s="10" t="inlineStr">
        <is>
          <t>3 - 5 Năm</t>
        </is>
      </c>
      <c r="L16036" s="11">
        <f>HYPERLINK("https://careerviet.vn/vi/tim-viec-lam/chuyen-vien-chinh-dau-thau-va-thanh-quyet-toan.35C64E3A.html","Xem chi tiết")</f>
        <v/>
      </c>
      <c r="M16036" s="10" t="n"/>
    </row>
    <row r="16037">
      <c r="B16037" s="7" t="n">
        <v>16035</v>
      </c>
      <c r="C16037" t="inlineStr">
        <is>
          <t>Chuyên Viên Phân Tích Dữ Liệu</t>
        </is>
      </c>
      <c r="D16037" t="inlineStr">
        <is>
          <t>CÔNG TY CỔ PHẦN DÂY CÁP ĐIỆN VIỆT NAM - CADIVI</t>
        </is>
      </c>
      <c r="E16037" t="inlineStr">
        <is>
          <t>Lương:Cạnh tranh</t>
        </is>
      </c>
      <c r="F16037" t="inlineStr">
        <is>
          <t>Hồ Chí Minh</t>
        </is>
      </c>
      <c r="G16037" t="inlineStr">
        <is>
          <t>08-04-2026</t>
        </is>
      </c>
      <c r="H16037" t="inlineStr">
        <is>
          <t>08/04/2026</t>
        </is>
      </c>
      <c r="I16037" t="inlineStr">
        <is>
          <t>17/03/2026</t>
        </is>
      </c>
      <c r="J16037" t="inlineStr">
        <is>
          <t>Bán hàng / Kinh doanh</t>
        </is>
      </c>
      <c r="K16037" t="inlineStr">
        <is>
          <t>2 - 3 Năm</t>
        </is>
      </c>
      <c r="L16037" s="8">
        <f>HYPERLINK("https://careerviet.vn/vi/tim-viec-lam/chuyen-vien-phan-tich-du-lieu.35C6B86D.html","Xem chi tiết")</f>
        <v/>
      </c>
    </row>
    <row r="16038">
      <c r="B16038" s="9" t="n">
        <v>16036</v>
      </c>
      <c r="C16038" s="10" t="inlineStr">
        <is>
          <t>Nhân viên thư ký hành chính</t>
        </is>
      </c>
      <c r="D16038" s="10" t="inlineStr">
        <is>
          <t>CÔNG TY CỔ PHẦN QUỐC TẾ BẮC SÀI GÒN</t>
        </is>
      </c>
      <c r="E16038" s="10" t="inlineStr">
        <is>
          <t>Lương:14 Tr - 16 Tr VND</t>
        </is>
      </c>
      <c r="F16038" s="10" t="inlineStr">
        <is>
          <t>Hồ Chí Minh</t>
        </is>
      </c>
      <c r="G16038" s="10" t="inlineStr">
        <is>
          <t>30-05-2026</t>
        </is>
      </c>
      <c r="H16038" s="10" t="inlineStr">
        <is>
          <t>30/05/2026</t>
        </is>
      </c>
      <c r="I16038" s="10" t="inlineStr">
        <is>
          <t>17/03/2026</t>
        </is>
      </c>
      <c r="J16038" s="10" t="inlineStr">
        <is>
          <t>Hành chính / Thư ký, Kế toán / Kiểm toán, Ngân hàng</t>
        </is>
      </c>
      <c r="K16038" s="10" t="inlineStr">
        <is>
          <t>Chưa có kinh nghiệm</t>
        </is>
      </c>
      <c r="L16038" s="11">
        <f>HYPERLINK("https://careerviet.vn/vi/tim-viec-lam/nhan-vien-thu-ky-hanh-chinh.35C6B919.html","Xem chi tiết")</f>
        <v/>
      </c>
      <c r="M16038" s="10" t="n"/>
    </row>
    <row r="16039">
      <c r="B16039" s="7" t="n">
        <v>16037</v>
      </c>
      <c r="C16039" t="inlineStr">
        <is>
          <t>Chief Marketing Officer</t>
        </is>
      </c>
      <c r="D16039" t="inlineStr">
        <is>
          <t>Công ty TNHH ADC</t>
        </is>
      </c>
      <c r="E16039" t="inlineStr">
        <is>
          <t>Lương:Cạnh tranh</t>
        </is>
      </c>
      <c r="F16039" t="inlineStr">
        <is>
          <t>Hồ Chí Minh</t>
        </is>
      </c>
      <c r="G16039" t="inlineStr">
        <is>
          <t>08-04-2026</t>
        </is>
      </c>
      <c r="H16039" t="inlineStr">
        <is>
          <t>08/04/2026</t>
        </is>
      </c>
      <c r="I16039" t="inlineStr">
        <is>
          <t>17/03/2026</t>
        </is>
      </c>
      <c r="J16039" t="inlineStr">
        <is>
          <t>Tiếp thị / Marketing, Bán hàng / Kinh doanh, Nông nghiệp</t>
        </is>
      </c>
      <c r="K16039" t="inlineStr">
        <is>
          <t>8 - 12 Năm</t>
        </is>
      </c>
      <c r="L16039" s="8">
        <f>HYPERLINK("https://careerviet.vn/vi/tim-viec-lam/chief-marketing-officer.35C6B7AE.html","Xem chi tiết")</f>
        <v/>
      </c>
    </row>
    <row r="16040">
      <c r="B16040" s="9" t="n">
        <v>16038</v>
      </c>
      <c r="C16040" s="10" t="inlineStr">
        <is>
          <t>Nhân viên Chăm Sóc Khách Hàng Logistics  (Tiếng Trung)</t>
        </is>
      </c>
      <c r="D16040" s="10" t="inlineStr">
        <is>
          <t>CÔNG TY TNHH SITC LOGISTICS ASEAN (VIỆT NAM)</t>
        </is>
      </c>
      <c r="E16040" s="10" t="inlineStr">
        <is>
          <t>Lương:10 Tr - 14 Tr VND</t>
        </is>
      </c>
      <c r="F16040" s="10" t="inlineStr">
        <is>
          <t>Hồ Chí Minh</t>
        </is>
      </c>
      <c r="G16040" s="10" t="inlineStr">
        <is>
          <t>05-04-2026</t>
        </is>
      </c>
      <c r="H16040" s="10" t="inlineStr">
        <is>
          <t>05/04/2026</t>
        </is>
      </c>
      <c r="I16040" s="10" t="inlineStr">
        <is>
          <t>17/03/2026</t>
        </is>
      </c>
      <c r="J16040" s="10" t="inlineStr">
        <is>
          <t>Vận chuyển / Giao nhận / Kho vận, Xuất nhập khẩu, Dịch vụ khách hàng</t>
        </is>
      </c>
      <c r="K16040" s="10" t="inlineStr">
        <is>
          <t>1 - 3 Năm</t>
        </is>
      </c>
      <c r="L16040" s="11">
        <f>HYPERLINK("https://careerviet.vn/vi/tim-viec-lam/nhan-vien-cham-soc-khach-hang-logistics-tieng-trung.35C648DC.html","Xem chi tiết")</f>
        <v/>
      </c>
      <c r="M16040" s="10" t="n"/>
    </row>
    <row r="16041">
      <c r="B16041" s="7" t="n">
        <v>16039</v>
      </c>
      <c r="C16041" t="inlineStr">
        <is>
          <t>Quản lý kho</t>
        </is>
      </c>
      <c r="D16041" t="inlineStr">
        <is>
          <t>Công Ty TNHH Thực Phẩm Quốc Tế Vimex SG</t>
        </is>
      </c>
      <c r="E16041" t="inlineStr">
        <is>
          <t>Lương:15 Tr - 20 Tr VND</t>
        </is>
      </c>
      <c r="F16041" t="inlineStr">
        <is>
          <t>Hồ Chí Minh</t>
        </is>
      </c>
      <c r="G16041" t="inlineStr">
        <is>
          <t>31-03-2026</t>
        </is>
      </c>
      <c r="H16041" t="inlineStr">
        <is>
          <t>31/03/2026</t>
        </is>
      </c>
      <c r="I16041" t="inlineStr">
        <is>
          <t>17/03/2026</t>
        </is>
      </c>
      <c r="J16041" t="inlineStr">
        <is>
          <t>Thực phẩm &amp; Đồ uống</t>
        </is>
      </c>
      <c r="K16041" t="inlineStr">
        <is>
          <t>3 - 5 Năm</t>
        </is>
      </c>
      <c r="L16041" s="8">
        <f>HYPERLINK("https://careerviet.vn/vi/tim-viec-lam/quan-ly-kho.35C6B7B3.html","Xem chi tiết")</f>
        <v/>
      </c>
    </row>
    <row r="16042">
      <c r="B16042" s="9" t="n">
        <v>16040</v>
      </c>
      <c r="C16042" s="10" t="inlineStr">
        <is>
          <t>TUYỂN PHỤ BẾP- VIỆN THẨM MỸ DR HẢI LÊ</t>
        </is>
      </c>
      <c r="D16042" s="10" t="inlineStr">
        <is>
          <t>Viện Thẩm mỹ y khoa Dr Hải Lê</t>
        </is>
      </c>
      <c r="E16042" s="10" t="inlineStr">
        <is>
          <t>Lương:8 Tr - 10 Tr VND</t>
        </is>
      </c>
      <c r="F16042" s="10" t="inlineStr">
        <is>
          <t>Hà Nội</t>
        </is>
      </c>
      <c r="G16042" s="10" t="inlineStr">
        <is>
          <t>07-04-2026</t>
        </is>
      </c>
      <c r="H16042" s="10" t="inlineStr">
        <is>
          <t>07/04/2026</t>
        </is>
      </c>
      <c r="I16042" s="10" t="inlineStr">
        <is>
          <t>17/03/2026</t>
        </is>
      </c>
      <c r="J16042" s="10" t="inlineStr">
        <is>
          <t>Lao động phổ thông, Thực phẩm &amp; Đồ uống, Nhà hàng / Khách sạn</t>
        </is>
      </c>
      <c r="K16042" s="10" t="inlineStr">
        <is>
          <t>1 - 3 Năm</t>
        </is>
      </c>
      <c r="L16042" s="11">
        <f>HYPERLINK("https://careerviet.vn/vi/tim-viec-lam/tuyen-phu-bep-vien-tham-my-dr-hai-le.35C64D10.html","Xem chi tiết")</f>
        <v/>
      </c>
      <c r="M16042" s="10" t="n"/>
    </row>
    <row r="16043">
      <c r="B16043" s="7" t="n">
        <v>16041</v>
      </c>
      <c r="C16043" t="inlineStr">
        <is>
          <t>Cán bộ Qũy Hội sở - Khối Vận hành</t>
        </is>
      </c>
      <c r="D16043" t="inlineStr">
        <is>
          <t>Ngân Hàng TMCP Tiên Phong (TPBank)</t>
        </is>
      </c>
      <c r="E16043" t="inlineStr">
        <is>
          <t>Lương:Cạnh tranh</t>
        </is>
      </c>
      <c r="F16043" t="inlineStr">
        <is>
          <t>Hà NộiHồ Chí Minh</t>
        </is>
      </c>
      <c r="G16043" t="inlineStr">
        <is>
          <t>07-04-2026</t>
        </is>
      </c>
      <c r="H16043" t="inlineStr">
        <is>
          <t>07/04/2026</t>
        </is>
      </c>
      <c r="I16043" t="inlineStr">
        <is>
          <t>17/03/2026</t>
        </is>
      </c>
      <c r="J16043" t="inlineStr">
        <is>
          <t>Kế toán / Kiểm toán, Ngân hàng, Tài chính / Đầu tư</t>
        </is>
      </c>
      <c r="K16043" t="inlineStr">
        <is>
          <t>5 - 7 Năm</t>
        </is>
      </c>
      <c r="L16043" s="8">
        <f>HYPERLINK("https://careerviet.vn/vi/tim-viec-lam/can-bo-quy-hoi-so-khoi-van-hanh.35C64E67.html","Xem chi tiết")</f>
        <v/>
      </c>
    </row>
    <row r="16044">
      <c r="B16044" s="9" t="n">
        <v>16042</v>
      </c>
      <c r="C16044" s="10" t="inlineStr">
        <is>
          <t>Quality Engineer (Tire)</t>
        </is>
      </c>
      <c r="D16044" s="10" t="inlineStr">
        <is>
          <t>Headhunter HRchannels Group</t>
        </is>
      </c>
      <c r="E16044" s="10" t="inlineStr">
        <is>
          <t>Lương:25 Tr - 30 Tr VND</t>
        </is>
      </c>
      <c r="F16044" s="10" t="inlineStr">
        <is>
          <t>Quảng NamĐà NẵngThừa Thiên- Huế</t>
        </is>
      </c>
      <c r="G16044" s="10" t="inlineStr">
        <is>
          <t>07-04-2026</t>
        </is>
      </c>
      <c r="H16044" s="10" t="inlineStr">
        <is>
          <t>07/04/2026</t>
        </is>
      </c>
      <c r="I16044" s="10" t="inlineStr">
        <is>
          <t>17/03/2026</t>
        </is>
      </c>
      <c r="J16044" s="10" t="inlineStr">
        <is>
          <t>Cơ khí / Ô tô / Tự động hóa, Sản xuất / Vận hành sản xuất, Quản lý chất lượng (QA/QC)</t>
        </is>
      </c>
      <c r="K16044" s="10" t="inlineStr">
        <is>
          <t>2 - 10 Năm</t>
        </is>
      </c>
      <c r="L16044" s="11">
        <f>HYPERLINK("https://careerviet.vn/vi/tim-viec-lam/quality-engineer-tire.35C64C4B.html","Xem chi tiết")</f>
        <v/>
      </c>
      <c r="M16044" s="10" t="n"/>
    </row>
    <row r="16045">
      <c r="B16045" s="7" t="n">
        <v>16043</v>
      </c>
      <c r="C16045" t="inlineStr">
        <is>
          <t>Nhân viên kho hàng mẫu</t>
        </is>
      </c>
      <c r="D16045" t="inlineStr">
        <is>
          <t>Công ty Cổ phần CANIFA</t>
        </is>
      </c>
      <c r="E16045" t="inlineStr">
        <is>
          <t>Lương:7 Tr - 10 Tr VND</t>
        </is>
      </c>
      <c r="F16045" t="inlineStr">
        <is>
          <t>Hà Nội</t>
        </is>
      </c>
      <c r="G16045" t="inlineStr">
        <is>
          <t>07-04-2026</t>
        </is>
      </c>
      <c r="H16045" t="inlineStr">
        <is>
          <t>07/04/2026</t>
        </is>
      </c>
      <c r="I16045" t="inlineStr">
        <is>
          <t>17/03/2026</t>
        </is>
      </c>
      <c r="J16045" t="inlineStr">
        <is>
          <t>Vận chuyển / Giao nhận / Kho vận, Hành chính / Thư ký</t>
        </is>
      </c>
      <c r="K16045" t="inlineStr">
        <is>
          <t>1 - 2 Năm</t>
        </is>
      </c>
      <c r="L16045" s="8">
        <f>HYPERLINK("https://careerviet.vn/vi/tim-viec-lam/nhan-vien-kho-hang-mau.35C64E59.html","Xem chi tiết")</f>
        <v/>
      </c>
    </row>
    <row r="16046">
      <c r="B16046" s="9" t="n">
        <v>16044</v>
      </c>
      <c r="C16046" s="10" t="inlineStr">
        <is>
          <t>[NSG] Thư ký Tổng hợp phòng Kinh doanh</t>
        </is>
      </c>
      <c r="D16046" s="10" t="inlineStr">
        <is>
          <t>Nova Service Group - Công ty Cổ phần Tập đoàn Nova Services</t>
        </is>
      </c>
      <c r="E16046" s="10" t="inlineStr">
        <is>
          <t>Lương:15 Tr - 25 Tr VND</t>
        </is>
      </c>
      <c r="F16046" s="10" t="inlineStr">
        <is>
          <t>Hồ Chí Minh</t>
        </is>
      </c>
      <c r="G16046" s="10" t="inlineStr">
        <is>
          <t>07-04-2026</t>
        </is>
      </c>
      <c r="H16046" s="10" t="inlineStr">
        <is>
          <t>07/04/2026</t>
        </is>
      </c>
      <c r="I16046" s="10" t="inlineStr">
        <is>
          <t>17/03/2026</t>
        </is>
      </c>
      <c r="J16046" s="10" t="inlineStr">
        <is>
          <t>Bán hàng / Kinh doanh, Hành chính / Thư ký</t>
        </is>
      </c>
      <c r="K16046" s="10" t="inlineStr">
        <is>
          <t>3 - 10 Năm</t>
        </is>
      </c>
      <c r="L16046" s="11">
        <f>HYPERLINK("https://careerviet.vn/vi/tim-viec-lam/nsg-thu-ky-tong-hop-phong-kinh-doanh.35C64DD3.html","Xem chi tiết")</f>
        <v/>
      </c>
      <c r="M16046" s="10" t="n"/>
    </row>
    <row r="16047">
      <c r="B16047" s="7" t="n">
        <v>16045</v>
      </c>
      <c r="C16047" t="inlineStr">
        <is>
          <t>Quản lí nhà hàng</t>
        </is>
      </c>
      <c r="D16047" t="inlineStr">
        <is>
          <t>CÔNG TY CỔ PHẦN THƯƠNG MẠI STVN</t>
        </is>
      </c>
      <c r="E16047" t="inlineStr">
        <is>
          <t>Lương:20 Tr - 30 Tr VND</t>
        </is>
      </c>
      <c r="F16047" t="inlineStr">
        <is>
          <t>Hồ Chí Minh</t>
        </is>
      </c>
      <c r="G16047" t="inlineStr">
        <is>
          <t>07-04-2026</t>
        </is>
      </c>
      <c r="H16047" t="inlineStr">
        <is>
          <t>07/04/2026</t>
        </is>
      </c>
      <c r="I16047" t="inlineStr">
        <is>
          <t>17/03/2026</t>
        </is>
      </c>
      <c r="J16047" t="inlineStr">
        <is>
          <t>Nhà hàng / Khách sạn</t>
        </is>
      </c>
      <c r="K16047" t="inlineStr">
        <is>
          <t>2 - 3 Năm</t>
        </is>
      </c>
      <c r="L16047" s="8">
        <f>HYPERLINK("https://careerviet.vn/vi/tim-viec-lam/quan-li-nha-hang.35C64C99.html","Xem chi tiết")</f>
        <v/>
      </c>
    </row>
    <row r="16048">
      <c r="B16048" s="9" t="n">
        <v>16046</v>
      </c>
      <c r="C16048" s="10" t="inlineStr">
        <is>
          <t>TRƯỞNG PHÒNG HÀNH CHÍNH NHÂN SỰ</t>
        </is>
      </c>
      <c r="D16048" s="10" t="inlineStr">
        <is>
          <t>CÔNG TY TNHH NHA KHOA I-DENT</t>
        </is>
      </c>
      <c r="E16048" s="10" t="inlineStr">
        <is>
          <t>Lương:25 Tr - 45 Tr VND</t>
        </is>
      </c>
      <c r="F16048" s="10" t="inlineStr">
        <is>
          <t>Hồ Chí Minh</t>
        </is>
      </c>
      <c r="G16048" s="10" t="inlineStr">
        <is>
          <t>31-03-2026</t>
        </is>
      </c>
      <c r="H16048" s="10" t="inlineStr">
        <is>
          <t>31/03/2026</t>
        </is>
      </c>
      <c r="I16048" s="10" t="inlineStr">
        <is>
          <t>17/03/2026</t>
        </is>
      </c>
      <c r="J16048" s="10" t="inlineStr">
        <is>
          <t>Nhân sự, Bán lẻ / Bán sỉ, Tiếp thị / Marketing</t>
        </is>
      </c>
      <c r="K16048" s="10" t="inlineStr">
        <is>
          <t>3 - 5 Năm</t>
        </is>
      </c>
      <c r="L16048" s="11">
        <f>HYPERLINK("https://careerviet.vn/vi/tim-viec-lam/truong-phong-hanh-chinh-nhan-su.35C6B6B2.html","Xem chi tiết")</f>
        <v/>
      </c>
      <c r="M16048" s="10" t="n"/>
    </row>
    <row r="16049">
      <c r="B16049" s="7" t="n">
        <v>16047</v>
      </c>
      <c r="C16049" t="inlineStr">
        <is>
          <t>Nhân Viên Tư Vấn Sản Phẩm tại Điện Máy Xanh Quán Lào - Thanh Hóa</t>
        </is>
      </c>
      <c r="D16049" t="inlineStr">
        <is>
          <t>Tập Đoàn Karofi Holding</t>
        </is>
      </c>
      <c r="E16049" t="inlineStr">
        <is>
          <t>Lương:8 Tr - 15 Tr VND</t>
        </is>
      </c>
      <c r="F16049" t="inlineStr">
        <is>
          <t>Thanh Hóa</t>
        </is>
      </c>
      <c r="G16049" t="inlineStr">
        <is>
          <t>07-04-2026</t>
        </is>
      </c>
      <c r="H16049" t="inlineStr">
        <is>
          <t>07/04/2026</t>
        </is>
      </c>
      <c r="I16049" t="inlineStr">
        <is>
          <t>17/03/2026</t>
        </is>
      </c>
      <c r="J16049" t="inlineStr">
        <is>
          <t>Bán lẻ / Bán sỉ, Bán hàng / Kinh doanh, Dịch vụ khách hàng</t>
        </is>
      </c>
      <c r="K16049" t="inlineStr">
        <is>
          <t>Lên đến 1 Năm</t>
        </is>
      </c>
      <c r="L16049" s="8">
        <f>HYPERLINK("https://careerviet.vn/vi/tim-viec-lam/nhan-vien-tu-van-san-pham-tai-dien-may-xanh-quan-lao-thanh-hoa.35C64C78.html","Xem chi tiết")</f>
        <v/>
      </c>
    </row>
    <row r="16050">
      <c r="B16050" s="9" t="n">
        <v>16048</v>
      </c>
      <c r="C16050" s="10" t="inlineStr">
        <is>
          <t>NHÂN VIÊN  TIỆN CƠ VÀ PHAY CNC</t>
        </is>
      </c>
      <c r="D16050" s="10" t="inlineStr">
        <is>
          <t>Công ty TNHH VMS Engineering</t>
        </is>
      </c>
      <c r="E16050" s="10" t="inlineStr">
        <is>
          <t>Lương:12 Tr - 15 Tr VND</t>
        </is>
      </c>
      <c r="F16050" s="10" t="inlineStr">
        <is>
          <t>Đồng Nai</t>
        </is>
      </c>
      <c r="G16050" s="10" t="inlineStr">
        <is>
          <t>6</t>
        </is>
      </c>
      <c r="H16050" s="10" t="inlineStr">
        <is>
          <t>23/03/2026</t>
        </is>
      </c>
      <c r="I16050" s="10" t="inlineStr">
        <is>
          <t>17/03/2026</t>
        </is>
      </c>
      <c r="J16050" s="10" t="inlineStr">
        <is>
          <t>Cơ khí / Ô tô / Tự động hóa, Sản xuất / Vận hành sản xuất</t>
        </is>
      </c>
      <c r="K16050" s="10" t="inlineStr">
        <is>
          <t>2 - 5 Năm</t>
        </is>
      </c>
      <c r="L16050" s="11">
        <f>HYPERLINK("https://careerviet.vn/vi/tim-viec-lam/nhan-vien-tien-co-va-phay-cnc.35C66485.html","Xem chi tiết")</f>
        <v/>
      </c>
      <c r="M16050" s="10" t="n"/>
    </row>
    <row r="16051">
      <c r="B16051" s="7" t="n">
        <v>16049</v>
      </c>
      <c r="C16051" t="inlineStr">
        <is>
          <t>Chuyên viên cao cấp Tổ chức Quản lý Kênh Truyền thông Mạng xã hội và Báo chí</t>
        </is>
      </c>
      <c r="D16051" t="inlineStr">
        <is>
          <t>Nova Service Group - Công ty Cổ phần Tập đoàn Nova Services</t>
        </is>
      </c>
      <c r="E16051" t="inlineStr">
        <is>
          <t>Lương:Cạnh tranh</t>
        </is>
      </c>
      <c r="F16051" t="inlineStr">
        <is>
          <t>Hồ Chí Minh</t>
        </is>
      </c>
      <c r="G16051" t="inlineStr">
        <is>
          <t>07-04-2026</t>
        </is>
      </c>
      <c r="H16051" t="inlineStr">
        <is>
          <t>07/04/2026</t>
        </is>
      </c>
      <c r="I16051" t="inlineStr">
        <is>
          <t>17/03/2026</t>
        </is>
      </c>
      <c r="J16051" t="inlineStr">
        <is>
          <t>Tiếp thị / Marketing, Nhà hàng / Khách sạn, Du lịch</t>
        </is>
      </c>
      <c r="K16051" t="inlineStr">
        <is>
          <t>3 - 5 Năm</t>
        </is>
      </c>
      <c r="L16051" s="8">
        <f>HYPERLINK("https://careerviet.vn/vi/tim-viec-lam/chuyen-vien-cao-cap-to-chuc-quan-ly-kenh-truyen-thong-mang-xa-hoi-va-bao-chi.35C64E6E.html","Xem chi tiết")</f>
        <v/>
      </c>
    </row>
    <row r="16052">
      <c r="B16052" s="9" t="n">
        <v>16050</v>
      </c>
      <c r="C16052" s="10" t="inlineStr">
        <is>
          <t>Kỹ Sư Quản Lý Thiết Kế Hạ Tầng (Chủ Đầu Tư)</t>
        </is>
      </c>
      <c r="D16052" s="10" t="inlineStr">
        <is>
          <t>Tập Đoàn Tân Á Đại Thành</t>
        </is>
      </c>
      <c r="E16052" s="10" t="inlineStr">
        <is>
          <t>Lương:Cạnh tranh</t>
        </is>
      </c>
      <c r="F16052" s="10" t="inlineStr">
        <is>
          <t>Hà Nội</t>
        </is>
      </c>
      <c r="G16052" s="10" t="inlineStr">
        <is>
          <t>07-04-2026</t>
        </is>
      </c>
      <c r="H16052" s="10" t="inlineStr">
        <is>
          <t>07/04/2026</t>
        </is>
      </c>
      <c r="I16052" s="10" t="inlineStr">
        <is>
          <t>17/03/2026</t>
        </is>
      </c>
      <c r="J16052" s="10" t="inlineStr">
        <is>
          <t>Kiến trúc, Xây dựng, Bất động sản</t>
        </is>
      </c>
      <c r="K16052" s="10" t="inlineStr">
        <is>
          <t>Trên 5 Năm</t>
        </is>
      </c>
      <c r="L16052" s="11">
        <f>HYPERLINK("https://careerviet.vn/vi/tim-viec-lam/ky-su-quan-ly-thiet-ke-ha-tang-chu-dau-tu.35C64C45.html","Xem chi tiết")</f>
        <v/>
      </c>
      <c r="M16052" s="10" t="n"/>
    </row>
    <row r="16053">
      <c r="B16053" s="7" t="n">
        <v>16051</v>
      </c>
      <c r="C16053" t="inlineStr">
        <is>
          <t>Điều dưỡng viên - Điều dưỡng đa khoa - GẤP</t>
        </is>
      </c>
      <c r="D16053" t="inlineStr">
        <is>
          <t>CÔNG TY TNHH DỊCH VỤ Y TẾ PHÒNG KHÁM ĐA KHOA PHÚ ĐỨC</t>
        </is>
      </c>
      <c r="E16053" t="inlineStr">
        <is>
          <t>Lương:Cạnh tranh</t>
        </is>
      </c>
      <c r="F16053" t="inlineStr">
        <is>
          <t>Hồ Chí Minh</t>
        </is>
      </c>
      <c r="G16053" t="inlineStr">
        <is>
          <t>07-04-2026</t>
        </is>
      </c>
      <c r="H16053" t="inlineStr">
        <is>
          <t>07/04/2026</t>
        </is>
      </c>
      <c r="I16053" t="inlineStr">
        <is>
          <t>17/03/2026</t>
        </is>
      </c>
      <c r="J16053" t="inlineStr">
        <is>
          <t>Y tế / Chăm sóc sức khỏe / Thẩm mỹ / Làm đẹp</t>
        </is>
      </c>
      <c r="K16053" t="inlineStr">
        <is>
          <t>1 - 5 Năm</t>
        </is>
      </c>
      <c r="L16053" s="8">
        <f>HYPERLINK("https://careerviet.vn/vi/tim-viec-lam/dieu-duong-vien-dieu-duong-da-khoa-gap.35C64E33.html","Xem chi tiết")</f>
        <v/>
      </c>
    </row>
    <row r="16054">
      <c r="B16054" s="9" t="n">
        <v>16052</v>
      </c>
      <c r="C16054" s="10" t="inlineStr">
        <is>
          <t>Nhân viên Telesales</t>
        </is>
      </c>
      <c r="D16054" s="10" t="inlineStr">
        <is>
          <t>Tổng Công Ty Cổ Phần Bảo Hiểm Ngân Hàng TMCP Công Thương Việt Nam</t>
        </is>
      </c>
      <c r="E16054" s="10" t="inlineStr">
        <is>
          <t>Lương:6 Tr - 9 Tr VND</t>
        </is>
      </c>
      <c r="F16054" s="10" t="inlineStr">
        <is>
          <t>Hà Nội</t>
        </is>
      </c>
      <c r="G16054" s="10" t="inlineStr">
        <is>
          <t>07-04-2026</t>
        </is>
      </c>
      <c r="H16054" s="10" t="inlineStr">
        <is>
          <t>07/04/2026</t>
        </is>
      </c>
      <c r="I16054" s="10" t="inlineStr">
        <is>
          <t>17/03/2026</t>
        </is>
      </c>
      <c r="J16054" s="10" t="inlineStr">
        <is>
          <t>Bảo hiểm, Bán hàng / Kinh doanh, Dịch vụ khách hàng</t>
        </is>
      </c>
      <c r="K16054" s="10" t="inlineStr">
        <is>
          <t>1 - 2 Năm</t>
        </is>
      </c>
      <c r="L16054" s="11">
        <f>HYPERLINK("https://careerviet.vn/vi/tim-viec-lam/nhan-vien-telesales.35C64E7E.html","Xem chi tiết")</f>
        <v/>
      </c>
      <c r="M16054" s="10" t="n"/>
    </row>
    <row r="16055">
      <c r="B16055" s="7" t="n">
        <v>16053</v>
      </c>
      <c r="C16055" t="inlineStr">
        <is>
          <t>Kế toán trưởng</t>
        </is>
      </c>
      <c r="D16055" t="inlineStr">
        <is>
          <t>CÔNG TY TNHH DỊCH VỤ QUẢN LÝ HỆ THỐNG HỌC TẬP</t>
        </is>
      </c>
      <c r="E16055" t="inlineStr">
        <is>
          <t>Lương:18 Tr - 25 Tr VND</t>
        </is>
      </c>
      <c r="F16055" t="inlineStr">
        <is>
          <t>Hà Nội</t>
        </is>
      </c>
      <c r="G16055" t="inlineStr">
        <is>
          <t>07-04-2026</t>
        </is>
      </c>
      <c r="H16055" t="inlineStr">
        <is>
          <t>07/04/2026</t>
        </is>
      </c>
      <c r="I16055" t="inlineStr">
        <is>
          <t>17/03/2026</t>
        </is>
      </c>
      <c r="J16055" t="inlineStr">
        <is>
          <t>Kế toán / Kiểm toán, Ngân hàng, Tài chính / Đầu tư</t>
        </is>
      </c>
      <c r="K16055" t="inlineStr">
        <is>
          <t>3 - 5 Năm</t>
        </is>
      </c>
      <c r="L16055" s="8">
        <f>HYPERLINK("https://careerviet.vn/vi/tim-viec-lam/ke-toan-truong.35C64C76.html","Xem chi tiết")</f>
        <v/>
      </c>
    </row>
    <row r="16056">
      <c r="B16056" s="9" t="n">
        <v>16054</v>
      </c>
      <c r="C16056" s="10" t="inlineStr">
        <is>
          <t>LEGAL MANAGER</t>
        </is>
      </c>
      <c r="D16056" s="10" t="inlineStr">
        <is>
          <t>Bảo mật</t>
        </is>
      </c>
      <c r="E16056" s="10" t="inlineStr">
        <is>
          <t>Lương:80 Tr - 100 Tr VND</t>
        </is>
      </c>
      <c r="F16056" s="10" t="inlineStr">
        <is>
          <t>Hà Nội</t>
        </is>
      </c>
      <c r="G16056" s="10" t="inlineStr">
        <is>
          <t>07-04-2026</t>
        </is>
      </c>
      <c r="H16056" s="10" t="inlineStr">
        <is>
          <t>07/04/2026</t>
        </is>
      </c>
      <c r="I16056" s="10" t="inlineStr">
        <is>
          <t>17/03/2026</t>
        </is>
      </c>
      <c r="J16056" s="10" t="inlineStr">
        <is>
          <t>Luật / Pháp lý</t>
        </is>
      </c>
      <c r="K16056" s="10" t="inlineStr">
        <is>
          <t>8 - 10 Năm</t>
        </is>
      </c>
      <c r="L16056" s="11">
        <f>HYPERLINK("https://careerviet.vn/vi/tim-viec-lam/legal-manager.35C64DE9.html","Xem chi tiết")</f>
        <v/>
      </c>
      <c r="M16056" s="10" t="n"/>
    </row>
    <row r="16057">
      <c r="B16057" s="7" t="n">
        <v>16055</v>
      </c>
      <c r="C16057" t="inlineStr">
        <is>
          <t>HR &amp; GA Manager (Manufacturing)</t>
        </is>
      </c>
      <c r="D16057" t="inlineStr">
        <is>
          <t>Headhunter HRchannels Group</t>
        </is>
      </c>
      <c r="E16057" t="inlineStr">
        <is>
          <t>Lương:1.200 - 1.500 USD</t>
        </is>
      </c>
      <c r="F16057" t="inlineStr">
        <is>
          <t>Hải PhòngHải DươngQuảng Ninh</t>
        </is>
      </c>
      <c r="G16057" t="inlineStr">
        <is>
          <t>07-04-2026</t>
        </is>
      </c>
      <c r="H16057" t="inlineStr">
        <is>
          <t>07/04/2026</t>
        </is>
      </c>
      <c r="I16057" t="inlineStr">
        <is>
          <t>17/03/2026</t>
        </is>
      </c>
      <c r="J16057" t="inlineStr">
        <is>
          <t>Hành chính / Thư ký, Nhân sự, Sản xuất / Vận hành sản xuất</t>
        </is>
      </c>
      <c r="K16057" t="inlineStr">
        <is>
          <t>3 - 5 Năm</t>
        </is>
      </c>
      <c r="L16057" s="8">
        <f>HYPERLINK("https://careerviet.vn/vi/tim-viec-lam/hr-ga-manager-manufacturing.35C64C4C.html","Xem chi tiết")</f>
        <v/>
      </c>
    </row>
    <row r="16058">
      <c r="B16058" s="9" t="n">
        <v>16056</v>
      </c>
      <c r="C16058" s="10" t="inlineStr">
        <is>
          <t>Nhân viên QA  - Điện tử</t>
        </is>
      </c>
      <c r="D16058" s="10" t="inlineStr">
        <is>
          <t>CÔNG TY CỔ PHẦN GREEN SPEED</t>
        </is>
      </c>
      <c r="E16058" s="10" t="inlineStr">
        <is>
          <t>Lương:13 Tr - 14 Tr VND</t>
        </is>
      </c>
      <c r="F16058" s="10" t="inlineStr">
        <is>
          <t>Hồ Chí Minh</t>
        </is>
      </c>
      <c r="G16058" s="10" t="inlineStr">
        <is>
          <t>07-04-2026</t>
        </is>
      </c>
      <c r="H16058" s="10" t="inlineStr">
        <is>
          <t>07/04/2026</t>
        </is>
      </c>
      <c r="I16058" s="10" t="inlineStr">
        <is>
          <t>17/03/2026</t>
        </is>
      </c>
      <c r="J16058" s="10" t="inlineStr">
        <is>
          <t>Điện / Điện tử / Điện lạnh / Điện công nghiệp</t>
        </is>
      </c>
      <c r="K16058" s="10" t="inlineStr">
        <is>
          <t>1 - 2 Năm</t>
        </is>
      </c>
      <c r="L16058" s="11">
        <f>HYPERLINK("https://careerviet.vn/vi/tim-viec-lam/nhan-vien-qa-dien-tu.35C64C49.html","Xem chi tiết")</f>
        <v/>
      </c>
      <c r="M16058" s="10" t="n"/>
    </row>
    <row r="16059">
      <c r="B16059" s="7" t="n">
        <v>16057</v>
      </c>
      <c r="C16059" t="inlineStr">
        <is>
          <t>Tuyển dụng nhân viên bán hàng Trà Vinh</t>
        </is>
      </c>
      <c r="D16059" t="inlineStr">
        <is>
          <t>HMK Eyewear</t>
        </is>
      </c>
      <c r="E16059" t="inlineStr">
        <is>
          <t>Lương:8 Tr - 15 Tr VND</t>
        </is>
      </c>
      <c r="F16059" t="inlineStr">
        <is>
          <t>Trà Vinh</t>
        </is>
      </c>
      <c r="G16059" t="inlineStr">
        <is>
          <t>07-04-2026</t>
        </is>
      </c>
      <c r="H16059" t="inlineStr">
        <is>
          <t>07/04/2026</t>
        </is>
      </c>
      <c r="I16059" t="inlineStr">
        <is>
          <t>17/03/2026</t>
        </is>
      </c>
      <c r="J16059" t="inlineStr">
        <is>
          <t>Tiếp thị / Marketing, Bán lẻ / Bán sỉ, Bán hàng / Kinh doanh</t>
        </is>
      </c>
      <c r="K16059" t="inlineStr">
        <is>
          <t>Chưa có kinh nghiệm</t>
        </is>
      </c>
      <c r="L16059" s="8">
        <f>HYPERLINK("https://careerviet.vn/vi/tim-viec-lam/tuyen-dung-nhan-vien-ban-hang-tra-vinh.35C64CC2.html","Xem chi tiết")</f>
        <v/>
      </c>
    </row>
    <row r="16060">
      <c r="B16060" s="9" t="n">
        <v>16058</v>
      </c>
      <c r="C16060" s="10" t="inlineStr">
        <is>
          <t>Trưởng Nhóm Kinh Doanh (Quản lý Vùng) - Bạc Liêu, Tiền Giang, Bình Phước</t>
        </is>
      </c>
      <c r="D16060" s="10" t="inlineStr">
        <is>
          <t>Tập Đoàn Karofi Holding</t>
        </is>
      </c>
      <c r="E16060" s="10" t="inlineStr">
        <is>
          <t>Lương:16 Tr - 22 Tr VND</t>
        </is>
      </c>
      <c r="F16060" s="10" t="inlineStr">
        <is>
          <t>Tiền GiangBạc LiêuBình Phước</t>
        </is>
      </c>
      <c r="G16060" s="10" t="inlineStr">
        <is>
          <t>07-04-2026</t>
        </is>
      </c>
      <c r="H16060" s="10" t="inlineStr">
        <is>
          <t>07/04/2026</t>
        </is>
      </c>
      <c r="I16060" s="10" t="inlineStr">
        <is>
          <t>17/03/2026</t>
        </is>
      </c>
      <c r="J16060" s="10" t="inlineStr">
        <is>
          <t>Bán lẻ / Bán sỉ, Bán hàng / Kinh doanh</t>
        </is>
      </c>
      <c r="K16060" s="10" t="inlineStr">
        <is>
          <t>2 - 10 Năm</t>
        </is>
      </c>
      <c r="L16060" s="11">
        <f>HYPERLINK("https://careerviet.vn/vi/tim-viec-lam/truong-nhom-kinh-doanh-quan-ly-vung-bac-lieu-tien-giang-binh-phuoc.35C64E40.html","Xem chi tiết")</f>
        <v/>
      </c>
      <c r="M16060" s="10" t="n"/>
    </row>
    <row r="16061">
      <c r="B16061" s="7" t="n">
        <v>16059</v>
      </c>
      <c r="C16061" t="inlineStr">
        <is>
          <t>Customer Service - Flight Ticket App</t>
        </is>
      </c>
      <c r="D16061" t="inlineStr">
        <is>
          <t>Vietnam Concentrix Services Company Limited</t>
        </is>
      </c>
      <c r="E16061" t="inlineStr">
        <is>
          <t>Lương:11 Tr - 13 Tr VND</t>
        </is>
      </c>
      <c r="F16061" t="inlineStr">
        <is>
          <t>Hồ Chí Minh</t>
        </is>
      </c>
      <c r="G16061" t="inlineStr">
        <is>
          <t>07-04-2026</t>
        </is>
      </c>
      <c r="H16061" t="inlineStr">
        <is>
          <t>07/04/2026</t>
        </is>
      </c>
      <c r="I16061" t="inlineStr">
        <is>
          <t>17/03/2026</t>
        </is>
      </c>
      <c r="J16061" t="inlineStr">
        <is>
          <t>Dịch vụ khách hàng, Tư vấn, Du lịch</t>
        </is>
      </c>
      <c r="K16061" t="inlineStr">
        <is>
          <t>N/A</t>
        </is>
      </c>
      <c r="L16061" s="8">
        <f>HYPERLINK("https://careerviet.vn/vi/tim-viec-lam/customer-service-flight-ticket-app.35C64D56.html","Xem chi tiết")</f>
        <v/>
      </c>
    </row>
    <row r="16062">
      <c r="B16062" s="9" t="n">
        <v>16060</v>
      </c>
      <c r="C16062" s="10" t="inlineStr">
        <is>
          <t>GIÁM ĐỐC MARKETING - 926 BẠCH ĐẰNG</t>
        </is>
      </c>
      <c r="D16062" s="10" t="inlineStr">
        <is>
          <t>TỔNG CÔNG TY CỔ PHẦN THƯƠNG MẠI XÂY DỰNG</t>
        </is>
      </c>
      <c r="E16062" s="10" t="inlineStr">
        <is>
          <t>Lương:50 Tr - 100 Tr VND</t>
        </is>
      </c>
      <c r="F16062" s="10" t="inlineStr">
        <is>
          <t>Hà Nội</t>
        </is>
      </c>
      <c r="G16062" s="10" t="inlineStr">
        <is>
          <t>07-04-2026</t>
        </is>
      </c>
      <c r="H16062" s="10" t="inlineStr">
        <is>
          <t>07/04/2026</t>
        </is>
      </c>
      <c r="I16062" s="10" t="inlineStr">
        <is>
          <t>17/03/2026</t>
        </is>
      </c>
      <c r="J16062" s="10" t="inlineStr">
        <is>
          <t>Tiếp thị / Marketing</t>
        </is>
      </c>
      <c r="K16062" s="10" t="inlineStr">
        <is>
          <t>5 - 10 Năm</t>
        </is>
      </c>
      <c r="L16062" s="11">
        <f>HYPERLINK("https://careerviet.vn/vi/tim-viec-lam/giam-doc-marketing-926-bach-dang.35C64D9A.html","Xem chi tiết")</f>
        <v/>
      </c>
      <c r="M16062" s="10" t="n"/>
    </row>
    <row r="16063">
      <c r="B16063" s="7" t="n">
        <v>16061</v>
      </c>
      <c r="C16063" t="inlineStr">
        <is>
          <t>Head Of Operations (Omni-Channel | E-Commerce)</t>
        </is>
      </c>
      <c r="D16063" t="inlineStr">
        <is>
          <t>Công ty TNHH Onpoint</t>
        </is>
      </c>
      <c r="E16063" t="inlineStr">
        <is>
          <t>Lương:Cạnh tranh</t>
        </is>
      </c>
      <c r="F16063" t="inlineStr">
        <is>
          <t>Hồ Chí Minh</t>
        </is>
      </c>
      <c r="G16063" t="inlineStr">
        <is>
          <t>07-04-2026</t>
        </is>
      </c>
      <c r="H16063" t="inlineStr">
        <is>
          <t>07/04/2026</t>
        </is>
      </c>
      <c r="I16063" t="inlineStr">
        <is>
          <t>17/03/2026</t>
        </is>
      </c>
      <c r="J16063" t="inlineStr">
        <is>
          <t>Thương mại điện tử, Vận chuyển / Giao nhận / Kho vận, Xuất nhập khẩu</t>
        </is>
      </c>
      <c r="K16063" t="inlineStr">
        <is>
          <t>Chưa có kinh nghiệm</t>
        </is>
      </c>
      <c r="L16063" s="8">
        <f>HYPERLINK("https://careerviet.vn/vi/tim-viec-lam/head-of-operations-omni-channel-e-commerce.35C64E11.html","Xem chi tiết")</f>
        <v/>
      </c>
    </row>
    <row r="16064">
      <c r="B16064" s="9" t="n">
        <v>16062</v>
      </c>
      <c r="C16064" s="10" t="inlineStr">
        <is>
          <t>Nhân Viên CSKH/Tiếp Nhận &amp; Hỗ Trợ Khách Hàng Vé Máy Bay - Biết Tiếng Anh - Thu Nhập 13Triệu/Tháng (Quận 12 Cũ)</t>
        </is>
      </c>
      <c r="D16064" s="10" t="inlineStr">
        <is>
          <t>Vietnam Concentrix Services Company Limited</t>
        </is>
      </c>
      <c r="E16064" s="10" t="inlineStr">
        <is>
          <t>Lương:10 Tr - 13 Tr VND</t>
        </is>
      </c>
      <c r="F16064" s="10" t="inlineStr">
        <is>
          <t>Hồ Chí Minh</t>
        </is>
      </c>
      <c r="G16064" s="10" t="inlineStr">
        <is>
          <t>07-04-2026</t>
        </is>
      </c>
      <c r="H16064" s="10" t="inlineStr">
        <is>
          <t>07/04/2026</t>
        </is>
      </c>
      <c r="I16064" s="10" t="inlineStr">
        <is>
          <t>17/03/2026</t>
        </is>
      </c>
      <c r="J16064" s="10" t="inlineStr">
        <is>
          <t>Dịch vụ khách hàng, Du lịch, Hàng không</t>
        </is>
      </c>
      <c r="K16064" s="10" t="inlineStr">
        <is>
          <t>N/A</t>
        </is>
      </c>
      <c r="L16064" s="11">
        <f>HYPERLINK("https://careerviet.vn/vi/tim-viec-lam/nhan-vien-cskh-tiep-nhan-ho-tro-khach-hang-ve-may-bay-biet-tieng-anh-thu-nhap-13trieu-thang-quan-12-cu.35C64D5A.html","Xem chi tiết")</f>
        <v/>
      </c>
      <c r="M16064" s="10" t="n"/>
    </row>
    <row r="16065">
      <c r="B16065" s="7" t="n">
        <v>16063</v>
      </c>
      <c r="C16065" t="inlineStr">
        <is>
          <t>NHÂN VIÊN FACA (BP CẢI TIẾN NĂNG SUẤT)</t>
        </is>
      </c>
      <c r="D16065" t="inlineStr">
        <is>
          <t>Công ty TNHH Sài Gòn Stec</t>
        </is>
      </c>
      <c r="E16065" t="inlineStr">
        <is>
          <t>Lương:10 Tr - 15 Tr VND</t>
        </is>
      </c>
      <c r="F16065" t="inlineStr">
        <is>
          <t>Bình Dương</t>
        </is>
      </c>
      <c r="G16065" t="inlineStr">
        <is>
          <t>07-04-2026</t>
        </is>
      </c>
      <c r="H16065" t="inlineStr">
        <is>
          <t>07/04/2026</t>
        </is>
      </c>
      <c r="I16065" t="inlineStr">
        <is>
          <t>17/03/2026</t>
        </is>
      </c>
      <c r="J16065" t="inlineStr">
        <is>
          <t>Điện / Điện tử / Điện lạnh / Điện công nghiệp, Quản lý chất lượng (QA/QC)</t>
        </is>
      </c>
      <c r="K16065" t="inlineStr">
        <is>
          <t>N/A</t>
        </is>
      </c>
      <c r="L16065" s="8">
        <f>HYPERLINK("https://careerviet.vn/vi/tim-viec-lam/nhan-vien-faca-bp-cai-tien-nang-suat.35C64D63.html","Xem chi tiết")</f>
        <v/>
      </c>
    </row>
    <row r="16066">
      <c r="B16066" s="9" t="n">
        <v>16064</v>
      </c>
      <c r="C16066" s="10" t="inlineStr">
        <is>
          <t>Dự toán nội thất</t>
        </is>
      </c>
      <c r="D16066" s="10" t="inlineStr">
        <is>
          <t>AKI DESIGN</t>
        </is>
      </c>
      <c r="E16066" s="10" t="inlineStr">
        <is>
          <t>Lương:14 Tr - 20 Tr VND</t>
        </is>
      </c>
      <c r="F16066" s="10" t="inlineStr">
        <is>
          <t>Hồ Chí MinhHà Nội</t>
        </is>
      </c>
      <c r="G16066" s="10" t="inlineStr">
        <is>
          <t>07-04-2026</t>
        </is>
      </c>
      <c r="H16066" s="10" t="inlineStr">
        <is>
          <t>07/04/2026</t>
        </is>
      </c>
      <c r="I16066" s="10" t="inlineStr">
        <is>
          <t>17/03/2026</t>
        </is>
      </c>
      <c r="J16066" s="10" t="inlineStr">
        <is>
          <t>Nội ngoại thất, Mỹ thuật / Nghệ thuật / Thiết kế, Xây dựng</t>
        </is>
      </c>
      <c r="K16066" s="10" t="inlineStr">
        <is>
          <t>3 - 4 Năm</t>
        </is>
      </c>
      <c r="L16066" s="11">
        <f>HYPERLINK("https://careerviet.vn/vi/tim-viec-lam/du-toan-noi-that.35C64CEC.html","Xem chi tiết")</f>
        <v/>
      </c>
      <c r="M16066" s="10" t="n"/>
    </row>
    <row r="16067">
      <c r="B16067" s="7" t="n">
        <v>16065</v>
      </c>
      <c r="C16067" t="inlineStr">
        <is>
          <t>TRƯỞNG PHÒNG MUA HÀNG</t>
        </is>
      </c>
      <c r="D16067" t="inlineStr">
        <is>
          <t>TỔNG CÔNG TY CỔ PHẦN THƯƠNG MẠI XÂY DỰNG</t>
        </is>
      </c>
      <c r="E16067" t="inlineStr">
        <is>
          <t>Lương:30 Tr - 40 Tr VND</t>
        </is>
      </c>
      <c r="F16067" t="inlineStr">
        <is>
          <t>Hà Nội</t>
        </is>
      </c>
      <c r="G16067" t="inlineStr">
        <is>
          <t>07-04-2026</t>
        </is>
      </c>
      <c r="H16067" t="inlineStr">
        <is>
          <t>07/04/2026</t>
        </is>
      </c>
      <c r="I16067" t="inlineStr">
        <is>
          <t>17/03/2026</t>
        </is>
      </c>
      <c r="J16067" t="inlineStr">
        <is>
          <t>Bán hàng / Kinh doanh, Thực phẩm &amp; Đồ uống, Thu mua / Vật tư</t>
        </is>
      </c>
      <c r="K16067" t="inlineStr">
        <is>
          <t>3 - 5 Năm</t>
        </is>
      </c>
      <c r="L16067" s="8">
        <f>HYPERLINK("https://careerviet.vn/vi/tim-viec-lam/truong-phong-mua-hang.35C64C5C.html","Xem chi tiết")</f>
        <v/>
      </c>
    </row>
    <row r="16068">
      <c r="B16068" s="9" t="n">
        <v>16066</v>
      </c>
      <c r="C16068" s="10" t="inlineStr">
        <is>
          <t>PROJECT MANAGER (HOTELS)</t>
        </is>
      </c>
      <c r="D16068" s="10" t="inlineStr">
        <is>
          <t>TỔNG CÔNG TY CỔ PHẦN THƯƠNG MẠI XÂY DỰNG</t>
        </is>
      </c>
      <c r="E16068" s="10" t="inlineStr">
        <is>
          <t>Lương:30 Tr - 50 Tr VND</t>
        </is>
      </c>
      <c r="F16068" s="10" t="inlineStr">
        <is>
          <t>Hà Nội</t>
        </is>
      </c>
      <c r="G16068" s="10" t="inlineStr">
        <is>
          <t>07-04-2026</t>
        </is>
      </c>
      <c r="H16068" s="10" t="inlineStr">
        <is>
          <t>07/04/2026</t>
        </is>
      </c>
      <c r="I16068" s="10" t="inlineStr">
        <is>
          <t>17/03/2026</t>
        </is>
      </c>
      <c r="J16068" s="10" t="inlineStr">
        <is>
          <t>Nhà hàng / Khách sạn, Du lịch, Bất động sản</t>
        </is>
      </c>
      <c r="K16068" s="10" t="inlineStr">
        <is>
          <t>5 - 10 Năm</t>
        </is>
      </c>
      <c r="L16068" s="11">
        <f>HYPERLINK("https://careerviet.vn/vi/tim-viec-lam/project-manager-hotels.35C64D8D.html","Xem chi tiết")</f>
        <v/>
      </c>
      <c r="M16068" s="10" t="n"/>
    </row>
    <row r="16069">
      <c r="B16069" s="7" t="n">
        <v>16067</v>
      </c>
      <c r="C16069" t="inlineStr">
        <is>
          <t>Giám đốc Phân tích và Quản lý rủi ro mô hình tín dụng</t>
        </is>
      </c>
      <c r="D16069" t="inlineStr">
        <is>
          <t>Ngân Hàng TMCP Quốc Tế Việt Nam</t>
        </is>
      </c>
      <c r="E16069" t="inlineStr">
        <is>
          <t>Lương:Cạnh tranh</t>
        </is>
      </c>
      <c r="F16069" t="inlineStr">
        <is>
          <t>Hồ Chí Minh</t>
        </is>
      </c>
      <c r="G16069" t="inlineStr">
        <is>
          <t>07-04-2026</t>
        </is>
      </c>
      <c r="H16069" t="inlineStr">
        <is>
          <t>07/04/2026</t>
        </is>
      </c>
      <c r="I16069" t="inlineStr">
        <is>
          <t>17/03/2026</t>
        </is>
      </c>
      <c r="J16069" t="inlineStr">
        <is>
          <t>Ngân hàng, Tài chính / Đầu tư, CNTT - Phần mềm</t>
        </is>
      </c>
      <c r="K16069" t="inlineStr">
        <is>
          <t>Trên 5 Năm</t>
        </is>
      </c>
      <c r="L16069" s="8">
        <f>HYPERLINK("https://careerviet.vn/vi/tim-viec-lam/giam-doc-phan-tich-va-quan-ly-rui-ro-mo-hinh-tin-dung.35C64B25.html","Xem chi tiết")</f>
        <v/>
      </c>
    </row>
    <row r="16070">
      <c r="B16070" s="9" t="n">
        <v>16068</v>
      </c>
      <c r="C16070" s="10" t="inlineStr">
        <is>
          <t>NHÂN VIÊN KINH DOANH CHỨNG CHỈ LÁI XE</t>
        </is>
      </c>
      <c r="D16070" s="10" t="inlineStr">
        <is>
          <t>Công ty cổ phần giáo dục Liên Việt</t>
        </is>
      </c>
      <c r="E16070" s="10" t="inlineStr">
        <is>
          <t>Lương:9 Tr - 20 Tr VND</t>
        </is>
      </c>
      <c r="F16070" s="10" t="inlineStr">
        <is>
          <t>Hà Nội</t>
        </is>
      </c>
      <c r="G16070" s="10" t="inlineStr">
        <is>
          <t>07-04-2026</t>
        </is>
      </c>
      <c r="H16070" s="10" t="inlineStr">
        <is>
          <t>07/04/2026</t>
        </is>
      </c>
      <c r="I16070" s="10" t="inlineStr">
        <is>
          <t>17/03/2026</t>
        </is>
      </c>
      <c r="J16070" s="10" t="inlineStr">
        <is>
          <t>Bán hàng / Kinh doanh</t>
        </is>
      </c>
      <c r="K16070" s="10" t="inlineStr">
        <is>
          <t>Lên đến 1 Năm</t>
        </is>
      </c>
      <c r="L16070" s="11">
        <f>HYPERLINK("https://careerviet.vn/vi/tim-viec-lam/nhan-vien-kinh-doanh-chung-chi-lai-xe.35C64B9F.html","Xem chi tiết")</f>
        <v/>
      </c>
      <c r="M16070" s="10" t="n"/>
    </row>
    <row r="16071">
      <c r="B16071" s="7" t="n">
        <v>16069</v>
      </c>
      <c r="C16071" t="inlineStr">
        <is>
          <t>Chuyên viên nhân sự TABP - mạnh tuyển dụng CNTT</t>
        </is>
      </c>
      <c r="D16071" t="inlineStr">
        <is>
          <t>Tổng Công Ty Cổ Phần Bảo Hiểm Ngân Hàng TMCP Công Thương Việt Nam</t>
        </is>
      </c>
      <c r="E16071" t="inlineStr">
        <is>
          <t>Lương:Cạnh tranh</t>
        </is>
      </c>
      <c r="F16071" t="inlineStr">
        <is>
          <t>Hà Nội</t>
        </is>
      </c>
      <c r="G16071" t="inlineStr">
        <is>
          <t>07-04-2026</t>
        </is>
      </c>
      <c r="H16071" t="inlineStr">
        <is>
          <t>07/04/2026</t>
        </is>
      </c>
      <c r="I16071" t="inlineStr">
        <is>
          <t>17/03/2026</t>
        </is>
      </c>
      <c r="J16071" t="inlineStr">
        <is>
          <t>Nhân sự</t>
        </is>
      </c>
      <c r="K16071" t="inlineStr">
        <is>
          <t>1 - 3 Năm</t>
        </is>
      </c>
      <c r="L16071" s="8">
        <f>HYPERLINK("https://careerviet.vn/vi/tim-viec-lam/chuyen-vien-nhan-su-tabp-manh-tuyen-dung-cntt.35C64E75.html","Xem chi tiết")</f>
        <v/>
      </c>
    </row>
    <row r="16072">
      <c r="B16072" s="9" t="n">
        <v>16070</v>
      </c>
      <c r="C16072" s="10" t="inlineStr">
        <is>
          <t>Nhân Viên Tư Vấn Bán Hàng Tại Showroom</t>
        </is>
      </c>
      <c r="D16072" s="10" t="inlineStr">
        <is>
          <t>Đồng Hồ Hải Triều</t>
        </is>
      </c>
      <c r="E16072" s="10" t="inlineStr">
        <is>
          <t>Lương:7 Tr - 10 Tr VND</t>
        </is>
      </c>
      <c r="F16072" s="10" t="inlineStr">
        <is>
          <t>Hà Nội</t>
        </is>
      </c>
      <c r="G16072" s="10" t="inlineStr">
        <is>
          <t>07-04-2026</t>
        </is>
      </c>
      <c r="H16072" s="10" t="inlineStr">
        <is>
          <t>07/04/2026</t>
        </is>
      </c>
      <c r="I16072" s="10" t="inlineStr">
        <is>
          <t>17/03/2026</t>
        </is>
      </c>
      <c r="J16072" s="10" t="inlineStr">
        <is>
          <t>Bán lẻ / Bán sỉ, Bán hàng / Kinh doanh, Tư vấn</t>
        </is>
      </c>
      <c r="K16072" s="10" t="inlineStr">
        <is>
          <t>N/A</t>
        </is>
      </c>
      <c r="L16072" s="11">
        <f>HYPERLINK("https://careerviet.vn/vi/tim-viec-lam/nhan-vien-tu-van-ban-hang-tai-showroom.35C64E5B.html","Xem chi tiết")</f>
        <v/>
      </c>
      <c r="M16072" s="10" t="n"/>
    </row>
    <row r="16073">
      <c r="B16073" s="7" t="n">
        <v>16071</v>
      </c>
      <c r="C16073" t="inlineStr">
        <is>
          <t>[Cần Thơ] Chuyên viên cao cấp tư vấn bảo hiểm</t>
        </is>
      </c>
      <c r="D16073" t="inlineStr">
        <is>
          <t>Ngân hàng TMCP Đại Chúng Việt Nam - PVcomBank</t>
        </is>
      </c>
      <c r="E16073" t="inlineStr">
        <is>
          <t>Lương:Cạnh tranh</t>
        </is>
      </c>
      <c r="F16073" t="inlineStr">
        <is>
          <t>Cần Thơ</t>
        </is>
      </c>
      <c r="G16073" t="inlineStr">
        <is>
          <t>07-04-2026</t>
        </is>
      </c>
      <c r="H16073" t="inlineStr">
        <is>
          <t>07/04/2026</t>
        </is>
      </c>
      <c r="I16073" t="inlineStr">
        <is>
          <t>17/03/2026</t>
        </is>
      </c>
      <c r="J16073" t="inlineStr">
        <is>
          <t>Bán hàng / Kinh doanh, Ngân hàng</t>
        </is>
      </c>
      <c r="K16073" t="inlineStr">
        <is>
          <t>Trên 1 Năm</t>
        </is>
      </c>
      <c r="L16073" s="8">
        <f>HYPERLINK("https://careerviet.vn/vi/tim-viec-lam/can-tho-chuyen-vien-cao-cap-tu-van-bao-hiem.35C64D75.html","Xem chi tiết")</f>
        <v/>
      </c>
    </row>
    <row r="16074">
      <c r="B16074" s="9" t="n">
        <v>16072</v>
      </c>
      <c r="C16074" s="10" t="inlineStr">
        <is>
          <t>Chuyên viên Kinh doanh Thiết bị Y tế (HCM)</t>
        </is>
      </c>
      <c r="D16074" s="10" t="inlineStr">
        <is>
          <t>CÔNG TY CỔ PHẦN TRANG THIẾT BỊ Y TẾ HẠNH NGUYÊN</t>
        </is>
      </c>
      <c r="E16074" s="10" t="inlineStr">
        <is>
          <t>Lương:Cạnh tranh</t>
        </is>
      </c>
      <c r="F16074" s="10" t="inlineStr">
        <is>
          <t>Hồ Chí Minh</t>
        </is>
      </c>
      <c r="G16074" s="10" t="inlineStr">
        <is>
          <t>07-04-2026</t>
        </is>
      </c>
      <c r="H16074" s="10" t="inlineStr">
        <is>
          <t>07/04/2026</t>
        </is>
      </c>
      <c r="I16074" s="10" t="inlineStr">
        <is>
          <t>17/03/2026</t>
        </is>
      </c>
      <c r="J16074" s="10" t="inlineStr">
        <is>
          <t>Tiếp thị / Marketing, Bán hàng / Kinh doanh, Y tế / Chăm sóc sức khỏe / Thẩm mỹ / Làm đẹp</t>
        </is>
      </c>
      <c r="K16074" s="10" t="inlineStr">
        <is>
          <t>1 - 2 Năm</t>
        </is>
      </c>
      <c r="L16074" s="11">
        <f>HYPERLINK("https://careerviet.vn/vi/tim-viec-lam/chuyen-vien-kinh-doanh-thiet-bi-y-te-hcm.35C64C4A.html","Xem chi tiết")</f>
        <v/>
      </c>
      <c r="M16074" s="10" t="n"/>
    </row>
    <row r="16075">
      <c r="B16075" s="7" t="n">
        <v>16073</v>
      </c>
      <c r="C16075" t="inlineStr">
        <is>
          <t>Kế toán tổng hợp (Phụ trách dự án)</t>
        </is>
      </c>
      <c r="D16075" t="inlineStr">
        <is>
          <t>CÔNG TY CỔ PHẦN ĐẦU TƯ BẤT ĐỘNG SẢN TOÀN CẦU</t>
        </is>
      </c>
      <c r="E16075" t="inlineStr">
        <is>
          <t>Lương:20 Tr - 25 Tr VND</t>
        </is>
      </c>
      <c r="F16075" t="inlineStr">
        <is>
          <t>Hà Nội</t>
        </is>
      </c>
      <c r="G16075" t="inlineStr">
        <is>
          <t>07-04-2026</t>
        </is>
      </c>
      <c r="H16075" t="inlineStr">
        <is>
          <t>07/04/2026</t>
        </is>
      </c>
      <c r="I16075" t="inlineStr">
        <is>
          <t>17/03/2026</t>
        </is>
      </c>
      <c r="J16075" t="inlineStr">
        <is>
          <t>Kế toán / Kiểm toán</t>
        </is>
      </c>
      <c r="K16075" t="inlineStr">
        <is>
          <t>3 - 5 Năm</t>
        </is>
      </c>
      <c r="L16075" s="8">
        <f>HYPERLINK("https://careerviet.vn/vi/tim-viec-lam/ke-toan-tong-hop-phu-trach-du-an.35C64D73.html","Xem chi tiết")</f>
        <v/>
      </c>
    </row>
    <row r="16076">
      <c r="B16076" s="9" t="n">
        <v>16074</v>
      </c>
      <c r="C16076" s="10" t="inlineStr">
        <is>
          <t>Nhân viên nhân sự</t>
        </is>
      </c>
      <c r="D16076" s="10" t="inlineStr">
        <is>
          <t>CÔNG TY CỔ PHẦN GREEN SPEED</t>
        </is>
      </c>
      <c r="E16076" s="10" t="inlineStr">
        <is>
          <t>Lương:10 Tr - 12,5 Tr VND</t>
        </is>
      </c>
      <c r="F16076" s="10" t="inlineStr">
        <is>
          <t>Bình Dương</t>
        </is>
      </c>
      <c r="G16076" s="10" t="inlineStr">
        <is>
          <t>07-04-2026</t>
        </is>
      </c>
      <c r="H16076" s="10" t="inlineStr">
        <is>
          <t>07/04/2026</t>
        </is>
      </c>
      <c r="I16076" s="10" t="inlineStr">
        <is>
          <t>17/03/2026</t>
        </is>
      </c>
      <c r="J16076" s="10" t="inlineStr">
        <is>
          <t>Hành chính / Thư ký, Nhân sự</t>
        </is>
      </c>
      <c r="K16076" s="10" t="inlineStr">
        <is>
          <t>2 - 3 Năm</t>
        </is>
      </c>
      <c r="L16076" s="11">
        <f>HYPERLINK("https://careerviet.vn/vi/tim-viec-lam/nhan-vien-nhan-su.35C64D0F.html","Xem chi tiết")</f>
        <v/>
      </c>
      <c r="M16076" s="10" t="n"/>
    </row>
    <row r="16077">
      <c r="B16077" s="7" t="n">
        <v>16075</v>
      </c>
      <c r="C16077" t="inlineStr">
        <is>
          <t>Chuyên viên cao cấp Tổ chức Quản lý Kế hoạch Marketing</t>
        </is>
      </c>
      <c r="D16077" t="inlineStr">
        <is>
          <t>Nova Service Group - Công ty Cổ phần Tập đoàn Nova Services</t>
        </is>
      </c>
      <c r="E16077" t="inlineStr">
        <is>
          <t>Lương:Cạnh tranh</t>
        </is>
      </c>
      <c r="F16077" t="inlineStr">
        <is>
          <t>Hồ Chí Minh</t>
        </is>
      </c>
      <c r="G16077" t="inlineStr">
        <is>
          <t>07-04-2026</t>
        </is>
      </c>
      <c r="H16077" t="inlineStr">
        <is>
          <t>07/04/2026</t>
        </is>
      </c>
      <c r="I16077" t="inlineStr">
        <is>
          <t>17/03/2026</t>
        </is>
      </c>
      <c r="J16077" t="inlineStr">
        <is>
          <t>Tiếp thị / Marketing</t>
        </is>
      </c>
      <c r="K16077" t="inlineStr">
        <is>
          <t>3 - 5 Năm</t>
        </is>
      </c>
      <c r="L16077" s="8">
        <f>HYPERLINK("https://careerviet.vn/vi/tim-viec-lam/chuyen-vien-cao-cap-to-chuc-quan-ly-ke-hoach-marketing.35C64E72.html","Xem chi tiết")</f>
        <v/>
      </c>
    </row>
    <row r="16078">
      <c r="B16078" s="9" t="n">
        <v>16076</v>
      </c>
      <c r="C16078" s="10" t="inlineStr">
        <is>
          <t>HCM - Kỹ Thuật Viên Spa - Không yêu cầu kinh nghiệm</t>
        </is>
      </c>
      <c r="D16078" s="10" t="inlineStr">
        <is>
          <t>Công ty TNHH Thiên Thủy Mộc</t>
        </is>
      </c>
      <c r="E16078" s="10" t="inlineStr">
        <is>
          <t>Lương:10 Tr - 20 Tr VND</t>
        </is>
      </c>
      <c r="F16078" s="10" t="inlineStr">
        <is>
          <t>Hồ Chí Minh</t>
        </is>
      </c>
      <c r="G16078" s="10" t="inlineStr">
        <is>
          <t>07-04-2026</t>
        </is>
      </c>
      <c r="H16078" s="10" t="inlineStr">
        <is>
          <t>07/04/2026</t>
        </is>
      </c>
      <c r="I16078" s="10" t="inlineStr">
        <is>
          <t>17/03/2026</t>
        </is>
      </c>
      <c r="J16078" s="10" t="inlineStr">
        <is>
          <t>Y tế / Chăm sóc sức khỏe / Thẩm mỹ / Làm đẹp</t>
        </is>
      </c>
      <c r="K16078" s="10" t="inlineStr">
        <is>
          <t>N/A</t>
        </is>
      </c>
      <c r="L16078" s="11">
        <f>HYPERLINK("https://careerviet.vn/vi/tim-viec-lam/hcm-ky-thuat-vien-spa-khong-yeu-cau-kinh-nghiem.35C64DC7.html","Xem chi tiết")</f>
        <v/>
      </c>
      <c r="M16078" s="10" t="n"/>
    </row>
    <row r="16079">
      <c r="B16079" s="7" t="n">
        <v>16077</v>
      </c>
      <c r="C16079" t="inlineStr">
        <is>
          <t>IT Specialist</t>
        </is>
      </c>
      <c r="D16079" t="inlineStr">
        <is>
          <t>CÔNG TY TNHH THIỀN</t>
        </is>
      </c>
      <c r="E16079" t="inlineStr">
        <is>
          <t>Lương:30 Tr - 45 Tr VND</t>
        </is>
      </c>
      <c r="F16079" t="inlineStr">
        <is>
          <t>Hà Nội</t>
        </is>
      </c>
      <c r="G16079" t="inlineStr">
        <is>
          <t>07-04-2026</t>
        </is>
      </c>
      <c r="H16079" t="inlineStr">
        <is>
          <t>07/04/2026</t>
        </is>
      </c>
      <c r="I16079" t="inlineStr">
        <is>
          <t>17/03/2026</t>
        </is>
      </c>
      <c r="J16079" t="inlineStr">
        <is>
          <t>CNTT - Phần cứng / Mạng</t>
        </is>
      </c>
      <c r="K16079" t="inlineStr">
        <is>
          <t>2 - 5 Năm</t>
        </is>
      </c>
      <c r="L16079" s="8">
        <f>HYPERLINK("https://careerviet.vn/vi/tim-viec-lam/it-specialist.35C64DF6.html","Xem chi tiết")</f>
        <v/>
      </c>
    </row>
    <row r="16080">
      <c r="B16080" s="9" t="n">
        <v>16078</v>
      </c>
      <c r="C16080" s="10" t="inlineStr">
        <is>
          <t>[HCM] Nhân viên tư vấn khóa học- Có Sẵn DATA</t>
        </is>
      </c>
      <c r="D16080" s="10" t="inlineStr">
        <is>
          <t>CÔNG TY CỔ PHẦN HỌC VIỆN MINH TRÍ THÀNH</t>
        </is>
      </c>
      <c r="E16080" s="10" t="inlineStr">
        <is>
          <t>Lương:10 Tr - 30 Tr VND</t>
        </is>
      </c>
      <c r="F16080" s="10" t="inlineStr">
        <is>
          <t>Hồ Chí Minh</t>
        </is>
      </c>
      <c r="G16080" s="10" t="inlineStr">
        <is>
          <t>07-04-2026</t>
        </is>
      </c>
      <c r="H16080" s="10" t="inlineStr">
        <is>
          <t>07/04/2026</t>
        </is>
      </c>
      <c r="I16080" s="10" t="inlineStr">
        <is>
          <t>17/03/2026</t>
        </is>
      </c>
      <c r="J16080" s="10" t="inlineStr">
        <is>
          <t>Bán hàng / Kinh doanh, Tư vấn</t>
        </is>
      </c>
      <c r="K16080" s="10" t="inlineStr">
        <is>
          <t>Lên đến 1 Năm</t>
        </is>
      </c>
      <c r="L16080" s="11">
        <f>HYPERLINK("https://careerviet.vn/vi/tim-viec-lam/hcm-nhan-vien-tu-van-khoa-hoc-co-san-data.35C64CFE.html","Xem chi tiết")</f>
        <v/>
      </c>
      <c r="M16080" s="10" t="n"/>
    </row>
    <row r="16081">
      <c r="B16081" s="7" t="n">
        <v>16079</v>
      </c>
      <c r="C16081" t="inlineStr">
        <is>
          <t>Bếp chính- Viện Thẩm mỹ Dr Hải Lê</t>
        </is>
      </c>
      <c r="D16081" t="inlineStr">
        <is>
          <t>Viện Thẩm mỹ y khoa Dr Hải Lê</t>
        </is>
      </c>
      <c r="E16081" t="inlineStr">
        <is>
          <t>Lương:12 Tr - 15 Tr VND</t>
        </is>
      </c>
      <c r="F16081" t="inlineStr">
        <is>
          <t>Hà Nội</t>
        </is>
      </c>
      <c r="G16081" t="inlineStr">
        <is>
          <t>07-04-2026</t>
        </is>
      </c>
      <c r="H16081" t="inlineStr">
        <is>
          <t>07/04/2026</t>
        </is>
      </c>
      <c r="I16081" t="inlineStr">
        <is>
          <t>17/03/2026</t>
        </is>
      </c>
      <c r="J16081" t="inlineStr">
        <is>
          <t>Y tế / Chăm sóc sức khỏe / Thẩm mỹ / Làm đẹp, Dịch vụ khách hàng, Nhà hàng / Khách sạn</t>
        </is>
      </c>
      <c r="K16081" t="inlineStr">
        <is>
          <t>N/A</t>
        </is>
      </c>
      <c r="L16081" s="8">
        <f>HYPERLINK("https://careerviet.vn/vi/tim-viec-lam/bep-chinh-vien-tham-my-dr-hai-le.35C64D1C.html","Xem chi tiết")</f>
        <v/>
      </c>
    </row>
    <row r="16082">
      <c r="B16082" s="9" t="n">
        <v>16080</v>
      </c>
      <c r="C16082" s="10" t="inlineStr">
        <is>
          <t>THU NGÂN SPA - XOAY CA 6.5 TIẾNG/CA (8 triệu - 10 triệu)</t>
        </is>
      </c>
      <c r="D16082" s="10" t="inlineStr">
        <is>
          <t>Công ty TNHH Thiên Thủy Mộc</t>
        </is>
      </c>
      <c r="E16082" s="10" t="inlineStr">
        <is>
          <t>Lương:8 Tr - 10 Tr VND</t>
        </is>
      </c>
      <c r="F16082" s="10" t="inlineStr">
        <is>
          <t>Hồ Chí Minh</t>
        </is>
      </c>
      <c r="G16082" s="10" t="inlineStr">
        <is>
          <t>07-04-2026</t>
        </is>
      </c>
      <c r="H16082" s="10" t="inlineStr">
        <is>
          <t>07/04/2026</t>
        </is>
      </c>
      <c r="I16082" s="10" t="inlineStr">
        <is>
          <t>17/03/2026</t>
        </is>
      </c>
      <c r="J16082" s="10" t="inlineStr">
        <is>
          <t>Tư vấn, Dịch vụ khách hàng, Kế toán / Kiểm toán</t>
        </is>
      </c>
      <c r="K16082" s="10" t="inlineStr">
        <is>
          <t>1 - 2 Năm</t>
        </is>
      </c>
      <c r="L16082" s="11">
        <f>HYPERLINK("https://careerviet.vn/vi/tim-viec-lam/thu-ngan-spa-xoay-ca-6-5-tieng-ca-8-trieu-10-trieu.35C64C60.html","Xem chi tiết")</f>
        <v/>
      </c>
      <c r="M16082" s="10" t="n"/>
    </row>
    <row r="16083">
      <c r="B16083" s="7" t="n">
        <v>16081</v>
      </c>
      <c r="C16083" t="inlineStr">
        <is>
          <t>[MAG] Nhân viên IE (GDS staff)</t>
        </is>
      </c>
      <c r="D16083" t="inlineStr">
        <is>
          <t>Công ty Cổ phần Tập đoàn Minh Anh</t>
        </is>
      </c>
      <c r="E16083" t="inlineStr">
        <is>
          <t>Lương:Cạnh tranh</t>
        </is>
      </c>
      <c r="F16083" t="inlineStr">
        <is>
          <t>Hà Nội</t>
        </is>
      </c>
      <c r="G16083" t="inlineStr">
        <is>
          <t>07-04-2026</t>
        </is>
      </c>
      <c r="H16083" t="inlineStr">
        <is>
          <t>07/04/2026</t>
        </is>
      </c>
      <c r="I16083" t="inlineStr">
        <is>
          <t>17/03/2026</t>
        </is>
      </c>
      <c r="J16083" t="inlineStr">
        <is>
          <t>Sản xuất / Vận hành sản xuất, Dệt may / Da giày / Thời trang, Quản lý chất lượng (QA/QC)</t>
        </is>
      </c>
      <c r="K16083" t="inlineStr">
        <is>
          <t>2 - 5 Năm</t>
        </is>
      </c>
      <c r="L16083" s="8">
        <f>HYPERLINK("https://careerviet.vn/vi/tim-viec-lam/mag-nhan-vien-ie-gds-staff.35C64E32.html","Xem chi tiết")</f>
        <v/>
      </c>
    </row>
    <row r="16084">
      <c r="B16084" s="9" t="n">
        <v>16082</v>
      </c>
      <c r="C16084" s="10" t="inlineStr">
        <is>
          <t>Chăm Sóc Khách Hàng Vé Máy Bay Biết Tiếng Anh - Thu Nhập 13 Triệu/ Tháng - Không Áp KPI - Làm Việc 5 Ngày/Tuần - Quận 12 Cũ</t>
        </is>
      </c>
      <c r="D16084" s="10" t="inlineStr">
        <is>
          <t>Vietnam Concentrix Services Company Limited</t>
        </is>
      </c>
      <c r="E16084" s="10" t="inlineStr">
        <is>
          <t>Lương:10 Tr - 13 Tr VND</t>
        </is>
      </c>
      <c r="F16084" s="10" t="inlineStr">
        <is>
          <t>Hồ Chí Minh</t>
        </is>
      </c>
      <c r="G16084" s="10" t="inlineStr">
        <is>
          <t>07-04-2026</t>
        </is>
      </c>
      <c r="H16084" s="10" t="inlineStr">
        <is>
          <t>07/04/2026</t>
        </is>
      </c>
      <c r="I16084" s="10" t="inlineStr">
        <is>
          <t>17/03/2026</t>
        </is>
      </c>
      <c r="J16084" s="10" t="inlineStr">
        <is>
          <t>Dịch vụ khách hàng, Du lịch, Nhà hàng / Khách sạn</t>
        </is>
      </c>
      <c r="K16084" s="10" t="inlineStr">
        <is>
          <t>N/A</t>
        </is>
      </c>
      <c r="L16084" s="11">
        <f>HYPERLINK("https://careerviet.vn/vi/tim-viec-lam/cham-soc-khach-hang-ve-may-bay-biet-tieng-anh-thu-nhap-13-trieu-thang-khong-ap-kpi-lam-viec-5-ngay-tuan-quan-12-cu.35C64D4D.html","Xem chi tiết")</f>
        <v/>
      </c>
      <c r="M16084" s="10" t="n"/>
    </row>
    <row r="16085">
      <c r="B16085" s="7" t="n">
        <v>16083</v>
      </c>
      <c r="C16085" t="inlineStr">
        <is>
          <t>NHÂN VIÊN CSKH VIETTEL ĐÀ NẴNG HÔM NAY ĐI LÀM LƯƠNG CAO</t>
        </is>
      </c>
      <c r="D16085" t="inlineStr">
        <is>
          <t>BellSystem24-Việt Nam</t>
        </is>
      </c>
      <c r="E16085" t="inlineStr">
        <is>
          <t>Lương:5 Tr - 9 Tr VND</t>
        </is>
      </c>
      <c r="F16085" t="inlineStr">
        <is>
          <t>Đà Nẵng</t>
        </is>
      </c>
      <c r="G16085" t="inlineStr">
        <is>
          <t>07-04-2026</t>
        </is>
      </c>
      <c r="H16085" t="inlineStr">
        <is>
          <t>07/04/2026</t>
        </is>
      </c>
      <c r="I16085" t="inlineStr">
        <is>
          <t>17/03/2026</t>
        </is>
      </c>
      <c r="J16085" t="inlineStr">
        <is>
          <t>Tư vấn, Dịch vụ khách hàng, Lao động phổ thông</t>
        </is>
      </c>
      <c r="K16085" t="inlineStr">
        <is>
          <t>N/A</t>
        </is>
      </c>
      <c r="L16085" s="8">
        <f>HYPERLINK("https://careerviet.vn/vi/tim-viec-lam/nhan-vien-cskh-viettel-da-nang-hom-nay-di-lam-luong-cao.35C64C1F.html","Xem chi tiết")</f>
        <v/>
      </c>
    </row>
    <row r="16086">
      <c r="B16086" s="9" t="n">
        <v>16084</v>
      </c>
      <c r="C16086" s="10" t="inlineStr">
        <is>
          <t>Nhân viên Chăm Sóc Khách Hàng Sau Vay</t>
        </is>
      </c>
      <c r="D16086" s="10" t="inlineStr">
        <is>
          <t>Vietnam Concentrix Services Company Limited</t>
        </is>
      </c>
      <c r="E16086" s="10" t="inlineStr">
        <is>
          <t>Lương:8 Tr - 25 Tr VND</t>
        </is>
      </c>
      <c r="F16086" s="10" t="inlineStr">
        <is>
          <t>Hồ Chí Minh</t>
        </is>
      </c>
      <c r="G16086" s="10" t="inlineStr">
        <is>
          <t>07-04-2026</t>
        </is>
      </c>
      <c r="H16086" s="10" t="inlineStr">
        <is>
          <t>07/04/2026</t>
        </is>
      </c>
      <c r="I16086" s="10" t="inlineStr">
        <is>
          <t>17/03/2026</t>
        </is>
      </c>
      <c r="J16086" s="10" t="inlineStr">
        <is>
          <t>Phi chính phủ / Phi lợi nhuận</t>
        </is>
      </c>
      <c r="K16086" s="10" t="inlineStr">
        <is>
          <t>N/A</t>
        </is>
      </c>
      <c r="L16086" s="11">
        <f>HYPERLINK("https://careerviet.vn/vi/tim-viec-lam/nhan-vien-cham-soc-khach-hang-sau-vay.35C64D4F.html","Xem chi tiết")</f>
        <v/>
      </c>
      <c r="M16086" s="10" t="n"/>
    </row>
    <row r="16087">
      <c r="B16087" s="7" t="n">
        <v>16085</v>
      </c>
      <c r="C16087" t="inlineStr">
        <is>
          <t>NHÂN VIÊN CHĂM SÓC CÂY XANH</t>
        </is>
      </c>
      <c r="D16087" t="inlineStr">
        <is>
          <t>TỔNG CÔNG TY CỔ PHẦN THƯƠNG MẠI XÂY DỰNG</t>
        </is>
      </c>
      <c r="E16087" t="inlineStr">
        <is>
          <t>Lương:6 Tr - 10 Tr VND</t>
        </is>
      </c>
      <c r="F16087" t="inlineStr">
        <is>
          <t>Hà Nội</t>
        </is>
      </c>
      <c r="G16087" t="inlineStr">
        <is>
          <t>07-04-2026</t>
        </is>
      </c>
      <c r="H16087" t="inlineStr">
        <is>
          <t>07/04/2026</t>
        </is>
      </c>
      <c r="I16087" t="inlineStr">
        <is>
          <t>17/03/2026</t>
        </is>
      </c>
      <c r="J16087" t="inlineStr">
        <is>
          <t>Nông nghiệp</t>
        </is>
      </c>
      <c r="K16087" t="inlineStr">
        <is>
          <t>1 - 2 Năm</t>
        </is>
      </c>
      <c r="L16087" s="8">
        <f>HYPERLINK("https://careerviet.vn/vi/tim-viec-lam/nhan-vien-cham-soc-cay-xanh.35C64D7D.html","Xem chi tiết")</f>
        <v/>
      </c>
    </row>
    <row r="16088">
      <c r="B16088" s="9" t="n">
        <v>16086</v>
      </c>
      <c r="C16088" s="10" t="inlineStr">
        <is>
          <t>KẾ TOÁN TRƯỞNG</t>
        </is>
      </c>
      <c r="D16088" s="10" t="inlineStr">
        <is>
          <t>TỔNG CÔNG TY CỔ PHẦN THƯƠNG MẠI XÂY DỰNG</t>
        </is>
      </c>
      <c r="E16088" s="10" t="inlineStr">
        <is>
          <t>Lương:30 Tr - 40 Tr VND</t>
        </is>
      </c>
      <c r="F16088" s="10" t="inlineStr">
        <is>
          <t>Hà Nội</t>
        </is>
      </c>
      <c r="G16088" s="10" t="inlineStr">
        <is>
          <t>07-04-2026</t>
        </is>
      </c>
      <c r="H16088" s="10" t="inlineStr">
        <is>
          <t>07/04/2026</t>
        </is>
      </c>
      <c r="I16088" s="10" t="inlineStr">
        <is>
          <t>17/03/2026</t>
        </is>
      </c>
      <c r="J16088" s="10" t="inlineStr">
        <is>
          <t>Kế toán / Kiểm toán</t>
        </is>
      </c>
      <c r="K16088" s="10" t="inlineStr">
        <is>
          <t>5 - 10 Năm</t>
        </is>
      </c>
      <c r="L16088" s="11">
        <f>HYPERLINK("https://careerviet.vn/vi/tim-viec-lam/ke-toan-truong.35C64D77.html","Xem chi tiết")</f>
        <v/>
      </c>
      <c r="M16088" s="10" t="n"/>
    </row>
    <row r="16089">
      <c r="B16089" s="7" t="n">
        <v>16087</v>
      </c>
      <c r="C16089" t="inlineStr">
        <is>
          <t>Chuyên viên cao cấp Chính sách Đãi ngộ - Khối Quản trị Nguồn Nhân lực</t>
        </is>
      </c>
      <c r="D16089" t="inlineStr">
        <is>
          <t>Ngân Hàng TMCP Tiên Phong (TPBank)</t>
        </is>
      </c>
      <c r="E16089" t="inlineStr">
        <is>
          <t>Lương:25 Tr - 35 Tr VND</t>
        </is>
      </c>
      <c r="F16089" t="inlineStr">
        <is>
          <t>Hà Nội</t>
        </is>
      </c>
      <c r="G16089" t="inlineStr">
        <is>
          <t>07-04-2026</t>
        </is>
      </c>
      <c r="H16089" t="inlineStr">
        <is>
          <t>07/04/2026</t>
        </is>
      </c>
      <c r="I16089" t="inlineStr">
        <is>
          <t>17/03/2026</t>
        </is>
      </c>
      <c r="J16089" t="inlineStr">
        <is>
          <t>Ngành khác, Ngân hàng, Nhân sự</t>
        </is>
      </c>
      <c r="K16089" t="inlineStr">
        <is>
          <t>5 - 7 Năm</t>
        </is>
      </c>
      <c r="L16089" s="8">
        <f>HYPERLINK("https://careerviet.vn/vi/tim-viec-lam/chuyen-vien-cao-cap-chinh-sach-dai-ngo-khoi-quan-tri-nguon-nhan-luc.35C64D96.html","Xem chi tiết")</f>
        <v/>
      </c>
    </row>
    <row r="16090">
      <c r="B16090" s="9" t="n">
        <v>16088</v>
      </c>
      <c r="C16090" s="10" t="inlineStr">
        <is>
          <t>Sales Specialist (MNC Clients)</t>
        </is>
      </c>
      <c r="D16090" s="10" t="inlineStr">
        <is>
          <t>Công ty CP Thành Thành Công - Biên Hòa</t>
        </is>
      </c>
      <c r="E16090" s="10" t="inlineStr">
        <is>
          <t>Lương:Cạnh tranh</t>
        </is>
      </c>
      <c r="F16090" s="10" t="inlineStr">
        <is>
          <t>Hồ Chí Minh</t>
        </is>
      </c>
      <c r="G16090" s="10" t="inlineStr">
        <is>
          <t>07-04-2026</t>
        </is>
      </c>
      <c r="H16090" s="10" t="inlineStr">
        <is>
          <t>07/04/2026</t>
        </is>
      </c>
      <c r="I16090" s="10" t="inlineStr">
        <is>
          <t>17/03/2026</t>
        </is>
      </c>
      <c r="J16090" s="10" t="inlineStr">
        <is>
          <t>Bán hàng / Kinh doanh</t>
        </is>
      </c>
      <c r="K16090" s="10" t="inlineStr">
        <is>
          <t>Trên 3 Năm</t>
        </is>
      </c>
      <c r="L16090" s="11">
        <f>HYPERLINK("https://careerviet.vn/vi/tim-viec-lam/sales-specialist-mnc-clients.35C64D4E.html","Xem chi tiết")</f>
        <v/>
      </c>
      <c r="M16090" s="10" t="n"/>
    </row>
    <row r="16091">
      <c r="B16091" s="7" t="n">
        <v>16089</v>
      </c>
      <c r="C16091" t="inlineStr">
        <is>
          <t>[Huế]Chuyên Viên Khách Hàng Cá Nhân</t>
        </is>
      </c>
      <c r="D16091" t="inlineStr">
        <is>
          <t>ABBANK - Ngân Hàng TMCP An Bình</t>
        </is>
      </c>
      <c r="E16091" t="inlineStr">
        <is>
          <t>Lương:Cạnh tranh</t>
        </is>
      </c>
      <c r="F16091" t="inlineStr">
        <is>
          <t>Thừa Thiên- Huế</t>
        </is>
      </c>
      <c r="G16091" t="inlineStr">
        <is>
          <t>07-04-2026</t>
        </is>
      </c>
      <c r="H16091" t="inlineStr">
        <is>
          <t>07/04/2026</t>
        </is>
      </c>
      <c r="I16091" t="inlineStr">
        <is>
          <t>17/03/2026</t>
        </is>
      </c>
      <c r="J16091" t="inlineStr">
        <is>
          <t>Dịch vụ khách hàng, Ngân hàng, Tài chính / Đầu tư</t>
        </is>
      </c>
      <c r="K16091" t="inlineStr">
        <is>
          <t>Trên 1 Năm</t>
        </is>
      </c>
      <c r="L16091" s="8">
        <f>HYPERLINK("https://careerviet.vn/vi/tim-viec-lam/hue-chuyen-vien-khach-hang-ca-nhan.35C64CDA.html","Xem chi tiết")</f>
        <v/>
      </c>
    </row>
    <row r="16092">
      <c r="B16092" s="9" t="n">
        <v>16090</v>
      </c>
      <c r="C16092" s="10" t="inlineStr">
        <is>
          <t>NHÂN VIÊN XUẤT NHẬP KHẨU – MUA HÀNG QUỐC TẾ &amp; NỘI ĐỊA</t>
        </is>
      </c>
      <c r="D16092" s="10" t="inlineStr">
        <is>
          <t>Công Ty TNHH XNK Cầu Nối Việt</t>
        </is>
      </c>
      <c r="E16092" s="10" t="inlineStr">
        <is>
          <t>Lương:11 Tr - 13 Tr VND</t>
        </is>
      </c>
      <c r="F16092" s="10" t="inlineStr">
        <is>
          <t>Hà Nội</t>
        </is>
      </c>
      <c r="G16092" s="10" t="inlineStr">
        <is>
          <t>31-05-2026</t>
        </is>
      </c>
      <c r="H16092" s="10" t="inlineStr">
        <is>
          <t>31/05/2026</t>
        </is>
      </c>
      <c r="I16092" s="10" t="inlineStr">
        <is>
          <t>17/03/2026</t>
        </is>
      </c>
      <c r="J16092" s="10" t="inlineStr">
        <is>
          <t>Xuất nhập khẩu, Thu mua / Vật tư</t>
        </is>
      </c>
      <c r="K16092" s="10" t="inlineStr">
        <is>
          <t>1 - 10 Năm</t>
        </is>
      </c>
      <c r="L16092" s="11">
        <f>HYPERLINK("https://careerviet.vn/vi/tim-viec-lam/nhan-vien-xuat-nhap-khau-mua-hang-quoc-te-noi-dia.35C69448.html","Xem chi tiết")</f>
        <v/>
      </c>
      <c r="M16092" s="10" t="n"/>
    </row>
    <row r="16093">
      <c r="B16093" s="7" t="n">
        <v>16091</v>
      </c>
      <c r="C16093" t="inlineStr">
        <is>
          <t>Trưởng Nhóm Kinh Doanh</t>
        </is>
      </c>
      <c r="D16093" t="inlineStr">
        <is>
          <t>CÔNG TY TNHH HEBE STYLE</t>
        </is>
      </c>
      <c r="E16093" t="inlineStr">
        <is>
          <t>Lương:Trên 14 Tr VND</t>
        </is>
      </c>
      <c r="F16093" t="inlineStr">
        <is>
          <t>Hà Nội</t>
        </is>
      </c>
      <c r="G16093" t="inlineStr">
        <is>
          <t>07-04-2026</t>
        </is>
      </c>
      <c r="H16093" t="inlineStr">
        <is>
          <t>07/04/2026</t>
        </is>
      </c>
      <c r="I16093" t="inlineStr">
        <is>
          <t>17/03/2026</t>
        </is>
      </c>
      <c r="J16093" t="inlineStr">
        <is>
          <t>Bán hàng / Kinh doanh, Dược phẩm/ Hóa Mỹ Phẩm, Tư vấn</t>
        </is>
      </c>
      <c r="K16093" t="inlineStr">
        <is>
          <t>Trên 2 Năm</t>
        </is>
      </c>
      <c r="L16093" s="8">
        <f>HYPERLINK("https://careerviet.vn/vi/tim-viec-lam/truong-nhom-kinh-doanh.35C64E50.html","Xem chi tiết")</f>
        <v/>
      </c>
    </row>
    <row r="16094">
      <c r="B16094" s="9" t="n">
        <v>16092</v>
      </c>
      <c r="C16094" s="10" t="inlineStr">
        <is>
          <t>Chuyên Viên Đào Tạo – Tuyển Dụng</t>
        </is>
      </c>
      <c r="D16094" s="10" t="inlineStr">
        <is>
          <t>CÔNG TY CỔ PHẨN ỨNG DỤNG VÀ CHUYỂN GIAO CÔNG NGHỆ XÂY DỰNG (CJSC)</t>
        </is>
      </c>
      <c r="E16094" s="10" t="inlineStr">
        <is>
          <t>Lương:15 Tr - 20 Tr VND</t>
        </is>
      </c>
      <c r="F16094" s="10" t="inlineStr">
        <is>
          <t>Hà Nội</t>
        </is>
      </c>
      <c r="G16094" s="10" t="inlineStr">
        <is>
          <t>07-04-2026</t>
        </is>
      </c>
      <c r="H16094" s="10" t="inlineStr">
        <is>
          <t>07/04/2026</t>
        </is>
      </c>
      <c r="I16094" s="10" t="inlineStr">
        <is>
          <t>17/03/2026</t>
        </is>
      </c>
      <c r="J16094" s="10" t="inlineStr">
        <is>
          <t>Nhân sự, Hành chính / Thư ký, Giáo dục / Đào tạo</t>
        </is>
      </c>
      <c r="K16094" s="10" t="inlineStr">
        <is>
          <t>Trên 3 Năm</t>
        </is>
      </c>
      <c r="L16094" s="11">
        <f>HYPERLINK("https://careerviet.vn/vi/tim-viec-lam/chuyen-vien-dao-tao-tuyen-dung.35C64E3C.html","Xem chi tiết")</f>
        <v/>
      </c>
      <c r="M16094" s="10" t="n"/>
    </row>
    <row r="16095">
      <c r="B16095" s="7" t="n">
        <v>16093</v>
      </c>
      <c r="C16095" t="inlineStr">
        <is>
          <t>VICE DIRECTOR OF DESIGN</t>
        </is>
      </c>
      <c r="D16095" t="inlineStr">
        <is>
          <t>TỔNG CÔNG TY CỔ PHẦN THƯƠNG MẠI XÂY DỰNG</t>
        </is>
      </c>
      <c r="E16095" t="inlineStr">
        <is>
          <t>Lương:40 Tr - 60 Tr VND</t>
        </is>
      </c>
      <c r="F16095" t="inlineStr">
        <is>
          <t>Hà Nội</t>
        </is>
      </c>
      <c r="G16095" t="inlineStr">
        <is>
          <t>07-04-2026</t>
        </is>
      </c>
      <c r="H16095" t="inlineStr">
        <is>
          <t>07/04/2026</t>
        </is>
      </c>
      <c r="I16095" t="inlineStr">
        <is>
          <t>17/03/2026</t>
        </is>
      </c>
      <c r="J16095" t="inlineStr">
        <is>
          <t>Mỹ thuật / Nghệ thuật / Thiết kế</t>
        </is>
      </c>
      <c r="K16095" t="inlineStr">
        <is>
          <t>5 - 10 Năm</t>
        </is>
      </c>
      <c r="L16095" s="8">
        <f>HYPERLINK("https://careerviet.vn/vi/tim-viec-lam/vice-director-of-design.35C64DA8.html","Xem chi tiết")</f>
        <v/>
      </c>
    </row>
    <row r="16096">
      <c r="B16096" s="9" t="n">
        <v>16094</v>
      </c>
      <c r="C16096" s="10" t="inlineStr">
        <is>
          <t>Junior Product Specialist, Documents</t>
        </is>
      </c>
      <c r="D16096" s="10" t="inlineStr">
        <is>
          <t>Công Ty Liên Doanh Orana Viet Nam</t>
        </is>
      </c>
      <c r="E16096" s="10" t="inlineStr">
        <is>
          <t>Lương:Cạnh tranh</t>
        </is>
      </c>
      <c r="F16096" s="10" t="inlineStr">
        <is>
          <t>Hồ Chí Minh</t>
        </is>
      </c>
      <c r="G16096" s="10" t="inlineStr">
        <is>
          <t>07-04-2026</t>
        </is>
      </c>
      <c r="H16096" s="10" t="inlineStr">
        <is>
          <t>07/04/2026</t>
        </is>
      </c>
      <c r="I16096" s="10" t="inlineStr">
        <is>
          <t>17/03/2026</t>
        </is>
      </c>
      <c r="J16096" s="10" t="inlineStr">
        <is>
          <t>Thực phẩm &amp; Đồ uống</t>
        </is>
      </c>
      <c r="K16096" s="10" t="inlineStr">
        <is>
          <t>N/A</t>
        </is>
      </c>
      <c r="L16096" s="11">
        <f>HYPERLINK("https://careerviet.vn/vi/tim-viec-lam/junior-product-specialist-documents.35C64C7E.html","Xem chi tiết")</f>
        <v/>
      </c>
      <c r="M16096" s="10" t="n"/>
    </row>
    <row r="16097">
      <c r="B16097" s="7" t="n">
        <v>16095</v>
      </c>
      <c r="C16097" t="inlineStr">
        <is>
          <t>GIÁM SÁT XÂY DỰNG</t>
        </is>
      </c>
      <c r="D16097" t="inlineStr">
        <is>
          <t>CÔNG TY TNHH TM XD CHỐNG THẤM  HOÀNG CHƯƠNG</t>
        </is>
      </c>
      <c r="E16097" t="inlineStr">
        <is>
          <t>Lương:12 Tr - 15 Tr VND</t>
        </is>
      </c>
      <c r="F16097" t="inlineStr">
        <is>
          <t>Hồ Chí MinhBà Rịa - Vũng Tàu</t>
        </is>
      </c>
      <c r="G16097" t="inlineStr">
        <is>
          <t>07-04-2026</t>
        </is>
      </c>
      <c r="H16097" t="inlineStr">
        <is>
          <t>07/04/2026</t>
        </is>
      </c>
      <c r="I16097" t="inlineStr">
        <is>
          <t>17/03/2026</t>
        </is>
      </c>
      <c r="J16097" t="inlineStr">
        <is>
          <t>Kiến trúc, Xây dựng, Nội ngoại thất</t>
        </is>
      </c>
      <c r="K16097" t="inlineStr">
        <is>
          <t>2 - 5 Năm</t>
        </is>
      </c>
      <c r="L16097" s="8">
        <f>HYPERLINK("https://careerviet.vn/vi/tim-viec-lam/giam-sat-xay-dung.35C64D3B.html","Xem chi tiết")</f>
        <v/>
      </c>
    </row>
    <row r="16098">
      <c r="B16098" s="9" t="n">
        <v>16096</v>
      </c>
      <c r="C16098" s="10" t="inlineStr">
        <is>
          <t>Quản lý Kinh Doanh</t>
        </is>
      </c>
      <c r="D16098" s="10" t="inlineStr">
        <is>
          <t>CÔNG TY CỔ PHẦN THƯƠNG MẠI VÀ DƯỢC PHẨM TÂN THÀNH</t>
        </is>
      </c>
      <c r="E16098" s="10" t="inlineStr">
        <is>
          <t>Lương:Trên 20 Tr VND</t>
        </is>
      </c>
      <c r="F16098" s="10" t="inlineStr">
        <is>
          <t>Hà NộiBắc NinhHải Phòng</t>
        </is>
      </c>
      <c r="G16098" s="10" t="inlineStr">
        <is>
          <t>07-04-2026</t>
        </is>
      </c>
      <c r="H16098" s="10" t="inlineStr">
        <is>
          <t>07/04/2026</t>
        </is>
      </c>
      <c r="I16098" s="10" t="inlineStr">
        <is>
          <t>17/03/2026</t>
        </is>
      </c>
      <c r="J16098" s="10" t="inlineStr">
        <is>
          <t>Tiếp thị / Marketing, Bán hàng / Kinh doanh, Y tế / Chăm sóc sức khỏe / Thẩm mỹ / Làm đẹp</t>
        </is>
      </c>
      <c r="K16098" s="10" t="inlineStr">
        <is>
          <t>N/A</t>
        </is>
      </c>
      <c r="L16098" s="11">
        <f>HYPERLINK("https://careerviet.vn/vi/tim-viec-lam/quan-ly-kinh-doanh.35C64CA1.html","Xem chi tiết")</f>
        <v/>
      </c>
      <c r="M16098" s="10" t="n"/>
    </row>
    <row r="16099">
      <c r="B16099" s="7" t="n">
        <v>16097</v>
      </c>
      <c r="C16099" t="inlineStr">
        <is>
          <t>Chuyên viên Tổ chức triển khai và Vận hành ứng dụng CNTT</t>
        </is>
      </c>
      <c r="D16099" t="inlineStr">
        <is>
          <t>Nova Service Group - Công ty Cổ phần Tập đoàn Nova Services</t>
        </is>
      </c>
      <c r="E16099" t="inlineStr">
        <is>
          <t>Lương:Cạnh tranh</t>
        </is>
      </c>
      <c r="F16099" t="inlineStr">
        <is>
          <t>Hồ Chí Minh</t>
        </is>
      </c>
      <c r="G16099" t="inlineStr">
        <is>
          <t>07-04-2026</t>
        </is>
      </c>
      <c r="H16099" t="inlineStr">
        <is>
          <t>07/04/2026</t>
        </is>
      </c>
      <c r="I16099" t="inlineStr">
        <is>
          <t>17/03/2026</t>
        </is>
      </c>
      <c r="J16099" t="inlineStr">
        <is>
          <t>CNTT - Phần mềm</t>
        </is>
      </c>
      <c r="K16099" t="inlineStr">
        <is>
          <t>4 - 5 Năm</t>
        </is>
      </c>
      <c r="L16099" s="8">
        <f>HYPERLINK("https://careerviet.vn/vi/tim-viec-lam/chuyen-vien-to-chuc-trien-khai-va-van-hanh-ung-dung-cntt.35C64E05.html","Xem chi tiết")</f>
        <v/>
      </c>
    </row>
    <row r="16100">
      <c r="B16100" s="9" t="n">
        <v>16098</v>
      </c>
      <c r="C16100" s="10" t="inlineStr">
        <is>
          <t>Nhân Viên Livestream Kênh Tiktok, Shopee (Ngành Mẹ và Bé)</t>
        </is>
      </c>
      <c r="D16100" s="10" t="inlineStr">
        <is>
          <t>Công Ty TNHH XNK Cầu Nối Việt</t>
        </is>
      </c>
      <c r="E16100" s="10" t="inlineStr">
        <is>
          <t>Lương:14 Tr - 20 Tr VND</t>
        </is>
      </c>
      <c r="F16100" s="10" t="inlineStr">
        <is>
          <t>Hà Nội</t>
        </is>
      </c>
      <c r="G16100" s="10" t="inlineStr">
        <is>
          <t>31-05-2026</t>
        </is>
      </c>
      <c r="H16100" s="10" t="inlineStr">
        <is>
          <t>31/05/2026</t>
        </is>
      </c>
      <c r="I16100" s="10" t="inlineStr">
        <is>
          <t>17/03/2026</t>
        </is>
      </c>
      <c r="J16100" s="10" t="inlineStr">
        <is>
          <t>Bán hàng / Kinh doanh, Tiếp thị trực tuyến, Thương mại điện tử</t>
        </is>
      </c>
      <c r="K16100" s="10" t="inlineStr">
        <is>
          <t>1 - 5 Năm</t>
        </is>
      </c>
      <c r="L16100" s="11">
        <f>HYPERLINK("https://careerviet.vn/vi/tim-viec-lam/nhan-vien-livestream-kenh-tiktok-shopee-nganh-me-va-be.35C69444.html","Xem chi tiết")</f>
        <v/>
      </c>
      <c r="M16100" s="10" t="n"/>
    </row>
    <row r="16101">
      <c r="B16101" s="7" t="n">
        <v>16099</v>
      </c>
      <c r="C16101" t="inlineStr">
        <is>
          <t>Nhân viên Hành chính - Thu phí Ban quản lý tòa nhà - Tuyển gấp</t>
        </is>
      </c>
      <c r="D16101" t="inlineStr">
        <is>
          <t>Công Ty Cổ Phần Quản Lý Bất Động Sản Nam Sài Gòn</t>
        </is>
      </c>
      <c r="E16101" t="inlineStr">
        <is>
          <t>Lương:7 Tr - 8,5 Tr VND</t>
        </is>
      </c>
      <c r="F16101" t="inlineStr">
        <is>
          <t>Hồ Chí Minh</t>
        </is>
      </c>
      <c r="G16101" t="inlineStr">
        <is>
          <t>31-03-2026</t>
        </is>
      </c>
      <c r="H16101" t="inlineStr">
        <is>
          <t>31/03/2026</t>
        </is>
      </c>
      <c r="I16101" t="inlineStr">
        <is>
          <t>17/03/2026</t>
        </is>
      </c>
      <c r="J16101" t="inlineStr">
        <is>
          <t>Hành chính / Thư ký, Nhân sự, Luật / Pháp lý</t>
        </is>
      </c>
      <c r="K16101" t="inlineStr">
        <is>
          <t>2 - 3 Năm</t>
        </is>
      </c>
      <c r="L16101" s="8">
        <f>HYPERLINK("https://careerviet.vn/vi/tim-viec-lam/nhan-vien-hanh-chinh-thu-phi-ban-quan-ly-toa-nha-tuyen-gap.35C691A6.html","Xem chi tiết")</f>
        <v/>
      </c>
    </row>
    <row r="16102">
      <c r="B16102" s="9" t="n">
        <v>16100</v>
      </c>
      <c r="C16102" s="10" t="inlineStr">
        <is>
          <t>126514 - Tiếng Trung - Chuyên viên Kinh doanh - ngành Thương mại</t>
        </is>
      </c>
      <c r="D16102" s="10" t="inlineStr">
        <is>
          <t>RGF HR Agent Vietnam Co., LTD</t>
        </is>
      </c>
      <c r="E16102" s="10" t="inlineStr">
        <is>
          <t>Lương:18 Tr - 25 Tr VND</t>
        </is>
      </c>
      <c r="F16102" s="10" t="inlineStr">
        <is>
          <t>Hà Nội</t>
        </is>
      </c>
      <c r="G16102" s="10" t="inlineStr">
        <is>
          <t>07-04-2026</t>
        </is>
      </c>
      <c r="H16102" s="10" t="inlineStr">
        <is>
          <t>07/04/2026</t>
        </is>
      </c>
      <c r="I16102" s="10" t="inlineStr">
        <is>
          <t>17/03/2026</t>
        </is>
      </c>
      <c r="J16102" s="10" t="inlineStr">
        <is>
          <t>Bán hàng / Kinh doanh</t>
        </is>
      </c>
      <c r="K16102" s="10" t="inlineStr">
        <is>
          <t>Trên 2 Năm</t>
        </is>
      </c>
      <c r="L16102" s="11">
        <f>HYPERLINK("https://careerviet.vn/vi/tim-viec-lam/126514-tieng-trung-chuyen-vien-kinh-doanh-nganh-thuong-mai.35C64D71.html","Xem chi tiết")</f>
        <v/>
      </c>
      <c r="M16102" s="10" t="n"/>
    </row>
    <row r="16103">
      <c r="B16103" s="7" t="n">
        <v>16101</v>
      </c>
      <c r="C16103" t="inlineStr">
        <is>
          <t>Tuyển dụng Tổng đài viên</t>
        </is>
      </c>
      <c r="D16103" t="inlineStr">
        <is>
          <t>Tổng Công Ty Cổ Phần Bảo Hiểm Ngân Hàng TMCP Công Thương Việt Nam</t>
        </is>
      </c>
      <c r="E16103" t="inlineStr">
        <is>
          <t>Lương:8 Tr - 10 Tr VND</t>
        </is>
      </c>
      <c r="F16103" t="inlineStr">
        <is>
          <t>Hà Nội</t>
        </is>
      </c>
      <c r="G16103" t="inlineStr">
        <is>
          <t>07-04-2026</t>
        </is>
      </c>
      <c r="H16103" t="inlineStr">
        <is>
          <t>07/04/2026</t>
        </is>
      </c>
      <c r="I16103" t="inlineStr">
        <is>
          <t>17/03/2026</t>
        </is>
      </c>
      <c r="J16103" t="inlineStr">
        <is>
          <t>Bảo hiểm, Dịch vụ khách hàng, Tư vấn</t>
        </is>
      </c>
      <c r="K16103" t="inlineStr">
        <is>
          <t>1 - 3 Năm</t>
        </is>
      </c>
      <c r="L16103" s="8">
        <f>HYPERLINK("https://careerviet.vn/vi/tim-viec-lam/tuyen-dung-tong-dai-vien.35C64E7C.html","Xem chi tiết")</f>
        <v/>
      </c>
    </row>
    <row r="16104">
      <c r="B16104" s="9" t="n">
        <v>16102</v>
      </c>
      <c r="C16104" s="10" t="inlineStr">
        <is>
          <t>Nhân viên Nghiên cứu và Phát triển (R&amp;D)</t>
        </is>
      </c>
      <c r="D16104" s="10" t="inlineStr">
        <is>
          <t>ANDROS Vietnam - Công Ty TNHH Sản Xuất Trái Cây Hùng Phát</t>
        </is>
      </c>
      <c r="E16104" s="10" t="inlineStr">
        <is>
          <t>Lương:Cạnh tranh</t>
        </is>
      </c>
      <c r="F16104" s="10" t="inlineStr">
        <is>
          <t>Đồng Tháp</t>
        </is>
      </c>
      <c r="G16104" s="10" t="inlineStr">
        <is>
          <t>31-03-2026</t>
        </is>
      </c>
      <c r="H16104" s="10" t="inlineStr">
        <is>
          <t>31/03/2026</t>
        </is>
      </c>
      <c r="I16104" s="10" t="inlineStr">
        <is>
          <t>17/03/2026</t>
        </is>
      </c>
      <c r="J16104" s="10" t="inlineStr">
        <is>
          <t>Công nghệ thực phẩm / Dinh dưỡng, Thực phẩm &amp; Đồ uống</t>
        </is>
      </c>
      <c r="K16104" s="10" t="inlineStr">
        <is>
          <t>1 - 2 Năm</t>
        </is>
      </c>
      <c r="L16104" s="11">
        <f>HYPERLINK("https://careerviet.vn/vi/tim-viec-lam/nhan-vien-nghien-cuu-va-phat-trien-r-d.35C64C48.html","Xem chi tiết")</f>
        <v/>
      </c>
      <c r="M16104" s="10" t="n"/>
    </row>
    <row r="16105">
      <c r="B16105" s="7" t="n">
        <v>16103</v>
      </c>
      <c r="C16105" t="inlineStr">
        <is>
          <t>KTS CONCEPT 3D</t>
        </is>
      </c>
      <c r="D16105" t="inlineStr">
        <is>
          <t>Công ty cổ phần Kovitech</t>
        </is>
      </c>
      <c r="E16105" t="inlineStr">
        <is>
          <t>Lương:15 Tr - 20 Tr VND</t>
        </is>
      </c>
      <c r="F16105" t="inlineStr">
        <is>
          <t>Hà Nội</t>
        </is>
      </c>
      <c r="G16105" t="inlineStr">
        <is>
          <t>6</t>
        </is>
      </c>
      <c r="H16105" t="inlineStr">
        <is>
          <t>23/03/2026</t>
        </is>
      </c>
      <c r="I16105" t="inlineStr">
        <is>
          <t>17/03/2026</t>
        </is>
      </c>
      <c r="J16105" t="inlineStr">
        <is>
          <t>Kiến trúc, Nội ngoại thất, Xây dựng</t>
        </is>
      </c>
      <c r="K16105" t="inlineStr">
        <is>
          <t>1 - 2 Năm</t>
        </is>
      </c>
      <c r="L16105" s="8">
        <f>HYPERLINK("https://careerviet.vn/vi/tim-viec-lam/kts-concept-3d.35C6941F.html","Xem chi tiết")</f>
        <v/>
      </c>
    </row>
    <row r="16106">
      <c r="B16106" s="9" t="n">
        <v>16104</v>
      </c>
      <c r="C16106" s="10" t="inlineStr">
        <is>
          <t>Giám đốc Chi nhánh Quảng Ninh - Khách hàng Doanh nghiệp</t>
        </is>
      </c>
      <c r="D16106" s="10" t="inlineStr">
        <is>
          <t>Ngân hàng TMCP Đại Chúng Việt Nam - PVcomBank</t>
        </is>
      </c>
      <c r="E16106" s="10" t="inlineStr">
        <is>
          <t>Lương:Cạnh tranh</t>
        </is>
      </c>
      <c r="F16106" s="10" t="inlineStr">
        <is>
          <t>Quảng Ninh</t>
        </is>
      </c>
      <c r="G16106" s="10" t="inlineStr">
        <is>
          <t>07-04-2026</t>
        </is>
      </c>
      <c r="H16106" s="10" t="inlineStr">
        <is>
          <t>07/04/2026</t>
        </is>
      </c>
      <c r="I16106" s="10" t="inlineStr">
        <is>
          <t>17/03/2026</t>
        </is>
      </c>
      <c r="J16106" s="10" t="inlineStr">
        <is>
          <t>Ngân hàng</t>
        </is>
      </c>
      <c r="K16106" s="10" t="inlineStr">
        <is>
          <t>3 - 5 Năm</t>
        </is>
      </c>
      <c r="L16106" s="11">
        <f>HYPERLINK("https://careerviet.vn/vi/tim-viec-lam/giam-doc-chi-nhanh-quang-ninh-khach-hang-doanh-nghiep.35C64CF5.html","Xem chi tiết")</f>
        <v/>
      </c>
      <c r="M16106" s="10" t="n"/>
    </row>
    <row r="16107">
      <c r="B16107" s="7" t="n">
        <v>16105</v>
      </c>
      <c r="C16107" t="inlineStr">
        <is>
          <t>CHUYÊN VIÊN KỸ THUẬT SẢN XUẤT NỘI THẤT</t>
        </is>
      </c>
      <c r="D16107" t="inlineStr">
        <is>
          <t>CÔNG TY CỔ PHẦN SẢN XUẤT THƯƠNG MẠI XÂY DỰNG TRANG TRÍ NỘI THẤT G.S VIỆT NAM</t>
        </is>
      </c>
      <c r="E16107" t="inlineStr">
        <is>
          <t>Lương:Trên 15 Tr VND</t>
        </is>
      </c>
      <c r="F16107" t="inlineStr">
        <is>
          <t>Bình Dương</t>
        </is>
      </c>
      <c r="G16107" t="inlineStr">
        <is>
          <t>09-03-2026</t>
        </is>
      </c>
      <c r="H16107" t="inlineStr">
        <is>
          <t>24/02/2026</t>
        </is>
      </c>
      <c r="I16107" t="inlineStr">
        <is>
          <t>17/03/2026</t>
        </is>
      </c>
      <c r="J16107" t="inlineStr">
        <is>
          <t>Sản xuất / Vận hành sản xuất, Đồ gỗ, Nội ngoại thất</t>
        </is>
      </c>
      <c r="K16107" t="inlineStr">
        <is>
          <t>2 - 5 Năm</t>
        </is>
      </c>
      <c r="L16107" s="8">
        <f>HYPERLINK("https://careerviet.vn/vi/tim-viec-lam/chuyen-vien-ky-thuat-san-xuat-noi-that.35C69069.html","Xem chi tiết")</f>
        <v/>
      </c>
    </row>
    <row r="16108">
      <c r="B16108" s="9" t="n">
        <v>16106</v>
      </c>
      <c r="C16108" s="10" t="inlineStr">
        <is>
          <t>Nhân Viên Kỹ Thuật</t>
        </is>
      </c>
      <c r="D16108" s="10" t="inlineStr">
        <is>
          <t>CÔNG TY TNHH CHEMTROVINA</t>
        </is>
      </c>
      <c r="E16108" s="10" t="inlineStr">
        <is>
          <t>Lương:Cạnh tranh</t>
        </is>
      </c>
      <c r="F16108" s="10" t="inlineStr">
        <is>
          <t>Đồng Nai</t>
        </is>
      </c>
      <c r="G16108" s="10" t="inlineStr">
        <is>
          <t>6</t>
        </is>
      </c>
      <c r="H16108" s="10" t="inlineStr">
        <is>
          <t>23/03/2026</t>
        </is>
      </c>
      <c r="I16108" s="10" t="inlineStr">
        <is>
          <t>17/03/2026</t>
        </is>
      </c>
      <c r="J16108" s="10" t="inlineStr">
        <is>
          <t>Điện / Điện tử / Điện lạnh / Điện công nghiệp, Bảo trì / Sửa chữa</t>
        </is>
      </c>
      <c r="K16108" s="10" t="inlineStr">
        <is>
          <t>về lĩnh vực ĐIỆN TỬ (KHÔNG CÓ KINH NGHIỆM SẼ ĐƯỢC ĐÀO TẠO)</t>
        </is>
      </c>
      <c r="L16108" s="11">
        <f>HYPERLINK("https://careerviet.vn/vi/tim-viec-lam/nhan-vien-ky-thuat.35C69228.html","Xem chi tiết")</f>
        <v/>
      </c>
      <c r="M16108" s="10" t="n"/>
    </row>
    <row r="16109">
      <c r="B16109" s="7" t="n">
        <v>16107</v>
      </c>
      <c r="C16109" t="inlineStr">
        <is>
          <t>[TP.HCM] GIÁM SÁT NHÀ HÀNG -TIAN LONG</t>
        </is>
      </c>
      <c r="D16109" t="inlineStr">
        <is>
          <t>Công Ty Cổ Phần Tầm Nhìn Quốc Tế Aladdin</t>
        </is>
      </c>
      <c r="E16109" t="inlineStr">
        <is>
          <t>Lương:10 Tr - 13 Tr VND</t>
        </is>
      </c>
      <c r="F16109" t="inlineStr">
        <is>
          <t>Hồ Chí Minh</t>
        </is>
      </c>
      <c r="G16109" t="inlineStr">
        <is>
          <t>24-03-2026</t>
        </is>
      </c>
      <c r="H16109" t="inlineStr">
        <is>
          <t>24/03/2026</t>
        </is>
      </c>
      <c r="I16109" t="inlineStr">
        <is>
          <t>17/03/2026</t>
        </is>
      </c>
      <c r="J16109" t="inlineStr">
        <is>
          <t>Thực phẩm &amp; Đồ uống, Nhà hàng / Khách sạn, Quản lý điều hành</t>
        </is>
      </c>
      <c r="K16109" t="inlineStr">
        <is>
          <t>Trên 2 Năm</t>
        </is>
      </c>
      <c r="L16109" s="8">
        <f>HYPERLINK("https://careerviet.vn/vi/tim-viec-lam/tp-hcm-giam-sat-nha-hang-tian-long.35C6942E.html","Xem chi tiết")</f>
        <v/>
      </c>
    </row>
    <row r="16110">
      <c r="B16110" s="9" t="n">
        <v>16108</v>
      </c>
      <c r="C16110" s="10" t="inlineStr">
        <is>
          <t>NHÂN VIÊN SALES ADMIN</t>
        </is>
      </c>
      <c r="D16110" s="10" t="inlineStr">
        <is>
          <t>Mystery of Mekong - Công Ty TNHH Du Lịch Mê Kông Huyền Bí</t>
        </is>
      </c>
      <c r="E16110" s="10" t="inlineStr">
        <is>
          <t>Lương:Cạnh tranh</t>
        </is>
      </c>
      <c r="F16110" s="10" t="inlineStr">
        <is>
          <t>Hồ Chí Minh</t>
        </is>
      </c>
      <c r="G16110" s="10" t="inlineStr">
        <is>
          <t>24-03-2026</t>
        </is>
      </c>
      <c r="H16110" s="10" t="inlineStr">
        <is>
          <t>24/03/2026</t>
        </is>
      </c>
      <c r="I16110" s="10" t="inlineStr">
        <is>
          <t>17/03/2026</t>
        </is>
      </c>
      <c r="J16110" s="10" t="inlineStr">
        <is>
          <t>Du lịch, Hành chính / Thư ký, Luật / Pháp lý</t>
        </is>
      </c>
      <c r="K16110" s="10" t="inlineStr">
        <is>
          <t>Lên đến 1 Năm</t>
        </is>
      </c>
      <c r="L16110" s="11">
        <f>HYPERLINK("https://careerviet.vn/vi/tim-viec-lam/nhan-vien-sales-admin.35C6922D.html","Xem chi tiết")</f>
        <v/>
      </c>
      <c r="M16110" s="10" t="n"/>
    </row>
    <row r="16111">
      <c r="B16111" s="7" t="n">
        <v>16109</v>
      </c>
      <c r="C16111" t="inlineStr">
        <is>
          <t>Nhân viên thiết kế 3D - Hãng, chuỗi cửa hàng</t>
        </is>
      </c>
      <c r="D16111" t="inlineStr">
        <is>
          <t>HEXAGON - CÔNG TY CỔ PHẦN THIẾT KẾ LỤC GIÁC</t>
        </is>
      </c>
      <c r="E16111" t="inlineStr">
        <is>
          <t>Lương:10 Tr - 15 Tr VND</t>
        </is>
      </c>
      <c r="F16111" t="inlineStr">
        <is>
          <t>Hà Nội</t>
        </is>
      </c>
      <c r="G16111" t="inlineStr">
        <is>
          <t>28-03-2026</t>
        </is>
      </c>
      <c r="H16111" t="inlineStr">
        <is>
          <t>28/03/2026</t>
        </is>
      </c>
      <c r="I16111" t="inlineStr">
        <is>
          <t>17/03/2026</t>
        </is>
      </c>
      <c r="J16111" t="inlineStr">
        <is>
          <t>Mỹ thuật / Nghệ thuật / Thiết kế</t>
        </is>
      </c>
      <c r="K16111" t="inlineStr">
        <is>
          <t>1 - 2 Năm</t>
        </is>
      </c>
      <c r="L16111" s="8">
        <f>HYPERLINK("https://careerviet.vn/vi/tim-viec-lam/nhan-vien-thiet-ke-3d-hang-chuoi-cua-hang.35C69411.html","Xem chi tiết")</f>
        <v/>
      </c>
    </row>
    <row r="16112">
      <c r="B16112" s="9" t="n">
        <v>16110</v>
      </c>
      <c r="C16112" s="10" t="inlineStr">
        <is>
          <t>NHÂN VIÊN ĐIỀU HÀNH TOUR</t>
        </is>
      </c>
      <c r="D16112" s="10" t="inlineStr">
        <is>
          <t>Mystery of Mekong - Công Ty TNHH Du Lịch Mê Kông Huyền Bí</t>
        </is>
      </c>
      <c r="E16112" s="10" t="inlineStr">
        <is>
          <t>Lương:Cạnh tranh</t>
        </is>
      </c>
      <c r="F16112" s="10" t="inlineStr">
        <is>
          <t>Hồ Chí Minh</t>
        </is>
      </c>
      <c r="G16112" s="10" t="inlineStr">
        <is>
          <t>24-03-2026</t>
        </is>
      </c>
      <c r="H16112" s="10" t="inlineStr">
        <is>
          <t>24/03/2026</t>
        </is>
      </c>
      <c r="I16112" s="10" t="inlineStr">
        <is>
          <t>17/03/2026</t>
        </is>
      </c>
      <c r="J16112" s="10" t="inlineStr">
        <is>
          <t>Du lịch, Bán hàng / Kinh doanh, Nhà hàng / Khách sạn</t>
        </is>
      </c>
      <c r="K16112" s="10" t="inlineStr">
        <is>
          <t>Trên 1 Năm</t>
        </is>
      </c>
      <c r="L16112" s="11">
        <f>HYPERLINK("https://careerviet.vn/vi/tim-viec-lam/nhan-vien-dieu-hanh-tour.35C6923A.html","Xem chi tiết")</f>
        <v/>
      </c>
      <c r="M16112" s="10" t="n"/>
    </row>
    <row r="16113">
      <c r="B16113" s="7" t="n">
        <v>16111</v>
      </c>
      <c r="C16113" t="inlineStr">
        <is>
          <t>Chủ Trì Thiết Kế Nội Thất (mảng văn phòng)</t>
        </is>
      </c>
      <c r="D16113" t="inlineStr">
        <is>
          <t>HEXAGON - CÔNG TY CỔ PHẦN THIẾT KẾ LỤC GIÁC</t>
        </is>
      </c>
      <c r="E16113" t="inlineStr">
        <is>
          <t>Lương:15 Tr - 20 Tr VND</t>
        </is>
      </c>
      <c r="F16113" t="inlineStr">
        <is>
          <t>Hà Nội</t>
        </is>
      </c>
      <c r="G16113" t="inlineStr">
        <is>
          <t>28-03-2026</t>
        </is>
      </c>
      <c r="H16113" t="inlineStr">
        <is>
          <t>28/03/2026</t>
        </is>
      </c>
      <c r="I16113" t="inlineStr">
        <is>
          <t>17/03/2026</t>
        </is>
      </c>
      <c r="J16113" t="inlineStr">
        <is>
          <t>Mỹ thuật / Nghệ thuật / Thiết kế</t>
        </is>
      </c>
      <c r="K16113" t="inlineStr">
        <is>
          <t>2 - 3 Năm</t>
        </is>
      </c>
      <c r="L16113" s="8">
        <f>HYPERLINK("https://careerviet.vn/vi/tim-viec-lam/chu-tri-thiet-ke-noi-that-mang-van-phong.35C69404.html","Xem chi tiết")</f>
        <v/>
      </c>
    </row>
    <row r="16114">
      <c r="B16114" s="9" t="n">
        <v>16112</v>
      </c>
      <c r="C16114" s="10" t="inlineStr">
        <is>
          <t>TRƯỞNG BAN DỰ ÁN KINH DOANH (BỆNH VIỆN CHUYÊN KHOA MẮT - TP HCM)</t>
        </is>
      </c>
      <c r="D16114" s="10" t="inlineStr">
        <is>
          <t>CÔNG TY TNHH ĐẦU TƯ Y TẾ QUỐC TẾ DND – SÀI GÒN</t>
        </is>
      </c>
      <c r="E16114" s="10" t="inlineStr">
        <is>
          <t>Lương:Cạnh tranh</t>
        </is>
      </c>
      <c r="F16114" s="10" t="inlineStr">
        <is>
          <t>Hồ Chí Minh</t>
        </is>
      </c>
      <c r="G16114" s="10" t="inlineStr">
        <is>
          <t>31-03-2026</t>
        </is>
      </c>
      <c r="H16114" s="10" t="inlineStr">
        <is>
          <t>31/03/2026</t>
        </is>
      </c>
      <c r="I16114" s="10" t="inlineStr">
        <is>
          <t>17/03/2026</t>
        </is>
      </c>
      <c r="J16114" s="10" t="inlineStr">
        <is>
          <t>Tiếp thị / Marketing, Bán hàng / Kinh doanh</t>
        </is>
      </c>
      <c r="K16114" s="10" t="inlineStr">
        <is>
          <t>Trên 2 Năm</t>
        </is>
      </c>
      <c r="L16114" s="11">
        <f>HYPERLINK("https://careerviet.vn/vi/tim-viec-lam/truong-ban-du-an-kinh-doanh-benh-vien-chuyen-khoa-mat-tp-hcm.35C693A7.html","Xem chi tiết")</f>
        <v/>
      </c>
      <c r="M16114" s="10" t="n"/>
    </row>
    <row r="16115">
      <c r="B16115" s="7" t="n">
        <v>16113</v>
      </c>
      <c r="C16115" t="inlineStr">
        <is>
          <t>Trưởng nhóm kiến trúc sư triển khai kỹ thuật</t>
        </is>
      </c>
      <c r="D16115" t="inlineStr">
        <is>
          <t>HEXAGON - CÔNG TY CỔ PHẦN THIẾT KẾ LỤC GIÁC</t>
        </is>
      </c>
      <c r="E16115" t="inlineStr">
        <is>
          <t>Lương:17 Tr - 22 Tr VND</t>
        </is>
      </c>
      <c r="F16115" t="inlineStr">
        <is>
          <t>Hà Nội</t>
        </is>
      </c>
      <c r="G16115" t="inlineStr">
        <is>
          <t>27-03-2026</t>
        </is>
      </c>
      <c r="H16115" t="inlineStr">
        <is>
          <t>27/03/2026</t>
        </is>
      </c>
      <c r="I16115" t="inlineStr">
        <is>
          <t>17/03/2026</t>
        </is>
      </c>
      <c r="J16115" t="inlineStr">
        <is>
          <t>Mỹ thuật / Nghệ thuật / Thiết kế, Kiến trúc, Nội ngoại thất</t>
        </is>
      </c>
      <c r="K16115" t="inlineStr">
        <is>
          <t>5 - 7 Năm</t>
        </is>
      </c>
      <c r="L16115" s="8">
        <f>HYPERLINK("https://careerviet.vn/vi/tim-viec-lam/truong-nhom-kien-truc-su-trien-khai-ky-thuat.35C693F7.html","Xem chi tiết")</f>
        <v/>
      </c>
    </row>
    <row r="16116">
      <c r="B16116" s="9" t="n">
        <v>16114</v>
      </c>
      <c r="C16116" s="10" t="inlineStr">
        <is>
          <t>Chuyên viên Quản lý sản phẩm (Product Specialist)</t>
        </is>
      </c>
      <c r="D16116" s="10" t="inlineStr">
        <is>
          <t>Công ty TNHH Thiết bị y tế Phương Đông</t>
        </is>
      </c>
      <c r="E16116" s="10" t="inlineStr">
        <is>
          <t>Lương:Cạnh tranh</t>
        </is>
      </c>
      <c r="F16116" s="10" t="inlineStr">
        <is>
          <t>Hà Nội</t>
        </is>
      </c>
      <c r="G16116" s="10" t="inlineStr">
        <is>
          <t>26-03-2026</t>
        </is>
      </c>
      <c r="H16116" s="10" t="inlineStr">
        <is>
          <t>26/03/2026</t>
        </is>
      </c>
      <c r="I16116" s="10" t="inlineStr">
        <is>
          <t>17/03/2026</t>
        </is>
      </c>
      <c r="J16116" s="10" t="inlineStr">
        <is>
          <t>Dược phẩm/ Hóa Mỹ Phẩm, Y tế / Chăm sóc sức khỏe / Thẩm mỹ / Làm đẹp, Công nghệ sinh học</t>
        </is>
      </c>
      <c r="K16116" s="10" t="inlineStr">
        <is>
          <t>1 - 3 Năm</t>
        </is>
      </c>
      <c r="L16116" s="11">
        <f>HYPERLINK("https://careerviet.vn/vi/tim-viec-lam/chuyen-vien-quan-ly-san-pham-product-specialist.35C693CC.html","Xem chi tiết")</f>
        <v/>
      </c>
      <c r="M16116" s="10" t="n"/>
    </row>
    <row r="16117">
      <c r="B16117" s="7" t="n">
        <v>16115</v>
      </c>
      <c r="C16117" t="inlineStr">
        <is>
          <t>[TÂN BÌNH] QUẢN LÝ /PHÓ QUẢN LÝ NHÀ HÀNG</t>
        </is>
      </c>
      <c r="D16117" t="inlineStr">
        <is>
          <t>Công Ty Cổ Phần Tầm Nhìn Quốc Tế Aladdin</t>
        </is>
      </c>
      <c r="E16117" t="inlineStr">
        <is>
          <t>Lương:15 Tr - 20 Tr VND</t>
        </is>
      </c>
      <c r="F16117" t="inlineStr">
        <is>
          <t>Hồ Chí Minh</t>
        </is>
      </c>
      <c r="G16117" t="inlineStr">
        <is>
          <t>09-03-2026</t>
        </is>
      </c>
      <c r="H16117" t="inlineStr">
        <is>
          <t>24/02/2026</t>
        </is>
      </c>
      <c r="I16117" t="inlineStr">
        <is>
          <t>17/03/2026</t>
        </is>
      </c>
      <c r="J16117" t="inlineStr">
        <is>
          <t>Thực phẩm &amp; Đồ uống, Nhà hàng / Khách sạn, Quản lý điều hành</t>
        </is>
      </c>
      <c r="K16117" t="inlineStr">
        <is>
          <t>2 - 4 Năm</t>
        </is>
      </c>
      <c r="L16117" s="8">
        <f>HYPERLINK("https://careerviet.vn/vi/tim-viec-lam/tan-binh-quan-ly-pho-quan-ly-nha-hang.35C69429.html","Xem chi tiết")</f>
        <v/>
      </c>
    </row>
    <row r="16118">
      <c r="B16118" s="9" t="n">
        <v>16116</v>
      </c>
      <c r="C16118" s="10" t="inlineStr">
        <is>
          <t>Thư Ký Tổng Giám Đốc</t>
        </is>
      </c>
      <c r="D16118" s="10" t="inlineStr">
        <is>
          <t>Tập Đoàn Karofi Holding</t>
        </is>
      </c>
      <c r="E16118" s="10" t="inlineStr">
        <is>
          <t>Lương:Cạnh tranh</t>
        </is>
      </c>
      <c r="F16118" s="10" t="inlineStr">
        <is>
          <t>Hà Nội</t>
        </is>
      </c>
      <c r="G16118" s="10" t="inlineStr">
        <is>
          <t>25-03-2026</t>
        </is>
      </c>
      <c r="H16118" s="10" t="inlineStr">
        <is>
          <t>25/03/2026</t>
        </is>
      </c>
      <c r="I16118" s="10" t="inlineStr">
        <is>
          <t>17/03/2026</t>
        </is>
      </c>
      <c r="J16118" s="10" t="inlineStr">
        <is>
          <t>Hành chính / Thư ký</t>
        </is>
      </c>
      <c r="K16118" s="10" t="inlineStr">
        <is>
          <t>2 - 3 Năm</t>
        </is>
      </c>
      <c r="L16118" s="11">
        <f>HYPERLINK("https://careerviet.vn/vi/tim-viec-lam/thu-ky-tong-giam-doc.35C693DF.html","Xem chi tiết")</f>
        <v/>
      </c>
      <c r="M16118" s="10" t="n"/>
    </row>
    <row r="16119">
      <c r="B16119" s="7" t="n">
        <v>16117</v>
      </c>
      <c r="C16119" t="inlineStr">
        <is>
          <t>Account Manager (Mảng Du Lịch)</t>
        </is>
      </c>
      <c r="D16119" t="inlineStr">
        <is>
          <t>CÔNG TY TNHH CÔNG NGHỆ VNTRIP</t>
        </is>
      </c>
      <c r="E16119" t="inlineStr">
        <is>
          <t>Lương:9 Tr - 17 Tr VND</t>
        </is>
      </c>
      <c r="F16119" t="inlineStr">
        <is>
          <t>Hà Nội</t>
        </is>
      </c>
      <c r="G16119" t="inlineStr">
        <is>
          <t>31-03-2026</t>
        </is>
      </c>
      <c r="H16119" t="inlineStr">
        <is>
          <t>31/03/2026</t>
        </is>
      </c>
      <c r="I16119" t="inlineStr">
        <is>
          <t>17/03/2026</t>
        </is>
      </c>
      <c r="J16119" t="inlineStr">
        <is>
          <t>Nhà hàng / Khách sạn, Du lịch, Hàng không</t>
        </is>
      </c>
      <c r="K16119" t="inlineStr">
        <is>
          <t>1 - 2 Năm</t>
        </is>
      </c>
      <c r="L16119" s="8">
        <f>HYPERLINK("https://careerviet.vn/vi/tim-viec-lam/account-manager-mang-du-lich.35C693D3.html","Xem chi tiết")</f>
        <v/>
      </c>
    </row>
    <row r="16120">
      <c r="B16120" s="9" t="n">
        <v>16118</v>
      </c>
      <c r="C16120" s="10" t="inlineStr">
        <is>
          <t>Chuyên Viên Ticketing (Vé Máy Bay)</t>
        </is>
      </c>
      <c r="D16120" s="10" t="inlineStr">
        <is>
          <t>CÔNG TY TNHH CÔNG NGHỆ VNTRIP</t>
        </is>
      </c>
      <c r="E16120" s="10" t="inlineStr">
        <is>
          <t>Lương:9 Tr - 15 Tr VND</t>
        </is>
      </c>
      <c r="F16120" s="10" t="inlineStr">
        <is>
          <t>Hà Nội</t>
        </is>
      </c>
      <c r="G16120" s="10" t="inlineStr">
        <is>
          <t>31-03-2026</t>
        </is>
      </c>
      <c r="H16120" s="10" t="inlineStr">
        <is>
          <t>31/03/2026</t>
        </is>
      </c>
      <c r="I16120" s="10" t="inlineStr">
        <is>
          <t>17/03/2026</t>
        </is>
      </c>
      <c r="J16120" s="10" t="inlineStr">
        <is>
          <t>Nhà hàng / Khách sạn, Du lịch, Hàng không</t>
        </is>
      </c>
      <c r="K16120" s="10" t="inlineStr">
        <is>
          <t>Trên 1 Năm</t>
        </is>
      </c>
      <c r="L16120" s="11">
        <f>HYPERLINK("https://careerviet.vn/vi/tim-viec-lam/chuyen-vien-ticketing-ve-may-bay.35C693D1.html","Xem chi tiết")</f>
        <v/>
      </c>
      <c r="M16120" s="10" t="n"/>
    </row>
    <row r="16121">
      <c r="B16121" s="7" t="n">
        <v>16119</v>
      </c>
      <c r="C16121" t="inlineStr">
        <is>
          <t>Tuyển dụng nhân viên kinh doanh lĩnh vực y tế</t>
        </is>
      </c>
      <c r="D16121" t="inlineStr">
        <is>
          <t>Bảo mật</t>
        </is>
      </c>
      <c r="E16121" t="inlineStr">
        <is>
          <t>Lương:Cạnh tranh</t>
        </is>
      </c>
      <c r="F16121" t="inlineStr">
        <is>
          <t>Hồ Chí MinhHà Nội</t>
        </is>
      </c>
      <c r="G16121" t="inlineStr">
        <is>
          <t>3</t>
        </is>
      </c>
      <c r="H16121" t="inlineStr">
        <is>
          <t>20/03/2026</t>
        </is>
      </c>
      <c r="I16121" t="inlineStr">
        <is>
          <t>17/03/2026</t>
        </is>
      </c>
      <c r="J16121" t="inlineStr">
        <is>
          <t>Bán hàng / Kinh doanh, Y tế / Chăm sóc sức khỏe / Thẩm mỹ / Làm đẹp</t>
        </is>
      </c>
      <c r="K16121" t="inlineStr">
        <is>
          <t>Trên 2 Năm</t>
        </is>
      </c>
      <c r="L16121" s="8">
        <f>HYPERLINK("https://careerviet.vn/vi/tim-viec-lam/tuyen-dung-nhan-vien-kinh-doanh-linh-vuc-y-te.35C693BF.html","Xem chi tiết")</f>
        <v/>
      </c>
    </row>
    <row r="16122">
      <c r="B16122" s="9" t="n">
        <v>16120</v>
      </c>
      <c r="C16122" s="10" t="inlineStr">
        <is>
          <t>Kỹ Sư Năng Lượng Tái Tạo</t>
        </is>
      </c>
      <c r="D16122" s="10" t="inlineStr">
        <is>
          <t>CÔNG TY CỔ PHẦN GREEN I-PARK</t>
        </is>
      </c>
      <c r="E16122" s="10" t="inlineStr">
        <is>
          <t>Lương:15 Tr - 20 Tr VND</t>
        </is>
      </c>
      <c r="F16122" s="10" t="inlineStr">
        <is>
          <t>Hà NộiToàn quốc</t>
        </is>
      </c>
      <c r="G16122" s="10" t="inlineStr">
        <is>
          <t>09-03-2026</t>
        </is>
      </c>
      <c r="H16122" s="10" t="inlineStr">
        <is>
          <t>15/03/2026</t>
        </is>
      </c>
      <c r="I16122" s="10" t="inlineStr">
        <is>
          <t>17/03/2026</t>
        </is>
      </c>
      <c r="J16122" s="10" t="inlineStr">
        <is>
          <t>Điện / Điện tử / Điện lạnh / Điện công nghiệp, Xây dựng, Ngành khác</t>
        </is>
      </c>
      <c r="K16122" s="10" t="inlineStr">
        <is>
          <t>2 - 5 Năm</t>
        </is>
      </c>
      <c r="L16122" s="11">
        <f>HYPERLINK("https://careerviet.vn/vi/tim-viec-lam/ky-su-nang-luong-tai-tao.35C6937C.html","Xem chi tiết")</f>
        <v/>
      </c>
      <c r="M16122" s="10" t="n"/>
    </row>
    <row r="16123">
      <c r="B16123" s="7" t="n">
        <v>16121</v>
      </c>
      <c r="C16123" t="inlineStr">
        <is>
          <t>Contracting Admin (Hotel)</t>
        </is>
      </c>
      <c r="D16123" t="inlineStr">
        <is>
          <t>CÔNG TY TNHH CÔNG NGHỆ VNTRIP</t>
        </is>
      </c>
      <c r="E16123" t="inlineStr">
        <is>
          <t>Lương:11 Tr - 13 Tr VND</t>
        </is>
      </c>
      <c r="F16123" t="inlineStr">
        <is>
          <t>Hà Nội</t>
        </is>
      </c>
      <c r="G16123" t="inlineStr">
        <is>
          <t>31-03-2026</t>
        </is>
      </c>
      <c r="H16123" t="inlineStr">
        <is>
          <t>31/03/2026</t>
        </is>
      </c>
      <c r="I16123" t="inlineStr">
        <is>
          <t>17/03/2026</t>
        </is>
      </c>
      <c r="J16123" t="inlineStr">
        <is>
          <t>Nhà hàng / Khách sạn, Du lịch</t>
        </is>
      </c>
      <c r="K16123" t="inlineStr">
        <is>
          <t>1 - 2 Năm</t>
        </is>
      </c>
      <c r="L16123" s="8">
        <f>HYPERLINK("https://careerviet.vn/vi/tim-viec-lam/contracting-admin-hotel.35C693D9.html","Xem chi tiết")</f>
        <v/>
      </c>
    </row>
    <row r="16124">
      <c r="B16124" s="9" t="n">
        <v>16122</v>
      </c>
      <c r="C16124" s="10" t="inlineStr">
        <is>
          <t>Phụ bếp</t>
        </is>
      </c>
      <c r="D16124" s="10" t="inlineStr">
        <is>
          <t>Công Ty Cổ Phần A25 Hotel</t>
        </is>
      </c>
      <c r="E16124" s="10" t="inlineStr">
        <is>
          <t>Lương:9,5 Tr - 18 Tr VND</t>
        </is>
      </c>
      <c r="F16124" s="10" t="inlineStr">
        <is>
          <t>Hà NộiLào CaiHồ Chí Minh</t>
        </is>
      </c>
      <c r="G16124" s="10" t="inlineStr">
        <is>
          <t>31-03-2026</t>
        </is>
      </c>
      <c r="H16124" s="10" t="inlineStr">
        <is>
          <t>31/03/2026</t>
        </is>
      </c>
      <c r="I16124" s="10" t="inlineStr">
        <is>
          <t>17/03/2026</t>
        </is>
      </c>
      <c r="J16124" s="10" t="inlineStr">
        <is>
          <t>Dịch vụ khách hàng, Nhà hàng / Khách sạn</t>
        </is>
      </c>
      <c r="K16124" s="10" t="inlineStr">
        <is>
          <t>N/A</t>
        </is>
      </c>
      <c r="L16124" s="11">
        <f>HYPERLINK("https://careerviet.vn/vi/tim-viec-lam/phu-bep.35C6939E.html","Xem chi tiết")</f>
        <v/>
      </c>
      <c r="M16124" s="10" t="n"/>
    </row>
    <row r="16125">
      <c r="B16125" s="7" t="n">
        <v>16123</v>
      </c>
      <c r="C16125" t="inlineStr">
        <is>
          <t>Chuyên Viên Tìm Kiếm và Phát Triển Mặt Bằng (Hải Phòng)</t>
        </is>
      </c>
      <c r="D16125" t="inlineStr">
        <is>
          <t>Concung.com - Con Cung Joint Stock Company</t>
        </is>
      </c>
      <c r="E16125" t="inlineStr">
        <is>
          <t>Lương:25 Tr - 30 Tr VND</t>
        </is>
      </c>
      <c r="F16125" t="inlineStr">
        <is>
          <t>Hải Phòng</t>
        </is>
      </c>
      <c r="G16125" t="inlineStr">
        <is>
          <t>31-03-2026</t>
        </is>
      </c>
      <c r="H16125" t="inlineStr">
        <is>
          <t>31/03/2026</t>
        </is>
      </c>
      <c r="I16125" t="inlineStr">
        <is>
          <t>17/03/2026</t>
        </is>
      </c>
      <c r="J16125" t="inlineStr">
        <is>
          <t>Bán lẻ / Bán sỉ, Bán hàng / Kinh doanh, Bất động sản</t>
        </is>
      </c>
      <c r="K16125" t="inlineStr">
        <is>
          <t>N/A</t>
        </is>
      </c>
      <c r="L16125" s="8">
        <f>HYPERLINK("https://careerviet.vn/vi/tim-viec-lam/chuyen-vien-tim-kiem-va-phat-trien-mat-bang-hai-phong.35C693AB.html","Xem chi tiết")</f>
        <v/>
      </c>
    </row>
    <row r="16126">
      <c r="B16126" s="9" t="n">
        <v>16124</v>
      </c>
      <c r="C16126" s="10" t="inlineStr">
        <is>
          <t>Nhân Viên Khảo Sát Khách Hàng Viettel Post tại Phạm Văn Đồng - Làm giờ hành chính</t>
        </is>
      </c>
      <c r="D16126" s="10" t="inlineStr">
        <is>
          <t>CÔNG TY CỔ PHẦN TRUYỀN THÔNG KIM CƯƠNG</t>
        </is>
      </c>
      <c r="E16126" s="10" t="inlineStr">
        <is>
          <t>Lương:7 Tr - 9 Tr VND</t>
        </is>
      </c>
      <c r="F16126" s="10" t="inlineStr">
        <is>
          <t>Hà Nội</t>
        </is>
      </c>
      <c r="G16126" s="10" t="inlineStr">
        <is>
          <t>26-03-2026</t>
        </is>
      </c>
      <c r="H16126" s="10" t="inlineStr">
        <is>
          <t>26/03/2026</t>
        </is>
      </c>
      <c r="I16126" s="10" t="inlineStr">
        <is>
          <t>17/03/2026</t>
        </is>
      </c>
      <c r="J16126" s="10" t="inlineStr">
        <is>
          <t>Dịch vụ khách hàng, Tư vấn, Vận chuyển / Giao nhận / Kho vận</t>
        </is>
      </c>
      <c r="K16126" s="10" t="inlineStr">
        <is>
          <t>Chưa có kinh nghiệm</t>
        </is>
      </c>
      <c r="L16126" s="11">
        <f>HYPERLINK("https://careerviet.vn/vi/tim-viec-lam/nhan-vien-khao-sat-khach-hang-viettel-post-tai-pham-van-dong-lam-gio-hanh-chinh.35C6938C.html","Xem chi tiết")</f>
        <v/>
      </c>
      <c r="M16126" s="10" t="n"/>
    </row>
    <row r="16127">
      <c r="B16127" s="7" t="n">
        <v>16125</v>
      </c>
      <c r="C16127" t="inlineStr">
        <is>
          <t>Trợ Lý Ban Nghiên Cứu Chuẩn</t>
        </is>
      </c>
      <c r="D16127" t="inlineStr">
        <is>
          <t>Công Ty Cổ Phần A25 Hotel</t>
        </is>
      </c>
      <c r="E16127" t="inlineStr">
        <is>
          <t>Lương:15 Tr - 25 Tr VND</t>
        </is>
      </c>
      <c r="F16127" t="inlineStr">
        <is>
          <t>Hà NộiHồ Chí Minh</t>
        </is>
      </c>
      <c r="G16127" t="inlineStr">
        <is>
          <t>31-03-2026</t>
        </is>
      </c>
      <c r="H16127" t="inlineStr">
        <is>
          <t>31/03/2026</t>
        </is>
      </c>
      <c r="I16127" t="inlineStr">
        <is>
          <t>17/03/2026</t>
        </is>
      </c>
      <c r="J16127" t="inlineStr">
        <is>
          <t>Nhà hàng / Khách sạn, Mỹ thuật / Nghệ thuật / Thiết kế, Kiến trúc</t>
        </is>
      </c>
      <c r="K16127" t="inlineStr">
        <is>
          <t>1 - 2 Năm</t>
        </is>
      </c>
      <c r="L16127" s="8">
        <f>HYPERLINK("https://careerviet.vn/vi/tim-viec-lam/tro-ly-ban-nghien-cuu-chuan.35C693A4.html","Xem chi tiết")</f>
        <v/>
      </c>
    </row>
    <row r="16128">
      <c r="B16128" s="9" t="n">
        <v>16126</v>
      </c>
      <c r="C16128" s="10" t="inlineStr">
        <is>
          <t>NHÂN VIÊN DIỆT CÔN TRÙNG_ĐỒNG NAI</t>
        </is>
      </c>
      <c r="D16128" s="10" t="inlineStr">
        <is>
          <t>CÔNG TY TNHH CESCO VIỆT NAM</t>
        </is>
      </c>
      <c r="E16128" s="10" t="inlineStr">
        <is>
          <t>Lương:7,8 Tr - 15 Tr VND</t>
        </is>
      </c>
      <c r="F16128" s="10" t="inlineStr">
        <is>
          <t>Đồng Nai</t>
        </is>
      </c>
      <c r="G16128" s="10" t="inlineStr">
        <is>
          <t>26-03-2026</t>
        </is>
      </c>
      <c r="H16128" s="10" t="inlineStr">
        <is>
          <t>26/03/2026</t>
        </is>
      </c>
      <c r="I16128" s="10" t="inlineStr">
        <is>
          <t>17/03/2026</t>
        </is>
      </c>
      <c r="J16128" s="10" t="inlineStr">
        <is>
          <t>Ngành khác, Lao động phổ thông, Tư vấn</t>
        </is>
      </c>
      <c r="K16128" s="10" t="inlineStr">
        <is>
          <t>Chưa có kinh nghiệm</t>
        </is>
      </c>
      <c r="L16128" s="11">
        <f>HYPERLINK("https://careerviet.vn/vi/tim-viec-lam/nhan-vien-diet-con-trung_dong-nai.35C6933B.html","Xem chi tiết")</f>
        <v/>
      </c>
      <c r="M16128" s="10" t="n"/>
    </row>
    <row r="16129">
      <c r="B16129" s="7" t="n">
        <v>16127</v>
      </c>
      <c r="C16129" t="inlineStr">
        <is>
          <t>[BỆNH VIỆN ĐẠI HỌC PHENIKAA] CHUYÊN VIÊN PHÔI HỌC</t>
        </is>
      </c>
      <c r="D16129" t="inlineStr">
        <is>
          <t>CHI NHÁNH CÔNG TY CỔ PHẦN Y HỌC VĨNH THIỆN- BỆNH VIỆN ĐẠI HỌC PHENIKAA</t>
        </is>
      </c>
      <c r="E16129" t="inlineStr">
        <is>
          <t>Lương:10 Tr - 20 Tr VND</t>
        </is>
      </c>
      <c r="F16129" t="inlineStr">
        <is>
          <t>Hà Nội</t>
        </is>
      </c>
      <c r="G16129" t="inlineStr">
        <is>
          <t>31-03-2026</t>
        </is>
      </c>
      <c r="H16129" t="inlineStr">
        <is>
          <t>31/03/2026</t>
        </is>
      </c>
      <c r="I16129" t="inlineStr">
        <is>
          <t>17/03/2026</t>
        </is>
      </c>
      <c r="J16129" t="inlineStr">
        <is>
          <t>Y tế / Chăm sóc sức khỏe / Thẩm mỹ / Làm đẹp</t>
        </is>
      </c>
      <c r="K16129" t="inlineStr">
        <is>
          <t>1 - 3 Năm</t>
        </is>
      </c>
      <c r="L16129" s="8">
        <f>HYPERLINK("https://careerviet.vn/vi/tim-viec-lam/benh-vien-dai-hoc-phenikaa-chuyen-vien-phoi-hoc.35C6937F.html","Xem chi tiết")</f>
        <v/>
      </c>
    </row>
    <row r="16130">
      <c r="B16130" s="9" t="n">
        <v>16128</v>
      </c>
      <c r="C16130" s="10" t="inlineStr">
        <is>
          <t>Quản lý nhà hàng</t>
        </is>
      </c>
      <c r="D16130" s="10" t="inlineStr">
        <is>
          <t>Công Ty Cổ Phần A25 Hotel</t>
        </is>
      </c>
      <c r="E16130" s="10" t="inlineStr">
        <is>
          <t>Lương:15 Tr - 30 Tr VND</t>
        </is>
      </c>
      <c r="F16130" s="10" t="inlineStr">
        <is>
          <t>Hà Nội</t>
        </is>
      </c>
      <c r="G16130" s="10" t="inlineStr">
        <is>
          <t>31-03-2026</t>
        </is>
      </c>
      <c r="H16130" s="10" t="inlineStr">
        <is>
          <t>31/03/2026</t>
        </is>
      </c>
      <c r="I16130" s="10" t="inlineStr">
        <is>
          <t>17/03/2026</t>
        </is>
      </c>
      <c r="J16130" s="10" t="inlineStr">
        <is>
          <t>Quản lý điều hành, Nhà hàng / Khách sạn</t>
        </is>
      </c>
      <c r="K16130" s="10" t="inlineStr">
        <is>
          <t>2 - 3 Năm</t>
        </is>
      </c>
      <c r="L16130" s="11">
        <f>HYPERLINK("https://careerviet.vn/vi/tim-viec-lam/quan-ly-nha-hang.35C69370.html","Xem chi tiết")</f>
        <v/>
      </c>
      <c r="M16130" s="10" t="n"/>
    </row>
    <row r="16131">
      <c r="B16131" s="7" t="n">
        <v>16129</v>
      </c>
      <c r="C16131" t="inlineStr">
        <is>
          <t>Chuyên viên QLTK Kết cấu (chủ đầu tư)</t>
        </is>
      </c>
      <c r="D16131" t="inlineStr">
        <is>
          <t>Tập Đoàn Tân Á Đại Thành</t>
        </is>
      </c>
      <c r="E16131" t="inlineStr">
        <is>
          <t>Lương:25 Tr - 30 Tr VND</t>
        </is>
      </c>
      <c r="F16131" t="inlineStr">
        <is>
          <t>Hà Nội</t>
        </is>
      </c>
      <c r="G16131" t="inlineStr">
        <is>
          <t>25-03-2026</t>
        </is>
      </c>
      <c r="H16131" t="inlineStr">
        <is>
          <t>25/03/2026</t>
        </is>
      </c>
      <c r="I16131" t="inlineStr">
        <is>
          <t>17/03/2026</t>
        </is>
      </c>
      <c r="J16131" t="inlineStr">
        <is>
          <t>Kiến trúc, Xây dựng, Bất động sản</t>
        </is>
      </c>
      <c r="K16131" t="inlineStr">
        <is>
          <t>3 - 5 Năm</t>
        </is>
      </c>
      <c r="L16131" s="8">
        <f>HYPERLINK("https://careerviet.vn/vi/tim-viec-lam/chuyen-vien-qltk-ket-cau-chu-dau-tu.35C69340.html","Xem chi tiết")</f>
        <v/>
      </c>
    </row>
    <row r="16132">
      <c r="B16132" s="9" t="n">
        <v>16130</v>
      </c>
      <c r="C16132" s="10" t="inlineStr">
        <is>
          <t>Phó giám đốc khách sạn</t>
        </is>
      </c>
      <c r="D16132" s="10" t="inlineStr">
        <is>
          <t>Công Ty Cổ Phần A25 Hotel</t>
        </is>
      </c>
      <c r="E16132" s="10" t="inlineStr">
        <is>
          <t>Lương:16 Tr - 35 Tr VND</t>
        </is>
      </c>
      <c r="F16132" s="10" t="inlineStr">
        <is>
          <t>Hà Nội</t>
        </is>
      </c>
      <c r="G16132" s="10" t="inlineStr">
        <is>
          <t>31-03-2026</t>
        </is>
      </c>
      <c r="H16132" s="10" t="inlineStr">
        <is>
          <t>31/03/2026</t>
        </is>
      </c>
      <c r="I16132" s="10" t="inlineStr">
        <is>
          <t>17/03/2026</t>
        </is>
      </c>
      <c r="J16132" s="10" t="inlineStr">
        <is>
          <t>Dịch vụ khách hàng, Quản lý điều hành, Nhà hàng / Khách sạn</t>
        </is>
      </c>
      <c r="K16132" s="10" t="inlineStr">
        <is>
          <t>1 - 2 Năm</t>
        </is>
      </c>
      <c r="L16132" s="11">
        <f>HYPERLINK("https://careerviet.vn/vi/tim-viec-lam/pho-giam-doc-khach-san.35C6935A.html","Xem chi tiết")</f>
        <v/>
      </c>
      <c r="M16132" s="10" t="n"/>
    </row>
    <row r="16133">
      <c r="B16133" s="7" t="n">
        <v>16131</v>
      </c>
      <c r="C16133" t="inlineStr">
        <is>
          <t>Trưởng phòng Hạ tầng bảo mật hệ thống mạng và Server</t>
        </is>
      </c>
      <c r="D16133" t="inlineStr">
        <is>
          <t>Tập Đoàn Tân Á Đại Thành</t>
        </is>
      </c>
      <c r="E16133" t="inlineStr">
        <is>
          <t>Lương:Cạnh tranh</t>
        </is>
      </c>
      <c r="F16133" t="inlineStr">
        <is>
          <t>Hà Nội</t>
        </is>
      </c>
      <c r="G16133" t="inlineStr">
        <is>
          <t>6</t>
        </is>
      </c>
      <c r="H16133" t="inlineStr">
        <is>
          <t>23/03/2026</t>
        </is>
      </c>
      <c r="I16133" t="inlineStr">
        <is>
          <t>17/03/2026</t>
        </is>
      </c>
      <c r="J16133" t="inlineStr">
        <is>
          <t>CNTT - Phần cứng / Mạng</t>
        </is>
      </c>
      <c r="K16133" t="inlineStr">
        <is>
          <t>Trên 5 Năm</t>
        </is>
      </c>
      <c r="L16133" s="8">
        <f>HYPERLINK("https://careerviet.vn/vi/tim-viec-lam/truong-phong-ha-tang-bao-mat-he-thong-mang-va-server.35C6937A.html","Xem chi tiết")</f>
        <v/>
      </c>
    </row>
    <row r="16134">
      <c r="B16134" s="9" t="n">
        <v>16132</v>
      </c>
      <c r="C16134" s="10" t="inlineStr">
        <is>
          <t>Chuyên Viên Kinh Doanh Khách Hàng Doanh Nghiệp (Sale B2B)</t>
        </is>
      </c>
      <c r="D16134" s="10" t="inlineStr">
        <is>
          <t>CÔNG TY TNHH CÔNG NGHỆ VNTRIP</t>
        </is>
      </c>
      <c r="E16134" s="10" t="inlineStr">
        <is>
          <t>Lương:8 Tr - 20 Tr VND</t>
        </is>
      </c>
      <c r="F16134" s="10" t="inlineStr">
        <is>
          <t>Hà Nội</t>
        </is>
      </c>
      <c r="G16134" s="10" t="inlineStr">
        <is>
          <t>31-03-2026</t>
        </is>
      </c>
      <c r="H16134" s="10" t="inlineStr">
        <is>
          <t>31/03/2026</t>
        </is>
      </c>
      <c r="I16134" s="10" t="inlineStr">
        <is>
          <t>17/03/2026</t>
        </is>
      </c>
      <c r="J16134" s="10" t="inlineStr">
        <is>
          <t>Bán hàng / Kinh doanh, Du lịch, Nhà hàng / Khách sạn</t>
        </is>
      </c>
      <c r="K16134" s="10" t="inlineStr">
        <is>
          <t>Trên 1 Năm</t>
        </is>
      </c>
      <c r="L16134" s="11">
        <f>HYPERLINK("https://careerviet.vn/vi/tim-viec-lam/chuyen-vien-kinh-doanh-khach-hang-doanh-nghiep-sale-b2b.35C693CD.html","Xem chi tiết")</f>
        <v/>
      </c>
      <c r="M16134" s="10" t="n"/>
    </row>
    <row r="16135">
      <c r="B16135" s="7" t="n">
        <v>16133</v>
      </c>
      <c r="C16135" t="inlineStr">
        <is>
          <t>Trợ lý thư ký tổng giám đốc</t>
        </is>
      </c>
      <c r="D16135" t="inlineStr">
        <is>
          <t>CÔNG TY CỔ PHẦN THƯƠNG MẠI SATORI</t>
        </is>
      </c>
      <c r="E16135" t="inlineStr">
        <is>
          <t>Lương:Cạnh tranh</t>
        </is>
      </c>
      <c r="F16135" t="inlineStr">
        <is>
          <t>Hồ Chí Minh</t>
        </is>
      </c>
      <c r="G16135" t="inlineStr">
        <is>
          <t>31-03-2026</t>
        </is>
      </c>
      <c r="H16135" t="inlineStr">
        <is>
          <t>31/03/2026</t>
        </is>
      </c>
      <c r="I16135" t="inlineStr">
        <is>
          <t>17/03/2026</t>
        </is>
      </c>
      <c r="J16135" t="inlineStr">
        <is>
          <t>Hành chính / Thư ký</t>
        </is>
      </c>
      <c r="K16135" t="inlineStr">
        <is>
          <t>N/A</t>
        </is>
      </c>
      <c r="L16135" s="8">
        <f>HYPERLINK("https://careerviet.vn/vi/tim-viec-lam/tro-ly-thu-ky-tong-giam-doc.35C69094.html","Xem chi tiết")</f>
        <v/>
      </c>
    </row>
    <row r="16136">
      <c r="B16136" s="9" t="n">
        <v>16134</v>
      </c>
      <c r="C16136" s="10" t="inlineStr">
        <is>
          <t>Nhân viên an ninh (Biết lái xe ô tô)</t>
        </is>
      </c>
      <c r="D16136" s="10" t="inlineStr">
        <is>
          <t>Công Ty Cổ Phần A25 Hotel</t>
        </is>
      </c>
      <c r="E16136" s="10" t="inlineStr">
        <is>
          <t>Lương:11,5 Tr - 22 Tr VND</t>
        </is>
      </c>
      <c r="F16136" s="10" t="inlineStr">
        <is>
          <t>Hà NộiQuảng NinhHồ Chí Minh</t>
        </is>
      </c>
      <c r="G16136" s="10" t="inlineStr">
        <is>
          <t>07-04-2026</t>
        </is>
      </c>
      <c r="H16136" s="10" t="inlineStr">
        <is>
          <t>07/04/2026</t>
        </is>
      </c>
      <c r="I16136" s="10" t="inlineStr">
        <is>
          <t>17/03/2026</t>
        </is>
      </c>
      <c r="J16136" s="10" t="inlineStr">
        <is>
          <t>An Ninh / Bảo Vệ, Nhà hàng / Khách sạn, Lao động phổ thông</t>
        </is>
      </c>
      <c r="K16136" s="10" t="inlineStr">
        <is>
          <t>N/A</t>
        </is>
      </c>
      <c r="L16136" s="11">
        <f>HYPERLINK("https://careerviet.vn/vi/tim-viec-lam/nhan-vien-an-ninh-biet-lai-xe-o-to.35C69375.html","Xem chi tiết")</f>
        <v/>
      </c>
      <c r="M16136" s="10" t="n"/>
    </row>
    <row r="16137">
      <c r="B16137" s="7" t="n">
        <v>16135</v>
      </c>
      <c r="C16137" t="inlineStr">
        <is>
          <t>Quản Lý Khách Hàng Trọng Điểm (Kênh MT Điện Máy)</t>
        </is>
      </c>
      <c r="D16137" t="inlineStr">
        <is>
          <t>Tập Đoàn Karofi Holding</t>
        </is>
      </c>
      <c r="E16137" t="inlineStr">
        <is>
          <t>Lương:Cạnh tranh</t>
        </is>
      </c>
      <c r="F16137" t="inlineStr">
        <is>
          <t>Hà Nội</t>
        </is>
      </c>
      <c r="G16137" t="inlineStr">
        <is>
          <t>25-03-2026</t>
        </is>
      </c>
      <c r="H16137" t="inlineStr">
        <is>
          <t>25/03/2026</t>
        </is>
      </c>
      <c r="I16137" t="inlineStr">
        <is>
          <t>17/03/2026</t>
        </is>
      </c>
      <c r="J16137" t="inlineStr">
        <is>
          <t>Tư vấn, Bán lẻ / Bán sỉ, Bán hàng / Kinh doanh</t>
        </is>
      </c>
      <c r="K16137" t="inlineStr">
        <is>
          <t>2 - 3 Năm</t>
        </is>
      </c>
      <c r="L16137" s="8">
        <f>HYPERLINK("https://careerviet.vn/vi/tim-viec-lam/quan-ly-khach-hang-trong-diem-kenh-mt-dien-may.35C693E1.html","Xem chi tiết")</f>
        <v/>
      </c>
    </row>
    <row r="16138">
      <c r="B16138" s="9" t="n">
        <v>16136</v>
      </c>
      <c r="C16138" s="10" t="inlineStr">
        <is>
          <t>Trưởng ban cung ứng</t>
        </is>
      </c>
      <c r="D16138" s="10" t="inlineStr">
        <is>
          <t>Công Ty Cổ Phần A25 Hotel</t>
        </is>
      </c>
      <c r="E16138" s="10" t="inlineStr">
        <is>
          <t>Lương:20 Tr - 40 Tr VND</t>
        </is>
      </c>
      <c r="F16138" s="10" t="inlineStr">
        <is>
          <t>Hà Nội</t>
        </is>
      </c>
      <c r="G16138" s="10" t="inlineStr">
        <is>
          <t>31-03-2026</t>
        </is>
      </c>
      <c r="H16138" s="10" t="inlineStr">
        <is>
          <t>31/03/2026</t>
        </is>
      </c>
      <c r="I16138" s="10" t="inlineStr">
        <is>
          <t>17/03/2026</t>
        </is>
      </c>
      <c r="J16138" s="10" t="inlineStr">
        <is>
          <t>Nhà hàng / Khách sạn, Xuất nhập khẩu, Thu mua / Vật tư</t>
        </is>
      </c>
      <c r="K16138" s="10" t="inlineStr">
        <is>
          <t>3 - 5 Năm</t>
        </is>
      </c>
      <c r="L16138" s="11">
        <f>HYPERLINK("https://careerviet.vn/vi/tim-viec-lam/truong-ban-cung-ung.35C6931F.html","Xem chi tiết")</f>
        <v/>
      </c>
      <c r="M16138" s="10" t="n"/>
    </row>
    <row r="16139">
      <c r="B16139" s="7" t="n">
        <v>16137</v>
      </c>
      <c r="C16139" t="inlineStr">
        <is>
          <t>Telesale - CSKH Kênh Đại Lý</t>
        </is>
      </c>
      <c r="D16139" t="inlineStr">
        <is>
          <t>Công ty CP Toshiko Việt Nam</t>
        </is>
      </c>
      <c r="E16139" t="inlineStr">
        <is>
          <t>Lương:10 Tr - 15 Tr VND</t>
        </is>
      </c>
      <c r="F16139" t="inlineStr">
        <is>
          <t>Hà Nội</t>
        </is>
      </c>
      <c r="G16139" t="inlineStr">
        <is>
          <t>04-04-2026</t>
        </is>
      </c>
      <c r="H16139" t="inlineStr">
        <is>
          <t>04/04/2026</t>
        </is>
      </c>
      <c r="I16139" t="inlineStr">
        <is>
          <t>17/03/2026</t>
        </is>
      </c>
      <c r="J16139" t="inlineStr">
        <is>
          <t>Bán hàng / Kinh doanh, Tư vấn, Dịch vụ khách hàng</t>
        </is>
      </c>
      <c r="K16139" t="inlineStr">
        <is>
          <t>1 - 2 Năm</t>
        </is>
      </c>
      <c r="L16139" s="8">
        <f>HYPERLINK("https://careerviet.vn/vi/tim-viec-lam/telesale-cskh-kenh-dai-ly.35C6935C.html","Xem chi tiết")</f>
        <v/>
      </c>
    </row>
    <row r="16140">
      <c r="B16140" s="9" t="n">
        <v>16138</v>
      </c>
      <c r="C16140" s="10" t="inlineStr">
        <is>
          <t>Nhân viên Quản lý, Giám sát giao dịch</t>
        </is>
      </c>
      <c r="D16140" s="10" t="inlineStr">
        <is>
          <t>Sở Giao dịch Hàng hóa Việt Nam</t>
        </is>
      </c>
      <c r="E16140" s="10" t="inlineStr">
        <is>
          <t>Lương:10 Tr - 15 Tr VND</t>
        </is>
      </c>
      <c r="F16140" s="10" t="inlineStr">
        <is>
          <t>Hà Nội</t>
        </is>
      </c>
      <c r="G16140" s="10" t="inlineStr">
        <is>
          <t>31-03-2026</t>
        </is>
      </c>
      <c r="H16140" s="10" t="inlineStr">
        <is>
          <t>31/03/2026</t>
        </is>
      </c>
      <c r="I16140" s="10" t="inlineStr">
        <is>
          <t>17/03/2026</t>
        </is>
      </c>
      <c r="J16140" s="10" t="inlineStr">
        <is>
          <t>Tài chính / Đầu tư</t>
        </is>
      </c>
      <c r="K16140" s="10" t="inlineStr">
        <is>
          <t>Chưa có kinh nghiệm</t>
        </is>
      </c>
      <c r="L16140" s="11">
        <f>HYPERLINK("https://careerviet.vn/vi/tim-viec-lam/nhan-vien-quan-ly-giam-sat-giao-dich.35C69335.html","Xem chi tiết")</f>
        <v/>
      </c>
      <c r="M16140" s="10" t="n"/>
    </row>
    <row r="16141">
      <c r="B16141" s="7" t="n">
        <v>16139</v>
      </c>
      <c r="C16141" t="inlineStr">
        <is>
          <t>Trưởng Phòng Vận Hành Kinh Doanh</t>
        </is>
      </c>
      <c r="D16141" t="inlineStr">
        <is>
          <t>NHÀ SÁCH TIẾN THỌ</t>
        </is>
      </c>
      <c r="E16141" t="inlineStr">
        <is>
          <t>Lương:30 Tr - 40 Tr VND</t>
        </is>
      </c>
      <c r="F16141" t="inlineStr">
        <is>
          <t>Hà Nội</t>
        </is>
      </c>
      <c r="G16141" t="inlineStr">
        <is>
          <t>09-03-2026</t>
        </is>
      </c>
      <c r="H16141" t="inlineStr">
        <is>
          <t>28/02/2026</t>
        </is>
      </c>
      <c r="I16141" t="inlineStr">
        <is>
          <t>17/03/2026</t>
        </is>
      </c>
      <c r="J16141" t="inlineStr">
        <is>
          <t>Bán lẻ / Bán sỉ</t>
        </is>
      </c>
      <c r="K16141" t="inlineStr">
        <is>
          <t>Trên 2 Năm</t>
        </is>
      </c>
      <c r="L16141" s="8">
        <f>HYPERLINK("https://careerviet.vn/vi/tim-viec-lam/truong-phong-van-hanh-kinh-doanh.35C6932C.html","Xem chi tiết")</f>
        <v/>
      </c>
    </row>
    <row r="16142">
      <c r="B16142" s="9" t="n">
        <v>16140</v>
      </c>
      <c r="C16142" s="10" t="inlineStr">
        <is>
          <t>Group Brand Manager</t>
        </is>
      </c>
      <c r="D16142" s="10" t="inlineStr">
        <is>
          <t>Công Ty TNHH CJ Foods Việt Nam</t>
        </is>
      </c>
      <c r="E16142" s="10" t="inlineStr">
        <is>
          <t>Lương:Cạnh tranh</t>
        </is>
      </c>
      <c r="F16142" s="10" t="inlineStr">
        <is>
          <t>Hồ Chí Minh</t>
        </is>
      </c>
      <c r="G16142" s="10" t="inlineStr">
        <is>
          <t>24-03-2026</t>
        </is>
      </c>
      <c r="H16142" s="10" t="inlineStr">
        <is>
          <t>24/03/2026</t>
        </is>
      </c>
      <c r="I16142" s="10" t="inlineStr">
        <is>
          <t>17/03/2026</t>
        </is>
      </c>
      <c r="J16142" s="10" t="inlineStr">
        <is>
          <t>Tiếp thị / Marketing, Tiếp thị trực tuyến, Thực phẩm &amp; Đồ uống</t>
        </is>
      </c>
      <c r="K16142" s="10" t="inlineStr">
        <is>
          <t>N/A</t>
        </is>
      </c>
      <c r="L16142" s="11">
        <f>HYPERLINK("https://careerviet.vn/vi/tim-viec-lam/group-brand-manager.35C692C5.html","Xem chi tiết")</f>
        <v/>
      </c>
      <c r="M16142" s="10" t="n"/>
    </row>
    <row r="16143">
      <c r="B16143" s="7" t="n">
        <v>16141</v>
      </c>
      <c r="C16143" t="inlineStr">
        <is>
          <t>Marketing Executive</t>
        </is>
      </c>
      <c r="D16143" t="inlineStr">
        <is>
          <t>nanoHome</t>
        </is>
      </c>
      <c r="E16143" t="inlineStr">
        <is>
          <t>Lương:10 Tr - 12 Tr VND</t>
        </is>
      </c>
      <c r="F16143" t="inlineStr">
        <is>
          <t>Hồ Chí Minh</t>
        </is>
      </c>
      <c r="G16143" t="inlineStr">
        <is>
          <t>24-03-2026</t>
        </is>
      </c>
      <c r="H16143" t="inlineStr">
        <is>
          <t>24/03/2026</t>
        </is>
      </c>
      <c r="I16143" t="inlineStr">
        <is>
          <t>17/03/2026</t>
        </is>
      </c>
      <c r="J16143" t="inlineStr">
        <is>
          <t>Tiếp thị / Marketing, Tiếp thị trực tuyến, Mỹ thuật / Nghệ thuật / Thiết kế</t>
        </is>
      </c>
      <c r="K16143" t="inlineStr">
        <is>
          <t>1 - 5 Năm</t>
        </is>
      </c>
      <c r="L16143" s="8">
        <f>HYPERLINK("https://careerviet.vn/vi/tim-viec-lam/marketing-executive.35C69302.html","Xem chi tiết")</f>
        <v/>
      </c>
    </row>
    <row r="16144">
      <c r="B16144" s="9" t="n">
        <v>16142</v>
      </c>
      <c r="C16144" s="10" t="inlineStr">
        <is>
          <t>NHÂN VIÊN PHÂN CÔNG THỬ NGHIỆM (TIẾNG HÀN) - TEST ASSIGN (KOREAN SPEAKING)</t>
        </is>
      </c>
      <c r="D16144" s="10" t="inlineStr">
        <is>
          <t>CÔNG TY TNHH K O T I T I VIỆT NAM</t>
        </is>
      </c>
      <c r="E16144" s="10" t="inlineStr">
        <is>
          <t>Lương:Cạnh tranh</t>
        </is>
      </c>
      <c r="F16144" s="10" t="inlineStr">
        <is>
          <t>Hồ Chí Minh</t>
        </is>
      </c>
      <c r="G16144" s="10" t="inlineStr">
        <is>
          <t>26-03-2026</t>
        </is>
      </c>
      <c r="H16144" s="10" t="inlineStr">
        <is>
          <t>26/03/2026</t>
        </is>
      </c>
      <c r="I16144" s="10" t="inlineStr">
        <is>
          <t>17/03/2026</t>
        </is>
      </c>
      <c r="J16144" s="10" t="inlineStr">
        <is>
          <t>Dệt may / Da giày / Thời trang, Hóa học</t>
        </is>
      </c>
      <c r="K16144" s="10" t="inlineStr">
        <is>
          <t>Trên 1 Năm</t>
        </is>
      </c>
      <c r="L16144" s="11">
        <f>HYPERLINK("https://careerviet.vn/vi/tim-viec-lam/nhan-vien-phan-cong-thu-nghiem-tieng-han-test-assign-korean-speaking.35C692AF.html","Xem chi tiết")</f>
        <v/>
      </c>
      <c r="M16144" s="10" t="n"/>
    </row>
    <row r="16145">
      <c r="B16145" s="7" t="n">
        <v>16143</v>
      </c>
      <c r="C16145" t="inlineStr">
        <is>
          <t>Nhân viên an ninh</t>
        </is>
      </c>
      <c r="D16145" t="inlineStr">
        <is>
          <t>Công Ty Cổ Phần A25 Hotel</t>
        </is>
      </c>
      <c r="E16145" t="inlineStr">
        <is>
          <t>Lương:9,5 Tr - 19 Tr VND</t>
        </is>
      </c>
      <c r="F16145" t="inlineStr">
        <is>
          <t>Hà NộiQuảng Ninh</t>
        </is>
      </c>
      <c r="G16145" t="inlineStr">
        <is>
          <t>31-03-2026</t>
        </is>
      </c>
      <c r="H16145" t="inlineStr">
        <is>
          <t>31/03/2026</t>
        </is>
      </c>
      <c r="I16145" t="inlineStr">
        <is>
          <t>17/03/2026</t>
        </is>
      </c>
      <c r="J16145" t="inlineStr">
        <is>
          <t>An Ninh / Bảo Vệ, Nhà hàng / Khách sạn, Lao động phổ thông</t>
        </is>
      </c>
      <c r="K16145" t="inlineStr">
        <is>
          <t>N/A</t>
        </is>
      </c>
      <c r="L16145" s="8">
        <f>HYPERLINK("https://careerviet.vn/vi/tim-viec-lam/nhan-vien-an-ninh.35C6937D.html","Xem chi tiết")</f>
        <v/>
      </c>
    </row>
    <row r="16146">
      <c r="B16146" s="9" t="n">
        <v>16144</v>
      </c>
      <c r="C16146" s="10" t="inlineStr">
        <is>
          <t>Chuyên viên Kế hoạch kỹ thuật</t>
        </is>
      </c>
      <c r="D16146" s="10" t="inlineStr">
        <is>
          <t>CÔNG TY TNHH TẬP ĐOÀN ĐỊNH AN</t>
        </is>
      </c>
      <c r="E16146" s="10" t="inlineStr">
        <is>
          <t>Lương:17 Tr - 25 Tr VND</t>
        </is>
      </c>
      <c r="F16146" s="10" t="inlineStr">
        <is>
          <t>Hà Nội</t>
        </is>
      </c>
      <c r="G16146" s="10" t="inlineStr">
        <is>
          <t>24-03-2026</t>
        </is>
      </c>
      <c r="H16146" s="10" t="inlineStr">
        <is>
          <t>24/03/2026</t>
        </is>
      </c>
      <c r="I16146" s="10" t="inlineStr">
        <is>
          <t>17/03/2026</t>
        </is>
      </c>
      <c r="J16146" s="10" t="inlineStr">
        <is>
          <t>Xây dựng</t>
        </is>
      </c>
      <c r="K16146" s="10" t="inlineStr">
        <is>
          <t>Trên 3 Năm</t>
        </is>
      </c>
      <c r="L16146" s="11">
        <f>HYPERLINK("https://careerviet.vn/vi/tim-viec-lam/chuyen-vien-ke-hoach-ky-thuat.35C692B1.html","Xem chi tiết")</f>
        <v/>
      </c>
      <c r="M16146" s="10" t="n"/>
    </row>
    <row r="16147">
      <c r="B16147" s="7" t="n">
        <v>16145</v>
      </c>
      <c r="C16147" t="inlineStr">
        <is>
          <t>Nhân viên Bóc tách kỹ thuật nội thất</t>
        </is>
      </c>
      <c r="D16147" t="inlineStr">
        <is>
          <t>HEXAGON - CÔNG TY CỔ PHẦN THIẾT KẾ LỤC GIÁC</t>
        </is>
      </c>
      <c r="E16147" t="inlineStr">
        <is>
          <t>Lương:10 Tr - 15 Tr VND</t>
        </is>
      </c>
      <c r="F16147" t="inlineStr">
        <is>
          <t>Hà Nội</t>
        </is>
      </c>
      <c r="G16147" t="inlineStr">
        <is>
          <t>28-03-2026</t>
        </is>
      </c>
      <c r="H16147" t="inlineStr">
        <is>
          <t>28/03/2026</t>
        </is>
      </c>
      <c r="I16147" t="inlineStr">
        <is>
          <t>17/03/2026</t>
        </is>
      </c>
      <c r="J16147" t="inlineStr">
        <is>
          <t>Nội ngoại thất, Mỹ thuật / Nghệ thuật / Thiết kế</t>
        </is>
      </c>
      <c r="K16147" t="inlineStr">
        <is>
          <t>1 - 2 Năm</t>
        </is>
      </c>
      <c r="L16147" s="8">
        <f>HYPERLINK("https://careerviet.vn/vi/tim-viec-lam/nhan-vien-boc-tach-ky-thuat-noi-that.35C69308.html","Xem chi tiết")</f>
        <v/>
      </c>
    </row>
    <row r="16148">
      <c r="B16148" s="9" t="n">
        <v>16146</v>
      </c>
      <c r="C16148" s="10" t="inlineStr">
        <is>
          <t>Sourcing Specialist</t>
        </is>
      </c>
      <c r="D16148" s="10" t="inlineStr">
        <is>
          <t>BETRIMEX - Công Ty Cổ Phần Xuất Nhập Khẩu Bến Tre</t>
        </is>
      </c>
      <c r="E16148" s="10" t="inlineStr">
        <is>
          <t>Lương:Cạnh tranh</t>
        </is>
      </c>
      <c r="F16148" s="10" t="inlineStr">
        <is>
          <t>Hồ Chí Minh</t>
        </is>
      </c>
      <c r="G16148" s="10" t="inlineStr">
        <is>
          <t>26-03-2026</t>
        </is>
      </c>
      <c r="H16148" s="10" t="inlineStr">
        <is>
          <t>26/03/2026</t>
        </is>
      </c>
      <c r="I16148" s="10" t="inlineStr">
        <is>
          <t>17/03/2026</t>
        </is>
      </c>
      <c r="J16148" s="10" t="inlineStr">
        <is>
          <t>Thu mua / Vật tư</t>
        </is>
      </c>
      <c r="K16148" s="10" t="inlineStr">
        <is>
          <t>3 - 5 Năm</t>
        </is>
      </c>
      <c r="L16148" s="11">
        <f>HYPERLINK("https://careerviet.vn/vi/tim-viec-lam/sourcing-specialist.35C692BB.html","Xem chi tiết")</f>
        <v/>
      </c>
      <c r="M16148" s="10" t="n"/>
    </row>
    <row r="16149">
      <c r="B16149" s="7" t="n">
        <v>16147</v>
      </c>
      <c r="C16149" t="inlineStr">
        <is>
          <t>Trưởng nhóm nghiên cứu và phát triển</t>
        </is>
      </c>
      <c r="D16149" t="inlineStr">
        <is>
          <t>EuP Group</t>
        </is>
      </c>
      <c r="E16149" t="inlineStr">
        <is>
          <t>Lương:20 Tr - 25 Tr VND</t>
        </is>
      </c>
      <c r="F16149" t="inlineStr">
        <is>
          <t>Hà Nam</t>
        </is>
      </c>
      <c r="G16149" t="inlineStr">
        <is>
          <t>24-03-2026</t>
        </is>
      </c>
      <c r="H16149" t="inlineStr">
        <is>
          <t>24/03/2026</t>
        </is>
      </c>
      <c r="I16149" t="inlineStr">
        <is>
          <t>17/03/2026</t>
        </is>
      </c>
      <c r="J16149" t="inlineStr">
        <is>
          <t>Hóa học</t>
        </is>
      </c>
      <c r="K16149" t="inlineStr">
        <is>
          <t>N/A</t>
        </is>
      </c>
      <c r="L16149" s="8">
        <f>HYPERLINK("https://careerviet.vn/vi/tim-viec-lam/truong-nhom-nghien-cuu-va-phat-trien.35C692FB.html","Xem chi tiết")</f>
        <v/>
      </c>
    </row>
    <row r="16150">
      <c r="B16150" s="9" t="n">
        <v>16148</v>
      </c>
      <c r="C16150" s="10" t="inlineStr">
        <is>
          <t>NHÂN VIÊN HÀNH CHÍNH TIẾNG HÀN - GA STAFF (KOREAN SPEAKING)</t>
        </is>
      </c>
      <c r="D16150" s="10" t="inlineStr">
        <is>
          <t>CÔNG TY TNHH K O T I T I VIỆT NAM</t>
        </is>
      </c>
      <c r="E16150" s="10" t="inlineStr">
        <is>
          <t>Lương:Cạnh tranh</t>
        </is>
      </c>
      <c r="F16150" s="10" t="inlineStr">
        <is>
          <t>Hồ Chí Minh</t>
        </is>
      </c>
      <c r="G16150" s="10" t="inlineStr">
        <is>
          <t>26-03-2026</t>
        </is>
      </c>
      <c r="H16150" s="10" t="inlineStr">
        <is>
          <t>26/03/2026</t>
        </is>
      </c>
      <c r="I16150" s="10" t="inlineStr">
        <is>
          <t>17/03/2026</t>
        </is>
      </c>
      <c r="J16150" s="10" t="inlineStr">
        <is>
          <t>Hành chính / Thư ký, Nhân sự, Biên phiên dịch</t>
        </is>
      </c>
      <c r="K16150" s="10" t="inlineStr">
        <is>
          <t>N/A</t>
        </is>
      </c>
      <c r="L16150" s="11">
        <f>HYPERLINK("https://careerviet.vn/vi/tim-viec-lam/nhan-vien-hanh-chinh-tieng-han-ga-staff-korean-speaking.35C69295.html","Xem chi tiết")</f>
        <v/>
      </c>
      <c r="M16150" s="10" t="n"/>
    </row>
    <row r="16151">
      <c r="B16151" s="7" t="n">
        <v>16149</v>
      </c>
      <c r="C16151" t="inlineStr">
        <is>
          <t>Kỹ Sư Giám Sát Trắc Đạc (Làm Việc Tại Thái Bình)</t>
        </is>
      </c>
      <c r="D16151" t="inlineStr">
        <is>
          <t>CÔNG TY CỔ PHẦN GREEN I-PARK</t>
        </is>
      </c>
      <c r="E16151" t="inlineStr">
        <is>
          <t>Lương:15 Tr - 20 Tr VND</t>
        </is>
      </c>
      <c r="F16151" t="inlineStr">
        <is>
          <t>Thái Bình</t>
        </is>
      </c>
      <c r="G16151" t="inlineStr">
        <is>
          <t>09-03-2026</t>
        </is>
      </c>
      <c r="H16151" t="inlineStr">
        <is>
          <t>15/03/2026</t>
        </is>
      </c>
      <c r="I16151" t="inlineStr">
        <is>
          <t>17/03/2026</t>
        </is>
      </c>
      <c r="J16151" t="inlineStr">
        <is>
          <t>Xây dựng, Trắc địa / Địa Chất, Môi trường</t>
        </is>
      </c>
      <c r="K16151" t="inlineStr">
        <is>
          <t>1 - 3 Năm</t>
        </is>
      </c>
      <c r="L16151" s="8">
        <f>HYPERLINK("https://careerviet.vn/vi/tim-viec-lam/ky-su-giam-sat-trac-dac-lam-viec-tai-thai-binh.35C69333.html","Xem chi tiết")</f>
        <v/>
      </c>
    </row>
    <row r="16152">
      <c r="B16152" s="9" t="n">
        <v>16150</v>
      </c>
      <c r="C16152" s="10" t="inlineStr">
        <is>
          <t>Trợ Lý Nhân Sự &amp; Vận Hành</t>
        </is>
      </c>
      <c r="D16152" s="10" t="inlineStr">
        <is>
          <t>CÔNG TY CỔ PHẦN THIẾT KẾ VÀ XÂY DỰNG ONECONS</t>
        </is>
      </c>
      <c r="E16152" s="10" t="inlineStr">
        <is>
          <t>Lương:12 Tr - 15 Tr VND</t>
        </is>
      </c>
      <c r="F16152" s="10" t="inlineStr">
        <is>
          <t>Hồ Chí Minh</t>
        </is>
      </c>
      <c r="G16152" s="10" t="inlineStr">
        <is>
          <t>31-03-2026</t>
        </is>
      </c>
      <c r="H16152" s="10" t="inlineStr">
        <is>
          <t>31/03/2026</t>
        </is>
      </c>
      <c r="I16152" s="10" t="inlineStr">
        <is>
          <t>17/03/2026</t>
        </is>
      </c>
      <c r="J16152" s="10" t="inlineStr">
        <is>
          <t>Nhân sự, Quản lý điều hành, Hành chính / Thư ký</t>
        </is>
      </c>
      <c r="K16152" s="10" t="inlineStr">
        <is>
          <t>3 - 5 Năm</t>
        </is>
      </c>
      <c r="L16152" s="11">
        <f>HYPERLINK("https://careerviet.vn/vi/tim-viec-lam/tro-ly-nhan-su-van-hanh.35C6931A.html","Xem chi tiết")</f>
        <v/>
      </c>
      <c r="M16152" s="10" t="n"/>
    </row>
    <row r="16153">
      <c r="B16153" s="7" t="n">
        <v>16151</v>
      </c>
      <c r="C16153" t="inlineStr">
        <is>
          <t>Trưởng Nhóm Truyền Thông Nội Bộ</t>
        </is>
      </c>
      <c r="D16153" t="inlineStr">
        <is>
          <t>CHI NHÁNH CÔNG TY CỔ PHẦN Y HỌC VĨNH THIỆN- BỆNH VIỆN ĐẠI HỌC PHENIKAA</t>
        </is>
      </c>
      <c r="E16153" t="inlineStr">
        <is>
          <t>Lương:Cạnh tranh</t>
        </is>
      </c>
      <c r="F16153" t="inlineStr">
        <is>
          <t>Hà Nội</t>
        </is>
      </c>
      <c r="G16153" t="inlineStr">
        <is>
          <t>24-03-2026</t>
        </is>
      </c>
      <c r="H16153" t="inlineStr">
        <is>
          <t>24/03/2026</t>
        </is>
      </c>
      <c r="I16153" t="inlineStr">
        <is>
          <t>17/03/2026</t>
        </is>
      </c>
      <c r="J16153" t="inlineStr">
        <is>
          <t>Quảng cáo / Đối ngoại / Truyền Thông, Truyền hình / Báo chí / Biên tập, Y tế / Chăm sóc sức khỏe / Thẩm mỹ / Làm đẹp</t>
        </is>
      </c>
      <c r="K16153" t="inlineStr">
        <is>
          <t>3 - 5 Năm</t>
        </is>
      </c>
      <c r="L16153" s="8">
        <f>HYPERLINK("https://careerviet.vn/vi/tim-viec-lam/truong-nhom-truyen-thong-noi-bo.35C6936E.html","Xem chi tiết")</f>
        <v/>
      </c>
    </row>
    <row r="16154">
      <c r="B16154" s="9" t="n">
        <v>16152</v>
      </c>
      <c r="C16154" s="10" t="inlineStr">
        <is>
          <t>Nhân Viên Kiểm Tra Báo Cáo - Report Checker</t>
        </is>
      </c>
      <c r="D16154" s="10" t="inlineStr">
        <is>
          <t>CÔNG TY TNHH K O T I T I VIỆT NAM</t>
        </is>
      </c>
      <c r="E16154" s="10" t="inlineStr">
        <is>
          <t>Lương:Cạnh tranh</t>
        </is>
      </c>
      <c r="F16154" s="10" t="inlineStr">
        <is>
          <t>Hồ Chí Minh</t>
        </is>
      </c>
      <c r="G16154" s="10" t="inlineStr">
        <is>
          <t>26-03-2026</t>
        </is>
      </c>
      <c r="H16154" s="10" t="inlineStr">
        <is>
          <t>26/03/2026</t>
        </is>
      </c>
      <c r="I16154" s="10" t="inlineStr">
        <is>
          <t>17/03/2026</t>
        </is>
      </c>
      <c r="J16154" s="10" t="inlineStr">
        <is>
          <t>Dịch vụ khách hàng, Hóa học, Dệt may / Da giày / Thời trang</t>
        </is>
      </c>
      <c r="K16154" s="10" t="inlineStr">
        <is>
          <t>Trên 3 Năm</t>
        </is>
      </c>
      <c r="L16154" s="11">
        <f>HYPERLINK("https://careerviet.vn/vi/tim-viec-lam/nhan-vien-kiem-tra-bao-cao-report-checker.35C6929D.html","Xem chi tiết")</f>
        <v/>
      </c>
      <c r="M16154" s="10" t="n"/>
    </row>
    <row r="16155">
      <c r="B16155" s="7" t="n">
        <v>16153</v>
      </c>
      <c r="C16155" t="inlineStr">
        <is>
          <t>Nhân viên lễ tân</t>
        </is>
      </c>
      <c r="D16155" t="inlineStr">
        <is>
          <t>Công Ty Cổ Phần A25 Hotel</t>
        </is>
      </c>
      <c r="E16155" t="inlineStr">
        <is>
          <t>Lương:11 Tr - 24 Tr VND</t>
        </is>
      </c>
      <c r="F16155" t="inlineStr">
        <is>
          <t>Hà NộiQuảng Ninh</t>
        </is>
      </c>
      <c r="G16155" t="inlineStr">
        <is>
          <t>31-03-2026</t>
        </is>
      </c>
      <c r="H16155" t="inlineStr">
        <is>
          <t>31/03/2026</t>
        </is>
      </c>
      <c r="I16155" t="inlineStr">
        <is>
          <t>17/03/2026</t>
        </is>
      </c>
      <c r="J16155" t="inlineStr">
        <is>
          <t>Nhà hàng / Khách sạn, Lao động phổ thông, Mới tốt nghiệp / Thực tập</t>
        </is>
      </c>
      <c r="K16155" t="inlineStr">
        <is>
          <t>N/A</t>
        </is>
      </c>
      <c r="L16155" s="8">
        <f>HYPERLINK("https://careerviet.vn/vi/tim-viec-lam/nhan-vien-le-tan.35C69336.html","Xem chi tiết")</f>
        <v/>
      </c>
    </row>
    <row r="16156">
      <c r="B16156" s="9" t="n">
        <v>16154</v>
      </c>
      <c r="C16156" s="10" t="inlineStr">
        <is>
          <t>Quản Lý Khách Hàng Trọng Yếu (KAA)</t>
        </is>
      </c>
      <c r="D16156" s="10" t="inlineStr">
        <is>
          <t>Công Ty Cổ Phần Mỹ Phẩm Sài Gòn</t>
        </is>
      </c>
      <c r="E16156" s="10" t="inlineStr">
        <is>
          <t>Lương:Cạnh tranh</t>
        </is>
      </c>
      <c r="F16156" s="10" t="inlineStr">
        <is>
          <t>Hồ Chí Minh</t>
        </is>
      </c>
      <c r="G16156" s="10" t="inlineStr">
        <is>
          <t>26-03-2026</t>
        </is>
      </c>
      <c r="H16156" s="10" t="inlineStr">
        <is>
          <t>26/03/2026</t>
        </is>
      </c>
      <c r="I16156" s="10" t="inlineStr">
        <is>
          <t>17/03/2026</t>
        </is>
      </c>
      <c r="J16156" s="10" t="inlineStr">
        <is>
          <t>Ngân hàng, Bán hàng / Kinh doanh</t>
        </is>
      </c>
      <c r="K16156" s="10" t="inlineStr">
        <is>
          <t>2 - 5 Năm</t>
        </is>
      </c>
      <c r="L16156" s="11">
        <f>HYPERLINK("https://careerviet.vn/vi/tim-viec-lam/quan-ly-khach-hang-trong-yeu-kaa.35C692A9.html","Xem chi tiết")</f>
        <v/>
      </c>
      <c r="M16156" s="10" t="n"/>
    </row>
    <row r="16157">
      <c r="B16157" s="7" t="n">
        <v>16155</v>
      </c>
      <c r="C16157" t="inlineStr">
        <is>
          <t>Nhân Viên Kế Toán</t>
        </is>
      </c>
      <c r="D16157" t="inlineStr">
        <is>
          <t>CHI NHÁNH CÔNG TY CỔ PHẦN Y HỌC VĨNH THIỆN- BỆNH VIỆN ĐẠI HỌC PHENIKAA</t>
        </is>
      </c>
      <c r="E16157" t="inlineStr">
        <is>
          <t>Lương:Cạnh tranh</t>
        </is>
      </c>
      <c r="F16157" t="inlineStr">
        <is>
          <t>Hà Nội</t>
        </is>
      </c>
      <c r="G16157" t="inlineStr">
        <is>
          <t>24-03-2026</t>
        </is>
      </c>
      <c r="H16157" t="inlineStr">
        <is>
          <t>24/03/2026</t>
        </is>
      </c>
      <c r="I16157" t="inlineStr">
        <is>
          <t>17/03/2026</t>
        </is>
      </c>
      <c r="J16157" t="inlineStr">
        <is>
          <t>Kế toán / Kiểm toán, Y tế / Chăm sóc sức khỏe / Thẩm mỹ / Làm đẹp</t>
        </is>
      </c>
      <c r="K16157" t="inlineStr">
        <is>
          <t>2 - 5 Năm</t>
        </is>
      </c>
      <c r="L16157" s="8">
        <f>HYPERLINK("https://careerviet.vn/vi/tim-viec-lam/nhan-vien-ke-toan.35C693D0.html","Xem chi tiết")</f>
        <v/>
      </c>
    </row>
    <row r="16158">
      <c r="B16158" s="9" t="n">
        <v>16156</v>
      </c>
      <c r="C16158" s="10" t="inlineStr">
        <is>
          <t>Quản lý Thi công (MEP)</t>
        </is>
      </c>
      <c r="D16158" s="10" t="inlineStr">
        <is>
          <t>CÔNG TY CỔ PHẦN SEAREFICO</t>
        </is>
      </c>
      <c r="E16158" s="10" t="inlineStr">
        <is>
          <t>Lương:Cạnh tranh</t>
        </is>
      </c>
      <c r="F16158" s="10" t="inlineStr">
        <is>
          <t>Đà NẵngNghệ An</t>
        </is>
      </c>
      <c r="G16158" s="10" t="inlineStr">
        <is>
          <t>26-03-2026</t>
        </is>
      </c>
      <c r="H16158" s="10" t="inlineStr">
        <is>
          <t>26/03/2026</t>
        </is>
      </c>
      <c r="I16158" s="10" t="inlineStr">
        <is>
          <t>17/03/2026</t>
        </is>
      </c>
      <c r="J16158" s="10" t="inlineStr">
        <is>
          <t>Cơ khí / Ô tô / Tự động hóa, Điện / Điện tử / Điện lạnh / Điện công nghiệp</t>
        </is>
      </c>
      <c r="K16158" s="10" t="inlineStr">
        <is>
          <t>Trên 3 Năm</t>
        </is>
      </c>
      <c r="L16158" s="11">
        <f>HYPERLINK("https://careerviet.vn/vi/tim-viec-lam/quan-ly-thi-cong-mep.35C6915E.html","Xem chi tiết")</f>
        <v/>
      </c>
      <c r="M16158" s="10" t="n"/>
    </row>
    <row r="16159">
      <c r="B16159" s="7" t="n">
        <v>16157</v>
      </c>
      <c r="C16159" t="inlineStr">
        <is>
          <t>Trưởng nhóm Đào tạo &amp; Tuyển dụng (Tiếng Nhật)</t>
        </is>
      </c>
      <c r="D16159" t="inlineStr">
        <is>
          <t>Công Ty TNHH ONE-VALUE Việt Nam</t>
        </is>
      </c>
      <c r="E16159" t="inlineStr">
        <is>
          <t>Lương:20 Tr - 25 Tr VND</t>
        </is>
      </c>
      <c r="F16159" t="inlineStr">
        <is>
          <t>Hà Nội</t>
        </is>
      </c>
      <c r="G16159" t="inlineStr">
        <is>
          <t>24-03-2026</t>
        </is>
      </c>
      <c r="H16159" t="inlineStr">
        <is>
          <t>24/03/2026</t>
        </is>
      </c>
      <c r="I16159" t="inlineStr">
        <is>
          <t>17/03/2026</t>
        </is>
      </c>
      <c r="J16159" t="inlineStr">
        <is>
          <t>Giáo dục / Đào tạo, Nhân sự</t>
        </is>
      </c>
      <c r="K16159" t="inlineStr">
        <is>
          <t>Trên 2 Năm</t>
        </is>
      </c>
      <c r="L16159" s="8">
        <f>HYPERLINK("https://careerviet.vn/vi/tim-viec-lam/truong-nhom-dao-tao-tuyen-dung-tieng-nhat.35C692B0.html","Xem chi tiết")</f>
        <v/>
      </c>
    </row>
    <row r="16160">
      <c r="B16160" s="9" t="n">
        <v>16158</v>
      </c>
      <c r="C16160" s="10" t="inlineStr">
        <is>
          <t>Kỹ sư thiết kế cơ điện</t>
        </is>
      </c>
      <c r="D16160" s="10" t="inlineStr">
        <is>
          <t>Công ty cổ phần Kovitech</t>
        </is>
      </c>
      <c r="E16160" s="10" t="inlineStr">
        <is>
          <t>Lương:10 Tr - 15 Tr VND</t>
        </is>
      </c>
      <c r="F16160" s="10" t="inlineStr">
        <is>
          <t>Hà Nội</t>
        </is>
      </c>
      <c r="G16160" s="10" t="inlineStr">
        <is>
          <t>09-03-2026</t>
        </is>
      </c>
      <c r="H16160" s="10" t="inlineStr">
        <is>
          <t>02/03/2026</t>
        </is>
      </c>
      <c r="I16160" s="10" t="inlineStr">
        <is>
          <t>17/03/2026</t>
        </is>
      </c>
      <c r="J16160" s="10" t="inlineStr">
        <is>
          <t>Điện / Điện tử / Điện lạnh / Điện công nghiệp, Nội ngoại thất</t>
        </is>
      </c>
      <c r="K16160" s="10" t="inlineStr">
        <is>
          <t>Trên 1 Năm</t>
        </is>
      </c>
      <c r="L16160" s="11">
        <f>HYPERLINK("https://careerviet.vn/vi/tim-viec-lam/ky-su-thiet-ke-co-dien.35C692BC.html","Xem chi tiết")</f>
        <v/>
      </c>
      <c r="M16160" s="10" t="n"/>
    </row>
    <row r="16161">
      <c r="B16161" s="7" t="n">
        <v>16159</v>
      </c>
      <c r="C16161" t="inlineStr">
        <is>
          <t>Chuyên Viên Kế Toán - Accounting Executive</t>
        </is>
      </c>
      <c r="D16161" t="inlineStr">
        <is>
          <t>CÔNG TY TNHH K O T I T I VIỆT NAM</t>
        </is>
      </c>
      <c r="E16161" t="inlineStr">
        <is>
          <t>Lương:9 Tr - 25 Tr VND</t>
        </is>
      </c>
      <c r="F16161" t="inlineStr">
        <is>
          <t>Hồ Chí Minh</t>
        </is>
      </c>
      <c r="G16161" t="inlineStr">
        <is>
          <t>26-03-2026</t>
        </is>
      </c>
      <c r="H16161" t="inlineStr">
        <is>
          <t>26/03/2026</t>
        </is>
      </c>
      <c r="I16161" t="inlineStr">
        <is>
          <t>17/03/2026</t>
        </is>
      </c>
      <c r="J16161" t="inlineStr">
        <is>
          <t>Kế toán / Kiểm toán, Nhân sự, Ngân hàng</t>
        </is>
      </c>
      <c r="K16161" t="inlineStr">
        <is>
          <t>1 - 10 Năm</t>
        </is>
      </c>
      <c r="L16161" s="8">
        <f>HYPERLINK("https://careerviet.vn/vi/tim-viec-lam/chuyen-vien-ke-toan-accounting-executive.35C692A5.html","Xem chi tiết")</f>
        <v/>
      </c>
    </row>
    <row r="16162">
      <c r="B16162" s="9" t="n">
        <v>16160</v>
      </c>
      <c r="C16162" s="10" t="inlineStr">
        <is>
          <t>TALENT ACQUISITION SPECIALIST</t>
        </is>
      </c>
      <c r="D16162" s="10" t="inlineStr">
        <is>
          <t>IDOCEAN Co.,ltd</t>
        </is>
      </c>
      <c r="E16162" s="10" t="inlineStr">
        <is>
          <t>Lương:Cạnh tranh</t>
        </is>
      </c>
      <c r="F16162" s="10" t="inlineStr">
        <is>
          <t>Hồ Chí Minh</t>
        </is>
      </c>
      <c r="G16162" s="10" t="inlineStr">
        <is>
          <t>28-03-2026</t>
        </is>
      </c>
      <c r="H16162" s="10" t="inlineStr">
        <is>
          <t>28/03/2026</t>
        </is>
      </c>
      <c r="I16162" s="10" t="inlineStr">
        <is>
          <t>17/03/2026</t>
        </is>
      </c>
      <c r="J16162" s="10" t="inlineStr">
        <is>
          <t>Thực phẩm &amp; Đồ uống, Nhân sự, Sản xuất / Vận hành sản xuất</t>
        </is>
      </c>
      <c r="K16162" s="10" t="inlineStr">
        <is>
          <t>3 - 7 Năm</t>
        </is>
      </c>
      <c r="L16162" s="11">
        <f>HYPERLINK("https://careerviet.vn/vi/tim-viec-lam/talent-acquisition-specialist.35C69266.html","Xem chi tiết")</f>
        <v/>
      </c>
      <c r="M16162" s="10" t="n"/>
    </row>
    <row r="16163">
      <c r="B16163" s="7" t="n">
        <v>16161</v>
      </c>
      <c r="C16163" t="inlineStr">
        <is>
          <t>Kỹ Sư Hardware (Thiết kế mạch điện tử)</t>
        </is>
      </c>
      <c r="D16163" t="inlineStr">
        <is>
          <t>Công ty TNHH Greystone Data Systems Việt Nam</t>
        </is>
      </c>
      <c r="E16163" t="inlineStr">
        <is>
          <t>Lương:11 Tr - 15 Tr VND</t>
        </is>
      </c>
      <c r="F16163" t="inlineStr">
        <is>
          <t>Hồ Chí Minh</t>
        </is>
      </c>
      <c r="G16163" t="inlineStr">
        <is>
          <t>26-03-2026</t>
        </is>
      </c>
      <c r="H16163" t="inlineStr">
        <is>
          <t>26/03/2026</t>
        </is>
      </c>
      <c r="I16163" t="inlineStr">
        <is>
          <t>17/03/2026</t>
        </is>
      </c>
      <c r="J16163" t="inlineStr">
        <is>
          <t>Điện / Điện tử / Điện lạnh / Điện công nghiệp</t>
        </is>
      </c>
      <c r="K16163" t="inlineStr">
        <is>
          <t>1 - 2 Năm</t>
        </is>
      </c>
      <c r="L16163" s="8">
        <f>HYPERLINK("https://careerviet.vn/vi/tim-viec-lam/ky-su-hardware-thiet-ke-mach-dien-tu.35C6926A.html","Xem chi tiết")</f>
        <v/>
      </c>
    </row>
    <row r="16164">
      <c r="B16164" s="9" t="n">
        <v>16162</v>
      </c>
      <c r="C16164" s="10" t="inlineStr">
        <is>
          <t>THƯ KÝ/ TRỢ LÝ KH - KT - TH</t>
        </is>
      </c>
      <c r="D16164" s="10" t="inlineStr">
        <is>
          <t>TBS Land- Công ty Cổ Phần Đầu Tư Thái Bình</t>
        </is>
      </c>
      <c r="E16164" s="10" t="inlineStr">
        <is>
          <t>Lương:Cạnh tranh</t>
        </is>
      </c>
      <c r="F16164" s="10" t="inlineStr">
        <is>
          <t>Bình Dương</t>
        </is>
      </c>
      <c r="G16164" s="10" t="inlineStr">
        <is>
          <t>31-03-2026</t>
        </is>
      </c>
      <c r="H16164" s="10" t="inlineStr">
        <is>
          <t>31/03/2026</t>
        </is>
      </c>
      <c r="I16164" s="10" t="inlineStr">
        <is>
          <t>17/03/2026</t>
        </is>
      </c>
      <c r="J16164" s="10" t="inlineStr">
        <is>
          <t>Xây dựng, Bất động sản</t>
        </is>
      </c>
      <c r="K16164" s="10" t="inlineStr">
        <is>
          <t>3 - 7 Năm</t>
        </is>
      </c>
      <c r="L16164" s="11">
        <f>HYPERLINK("https://careerviet.vn/vi/tim-viec-lam/thu-ky-tro-ly-kh-kt-th.35C6925A.html","Xem chi tiết")</f>
        <v/>
      </c>
      <c r="M16164" s="10" t="n"/>
    </row>
    <row r="16165">
      <c r="B16165" s="7" t="n">
        <v>16163</v>
      </c>
      <c r="C16165" t="inlineStr">
        <is>
          <t>ACCOUNT MANAGER</t>
        </is>
      </c>
      <c r="D16165" t="inlineStr">
        <is>
          <t>Mystery of Mekong - Công Ty TNHH Du Lịch Mê Kông Huyền Bí</t>
        </is>
      </c>
      <c r="E16165" t="inlineStr">
        <is>
          <t>Lương:Cạnh tranh</t>
        </is>
      </c>
      <c r="F16165" t="inlineStr">
        <is>
          <t>Hồ Chí Minh</t>
        </is>
      </c>
      <c r="G16165" t="inlineStr">
        <is>
          <t>24-03-2026</t>
        </is>
      </c>
      <c r="H16165" t="inlineStr">
        <is>
          <t>24/03/2026</t>
        </is>
      </c>
      <c r="I16165" t="inlineStr">
        <is>
          <t>17/03/2026</t>
        </is>
      </c>
      <c r="J16165" t="inlineStr">
        <is>
          <t>Du lịch, Bán hàng / Kinh doanh, Tổ chức sự kiện</t>
        </is>
      </c>
      <c r="K16165" t="inlineStr">
        <is>
          <t>Trên 1 Năm</t>
        </is>
      </c>
      <c r="L16165" s="8">
        <f>HYPERLINK("https://careerviet.vn/vi/tim-viec-lam/account-manager.35C69257.html","Xem chi tiết")</f>
        <v/>
      </c>
    </row>
    <row r="16166">
      <c r="B16166" s="9" t="n">
        <v>16164</v>
      </c>
      <c r="C16166" s="10" t="inlineStr">
        <is>
          <t>Nhân viên kinh doanh</t>
        </is>
      </c>
      <c r="D16166" s="10" t="inlineStr">
        <is>
          <t>CÔNG TY CỔ PHẦN THIẾT BỊ ĐIỆN VINSHINE</t>
        </is>
      </c>
      <c r="E16166" s="10" t="inlineStr">
        <is>
          <t>Lương:10 Tr - 20 Tr VND</t>
        </is>
      </c>
      <c r="F16166" s="10" t="inlineStr">
        <is>
          <t>Hải Phòng</t>
        </is>
      </c>
      <c r="G16166" s="10" t="inlineStr">
        <is>
          <t>09-03-2026</t>
        </is>
      </c>
      <c r="H16166" s="10" t="inlineStr">
        <is>
          <t>15/03/2026</t>
        </is>
      </c>
      <c r="I16166" s="10" t="inlineStr">
        <is>
          <t>17/03/2026</t>
        </is>
      </c>
      <c r="J16166" s="10" t="inlineStr">
        <is>
          <t>Tiếp thị / Marketing, Bán lẻ / Bán sỉ, Bán hàng / Kinh doanh</t>
        </is>
      </c>
      <c r="K16166" s="10" t="inlineStr">
        <is>
          <t>N/A</t>
        </is>
      </c>
      <c r="L16166" s="11">
        <f>HYPERLINK("https://careerviet.vn/vi/tim-viec-lam/nhan-vien-kinh-doanh.35C692A1.html","Xem chi tiết")</f>
        <v/>
      </c>
      <c r="M16166" s="10" t="n"/>
    </row>
    <row r="16167">
      <c r="B16167" s="7" t="n">
        <v>16165</v>
      </c>
      <c r="C16167" t="inlineStr">
        <is>
          <t>Kế Toán Bán Hàng</t>
        </is>
      </c>
      <c r="D16167" t="inlineStr">
        <is>
          <t>CÔNG TY TNHH SẢN XUẤT VÀ THƯƠNG MẠI THỰC PHẨM LÀNH MẠNH</t>
        </is>
      </c>
      <c r="E16167" t="inlineStr">
        <is>
          <t>Lương:9 Tr - 12 Tr VND</t>
        </is>
      </c>
      <c r="F16167" t="inlineStr">
        <is>
          <t>Hà Nội</t>
        </is>
      </c>
      <c r="G16167" t="inlineStr">
        <is>
          <t>24-03-2026</t>
        </is>
      </c>
      <c r="H16167" t="inlineStr">
        <is>
          <t>24/03/2026</t>
        </is>
      </c>
      <c r="I16167" t="inlineStr">
        <is>
          <t>17/03/2026</t>
        </is>
      </c>
      <c r="J16167" t="inlineStr">
        <is>
          <t>Kế toán / Kiểm toán, Hành chính / Thư ký, Thực phẩm &amp; Đồ uống</t>
        </is>
      </c>
      <c r="K16167" t="inlineStr">
        <is>
          <t>Trên 1 Năm</t>
        </is>
      </c>
      <c r="L16167" s="8">
        <f>HYPERLINK("https://careerviet.vn/vi/tim-viec-lam/ke-toan-ban-hang.35C6928B.html","Xem chi tiết")</f>
        <v/>
      </c>
    </row>
    <row r="16168">
      <c r="B16168" s="9" t="n">
        <v>16166</v>
      </c>
      <c r="C16168" s="10" t="inlineStr">
        <is>
          <t>CÁN BỘ AN TOÀN LAO ĐỘNG/KỸ SƯ AN TOÀN LAO ĐỘNG - NGÀNH XÂY DỰNG CẦU ĐƯỜNG</t>
        </is>
      </c>
      <c r="D16168" s="10" t="inlineStr">
        <is>
          <t>CÔNG TY TNHH TẬP ĐOÀN ĐỊNH AN</t>
        </is>
      </c>
      <c r="E16168" s="10" t="inlineStr">
        <is>
          <t>Lương:17 Tr - 23 Tr VND</t>
        </is>
      </c>
      <c r="F16168" s="10" t="inlineStr">
        <is>
          <t>Hồ Chí Minh</t>
        </is>
      </c>
      <c r="G16168" s="10" t="inlineStr">
        <is>
          <t>24-03-2026</t>
        </is>
      </c>
      <c r="H16168" s="10" t="inlineStr">
        <is>
          <t>24/03/2026</t>
        </is>
      </c>
      <c r="I16168" s="10" t="inlineStr">
        <is>
          <t>17/03/2026</t>
        </is>
      </c>
      <c r="J16168" s="10" t="inlineStr">
        <is>
          <t>Xây dựng</t>
        </is>
      </c>
      <c r="K16168" s="10" t="inlineStr">
        <is>
          <t>Trên 3 Năm</t>
        </is>
      </c>
      <c r="L16168" s="11">
        <f>HYPERLINK("https://careerviet.vn/vi/tim-viec-lam/can-bo-an-toan-lao-dong-ky-su-an-toan-lao-dong-nganh-xay-dung-cau-duong.35C692A7.html","Xem chi tiết")</f>
        <v/>
      </c>
      <c r="M16168" s="10" t="n"/>
    </row>
    <row r="16169">
      <c r="B16169" s="7" t="n">
        <v>16167</v>
      </c>
      <c r="C16169" t="inlineStr">
        <is>
          <t>Kế toán trưởng</t>
        </is>
      </c>
      <c r="D16169" t="inlineStr">
        <is>
          <t>Công Ty TNHH ONE-VALUE Việt Nam</t>
        </is>
      </c>
      <c r="E16169" t="inlineStr">
        <is>
          <t>Lương:30 Tr - 35 Tr VND</t>
        </is>
      </c>
      <c r="F16169" t="inlineStr">
        <is>
          <t>Hà Nội</t>
        </is>
      </c>
      <c r="G16169" t="inlineStr">
        <is>
          <t>24-03-2026</t>
        </is>
      </c>
      <c r="H16169" t="inlineStr">
        <is>
          <t>24/03/2026</t>
        </is>
      </c>
      <c r="I16169" t="inlineStr">
        <is>
          <t>17/03/2026</t>
        </is>
      </c>
      <c r="J16169" t="inlineStr">
        <is>
          <t>Kế toán / Kiểm toán</t>
        </is>
      </c>
      <c r="K16169" t="inlineStr">
        <is>
          <t>Trên 3 Năm</t>
        </is>
      </c>
      <c r="L16169" s="8">
        <f>HYPERLINK("https://careerviet.vn/vi/tim-viec-lam/ke-toan-truong.35C69269.html","Xem chi tiết")</f>
        <v/>
      </c>
    </row>
    <row r="16170">
      <c r="B16170" s="9" t="n">
        <v>16168</v>
      </c>
      <c r="C16170" s="10" t="inlineStr">
        <is>
          <t>FP&amp;A Specialist</t>
        </is>
      </c>
      <c r="D16170" s="10" t="inlineStr">
        <is>
          <t>Công ty CP Thành Thành Công - Biên Hòa</t>
        </is>
      </c>
      <c r="E16170" s="10" t="inlineStr">
        <is>
          <t>Lương:Cạnh tranh</t>
        </is>
      </c>
      <c r="F16170" s="10" t="inlineStr">
        <is>
          <t>Hồ Chí Minh</t>
        </is>
      </c>
      <c r="G16170" s="10" t="inlineStr">
        <is>
          <t>26-03-2026</t>
        </is>
      </c>
      <c r="H16170" s="10" t="inlineStr">
        <is>
          <t>26/03/2026</t>
        </is>
      </c>
      <c r="I16170" s="10" t="inlineStr">
        <is>
          <t>17/03/2026</t>
        </is>
      </c>
      <c r="J16170" s="10" t="inlineStr">
        <is>
          <t>Nông nghiệp, Sản xuất / Vận hành sản xuất, Bán hàng / Kinh doanh</t>
        </is>
      </c>
      <c r="K16170" s="10" t="inlineStr">
        <is>
          <t>3 - 5 Năm</t>
        </is>
      </c>
      <c r="L16170" s="11">
        <f>HYPERLINK("https://careerviet.vn/vi/tim-viec-lam/fp-a-specialist.35C6924D.html","Xem chi tiết")</f>
        <v/>
      </c>
      <c r="M16170" s="10" t="n"/>
    </row>
    <row r="16171">
      <c r="B16171" s="7" t="n">
        <v>16169</v>
      </c>
      <c r="C16171" t="inlineStr">
        <is>
          <t>[HN] NHÂN VIÊN KINH DOANH</t>
        </is>
      </c>
      <c r="D16171" t="inlineStr">
        <is>
          <t>CÔNG TY CỔ PHẦN GIAO DỊCH HÀNG HÓA ĐÔNG NAM Á</t>
        </is>
      </c>
      <c r="E16171" t="inlineStr">
        <is>
          <t>Lương:8 Tr - 15 Tr VND</t>
        </is>
      </c>
      <c r="F16171" t="inlineStr">
        <is>
          <t>Hà Nội</t>
        </is>
      </c>
      <c r="G16171" t="inlineStr">
        <is>
          <t>31-03-2026</t>
        </is>
      </c>
      <c r="H16171" t="inlineStr">
        <is>
          <t>31/03/2026</t>
        </is>
      </c>
      <c r="I16171" t="inlineStr">
        <is>
          <t>17/03/2026</t>
        </is>
      </c>
      <c r="J16171" t="inlineStr">
        <is>
          <t>Tài chính / Đầu tư</t>
        </is>
      </c>
      <c r="K16171" t="inlineStr">
        <is>
          <t>Lên đến 1 Năm</t>
        </is>
      </c>
      <c r="L16171" s="8">
        <f>HYPERLINK("https://careerviet.vn/vi/tim-viec-lam/hn-nhan-vien-kinh-doanh.35C69250.html","Xem chi tiết")</f>
        <v/>
      </c>
    </row>
    <row r="16172">
      <c r="B16172" s="9" t="n">
        <v>16170</v>
      </c>
      <c r="C16172" s="10" t="inlineStr">
        <is>
          <t>Chuyên viên Kinh doanh Thực phẩm (thịt bò)</t>
        </is>
      </c>
      <c r="D16172" s="10" t="inlineStr">
        <is>
          <t>CÔNG TY TNHH PHÁT TRIỂN THƯƠNG HIỆU VÀ DỊCH VỤ KẾT NỐI BÁN LẺ CHÂU Á</t>
        </is>
      </c>
      <c r="E16172" s="10" t="inlineStr">
        <is>
          <t>Lương:15 Tr - 30 Tr VND</t>
        </is>
      </c>
      <c r="F16172" s="10" t="inlineStr">
        <is>
          <t>Hồ Chí Minh</t>
        </is>
      </c>
      <c r="G16172" s="10" t="inlineStr">
        <is>
          <t>24-03-2026</t>
        </is>
      </c>
      <c r="H16172" s="10" t="inlineStr">
        <is>
          <t>24/03/2026</t>
        </is>
      </c>
      <c r="I16172" s="10" t="inlineStr">
        <is>
          <t>17/03/2026</t>
        </is>
      </c>
      <c r="J16172" s="10" t="inlineStr">
        <is>
          <t>Tiếp thị / Marketing, Bán lẻ / Bán sỉ, Bán hàng / Kinh doanh</t>
        </is>
      </c>
      <c r="K16172" s="10" t="inlineStr">
        <is>
          <t>2 - 5 Năm</t>
        </is>
      </c>
      <c r="L16172" s="11">
        <f>HYPERLINK("https://careerviet.vn/vi/tim-viec-lam/chuyen-vien-kinh-doanh-thuc-pham-thit-bo.35C6926F.html","Xem chi tiết")</f>
        <v/>
      </c>
      <c r="M16172" s="10" t="n"/>
    </row>
    <row r="16173">
      <c r="B16173" s="7" t="n">
        <v>16171</v>
      </c>
      <c r="C16173" t="inlineStr">
        <is>
          <t>[HCM] NHÂN VIÊN KINH DOANH</t>
        </is>
      </c>
      <c r="D16173" t="inlineStr">
        <is>
          <t>CÔNG TY CỔ PHẦN GIAO DỊCH HÀNG HÓA ĐÔNG NAM Á</t>
        </is>
      </c>
      <c r="E16173" t="inlineStr">
        <is>
          <t>Lương:8 Tr - 15 Tr VND</t>
        </is>
      </c>
      <c r="F16173" t="inlineStr">
        <is>
          <t>Hồ Chí Minh</t>
        </is>
      </c>
      <c r="G16173" t="inlineStr">
        <is>
          <t>31-03-2026</t>
        </is>
      </c>
      <c r="H16173" t="inlineStr">
        <is>
          <t>31/03/2026</t>
        </is>
      </c>
      <c r="I16173" t="inlineStr">
        <is>
          <t>17/03/2026</t>
        </is>
      </c>
      <c r="J16173" t="inlineStr">
        <is>
          <t>Tài chính / Đầu tư</t>
        </is>
      </c>
      <c r="K16173" t="inlineStr">
        <is>
          <t>Lên đến 1 Năm</t>
        </is>
      </c>
      <c r="L16173" s="8">
        <f>HYPERLINK("https://careerviet.vn/vi/tim-viec-lam/hcm-nhan-vien-kinh-doanh.35C69248.html","Xem chi tiết")</f>
        <v/>
      </c>
    </row>
    <row r="16174">
      <c r="B16174" s="9" t="n">
        <v>16172</v>
      </c>
      <c r="C16174" s="10" t="inlineStr">
        <is>
          <t>Nhân Viên Livestream Hàng Gia Dụng Part - Time</t>
        </is>
      </c>
      <c r="D16174" s="10" t="inlineStr">
        <is>
          <t>JoyMall - Nhà Phân Phối Locknlock</t>
        </is>
      </c>
      <c r="E16174" s="10" t="inlineStr">
        <is>
          <t>Lương:5 Tr - 7 Tr VND</t>
        </is>
      </c>
      <c r="F16174" s="10" t="inlineStr">
        <is>
          <t>Hồ Chí Minh</t>
        </is>
      </c>
      <c r="G16174" s="10" t="inlineStr">
        <is>
          <t>31-03-2026</t>
        </is>
      </c>
      <c r="H16174" s="10" t="inlineStr">
        <is>
          <t>31/03/2026</t>
        </is>
      </c>
      <c r="I16174" s="10" t="inlineStr">
        <is>
          <t>17/03/2026</t>
        </is>
      </c>
      <c r="J16174" s="10" t="inlineStr">
        <is>
          <t>Tiếp thị / Marketing, Bán hàng / Kinh doanh, Thương mại điện tử</t>
        </is>
      </c>
      <c r="K16174" s="10" t="inlineStr">
        <is>
          <t>Lên đến 1 Năm</t>
        </is>
      </c>
      <c r="L16174" s="11">
        <f>HYPERLINK("https://careerviet.vn/vi/tim-viec-lam/nhan-vien-livestream-hang-gia-dung-part-time.35C69214.html","Xem chi tiết")</f>
        <v/>
      </c>
      <c r="M16174" s="10" t="n"/>
    </row>
    <row r="16175">
      <c r="B16175" s="7" t="n">
        <v>16173</v>
      </c>
      <c r="C16175" t="inlineStr">
        <is>
          <t>Kỹ sư điều hòa không khí (HVAC)</t>
        </is>
      </c>
      <c r="D16175" t="inlineStr">
        <is>
          <t>CÔNG TY CỔ PHẨN ỨNG DỤNG VÀ CHUYỂN GIAO CÔNG NGHỆ XÂY DỰNG (CJSC)</t>
        </is>
      </c>
      <c r="E16175" t="inlineStr">
        <is>
          <t>Lương:15 Tr - 22 Tr VND</t>
        </is>
      </c>
      <c r="F16175" t="inlineStr">
        <is>
          <t>Hà Nội</t>
        </is>
      </c>
      <c r="G16175" t="inlineStr">
        <is>
          <t>6</t>
        </is>
      </c>
      <c r="H16175" t="inlineStr">
        <is>
          <t>23/03/2026</t>
        </is>
      </c>
      <c r="I16175" t="inlineStr">
        <is>
          <t>17/03/2026</t>
        </is>
      </c>
      <c r="J16175" t="inlineStr">
        <is>
          <t>Kiến trúc, Xây dựng</t>
        </is>
      </c>
      <c r="K16175" t="inlineStr">
        <is>
          <t>2 - 3 Năm</t>
        </is>
      </c>
      <c r="L16175" s="8">
        <f>HYPERLINK("https://careerviet.vn/vi/tim-viec-lam/ky-su-dieu-hoa-khong-khi-hvac.35C69297.html","Xem chi tiết")</f>
        <v/>
      </c>
    </row>
    <row r="16176">
      <c r="B16176" s="9" t="n">
        <v>16174</v>
      </c>
      <c r="C16176" s="10" t="inlineStr">
        <is>
          <t>Kế Toán Tổng Hợp</t>
        </is>
      </c>
      <c r="D16176" s="10" t="inlineStr">
        <is>
          <t>CÔNG TY TNHH THIẾT KẾ XÂY DỰNG M.X</t>
        </is>
      </c>
      <c r="E16176" s="10" t="inlineStr">
        <is>
          <t>Lương:13 Tr - 18 Tr VND</t>
        </is>
      </c>
      <c r="F16176" s="10" t="inlineStr">
        <is>
          <t>Hồ Chí Minh</t>
        </is>
      </c>
      <c r="G16176" s="10" t="inlineStr">
        <is>
          <t>29-04-2026</t>
        </is>
      </c>
      <c r="H16176" s="10" t="inlineStr">
        <is>
          <t>29/04/2026</t>
        </is>
      </c>
      <c r="I16176" s="10" t="inlineStr">
        <is>
          <t>17/03/2026</t>
        </is>
      </c>
      <c r="J16176" s="10" t="inlineStr">
        <is>
          <t>Kế toán / Kiểm toán, Tài chính / Đầu tư</t>
        </is>
      </c>
      <c r="K16176" s="10" t="inlineStr">
        <is>
          <t>2 - 3 Năm</t>
        </is>
      </c>
      <c r="L16176" s="11">
        <f>HYPERLINK("https://careerviet.vn/vi/tim-viec-lam/ke-toan-tong-hop.35C690CB.html","Xem chi tiết")</f>
        <v/>
      </c>
      <c r="M16176" s="10" t="n"/>
    </row>
    <row r="16177">
      <c r="B16177" s="7" t="n">
        <v>16175</v>
      </c>
      <c r="C16177" t="inlineStr">
        <is>
          <t>EVENT PLANNER</t>
        </is>
      </c>
      <c r="D16177" t="inlineStr">
        <is>
          <t>Mystery of Mekong - Công Ty TNHH Du Lịch Mê Kông Huyền Bí</t>
        </is>
      </c>
      <c r="E16177" t="inlineStr">
        <is>
          <t>Lương:Cạnh tranh</t>
        </is>
      </c>
      <c r="F16177" t="inlineStr">
        <is>
          <t>Hồ Chí Minh</t>
        </is>
      </c>
      <c r="G16177" t="inlineStr">
        <is>
          <t>24-03-2026</t>
        </is>
      </c>
      <c r="H16177" t="inlineStr">
        <is>
          <t>24/03/2026</t>
        </is>
      </c>
      <c r="I16177" t="inlineStr">
        <is>
          <t>17/03/2026</t>
        </is>
      </c>
      <c r="J16177" t="inlineStr">
        <is>
          <t>Du lịch, Tổ chức sự kiện, Truyền hình / Báo chí / Biên tập</t>
        </is>
      </c>
      <c r="K16177" t="inlineStr">
        <is>
          <t>Trên 1 Năm</t>
        </is>
      </c>
      <c r="L16177" s="8">
        <f>HYPERLINK("https://careerviet.vn/vi/tim-viec-lam/event-planner.35C69227.html","Xem chi tiết")</f>
        <v/>
      </c>
    </row>
    <row r="16178">
      <c r="B16178" s="9" t="n">
        <v>16176</v>
      </c>
      <c r="C16178" s="10" t="inlineStr">
        <is>
          <t>Trưởng Nhóm Đối Tác Nhân Sự (HRBP)</t>
        </is>
      </c>
      <c r="D16178" s="10" t="inlineStr">
        <is>
          <t>Công Ty TNHH ONE-VALUE Việt Nam</t>
        </is>
      </c>
      <c r="E16178" s="10" t="inlineStr">
        <is>
          <t>Lương:20 Tr - 30 Tr VND</t>
        </is>
      </c>
      <c r="F16178" s="10" t="inlineStr">
        <is>
          <t>Hà Nội</t>
        </is>
      </c>
      <c r="G16178" s="10" t="inlineStr">
        <is>
          <t>24-03-2026</t>
        </is>
      </c>
      <c r="H16178" s="10" t="inlineStr">
        <is>
          <t>24/03/2026</t>
        </is>
      </c>
      <c r="I16178" s="10" t="inlineStr">
        <is>
          <t>17/03/2026</t>
        </is>
      </c>
      <c r="J16178" s="10" t="inlineStr">
        <is>
          <t>Nhân sự</t>
        </is>
      </c>
      <c r="K16178" s="10" t="inlineStr">
        <is>
          <t>Trên 3 Năm</t>
        </is>
      </c>
      <c r="L16178" s="11">
        <f>HYPERLINK("https://careerviet.vn/vi/tim-viec-lam/truong-nhom-doi-tac-nhan-su-hrbp.35C692A6.html","Xem chi tiết")</f>
        <v/>
      </c>
      <c r="M16178" s="10" t="n"/>
    </row>
    <row r="16179">
      <c r="B16179" s="7" t="n">
        <v>16177</v>
      </c>
      <c r="C16179" t="inlineStr">
        <is>
          <t>Chuyên viên Kế hoạch Sản xuất</t>
        </is>
      </c>
      <c r="D16179" t="inlineStr">
        <is>
          <t>CÔNG TY CỔ PHẦN DÂY CÁP ĐIỆN VIỆT NAM - CADIVI</t>
        </is>
      </c>
      <c r="E16179" t="inlineStr">
        <is>
          <t>Lương:Cạnh tranh</t>
        </is>
      </c>
      <c r="F16179" t="inlineStr">
        <is>
          <t>Hồ Chí Minh</t>
        </is>
      </c>
      <c r="G16179" t="inlineStr">
        <is>
          <t>6</t>
        </is>
      </c>
      <c r="H16179" t="inlineStr">
        <is>
          <t>23/03/2026</t>
        </is>
      </c>
      <c r="I16179" t="inlineStr">
        <is>
          <t>17/03/2026</t>
        </is>
      </c>
      <c r="J16179" t="inlineStr">
        <is>
          <t>Bán hàng / Kinh doanh, Sản xuất / Vận hành sản xuất</t>
        </is>
      </c>
      <c r="K16179" t="inlineStr">
        <is>
          <t>2 - 5 Năm</t>
        </is>
      </c>
      <c r="L16179" s="8">
        <f>HYPERLINK("https://careerviet.vn/vi/tim-viec-lam/chuyen-vien-ke-hoach-san-xuat.35C69234.html","Xem chi tiết")</f>
        <v/>
      </c>
    </row>
    <row r="16180">
      <c r="B16180" s="9" t="n">
        <v>16178</v>
      </c>
      <c r="C16180" s="10" t="inlineStr">
        <is>
          <t>Chuyên viên tuyển dụng phòng nhân sự</t>
        </is>
      </c>
      <c r="D16180" s="10" t="inlineStr">
        <is>
          <t>Viện Thẩm mỹ y khoa Dr Hải Lê</t>
        </is>
      </c>
      <c r="E16180" s="10" t="inlineStr">
        <is>
          <t>Lương:12 Tr - 15 Tr VND</t>
        </is>
      </c>
      <c r="F16180" s="10" t="inlineStr">
        <is>
          <t>Hà Nội</t>
        </is>
      </c>
      <c r="G16180" s="10" t="inlineStr">
        <is>
          <t>28-03-2026</t>
        </is>
      </c>
      <c r="H16180" s="10" t="inlineStr">
        <is>
          <t>28/03/2026</t>
        </is>
      </c>
      <c r="I16180" s="10" t="inlineStr">
        <is>
          <t>17/03/2026</t>
        </is>
      </c>
      <c r="J16180" s="10" t="inlineStr">
        <is>
          <t>Y tế / Chăm sóc sức khỏe / Thẩm mỹ / Làm đẹp, Hành chính / Thư ký, Nhân sự</t>
        </is>
      </c>
      <c r="K16180" s="10" t="inlineStr">
        <is>
          <t>1 - 2 Năm</t>
        </is>
      </c>
      <c r="L16180" s="11">
        <f>HYPERLINK("https://careerviet.vn/vi/tim-viec-lam/chuyen-vien-tuyen-dung-phong-nhan-su.35C69222.html","Xem chi tiết")</f>
        <v/>
      </c>
      <c r="M16180" s="10" t="n"/>
    </row>
    <row r="16181">
      <c r="B16181" s="7" t="n">
        <v>16179</v>
      </c>
      <c r="C16181" t="inlineStr">
        <is>
          <t>Chuyên Viên Cung Ứng Quốc Tế</t>
        </is>
      </c>
      <c r="D16181" t="inlineStr">
        <is>
          <t>Bitex (Nhà phân phối độc quyền máy tính Casio tại Việt Nam)</t>
        </is>
      </c>
      <c r="E16181" t="inlineStr">
        <is>
          <t>Lương:Cạnh tranh</t>
        </is>
      </c>
      <c r="F16181" t="inlineStr">
        <is>
          <t>Hồ Chí Minh</t>
        </is>
      </c>
      <c r="G16181" t="inlineStr">
        <is>
          <t>09-03-2026</t>
        </is>
      </c>
      <c r="H16181" t="inlineStr">
        <is>
          <t>04/03/2026</t>
        </is>
      </c>
      <c r="I16181" t="inlineStr">
        <is>
          <t>17/03/2026</t>
        </is>
      </c>
      <c r="J16181" t="inlineStr">
        <is>
          <t>Bán lẻ / Bán sỉ, Hàng gia dụng / Chăm sóc cá nhân</t>
        </is>
      </c>
      <c r="K16181" t="inlineStr">
        <is>
          <t>Chưa có kinh nghiệm</t>
        </is>
      </c>
      <c r="L16181" s="8">
        <f>HYPERLINK("https://careerviet.vn/vi/tim-viec-lam/chuyen-vien-cung-ung-quoc-te.35C69226.html","Xem chi tiết")</f>
        <v/>
      </c>
    </row>
    <row r="16182">
      <c r="B16182" s="9" t="n">
        <v>16180</v>
      </c>
      <c r="C16182" s="10" t="inlineStr">
        <is>
          <t>Nhân viên Kế toán tổng hợp làm tại Khuất Duy Tiến, TX, HN</t>
        </is>
      </c>
      <c r="D16182" s="10" t="inlineStr">
        <is>
          <t>Viện Thẩm mỹ y khoa Dr Hải Lê</t>
        </is>
      </c>
      <c r="E16182" s="10" t="inlineStr">
        <is>
          <t>Lương:15 Tr - 25 Tr VND</t>
        </is>
      </c>
      <c r="F16182" s="10" t="inlineStr">
        <is>
          <t>Hà Nội</t>
        </is>
      </c>
      <c r="G16182" s="10" t="inlineStr">
        <is>
          <t>28-03-2026</t>
        </is>
      </c>
      <c r="H16182" s="10" t="inlineStr">
        <is>
          <t>28/03/2026</t>
        </is>
      </c>
      <c r="I16182" s="10" t="inlineStr">
        <is>
          <t>17/03/2026</t>
        </is>
      </c>
      <c r="J16182" s="10" t="inlineStr">
        <is>
          <t>Y tế / Chăm sóc sức khỏe / Thẩm mỹ / Làm đẹp, Kế toán / Kiểm toán, Tài chính / Đầu tư</t>
        </is>
      </c>
      <c r="K16182" s="10" t="inlineStr">
        <is>
          <t>1 - 3 Năm</t>
        </is>
      </c>
      <c r="L16182" s="11">
        <f>HYPERLINK("https://careerviet.vn/vi/tim-viec-lam/nhan-vien-ke-toan-tong-hop-lam-tai-khuat-duy-tien-tx-hn.35C69219.html","Xem chi tiết")</f>
        <v/>
      </c>
      <c r="M16182" s="10" t="n"/>
    </row>
    <row r="16183">
      <c r="B16183" s="7" t="n">
        <v>16181</v>
      </c>
      <c r="C16183" t="inlineStr">
        <is>
          <t>Nhân Viên Chăm Sóc Khách Hàng ChatLive Sàn S</t>
        </is>
      </c>
      <c r="D16183" t="inlineStr">
        <is>
          <t>Công Ty TNHH Việt Mỹ-SSU</t>
        </is>
      </c>
      <c r="E16183" t="inlineStr">
        <is>
          <t>Lương:7 Tr - 9 Tr VND</t>
        </is>
      </c>
      <c r="F16183" t="inlineStr">
        <is>
          <t>Hồ Chí Minh</t>
        </is>
      </c>
      <c r="G16183" t="inlineStr">
        <is>
          <t>09-03-2026</t>
        </is>
      </c>
      <c r="H16183" t="inlineStr">
        <is>
          <t>07/03/2026</t>
        </is>
      </c>
      <c r="I16183" t="inlineStr">
        <is>
          <t>17/03/2026</t>
        </is>
      </c>
      <c r="J16183" t="inlineStr">
        <is>
          <t>Thương mại điện tử</t>
        </is>
      </c>
      <c r="K16183" t="inlineStr">
        <is>
          <t>Chưa có kinh nghiệm</t>
        </is>
      </c>
      <c r="L16183" s="8">
        <f>HYPERLINK("https://careerviet.vn/vi/tim-viec-lam/nhan-vien-cham-soc-khach-hang-chatlive-san-s.35C6920B.html","Xem chi tiết")</f>
        <v/>
      </c>
    </row>
    <row r="16184">
      <c r="B16184" s="9" t="n">
        <v>16182</v>
      </c>
      <c r="C16184" s="10" t="inlineStr">
        <is>
          <t>Chuyên viên hỗ trợ vận hành và phát triển hệ thống SAP (ERP), phân hệ tài chính kế toán (FICO)</t>
        </is>
      </c>
      <c r="D16184" s="10" t="inlineStr">
        <is>
          <t>Tổng công ty Cổ phần Bia - Rượu - Nước giải khát Hà Nội (HABECO - Bia Hà Nội)</t>
        </is>
      </c>
      <c r="E16184" s="10" t="inlineStr">
        <is>
          <t>Lương:Cạnh tranh</t>
        </is>
      </c>
      <c r="F16184" s="10" t="inlineStr">
        <is>
          <t>Hà Nội</t>
        </is>
      </c>
      <c r="G16184" s="10" t="inlineStr">
        <is>
          <t>26-03-2026</t>
        </is>
      </c>
      <c r="H16184" s="10" t="inlineStr">
        <is>
          <t>26/03/2026</t>
        </is>
      </c>
      <c r="I16184" s="10" t="inlineStr">
        <is>
          <t>17/03/2026</t>
        </is>
      </c>
      <c r="J16184" s="10" t="inlineStr">
        <is>
          <t>CNTT - Phần mềm, Kế toán / Kiểm toán, Ngành khác</t>
        </is>
      </c>
      <c r="K16184" s="10" t="inlineStr">
        <is>
          <t>2 - 6 Năm</t>
        </is>
      </c>
      <c r="L16184" s="11">
        <f>HYPERLINK("https://careerviet.vn/vi/tim-viec-lam/chuyen-vien-ho-tro-van-hanh-va-phat-trien-he-thong-sap-erp-phan-he-tai-chinh-ke-toan-fico.35C691D6.html","Xem chi tiết")</f>
        <v/>
      </c>
      <c r="M16184" s="10" t="n"/>
    </row>
    <row r="16185">
      <c r="B16185" s="7" t="n">
        <v>16183</v>
      </c>
      <c r="C16185" t="inlineStr">
        <is>
          <t>Kế toán thuế</t>
        </is>
      </c>
      <c r="D16185" t="inlineStr">
        <is>
          <t>CÔNG TY TNHH THIẾT KẾ XÂY DỰNG M.X</t>
        </is>
      </c>
      <c r="E16185" t="inlineStr">
        <is>
          <t>Lương:15 Tr - 18 Tr VND</t>
        </is>
      </c>
      <c r="F16185" t="inlineStr">
        <is>
          <t>Hồ Chí Minh</t>
        </is>
      </c>
      <c r="G16185" t="inlineStr">
        <is>
          <t>29-04-2026</t>
        </is>
      </c>
      <c r="H16185" t="inlineStr">
        <is>
          <t>29/04/2026</t>
        </is>
      </c>
      <c r="I16185" t="inlineStr">
        <is>
          <t>17/03/2026</t>
        </is>
      </c>
      <c r="J16185" t="inlineStr">
        <is>
          <t>Kế toán / Kiểm toán</t>
        </is>
      </c>
      <c r="K16185" t="inlineStr">
        <is>
          <t>3 - 5 Năm</t>
        </is>
      </c>
      <c r="L16185" s="8">
        <f>HYPERLINK("https://careerviet.vn/vi/tim-viec-lam/ke-toan-thue.35C691E5.html","Xem chi tiết")</f>
        <v/>
      </c>
    </row>
    <row r="16186">
      <c r="B16186" s="9" t="n">
        <v>16184</v>
      </c>
      <c r="C16186" s="10" t="inlineStr">
        <is>
          <t>Chuyên viên Quản lý Kho và Mô hình dữ liệu</t>
        </is>
      </c>
      <c r="D16186" s="10" t="inlineStr">
        <is>
          <t>Ngân Hàng TMCP Sài Gòn - Hà Nội ( SHB )</t>
        </is>
      </c>
      <c r="E16186" s="10" t="inlineStr">
        <is>
          <t>Lương:Cạnh tranh</t>
        </is>
      </c>
      <c r="F16186" s="10" t="inlineStr">
        <is>
          <t>Hà Nội</t>
        </is>
      </c>
      <c r="G16186" s="10" t="inlineStr">
        <is>
          <t>26-03-2026</t>
        </is>
      </c>
      <c r="H16186" s="10" t="inlineStr">
        <is>
          <t>26/03/2026</t>
        </is>
      </c>
      <c r="I16186" s="10" t="inlineStr">
        <is>
          <t>17/03/2026</t>
        </is>
      </c>
      <c r="J16186" s="10" t="inlineStr">
        <is>
          <t>CNTT - Phần mềm, Ngân hàng</t>
        </is>
      </c>
      <c r="K16186" s="10" t="inlineStr">
        <is>
          <t>Trên 2 Năm</t>
        </is>
      </c>
      <c r="L16186" s="11">
        <f>HYPERLINK("https://careerviet.vn/vi/tim-viec-lam/chuyen-vien-quan-ly-kho-va-mo-hinh-du-lieu.35C69206.html","Xem chi tiết")</f>
        <v/>
      </c>
      <c r="M16186" s="10" t="n"/>
    </row>
    <row r="16187">
      <c r="B16187" s="7" t="n">
        <v>16185</v>
      </c>
      <c r="C16187" t="inlineStr">
        <is>
          <t>Nhân viên chăm sóc khách hàng Kênh Chat Driver - Food</t>
        </is>
      </c>
      <c r="D16187" t="inlineStr">
        <is>
          <t>Công Ty TNHH Việt Mỹ-SSU</t>
        </is>
      </c>
      <c r="E16187" t="inlineStr">
        <is>
          <t>Lương:8,5 Tr - 9,3 Tr VND</t>
        </is>
      </c>
      <c r="F16187" t="inlineStr">
        <is>
          <t>Hồ Chí Minh</t>
        </is>
      </c>
      <c r="G16187" t="inlineStr">
        <is>
          <t>31-03-2026</t>
        </is>
      </c>
      <c r="H16187" t="inlineStr">
        <is>
          <t>31/03/2026</t>
        </is>
      </c>
      <c r="I16187" t="inlineStr">
        <is>
          <t>17/03/2026</t>
        </is>
      </c>
      <c r="J16187" t="inlineStr">
        <is>
          <t>Thương mại điện tử</t>
        </is>
      </c>
      <c r="K16187" t="inlineStr">
        <is>
          <t>Lên đến 1 Năm</t>
        </is>
      </c>
      <c r="L16187" s="8">
        <f>HYPERLINK("https://careerviet.vn/vi/tim-viec-lam/nhan-vien-cham-soc-khach-hang-kenh-chat-driver-food.35C69210.html","Xem chi tiết")</f>
        <v/>
      </c>
    </row>
    <row r="16188">
      <c r="B16188" s="9" t="n">
        <v>16186</v>
      </c>
      <c r="C16188" s="10" t="inlineStr">
        <is>
          <t>Nhân Viên Vận Hành Máy Chấn-Đột-Dập</t>
        </is>
      </c>
      <c r="D16188" s="10" t="inlineStr">
        <is>
          <t>Công ty TNHH Greystone Data Systems Việt Nam</t>
        </is>
      </c>
      <c r="E16188" s="10" t="inlineStr">
        <is>
          <t>Lương:Cạnh tranh</t>
        </is>
      </c>
      <c r="F16188" s="10" t="inlineStr">
        <is>
          <t>Hồ Chí Minh</t>
        </is>
      </c>
      <c r="G16188" s="10" t="inlineStr">
        <is>
          <t>25-03-2026</t>
        </is>
      </c>
      <c r="H16188" s="10" t="inlineStr">
        <is>
          <t>25/03/2026</t>
        </is>
      </c>
      <c r="I16188" s="10" t="inlineStr">
        <is>
          <t>17/03/2026</t>
        </is>
      </c>
      <c r="J16188" s="10" t="inlineStr">
        <is>
          <t>Cơ khí / Ô tô / Tự động hóa</t>
        </is>
      </c>
      <c r="K16188" s="10" t="inlineStr">
        <is>
          <t>N/A</t>
        </is>
      </c>
      <c r="L16188" s="11">
        <f>HYPERLINK("https://careerviet.vn/vi/tim-viec-lam/nhan-vien-van-hanh-may-chan-dot-dap.35C691F1.html","Xem chi tiết")</f>
        <v/>
      </c>
      <c r="M16188" s="10" t="n"/>
    </row>
    <row r="16189">
      <c r="B16189" s="7" t="n">
        <v>16187</v>
      </c>
      <c r="C16189" t="inlineStr">
        <is>
          <t>Fullstack Engineer (Mobile)</t>
        </is>
      </c>
      <c r="D16189" t="inlineStr">
        <is>
          <t>CareerViet's client</t>
        </is>
      </c>
      <c r="E16189" t="inlineStr">
        <is>
          <t>Lương:60 Tr - 75 Tr VND</t>
        </is>
      </c>
      <c r="F16189" t="inlineStr">
        <is>
          <t>Hồ Chí Minh</t>
        </is>
      </c>
      <c r="G16189" t="inlineStr">
        <is>
          <t>31-03-2026</t>
        </is>
      </c>
      <c r="H16189" t="inlineStr">
        <is>
          <t>31/03/2026</t>
        </is>
      </c>
      <c r="I16189" t="inlineStr">
        <is>
          <t>17/03/2026</t>
        </is>
      </c>
      <c r="J16189" t="inlineStr">
        <is>
          <t>CNTT - Phần mềm, CNTT - Phần cứng / Mạng</t>
        </is>
      </c>
      <c r="K16189" t="inlineStr">
        <is>
          <t>Trên 5 Năm</t>
        </is>
      </c>
      <c r="L16189" s="8">
        <f>HYPERLINK("https://careerviet.vn/vi/tim-viec-lam/fullstack-engineer-mobile.35C691A5.html","Xem chi tiết")</f>
        <v/>
      </c>
    </row>
    <row r="16190">
      <c r="B16190" s="9" t="n">
        <v>16188</v>
      </c>
      <c r="C16190" s="10" t="inlineStr">
        <is>
          <t>NHÂN VIÊN THIẾT KẾ 3D</t>
        </is>
      </c>
      <c r="D16190" s="10" t="inlineStr">
        <is>
          <t>Mystery of Mekong - Công Ty TNHH Du Lịch Mê Kông Huyền Bí</t>
        </is>
      </c>
      <c r="E16190" s="10" t="inlineStr">
        <is>
          <t>Lương:Cạnh tranh</t>
        </is>
      </c>
      <c r="F16190" s="10" t="inlineStr">
        <is>
          <t>Hồ Chí Minh</t>
        </is>
      </c>
      <c r="G16190" s="10" t="inlineStr">
        <is>
          <t>24-03-2026</t>
        </is>
      </c>
      <c r="H16190" s="10" t="inlineStr">
        <is>
          <t>24/03/2026</t>
        </is>
      </c>
      <c r="I16190" s="10" t="inlineStr">
        <is>
          <t>17/03/2026</t>
        </is>
      </c>
      <c r="J16190" s="10" t="inlineStr">
        <is>
          <t>Mỹ thuật / Nghệ thuật / Thiết kế, Du lịch, Tổ chức sự kiện</t>
        </is>
      </c>
      <c r="K16190" s="10" t="inlineStr">
        <is>
          <t>Trên 4 Năm</t>
        </is>
      </c>
      <c r="L16190" s="11">
        <f>HYPERLINK("https://careerviet.vn/vi/tim-viec-lam/nhan-vien-thiet-ke-3d.35C6921B.html","Xem chi tiết")</f>
        <v/>
      </c>
      <c r="M16190" s="10" t="n"/>
    </row>
    <row r="16191">
      <c r="B16191" s="7" t="n">
        <v>16189</v>
      </c>
      <c r="C16191" t="inlineStr">
        <is>
          <t>Chuyên viên tư vấn triển khai ERP</t>
        </is>
      </c>
      <c r="D16191" t="inlineStr">
        <is>
          <t>CÔNG TY CỔ PHẦN CÔNG NGHỆ FOXAI</t>
        </is>
      </c>
      <c r="E16191" t="inlineStr">
        <is>
          <t>Lương:15 Tr - 35 Tr VND</t>
        </is>
      </c>
      <c r="F16191" t="inlineStr">
        <is>
          <t>Hà Nội</t>
        </is>
      </c>
      <c r="G16191" t="inlineStr">
        <is>
          <t>31-03-2026</t>
        </is>
      </c>
      <c r="H16191" t="inlineStr">
        <is>
          <t>31/03/2026</t>
        </is>
      </c>
      <c r="I16191" t="inlineStr">
        <is>
          <t>17/03/2026</t>
        </is>
      </c>
      <c r="J16191" t="inlineStr">
        <is>
          <t>Dịch vụ khách hàng, CNTT - Phần mềm, Bán hàng / Kinh doanh</t>
        </is>
      </c>
      <c r="K16191" t="inlineStr">
        <is>
          <t>Trên 2 Năm</t>
        </is>
      </c>
      <c r="L16191" s="8">
        <f>HYPERLINK("https://careerviet.vn/vi/tim-viec-lam/chuyen-vien-tu-van-trien-khai-erp.35C690E0.html","Xem chi tiết")</f>
        <v/>
      </c>
    </row>
    <row r="16192">
      <c r="B16192" s="9" t="n">
        <v>16190</v>
      </c>
      <c r="C16192" s="10" t="inlineStr">
        <is>
          <t>Chuyên viên tài chính</t>
        </is>
      </c>
      <c r="D16192" s="10" t="inlineStr">
        <is>
          <t>CÔNG TY CỔ PHẦN ĐẦU TƯ PHÁT TRIỂN THỦ THỪA</t>
        </is>
      </c>
      <c r="E16192" s="10" t="inlineStr">
        <is>
          <t>Lương:15 Tr - 25 Tr VND</t>
        </is>
      </c>
      <c r="F16192" s="10" t="inlineStr">
        <is>
          <t>Hồ Chí Minh</t>
        </is>
      </c>
      <c r="G16192" s="10" t="inlineStr">
        <is>
          <t>26-03-2026</t>
        </is>
      </c>
      <c r="H16192" s="10" t="inlineStr">
        <is>
          <t>26/03/2026</t>
        </is>
      </c>
      <c r="I16192" s="10" t="inlineStr">
        <is>
          <t>17/03/2026</t>
        </is>
      </c>
      <c r="J16192" s="10" t="inlineStr">
        <is>
          <t>Tài chính / Đầu tư, Kế toán / Kiểm toán</t>
        </is>
      </c>
      <c r="K16192" s="10" t="inlineStr">
        <is>
          <t>Chưa có kinh nghiệm</t>
        </is>
      </c>
      <c r="L16192" s="11">
        <f>HYPERLINK("https://careerviet.vn/vi/tim-viec-lam/chuyen-vien-tai-chinh.35C691BC.html","Xem chi tiết")</f>
        <v/>
      </c>
      <c r="M16192" s="10" t="n"/>
    </row>
    <row r="16193">
      <c r="B16193" s="7" t="n">
        <v>16191</v>
      </c>
      <c r="C16193" t="inlineStr">
        <is>
          <t>Kỹ sư Sản xuất Thông minh (Equipment Information) - Tiếng Trung hoặc Tiếng Anh</t>
        </is>
      </c>
      <c r="D16193" t="inlineStr">
        <is>
          <t>CÔNG TY TNHH ELECTRONIC TRIPOD VIỆT NAM (CHÂU ĐỨC)</t>
        </is>
      </c>
      <c r="E16193" t="inlineStr">
        <is>
          <t>Lương:Cạnh tranh</t>
        </is>
      </c>
      <c r="F16193" t="inlineStr">
        <is>
          <t>Bà Rịa - Vũng Tàu</t>
        </is>
      </c>
      <c r="G16193" t="inlineStr">
        <is>
          <t>24-03-2026</t>
        </is>
      </c>
      <c r="H16193" t="inlineStr">
        <is>
          <t>24/03/2026</t>
        </is>
      </c>
      <c r="I16193" t="inlineStr">
        <is>
          <t>17/03/2026</t>
        </is>
      </c>
      <c r="J16193" t="inlineStr">
        <is>
          <t>Cơ khí / Ô tô / Tự động hóa, Điện / Điện tử / Điện lạnh / Điện công nghiệp</t>
        </is>
      </c>
      <c r="K16193" t="inlineStr">
        <is>
          <t>1 - 2 Năm</t>
        </is>
      </c>
      <c r="L16193" s="8">
        <f>HYPERLINK("https://careerviet.vn/vi/tim-viec-lam/ky-su-san-xuat-thong-minh-equipment-information-tieng-trung-hoac-tieng-anh.35C69199.html","Xem chi tiết")</f>
        <v/>
      </c>
    </row>
    <row r="16194">
      <c r="B16194" s="9" t="n">
        <v>16192</v>
      </c>
      <c r="C16194" s="10" t="inlineStr">
        <is>
          <t>Thợ Sơn</t>
        </is>
      </c>
      <c r="D16194" s="10" t="inlineStr">
        <is>
          <t>Công ty TNHH Greystone Data Systems Việt Nam</t>
        </is>
      </c>
      <c r="E16194" s="10" t="inlineStr">
        <is>
          <t>Lương:7,5 Tr - 9 Tr VND</t>
        </is>
      </c>
      <c r="F16194" s="10" t="inlineStr">
        <is>
          <t>Hồ Chí Minh</t>
        </is>
      </c>
      <c r="G16194" s="10" t="inlineStr">
        <is>
          <t>09-03-2026</t>
        </is>
      </c>
      <c r="H16194" s="10" t="inlineStr">
        <is>
          <t>26/02/2026</t>
        </is>
      </c>
      <c r="I16194" s="10" t="inlineStr">
        <is>
          <t>17/03/2026</t>
        </is>
      </c>
      <c r="J16194" s="10" t="inlineStr">
        <is>
          <t>Cơ khí / Ô tô / Tự động hóa, Mỹ thuật / Nghệ thuật / Thiết kế, Đồ gỗ</t>
        </is>
      </c>
      <c r="K16194" s="10" t="inlineStr">
        <is>
          <t>1 - 2 Năm</t>
        </is>
      </c>
      <c r="L16194" s="11">
        <f>HYPERLINK("https://careerviet.vn/vi/tim-viec-lam/tho-son.35C691C5.html","Xem chi tiết")</f>
        <v/>
      </c>
      <c r="M16194" s="10" t="n"/>
    </row>
    <row r="16195">
      <c r="B16195" s="7" t="n">
        <v>16193</v>
      </c>
      <c r="C16195" t="inlineStr">
        <is>
          <t>Graphic Designer (Junior/Mid Level)</t>
        </is>
      </c>
      <c r="D16195" t="inlineStr">
        <is>
          <t>CÔNG TY TNHH SCIFATE VN</t>
        </is>
      </c>
      <c r="E16195" t="inlineStr">
        <is>
          <t>Lương:Cạnh tranh</t>
        </is>
      </c>
      <c r="F16195" t="inlineStr">
        <is>
          <t>Hồ Chí Minh</t>
        </is>
      </c>
      <c r="G16195" t="inlineStr">
        <is>
          <t>09-03-2026</t>
        </is>
      </c>
      <c r="H16195" t="inlineStr">
        <is>
          <t>25/02/2026</t>
        </is>
      </c>
      <c r="I16195" t="inlineStr">
        <is>
          <t>17/03/2026</t>
        </is>
      </c>
      <c r="J16195" t="inlineStr">
        <is>
          <t>Mỹ thuật / Nghệ thuật / Thiết kế</t>
        </is>
      </c>
      <c r="K16195" t="inlineStr">
        <is>
          <t>Trên 1 Năm</t>
        </is>
      </c>
      <c r="L16195" s="8">
        <f>HYPERLINK("https://careerviet.vn/vi/tim-viec-lam/graphic-designer-junior-mid-level.35C69044.html","Xem chi tiết")</f>
        <v/>
      </c>
    </row>
    <row r="16196">
      <c r="B16196" s="9" t="n">
        <v>16194</v>
      </c>
      <c r="C16196" s="10" t="inlineStr">
        <is>
          <t>NHÂN VIÊN CHĂM SÓC KHÁCH HÀNG</t>
        </is>
      </c>
      <c r="D16196" s="10" t="inlineStr">
        <is>
          <t>Hệ Thống Cửa Hàng Giày Da Đông Hải</t>
        </is>
      </c>
      <c r="E16196" s="10" t="inlineStr">
        <is>
          <t>Lương:8 Tr - 10 Tr VND</t>
        </is>
      </c>
      <c r="F16196" s="10" t="inlineStr">
        <is>
          <t>Hồ Chí Minh</t>
        </is>
      </c>
      <c r="G16196" s="10" t="inlineStr">
        <is>
          <t>31-03-2026</t>
        </is>
      </c>
      <c r="H16196" s="10" t="inlineStr">
        <is>
          <t>31/03/2026</t>
        </is>
      </c>
      <c r="I16196" s="10" t="inlineStr">
        <is>
          <t>17/03/2026</t>
        </is>
      </c>
      <c r="J16196" s="10" t="inlineStr">
        <is>
          <t>Dịch vụ khách hàng, Tư vấn, Dệt may / Da giày / Thời trang</t>
        </is>
      </c>
      <c r="K16196" s="10" t="inlineStr">
        <is>
          <t>1 - 2 Năm</t>
        </is>
      </c>
      <c r="L16196" s="11">
        <f>HYPERLINK("https://careerviet.vn/vi/tim-viec-lam/nhan-vien-cham-soc-khach-hang.35C690EF.html","Xem chi tiết")</f>
        <v/>
      </c>
      <c r="M16196" s="10" t="n"/>
    </row>
    <row r="16197">
      <c r="B16197" s="7" t="n">
        <v>16195</v>
      </c>
      <c r="C16197" t="inlineStr">
        <is>
          <t>Nhân viên chăm sóc khách hàng</t>
        </is>
      </c>
      <c r="D16197" t="inlineStr">
        <is>
          <t>TBS Land- Công ty Cổ Phần Đầu Tư Thái Bình</t>
        </is>
      </c>
      <c r="E16197" t="inlineStr">
        <is>
          <t>Lương:Cạnh tranh</t>
        </is>
      </c>
      <c r="F16197" t="inlineStr">
        <is>
          <t>Bình Dương</t>
        </is>
      </c>
      <c r="G16197" t="inlineStr">
        <is>
          <t>24-03-2026</t>
        </is>
      </c>
      <c r="H16197" t="inlineStr">
        <is>
          <t>24/03/2026</t>
        </is>
      </c>
      <c r="I16197" t="inlineStr">
        <is>
          <t>17/03/2026</t>
        </is>
      </c>
      <c r="J16197" t="inlineStr">
        <is>
          <t>Tiếp thị / Marketing, Tư vấn, Dịch vụ khách hàng</t>
        </is>
      </c>
      <c r="K16197" t="inlineStr">
        <is>
          <t>Trên 1 Năm</t>
        </is>
      </c>
      <c r="L16197" s="8">
        <f>HYPERLINK("https://careerviet.vn/vi/tim-viec-lam/nhan-vien-cham-soc-khach-hang.35C6917D.html","Xem chi tiết")</f>
        <v/>
      </c>
    </row>
    <row r="16198">
      <c r="B16198" s="9" t="n">
        <v>16196</v>
      </c>
      <c r="C16198" s="10" t="inlineStr">
        <is>
          <t>Nhân viên quản lý kỹ thuật</t>
        </is>
      </c>
      <c r="D16198" s="10" t="inlineStr">
        <is>
          <t>CÔNG TY TNHH YURA CORPORATION TÂY NINH</t>
        </is>
      </c>
      <c r="E16198" s="10" t="inlineStr">
        <is>
          <t>Lương:12 Tr - 16 Tr VND</t>
        </is>
      </c>
      <c r="F16198" s="10" t="inlineStr">
        <is>
          <t>Tây Ninh</t>
        </is>
      </c>
      <c r="G16198" s="10" t="inlineStr">
        <is>
          <t>31-03-2026</t>
        </is>
      </c>
      <c r="H16198" s="10" t="inlineStr">
        <is>
          <t>31/03/2026</t>
        </is>
      </c>
      <c r="I16198" s="10" t="inlineStr">
        <is>
          <t>17/03/2026</t>
        </is>
      </c>
      <c r="J16198" s="10" t="inlineStr">
        <is>
          <t>Sản xuất / Vận hành sản xuất, Bảo trì / Sửa chữa</t>
        </is>
      </c>
      <c r="K16198" s="10" t="inlineStr">
        <is>
          <t>1 - 3 Năm</t>
        </is>
      </c>
      <c r="L16198" s="11">
        <f>HYPERLINK("https://careerviet.vn/vi/tim-viec-lam/nhan-vien-quan-ly-ky-thuat.35C6917E.html","Xem chi tiết")</f>
        <v/>
      </c>
      <c r="M16198" s="10" t="n"/>
    </row>
    <row r="16199">
      <c r="B16199" s="7" t="n">
        <v>16197</v>
      </c>
      <c r="C16199" t="inlineStr">
        <is>
          <t>Nhân viên Kinh doanh - Tư vấn tiệc</t>
        </is>
      </c>
      <c r="D16199" t="inlineStr">
        <is>
          <t>CÔNG TY TNHH TRỐNG ĐỒNG VIỆT NAM</t>
        </is>
      </c>
      <c r="E16199" t="inlineStr">
        <is>
          <t>Lương:8 Tr - 10 Tr VND</t>
        </is>
      </c>
      <c r="F16199" t="inlineStr">
        <is>
          <t>Hà Nội</t>
        </is>
      </c>
      <c r="G16199" t="inlineStr">
        <is>
          <t>09-03-2026</t>
        </is>
      </c>
      <c r="H16199" t="inlineStr">
        <is>
          <t>25/02/2026</t>
        </is>
      </c>
      <c r="I16199" t="inlineStr">
        <is>
          <t>17/03/2026</t>
        </is>
      </c>
      <c r="J16199" t="inlineStr">
        <is>
          <t>Bán lẻ / Bán sỉ, Bán hàng / Kinh doanh, Tư vấn</t>
        </is>
      </c>
      <c r="K16199" t="inlineStr">
        <is>
          <t>N/A</t>
        </is>
      </c>
      <c r="L16199" s="8">
        <f>HYPERLINK("https://careerviet.vn/vi/tim-viec-lam/nhan-vien-kinh-doanh-tu-van-tiec.35C68FC8.html","Xem chi tiết")</f>
        <v/>
      </c>
    </row>
    <row r="16200">
      <c r="B16200" s="9" t="n">
        <v>16198</v>
      </c>
      <c r="C16200" s="10" t="inlineStr">
        <is>
          <t>Nhân Viên Nam Kho</t>
        </is>
      </c>
      <c r="D16200" s="10" t="inlineStr">
        <is>
          <t>JoyMall - Nhà Phân Phối Locknlock</t>
        </is>
      </c>
      <c r="E16200" s="10" t="inlineStr">
        <is>
          <t>Lương:7 Tr - 9 Tr VND</t>
        </is>
      </c>
      <c r="F16200" s="10" t="inlineStr">
        <is>
          <t>Hồ Chí Minh</t>
        </is>
      </c>
      <c r="G16200" s="10" t="inlineStr">
        <is>
          <t>31-03-2026</t>
        </is>
      </c>
      <c r="H16200" s="10" t="inlineStr">
        <is>
          <t>31/03/2026</t>
        </is>
      </c>
      <c r="I16200" s="10" t="inlineStr">
        <is>
          <t>17/03/2026</t>
        </is>
      </c>
      <c r="J16200" s="10" t="inlineStr">
        <is>
          <t>Sản xuất / Vận hành sản xuất, Vận chuyển / Giao nhận / Kho vận, Lao động phổ thông</t>
        </is>
      </c>
      <c r="K16200" s="10" t="inlineStr">
        <is>
          <t>N/A</t>
        </is>
      </c>
      <c r="L16200" s="11">
        <f>HYPERLINK("https://careerviet.vn/vi/tim-viec-lam/nhan-vien-nam-kho.35C691E3.html","Xem chi tiết")</f>
        <v/>
      </c>
      <c r="M16200" s="10" t="n"/>
    </row>
    <row r="16201">
      <c r="B16201" s="7" t="n">
        <v>16199</v>
      </c>
      <c r="C16201" t="inlineStr">
        <is>
          <t>NHÂN VIÊN MARKETING – SALE GIÁO DỤC</t>
        </is>
      </c>
      <c r="D16201" t="inlineStr">
        <is>
          <t>Trung Tâm ngoại ngữ Anh ngữ Quốc Tế Queen</t>
        </is>
      </c>
      <c r="E16201" t="inlineStr">
        <is>
          <t>Lương:8,5 Tr - 20 Tr VND</t>
        </is>
      </c>
      <c r="F16201" t="inlineStr">
        <is>
          <t>Đồng Nai</t>
        </is>
      </c>
      <c r="G16201" t="inlineStr">
        <is>
          <t>31-03-2026</t>
        </is>
      </c>
      <c r="H16201" t="inlineStr">
        <is>
          <t>31/03/2026</t>
        </is>
      </c>
      <c r="I16201" t="inlineStr">
        <is>
          <t>17/03/2026</t>
        </is>
      </c>
      <c r="J16201" t="inlineStr">
        <is>
          <t>Tiếp thị / Marketing, Giáo dục / Đào tạo, Bán hàng / Kinh doanh</t>
        </is>
      </c>
      <c r="K16201" t="inlineStr">
        <is>
          <t>1 - 3 Năm</t>
        </is>
      </c>
      <c r="L16201" s="8">
        <f>HYPERLINK("https://careerviet.vn/vi/tim-viec-lam/nhan-vien-marketing-sale-giao-duc.35C69156.html","Xem chi tiết")</f>
        <v/>
      </c>
    </row>
    <row r="16202">
      <c r="B16202" s="9" t="n">
        <v>16200</v>
      </c>
      <c r="C16202" s="10" t="inlineStr">
        <is>
          <t>Nhân viên quản lý sản xuất</t>
        </is>
      </c>
      <c r="D16202" s="10" t="inlineStr">
        <is>
          <t>CÔNG TY TNHH YURA CORPORATION TÂY NINH</t>
        </is>
      </c>
      <c r="E16202" s="10" t="inlineStr">
        <is>
          <t>Lương:14 Tr - 17 Tr VND</t>
        </is>
      </c>
      <c r="F16202" s="10" t="inlineStr">
        <is>
          <t>Long An</t>
        </is>
      </c>
      <c r="G16202" s="10" t="inlineStr">
        <is>
          <t>31-03-2026</t>
        </is>
      </c>
      <c r="H16202" s="10" t="inlineStr">
        <is>
          <t>31/03/2026</t>
        </is>
      </c>
      <c r="I16202" s="10" t="inlineStr">
        <is>
          <t>17/03/2026</t>
        </is>
      </c>
      <c r="J16202" s="10" t="inlineStr">
        <is>
          <t>Sản xuất / Vận hành sản xuất, Quản lý chất lượng (QA/QC)</t>
        </is>
      </c>
      <c r="K16202" s="10" t="inlineStr">
        <is>
          <t>3 - 5 Năm</t>
        </is>
      </c>
      <c r="L16202" s="11">
        <f>HYPERLINK("https://careerviet.vn/vi/tim-viec-lam/nhan-vien-quan-ly-san-xuat.35C69151.html","Xem chi tiết")</f>
        <v/>
      </c>
      <c r="M16202" s="10" t="n"/>
    </row>
    <row r="16203">
      <c r="B16203" s="7" t="n">
        <v>16201</v>
      </c>
      <c r="C16203" t="inlineStr">
        <is>
          <t>[Tuyên Quang] Giám sát bán hàng kênh GT</t>
        </is>
      </c>
      <c r="D16203" t="inlineStr">
        <is>
          <t>CÔNG TY TNHH DAESANG VIỆT NAM</t>
        </is>
      </c>
      <c r="E16203" t="inlineStr">
        <is>
          <t>Lương:15 Tr - 20 Tr VND</t>
        </is>
      </c>
      <c r="F16203" t="inlineStr">
        <is>
          <t>Tuyên Quang</t>
        </is>
      </c>
      <c r="G16203" t="inlineStr">
        <is>
          <t>31-03-2026</t>
        </is>
      </c>
      <c r="H16203" t="inlineStr">
        <is>
          <t>31/03/2026</t>
        </is>
      </c>
      <c r="I16203" t="inlineStr">
        <is>
          <t>17/03/2026</t>
        </is>
      </c>
      <c r="J16203" t="inlineStr">
        <is>
          <t>Bán lẻ / Bán sỉ, Bán hàng / Kinh doanh</t>
        </is>
      </c>
      <c r="K16203" t="inlineStr">
        <is>
          <t>2 - 3 Năm</t>
        </is>
      </c>
      <c r="L16203" s="8">
        <f>HYPERLINK("https://careerviet.vn/vi/tim-viec-lam/tuyen-quang-giam-sat-ban-hang-kenh-gt.35C6906D.html","Xem chi tiết")</f>
        <v/>
      </c>
    </row>
    <row r="16204">
      <c r="B16204" s="9" t="n">
        <v>16202</v>
      </c>
      <c r="C16204" s="10" t="inlineStr">
        <is>
          <t>Manufacturing Engineer  (Tooling Engineer)</t>
        </is>
      </c>
      <c r="D16204" s="10" t="inlineStr">
        <is>
          <t>SAMTEC VIETNAM COMPANY LIMITED</t>
        </is>
      </c>
      <c r="E16204" s="10" t="inlineStr">
        <is>
          <t>Lương:Cạnh tranh</t>
        </is>
      </c>
      <c r="F16204" s="10" t="inlineStr">
        <is>
          <t>Đồng Nai</t>
        </is>
      </c>
      <c r="G16204" s="10" t="inlineStr">
        <is>
          <t>31-03-2026</t>
        </is>
      </c>
      <c r="H16204" s="10" t="inlineStr">
        <is>
          <t>31/03/2026</t>
        </is>
      </c>
      <c r="I16204" s="10" t="inlineStr">
        <is>
          <t>17/03/2026</t>
        </is>
      </c>
      <c r="J16204" s="10" t="inlineStr">
        <is>
          <t>Sản xuất / Vận hành sản xuất, Điện / Điện tử / Điện lạnh / Điện công nghiệp, Ngành khác</t>
        </is>
      </c>
      <c r="K16204" s="10" t="inlineStr">
        <is>
          <t>5 - 10 Năm</t>
        </is>
      </c>
      <c r="L16204" s="11">
        <f>HYPERLINK("https://careerviet.vn/vi/tim-viec-lam/manufacturing-engineer-tooling-engineer.35C69175.html","Xem chi tiết")</f>
        <v/>
      </c>
      <c r="M16204" s="10" t="n"/>
    </row>
    <row r="16205">
      <c r="B16205" s="7" t="n">
        <v>16203</v>
      </c>
      <c r="C16205" t="inlineStr">
        <is>
          <t>Kế Toán Tổng Hợp</t>
        </is>
      </c>
      <c r="D16205" t="inlineStr">
        <is>
          <t>CÔNG TY TNHH YURA CORPORATION TÂY NINH</t>
        </is>
      </c>
      <c r="E16205" t="inlineStr">
        <is>
          <t>Lương:15 Tr - 18 Tr VND</t>
        </is>
      </c>
      <c r="F16205" t="inlineStr">
        <is>
          <t>Tây Ninh</t>
        </is>
      </c>
      <c r="G16205" t="inlineStr">
        <is>
          <t>6</t>
        </is>
      </c>
      <c r="H16205" t="inlineStr">
        <is>
          <t>23/03/2026</t>
        </is>
      </c>
      <c r="I16205" t="inlineStr">
        <is>
          <t>17/03/2026</t>
        </is>
      </c>
      <c r="J16205" t="inlineStr">
        <is>
          <t>Kế toán / Kiểm toán, Tài chính / Đầu tư, Luật / Pháp lý</t>
        </is>
      </c>
      <c r="K16205" t="inlineStr">
        <is>
          <t>2 - 5 Năm</t>
        </is>
      </c>
      <c r="L16205" s="8">
        <f>HYPERLINK("https://careerviet.vn/vi/tim-viec-lam/ke-toan-tong-hop.35C690CC.html","Xem chi tiết")</f>
        <v/>
      </c>
    </row>
    <row r="16206">
      <c r="B16206" s="9" t="n">
        <v>16204</v>
      </c>
      <c r="C16206" s="10" t="inlineStr">
        <is>
          <t>Kiến trúc sư</t>
        </is>
      </c>
      <c r="D16206" s="10" t="inlineStr">
        <is>
          <t>CÔNG TY CỔ PHẦN XÂY DỰNG VILAI VIỆT</t>
        </is>
      </c>
      <c r="E16206" s="10" t="inlineStr">
        <is>
          <t>Lương:18 Tr - 30 Tr VND</t>
        </is>
      </c>
      <c r="F16206" s="10" t="inlineStr">
        <is>
          <t>Hà Nội</t>
        </is>
      </c>
      <c r="G16206" s="10" t="inlineStr">
        <is>
          <t>31-03-2026</t>
        </is>
      </c>
      <c r="H16206" s="10" t="inlineStr">
        <is>
          <t>31/03/2026</t>
        </is>
      </c>
      <c r="I16206" s="10" t="inlineStr">
        <is>
          <t>17/03/2026</t>
        </is>
      </c>
      <c r="J16206" s="10" t="inlineStr">
        <is>
          <t>Kiến trúc, Xây dựng</t>
        </is>
      </c>
      <c r="K16206" s="10" t="inlineStr">
        <is>
          <t>4 - 7 Năm</t>
        </is>
      </c>
      <c r="L16206" s="11">
        <f>HYPERLINK("https://careerviet.vn/vi/tim-viec-lam/kien-truc-su.35C69136.html","Xem chi tiết")</f>
        <v/>
      </c>
      <c r="M16206" s="10" t="n"/>
    </row>
    <row r="16207">
      <c r="B16207" s="7" t="n">
        <v>16205</v>
      </c>
      <c r="C16207" t="inlineStr">
        <is>
          <t>Chuyên viên tuyển dụng- Tuyển gấp</t>
        </is>
      </c>
      <c r="D16207" t="inlineStr">
        <is>
          <t>CÔNG TY TNHH MTV KỸ THUẬT TÚ LỘC</t>
        </is>
      </c>
      <c r="E16207" t="inlineStr">
        <is>
          <t>Lương:15 Tr - 20 Tr VND</t>
        </is>
      </c>
      <c r="F16207" t="inlineStr">
        <is>
          <t>Hồ Chí Minh</t>
        </is>
      </c>
      <c r="G16207" t="inlineStr">
        <is>
          <t>09-03-2026</t>
        </is>
      </c>
      <c r="H16207" t="inlineStr">
        <is>
          <t>16/03/2026</t>
        </is>
      </c>
      <c r="I16207" t="inlineStr">
        <is>
          <t>17/03/2026</t>
        </is>
      </c>
      <c r="J16207" t="inlineStr">
        <is>
          <t>Hành chính / Thư ký, Nhân sự</t>
        </is>
      </c>
      <c r="K16207" t="inlineStr">
        <is>
          <t>2 - 3 Năm</t>
        </is>
      </c>
      <c r="L16207" s="8">
        <f>HYPERLINK("https://careerviet.vn/vi/tim-viec-lam/chuyen-vien-tuyen-dung-tuyen-gap.35C6916D.html","Xem chi tiết")</f>
        <v/>
      </c>
    </row>
    <row r="16208">
      <c r="B16208" s="9" t="n">
        <v>16206</v>
      </c>
      <c r="C16208" s="10" t="inlineStr">
        <is>
          <t>Kỹ sư điện tử</t>
        </is>
      </c>
      <c r="D16208" s="10" t="inlineStr">
        <is>
          <t>TECOTEC Technology</t>
        </is>
      </c>
      <c r="E16208" s="10" t="inlineStr">
        <is>
          <t>Lương:8 Tr - 15 Tr VND</t>
        </is>
      </c>
      <c r="F16208" s="10" t="inlineStr">
        <is>
          <t>Hà Nội</t>
        </is>
      </c>
      <c r="G16208" s="10" t="inlineStr">
        <is>
          <t>31-03-2026</t>
        </is>
      </c>
      <c r="H16208" s="10" t="inlineStr">
        <is>
          <t>31/03/2026</t>
        </is>
      </c>
      <c r="I16208" s="10" t="inlineStr">
        <is>
          <t>17/03/2026</t>
        </is>
      </c>
      <c r="J16208" s="10" t="inlineStr">
        <is>
          <t>Điện / Điện tử / Điện lạnh / Điện công nghiệp, Cơ khí / Ô tô / Tự động hóa</t>
        </is>
      </c>
      <c r="K16208" s="10" t="inlineStr">
        <is>
          <t>1 - 3 Năm</t>
        </is>
      </c>
      <c r="L16208" s="11">
        <f>HYPERLINK("https://careerviet.vn/vi/tim-viec-lam/ky-su-dien-tu.35C6912F.html","Xem chi tiết")</f>
        <v/>
      </c>
      <c r="M16208" s="10" t="n"/>
    </row>
    <row r="16209">
      <c r="B16209" s="7" t="n">
        <v>16207</v>
      </c>
      <c r="C16209" t="inlineStr">
        <is>
          <t>Grand Service Agent</t>
        </is>
      </c>
      <c r="D16209" t="inlineStr">
        <is>
          <t>Công Ty TNHH Dự Án Hồ Tràm</t>
        </is>
      </c>
      <c r="E16209" t="inlineStr">
        <is>
          <t>Lương:Cạnh tranh</t>
        </is>
      </c>
      <c r="F16209" t="inlineStr">
        <is>
          <t>Hồ Chí Minh</t>
        </is>
      </c>
      <c r="G16209" t="inlineStr">
        <is>
          <t>26-03-2026</t>
        </is>
      </c>
      <c r="H16209" t="inlineStr">
        <is>
          <t>26/03/2026</t>
        </is>
      </c>
      <c r="I16209" t="inlineStr">
        <is>
          <t>17/03/2026</t>
        </is>
      </c>
      <c r="J16209" t="inlineStr">
        <is>
          <t>Dịch vụ khách hàng</t>
        </is>
      </c>
      <c r="K16209" t="inlineStr">
        <is>
          <t>1 - 2 Năm</t>
        </is>
      </c>
      <c r="L16209" s="8">
        <f>HYPERLINK("https://careerviet.vn/vi/tim-viec-lam/grand-service-agent.35C69152.html","Xem chi tiết")</f>
        <v/>
      </c>
    </row>
    <row r="16210">
      <c r="B16210" s="9" t="n">
        <v>16208</v>
      </c>
      <c r="C16210" s="10" t="inlineStr">
        <is>
          <t>Chuyên Viên Truyền Thông</t>
        </is>
      </c>
      <c r="D16210" s="10" t="inlineStr">
        <is>
          <t>CÔNG TY CỔ PHẦN ĐẦU TƯ PHÁT TRIỂN THỦ THỪA</t>
        </is>
      </c>
      <c r="E16210" s="10" t="inlineStr">
        <is>
          <t>Lương:15 Tr - 25 Tr VND</t>
        </is>
      </c>
      <c r="F16210" s="10" t="inlineStr">
        <is>
          <t>Hồ Chí Minh</t>
        </is>
      </c>
      <c r="G16210" s="10" t="inlineStr">
        <is>
          <t>26-03-2026</t>
        </is>
      </c>
      <c r="H16210" s="10" t="inlineStr">
        <is>
          <t>26/03/2026</t>
        </is>
      </c>
      <c r="I16210" s="10" t="inlineStr">
        <is>
          <t>17/03/2026</t>
        </is>
      </c>
      <c r="J16210" s="10" t="inlineStr">
        <is>
          <t>Quảng cáo / Đối ngoại / Truyền Thông</t>
        </is>
      </c>
      <c r="K16210" s="10" t="inlineStr">
        <is>
          <t>3 - 5 Năm</t>
        </is>
      </c>
      <c r="L16210" s="11">
        <f>HYPERLINK("https://careerviet.vn/vi/tim-viec-lam/chuyen-vien-truyen-thong.35C69112.html","Xem chi tiết")</f>
        <v/>
      </c>
      <c r="M16210" s="10" t="n"/>
    </row>
    <row r="16211">
      <c r="B16211" s="7" t="n">
        <v>16209</v>
      </c>
      <c r="C16211" t="inlineStr">
        <is>
          <t>Trưởng phòng kế toán kiêm kế toán trưởng</t>
        </is>
      </c>
      <c r="D16211" t="inlineStr">
        <is>
          <t>CÔNG TY CỔ PHẦN HỒ TIÊU VIỆT</t>
        </is>
      </c>
      <c r="E16211" t="inlineStr">
        <is>
          <t>Lương:30 Tr - 45 Tr VND</t>
        </is>
      </c>
      <c r="F16211" t="inlineStr">
        <is>
          <t>Hồ Chí Minh</t>
        </is>
      </c>
      <c r="G16211" t="inlineStr">
        <is>
          <t>24-03-2026</t>
        </is>
      </c>
      <c r="H16211" t="inlineStr">
        <is>
          <t>24/03/2026</t>
        </is>
      </c>
      <c r="I16211" t="inlineStr">
        <is>
          <t>17/03/2026</t>
        </is>
      </c>
      <c r="J16211" t="inlineStr">
        <is>
          <t>Kế toán / Kiểm toán, Tài chính / Đầu tư, Quản lý điều hành</t>
        </is>
      </c>
      <c r="K16211" t="inlineStr">
        <is>
          <t>7 - 10 Năm</t>
        </is>
      </c>
      <c r="L16211" s="8">
        <f>HYPERLINK("https://careerviet.vn/vi/tim-viec-lam/truong-phong-ke-toan-kiem-ke-toan-truong.35C68FF5.html","Xem chi tiết")</f>
        <v/>
      </c>
    </row>
    <row r="16212">
      <c r="B16212" s="9" t="n">
        <v>16210</v>
      </c>
      <c r="C16212" s="10" t="inlineStr">
        <is>
          <t>Đầu bếp chính</t>
        </is>
      </c>
      <c r="D16212" s="10" t="inlineStr">
        <is>
          <t>BỆNH VIỆN ĐA KHOA PHƯƠNG ĐÔNG</t>
        </is>
      </c>
      <c r="E16212" s="10" t="inlineStr">
        <is>
          <t>Lương:10 Tr - 13 Tr VND</t>
        </is>
      </c>
      <c r="F16212" s="10" t="inlineStr">
        <is>
          <t>Hà Nội</t>
        </is>
      </c>
      <c r="G16212" s="10" t="inlineStr">
        <is>
          <t>30-05-2026</t>
        </is>
      </c>
      <c r="H16212" s="10" t="inlineStr">
        <is>
          <t>30/05/2026</t>
        </is>
      </c>
      <c r="I16212" s="10" t="inlineStr">
        <is>
          <t>17/03/2026</t>
        </is>
      </c>
      <c r="J16212" s="10" t="inlineStr">
        <is>
          <t>Nhà hàng / Khách sạn</t>
        </is>
      </c>
      <c r="K16212" s="10" t="inlineStr">
        <is>
          <t>2 - 3 Năm</t>
        </is>
      </c>
      <c r="L16212" s="11">
        <f>HYPERLINK("https://careerviet.vn/vi/tim-viec-lam/dau-bep-chinh.35C6910A.html","Xem chi tiết")</f>
        <v/>
      </c>
      <c r="M16212" s="10" t="n"/>
    </row>
    <row r="16213">
      <c r="B16213" s="7" t="n">
        <v>16211</v>
      </c>
      <c r="C16213" t="inlineStr">
        <is>
          <t>Nhân viên Digital Marketing</t>
        </is>
      </c>
      <c r="D16213" t="inlineStr">
        <is>
          <t>Công ty TNHH Mỹ Phục - Eva De Eva</t>
        </is>
      </c>
      <c r="E16213" t="inlineStr">
        <is>
          <t>Lương:11 Tr - 17 Tr VND</t>
        </is>
      </c>
      <c r="F16213" t="inlineStr">
        <is>
          <t>Hà Nội</t>
        </is>
      </c>
      <c r="G16213" t="inlineStr">
        <is>
          <t>25-03-2026</t>
        </is>
      </c>
      <c r="H16213" t="inlineStr">
        <is>
          <t>25/03/2026</t>
        </is>
      </c>
      <c r="I16213" t="inlineStr">
        <is>
          <t>17/03/2026</t>
        </is>
      </c>
      <c r="J16213" t="inlineStr">
        <is>
          <t>Tiếp thị / Marketing, Dệt may / Da giày / Thời trang, Y tế / Chăm sóc sức khỏe / Thẩm mỹ / Làm đẹp</t>
        </is>
      </c>
      <c r="K16213" t="inlineStr">
        <is>
          <t>1 - 2 Năm</t>
        </is>
      </c>
      <c r="L16213" s="8">
        <f>HYPERLINK("https://careerviet.vn/vi/tim-viec-lam/nhan-vien-digital-marketing.35C690AA.html","Xem chi tiết")</f>
        <v/>
      </c>
    </row>
    <row r="16214">
      <c r="B16214" s="9" t="n">
        <v>16212</v>
      </c>
      <c r="C16214" s="10" t="inlineStr">
        <is>
          <t>Trưởng Nhóm Chứng Từ Giao Nhận Hải Quan</t>
        </is>
      </c>
      <c r="D16214" s="10" t="inlineStr">
        <is>
          <t>CÔNG TY CỔ PHẦN TIẾP VẬN QUỐC TẾ RỒNG XANH</t>
        </is>
      </c>
      <c r="E16214" s="10" t="inlineStr">
        <is>
          <t>Lương:Cạnh tranh</t>
        </is>
      </c>
      <c r="F16214" s="10" t="inlineStr">
        <is>
          <t>Hồ Chí Minh</t>
        </is>
      </c>
      <c r="G16214" s="10" t="inlineStr">
        <is>
          <t>24-03-2026</t>
        </is>
      </c>
      <c r="H16214" s="10" t="inlineStr">
        <is>
          <t>24/03/2026</t>
        </is>
      </c>
      <c r="I16214" s="10" t="inlineStr">
        <is>
          <t>17/03/2026</t>
        </is>
      </c>
      <c r="J16214" s="10" t="inlineStr">
        <is>
          <t>Xuất nhập khẩu, Hành chính / Thư ký</t>
        </is>
      </c>
      <c r="K16214" s="10" t="inlineStr">
        <is>
          <t>3 - 5 Năm</t>
        </is>
      </c>
      <c r="L16214" s="11">
        <f>HYPERLINK("https://careerviet.vn/vi/tim-viec-lam/truong-nhom-chung-tu-giao-nhan-hai-quan.35C54545.html","Xem chi tiết")</f>
        <v/>
      </c>
      <c r="M16214" s="10" t="n"/>
    </row>
    <row r="16215">
      <c r="B16215" s="7" t="n">
        <v>16213</v>
      </c>
      <c r="C16215" t="inlineStr">
        <is>
          <t>Kế toán nội bộ</t>
        </is>
      </c>
      <c r="D16215" t="inlineStr">
        <is>
          <t>Công ty TNHH Hana E&amp;C</t>
        </is>
      </c>
      <c r="E16215" t="inlineStr">
        <is>
          <t>Lương:11 Tr - 13 Tr VND</t>
        </is>
      </c>
      <c r="F16215" t="inlineStr">
        <is>
          <t>Hà Nội</t>
        </is>
      </c>
      <c r="G16215" t="inlineStr">
        <is>
          <t>6</t>
        </is>
      </c>
      <c r="H16215" t="inlineStr">
        <is>
          <t>23/03/2026</t>
        </is>
      </c>
      <c r="I16215" t="inlineStr">
        <is>
          <t>17/03/2026</t>
        </is>
      </c>
      <c r="J16215" t="inlineStr">
        <is>
          <t>Kế toán / Kiểm toán</t>
        </is>
      </c>
      <c r="K16215" t="inlineStr">
        <is>
          <t>Trên 1 Năm</t>
        </is>
      </c>
      <c r="L16215" s="8">
        <f>HYPERLINK("https://careerviet.vn/vi/tim-viec-lam/ke-toan-noi-bo.35C68FAC.html","Xem chi tiết")</f>
        <v/>
      </c>
    </row>
    <row r="16216">
      <c r="B16216" s="9" t="n">
        <v>16214</v>
      </c>
      <c r="C16216" s="10" t="inlineStr">
        <is>
          <t>TRƯỞNG BỘ PHẬN ĐÀO TẠO - TRUNG TÂM NGOẠI NGỮ (BIÊN HÒA)</t>
        </is>
      </c>
      <c r="D16216" s="10" t="inlineStr">
        <is>
          <t>Trung Tâm ngoại ngữ Anh ngữ Quốc Tế Queen</t>
        </is>
      </c>
      <c r="E16216" s="10" t="inlineStr">
        <is>
          <t>Lương:15 Tr - 25 Tr VND</t>
        </is>
      </c>
      <c r="F16216" s="10" t="inlineStr">
        <is>
          <t>Đồng Nai</t>
        </is>
      </c>
      <c r="G16216" s="10" t="inlineStr">
        <is>
          <t>31-03-2026</t>
        </is>
      </c>
      <c r="H16216" s="10" t="inlineStr">
        <is>
          <t>31/03/2026</t>
        </is>
      </c>
      <c r="I16216" s="10" t="inlineStr">
        <is>
          <t>17/03/2026</t>
        </is>
      </c>
      <c r="J16216" s="10" t="inlineStr">
        <is>
          <t>Giáo dục / Đào tạo, Quản lý chất lượng (QA/QC)</t>
        </is>
      </c>
      <c r="K16216" s="10" t="inlineStr">
        <is>
          <t>2 - 5 Năm</t>
        </is>
      </c>
      <c r="L16216" s="11">
        <f>HYPERLINK("https://careerviet.vn/vi/tim-viec-lam/truong-bo-phan-dao-tao-trung-tam-ngoai-ngu-bien-hoa.35C69173.html","Xem chi tiết")</f>
        <v/>
      </c>
      <c r="M16216" s="10" t="n"/>
    </row>
    <row r="16217">
      <c r="B16217" s="7" t="n">
        <v>16215</v>
      </c>
      <c r="C16217" t="inlineStr">
        <is>
          <t>Nhân viên thu mua - Tiếng Anh tốt</t>
        </is>
      </c>
      <c r="D16217" t="inlineStr">
        <is>
          <t>CÔNG TY TNHH XUẤT NHẬP KHẨU RUTOP VIỆT NAM - Thương Hiệu Toptotoes</t>
        </is>
      </c>
      <c r="E16217" t="inlineStr">
        <is>
          <t>Lương:10 Tr - 15 Tr VND</t>
        </is>
      </c>
      <c r="F16217" t="inlineStr">
        <is>
          <t>Hà Nội</t>
        </is>
      </c>
      <c r="G16217" t="inlineStr">
        <is>
          <t>31-03-2026</t>
        </is>
      </c>
      <c r="H16217" t="inlineStr">
        <is>
          <t>31/03/2026</t>
        </is>
      </c>
      <c r="I16217" t="inlineStr">
        <is>
          <t>17/03/2026</t>
        </is>
      </c>
      <c r="J16217" t="inlineStr">
        <is>
          <t>Dược phẩm/ Hóa Mỹ Phẩm, Xuất nhập khẩu</t>
        </is>
      </c>
      <c r="K16217" t="inlineStr">
        <is>
          <t>1 - 2 Năm</t>
        </is>
      </c>
      <c r="L16217" s="8">
        <f>HYPERLINK("https://careerviet.vn/vi/tim-viec-lam/nhan-vien-thu-mua-tieng-anh-tot.35C690C8.html","Xem chi tiết")</f>
        <v/>
      </c>
    </row>
    <row r="16218">
      <c r="B16218" s="9" t="n">
        <v>16216</v>
      </c>
      <c r="C16218" s="10" t="inlineStr">
        <is>
          <t>LOGISTICS SALES MANAGER // TRƯỞNG PHÒNG KINH DOANH XUẤT NHẬP KHẨU</t>
        </is>
      </c>
      <c r="D16218" s="10" t="inlineStr">
        <is>
          <t>CÔNG TY TNHH LIÊN VẬN QUỐC TẾ SHINING OCEAN VIỆT NAM</t>
        </is>
      </c>
      <c r="E16218" s="10" t="inlineStr">
        <is>
          <t>Lương:Cạnh tranh</t>
        </is>
      </c>
      <c r="F16218" s="10" t="inlineStr">
        <is>
          <t>Hồ Chí Minh</t>
        </is>
      </c>
      <c r="G16218" s="10" t="inlineStr">
        <is>
          <t>31-03-2026</t>
        </is>
      </c>
      <c r="H16218" s="10" t="inlineStr">
        <is>
          <t>31/03/2026</t>
        </is>
      </c>
      <c r="I16218" s="10" t="inlineStr">
        <is>
          <t>17/03/2026</t>
        </is>
      </c>
      <c r="J16218" s="10" t="inlineStr">
        <is>
          <t>Bán hàng / Kinh doanh, Vận chuyển / Giao nhận / Kho vận, Xuất nhập khẩu</t>
        </is>
      </c>
      <c r="K16218" s="10" t="inlineStr">
        <is>
          <t>3 - 10 Năm</t>
        </is>
      </c>
      <c r="L16218" s="11">
        <f>HYPERLINK("https://careerviet.vn/vi/tim-viec-lam/logistics-sales-manager-truong-phong-kinh-doanh-xuat-nhap-khau.35C69138.html","Xem chi tiết")</f>
        <v/>
      </c>
      <c r="M16218" s="10" t="n"/>
    </row>
    <row r="16219">
      <c r="B16219" s="7" t="n">
        <v>16217</v>
      </c>
      <c r="C16219" t="inlineStr">
        <is>
          <t>Kỹ sư Nhiệt</t>
        </is>
      </c>
      <c r="D16219" t="inlineStr">
        <is>
          <t>CÔNG TY CỔ PHẦN SEAREFICO</t>
        </is>
      </c>
      <c r="E16219" t="inlineStr">
        <is>
          <t>Lương:Cạnh tranh</t>
        </is>
      </c>
      <c r="F16219" t="inlineStr">
        <is>
          <t>Đà NẵngĐồng Nai</t>
        </is>
      </c>
      <c r="G16219" t="inlineStr">
        <is>
          <t>26-03-2026</t>
        </is>
      </c>
      <c r="H16219" t="inlineStr">
        <is>
          <t>26/03/2026</t>
        </is>
      </c>
      <c r="I16219" t="inlineStr">
        <is>
          <t>17/03/2026</t>
        </is>
      </c>
      <c r="J16219" t="inlineStr">
        <is>
          <t>Cơ khí / Ô tô / Tự động hóa, Điện / Điện tử / Điện lạnh / Điện công nghiệp</t>
        </is>
      </c>
      <c r="K16219" t="inlineStr">
        <is>
          <t>N/A</t>
        </is>
      </c>
      <c r="L16219" s="8">
        <f>HYPERLINK("https://careerviet.vn/vi/tim-viec-lam/ky-su-nhiet.35C6911B.html","Xem chi tiết")</f>
        <v/>
      </c>
    </row>
    <row r="16220">
      <c r="B16220" s="9" t="n">
        <v>16218</v>
      </c>
      <c r="C16220" s="10" t="inlineStr">
        <is>
          <t>Nhân viên admin nhà hàng</t>
        </is>
      </c>
      <c r="D16220" s="10" t="inlineStr">
        <is>
          <t>BỆNH VIỆN ĐA KHOA PHƯƠNG ĐÔNG</t>
        </is>
      </c>
      <c r="E16220" s="10" t="inlineStr">
        <is>
          <t>Lương:7 Tr - 10 Tr VND</t>
        </is>
      </c>
      <c r="F16220" s="10" t="inlineStr">
        <is>
          <t>Hà Nội</t>
        </is>
      </c>
      <c r="G16220" s="10" t="inlineStr">
        <is>
          <t>31-05-2026</t>
        </is>
      </c>
      <c r="H16220" s="10" t="inlineStr">
        <is>
          <t>31/05/2026</t>
        </is>
      </c>
      <c r="I16220" s="10" t="inlineStr">
        <is>
          <t>17/03/2026</t>
        </is>
      </c>
      <c r="J16220" s="10" t="inlineStr">
        <is>
          <t>Nhà hàng / Khách sạn</t>
        </is>
      </c>
      <c r="K16220" s="10" t="inlineStr">
        <is>
          <t>N/A</t>
        </is>
      </c>
      <c r="L16220" s="11">
        <f>HYPERLINK("https://careerviet.vn/vi/tim-viec-lam/nhan-vien-admin-nha-hang.35C690FD.html","Xem chi tiết")</f>
        <v/>
      </c>
      <c r="M16220" s="10" t="n"/>
    </row>
    <row r="16221">
      <c r="B16221" s="7" t="n">
        <v>16219</v>
      </c>
      <c r="C16221" t="inlineStr">
        <is>
          <t>NHÂN VIÊN MARKETING - CHĂM SÓC KHÁCH HÀNG</t>
        </is>
      </c>
      <c r="D16221" t="inlineStr">
        <is>
          <t>HR Vietnam’s ESS Client</t>
        </is>
      </c>
      <c r="E16221" t="inlineStr">
        <is>
          <t>Lương:Cạnh tranh</t>
        </is>
      </c>
      <c r="F16221" t="inlineStr">
        <is>
          <t>Nam Định</t>
        </is>
      </c>
      <c r="G16221" t="inlineStr">
        <is>
          <t>26-03-2026</t>
        </is>
      </c>
      <c r="H16221" t="inlineStr">
        <is>
          <t>26/03/2026</t>
        </is>
      </c>
      <c r="I16221" t="inlineStr">
        <is>
          <t>17/03/2026</t>
        </is>
      </c>
      <c r="J16221" t="inlineStr">
        <is>
          <t>Tiếp thị / Marketing, Dịch vụ khách hàng, Bất động sản</t>
        </is>
      </c>
      <c r="K16221" t="inlineStr">
        <is>
          <t>2 - 4 Năm</t>
        </is>
      </c>
      <c r="L16221" s="8">
        <f>HYPERLINK("https://careerviet.vn/vi/tim-viec-lam/nhan-vien-marketing-cham-soc-khach-hang.35C69099.html","Xem chi tiết")</f>
        <v/>
      </c>
    </row>
    <row r="16222">
      <c r="B16222" s="9" t="n">
        <v>16220</v>
      </c>
      <c r="C16222" s="10" t="inlineStr">
        <is>
          <t>Chuyên viên Marketing Dự án (Cơ điện lạnh)</t>
        </is>
      </c>
      <c r="D16222" s="10" t="inlineStr">
        <is>
          <t>CÔNG TY CỔ PHẦN SEAREFICO</t>
        </is>
      </c>
      <c r="E16222" s="10" t="inlineStr">
        <is>
          <t>Lương:Cạnh tranh</t>
        </is>
      </c>
      <c r="F16222" s="10" t="inlineStr">
        <is>
          <t>Đà Nẵng</t>
        </is>
      </c>
      <c r="G16222" s="10" t="inlineStr">
        <is>
          <t>26-03-2026</t>
        </is>
      </c>
      <c r="H16222" s="10" t="inlineStr">
        <is>
          <t>26/03/2026</t>
        </is>
      </c>
      <c r="I16222" s="10" t="inlineStr">
        <is>
          <t>17/03/2026</t>
        </is>
      </c>
      <c r="J16222" s="10" t="inlineStr">
        <is>
          <t>Xây dựng, Cơ khí / Ô tô / Tự động hóa, Bán hàng / Kinh doanh</t>
        </is>
      </c>
      <c r="K16222" s="10" t="inlineStr">
        <is>
          <t>Trên 2 Năm</t>
        </is>
      </c>
      <c r="L16222" s="11">
        <f>HYPERLINK("https://careerviet.vn/vi/tim-viec-lam/chuyen-vien-marketing-du-an-co-dien-lanh.35C690DA.html","Xem chi tiết")</f>
        <v/>
      </c>
      <c r="M16222" s="10" t="n"/>
    </row>
    <row r="16223">
      <c r="B16223" s="7" t="n">
        <v>16221</v>
      </c>
      <c r="C16223" t="inlineStr">
        <is>
          <t>NPI Sourcing Specialist/ NPI Sourcing Senior Specialist</t>
        </is>
      </c>
      <c r="D16223" t="inlineStr">
        <is>
          <t>Friwo Vietnam Co., Ltd</t>
        </is>
      </c>
      <c r="E16223" t="inlineStr">
        <is>
          <t>Lương:Cạnh tranh</t>
        </is>
      </c>
      <c r="F16223" t="inlineStr">
        <is>
          <t>Hồ Chí Minh</t>
        </is>
      </c>
      <c r="G16223" t="inlineStr">
        <is>
          <t>6</t>
        </is>
      </c>
      <c r="H16223" t="inlineStr">
        <is>
          <t>23/03/2026</t>
        </is>
      </c>
      <c r="I16223" t="inlineStr">
        <is>
          <t>17/03/2026</t>
        </is>
      </c>
      <c r="J16223" t="inlineStr">
        <is>
          <t>Thu mua / Vật tư, Điện / Điện tử / Điện lạnh / Điện công nghiệp, Sản xuất / Vận hành sản xuất</t>
        </is>
      </c>
      <c r="K16223" t="inlineStr">
        <is>
          <t>2 - 4 Năm</t>
        </is>
      </c>
      <c r="L16223" s="8">
        <f>HYPERLINK("https://careerviet.vn/vi/tim-viec-lam/npi-sourcing-specialist-npi-sourcing-senior-specialist.35C69130.html","Xem chi tiết")</f>
        <v/>
      </c>
    </row>
    <row r="16224">
      <c r="B16224" s="9" t="n">
        <v>16222</v>
      </c>
      <c r="C16224" s="10" t="inlineStr">
        <is>
          <t>kỹ sư phần mềm</t>
        </is>
      </c>
      <c r="D16224" s="10" t="inlineStr">
        <is>
          <t>TECOTEC Technology</t>
        </is>
      </c>
      <c r="E16224" s="10" t="inlineStr">
        <is>
          <t>Lương:8 Tr - 15 Tr VND</t>
        </is>
      </c>
      <c r="F16224" s="10" t="inlineStr">
        <is>
          <t>Hà Nội</t>
        </is>
      </c>
      <c r="G16224" s="10" t="inlineStr">
        <is>
          <t>31-03-2026</t>
        </is>
      </c>
      <c r="H16224" s="10" t="inlineStr">
        <is>
          <t>31/03/2026</t>
        </is>
      </c>
      <c r="I16224" s="10" t="inlineStr">
        <is>
          <t>17/03/2026</t>
        </is>
      </c>
      <c r="J16224" s="10" t="inlineStr">
        <is>
          <t>CNTT - Phần mềm, CNTT - Phần cứng / Mạng, Cơ khí / Ô tô / Tự động hóa</t>
        </is>
      </c>
      <c r="K16224" s="10" t="inlineStr">
        <is>
          <t>Trên 2 Năm</t>
        </is>
      </c>
      <c r="L16224" s="11">
        <f>HYPERLINK("https://careerviet.vn/vi/tim-viec-lam/ky-su-phan-mem.35C69134.html","Xem chi tiết")</f>
        <v/>
      </c>
      <c r="M16224" s="10" t="n"/>
    </row>
    <row r="16225">
      <c r="B16225" s="7" t="n">
        <v>16223</v>
      </c>
      <c r="C16225" t="inlineStr">
        <is>
          <t>[Hà Nội] - Chuyên viên Hỗ trợ Khách hàng cá nhân</t>
        </is>
      </c>
      <c r="D16225" t="inlineStr">
        <is>
          <t>Ngân hàng TMCP Lộc Phát Việt Nam (LPBank)</t>
        </is>
      </c>
      <c r="E16225" t="inlineStr">
        <is>
          <t>Lương:Cạnh tranh</t>
        </is>
      </c>
      <c r="F16225" t="inlineStr">
        <is>
          <t>Hà Nội</t>
        </is>
      </c>
      <c r="G16225" t="inlineStr">
        <is>
          <t>26-03-2026</t>
        </is>
      </c>
      <c r="H16225" t="inlineStr">
        <is>
          <t>26/03/2026</t>
        </is>
      </c>
      <c r="I16225" t="inlineStr">
        <is>
          <t>17/03/2026</t>
        </is>
      </c>
      <c r="J16225" t="inlineStr">
        <is>
          <t>Kế toán / Kiểm toán, Ngân hàng, Bán hàng / Kinh doanh</t>
        </is>
      </c>
      <c r="K16225" t="inlineStr">
        <is>
          <t>Trên 1 Năm</t>
        </is>
      </c>
      <c r="L16225" s="8">
        <f>HYPERLINK("https://careerviet.vn/vi/tim-viec-lam/ha-noi-chuyen-vien-ho-tro-khach-hang-ca-nhan.35C69065.html","Xem chi tiết")</f>
        <v/>
      </c>
    </row>
    <row r="16226">
      <c r="B16226" s="9" t="n">
        <v>16224</v>
      </c>
      <c r="C16226" s="10" t="inlineStr">
        <is>
          <t>[Tây Ninh]  Nhân viên QC _ Phân tích vi sinh</t>
        </is>
      </c>
      <c r="D16226" s="10" t="inlineStr">
        <is>
          <t>CÔNG TY TNHH DAESANG VIỆT NAM</t>
        </is>
      </c>
      <c r="E16226" s="10" t="inlineStr">
        <is>
          <t>Lương:6 Tr - 10 Tr VND</t>
        </is>
      </c>
      <c r="F16226" s="10" t="inlineStr">
        <is>
          <t>Tây Ninh</t>
        </is>
      </c>
      <c r="G16226" s="10" t="inlineStr">
        <is>
          <t>31-03-2026</t>
        </is>
      </c>
      <c r="H16226" s="10" t="inlineStr">
        <is>
          <t>31/03/2026</t>
        </is>
      </c>
      <c r="I16226" s="10" t="inlineStr">
        <is>
          <t>17/03/2026</t>
        </is>
      </c>
      <c r="J16226" s="10" t="inlineStr">
        <is>
          <t>Quản lý chất lượng (QA/QC)</t>
        </is>
      </c>
      <c r="K16226" s="10" t="inlineStr">
        <is>
          <t>2 - 3 Năm</t>
        </is>
      </c>
      <c r="L16226" s="11">
        <f>HYPERLINK("https://careerviet.vn/vi/tim-viec-lam/tay-ninh-nhan-vien-qc-_-phan-tich-vi-sinh.35C690ED.html","Xem chi tiết")</f>
        <v/>
      </c>
      <c r="M16226" s="10" t="n"/>
    </row>
    <row r="16227">
      <c r="B16227" s="7" t="n">
        <v>16225</v>
      </c>
      <c r="C16227" t="inlineStr">
        <is>
          <t>NHÂN VIÊN MARKETING - CHĂM SÓC KHÁCH HÀNG</t>
        </is>
      </c>
      <c r="D16227" t="inlineStr">
        <is>
          <t>HR Vietnam’s ESS Client</t>
        </is>
      </c>
      <c r="E16227" t="inlineStr">
        <is>
          <t>Lương:Cạnh tranh</t>
        </is>
      </c>
      <c r="F16227" t="inlineStr">
        <is>
          <t>Nam Định</t>
        </is>
      </c>
      <c r="G16227" t="inlineStr">
        <is>
          <t>26-03-2026</t>
        </is>
      </c>
      <c r="H16227" t="inlineStr">
        <is>
          <t>26/03/2026</t>
        </is>
      </c>
      <c r="I16227" t="inlineStr">
        <is>
          <t>17/03/2026</t>
        </is>
      </c>
      <c r="J16227" t="inlineStr">
        <is>
          <t>Tiếp thị / Marketing, Dịch vụ khách hàng, Bất động sản</t>
        </is>
      </c>
      <c r="K16227" t="inlineStr">
        <is>
          <t>2 - 4 Năm</t>
        </is>
      </c>
      <c r="L16227" s="8">
        <f>HYPERLINK("https://careerviet.vn/vi/tim-viec-lam/nhan-vien-marketing-cham-soc-khach-hang.35C6909A.html","Xem chi tiết")</f>
        <v/>
      </c>
    </row>
    <row r="16228">
      <c r="B16228" s="9" t="n">
        <v>16226</v>
      </c>
      <c r="C16228" s="10" t="inlineStr">
        <is>
          <t>Nhân Viên Thiết Kế</t>
        </is>
      </c>
      <c r="D16228" s="10" t="inlineStr">
        <is>
          <t>CÔNG TY TNHH XUẤT NHẬP KHẨU RUTOP VIỆT NAM - Thương Hiệu Toptotoes</t>
        </is>
      </c>
      <c r="E16228" s="10" t="inlineStr">
        <is>
          <t>Lương:12 Tr - 16 Tr VND</t>
        </is>
      </c>
      <c r="F16228" s="10" t="inlineStr">
        <is>
          <t>Hà Nội</t>
        </is>
      </c>
      <c r="G16228" s="10" t="inlineStr">
        <is>
          <t>31-03-2026</t>
        </is>
      </c>
      <c r="H16228" s="10" t="inlineStr">
        <is>
          <t>31/03/2026</t>
        </is>
      </c>
      <c r="I16228" s="10" t="inlineStr">
        <is>
          <t>17/03/2026</t>
        </is>
      </c>
      <c r="J16228" s="10" t="inlineStr">
        <is>
          <t>Tiếp thị / Marketing, Mỹ thuật / Nghệ thuật / Thiết kế, Quảng cáo / Đối ngoại / Truyền Thông</t>
        </is>
      </c>
      <c r="K16228" s="10" t="inlineStr">
        <is>
          <t>2 - 3 Năm</t>
        </is>
      </c>
      <c r="L16228" s="11">
        <f>HYPERLINK("https://careerviet.vn/vi/tim-viec-lam/nhan-vien-thiet-ke.35C690D8.html","Xem chi tiết")</f>
        <v/>
      </c>
      <c r="M16228" s="10" t="n"/>
    </row>
    <row r="16229">
      <c r="B16229" s="7" t="n">
        <v>16227</v>
      </c>
      <c r="C16229" t="inlineStr">
        <is>
          <t>Quản lý Sản xuất (Production Manager)– Ngành Kết cấu Thép</t>
        </is>
      </c>
      <c r="D16229" t="inlineStr">
        <is>
          <t>AD BUILDING - CÔNG TY CỔ PHẦN KẾT CẤU THÉP WIN STEEL</t>
        </is>
      </c>
      <c r="E16229" t="inlineStr">
        <is>
          <t>Lương:18 Tr - 22 Tr VND</t>
        </is>
      </c>
      <c r="F16229" t="inlineStr">
        <is>
          <t>Tây Ninh</t>
        </is>
      </c>
      <c r="G16229" t="inlineStr">
        <is>
          <t>31-03-2026</t>
        </is>
      </c>
      <c r="H16229" t="inlineStr">
        <is>
          <t>31/03/2026</t>
        </is>
      </c>
      <c r="I16229" t="inlineStr">
        <is>
          <t>17/03/2026</t>
        </is>
      </c>
      <c r="J16229" t="inlineStr">
        <is>
          <t>Sản xuất / Vận hành sản xuất, Xây dựng, An toàn lao động</t>
        </is>
      </c>
      <c r="K16229" t="inlineStr">
        <is>
          <t>3 - 5 Năm</t>
        </is>
      </c>
      <c r="L16229" s="8">
        <f>HYPERLINK("https://careerviet.vn/vi/tim-viec-lam/quan-ly-san-xuat-production-manager-nganh-ket-cau-thep.35C690E3.html","Xem chi tiết")</f>
        <v/>
      </c>
    </row>
    <row r="16230">
      <c r="B16230" s="9" t="n">
        <v>16228</v>
      </c>
      <c r="C16230" s="10" t="inlineStr">
        <is>
          <t>CI Staff</t>
        </is>
      </c>
      <c r="D16230" s="10" t="inlineStr">
        <is>
          <t>CÔNG TY TNHH MILLENNIUM FURNITURE</t>
        </is>
      </c>
      <c r="E16230" s="10" t="inlineStr">
        <is>
          <t>Lương:Cạnh tranh</t>
        </is>
      </c>
      <c r="F16230" s="10" t="inlineStr">
        <is>
          <t>Quảng Ngãi</t>
        </is>
      </c>
      <c r="G16230" s="10" t="inlineStr">
        <is>
          <t>26-03-2026</t>
        </is>
      </c>
      <c r="H16230" s="10" t="inlineStr">
        <is>
          <t>26/03/2026</t>
        </is>
      </c>
      <c r="I16230" s="10" t="inlineStr">
        <is>
          <t>17/03/2026</t>
        </is>
      </c>
      <c r="J16230" s="10" t="inlineStr">
        <is>
          <t>Ngành khác</t>
        </is>
      </c>
      <c r="K16230" s="10" t="inlineStr">
        <is>
          <t>1 - 2 Năm</t>
        </is>
      </c>
      <c r="L16230" s="11">
        <f>HYPERLINK("https://careerviet.vn/vi/tim-viec-lam/ci-staff.35C69096.html","Xem chi tiết")</f>
        <v/>
      </c>
      <c r="M16230" s="10" t="n"/>
    </row>
    <row r="16231">
      <c r="B16231" s="7" t="n">
        <v>16229</v>
      </c>
      <c r="C16231" t="inlineStr">
        <is>
          <t>Chuyên Viên Kinh Doanh Phần Mềm ERP</t>
        </is>
      </c>
      <c r="D16231" t="inlineStr">
        <is>
          <t>CÔNG TY CỔ PHẦN CÔNG NGHỆ FOXAI</t>
        </is>
      </c>
      <c r="E16231" t="inlineStr">
        <is>
          <t>Lương:25 Tr - 70 Tr VND</t>
        </is>
      </c>
      <c r="F16231" t="inlineStr">
        <is>
          <t>Hà Nội</t>
        </is>
      </c>
      <c r="G16231" t="inlineStr">
        <is>
          <t>31-03-2026</t>
        </is>
      </c>
      <c r="H16231" t="inlineStr">
        <is>
          <t>31/03/2026</t>
        </is>
      </c>
      <c r="I16231" t="inlineStr">
        <is>
          <t>17/03/2026</t>
        </is>
      </c>
      <c r="J16231" t="inlineStr">
        <is>
          <t>Bán hàng / Kinh doanh, Tiếp thị / Marketing, Bán Hàng Kỹ Thuật</t>
        </is>
      </c>
      <c r="K16231" t="inlineStr">
        <is>
          <t>Trên 2 Năm</t>
        </is>
      </c>
      <c r="L16231" s="8">
        <f>HYPERLINK("https://careerviet.vn/vi/tim-viec-lam/chuyen-vien-kinh-doanh-phan-mem-erp.35C690D6.html","Xem chi tiết")</f>
        <v/>
      </c>
    </row>
    <row r="16232">
      <c r="B16232" s="9" t="n">
        <v>16230</v>
      </c>
      <c r="C16232" s="10" t="inlineStr">
        <is>
          <t>[Sapa] Chuyên viên Giám Sát  Kết cấu (Ban QLDA) - Alphanam Group</t>
        </is>
      </c>
      <c r="D16232" s="10" t="inlineStr">
        <is>
          <t>Alphanam Group</t>
        </is>
      </c>
      <c r="E16232" s="10" t="inlineStr">
        <is>
          <t>Lương:Cạnh tranh</t>
        </is>
      </c>
      <c r="F16232" s="10" t="inlineStr">
        <is>
          <t>Lào Cai</t>
        </is>
      </c>
      <c r="G16232" s="10" t="inlineStr">
        <is>
          <t>09-03-2026</t>
        </is>
      </c>
      <c r="H16232" s="10" t="inlineStr">
        <is>
          <t>14/03/2026</t>
        </is>
      </c>
      <c r="I16232" s="10" t="inlineStr">
        <is>
          <t>17/03/2026</t>
        </is>
      </c>
      <c r="J16232" s="10" t="inlineStr">
        <is>
          <t>Xây dựng, Bất động sản, Nội ngoại thất</t>
        </is>
      </c>
      <c r="K16232" s="10" t="inlineStr">
        <is>
          <t>3 - 5 Năm</t>
        </is>
      </c>
      <c r="L16232" s="11">
        <f>HYPERLINK("https://careerviet.vn/vi/tim-viec-lam/sapa-chuyen-vien-giam-sat-ket-cau-ban-qlda-alphanam-group.35C69058.html","Xem chi tiết")</f>
        <v/>
      </c>
      <c r="M16232" s="10" t="n"/>
    </row>
    <row r="16233">
      <c r="B16233" s="7" t="n">
        <v>16231</v>
      </c>
      <c r="C16233" t="inlineStr">
        <is>
          <t>Senior Material Cost Accountant</t>
        </is>
      </c>
      <c r="D16233" t="inlineStr">
        <is>
          <t>CÔNG TY TNHH MILLENNIUM FURNITURE</t>
        </is>
      </c>
      <c r="E16233" t="inlineStr">
        <is>
          <t>Lương:Cạnh tranh</t>
        </is>
      </c>
      <c r="F16233" t="inlineStr">
        <is>
          <t>Quảng Ngãi</t>
        </is>
      </c>
      <c r="G16233" t="inlineStr">
        <is>
          <t>26-03-2026</t>
        </is>
      </c>
      <c r="H16233" t="inlineStr">
        <is>
          <t>26/03/2026</t>
        </is>
      </c>
      <c r="I16233" t="inlineStr">
        <is>
          <t>17/03/2026</t>
        </is>
      </c>
      <c r="J16233" t="inlineStr">
        <is>
          <t>Kế toán / Kiểm toán</t>
        </is>
      </c>
      <c r="K16233" t="inlineStr">
        <is>
          <t>Trên 2 Năm</t>
        </is>
      </c>
      <c r="L16233" s="8">
        <f>HYPERLINK("https://careerviet.vn/vi/tim-viec-lam/senior-material-cost-accountant.35C69076.html","Xem chi tiết")</f>
        <v/>
      </c>
    </row>
    <row r="16234">
      <c r="B16234" s="9" t="n">
        <v>16232</v>
      </c>
      <c r="C16234" s="10" t="inlineStr">
        <is>
          <t>Lab Improvement Engineer (QSA, EHS) - Cu Chi</t>
        </is>
      </c>
      <c r="D16234" s="10" t="inlineStr">
        <is>
          <t>Techtronic Industries Vietnam Manufacturing Company Limited</t>
        </is>
      </c>
      <c r="E16234" s="10" t="inlineStr">
        <is>
          <t>Lương:Cạnh tranh</t>
        </is>
      </c>
      <c r="F16234" s="10" t="inlineStr">
        <is>
          <t>Hồ Chí Minh</t>
        </is>
      </c>
      <c r="G16234" s="10" t="inlineStr">
        <is>
          <t>26-03-2026</t>
        </is>
      </c>
      <c r="H16234" s="10" t="inlineStr">
        <is>
          <t>26/03/2026</t>
        </is>
      </c>
      <c r="I16234" s="10" t="inlineStr">
        <is>
          <t>17/03/2026</t>
        </is>
      </c>
      <c r="J16234" s="10" t="inlineStr">
        <is>
          <t>Sản xuất / Vận hành sản xuất, Quản lý chất lượng (QA/QC), An toàn lao động</t>
        </is>
      </c>
      <c r="K16234" s="10" t="inlineStr">
        <is>
          <t>2 - 4 Năm</t>
        </is>
      </c>
      <c r="L16234" s="11">
        <f>HYPERLINK("https://careerviet.vn/vi/tim-viec-lam/lab-improvement-engineer-qsa-ehs-cu-chi.35C690C5.html","Xem chi tiết")</f>
        <v/>
      </c>
      <c r="M16234" s="10" t="n"/>
    </row>
    <row r="16235">
      <c r="B16235" s="7" t="n">
        <v>16233</v>
      </c>
      <c r="C16235" t="inlineStr">
        <is>
          <t>[Sapa] Chuyên viên QS - Alphanam Group</t>
        </is>
      </c>
      <c r="D16235" t="inlineStr">
        <is>
          <t>Alphanam Group</t>
        </is>
      </c>
      <c r="E16235" t="inlineStr">
        <is>
          <t>Lương:Cạnh tranh</t>
        </is>
      </c>
      <c r="F16235" t="inlineStr">
        <is>
          <t>Lào Cai</t>
        </is>
      </c>
      <c r="G16235" t="inlineStr">
        <is>
          <t>26-03-2026</t>
        </is>
      </c>
      <c r="H16235" t="inlineStr">
        <is>
          <t>26/03/2026</t>
        </is>
      </c>
      <c r="I16235" t="inlineStr">
        <is>
          <t>17/03/2026</t>
        </is>
      </c>
      <c r="J16235" t="inlineStr">
        <is>
          <t>Xây dựng</t>
        </is>
      </c>
      <c r="K16235" t="inlineStr">
        <is>
          <t>5 - 8 Năm</t>
        </is>
      </c>
      <c r="L16235" s="8">
        <f>HYPERLINK("https://careerviet.vn/vi/tim-viec-lam/sapa-chuyen-vien-qs-alphanam-group.35C6905A.html","Xem chi tiết")</f>
        <v/>
      </c>
    </row>
    <row r="16236">
      <c r="B16236" s="9" t="n">
        <v>16234</v>
      </c>
      <c r="C16236" s="10" t="inlineStr">
        <is>
          <t>Nhân Viên Tư Vấn Tuyển Sinh (Educational Planner) - ILA Hoàng Văn Thụ</t>
        </is>
      </c>
      <c r="D16236" s="10" t="inlineStr">
        <is>
          <t>ILA Việt Nam</t>
        </is>
      </c>
      <c r="E16236" s="10" t="inlineStr">
        <is>
          <t>Lương:Cạnh tranh</t>
        </is>
      </c>
      <c r="F16236" s="10" t="inlineStr">
        <is>
          <t>Hồ Chí Minh</t>
        </is>
      </c>
      <c r="G16236" s="10" t="inlineStr">
        <is>
          <t>31-03-2026</t>
        </is>
      </c>
      <c r="H16236" s="10" t="inlineStr">
        <is>
          <t>31/03/2026</t>
        </is>
      </c>
      <c r="I16236" s="10" t="inlineStr">
        <is>
          <t>17/03/2026</t>
        </is>
      </c>
      <c r="J16236" s="10" t="inlineStr">
        <is>
          <t>Bán hàng / Kinh doanh, Tư vấn, Giáo dục / Đào tạo</t>
        </is>
      </c>
      <c r="K16236" s="10" t="inlineStr">
        <is>
          <t>1 - 2 Năm</t>
        </is>
      </c>
      <c r="L16236" s="11">
        <f>HYPERLINK("https://careerviet.vn/vi/tim-viec-lam/nhan-vien-tu-van-tuyen-sinh-educational-planner-ila-hoang-van-thu.35C04461.html","Xem chi tiết")</f>
        <v/>
      </c>
      <c r="M16236" s="10" t="n"/>
    </row>
    <row r="16237">
      <c r="B16237" s="7" t="n">
        <v>16235</v>
      </c>
      <c r="C16237" t="inlineStr">
        <is>
          <t>Kỹ sư BIM (Kiến trúc)</t>
        </is>
      </c>
      <c r="D16237" t="inlineStr">
        <is>
          <t>CÔNG TY CỔ PHẦN XÂY DỰNG VILAI VIỆT</t>
        </is>
      </c>
      <c r="E16237" t="inlineStr">
        <is>
          <t>Lương:15 Tr - 25 Tr VND</t>
        </is>
      </c>
      <c r="F16237" t="inlineStr">
        <is>
          <t>Hà Nội</t>
        </is>
      </c>
      <c r="G16237" t="inlineStr">
        <is>
          <t>31-03-2026</t>
        </is>
      </c>
      <c r="H16237" t="inlineStr">
        <is>
          <t>31/03/2026</t>
        </is>
      </c>
      <c r="I16237" t="inlineStr">
        <is>
          <t>17/03/2026</t>
        </is>
      </c>
      <c r="J16237" t="inlineStr">
        <is>
          <t>Kiến trúc, Xây dựng</t>
        </is>
      </c>
      <c r="K16237" t="inlineStr">
        <is>
          <t>3 - 5 Năm</t>
        </is>
      </c>
      <c r="L16237" s="8">
        <f>HYPERLINK("https://careerviet.vn/vi/tim-viec-lam/ky-su-bim-kien-truc.35C69075.html","Xem chi tiết")</f>
        <v/>
      </c>
    </row>
    <row r="16238">
      <c r="B16238" s="9" t="n">
        <v>16236</v>
      </c>
      <c r="C16238" s="10" t="inlineStr">
        <is>
          <t>Quality Engineer</t>
        </is>
      </c>
      <c r="D16238" s="10" t="inlineStr">
        <is>
          <t>CÔNG TY TNHH MILLENNIUM FURNITURE</t>
        </is>
      </c>
      <c r="E16238" s="10" t="inlineStr">
        <is>
          <t>Lương:Cạnh tranh</t>
        </is>
      </c>
      <c r="F16238" s="10" t="inlineStr">
        <is>
          <t>Quảng Ngãi</t>
        </is>
      </c>
      <c r="G16238" s="10" t="inlineStr">
        <is>
          <t>26-03-2026</t>
        </is>
      </c>
      <c r="H16238" s="10" t="inlineStr">
        <is>
          <t>26/03/2026</t>
        </is>
      </c>
      <c r="I16238" s="10" t="inlineStr">
        <is>
          <t>17/03/2026</t>
        </is>
      </c>
      <c r="J16238" s="10" t="inlineStr">
        <is>
          <t>Quản lý chất lượng (QA/QC)</t>
        </is>
      </c>
      <c r="K16238" s="10" t="inlineStr">
        <is>
          <t>Trên 1 Năm</t>
        </is>
      </c>
      <c r="L16238" s="11">
        <f>HYPERLINK("https://careerviet.vn/vi/tim-viec-lam/quality-engineer.35C69047.html","Xem chi tiết")</f>
        <v/>
      </c>
      <c r="M16238" s="10" t="n"/>
    </row>
    <row r="16239">
      <c r="B16239" s="7" t="n">
        <v>16237</v>
      </c>
      <c r="C16239" t="inlineStr">
        <is>
          <t>[TUYỂN GẤP] GIÁM SÁT THI CÔNG HOÀN THIỆN NỘI THẤT</t>
        </is>
      </c>
      <c r="D16239" t="inlineStr">
        <is>
          <t>CÔNG TY CỔ PHẦN SẢN XUẤT THƯƠNG MẠI XÂY DỰNG TRANG TRÍ NỘI THẤT G.S VIỆT NAM</t>
        </is>
      </c>
      <c r="E16239" t="inlineStr">
        <is>
          <t>Lương:Trên 12 Tr VND</t>
        </is>
      </c>
      <c r="F16239" t="inlineStr">
        <is>
          <t>Hồ Chí Minh</t>
        </is>
      </c>
      <c r="G16239" t="inlineStr">
        <is>
          <t>09-03-2026</t>
        </is>
      </c>
      <c r="H16239" t="inlineStr">
        <is>
          <t>24/02/2026</t>
        </is>
      </c>
      <c r="I16239" t="inlineStr">
        <is>
          <t>17/03/2026</t>
        </is>
      </c>
      <c r="J16239" t="inlineStr">
        <is>
          <t>Xây dựng, Nội ngoại thất, Kiến trúc</t>
        </is>
      </c>
      <c r="K16239" t="inlineStr">
        <is>
          <t>1 - 5 Năm</t>
        </is>
      </c>
      <c r="L16239" s="8">
        <f>HYPERLINK("https://careerviet.vn/vi/tim-viec-lam/tuyen-gap-giam-sat-thi-cong-hoan-thien-noi-that.35C69061.html","Xem chi tiết")</f>
        <v/>
      </c>
    </row>
    <row r="16240">
      <c r="B16240" s="9" t="n">
        <v>16238</v>
      </c>
      <c r="C16240" s="10" t="inlineStr">
        <is>
          <t>Nhân viên thu mua nguyên vật liệu</t>
        </is>
      </c>
      <c r="D16240" s="10" t="inlineStr">
        <is>
          <t>CÔNG TY TNHH MUSEM VINA</t>
        </is>
      </c>
      <c r="E16240" s="10" t="inlineStr">
        <is>
          <t>Lương:8 Tr - 15 Tr VND</t>
        </is>
      </c>
      <c r="F16240" s="10" t="inlineStr">
        <is>
          <t>Long An</t>
        </is>
      </c>
      <c r="G16240" s="10" t="inlineStr">
        <is>
          <t>24-03-2026</t>
        </is>
      </c>
      <c r="H16240" s="10" t="inlineStr">
        <is>
          <t>24/03/2026</t>
        </is>
      </c>
      <c r="I16240" s="10" t="inlineStr">
        <is>
          <t>17/03/2026</t>
        </is>
      </c>
      <c r="J16240" s="10" t="inlineStr">
        <is>
          <t>Sản xuất / Vận hành sản xuất</t>
        </is>
      </c>
      <c r="K16240" s="10" t="inlineStr">
        <is>
          <t>1 - 2 Năm</t>
        </is>
      </c>
      <c r="L16240" s="11">
        <f>HYPERLINK("https://careerviet.vn/vi/tim-viec-lam/nhan-vien-thu-mua-nguyen-vat-lieu.35C69028.html","Xem chi tiết")</f>
        <v/>
      </c>
      <c r="M16240" s="10" t="n"/>
    </row>
    <row r="16241">
      <c r="B16241" s="7" t="n">
        <v>16239</v>
      </c>
      <c r="C16241" t="inlineStr">
        <is>
          <t>CHUYÊN VIÊN THIẾT KẾ THI CÔNG NGÀNH NỘI THẤT (Shopdrawing)</t>
        </is>
      </c>
      <c r="D16241" t="inlineStr">
        <is>
          <t>CÔNG TY CỔ PHẦN SẢN XUẤT THƯƠNG MẠI XÂY DỰNG TRANG TRÍ NỘI THẤT G.S VIỆT NAM</t>
        </is>
      </c>
      <c r="E16241" t="inlineStr">
        <is>
          <t>Lương:Trên 18 Tr VND</t>
        </is>
      </c>
      <c r="F16241" t="inlineStr">
        <is>
          <t>Hồ Chí Minh</t>
        </is>
      </c>
      <c r="G16241" t="inlineStr">
        <is>
          <t>09-03-2026</t>
        </is>
      </c>
      <c r="H16241" t="inlineStr">
        <is>
          <t>24/02/2026</t>
        </is>
      </c>
      <c r="I16241" t="inlineStr">
        <is>
          <t>17/03/2026</t>
        </is>
      </c>
      <c r="J16241" t="inlineStr">
        <is>
          <t>Kiến trúc, Xây dựng, Nội ngoại thất</t>
        </is>
      </c>
      <c r="K16241" t="inlineStr">
        <is>
          <t>2 - 5 Năm</t>
        </is>
      </c>
      <c r="L16241" s="8">
        <f>HYPERLINK("https://careerviet.vn/vi/tim-viec-lam/chuyen-vien-thiet-ke-thi-cong-nganh-noi-that-shopdrawing.35C69066.html","Xem chi tiết")</f>
        <v/>
      </c>
    </row>
    <row r="16242">
      <c r="B16242" s="9" t="n">
        <v>16240</v>
      </c>
      <c r="C16242" s="10" t="inlineStr">
        <is>
          <t>Nhân Viên  Kỹ Thuật R&amp;D</t>
        </is>
      </c>
      <c r="D16242" s="10" t="inlineStr">
        <is>
          <t>Ocean Coatings (Vietnam) Co. Ltd</t>
        </is>
      </c>
      <c r="E16242" s="10" t="inlineStr">
        <is>
          <t>Lương:Trên 12 Tr VND</t>
        </is>
      </c>
      <c r="F16242" s="10" t="inlineStr">
        <is>
          <t>Đồng Nai</t>
        </is>
      </c>
      <c r="G16242" s="10" t="inlineStr">
        <is>
          <t>09-03-2026</t>
        </is>
      </c>
      <c r="H16242" s="10" t="inlineStr">
        <is>
          <t>13/03/2026</t>
        </is>
      </c>
      <c r="I16242" s="10" t="inlineStr">
        <is>
          <t>17/03/2026</t>
        </is>
      </c>
      <c r="J16242" s="10" t="inlineStr">
        <is>
          <t>Hóa học, Sản xuất / Vận hành sản xuất, Quản lý chất lượng (QA/QC)</t>
        </is>
      </c>
      <c r="K16242" s="10" t="inlineStr">
        <is>
          <t>N/A</t>
        </is>
      </c>
      <c r="L16242" s="11">
        <f>HYPERLINK("https://careerviet.vn/vi/tim-viec-lam/nhan-vien-ky-thuat-r-d.35C68FEF.html","Xem chi tiết")</f>
        <v/>
      </c>
      <c r="M16242" s="10" t="n"/>
    </row>
    <row r="16243">
      <c r="B16243" s="7" t="n">
        <v>16241</v>
      </c>
      <c r="C16243" t="inlineStr">
        <is>
          <t>Kỹ sư  vận hành khuôn cao cấp - Nhơn Trạch</t>
        </is>
      </c>
      <c r="D16243" t="inlineStr">
        <is>
          <t>Summit Polymers Vietnam Co Ltd.</t>
        </is>
      </c>
      <c r="E16243" t="inlineStr">
        <is>
          <t>Lương:Cạnh tranh</t>
        </is>
      </c>
      <c r="F16243" t="inlineStr">
        <is>
          <t>Đồng Nai</t>
        </is>
      </c>
      <c r="G16243" t="inlineStr">
        <is>
          <t>09-03-2026</t>
        </is>
      </c>
      <c r="H16243" t="inlineStr">
        <is>
          <t>14/03/2026</t>
        </is>
      </c>
      <c r="I16243" t="inlineStr">
        <is>
          <t>17/03/2026</t>
        </is>
      </c>
      <c r="J16243" t="inlineStr">
        <is>
          <t>Cơ khí / Ô tô / Tự động hóa, Sản xuất / Vận hành sản xuất, Bảo trì / Sửa chữa</t>
        </is>
      </c>
      <c r="K16243" t="inlineStr">
        <is>
          <t>2 - 5 Năm</t>
        </is>
      </c>
      <c r="L16243" s="8">
        <f>HYPERLINK("https://careerviet.vn/vi/tim-viec-lam/ky-su-van-hanh-khuon-cao-cap-nhon-trach.35C69032.html","Xem chi tiết")</f>
        <v/>
      </c>
    </row>
    <row r="16244">
      <c r="B16244" s="9" t="n">
        <v>16242</v>
      </c>
      <c r="C16244" s="10" t="inlineStr">
        <is>
          <t>Trưởng Phòng Kỹ Thuật Bảo Trì (Làm việc tại Xã Xuân Thới Sơn, Hóc Môn, TPHCM)</t>
        </is>
      </c>
      <c r="D16244" s="10" t="inlineStr">
        <is>
          <t>Công Ty TNHH SX - TM - DV Lê Trần</t>
        </is>
      </c>
      <c r="E16244" s="10" t="inlineStr">
        <is>
          <t>Lương:25 Tr - 30 Tr VND</t>
        </is>
      </c>
      <c r="F16244" s="10" t="inlineStr">
        <is>
          <t>Hồ Chí MinhLong An</t>
        </is>
      </c>
      <c r="G16244" s="10" t="inlineStr">
        <is>
          <t>07-04-2026</t>
        </is>
      </c>
      <c r="H16244" s="10" t="inlineStr">
        <is>
          <t>07/04/2026</t>
        </is>
      </c>
      <c r="I16244" s="10" t="inlineStr">
        <is>
          <t>17/03/2026</t>
        </is>
      </c>
      <c r="J16244" s="10" t="inlineStr">
        <is>
          <t>Cơ khí / Ô tô / Tự động hóa, Điện / Điện tử / Điện lạnh / Điện công nghiệp, Bảo trì / Sửa chữa</t>
        </is>
      </c>
      <c r="K16244" s="10" t="inlineStr">
        <is>
          <t>7 - 10 Năm</t>
        </is>
      </c>
      <c r="L16244" s="11">
        <f>HYPERLINK("https://careerviet.vn/vi/tim-viec-lam/truong-phong-ky-thuat-bao-tri-lam-viec-tai-xa-xuan-thoi-son-hoc-mon-tphcm.35C64C5D.html","Xem chi tiết")</f>
        <v/>
      </c>
      <c r="M16244" s="10" t="n"/>
    </row>
    <row r="16245">
      <c r="B16245" s="7" t="n">
        <v>16243</v>
      </c>
      <c r="C16245" t="inlineStr">
        <is>
          <t>Quản lý dự án</t>
        </is>
      </c>
      <c r="D16245" t="inlineStr">
        <is>
          <t>Công ty cổ phần Xây dựng Công trình IPC</t>
        </is>
      </c>
      <c r="E16245" t="inlineStr">
        <is>
          <t>Lương:25 Tr - 30 Tr VND</t>
        </is>
      </c>
      <c r="F16245" t="inlineStr">
        <is>
          <t>Hồ Chí MinhHà Nội</t>
        </is>
      </c>
      <c r="G16245" t="inlineStr">
        <is>
          <t>09-03-2026</t>
        </is>
      </c>
      <c r="H16245" t="inlineStr">
        <is>
          <t>15/03/2026</t>
        </is>
      </c>
      <c r="I16245" t="inlineStr">
        <is>
          <t>17/03/2026</t>
        </is>
      </c>
      <c r="J16245" t="inlineStr">
        <is>
          <t>Điện / Điện tử / Điện lạnh / Điện công nghiệp, Bảo trì / Sửa chữa, Quản lý chất lượng (QA/QC)</t>
        </is>
      </c>
      <c r="K16245" t="inlineStr">
        <is>
          <t>Trên 1 Năm</t>
        </is>
      </c>
      <c r="L16245" s="8">
        <f>HYPERLINK("https://careerviet.vn/vi/tim-viec-lam/quan-ly-du-an.35C68FE3.html","Xem chi tiết")</f>
        <v/>
      </c>
    </row>
    <row r="16246">
      <c r="B16246" s="9" t="n">
        <v>16244</v>
      </c>
      <c r="C16246" s="10" t="inlineStr">
        <is>
          <t>SUPPLY PLANNER</t>
        </is>
      </c>
      <c r="D16246" s="10" t="inlineStr">
        <is>
          <t>CÔNG TY CỔ PHẦN GIẢI PHÁP GENE - GENE SOLUTIONS</t>
        </is>
      </c>
      <c r="E16246" s="10" t="inlineStr">
        <is>
          <t>Lương:Cạnh tranh</t>
        </is>
      </c>
      <c r="F16246" s="10" t="inlineStr">
        <is>
          <t>Hồ Chí Minh</t>
        </is>
      </c>
      <c r="G16246" s="10" t="inlineStr">
        <is>
          <t>6</t>
        </is>
      </c>
      <c r="H16246" s="10" t="inlineStr">
        <is>
          <t>23/03/2026</t>
        </is>
      </c>
      <c r="I16246" s="10" t="inlineStr">
        <is>
          <t>17/03/2026</t>
        </is>
      </c>
      <c r="J16246" s="10" t="inlineStr">
        <is>
          <t>Vận chuyển / Giao nhận / Kho vận</t>
        </is>
      </c>
      <c r="K16246" s="10" t="inlineStr">
        <is>
          <t>1 - 3 Năm</t>
        </is>
      </c>
      <c r="L16246" s="11">
        <f>HYPERLINK("https://careerviet.vn/vi/tim-viec-lam/supply-planner.35C69002.html","Xem chi tiết")</f>
        <v/>
      </c>
      <c r="M16246" s="10" t="n"/>
    </row>
    <row r="16247">
      <c r="B16247" s="7" t="n">
        <v>16245</v>
      </c>
      <c r="C16247" t="inlineStr">
        <is>
          <t>Nhân viên thiết kế bản vẽ sản xuất – kết cấu Thép</t>
        </is>
      </c>
      <c r="D16247" t="inlineStr">
        <is>
          <t>AD BUILDING - CÔNG TY CỔ PHẦN KẾT CẤU THÉP WIN STEEL</t>
        </is>
      </c>
      <c r="E16247" t="inlineStr">
        <is>
          <t>Lương:15 Tr - 20 Tr VND</t>
        </is>
      </c>
      <c r="F16247" t="inlineStr">
        <is>
          <t>Hồ Chí Minh</t>
        </is>
      </c>
      <c r="G16247" t="inlineStr">
        <is>
          <t>31-03-2026</t>
        </is>
      </c>
      <c r="H16247" t="inlineStr">
        <is>
          <t>31/03/2026</t>
        </is>
      </c>
      <c r="I16247" t="inlineStr">
        <is>
          <t>17/03/2026</t>
        </is>
      </c>
      <c r="J16247" t="inlineStr">
        <is>
          <t>Xây dựng, Mỹ thuật / Nghệ thuật / Thiết kế</t>
        </is>
      </c>
      <c r="K16247" t="inlineStr">
        <is>
          <t>2 - 3 Năm</t>
        </is>
      </c>
      <c r="L16247" s="8">
        <f>HYPERLINK("https://careerviet.vn/vi/tim-viec-lam/nhan-vien-thiet-ke-ban-ve-san-xuat-ket-cau-thep.35C68FB1.html","Xem chi tiết")</f>
        <v/>
      </c>
    </row>
    <row r="16248">
      <c r="B16248" s="9" t="n">
        <v>16246</v>
      </c>
      <c r="C16248" s="10" t="inlineStr">
        <is>
          <t>Quản lý công trình</t>
        </is>
      </c>
      <c r="D16248" s="10" t="inlineStr">
        <is>
          <t>Công ty TNHH ENP BIOTECH (VN)</t>
        </is>
      </c>
      <c r="E16248" s="10" t="inlineStr">
        <is>
          <t>Lương:20 Tr - 50 Tr VND</t>
        </is>
      </c>
      <c r="F16248" s="10" t="inlineStr">
        <is>
          <t>Khánh Hòa</t>
        </is>
      </c>
      <c r="G16248" s="10" t="inlineStr">
        <is>
          <t>24-03-2026</t>
        </is>
      </c>
      <c r="H16248" s="10" t="inlineStr">
        <is>
          <t>24/03/2026</t>
        </is>
      </c>
      <c r="I16248" s="10" t="inlineStr">
        <is>
          <t>17/03/2026</t>
        </is>
      </c>
      <c r="J16248" s="10" t="inlineStr">
        <is>
          <t>Xây dựng, Nông nghiệp, Chăn nuôi / Thú y</t>
        </is>
      </c>
      <c r="K16248" s="10" t="inlineStr">
        <is>
          <t>25 - 30 Năm</t>
        </is>
      </c>
      <c r="L16248" s="11">
        <f>HYPERLINK("https://careerviet.vn/vi/tim-viec-lam/quan-ly-cong-trinh.35C68F8B.html","Xem chi tiết")</f>
        <v/>
      </c>
      <c r="M16248" s="10" t="n"/>
    </row>
    <row r="16249">
      <c r="B16249" s="7" t="n">
        <v>16247</v>
      </c>
      <c r="C16249" t="inlineStr">
        <is>
          <t>Giám sát HCNS - Duy Tiên Hà Nam</t>
        </is>
      </c>
      <c r="D16249" t="inlineStr">
        <is>
          <t>CÔNG TY CỔ PHẦN CHĂN NUÔI MAVIN</t>
        </is>
      </c>
      <c r="E16249" t="inlineStr">
        <is>
          <t>Lương:Cạnh tranh</t>
        </is>
      </c>
      <c r="F16249" t="inlineStr">
        <is>
          <t>Hà Nam</t>
        </is>
      </c>
      <c r="G16249" t="inlineStr">
        <is>
          <t>09-03-2026</t>
        </is>
      </c>
      <c r="H16249" t="inlineStr">
        <is>
          <t>07/03/2026</t>
        </is>
      </c>
      <c r="I16249" t="inlineStr">
        <is>
          <t>17/03/2026</t>
        </is>
      </c>
      <c r="J16249" t="inlineStr">
        <is>
          <t>Nhân sự</t>
        </is>
      </c>
      <c r="K16249" t="inlineStr">
        <is>
          <t>Chưa có kinh nghiệm</t>
        </is>
      </c>
      <c r="L16249" s="8">
        <f>HYPERLINK("https://careerviet.vn/vi/tim-viec-lam/giam-sat-hcns-duy-tien-ha-nam.35C6900B.html","Xem chi tiết")</f>
        <v/>
      </c>
    </row>
    <row r="16250">
      <c r="B16250" s="9" t="n">
        <v>16248</v>
      </c>
      <c r="C16250" s="10" t="inlineStr">
        <is>
          <t>Kế Toán Bán Hàng</t>
        </is>
      </c>
      <c r="D16250" s="10" t="inlineStr">
        <is>
          <t>Công Ty Cổ Phần Tập Đoàn Sunshine</t>
        </is>
      </c>
      <c r="E16250" s="10" t="inlineStr">
        <is>
          <t>Lương:12 Tr - 18 Tr VND</t>
        </is>
      </c>
      <c r="F16250" s="10" t="inlineStr">
        <is>
          <t>Hồ Chí Minh</t>
        </is>
      </c>
      <c r="G16250" s="10" t="inlineStr">
        <is>
          <t>31-03-2026</t>
        </is>
      </c>
      <c r="H16250" s="10" t="inlineStr">
        <is>
          <t>31/03/2026</t>
        </is>
      </c>
      <c r="I16250" s="10" t="inlineStr">
        <is>
          <t>17/03/2026</t>
        </is>
      </c>
      <c r="J16250" s="10" t="inlineStr">
        <is>
          <t>Kế toán / Kiểm toán, Bất động sản, Tài chính / Đầu tư</t>
        </is>
      </c>
      <c r="K16250" s="10" t="inlineStr">
        <is>
          <t>Trên 2 Năm</t>
        </is>
      </c>
      <c r="L16250" s="11">
        <f>HYPERLINK("https://careerviet.vn/vi/tim-viec-lam/ke-toan-ban-hang.35C69001.html","Xem chi tiết")</f>
        <v/>
      </c>
      <c r="M16250" s="10" t="n"/>
    </row>
    <row r="16251">
      <c r="B16251" s="7" t="n">
        <v>16249</v>
      </c>
      <c r="C16251" t="inlineStr">
        <is>
          <t>Reverse Logistics Manager</t>
        </is>
      </c>
      <c r="D16251" t="inlineStr">
        <is>
          <t>Công ty TNHH Onpoint</t>
        </is>
      </c>
      <c r="E16251" t="inlineStr">
        <is>
          <t>Lương:Cạnh tranh</t>
        </is>
      </c>
      <c r="F16251" t="inlineStr">
        <is>
          <t>Hồ Chí Minh</t>
        </is>
      </c>
      <c r="G16251" t="inlineStr">
        <is>
          <t>07-04-2026</t>
        </is>
      </c>
      <c r="H16251" t="inlineStr">
        <is>
          <t>07/04/2026</t>
        </is>
      </c>
      <c r="I16251" t="inlineStr">
        <is>
          <t>17/03/2026</t>
        </is>
      </c>
      <c r="J16251" t="inlineStr">
        <is>
          <t>Thương mại điện tử, Bưu chính viễn thông, Vận chuyển / Giao nhận / Kho vận</t>
        </is>
      </c>
      <c r="K16251" t="inlineStr">
        <is>
          <t>3 - 5 Năm</t>
        </is>
      </c>
      <c r="L16251" s="8">
        <f>HYPERLINK("https://careerviet.vn/vi/tim-viec-lam/reverse-logistics-manager.35C64E35.html","Xem chi tiết")</f>
        <v/>
      </c>
    </row>
    <row r="16252">
      <c r="B16252" s="9" t="n">
        <v>16250</v>
      </c>
      <c r="C16252" s="10" t="inlineStr">
        <is>
          <t>Phó Ban Cơ Giới - Xây dựng, Cầu đường</t>
        </is>
      </c>
      <c r="D16252" s="10" t="inlineStr">
        <is>
          <t>CÔNG TY TNHH TẬP ĐOÀN ĐỊNH AN</t>
        </is>
      </c>
      <c r="E16252" s="10" t="inlineStr">
        <is>
          <t>Lương:28 Tr - 45 Tr VND</t>
        </is>
      </c>
      <c r="F16252" s="10" t="inlineStr">
        <is>
          <t>Hà Nội</t>
        </is>
      </c>
      <c r="G16252" s="10" t="inlineStr">
        <is>
          <t>24-03-2026</t>
        </is>
      </c>
      <c r="H16252" s="10" t="inlineStr">
        <is>
          <t>24/03/2026</t>
        </is>
      </c>
      <c r="I16252" s="10" t="inlineStr">
        <is>
          <t>17/03/2026</t>
        </is>
      </c>
      <c r="J16252" s="10" t="inlineStr">
        <is>
          <t>Cơ khí / Ô tô / Tự động hóa, Xây dựng, Bất động sản</t>
        </is>
      </c>
      <c r="K16252" s="10" t="inlineStr">
        <is>
          <t>Trên 3 Năm</t>
        </is>
      </c>
      <c r="L16252" s="11">
        <f>HYPERLINK("https://careerviet.vn/vi/tim-viec-lam/pho-ban-co-gioi-xay-dung-cau-duong.35C69011.html","Xem chi tiết")</f>
        <v/>
      </c>
      <c r="M16252" s="10" t="n"/>
    </row>
    <row r="16253">
      <c r="B16253" s="7" t="n">
        <v>16251</v>
      </c>
      <c r="C16253" t="inlineStr">
        <is>
          <t>Kỹ sư điều hoà thông gió (Chủ đầu tư bất động sản)</t>
        </is>
      </c>
      <c r="D16253" t="inlineStr">
        <is>
          <t>CÔNG TY CỔ PHẦN ĐẦU TƯ BẤT ĐỘNG SẢN TOÀN CẦU</t>
        </is>
      </c>
      <c r="E16253" t="inlineStr">
        <is>
          <t>Lương:30 Tr - 35 Tr VND</t>
        </is>
      </c>
      <c r="F16253" t="inlineStr">
        <is>
          <t>Hà Nội</t>
        </is>
      </c>
      <c r="G16253" t="inlineStr">
        <is>
          <t>07-04-2026</t>
        </is>
      </c>
      <c r="H16253" t="inlineStr">
        <is>
          <t>07/04/2026</t>
        </is>
      </c>
      <c r="I16253" t="inlineStr">
        <is>
          <t>17/03/2026</t>
        </is>
      </c>
      <c r="J16253" t="inlineStr">
        <is>
          <t>Điện / Điện tử / Điện lạnh / Điện công nghiệp</t>
        </is>
      </c>
      <c r="K16253" t="inlineStr">
        <is>
          <t>3 - 5 Năm</t>
        </is>
      </c>
      <c r="L16253" s="8">
        <f>HYPERLINK("https://careerviet.vn/vi/tim-viec-lam/ky-su-dieu-hoa-thong-gio-chu-dau-tu-bat-dong-san.35C64D68.html","Xem chi tiết")</f>
        <v/>
      </c>
    </row>
    <row r="16254">
      <c r="B16254" s="9" t="n">
        <v>16252</v>
      </c>
      <c r="C16254" s="10" t="inlineStr">
        <is>
          <t>Chuyên Viên C&amp;B</t>
        </is>
      </c>
      <c r="D16254" s="10" t="inlineStr">
        <is>
          <t>CÔNG TY CỔ PHẨN ỨNG DỤNG VÀ CHUYỂN GIAO CÔNG NGHỆ XÂY DỰNG (CJSC)</t>
        </is>
      </c>
      <c r="E16254" s="10" t="inlineStr">
        <is>
          <t>Lương:15 Tr - 18 Tr VND</t>
        </is>
      </c>
      <c r="F16254" s="10" t="inlineStr">
        <is>
          <t>Hà Nội</t>
        </is>
      </c>
      <c r="G16254" s="10" t="inlineStr">
        <is>
          <t>07-04-2026</t>
        </is>
      </c>
      <c r="H16254" s="10" t="inlineStr">
        <is>
          <t>07/04/2026</t>
        </is>
      </c>
      <c r="I16254" s="10" t="inlineStr">
        <is>
          <t>17/03/2026</t>
        </is>
      </c>
      <c r="J16254" s="10" t="inlineStr">
        <is>
          <t>Kế toán / Kiểm toán, Hành chính / Thư ký, Nhân sự</t>
        </is>
      </c>
      <c r="K16254" s="10" t="inlineStr">
        <is>
          <t>Trên 3 Năm</t>
        </is>
      </c>
      <c r="L16254" s="11">
        <f>HYPERLINK("https://careerviet.vn/vi/tim-viec-lam/chuyen-vien-c-b.35C64E38.html","Xem chi tiết")</f>
        <v/>
      </c>
      <c r="M16254" s="10" t="n"/>
    </row>
    <row r="16255">
      <c r="B16255" s="7" t="n">
        <v>16253</v>
      </c>
      <c r="C16255" t="inlineStr">
        <is>
          <t>KẾ TOÁN TRƯỞNG</t>
        </is>
      </c>
      <c r="D16255" t="inlineStr">
        <is>
          <t>CÔNG TY TNHH BLUE ELATION</t>
        </is>
      </c>
      <c r="E16255" t="inlineStr">
        <is>
          <t>Lương:20 Tr - 25 Tr VND</t>
        </is>
      </c>
      <c r="F16255" t="inlineStr">
        <is>
          <t>Hồ Chí Minh</t>
        </is>
      </c>
      <c r="G16255" t="inlineStr">
        <is>
          <t>31-03-2026</t>
        </is>
      </c>
      <c r="H16255" t="inlineStr">
        <is>
          <t>31/03/2026</t>
        </is>
      </c>
      <c r="I16255" t="inlineStr">
        <is>
          <t>17/03/2026</t>
        </is>
      </c>
      <c r="J16255" t="inlineStr">
        <is>
          <t>Kế toán / Kiểm toán, Nhà hàng / Khách sạn, Bất động sản</t>
        </is>
      </c>
      <c r="K16255" t="inlineStr">
        <is>
          <t>3 - 5 Năm</t>
        </is>
      </c>
      <c r="L16255" s="8">
        <f>HYPERLINK("https://careerviet.vn/vi/tim-viec-lam/ke-toan-truong.35C69018.html","Xem chi tiết")</f>
        <v/>
      </c>
    </row>
    <row r="16256">
      <c r="B16256" s="9" t="n">
        <v>16254</v>
      </c>
      <c r="C16256" s="10" t="inlineStr">
        <is>
          <t>Trưởng phòng vận tải</t>
        </is>
      </c>
      <c r="D16256" s="10" t="inlineStr">
        <is>
          <t>CÔNG TY CỔ PHẦN CUNG ỨNG LẠNH VN</t>
        </is>
      </c>
      <c r="E16256" s="10" t="inlineStr">
        <is>
          <t>Lương:20 Tr - 20 Tr VND</t>
        </is>
      </c>
      <c r="F16256" s="10" t="inlineStr">
        <is>
          <t>Hà Nội</t>
        </is>
      </c>
      <c r="G16256" s="10" t="inlineStr">
        <is>
          <t>24-03-2026</t>
        </is>
      </c>
      <c r="H16256" s="10" t="inlineStr">
        <is>
          <t>24/03/2026</t>
        </is>
      </c>
      <c r="I16256" s="10" t="inlineStr">
        <is>
          <t>17/03/2026</t>
        </is>
      </c>
      <c r="J16256" s="10" t="inlineStr">
        <is>
          <t>Vận chuyển / Giao nhận / Kho vận, Quản lý điều hành, Xuất nhập khẩu</t>
        </is>
      </c>
      <c r="K16256" s="10" t="inlineStr">
        <is>
          <t>3 - 4 Năm</t>
        </is>
      </c>
      <c r="L16256" s="11">
        <f>HYPERLINK("https://careerviet.vn/vi/tim-viec-lam/truong-phong-van-tai.35C68FFE.html","Xem chi tiết")</f>
        <v/>
      </c>
      <c r="M16256" s="10" t="n"/>
    </row>
    <row r="16257">
      <c r="B16257" s="7" t="n">
        <v>16255</v>
      </c>
      <c r="C16257" t="inlineStr">
        <is>
          <t>Chuyên viên QH Khách hàng cá nhân - Hải Phòng (TP Hải Phòng; Thủy Nguyên)</t>
        </is>
      </c>
      <c r="D16257" t="inlineStr">
        <is>
          <t>Ngân hàng TMCP Việt Á – VietABank</t>
        </is>
      </c>
      <c r="E16257" t="inlineStr">
        <is>
          <t>Lương:Cạnh tranh</t>
        </is>
      </c>
      <c r="F16257" t="inlineStr">
        <is>
          <t>Hải Phòng</t>
        </is>
      </c>
      <c r="G16257" t="inlineStr">
        <is>
          <t>07-04-2026</t>
        </is>
      </c>
      <c r="H16257" t="inlineStr">
        <is>
          <t>07/04/2026</t>
        </is>
      </c>
      <c r="I16257" t="inlineStr">
        <is>
          <t>17/03/2026</t>
        </is>
      </c>
      <c r="J16257" t="inlineStr">
        <is>
          <t>Bảo hiểm, Bất động sản, Ngân hàng</t>
        </is>
      </c>
      <c r="K16257" t="inlineStr">
        <is>
          <t>Trên 1 Năm</t>
        </is>
      </c>
      <c r="L16257" s="8">
        <f>HYPERLINK("https://careerviet.vn/vi/tim-viec-lam/chuyen-vien-qh-khach-hang-ca-nhan-hai-phong-tp-hai-phong-thuy-nguyen.35C64C3B.html","Xem chi tiết")</f>
        <v/>
      </c>
    </row>
    <row r="16258">
      <c r="B16258" s="9" t="n">
        <v>16256</v>
      </c>
      <c r="C16258" s="10" t="inlineStr">
        <is>
          <t>Nhân viên giám sát thi công nội thất tại Hà Nội</t>
        </is>
      </c>
      <c r="D16258" s="10" t="inlineStr">
        <is>
          <t>Công ty TNHH Frontier Consulting Việt Nam</t>
        </is>
      </c>
      <c r="E16258" s="10" t="inlineStr">
        <is>
          <t>Lương:13 Tr - 20 Tr VND</t>
        </is>
      </c>
      <c r="F16258" s="10" t="inlineStr">
        <is>
          <t>Hà Nội</t>
        </is>
      </c>
      <c r="G16258" s="10" t="inlineStr">
        <is>
          <t>07-04-2026</t>
        </is>
      </c>
      <c r="H16258" s="10" t="inlineStr">
        <is>
          <t>07/04/2026</t>
        </is>
      </c>
      <c r="I16258" s="10" t="inlineStr">
        <is>
          <t>17/03/2026</t>
        </is>
      </c>
      <c r="J16258" s="10" t="inlineStr">
        <is>
          <t>Kiến trúc, Xây dựng, Nội ngoại thất</t>
        </is>
      </c>
      <c r="K16258" s="10" t="inlineStr">
        <is>
          <t>2 - 5 Năm</t>
        </is>
      </c>
      <c r="L16258" s="11">
        <f>HYPERLINK("https://careerviet.vn/vi/tim-viec-lam/nhan-vien-giam-sat-thi-cong-noi-that-tai-ha-noi.35C64D12.html","Xem chi tiết")</f>
        <v/>
      </c>
      <c r="M16258" s="10" t="n"/>
    </row>
    <row r="16259">
      <c r="B16259" s="7" t="n">
        <v>16257</v>
      </c>
      <c r="C16259" t="inlineStr">
        <is>
          <t>Chuyên Viên Đào Tạo</t>
        </is>
      </c>
      <c r="D16259" t="inlineStr">
        <is>
          <t>Công ty TNHH Quốc Tế Đại Cát Á</t>
        </is>
      </c>
      <c r="E16259" t="inlineStr">
        <is>
          <t>Lương:15 Tr - 20 Tr VND</t>
        </is>
      </c>
      <c r="F16259" t="inlineStr">
        <is>
          <t>Hồ Chí Minh</t>
        </is>
      </c>
      <c r="G16259" t="inlineStr">
        <is>
          <t>07-04-2026</t>
        </is>
      </c>
      <c r="H16259" t="inlineStr">
        <is>
          <t>07/04/2026</t>
        </is>
      </c>
      <c r="I16259" t="inlineStr">
        <is>
          <t>17/03/2026</t>
        </is>
      </c>
      <c r="J16259" t="inlineStr">
        <is>
          <t>Giáo dục / Đào tạo, Hành chính / Thư ký, Nhân sự</t>
        </is>
      </c>
      <c r="K16259" t="inlineStr">
        <is>
          <t>Trên 1 Năm</t>
        </is>
      </c>
      <c r="L16259" s="8">
        <f>HYPERLINK("https://careerviet.vn/vi/tim-viec-lam/chuyen-vien-dao-tao.35C63C67.html","Xem chi tiết")</f>
        <v/>
      </c>
    </row>
    <row r="16260">
      <c r="B16260" s="9" t="n">
        <v>16258</v>
      </c>
      <c r="C16260" s="10" t="inlineStr">
        <is>
          <t>Nhân viên Digital Marketing</t>
        </is>
      </c>
      <c r="D16260" s="10" t="inlineStr">
        <is>
          <t>Công ty Cổ phần Đầu tư Thương mại Bách Tường Phát</t>
        </is>
      </c>
      <c r="E16260" s="10" t="inlineStr">
        <is>
          <t>Lương:10 Tr - 12 Tr VND</t>
        </is>
      </c>
      <c r="F16260" s="10" t="inlineStr">
        <is>
          <t>Hồ Chí Minh</t>
        </is>
      </c>
      <c r="G16260" s="10" t="inlineStr">
        <is>
          <t>07-04-2026</t>
        </is>
      </c>
      <c r="H16260" s="10" t="inlineStr">
        <is>
          <t>07/04/2026</t>
        </is>
      </c>
      <c r="I16260" s="10" t="inlineStr">
        <is>
          <t>17/03/2026</t>
        </is>
      </c>
      <c r="J16260" s="10" t="inlineStr">
        <is>
          <t>Tiếp thị / Marketing, Thương mại điện tử, Quảng cáo / Đối ngoại / Truyền Thông</t>
        </is>
      </c>
      <c r="K16260" s="10" t="inlineStr">
        <is>
          <t>1 - 3 Năm</t>
        </is>
      </c>
      <c r="L16260" s="11">
        <f>HYPERLINK("https://careerviet.vn/vi/tim-viec-lam/nhan-vien-digital-marketing.35C64E0D.html","Xem chi tiết")</f>
        <v/>
      </c>
      <c r="M16260" s="10" t="n"/>
    </row>
    <row r="16261">
      <c r="B16261" s="7" t="n">
        <v>16259</v>
      </c>
      <c r="C16261" t="inlineStr">
        <is>
          <t>Project engineer (order entry)</t>
        </is>
      </c>
      <c r="D16261" t="inlineStr">
        <is>
          <t>PEB STEEL BUILDINGS CO., LTD.</t>
        </is>
      </c>
      <c r="E16261" t="inlineStr">
        <is>
          <t>Lương:Cạnh tranh</t>
        </is>
      </c>
      <c r="F16261" t="inlineStr">
        <is>
          <t>Hồ Chí Minh</t>
        </is>
      </c>
      <c r="G16261" t="inlineStr">
        <is>
          <t>07-04-2026</t>
        </is>
      </c>
      <c r="H16261" t="inlineStr">
        <is>
          <t>07/04/2026</t>
        </is>
      </c>
      <c r="I16261" t="inlineStr">
        <is>
          <t>17/03/2026</t>
        </is>
      </c>
      <c r="J16261" t="inlineStr">
        <is>
          <t>Kiến trúc, Xây dựng</t>
        </is>
      </c>
      <c r="K16261" t="inlineStr">
        <is>
          <t>1 - 3 Năm</t>
        </is>
      </c>
      <c r="L16261" s="8">
        <f>HYPERLINK("https://careerviet.vn/vi/tim-viec-lam/project-engineer-order-entry.35C64DA0.html","Xem chi tiết")</f>
        <v/>
      </c>
    </row>
    <row r="16262">
      <c r="B16262" s="9" t="n">
        <v>16260</v>
      </c>
      <c r="C16262" s="10" t="inlineStr">
        <is>
          <t>Chuyên viên Tổ chức Quản trị Mạng</t>
        </is>
      </c>
      <c r="D16262" s="10" t="inlineStr">
        <is>
          <t>Nova Service Group - Công ty Cổ phần Tập đoàn Nova Services</t>
        </is>
      </c>
      <c r="E16262" s="10" t="inlineStr">
        <is>
          <t>Lương:Cạnh tranh</t>
        </is>
      </c>
      <c r="F16262" s="10" t="inlineStr">
        <is>
          <t>Hồ Chí Minh</t>
        </is>
      </c>
      <c r="G16262" s="10" t="inlineStr">
        <is>
          <t>07-04-2026</t>
        </is>
      </c>
      <c r="H16262" s="10" t="inlineStr">
        <is>
          <t>07/04/2026</t>
        </is>
      </c>
      <c r="I16262" s="10" t="inlineStr">
        <is>
          <t>17/03/2026</t>
        </is>
      </c>
      <c r="J16262" s="10" t="inlineStr">
        <is>
          <t>CNTT - Phần mềm, CNTT - Phần cứng / Mạng</t>
        </is>
      </c>
      <c r="K16262" s="10" t="inlineStr">
        <is>
          <t>3 - 4 Năm</t>
        </is>
      </c>
      <c r="L16262" s="11">
        <f>HYPERLINK("https://careerviet.vn/vi/tim-viec-lam/chuyen-vien-to-chuc-quan-tri-mang.35C64DFD.html","Xem chi tiết")</f>
        <v/>
      </c>
      <c r="M16262" s="10" t="n"/>
    </row>
    <row r="16263">
      <c r="B16263" s="7" t="n">
        <v>16261</v>
      </c>
      <c r="C16263" t="inlineStr">
        <is>
          <t>Nhân Viên Điều Phối Lắp Đặt Tỉnh</t>
        </is>
      </c>
      <c r="D16263" t="inlineStr">
        <is>
          <t>Công ty Cổ phần Đầu tư Thương mại Bách Tường Phát</t>
        </is>
      </c>
      <c r="E16263" t="inlineStr">
        <is>
          <t>Lương:Trên 6,5 Tr VND</t>
        </is>
      </c>
      <c r="F16263" t="inlineStr">
        <is>
          <t>Đà Nẵng</t>
        </is>
      </c>
      <c r="G16263" t="inlineStr">
        <is>
          <t>07-04-2026</t>
        </is>
      </c>
      <c r="H16263" t="inlineStr">
        <is>
          <t>07/04/2026</t>
        </is>
      </c>
      <c r="I16263" t="inlineStr">
        <is>
          <t>17/03/2026</t>
        </is>
      </c>
      <c r="J16263" t="inlineStr">
        <is>
          <t>Vận chuyển / Giao nhận / Kho vận, Thống kê, Xuất nhập khẩu</t>
        </is>
      </c>
      <c r="K16263" t="inlineStr">
        <is>
          <t>Trên 1 Năm</t>
        </is>
      </c>
      <c r="L16263" s="8">
        <f>HYPERLINK("https://careerviet.vn/vi/tim-viec-lam/nhan-vien-dieu-phoi-lap-dat-tinh.35C64DD7.html","Xem chi tiết")</f>
        <v/>
      </c>
    </row>
    <row r="16264">
      <c r="B16264" s="9" t="n">
        <v>16262</v>
      </c>
      <c r="C16264" s="10" t="inlineStr">
        <is>
          <t>[CITIGYM] Phó Giám đốc Ban Kinh Doanh (B2B)</t>
        </is>
      </c>
      <c r="D16264" s="10" t="inlineStr">
        <is>
          <t>Nova Service Group - Công ty Cổ phần Tập đoàn Nova Services</t>
        </is>
      </c>
      <c r="E16264" s="10" t="inlineStr">
        <is>
          <t>Lương:Cạnh tranh</t>
        </is>
      </c>
      <c r="F16264" s="10" t="inlineStr">
        <is>
          <t>Hồ Chí Minh</t>
        </is>
      </c>
      <c r="G16264" s="10" t="inlineStr">
        <is>
          <t>07-04-2026</t>
        </is>
      </c>
      <c r="H16264" s="10" t="inlineStr">
        <is>
          <t>07/04/2026</t>
        </is>
      </c>
      <c r="I16264" s="10" t="inlineStr">
        <is>
          <t>17/03/2026</t>
        </is>
      </c>
      <c r="J16264" s="10" t="inlineStr">
        <is>
          <t>Tư vấn, Bán hàng / Kinh doanh</t>
        </is>
      </c>
      <c r="K16264" s="10" t="inlineStr">
        <is>
          <t>5 - 7 Năm</t>
        </is>
      </c>
      <c r="L16264" s="11">
        <f>HYPERLINK("https://careerviet.vn/vi/tim-viec-lam/citigym-pho-giam-doc-ban-kinh-doanh-b2b.35C64C52.html","Xem chi tiết")</f>
        <v/>
      </c>
      <c r="M16264" s="10" t="n"/>
    </row>
    <row r="16265">
      <c r="B16265" s="7" t="n">
        <v>16263</v>
      </c>
      <c r="C16265" t="inlineStr">
        <is>
          <t>FACA ENGINEER (OPS DEPT)</t>
        </is>
      </c>
      <c r="D16265" t="inlineStr">
        <is>
          <t>Công ty TNHH Sài Gòn Stec</t>
        </is>
      </c>
      <c r="E16265" t="inlineStr">
        <is>
          <t>Lương:15 Tr - 23 Tr VND</t>
        </is>
      </c>
      <c r="F16265" t="inlineStr">
        <is>
          <t>Bình Dương</t>
        </is>
      </c>
      <c r="G16265" t="inlineStr">
        <is>
          <t>07-04-2026</t>
        </is>
      </c>
      <c r="H16265" t="inlineStr">
        <is>
          <t>07/04/2026</t>
        </is>
      </c>
      <c r="I16265" t="inlineStr">
        <is>
          <t>17/03/2026</t>
        </is>
      </c>
      <c r="J16265" t="inlineStr">
        <is>
          <t>Điện / Điện tử / Điện lạnh / Điện công nghiệp, Quản lý chất lượng (QA/QC)</t>
        </is>
      </c>
      <c r="K16265" t="inlineStr">
        <is>
          <t>1 - 3 Năm</t>
        </is>
      </c>
      <c r="L16265" s="8">
        <f>HYPERLINK("https://careerviet.vn/vi/tim-viec-lam/faca-engineer-ops-dept.35C64DA9.html","Xem chi tiết")</f>
        <v/>
      </c>
    </row>
    <row r="16266">
      <c r="B16266" s="9" t="n">
        <v>16264</v>
      </c>
      <c r="C16266" s="10" t="inlineStr">
        <is>
          <t>Giám đốc vùng khách hàng cá nhân - RB - MSB - 1O280</t>
        </is>
      </c>
      <c r="D16266" s="10" t="inlineStr">
        <is>
          <t>Ngân hàng Thương mại Cổ phần Hàng Hải Việt Nam (MSB)</t>
        </is>
      </c>
      <c r="E16266" s="10" t="inlineStr">
        <is>
          <t>Lương:Cạnh tranh</t>
        </is>
      </c>
      <c r="F16266" s="10" t="inlineStr">
        <is>
          <t>Cần Thơ</t>
        </is>
      </c>
      <c r="G16266" s="10" t="inlineStr">
        <is>
          <t>07-04-2026</t>
        </is>
      </c>
      <c r="H16266" s="10" t="inlineStr">
        <is>
          <t>07/04/2026</t>
        </is>
      </c>
      <c r="I16266" s="10" t="inlineStr">
        <is>
          <t>17/03/2026</t>
        </is>
      </c>
      <c r="J16266" s="10" t="inlineStr">
        <is>
          <t>Ngân hàng</t>
        </is>
      </c>
      <c r="K16266" s="10" t="inlineStr">
        <is>
          <t>Trên 5 Năm</t>
        </is>
      </c>
      <c r="L16266" s="11">
        <f>HYPERLINK("https://careerviet.vn/vi/tim-viec-lam/giam-doc-vung-khach-hang-ca-nhan-rb-msb-1o280.35C64DBC.html","Xem chi tiết")</f>
        <v/>
      </c>
      <c r="M16266" s="10" t="n"/>
    </row>
    <row r="16267">
      <c r="B16267" s="7" t="n">
        <v>16265</v>
      </c>
      <c r="C16267" t="inlineStr">
        <is>
          <t>Nhân viên Đón tiễn Khách hàng tại sân bay Tân Sơn Nhất</t>
        </is>
      </c>
      <c r="D16267" t="inlineStr">
        <is>
          <t>Công ty Cổ phần Đầu tư Thương mại Kỹ thuật A&amp;T Việt Nam</t>
        </is>
      </c>
      <c r="E16267" t="inlineStr">
        <is>
          <t>Lương:13 Tr - 15 Tr VND</t>
        </is>
      </c>
      <c r="F16267" t="inlineStr">
        <is>
          <t>Hồ Chí Minh</t>
        </is>
      </c>
      <c r="G16267" t="inlineStr">
        <is>
          <t>07-04-2026</t>
        </is>
      </c>
      <c r="H16267" t="inlineStr">
        <is>
          <t>07/04/2026</t>
        </is>
      </c>
      <c r="I16267" t="inlineStr">
        <is>
          <t>17/03/2026</t>
        </is>
      </c>
      <c r="J16267" t="inlineStr">
        <is>
          <t>Dịch vụ khách hàng, Nhà hàng / Khách sạn, Hàng không</t>
        </is>
      </c>
      <c r="K16267" t="inlineStr">
        <is>
          <t>N/A</t>
        </is>
      </c>
      <c r="L16267" s="8">
        <f>HYPERLINK("https://careerviet.vn/vi/tim-viec-lam/nhan-vien-don-tien-khach-hang-tai-san-bay-tan-son-nhat.35C64C55.html","Xem chi tiết")</f>
        <v/>
      </c>
    </row>
    <row r="16268">
      <c r="B16268" s="9" t="n">
        <v>16266</v>
      </c>
      <c r="C16268" s="10" t="inlineStr">
        <is>
          <t>Data Scientist (Tuyển mở rộng)</t>
        </is>
      </c>
      <c r="D16268" s="10" t="inlineStr">
        <is>
          <t>Công Ty TNHH T.M.G</t>
        </is>
      </c>
      <c r="E16268" s="10" t="inlineStr">
        <is>
          <t>Lương:Cạnh tranh</t>
        </is>
      </c>
      <c r="F16268" s="10" t="inlineStr">
        <is>
          <t>Hồ Chí Minh</t>
        </is>
      </c>
      <c r="G16268" s="10" t="inlineStr">
        <is>
          <t>07-04-2026</t>
        </is>
      </c>
      <c r="H16268" s="10" t="inlineStr">
        <is>
          <t>07/04/2026</t>
        </is>
      </c>
      <c r="I16268" s="10" t="inlineStr">
        <is>
          <t>17/03/2026</t>
        </is>
      </c>
      <c r="J16268" s="10" t="inlineStr">
        <is>
          <t>CNTT - Phần mềm, CNTT - Phần cứng / Mạng, Bán lẻ / Bán sỉ</t>
        </is>
      </c>
      <c r="K16268" s="10" t="inlineStr">
        <is>
          <t>2 - 10 Năm</t>
        </is>
      </c>
      <c r="L16268" s="11">
        <f>HYPERLINK("https://careerviet.vn/vi/tim-viec-lam/data-scientist-tuyen-mo-rong.35C64DF8.html","Xem chi tiết")</f>
        <v/>
      </c>
      <c r="M16268" s="10" t="n"/>
    </row>
    <row r="16269">
      <c r="B16269" s="7" t="n">
        <v>16267</v>
      </c>
      <c r="C16269" t="inlineStr">
        <is>
          <t>Trưởng Phòng Kinh Doanh (Business Development Manager / Senior Sales)</t>
        </is>
      </c>
      <c r="D16269" t="inlineStr">
        <is>
          <t>CÔNG TY TNHH TM XD CHỐNG THẤM  HOÀNG CHƯƠNG</t>
        </is>
      </c>
      <c r="E16269" t="inlineStr">
        <is>
          <t>Lương:Cạnh tranh</t>
        </is>
      </c>
      <c r="F16269" t="inlineStr">
        <is>
          <t>Hồ Chí Minh</t>
        </is>
      </c>
      <c r="G16269" t="inlineStr">
        <is>
          <t>07-04-2026</t>
        </is>
      </c>
      <c r="H16269" t="inlineStr">
        <is>
          <t>07/04/2026</t>
        </is>
      </c>
      <c r="I16269" t="inlineStr">
        <is>
          <t>17/03/2026</t>
        </is>
      </c>
      <c r="J16269" t="inlineStr">
        <is>
          <t>Bán hàng / Kinh doanh, Tư vấn, Dịch vụ khách hàng</t>
        </is>
      </c>
      <c r="K16269" t="inlineStr">
        <is>
          <t>2 - 3 Năm</t>
        </is>
      </c>
      <c r="L16269" s="8">
        <f>HYPERLINK("https://careerviet.vn/vi/tim-viec-lam/truong-phong-kinh-doanh-business-development-manager-senior-sales.35C64C7D.html","Xem chi tiết")</f>
        <v/>
      </c>
    </row>
    <row r="16270">
      <c r="B16270" s="9" t="n">
        <v>16268</v>
      </c>
      <c r="C16270" s="10" t="inlineStr">
        <is>
          <t>[BSV]_[G1] - CSKH Làm ViệcTổng Đài Viettel – Công Việc Lâu Dài – Làm Với Dự Án Lớn</t>
        </is>
      </c>
      <c r="D16270" s="10" t="inlineStr">
        <is>
          <t>BellSystem24-Việt Nam</t>
        </is>
      </c>
      <c r="E16270" s="10" t="inlineStr">
        <is>
          <t>Lương:7 Tr - 10 Tr VND</t>
        </is>
      </c>
      <c r="F16270" s="10" t="inlineStr">
        <is>
          <t>Hồ Chí Minh</t>
        </is>
      </c>
      <c r="G16270" s="10" t="inlineStr">
        <is>
          <t>07-04-2026</t>
        </is>
      </c>
      <c r="H16270" s="10" t="inlineStr">
        <is>
          <t>07/04/2026</t>
        </is>
      </c>
      <c r="I16270" s="10" t="inlineStr">
        <is>
          <t>17/03/2026</t>
        </is>
      </c>
      <c r="J16270" s="10" t="inlineStr">
        <is>
          <t>Bưu chính viễn thông, Dịch vụ khách hàng, Mới tốt nghiệp / Thực tập</t>
        </is>
      </c>
      <c r="K16270" s="10" t="inlineStr">
        <is>
          <t>N/A</t>
        </is>
      </c>
      <c r="L16270" s="11">
        <f>HYPERLINK("https://careerviet.vn/vi/tim-viec-lam/bsv-_-g1-cskh-lam-viectong-dai-viettel-cong-viec-lau-dai-lam-voi-du-an-lon.35C64E6C.html","Xem chi tiết")</f>
        <v/>
      </c>
      <c r="M16270" s="10" t="n"/>
    </row>
    <row r="16271">
      <c r="B16271" s="7" t="n">
        <v>16269</v>
      </c>
      <c r="C16271" t="inlineStr">
        <is>
          <t>CRM Loyalty Leader</t>
        </is>
      </c>
      <c r="D16271" t="inlineStr">
        <is>
          <t>Công ty Cổ phần Sữa VitaDairy Việt Nam</t>
        </is>
      </c>
      <c r="E16271" t="inlineStr">
        <is>
          <t>Lương:Cạnh tranh</t>
        </is>
      </c>
      <c r="F16271" t="inlineStr">
        <is>
          <t>Hồ Chí Minh</t>
        </is>
      </c>
      <c r="G16271" t="inlineStr">
        <is>
          <t>07-04-2026</t>
        </is>
      </c>
      <c r="H16271" t="inlineStr">
        <is>
          <t>07/04/2026</t>
        </is>
      </c>
      <c r="I16271" t="inlineStr">
        <is>
          <t>17/03/2026</t>
        </is>
      </c>
      <c r="J16271" t="inlineStr">
        <is>
          <t>Tiếp thị / Marketing, Tiếp thị trực tuyến, Thương mại điện tử</t>
        </is>
      </c>
      <c r="K16271" t="inlineStr">
        <is>
          <t>Trên 3 Năm</t>
        </is>
      </c>
      <c r="L16271" s="8">
        <f>HYPERLINK("https://careerviet.vn/vi/tim-viec-lam/crm-loyalty-leader.35C64DFA.html","Xem chi tiết")</f>
        <v/>
      </c>
    </row>
    <row r="16272">
      <c r="B16272" s="9" t="n">
        <v>16270</v>
      </c>
      <c r="C16272" s="10" t="inlineStr">
        <is>
          <t>Nhân Viên Quản Lý Sàn Thương Mại Điện Tử</t>
        </is>
      </c>
      <c r="D16272" s="10" t="inlineStr">
        <is>
          <t>CÔNG TY TNHH HEBE STYLE</t>
        </is>
      </c>
      <c r="E16272" s="10" t="inlineStr">
        <is>
          <t>Lương:Trên 8 Tr VND</t>
        </is>
      </c>
      <c r="F16272" s="10" t="inlineStr">
        <is>
          <t>Hồ Chí Minh</t>
        </is>
      </c>
      <c r="G16272" s="10" t="inlineStr">
        <is>
          <t>07-04-2026</t>
        </is>
      </c>
      <c r="H16272" s="10" t="inlineStr">
        <is>
          <t>07/04/2026</t>
        </is>
      </c>
      <c r="I16272" s="10" t="inlineStr">
        <is>
          <t>17/03/2026</t>
        </is>
      </c>
      <c r="J16272" s="10" t="inlineStr">
        <is>
          <t>Tiếp thị trực tuyến, Thương mại điện tử, Quảng cáo / Đối ngoại / Truyền Thông</t>
        </is>
      </c>
      <c r="K16272" s="10" t="inlineStr">
        <is>
          <t>Trên 1 Năm</t>
        </is>
      </c>
      <c r="L16272" s="11">
        <f>HYPERLINK("https://careerviet.vn/vi/tim-viec-lam/nhan-vien-quan-ly-san-thuong-mai-dien-tu.35C64E41.html","Xem chi tiết")</f>
        <v/>
      </c>
      <c r="M16272" s="10" t="n"/>
    </row>
    <row r="16273">
      <c r="B16273" s="7" t="n">
        <v>16271</v>
      </c>
      <c r="C16273" t="inlineStr">
        <is>
          <t>Chuyên viên QH KHCN - Quảng Nam (TP Hội An)</t>
        </is>
      </c>
      <c r="D16273" t="inlineStr">
        <is>
          <t>Ngân hàng TMCP Việt Á – VietABank</t>
        </is>
      </c>
      <c r="E16273" t="inlineStr">
        <is>
          <t>Lương:Cạnh tranh</t>
        </is>
      </c>
      <c r="F16273" t="inlineStr">
        <is>
          <t>Đà Nẵng</t>
        </is>
      </c>
      <c r="G16273" t="inlineStr">
        <is>
          <t>07-04-2026</t>
        </is>
      </c>
      <c r="H16273" t="inlineStr">
        <is>
          <t>07/04/2026</t>
        </is>
      </c>
      <c r="I16273" t="inlineStr">
        <is>
          <t>17/03/2026</t>
        </is>
      </c>
      <c r="J16273" t="inlineStr">
        <is>
          <t>Bảo hiểm, Tài chính / Đầu tư, Ngân hàng</t>
        </is>
      </c>
      <c r="K16273" t="inlineStr">
        <is>
          <t>Trên 1 Năm</t>
        </is>
      </c>
      <c r="L16273" s="8">
        <f>HYPERLINK("https://careerviet.vn/vi/tim-viec-lam/chuyen-vien-qh-khcn-quang-nam-tp-hoi-an.35C64C3D.html","Xem chi tiết")</f>
        <v/>
      </c>
    </row>
    <row r="16274">
      <c r="B16274" s="9" t="n">
        <v>16272</v>
      </c>
      <c r="C16274" s="10" t="inlineStr">
        <is>
          <t>[NSG] Giám đốc kinh doanh (TA/OTA)</t>
        </is>
      </c>
      <c r="D16274" s="10" t="inlineStr">
        <is>
          <t>Nova Service Group - Công ty Cổ phần Tập đoàn Nova Services</t>
        </is>
      </c>
      <c r="E16274" s="10" t="inlineStr">
        <is>
          <t>Lương:Cạnh tranh</t>
        </is>
      </c>
      <c r="F16274" s="10" t="inlineStr">
        <is>
          <t>Hồ Chí Minh</t>
        </is>
      </c>
      <c r="G16274" s="10" t="inlineStr">
        <is>
          <t>07-04-2026</t>
        </is>
      </c>
      <c r="H16274" s="10" t="inlineStr">
        <is>
          <t>07/04/2026</t>
        </is>
      </c>
      <c r="I16274" s="10" t="inlineStr">
        <is>
          <t>17/03/2026</t>
        </is>
      </c>
      <c r="J16274" s="10" t="inlineStr">
        <is>
          <t>Nhà hàng / Khách sạn, Du lịch</t>
        </is>
      </c>
      <c r="K16274" s="10" t="inlineStr">
        <is>
          <t>5 - 20 Năm</t>
        </is>
      </c>
      <c r="L16274" s="11">
        <f>HYPERLINK("https://careerviet.vn/vi/tim-viec-lam/nsg-giam-doc-kinh-doanh-ta-ota.35C64B44.html","Xem chi tiết")</f>
        <v/>
      </c>
      <c r="M16274" s="10" t="n"/>
    </row>
    <row r="16275">
      <c r="B16275" s="7" t="n">
        <v>16273</v>
      </c>
      <c r="C16275" t="inlineStr">
        <is>
          <t>HCM - Chuyên Viên QS</t>
        </is>
      </c>
      <c r="D16275" t="inlineStr">
        <is>
          <t>Công Ty CP Xây Dựng Số 1 (COFICO)</t>
        </is>
      </c>
      <c r="E16275" t="inlineStr">
        <is>
          <t>Lương:18 Tr - 23 Tr VND</t>
        </is>
      </c>
      <c r="F16275" t="inlineStr">
        <is>
          <t>Hồ Chí Minh</t>
        </is>
      </c>
      <c r="G16275" t="inlineStr">
        <is>
          <t>07-04-2026</t>
        </is>
      </c>
      <c r="H16275" t="inlineStr">
        <is>
          <t>07/04/2026</t>
        </is>
      </c>
      <c r="I16275" t="inlineStr">
        <is>
          <t>17/03/2026</t>
        </is>
      </c>
      <c r="J16275" t="inlineStr">
        <is>
          <t>Kiến trúc, Xây dựng</t>
        </is>
      </c>
      <c r="K16275" t="inlineStr">
        <is>
          <t>3 - 5 Năm</t>
        </is>
      </c>
      <c r="L16275" s="8">
        <f>HYPERLINK("https://careerviet.vn/vi/tim-viec-lam/hcm-chuyen-vien-qs.35C64CBA.html","Xem chi tiết")</f>
        <v/>
      </c>
    </row>
    <row r="16276">
      <c r="B16276" s="9" t="n">
        <v>16274</v>
      </c>
      <c r="C16276" s="10" t="inlineStr">
        <is>
          <t>Nhân viên hỗ trợ thiết kế</t>
        </is>
      </c>
      <c r="D16276" s="10" t="inlineStr">
        <is>
          <t>CÔNG TY TNHH WETOOL</t>
        </is>
      </c>
      <c r="E16276" s="10" t="inlineStr">
        <is>
          <t>Lương:9 Tr - 12 Tr VND</t>
        </is>
      </c>
      <c r="F16276" s="10" t="inlineStr">
        <is>
          <t>Hồ Chí Minh</t>
        </is>
      </c>
      <c r="G16276" s="10" t="inlineStr">
        <is>
          <t>07-04-2026</t>
        </is>
      </c>
      <c r="H16276" s="10" t="inlineStr">
        <is>
          <t>07/04/2026</t>
        </is>
      </c>
      <c r="I16276" s="10" t="inlineStr">
        <is>
          <t>17/03/2026</t>
        </is>
      </c>
      <c r="J16276" s="10" t="inlineStr">
        <is>
          <t>Mỹ thuật / Nghệ thuật / Thiết kế, Sản xuất / Vận hành sản xuất</t>
        </is>
      </c>
      <c r="K16276" s="10" t="inlineStr">
        <is>
          <t>N/A</t>
        </is>
      </c>
      <c r="L16276" s="11">
        <f>HYPERLINK("https://careerviet.vn/vi/tim-viec-lam/nhan-vien-ho-tro-thiet-ke.35C64D29.html","Xem chi tiết")</f>
        <v/>
      </c>
      <c r="M16276" s="10" t="n"/>
    </row>
    <row r="16277">
      <c r="B16277" s="7" t="n">
        <v>16275</v>
      </c>
      <c r="C16277" t="inlineStr">
        <is>
          <t>Chuyên viên Quan hệ nhà đầu tư</t>
        </is>
      </c>
      <c r="D16277" t="inlineStr">
        <is>
          <t>Công ty CP Thành Thành Công - Biên Hòa</t>
        </is>
      </c>
      <c r="E16277" t="inlineStr">
        <is>
          <t>Lương:Cạnh tranh</t>
        </is>
      </c>
      <c r="F16277" t="inlineStr">
        <is>
          <t>Hồ Chí Minh</t>
        </is>
      </c>
      <c r="G16277" t="inlineStr">
        <is>
          <t>07-04-2026</t>
        </is>
      </c>
      <c r="H16277" t="inlineStr">
        <is>
          <t>07/04/2026</t>
        </is>
      </c>
      <c r="I16277" t="inlineStr">
        <is>
          <t>17/03/2026</t>
        </is>
      </c>
      <c r="J16277" t="inlineStr">
        <is>
          <t>Ngành khác, Tài chính / Đầu tư, Tư vấn</t>
        </is>
      </c>
      <c r="K16277" t="inlineStr">
        <is>
          <t>2 - 5 Năm</t>
        </is>
      </c>
      <c r="L16277" s="8">
        <f>HYPERLINK("https://careerviet.vn/vi/tim-viec-lam/chuyen-vien-quan-he-nha-dau-tu.35C64CF3.html","Xem chi tiết")</f>
        <v/>
      </c>
    </row>
    <row r="16278">
      <c r="B16278" s="9" t="n">
        <v>16276</v>
      </c>
      <c r="C16278" s="10" t="inlineStr">
        <is>
          <t>Thủ kho</t>
        </is>
      </c>
      <c r="D16278" s="10" t="inlineStr">
        <is>
          <t>Công ty Cổ phần Đầu tư Thương mại Bách Tường Phát</t>
        </is>
      </c>
      <c r="E16278" s="10" t="inlineStr">
        <is>
          <t>Lương:Cạnh tranh</t>
        </is>
      </c>
      <c r="F16278" s="10" t="inlineStr">
        <is>
          <t>Hồ Chí Minh</t>
        </is>
      </c>
      <c r="G16278" s="10" t="inlineStr">
        <is>
          <t>07-04-2026</t>
        </is>
      </c>
      <c r="H16278" s="10" t="inlineStr">
        <is>
          <t>07/04/2026</t>
        </is>
      </c>
      <c r="I16278" s="10" t="inlineStr">
        <is>
          <t>17/03/2026</t>
        </is>
      </c>
      <c r="J16278" s="10" t="inlineStr">
        <is>
          <t>Vận chuyển / Giao nhận / Kho vận, Hàng gia dụng / Chăm sóc cá nhân, Điện / Điện tử / Điện lạnh / Điện công nghiệp</t>
        </is>
      </c>
      <c r="K16278" s="10" t="inlineStr">
        <is>
          <t>3 - 5 Năm</t>
        </is>
      </c>
      <c r="L16278" s="11">
        <f>HYPERLINK("https://careerviet.vn/vi/tim-viec-lam/thu-kho.35C67E72.html","Xem chi tiết")</f>
        <v/>
      </c>
      <c r="M16278" s="10" t="n"/>
    </row>
    <row r="16279">
      <c r="B16279" s="7" t="n">
        <v>16277</v>
      </c>
      <c r="C16279" t="inlineStr">
        <is>
          <t>Kỹ sư thiết kế hệ thống điện</t>
        </is>
      </c>
      <c r="D16279" t="inlineStr">
        <is>
          <t>CÔNG TY TNHH TƯ VẤN VÀ CÔNG NGHỆ XÂY DỰNG HOÀNG PHÁT</t>
        </is>
      </c>
      <c r="E16279" t="inlineStr">
        <is>
          <t>Lương:12 Tr - 28 Tr VND</t>
        </is>
      </c>
      <c r="F16279" t="inlineStr">
        <is>
          <t>Hà Nội</t>
        </is>
      </c>
      <c r="G16279" t="inlineStr">
        <is>
          <t>07-04-2026</t>
        </is>
      </c>
      <c r="H16279" t="inlineStr">
        <is>
          <t>07/04/2026</t>
        </is>
      </c>
      <c r="I16279" t="inlineStr">
        <is>
          <t>17/03/2026</t>
        </is>
      </c>
      <c r="J16279" t="inlineStr">
        <is>
          <t>Điện / Điện tử / Điện lạnh / Điện công nghiệp, Kiến trúc, Xây dựng</t>
        </is>
      </c>
      <c r="K16279" t="inlineStr">
        <is>
          <t>Trên 3 Năm</t>
        </is>
      </c>
      <c r="L16279" s="8">
        <f>HYPERLINK("https://careerviet.vn/vi/tim-viec-lam/ky-su-thiet-ke-he-thong-dien.35C64E44.html","Xem chi tiết")</f>
        <v/>
      </c>
    </row>
    <row r="16280">
      <c r="B16280" s="9" t="n">
        <v>16278</v>
      </c>
      <c r="C16280" s="10" t="inlineStr">
        <is>
          <t>Nhân viên tuyển dụng</t>
        </is>
      </c>
      <c r="D16280" s="10" t="inlineStr">
        <is>
          <t>Công ty CP Toshiko Việt Nam</t>
        </is>
      </c>
      <c r="E16280" s="10" t="inlineStr">
        <is>
          <t>Lương:8 Tr - 10 Tr VND</t>
        </is>
      </c>
      <c r="F16280" s="10" t="inlineStr">
        <is>
          <t>Hà Nội</t>
        </is>
      </c>
      <c r="G16280" s="10" t="inlineStr">
        <is>
          <t>07-04-2026</t>
        </is>
      </c>
      <c r="H16280" s="10" t="inlineStr">
        <is>
          <t>07/04/2026</t>
        </is>
      </c>
      <c r="I16280" s="10" t="inlineStr">
        <is>
          <t>17/03/2026</t>
        </is>
      </c>
      <c r="J16280" s="10" t="inlineStr">
        <is>
          <t>Nhân sự</t>
        </is>
      </c>
      <c r="K16280" s="10" t="inlineStr">
        <is>
          <t>Chưa có kinh nghiệm</t>
        </is>
      </c>
      <c r="L16280" s="11">
        <f>HYPERLINK("https://careerviet.vn/vi/tim-viec-lam/nhan-vien-tuyen-dung.35C64CE1.html","Xem chi tiết")</f>
        <v/>
      </c>
      <c r="M16280" s="10" t="n"/>
    </row>
    <row r="16281">
      <c r="B16281" s="7" t="n">
        <v>16279</v>
      </c>
      <c r="C16281" t="inlineStr">
        <is>
          <t>Cộng tác viên Kinh doanh - Dự Án Xanh Food</t>
        </is>
      </c>
      <c r="D16281" t="inlineStr">
        <is>
          <t>CÔNG TY CỔ PHẦN DI CHUYỂN VÀ THÔNG MINH GSM</t>
        </is>
      </c>
      <c r="E16281" t="inlineStr">
        <is>
          <t>Lương:12 Tr - 18 Tr VND</t>
        </is>
      </c>
      <c r="F16281" t="inlineStr">
        <is>
          <t>Hồ Chí Minh</t>
        </is>
      </c>
      <c r="G16281" t="inlineStr">
        <is>
          <t>07-04-2026</t>
        </is>
      </c>
      <c r="H16281" t="inlineStr">
        <is>
          <t>07/04/2026</t>
        </is>
      </c>
      <c r="I16281" t="inlineStr">
        <is>
          <t>17/03/2026</t>
        </is>
      </c>
      <c r="J16281" t="inlineStr">
        <is>
          <t>Bán hàng / Kinh doanh, Thực phẩm &amp; Đồ uống, Bán lẻ / Bán sỉ</t>
        </is>
      </c>
      <c r="K16281" t="inlineStr">
        <is>
          <t>N/A</t>
        </is>
      </c>
      <c r="L16281" s="8">
        <f>HYPERLINK("https://careerviet.vn/vi/tim-viec-lam/cong-tac-vien-kinh-doanh-du-an-xanh-food.35C64C98.html","Xem chi tiết")</f>
        <v/>
      </c>
    </row>
    <row r="16282">
      <c r="B16282" s="9" t="n">
        <v>16280</v>
      </c>
      <c r="C16282" s="10" t="inlineStr">
        <is>
          <t>Trưởng phòng nhân sự (Ưu tiên tiếng Nhật)</t>
        </is>
      </c>
      <c r="D16282" s="10" t="inlineStr">
        <is>
          <t>CÔNG TY TRÁCH NHIỆM HỮU HẠN SÀI GÒN PRECISION</t>
        </is>
      </c>
      <c r="E16282" s="10" t="inlineStr">
        <is>
          <t>Lương:Cạnh tranh</t>
        </is>
      </c>
      <c r="F16282" s="10" t="inlineStr">
        <is>
          <t>Hồ Chí Minh</t>
        </is>
      </c>
      <c r="G16282" s="10" t="inlineStr">
        <is>
          <t>07-04-2026</t>
        </is>
      </c>
      <c r="H16282" s="10" t="inlineStr">
        <is>
          <t>07/04/2026</t>
        </is>
      </c>
      <c r="I16282" s="10" t="inlineStr">
        <is>
          <t>17/03/2026</t>
        </is>
      </c>
      <c r="J16282" s="10" t="inlineStr">
        <is>
          <t>Hành chính / Thư ký, Nhân sự</t>
        </is>
      </c>
      <c r="K16282" s="10" t="inlineStr">
        <is>
          <t>5 - 7 Năm</t>
        </is>
      </c>
      <c r="L16282" s="11">
        <f>HYPERLINK("https://careerviet.vn/vi/tim-viec-lam/truong-phong-nhan-su-uu-tien-tieng-nhat.35C64D8A.html","Xem chi tiết")</f>
        <v/>
      </c>
      <c r="M16282" s="10" t="n"/>
    </row>
    <row r="16283">
      <c r="B16283" s="7" t="n">
        <v>16281</v>
      </c>
      <c r="C16283" t="inlineStr">
        <is>
          <t>Bắc Ninh - Giám sát thi công/ Giám sát chính</t>
        </is>
      </c>
      <c r="D16283" t="inlineStr">
        <is>
          <t>Công Ty CP Xây Dựng Số 1 (COFICO)</t>
        </is>
      </c>
      <c r="E16283" t="inlineStr">
        <is>
          <t>Lương:18 Tr - 25 Tr VND</t>
        </is>
      </c>
      <c r="F16283" t="inlineStr">
        <is>
          <t>Bắc Ninh</t>
        </is>
      </c>
      <c r="G16283" t="inlineStr">
        <is>
          <t>07-04-2026</t>
        </is>
      </c>
      <c r="H16283" t="inlineStr">
        <is>
          <t>07/04/2026</t>
        </is>
      </c>
      <c r="I16283" t="inlineStr">
        <is>
          <t>17/03/2026</t>
        </is>
      </c>
      <c r="J16283" t="inlineStr">
        <is>
          <t>Kiến trúc, Xây dựng</t>
        </is>
      </c>
      <c r="K16283" t="inlineStr">
        <is>
          <t>2 - 7 Năm</t>
        </is>
      </c>
      <c r="L16283" s="8">
        <f>HYPERLINK("https://careerviet.vn/vi/tim-viec-lam/bac-ninh-giam-sat-thi-cong-giam-sat-chinh.35C64C9F.html","Xem chi tiết")</f>
        <v/>
      </c>
    </row>
    <row r="16284">
      <c r="B16284" s="9" t="n">
        <v>16282</v>
      </c>
      <c r="C16284" s="10" t="inlineStr">
        <is>
          <t>Nhân viên chăm sóc khách hàng</t>
        </is>
      </c>
      <c r="D16284" s="10" t="inlineStr">
        <is>
          <t>HỆ THỐNG KÍNH MẮT ANNA</t>
        </is>
      </c>
      <c r="E16284" s="10" t="inlineStr">
        <is>
          <t>Lương:9 Tr - 12 Tr VND</t>
        </is>
      </c>
      <c r="F16284" s="10" t="inlineStr">
        <is>
          <t>Hà Nội</t>
        </is>
      </c>
      <c r="G16284" s="10" t="inlineStr">
        <is>
          <t>07-04-2026</t>
        </is>
      </c>
      <c r="H16284" s="10" t="inlineStr">
        <is>
          <t>07/04/2026</t>
        </is>
      </c>
      <c r="I16284" s="10" t="inlineStr">
        <is>
          <t>17/03/2026</t>
        </is>
      </c>
      <c r="J16284" s="10" t="inlineStr">
        <is>
          <t>Bán lẻ / Bán sỉ</t>
        </is>
      </c>
      <c r="K16284" s="10" t="inlineStr">
        <is>
          <t>Trên 1 Năm</t>
        </is>
      </c>
      <c r="L16284" s="11">
        <f>HYPERLINK("https://careerviet.vn/vi/tim-viec-lam/nhan-vien-cham-soc-khach-hang.35C67F1C.html","Xem chi tiết")</f>
        <v/>
      </c>
      <c r="M16284" s="10" t="n"/>
    </row>
    <row r="16285">
      <c r="B16285" s="7" t="n">
        <v>16283</v>
      </c>
      <c r="C16285" t="inlineStr">
        <is>
          <t>Service Sales Engineer/Staff</t>
        </is>
      </c>
      <c r="D16285" t="inlineStr">
        <is>
          <t>Daikin Air Conditioning (Vietnam) Joint Stock Company</t>
        </is>
      </c>
      <c r="E16285" t="inlineStr">
        <is>
          <t>Lương:Cạnh tranh</t>
        </is>
      </c>
      <c r="F16285" t="inlineStr">
        <is>
          <t>Hồ Chí Minh</t>
        </is>
      </c>
      <c r="G16285" t="inlineStr">
        <is>
          <t>07-04-2026</t>
        </is>
      </c>
      <c r="H16285" t="inlineStr">
        <is>
          <t>07/04/2026</t>
        </is>
      </c>
      <c r="I16285" t="inlineStr">
        <is>
          <t>17/03/2026</t>
        </is>
      </c>
      <c r="J16285" t="inlineStr">
        <is>
          <t>Bán hàng / Kinh doanh, Điện / Điện tử / Điện lạnh / Điện công nghiệp</t>
        </is>
      </c>
      <c r="K16285" t="inlineStr">
        <is>
          <t>Trên 1 Năm</t>
        </is>
      </c>
      <c r="L16285" s="8">
        <f>HYPERLINK("https://careerviet.vn/vi/tim-viec-lam/service-sales-engineer-staff.35C64CCF.html","Xem chi tiết")</f>
        <v/>
      </c>
    </row>
    <row r="16286">
      <c r="B16286" s="9" t="n">
        <v>16284</v>
      </c>
      <c r="C16286" s="10" t="inlineStr">
        <is>
          <t>BẾP PHÓ</t>
        </is>
      </c>
      <c r="D16286" s="10" t="inlineStr">
        <is>
          <t>CÔNG TY CỔ PHẦN THỰC PHẨM FRESCO</t>
        </is>
      </c>
      <c r="E16286" s="10" t="inlineStr">
        <is>
          <t>Lương:Cạnh tranh</t>
        </is>
      </c>
      <c r="F16286" s="10" t="inlineStr">
        <is>
          <t>Hồ Chí Minh</t>
        </is>
      </c>
      <c r="G16286" s="10" t="inlineStr">
        <is>
          <t>07-04-2026</t>
        </is>
      </c>
      <c r="H16286" s="10" t="inlineStr">
        <is>
          <t>07/04/2026</t>
        </is>
      </c>
      <c r="I16286" s="10" t="inlineStr">
        <is>
          <t>17/03/2026</t>
        </is>
      </c>
      <c r="J16286" s="10" t="inlineStr">
        <is>
          <t>Thực phẩm &amp; Đồ uống, Nhà hàng / Khách sạn, Công nghệ thực phẩm / Dinh dưỡng</t>
        </is>
      </c>
      <c r="K16286" s="10" t="inlineStr">
        <is>
          <t>2 - 3 Năm</t>
        </is>
      </c>
      <c r="L16286" s="11">
        <f>HYPERLINK("https://careerviet.vn/vi/tim-viec-lam/bep-pho.35C64E04.html","Xem chi tiết")</f>
        <v/>
      </c>
      <c r="M16286" s="10" t="n"/>
    </row>
    <row r="16287">
      <c r="B16287" s="7" t="n">
        <v>16285</v>
      </c>
      <c r="C16287" t="inlineStr">
        <is>
          <t>Nhân Viên Tư Vấn Viettel – Được Đào Tạo Bài Bản Có Lương - Làm Giờ Hành Chính _ [G1]</t>
        </is>
      </c>
      <c r="D16287" t="inlineStr">
        <is>
          <t>BellSystem24-Việt Nam</t>
        </is>
      </c>
      <c r="E16287" t="inlineStr">
        <is>
          <t>Lương:8 Tr - 15 Tr VND</t>
        </is>
      </c>
      <c r="F16287" t="inlineStr">
        <is>
          <t>Hồ Chí Minh</t>
        </is>
      </c>
      <c r="G16287" t="inlineStr">
        <is>
          <t>07-04-2026</t>
        </is>
      </c>
      <c r="H16287" t="inlineStr">
        <is>
          <t>07/04/2026</t>
        </is>
      </c>
      <c r="I16287" t="inlineStr">
        <is>
          <t>17/03/2026</t>
        </is>
      </c>
      <c r="J16287" t="inlineStr">
        <is>
          <t>Bưu chính viễn thông, Dịch vụ khách hàng, Tư vấn</t>
        </is>
      </c>
      <c r="K16287" t="inlineStr">
        <is>
          <t>N/A</t>
        </is>
      </c>
      <c r="L16287" s="8">
        <f>HYPERLINK("https://careerviet.vn/vi/tim-viec-lam/nhan-vien-tu-van-viettel-duoc-dao-tao-bai-ban-co-luong-lam-gio-hanh-chinh-_-g1.35C64E6A.html","Xem chi tiết")</f>
        <v/>
      </c>
    </row>
    <row r="16288">
      <c r="B16288" s="9" t="n">
        <v>16286</v>
      </c>
      <c r="C16288" s="10" t="inlineStr">
        <is>
          <t>Dược sỹ đại học phụ trách mảng cung ứng / đấu thầu</t>
        </is>
      </c>
      <c r="D16288" s="10" t="inlineStr">
        <is>
          <t>Công ty Cổ Phần Thảo Mộc Xanh</t>
        </is>
      </c>
      <c r="E16288" s="10" t="inlineStr">
        <is>
          <t>Lương:Cạnh tranh</t>
        </is>
      </c>
      <c r="F16288" s="10" t="inlineStr">
        <is>
          <t>Hồ Chí Minh</t>
        </is>
      </c>
      <c r="G16288" s="10" t="inlineStr">
        <is>
          <t>07-04-2026</t>
        </is>
      </c>
      <c r="H16288" s="10" t="inlineStr">
        <is>
          <t>07/04/2026</t>
        </is>
      </c>
      <c r="I16288" s="10" t="inlineStr">
        <is>
          <t>17/03/2026</t>
        </is>
      </c>
      <c r="J16288" s="10" t="inlineStr">
        <is>
          <t>Dược phẩm/ Hóa Mỹ Phẩm, Y tế / Chăm sóc sức khỏe / Thẩm mỹ / Làm đẹp</t>
        </is>
      </c>
      <c r="K16288" s="10" t="inlineStr">
        <is>
          <t>Trên 1 Năm</t>
        </is>
      </c>
      <c r="L16288" s="11">
        <f>HYPERLINK("https://careerviet.vn/vi/tim-viec-lam/duoc-sy-dai-hoc-phu-trach-mang-cung-ung-dau-thau.35C67EE5.html","Xem chi tiết")</f>
        <v/>
      </c>
      <c r="M16288" s="10" t="n"/>
    </row>
    <row r="16289">
      <c r="B16289" s="7" t="n">
        <v>16287</v>
      </c>
      <c r="C16289" t="inlineStr">
        <is>
          <t>[Hà Đông] Giám Đốc Trung Tâm Thương Mại</t>
        </is>
      </c>
      <c r="D16289" t="inlineStr">
        <is>
          <t>CÔNG TY CỔ PHẦN EUROWINDOW HOLDING</t>
        </is>
      </c>
      <c r="E16289" t="inlineStr">
        <is>
          <t>Lương:Cạnh tranh</t>
        </is>
      </c>
      <c r="F16289" t="inlineStr">
        <is>
          <t>Hà Nội</t>
        </is>
      </c>
      <c r="G16289" t="inlineStr">
        <is>
          <t>07-04-2026</t>
        </is>
      </c>
      <c r="H16289" t="inlineStr">
        <is>
          <t>07/04/2026</t>
        </is>
      </c>
      <c r="I16289" t="inlineStr">
        <is>
          <t>17/03/2026</t>
        </is>
      </c>
      <c r="J16289" t="inlineStr">
        <is>
          <t>Bán hàng / Kinh doanh, Dịch vụ khách hàng, Bất động sản</t>
        </is>
      </c>
      <c r="K16289" t="inlineStr">
        <is>
          <t>3 - 5 Năm</t>
        </is>
      </c>
      <c r="L16289" s="8">
        <f>HYPERLINK("https://careerviet.vn/vi/tim-viec-lam/ha-dong-giam-doc-trung-tam-thuong-mai.35C67DED.html","Xem chi tiết")</f>
        <v/>
      </c>
    </row>
    <row r="16290">
      <c r="B16290" s="9" t="n">
        <v>16288</v>
      </c>
      <c r="C16290" s="10" t="inlineStr">
        <is>
          <t>Nhân Viên Thiết Kế Mũi Thêu Ví Tính/EMB Puncher (Làm việc tại Cái Bè)</t>
        </is>
      </c>
      <c r="D16290" s="10" t="inlineStr">
        <is>
          <t>CÔNG TY TNHH MỘT THÀNH VIÊN DREAM MEKONG</t>
        </is>
      </c>
      <c r="E16290" s="10" t="inlineStr">
        <is>
          <t>Lương:Cạnh tranh</t>
        </is>
      </c>
      <c r="F16290" s="10" t="inlineStr">
        <is>
          <t>Tiền Giang</t>
        </is>
      </c>
      <c r="G16290" s="10" t="inlineStr">
        <is>
          <t>07-04-2026</t>
        </is>
      </c>
      <c r="H16290" s="10" t="inlineStr">
        <is>
          <t>07/04/2026</t>
        </is>
      </c>
      <c r="I16290" s="10" t="inlineStr">
        <is>
          <t>17/03/2026</t>
        </is>
      </c>
      <c r="J16290" s="10" t="inlineStr">
        <is>
          <t>Nhân sự, Mỹ thuật / Nghệ thuật / Thiết kế, Dệt may / Da giày / Thời trang</t>
        </is>
      </c>
      <c r="K16290" s="10" t="inlineStr">
        <is>
          <t>2 - 5 Năm</t>
        </is>
      </c>
      <c r="L16290" s="11">
        <f>HYPERLINK("https://careerviet.vn/vi/tim-viec-lam/nhan-vien-thiet-ke-mui-theu-vi-tinh-emb-puncher-lam-viec-tai-cai-be.35C5DD41.html","Xem chi tiết")</f>
        <v/>
      </c>
      <c r="M16290" s="10" t="n"/>
    </row>
    <row r="16291">
      <c r="B16291" s="7" t="n">
        <v>16289</v>
      </c>
      <c r="C16291" t="inlineStr">
        <is>
          <t>Nhân Viên Kinh Doanh - 10 vị trí</t>
        </is>
      </c>
      <c r="D16291" t="inlineStr">
        <is>
          <t>Công ty Cổ Phần Thảo Mộc Xanh</t>
        </is>
      </c>
      <c r="E16291" t="inlineStr">
        <is>
          <t>Lương:Cạnh tranh</t>
        </is>
      </c>
      <c r="F16291" t="inlineStr">
        <is>
          <t>Hồ Chí Minh</t>
        </is>
      </c>
      <c r="G16291" t="inlineStr">
        <is>
          <t>07-04-2026</t>
        </is>
      </c>
      <c r="H16291" t="inlineStr">
        <is>
          <t>07/04/2026</t>
        </is>
      </c>
      <c r="I16291" t="inlineStr">
        <is>
          <t>17/03/2026</t>
        </is>
      </c>
      <c r="J16291" t="inlineStr">
        <is>
          <t>Tiếp thị / Marketing, Bán hàng / Kinh doanh, Quảng cáo / Đối ngoại / Truyền Thông</t>
        </is>
      </c>
      <c r="K16291" t="inlineStr">
        <is>
          <t>Trên 1 Năm</t>
        </is>
      </c>
      <c r="L16291" s="8">
        <f>HYPERLINK("https://careerviet.vn/vi/tim-viec-lam/nhan-vien-kinh-doanh-10-vi-tri.35BF9EBB.html","Xem chi tiết")</f>
        <v/>
      </c>
    </row>
    <row r="16292">
      <c r="B16292" s="9" t="n">
        <v>16290</v>
      </c>
      <c r="C16292" s="10" t="inlineStr">
        <is>
          <t>Kế toán tổng hợp</t>
        </is>
      </c>
      <c r="D16292" s="10" t="inlineStr">
        <is>
          <t>NANOCO GROUP</t>
        </is>
      </c>
      <c r="E16292" s="10" t="inlineStr">
        <is>
          <t>Lương:Cạnh tranh</t>
        </is>
      </c>
      <c r="F16292" s="10" t="inlineStr">
        <is>
          <t>Kiên Giang</t>
        </is>
      </c>
      <c r="G16292" s="10" t="inlineStr">
        <is>
          <t>07-04-2026</t>
        </is>
      </c>
      <c r="H16292" s="10" t="inlineStr">
        <is>
          <t>07/04/2026</t>
        </is>
      </c>
      <c r="I16292" s="10" t="inlineStr">
        <is>
          <t>17/03/2026</t>
        </is>
      </c>
      <c r="J16292" s="10" t="inlineStr">
        <is>
          <t>Kế toán / Kiểm toán</t>
        </is>
      </c>
      <c r="K16292" s="10" t="inlineStr">
        <is>
          <t>3 - 10 Năm</t>
        </is>
      </c>
      <c r="L16292" s="11">
        <f>HYPERLINK("https://careerviet.vn/vi/tim-viec-lam/ke-toan-tong-hop.35C67DF5.html","Xem chi tiết")</f>
        <v/>
      </c>
      <c r="M16292" s="10" t="n"/>
    </row>
    <row r="16293">
      <c r="B16293" s="7" t="n">
        <v>16291</v>
      </c>
      <c r="C16293" t="inlineStr">
        <is>
          <t>Security Team Lead</t>
        </is>
      </c>
      <c r="D16293" t="inlineStr">
        <is>
          <t>Beta Group</t>
        </is>
      </c>
      <c r="E16293" t="inlineStr">
        <is>
          <t>Lương:Cạnh tranh</t>
        </is>
      </c>
      <c r="F16293" t="inlineStr">
        <is>
          <t>Hà Nội</t>
        </is>
      </c>
      <c r="G16293" t="inlineStr">
        <is>
          <t>07-04-2026</t>
        </is>
      </c>
      <c r="H16293" t="inlineStr">
        <is>
          <t>07/04/2026</t>
        </is>
      </c>
      <c r="I16293" t="inlineStr">
        <is>
          <t>17/03/2026</t>
        </is>
      </c>
      <c r="J16293" t="inlineStr">
        <is>
          <t>CNTT - Phần mềm</t>
        </is>
      </c>
      <c r="K16293" t="inlineStr">
        <is>
          <t>3 - 5 Năm</t>
        </is>
      </c>
      <c r="L16293" s="8">
        <f>HYPERLINK("https://careerviet.vn/vi/tim-viec-lam/security-team-lead.35C64DF5.html","Xem chi tiết")</f>
        <v/>
      </c>
    </row>
    <row r="16294">
      <c r="B16294" s="9" t="n">
        <v>16292</v>
      </c>
      <c r="C16294" s="10" t="inlineStr">
        <is>
          <t>Nhân Viên QA</t>
        </is>
      </c>
      <c r="D16294" s="10" t="inlineStr">
        <is>
          <t>Tập Đoàn Kim Tín</t>
        </is>
      </c>
      <c r="E16294" s="10" t="inlineStr">
        <is>
          <t>Lương:Cạnh tranh</t>
        </is>
      </c>
      <c r="F16294" s="10" t="inlineStr">
        <is>
          <t>Hồ Chí MinhBình Phước</t>
        </is>
      </c>
      <c r="G16294" s="10" t="inlineStr">
        <is>
          <t>07-04-2026</t>
        </is>
      </c>
      <c r="H16294" s="10" t="inlineStr">
        <is>
          <t>07/04/2026</t>
        </is>
      </c>
      <c r="I16294" s="10" t="inlineStr">
        <is>
          <t>17/03/2026</t>
        </is>
      </c>
      <c r="J16294" s="10" t="inlineStr">
        <is>
          <t>Sản xuất / Vận hành sản xuất</t>
        </is>
      </c>
      <c r="K16294" s="10" t="inlineStr">
        <is>
          <t>Trên 1 Năm</t>
        </is>
      </c>
      <c r="L16294" s="11">
        <f>HYPERLINK("https://careerviet.vn/vi/tim-viec-lam/nhan-vien-qa.35C67E27.html","Xem chi tiết")</f>
        <v/>
      </c>
      <c r="M16294" s="10" t="n"/>
    </row>
    <row r="16295">
      <c r="B16295" s="7" t="n">
        <v>16293</v>
      </c>
      <c r="C16295" t="inlineStr">
        <is>
          <t>System Compliance Staff</t>
        </is>
      </c>
      <c r="D16295" t="inlineStr">
        <is>
          <t>MOTIVES VIETNAM CORPORATION</t>
        </is>
      </c>
      <c r="E16295" t="inlineStr">
        <is>
          <t>Lương:Cạnh tranh</t>
        </is>
      </c>
      <c r="F16295" t="inlineStr">
        <is>
          <t>Hồ Chí Minh</t>
        </is>
      </c>
      <c r="G16295" t="inlineStr">
        <is>
          <t>07-04-2026</t>
        </is>
      </c>
      <c r="H16295" t="inlineStr">
        <is>
          <t>07/04/2026</t>
        </is>
      </c>
      <c r="I16295" t="inlineStr">
        <is>
          <t>17/03/2026</t>
        </is>
      </c>
      <c r="J16295" t="inlineStr">
        <is>
          <t>Sản xuất / Vận hành sản xuất, An toàn lao động</t>
        </is>
      </c>
      <c r="K16295" t="inlineStr">
        <is>
          <t>N/A</t>
        </is>
      </c>
      <c r="L16295" s="8">
        <f>HYPERLINK("https://careerviet.vn/vi/tim-viec-lam/system-compliance-staff.35C67EA5.html","Xem chi tiết")</f>
        <v/>
      </c>
    </row>
    <row r="16296">
      <c r="B16296" s="9" t="n">
        <v>16294</v>
      </c>
      <c r="C16296" s="10" t="inlineStr">
        <is>
          <t>Giám sát xây dựng / Site Supervisor</t>
        </is>
      </c>
      <c r="D16296" s="10" t="inlineStr">
        <is>
          <t>Handong Engineering &amp; Construction JSC</t>
        </is>
      </c>
      <c r="E16296" s="10" t="inlineStr">
        <is>
          <t>Lương:20 Tr - 30 Tr VND</t>
        </is>
      </c>
      <c r="F16296" s="10" t="inlineStr">
        <is>
          <t>Hồ Chí MinhĐồng Nai</t>
        </is>
      </c>
      <c r="G16296" s="10" t="inlineStr">
        <is>
          <t>07-04-2026</t>
        </is>
      </c>
      <c r="H16296" s="10" t="inlineStr">
        <is>
          <t>07/04/2026</t>
        </is>
      </c>
      <c r="I16296" s="10" t="inlineStr">
        <is>
          <t>17/03/2026</t>
        </is>
      </c>
      <c r="J16296" s="10" t="inlineStr">
        <is>
          <t>Xây dựng</t>
        </is>
      </c>
      <c r="K16296" s="10" t="inlineStr">
        <is>
          <t>Chưa có kinh nghiệm</t>
        </is>
      </c>
      <c r="L16296" s="11">
        <f>HYPERLINK("https://careerviet.vn/vi/tim-viec-lam/giam-sat-xay-dung-site-supervisor.35C67E5C.html","Xem chi tiết")</f>
        <v/>
      </c>
      <c r="M16296" s="10" t="n"/>
    </row>
    <row r="16297">
      <c r="B16297" s="7" t="n">
        <v>16295</v>
      </c>
      <c r="C16297" t="inlineStr">
        <is>
          <t>Nhân Viên Tư Vấn Sản Phẩm tại Điện máy Chợ lớn Tân Túc - Bình Chánh</t>
        </is>
      </c>
      <c r="D16297" t="inlineStr">
        <is>
          <t>Tập Đoàn Karofi Holding</t>
        </is>
      </c>
      <c r="E16297" t="inlineStr">
        <is>
          <t>Lương:8 Tr - 15 Tr VND</t>
        </is>
      </c>
      <c r="F16297" t="inlineStr">
        <is>
          <t>Hồ Chí Minh</t>
        </is>
      </c>
      <c r="G16297" t="inlineStr">
        <is>
          <t>07-04-2026</t>
        </is>
      </c>
      <c r="H16297" t="inlineStr">
        <is>
          <t>07/04/2026</t>
        </is>
      </c>
      <c r="I16297" t="inlineStr">
        <is>
          <t>17/03/2026</t>
        </is>
      </c>
      <c r="J16297" t="inlineStr">
        <is>
          <t>Bán lẻ / Bán sỉ, Bán hàng / Kinh doanh, Dịch vụ khách hàng</t>
        </is>
      </c>
      <c r="K16297" t="inlineStr">
        <is>
          <t>Lên đến 1 Năm</t>
        </is>
      </c>
      <c r="L16297" s="8">
        <f>HYPERLINK("https://careerviet.vn/vi/tim-viec-lam/nhan-vien-tu-van-san-pham-tai-dien-may-cho-lon-tan-tuc-binh-chanh.35C64C47.html","Xem chi tiết")</f>
        <v/>
      </c>
    </row>
    <row r="16298">
      <c r="B16298" s="9" t="n">
        <v>16296</v>
      </c>
      <c r="C16298" s="10" t="inlineStr">
        <is>
          <t>Kế Toán</t>
        </is>
      </c>
      <c r="D16298" s="10" t="inlineStr">
        <is>
          <t>Công ty TNHH SOKOGROUP</t>
        </is>
      </c>
      <c r="E16298" s="10" t="inlineStr">
        <is>
          <t>Lương:Cạnh tranh</t>
        </is>
      </c>
      <c r="F16298" s="10" t="inlineStr">
        <is>
          <t>Hồ Chí Minh</t>
        </is>
      </c>
      <c r="G16298" s="10" t="inlineStr">
        <is>
          <t>07-04-2026</t>
        </is>
      </c>
      <c r="H16298" s="10" t="inlineStr">
        <is>
          <t>07/04/2026</t>
        </is>
      </c>
      <c r="I16298" s="10" t="inlineStr">
        <is>
          <t>17/03/2026</t>
        </is>
      </c>
      <c r="J16298" s="10" t="inlineStr">
        <is>
          <t>Kế toán / Kiểm toán, Luật / Pháp lý, Tài chính / Đầu tư</t>
        </is>
      </c>
      <c r="K16298" s="10" t="inlineStr">
        <is>
          <t>1 - 2 Năm</t>
        </is>
      </c>
      <c r="L16298" s="11">
        <f>HYPERLINK("https://careerviet.vn/vi/tim-viec-lam/ke-toan.35C67EB7.html","Xem chi tiết")</f>
        <v/>
      </c>
      <c r="M16298" s="10" t="n"/>
    </row>
    <row r="16299">
      <c r="B16299" s="7" t="n">
        <v>16297</v>
      </c>
      <c r="C16299" t="inlineStr">
        <is>
          <t>TUYỂN 3D VFX ARTIST</t>
        </is>
      </c>
      <c r="D16299" t="inlineStr">
        <is>
          <t>CÔNG TY TNHH CA ADVANCE VIỆT NAM</t>
        </is>
      </c>
      <c r="E16299" t="inlineStr">
        <is>
          <t>Lương:Cạnh tranh</t>
        </is>
      </c>
      <c r="F16299" t="inlineStr">
        <is>
          <t>Hồ Chí Minh</t>
        </is>
      </c>
      <c r="G16299" t="inlineStr">
        <is>
          <t>07-04-2026</t>
        </is>
      </c>
      <c r="H16299" t="inlineStr">
        <is>
          <t>07/04/2026</t>
        </is>
      </c>
      <c r="I16299" t="inlineStr">
        <is>
          <t>17/03/2026</t>
        </is>
      </c>
      <c r="J16299" t="inlineStr">
        <is>
          <t>Mỹ thuật / Nghệ thuật / Thiết kế, Ngành khác</t>
        </is>
      </c>
      <c r="K16299" t="inlineStr">
        <is>
          <t>3 - 5 Năm</t>
        </is>
      </c>
      <c r="L16299" s="8">
        <f>HYPERLINK("https://careerviet.vn/vi/tim-viec-lam/tuyen-3d-vfx-artist.35C67971.html","Xem chi tiết")</f>
        <v/>
      </c>
    </row>
    <row r="16300">
      <c r="B16300" s="9" t="n">
        <v>16298</v>
      </c>
      <c r="C16300" s="10" t="inlineStr">
        <is>
          <t>Nhân viên hành chánh tổng hợp kiêm điều giao nhận</t>
        </is>
      </c>
      <c r="D16300" s="10" t="inlineStr">
        <is>
          <t>Công ty Cổ Phần Thảo Mộc Xanh</t>
        </is>
      </c>
      <c r="E16300" s="10" t="inlineStr">
        <is>
          <t>Lương:Cạnh tranh</t>
        </is>
      </c>
      <c r="F16300" s="10" t="inlineStr">
        <is>
          <t>Hồ Chí Minh</t>
        </is>
      </c>
      <c r="G16300" s="10" t="inlineStr">
        <is>
          <t>07-04-2026</t>
        </is>
      </c>
      <c r="H16300" s="10" t="inlineStr">
        <is>
          <t>07/04/2026</t>
        </is>
      </c>
      <c r="I16300" s="10" t="inlineStr">
        <is>
          <t>17/03/2026</t>
        </is>
      </c>
      <c r="J16300" s="10" t="inlineStr">
        <is>
          <t>Hành chính / Thư ký, Quản lý điều hành, Ngành khác</t>
        </is>
      </c>
      <c r="K16300" s="10" t="inlineStr">
        <is>
          <t>Trên 2 Năm</t>
        </is>
      </c>
      <c r="L16300" s="11">
        <f>HYPERLINK("https://careerviet.vn/vi/tim-viec-lam/nhan-vien-hanh-chanh-tong-hop-kiem-dieu-giao-nhan.35C67DCA.html","Xem chi tiết")</f>
        <v/>
      </c>
      <c r="M16300" s="10" t="n"/>
    </row>
    <row r="16301">
      <c r="B16301" s="7" t="n">
        <v>16299</v>
      </c>
      <c r="C16301" t="inlineStr">
        <is>
          <t>Nhân viên kỹ thuật</t>
        </is>
      </c>
      <c r="D16301" t="inlineStr">
        <is>
          <t>TỔNG CÔNG TY CỔ PHẦN THƯƠNG MẠI XÂY DỰNG</t>
        </is>
      </c>
      <c r="E16301" t="inlineStr">
        <is>
          <t>Lương:13 Tr - 15 Tr VND</t>
        </is>
      </c>
      <c r="F16301" t="inlineStr">
        <is>
          <t>Hà Nội</t>
        </is>
      </c>
      <c r="G16301" t="inlineStr">
        <is>
          <t>07-04-2026</t>
        </is>
      </c>
      <c r="H16301" t="inlineStr">
        <is>
          <t>07/04/2026</t>
        </is>
      </c>
      <c r="I16301" t="inlineStr">
        <is>
          <t>17/03/2026</t>
        </is>
      </c>
      <c r="J16301" t="inlineStr">
        <is>
          <t>Cơ khí / Ô tô / Tự động hóa, Điện / Điện tử / Điện lạnh / Điện công nghiệp, Bảo trì / Sửa chữa</t>
        </is>
      </c>
      <c r="K16301" t="inlineStr">
        <is>
          <t>2 - 3 Năm</t>
        </is>
      </c>
      <c r="L16301" s="8">
        <f>HYPERLINK("https://careerviet.vn/vi/tim-viec-lam/nhan-vien-ky-thuat.35C67E39.html","Xem chi tiết")</f>
        <v/>
      </c>
    </row>
    <row r="16302">
      <c r="B16302" s="9" t="n">
        <v>16300</v>
      </c>
      <c r="C16302" s="10" t="inlineStr">
        <is>
          <t>[Đà Nẵng] - Chuyên viên/Chuyên viên chính/Giám đốc QHKH Doanh nghiệp</t>
        </is>
      </c>
      <c r="D16302" s="10" t="inlineStr">
        <is>
          <t>Ngân hàng TMCP Lộc Phát Việt Nam (LPBank)</t>
        </is>
      </c>
      <c r="E16302" s="10" t="inlineStr">
        <is>
          <t>Lương:Cạnh tranh</t>
        </is>
      </c>
      <c r="F16302" s="10" t="inlineStr">
        <is>
          <t>Đà Nẵng</t>
        </is>
      </c>
      <c r="G16302" s="10" t="inlineStr">
        <is>
          <t>07-04-2026</t>
        </is>
      </c>
      <c r="H16302" s="10" t="inlineStr">
        <is>
          <t>07/04/2026</t>
        </is>
      </c>
      <c r="I16302" s="10" t="inlineStr">
        <is>
          <t>17/03/2026</t>
        </is>
      </c>
      <c r="J16302" s="10" t="inlineStr">
        <is>
          <t>Bán hàng / Kinh doanh, Bất động sản, Dịch vụ khách hàng</t>
        </is>
      </c>
      <c r="K16302" s="10" t="inlineStr">
        <is>
          <t>Trên 1 Năm</t>
        </is>
      </c>
      <c r="L16302" s="11">
        <f>HYPERLINK("https://careerviet.vn/vi/tim-viec-lam/da-nang-chuyen-vien-chuyen-vien-chinh-giam-doc-qhkh-doanh-nghiep.35C67F2A.html","Xem chi tiết")</f>
        <v/>
      </c>
      <c r="M16302" s="10" t="n"/>
    </row>
    <row r="16303">
      <c r="B16303" s="7" t="n">
        <v>16301</v>
      </c>
      <c r="C16303" t="inlineStr">
        <is>
          <t>Chuyên viên chăm sóc khách hàng Logistics</t>
        </is>
      </c>
      <c r="D16303" t="inlineStr">
        <is>
          <t>S.F. EXPRESS LTD.</t>
        </is>
      </c>
      <c r="E16303" t="inlineStr">
        <is>
          <t>Lương:15 Tr - 25 Tr VND</t>
        </is>
      </c>
      <c r="F16303" t="inlineStr">
        <is>
          <t>Hà Nội</t>
        </is>
      </c>
      <c r="G16303" t="inlineStr">
        <is>
          <t>07-04-2026</t>
        </is>
      </c>
      <c r="H16303" t="inlineStr">
        <is>
          <t>07/04/2026</t>
        </is>
      </c>
      <c r="I16303" t="inlineStr">
        <is>
          <t>17/03/2026</t>
        </is>
      </c>
      <c r="J16303" t="inlineStr">
        <is>
          <t>Bán hàng / Kinh doanh, Dịch vụ khách hàng, Vận chuyển / Giao nhận / Kho vận</t>
        </is>
      </c>
      <c r="K16303" t="inlineStr">
        <is>
          <t>2 - 10 Năm</t>
        </is>
      </c>
      <c r="L16303" s="8">
        <f>HYPERLINK("https://careerviet.vn/vi/tim-viec-lam/chuyen-vien-cham-soc-khach-hang-logistics.35C67F85.html","Xem chi tiết")</f>
        <v/>
      </c>
    </row>
    <row r="16304">
      <c r="B16304" s="9" t="n">
        <v>16302</v>
      </c>
      <c r="C16304" s="10" t="inlineStr">
        <is>
          <t>[BSV]-[G1] _Nhân Viên Tư Vấn Mạng Viễn Thông Viettel-Cơ Hội Công Việc Lâu Dài</t>
        </is>
      </c>
      <c r="D16304" s="10" t="inlineStr">
        <is>
          <t>BellSystem24-Việt Nam</t>
        </is>
      </c>
      <c r="E16304" s="10" t="inlineStr">
        <is>
          <t>Lương:8 Tr - 15 Tr VND</t>
        </is>
      </c>
      <c r="F16304" s="10" t="inlineStr">
        <is>
          <t>Hồ Chí Minh</t>
        </is>
      </c>
      <c r="G16304" s="10" t="inlineStr">
        <is>
          <t>07-04-2026</t>
        </is>
      </c>
      <c r="H16304" s="10" t="inlineStr">
        <is>
          <t>07/04/2026</t>
        </is>
      </c>
      <c r="I16304" s="10" t="inlineStr">
        <is>
          <t>17/03/2026</t>
        </is>
      </c>
      <c r="J16304" s="10" t="inlineStr">
        <is>
          <t>Bưu chính viễn thông, Dịch vụ khách hàng, Tư vấn</t>
        </is>
      </c>
      <c r="K16304" s="10" t="inlineStr">
        <is>
          <t>N/A</t>
        </is>
      </c>
      <c r="L16304" s="11">
        <f>HYPERLINK("https://careerviet.vn/vi/tim-viec-lam/bsv-g1-_nhan-vien-tu-van-mang-vien-thong-viettel-co-hoi-cong-viec-lau-dai.35C64E6F.html","Xem chi tiết")</f>
        <v/>
      </c>
      <c r="M16304" s="10" t="n"/>
    </row>
    <row r="16305">
      <c r="B16305" s="7" t="n">
        <v>16303</v>
      </c>
      <c r="C16305" t="inlineStr">
        <is>
          <t>Chuyên viên đấu thầu</t>
        </is>
      </c>
      <c r="D16305" t="inlineStr">
        <is>
          <t>CÔNG TY CỔ PHẨN ỨNG DỤNG VÀ CHUYỂN GIAO CÔNG NGHỆ XÂY DỰNG (CJSC)</t>
        </is>
      </c>
      <c r="E16305" t="inlineStr">
        <is>
          <t>Lương:13 Tr - 20 Tr VND</t>
        </is>
      </c>
      <c r="F16305" t="inlineStr">
        <is>
          <t>Hà Nội</t>
        </is>
      </c>
      <c r="G16305" t="inlineStr">
        <is>
          <t>07-04-2026</t>
        </is>
      </c>
      <c r="H16305" t="inlineStr">
        <is>
          <t>07/04/2026</t>
        </is>
      </c>
      <c r="I16305" t="inlineStr">
        <is>
          <t>17/03/2026</t>
        </is>
      </c>
      <c r="J16305" t="inlineStr">
        <is>
          <t>Xây dựng</t>
        </is>
      </c>
      <c r="K16305" t="inlineStr">
        <is>
          <t>2 - 5 Năm</t>
        </is>
      </c>
      <c r="L16305" s="8">
        <f>HYPERLINK("https://careerviet.vn/vi/tim-viec-lam/chuyen-vien-dau-thau.35C67E1A.html","Xem chi tiết")</f>
        <v/>
      </c>
    </row>
    <row r="16306">
      <c r="B16306" s="9" t="n">
        <v>16304</v>
      </c>
      <c r="C16306" s="10" t="inlineStr">
        <is>
          <t>TUYỂN NHÂN VIÊN PHỤC VỤ CANTEEN- PHA CHẾ- VIỆN THẨM MỸ DR HẢI LÊ</t>
        </is>
      </c>
      <c r="D16306" s="10" t="inlineStr">
        <is>
          <t>Viện Thẩm mỹ y khoa Dr Hải Lê</t>
        </is>
      </c>
      <c r="E16306" s="10" t="inlineStr">
        <is>
          <t>Lương:8 Tr - 10 Tr VND</t>
        </is>
      </c>
      <c r="F16306" s="10" t="inlineStr">
        <is>
          <t>Hà Nội</t>
        </is>
      </c>
      <c r="G16306" s="10" t="inlineStr">
        <is>
          <t>07-04-2026</t>
        </is>
      </c>
      <c r="H16306" s="10" t="inlineStr">
        <is>
          <t>07/04/2026</t>
        </is>
      </c>
      <c r="I16306" s="10" t="inlineStr">
        <is>
          <t>17/03/2026</t>
        </is>
      </c>
      <c r="J16306" s="10" t="inlineStr">
        <is>
          <t>Y tế / Chăm sóc sức khỏe / Thẩm mỹ / Làm đẹp, Lao động phổ thông, Thực phẩm &amp; Đồ uống</t>
        </is>
      </c>
      <c r="K16306" s="10" t="inlineStr">
        <is>
          <t>1 - 3 Năm</t>
        </is>
      </c>
      <c r="L16306" s="11">
        <f>HYPERLINK("https://careerviet.vn/vi/tim-viec-lam/tuyen-nhan-vien-phuc-vu-canteen-pha-che-vien-tham-my-dr-hai-le.35C64D14.html","Xem chi tiết")</f>
        <v/>
      </c>
      <c r="M16306" s="10" t="n"/>
    </row>
    <row r="16307">
      <c r="B16307" s="7" t="n">
        <v>16305</v>
      </c>
      <c r="C16307" t="inlineStr">
        <is>
          <t>Trưởng ca Sản xuất (Làm việc tại Tây Ninh)</t>
        </is>
      </c>
      <c r="D16307" t="inlineStr">
        <is>
          <t>Công ty CP Thành Thành Công - Biên Hòa</t>
        </is>
      </c>
      <c r="E16307" t="inlineStr">
        <is>
          <t>Lương:Cạnh tranh</t>
        </is>
      </c>
      <c r="F16307" t="inlineStr">
        <is>
          <t>Tây Ninh</t>
        </is>
      </c>
      <c r="G16307" t="inlineStr">
        <is>
          <t>07-04-2026</t>
        </is>
      </c>
      <c r="H16307" t="inlineStr">
        <is>
          <t>07/04/2026</t>
        </is>
      </c>
      <c r="I16307" t="inlineStr">
        <is>
          <t>17/03/2026</t>
        </is>
      </c>
      <c r="J16307" t="inlineStr">
        <is>
          <t>Công nghệ thực phẩm / Dinh dưỡng, Công nghệ sinh học, Cơ khí / Ô tô / Tự động hóa</t>
        </is>
      </c>
      <c r="K16307" t="inlineStr">
        <is>
          <t>1 - 3 Năm</t>
        </is>
      </c>
      <c r="L16307" s="8">
        <f>HYPERLINK("https://careerviet.vn/vi/tim-viec-lam/truong-ca-san-xuat-lam-viec-tai-tay-ninh.35C67F54.html","Xem chi tiết")</f>
        <v/>
      </c>
    </row>
    <row r="16308">
      <c r="B16308" s="9" t="n">
        <v>16306</v>
      </c>
      <c r="C16308" s="10" t="inlineStr">
        <is>
          <t>Quản lý kho</t>
        </is>
      </c>
      <c r="D16308" s="10" t="inlineStr">
        <is>
          <t>Cty TNHH Vận Tải Việt Nhật</t>
        </is>
      </c>
      <c r="E16308" s="10" t="inlineStr">
        <is>
          <t>Lương:Cạnh tranh</t>
        </is>
      </c>
      <c r="F16308" s="10" t="inlineStr">
        <is>
          <t>Đồng Nai</t>
        </is>
      </c>
      <c r="G16308" s="10" t="inlineStr">
        <is>
          <t>07-04-2026</t>
        </is>
      </c>
      <c r="H16308" s="10" t="inlineStr">
        <is>
          <t>07/04/2026</t>
        </is>
      </c>
      <c r="I16308" s="10" t="inlineStr">
        <is>
          <t>17/03/2026</t>
        </is>
      </c>
      <c r="J16308" s="10" t="inlineStr">
        <is>
          <t>Vận chuyển / Giao nhận / Kho vận</t>
        </is>
      </c>
      <c r="K16308" s="10" t="inlineStr">
        <is>
          <t>2 - 4 Năm</t>
        </is>
      </c>
      <c r="L16308" s="11">
        <f>HYPERLINK("https://careerviet.vn/vi/tim-viec-lam/quan-ly-kho.35C67DD0.html","Xem chi tiết")</f>
        <v/>
      </c>
      <c r="M16308" s="10" t="n"/>
    </row>
    <row r="16309">
      <c r="B16309" s="7" t="n">
        <v>16307</v>
      </c>
      <c r="C16309" t="inlineStr">
        <is>
          <t>Trưởng phòng Kinh doanh HVAC - Miền Trung (Đà Nẵng &amp; các tỉnh lân cận)</t>
        </is>
      </c>
      <c r="D16309" t="inlineStr">
        <is>
          <t>Công ty TNHH Thương mại Kỹ thuật Sen Việt</t>
        </is>
      </c>
      <c r="E16309" t="inlineStr">
        <is>
          <t>Lương:25 Tr - 80 Tr VND</t>
        </is>
      </c>
      <c r="F16309" t="inlineStr">
        <is>
          <t>Đà Nẵng</t>
        </is>
      </c>
      <c r="G16309" t="inlineStr">
        <is>
          <t>07-04-2026</t>
        </is>
      </c>
      <c r="H16309" t="inlineStr">
        <is>
          <t>07/04/2026</t>
        </is>
      </c>
      <c r="I16309" t="inlineStr">
        <is>
          <t>17/03/2026</t>
        </is>
      </c>
      <c r="J16309" t="inlineStr">
        <is>
          <t>Điện / Điện tử / Điện lạnh / Điện công nghiệp</t>
        </is>
      </c>
      <c r="K16309" t="inlineStr">
        <is>
          <t>5 - 10 Năm</t>
        </is>
      </c>
      <c r="L16309" s="8">
        <f>HYPERLINK("https://careerviet.vn/vi/tim-viec-lam/truong-phong-kinh-doanh-hvac-mien-trung-da-nang-cac-tinh-lan-can.35C67EEC.html","Xem chi tiết")</f>
        <v/>
      </c>
    </row>
    <row r="16310">
      <c r="B16310" s="9" t="n">
        <v>16308</v>
      </c>
      <c r="C16310" s="10" t="inlineStr">
        <is>
          <t>Điều Dưỡng / KTV Xét Nghiệm / Hộ Sinh / Y Sĩ Lấy Máu Tại Chi Nhánh (Dĩ An, Bình Dương)</t>
        </is>
      </c>
      <c r="D16310" s="10" t="inlineStr">
        <is>
          <t>DIAG</t>
        </is>
      </c>
      <c r="E16310" s="10" t="inlineStr">
        <is>
          <t>Lương:10 Tr - 13 Tr VND</t>
        </is>
      </c>
      <c r="F16310" s="10" t="inlineStr">
        <is>
          <t>Bình Dương</t>
        </is>
      </c>
      <c r="G16310" s="10" t="inlineStr">
        <is>
          <t>07-04-2026</t>
        </is>
      </c>
      <c r="H16310" s="10" t="inlineStr">
        <is>
          <t>07/04/2026</t>
        </is>
      </c>
      <c r="I16310" s="10" t="inlineStr">
        <is>
          <t>17/03/2026</t>
        </is>
      </c>
      <c r="J16310" s="10" t="inlineStr">
        <is>
          <t>Dược phẩm/ Hóa Mỹ Phẩm, Y tế / Chăm sóc sức khỏe / Thẩm mỹ / Làm đẹp, Dịch vụ khách hàng</t>
        </is>
      </c>
      <c r="K16310" s="10" t="inlineStr">
        <is>
          <t>Lên đến 1 Năm</t>
        </is>
      </c>
      <c r="L16310" s="11">
        <f>HYPERLINK("https://careerviet.vn/vi/tim-viec-lam/dieu-duong-ktv-xet-nghiem-ho-sinh-y-si-lay-mau-tai-chi-nhanh-di-an-binh-duong.35C65421.html","Xem chi tiết")</f>
        <v/>
      </c>
      <c r="M16310" s="10" t="n"/>
    </row>
    <row r="16311">
      <c r="B16311" s="7" t="n">
        <v>16309</v>
      </c>
      <c r="C16311" t="inlineStr">
        <is>
          <t>Giám Sát Bán Hàng Kênh MT Tại Hà Nội</t>
        </is>
      </c>
      <c r="D16311" t="inlineStr">
        <is>
          <t>Công ty TNHH Chế biến thực phẩm Đông Đô</t>
        </is>
      </c>
      <c r="E16311" t="inlineStr">
        <is>
          <t>Lương:18 Tr - 24 Tr VND</t>
        </is>
      </c>
      <c r="F16311" t="inlineStr">
        <is>
          <t>Hà Nội</t>
        </is>
      </c>
      <c r="G16311" t="inlineStr">
        <is>
          <t>07-04-2026</t>
        </is>
      </c>
      <c r="H16311" t="inlineStr">
        <is>
          <t>07/04/2026</t>
        </is>
      </c>
      <c r="I16311" t="inlineStr">
        <is>
          <t>17/03/2026</t>
        </is>
      </c>
      <c r="J16311" t="inlineStr">
        <is>
          <t>Bán hàng / Kinh doanh, Quản lý điều hành, Thực phẩm &amp; Đồ uống</t>
        </is>
      </c>
      <c r="K16311" t="inlineStr">
        <is>
          <t>2 - 3 Năm</t>
        </is>
      </c>
      <c r="L16311" s="8">
        <f>HYPERLINK("https://careerviet.vn/vi/tim-viec-lam/giam-sat-ban-hang-kenh-mt-tai-ha-noi.35C67EF1.html","Xem chi tiết")</f>
        <v/>
      </c>
    </row>
    <row r="16312">
      <c r="B16312" s="9" t="n">
        <v>16310</v>
      </c>
      <c r="C16312" s="10" t="inlineStr">
        <is>
          <t>Trợ lý giám đốc sản xuất</t>
        </is>
      </c>
      <c r="D16312" s="10" t="inlineStr">
        <is>
          <t>Bảo mật</t>
        </is>
      </c>
      <c r="E16312" s="10" t="inlineStr">
        <is>
          <t>Lương:Cạnh tranh</t>
        </is>
      </c>
      <c r="F16312" s="10" t="inlineStr">
        <is>
          <t>Hồ Chí Minh</t>
        </is>
      </c>
      <c r="G16312" s="10" t="inlineStr">
        <is>
          <t>07-04-2026</t>
        </is>
      </c>
      <c r="H16312" s="10" t="inlineStr">
        <is>
          <t>07/04/2026</t>
        </is>
      </c>
      <c r="I16312" s="10" t="inlineStr">
        <is>
          <t>17/03/2026</t>
        </is>
      </c>
      <c r="J16312" s="10" t="inlineStr">
        <is>
          <t>Mỹ thuật / Nghệ thuật / Thiết kế, Sản xuất / Vận hành sản xuất</t>
        </is>
      </c>
      <c r="K16312" s="10" t="inlineStr">
        <is>
          <t>Trên 3 Năm</t>
        </is>
      </c>
      <c r="L16312" s="11">
        <f>HYPERLINK("https://careerviet.vn/vi/tim-viec-lam/tro-ly-giam-doc-san-xuat.35C67EBC.html","Xem chi tiết")</f>
        <v/>
      </c>
      <c r="M16312" s="10" t="n"/>
    </row>
    <row r="16313">
      <c r="B16313" s="7" t="n">
        <v>16311</v>
      </c>
      <c r="C16313" t="inlineStr">
        <is>
          <t>Trưởng Phòng Kế Toán</t>
        </is>
      </c>
      <c r="D16313" t="inlineStr">
        <is>
          <t>DAI HOANG KIM GROUP</t>
        </is>
      </c>
      <c r="E16313" t="inlineStr">
        <is>
          <t>Lương:Cạnh tranh</t>
        </is>
      </c>
      <c r="F16313" t="inlineStr">
        <is>
          <t>Bình Phước</t>
        </is>
      </c>
      <c r="G16313" t="inlineStr">
        <is>
          <t>07-04-2026</t>
        </is>
      </c>
      <c r="H16313" t="inlineStr">
        <is>
          <t>07/04/2026</t>
        </is>
      </c>
      <c r="I16313" t="inlineStr">
        <is>
          <t>17/03/2026</t>
        </is>
      </c>
      <c r="J16313" t="inlineStr">
        <is>
          <t>Quản lý điều hành, Kế toán / Kiểm toán, Tài chính / Đầu tư</t>
        </is>
      </c>
      <c r="K16313" t="inlineStr">
        <is>
          <t>Trên 5 Năm</t>
        </is>
      </c>
      <c r="L16313" s="8">
        <f>HYPERLINK("https://careerviet.vn/vi/tim-viec-lam/truong-phong-ke-toan.35C64CE6.html","Xem chi tiết")</f>
        <v/>
      </c>
    </row>
    <row r="16314">
      <c r="B16314" s="9" t="n">
        <v>16312</v>
      </c>
      <c r="C16314" s="10" t="inlineStr">
        <is>
          <t>Nhân Viên Tiếp Thị - Kênh MT</t>
        </is>
      </c>
      <c r="D16314" s="10" t="inlineStr">
        <is>
          <t>Công Ty Cổ Phần Goody Group</t>
        </is>
      </c>
      <c r="E16314" s="10" t="inlineStr">
        <is>
          <t>Lương:Cạnh tranh</t>
        </is>
      </c>
      <c r="F16314" s="10" t="inlineStr">
        <is>
          <t>Hồ Chí Minh</t>
        </is>
      </c>
      <c r="G16314" s="10" t="inlineStr">
        <is>
          <t>07-04-2026</t>
        </is>
      </c>
      <c r="H16314" s="10" t="inlineStr">
        <is>
          <t>07/04/2026</t>
        </is>
      </c>
      <c r="I16314" s="10" t="inlineStr">
        <is>
          <t>17/03/2026</t>
        </is>
      </c>
      <c r="J16314" s="10" t="inlineStr">
        <is>
          <t>Tiếp thị / Marketing, Tư vấn, Thực phẩm &amp; Đồ uống</t>
        </is>
      </c>
      <c r="K16314" s="10" t="inlineStr">
        <is>
          <t>1 - 2 Năm</t>
        </is>
      </c>
      <c r="L16314" s="11">
        <f>HYPERLINK("https://careerviet.vn/vi/tim-viec-lam/nhan-vien-tiep-thi-kenh-mt.35C64CAF.html","Xem chi tiết")</f>
        <v/>
      </c>
      <c r="M16314" s="10" t="n"/>
    </row>
    <row r="16315">
      <c r="B16315" s="7" t="n">
        <v>16313</v>
      </c>
      <c r="C16315" t="inlineStr">
        <is>
          <t>Kỹ sư QS Văn phòng</t>
        </is>
      </c>
      <c r="D16315" t="inlineStr">
        <is>
          <t>CÔNG TY CỔ PHẦN ĐẦU TƯ XÂY DỰNG HÀ TIÊN</t>
        </is>
      </c>
      <c r="E16315" t="inlineStr">
        <is>
          <t>Lương:15 Tr - 18 Tr VND</t>
        </is>
      </c>
      <c r="F16315" t="inlineStr">
        <is>
          <t>Hồ Chí Minh</t>
        </is>
      </c>
      <c r="G16315" t="inlineStr">
        <is>
          <t>07-04-2026</t>
        </is>
      </c>
      <c r="H16315" t="inlineStr">
        <is>
          <t>07/04/2026</t>
        </is>
      </c>
      <c r="I16315" t="inlineStr">
        <is>
          <t>17/03/2026</t>
        </is>
      </c>
      <c r="J16315" t="inlineStr">
        <is>
          <t>Quản lý chất lượng (QA/QC), Xây dựng, Bất động sản</t>
        </is>
      </c>
      <c r="K16315" t="inlineStr">
        <is>
          <t>1 - 3 Năm</t>
        </is>
      </c>
      <c r="L16315" s="8">
        <f>HYPERLINK("https://careerviet.vn/vi/tim-viec-lam/ky-su-qs-van-phong.35C64C50.html","Xem chi tiết")</f>
        <v/>
      </c>
    </row>
    <row r="16316">
      <c r="B16316" s="9" t="n">
        <v>16314</v>
      </c>
      <c r="C16316" s="10" t="inlineStr">
        <is>
          <t>Nhân viên chất lượng</t>
        </is>
      </c>
      <c r="D16316" s="10" t="inlineStr">
        <is>
          <t>CÔNG TY TNHH MGENTECH</t>
        </is>
      </c>
      <c r="E16316" s="10" t="inlineStr">
        <is>
          <t>Lương:8 Tr - 16 Tr VND</t>
        </is>
      </c>
      <c r="F16316" s="10" t="inlineStr">
        <is>
          <t>Long An</t>
        </is>
      </c>
      <c r="G16316" s="10" t="inlineStr">
        <is>
          <t>07-04-2026</t>
        </is>
      </c>
      <c r="H16316" s="10" t="inlineStr">
        <is>
          <t>07/04/2026</t>
        </is>
      </c>
      <c r="I16316" s="10" t="inlineStr">
        <is>
          <t>17/03/2026</t>
        </is>
      </c>
      <c r="J16316" s="10" t="inlineStr">
        <is>
          <t>Sản xuất / Vận hành sản xuất</t>
        </is>
      </c>
      <c r="K16316" s="10" t="inlineStr">
        <is>
          <t>1 - 2 Năm</t>
        </is>
      </c>
      <c r="L16316" s="11">
        <f>HYPERLINK("https://careerviet.vn/vi/tim-viec-lam/nhan-vien-chat-luong.35C67DE7.html","Xem chi tiết")</f>
        <v/>
      </c>
      <c r="M16316" s="10" t="n"/>
    </row>
    <row r="16317">
      <c r="B16317" s="7" t="n">
        <v>16315</v>
      </c>
      <c r="C16317" t="inlineStr">
        <is>
          <t>Supply Chain Coordinator</t>
        </is>
      </c>
      <c r="D16317" t="inlineStr">
        <is>
          <t>Summit Polymers Vietnam Co Ltd.</t>
        </is>
      </c>
      <c r="E16317" t="inlineStr">
        <is>
          <t>Lương:Cạnh tranh</t>
        </is>
      </c>
      <c r="F16317" t="inlineStr">
        <is>
          <t>Hồ Chí Minh</t>
        </is>
      </c>
      <c r="G16317" t="inlineStr">
        <is>
          <t>07-04-2026</t>
        </is>
      </c>
      <c r="H16317" t="inlineStr">
        <is>
          <t>07/04/2026</t>
        </is>
      </c>
      <c r="I16317" t="inlineStr">
        <is>
          <t>17/03/2026</t>
        </is>
      </c>
      <c r="J16317" t="inlineStr">
        <is>
          <t>Sản xuất / Vận hành sản xuất, Dịch vụ khách hàng</t>
        </is>
      </c>
      <c r="K16317" t="inlineStr">
        <is>
          <t>1 - 3 Năm</t>
        </is>
      </c>
      <c r="L16317" s="8">
        <f>HYPERLINK("https://careerviet.vn/vi/tim-viec-lam/supply-chain-coordinator.35C67361.html","Xem chi tiết")</f>
        <v/>
      </c>
    </row>
    <row r="16318">
      <c r="B16318" s="9" t="n">
        <v>16316</v>
      </c>
      <c r="C16318" s="10" t="inlineStr">
        <is>
          <t>Chuyên viên Vận hành Nghiệp vụ Chứng khoán (Junior/Senior)</t>
        </is>
      </c>
      <c r="D16318" s="10" t="inlineStr">
        <is>
          <t>CÔNG TY CỔ PHẦN CHỨNG KHOÁN HD</t>
        </is>
      </c>
      <c r="E16318" s="10" t="inlineStr">
        <is>
          <t>Lương:Cạnh tranh</t>
        </is>
      </c>
      <c r="F16318" s="10" t="inlineStr">
        <is>
          <t>Hồ Chí Minh</t>
        </is>
      </c>
      <c r="G16318" s="10" t="inlineStr">
        <is>
          <t>07-04-2026</t>
        </is>
      </c>
      <c r="H16318" s="10" t="inlineStr">
        <is>
          <t>07/04/2026</t>
        </is>
      </c>
      <c r="I16318" s="10" t="inlineStr">
        <is>
          <t>17/03/2026</t>
        </is>
      </c>
      <c r="J16318" s="10" t="inlineStr">
        <is>
          <t>Chứng khoán, Dịch vụ khách hàng, Tài chính / Đầu tư</t>
        </is>
      </c>
      <c r="K16318" s="10" t="inlineStr">
        <is>
          <t>2 - 5 Năm</t>
        </is>
      </c>
      <c r="L16318" s="11">
        <f>HYPERLINK("https://careerviet.vn/vi/tim-viec-lam/chuyen-vien-van-hanh-nghiep-vu-chung-khoan-junior-senior.35C64E4A.html","Xem chi tiết")</f>
        <v/>
      </c>
      <c r="M16318" s="10" t="n"/>
    </row>
    <row r="16319">
      <c r="B16319" s="7" t="n">
        <v>16317</v>
      </c>
      <c r="C16319" t="inlineStr">
        <is>
          <t>Cần Tuyển Chuyên viên Pháp chế Viện Thẩm Mỹ Y Khoa Dr.Hải Lê (lĩnh vực Y tế, bệnh viện) – Khuất Duy Tiến, Thanh Xuân, Hà Nội.</t>
        </is>
      </c>
      <c r="D16319" t="inlineStr">
        <is>
          <t>Viện Thẩm mỹ y khoa Dr Hải Lê</t>
        </is>
      </c>
      <c r="E16319" t="inlineStr">
        <is>
          <t>Lương:15 Tr - 25 Tr VND</t>
        </is>
      </c>
      <c r="F16319" t="inlineStr">
        <is>
          <t>Hà Nội</t>
        </is>
      </c>
      <c r="G16319" t="inlineStr">
        <is>
          <t>07-04-2026</t>
        </is>
      </c>
      <c r="H16319" t="inlineStr">
        <is>
          <t>07/04/2026</t>
        </is>
      </c>
      <c r="I16319" t="inlineStr">
        <is>
          <t>17/03/2026</t>
        </is>
      </c>
      <c r="J16319" t="inlineStr">
        <is>
          <t>Luật / Pháp lý, Hành chính / Thư ký, Nhân sự</t>
        </is>
      </c>
      <c r="K16319" t="inlineStr">
        <is>
          <t>Chưa có kinh nghiệm</t>
        </is>
      </c>
      <c r="L16319" s="8">
        <f>HYPERLINK("https://careerviet.vn/vi/tim-viec-lam/can-tuyen-chuyen-vien-phap-che-vien-tham-my-y-khoa-dr-hai-le-linh-vuc-y-te-benh-vien-khuat-duy-tien-thanh-xuan-ha-noi.35C67EEB.html","Xem chi tiết")</f>
        <v/>
      </c>
    </row>
    <row r="16320">
      <c r="B16320" s="9" t="n">
        <v>16318</v>
      </c>
      <c r="C16320" s="10" t="inlineStr">
        <is>
          <t>Nhân viên Tập sự Khách hàng Cá nhân</t>
        </is>
      </c>
      <c r="D16320" s="10" t="inlineStr">
        <is>
          <t>Ngân Hàng TMCP Tiên Phong (TPBank)</t>
        </is>
      </c>
      <c r="E16320" s="10" t="inlineStr">
        <is>
          <t>Lương:Cạnh tranh</t>
        </is>
      </c>
      <c r="F16320" s="10" t="inlineStr">
        <is>
          <t>Hồ Chí MinhBình PhướcBình Dương</t>
        </is>
      </c>
      <c r="G16320" s="10" t="inlineStr">
        <is>
          <t>07-04-2026</t>
        </is>
      </c>
      <c r="H16320" s="10" t="inlineStr">
        <is>
          <t>07/04/2026</t>
        </is>
      </c>
      <c r="I16320" s="10" t="inlineStr">
        <is>
          <t>17/03/2026</t>
        </is>
      </c>
      <c r="J16320" s="10" t="inlineStr">
        <is>
          <t>Bán hàng / Kinh doanh, Ngân hàng, Tài chính / Đầu tư</t>
        </is>
      </c>
      <c r="K16320" s="10" t="inlineStr">
        <is>
          <t>N/A</t>
        </is>
      </c>
      <c r="L16320" s="11">
        <f>HYPERLINK("https://careerviet.vn/vi/tim-viec-lam/nhan-vien-tap-su-khach-hang-ca-nhan.35C64CC5.html","Xem chi tiết")</f>
        <v/>
      </c>
      <c r="M16320" s="10" t="n"/>
    </row>
    <row r="16321">
      <c r="B16321" s="7" t="n">
        <v>16319</v>
      </c>
      <c r="C16321" t="inlineStr">
        <is>
          <t>Head Of Export Sales ( Giám đốc kinh doanh xuất khẩu)- Upto 60tr</t>
        </is>
      </c>
      <c r="D16321" t="inlineStr">
        <is>
          <t>CÔNG TY CỔ PHẦN ĐIỆN TỬ  SOJI</t>
        </is>
      </c>
      <c r="E16321" t="inlineStr">
        <is>
          <t>Lương:30 Tr - 60 Tr VND</t>
        </is>
      </c>
      <c r="F16321" t="inlineStr">
        <is>
          <t>Hà Nội</t>
        </is>
      </c>
      <c r="G16321" t="inlineStr">
        <is>
          <t>07-04-2026</t>
        </is>
      </c>
      <c r="H16321" t="inlineStr">
        <is>
          <t>07/04/2026</t>
        </is>
      </c>
      <c r="I16321" t="inlineStr">
        <is>
          <t>17/03/2026</t>
        </is>
      </c>
      <c r="J16321" t="inlineStr">
        <is>
          <t>Bán hàng / Kinh doanh, Quản lý điều hành, Xuất nhập khẩu</t>
        </is>
      </c>
      <c r="K16321" t="inlineStr">
        <is>
          <t>Trên 3 Năm</t>
        </is>
      </c>
      <c r="L16321" s="8">
        <f>HYPERLINK("https://careerviet.vn/vi/tim-viec-lam/head-of-export-sales-giam-doc-kinh-doanh-xuat-khau-upto-60tr.35C67DE2.html","Xem chi tiết")</f>
        <v/>
      </c>
    </row>
    <row r="16322">
      <c r="B16322" s="9" t="n">
        <v>16320</v>
      </c>
      <c r="C16322" s="10" t="inlineStr">
        <is>
          <t>Tuyển Gấp 2 Nhân Viên QC</t>
        </is>
      </c>
      <c r="D16322" s="10" t="inlineStr">
        <is>
          <t>Công ty Cổ Phần Thảo Mộc Xanh</t>
        </is>
      </c>
      <c r="E16322" s="10" t="inlineStr">
        <is>
          <t>Lương:Cạnh tranh</t>
        </is>
      </c>
      <c r="F16322" s="10" t="inlineStr">
        <is>
          <t>Long An</t>
        </is>
      </c>
      <c r="G16322" s="10" t="inlineStr">
        <is>
          <t>07-04-2026</t>
        </is>
      </c>
      <c r="H16322" s="10" t="inlineStr">
        <is>
          <t>07/04/2026</t>
        </is>
      </c>
      <c r="I16322" s="10" t="inlineStr">
        <is>
          <t>17/03/2026</t>
        </is>
      </c>
      <c r="J16322" s="10" t="inlineStr">
        <is>
          <t>Quản lý chất lượng (QA/QC), In ấn / Xuất bản, Ngành khác</t>
        </is>
      </c>
      <c r="K16322" s="10" t="inlineStr">
        <is>
          <t>Trên 2 Năm</t>
        </is>
      </c>
      <c r="L16322" s="11">
        <f>HYPERLINK("https://careerviet.vn/vi/tim-viec-lam/tuyen-gap-2-nhan-vien-qc.35BDB3B4.html","Xem chi tiết")</f>
        <v/>
      </c>
      <c r="M16322" s="10" t="n"/>
    </row>
    <row r="16323">
      <c r="B16323" s="7" t="n">
        <v>16321</v>
      </c>
      <c r="C16323" t="inlineStr">
        <is>
          <t>Kỹ sư Cơ điện ( Phòng Quản lý Thiết kế)</t>
        </is>
      </c>
      <c r="D16323" t="inlineStr">
        <is>
          <t>CÔNG TY CỔ PHẦN EUROWINDOW HOLDING</t>
        </is>
      </c>
      <c r="E16323" t="inlineStr">
        <is>
          <t>Lương:Cạnh tranh</t>
        </is>
      </c>
      <c r="F16323" t="inlineStr">
        <is>
          <t>Hà Nội</t>
        </is>
      </c>
      <c r="G16323" t="inlineStr">
        <is>
          <t>07-04-2026</t>
        </is>
      </c>
      <c r="H16323" t="inlineStr">
        <is>
          <t>07/04/2026</t>
        </is>
      </c>
      <c r="I16323" t="inlineStr">
        <is>
          <t>17/03/2026</t>
        </is>
      </c>
      <c r="J16323" t="inlineStr">
        <is>
          <t>Điện / Điện tử / Điện lạnh / Điện công nghiệp, Kiến trúc, Xây dựng</t>
        </is>
      </c>
      <c r="K16323" t="inlineStr">
        <is>
          <t>5 - 10 Năm</t>
        </is>
      </c>
      <c r="L16323" s="8">
        <f>HYPERLINK("https://careerviet.vn/vi/tim-viec-lam/ky-su-co-dien-phong-quan-ly-thiet-ke.35C67E09.html","Xem chi tiết")</f>
        <v/>
      </c>
    </row>
    <row r="16324">
      <c r="B16324" s="9" t="n">
        <v>16322</v>
      </c>
      <c r="C16324" s="10" t="inlineStr">
        <is>
          <t>[Kiên Giang ] Nhân viên bán hàng kênh GT</t>
        </is>
      </c>
      <c r="D16324" s="10" t="inlineStr">
        <is>
          <t>CÔNG TY TNHH DAESANG VIỆT NAM</t>
        </is>
      </c>
      <c r="E16324" s="10" t="inlineStr">
        <is>
          <t>Lương:9 Tr - 12 Tr VND</t>
        </is>
      </c>
      <c r="F16324" s="10" t="inlineStr">
        <is>
          <t>Kiên Giang</t>
        </is>
      </c>
      <c r="G16324" s="10" t="inlineStr">
        <is>
          <t>07-04-2026</t>
        </is>
      </c>
      <c r="H16324" s="10" t="inlineStr">
        <is>
          <t>07/04/2026</t>
        </is>
      </c>
      <c r="I16324" s="10" t="inlineStr">
        <is>
          <t>17/03/2026</t>
        </is>
      </c>
      <c r="J16324" s="10" t="inlineStr">
        <is>
          <t>Tiếp thị / Marketing, Bán hàng / Kinh doanh, Tiếp thị trực tuyến</t>
        </is>
      </c>
      <c r="K16324" s="10" t="inlineStr">
        <is>
          <t>N/A</t>
        </is>
      </c>
      <c r="L16324" s="11">
        <f>HYPERLINK("https://careerviet.vn/vi/tim-viec-lam/kien-giang-nhan-vien-ban-hang-kenh-gt.35C67F36.html","Xem chi tiết")</f>
        <v/>
      </c>
      <c r="M16324" s="10" t="n"/>
    </row>
    <row r="16325">
      <c r="B16325" s="7" t="n">
        <v>16323</v>
      </c>
      <c r="C16325" t="inlineStr">
        <is>
          <t>Trưởng Phòng Sale &amp; Marketing</t>
        </is>
      </c>
      <c r="D16325" t="inlineStr">
        <is>
          <t>Công ty TNHH SOKOGROUP</t>
        </is>
      </c>
      <c r="E16325" t="inlineStr">
        <is>
          <t>Lương:20 Tr - 30 Tr VND</t>
        </is>
      </c>
      <c r="F16325" t="inlineStr">
        <is>
          <t>Hồ Chí Minh</t>
        </is>
      </c>
      <c r="G16325" t="inlineStr">
        <is>
          <t>07-04-2026</t>
        </is>
      </c>
      <c r="H16325" t="inlineStr">
        <is>
          <t>07/04/2026</t>
        </is>
      </c>
      <c r="I16325" t="inlineStr">
        <is>
          <t>17/03/2026</t>
        </is>
      </c>
      <c r="J16325" t="inlineStr">
        <is>
          <t>Tiếp thị / Marketing, Quản lý điều hành, Bán hàng / Kinh doanh</t>
        </is>
      </c>
      <c r="K16325" t="inlineStr">
        <is>
          <t>Trên 3 Năm</t>
        </is>
      </c>
      <c r="L16325" s="8">
        <f>HYPERLINK("https://careerviet.vn/vi/tim-viec-lam/truong-phong-sale-marketing.35C67EBF.html","Xem chi tiết")</f>
        <v/>
      </c>
    </row>
    <row r="16326">
      <c r="B16326" s="9" t="n">
        <v>16324</v>
      </c>
      <c r="C16326" s="10" t="inlineStr">
        <is>
          <t>Quality Assurance Supervisor</t>
        </is>
      </c>
      <c r="D16326" s="10" t="inlineStr">
        <is>
          <t>Công ty TNHH framas Korea Vina</t>
        </is>
      </c>
      <c r="E16326" s="10" t="inlineStr">
        <is>
          <t>Lương:Cạnh tranh</t>
        </is>
      </c>
      <c r="F16326" s="10" t="inlineStr">
        <is>
          <t>Đồng Nai</t>
        </is>
      </c>
      <c r="G16326" s="10" t="inlineStr">
        <is>
          <t>07-04-2026</t>
        </is>
      </c>
      <c r="H16326" s="10" t="inlineStr">
        <is>
          <t>07/04/2026</t>
        </is>
      </c>
      <c r="I16326" s="10" t="inlineStr">
        <is>
          <t>17/03/2026</t>
        </is>
      </c>
      <c r="J16326" s="10" t="inlineStr">
        <is>
          <t>Sản xuất / Vận hành sản xuất, Dệt may / Da giày / Thời trang, Quản lý chất lượng (QA/QC)</t>
        </is>
      </c>
      <c r="K16326" s="10" t="inlineStr">
        <is>
          <t>3 - 5 Năm</t>
        </is>
      </c>
      <c r="L16326" s="11">
        <f>HYPERLINK("https://careerviet.vn/vi/tim-viec-lam/quality-assurance-supervisor.35C64DF9.html","Xem chi tiết")</f>
        <v/>
      </c>
      <c r="M16326" s="10" t="n"/>
    </row>
    <row r="16327">
      <c r="B16327" s="7" t="n">
        <v>16325</v>
      </c>
      <c r="C16327" t="inlineStr">
        <is>
          <t>Nhân Viên Kinh Doanh Xe Nâng (Sales Executive)</t>
        </is>
      </c>
      <c r="D16327" t="inlineStr">
        <is>
          <t>CÔNG TY TNHH  ROTOMATIK VN</t>
        </is>
      </c>
      <c r="E16327" t="inlineStr">
        <is>
          <t>Lương:Cạnh tranh</t>
        </is>
      </c>
      <c r="F16327" t="inlineStr">
        <is>
          <t>Đà NẵngHồ Chí Minh</t>
        </is>
      </c>
      <c r="G16327" t="inlineStr">
        <is>
          <t>07-04-2026</t>
        </is>
      </c>
      <c r="H16327" t="inlineStr">
        <is>
          <t>07/04/2026</t>
        </is>
      </c>
      <c r="I16327" t="inlineStr">
        <is>
          <t>17/03/2026</t>
        </is>
      </c>
      <c r="J16327" t="inlineStr">
        <is>
          <t>Bán hàng / Kinh doanh, Cơ khí / Ô tô / Tự động hóa, Bảo trì / Sửa chữa</t>
        </is>
      </c>
      <c r="K16327" t="inlineStr">
        <is>
          <t>Trên 2 Năm</t>
        </is>
      </c>
      <c r="L16327" s="8">
        <f>HYPERLINK("https://careerviet.vn/vi/tim-viec-lam/nhan-vien-kinh-doanh-xe-nang-sales-executive.35C64E0C.html","Xem chi tiết")</f>
        <v/>
      </c>
    </row>
    <row r="16328">
      <c r="B16328" s="9" t="n">
        <v>16326</v>
      </c>
      <c r="C16328" s="10" t="inlineStr">
        <is>
          <t>Chuyên Viên Tư Vấn Khách Hàng (CSO Next Gen)</t>
        </is>
      </c>
      <c r="D16328" s="10" t="inlineStr">
        <is>
          <t>Công Ty CP Chứng Khoán VNDIRECT</t>
        </is>
      </c>
      <c r="E16328" s="10" t="inlineStr">
        <is>
          <t>Lương:Cạnh tranh</t>
        </is>
      </c>
      <c r="F16328" s="10" t="inlineStr">
        <is>
          <t>Hà NộiHồ Chí MinhThanh Hóa</t>
        </is>
      </c>
      <c r="G16328" s="10" t="inlineStr">
        <is>
          <t>07-04-2026</t>
        </is>
      </c>
      <c r="H16328" s="10" t="inlineStr">
        <is>
          <t>07/04/2026</t>
        </is>
      </c>
      <c r="I16328" s="10" t="inlineStr">
        <is>
          <t>17/03/2026</t>
        </is>
      </c>
      <c r="J16328" s="10" t="inlineStr">
        <is>
          <t>Bảo hiểm, Dịch vụ khách hàng, Quảng cáo / Đối ngoại / Truyền Thông</t>
        </is>
      </c>
      <c r="K16328" s="10" t="inlineStr">
        <is>
          <t>1 - 2 Năm</t>
        </is>
      </c>
      <c r="L16328" s="11">
        <f>HYPERLINK("https://careerviet.vn/vi/tim-viec-lam/chuyen-vien-tu-van-khach-hang-cso-next-gen.35C67E95.html","Xem chi tiết")</f>
        <v/>
      </c>
      <c r="M16328" s="10" t="n"/>
    </row>
    <row r="16329">
      <c r="B16329" s="7" t="n">
        <v>16327</v>
      </c>
      <c r="C16329" t="inlineStr">
        <is>
          <t>QUẢN ĐỐC TINH CHẾ HÀNG TRẮNG (SẢN XUẤT ĐỒ GỖ NỘI THẤT)</t>
        </is>
      </c>
      <c r="D16329" t="inlineStr">
        <is>
          <t>Công Ty TNHH Xây Dựng và Nội Thất Cao Cấp Alliance</t>
        </is>
      </c>
      <c r="E16329" t="inlineStr">
        <is>
          <t>Lương:Cạnh tranh</t>
        </is>
      </c>
      <c r="F16329" t="inlineStr">
        <is>
          <t>Long An</t>
        </is>
      </c>
      <c r="G16329" t="inlineStr">
        <is>
          <t>07-04-2026</t>
        </is>
      </c>
      <c r="H16329" t="inlineStr">
        <is>
          <t>07/04/2026</t>
        </is>
      </c>
      <c r="I16329" t="inlineStr">
        <is>
          <t>17/03/2026</t>
        </is>
      </c>
      <c r="J16329" t="inlineStr">
        <is>
          <t>Quản lý điều hành, Sản xuất / Vận hành sản xuất, Nội ngoại thất</t>
        </is>
      </c>
      <c r="K16329" t="inlineStr">
        <is>
          <t>Trên 5 Năm</t>
        </is>
      </c>
      <c r="L16329" s="8">
        <f>HYPERLINK("https://careerviet.vn/vi/tim-viec-lam/quan-doc-tinh-che-hang-trang-san-xuat-do-go-noi-that.35C67F17.html","Xem chi tiết")</f>
        <v/>
      </c>
    </row>
    <row r="16330">
      <c r="B16330" s="9" t="n">
        <v>16328</v>
      </c>
      <c r="C16330" s="10" t="inlineStr">
        <is>
          <t>Product Manager (Open to expat)</t>
        </is>
      </c>
      <c r="D16330" s="10" t="inlineStr">
        <is>
          <t>CÔNG TY CỔ PHẦN ĐIỆN TỬ  SOJI</t>
        </is>
      </c>
      <c r="E16330" s="10" t="inlineStr">
        <is>
          <t>Lương:50 Tr - 100 Tr VND</t>
        </is>
      </c>
      <c r="F16330" s="10" t="inlineStr">
        <is>
          <t>Hà Nội</t>
        </is>
      </c>
      <c r="G16330" s="10" t="inlineStr">
        <is>
          <t>07-04-2026</t>
        </is>
      </c>
      <c r="H16330" s="10" t="inlineStr">
        <is>
          <t>07/04/2026</t>
        </is>
      </c>
      <c r="I16330" s="10" t="inlineStr">
        <is>
          <t>17/03/2026</t>
        </is>
      </c>
      <c r="J16330" s="10" t="inlineStr">
        <is>
          <t>Điện / Điện tử / Điện lạnh / Điện công nghiệp, Bán hàng / Kinh doanh, Quản lý điều hành</t>
        </is>
      </c>
      <c r="K16330" s="10" t="inlineStr">
        <is>
          <t>Trên 5 Năm</t>
        </is>
      </c>
      <c r="L16330" s="11">
        <f>HYPERLINK("https://careerviet.vn/vi/tim-viec-lam/product-manager-open-to-expat.35C67DE6.html","Xem chi tiết")</f>
        <v/>
      </c>
      <c r="M16330" s="10" t="n"/>
    </row>
    <row r="16331">
      <c r="B16331" s="7" t="n">
        <v>16329</v>
      </c>
      <c r="C16331" t="inlineStr">
        <is>
          <t>Nhân viên đào tạo</t>
        </is>
      </c>
      <c r="D16331" t="inlineStr">
        <is>
          <t>CÔNG TY CỔ PHẦN CHĂN NUÔI MAVIN</t>
        </is>
      </c>
      <c r="E16331" t="inlineStr">
        <is>
          <t>Lương:8 Tr - 10 Tr VND</t>
        </is>
      </c>
      <c r="F16331" t="inlineStr">
        <is>
          <t>Hà Nội</t>
        </is>
      </c>
      <c r="G16331" t="inlineStr">
        <is>
          <t>07-04-2026</t>
        </is>
      </c>
      <c r="H16331" t="inlineStr">
        <is>
          <t>07/04/2026</t>
        </is>
      </c>
      <c r="I16331" t="inlineStr">
        <is>
          <t>17/03/2026</t>
        </is>
      </c>
      <c r="J16331" t="inlineStr">
        <is>
          <t>Giáo dục / Đào tạo, Nhân sự</t>
        </is>
      </c>
      <c r="K16331" t="inlineStr">
        <is>
          <t>Trên 1 Năm</t>
        </is>
      </c>
      <c r="L16331" s="8">
        <f>HYPERLINK("https://careerviet.vn/vi/tim-viec-lam/nhan-vien-dao-tao.35C64DA1.html","Xem chi tiết")</f>
        <v/>
      </c>
    </row>
    <row r="16332">
      <c r="B16332" s="9" t="n">
        <v>16330</v>
      </c>
      <c r="C16332" s="10" t="inlineStr">
        <is>
          <t>Chuyên Viên Thầu Kênh Bệnh Viện</t>
        </is>
      </c>
      <c r="D16332" s="10" t="inlineStr">
        <is>
          <t>DIAG</t>
        </is>
      </c>
      <c r="E16332" s="10" t="inlineStr">
        <is>
          <t>Lương:Cạnh tranh</t>
        </is>
      </c>
      <c r="F16332" s="10" t="inlineStr">
        <is>
          <t>Hồ Chí Minh</t>
        </is>
      </c>
      <c r="G16332" s="10" t="inlineStr">
        <is>
          <t>07-04-2026</t>
        </is>
      </c>
      <c r="H16332" s="10" t="inlineStr">
        <is>
          <t>07/04/2026</t>
        </is>
      </c>
      <c r="I16332" s="10" t="inlineStr">
        <is>
          <t>17/03/2026</t>
        </is>
      </c>
      <c r="J16332" s="10" t="inlineStr">
        <is>
          <t>Y tế / Chăm sóc sức khỏe / Thẩm mỹ / Làm đẹp, Dược phẩm/ Hóa Mỹ Phẩm, Thu mua / Vật tư</t>
        </is>
      </c>
      <c r="K16332" s="10" t="inlineStr">
        <is>
          <t>Trên 3 Năm</t>
        </is>
      </c>
      <c r="L16332" s="11">
        <f>HYPERLINK("https://careerviet.vn/vi/tim-viec-lam/chuyen-vien-thau-kenh-benh-vien.35C67F5F.html","Xem chi tiết")</f>
        <v/>
      </c>
      <c r="M16332" s="10" t="n"/>
    </row>
    <row r="16333">
      <c r="B16333" s="7" t="n">
        <v>16331</v>
      </c>
      <c r="C16333" t="inlineStr">
        <is>
          <t>Chuyên viên kinh doanh</t>
        </is>
      </c>
      <c r="D16333" t="inlineStr">
        <is>
          <t>3A Logistics</t>
        </is>
      </c>
      <c r="E16333" t="inlineStr">
        <is>
          <t>Lương:10 Tr - 15 Tr VND</t>
        </is>
      </c>
      <c r="F16333" t="inlineStr">
        <is>
          <t>Hà NộiHải Phòng</t>
        </is>
      </c>
      <c r="G16333" t="inlineStr">
        <is>
          <t>07-04-2026</t>
        </is>
      </c>
      <c r="H16333" t="inlineStr">
        <is>
          <t>07/04/2026</t>
        </is>
      </c>
      <c r="I16333" t="inlineStr">
        <is>
          <t>17/03/2026</t>
        </is>
      </c>
      <c r="J16333" t="inlineStr">
        <is>
          <t>Vận chuyển / Giao nhận / Kho vận, Xuất nhập khẩu</t>
        </is>
      </c>
      <c r="K16333" t="inlineStr">
        <is>
          <t>2 - 3 Năm</t>
        </is>
      </c>
      <c r="L16333" s="8">
        <f>HYPERLINK("https://careerviet.vn/vi/tim-viec-lam/chuyen-vien-kinh-doanh.35C64CAD.html","Xem chi tiết")</f>
        <v/>
      </c>
    </row>
    <row r="16334">
      <c r="B16334" s="9" t="n">
        <v>16332</v>
      </c>
      <c r="C16334" s="10" t="inlineStr">
        <is>
          <t>Nhân viên giao hàng bằng xe máy thu nhập lên đến 17 triệu tại Yên Mỹ, Văn Giang (Hưng yên)</t>
        </is>
      </c>
      <c r="D16334" s="10" t="inlineStr">
        <is>
          <t>Công Ty Cổ Phần Hai Bốn Bảy</t>
        </is>
      </c>
      <c r="E16334" s="10" t="inlineStr">
        <is>
          <t>Lương:Lên đến 17 Tr VND</t>
        </is>
      </c>
      <c r="F16334" s="10" t="inlineStr">
        <is>
          <t>Hưng Yên</t>
        </is>
      </c>
      <c r="G16334" s="10" t="inlineStr">
        <is>
          <t>07-04-2026</t>
        </is>
      </c>
      <c r="H16334" s="10" t="inlineStr">
        <is>
          <t>07/04/2026</t>
        </is>
      </c>
      <c r="I16334" s="10" t="inlineStr">
        <is>
          <t>17/03/2026</t>
        </is>
      </c>
      <c r="J16334" s="10" t="inlineStr">
        <is>
          <t>Vận chuyển / Giao nhận / Kho vận</t>
        </is>
      </c>
      <c r="K16334" s="10" t="inlineStr">
        <is>
          <t>Chưa có kinh nghiệm</t>
        </is>
      </c>
      <c r="L16334" s="11">
        <f>HYPERLINK("https://careerviet.vn/vi/tim-viec-lam/nhan-vien-giao-hang-bang-xe-may-thu-nhap-len-den-17-trieu-tai-yen-my-van-giang-hung-yen.35C67E14.html","Xem chi tiết")</f>
        <v/>
      </c>
      <c r="M16334" s="10" t="n"/>
    </row>
    <row r="16335">
      <c r="B16335" s="7" t="n">
        <v>16333</v>
      </c>
      <c r="C16335" t="inlineStr">
        <is>
          <t>Kỹ sư biện pháp thi công</t>
        </is>
      </c>
      <c r="D16335" t="inlineStr">
        <is>
          <t>CÔNG TY CỔ PHẨN ỨNG DỤNG VÀ CHUYỂN GIAO CÔNG NGHỆ XÂY DỰNG (CJSC)</t>
        </is>
      </c>
      <c r="E16335" t="inlineStr">
        <is>
          <t>Lương:14 Tr - 20 Tr VND</t>
        </is>
      </c>
      <c r="F16335" t="inlineStr">
        <is>
          <t>Hà Nội</t>
        </is>
      </c>
      <c r="G16335" t="inlineStr">
        <is>
          <t>07-04-2026</t>
        </is>
      </c>
      <c r="H16335" t="inlineStr">
        <is>
          <t>07/04/2026</t>
        </is>
      </c>
      <c r="I16335" t="inlineStr">
        <is>
          <t>17/03/2026</t>
        </is>
      </c>
      <c r="J16335" t="inlineStr">
        <is>
          <t>Xây dựng</t>
        </is>
      </c>
      <c r="K16335" t="inlineStr">
        <is>
          <t>N/A</t>
        </is>
      </c>
      <c r="L16335" s="8">
        <f>HYPERLINK("https://careerviet.vn/vi/tim-viec-lam/ky-su-bien-phap-thi-cong.35C67E0F.html","Xem chi tiết")</f>
        <v/>
      </c>
    </row>
    <row r="16336">
      <c r="B16336" s="9" t="n">
        <v>16334</v>
      </c>
      <c r="C16336" s="10" t="inlineStr">
        <is>
          <t>[ĐỒNG NAI] Giám Đốc Quan Hệ Khách Hàng Ưu Tiên</t>
        </is>
      </c>
      <c r="D16336" s="10" t="inlineStr">
        <is>
          <t>Ngân hàng TMCP Phát triển TP.HCM (HDBank)</t>
        </is>
      </c>
      <c r="E16336" s="10" t="inlineStr">
        <is>
          <t>Lương:17 Tr - 22 Tr VND</t>
        </is>
      </c>
      <c r="F16336" s="10" t="inlineStr">
        <is>
          <t>Đồng Nai</t>
        </is>
      </c>
      <c r="G16336" s="10" t="inlineStr">
        <is>
          <t>07-04-2026</t>
        </is>
      </c>
      <c r="H16336" s="10" t="inlineStr">
        <is>
          <t>07/04/2026</t>
        </is>
      </c>
      <c r="I16336" s="10" t="inlineStr">
        <is>
          <t>17/03/2026</t>
        </is>
      </c>
      <c r="J16336" s="10" t="inlineStr">
        <is>
          <t>Ngân hàng</t>
        </is>
      </c>
      <c r="K16336" s="10" t="inlineStr">
        <is>
          <t>1 - 5 Năm</t>
        </is>
      </c>
      <c r="L16336" s="11">
        <f>HYPERLINK("https://careerviet.vn/vi/tim-viec-lam/dong-nai-giam-doc-quan-he-khach-hang-uu-tien.35C67EDE.html","Xem chi tiết")</f>
        <v/>
      </c>
      <c r="M16336" s="10" t="n"/>
    </row>
    <row r="16337">
      <c r="B16337" s="7" t="n">
        <v>16335</v>
      </c>
      <c r="C16337" t="inlineStr">
        <is>
          <t>Chuyên viên Trade Marketing</t>
        </is>
      </c>
      <c r="D16337" t="inlineStr">
        <is>
          <t>TỔNG CÔNG TY CỔ PHẦN THƯƠNG MẠI XÂY DỰNG</t>
        </is>
      </c>
      <c r="E16337" t="inlineStr">
        <is>
          <t>Lương:20 Tr - 22 Tr VND</t>
        </is>
      </c>
      <c r="F16337" t="inlineStr">
        <is>
          <t>Hà Nội</t>
        </is>
      </c>
      <c r="G16337" t="inlineStr">
        <is>
          <t>07-04-2026</t>
        </is>
      </c>
      <c r="H16337" t="inlineStr">
        <is>
          <t>07/04/2026</t>
        </is>
      </c>
      <c r="I16337" t="inlineStr">
        <is>
          <t>17/03/2026</t>
        </is>
      </c>
      <c r="J16337" t="inlineStr">
        <is>
          <t>Tiếp thị / Marketing, Mỹ thuật / Nghệ thuật / Thiết kế, Tổ chức sự kiện</t>
        </is>
      </c>
      <c r="K16337" t="inlineStr">
        <is>
          <t>2 - 3 Năm</t>
        </is>
      </c>
      <c r="L16337" s="8">
        <f>HYPERLINK("https://careerviet.vn/vi/tim-viec-lam/chuyen-vien-trade-marketing.35C67F00.html","Xem chi tiết")</f>
        <v/>
      </c>
    </row>
    <row r="16338">
      <c r="B16338" s="9" t="n">
        <v>16336</v>
      </c>
      <c r="C16338" s="10" t="inlineStr">
        <is>
          <t>Kế Toán Trưởng</t>
        </is>
      </c>
      <c r="D16338" s="10" t="inlineStr">
        <is>
          <t>CÔNG TY CỔ PHẦN ĐỆ TAM</t>
        </is>
      </c>
      <c r="E16338" s="10" t="inlineStr">
        <is>
          <t>Lương:Cạnh tranh</t>
        </is>
      </c>
      <c r="F16338" s="10" t="inlineStr">
        <is>
          <t>Hồ Chí Minh</t>
        </is>
      </c>
      <c r="G16338" s="10" t="inlineStr">
        <is>
          <t>07-04-2026</t>
        </is>
      </c>
      <c r="H16338" s="10" t="inlineStr">
        <is>
          <t>07/04/2026</t>
        </is>
      </c>
      <c r="I16338" s="10" t="inlineStr">
        <is>
          <t>17/03/2026</t>
        </is>
      </c>
      <c r="J16338" s="10" t="inlineStr">
        <is>
          <t>Kế toán / Kiểm toán, Tài chính / Đầu tư, Bất động sản</t>
        </is>
      </c>
      <c r="K16338" s="10" t="inlineStr">
        <is>
          <t>Trên 5 Năm</t>
        </is>
      </c>
      <c r="L16338" s="11">
        <f>HYPERLINK("https://careerviet.vn/vi/tim-viec-lam/ke-toan-truong.35C67F14.html","Xem chi tiết")</f>
        <v/>
      </c>
      <c r="M16338" s="10" t="n"/>
    </row>
    <row r="16339">
      <c r="B16339" s="7" t="n">
        <v>16337</v>
      </c>
      <c r="C16339" t="inlineStr">
        <is>
          <t>Nhân Viên Chăm Sóc Khách Hàng/Call Center/Trực Tổng Đài App Du Lịch - Không Áp KPI - Thu Nhập Đến 12 Triệu</t>
        </is>
      </c>
      <c r="D16339" t="inlineStr">
        <is>
          <t>Vietnam Concentrix Services Company Limited</t>
        </is>
      </c>
      <c r="E16339" t="inlineStr">
        <is>
          <t>Lương:10 Tr - 12 Tr VND</t>
        </is>
      </c>
      <c r="F16339" t="inlineStr">
        <is>
          <t>Hồ Chí Minh</t>
        </is>
      </c>
      <c r="G16339" t="inlineStr">
        <is>
          <t>07-04-2026</t>
        </is>
      </c>
      <c r="H16339" t="inlineStr">
        <is>
          <t>07/04/2026</t>
        </is>
      </c>
      <c r="I16339" t="inlineStr">
        <is>
          <t>17/03/2026</t>
        </is>
      </c>
      <c r="J16339" t="inlineStr">
        <is>
          <t>Dịch vụ khách hàng, Du lịch</t>
        </is>
      </c>
      <c r="K16339" t="inlineStr">
        <is>
          <t>N/A</t>
        </is>
      </c>
      <c r="L16339" s="8">
        <f>HYPERLINK("https://careerviet.vn/vi/tim-viec-lam/nhan-vien-cham-soc-khach-hang-call-center-truc-tong-dai-app-du-lich-khong-ap-kpi-thu-nhap-den-12-trieu.35C64D53.html","Xem chi tiết")</f>
        <v/>
      </c>
    </row>
    <row r="16340">
      <c r="B16340" s="9" t="n">
        <v>16338</v>
      </c>
      <c r="C16340" s="10" t="inlineStr">
        <is>
          <t>Chuyên viên Stylist</t>
        </is>
      </c>
      <c r="D16340" s="10" t="inlineStr">
        <is>
          <t>CÔNG TY TNHH TRỐNG ĐỒNG VIỆT NAM</t>
        </is>
      </c>
      <c r="E16340" s="10" t="inlineStr">
        <is>
          <t>Lương:12 Tr - 15 Tr VND</t>
        </is>
      </c>
      <c r="F16340" s="10" t="inlineStr">
        <is>
          <t>Hà Nội</t>
        </is>
      </c>
      <c r="G16340" s="10" t="inlineStr">
        <is>
          <t>07-04-2026</t>
        </is>
      </c>
      <c r="H16340" s="10" t="inlineStr">
        <is>
          <t>07/04/2026</t>
        </is>
      </c>
      <c r="I16340" s="10" t="inlineStr">
        <is>
          <t>17/03/2026</t>
        </is>
      </c>
      <c r="J16340" s="10" t="inlineStr">
        <is>
          <t>Dệt may / Da giày / Thời trang</t>
        </is>
      </c>
      <c r="K16340" s="10" t="inlineStr">
        <is>
          <t>1 - 2 Năm</t>
        </is>
      </c>
      <c r="L16340" s="11">
        <f>HYPERLINK("https://careerviet.vn/vi/tim-viec-lam/chuyen-vien-stylist.35C67E67.html","Xem chi tiết")</f>
        <v/>
      </c>
      <c r="M16340" s="10" t="n"/>
    </row>
    <row r="16341">
      <c r="B16341" s="7" t="n">
        <v>16339</v>
      </c>
      <c r="C16341" t="inlineStr">
        <is>
          <t>NHÂN VIÊN THU MUA BIẾT TIẾNG ANH HOẶC TRUNG</t>
        </is>
      </c>
      <c r="D16341" t="inlineStr">
        <is>
          <t>Công ty TNHH Sài Gòn Stec</t>
        </is>
      </c>
      <c r="E16341" t="inlineStr">
        <is>
          <t>Lương:10 Tr - 15 Tr VND</t>
        </is>
      </c>
      <c r="F16341" t="inlineStr">
        <is>
          <t>Bình Dương</t>
        </is>
      </c>
      <c r="G16341" t="inlineStr">
        <is>
          <t>07-04-2026</t>
        </is>
      </c>
      <c r="H16341" t="inlineStr">
        <is>
          <t>07/04/2026</t>
        </is>
      </c>
      <c r="I16341" t="inlineStr">
        <is>
          <t>17/03/2026</t>
        </is>
      </c>
      <c r="J16341" t="inlineStr">
        <is>
          <t>Xuất nhập khẩu, Thu mua / Vật tư</t>
        </is>
      </c>
      <c r="K16341" t="inlineStr">
        <is>
          <t>1 - 2 Năm</t>
        </is>
      </c>
      <c r="L16341" s="8">
        <f>HYPERLINK("https://careerviet.vn/vi/tim-viec-lam/nhan-vien-thu-mua-biet-tieng-anh-hoac-trung.35C679F5.html","Xem chi tiết")</f>
        <v/>
      </c>
    </row>
    <row r="16342">
      <c r="B16342" s="9" t="n">
        <v>16340</v>
      </c>
      <c r="C16342" s="10" t="inlineStr">
        <is>
          <t>Trợ lý Trưởng Ban Quản lý tòa nhà (Nhơn Trạch)</t>
        </is>
      </c>
      <c r="D16342" s="10" t="inlineStr">
        <is>
          <t>Savills Vietnam</t>
        </is>
      </c>
      <c r="E16342" s="10" t="inlineStr">
        <is>
          <t>Lương:Cạnh tranh</t>
        </is>
      </c>
      <c r="F16342" s="10" t="inlineStr">
        <is>
          <t>Đồng Nai</t>
        </is>
      </c>
      <c r="G16342" s="10" t="inlineStr">
        <is>
          <t>07-04-2026</t>
        </is>
      </c>
      <c r="H16342" s="10" t="inlineStr">
        <is>
          <t>07/04/2026</t>
        </is>
      </c>
      <c r="I16342" s="10" t="inlineStr">
        <is>
          <t>17/03/2026</t>
        </is>
      </c>
      <c r="J16342" s="10" t="inlineStr">
        <is>
          <t>Hành chính / Thư ký, Quản lý điều hành, Bất động sản</t>
        </is>
      </c>
      <c r="K16342" s="10" t="inlineStr">
        <is>
          <t>1 - 3 Năm</t>
        </is>
      </c>
      <c r="L16342" s="11">
        <f>HYPERLINK("https://careerviet.vn/vi/tim-viec-lam/tro-ly-truong-ban-quan-ly-toa-nha-nhon-trach.35C64E57.html","Xem chi tiết")</f>
        <v/>
      </c>
      <c r="M16342" s="10" t="n"/>
    </row>
    <row r="16343">
      <c r="B16343" s="7" t="n">
        <v>16341</v>
      </c>
      <c r="C16343" t="inlineStr">
        <is>
          <t>Chuyên viên QHKH cá nhân/doanh nghiệp ở Đồng Nai</t>
        </is>
      </c>
      <c r="D16343" t="inlineStr">
        <is>
          <t>Ngân hàng TMCP Phát triển TP.HCM (HDBank)</t>
        </is>
      </c>
      <c r="E16343" t="inlineStr">
        <is>
          <t>Lương:Cạnh tranh</t>
        </is>
      </c>
      <c r="F16343" t="inlineStr">
        <is>
          <t>Đồng Nai</t>
        </is>
      </c>
      <c r="G16343" t="inlineStr">
        <is>
          <t>07-04-2026</t>
        </is>
      </c>
      <c r="H16343" t="inlineStr">
        <is>
          <t>07/04/2026</t>
        </is>
      </c>
      <c r="I16343" t="inlineStr">
        <is>
          <t>17/03/2026</t>
        </is>
      </c>
      <c r="J16343" t="inlineStr">
        <is>
          <t>Bán hàng / Kinh doanh, Dịch vụ khách hàng, Ngân hàng</t>
        </is>
      </c>
      <c r="K16343" t="inlineStr">
        <is>
          <t>1 - 2 Năm</t>
        </is>
      </c>
      <c r="L16343" s="8">
        <f>HYPERLINK("https://careerviet.vn/vi/tim-viec-lam/chuyen-vien-qhkh-ca-nhan-doanh-nghiep-o-dong-nai.35C67EE2.html","Xem chi tiết")</f>
        <v/>
      </c>
    </row>
    <row r="16344">
      <c r="B16344" s="9" t="n">
        <v>16342</v>
      </c>
      <c r="C16344" s="10" t="inlineStr">
        <is>
          <t>Kỹ thuật viên kiểm soát chất lượng/ QC &amp; Lab Test Technician</t>
        </is>
      </c>
      <c r="D16344" s="10" t="inlineStr">
        <is>
          <t>CÔNG TY TNHH EVOLUTION TECHNOLOGIES VIỆT NAM</t>
        </is>
      </c>
      <c r="E16344" s="10" t="inlineStr">
        <is>
          <t>Lương:Cạnh tranh</t>
        </is>
      </c>
      <c r="F16344" s="10" t="inlineStr">
        <is>
          <t>Bình Dương</t>
        </is>
      </c>
      <c r="G16344" s="10" t="inlineStr">
        <is>
          <t>07-04-2026</t>
        </is>
      </c>
      <c r="H16344" s="10" t="inlineStr">
        <is>
          <t>07/04/2026</t>
        </is>
      </c>
      <c r="I16344" s="10" t="inlineStr">
        <is>
          <t>17/03/2026</t>
        </is>
      </c>
      <c r="J16344" s="10" t="inlineStr">
        <is>
          <t>Cơ khí / Ô tô / Tự động hóa, Điện / Điện tử / Điện lạnh / Điện công nghiệp, Quản lý chất lượng (QA/QC)</t>
        </is>
      </c>
      <c r="K16344" s="10" t="inlineStr">
        <is>
          <t>1 - 2 Năm</t>
        </is>
      </c>
      <c r="L16344" s="11">
        <f>HYPERLINK("https://careerviet.vn/vi/tim-viec-lam/ky-thuat-vien-kiem-soat-chat-luong-qc-lab-test-technician.35C67E71.html","Xem chi tiết")</f>
        <v/>
      </c>
      <c r="M16344" s="10" t="n"/>
    </row>
    <row r="16345">
      <c r="B16345" s="7" t="n">
        <v>16343</v>
      </c>
      <c r="C16345" t="inlineStr">
        <is>
          <t>Mechanical Engineer</t>
        </is>
      </c>
      <c r="D16345" t="inlineStr">
        <is>
          <t>CÔNG TY CỔ PHẦN ĐIỆN TỬ  SOJI</t>
        </is>
      </c>
      <c r="E16345" t="inlineStr">
        <is>
          <t>Lương:25 Tr - 45 Tr VND</t>
        </is>
      </c>
      <c r="F16345" t="inlineStr">
        <is>
          <t>Hà Nội</t>
        </is>
      </c>
      <c r="G16345" t="inlineStr">
        <is>
          <t>07-04-2026</t>
        </is>
      </c>
      <c r="H16345" t="inlineStr">
        <is>
          <t>07/04/2026</t>
        </is>
      </c>
      <c r="I16345" t="inlineStr">
        <is>
          <t>17/03/2026</t>
        </is>
      </c>
      <c r="J16345" t="inlineStr">
        <is>
          <t>Cơ khí / Ô tô / Tự động hóa, Sản xuất / Vận hành sản xuất, Điện / Điện tử / Điện lạnh / Điện công nghiệp</t>
        </is>
      </c>
      <c r="K16345" t="inlineStr">
        <is>
          <t>Trên 3 Năm</t>
        </is>
      </c>
      <c r="L16345" s="8">
        <f>HYPERLINK("https://careerviet.vn/vi/tim-viec-lam/mechanical-engineer.35C67DDC.html","Xem chi tiết")</f>
        <v/>
      </c>
    </row>
    <row r="16346">
      <c r="B16346" s="9" t="n">
        <v>16344</v>
      </c>
      <c r="C16346" s="10" t="inlineStr">
        <is>
          <t>Kỹ sư dự án</t>
        </is>
      </c>
      <c r="D16346" s="10" t="inlineStr">
        <is>
          <t>CÔNG TY TNHH ĐẦU TƯ ITS</t>
        </is>
      </c>
      <c r="E16346" s="10" t="inlineStr">
        <is>
          <t>Lương:13 Tr - 15 Tr VND</t>
        </is>
      </c>
      <c r="F16346" s="10" t="inlineStr">
        <is>
          <t>Hồ Chí Minh</t>
        </is>
      </c>
      <c r="G16346" s="10" t="inlineStr">
        <is>
          <t>07-04-2026</t>
        </is>
      </c>
      <c r="H16346" s="10" t="inlineStr">
        <is>
          <t>07/04/2026</t>
        </is>
      </c>
      <c r="I16346" s="10" t="inlineStr">
        <is>
          <t>17/03/2026</t>
        </is>
      </c>
      <c r="J16346" s="10" t="inlineStr">
        <is>
          <t>Cơ khí / Ô tô / Tự động hóa</t>
        </is>
      </c>
      <c r="K16346" s="10" t="inlineStr">
        <is>
          <t>2 - 4 Năm</t>
        </is>
      </c>
      <c r="L16346" s="11">
        <f>HYPERLINK("https://careerviet.vn/vi/tim-viec-lam/ky-su-du-an.35C64D43.html","Xem chi tiết")</f>
        <v/>
      </c>
      <c r="M16346" s="10" t="n"/>
    </row>
    <row r="16347">
      <c r="B16347" s="7" t="n">
        <v>16345</v>
      </c>
      <c r="C16347" t="inlineStr">
        <is>
          <t>Kỹ Sư Cơ (Nhà Xưởng)</t>
        </is>
      </c>
      <c r="D16347" t="inlineStr">
        <is>
          <t>Headhunter HRchannels Group</t>
        </is>
      </c>
      <c r="E16347" t="inlineStr">
        <is>
          <t>Lương:18 Tr - 20 Tr VND</t>
        </is>
      </c>
      <c r="F16347" t="inlineStr">
        <is>
          <t>Đồng NaiBình DươngHồ Chí Minh</t>
        </is>
      </c>
      <c r="G16347" t="inlineStr">
        <is>
          <t>07-04-2026</t>
        </is>
      </c>
      <c r="H16347" t="inlineStr">
        <is>
          <t>07/04/2026</t>
        </is>
      </c>
      <c r="I16347" t="inlineStr">
        <is>
          <t>17/03/2026</t>
        </is>
      </c>
      <c r="J16347" t="inlineStr">
        <is>
          <t>Cơ khí / Ô tô / Tự động hóa, Xây dựng, Sản xuất / Vận hành sản xuất</t>
        </is>
      </c>
      <c r="K16347" t="inlineStr">
        <is>
          <t>1 - 3 Năm</t>
        </is>
      </c>
      <c r="L16347" s="8">
        <f>HYPERLINK("https://careerviet.vn/vi/tim-viec-lam/ky-su-co-nha-xuong.35C67DD4.html","Xem chi tiết")</f>
        <v/>
      </c>
    </row>
    <row r="16348">
      <c r="B16348" s="9" t="n">
        <v>16346</v>
      </c>
      <c r="C16348" s="10" t="inlineStr">
        <is>
          <t>Chuyên Viên Kinh Doanh - Bao Bì Giấy: Ly/Tô Giấy, Ống Hút Giấy, hộp giấy</t>
        </is>
      </c>
      <c r="D16348" s="10" t="inlineStr">
        <is>
          <t>Công ty Cổ Phần Thảo Mộc Xanh</t>
        </is>
      </c>
      <c r="E16348" s="10" t="inlineStr">
        <is>
          <t>Lương:Cạnh tranh</t>
        </is>
      </c>
      <c r="F16348" s="10" t="inlineStr">
        <is>
          <t>Hồ Chí Minh</t>
        </is>
      </c>
      <c r="G16348" s="10" t="inlineStr">
        <is>
          <t>07-04-2026</t>
        </is>
      </c>
      <c r="H16348" s="10" t="inlineStr">
        <is>
          <t>07/04/2026</t>
        </is>
      </c>
      <c r="I16348" s="10" t="inlineStr">
        <is>
          <t>17/03/2026</t>
        </is>
      </c>
      <c r="J16348" s="10" t="inlineStr">
        <is>
          <t>Tiếp thị / Marketing, Bán hàng / Kinh doanh, Quảng cáo / Đối ngoại / Truyền Thông</t>
        </is>
      </c>
      <c r="K16348" s="10" t="inlineStr">
        <is>
          <t>2 - 3 Năm</t>
        </is>
      </c>
      <c r="L16348" s="11">
        <f>HYPERLINK("https://careerviet.vn/vi/tim-viec-lam/chuyen-vien-kinh-doanh-bao-bi-giay-ly-to-giay-ong-hut-giay-hop-giay.35C67DC8.html","Xem chi tiết")</f>
        <v/>
      </c>
      <c r="M16348" s="10" t="n"/>
    </row>
    <row r="16349">
      <c r="B16349" s="7" t="n">
        <v>16347</v>
      </c>
      <c r="C16349" t="inlineStr">
        <is>
          <t>[Cần Thơ] Giám đốc Phòng giao dịch</t>
        </is>
      </c>
      <c r="D16349" t="inlineStr">
        <is>
          <t>Ngân hàng TMCP Đại Chúng Việt Nam - PVcomBank</t>
        </is>
      </c>
      <c r="E16349" t="inlineStr">
        <is>
          <t>Lương:Cạnh tranh</t>
        </is>
      </c>
      <c r="F16349" t="inlineStr">
        <is>
          <t>Cần Thơ</t>
        </is>
      </c>
      <c r="G16349" t="inlineStr">
        <is>
          <t>07-04-2026</t>
        </is>
      </c>
      <c r="H16349" t="inlineStr">
        <is>
          <t>07/04/2026</t>
        </is>
      </c>
      <c r="I16349" t="inlineStr">
        <is>
          <t>17/03/2026</t>
        </is>
      </c>
      <c r="J16349" t="inlineStr">
        <is>
          <t>Bán hàng / Kinh doanh, Ngân hàng</t>
        </is>
      </c>
      <c r="K16349" t="inlineStr">
        <is>
          <t>4 - 5 Năm</t>
        </is>
      </c>
      <c r="L16349" s="8">
        <f>HYPERLINK("https://careerviet.vn/vi/tim-viec-lam/can-tho-giam-doc-phong-giao-dich.35C67EE8.html","Xem chi tiết")</f>
        <v/>
      </c>
    </row>
    <row r="16350">
      <c r="B16350" s="9" t="n">
        <v>16348</v>
      </c>
      <c r="C16350" s="10" t="inlineStr">
        <is>
          <t>KỸ SƯ CƠ KHÍ</t>
        </is>
      </c>
      <c r="D16350" s="10" t="inlineStr">
        <is>
          <t>HR Vietnam’s ESS Client</t>
        </is>
      </c>
      <c r="E16350" s="10" t="inlineStr">
        <is>
          <t>Lương:Cạnh tranh</t>
        </is>
      </c>
      <c r="F16350" s="10" t="inlineStr">
        <is>
          <t>Đồng Nai</t>
        </is>
      </c>
      <c r="G16350" s="10" t="inlineStr">
        <is>
          <t>07-04-2026</t>
        </is>
      </c>
      <c r="H16350" s="10" t="inlineStr">
        <is>
          <t>07/04/2026</t>
        </is>
      </c>
      <c r="I16350" s="10" t="inlineStr">
        <is>
          <t>17/03/2026</t>
        </is>
      </c>
      <c r="J16350" s="10" t="inlineStr">
        <is>
          <t>Cơ khí / Ô tô / Tự động hóa, Bảo trì / Sửa chữa</t>
        </is>
      </c>
      <c r="K16350" s="10" t="inlineStr">
        <is>
          <t>1 - 3 Năm</t>
        </is>
      </c>
      <c r="L16350" s="11">
        <f>HYPERLINK("https://careerviet.vn/vi/tim-viec-lam/ky-su-co-khi.35C67F34.html","Xem chi tiết")</f>
        <v/>
      </c>
      <c r="M16350" s="10" t="n"/>
    </row>
    <row r="16351">
      <c r="B16351" s="7" t="n">
        <v>16349</v>
      </c>
      <c r="C16351" t="inlineStr">
        <is>
          <t>Kế Toán Tổng Hợp</t>
        </is>
      </c>
      <c r="D16351" t="inlineStr">
        <is>
          <t>CÔNG TY CỔ PHẦN THƯƠNG MẠI KIỀM SAPHIA PHARMA</t>
        </is>
      </c>
      <c r="E16351" t="inlineStr">
        <is>
          <t>Lương:18 Tr - 25 Tr VND</t>
        </is>
      </c>
      <c r="F16351" t="inlineStr">
        <is>
          <t>Hà Nội</t>
        </is>
      </c>
      <c r="G16351" t="inlineStr">
        <is>
          <t>07-04-2026</t>
        </is>
      </c>
      <c r="H16351" t="inlineStr">
        <is>
          <t>07/04/2026</t>
        </is>
      </c>
      <c r="I16351" t="inlineStr">
        <is>
          <t>17/03/2026</t>
        </is>
      </c>
      <c r="J16351" t="inlineStr">
        <is>
          <t>Dược phẩm/ Hóa Mỹ Phẩm, Y tế / Chăm sóc sức khỏe / Thẩm mỹ / Làm đẹp, Kế toán / Kiểm toán</t>
        </is>
      </c>
      <c r="K16351" t="inlineStr">
        <is>
          <t>2 - 3 Năm</t>
        </is>
      </c>
      <c r="L16351" s="8">
        <f>HYPERLINK("https://careerviet.vn/vi/tim-viec-lam/ke-toan-tong-hop.35C64D74.html","Xem chi tiết")</f>
        <v/>
      </c>
    </row>
    <row r="16352">
      <c r="B16352" s="9" t="n">
        <v>16350</v>
      </c>
      <c r="C16352" s="10" t="inlineStr">
        <is>
          <t>Trưởng phòng thiết kế( Lĩnh vực xây dựng nhà máy)</t>
        </is>
      </c>
      <c r="D16352" s="10" t="inlineStr">
        <is>
          <t>CÔNG TY CỔ PHẦN ĐIỆN TỬ  SOJI</t>
        </is>
      </c>
      <c r="E16352" s="10" t="inlineStr">
        <is>
          <t>Lương:30 Tr - 40 Tr VND</t>
        </is>
      </c>
      <c r="F16352" s="10" t="inlineStr">
        <is>
          <t>Hà Nội</t>
        </is>
      </c>
      <c r="G16352" s="10" t="inlineStr">
        <is>
          <t>07-04-2026</t>
        </is>
      </c>
      <c r="H16352" s="10" t="inlineStr">
        <is>
          <t>07/04/2026</t>
        </is>
      </c>
      <c r="I16352" s="10" t="inlineStr">
        <is>
          <t>17/03/2026</t>
        </is>
      </c>
      <c r="J16352" s="10" t="inlineStr">
        <is>
          <t>Kiến trúc, Xây dựng</t>
        </is>
      </c>
      <c r="K16352" s="10" t="inlineStr">
        <is>
          <t>3 - 5 Năm</t>
        </is>
      </c>
      <c r="L16352" s="11">
        <f>HYPERLINK("https://careerviet.vn/vi/tim-viec-lam/truong-phong-thiet-ke-linh-vuc-xay-dung-nha-may.35C67DDF.html","Xem chi tiết")</f>
        <v/>
      </c>
      <c r="M16352" s="10" t="n"/>
    </row>
    <row r="16353">
      <c r="B16353" s="7" t="n">
        <v>16351</v>
      </c>
      <c r="C16353" t="inlineStr">
        <is>
          <t>Nhân viên/Chuyên viên Nhân sự tổng hợp (MẠNH VỀ TUYỂN DỤNG)</t>
        </is>
      </c>
      <c r="D16353" t="inlineStr">
        <is>
          <t>Công Ty TNHH Anh Tin</t>
        </is>
      </c>
      <c r="E16353" t="inlineStr">
        <is>
          <t>Lương:Cạnh tranh</t>
        </is>
      </c>
      <c r="F16353" t="inlineStr">
        <is>
          <t>Hồ Chí Minh</t>
        </is>
      </c>
      <c r="G16353" t="inlineStr">
        <is>
          <t>07-04-2026</t>
        </is>
      </c>
      <c r="H16353" t="inlineStr">
        <is>
          <t>07/04/2026</t>
        </is>
      </c>
      <c r="I16353" t="inlineStr">
        <is>
          <t>17/03/2026</t>
        </is>
      </c>
      <c r="J16353" t="inlineStr">
        <is>
          <t>Hành chính / Thư ký, Quản lý điều hành, Nhân sự</t>
        </is>
      </c>
      <c r="K16353" t="inlineStr">
        <is>
          <t>3 - 5 Năm</t>
        </is>
      </c>
      <c r="L16353" s="8">
        <f>HYPERLINK("https://careerviet.vn/vi/tim-viec-lam/nhan-vien-chuyen-vien-nhan-su-tong-hop-manh-ve-tuyen-dung.35C64BFF.html","Xem chi tiết")</f>
        <v/>
      </c>
    </row>
    <row r="16354">
      <c r="B16354" s="9" t="n">
        <v>16352</v>
      </c>
      <c r="C16354" s="10" t="inlineStr">
        <is>
          <t>Trưởng Phòng Đầu tư (Làm việc tại Tây Ninh)</t>
        </is>
      </c>
      <c r="D16354" s="10" t="inlineStr">
        <is>
          <t>Công ty CP Thành Thành Công - Biên Hòa</t>
        </is>
      </c>
      <c r="E16354" s="10" t="inlineStr">
        <is>
          <t>Lương:Cạnh tranh</t>
        </is>
      </c>
      <c r="F16354" s="10" t="inlineStr">
        <is>
          <t>Tây Ninh</t>
        </is>
      </c>
      <c r="G16354" s="10" t="inlineStr">
        <is>
          <t>07-04-2026</t>
        </is>
      </c>
      <c r="H16354" s="10" t="inlineStr">
        <is>
          <t>07/04/2026</t>
        </is>
      </c>
      <c r="I16354" s="10" t="inlineStr">
        <is>
          <t>17/03/2026</t>
        </is>
      </c>
      <c r="J16354" s="10" t="inlineStr">
        <is>
          <t>Ngành khác, Tài chính / Đầu tư</t>
        </is>
      </c>
      <c r="K16354" s="10" t="inlineStr">
        <is>
          <t>7 - 10 Năm</t>
        </is>
      </c>
      <c r="L16354" s="11">
        <f>HYPERLINK("https://careerviet.vn/vi/tim-viec-lam/truong-phong-dau-tu-lam-viec-tai-tay-ninh.35C67F4B.html","Xem chi tiết")</f>
        <v/>
      </c>
      <c r="M16354" s="10" t="n"/>
    </row>
    <row r="16355">
      <c r="B16355" s="7" t="n">
        <v>16353</v>
      </c>
      <c r="C16355" t="inlineStr">
        <is>
          <t>[VNVC] Trưởng Bộ phận Kiểm soát nội bộ</t>
        </is>
      </c>
      <c r="D16355" t="inlineStr">
        <is>
          <t>Công Ty Cổ Phần Vacxin Việt Nam</t>
        </is>
      </c>
      <c r="E16355" t="inlineStr">
        <is>
          <t>Lương:Cạnh tranh</t>
        </is>
      </c>
      <c r="F16355" t="inlineStr">
        <is>
          <t>Hồ Chí Minh</t>
        </is>
      </c>
      <c r="G16355" t="inlineStr">
        <is>
          <t>07-04-2026</t>
        </is>
      </c>
      <c r="H16355" t="inlineStr">
        <is>
          <t>07/04/2026</t>
        </is>
      </c>
      <c r="I16355" t="inlineStr">
        <is>
          <t>17/03/2026</t>
        </is>
      </c>
      <c r="J16355" t="inlineStr">
        <is>
          <t>Kế toán / Kiểm toán</t>
        </is>
      </c>
      <c r="K16355" t="inlineStr">
        <is>
          <t>2 - 5 Năm</t>
        </is>
      </c>
      <c r="L16355" s="8">
        <f>HYPERLINK("https://careerviet.vn/vi/tim-viec-lam/vnvc-truong-bo-phan-kiem-soat-noi-bo.35C67F0F.html","Xem chi tiết")</f>
        <v/>
      </c>
    </row>
    <row r="16356">
      <c r="B16356" s="9" t="n">
        <v>16354</v>
      </c>
      <c r="C16356" s="10" t="inlineStr">
        <is>
          <t>Chuyên Viên Kinh Doanh - Ngành Quà tặng khuyến mãi</t>
        </is>
      </c>
      <c r="D16356" s="10" t="inlineStr">
        <is>
          <t>Công ty Cổ Phần Thảo Mộc Xanh</t>
        </is>
      </c>
      <c r="E16356" s="10" t="inlineStr">
        <is>
          <t>Lương:Cạnh tranh</t>
        </is>
      </c>
      <c r="F16356" s="10" t="inlineStr">
        <is>
          <t>Hồ Chí Minh</t>
        </is>
      </c>
      <c r="G16356" s="10" t="inlineStr">
        <is>
          <t>07-04-2026</t>
        </is>
      </c>
      <c r="H16356" s="10" t="inlineStr">
        <is>
          <t>07/04/2026</t>
        </is>
      </c>
      <c r="I16356" s="10" t="inlineStr">
        <is>
          <t>17/03/2026</t>
        </is>
      </c>
      <c r="J16356" s="10" t="inlineStr">
        <is>
          <t>Tiếp thị / Marketing, Bán hàng / Kinh doanh, Quảng cáo / Đối ngoại / Truyền Thông</t>
        </is>
      </c>
      <c r="K16356" s="10" t="inlineStr">
        <is>
          <t>2 - 3 Năm</t>
        </is>
      </c>
      <c r="L16356" s="11">
        <f>HYPERLINK("https://careerviet.vn/vi/tim-viec-lam/chuyen-vien-kinh-doanh-nganh-qua-tang-khuyen-mai.35C67DC9.html","Xem chi tiết")</f>
        <v/>
      </c>
      <c r="M16356" s="10" t="n"/>
    </row>
    <row r="16357">
      <c r="B16357" s="7" t="n">
        <v>16355</v>
      </c>
      <c r="C16357" t="inlineStr">
        <is>
          <t>Nhân viên Kỹ thuật điện nước dự án xây dựng</t>
        </is>
      </c>
      <c r="D16357" t="inlineStr">
        <is>
          <t>CÔNG TY CỔ PHẨN ỨNG DỤNG VÀ CHUYỂN GIAO CÔNG NGHỆ XÂY DỰNG (CJSC)</t>
        </is>
      </c>
      <c r="E16357" t="inlineStr">
        <is>
          <t>Lương:12 Tr - 14 Tr VND</t>
        </is>
      </c>
      <c r="F16357" t="inlineStr">
        <is>
          <t>Hà Nam</t>
        </is>
      </c>
      <c r="G16357" t="inlineStr">
        <is>
          <t>07-04-2026</t>
        </is>
      </c>
      <c r="H16357" t="inlineStr">
        <is>
          <t>07/04/2026</t>
        </is>
      </c>
      <c r="I16357" t="inlineStr">
        <is>
          <t>17/03/2026</t>
        </is>
      </c>
      <c r="J16357" t="inlineStr">
        <is>
          <t>Xây dựng</t>
        </is>
      </c>
      <c r="K16357" t="inlineStr">
        <is>
          <t>3 - 5 Năm</t>
        </is>
      </c>
      <c r="L16357" s="8">
        <f>HYPERLINK("https://careerviet.vn/vi/tim-viec-lam/nhan-vien-ky-thuat-dien-nuoc-du-an-xay-dung.35C67E16.html","Xem chi tiết")</f>
        <v/>
      </c>
    </row>
    <row r="16358">
      <c r="B16358" s="9" t="n">
        <v>16356</v>
      </c>
      <c r="C16358" s="10" t="inlineStr">
        <is>
          <t>Software Team Lead</t>
        </is>
      </c>
      <c r="D16358" s="10" t="inlineStr">
        <is>
          <t>Beta Group</t>
        </is>
      </c>
      <c r="E16358" s="10" t="inlineStr">
        <is>
          <t>Lương:Cạnh tranh</t>
        </is>
      </c>
      <c r="F16358" s="10" t="inlineStr">
        <is>
          <t>Hà Nội</t>
        </is>
      </c>
      <c r="G16358" s="10" t="inlineStr">
        <is>
          <t>07-04-2026</t>
        </is>
      </c>
      <c r="H16358" s="10" t="inlineStr">
        <is>
          <t>07/04/2026</t>
        </is>
      </c>
      <c r="I16358" s="10" t="inlineStr">
        <is>
          <t>17/03/2026</t>
        </is>
      </c>
      <c r="J16358" s="10" t="inlineStr">
        <is>
          <t>CNTT - Phần mềm</t>
        </is>
      </c>
      <c r="K16358" s="10" t="inlineStr">
        <is>
          <t>3 - 5 Năm</t>
        </is>
      </c>
      <c r="L16358" s="11">
        <f>HYPERLINK("https://careerviet.vn/vi/tim-viec-lam/software-team-lead.35C64DF0.html","Xem chi tiết")</f>
        <v/>
      </c>
      <c r="M16358" s="10" t="n"/>
    </row>
    <row r="16359">
      <c r="B16359" s="7" t="n">
        <v>16357</v>
      </c>
      <c r="C16359" t="inlineStr">
        <is>
          <t>Nhân Viên Kế Toán Giá Thành</t>
        </is>
      </c>
      <c r="D16359" t="inlineStr">
        <is>
          <t>DAI HOANG KIM GROUP</t>
        </is>
      </c>
      <c r="E16359" t="inlineStr">
        <is>
          <t>Lương:Cạnh tranh</t>
        </is>
      </c>
      <c r="F16359" t="inlineStr">
        <is>
          <t>Bình Phước</t>
        </is>
      </c>
      <c r="G16359" t="inlineStr">
        <is>
          <t>07-04-2026</t>
        </is>
      </c>
      <c r="H16359" t="inlineStr">
        <is>
          <t>07/04/2026</t>
        </is>
      </c>
      <c r="I16359" t="inlineStr">
        <is>
          <t>17/03/2026</t>
        </is>
      </c>
      <c r="J16359" t="inlineStr">
        <is>
          <t>Luật / Pháp lý, Kế toán / Kiểm toán, Tài chính / Đầu tư</t>
        </is>
      </c>
      <c r="K16359" t="inlineStr">
        <is>
          <t>N/A</t>
        </is>
      </c>
      <c r="L16359" s="8">
        <f>HYPERLINK("https://careerviet.vn/vi/tim-viec-lam/nhan-vien-ke-toan-gia-thanh.35C64CE2.html","Xem chi tiết")</f>
        <v/>
      </c>
    </row>
    <row r="16360">
      <c r="B16360" s="9" t="n">
        <v>16358</v>
      </c>
      <c r="C16360" s="10" t="inlineStr">
        <is>
          <t>[Tan Phu] Data Consolidation Coordinator</t>
        </is>
      </c>
      <c r="D16360" s="10" t="inlineStr">
        <is>
          <t>EUROFINS VIETNAM</t>
        </is>
      </c>
      <c r="E16360" s="10" t="inlineStr">
        <is>
          <t>Lương:Cạnh tranh</t>
        </is>
      </c>
      <c r="F16360" s="10" t="inlineStr">
        <is>
          <t>Hồ Chí Minh</t>
        </is>
      </c>
      <c r="G16360" s="10" t="inlineStr">
        <is>
          <t>07-04-2026</t>
        </is>
      </c>
      <c r="H16360" s="10" t="inlineStr">
        <is>
          <t>07/04/2026</t>
        </is>
      </c>
      <c r="I16360" s="10" t="inlineStr">
        <is>
          <t>17/03/2026</t>
        </is>
      </c>
      <c r="J16360" s="10" t="inlineStr">
        <is>
          <t>Hành chính / Thư ký, Hóa học, Dệt may / Da giày / Thời trang</t>
        </is>
      </c>
      <c r="K16360" s="10" t="inlineStr">
        <is>
          <t>1 - 2 Năm</t>
        </is>
      </c>
      <c r="L16360" s="11">
        <f>HYPERLINK("https://careerviet.vn/vi/tim-viec-lam/tan-phu-data-consolidation-coordinator.35C64C21.html","Xem chi tiết")</f>
        <v/>
      </c>
      <c r="M16360" s="10" t="n"/>
    </row>
    <row r="16361">
      <c r="B16361" s="7" t="n">
        <v>16359</v>
      </c>
      <c r="C16361" t="inlineStr">
        <is>
          <t>Treasury Specialist</t>
        </is>
      </c>
      <c r="D16361" t="inlineStr">
        <is>
          <t>Công ty CP Thành Thành Công - Biên Hòa</t>
        </is>
      </c>
      <c r="E16361" t="inlineStr">
        <is>
          <t>Lương:Cạnh tranh</t>
        </is>
      </c>
      <c r="F16361" t="inlineStr">
        <is>
          <t>Hồ Chí Minh</t>
        </is>
      </c>
      <c r="G16361" t="inlineStr">
        <is>
          <t>07-04-2026</t>
        </is>
      </c>
      <c r="H16361" t="inlineStr">
        <is>
          <t>07/04/2026</t>
        </is>
      </c>
      <c r="I16361" t="inlineStr">
        <is>
          <t>17/03/2026</t>
        </is>
      </c>
      <c r="J16361" t="inlineStr">
        <is>
          <t>Kế toán / Kiểm toán, Ngân hàng, Tài chính / Đầu tư</t>
        </is>
      </c>
      <c r="K16361" t="inlineStr">
        <is>
          <t>3 - 5 Năm</t>
        </is>
      </c>
      <c r="L16361" s="8">
        <f>HYPERLINK("https://careerviet.vn/vi/tim-viec-lam/treasury-specialist.35C67F4E.html","Xem chi tiết")</f>
        <v/>
      </c>
    </row>
    <row r="16362">
      <c r="B16362" s="9" t="n">
        <v>16360</v>
      </c>
      <c r="C16362" s="10" t="inlineStr">
        <is>
          <t>Quản lý Khách hàng (RM) - Vùng Tây Hà Nội</t>
        </is>
      </c>
      <c r="D16362" s="10" t="inlineStr">
        <is>
          <t>Ngân Hàng TMCP Quốc Tế Việt Nam</t>
        </is>
      </c>
      <c r="E16362" s="10" t="inlineStr">
        <is>
          <t>Lương:15 Tr - 25 Tr VND</t>
        </is>
      </c>
      <c r="F16362" s="10" t="inlineStr">
        <is>
          <t>Hà NộiPhú ThọVĩnh Phúc</t>
        </is>
      </c>
      <c r="G16362" s="10" t="inlineStr">
        <is>
          <t>07-04-2026</t>
        </is>
      </c>
      <c r="H16362" s="10" t="inlineStr">
        <is>
          <t>07/04/2026</t>
        </is>
      </c>
      <c r="I16362" s="10" t="inlineStr">
        <is>
          <t>17/03/2026</t>
        </is>
      </c>
      <c r="J16362" s="10" t="inlineStr">
        <is>
          <t>Bán hàng / Kinh doanh, Ngân hàng, Tài chính / Đầu tư</t>
        </is>
      </c>
      <c r="K16362" s="10" t="inlineStr">
        <is>
          <t>1 - 10 Năm</t>
        </is>
      </c>
      <c r="L16362" s="11">
        <f>HYPERLINK("https://careerviet.vn/vi/tim-viec-lam/quan-ly-khach-hang-rm-vung-tay-ha-noi.35C67F3D.html","Xem chi tiết")</f>
        <v/>
      </c>
      <c r="M16362" s="10" t="n"/>
    </row>
    <row r="16363">
      <c r="B16363" s="7" t="n">
        <v>16361</v>
      </c>
      <c r="C16363" t="inlineStr">
        <is>
          <t>IT (Service Desk) - Nhơn Trạch (Shuttle bus available)</t>
        </is>
      </c>
      <c r="D16363" t="inlineStr">
        <is>
          <t>Summit Polymers Vietnam Co Ltd.</t>
        </is>
      </c>
      <c r="E16363" t="inlineStr">
        <is>
          <t>Lương:Cạnh tranh</t>
        </is>
      </c>
      <c r="F16363" t="inlineStr">
        <is>
          <t>Đồng Nai</t>
        </is>
      </c>
      <c r="G16363" t="inlineStr">
        <is>
          <t>07-04-2026</t>
        </is>
      </c>
      <c r="H16363" t="inlineStr">
        <is>
          <t>07/04/2026</t>
        </is>
      </c>
      <c r="I16363" t="inlineStr">
        <is>
          <t>17/03/2026</t>
        </is>
      </c>
      <c r="J16363" t="inlineStr">
        <is>
          <t>CNTT - Phần mềm, CNTT - Phần cứng / Mạng, Sản xuất / Vận hành sản xuất</t>
        </is>
      </c>
      <c r="K16363" t="inlineStr">
        <is>
          <t>3 - 6 Năm</t>
        </is>
      </c>
      <c r="L16363" s="8">
        <f>HYPERLINK("https://careerviet.vn/vi/tim-viec-lam/it-service-desk-nhon-trach-shuttle-bus-available.35C67ED3.html","Xem chi tiết")</f>
        <v/>
      </c>
    </row>
    <row r="16364">
      <c r="B16364" s="9" t="n">
        <v>16362</v>
      </c>
      <c r="C16364" s="10" t="inlineStr">
        <is>
          <t>Chuyên viên Phát triển Sản phẩm và OEM</t>
        </is>
      </c>
      <c r="D16364" s="10" t="inlineStr">
        <is>
          <t>Công ty CP Thành Thành Công - Biên Hòa</t>
        </is>
      </c>
      <c r="E16364" s="10" t="inlineStr">
        <is>
          <t>Lương:Cạnh tranh</t>
        </is>
      </c>
      <c r="F16364" s="10" t="inlineStr">
        <is>
          <t>Tây Ninh</t>
        </is>
      </c>
      <c r="G16364" s="10" t="inlineStr">
        <is>
          <t>07-04-2026</t>
        </is>
      </c>
      <c r="H16364" s="10" t="inlineStr">
        <is>
          <t>07/04/2026</t>
        </is>
      </c>
      <c r="I16364" s="10" t="inlineStr">
        <is>
          <t>17/03/2026</t>
        </is>
      </c>
      <c r="J16364" s="10" t="inlineStr">
        <is>
          <t>Cơ khí / Ô tô / Tự động hóa, Ngành khác, Thực phẩm &amp; Đồ uống</t>
        </is>
      </c>
      <c r="K16364" s="10" t="inlineStr">
        <is>
          <t>3 - 7 Năm</t>
        </is>
      </c>
      <c r="L16364" s="11">
        <f>HYPERLINK("https://careerviet.vn/vi/tim-viec-lam/chuyen-vien-phat-trien-san-pham-va-oem.35C67F4C.html","Xem chi tiết")</f>
        <v/>
      </c>
      <c r="M16364" s="10" t="n"/>
    </row>
    <row r="16365">
      <c r="B16365" s="7" t="n">
        <v>16363</v>
      </c>
      <c r="C16365" t="inlineStr">
        <is>
          <t>Chuyên viên/Chuyên viên Chính Thẩm định tài sản bảo đảm KV Hồ Chí Minh - Trung tâm Thẩm định Tài sản bảo đảm</t>
        </is>
      </c>
      <c r="D16365" t="inlineStr">
        <is>
          <t>Ngân Hàng TMCP Quốc Dân (NCB)</t>
        </is>
      </c>
      <c r="E16365" t="inlineStr">
        <is>
          <t>Lương:Cạnh tranh</t>
        </is>
      </c>
      <c r="F16365" t="inlineStr">
        <is>
          <t>Hồ Chí Minh</t>
        </is>
      </c>
      <c r="G16365" t="inlineStr">
        <is>
          <t>07-04-2026</t>
        </is>
      </c>
      <c r="H16365" t="inlineStr">
        <is>
          <t>07/04/2026</t>
        </is>
      </c>
      <c r="I16365" t="inlineStr">
        <is>
          <t>17/03/2026</t>
        </is>
      </c>
      <c r="J16365" t="inlineStr">
        <is>
          <t>Ngân hàng</t>
        </is>
      </c>
      <c r="K16365" t="inlineStr">
        <is>
          <t>Trên 2 Năm</t>
        </is>
      </c>
      <c r="L16365" s="8">
        <f>HYPERLINK("https://careerviet.vn/vi/tim-viec-lam/chuyen-vien-chuyen-vien-chinh-tham-dinh-tai-san-bao-dam-kv-ho-chi-minh-trung-tam-tham-dinh-tai-san-bao-dam.35C67F4A.html","Xem chi tiết")</f>
        <v/>
      </c>
    </row>
    <row r="16366">
      <c r="B16366" s="9" t="n">
        <v>16364</v>
      </c>
      <c r="C16366" s="10" t="inlineStr">
        <is>
          <t>E-commerce Sales Executive (TikTok Shop &amp; Social Commerce)</t>
        </is>
      </c>
      <c r="D16366" s="10" t="inlineStr">
        <is>
          <t>Công Ty TNHH TaeYang Việt Nam Chi Nhánh Đồng Nai</t>
        </is>
      </c>
      <c r="E16366" s="10" t="inlineStr">
        <is>
          <t>Lương:Trên 17 Tr VND</t>
        </is>
      </c>
      <c r="F16366" s="10" t="inlineStr">
        <is>
          <t>Hồ Chí Minh</t>
        </is>
      </c>
      <c r="G16366" s="10" t="inlineStr">
        <is>
          <t>07-04-2026</t>
        </is>
      </c>
      <c r="H16366" s="10" t="inlineStr">
        <is>
          <t>07/04/2026</t>
        </is>
      </c>
      <c r="I16366" s="10" t="inlineStr">
        <is>
          <t>17/03/2026</t>
        </is>
      </c>
      <c r="J16366" s="10" t="inlineStr">
        <is>
          <t>Bán hàng / Kinh doanh, Tiếp thị trực tuyến, Thương mại điện tử</t>
        </is>
      </c>
      <c r="K16366" s="10" t="inlineStr">
        <is>
          <t>Trên 3 Năm</t>
        </is>
      </c>
      <c r="L16366" s="11">
        <f>HYPERLINK("https://careerviet.vn/vi/tim-viec-lam/e-commerce-sales-executive-tiktok-shop-social-commerce.35C67F1D.html","Xem chi tiết")</f>
        <v/>
      </c>
      <c r="M16366" s="10" t="n"/>
    </row>
    <row r="16367">
      <c r="B16367" s="7" t="n">
        <v>16365</v>
      </c>
      <c r="C16367" t="inlineStr">
        <is>
          <t>Chuyên Viên Giám Sát Rủi Ro Thẻ Tín Dụng</t>
        </is>
      </c>
      <c r="D16367" t="inlineStr">
        <is>
          <t>FE CREDIT</t>
        </is>
      </c>
      <c r="E16367" t="inlineStr">
        <is>
          <t>Lương:Cạnh tranh</t>
        </is>
      </c>
      <c r="F16367" t="inlineStr">
        <is>
          <t>Hồ Chí Minh</t>
        </is>
      </c>
      <c r="G16367" t="inlineStr">
        <is>
          <t>07-04-2026</t>
        </is>
      </c>
      <c r="H16367" t="inlineStr">
        <is>
          <t>07/04/2026</t>
        </is>
      </c>
      <c r="I16367" t="inlineStr">
        <is>
          <t>17/03/2026</t>
        </is>
      </c>
      <c r="J16367" t="inlineStr">
        <is>
          <t>Tài chính / Đầu tư</t>
        </is>
      </c>
      <c r="K16367" t="inlineStr">
        <is>
          <t>1 - 2 Năm</t>
        </is>
      </c>
      <c r="L16367" s="8">
        <f>HYPERLINK("https://careerviet.vn/vi/tim-viec-lam/chuyen-vien-giam-sat-rui-ro-the-tin-dung.35C64D3C.html","Xem chi tiết")</f>
        <v/>
      </c>
    </row>
    <row r="16368">
      <c r="B16368" s="9" t="n">
        <v>16366</v>
      </c>
      <c r="C16368" s="10" t="inlineStr">
        <is>
          <t>[Đà Nẵng] Chuyên viên Khách hàng ưu tiên</t>
        </is>
      </c>
      <c r="D16368" s="10" t="inlineStr">
        <is>
          <t>Ngân hàng TMCP Đại Chúng Việt Nam - PVcomBank</t>
        </is>
      </c>
      <c r="E16368" s="10" t="inlineStr">
        <is>
          <t>Lương:15 Tr - 30 Tr VND</t>
        </is>
      </c>
      <c r="F16368" s="10" t="inlineStr">
        <is>
          <t>Đà NẵngKV Nam Trung Bộ</t>
        </is>
      </c>
      <c r="G16368" s="10" t="inlineStr">
        <is>
          <t>07-04-2026</t>
        </is>
      </c>
      <c r="H16368" s="10" t="inlineStr">
        <is>
          <t>07/04/2026</t>
        </is>
      </c>
      <c r="I16368" s="10" t="inlineStr">
        <is>
          <t>17/03/2026</t>
        </is>
      </c>
      <c r="J16368" s="10" t="inlineStr">
        <is>
          <t>Bán hàng / Kinh doanh, Ngân hàng</t>
        </is>
      </c>
      <c r="K16368" s="10" t="inlineStr">
        <is>
          <t>Trên 1 Năm</t>
        </is>
      </c>
      <c r="L16368" s="11">
        <f>HYPERLINK("https://careerviet.vn/vi/tim-viec-lam/da-nang-chuyen-vien-khach-hang-uu-tien.35C64D7B.html","Xem chi tiết")</f>
        <v/>
      </c>
      <c r="M16368" s="10" t="n"/>
    </row>
    <row r="16369">
      <c r="B16369" s="7" t="n">
        <v>16367</v>
      </c>
      <c r="C16369" t="inlineStr">
        <is>
          <t>Nhân Viên Livestream Kênh Tiktok, Shopee (Ngành Mẹ và Bé)</t>
        </is>
      </c>
      <c r="D16369" t="inlineStr">
        <is>
          <t>Công Ty TNHH XNK Cầu Nối Việt</t>
        </is>
      </c>
      <c r="E16369" t="inlineStr">
        <is>
          <t>Lương:14 Tr - 20 Tr VND</t>
        </is>
      </c>
      <c r="F16369" t="inlineStr">
        <is>
          <t>Hà Nội</t>
        </is>
      </c>
      <c r="G16369" t="inlineStr">
        <is>
          <t>07-04-2026</t>
        </is>
      </c>
      <c r="H16369" t="inlineStr">
        <is>
          <t>07/04/2026</t>
        </is>
      </c>
      <c r="I16369" t="inlineStr">
        <is>
          <t>17/03/2026</t>
        </is>
      </c>
      <c r="J16369" t="inlineStr">
        <is>
          <t>Bán hàng / Kinh doanh, Tiếp thị trực tuyến, Thương mại điện tử</t>
        </is>
      </c>
      <c r="K16369" t="inlineStr">
        <is>
          <t>1 - 5 Năm</t>
        </is>
      </c>
      <c r="L16369" s="8">
        <f>HYPERLINK("https://careerviet.vn/vi/tim-viec-lam/nhan-vien-livestream-kenh-tiktok-shopee-nganh-me-va-be.35C67E6D.html","Xem chi tiết")</f>
        <v/>
      </c>
    </row>
    <row r="16370">
      <c r="B16370" s="9" t="n">
        <v>16368</v>
      </c>
      <c r="C16370" s="10" t="inlineStr">
        <is>
          <t>INTERNATIONAL SALES AND IMPORT EXPORT DOCUMENTS</t>
        </is>
      </c>
      <c r="D16370" s="10" t="inlineStr">
        <is>
          <t>VISU COMPANY LIMITED</t>
        </is>
      </c>
      <c r="E16370" s="10" t="inlineStr">
        <is>
          <t>Lương:15 Tr - 20 Tr VND</t>
        </is>
      </c>
      <c r="F16370" s="10" t="inlineStr">
        <is>
          <t>Hồ Chí Minh</t>
        </is>
      </c>
      <c r="G16370" s="10" t="inlineStr">
        <is>
          <t>07-04-2026</t>
        </is>
      </c>
      <c r="H16370" s="10" t="inlineStr">
        <is>
          <t>07/04/2026</t>
        </is>
      </c>
      <c r="I16370" s="10" t="inlineStr">
        <is>
          <t>17/03/2026</t>
        </is>
      </c>
      <c r="J16370" s="10" t="inlineStr">
        <is>
          <t>Bán hàng / Kinh doanh, Xuất nhập khẩu</t>
        </is>
      </c>
      <c r="K16370" s="10" t="inlineStr">
        <is>
          <t>3 - 5 Năm</t>
        </is>
      </c>
      <c r="L16370" s="11">
        <f>HYPERLINK("https://careerviet.vn/vi/tim-viec-lam/international-sales-and-import-export-documents.35C67E64.html","Xem chi tiết")</f>
        <v/>
      </c>
      <c r="M16370" s="10" t="n"/>
    </row>
    <row r="16371">
      <c r="B16371" s="7" t="n">
        <v>16369</v>
      </c>
      <c r="C16371" t="inlineStr">
        <is>
          <t>NHÂN VIÊN GIAO NHẬN</t>
        </is>
      </c>
      <c r="D16371" t="inlineStr">
        <is>
          <t>CÔNG TY TNHH SẢN XUẤT VÀ THƯƠNG MẠI TRƯƠNG VUI</t>
        </is>
      </c>
      <c r="E16371" t="inlineStr">
        <is>
          <t>Lương:7 Tr - 8 Tr VND</t>
        </is>
      </c>
      <c r="F16371" t="inlineStr">
        <is>
          <t>Hồ Chí Minh</t>
        </is>
      </c>
      <c r="G16371" t="inlineStr">
        <is>
          <t>07-04-2026</t>
        </is>
      </c>
      <c r="H16371" t="inlineStr">
        <is>
          <t>07/04/2026</t>
        </is>
      </c>
      <c r="I16371" t="inlineStr">
        <is>
          <t>17/03/2026</t>
        </is>
      </c>
      <c r="J16371" t="inlineStr">
        <is>
          <t>Vận chuyển / Giao nhận / Kho vận</t>
        </is>
      </c>
      <c r="K16371" t="inlineStr">
        <is>
          <t>N/A</t>
        </is>
      </c>
      <c r="L16371" s="8">
        <f>HYPERLINK("https://careerviet.vn/vi/tim-viec-lam/nhan-vien-giao-nhan.35C67F3F.html","Xem chi tiết")</f>
        <v/>
      </c>
    </row>
    <row r="16372">
      <c r="B16372" s="9" t="n">
        <v>16370</v>
      </c>
      <c r="C16372" s="10" t="inlineStr">
        <is>
          <t>HCM - Giám sát bán hàng Cửa Hàng Charles &amp; Keith</t>
        </is>
      </c>
      <c r="D16372" s="10" t="inlineStr">
        <is>
          <t>CÔNG TY CỔ PHẦN MAISON RETAIL MANAGEMENT INTERNATIONAL</t>
        </is>
      </c>
      <c r="E16372" s="10" t="inlineStr">
        <is>
          <t>Lương:8,5 Tr - 10 Tr VND</t>
        </is>
      </c>
      <c r="F16372" s="10" t="inlineStr">
        <is>
          <t>Hồ Chí Minh</t>
        </is>
      </c>
      <c r="G16372" s="10" t="inlineStr">
        <is>
          <t>07-04-2026</t>
        </is>
      </c>
      <c r="H16372" s="10" t="inlineStr">
        <is>
          <t>07/04/2026</t>
        </is>
      </c>
      <c r="I16372" s="10" t="inlineStr">
        <is>
          <t>17/03/2026</t>
        </is>
      </c>
      <c r="J16372" s="10" t="inlineStr">
        <is>
          <t>Bán lẻ / Bán sỉ, Bán hàng / Kinh doanh, Dệt may / Da giày / Thời trang</t>
        </is>
      </c>
      <c r="K16372" s="10" t="inlineStr">
        <is>
          <t>1 - 2 Năm</t>
        </is>
      </c>
      <c r="L16372" s="11">
        <f>HYPERLINK("https://careerviet.vn/vi/tim-viec-lam/hcm-giam-sat-ban-hang-cua-hang-charles-keith.35C64D08.html","Xem chi tiết")</f>
        <v/>
      </c>
      <c r="M16372" s="10" t="n"/>
    </row>
    <row r="16373">
      <c r="B16373" s="7" t="n">
        <v>16371</v>
      </c>
      <c r="C16373" t="inlineStr">
        <is>
          <t>Chuyên viên C&amp;B</t>
        </is>
      </c>
      <c r="D16373" t="inlineStr">
        <is>
          <t>CÔNG TY CỔ PHẦN VINATECH SOLUTION</t>
        </is>
      </c>
      <c r="E16373" t="inlineStr">
        <is>
          <t>Lương:12 Tr - 16 Tr VND</t>
        </is>
      </c>
      <c r="F16373" t="inlineStr">
        <is>
          <t>Hồ Chí Minh</t>
        </is>
      </c>
      <c r="G16373" t="inlineStr">
        <is>
          <t>07-04-2026</t>
        </is>
      </c>
      <c r="H16373" t="inlineStr">
        <is>
          <t>07/04/2026</t>
        </is>
      </c>
      <c r="I16373" t="inlineStr">
        <is>
          <t>17/03/2026</t>
        </is>
      </c>
      <c r="J16373" t="inlineStr">
        <is>
          <t>Luật / Pháp lý, Nhân sự, Kế toán / Kiểm toán</t>
        </is>
      </c>
      <c r="K16373" t="inlineStr">
        <is>
          <t>2 - 5 Năm</t>
        </is>
      </c>
      <c r="L16373" s="8">
        <f>HYPERLINK("https://careerviet.vn/vi/tim-viec-lam/chuyen-vien-c-b.35C64C24.html","Xem chi tiết")</f>
        <v/>
      </c>
    </row>
    <row r="16374">
      <c r="B16374" s="9" t="n">
        <v>16372</v>
      </c>
      <c r="C16374" s="10" t="inlineStr">
        <is>
          <t>Sales Engineer</t>
        </is>
      </c>
      <c r="D16374" s="10" t="inlineStr">
        <is>
          <t>Công ty TNHH Máy Chính Xác AMC</t>
        </is>
      </c>
      <c r="E16374" s="10" t="inlineStr">
        <is>
          <t>Lương:15 Tr - 30 Tr VND</t>
        </is>
      </c>
      <c r="F16374" s="10" t="inlineStr">
        <is>
          <t>Hà Nội</t>
        </is>
      </c>
      <c r="G16374" s="10" t="inlineStr">
        <is>
          <t>07-04-2026</t>
        </is>
      </c>
      <c r="H16374" s="10" t="inlineStr">
        <is>
          <t>07/04/2026</t>
        </is>
      </c>
      <c r="I16374" s="10" t="inlineStr">
        <is>
          <t>17/03/2026</t>
        </is>
      </c>
      <c r="J16374" s="10" t="inlineStr">
        <is>
          <t>Bán hàng / Kinh doanh, Bán Hàng Kỹ Thuật, Cơ khí / Ô tô / Tự động hóa</t>
        </is>
      </c>
      <c r="K16374" s="10" t="inlineStr">
        <is>
          <t>1 - 5 Năm</t>
        </is>
      </c>
      <c r="L16374" s="11">
        <f>HYPERLINK("https://careerviet.vn/vi/tim-viec-lam/sales-engineer.35C67F38.html","Xem chi tiết")</f>
        <v/>
      </c>
      <c r="M16374" s="10" t="n"/>
    </row>
    <row r="16375">
      <c r="B16375" s="7" t="n">
        <v>16373</v>
      </c>
      <c r="C16375" t="inlineStr">
        <is>
          <t>Service Excellence Attendant (Sales Gallery)</t>
        </is>
      </c>
      <c r="D16375" t="inlineStr">
        <is>
          <t>Công ty Cổ phần Gamuda Land (HCMC)</t>
        </is>
      </c>
      <c r="E16375" t="inlineStr">
        <is>
          <t>Lương:Cạnh tranh</t>
        </is>
      </c>
      <c r="F16375" t="inlineStr">
        <is>
          <t>Hồ Chí Minh</t>
        </is>
      </c>
      <c r="G16375" t="inlineStr">
        <is>
          <t>07-04-2026</t>
        </is>
      </c>
      <c r="H16375" t="inlineStr">
        <is>
          <t>07/04/2026</t>
        </is>
      </c>
      <c r="I16375" t="inlineStr">
        <is>
          <t>17/03/2026</t>
        </is>
      </c>
      <c r="J16375" t="inlineStr">
        <is>
          <t>Tư vấn, Dịch vụ khách hàng, Hành chính / Thư ký</t>
        </is>
      </c>
      <c r="K16375" t="inlineStr">
        <is>
          <t>2 - 3 Năm</t>
        </is>
      </c>
      <c r="L16375" s="8">
        <f>HYPERLINK("https://careerviet.vn/vi/tim-viec-lam/service-excellence-attendant-sales-gallery.35C67E81.html","Xem chi tiết")</f>
        <v/>
      </c>
    </row>
    <row r="16376">
      <c r="B16376" s="9" t="n">
        <v>16374</v>
      </c>
      <c r="C16376" s="10" t="inlineStr">
        <is>
          <t>Chuyên viên Trade Marketing</t>
        </is>
      </c>
      <c r="D16376" s="10" t="inlineStr">
        <is>
          <t>Công ty TNHH SX và TM  BQ</t>
        </is>
      </c>
      <c r="E16376" s="10" t="inlineStr">
        <is>
          <t>Lương:10 Tr - 13 Tr VND</t>
        </is>
      </c>
      <c r="F16376" s="10" t="inlineStr">
        <is>
          <t>Đà Nẵng</t>
        </is>
      </c>
      <c r="G16376" s="10" t="inlineStr">
        <is>
          <t>07-04-2026</t>
        </is>
      </c>
      <c r="H16376" s="10" t="inlineStr">
        <is>
          <t>07/04/2026</t>
        </is>
      </c>
      <c r="I16376" s="10" t="inlineStr">
        <is>
          <t>17/03/2026</t>
        </is>
      </c>
      <c r="J16376" s="10" t="inlineStr">
        <is>
          <t>Tiếp thị / Marketing, Bán lẻ / Bán sỉ, Bán hàng / Kinh doanh</t>
        </is>
      </c>
      <c r="K16376" s="10" t="inlineStr">
        <is>
          <t>1 - 3 Năm</t>
        </is>
      </c>
      <c r="L16376" s="11">
        <f>HYPERLINK("https://careerviet.vn/vi/tim-viec-lam/chuyen-vien-trade-marketing.35C64C83.html","Xem chi tiết")</f>
        <v/>
      </c>
      <c r="M16376" s="10" t="n"/>
    </row>
    <row r="16377">
      <c r="B16377" s="7" t="n">
        <v>16375</v>
      </c>
      <c r="C16377" t="inlineStr">
        <is>
          <t>GIÁM SÁT THI CÔNG KÈ</t>
        </is>
      </c>
      <c r="D16377" t="inlineStr">
        <is>
          <t>Công Ty TNHH Sản Xuất Kinh Doanh Hai Thành</t>
        </is>
      </c>
      <c r="E16377" t="inlineStr">
        <is>
          <t>Lương:28 Tr - 30 Tr VND</t>
        </is>
      </c>
      <c r="F16377" t="inlineStr">
        <is>
          <t>Long An</t>
        </is>
      </c>
      <c r="G16377" t="inlineStr">
        <is>
          <t>07-04-2026</t>
        </is>
      </c>
      <c r="H16377" t="inlineStr">
        <is>
          <t>07/04/2026</t>
        </is>
      </c>
      <c r="I16377" t="inlineStr">
        <is>
          <t>17/03/2026</t>
        </is>
      </c>
      <c r="J16377" t="inlineStr">
        <is>
          <t>Kiến trúc, Xây dựng, Thủy lợi</t>
        </is>
      </c>
      <c r="K16377" t="inlineStr">
        <is>
          <t>Lên đến 5 Năm</t>
        </is>
      </c>
      <c r="L16377" s="8">
        <f>HYPERLINK("https://careerviet.vn/vi/tim-viec-lam/giam-sat-thi-cong-ke.35C64CA7.html","Xem chi tiết")</f>
        <v/>
      </c>
    </row>
    <row r="16378">
      <c r="B16378" s="9" t="n">
        <v>16376</v>
      </c>
      <c r="C16378" s="10" t="inlineStr">
        <is>
          <t>Trưởng Phòng QC - Ngành Gỗ Nội Thất</t>
        </is>
      </c>
      <c r="D16378" s="10" t="inlineStr">
        <is>
          <t>Công Ty TNHH Xây Dựng và Nội Thất Cao Cấp Alliance</t>
        </is>
      </c>
      <c r="E16378" s="10" t="inlineStr">
        <is>
          <t>Lương:Cạnh tranh</t>
        </is>
      </c>
      <c r="F16378" s="10" t="inlineStr">
        <is>
          <t>Long AnHồ Chí Minh</t>
        </is>
      </c>
      <c r="G16378" s="10" t="inlineStr">
        <is>
          <t>07-04-2026</t>
        </is>
      </c>
      <c r="H16378" s="10" t="inlineStr">
        <is>
          <t>07/04/2026</t>
        </is>
      </c>
      <c r="I16378" s="10" t="inlineStr">
        <is>
          <t>17/03/2026</t>
        </is>
      </c>
      <c r="J16378" s="10" t="inlineStr">
        <is>
          <t>Đồ gỗ, Quản lý chất lượng (QA/QC), Nội ngoại thất</t>
        </is>
      </c>
      <c r="K16378" s="10" t="inlineStr">
        <is>
          <t>5 - 10 Năm</t>
        </is>
      </c>
      <c r="L16378" s="11">
        <f>HYPERLINK("https://careerviet.vn/vi/tim-viec-lam/truong-phong-qc-nganh-go-noi-that.35C67EA0.html","Xem chi tiết")</f>
        <v/>
      </c>
      <c r="M16378" s="10" t="n"/>
    </row>
    <row r="16379">
      <c r="B16379" s="7" t="n">
        <v>16377</v>
      </c>
      <c r="C16379" t="inlineStr">
        <is>
          <t>QC Staff (Làm việc tại Tây Ninh)</t>
        </is>
      </c>
      <c r="D16379" t="inlineStr">
        <is>
          <t>Công ty CP Thành Thành Công - Biên Hòa</t>
        </is>
      </c>
      <c r="E16379" t="inlineStr">
        <is>
          <t>Lương:Cạnh tranh</t>
        </is>
      </c>
      <c r="F16379" t="inlineStr">
        <is>
          <t>Tây Ninh</t>
        </is>
      </c>
      <c r="G16379" t="inlineStr">
        <is>
          <t>07-04-2026</t>
        </is>
      </c>
      <c r="H16379" t="inlineStr">
        <is>
          <t>07/04/2026</t>
        </is>
      </c>
      <c r="I16379" t="inlineStr">
        <is>
          <t>17/03/2026</t>
        </is>
      </c>
      <c r="J16379" t="inlineStr">
        <is>
          <t>Công nghệ thực phẩm / Dinh dưỡng, Công nghệ sinh học, Hóa học</t>
        </is>
      </c>
      <c r="K16379" t="inlineStr">
        <is>
          <t>1 - 3 Năm</t>
        </is>
      </c>
      <c r="L16379" s="8">
        <f>HYPERLINK("https://careerviet.vn/vi/tim-viec-lam/qc-staff-lam-viec-tai-tay-ninh.35C67F55.html","Xem chi tiết")</f>
        <v/>
      </c>
    </row>
    <row r="16380">
      <c r="B16380" s="9" t="n">
        <v>16378</v>
      </c>
      <c r="C16380" s="10" t="inlineStr">
        <is>
          <t>TRƯỞNG BƯU CỤC TẠI HÀ NỘI</t>
        </is>
      </c>
      <c r="D16380" s="10" t="inlineStr">
        <is>
          <t>Công Ty TNHH BEST Logistics Technology (Việt Nam)</t>
        </is>
      </c>
      <c r="E16380" s="10" t="inlineStr">
        <is>
          <t>Lương:12 Tr - 15 Tr VND</t>
        </is>
      </c>
      <c r="F16380" s="10" t="inlineStr">
        <is>
          <t>Hà Nội</t>
        </is>
      </c>
      <c r="G16380" s="10" t="inlineStr">
        <is>
          <t>07-04-2026</t>
        </is>
      </c>
      <c r="H16380" s="10" t="inlineStr">
        <is>
          <t>07/04/2026</t>
        </is>
      </c>
      <c r="I16380" s="10" t="inlineStr">
        <is>
          <t>17/03/2026</t>
        </is>
      </c>
      <c r="J16380" s="10" t="inlineStr">
        <is>
          <t>Dịch vụ khách hàng, Vận chuyển / Giao nhận / Kho vận, Quản lý điều hành</t>
        </is>
      </c>
      <c r="K16380" s="10" t="inlineStr">
        <is>
          <t>1 - 2 Năm</t>
        </is>
      </c>
      <c r="L16380" s="11">
        <f>HYPERLINK("https://careerviet.vn/vi/tim-viec-lam/truong-buu-cuc-tai-ha-noi.35C67F0E.html","Xem chi tiết")</f>
        <v/>
      </c>
      <c r="M16380" s="10" t="n"/>
    </row>
    <row r="16381">
      <c r="B16381" s="7" t="n">
        <v>16379</v>
      </c>
      <c r="C16381" t="inlineStr">
        <is>
          <t>Kiến Trúc Sư Triển Khai Bản Vẽ</t>
        </is>
      </c>
      <c r="D16381" t="inlineStr">
        <is>
          <t>TỔNG CÔNG TY CỔ PHẦN THƯƠNG MẠI XÂY DỰNG</t>
        </is>
      </c>
      <c r="E16381" t="inlineStr">
        <is>
          <t>Lương:15 Tr - 20 Tr VND</t>
        </is>
      </c>
      <c r="F16381" t="inlineStr">
        <is>
          <t>Hà Nội</t>
        </is>
      </c>
      <c r="G16381" t="inlineStr">
        <is>
          <t>07-04-2026</t>
        </is>
      </c>
      <c r="H16381" t="inlineStr">
        <is>
          <t>07/04/2026</t>
        </is>
      </c>
      <c r="I16381" t="inlineStr">
        <is>
          <t>17/03/2026</t>
        </is>
      </c>
      <c r="J16381" t="inlineStr">
        <is>
          <t>Mỹ thuật / Nghệ thuật / Thiết kế, Kiến trúc, Xây dựng</t>
        </is>
      </c>
      <c r="K16381" t="inlineStr">
        <is>
          <t>Trên 2 Năm</t>
        </is>
      </c>
      <c r="L16381" s="8">
        <f>HYPERLINK("https://careerviet.vn/vi/tim-viec-lam/kien-truc-su-trien-khai-ban-ve.35C64DA2.html","Xem chi tiết")</f>
        <v/>
      </c>
    </row>
    <row r="16382">
      <c r="B16382" s="9" t="n">
        <v>16380</v>
      </c>
      <c r="C16382" s="10" t="inlineStr">
        <is>
          <t>CHỈ HUY TRƯỞNG CÔNG TRÌNH</t>
        </is>
      </c>
      <c r="D16382" s="10" t="inlineStr">
        <is>
          <t>Công Ty Cổ Phần Kiến Trúc Tư Vấn Quản Lý Đông Dương</t>
        </is>
      </c>
      <c r="E16382" s="10" t="inlineStr">
        <is>
          <t>Lương:Cạnh tranh</t>
        </is>
      </c>
      <c r="F16382" s="10" t="inlineStr">
        <is>
          <t>Hồ Chí Minh</t>
        </is>
      </c>
      <c r="G16382" s="10" t="inlineStr">
        <is>
          <t>07-04-2026</t>
        </is>
      </c>
      <c r="H16382" s="10" t="inlineStr">
        <is>
          <t>07/04/2026</t>
        </is>
      </c>
      <c r="I16382" s="10" t="inlineStr">
        <is>
          <t>17/03/2026</t>
        </is>
      </c>
      <c r="J16382" s="10" t="inlineStr">
        <is>
          <t>Kiến trúc, Xây dựng, Bất động sản</t>
        </is>
      </c>
      <c r="K16382" s="10" t="inlineStr">
        <is>
          <t>5 - 20 Năm</t>
        </is>
      </c>
      <c r="L16382" s="11">
        <f>HYPERLINK("https://careerviet.vn/vi/tim-viec-lam/chi-huy-truong-cong-trinh.35C64C9B.html","Xem chi tiết")</f>
        <v/>
      </c>
      <c r="M16382" s="10" t="n"/>
    </row>
    <row r="16383">
      <c r="B16383" s="7" t="n">
        <v>16381</v>
      </c>
      <c r="C16383" t="inlineStr">
        <is>
          <t>IT Communicator (Japanese – JLPT N2+)</t>
        </is>
      </c>
      <c r="D16383" t="inlineStr">
        <is>
          <t>CÔNG TY TNHH ARIS VIỆT NAM</t>
        </is>
      </c>
      <c r="E16383" t="inlineStr">
        <is>
          <t>Lương:Cạnh tranh</t>
        </is>
      </c>
      <c r="F16383" t="inlineStr">
        <is>
          <t>Hồ Chí Minh</t>
        </is>
      </c>
      <c r="G16383" t="inlineStr">
        <is>
          <t>07-04-2026</t>
        </is>
      </c>
      <c r="H16383" t="inlineStr">
        <is>
          <t>07/04/2026</t>
        </is>
      </c>
      <c r="I16383" t="inlineStr">
        <is>
          <t>17/03/2026</t>
        </is>
      </c>
      <c r="J16383" t="inlineStr">
        <is>
          <t>CNTT - Phần mềm, CNTT - Phần cứng / Mạng</t>
        </is>
      </c>
      <c r="K16383" t="inlineStr">
        <is>
          <t>Trên 1 Năm</t>
        </is>
      </c>
      <c r="L16383" s="8">
        <f>HYPERLINK("https://careerviet.vn/vi/tim-viec-lam/it-communicator-japanese-jlpt-n2.35C67E91.html","Xem chi tiết")</f>
        <v/>
      </c>
    </row>
    <row r="16384">
      <c r="B16384" s="9" t="n">
        <v>16382</v>
      </c>
      <c r="C16384" s="10" t="inlineStr">
        <is>
          <t>Nhân viên văn phòng tổng hợp</t>
        </is>
      </c>
      <c r="D16384" s="10" t="inlineStr">
        <is>
          <t>CÔNG TY TNHH CARBORI MOLDS VIỆT NAM</t>
        </is>
      </c>
      <c r="E16384" s="10" t="inlineStr">
        <is>
          <t>Lương:Cạnh tranh</t>
        </is>
      </c>
      <c r="F16384" s="10" t="inlineStr">
        <is>
          <t>Đồng Nai</t>
        </is>
      </c>
      <c r="G16384" s="10" t="inlineStr">
        <is>
          <t>07-04-2026</t>
        </is>
      </c>
      <c r="H16384" s="10" t="inlineStr">
        <is>
          <t>07/04/2026</t>
        </is>
      </c>
      <c r="I16384" s="10" t="inlineStr">
        <is>
          <t>17/03/2026</t>
        </is>
      </c>
      <c r="J16384" s="10" t="inlineStr">
        <is>
          <t>Kế toán / Kiểm toán, Xuất nhập khẩu, Thu mua / Vật tư</t>
        </is>
      </c>
      <c r="K16384" s="10" t="inlineStr">
        <is>
          <t>2 - 3 Năm</t>
        </is>
      </c>
      <c r="L16384" s="11">
        <f>HYPERLINK("https://careerviet.vn/vi/tim-viec-lam/nhan-vien-van-phong-tong-hop.35C67E86.html","Xem chi tiết")</f>
        <v/>
      </c>
      <c r="M16384" s="10" t="n"/>
    </row>
    <row r="16385">
      <c r="B16385" s="7" t="n">
        <v>16383</v>
      </c>
      <c r="C16385" t="inlineStr">
        <is>
          <t>Nhân viên bảo trì</t>
        </is>
      </c>
      <c r="D16385" t="inlineStr">
        <is>
          <t>Công Ty TNHH Coronet Việt Nam</t>
        </is>
      </c>
      <c r="E16385" t="inlineStr">
        <is>
          <t>Lương:Cạnh tranh</t>
        </is>
      </c>
      <c r="F16385" t="inlineStr">
        <is>
          <t>Bến Tre</t>
        </is>
      </c>
      <c r="G16385" t="inlineStr">
        <is>
          <t>07-04-2026</t>
        </is>
      </c>
      <c r="H16385" t="inlineStr">
        <is>
          <t>07/04/2026</t>
        </is>
      </c>
      <c r="I16385" t="inlineStr">
        <is>
          <t>17/03/2026</t>
        </is>
      </c>
      <c r="J16385" t="inlineStr">
        <is>
          <t>Điện / Điện tử / Điện lạnh / Điện công nghiệp, Bảo trì / Sửa chữa</t>
        </is>
      </c>
      <c r="K16385" t="inlineStr">
        <is>
          <t>1 - 2 Năm</t>
        </is>
      </c>
      <c r="L16385" s="8">
        <f>HYPERLINK("https://careerviet.vn/vi/tim-viec-lam/nhan-vien-bao-tri.35C67E76.html","Xem chi tiết")</f>
        <v/>
      </c>
    </row>
    <row r="16386">
      <c r="B16386" s="9" t="n">
        <v>16384</v>
      </c>
      <c r="C16386" s="10" t="inlineStr">
        <is>
          <t>Trưởng phòng Quản lý chất lượng (Làm việc tại Lào)</t>
        </is>
      </c>
      <c r="D16386" s="10" t="inlineStr">
        <is>
          <t>Công ty CP Thành Thành Công - Biên Hòa</t>
        </is>
      </c>
      <c r="E16386" s="10" t="inlineStr">
        <is>
          <t>Lương:Cạnh tranh</t>
        </is>
      </c>
      <c r="F16386" s="10" t="inlineStr">
        <is>
          <t>Attapeu</t>
        </is>
      </c>
      <c r="G16386" s="10" t="inlineStr">
        <is>
          <t>07-04-2026</t>
        </is>
      </c>
      <c r="H16386" s="10" t="inlineStr">
        <is>
          <t>07/04/2026</t>
        </is>
      </c>
      <c r="I16386" s="10" t="inlineStr">
        <is>
          <t>17/03/2026</t>
        </is>
      </c>
      <c r="J16386" s="10" t="inlineStr">
        <is>
          <t>Công nghệ thực phẩm / Dinh dưỡng, Quản lý chất lượng (QA/QC)</t>
        </is>
      </c>
      <c r="K16386" s="10" t="inlineStr">
        <is>
          <t>5 - 15 Năm</t>
        </is>
      </c>
      <c r="L16386" s="11">
        <f>HYPERLINK("https://careerviet.vn/vi/tim-viec-lam/truong-phong-quan-ly-chat-luong-lam-viec-tai-lao.35C67F4D.html","Xem chi tiết")</f>
        <v/>
      </c>
      <c r="M16386" s="10" t="n"/>
    </row>
    <row r="16387">
      <c r="B16387" s="7" t="n">
        <v>16385</v>
      </c>
      <c r="C16387" t="inlineStr">
        <is>
          <t>Trưởng đoàn Giám sát dự án Ecity</t>
        </is>
      </c>
      <c r="D16387" t="inlineStr">
        <is>
          <t>CÔNG TY CỔ PHẦN ĐẦU TƯ VÀ XÂY DỰNG XUÂN MAI</t>
        </is>
      </c>
      <c r="E16387" t="inlineStr">
        <is>
          <t>Lương:30 Tr - 35 Tr VND</t>
        </is>
      </c>
      <c r="F16387" t="inlineStr">
        <is>
          <t>Hà Nội</t>
        </is>
      </c>
      <c r="G16387" t="inlineStr">
        <is>
          <t>07-04-2026</t>
        </is>
      </c>
      <c r="H16387" t="inlineStr">
        <is>
          <t>07/04/2026</t>
        </is>
      </c>
      <c r="I16387" t="inlineStr">
        <is>
          <t>17/03/2026</t>
        </is>
      </c>
      <c r="J16387" t="inlineStr">
        <is>
          <t>Xây dựng, Bất động sản</t>
        </is>
      </c>
      <c r="K16387" t="inlineStr">
        <is>
          <t>5 - 7 Năm</t>
        </is>
      </c>
      <c r="L16387" s="8">
        <f>HYPERLINK("https://careerviet.vn/vi/tim-viec-lam/truong-doan-giam-sat-du-an-ecity.35C67DB5.html","Xem chi tiết")</f>
        <v/>
      </c>
    </row>
    <row r="16388">
      <c r="B16388" s="9" t="n">
        <v>16386</v>
      </c>
      <c r="C16388" s="10" t="inlineStr">
        <is>
          <t>Senior TABP Executive</t>
        </is>
      </c>
      <c r="D16388" s="10" t="inlineStr">
        <is>
          <t>Savills Vietnam</t>
        </is>
      </c>
      <c r="E16388" s="10" t="inlineStr">
        <is>
          <t>Lương:Cạnh tranh</t>
        </is>
      </c>
      <c r="F16388" s="10" t="inlineStr">
        <is>
          <t>Hồ Chí Minh</t>
        </is>
      </c>
      <c r="G16388" s="10" t="inlineStr">
        <is>
          <t>07-04-2026</t>
        </is>
      </c>
      <c r="H16388" s="10" t="inlineStr">
        <is>
          <t>07/04/2026</t>
        </is>
      </c>
      <c r="I16388" s="10" t="inlineStr">
        <is>
          <t>17/03/2026</t>
        </is>
      </c>
      <c r="J16388" s="10" t="inlineStr">
        <is>
          <t>Nhân sự</t>
        </is>
      </c>
      <c r="K16388" s="10" t="inlineStr">
        <is>
          <t>N/A</t>
        </is>
      </c>
      <c r="L16388" s="11">
        <f>HYPERLINK("https://careerviet.vn/vi/tim-viec-lam/senior-tabp-executive.35C64C09.html","Xem chi tiết")</f>
        <v/>
      </c>
      <c r="M16388" s="10" t="n"/>
    </row>
    <row r="16389">
      <c r="B16389" s="7" t="n">
        <v>16387</v>
      </c>
      <c r="C16389" t="inlineStr">
        <is>
          <t>Quản lý chất lượng</t>
        </is>
      </c>
      <c r="D16389" t="inlineStr">
        <is>
          <t>CÔNG TY TNHH MGENTECH</t>
        </is>
      </c>
      <c r="E16389" t="inlineStr">
        <is>
          <t>Lương:15 Tr - 20 Tr VND</t>
        </is>
      </c>
      <c r="F16389" t="inlineStr">
        <is>
          <t>Long An</t>
        </is>
      </c>
      <c r="G16389" t="inlineStr">
        <is>
          <t>07-04-2026</t>
        </is>
      </c>
      <c r="H16389" t="inlineStr">
        <is>
          <t>07/04/2026</t>
        </is>
      </c>
      <c r="I16389" t="inlineStr">
        <is>
          <t>17/03/2026</t>
        </is>
      </c>
      <c r="J16389" t="inlineStr">
        <is>
          <t>Sản xuất / Vận hành sản xuất</t>
        </is>
      </c>
      <c r="K16389" t="inlineStr">
        <is>
          <t>1 - 2 Năm</t>
        </is>
      </c>
      <c r="L16389" s="8">
        <f>HYPERLINK("https://careerviet.vn/vi/tim-viec-lam/quan-ly-chat-luong.35C67DE3.html","Xem chi tiết")</f>
        <v/>
      </c>
    </row>
    <row r="16390">
      <c r="B16390" s="9" t="n">
        <v>16388</v>
      </c>
      <c r="C16390" s="10" t="inlineStr">
        <is>
          <t>Nhân viên mua hàng/ Ngành Nội Thất</t>
        </is>
      </c>
      <c r="D16390" s="10" t="inlineStr">
        <is>
          <t>Công ty TNHH Nesta</t>
        </is>
      </c>
      <c r="E16390" s="10" t="inlineStr">
        <is>
          <t>Lương:10 Tr - 17 Tr VND</t>
        </is>
      </c>
      <c r="F16390" s="10" t="inlineStr">
        <is>
          <t>Hưng Yên</t>
        </is>
      </c>
      <c r="G16390" s="10" t="inlineStr">
        <is>
          <t>07-04-2026</t>
        </is>
      </c>
      <c r="H16390" s="10" t="inlineStr">
        <is>
          <t>07/04/2026</t>
        </is>
      </c>
      <c r="I16390" s="10" t="inlineStr">
        <is>
          <t>17/03/2026</t>
        </is>
      </c>
      <c r="J16390" s="10" t="inlineStr">
        <is>
          <t>Vận chuyển / Giao nhận / Kho vận, Xuất nhập khẩu, Thu mua / Vật tư</t>
        </is>
      </c>
      <c r="K16390" s="10" t="inlineStr">
        <is>
          <t>2 - 3 Năm</t>
        </is>
      </c>
      <c r="L16390" s="11">
        <f>HYPERLINK("https://careerviet.vn/vi/tim-viec-lam/nhan-vien-mua-hang-nganh-noi-that.35C67E54.html","Xem chi tiết")</f>
        <v/>
      </c>
      <c r="M16390" s="10" t="n"/>
    </row>
    <row r="16391">
      <c r="B16391" s="7" t="n">
        <v>16389</v>
      </c>
      <c r="C16391" t="inlineStr">
        <is>
          <t>Chuyên viên mua sắm Delica</t>
        </is>
      </c>
      <c r="D16391" t="inlineStr">
        <is>
          <t>TỔNG CÔNG TY CỔ PHẦN THƯƠNG MẠI XÂY DỰNG</t>
        </is>
      </c>
      <c r="E16391" t="inlineStr">
        <is>
          <t>Lương:15 Tr - 17 Tr VND</t>
        </is>
      </c>
      <c r="F16391" t="inlineStr">
        <is>
          <t>Hà Nội</t>
        </is>
      </c>
      <c r="G16391" t="inlineStr">
        <is>
          <t>07-04-2026</t>
        </is>
      </c>
      <c r="H16391" t="inlineStr">
        <is>
          <t>07/04/2026</t>
        </is>
      </c>
      <c r="I16391" t="inlineStr">
        <is>
          <t>17/03/2026</t>
        </is>
      </c>
      <c r="J16391" t="inlineStr">
        <is>
          <t>Hàng gia dụng / Chăm sóc cá nhân, Thu mua / Vật tư, Bán hàng / Kinh doanh</t>
        </is>
      </c>
      <c r="K16391" t="inlineStr">
        <is>
          <t>2 - 3 Năm</t>
        </is>
      </c>
      <c r="L16391" s="8">
        <f>HYPERLINK("https://careerviet.vn/vi/tim-viec-lam/chuyen-vien-mua-sam-delica.35C67DEB.html","Xem chi tiết")</f>
        <v/>
      </c>
    </row>
    <row r="16392">
      <c r="B16392" s="9" t="n">
        <v>16390</v>
      </c>
      <c r="C16392" s="10" t="inlineStr">
        <is>
          <t>Chuyên viên Kinh doanh ( THU NHẬP KHÔNG GIỚI HẠN)</t>
        </is>
      </c>
      <c r="D16392" s="10" t="inlineStr">
        <is>
          <t>Công ty CP Ch1, 1A, 2 Tòa nhà Alpha, số 389 Đê La Thành, P. Thành Công, Q. Ba Đình, Tp. Hà Nộiứng khoán Alpha</t>
        </is>
      </c>
      <c r="E16392" s="10" t="inlineStr">
        <is>
          <t>Lương:Cạnh tranh</t>
        </is>
      </c>
      <c r="F16392" s="10" t="inlineStr">
        <is>
          <t>Hồ Chí Minh</t>
        </is>
      </c>
      <c r="G16392" s="10" t="inlineStr">
        <is>
          <t>07-04-2026</t>
        </is>
      </c>
      <c r="H16392" s="10" t="inlineStr">
        <is>
          <t>07/04/2026</t>
        </is>
      </c>
      <c r="I16392" s="10" t="inlineStr">
        <is>
          <t>17/03/2026</t>
        </is>
      </c>
      <c r="J16392" s="10" t="inlineStr">
        <is>
          <t>Ngân hàng, Tài chính / Đầu tư, Chứng khoán</t>
        </is>
      </c>
      <c r="K16392" s="10" t="inlineStr">
        <is>
          <t>N/A</t>
        </is>
      </c>
      <c r="L16392" s="11">
        <f>HYPERLINK("https://careerviet.vn/vi/tim-viec-lam/chuyen-vien-kinh-doanh-thu-nhap-khong-gioi-han.35C67BE5.html","Xem chi tiết")</f>
        <v/>
      </c>
      <c r="M16392" s="10" t="n"/>
    </row>
    <row r="16393">
      <c r="B16393" s="7" t="n">
        <v>16391</v>
      </c>
      <c r="C16393" t="inlineStr">
        <is>
          <t>Sales Executive</t>
        </is>
      </c>
      <c r="D16393" t="inlineStr">
        <is>
          <t>HR Vietnam’s ESS Client</t>
        </is>
      </c>
      <c r="E16393" t="inlineStr">
        <is>
          <t>Lương:Cạnh tranh</t>
        </is>
      </c>
      <c r="F16393" t="inlineStr">
        <is>
          <t>Long An</t>
        </is>
      </c>
      <c r="G16393" t="inlineStr">
        <is>
          <t>07-04-2026</t>
        </is>
      </c>
      <c r="H16393" t="inlineStr">
        <is>
          <t>07/04/2026</t>
        </is>
      </c>
      <c r="I16393" t="inlineStr">
        <is>
          <t>17/03/2026</t>
        </is>
      </c>
      <c r="J16393" t="inlineStr">
        <is>
          <t>Xây dựng, Bán hàng / Kinh doanh</t>
        </is>
      </c>
      <c r="K16393" t="inlineStr">
        <is>
          <t>Trên 1 Năm</t>
        </is>
      </c>
      <c r="L16393" s="8">
        <f>HYPERLINK("https://careerviet.vn/vi/tim-viec-lam/sales-executive.35C67E03.html","Xem chi tiết")</f>
        <v/>
      </c>
    </row>
    <row r="16394">
      <c r="B16394" s="9" t="n">
        <v>16392</v>
      </c>
      <c r="C16394" s="10" t="inlineStr">
        <is>
          <t>Sales and Procurement staff – a newly established Japanese factory- 20 headcounts</t>
        </is>
      </c>
      <c r="D16394" s="10" t="inlineStr">
        <is>
          <t>Công ty TNHH AOBA Việt Nam</t>
        </is>
      </c>
      <c r="E16394" s="10" t="inlineStr">
        <is>
          <t>Lương:Cạnh tranh</t>
        </is>
      </c>
      <c r="F16394" s="10" t="inlineStr">
        <is>
          <t>Tuyên Quang</t>
        </is>
      </c>
      <c r="G16394" s="10" t="inlineStr">
        <is>
          <t>07-04-2026</t>
        </is>
      </c>
      <c r="H16394" s="10" t="inlineStr">
        <is>
          <t>07/04/2026</t>
        </is>
      </c>
      <c r="I16394" s="10" t="inlineStr">
        <is>
          <t>17/03/2026</t>
        </is>
      </c>
      <c r="J16394" s="10" t="inlineStr">
        <is>
          <t>Bán hàng / Kinh doanh, Thu mua / Vật tư</t>
        </is>
      </c>
      <c r="K16394" s="10" t="inlineStr">
        <is>
          <t>3 - 7 Năm</t>
        </is>
      </c>
      <c r="L16394" s="11">
        <f>HYPERLINK("https://careerviet.vn/vi/tim-viec-lam/sales-and-procurement-staff-a-newly-established-japanese-factory-20-headcounts.35C64DB4.html","Xem chi tiết")</f>
        <v/>
      </c>
      <c r="M16394" s="10" t="n"/>
    </row>
    <row r="16395">
      <c r="B16395" s="7" t="n">
        <v>16393</v>
      </c>
      <c r="C16395" t="inlineStr">
        <is>
          <t>Talent Acquisition Specialist</t>
        </is>
      </c>
      <c r="D16395" t="inlineStr">
        <is>
          <t>CÔNG TY TNHH WGR INDUSTRIES</t>
        </is>
      </c>
      <c r="E16395" t="inlineStr">
        <is>
          <t>Lương:Cạnh tranh</t>
        </is>
      </c>
      <c r="F16395" t="inlineStr">
        <is>
          <t>Bình Định</t>
        </is>
      </c>
      <c r="G16395" t="inlineStr">
        <is>
          <t>07-04-2026</t>
        </is>
      </c>
      <c r="H16395" t="inlineStr">
        <is>
          <t>07/04/2026</t>
        </is>
      </c>
      <c r="I16395" t="inlineStr">
        <is>
          <t>17/03/2026</t>
        </is>
      </c>
      <c r="J16395" t="inlineStr">
        <is>
          <t>Hành chính / Thư ký, Nhân sự, Tổ chức sự kiện</t>
        </is>
      </c>
      <c r="K16395" t="inlineStr">
        <is>
          <t>3 - 5 Năm</t>
        </is>
      </c>
      <c r="L16395" s="8">
        <f>HYPERLINK("https://careerviet.vn/vi/tim-viec-lam/talent-acquisition-specialist.35C64E12.html","Xem chi tiết")</f>
        <v/>
      </c>
    </row>
    <row r="16396">
      <c r="B16396" s="9" t="n">
        <v>16394</v>
      </c>
      <c r="C16396" s="10" t="inlineStr">
        <is>
          <t>Cán bộ an toàn vệ sinh lao động (HSE)</t>
        </is>
      </c>
      <c r="D16396" s="10" t="inlineStr">
        <is>
          <t>CÔNG TY CỔ PHẦN XÂY DỰNG MEGASPACE</t>
        </is>
      </c>
      <c r="E16396" s="10" t="inlineStr">
        <is>
          <t>Lương:15 Tr - 22 Tr VND</t>
        </is>
      </c>
      <c r="F16396" s="10" t="inlineStr">
        <is>
          <t>Đồng Nai</t>
        </is>
      </c>
      <c r="G16396" s="10" t="inlineStr">
        <is>
          <t>08-03-2026</t>
        </is>
      </c>
      <c r="H16396" s="10" t="inlineStr">
        <is>
          <t>15/03/2026</t>
        </is>
      </c>
      <c r="I16396" s="10" t="inlineStr">
        <is>
          <t>17/03/2026</t>
        </is>
      </c>
      <c r="J16396" s="10" t="inlineStr">
        <is>
          <t>Xây dựng, An toàn lao động, Cơ khí / Ô tô / Tự động hóa</t>
        </is>
      </c>
      <c r="K16396" s="10" t="inlineStr">
        <is>
          <t>Trên 5 Năm</t>
        </is>
      </c>
      <c r="L16396" s="11">
        <f>HYPERLINK("https://careerviet.vn/vi/tim-viec-lam/can-bo-an-toan-ve-sinh-lao-dong-hse.35C68CB0.html","Xem chi tiết")</f>
        <v/>
      </c>
      <c r="M16396" s="10" t="n"/>
    </row>
    <row r="16397">
      <c r="B16397" s="7" t="n">
        <v>16395</v>
      </c>
      <c r="C16397" t="inlineStr">
        <is>
          <t>Retail Sup/PS Team Leader/ Field Force Team Leader</t>
        </is>
      </c>
      <c r="D16397" t="inlineStr">
        <is>
          <t>TCL (Vietnam) Corporation Limited</t>
        </is>
      </c>
      <c r="E16397" t="inlineStr">
        <is>
          <t>Lương:Cạnh tranh</t>
        </is>
      </c>
      <c r="F16397" t="inlineStr">
        <is>
          <t>Hà Nội</t>
        </is>
      </c>
      <c r="G16397" t="inlineStr">
        <is>
          <t>07-04-2026</t>
        </is>
      </c>
      <c r="H16397" t="inlineStr">
        <is>
          <t>07/04/2026</t>
        </is>
      </c>
      <c r="I16397" t="inlineStr">
        <is>
          <t>17/03/2026</t>
        </is>
      </c>
      <c r="J16397" t="inlineStr">
        <is>
          <t>Bán lẻ / Bán sỉ, Bán hàng / Kinh doanh, Điện / Điện tử / Điện lạnh / Điện công nghiệp</t>
        </is>
      </c>
      <c r="K16397" t="inlineStr">
        <is>
          <t>Trên 2 Năm</t>
        </is>
      </c>
      <c r="L16397" s="8">
        <f>HYPERLINK("https://careerviet.vn/vi/tim-viec-lam/retail-sup-ps-team-leader-field-force-team-leader.35C67EF5.html","Xem chi tiết")</f>
        <v/>
      </c>
    </row>
    <row r="16398">
      <c r="B16398" s="9" t="n">
        <v>16396</v>
      </c>
      <c r="C16398" s="10" t="inlineStr">
        <is>
          <t>Nhân viên Quản lý đào tạo</t>
        </is>
      </c>
      <c r="D16398" s="10" t="inlineStr">
        <is>
          <t>Tổng Công Ty Cổ Phần Bảo Hiểm Ngân Hàng TMCP Công Thương Việt Nam</t>
        </is>
      </c>
      <c r="E16398" s="10" t="inlineStr">
        <is>
          <t>Lương:Cạnh tranh</t>
        </is>
      </c>
      <c r="F16398" s="10" t="inlineStr">
        <is>
          <t>Hà Nội</t>
        </is>
      </c>
      <c r="G16398" s="10" t="inlineStr">
        <is>
          <t>07-04-2026</t>
        </is>
      </c>
      <c r="H16398" s="10" t="inlineStr">
        <is>
          <t>07/04/2026</t>
        </is>
      </c>
      <c r="I16398" s="10" t="inlineStr">
        <is>
          <t>17/03/2026</t>
        </is>
      </c>
      <c r="J16398" s="10" t="inlineStr">
        <is>
          <t>Bảo hiểm, Giáo dục / Đào tạo</t>
        </is>
      </c>
      <c r="K16398" s="10" t="inlineStr">
        <is>
          <t>1 - 3 Năm</t>
        </is>
      </c>
      <c r="L16398" s="11">
        <f>HYPERLINK("https://careerviet.vn/vi/tim-viec-lam/nhan-vien-quan-ly-dao-tao.35C64DC3.html","Xem chi tiết")</f>
        <v/>
      </c>
      <c r="M16398" s="10" t="n"/>
    </row>
    <row r="16399">
      <c r="B16399" s="7" t="n">
        <v>16397</v>
      </c>
      <c r="C16399" t="inlineStr">
        <is>
          <t>[Đà Nẵng] Kỹ Sư Hỗ Trợ Kỹ Thuật HVAC (Technical Support Engineer)</t>
        </is>
      </c>
      <c r="D16399" t="inlineStr">
        <is>
          <t>Daikin Air Conditioning (Vietnam) Joint Stock Company</t>
        </is>
      </c>
      <c r="E16399" t="inlineStr">
        <is>
          <t>Lương:Cạnh tranh</t>
        </is>
      </c>
      <c r="F16399" t="inlineStr">
        <is>
          <t>Đà NẵngQuảng NamQuảng Ngãi</t>
        </is>
      </c>
      <c r="G16399" t="inlineStr">
        <is>
          <t>25-03-2026</t>
        </is>
      </c>
      <c r="H16399" t="inlineStr">
        <is>
          <t>25/03/2026</t>
        </is>
      </c>
      <c r="I16399" t="inlineStr">
        <is>
          <t>17/03/2026</t>
        </is>
      </c>
      <c r="J16399" t="inlineStr">
        <is>
          <t>Bán lẻ / Bán sỉ, Bán hàng / Kinh doanh, Bảo trì / Sửa chữa</t>
        </is>
      </c>
      <c r="K16399" t="inlineStr">
        <is>
          <t>Trên 1 Năm</t>
        </is>
      </c>
      <c r="L16399" s="8">
        <f>HYPERLINK("https://careerviet.vn/vi/tim-viec-lam/da-nang-ky-su-ho-tro-ky-thuat-hvac-technical-support-engineer.35C68D0C.html","Xem chi tiết")</f>
        <v/>
      </c>
    </row>
    <row r="16400">
      <c r="B16400" s="9" t="n">
        <v>16398</v>
      </c>
      <c r="C16400" s="10" t="inlineStr">
        <is>
          <t>Phó phòng Marketing</t>
        </is>
      </c>
      <c r="D16400" s="10" t="inlineStr">
        <is>
          <t>CÔNG TY TNHH KEIKO VIỆT NAM</t>
        </is>
      </c>
      <c r="E16400" s="10" t="inlineStr">
        <is>
          <t>Lương:14 Tr - 15 Tr VND</t>
        </is>
      </c>
      <c r="F16400" s="10" t="inlineStr">
        <is>
          <t>Hà Nội</t>
        </is>
      </c>
      <c r="G16400" s="10" t="inlineStr">
        <is>
          <t>6</t>
        </is>
      </c>
      <c r="H16400" s="10" t="inlineStr">
        <is>
          <t>23/03/2026</t>
        </is>
      </c>
      <c r="I16400" s="10" t="inlineStr">
        <is>
          <t>17/03/2026</t>
        </is>
      </c>
      <c r="J16400" s="10" t="inlineStr">
        <is>
          <t>Tiếp thị / Marketing, Bán lẻ / Bán sỉ, Thực phẩm &amp; Đồ uống</t>
        </is>
      </c>
      <c r="K16400" s="10" t="inlineStr">
        <is>
          <t>1 - 2 Năm</t>
        </is>
      </c>
      <c r="L16400" s="11">
        <f>HYPERLINK("https://careerviet.vn/vi/tim-viec-lam/pho-phong-marketing.35C68E0D.html","Xem chi tiết")</f>
        <v/>
      </c>
      <c r="M16400" s="10" t="n"/>
    </row>
    <row r="16401">
      <c r="B16401" s="7" t="n">
        <v>16399</v>
      </c>
      <c r="C16401" t="inlineStr">
        <is>
          <t>Nhân Viên Sale Admin - Tiếng Hàn</t>
        </is>
      </c>
      <c r="D16401" t="inlineStr">
        <is>
          <t>Công ty TNHH JM</t>
        </is>
      </c>
      <c r="E16401" t="inlineStr">
        <is>
          <t>Lương:11 Tr - 15 Tr VND</t>
        </is>
      </c>
      <c r="F16401" t="inlineStr">
        <is>
          <t>Hồ Chí Minh</t>
        </is>
      </c>
      <c r="G16401" t="inlineStr">
        <is>
          <t>6</t>
        </is>
      </c>
      <c r="H16401" t="inlineStr">
        <is>
          <t>23/03/2026</t>
        </is>
      </c>
      <c r="I16401" t="inlineStr">
        <is>
          <t>17/03/2026</t>
        </is>
      </c>
      <c r="J16401" t="inlineStr">
        <is>
          <t>Bán hàng / Kinh doanh, Bán lẻ / Bán sỉ, Dịch vụ khách hàng</t>
        </is>
      </c>
      <c r="K16401" t="inlineStr">
        <is>
          <t>1 - 2 Năm</t>
        </is>
      </c>
      <c r="L16401" s="8">
        <f>HYPERLINK("https://careerviet.vn/vi/tim-viec-lam/nhan-vien-sale-admin-tieng-han.35C68CE0.html","Xem chi tiết")</f>
        <v/>
      </c>
    </row>
    <row r="16402">
      <c r="B16402" s="9" t="n">
        <v>16400</v>
      </c>
      <c r="C16402" s="10" t="inlineStr">
        <is>
          <t>[CITIGYM] Chuyên gia Tổ chức Vận hành Giám sát Camera</t>
        </is>
      </c>
      <c r="D16402" s="10" t="inlineStr">
        <is>
          <t>Nova Service Group - Công ty Cổ phần Tập đoàn Nova Services</t>
        </is>
      </c>
      <c r="E16402" s="10" t="inlineStr">
        <is>
          <t>Lương:15 Tr - 20 Tr VND</t>
        </is>
      </c>
      <c r="F16402" s="10" t="inlineStr">
        <is>
          <t>Hồ Chí Minh</t>
        </is>
      </c>
      <c r="G16402" s="10" t="inlineStr">
        <is>
          <t>31-03-2026</t>
        </is>
      </c>
      <c r="H16402" s="10" t="inlineStr">
        <is>
          <t>31/03/2026</t>
        </is>
      </c>
      <c r="I16402" s="10" t="inlineStr">
        <is>
          <t>17/03/2026</t>
        </is>
      </c>
      <c r="J16402" s="10" t="inlineStr">
        <is>
          <t>An Ninh / Bảo Vệ</t>
        </is>
      </c>
      <c r="K16402" s="10" t="inlineStr">
        <is>
          <t>2 - 3 Năm</t>
        </is>
      </c>
      <c r="L16402" s="11">
        <f>HYPERLINK("https://careerviet.vn/vi/tim-viec-lam/citigym-chuyen-gia-to-chuc-van-hanh-giam-sat-camera.35C68F65.html","Xem chi tiết")</f>
        <v/>
      </c>
      <c r="M16402" s="10" t="n"/>
    </row>
    <row r="16403">
      <c r="B16403" s="7" t="n">
        <v>16401</v>
      </c>
      <c r="C16403" t="inlineStr">
        <is>
          <t>Kế toán tổng hợp</t>
        </is>
      </c>
      <c r="D16403" t="inlineStr">
        <is>
          <t>CÔNG TY TNHH HÀNG KHÔNG SƠN HẢI</t>
        </is>
      </c>
      <c r="E16403" t="inlineStr">
        <is>
          <t>Lương:14 Tr - 18 Tr VND</t>
        </is>
      </c>
      <c r="F16403" t="inlineStr">
        <is>
          <t>Hồ Chí Minh</t>
        </is>
      </c>
      <c r="G16403" t="inlineStr">
        <is>
          <t>31-03-2026</t>
        </is>
      </c>
      <c r="H16403" t="inlineStr">
        <is>
          <t>31/03/2026</t>
        </is>
      </c>
      <c r="I16403" t="inlineStr">
        <is>
          <t>17/03/2026</t>
        </is>
      </c>
      <c r="J16403" t="inlineStr">
        <is>
          <t>Kế toán / Kiểm toán</t>
        </is>
      </c>
      <c r="K16403" t="inlineStr">
        <is>
          <t>Trên 3 Năm</t>
        </is>
      </c>
      <c r="L16403" s="8">
        <f>HYPERLINK("https://careerviet.vn/vi/tim-viec-lam/ke-toan-tong-hop.35C68D74.html","Xem chi tiết")</f>
        <v/>
      </c>
    </row>
    <row r="16404">
      <c r="B16404" s="9" t="n">
        <v>16402</v>
      </c>
      <c r="C16404" s="10" t="inlineStr">
        <is>
          <t>Chuyên viên cao cấp phụ trách nghiệp vụ pháp lý - Hà Đông (Hà Nội)</t>
        </is>
      </c>
      <c r="D16404" s="10" t="inlineStr">
        <is>
          <t>Ngân hàng TMCP Việt Á – VietABank</t>
        </is>
      </c>
      <c r="E16404" s="10" t="inlineStr">
        <is>
          <t>Lương:Cạnh tranh</t>
        </is>
      </c>
      <c r="F16404" s="10" t="inlineStr">
        <is>
          <t>Hà Nội</t>
        </is>
      </c>
      <c r="G16404" s="10" t="inlineStr">
        <is>
          <t>31-03-2026</t>
        </is>
      </c>
      <c r="H16404" s="10" t="inlineStr">
        <is>
          <t>31/03/2026</t>
        </is>
      </c>
      <c r="I16404" s="10" t="inlineStr">
        <is>
          <t>17/03/2026</t>
        </is>
      </c>
      <c r="J16404" s="10" t="inlineStr">
        <is>
          <t>Luật / Pháp lý, Ngân hàng</t>
        </is>
      </c>
      <c r="K16404" s="10" t="inlineStr">
        <is>
          <t>Trên 5 Năm</t>
        </is>
      </c>
      <c r="L16404" s="11">
        <f>HYPERLINK("https://careerviet.vn/vi/tim-viec-lam/chuyen-vien-cao-cap-phu-trach-nghiep-vu-phap-ly-ha-dong-ha-noi.35C68EFD.html","Xem chi tiết")</f>
        <v/>
      </c>
      <c r="M16404" s="10" t="n"/>
    </row>
    <row r="16405">
      <c r="B16405" s="7" t="n">
        <v>16403</v>
      </c>
      <c r="C16405" t="inlineStr">
        <is>
          <t>Chuyên Viên Tuyển Dụng &amp; Đào Tạo (mạnh Tuyển dụng)</t>
        </is>
      </c>
      <c r="D16405" t="inlineStr">
        <is>
          <t>CÔNG TY TNHH THƯƠNG MẠI VÀ DỊCH VỤ OZOVN</t>
        </is>
      </c>
      <c r="E16405" t="inlineStr">
        <is>
          <t>Lương:12 Tr - 15 Tr VND</t>
        </is>
      </c>
      <c r="F16405" t="inlineStr">
        <is>
          <t>Hà Nội</t>
        </is>
      </c>
      <c r="G16405" t="inlineStr">
        <is>
          <t>07-04-2026</t>
        </is>
      </c>
      <c r="H16405" t="inlineStr">
        <is>
          <t>07/04/2026</t>
        </is>
      </c>
      <c r="I16405" t="inlineStr">
        <is>
          <t>17/03/2026</t>
        </is>
      </c>
      <c r="J16405" t="inlineStr">
        <is>
          <t>Nhân sự</t>
        </is>
      </c>
      <c r="K16405" t="inlineStr">
        <is>
          <t>3 - 5 Năm</t>
        </is>
      </c>
      <c r="L16405" s="8">
        <f>HYPERLINK("https://careerviet.vn/vi/tim-viec-lam/chuyen-vien-tuyen-dung-dao-tao-manh-tuyen-dung.35C67F0A.html","Xem chi tiết")</f>
        <v/>
      </c>
    </row>
    <row r="16406">
      <c r="B16406" s="9" t="n">
        <v>16404</v>
      </c>
      <c r="C16406" s="10" t="inlineStr">
        <is>
          <t>[CITIGYM]  Senior Digital Marketing Executive</t>
        </is>
      </c>
      <c r="D16406" s="10" t="inlineStr">
        <is>
          <t>Nova Service Group - Công ty Cổ phần Tập đoàn Nova Services</t>
        </is>
      </c>
      <c r="E16406" s="10" t="inlineStr">
        <is>
          <t>Lương:15 Tr - 20 Tr VND</t>
        </is>
      </c>
      <c r="F16406" s="10" t="inlineStr">
        <is>
          <t>Hồ Chí Minh</t>
        </is>
      </c>
      <c r="G16406" s="10" t="inlineStr">
        <is>
          <t>31-03-2026</t>
        </is>
      </c>
      <c r="H16406" s="10" t="inlineStr">
        <is>
          <t>31/03/2026</t>
        </is>
      </c>
      <c r="I16406" s="10" t="inlineStr">
        <is>
          <t>17/03/2026</t>
        </is>
      </c>
      <c r="J16406" s="10" t="inlineStr">
        <is>
          <t>Tiếp thị / Marketing, Tiếp thị trực tuyến, Thương mại điện tử</t>
        </is>
      </c>
      <c r="K16406" s="10" t="inlineStr">
        <is>
          <t>2 - 3 Năm</t>
        </is>
      </c>
      <c r="L16406" s="11">
        <f>HYPERLINK("https://careerviet.vn/vi/tim-viec-lam/citigym-senior-digital-marketing-executive.35C68F69.html","Xem chi tiết")</f>
        <v/>
      </c>
      <c r="M16406" s="10" t="n"/>
    </row>
    <row r="16407">
      <c r="B16407" s="7" t="n">
        <v>16405</v>
      </c>
      <c r="C16407" t="inlineStr">
        <is>
          <t>Nhân viên phòng nghiên cứu và phát triển (QC R&amp;D)</t>
        </is>
      </c>
      <c r="D16407" t="inlineStr">
        <is>
          <t>CÔNG TY TNHH THƯƠNG MẠI DỊCH VỤ DƯỢC PHẨM BÌNH PHÚ</t>
        </is>
      </c>
      <c r="E16407" t="inlineStr">
        <is>
          <t>Lương:Cạnh tranh</t>
        </is>
      </c>
      <c r="F16407" t="inlineStr">
        <is>
          <t>Bình Phước</t>
        </is>
      </c>
      <c r="G16407" t="inlineStr">
        <is>
          <t>31-03-2026</t>
        </is>
      </c>
      <c r="H16407" t="inlineStr">
        <is>
          <t>31/03/2026</t>
        </is>
      </c>
      <c r="I16407" t="inlineStr">
        <is>
          <t>17/03/2026</t>
        </is>
      </c>
      <c r="J16407" t="inlineStr">
        <is>
          <t>Y tế / Chăm sóc sức khỏe / Thẩm mỹ / Làm đẹp</t>
        </is>
      </c>
      <c r="K16407" t="inlineStr">
        <is>
          <t>Lên đến 1 Năm</t>
        </is>
      </c>
      <c r="L16407" s="8">
        <f>HYPERLINK("https://careerviet.vn/vi/tim-viec-lam/nhan-vien-phong-nghien-cuu-va-phat-trien-qc-r-d.35C68E33.html","Xem chi tiết")</f>
        <v/>
      </c>
    </row>
    <row r="16408">
      <c r="B16408" s="9" t="n">
        <v>16406</v>
      </c>
      <c r="C16408" s="10" t="inlineStr">
        <is>
          <t>Đại Diện Kinh Doanh Camera Hành Trình Khu Vực Hà Nội (Có Sẵn Data KH. Lương Cứng 8-10 Triệu + Hoa Hồng)</t>
        </is>
      </c>
      <c r="D16408" s="10" t="inlineStr">
        <is>
          <t>Công Ty TNHH Phát Triển Công Nghệ Điện Tử Bình Anh</t>
        </is>
      </c>
      <c r="E16408" s="10" t="inlineStr">
        <is>
          <t>Lương:20 Tr - 35 Tr VND</t>
        </is>
      </c>
      <c r="F16408" s="10" t="inlineStr">
        <is>
          <t>Hà Nội</t>
        </is>
      </c>
      <c r="G16408" s="10" t="inlineStr">
        <is>
          <t>31-03-2026</t>
        </is>
      </c>
      <c r="H16408" s="10" t="inlineStr">
        <is>
          <t>31/03/2026</t>
        </is>
      </c>
      <c r="I16408" s="10" t="inlineStr">
        <is>
          <t>17/03/2026</t>
        </is>
      </c>
      <c r="J16408" s="10" t="inlineStr">
        <is>
          <t>Tiếp thị / Marketing, Bán hàng / Kinh doanh, Dịch vụ khách hàng</t>
        </is>
      </c>
      <c r="K16408" s="10" t="inlineStr">
        <is>
          <t>1 - 2 Năm</t>
        </is>
      </c>
      <c r="L16408" s="11">
        <f>HYPERLINK("https://careerviet.vn/vi/tim-viec-lam/dai-dien-kinh-doanh-camera-hanh-trinh-khu-vuc-ha-noi-co-san-data-kh-luong-cung-8-10-trieu-hoa-hong.35C68F11.html","Xem chi tiết")</f>
        <v/>
      </c>
      <c r="M16408" s="10" t="n"/>
    </row>
    <row r="16409">
      <c r="B16409" s="7" t="n">
        <v>16407</v>
      </c>
      <c r="C16409" t="inlineStr">
        <is>
          <t>Kế Toán Tổng Hợp</t>
        </is>
      </c>
      <c r="D16409" t="inlineStr">
        <is>
          <t>Công Ty Cổ Phần NICON</t>
        </is>
      </c>
      <c r="E16409" t="inlineStr">
        <is>
          <t>Lương:Cạnh tranh</t>
        </is>
      </c>
      <c r="F16409" t="inlineStr">
        <is>
          <t>Hồ Chí Minh</t>
        </is>
      </c>
      <c r="G16409" t="inlineStr">
        <is>
          <t>6</t>
        </is>
      </c>
      <c r="H16409" t="inlineStr">
        <is>
          <t>23/03/2026</t>
        </is>
      </c>
      <c r="I16409" t="inlineStr">
        <is>
          <t>17/03/2026</t>
        </is>
      </c>
      <c r="J16409" t="inlineStr">
        <is>
          <t>Kế toán / Kiểm toán</t>
        </is>
      </c>
      <c r="K16409" t="inlineStr">
        <is>
          <t>1 - 2 Năm</t>
        </is>
      </c>
      <c r="L16409" s="8">
        <f>HYPERLINK("https://careerviet.vn/vi/tim-viec-lam/ke-toan-tong-hop.35C68DC9.html","Xem chi tiết")</f>
        <v/>
      </c>
    </row>
    <row r="16410">
      <c r="B16410" s="9" t="n">
        <v>16408</v>
      </c>
      <c r="C16410" s="10" t="inlineStr">
        <is>
          <t>Kiến Trúc Sư Kĩ Thuật Công Trình/Nội Thất</t>
        </is>
      </c>
      <c r="D16410" s="10" t="inlineStr">
        <is>
          <t>CÔNG TY CP ĐẦU TƯ PHÁT TRIỂN TRÍ DƯƠNG</t>
        </is>
      </c>
      <c r="E16410" s="10" t="inlineStr">
        <is>
          <t>Lương:Cạnh tranh</t>
        </is>
      </c>
      <c r="F16410" s="10" t="inlineStr">
        <is>
          <t>Nghệ An</t>
        </is>
      </c>
      <c r="G16410" s="10" t="inlineStr">
        <is>
          <t>08-03-2026</t>
        </is>
      </c>
      <c r="H16410" s="10" t="inlineStr">
        <is>
          <t>14/03/2026</t>
        </is>
      </c>
      <c r="I16410" s="10" t="inlineStr">
        <is>
          <t>17/03/2026</t>
        </is>
      </c>
      <c r="J16410" s="10" t="inlineStr">
        <is>
          <t>Kiến trúc, Bất động sản</t>
        </is>
      </c>
      <c r="K16410" s="10" t="inlineStr">
        <is>
          <t>5 - 10 Năm</t>
        </is>
      </c>
      <c r="L16410" s="11">
        <f>HYPERLINK("https://careerviet.vn/vi/tim-viec-lam/kien-truc-su-ki-thuat-cong-trinh-noi-that.35C68CE8.html","Xem chi tiết")</f>
        <v/>
      </c>
      <c r="M16410" s="10" t="n"/>
    </row>
    <row r="16411">
      <c r="B16411" s="7" t="n">
        <v>16409</v>
      </c>
      <c r="C16411" t="inlineStr">
        <is>
          <t>Chuyên viên kinh doanh phát triển thị trường Hồ Chí Minh. Lương cứng 10-15tr + Hoa hồng. Thu nhập 20-50tr</t>
        </is>
      </c>
      <c r="D16411" t="inlineStr">
        <is>
          <t>Công Ty TNHH Phát Triển Công Nghệ Điện Tử Bình Anh</t>
        </is>
      </c>
      <c r="E16411" t="inlineStr">
        <is>
          <t>Lương:20 Tr - 35 Tr VND</t>
        </is>
      </c>
      <c r="F16411" t="inlineStr">
        <is>
          <t>Hồ Chí Minh</t>
        </is>
      </c>
      <c r="G16411" t="inlineStr">
        <is>
          <t>31-03-2026</t>
        </is>
      </c>
      <c r="H16411" t="inlineStr">
        <is>
          <t>31/03/2026</t>
        </is>
      </c>
      <c r="I16411" t="inlineStr">
        <is>
          <t>17/03/2026</t>
        </is>
      </c>
      <c r="J16411" t="inlineStr">
        <is>
          <t>Bán hàng / Kinh doanh</t>
        </is>
      </c>
      <c r="K16411" t="inlineStr">
        <is>
          <t>1 - 3 Năm</t>
        </is>
      </c>
      <c r="L16411" s="8">
        <f>HYPERLINK("https://careerviet.vn/vi/tim-viec-lam/chuyen-vien-kinh-doanh-phat-trien-thi-truong-ho-chi-minh-luong-cung-10-15tr-hoa-hong-thu-nhap-20-50tr.35C68F0E.html","Xem chi tiết")</f>
        <v/>
      </c>
    </row>
    <row r="16412">
      <c r="B16412" s="9" t="n">
        <v>16410</v>
      </c>
      <c r="C16412" s="10" t="inlineStr">
        <is>
          <t>Nhân viên Bánh Mỳ</t>
        </is>
      </c>
      <c r="D16412" s="10" t="inlineStr">
        <is>
          <t>TỔNG CÔNG TY CỔ PHẦN THƯƠNG MẠI XÂY DỰNG</t>
        </is>
      </c>
      <c r="E16412" s="10" t="inlineStr">
        <is>
          <t>Lương:7 Tr - 8,5 Tr VND</t>
        </is>
      </c>
      <c r="F16412" s="10" t="inlineStr">
        <is>
          <t>Hà Nội</t>
        </is>
      </c>
      <c r="G16412" s="10" t="inlineStr">
        <is>
          <t>07-04-2026</t>
        </is>
      </c>
      <c r="H16412" s="10" t="inlineStr">
        <is>
          <t>07/04/2026</t>
        </is>
      </c>
      <c r="I16412" s="10" t="inlineStr">
        <is>
          <t>17/03/2026</t>
        </is>
      </c>
      <c r="J16412" s="10" t="inlineStr">
        <is>
          <t>Bán hàng / Kinh doanh, Dịch vụ khách hàng, Quản lý chất lượng (QA/QC)</t>
        </is>
      </c>
      <c r="K16412" s="10" t="inlineStr">
        <is>
          <t>Lên đến 2 Năm</t>
        </is>
      </c>
      <c r="L16412" s="11">
        <f>HYPERLINK("https://careerviet.vn/vi/tim-viec-lam/nhan-vien-banh-my.35C67E24.html","Xem chi tiết")</f>
        <v/>
      </c>
      <c r="M16412" s="10" t="n"/>
    </row>
    <row r="16413">
      <c r="B16413" s="7" t="n">
        <v>16411</v>
      </c>
      <c r="C16413" t="inlineStr">
        <is>
          <t>Trợ Lý Kiểm Tra Thi Công Nâng Cấp</t>
        </is>
      </c>
      <c r="D16413" t="inlineStr">
        <is>
          <t>Công Ty Cổ Phần A25 Hotel</t>
        </is>
      </c>
      <c r="E16413" t="inlineStr">
        <is>
          <t>Lương:16 Tr - 30 Tr VND</t>
        </is>
      </c>
      <c r="F16413" t="inlineStr">
        <is>
          <t>Hà NộiHồ Chí Minh</t>
        </is>
      </c>
      <c r="G16413" t="inlineStr">
        <is>
          <t>31-03-2026</t>
        </is>
      </c>
      <c r="H16413" t="inlineStr">
        <is>
          <t>31/03/2026</t>
        </is>
      </c>
      <c r="I16413" t="inlineStr">
        <is>
          <t>17/03/2026</t>
        </is>
      </c>
      <c r="J16413" t="inlineStr">
        <is>
          <t>Kiến trúc, Xây dựng, Nội ngoại thất</t>
        </is>
      </c>
      <c r="K16413" t="inlineStr">
        <is>
          <t>2 - 3 Năm</t>
        </is>
      </c>
      <c r="L16413" s="8">
        <f>HYPERLINK("https://careerviet.vn/vi/tim-viec-lam/tro-ly-kiem-tra-thi-cong-nang-cap.35C68F4D.html","Xem chi tiết")</f>
        <v/>
      </c>
    </row>
    <row r="16414">
      <c r="B16414" s="9" t="n">
        <v>16412</v>
      </c>
      <c r="C16414" s="10" t="inlineStr">
        <is>
          <t>Quản lý cửa hàng - Tràng Tiền Plaza</t>
        </is>
      </c>
      <c r="D16414" s="10" t="inlineStr">
        <is>
          <t>CÔNG TY CỔ PHẦN TẬP ĐOÀN GIOVANNI VIỆT NAM</t>
        </is>
      </c>
      <c r="E16414" s="10" t="inlineStr">
        <is>
          <t>Lương:12 Tr - 20 Tr VND</t>
        </is>
      </c>
      <c r="F16414" s="10" t="inlineStr">
        <is>
          <t>Hà Nội</t>
        </is>
      </c>
      <c r="G16414" s="10" t="inlineStr">
        <is>
          <t>6</t>
        </is>
      </c>
      <c r="H16414" s="10" t="inlineStr">
        <is>
          <t>23/03/2026</t>
        </is>
      </c>
      <c r="I16414" s="10" t="inlineStr">
        <is>
          <t>17/03/2026</t>
        </is>
      </c>
      <c r="J16414" s="10" t="inlineStr">
        <is>
          <t>Bán hàng / Kinh doanh, Dệt may / Da giày / Thời trang, Tư vấn</t>
        </is>
      </c>
      <c r="K16414" s="10" t="inlineStr">
        <is>
          <t>3 - 5 Năm</t>
        </is>
      </c>
      <c r="L16414" s="11">
        <f>HYPERLINK("https://careerviet.vn/vi/tim-viec-lam/quan-ly-cua-hang-trang-tien-plaza.35C68F1F.html","Xem chi tiết")</f>
        <v/>
      </c>
      <c r="M16414" s="10" t="n"/>
    </row>
    <row r="16415">
      <c r="B16415" s="7" t="n">
        <v>16413</v>
      </c>
      <c r="C16415" t="inlineStr">
        <is>
          <t>NHÂN VIÊN THIẾT KẾ THIẾT BỊ ÁP LỰC</t>
        </is>
      </c>
      <c r="D16415" t="inlineStr">
        <is>
          <t>Công ty Cổ phần Mạc Tích (MARTECH)</t>
        </is>
      </c>
      <c r="E16415" t="inlineStr">
        <is>
          <t>Lương:Cạnh tranh</t>
        </is>
      </c>
      <c r="F16415" t="inlineStr">
        <is>
          <t>Hồ Chí Minh</t>
        </is>
      </c>
      <c r="G16415" t="inlineStr">
        <is>
          <t>25-03-2026</t>
        </is>
      </c>
      <c r="H16415" t="inlineStr">
        <is>
          <t>25/03/2026</t>
        </is>
      </c>
      <c r="I16415" t="inlineStr">
        <is>
          <t>17/03/2026</t>
        </is>
      </c>
      <c r="J16415" t="inlineStr">
        <is>
          <t>Cơ khí / Ô tô / Tự động hóa, Điện / Điện tử / Điện lạnh / Điện công nghiệp, Mỹ thuật / Nghệ thuật / Thiết kế</t>
        </is>
      </c>
      <c r="K16415" t="inlineStr">
        <is>
          <t>N/A</t>
        </is>
      </c>
      <c r="L16415" s="8">
        <f>HYPERLINK("https://careerviet.vn/vi/tim-viec-lam/nhan-vien-thiet-ke-thiet-bi-ap-luc.35C68D77.html","Xem chi tiết")</f>
        <v/>
      </c>
    </row>
    <row r="16416">
      <c r="B16416" s="9" t="n">
        <v>16414</v>
      </c>
      <c r="C16416" s="10" t="inlineStr">
        <is>
          <t>Coordinator Support (Hardlines)</t>
        </is>
      </c>
      <c r="D16416" s="10" t="inlineStr">
        <is>
          <t>TÜV Rheinland Vietnam</t>
        </is>
      </c>
      <c r="E16416" s="10" t="inlineStr">
        <is>
          <t>Lương:Cạnh tranh</t>
        </is>
      </c>
      <c r="F16416" s="10" t="inlineStr">
        <is>
          <t>Hồ Chí Minh</t>
        </is>
      </c>
      <c r="G16416" s="10" t="inlineStr">
        <is>
          <t>6</t>
        </is>
      </c>
      <c r="H16416" s="10" t="inlineStr">
        <is>
          <t>23/03/2026</t>
        </is>
      </c>
      <c r="I16416" s="10" t="inlineStr">
        <is>
          <t>17/03/2026</t>
        </is>
      </c>
      <c r="J16416" s="10" t="inlineStr">
        <is>
          <t>Dịch vụ khách hàng</t>
        </is>
      </c>
      <c r="K16416" s="10" t="inlineStr">
        <is>
          <t>1 - 2 Năm</t>
        </is>
      </c>
      <c r="L16416" s="11">
        <f>HYPERLINK("https://careerviet.vn/vi/tim-viec-lam/coordinator-support-hardlines.35C68EE5.html","Xem chi tiết")</f>
        <v/>
      </c>
      <c r="M16416" s="10" t="n"/>
    </row>
    <row r="16417">
      <c r="B16417" s="7" t="n">
        <v>16415</v>
      </c>
      <c r="C16417" t="inlineStr">
        <is>
          <t>Giám Sát Vận Hành Online</t>
        </is>
      </c>
      <c r="D16417" t="inlineStr">
        <is>
          <t>Concung.com - Con Cung Joint Stock Company</t>
        </is>
      </c>
      <c r="E16417" t="inlineStr">
        <is>
          <t>Lương:Cạnh tranh</t>
        </is>
      </c>
      <c r="F16417" t="inlineStr">
        <is>
          <t>Hồ Chí Minh</t>
        </is>
      </c>
      <c r="G16417" t="inlineStr">
        <is>
          <t>6</t>
        </is>
      </c>
      <c r="H16417" t="inlineStr">
        <is>
          <t>23/03/2026</t>
        </is>
      </c>
      <c r="I16417" t="inlineStr">
        <is>
          <t>17/03/2026</t>
        </is>
      </c>
      <c r="J16417" t="inlineStr">
        <is>
          <t>Bán lẻ / Bán sỉ, Bán hàng / Kinh doanh, Dịch vụ khách hàng</t>
        </is>
      </c>
      <c r="K16417" t="inlineStr">
        <is>
          <t>Trên 1 Năm</t>
        </is>
      </c>
      <c r="L16417" s="8">
        <f>HYPERLINK("https://careerviet.vn/vi/tim-viec-lam/giam-sat-van-hanh-online.35C68EC1.html","Xem chi tiết")</f>
        <v/>
      </c>
    </row>
    <row r="16418">
      <c r="B16418" s="9" t="n">
        <v>16416</v>
      </c>
      <c r="C16418" s="10" t="inlineStr">
        <is>
          <t>Sale khách sạn OTA (Online Travel Agent)</t>
        </is>
      </c>
      <c r="D16418" s="10" t="inlineStr">
        <is>
          <t>Công Ty Cổ Phần A25 Hotel</t>
        </is>
      </c>
      <c r="E16418" s="10" t="inlineStr">
        <is>
          <t>Lương:14 Tr - 20 Tr VND</t>
        </is>
      </c>
      <c r="F16418" s="10" t="inlineStr">
        <is>
          <t>Hà NộiHồ Chí Minh</t>
        </is>
      </c>
      <c r="G16418" s="10" t="inlineStr">
        <is>
          <t>31-03-2026</t>
        </is>
      </c>
      <c r="H16418" s="10" t="inlineStr">
        <is>
          <t>31/03/2026</t>
        </is>
      </c>
      <c r="I16418" s="10" t="inlineStr">
        <is>
          <t>17/03/2026</t>
        </is>
      </c>
      <c r="J16418" s="10" t="inlineStr">
        <is>
          <t>Bán hàng / Kinh doanh, Dịch vụ khách hàng, Nhà hàng / Khách sạn</t>
        </is>
      </c>
      <c r="K16418" s="10" t="inlineStr">
        <is>
          <t>1 - 2 Năm</t>
        </is>
      </c>
      <c r="L16418" s="11">
        <f>HYPERLINK("https://careerviet.vn/vi/tim-viec-lam/sale-khach-san-ota-online-travel-agent.35C68F43.html","Xem chi tiết")</f>
        <v/>
      </c>
      <c r="M16418" s="10" t="n"/>
    </row>
    <row r="16419">
      <c r="B16419" s="7" t="n">
        <v>16417</v>
      </c>
      <c r="C16419" t="inlineStr">
        <is>
          <t>Nhân viên Nghiệp vụ Bán hàng</t>
        </is>
      </c>
      <c r="D16419" t="inlineStr">
        <is>
          <t>Công Ty Cổ Phần Tân Vĩnh Cửu (Tavico group)</t>
        </is>
      </c>
      <c r="E16419" t="inlineStr">
        <is>
          <t>Lương:Cạnh tranh</t>
        </is>
      </c>
      <c r="F16419" t="inlineStr">
        <is>
          <t>Đồng Nai</t>
        </is>
      </c>
      <c r="G16419" t="inlineStr">
        <is>
          <t>5</t>
        </is>
      </c>
      <c r="H16419" t="inlineStr">
        <is>
          <t>22/03/2026</t>
        </is>
      </c>
      <c r="I16419" t="inlineStr">
        <is>
          <t>17/03/2026</t>
        </is>
      </c>
      <c r="J16419" t="inlineStr">
        <is>
          <t>Bán lẻ / Bán sỉ, Bán hàng / Kinh doanh, Thương mại điện tử</t>
        </is>
      </c>
      <c r="K16419" t="inlineStr">
        <is>
          <t>2 - 3 Năm</t>
        </is>
      </c>
      <c r="L16419" s="8">
        <f>HYPERLINK("https://careerviet.vn/vi/tim-viec-lam/nhan-vien-nghiep-vu-ban-hang.35C68EC7.html","Xem chi tiết")</f>
        <v/>
      </c>
    </row>
    <row r="16420">
      <c r="B16420" s="9" t="n">
        <v>16418</v>
      </c>
      <c r="C16420" s="10" t="inlineStr">
        <is>
          <t>NHÂN VIÊN KỸ THUẬT / TECHNICAL STAFF</t>
        </is>
      </c>
      <c r="D16420" s="10" t="inlineStr">
        <is>
          <t>TSUCHIYA TSCO (VIETNAM) CO., LTD</t>
        </is>
      </c>
      <c r="E16420" s="10" t="inlineStr">
        <is>
          <t>Lương:Cạnh tranh</t>
        </is>
      </c>
      <c r="F16420" s="10" t="inlineStr">
        <is>
          <t>Bình Dương</t>
        </is>
      </c>
      <c r="G16420" s="10" t="inlineStr">
        <is>
          <t>6</t>
        </is>
      </c>
      <c r="H16420" s="10" t="inlineStr">
        <is>
          <t>23/03/2026</t>
        </is>
      </c>
      <c r="I16420" s="10" t="inlineStr">
        <is>
          <t>17/03/2026</t>
        </is>
      </c>
      <c r="J16420" s="10" t="inlineStr">
        <is>
          <t>Cơ khí / Ô tô / Tự động hóa, Bảo trì / Sửa chữa, Điện / Điện tử / Điện lạnh / Điện công nghiệp</t>
        </is>
      </c>
      <c r="K16420" s="10" t="inlineStr">
        <is>
          <t>1 - 3 Năm</t>
        </is>
      </c>
      <c r="L16420" s="11">
        <f>HYPERLINK("https://careerviet.vn/vi/tim-viec-lam/nhan-vien-ky-thuat-technical-staff.35C68D92.html","Xem chi tiết")</f>
        <v/>
      </c>
      <c r="M16420" s="10" t="n"/>
    </row>
    <row r="16421">
      <c r="B16421" s="7" t="n">
        <v>16419</v>
      </c>
      <c r="C16421" t="inlineStr">
        <is>
          <t>Sales Administration Intern</t>
        </is>
      </c>
      <c r="D16421" t="inlineStr">
        <is>
          <t>CÔNG TY TNHH AMERICA INDOCHINA MANAGEMENT VIETNAM</t>
        </is>
      </c>
      <c r="E16421" t="inlineStr">
        <is>
          <t>Lương:Cạnh tranh</t>
        </is>
      </c>
      <c r="F16421" t="inlineStr">
        <is>
          <t>Hồ Chí Minh</t>
        </is>
      </c>
      <c r="G16421" t="inlineStr">
        <is>
          <t>08-03-2026</t>
        </is>
      </c>
      <c r="H16421" t="inlineStr">
        <is>
          <t>15/03/2026</t>
        </is>
      </c>
      <c r="I16421" t="inlineStr">
        <is>
          <t>17/03/2026</t>
        </is>
      </c>
      <c r="J16421" t="inlineStr">
        <is>
          <t>Xuất nhập khẩu, Mới tốt nghiệp / Thực tập, Xây dựng</t>
        </is>
      </c>
      <c r="K16421" t="inlineStr">
        <is>
          <t>N/A</t>
        </is>
      </c>
      <c r="L16421" s="8">
        <f>HYPERLINK("https://careerviet.vn/vi/tim-viec-lam/sales-administration-intern.35C68F6A.html","Xem chi tiết")</f>
        <v/>
      </c>
    </row>
    <row r="16422">
      <c r="B16422" s="9" t="n">
        <v>16420</v>
      </c>
      <c r="C16422" s="10" t="inlineStr">
        <is>
          <t>Nhân viên Kiểm soát chất lượng (QC vi sinh)</t>
        </is>
      </c>
      <c r="D16422" s="10" t="inlineStr">
        <is>
          <t>CÔNG TY TNHH THƯƠNG MẠI DỊCH VỤ DƯỢC PHẨM BÌNH PHÚ</t>
        </is>
      </c>
      <c r="E16422" s="10" t="inlineStr">
        <is>
          <t>Lương:Cạnh tranh</t>
        </is>
      </c>
      <c r="F16422" s="10" t="inlineStr">
        <is>
          <t>Bình Phước</t>
        </is>
      </c>
      <c r="G16422" s="10" t="inlineStr">
        <is>
          <t>31-03-2026</t>
        </is>
      </c>
      <c r="H16422" s="10" t="inlineStr">
        <is>
          <t>31/03/2026</t>
        </is>
      </c>
      <c r="I16422" s="10" t="inlineStr">
        <is>
          <t>17/03/2026</t>
        </is>
      </c>
      <c r="J16422" s="10" t="inlineStr">
        <is>
          <t>Dược phẩm/ Hóa Mỹ Phẩm, Công nghệ sinh học, Quản lý chất lượng (QA/QC)</t>
        </is>
      </c>
      <c r="K16422" s="10" t="inlineStr">
        <is>
          <t>Lên đến 1 Năm</t>
        </is>
      </c>
      <c r="L16422" s="11">
        <f>HYPERLINK("https://careerviet.vn/vi/tim-viec-lam/nhan-vien-kiem-soat-chat-luong-qc-vi-sinh.35C68E2B.html","Xem chi tiết")</f>
        <v/>
      </c>
      <c r="M16422" s="10" t="n"/>
    </row>
    <row r="16423">
      <c r="B16423" s="7" t="n">
        <v>16421</v>
      </c>
      <c r="C16423" t="inlineStr">
        <is>
          <t>Nhân viên quay dựng</t>
        </is>
      </c>
      <c r="D16423" t="inlineStr">
        <is>
          <t>Công Ty Cổ Phần A25 Hotel</t>
        </is>
      </c>
      <c r="E16423" t="inlineStr">
        <is>
          <t>Lương:14 Tr - 20 Tr VND</t>
        </is>
      </c>
      <c r="F16423" t="inlineStr">
        <is>
          <t>Hà Nội</t>
        </is>
      </c>
      <c r="G16423" t="inlineStr">
        <is>
          <t>31-03-2026</t>
        </is>
      </c>
      <c r="H16423" t="inlineStr">
        <is>
          <t>31/03/2026</t>
        </is>
      </c>
      <c r="I16423" t="inlineStr">
        <is>
          <t>17/03/2026</t>
        </is>
      </c>
      <c r="J16423" t="inlineStr">
        <is>
          <t>Tiếp thị / Marketing, Quảng cáo / Đối ngoại / Truyền Thông</t>
        </is>
      </c>
      <c r="K16423" t="inlineStr">
        <is>
          <t>2 - 3 Năm</t>
        </is>
      </c>
      <c r="L16423" s="8">
        <f>HYPERLINK("https://careerviet.vn/vi/tim-viec-lam/nhan-vien-quay-dung.35C68F20.html","Xem chi tiết")</f>
        <v/>
      </c>
    </row>
    <row r="16424">
      <c r="B16424" s="9" t="n">
        <v>16422</v>
      </c>
      <c r="C16424" s="10" t="inlineStr">
        <is>
          <t>Sales Admin (Kênh GT)</t>
        </is>
      </c>
      <c r="D16424" s="10" t="inlineStr">
        <is>
          <t>Công ty Cổ phần ĐẠI ĐỒNG TIẾN</t>
        </is>
      </c>
      <c r="E16424" s="10" t="inlineStr">
        <is>
          <t>Lương:8 Tr - 11 Tr VND</t>
        </is>
      </c>
      <c r="F16424" s="10" t="inlineStr">
        <is>
          <t>Hồ Chí Minh</t>
        </is>
      </c>
      <c r="G16424" s="10" t="inlineStr">
        <is>
          <t>5</t>
        </is>
      </c>
      <c r="H16424" s="10" t="inlineStr">
        <is>
          <t>22/03/2026</t>
        </is>
      </c>
      <c r="I16424" s="10" t="inlineStr">
        <is>
          <t>17/03/2026</t>
        </is>
      </c>
      <c r="J16424" s="10" t="inlineStr">
        <is>
          <t>Bán hàng / Kinh doanh, Bán lẻ / Bán sỉ, Hành chính / Thư ký</t>
        </is>
      </c>
      <c r="K16424" s="10" t="inlineStr">
        <is>
          <t>1 - 2 Năm</t>
        </is>
      </c>
      <c r="L16424" s="11">
        <f>HYPERLINK("https://careerviet.vn/vi/tim-viec-lam/sales-admin-kenh-gt.35C68CF0.html","Xem chi tiết")</f>
        <v/>
      </c>
      <c r="M16424" s="10" t="n"/>
    </row>
    <row r="16425">
      <c r="B16425" s="7" t="n">
        <v>16423</v>
      </c>
      <c r="C16425" t="inlineStr">
        <is>
          <t>Thư ký dự án (chủ đầu tư BĐS)</t>
        </is>
      </c>
      <c r="D16425" t="inlineStr">
        <is>
          <t>Bảo mật</t>
        </is>
      </c>
      <c r="E16425" t="inlineStr">
        <is>
          <t>Lương:Cạnh tranh</t>
        </is>
      </c>
      <c r="F16425" t="inlineStr">
        <is>
          <t>Hồ Chí Minh</t>
        </is>
      </c>
      <c r="G16425" t="inlineStr">
        <is>
          <t>24-03-2026</t>
        </is>
      </c>
      <c r="H16425" t="inlineStr">
        <is>
          <t>24/03/2026</t>
        </is>
      </c>
      <c r="I16425" t="inlineStr">
        <is>
          <t>17/03/2026</t>
        </is>
      </c>
      <c r="J16425" t="inlineStr">
        <is>
          <t>Hành chính / Thư ký, Xây dựng, Bất động sản</t>
        </is>
      </c>
      <c r="K16425" t="inlineStr">
        <is>
          <t>3 - 4 Năm</t>
        </is>
      </c>
      <c r="L16425" s="8">
        <f>HYPERLINK("https://careerviet.vn/vi/tim-viec-lam/thu-ky-du-an-chu-dau-tu-bds.35C65DCC.html","Xem chi tiết")</f>
        <v/>
      </c>
    </row>
    <row r="16426">
      <c r="B16426" s="9" t="n">
        <v>16424</v>
      </c>
      <c r="C16426" s="10" t="inlineStr">
        <is>
          <t>Investment Manager</t>
        </is>
      </c>
      <c r="D16426" s="10" t="inlineStr">
        <is>
          <t>Công ty TNHH Onpoint</t>
        </is>
      </c>
      <c r="E16426" s="10" t="inlineStr">
        <is>
          <t>Lương:Cạnh tranh</t>
        </is>
      </c>
      <c r="F16426" s="10" t="inlineStr">
        <is>
          <t>Hồ Chí Minh</t>
        </is>
      </c>
      <c r="G16426" s="10" t="inlineStr">
        <is>
          <t>07-04-2026</t>
        </is>
      </c>
      <c r="H16426" s="10" t="inlineStr">
        <is>
          <t>07/04/2026</t>
        </is>
      </c>
      <c r="I16426" s="10" t="inlineStr">
        <is>
          <t>17/03/2026</t>
        </is>
      </c>
      <c r="J16426" s="10" t="inlineStr">
        <is>
          <t>Ngân hàng, Chứng khoán, Tài chính / Đầu tư</t>
        </is>
      </c>
      <c r="K16426" s="10" t="inlineStr">
        <is>
          <t>5 - 7 Năm</t>
        </is>
      </c>
      <c r="L16426" s="11">
        <f>HYPERLINK("https://careerviet.vn/vi/tim-viec-lam/investment-manager.35C64E36.html","Xem chi tiết")</f>
        <v/>
      </c>
      <c r="M16426" s="10" t="n"/>
    </row>
    <row r="16427">
      <c r="B16427" s="7" t="n">
        <v>16425</v>
      </c>
      <c r="C16427" t="inlineStr">
        <is>
          <t>KẾ TOÁN BÁN HÀNG</t>
        </is>
      </c>
      <c r="D16427" t="inlineStr">
        <is>
          <t>Tập Đoàn Kim Tín</t>
        </is>
      </c>
      <c r="E16427" t="inlineStr">
        <is>
          <t>Lương:Cạnh tranh</t>
        </is>
      </c>
      <c r="F16427" t="inlineStr">
        <is>
          <t>Hồ Chí Minh</t>
        </is>
      </c>
      <c r="G16427" t="inlineStr">
        <is>
          <t>07-04-2026</t>
        </is>
      </c>
      <c r="H16427" t="inlineStr">
        <is>
          <t>07/04/2026</t>
        </is>
      </c>
      <c r="I16427" t="inlineStr">
        <is>
          <t>17/03/2026</t>
        </is>
      </c>
      <c r="J16427" t="inlineStr">
        <is>
          <t>Kế toán / Kiểm toán, Mới tốt nghiệp / Thực tập</t>
        </is>
      </c>
      <c r="K16427" t="inlineStr">
        <is>
          <t>1 - 3 Năm</t>
        </is>
      </c>
      <c r="L16427" s="8">
        <f>HYPERLINK("https://careerviet.vn/vi/tim-viec-lam/ke-toan-ban-hang.35C67F28.html","Xem chi tiết")</f>
        <v/>
      </c>
    </row>
    <row r="16428">
      <c r="B16428" s="9" t="n">
        <v>16426</v>
      </c>
      <c r="C16428" s="10" t="inlineStr">
        <is>
          <t>[Trảng Bom] Tuyển Nhân Viên Bán Hàng Tại Showroom - Lương cao - Có đào tạo</t>
        </is>
      </c>
      <c r="D16428" s="10" t="inlineStr">
        <is>
          <t>Công Ty TNHH XNK Phát Triển Đông Dương</t>
        </is>
      </c>
      <c r="E16428" s="10" t="inlineStr">
        <is>
          <t>Lương:12 Tr - 20 Tr VND</t>
        </is>
      </c>
      <c r="F16428" s="10" t="inlineStr">
        <is>
          <t>Đồng Nai</t>
        </is>
      </c>
      <c r="G16428" s="10" t="inlineStr">
        <is>
          <t>31-03-2026</t>
        </is>
      </c>
      <c r="H16428" s="10" t="inlineStr">
        <is>
          <t>31/03/2026</t>
        </is>
      </c>
      <c r="I16428" s="10" t="inlineStr">
        <is>
          <t>17/03/2026</t>
        </is>
      </c>
      <c r="J16428" s="10" t="inlineStr">
        <is>
          <t>Bán lẻ / Bán sỉ, Bán hàng / Kinh doanh, Tư vấn</t>
        </is>
      </c>
      <c r="K16428" s="10" t="inlineStr">
        <is>
          <t>N/A</t>
        </is>
      </c>
      <c r="L16428" s="11">
        <f>HYPERLINK("https://careerviet.vn/vi/tim-viec-lam/trang-bom-tuyen-nhan-vien-ban-hang-tai-showroom-luong-cao-co-dao-tao.35C68E0E.html","Xem chi tiết")</f>
        <v/>
      </c>
      <c r="M16428" s="10" t="n"/>
    </row>
    <row r="16429">
      <c r="B16429" s="7" t="n">
        <v>16427</v>
      </c>
      <c r="C16429" t="inlineStr">
        <is>
          <t>Nhân viên quầy hàng</t>
        </is>
      </c>
      <c r="D16429" t="inlineStr">
        <is>
          <t>TỔNG CÔNG TY CỔ PHẦN THƯƠNG MẠI XÂY DỰNG</t>
        </is>
      </c>
      <c r="E16429" t="inlineStr">
        <is>
          <t>Lương:7 Tr - 8,5 Tr VND</t>
        </is>
      </c>
      <c r="F16429" t="inlineStr">
        <is>
          <t>Hà Nội</t>
        </is>
      </c>
      <c r="G16429" t="inlineStr">
        <is>
          <t>07-04-2026</t>
        </is>
      </c>
      <c r="H16429" t="inlineStr">
        <is>
          <t>07/04/2026</t>
        </is>
      </c>
      <c r="I16429" t="inlineStr">
        <is>
          <t>17/03/2026</t>
        </is>
      </c>
      <c r="J16429" t="inlineStr">
        <is>
          <t>Dịch vụ khách hàng, Bán hàng / Kinh doanh, Bán lẻ / Bán sỉ</t>
        </is>
      </c>
      <c r="K16429" t="inlineStr">
        <is>
          <t>Lên đến 1 Năm</t>
        </is>
      </c>
      <c r="L16429" s="8">
        <f>HYPERLINK("https://careerviet.vn/vi/tim-viec-lam/nhan-vien-quay-hang.35C67E70.html","Xem chi tiết")</f>
        <v/>
      </c>
    </row>
    <row r="16430">
      <c r="B16430" s="9" t="n">
        <v>16428</v>
      </c>
      <c r="C16430" s="10" t="inlineStr">
        <is>
          <t>Kỹ sư xây dựng (Chế độ + Phúc lợi hấp dẫn)</t>
        </is>
      </c>
      <c r="D16430" s="10" t="inlineStr">
        <is>
          <t>Công ty Cổ Phần Sản Xuất Dịch Vụ và Thương Mại Phát Linh</t>
        </is>
      </c>
      <c r="E16430" s="10" t="inlineStr">
        <is>
          <t>Lương:18 Tr - 22 Tr VND</t>
        </is>
      </c>
      <c r="F16430" s="10" t="inlineStr">
        <is>
          <t>Hà Nội</t>
        </is>
      </c>
      <c r="G16430" s="10" t="inlineStr">
        <is>
          <t>31-03-2026</t>
        </is>
      </c>
      <c r="H16430" s="10" t="inlineStr">
        <is>
          <t>31/03/2026</t>
        </is>
      </c>
      <c r="I16430" s="10" t="inlineStr">
        <is>
          <t>17/03/2026</t>
        </is>
      </c>
      <c r="J16430" s="10" t="inlineStr">
        <is>
          <t>Kiến trúc, Xây dựng, Bất động sản</t>
        </is>
      </c>
      <c r="K16430" s="10" t="inlineStr">
        <is>
          <t>3 - 5 Năm</t>
        </is>
      </c>
      <c r="L16430" s="11">
        <f>HYPERLINK("https://careerviet.vn/vi/tim-viec-lam/ky-su-xay-dung-che-do-phuc-loi-hap-dan.35C68F13.html","Xem chi tiết")</f>
        <v/>
      </c>
      <c r="M16430" s="10" t="n"/>
    </row>
    <row r="16431">
      <c r="B16431" s="7" t="n">
        <v>16429</v>
      </c>
      <c r="C16431" t="inlineStr">
        <is>
          <t>HCM - Abbott Giám Sát Tiếp Thị PG Thị Trường (PG Sup)</t>
        </is>
      </c>
      <c r="D16431" t="inlineStr">
        <is>
          <t>Abbott</t>
        </is>
      </c>
      <c r="E16431" t="inlineStr">
        <is>
          <t>Lương:Cạnh tranh</t>
        </is>
      </c>
      <c r="F16431" t="inlineStr">
        <is>
          <t>Hồ Chí Minh</t>
        </is>
      </c>
      <c r="G16431" t="inlineStr">
        <is>
          <t>31-03-2026</t>
        </is>
      </c>
      <c r="H16431" t="inlineStr">
        <is>
          <t>31/03/2026</t>
        </is>
      </c>
      <c r="I16431" t="inlineStr">
        <is>
          <t>17/03/2026</t>
        </is>
      </c>
      <c r="J16431" t="inlineStr">
        <is>
          <t>Tiếp thị / Marketing, Bán lẻ / Bán sỉ, Bán hàng / Kinh doanh</t>
        </is>
      </c>
      <c r="K16431" t="inlineStr">
        <is>
          <t>2 - 5 Năm</t>
        </is>
      </c>
      <c r="L16431" s="8">
        <f>HYPERLINK("https://careerviet.vn/vi/tim-viec-lam/hcm-abbott-giam-sat-tiep-thi-pg-thi-truong-pg-sup.35C68DAF.html","Xem chi tiết")</f>
        <v/>
      </c>
    </row>
    <row r="16432">
      <c r="B16432" s="9" t="n">
        <v>16430</v>
      </c>
      <c r="C16432" s="10" t="inlineStr">
        <is>
          <t>Nhân viên thu ngân siêu thị</t>
        </is>
      </c>
      <c r="D16432" s="10" t="inlineStr">
        <is>
          <t>Công Ty TNHH Thương Mại K&amp;K Toàn Cầu</t>
        </is>
      </c>
      <c r="E16432" s="10" t="inlineStr">
        <is>
          <t>Lương:7 Tr - 9 Tr VND</t>
        </is>
      </c>
      <c r="F16432" s="10" t="inlineStr">
        <is>
          <t>Hà NộiĐà NẵngBắc Ninh</t>
        </is>
      </c>
      <c r="G16432" s="10" t="inlineStr">
        <is>
          <t>27-04-2026</t>
        </is>
      </c>
      <c r="H16432" s="10" t="inlineStr">
        <is>
          <t>27/04/2026</t>
        </is>
      </c>
      <c r="I16432" s="10" t="inlineStr">
        <is>
          <t>17/03/2026</t>
        </is>
      </c>
      <c r="J16432" s="10" t="inlineStr">
        <is>
          <t>Bán lẻ / Bán sỉ, Bán hàng / Kinh doanh</t>
        </is>
      </c>
      <c r="K16432" s="10" t="inlineStr">
        <is>
          <t>N/A</t>
        </is>
      </c>
      <c r="L16432" s="11">
        <f>HYPERLINK("https://careerviet.vn/vi/tim-viec-lam/nhan-vien-thu-ngan-sieu-thi.35C68CC3.html","Xem chi tiết")</f>
        <v/>
      </c>
      <c r="M16432" s="10" t="n"/>
    </row>
    <row r="16433">
      <c r="B16433" s="7" t="n">
        <v>16431</v>
      </c>
      <c r="C16433" t="inlineStr">
        <is>
          <t>Kế Toán Nội Bộ</t>
        </is>
      </c>
      <c r="D16433" t="inlineStr">
        <is>
          <t>CÔNG TY CỔ PHẦN THE NEW DISTRICT</t>
        </is>
      </c>
      <c r="E16433" t="inlineStr">
        <is>
          <t>Lương:12 Tr - 15 Tr VND</t>
        </is>
      </c>
      <c r="F16433" t="inlineStr">
        <is>
          <t>Hồ Chí Minh</t>
        </is>
      </c>
      <c r="G16433" t="inlineStr">
        <is>
          <t>31-03-2026</t>
        </is>
      </c>
      <c r="H16433" t="inlineStr">
        <is>
          <t>31/03/2026</t>
        </is>
      </c>
      <c r="I16433" t="inlineStr">
        <is>
          <t>17/03/2026</t>
        </is>
      </c>
      <c r="J16433" t="inlineStr">
        <is>
          <t>Kế toán / Kiểm toán</t>
        </is>
      </c>
      <c r="K16433" t="inlineStr">
        <is>
          <t>2 - 3 Năm</t>
        </is>
      </c>
      <c r="L16433" s="8">
        <f>HYPERLINK("https://careerviet.vn/vi/tim-viec-lam/ke-toan-noi-bo.35C68E2D.html","Xem chi tiết")</f>
        <v/>
      </c>
    </row>
    <row r="16434">
      <c r="B16434" s="9" t="n">
        <v>16432</v>
      </c>
      <c r="C16434" s="10" t="inlineStr">
        <is>
          <t>Trợ Lý Đặt Phòng - Phòng Chăm Sóc Khách Hàng</t>
        </is>
      </c>
      <c r="D16434" s="10" t="inlineStr">
        <is>
          <t>Công Ty Cổ Phần A25 Hotel</t>
        </is>
      </c>
      <c r="E16434" s="10" t="inlineStr">
        <is>
          <t>Lương:14 Tr - 30 Tr VND</t>
        </is>
      </c>
      <c r="F16434" s="10" t="inlineStr">
        <is>
          <t>Hồ Chí MinhHà Nội</t>
        </is>
      </c>
      <c r="G16434" s="10" t="inlineStr">
        <is>
          <t>31-03-2026</t>
        </is>
      </c>
      <c r="H16434" s="10" t="inlineStr">
        <is>
          <t>31/03/2026</t>
        </is>
      </c>
      <c r="I16434" s="10" t="inlineStr">
        <is>
          <t>17/03/2026</t>
        </is>
      </c>
      <c r="J16434" s="10" t="inlineStr">
        <is>
          <t>Nhà hàng / Khách sạn, Dịch vụ khách hàng</t>
        </is>
      </c>
      <c r="K16434" s="10" t="inlineStr">
        <is>
          <t>1 - 2 Năm</t>
        </is>
      </c>
      <c r="L16434" s="11">
        <f>HYPERLINK("https://careerviet.vn/vi/tim-viec-lam/tro-ly-dat-phong-phong-cham-soc-khach-hang.35C68F4A.html","Xem chi tiết")</f>
        <v/>
      </c>
      <c r="M16434" s="10" t="n"/>
    </row>
    <row r="16435">
      <c r="B16435" s="7" t="n">
        <v>16433</v>
      </c>
      <c r="C16435" t="inlineStr">
        <is>
          <t>Nhân viên kiến trúc sư công trình (BĐS CĐT)</t>
        </is>
      </c>
      <c r="D16435" t="inlineStr">
        <is>
          <t>CareerViet's client</t>
        </is>
      </c>
      <c r="E16435" t="inlineStr">
        <is>
          <t>Lương:Cạnh tranh</t>
        </is>
      </c>
      <c r="F16435" t="inlineStr">
        <is>
          <t>Hồ Chí Minh</t>
        </is>
      </c>
      <c r="G16435" t="inlineStr">
        <is>
          <t>24-03-2026</t>
        </is>
      </c>
      <c r="H16435" t="inlineStr">
        <is>
          <t>24/03/2026</t>
        </is>
      </c>
      <c r="I16435" t="inlineStr">
        <is>
          <t>17/03/2026</t>
        </is>
      </c>
      <c r="J16435" t="inlineStr">
        <is>
          <t>Bất động sản, Kiến trúc, Mỹ thuật / Nghệ thuật / Thiết kế</t>
        </is>
      </c>
      <c r="K16435" t="inlineStr">
        <is>
          <t>7 - 10 Năm</t>
        </is>
      </c>
      <c r="L16435" s="8">
        <f>HYPERLINK("https://careerviet.vn/vi/tim-viec-lam/nhan-vien-kien-truc-su-cong-trinh-bds-cdt.35C68F7D.html","Xem chi tiết")</f>
        <v/>
      </c>
    </row>
    <row r="16436">
      <c r="B16436" s="9" t="n">
        <v>16434</v>
      </c>
      <c r="C16436" s="10" t="inlineStr">
        <is>
          <t>BẾP TRƯỞNG HỆ THỐNG</t>
        </is>
      </c>
      <c r="D16436" s="10" t="inlineStr">
        <is>
          <t>Công Ty Cổ Phần Tầm Nhìn Quốc Tế Aladdin</t>
        </is>
      </c>
      <c r="E16436" s="10" t="inlineStr">
        <is>
          <t>Lương:Cạnh tranh</t>
        </is>
      </c>
      <c r="F16436" s="10" t="inlineStr">
        <is>
          <t>Hồ Chí Minh</t>
        </is>
      </c>
      <c r="G16436" s="10" t="inlineStr">
        <is>
          <t>31-03-2026</t>
        </is>
      </c>
      <c r="H16436" s="10" t="inlineStr">
        <is>
          <t>31/03/2026</t>
        </is>
      </c>
      <c r="I16436" s="10" t="inlineStr">
        <is>
          <t>17/03/2026</t>
        </is>
      </c>
      <c r="J16436" s="10" t="inlineStr">
        <is>
          <t>Thực phẩm &amp; Đồ uống, Nhà hàng / Khách sạn, Quản lý điều hành</t>
        </is>
      </c>
      <c r="K16436" s="10" t="inlineStr">
        <is>
          <t>3 - 4 Năm</t>
        </is>
      </c>
      <c r="L16436" s="11">
        <f>HYPERLINK("https://careerviet.vn/vi/tim-viec-lam/bep-truong-he-thong.35C68E9E.html","Xem chi tiết")</f>
        <v/>
      </c>
      <c r="M16436" s="10" t="n"/>
    </row>
    <row r="16437">
      <c r="B16437" s="7" t="n">
        <v>16435</v>
      </c>
      <c r="C16437" t="inlineStr">
        <is>
          <t>Chuyên Viên Phân Tích Nghiệp Vụ</t>
        </is>
      </c>
      <c r="D16437" t="inlineStr">
        <is>
          <t>EuP Group</t>
        </is>
      </c>
      <c r="E16437" t="inlineStr">
        <is>
          <t>Lương:10 Tr - 15 Tr VND</t>
        </is>
      </c>
      <c r="F16437" t="inlineStr">
        <is>
          <t>Hà Nội</t>
        </is>
      </c>
      <c r="G16437" t="inlineStr">
        <is>
          <t>6</t>
        </is>
      </c>
      <c r="H16437" t="inlineStr">
        <is>
          <t>23/03/2026</t>
        </is>
      </c>
      <c r="I16437" t="inlineStr">
        <is>
          <t>17/03/2026</t>
        </is>
      </c>
      <c r="J16437" t="inlineStr">
        <is>
          <t>Bán hàng / Kinh doanh, Kế toán / Kiểm toán, Sản xuất / Vận hành sản xuất</t>
        </is>
      </c>
      <c r="K16437" t="inlineStr">
        <is>
          <t>Trên 1 Năm</t>
        </is>
      </c>
      <c r="L16437" s="8">
        <f>HYPERLINK("https://careerviet.vn/vi/tim-viec-lam/chuyen-vien-phan-tich-nghiep-vu.35C68D3C.html","Xem chi tiết")</f>
        <v/>
      </c>
    </row>
    <row r="16438">
      <c r="B16438" s="9" t="n">
        <v>16436</v>
      </c>
      <c r="C16438" s="10" t="inlineStr">
        <is>
          <t>Kế toán chi phí</t>
        </is>
      </c>
      <c r="D16438" s="10" t="inlineStr">
        <is>
          <t>Công Ty TNHH XNK Phát Triển Đông Dương</t>
        </is>
      </c>
      <c r="E16438" s="10" t="inlineStr">
        <is>
          <t>Lương:13 Tr - 16 Tr VND</t>
        </is>
      </c>
      <c r="F16438" s="10" t="inlineStr">
        <is>
          <t>Hồ Chí Minh</t>
        </is>
      </c>
      <c r="G16438" s="10" t="inlineStr">
        <is>
          <t>31-03-2026</t>
        </is>
      </c>
      <c r="H16438" s="10" t="inlineStr">
        <is>
          <t>31/03/2026</t>
        </is>
      </c>
      <c r="I16438" s="10" t="inlineStr">
        <is>
          <t>17/03/2026</t>
        </is>
      </c>
      <c r="J16438" s="10" t="inlineStr">
        <is>
          <t>Kế toán / Kiểm toán, Ngân hàng, Tài chính / Đầu tư</t>
        </is>
      </c>
      <c r="K16438" s="10" t="inlineStr">
        <is>
          <t>24 - 29 Năm</t>
        </is>
      </c>
      <c r="L16438" s="11">
        <f>HYPERLINK("https://careerviet.vn/vi/tim-viec-lam/ke-toan-chi-phi.35C68E53.html","Xem chi tiết")</f>
        <v/>
      </c>
      <c r="M16438" s="10" t="n"/>
    </row>
    <row r="16439">
      <c r="B16439" s="7" t="n">
        <v>16437</v>
      </c>
      <c r="C16439" t="inlineStr">
        <is>
          <t>NHÂN VIÊN KỸ THUẬT GPS - Khu Vực TP Bắc Ninh (Thu nhập 9-15tr/tháng)</t>
        </is>
      </c>
      <c r="D16439" t="inlineStr">
        <is>
          <t>Công Ty TNHH Phát Triển Công Nghệ Điện Tử Bình Anh</t>
        </is>
      </c>
      <c r="E16439" t="inlineStr">
        <is>
          <t>Lương:9 Tr - 12 Tr VND</t>
        </is>
      </c>
      <c r="F16439" t="inlineStr">
        <is>
          <t>Bắc Ninh</t>
        </is>
      </c>
      <c r="G16439" t="inlineStr">
        <is>
          <t>31-03-2026</t>
        </is>
      </c>
      <c r="H16439" t="inlineStr">
        <is>
          <t>31/03/2026</t>
        </is>
      </c>
      <c r="I16439" t="inlineStr">
        <is>
          <t>17/03/2026</t>
        </is>
      </c>
      <c r="J16439" t="inlineStr">
        <is>
          <t>Bưu chính viễn thông, Cơ khí / Ô tô / Tự động hóa, CNTT - Phần cứng / Mạng</t>
        </is>
      </c>
      <c r="K16439" t="inlineStr">
        <is>
          <t>N/A</t>
        </is>
      </c>
      <c r="L16439" s="8">
        <f>HYPERLINK("https://careerviet.vn/vi/tim-viec-lam/nhan-vien-ky-thuat-gps-khu-vuc-tp-bac-ninh-thu-nhap-9-15tr-thang.35C68F14.html","Xem chi tiết")</f>
        <v/>
      </c>
    </row>
    <row r="16440">
      <c r="B16440" s="9" t="n">
        <v>16438</v>
      </c>
      <c r="C16440" s="10" t="inlineStr">
        <is>
          <t>Nhân Viên Bảo Trì</t>
        </is>
      </c>
      <c r="D16440" s="10" t="inlineStr">
        <is>
          <t>Công Ty TNHH APM Springs Vietnam</t>
        </is>
      </c>
      <c r="E16440" s="10" t="inlineStr">
        <is>
          <t>Lương:Cạnh tranh</t>
        </is>
      </c>
      <c r="F16440" s="10" t="inlineStr">
        <is>
          <t>Bình Dương</t>
        </is>
      </c>
      <c r="G16440" s="10" t="inlineStr">
        <is>
          <t>24-03-2026</t>
        </is>
      </c>
      <c r="H16440" s="10" t="inlineStr">
        <is>
          <t>24/03/2026</t>
        </is>
      </c>
      <c r="I16440" s="10" t="inlineStr">
        <is>
          <t>17/03/2026</t>
        </is>
      </c>
      <c r="J16440" s="10" t="inlineStr">
        <is>
          <t>Bảo trì / Sửa chữa, Cơ khí / Ô tô / Tự động hóa, Sản xuất / Vận hành sản xuất</t>
        </is>
      </c>
      <c r="K16440" s="10" t="inlineStr">
        <is>
          <t>1 - 2 Năm</t>
        </is>
      </c>
      <c r="L16440" s="11">
        <f>HYPERLINK("https://careerviet.vn/vi/tim-viec-lam/nhan-vien-bao-tri.35C68F32.html","Xem chi tiết")</f>
        <v/>
      </c>
      <c r="M16440" s="10" t="n"/>
    </row>
    <row r="16441">
      <c r="B16441" s="7" t="n">
        <v>16439</v>
      </c>
      <c r="C16441" t="inlineStr">
        <is>
          <t>[Hoài Đức-Bình Thuận] Tuyển Nhân Viên Bán Hàng - Chuỗi Cửa Hàng Bán Lẻ Thiết Bị Sức Khỏe</t>
        </is>
      </c>
      <c r="D16441" t="inlineStr">
        <is>
          <t>Công Ty TNHH XNK Phát Triển Đông Dương</t>
        </is>
      </c>
      <c r="E16441" t="inlineStr">
        <is>
          <t>Lương:12 Tr - 20 Tr VND</t>
        </is>
      </c>
      <c r="F16441" t="inlineStr">
        <is>
          <t>Bình Thuận</t>
        </is>
      </c>
      <c r="G16441" t="inlineStr">
        <is>
          <t>31-03-2026</t>
        </is>
      </c>
      <c r="H16441" t="inlineStr">
        <is>
          <t>31/03/2026</t>
        </is>
      </c>
      <c r="I16441" t="inlineStr">
        <is>
          <t>17/03/2026</t>
        </is>
      </c>
      <c r="J16441" t="inlineStr">
        <is>
          <t>Bán lẻ / Bán sỉ, Bán hàng / Kinh doanh, Tư vấn</t>
        </is>
      </c>
      <c r="K16441" t="inlineStr">
        <is>
          <t>N/A</t>
        </is>
      </c>
      <c r="L16441" s="8">
        <f>HYPERLINK("https://careerviet.vn/vi/tim-viec-lam/hoai-duc-binh-thuan-tuyen-nhan-vien-ban-hang-chuoi-cua-hang-ban-le-thiet-bi-suc-khoe.35C68E47.html","Xem chi tiết")</f>
        <v/>
      </c>
    </row>
    <row r="16442">
      <c r="B16442" s="9" t="n">
        <v>16440</v>
      </c>
      <c r="C16442" s="10" t="inlineStr">
        <is>
          <t>NHÂN VIÊN AN TOÀN</t>
        </is>
      </c>
      <c r="D16442" s="10" t="inlineStr">
        <is>
          <t>Công ty Cổ phần Mạc Tích (MARTECH)</t>
        </is>
      </c>
      <c r="E16442" s="10" t="inlineStr">
        <is>
          <t>Lương:Cạnh tranh</t>
        </is>
      </c>
      <c r="F16442" s="10" t="inlineStr">
        <is>
          <t>Đồng Nai</t>
        </is>
      </c>
      <c r="G16442" s="10" t="inlineStr">
        <is>
          <t>25-03-2026</t>
        </is>
      </c>
      <c r="H16442" s="10" t="inlineStr">
        <is>
          <t>25/03/2026</t>
        </is>
      </c>
      <c r="I16442" s="10" t="inlineStr">
        <is>
          <t>17/03/2026</t>
        </is>
      </c>
      <c r="J16442" s="10" t="inlineStr">
        <is>
          <t>Cơ khí / Ô tô / Tự động hóa, Điện / Điện tử / Điện lạnh / Điện công nghiệp, An toàn lao động</t>
        </is>
      </c>
      <c r="K16442" s="10" t="inlineStr">
        <is>
          <t>1 - 2 Năm</t>
        </is>
      </c>
      <c r="L16442" s="11">
        <f>HYPERLINK("https://careerviet.vn/vi/tim-viec-lam/nhan-vien-an-toan.35C68D7B.html","Xem chi tiết")</f>
        <v/>
      </c>
      <c r="M16442" s="10" t="n"/>
    </row>
    <row r="16443">
      <c r="B16443" s="7" t="n">
        <v>16441</v>
      </c>
      <c r="C16443" t="inlineStr">
        <is>
          <t>HR Associate (CnB) (KCN Long Bình)</t>
        </is>
      </c>
      <c r="D16443" t="inlineStr">
        <is>
          <t>Công ty TNHH Olam Việt Nam</t>
        </is>
      </c>
      <c r="E16443" t="inlineStr">
        <is>
          <t>Lương:Cạnh tranh</t>
        </is>
      </c>
      <c r="F16443" t="inlineStr">
        <is>
          <t>Đồng Nai</t>
        </is>
      </c>
      <c r="G16443" t="inlineStr">
        <is>
          <t>31-03-2026</t>
        </is>
      </c>
      <c r="H16443" t="inlineStr">
        <is>
          <t>31/03/2026</t>
        </is>
      </c>
      <c r="I16443" t="inlineStr">
        <is>
          <t>17/03/2026</t>
        </is>
      </c>
      <c r="J16443" t="inlineStr">
        <is>
          <t>Hành chính / Thư ký, Kế toán / Kiểm toán, Tiếp thị / Marketing</t>
        </is>
      </c>
      <c r="K16443" t="inlineStr">
        <is>
          <t>2 - 3 Năm</t>
        </is>
      </c>
      <c r="L16443" s="8">
        <f>HYPERLINK("https://careerviet.vn/vi/tim-viec-lam/hr-associate-cnb-kcn-long-binh.35C68F55.html","Xem chi tiết")</f>
        <v/>
      </c>
    </row>
    <row r="16444">
      <c r="B16444" s="9" t="n">
        <v>16442</v>
      </c>
      <c r="C16444" s="10" t="inlineStr">
        <is>
          <t>Nhân viên mua hàng (FMCG)</t>
        </is>
      </c>
      <c r="D16444" s="10" t="inlineStr">
        <is>
          <t>CÔNG TY TNHH MĂMMY VIỆT NAM</t>
        </is>
      </c>
      <c r="E16444" s="10" t="inlineStr">
        <is>
          <t>Lương:10 Tr - 12 Tr VND</t>
        </is>
      </c>
      <c r="F16444" s="10" t="inlineStr">
        <is>
          <t>Hồ Chí Minh</t>
        </is>
      </c>
      <c r="G16444" s="10" t="inlineStr">
        <is>
          <t>6</t>
        </is>
      </c>
      <c r="H16444" s="10" t="inlineStr">
        <is>
          <t>23/03/2026</t>
        </is>
      </c>
      <c r="I16444" s="10" t="inlineStr">
        <is>
          <t>17/03/2026</t>
        </is>
      </c>
      <c r="J16444" s="10" t="inlineStr">
        <is>
          <t>Thu mua / Vật tư</t>
        </is>
      </c>
      <c r="K16444" s="10" t="inlineStr">
        <is>
          <t>1 - 2 Năm</t>
        </is>
      </c>
      <c r="L16444" s="11">
        <f>HYPERLINK("https://careerviet.vn/vi/tim-viec-lam/nhan-vien-mua-hang-fmcg.35C68D7E.html","Xem chi tiết")</f>
        <v/>
      </c>
      <c r="M16444" s="10" t="n"/>
    </row>
    <row r="16445">
      <c r="B16445" s="7" t="n">
        <v>16443</v>
      </c>
      <c r="C16445" t="inlineStr">
        <is>
          <t>Nhân viên kinh doanh (ngành hàng kim khí) tại Quảng Nam, Quảng Ngãi</t>
        </is>
      </c>
      <c r="D16445" t="inlineStr">
        <is>
          <t>Tập Đoàn Tân Á Đại Thành</t>
        </is>
      </c>
      <c r="E16445" t="inlineStr">
        <is>
          <t>Lương:8 Tr - 15 Tr VND</t>
        </is>
      </c>
      <c r="F16445" t="inlineStr">
        <is>
          <t>Quảng NgãiQuảng Nam</t>
        </is>
      </c>
      <c r="G16445" t="inlineStr">
        <is>
          <t>08-03-2026</t>
        </is>
      </c>
      <c r="H16445" t="inlineStr">
        <is>
          <t>15/03/2026</t>
        </is>
      </c>
      <c r="I16445" t="inlineStr">
        <is>
          <t>17/03/2026</t>
        </is>
      </c>
      <c r="J16445" t="inlineStr">
        <is>
          <t>Bán hàng / Kinh doanh</t>
        </is>
      </c>
      <c r="K16445" t="inlineStr">
        <is>
          <t>N/A</t>
        </is>
      </c>
      <c r="L16445" s="8">
        <f>HYPERLINK("https://careerviet.vn/vi/tim-viec-lam/nhan-vien-kinh-doanh-nganh-hang-kim-khi-tai-quang-nam-quang-ngai.35C68CEE.html","Xem chi tiết")</f>
        <v/>
      </c>
    </row>
    <row r="16446">
      <c r="B16446" s="9" t="n">
        <v>16444</v>
      </c>
      <c r="C16446" s="10" t="inlineStr">
        <is>
          <t>Phó Phòng Pháp Chế</t>
        </is>
      </c>
      <c r="D16446" s="10" t="inlineStr">
        <is>
          <t>CÔNG TY CỔ PHẦN GIẢI PHÁP THANH TOÁN VIỆT TÍN</t>
        </is>
      </c>
      <c r="E16446" s="10" t="inlineStr">
        <is>
          <t>Lương:15 Tr - 20 Tr VND</t>
        </is>
      </c>
      <c r="F16446" s="10" t="inlineStr">
        <is>
          <t>Hồ Chí Minh</t>
        </is>
      </c>
      <c r="G16446" s="10" t="inlineStr">
        <is>
          <t>24-03-2026</t>
        </is>
      </c>
      <c r="H16446" s="10" t="inlineStr">
        <is>
          <t>24/03/2026</t>
        </is>
      </c>
      <c r="I16446" s="10" t="inlineStr">
        <is>
          <t>17/03/2026</t>
        </is>
      </c>
      <c r="J16446" s="10" t="inlineStr">
        <is>
          <t>Ngành khác</t>
        </is>
      </c>
      <c r="K16446" s="10" t="inlineStr">
        <is>
          <t>2 - 3 Năm</t>
        </is>
      </c>
      <c r="L16446" s="11">
        <f>HYPERLINK("https://careerviet.vn/vi/tim-viec-lam/pho-phong-phap-che.35C68D69.html","Xem chi tiết")</f>
        <v/>
      </c>
      <c r="M16446" s="10" t="n"/>
    </row>
    <row r="16447">
      <c r="B16447" s="7" t="n">
        <v>16445</v>
      </c>
      <c r="C16447" t="inlineStr">
        <is>
          <t>Graphic Designer</t>
        </is>
      </c>
      <c r="D16447" t="inlineStr">
        <is>
          <t>Công Ty Cổ Phần A25 Hotel</t>
        </is>
      </c>
      <c r="E16447" t="inlineStr">
        <is>
          <t>Lương:14 Tr - 20 Tr VND</t>
        </is>
      </c>
      <c r="F16447" t="inlineStr">
        <is>
          <t>Hà Nội</t>
        </is>
      </c>
      <c r="G16447" t="inlineStr">
        <is>
          <t>31-03-2026</t>
        </is>
      </c>
      <c r="H16447" t="inlineStr">
        <is>
          <t>31/03/2026</t>
        </is>
      </c>
      <c r="I16447" t="inlineStr">
        <is>
          <t>17/03/2026</t>
        </is>
      </c>
      <c r="J16447" t="inlineStr">
        <is>
          <t>Tiếp thị / Marketing, Nhà hàng / Khách sạn, Mỹ thuật / Nghệ thuật / Thiết kế</t>
        </is>
      </c>
      <c r="K16447" t="inlineStr">
        <is>
          <t>2 - 3 Năm</t>
        </is>
      </c>
      <c r="L16447" s="8">
        <f>HYPERLINK("https://careerviet.vn/vi/tim-viec-lam/graphic-designer.35C68F1E.html","Xem chi tiết")</f>
        <v/>
      </c>
    </row>
    <row r="16448">
      <c r="B16448" s="9" t="n">
        <v>16446</v>
      </c>
      <c r="C16448" s="10" t="inlineStr">
        <is>
          <t>Trợ Lý Phòng Bảo Hành</t>
        </is>
      </c>
      <c r="D16448" s="10" t="inlineStr">
        <is>
          <t>CHI NHÁNH CT CP TẬP ĐOÀN SUNHOUSE TẠI TPHCM</t>
        </is>
      </c>
      <c r="E16448" s="10" t="inlineStr">
        <is>
          <t>Lương:Cạnh tranh</t>
        </is>
      </c>
      <c r="F16448" s="10" t="inlineStr">
        <is>
          <t>Hồ Chí Minh</t>
        </is>
      </c>
      <c r="G16448" s="10" t="inlineStr">
        <is>
          <t>07-04-2026</t>
        </is>
      </c>
      <c r="H16448" s="10" t="inlineStr">
        <is>
          <t>07/04/2026</t>
        </is>
      </c>
      <c r="I16448" s="10" t="inlineStr">
        <is>
          <t>17/03/2026</t>
        </is>
      </c>
      <c r="J16448" s="10" t="inlineStr">
        <is>
          <t>Dịch vụ khách hàng, Hành chính / Thư ký, Kế toán / Kiểm toán</t>
        </is>
      </c>
      <c r="K16448" s="10" t="inlineStr">
        <is>
          <t>2 - 4 Năm</t>
        </is>
      </c>
      <c r="L16448" s="11">
        <f>HYPERLINK("https://careerviet.vn/vi/tim-viec-lam/tro-ly-phong-bao-hanh.35C64E2C.html","Xem chi tiết")</f>
        <v/>
      </c>
      <c r="M16448" s="10" t="n"/>
    </row>
    <row r="16449">
      <c r="B16449" s="7" t="n">
        <v>16447</v>
      </c>
      <c r="C16449" t="inlineStr">
        <is>
          <t>[CITIGYM] Marketing Manager (Planning &amp; Event)</t>
        </is>
      </c>
      <c r="D16449" t="inlineStr">
        <is>
          <t>Nova Service Group - Công ty Cổ phần Tập đoàn Nova Services</t>
        </is>
      </c>
      <c r="E16449" t="inlineStr">
        <is>
          <t>Lương:30 Tr - 45 Tr VND</t>
        </is>
      </c>
      <c r="F16449" t="inlineStr">
        <is>
          <t>Hồ Chí Minh</t>
        </is>
      </c>
      <c r="G16449" t="inlineStr">
        <is>
          <t>31-03-2026</t>
        </is>
      </c>
      <c r="H16449" t="inlineStr">
        <is>
          <t>31/03/2026</t>
        </is>
      </c>
      <c r="I16449" t="inlineStr">
        <is>
          <t>17/03/2026</t>
        </is>
      </c>
      <c r="J16449" t="inlineStr">
        <is>
          <t>Tiếp thị / Marketing, Dịch vụ khách hàng, Tổ chức sự kiện</t>
        </is>
      </c>
      <c r="K16449" t="inlineStr">
        <is>
          <t>5 - 7 Năm</t>
        </is>
      </c>
      <c r="L16449" s="8">
        <f>HYPERLINK("https://careerviet.vn/vi/tim-viec-lam/citigym-marketing-manager-planning-event.35C68ED0.html","Xem chi tiết")</f>
        <v/>
      </c>
    </row>
    <row r="16450">
      <c r="B16450" s="9" t="n">
        <v>16448</v>
      </c>
      <c r="C16450" s="10" t="inlineStr">
        <is>
          <t>Nhân Viên Bán Hàng - Bảo Lộc</t>
        </is>
      </c>
      <c r="D16450" s="10" t="inlineStr">
        <is>
          <t>Công ty CP Toshiko Việt Nam</t>
        </is>
      </c>
      <c r="E16450" s="10" t="inlineStr">
        <is>
          <t>Lương:10 Tr - 15 Tr VND</t>
        </is>
      </c>
      <c r="F16450" s="10" t="inlineStr">
        <is>
          <t>Lâm Đồng</t>
        </is>
      </c>
      <c r="G16450" s="10" t="inlineStr">
        <is>
          <t>6</t>
        </is>
      </c>
      <c r="H16450" s="10" t="inlineStr">
        <is>
          <t>23/03/2026</t>
        </is>
      </c>
      <c r="I16450" s="10" t="inlineStr">
        <is>
          <t>17/03/2026</t>
        </is>
      </c>
      <c r="J16450" s="10" t="inlineStr">
        <is>
          <t>Bán lẻ / Bán sỉ, Bán hàng / Kinh doanh, Tư vấn</t>
        </is>
      </c>
      <c r="K16450" s="10" t="inlineStr">
        <is>
          <t>1 - 2 Năm</t>
        </is>
      </c>
      <c r="L16450" s="11">
        <f>HYPERLINK("https://careerviet.vn/vi/tim-viec-lam/nhan-vien-ban-hang-bao-loc.35C68CE3.html","Xem chi tiết")</f>
        <v/>
      </c>
      <c r="M16450" s="10" t="n"/>
    </row>
    <row r="16451">
      <c r="B16451" s="7" t="n">
        <v>16449</v>
      </c>
      <c r="C16451" t="inlineStr">
        <is>
          <t>Giám Sát Chất Lượng Bưu Cục (QC)</t>
        </is>
      </c>
      <c r="D16451" t="inlineStr">
        <is>
          <t>Công Ty TNHH BEST Logistics Technology (Việt Nam)</t>
        </is>
      </c>
      <c r="E16451" t="inlineStr">
        <is>
          <t>Lương:Cạnh tranh</t>
        </is>
      </c>
      <c r="F16451" t="inlineStr">
        <is>
          <t>Hồ Chí Minh</t>
        </is>
      </c>
      <c r="G16451" t="inlineStr">
        <is>
          <t>6</t>
        </is>
      </c>
      <c r="H16451" t="inlineStr">
        <is>
          <t>23/03/2026</t>
        </is>
      </c>
      <c r="I16451" t="inlineStr">
        <is>
          <t>17/03/2026</t>
        </is>
      </c>
      <c r="J16451" t="inlineStr">
        <is>
          <t>Thương mại điện tử, Vận chuyển / Giao nhận / Kho vận, Quản lý chất lượng (QA/QC)</t>
        </is>
      </c>
      <c r="K16451" t="inlineStr">
        <is>
          <t>1 - 3 Năm</t>
        </is>
      </c>
      <c r="L16451" s="8">
        <f>HYPERLINK("https://careerviet.vn/vi/tim-viec-lam/giam-sat-chat-luong-buu-cuc-qc.35C68D9B.html","Xem chi tiết")</f>
        <v/>
      </c>
    </row>
    <row r="16452">
      <c r="B16452" s="9" t="n">
        <v>16450</v>
      </c>
      <c r="C16452" s="10" t="inlineStr">
        <is>
          <t>Graphic Designer (E-commerce &amp; Digital Marketing)</t>
        </is>
      </c>
      <c r="D16452" s="10" t="inlineStr">
        <is>
          <t>Công Ty TNHH TaeYang Việt Nam Chi Nhánh Đồng Nai</t>
        </is>
      </c>
      <c r="E16452" s="10" t="inlineStr">
        <is>
          <t>Lương:Trên 15 Tr VND</t>
        </is>
      </c>
      <c r="F16452" s="10" t="inlineStr">
        <is>
          <t>Hồ Chí Minh</t>
        </is>
      </c>
      <c r="G16452" s="10" t="inlineStr">
        <is>
          <t>07-04-2026</t>
        </is>
      </c>
      <c r="H16452" s="10" t="inlineStr">
        <is>
          <t>07/04/2026</t>
        </is>
      </c>
      <c r="I16452" s="10" t="inlineStr">
        <is>
          <t>17/03/2026</t>
        </is>
      </c>
      <c r="J16452" s="10" t="inlineStr">
        <is>
          <t>Thương mại điện tử, Mỹ thuật / Nghệ thuật / Thiết kế, Quảng cáo / Đối ngoại / Truyền Thông</t>
        </is>
      </c>
      <c r="K16452" s="10" t="inlineStr">
        <is>
          <t>Trên 2 Năm</t>
        </is>
      </c>
      <c r="L16452" s="11">
        <f>HYPERLINK("https://careerviet.vn/vi/tim-viec-lam/graphic-designer-e-commerce-digital-marketing.35C67F1F.html","Xem chi tiết")</f>
        <v/>
      </c>
      <c r="M16452" s="10" t="n"/>
    </row>
    <row r="16453">
      <c r="B16453" s="7" t="n">
        <v>16451</v>
      </c>
      <c r="C16453" t="inlineStr">
        <is>
          <t>Videographer (Strong in Shooting &amp; Editing)</t>
        </is>
      </c>
      <c r="D16453" t="inlineStr">
        <is>
          <t>DIAG</t>
        </is>
      </c>
      <c r="E16453" t="inlineStr">
        <is>
          <t>Lương:20 Tr - 25 Tr VND</t>
        </is>
      </c>
      <c r="F16453" t="inlineStr">
        <is>
          <t>Hồ Chí Minh</t>
        </is>
      </c>
      <c r="G16453" t="inlineStr">
        <is>
          <t>31-03-2026</t>
        </is>
      </c>
      <c r="H16453" t="inlineStr">
        <is>
          <t>31/03/2026</t>
        </is>
      </c>
      <c r="I16453" t="inlineStr">
        <is>
          <t>17/03/2026</t>
        </is>
      </c>
      <c r="J16453" t="inlineStr">
        <is>
          <t>Mỹ thuật / Nghệ thuật / Thiết kế, Truyền hình / Báo chí / Biên tập, Giải trí</t>
        </is>
      </c>
      <c r="K16453" t="inlineStr">
        <is>
          <t>3 - 5 Năm</t>
        </is>
      </c>
      <c r="L16453" s="8">
        <f>HYPERLINK("https://careerviet.vn/vi/tim-viec-lam/videographer-strong-in-shooting-editing.35C68C9D.html","Xem chi tiết")</f>
        <v/>
      </c>
    </row>
    <row r="16454">
      <c r="B16454" s="9" t="n">
        <v>16452</v>
      </c>
      <c r="C16454" s="10" t="inlineStr">
        <is>
          <t>ESH Officer</t>
        </is>
      </c>
      <c r="D16454" s="10" t="inlineStr">
        <is>
          <t>CÔNG TY TNHH TRIMCO GROUP (VIỆT NAM)</t>
        </is>
      </c>
      <c r="E16454" s="10" t="inlineStr">
        <is>
          <t>Lương:Cạnh tranh</t>
        </is>
      </c>
      <c r="F16454" s="10" t="inlineStr">
        <is>
          <t>Bình Dương</t>
        </is>
      </c>
      <c r="G16454" s="10" t="inlineStr">
        <is>
          <t>07-04-2026</t>
        </is>
      </c>
      <c r="H16454" s="10" t="inlineStr">
        <is>
          <t>07/04/2026</t>
        </is>
      </c>
      <c r="I16454" s="10" t="inlineStr">
        <is>
          <t>17/03/2026</t>
        </is>
      </c>
      <c r="J16454" s="10" t="inlineStr">
        <is>
          <t>In ấn / Xuất bản</t>
        </is>
      </c>
      <c r="K16454" s="10" t="inlineStr">
        <is>
          <t>2 - 3 Năm</t>
        </is>
      </c>
      <c r="L16454" s="11">
        <f>HYPERLINK("https://careerviet.vn/vi/tim-viec-lam/esh-officer.35C64C90.html","Xem chi tiết")</f>
        <v/>
      </c>
      <c r="M16454" s="10" t="n"/>
    </row>
    <row r="16455">
      <c r="B16455" s="7" t="n">
        <v>16453</v>
      </c>
      <c r="C16455" t="inlineStr">
        <is>
          <t>[Hà Nội] Trưởng nhóm Khách hàng cá nhân</t>
        </is>
      </c>
      <c r="D16455" t="inlineStr">
        <is>
          <t>Ngân Hàng TMCP Tiên Phong (TPBank)</t>
        </is>
      </c>
      <c r="E16455" t="inlineStr">
        <is>
          <t>Lương:Cạnh tranh</t>
        </is>
      </c>
      <c r="F16455" t="inlineStr">
        <is>
          <t>Hà Nội</t>
        </is>
      </c>
      <c r="G16455" t="inlineStr">
        <is>
          <t>07-04-2026</t>
        </is>
      </c>
      <c r="H16455" t="inlineStr">
        <is>
          <t>07/04/2026</t>
        </is>
      </c>
      <c r="I16455" t="inlineStr">
        <is>
          <t>17/03/2026</t>
        </is>
      </c>
      <c r="J16455" t="inlineStr">
        <is>
          <t>Ngân hàng, Bảo hiểm, Dịch vụ khách hàng</t>
        </is>
      </c>
      <c r="K16455" t="inlineStr">
        <is>
          <t>1 - 3 Năm</t>
        </is>
      </c>
      <c r="L16455" s="8">
        <f>HYPERLINK("https://careerviet.vn/vi/tim-viec-lam/ha-noi-truong-nhom-khach-hang-ca-nhan.35C67E7A.html","Xem chi tiết")</f>
        <v/>
      </c>
    </row>
    <row r="16456">
      <c r="B16456" s="9" t="n">
        <v>16454</v>
      </c>
      <c r="C16456" s="10" t="inlineStr">
        <is>
          <t>124933 - Sales &amp; Marketing Staff - Foods</t>
        </is>
      </c>
      <c r="D16456" s="10" t="inlineStr">
        <is>
          <t>RGF HR Agent Vietnam Co., LTD</t>
        </is>
      </c>
      <c r="E16456" s="10" t="inlineStr">
        <is>
          <t>Lương:20 Tr - 30 Tr VND</t>
        </is>
      </c>
      <c r="F16456" s="10" t="inlineStr">
        <is>
          <t>Hà Nội</t>
        </is>
      </c>
      <c r="G16456" s="10" t="inlineStr">
        <is>
          <t>07-04-2026</t>
        </is>
      </c>
      <c r="H16456" s="10" t="inlineStr">
        <is>
          <t>07/04/2026</t>
        </is>
      </c>
      <c r="I16456" s="10" t="inlineStr">
        <is>
          <t>17/03/2026</t>
        </is>
      </c>
      <c r="J16456" s="10" t="inlineStr">
        <is>
          <t>Tiếp thị / Marketing, Bán hàng / Kinh doanh, Thực phẩm &amp; Đồ uống</t>
        </is>
      </c>
      <c r="K16456" s="10" t="inlineStr">
        <is>
          <t>Trên 4 Năm</t>
        </is>
      </c>
      <c r="L16456" s="11">
        <f>HYPERLINK("https://careerviet.vn/vi/tim-viec-lam/124933-sales-marketing-staff-foods.35C64D52.html","Xem chi tiết")</f>
        <v/>
      </c>
      <c r="M16456" s="10" t="n"/>
    </row>
    <row r="16457">
      <c r="B16457" s="7" t="n">
        <v>16455</v>
      </c>
      <c r="C16457" t="inlineStr">
        <is>
          <t>[Cần Giuộc] Tuyển Nhân Viên Bán Hàng Tại Showroom - Lương cao - Có đào tạo</t>
        </is>
      </c>
      <c r="D16457" t="inlineStr">
        <is>
          <t>Công Ty TNHH XNK Phát Triển Đông Dương</t>
        </is>
      </c>
      <c r="E16457" t="inlineStr">
        <is>
          <t>Lương:Cạnh tranh</t>
        </is>
      </c>
      <c r="F16457" t="inlineStr">
        <is>
          <t>Long An</t>
        </is>
      </c>
      <c r="G16457" t="inlineStr">
        <is>
          <t>6</t>
        </is>
      </c>
      <c r="H16457" t="inlineStr">
        <is>
          <t>23/03/2026</t>
        </is>
      </c>
      <c r="I16457" t="inlineStr">
        <is>
          <t>17/03/2026</t>
        </is>
      </c>
      <c r="J16457" t="inlineStr">
        <is>
          <t>Bán lẻ / Bán sỉ, Bán hàng / Kinh doanh, Tư vấn</t>
        </is>
      </c>
      <c r="K16457" t="inlineStr">
        <is>
          <t>N/A</t>
        </is>
      </c>
      <c r="L16457" s="8">
        <f>HYPERLINK("https://careerviet.vn/vi/tim-viec-lam/can-giuoc-tuyen-nhan-vien-ban-hang-tai-showroom-luong-cao-co-dao-tao.35C68E75.html","Xem chi tiết")</f>
        <v/>
      </c>
    </row>
    <row r="16458">
      <c r="B16458" s="9" t="n">
        <v>16456</v>
      </c>
      <c r="C16458" s="10" t="inlineStr">
        <is>
          <t>Project Development Staff</t>
        </is>
      </c>
      <c r="D16458" s="10" t="inlineStr">
        <is>
          <t>HR Vietnam’s ESS Client</t>
        </is>
      </c>
      <c r="E16458" s="10" t="inlineStr">
        <is>
          <t>Lương:Cạnh tranh</t>
        </is>
      </c>
      <c r="F16458" s="10" t="inlineStr">
        <is>
          <t>Đồng Nai</t>
        </is>
      </c>
      <c r="G16458" s="10" t="inlineStr">
        <is>
          <t>07-04-2026</t>
        </is>
      </c>
      <c r="H16458" s="10" t="inlineStr">
        <is>
          <t>07/04/2026</t>
        </is>
      </c>
      <c r="I16458" s="10" t="inlineStr">
        <is>
          <t>17/03/2026</t>
        </is>
      </c>
      <c r="J16458" s="10" t="inlineStr">
        <is>
          <t>Cơ khí / Ô tô / Tự động hóa</t>
        </is>
      </c>
      <c r="K16458" s="10" t="inlineStr">
        <is>
          <t>1 - 3 Năm</t>
        </is>
      </c>
      <c r="L16458" s="11">
        <f>HYPERLINK("https://careerviet.vn/vi/tim-viec-lam/project-development-staff.35C67F30.html","Xem chi tiết")</f>
        <v/>
      </c>
      <c r="M16458" s="10" t="n"/>
    </row>
    <row r="16459">
      <c r="B16459" s="7" t="n">
        <v>16457</v>
      </c>
      <c r="C16459" t="inlineStr">
        <is>
          <t>Business Development Officer (International market)</t>
        </is>
      </c>
      <c r="D16459" t="inlineStr">
        <is>
          <t>CÔNG TY CỔ PHẦN ĐIỆN TỬ  SOJI</t>
        </is>
      </c>
      <c r="E16459" t="inlineStr">
        <is>
          <t>Lương:30 Tr - 45 Tr VND</t>
        </is>
      </c>
      <c r="F16459" t="inlineStr">
        <is>
          <t>Hà Nội</t>
        </is>
      </c>
      <c r="G16459" t="inlineStr">
        <is>
          <t>07-04-2026</t>
        </is>
      </c>
      <c r="H16459" t="inlineStr">
        <is>
          <t>07/04/2026</t>
        </is>
      </c>
      <c r="I16459" t="inlineStr">
        <is>
          <t>17/03/2026</t>
        </is>
      </c>
      <c r="J16459" t="inlineStr">
        <is>
          <t>Bán lẻ / Bán sỉ, Bán hàng / Kinh doanh, Quản lý điều hành</t>
        </is>
      </c>
      <c r="K16459" t="inlineStr">
        <is>
          <t>Trên 5 Năm</t>
        </is>
      </c>
      <c r="L16459" s="8">
        <f>HYPERLINK("https://careerviet.vn/vi/tim-viec-lam/business-development-officer-international-market.35C67DE8.html","Xem chi tiết")</f>
        <v/>
      </c>
    </row>
    <row r="16460">
      <c r="B16460" s="9" t="n">
        <v>16458</v>
      </c>
      <c r="C16460" s="10" t="inlineStr">
        <is>
          <t>KỸ SƯ DỰ TOÁN (Chủ đầu tư BĐS)</t>
        </is>
      </c>
      <c r="D16460" s="10" t="inlineStr">
        <is>
          <t>CÔNG TY CỔ PHẦN ĐẦU TƯ BẤT ĐỘNG SẢN TOÀN CẦU</t>
        </is>
      </c>
      <c r="E16460" s="10" t="inlineStr">
        <is>
          <t>Lương:25 Tr - 30 Tr VND</t>
        </is>
      </c>
      <c r="F16460" s="10" t="inlineStr">
        <is>
          <t>Hà Nội</t>
        </is>
      </c>
      <c r="G16460" s="10" t="inlineStr">
        <is>
          <t>07-04-2026</t>
        </is>
      </c>
      <c r="H16460" s="10" t="inlineStr">
        <is>
          <t>07/04/2026</t>
        </is>
      </c>
      <c r="I16460" s="10" t="inlineStr">
        <is>
          <t>17/03/2026</t>
        </is>
      </c>
      <c r="J16460" s="10" t="inlineStr">
        <is>
          <t>Điện / Điện tử / Điện lạnh / Điện công nghiệp</t>
        </is>
      </c>
      <c r="K16460" s="10" t="inlineStr">
        <is>
          <t>3 - 5 Năm</t>
        </is>
      </c>
      <c r="L16460" s="11">
        <f>HYPERLINK("https://careerviet.vn/vi/tim-viec-lam/ky-su-du-toan-chu-dau-tu-bds.35C64DB3.html","Xem chi tiết")</f>
        <v/>
      </c>
      <c r="M16460" s="10" t="n"/>
    </row>
    <row r="16461">
      <c r="B16461" s="7" t="n">
        <v>16459</v>
      </c>
      <c r="C16461" t="inlineStr">
        <is>
          <t>[HO] CHUYÊN VIÊN HOẠCH ĐỊNH CHIẾN LƯỢC - STRATEGIC PLANNER</t>
        </is>
      </c>
      <c r="D16461" t="inlineStr">
        <is>
          <t>Shinhan Bank Vietnam</t>
        </is>
      </c>
      <c r="E16461" t="inlineStr">
        <is>
          <t>Lương:Cạnh tranh</t>
        </is>
      </c>
      <c r="F16461" t="inlineStr">
        <is>
          <t>Hồ Chí Minh</t>
        </is>
      </c>
      <c r="G16461" t="inlineStr">
        <is>
          <t>07-04-2026</t>
        </is>
      </c>
      <c r="H16461" t="inlineStr">
        <is>
          <t>07/04/2026</t>
        </is>
      </c>
      <c r="I16461" t="inlineStr">
        <is>
          <t>17/03/2026</t>
        </is>
      </c>
      <c r="J16461" t="inlineStr">
        <is>
          <t>Ngân hàng</t>
        </is>
      </c>
      <c r="K16461" t="inlineStr">
        <is>
          <t>Trên 1 Năm</t>
        </is>
      </c>
      <c r="L16461" s="8">
        <f>HYPERLINK("https://careerviet.vn/vi/tim-viec-lam/ho-chuyen-vien-hoach-dinh-chien-luoc-strategic-planner.35C67E7B.html","Xem chi tiết")</f>
        <v/>
      </c>
    </row>
    <row r="16462">
      <c r="B16462" s="9" t="n">
        <v>16460</v>
      </c>
      <c r="C16462" s="10" t="inlineStr">
        <is>
          <t>Nhân viên kinh doanh - Ấn phẩm POSM (lịch, brochure, hộp giấy, catalogue...)</t>
        </is>
      </c>
      <c r="D16462" s="10" t="inlineStr">
        <is>
          <t>Công ty Cổ Phần Thảo Mộc Xanh</t>
        </is>
      </c>
      <c r="E16462" s="10" t="inlineStr">
        <is>
          <t>Lương:Cạnh tranh</t>
        </is>
      </c>
      <c r="F16462" s="10" t="inlineStr">
        <is>
          <t>Hồ Chí Minh</t>
        </is>
      </c>
      <c r="G16462" s="10" t="inlineStr">
        <is>
          <t>07-04-2026</t>
        </is>
      </c>
      <c r="H16462" s="10" t="inlineStr">
        <is>
          <t>07/04/2026</t>
        </is>
      </c>
      <c r="I16462" s="10" t="inlineStr">
        <is>
          <t>17/03/2026</t>
        </is>
      </c>
      <c r="J16462" s="10" t="inlineStr">
        <is>
          <t>Tiếp thị / Marketing, Bán hàng / Kinh doanh, In ấn / Xuất bản</t>
        </is>
      </c>
      <c r="K16462" s="10" t="inlineStr">
        <is>
          <t>Trên 2 Năm</t>
        </is>
      </c>
      <c r="L16462" s="11">
        <f>HYPERLINK("https://careerviet.vn/vi/tim-viec-lam/nhan-vien-kinh-doanh-an-pham-posm-lich-brochure-hop-giay-catalogue.35C0945D.html","Xem chi tiết")</f>
        <v/>
      </c>
      <c r="M16462" s="10" t="n"/>
    </row>
    <row r="16463">
      <c r="B16463" s="7" t="n">
        <v>16461</v>
      </c>
      <c r="C16463" t="inlineStr">
        <is>
          <t>Social Media Partnerships Manager</t>
        </is>
      </c>
      <c r="D16463" t="inlineStr">
        <is>
          <t>HMK Eyewear</t>
        </is>
      </c>
      <c r="E16463" t="inlineStr">
        <is>
          <t>Lương:Cạnh tranh</t>
        </is>
      </c>
      <c r="F16463" t="inlineStr">
        <is>
          <t>Hồ Chí Minh</t>
        </is>
      </c>
      <c r="G16463" t="inlineStr">
        <is>
          <t>07-04-2026</t>
        </is>
      </c>
      <c r="H16463" t="inlineStr">
        <is>
          <t>07/04/2026</t>
        </is>
      </c>
      <c r="I16463" t="inlineStr">
        <is>
          <t>17/03/2026</t>
        </is>
      </c>
      <c r="J16463" t="inlineStr">
        <is>
          <t>Tiếp thị / Marketing, Truyền hình / Báo chí / Biên tập, Quảng cáo / Đối ngoại / Truyền Thông</t>
        </is>
      </c>
      <c r="K16463" t="inlineStr">
        <is>
          <t>2 - 5 Năm</t>
        </is>
      </c>
      <c r="L16463" s="8">
        <f>HYPERLINK("https://careerviet.vn/vi/tim-viec-lam/social-media-partnerships-manager.35C64D34.html","Xem chi tiết")</f>
        <v/>
      </c>
    </row>
    <row r="16464">
      <c r="B16464" s="9" t="n">
        <v>16462</v>
      </c>
      <c r="C16464" s="10" t="inlineStr">
        <is>
          <t>Chuyên viên cao cấp Tổ chức Quản lý Thiết kế Hình ảnh</t>
        </is>
      </c>
      <c r="D16464" s="10" t="inlineStr">
        <is>
          <t>Nova Service Group - Công ty Cổ phần Tập đoàn Nova Services</t>
        </is>
      </c>
      <c r="E16464" s="10" t="inlineStr">
        <is>
          <t>Lương:Cạnh tranh</t>
        </is>
      </c>
      <c r="F16464" s="10" t="inlineStr">
        <is>
          <t>Hồ Chí Minh</t>
        </is>
      </c>
      <c r="G16464" s="10" t="inlineStr">
        <is>
          <t>07-04-2026</t>
        </is>
      </c>
      <c r="H16464" s="10" t="inlineStr">
        <is>
          <t>07/04/2026</t>
        </is>
      </c>
      <c r="I16464" s="10" t="inlineStr">
        <is>
          <t>17/03/2026</t>
        </is>
      </c>
      <c r="J16464" s="10" t="inlineStr">
        <is>
          <t>Tiếp thị / Marketing</t>
        </is>
      </c>
      <c r="K16464" s="10" t="inlineStr">
        <is>
          <t>3 - 5 Năm</t>
        </is>
      </c>
      <c r="L16464" s="11">
        <f>HYPERLINK("https://careerviet.vn/vi/tim-viec-lam/chuyen-vien-cao-cap-to-chuc-quan-ly-thiet-ke-hinh-anh.35C64E70.html","Xem chi tiết")</f>
        <v/>
      </c>
      <c r="M16464" s="10" t="n"/>
    </row>
    <row r="16465">
      <c r="B16465" s="7" t="n">
        <v>16463</v>
      </c>
      <c r="C16465" t="inlineStr">
        <is>
          <t>Nhân viên lái xe</t>
        </is>
      </c>
      <c r="D16465" t="inlineStr">
        <is>
          <t>Công ty Cổ phần Sản xuất – Xây dựng – Thương mại và Nông nghiệp Hải Vương (Sikico Group)</t>
        </is>
      </c>
      <c r="E16465" t="inlineStr">
        <is>
          <t>Lương:Cạnh tranh</t>
        </is>
      </c>
      <c r="F16465" t="inlineStr">
        <is>
          <t>Hồ Chí Minh</t>
        </is>
      </c>
      <c r="G16465" t="inlineStr">
        <is>
          <t>07-04-2026</t>
        </is>
      </c>
      <c r="H16465" t="inlineStr">
        <is>
          <t>07/04/2026</t>
        </is>
      </c>
      <c r="I16465" t="inlineStr">
        <is>
          <t>17/03/2026</t>
        </is>
      </c>
      <c r="J16465" t="inlineStr">
        <is>
          <t>Vận chuyển / Giao nhận / Kho vận, Lao động phổ thông</t>
        </is>
      </c>
      <c r="K16465" t="inlineStr">
        <is>
          <t>2 - 5 Năm</t>
        </is>
      </c>
      <c r="L16465" s="8">
        <f>HYPERLINK("https://careerviet.vn/vi/tim-viec-lam/nhan-vien-lai-xe.35C67EA6.html","Xem chi tiết")</f>
        <v/>
      </c>
    </row>
    <row r="16466">
      <c r="B16466" s="9" t="n">
        <v>16464</v>
      </c>
      <c r="C16466" s="10" t="inlineStr">
        <is>
          <t>Chương trình tuyển dụng thực tập sinh/cộng tác viên năm 2026 | Internship Program</t>
        </is>
      </c>
      <c r="D16466" s="10" t="inlineStr">
        <is>
          <t>EUROFINS VIETNAM</t>
        </is>
      </c>
      <c r="E16466" s="10" t="inlineStr">
        <is>
          <t>Lương:Cạnh tranh</t>
        </is>
      </c>
      <c r="F16466" s="10" t="inlineStr">
        <is>
          <t>Hồ Chí Minh</t>
        </is>
      </c>
      <c r="G16466" s="10" t="inlineStr">
        <is>
          <t>07-04-2026</t>
        </is>
      </c>
      <c r="H16466" s="10" t="inlineStr">
        <is>
          <t>07/04/2026</t>
        </is>
      </c>
      <c r="I16466" s="10" t="inlineStr">
        <is>
          <t>17/03/2026</t>
        </is>
      </c>
      <c r="J16466" s="10" t="inlineStr">
        <is>
          <t>Dịch vụ khách hàng, Hóa học, Mới tốt nghiệp / Thực tập</t>
        </is>
      </c>
      <c r="K16466" s="10" t="inlineStr">
        <is>
          <t>N/A</t>
        </is>
      </c>
      <c r="L16466" s="11">
        <f>HYPERLINK("https://careerviet.vn/vi/tim-viec-lam/chuong-trinh-tuyen-dung-thuc-tap-sinh-cong-tac-vien-nam-2026-internship-program.35C67F7B.html","Xem chi tiết")</f>
        <v/>
      </c>
      <c r="M16466" s="10" t="n"/>
    </row>
    <row r="16467">
      <c r="B16467" s="7" t="n">
        <v>16465</v>
      </c>
      <c r="C16467" t="inlineStr">
        <is>
          <t>Nhân viên làm giá Pricing Executive (HAN)</t>
        </is>
      </c>
      <c r="D16467" t="inlineStr">
        <is>
          <t>S.F. EXPRESS LTD.</t>
        </is>
      </c>
      <c r="E16467" t="inlineStr">
        <is>
          <t>Lương:15 Tr - 25 Tr VND</t>
        </is>
      </c>
      <c r="F16467" t="inlineStr">
        <is>
          <t>Hà Nội</t>
        </is>
      </c>
      <c r="G16467" t="inlineStr">
        <is>
          <t>07-04-2026</t>
        </is>
      </c>
      <c r="H16467" t="inlineStr">
        <is>
          <t>07/04/2026</t>
        </is>
      </c>
      <c r="I16467" t="inlineStr">
        <is>
          <t>17/03/2026</t>
        </is>
      </c>
      <c r="J16467" t="inlineStr">
        <is>
          <t>Bán hàng / Kinh doanh, Dịch vụ khách hàng, Xuất nhập khẩu</t>
        </is>
      </c>
      <c r="K16467" t="inlineStr">
        <is>
          <t>2 - 10 Năm</t>
        </is>
      </c>
      <c r="L16467" s="8">
        <f>HYPERLINK("https://careerviet.vn/vi/tim-viec-lam/nhan-vien-lam-gia-pricing-executive-han.35C67F8B.html","Xem chi tiết")</f>
        <v/>
      </c>
    </row>
    <row r="16468">
      <c r="B16468" s="9" t="n">
        <v>16466</v>
      </c>
      <c r="C16468" s="10" t="inlineStr">
        <is>
          <t>Nhân Viên Kinh Doanh Thị Trường</t>
        </is>
      </c>
      <c r="D16468" s="10" t="inlineStr">
        <is>
          <t>Tập Đoàn Kim Tín</t>
        </is>
      </c>
      <c r="E16468" s="10" t="inlineStr">
        <is>
          <t>Lương:12 Tr - 15 Tr VND</t>
        </is>
      </c>
      <c r="F16468" s="10" t="inlineStr">
        <is>
          <t>Hồ Chí Minh</t>
        </is>
      </c>
      <c r="G16468" s="10" t="inlineStr">
        <is>
          <t>07-04-2026</t>
        </is>
      </c>
      <c r="H16468" s="10" t="inlineStr">
        <is>
          <t>07/04/2026</t>
        </is>
      </c>
      <c r="I16468" s="10" t="inlineStr">
        <is>
          <t>17/03/2026</t>
        </is>
      </c>
      <c r="J16468" s="10" t="inlineStr">
        <is>
          <t>Bán hàng / Kinh doanh</t>
        </is>
      </c>
      <c r="K16468" s="10" t="inlineStr">
        <is>
          <t>N/A</t>
        </is>
      </c>
      <c r="L16468" s="11">
        <f>HYPERLINK("https://careerviet.vn/vi/tim-viec-lam/nhan-vien-kinh-doanh-thi-truong.35C67E22.html","Xem chi tiết")</f>
        <v/>
      </c>
      <c r="M16468" s="10" t="n"/>
    </row>
    <row r="16469">
      <c r="B16469" s="7" t="n">
        <v>16467</v>
      </c>
      <c r="C16469" t="inlineStr">
        <is>
          <t>Nhân Viên Tư Vấn Sản Phẩm tại Điện Máy Xanh - Thành Phố Thanh Hóa</t>
        </is>
      </c>
      <c r="D16469" t="inlineStr">
        <is>
          <t>Tập Đoàn Karofi Holding</t>
        </is>
      </c>
      <c r="E16469" t="inlineStr">
        <is>
          <t>Lương:8 Tr - 15 Tr VND</t>
        </is>
      </c>
      <c r="F16469" t="inlineStr">
        <is>
          <t>Thanh Hóa</t>
        </is>
      </c>
      <c r="G16469" t="inlineStr">
        <is>
          <t>07-04-2026</t>
        </is>
      </c>
      <c r="H16469" t="inlineStr">
        <is>
          <t>07/04/2026</t>
        </is>
      </c>
      <c r="I16469" t="inlineStr">
        <is>
          <t>17/03/2026</t>
        </is>
      </c>
      <c r="J16469" t="inlineStr">
        <is>
          <t>Bán lẻ / Bán sỉ, Bán hàng / Kinh doanh, Dịch vụ khách hàng</t>
        </is>
      </c>
      <c r="K16469" t="inlineStr">
        <is>
          <t>Lên đến 1 Năm</t>
        </is>
      </c>
      <c r="L16469" s="8">
        <f>HYPERLINK("https://careerviet.vn/vi/tim-viec-lam/nhan-vien-tu-van-san-pham-tai-dien-may-xanh-thanh-pho-thanh-hoa.35C64C73.html","Xem chi tiết")</f>
        <v/>
      </c>
    </row>
    <row r="16470">
      <c r="B16470" s="9" t="n">
        <v>16468</v>
      </c>
      <c r="C16470" s="10" t="inlineStr">
        <is>
          <t>Local Sales Rep (Air - Conditioner)</t>
        </is>
      </c>
      <c r="D16470" s="10" t="inlineStr">
        <is>
          <t>TCL (Vietnam) Corporation Limited</t>
        </is>
      </c>
      <c r="E16470" s="10" t="inlineStr">
        <is>
          <t>Lương:Cạnh tranh</t>
        </is>
      </c>
      <c r="F16470" s="10" t="inlineStr">
        <is>
          <t>Hồ Chí MinhHà NộiBắc Ninh</t>
        </is>
      </c>
      <c r="G16470" s="10" t="inlineStr">
        <is>
          <t>07-04-2026</t>
        </is>
      </c>
      <c r="H16470" s="10" t="inlineStr">
        <is>
          <t>07/04/2026</t>
        </is>
      </c>
      <c r="I16470" s="10" t="inlineStr">
        <is>
          <t>17/03/2026</t>
        </is>
      </c>
      <c r="J16470" s="10" t="inlineStr">
        <is>
          <t>Bán lẻ / Bán sỉ, Bán hàng / Kinh doanh, Điện / Điện tử / Điện lạnh / Điện công nghiệp</t>
        </is>
      </c>
      <c r="K16470" s="10" t="inlineStr">
        <is>
          <t>Trên 1 Năm</t>
        </is>
      </c>
      <c r="L16470" s="11">
        <f>HYPERLINK("https://careerviet.vn/vi/tim-viec-lam/local-sales-rep-air-conditioner.35C67F2B.html","Xem chi tiết")</f>
        <v/>
      </c>
      <c r="M16470" s="10" t="n"/>
    </row>
    <row r="16471">
      <c r="B16471" s="7" t="n">
        <v>16469</v>
      </c>
      <c r="C16471" t="inlineStr">
        <is>
          <t>Chuyên Viên Kế Toán Hành Chính tại VBI Đô Thành (Hà Nội)</t>
        </is>
      </c>
      <c r="D16471" t="inlineStr">
        <is>
          <t>Tổng Công Ty Cổ Phần Bảo Hiểm Ngân Hàng TMCP Công Thương Việt Nam</t>
        </is>
      </c>
      <c r="E16471" t="inlineStr">
        <is>
          <t>Lương:10 Tr - 12 Tr VND</t>
        </is>
      </c>
      <c r="F16471" t="inlineStr">
        <is>
          <t>Hà Nội</t>
        </is>
      </c>
      <c r="G16471" t="inlineStr">
        <is>
          <t>07-04-2026</t>
        </is>
      </c>
      <c r="H16471" t="inlineStr">
        <is>
          <t>07/04/2026</t>
        </is>
      </c>
      <c r="I16471" t="inlineStr">
        <is>
          <t>17/03/2026</t>
        </is>
      </c>
      <c r="J16471" t="inlineStr">
        <is>
          <t>Bảo hiểm, Kế toán / Kiểm toán, Tài chính / Đầu tư</t>
        </is>
      </c>
      <c r="K16471" t="inlineStr">
        <is>
          <t>1 - 3 Năm</t>
        </is>
      </c>
      <c r="L16471" s="8">
        <f>HYPERLINK("https://careerviet.vn/vi/tim-viec-lam/chuyen-vien-ke-toan-hanh-chinh-tai-vbi-do-thanh-ha-noi.35C67F96.html","Xem chi tiết")</f>
        <v/>
      </c>
    </row>
    <row r="16472">
      <c r="B16472" s="9" t="n">
        <v>16470</v>
      </c>
      <c r="C16472" s="10" t="inlineStr">
        <is>
          <t>Kế Toán Thanh Toán</t>
        </is>
      </c>
      <c r="D16472" s="10" t="inlineStr">
        <is>
          <t>CÔNG TY CỔ PHẦN GIẢI PHÁP GENE - GENE SOLUTIONS</t>
        </is>
      </c>
      <c r="E16472" s="10" t="inlineStr">
        <is>
          <t>Lương:Cạnh tranh</t>
        </is>
      </c>
      <c r="F16472" s="10" t="inlineStr">
        <is>
          <t>Hồ Chí Minh</t>
        </is>
      </c>
      <c r="G16472" s="10" t="inlineStr">
        <is>
          <t>07-04-2026</t>
        </is>
      </c>
      <c r="H16472" s="10" t="inlineStr">
        <is>
          <t>07/04/2026</t>
        </is>
      </c>
      <c r="I16472" s="10" t="inlineStr">
        <is>
          <t>17/03/2026</t>
        </is>
      </c>
      <c r="J16472" s="10" t="inlineStr">
        <is>
          <t>Kế toán / Kiểm toán</t>
        </is>
      </c>
      <c r="K16472" s="10" t="inlineStr">
        <is>
          <t>1 - 3 Năm</t>
        </is>
      </c>
      <c r="L16472" s="11">
        <f>HYPERLINK("https://careerviet.vn/vi/tim-viec-lam/ke-toan-thanh-toan.35C67F22.html","Xem chi tiết")</f>
        <v/>
      </c>
      <c r="M16472" s="10" t="n"/>
    </row>
    <row r="16473">
      <c r="B16473" s="7" t="n">
        <v>16471</v>
      </c>
      <c r="C16473" t="inlineStr">
        <is>
          <t>Nhân Viên HR - Quan Hệ Lao Động (Tiếng Anh Tốt)</t>
        </is>
      </c>
      <c r="D16473" t="inlineStr">
        <is>
          <t>HỆ THỐNG GIÁO DỤC EDUFIT</t>
        </is>
      </c>
      <c r="E16473" t="inlineStr">
        <is>
          <t>Lương:9 Tr - 11 Tr VND</t>
        </is>
      </c>
      <c r="F16473" t="inlineStr">
        <is>
          <t>Hà Nội</t>
        </is>
      </c>
      <c r="G16473" t="inlineStr">
        <is>
          <t>07-04-2026</t>
        </is>
      </c>
      <c r="H16473" t="inlineStr">
        <is>
          <t>07/04/2026</t>
        </is>
      </c>
      <c r="I16473" t="inlineStr">
        <is>
          <t>17/03/2026</t>
        </is>
      </c>
      <c r="J16473" t="inlineStr">
        <is>
          <t>Nhân sự</t>
        </is>
      </c>
      <c r="K16473" t="inlineStr">
        <is>
          <t>1 - 2 Năm</t>
        </is>
      </c>
      <c r="L16473" s="8">
        <f>HYPERLINK("https://careerviet.vn/vi/tim-viec-lam/nhan-vien-hr-quan-he-lao-dong-tieng-anh-tot.35C67EB0.html","Xem chi tiết")</f>
        <v/>
      </c>
    </row>
    <row r="16474">
      <c r="B16474" s="9" t="n">
        <v>16472</v>
      </c>
      <c r="C16474" s="10" t="inlineStr">
        <is>
          <t>Finance Auditor</t>
        </is>
      </c>
      <c r="D16474" s="10" t="inlineStr">
        <is>
          <t>Savills Vietnam</t>
        </is>
      </c>
      <c r="E16474" s="10" t="inlineStr">
        <is>
          <t>Lương:Cạnh tranh</t>
        </is>
      </c>
      <c r="F16474" s="10" t="inlineStr">
        <is>
          <t>Hồ Chí Minh</t>
        </is>
      </c>
      <c r="G16474" s="10" t="inlineStr">
        <is>
          <t>07-04-2026</t>
        </is>
      </c>
      <c r="H16474" s="10" t="inlineStr">
        <is>
          <t>07/04/2026</t>
        </is>
      </c>
      <c r="I16474" s="10" t="inlineStr">
        <is>
          <t>17/03/2026</t>
        </is>
      </c>
      <c r="J16474" s="10" t="inlineStr">
        <is>
          <t>Bất động sản, Kế toán / Kiểm toán</t>
        </is>
      </c>
      <c r="K16474" s="10" t="inlineStr">
        <is>
          <t>3 - 5 Năm</t>
        </is>
      </c>
      <c r="L16474" s="11">
        <f>HYPERLINK("https://careerviet.vn/vi/tim-viec-lam/finance-auditor.35C64E20.html","Xem chi tiết")</f>
        <v/>
      </c>
      <c r="M16474" s="10" t="n"/>
    </row>
    <row r="16475">
      <c r="B16475" s="7" t="n">
        <v>16473</v>
      </c>
      <c r="C16475" t="inlineStr">
        <is>
          <t>[Quảng Ngãi] Chuyên Viên Khách Hàng Cá Nhân</t>
        </is>
      </c>
      <c r="D16475" t="inlineStr">
        <is>
          <t>Ngân hàng TMCP Đại Chúng Việt Nam - PVcomBank</t>
        </is>
      </c>
      <c r="E16475" t="inlineStr">
        <is>
          <t>Lương:10 Tr - 30 Tr VND</t>
        </is>
      </c>
      <c r="F16475" t="inlineStr">
        <is>
          <t>Quảng Ngãi</t>
        </is>
      </c>
      <c r="G16475" t="inlineStr">
        <is>
          <t>07-04-2026</t>
        </is>
      </c>
      <c r="H16475" t="inlineStr">
        <is>
          <t>07/04/2026</t>
        </is>
      </c>
      <c r="I16475" t="inlineStr">
        <is>
          <t>17/03/2026</t>
        </is>
      </c>
      <c r="J16475" t="inlineStr">
        <is>
          <t>Ngân hàng, Tài chính / Đầu tư</t>
        </is>
      </c>
      <c r="K16475" t="inlineStr">
        <is>
          <t>Chưa có kinh nghiệm</t>
        </is>
      </c>
      <c r="L16475" s="8">
        <f>HYPERLINK("https://careerviet.vn/vi/tim-viec-lam/quang-ngai-chuyen-vien-khach-hang-ca-nhan.35C67EEF.html","Xem chi tiết")</f>
        <v/>
      </c>
    </row>
    <row r="16476">
      <c r="B16476" s="9" t="n">
        <v>16474</v>
      </c>
      <c r="C16476" s="10" t="inlineStr">
        <is>
          <t>Customer Growth Executive/Specialist</t>
        </is>
      </c>
      <c r="D16476" s="10" t="inlineStr">
        <is>
          <t>Concung.com - Con Cung Joint Stock Company</t>
        </is>
      </c>
      <c r="E16476" s="10" t="inlineStr">
        <is>
          <t>Lương:Cạnh tranh</t>
        </is>
      </c>
      <c r="F16476" s="10" t="inlineStr">
        <is>
          <t>Hồ Chí Minh</t>
        </is>
      </c>
      <c r="G16476" s="10" t="inlineStr">
        <is>
          <t>07-04-2026</t>
        </is>
      </c>
      <c r="H16476" s="10" t="inlineStr">
        <is>
          <t>07/04/2026</t>
        </is>
      </c>
      <c r="I16476" s="10" t="inlineStr">
        <is>
          <t>17/03/2026</t>
        </is>
      </c>
      <c r="J16476" s="10" t="inlineStr">
        <is>
          <t>Tiếp thị / Marketing, Bán lẻ / Bán sỉ, Bán hàng / Kinh doanh</t>
        </is>
      </c>
      <c r="K16476" s="10" t="inlineStr">
        <is>
          <t>1 - 3 Năm</t>
        </is>
      </c>
      <c r="L16476" s="11">
        <f>HYPERLINK("https://careerviet.vn/vi/tim-viec-lam/customer-growth-executive-specialist.35C64D76.html","Xem chi tiết")</f>
        <v/>
      </c>
      <c r="M16476" s="10" t="n"/>
    </row>
    <row r="16477">
      <c r="B16477" s="7" t="n">
        <v>16475</v>
      </c>
      <c r="C16477" t="inlineStr">
        <is>
          <t>Kỹ sư kinh doanh điều hòa Hà Nội</t>
        </is>
      </c>
      <c r="D16477" t="inlineStr">
        <is>
          <t>Công ty TNHH Thương mại Kỹ thuật Sen Việt</t>
        </is>
      </c>
      <c r="E16477" t="inlineStr">
        <is>
          <t>Lương:12 Tr - 28 Tr VND</t>
        </is>
      </c>
      <c r="F16477" t="inlineStr">
        <is>
          <t>Hà Nội</t>
        </is>
      </c>
      <c r="G16477" t="inlineStr">
        <is>
          <t>07-04-2026</t>
        </is>
      </c>
      <c r="H16477" t="inlineStr">
        <is>
          <t>07/04/2026</t>
        </is>
      </c>
      <c r="I16477" t="inlineStr">
        <is>
          <t>17/03/2026</t>
        </is>
      </c>
      <c r="J16477" t="inlineStr">
        <is>
          <t>Bán hàng / Kinh doanh, Bán Hàng Kỹ Thuật, Điện / Điện tử / Điện lạnh / Điện công nghiệp</t>
        </is>
      </c>
      <c r="K16477" t="inlineStr">
        <is>
          <t>1 - 5 Năm</t>
        </is>
      </c>
      <c r="L16477" s="8">
        <f>HYPERLINK("https://careerviet.vn/vi/tim-viec-lam/ky-su-kinh-doanh-dieu-hoa-ha-noi.35C5EF64.html","Xem chi tiết")</f>
        <v/>
      </c>
    </row>
    <row r="16478">
      <c r="B16478" s="9" t="n">
        <v>16476</v>
      </c>
      <c r="C16478" s="10" t="inlineStr">
        <is>
          <t>Chuyên Viên C&amp;B (Thời Vụ 6 tháng)</t>
        </is>
      </c>
      <c r="D16478" s="10" t="inlineStr">
        <is>
          <t>Công Ty Tổ Chức Hội Nghị, Sự Kiện Và Du Lịch Quốc Tế Hòa Bình</t>
        </is>
      </c>
      <c r="E16478" s="10" t="inlineStr">
        <is>
          <t>Lương:14 Tr - 16 Tr VND</t>
        </is>
      </c>
      <c r="F16478" s="10" t="inlineStr">
        <is>
          <t>Hà Nội</t>
        </is>
      </c>
      <c r="G16478" s="10" t="inlineStr">
        <is>
          <t>07-04-2026</t>
        </is>
      </c>
      <c r="H16478" s="10" t="inlineStr">
        <is>
          <t>07/04/2026</t>
        </is>
      </c>
      <c r="I16478" s="10" t="inlineStr">
        <is>
          <t>17/03/2026</t>
        </is>
      </c>
      <c r="J16478" s="10" t="inlineStr">
        <is>
          <t>Du lịch</t>
        </is>
      </c>
      <c r="K16478" s="10" t="inlineStr">
        <is>
          <t>2 - 3 Năm</t>
        </is>
      </c>
      <c r="L16478" s="11">
        <f>HYPERLINK("https://careerviet.vn/vi/tim-viec-lam/chuyen-vien-c-b-thoi-vu-6-thang.35C64CEE.html","Xem chi tiết")</f>
        <v/>
      </c>
      <c r="M16478" s="10" t="n"/>
    </row>
    <row r="16479">
      <c r="B16479" s="7" t="n">
        <v>16477</v>
      </c>
      <c r="C16479" t="inlineStr">
        <is>
          <t>NHÂN VIÊN VẬN HÀNH MÁY (KHÔNG YÊU CẦU KINH NGHIỆM)</t>
        </is>
      </c>
      <c r="D16479" t="inlineStr">
        <is>
          <t>CÔNG TY CỔ PHẦN BỘT GIẶT LIX</t>
        </is>
      </c>
      <c r="E16479" t="inlineStr">
        <is>
          <t>Lương:10 Tr - 12 Tr VND</t>
        </is>
      </c>
      <c r="F16479" t="inlineStr">
        <is>
          <t>Hồ Chí Minh</t>
        </is>
      </c>
      <c r="G16479" t="inlineStr">
        <is>
          <t>07-04-2026</t>
        </is>
      </c>
      <c r="H16479" t="inlineStr">
        <is>
          <t>07/04/2026</t>
        </is>
      </c>
      <c r="I16479" t="inlineStr">
        <is>
          <t>17/03/2026</t>
        </is>
      </c>
      <c r="J16479" t="inlineStr">
        <is>
          <t>Cơ khí / Ô tô / Tự động hóa, Điện / Điện tử / Điện lạnh / Điện công nghiệp, Sản xuất / Vận hành sản xuất</t>
        </is>
      </c>
      <c r="K16479" t="inlineStr">
        <is>
          <t>N/A</t>
        </is>
      </c>
      <c r="L16479" s="8">
        <f>HYPERLINK("https://careerviet.vn/vi/tim-viec-lam/nhan-vien-van-hanh-may-khong-yeu-cau-kinh-nghiem.35C64D27.html","Xem chi tiết")</f>
        <v/>
      </c>
    </row>
    <row r="16480">
      <c r="B16480" s="9" t="n">
        <v>16478</v>
      </c>
      <c r="C16480" s="10" t="inlineStr">
        <is>
          <t>Chuyên viên/Nhân viên kinh doanh - VBI Đô Thành (địa bàn Hà Nội)</t>
        </is>
      </c>
      <c r="D16480" s="10" t="inlineStr">
        <is>
          <t>Tổng Công Ty Cổ Phần Bảo Hiểm Ngân Hàng TMCP Công Thương Việt Nam</t>
        </is>
      </c>
      <c r="E16480" s="10" t="inlineStr">
        <is>
          <t>Lương:Cạnh tranh</t>
        </is>
      </c>
      <c r="F16480" s="10" t="inlineStr">
        <is>
          <t>Hà Nội</t>
        </is>
      </c>
      <c r="G16480" s="10" t="inlineStr">
        <is>
          <t>07-04-2026</t>
        </is>
      </c>
      <c r="H16480" s="10" t="inlineStr">
        <is>
          <t>07/04/2026</t>
        </is>
      </c>
      <c r="I16480" s="10" t="inlineStr">
        <is>
          <t>17/03/2026</t>
        </is>
      </c>
      <c r="J16480" s="10" t="inlineStr">
        <is>
          <t>Bảo hiểm</t>
        </is>
      </c>
      <c r="K16480" s="10" t="inlineStr">
        <is>
          <t>N/A</t>
        </is>
      </c>
      <c r="L16480" s="11">
        <f>HYPERLINK("https://careerviet.vn/vi/tim-viec-lam/chuyen-vien-nhan-vien-kinh-doanh-vbi-do-thanh-dia-ban-ha-noi.35C67F97.html","Xem chi tiết")</f>
        <v/>
      </c>
      <c r="M16480" s="10" t="n"/>
    </row>
    <row r="16481">
      <c r="B16481" s="7" t="n">
        <v>16479</v>
      </c>
      <c r="C16481" t="inlineStr">
        <is>
          <t>KẾ TOÁN NGÂN HÀNG</t>
        </is>
      </c>
      <c r="D16481" t="inlineStr">
        <is>
          <t>Công ty TNHH Bình Việt Đức (BIVID)</t>
        </is>
      </c>
      <c r="E16481" t="inlineStr">
        <is>
          <t>Lương:Cạnh tranh</t>
        </is>
      </c>
      <c r="F16481" t="inlineStr">
        <is>
          <t>Hồ Chí Minh</t>
        </is>
      </c>
      <c r="G16481" t="inlineStr">
        <is>
          <t>07-04-2026</t>
        </is>
      </c>
      <c r="H16481" t="inlineStr">
        <is>
          <t>07/04/2026</t>
        </is>
      </c>
      <c r="I16481" t="inlineStr">
        <is>
          <t>17/03/2026</t>
        </is>
      </c>
      <c r="J16481" t="inlineStr">
        <is>
          <t>Dược phẩm/ Hóa Mỹ Phẩm, Y tế / Chăm sóc sức khỏe / Thẩm mỹ / Làm đẹp, Kế toán / Kiểm toán</t>
        </is>
      </c>
      <c r="K16481" t="inlineStr">
        <is>
          <t>3 - 5 Năm</t>
        </is>
      </c>
      <c r="L16481" s="8">
        <f>HYPERLINK("https://careerviet.vn/vi/tim-viec-lam/ke-toan-ngan-hang.35C67F26.html","Xem chi tiết")</f>
        <v/>
      </c>
    </row>
    <row r="16482">
      <c r="B16482" s="9" t="n">
        <v>16480</v>
      </c>
      <c r="C16482" s="10" t="inlineStr">
        <is>
          <t>NHÂN VIÊN KỸ THUẬT SỬA CHỮA XE NÂNG</t>
        </is>
      </c>
      <c r="D16482" s="10" t="inlineStr">
        <is>
          <t>CÔNG TY TNHH  ROTOMATIK VN</t>
        </is>
      </c>
      <c r="E16482" s="10" t="inlineStr">
        <is>
          <t>Lương:Lên đến 25 Tr VND</t>
        </is>
      </c>
      <c r="F16482" s="10" t="inlineStr">
        <is>
          <t>Đà Nẵng</t>
        </is>
      </c>
      <c r="G16482" s="10" t="inlineStr">
        <is>
          <t>07-04-2026</t>
        </is>
      </c>
      <c r="H16482" s="10" t="inlineStr">
        <is>
          <t>07/04/2026</t>
        </is>
      </c>
      <c r="I16482" s="10" t="inlineStr">
        <is>
          <t>17/03/2026</t>
        </is>
      </c>
      <c r="J16482" s="10" t="inlineStr">
        <is>
          <t>Cơ khí / Ô tô / Tự động hóa, Điện / Điện tử / Điện lạnh / Điện công nghiệp, Bảo trì / Sửa chữa</t>
        </is>
      </c>
      <c r="K16482" s="10" t="inlineStr">
        <is>
          <t>Trên 2 Năm</t>
        </is>
      </c>
      <c r="L16482" s="11">
        <f>HYPERLINK("https://careerviet.vn/vi/tim-viec-lam/nhan-vien-ky-thuat-sua-chua-xe-nang.35C64E18.html","Xem chi tiết")</f>
        <v/>
      </c>
      <c r="M16482" s="10" t="n"/>
    </row>
    <row r="16483">
      <c r="B16483" s="7" t="n">
        <v>16481</v>
      </c>
      <c r="C16483" t="inlineStr">
        <is>
          <t>TECHNICAL SALES</t>
        </is>
      </c>
      <c r="D16483" t="inlineStr">
        <is>
          <t>Bảo mật</t>
        </is>
      </c>
      <c r="E16483" t="inlineStr">
        <is>
          <t>Lương:35 Tr - 45 Tr VND</t>
        </is>
      </c>
      <c r="F16483" t="inlineStr">
        <is>
          <t>Hồ Chí Minh</t>
        </is>
      </c>
      <c r="G16483" t="inlineStr">
        <is>
          <t>07-04-2026</t>
        </is>
      </c>
      <c r="H16483" t="inlineStr">
        <is>
          <t>07/04/2026</t>
        </is>
      </c>
      <c r="I16483" t="inlineStr">
        <is>
          <t>17/03/2026</t>
        </is>
      </c>
      <c r="J16483" t="inlineStr">
        <is>
          <t>Bán hàng / Kinh doanh</t>
        </is>
      </c>
      <c r="K16483" t="inlineStr">
        <is>
          <t>5 - 10 Năm</t>
        </is>
      </c>
      <c r="L16483" s="8">
        <f>HYPERLINK("https://careerviet.vn/vi/tim-viec-lam/technical-sales.35C64DE7.html","Xem chi tiết")</f>
        <v/>
      </c>
    </row>
    <row r="16484">
      <c r="B16484" s="9" t="n">
        <v>16482</v>
      </c>
      <c r="C16484" s="10" t="inlineStr">
        <is>
          <t>[Sóc Trăng] Giám đốc Phòng giao dịch</t>
        </is>
      </c>
      <c r="D16484" s="10" t="inlineStr">
        <is>
          <t>Ngân hàng TMCP Đại Chúng Việt Nam - PVcomBank</t>
        </is>
      </c>
      <c r="E16484" s="10" t="inlineStr">
        <is>
          <t>Lương:Cạnh tranh</t>
        </is>
      </c>
      <c r="F16484" s="10" t="inlineStr">
        <is>
          <t>Sóc Trăng</t>
        </is>
      </c>
      <c r="G16484" s="10" t="inlineStr">
        <is>
          <t>07-04-2026</t>
        </is>
      </c>
      <c r="H16484" s="10" t="inlineStr">
        <is>
          <t>07/04/2026</t>
        </is>
      </c>
      <c r="I16484" s="10" t="inlineStr">
        <is>
          <t>17/03/2026</t>
        </is>
      </c>
      <c r="J16484" s="10" t="inlineStr">
        <is>
          <t>Bán hàng / Kinh doanh, Ngân hàng</t>
        </is>
      </c>
      <c r="K16484" s="10" t="inlineStr">
        <is>
          <t>4 - 5 Năm</t>
        </is>
      </c>
      <c r="L16484" s="11">
        <f>HYPERLINK("https://careerviet.vn/vi/tim-viec-lam/soc-trang-giam-doc-phong-giao-dich.35C67EEA.html","Xem chi tiết")</f>
        <v/>
      </c>
      <c r="M16484" s="10" t="n"/>
    </row>
    <row r="16485">
      <c r="B16485" s="7" t="n">
        <v>16483</v>
      </c>
      <c r="C16485" t="inlineStr">
        <is>
          <t>CHỈ HUY TRƯỞNG CÔNG TRÌNH  (Công trình khách sạn)</t>
        </is>
      </c>
      <c r="D16485" t="inlineStr">
        <is>
          <t>TỔNG CÔNG TY CỔ PHẦN THƯƠNG MẠI XÂY DỰNG</t>
        </is>
      </c>
      <c r="E16485" t="inlineStr">
        <is>
          <t>Lương:30 Tr - 40 Tr VND</t>
        </is>
      </c>
      <c r="F16485" t="inlineStr">
        <is>
          <t>Hà Nội</t>
        </is>
      </c>
      <c r="G16485" t="inlineStr">
        <is>
          <t>07-04-2026</t>
        </is>
      </c>
      <c r="H16485" t="inlineStr">
        <is>
          <t>07/04/2026</t>
        </is>
      </c>
      <c r="I16485" t="inlineStr">
        <is>
          <t>17/03/2026</t>
        </is>
      </c>
      <c r="J16485" t="inlineStr">
        <is>
          <t>Kiến trúc, Xây dựng</t>
        </is>
      </c>
      <c r="K16485" t="inlineStr">
        <is>
          <t>5 - 10 Năm</t>
        </is>
      </c>
      <c r="L16485" s="8">
        <f>HYPERLINK("https://careerviet.vn/vi/tim-viec-lam/chi-huy-truong-cong-trinh-cong-trinh-khach-san.35C64D8F.html","Xem chi tiết")</f>
        <v/>
      </c>
    </row>
    <row r="16486">
      <c r="B16486" s="9" t="n">
        <v>16484</v>
      </c>
      <c r="C16486" s="10" t="inlineStr">
        <is>
          <t>Chỉ huy trưởng công trình dân dụng (xây biệt thự, tòa nhà)</t>
        </is>
      </c>
      <c r="D16486" s="10" t="inlineStr">
        <is>
          <t>CÔNG TY CỔ PHẦN IDC ĐÔNG DƯƠNG</t>
        </is>
      </c>
      <c r="E16486" s="10" t="inlineStr">
        <is>
          <t>Lương:28 Tr - 35 Tr VND</t>
        </is>
      </c>
      <c r="F16486" s="10" t="inlineStr">
        <is>
          <t>Hà NộiBắc NinhNinh Bình</t>
        </is>
      </c>
      <c r="G16486" s="10" t="inlineStr">
        <is>
          <t>07-04-2026</t>
        </is>
      </c>
      <c r="H16486" s="10" t="inlineStr">
        <is>
          <t>07/04/2026</t>
        </is>
      </c>
      <c r="I16486" s="10" t="inlineStr">
        <is>
          <t>17/03/2026</t>
        </is>
      </c>
      <c r="J16486" s="10" t="inlineStr">
        <is>
          <t>Xây dựng, Quản lý chất lượng (QA/QC), Kiến trúc</t>
        </is>
      </c>
      <c r="K16486" s="10" t="inlineStr">
        <is>
          <t>Trên 5 Năm</t>
        </is>
      </c>
      <c r="L16486" s="11">
        <f>HYPERLINK("https://careerviet.vn/vi/tim-viec-lam/chi-huy-truong-cong-trinh-dan-dung-xay-biet-thu-toa-nha.35C64C8E.html","Xem chi tiết")</f>
        <v/>
      </c>
      <c r="M16486" s="10" t="n"/>
    </row>
    <row r="16487">
      <c r="B16487" s="7" t="n">
        <v>16485</v>
      </c>
      <c r="C16487" t="inlineStr">
        <is>
          <t>Chánh Văn Phòng</t>
        </is>
      </c>
      <c r="D16487" t="inlineStr">
        <is>
          <t>CÔNG TY CỔ PHẦN SÔNG ĐÀ - HOÀNG LONG</t>
        </is>
      </c>
      <c r="E16487" t="inlineStr">
        <is>
          <t>Lương:Cạnh tranh</t>
        </is>
      </c>
      <c r="F16487" t="inlineStr">
        <is>
          <t>Sơn La</t>
        </is>
      </c>
      <c r="G16487" t="inlineStr">
        <is>
          <t>07-04-2026</t>
        </is>
      </c>
      <c r="H16487" t="inlineStr">
        <is>
          <t>07/04/2026</t>
        </is>
      </c>
      <c r="I16487" t="inlineStr">
        <is>
          <t>17/03/2026</t>
        </is>
      </c>
      <c r="J16487" t="inlineStr">
        <is>
          <t>Hành chính / Thư ký, Quản lý điều hành, Nhân sự</t>
        </is>
      </c>
      <c r="K16487" t="inlineStr">
        <is>
          <t>Trên 5 Năm</t>
        </is>
      </c>
      <c r="L16487" s="8">
        <f>HYPERLINK("https://careerviet.vn/vi/tim-viec-lam/chanh-van-phong.35C67F67.html","Xem chi tiết")</f>
        <v/>
      </c>
    </row>
    <row r="16488">
      <c r="B16488" s="9" t="n">
        <v>16486</v>
      </c>
      <c r="C16488" s="10" t="inlineStr">
        <is>
          <t>Kế toán thuế</t>
        </is>
      </c>
      <c r="D16488" s="10" t="inlineStr">
        <is>
          <t>Công ty TNHH Nesta</t>
        </is>
      </c>
      <c r="E16488" s="10" t="inlineStr">
        <is>
          <t>Lương:12 Tr - 15 Tr VND</t>
        </is>
      </c>
      <c r="F16488" s="10" t="inlineStr">
        <is>
          <t>Hưng Yên</t>
        </is>
      </c>
      <c r="G16488" s="10" t="inlineStr">
        <is>
          <t>07-04-2026</t>
        </is>
      </c>
      <c r="H16488" s="10" t="inlineStr">
        <is>
          <t>07/04/2026</t>
        </is>
      </c>
      <c r="I16488" s="10" t="inlineStr">
        <is>
          <t>17/03/2026</t>
        </is>
      </c>
      <c r="J16488" s="10" t="inlineStr">
        <is>
          <t>Kế toán / Kiểm toán, Xây dựng, Nội ngoại thất</t>
        </is>
      </c>
      <c r="K16488" s="10" t="inlineStr">
        <is>
          <t>2 - 3 Năm</t>
        </is>
      </c>
      <c r="L16488" s="11">
        <f>HYPERLINK("https://careerviet.vn/vi/tim-viec-lam/ke-toan-thue.35C64D4B.html","Xem chi tiết")</f>
        <v/>
      </c>
      <c r="M16488" s="10" t="n"/>
    </row>
    <row r="16489">
      <c r="B16489" s="7" t="n">
        <v>16487</v>
      </c>
      <c r="C16489" t="inlineStr">
        <is>
          <t>Nhân viên phát triển sản phẩm</t>
        </is>
      </c>
      <c r="D16489" t="inlineStr">
        <is>
          <t>Công ty Cổ Phần Đầu Tư Thái Bình</t>
        </is>
      </c>
      <c r="E16489" t="inlineStr">
        <is>
          <t>Lương:Cạnh tranh</t>
        </is>
      </c>
      <c r="F16489" t="inlineStr">
        <is>
          <t>Bình Dương</t>
        </is>
      </c>
      <c r="G16489" t="inlineStr">
        <is>
          <t>07-04-2026</t>
        </is>
      </c>
      <c r="H16489" t="inlineStr">
        <is>
          <t>07/04/2026</t>
        </is>
      </c>
      <c r="I16489" t="inlineStr">
        <is>
          <t>17/03/2026</t>
        </is>
      </c>
      <c r="J16489" t="inlineStr">
        <is>
          <t>Dệt may / Da giày / Thời trang</t>
        </is>
      </c>
      <c r="K16489" t="inlineStr">
        <is>
          <t>Chưa có kinh nghiệm</t>
        </is>
      </c>
      <c r="L16489" s="8">
        <f>HYPERLINK("https://careerviet.vn/vi/tim-viec-lam/nhan-vien-phat-trien-san-pham.35C67E89.html","Xem chi tiết")</f>
        <v/>
      </c>
    </row>
    <row r="16490">
      <c r="B16490" s="9" t="n">
        <v>16488</v>
      </c>
      <c r="C16490" s="10" t="inlineStr">
        <is>
          <t>Chuyên viên QHKH cá nhân/doanh nghiệp ở Đồng Nai</t>
        </is>
      </c>
      <c r="D16490" s="10" t="inlineStr">
        <is>
          <t>Ngân hàng TMCP Phát triển TP.HCM (HDBank)</t>
        </is>
      </c>
      <c r="E16490" s="10" t="inlineStr">
        <is>
          <t>Lương:Cạnh tranh</t>
        </is>
      </c>
      <c r="F16490" s="10" t="inlineStr">
        <is>
          <t>Đồng Nai</t>
        </is>
      </c>
      <c r="G16490" s="10" t="inlineStr">
        <is>
          <t>07-04-2026</t>
        </is>
      </c>
      <c r="H16490" s="10" t="inlineStr">
        <is>
          <t>07/04/2026</t>
        </is>
      </c>
      <c r="I16490" s="10" t="inlineStr">
        <is>
          <t>17/03/2026</t>
        </is>
      </c>
      <c r="J16490" s="10" t="inlineStr">
        <is>
          <t>Bán hàng / Kinh doanh, Dịch vụ khách hàng, Ngân hàng</t>
        </is>
      </c>
      <c r="K16490" s="10" t="inlineStr">
        <is>
          <t>1 - 2 Năm</t>
        </is>
      </c>
      <c r="L16490" s="11">
        <f>HYPERLINK("https://careerviet.vn/vi/tim-viec-lam/chuyen-vien-qhkh-ca-nhan-doanh-nghiep-o-dong-nai.35C67EB4.html","Xem chi tiết")</f>
        <v/>
      </c>
      <c r="M16490" s="10" t="n"/>
    </row>
    <row r="16491">
      <c r="B16491" s="7" t="n">
        <v>16489</v>
      </c>
      <c r="C16491" t="inlineStr">
        <is>
          <t>[Đà Nẵng] Trưởng bộ phận Khách hàng ưu tiên</t>
        </is>
      </c>
      <c r="D16491" t="inlineStr">
        <is>
          <t>Ngân hàng TMCP Đại Chúng Việt Nam - PVcomBank</t>
        </is>
      </c>
      <c r="E16491" t="inlineStr">
        <is>
          <t>Lương:Cạnh tranh</t>
        </is>
      </c>
      <c r="F16491" t="inlineStr">
        <is>
          <t>Đà Nẵng</t>
        </is>
      </c>
      <c r="G16491" t="inlineStr">
        <is>
          <t>07-04-2026</t>
        </is>
      </c>
      <c r="H16491" t="inlineStr">
        <is>
          <t>07/04/2026</t>
        </is>
      </c>
      <c r="I16491" t="inlineStr">
        <is>
          <t>17/03/2026</t>
        </is>
      </c>
      <c r="J16491" t="inlineStr">
        <is>
          <t>Ngân hàng, Tài chính / Đầu tư</t>
        </is>
      </c>
      <c r="K16491" t="inlineStr">
        <is>
          <t>Trên 2 Năm</t>
        </is>
      </c>
      <c r="L16491" s="8">
        <f>HYPERLINK("https://careerviet.vn/vi/tim-viec-lam/da-nang-truong-bo-phan-khach-hang-uu-tien.35C64D7A.html","Xem chi tiết")</f>
        <v/>
      </c>
    </row>
    <row r="16492">
      <c r="B16492" s="9" t="n">
        <v>16490</v>
      </c>
      <c r="C16492" s="10" t="inlineStr">
        <is>
          <t>Product Manager</t>
        </is>
      </c>
      <c r="D16492" s="10" t="inlineStr">
        <is>
          <t>CÔNG TY TNHH GALAXY DIGITAL HOLDINGS</t>
        </is>
      </c>
      <c r="E16492" s="10" t="inlineStr">
        <is>
          <t>Lương:Cạnh tranh</t>
        </is>
      </c>
      <c r="F16492" s="10" t="inlineStr">
        <is>
          <t>Hồ Chí Minh</t>
        </is>
      </c>
      <c r="G16492" s="10" t="inlineStr">
        <is>
          <t>07-04-2026</t>
        </is>
      </c>
      <c r="H16492" s="10" t="inlineStr">
        <is>
          <t>07/04/2026</t>
        </is>
      </c>
      <c r="I16492" s="10" t="inlineStr">
        <is>
          <t>17/03/2026</t>
        </is>
      </c>
      <c r="J16492" s="10" t="inlineStr">
        <is>
          <t>CNTT - Phần mềm</t>
        </is>
      </c>
      <c r="K16492" s="10" t="inlineStr">
        <is>
          <t>5 - 7 Năm</t>
        </is>
      </c>
      <c r="L16492" s="11">
        <f>HYPERLINK("https://careerviet.vn/vi/tim-viec-lam/product-manager.35C64C89.html","Xem chi tiết")</f>
        <v/>
      </c>
      <c r="M16492" s="10" t="n"/>
    </row>
    <row r="16493">
      <c r="B16493" s="7" t="n">
        <v>16491</v>
      </c>
      <c r="C16493" t="inlineStr">
        <is>
          <t>Finance Supervisor</t>
        </is>
      </c>
      <c r="D16493" t="inlineStr">
        <is>
          <t>GOLDWIND INTERNATIONAL THAILAND</t>
        </is>
      </c>
      <c r="E16493" t="inlineStr">
        <is>
          <t>Lương:Cạnh tranh</t>
        </is>
      </c>
      <c r="F16493" t="inlineStr">
        <is>
          <t>Bangkok</t>
        </is>
      </c>
      <c r="G16493" t="inlineStr">
        <is>
          <t>07-04-2026</t>
        </is>
      </c>
      <c r="H16493" t="inlineStr">
        <is>
          <t>07/04/2026</t>
        </is>
      </c>
      <c r="I16493" t="inlineStr">
        <is>
          <t>17/03/2026</t>
        </is>
      </c>
      <c r="J16493" t="inlineStr">
        <is>
          <t>Kế toán / Kiểm toán, Tài chính / Đầu tư</t>
        </is>
      </c>
      <c r="K16493" t="inlineStr">
        <is>
          <t>1 - 3 Năm</t>
        </is>
      </c>
      <c r="L16493" s="8">
        <f>HYPERLINK("https://careerviet.vn/vi/tim-viec-lam/finance-supervisor.35C67F74.html","Xem chi tiết")</f>
        <v/>
      </c>
    </row>
    <row r="16494">
      <c r="B16494" s="9" t="n">
        <v>16492</v>
      </c>
      <c r="C16494" s="10" t="inlineStr">
        <is>
          <t>Senior Accountant</t>
        </is>
      </c>
      <c r="D16494" s="10" t="inlineStr">
        <is>
          <t>Nexgen Packaging Vietnam Ltd</t>
        </is>
      </c>
      <c r="E16494" s="10" t="inlineStr">
        <is>
          <t>Lương:Cạnh tranh</t>
        </is>
      </c>
      <c r="F16494" s="10" t="inlineStr">
        <is>
          <t>Bình Dương</t>
        </is>
      </c>
      <c r="G16494" s="10" t="inlineStr">
        <is>
          <t>07-04-2026</t>
        </is>
      </c>
      <c r="H16494" s="10" t="inlineStr">
        <is>
          <t>07/04/2026</t>
        </is>
      </c>
      <c r="I16494" s="10" t="inlineStr">
        <is>
          <t>17/03/2026</t>
        </is>
      </c>
      <c r="J16494" s="10" t="inlineStr">
        <is>
          <t>Sản xuất / Vận hành sản xuất, Dệt may / Da giày / Thời trang, In ấn / Xuất bản</t>
        </is>
      </c>
      <c r="K16494" s="10" t="inlineStr">
        <is>
          <t>3 - 5 Năm</t>
        </is>
      </c>
      <c r="L16494" s="11">
        <f>HYPERLINK("https://careerviet.vn/vi/tim-viec-lam/senior-accountant.35C67F3C.html","Xem chi tiết")</f>
        <v/>
      </c>
      <c r="M16494" s="10" t="n"/>
    </row>
    <row r="16495">
      <c r="B16495" s="7" t="n">
        <v>16493</v>
      </c>
      <c r="C16495" t="inlineStr">
        <is>
          <t>Nhân viên kế toán bán hàng</t>
        </is>
      </c>
      <c r="D16495" t="inlineStr">
        <is>
          <t>Công ty TNHH SX-TM-DV Qui Phúc</t>
        </is>
      </c>
      <c r="E16495" t="inlineStr">
        <is>
          <t>Lương:9,5 Tr - 12 Tr VND</t>
        </is>
      </c>
      <c r="F16495" t="inlineStr">
        <is>
          <t>Hồ Chí Minh</t>
        </is>
      </c>
      <c r="G16495" t="inlineStr">
        <is>
          <t>07-04-2026</t>
        </is>
      </c>
      <c r="H16495" t="inlineStr">
        <is>
          <t>07/04/2026</t>
        </is>
      </c>
      <c r="I16495" t="inlineStr">
        <is>
          <t>17/03/2026</t>
        </is>
      </c>
      <c r="J16495" t="inlineStr">
        <is>
          <t>Kế toán / Kiểm toán, Luật / Pháp lý, Tài chính / Đầu tư</t>
        </is>
      </c>
      <c r="K16495" t="inlineStr">
        <is>
          <t>1 - 3 Năm</t>
        </is>
      </c>
      <c r="L16495" s="8">
        <f>HYPERLINK("https://careerviet.vn/vi/tim-viec-lam/nhan-vien-ke-toan-ban-hang.35C64C72.html","Xem chi tiết")</f>
        <v/>
      </c>
    </row>
    <row r="16496">
      <c r="B16496" s="9" t="n">
        <v>16494</v>
      </c>
      <c r="C16496" s="10" t="inlineStr">
        <is>
          <t>Nhân viên HRBP (C&amp;B)</t>
        </is>
      </c>
      <c r="D16496" s="10" t="inlineStr">
        <is>
          <t>HỆ THỐNG GIÁO DỤC EDUFIT</t>
        </is>
      </c>
      <c r="E16496" s="10" t="inlineStr">
        <is>
          <t>Lương:9 Tr - 11 Tr VND</t>
        </is>
      </c>
      <c r="F16496" s="10" t="inlineStr">
        <is>
          <t>Hà Nội</t>
        </is>
      </c>
      <c r="G16496" s="10" t="inlineStr">
        <is>
          <t>07-04-2026</t>
        </is>
      </c>
      <c r="H16496" s="10" t="inlineStr">
        <is>
          <t>07/04/2026</t>
        </is>
      </c>
      <c r="I16496" s="10" t="inlineStr">
        <is>
          <t>17/03/2026</t>
        </is>
      </c>
      <c r="J16496" s="10" t="inlineStr">
        <is>
          <t>Nhân sự</t>
        </is>
      </c>
      <c r="K16496" s="10" t="inlineStr">
        <is>
          <t>1 - 2 Năm</t>
        </is>
      </c>
      <c r="L16496" s="11">
        <f>HYPERLINK("https://careerviet.vn/vi/tim-viec-lam/nhan-vien-hrbp-c-b.35C67E9E.html","Xem chi tiết")</f>
        <v/>
      </c>
      <c r="M16496" s="10" t="n"/>
    </row>
    <row r="16497">
      <c r="B16497" s="7" t="n">
        <v>16495</v>
      </c>
      <c r="C16497" t="inlineStr">
        <is>
          <t>TUYỂN 3D MODEL ARTIST</t>
        </is>
      </c>
      <c r="D16497" t="inlineStr">
        <is>
          <t>CÔNG TY TNHH CA ADVANCE VIỆT NAM</t>
        </is>
      </c>
      <c r="E16497" t="inlineStr">
        <is>
          <t>Lương:Cạnh tranh</t>
        </is>
      </c>
      <c r="F16497" t="inlineStr">
        <is>
          <t>Hồ Chí Minh</t>
        </is>
      </c>
      <c r="G16497" t="inlineStr">
        <is>
          <t>07-04-2026</t>
        </is>
      </c>
      <c r="H16497" t="inlineStr">
        <is>
          <t>07/04/2026</t>
        </is>
      </c>
      <c r="I16497" t="inlineStr">
        <is>
          <t>17/03/2026</t>
        </is>
      </c>
      <c r="J16497" t="inlineStr">
        <is>
          <t>Mỹ thuật / Nghệ thuật / Thiết kế, Ngành khác</t>
        </is>
      </c>
      <c r="K16497" t="inlineStr">
        <is>
          <t>5 - 10 Năm</t>
        </is>
      </c>
      <c r="L16497" s="8">
        <f>HYPERLINK("https://careerviet.vn/vi/tim-viec-lam/tuyen-3d-model-artist.35C6796D.html","Xem chi tiết")</f>
        <v/>
      </c>
    </row>
    <row r="16498">
      <c r="B16498" s="9" t="n">
        <v>16496</v>
      </c>
      <c r="C16498" s="10" t="inlineStr">
        <is>
          <t>Chuyên Viên Kinh Doanh - Ngành Bao Bì Giấy: Ly Giấy, Ống Hút Giấy</t>
        </is>
      </c>
      <c r="D16498" s="10" t="inlineStr">
        <is>
          <t>Công ty Cổ Phần Thảo Mộc Xanh</t>
        </is>
      </c>
      <c r="E16498" s="10" t="inlineStr">
        <is>
          <t>Lương:Cạnh tranh</t>
        </is>
      </c>
      <c r="F16498" s="10" t="inlineStr">
        <is>
          <t>Hồ Chí Minh</t>
        </is>
      </c>
      <c r="G16498" s="10" t="inlineStr">
        <is>
          <t>07-04-2026</t>
        </is>
      </c>
      <c r="H16498" s="10" t="inlineStr">
        <is>
          <t>07/04/2026</t>
        </is>
      </c>
      <c r="I16498" s="10" t="inlineStr">
        <is>
          <t>17/03/2026</t>
        </is>
      </c>
      <c r="J16498" s="10" t="inlineStr">
        <is>
          <t>Tiếp thị / Marketing, Bán hàng / Kinh doanh, Quảng cáo / Đối ngoại / Truyền Thông</t>
        </is>
      </c>
      <c r="K16498" s="10" t="inlineStr">
        <is>
          <t>Trên 1 Năm</t>
        </is>
      </c>
      <c r="L16498" s="11">
        <f>HYPERLINK("https://careerviet.vn/vi/tim-viec-lam/chuyen-vien-kinh-doanh-nganh-bao-bi-giay-ly-giay-ong-hut-giay.35C67DC7.html","Xem chi tiết")</f>
        <v/>
      </c>
      <c r="M16498" s="10" t="n"/>
    </row>
    <row r="16499">
      <c r="B16499" s="7" t="n">
        <v>16497</v>
      </c>
      <c r="C16499" t="inlineStr">
        <is>
          <t>AC Light Comercal Sales</t>
        </is>
      </c>
      <c r="D16499" t="inlineStr">
        <is>
          <t>TCL (Vietnam) Corporation Limited</t>
        </is>
      </c>
      <c r="E16499" t="inlineStr">
        <is>
          <t>Lương:Cạnh tranh</t>
        </is>
      </c>
      <c r="F16499" t="inlineStr">
        <is>
          <t>Hà Nội</t>
        </is>
      </c>
      <c r="G16499" t="inlineStr">
        <is>
          <t>07-04-2026</t>
        </is>
      </c>
      <c r="H16499" t="inlineStr">
        <is>
          <t>07/04/2026</t>
        </is>
      </c>
      <c r="I16499" t="inlineStr">
        <is>
          <t>17/03/2026</t>
        </is>
      </c>
      <c r="J16499" t="inlineStr">
        <is>
          <t>Bán lẻ / Bán sỉ, Bán hàng / Kinh doanh, Điện / Điện tử / Điện lạnh / Điện công nghiệp</t>
        </is>
      </c>
      <c r="K16499" t="inlineStr">
        <is>
          <t>Trên 5 Năm</t>
        </is>
      </c>
      <c r="L16499" s="8">
        <f>HYPERLINK("https://careerviet.vn/vi/tim-viec-lam/ac-light-comercal-sales.35C67EFF.html","Xem chi tiết")</f>
        <v/>
      </c>
    </row>
    <row r="16500">
      <c r="B16500" s="9" t="n">
        <v>16498</v>
      </c>
      <c r="C16500" s="10" t="inlineStr">
        <is>
          <t>LẬP TRÌNH GAME - GAME DEVELOPERS</t>
        </is>
      </c>
      <c r="D16500" s="10" t="inlineStr">
        <is>
          <t>Koei Tecmo Software Vietnam</t>
        </is>
      </c>
      <c r="E16500" s="10" t="inlineStr">
        <is>
          <t>Lương:Cạnh tranh</t>
        </is>
      </c>
      <c r="F16500" s="10" t="inlineStr">
        <is>
          <t>Hà Nội</t>
        </is>
      </c>
      <c r="G16500" s="10" t="inlineStr">
        <is>
          <t>07-04-2026</t>
        </is>
      </c>
      <c r="H16500" s="10" t="inlineStr">
        <is>
          <t>07/04/2026</t>
        </is>
      </c>
      <c r="I16500" s="10" t="inlineStr">
        <is>
          <t>17/03/2026</t>
        </is>
      </c>
      <c r="J16500" s="10" t="inlineStr">
        <is>
          <t>Bưu chính viễn thông, CNTT - Phần cứng / Mạng, CNTT - Phần mềm</t>
        </is>
      </c>
      <c r="K16500" s="10" t="inlineStr">
        <is>
          <t>Chưa có kinh nghiệm</t>
        </is>
      </c>
      <c r="L16500" s="11">
        <f>HYPERLINK("https://careerviet.vn/vi/tim-viec-lam/lap-trinh-game-game-developers.35C67E13.html","Xem chi tiết")</f>
        <v/>
      </c>
      <c r="M16500" s="10" t="n"/>
    </row>
    <row r="16501">
      <c r="B16501" s="7" t="n">
        <v>16499</v>
      </c>
      <c r="C16501" t="inlineStr">
        <is>
          <t>Kiểm soát viên - PGD Cầu Giấy - CN Hà Nội</t>
        </is>
      </c>
      <c r="D16501" t="inlineStr">
        <is>
          <t>Ngân hàng TMCP Thịnh vượng và Phát triển - PGBank</t>
        </is>
      </c>
      <c r="E16501" t="inlineStr">
        <is>
          <t>Lương:Cạnh tranh</t>
        </is>
      </c>
      <c r="F16501" t="inlineStr">
        <is>
          <t>Hà Nội</t>
        </is>
      </c>
      <c r="G16501" t="inlineStr">
        <is>
          <t>07-04-2026</t>
        </is>
      </c>
      <c r="H16501" t="inlineStr">
        <is>
          <t>07/04/2026</t>
        </is>
      </c>
      <c r="I16501" t="inlineStr">
        <is>
          <t>17/03/2026</t>
        </is>
      </c>
      <c r="J16501" t="inlineStr">
        <is>
          <t>Dịch vụ khách hàng</t>
        </is>
      </c>
      <c r="K16501" t="inlineStr">
        <is>
          <t>Trên 2 Năm</t>
        </is>
      </c>
      <c r="L16501" s="8">
        <f>HYPERLINK("https://careerviet.vn/vi/tim-viec-lam/kiem-soat-vien-pgd-cau-giay-cn-ha-noi.35C67E1F.html","Xem chi tiết")</f>
        <v/>
      </c>
    </row>
    <row r="16502">
      <c r="B16502" s="9" t="n">
        <v>16500</v>
      </c>
      <c r="C16502" s="10" t="inlineStr">
        <is>
          <t>Kế toán tổng hợp ( up to 25.000.000 VNĐ)</t>
        </is>
      </c>
      <c r="D16502" s="10" t="inlineStr">
        <is>
          <t>CÔNG TY CỔ PHẦN ĐIỆN TỬ  SOJI</t>
        </is>
      </c>
      <c r="E16502" s="10" t="inlineStr">
        <is>
          <t>Lương:Cạnh tranh</t>
        </is>
      </c>
      <c r="F16502" s="10" t="inlineStr">
        <is>
          <t>Hà Nội</t>
        </is>
      </c>
      <c r="G16502" s="10" t="inlineStr">
        <is>
          <t>07-04-2026</t>
        </is>
      </c>
      <c r="H16502" s="10" t="inlineStr">
        <is>
          <t>07/04/2026</t>
        </is>
      </c>
      <c r="I16502" s="10" t="inlineStr">
        <is>
          <t>17/03/2026</t>
        </is>
      </c>
      <c r="J16502" s="10" t="inlineStr">
        <is>
          <t>Kế toán / Kiểm toán, Tài chính / Đầu tư, Ngân hàng</t>
        </is>
      </c>
      <c r="K16502" s="10" t="inlineStr">
        <is>
          <t>1 - 3 Năm</t>
        </is>
      </c>
      <c r="L16502" s="11">
        <f>HYPERLINK("https://careerviet.vn/vi/tim-viec-lam/ke-toan-tong-hop-up-to-25-000-000-vnd.35C67DE4.html","Xem chi tiết")</f>
        <v/>
      </c>
      <c r="M16502" s="10" t="n"/>
    </row>
    <row r="16503">
      <c r="B16503" s="7" t="n">
        <v>16501</v>
      </c>
      <c r="C16503" t="inlineStr">
        <is>
          <t>Nhân viên kỹ thuật ô tô</t>
        </is>
      </c>
      <c r="D16503" t="inlineStr">
        <is>
          <t>CN Công Ty TNHH Phát Triển Công Nghệ Điện Tử Bình Anh</t>
        </is>
      </c>
      <c r="E16503" t="inlineStr">
        <is>
          <t>Lương:7 Tr - 10 Tr VND</t>
        </is>
      </c>
      <c r="F16503" t="inlineStr">
        <is>
          <t>Lâm Đồng</t>
        </is>
      </c>
      <c r="G16503" t="inlineStr">
        <is>
          <t>08-03-2026</t>
        </is>
      </c>
      <c r="H16503" t="inlineStr">
        <is>
          <t>30/07/2025</t>
        </is>
      </c>
      <c r="I16503" t="inlineStr">
        <is>
          <t>17/03/2026</t>
        </is>
      </c>
      <c r="J16503" t="inlineStr">
        <is>
          <t>Cơ khí / Ô tô / Tự động hóa, Điện / Điện tử / Điện lạnh / Điện công nghiệp, Bảo trì / Sửa chữa</t>
        </is>
      </c>
      <c r="K16503" t="inlineStr">
        <is>
          <t>N/A</t>
        </is>
      </c>
      <c r="L16503" s="8">
        <f>HYPERLINK("https://careerviet.vn/vi/tim-viec-lam/nhan-vien-ky-thuat-o-to.35C4CB6C.html","Xem chi tiết")</f>
        <v/>
      </c>
    </row>
    <row r="16504">
      <c r="B16504" s="9" t="n">
        <v>16502</v>
      </c>
      <c r="C16504" s="10" t="inlineStr">
        <is>
          <t>Kỹ sư Kinh tế xây dựng (Ban chủ đầu tư)</t>
        </is>
      </c>
      <c r="D16504" s="10" t="inlineStr">
        <is>
          <t>Công ty Cổ phần công nghệ và đầu tư INTECH</t>
        </is>
      </c>
      <c r="E16504" s="10" t="inlineStr">
        <is>
          <t>Lương:15 Tr - 25 Tr VND</t>
        </is>
      </c>
      <c r="F16504" s="10" t="inlineStr">
        <is>
          <t>Hà NộiHồ Chí Minh</t>
        </is>
      </c>
      <c r="G16504" s="10" t="inlineStr">
        <is>
          <t>31-03-2026</t>
        </is>
      </c>
      <c r="H16504" s="10" t="inlineStr">
        <is>
          <t>31/03/2026</t>
        </is>
      </c>
      <c r="I16504" s="10" t="inlineStr">
        <is>
          <t>17/03/2026</t>
        </is>
      </c>
      <c r="J16504" s="10" t="inlineStr">
        <is>
          <t>Xây dựng, Quản lý chất lượng (QA/QC), Thu mua / Vật tư</t>
        </is>
      </c>
      <c r="K16504" s="10" t="inlineStr">
        <is>
          <t>2 - 3 Năm</t>
        </is>
      </c>
      <c r="L16504" s="11">
        <f>HYPERLINK("https://careerviet.vn/vi/tim-viec-lam/ky-su-kinh-te-xay-dung-ban-chu-dau-tu.35C68DB0.html","Xem chi tiết")</f>
        <v/>
      </c>
      <c r="M16504" s="10" t="n"/>
    </row>
    <row r="16505">
      <c r="B16505" s="7" t="n">
        <v>16503</v>
      </c>
      <c r="C16505" t="inlineStr">
        <is>
          <t>[Nhơn Trạch - Đồng Nai] Tuyển Nhân Viên Bán Hàng - Chuỗi Cửa Hàng Bán Lẻ Thiết Bị Sức Khỏe</t>
        </is>
      </c>
      <c r="D16505" t="inlineStr">
        <is>
          <t>Công Ty TNHH XNK Phát Triển Đông Dương</t>
        </is>
      </c>
      <c r="E16505" t="inlineStr">
        <is>
          <t>Lương:12 Tr - 20 Tr VND</t>
        </is>
      </c>
      <c r="F16505" t="inlineStr">
        <is>
          <t>Đồng Nai</t>
        </is>
      </c>
      <c r="G16505" t="inlineStr">
        <is>
          <t>31-03-2026</t>
        </is>
      </c>
      <c r="H16505" t="inlineStr">
        <is>
          <t>31/03/2026</t>
        </is>
      </c>
      <c r="I16505" t="inlineStr">
        <is>
          <t>17/03/2026</t>
        </is>
      </c>
      <c r="J16505" t="inlineStr">
        <is>
          <t>Bán lẻ / Bán sỉ, Bán hàng / Kinh doanh, Tư vấn</t>
        </is>
      </c>
      <c r="K16505" t="inlineStr">
        <is>
          <t>N/A</t>
        </is>
      </c>
      <c r="L16505" s="8">
        <f>HYPERLINK("https://careerviet.vn/vi/tim-viec-lam/nhon-trach-dong-nai-tuyen-nhan-vien-ban-hang-chuoi-cua-hang-ban-le-thiet-bi-suc-khoe.35C68E4D.html","Xem chi tiết")</f>
        <v/>
      </c>
    </row>
    <row r="16506">
      <c r="B16506" s="9" t="n">
        <v>16504</v>
      </c>
      <c r="C16506" s="10" t="inlineStr">
        <is>
          <t>NHÂN VIÊN NHÂN SỰ - CHẤM CÔNG, TÍNH LƯƠNG</t>
        </is>
      </c>
      <c r="D16506" s="10" t="inlineStr">
        <is>
          <t>Công Ty TNHH Công Nghiệp Kolon Bình Dương</t>
        </is>
      </c>
      <c r="E16506" s="10" t="inlineStr">
        <is>
          <t>Lương:Cạnh tranh</t>
        </is>
      </c>
      <c r="F16506" s="10" t="inlineStr">
        <is>
          <t>Bình Dương</t>
        </is>
      </c>
      <c r="G16506" s="10" t="inlineStr">
        <is>
          <t>31-03-2026</t>
        </is>
      </c>
      <c r="H16506" s="10" t="inlineStr">
        <is>
          <t>31/03/2026</t>
        </is>
      </c>
      <c r="I16506" s="10" t="inlineStr">
        <is>
          <t>17/03/2026</t>
        </is>
      </c>
      <c r="J16506" s="10" t="inlineStr">
        <is>
          <t>Luật / Pháp lý, Hành chính / Thư ký, Nhân sự</t>
        </is>
      </c>
      <c r="K16506" s="10" t="inlineStr">
        <is>
          <t>1 - 2 Năm</t>
        </is>
      </c>
      <c r="L16506" s="11">
        <f>HYPERLINK("https://careerviet.vn/vi/tim-viec-lam/nhan-vien-nhan-su-cham-cong-tinh-luong.35C68EFC.html","Xem chi tiết")</f>
        <v/>
      </c>
      <c r="M16506" s="10" t="n"/>
    </row>
    <row r="16507">
      <c r="B16507" s="7" t="n">
        <v>16505</v>
      </c>
      <c r="C16507" t="inlineStr">
        <is>
          <t>Nhân viên Mua hàng</t>
        </is>
      </c>
      <c r="D16507" t="inlineStr">
        <is>
          <t>AD BUILDING - CÔNG TY CỔ PHẦN KẾT CẤU THÉP WIN STEEL</t>
        </is>
      </c>
      <c r="E16507" t="inlineStr">
        <is>
          <t>Lương:15 Tr - 20 Tr VND</t>
        </is>
      </c>
      <c r="F16507" t="inlineStr">
        <is>
          <t>Hồ Chí Minh</t>
        </is>
      </c>
      <c r="G16507" t="inlineStr">
        <is>
          <t>31-03-2026</t>
        </is>
      </c>
      <c r="H16507" t="inlineStr">
        <is>
          <t>31/03/2026</t>
        </is>
      </c>
      <c r="I16507" t="inlineStr">
        <is>
          <t>17/03/2026</t>
        </is>
      </c>
      <c r="J16507" t="inlineStr">
        <is>
          <t>Thu mua / Vật tư, Xây dựng</t>
        </is>
      </c>
      <c r="K16507" t="inlineStr">
        <is>
          <t>2 - 5 Năm</t>
        </is>
      </c>
      <c r="L16507" s="8">
        <f>HYPERLINK("https://careerviet.vn/vi/tim-viec-lam/nhan-vien-mua-hang.35C68F7B.html","Xem chi tiết")</f>
        <v/>
      </c>
    </row>
    <row r="16508">
      <c r="B16508" s="9" t="n">
        <v>16506</v>
      </c>
      <c r="C16508" s="10" t="inlineStr">
        <is>
          <t>[Ninh Sơn - Ninh Thuận] Tuyển Nhân Viên Bán Hàng - Chuỗi Cửa Hàng Bán Lẻ Thiết Bị Sức Khỏe</t>
        </is>
      </c>
      <c r="D16508" s="10" t="inlineStr">
        <is>
          <t>Công Ty TNHH XNK Phát Triển Đông Dương</t>
        </is>
      </c>
      <c r="E16508" s="10" t="inlineStr">
        <is>
          <t>Lương:12 Tr - 20 Tr VND</t>
        </is>
      </c>
      <c r="F16508" s="10" t="inlineStr">
        <is>
          <t>Ninh Thuận</t>
        </is>
      </c>
      <c r="G16508" s="10" t="inlineStr">
        <is>
          <t>31-03-2026</t>
        </is>
      </c>
      <c r="H16508" s="10" t="inlineStr">
        <is>
          <t>31/03/2026</t>
        </is>
      </c>
      <c r="I16508" s="10" t="inlineStr">
        <is>
          <t>17/03/2026</t>
        </is>
      </c>
      <c r="J16508" s="10" t="inlineStr">
        <is>
          <t>Bán lẻ / Bán sỉ, Bán hàng / Kinh doanh, Tư vấn</t>
        </is>
      </c>
      <c r="K16508" s="10" t="inlineStr">
        <is>
          <t>N/A</t>
        </is>
      </c>
      <c r="L16508" s="11">
        <f>HYPERLINK("https://careerviet.vn/vi/tim-viec-lam/ninh-son-ninh-thuan-tuyen-nhan-vien-ban-hang-chuoi-cua-hang-ban-le-thiet-bi-suc-khoe.35C68E50.html","Xem chi tiết")</f>
        <v/>
      </c>
      <c r="M16508" s="10" t="n"/>
    </row>
    <row r="16509">
      <c r="B16509" s="7" t="n">
        <v>16507</v>
      </c>
      <c r="C16509" t="inlineStr">
        <is>
          <t>INDUSTRIAL ENGINEER SENIOR SUPERVISOR (WORLD-CLASS MANUFACTURING)</t>
        </is>
      </c>
      <c r="D16509" t="inlineStr">
        <is>
          <t>CÔNG TY TNHH CRYSTAL ELEGANCE TEXTILES VIỆT NAM</t>
        </is>
      </c>
      <c r="E16509" t="inlineStr">
        <is>
          <t>Lương:Cạnh tranh</t>
        </is>
      </c>
      <c r="F16509" t="inlineStr">
        <is>
          <t>Bình Dương</t>
        </is>
      </c>
      <c r="G16509" t="inlineStr">
        <is>
          <t>08-03-2026</t>
        </is>
      </c>
      <c r="H16509" t="inlineStr">
        <is>
          <t>14/03/2026</t>
        </is>
      </c>
      <c r="I16509" t="inlineStr">
        <is>
          <t>17/03/2026</t>
        </is>
      </c>
      <c r="J16509" t="inlineStr">
        <is>
          <t>Cơ khí / Ô tô / Tự động hóa, Sản xuất / Vận hành sản xuất, Dệt may / Da giày / Thời trang</t>
        </is>
      </c>
      <c r="K16509" t="inlineStr">
        <is>
          <t>3 - 5 Năm</t>
        </is>
      </c>
      <c r="L16509" s="8">
        <f>HYPERLINK("https://careerviet.vn/vi/tim-viec-lam/industrial-engineer-senior-supervisor-world-class-manufacturing.35C68EC0.html","Xem chi tiết")</f>
        <v/>
      </c>
    </row>
    <row r="16510">
      <c r="B16510" s="9" t="n">
        <v>16508</v>
      </c>
      <c r="C16510" s="10" t="inlineStr">
        <is>
          <t>Nhân viên kinh doanh Hà Nội</t>
        </is>
      </c>
      <c r="D16510" s="10" t="inlineStr">
        <is>
          <t>Công ty TNHH Thực Phẩm Sạch Thương Mại T&amp;P</t>
        </is>
      </c>
      <c r="E16510" s="10" t="inlineStr">
        <is>
          <t>Lương:15 Tr - 20 Tr VND</t>
        </is>
      </c>
      <c r="F16510" s="10" t="inlineStr">
        <is>
          <t>Hà Nội</t>
        </is>
      </c>
      <c r="G16510" s="10" t="inlineStr">
        <is>
          <t>31-03-2026</t>
        </is>
      </c>
      <c r="H16510" s="10" t="inlineStr">
        <is>
          <t>31/03/2026</t>
        </is>
      </c>
      <c r="I16510" s="10" t="inlineStr">
        <is>
          <t>17/03/2026</t>
        </is>
      </c>
      <c r="J16510" s="10" t="inlineStr">
        <is>
          <t>Bán hàng / Kinh doanh, Bán lẻ / Bán sỉ</t>
        </is>
      </c>
      <c r="K16510" s="10" t="inlineStr">
        <is>
          <t>N/A</t>
        </is>
      </c>
      <c r="L16510" s="11">
        <f>HYPERLINK("https://careerviet.vn/vi/tim-viec-lam/nhan-vien-kinh-doanh-ha-noi.35C68E09.html","Xem chi tiết")</f>
        <v/>
      </c>
      <c r="M16510" s="10" t="n"/>
    </row>
    <row r="16511">
      <c r="B16511" s="7" t="n">
        <v>16509</v>
      </c>
      <c r="C16511" t="inlineStr">
        <is>
          <t>Nhân viên Trade Marketing - Tại Hà Nội - Thu nhập 15.000.000 - 20.000.000 - Tuyển Nam</t>
        </is>
      </c>
      <c r="D16511" t="inlineStr">
        <is>
          <t>Công ty TNHH Dược Hunmed</t>
        </is>
      </c>
      <c r="E16511" t="inlineStr">
        <is>
          <t>Lương:15 Tr - 20 Tr VND</t>
        </is>
      </c>
      <c r="F16511" t="inlineStr">
        <is>
          <t>Hà Nội</t>
        </is>
      </c>
      <c r="G16511" t="inlineStr">
        <is>
          <t>6</t>
        </is>
      </c>
      <c r="H16511" t="inlineStr">
        <is>
          <t>23/03/2026</t>
        </is>
      </c>
      <c r="I16511" t="inlineStr">
        <is>
          <t>17/03/2026</t>
        </is>
      </c>
      <c r="J16511" t="inlineStr">
        <is>
          <t>Dược phẩm/ Hóa Mỹ Phẩm</t>
        </is>
      </c>
      <c r="K16511" t="inlineStr">
        <is>
          <t>1 - 2 Năm</t>
        </is>
      </c>
      <c r="L16511" s="8">
        <f>HYPERLINK("https://careerviet.vn/vi/tim-viec-lam/nhan-vien-trade-marketing-tai-ha-noi-thu-nhap-15-000-000-20-000-000-tuyen-nam.35C68D2D.html","Xem chi tiết")</f>
        <v/>
      </c>
    </row>
    <row r="16512">
      <c r="B16512" s="9" t="n">
        <v>16510</v>
      </c>
      <c r="C16512" s="10" t="inlineStr">
        <is>
          <t>KEY ACCOUNT MANAGER (kênh phòng khám OTC)</t>
        </is>
      </c>
      <c r="D16512" s="10" t="inlineStr">
        <is>
          <t>Bảo mật</t>
        </is>
      </c>
      <c r="E16512" s="10" t="inlineStr">
        <is>
          <t>Lương:12 Tr - 30 Tr VND</t>
        </is>
      </c>
      <c r="F16512" s="10" t="inlineStr">
        <is>
          <t>Hồ Chí Minh</t>
        </is>
      </c>
      <c r="G16512" s="10" t="inlineStr">
        <is>
          <t>31-03-2026</t>
        </is>
      </c>
      <c r="H16512" s="10" t="inlineStr">
        <is>
          <t>31/03/2026</t>
        </is>
      </c>
      <c r="I16512" s="10" t="inlineStr">
        <is>
          <t>17/03/2026</t>
        </is>
      </c>
      <c r="J16512" s="10" t="inlineStr">
        <is>
          <t>Bán hàng / Kinh doanh, Bán lẻ / Bán sỉ, Bán Hàng Kỹ Thuật</t>
        </is>
      </c>
      <c r="K16512" s="10" t="inlineStr">
        <is>
          <t>2 - 5 Năm</t>
        </is>
      </c>
      <c r="L16512" s="11">
        <f>HYPERLINK("https://careerviet.vn/vi/tim-viec-lam/key-account-manager-kenh-phong-kham-otc.35C68D65.html","Xem chi tiết")</f>
        <v/>
      </c>
      <c r="M16512" s="10" t="n"/>
    </row>
    <row r="16513">
      <c r="B16513" s="7" t="n">
        <v>16511</v>
      </c>
      <c r="C16513" t="inlineStr">
        <is>
          <t>Beauty Consultant (English speaker)/ Tư Vấn Viên Thẩm Mỹ Tiếng Anh - Rohto Aohal Clinic</t>
        </is>
      </c>
      <c r="D16513" t="inlineStr">
        <is>
          <t>CÔNG TY TNHH ROHTO-MENTHOLATUM (VIỆT NAM)</t>
        </is>
      </c>
      <c r="E16513" t="inlineStr">
        <is>
          <t>Lương:10 Tr - 15 Tr VND</t>
        </is>
      </c>
      <c r="F16513" t="inlineStr">
        <is>
          <t>Hồ Chí Minh</t>
        </is>
      </c>
      <c r="G16513" t="inlineStr">
        <is>
          <t>31-03-2026</t>
        </is>
      </c>
      <c r="H16513" t="inlineStr">
        <is>
          <t>31/03/2026</t>
        </is>
      </c>
      <c r="I16513" t="inlineStr">
        <is>
          <t>17/03/2026</t>
        </is>
      </c>
      <c r="J16513" t="inlineStr">
        <is>
          <t>Y tế / Chăm sóc sức khỏe / Thẩm mỹ / Làm đẹp, Dịch vụ khách hàng, Biên phiên dịch</t>
        </is>
      </c>
      <c r="K16513" t="inlineStr">
        <is>
          <t>N/A</t>
        </is>
      </c>
      <c r="L16513" s="8">
        <f>HYPERLINK("https://careerviet.vn/vi/tim-viec-lam/beauty-consultant-english-speaker-tu-van-vien-tham-my-tieng-anh-rohto-aohal-clinic.35C68E1D.html","Xem chi tiết")</f>
        <v/>
      </c>
    </row>
    <row r="16514">
      <c r="B16514" s="9" t="n">
        <v>16512</v>
      </c>
      <c r="C16514" s="10" t="inlineStr">
        <is>
          <t>Nhân viên kế hoạch sản xuất (tiếng Trung)</t>
        </is>
      </c>
      <c r="D16514" s="10" t="inlineStr">
        <is>
          <t>CÔNG TY TNHH QISDA VIỆT NAM</t>
        </is>
      </c>
      <c r="E16514" s="10" t="inlineStr">
        <is>
          <t>Lương:Cạnh tranh</t>
        </is>
      </c>
      <c r="F16514" s="10" t="inlineStr">
        <is>
          <t>Hà Nam</t>
        </is>
      </c>
      <c r="G16514" s="10" t="inlineStr">
        <is>
          <t>25-03-2026</t>
        </is>
      </c>
      <c r="H16514" s="10" t="inlineStr">
        <is>
          <t>25/03/2026</t>
        </is>
      </c>
      <c r="I16514" s="10" t="inlineStr">
        <is>
          <t>17/03/2026</t>
        </is>
      </c>
      <c r="J16514" s="10" t="inlineStr">
        <is>
          <t>Thu mua / Vật tư</t>
        </is>
      </c>
      <c r="K16514" s="10" t="inlineStr">
        <is>
          <t>null - null Năm</t>
        </is>
      </c>
      <c r="L16514" s="11">
        <f>HYPERLINK("https://careerviet.vn/vi/tim-viec-lam/nhan-vien-ke-hoach-san-xuat-tieng-trung.35C68EA0.html","Xem chi tiết")</f>
        <v/>
      </c>
      <c r="M16514" s="10" t="n"/>
    </row>
    <row r="16515">
      <c r="B16515" s="7" t="n">
        <v>16513</v>
      </c>
      <c r="C16515" t="inlineStr">
        <is>
          <t>Trưởng Nhóm Kho Phân Loại (SOC Lead) Tại Hưng Yên, Bắc Ninh, Hà Nội</t>
        </is>
      </c>
      <c r="D16515" t="inlineStr">
        <is>
          <t>Công ty TNHH Shopee</t>
        </is>
      </c>
      <c r="E16515" t="inlineStr">
        <is>
          <t>Lương:Cạnh tranh</t>
        </is>
      </c>
      <c r="F16515" t="inlineStr">
        <is>
          <t>Hà NộiBắc NinhHưng Yên</t>
        </is>
      </c>
      <c r="G16515" t="inlineStr">
        <is>
          <t>30-04-2026</t>
        </is>
      </c>
      <c r="H16515" t="inlineStr">
        <is>
          <t>30/04/2026</t>
        </is>
      </c>
      <c r="I16515" t="inlineStr">
        <is>
          <t>17/03/2026</t>
        </is>
      </c>
      <c r="J16515" t="inlineStr">
        <is>
          <t>Vận chuyển / Giao nhận / Kho vận</t>
        </is>
      </c>
      <c r="K16515" t="inlineStr">
        <is>
          <t>Trên 3 Năm</t>
        </is>
      </c>
      <c r="L16515" s="8">
        <f>HYPERLINK("https://careerviet.vn/vi/tim-viec-lam/truong-nhom-kho-phan-loai-soc-lead-tai-hung-yen-bac-ninh-ha-noi.35C68F04.html","Xem chi tiết")</f>
        <v/>
      </c>
    </row>
    <row r="16516">
      <c r="B16516" s="9" t="n">
        <v>16514</v>
      </c>
      <c r="C16516" s="10" t="inlineStr">
        <is>
          <t>Materials Supervisor - Customer Service/ (Nhơn Trạch - Có xe đưa rước từ Sài Gòn và Biên Hòa)</t>
        </is>
      </c>
      <c r="D16516" s="10" t="inlineStr">
        <is>
          <t>Summit Polymers Vietnam Co Ltd.</t>
        </is>
      </c>
      <c r="E16516" s="10" t="inlineStr">
        <is>
          <t>Lương:Cạnh tranh</t>
        </is>
      </c>
      <c r="F16516" s="10" t="inlineStr">
        <is>
          <t>Đồng Nai</t>
        </is>
      </c>
      <c r="G16516" s="10" t="inlineStr">
        <is>
          <t>08-03-2026</t>
        </is>
      </c>
      <c r="H16516" s="10" t="inlineStr">
        <is>
          <t>14/03/2026</t>
        </is>
      </c>
      <c r="I16516" s="10" t="inlineStr">
        <is>
          <t>17/03/2026</t>
        </is>
      </c>
      <c r="J16516" s="10" t="inlineStr">
        <is>
          <t>Vận chuyển / Giao nhận / Kho vận, Sản xuất / Vận hành sản xuất, Cơ khí / Ô tô / Tự động hóa</t>
        </is>
      </c>
      <c r="K16516" s="10" t="inlineStr">
        <is>
          <t>2 - 5 Năm</t>
        </is>
      </c>
      <c r="L16516" s="11">
        <f>HYPERLINK("https://careerviet.vn/vi/tim-viec-lam/materials-supervisor-customer-service-nhon-trach-co-xe-dua-ruoc-tu-sai-gon-va-bien-hoa.35C68D5F.html","Xem chi tiết")</f>
        <v/>
      </c>
      <c r="M16516" s="10" t="n"/>
    </row>
    <row r="16517">
      <c r="B16517" s="7" t="n">
        <v>16515</v>
      </c>
      <c r="C16517" t="inlineStr">
        <is>
          <t>Kiến trúc sư</t>
        </is>
      </c>
      <c r="D16517" t="inlineStr">
        <is>
          <t>Công Ty Cổ Phần A25 Hotel</t>
        </is>
      </c>
      <c r="E16517" t="inlineStr">
        <is>
          <t>Lương:20 Tr - 30 Tr VND</t>
        </is>
      </c>
      <c r="F16517" t="inlineStr">
        <is>
          <t>Hà Nội</t>
        </is>
      </c>
      <c r="G16517" t="inlineStr">
        <is>
          <t>31-03-2026</t>
        </is>
      </c>
      <c r="H16517" t="inlineStr">
        <is>
          <t>31/03/2026</t>
        </is>
      </c>
      <c r="I16517" t="inlineStr">
        <is>
          <t>17/03/2026</t>
        </is>
      </c>
      <c r="J16517" t="inlineStr">
        <is>
          <t>Kiến trúc, Xây dựng, Nội ngoại thất</t>
        </is>
      </c>
      <c r="K16517" t="inlineStr">
        <is>
          <t>2 - 3 Năm</t>
        </is>
      </c>
      <c r="L16517" s="8">
        <f>HYPERLINK("https://careerviet.vn/vi/tim-viec-lam/kien-truc-su.35C68F52.html","Xem chi tiết")</f>
        <v/>
      </c>
    </row>
    <row r="16518">
      <c r="B16518" s="9" t="n">
        <v>16516</v>
      </c>
      <c r="C16518" s="10" t="inlineStr">
        <is>
          <t>Capital Expenditure Cost-to-Build Engineer (QUẢN LÝ CHI PHÍ, MUA HÀNG CỦA BỘ PHẬN)</t>
        </is>
      </c>
      <c r="D16518" s="10" t="inlineStr">
        <is>
          <t>Công ty TNHH Sài Gòn Stec</t>
        </is>
      </c>
      <c r="E16518" s="10" t="inlineStr">
        <is>
          <t>Lương:15 Tr - 20 Tr VND</t>
        </is>
      </c>
      <c r="F16518" s="10" t="inlineStr">
        <is>
          <t>Bình Dương</t>
        </is>
      </c>
      <c r="G16518" s="10" t="inlineStr">
        <is>
          <t>6</t>
        </is>
      </c>
      <c r="H16518" s="10" t="inlineStr">
        <is>
          <t>23/03/2026</t>
        </is>
      </c>
      <c r="I16518" s="10" t="inlineStr">
        <is>
          <t>17/03/2026</t>
        </is>
      </c>
      <c r="J16518" s="10" t="inlineStr">
        <is>
          <t>Thu mua / Vật tư, Điện / Điện tử / Điện lạnh / Điện công nghiệp</t>
        </is>
      </c>
      <c r="K16518" s="10" t="inlineStr">
        <is>
          <t>N/A</t>
        </is>
      </c>
      <c r="L16518" s="11">
        <f>HYPERLINK("https://careerviet.vn/vi/tim-viec-lam/capital-expenditure-cost-to-build-engineer-quan-ly-chi-phi-mua-hang-cua-bo-phan.35C68CF2.html","Xem chi tiết")</f>
        <v/>
      </c>
      <c r="M16518" s="10" t="n"/>
    </row>
    <row r="16519">
      <c r="B16519" s="7" t="n">
        <v>16517</v>
      </c>
      <c r="C16519" t="inlineStr">
        <is>
          <t>CHUYÊN VIÊN PHÁT TRIỂN MẶT BẰNG -  MẢNG F&amp;B</t>
        </is>
      </c>
      <c r="D16519" t="inlineStr">
        <is>
          <t>Cà Phê Muối Chú Long</t>
        </is>
      </c>
      <c r="E16519" t="inlineStr">
        <is>
          <t>Lương:Cạnh tranh</t>
        </is>
      </c>
      <c r="F16519" t="inlineStr">
        <is>
          <t>Hồ Chí Minh</t>
        </is>
      </c>
      <c r="G16519" t="inlineStr">
        <is>
          <t>6</t>
        </is>
      </c>
      <c r="H16519" t="inlineStr">
        <is>
          <t>23/03/2026</t>
        </is>
      </c>
      <c r="I16519" t="inlineStr">
        <is>
          <t>17/03/2026</t>
        </is>
      </c>
      <c r="J16519" t="inlineStr">
        <is>
          <t>Kiến trúc, Bất động sản</t>
        </is>
      </c>
      <c r="K16519" t="inlineStr">
        <is>
          <t>Trên 2 Năm</t>
        </is>
      </c>
      <c r="L16519" s="8">
        <f>HYPERLINK("https://careerviet.vn/vi/tim-viec-lam/chuyen-vien-phat-trien-mat-bang-mang-f-b.35C68CE9.html","Xem chi tiết")</f>
        <v/>
      </c>
    </row>
    <row r="16520">
      <c r="B16520" s="9" t="n">
        <v>16518</v>
      </c>
      <c r="C16520" s="10" t="inlineStr">
        <is>
          <t>Trưởng nhóm Kế Toán Thuế</t>
        </is>
      </c>
      <c r="D16520" s="10" t="inlineStr">
        <is>
          <t>Công ty TNHH X.E Việt Nam</t>
        </is>
      </c>
      <c r="E16520" s="10" t="inlineStr">
        <is>
          <t>Lương:18 Tr - 20 Tr VND</t>
        </is>
      </c>
      <c r="F16520" s="10" t="inlineStr">
        <is>
          <t>Hà Nội</t>
        </is>
      </c>
      <c r="G16520" s="10" t="inlineStr">
        <is>
          <t>6</t>
        </is>
      </c>
      <c r="H16520" s="10" t="inlineStr">
        <is>
          <t>23/03/2026</t>
        </is>
      </c>
      <c r="I16520" s="10" t="inlineStr">
        <is>
          <t>17/03/2026</t>
        </is>
      </c>
      <c r="J16520" s="10" t="inlineStr">
        <is>
          <t>Kế toán / Kiểm toán</t>
        </is>
      </c>
      <c r="K16520" s="10" t="inlineStr">
        <is>
          <t>3 - 5 Năm</t>
        </is>
      </c>
      <c r="L16520" s="11">
        <f>HYPERLINK("https://careerviet.vn/vi/tim-viec-lam/truong-nhom-ke-toan-thue.35C68CB3.html","Xem chi tiết")</f>
        <v/>
      </c>
      <c r="M16520" s="10" t="n"/>
    </row>
    <row r="16521">
      <c r="B16521" s="7" t="n">
        <v>16519</v>
      </c>
      <c r="C16521" t="inlineStr">
        <is>
          <t>Kiến trúc sư</t>
        </is>
      </c>
      <c r="D16521" t="inlineStr">
        <is>
          <t>Công ty Cổ phần công nghệ và đầu tư INTECH</t>
        </is>
      </c>
      <c r="E16521" t="inlineStr">
        <is>
          <t>Lương:15 Tr - 25 Tr VND</t>
        </is>
      </c>
      <c r="F16521" t="inlineStr">
        <is>
          <t>Hà NộiHồ Chí Minh</t>
        </is>
      </c>
      <c r="G16521" t="inlineStr">
        <is>
          <t>31-03-2026</t>
        </is>
      </c>
      <c r="H16521" t="inlineStr">
        <is>
          <t>31/03/2026</t>
        </is>
      </c>
      <c r="I16521" t="inlineStr">
        <is>
          <t>17/03/2026</t>
        </is>
      </c>
      <c r="J16521" t="inlineStr">
        <is>
          <t>Xây dựng, Kiến trúc</t>
        </is>
      </c>
      <c r="K16521" t="inlineStr">
        <is>
          <t>2 - 3 Năm</t>
        </is>
      </c>
      <c r="L16521" s="8">
        <f>HYPERLINK("https://careerviet.vn/vi/tim-viec-lam/kien-truc-su.35C68DAC.html","Xem chi tiết")</f>
        <v/>
      </c>
    </row>
    <row r="16522">
      <c r="B16522" s="9" t="n">
        <v>16520</v>
      </c>
      <c r="C16522" s="10" t="inlineStr">
        <is>
          <t>[Bà Rịa] Tuyển Nhân Viên Bán Hàng - Chuỗi Cửa Hàng Bán Lẻ Thiết Bị Sức Khỏe</t>
        </is>
      </c>
      <c r="D16522" s="10" t="inlineStr">
        <is>
          <t>Công Ty TNHH XNK Phát Triển Đông Dương</t>
        </is>
      </c>
      <c r="E16522" s="10" t="inlineStr">
        <is>
          <t>Lương:12 Tr - 20 Tr VND</t>
        </is>
      </c>
      <c r="F16522" s="10" t="inlineStr">
        <is>
          <t>Bà Rịa - Vũng Tàu</t>
        </is>
      </c>
      <c r="G16522" s="10" t="inlineStr">
        <is>
          <t>31-03-2026</t>
        </is>
      </c>
      <c r="H16522" s="10" t="inlineStr">
        <is>
          <t>31/03/2026</t>
        </is>
      </c>
      <c r="I16522" s="10" t="inlineStr">
        <is>
          <t>17/03/2026</t>
        </is>
      </c>
      <c r="J16522" s="10" t="inlineStr">
        <is>
          <t>Bán lẻ / Bán sỉ, Bán hàng / Kinh doanh, Tư vấn</t>
        </is>
      </c>
      <c r="K16522" s="10" t="inlineStr">
        <is>
          <t>N/A</t>
        </is>
      </c>
      <c r="L16522" s="11">
        <f>HYPERLINK("https://careerviet.vn/vi/tim-viec-lam/ba-ria-tuyen-nhan-vien-ban-hang-chuoi-cua-hang-ban-le-thiet-bi-suc-khoe.35C68E32.html","Xem chi tiết")</f>
        <v/>
      </c>
      <c r="M16522" s="10" t="n"/>
    </row>
    <row r="16523">
      <c r="B16523" s="7" t="n">
        <v>16521</v>
      </c>
      <c r="C16523" t="inlineStr">
        <is>
          <t>Kiến Trúc Sư</t>
        </is>
      </c>
      <c r="D16523" t="inlineStr">
        <is>
          <t>Công Ty Cổ Phần NICON</t>
        </is>
      </c>
      <c r="E16523" t="inlineStr">
        <is>
          <t>Lương:Cạnh tranh</t>
        </is>
      </c>
      <c r="F16523" t="inlineStr">
        <is>
          <t>Hồ Chí Minh</t>
        </is>
      </c>
      <c r="G16523" t="inlineStr">
        <is>
          <t>6</t>
        </is>
      </c>
      <c r="H16523" t="inlineStr">
        <is>
          <t>23/03/2026</t>
        </is>
      </c>
      <c r="I16523" t="inlineStr">
        <is>
          <t>17/03/2026</t>
        </is>
      </c>
      <c r="J16523" t="inlineStr">
        <is>
          <t>Kiến trúc</t>
        </is>
      </c>
      <c r="K16523" t="inlineStr">
        <is>
          <t>1 - 2 Năm</t>
        </is>
      </c>
      <c r="L16523" s="8">
        <f>HYPERLINK("https://careerviet.vn/vi/tim-viec-lam/kien-truc-su.35C68DCD.html","Xem chi tiết")</f>
        <v/>
      </c>
    </row>
    <row r="16524">
      <c r="B16524" s="9" t="n">
        <v>16522</v>
      </c>
      <c r="C16524" s="10" t="inlineStr">
        <is>
          <t>Nhân viên Thiết kế Nội thất | Interior Designer</t>
        </is>
      </c>
      <c r="D16524" s="10" t="inlineStr">
        <is>
          <t>Công Ty TNHH Fursys VN</t>
        </is>
      </c>
      <c r="E16524" s="10" t="inlineStr">
        <is>
          <t>Lương:Cạnh tranh</t>
        </is>
      </c>
      <c r="F16524" s="10" t="inlineStr">
        <is>
          <t>Hồ Chí Minh</t>
        </is>
      </c>
      <c r="G16524" s="10" t="inlineStr">
        <is>
          <t>08-03-2026</t>
        </is>
      </c>
      <c r="H16524" s="10" t="inlineStr">
        <is>
          <t>25/02/2026</t>
        </is>
      </c>
      <c r="I16524" s="10" t="inlineStr">
        <is>
          <t>17/03/2026</t>
        </is>
      </c>
      <c r="J16524" s="10" t="inlineStr">
        <is>
          <t>Mỹ thuật / Nghệ thuật / Thiết kế, Kiến trúc, Nội ngoại thất</t>
        </is>
      </c>
      <c r="K16524" s="10" t="inlineStr">
        <is>
          <t>Lên đến 2 Năm</t>
        </is>
      </c>
      <c r="L16524" s="11">
        <f>HYPERLINK("https://careerviet.vn/vi/tim-viec-lam/nhan-vien-thiet-ke-noi-that-interior-designer.35C68DB4.html","Xem chi tiết")</f>
        <v/>
      </c>
      <c r="M16524" s="10" t="n"/>
    </row>
    <row r="16525">
      <c r="B16525" s="7" t="n">
        <v>16523</v>
      </c>
      <c r="C16525" t="inlineStr">
        <is>
          <t>Thủ Dầu Một - Nhân viên kinh doanh bán hàng trực tiếp (tuyến xe máy)</t>
        </is>
      </c>
      <c r="D16525" t="inlineStr">
        <is>
          <t>Cty TNHH Yakult Việt Nam</t>
        </is>
      </c>
      <c r="E16525" t="inlineStr">
        <is>
          <t>Lương:10 Tr - 14 Tr VND</t>
        </is>
      </c>
      <c r="F16525" t="inlineStr">
        <is>
          <t>Bình Dương</t>
        </is>
      </c>
      <c r="G16525" t="inlineStr">
        <is>
          <t>6</t>
        </is>
      </c>
      <c r="H16525" t="inlineStr">
        <is>
          <t>23/03/2026</t>
        </is>
      </c>
      <c r="I16525" t="inlineStr">
        <is>
          <t>17/03/2026</t>
        </is>
      </c>
      <c r="J16525" t="inlineStr">
        <is>
          <t>Bán hàng / Kinh doanh, Tiếp thị / Marketing, Lao động phổ thông</t>
        </is>
      </c>
      <c r="K16525" t="inlineStr">
        <is>
          <t>Chưa có kinh nghiệm</t>
        </is>
      </c>
      <c r="L16525" s="8">
        <f>HYPERLINK("https://careerviet.vn/vi/tim-viec-lam/thu-dau-mot-nhan-vien-kinh-doanh-ban-hang-truc-tiep-tuyen-xe-may.35C6577F.html","Xem chi tiết")</f>
        <v/>
      </c>
    </row>
    <row r="16526">
      <c r="B16526" s="9" t="n">
        <v>16524</v>
      </c>
      <c r="C16526" s="10" t="inlineStr">
        <is>
          <t>Nhân viên kinh doanh Nghệ An</t>
        </is>
      </c>
      <c r="D16526" s="10" t="inlineStr">
        <is>
          <t>Công ty TNHH Thực Phẩm Sạch Thương Mại T&amp;P</t>
        </is>
      </c>
      <c r="E16526" s="10" t="inlineStr">
        <is>
          <t>Lương:10 Tr - 15 Tr VND</t>
        </is>
      </c>
      <c r="F16526" s="10" t="inlineStr">
        <is>
          <t>Nghệ An</t>
        </is>
      </c>
      <c r="G16526" s="10" t="inlineStr">
        <is>
          <t>31-03-2026</t>
        </is>
      </c>
      <c r="H16526" s="10" t="inlineStr">
        <is>
          <t>31/03/2026</t>
        </is>
      </c>
      <c r="I16526" s="10" t="inlineStr">
        <is>
          <t>17/03/2026</t>
        </is>
      </c>
      <c r="J16526" s="10" t="inlineStr">
        <is>
          <t>Bán hàng / Kinh doanh</t>
        </is>
      </c>
      <c r="K16526" s="10" t="inlineStr">
        <is>
          <t>N/A</t>
        </is>
      </c>
      <c r="L16526" s="11">
        <f>HYPERLINK("https://careerviet.vn/vi/tim-viec-lam/nhan-vien-kinh-doanh-nghe-an.35C68E0F.html","Xem chi tiết")</f>
        <v/>
      </c>
      <c r="M16526" s="10" t="n"/>
    </row>
    <row r="16527">
      <c r="B16527" s="7" t="n">
        <v>16525</v>
      </c>
      <c r="C16527" t="inlineStr">
        <is>
          <t>Kế Toán Công nợ phải trả  (Payable Accountant)</t>
        </is>
      </c>
      <c r="D16527" t="inlineStr">
        <is>
          <t>DIAG</t>
        </is>
      </c>
      <c r="E16527" t="inlineStr">
        <is>
          <t>Lương:14 Tr - 15 Tr VND</t>
        </is>
      </c>
      <c r="F16527" t="inlineStr">
        <is>
          <t>Hồ Chí Minh</t>
        </is>
      </c>
      <c r="G16527" t="inlineStr">
        <is>
          <t>31-03-2026</t>
        </is>
      </c>
      <c r="H16527" t="inlineStr">
        <is>
          <t>31/03/2026</t>
        </is>
      </c>
      <c r="I16527" t="inlineStr">
        <is>
          <t>17/03/2026</t>
        </is>
      </c>
      <c r="J16527" t="inlineStr">
        <is>
          <t>Bán lẻ / Bán sỉ, Kế toán / Kiểm toán, Tài chính / Đầu tư</t>
        </is>
      </c>
      <c r="K16527" t="inlineStr">
        <is>
          <t>2 - 3 Năm</t>
        </is>
      </c>
      <c r="L16527" s="8">
        <f>HYPERLINK("https://careerviet.vn/vi/tim-viec-lam/ke-toan-cong-no-phai-tra-payable-accountant.35C68C9C.html","Xem chi tiết")</f>
        <v/>
      </c>
    </row>
    <row r="16528">
      <c r="B16528" s="9" t="n">
        <v>16526</v>
      </c>
      <c r="C16528" s="10" t="inlineStr">
        <is>
          <t>Nhân Viên Admin</t>
        </is>
      </c>
      <c r="D16528" s="10" t="inlineStr">
        <is>
          <t>Công ty TNHH Thực Phẩm Sạch Thương Mại T&amp;P</t>
        </is>
      </c>
      <c r="E16528" s="10" t="inlineStr">
        <is>
          <t>Lương:8 Tr - 10 Tr VND</t>
        </is>
      </c>
      <c r="F16528" s="10" t="inlineStr">
        <is>
          <t>Hồ Chí Minh</t>
        </is>
      </c>
      <c r="G16528" s="10" t="inlineStr">
        <is>
          <t>31-03-2026</t>
        </is>
      </c>
      <c r="H16528" s="10" t="inlineStr">
        <is>
          <t>31/03/2026</t>
        </is>
      </c>
      <c r="I16528" s="10" t="inlineStr">
        <is>
          <t>17/03/2026</t>
        </is>
      </c>
      <c r="J16528" s="10" t="inlineStr">
        <is>
          <t>Bán hàng / Kinh doanh, Hành chính / Thư ký, Kế toán / Kiểm toán</t>
        </is>
      </c>
      <c r="K16528" s="10" t="inlineStr">
        <is>
          <t>Lên đến 1 Năm</t>
        </is>
      </c>
      <c r="L16528" s="11">
        <f>HYPERLINK("https://careerviet.vn/vi/tim-viec-lam/nhan-vien-admin.35C68DF4.html","Xem chi tiết")</f>
        <v/>
      </c>
      <c r="M16528" s="10" t="n"/>
    </row>
    <row r="16529">
      <c r="B16529" s="7" t="n">
        <v>16527</v>
      </c>
      <c r="C16529" t="inlineStr">
        <is>
          <t>Nhân viên kho hàng</t>
        </is>
      </c>
      <c r="D16529" t="inlineStr">
        <is>
          <t>Công ty cổ phần Nafoods Group</t>
        </is>
      </c>
      <c r="E16529" t="inlineStr">
        <is>
          <t>Lương:Cạnh tranh</t>
        </is>
      </c>
      <c r="F16529" t="inlineStr">
        <is>
          <t>Hồ Chí Minh</t>
        </is>
      </c>
      <c r="G16529" t="inlineStr">
        <is>
          <t>31-03-2026</t>
        </is>
      </c>
      <c r="H16529" t="inlineStr">
        <is>
          <t>31/03/2026</t>
        </is>
      </c>
      <c r="I16529" t="inlineStr">
        <is>
          <t>17/03/2026</t>
        </is>
      </c>
      <c r="J16529" t="inlineStr">
        <is>
          <t>Vận chuyển / Giao nhận / Kho vận, Lao động phổ thông</t>
        </is>
      </c>
      <c r="K16529" t="inlineStr">
        <is>
          <t>1 - 2 Năm</t>
        </is>
      </c>
      <c r="L16529" s="8">
        <f>HYPERLINK("https://careerviet.vn/vi/tim-viec-lam/nhan-vien-kho-hang.35C68EA4.html","Xem chi tiết")</f>
        <v/>
      </c>
    </row>
    <row r="16530">
      <c r="B16530" s="9" t="n">
        <v>16528</v>
      </c>
      <c r="C16530" s="10" t="inlineStr">
        <is>
          <t>IT NETWORK SENIOR SUPERVISOR (INFRASTRUCTURE)</t>
        </is>
      </c>
      <c r="D16530" s="10" t="inlineStr">
        <is>
          <t>CÔNG TY TNHH CRYSTAL ELEGANCE TEXTILES VIỆT NAM</t>
        </is>
      </c>
      <c r="E16530" s="10" t="inlineStr">
        <is>
          <t>Lương:Cạnh tranh</t>
        </is>
      </c>
      <c r="F16530" s="10" t="inlineStr">
        <is>
          <t>Bình Dương</t>
        </is>
      </c>
      <c r="G16530" s="10" t="inlineStr">
        <is>
          <t>25-03-2026</t>
        </is>
      </c>
      <c r="H16530" s="10" t="inlineStr">
        <is>
          <t>25/03/2026</t>
        </is>
      </c>
      <c r="I16530" s="10" t="inlineStr">
        <is>
          <t>17/03/2026</t>
        </is>
      </c>
      <c r="J16530" s="10" t="inlineStr">
        <is>
          <t>CNTT - Phần cứng / Mạng, Sản xuất / Vận hành sản xuất, CNTT - Phần mềm</t>
        </is>
      </c>
      <c r="K16530" s="10" t="inlineStr">
        <is>
          <t>3 - 5 Năm</t>
        </is>
      </c>
      <c r="L16530" s="11">
        <f>HYPERLINK("https://careerviet.vn/vi/tim-viec-lam/it-network-senior-supervisor-infrastructure.35C68EF5.html","Xem chi tiết")</f>
        <v/>
      </c>
      <c r="M16530" s="10" t="n"/>
    </row>
    <row r="16531">
      <c r="B16531" s="7" t="n">
        <v>16529</v>
      </c>
      <c r="C16531" t="inlineStr">
        <is>
          <t>Kỹ thuật MI</t>
        </is>
      </c>
      <c r="D16531" t="inlineStr">
        <is>
          <t>CÔNG TY TNHH QISDA VIỆT NAM</t>
        </is>
      </c>
      <c r="E16531" t="inlineStr">
        <is>
          <t>Lương:Cạnh tranh</t>
        </is>
      </c>
      <c r="F16531" t="inlineStr">
        <is>
          <t>Hà Nam</t>
        </is>
      </c>
      <c r="G16531" t="inlineStr">
        <is>
          <t>25-03-2026</t>
        </is>
      </c>
      <c r="H16531" t="inlineStr">
        <is>
          <t>25/03/2026</t>
        </is>
      </c>
      <c r="I16531" t="inlineStr">
        <is>
          <t>17/03/2026</t>
        </is>
      </c>
      <c r="J16531" t="inlineStr">
        <is>
          <t>Điện / Điện tử / Điện lạnh / Điện công nghiệp</t>
        </is>
      </c>
      <c r="K16531" t="inlineStr">
        <is>
          <t>null - null Năm</t>
        </is>
      </c>
      <c r="L16531" s="8">
        <f>HYPERLINK("https://careerviet.vn/vi/tim-viec-lam/ky-thuat-mi.35C68EED.html","Xem chi tiết")</f>
        <v/>
      </c>
    </row>
    <row r="16532">
      <c r="B16532" s="9" t="n">
        <v>16530</v>
      </c>
      <c r="C16532" s="10" t="inlineStr">
        <is>
          <t>Nhân viên kỹ thuật</t>
        </is>
      </c>
      <c r="D16532" s="10" t="inlineStr">
        <is>
          <t>CÔNG TY TNHH AMERICA INDOCHINA MANAGEMENT VIETNAM</t>
        </is>
      </c>
      <c r="E16532" s="10" t="inlineStr">
        <is>
          <t>Lương:Cạnh tranh</t>
        </is>
      </c>
      <c r="F16532" s="10" t="inlineStr">
        <is>
          <t>Đà Nẵng</t>
        </is>
      </c>
      <c r="G16532" s="10" t="inlineStr">
        <is>
          <t>28-03-2026</t>
        </is>
      </c>
      <c r="H16532" s="10" t="inlineStr">
        <is>
          <t>28/03/2026</t>
        </is>
      </c>
      <c r="I16532" s="10" t="inlineStr">
        <is>
          <t>17/03/2026</t>
        </is>
      </c>
      <c r="J16532" s="10" t="inlineStr">
        <is>
          <t>Điện / Điện tử / Điện lạnh / Điện công nghiệp, Bảo trì / Sửa chữa, Nhà hàng / Khách sạn</t>
        </is>
      </c>
      <c r="K16532" s="10" t="inlineStr">
        <is>
          <t>1 - 2 Năm</t>
        </is>
      </c>
      <c r="L16532" s="11">
        <f>HYPERLINK("https://careerviet.vn/vi/tim-viec-lam/nhan-vien-ky-thuat.35C24F2D.html","Xem chi tiết")</f>
        <v/>
      </c>
      <c r="M16532" s="10" t="n"/>
    </row>
    <row r="16533">
      <c r="B16533" s="7" t="n">
        <v>16531</v>
      </c>
      <c r="C16533" t="inlineStr">
        <is>
          <t>Nhân viên kế toán thanh toán</t>
        </is>
      </c>
      <c r="D16533" t="inlineStr">
        <is>
          <t>Công Ty Cổ Phần A25 Hotel</t>
        </is>
      </c>
      <c r="E16533" t="inlineStr">
        <is>
          <t>Lương:18 Tr - 36 Tr VND</t>
        </is>
      </c>
      <c r="F16533" t="inlineStr">
        <is>
          <t>Hà Nội</t>
        </is>
      </c>
      <c r="G16533" t="inlineStr">
        <is>
          <t>31-03-2026</t>
        </is>
      </c>
      <c r="H16533" t="inlineStr">
        <is>
          <t>31/03/2026</t>
        </is>
      </c>
      <c r="I16533" t="inlineStr">
        <is>
          <t>17/03/2026</t>
        </is>
      </c>
      <c r="J16533" t="inlineStr">
        <is>
          <t>Kế toán / Kiểm toán, Nhà hàng / Khách sạn</t>
        </is>
      </c>
      <c r="K16533" t="inlineStr">
        <is>
          <t>2 - 3 Năm</t>
        </is>
      </c>
      <c r="L16533" s="8">
        <f>HYPERLINK("https://careerviet.vn/vi/tim-viec-lam/nhan-vien-ke-toan-thanh-toan.35C68F3D.html","Xem chi tiết")</f>
        <v/>
      </c>
    </row>
    <row r="16534">
      <c r="B16534" s="9" t="n">
        <v>16532</v>
      </c>
      <c r="C16534" s="10" t="inlineStr">
        <is>
          <t>Kế toán viên</t>
        </is>
      </c>
      <c r="D16534" s="10" t="inlineStr">
        <is>
          <t>Bảo mật</t>
        </is>
      </c>
      <c r="E16534" s="10" t="inlineStr">
        <is>
          <t>Lương:Cạnh tranh</t>
        </is>
      </c>
      <c r="F16534" s="10" t="inlineStr">
        <is>
          <t>Hồ Chí Minh</t>
        </is>
      </c>
      <c r="G16534" s="10" t="inlineStr">
        <is>
          <t>24-03-2026</t>
        </is>
      </c>
      <c r="H16534" s="10" t="inlineStr">
        <is>
          <t>24/03/2026</t>
        </is>
      </c>
      <c r="I16534" s="10" t="inlineStr">
        <is>
          <t>17/03/2026</t>
        </is>
      </c>
      <c r="J16534" s="10" t="inlineStr">
        <is>
          <t>Kế toán / Kiểm toán, Bất động sản, Xây dựng</t>
        </is>
      </c>
      <c r="K16534" s="10" t="inlineStr">
        <is>
          <t>8 - 10 Năm</t>
        </is>
      </c>
      <c r="L16534" s="11">
        <f>HYPERLINK("https://careerviet.vn/vi/tim-viec-lam/ke-toan-vien.35C68F82.html","Xem chi tiết")</f>
        <v/>
      </c>
      <c r="M16534" s="10" t="n"/>
    </row>
    <row r="16535">
      <c r="B16535" s="7" t="n">
        <v>16533</v>
      </c>
      <c r="C16535" t="inlineStr">
        <is>
          <t>LEAN INTERN (SQL/ PLC Skills) - Shuttle Bus HCM and Bien Hoa - Dong Nai</t>
        </is>
      </c>
      <c r="D16535" t="inlineStr">
        <is>
          <t>Summit Polymers Vietnam Co Ltd.</t>
        </is>
      </c>
      <c r="E16535" t="inlineStr">
        <is>
          <t>Lương:Cạnh tranh</t>
        </is>
      </c>
      <c r="F16535" t="inlineStr">
        <is>
          <t>Đồng Nai</t>
        </is>
      </c>
      <c r="G16535" t="inlineStr">
        <is>
          <t>08-03-2026</t>
        </is>
      </c>
      <c r="H16535" t="inlineStr">
        <is>
          <t>14/03/2026</t>
        </is>
      </c>
      <c r="I16535" t="inlineStr">
        <is>
          <t>17/03/2026</t>
        </is>
      </c>
      <c r="J16535" t="inlineStr">
        <is>
          <t>Sản xuất / Vận hành sản xuất, Mới tốt nghiệp / Thực tập, CNTT - Phần cứng / Mạng</t>
        </is>
      </c>
      <c r="K16535" t="inlineStr">
        <is>
          <t>N/A</t>
        </is>
      </c>
      <c r="L16535" s="8">
        <f>HYPERLINK("https://careerviet.vn/vi/tim-viec-lam/lean-intern-sql-plc-skills-shuttle-bus-hcm-and-bien-hoa-dong-nai.35C68CAE.html","Xem chi tiết")</f>
        <v/>
      </c>
    </row>
    <row r="16536">
      <c r="B16536" s="9" t="n">
        <v>16534</v>
      </c>
      <c r="C16536" s="10" t="inlineStr">
        <is>
          <t>Chuyên Viên Chính Sách Quản Trị Tài Chính Nội Bộ</t>
        </is>
      </c>
      <c r="D16536" s="10" t="inlineStr">
        <is>
          <t>Ngân Hàng TMCP Sài Gòn - Hà Nội ( SHB )</t>
        </is>
      </c>
      <c r="E16536" s="10" t="inlineStr">
        <is>
          <t>Lương:Cạnh tranh</t>
        </is>
      </c>
      <c r="F16536" s="10" t="inlineStr">
        <is>
          <t>Hà Nội</t>
        </is>
      </c>
      <c r="G16536" s="10" t="inlineStr">
        <is>
          <t>25-03-2026</t>
        </is>
      </c>
      <c r="H16536" s="10" t="inlineStr">
        <is>
          <t>25/03/2026</t>
        </is>
      </c>
      <c r="I16536" s="10" t="inlineStr">
        <is>
          <t>17/03/2026</t>
        </is>
      </c>
      <c r="J16536" s="10" t="inlineStr">
        <is>
          <t>Kế toán / Kiểm toán, Ngân hàng, Tài chính / Đầu tư</t>
        </is>
      </c>
      <c r="K16536" s="10" t="inlineStr">
        <is>
          <t>null - null Năm</t>
        </is>
      </c>
      <c r="L16536" s="11">
        <f>HYPERLINK("https://careerviet.vn/vi/tim-viec-lam/chuyen-vien-chinh-sach-quan-tri-tai-chinh-noi-bo.35C68E8D.html","Xem chi tiết")</f>
        <v/>
      </c>
      <c r="M16536" s="10" t="n"/>
    </row>
    <row r="16537">
      <c r="B16537" s="7" t="n">
        <v>16535</v>
      </c>
      <c r="C16537" t="inlineStr">
        <is>
          <t>[Biên Hòa] Tuyển Nhân Viên Bán Hàng - Chuỗi Cửa Hàng Bán Lẻ Thiết Bị Sức Khỏe</t>
        </is>
      </c>
      <c r="D16537" t="inlineStr">
        <is>
          <t>Công Ty TNHH XNK Phát Triển Đông Dương</t>
        </is>
      </c>
      <c r="E16537" t="inlineStr">
        <is>
          <t>Lương:12 Tr - 20 Tr VND</t>
        </is>
      </c>
      <c r="F16537" t="inlineStr">
        <is>
          <t>Đồng Nai</t>
        </is>
      </c>
      <c r="G16537" t="inlineStr">
        <is>
          <t>31-03-2026</t>
        </is>
      </c>
      <c r="H16537" t="inlineStr">
        <is>
          <t>31/03/2026</t>
        </is>
      </c>
      <c r="I16537" t="inlineStr">
        <is>
          <t>17/03/2026</t>
        </is>
      </c>
      <c r="J16537" t="inlineStr">
        <is>
          <t>Bán lẻ / Bán sỉ, Bán hàng / Kinh doanh, Tư vấn</t>
        </is>
      </c>
      <c r="K16537" t="inlineStr">
        <is>
          <t>N/A</t>
        </is>
      </c>
      <c r="L16537" s="8">
        <f>HYPERLINK("https://careerviet.vn/vi/tim-viec-lam/bien-hoa-tuyen-nhan-vien-ban-hang-chuoi-cua-hang-ban-le-thiet-bi-suc-khoe.35C68E28.html","Xem chi tiết")</f>
        <v/>
      </c>
    </row>
    <row r="16538">
      <c r="B16538" s="9" t="n">
        <v>16536</v>
      </c>
      <c r="C16538" s="10" t="inlineStr">
        <is>
          <t>Chuyên gia Quản lý tài sản nợ - tài sản có (Ban ALM)</t>
        </is>
      </c>
      <c r="D16538" s="10" t="inlineStr">
        <is>
          <t>Ngân Hàng TMCP Sài Gòn - Hà Nội ( SHB )</t>
        </is>
      </c>
      <c r="E16538" s="10" t="inlineStr">
        <is>
          <t>Lương:Cạnh tranh</t>
        </is>
      </c>
      <c r="F16538" s="10" t="inlineStr">
        <is>
          <t>Hà Nội</t>
        </is>
      </c>
      <c r="G16538" s="10" t="inlineStr">
        <is>
          <t>25-03-2026</t>
        </is>
      </c>
      <c r="H16538" s="10" t="inlineStr">
        <is>
          <t>25/03/2026</t>
        </is>
      </c>
      <c r="I16538" s="10" t="inlineStr">
        <is>
          <t>17/03/2026</t>
        </is>
      </c>
      <c r="J16538" s="10" t="inlineStr">
        <is>
          <t>Ngân hàng</t>
        </is>
      </c>
      <c r="K16538" s="10" t="inlineStr">
        <is>
          <t>null - null Năm</t>
        </is>
      </c>
      <c r="L16538" s="11">
        <f>HYPERLINK("https://careerviet.vn/vi/tim-viec-lam/chuyen-gia-quan-ly-tai-san-no-tai-san-co-ban-alm.35C68E83.html","Xem chi tiết")</f>
        <v/>
      </c>
      <c r="M16538" s="10" t="n"/>
    </row>
    <row r="16539">
      <c r="B16539" s="7" t="n">
        <v>16537</v>
      </c>
      <c r="C16539" t="inlineStr">
        <is>
          <t>KỸ SƯ ĐIỆN TỬ</t>
        </is>
      </c>
      <c r="D16539" t="inlineStr">
        <is>
          <t>DAEYOUNG ELECTRONICS VINA</t>
        </is>
      </c>
      <c r="E16539" t="inlineStr">
        <is>
          <t>Lương:Cạnh tranh</t>
        </is>
      </c>
      <c r="F16539" t="inlineStr">
        <is>
          <t>Hồ Chí Minh</t>
        </is>
      </c>
      <c r="G16539" t="inlineStr">
        <is>
          <t>08-03-2026</t>
        </is>
      </c>
      <c r="H16539" t="inlineStr">
        <is>
          <t>28/02/2026</t>
        </is>
      </c>
      <c r="I16539" t="inlineStr">
        <is>
          <t>17/03/2026</t>
        </is>
      </c>
      <c r="J16539" t="inlineStr">
        <is>
          <t>Điện / Điện tử / Điện lạnh / Điện công nghiệp, Cơ khí / Ô tô / Tự động hóa, Sản xuất / Vận hành sản xuất</t>
        </is>
      </c>
      <c r="K16539" t="inlineStr">
        <is>
          <t>N/A</t>
        </is>
      </c>
      <c r="L16539" s="8">
        <f>HYPERLINK("https://careerviet.vn/vi/tim-viec-lam/ky-su-dien-tu.35C68CCA.html","Xem chi tiết")</f>
        <v/>
      </c>
    </row>
    <row r="16540">
      <c r="B16540" s="9" t="n">
        <v>16538</v>
      </c>
      <c r="C16540" s="10" t="inlineStr">
        <is>
          <t>Kỹ thuật viên phòng nghiên cứu và phát triển (R&amp;D)</t>
        </is>
      </c>
      <c r="D16540" s="10" t="inlineStr">
        <is>
          <t>CÔNG TY TNHH THƯƠNG MẠI DỊCH VỤ DƯỢC PHẨM BÌNH PHÚ</t>
        </is>
      </c>
      <c r="E16540" s="10" t="inlineStr">
        <is>
          <t>Lương:Cạnh tranh</t>
        </is>
      </c>
      <c r="F16540" s="10" t="inlineStr">
        <is>
          <t>Bình Phước</t>
        </is>
      </c>
      <c r="G16540" s="10" t="inlineStr">
        <is>
          <t>31-03-2026</t>
        </is>
      </c>
      <c r="H16540" s="10" t="inlineStr">
        <is>
          <t>31/03/2026</t>
        </is>
      </c>
      <c r="I16540" s="10" t="inlineStr">
        <is>
          <t>17/03/2026</t>
        </is>
      </c>
      <c r="J16540" s="10" t="inlineStr">
        <is>
          <t>Dược phẩm/ Hóa Mỹ Phẩm, Y tế / Chăm sóc sức khỏe / Thẩm mỹ / Làm đẹp</t>
        </is>
      </c>
      <c r="K16540" s="10" t="inlineStr">
        <is>
          <t>Lên đến 1 Năm</t>
        </is>
      </c>
      <c r="L16540" s="11">
        <f>HYPERLINK("https://careerviet.vn/vi/tim-viec-lam/ky-thuat-vien-phong-nghien-cuu-va-phat-trien-r-d.35C68E36.html","Xem chi tiết")</f>
        <v/>
      </c>
      <c r="M16540" s="10" t="n"/>
    </row>
    <row r="16541">
      <c r="B16541" s="7" t="n">
        <v>16539</v>
      </c>
      <c r="C16541" t="inlineStr">
        <is>
          <t>Nhân viên hành chính</t>
        </is>
      </c>
      <c r="D16541" t="inlineStr">
        <is>
          <t>CÔNG TY CỔ PHẦN KẾT CẤU THÉP OMEGA VIỆT NAM</t>
        </is>
      </c>
      <c r="E16541" t="inlineStr">
        <is>
          <t>Lương:Cạnh tranh</t>
        </is>
      </c>
      <c r="F16541" t="inlineStr">
        <is>
          <t>Hưng Yên</t>
        </is>
      </c>
      <c r="G16541" t="inlineStr">
        <is>
          <t>31-03-2026</t>
        </is>
      </c>
      <c r="H16541" t="inlineStr">
        <is>
          <t>31/03/2026</t>
        </is>
      </c>
      <c r="I16541" t="inlineStr">
        <is>
          <t>17/03/2026</t>
        </is>
      </c>
      <c r="J16541" t="inlineStr">
        <is>
          <t>Hành chính / Thư ký, Nhân sự</t>
        </is>
      </c>
      <c r="K16541" t="inlineStr">
        <is>
          <t>Trên 1 Năm</t>
        </is>
      </c>
      <c r="L16541" s="8">
        <f>HYPERLINK("https://careerviet.vn/vi/tim-viec-lam/nhan-vien-hanh-chinh.35C68EDF.html","Xem chi tiết")</f>
        <v/>
      </c>
    </row>
    <row r="16542">
      <c r="B16542" s="9" t="n">
        <v>16540</v>
      </c>
      <c r="C16542" s="10" t="inlineStr">
        <is>
          <t>Kế toán công nợ</t>
        </is>
      </c>
      <c r="D16542" s="10" t="inlineStr">
        <is>
          <t>Công Ty Cổ Phần A25 Hotel</t>
        </is>
      </c>
      <c r="E16542" s="10" t="inlineStr">
        <is>
          <t>Lương:18 Tr - 36 Tr VND</t>
        </is>
      </c>
      <c r="F16542" s="10" t="inlineStr">
        <is>
          <t>Hà Nội</t>
        </is>
      </c>
      <c r="G16542" s="10" t="inlineStr">
        <is>
          <t>08-03-2026</t>
        </is>
      </c>
      <c r="H16542" s="10" t="inlineStr">
        <is>
          <t>10/03/2026</t>
        </is>
      </c>
      <c r="I16542" s="10" t="inlineStr">
        <is>
          <t>17/03/2026</t>
        </is>
      </c>
      <c r="J16542" s="10" t="inlineStr">
        <is>
          <t>Kế toán / Kiểm toán, Nhà hàng / Khách sạn</t>
        </is>
      </c>
      <c r="K16542" s="10" t="inlineStr">
        <is>
          <t>2 - 3 Năm</t>
        </is>
      </c>
      <c r="L16542" s="11">
        <f>HYPERLINK("https://careerviet.vn/vi/tim-viec-lam/ke-toan-cong-no.35C68F39.html","Xem chi tiết")</f>
        <v/>
      </c>
      <c r="M16542" s="10" t="n"/>
    </row>
    <row r="16543">
      <c r="B16543" s="7" t="n">
        <v>16541</v>
      </c>
      <c r="C16543" t="inlineStr">
        <is>
          <t>Nhân viên kỹ thuật IT phần cứng</t>
        </is>
      </c>
      <c r="D16543" t="inlineStr">
        <is>
          <t>Công Ty Cổ Phần A25 Hotel</t>
        </is>
      </c>
      <c r="E16543" t="inlineStr">
        <is>
          <t>Lương:15 Tr - 26 Tr VND</t>
        </is>
      </c>
      <c r="F16543" t="inlineStr">
        <is>
          <t>Hà NộiHồ Chí Minh</t>
        </is>
      </c>
      <c r="G16543" t="inlineStr">
        <is>
          <t>07-04-2026</t>
        </is>
      </c>
      <c r="H16543" t="inlineStr">
        <is>
          <t>07/04/2026</t>
        </is>
      </c>
      <c r="I16543" t="inlineStr">
        <is>
          <t>17/03/2026</t>
        </is>
      </c>
      <c r="J16543" t="inlineStr">
        <is>
          <t>Bảo trì / Sửa chữa, CNTT - Phần cứng / Mạng</t>
        </is>
      </c>
      <c r="K16543" t="inlineStr">
        <is>
          <t>2 - 3 Năm</t>
        </is>
      </c>
      <c r="L16543" s="8">
        <f>HYPERLINK("https://careerviet.vn/vi/tim-viec-lam/nhan-vien-ky-thuat-it-phan-cung.35C68F29.html","Xem chi tiết")</f>
        <v/>
      </c>
    </row>
    <row r="16544">
      <c r="B16544" s="9" t="n">
        <v>16542</v>
      </c>
      <c r="C16544" s="10" t="inlineStr">
        <is>
          <t>[Gò Dầu] Admin kiêm CSKH</t>
        </is>
      </c>
      <c r="D16544" s="10" t="inlineStr">
        <is>
          <t>Công Ty Cổ Phần Vacxin Việt Nam</t>
        </is>
      </c>
      <c r="E16544" s="10" t="inlineStr">
        <is>
          <t>Lương:Cạnh tranh</t>
        </is>
      </c>
      <c r="F16544" s="10" t="inlineStr">
        <is>
          <t>Tây Ninh</t>
        </is>
      </c>
      <c r="G16544" s="10" t="inlineStr">
        <is>
          <t>08-03-2026</t>
        </is>
      </c>
      <c r="H16544" s="10" t="inlineStr">
        <is>
          <t>15/03/2026</t>
        </is>
      </c>
      <c r="I16544" s="10" t="inlineStr">
        <is>
          <t>17/03/2026</t>
        </is>
      </c>
      <c r="J16544" s="10" t="inlineStr">
        <is>
          <t>Dịch vụ khách hàng, Hành chính / Thư ký, Kế toán / Kiểm toán</t>
        </is>
      </c>
      <c r="K16544" s="10" t="inlineStr">
        <is>
          <t>1 - 2 Năm</t>
        </is>
      </c>
      <c r="L16544" s="11">
        <f>HYPERLINK("https://careerviet.vn/vi/tim-viec-lam/go-dau-admin-kiem-cskh.35C68CBA.html","Xem chi tiết")</f>
        <v/>
      </c>
      <c r="M16544" s="10" t="n"/>
    </row>
    <row r="16545">
      <c r="B16545" s="7" t="n">
        <v>16543</v>
      </c>
      <c r="C16545" t="inlineStr">
        <is>
          <t>Nhân viên chăm sóc khách hàng</t>
        </is>
      </c>
      <c r="D16545" t="inlineStr">
        <is>
          <t>Công Ty Cổ Phần A25 Hotel</t>
        </is>
      </c>
      <c r="E16545" t="inlineStr">
        <is>
          <t>Lương:14 Tr - 30 Tr VND</t>
        </is>
      </c>
      <c r="F16545" t="inlineStr">
        <is>
          <t>Hồ Chí MinhHà Nội</t>
        </is>
      </c>
      <c r="G16545" t="inlineStr">
        <is>
          <t>31-03-2026</t>
        </is>
      </c>
      <c r="H16545" t="inlineStr">
        <is>
          <t>31/03/2026</t>
        </is>
      </c>
      <c r="I16545" t="inlineStr">
        <is>
          <t>17/03/2026</t>
        </is>
      </c>
      <c r="J16545" t="inlineStr">
        <is>
          <t>Nhà hàng / Khách sạn, Dịch vụ khách hàng, Bán hàng / Kinh doanh</t>
        </is>
      </c>
      <c r="K16545" t="inlineStr">
        <is>
          <t>1 - 2 Năm</t>
        </is>
      </c>
      <c r="L16545" s="8">
        <f>HYPERLINK("https://careerviet.vn/vi/tim-viec-lam/nhan-vien-cham-soc-khach-hang.35C68F49.html","Xem chi tiết")</f>
        <v/>
      </c>
    </row>
    <row r="16546">
      <c r="B16546" s="9" t="n">
        <v>16544</v>
      </c>
      <c r="C16546" s="10" t="inlineStr">
        <is>
          <t>Lễ Tân Hành Chính</t>
        </is>
      </c>
      <c r="D16546" s="10" t="inlineStr">
        <is>
          <t>CÔNG TY LIÊN DOANH VẬN CHUYỂN QUỐC TẾ HẢI VÂN</t>
        </is>
      </c>
      <c r="E16546" s="10" t="inlineStr">
        <is>
          <t>Lương:9 Tr - 11 Tr VND</t>
        </is>
      </c>
      <c r="F16546" s="10" t="inlineStr">
        <is>
          <t>Hà Nội</t>
        </is>
      </c>
      <c r="G16546" s="10" t="inlineStr">
        <is>
          <t>30-04-2026</t>
        </is>
      </c>
      <c r="H16546" s="10" t="inlineStr">
        <is>
          <t>30/04/2026</t>
        </is>
      </c>
      <c r="I16546" s="10" t="inlineStr">
        <is>
          <t>17/03/2026</t>
        </is>
      </c>
      <c r="J16546" s="10" t="inlineStr">
        <is>
          <t>Tiếp thị / Marketing</t>
        </is>
      </c>
      <c r="K16546" s="10" t="inlineStr">
        <is>
          <t>Chưa có kinh nghiệm</t>
        </is>
      </c>
      <c r="L16546" s="11">
        <f>HYPERLINK("https://careerviet.vn/vi/tim-viec-lam/le-tan-hanh-chinh.35C68EB3.html","Xem chi tiết")</f>
        <v/>
      </c>
      <c r="M16546" s="10" t="n"/>
    </row>
    <row r="16547">
      <c r="B16547" s="7" t="n">
        <v>16545</v>
      </c>
      <c r="C16547" t="inlineStr">
        <is>
          <t>Kiểm soát nội bộ (Nam)</t>
        </is>
      </c>
      <c r="D16547" t="inlineStr">
        <is>
          <t>CÔNG TY CỔ PHẦN TẬP ĐOÀN BA THANH</t>
        </is>
      </c>
      <c r="E16547" t="inlineStr">
        <is>
          <t>Lương:20 Tr - 25 Tr VND</t>
        </is>
      </c>
      <c r="F16547" t="inlineStr">
        <is>
          <t>Hồ Chí Minh</t>
        </is>
      </c>
      <c r="G16547" t="inlineStr">
        <is>
          <t>08-03-2026</t>
        </is>
      </c>
      <c r="H16547" t="inlineStr">
        <is>
          <t>14/03/2026</t>
        </is>
      </c>
      <c r="I16547" t="inlineStr">
        <is>
          <t>17/03/2026</t>
        </is>
      </c>
      <c r="J16547" t="inlineStr">
        <is>
          <t>Kế toán / Kiểm toán, Quản lý chất lượng (QA/QC)</t>
        </is>
      </c>
      <c r="K16547" t="inlineStr">
        <is>
          <t>3 - 5 Năm</t>
        </is>
      </c>
      <c r="L16547" s="8">
        <f>HYPERLINK("https://careerviet.vn/vi/tim-viec-lam/kiem-soat-noi-bo-nam.35C68CCE.html","Xem chi tiết")</f>
        <v/>
      </c>
    </row>
    <row r="16548">
      <c r="B16548" s="9" t="n">
        <v>16546</v>
      </c>
      <c r="C16548" s="10" t="inlineStr">
        <is>
          <t>Thư ký Dự án</t>
        </is>
      </c>
      <c r="D16548" s="10" t="inlineStr">
        <is>
          <t>TỔNG CÔNG TY CỔ PHẦN THƯƠNG MẠI XÂY DỰNG</t>
        </is>
      </c>
      <c r="E16548" s="10" t="inlineStr">
        <is>
          <t>Lương:Cạnh tranh</t>
        </is>
      </c>
      <c r="F16548" s="10" t="inlineStr">
        <is>
          <t>Hà Nội</t>
        </is>
      </c>
      <c r="G16548" s="10" t="inlineStr">
        <is>
          <t>07-04-2026</t>
        </is>
      </c>
      <c r="H16548" s="10" t="inlineStr">
        <is>
          <t>07/04/2026</t>
        </is>
      </c>
      <c r="I16548" s="10" t="inlineStr">
        <is>
          <t>17/03/2026</t>
        </is>
      </c>
      <c r="J16548" s="10" t="inlineStr">
        <is>
          <t>Thư viện, Hành chính / Thư ký, Xây dựng</t>
        </is>
      </c>
      <c r="K16548" s="10" t="inlineStr">
        <is>
          <t>N/A</t>
        </is>
      </c>
      <c r="L16548" s="11">
        <f>HYPERLINK("https://careerviet.vn/vi/tim-viec-lam/thu-ky-du-an.35C64DAA.html","Xem chi tiết")</f>
        <v/>
      </c>
      <c r="M16548" s="10" t="n"/>
    </row>
    <row r="16549">
      <c r="B16549" s="7" t="n">
        <v>16547</v>
      </c>
      <c r="C16549" t="inlineStr">
        <is>
          <t>Chuyên viên PR Marketing</t>
        </is>
      </c>
      <c r="D16549" t="inlineStr">
        <is>
          <t>CÔNG TY CỔ PHẦN ĐẦU TƯ INFINITY GROUP</t>
        </is>
      </c>
      <c r="E16549" t="inlineStr">
        <is>
          <t>Lương:25 Tr - 35 Tr VND</t>
        </is>
      </c>
      <c r="F16549" t="inlineStr">
        <is>
          <t>Hà Nội</t>
        </is>
      </c>
      <c r="G16549" t="inlineStr">
        <is>
          <t>08-03-2026</t>
        </is>
      </c>
      <c r="H16549" t="inlineStr">
        <is>
          <t>10/03/2026</t>
        </is>
      </c>
      <c r="I16549" t="inlineStr">
        <is>
          <t>17/03/2026</t>
        </is>
      </c>
      <c r="J16549" t="inlineStr">
        <is>
          <t>Tiếp thị / Marketing, Truyền hình / Báo chí / Biên tập, Bất động sản</t>
        </is>
      </c>
      <c r="K16549" t="inlineStr">
        <is>
          <t>2 - 10 Năm</t>
        </is>
      </c>
      <c r="L16549" s="8">
        <f>HYPERLINK("https://careerviet.vn/vi/tim-viec-lam/chuyen-vien-pr-marketing.35C68EF7.html","Xem chi tiết")</f>
        <v/>
      </c>
    </row>
    <row r="16550">
      <c r="B16550" s="9" t="n">
        <v>16548</v>
      </c>
      <c r="C16550" s="10" t="inlineStr">
        <is>
          <t>Nhân viên Kiểm soát chất lượng (QC hóa lý)</t>
        </is>
      </c>
      <c r="D16550" s="10" t="inlineStr">
        <is>
          <t>CÔNG TY TNHH THƯƠNG MẠI DỊCH VỤ DƯỢC PHẨM BÌNH PHÚ</t>
        </is>
      </c>
      <c r="E16550" s="10" t="inlineStr">
        <is>
          <t>Lương:Cạnh tranh</t>
        </is>
      </c>
      <c r="F16550" s="10" t="inlineStr">
        <is>
          <t>Bình Phước</t>
        </is>
      </c>
      <c r="G16550" s="10" t="inlineStr">
        <is>
          <t>31-03-2026</t>
        </is>
      </c>
      <c r="H16550" s="10" t="inlineStr">
        <is>
          <t>31/03/2026</t>
        </is>
      </c>
      <c r="I16550" s="10" t="inlineStr">
        <is>
          <t>17/03/2026</t>
        </is>
      </c>
      <c r="J16550" s="10" t="inlineStr">
        <is>
          <t>Quản lý chất lượng (QA/QC)</t>
        </is>
      </c>
      <c r="K16550" s="10" t="inlineStr">
        <is>
          <t>Lên đến 1 Năm</t>
        </is>
      </c>
      <c r="L16550" s="11">
        <f>HYPERLINK("https://careerviet.vn/vi/tim-viec-lam/nhan-vien-kiem-soat-chat-luong-qc-hoa-ly.35C68E24.html","Xem chi tiết")</f>
        <v/>
      </c>
      <c r="M16550" s="10" t="n"/>
    </row>
    <row r="16551">
      <c r="B16551" s="7" t="n">
        <v>16549</v>
      </c>
      <c r="C16551" t="inlineStr">
        <is>
          <t>Sales Admin</t>
        </is>
      </c>
      <c r="D16551" t="inlineStr">
        <is>
          <t>CÔNG TY TNHH THIẾT BỊ PHỤ TÙNG NÔNG NGHIỆP TRẦN MINH</t>
        </is>
      </c>
      <c r="E16551" t="inlineStr">
        <is>
          <t>Lương:9 Tr - 15 Tr VND</t>
        </is>
      </c>
      <c r="F16551" t="inlineStr">
        <is>
          <t>Hồ Chí MinhLong An</t>
        </is>
      </c>
      <c r="G16551" t="inlineStr">
        <is>
          <t>31-05-2026</t>
        </is>
      </c>
      <c r="H16551" t="inlineStr">
        <is>
          <t>31/05/2026</t>
        </is>
      </c>
      <c r="I16551" t="inlineStr">
        <is>
          <t>17/03/2026</t>
        </is>
      </c>
      <c r="J16551" t="inlineStr">
        <is>
          <t>Thu mua / Vật tư, Bán hàng / Kinh doanh, Kế toán / Kiểm toán</t>
        </is>
      </c>
      <c r="K16551" t="inlineStr">
        <is>
          <t>N/A</t>
        </is>
      </c>
      <c r="L16551" s="8">
        <f>HYPERLINK("https://careerviet.vn/vi/tim-viec-lam/sales-admin.35C68D1F.html","Xem chi tiết")</f>
        <v/>
      </c>
    </row>
    <row r="16552">
      <c r="B16552" s="9" t="n">
        <v>16550</v>
      </c>
      <c r="C16552" s="10" t="inlineStr">
        <is>
          <t>Giám sát bán hàng kênh GT-khu vực Hồ Chí Minh</t>
        </is>
      </c>
      <c r="D16552" s="10" t="inlineStr">
        <is>
          <t>Công ty Cổ Phần Hóa Mỹ Phẩm Mỹ Hảo</t>
        </is>
      </c>
      <c r="E16552" s="10" t="inlineStr">
        <is>
          <t>Lương:12 Tr - 18 Tr VND</t>
        </is>
      </c>
      <c r="F16552" s="10" t="inlineStr">
        <is>
          <t>Hồ Chí Minh</t>
        </is>
      </c>
      <c r="G16552" s="10" t="inlineStr">
        <is>
          <t>31-03-2026</t>
        </is>
      </c>
      <c r="H16552" s="10" t="inlineStr">
        <is>
          <t>31/03/2026</t>
        </is>
      </c>
      <c r="I16552" s="10" t="inlineStr">
        <is>
          <t>17/03/2026</t>
        </is>
      </c>
      <c r="J16552" s="10" t="inlineStr">
        <is>
          <t>Bán lẻ / Bán sỉ, Bán hàng / Kinh doanh, Hàng gia dụng / Chăm sóc cá nhân</t>
        </is>
      </c>
      <c r="K16552" s="10" t="inlineStr">
        <is>
          <t>Trên 2 Năm</t>
        </is>
      </c>
      <c r="L16552" s="11">
        <f>HYPERLINK("https://careerviet.vn/vi/tim-viec-lam/giam-sat-ban-hang-kenh-gt-khu-vuc-ho-chi-minh.35C68E84.html","Xem chi tiết")</f>
        <v/>
      </c>
      <c r="M16552" s="10" t="n"/>
    </row>
    <row r="16553">
      <c r="B16553" s="7" t="n">
        <v>16551</v>
      </c>
      <c r="C16553" t="inlineStr">
        <is>
          <t>Cán Bộ An Toàn, Vệ Sinh Lao Động Ninh Bình ( Hà Nam cũ )</t>
        </is>
      </c>
      <c r="D16553" t="inlineStr">
        <is>
          <t>EuP Group</t>
        </is>
      </c>
      <c r="E16553" t="inlineStr">
        <is>
          <t>Lương:10 Tr - 20 Tr VND</t>
        </is>
      </c>
      <c r="F16553" t="inlineStr">
        <is>
          <t>Hà Nam</t>
        </is>
      </c>
      <c r="G16553" t="inlineStr">
        <is>
          <t>6</t>
        </is>
      </c>
      <c r="H16553" t="inlineStr">
        <is>
          <t>23/03/2026</t>
        </is>
      </c>
      <c r="I16553" t="inlineStr">
        <is>
          <t>17/03/2026</t>
        </is>
      </c>
      <c r="J16553" t="inlineStr">
        <is>
          <t>Điện / Điện tử / Điện lạnh / Điện công nghiệp, An toàn lao động, Cơ khí / Ô tô / Tự động hóa</t>
        </is>
      </c>
      <c r="K16553" t="inlineStr">
        <is>
          <t>Trên 1 Năm</t>
        </is>
      </c>
      <c r="L16553" s="8">
        <f>HYPERLINK("https://careerviet.vn/vi/tim-viec-lam/can-bo-an-toan-ve-sinh-lao-dong-ninh-binh-ha-nam-cu.35C68E44.html","Xem chi tiết")</f>
        <v/>
      </c>
    </row>
    <row r="16554">
      <c r="B16554" s="9" t="n">
        <v>16552</v>
      </c>
      <c r="C16554" s="10" t="inlineStr">
        <is>
          <t>QMS Excutive (Làm việc tại Tây Ninh)</t>
        </is>
      </c>
      <c r="D16554" s="10" t="inlineStr">
        <is>
          <t>Công ty CP Thành Thành Công - Biên Hòa</t>
        </is>
      </c>
      <c r="E16554" s="10" t="inlineStr">
        <is>
          <t>Lương:Cạnh tranh</t>
        </is>
      </c>
      <c r="F16554" s="10" t="inlineStr">
        <is>
          <t>Tây Ninh</t>
        </is>
      </c>
      <c r="G16554" s="10" t="inlineStr">
        <is>
          <t>07-04-2026</t>
        </is>
      </c>
      <c r="H16554" s="10" t="inlineStr">
        <is>
          <t>07/04/2026</t>
        </is>
      </c>
      <c r="I16554" s="10" t="inlineStr">
        <is>
          <t>17/03/2026</t>
        </is>
      </c>
      <c r="J16554" s="10" t="inlineStr">
        <is>
          <t>Công nghệ thực phẩm / Dinh dưỡng, Công nghệ sinh học, Hóa học</t>
        </is>
      </c>
      <c r="K16554" s="10" t="inlineStr">
        <is>
          <t>1 - 3 Năm</t>
        </is>
      </c>
      <c r="L16554" s="11">
        <f>HYPERLINK("https://careerviet.vn/vi/tim-viec-lam/qms-excutive-lam-viec-tai-tay-ninh.35C67F51.html","Xem chi tiết")</f>
        <v/>
      </c>
      <c r="M16554" s="10" t="n"/>
    </row>
    <row r="16555">
      <c r="B16555" s="7" t="n">
        <v>16553</v>
      </c>
      <c r="C16555" t="inlineStr">
        <is>
          <t>Trưởng phòng kế hoạch sản xuất (tiếng Trung)</t>
        </is>
      </c>
      <c r="D16555" t="inlineStr">
        <is>
          <t>CÔNG TY TNHH QISDA VIỆT NAM</t>
        </is>
      </c>
      <c r="E16555" t="inlineStr">
        <is>
          <t>Lương:Cạnh tranh</t>
        </is>
      </c>
      <c r="F16555" t="inlineStr">
        <is>
          <t>Hà Nam</t>
        </is>
      </c>
      <c r="G16555" t="inlineStr">
        <is>
          <t>25-03-2026</t>
        </is>
      </c>
      <c r="H16555" t="inlineStr">
        <is>
          <t>25/03/2026</t>
        </is>
      </c>
      <c r="I16555" t="inlineStr">
        <is>
          <t>17/03/2026</t>
        </is>
      </c>
      <c r="J16555" t="inlineStr">
        <is>
          <t>Sản xuất / Vận hành sản xuất, Thu mua / Vật tư</t>
        </is>
      </c>
      <c r="K16555" t="inlineStr">
        <is>
          <t>null - null Năm</t>
        </is>
      </c>
      <c r="L16555" s="8">
        <f>HYPERLINK("https://careerviet.vn/vi/tim-viec-lam/truong-phong-ke-hoach-san-xuat-tieng-trung.35C68EB4.html","Xem chi tiết")</f>
        <v/>
      </c>
    </row>
    <row r="16556">
      <c r="B16556" s="9" t="n">
        <v>16554</v>
      </c>
      <c r="C16556" s="10" t="inlineStr">
        <is>
          <t>Senior Logistics Manager</t>
        </is>
      </c>
      <c r="D16556" s="10" t="inlineStr">
        <is>
          <t>Công ty TNHH Onpoint</t>
        </is>
      </c>
      <c r="E16556" s="10" t="inlineStr">
        <is>
          <t>Lương:Cạnh tranh</t>
        </is>
      </c>
      <c r="F16556" s="10" t="inlineStr">
        <is>
          <t>Hồ Chí Minh</t>
        </is>
      </c>
      <c r="G16556" s="10" t="inlineStr">
        <is>
          <t>07-04-2026</t>
        </is>
      </c>
      <c r="H16556" s="10" t="inlineStr">
        <is>
          <t>07/04/2026</t>
        </is>
      </c>
      <c r="I16556" s="10" t="inlineStr">
        <is>
          <t>17/03/2026</t>
        </is>
      </c>
      <c r="J16556" s="10" t="inlineStr">
        <is>
          <t>Thương mại điện tử, Bưu chính viễn thông, Vận chuyển / Giao nhận / Kho vận</t>
        </is>
      </c>
      <c r="K16556" s="10" t="inlineStr">
        <is>
          <t>5 - 8 Năm</t>
        </is>
      </c>
      <c r="L16556" s="11">
        <f>HYPERLINK("https://careerviet.vn/vi/tim-viec-lam/senior-logistics-manager.35C64E2A.html","Xem chi tiết")</f>
        <v/>
      </c>
      <c r="M16556" s="10" t="n"/>
    </row>
    <row r="16557">
      <c r="B16557" s="7" t="n">
        <v>16555</v>
      </c>
      <c r="C16557" t="inlineStr">
        <is>
          <t>Nhân Viên Kinh Doanh Bán Hàng Trực Tiếp - TP.HCM</t>
        </is>
      </c>
      <c r="D16557" t="inlineStr">
        <is>
          <t>Cty TNHH Yakult Việt Nam</t>
        </is>
      </c>
      <c r="E16557" t="inlineStr">
        <is>
          <t>Lương:11 Tr - 15 Tr VND</t>
        </is>
      </c>
      <c r="F16557" t="inlineStr">
        <is>
          <t>Hồ Chí Minh</t>
        </is>
      </c>
      <c r="G16557" t="inlineStr">
        <is>
          <t>6</t>
        </is>
      </c>
      <c r="H16557" t="inlineStr">
        <is>
          <t>23/03/2026</t>
        </is>
      </c>
      <c r="I16557" t="inlineStr">
        <is>
          <t>17/03/2026</t>
        </is>
      </c>
      <c r="J16557" t="inlineStr">
        <is>
          <t>Tiếp thị / Marketing, Bán hàng / Kinh doanh, Lao động phổ thông</t>
        </is>
      </c>
      <c r="K16557" t="inlineStr">
        <is>
          <t>N/A</t>
        </is>
      </c>
      <c r="L16557" s="8">
        <f>HYPERLINK("https://careerviet.vn/vi/tim-viec-lam/nhan-vien-kinh-doanh-ban-hang-truc-tiep-tp-hcm.35C68CC4.html","Xem chi tiết")</f>
        <v/>
      </c>
    </row>
    <row r="16558">
      <c r="B16558" s="9" t="n">
        <v>16556</v>
      </c>
      <c r="C16558" s="10" t="inlineStr">
        <is>
          <t>[Thốt Nốt] Tuyển Nhân Viên Bán Hàng Tại Showroom - Lương cao - Có đào tạo</t>
        </is>
      </c>
      <c r="D16558" s="10" t="inlineStr">
        <is>
          <t>Công Ty TNHH XNK Phát Triển Đông Dương</t>
        </is>
      </c>
      <c r="E16558" s="10" t="inlineStr">
        <is>
          <t>Lương:Cạnh tranh</t>
        </is>
      </c>
      <c r="F16558" s="10" t="inlineStr">
        <is>
          <t>Cần Thơ</t>
        </is>
      </c>
      <c r="G16558" s="10" t="inlineStr">
        <is>
          <t>5</t>
        </is>
      </c>
      <c r="H16558" s="10" t="inlineStr">
        <is>
          <t>22/03/2026</t>
        </is>
      </c>
      <c r="I16558" s="10" t="inlineStr">
        <is>
          <t>17/03/2026</t>
        </is>
      </c>
      <c r="J16558" s="10" t="inlineStr">
        <is>
          <t>Bán lẻ / Bán sỉ, Bán hàng / Kinh doanh, Tư vấn</t>
        </is>
      </c>
      <c r="K16558" s="10" t="inlineStr">
        <is>
          <t>N/A</t>
        </is>
      </c>
      <c r="L16558" s="11">
        <f>HYPERLINK("https://careerviet.vn/vi/tim-viec-lam/thot-not-tuyen-nhan-vien-ban-hang-tai-showroom-luong-cao-co-dao-tao.35C68E62.html","Xem chi tiết")</f>
        <v/>
      </c>
      <c r="M16558" s="10" t="n"/>
    </row>
    <row r="16559">
      <c r="B16559" s="7" t="n">
        <v>16557</v>
      </c>
      <c r="C16559" t="inlineStr">
        <is>
          <t>Nhân Viên QC</t>
        </is>
      </c>
      <c r="D16559" t="inlineStr">
        <is>
          <t>CÔNG TY TNHH THE SQUARE VINA</t>
        </is>
      </c>
      <c r="E16559" t="inlineStr">
        <is>
          <t>Lương:Cạnh tranh</t>
        </is>
      </c>
      <c r="F16559" t="inlineStr">
        <is>
          <t>Bà Rịa - Vũng Tàu</t>
        </is>
      </c>
      <c r="G16559" t="inlineStr">
        <is>
          <t>08-03-2026</t>
        </is>
      </c>
      <c r="H16559" t="inlineStr">
        <is>
          <t>23/02/2026</t>
        </is>
      </c>
      <c r="I16559" t="inlineStr">
        <is>
          <t>17/03/2026</t>
        </is>
      </c>
      <c r="J16559" t="inlineStr">
        <is>
          <t>Hành chính / Thư ký, Xuất nhập khẩu, Quản lý chất lượng (QA/QC)</t>
        </is>
      </c>
      <c r="K16559" t="inlineStr">
        <is>
          <t>Trên 2 Năm</t>
        </is>
      </c>
      <c r="L16559" s="8">
        <f>HYPERLINK("https://careerviet.vn/vi/tim-viec-lam/nhan-vien-qc.35C68D02.html","Xem chi tiết")</f>
        <v/>
      </c>
    </row>
    <row r="16560">
      <c r="B16560" s="9" t="n">
        <v>16558</v>
      </c>
      <c r="C16560" s="10" t="inlineStr">
        <is>
          <t>Phó phòng Kinh Doanh Xuất Khẩu Tiếng Anh</t>
        </is>
      </c>
      <c r="D16560" s="10" t="inlineStr">
        <is>
          <t>Công Ty Cổ Phần Thương Mại Tư Vấn Và Xây Dựng Vĩnh Hưng</t>
        </is>
      </c>
      <c r="E16560" s="10" t="inlineStr">
        <is>
          <t>Lương:25 Tr - 35 Tr VND</t>
        </is>
      </c>
      <c r="F16560" s="10" t="inlineStr">
        <is>
          <t>Hà Nội</t>
        </is>
      </c>
      <c r="G16560" s="10" t="inlineStr">
        <is>
          <t>31-03-2026</t>
        </is>
      </c>
      <c r="H16560" s="10" t="inlineStr">
        <is>
          <t>31/03/2026</t>
        </is>
      </c>
      <c r="I16560" s="10" t="inlineStr">
        <is>
          <t>17/03/2026</t>
        </is>
      </c>
      <c r="J16560" s="10" t="inlineStr">
        <is>
          <t>Bán hàng / Kinh doanh, Bán Hàng Kỹ Thuật, Xây dựng</t>
        </is>
      </c>
      <c r="K16560" s="10" t="inlineStr">
        <is>
          <t>3 - 5 Năm</t>
        </is>
      </c>
      <c r="L16560" s="11">
        <f>HYPERLINK("https://careerviet.vn/vi/tim-viec-lam/pho-phong-kinh-doanh-xuat-khau-tieng-anh.35C68EAF.html","Xem chi tiết")</f>
        <v/>
      </c>
      <c r="M16560" s="10" t="n"/>
    </row>
    <row r="16561">
      <c r="B16561" s="7" t="n">
        <v>16559</v>
      </c>
      <c r="C16561" t="inlineStr">
        <is>
          <t>[Quận 7 - HCM] CHUYÊN VIÊN NHÂN SỰ - BIẾT TIẾNG KHMER</t>
        </is>
      </c>
      <c r="D16561" t="inlineStr">
        <is>
          <t>Công Ty TNHH XNK Phát Triển Đông Dương</t>
        </is>
      </c>
      <c r="E16561" t="inlineStr">
        <is>
          <t>Lương:Cạnh tranh</t>
        </is>
      </c>
      <c r="F16561" t="inlineStr">
        <is>
          <t>Hồ Chí Minh</t>
        </is>
      </c>
      <c r="G16561" t="inlineStr">
        <is>
          <t>31-03-2026</t>
        </is>
      </c>
      <c r="H16561" t="inlineStr">
        <is>
          <t>31/03/2026</t>
        </is>
      </c>
      <c r="I16561" t="inlineStr">
        <is>
          <t>17/03/2026</t>
        </is>
      </c>
      <c r="J16561" t="inlineStr">
        <is>
          <t>Nhân sự, Hành chính / Thư ký, Biên phiên dịch</t>
        </is>
      </c>
      <c r="K16561" t="inlineStr">
        <is>
          <t>25 - 35 Năm</t>
        </is>
      </c>
      <c r="L16561" s="8">
        <f>HYPERLINK("https://careerviet.vn/vi/tim-viec-lam/quan-7-hcm-chuyen-vien-nhan-su-biet-tieng-khmer.35C68E48.html","Xem chi tiết")</f>
        <v/>
      </c>
    </row>
    <row r="16562">
      <c r="B16562" s="9" t="n">
        <v>16560</v>
      </c>
      <c r="C16562" s="10" t="inlineStr">
        <is>
          <t>Nhân Viên Tư Vấn Môi Trường</t>
        </is>
      </c>
      <c r="D16562" s="10" t="inlineStr">
        <is>
          <t>CÔNG TY TNHH CÔNG NGHỆ MÔI TRƯỜNG NÔNG LÂM</t>
        </is>
      </c>
      <c r="E16562" s="10" t="inlineStr">
        <is>
          <t>Lương:Cạnh tranh</t>
        </is>
      </c>
      <c r="F16562" s="10" t="inlineStr">
        <is>
          <t>Hồ Chí Minh</t>
        </is>
      </c>
      <c r="G16562" s="10" t="inlineStr">
        <is>
          <t>24-03-2026</t>
        </is>
      </c>
      <c r="H16562" s="10" t="inlineStr">
        <is>
          <t>24/03/2026</t>
        </is>
      </c>
      <c r="I16562" s="10" t="inlineStr">
        <is>
          <t>17/03/2026</t>
        </is>
      </c>
      <c r="J16562" s="10" t="inlineStr">
        <is>
          <t>Tư vấn, Môi trường</t>
        </is>
      </c>
      <c r="K16562" s="10" t="inlineStr">
        <is>
          <t>N/A</t>
        </is>
      </c>
      <c r="L16562" s="11">
        <f>HYPERLINK("https://careerviet.vn/vi/tim-viec-lam/nhan-vien-tu-van-moi-truong.35C68DB2.html","Xem chi tiết")</f>
        <v/>
      </c>
      <c r="M16562" s="10" t="n"/>
    </row>
    <row r="16563">
      <c r="B16563" s="7" t="n">
        <v>16561</v>
      </c>
      <c r="C16563" t="inlineStr">
        <is>
          <t>[Kiên Giang] Tuyển Nhân Viên Bán Hàng Tại Showroom - Lương cao - Có đào tạo</t>
        </is>
      </c>
      <c r="D16563" t="inlineStr">
        <is>
          <t>Công Ty TNHH XNK Phát Triển Đông Dương</t>
        </is>
      </c>
      <c r="E16563" t="inlineStr">
        <is>
          <t>Lương:Cạnh tranh</t>
        </is>
      </c>
      <c r="F16563" t="inlineStr">
        <is>
          <t>Kiên Giang</t>
        </is>
      </c>
      <c r="G16563" t="inlineStr">
        <is>
          <t>6</t>
        </is>
      </c>
      <c r="H16563" t="inlineStr">
        <is>
          <t>23/03/2026</t>
        </is>
      </c>
      <c r="I16563" t="inlineStr">
        <is>
          <t>17/03/2026</t>
        </is>
      </c>
      <c r="J16563" t="inlineStr">
        <is>
          <t>Bán lẻ / Bán sỉ, Bán hàng / Kinh doanh, Y tế / Chăm sóc sức khỏe / Thẩm mỹ / Làm đẹp</t>
        </is>
      </c>
      <c r="K16563" t="inlineStr">
        <is>
          <t>N/A</t>
        </is>
      </c>
      <c r="L16563" s="8">
        <f>HYPERLINK("https://careerviet.vn/vi/tim-viec-lam/kien-giang-tuyen-nhan-vien-ban-hang-tai-showroom-luong-cao-co-dao-tao.35C68E5C.html","Xem chi tiết")</f>
        <v/>
      </c>
    </row>
    <row r="16564">
      <c r="B16564" s="9" t="n">
        <v>16562</v>
      </c>
      <c r="C16564" s="10" t="inlineStr">
        <is>
          <t>Nhân Viên Chứng Từ Hải Quan</t>
        </is>
      </c>
      <c r="D16564" s="10" t="inlineStr">
        <is>
          <t>Vantage Logistics Corporation</t>
        </is>
      </c>
      <c r="E16564" s="10" t="inlineStr">
        <is>
          <t>Lương:Cạnh tranh</t>
        </is>
      </c>
      <c r="F16564" s="10" t="inlineStr">
        <is>
          <t>Hồ Chí Minh</t>
        </is>
      </c>
      <c r="G16564" s="10" t="inlineStr">
        <is>
          <t>6</t>
        </is>
      </c>
      <c r="H16564" s="10" t="inlineStr">
        <is>
          <t>23/03/2026</t>
        </is>
      </c>
      <c r="I16564" s="10" t="inlineStr">
        <is>
          <t>17/03/2026</t>
        </is>
      </c>
      <c r="J16564" s="10" t="inlineStr">
        <is>
          <t>Vận chuyển / Giao nhận / Kho vận, Hàng hải, Xuất nhập khẩu</t>
        </is>
      </c>
      <c r="K16564" s="10" t="inlineStr">
        <is>
          <t>1 - 2 Năm</t>
        </is>
      </c>
      <c r="L16564" s="11">
        <f>HYPERLINK("https://careerviet.vn/vi/tim-viec-lam/nhan-vien-chung-tu-hai-quan.35C68E0C.html","Xem chi tiết")</f>
        <v/>
      </c>
      <c r="M16564" s="10" t="n"/>
    </row>
    <row r="16565">
      <c r="B16565" s="7" t="n">
        <v>16563</v>
      </c>
      <c r="C16565" t="inlineStr">
        <is>
          <t>Nhân viên HSE</t>
        </is>
      </c>
      <c r="D16565" t="inlineStr">
        <is>
          <t>Công ty TNHH ELENTEC HCM VINA</t>
        </is>
      </c>
      <c r="E16565" t="inlineStr">
        <is>
          <t>Lương:Trên 11 Tr VND</t>
        </is>
      </c>
      <c r="F16565" t="inlineStr">
        <is>
          <t>Đồng Nai</t>
        </is>
      </c>
      <c r="G16565" t="inlineStr">
        <is>
          <t>5</t>
        </is>
      </c>
      <c r="H16565" t="inlineStr">
        <is>
          <t>22/03/2026</t>
        </is>
      </c>
      <c r="I16565" t="inlineStr">
        <is>
          <t>17/03/2026</t>
        </is>
      </c>
      <c r="J16565" t="inlineStr">
        <is>
          <t>Môi trường, An toàn lao động, Điện / Điện tử / Điện lạnh / Điện công nghiệp</t>
        </is>
      </c>
      <c r="K16565" t="inlineStr">
        <is>
          <t>Trên 2 Năm</t>
        </is>
      </c>
      <c r="L16565" s="8">
        <f>HYPERLINK("https://careerviet.vn/vi/tim-viec-lam/nhan-vien-hse.35C68DC7.html","Xem chi tiết")</f>
        <v/>
      </c>
    </row>
    <row r="16566">
      <c r="B16566" s="9" t="n">
        <v>16564</v>
      </c>
      <c r="C16566" s="10" t="inlineStr">
        <is>
          <t>[HO] IT BUSINESS RELATIONSHIP ANALYST</t>
        </is>
      </c>
      <c r="D16566" s="10" t="inlineStr">
        <is>
          <t>Shinhan Bank Vietnam</t>
        </is>
      </c>
      <c r="E16566" s="10" t="inlineStr">
        <is>
          <t>Lương:Cạnh tranh</t>
        </is>
      </c>
      <c r="F16566" s="10" t="inlineStr">
        <is>
          <t>Hồ Chí Minh</t>
        </is>
      </c>
      <c r="G16566" s="10" t="inlineStr">
        <is>
          <t>25-03-2026</t>
        </is>
      </c>
      <c r="H16566" s="10" t="inlineStr">
        <is>
          <t>25/03/2026</t>
        </is>
      </c>
      <c r="I16566" s="10" t="inlineStr">
        <is>
          <t>17/03/2026</t>
        </is>
      </c>
      <c r="J16566" s="10" t="inlineStr">
        <is>
          <t>Ngân hàng</t>
        </is>
      </c>
      <c r="K16566" s="10" t="inlineStr">
        <is>
          <t>null - null Năm</t>
        </is>
      </c>
      <c r="L16566" s="11">
        <f>HYPERLINK("https://careerviet.vn/vi/tim-viec-lam/ho-it-business-relationship-analyst.35C68F64.html","Xem chi tiết")</f>
        <v/>
      </c>
      <c r="M16566" s="10" t="n"/>
    </row>
    <row r="16567">
      <c r="B16567" s="7" t="n">
        <v>16565</v>
      </c>
      <c r="C16567" t="inlineStr">
        <is>
          <t>Kế Toán Tiền Mặt (Cash Accountant)</t>
        </is>
      </c>
      <c r="D16567" t="inlineStr">
        <is>
          <t>DIAG</t>
        </is>
      </c>
      <c r="E16567" t="inlineStr">
        <is>
          <t>Lương:10 Tr - 13 Tr VND</t>
        </is>
      </c>
      <c r="F16567" t="inlineStr">
        <is>
          <t>Hồ Chí Minh</t>
        </is>
      </c>
      <c r="G16567" t="inlineStr">
        <is>
          <t>31-03-2026</t>
        </is>
      </c>
      <c r="H16567" t="inlineStr">
        <is>
          <t>31/03/2026</t>
        </is>
      </c>
      <c r="I16567" t="inlineStr">
        <is>
          <t>17/03/2026</t>
        </is>
      </c>
      <c r="J16567" t="inlineStr">
        <is>
          <t>Y tế / Chăm sóc sức khỏe / Thẩm mỹ / Làm đẹp</t>
        </is>
      </c>
      <c r="K16567" t="inlineStr">
        <is>
          <t>1 - 2 Năm</t>
        </is>
      </c>
      <c r="L16567" s="8">
        <f>HYPERLINK("https://careerviet.vn/vi/tim-viec-lam/ke-toan-tien-mat-cash-accountant.35C68C9B.html","Xem chi tiết")</f>
        <v/>
      </c>
    </row>
    <row r="16568">
      <c r="B16568" s="9" t="n">
        <v>16566</v>
      </c>
      <c r="C16568" s="10" t="inlineStr">
        <is>
          <t>Nhân viên bán hàng - Mỹ Tho</t>
        </is>
      </c>
      <c r="D16568" s="10" t="inlineStr">
        <is>
          <t>Công ty CP Toshiko Việt Nam</t>
        </is>
      </c>
      <c r="E16568" s="10" t="inlineStr">
        <is>
          <t>Lương:10 Tr - 15 Tr VND</t>
        </is>
      </c>
      <c r="F16568" s="10" t="inlineStr">
        <is>
          <t>Tiền Giang</t>
        </is>
      </c>
      <c r="G16568" s="10" t="inlineStr">
        <is>
          <t>6</t>
        </is>
      </c>
      <c r="H16568" s="10" t="inlineStr">
        <is>
          <t>23/03/2026</t>
        </is>
      </c>
      <c r="I16568" s="10" t="inlineStr">
        <is>
          <t>17/03/2026</t>
        </is>
      </c>
      <c r="J16568" s="10" t="inlineStr">
        <is>
          <t>Bán lẻ / Bán sỉ, Bán hàng / Kinh doanh, Tư vấn</t>
        </is>
      </c>
      <c r="K16568" s="10" t="inlineStr">
        <is>
          <t>1 - 2 Năm</t>
        </is>
      </c>
      <c r="L16568" s="11">
        <f>HYPERLINK("https://careerviet.vn/vi/tim-viec-lam/nhan-vien-ban-hang-my-tho.35C68D3D.html","Xem chi tiết")</f>
        <v/>
      </c>
      <c r="M16568" s="10" t="n"/>
    </row>
    <row r="16569">
      <c r="B16569" s="7" t="n">
        <v>16567</v>
      </c>
      <c r="C16569" t="inlineStr">
        <is>
          <t>NHÂN VIÊN QUẢN LÝ CHẤT LƯỢNG (ĐẮK LẮK)</t>
        </is>
      </c>
      <c r="D16569" t="inlineStr">
        <is>
          <t>CÔNG TY CỔ PHẦN TẬP ĐOÀN XUẤT - NHẬP KHẨU TRÁI CÂY CHÁNH THU</t>
        </is>
      </c>
      <c r="E16569" t="inlineStr">
        <is>
          <t>Lương:Cạnh tranh</t>
        </is>
      </c>
      <c r="F16569" t="inlineStr">
        <is>
          <t>Dak Lak</t>
        </is>
      </c>
      <c r="G16569" t="inlineStr">
        <is>
          <t>6</t>
        </is>
      </c>
      <c r="H16569" t="inlineStr">
        <is>
          <t>23/03/2026</t>
        </is>
      </c>
      <c r="I16569" t="inlineStr">
        <is>
          <t>17/03/2026</t>
        </is>
      </c>
      <c r="J16569" t="inlineStr">
        <is>
          <t>Sản xuất / Vận hành sản xuất, Quản lý chất lượng (QA/QC), Xuất nhập khẩu</t>
        </is>
      </c>
      <c r="K16569" t="inlineStr">
        <is>
          <t>1 - 3 Năm</t>
        </is>
      </c>
      <c r="L16569" s="8">
        <f>HYPERLINK("https://careerviet.vn/vi/tim-viec-lam/nhan-vien-quan-ly-chat-luong-dak-lak.35C68E63.html","Xem chi tiết")</f>
        <v/>
      </c>
    </row>
    <row r="16570">
      <c r="B16570" s="9" t="n">
        <v>16568</v>
      </c>
      <c r="C16570" s="10" t="inlineStr">
        <is>
          <t>Nhân viên Hành chính (Admin Vận tải)</t>
        </is>
      </c>
      <c r="D16570" s="10" t="inlineStr">
        <is>
          <t>Công ty TNHH X.E Việt Nam</t>
        </is>
      </c>
      <c r="E16570" s="10" t="inlineStr">
        <is>
          <t>Lương:12 Tr - 15 Tr VND</t>
        </is>
      </c>
      <c r="F16570" s="10" t="inlineStr">
        <is>
          <t>Hà Nội</t>
        </is>
      </c>
      <c r="G16570" s="10" t="inlineStr">
        <is>
          <t>25-03-2026</t>
        </is>
      </c>
      <c r="H16570" s="10" t="inlineStr">
        <is>
          <t>25/03/2026</t>
        </is>
      </c>
      <c r="I16570" s="10" t="inlineStr">
        <is>
          <t>17/03/2026</t>
        </is>
      </c>
      <c r="J16570" s="10" t="inlineStr">
        <is>
          <t>Vận chuyển / Giao nhận / Kho vận</t>
        </is>
      </c>
      <c r="K16570" s="10" t="inlineStr">
        <is>
          <t>2 - 4 Năm</t>
        </is>
      </c>
      <c r="L16570" s="11">
        <f>HYPERLINK("https://careerviet.vn/vi/tim-viec-lam/nhan-vien-hanh-chinh-admin-van-tai.35C68CBC.html","Xem chi tiết")</f>
        <v/>
      </c>
      <c r="M16570" s="10" t="n"/>
    </row>
    <row r="16571">
      <c r="B16571" s="7" t="n">
        <v>16569</v>
      </c>
      <c r="C16571" t="inlineStr">
        <is>
          <t>Nhân Viên Dịch Vụ Khách Hàng/Customer Service (Tiếng Anh/Trung/Nhật, nghỉ thứ 7 &amp; chủ nhật)</t>
        </is>
      </c>
      <c r="D16571" t="inlineStr">
        <is>
          <t>Headhunter HRchannels Group</t>
        </is>
      </c>
      <c r="E16571" t="inlineStr">
        <is>
          <t>Lương:500 - 1.000 USD</t>
        </is>
      </c>
      <c r="F16571" t="inlineStr">
        <is>
          <t>Hà Nội</t>
        </is>
      </c>
      <c r="G16571" t="inlineStr">
        <is>
          <t>08-03-2026</t>
        </is>
      </c>
      <c r="H16571" t="inlineStr">
        <is>
          <t>14/03/2026</t>
        </is>
      </c>
      <c r="I16571" t="inlineStr">
        <is>
          <t>17/03/2026</t>
        </is>
      </c>
      <c r="J16571" t="inlineStr">
        <is>
          <t>Bán hàng / Kinh doanh, Dịch vụ khách hàng, Nhân sự</t>
        </is>
      </c>
      <c r="K16571" t="inlineStr">
        <is>
          <t>1 - 3 Năm</t>
        </is>
      </c>
      <c r="L16571" s="8">
        <f>HYPERLINK("https://careerviet.vn/vi/tim-viec-lam/nhan-vien-dich-vu-khach-hang-customer-service-tieng-anh-trung-nhat-nghi-thu-7-chu-nhat.35C68EE9.html","Xem chi tiết")</f>
        <v/>
      </c>
    </row>
    <row r="16572">
      <c r="B16572" s="9" t="n">
        <v>16570</v>
      </c>
      <c r="C16572" s="10" t="inlineStr">
        <is>
          <t>Trưởng phòng kỹ thuật</t>
        </is>
      </c>
      <c r="D16572" s="10" t="inlineStr">
        <is>
          <t>Công Ty Cổ Phần A25 Hotel</t>
        </is>
      </c>
      <c r="E16572" s="10" t="inlineStr">
        <is>
          <t>Lương:35 Tr - 50 Tr VND</t>
        </is>
      </c>
      <c r="F16572" s="10" t="inlineStr">
        <is>
          <t>Hà Nội</t>
        </is>
      </c>
      <c r="G16572" s="10" t="inlineStr">
        <is>
          <t>31-03-2026</t>
        </is>
      </c>
      <c r="H16572" s="10" t="inlineStr">
        <is>
          <t>31/03/2026</t>
        </is>
      </c>
      <c r="I16572" s="10" t="inlineStr">
        <is>
          <t>17/03/2026</t>
        </is>
      </c>
      <c r="J16572" s="10" t="inlineStr">
        <is>
          <t>Điện / Điện tử / Điện lạnh / Điện công nghiệp, Bảo trì / Sửa chữa, Quản lý điều hành</t>
        </is>
      </c>
      <c r="K16572" s="10" t="inlineStr">
        <is>
          <t>5 - 6 Năm</t>
        </is>
      </c>
      <c r="L16572" s="11">
        <f>HYPERLINK("https://careerviet.vn/vi/tim-viec-lam/truong-phong-ky-thuat.35C68F56.html","Xem chi tiết")</f>
        <v/>
      </c>
      <c r="M16572" s="10" t="n"/>
    </row>
    <row r="16573">
      <c r="B16573" s="7" t="n">
        <v>16571</v>
      </c>
      <c r="C16573" t="inlineStr">
        <is>
          <t>Nhân viên bán hàng - Quảng Nam</t>
        </is>
      </c>
      <c r="D16573" t="inlineStr">
        <is>
          <t>Công ty CP Toshiko Việt Nam</t>
        </is>
      </c>
      <c r="E16573" t="inlineStr">
        <is>
          <t>Lương:10 Tr - 15 Tr VND</t>
        </is>
      </c>
      <c r="F16573" t="inlineStr">
        <is>
          <t>Quảng Nam</t>
        </is>
      </c>
      <c r="G16573" t="inlineStr">
        <is>
          <t>6</t>
        </is>
      </c>
      <c r="H16573" t="inlineStr">
        <is>
          <t>23/03/2026</t>
        </is>
      </c>
      <c r="I16573" t="inlineStr">
        <is>
          <t>17/03/2026</t>
        </is>
      </c>
      <c r="J16573" t="inlineStr">
        <is>
          <t>Bán lẻ / Bán sỉ, Bán hàng / Kinh doanh, Tư vấn</t>
        </is>
      </c>
      <c r="K16573" t="inlineStr">
        <is>
          <t>1 - 2 Năm</t>
        </is>
      </c>
      <c r="L16573" s="8">
        <f>HYPERLINK("https://careerviet.vn/vi/tim-viec-lam/nhan-vien-ban-hang-quang-nam.35C68D41.html","Xem chi tiết")</f>
        <v/>
      </c>
    </row>
    <row r="16574">
      <c r="B16574" s="9" t="n">
        <v>16572</v>
      </c>
      <c r="C16574" s="10" t="inlineStr">
        <is>
          <t>Trưởng nhóm Digital Marketing</t>
        </is>
      </c>
      <c r="D16574" s="10" t="inlineStr">
        <is>
          <t>CÔNG TY CỔ PHẦN HỌC VIỆN MINH TRÍ THÀNH</t>
        </is>
      </c>
      <c r="E16574" s="10" t="inlineStr">
        <is>
          <t>Lương:18 Tr - 25 Tr VND</t>
        </is>
      </c>
      <c r="F16574" s="10" t="inlineStr">
        <is>
          <t>Hà Nội</t>
        </is>
      </c>
      <c r="G16574" s="10" t="inlineStr">
        <is>
          <t>27-04-2026</t>
        </is>
      </c>
      <c r="H16574" s="10" t="inlineStr">
        <is>
          <t>27/04/2026</t>
        </is>
      </c>
      <c r="I16574" s="10" t="inlineStr">
        <is>
          <t>17/03/2026</t>
        </is>
      </c>
      <c r="J16574" s="10" t="inlineStr">
        <is>
          <t>Tiếp thị / Marketing, Quảng cáo / Đối ngoại / Truyền Thông</t>
        </is>
      </c>
      <c r="K16574" s="10" t="inlineStr">
        <is>
          <t>2 - 5 Năm</t>
        </is>
      </c>
      <c r="L16574" s="11">
        <f>HYPERLINK("https://careerviet.vn/vi/tim-viec-lam/truong-nhom-digital-marketing.35C68D22.html","Xem chi tiết")</f>
        <v/>
      </c>
      <c r="M16574" s="10" t="n"/>
    </row>
    <row r="16575">
      <c r="B16575" s="7" t="n">
        <v>16573</v>
      </c>
      <c r="C16575" t="inlineStr">
        <is>
          <t>Chuyên viên Đấu thầu</t>
        </is>
      </c>
      <c r="D16575" t="inlineStr">
        <is>
          <t>CÔNG TY CỔ PHẦN THƯƠNG MẠI DỊCH VỤ XÂY DỰNG E&amp;C</t>
        </is>
      </c>
      <c r="E16575" t="inlineStr">
        <is>
          <t>Lương:14 Tr - 20 Tr VND</t>
        </is>
      </c>
      <c r="F16575" t="inlineStr">
        <is>
          <t>Hồ Chí Minh</t>
        </is>
      </c>
      <c r="G16575" t="inlineStr">
        <is>
          <t>6</t>
        </is>
      </c>
      <c r="H16575" t="inlineStr">
        <is>
          <t>23/03/2026</t>
        </is>
      </c>
      <c r="I16575" t="inlineStr">
        <is>
          <t>17/03/2026</t>
        </is>
      </c>
      <c r="J16575" t="inlineStr">
        <is>
          <t>Sản xuất / Vận hành sản xuất, Kiến trúc, Xây dựng</t>
        </is>
      </c>
      <c r="K16575" t="inlineStr">
        <is>
          <t>1 - 2 Năm</t>
        </is>
      </c>
      <c r="L16575" s="8">
        <f>HYPERLINK("https://careerviet.vn/vi/tim-viec-lam/chuyen-vien-dau-thau.35C68CFE.html","Xem chi tiết")</f>
        <v/>
      </c>
    </row>
    <row r="16576">
      <c r="B16576" s="9" t="n">
        <v>16574</v>
      </c>
      <c r="C16576" s="10" t="inlineStr">
        <is>
          <t>[Ba Tri] Tuyển Nhân Viên Bán Hàng Tại Showroom - Lương cao - Có đào tạo</t>
        </is>
      </c>
      <c r="D16576" s="10" t="inlineStr">
        <is>
          <t>Công Ty TNHH XNK Phát Triển Đông Dương</t>
        </is>
      </c>
      <c r="E16576" s="10" t="inlineStr">
        <is>
          <t>Lương:Cạnh tranh</t>
        </is>
      </c>
      <c r="F16576" s="10" t="inlineStr">
        <is>
          <t>Bến Tre</t>
        </is>
      </c>
      <c r="G16576" s="10" t="inlineStr">
        <is>
          <t>6</t>
        </is>
      </c>
      <c r="H16576" s="10" t="inlineStr">
        <is>
          <t>23/03/2026</t>
        </is>
      </c>
      <c r="I16576" s="10" t="inlineStr">
        <is>
          <t>17/03/2026</t>
        </is>
      </c>
      <c r="J16576" s="10" t="inlineStr">
        <is>
          <t>Bán lẻ / Bán sỉ, Bán hàng / Kinh doanh, Y tế / Chăm sóc sức khỏe / Thẩm mỹ / Làm đẹp</t>
        </is>
      </c>
      <c r="K16576" s="10" t="inlineStr">
        <is>
          <t>Chưa có kinh nghiệm</t>
        </is>
      </c>
      <c r="L16576" s="11">
        <f>HYPERLINK("https://careerviet.vn/vi/tim-viec-lam/ba-tri-tuyen-nhan-vien-ban-hang-tai-showroom-luong-cao-co-dao-tao.35C68E6E.html","Xem chi tiết")</f>
        <v/>
      </c>
      <c r="M16576" s="10" t="n"/>
    </row>
    <row r="16577">
      <c r="B16577" s="7" t="n">
        <v>16575</v>
      </c>
      <c r="C16577" t="inlineStr">
        <is>
          <t>Chuyên viên cao cấp Quản lý rủi ro tích hợp</t>
        </is>
      </c>
      <c r="D16577" t="inlineStr">
        <is>
          <t>Ngân Hàng TMCP Sài Gòn - Hà Nội ( SHB )</t>
        </is>
      </c>
      <c r="E16577" t="inlineStr">
        <is>
          <t>Lương:Cạnh tranh</t>
        </is>
      </c>
      <c r="F16577" t="inlineStr">
        <is>
          <t>Hà Nội</t>
        </is>
      </c>
      <c r="G16577" t="inlineStr">
        <is>
          <t>25-03-2026</t>
        </is>
      </c>
      <c r="H16577" t="inlineStr">
        <is>
          <t>25/03/2026</t>
        </is>
      </c>
      <c r="I16577" t="inlineStr">
        <is>
          <t>17/03/2026</t>
        </is>
      </c>
      <c r="J16577" t="inlineStr">
        <is>
          <t>Ngân hàng</t>
        </is>
      </c>
      <c r="K16577" t="inlineStr">
        <is>
          <t>null - null Năm</t>
        </is>
      </c>
      <c r="L16577" s="8">
        <f>HYPERLINK("https://careerviet.vn/vi/tim-viec-lam/chuyen-vien-cao-cap-quan-ly-rui-ro-tich-hop.35C68E89.html","Xem chi tiết")</f>
        <v/>
      </c>
    </row>
    <row r="16578">
      <c r="B16578" s="9" t="n">
        <v>16576</v>
      </c>
      <c r="C16578" s="10" t="inlineStr">
        <is>
          <t>Nhân viên bán hàng - Gia Lai</t>
        </is>
      </c>
      <c r="D16578" s="10" t="inlineStr">
        <is>
          <t>Công ty CP Toshiko Việt Nam</t>
        </is>
      </c>
      <c r="E16578" s="10" t="inlineStr">
        <is>
          <t>Lương:10 Tr - 15 Tr VND</t>
        </is>
      </c>
      <c r="F16578" s="10" t="inlineStr">
        <is>
          <t>Gia Lai</t>
        </is>
      </c>
      <c r="G16578" s="10" t="inlineStr">
        <is>
          <t>6</t>
        </is>
      </c>
      <c r="H16578" s="10" t="inlineStr">
        <is>
          <t>23/03/2026</t>
        </is>
      </c>
      <c r="I16578" s="10" t="inlineStr">
        <is>
          <t>17/03/2026</t>
        </is>
      </c>
      <c r="J16578" s="10" t="inlineStr">
        <is>
          <t>Bán lẻ / Bán sỉ, Bán hàng / Kinh doanh, Tư vấn</t>
        </is>
      </c>
      <c r="K16578" s="10" t="inlineStr">
        <is>
          <t>1 - 2 Năm</t>
        </is>
      </c>
      <c r="L16578" s="11">
        <f>HYPERLINK("https://careerviet.vn/vi/tim-viec-lam/nhan-vien-ban-hang-gia-lai.35C68D21.html","Xem chi tiết")</f>
        <v/>
      </c>
      <c r="M16578" s="10" t="n"/>
    </row>
    <row r="16579">
      <c r="B16579" s="7" t="n">
        <v>16577</v>
      </c>
      <c r="C16579" t="inlineStr">
        <is>
          <t>Nhân viên bán hàng - Đà Nẵng</t>
        </is>
      </c>
      <c r="D16579" t="inlineStr">
        <is>
          <t>Công ty CP Toshiko Việt Nam</t>
        </is>
      </c>
      <c r="E16579" t="inlineStr">
        <is>
          <t>Lương:10 Tr - 15 Tr VND</t>
        </is>
      </c>
      <c r="F16579" t="inlineStr">
        <is>
          <t>Đà Nẵng</t>
        </is>
      </c>
      <c r="G16579" t="inlineStr">
        <is>
          <t>6</t>
        </is>
      </c>
      <c r="H16579" t="inlineStr">
        <is>
          <t>23/03/2026</t>
        </is>
      </c>
      <c r="I16579" t="inlineStr">
        <is>
          <t>17/03/2026</t>
        </is>
      </c>
      <c r="J16579" t="inlineStr">
        <is>
          <t>Bán lẻ / Bán sỉ, Bán hàng / Kinh doanh, Tư vấn</t>
        </is>
      </c>
      <c r="K16579" t="inlineStr">
        <is>
          <t>1 - 2 Năm</t>
        </is>
      </c>
      <c r="L16579" s="8">
        <f>HYPERLINK("https://careerviet.vn/vi/tim-viec-lam/nhan-vien-ban-hang-da-nang.35C68D0E.html","Xem chi tiết")</f>
        <v/>
      </c>
    </row>
    <row r="16580">
      <c r="B16580" s="9" t="n">
        <v>16578</v>
      </c>
      <c r="C16580" s="10" t="inlineStr">
        <is>
          <t>Kỹ sư thiết kế kết cấu</t>
        </is>
      </c>
      <c r="D16580" s="10" t="inlineStr">
        <is>
          <t>Công ty Cổ phần công nghệ và đầu tư INTECH</t>
        </is>
      </c>
      <c r="E16580" s="10" t="inlineStr">
        <is>
          <t>Lương:15 Tr - 25 Tr VND</t>
        </is>
      </c>
      <c r="F16580" s="10" t="inlineStr">
        <is>
          <t>Hà NộiHồ Chí Minh</t>
        </is>
      </c>
      <c r="G16580" s="10" t="inlineStr">
        <is>
          <t>31-03-2026</t>
        </is>
      </c>
      <c r="H16580" s="10" t="inlineStr">
        <is>
          <t>31/03/2026</t>
        </is>
      </c>
      <c r="I16580" s="10" t="inlineStr">
        <is>
          <t>17/03/2026</t>
        </is>
      </c>
      <c r="J16580" s="10" t="inlineStr">
        <is>
          <t>Xây dựng, Kiến trúc, Môi trường</t>
        </is>
      </c>
      <c r="K16580" s="10" t="inlineStr">
        <is>
          <t>1 - 3 Năm</t>
        </is>
      </c>
      <c r="L16580" s="11">
        <f>HYPERLINK("https://careerviet.vn/vi/tim-viec-lam/ky-su-thiet-ke-ket-cau.35C68DA3.html","Xem chi tiết")</f>
        <v/>
      </c>
      <c r="M16580" s="10" t="n"/>
    </row>
    <row r="16581">
      <c r="B16581" s="7" t="n">
        <v>16579</v>
      </c>
      <c r="C16581" t="inlineStr">
        <is>
          <t>[Thủ Dầu Một] Tuyển Nhân Viên Bán Hàng - Chuỗi Cửa Hàng Bán Lẻ Thiết Bị Sức Khỏe</t>
        </is>
      </c>
      <c r="D16581" t="inlineStr">
        <is>
          <t>Công Ty TNHH XNK Phát Triển Đông Dương</t>
        </is>
      </c>
      <c r="E16581" t="inlineStr">
        <is>
          <t>Lương:12 Tr - 20 Tr VND</t>
        </is>
      </c>
      <c r="F16581" t="inlineStr">
        <is>
          <t>Bình Dương</t>
        </is>
      </c>
      <c r="G16581" t="inlineStr">
        <is>
          <t>31-03-2026</t>
        </is>
      </c>
      <c r="H16581" t="inlineStr">
        <is>
          <t>31/03/2026</t>
        </is>
      </c>
      <c r="I16581" t="inlineStr">
        <is>
          <t>17/03/2026</t>
        </is>
      </c>
      <c r="J16581" t="inlineStr">
        <is>
          <t>Bán lẻ / Bán sỉ, Bán hàng / Kinh doanh, Tư vấn</t>
        </is>
      </c>
      <c r="K16581" t="inlineStr">
        <is>
          <t>N/A</t>
        </is>
      </c>
      <c r="L16581" s="8">
        <f>HYPERLINK("https://careerviet.vn/vi/tim-viec-lam/thu-dau-mot-tuyen-nhan-vien-ban-hang-chuoi-cua-hang-ban-le-thiet-bi-suc-khoe.35C68E41.html","Xem chi tiết")</f>
        <v/>
      </c>
    </row>
    <row r="16582">
      <c r="B16582" s="9" t="n">
        <v>16580</v>
      </c>
      <c r="C16582" s="10" t="inlineStr">
        <is>
          <t>Nhân viên vận hành Máy CNC</t>
        </is>
      </c>
      <c r="D16582" s="10" t="inlineStr">
        <is>
          <t>Công ty TNHH Greystone Data Systems Việt Nam</t>
        </is>
      </c>
      <c r="E16582" s="10" t="inlineStr">
        <is>
          <t>Lương:8,2 Tr - 12 Tr VND</t>
        </is>
      </c>
      <c r="F16582" s="10" t="inlineStr">
        <is>
          <t>Hồ Chí Minh</t>
        </is>
      </c>
      <c r="G16582" s="10" t="inlineStr">
        <is>
          <t>1</t>
        </is>
      </c>
      <c r="H16582" s="10" t="inlineStr">
        <is>
          <t>18/03/2026</t>
        </is>
      </c>
      <c r="I16582" s="10" t="inlineStr">
        <is>
          <t>17/03/2026</t>
        </is>
      </c>
      <c r="J16582" s="10" t="inlineStr">
        <is>
          <t>Cơ khí / Ô tô / Tự động hóa, Sản xuất / Vận hành sản xuất, Bảo trì / Sửa chữa</t>
        </is>
      </c>
      <c r="K16582" s="10" t="inlineStr">
        <is>
          <t>N/A</t>
        </is>
      </c>
      <c r="L16582" s="11">
        <f>HYPERLINK("https://careerviet.vn/vi/tim-viec-lam/nhan-vien-van-hanh-may-cnc.35C68D45.html","Xem chi tiết")</f>
        <v/>
      </c>
      <c r="M16582" s="10" t="n"/>
    </row>
    <row r="16583">
      <c r="B16583" s="7" t="n">
        <v>16581</v>
      </c>
      <c r="C16583" t="inlineStr">
        <is>
          <t>Kế toán thanh toán</t>
        </is>
      </c>
      <c r="D16583" t="inlineStr">
        <is>
          <t>Công ty Cổ Phần Sản Xuất Dịch Vụ và Thương Mại Phát Linh</t>
        </is>
      </c>
      <c r="E16583" t="inlineStr">
        <is>
          <t>Lương:10 Tr - 12 Tr VND</t>
        </is>
      </c>
      <c r="F16583" t="inlineStr">
        <is>
          <t>Hà Nội</t>
        </is>
      </c>
      <c r="G16583" t="inlineStr">
        <is>
          <t>31-03-2026</t>
        </is>
      </c>
      <c r="H16583" t="inlineStr">
        <is>
          <t>31/03/2026</t>
        </is>
      </c>
      <c r="I16583" t="inlineStr">
        <is>
          <t>17/03/2026</t>
        </is>
      </c>
      <c r="J16583" t="inlineStr">
        <is>
          <t>Hành chính / Thư ký, Kế toán / Kiểm toán, Tài chính / Đầu tư</t>
        </is>
      </c>
      <c r="K16583" t="inlineStr">
        <is>
          <t>2 - 3 Năm</t>
        </is>
      </c>
      <c r="L16583" s="8">
        <f>HYPERLINK("https://careerviet.vn/vi/tim-viec-lam/ke-toan-thanh-toan.35C68F4B.html","Xem chi tiết")</f>
        <v/>
      </c>
    </row>
    <row r="16584">
      <c r="B16584" s="9" t="n">
        <v>16582</v>
      </c>
      <c r="C16584" s="10" t="inlineStr">
        <is>
          <t>[CITIGYM] Brand &amp; Media Lead</t>
        </is>
      </c>
      <c r="D16584" s="10" t="inlineStr">
        <is>
          <t>Nova Service Group - Công ty Cổ phần Tập đoàn Nova Services</t>
        </is>
      </c>
      <c r="E16584" s="10" t="inlineStr">
        <is>
          <t>Lương:20 Tr - 25 Tr VND</t>
        </is>
      </c>
      <c r="F16584" s="10" t="inlineStr">
        <is>
          <t>Hồ Chí Minh</t>
        </is>
      </c>
      <c r="G16584" s="10" t="inlineStr">
        <is>
          <t>31-03-2026</t>
        </is>
      </c>
      <c r="H16584" s="10" t="inlineStr">
        <is>
          <t>31/03/2026</t>
        </is>
      </c>
      <c r="I16584" s="10" t="inlineStr">
        <is>
          <t>17/03/2026</t>
        </is>
      </c>
      <c r="J16584" s="10" t="inlineStr">
        <is>
          <t>Tiếp thị / Marketing</t>
        </is>
      </c>
      <c r="K16584" s="10" t="inlineStr">
        <is>
          <t>3 - 4 Năm</t>
        </is>
      </c>
      <c r="L16584" s="11">
        <f>HYPERLINK("https://careerviet.vn/vi/tim-viec-lam/citigym-brand-media-lead.35C68F54.html","Xem chi tiết")</f>
        <v/>
      </c>
      <c r="M16584" s="10" t="n"/>
    </row>
    <row r="16585">
      <c r="B16585" s="7" t="n">
        <v>16583</v>
      </c>
      <c r="C16585" t="inlineStr">
        <is>
          <t>Nhân viên kinh doanh thực phẩm</t>
        </is>
      </c>
      <c r="D16585" t="inlineStr">
        <is>
          <t>CÔNG TY TNHH GLOBAL INVESTORS</t>
        </is>
      </c>
      <c r="E16585" t="inlineStr">
        <is>
          <t>Lương:9 Tr - 13 Tr VND</t>
        </is>
      </c>
      <c r="F16585" t="inlineStr">
        <is>
          <t>Hồ Chí Minh</t>
        </is>
      </c>
      <c r="G16585" t="inlineStr">
        <is>
          <t>25-03-2026</t>
        </is>
      </c>
      <c r="H16585" t="inlineStr">
        <is>
          <t>25/03/2026</t>
        </is>
      </c>
      <c r="I16585" t="inlineStr">
        <is>
          <t>17/03/2026</t>
        </is>
      </c>
      <c r="J16585" t="inlineStr">
        <is>
          <t>Bán hàng / Kinh doanh, Bán lẻ / Bán sỉ, Thực phẩm &amp; Đồ uống</t>
        </is>
      </c>
      <c r="K16585" t="inlineStr">
        <is>
          <t>N/A</t>
        </is>
      </c>
      <c r="L16585" s="8">
        <f>HYPERLINK("https://careerviet.vn/vi/tim-viec-lam/nhan-vien-kinh-doanh-thuc-pham.35C68ED5.html","Xem chi tiết")</f>
        <v/>
      </c>
    </row>
    <row r="16586">
      <c r="B16586" s="9" t="n">
        <v>16584</v>
      </c>
      <c r="C16586" s="10" t="inlineStr">
        <is>
          <t>Nhân Viên Kinh Doanh - Khu Vực Lâm Đồng (Lương Cơ Bản 8-11 Triệu + Hoa Hồng)</t>
        </is>
      </c>
      <c r="D16586" s="10" t="inlineStr">
        <is>
          <t>Công Ty TNHH Phát Triển Công Nghệ Điện Tử Bình Anh</t>
        </is>
      </c>
      <c r="E16586" s="10" t="inlineStr">
        <is>
          <t>Lương:25 Tr - 30 Tr VND</t>
        </is>
      </c>
      <c r="F16586" s="10" t="inlineStr">
        <is>
          <t>Lâm Đồng</t>
        </is>
      </c>
      <c r="G16586" s="10" t="inlineStr">
        <is>
          <t>31-03-2026</t>
        </is>
      </c>
      <c r="H16586" s="10" t="inlineStr">
        <is>
          <t>31/03/2026</t>
        </is>
      </c>
      <c r="I16586" s="10" t="inlineStr">
        <is>
          <t>17/03/2026</t>
        </is>
      </c>
      <c r="J16586" s="10" t="inlineStr">
        <is>
          <t>Tiếp thị / Marketing, Bán hàng / Kinh doanh, Dịch vụ khách hàng</t>
        </is>
      </c>
      <c r="K16586" s="10" t="inlineStr">
        <is>
          <t>1 - 3 Năm</t>
        </is>
      </c>
      <c r="L16586" s="11">
        <f>HYPERLINK("https://careerviet.vn/vi/tim-viec-lam/nhan-vien-kinh-doanh-khu-vuc-lam-dong-luong-co-ban-8-11-trieu-hoa-hong.35C68F17.html","Xem chi tiết")</f>
        <v/>
      </c>
      <c r="M16586" s="10" t="n"/>
    </row>
    <row r="16587">
      <c r="B16587" s="7" t="n">
        <v>16585</v>
      </c>
      <c r="C16587" t="inlineStr">
        <is>
          <t>Branch Operation Analyst (Big4 Background Required)</t>
        </is>
      </c>
      <c r="D16587" t="inlineStr">
        <is>
          <t>DIAG</t>
        </is>
      </c>
      <c r="E16587" t="inlineStr">
        <is>
          <t>Lương:14 Tr - 30 Tr VND</t>
        </is>
      </c>
      <c r="F16587" t="inlineStr">
        <is>
          <t>Hồ Chí Minh</t>
        </is>
      </c>
      <c r="G16587" t="inlineStr">
        <is>
          <t>31-03-2026</t>
        </is>
      </c>
      <c r="H16587" t="inlineStr">
        <is>
          <t>31/03/2026</t>
        </is>
      </c>
      <c r="I16587" t="inlineStr">
        <is>
          <t>17/03/2026</t>
        </is>
      </c>
      <c r="J16587" t="inlineStr">
        <is>
          <t>Y tế / Chăm sóc sức khỏe / Thẩm mỹ / Làm đẹp</t>
        </is>
      </c>
      <c r="K16587" t="inlineStr">
        <is>
          <t>2 - 3 Năm</t>
        </is>
      </c>
      <c r="L16587" s="8">
        <f>HYPERLINK("https://careerviet.vn/vi/tim-viec-lam/branch-operation-analyst-big4-background-required.35C68C97.html","Xem chi tiết")</f>
        <v/>
      </c>
    </row>
    <row r="16588">
      <c r="B16588" s="9" t="n">
        <v>16586</v>
      </c>
      <c r="C16588" s="10" t="inlineStr">
        <is>
          <t>Kế toán kho</t>
        </is>
      </c>
      <c r="D16588" s="10" t="inlineStr">
        <is>
          <t>Công Ty Avanti - Group</t>
        </is>
      </c>
      <c r="E16588" s="10" t="inlineStr">
        <is>
          <t>Lương:Cạnh tranh</t>
        </is>
      </c>
      <c r="F16588" s="10" t="inlineStr">
        <is>
          <t>Hồ Chí Minh</t>
        </is>
      </c>
      <c r="G16588" s="10" t="inlineStr">
        <is>
          <t>6</t>
        </is>
      </c>
      <c r="H16588" s="10" t="inlineStr">
        <is>
          <t>23/03/2026</t>
        </is>
      </c>
      <c r="I16588" s="10" t="inlineStr">
        <is>
          <t>17/03/2026</t>
        </is>
      </c>
      <c r="J16588" s="10" t="inlineStr">
        <is>
          <t>Kế toán / Kiểm toán, Bán lẻ / Bán sỉ</t>
        </is>
      </c>
      <c r="K16588" s="10" t="inlineStr">
        <is>
          <t>3 - 5 Năm</t>
        </is>
      </c>
      <c r="L16588" s="11">
        <f>HYPERLINK("https://careerviet.vn/vi/tim-viec-lam/ke-toan-kho.35C68F0B.html","Xem chi tiết")</f>
        <v/>
      </c>
      <c r="M16588" s="10" t="n"/>
    </row>
    <row r="16589">
      <c r="B16589" s="7" t="n">
        <v>16587</v>
      </c>
      <c r="C16589" t="inlineStr">
        <is>
          <t>[HN] Cán bộ Marketing / Field Marketing Officer (Video &amp; Content)</t>
        </is>
      </c>
      <c r="D16589" t="inlineStr">
        <is>
          <t>Công Ty Cổ Phần Diana Unicharm</t>
        </is>
      </c>
      <c r="E16589" t="inlineStr">
        <is>
          <t>Lương:700 - 900 USD</t>
        </is>
      </c>
      <c r="F16589" t="inlineStr">
        <is>
          <t>Hà Nội</t>
        </is>
      </c>
      <c r="G16589" t="inlineStr">
        <is>
          <t>6</t>
        </is>
      </c>
      <c r="H16589" t="inlineStr">
        <is>
          <t>23/03/2026</t>
        </is>
      </c>
      <c r="I16589" t="inlineStr">
        <is>
          <t>17/03/2026</t>
        </is>
      </c>
      <c r="J16589" t="inlineStr">
        <is>
          <t>Tiếp thị trực tuyến, Thương mại điện tử, Hàng gia dụng / Chăm sóc cá nhân</t>
        </is>
      </c>
      <c r="K16589" t="inlineStr">
        <is>
          <t>1 - 2 Năm</t>
        </is>
      </c>
      <c r="L16589" s="8">
        <f>HYPERLINK("https://careerviet.vn/vi/tim-viec-lam/hn-can-bo-marketing-field-marketing-officer-video-content.35C68D0A.html","Xem chi tiết")</f>
        <v/>
      </c>
    </row>
    <row r="16590">
      <c r="B16590" s="9" t="n">
        <v>16588</v>
      </c>
      <c r="C16590" s="10" t="inlineStr">
        <is>
          <t>Chuyên viên QS (CĐT BĐS)</t>
        </is>
      </c>
      <c r="D16590" s="10" t="inlineStr">
        <is>
          <t>Bảo mật</t>
        </is>
      </c>
      <c r="E16590" s="10" t="inlineStr">
        <is>
          <t>Lương:Cạnh tranh</t>
        </is>
      </c>
      <c r="F16590" s="10" t="inlineStr">
        <is>
          <t>Hồ Chí Minh</t>
        </is>
      </c>
      <c r="G16590" s="10" t="inlineStr">
        <is>
          <t>6</t>
        </is>
      </c>
      <c r="H16590" s="10" t="inlineStr">
        <is>
          <t>23/03/2026</t>
        </is>
      </c>
      <c r="I16590" s="10" t="inlineStr">
        <is>
          <t>17/03/2026</t>
        </is>
      </c>
      <c r="J16590" s="10" t="inlineStr">
        <is>
          <t>Xây dựng, Bất động sản</t>
        </is>
      </c>
      <c r="K16590" s="10" t="inlineStr">
        <is>
          <t>10 - 15 Năm</t>
        </is>
      </c>
      <c r="L16590" s="11">
        <f>HYPERLINK("https://careerviet.vn/vi/tim-viec-lam/chuyen-vien-qs-cdt-bds.35C63943.html","Xem chi tiết")</f>
        <v/>
      </c>
      <c r="M16590" s="10" t="n"/>
    </row>
    <row r="16591">
      <c r="B16591" s="7" t="n">
        <v>16589</v>
      </c>
      <c r="C16591" t="inlineStr">
        <is>
          <t>Trưởng Nhóm Hành Chính (Hiệp Hội Nội Thất)</t>
        </is>
      </c>
      <c r="D16591" t="inlineStr">
        <is>
          <t>HEXAGON - CÔNG TY CỔ PHẦN THIẾT KẾ LỤC GIÁC</t>
        </is>
      </c>
      <c r="E16591" t="inlineStr">
        <is>
          <t>Lương:14 Tr - 16 Tr VND</t>
        </is>
      </c>
      <c r="F16591" t="inlineStr">
        <is>
          <t>Hà Nội</t>
        </is>
      </c>
      <c r="G16591" t="inlineStr">
        <is>
          <t>31-03-2026</t>
        </is>
      </c>
      <c r="H16591" t="inlineStr">
        <is>
          <t>31/03/2026</t>
        </is>
      </c>
      <c r="I16591" t="inlineStr">
        <is>
          <t>17/03/2026</t>
        </is>
      </c>
      <c r="J16591" t="inlineStr">
        <is>
          <t>Hành chính / Thư ký, Nhân sự</t>
        </is>
      </c>
      <c r="K16591" t="inlineStr">
        <is>
          <t>2 - 3 Năm</t>
        </is>
      </c>
      <c r="L16591" s="8">
        <f>HYPERLINK("https://careerviet.vn/vi/tim-viec-lam/truong-nhom-hanh-chinh-hiep-hoi-noi-that.35C68CEC.html","Xem chi tiết")</f>
        <v/>
      </c>
    </row>
    <row r="16592">
      <c r="B16592" s="9" t="n">
        <v>16590</v>
      </c>
      <c r="C16592" s="10" t="inlineStr">
        <is>
          <t>Nhân Viên Kho Hàng Dược - Thu nhập 8 - 10Tr - Làm việc tại Hà Nội</t>
        </is>
      </c>
      <c r="D16592" s="10" t="inlineStr">
        <is>
          <t>Công ty TNHH Dược Hunmed</t>
        </is>
      </c>
      <c r="E16592" s="10" t="inlineStr">
        <is>
          <t>Lương:8 Tr - 10 Tr VND</t>
        </is>
      </c>
      <c r="F16592" s="10" t="inlineStr">
        <is>
          <t>Hà Nội</t>
        </is>
      </c>
      <c r="G16592" s="10" t="inlineStr">
        <is>
          <t>6</t>
        </is>
      </c>
      <c r="H16592" s="10" t="inlineStr">
        <is>
          <t>23/03/2026</t>
        </is>
      </c>
      <c r="I16592" s="10" t="inlineStr">
        <is>
          <t>17/03/2026</t>
        </is>
      </c>
      <c r="J16592" s="10" t="inlineStr">
        <is>
          <t>Dược phẩm/ Hóa Mỹ Phẩm, Vận chuyển / Giao nhận / Kho vận, Hành chính / Thư ký</t>
        </is>
      </c>
      <c r="K16592" s="10" t="inlineStr">
        <is>
          <t>N/A</t>
        </is>
      </c>
      <c r="L16592" s="11">
        <f>HYPERLINK("https://careerviet.vn/vi/tim-viec-lam/nhan-vien-kho-hang-duoc-thu-nhap-8-10tr-lam-viec-tai-ha-noi.35C68D31.html","Xem chi tiết")</f>
        <v/>
      </c>
      <c r="M16592" s="10" t="n"/>
    </row>
    <row r="16593">
      <c r="B16593" s="7" t="n">
        <v>16591</v>
      </c>
      <c r="C16593" t="inlineStr">
        <is>
          <t>Trưởng nhóm Chăm sóc khách hàng</t>
        </is>
      </c>
      <c r="D16593" t="inlineStr">
        <is>
          <t>Công ty TNHH X.E Việt Nam</t>
        </is>
      </c>
      <c r="E16593" t="inlineStr">
        <is>
          <t>Lương:13 Tr - 15 Tr VND</t>
        </is>
      </c>
      <c r="F16593" t="inlineStr">
        <is>
          <t>Hà Nội</t>
        </is>
      </c>
      <c r="G16593" t="inlineStr">
        <is>
          <t>6</t>
        </is>
      </c>
      <c r="H16593" t="inlineStr">
        <is>
          <t>23/03/2026</t>
        </is>
      </c>
      <c r="I16593" t="inlineStr">
        <is>
          <t>17/03/2026</t>
        </is>
      </c>
      <c r="J16593" t="inlineStr">
        <is>
          <t>Dịch vụ khách hàng, Vận chuyển / Giao nhận / Kho vận, Tư vấn</t>
        </is>
      </c>
      <c r="K16593" t="inlineStr">
        <is>
          <t>2 - 5 Năm</t>
        </is>
      </c>
      <c r="L16593" s="8">
        <f>HYPERLINK("https://careerviet.vn/vi/tim-viec-lam/truo-ng-nho-m-cham-so-c-kha-ch-ha-ng.35C68CF6.html","Xem chi tiết")</f>
        <v/>
      </c>
    </row>
    <row r="16594">
      <c r="B16594" s="9" t="n">
        <v>16592</v>
      </c>
      <c r="C16594" s="10" t="inlineStr">
        <is>
          <t>Chuyên viên quản lý rủi ro</t>
        </is>
      </c>
      <c r="D16594" s="10" t="inlineStr">
        <is>
          <t>BỆNH VIỆN ĐA KHOA PHƯƠNG NAM</t>
        </is>
      </c>
      <c r="E16594" s="10" t="inlineStr">
        <is>
          <t>Lương:Cạnh tranh</t>
        </is>
      </c>
      <c r="F16594" s="10" t="inlineStr">
        <is>
          <t>Hồ Chí Minh</t>
        </is>
      </c>
      <c r="G16594" s="10" t="inlineStr">
        <is>
          <t>08-03-2026</t>
        </is>
      </c>
      <c r="H16594" s="10" t="inlineStr">
        <is>
          <t>14/03/2026</t>
        </is>
      </c>
      <c r="I16594" s="10" t="inlineStr">
        <is>
          <t>17/03/2026</t>
        </is>
      </c>
      <c r="J16594" s="10" t="inlineStr">
        <is>
          <t>Y tế / Chăm sóc sức khỏe / Thẩm mỹ / Làm đẹp</t>
        </is>
      </c>
      <c r="K16594" s="10" t="inlineStr">
        <is>
          <t>1 - 2 Năm</t>
        </is>
      </c>
      <c r="L16594" s="11">
        <f>HYPERLINK("https://careerviet.vn/vi/tim-viec-lam/chuyen-vien-quan-ly-rui-ro.35C68D28.html","Xem chi tiết")</f>
        <v/>
      </c>
      <c r="M16594" s="10" t="n"/>
    </row>
    <row r="16595">
      <c r="B16595" s="7" t="n">
        <v>16593</v>
      </c>
      <c r="C16595" t="inlineStr">
        <is>
          <t>Chuyên viên Digital Marketing</t>
        </is>
      </c>
      <c r="D16595" t="inlineStr">
        <is>
          <t>CÔNG TY CỔ PHẦN HỌC VIỆN MINH TRÍ THÀNH</t>
        </is>
      </c>
      <c r="E16595" t="inlineStr">
        <is>
          <t>Lương:12 Tr - 18 Tr VND</t>
        </is>
      </c>
      <c r="F16595" t="inlineStr">
        <is>
          <t>Hà Nội</t>
        </is>
      </c>
      <c r="G16595" t="inlineStr">
        <is>
          <t>27-04-2026</t>
        </is>
      </c>
      <c r="H16595" t="inlineStr">
        <is>
          <t>27/04/2026</t>
        </is>
      </c>
      <c r="I16595" t="inlineStr">
        <is>
          <t>17/03/2026</t>
        </is>
      </c>
      <c r="J16595" t="inlineStr">
        <is>
          <t>Tiếp thị / Marketing, Quảng cáo / Đối ngoại / Truyền Thông</t>
        </is>
      </c>
      <c r="K16595" t="inlineStr">
        <is>
          <t>2 - 5 Năm</t>
        </is>
      </c>
      <c r="L16595" s="8">
        <f>HYPERLINK("https://careerviet.vn/vi/tim-viec-lam/chuyen-vien-digital-marketing.35C68D25.html","Xem chi tiết")</f>
        <v/>
      </c>
    </row>
    <row r="16596">
      <c r="B16596" s="9" t="n">
        <v>16594</v>
      </c>
      <c r="C16596" s="10" t="inlineStr">
        <is>
          <t>Nhân viên Kinh doanh Xuất khẩu Tiếng Anh</t>
        </is>
      </c>
      <c r="D16596" s="10" t="inlineStr">
        <is>
          <t>Công Ty Cổ Phần Thương Mại Tư Vấn Và Xây Dựng Vĩnh Hưng</t>
        </is>
      </c>
      <c r="E16596" s="10" t="inlineStr">
        <is>
          <t>Lương:15 Tr - 30 Tr VND</t>
        </is>
      </c>
      <c r="F16596" s="10" t="inlineStr">
        <is>
          <t>Hà Nội</t>
        </is>
      </c>
      <c r="G16596" s="10" t="inlineStr">
        <is>
          <t>31-03-2026</t>
        </is>
      </c>
      <c r="H16596" s="10" t="inlineStr">
        <is>
          <t>31/03/2026</t>
        </is>
      </c>
      <c r="I16596" s="10" t="inlineStr">
        <is>
          <t>17/03/2026</t>
        </is>
      </c>
      <c r="J16596" s="10" t="inlineStr">
        <is>
          <t>Bán hàng / Kinh doanh, Bán Hàng Kỹ Thuật, Xây dựng</t>
        </is>
      </c>
      <c r="K16596" s="10" t="inlineStr">
        <is>
          <t>1 - 5 Năm</t>
        </is>
      </c>
      <c r="L16596" s="11">
        <f>HYPERLINK("https://careerviet.vn/vi/tim-viec-lam/nhan-vien-kinh-doanh-xuat-khau-tieng-anh.35C68EAA.html","Xem chi tiết")</f>
        <v/>
      </c>
      <c r="M16596" s="10" t="n"/>
    </row>
    <row r="16597">
      <c r="B16597" s="7" t="n">
        <v>16595</v>
      </c>
      <c r="C16597" t="inlineStr">
        <is>
          <t>Phó ban tuyển dụng</t>
        </is>
      </c>
      <c r="D16597" t="inlineStr">
        <is>
          <t>Công Ty Cổ Phần A25 Hotel</t>
        </is>
      </c>
      <c r="E16597" t="inlineStr">
        <is>
          <t>Lương:18 Tr - 30 Tr VND</t>
        </is>
      </c>
      <c r="F16597" t="inlineStr">
        <is>
          <t>Hà Nội</t>
        </is>
      </c>
      <c r="G16597" t="inlineStr">
        <is>
          <t>31-03-2026</t>
        </is>
      </c>
      <c r="H16597" t="inlineStr">
        <is>
          <t>31/03/2026</t>
        </is>
      </c>
      <c r="I16597" t="inlineStr">
        <is>
          <t>17/03/2026</t>
        </is>
      </c>
      <c r="J16597" t="inlineStr">
        <is>
          <t>Nhân sự</t>
        </is>
      </c>
      <c r="K16597" t="inlineStr">
        <is>
          <t>3 - 5 Năm</t>
        </is>
      </c>
      <c r="L16597" s="8">
        <f>HYPERLINK("https://careerviet.vn/vi/tim-viec-lam/pho-ban-tuyen-dung.35C68F16.html","Xem chi tiết")</f>
        <v/>
      </c>
    </row>
    <row r="16598">
      <c r="B16598" s="9" t="n">
        <v>16596</v>
      </c>
      <c r="C16598" s="10" t="inlineStr">
        <is>
          <t>Đại Diện Kinh Doanh Camera Hành Trình Khu Vực Hà Nội (Có Sẵn Data KH. Lương Cứng 8-10 Triệu + Hoa Hồng) Thu nhập 15-35tr/tháng</t>
        </is>
      </c>
      <c r="D16598" s="10" t="inlineStr">
        <is>
          <t>Công Ty TNHH Phát Triển Công Nghệ Điện Tử Bình Anh</t>
        </is>
      </c>
      <c r="E16598" s="10" t="inlineStr">
        <is>
          <t>Lương:20 Tr - 35 Tr VND</t>
        </is>
      </c>
      <c r="F16598" s="10" t="inlineStr">
        <is>
          <t>Hà Nội</t>
        </is>
      </c>
      <c r="G16598" s="10" t="inlineStr">
        <is>
          <t>31-03-2026</t>
        </is>
      </c>
      <c r="H16598" s="10" t="inlineStr">
        <is>
          <t>31/03/2026</t>
        </is>
      </c>
      <c r="I16598" s="10" t="inlineStr">
        <is>
          <t>17/03/2026</t>
        </is>
      </c>
      <c r="J16598" s="10" t="inlineStr">
        <is>
          <t>Tiếp thị / Marketing, Bán hàng / Kinh doanh, Dịch vụ khách hàng</t>
        </is>
      </c>
      <c r="K16598" s="10" t="inlineStr">
        <is>
          <t>1 - 3 Năm</t>
        </is>
      </c>
      <c r="L16598" s="11">
        <f>HYPERLINK("https://careerviet.vn/vi/tim-viec-lam/dai-dien-kinh-doanh-camera-hanh-trinh-khu-vuc-ha-noi-co-san-data-kh-luong-cung-8-10-trieu-hoa-hong-thu-nhap-15-35tr-thang.35C66286.html","Xem chi tiết")</f>
        <v/>
      </c>
      <c r="M16598" s="10" t="n"/>
    </row>
    <row r="16599">
      <c r="B16599" s="7" t="n">
        <v>16597</v>
      </c>
      <c r="C16599" t="inlineStr">
        <is>
          <t>Thiết Kế Đồ Họa Game Tại Hà Nội</t>
        </is>
      </c>
      <c r="D16599" t="inlineStr">
        <is>
          <t>Koei Tecmo Software Vietnam</t>
        </is>
      </c>
      <c r="E16599" t="inlineStr">
        <is>
          <t>Lương:Cạnh tranh</t>
        </is>
      </c>
      <c r="F16599" t="inlineStr">
        <is>
          <t>Hà Nội</t>
        </is>
      </c>
      <c r="G16599" t="inlineStr">
        <is>
          <t>25-03-2026</t>
        </is>
      </c>
      <c r="H16599" t="inlineStr">
        <is>
          <t>25/03/2026</t>
        </is>
      </c>
      <c r="I16599" t="inlineStr">
        <is>
          <t>17/03/2026</t>
        </is>
      </c>
      <c r="J16599" t="inlineStr">
        <is>
          <t>Mỹ thuật / Nghệ thuật / Thiết kế</t>
        </is>
      </c>
      <c r="K16599" t="inlineStr">
        <is>
          <t>null - null Năm</t>
        </is>
      </c>
      <c r="L16599" s="8">
        <f>HYPERLINK("https://careerviet.vn/vi/tim-viec-lam/thiet-ke-do-hoa-game-tai-ha-noi.35C68D73.html","Xem chi tiết")</f>
        <v/>
      </c>
    </row>
    <row r="16600">
      <c r="B16600" s="9" t="n">
        <v>16598</v>
      </c>
      <c r="C16600" s="10" t="inlineStr">
        <is>
          <t>Technical &amp; Continuous Improvement Engineer</t>
        </is>
      </c>
      <c r="D16600" s="10" t="inlineStr">
        <is>
          <t>Công Ty CP Wendelbo Đông Nam Á</t>
        </is>
      </c>
      <c r="E16600" s="10" t="inlineStr">
        <is>
          <t>Lương:Cạnh tranh</t>
        </is>
      </c>
      <c r="F16600" s="10" t="inlineStr">
        <is>
          <t>Bình Dương</t>
        </is>
      </c>
      <c r="G16600" s="10" t="inlineStr">
        <is>
          <t>31-03-2026</t>
        </is>
      </c>
      <c r="H16600" s="10" t="inlineStr">
        <is>
          <t>31/03/2026</t>
        </is>
      </c>
      <c r="I16600" s="10" t="inlineStr">
        <is>
          <t>17/03/2026</t>
        </is>
      </c>
      <c r="J16600" s="10" t="inlineStr">
        <is>
          <t>Mỹ thuật / Nghệ thuật / Thiết kế, Đồ gỗ, Nội ngoại thất</t>
        </is>
      </c>
      <c r="K16600" s="10" t="inlineStr">
        <is>
          <t>3 - 5 Năm</t>
        </is>
      </c>
      <c r="L16600" s="11">
        <f>HYPERLINK("https://careerviet.vn/vi/tim-viec-lam/technical-continuous-improvement-engineer.35C68CE7.html","Xem chi tiết")</f>
        <v/>
      </c>
      <c r="M16600" s="10" t="n"/>
    </row>
    <row r="16601">
      <c r="B16601" s="7" t="n">
        <v>16599</v>
      </c>
      <c r="C16601" t="inlineStr">
        <is>
          <t>Senior DevOps Engineer (HR Software)</t>
        </is>
      </c>
      <c r="D16601" t="inlineStr">
        <is>
          <t>Công ty TNHH Cadena Việt Nam</t>
        </is>
      </c>
      <c r="E16601" t="inlineStr">
        <is>
          <t>Lương:Cạnh tranh</t>
        </is>
      </c>
      <c r="F16601" t="inlineStr">
        <is>
          <t>Hồ Chí Minh</t>
        </is>
      </c>
      <c r="G16601" t="inlineStr">
        <is>
          <t>6</t>
        </is>
      </c>
      <c r="H16601" t="inlineStr">
        <is>
          <t>23/03/2026</t>
        </is>
      </c>
      <c r="I16601" t="inlineStr">
        <is>
          <t>17/03/2026</t>
        </is>
      </c>
      <c r="J16601" t="inlineStr">
        <is>
          <t>CNTT - Phần mềm, Nhân sự</t>
        </is>
      </c>
      <c r="K16601" t="inlineStr">
        <is>
          <t>5 - 7 Năm</t>
        </is>
      </c>
      <c r="L16601" s="8">
        <f>HYPERLINK("https://careerviet.vn/vi/tim-viec-lam/senior-devops-engineer-hr-software.35C68D6F.html","Xem chi tiết")</f>
        <v/>
      </c>
    </row>
    <row r="16602">
      <c r="B16602" s="9" t="n">
        <v>16600</v>
      </c>
      <c r="C16602" s="10" t="inlineStr">
        <is>
          <t>Nhân viên kho</t>
        </is>
      </c>
      <c r="D16602" s="10" t="inlineStr">
        <is>
          <t>CÔNG TY TNHH ZAM MART (VIỆT NAM)</t>
        </is>
      </c>
      <c r="E16602" s="10" t="inlineStr">
        <is>
          <t>Lương:7 Tr - 8 Tr VND</t>
        </is>
      </c>
      <c r="F16602" s="10" t="inlineStr">
        <is>
          <t>Hồ Chí Minh</t>
        </is>
      </c>
      <c r="G16602" s="10" t="inlineStr">
        <is>
          <t>6</t>
        </is>
      </c>
      <c r="H16602" s="10" t="inlineStr">
        <is>
          <t>23/03/2026</t>
        </is>
      </c>
      <c r="I16602" s="10" t="inlineStr">
        <is>
          <t>17/03/2026</t>
        </is>
      </c>
      <c r="J16602" s="10" t="inlineStr">
        <is>
          <t>Vận chuyển / Giao nhận / Kho vận, Thương mại điện tử, Bán lẻ / Bán sỉ</t>
        </is>
      </c>
      <c r="K16602" s="10" t="inlineStr">
        <is>
          <t>Lên đến 1 Năm</t>
        </is>
      </c>
      <c r="L16602" s="11">
        <f>HYPERLINK("https://careerviet.vn/vi/tim-viec-lam/nhan-vien-kho.35C68E94.html","Xem chi tiết")</f>
        <v/>
      </c>
      <c r="M16602" s="10" t="n"/>
    </row>
    <row r="16603">
      <c r="B16603" s="7" t="n">
        <v>16601</v>
      </c>
      <c r="C16603" t="inlineStr">
        <is>
          <t>Nhân viên bán hàng - Quận 6</t>
        </is>
      </c>
      <c r="D16603" t="inlineStr">
        <is>
          <t>Công ty CP Toshiko Việt Nam</t>
        </is>
      </c>
      <c r="E16603" t="inlineStr">
        <is>
          <t>Lương:10 Tr - 15 Tr VND</t>
        </is>
      </c>
      <c r="F16603" t="inlineStr">
        <is>
          <t>Hồ Chí Minh</t>
        </is>
      </c>
      <c r="G16603" t="inlineStr">
        <is>
          <t>6</t>
        </is>
      </c>
      <c r="H16603" t="inlineStr">
        <is>
          <t>23/03/2026</t>
        </is>
      </c>
      <c r="I16603" t="inlineStr">
        <is>
          <t>17/03/2026</t>
        </is>
      </c>
      <c r="J16603" t="inlineStr">
        <is>
          <t>Bán lẻ / Bán sỉ, Bán hàng / Kinh doanh, Tư vấn</t>
        </is>
      </c>
      <c r="K16603" t="inlineStr">
        <is>
          <t>1 - 2 Năm</t>
        </is>
      </c>
      <c r="L16603" s="8">
        <f>HYPERLINK("https://careerviet.vn/vi/tim-viec-lam/nhan-vien-ban-hang-quan-6.35C68D34.html","Xem chi tiết")</f>
        <v/>
      </c>
    </row>
    <row r="16604">
      <c r="B16604" s="9" t="n">
        <v>16602</v>
      </c>
      <c r="C16604" s="10" t="inlineStr">
        <is>
          <t>Sales Executive</t>
        </is>
      </c>
      <c r="D16604" s="10" t="inlineStr">
        <is>
          <t>CÔNG TY CỔ PHẦN BMP GROUP</t>
        </is>
      </c>
      <c r="E16604" s="10" t="inlineStr">
        <is>
          <t>Lương:Cạnh tranh</t>
        </is>
      </c>
      <c r="F16604" s="10" t="inlineStr">
        <is>
          <t>Hồ Chí Minh</t>
        </is>
      </c>
      <c r="G16604" s="10" t="inlineStr">
        <is>
          <t>08-03-2026</t>
        </is>
      </c>
      <c r="H16604" s="10" t="inlineStr">
        <is>
          <t>14/03/2026</t>
        </is>
      </c>
      <c r="I16604" s="10" t="inlineStr">
        <is>
          <t>17/03/2026</t>
        </is>
      </c>
      <c r="J16604" s="10" t="inlineStr">
        <is>
          <t>Bán hàng / Kinh doanh, Xuất nhập khẩu, Bán Hàng Kỹ Thuật</t>
        </is>
      </c>
      <c r="K16604" s="10" t="inlineStr">
        <is>
          <t>1 - 3 Năm</t>
        </is>
      </c>
      <c r="L16604" s="11">
        <f>HYPERLINK("https://careerviet.vn/vi/tim-viec-lam/sales-executive.35C68D19.html","Xem chi tiết")</f>
        <v/>
      </c>
      <c r="M16604" s="10" t="n"/>
    </row>
    <row r="16605">
      <c r="B16605" s="7" t="n">
        <v>16603</v>
      </c>
      <c r="C16605" t="inlineStr">
        <is>
          <t>[I1] NHÂN VIÊN KIỂM TRA BÁO CÁO KHÁCH HÀNG BÍ MẬT</t>
        </is>
      </c>
      <c r="D16605" t="inlineStr">
        <is>
          <t>BellSystem24-Việt Nam</t>
        </is>
      </c>
      <c r="E16605" t="inlineStr">
        <is>
          <t>Lương:9 Tr - 11 Tr VND</t>
        </is>
      </c>
      <c r="F16605" t="inlineStr">
        <is>
          <t>Hà Nội</t>
        </is>
      </c>
      <c r="G16605" t="inlineStr">
        <is>
          <t>6</t>
        </is>
      </c>
      <c r="H16605" t="inlineStr">
        <is>
          <t>23/03/2026</t>
        </is>
      </c>
      <c r="I16605" t="inlineStr">
        <is>
          <t>17/03/2026</t>
        </is>
      </c>
      <c r="J16605" t="inlineStr">
        <is>
          <t>Dịch vụ khách hàng</t>
        </is>
      </c>
      <c r="K16605" t="inlineStr">
        <is>
          <t>Chưa có kinh nghiệm</t>
        </is>
      </c>
      <c r="L16605" s="8">
        <f>HYPERLINK("https://careerviet.vn/vi/tim-viec-lam/i1-nhan-vien-kiem-tra-bao-cao-khach-hang-bi-mat.35C68D7F.html","Xem chi tiết")</f>
        <v/>
      </c>
    </row>
    <row r="16606">
      <c r="B16606" s="9" t="n">
        <v>16604</v>
      </c>
      <c r="C16606" s="10" t="inlineStr">
        <is>
          <t>Chuyên Viên Chính Phát Triển Văn Hóa</t>
        </is>
      </c>
      <c r="D16606" s="10" t="inlineStr">
        <is>
          <t>CÔNG TY CỔ PHẦN PHÁT TRIỂN BẤT ĐỘNG SẢN VĂN PHÚ</t>
        </is>
      </c>
      <c r="E16606" s="10" t="inlineStr">
        <is>
          <t>Lương:Cạnh tranh</t>
        </is>
      </c>
      <c r="F16606" s="10" t="inlineStr">
        <is>
          <t>Hà Nội</t>
        </is>
      </c>
      <c r="G16606" s="10" t="inlineStr">
        <is>
          <t>25-03-2026</t>
        </is>
      </c>
      <c r="H16606" s="10" t="inlineStr">
        <is>
          <t>25/03/2026</t>
        </is>
      </c>
      <c r="I16606" s="10" t="inlineStr">
        <is>
          <t>17/03/2026</t>
        </is>
      </c>
      <c r="J16606" s="10" t="inlineStr">
        <is>
          <t>Bất động sản, Quảng cáo / Đối ngoại / Truyền Thông</t>
        </is>
      </c>
      <c r="K16606" s="10" t="inlineStr">
        <is>
          <t>null - null Năm</t>
        </is>
      </c>
      <c r="L16606" s="11">
        <f>HYPERLINK("https://careerviet.vn/vi/tim-viec-lam/chuyen-vien-chinh-phat-trien-van-hoa.35C68D6A.html","Xem chi tiết")</f>
        <v/>
      </c>
      <c r="M16606" s="10" t="n"/>
    </row>
    <row r="16607">
      <c r="B16607" s="7" t="n">
        <v>16605</v>
      </c>
      <c r="C16607" t="inlineStr">
        <is>
          <t>[CITIGYM] Senior Talent Acquisition</t>
        </is>
      </c>
      <c r="D16607" t="inlineStr">
        <is>
          <t>Nova Service Group - Công ty Cổ phần Tập đoàn Nova Services</t>
        </is>
      </c>
      <c r="E16607" t="inlineStr">
        <is>
          <t>Lương:15 Tr - 20 Tr VND</t>
        </is>
      </c>
      <c r="F16607" t="inlineStr">
        <is>
          <t>Hồ Chí Minh</t>
        </is>
      </c>
      <c r="G16607" t="inlineStr">
        <is>
          <t>31-03-2026</t>
        </is>
      </c>
      <c r="H16607" t="inlineStr">
        <is>
          <t>31/03/2026</t>
        </is>
      </c>
      <c r="I16607" t="inlineStr">
        <is>
          <t>17/03/2026</t>
        </is>
      </c>
      <c r="J16607" t="inlineStr">
        <is>
          <t>Nhân sự</t>
        </is>
      </c>
      <c r="K16607" t="inlineStr">
        <is>
          <t>2 - 3 Năm</t>
        </is>
      </c>
      <c r="L16607" s="8">
        <f>HYPERLINK("https://careerviet.vn/vi/tim-viec-lam/citigym-senior-talent-acquisition.35C68E6B.html","Xem chi tiết")</f>
        <v/>
      </c>
    </row>
    <row r="16608">
      <c r="B16608" s="9" t="n">
        <v>16606</v>
      </c>
      <c r="C16608" s="10" t="inlineStr">
        <is>
          <t>Nhân Viên Bảo Trì Điện hoặc Điện Lạnh</t>
        </is>
      </c>
      <c r="D16608" s="10" t="inlineStr">
        <is>
          <t>CHI NHÁNH CÔNG TY TNHH DAEYOUNG EP VINA TẠI BÀ RỊA - VŨNG TÀU</t>
        </is>
      </c>
      <c r="E16608" s="10" t="inlineStr">
        <is>
          <t>Lương:Cạnh tranh</t>
        </is>
      </c>
      <c r="F16608" s="10" t="inlineStr">
        <is>
          <t>Bà Rịa - Vũng Tàu</t>
        </is>
      </c>
      <c r="G16608" s="10" t="inlineStr">
        <is>
          <t>25-03-2026</t>
        </is>
      </c>
      <c r="H16608" s="10" t="inlineStr">
        <is>
          <t>25/03/2026</t>
        </is>
      </c>
      <c r="I16608" s="10" t="inlineStr">
        <is>
          <t>17/03/2026</t>
        </is>
      </c>
      <c r="J16608" s="10" t="inlineStr">
        <is>
          <t>Điện / Điện tử / Điện lạnh / Điện công nghiệp</t>
        </is>
      </c>
      <c r="K16608" s="10" t="inlineStr">
        <is>
          <t>null - null Năm</t>
        </is>
      </c>
      <c r="L16608" s="11">
        <f>HYPERLINK("https://careerviet.vn/vi/tim-viec-lam/nhan-vien-bao-tri-dien-hoac-dien-lanh.35C68DBE.html","Xem chi tiết")</f>
        <v/>
      </c>
      <c r="M16608" s="10" t="n"/>
    </row>
    <row r="16609">
      <c r="B16609" s="7" t="n">
        <v>16607</v>
      </c>
      <c r="C16609" t="inlineStr">
        <is>
          <t>Kỹ sư Giám sát cơ điện (HVAC)</t>
        </is>
      </c>
      <c r="D16609" t="inlineStr">
        <is>
          <t>Công ty Cổ phần công nghệ và đầu tư INTECH</t>
        </is>
      </c>
      <c r="E16609" t="inlineStr">
        <is>
          <t>Lương:10 Tr - 25 Tr VND</t>
        </is>
      </c>
      <c r="F16609" t="inlineStr">
        <is>
          <t>Hà NộiHồ Chí Minh</t>
        </is>
      </c>
      <c r="G16609" t="inlineStr">
        <is>
          <t>31-03-2026</t>
        </is>
      </c>
      <c r="H16609" t="inlineStr">
        <is>
          <t>31/03/2026</t>
        </is>
      </c>
      <c r="I16609" t="inlineStr">
        <is>
          <t>17/03/2026</t>
        </is>
      </c>
      <c r="J16609" t="inlineStr">
        <is>
          <t>Điện / Điện tử / Điện lạnh / Điện công nghiệp, Cơ khí / Ô tô / Tự động hóa, Môi trường</t>
        </is>
      </c>
      <c r="K16609" t="inlineStr">
        <is>
          <t>1 - 2 Năm</t>
        </is>
      </c>
      <c r="L16609" s="8">
        <f>HYPERLINK("https://careerviet.vn/vi/tim-viec-lam/ky-su-giam-sat-co-dien-hvac.35C68D99.html","Xem chi tiết")</f>
        <v/>
      </c>
    </row>
    <row r="16610">
      <c r="B16610" s="9" t="n">
        <v>16608</v>
      </c>
      <c r="C16610" s="10" t="inlineStr">
        <is>
          <t>Seller Centre Support  (Sales Admin)</t>
        </is>
      </c>
      <c r="D16610" s="10" t="inlineStr">
        <is>
          <t>CÔNG TY TNHH MJ ART GROUP</t>
        </is>
      </c>
      <c r="E16610" s="10" t="inlineStr">
        <is>
          <t>Lương:Cạnh tranh</t>
        </is>
      </c>
      <c r="F16610" s="10" t="inlineStr">
        <is>
          <t>Đà Nẵng</t>
        </is>
      </c>
      <c r="G16610" s="10" t="inlineStr">
        <is>
          <t>25-03-2026</t>
        </is>
      </c>
      <c r="H16610" s="10" t="inlineStr">
        <is>
          <t>25/03/2026</t>
        </is>
      </c>
      <c r="I16610" s="10" t="inlineStr">
        <is>
          <t>17/03/2026</t>
        </is>
      </c>
      <c r="J16610" s="10" t="inlineStr">
        <is>
          <t>Tiếp thị / Marketing, Tiếp thị trực tuyến, Thương mại điện tử</t>
        </is>
      </c>
      <c r="K16610" s="10" t="inlineStr">
        <is>
          <t>1 - 3 Năm</t>
        </is>
      </c>
      <c r="L16610" s="11">
        <f>HYPERLINK("https://careerviet.vn/vi/tim-viec-lam/seller-centre-support-sales-admin.35C68D75.html","Xem chi tiết")</f>
        <v/>
      </c>
      <c r="M16610" s="10" t="n"/>
    </row>
    <row r="16611">
      <c r="B16611" s="7" t="n">
        <v>16609</v>
      </c>
      <c r="C16611" t="inlineStr">
        <is>
          <t>KOL Management</t>
        </is>
      </c>
      <c r="D16611" t="inlineStr">
        <is>
          <t>CÔNG TY TNHH MJ ART GROUP</t>
        </is>
      </c>
      <c r="E16611" t="inlineStr">
        <is>
          <t>Lương:Cạnh tranh</t>
        </is>
      </c>
      <c r="F16611" t="inlineStr">
        <is>
          <t>Đà Nẵng</t>
        </is>
      </c>
      <c r="G16611" t="inlineStr">
        <is>
          <t>25-03-2026</t>
        </is>
      </c>
      <c r="H16611" t="inlineStr">
        <is>
          <t>25/03/2026</t>
        </is>
      </c>
      <c r="I16611" t="inlineStr">
        <is>
          <t>17/03/2026</t>
        </is>
      </c>
      <c r="J16611" t="inlineStr">
        <is>
          <t>Tiếp thị trực tuyến, Thương mại điện tử, Tiếp thị / Marketing</t>
        </is>
      </c>
      <c r="K16611" t="inlineStr">
        <is>
          <t>1 - 3 Năm</t>
        </is>
      </c>
      <c r="L16611" s="8">
        <f>HYPERLINK("https://careerviet.vn/vi/tim-viec-lam/kol-management.35C68D68.html","Xem chi tiết")</f>
        <v/>
      </c>
    </row>
    <row r="16612">
      <c r="B16612" s="9" t="n">
        <v>16610</v>
      </c>
      <c r="C16612" s="10" t="inlineStr">
        <is>
          <t>Nhân Viên Kinh Doanh</t>
        </is>
      </c>
      <c r="D16612" s="10" t="inlineStr">
        <is>
          <t>Công ty TNHH ELENTEC HCM VINA</t>
        </is>
      </c>
      <c r="E16612" s="10" t="inlineStr">
        <is>
          <t>Lương:Trên 15 Tr VND</t>
        </is>
      </c>
      <c r="F16612" s="10" t="inlineStr">
        <is>
          <t>Đồng Nai</t>
        </is>
      </c>
      <c r="G16612" s="10" t="inlineStr">
        <is>
          <t>30-04-2026</t>
        </is>
      </c>
      <c r="H16612" s="10" t="inlineStr">
        <is>
          <t>30/04/2026</t>
        </is>
      </c>
      <c r="I16612" s="10" t="inlineStr">
        <is>
          <t>17/03/2026</t>
        </is>
      </c>
      <c r="J16612" s="10" t="inlineStr">
        <is>
          <t>Tiếp thị / Marketing, Bán lẻ / Bán sỉ, Bán hàng / Kinh doanh</t>
        </is>
      </c>
      <c r="K16612" s="10" t="inlineStr">
        <is>
          <t>Trên 3 Năm</t>
        </is>
      </c>
      <c r="L16612" s="11">
        <f>HYPERLINK("https://careerviet.vn/vi/tim-viec-lam/nhan-vien-kinh-doanh.35C68D71.html","Xem chi tiết")</f>
        <v/>
      </c>
      <c r="M16612" s="10" t="n"/>
    </row>
    <row r="16613">
      <c r="B16613" s="7" t="n">
        <v>16611</v>
      </c>
      <c r="C16613" t="inlineStr">
        <is>
          <t>[Đà Nẵng] Marketing Executive</t>
        </is>
      </c>
      <c r="D16613" t="inlineStr">
        <is>
          <t>CÔNG TY TNHH MJ ART GROUP</t>
        </is>
      </c>
      <c r="E16613" t="inlineStr">
        <is>
          <t>Lương:Cạnh tranh</t>
        </is>
      </c>
      <c r="F16613" t="inlineStr">
        <is>
          <t>Đà Nẵng</t>
        </is>
      </c>
      <c r="G16613" t="inlineStr">
        <is>
          <t>31-03-2026</t>
        </is>
      </c>
      <c r="H16613" t="inlineStr">
        <is>
          <t>31/03/2026</t>
        </is>
      </c>
      <c r="I16613" t="inlineStr">
        <is>
          <t>17/03/2026</t>
        </is>
      </c>
      <c r="J16613" t="inlineStr">
        <is>
          <t>Tiếp thị / Marketing, Tiếp thị trực tuyến, Thương mại điện tử</t>
        </is>
      </c>
      <c r="K16613" t="inlineStr">
        <is>
          <t>2 - 3 Năm</t>
        </is>
      </c>
      <c r="L16613" s="8">
        <f>HYPERLINK("https://careerviet.vn/vi/tim-viec-lam/da-nang-marketing-executive.35C68D54.html","Xem chi tiết")</f>
        <v/>
      </c>
    </row>
    <row r="16614">
      <c r="B16614" s="9" t="n">
        <v>16612</v>
      </c>
      <c r="C16614" s="10" t="inlineStr">
        <is>
          <t>Sales Key Account Executive (Clinic &amp; Hospital)</t>
        </is>
      </c>
      <c r="D16614" s="10" t="inlineStr">
        <is>
          <t>DIAG</t>
        </is>
      </c>
      <c r="E16614" s="10" t="inlineStr">
        <is>
          <t>Lương:18 Tr - 20 Tr VND</t>
        </is>
      </c>
      <c r="F16614" s="10" t="inlineStr">
        <is>
          <t>Hồ Chí Minh</t>
        </is>
      </c>
      <c r="G16614" s="10" t="inlineStr">
        <is>
          <t>31-03-2026</t>
        </is>
      </c>
      <c r="H16614" s="10" t="inlineStr">
        <is>
          <t>31/03/2026</t>
        </is>
      </c>
      <c r="I16614" s="10" t="inlineStr">
        <is>
          <t>17/03/2026</t>
        </is>
      </c>
      <c r="J16614" s="10" t="inlineStr">
        <is>
          <t>Y tế / Chăm sóc sức khỏe / Thẩm mỹ / Làm đẹp</t>
        </is>
      </c>
      <c r="K16614" s="10" t="inlineStr">
        <is>
          <t>2 - 3 Năm</t>
        </is>
      </c>
      <c r="L16614" s="11">
        <f>HYPERLINK("https://careerviet.vn/vi/tim-viec-lam/sales-key-account-executive-clinic-hospital.35C68C9F.html","Xem chi tiết")</f>
        <v/>
      </c>
      <c r="M16614" s="10" t="n"/>
    </row>
    <row r="16615">
      <c r="B16615" s="7" t="n">
        <v>16613</v>
      </c>
      <c r="C16615" t="inlineStr">
        <is>
          <t>Rooftop Solar Engineer</t>
        </is>
      </c>
      <c r="D16615" t="inlineStr">
        <is>
          <t>Tập Đoàn Kim Tín</t>
        </is>
      </c>
      <c r="E16615" t="inlineStr">
        <is>
          <t>Lương:Cạnh tranh</t>
        </is>
      </c>
      <c r="F16615" t="inlineStr">
        <is>
          <t>Hồ Chí Minh</t>
        </is>
      </c>
      <c r="G16615" t="inlineStr">
        <is>
          <t>25-03-2026</t>
        </is>
      </c>
      <c r="H16615" t="inlineStr">
        <is>
          <t>25/03/2026</t>
        </is>
      </c>
      <c r="I16615" t="inlineStr">
        <is>
          <t>17/03/2026</t>
        </is>
      </c>
      <c r="J16615" t="inlineStr">
        <is>
          <t>Cơ khí / Ô tô / Tự động hóa, Ngành khác, Điện / Điện tử / Điện lạnh / Điện công nghiệp</t>
        </is>
      </c>
      <c r="K16615" t="inlineStr">
        <is>
          <t>null - null Năm</t>
        </is>
      </c>
      <c r="L16615" s="8">
        <f>HYPERLINK("https://careerviet.vn/vi/tim-viec-lam/rooftop-solar-engineer.35C68DFD.html","Xem chi tiết")</f>
        <v/>
      </c>
    </row>
    <row r="16616">
      <c r="B16616" s="9" t="n">
        <v>16614</v>
      </c>
      <c r="C16616" s="10" t="inlineStr">
        <is>
          <t>[Ha Noi | Ho Chi Minh | Da Nang | Remote] Seller Account</t>
        </is>
      </c>
      <c r="D16616" s="10" t="inlineStr">
        <is>
          <t>CÔNG TY TNHH MJ ART GROUP</t>
        </is>
      </c>
      <c r="E16616" s="10" t="inlineStr">
        <is>
          <t>Lương:Cạnh tranh</t>
        </is>
      </c>
      <c r="F16616" s="10" t="inlineStr">
        <is>
          <t>Đà Nẵng</t>
        </is>
      </c>
      <c r="G16616" s="10" t="inlineStr">
        <is>
          <t>31-03-2026</t>
        </is>
      </c>
      <c r="H16616" s="10" t="inlineStr">
        <is>
          <t>31/03/2026</t>
        </is>
      </c>
      <c r="I16616" s="10" t="inlineStr">
        <is>
          <t>17/03/2026</t>
        </is>
      </c>
      <c r="J16616" s="10" t="inlineStr">
        <is>
          <t>Bán hàng / Kinh doanh, Tiếp thị / Marketing, Thương mại điện tử</t>
        </is>
      </c>
      <c r="K16616" s="10" t="inlineStr">
        <is>
          <t>1 - 3 Năm</t>
        </is>
      </c>
      <c r="L16616" s="11">
        <f>HYPERLINK("https://careerviet.vn/vi/tim-viec-lam/ha-noi-ho-chi-minh-da-nang-remote-seller-account.35C68D5C.html","Xem chi tiết")</f>
        <v/>
      </c>
      <c r="M16616" s="10" t="n"/>
    </row>
    <row r="16617">
      <c r="B16617" s="7" t="n">
        <v>16615</v>
      </c>
      <c r="C16617" t="inlineStr">
        <is>
          <t>Kế Toán Tổng Hợp</t>
        </is>
      </c>
      <c r="D16617" t="inlineStr">
        <is>
          <t>CÔNG TY TNHH ĐẦU TƯ VÀ PHÁT TRIỂN HƯNG TIẾN PHÁT</t>
        </is>
      </c>
      <c r="E16617" t="inlineStr">
        <is>
          <t>Lương:Trên 12 Tr VND</t>
        </is>
      </c>
      <c r="F16617" t="inlineStr">
        <is>
          <t>Đà Nẵng</t>
        </is>
      </c>
      <c r="G16617" t="inlineStr">
        <is>
          <t>5</t>
        </is>
      </c>
      <c r="H16617" t="inlineStr">
        <is>
          <t>22/03/2026</t>
        </is>
      </c>
      <c r="I16617" t="inlineStr">
        <is>
          <t>17/03/2026</t>
        </is>
      </c>
      <c r="J16617" t="inlineStr">
        <is>
          <t>Kế toán / Kiểm toán, Tài chính / Đầu tư, Luật / Pháp lý</t>
        </is>
      </c>
      <c r="K16617" t="inlineStr">
        <is>
          <t>Trên 2 Năm</t>
        </is>
      </c>
      <c r="L16617" s="8">
        <f>HYPERLINK("https://careerviet.vn/vi/tim-viec-lam/ke-toan-tong-hop.35C68D8A.html","Xem chi tiết")</f>
        <v/>
      </c>
    </row>
    <row r="16618">
      <c r="B16618" s="9" t="n">
        <v>16616</v>
      </c>
      <c r="C16618" s="10" t="inlineStr">
        <is>
          <t>Nhân viên Kinh doanh B2B</t>
        </is>
      </c>
      <c r="D16618" s="10" t="inlineStr">
        <is>
          <t>Công ty Cổ phần ĐẠI ĐỒNG TIẾN</t>
        </is>
      </c>
      <c r="E16618" s="10" t="inlineStr">
        <is>
          <t>Lương:10 Tr - 15 Tr VND</t>
        </is>
      </c>
      <c r="F16618" s="10" t="inlineStr">
        <is>
          <t>Hồ Chí Minh</t>
        </is>
      </c>
      <c r="G16618" s="10" t="inlineStr">
        <is>
          <t>08-03-2026</t>
        </is>
      </c>
      <c r="H16618" s="10" t="inlineStr">
        <is>
          <t>26/02/2026</t>
        </is>
      </c>
      <c r="I16618" s="10" t="inlineStr">
        <is>
          <t>17/03/2026</t>
        </is>
      </c>
      <c r="J16618" s="10" t="inlineStr">
        <is>
          <t>Bán hàng / Kinh doanh, Hàng gia dụng / Chăm sóc cá nhân, Công nghệ thực phẩm / Dinh dưỡng</t>
        </is>
      </c>
      <c r="K16618" s="10" t="inlineStr">
        <is>
          <t>1 - 2 Năm</t>
        </is>
      </c>
      <c r="L16618" s="11">
        <f>HYPERLINK("https://careerviet.vn/vi/tim-viec-lam/nhan-vien-kinh-doanh-b2b.35C68CD2.html","Xem chi tiết")</f>
        <v/>
      </c>
      <c r="M16618" s="10" t="n"/>
    </row>
    <row r="16619">
      <c r="B16619" s="7" t="n">
        <v>16617</v>
      </c>
      <c r="C16619" t="inlineStr">
        <is>
          <t>ACCOUNT EXECUTIVE (Mảng Offline/Activation/Event)</t>
        </is>
      </c>
      <c r="D16619" t="inlineStr">
        <is>
          <t>CÔNG TY TNHH OMNI-D</t>
        </is>
      </c>
      <c r="E16619" t="inlineStr">
        <is>
          <t>Lương:10 Tr - 15 Tr VND</t>
        </is>
      </c>
      <c r="F16619" t="inlineStr">
        <is>
          <t>Hà Nội</t>
        </is>
      </c>
      <c r="G16619" t="inlineStr">
        <is>
          <t>31-12-2026</t>
        </is>
      </c>
      <c r="H16619" t="inlineStr">
        <is>
          <t>31/12/2026</t>
        </is>
      </c>
      <c r="I16619" t="inlineStr">
        <is>
          <t>17/03/2026</t>
        </is>
      </c>
      <c r="J16619" t="inlineStr">
        <is>
          <t>Tiếp thị / Marketing, Quảng cáo / Đối ngoại / Truyền Thông, Tổ chức sự kiện</t>
        </is>
      </c>
      <c r="K16619" t="inlineStr">
        <is>
          <t>1 - 3 Năm</t>
        </is>
      </c>
      <c r="L16619" s="8">
        <f>HYPERLINK("https://careerviet.vn/vi/tim-viec-lam/account-executive-mang-offline-activation-event.35C68D53.html","Xem chi tiết")</f>
        <v/>
      </c>
    </row>
    <row r="16620">
      <c r="B16620" s="9" t="n">
        <v>16618</v>
      </c>
      <c r="C16620" s="10" t="inlineStr">
        <is>
          <t>Nhân Viên Phụ Trách Chuỗi - Tại Hà Nội - Thu Nhập 15.000.000 - 20.000.000 - Ưu tiên Na</t>
        </is>
      </c>
      <c r="D16620" s="10" t="inlineStr">
        <is>
          <t>Công ty TNHH Dược Hunmed</t>
        </is>
      </c>
      <c r="E16620" s="10" t="inlineStr">
        <is>
          <t>Lương:10 Tr - 15 Tr VND</t>
        </is>
      </c>
      <c r="F16620" s="10" t="inlineStr">
        <is>
          <t>Hà Nội</t>
        </is>
      </c>
      <c r="G16620" s="10" t="inlineStr">
        <is>
          <t>6</t>
        </is>
      </c>
      <c r="H16620" s="10" t="inlineStr">
        <is>
          <t>23/03/2026</t>
        </is>
      </c>
      <c r="I16620" s="10" t="inlineStr">
        <is>
          <t>17/03/2026</t>
        </is>
      </c>
      <c r="J16620" s="10" t="inlineStr">
        <is>
          <t>Dược phẩm/ Hóa Mỹ Phẩm, Y tế / Chăm sóc sức khỏe / Thẩm mỹ / Làm đẹp, Tiếp thị / Marketing</t>
        </is>
      </c>
      <c r="K16620" s="10" t="inlineStr">
        <is>
          <t>1 - 3 Năm</t>
        </is>
      </c>
      <c r="L16620" s="11">
        <f>HYPERLINK("https://careerviet.vn/vi/tim-viec-lam/nhan-vien-phu-trach-chuoi-tai-ha-noi-thu-nhap-15-000-000-20-000-000-uu-tien-na.35C68D35.html","Xem chi tiết")</f>
        <v/>
      </c>
      <c r="M16620" s="10" t="n"/>
    </row>
    <row r="16621">
      <c r="B16621" s="7" t="n">
        <v>16619</v>
      </c>
      <c r="C16621" t="inlineStr">
        <is>
          <t>Failure Analysis – Corrective Actions (FACA) Engineer</t>
        </is>
      </c>
      <c r="D16621" t="inlineStr">
        <is>
          <t>Công ty TNHH Sài Gòn Stec</t>
        </is>
      </c>
      <c r="E16621" t="inlineStr">
        <is>
          <t>Lương:15 Tr - 23 Tr VND</t>
        </is>
      </c>
      <c r="F16621" t="inlineStr">
        <is>
          <t>Bình Dương</t>
        </is>
      </c>
      <c r="G16621" t="inlineStr">
        <is>
          <t>6</t>
        </is>
      </c>
      <c r="H16621" t="inlineStr">
        <is>
          <t>23/03/2026</t>
        </is>
      </c>
      <c r="I16621" t="inlineStr">
        <is>
          <t>17/03/2026</t>
        </is>
      </c>
      <c r="J16621" t="inlineStr">
        <is>
          <t>Điện / Điện tử / Điện lạnh / Điện công nghiệp, Quản lý chất lượng (QA/QC)</t>
        </is>
      </c>
      <c r="K16621" t="inlineStr">
        <is>
          <t>1 - 3 Năm</t>
        </is>
      </c>
      <c r="L16621" s="8">
        <f>HYPERLINK("https://careerviet.vn/vi/tim-viec-lam/failure-analysis-corrective-actions-faca-engineer.35C68CD4.html","Xem chi tiết")</f>
        <v/>
      </c>
    </row>
    <row r="16622">
      <c r="B16622" s="9" t="n">
        <v>16620</v>
      </c>
      <c r="C16622" s="10" t="inlineStr">
        <is>
          <t>Kỹ sư điện nước</t>
        </is>
      </c>
      <c r="D16622" s="10" t="inlineStr">
        <is>
          <t>Công ty TNHH ENP BIOTECH (VN)</t>
        </is>
      </c>
      <c r="E16622" s="10" t="inlineStr">
        <is>
          <t>Lương:15 Tr - 25 Tr VND</t>
        </is>
      </c>
      <c r="F16622" s="10" t="inlineStr">
        <is>
          <t>Khánh Hòa</t>
        </is>
      </c>
      <c r="G16622" s="10" t="inlineStr">
        <is>
          <t>Hôm nay</t>
        </is>
      </c>
      <c r="H16622" s="10" t="inlineStr">
        <is>
          <t>17/03/2026</t>
        </is>
      </c>
      <c r="I16622" s="10" t="inlineStr">
        <is>
          <t>17/03/2026</t>
        </is>
      </c>
      <c r="J16622" s="10" t="inlineStr">
        <is>
          <t>Xây dựng, Nông nghiệp, Chăn nuôi / Thú y</t>
        </is>
      </c>
      <c r="K16622" s="10" t="inlineStr">
        <is>
          <t>3 - 5 Năm</t>
        </is>
      </c>
      <c r="L16622" s="11">
        <f>HYPERLINK("https://careerviet.vn/vi/tim-viec-lam/ky-su-dien-nuoc.35C68D13.html","Xem chi tiết")</f>
        <v/>
      </c>
      <c r="M16622" s="10" t="n"/>
    </row>
    <row r="16623">
      <c r="B16623" s="7" t="n">
        <v>16621</v>
      </c>
      <c r="C16623" t="inlineStr">
        <is>
          <t>Product Development Draftsman</t>
        </is>
      </c>
      <c r="D16623" t="inlineStr">
        <is>
          <t>Công TNHH John Richard Việt Nam</t>
        </is>
      </c>
      <c r="E16623" t="inlineStr">
        <is>
          <t>Lương:Cạnh tranh</t>
        </is>
      </c>
      <c r="F16623" t="inlineStr">
        <is>
          <t>Bình Dương</t>
        </is>
      </c>
      <c r="G16623" t="inlineStr">
        <is>
          <t>31-03-2026</t>
        </is>
      </c>
      <c r="H16623" t="inlineStr">
        <is>
          <t>31/03/2026</t>
        </is>
      </c>
      <c r="I16623" t="inlineStr">
        <is>
          <t>17/03/2026</t>
        </is>
      </c>
      <c r="J16623" t="inlineStr">
        <is>
          <t>Sản xuất / Vận hành sản xuất, Đồ gỗ, Nội ngoại thất</t>
        </is>
      </c>
      <c r="K16623" t="inlineStr">
        <is>
          <t>1 - 3 Năm</t>
        </is>
      </c>
      <c r="L16623" s="8">
        <f>HYPERLINK("https://careerviet.vn/vi/tim-viec-lam/product-development-draftsman.35C68CFC.html","Xem chi tiết")</f>
        <v/>
      </c>
    </row>
    <row r="16624">
      <c r="B16624" s="9" t="n">
        <v>16622</v>
      </c>
      <c r="C16624" s="10" t="inlineStr">
        <is>
          <t>Sơ Chế Rau Và Thịt Tại Siêu Thị</t>
        </is>
      </c>
      <c r="D16624" s="10" t="inlineStr">
        <is>
          <t>Công Ty TNHH Thương Mại K&amp;K Toàn Cầu</t>
        </is>
      </c>
      <c r="E16624" s="10" t="inlineStr">
        <is>
          <t>Lương:7 Tr - 15 Tr VND</t>
        </is>
      </c>
      <c r="F16624" s="10" t="inlineStr">
        <is>
          <t>Hà Nội</t>
        </is>
      </c>
      <c r="G16624" s="10" t="inlineStr">
        <is>
          <t>27-04-2026</t>
        </is>
      </c>
      <c r="H16624" s="10" t="inlineStr">
        <is>
          <t>27/04/2026</t>
        </is>
      </c>
      <c r="I16624" s="10" t="inlineStr">
        <is>
          <t>17/03/2026</t>
        </is>
      </c>
      <c r="J16624" s="10" t="inlineStr">
        <is>
          <t>Bán hàng / Kinh doanh, Lao động phổ thông, Công nghệ thực phẩm / Dinh dưỡng</t>
        </is>
      </c>
      <c r="K16624" s="10" t="inlineStr">
        <is>
          <t>N/A</t>
        </is>
      </c>
      <c r="L16624" s="11">
        <f>HYPERLINK("https://careerviet.vn/vi/tim-viec-lam/so-che-rau-va-thit-tai-sieu-thi.35C68CC9.html","Xem chi tiết")</f>
        <v/>
      </c>
      <c r="M16624" s="10" t="n"/>
    </row>
    <row r="16625">
      <c r="B16625" s="7" t="n">
        <v>16623</v>
      </c>
      <c r="C16625" t="inlineStr">
        <is>
          <t>Kỹ thuật điện lạnh</t>
        </is>
      </c>
      <c r="D16625" t="inlineStr">
        <is>
          <t>Công Ty Cổ Phần A25 Hotel</t>
        </is>
      </c>
      <c r="E16625" t="inlineStr">
        <is>
          <t>Lương:16 Tr - 32 Tr VND</t>
        </is>
      </c>
      <c r="F16625" t="inlineStr">
        <is>
          <t>Hồ Chí MinhHà Nội</t>
        </is>
      </c>
      <c r="G16625" t="inlineStr">
        <is>
          <t>31-03-2026</t>
        </is>
      </c>
      <c r="H16625" t="inlineStr">
        <is>
          <t>31/03/2026</t>
        </is>
      </c>
      <c r="I16625" t="inlineStr">
        <is>
          <t>17/03/2026</t>
        </is>
      </c>
      <c r="J16625" t="inlineStr">
        <is>
          <t>Nhà hàng / Khách sạn, Điện / Điện tử / Điện lạnh / Điện công nghiệp, Bảo trì / Sửa chữa</t>
        </is>
      </c>
      <c r="K16625" t="inlineStr">
        <is>
          <t>2 - 3 Năm</t>
        </is>
      </c>
      <c r="L16625" s="8">
        <f>HYPERLINK("https://careerviet.vn/vi/tim-viec-lam/ky-thuat-dien-lanh.35C68F5A.html","Xem chi tiết")</f>
        <v/>
      </c>
    </row>
    <row r="16626">
      <c r="B16626" s="9" t="n">
        <v>16624</v>
      </c>
      <c r="C16626" s="10" t="inlineStr">
        <is>
          <t>Trưởng nhóm/ Chuyên viên BIM Kiến Trúc</t>
        </is>
      </c>
      <c r="D16626" s="10" t="inlineStr">
        <is>
          <t>Công Ty Cổ Phần Xây Dựng Phước Thành</t>
        </is>
      </c>
      <c r="E16626" s="10" t="inlineStr">
        <is>
          <t>Lương:Cạnh tranh</t>
        </is>
      </c>
      <c r="F16626" s="10" t="inlineStr">
        <is>
          <t>Hồ Chí Minh</t>
        </is>
      </c>
      <c r="G16626" s="10" t="inlineStr">
        <is>
          <t>31-03-2026</t>
        </is>
      </c>
      <c r="H16626" s="10" t="inlineStr">
        <is>
          <t>31/03/2026</t>
        </is>
      </c>
      <c r="I16626" s="10" t="inlineStr">
        <is>
          <t>17/03/2026</t>
        </is>
      </c>
      <c r="J16626" s="10" t="inlineStr">
        <is>
          <t>Kiến trúc, Xây dựng</t>
        </is>
      </c>
      <c r="K16626" s="10" t="inlineStr">
        <is>
          <t>3 - 5 Năm</t>
        </is>
      </c>
      <c r="L16626" s="11">
        <f>HYPERLINK("https://careerviet.vn/vi/tim-viec-lam/truong-nhom-chuyen-vien-bim-kien-truc.35C68D58.html","Xem chi tiết")</f>
        <v/>
      </c>
      <c r="M16626" s="10" t="n"/>
    </row>
    <row r="16627">
      <c r="B16627" s="7" t="n">
        <v>16625</v>
      </c>
      <c r="C16627" t="inlineStr">
        <is>
          <t>[Long An] Chuyên Viên Tổng Hợp</t>
        </is>
      </c>
      <c r="D16627" t="inlineStr">
        <is>
          <t>Tập Đoàn Tân Á Đại Thành</t>
        </is>
      </c>
      <c r="E16627" t="inlineStr">
        <is>
          <t>Lương:12 Tr - 14 Tr VND</t>
        </is>
      </c>
      <c r="F16627" t="inlineStr">
        <is>
          <t>Long An</t>
        </is>
      </c>
      <c r="G16627" t="inlineStr">
        <is>
          <t>31-03-2026</t>
        </is>
      </c>
      <c r="H16627" t="inlineStr">
        <is>
          <t>31/03/2026</t>
        </is>
      </c>
      <c r="I16627" t="inlineStr">
        <is>
          <t>17/03/2026</t>
        </is>
      </c>
      <c r="J16627" t="inlineStr">
        <is>
          <t>Hành chính / Thư ký, Sản xuất / Vận hành sản xuất, Quản lý điều hành</t>
        </is>
      </c>
      <c r="K16627" t="inlineStr">
        <is>
          <t>1 - 3 Năm</t>
        </is>
      </c>
      <c r="L16627" s="8">
        <f>HYPERLINK("https://careerviet.vn/vi/tim-viec-lam/long-an-chuyen-vien-tong-hop.35C68CDF.html","Xem chi tiết")</f>
        <v/>
      </c>
    </row>
    <row r="16628">
      <c r="B16628" s="9" t="n">
        <v>16626</v>
      </c>
      <c r="C16628" s="10" t="inlineStr">
        <is>
          <t>Nhân viên Vận hành Chi nhánh</t>
        </is>
      </c>
      <c r="D16628" s="10" t="inlineStr">
        <is>
          <t>DIAG</t>
        </is>
      </c>
      <c r="E16628" s="10" t="inlineStr">
        <is>
          <t>Lương:Cạnh tranh</t>
        </is>
      </c>
      <c r="F16628" s="10" t="inlineStr">
        <is>
          <t>Hồ Chí Minh</t>
        </is>
      </c>
      <c r="G16628" s="10" t="inlineStr">
        <is>
          <t>31-03-2026</t>
        </is>
      </c>
      <c r="H16628" s="10" t="inlineStr">
        <is>
          <t>31/03/2026</t>
        </is>
      </c>
      <c r="I16628" s="10" t="inlineStr">
        <is>
          <t>17/03/2026</t>
        </is>
      </c>
      <c r="J16628" s="10" t="inlineStr">
        <is>
          <t>Y tế / Chăm sóc sức khỏe / Thẩm mỹ / Làm đẹp</t>
        </is>
      </c>
      <c r="K16628" s="10" t="inlineStr">
        <is>
          <t>2 - 3 Năm</t>
        </is>
      </c>
      <c r="L16628" s="11">
        <f>HYPERLINK("https://careerviet.vn/vi/tim-viec-lam/nhan-vien-van-hanh-chi-nhanh.35C68C98.html","Xem chi tiết")</f>
        <v/>
      </c>
      <c r="M16628" s="10" t="n"/>
    </row>
    <row r="16629">
      <c r="B16629" s="7" t="n">
        <v>16627</v>
      </c>
      <c r="C16629" t="inlineStr">
        <is>
          <t>Nhân viên bán hàng siêu thị</t>
        </is>
      </c>
      <c r="D16629" t="inlineStr">
        <is>
          <t>Công Ty TNHH Thương Mại K&amp;K Toàn Cầu</t>
        </is>
      </c>
      <c r="E16629" t="inlineStr">
        <is>
          <t>Lương:7 Tr - 8 Tr VND</t>
        </is>
      </c>
      <c r="F16629" t="inlineStr">
        <is>
          <t>Hà NộiĐà NẵngBắc Ninh</t>
        </is>
      </c>
      <c r="G16629" t="inlineStr">
        <is>
          <t>27-04-2026</t>
        </is>
      </c>
      <c r="H16629" t="inlineStr">
        <is>
          <t>27/04/2026</t>
        </is>
      </c>
      <c r="I16629" t="inlineStr">
        <is>
          <t>17/03/2026</t>
        </is>
      </c>
      <c r="J16629" t="inlineStr">
        <is>
          <t>Bán lẻ / Bán sỉ, Bán hàng / Kinh doanh, Tư vấn</t>
        </is>
      </c>
      <c r="K16629" t="inlineStr">
        <is>
          <t>N/A</t>
        </is>
      </c>
      <c r="L16629" s="8">
        <f>HYPERLINK("https://careerviet.vn/vi/tim-viec-lam/nhan-vien-ban-hang-sieu-thi.35C68CC0.html","Xem chi tiết")</f>
        <v/>
      </c>
    </row>
    <row r="16630">
      <c r="B16630" s="9" t="n">
        <v>16628</v>
      </c>
      <c r="C16630" s="10" t="inlineStr">
        <is>
          <t>Nhân viên trực tổng đài - Xe khách</t>
        </is>
      </c>
      <c r="D16630" s="10" t="inlineStr">
        <is>
          <t>Công ty TNHH X.E Việt Nam</t>
        </is>
      </c>
      <c r="E16630" s="10" t="inlineStr">
        <is>
          <t>Lương:7 Tr - 12 Tr VND</t>
        </is>
      </c>
      <c r="F16630" s="10" t="inlineStr">
        <is>
          <t>Hà Nội</t>
        </is>
      </c>
      <c r="G16630" s="10" t="inlineStr">
        <is>
          <t>08-03-2026</t>
        </is>
      </c>
      <c r="H16630" s="10" t="inlineStr">
        <is>
          <t>28/02/2026</t>
        </is>
      </c>
      <c r="I16630" s="10" t="inlineStr">
        <is>
          <t>17/03/2026</t>
        </is>
      </c>
      <c r="J16630" s="10" t="inlineStr">
        <is>
          <t>Dịch vụ khách hàng, Du lịch</t>
        </is>
      </c>
      <c r="K16630" s="10" t="inlineStr">
        <is>
          <t>N/A</t>
        </is>
      </c>
      <c r="L16630" s="11">
        <f>HYPERLINK("https://careerviet.vn/vi/tim-viec-lam/nhan-vien-truc-tong-dai-xe-khach.35C68CB1.html","Xem chi tiết")</f>
        <v/>
      </c>
      <c r="M16630" s="10" t="n"/>
    </row>
    <row r="16631">
      <c r="B16631" s="7" t="n">
        <v>16629</v>
      </c>
      <c r="C16631" t="inlineStr">
        <is>
          <t>Tổng Đài Viên  (Chăm Sóc Khách Hàng /Xử lý khiếu nại /Telesales)</t>
        </is>
      </c>
      <c r="D16631" t="inlineStr">
        <is>
          <t>DIAG</t>
        </is>
      </c>
      <c r="E16631" t="inlineStr">
        <is>
          <t>Lương:8 Tr - 11 Tr VND</t>
        </is>
      </c>
      <c r="F16631" t="inlineStr">
        <is>
          <t>Hồ Chí Minh</t>
        </is>
      </c>
      <c r="G16631" t="inlineStr">
        <is>
          <t>31-03-2026</t>
        </is>
      </c>
      <c r="H16631" t="inlineStr">
        <is>
          <t>31/03/2026</t>
        </is>
      </c>
      <c r="I16631" t="inlineStr">
        <is>
          <t>17/03/2026</t>
        </is>
      </c>
      <c r="J16631" t="inlineStr">
        <is>
          <t>Tư vấn, Dịch vụ khách hàng, Bảo hiểm</t>
        </is>
      </c>
      <c r="K16631" t="inlineStr">
        <is>
          <t>1 - 3 Năm</t>
        </is>
      </c>
      <c r="L16631" s="8">
        <f>HYPERLINK("https://careerviet.vn/vi/tim-viec-lam/tong-dai-vien-cham-soc-khach-hang-xu-ly-khieu-nai-telesales.35C68C99.html","Xem chi tiết")</f>
        <v/>
      </c>
    </row>
    <row r="16632">
      <c r="B16632" s="9" t="n">
        <v>16630</v>
      </c>
      <c r="C16632" s="10" t="inlineStr">
        <is>
          <t>Trợ lý cá nhân (Phục vụ BLĐ)</t>
        </is>
      </c>
      <c r="D16632" s="10" t="inlineStr">
        <is>
          <t>Công ty cổ phần Tập đoàn Danko</t>
        </is>
      </c>
      <c r="E16632" s="10" t="inlineStr">
        <is>
          <t>Lương:10 Tr - 15 Tr VND</t>
        </is>
      </c>
      <c r="F16632" s="10" t="inlineStr">
        <is>
          <t>Hà Nội</t>
        </is>
      </c>
      <c r="G16632" s="10" t="inlineStr">
        <is>
          <t>31-03-2026</t>
        </is>
      </c>
      <c r="H16632" s="10" t="inlineStr">
        <is>
          <t>31/03/2026</t>
        </is>
      </c>
      <c r="I16632" s="10" t="inlineStr">
        <is>
          <t>17/03/2026</t>
        </is>
      </c>
      <c r="J16632" s="10" t="inlineStr">
        <is>
          <t>Hành chính / Thư ký</t>
        </is>
      </c>
      <c r="K16632" s="10" t="inlineStr">
        <is>
          <t>1 - 5 Năm</t>
        </is>
      </c>
      <c r="L16632" s="11">
        <f>HYPERLINK("https://careerviet.vn/vi/tim-viec-lam/tro-ly-ca-nhan-phuc-vu-bld.35C68E20.html","Xem chi tiết")</f>
        <v/>
      </c>
      <c r="M16632" s="10" t="n"/>
    </row>
    <row r="16633">
      <c r="B16633" s="7" t="n">
        <v>16631</v>
      </c>
      <c r="C16633" t="inlineStr">
        <is>
          <t>Chuyên Viên Phân Tích Dữ Liệu</t>
        </is>
      </c>
      <c r="D16633" t="inlineStr">
        <is>
          <t>Công ty Cổ phần Nông nghiệp BAF Việt Nam</t>
        </is>
      </c>
      <c r="E16633" t="inlineStr">
        <is>
          <t>Lương:Cạnh tranh</t>
        </is>
      </c>
      <c r="F16633" t="inlineStr">
        <is>
          <t>Hồ Chí Minh</t>
        </is>
      </c>
      <c r="G16633" t="inlineStr">
        <is>
          <t>02-04-2026</t>
        </is>
      </c>
      <c r="H16633" t="inlineStr">
        <is>
          <t>02/04/2026</t>
        </is>
      </c>
      <c r="I16633" t="inlineStr">
        <is>
          <t>17/03/2026</t>
        </is>
      </c>
      <c r="J16633" t="inlineStr">
        <is>
          <t>Tài chính / Đầu tư, Ngành khác, Kế toán / Kiểm toán</t>
        </is>
      </c>
      <c r="K16633" t="inlineStr">
        <is>
          <t>2 - 5 Năm</t>
        </is>
      </c>
      <c r="L16633" s="8">
        <f>HYPERLINK("https://careerviet.vn/vi/tim-viec-lam/chuyen-vien-phan-tich-du-lieu.35C6A4BE.html","Xem chi tiết")</f>
        <v/>
      </c>
    </row>
    <row r="16634">
      <c r="B16634" s="9" t="n">
        <v>16632</v>
      </c>
      <c r="C16634" s="10" t="inlineStr">
        <is>
          <t>Corporate Sales Executive</t>
        </is>
      </c>
      <c r="D16634" s="10" t="inlineStr">
        <is>
          <t>DIAG</t>
        </is>
      </c>
      <c r="E16634" s="10" t="inlineStr">
        <is>
          <t>Lương:15 Tr - 18 Tr VND</t>
        </is>
      </c>
      <c r="F16634" s="10" t="inlineStr">
        <is>
          <t>Hồ Chí Minh</t>
        </is>
      </c>
      <c r="G16634" s="10" t="inlineStr">
        <is>
          <t>31-03-2026</t>
        </is>
      </c>
      <c r="H16634" s="10" t="inlineStr">
        <is>
          <t>31/03/2026</t>
        </is>
      </c>
      <c r="I16634" s="10" t="inlineStr">
        <is>
          <t>17/03/2026</t>
        </is>
      </c>
      <c r="J16634" s="10" t="inlineStr">
        <is>
          <t>Y tế / Chăm sóc sức khỏe / Thẩm mỹ / Làm đẹp, Bảo hiểm, Ngân hàng</t>
        </is>
      </c>
      <c r="K16634" s="10" t="inlineStr">
        <is>
          <t>2 - 3 Năm</t>
        </is>
      </c>
      <c r="L16634" s="11">
        <f>HYPERLINK("https://careerviet.vn/vi/tim-viec-lam/corporate-sales-executive.35C68C9E.html","Xem chi tiết")</f>
        <v/>
      </c>
      <c r="M16634" s="10" t="n"/>
    </row>
    <row r="16635">
      <c r="B16635" s="7" t="n">
        <v>16633</v>
      </c>
      <c r="C16635" t="inlineStr">
        <is>
          <t>Trưởng phòng Quản lý thiết kế (chủ đầu tư)</t>
        </is>
      </c>
      <c r="D16635" t="inlineStr">
        <is>
          <t>Careerbuilders' Client</t>
        </is>
      </c>
      <c r="E16635" t="inlineStr">
        <is>
          <t>Lương:Cạnh tranh</t>
        </is>
      </c>
      <c r="F16635" t="inlineStr">
        <is>
          <t>Hồ Chí Minh</t>
        </is>
      </c>
      <c r="G16635" t="inlineStr">
        <is>
          <t>5</t>
        </is>
      </c>
      <c r="H16635" t="inlineStr">
        <is>
          <t>22/03/2026</t>
        </is>
      </c>
      <c r="I16635" t="inlineStr">
        <is>
          <t>17/03/2026</t>
        </is>
      </c>
      <c r="J16635" t="inlineStr">
        <is>
          <t>Xây dựng, Bất động sản</t>
        </is>
      </c>
      <c r="K16635" t="inlineStr">
        <is>
          <t>10 - 15 Năm</t>
        </is>
      </c>
      <c r="L16635" s="8">
        <f>HYPERLINK("https://careerviet.vn/vi/tim-viec-lam/truong-phong-quan-ly-thiet-ke-chu-dau-tu.35C663C1.html","Xem chi tiết")</f>
        <v/>
      </c>
    </row>
    <row r="16636">
      <c r="B16636" s="9" t="n">
        <v>16634</v>
      </c>
      <c r="C16636" s="10" t="inlineStr">
        <is>
          <t>Chuyên viên Pháp lý doanh nghiệp</t>
        </is>
      </c>
      <c r="D16636" s="10" t="inlineStr">
        <is>
          <t>Tập Đoàn Lộc Trời</t>
        </is>
      </c>
      <c r="E16636" s="10" t="inlineStr">
        <is>
          <t>Lương:Cạnh tranh</t>
        </is>
      </c>
      <c r="F16636" s="10" t="inlineStr">
        <is>
          <t>Hồ Chí Minh</t>
        </is>
      </c>
      <c r="G16636" s="10" t="inlineStr">
        <is>
          <t>02-04-2026</t>
        </is>
      </c>
      <c r="H16636" s="10" t="inlineStr">
        <is>
          <t>02/04/2026</t>
        </is>
      </c>
      <c r="I16636" s="10" t="inlineStr">
        <is>
          <t>17/03/2026</t>
        </is>
      </c>
      <c r="J16636" s="10" t="inlineStr">
        <is>
          <t>Luật / Pháp lý, Sản xuất / Vận hành sản xuất, Nhân sự</t>
        </is>
      </c>
      <c r="K16636" s="10" t="inlineStr">
        <is>
          <t>2 - 3 Năm</t>
        </is>
      </c>
      <c r="L16636" s="11">
        <f>HYPERLINK("https://careerviet.vn/vi/tim-viec-lam/chuyen-vien-phap-ly-doanh-nghiep.35C6A308.html","Xem chi tiết")</f>
        <v/>
      </c>
      <c r="M16636" s="10" t="n"/>
    </row>
    <row r="16637">
      <c r="B16637" s="7" t="n">
        <v>16635</v>
      </c>
      <c r="C16637" t="inlineStr">
        <is>
          <t>Nhân viên Content Marketing</t>
        </is>
      </c>
      <c r="D16637" t="inlineStr">
        <is>
          <t>CÔNG TY TNHH SẢN XUẤT VÀ THƯƠNG MẠI TRƯƠNG VUI</t>
        </is>
      </c>
      <c r="E16637" t="inlineStr">
        <is>
          <t>Lương:12 Tr - 14 Tr VND</t>
        </is>
      </c>
      <c r="F16637" t="inlineStr">
        <is>
          <t>Hồ Chí Minh</t>
        </is>
      </c>
      <c r="G16637" t="inlineStr">
        <is>
          <t>30-04-2026</t>
        </is>
      </c>
      <c r="H16637" t="inlineStr">
        <is>
          <t>30/04/2026</t>
        </is>
      </c>
      <c r="I16637" t="inlineStr">
        <is>
          <t>17/03/2026</t>
        </is>
      </c>
      <c r="J16637" t="inlineStr">
        <is>
          <t>Tiếp thị / Marketing, Bán hàng / Kinh doanh</t>
        </is>
      </c>
      <c r="K16637" t="inlineStr">
        <is>
          <t>1 - 2 Năm</t>
        </is>
      </c>
      <c r="L16637" s="8">
        <f>HYPERLINK("https://careerviet.vn/vi/tim-viec-lam/nhan-vien-content-marketing.35C6A32F.html","Xem chi tiết")</f>
        <v/>
      </c>
    </row>
    <row r="16638">
      <c r="B16638" s="9" t="n">
        <v>16636</v>
      </c>
      <c r="C16638" s="10" t="inlineStr">
        <is>
          <t>QA Officer</t>
        </is>
      </c>
      <c r="D16638" s="10" t="inlineStr">
        <is>
          <t>Cty SGS Việt Nam TNHH</t>
        </is>
      </c>
      <c r="E16638" s="10" t="inlineStr">
        <is>
          <t>Lương:Cạnh tranh</t>
        </is>
      </c>
      <c r="F16638" s="10" t="inlineStr">
        <is>
          <t>Hồ Chí Minh</t>
        </is>
      </c>
      <c r="G16638" s="10" t="inlineStr">
        <is>
          <t>11-04-2026</t>
        </is>
      </c>
      <c r="H16638" s="10" t="inlineStr">
        <is>
          <t>11/04/2026</t>
        </is>
      </c>
      <c r="I16638" s="10" t="inlineStr">
        <is>
          <t>17/03/2026</t>
        </is>
      </c>
      <c r="J16638" s="10" t="inlineStr">
        <is>
          <t>Quản lý chất lượng (QA/QC), Thực phẩm &amp; Đồ uống, Công nghệ sinh học</t>
        </is>
      </c>
      <c r="K16638" s="10" t="inlineStr">
        <is>
          <t>1 - 3 Năm</t>
        </is>
      </c>
      <c r="L16638" s="11">
        <f>HYPERLINK("https://careerviet.vn/vi/tim-viec-lam/qa-officer.35C6A6F6.html","Xem chi tiết")</f>
        <v/>
      </c>
      <c r="M16638" s="10" t="n"/>
    </row>
    <row r="16639">
      <c r="B16639" s="7" t="n">
        <v>16637</v>
      </c>
      <c r="C16639" t="inlineStr">
        <is>
          <t>Chuyên viên Phân tích</t>
        </is>
      </c>
      <c r="D16639" t="inlineStr">
        <is>
          <t>Công ty CP Chứng khoán Alpha</t>
        </is>
      </c>
      <c r="E16639" t="inlineStr">
        <is>
          <t>Lương:10 Tr - 14 Tr VND</t>
        </is>
      </c>
      <c r="F16639" t="inlineStr">
        <is>
          <t>Hà Nội</t>
        </is>
      </c>
      <c r="G16639" t="inlineStr">
        <is>
          <t>31-03-2026</t>
        </is>
      </c>
      <c r="H16639" t="inlineStr">
        <is>
          <t>31/03/2026</t>
        </is>
      </c>
      <c r="I16639" t="inlineStr">
        <is>
          <t>17/03/2026</t>
        </is>
      </c>
      <c r="J16639" t="inlineStr">
        <is>
          <t>Chứng khoán, Tài chính / Đầu tư</t>
        </is>
      </c>
      <c r="K16639" t="inlineStr">
        <is>
          <t>1 - 2 Năm</t>
        </is>
      </c>
      <c r="L16639" s="8">
        <f>HYPERLINK("https://careerviet.vn/vi/tim-viec-lam/chuyen-vien-phan-tich.35C69D69.html","Xem chi tiết")</f>
        <v/>
      </c>
    </row>
    <row r="16640">
      <c r="B16640" s="9" t="n">
        <v>16638</v>
      </c>
      <c r="C16640" s="10" t="inlineStr">
        <is>
          <t>Chuyên Viên Phát Triển Ứng Dụng (AI Coding)</t>
        </is>
      </c>
      <c r="D16640" s="10" t="inlineStr">
        <is>
          <t>Công Ty Cổ Phần Tập Đoàn Trung Thủy</t>
        </is>
      </c>
      <c r="E16640" s="10" t="inlineStr">
        <is>
          <t>Lương:15 Tr - 18 Tr VND</t>
        </is>
      </c>
      <c r="F16640" s="10" t="inlineStr">
        <is>
          <t>Hồ Chí Minh</t>
        </is>
      </c>
      <c r="G16640" s="10" t="inlineStr">
        <is>
          <t>01-04-2026</t>
        </is>
      </c>
      <c r="H16640" s="10" t="inlineStr">
        <is>
          <t>01/04/2026</t>
        </is>
      </c>
      <c r="I16640" s="10" t="inlineStr">
        <is>
          <t>17/03/2026</t>
        </is>
      </c>
      <c r="J16640" s="10" t="inlineStr">
        <is>
          <t>CNTT - Phần mềm, Bất động sản, Nhà hàng / Khách sạn</t>
        </is>
      </c>
      <c r="K16640" s="10" t="inlineStr">
        <is>
          <t>Trên 1 Năm</t>
        </is>
      </c>
      <c r="L16640" s="11">
        <f>HYPERLINK("https://careerviet.vn/vi/tim-viec-lam/chuyen-vien-phat-trien-ung-dung-ai-coding.35C6A4E4.html","Xem chi tiết")</f>
        <v/>
      </c>
      <c r="M16640" s="10" t="n"/>
    </row>
    <row r="16641">
      <c r="B16641" s="7" t="n">
        <v>16639</v>
      </c>
      <c r="C16641" t="inlineStr">
        <is>
          <t>Nhân viên nhân sự dịch vụ tiền lương (HRBP/ C&amp;B Executive)</t>
        </is>
      </c>
      <c r="D16641" t="inlineStr">
        <is>
          <t>Công Ty Cổ Phần Le &amp; Associates</t>
        </is>
      </c>
      <c r="E16641" t="inlineStr">
        <is>
          <t>Lương:Cạnh tranh</t>
        </is>
      </c>
      <c r="F16641" t="inlineStr">
        <is>
          <t>Hồ Chí Minh</t>
        </is>
      </c>
      <c r="G16641" t="inlineStr">
        <is>
          <t>31-03-2026</t>
        </is>
      </c>
      <c r="H16641" t="inlineStr">
        <is>
          <t>31/03/2026</t>
        </is>
      </c>
      <c r="I16641" t="inlineStr">
        <is>
          <t>17/03/2026</t>
        </is>
      </c>
      <c r="J16641" t="inlineStr">
        <is>
          <t>Nhân sự</t>
        </is>
      </c>
      <c r="K16641" t="inlineStr">
        <is>
          <t>2 - 5 Năm</t>
        </is>
      </c>
      <c r="L16641" s="8">
        <f>HYPERLINK("https://careerviet.vn/vi/tim-viec-lam/nhan-vien-nhan-su-dich-vu-tien-luong-hrbp-c-b-executive.35C6A33A.html","Xem chi tiết")</f>
        <v/>
      </c>
    </row>
    <row r="16642">
      <c r="B16642" s="9" t="n">
        <v>16640</v>
      </c>
      <c r="C16642" s="10" t="inlineStr">
        <is>
          <t>Chuyên viên Hành chính Nhân sự</t>
        </is>
      </c>
      <c r="D16642" s="10" t="inlineStr">
        <is>
          <t>CÔNG TY TNHH XNK CUỘC SỐNG TƯƠI ĐẸP</t>
        </is>
      </c>
      <c r="E16642" s="10" t="inlineStr">
        <is>
          <t>Lương:Cạnh tranh</t>
        </is>
      </c>
      <c r="F16642" s="10" t="inlineStr">
        <is>
          <t>Hồ Chí Minh</t>
        </is>
      </c>
      <c r="G16642" s="10" t="inlineStr">
        <is>
          <t>02-04-2026</t>
        </is>
      </c>
      <c r="H16642" s="10" t="inlineStr">
        <is>
          <t>02/04/2026</t>
        </is>
      </c>
      <c r="I16642" s="10" t="inlineStr">
        <is>
          <t>17/03/2026</t>
        </is>
      </c>
      <c r="J16642" s="10" t="inlineStr">
        <is>
          <t>Hành chính / Thư ký, Nhân sự</t>
        </is>
      </c>
      <c r="K16642" s="10" t="inlineStr">
        <is>
          <t>3 - 5 Năm</t>
        </is>
      </c>
      <c r="L16642" s="11">
        <f>HYPERLINK("https://careerviet.vn/vi/tim-viec-lam/chuyen-vien-hanh-chinh-nhan-su.35C6A3E7.html","Xem chi tiết")</f>
        <v/>
      </c>
      <c r="M16642" s="10" t="n"/>
    </row>
    <row r="16643">
      <c r="B16643" s="7" t="n">
        <v>16641</v>
      </c>
      <c r="C16643" t="inlineStr">
        <is>
          <t>Admin Manager</t>
        </is>
      </c>
      <c r="D16643" t="inlineStr">
        <is>
          <t>Công Ty TNHH Taisun Việt Nam</t>
        </is>
      </c>
      <c r="E16643" t="inlineStr">
        <is>
          <t>Lương:Cạnh tranh</t>
        </is>
      </c>
      <c r="F16643" t="inlineStr">
        <is>
          <t>Hồ Chí Minh</t>
        </is>
      </c>
      <c r="G16643" t="inlineStr">
        <is>
          <t>01-04-2026</t>
        </is>
      </c>
      <c r="H16643" t="inlineStr">
        <is>
          <t>01/04/2026</t>
        </is>
      </c>
      <c r="I16643" t="inlineStr">
        <is>
          <t>17/03/2026</t>
        </is>
      </c>
      <c r="J16643" t="inlineStr">
        <is>
          <t>Nhân sự, Ngành khác, Bán hàng / Kinh doanh</t>
        </is>
      </c>
      <c r="K16643" t="inlineStr">
        <is>
          <t>3 - 5 Năm</t>
        </is>
      </c>
      <c r="L16643" s="8">
        <f>HYPERLINK("https://careerviet.vn/vi/tim-viec-lam/admin-manager.35C6A6D7.html","Xem chi tiết")</f>
        <v/>
      </c>
    </row>
    <row r="16644">
      <c r="B16644" s="9" t="n">
        <v>16642</v>
      </c>
      <c r="C16644" s="10" t="inlineStr">
        <is>
          <t>Nhân viên hành chính nhân sự</t>
        </is>
      </c>
      <c r="D16644" s="10" t="inlineStr">
        <is>
          <t>Công Ty Cổ Phần Thép Việt Xô Hà Nội</t>
        </is>
      </c>
      <c r="E16644" s="10" t="inlineStr">
        <is>
          <t>Lương:10 Tr - 13 Tr VND</t>
        </is>
      </c>
      <c r="F16644" s="10" t="inlineStr">
        <is>
          <t>Hà NộiĐồng NaiLong An</t>
        </is>
      </c>
      <c r="G16644" s="10" t="inlineStr">
        <is>
          <t>03-04-2026</t>
        </is>
      </c>
      <c r="H16644" s="10" t="inlineStr">
        <is>
          <t>03/04/2026</t>
        </is>
      </c>
      <c r="I16644" s="10" t="inlineStr">
        <is>
          <t>17/03/2026</t>
        </is>
      </c>
      <c r="J16644" s="10" t="inlineStr">
        <is>
          <t>Nhân sự, Hành chính / Thư ký</t>
        </is>
      </c>
      <c r="K16644" s="10" t="inlineStr">
        <is>
          <t>1 - 2 Năm</t>
        </is>
      </c>
      <c r="L16644" s="11">
        <f>HYPERLINK("https://careerviet.vn/vi/tim-viec-lam/nhan-vien-hanh-chinh-nhan-su.35C6A69D.html","Xem chi tiết")</f>
        <v/>
      </c>
      <c r="M16644" s="10" t="n"/>
    </row>
    <row r="16645">
      <c r="B16645" s="7" t="n">
        <v>16643</v>
      </c>
      <c r="C16645" t="inlineStr">
        <is>
          <t>Data Engineer</t>
        </is>
      </c>
      <c r="D16645" t="inlineStr">
        <is>
          <t>HD SAISON Finance Co., Ltd</t>
        </is>
      </c>
      <c r="E16645" t="inlineStr">
        <is>
          <t>Lương:Cạnh tranh</t>
        </is>
      </c>
      <c r="F16645" t="inlineStr">
        <is>
          <t>Hồ Chí Minh</t>
        </is>
      </c>
      <c r="G16645" t="inlineStr">
        <is>
          <t>01-04-2026</t>
        </is>
      </c>
      <c r="H16645" t="inlineStr">
        <is>
          <t>01/04/2026</t>
        </is>
      </c>
      <c r="I16645" t="inlineStr">
        <is>
          <t>17/03/2026</t>
        </is>
      </c>
      <c r="J16645" t="inlineStr">
        <is>
          <t>Ngân hàng, Tài chính / Đầu tư, CNTT - Phần mềm</t>
        </is>
      </c>
      <c r="K16645" t="inlineStr">
        <is>
          <t>2 - 4 Năm</t>
        </is>
      </c>
      <c r="L16645" s="8">
        <f>HYPERLINK("https://careerviet.vn/vi/tim-viec-lam/data-engineer.35C6A681.html","Xem chi tiết")</f>
        <v/>
      </c>
    </row>
    <row r="16646">
      <c r="B16646" s="9" t="n">
        <v>16644</v>
      </c>
      <c r="C16646" s="10" t="inlineStr">
        <is>
          <t>[NRG] Trưởng Phòng Thu Mua</t>
        </is>
      </c>
      <c r="D16646" s="10" t="inlineStr">
        <is>
          <t>Nova Service Group - Công ty Cổ phần Tập đoàn Nova Services</t>
        </is>
      </c>
      <c r="E16646" s="10" t="inlineStr">
        <is>
          <t>Lương:Cạnh tranh</t>
        </is>
      </c>
      <c r="F16646" s="10" t="inlineStr">
        <is>
          <t>Hồ Chí Minh</t>
        </is>
      </c>
      <c r="G16646" s="10" t="inlineStr">
        <is>
          <t>30-04-2026</t>
        </is>
      </c>
      <c r="H16646" s="10" t="inlineStr">
        <is>
          <t>30/04/2026</t>
        </is>
      </c>
      <c r="I16646" s="10" t="inlineStr">
        <is>
          <t>17/03/2026</t>
        </is>
      </c>
      <c r="J16646" s="10" t="inlineStr">
        <is>
          <t>Thu mua / Vật tư</t>
        </is>
      </c>
      <c r="K16646" s="10" t="inlineStr">
        <is>
          <t>7 - 10 Năm</t>
        </is>
      </c>
      <c r="L16646" s="11">
        <f>HYPERLINK("https://careerviet.vn/vi/tim-viec-lam/nrg-truong-phong-thu-mua.35C6A4DD.html","Xem chi tiết")</f>
        <v/>
      </c>
      <c r="M16646" s="10" t="n"/>
    </row>
    <row r="16647">
      <c r="B16647" s="7" t="n">
        <v>16645</v>
      </c>
      <c r="C16647" t="inlineStr">
        <is>
          <t>Import Documentation Executive (Temp 8M)</t>
        </is>
      </c>
      <c r="D16647" t="inlineStr">
        <is>
          <t>CÔNG TY TNHH MSC VIỆT NAM</t>
        </is>
      </c>
      <c r="E16647" t="inlineStr">
        <is>
          <t>Lương:Cạnh tranh</t>
        </is>
      </c>
      <c r="F16647" t="inlineStr">
        <is>
          <t>Hồ Chí Minh</t>
        </is>
      </c>
      <c r="G16647" t="inlineStr">
        <is>
          <t>31-03-2026</t>
        </is>
      </c>
      <c r="H16647" t="inlineStr">
        <is>
          <t>31/03/2026</t>
        </is>
      </c>
      <c r="I16647" t="inlineStr">
        <is>
          <t>17/03/2026</t>
        </is>
      </c>
      <c r="J16647" t="inlineStr">
        <is>
          <t>Vận chuyển / Giao nhận / Kho vận, Xuất nhập khẩu</t>
        </is>
      </c>
      <c r="K16647" t="inlineStr">
        <is>
          <t>1 - 2 Năm</t>
        </is>
      </c>
      <c r="L16647" s="8">
        <f>HYPERLINK("https://careerviet.vn/vi/tim-viec-lam/import-documentation-executive-temp-8m.35C6A4EB.html","Xem chi tiết")</f>
        <v/>
      </c>
    </row>
    <row r="16648">
      <c r="B16648" s="9" t="n">
        <v>16646</v>
      </c>
      <c r="C16648" s="10" t="inlineStr">
        <is>
          <t>Chuyên viên Thiết kế Đồ họa Cấp cao (Senior Graphic Designer)</t>
        </is>
      </c>
      <c r="D16648" s="10" t="inlineStr">
        <is>
          <t>CÔNG TY TNHH FOXSCORE</t>
        </is>
      </c>
      <c r="E16648" s="10" t="inlineStr">
        <is>
          <t>Lương:15 Tr - 20 Tr VND</t>
        </is>
      </c>
      <c r="F16648" s="10" t="inlineStr">
        <is>
          <t>Hồ Chí Minh</t>
        </is>
      </c>
      <c r="G16648" s="10" t="inlineStr">
        <is>
          <t>25-03-2026</t>
        </is>
      </c>
      <c r="H16648" s="10" t="inlineStr">
        <is>
          <t>25/03/2026</t>
        </is>
      </c>
      <c r="I16648" s="10" t="inlineStr">
        <is>
          <t>17/03/2026</t>
        </is>
      </c>
      <c r="J16648" s="10" t="inlineStr">
        <is>
          <t>Tiếp thị / Marketing, Quảng cáo / Đối ngoại / Truyền Thông</t>
        </is>
      </c>
      <c r="K16648" s="10" t="inlineStr">
        <is>
          <t>3 - 4 Năm</t>
        </is>
      </c>
      <c r="L16648" s="11">
        <f>HYPERLINK("https://careerviet.vn/vi/tim-viec-lam/chuyen-vien-thiet-ke-do-hoa-cap-cao-senior-graphic-designer.35C6A525.html","Xem chi tiết")</f>
        <v/>
      </c>
      <c r="M16648" s="10" t="n"/>
    </row>
    <row r="16649">
      <c r="B16649" s="7" t="n">
        <v>16647</v>
      </c>
      <c r="C16649" t="inlineStr">
        <is>
          <t>Giám Đốc Kinh Doanh (Kênh GT, B2B)</t>
        </is>
      </c>
      <c r="D16649" t="inlineStr">
        <is>
          <t>Công ty Cổ phần TM-SX-DV Gia Thịnh Phát</t>
        </is>
      </c>
      <c r="E16649" t="inlineStr">
        <is>
          <t>Lương:Cạnh tranh</t>
        </is>
      </c>
      <c r="F16649" t="inlineStr">
        <is>
          <t>Hồ Chí Minh</t>
        </is>
      </c>
      <c r="G16649" t="inlineStr">
        <is>
          <t>02-04-2026</t>
        </is>
      </c>
      <c r="H16649" t="inlineStr">
        <is>
          <t>02/04/2026</t>
        </is>
      </c>
      <c r="I16649" t="inlineStr">
        <is>
          <t>17/03/2026</t>
        </is>
      </c>
      <c r="J16649" t="inlineStr">
        <is>
          <t>Bán hàng / Kinh doanh, Thực phẩm &amp; Đồ uống, Quản lý điều hành</t>
        </is>
      </c>
      <c r="K16649" t="inlineStr">
        <is>
          <t>5 - 10 Năm</t>
        </is>
      </c>
      <c r="L16649" s="8">
        <f>HYPERLINK("https://careerviet.vn/vi/tim-viec-lam/giam-doc-kinh-doanh-kenh-gt-b2b.35C6A5B9.html","Xem chi tiết")</f>
        <v/>
      </c>
    </row>
    <row r="16650">
      <c r="B16650" s="9" t="n">
        <v>16648</v>
      </c>
      <c r="C16650" s="10" t="inlineStr">
        <is>
          <t>Tổ trưởng sản xuất</t>
        </is>
      </c>
      <c r="D16650" s="10" t="inlineStr">
        <is>
          <t>CÔNG TY TNHH GRE ALPHA ELECTRONICS ( VIETNAM)</t>
        </is>
      </c>
      <c r="E16650" s="10" t="inlineStr">
        <is>
          <t>Lương:Cạnh tranh</t>
        </is>
      </c>
      <c r="F16650" s="10" t="inlineStr">
        <is>
          <t>Bình Dương</t>
        </is>
      </c>
      <c r="G16650" s="10" t="inlineStr">
        <is>
          <t>02-04-2026</t>
        </is>
      </c>
      <c r="H16650" s="10" t="inlineStr">
        <is>
          <t>02/04/2026</t>
        </is>
      </c>
      <c r="I16650" s="10" t="inlineStr">
        <is>
          <t>17/03/2026</t>
        </is>
      </c>
      <c r="J16650" s="10" t="inlineStr">
        <is>
          <t>Điện / Điện tử / Điện lạnh / Điện công nghiệp</t>
        </is>
      </c>
      <c r="K16650" s="10" t="inlineStr">
        <is>
          <t>1 - 3 Năm</t>
        </is>
      </c>
      <c r="L16650" s="11">
        <f>HYPERLINK("https://careerviet.vn/vi/tim-viec-lam/to-truong-san-xuat.35C6A3D5.html","Xem chi tiết")</f>
        <v/>
      </c>
      <c r="M16650" s="10" t="n"/>
    </row>
    <row r="16651">
      <c r="B16651" s="7" t="n">
        <v>16649</v>
      </c>
      <c r="C16651" t="inlineStr">
        <is>
          <t>NHÂN VIÊN KINH DOANH THỊ TRƯỜNG</t>
        </is>
      </c>
      <c r="D16651" t="inlineStr">
        <is>
          <t>CÔNG TY TNHH SẢN XUẤT VÀ THƯƠNG MẠI TRƯƠNG VUI</t>
        </is>
      </c>
      <c r="E16651" t="inlineStr">
        <is>
          <t>Lương:10 Tr - 15 Tr VND</t>
        </is>
      </c>
      <c r="F16651" t="inlineStr">
        <is>
          <t>Hồ Chí Minh</t>
        </is>
      </c>
      <c r="G16651" t="inlineStr">
        <is>
          <t>07-04-2026</t>
        </is>
      </c>
      <c r="H16651" t="inlineStr">
        <is>
          <t>07/04/2026</t>
        </is>
      </c>
      <c r="I16651" t="inlineStr">
        <is>
          <t>17/03/2026</t>
        </is>
      </c>
      <c r="J16651" t="inlineStr">
        <is>
          <t>Tiếp thị / Marketing, Bán hàng / Kinh doanh, Dệt may / Da giày / Thời trang</t>
        </is>
      </c>
      <c r="K16651" t="inlineStr">
        <is>
          <t>1 - 2 Năm</t>
        </is>
      </c>
      <c r="L16651" s="8">
        <f>HYPERLINK("https://careerviet.vn/vi/tim-viec-lam/nhan-vien-kinh-doanh-thi-truong.35C67F42.html","Xem chi tiết")</f>
        <v/>
      </c>
    </row>
    <row r="16652">
      <c r="B16652" s="9" t="n">
        <v>16650</v>
      </c>
      <c r="C16652" s="10" t="inlineStr">
        <is>
          <t>Cutting Planner (Nhân Viên Lập Kế Hoạch Cắt)</t>
        </is>
      </c>
      <c r="D16652" s="10" t="inlineStr">
        <is>
          <t>PEB STEEL BUILDINGS CO., LTD.</t>
        </is>
      </c>
      <c r="E16652" s="10" t="inlineStr">
        <is>
          <t>Lương:Cạnh tranh</t>
        </is>
      </c>
      <c r="F16652" s="10" t="inlineStr">
        <is>
          <t>Bà Rịa - Vũng Tàu</t>
        </is>
      </c>
      <c r="G16652" s="10" t="inlineStr">
        <is>
          <t>07-04-2026</t>
        </is>
      </c>
      <c r="H16652" s="10" t="inlineStr">
        <is>
          <t>07/04/2026</t>
        </is>
      </c>
      <c r="I16652" s="10" t="inlineStr">
        <is>
          <t>17/03/2026</t>
        </is>
      </c>
      <c r="J16652" s="10" t="inlineStr">
        <is>
          <t>Cơ khí / Ô tô / Tự động hóa, Sản xuất / Vận hành sản xuất, Xây dựng</t>
        </is>
      </c>
      <c r="K16652" s="10" t="inlineStr">
        <is>
          <t>Trên 1 Năm</t>
        </is>
      </c>
      <c r="L16652" s="11">
        <f>HYPERLINK("https://careerviet.vn/vi/tim-viec-lam/cutting-planner-nhan-vien-lap-ke-hoach-cat.35C67EDD.html","Xem chi tiết")</f>
        <v/>
      </c>
      <c r="M16652" s="10" t="n"/>
    </row>
    <row r="16653">
      <c r="B16653" s="7" t="n">
        <v>16651</v>
      </c>
      <c r="C16653" t="inlineStr">
        <is>
          <t>TRƯỞNG NHÓM SALES NGS – DI TRUYỀN &amp; UNG THƯ</t>
        </is>
      </c>
      <c r="D16653" t="inlineStr">
        <is>
          <t>Công ty TNHH Thiết bị Khoa học Kỹ thuật Việt Huy</t>
        </is>
      </c>
      <c r="E16653" t="inlineStr">
        <is>
          <t>Lương:Cạnh tranh</t>
        </is>
      </c>
      <c r="F16653" t="inlineStr">
        <is>
          <t>Hồ Chí MinhHà Nội</t>
        </is>
      </c>
      <c r="G16653" t="inlineStr">
        <is>
          <t>07-04-2026</t>
        </is>
      </c>
      <c r="H16653" t="inlineStr">
        <is>
          <t>07/04/2026</t>
        </is>
      </c>
      <c r="I16653" t="inlineStr">
        <is>
          <t>17/03/2026</t>
        </is>
      </c>
      <c r="J16653" t="inlineStr">
        <is>
          <t>Bán hàng / Kinh doanh, Y tế / Chăm sóc sức khỏe / Thẩm mỹ / Làm đẹp, Công nghệ sinh học</t>
        </is>
      </c>
      <c r="K16653" t="inlineStr">
        <is>
          <t>2 - 5 Năm</t>
        </is>
      </c>
      <c r="L16653" s="8">
        <f>HYPERLINK("https://careerviet.vn/vi/tim-viec-lam/truong-nhom-sales-ngs-di-truyen-ung-thu.35C67E5E.html","Xem chi tiết")</f>
        <v/>
      </c>
    </row>
    <row r="16654">
      <c r="B16654" s="9" t="n">
        <v>16652</v>
      </c>
      <c r="C16654" s="10" t="inlineStr">
        <is>
          <t>Giám sát thi công điều hòa</t>
        </is>
      </c>
      <c r="D16654" s="10" t="inlineStr">
        <is>
          <t>Công ty TNHH Thương mại Kỹ thuật Sen Việt</t>
        </is>
      </c>
      <c r="E16654" s="10" t="inlineStr">
        <is>
          <t>Lương:13 Tr - 27 Tr VND</t>
        </is>
      </c>
      <c r="F16654" s="10" t="inlineStr">
        <is>
          <t>Hà Nội</t>
        </is>
      </c>
      <c r="G16654" s="10" t="inlineStr">
        <is>
          <t>07-04-2026</t>
        </is>
      </c>
      <c r="H16654" s="10" t="inlineStr">
        <is>
          <t>07/04/2026</t>
        </is>
      </c>
      <c r="I16654" s="10" t="inlineStr">
        <is>
          <t>17/03/2026</t>
        </is>
      </c>
      <c r="J16654" s="10" t="inlineStr">
        <is>
          <t>Điện / Điện tử / Điện lạnh / Điện công nghiệp</t>
        </is>
      </c>
      <c r="K16654" s="10" t="inlineStr">
        <is>
          <t>2 - 4 Năm</t>
        </is>
      </c>
      <c r="L16654" s="11">
        <f>HYPERLINK("https://careerviet.vn/vi/tim-viec-lam/giam-sat-thi-cong-dieu-hoa.35C5EF58.html","Xem chi tiết")</f>
        <v/>
      </c>
      <c r="M16654" s="10" t="n"/>
    </row>
    <row r="16655">
      <c r="B16655" s="7" t="n">
        <v>16653</v>
      </c>
      <c r="C16655" t="inlineStr">
        <is>
          <t>Chuyên viên Hợp đồng Xây dựng</t>
        </is>
      </c>
      <c r="D16655" t="inlineStr">
        <is>
          <t>CÔNG TY CỔ PHẦN EUROWINDOW HOLDING</t>
        </is>
      </c>
      <c r="E16655" t="inlineStr">
        <is>
          <t>Lương:Cạnh tranh</t>
        </is>
      </c>
      <c r="F16655" t="inlineStr">
        <is>
          <t>Hà Nội</t>
        </is>
      </c>
      <c r="G16655" t="inlineStr">
        <is>
          <t>07-04-2026</t>
        </is>
      </c>
      <c r="H16655" t="inlineStr">
        <is>
          <t>07/04/2026</t>
        </is>
      </c>
      <c r="I16655" t="inlineStr">
        <is>
          <t>17/03/2026</t>
        </is>
      </c>
      <c r="J16655" t="inlineStr">
        <is>
          <t>Xây dựng, Bất động sản, Luật / Pháp lý</t>
        </is>
      </c>
      <c r="K16655" t="inlineStr">
        <is>
          <t>3 - 5 Năm</t>
        </is>
      </c>
      <c r="L16655" s="8">
        <f>HYPERLINK("https://careerviet.vn/vi/tim-viec-lam/chuyen-vien-hop-dong-xay-dung.35C67DE1.html","Xem chi tiết")</f>
        <v/>
      </c>
    </row>
    <row r="16656">
      <c r="B16656" s="9" t="n">
        <v>16654</v>
      </c>
      <c r="C16656" s="10" t="inlineStr">
        <is>
          <t>SALE ADMIN</t>
        </is>
      </c>
      <c r="D16656" s="10" t="inlineStr">
        <is>
          <t>Công Ty Cổ Phần Đầu Tư Bất Động Sản Phúc Thịnh</t>
        </is>
      </c>
      <c r="E16656" s="10" t="inlineStr">
        <is>
          <t>Lương:12 Tr - 14 Tr VND</t>
        </is>
      </c>
      <c r="F16656" s="10" t="inlineStr">
        <is>
          <t>Hồ Chí Minh</t>
        </is>
      </c>
      <c r="G16656" s="10" t="inlineStr">
        <is>
          <t>31-03-2026</t>
        </is>
      </c>
      <c r="H16656" s="10" t="inlineStr">
        <is>
          <t>31/03/2026</t>
        </is>
      </c>
      <c r="I16656" s="10" t="inlineStr">
        <is>
          <t>17/03/2026</t>
        </is>
      </c>
      <c r="J16656" s="10" t="inlineStr">
        <is>
          <t>Tiếp thị / Marketing, Bán hàng / Kinh doanh, Bất động sản</t>
        </is>
      </c>
      <c r="K16656" s="10" t="inlineStr">
        <is>
          <t>1 - 2 Năm</t>
        </is>
      </c>
      <c r="L16656" s="11">
        <f>HYPERLINK("https://careerviet.vn/vi/tim-viec-lam/sale-admin.35C6A306.html","Xem chi tiết")</f>
        <v/>
      </c>
      <c r="M16656" s="10" t="n"/>
    </row>
    <row r="16657">
      <c r="B16657" s="7" t="n">
        <v>16655</v>
      </c>
      <c r="C16657" t="inlineStr">
        <is>
          <t>Giáo Viên Mầm Non (BRIS Tân Phú)</t>
        </is>
      </c>
      <c r="D16657" t="inlineStr">
        <is>
          <t>TRƯỜNG QUỐC TẾ BLUE RIDGE / BLUE RIDGE INTERNATIONAL SCHOOL (BRIS)</t>
        </is>
      </c>
      <c r="E16657" t="inlineStr">
        <is>
          <t>Lương:8 Tr - 9 Tr VND</t>
        </is>
      </c>
      <c r="F16657" t="inlineStr">
        <is>
          <t>Hồ Chí Minh</t>
        </is>
      </c>
      <c r="G16657" t="inlineStr">
        <is>
          <t>07-04-2026</t>
        </is>
      </c>
      <c r="H16657" t="inlineStr">
        <is>
          <t>07/04/2026</t>
        </is>
      </c>
      <c r="I16657" t="inlineStr">
        <is>
          <t>17/03/2026</t>
        </is>
      </c>
      <c r="J16657" t="inlineStr">
        <is>
          <t>Giáo dục / Đào tạo</t>
        </is>
      </c>
      <c r="K16657" t="inlineStr">
        <is>
          <t>1 - 2 Năm</t>
        </is>
      </c>
      <c r="L16657" s="8">
        <f>HYPERLINK("https://careerviet.vn/vi/tim-viec-lam/giao-vien-mam-non-bris-tan-phu.35C64E1A.html","Xem chi tiết")</f>
        <v/>
      </c>
    </row>
    <row r="16658">
      <c r="B16658" s="9" t="n">
        <v>16656</v>
      </c>
      <c r="C16658" s="10" t="inlineStr">
        <is>
          <t>Nhân viên Kinh doanh 5.0 (Brand &amp; Lead)</t>
        </is>
      </c>
      <c r="D16658" s="10" t="inlineStr">
        <is>
          <t>CÔNG TY TNHH DỊCH VỤ QUẢN LÝ HỆ THỐNG HỌC TẬP</t>
        </is>
      </c>
      <c r="E16658" s="10" t="inlineStr">
        <is>
          <t>Lương:9 Tr - 12 Tr VND</t>
        </is>
      </c>
      <c r="F16658" s="10" t="inlineStr">
        <is>
          <t>Hà NộiHồ Chí Minh</t>
        </is>
      </c>
      <c r="G16658" s="10" t="inlineStr">
        <is>
          <t>07-04-2026</t>
        </is>
      </c>
      <c r="H16658" s="10" t="inlineStr">
        <is>
          <t>07/04/2026</t>
        </is>
      </c>
      <c r="I16658" s="10" t="inlineStr">
        <is>
          <t>17/03/2026</t>
        </is>
      </c>
      <c r="J16658" s="10" t="inlineStr">
        <is>
          <t>Bán hàng / Kinh doanh, Dịch vụ khách hàng, Giáo dục / Đào tạo</t>
        </is>
      </c>
      <c r="K16658" s="10" t="inlineStr">
        <is>
          <t>N/A</t>
        </is>
      </c>
      <c r="L16658" s="11">
        <f>HYPERLINK("https://careerviet.vn/vi/tim-viec-lam/nhan-vien-kinh-doanh-5-0-brand-lead.35C67E2B.html","Xem chi tiết")</f>
        <v/>
      </c>
      <c r="M16658" s="10" t="n"/>
    </row>
    <row r="16659">
      <c r="B16659" s="7" t="n">
        <v>16657</v>
      </c>
      <c r="C16659" t="inlineStr">
        <is>
          <t>Trưởng phòng / Giám đốc kinh doanh Logistics B2B</t>
        </is>
      </c>
      <c r="D16659" t="inlineStr">
        <is>
          <t>Công ty Cổ phần Express Thành Đạt</t>
        </is>
      </c>
      <c r="E16659" t="inlineStr">
        <is>
          <t>Lương:25 Tr - 50 Tr VND</t>
        </is>
      </c>
      <c r="F16659" t="inlineStr">
        <is>
          <t>Hà NộiBình Dương</t>
        </is>
      </c>
      <c r="G16659" t="inlineStr">
        <is>
          <t>07-04-2026</t>
        </is>
      </c>
      <c r="H16659" t="inlineStr">
        <is>
          <t>07/04/2026</t>
        </is>
      </c>
      <c r="I16659" t="inlineStr">
        <is>
          <t>17/03/2026</t>
        </is>
      </c>
      <c r="J16659" t="inlineStr">
        <is>
          <t>Bán hàng / Kinh doanh, Vận chuyển / Giao nhận / Kho vận, Xuất nhập khẩu</t>
        </is>
      </c>
      <c r="K16659" t="inlineStr">
        <is>
          <t>1 - 3 Năm</t>
        </is>
      </c>
      <c r="L16659" s="8">
        <f>HYPERLINK("https://careerviet.vn/vi/tim-viec-lam/truong-phong-giam-doc-kinh-doanh-logistics-b2b.35C663E9.html","Xem chi tiết")</f>
        <v/>
      </c>
    </row>
    <row r="16660">
      <c r="B16660" s="9" t="n">
        <v>16658</v>
      </c>
      <c r="C16660" s="10" t="inlineStr">
        <is>
          <t>NHÂN VIÊN KINH DOANH TOUR DU LỊCH</t>
        </is>
      </c>
      <c r="D16660" s="10" t="inlineStr">
        <is>
          <t>Top Ten Travel</t>
        </is>
      </c>
      <c r="E16660" s="10" t="inlineStr">
        <is>
          <t>Lương:Trên 8 Tr VND</t>
        </is>
      </c>
      <c r="F16660" s="10" t="inlineStr">
        <is>
          <t>Hồ Chí Minh</t>
        </is>
      </c>
      <c r="G16660" s="10" t="inlineStr">
        <is>
          <t>01-04-2026</t>
        </is>
      </c>
      <c r="H16660" s="10" t="inlineStr">
        <is>
          <t>01/04/2026</t>
        </is>
      </c>
      <c r="I16660" s="10" t="inlineStr">
        <is>
          <t>17/03/2026</t>
        </is>
      </c>
      <c r="J16660" s="10" t="inlineStr">
        <is>
          <t>Tư vấn, Du lịch</t>
        </is>
      </c>
      <c r="K16660" s="10" t="inlineStr">
        <is>
          <t>Trên 1 Năm</t>
        </is>
      </c>
      <c r="L16660" s="11">
        <f>HYPERLINK("https://careerviet.vn/vi/tim-viec-lam/nhan-vien-kinh-doanh-tour-du-lich.35C6A478.html","Xem chi tiết")</f>
        <v/>
      </c>
      <c r="M16660" s="10" t="n"/>
    </row>
    <row r="16661">
      <c r="B16661" s="7" t="n">
        <v>16659</v>
      </c>
      <c r="C16661" t="inlineStr">
        <is>
          <t>Chuyên Viên Đào Tạo &amp; Truyền Thông Nội Bộ (Mảng Truyền Thông Nội Bộ)</t>
        </is>
      </c>
      <c r="D16661" t="inlineStr">
        <is>
          <t>CÔNG TY CỔ PHẦN EUROWINDOW HOLDING</t>
        </is>
      </c>
      <c r="E16661" t="inlineStr">
        <is>
          <t>Lương:Cạnh tranh</t>
        </is>
      </c>
      <c r="F16661" t="inlineStr">
        <is>
          <t>Hà Nội</t>
        </is>
      </c>
      <c r="G16661" t="inlineStr">
        <is>
          <t>07-04-2026</t>
        </is>
      </c>
      <c r="H16661" t="inlineStr">
        <is>
          <t>07/04/2026</t>
        </is>
      </c>
      <c r="I16661" t="inlineStr">
        <is>
          <t>17/03/2026</t>
        </is>
      </c>
      <c r="J16661" t="inlineStr">
        <is>
          <t>Quảng cáo / Đối ngoại / Truyền Thông, Tổ chức sự kiện, Truyền hình / Báo chí / Biên tập</t>
        </is>
      </c>
      <c r="K16661" t="inlineStr">
        <is>
          <t>2 - 3 Năm</t>
        </is>
      </c>
      <c r="L16661" s="8">
        <f>HYPERLINK("https://careerviet.vn/vi/tim-viec-lam/chuyen-vien-dao-tao-truyen-thong-noi-bo-mang-truyen-thong-noi-bo.35C67DDE.html","Xem chi tiết")</f>
        <v/>
      </c>
    </row>
    <row r="16662">
      <c r="B16662" s="9" t="n">
        <v>16660</v>
      </c>
      <c r="C16662" s="10" t="inlineStr">
        <is>
          <t>[Hà Nội-Bắc Ninh] Nhân viên Thu Ngân - Cashier</t>
        </is>
      </c>
      <c r="D16662" s="10" t="inlineStr">
        <is>
          <t>Công ty TNHH Phát triển Phú Mỹ Hưng</t>
        </is>
      </c>
      <c r="E16662" s="10" t="inlineStr">
        <is>
          <t>Lương:Cạnh tranh</t>
        </is>
      </c>
      <c r="F16662" s="10" t="inlineStr">
        <is>
          <t>Hà Nội</t>
        </is>
      </c>
      <c r="G16662" s="10" t="inlineStr">
        <is>
          <t>07-04-2026</t>
        </is>
      </c>
      <c r="H16662" s="10" t="inlineStr">
        <is>
          <t>07/04/2026</t>
        </is>
      </c>
      <c r="I16662" s="10" t="inlineStr">
        <is>
          <t>17/03/2026</t>
        </is>
      </c>
      <c r="J16662" s="10" t="inlineStr">
        <is>
          <t>Hành chính / Thư ký, Kế toán / Kiểm toán, Ngân hàng</t>
        </is>
      </c>
      <c r="K16662" s="10" t="inlineStr">
        <is>
          <t>N/A</t>
        </is>
      </c>
      <c r="L16662" s="11">
        <f>HYPERLINK("https://careerviet.vn/vi/tim-viec-lam/ha-noi-bac-ninh-nhan-vien-thu-ngan-cashier.35C64D18.html","Xem chi tiết")</f>
        <v/>
      </c>
      <c r="M16662" s="10" t="n"/>
    </row>
    <row r="16663">
      <c r="B16663" s="7" t="n">
        <v>16661</v>
      </c>
      <c r="C16663" t="inlineStr">
        <is>
          <t>Giám sát quầy hàng</t>
        </is>
      </c>
      <c r="D16663" t="inlineStr">
        <is>
          <t>TỔNG CÔNG TY CỔ PHẦN THƯƠNG MẠI XÂY DỰNG</t>
        </is>
      </c>
      <c r="E16663" t="inlineStr">
        <is>
          <t>Lương:12 Tr - 14 Tr VND</t>
        </is>
      </c>
      <c r="F16663" t="inlineStr">
        <is>
          <t>Hà Nội</t>
        </is>
      </c>
      <c r="G16663" t="inlineStr">
        <is>
          <t>07-04-2026</t>
        </is>
      </c>
      <c r="H16663" t="inlineStr">
        <is>
          <t>07/04/2026</t>
        </is>
      </c>
      <c r="I16663" t="inlineStr">
        <is>
          <t>17/03/2026</t>
        </is>
      </c>
      <c r="J16663" t="inlineStr">
        <is>
          <t>Dịch vụ khách hàng, Bán lẻ / Bán sỉ, Bán hàng / Kinh doanh</t>
        </is>
      </c>
      <c r="K16663" t="inlineStr">
        <is>
          <t>2 - 3 Năm</t>
        </is>
      </c>
      <c r="L16663" s="8">
        <f>HYPERLINK("https://careerviet.vn/vi/tim-viec-lam/giam-sat-quay-hang.35C67E68.html","Xem chi tiết")</f>
        <v/>
      </c>
    </row>
    <row r="16664">
      <c r="B16664" s="9" t="n">
        <v>16662</v>
      </c>
      <c r="C16664" s="10" t="inlineStr">
        <is>
          <t>Wind Resource Engineer</t>
        </is>
      </c>
      <c r="D16664" s="10" t="inlineStr">
        <is>
          <t>GOLDWIND INTERNATIONAL VIETNAM</t>
        </is>
      </c>
      <c r="E16664" s="10" t="inlineStr">
        <is>
          <t>Lương:Cạnh tranh</t>
        </is>
      </c>
      <c r="F16664" s="10" t="inlineStr">
        <is>
          <t>Hồ Chí Minh</t>
        </is>
      </c>
      <c r="G16664" s="10" t="inlineStr">
        <is>
          <t>07-04-2026</t>
        </is>
      </c>
      <c r="H16664" s="10" t="inlineStr">
        <is>
          <t>07/04/2026</t>
        </is>
      </c>
      <c r="I16664" s="10" t="inlineStr">
        <is>
          <t>17/03/2026</t>
        </is>
      </c>
      <c r="J16664" s="10" t="inlineStr">
        <is>
          <t>Điện / Điện tử / Điện lạnh / Điện công nghiệp</t>
        </is>
      </c>
      <c r="K16664" s="10" t="inlineStr">
        <is>
          <t>1 - 3 Năm</t>
        </is>
      </c>
      <c r="L16664" s="11">
        <f>HYPERLINK("https://careerviet.vn/vi/tim-viec-lam/wind-resource-engineer.35C67F6D.html","Xem chi tiết")</f>
        <v/>
      </c>
      <c r="M16664" s="10" t="n"/>
    </row>
    <row r="16665">
      <c r="B16665" s="7" t="n">
        <v>16663</v>
      </c>
      <c r="C16665" t="inlineStr">
        <is>
          <t>Trưởng Bộ Phận Quầy Kính</t>
        </is>
      </c>
      <c r="D16665" t="inlineStr">
        <is>
          <t>CÔNG TY CỔ PHẦN VIỆN MẮT QUỐC TẾ VIỆT - NGA THÀNH PHỐ HỒ CHÍ MINH</t>
        </is>
      </c>
      <c r="E16665" t="inlineStr">
        <is>
          <t>Lương:Cạnh tranh</t>
        </is>
      </c>
      <c r="F16665" t="inlineStr">
        <is>
          <t>Hồ Chí Minh</t>
        </is>
      </c>
      <c r="G16665" t="inlineStr">
        <is>
          <t>07-04-2026</t>
        </is>
      </c>
      <c r="H16665" t="inlineStr">
        <is>
          <t>07/04/2026</t>
        </is>
      </c>
      <c r="I16665" t="inlineStr">
        <is>
          <t>17/03/2026</t>
        </is>
      </c>
      <c r="J16665" t="inlineStr">
        <is>
          <t>Y tế / Chăm sóc sức khỏe / Thẩm mỹ / Làm đẹp, Quản lý điều hành, Dịch vụ khách hàng</t>
        </is>
      </c>
      <c r="K16665" t="inlineStr">
        <is>
          <t>Trên 3 Năm</t>
        </is>
      </c>
      <c r="L16665" s="8">
        <f>HYPERLINK("https://careerviet.vn/vi/tim-viec-lam/truong-bo-phan-quay-kinh.35C67E35.html","Xem chi tiết")</f>
        <v/>
      </c>
    </row>
    <row r="16666">
      <c r="B16666" s="9" t="n">
        <v>16664</v>
      </c>
      <c r="C16666" s="10" t="inlineStr">
        <is>
          <t>Nhân Viên Kinh Doanh</t>
        </is>
      </c>
      <c r="D16666" s="10" t="inlineStr">
        <is>
          <t>Công ty TNHH Kanzen Việt Nam</t>
        </is>
      </c>
      <c r="E16666" s="10" t="inlineStr">
        <is>
          <t>Lương:10 Tr - 25 Tr VND</t>
        </is>
      </c>
      <c r="F16666" s="10" t="inlineStr">
        <is>
          <t>Hưng Yên</t>
        </is>
      </c>
      <c r="G16666" s="10" t="inlineStr">
        <is>
          <t>07-04-2026</t>
        </is>
      </c>
      <c r="H16666" s="10" t="inlineStr">
        <is>
          <t>07/04/2026</t>
        </is>
      </c>
      <c r="I16666" s="10" t="inlineStr">
        <is>
          <t>17/03/2026</t>
        </is>
      </c>
      <c r="J16666" s="10" t="inlineStr">
        <is>
          <t>Bán hàng / Kinh doanh, Bán Hàng Kỹ Thuật, Điện / Điện tử / Điện lạnh / Điện công nghiệp</t>
        </is>
      </c>
      <c r="K16666" s="10" t="inlineStr">
        <is>
          <t>N/A</t>
        </is>
      </c>
      <c r="L16666" s="11">
        <f>HYPERLINK("https://careerviet.vn/vi/tim-viec-lam/nhan-vien-kinh-doanh.35C64C62.html","Xem chi tiết")</f>
        <v/>
      </c>
      <c r="M16666" s="10" t="n"/>
    </row>
    <row r="16667">
      <c r="B16667" s="7" t="n">
        <v>16665</v>
      </c>
      <c r="C16667" t="inlineStr">
        <is>
          <t>Chuyên viên mua sắm Dairy Bơ sữa</t>
        </is>
      </c>
      <c r="D16667" t="inlineStr">
        <is>
          <t>TỔNG CÔNG TY CỔ PHẦN THƯƠNG MẠI XÂY DỰNG</t>
        </is>
      </c>
      <c r="E16667" t="inlineStr">
        <is>
          <t>Lương:15 Tr - 17 Tr VND</t>
        </is>
      </c>
      <c r="F16667" t="inlineStr">
        <is>
          <t>Hà Nội</t>
        </is>
      </c>
      <c r="G16667" t="inlineStr">
        <is>
          <t>07-04-2026</t>
        </is>
      </c>
      <c r="H16667" t="inlineStr">
        <is>
          <t>07/04/2026</t>
        </is>
      </c>
      <c r="I16667" t="inlineStr">
        <is>
          <t>17/03/2026</t>
        </is>
      </c>
      <c r="J16667" t="inlineStr">
        <is>
          <t>Hàng gia dụng / Chăm sóc cá nhân, Bán hàng / Kinh doanh, Thu mua / Vật tư</t>
        </is>
      </c>
      <c r="K16667" t="inlineStr">
        <is>
          <t>2 - 3 Năm</t>
        </is>
      </c>
      <c r="L16667" s="8">
        <f>HYPERLINK("https://careerviet.vn/vi/tim-viec-lam/chuyen-vien-mua-sam-dairy-bo-sua.35C67DB6.html","Xem chi tiết")</f>
        <v/>
      </c>
    </row>
    <row r="16668">
      <c r="B16668" s="9" t="n">
        <v>16666</v>
      </c>
      <c r="C16668" s="10" t="inlineStr">
        <is>
          <t>Nhân Viên Bảo Trì Kỹ Thuật Nhiệt  / Technician, Heat Treatment Maintenance</t>
        </is>
      </c>
      <c r="D16668" s="10" t="inlineStr">
        <is>
          <t>Công Ty TNHH Metkraft</t>
        </is>
      </c>
      <c r="E16668" s="10" t="inlineStr">
        <is>
          <t>Lương:Cạnh tranh</t>
        </is>
      </c>
      <c r="F16668" s="10" t="inlineStr">
        <is>
          <t>Hồ Chí Minh</t>
        </is>
      </c>
      <c r="G16668" s="10" t="inlineStr">
        <is>
          <t>07-04-2026</t>
        </is>
      </c>
      <c r="H16668" s="10" t="inlineStr">
        <is>
          <t>07/04/2026</t>
        </is>
      </c>
      <c r="I16668" s="10" t="inlineStr">
        <is>
          <t>17/03/2026</t>
        </is>
      </c>
      <c r="J16668" s="10" t="inlineStr">
        <is>
          <t>Tiếp thị / Marketing, Bán hàng / Kinh doanh, Cơ khí / Ô tô / Tự động hóa</t>
        </is>
      </c>
      <c r="K16668" s="10" t="inlineStr">
        <is>
          <t>1 - 7 Năm</t>
        </is>
      </c>
      <c r="L16668" s="11">
        <f>HYPERLINK("https://careerviet.vn/vi/tim-viec-lam/nhan-vien-bao-tri-ky-thuat-nhiet-technician-heat-treatment-maintenance.35C67F75.html","Xem chi tiết")</f>
        <v/>
      </c>
      <c r="M16668" s="10" t="n"/>
    </row>
    <row r="16669">
      <c r="B16669" s="7" t="n">
        <v>16667</v>
      </c>
      <c r="C16669" t="inlineStr">
        <is>
          <t>[Trường Vinh - Nghệ An] - Kiểm Soát Viên</t>
        </is>
      </c>
      <c r="D16669" t="inlineStr">
        <is>
          <t>NGÂN HÀNG TRÁCH NHIỆM HỮU HẠN MỘT THÀNH VIÊN VIỆT NAM HIỆN ĐẠI</t>
        </is>
      </c>
      <c r="E16669" t="inlineStr">
        <is>
          <t>Lương:Trên 15 Tr VND</t>
        </is>
      </c>
      <c r="F16669" t="inlineStr">
        <is>
          <t>Nghệ An</t>
        </is>
      </c>
      <c r="G16669" t="inlineStr">
        <is>
          <t>07-04-2026</t>
        </is>
      </c>
      <c r="H16669" t="inlineStr">
        <is>
          <t>07/04/2026</t>
        </is>
      </c>
      <c r="I16669" t="inlineStr">
        <is>
          <t>17/03/2026</t>
        </is>
      </c>
      <c r="J16669" t="inlineStr">
        <is>
          <t>Ngân hàng, Tài chính / Đầu tư, Kế toán / Kiểm toán</t>
        </is>
      </c>
      <c r="K16669" t="inlineStr">
        <is>
          <t>Trên 3 Năm</t>
        </is>
      </c>
      <c r="L16669" s="8">
        <f>HYPERLINK("https://careerviet.vn/vi/tim-viec-lam/truong-vinh-nghe-an-kiem-soat-vien.35C64E60.html","Xem chi tiết")</f>
        <v/>
      </c>
    </row>
    <row r="16670">
      <c r="B16670" s="9" t="n">
        <v>16668</v>
      </c>
      <c r="C16670" s="10" t="inlineStr">
        <is>
          <t>QA Leader</t>
        </is>
      </c>
      <c r="D16670" s="10" t="inlineStr">
        <is>
          <t>Bảo mật</t>
        </is>
      </c>
      <c r="E16670" s="10" t="inlineStr">
        <is>
          <t>Lương:80 Tr - 90 Tr VND</t>
        </is>
      </c>
      <c r="F16670" s="10" t="inlineStr">
        <is>
          <t>Hà NộiHồ Chí Minh</t>
        </is>
      </c>
      <c r="G16670" s="10" t="inlineStr">
        <is>
          <t>07-04-2026</t>
        </is>
      </c>
      <c r="H16670" s="10" t="inlineStr">
        <is>
          <t>07/04/2026</t>
        </is>
      </c>
      <c r="I16670" s="10" t="inlineStr">
        <is>
          <t>17/03/2026</t>
        </is>
      </c>
      <c r="J16670" s="10" t="inlineStr">
        <is>
          <t>CNTT - Phần mềm</t>
        </is>
      </c>
      <c r="K16670" s="10" t="inlineStr">
        <is>
          <t>5 - 10 Năm</t>
        </is>
      </c>
      <c r="L16670" s="11">
        <f>HYPERLINK("https://careerviet.vn/vi/tim-viec-lam/qa-leader.35C64E31.html","Xem chi tiết")</f>
        <v/>
      </c>
      <c r="M16670" s="10" t="n"/>
    </row>
    <row r="16671">
      <c r="B16671" s="7" t="n">
        <v>16669</v>
      </c>
      <c r="C16671" t="inlineStr">
        <is>
          <t>Nhân viên Kế Toán kho</t>
        </is>
      </c>
      <c r="D16671" t="inlineStr">
        <is>
          <t>Bảo mật</t>
        </is>
      </c>
      <c r="E16671" t="inlineStr">
        <is>
          <t>Lương:Cạnh tranh</t>
        </is>
      </c>
      <c r="F16671" t="inlineStr">
        <is>
          <t>Long An</t>
        </is>
      </c>
      <c r="G16671" t="inlineStr">
        <is>
          <t>07-04-2026</t>
        </is>
      </c>
      <c r="H16671" t="inlineStr">
        <is>
          <t>07/04/2026</t>
        </is>
      </c>
      <c r="I16671" t="inlineStr">
        <is>
          <t>17/03/2026</t>
        </is>
      </c>
      <c r="J16671" t="inlineStr">
        <is>
          <t>Hành chính / Thư ký, Kế toán / Kiểm toán</t>
        </is>
      </c>
      <c r="K16671" t="inlineStr">
        <is>
          <t>Trên 1 Năm</t>
        </is>
      </c>
      <c r="L16671" s="8">
        <f>HYPERLINK("https://careerviet.vn/vi/tim-viec-lam/nhan-vien-ke-toan-kho.35C67F04.html","Xem chi tiết")</f>
        <v/>
      </c>
    </row>
    <row r="16672">
      <c r="B16672" s="9" t="n">
        <v>16670</v>
      </c>
      <c r="C16672" s="10" t="inlineStr">
        <is>
          <t>[Cần Thơ] Trưởng phòng Khách hàng cá nhân</t>
        </is>
      </c>
      <c r="D16672" s="10" t="inlineStr">
        <is>
          <t>Ngân hàng TMCP Đại Chúng Việt Nam - PVcomBank</t>
        </is>
      </c>
      <c r="E16672" s="10" t="inlineStr">
        <is>
          <t>Lương:Cạnh tranh</t>
        </is>
      </c>
      <c r="F16672" s="10" t="inlineStr">
        <is>
          <t>Cần Thơ</t>
        </is>
      </c>
      <c r="G16672" s="10" t="inlineStr">
        <is>
          <t>07-04-2026</t>
        </is>
      </c>
      <c r="H16672" s="10" t="inlineStr">
        <is>
          <t>07/04/2026</t>
        </is>
      </c>
      <c r="I16672" s="10" t="inlineStr">
        <is>
          <t>17/03/2026</t>
        </is>
      </c>
      <c r="J16672" s="10" t="inlineStr">
        <is>
          <t>Ngân hàng, Tài chính / Đầu tư</t>
        </is>
      </c>
      <c r="K16672" s="10" t="inlineStr">
        <is>
          <t>Trên 2 Năm</t>
        </is>
      </c>
      <c r="L16672" s="11">
        <f>HYPERLINK("https://careerviet.vn/vi/tim-viec-lam/can-tho-truong-phong-khach-hang-ca-nhan.35C67EED.html","Xem chi tiết")</f>
        <v/>
      </c>
      <c r="M16672" s="10" t="n"/>
    </row>
    <row r="16673">
      <c r="B16673" s="7" t="n">
        <v>16671</v>
      </c>
      <c r="C16673" t="inlineStr">
        <is>
          <t>[Bắc Ninh] Thực tập sinh Logistics</t>
        </is>
      </c>
      <c r="D16673" t="inlineStr">
        <is>
          <t>Chi nhánh Công ty Cổ phần ITL Logistics tại phía Bắc</t>
        </is>
      </c>
      <c r="E16673" t="inlineStr">
        <is>
          <t>Lương:1 Tr - 1 Tr VND</t>
        </is>
      </c>
      <c r="F16673" t="inlineStr">
        <is>
          <t>Bắc Ninh</t>
        </is>
      </c>
      <c r="G16673" t="inlineStr">
        <is>
          <t>07-04-2026</t>
        </is>
      </c>
      <c r="H16673" t="inlineStr">
        <is>
          <t>07/04/2026</t>
        </is>
      </c>
      <c r="I16673" t="inlineStr">
        <is>
          <t>17/03/2026</t>
        </is>
      </c>
      <c r="J16673" t="inlineStr">
        <is>
          <t>Vận chuyển / Giao nhận / Kho vận</t>
        </is>
      </c>
      <c r="K16673" t="inlineStr">
        <is>
          <t>N/A</t>
        </is>
      </c>
      <c r="L16673" s="8">
        <f>HYPERLINK("https://careerviet.vn/vi/tim-viec-lam/bac-ninh-thuc-tap-sinh-logistics.35C64DD6.html","Xem chi tiết")</f>
        <v/>
      </c>
    </row>
    <row r="16674">
      <c r="B16674" s="9" t="n">
        <v>16672</v>
      </c>
      <c r="C16674" s="10" t="inlineStr">
        <is>
          <t>Nhân Viên Đối Soát Chứng Từ</t>
        </is>
      </c>
      <c r="D16674" s="10" t="inlineStr">
        <is>
          <t>Công ty TNHH SOKOGROUP</t>
        </is>
      </c>
      <c r="E16674" s="10" t="inlineStr">
        <is>
          <t>Lương:7 Tr - 9 Tr VND</t>
        </is>
      </c>
      <c r="F16674" s="10" t="inlineStr">
        <is>
          <t>Hồ Chí Minh</t>
        </is>
      </c>
      <c r="G16674" s="10" t="inlineStr">
        <is>
          <t>07-04-2026</t>
        </is>
      </c>
      <c r="H16674" s="10" t="inlineStr">
        <is>
          <t>07/04/2026</t>
        </is>
      </c>
      <c r="I16674" s="10" t="inlineStr">
        <is>
          <t>17/03/2026</t>
        </is>
      </c>
      <c r="J16674" s="10" t="inlineStr">
        <is>
          <t>Kế toán / Kiểm toán, Hành chính / Thư ký, Thu mua / Vật tư</t>
        </is>
      </c>
      <c r="K16674" s="10" t="inlineStr">
        <is>
          <t>1 - 2 Năm</t>
        </is>
      </c>
      <c r="L16674" s="11">
        <f>HYPERLINK("https://careerviet.vn/vi/tim-viec-lam/nhan-vien-doi-soat-chung-tu.35C67EBD.html","Xem chi tiết")</f>
        <v/>
      </c>
      <c r="M16674" s="10" t="n"/>
    </row>
    <row r="16675">
      <c r="B16675" s="7" t="n">
        <v>16673</v>
      </c>
      <c r="C16675" t="inlineStr">
        <is>
          <t>Nhân viên Quản lý Vận hành</t>
        </is>
      </c>
      <c r="D16675" t="inlineStr">
        <is>
          <t>Tập Đoàn Kim Tín</t>
        </is>
      </c>
      <c r="E16675" t="inlineStr">
        <is>
          <t>Lương:Cạnh tranh</t>
        </is>
      </c>
      <c r="F16675" t="inlineStr">
        <is>
          <t>Hồ Chí Minh</t>
        </is>
      </c>
      <c r="G16675" t="inlineStr">
        <is>
          <t>07-04-2026</t>
        </is>
      </c>
      <c r="H16675" t="inlineStr">
        <is>
          <t>07/04/2026</t>
        </is>
      </c>
      <c r="I16675" t="inlineStr">
        <is>
          <t>17/03/2026</t>
        </is>
      </c>
      <c r="J16675" t="inlineStr">
        <is>
          <t>Kế toán / Kiểm toán, Quản lý chất lượng (QA/QC), Thống kê</t>
        </is>
      </c>
      <c r="K16675" t="inlineStr">
        <is>
          <t>Chưa có kinh nghiệm</t>
        </is>
      </c>
      <c r="L16675" s="8">
        <f>HYPERLINK("https://careerviet.vn/vi/tim-viec-lam/nhan-vien-quan-ly-van-hanh.35C67F63.html","Xem chi tiết")</f>
        <v/>
      </c>
    </row>
    <row r="16676">
      <c r="B16676" s="9" t="n">
        <v>16674</v>
      </c>
      <c r="C16676" s="10" t="inlineStr">
        <is>
          <t>Chuyên viên Quản lý chất lượng</t>
        </is>
      </c>
      <c r="D16676" s="10" t="inlineStr">
        <is>
          <t>CÔNG TY CỔ PHẨN ỨNG DỤNG VÀ CHUYỂN GIAO CÔNG NGHỆ XÂY DỰNG (CJSC)</t>
        </is>
      </c>
      <c r="E16676" s="10" t="inlineStr">
        <is>
          <t>Lương:20 Tr - 25 Tr VND</t>
        </is>
      </c>
      <c r="F16676" s="10" t="inlineStr">
        <is>
          <t>Hà Nội</t>
        </is>
      </c>
      <c r="G16676" s="10" t="inlineStr">
        <is>
          <t>07-04-2026</t>
        </is>
      </c>
      <c r="H16676" s="10" t="inlineStr">
        <is>
          <t>07/04/2026</t>
        </is>
      </c>
      <c r="I16676" s="10" t="inlineStr">
        <is>
          <t>17/03/2026</t>
        </is>
      </c>
      <c r="J16676" s="10" t="inlineStr">
        <is>
          <t>Xây dựng, Quản lý chất lượng (QA/QC)</t>
        </is>
      </c>
      <c r="K16676" s="10" t="inlineStr">
        <is>
          <t>5 - 10 Năm</t>
        </is>
      </c>
      <c r="L16676" s="11">
        <f>HYPERLINK("https://careerviet.vn/vi/tim-viec-lam/chuyen-vien-quan-ly-chat-luong.35C67E17.html","Xem chi tiết")</f>
        <v/>
      </c>
      <c r="M16676" s="10" t="n"/>
    </row>
    <row r="16677">
      <c r="B16677" s="7" t="n">
        <v>16675</v>
      </c>
      <c r="C16677" t="inlineStr">
        <is>
          <t>Trưởng nhóm Công nợ</t>
        </is>
      </c>
      <c r="D16677" t="inlineStr">
        <is>
          <t>CÔNG TY CỔ PHẦN CLOUD PROPERTY</t>
        </is>
      </c>
      <c r="E16677" t="inlineStr">
        <is>
          <t>Lương:18 Tr - 23 Tr VND</t>
        </is>
      </c>
      <c r="F16677" t="inlineStr">
        <is>
          <t>Hà Nội</t>
        </is>
      </c>
      <c r="G16677" t="inlineStr">
        <is>
          <t>07-04-2026</t>
        </is>
      </c>
      <c r="H16677" t="inlineStr">
        <is>
          <t>07/04/2026</t>
        </is>
      </c>
      <c r="I16677" t="inlineStr">
        <is>
          <t>17/03/2026</t>
        </is>
      </c>
      <c r="J16677" t="inlineStr">
        <is>
          <t>Ngân hàng, Tài chính / Đầu tư, Kế toán / Kiểm toán</t>
        </is>
      </c>
      <c r="K16677" t="inlineStr">
        <is>
          <t>3 - 5 Năm</t>
        </is>
      </c>
      <c r="L16677" s="8">
        <f>HYPERLINK("https://careerviet.vn/vi/tim-viec-lam/truong-nhom-cong-no.35C67F6A.html","Xem chi tiết")</f>
        <v/>
      </c>
    </row>
    <row r="16678">
      <c r="B16678" s="9" t="n">
        <v>16676</v>
      </c>
      <c r="C16678" s="10" t="inlineStr">
        <is>
          <t>Chuyên Viên Khai Thác Nguồn Hàng OEM Quốc Tế</t>
        </is>
      </c>
      <c r="D16678" s="10" t="inlineStr">
        <is>
          <t>Công ty Cổ Phần Tập Đoàn Thiên Long</t>
        </is>
      </c>
      <c r="E16678" s="10" t="inlineStr">
        <is>
          <t>Lương:Cạnh tranh</t>
        </is>
      </c>
      <c r="F16678" s="10" t="inlineStr">
        <is>
          <t>Hồ Chí Minh</t>
        </is>
      </c>
      <c r="G16678" s="10" t="inlineStr">
        <is>
          <t>07-04-2026</t>
        </is>
      </c>
      <c r="H16678" s="10" t="inlineStr">
        <is>
          <t>07/04/2026</t>
        </is>
      </c>
      <c r="I16678" s="10" t="inlineStr">
        <is>
          <t>17/03/2026</t>
        </is>
      </c>
      <c r="J16678" s="10" t="inlineStr">
        <is>
          <t>Thu mua / Vật tư</t>
        </is>
      </c>
      <c r="K16678" s="10" t="inlineStr">
        <is>
          <t>2 - 5 Năm</t>
        </is>
      </c>
      <c r="L16678" s="11">
        <f>HYPERLINK("https://careerviet.vn/vi/tim-viec-lam/chuyen-vien-khai-thac-nguon-hang-oem-quoc-te.35C67F7C.html","Xem chi tiết")</f>
        <v/>
      </c>
      <c r="M16678" s="10" t="n"/>
    </row>
    <row r="16679">
      <c r="B16679" s="7" t="n">
        <v>16677</v>
      </c>
      <c r="C16679" t="inlineStr">
        <is>
          <t>Field Service Engineer – Semiconductor Equipment</t>
        </is>
      </c>
      <c r="D16679" t="inlineStr">
        <is>
          <t>Ascenx Technologies Vietnam Ltd. Co.</t>
        </is>
      </c>
      <c r="E16679" t="inlineStr">
        <is>
          <t>Lương:Cạnh tranh</t>
        </is>
      </c>
      <c r="F16679" t="inlineStr">
        <is>
          <t>Hồ Chí Minh</t>
        </is>
      </c>
      <c r="G16679" t="inlineStr">
        <is>
          <t>06-04-2026</t>
        </is>
      </c>
      <c r="H16679" t="inlineStr">
        <is>
          <t>06/04/2026</t>
        </is>
      </c>
      <c r="I16679" t="inlineStr">
        <is>
          <t>17/03/2026</t>
        </is>
      </c>
      <c r="J16679" t="inlineStr">
        <is>
          <t>Bảo trì / Sửa chữa, Điện / Điện tử / Điện lạnh / Điện công nghiệp, Cơ khí / Ô tô / Tự động hóa</t>
        </is>
      </c>
      <c r="K16679" t="inlineStr">
        <is>
          <t>1 - 10 Năm</t>
        </is>
      </c>
      <c r="L16679" s="8">
        <f>HYPERLINK("https://careerviet.vn/vi/tim-viec-lam/field-service-engineer-semiconductor-equipment.35C67F37.html","Xem chi tiết")</f>
        <v/>
      </c>
    </row>
    <row r="16680">
      <c r="B16680" s="9" t="n">
        <v>16678</v>
      </c>
      <c r="C16680" s="10" t="inlineStr">
        <is>
          <t>TRƯỞNG BỘ PHẬN TUYỂN DỤNG (TUYỂN MASS)</t>
        </is>
      </c>
      <c r="D16680" s="10" t="inlineStr">
        <is>
          <t>CÔNG TY CỔ PHẦN EUROWINDOW HOLDING</t>
        </is>
      </c>
      <c r="E16680" s="10" t="inlineStr">
        <is>
          <t>Lương:Cạnh tranh</t>
        </is>
      </c>
      <c r="F16680" s="10" t="inlineStr">
        <is>
          <t>Hà Nội</t>
        </is>
      </c>
      <c r="G16680" s="10" t="inlineStr">
        <is>
          <t>07-04-2026</t>
        </is>
      </c>
      <c r="H16680" s="10" t="inlineStr">
        <is>
          <t>07/04/2026</t>
        </is>
      </c>
      <c r="I16680" s="10" t="inlineStr">
        <is>
          <t>17/03/2026</t>
        </is>
      </c>
      <c r="J16680" s="10" t="inlineStr">
        <is>
          <t>Nhân sự</t>
        </is>
      </c>
      <c r="K16680" s="10" t="inlineStr">
        <is>
          <t>3 - 10 Năm</t>
        </is>
      </c>
      <c r="L16680" s="11">
        <f>HYPERLINK("https://careerviet.vn/vi/tim-viec-lam/truong-bo-phan-tuyen-dung-tuyen-mass.35C67F6F.html","Xem chi tiết")</f>
        <v/>
      </c>
      <c r="M16680" s="10" t="n"/>
    </row>
    <row r="16681">
      <c r="B16681" s="7" t="n">
        <v>16679</v>
      </c>
      <c r="C16681" t="inlineStr">
        <is>
          <t>Hải Phòng - Điều Phối Kho Hàng và Hậu Cần</t>
        </is>
      </c>
      <c r="D16681" t="inlineStr">
        <is>
          <t>Cty TNHH Top Solvent (Việt Nam)</t>
        </is>
      </c>
      <c r="E16681" t="inlineStr">
        <is>
          <t>Lương:Cạnh tranh</t>
        </is>
      </c>
      <c r="F16681" t="inlineStr">
        <is>
          <t>Hải Phòng</t>
        </is>
      </c>
      <c r="G16681" t="inlineStr">
        <is>
          <t>07-04-2026</t>
        </is>
      </c>
      <c r="H16681" t="inlineStr">
        <is>
          <t>07/04/2026</t>
        </is>
      </c>
      <c r="I16681" t="inlineStr">
        <is>
          <t>17/03/2026</t>
        </is>
      </c>
      <c r="J16681" t="inlineStr">
        <is>
          <t>Vận chuyển / Giao nhận / Kho vận, Quản lý điều hành, Sản xuất / Vận hành sản xuất</t>
        </is>
      </c>
      <c r="K16681" t="inlineStr">
        <is>
          <t>Trên 3 Năm</t>
        </is>
      </c>
      <c r="L16681" s="8">
        <f>HYPERLINK("https://careerviet.vn/vi/tim-viec-lam/hai-phong-dieu-phoi-kho-hang-va-hau-can.35C64DE1.html","Xem chi tiết")</f>
        <v/>
      </c>
    </row>
    <row r="16682">
      <c r="B16682" s="9" t="n">
        <v>16680</v>
      </c>
      <c r="C16682" s="10" t="inlineStr">
        <is>
          <t>Chuyên Viên Hình Ảnh Điểm Bán</t>
        </is>
      </c>
      <c r="D16682" s="10" t="inlineStr">
        <is>
          <t>Tập Đoàn Karofi Holding</t>
        </is>
      </c>
      <c r="E16682" s="10" t="inlineStr">
        <is>
          <t>Lương:14 Tr - 18 Tr VND</t>
        </is>
      </c>
      <c r="F16682" s="10" t="inlineStr">
        <is>
          <t>Hà Nội</t>
        </is>
      </c>
      <c r="G16682" s="10" t="inlineStr">
        <is>
          <t>07-04-2026</t>
        </is>
      </c>
      <c r="H16682" s="10" t="inlineStr">
        <is>
          <t>07/04/2026</t>
        </is>
      </c>
      <c r="I16682" s="10" t="inlineStr">
        <is>
          <t>17/03/2026</t>
        </is>
      </c>
      <c r="J16682" s="10" t="inlineStr">
        <is>
          <t>Quảng cáo / Đối ngoại / Truyền Thông, Tiếp thị / Marketing</t>
        </is>
      </c>
      <c r="K16682" s="10" t="inlineStr">
        <is>
          <t>1 - 2 Năm</t>
        </is>
      </c>
      <c r="L16682" s="11">
        <f>HYPERLINK("https://careerviet.vn/vi/tim-viec-lam/chuyen-vien-hinh-anh-diem-ban.35C64E30.html","Xem chi tiết")</f>
        <v/>
      </c>
      <c r="M16682" s="10" t="n"/>
    </row>
    <row r="16683">
      <c r="B16683" s="7" t="n">
        <v>16681</v>
      </c>
      <c r="C16683" t="inlineStr">
        <is>
          <t>Nhân viên Phát triển Dự án</t>
        </is>
      </c>
      <c r="D16683" t="inlineStr">
        <is>
          <t>HR Vietnam’s ESS Client</t>
        </is>
      </c>
      <c r="E16683" t="inlineStr">
        <is>
          <t>Lương:Cạnh tranh</t>
        </is>
      </c>
      <c r="F16683" t="inlineStr">
        <is>
          <t>Đồng Nai</t>
        </is>
      </c>
      <c r="G16683" t="inlineStr">
        <is>
          <t>07-04-2026</t>
        </is>
      </c>
      <c r="H16683" t="inlineStr">
        <is>
          <t>07/04/2026</t>
        </is>
      </c>
      <c r="I16683" t="inlineStr">
        <is>
          <t>17/03/2026</t>
        </is>
      </c>
      <c r="J16683" t="inlineStr">
        <is>
          <t>Cơ khí / Ô tô / Tự động hóa, Bảo trì / Sửa chữa</t>
        </is>
      </c>
      <c r="K16683" t="inlineStr">
        <is>
          <t>1 - 3 Năm</t>
        </is>
      </c>
      <c r="L16683" s="8">
        <f>HYPERLINK("https://careerviet.vn/vi/tim-viec-lam/nhan-vien-phat-trien-du-an.35C67F27.html","Xem chi tiết")</f>
        <v/>
      </c>
    </row>
    <row r="16684">
      <c r="B16684" s="9" t="n">
        <v>16682</v>
      </c>
      <c r="C16684" s="10" t="inlineStr">
        <is>
          <t>KTV Xét nghiệm/ Điều dưỡng / Y sĩ đa / Hộ sinh lấy máu tại nhà (khu vực Quận 2 và Bình Thạnh)</t>
        </is>
      </c>
      <c r="D16684" s="10" t="inlineStr">
        <is>
          <t>DIAG</t>
        </is>
      </c>
      <c r="E16684" s="10" t="inlineStr">
        <is>
          <t>Lương:11 Tr - 15 Tr VND</t>
        </is>
      </c>
      <c r="F16684" s="10" t="inlineStr">
        <is>
          <t>Hồ Chí Minh</t>
        </is>
      </c>
      <c r="G16684" s="10" t="inlineStr">
        <is>
          <t>07-04-2026</t>
        </is>
      </c>
      <c r="H16684" s="10" t="inlineStr">
        <is>
          <t>07/04/2026</t>
        </is>
      </c>
      <c r="I16684" s="10" t="inlineStr">
        <is>
          <t>17/03/2026</t>
        </is>
      </c>
      <c r="J16684" s="10" t="inlineStr">
        <is>
          <t>Y tế / Chăm sóc sức khỏe / Thẩm mỹ / Làm đẹp, Dược phẩm/ Hóa Mỹ Phẩm</t>
        </is>
      </c>
      <c r="K16684" s="10" t="inlineStr">
        <is>
          <t>Trên 1 Năm</t>
        </is>
      </c>
      <c r="L16684" s="11">
        <f>HYPERLINK("https://careerviet.vn/vi/tim-viec-lam/ktv-xet-nghiem-dieu-duong-y-si-da-ho-sinh-lay-mau-tai-nha-khu-vuc-quan-2-va-binh-thanh.35C67E5D.html","Xem chi tiết")</f>
        <v/>
      </c>
      <c r="M16684" s="10" t="n"/>
    </row>
    <row r="16685">
      <c r="B16685" s="7" t="n">
        <v>16683</v>
      </c>
      <c r="C16685" t="inlineStr">
        <is>
          <t>Nhân Viên Kinh Doanh B2B Ngành Túi Xách</t>
        </is>
      </c>
      <c r="D16685" t="inlineStr">
        <is>
          <t>CÔNG TY TNHH SẢN XUẤT VÀ THƯƠNG MẠI TRƯƠNG VUI</t>
        </is>
      </c>
      <c r="E16685" t="inlineStr">
        <is>
          <t>Lương:10 Tr - 12 Tr VND</t>
        </is>
      </c>
      <c r="F16685" t="inlineStr">
        <is>
          <t>Hồ Chí Minh</t>
        </is>
      </c>
      <c r="G16685" t="inlineStr">
        <is>
          <t>07-04-2026</t>
        </is>
      </c>
      <c r="H16685" t="inlineStr">
        <is>
          <t>07/04/2026</t>
        </is>
      </c>
      <c r="I16685" t="inlineStr">
        <is>
          <t>17/03/2026</t>
        </is>
      </c>
      <c r="J16685" t="inlineStr">
        <is>
          <t>Bán lẻ / Bán sỉ, Bán hàng / Kinh doanh, Tư vấn</t>
        </is>
      </c>
      <c r="K16685" t="inlineStr">
        <is>
          <t>2 - 3 Năm</t>
        </is>
      </c>
      <c r="L16685" s="8">
        <f>HYPERLINK("https://careerviet.vn/vi/tim-viec-lam/nhan-vien-kinh-doanh-b2b-nganh-tui-xach.35C67F5C.html","Xem chi tiết")</f>
        <v/>
      </c>
    </row>
    <row r="16686">
      <c r="B16686" s="9" t="n">
        <v>16684</v>
      </c>
      <c r="C16686" s="10" t="inlineStr">
        <is>
          <t>Nhân Viên Tuyển Dụng Và Thu Hút Nhân Tài</t>
        </is>
      </c>
      <c r="D16686" s="10" t="inlineStr">
        <is>
          <t>CÔNG TY CỔ PHẦN  ITL LOGISTICS</t>
        </is>
      </c>
      <c r="E16686" s="10" t="inlineStr">
        <is>
          <t>Lương:Cạnh tranh</t>
        </is>
      </c>
      <c r="F16686" s="10" t="inlineStr">
        <is>
          <t>Hồ Chí Minh</t>
        </is>
      </c>
      <c r="G16686" s="10" t="inlineStr">
        <is>
          <t>07-04-2026</t>
        </is>
      </c>
      <c r="H16686" s="10" t="inlineStr">
        <is>
          <t>07/04/2026</t>
        </is>
      </c>
      <c r="I16686" s="10" t="inlineStr">
        <is>
          <t>17/03/2026</t>
        </is>
      </c>
      <c r="J16686" s="10" t="inlineStr">
        <is>
          <t>Nhân sự</t>
        </is>
      </c>
      <c r="K16686" s="10" t="inlineStr">
        <is>
          <t>1 - 2 Năm</t>
        </is>
      </c>
      <c r="L16686" s="11">
        <f>HYPERLINK("https://careerviet.vn/vi/tim-viec-lam/nhan-vien-tuyen-dung-va-thu-hut-nhan-tai.35C67F10.html","Xem chi tiết")</f>
        <v/>
      </c>
      <c r="M16686" s="10" t="n"/>
    </row>
    <row r="16687">
      <c r="B16687" s="7" t="n">
        <v>16685</v>
      </c>
      <c r="C16687" t="inlineStr">
        <is>
          <t>Tổng Đài Viên Chăm Sóc Khách Hàng Sàn Thương Mại Điện Tử</t>
        </is>
      </c>
      <c r="D16687" t="inlineStr">
        <is>
          <t>CÔNG TY CỔ PHẦN ALTIUS LINK VIỆT NAM</t>
        </is>
      </c>
      <c r="E16687" t="inlineStr">
        <is>
          <t>Lương:7,5 Tr - 9 Tr VND</t>
        </is>
      </c>
      <c r="F16687" t="inlineStr">
        <is>
          <t>Hồ Chí Minh</t>
        </is>
      </c>
      <c r="G16687" t="inlineStr">
        <is>
          <t>07-04-2026</t>
        </is>
      </c>
      <c r="H16687" t="inlineStr">
        <is>
          <t>07/04/2026</t>
        </is>
      </c>
      <c r="I16687" t="inlineStr">
        <is>
          <t>17/03/2026</t>
        </is>
      </c>
      <c r="J16687" t="inlineStr">
        <is>
          <t>Thương mại điện tử, Tư vấn, Dịch vụ khách hàng</t>
        </is>
      </c>
      <c r="K16687" t="inlineStr">
        <is>
          <t>N/A</t>
        </is>
      </c>
      <c r="L16687" s="8">
        <f>HYPERLINK("https://careerviet.vn/vi/tim-viec-lam/tong-dai-vien-cham-soc-khach-hang-san-thuong-mai-dien-tu.35C64CA8.html","Xem chi tiết")</f>
        <v/>
      </c>
    </row>
    <row r="16688">
      <c r="B16688" s="9" t="n">
        <v>16686</v>
      </c>
      <c r="C16688" s="10" t="inlineStr">
        <is>
          <t>Giám sát bếp Nhật</t>
        </is>
      </c>
      <c r="D16688" s="10" t="inlineStr">
        <is>
          <t>CÔNG TY CỔ PHẦN TẬP ĐOÀN ONSEN FUJI</t>
        </is>
      </c>
      <c r="E16688" s="10" t="inlineStr">
        <is>
          <t>Lương:15 Tr - 20 Tr VND</t>
        </is>
      </c>
      <c r="F16688" s="10" t="inlineStr">
        <is>
          <t>Phú Thọ</t>
        </is>
      </c>
      <c r="G16688" s="10" t="inlineStr">
        <is>
          <t>07-04-2026</t>
        </is>
      </c>
      <c r="H16688" s="10" t="inlineStr">
        <is>
          <t>07/04/2026</t>
        </is>
      </c>
      <c r="I16688" s="10" t="inlineStr">
        <is>
          <t>17/03/2026</t>
        </is>
      </c>
      <c r="J16688" s="10" t="inlineStr">
        <is>
          <t>Nhà hàng / Khách sạn</t>
        </is>
      </c>
      <c r="K16688" s="10" t="inlineStr">
        <is>
          <t>3 - 5 Năm</t>
        </is>
      </c>
      <c r="L16688" s="11">
        <f>HYPERLINK("https://careerviet.vn/vi/tim-viec-lam/giam-sat-bep-nhat.35C652EA.html","Xem chi tiết")</f>
        <v/>
      </c>
      <c r="M16688" s="10" t="n"/>
    </row>
    <row r="16689">
      <c r="B16689" s="7" t="n">
        <v>16687</v>
      </c>
      <c r="C16689" t="inlineStr">
        <is>
          <t>Trưởng Nhóm Kinh Doanh (Quản lý Vùng) - Tây Ninh, Ninh Thuận, Khánh Hòa</t>
        </is>
      </c>
      <c r="D16689" t="inlineStr">
        <is>
          <t>Tập Đoàn Karofi Holding</t>
        </is>
      </c>
      <c r="E16689" t="inlineStr">
        <is>
          <t>Lương:16 Tr - 22 Tr VND</t>
        </is>
      </c>
      <c r="F16689" t="inlineStr">
        <is>
          <t>Khánh HòaNinh ThuậnTây Ninh</t>
        </is>
      </c>
      <c r="G16689" t="inlineStr">
        <is>
          <t>07-04-2026</t>
        </is>
      </c>
      <c r="H16689" t="inlineStr">
        <is>
          <t>07/04/2026</t>
        </is>
      </c>
      <c r="I16689" t="inlineStr">
        <is>
          <t>17/03/2026</t>
        </is>
      </c>
      <c r="J16689" t="inlineStr">
        <is>
          <t>Bán lẻ / Bán sỉ, Bán hàng / Kinh doanh</t>
        </is>
      </c>
      <c r="K16689" t="inlineStr">
        <is>
          <t>2 - 10 Năm</t>
        </is>
      </c>
      <c r="L16689" s="8">
        <f>HYPERLINK("https://careerviet.vn/vi/tim-viec-lam/truong-nhom-kinh-doanh-quan-ly-vung-tay-ninh-ninh-thuan-khanh-hoa.35C64E43.html","Xem chi tiết")</f>
        <v/>
      </c>
    </row>
    <row r="16690">
      <c r="B16690" s="9" t="n">
        <v>16688</v>
      </c>
      <c r="C16690" s="10" t="inlineStr">
        <is>
          <t>KIỂM TOÁN VIÊN</t>
        </is>
      </c>
      <c r="D16690" s="10" t="inlineStr">
        <is>
          <t>Công Ty Cổ Phần Tập Đoàn Đèo Cả</t>
        </is>
      </c>
      <c r="E16690" s="10" t="inlineStr">
        <is>
          <t>Lương:22 Tr - 30 Tr VND</t>
        </is>
      </c>
      <c r="F16690" s="10" t="inlineStr">
        <is>
          <t>Hà Nội</t>
        </is>
      </c>
      <c r="G16690" s="10" t="inlineStr">
        <is>
          <t>07-04-2026</t>
        </is>
      </c>
      <c r="H16690" s="10" t="inlineStr">
        <is>
          <t>07/04/2026</t>
        </is>
      </c>
      <c r="I16690" s="10" t="inlineStr">
        <is>
          <t>17/03/2026</t>
        </is>
      </c>
      <c r="J16690" s="10" t="inlineStr">
        <is>
          <t>Kế toán / Kiểm toán</t>
        </is>
      </c>
      <c r="K16690" s="10" t="inlineStr">
        <is>
          <t>Trên 2 Năm</t>
        </is>
      </c>
      <c r="L16690" s="11">
        <f>HYPERLINK("https://careerviet.vn/vi/tim-viec-lam/kiem-toan-vien.35C64C20.html","Xem chi tiết")</f>
        <v/>
      </c>
      <c r="M16690" s="10" t="n"/>
    </row>
    <row r="16691">
      <c r="B16691" s="7" t="n">
        <v>16689</v>
      </c>
      <c r="C16691" t="inlineStr">
        <is>
          <t>Giao Dịch Viên - An Giang (Khu vực Châu Phú)</t>
        </is>
      </c>
      <c r="D16691" t="inlineStr">
        <is>
          <t>Ngân hàng TMCP Việt Á – VietABank</t>
        </is>
      </c>
      <c r="E16691" t="inlineStr">
        <is>
          <t>Lương:7 Tr - 12 Tr VND</t>
        </is>
      </c>
      <c r="F16691" t="inlineStr">
        <is>
          <t>An Giang</t>
        </is>
      </c>
      <c r="G16691" t="inlineStr">
        <is>
          <t>07-04-2026</t>
        </is>
      </c>
      <c r="H16691" t="inlineStr">
        <is>
          <t>07/04/2026</t>
        </is>
      </c>
      <c r="I16691" t="inlineStr">
        <is>
          <t>17/03/2026</t>
        </is>
      </c>
      <c r="J16691" t="inlineStr">
        <is>
          <t>Dịch vụ khách hàng, Ngân hàng, Tài chính / Đầu tư</t>
        </is>
      </c>
      <c r="K16691" t="inlineStr">
        <is>
          <t>N/A</t>
        </is>
      </c>
      <c r="L16691" s="8">
        <f>HYPERLINK("https://careerviet.vn/vi/tim-viec-lam/giao-dich-vien-an-giang-khu-vuc-chau-phu.35C67DB7.html","Xem chi tiết")</f>
        <v/>
      </c>
    </row>
    <row r="16692">
      <c r="B16692" s="9" t="n">
        <v>16690</v>
      </c>
      <c r="C16692" s="10" t="inlineStr">
        <is>
          <t>Nhân viên kinh doanh</t>
        </is>
      </c>
      <c r="D16692" s="10" t="inlineStr">
        <is>
          <t>CÔNG TY TNHH THƯƠNG MẠI THIẾT BỊ Y TẾ AN LỢI</t>
        </is>
      </c>
      <c r="E16692" s="10" t="inlineStr">
        <is>
          <t>Lương:10 Tr - 15 Tr VND</t>
        </is>
      </c>
      <c r="F16692" s="10" t="inlineStr">
        <is>
          <t>Hồ Chí Minh</t>
        </is>
      </c>
      <c r="G16692" s="10" t="inlineStr">
        <is>
          <t>07-04-2026</t>
        </is>
      </c>
      <c r="H16692" s="10" t="inlineStr">
        <is>
          <t>07/04/2026</t>
        </is>
      </c>
      <c r="I16692" s="10" t="inlineStr">
        <is>
          <t>17/03/2026</t>
        </is>
      </c>
      <c r="J16692" s="10" t="inlineStr">
        <is>
          <t>Y tế / Chăm sóc sức khỏe / Thẩm mỹ / Làm đẹp</t>
        </is>
      </c>
      <c r="K16692" s="10" t="inlineStr">
        <is>
          <t>Trên 2 Năm</t>
        </is>
      </c>
      <c r="L16692" s="11">
        <f>HYPERLINK("https://careerviet.vn/vi/tim-viec-lam/nhan-vien-kinh-doanh.35C64D8C.html","Xem chi tiết")</f>
        <v/>
      </c>
      <c r="M16692" s="10" t="n"/>
    </row>
    <row r="16693">
      <c r="B16693" s="7" t="n">
        <v>16691</v>
      </c>
      <c r="C16693" t="inlineStr">
        <is>
          <t>LẬP KẾ HOẠCH CHO GAME - GAME DESIGNER</t>
        </is>
      </c>
      <c r="D16693" t="inlineStr">
        <is>
          <t>Koei Tecmo Software Vietnam</t>
        </is>
      </c>
      <c r="E16693" t="inlineStr">
        <is>
          <t>Lương:Cạnh tranh</t>
        </is>
      </c>
      <c r="F16693" t="inlineStr">
        <is>
          <t>Hà Nội</t>
        </is>
      </c>
      <c r="G16693" t="inlineStr">
        <is>
          <t>07-04-2026</t>
        </is>
      </c>
      <c r="H16693" t="inlineStr">
        <is>
          <t>07/04/2026</t>
        </is>
      </c>
      <c r="I16693" t="inlineStr">
        <is>
          <t>17/03/2026</t>
        </is>
      </c>
      <c r="J16693" t="inlineStr">
        <is>
          <t>Biên phiên dịch, CNTT - Phần mềm, Mỹ thuật / Nghệ thuật / Thiết kế</t>
        </is>
      </c>
      <c r="K16693" t="inlineStr">
        <is>
          <t>Chưa có kinh nghiệm</t>
        </is>
      </c>
      <c r="L16693" s="8">
        <f>HYPERLINK("https://careerviet.vn/vi/tim-viec-lam/lap-ke-hoach-cho-game-game-designer.35C67E19.html","Xem chi tiết")</f>
        <v/>
      </c>
    </row>
    <row r="16694">
      <c r="B16694" s="9" t="n">
        <v>16692</v>
      </c>
      <c r="C16694" s="10" t="inlineStr">
        <is>
          <t>Chuyên viên Quan hệ Công chúng</t>
        </is>
      </c>
      <c r="D16694" s="10" t="inlineStr">
        <is>
          <t>TCL (Vietnam) Corporation Limited</t>
        </is>
      </c>
      <c r="E16694" s="10" t="inlineStr">
        <is>
          <t>Lương:Cạnh tranh</t>
        </is>
      </c>
      <c r="F16694" s="10" t="inlineStr">
        <is>
          <t>Hà Nội</t>
        </is>
      </c>
      <c r="G16694" s="10" t="inlineStr">
        <is>
          <t>07-04-2026</t>
        </is>
      </c>
      <c r="H16694" s="10" t="inlineStr">
        <is>
          <t>07/04/2026</t>
        </is>
      </c>
      <c r="I16694" s="10" t="inlineStr">
        <is>
          <t>17/03/2026</t>
        </is>
      </c>
      <c r="J16694" s="10" t="inlineStr">
        <is>
          <t>Biên phiên dịch, Quảng cáo / Đối ngoại / Truyền Thông</t>
        </is>
      </c>
      <c r="K16694" s="10" t="inlineStr">
        <is>
          <t>Trên 2 Năm</t>
        </is>
      </c>
      <c r="L16694" s="11">
        <f>HYPERLINK("https://careerviet.vn/vi/tim-viec-lam/chuyen-vien-quan-he-cong-chung.35C67EFA.html","Xem chi tiết")</f>
        <v/>
      </c>
      <c r="M16694" s="10" t="n"/>
    </row>
    <row r="16695">
      <c r="B16695" s="7" t="n">
        <v>16693</v>
      </c>
      <c r="C16695" t="inlineStr">
        <is>
          <t>Nhân viên Kinh doanh Thị trường - Điều hoà - HVAC</t>
        </is>
      </c>
      <c r="D16695" t="inlineStr">
        <is>
          <t>Công ty TNHH Thương mại Kỹ thuật Sen Việt</t>
        </is>
      </c>
      <c r="E16695" t="inlineStr">
        <is>
          <t>Lương:10 Tr - 50 Tr VND</t>
        </is>
      </c>
      <c r="F16695" t="inlineStr">
        <is>
          <t>Đà Nẵng</t>
        </is>
      </c>
      <c r="G16695" t="inlineStr">
        <is>
          <t>07-04-2026</t>
        </is>
      </c>
      <c r="H16695" t="inlineStr">
        <is>
          <t>07/04/2026</t>
        </is>
      </c>
      <c r="I16695" t="inlineStr">
        <is>
          <t>17/03/2026</t>
        </is>
      </c>
      <c r="J16695" t="inlineStr">
        <is>
          <t>Điện / Điện tử / Điện lạnh / Điện công nghiệp</t>
        </is>
      </c>
      <c r="K16695" t="inlineStr">
        <is>
          <t>2 - 10 Năm</t>
        </is>
      </c>
      <c r="L16695" s="8">
        <f>HYPERLINK("https://careerviet.vn/vi/tim-viec-lam/nhan-vien-kinh-doanh-thi-truong-dieu-hoa-hvac.35C67EE4.html","Xem chi tiết")</f>
        <v/>
      </c>
    </row>
    <row r="16696">
      <c r="B16696" s="9" t="n">
        <v>16694</v>
      </c>
      <c r="C16696" s="10" t="inlineStr">
        <is>
          <t>HCM - Nhân Viên Bán Hàng Cửa Hàng Charles &amp; Keith Vincom Đồng Khởi</t>
        </is>
      </c>
      <c r="D16696" s="10" t="inlineStr">
        <is>
          <t>CÔNG TY CỔ PHẦN MAISON RETAIL MANAGEMENT INTERNATIONAL</t>
        </is>
      </c>
      <c r="E16696" s="10" t="inlineStr">
        <is>
          <t>Lương:Cạnh tranh</t>
        </is>
      </c>
      <c r="F16696" s="10" t="inlineStr">
        <is>
          <t>Hồ Chí Minh</t>
        </is>
      </c>
      <c r="G16696" s="10" t="inlineStr">
        <is>
          <t>07-04-2026</t>
        </is>
      </c>
      <c r="H16696" s="10" t="inlineStr">
        <is>
          <t>07/04/2026</t>
        </is>
      </c>
      <c r="I16696" s="10" t="inlineStr">
        <is>
          <t>17/03/2026</t>
        </is>
      </c>
      <c r="J16696" s="10" t="inlineStr">
        <is>
          <t>Bán lẻ / Bán sỉ, Bán hàng / Kinh doanh, Lao động phổ thông</t>
        </is>
      </c>
      <c r="K16696" s="10" t="inlineStr">
        <is>
          <t>1 - 2 Năm</t>
        </is>
      </c>
      <c r="L16696" s="11">
        <f>HYPERLINK("https://careerviet.vn/vi/tim-viec-lam/hcm-nhan-vien-ban-hang-cua-hang-charles-keith-vincom-dong-khoi.35C64D02.html","Xem chi tiết")</f>
        <v/>
      </c>
      <c r="M16696" s="10" t="n"/>
    </row>
    <row r="16697">
      <c r="B16697" s="7" t="n">
        <v>16695</v>
      </c>
      <c r="C16697" t="inlineStr">
        <is>
          <t>Chuyên Viên Kinh Doanh - Ngành Bao Bì Dược phẩm và Thực phẩm</t>
        </is>
      </c>
      <c r="D16697" t="inlineStr">
        <is>
          <t>Công ty Cổ Phần Thảo Mộc Xanh</t>
        </is>
      </c>
      <c r="E16697" t="inlineStr">
        <is>
          <t>Lương:Cạnh tranh</t>
        </is>
      </c>
      <c r="F16697" t="inlineStr">
        <is>
          <t>Hồ Chí Minh</t>
        </is>
      </c>
      <c r="G16697" t="inlineStr">
        <is>
          <t>07-04-2026</t>
        </is>
      </c>
      <c r="H16697" t="inlineStr">
        <is>
          <t>07/04/2026</t>
        </is>
      </c>
      <c r="I16697" t="inlineStr">
        <is>
          <t>17/03/2026</t>
        </is>
      </c>
      <c r="J16697" t="inlineStr">
        <is>
          <t>Tiếp thị / Marketing, Bán hàng / Kinh doanh, Quảng cáo / Đối ngoại / Truyền Thông</t>
        </is>
      </c>
      <c r="K16697" t="inlineStr">
        <is>
          <t>Trên 2 Năm</t>
        </is>
      </c>
      <c r="L16697" s="8">
        <f>HYPERLINK("https://careerviet.vn/vi/tim-viec-lam/chuyen-vien-kinh-doanh-nganh-bao-bi-duoc-pham-va-thuc-pham.35C67F08.html","Xem chi tiết")</f>
        <v/>
      </c>
    </row>
    <row r="16698">
      <c r="B16698" s="9" t="n">
        <v>16696</v>
      </c>
      <c r="C16698" s="10" t="inlineStr">
        <is>
          <t>Embeded Firmware - Lập trình Nhúng ( Phòng R&amp;D)</t>
        </is>
      </c>
      <c r="D16698" s="10" t="inlineStr">
        <is>
          <t>CÔNG TY CỔ PHẦN ĐIỆN TỬ  SOJI</t>
        </is>
      </c>
      <c r="E16698" s="10" t="inlineStr">
        <is>
          <t>Lương:25 Tr - 45 Tr VND</t>
        </is>
      </c>
      <c r="F16698" s="10" t="inlineStr">
        <is>
          <t>Hà Nội</t>
        </is>
      </c>
      <c r="G16698" s="10" t="inlineStr">
        <is>
          <t>07-04-2026</t>
        </is>
      </c>
      <c r="H16698" s="10" t="inlineStr">
        <is>
          <t>07/04/2026</t>
        </is>
      </c>
      <c r="I16698" s="10" t="inlineStr">
        <is>
          <t>17/03/2026</t>
        </is>
      </c>
      <c r="J16698" s="10" t="inlineStr">
        <is>
          <t>Điện / Điện tử / Điện lạnh / Điện công nghiệp, CNTT - Phần mềm, CNTT - Phần cứng / Mạng</t>
        </is>
      </c>
      <c r="K16698" s="10" t="inlineStr">
        <is>
          <t>Trên 3 Năm</t>
        </is>
      </c>
      <c r="L16698" s="11">
        <f>HYPERLINK("https://careerviet.vn/vi/tim-viec-lam/embeded-firmware-lap-trinh-nhung-phong-r-d.35C67DDB.html","Xem chi tiết")</f>
        <v/>
      </c>
      <c r="M16698" s="10" t="n"/>
    </row>
    <row r="16699">
      <c r="B16699" s="7" t="n">
        <v>16697</v>
      </c>
      <c r="C16699" t="inlineStr">
        <is>
          <t>Sân bay Nội Bài- Nhân viên Đón tiễn Khách hàng</t>
        </is>
      </c>
      <c r="D16699" t="inlineStr">
        <is>
          <t>Công ty Cổ phần Đầu tư Thương mại Kỹ thuật A&amp;T Việt Nam</t>
        </is>
      </c>
      <c r="E16699" t="inlineStr">
        <is>
          <t>Lương:13 Tr - 15 Tr VND</t>
        </is>
      </c>
      <c r="F16699" t="inlineStr">
        <is>
          <t>Hà Nội</t>
        </is>
      </c>
      <c r="G16699" t="inlineStr">
        <is>
          <t>07-04-2026</t>
        </is>
      </c>
      <c r="H16699" t="inlineStr">
        <is>
          <t>07/04/2026</t>
        </is>
      </c>
      <c r="I16699" t="inlineStr">
        <is>
          <t>17/03/2026</t>
        </is>
      </c>
      <c r="J16699" t="inlineStr">
        <is>
          <t>Dịch vụ khách hàng, Nhà hàng / Khách sạn, Hàng không</t>
        </is>
      </c>
      <c r="K16699" t="inlineStr">
        <is>
          <t>N/A</t>
        </is>
      </c>
      <c r="L16699" s="8">
        <f>HYPERLINK("https://careerviet.vn/vi/tim-viec-lam/san-bay-noi-bai-nhan-vien-don-tien-khach-hang.35C64C57.html","Xem chi tiết")</f>
        <v/>
      </c>
    </row>
    <row r="16700">
      <c r="B16700" s="9" t="n">
        <v>16698</v>
      </c>
      <c r="C16700" s="10" t="inlineStr">
        <is>
          <t>[HN] CVC Quản Trị Hệ Thống / System Administration</t>
        </is>
      </c>
      <c r="D16700" s="10" t="inlineStr">
        <is>
          <t>CÔNG TY TÀI CHÍNH TÍN DỤNG TIÊU DÙNG TNHH MTV AEON</t>
        </is>
      </c>
      <c r="E16700" s="10" t="inlineStr">
        <is>
          <t>Lương:Cạnh tranh</t>
        </is>
      </c>
      <c r="F16700" s="10" t="inlineStr">
        <is>
          <t>Hà Nội</t>
        </is>
      </c>
      <c r="G16700" s="10" t="inlineStr">
        <is>
          <t>06-04-2026</t>
        </is>
      </c>
      <c r="H16700" s="10" t="inlineStr">
        <is>
          <t>06/04/2026</t>
        </is>
      </c>
      <c r="I16700" s="10" t="inlineStr">
        <is>
          <t>17/03/2026</t>
        </is>
      </c>
      <c r="J16700" s="10" t="inlineStr">
        <is>
          <t>CNTT - Phần cứng / Mạng</t>
        </is>
      </c>
      <c r="K16700" s="10" t="inlineStr">
        <is>
          <t>1 - 3 Năm</t>
        </is>
      </c>
      <c r="L16700" s="11">
        <f>HYPERLINK("https://careerviet.vn/vi/tim-viec-lam/hn-cvc-quan-tri-he-thong-system-administration.35C67A4C.html","Xem chi tiết")</f>
        <v/>
      </c>
      <c r="M16700" s="10" t="n"/>
    </row>
    <row r="16701">
      <c r="B16701" s="7" t="n">
        <v>16699</v>
      </c>
      <c r="C16701" t="inlineStr">
        <is>
          <t>Lái Xe Cho Lãnh Đạo</t>
        </is>
      </c>
      <c r="D16701" t="inlineStr">
        <is>
          <t>CÔNG TY CỔ PHẦN SÔNG ĐÀ - HOÀNG LONG</t>
        </is>
      </c>
      <c r="E16701" t="inlineStr">
        <is>
          <t>Lương:Cạnh tranh</t>
        </is>
      </c>
      <c r="F16701" t="inlineStr">
        <is>
          <t>Sơn La</t>
        </is>
      </c>
      <c r="G16701" t="inlineStr">
        <is>
          <t>07-04-2026</t>
        </is>
      </c>
      <c r="H16701" t="inlineStr">
        <is>
          <t>07/04/2026</t>
        </is>
      </c>
      <c r="I16701" t="inlineStr">
        <is>
          <t>17/03/2026</t>
        </is>
      </c>
      <c r="J16701" t="inlineStr">
        <is>
          <t>Vận chuyển / Giao nhận / Kho vận, Ngành khác</t>
        </is>
      </c>
      <c r="K16701" t="inlineStr">
        <is>
          <t>Trên 5 Năm</t>
        </is>
      </c>
      <c r="L16701" s="8">
        <f>HYPERLINK("https://careerviet.vn/vi/tim-viec-lam/lai-xe-cho-lanh-dao.35C67F66.html","Xem chi tiết")</f>
        <v/>
      </c>
    </row>
    <row r="16702">
      <c r="B16702" s="9" t="n">
        <v>16700</v>
      </c>
      <c r="C16702" s="10" t="inlineStr">
        <is>
          <t>Nhân viên tư vấn bán hàng</t>
        </is>
      </c>
      <c r="D16702" s="10" t="inlineStr">
        <is>
          <t>Công ty CP Toshiko Việt Nam</t>
        </is>
      </c>
      <c r="E16702" s="10" t="inlineStr">
        <is>
          <t>Lương:12 Tr - 20 Tr VND</t>
        </is>
      </c>
      <c r="F16702" s="10" t="inlineStr">
        <is>
          <t>Hải Dương</t>
        </is>
      </c>
      <c r="G16702" s="10" t="inlineStr">
        <is>
          <t>06-04-2026</t>
        </is>
      </c>
      <c r="H16702" s="10" t="inlineStr">
        <is>
          <t>06/04/2026</t>
        </is>
      </c>
      <c r="I16702" s="10" t="inlineStr">
        <is>
          <t>17/03/2026</t>
        </is>
      </c>
      <c r="J16702" s="10" t="inlineStr">
        <is>
          <t>Bán lẻ / Bán sỉ, Bán hàng / Kinh doanh, Hàng gia dụng / Chăm sóc cá nhân</t>
        </is>
      </c>
      <c r="K16702" s="10" t="inlineStr">
        <is>
          <t>2 - 3 Năm</t>
        </is>
      </c>
      <c r="L16702" s="11">
        <f>HYPERLINK("https://careerviet.vn/vi/tim-viec-lam/nhan-vien-tu-van-ban-hang.35C64BA6.html","Xem chi tiết")</f>
        <v/>
      </c>
      <c r="M16702" s="10" t="n"/>
    </row>
    <row r="16703">
      <c r="B16703" s="7" t="n">
        <v>16701</v>
      </c>
      <c r="C16703" t="inlineStr">
        <is>
          <t>Senior Legal &amp; Compliance Specialist</t>
        </is>
      </c>
      <c r="D16703" t="inlineStr">
        <is>
          <t>CÔNG TY CỔ PHẦN MORINAGA NUTRITIONAL FOODS VIỆT NAM</t>
        </is>
      </c>
      <c r="E16703" t="inlineStr">
        <is>
          <t>Lương:20 Tr - 35 Tr VND</t>
        </is>
      </c>
      <c r="F16703" t="inlineStr">
        <is>
          <t>Hà Nội</t>
        </is>
      </c>
      <c r="G16703" t="inlineStr">
        <is>
          <t>07-04-2026</t>
        </is>
      </c>
      <c r="H16703" t="inlineStr">
        <is>
          <t>07/04/2026</t>
        </is>
      </c>
      <c r="I16703" t="inlineStr">
        <is>
          <t>17/03/2026</t>
        </is>
      </c>
      <c r="J16703" t="inlineStr">
        <is>
          <t>Luật / Pháp lý</t>
        </is>
      </c>
      <c r="K16703" t="inlineStr">
        <is>
          <t>Chưa có kinh nghiệm</t>
        </is>
      </c>
      <c r="L16703" s="8">
        <f>HYPERLINK("https://careerviet.vn/vi/tim-viec-lam/senior-legal-compliance-specialist.35C67F94.html","Xem chi tiết")</f>
        <v/>
      </c>
    </row>
    <row r="16704">
      <c r="B16704" s="9" t="n">
        <v>16702</v>
      </c>
      <c r="C16704" s="10" t="inlineStr">
        <is>
          <t>Chuyên Viên Mua Hàng Siêu Thị</t>
        </is>
      </c>
      <c r="D16704" s="10" t="inlineStr">
        <is>
          <t>Công Ty Cổ Phần Tập Đoàn Đầu Tư KLB</t>
        </is>
      </c>
      <c r="E16704" s="10" t="inlineStr">
        <is>
          <t>Lương:15 Tr - 25 Tr VND</t>
        </is>
      </c>
      <c r="F16704" s="10" t="inlineStr">
        <is>
          <t>Hà Nội</t>
        </is>
      </c>
      <c r="G16704" s="10" t="inlineStr">
        <is>
          <t>06-04-2026</t>
        </is>
      </c>
      <c r="H16704" s="10" t="inlineStr">
        <is>
          <t>06/04/2026</t>
        </is>
      </c>
      <c r="I16704" s="10" t="inlineStr">
        <is>
          <t>17/03/2026</t>
        </is>
      </c>
      <c r="J16704" s="10" t="inlineStr">
        <is>
          <t>Bán hàng / Kinh doanh, Xuất nhập khẩu, Thu mua / Vật tư</t>
        </is>
      </c>
      <c r="K16704" s="10" t="inlineStr">
        <is>
          <t>3 - 5 Năm</t>
        </is>
      </c>
      <c r="L16704" s="11">
        <f>HYPERLINK("https://careerviet.vn/vi/tim-viec-lam/chuyen-vien-mua-hang-sieu-thi.35C64B2E.html","Xem chi tiết")</f>
        <v/>
      </c>
      <c r="M16704" s="10" t="n"/>
    </row>
    <row r="16705">
      <c r="B16705" s="7" t="n">
        <v>16703</v>
      </c>
      <c r="C16705" t="inlineStr">
        <is>
          <t>Senior iOS Developer - Khối Ngân hàng Số</t>
        </is>
      </c>
      <c r="D16705" t="inlineStr">
        <is>
          <t>Ngân Hàng TMCP Sài Gòn - Hà Nội ( SHB )</t>
        </is>
      </c>
      <c r="E16705" t="inlineStr">
        <is>
          <t>Lương:Cạnh tranh</t>
        </is>
      </c>
      <c r="F16705" t="inlineStr">
        <is>
          <t>Hà Nội</t>
        </is>
      </c>
      <c r="G16705" t="inlineStr">
        <is>
          <t>24-03-2026</t>
        </is>
      </c>
      <c r="H16705" t="inlineStr">
        <is>
          <t>24/03/2026</t>
        </is>
      </c>
      <c r="I16705" t="inlineStr">
        <is>
          <t>17/03/2026</t>
        </is>
      </c>
      <c r="J16705" t="inlineStr">
        <is>
          <t>CNTT - Phần mềm</t>
        </is>
      </c>
      <c r="K16705" t="inlineStr">
        <is>
          <t>null - null Năm</t>
        </is>
      </c>
      <c r="L16705" s="8">
        <f>HYPERLINK("https://careerviet.vn/vi/tim-viec-lam/senior-ios-developer-khoi-ngan-hang-so.35C68C8D.html","Xem chi tiết")</f>
        <v/>
      </c>
    </row>
    <row r="16706">
      <c r="B16706" s="9" t="n">
        <v>16704</v>
      </c>
      <c r="C16706" s="10" t="inlineStr">
        <is>
          <t>Phiên dịch viên Tiếng Trung - Khối chuyển đổi</t>
        </is>
      </c>
      <c r="D16706" s="10" t="inlineStr">
        <is>
          <t>Ngân Hàng TMCP Sài Gòn - Hà Nội ( SHB )</t>
        </is>
      </c>
      <c r="E16706" s="10" t="inlineStr">
        <is>
          <t>Lương:Cạnh tranh</t>
        </is>
      </c>
      <c r="F16706" s="10" t="inlineStr">
        <is>
          <t>Hà Nội</t>
        </is>
      </c>
      <c r="G16706" s="10" t="inlineStr">
        <is>
          <t>24-03-2026</t>
        </is>
      </c>
      <c r="H16706" s="10" t="inlineStr">
        <is>
          <t>24/03/2026</t>
        </is>
      </c>
      <c r="I16706" s="10" t="inlineStr">
        <is>
          <t>17/03/2026</t>
        </is>
      </c>
      <c r="J16706" s="10" t="inlineStr">
        <is>
          <t>Biên phiên dịch</t>
        </is>
      </c>
      <c r="K16706" s="10" t="inlineStr">
        <is>
          <t>null - null Năm</t>
        </is>
      </c>
      <c r="L16706" s="11">
        <f>HYPERLINK("https://careerviet.vn/vi/tim-viec-lam/phien-dich-vien-tieng-trung-khoi-chuyen-doi.35C68C66.html","Xem chi tiết")</f>
        <v/>
      </c>
      <c r="M16706" s="10" t="n"/>
    </row>
    <row r="16707">
      <c r="B16707" s="7" t="n">
        <v>16705</v>
      </c>
      <c r="C16707" t="inlineStr">
        <is>
          <t>Chuyên viên Quản lý thông tin Cơ sở dữ liệu về giá</t>
        </is>
      </c>
      <c r="D16707" t="inlineStr">
        <is>
          <t>Ngân Hàng TMCP Sài Gòn - Hà Nội ( SHB )</t>
        </is>
      </c>
      <c r="E16707" t="inlineStr">
        <is>
          <t>Lương:Cạnh tranh</t>
        </is>
      </c>
      <c r="F16707" t="inlineStr">
        <is>
          <t>Hà Nội</t>
        </is>
      </c>
      <c r="G16707" t="inlineStr">
        <is>
          <t>24-03-2026</t>
        </is>
      </c>
      <c r="H16707" t="inlineStr">
        <is>
          <t>24/03/2026</t>
        </is>
      </c>
      <c r="I16707" t="inlineStr">
        <is>
          <t>17/03/2026</t>
        </is>
      </c>
      <c r="J16707" t="inlineStr">
        <is>
          <t>Ngân hàng, Bất động sản, Bán lẻ / Bán sỉ</t>
        </is>
      </c>
      <c r="K16707" t="inlineStr">
        <is>
          <t>null - null Năm</t>
        </is>
      </c>
      <c r="L16707" s="8">
        <f>HYPERLINK("https://careerviet.vn/vi/tim-viec-lam/chuyen-vien-quan-ly-thong-tin-co-so-du-lieu-ve-gia.35C68C71.html","Xem chi tiết")</f>
        <v/>
      </c>
    </row>
    <row r="16708">
      <c r="B16708" s="9" t="n">
        <v>16706</v>
      </c>
      <c r="C16708" s="10" t="inlineStr">
        <is>
          <t>HCM - Giám Đốc/ Chuyên Viên Quan Hệ Khách Hàng Cá Nhân</t>
        </is>
      </c>
      <c r="D16708" s="10" t="inlineStr">
        <is>
          <t>ACB - Ngân Hàng TMCP Á Châu</t>
        </is>
      </c>
      <c r="E16708" s="10" t="inlineStr">
        <is>
          <t>Lương:Cạnh tranh</t>
        </is>
      </c>
      <c r="F16708" s="10" t="inlineStr">
        <is>
          <t>Hồ Chí Minh</t>
        </is>
      </c>
      <c r="G16708" s="10" t="inlineStr">
        <is>
          <t>06-04-2026</t>
        </is>
      </c>
      <c r="H16708" s="10" t="inlineStr">
        <is>
          <t>06/04/2026</t>
        </is>
      </c>
      <c r="I16708" s="10" t="inlineStr">
        <is>
          <t>17/03/2026</t>
        </is>
      </c>
      <c r="J16708" s="10" t="inlineStr">
        <is>
          <t>Ngân hàng, Tài chính / Đầu tư, Bán hàng / Kinh doanh</t>
        </is>
      </c>
      <c r="K16708" s="10" t="inlineStr">
        <is>
          <t>1 Năm</t>
        </is>
      </c>
      <c r="L16708" s="11">
        <f>HYPERLINK("https://careerviet.vn/vi/tim-viec-lam/hcm-giam-doc-chuyen-vien-quan-he-khach-hang-ca-nhan.35C67AF6.html","Xem chi tiết")</f>
        <v/>
      </c>
      <c r="M16708" s="10" t="n"/>
    </row>
    <row r="16709">
      <c r="B16709" s="7" t="n">
        <v>16707</v>
      </c>
      <c r="C16709" t="inlineStr">
        <is>
          <t>Cộng tác viên Telesales &amp; CSKH chủ động</t>
        </is>
      </c>
      <c r="D16709" t="inlineStr">
        <is>
          <t>Ngân Hàng TMCP Sài Gòn - Hà Nội ( SHB )</t>
        </is>
      </c>
      <c r="E16709" t="inlineStr">
        <is>
          <t>Lương:Cạnh tranh</t>
        </is>
      </c>
      <c r="F16709" t="inlineStr">
        <is>
          <t>Hà Nội</t>
        </is>
      </c>
      <c r="G16709" t="inlineStr">
        <is>
          <t>24-03-2026</t>
        </is>
      </c>
      <c r="H16709" t="inlineStr">
        <is>
          <t>24/03/2026</t>
        </is>
      </c>
      <c r="I16709" t="inlineStr">
        <is>
          <t>17/03/2026</t>
        </is>
      </c>
      <c r="J16709" t="inlineStr">
        <is>
          <t>Ngân hàng</t>
        </is>
      </c>
      <c r="K16709" t="inlineStr">
        <is>
          <t>null - null Năm</t>
        </is>
      </c>
      <c r="L16709" s="8">
        <f>HYPERLINK("https://careerviet.vn/vi/tim-viec-lam/cong-tac-vien-telesales-cskh-chu-dong.35C68C67.html","Xem chi tiết")</f>
        <v/>
      </c>
    </row>
    <row r="16710">
      <c r="B16710" s="9" t="n">
        <v>16708</v>
      </c>
      <c r="C16710" s="10" t="inlineStr">
        <is>
          <t>HCM - Giám Đốc Quan Hệ Khách Hàng Ưu Tiên</t>
        </is>
      </c>
      <c r="D16710" s="10" t="inlineStr">
        <is>
          <t>ACB - Ngân Hàng TMCP Á Châu</t>
        </is>
      </c>
      <c r="E16710" s="10" t="inlineStr">
        <is>
          <t>Lương:Cạnh tranh</t>
        </is>
      </c>
      <c r="F16710" s="10" t="inlineStr">
        <is>
          <t>Hồ Chí MinhBà Rịa - Vũng TàuBình Dương</t>
        </is>
      </c>
      <c r="G16710" s="10" t="inlineStr">
        <is>
          <t>06-04-2026</t>
        </is>
      </c>
      <c r="H16710" s="10" t="inlineStr">
        <is>
          <t>06/04/2026</t>
        </is>
      </c>
      <c r="I16710" s="10" t="inlineStr">
        <is>
          <t>17/03/2026</t>
        </is>
      </c>
      <c r="J16710" s="10" t="inlineStr">
        <is>
          <t>Dịch vụ khách hàng, Ngân hàng, Quản lý điều hành</t>
        </is>
      </c>
      <c r="K16710" s="10" t="inlineStr">
        <is>
          <t>2 Năm</t>
        </is>
      </c>
      <c r="L16710" s="11">
        <f>HYPERLINK("https://careerviet.vn/vi/tim-viec-lam/hcm-giam-doc-quan-he-khach-hang-uu-tien.35C67ADC.html","Xem chi tiết")</f>
        <v/>
      </c>
      <c r="M16710" s="10" t="n"/>
    </row>
    <row r="16711">
      <c r="B16711" s="7" t="n">
        <v>16709</v>
      </c>
      <c r="C16711" t="inlineStr">
        <is>
          <t>Chuyên viên Quan hệ Khách hàng Doanh nghiệp (Toàn quốc)</t>
        </is>
      </c>
      <c r="D16711" t="inlineStr">
        <is>
          <t>Ngân Hàng TMCP Sài Gòn - Hà Nội ( SHB )</t>
        </is>
      </c>
      <c r="E16711" t="inlineStr">
        <is>
          <t>Lương:Cạnh tranh</t>
        </is>
      </c>
      <c r="F16711" t="inlineStr">
        <is>
          <t>Bắc GiangDak LakBắc Ninh</t>
        </is>
      </c>
      <c r="G16711" t="inlineStr">
        <is>
          <t>24-03-2026</t>
        </is>
      </c>
      <c r="H16711" t="inlineStr">
        <is>
          <t>24/03/2026</t>
        </is>
      </c>
      <c r="I16711" t="inlineStr">
        <is>
          <t>17/03/2026</t>
        </is>
      </c>
      <c r="J16711" t="inlineStr">
        <is>
          <t>Ngân hàng, Bán hàng / Kinh doanh</t>
        </is>
      </c>
      <c r="K16711" t="inlineStr">
        <is>
          <t>null - null Năm</t>
        </is>
      </c>
      <c r="L16711" s="8">
        <f>HYPERLINK("https://careerviet.vn/vi/tim-viec-lam/chuyen-vien-quan-he-khach-hang-doanh-nghiep-toan-quoc.35C68C8F.html","Xem chi tiết")</f>
        <v/>
      </c>
    </row>
    <row r="16712">
      <c r="B16712" s="9" t="n">
        <v>16710</v>
      </c>
      <c r="C16712" s="10" t="inlineStr">
        <is>
          <t>Backend Techlead - Khối Ngân hàng Số</t>
        </is>
      </c>
      <c r="D16712" s="10" t="inlineStr">
        <is>
          <t>Ngân Hàng TMCP Sài Gòn - Hà Nội ( SHB )</t>
        </is>
      </c>
      <c r="E16712" s="10" t="inlineStr">
        <is>
          <t>Lương:Cạnh tranh</t>
        </is>
      </c>
      <c r="F16712" s="10" t="inlineStr">
        <is>
          <t>Hà Nội</t>
        </is>
      </c>
      <c r="G16712" s="10" t="inlineStr">
        <is>
          <t>24-03-2026</t>
        </is>
      </c>
      <c r="H16712" s="10" t="inlineStr">
        <is>
          <t>24/03/2026</t>
        </is>
      </c>
      <c r="I16712" s="10" t="inlineStr">
        <is>
          <t>17/03/2026</t>
        </is>
      </c>
      <c r="J16712" s="10" t="inlineStr">
        <is>
          <t>CNTT - Phần mềm, Ngân hàng, CNTT - Phần cứng / Mạng</t>
        </is>
      </c>
      <c r="K16712" s="10" t="inlineStr">
        <is>
          <t>null - null Năm</t>
        </is>
      </c>
      <c r="L16712" s="11">
        <f>HYPERLINK("https://careerviet.vn/vi/tim-viec-lam/backend-techlead-khoi-ngan-hang-so.35C68C85.html","Xem chi tiết")</f>
        <v/>
      </c>
      <c r="M16712" s="10" t="n"/>
    </row>
    <row r="16713">
      <c r="B16713" s="7" t="n">
        <v>16711</v>
      </c>
      <c r="C16713" t="inlineStr">
        <is>
          <t>Chuyên viên Quan hệ Khách hàng Doanh nghiệp (Toàn quốc)</t>
        </is>
      </c>
      <c r="D16713" t="inlineStr">
        <is>
          <t>Ngân Hàng TMCP Sài Gòn - Hà Nội ( SHB )</t>
        </is>
      </c>
      <c r="E16713" t="inlineStr">
        <is>
          <t>Lương:Cạnh tranh</t>
        </is>
      </c>
      <c r="F16713" t="inlineStr">
        <is>
          <t>Nghệ AnVĩnh PhúcCần Thơ</t>
        </is>
      </c>
      <c r="G16713" t="inlineStr">
        <is>
          <t>24-03-2026</t>
        </is>
      </c>
      <c r="H16713" t="inlineStr">
        <is>
          <t>24/03/2026</t>
        </is>
      </c>
      <c r="I16713" t="inlineStr">
        <is>
          <t>17/03/2026</t>
        </is>
      </c>
      <c r="J16713" t="inlineStr">
        <is>
          <t>Ngân hàng, Bán hàng / Kinh doanh</t>
        </is>
      </c>
      <c r="K16713" t="inlineStr">
        <is>
          <t>null - null Năm</t>
        </is>
      </c>
      <c r="L16713" s="8">
        <f>HYPERLINK("https://careerviet.vn/vi/tim-viec-lam/chuyen-vien-quan-he-khach-hang-doanh-nghiep-toan-quoc.35C68C8A.html","Xem chi tiết")</f>
        <v/>
      </c>
    </row>
    <row r="16714">
      <c r="B16714" s="9" t="n">
        <v>16712</v>
      </c>
      <c r="C16714" s="10" t="inlineStr">
        <is>
          <t>Chuyên viên Kế toán Tổng hợp và Báo cáo Tài chính</t>
        </is>
      </c>
      <c r="D16714" s="10" t="inlineStr">
        <is>
          <t>Ngân Hàng TMCP Sài Gòn - Hà Nội ( SHB )</t>
        </is>
      </c>
      <c r="E16714" s="10" t="inlineStr">
        <is>
          <t>Lương:Cạnh tranh</t>
        </is>
      </c>
      <c r="F16714" s="10" t="inlineStr">
        <is>
          <t>Hà Nội</t>
        </is>
      </c>
      <c r="G16714" s="10" t="inlineStr">
        <is>
          <t>24-03-2026</t>
        </is>
      </c>
      <c r="H16714" s="10" t="inlineStr">
        <is>
          <t>24/03/2026</t>
        </is>
      </c>
      <c r="I16714" s="10" t="inlineStr">
        <is>
          <t>17/03/2026</t>
        </is>
      </c>
      <c r="J16714" s="10" t="inlineStr">
        <is>
          <t>Kế toán / Kiểm toán, Ngân hàng, Tài chính / Đầu tư</t>
        </is>
      </c>
      <c r="K16714" s="10" t="inlineStr">
        <is>
          <t>null - null Năm</t>
        </is>
      </c>
      <c r="L16714" s="11">
        <f>HYPERLINK("https://careerviet.vn/vi/tim-viec-lam/chuyen-vien-ke-toan-tong-hop-va-bao-cao-tai-chinh.35C68C7B.html","Xem chi tiết")</f>
        <v/>
      </c>
      <c r="M16714" s="10" t="n"/>
    </row>
    <row r="16715">
      <c r="B16715" s="7" t="n">
        <v>16713</v>
      </c>
      <c r="C16715" t="inlineStr">
        <is>
          <t>Chuyên viên Quản lý rủi ro hoạt động Cấp 2 (Nhóm Chính sách)</t>
        </is>
      </c>
      <c r="D16715" t="inlineStr">
        <is>
          <t>Ngân Hàng TMCP Sài Gòn - Hà Nội ( SHB )</t>
        </is>
      </c>
      <c r="E16715" t="inlineStr">
        <is>
          <t>Lương:Cạnh tranh</t>
        </is>
      </c>
      <c r="F16715" t="inlineStr">
        <is>
          <t>Hà Nội</t>
        </is>
      </c>
      <c r="G16715" t="inlineStr">
        <is>
          <t>24-03-2026</t>
        </is>
      </c>
      <c r="H16715" t="inlineStr">
        <is>
          <t>24/03/2026</t>
        </is>
      </c>
      <c r="I16715" t="inlineStr">
        <is>
          <t>17/03/2026</t>
        </is>
      </c>
      <c r="J16715" t="inlineStr">
        <is>
          <t>Ngân hàng, Tài chính / Đầu tư</t>
        </is>
      </c>
      <c r="K16715" t="inlineStr">
        <is>
          <t>null - null Năm</t>
        </is>
      </c>
      <c r="L16715" s="8">
        <f>HYPERLINK("https://careerviet.vn/vi/tim-viec-lam/chuyen-vien-quan-ly-rui-ro-hoat-dong-cap-2-nhom-chinh-sach.35C68C65.html","Xem chi tiết")</f>
        <v/>
      </c>
    </row>
    <row r="16716">
      <c r="B16716" s="9" t="n">
        <v>16714</v>
      </c>
      <c r="C16716" s="10" t="inlineStr">
        <is>
          <t>CVCC/Chuyên gia Quản lý dữ liệu</t>
        </is>
      </c>
      <c r="D16716" s="10" t="inlineStr">
        <is>
          <t>Ngân Hàng TMCP Sài Gòn - Hà Nội ( SHB )</t>
        </is>
      </c>
      <c r="E16716" s="10" t="inlineStr">
        <is>
          <t>Lương:Cạnh tranh</t>
        </is>
      </c>
      <c r="F16716" s="10" t="inlineStr">
        <is>
          <t>Hà Nội</t>
        </is>
      </c>
      <c r="G16716" s="10" t="inlineStr">
        <is>
          <t>24-03-2026</t>
        </is>
      </c>
      <c r="H16716" s="10" t="inlineStr">
        <is>
          <t>24/03/2026</t>
        </is>
      </c>
      <c r="I16716" s="10" t="inlineStr">
        <is>
          <t>17/03/2026</t>
        </is>
      </c>
      <c r="J16716" s="10" t="inlineStr">
        <is>
          <t>Ngân hàng, Tài chính / Đầu tư</t>
        </is>
      </c>
      <c r="K16716" s="10" t="inlineStr">
        <is>
          <t>null - null Năm</t>
        </is>
      </c>
      <c r="L16716" s="11">
        <f>HYPERLINK("https://careerviet.vn/vi/tim-viec-lam/cvcc-chuyen-gia-quan-ly-du-lieu.35C68C68.html","Xem chi tiết")</f>
        <v/>
      </c>
      <c r="M16716" s="10" t="n"/>
    </row>
    <row r="16717">
      <c r="B16717" s="7" t="n">
        <v>16715</v>
      </c>
      <c r="C16717" t="inlineStr">
        <is>
          <t>Backend Developer - Ngân hàng số</t>
        </is>
      </c>
      <c r="D16717" t="inlineStr">
        <is>
          <t>Ngân Hàng TMCP Sài Gòn - Hà Nội ( SHB )</t>
        </is>
      </c>
      <c r="E16717" t="inlineStr">
        <is>
          <t>Lương:Cạnh tranh</t>
        </is>
      </c>
      <c r="F16717" t="inlineStr">
        <is>
          <t>Hà Nội</t>
        </is>
      </c>
      <c r="G16717" t="inlineStr">
        <is>
          <t>24-03-2026</t>
        </is>
      </c>
      <c r="H16717" t="inlineStr">
        <is>
          <t>24/03/2026</t>
        </is>
      </c>
      <c r="I16717" t="inlineStr">
        <is>
          <t>17/03/2026</t>
        </is>
      </c>
      <c r="J16717" t="inlineStr">
        <is>
          <t>CNTT - Phần mềm</t>
        </is>
      </c>
      <c r="K16717" t="inlineStr">
        <is>
          <t>null - null Năm</t>
        </is>
      </c>
      <c r="L16717" s="8">
        <f>HYPERLINK("https://careerviet.vn/vi/tim-viec-lam/backend-developer-ngan-hang-so.35C68C84.html","Xem chi tiết")</f>
        <v/>
      </c>
    </row>
    <row r="16718">
      <c r="B16718" s="9" t="n">
        <v>16716</v>
      </c>
      <c r="C16718" s="10" t="inlineStr">
        <is>
          <t>Chuyên viên chính/Chuyên viên cao cấp Thẩm định tài sản</t>
        </is>
      </c>
      <c r="D16718" s="10" t="inlineStr">
        <is>
          <t>Ngân Hàng TMCP Sài Gòn - Hà Nội ( SHB )</t>
        </is>
      </c>
      <c r="E16718" s="10" t="inlineStr">
        <is>
          <t>Lương:Cạnh tranh</t>
        </is>
      </c>
      <c r="F16718" s="10" t="inlineStr">
        <is>
          <t>Cần ThơHồ Chí MinhBình Thuận</t>
        </is>
      </c>
      <c r="G16718" s="10" t="inlineStr">
        <is>
          <t>24-03-2026</t>
        </is>
      </c>
      <c r="H16718" s="10" t="inlineStr">
        <is>
          <t>24/03/2026</t>
        </is>
      </c>
      <c r="I16718" s="10" t="inlineStr">
        <is>
          <t>17/03/2026</t>
        </is>
      </c>
      <c r="J16718" s="10" t="inlineStr">
        <is>
          <t>Ngân hàng, Bất động sản, Bán lẻ / Bán sỉ</t>
        </is>
      </c>
      <c r="K16718" s="10" t="inlineStr">
        <is>
          <t>null - null Năm</t>
        </is>
      </c>
      <c r="L16718" s="11">
        <f>HYPERLINK("https://careerviet.vn/vi/tim-viec-lam/chuyen-vien-chinh-chuyen-vien-cao-cap-tham-dinh-tai-san.35C68C80.html","Xem chi tiết")</f>
        <v/>
      </c>
      <c r="M16718" s="10" t="n"/>
    </row>
    <row r="16719">
      <c r="B16719" s="7" t="n">
        <v>16717</v>
      </c>
      <c r="C16719" t="inlineStr">
        <is>
          <t>Chuyên viên Quan hệ Khách hàng Cá nhân (Toàn quốc)</t>
        </is>
      </c>
      <c r="D16719" t="inlineStr">
        <is>
          <t>Ngân Hàng TMCP Sài Gòn - Hà Nội ( SHB )</t>
        </is>
      </c>
      <c r="E16719" t="inlineStr">
        <is>
          <t>Lương:Cạnh tranh</t>
        </is>
      </c>
      <c r="F16719" t="inlineStr">
        <is>
          <t>Lâm ĐồngĐồng NaiGia Lai</t>
        </is>
      </c>
      <c r="G16719" t="inlineStr">
        <is>
          <t>24-03-2026</t>
        </is>
      </c>
      <c r="H16719" t="inlineStr">
        <is>
          <t>24/03/2026</t>
        </is>
      </c>
      <c r="I16719" t="inlineStr">
        <is>
          <t>17/03/2026</t>
        </is>
      </c>
      <c r="J16719" t="inlineStr">
        <is>
          <t>Ngân hàng, Bán hàng / Kinh doanh</t>
        </is>
      </c>
      <c r="K16719" t="inlineStr">
        <is>
          <t>null - null Năm</t>
        </is>
      </c>
      <c r="L16719" s="8">
        <f>HYPERLINK("https://careerviet.vn/vi/tim-viec-lam/chuyen-vien-quan-he-khach-hang-ca-nhan-toan-quoc.35C68C8B.html","Xem chi tiết")</f>
        <v/>
      </c>
    </row>
    <row r="16720">
      <c r="B16720" s="9" t="n">
        <v>16718</v>
      </c>
      <c r="C16720" s="10" t="inlineStr">
        <is>
          <t>Chuyên viên Quan hệ Khách hàng Cá nhân (Toàn quốc)</t>
        </is>
      </c>
      <c r="D16720" s="10" t="inlineStr">
        <is>
          <t>Ngân Hàng TMCP Sài Gòn - Hà Nội ( SHB )</t>
        </is>
      </c>
      <c r="E16720" s="10" t="inlineStr">
        <is>
          <t>Lương:Cạnh tranh</t>
        </is>
      </c>
      <c r="F16720" s="10" t="inlineStr">
        <is>
          <t>Tiền GiangVĩnh LongTuyên Quang</t>
        </is>
      </c>
      <c r="G16720" s="10" t="inlineStr">
        <is>
          <t>24-03-2026</t>
        </is>
      </c>
      <c r="H16720" s="10" t="inlineStr">
        <is>
          <t>24/03/2026</t>
        </is>
      </c>
      <c r="I16720" s="10" t="inlineStr">
        <is>
          <t>17/03/2026</t>
        </is>
      </c>
      <c r="J16720" s="10" t="inlineStr">
        <is>
          <t>Ngân hàng, Bán hàng / Kinh doanh</t>
        </is>
      </c>
      <c r="K16720" s="10" t="inlineStr">
        <is>
          <t>null - null Năm</t>
        </is>
      </c>
      <c r="L16720" s="11">
        <f>HYPERLINK("https://careerviet.vn/vi/tim-viec-lam/chuyen-vien-quan-he-khach-hang-ca-nhan-toan-quoc.35C68C7A.html","Xem chi tiết")</f>
        <v/>
      </c>
      <c r="M16720" s="10" t="n"/>
    </row>
    <row r="16721">
      <c r="B16721" s="7" t="n">
        <v>16719</v>
      </c>
      <c r="C16721" t="inlineStr">
        <is>
          <t>Giám đốc Khối Pháp chế và Tuân thủ</t>
        </is>
      </c>
      <c r="D16721" t="inlineStr">
        <is>
          <t>Ngân Hàng TMCP Sài Gòn - Hà Nội ( SHB )</t>
        </is>
      </c>
      <c r="E16721" t="inlineStr">
        <is>
          <t>Lương:Cạnh tranh</t>
        </is>
      </c>
      <c r="F16721" t="inlineStr">
        <is>
          <t>Hà Nội</t>
        </is>
      </c>
      <c r="G16721" t="inlineStr">
        <is>
          <t>24-03-2026</t>
        </is>
      </c>
      <c r="H16721" t="inlineStr">
        <is>
          <t>24/03/2026</t>
        </is>
      </c>
      <c r="I16721" t="inlineStr">
        <is>
          <t>17/03/2026</t>
        </is>
      </c>
      <c r="J16721" t="inlineStr">
        <is>
          <t>Ngân hàng, Luật / Pháp lý</t>
        </is>
      </c>
      <c r="K16721" t="inlineStr">
        <is>
          <t>null - null Năm</t>
        </is>
      </c>
      <c r="L16721" s="8">
        <f>HYPERLINK("https://careerviet.vn/vi/tim-viec-lam/giam-doc-khoi-phap-che-va-tuan-thu.35C68C70.html","Xem chi tiết")</f>
        <v/>
      </c>
    </row>
    <row r="16722">
      <c r="B16722" s="9" t="n">
        <v>16720</v>
      </c>
      <c r="C16722" s="10" t="inlineStr">
        <is>
          <t>Chuyên viên Quan hệ Khách hàng Cá nhân (Toàn quốc)</t>
        </is>
      </c>
      <c r="D16722" s="10" t="inlineStr">
        <is>
          <t>Ngân Hàng TMCP Sài Gòn - Hà Nội ( SHB )</t>
        </is>
      </c>
      <c r="E16722" s="10" t="inlineStr">
        <is>
          <t>Lương:Cạnh tranh</t>
        </is>
      </c>
      <c r="F16722" s="10" t="inlineStr">
        <is>
          <t>Hải PhòngHà NamHồ Chí Minh</t>
        </is>
      </c>
      <c r="G16722" s="10" t="inlineStr">
        <is>
          <t>24-03-2026</t>
        </is>
      </c>
      <c r="H16722" s="10" t="inlineStr">
        <is>
          <t>24/03/2026</t>
        </is>
      </c>
      <c r="I16722" s="10" t="inlineStr">
        <is>
          <t>17/03/2026</t>
        </is>
      </c>
      <c r="J16722" s="10" t="inlineStr">
        <is>
          <t>Ngân hàng, Bán hàng / Kinh doanh</t>
        </is>
      </c>
      <c r="K16722" s="10" t="inlineStr">
        <is>
          <t>null - null Năm</t>
        </is>
      </c>
      <c r="L16722" s="11">
        <f>HYPERLINK("https://careerviet.vn/vi/tim-viec-lam/chuyen-vien-quan-he-khach-hang-ca-nhan-toan-quoc.35C68C8C.html","Xem chi tiết")</f>
        <v/>
      </c>
      <c r="M16722" s="10" t="n"/>
    </row>
    <row r="16723">
      <c r="B16723" s="7" t="n">
        <v>16721</v>
      </c>
      <c r="C16723" t="inlineStr">
        <is>
          <t>Chuyên viên Xử lý nợ - Khu vực Miền Trung (Lâm Đồng)</t>
        </is>
      </c>
      <c r="D16723" t="inlineStr">
        <is>
          <t>Ngân Hàng TMCP Sài Gòn - Hà Nội ( SHB )</t>
        </is>
      </c>
      <c r="E16723" t="inlineStr">
        <is>
          <t>Lương:Cạnh tranh</t>
        </is>
      </c>
      <c r="F16723" t="inlineStr">
        <is>
          <t>Lâm Đồng</t>
        </is>
      </c>
      <c r="G16723" t="inlineStr">
        <is>
          <t>24-03-2026</t>
        </is>
      </c>
      <c r="H16723" t="inlineStr">
        <is>
          <t>24/03/2026</t>
        </is>
      </c>
      <c r="I16723" t="inlineStr">
        <is>
          <t>17/03/2026</t>
        </is>
      </c>
      <c r="J16723" t="inlineStr">
        <is>
          <t>Ngân hàng</t>
        </is>
      </c>
      <c r="K16723" t="inlineStr">
        <is>
          <t>null - null Năm</t>
        </is>
      </c>
      <c r="L16723" s="8">
        <f>HYPERLINK("https://careerviet.vn/vi/tim-viec-lam/chuyen-vien-xu-ly-no-khu-vuc-mien-trung-lam-dong.35C68C6A.html","Xem chi tiết")</f>
        <v/>
      </c>
    </row>
    <row r="16724">
      <c r="B16724" s="9" t="n">
        <v>16722</v>
      </c>
      <c r="C16724" s="10" t="inlineStr">
        <is>
          <t>Chuyên viên Xử lý nợ (Địa bàn Đông Nam Bộ)</t>
        </is>
      </c>
      <c r="D16724" s="10" t="inlineStr">
        <is>
          <t>Ngân Hàng TMCP Sài Gòn - Hà Nội ( SHB )</t>
        </is>
      </c>
      <c r="E16724" s="10" t="inlineStr">
        <is>
          <t>Lương:Cạnh tranh</t>
        </is>
      </c>
      <c r="F16724" s="10" t="inlineStr">
        <is>
          <t>Bình DươngBình Phước</t>
        </is>
      </c>
      <c r="G16724" s="10" t="inlineStr">
        <is>
          <t>24-03-2026</t>
        </is>
      </c>
      <c r="H16724" s="10" t="inlineStr">
        <is>
          <t>24/03/2026</t>
        </is>
      </c>
      <c r="I16724" s="10" t="inlineStr">
        <is>
          <t>17/03/2026</t>
        </is>
      </c>
      <c r="J16724" s="10" t="inlineStr">
        <is>
          <t>Ngân hàng</t>
        </is>
      </c>
      <c r="K16724" s="10" t="inlineStr">
        <is>
          <t>null - null Năm</t>
        </is>
      </c>
      <c r="L16724" s="11">
        <f>HYPERLINK("https://careerviet.vn/vi/tim-viec-lam/chuyen-vien-xu-ly-no-dia-ban-dong-nam-bo.35C68C6C.html","Xem chi tiết")</f>
        <v/>
      </c>
      <c r="M16724" s="10" t="n"/>
    </row>
    <row r="16725">
      <c r="B16725" s="7" t="n">
        <v>16723</v>
      </c>
      <c r="C16725" t="inlineStr">
        <is>
          <t>Phó Tổng Giám đốc - SHB Campuchia</t>
        </is>
      </c>
      <c r="D16725" t="inlineStr">
        <is>
          <t>Ngân Hàng TMCP Sài Gòn - Hà Nội ( SHB )</t>
        </is>
      </c>
      <c r="E16725" t="inlineStr">
        <is>
          <t>Lương:Cạnh tranh</t>
        </is>
      </c>
      <c r="F16725" t="inlineStr">
        <is>
          <t>Phnompenh</t>
        </is>
      </c>
      <c r="G16725" t="inlineStr">
        <is>
          <t>24-03-2026</t>
        </is>
      </c>
      <c r="H16725" t="inlineStr">
        <is>
          <t>24/03/2026</t>
        </is>
      </c>
      <c r="I16725" t="inlineStr">
        <is>
          <t>17/03/2026</t>
        </is>
      </c>
      <c r="J16725" t="inlineStr">
        <is>
          <t>Ngân hàng</t>
        </is>
      </c>
      <c r="K16725" t="inlineStr">
        <is>
          <t>null - null Năm</t>
        </is>
      </c>
      <c r="L16725" s="8">
        <f>HYPERLINK("https://careerviet.vn/vi/tim-viec-lam/pho-tong-giam-doc-shb-campuchia.35C68C81.html","Xem chi tiết")</f>
        <v/>
      </c>
    </row>
    <row r="16726">
      <c r="B16726" s="9" t="n">
        <v>16724</v>
      </c>
      <c r="C16726" s="10" t="inlineStr">
        <is>
          <t>Chuyên viên chính/Chuyên viên cao cấp Thẩm định tài sản</t>
        </is>
      </c>
      <c r="D16726" s="10" t="inlineStr">
        <is>
          <t>Ngân Hàng TMCP Sài Gòn - Hà Nội ( SHB )</t>
        </is>
      </c>
      <c r="E16726" s="10" t="inlineStr">
        <is>
          <t>Lương:Cạnh tranh</t>
        </is>
      </c>
      <c r="F16726" s="10" t="inlineStr">
        <is>
          <t>Ninh BìnhLào CaiHưng Yên</t>
        </is>
      </c>
      <c r="G16726" s="10" t="inlineStr">
        <is>
          <t>24-03-2026</t>
        </is>
      </c>
      <c r="H16726" s="10" t="inlineStr">
        <is>
          <t>24/03/2026</t>
        </is>
      </c>
      <c r="I16726" s="10" t="inlineStr">
        <is>
          <t>17/03/2026</t>
        </is>
      </c>
      <c r="J16726" s="10" t="inlineStr">
        <is>
          <t>Ngân hàng, Bất động sản, Bán lẻ / Bán sỉ</t>
        </is>
      </c>
      <c r="K16726" s="10" t="inlineStr">
        <is>
          <t>null - null Năm</t>
        </is>
      </c>
      <c r="L16726" s="11">
        <f>HYPERLINK("https://careerviet.vn/vi/tim-viec-lam/chuyen-vien-chinh-chuyen-vien-cao-cap-tham-dinh-tai-san.35C68C77.html","Xem chi tiết")</f>
        <v/>
      </c>
      <c r="M16726" s="10" t="n"/>
    </row>
    <row r="16727">
      <c r="B16727" s="7" t="n">
        <v>16725</v>
      </c>
      <c r="C16727" t="inlineStr">
        <is>
          <t>Chuyên viên Cao cấp Quản trị dữ liệu (Mảng Phân tích &amp; Báo cáo)</t>
        </is>
      </c>
      <c r="D16727" t="inlineStr">
        <is>
          <t>Ngân Hàng TMCP Sài Gòn - Hà Nội ( SHB )</t>
        </is>
      </c>
      <c r="E16727" t="inlineStr">
        <is>
          <t>Lương:Cạnh tranh</t>
        </is>
      </c>
      <c r="F16727" t="inlineStr">
        <is>
          <t>Hà Nội</t>
        </is>
      </c>
      <c r="G16727" t="inlineStr">
        <is>
          <t>24-03-2026</t>
        </is>
      </c>
      <c r="H16727" t="inlineStr">
        <is>
          <t>24/03/2026</t>
        </is>
      </c>
      <c r="I16727" t="inlineStr">
        <is>
          <t>17/03/2026</t>
        </is>
      </c>
      <c r="J16727" t="inlineStr">
        <is>
          <t>Kế toán / Kiểm toán, Ngân hàng, Thống kê</t>
        </is>
      </c>
      <c r="K16727" t="inlineStr">
        <is>
          <t>null - null Năm</t>
        </is>
      </c>
      <c r="L16727" s="8">
        <f>HYPERLINK("https://careerviet.vn/vi/tim-viec-lam/chuyen-vien-cao-cap-quan-tri-du-lieu-mang-phan-tich-bao-cao.35C68C87.html","Xem chi tiết")</f>
        <v/>
      </c>
    </row>
    <row r="16728">
      <c r="B16728" s="9" t="n">
        <v>16726</v>
      </c>
      <c r="C16728" s="10" t="inlineStr">
        <is>
          <t>Chuyên viên tác nghiệp kế toán</t>
        </is>
      </c>
      <c r="D16728" s="10" t="inlineStr">
        <is>
          <t>Ngân Hàng TMCP Sài Gòn - Hà Nội ( SHB )</t>
        </is>
      </c>
      <c r="E16728" s="10" t="inlineStr">
        <is>
          <t>Lương:Cạnh tranh</t>
        </is>
      </c>
      <c r="F16728" s="10" t="inlineStr">
        <is>
          <t>Hà Nội</t>
        </is>
      </c>
      <c r="G16728" s="10" t="inlineStr">
        <is>
          <t>24-03-2026</t>
        </is>
      </c>
      <c r="H16728" s="10" t="inlineStr">
        <is>
          <t>24/03/2026</t>
        </is>
      </c>
      <c r="I16728" s="10" t="inlineStr">
        <is>
          <t>17/03/2026</t>
        </is>
      </c>
      <c r="J16728" s="10" t="inlineStr">
        <is>
          <t>Kế toán / Kiểm toán, Ngân hàng</t>
        </is>
      </c>
      <c r="K16728" s="10" t="inlineStr">
        <is>
          <t>null - null Năm</t>
        </is>
      </c>
      <c r="L16728" s="11">
        <f>HYPERLINK("https://careerviet.vn/vi/tim-viec-lam/chuyen-vien-tac-nghiep-ke-toan.35C68C79.html","Xem chi tiết")</f>
        <v/>
      </c>
      <c r="M16728" s="10" t="n"/>
    </row>
    <row r="16729">
      <c r="B16729" s="7" t="n">
        <v>16727</v>
      </c>
      <c r="C16729" t="inlineStr">
        <is>
          <t>Chuyên viên chính/Chuyên viên cao cấp Thẩm định tài sản</t>
        </is>
      </c>
      <c r="D16729" t="inlineStr">
        <is>
          <t>Ngân Hàng TMCP Sài Gòn - Hà Nội ( SHB )</t>
        </is>
      </c>
      <c r="E16729" t="inlineStr">
        <is>
          <t>Lương:Cạnh tranh</t>
        </is>
      </c>
      <c r="F16729" t="inlineStr">
        <is>
          <t>Đồng NaiBà Rịa - Vũng Tàu</t>
        </is>
      </c>
      <c r="G16729" t="inlineStr">
        <is>
          <t>24-03-2026</t>
        </is>
      </c>
      <c r="H16729" t="inlineStr">
        <is>
          <t>24/03/2026</t>
        </is>
      </c>
      <c r="I16729" t="inlineStr">
        <is>
          <t>17/03/2026</t>
        </is>
      </c>
      <c r="J16729" t="inlineStr">
        <is>
          <t>Ngân hàng, Bất động sản, Bán lẻ / Bán sỉ</t>
        </is>
      </c>
      <c r="K16729" t="inlineStr">
        <is>
          <t>null - null Năm</t>
        </is>
      </c>
      <c r="L16729" s="8">
        <f>HYPERLINK("https://careerviet.vn/vi/tim-viec-lam/chuyen-vien-chinh-chuyen-vien-cao-cap-tham-dinh-tai-san.35C68C7E.html","Xem chi tiết")</f>
        <v/>
      </c>
    </row>
    <row r="16730">
      <c r="B16730" s="9" t="n">
        <v>16728</v>
      </c>
      <c r="C16730" s="10" t="inlineStr">
        <is>
          <t>Chuyên viên chính/Chuyên viên cao cấp Thẩm định tài sản</t>
        </is>
      </c>
      <c r="D16730" s="10" t="inlineStr">
        <is>
          <t>Ngân Hàng TMCP Sài Gòn - Hà Nội ( SHB )</t>
        </is>
      </c>
      <c r="E16730" s="10" t="inlineStr">
        <is>
          <t>Lương:Cạnh tranh</t>
        </is>
      </c>
      <c r="F16730" s="10" t="inlineStr">
        <is>
          <t>Hà NộiBắc NinhQuảng Ninh</t>
        </is>
      </c>
      <c r="G16730" s="10" t="inlineStr">
        <is>
          <t>24-03-2026</t>
        </is>
      </c>
      <c r="H16730" s="10" t="inlineStr">
        <is>
          <t>24/03/2026</t>
        </is>
      </c>
      <c r="I16730" s="10" t="inlineStr">
        <is>
          <t>17/03/2026</t>
        </is>
      </c>
      <c r="J16730" s="10" t="inlineStr">
        <is>
          <t>Ngân hàng, Bất động sản, Bán lẻ / Bán sỉ</t>
        </is>
      </c>
      <c r="K16730" s="10" t="inlineStr">
        <is>
          <t>null - null Năm</t>
        </is>
      </c>
      <c r="L16730" s="11">
        <f>HYPERLINK("https://careerviet.vn/vi/tim-viec-lam/chuyen-vien-chinh-chuyen-vien-cao-cap-tham-dinh-tai-san.35C68C73.html","Xem chi tiết")</f>
        <v/>
      </c>
      <c r="M16730" s="10" t="n"/>
    </row>
    <row r="16731">
      <c r="B16731" s="7" t="n">
        <v>16729</v>
      </c>
      <c r="C16731" t="inlineStr">
        <is>
          <t>Chuyên viên Quan hệ Khách hàng Doanh nghiệp (Toàn quốc)</t>
        </is>
      </c>
      <c r="D16731" t="inlineStr">
        <is>
          <t>Ngân Hàng TMCP Sài Gòn - Hà Nội ( SHB )</t>
        </is>
      </c>
      <c r="E16731" t="inlineStr">
        <is>
          <t>Lương:Cạnh tranh</t>
        </is>
      </c>
      <c r="F16731" t="inlineStr">
        <is>
          <t>Bình PhướcBình ThuậnHưng Yên</t>
        </is>
      </c>
      <c r="G16731" t="inlineStr">
        <is>
          <t>24-03-2026</t>
        </is>
      </c>
      <c r="H16731" t="inlineStr">
        <is>
          <t>24/03/2026</t>
        </is>
      </c>
      <c r="I16731" t="inlineStr">
        <is>
          <t>17/03/2026</t>
        </is>
      </c>
      <c r="J16731" t="inlineStr">
        <is>
          <t>Ngân hàng, Bán hàng / Kinh doanh</t>
        </is>
      </c>
      <c r="K16731" t="inlineStr">
        <is>
          <t>null - null Năm</t>
        </is>
      </c>
      <c r="L16731" s="8">
        <f>HYPERLINK("https://careerviet.vn/vi/tim-viec-lam/chuyen-vien-quan-he-khach-hang-doanh-nghiep-toan-quoc.35C68C89.html","Xem chi tiết")</f>
        <v/>
      </c>
    </row>
    <row r="16732">
      <c r="B16732" s="9" t="n">
        <v>16730</v>
      </c>
      <c r="C16732" s="10" t="inlineStr">
        <is>
          <t>Frontend Developer - Khối Ngân hàng Số</t>
        </is>
      </c>
      <c r="D16732" s="10" t="inlineStr">
        <is>
          <t>Ngân Hàng TMCP Sài Gòn - Hà Nội ( SHB )</t>
        </is>
      </c>
      <c r="E16732" s="10" t="inlineStr">
        <is>
          <t>Lương:Cạnh tranh</t>
        </is>
      </c>
      <c r="F16732" s="10" t="inlineStr">
        <is>
          <t>Hà Nội</t>
        </is>
      </c>
      <c r="G16732" s="10" t="inlineStr">
        <is>
          <t>24-03-2026</t>
        </is>
      </c>
      <c r="H16732" s="10" t="inlineStr">
        <is>
          <t>24/03/2026</t>
        </is>
      </c>
      <c r="I16732" s="10" t="inlineStr">
        <is>
          <t>17/03/2026</t>
        </is>
      </c>
      <c r="J16732" s="10" t="inlineStr">
        <is>
          <t>CNTT - Phần mềm</t>
        </is>
      </c>
      <c r="K16732" s="10" t="inlineStr">
        <is>
          <t>null - null Năm</t>
        </is>
      </c>
      <c r="L16732" s="11">
        <f>HYPERLINK("https://careerviet.vn/vi/tim-viec-lam/frontend-developer-khoi-ngan-hang-so.35C68C86.html","Xem chi tiết")</f>
        <v/>
      </c>
      <c r="M16732" s="10" t="n"/>
    </row>
    <row r="16733">
      <c r="B16733" s="7" t="n">
        <v>16731</v>
      </c>
      <c r="C16733" t="inlineStr">
        <is>
          <t>Chuyên gia/CVCC Quản lý Hệ thống văn bản nội bộ</t>
        </is>
      </c>
      <c r="D16733" t="inlineStr">
        <is>
          <t>Ngân Hàng TMCP Sài Gòn - Hà Nội ( SHB )</t>
        </is>
      </c>
      <c r="E16733" t="inlineStr">
        <is>
          <t>Lương:Cạnh tranh</t>
        </is>
      </c>
      <c r="F16733" t="inlineStr">
        <is>
          <t>Hà Nội</t>
        </is>
      </c>
      <c r="G16733" t="inlineStr">
        <is>
          <t>24-03-2026</t>
        </is>
      </c>
      <c r="H16733" t="inlineStr">
        <is>
          <t>24/03/2026</t>
        </is>
      </c>
      <c r="I16733" t="inlineStr">
        <is>
          <t>17/03/2026</t>
        </is>
      </c>
      <c r="J16733" t="inlineStr">
        <is>
          <t>Luật / Pháp lý</t>
        </is>
      </c>
      <c r="K16733" t="inlineStr">
        <is>
          <t>null - null Năm</t>
        </is>
      </c>
      <c r="L16733" s="8">
        <f>HYPERLINK("https://careerviet.vn/vi/tim-viec-lam/chuyen-gia-cvcc-quan-ly-he-thong-van-ban-noi-bo.35C68C83.html","Xem chi tiết")</f>
        <v/>
      </c>
    </row>
    <row r="16734">
      <c r="B16734" s="9" t="n">
        <v>16732</v>
      </c>
      <c r="C16734" s="10" t="inlineStr">
        <is>
          <t>Chuyên viên chính/Chuyên viên cao cấp Thẩm định tài sản</t>
        </is>
      </c>
      <c r="D16734" s="10" t="inlineStr">
        <is>
          <t>Ngân Hàng TMCP Sài Gòn - Hà Nội ( SHB )</t>
        </is>
      </c>
      <c r="E16734" s="10" t="inlineStr">
        <is>
          <t>Lương:Cạnh tranh</t>
        </is>
      </c>
      <c r="F16734" s="10" t="inlineStr">
        <is>
          <t>Bình PhướcBình DươngTây Ninh</t>
        </is>
      </c>
      <c r="G16734" s="10" t="inlineStr">
        <is>
          <t>24-03-2026</t>
        </is>
      </c>
      <c r="H16734" s="10" t="inlineStr">
        <is>
          <t>24/03/2026</t>
        </is>
      </c>
      <c r="I16734" s="10" t="inlineStr">
        <is>
          <t>17/03/2026</t>
        </is>
      </c>
      <c r="J16734" s="10" t="inlineStr">
        <is>
          <t>Ngân hàng, Bất động sản, Bán lẻ / Bán sỉ</t>
        </is>
      </c>
      <c r="K16734" s="10" t="inlineStr">
        <is>
          <t>null - null Năm</t>
        </is>
      </c>
      <c r="L16734" s="11">
        <f>HYPERLINK("https://careerviet.vn/vi/tim-viec-lam/chuyen-vien-chinh-chuyen-vien-cao-cap-tham-dinh-tai-san.35C68C7F.html","Xem chi tiết")</f>
        <v/>
      </c>
      <c r="M16734" s="10" t="n"/>
    </row>
    <row r="16735">
      <c r="B16735" s="7" t="n">
        <v>16733</v>
      </c>
      <c r="C16735" t="inlineStr">
        <is>
          <t>Chuyên viên chính/Chuyên viên cao cấp Thẩm định tài sản</t>
        </is>
      </c>
      <c r="D16735" t="inlineStr">
        <is>
          <t>Ngân Hàng TMCP Sài Gòn - Hà Nội ( SHB )</t>
        </is>
      </c>
      <c r="E16735" t="inlineStr">
        <is>
          <t>Lương:Cạnh tranh</t>
        </is>
      </c>
      <c r="F16735" t="inlineStr">
        <is>
          <t>Vĩnh PhúcBắc GiangPhú Thọ</t>
        </is>
      </c>
      <c r="G16735" t="inlineStr">
        <is>
          <t>24-03-2026</t>
        </is>
      </c>
      <c r="H16735" t="inlineStr">
        <is>
          <t>24/03/2026</t>
        </is>
      </c>
      <c r="I16735" t="inlineStr">
        <is>
          <t>17/03/2026</t>
        </is>
      </c>
      <c r="J16735" t="inlineStr">
        <is>
          <t>Ngân hàng, Bất động sản, Bán lẻ / Bán sỉ</t>
        </is>
      </c>
      <c r="K16735" t="inlineStr">
        <is>
          <t>null - null Năm</t>
        </is>
      </c>
      <c r="L16735" s="8">
        <f>HYPERLINK("https://careerviet.vn/vi/tim-viec-lam/chuyen-vien-chinh-chuyen-vien-cao-cap-tham-dinh-tai-san.35C68C78.html","Xem chi tiết")</f>
        <v/>
      </c>
    </row>
    <row r="16736">
      <c r="B16736" s="9" t="n">
        <v>16734</v>
      </c>
      <c r="C16736" s="10" t="inlineStr">
        <is>
          <t>Chuyên gia DevOps - Khối Ngân hàng số</t>
        </is>
      </c>
      <c r="D16736" s="10" t="inlineStr">
        <is>
          <t>Ngân Hàng TMCP Sài Gòn - Hà Nội ( SHB )</t>
        </is>
      </c>
      <c r="E16736" s="10" t="inlineStr">
        <is>
          <t>Lương:Cạnh tranh</t>
        </is>
      </c>
      <c r="F16736" s="10" t="inlineStr">
        <is>
          <t>Hà Nội</t>
        </is>
      </c>
      <c r="G16736" s="10" t="inlineStr">
        <is>
          <t>24-03-2026</t>
        </is>
      </c>
      <c r="H16736" s="10" t="inlineStr">
        <is>
          <t>24/03/2026</t>
        </is>
      </c>
      <c r="I16736" s="10" t="inlineStr">
        <is>
          <t>17/03/2026</t>
        </is>
      </c>
      <c r="J16736" s="10" t="inlineStr">
        <is>
          <t>CNTT - Phần mềm, Ngân hàng</t>
        </is>
      </c>
      <c r="K16736" s="10" t="inlineStr">
        <is>
          <t>null - null Năm</t>
        </is>
      </c>
      <c r="L16736" s="11">
        <f>HYPERLINK("https://careerviet.vn/vi/tim-viec-lam/chuyen-gia-devops-khoi-ngan-hang-so.35C68C6E.html","Xem chi tiết")</f>
        <v/>
      </c>
      <c r="M16736" s="10" t="n"/>
    </row>
    <row r="16737">
      <c r="B16737" s="7" t="n">
        <v>16735</v>
      </c>
      <c r="C16737" t="inlineStr">
        <is>
          <t>Chuyên viên chính/Chuyên viên cao cấp Thẩm định tài sản</t>
        </is>
      </c>
      <c r="D16737" t="inlineStr">
        <is>
          <t>Ngân Hàng TMCP Sài Gòn - Hà Nội ( SHB )</t>
        </is>
      </c>
      <c r="E16737" t="inlineStr">
        <is>
          <t>Lương:Cạnh tranh</t>
        </is>
      </c>
      <c r="F16737" t="inlineStr">
        <is>
          <t>Thái NguyênThái BìnhHải Phòng</t>
        </is>
      </c>
      <c r="G16737" t="inlineStr">
        <is>
          <t>24-03-2026</t>
        </is>
      </c>
      <c r="H16737" t="inlineStr">
        <is>
          <t>24/03/2026</t>
        </is>
      </c>
      <c r="I16737" t="inlineStr">
        <is>
          <t>17/03/2026</t>
        </is>
      </c>
      <c r="J16737" t="inlineStr">
        <is>
          <t>Ngân hàng, Bất động sản, Bán lẻ / Bán sỉ</t>
        </is>
      </c>
      <c r="K16737" t="inlineStr">
        <is>
          <t>null - null Năm</t>
        </is>
      </c>
      <c r="L16737" s="8">
        <f>HYPERLINK("https://careerviet.vn/vi/tim-viec-lam/chuyen-vien-chinh-chuyen-vien-cao-cap-tham-dinh-tai-san.35C68C75.html","Xem chi tiết")</f>
        <v/>
      </c>
    </row>
    <row r="16738">
      <c r="B16738" s="9" t="n">
        <v>16736</v>
      </c>
      <c r="C16738" s="10" t="inlineStr">
        <is>
          <t>Kế Toán Kho - Warehouse Accountant</t>
        </is>
      </c>
      <c r="D16738" s="10" t="inlineStr">
        <is>
          <t>Công Ty Cổ Phần Tập Đoàn Ô Tô Hiệp Hòa</t>
        </is>
      </c>
      <c r="E16738" s="10" t="inlineStr">
        <is>
          <t>Lương:10 Tr - 20 Tr VND</t>
        </is>
      </c>
      <c r="F16738" s="10" t="inlineStr">
        <is>
          <t>Hưng Yên</t>
        </is>
      </c>
      <c r="G16738" s="10" t="inlineStr">
        <is>
          <t>31-03-2026</t>
        </is>
      </c>
      <c r="H16738" s="10" t="inlineStr">
        <is>
          <t>31/03/2026</t>
        </is>
      </c>
      <c r="I16738" s="10" t="inlineStr">
        <is>
          <t>17/03/2026</t>
        </is>
      </c>
      <c r="J16738" s="10" t="inlineStr">
        <is>
          <t>Kế toán / Kiểm toán</t>
        </is>
      </c>
      <c r="K16738" s="10" t="inlineStr">
        <is>
          <t>Trên 1 Năm</t>
        </is>
      </c>
      <c r="L16738" s="11">
        <f>HYPERLINK("https://careerviet.vn/vi/tim-viec-lam/ke-toan-kho-warehouse-accountant.35C68C53.html","Xem chi tiết")</f>
        <v/>
      </c>
      <c r="M16738" s="10" t="n"/>
    </row>
    <row r="16739">
      <c r="B16739" s="7" t="n">
        <v>16737</v>
      </c>
      <c r="C16739" t="inlineStr">
        <is>
          <t>Chuyên viên chính/Chuyên viên cao cấp Thẩm định tài sản</t>
        </is>
      </c>
      <c r="D16739" t="inlineStr">
        <is>
          <t>Ngân Hàng TMCP Sài Gòn - Hà Nội ( SHB )</t>
        </is>
      </c>
      <c r="E16739" t="inlineStr">
        <is>
          <t>Lương:Cạnh tranh</t>
        </is>
      </c>
      <c r="F16739" t="inlineStr">
        <is>
          <t>Nam ĐịnhHải DươngSơn La</t>
        </is>
      </c>
      <c r="G16739" t="inlineStr">
        <is>
          <t>24-03-2026</t>
        </is>
      </c>
      <c r="H16739" t="inlineStr">
        <is>
          <t>24/03/2026</t>
        </is>
      </c>
      <c r="I16739" t="inlineStr">
        <is>
          <t>17/03/2026</t>
        </is>
      </c>
      <c r="J16739" t="inlineStr">
        <is>
          <t>Ngân hàng, Bất động sản, Bán lẻ / Bán sỉ</t>
        </is>
      </c>
      <c r="K16739" t="inlineStr">
        <is>
          <t>null - null Năm</t>
        </is>
      </c>
      <c r="L16739" s="8">
        <f>HYPERLINK("https://careerviet.vn/vi/tim-viec-lam/chuyen-vien-chinh-chuyen-vien-cao-cap-tham-dinh-tai-san.35C68C6B.html","Xem chi tiết")</f>
        <v/>
      </c>
    </row>
    <row r="16740">
      <c r="B16740" s="9" t="n">
        <v>16738</v>
      </c>
      <c r="C16740" s="10" t="inlineStr">
        <is>
          <t>Trưởng phòng Quản trị hiệu suất Vận hành DVKH</t>
        </is>
      </c>
      <c r="D16740" s="10" t="inlineStr">
        <is>
          <t>Ngân Hàng TMCP Sài Gòn - Hà Nội ( SHB )</t>
        </is>
      </c>
      <c r="E16740" s="10" t="inlineStr">
        <is>
          <t>Lương:Cạnh tranh</t>
        </is>
      </c>
      <c r="F16740" s="10" t="inlineStr">
        <is>
          <t>Hà Nội</t>
        </is>
      </c>
      <c r="G16740" s="10" t="inlineStr">
        <is>
          <t>24-03-2026</t>
        </is>
      </c>
      <c r="H16740" s="10" t="inlineStr">
        <is>
          <t>24/03/2026</t>
        </is>
      </c>
      <c r="I16740" s="10" t="inlineStr">
        <is>
          <t>17/03/2026</t>
        </is>
      </c>
      <c r="J16740" s="10" t="inlineStr">
        <is>
          <t>Ngân hàng, Tài chính / Đầu tư</t>
        </is>
      </c>
      <c r="K16740" s="10" t="inlineStr">
        <is>
          <t>null - null Năm</t>
        </is>
      </c>
      <c r="L16740" s="11">
        <f>HYPERLINK("https://careerviet.vn/vi/tim-viec-lam/truong-phong-quan-tri-hieu-suat-van-hanh-dvkh.35C68C6F.html","Xem chi tiết")</f>
        <v/>
      </c>
      <c r="M16740" s="10" t="n"/>
    </row>
    <row r="16741">
      <c r="B16741" s="7" t="n">
        <v>16739</v>
      </c>
      <c r="C16741" t="inlineStr">
        <is>
          <t>Chuyên viên Quan hệ KHDN - Khu vực Hà Nội</t>
        </is>
      </c>
      <c r="D16741" t="inlineStr">
        <is>
          <t>Ngân Hàng TMCP Sài Gòn - Hà Nội ( SHB )</t>
        </is>
      </c>
      <c r="E16741" t="inlineStr">
        <is>
          <t>Lương:Cạnh tranh</t>
        </is>
      </c>
      <c r="F16741" t="inlineStr">
        <is>
          <t>Hà Nội</t>
        </is>
      </c>
      <c r="G16741" t="inlineStr">
        <is>
          <t>24-03-2026</t>
        </is>
      </c>
      <c r="H16741" t="inlineStr">
        <is>
          <t>24/03/2026</t>
        </is>
      </c>
      <c r="I16741" t="inlineStr">
        <is>
          <t>17/03/2026</t>
        </is>
      </c>
      <c r="J16741" t="inlineStr">
        <is>
          <t>Ngân hàng</t>
        </is>
      </c>
      <c r="K16741" t="inlineStr">
        <is>
          <t>null - null Năm</t>
        </is>
      </c>
      <c r="L16741" s="8">
        <f>HYPERLINK("https://careerviet.vn/vi/tim-viec-lam/chuyen-vien-quan-he-khdn-khu-vuc-ha-noi.35C68C8E.html","Xem chi tiết")</f>
        <v/>
      </c>
    </row>
    <row r="16742">
      <c r="B16742" s="9" t="n">
        <v>16740</v>
      </c>
      <c r="C16742" s="10" t="inlineStr">
        <is>
          <t>Senior Solution Architect - Khối Ngân hàng Số</t>
        </is>
      </c>
      <c r="D16742" s="10" t="inlineStr">
        <is>
          <t>Ngân Hàng TMCP Sài Gòn - Hà Nội ( SHB )</t>
        </is>
      </c>
      <c r="E16742" s="10" t="inlineStr">
        <is>
          <t>Lương:Cạnh tranh</t>
        </is>
      </c>
      <c r="F16742" s="10" t="inlineStr">
        <is>
          <t>Hà Nội</t>
        </is>
      </c>
      <c r="G16742" s="10" t="inlineStr">
        <is>
          <t>6</t>
        </is>
      </c>
      <c r="H16742" s="10" t="inlineStr">
        <is>
          <t>22/03/2026</t>
        </is>
      </c>
      <c r="I16742" s="10" t="inlineStr">
        <is>
          <t>17/03/2026</t>
        </is>
      </c>
      <c r="J16742" s="10" t="inlineStr">
        <is>
          <t>CNTT - Phần mềm</t>
        </is>
      </c>
      <c r="K16742" s="10" t="inlineStr">
        <is>
          <t>Trên 6 Năm</t>
        </is>
      </c>
      <c r="L16742" s="11">
        <f>HYPERLINK("https://careerviet.vn/vi/tim-viec-lam/senior-solution-architect-khoi-ngan-hang-so.35C68C88.html","Xem chi tiết")</f>
        <v/>
      </c>
      <c r="M16742" s="10" t="n"/>
    </row>
    <row r="16743">
      <c r="B16743" s="7" t="n">
        <v>16741</v>
      </c>
      <c r="C16743" t="inlineStr">
        <is>
          <t>Trưởng nhóm C&amp;B</t>
        </is>
      </c>
      <c r="D16743" t="inlineStr">
        <is>
          <t>Công Ty TNHH Thương Mại Xuất Nhập Khẩu Fani</t>
        </is>
      </c>
      <c r="E16743" t="inlineStr">
        <is>
          <t>Lương:20 Tr - 25 Tr VND</t>
        </is>
      </c>
      <c r="F16743" t="inlineStr">
        <is>
          <t>Hà Nội</t>
        </is>
      </c>
      <c r="G16743" t="inlineStr">
        <is>
          <t>3</t>
        </is>
      </c>
      <c r="H16743" t="inlineStr">
        <is>
          <t>20/03/2026</t>
        </is>
      </c>
      <c r="I16743" t="inlineStr">
        <is>
          <t>17/03/2026</t>
        </is>
      </c>
      <c r="J16743" t="inlineStr">
        <is>
          <t>Nhân sự, Bán hàng / Kinh doanh, Thương mại điện tử</t>
        </is>
      </c>
      <c r="K16743" t="inlineStr">
        <is>
          <t>N/A</t>
        </is>
      </c>
      <c r="L16743" s="8">
        <f>HYPERLINK("https://careerviet.vn/vi/tim-viec-lam/truong-nhom-c-b.35C68C55.html","Xem chi tiết")</f>
        <v/>
      </c>
    </row>
    <row r="16744">
      <c r="B16744" s="9" t="n">
        <v>16742</v>
      </c>
      <c r="C16744" s="10" t="inlineStr">
        <is>
          <t>Kế toán thanh toán (Nghỉ T7, CN)</t>
        </is>
      </c>
      <c r="D16744" s="10" t="inlineStr">
        <is>
          <t>Công ty Cổ Phần Sản Xuất Dịch Vụ và Thương Mại Phát Linh</t>
        </is>
      </c>
      <c r="E16744" s="10" t="inlineStr">
        <is>
          <t>Lương:10 Tr - 12 Tr VND</t>
        </is>
      </c>
      <c r="F16744" s="10" t="inlineStr">
        <is>
          <t>Hà Nội</t>
        </is>
      </c>
      <c r="G16744" s="10" t="inlineStr">
        <is>
          <t>31-03-2026</t>
        </is>
      </c>
      <c r="H16744" s="10" t="inlineStr">
        <is>
          <t>31/03/2026</t>
        </is>
      </c>
      <c r="I16744" s="10" t="inlineStr">
        <is>
          <t>17/03/2026</t>
        </is>
      </c>
      <c r="J16744" s="10" t="inlineStr">
        <is>
          <t>Hành chính / Thư ký, Kế toán / Kiểm toán, Tài chính / Đầu tư</t>
        </is>
      </c>
      <c r="K16744" s="10" t="inlineStr">
        <is>
          <t>2 - 3 Năm</t>
        </is>
      </c>
      <c r="L16744" s="11">
        <f>HYPERLINK("https://careerviet.vn/vi/tim-viec-lam/ke-toan-thanh-toan-nghi-t7-cn.35C6B666.html","Xem chi tiết")</f>
        <v/>
      </c>
      <c r="M16744" s="10" t="n"/>
    </row>
    <row r="16745">
      <c r="B16745" s="7" t="n">
        <v>16743</v>
      </c>
      <c r="C16745" t="inlineStr">
        <is>
          <t>Chuyên viên chính/Chuyên viên cao cấp Thẩm định tài sản</t>
        </is>
      </c>
      <c r="D16745" t="inlineStr">
        <is>
          <t>Ngân Hàng TMCP Sài Gòn - Hà Nội ( SHB )</t>
        </is>
      </c>
      <c r="E16745" t="inlineStr">
        <is>
          <t>Lương:Cạnh tranh</t>
        </is>
      </c>
      <c r="F16745" t="inlineStr">
        <is>
          <t>Tuyên QuangHà NamLạng Sơn</t>
        </is>
      </c>
      <c r="G16745" t="inlineStr">
        <is>
          <t>24-03-2026</t>
        </is>
      </c>
      <c r="H16745" t="inlineStr">
        <is>
          <t>24/03/2026</t>
        </is>
      </c>
      <c r="I16745" t="inlineStr">
        <is>
          <t>17/03/2026</t>
        </is>
      </c>
      <c r="J16745" t="inlineStr">
        <is>
          <t>Ngân hàng, Bất động sản, Bán lẻ / Bán sỉ</t>
        </is>
      </c>
      <c r="K16745" t="inlineStr">
        <is>
          <t>null - null Năm</t>
        </is>
      </c>
      <c r="L16745" s="8">
        <f>HYPERLINK("https://careerviet.vn/vi/tim-viec-lam/chuyen-vien-chinh-chuyen-vien-cao-cap-tham-dinh-tai-san.35C68C74.html","Xem chi tiết")</f>
        <v/>
      </c>
    </row>
    <row r="16746">
      <c r="B16746" s="9" t="n">
        <v>16744</v>
      </c>
      <c r="C16746" s="10" t="inlineStr">
        <is>
          <t>[HCM] Quản Lý Vận Hành/Operation Manager F&amp;B</t>
        </is>
      </c>
      <c r="D16746" s="10" t="inlineStr">
        <is>
          <t>CÔNG TY TNHH THƯƠNG MẠI VÀ DỊCH VỤ TALAD THAI</t>
        </is>
      </c>
      <c r="E16746" s="10" t="inlineStr">
        <is>
          <t>Lương:Cạnh tranh</t>
        </is>
      </c>
      <c r="F16746" s="10" t="inlineStr">
        <is>
          <t>Hồ Chí Minh</t>
        </is>
      </c>
      <c r="G16746" s="10" t="inlineStr">
        <is>
          <t>01-04-2026</t>
        </is>
      </c>
      <c r="H16746" s="10" t="inlineStr">
        <is>
          <t>01/04/2026</t>
        </is>
      </c>
      <c r="I16746" s="10" t="inlineStr">
        <is>
          <t>17/03/2026</t>
        </is>
      </c>
      <c r="J16746" s="10" t="inlineStr">
        <is>
          <t>Nhà hàng / Khách sạn</t>
        </is>
      </c>
      <c r="K16746" s="10" t="inlineStr">
        <is>
          <t>3 - 5 Năm</t>
        </is>
      </c>
      <c r="L16746" s="11">
        <f>HYPERLINK("https://careerviet.vn/vi/tim-viec-lam/hcm-quan-ly-van-hanh-operation-manager-f-b.35C6B661.html","Xem chi tiết")</f>
        <v/>
      </c>
      <c r="M16746" s="10" t="n"/>
    </row>
    <row r="16747">
      <c r="B16747" s="7" t="n">
        <v>16745</v>
      </c>
      <c r="C16747" t="inlineStr">
        <is>
          <t>Nhân Viên Phát Triển Thị Trường Miền Tây</t>
        </is>
      </c>
      <c r="D16747" t="inlineStr">
        <is>
          <t>Tập Đoàn Kim Tín</t>
        </is>
      </c>
      <c r="E16747" t="inlineStr">
        <is>
          <t>Lương:12 Tr - 15 Tr VND</t>
        </is>
      </c>
      <c r="F16747" t="inlineStr">
        <is>
          <t>Hồ Chí MinhAn Giang</t>
        </is>
      </c>
      <c r="G16747" t="inlineStr">
        <is>
          <t>06-04-2026</t>
        </is>
      </c>
      <c r="H16747" t="inlineStr">
        <is>
          <t>06/04/2026</t>
        </is>
      </c>
      <c r="I16747" t="inlineStr">
        <is>
          <t>17/03/2026</t>
        </is>
      </c>
      <c r="J16747" t="inlineStr">
        <is>
          <t>Bán hàng / Kinh doanh</t>
        </is>
      </c>
      <c r="K16747" t="inlineStr">
        <is>
          <t>N/A</t>
        </is>
      </c>
      <c r="L16747" s="8">
        <f>HYPERLINK("https://careerviet.vn/vi/tim-viec-lam/nhan-vien-phat-trien-thi-truong-mien-tay.35C67B62.html","Xem chi tiết")</f>
        <v/>
      </c>
    </row>
    <row r="16748">
      <c r="B16748" s="9" t="n">
        <v>16746</v>
      </c>
      <c r="C16748" s="10" t="inlineStr">
        <is>
          <t>Chuyên viên Quản trị Hiệu suất Vận hành DVKH</t>
        </is>
      </c>
      <c r="D16748" s="10" t="inlineStr">
        <is>
          <t>Ngân Hàng TMCP Sài Gòn - Hà Nội ( SHB )</t>
        </is>
      </c>
      <c r="E16748" s="10" t="inlineStr">
        <is>
          <t>Lương:Cạnh tranh</t>
        </is>
      </c>
      <c r="F16748" s="10" t="inlineStr">
        <is>
          <t>Hà Nội</t>
        </is>
      </c>
      <c r="G16748" s="10" t="inlineStr">
        <is>
          <t>24-03-2026</t>
        </is>
      </c>
      <c r="H16748" s="10" t="inlineStr">
        <is>
          <t>24/03/2026</t>
        </is>
      </c>
      <c r="I16748" s="10" t="inlineStr">
        <is>
          <t>17/03/2026</t>
        </is>
      </c>
      <c r="J16748" s="10" t="inlineStr">
        <is>
          <t>Dịch vụ khách hàng, Ngân hàng</t>
        </is>
      </c>
      <c r="K16748" s="10" t="inlineStr">
        <is>
          <t>null - null Năm</t>
        </is>
      </c>
      <c r="L16748" s="11">
        <f>HYPERLINK("https://careerviet.vn/vi/tim-viec-lam/chuyen-vien-quan-tri-hieu-suat-van-hanh-dvkh.35C68C76.html","Xem chi tiết")</f>
        <v/>
      </c>
      <c r="M16748" s="10" t="n"/>
    </row>
    <row r="16749">
      <c r="B16749" s="7" t="n">
        <v>16747</v>
      </c>
      <c r="C16749" t="inlineStr">
        <is>
          <t>NHÂN VIÊN NHÂN SỰ TỔNG HỢP</t>
        </is>
      </c>
      <c r="D16749" t="inlineStr">
        <is>
          <t>CÔNG TY CỔ PHẦN PHÁT TRIỂN CÔNG NGHỆ TECHPRO</t>
        </is>
      </c>
      <c r="E16749" t="inlineStr">
        <is>
          <t>Lương:14 Tr - 16 Tr VND</t>
        </is>
      </c>
      <c r="F16749" t="inlineStr">
        <is>
          <t>Hồ Chí Minh</t>
        </is>
      </c>
      <c r="G16749" t="inlineStr">
        <is>
          <t>06-04-2026</t>
        </is>
      </c>
      <c r="H16749" t="inlineStr">
        <is>
          <t>06/04/2026</t>
        </is>
      </c>
      <c r="I16749" t="inlineStr">
        <is>
          <t>17/03/2026</t>
        </is>
      </c>
      <c r="J16749" t="inlineStr">
        <is>
          <t>Hành chính / Thư ký, Nhân sự</t>
        </is>
      </c>
      <c r="K16749" t="inlineStr">
        <is>
          <t>1 - 2 Năm</t>
        </is>
      </c>
      <c r="L16749" s="8">
        <f>HYPERLINK("https://careerviet.vn/vi/tim-viec-lam/nhan-vien-nhan-su-tong-hop.35C6B668.html","Xem chi tiết")</f>
        <v/>
      </c>
    </row>
    <row r="16750">
      <c r="B16750" s="9" t="n">
        <v>16748</v>
      </c>
      <c r="C16750" s="10" t="inlineStr">
        <is>
          <t>Trưởng bưu cục</t>
        </is>
      </c>
      <c r="D16750" s="10" t="inlineStr">
        <is>
          <t>Công Ty TNHH BEST Logistics Technology (Việt Nam)</t>
        </is>
      </c>
      <c r="E16750" s="10" t="inlineStr">
        <is>
          <t>Lương:Cạnh tranh</t>
        </is>
      </c>
      <c r="F16750" s="10" t="inlineStr">
        <is>
          <t>Hồ Chí MinhCà MauKiên Giang</t>
        </is>
      </c>
      <c r="G16750" s="10" t="inlineStr">
        <is>
          <t>06-04-2026</t>
        </is>
      </c>
      <c r="H16750" s="10" t="inlineStr">
        <is>
          <t>06/04/2026</t>
        </is>
      </c>
      <c r="I16750" s="10" t="inlineStr">
        <is>
          <t>17/03/2026</t>
        </is>
      </c>
      <c r="J16750" s="10" t="inlineStr">
        <is>
          <t>Dịch vụ khách hàng, Vận chuyển / Giao nhận / Kho vận, Quản lý điều hành</t>
        </is>
      </c>
      <c r="K16750" s="10" t="inlineStr">
        <is>
          <t>1 - 2 Năm</t>
        </is>
      </c>
      <c r="L16750" s="11">
        <f>HYPERLINK("https://careerviet.vn/vi/tim-viec-lam/truong-buu-cuc.35C64AEA.html","Xem chi tiết")</f>
        <v/>
      </c>
      <c r="M16750" s="10" t="n"/>
    </row>
    <row r="16751">
      <c r="B16751" s="7" t="n">
        <v>16749</v>
      </c>
      <c r="C16751" t="inlineStr">
        <is>
          <t>HSE Supervisor/CSR Supervisor</t>
        </is>
      </c>
      <c r="D16751" t="inlineStr">
        <is>
          <t>Công Ty TNHH Coronet Việt Nam</t>
        </is>
      </c>
      <c r="E16751" t="inlineStr">
        <is>
          <t>Lương:Cạnh tranh</t>
        </is>
      </c>
      <c r="F16751" t="inlineStr">
        <is>
          <t>Bến Tre</t>
        </is>
      </c>
      <c r="G16751" t="inlineStr">
        <is>
          <t>06-04-2026</t>
        </is>
      </c>
      <c r="H16751" t="inlineStr">
        <is>
          <t>06/04/2026</t>
        </is>
      </c>
      <c r="I16751" t="inlineStr">
        <is>
          <t>17/03/2026</t>
        </is>
      </c>
      <c r="J16751" t="inlineStr">
        <is>
          <t>Môi trường, Sản xuất / Vận hành sản xuất, An toàn lao động</t>
        </is>
      </c>
      <c r="K16751" t="inlineStr">
        <is>
          <t>2 - 3 Năm</t>
        </is>
      </c>
      <c r="L16751" s="8">
        <f>HYPERLINK("https://careerviet.vn/vi/tim-viec-lam/hse-supervisor-csr-supervisor.35C67A47.html","Xem chi tiết")</f>
        <v/>
      </c>
    </row>
    <row r="16752">
      <c r="B16752" s="9" t="n">
        <v>16750</v>
      </c>
      <c r="C16752" s="10" t="inlineStr">
        <is>
          <t>Chuyên viên Thẩm định Tín dụng - Chi nhánh Đống Đa</t>
        </is>
      </c>
      <c r="D16752" s="10" t="inlineStr">
        <is>
          <t>Indovina Bank Ltd.</t>
        </is>
      </c>
      <c r="E16752" s="10" t="inlineStr">
        <is>
          <t>Lương:Cạnh tranh</t>
        </is>
      </c>
      <c r="F16752" s="10" t="inlineStr">
        <is>
          <t>Hà Nội</t>
        </is>
      </c>
      <c r="G16752" s="10" t="inlineStr">
        <is>
          <t>06-04-2026</t>
        </is>
      </c>
      <c r="H16752" s="10" t="inlineStr">
        <is>
          <t>06/04/2026</t>
        </is>
      </c>
      <c r="I16752" s="10" t="inlineStr">
        <is>
          <t>17/03/2026</t>
        </is>
      </c>
      <c r="J16752" s="10" t="inlineStr">
        <is>
          <t>Dịch vụ khách hàng, Ngân hàng, Tài chính / Đầu tư</t>
        </is>
      </c>
      <c r="K16752" s="10" t="inlineStr">
        <is>
          <t>1 - 2 Năm</t>
        </is>
      </c>
      <c r="L16752" s="11">
        <f>HYPERLINK("https://careerviet.vn/vi/tim-viec-lam/chuyen-vien-tham-dinh-tin-dung-chi-nhanh-dong-da.35C64B5F.html","Xem chi tiết")</f>
        <v/>
      </c>
      <c r="M16752" s="10" t="n"/>
    </row>
    <row r="16753">
      <c r="B16753" s="7" t="n">
        <v>16751</v>
      </c>
      <c r="C16753" t="inlineStr">
        <is>
          <t>Remote Job - Sales Representative</t>
        </is>
      </c>
      <c r="D16753" t="inlineStr">
        <is>
          <t>CÔNG TY TNHH JOB HOUSE</t>
        </is>
      </c>
      <c r="E16753" t="inlineStr">
        <is>
          <t>Lương:20 Tr - 30 Tr VND</t>
        </is>
      </c>
      <c r="F16753" t="inlineStr">
        <is>
          <t>Hồ Chí Minh</t>
        </is>
      </c>
      <c r="G16753" t="inlineStr">
        <is>
          <t>06-04-2026</t>
        </is>
      </c>
      <c r="H16753" t="inlineStr">
        <is>
          <t>06/04/2026</t>
        </is>
      </c>
      <c r="I16753" t="inlineStr">
        <is>
          <t>17/03/2026</t>
        </is>
      </c>
      <c r="J16753" t="inlineStr">
        <is>
          <t>Bán hàng / Kinh doanh, Bán Hàng Kỹ Thuật, Điện / Điện tử / Điện lạnh / Điện công nghiệp</t>
        </is>
      </c>
      <c r="K16753" t="inlineStr">
        <is>
          <t>Trên 3 Năm</t>
        </is>
      </c>
      <c r="L16753" s="8">
        <f>HYPERLINK("https://careerviet.vn/vi/tim-viec-lam/remote-job-sales-representative.35C67B0A.html","Xem chi tiết")</f>
        <v/>
      </c>
    </row>
    <row r="16754">
      <c r="B16754" s="9" t="n">
        <v>16752</v>
      </c>
      <c r="C16754" s="10" t="inlineStr">
        <is>
          <t>CHUYÊN VIÊN VIDEO GRAPHER</t>
        </is>
      </c>
      <c r="D16754" s="10" t="inlineStr">
        <is>
          <t>CÔNG TY TNHH NIPPON INTERIA</t>
        </is>
      </c>
      <c r="E16754" s="10" t="inlineStr">
        <is>
          <t>Lương:13 Tr - 18 Tr VND</t>
        </is>
      </c>
      <c r="F16754" s="10" t="inlineStr">
        <is>
          <t>Hồ Chí Minh</t>
        </is>
      </c>
      <c r="G16754" s="10" t="inlineStr">
        <is>
          <t>5</t>
        </is>
      </c>
      <c r="H16754" s="10" t="inlineStr">
        <is>
          <t>22/03/2026</t>
        </is>
      </c>
      <c r="I16754" s="10" t="inlineStr">
        <is>
          <t>17/03/2026</t>
        </is>
      </c>
      <c r="J16754" s="10" t="inlineStr">
        <is>
          <t>Mỹ thuật / Nghệ thuật / Thiết kế, Quảng cáo / Đối ngoại / Truyền Thông, Tiếp thị / Marketing</t>
        </is>
      </c>
      <c r="K16754" s="10" t="inlineStr">
        <is>
          <t>Trên 2 Năm</t>
        </is>
      </c>
      <c r="L16754" s="11">
        <f>HYPERLINK("https://careerviet.vn/vi/tim-viec-lam/chuyen-vien-video-grapher.35C68C47.html","Xem chi tiết")</f>
        <v/>
      </c>
      <c r="M16754" s="10" t="n"/>
    </row>
    <row r="16755">
      <c r="B16755" s="7" t="n">
        <v>16753</v>
      </c>
      <c r="C16755" t="inlineStr">
        <is>
          <t>Kỹ Thuật Viên Lắp Đặt, Bảo Hành &amp; Sửa Chữa Máy Lọc Nước</t>
        </is>
      </c>
      <c r="D16755" t="inlineStr">
        <is>
          <t>CHI NHÁNH CÔNG TY TNHH CHUNGHO VINA HEALTH SOLUTION TẠI THÀNH PHỐ HỒ CHÍ MINH</t>
        </is>
      </c>
      <c r="E16755" t="inlineStr">
        <is>
          <t>Lương:9 Tr - 12 Tr VND</t>
        </is>
      </c>
      <c r="F16755" t="inlineStr">
        <is>
          <t>Hồ Chí Minh</t>
        </is>
      </c>
      <c r="G16755" t="inlineStr">
        <is>
          <t>06-04-2026</t>
        </is>
      </c>
      <c r="H16755" t="inlineStr">
        <is>
          <t>06/04/2026</t>
        </is>
      </c>
      <c r="I16755" t="inlineStr">
        <is>
          <t>17/03/2026</t>
        </is>
      </c>
      <c r="J16755" t="inlineStr">
        <is>
          <t>Điện / Điện tử / Điện lạnh / Điện công nghiệp, Bảo trì / Sửa chữa</t>
        </is>
      </c>
      <c r="K16755" t="inlineStr">
        <is>
          <t>Lên đến 2 Năm</t>
        </is>
      </c>
      <c r="L16755" s="8">
        <f>HYPERLINK("https://careerviet.vn/vi/tim-viec-lam/ky-thuat-vien-lap-dat-bao-hanh-sua-chua-may-loc-nuoc.35C67AED.html","Xem chi tiết")</f>
        <v/>
      </c>
    </row>
    <row r="16756">
      <c r="B16756" s="9" t="n">
        <v>16754</v>
      </c>
      <c r="C16756" s="10" t="inlineStr">
        <is>
          <t>Nhân viên hành chính nhân sự</t>
        </is>
      </c>
      <c r="D16756" s="10" t="inlineStr">
        <is>
          <t>CÔNG TY TNHH TRÁI CÂY LẠ THỊNH AN</t>
        </is>
      </c>
      <c r="E16756" s="10" t="inlineStr">
        <is>
          <t>Lương:10 Tr - 13 Tr VND</t>
        </is>
      </c>
      <c r="F16756" s="10" t="inlineStr">
        <is>
          <t>Hồ Chí Minh</t>
        </is>
      </c>
      <c r="G16756" s="10" t="inlineStr">
        <is>
          <t>07-04-2026</t>
        </is>
      </c>
      <c r="H16756" s="10" t="inlineStr">
        <is>
          <t>07/04/2026</t>
        </is>
      </c>
      <c r="I16756" s="10" t="inlineStr">
        <is>
          <t>17/03/2026</t>
        </is>
      </c>
      <c r="J16756" s="10" t="inlineStr">
        <is>
          <t>Hành chính / Thư ký, Quản lý điều hành, Nhân sự</t>
        </is>
      </c>
      <c r="K16756" s="10" t="inlineStr">
        <is>
          <t>1 - 2 Năm</t>
        </is>
      </c>
      <c r="L16756" s="11">
        <f>HYPERLINK("https://careerviet.vn/vi/tim-viec-lam/nhan-vien-hanh-chinh-nhan-su.35C6B65F.html","Xem chi tiết")</f>
        <v/>
      </c>
      <c r="M16756" s="10" t="n"/>
    </row>
    <row r="16757">
      <c r="B16757" s="7" t="n">
        <v>16755</v>
      </c>
      <c r="C16757" t="inlineStr">
        <is>
          <t>NHÂN VIÊN KỸ THUẬT KHÚC XẠ ( Optician)  - c2 eyewear</t>
        </is>
      </c>
      <c r="D16757" t="inlineStr">
        <is>
          <t>Công ty TNHH Sản xuất Thương mại &amp; Dịch vụ Hoa Xinh</t>
        </is>
      </c>
      <c r="E16757" t="inlineStr">
        <is>
          <t>Lương:17 Tr - 25 Tr VND</t>
        </is>
      </c>
      <c r="F16757" t="inlineStr">
        <is>
          <t>Hà NộiHồ Chí Minh</t>
        </is>
      </c>
      <c r="G16757" t="inlineStr">
        <is>
          <t>06-04-2026</t>
        </is>
      </c>
      <c r="H16757" t="inlineStr">
        <is>
          <t>06/04/2026</t>
        </is>
      </c>
      <c r="I16757" t="inlineStr">
        <is>
          <t>17/03/2026</t>
        </is>
      </c>
      <c r="J16757" t="inlineStr">
        <is>
          <t>Y tế / Chăm sóc sức khỏe / Thẩm mỹ / Làm đẹp, Bán lẻ / Bán sỉ, Bán hàng / Kinh doanh</t>
        </is>
      </c>
      <c r="K16757" t="inlineStr">
        <is>
          <t>2 - 5 Năm</t>
        </is>
      </c>
      <c r="L16757" s="8">
        <f>HYPERLINK("https://careerviet.vn/vi/tim-viec-lam/nhan-vien-ky-thuat-khuc-xa-optician-c2-eyewear.35C67A0F.html","Xem chi tiết")</f>
        <v/>
      </c>
    </row>
    <row r="16758">
      <c r="B16758" s="9" t="n">
        <v>16756</v>
      </c>
      <c r="C16758" s="10" t="inlineStr">
        <is>
          <t>Business Finance Senior Supervisor</t>
        </is>
      </c>
      <c r="D16758" s="10" t="inlineStr">
        <is>
          <t>Marico South East Asia Corporation</t>
        </is>
      </c>
      <c r="E16758" s="10" t="inlineStr">
        <is>
          <t>Lương:Cạnh tranh</t>
        </is>
      </c>
      <c r="F16758" s="10" t="inlineStr">
        <is>
          <t>Hồ Chí Minh</t>
        </is>
      </c>
      <c r="G16758" s="10" t="inlineStr">
        <is>
          <t>06-04-2026</t>
        </is>
      </c>
      <c r="H16758" s="10" t="inlineStr">
        <is>
          <t>06/04/2026</t>
        </is>
      </c>
      <c r="I16758" s="10" t="inlineStr">
        <is>
          <t>17/03/2026</t>
        </is>
      </c>
      <c r="J16758" s="10" t="inlineStr">
        <is>
          <t>Tài chính / Đầu tư</t>
        </is>
      </c>
      <c r="K16758" s="10" t="inlineStr">
        <is>
          <t>Trên 3 Năm</t>
        </is>
      </c>
      <c r="L16758" s="11">
        <f>HYPERLINK("https://careerviet.vn/vi/tim-viec-lam/business-finance-senior-supervisor.35C67879.html","Xem chi tiết")</f>
        <v/>
      </c>
      <c r="M16758" s="10" t="n"/>
    </row>
    <row r="16759">
      <c r="B16759" s="7" t="n">
        <v>16757</v>
      </c>
      <c r="C16759" t="inlineStr">
        <is>
          <t>Chuyên viên Dịch vụ chứng khoán (THU NHẬP KHÔNG GIỚI HẠN)</t>
        </is>
      </c>
      <c r="D16759" t="inlineStr">
        <is>
          <t>Công ty CP Chứng khoán Alpha</t>
        </is>
      </c>
      <c r="E16759" t="inlineStr">
        <is>
          <t>Lương:Cạnh tranh</t>
        </is>
      </c>
      <c r="F16759" t="inlineStr">
        <is>
          <t>Hồ Chí MinhThanh HóaHà Nội</t>
        </is>
      </c>
      <c r="G16759" t="inlineStr">
        <is>
          <t>06-04-2026</t>
        </is>
      </c>
      <c r="H16759" t="inlineStr">
        <is>
          <t>06/04/2026</t>
        </is>
      </c>
      <c r="I16759" t="inlineStr">
        <is>
          <t>17/03/2026</t>
        </is>
      </c>
      <c r="J16759" t="inlineStr">
        <is>
          <t>Ngân hàng, Chứng khoán, Tài chính / Đầu tư</t>
        </is>
      </c>
      <c r="K16759" t="inlineStr">
        <is>
          <t>1 - 2 Năm</t>
        </is>
      </c>
      <c r="L16759" s="8">
        <f>HYPERLINK("https://careerviet.vn/vi/tim-viec-lam/chuyen-vien-dich-vu-chung-khoan-thu-nhap-khong-gioi-han.35C67B2B.html","Xem chi tiết")</f>
        <v/>
      </c>
    </row>
    <row r="16760">
      <c r="B16760" s="9" t="n">
        <v>16758</v>
      </c>
      <c r="C16760" s="10" t="inlineStr">
        <is>
          <t>CHUYÊN VIÊN TƯ VẤN GIẢI PHÁP NGÀNH MAY</t>
        </is>
      </c>
      <c r="D16760" s="10" t="inlineStr">
        <is>
          <t>VĂN PHÒNG ĐẠI DIỆN JACK TECHNOLOGY CO., LTD. TẠI THÀNH PHỐ HỒ CHÍ MINH</t>
        </is>
      </c>
      <c r="E16760" s="10" t="inlineStr">
        <is>
          <t>Lương:18 Tr - 35 Tr VND</t>
        </is>
      </c>
      <c r="F16760" s="10" t="inlineStr">
        <is>
          <t>Hồ Chí Minh</t>
        </is>
      </c>
      <c r="G16760" s="10" t="inlineStr">
        <is>
          <t>06-04-2026</t>
        </is>
      </c>
      <c r="H16760" s="10" t="inlineStr">
        <is>
          <t>06/04/2026</t>
        </is>
      </c>
      <c r="I16760" s="10" t="inlineStr">
        <is>
          <t>17/03/2026</t>
        </is>
      </c>
      <c r="J16760" s="10" t="inlineStr">
        <is>
          <t>Sản xuất / Vận hành sản xuất, Dệt may / Da giày / Thời trang, Quản lý chất lượng (QA/QC)</t>
        </is>
      </c>
      <c r="K16760" s="10" t="inlineStr">
        <is>
          <t>2 - 5 Năm</t>
        </is>
      </c>
      <c r="L16760" s="11">
        <f>HYPERLINK("https://careerviet.vn/vi/tim-viec-lam/chuyen-vien-tu-van-giai-phap-nganh-may.35C67BCA.html","Xem chi tiết")</f>
        <v/>
      </c>
      <c r="M16760" s="10" t="n"/>
    </row>
    <row r="16761">
      <c r="B16761" s="7" t="n">
        <v>16759</v>
      </c>
      <c r="C16761" t="inlineStr">
        <is>
          <t>Chuyên viên Kiểm soát nội bộ (phụ trách Thanh quyết toán &amp; Đấu thầu)</t>
        </is>
      </c>
      <c r="D16761" t="inlineStr">
        <is>
          <t>CÔNG TY CỔ PHẦN TẬP ĐOÀN ONSEN FUJI</t>
        </is>
      </c>
      <c r="E16761" t="inlineStr">
        <is>
          <t>Lương:25 Tr - 30 Tr VND</t>
        </is>
      </c>
      <c r="F16761" t="inlineStr">
        <is>
          <t>Hà Nội</t>
        </is>
      </c>
      <c r="G16761" t="inlineStr">
        <is>
          <t>06-04-2026</t>
        </is>
      </c>
      <c r="H16761" t="inlineStr">
        <is>
          <t>06/04/2026</t>
        </is>
      </c>
      <c r="I16761" t="inlineStr">
        <is>
          <t>17/03/2026</t>
        </is>
      </c>
      <c r="J16761" t="inlineStr">
        <is>
          <t>Kế toán / Kiểm toán, Xây dựng, Bất động sản</t>
        </is>
      </c>
      <c r="K16761" t="inlineStr">
        <is>
          <t>3 - 5 Năm</t>
        </is>
      </c>
      <c r="L16761" s="8">
        <f>HYPERLINK("https://careerviet.vn/vi/tim-viec-lam/chuyen-vien-kiem-soat-noi-bo-phu-trach-thanh-quyet-toan-dau-thau.35C67BAB.html","Xem chi tiết")</f>
        <v/>
      </c>
    </row>
    <row r="16762">
      <c r="B16762" s="9" t="n">
        <v>16760</v>
      </c>
      <c r="C16762" s="10" t="inlineStr">
        <is>
          <t>Nhân viên điều dưỡng sài gòn</t>
        </is>
      </c>
      <c r="D16762" s="10" t="inlineStr">
        <is>
          <t>Viện Thẩm mỹ y khoa Dr Hải Lê</t>
        </is>
      </c>
      <c r="E16762" s="10" t="inlineStr">
        <is>
          <t>Lương:10 Tr - 15 Tr VND</t>
        </is>
      </c>
      <c r="F16762" s="10" t="inlineStr">
        <is>
          <t>Hồ Chí Minh</t>
        </is>
      </c>
      <c r="G16762" s="10" t="inlineStr">
        <is>
          <t>06-04-2026</t>
        </is>
      </c>
      <c r="H16762" s="10" t="inlineStr">
        <is>
          <t>06/04/2026</t>
        </is>
      </c>
      <c r="I16762" s="10" t="inlineStr">
        <is>
          <t>17/03/2026</t>
        </is>
      </c>
      <c r="J16762" s="10" t="inlineStr">
        <is>
          <t>Y tế / Chăm sóc sức khỏe / Thẩm mỹ / Làm đẹp, Dịch vụ khách hàng, Dược phẩm/ Hóa Mỹ Phẩm</t>
        </is>
      </c>
      <c r="K16762" s="10" t="inlineStr">
        <is>
          <t>2 - 5 Năm</t>
        </is>
      </c>
      <c r="L16762" s="11">
        <f>HYPERLINK("https://careerviet.vn/vi/tim-viec-lam/nhan-vien-dieu-duong-sai-gon.35C67B4C.html","Xem chi tiết")</f>
        <v/>
      </c>
      <c r="M16762" s="10" t="n"/>
    </row>
    <row r="16763">
      <c r="B16763" s="7" t="n">
        <v>16761</v>
      </c>
      <c r="C16763" t="inlineStr">
        <is>
          <t>Nhân viên tạp vụ</t>
        </is>
      </c>
      <c r="D16763" t="inlineStr">
        <is>
          <t>Viện Thẩm mỹ y khoa Dr Hải Lê</t>
        </is>
      </c>
      <c r="E16763" t="inlineStr">
        <is>
          <t>Lương:8 Tr - 9 Tr VND</t>
        </is>
      </c>
      <c r="F16763" t="inlineStr">
        <is>
          <t>Hà Nội</t>
        </is>
      </c>
      <c r="G16763" t="inlineStr">
        <is>
          <t>06-04-2026</t>
        </is>
      </c>
      <c r="H16763" t="inlineStr">
        <is>
          <t>06/04/2026</t>
        </is>
      </c>
      <c r="I16763" t="inlineStr">
        <is>
          <t>17/03/2026</t>
        </is>
      </c>
      <c r="J16763" t="inlineStr">
        <is>
          <t>Y tế / Chăm sóc sức khỏe / Thẩm mỹ / Làm đẹp, Lao động phổ thông, An Ninh / Bảo Vệ</t>
        </is>
      </c>
      <c r="K16763" t="inlineStr">
        <is>
          <t>N/A</t>
        </is>
      </c>
      <c r="L16763" s="8">
        <f>HYPERLINK("https://careerviet.vn/vi/tim-viec-lam/nhan-vien-tap-vu.35C67B31.html","Xem chi tiết")</f>
        <v/>
      </c>
    </row>
    <row r="16764">
      <c r="B16764" s="9" t="n">
        <v>16762</v>
      </c>
      <c r="C16764" s="10" t="inlineStr">
        <is>
          <t>Application Coordinator</t>
        </is>
      </c>
      <c r="D16764" s="10" t="inlineStr">
        <is>
          <t>Savills Vietnam</t>
        </is>
      </c>
      <c r="E16764" s="10" t="inlineStr">
        <is>
          <t>Lương:Cạnh tranh</t>
        </is>
      </c>
      <c r="F16764" s="10" t="inlineStr">
        <is>
          <t>Hồ Chí Minh</t>
        </is>
      </c>
      <c r="G16764" s="10" t="inlineStr">
        <is>
          <t>07-04-2026</t>
        </is>
      </c>
      <c r="H16764" s="10" t="inlineStr">
        <is>
          <t>07/04/2026</t>
        </is>
      </c>
      <c r="I16764" s="10" t="inlineStr">
        <is>
          <t>17/03/2026</t>
        </is>
      </c>
      <c r="J16764" s="10" t="inlineStr">
        <is>
          <t>Bất động sản</t>
        </is>
      </c>
      <c r="K16764" s="10" t="inlineStr">
        <is>
          <t>1 - 2 Năm</t>
        </is>
      </c>
      <c r="L16764" s="11">
        <f>HYPERLINK("https://careerviet.vn/vi/tim-viec-lam/application-coordinator.35C64E1D.html","Xem chi tiết")</f>
        <v/>
      </c>
      <c r="M16764" s="10" t="n"/>
    </row>
    <row r="16765">
      <c r="B16765" s="7" t="n">
        <v>16763</v>
      </c>
      <c r="C16765" t="inlineStr">
        <is>
          <t>NHÂN VIÊN KINH DOANH - KHU VỰC CẦN THƠ</t>
        </is>
      </c>
      <c r="D16765" t="inlineStr">
        <is>
          <t>CÔNG TY TNHH CESCO VIỆT NAM</t>
        </is>
      </c>
      <c r="E16765" t="inlineStr">
        <is>
          <t>Lương:10 Tr - 13 Tr VND</t>
        </is>
      </c>
      <c r="F16765" t="inlineStr">
        <is>
          <t>Cần Thơ</t>
        </is>
      </c>
      <c r="G16765" t="inlineStr">
        <is>
          <t>06-04-2026</t>
        </is>
      </c>
      <c r="H16765" t="inlineStr">
        <is>
          <t>06/04/2026</t>
        </is>
      </c>
      <c r="I16765" t="inlineStr">
        <is>
          <t>17/03/2026</t>
        </is>
      </c>
      <c r="J16765" t="inlineStr">
        <is>
          <t>Bán lẻ / Bán sỉ, Bán hàng / Kinh doanh, Bán Hàng Kỹ Thuật</t>
        </is>
      </c>
      <c r="K16765" t="inlineStr">
        <is>
          <t>3 - 5 Năm</t>
        </is>
      </c>
      <c r="L16765" s="8">
        <f>HYPERLINK("https://careerviet.vn/vi/tim-viec-lam/nhan-vien-kinh-doanh-khu-vuc-can-tho.35C64BDF.html","Xem chi tiết")</f>
        <v/>
      </c>
    </row>
    <row r="16766">
      <c r="B16766" s="9" t="n">
        <v>16764</v>
      </c>
      <c r="C16766" s="10" t="inlineStr">
        <is>
          <t>Chuyên Viên Thanh Tra Xây Dựng</t>
        </is>
      </c>
      <c r="D16766" s="10" t="inlineStr">
        <is>
          <t>CÔNG TY CỔ PHẦN TẬP ĐOÀN ONSEN FUJI</t>
        </is>
      </c>
      <c r="E16766" s="10" t="inlineStr">
        <is>
          <t>Lương:22 Tr - 30 Tr VND</t>
        </is>
      </c>
      <c r="F16766" s="10" t="inlineStr">
        <is>
          <t>Hà Nội</t>
        </is>
      </c>
      <c r="G16766" s="10" t="inlineStr">
        <is>
          <t>06-04-2026</t>
        </is>
      </c>
      <c r="H16766" s="10" t="inlineStr">
        <is>
          <t>06/04/2026</t>
        </is>
      </c>
      <c r="I16766" s="10" t="inlineStr">
        <is>
          <t>17/03/2026</t>
        </is>
      </c>
      <c r="J16766" s="10" t="inlineStr">
        <is>
          <t>Kiến trúc, Xây dựng, Bất động sản</t>
        </is>
      </c>
      <c r="K16766" s="10" t="inlineStr">
        <is>
          <t>3 - 5 Năm</t>
        </is>
      </c>
      <c r="L16766" s="11">
        <f>HYPERLINK("https://careerviet.vn/vi/tim-viec-lam/chuyen-vien-thanh-tra-xay-dung.35C67B6D.html","Xem chi tiết")</f>
        <v/>
      </c>
      <c r="M16766" s="10" t="n"/>
    </row>
    <row r="16767">
      <c r="B16767" s="7" t="n">
        <v>16765</v>
      </c>
      <c r="C16767" t="inlineStr">
        <is>
          <t>Senior Android Developer - Khối Ngân hàng Số</t>
        </is>
      </c>
      <c r="D16767" t="inlineStr">
        <is>
          <t>Ngân Hàng TMCP Sài Gòn - Hà Nội ( SHB )</t>
        </is>
      </c>
      <c r="E16767" t="inlineStr">
        <is>
          <t>Lương:Cạnh tranh</t>
        </is>
      </c>
      <c r="F16767" t="inlineStr">
        <is>
          <t>Hà Nội</t>
        </is>
      </c>
      <c r="G16767" t="inlineStr">
        <is>
          <t>24-03-2026</t>
        </is>
      </c>
      <c r="H16767" t="inlineStr">
        <is>
          <t>24/03/2026</t>
        </is>
      </c>
      <c r="I16767" t="inlineStr">
        <is>
          <t>17/03/2026</t>
        </is>
      </c>
      <c r="J16767" t="inlineStr">
        <is>
          <t>CNTT - Phần mềm</t>
        </is>
      </c>
      <c r="K16767" t="inlineStr">
        <is>
          <t>null - null Năm</t>
        </is>
      </c>
      <c r="L16767" s="8">
        <f>HYPERLINK("https://careerviet.vn/vi/tim-viec-lam/senior-android-developer-khoi-ngan-hang-so.35C68C90.html","Xem chi tiết")</f>
        <v/>
      </c>
    </row>
    <row r="16768">
      <c r="B16768" s="9" t="n">
        <v>16766</v>
      </c>
      <c r="C16768" s="10" t="inlineStr">
        <is>
          <t>Nhân viên Sale Kinh Doanh Xuất Khẩu (B2B)</t>
        </is>
      </c>
      <c r="D16768" s="10" t="inlineStr">
        <is>
          <t>CÔNG TY CỔ PHẦN SẢN XUẤT TÓC APOGROUP</t>
        </is>
      </c>
      <c r="E16768" s="10" t="inlineStr">
        <is>
          <t>Lương:Cạnh tranh</t>
        </is>
      </c>
      <c r="F16768" s="10" t="inlineStr">
        <is>
          <t>Hà Nội</t>
        </is>
      </c>
      <c r="G16768" s="10" t="inlineStr">
        <is>
          <t>06-04-2026</t>
        </is>
      </c>
      <c r="H16768" s="10" t="inlineStr">
        <is>
          <t>06/04/2026</t>
        </is>
      </c>
      <c r="I16768" s="10" t="inlineStr">
        <is>
          <t>17/03/2026</t>
        </is>
      </c>
      <c r="J16768" s="10" t="inlineStr">
        <is>
          <t>Bán hàng / Kinh doanh, Xuất nhập khẩu</t>
        </is>
      </c>
      <c r="K16768" s="10" t="inlineStr">
        <is>
          <t>Chưa có kinh nghiệm</t>
        </is>
      </c>
      <c r="L16768" s="11">
        <f>HYPERLINK("https://careerviet.vn/vi/tim-viec-lam/nhan-vien-sale-kinh-doanh-xuat-khau-b2b.35C67BC6.html","Xem chi tiết")</f>
        <v/>
      </c>
      <c r="M16768" s="10" t="n"/>
    </row>
    <row r="16769">
      <c r="B16769" s="7" t="n">
        <v>16767</v>
      </c>
      <c r="C16769" t="inlineStr">
        <is>
          <t>Kỹ sư QS</t>
        </is>
      </c>
      <c r="D16769" t="inlineStr">
        <is>
          <t>CÔNG TY CỔ PHẨN ỨNG DỤNG VÀ CHUYỂN GIAO CÔNG NGHỆ XÂY DỰNG (CJSC)</t>
        </is>
      </c>
      <c r="E16769" t="inlineStr">
        <is>
          <t>Lương:16 Tr - 20 Tr VND</t>
        </is>
      </c>
      <c r="F16769" t="inlineStr">
        <is>
          <t>Hà Nội</t>
        </is>
      </c>
      <c r="G16769" t="inlineStr">
        <is>
          <t>06-04-2026</t>
        </is>
      </c>
      <c r="H16769" t="inlineStr">
        <is>
          <t>06/04/2026</t>
        </is>
      </c>
      <c r="I16769" t="inlineStr">
        <is>
          <t>17/03/2026</t>
        </is>
      </c>
      <c r="J16769" t="inlineStr">
        <is>
          <t>Xây dựng</t>
        </is>
      </c>
      <c r="K16769" t="inlineStr">
        <is>
          <t>Trên 3 Năm</t>
        </is>
      </c>
      <c r="L16769" s="8">
        <f>HYPERLINK("https://careerviet.vn/vi/tim-viec-lam/ky-su-qs.35C67C00.html","Xem chi tiết")</f>
        <v/>
      </c>
    </row>
    <row r="16770">
      <c r="B16770" s="9" t="n">
        <v>16768</v>
      </c>
      <c r="C16770" s="10" t="inlineStr">
        <is>
          <t>Kỹ sư vật liệu bộ phận R&amp;D</t>
        </is>
      </c>
      <c r="D16770" s="10" t="inlineStr">
        <is>
          <t>CÔNG TY TNHH THƯƠNG MẠI KIM THỊNH</t>
        </is>
      </c>
      <c r="E16770" s="10" t="inlineStr">
        <is>
          <t>Lương:Trên 12 Tr VND</t>
        </is>
      </c>
      <c r="F16770" s="10" t="inlineStr">
        <is>
          <t>Hồ Chí Minh</t>
        </is>
      </c>
      <c r="G16770" s="10" t="inlineStr">
        <is>
          <t>06-04-2026</t>
        </is>
      </c>
      <c r="H16770" s="10" t="inlineStr">
        <is>
          <t>06/04/2026</t>
        </is>
      </c>
      <c r="I16770" s="10" t="inlineStr">
        <is>
          <t>17/03/2026</t>
        </is>
      </c>
      <c r="J16770" s="10" t="inlineStr">
        <is>
          <t>Cơ khí / Ô tô / Tự động hóa, Điện / Điện tử / Điện lạnh / Điện công nghiệp, Bảo trì / Sửa chữa</t>
        </is>
      </c>
      <c r="K16770" s="10" t="inlineStr">
        <is>
          <t>Trên 2 Năm</t>
        </is>
      </c>
      <c r="L16770" s="11">
        <f>HYPERLINK("https://careerviet.vn/vi/tim-viec-lam/ky-su-vat-lieu-bo-phan-r-d.35C64AA7.html","Xem chi tiết")</f>
        <v/>
      </c>
      <c r="M16770" s="10" t="n"/>
    </row>
    <row r="16771">
      <c r="B16771" s="7" t="n">
        <v>16769</v>
      </c>
      <c r="C16771" t="inlineStr">
        <is>
          <t>Thư ký y khoa</t>
        </is>
      </c>
      <c r="D16771" t="inlineStr">
        <is>
          <t>CÔNG TY CỔ PHẦN GIẢI PHÁP GENE - GENE SOLUTIONS</t>
        </is>
      </c>
      <c r="E16771" t="inlineStr">
        <is>
          <t>Lương:Cạnh tranh</t>
        </is>
      </c>
      <c r="F16771" t="inlineStr">
        <is>
          <t>Hà Nội</t>
        </is>
      </c>
      <c r="G16771" t="inlineStr">
        <is>
          <t>06-04-2026</t>
        </is>
      </c>
      <c r="H16771" t="inlineStr">
        <is>
          <t>06/04/2026</t>
        </is>
      </c>
      <c r="I16771" t="inlineStr">
        <is>
          <t>17/03/2026</t>
        </is>
      </c>
      <c r="J16771" t="inlineStr">
        <is>
          <t>Dược phẩm/ Hóa Mỹ Phẩm, Y tế / Chăm sóc sức khỏe / Thẩm mỹ / Làm đẹp, Hành chính / Thư ký</t>
        </is>
      </c>
      <c r="K16771" t="inlineStr">
        <is>
          <t>N/A</t>
        </is>
      </c>
      <c r="L16771" s="8">
        <f>HYPERLINK("https://careerviet.vn/vi/tim-viec-lam/thu-ky-y-khoa.35C67BD8.html","Xem chi tiết")</f>
        <v/>
      </c>
    </row>
    <row r="16772">
      <c r="B16772" s="9" t="n">
        <v>16770</v>
      </c>
      <c r="C16772" s="10" t="inlineStr">
        <is>
          <t>Senior Recruitment Consultant (ESS)</t>
        </is>
      </c>
      <c r="D16772" s="10" t="inlineStr">
        <is>
          <t>Cổ Phần Kết Nối Nhân Tài - Talentnet Corporation</t>
        </is>
      </c>
      <c r="E16772" s="10" t="inlineStr">
        <is>
          <t>Lương:Cạnh tranh</t>
        </is>
      </c>
      <c r="F16772" s="10" t="inlineStr">
        <is>
          <t>Hồ Chí Minh</t>
        </is>
      </c>
      <c r="G16772" s="10" t="inlineStr">
        <is>
          <t>06-04-2026</t>
        </is>
      </c>
      <c r="H16772" s="10" t="inlineStr">
        <is>
          <t>06/04/2026</t>
        </is>
      </c>
      <c r="I16772" s="10" t="inlineStr">
        <is>
          <t>17/03/2026</t>
        </is>
      </c>
      <c r="J16772" s="10" t="inlineStr">
        <is>
          <t>Nhân sự</t>
        </is>
      </c>
      <c r="K16772" s="10" t="inlineStr">
        <is>
          <t>3 - 5 Năm</t>
        </is>
      </c>
      <c r="L16772" s="11">
        <f>HYPERLINK("https://careerviet.vn/vi/tim-viec-lam/senior-recruitment-consultant-ess.35C67BB1.html","Xem chi tiết")</f>
        <v/>
      </c>
      <c r="M16772" s="10" t="n"/>
    </row>
    <row r="16773">
      <c r="B16773" s="7" t="n">
        <v>16771</v>
      </c>
      <c r="C16773" t="inlineStr">
        <is>
          <t>NHÓM TRƯỞNG BỘ PHẬN MUA HÀNG</t>
        </is>
      </c>
      <c r="D16773" t="inlineStr">
        <is>
          <t>Công ty TNHH AOBA Việt Nam</t>
        </is>
      </c>
      <c r="E16773" t="inlineStr">
        <is>
          <t>Lương:15 Tr - 20 Tr VND</t>
        </is>
      </c>
      <c r="F16773" t="inlineStr">
        <is>
          <t>Hưng Yên</t>
        </is>
      </c>
      <c r="G16773" t="inlineStr">
        <is>
          <t>06-04-2026</t>
        </is>
      </c>
      <c r="H16773" t="inlineStr">
        <is>
          <t>06/04/2026</t>
        </is>
      </c>
      <c r="I16773" t="inlineStr">
        <is>
          <t>17/03/2026</t>
        </is>
      </c>
      <c r="J16773" t="inlineStr">
        <is>
          <t>Thu mua / Vật tư</t>
        </is>
      </c>
      <c r="K16773" t="inlineStr">
        <is>
          <t>3 - 10 Năm</t>
        </is>
      </c>
      <c r="L16773" s="8">
        <f>HYPERLINK("https://careerviet.vn/vi/tim-viec-lam/nhom-truong-bo-phan-mua-hang.35C67A5E.html","Xem chi tiết")</f>
        <v/>
      </c>
    </row>
    <row r="16774">
      <c r="B16774" s="9" t="n">
        <v>16772</v>
      </c>
      <c r="C16774" s="10" t="inlineStr">
        <is>
          <t>[Đồng Nai] Sales Supervisor/ Giám Sát Bán Hàng Kênh GT</t>
        </is>
      </c>
      <c r="D16774" s="10" t="inlineStr">
        <is>
          <t>Công Ty Cổ Phần Diana Unicharm</t>
        </is>
      </c>
      <c r="E16774" s="10" t="inlineStr">
        <is>
          <t>Lương:Cạnh tranh</t>
        </is>
      </c>
      <c r="F16774" s="10" t="inlineStr">
        <is>
          <t>Đồng Nai</t>
        </is>
      </c>
      <c r="G16774" s="10" t="inlineStr">
        <is>
          <t>06-04-2026</t>
        </is>
      </c>
      <c r="H16774" s="10" t="inlineStr">
        <is>
          <t>06/04/2026</t>
        </is>
      </c>
      <c r="I16774" s="10" t="inlineStr">
        <is>
          <t>17/03/2026</t>
        </is>
      </c>
      <c r="J16774" s="10" t="inlineStr">
        <is>
          <t>Bán lẻ / Bán sỉ, Bán hàng / Kinh doanh, Hàng gia dụng / Chăm sóc cá nhân</t>
        </is>
      </c>
      <c r="K16774" s="10" t="inlineStr">
        <is>
          <t>3 - 5 Năm</t>
        </is>
      </c>
      <c r="L16774" s="11">
        <f>HYPERLINK("https://careerviet.vn/vi/tim-viec-lam/dong-nai-sales-supervisor-giam-sat-ban-hang-kenh-gt.35C67BB9.html","Xem chi tiết")</f>
        <v/>
      </c>
      <c r="M16774" s="10" t="n"/>
    </row>
    <row r="16775">
      <c r="B16775" s="7" t="n">
        <v>16773</v>
      </c>
      <c r="C16775" t="inlineStr">
        <is>
          <t>Kỹ sư vận hành Hệ thống xử lý nước thải</t>
        </is>
      </c>
      <c r="D16775" t="inlineStr">
        <is>
          <t>Bảo mật</t>
        </is>
      </c>
      <c r="E16775" t="inlineStr">
        <is>
          <t>Lương:10 Tr - 15 Tr VND</t>
        </is>
      </c>
      <c r="F16775" t="inlineStr">
        <is>
          <t>Bình Dương</t>
        </is>
      </c>
      <c r="G16775" t="inlineStr">
        <is>
          <t>06-04-2026</t>
        </is>
      </c>
      <c r="H16775" t="inlineStr">
        <is>
          <t>06/04/2026</t>
        </is>
      </c>
      <c r="I16775" t="inlineStr">
        <is>
          <t>17/03/2026</t>
        </is>
      </c>
      <c r="J16775" t="inlineStr">
        <is>
          <t>Sản xuất / Vận hành sản xuất</t>
        </is>
      </c>
      <c r="K16775" t="inlineStr">
        <is>
          <t>2 - 3 Năm</t>
        </is>
      </c>
      <c r="L16775" s="8">
        <f>HYPERLINK("https://careerviet.vn/vi/tim-viec-lam/ky-su-van-hanh-he-thong-xu-ly-nuoc-thai.35C679B9.html","Xem chi tiết")</f>
        <v/>
      </c>
    </row>
    <row r="16776">
      <c r="B16776" s="9" t="n">
        <v>16774</v>
      </c>
      <c r="C16776" s="10" t="inlineStr">
        <is>
          <t>Chuyên viên tài chính</t>
        </is>
      </c>
      <c r="D16776" s="10" t="inlineStr">
        <is>
          <t>Công Ty Cổ Phần Xây Dựng CDC</t>
        </is>
      </c>
      <c r="E16776" s="10" t="inlineStr">
        <is>
          <t>Lương:11 Tr - 17 Tr VND</t>
        </is>
      </c>
      <c r="F16776" s="10" t="inlineStr">
        <is>
          <t>Hà Nội</t>
        </is>
      </c>
      <c r="G16776" s="10" t="inlineStr">
        <is>
          <t>06-04-2026</t>
        </is>
      </c>
      <c r="H16776" s="10" t="inlineStr">
        <is>
          <t>06/04/2026</t>
        </is>
      </c>
      <c r="I16776" s="10" t="inlineStr">
        <is>
          <t>17/03/2026</t>
        </is>
      </c>
      <c r="J16776" s="10" t="inlineStr">
        <is>
          <t>Tài chính / Đầu tư</t>
        </is>
      </c>
      <c r="K16776" s="10" t="inlineStr">
        <is>
          <t>1 - 3 Năm</t>
        </is>
      </c>
      <c r="L16776" s="11">
        <f>HYPERLINK("https://careerviet.vn/vi/tim-viec-lam/chuyen-vien-tai-chinh.35C67BA5.html","Xem chi tiết")</f>
        <v/>
      </c>
      <c r="M16776" s="10" t="n"/>
    </row>
    <row r="16777">
      <c r="B16777" s="7" t="n">
        <v>16775</v>
      </c>
      <c r="C16777" t="inlineStr">
        <is>
          <t>Product Development Coordinator</t>
        </is>
      </c>
      <c r="D16777" t="inlineStr">
        <is>
          <t>Rochdale Spears Co., Ltd.</t>
        </is>
      </c>
      <c r="E16777" t="inlineStr">
        <is>
          <t>Lương:Cạnh tranh</t>
        </is>
      </c>
      <c r="F16777" t="inlineStr">
        <is>
          <t>Bình Dương</t>
        </is>
      </c>
      <c r="G16777" t="inlineStr">
        <is>
          <t>06-04-2026</t>
        </is>
      </c>
      <c r="H16777" t="inlineStr">
        <is>
          <t>06/04/2026</t>
        </is>
      </c>
      <c r="I16777" t="inlineStr">
        <is>
          <t>17/03/2026</t>
        </is>
      </c>
      <c r="J16777" t="inlineStr">
        <is>
          <t>Nội ngoại thất, Sản xuất / Vận hành sản xuất, Đồ gỗ</t>
        </is>
      </c>
      <c r="K16777" t="inlineStr">
        <is>
          <t>2 - 4 Năm</t>
        </is>
      </c>
      <c r="L16777" s="8">
        <f>HYPERLINK("https://careerviet.vn/vi/tim-viec-lam/product-development-coordinator.35C679A1.html","Xem chi tiết")</f>
        <v/>
      </c>
    </row>
    <row r="16778">
      <c r="B16778" s="9" t="n">
        <v>16776</v>
      </c>
      <c r="C16778" s="10" t="inlineStr">
        <is>
          <t>[Tây Ninh] Sales Supervisor/ Giám Sát Bán Hàng Kênh GT</t>
        </is>
      </c>
      <c r="D16778" s="10" t="inlineStr">
        <is>
          <t>Công Ty Cổ Phần Diana Unicharm</t>
        </is>
      </c>
      <c r="E16778" s="10" t="inlineStr">
        <is>
          <t>Lương:Cạnh tranh</t>
        </is>
      </c>
      <c r="F16778" s="10" t="inlineStr">
        <is>
          <t>Tây Ninh</t>
        </is>
      </c>
      <c r="G16778" s="10" t="inlineStr">
        <is>
          <t>06-04-2026</t>
        </is>
      </c>
      <c r="H16778" s="10" t="inlineStr">
        <is>
          <t>06/04/2026</t>
        </is>
      </c>
      <c r="I16778" s="10" t="inlineStr">
        <is>
          <t>17/03/2026</t>
        </is>
      </c>
      <c r="J16778" s="10" t="inlineStr">
        <is>
          <t>Bán lẻ / Bán sỉ, Bán hàng / Kinh doanh, Hàng gia dụng / Chăm sóc cá nhân</t>
        </is>
      </c>
      <c r="K16778" s="10" t="inlineStr">
        <is>
          <t>3 - 5 Năm</t>
        </is>
      </c>
      <c r="L16778" s="11">
        <f>HYPERLINK("https://careerviet.vn/vi/tim-viec-lam/tay-ninh-sales-supervisor-giam-sat-ban-hang-kenh-gt.35C67B66.html","Xem chi tiết")</f>
        <v/>
      </c>
      <c r="M16778" s="10" t="n"/>
    </row>
    <row r="16779">
      <c r="B16779" s="7" t="n">
        <v>16777</v>
      </c>
      <c r="C16779" t="inlineStr">
        <is>
          <t>[Đà Nẵng] Sales Supervisor/ Giám Sát Bán Hàng Kênh GT</t>
        </is>
      </c>
      <c r="D16779" t="inlineStr">
        <is>
          <t>Công Ty Cổ Phần Diana Unicharm</t>
        </is>
      </c>
      <c r="E16779" t="inlineStr">
        <is>
          <t>Lương:Cạnh tranh</t>
        </is>
      </c>
      <c r="F16779" t="inlineStr">
        <is>
          <t>Đà Nẵng</t>
        </is>
      </c>
      <c r="G16779" t="inlineStr">
        <is>
          <t>06-04-2026</t>
        </is>
      </c>
      <c r="H16779" t="inlineStr">
        <is>
          <t>06/04/2026</t>
        </is>
      </c>
      <c r="I16779" t="inlineStr">
        <is>
          <t>17/03/2026</t>
        </is>
      </c>
      <c r="J16779" t="inlineStr">
        <is>
          <t>Bán lẻ / Bán sỉ, Bán hàng / Kinh doanh, Hàng gia dụng / Chăm sóc cá nhân</t>
        </is>
      </c>
      <c r="K16779" t="inlineStr">
        <is>
          <t>2 - 5 Năm</t>
        </is>
      </c>
      <c r="L16779" s="8">
        <f>HYPERLINK("https://careerviet.vn/vi/tim-viec-lam/da-nang-sales-supervisor-giam-sat-ban-hang-kenh-gt.35C67B16.html","Xem chi tiết")</f>
        <v/>
      </c>
    </row>
    <row r="16780">
      <c r="B16780" s="9" t="n">
        <v>16778</v>
      </c>
      <c r="C16780" s="10" t="inlineStr">
        <is>
          <t>NHÂN VIÊN KINH DOANH XUẤT KHẨU</t>
        </is>
      </c>
      <c r="D16780" s="10" t="inlineStr">
        <is>
          <t>Tập Đoàn An Phát Holdings</t>
        </is>
      </c>
      <c r="E16780" s="10" t="inlineStr">
        <is>
          <t>Lương:8 Tr - 15 Tr VND</t>
        </is>
      </c>
      <c r="F16780" s="10" t="inlineStr">
        <is>
          <t>Hà Nội</t>
        </is>
      </c>
      <c r="G16780" s="10" t="inlineStr">
        <is>
          <t>06-04-2026</t>
        </is>
      </c>
      <c r="H16780" s="10" t="inlineStr">
        <is>
          <t>06/04/2026</t>
        </is>
      </c>
      <c r="I16780" s="10" t="inlineStr">
        <is>
          <t>17/03/2026</t>
        </is>
      </c>
      <c r="J16780" s="10" t="inlineStr">
        <is>
          <t>Bán hàng / Kinh doanh</t>
        </is>
      </c>
      <c r="K16780" s="10" t="inlineStr">
        <is>
          <t>1 - 2 Năm</t>
        </is>
      </c>
      <c r="L16780" s="11">
        <f>HYPERLINK("https://careerviet.vn/vi/tim-viec-lam/nhan-vien-kinh-doanh-xuat-khau.35C67402.html","Xem chi tiết")</f>
        <v/>
      </c>
      <c r="M16780" s="10" t="n"/>
    </row>
    <row r="16781">
      <c r="B16781" s="7" t="n">
        <v>16779</v>
      </c>
      <c r="C16781" t="inlineStr">
        <is>
          <t>Chuyên viên đấu thầu</t>
        </is>
      </c>
      <c r="D16781" t="inlineStr">
        <is>
          <t>Công Ty Cổ Phần Xây Dựng CDC</t>
        </is>
      </c>
      <c r="E16781" t="inlineStr">
        <is>
          <t>Lương:14 Tr - 18 Tr VND</t>
        </is>
      </c>
      <c r="F16781" t="inlineStr">
        <is>
          <t>Hà Nội</t>
        </is>
      </c>
      <c r="G16781" t="inlineStr">
        <is>
          <t>06-04-2026</t>
        </is>
      </c>
      <c r="H16781" t="inlineStr">
        <is>
          <t>06/04/2026</t>
        </is>
      </c>
      <c r="I16781" t="inlineStr">
        <is>
          <t>17/03/2026</t>
        </is>
      </c>
      <c r="J16781" t="inlineStr">
        <is>
          <t>Xây dựng</t>
        </is>
      </c>
      <c r="K16781" t="inlineStr">
        <is>
          <t>2 - 5 Năm</t>
        </is>
      </c>
      <c r="L16781" s="8">
        <f>HYPERLINK("https://careerviet.vn/vi/tim-viec-lam/chuyen-vien-dau-thau.35C67B9E.html","Xem chi tiết")</f>
        <v/>
      </c>
    </row>
    <row r="16782">
      <c r="B16782" s="9" t="n">
        <v>16780</v>
      </c>
      <c r="C16782" s="10" t="inlineStr">
        <is>
          <t>Chuyên Viên Kế Toán Hành Chính tại Đồng Tháp</t>
        </is>
      </c>
      <c r="D16782" s="10" t="inlineStr">
        <is>
          <t>Tổng Công Ty Cổ Phần Bảo Hiểm Ngân Hàng TMCP Công Thương Việt Nam</t>
        </is>
      </c>
      <c r="E16782" s="10" t="inlineStr">
        <is>
          <t>Lương:10 Tr - 12 Tr VND</t>
        </is>
      </c>
      <c r="F16782" s="10" t="inlineStr">
        <is>
          <t>Đồng Tháp</t>
        </is>
      </c>
      <c r="G16782" s="10" t="inlineStr">
        <is>
          <t>06-04-2026</t>
        </is>
      </c>
      <c r="H16782" s="10" t="inlineStr">
        <is>
          <t>06/04/2026</t>
        </is>
      </c>
      <c r="I16782" s="10" t="inlineStr">
        <is>
          <t>17/03/2026</t>
        </is>
      </c>
      <c r="J16782" s="10" t="inlineStr">
        <is>
          <t>Bảo hiểm, Kế toán / Kiểm toán, Tài chính / Đầu tư</t>
        </is>
      </c>
      <c r="K16782" s="10" t="inlineStr">
        <is>
          <t>1 - 3 Năm</t>
        </is>
      </c>
      <c r="L16782" s="11">
        <f>HYPERLINK("https://careerviet.vn/vi/tim-viec-lam/chuyen-vien-ke-toan-hanh-chinh-tai-dong-thap.35C64B17.html","Xem chi tiết")</f>
        <v/>
      </c>
      <c r="M16782" s="10" t="n"/>
    </row>
    <row r="16783">
      <c r="B16783" s="7" t="n">
        <v>16781</v>
      </c>
      <c r="C16783" t="inlineStr">
        <is>
          <t>Chuyên viên cao cấp Tư vấn Tài chính Cá nhân - Vùng Nam Trung Bộ</t>
        </is>
      </c>
      <c r="D16783" t="inlineStr">
        <is>
          <t>Ngân Hàng TMCP Quốc Tế Việt Nam</t>
        </is>
      </c>
      <c r="E16783" t="inlineStr">
        <is>
          <t>Lương:10 Tr - 20 Tr VND</t>
        </is>
      </c>
      <c r="F16783" t="inlineStr">
        <is>
          <t>Khánh HòaBà Rịa - Vũng TàuĐồng Nai</t>
        </is>
      </c>
      <c r="G16783" t="inlineStr">
        <is>
          <t>06-04-2026</t>
        </is>
      </c>
      <c r="H16783" t="inlineStr">
        <is>
          <t>06/04/2026</t>
        </is>
      </c>
      <c r="I16783" t="inlineStr">
        <is>
          <t>17/03/2026</t>
        </is>
      </c>
      <c r="J16783" t="inlineStr">
        <is>
          <t>Ngân hàng, Bảo hiểm, Hàng không</t>
        </is>
      </c>
      <c r="K16783" t="inlineStr">
        <is>
          <t>1 - 5 Năm</t>
        </is>
      </c>
      <c r="L16783" s="8">
        <f>HYPERLINK("https://careerviet.vn/vi/tim-viec-lam/chuyen-vien-cao-cap-tu-van-tai-chinh-ca-nhan-vung-nam-trung-bo.35C64AF0.html","Xem chi tiết")</f>
        <v/>
      </c>
    </row>
    <row r="16784">
      <c r="B16784" s="9" t="n">
        <v>16782</v>
      </c>
      <c r="C16784" s="10" t="inlineStr">
        <is>
          <t>Cán Bộ Kinh Doanh - Khu vực Sơn La, Điện Biên</t>
        </is>
      </c>
      <c r="D16784" s="10" t="inlineStr">
        <is>
          <t>Tổng Công ty Cổ phần Bảo hiểm Ngân hàng Đầu tư và Phát triển Việt Nam (BIC)</t>
        </is>
      </c>
      <c r="E16784" s="10" t="inlineStr">
        <is>
          <t>Lương:Cạnh tranh</t>
        </is>
      </c>
      <c r="F16784" s="10" t="inlineStr">
        <is>
          <t>Sơn LaĐiện Biên</t>
        </is>
      </c>
      <c r="G16784" s="10" t="inlineStr">
        <is>
          <t>06-04-2026</t>
        </is>
      </c>
      <c r="H16784" s="10" t="inlineStr">
        <is>
          <t>06/04/2026</t>
        </is>
      </c>
      <c r="I16784" s="10" t="inlineStr">
        <is>
          <t>17/03/2026</t>
        </is>
      </c>
      <c r="J16784" s="10" t="inlineStr">
        <is>
          <t>Bảo hiểm, Bán hàng / Kinh doanh, Ngân hàng</t>
        </is>
      </c>
      <c r="K16784" s="10" t="inlineStr">
        <is>
          <t>Chưa có kinh nghiệm</t>
        </is>
      </c>
      <c r="L16784" s="11">
        <f>HYPERLINK("https://careerviet.vn/vi/tim-viec-lam/can-bo-kinh-doanh-khu-vuc-son-la-dien-bien.35C67C3C.html","Xem chi tiết")</f>
        <v/>
      </c>
      <c r="M16784" s="10" t="n"/>
    </row>
    <row r="16785">
      <c r="B16785" s="7" t="n">
        <v>16783</v>
      </c>
      <c r="C16785" t="inlineStr">
        <is>
          <t>Planning Staff/ Nhân Viên Kế Hoạch ( KCN Bàu Bàng)</t>
        </is>
      </c>
      <c r="D16785" t="inlineStr">
        <is>
          <t>RAWLPLUG VIETNAM COMPANY LIMITED</t>
        </is>
      </c>
      <c r="E16785" t="inlineStr">
        <is>
          <t>Lương:9 Tr - 14 Tr VND</t>
        </is>
      </c>
      <c r="F16785" t="inlineStr">
        <is>
          <t>Bình Dương</t>
        </is>
      </c>
      <c r="G16785" t="inlineStr">
        <is>
          <t>06-04-2026</t>
        </is>
      </c>
      <c r="H16785" t="inlineStr">
        <is>
          <t>06/04/2026</t>
        </is>
      </c>
      <c r="I16785" t="inlineStr">
        <is>
          <t>17/03/2026</t>
        </is>
      </c>
      <c r="J16785" t="inlineStr">
        <is>
          <t>Sản xuất / Vận hành sản xuất, Thu mua / Vật tư</t>
        </is>
      </c>
      <c r="K16785" t="inlineStr">
        <is>
          <t>N/A</t>
        </is>
      </c>
      <c r="L16785" s="8">
        <f>HYPERLINK("https://careerviet.vn/vi/tim-viec-lam/planning-staff-nhan-vien-ke-hoach-kcn-bau-bang.35C64A67.html","Xem chi tiết")</f>
        <v/>
      </c>
    </row>
    <row r="16786">
      <c r="B16786" s="9" t="n">
        <v>16784</v>
      </c>
      <c r="C16786" s="10" t="inlineStr">
        <is>
          <t>REPORTING ACCOUNTANT</t>
        </is>
      </c>
      <c r="D16786" s="10" t="inlineStr">
        <is>
          <t>CÔNG TY CỔ PHẦN GIẢI PHÁP GENE - GENE SOLUTIONS</t>
        </is>
      </c>
      <c r="E16786" s="10" t="inlineStr">
        <is>
          <t>Lương:15 Tr - 20 Tr VND</t>
        </is>
      </c>
      <c r="F16786" s="10" t="inlineStr">
        <is>
          <t>Hồ Chí Minh</t>
        </is>
      </c>
      <c r="G16786" s="10" t="inlineStr">
        <is>
          <t>06-04-2026</t>
        </is>
      </c>
      <c r="H16786" s="10" t="inlineStr">
        <is>
          <t>06/04/2026</t>
        </is>
      </c>
      <c r="I16786" s="10" t="inlineStr">
        <is>
          <t>17/03/2026</t>
        </is>
      </c>
      <c r="J16786" s="10" t="inlineStr">
        <is>
          <t>Kế toán / Kiểm toán, Tài chính / Đầu tư</t>
        </is>
      </c>
      <c r="K16786" s="10" t="inlineStr">
        <is>
          <t>2 - 3 Năm</t>
        </is>
      </c>
      <c r="L16786" s="11">
        <f>HYPERLINK("https://careerviet.vn/vi/tim-viec-lam/reporting-accountant.35C67BDE.html","Xem chi tiết")</f>
        <v/>
      </c>
      <c r="M16786" s="10" t="n"/>
    </row>
    <row r="16787">
      <c r="B16787" s="7" t="n">
        <v>16785</v>
      </c>
      <c r="C16787" t="inlineStr">
        <is>
          <t>Wind Farm Maintenance Engineer (Mekong Delta)</t>
        </is>
      </c>
      <c r="D16787" t="inlineStr">
        <is>
          <t>GOLDWIND INTERNATIONAL VIETNAM</t>
        </is>
      </c>
      <c r="E16787" t="inlineStr">
        <is>
          <t>Lương:Cạnh tranh</t>
        </is>
      </c>
      <c r="F16787" t="inlineStr">
        <is>
          <t>Sóc Trăng</t>
        </is>
      </c>
      <c r="G16787" t="inlineStr">
        <is>
          <t>06-04-2026</t>
        </is>
      </c>
      <c r="H16787" t="inlineStr">
        <is>
          <t>06/04/2026</t>
        </is>
      </c>
      <c r="I16787" t="inlineStr">
        <is>
          <t>17/03/2026</t>
        </is>
      </c>
      <c r="J16787" t="inlineStr">
        <is>
          <t>Điện / Điện tử / Điện lạnh / Điện công nghiệp, Bảo trì / Sửa chữa</t>
        </is>
      </c>
      <c r="K16787" t="inlineStr">
        <is>
          <t>1 - 3 Năm</t>
        </is>
      </c>
      <c r="L16787" s="8">
        <f>HYPERLINK("https://careerviet.vn/vi/tim-viec-lam/wind-farm-maintenance-engineer-mekong-delta.35C67AFB.html","Xem chi tiết")</f>
        <v/>
      </c>
    </row>
    <row r="16788">
      <c r="B16788" s="9" t="n">
        <v>16786</v>
      </c>
      <c r="C16788" s="10" t="inlineStr">
        <is>
          <t>KCN Đông Xuyên VT_ Senior purchasing specialist</t>
        </is>
      </c>
      <c r="D16788" s="10" t="inlineStr">
        <is>
          <t>Công ty TNHH GT Line Á Châu</t>
        </is>
      </c>
      <c r="E16788" s="10" t="inlineStr">
        <is>
          <t>Lương:Cạnh tranh</t>
        </is>
      </c>
      <c r="F16788" s="10" t="inlineStr">
        <is>
          <t>Bà Rịa - Vũng Tàu</t>
        </is>
      </c>
      <c r="G16788" s="10" t="inlineStr">
        <is>
          <t>06-04-2026</t>
        </is>
      </c>
      <c r="H16788" s="10" t="inlineStr">
        <is>
          <t>06/04/2026</t>
        </is>
      </c>
      <c r="I16788" s="10" t="inlineStr">
        <is>
          <t>17/03/2026</t>
        </is>
      </c>
      <c r="J16788" s="10" t="inlineStr">
        <is>
          <t>Vận chuyển / Giao nhận / Kho vận, Sản xuất / Vận hành sản xuất, Thu mua / Vật tư</t>
        </is>
      </c>
      <c r="K16788" s="10" t="inlineStr">
        <is>
          <t>3 - 5 Năm</t>
        </is>
      </c>
      <c r="L16788" s="11">
        <f>HYPERLINK("https://careerviet.vn/vi/tim-viec-lam/kcn-dong-xuyen-vt_-senior-purchasing-specialist.35C64A32.html","Xem chi tiết")</f>
        <v/>
      </c>
      <c r="M16788" s="10" t="n"/>
    </row>
    <row r="16789">
      <c r="B16789" s="7" t="n">
        <v>16787</v>
      </c>
      <c r="C16789" t="inlineStr">
        <is>
          <t>Trưởng phòng Kinh doanh - TT SME Kiên Giang</t>
        </is>
      </c>
      <c r="D16789" t="inlineStr">
        <is>
          <t>Ngân Hàng TMCP Việt Nam Thịnh Vượng - VPBANK</t>
        </is>
      </c>
      <c r="E16789" t="inlineStr">
        <is>
          <t>Lương:Cạnh tranh</t>
        </is>
      </c>
      <c r="F16789" t="inlineStr">
        <is>
          <t>Kiên Giang</t>
        </is>
      </c>
      <c r="G16789" t="inlineStr">
        <is>
          <t>06-04-2026</t>
        </is>
      </c>
      <c r="H16789" t="inlineStr">
        <is>
          <t>06/04/2026</t>
        </is>
      </c>
      <c r="I16789" t="inlineStr">
        <is>
          <t>17/03/2026</t>
        </is>
      </c>
      <c r="J16789" t="inlineStr">
        <is>
          <t>Ngân hàng</t>
        </is>
      </c>
      <c r="K16789" t="inlineStr">
        <is>
          <t>3 - 5 Năm</t>
        </is>
      </c>
      <c r="L16789" s="8">
        <f>HYPERLINK("https://careerviet.vn/vi/tim-viec-lam/truong-phong-kinh-doanh-tt-sme-kien-giang.35C64C04.html","Xem chi tiết")</f>
        <v/>
      </c>
    </row>
    <row r="16790">
      <c r="B16790" s="9" t="n">
        <v>16788</v>
      </c>
      <c r="C16790" s="10" t="inlineStr">
        <is>
          <t>Tài Xế Xe Tải</t>
        </is>
      </c>
      <c r="D16790" s="10" t="inlineStr">
        <is>
          <t>Tập Đoàn Kim Tín</t>
        </is>
      </c>
      <c r="E16790" s="10" t="inlineStr">
        <is>
          <t>Lương:12 Tr - 15 Tr VND</t>
        </is>
      </c>
      <c r="F16790" s="10" t="inlineStr">
        <is>
          <t>Hồ Chí Minh</t>
        </is>
      </c>
      <c r="G16790" s="10" t="inlineStr">
        <is>
          <t>06-04-2026</t>
        </is>
      </c>
      <c r="H16790" s="10" t="inlineStr">
        <is>
          <t>06/04/2026</t>
        </is>
      </c>
      <c r="I16790" s="10" t="inlineStr">
        <is>
          <t>17/03/2026</t>
        </is>
      </c>
      <c r="J16790" s="10" t="inlineStr">
        <is>
          <t>Sản xuất / Vận hành sản xuất, Vận chuyển / Giao nhận / Kho vận</t>
        </is>
      </c>
      <c r="K16790" s="10" t="inlineStr">
        <is>
          <t>1 - 2 Năm</t>
        </is>
      </c>
      <c r="L16790" s="11">
        <f>HYPERLINK("https://careerviet.vn/vi/tim-viec-lam/tai-xe-xe-tai.35C67A19.html","Xem chi tiết")</f>
        <v/>
      </c>
      <c r="M16790" s="10" t="n"/>
    </row>
    <row r="16791">
      <c r="B16791" s="7" t="n">
        <v>16789</v>
      </c>
      <c r="C16791" t="inlineStr">
        <is>
          <t>Cán Bộ Kinh Doanh - Khu vực Lào Cai, Yên Bái, Lai Châu</t>
        </is>
      </c>
      <c r="D16791" t="inlineStr">
        <is>
          <t>Tổng Công ty Cổ phần Bảo hiểm Ngân hàng Đầu tư và Phát triển Việt Nam (BIC)</t>
        </is>
      </c>
      <c r="E16791" t="inlineStr">
        <is>
          <t>Lương:Cạnh tranh</t>
        </is>
      </c>
      <c r="F16791" t="inlineStr">
        <is>
          <t>Lào CaiYên BáiLai Châu</t>
        </is>
      </c>
      <c r="G16791" t="inlineStr">
        <is>
          <t>06-04-2026</t>
        </is>
      </c>
      <c r="H16791" t="inlineStr">
        <is>
          <t>06/04/2026</t>
        </is>
      </c>
      <c r="I16791" t="inlineStr">
        <is>
          <t>17/03/2026</t>
        </is>
      </c>
      <c r="J16791" t="inlineStr">
        <is>
          <t>Bảo hiểm, Bán hàng / Kinh doanh, Ngân hàng</t>
        </is>
      </c>
      <c r="K16791" t="inlineStr">
        <is>
          <t>Chưa có kinh nghiệm</t>
        </is>
      </c>
      <c r="L16791" s="8">
        <f>HYPERLINK("https://careerviet.vn/vi/tim-viec-lam/can-bo-kinh-doanh-khu-vuc-lao-cai-yen-bai-lai-chau.35C67C35.html","Xem chi tiết")</f>
        <v/>
      </c>
    </row>
    <row r="16792">
      <c r="B16792" s="9" t="n">
        <v>16790</v>
      </c>
      <c r="C16792" s="10" t="inlineStr">
        <is>
          <t>Nhân Viên Giám Sát Dịch Vụ Vệ Sinh</t>
        </is>
      </c>
      <c r="D16792" s="10" t="inlineStr">
        <is>
          <t>Công Ty Cổ Phần Dịch Vụ, Thương Mại Và Đầu Tư Sao Thủy</t>
        </is>
      </c>
      <c r="E16792" s="10" t="inlineStr">
        <is>
          <t>Lương:Cạnh tranh</t>
        </is>
      </c>
      <c r="F16792" s="10" t="inlineStr">
        <is>
          <t>Hà NộiHồ Chí Minh</t>
        </is>
      </c>
      <c r="G16792" s="10" t="inlineStr">
        <is>
          <t>06-04-2026</t>
        </is>
      </c>
      <c r="H16792" s="10" t="inlineStr">
        <is>
          <t>06/04/2026</t>
        </is>
      </c>
      <c r="I16792" s="10" t="inlineStr">
        <is>
          <t>17/03/2026</t>
        </is>
      </c>
      <c r="J16792" s="10" t="inlineStr">
        <is>
          <t>Dịch vụ khách hàng, Hành chính / Thư ký, Nhà hàng / Khách sạn</t>
        </is>
      </c>
      <c r="K16792" s="10" t="inlineStr">
        <is>
          <t>Trên 3 Năm</t>
        </is>
      </c>
      <c r="L16792" s="11">
        <f>HYPERLINK("https://careerviet.vn/vi/tim-viec-lam/nhan-vien-giam-sat-dich-vu-ve-sinh.35C67B53.html","Xem chi tiết")</f>
        <v/>
      </c>
      <c r="M16792" s="10" t="n"/>
    </row>
    <row r="16793">
      <c r="B16793" s="7" t="n">
        <v>16791</v>
      </c>
      <c r="C16793" t="inlineStr">
        <is>
          <t>Nhân viên thống kê sản xuất</t>
        </is>
      </c>
      <c r="D16793" t="inlineStr">
        <is>
          <t>Công Ty Cổ Phần Tân Vĩnh Cửu (Tavico group)</t>
        </is>
      </c>
      <c r="E16793" t="inlineStr">
        <is>
          <t>Lương:Cạnh tranh</t>
        </is>
      </c>
      <c r="F16793" t="inlineStr">
        <is>
          <t>Đồng Nai</t>
        </is>
      </c>
      <c r="G16793" t="inlineStr">
        <is>
          <t>06-04-2026</t>
        </is>
      </c>
      <c r="H16793" t="inlineStr">
        <is>
          <t>06/04/2026</t>
        </is>
      </c>
      <c r="I16793" t="inlineStr">
        <is>
          <t>17/03/2026</t>
        </is>
      </c>
      <c r="J16793" t="inlineStr">
        <is>
          <t>Thống kê, Sản xuất / Vận hành sản xuất</t>
        </is>
      </c>
      <c r="K16793" t="inlineStr">
        <is>
          <t>1 - 2 Năm</t>
        </is>
      </c>
      <c r="L16793" s="8">
        <f>HYPERLINK("https://careerviet.vn/vi/tim-viec-lam/nhan-vien-thong-ke-san-xuat.35C64B62.html","Xem chi tiết")</f>
        <v/>
      </c>
    </row>
    <row r="16794">
      <c r="B16794" s="9" t="n">
        <v>16792</v>
      </c>
      <c r="C16794" s="10" t="inlineStr">
        <is>
          <t>[Đà Nẵng] Giám Sát Phát Triển Đối Tác E-shop kênh GT</t>
        </is>
      </c>
      <c r="D16794" s="10" t="inlineStr">
        <is>
          <t>Công Ty Cổ Phần Diana Unicharm</t>
        </is>
      </c>
      <c r="E16794" s="10" t="inlineStr">
        <is>
          <t>Lương:Cạnh tranh</t>
        </is>
      </c>
      <c r="F16794" s="10" t="inlineStr">
        <is>
          <t>Đà Nẵng</t>
        </is>
      </c>
      <c r="G16794" s="10" t="inlineStr">
        <is>
          <t>06-04-2026</t>
        </is>
      </c>
      <c r="H16794" s="10" t="inlineStr">
        <is>
          <t>06/04/2026</t>
        </is>
      </c>
      <c r="I16794" s="10" t="inlineStr">
        <is>
          <t>17/03/2026</t>
        </is>
      </c>
      <c r="J16794" s="10" t="inlineStr">
        <is>
          <t>Bán lẻ / Bán sỉ, Bán hàng / Kinh doanh, Hàng gia dụng / Chăm sóc cá nhân</t>
        </is>
      </c>
      <c r="K16794" s="10" t="inlineStr">
        <is>
          <t>1 - 2 Năm</t>
        </is>
      </c>
      <c r="L16794" s="11">
        <f>HYPERLINK("https://careerviet.vn/vi/tim-viec-lam/da-nang-giam-sat-phat-trien-doi-tac-e-shop-kenh-gt.35C67B15.html","Xem chi tiết")</f>
        <v/>
      </c>
      <c r="M16794" s="10" t="n"/>
    </row>
    <row r="16795">
      <c r="B16795" s="7" t="n">
        <v>16793</v>
      </c>
      <c r="C16795" t="inlineStr">
        <is>
          <t>Chuyên viên Kinh doanh tiền tệ - Khối Nguồn vốn</t>
        </is>
      </c>
      <c r="D16795" t="inlineStr">
        <is>
          <t>Ngân hàng TMCP Việt Á – VietABank</t>
        </is>
      </c>
      <c r="E16795" t="inlineStr">
        <is>
          <t>Lương:12 Tr - 25 Tr VND</t>
        </is>
      </c>
      <c r="F16795" t="inlineStr">
        <is>
          <t>Hà NộiHồ Chí Minh</t>
        </is>
      </c>
      <c r="G16795" t="inlineStr">
        <is>
          <t>06-04-2026</t>
        </is>
      </c>
      <c r="H16795" t="inlineStr">
        <is>
          <t>06/04/2026</t>
        </is>
      </c>
      <c r="I16795" t="inlineStr">
        <is>
          <t>17/03/2026</t>
        </is>
      </c>
      <c r="J16795" t="inlineStr">
        <is>
          <t>Ngân hàng</t>
        </is>
      </c>
      <c r="K16795" t="inlineStr">
        <is>
          <t>Trên 1 Năm</t>
        </is>
      </c>
      <c r="L16795" s="8">
        <f>HYPERLINK("https://careerviet.vn/vi/tim-viec-lam/chuyen-vien-kinh-doanh-tien-te-khoi-nguon-von.35C67BF1.html","Xem chi tiết")</f>
        <v/>
      </c>
    </row>
    <row r="16796">
      <c r="B16796" s="9" t="n">
        <v>16794</v>
      </c>
      <c r="C16796" s="10" t="inlineStr">
        <is>
          <t>TRƯỞNG BỘ PHẬN MARKETING TĂNG TRƯỞNG</t>
        </is>
      </c>
      <c r="D16796" s="10" t="inlineStr">
        <is>
          <t>CÔNG TY TNHH SẢN XUẤT TẬP ĐOÀN ĐẠI VIỆT</t>
        </is>
      </c>
      <c r="E16796" s="10" t="inlineStr">
        <is>
          <t>Lương:Cạnh tranh</t>
        </is>
      </c>
      <c r="F16796" s="10" t="inlineStr">
        <is>
          <t>Hồ Chí Minh</t>
        </is>
      </c>
      <c r="G16796" s="10" t="inlineStr">
        <is>
          <t>06-04-2026</t>
        </is>
      </c>
      <c r="H16796" s="10" t="inlineStr">
        <is>
          <t>06/04/2026</t>
        </is>
      </c>
      <c r="I16796" s="10" t="inlineStr">
        <is>
          <t>17/03/2026</t>
        </is>
      </c>
      <c r="J16796" s="10" t="inlineStr">
        <is>
          <t>Tiếp thị / Marketing, Tổ chức sự kiện, Quảng cáo / Đối ngoại / Truyền Thông</t>
        </is>
      </c>
      <c r="K16796" s="10" t="inlineStr">
        <is>
          <t>5 - 10 Năm</t>
        </is>
      </c>
      <c r="L16796" s="11">
        <f>HYPERLINK("https://careerviet.vn/vi/tim-viec-lam/truong-bo-phan-marketing-tang-truong.35C67A9B.html","Xem chi tiết")</f>
        <v/>
      </c>
      <c r="M16796" s="10" t="n"/>
    </row>
    <row r="16797">
      <c r="B16797" s="7" t="n">
        <v>16795</v>
      </c>
      <c r="C16797" t="inlineStr">
        <is>
          <t>Chuyên gia Triển khai &amp; Tích hợp Hệ thống (DevOps)</t>
        </is>
      </c>
      <c r="D16797" t="inlineStr">
        <is>
          <t>LOTTE FINANCE VIETNAM</t>
        </is>
      </c>
      <c r="E16797" t="inlineStr">
        <is>
          <t>Lương:Cạnh tranh</t>
        </is>
      </c>
      <c r="F16797" t="inlineStr">
        <is>
          <t>Hà Nội</t>
        </is>
      </c>
      <c r="G16797" t="inlineStr">
        <is>
          <t>06-04-2026</t>
        </is>
      </c>
      <c r="H16797" t="inlineStr">
        <is>
          <t>06/04/2026</t>
        </is>
      </c>
      <c r="I16797" t="inlineStr">
        <is>
          <t>17/03/2026</t>
        </is>
      </c>
      <c r="J16797" t="inlineStr">
        <is>
          <t>CNTT - Phần cứng / Mạng, CNTT - Phần mềm, Ngân hàng</t>
        </is>
      </c>
      <c r="K16797" t="inlineStr">
        <is>
          <t>Trên 5 Năm</t>
        </is>
      </c>
      <c r="L16797" s="8">
        <f>HYPERLINK("https://careerviet.vn/vi/tim-viec-lam/chuyen-gia-trien-khai-tich-hop-he-thong-devops.35C64BE5.html","Xem chi tiết")</f>
        <v/>
      </c>
    </row>
    <row r="16798">
      <c r="B16798" s="9" t="n">
        <v>16796</v>
      </c>
      <c r="C16798" s="10" t="inlineStr">
        <is>
          <t>Nhân viên tác nghiệp bảng màu</t>
        </is>
      </c>
      <c r="D16798" s="10" t="inlineStr">
        <is>
          <t>Công Ty TNHH May Thêu Giày An Phước</t>
        </is>
      </c>
      <c r="E16798" s="10" t="inlineStr">
        <is>
          <t>Lương:Cạnh tranh</t>
        </is>
      </c>
      <c r="F16798" s="10" t="inlineStr">
        <is>
          <t>Hồ Chí Minh</t>
        </is>
      </c>
      <c r="G16798" s="10" t="inlineStr">
        <is>
          <t>06-04-2026</t>
        </is>
      </c>
      <c r="H16798" s="10" t="inlineStr">
        <is>
          <t>06/04/2026</t>
        </is>
      </c>
      <c r="I16798" s="10" t="inlineStr">
        <is>
          <t>17/03/2026</t>
        </is>
      </c>
      <c r="J16798" s="10" t="inlineStr">
        <is>
          <t>Dệt may / Da giày / Thời trang, Thu mua / Vật tư, Quản lý chất lượng (QA/QC)</t>
        </is>
      </c>
      <c r="K16798" s="10" t="inlineStr">
        <is>
          <t>Không yêu cầu kinh nghiệm</t>
        </is>
      </c>
      <c r="L16798" s="11">
        <f>HYPERLINK("https://careerviet.vn/vi/tim-viec-lam/nhan-vien-tac-nghiep-bang-mau.35C67A29.html","Xem chi tiết")</f>
        <v/>
      </c>
      <c r="M16798" s="10" t="n"/>
    </row>
    <row r="16799">
      <c r="B16799" s="7" t="n">
        <v>16797</v>
      </c>
      <c r="C16799" t="inlineStr">
        <is>
          <t>SALES ADMIN</t>
        </is>
      </c>
      <c r="D16799" t="inlineStr">
        <is>
          <t>Công ty CP Thương mại Dịch vụ An Biên</t>
        </is>
      </c>
      <c r="E16799" t="inlineStr">
        <is>
          <t>Lương:15 Tr - 17 Tr VND</t>
        </is>
      </c>
      <c r="F16799" t="inlineStr">
        <is>
          <t>Khánh Hòa</t>
        </is>
      </c>
      <c r="G16799" t="inlineStr">
        <is>
          <t>01-04-2026</t>
        </is>
      </c>
      <c r="H16799" t="inlineStr">
        <is>
          <t>01/04/2026</t>
        </is>
      </c>
      <c r="I16799" t="inlineStr">
        <is>
          <t>17/03/2026</t>
        </is>
      </c>
      <c r="J16799" t="inlineStr">
        <is>
          <t>Bán lẻ / Bán sỉ, Bán hàng / Kinh doanh, Dịch vụ khách hàng</t>
        </is>
      </c>
      <c r="K16799" t="inlineStr">
        <is>
          <t>2 - 3 Năm</t>
        </is>
      </c>
      <c r="L16799" s="8">
        <f>HYPERLINK("https://careerviet.vn/vi/tim-viec-lam/sales-admin.35C6A4C6.html","Xem chi tiết")</f>
        <v/>
      </c>
    </row>
    <row r="16800">
      <c r="B16800" s="9" t="n">
        <v>16798</v>
      </c>
      <c r="C16800" s="10" t="inlineStr">
        <is>
          <t>Giám đốc  Phòng Quản lý Rủi ro, Quy trình và Tuân thủ</t>
        </is>
      </c>
      <c r="D16800" s="10" t="inlineStr">
        <is>
          <t>Công Ty Cổ Phần Tập Đoàn Đầu Tư Địa Ốc No Va</t>
        </is>
      </c>
      <c r="E16800" s="10" t="inlineStr">
        <is>
          <t>Lương:Cạnh tranh</t>
        </is>
      </c>
      <c r="F16800" s="10" t="inlineStr">
        <is>
          <t>Hồ Chí Minh</t>
        </is>
      </c>
      <c r="G16800" s="10" t="inlineStr">
        <is>
          <t>06-04-2026</t>
        </is>
      </c>
      <c r="H16800" s="10" t="inlineStr">
        <is>
          <t>06/04/2026</t>
        </is>
      </c>
      <c r="I16800" s="10" t="inlineStr">
        <is>
          <t>17/03/2026</t>
        </is>
      </c>
      <c r="J16800" s="10" t="inlineStr">
        <is>
          <t>Ngân hàng, Xây dựng, Bất động sản</t>
        </is>
      </c>
      <c r="K16800" s="10" t="inlineStr">
        <is>
          <t>10 - 12 Năm</t>
        </is>
      </c>
      <c r="L16800" s="11">
        <f>HYPERLINK("https://careerviet.vn/vi/tim-viec-lam/giam-doc-phong-quan-ly-rui-ro-quy-trinh-va-tuan-thu.35C67CA1.html","Xem chi tiết")</f>
        <v/>
      </c>
      <c r="M16800" s="10" t="n"/>
    </row>
    <row r="16801">
      <c r="B16801" s="7" t="n">
        <v>16799</v>
      </c>
      <c r="C16801" t="inlineStr">
        <is>
          <t>Tổ trưởng Kho/ Warehouse Leader</t>
        </is>
      </c>
      <c r="D16801" t="inlineStr">
        <is>
          <t>Công Ty TNHH Tecan Precision Machining VN</t>
        </is>
      </c>
      <c r="E16801" t="inlineStr">
        <is>
          <t>Lương:Cạnh tranh</t>
        </is>
      </c>
      <c r="F16801" t="inlineStr">
        <is>
          <t>Bình Dương</t>
        </is>
      </c>
      <c r="G16801" t="inlineStr">
        <is>
          <t>31-03-2026</t>
        </is>
      </c>
      <c r="H16801" t="inlineStr">
        <is>
          <t>31/03/2026</t>
        </is>
      </c>
      <c r="I16801" t="inlineStr">
        <is>
          <t>17/03/2026</t>
        </is>
      </c>
      <c r="J16801" t="inlineStr">
        <is>
          <t>Vận chuyển / Giao nhận / Kho vận, Cơ khí / Ô tô / Tự động hóa, Sản xuất / Vận hành sản xuất</t>
        </is>
      </c>
      <c r="K16801" t="inlineStr">
        <is>
          <t>2 - 5 Năm</t>
        </is>
      </c>
      <c r="L16801" s="8">
        <f>HYPERLINK("https://careerviet.vn/vi/tim-viec-lam/to-truong-kho-warehouse-leader.35C6A46F.html","Xem chi tiết")</f>
        <v/>
      </c>
    </row>
    <row r="16802">
      <c r="B16802" s="9" t="n">
        <v>16800</v>
      </c>
      <c r="C16802" s="10" t="inlineStr">
        <is>
          <t>Nhân viên nhân sự</t>
        </is>
      </c>
      <c r="D16802" s="10" t="inlineStr">
        <is>
          <t>CÔNG TY CỔ PHẦN ĐẦU TƯ XÂY DỰNG WEALTHCONS</t>
        </is>
      </c>
      <c r="E16802" s="10" t="inlineStr">
        <is>
          <t>Lương:Cạnh tranh</t>
        </is>
      </c>
      <c r="F16802" s="10" t="inlineStr">
        <is>
          <t>Hồ Chí Minh</t>
        </is>
      </c>
      <c r="G16802" s="10" t="inlineStr">
        <is>
          <t>31-03-2026</t>
        </is>
      </c>
      <c r="H16802" s="10" t="inlineStr">
        <is>
          <t>31/03/2026</t>
        </is>
      </c>
      <c r="I16802" s="10" t="inlineStr">
        <is>
          <t>17/03/2026</t>
        </is>
      </c>
      <c r="J16802" s="10" t="inlineStr">
        <is>
          <t>Nhân sự</t>
        </is>
      </c>
      <c r="K16802" s="10" t="inlineStr">
        <is>
          <t>N/A</t>
        </is>
      </c>
      <c r="L16802" s="11">
        <f>HYPERLINK("https://careerviet.vn/vi/tim-viec-lam/nhan-vien-nhan-su.35C6A56B.html","Xem chi tiết")</f>
        <v/>
      </c>
      <c r="M16802" s="10" t="n"/>
    </row>
    <row r="16803">
      <c r="B16803" s="7" t="n">
        <v>16801</v>
      </c>
      <c r="C16803" t="inlineStr">
        <is>
          <t>Quản Lý Điều Hành</t>
        </is>
      </c>
      <c r="D16803" t="inlineStr">
        <is>
          <t>CÔNG TY TNHH VNB SPORTS</t>
        </is>
      </c>
      <c r="E16803" t="inlineStr">
        <is>
          <t>Lương:Cạnh tranh</t>
        </is>
      </c>
      <c r="F16803" t="inlineStr">
        <is>
          <t>Hồ Chí Minh</t>
        </is>
      </c>
      <c r="G16803" t="inlineStr">
        <is>
          <t>02-04-2026</t>
        </is>
      </c>
      <c r="H16803" t="inlineStr">
        <is>
          <t>02/04/2026</t>
        </is>
      </c>
      <c r="I16803" t="inlineStr">
        <is>
          <t>17/03/2026</t>
        </is>
      </c>
      <c r="J16803" t="inlineStr">
        <is>
          <t>Bán lẻ / Bán sỉ, Bán hàng / Kinh doanh, Nhân sự</t>
        </is>
      </c>
      <c r="K16803" t="inlineStr">
        <is>
          <t>1 - 2 Năm</t>
        </is>
      </c>
      <c r="L16803" s="8">
        <f>HYPERLINK("https://careerviet.vn/vi/tim-viec-lam/quan-ly-dieu-hanh.35C6A401.html","Xem chi tiết")</f>
        <v/>
      </c>
    </row>
    <row r="16804">
      <c r="B16804" s="9" t="n">
        <v>16802</v>
      </c>
      <c r="C16804" s="10" t="inlineStr">
        <is>
          <t>Chuyên Viên Mua Hàng</t>
        </is>
      </c>
      <c r="D16804" s="10" t="inlineStr">
        <is>
          <t>Công ty TNHH Viễn thông IPN</t>
        </is>
      </c>
      <c r="E16804" s="10" t="inlineStr">
        <is>
          <t>Lương:18 Tr - 20 Tr VND</t>
        </is>
      </c>
      <c r="F16804" s="10" t="inlineStr">
        <is>
          <t>Hà Nội</t>
        </is>
      </c>
      <c r="G16804" s="10" t="inlineStr">
        <is>
          <t>06-04-2026</t>
        </is>
      </c>
      <c r="H16804" s="10" t="inlineStr">
        <is>
          <t>06/04/2026</t>
        </is>
      </c>
      <c r="I16804" s="10" t="inlineStr">
        <is>
          <t>17/03/2026</t>
        </is>
      </c>
      <c r="J16804" s="10" t="inlineStr">
        <is>
          <t>Bán hàng / Kinh doanh, Xuất nhập khẩu, Thu mua / Vật tư</t>
        </is>
      </c>
      <c r="K16804" s="10" t="inlineStr">
        <is>
          <t>N/A</t>
        </is>
      </c>
      <c r="L16804" s="11">
        <f>HYPERLINK("https://careerviet.vn/vi/tim-viec-lam/chuyen-vien-mua-hang.35C64ACE.html","Xem chi tiết")</f>
        <v/>
      </c>
      <c r="M16804" s="10" t="n"/>
    </row>
    <row r="16805">
      <c r="B16805" s="7" t="n">
        <v>16803</v>
      </c>
      <c r="C16805" t="inlineStr">
        <is>
          <t>Trình Dược Viên ETC (HẢI DƯƠNG - HẢI PHÒNG - QUẢNG NINH - BẮC NINH - BẮC GIANG)</t>
        </is>
      </c>
      <c r="D16805" t="inlineStr">
        <is>
          <t>Công ty cổ phần Anvy</t>
        </is>
      </c>
      <c r="E16805" t="inlineStr">
        <is>
          <t>Lương:12 Tr - 20 Tr VND</t>
        </is>
      </c>
      <c r="F16805" t="inlineStr">
        <is>
          <t>Hải PhòngBắc NinhQuảng Ninh</t>
        </is>
      </c>
      <c r="G16805" t="inlineStr">
        <is>
          <t>06-04-2026</t>
        </is>
      </c>
      <c r="H16805" t="inlineStr">
        <is>
          <t>06/04/2026</t>
        </is>
      </c>
      <c r="I16805" t="inlineStr">
        <is>
          <t>17/03/2026</t>
        </is>
      </c>
      <c r="J16805" t="inlineStr">
        <is>
          <t>Bán hàng / Kinh doanh, Dược phẩm/ Hóa Mỹ Phẩm, Y tế / Chăm sóc sức khỏe / Thẩm mỹ / Làm đẹp</t>
        </is>
      </c>
      <c r="K16805" t="inlineStr">
        <is>
          <t>2 - 3 Năm</t>
        </is>
      </c>
      <c r="L16805" s="8">
        <f>HYPERLINK("https://careerviet.vn/vi/tim-viec-lam/trinh-duoc-vien-etc-hai-duong-hai-phong-quang-ninh-bac-ninh-bac-giang.35C64BDD.html","Xem chi tiết")</f>
        <v/>
      </c>
    </row>
    <row r="16806">
      <c r="B16806" s="9" t="n">
        <v>16804</v>
      </c>
      <c r="C16806" s="10" t="inlineStr">
        <is>
          <t>R&amp;D Executive (Onsite – Offsite)</t>
        </is>
      </c>
      <c r="D16806" s="10" t="inlineStr">
        <is>
          <t>Công ty TNHH GS25 Vietnam</t>
        </is>
      </c>
      <c r="E16806" s="10" t="inlineStr">
        <is>
          <t>Lương:Cạnh tranh</t>
        </is>
      </c>
      <c r="F16806" s="10" t="inlineStr">
        <is>
          <t>Hồ Chí Minh</t>
        </is>
      </c>
      <c r="G16806" s="10" t="inlineStr">
        <is>
          <t>06-04-2026</t>
        </is>
      </c>
      <c r="H16806" s="10" t="inlineStr">
        <is>
          <t>06/04/2026</t>
        </is>
      </c>
      <c r="I16806" s="10" t="inlineStr">
        <is>
          <t>17/03/2026</t>
        </is>
      </c>
      <c r="J16806" s="10" t="inlineStr">
        <is>
          <t>Thực phẩm &amp; Đồ uống, Nhà hàng / Khách sạn, Công nghệ thực phẩm / Dinh dưỡng</t>
        </is>
      </c>
      <c r="K16806" s="10" t="inlineStr">
        <is>
          <t>2 - 5 Năm</t>
        </is>
      </c>
      <c r="L16806" s="11">
        <f>HYPERLINK("https://careerviet.vn/vi/tim-viec-lam/r-d-executive-onsite-offsite.35C67C21.html","Xem chi tiết")</f>
        <v/>
      </c>
      <c r="M16806" s="10" t="n"/>
    </row>
    <row r="16807">
      <c r="B16807" s="7" t="n">
        <v>16805</v>
      </c>
      <c r="C16807" t="inlineStr">
        <is>
          <t>NHÂN VIÊN - ĐIỀU PHỐI XUẤT NHẬP KHẨU</t>
        </is>
      </c>
      <c r="D16807" t="inlineStr">
        <is>
          <t>Công ty Cổ Phần Giấy Sài Gòn - SAIGON PAPER CORPORATION</t>
        </is>
      </c>
      <c r="E16807" t="inlineStr">
        <is>
          <t>Lương:Cạnh tranh</t>
        </is>
      </c>
      <c r="F16807" t="inlineStr">
        <is>
          <t>Hồ Chí Minh</t>
        </is>
      </c>
      <c r="G16807" t="inlineStr">
        <is>
          <t>24-03-2026</t>
        </is>
      </c>
      <c r="H16807" t="inlineStr">
        <is>
          <t>24/03/2026</t>
        </is>
      </c>
      <c r="I16807" t="inlineStr">
        <is>
          <t>17/03/2026</t>
        </is>
      </c>
      <c r="J16807" t="inlineStr">
        <is>
          <t>Xuất nhập khẩu</t>
        </is>
      </c>
      <c r="K16807" t="inlineStr">
        <is>
          <t>1 - 2 Năm</t>
        </is>
      </c>
      <c r="L16807" s="8">
        <f>HYPERLINK("https://careerviet.vn/vi/tim-viec-lam/nhan-vien-dieu-phoi-xuat-nhap-khau.35C6668C.html","Xem chi tiết")</f>
        <v/>
      </c>
    </row>
    <row r="16808">
      <c r="B16808" s="9" t="n">
        <v>16806</v>
      </c>
      <c r="C16808" s="10" t="inlineStr">
        <is>
          <t>QC Supervisor (Tân Phú)</t>
        </is>
      </c>
      <c r="D16808" s="10" t="inlineStr">
        <is>
          <t>Công Ty TNHH CJ Foods Việt Nam</t>
        </is>
      </c>
      <c r="E16808" s="10" t="inlineStr">
        <is>
          <t>Lương:Cạnh tranh</t>
        </is>
      </c>
      <c r="F16808" s="10" t="inlineStr">
        <is>
          <t>Hồ Chí Minh</t>
        </is>
      </c>
      <c r="G16808" s="10" t="inlineStr">
        <is>
          <t>04-04-2026</t>
        </is>
      </c>
      <c r="H16808" s="10" t="inlineStr">
        <is>
          <t>04/04/2026</t>
        </is>
      </c>
      <c r="I16808" s="10" t="inlineStr">
        <is>
          <t>17/03/2026</t>
        </is>
      </c>
      <c r="J16808" s="10" t="inlineStr">
        <is>
          <t>Thực phẩm &amp; Đồ uống, Công nghệ thực phẩm / Dinh dưỡng, Sản xuất / Vận hành sản xuất</t>
        </is>
      </c>
      <c r="K16808" s="10" t="inlineStr">
        <is>
          <t>3 - 7 Năm</t>
        </is>
      </c>
      <c r="L16808" s="11">
        <f>HYPERLINK("https://careerviet.vn/vi/tim-viec-lam/qc-supervisor-tan-phu.35C6A421.html","Xem chi tiết")</f>
        <v/>
      </c>
      <c r="M16808" s="10" t="n"/>
    </row>
    <row r="16809">
      <c r="B16809" s="7" t="n">
        <v>16807</v>
      </c>
      <c r="C16809" t="inlineStr">
        <is>
          <t>Sales Coordinator</t>
        </is>
      </c>
      <c r="D16809" t="inlineStr">
        <is>
          <t>Công ty TNHH GIVI VIỆT NAM</t>
        </is>
      </c>
      <c r="E16809" t="inlineStr">
        <is>
          <t>Lương:12 Tr - 18 Tr VND</t>
        </is>
      </c>
      <c r="F16809" t="inlineStr">
        <is>
          <t>Long An</t>
        </is>
      </c>
      <c r="G16809" t="inlineStr">
        <is>
          <t>6</t>
        </is>
      </c>
      <c r="H16809" t="inlineStr">
        <is>
          <t>23/03/2026</t>
        </is>
      </c>
      <c r="I16809" t="inlineStr">
        <is>
          <t>17/03/2026</t>
        </is>
      </c>
      <c r="J16809" t="inlineStr">
        <is>
          <t>Bán lẻ / Bán sỉ, Bán hàng / Kinh doanh, Bán Hàng Kỹ Thuật</t>
        </is>
      </c>
      <c r="K16809" t="inlineStr">
        <is>
          <t>Trên 3 Năm</t>
        </is>
      </c>
      <c r="L16809" s="8">
        <f>HYPERLINK("https://careerviet.vn/vi/tim-viec-lam/sales-coordinator.35C665CD.html","Xem chi tiết")</f>
        <v/>
      </c>
    </row>
    <row r="16810">
      <c r="B16810" s="9" t="n">
        <v>16808</v>
      </c>
      <c r="C16810" s="10" t="inlineStr">
        <is>
          <t>Trưởng phòng Marketing (F&amp;B_HCM)</t>
        </is>
      </c>
      <c r="D16810" s="10" t="inlineStr">
        <is>
          <t>CÔNG TY TNHH THƯƠNG MẠI VÀ DỊCH VỤ TALAD THAI</t>
        </is>
      </c>
      <c r="E16810" s="10" t="inlineStr">
        <is>
          <t>Lương:Cạnh tranh</t>
        </is>
      </c>
      <c r="F16810" s="10" t="inlineStr">
        <is>
          <t>Hồ Chí Minh</t>
        </is>
      </c>
      <c r="G16810" s="10" t="inlineStr">
        <is>
          <t>30-04-2026</t>
        </is>
      </c>
      <c r="H16810" s="10" t="inlineStr">
        <is>
          <t>30/04/2026</t>
        </is>
      </c>
      <c r="I16810" s="10" t="inlineStr">
        <is>
          <t>17/03/2026</t>
        </is>
      </c>
      <c r="J16810" s="10" t="inlineStr">
        <is>
          <t>Tiếp thị / Marketing, Nhà hàng / Khách sạn</t>
        </is>
      </c>
      <c r="K16810" s="10" t="inlineStr">
        <is>
          <t>5 - 8 Năm</t>
        </is>
      </c>
      <c r="L16810" s="11">
        <f>HYPERLINK("https://careerviet.vn/vi/tim-viec-lam/truong-phong-marketing-f-b_hcm.35C6B9D5.html","Xem chi tiết")</f>
        <v/>
      </c>
      <c r="M16810" s="10" t="n"/>
    </row>
    <row r="16811">
      <c r="B16811" s="7" t="n">
        <v>16809</v>
      </c>
      <c r="C16811" t="inlineStr">
        <is>
          <t>Backend Engineer (Golang/Python)</t>
        </is>
      </c>
      <c r="D16811" t="inlineStr">
        <is>
          <t>Viet Thai International</t>
        </is>
      </c>
      <c r="E16811" t="inlineStr">
        <is>
          <t>Lương:Cạnh tranh</t>
        </is>
      </c>
      <c r="F16811" t="inlineStr">
        <is>
          <t>Hồ Chí Minh</t>
        </is>
      </c>
      <c r="G16811" t="inlineStr">
        <is>
          <t>30-04-2026</t>
        </is>
      </c>
      <c r="H16811" t="inlineStr">
        <is>
          <t>30/04/2026</t>
        </is>
      </c>
      <c r="I16811" t="inlineStr">
        <is>
          <t>17/03/2026</t>
        </is>
      </c>
      <c r="J16811" t="inlineStr">
        <is>
          <t>CNTT - Phần mềm, Thực phẩm &amp; Đồ uống, Bán lẻ / Bán sỉ</t>
        </is>
      </c>
      <c r="K16811" t="inlineStr">
        <is>
          <t>3 - 4 Năm</t>
        </is>
      </c>
      <c r="L16811" s="8">
        <f>HYPERLINK("https://careerviet.vn/vi/tim-viec-lam/backend-engineer-golang-python.35C6A3E4.html","Xem chi tiết")</f>
        <v/>
      </c>
    </row>
    <row r="16812">
      <c r="B16812" s="9" t="n">
        <v>16810</v>
      </c>
      <c r="C16812" s="10" t="inlineStr">
        <is>
          <t>Nhân viên Sales Admin</t>
        </is>
      </c>
      <c r="D16812" s="10" t="inlineStr">
        <is>
          <t>Công ty Cổ phần Đầu tư Thương mại Bách Tường Phát</t>
        </is>
      </c>
      <c r="E16812" s="10" t="inlineStr">
        <is>
          <t>Lương:Cạnh tranh</t>
        </is>
      </c>
      <c r="F16812" s="10" t="inlineStr">
        <is>
          <t>Hồ Chí Minh</t>
        </is>
      </c>
      <c r="G16812" s="10" t="inlineStr">
        <is>
          <t>06-04-2026</t>
        </is>
      </c>
      <c r="H16812" s="10" t="inlineStr">
        <is>
          <t>06/04/2026</t>
        </is>
      </c>
      <c r="I16812" s="10" t="inlineStr">
        <is>
          <t>17/03/2026</t>
        </is>
      </c>
      <c r="J16812" s="10" t="inlineStr">
        <is>
          <t>Tiếp thị / Marketing, Hàng gia dụng / Chăm sóc cá nhân, Kế toán / Kiểm toán</t>
        </is>
      </c>
      <c r="K16812" s="10" t="inlineStr">
        <is>
          <t>1 - 3 Năm</t>
        </is>
      </c>
      <c r="L16812" s="11">
        <f>HYPERLINK("https://careerviet.vn/vi/tim-viec-lam/nhan-vien-sales-admin.35C64BBF.html","Xem chi tiết")</f>
        <v/>
      </c>
      <c r="M16812" s="10" t="n"/>
    </row>
    <row r="16813">
      <c r="B16813" s="7" t="n">
        <v>16811</v>
      </c>
      <c r="C16813" t="inlineStr">
        <is>
          <t>Nhân Viên Thủ Kho Bảo Trì (KCN Bàu Bàng)</t>
        </is>
      </c>
      <c r="D16813" t="inlineStr">
        <is>
          <t>RAWLPLUG VIETNAM COMPANY LIMITED</t>
        </is>
      </c>
      <c r="E16813" t="inlineStr">
        <is>
          <t>Lương:8 Tr - 10 Tr VND</t>
        </is>
      </c>
      <c r="F16813" t="inlineStr">
        <is>
          <t>Bình Dương</t>
        </is>
      </c>
      <c r="G16813" t="inlineStr">
        <is>
          <t>06-04-2026</t>
        </is>
      </c>
      <c r="H16813" t="inlineStr">
        <is>
          <t>06/04/2026</t>
        </is>
      </c>
      <c r="I16813" t="inlineStr">
        <is>
          <t>17/03/2026</t>
        </is>
      </c>
      <c r="J16813" t="inlineStr">
        <is>
          <t>Cơ khí / Ô tô / Tự động hóa, Điện / Điện tử / Điện lạnh / Điện công nghiệp, Bảo trì / Sửa chữa</t>
        </is>
      </c>
      <c r="K16813" t="inlineStr">
        <is>
          <t>N/A</t>
        </is>
      </c>
      <c r="L16813" s="8">
        <f>HYPERLINK("https://careerviet.vn/vi/tim-viec-lam/nhan-vien-thu-kho-bao-tri-kcn-bau-bang.35C64A6A.html","Xem chi tiết")</f>
        <v/>
      </c>
    </row>
    <row r="16814">
      <c r="B16814" s="9" t="n">
        <v>16812</v>
      </c>
      <c r="C16814" s="10" t="inlineStr">
        <is>
          <t>Tài xế cho Giám đốc</t>
        </is>
      </c>
      <c r="D16814" s="10" t="inlineStr">
        <is>
          <t>Bảo mật</t>
        </is>
      </c>
      <c r="E16814" s="10" t="inlineStr">
        <is>
          <t>Lương:9 Tr - 10,5 Tr VND</t>
        </is>
      </c>
      <c r="F16814" s="10" t="inlineStr">
        <is>
          <t>Hồ Chí Minh</t>
        </is>
      </c>
      <c r="G16814" s="10" t="inlineStr">
        <is>
          <t>06-04-2026</t>
        </is>
      </c>
      <c r="H16814" s="10" t="inlineStr">
        <is>
          <t>06/04/2026</t>
        </is>
      </c>
      <c r="I16814" s="10" t="inlineStr">
        <is>
          <t>17/03/2026</t>
        </is>
      </c>
      <c r="J16814" s="10" t="inlineStr">
        <is>
          <t>Vận chuyển / Giao nhận / Kho vận, Ngành khác, Lao động phổ thông</t>
        </is>
      </c>
      <c r="K16814" s="10" t="inlineStr">
        <is>
          <t>2 - 5 Năm</t>
        </is>
      </c>
      <c r="L16814" s="11">
        <f>HYPERLINK("https://careerviet.vn/vi/tim-viec-lam/tai-xe-cho-giam-doc.35C64B1E.html","Xem chi tiết")</f>
        <v/>
      </c>
      <c r="M16814" s="10" t="n"/>
    </row>
    <row r="16815">
      <c r="B16815" s="7" t="n">
        <v>16813</v>
      </c>
      <c r="C16815" t="inlineStr">
        <is>
          <t>Giám đốc Quản lý Khách hàng ưu tiên</t>
        </is>
      </c>
      <c r="D16815" t="inlineStr">
        <is>
          <t>Ngân Hàng TMCP Quốc Tế Việt Nam</t>
        </is>
      </c>
      <c r="E16815" t="inlineStr">
        <is>
          <t>Lương:15 Tr - 30 Tr VND</t>
        </is>
      </c>
      <c r="F16815" t="inlineStr">
        <is>
          <t>Quảng NinhHải PhòngHải Dương</t>
        </is>
      </c>
      <c r="G16815" t="inlineStr">
        <is>
          <t>06-04-2026</t>
        </is>
      </c>
      <c r="H16815" t="inlineStr">
        <is>
          <t>06/04/2026</t>
        </is>
      </c>
      <c r="I16815" t="inlineStr">
        <is>
          <t>17/03/2026</t>
        </is>
      </c>
      <c r="J16815" t="inlineStr">
        <is>
          <t>Bán hàng / Kinh doanh</t>
        </is>
      </c>
      <c r="K16815" t="inlineStr">
        <is>
          <t>Trên 1 Năm</t>
        </is>
      </c>
      <c r="L16815" s="8">
        <f>HYPERLINK("https://careerviet.vn/vi/tim-viec-lam/giam-doc-quan-ly-khach-hang-uu-tien.35C64ACC.html","Xem chi tiết")</f>
        <v/>
      </c>
    </row>
    <row r="16816">
      <c r="B16816" s="9" t="n">
        <v>16814</v>
      </c>
      <c r="C16816" s="10" t="inlineStr">
        <is>
          <t>Senior Account Executive (Quản Lý Dự Án Truyền Thông - Agency Media)</t>
        </is>
      </c>
      <c r="D16816" s="10" t="inlineStr">
        <is>
          <t>CÔNG TY CỔ PHẦN TAJ VIỆT NAM</t>
        </is>
      </c>
      <c r="E16816" s="10" t="inlineStr">
        <is>
          <t>Lương:Trên 20 Tr VND</t>
        </is>
      </c>
      <c r="F16816" s="10" t="inlineStr">
        <is>
          <t>Hà Nội</t>
        </is>
      </c>
      <c r="G16816" s="10" t="inlineStr">
        <is>
          <t>06-04-2026</t>
        </is>
      </c>
      <c r="H16816" s="10" t="inlineStr">
        <is>
          <t>06/04/2026</t>
        </is>
      </c>
      <c r="I16816" s="10" t="inlineStr">
        <is>
          <t>17/03/2026</t>
        </is>
      </c>
      <c r="J16816" s="10" t="inlineStr">
        <is>
          <t>Tiếp thị / Marketing, Quảng cáo / Đối ngoại / Truyền Thông, Truyền hình / Báo chí / Biên tập</t>
        </is>
      </c>
      <c r="K16816" s="10" t="inlineStr">
        <is>
          <t>4 - 5 Năm</t>
        </is>
      </c>
      <c r="L16816" s="11">
        <f>HYPERLINK("https://careerviet.vn/vi/tim-viec-lam/senior-account-executive-quan-ly-du-an-truyen-thong-agency-media.35C64A6E.html","Xem chi tiết")</f>
        <v/>
      </c>
      <c r="M16816" s="10" t="n"/>
    </row>
    <row r="16817">
      <c r="B16817" s="7" t="n">
        <v>16815</v>
      </c>
      <c r="C16817" t="inlineStr">
        <is>
          <t>[Part-time] Chăm sóc khách hàng - Có đào tạo</t>
        </is>
      </c>
      <c r="D16817" t="inlineStr">
        <is>
          <t>CareerViet's client</t>
        </is>
      </c>
      <c r="E16817" t="inlineStr">
        <is>
          <t>Lương:5 Tr - 8 Tr VND</t>
        </is>
      </c>
      <c r="F16817" t="inlineStr">
        <is>
          <t>Hồ Chí Minh</t>
        </is>
      </c>
      <c r="G16817" t="inlineStr">
        <is>
          <t>06-04-2026</t>
        </is>
      </c>
      <c r="H16817" t="inlineStr">
        <is>
          <t>06/04/2026</t>
        </is>
      </c>
      <c r="I16817" t="inlineStr">
        <is>
          <t>17/03/2026</t>
        </is>
      </c>
      <c r="J16817" t="inlineStr">
        <is>
          <t>Tiếp thị / Marketing, Bán lẻ / Bán sỉ, Bán hàng / Kinh doanh</t>
        </is>
      </c>
      <c r="K16817" t="inlineStr">
        <is>
          <t>N/A</t>
        </is>
      </c>
      <c r="L16817" s="8">
        <f>HYPERLINK("https://careerviet.vn/vi/tim-viec-lam/part-time-cham-soc-khach-hang-co-dao-tao.35C64BA8.html","Xem chi tiết")</f>
        <v/>
      </c>
    </row>
    <row r="16818">
      <c r="B16818" s="9" t="n">
        <v>16816</v>
      </c>
      <c r="C16818" s="10" t="inlineStr">
        <is>
          <t>Trưởng Qũy</t>
        </is>
      </c>
      <c r="D16818" s="10" t="inlineStr">
        <is>
          <t>NGÂN HÀNG TMCP KỸ THƯƠNG VIỆT NAM (TECHCOMBANK)</t>
        </is>
      </c>
      <c r="E16818" s="10" t="inlineStr">
        <is>
          <t>Lương:Cạnh tranh</t>
        </is>
      </c>
      <c r="F16818" s="10" t="inlineStr">
        <is>
          <t>Bình Dương</t>
        </is>
      </c>
      <c r="G16818" s="10" t="inlineStr">
        <is>
          <t>06-04-2026</t>
        </is>
      </c>
      <c r="H16818" s="10" t="inlineStr">
        <is>
          <t>06/04/2026</t>
        </is>
      </c>
      <c r="I16818" s="10" t="inlineStr">
        <is>
          <t>17/03/2026</t>
        </is>
      </c>
      <c r="J16818" s="10" t="inlineStr">
        <is>
          <t>Ngân hàng, Kế toán / Kiểm toán, Tài chính / Đầu tư</t>
        </is>
      </c>
      <c r="K16818" s="10" t="inlineStr">
        <is>
          <t>Trên 5 Năm</t>
        </is>
      </c>
      <c r="L16818" s="11">
        <f>HYPERLINK("https://careerviet.vn/vi/tim-viec-lam/truong-quy.35C64C15.html","Xem chi tiết")</f>
        <v/>
      </c>
      <c r="M16818" s="10" t="n"/>
    </row>
    <row r="16819">
      <c r="B16819" s="7" t="n">
        <v>16817</v>
      </c>
      <c r="C16819" t="inlineStr">
        <is>
          <t>Chuyên viên Tuyển dụng tại Hà Nội</t>
        </is>
      </c>
      <c r="D16819" t="inlineStr">
        <is>
          <t>CÔNG TY CỔ PHẦN CÔNG NGHIỆP WELDCOM</t>
        </is>
      </c>
      <c r="E16819" t="inlineStr">
        <is>
          <t>Lương:15 Tr - 20 Tr VND</t>
        </is>
      </c>
      <c r="F16819" t="inlineStr">
        <is>
          <t>Hà Nội</t>
        </is>
      </c>
      <c r="G16819" t="inlineStr">
        <is>
          <t>02-04-2026</t>
        </is>
      </c>
      <c r="H16819" t="inlineStr">
        <is>
          <t>02/04/2026</t>
        </is>
      </c>
      <c r="I16819" t="inlineStr">
        <is>
          <t>17/03/2026</t>
        </is>
      </c>
      <c r="J16819" t="inlineStr">
        <is>
          <t>Quản lý điều hành, Nhân sự</t>
        </is>
      </c>
      <c r="K16819" t="inlineStr">
        <is>
          <t>2 - 5 Năm</t>
        </is>
      </c>
      <c r="L16819" s="8">
        <f>HYPERLINK("https://careerviet.vn/vi/tim-viec-lam/chuyen-vien-tuyen-dung-tai-ha-noi.35C64717.html","Xem chi tiết")</f>
        <v/>
      </c>
    </row>
    <row r="16820">
      <c r="B16820" s="9" t="n">
        <v>16818</v>
      </c>
      <c r="C16820" s="10" t="inlineStr">
        <is>
          <t>Trade Marketing Team Leader</t>
        </is>
      </c>
      <c r="D16820" s="10" t="inlineStr">
        <is>
          <t>Công ty Cổ phần CANIFA</t>
        </is>
      </c>
      <c r="E16820" s="10" t="inlineStr">
        <is>
          <t>Lương:25 Tr - 35 Tr VND</t>
        </is>
      </c>
      <c r="F16820" s="10" t="inlineStr">
        <is>
          <t>Hà Nội</t>
        </is>
      </c>
      <c r="G16820" s="10" t="inlineStr">
        <is>
          <t>06-04-2026</t>
        </is>
      </c>
      <c r="H16820" s="10" t="inlineStr">
        <is>
          <t>06/04/2026</t>
        </is>
      </c>
      <c r="I16820" s="10" t="inlineStr">
        <is>
          <t>17/03/2026</t>
        </is>
      </c>
      <c r="J16820" s="10" t="inlineStr">
        <is>
          <t>Tiếp thị / Marketing, Bán lẻ / Bán sỉ</t>
        </is>
      </c>
      <c r="K16820" s="10" t="inlineStr">
        <is>
          <t>3 - 7 Năm</t>
        </is>
      </c>
      <c r="L16820" s="11">
        <f>HYPERLINK("https://careerviet.vn/vi/tim-viec-lam/trade-marketing-team-leader.35C64C03.html","Xem chi tiết")</f>
        <v/>
      </c>
      <c r="M16820" s="10" t="n"/>
    </row>
    <row r="16821">
      <c r="B16821" s="7" t="n">
        <v>16819</v>
      </c>
      <c r="C16821" t="inlineStr">
        <is>
          <t>Nhân viên truyền thông (Marketing)</t>
        </is>
      </c>
      <c r="D16821" t="inlineStr">
        <is>
          <t>VĂN PHÒNG ĐẠI DIỆN JACK TECHNOLOGY CO., LTD. TẠI THÀNH PHỐ HỒ CHÍ MINH</t>
        </is>
      </c>
      <c r="E16821" t="inlineStr">
        <is>
          <t>Lương:12 Tr - 20 Tr VND</t>
        </is>
      </c>
      <c r="F16821" t="inlineStr">
        <is>
          <t>Hồ Chí Minh</t>
        </is>
      </c>
      <c r="G16821" t="inlineStr">
        <is>
          <t>06-04-2026</t>
        </is>
      </c>
      <c r="H16821" t="inlineStr">
        <is>
          <t>06/04/2026</t>
        </is>
      </c>
      <c r="I16821" t="inlineStr">
        <is>
          <t>17/03/2026</t>
        </is>
      </c>
      <c r="J16821" t="inlineStr">
        <is>
          <t>Mỹ thuật / Nghệ thuật / Thiết kế, Quảng cáo / Đối ngoại / Truyền Thông, Dệt may / Da giày / Thời trang</t>
        </is>
      </c>
      <c r="K16821" t="inlineStr">
        <is>
          <t>1 - 3 Năm</t>
        </is>
      </c>
      <c r="L16821" s="8">
        <f>HYPERLINK("https://careerviet.vn/vi/tim-viec-lam/nhan-vien-truyen-thong-marketing.35C64BD9.html","Xem chi tiết")</f>
        <v/>
      </c>
    </row>
    <row r="16822">
      <c r="B16822" s="9" t="n">
        <v>16820</v>
      </c>
      <c r="C16822" s="10" t="inlineStr">
        <is>
          <t>NHÂN VIÊN KINH DOANH THIẾT BỊ Y TẾ</t>
        </is>
      </c>
      <c r="D16822" s="10" t="inlineStr">
        <is>
          <t>CÔNG TY TNHH TRANG THIẾT BỊ Y TẾ ANH KHOA</t>
        </is>
      </c>
      <c r="E16822" s="10" t="inlineStr">
        <is>
          <t>Lương:Cạnh tranh</t>
        </is>
      </c>
      <c r="F16822" s="10" t="inlineStr">
        <is>
          <t>Cần Thơ</t>
        </is>
      </c>
      <c r="G16822" s="10" t="inlineStr">
        <is>
          <t>06-04-2026</t>
        </is>
      </c>
      <c r="H16822" s="10" t="inlineStr">
        <is>
          <t>06/04/2026</t>
        </is>
      </c>
      <c r="I16822" s="10" t="inlineStr">
        <is>
          <t>17/03/2026</t>
        </is>
      </c>
      <c r="J16822" s="10" t="inlineStr">
        <is>
          <t>Bán hàng / Kinh doanh, Y tế / Chăm sóc sức khỏe / Thẩm mỹ / Làm đẹp</t>
        </is>
      </c>
      <c r="K16822" s="10" t="inlineStr">
        <is>
          <t>2 - 5 Năm</t>
        </is>
      </c>
      <c r="L16822" s="11">
        <f>HYPERLINK("https://careerviet.vn/vi/tim-viec-lam/nhan-vien-kinh-doanh-thiet-bi-y-te.35C64ABD.html","Xem chi tiết")</f>
        <v/>
      </c>
      <c r="M16822" s="10" t="n"/>
    </row>
    <row r="16823">
      <c r="B16823" s="7" t="n">
        <v>16821</v>
      </c>
      <c r="C16823" t="inlineStr">
        <is>
          <t>(KCN Đông Xuyên - VT) - GIÁM SÁT SẢN XUẤT</t>
        </is>
      </c>
      <c r="D16823" t="inlineStr">
        <is>
          <t>Công ty TNHH GT Line Á Châu</t>
        </is>
      </c>
      <c r="E16823" t="inlineStr">
        <is>
          <t>Lương:15 Tr - 20 Tr VND</t>
        </is>
      </c>
      <c r="F16823" t="inlineStr">
        <is>
          <t>Bà Rịa - Vũng Tàu</t>
        </is>
      </c>
      <c r="G16823" t="inlineStr">
        <is>
          <t>06-04-2026</t>
        </is>
      </c>
      <c r="H16823" t="inlineStr">
        <is>
          <t>06/04/2026</t>
        </is>
      </c>
      <c r="I16823" t="inlineStr">
        <is>
          <t>17/03/2026</t>
        </is>
      </c>
      <c r="J16823" t="inlineStr">
        <is>
          <t>Dệt may / Da giày / Thời trang</t>
        </is>
      </c>
      <c r="K16823" t="inlineStr">
        <is>
          <t>5 - 7 Năm</t>
        </is>
      </c>
      <c r="L16823" s="8">
        <f>HYPERLINK("https://careerviet.vn/vi/tim-viec-lam/kcn-dong-xuyen-vt-giam-sat-san-xuat.35C64A37.html","Xem chi tiết")</f>
        <v/>
      </c>
    </row>
    <row r="16824">
      <c r="B16824" s="9" t="n">
        <v>16822</v>
      </c>
      <c r="C16824" s="10" t="inlineStr">
        <is>
          <t>Nhân Viên Giám Sát</t>
        </is>
      </c>
      <c r="D16824" s="10" t="inlineStr">
        <is>
          <t>CÔNG TY CỔ PHẦN TƯ VẤN CHUYỂN GIAO CÔNG NGHỆ ITC</t>
        </is>
      </c>
      <c r="E16824" s="10" t="inlineStr">
        <is>
          <t>Lương:Cạnh tranh</t>
        </is>
      </c>
      <c r="F16824" s="10" t="inlineStr">
        <is>
          <t>Hà Nội</t>
        </is>
      </c>
      <c r="G16824" s="10" t="inlineStr">
        <is>
          <t>06-04-2026</t>
        </is>
      </c>
      <c r="H16824" s="10" t="inlineStr">
        <is>
          <t>06/04/2026</t>
        </is>
      </c>
      <c r="I16824" s="10" t="inlineStr">
        <is>
          <t>17/03/2026</t>
        </is>
      </c>
      <c r="J16824" s="10" t="inlineStr">
        <is>
          <t>Quản lý điều hành, An Ninh / Bảo Vệ</t>
        </is>
      </c>
      <c r="K16824" s="10" t="inlineStr">
        <is>
          <t>N/A</t>
        </is>
      </c>
      <c r="L16824" s="11">
        <f>HYPERLINK("https://careerviet.vn/vi/tim-viec-lam/nhan-vien-giam-sat.35C64B0D.html","Xem chi tiết")</f>
        <v/>
      </c>
      <c r="M16824" s="10" t="n"/>
    </row>
    <row r="16825">
      <c r="B16825" s="7" t="n">
        <v>16823</v>
      </c>
      <c r="C16825" t="inlineStr">
        <is>
          <t>Sales Executive</t>
        </is>
      </c>
      <c r="D16825" t="inlineStr">
        <is>
          <t>Công ty TNHH Baller Headwear Việt Nam</t>
        </is>
      </c>
      <c r="E16825" t="inlineStr">
        <is>
          <t>Lương:15 Tr - 18 Tr VND</t>
        </is>
      </c>
      <c r="F16825" t="inlineStr">
        <is>
          <t>Đà Nẵng</t>
        </is>
      </c>
      <c r="G16825" t="inlineStr">
        <is>
          <t>06-04-2026</t>
        </is>
      </c>
      <c r="H16825" t="inlineStr">
        <is>
          <t>06/04/2026</t>
        </is>
      </c>
      <c r="I16825" t="inlineStr">
        <is>
          <t>17/03/2026</t>
        </is>
      </c>
      <c r="J16825" t="inlineStr">
        <is>
          <t>Bán hàng / Kinh doanh</t>
        </is>
      </c>
      <c r="K16825" t="inlineStr">
        <is>
          <t>1 - 3 Năm</t>
        </is>
      </c>
      <c r="L16825" s="8">
        <f>HYPERLINK("https://careerviet.vn/vi/tim-viec-lam/sales-executive.35C64A2C.html","Xem chi tiết")</f>
        <v/>
      </c>
    </row>
    <row r="16826">
      <c r="B16826" s="9" t="n">
        <v>16824</v>
      </c>
      <c r="C16826" s="10" t="inlineStr">
        <is>
          <t>Trợ lý Dự án Làm việc Tại Long Biên, Hà Nội</t>
        </is>
      </c>
      <c r="D16826" s="10" t="inlineStr">
        <is>
          <t>CÔNG TY CỔ PHẦN CÔNG NGHIỆP WELDCOM</t>
        </is>
      </c>
      <c r="E16826" s="10" t="inlineStr">
        <is>
          <t>Lương:13 Tr - 15 Tr VND</t>
        </is>
      </c>
      <c r="F16826" s="10" t="inlineStr">
        <is>
          <t>Hà Nội</t>
        </is>
      </c>
      <c r="G16826" s="10" t="inlineStr">
        <is>
          <t>06-04-2026</t>
        </is>
      </c>
      <c r="H16826" s="10" t="inlineStr">
        <is>
          <t>06/04/2026</t>
        </is>
      </c>
      <c r="I16826" s="10" t="inlineStr">
        <is>
          <t>17/03/2026</t>
        </is>
      </c>
      <c r="J16826" s="10" t="inlineStr">
        <is>
          <t>Dịch vụ khách hàng, Hành chính / Thư ký, Biên phiên dịch</t>
        </is>
      </c>
      <c r="K16826" s="10" t="inlineStr">
        <is>
          <t>1 - 3 Năm</t>
        </is>
      </c>
      <c r="L16826" s="11">
        <f>HYPERLINK("https://careerviet.vn/vi/tim-viec-lam/tro-ly-du-an-lam-viec-tai-long-bien-ha-noi.35C64A4E.html","Xem chi tiết")</f>
        <v/>
      </c>
      <c r="M16826" s="10" t="n"/>
    </row>
    <row r="16827">
      <c r="B16827" s="7" t="n">
        <v>16825</v>
      </c>
      <c r="C16827" t="inlineStr">
        <is>
          <t>Chuyên viên Quản lý và Hỗ trợ Tín dụng - Chi nhánh Bình Dương</t>
        </is>
      </c>
      <c r="D16827" t="inlineStr">
        <is>
          <t>Indovina Bank Ltd.</t>
        </is>
      </c>
      <c r="E16827" t="inlineStr">
        <is>
          <t>Lương:Cạnh tranh</t>
        </is>
      </c>
      <c r="F16827" t="inlineStr">
        <is>
          <t>Bình Dương</t>
        </is>
      </c>
      <c r="G16827" t="inlineStr">
        <is>
          <t>06-04-2026</t>
        </is>
      </c>
      <c r="H16827" t="inlineStr">
        <is>
          <t>06/04/2026</t>
        </is>
      </c>
      <c r="I16827" t="inlineStr">
        <is>
          <t>17/03/2026</t>
        </is>
      </c>
      <c r="J16827" t="inlineStr">
        <is>
          <t>Dịch vụ khách hàng, Ngân hàng, Tài chính / Đầu tư</t>
        </is>
      </c>
      <c r="K16827" t="inlineStr">
        <is>
          <t>1 - 2 Năm</t>
        </is>
      </c>
      <c r="L16827" s="8">
        <f>HYPERLINK("https://careerviet.vn/vi/tim-viec-lam/chuyen-vien-quan-ly-va-ho-tro-tin-dung-chi-nhanh-binh-duong.35C64B57.html","Xem chi tiết")</f>
        <v/>
      </c>
    </row>
    <row r="16828">
      <c r="B16828" s="9" t="n">
        <v>16826</v>
      </c>
      <c r="C16828" s="10" t="inlineStr">
        <is>
          <t>Kỹ Sư Lập Trình AI &amp; Robotics (Edge AI Specialist)</t>
        </is>
      </c>
      <c r="D16828" s="10" t="inlineStr">
        <is>
          <t>CÔNG TY TNHH TAB VIET NAM</t>
        </is>
      </c>
      <c r="E16828" s="10" t="inlineStr">
        <is>
          <t>Lương:Lên đến 40 Tr VND</t>
        </is>
      </c>
      <c r="F16828" s="10" t="inlineStr">
        <is>
          <t>Hồ Chí MinhTiền Giang</t>
        </is>
      </c>
      <c r="G16828" s="10" t="inlineStr">
        <is>
          <t>06-04-2026</t>
        </is>
      </c>
      <c r="H16828" s="10" t="inlineStr">
        <is>
          <t>06/04/2026</t>
        </is>
      </c>
      <c r="I16828" s="10" t="inlineStr">
        <is>
          <t>17/03/2026</t>
        </is>
      </c>
      <c r="J16828" s="10" t="inlineStr">
        <is>
          <t>CNTT - Phần mềm, Bưu chính viễn thông, CNTT - Phần cứng / Mạng</t>
        </is>
      </c>
      <c r="K16828" s="10" t="inlineStr">
        <is>
          <t>Trên 2 Năm</t>
        </is>
      </c>
      <c r="L16828" s="11">
        <f>HYPERLINK("https://careerviet.vn/vi/tim-viec-lam/ky-su-lap-trinh-ai-robotics-edge-ai-specialist.35C64B92.html","Xem chi tiết")</f>
        <v/>
      </c>
      <c r="M16828" s="10" t="n"/>
    </row>
    <row r="16829">
      <c r="B16829" s="7" t="n">
        <v>16827</v>
      </c>
      <c r="C16829" t="inlineStr">
        <is>
          <t>NHÂN VIÊN KINH DOANH - KHU VỰC BÌNH DƯƠNG</t>
        </is>
      </c>
      <c r="D16829" t="inlineStr">
        <is>
          <t>CÔNG TY TNHH CESCO VIỆT NAM</t>
        </is>
      </c>
      <c r="E16829" t="inlineStr">
        <is>
          <t>Lương:10 Tr - 13 Tr VND</t>
        </is>
      </c>
      <c r="F16829" t="inlineStr">
        <is>
          <t>Bình Dương</t>
        </is>
      </c>
      <c r="G16829" t="inlineStr">
        <is>
          <t>06-04-2026</t>
        </is>
      </c>
      <c r="H16829" t="inlineStr">
        <is>
          <t>06/04/2026</t>
        </is>
      </c>
      <c r="I16829" t="inlineStr">
        <is>
          <t>17/03/2026</t>
        </is>
      </c>
      <c r="J16829" t="inlineStr">
        <is>
          <t>Bán lẻ / Bán sỉ, Bán hàng / Kinh doanh, Bán Hàng Kỹ Thuật</t>
        </is>
      </c>
      <c r="K16829" t="inlineStr">
        <is>
          <t>3 - 5 Năm</t>
        </is>
      </c>
      <c r="L16829" s="8">
        <f>HYPERLINK("https://careerviet.vn/vi/tim-viec-lam/nhan-vien-kinh-doanh-khu-vuc-binh-duong.35C64BD8.html","Xem chi tiết")</f>
        <v/>
      </c>
    </row>
    <row r="16830">
      <c r="B16830" s="9" t="n">
        <v>16828</v>
      </c>
      <c r="C16830" s="10" t="inlineStr">
        <is>
          <t>Quản Lý Chuỗi Cung Ứng (Supply Chain Manager)</t>
        </is>
      </c>
      <c r="D16830" s="10" t="inlineStr">
        <is>
          <t>CÔNG TY TNHH ECOAE LỘC PHÁT</t>
        </is>
      </c>
      <c r="E16830" s="10" t="inlineStr">
        <is>
          <t>Lương:20 Tr - 40 Tr VND</t>
        </is>
      </c>
      <c r="F16830" s="10" t="inlineStr">
        <is>
          <t>Hồ Chí Minh</t>
        </is>
      </c>
      <c r="G16830" s="10" t="inlineStr">
        <is>
          <t>06-04-2026</t>
        </is>
      </c>
      <c r="H16830" s="10" t="inlineStr">
        <is>
          <t>06/04/2026</t>
        </is>
      </c>
      <c r="I16830" s="10" t="inlineStr">
        <is>
          <t>17/03/2026</t>
        </is>
      </c>
      <c r="J16830" s="10" t="inlineStr">
        <is>
          <t>Thương mại điện tử</t>
        </is>
      </c>
      <c r="K16830" s="10" t="inlineStr">
        <is>
          <t>3 - 5 Năm</t>
        </is>
      </c>
      <c r="L16830" s="11">
        <f>HYPERLINK("https://careerviet.vn/vi/tim-viec-lam/quan-ly-chuoi-cung-ung-supply-chain-manager.35C64B3B.html","Xem chi tiết")</f>
        <v/>
      </c>
      <c r="M16830" s="10" t="n"/>
    </row>
    <row r="16831">
      <c r="B16831" s="7" t="n">
        <v>16829</v>
      </c>
      <c r="C16831" t="inlineStr">
        <is>
          <t>Giám đốc Quản lý khách hàng cá nhân</t>
        </is>
      </c>
      <c r="D16831" t="inlineStr">
        <is>
          <t>Ngân Hàng TMCP Quốc Tế Việt Nam</t>
        </is>
      </c>
      <c r="E16831" t="inlineStr">
        <is>
          <t>Lương:18 Tr - 25 Tr VND</t>
        </is>
      </c>
      <c r="F16831" t="inlineStr">
        <is>
          <t>Khánh HòaBà Rịa - Vũng TàuĐồng Nai</t>
        </is>
      </c>
      <c r="G16831" t="inlineStr">
        <is>
          <t>06-04-2026</t>
        </is>
      </c>
      <c r="H16831" t="inlineStr">
        <is>
          <t>06/04/2026</t>
        </is>
      </c>
      <c r="I16831" t="inlineStr">
        <is>
          <t>17/03/2026</t>
        </is>
      </c>
      <c r="J16831" t="inlineStr">
        <is>
          <t>Ngân hàng, Bảo hiểm, Tài chính / Đầu tư</t>
        </is>
      </c>
      <c r="K16831" t="inlineStr">
        <is>
          <t>1 - 5 Năm</t>
        </is>
      </c>
      <c r="L16831" s="8">
        <f>HYPERLINK("https://careerviet.vn/vi/tim-viec-lam/giam-doc-quan-ly-khach-hang-ca-nhan.35C64AFA.html","Xem chi tiết")</f>
        <v/>
      </c>
    </row>
    <row r="16832">
      <c r="B16832" s="9" t="n">
        <v>16830</v>
      </c>
      <c r="C16832" s="10" t="inlineStr">
        <is>
          <t>[Pho24] Senior Accountant</t>
        </is>
      </c>
      <c r="D16832" s="10" t="inlineStr">
        <is>
          <t>Viet Thai International</t>
        </is>
      </c>
      <c r="E16832" s="10" t="inlineStr">
        <is>
          <t>Lương:Cạnh tranh</t>
        </is>
      </c>
      <c r="F16832" s="10" t="inlineStr">
        <is>
          <t>Hồ Chí Minh</t>
        </is>
      </c>
      <c r="G16832" s="10" t="inlineStr">
        <is>
          <t>06-04-2026</t>
        </is>
      </c>
      <c r="H16832" s="10" t="inlineStr">
        <is>
          <t>06/04/2026</t>
        </is>
      </c>
      <c r="I16832" s="10" t="inlineStr">
        <is>
          <t>17/03/2026</t>
        </is>
      </c>
      <c r="J16832" s="10" t="inlineStr">
        <is>
          <t>Kế toán / Kiểm toán</t>
        </is>
      </c>
      <c r="K16832" s="10" t="inlineStr">
        <is>
          <t>2 - 3 Năm</t>
        </is>
      </c>
      <c r="L16832" s="11">
        <f>HYPERLINK("https://careerviet.vn/vi/tim-viec-lam/pho24-senior-accountant.35C64C16.html","Xem chi tiết")</f>
        <v/>
      </c>
      <c r="M16832" s="10" t="n"/>
    </row>
    <row r="16833">
      <c r="B16833" s="7" t="n">
        <v>16831</v>
      </c>
      <c r="C16833" t="inlineStr">
        <is>
          <t>SALES ENGINEER [WORK AT CỦ CHI]</t>
        </is>
      </c>
      <c r="D16833" t="inlineStr">
        <is>
          <t>CÔNG TY CP SAIGON AUTO SUPPORTING INDUSTRY</t>
        </is>
      </c>
      <c r="E16833" t="inlineStr">
        <is>
          <t>Lương:Cạnh tranh</t>
        </is>
      </c>
      <c r="F16833" t="inlineStr">
        <is>
          <t>Hồ Chí Minh</t>
        </is>
      </c>
      <c r="G16833" t="inlineStr">
        <is>
          <t>06-04-2026</t>
        </is>
      </c>
      <c r="H16833" t="inlineStr">
        <is>
          <t>06/04/2026</t>
        </is>
      </c>
      <c r="I16833" t="inlineStr">
        <is>
          <t>17/03/2026</t>
        </is>
      </c>
      <c r="J16833" t="inlineStr">
        <is>
          <t>Bán hàng / Kinh doanh, Cơ khí / Ô tô / Tự động hóa, Tiếp thị / Marketing</t>
        </is>
      </c>
      <c r="K16833" t="inlineStr">
        <is>
          <t>N/A</t>
        </is>
      </c>
      <c r="L16833" s="8">
        <f>HYPERLINK("https://careerviet.vn/vi/tim-viec-lam/sales-engineer-work-at-cu-chi.35C64AF4.html","Xem chi tiết")</f>
        <v/>
      </c>
    </row>
    <row r="16834">
      <c r="B16834" s="9" t="n">
        <v>16832</v>
      </c>
      <c r="C16834" s="10" t="inlineStr">
        <is>
          <t>Pet Specialist (Chuyên Gia Chăm Sóc Sức Khỏe/ Dinh Dưỡng Thú Cưng)</t>
        </is>
      </c>
      <c r="D16834" s="10" t="inlineStr">
        <is>
          <t>Công Ty TNHH Perfect Companion Việt Nam</t>
        </is>
      </c>
      <c r="E16834" s="10" t="inlineStr">
        <is>
          <t>Lương:Cạnh tranh</t>
        </is>
      </c>
      <c r="F16834" s="10" t="inlineStr">
        <is>
          <t>Hà Nội</t>
        </is>
      </c>
      <c r="G16834" s="10" t="inlineStr">
        <is>
          <t>06-04-2026</t>
        </is>
      </c>
      <c r="H16834" s="10" t="inlineStr">
        <is>
          <t>06/04/2026</t>
        </is>
      </c>
      <c r="I16834" s="10" t="inlineStr">
        <is>
          <t>17/03/2026</t>
        </is>
      </c>
      <c r="J16834" s="10" t="inlineStr">
        <is>
          <t>Tiếp thị / Marketing, Chăn nuôi / Thú y, Công nghệ thực phẩm / Dinh dưỡng</t>
        </is>
      </c>
      <c r="K16834" s="10" t="inlineStr">
        <is>
          <t>Lên đến 1 Năm</t>
        </is>
      </c>
      <c r="L16834" s="11">
        <f>HYPERLINK("https://careerviet.vn/vi/tim-viec-lam/pet-specialist-chuyen-gia-cham-soc-suc-khoe-dinh-duong-thu-cung.35C64A4D.html","Xem chi tiết")</f>
        <v/>
      </c>
      <c r="M16834" s="10" t="n"/>
    </row>
    <row r="16835">
      <c r="B16835" s="7" t="n">
        <v>16833</v>
      </c>
      <c r="C16835" t="inlineStr">
        <is>
          <t>Chuyên viên cao cấp Quản lý Dự án CNTT</t>
        </is>
      </c>
      <c r="D16835" t="inlineStr">
        <is>
          <t>LOTTE FINANCE VIETNAM</t>
        </is>
      </c>
      <c r="E16835" t="inlineStr">
        <is>
          <t>Lương:Cạnh tranh</t>
        </is>
      </c>
      <c r="F16835" t="inlineStr">
        <is>
          <t>Hà Nội</t>
        </is>
      </c>
      <c r="G16835" t="inlineStr">
        <is>
          <t>06-04-2026</t>
        </is>
      </c>
      <c r="H16835" t="inlineStr">
        <is>
          <t>06/04/2026</t>
        </is>
      </c>
      <c r="I16835" t="inlineStr">
        <is>
          <t>17/03/2026</t>
        </is>
      </c>
      <c r="J16835" t="inlineStr">
        <is>
          <t>CNTT - Phần cứng / Mạng, CNTT - Phần mềm, Ngân hàng</t>
        </is>
      </c>
      <c r="K16835" t="inlineStr">
        <is>
          <t>Trên 4 Năm</t>
        </is>
      </c>
      <c r="L16835" s="8">
        <f>HYPERLINK("https://careerviet.vn/vi/tim-viec-lam/chuyen-vien-cao-cap-quan-ly-du-an-cntt.35C64BE7.html","Xem chi tiết")</f>
        <v/>
      </c>
    </row>
    <row r="16836">
      <c r="B16836" s="9" t="n">
        <v>16834</v>
      </c>
      <c r="C16836" s="10" t="inlineStr">
        <is>
          <t>Trợ lý dự án</t>
        </is>
      </c>
      <c r="D16836" s="10" t="inlineStr">
        <is>
          <t>TECOTEC Technology</t>
        </is>
      </c>
      <c r="E16836" s="10" t="inlineStr">
        <is>
          <t>Lương:Trên 12 Tr VND</t>
        </is>
      </c>
      <c r="F16836" s="10" t="inlineStr">
        <is>
          <t>Hà Nội</t>
        </is>
      </c>
      <c r="G16836" s="10" t="inlineStr">
        <is>
          <t>06-04-2026</t>
        </is>
      </c>
      <c r="H16836" s="10" t="inlineStr">
        <is>
          <t>06/04/2026</t>
        </is>
      </c>
      <c r="I16836" s="10" t="inlineStr">
        <is>
          <t>17/03/2026</t>
        </is>
      </c>
      <c r="J16836" s="10" t="inlineStr">
        <is>
          <t>Điện / Điện tử / Điện lạnh / Điện công nghiệp, CNTT - Phần mềm, CNTT - Phần cứng / Mạng</t>
        </is>
      </c>
      <c r="K16836" s="10" t="inlineStr">
        <is>
          <t>Trên 5 Năm</t>
        </is>
      </c>
      <c r="L16836" s="11">
        <f>HYPERLINK("https://careerviet.vn/vi/tim-viec-lam/tro-ly-du-an.35C64BA3.html","Xem chi tiết")</f>
        <v/>
      </c>
      <c r="M16836" s="10" t="n"/>
    </row>
    <row r="16837">
      <c r="B16837" s="7" t="n">
        <v>16835</v>
      </c>
      <c r="C16837" t="inlineStr">
        <is>
          <t>Nhân viên Kỹ thuật bảo hành - Buôn Ma Thuột</t>
        </is>
      </c>
      <c r="D16837" t="inlineStr">
        <is>
          <t>NANOCO GROUP</t>
        </is>
      </c>
      <c r="E16837" t="inlineStr">
        <is>
          <t>Lương:Cạnh tranh</t>
        </is>
      </c>
      <c r="F16837" t="inlineStr">
        <is>
          <t>Dak Lak</t>
        </is>
      </c>
      <c r="G16837" t="inlineStr">
        <is>
          <t>06-04-2026</t>
        </is>
      </c>
      <c r="H16837" t="inlineStr">
        <is>
          <t>06/04/2026</t>
        </is>
      </c>
      <c r="I16837" t="inlineStr">
        <is>
          <t>17/03/2026</t>
        </is>
      </c>
      <c r="J16837" t="inlineStr">
        <is>
          <t>Điện / Điện tử / Điện lạnh / Điện công nghiệp, Bảo trì / Sửa chữa</t>
        </is>
      </c>
      <c r="K16837" t="inlineStr">
        <is>
          <t>1 - 10 Năm</t>
        </is>
      </c>
      <c r="L16837" s="8">
        <f>HYPERLINK("https://careerviet.vn/vi/tim-viec-lam/nhan-vien-ky-thuat-bao-hanh-buon-ma-thuot.35C64A9B.html","Xem chi tiết")</f>
        <v/>
      </c>
    </row>
    <row r="16838">
      <c r="B16838" s="9" t="n">
        <v>16836</v>
      </c>
      <c r="C16838" s="10" t="inlineStr">
        <is>
          <t>Nhân viên Y tế (thời vụ 6 tháng)</t>
        </is>
      </c>
      <c r="D16838" s="10" t="inlineStr">
        <is>
          <t>TRƯỜNG PHỔ THÔNG LIÊN CẤP H.A.S</t>
        </is>
      </c>
      <c r="E16838" s="10" t="inlineStr">
        <is>
          <t>Lương:10 Tr - 12 Tr VND</t>
        </is>
      </c>
      <c r="F16838" s="10" t="inlineStr">
        <is>
          <t>Hà Nội</t>
        </is>
      </c>
      <c r="G16838" s="10" t="inlineStr">
        <is>
          <t>06-04-2026</t>
        </is>
      </c>
      <c r="H16838" s="10" t="inlineStr">
        <is>
          <t>06/04/2026</t>
        </is>
      </c>
      <c r="I16838" s="10" t="inlineStr">
        <is>
          <t>17/03/2026</t>
        </is>
      </c>
      <c r="J16838" s="10" t="inlineStr">
        <is>
          <t>Giáo dục / Đào tạo, Y tế / Chăm sóc sức khỏe / Thẩm mỹ / Làm đẹp</t>
        </is>
      </c>
      <c r="K16838" s="10" t="inlineStr">
        <is>
          <t>1 - 3 Năm</t>
        </is>
      </c>
      <c r="L16838" s="11">
        <f>HYPERLINK("https://careerviet.vn/vi/tim-viec-lam/nhan-vien-y-te-thoi-vu-6-thang.35C64A81.html","Xem chi tiết")</f>
        <v/>
      </c>
      <c r="M16838" s="10" t="n"/>
    </row>
    <row r="16839">
      <c r="B16839" s="7" t="n">
        <v>16837</v>
      </c>
      <c r="C16839" t="inlineStr">
        <is>
          <t>Tài xế lái xe bằng D</t>
        </is>
      </c>
      <c r="D16839" t="inlineStr">
        <is>
          <t>CÔNG TY CỔ PHẦN TẬP ĐOÀN THÀNH NAM</t>
        </is>
      </c>
      <c r="E16839" t="inlineStr">
        <is>
          <t>Lương:14 Tr - 20 Tr VND</t>
        </is>
      </c>
      <c r="F16839" t="inlineStr">
        <is>
          <t>Hà Nội</t>
        </is>
      </c>
      <c r="G16839" t="inlineStr">
        <is>
          <t>06-04-2026</t>
        </is>
      </c>
      <c r="H16839" t="inlineStr">
        <is>
          <t>06/04/2026</t>
        </is>
      </c>
      <c r="I16839" t="inlineStr">
        <is>
          <t>17/03/2026</t>
        </is>
      </c>
      <c r="J16839" t="inlineStr">
        <is>
          <t>Vận chuyển / Giao nhận / Kho vận</t>
        </is>
      </c>
      <c r="K16839" t="inlineStr">
        <is>
          <t>Trên 1 Năm</t>
        </is>
      </c>
      <c r="L16839" s="8">
        <f>HYPERLINK("https://careerviet.vn/vi/tim-viec-lam/tai-xe-lai-xe-bang-d.35C64AB0.html","Xem chi tiết")</f>
        <v/>
      </c>
    </row>
    <row r="16840">
      <c r="B16840" s="9" t="n">
        <v>16838</v>
      </c>
      <c r="C16840" s="10" t="inlineStr">
        <is>
          <t>THỦ KHO NHÀ HÀNG B40</t>
        </is>
      </c>
      <c r="D16840" s="10" t="inlineStr">
        <is>
          <t>Công Ty Hoàng An Nhiên</t>
        </is>
      </c>
      <c r="E16840" s="10" t="inlineStr">
        <is>
          <t>Lương:7 Tr - 9 Tr VND</t>
        </is>
      </c>
      <c r="F16840" s="10" t="inlineStr">
        <is>
          <t>Hồ Chí Minh</t>
        </is>
      </c>
      <c r="G16840" s="10" t="inlineStr">
        <is>
          <t>06-04-2026</t>
        </is>
      </c>
      <c r="H16840" s="10" t="inlineStr">
        <is>
          <t>06/04/2026</t>
        </is>
      </c>
      <c r="I16840" s="10" t="inlineStr">
        <is>
          <t>17/03/2026</t>
        </is>
      </c>
      <c r="J16840" s="10" t="inlineStr">
        <is>
          <t>Vận chuyển / Giao nhận / Kho vận, Nhà hàng / Khách sạn</t>
        </is>
      </c>
      <c r="K16840" s="10" t="inlineStr">
        <is>
          <t>1 - 2 Năm</t>
        </is>
      </c>
      <c r="L16840" s="11">
        <f>HYPERLINK("https://careerviet.vn/vi/tim-viec-lam/thu-kho-nha-hang-b40.35C64AC4.html","Xem chi tiết")</f>
        <v/>
      </c>
      <c r="M16840" s="10" t="n"/>
    </row>
    <row r="16841">
      <c r="B16841" s="7" t="n">
        <v>16839</v>
      </c>
      <c r="C16841" t="inlineStr">
        <is>
          <t>Nhân viên kỹ thuật  (Ngành nghề sản xuất balo, vali, túi xách)</t>
        </is>
      </c>
      <c r="D16841" t="inlineStr">
        <is>
          <t>Công ty TNHH GT Line Á Châu</t>
        </is>
      </c>
      <c r="E16841" t="inlineStr">
        <is>
          <t>Lương:9 Tr - 11 Tr VND</t>
        </is>
      </c>
      <c r="F16841" t="inlineStr">
        <is>
          <t>Bà Rịa - Vũng Tàu</t>
        </is>
      </c>
      <c r="G16841" t="inlineStr">
        <is>
          <t>06-04-2026</t>
        </is>
      </c>
      <c r="H16841" t="inlineStr">
        <is>
          <t>06/04/2026</t>
        </is>
      </c>
      <c r="I16841" t="inlineStr">
        <is>
          <t>17/03/2026</t>
        </is>
      </c>
      <c r="J16841" t="inlineStr">
        <is>
          <t>Sản xuất / Vận hành sản xuất, Dệt may / Da giày / Thời trang</t>
        </is>
      </c>
      <c r="K16841" t="inlineStr">
        <is>
          <t>1 - 5 Năm</t>
        </is>
      </c>
      <c r="L16841" s="8">
        <f>HYPERLINK("https://careerviet.vn/vi/tim-viec-lam/nhan-vien-ky-thuat-nganh-nghe-san-xuat-balo-vali-tui-xach.35C64A31.html","Xem chi tiết")</f>
        <v/>
      </c>
    </row>
    <row r="16842">
      <c r="B16842" s="9" t="n">
        <v>16840</v>
      </c>
      <c r="C16842" s="10" t="inlineStr">
        <is>
          <t>Nhân Viên An Toàn Lao Động</t>
        </is>
      </c>
      <c r="D16842" s="10" t="inlineStr">
        <is>
          <t>CÔNG TY CỔ PHẦN ĐẦU TƯ XÂY DỰNG HÀ TIÊN</t>
        </is>
      </c>
      <c r="E16842" s="10" t="inlineStr">
        <is>
          <t>Lương:10 Tr - 15 Tr VND</t>
        </is>
      </c>
      <c r="F16842" s="10" t="inlineStr">
        <is>
          <t>Hồ Chí Minh</t>
        </is>
      </c>
      <c r="G16842" s="10" t="inlineStr">
        <is>
          <t>06-04-2026</t>
        </is>
      </c>
      <c r="H16842" s="10" t="inlineStr">
        <is>
          <t>06/04/2026</t>
        </is>
      </c>
      <c r="I16842" s="10" t="inlineStr">
        <is>
          <t>17/03/2026</t>
        </is>
      </c>
      <c r="J16842" s="10" t="inlineStr">
        <is>
          <t>An toàn lao động, Xây dựng, Mới tốt nghiệp / Thực tập</t>
        </is>
      </c>
      <c r="K16842" s="10" t="inlineStr">
        <is>
          <t>N/A</t>
        </is>
      </c>
      <c r="L16842" s="11">
        <f>HYPERLINK("https://careerviet.vn/vi/tim-viec-lam/nhan-vien-an-toan-lao-dong.35C64A9A.html","Xem chi tiết")</f>
        <v/>
      </c>
      <c r="M16842" s="10" t="n"/>
    </row>
    <row r="16843">
      <c r="B16843" s="7" t="n">
        <v>16841</v>
      </c>
      <c r="C16843" t="inlineStr">
        <is>
          <t>Nhân viên vận hành máy - Nhà máy Bình Chánh</t>
        </is>
      </c>
      <c r="D16843" t="inlineStr">
        <is>
          <t>Marico South East Asia Corporation</t>
        </is>
      </c>
      <c r="E16843" t="inlineStr">
        <is>
          <t>Lương:Cạnh tranh</t>
        </is>
      </c>
      <c r="F16843" t="inlineStr">
        <is>
          <t>Hồ Chí Minh</t>
        </is>
      </c>
      <c r="G16843" t="inlineStr">
        <is>
          <t>06-04-2026</t>
        </is>
      </c>
      <c r="H16843" t="inlineStr">
        <is>
          <t>06/04/2026</t>
        </is>
      </c>
      <c r="I16843" t="inlineStr">
        <is>
          <t>17/03/2026</t>
        </is>
      </c>
      <c r="J16843" t="inlineStr">
        <is>
          <t>Thực phẩm &amp; Đồ uống, Sản xuất / Vận hành sản xuất</t>
        </is>
      </c>
      <c r="K16843" t="inlineStr">
        <is>
          <t>1 - 2 Năm</t>
        </is>
      </c>
      <c r="L16843" s="8">
        <f>HYPERLINK("https://careerviet.vn/vi/tim-viec-lam/nhan-vien-van-hanh-may-nha-may-binh-chanh.35C64B9D.html","Xem chi tiết")</f>
        <v/>
      </c>
    </row>
    <row r="16844">
      <c r="B16844" s="9" t="n">
        <v>16842</v>
      </c>
      <c r="C16844" s="10" t="inlineStr">
        <is>
          <t>Trợ lý Trưởng phòng Kênh Bán Lẻ Ngành Hàng Mẹ Và Bé</t>
        </is>
      </c>
      <c r="D16844" s="10" t="inlineStr">
        <is>
          <t>Công Ty TNHH XNK Cầu Nối Việt</t>
        </is>
      </c>
      <c r="E16844" s="10" t="inlineStr">
        <is>
          <t>Lương:9 Tr - 11 Tr VND</t>
        </is>
      </c>
      <c r="F16844" s="10" t="inlineStr">
        <is>
          <t>Hà Nội</t>
        </is>
      </c>
      <c r="G16844" s="10" t="inlineStr">
        <is>
          <t>06-04-2026</t>
        </is>
      </c>
      <c r="H16844" s="10" t="inlineStr">
        <is>
          <t>06/04/2026</t>
        </is>
      </c>
      <c r="I16844" s="10" t="inlineStr">
        <is>
          <t>17/03/2026</t>
        </is>
      </c>
      <c r="J16844" s="10" t="inlineStr">
        <is>
          <t>Tiếp thị / Marketing, Bán lẻ / Bán sỉ, Hàng gia dụng / Chăm sóc cá nhân</t>
        </is>
      </c>
      <c r="K16844" s="10" t="inlineStr">
        <is>
          <t>1 - 5 Năm</t>
        </is>
      </c>
      <c r="L16844" s="11">
        <f>HYPERLINK("https://careerviet.vn/vi/tim-viec-lam/tro-ly-truong-phong-kenh-ban-le-nganh-hang-me-va-be.35C64A87.html","Xem chi tiết")</f>
        <v/>
      </c>
      <c r="M16844" s="10" t="n"/>
    </row>
    <row r="16845">
      <c r="B16845" s="7" t="n">
        <v>16843</v>
      </c>
      <c r="C16845" t="inlineStr">
        <is>
          <t>Kỹ Thuật Hậu Kỳ/ Video Editor (Media Agency, Lương + Thưởng hấp dẫn)</t>
        </is>
      </c>
      <c r="D16845" t="inlineStr">
        <is>
          <t>CÔNG TY CỔ PHẦN TAJ VIỆT NAM</t>
        </is>
      </c>
      <c r="E16845" t="inlineStr">
        <is>
          <t>Lương:10 Tr - 14 Tr VND</t>
        </is>
      </c>
      <c r="F16845" t="inlineStr">
        <is>
          <t>Hà Nội</t>
        </is>
      </c>
      <c r="G16845" t="inlineStr">
        <is>
          <t>06-04-2026</t>
        </is>
      </c>
      <c r="H16845" t="inlineStr">
        <is>
          <t>06/04/2026</t>
        </is>
      </c>
      <c r="I16845" t="inlineStr">
        <is>
          <t>17/03/2026</t>
        </is>
      </c>
      <c r="J16845" t="inlineStr">
        <is>
          <t>Tiếp thị / Marketing, Mỹ thuật / Nghệ thuật / Thiết kế, Quảng cáo / Đối ngoại / Truyền Thông</t>
        </is>
      </c>
      <c r="K16845" t="inlineStr">
        <is>
          <t>2 - 3 Năm</t>
        </is>
      </c>
      <c r="L16845" s="8">
        <f>HYPERLINK("https://careerviet.vn/vi/tim-viec-lam/ky-thuat-hau-ky-video-editor-media-agency-luong-thuong-hap-dan.35C64A6D.html","Xem chi tiết")</f>
        <v/>
      </c>
    </row>
    <row r="16846">
      <c r="B16846" s="9" t="n">
        <v>16844</v>
      </c>
      <c r="C16846" s="10" t="inlineStr">
        <is>
          <t>Quản lý cao cấp Khách hàng Doanh nghiệp lớn - Quảng Ninh, Hải Phòng, Thanh Hóa</t>
        </is>
      </c>
      <c r="D16846" s="10" t="inlineStr">
        <is>
          <t>Ngân Hàng TMCP Quốc Tế Việt Nam</t>
        </is>
      </c>
      <c r="E16846" s="10" t="inlineStr">
        <is>
          <t>Lương:15 Tr - 30 Tr VND</t>
        </is>
      </c>
      <c r="F16846" s="10" t="inlineStr">
        <is>
          <t>Hải PhòngQuảng NinhThanh Hóa</t>
        </is>
      </c>
      <c r="G16846" s="10" t="inlineStr">
        <is>
          <t>06-04-2026</t>
        </is>
      </c>
      <c r="H16846" s="10" t="inlineStr">
        <is>
          <t>06/04/2026</t>
        </is>
      </c>
      <c r="I16846" s="10" t="inlineStr">
        <is>
          <t>17/03/2026</t>
        </is>
      </c>
      <c r="J16846" s="10" t="inlineStr">
        <is>
          <t>Bán hàng / Kinh doanh</t>
        </is>
      </c>
      <c r="K16846" s="10" t="inlineStr">
        <is>
          <t>Trên 1 Năm</t>
        </is>
      </c>
      <c r="L16846" s="11">
        <f>HYPERLINK("https://careerviet.vn/vi/tim-viec-lam/quan-ly-cao-cap-khach-hang-doanh-nghiep-lon-quang-ninh-hai-phong-thanh-hoa.35C64B1A.html","Xem chi tiết")</f>
        <v/>
      </c>
      <c r="M16846" s="10" t="n"/>
    </row>
    <row r="16847">
      <c r="B16847" s="7" t="n">
        <v>16845</v>
      </c>
      <c r="C16847" t="inlineStr">
        <is>
          <t>New Product Development &amp; Project Coordinator</t>
        </is>
      </c>
      <c r="D16847" t="inlineStr">
        <is>
          <t>Marico South East Asia Corporation</t>
        </is>
      </c>
      <c r="E16847" t="inlineStr">
        <is>
          <t>Lương:Cạnh tranh</t>
        </is>
      </c>
      <c r="F16847" t="inlineStr">
        <is>
          <t>Hồ Chí Minh</t>
        </is>
      </c>
      <c r="G16847" t="inlineStr">
        <is>
          <t>06-04-2026</t>
        </is>
      </c>
      <c r="H16847" t="inlineStr">
        <is>
          <t>06/04/2026</t>
        </is>
      </c>
      <c r="I16847" t="inlineStr">
        <is>
          <t>17/03/2026</t>
        </is>
      </c>
      <c r="J16847" t="inlineStr">
        <is>
          <t>Sản xuất / Vận hành sản xuất, Ngành khác</t>
        </is>
      </c>
      <c r="K16847" t="inlineStr">
        <is>
          <t>Trên 2 Năm</t>
        </is>
      </c>
      <c r="L16847" s="8">
        <f>HYPERLINK("https://careerviet.vn/vi/tim-viec-lam/new-product-development-project-coordinator.35C64AA2.html","Xem chi tiết")</f>
        <v/>
      </c>
    </row>
    <row r="16848">
      <c r="B16848" s="9" t="n">
        <v>16846</v>
      </c>
      <c r="C16848" s="10" t="inlineStr">
        <is>
          <t>Kỹ sư giám sát xây dựng</t>
        </is>
      </c>
      <c r="D16848" s="10" t="inlineStr">
        <is>
          <t>Công ty TNHH Kiến trúc - Xây dựng - Đào tạo</t>
        </is>
      </c>
      <c r="E16848" s="10" t="inlineStr">
        <is>
          <t>Lương:Cạnh tranh</t>
        </is>
      </c>
      <c r="F16848" s="10" t="inlineStr">
        <is>
          <t>Hồ Chí Minh</t>
        </is>
      </c>
      <c r="G16848" s="10" t="inlineStr">
        <is>
          <t>06-04-2026</t>
        </is>
      </c>
      <c r="H16848" s="10" t="inlineStr">
        <is>
          <t>06/04/2026</t>
        </is>
      </c>
      <c r="I16848" s="10" t="inlineStr">
        <is>
          <t>17/03/2026</t>
        </is>
      </c>
      <c r="J16848" s="10" t="inlineStr">
        <is>
          <t>Kiến trúc, Xây dựng, Nội ngoại thất</t>
        </is>
      </c>
      <c r="K16848" s="10" t="inlineStr">
        <is>
          <t>Trên 1 Năm</t>
        </is>
      </c>
      <c r="L16848" s="11">
        <f>HYPERLINK("https://careerviet.vn/vi/tim-viec-lam/ky-su-giam-sat-xay-dung.35C64967.html","Xem chi tiết")</f>
        <v/>
      </c>
      <c r="M16848" s="10" t="n"/>
    </row>
    <row r="16849">
      <c r="B16849" s="7" t="n">
        <v>16847</v>
      </c>
      <c r="C16849" t="inlineStr">
        <is>
          <t>Giám sát vận hành cửa hàng</t>
        </is>
      </c>
      <c r="D16849" t="inlineStr">
        <is>
          <t>Hệ thống Vĩnh Tân</t>
        </is>
      </c>
      <c r="E16849" t="inlineStr">
        <is>
          <t>Lương:10 Tr - 16 Tr VND</t>
        </is>
      </c>
      <c r="F16849" t="inlineStr">
        <is>
          <t>Hồ Chí Minh</t>
        </is>
      </c>
      <c r="G16849" t="inlineStr">
        <is>
          <t>06-04-2026</t>
        </is>
      </c>
      <c r="H16849" t="inlineStr">
        <is>
          <t>06/04/2026</t>
        </is>
      </c>
      <c r="I16849" t="inlineStr">
        <is>
          <t>17/03/2026</t>
        </is>
      </c>
      <c r="J16849" t="inlineStr">
        <is>
          <t>Tiếp thị / Marketing, Bán lẻ / Bán sỉ, Bán hàng / Kinh doanh</t>
        </is>
      </c>
      <c r="K16849" t="inlineStr">
        <is>
          <t>3 - 5 Năm</t>
        </is>
      </c>
      <c r="L16849" s="8">
        <f>HYPERLINK("https://careerviet.vn/vi/tim-viec-lam/giam-sat-van-hanh-cua-hang.35C64AF7.html","Xem chi tiết")</f>
        <v/>
      </c>
    </row>
    <row r="16850">
      <c r="B16850" s="9" t="n">
        <v>16848</v>
      </c>
      <c r="C16850" s="10" t="inlineStr">
        <is>
          <t>Chuyên viên Mua hàng Xây dựng Cơ bản/Đấu thầu</t>
        </is>
      </c>
      <c r="D16850" s="10" t="inlineStr">
        <is>
          <t>Công Ty Cổ Phần Quốc Tế Sơn Hà</t>
        </is>
      </c>
      <c r="E16850" s="10" t="inlineStr">
        <is>
          <t>Lương:Cạnh tranh</t>
        </is>
      </c>
      <c r="F16850" s="10" t="inlineStr">
        <is>
          <t>Hà Nội</t>
        </is>
      </c>
      <c r="G16850" s="10" t="inlineStr">
        <is>
          <t>06-04-2026</t>
        </is>
      </c>
      <c r="H16850" s="10" t="inlineStr">
        <is>
          <t>06/04/2026</t>
        </is>
      </c>
      <c r="I16850" s="10" t="inlineStr">
        <is>
          <t>17/03/2026</t>
        </is>
      </c>
      <c r="J16850" s="10" t="inlineStr">
        <is>
          <t>Thu mua / Vật tư, Xây dựng</t>
        </is>
      </c>
      <c r="K16850" s="10" t="inlineStr">
        <is>
          <t>3 - 5 Năm</t>
        </is>
      </c>
      <c r="L16850" s="11">
        <f>HYPERLINK("https://careerviet.vn/vi/tim-viec-lam/chuyen-vien-mua-hang-xay-dung-co-ban-dau-thau.35C64B64.html","Xem chi tiết")</f>
        <v/>
      </c>
      <c r="M16850" s="10" t="n"/>
    </row>
    <row r="16851">
      <c r="B16851" s="7" t="n">
        <v>16849</v>
      </c>
      <c r="C16851" t="inlineStr">
        <is>
          <t>PHỤ TRÁCH ĐIỀU VẬN (Thu nhập cạnh tranh từ 15 triệu trở lên)</t>
        </is>
      </c>
      <c r="D16851" t="inlineStr">
        <is>
          <t>CÔNG TY CỔ PHẦN MÁY CÔNG TRÌNH PHÚC LONG</t>
        </is>
      </c>
      <c r="E16851" t="inlineStr">
        <is>
          <t>Lương:15 Tr - 20 Tr VND</t>
        </is>
      </c>
      <c r="F16851" t="inlineStr">
        <is>
          <t>Hà Nội</t>
        </is>
      </c>
      <c r="G16851" t="inlineStr">
        <is>
          <t>31-03-2026</t>
        </is>
      </c>
      <c r="H16851" t="inlineStr">
        <is>
          <t>31/03/2026</t>
        </is>
      </c>
      <c r="I16851" t="inlineStr">
        <is>
          <t>17/03/2026</t>
        </is>
      </c>
      <c r="J16851" t="inlineStr">
        <is>
          <t>Bán lẻ / Bán sỉ, Vận chuyển / Giao nhận / Kho vận, Ngành khác</t>
        </is>
      </c>
      <c r="K16851" t="inlineStr">
        <is>
          <t>2 - 5 Năm</t>
        </is>
      </c>
      <c r="L16851" s="8">
        <f>HYPERLINK("https://careerviet.vn/vi/tim-viec-lam/phu-trach-dieu-van-thu-nhap-canh-tranh-tu-15-trieu-tro-len.35C6B629.html","Xem chi tiết")</f>
        <v/>
      </c>
    </row>
    <row r="16852">
      <c r="B16852" s="9" t="n">
        <v>16850</v>
      </c>
      <c r="C16852" s="10" t="inlineStr">
        <is>
          <t>Kế toán trưởng (Chủ đầu tư BĐS)</t>
        </is>
      </c>
      <c r="D16852" s="10" t="inlineStr">
        <is>
          <t>Công Ty CP Đầu Tư IMG</t>
        </is>
      </c>
      <c r="E16852" s="10" t="inlineStr">
        <is>
          <t>Lương:45 Tr - 50 Tr VND</t>
        </is>
      </c>
      <c r="F16852" s="10" t="inlineStr">
        <is>
          <t>Hồ Chí Minh</t>
        </is>
      </c>
      <c r="G16852" s="10" t="inlineStr">
        <is>
          <t>06-04-2026</t>
        </is>
      </c>
      <c r="H16852" s="10" t="inlineStr">
        <is>
          <t>06/04/2026</t>
        </is>
      </c>
      <c r="I16852" s="10" t="inlineStr">
        <is>
          <t>17/03/2026</t>
        </is>
      </c>
      <c r="J16852" s="10" t="inlineStr">
        <is>
          <t>Kế toán / Kiểm toán, Xây dựng, Bất động sản</t>
        </is>
      </c>
      <c r="K16852" s="10" t="inlineStr">
        <is>
          <t>5 - 10 Năm</t>
        </is>
      </c>
      <c r="L16852" s="11">
        <f>HYPERLINK("https://careerviet.vn/vi/tim-viec-lam/ke-toan-truong-chu-dau-tu-bds.35C64B31.html","Xem chi tiết")</f>
        <v/>
      </c>
      <c r="M16852" s="10" t="n"/>
    </row>
    <row r="16853">
      <c r="B16853" s="7" t="n">
        <v>16851</v>
      </c>
      <c r="C16853" t="inlineStr">
        <is>
          <t>Hành chính Thu mua</t>
        </is>
      </c>
      <c r="D16853" t="inlineStr">
        <is>
          <t>CÔNG TY TNHH THƯỜNG NHẬT (SAIGON WATERBUS)</t>
        </is>
      </c>
      <c r="E16853" t="inlineStr">
        <is>
          <t>Lương:10 Tr - 14 Tr VND</t>
        </is>
      </c>
      <c r="F16853" t="inlineStr">
        <is>
          <t>Hồ Chí Minh</t>
        </is>
      </c>
      <c r="G16853" t="inlineStr">
        <is>
          <t>30-04-2026</t>
        </is>
      </c>
      <c r="H16853" t="inlineStr">
        <is>
          <t>30/04/2026</t>
        </is>
      </c>
      <c r="I16853" t="inlineStr">
        <is>
          <t>17/03/2026</t>
        </is>
      </c>
      <c r="J16853" t="inlineStr">
        <is>
          <t>Thu mua / Vật tư</t>
        </is>
      </c>
      <c r="K16853" t="inlineStr">
        <is>
          <t>1 - 2 Năm</t>
        </is>
      </c>
      <c r="L16853" s="8">
        <f>HYPERLINK("https://careerviet.vn/vi/tim-viec-lam/hanh-chinh-thu-mua.35C6B655.html","Xem chi tiết")</f>
        <v/>
      </c>
    </row>
    <row r="16854">
      <c r="B16854" s="9" t="n">
        <v>16852</v>
      </c>
      <c r="C16854" s="10" t="inlineStr">
        <is>
          <t>BÁC SĨ CHUYÊN KHOA MẮT</t>
        </is>
      </c>
      <c r="D16854" s="10" t="inlineStr">
        <is>
          <t>CÔNG TY TNHH ĐẦU TƯ Y TẾ QUỐC TẾ DND – SÀI GÒN</t>
        </is>
      </c>
      <c r="E16854" s="10" t="inlineStr">
        <is>
          <t>Lương:Cạnh tranh</t>
        </is>
      </c>
      <c r="F16854" s="10" t="inlineStr">
        <is>
          <t>Hồ Chí Minh</t>
        </is>
      </c>
      <c r="G16854" s="10" t="inlineStr">
        <is>
          <t>30-04-2026</t>
        </is>
      </c>
      <c r="H16854" s="10" t="inlineStr">
        <is>
          <t>30/04/2026</t>
        </is>
      </c>
      <c r="I16854" s="10" t="inlineStr">
        <is>
          <t>17/03/2026</t>
        </is>
      </c>
      <c r="J16854" s="10" t="inlineStr">
        <is>
          <t>Y tế / Chăm sóc sức khỏe / Thẩm mỹ / Làm đẹp, Dược phẩm/ Hóa Mỹ Phẩm</t>
        </is>
      </c>
      <c r="K16854" s="10" t="inlineStr">
        <is>
          <t>Trên 2 Năm</t>
        </is>
      </c>
      <c r="L16854" s="11">
        <f>HYPERLINK("https://careerviet.vn/vi/tim-viec-lam/bac-si-chuyen-khoa-mat.35C6B64D.html","Xem chi tiết")</f>
        <v/>
      </c>
      <c r="M16854" s="10" t="n"/>
    </row>
    <row r="16855">
      <c r="B16855" s="7" t="n">
        <v>16853</v>
      </c>
      <c r="C16855" t="inlineStr">
        <is>
          <t>TRƯỞNG BAN DỰ ÁN KINH DOANH (BỆNH VIỆN CHUYÊN KHOA MẮT - TP HCM)</t>
        </is>
      </c>
      <c r="D16855" t="inlineStr">
        <is>
          <t>CÔNG TY TNHH ĐẦU TƯ Y TẾ QUỐC TẾ DND – SÀI GÒN</t>
        </is>
      </c>
      <c r="E16855" t="inlineStr">
        <is>
          <t>Lương:Cạnh tranh</t>
        </is>
      </c>
      <c r="F16855" t="inlineStr">
        <is>
          <t>Hồ Chí Minh</t>
        </is>
      </c>
      <c r="G16855" t="inlineStr">
        <is>
          <t>31-03-2026</t>
        </is>
      </c>
      <c r="H16855" t="inlineStr">
        <is>
          <t>31/03/2026</t>
        </is>
      </c>
      <c r="I16855" t="inlineStr">
        <is>
          <t>17/03/2026</t>
        </is>
      </c>
      <c r="J16855" t="inlineStr">
        <is>
          <t>Tiếp thị / Marketing, Bán hàng / Kinh doanh, Y tế / Chăm sóc sức khỏe / Thẩm mỹ / Làm đẹp</t>
        </is>
      </c>
      <c r="K16855" t="inlineStr">
        <is>
          <t>Trên 2 Năm</t>
        </is>
      </c>
      <c r="L16855" s="8">
        <f>HYPERLINK("https://careerviet.vn/vi/tim-viec-lam/truong-ban-du-an-kinh-doanh-benh-vien-chuyen-khoa-mat-tp-hcm.35C6B613.html","Xem chi tiết")</f>
        <v/>
      </c>
    </row>
    <row r="16856">
      <c r="B16856" s="9" t="n">
        <v>16854</v>
      </c>
      <c r="C16856" s="10" t="inlineStr">
        <is>
          <t>Trưởng bộ phận Kiểm soát nội bộ</t>
        </is>
      </c>
      <c r="D16856" s="10" t="inlineStr">
        <is>
          <t>CÔNG TY CỔ PHẦN ĐẦU TƯ XÂY DỰNG HÀ TIÊN</t>
        </is>
      </c>
      <c r="E16856" s="10" t="inlineStr">
        <is>
          <t>Lương:Cạnh tranh</t>
        </is>
      </c>
      <c r="F16856" s="10" t="inlineStr">
        <is>
          <t>Hồ Chí Minh</t>
        </is>
      </c>
      <c r="G16856" s="10" t="inlineStr">
        <is>
          <t>06-04-2026</t>
        </is>
      </c>
      <c r="H16856" s="10" t="inlineStr">
        <is>
          <t>06/04/2026</t>
        </is>
      </c>
      <c r="I16856" s="10" t="inlineStr">
        <is>
          <t>17/03/2026</t>
        </is>
      </c>
      <c r="J16856" s="10" t="inlineStr">
        <is>
          <t>Xây dựng, Bất động sản</t>
        </is>
      </c>
      <c r="K16856" s="10" t="inlineStr">
        <is>
          <t>3 - 5 Năm</t>
        </is>
      </c>
      <c r="L16856" s="11">
        <f>HYPERLINK("https://careerviet.vn/vi/tim-viec-lam/truong-bo-phan-kiem-soat-noi-bo.35C64A98.html","Xem chi tiết")</f>
        <v/>
      </c>
      <c r="M16856" s="10" t="n"/>
    </row>
    <row r="16857">
      <c r="B16857" s="7" t="n">
        <v>16855</v>
      </c>
      <c r="C16857" t="inlineStr">
        <is>
          <t>Chuyên viên Shopdrawing</t>
        </is>
      </c>
      <c r="D16857" t="inlineStr">
        <is>
          <t>Công Ty Cổ Phần Xây Dựng CDC</t>
        </is>
      </c>
      <c r="E16857" t="inlineStr">
        <is>
          <t>Lương:Cạnh tranh</t>
        </is>
      </c>
      <c r="F16857" t="inlineStr">
        <is>
          <t>Hà Nội</t>
        </is>
      </c>
      <c r="G16857" t="inlineStr">
        <is>
          <t>06-04-2026</t>
        </is>
      </c>
      <c r="H16857" t="inlineStr">
        <is>
          <t>06/04/2026</t>
        </is>
      </c>
      <c r="I16857" t="inlineStr">
        <is>
          <t>17/03/2026</t>
        </is>
      </c>
      <c r="J16857" t="inlineStr">
        <is>
          <t>Xây dựng</t>
        </is>
      </c>
      <c r="K16857" t="inlineStr">
        <is>
          <t>Trên 2 Năm</t>
        </is>
      </c>
      <c r="L16857" s="8">
        <f>HYPERLINK("https://careerviet.vn/vi/tim-viec-lam/chuyen-vien-shopdrawing.35C6B5FC.html","Xem chi tiết")</f>
        <v/>
      </c>
    </row>
    <row r="16858">
      <c r="B16858" s="9" t="n">
        <v>16856</v>
      </c>
      <c r="C16858" s="10" t="inlineStr">
        <is>
          <t>KỸ THUẬT VIÊN KHÚC XẠ</t>
        </is>
      </c>
      <c r="D16858" s="10" t="inlineStr">
        <is>
          <t>CÔNG TY TNHH ĐẦU TƯ Y TẾ QUỐC TẾ DND – SÀI GÒN</t>
        </is>
      </c>
      <c r="E16858" s="10" t="inlineStr">
        <is>
          <t>Lương:Cạnh tranh</t>
        </is>
      </c>
      <c r="F16858" s="10" t="inlineStr">
        <is>
          <t>Hồ Chí Minh</t>
        </is>
      </c>
      <c r="G16858" s="10" t="inlineStr">
        <is>
          <t>30-04-2026</t>
        </is>
      </c>
      <c r="H16858" s="10" t="inlineStr">
        <is>
          <t>30/04/2026</t>
        </is>
      </c>
      <c r="I16858" s="10" t="inlineStr">
        <is>
          <t>17/03/2026</t>
        </is>
      </c>
      <c r="J16858" s="10" t="inlineStr">
        <is>
          <t>Y tế / Chăm sóc sức khỏe / Thẩm mỹ / Làm đẹp</t>
        </is>
      </c>
      <c r="K16858" s="10" t="inlineStr">
        <is>
          <t>N/A</t>
        </is>
      </c>
      <c r="L16858" s="11">
        <f>HYPERLINK("https://careerviet.vn/vi/tim-viec-lam/ky-thuat-vien-khuc-xa.35C6B610.html","Xem chi tiết")</f>
        <v/>
      </c>
      <c r="M16858" s="10" t="n"/>
    </row>
    <row r="16859">
      <c r="B16859" s="7" t="n">
        <v>16857</v>
      </c>
      <c r="C16859" t="inlineStr">
        <is>
          <t>Nhân Viên Kinh Doanh Ngành Dầu Nhớt</t>
        </is>
      </c>
      <c r="D16859" t="inlineStr">
        <is>
          <t>Công ty TNHH Dầu Nhờn GS Việt Nam</t>
        </is>
      </c>
      <c r="E16859" t="inlineStr">
        <is>
          <t>Lương:Lên đến 25 Tr VND</t>
        </is>
      </c>
      <c r="F16859" t="inlineStr">
        <is>
          <t>Điện BiênHòa BìnhNam Định</t>
        </is>
      </c>
      <c r="G16859" t="inlineStr">
        <is>
          <t>05-04-2026</t>
        </is>
      </c>
      <c r="H16859" t="inlineStr">
        <is>
          <t>05/04/2026</t>
        </is>
      </c>
      <c r="I16859" t="inlineStr">
        <is>
          <t>17/03/2026</t>
        </is>
      </c>
      <c r="J16859" t="inlineStr">
        <is>
          <t>Bán hàng / Kinh doanh, Cơ khí / Ô tô / Tự động hóa, Dầu khí</t>
        </is>
      </c>
      <c r="K16859" t="inlineStr">
        <is>
          <t>3 - 5 Năm</t>
        </is>
      </c>
      <c r="L16859" s="8">
        <f>HYPERLINK("https://careerviet.vn/vi/tim-viec-lam/nhan-vien-kinh-doanh-nganh-dau-nhot.35C6B5EB.html","Xem chi tiết")</f>
        <v/>
      </c>
    </row>
    <row r="16860">
      <c r="B16860" s="9" t="n">
        <v>16858</v>
      </c>
      <c r="C16860" s="10" t="inlineStr">
        <is>
          <t>Chuyên viên Thu hồi vốn</t>
        </is>
      </c>
      <c r="D16860" s="10" t="inlineStr">
        <is>
          <t>Công Ty Cổ Phần Xây Dựng CDC</t>
        </is>
      </c>
      <c r="E16860" s="10" t="inlineStr">
        <is>
          <t>Lương:Cạnh tranh</t>
        </is>
      </c>
      <c r="F16860" s="10" t="inlineStr">
        <is>
          <t>Hà Nội</t>
        </is>
      </c>
      <c r="G16860" s="10" t="inlineStr">
        <is>
          <t>06-04-2026</t>
        </is>
      </c>
      <c r="H16860" s="10" t="inlineStr">
        <is>
          <t>06/04/2026</t>
        </is>
      </c>
      <c r="I16860" s="10" t="inlineStr">
        <is>
          <t>17/03/2026</t>
        </is>
      </c>
      <c r="J16860" s="10" t="inlineStr">
        <is>
          <t>Xây dựng</t>
        </is>
      </c>
      <c r="K16860" s="10" t="inlineStr">
        <is>
          <t>2 - 5 Năm</t>
        </is>
      </c>
      <c r="L16860" s="11">
        <f>HYPERLINK("https://careerviet.vn/vi/tim-viec-lam/chuyen-vien-thu-hoi-von.35C6B5EE.html","Xem chi tiết")</f>
        <v/>
      </c>
      <c r="M16860" s="10" t="n"/>
    </row>
    <row r="16861">
      <c r="B16861" s="7" t="n">
        <v>16859</v>
      </c>
      <c r="C16861" t="inlineStr">
        <is>
          <t>Nhân Viên Kinh Doanh Ngành Dầu Nhớt</t>
        </is>
      </c>
      <c r="D16861" t="inlineStr">
        <is>
          <t>Công ty TNHH Dầu Nhờn GS Việt Nam</t>
        </is>
      </c>
      <c r="E16861" t="inlineStr">
        <is>
          <t>Lương:Lên đến 25 Tr VND</t>
        </is>
      </c>
      <c r="F16861" t="inlineStr">
        <is>
          <t>Hưng YênHà NamNinh Bình</t>
        </is>
      </c>
      <c r="G16861" t="inlineStr">
        <is>
          <t>05-04-2026</t>
        </is>
      </c>
      <c r="H16861" t="inlineStr">
        <is>
          <t>05/04/2026</t>
        </is>
      </c>
      <c r="I16861" t="inlineStr">
        <is>
          <t>17/03/2026</t>
        </is>
      </c>
      <c r="J16861" t="inlineStr">
        <is>
          <t>Bán hàng / Kinh doanh, Cơ khí / Ô tô / Tự động hóa, Dầu khí</t>
        </is>
      </c>
      <c r="K16861" t="inlineStr">
        <is>
          <t>3 - 5 Năm</t>
        </is>
      </c>
      <c r="L16861" s="8">
        <f>HYPERLINK("https://careerviet.vn/vi/tim-viec-lam/nhan-vien-kinh-doanh-nganh-dau-nhot.35C6B5E3.html","Xem chi tiết")</f>
        <v/>
      </c>
    </row>
    <row r="16862">
      <c r="B16862" s="9" t="n">
        <v>16860</v>
      </c>
      <c r="C16862" s="10" t="inlineStr">
        <is>
          <t>Bảo Trì Điện (Nhơn Trạch - Đi ca 12 tiếng)</t>
        </is>
      </c>
      <c r="D16862" s="10" t="inlineStr">
        <is>
          <t>Summit Polymers Vietnam Co Ltd.</t>
        </is>
      </c>
      <c r="E16862" s="10" t="inlineStr">
        <is>
          <t>Lương:Cạnh tranh</t>
        </is>
      </c>
      <c r="F16862" s="10" t="inlineStr">
        <is>
          <t>Đồng Nai</t>
        </is>
      </c>
      <c r="G16862" s="10" t="inlineStr">
        <is>
          <t>31-03-2026</t>
        </is>
      </c>
      <c r="H16862" s="10" t="inlineStr">
        <is>
          <t>31/03/2026</t>
        </is>
      </c>
      <c r="I16862" s="10" t="inlineStr">
        <is>
          <t>17/03/2026</t>
        </is>
      </c>
      <c r="J16862" s="10" t="inlineStr">
        <is>
          <t>Cơ khí / Ô tô / Tự động hóa, Bảo trì / Sửa chữa, Điện / Điện tử / Điện lạnh / Điện công nghiệp</t>
        </is>
      </c>
      <c r="K16862" s="10" t="inlineStr">
        <is>
          <t>1 - 3 Năm</t>
        </is>
      </c>
      <c r="L16862" s="11">
        <f>HYPERLINK("https://careerviet.vn/vi/tim-viec-lam/bao-tri-dien-nhon-trach-di-ca-12-tieng.35C6B607.html","Xem chi tiết")</f>
        <v/>
      </c>
      <c r="M16862" s="10" t="n"/>
    </row>
    <row r="16863">
      <c r="B16863" s="7" t="n">
        <v>16861</v>
      </c>
      <c r="C16863" t="inlineStr">
        <is>
          <t>ĐIỀU DƯỠNG VIÊN</t>
        </is>
      </c>
      <c r="D16863" t="inlineStr">
        <is>
          <t>CÔNG TY TNHH ĐẦU TƯ Y TẾ QUỐC TẾ DND – SÀI GÒN</t>
        </is>
      </c>
      <c r="E16863" t="inlineStr">
        <is>
          <t>Lương:10 Tr - 15 Tr VND</t>
        </is>
      </c>
      <c r="F16863" t="inlineStr">
        <is>
          <t>Hồ Chí Minh</t>
        </is>
      </c>
      <c r="G16863" t="inlineStr">
        <is>
          <t>31-03-2026</t>
        </is>
      </c>
      <c r="H16863" t="inlineStr">
        <is>
          <t>31/03/2026</t>
        </is>
      </c>
      <c r="I16863" t="inlineStr">
        <is>
          <t>17/03/2026</t>
        </is>
      </c>
      <c r="J16863" t="inlineStr">
        <is>
          <t>Dược phẩm/ Hóa Mỹ Phẩm, Y tế / Chăm sóc sức khỏe / Thẩm mỹ / Làm đẹp</t>
        </is>
      </c>
      <c r="K16863" t="inlineStr">
        <is>
          <t>Trên 1 Năm</t>
        </is>
      </c>
      <c r="L16863" s="8">
        <f>HYPERLINK("https://careerviet.vn/vi/tim-viec-lam/dieu-duong-vien.35C6B60E.html","Xem chi tiết")</f>
        <v/>
      </c>
    </row>
    <row r="16864">
      <c r="B16864" s="9" t="n">
        <v>16862</v>
      </c>
      <c r="C16864" s="10" t="inlineStr">
        <is>
          <t>Chuyên viên hợp đồng A&amp;B</t>
        </is>
      </c>
      <c r="D16864" s="10" t="inlineStr">
        <is>
          <t>Công Ty Cổ Phần Xây Dựng CDC</t>
        </is>
      </c>
      <c r="E16864" s="10" t="inlineStr">
        <is>
          <t>Lương:Cạnh tranh</t>
        </is>
      </c>
      <c r="F16864" s="10" t="inlineStr">
        <is>
          <t>Hà Nội</t>
        </is>
      </c>
      <c r="G16864" s="10" t="inlineStr">
        <is>
          <t>05-04-2026</t>
        </is>
      </c>
      <c r="H16864" s="10" t="inlineStr">
        <is>
          <t>05/04/2026</t>
        </is>
      </c>
      <c r="I16864" s="10" t="inlineStr">
        <is>
          <t>17/03/2026</t>
        </is>
      </c>
      <c r="J16864" s="10" t="inlineStr">
        <is>
          <t>Xây dựng</t>
        </is>
      </c>
      <c r="K16864" s="10" t="inlineStr">
        <is>
          <t>Lên đến 1 Năm</t>
        </is>
      </c>
      <c r="L16864" s="11">
        <f>HYPERLINK("https://careerviet.vn/vi/tim-viec-lam/chuyen-vien-hop-dong-a-b.35C6B5E8.html","Xem chi tiết")</f>
        <v/>
      </c>
      <c r="M16864" s="10" t="n"/>
    </row>
    <row r="16865">
      <c r="B16865" s="7" t="n">
        <v>16863</v>
      </c>
      <c r="C16865" t="inlineStr">
        <is>
          <t>(Bình Tân) Trưởng Nhóm Kinh Doanh Ván Gỗ/Nội Thất Gỗ</t>
        </is>
      </c>
      <c r="D16865" t="inlineStr">
        <is>
          <t>Công Ty TNHH Tập Đoàn Rita Võ</t>
        </is>
      </c>
      <c r="E16865" t="inlineStr">
        <is>
          <t>Lương:20 Tr - 30 Tr VND</t>
        </is>
      </c>
      <c r="F16865" t="inlineStr">
        <is>
          <t>Hồ Chí Minh</t>
        </is>
      </c>
      <c r="G16865" t="inlineStr">
        <is>
          <t>07-04-2026</t>
        </is>
      </c>
      <c r="H16865" t="inlineStr">
        <is>
          <t>07/04/2026</t>
        </is>
      </c>
      <c r="I16865" t="inlineStr">
        <is>
          <t>17/03/2026</t>
        </is>
      </c>
      <c r="J16865" t="inlineStr">
        <is>
          <t>Bán lẻ / Bán sỉ, Bán hàng / Kinh doanh</t>
        </is>
      </c>
      <c r="K16865" t="inlineStr">
        <is>
          <t>2 - 3 Năm</t>
        </is>
      </c>
      <c r="L16865" s="8">
        <f>HYPERLINK("https://careerviet.vn/vi/tim-viec-lam/binh-tan-truong-nhom-kinh-doanh-van-go-noi-that-go.35C6B5C3.html","Xem chi tiết")</f>
        <v/>
      </c>
    </row>
    <row r="16866">
      <c r="B16866" s="9" t="n">
        <v>16864</v>
      </c>
      <c r="C16866" s="10" t="inlineStr">
        <is>
          <t>Nhân Viên Điều Phối</t>
        </is>
      </c>
      <c r="D16866" s="10" t="inlineStr">
        <is>
          <t>CÔNG TY CỔ PHẦN GENTA THỤY SĨ</t>
        </is>
      </c>
      <c r="E16866" s="10" t="inlineStr">
        <is>
          <t>Lương:8 Tr - 12 Tr VND</t>
        </is>
      </c>
      <c r="F16866" s="10" t="inlineStr">
        <is>
          <t>Long An</t>
        </is>
      </c>
      <c r="G16866" s="10" t="inlineStr">
        <is>
          <t>02-04-2026</t>
        </is>
      </c>
      <c r="H16866" s="10" t="inlineStr">
        <is>
          <t>02/04/2026</t>
        </is>
      </c>
      <c r="I16866" s="10" t="inlineStr">
        <is>
          <t>17/03/2026</t>
        </is>
      </c>
      <c r="J16866" s="10" t="inlineStr">
        <is>
          <t>Kế toán / Kiểm toán, Sản xuất / Vận hành sản xuất, Vận chuyển / Giao nhận / Kho vận</t>
        </is>
      </c>
      <c r="K16866" s="10" t="inlineStr">
        <is>
          <t>1 - 2 Năm</t>
        </is>
      </c>
      <c r="L16866" s="11">
        <f>HYPERLINK("https://careerviet.vn/vi/tim-viec-lam/nhan-vien-dieu-phoi.35C6B584.html","Xem chi tiết")</f>
        <v/>
      </c>
      <c r="M16866" s="10" t="n"/>
    </row>
    <row r="16867">
      <c r="B16867" s="7" t="n">
        <v>16865</v>
      </c>
      <c r="C16867" t="inlineStr">
        <is>
          <t>Nhân Viên Sales thị trường mảng thực phẩm</t>
        </is>
      </c>
      <c r="D16867" t="inlineStr">
        <is>
          <t>Công ty TNHH Chế biến thực phẩm Đông Đô</t>
        </is>
      </c>
      <c r="E16867" t="inlineStr">
        <is>
          <t>Lương:13 Tr - 16 Tr VND</t>
        </is>
      </c>
      <c r="F16867" t="inlineStr">
        <is>
          <t>Bình DươngLong AnTiền Giang</t>
        </is>
      </c>
      <c r="G16867" t="inlineStr">
        <is>
          <t>05-04-2026</t>
        </is>
      </c>
      <c r="H16867" t="inlineStr">
        <is>
          <t>05/04/2026</t>
        </is>
      </c>
      <c r="I16867" t="inlineStr">
        <is>
          <t>17/03/2026</t>
        </is>
      </c>
      <c r="J16867" t="inlineStr">
        <is>
          <t>Bán lẻ / Bán sỉ, Bán hàng / Kinh doanh, Thực phẩm &amp; Đồ uống</t>
        </is>
      </c>
      <c r="K16867" t="inlineStr">
        <is>
          <t>1 - 2 Năm</t>
        </is>
      </c>
      <c r="L16867" s="8">
        <f>HYPERLINK("https://careerviet.vn/vi/tim-viec-lam/nhan-vien-sales-thi-truong-mang-thuc-pham.35C649D8.html","Xem chi tiết")</f>
        <v/>
      </c>
    </row>
    <row r="16868">
      <c r="B16868" s="9" t="n">
        <v>16866</v>
      </c>
      <c r="C16868" s="10" t="inlineStr">
        <is>
          <t>NHÂN VIÊN SALE ADMIN</t>
        </is>
      </c>
      <c r="D16868" s="10" t="inlineStr">
        <is>
          <t>Công ty Cổ phần TM-SX-DV Gia Thịnh Phát</t>
        </is>
      </c>
      <c r="E16868" s="10" t="inlineStr">
        <is>
          <t>Lương:7 Tr - 9 Tr VND</t>
        </is>
      </c>
      <c r="F16868" s="10" t="inlineStr">
        <is>
          <t>Hồ Chí Minh</t>
        </is>
      </c>
      <c r="G16868" s="10" t="inlineStr">
        <is>
          <t>08-04-2026</t>
        </is>
      </c>
      <c r="H16868" s="10" t="inlineStr">
        <is>
          <t>08/04/2026</t>
        </is>
      </c>
      <c r="I16868" s="10" t="inlineStr">
        <is>
          <t>17/03/2026</t>
        </is>
      </c>
      <c r="J16868" s="10" t="inlineStr">
        <is>
          <t>Bán lẻ / Bán sỉ, Dịch vụ khách hàng, Thực phẩm &amp; Đồ uống</t>
        </is>
      </c>
      <c r="K16868" s="10" t="inlineStr">
        <is>
          <t>1 - 3 Năm</t>
        </is>
      </c>
      <c r="L16868" s="11">
        <f>HYPERLINK("https://careerviet.vn/vi/tim-viec-lam/nhan-vien-sale-admin.35C6B5C5.html","Xem chi tiết")</f>
        <v/>
      </c>
      <c r="M16868" s="10" t="n"/>
    </row>
    <row r="16869">
      <c r="B16869" s="7" t="n">
        <v>16867</v>
      </c>
      <c r="C16869" t="inlineStr">
        <is>
          <t>Apigee Engineer</t>
        </is>
      </c>
      <c r="D16869" t="inlineStr">
        <is>
          <t>CÔNG TY TNHH GALAXY DIGITAL HOLDINGS</t>
        </is>
      </c>
      <c r="E16869" t="inlineStr">
        <is>
          <t>Lương:Cạnh tranh</t>
        </is>
      </c>
      <c r="F16869" t="inlineStr">
        <is>
          <t>Hồ Chí Minh</t>
        </is>
      </c>
      <c r="G16869" t="inlineStr">
        <is>
          <t>05-04-2026</t>
        </is>
      </c>
      <c r="H16869" t="inlineStr">
        <is>
          <t>05/04/2026</t>
        </is>
      </c>
      <c r="I16869" t="inlineStr">
        <is>
          <t>17/03/2026</t>
        </is>
      </c>
      <c r="J16869" t="inlineStr">
        <is>
          <t>CNTT - Phần mềm</t>
        </is>
      </c>
      <c r="K16869" t="inlineStr">
        <is>
          <t>3 - 5 Năm</t>
        </is>
      </c>
      <c r="L16869" s="8">
        <f>HYPERLINK("https://careerviet.vn/vi/tim-viec-lam/apigee-engineer.35C648E6.html","Xem chi tiết")</f>
        <v/>
      </c>
    </row>
    <row r="16870">
      <c r="B16870" s="9" t="n">
        <v>16868</v>
      </c>
      <c r="C16870" s="10" t="inlineStr">
        <is>
          <t>[Tuyên Quang] Giám Sát Kinh Doanh Bán Hàng Trả Góp</t>
        </is>
      </c>
      <c r="D16870" s="10" t="inlineStr">
        <is>
          <t>Công Ty Tài Chính Mirae Asset (Việt Nam)</t>
        </is>
      </c>
      <c r="E16870" s="10" t="inlineStr">
        <is>
          <t>Lương:Cạnh tranh</t>
        </is>
      </c>
      <c r="F16870" s="10" t="inlineStr">
        <is>
          <t>Tuyên QuangKV Bắc Trung Bộ</t>
        </is>
      </c>
      <c r="G16870" s="10" t="inlineStr">
        <is>
          <t>05-04-2026</t>
        </is>
      </c>
      <c r="H16870" s="10" t="inlineStr">
        <is>
          <t>05/04/2026</t>
        </is>
      </c>
      <c r="I16870" s="10" t="inlineStr">
        <is>
          <t>17/03/2026</t>
        </is>
      </c>
      <c r="J16870" s="10" t="inlineStr">
        <is>
          <t>Bán hàng / Kinh doanh, Tài chính / Đầu tư, Dịch vụ khách hàng</t>
        </is>
      </c>
      <c r="K16870" s="10" t="inlineStr">
        <is>
          <t>2 - 5 Năm</t>
        </is>
      </c>
      <c r="L16870" s="11">
        <f>HYPERLINK("https://careerviet.vn/vi/tim-viec-lam/tuyen-quang-giam-sat-kinh-doanh-ban-hang-tra-gop.35C6492C.html","Xem chi tiết")</f>
        <v/>
      </c>
      <c r="M16870" s="10" t="n"/>
    </row>
    <row r="16871">
      <c r="B16871" s="7" t="n">
        <v>16869</v>
      </c>
      <c r="C16871" t="inlineStr">
        <is>
          <t>Nhân Viên Marketing</t>
        </is>
      </c>
      <c r="D16871" t="inlineStr">
        <is>
          <t>Công ty TNHH TM&amp;DV Phân Phối Ánh Dương</t>
        </is>
      </c>
      <c r="E16871" t="inlineStr">
        <is>
          <t>Lương:Cạnh tranh</t>
        </is>
      </c>
      <c r="F16871" t="inlineStr">
        <is>
          <t>Hà Nội</t>
        </is>
      </c>
      <c r="G16871" t="inlineStr">
        <is>
          <t>30-04-2026</t>
        </is>
      </c>
      <c r="H16871" t="inlineStr">
        <is>
          <t>30/04/2026</t>
        </is>
      </c>
      <c r="I16871" t="inlineStr">
        <is>
          <t>17/03/2026</t>
        </is>
      </c>
      <c r="J16871" t="inlineStr">
        <is>
          <t>Tiếp thị / Marketing, Truyền hình / Báo chí / Biên tập, Quảng cáo / Đối ngoại / Truyền Thông</t>
        </is>
      </c>
      <c r="K16871" t="inlineStr">
        <is>
          <t>2 - 3 Năm</t>
        </is>
      </c>
      <c r="L16871" s="8">
        <f>HYPERLINK("https://careerviet.vn/vi/tim-viec-lam/nhan-vien-marketing.35C6B59A.html","Xem chi tiết")</f>
        <v/>
      </c>
    </row>
    <row r="16872">
      <c r="B16872" s="9" t="n">
        <v>16870</v>
      </c>
      <c r="C16872" s="10" t="inlineStr">
        <is>
          <t>Nhân viên bán hàng - TP Vĩnh Phúc</t>
        </is>
      </c>
      <c r="D16872" s="10" t="inlineStr">
        <is>
          <t>Công ty CP Toshiko Việt Nam</t>
        </is>
      </c>
      <c r="E16872" s="10" t="inlineStr">
        <is>
          <t>Lương:12 Tr - 20 Tr VND</t>
        </is>
      </c>
      <c r="F16872" s="10" t="inlineStr">
        <is>
          <t>Vĩnh Phúc</t>
        </is>
      </c>
      <c r="G16872" s="10" t="inlineStr">
        <is>
          <t>05-04-2026</t>
        </is>
      </c>
      <c r="H16872" s="10" t="inlineStr">
        <is>
          <t>05/04/2026</t>
        </is>
      </c>
      <c r="I16872" s="10" t="inlineStr">
        <is>
          <t>17/03/2026</t>
        </is>
      </c>
      <c r="J16872" s="10" t="inlineStr">
        <is>
          <t>Bán hàng / Kinh doanh, Tư vấn, Dịch vụ khách hàng</t>
        </is>
      </c>
      <c r="K16872" s="10" t="inlineStr">
        <is>
          <t>1 - 2 Năm</t>
        </is>
      </c>
      <c r="L16872" s="11">
        <f>HYPERLINK("https://careerviet.vn/vi/tim-viec-lam/nhan-vien-ban-hang-tp-vinh-phuc.35C64919.html","Xem chi tiết")</f>
        <v/>
      </c>
      <c r="M16872" s="10" t="n"/>
    </row>
    <row r="16873">
      <c r="B16873" s="7" t="n">
        <v>16871</v>
      </c>
      <c r="C16873" t="inlineStr">
        <is>
          <t>Industrial Engineer (tiếng Trung)</t>
        </is>
      </c>
      <c r="D16873" t="inlineStr">
        <is>
          <t>Công ty TNHH Sài Gòn Stec</t>
        </is>
      </c>
      <c r="E16873" t="inlineStr">
        <is>
          <t>Lương:12 Tr - 16 Tr VND</t>
        </is>
      </c>
      <c r="F16873" t="inlineStr">
        <is>
          <t>Bình Dương</t>
        </is>
      </c>
      <c r="G16873" t="inlineStr">
        <is>
          <t>05-04-2026</t>
        </is>
      </c>
      <c r="H16873" t="inlineStr">
        <is>
          <t>05/04/2026</t>
        </is>
      </c>
      <c r="I16873" t="inlineStr">
        <is>
          <t>17/03/2026</t>
        </is>
      </c>
      <c r="J16873" t="inlineStr">
        <is>
          <t>Quản lý điều hành, Điện / Điện tử / Điện lạnh / Điện công nghiệp, Sản xuất / Vận hành sản xuất</t>
        </is>
      </c>
      <c r="K16873" t="inlineStr">
        <is>
          <t>N/A</t>
        </is>
      </c>
      <c r="L16873" s="8">
        <f>HYPERLINK("https://careerviet.vn/vi/tim-viec-lam/industrial-engineer-tieng-trung.35C648BB.html","Xem chi tiết")</f>
        <v/>
      </c>
    </row>
    <row r="16874">
      <c r="B16874" s="9" t="n">
        <v>16872</v>
      </c>
      <c r="C16874" s="10" t="inlineStr">
        <is>
          <t>[Miền Trung] Giám Sát Kinh Doanh Trực Tiếp</t>
        </is>
      </c>
      <c r="D16874" s="10" t="inlineStr">
        <is>
          <t>Công Ty Tài Chính Mirae Asset (Việt Nam)</t>
        </is>
      </c>
      <c r="E16874" s="10" t="inlineStr">
        <is>
          <t>Lương:Cạnh tranh</t>
        </is>
      </c>
      <c r="F16874" s="10" t="inlineStr">
        <is>
          <t>KV Nam Trung BộĐà NẵngQuảng Trị</t>
        </is>
      </c>
      <c r="G16874" s="10" t="inlineStr">
        <is>
          <t>05-04-2026</t>
        </is>
      </c>
      <c r="H16874" s="10" t="inlineStr">
        <is>
          <t>05/04/2026</t>
        </is>
      </c>
      <c r="I16874" s="10" t="inlineStr">
        <is>
          <t>17/03/2026</t>
        </is>
      </c>
      <c r="J16874" s="10" t="inlineStr">
        <is>
          <t>Bảo hiểm, Bất động sản, Bán hàng / Kinh doanh</t>
        </is>
      </c>
      <c r="K16874" s="10" t="inlineStr">
        <is>
          <t>1 - 2 Năm</t>
        </is>
      </c>
      <c r="L16874" s="11">
        <f>HYPERLINK("https://careerviet.vn/vi/tim-viec-lam/mien-trung-giam-sat-kinh-doanh-truc-tiep.35C64973.html","Xem chi tiết")</f>
        <v/>
      </c>
      <c r="M16874" s="10" t="n"/>
    </row>
    <row r="16875">
      <c r="B16875" s="7" t="n">
        <v>16873</v>
      </c>
      <c r="C16875" t="inlineStr">
        <is>
          <t>Sales Tour Inbound (English/ French/ German/Italian Speaking)</t>
        </is>
      </c>
      <c r="D16875" t="inlineStr">
        <is>
          <t>Công ty Easia Travel</t>
        </is>
      </c>
      <c r="E16875" t="inlineStr">
        <is>
          <t>Lương:Cạnh tranh</t>
        </is>
      </c>
      <c r="F16875" t="inlineStr">
        <is>
          <t>Hà Nội</t>
        </is>
      </c>
      <c r="G16875" t="inlineStr">
        <is>
          <t>05-04-2026</t>
        </is>
      </c>
      <c r="H16875" t="inlineStr">
        <is>
          <t>05/04/2026</t>
        </is>
      </c>
      <c r="I16875" t="inlineStr">
        <is>
          <t>17/03/2026</t>
        </is>
      </c>
      <c r="J16875" t="inlineStr">
        <is>
          <t>Nhà hàng / Khách sạn, Du lịch</t>
        </is>
      </c>
      <c r="K16875" t="inlineStr">
        <is>
          <t>1 - 2 Năm</t>
        </is>
      </c>
      <c r="L16875" s="8">
        <f>HYPERLINK("https://careerviet.vn/vi/tim-viec-lam/sales-tour-inbound-english-french-german-italian-speaking.35C649BD.html","Xem chi tiết")</f>
        <v/>
      </c>
    </row>
    <row r="16876">
      <c r="B16876" s="9" t="n">
        <v>16874</v>
      </c>
      <c r="C16876" s="10" t="inlineStr">
        <is>
          <t>Nhân viên kỹ thuật</t>
        </is>
      </c>
      <c r="D16876" s="10" t="inlineStr">
        <is>
          <t>CÔNG TY CỔ PHẦN NHỰA TÁI CHẾ DUY TÂN</t>
        </is>
      </c>
      <c r="E16876" s="10" t="inlineStr">
        <is>
          <t>Lương:10 Tr - 12 Tr VND</t>
        </is>
      </c>
      <c r="F16876" s="10" t="inlineStr">
        <is>
          <t>Đồng Nai</t>
        </is>
      </c>
      <c r="G16876" s="10" t="inlineStr">
        <is>
          <t>05-04-2026</t>
        </is>
      </c>
      <c r="H16876" s="10" t="inlineStr">
        <is>
          <t>05/04/2026</t>
        </is>
      </c>
      <c r="I16876" s="10" t="inlineStr">
        <is>
          <t>17/03/2026</t>
        </is>
      </c>
      <c r="J16876" s="10" t="inlineStr">
        <is>
          <t>Cơ khí / Ô tô / Tự động hóa, Điện / Điện tử / Điện lạnh / Điện công nghiệp, Bảo trì / Sửa chữa</t>
        </is>
      </c>
      <c r="K16876" s="10" t="inlineStr">
        <is>
          <t>1 - 2 Năm</t>
        </is>
      </c>
      <c r="L16876" s="11">
        <f>HYPERLINK("https://careerviet.vn/vi/tim-viec-lam/nhan-vien-ky-thuat.35C64871.html","Xem chi tiết")</f>
        <v/>
      </c>
      <c r="M16876" s="10" t="n"/>
    </row>
    <row r="16877">
      <c r="B16877" s="7" t="n">
        <v>16875</v>
      </c>
      <c r="C16877" t="inlineStr">
        <is>
          <t>nhân viên hồ sơ thầu</t>
        </is>
      </c>
      <c r="D16877" t="inlineStr">
        <is>
          <t>TECOTEC Technology</t>
        </is>
      </c>
      <c r="E16877" t="inlineStr">
        <is>
          <t>Lương:Trên 12 Tr VND</t>
        </is>
      </c>
      <c r="F16877" t="inlineStr">
        <is>
          <t>Hà Nội</t>
        </is>
      </c>
      <c r="G16877" t="inlineStr">
        <is>
          <t>05-04-2026</t>
        </is>
      </c>
      <c r="H16877" t="inlineStr">
        <is>
          <t>05/04/2026</t>
        </is>
      </c>
      <c r="I16877" t="inlineStr">
        <is>
          <t>17/03/2026</t>
        </is>
      </c>
      <c r="J16877" t="inlineStr">
        <is>
          <t>CNTT - Phần mềm, CNTT - Phần cứng / Mạng</t>
        </is>
      </c>
      <c r="K16877" t="inlineStr">
        <is>
          <t>Trên 3 Năm</t>
        </is>
      </c>
      <c r="L16877" s="8">
        <f>HYPERLINK("https://careerviet.vn/vi/tim-viec-lam/nhan-vien-ho-so-thau.35C6489D.html","Xem chi tiết")</f>
        <v/>
      </c>
    </row>
    <row r="16878">
      <c r="B16878" s="9" t="n">
        <v>16876</v>
      </c>
      <c r="C16878" s="10" t="inlineStr">
        <is>
          <t>TEST ENGINEER</t>
        </is>
      </c>
      <c r="D16878" s="10" t="inlineStr">
        <is>
          <t>Công ty TNHH Sài Gòn Stec</t>
        </is>
      </c>
      <c r="E16878" s="10" t="inlineStr">
        <is>
          <t>Lương:15 Tr - 23 Tr VND</t>
        </is>
      </c>
      <c r="F16878" s="10" t="inlineStr">
        <is>
          <t>Bình Dương</t>
        </is>
      </c>
      <c r="G16878" s="10" t="inlineStr">
        <is>
          <t>05-04-2026</t>
        </is>
      </c>
      <c r="H16878" s="10" t="inlineStr">
        <is>
          <t>05/04/2026</t>
        </is>
      </c>
      <c r="I16878" s="10" t="inlineStr">
        <is>
          <t>17/03/2026</t>
        </is>
      </c>
      <c r="J16878" s="10" t="inlineStr">
        <is>
          <t>Điện / Điện tử / Điện lạnh / Điện công nghiệp, Bảo trì / Sửa chữa, CNTT - Phần mềm</t>
        </is>
      </c>
      <c r="K16878" s="10" t="inlineStr">
        <is>
          <t>1 - 3 Năm</t>
        </is>
      </c>
      <c r="L16878" s="11">
        <f>HYPERLINK("https://careerviet.vn/vi/tim-viec-lam/test-engineer.35C64893.html","Xem chi tiết")</f>
        <v/>
      </c>
      <c r="M16878" s="10" t="n"/>
    </row>
    <row r="16879">
      <c r="B16879" s="7" t="n">
        <v>16877</v>
      </c>
      <c r="C16879" t="inlineStr">
        <is>
          <t>Chuyên viên phát triển khách hàng cá nhân - RB - MSB - 1D036</t>
        </is>
      </c>
      <c r="D16879" t="inlineStr">
        <is>
          <t>Ngân hàng Thương mại Cổ phần Hàng Hải Việt Nam (MSB)</t>
        </is>
      </c>
      <c r="E16879" t="inlineStr">
        <is>
          <t>Lương:Cạnh tranh</t>
        </is>
      </c>
      <c r="F16879" t="inlineStr">
        <is>
          <t>Bình ĐịnhĐà NẵngGia Lai</t>
        </is>
      </c>
      <c r="G16879" t="inlineStr">
        <is>
          <t>05-04-2026</t>
        </is>
      </c>
      <c r="H16879" t="inlineStr">
        <is>
          <t>05/04/2026</t>
        </is>
      </c>
      <c r="I16879" t="inlineStr">
        <is>
          <t>17/03/2026</t>
        </is>
      </c>
      <c r="J16879" t="inlineStr">
        <is>
          <t>Ngân hàng</t>
        </is>
      </c>
      <c r="K16879" t="inlineStr">
        <is>
          <t>Trên 1 Năm</t>
        </is>
      </c>
      <c r="L16879" s="8">
        <f>HYPERLINK("https://careerviet.vn/vi/tim-viec-lam/chuyen-vien-phat-trien-khach-hang-ca-nhan-rb-msb-1d036.35C637AD.html","Xem chi tiết")</f>
        <v/>
      </c>
    </row>
    <row r="16880">
      <c r="B16880" s="9" t="n">
        <v>16878</v>
      </c>
      <c r="C16880" s="10" t="inlineStr">
        <is>
          <t>Kỹ Sư Chuyên Ngành Hạ Tầng Giao Thông Lương từ 19tr - 30tr</t>
        </is>
      </c>
      <c r="D16880" s="10" t="inlineStr">
        <is>
          <t>CÔNG TY TNHH XÂY DỰNG TỰ LẬP</t>
        </is>
      </c>
      <c r="E16880" s="10" t="inlineStr">
        <is>
          <t>Lương:19 Tr - 30 Tr VND</t>
        </is>
      </c>
      <c r="F16880" s="10" t="inlineStr">
        <is>
          <t>Phú Thọ</t>
        </is>
      </c>
      <c r="G16880" s="10" t="inlineStr">
        <is>
          <t>05-04-2026</t>
        </is>
      </c>
      <c r="H16880" s="10" t="inlineStr">
        <is>
          <t>05/04/2026</t>
        </is>
      </c>
      <c r="I16880" s="10" t="inlineStr">
        <is>
          <t>17/03/2026</t>
        </is>
      </c>
      <c r="J16880" s="10" t="inlineStr">
        <is>
          <t>An toàn lao động, Xây dựng, Kiến trúc</t>
        </is>
      </c>
      <c r="K16880" s="10" t="inlineStr">
        <is>
          <t>Trên 3 Năm</t>
        </is>
      </c>
      <c r="L16880" s="11">
        <f>HYPERLINK("https://careerviet.vn/vi/tim-viec-lam/ky-su-chuyen-nganh-ha-tang-giao-thong-luong-tu-19tr-30tr.35C649E6.html","Xem chi tiết")</f>
        <v/>
      </c>
      <c r="M16880" s="10" t="n"/>
    </row>
    <row r="16881">
      <c r="B16881" s="7" t="n">
        <v>16879</v>
      </c>
      <c r="C16881" t="inlineStr">
        <is>
          <t>[ Quảng Ngãi] Chuyên Viên Tư Vấn Trả Góp Ô Tô</t>
        </is>
      </c>
      <c r="D16881" t="inlineStr">
        <is>
          <t>Công Ty Tài Chính Mirae Asset (Việt Nam)</t>
        </is>
      </c>
      <c r="E16881" t="inlineStr">
        <is>
          <t>Lương:17 Tr - 30 Tr VND</t>
        </is>
      </c>
      <c r="F16881" t="inlineStr">
        <is>
          <t>Quảng NgãiKV Nam Trung Bộ</t>
        </is>
      </c>
      <c r="G16881" t="inlineStr">
        <is>
          <t>05-04-2026</t>
        </is>
      </c>
      <c r="H16881" t="inlineStr">
        <is>
          <t>05/04/2026</t>
        </is>
      </c>
      <c r="I16881" t="inlineStr">
        <is>
          <t>17/03/2026</t>
        </is>
      </c>
      <c r="J16881" t="inlineStr">
        <is>
          <t>Bán hàng / Kinh doanh, Bán lẻ / Bán sỉ, Tài chính / Đầu tư</t>
        </is>
      </c>
      <c r="K16881" t="inlineStr">
        <is>
          <t>1 - 3 Năm</t>
        </is>
      </c>
      <c r="L16881" s="8">
        <f>HYPERLINK("https://careerviet.vn/vi/tim-viec-lam/quang-ngai-chuyen-vien-tu-van-tra-gop-o-to.35C6495C.html","Xem chi tiết")</f>
        <v/>
      </c>
    </row>
    <row r="16882">
      <c r="B16882" s="9" t="n">
        <v>16880</v>
      </c>
      <c r="C16882" s="10" t="inlineStr">
        <is>
          <t>Nhân Viên Vận Hành Máy Tiện CNC</t>
        </is>
      </c>
      <c r="D16882" s="10" t="inlineStr">
        <is>
          <t>DAI HOANG KIM GROUP</t>
        </is>
      </c>
      <c r="E16882" s="10" t="inlineStr">
        <is>
          <t>Lương:Cạnh tranh</t>
        </is>
      </c>
      <c r="F16882" s="10" t="inlineStr">
        <is>
          <t>Bình Phước</t>
        </is>
      </c>
      <c r="G16882" s="10" t="inlineStr">
        <is>
          <t>05-04-2026</t>
        </is>
      </c>
      <c r="H16882" s="10" t="inlineStr">
        <is>
          <t>05/04/2026</t>
        </is>
      </c>
      <c r="I16882" s="10" t="inlineStr">
        <is>
          <t>17/03/2026</t>
        </is>
      </c>
      <c r="J16882" s="10" t="inlineStr">
        <is>
          <t>Cơ khí / Ô tô / Tự động hóa, Sản xuất / Vận hành sản xuất</t>
        </is>
      </c>
      <c r="K16882" s="10" t="inlineStr">
        <is>
          <t>N/A</t>
        </is>
      </c>
      <c r="L16882" s="11">
        <f>HYPERLINK("https://careerviet.vn/vi/tim-viec-lam/nhan-vien-van-hanh-may-tien-cnc.35C64858.html","Xem chi tiết")</f>
        <v/>
      </c>
      <c r="M16882" s="10" t="n"/>
    </row>
    <row r="16883">
      <c r="B16883" s="7" t="n">
        <v>16881</v>
      </c>
      <c r="C16883" t="inlineStr">
        <is>
          <t>[NovaService] Trưởng phòng Pháp lý</t>
        </is>
      </c>
      <c r="D16883" t="inlineStr">
        <is>
          <t>Nova Service Group - Công ty Cổ phần Tập đoàn Nova Services</t>
        </is>
      </c>
      <c r="E16883" t="inlineStr">
        <is>
          <t>Lương:Cạnh tranh</t>
        </is>
      </c>
      <c r="F16883" t="inlineStr">
        <is>
          <t>Hồ Chí Minh</t>
        </is>
      </c>
      <c r="G16883" t="inlineStr">
        <is>
          <t>05-04-2026</t>
        </is>
      </c>
      <c r="H16883" t="inlineStr">
        <is>
          <t>05/04/2026</t>
        </is>
      </c>
      <c r="I16883" t="inlineStr">
        <is>
          <t>17/03/2026</t>
        </is>
      </c>
      <c r="J16883" t="inlineStr">
        <is>
          <t>Dịch vụ khách hàng, Quản lý điều hành, Luật / Pháp lý</t>
        </is>
      </c>
      <c r="K16883" t="inlineStr">
        <is>
          <t>8 - 10 Năm</t>
        </is>
      </c>
      <c r="L16883" s="8">
        <f>HYPERLINK("https://careerviet.vn/vi/tim-viec-lam/novaservice-truong-phong-phap-ly.35C64956.html","Xem chi tiết")</f>
        <v/>
      </c>
    </row>
    <row r="16884">
      <c r="B16884" s="9" t="n">
        <v>16882</v>
      </c>
      <c r="C16884" s="10" t="inlineStr">
        <is>
          <t>[Vĩnh Phúc] - Chuyên Viên Tư Vấn Trả Góp Ô Tô</t>
        </is>
      </c>
      <c r="D16884" s="10" t="inlineStr">
        <is>
          <t>Công Ty Tài Chính Mirae Asset (Việt Nam)</t>
        </is>
      </c>
      <c r="E16884" s="10" t="inlineStr">
        <is>
          <t>Lương:17 Tr - 30 Tr VND</t>
        </is>
      </c>
      <c r="F16884" s="10" t="inlineStr">
        <is>
          <t>Vĩnh PhúcKV Bắc Trung Bộ</t>
        </is>
      </c>
      <c r="G16884" s="10" t="inlineStr">
        <is>
          <t>05-04-2026</t>
        </is>
      </c>
      <c r="H16884" s="10" t="inlineStr">
        <is>
          <t>05/04/2026</t>
        </is>
      </c>
      <c r="I16884" s="10" t="inlineStr">
        <is>
          <t>17/03/2026</t>
        </is>
      </c>
      <c r="J16884" s="10" t="inlineStr">
        <is>
          <t>Bán hàng / Kinh doanh, Bán lẻ / Bán sỉ, Tài chính / Đầu tư</t>
        </is>
      </c>
      <c r="K16884" s="10" t="inlineStr">
        <is>
          <t>1 - 3 Năm</t>
        </is>
      </c>
      <c r="L16884" s="11">
        <f>HYPERLINK("https://careerviet.vn/vi/tim-viec-lam/vinh-phuc-chuyen-vien-tu-van-tra-gop-o-to.35C64945.html","Xem chi tiết")</f>
        <v/>
      </c>
      <c r="M16884" s="10" t="n"/>
    </row>
    <row r="16885">
      <c r="B16885" s="7" t="n">
        <v>16883</v>
      </c>
      <c r="C16885" t="inlineStr">
        <is>
          <t>[Thừa Thiên Huế] - Chuyên Viên Tư Vấn Trả Góp Ô Tô</t>
        </is>
      </c>
      <c r="D16885" t="inlineStr">
        <is>
          <t>Công Ty Tài Chính Mirae Asset (Việt Nam)</t>
        </is>
      </c>
      <c r="E16885" t="inlineStr">
        <is>
          <t>Lương:17 Tr - 30 Tr VND</t>
        </is>
      </c>
      <c r="F16885" t="inlineStr">
        <is>
          <t>Thừa Thiên- HuếKV Nam Trung Bộ</t>
        </is>
      </c>
      <c r="G16885" t="inlineStr">
        <is>
          <t>05-04-2026</t>
        </is>
      </c>
      <c r="H16885" t="inlineStr">
        <is>
          <t>05/04/2026</t>
        </is>
      </c>
      <c r="I16885" t="inlineStr">
        <is>
          <t>17/03/2026</t>
        </is>
      </c>
      <c r="J16885" t="inlineStr">
        <is>
          <t>Bán hàng / Kinh doanh, Bán lẻ / Bán sỉ, Tài chính / Đầu tư</t>
        </is>
      </c>
      <c r="K16885" t="inlineStr">
        <is>
          <t>1 - 3 Năm</t>
        </is>
      </c>
      <c r="L16885" s="8">
        <f>HYPERLINK("https://careerviet.vn/vi/tim-viec-lam/thua-thien-hue-chuyen-vien-tu-van-tra-gop-o-to.35C64953.html","Xem chi tiết")</f>
        <v/>
      </c>
    </row>
    <row r="16886">
      <c r="B16886" s="9" t="n">
        <v>16884</v>
      </c>
      <c r="C16886" s="10" t="inlineStr">
        <is>
          <t>Chuyên viên Hành chính Nhân sự</t>
        </is>
      </c>
      <c r="D16886" s="10" t="inlineStr">
        <is>
          <t>Tập Đoàn Tân Á Đại Thành</t>
        </is>
      </c>
      <c r="E16886" s="10" t="inlineStr">
        <is>
          <t>Lương:15 Tr - 23 Tr VND</t>
        </is>
      </c>
      <c r="F16886" s="10" t="inlineStr">
        <is>
          <t>Hà Nội</t>
        </is>
      </c>
      <c r="G16886" s="10" t="inlineStr">
        <is>
          <t>05-04-2026</t>
        </is>
      </c>
      <c r="H16886" s="10" t="inlineStr">
        <is>
          <t>05/04/2026</t>
        </is>
      </c>
      <c r="I16886" s="10" t="inlineStr">
        <is>
          <t>17/03/2026</t>
        </is>
      </c>
      <c r="J16886" s="10" t="inlineStr">
        <is>
          <t>Hành chính / Thư ký, Nhân sự, Sản xuất / Vận hành sản xuất</t>
        </is>
      </c>
      <c r="K16886" s="10" t="inlineStr">
        <is>
          <t>Trên 2 Năm</t>
        </is>
      </c>
      <c r="L16886" s="11">
        <f>HYPERLINK("https://careerviet.vn/vi/tim-viec-lam/chuyen-vien-hanh-chinh-nhan-su.35C6489C.html","Xem chi tiết")</f>
        <v/>
      </c>
      <c r="M16886" s="10" t="n"/>
    </row>
    <row r="16887">
      <c r="B16887" s="7" t="n">
        <v>16885</v>
      </c>
      <c r="C16887" t="inlineStr">
        <is>
          <t>[Quảng Bình] Chuyên Viên Tư Vấn Trả Góp Ô tô</t>
        </is>
      </c>
      <c r="D16887" t="inlineStr">
        <is>
          <t>Công Ty Tài Chính Mirae Asset (Việt Nam)</t>
        </is>
      </c>
      <c r="E16887" t="inlineStr">
        <is>
          <t>Lương:17 Tr - 30 Tr VND</t>
        </is>
      </c>
      <c r="F16887" t="inlineStr">
        <is>
          <t>Quảng BìnhKV Nam Trung Bộ</t>
        </is>
      </c>
      <c r="G16887" t="inlineStr">
        <is>
          <t>05-04-2026</t>
        </is>
      </c>
      <c r="H16887" t="inlineStr">
        <is>
          <t>05/04/2026</t>
        </is>
      </c>
      <c r="I16887" t="inlineStr">
        <is>
          <t>17/03/2026</t>
        </is>
      </c>
      <c r="J16887" t="inlineStr">
        <is>
          <t>Bán hàng / Kinh doanh, Bán lẻ / Bán sỉ, Tài chính / Đầu tư</t>
        </is>
      </c>
      <c r="K16887" t="inlineStr">
        <is>
          <t>1 - 3 Năm</t>
        </is>
      </c>
      <c r="L16887" s="8">
        <f>HYPERLINK("https://careerviet.vn/vi/tim-viec-lam/quang-binh-chuyen-vien-tu-van-tra-gop-o-to.35C64955.html","Xem chi tiết")</f>
        <v/>
      </c>
    </row>
    <row r="16888">
      <c r="B16888" s="9" t="n">
        <v>16886</v>
      </c>
      <c r="C16888" s="10" t="inlineStr">
        <is>
          <t>Chuyên viên chăm sóc khách hàng VIP</t>
        </is>
      </c>
      <c r="D16888" s="10" t="inlineStr">
        <is>
          <t>UrBox - Công ty Cổ phần Tiếp Thị Số Tô Quà</t>
        </is>
      </c>
      <c r="E16888" s="10" t="inlineStr">
        <is>
          <t>Lương:Cạnh tranh</t>
        </is>
      </c>
      <c r="F16888" s="10" t="inlineStr">
        <is>
          <t>Hà Nội</t>
        </is>
      </c>
      <c r="G16888" s="10" t="inlineStr">
        <is>
          <t>05-04-2026</t>
        </is>
      </c>
      <c r="H16888" s="10" t="inlineStr">
        <is>
          <t>05/04/2026</t>
        </is>
      </c>
      <c r="I16888" s="10" t="inlineStr">
        <is>
          <t>17/03/2026</t>
        </is>
      </c>
      <c r="J16888" s="10" t="inlineStr">
        <is>
          <t>Nhà hàng / Khách sạn</t>
        </is>
      </c>
      <c r="K16888" s="10" t="inlineStr">
        <is>
          <t>2 - 3 Năm</t>
        </is>
      </c>
      <c r="L16888" s="11">
        <f>HYPERLINK("https://careerviet.vn/vi/tim-viec-lam/chuyen-vien-cham-soc-khach-hang-vip.35C6497C.html","Xem chi tiết")</f>
        <v/>
      </c>
      <c r="M16888" s="10" t="n"/>
    </row>
    <row r="16889">
      <c r="B16889" s="7" t="n">
        <v>16887</v>
      </c>
      <c r="C16889" t="inlineStr">
        <is>
          <t>Chuyên Viên Bồi Thường Bảo Hiểm Hàng Hải</t>
        </is>
      </c>
      <c r="D16889" t="inlineStr">
        <is>
          <t>Tổng Công Ty Cổ Phần Bảo Hiểm Ngân Hàng TMCP Công Thương Việt Nam</t>
        </is>
      </c>
      <c r="E16889" t="inlineStr">
        <is>
          <t>Lương:Cạnh tranh</t>
        </is>
      </c>
      <c r="F16889" t="inlineStr">
        <is>
          <t>Hà Nội</t>
        </is>
      </c>
      <c r="G16889" t="inlineStr">
        <is>
          <t>05-04-2026</t>
        </is>
      </c>
      <c r="H16889" t="inlineStr">
        <is>
          <t>05/04/2026</t>
        </is>
      </c>
      <c r="I16889" t="inlineStr">
        <is>
          <t>17/03/2026</t>
        </is>
      </c>
      <c r="J16889" t="inlineStr">
        <is>
          <t>Bảo hiểm, Ngành khác</t>
        </is>
      </c>
      <c r="K16889" t="inlineStr">
        <is>
          <t>2 - 3 Năm</t>
        </is>
      </c>
      <c r="L16889" s="8">
        <f>HYPERLINK("https://careerviet.vn/vi/tim-viec-lam/chuyen-vien-boi-thuong-bao-hiem-hang-hai.35C6483B.html","Xem chi tiết")</f>
        <v/>
      </c>
    </row>
    <row r="16890">
      <c r="B16890" s="9" t="n">
        <v>16888</v>
      </c>
      <c r="C16890" s="10" t="inlineStr">
        <is>
          <t>NHÂN VIÊN KINH DOANH VLXD</t>
        </is>
      </c>
      <c r="D16890" s="10" t="inlineStr">
        <is>
          <t>CÔNG TY TNHH ĐẦU TƯ THƯƠNG MẠI OM SOHA</t>
        </is>
      </c>
      <c r="E16890" s="10" t="inlineStr">
        <is>
          <t>Lương:Cạnh tranh</t>
        </is>
      </c>
      <c r="F16890" s="10" t="inlineStr">
        <is>
          <t>Hồ Chí Minh</t>
        </is>
      </c>
      <c r="G16890" s="10" t="inlineStr">
        <is>
          <t>05-04-2026</t>
        </is>
      </c>
      <c r="H16890" s="10" t="inlineStr">
        <is>
          <t>05/04/2026</t>
        </is>
      </c>
      <c r="I16890" s="10" t="inlineStr">
        <is>
          <t>17/03/2026</t>
        </is>
      </c>
      <c r="J16890" s="10" t="inlineStr">
        <is>
          <t>Bán lẻ / Bán sỉ, Bán hàng / Kinh doanh, Xây dựng</t>
        </is>
      </c>
      <c r="K16890" s="10" t="inlineStr">
        <is>
          <t>1 - 2 Năm</t>
        </is>
      </c>
      <c r="L16890" s="11">
        <f>HYPERLINK("https://careerviet.vn/vi/tim-viec-lam/nhan-vien-kinh-doanh-vlxd.35C649AC.html","Xem chi tiết")</f>
        <v/>
      </c>
      <c r="M16890" s="10" t="n"/>
    </row>
    <row r="16891">
      <c r="B16891" s="7" t="n">
        <v>16889</v>
      </c>
      <c r="C16891" t="inlineStr">
        <is>
          <t>Nhân viên Hành chính Khánh tiết (Có thể nhận việc sau tết Âm lịch)</t>
        </is>
      </c>
      <c r="D16891" t="inlineStr">
        <is>
          <t>CÔNG TY CỔ PHẦN CÔNG NGHIỆP WELDCOM</t>
        </is>
      </c>
      <c r="E16891" t="inlineStr">
        <is>
          <t>Lương:15 Tr - 20 Tr VND</t>
        </is>
      </c>
      <c r="F16891" t="inlineStr">
        <is>
          <t>Hà Nội</t>
        </is>
      </c>
      <c r="G16891" t="inlineStr">
        <is>
          <t>05-04-2026</t>
        </is>
      </c>
      <c r="H16891" t="inlineStr">
        <is>
          <t>05/04/2026</t>
        </is>
      </c>
      <c r="I16891" t="inlineStr">
        <is>
          <t>17/03/2026</t>
        </is>
      </c>
      <c r="J16891" t="inlineStr">
        <is>
          <t>Hành chính / Thư ký, Quản lý điều hành, Nhân sự</t>
        </is>
      </c>
      <c r="K16891" t="inlineStr">
        <is>
          <t>3 - 5 Năm</t>
        </is>
      </c>
      <c r="L16891" s="8">
        <f>HYPERLINK("https://careerviet.vn/vi/tim-viec-lam/nhan-vien-hanh-chinh-khanh-tiet-co-the-nhan-viec-sau-tet-am-lich.35C649E5.html","Xem chi tiết")</f>
        <v/>
      </c>
    </row>
    <row r="16892">
      <c r="B16892" s="9" t="n">
        <v>16890</v>
      </c>
      <c r="C16892" s="10" t="inlineStr">
        <is>
          <t>[Hà Nội] Giám Sát Kinh Doanh Trực Tiếp</t>
        </is>
      </c>
      <c r="D16892" s="10" t="inlineStr">
        <is>
          <t>Công Ty Tài Chính Mirae Asset (Việt Nam)</t>
        </is>
      </c>
      <c r="E16892" s="10" t="inlineStr">
        <is>
          <t>Lương:Cạnh tranh</t>
        </is>
      </c>
      <c r="F16892" s="10" t="inlineStr">
        <is>
          <t>Hà NộiKV Bắc Trung Bộ</t>
        </is>
      </c>
      <c r="G16892" s="10" t="inlineStr">
        <is>
          <t>05-04-2026</t>
        </is>
      </c>
      <c r="H16892" s="10" t="inlineStr">
        <is>
          <t>05/04/2026</t>
        </is>
      </c>
      <c r="I16892" s="10" t="inlineStr">
        <is>
          <t>17/03/2026</t>
        </is>
      </c>
      <c r="J16892" s="10" t="inlineStr">
        <is>
          <t>Bảo hiểm, Bất động sản, Bán hàng / Kinh doanh</t>
        </is>
      </c>
      <c r="K16892" s="10" t="inlineStr">
        <is>
          <t>1 - 2 Năm</t>
        </is>
      </c>
      <c r="L16892" s="11">
        <f>HYPERLINK("https://careerviet.vn/vi/tim-viec-lam/ha-noi-giam-sat-kinh-doanh-truc-tiep.35C64976.html","Xem chi tiết")</f>
        <v/>
      </c>
      <c r="M16892" s="10" t="n"/>
    </row>
    <row r="16893">
      <c r="B16893" s="7" t="n">
        <v>16891</v>
      </c>
      <c r="C16893" t="inlineStr">
        <is>
          <t>Nhân Viên Kiểm Duyệt Hồ Sơ Viettel Kênh Video Call - Có cung cấp dấu mộc thực tập</t>
        </is>
      </c>
      <c r="D16893" t="inlineStr">
        <is>
          <t>BellSystem24-Việt Nam</t>
        </is>
      </c>
      <c r="E16893" t="inlineStr">
        <is>
          <t>Lương:6,5 Tr - 8 Tr VND</t>
        </is>
      </c>
      <c r="F16893" t="inlineStr">
        <is>
          <t>Hà Nội</t>
        </is>
      </c>
      <c r="G16893" t="inlineStr">
        <is>
          <t>05-04-2026</t>
        </is>
      </c>
      <c r="H16893" t="inlineStr">
        <is>
          <t>05/04/2026</t>
        </is>
      </c>
      <c r="I16893" t="inlineStr">
        <is>
          <t>17/03/2026</t>
        </is>
      </c>
      <c r="J16893" t="inlineStr">
        <is>
          <t>Chứng khoán, Bán hàng / Kinh doanh, Mới tốt nghiệp / Thực tập</t>
        </is>
      </c>
      <c r="K16893" t="inlineStr">
        <is>
          <t>N/A</t>
        </is>
      </c>
      <c r="L16893" s="8">
        <f>HYPERLINK("https://careerviet.vn/vi/tim-viec-lam/nhan-vien-kiem-duyet-ho-so-viettel-kenh-video-call-co-cung-cap-dau-moc-thuc-tap.35C6485D.html","Xem chi tiết")</f>
        <v/>
      </c>
    </row>
    <row r="16894">
      <c r="B16894" s="9" t="n">
        <v>16892</v>
      </c>
      <c r="C16894" s="10" t="inlineStr">
        <is>
          <t>Site Support - KỸ SƯ ĐIỆN</t>
        </is>
      </c>
      <c r="D16894" s="10" t="inlineStr">
        <is>
          <t>CÔNG TY TNHH ARV TRADING AND SERVICES</t>
        </is>
      </c>
      <c r="E16894" s="10" t="inlineStr">
        <is>
          <t>Lương:21,2 Tr - 29,2 Tr VND</t>
        </is>
      </c>
      <c r="F16894" s="10" t="inlineStr">
        <is>
          <t>Hồ Chí Minh</t>
        </is>
      </c>
      <c r="G16894" s="10" t="inlineStr">
        <is>
          <t>05-04-2026</t>
        </is>
      </c>
      <c r="H16894" s="10" t="inlineStr">
        <is>
          <t>05/04/2026</t>
        </is>
      </c>
      <c r="I16894" s="10" t="inlineStr">
        <is>
          <t>17/03/2026</t>
        </is>
      </c>
      <c r="J16894" s="10" t="inlineStr">
        <is>
          <t>Bán hàng / Kinh doanh, Điện / Điện tử / Điện lạnh / Điện công nghiệp, Sản xuất / Vận hành sản xuất</t>
        </is>
      </c>
      <c r="K16894" s="10" t="inlineStr">
        <is>
          <t>2 - 3 Năm</t>
        </is>
      </c>
      <c r="L16894" s="11">
        <f>HYPERLINK("https://careerviet.vn/vi/tim-viec-lam/site-support-ky-su-dien.35C648BE.html","Xem chi tiết")</f>
        <v/>
      </c>
      <c r="M16894" s="10" t="n"/>
    </row>
    <row r="16895">
      <c r="B16895" s="7" t="n">
        <v>16893</v>
      </c>
      <c r="C16895" t="inlineStr">
        <is>
          <t>Trưởng phòng thiết kế mẫu - Lương 30 triệu (PV sau tết nhận việc)</t>
        </is>
      </c>
      <c r="D16895" t="inlineStr">
        <is>
          <t>CÔNG TY TNHH SẢN XUẤT MAY PHI LOAN</t>
        </is>
      </c>
      <c r="E16895" t="inlineStr">
        <is>
          <t>Lương:25 Tr - 30 Tr VND</t>
        </is>
      </c>
      <c r="F16895" t="inlineStr">
        <is>
          <t>Hồ Chí Minh</t>
        </is>
      </c>
      <c r="G16895" t="inlineStr">
        <is>
          <t>05-04-2026</t>
        </is>
      </c>
      <c r="H16895" t="inlineStr">
        <is>
          <t>05/04/2026</t>
        </is>
      </c>
      <c r="I16895" t="inlineStr">
        <is>
          <t>17/03/2026</t>
        </is>
      </c>
      <c r="J16895" t="inlineStr">
        <is>
          <t>Mỹ thuật / Nghệ thuật / Thiết kế, Sản xuất / Vận hành sản xuất, Dệt may / Da giày / Thời trang</t>
        </is>
      </c>
      <c r="K16895" t="inlineStr">
        <is>
          <t>2 - 5 Năm</t>
        </is>
      </c>
      <c r="L16895" s="8">
        <f>HYPERLINK("https://careerviet.vn/vi/tim-viec-lam/truong-phong-thiet-ke-mau-luong-30-trieu-pv-sau-tet-nhan-viec.35C648BF.html","Xem chi tiết")</f>
        <v/>
      </c>
    </row>
    <row r="16896">
      <c r="B16896" s="9" t="n">
        <v>16894</v>
      </c>
      <c r="C16896" s="10" t="inlineStr">
        <is>
          <t>[Mộc Châu] Trưởng nhóm Khách hàng Cá nhân</t>
        </is>
      </c>
      <c r="D16896" s="10" t="inlineStr">
        <is>
          <t>Ngân hàng TMCP Lộc Phát Việt Nam (LPBank)</t>
        </is>
      </c>
      <c r="E16896" s="10" t="inlineStr">
        <is>
          <t>Lương:Cạnh tranh</t>
        </is>
      </c>
      <c r="F16896" s="10" t="inlineStr">
        <is>
          <t>Sơn La</t>
        </is>
      </c>
      <c r="G16896" s="10" t="inlineStr">
        <is>
          <t>05-04-2026</t>
        </is>
      </c>
      <c r="H16896" s="10" t="inlineStr">
        <is>
          <t>05/04/2026</t>
        </is>
      </c>
      <c r="I16896" s="10" t="inlineStr">
        <is>
          <t>17/03/2026</t>
        </is>
      </c>
      <c r="J16896" s="10" t="inlineStr">
        <is>
          <t>Bán hàng / Kinh doanh, Kế toán / Kiểm toán, Ngân hàng</t>
        </is>
      </c>
      <c r="K16896" s="10" t="inlineStr">
        <is>
          <t>Trên 3 Năm</t>
        </is>
      </c>
      <c r="L16896" s="11">
        <f>HYPERLINK("https://careerviet.vn/vi/tim-viec-lam/moc-chau-truong-nhom-khach-hang-ca-nhan.35C64929.html","Xem chi tiết")</f>
        <v/>
      </c>
      <c r="M16896" s="10" t="n"/>
    </row>
    <row r="16897">
      <c r="B16897" s="7" t="n">
        <v>16895</v>
      </c>
      <c r="C16897" t="inlineStr">
        <is>
          <t>[Hưng Yên, Hải Dương] - Chuyên Viên Tư Vấn Trả Góp Ô Tô</t>
        </is>
      </c>
      <c r="D16897" t="inlineStr">
        <is>
          <t>Công Ty Tài Chính Mirae Asset (Việt Nam)</t>
        </is>
      </c>
      <c r="E16897" t="inlineStr">
        <is>
          <t>Lương:17 Tr - 30 Tr VND</t>
        </is>
      </c>
      <c r="F16897" t="inlineStr">
        <is>
          <t>Hưng YênKV Bắc Trung BộHải Dương</t>
        </is>
      </c>
      <c r="G16897" t="inlineStr">
        <is>
          <t>05-04-2026</t>
        </is>
      </c>
      <c r="H16897" t="inlineStr">
        <is>
          <t>05/04/2026</t>
        </is>
      </c>
      <c r="I16897" t="inlineStr">
        <is>
          <t>17/03/2026</t>
        </is>
      </c>
      <c r="J16897" t="inlineStr">
        <is>
          <t>Bán hàng / Kinh doanh, Bán lẻ / Bán sỉ, Tài chính / Đầu tư</t>
        </is>
      </c>
      <c r="K16897" t="inlineStr">
        <is>
          <t>1 - 3 Năm</t>
        </is>
      </c>
      <c r="L16897" s="8">
        <f>HYPERLINK("https://careerviet.vn/vi/tim-viec-lam/hung-yen-hai-duong-chuyen-vien-tu-van-tra-gop-o-to.35C6494D.html","Xem chi tiết")</f>
        <v/>
      </c>
    </row>
    <row r="16898">
      <c r="B16898" s="9" t="n">
        <v>16896</v>
      </c>
      <c r="C16898" s="10" t="inlineStr">
        <is>
          <t>[Nghệ An] Chuyên Viên Tư Vấn Trả Góp Ô Tô</t>
        </is>
      </c>
      <c r="D16898" s="10" t="inlineStr">
        <is>
          <t>Công Ty Tài Chính Mirae Asset (Việt Nam)</t>
        </is>
      </c>
      <c r="E16898" s="10" t="inlineStr">
        <is>
          <t>Lương:17 Tr - 30 Tr VND</t>
        </is>
      </c>
      <c r="F16898" s="10" t="inlineStr">
        <is>
          <t>Nghệ AnKV Bắc Trung Bộ</t>
        </is>
      </c>
      <c r="G16898" s="10" t="inlineStr">
        <is>
          <t>05-04-2026</t>
        </is>
      </c>
      <c r="H16898" s="10" t="inlineStr">
        <is>
          <t>05/04/2026</t>
        </is>
      </c>
      <c r="I16898" s="10" t="inlineStr">
        <is>
          <t>17/03/2026</t>
        </is>
      </c>
      <c r="J16898" s="10" t="inlineStr">
        <is>
          <t>Bán hàng / Kinh doanh, Bán lẻ / Bán sỉ, Tài chính / Đầu tư</t>
        </is>
      </c>
      <c r="K16898" s="10" t="inlineStr">
        <is>
          <t>1 - 3 Năm</t>
        </is>
      </c>
      <c r="L16898" s="11">
        <f>HYPERLINK("https://careerviet.vn/vi/tim-viec-lam/nghe-an-chuyen-vien-tu-van-tra-gop-o-to.35C64936.html","Xem chi tiết")</f>
        <v/>
      </c>
      <c r="M16898" s="10" t="n"/>
    </row>
    <row r="16899">
      <c r="B16899" s="7" t="n">
        <v>16897</v>
      </c>
      <c r="C16899" t="inlineStr">
        <is>
          <t>Tax Accountant</t>
        </is>
      </c>
      <c r="D16899" t="inlineStr">
        <is>
          <t>Highlands Coffee</t>
        </is>
      </c>
      <c r="E16899" t="inlineStr">
        <is>
          <t>Lương:Cạnh tranh</t>
        </is>
      </c>
      <c r="F16899" t="inlineStr">
        <is>
          <t>Hồ Chí Minh</t>
        </is>
      </c>
      <c r="G16899" t="inlineStr">
        <is>
          <t>05-04-2026</t>
        </is>
      </c>
      <c r="H16899" t="inlineStr">
        <is>
          <t>05/04/2026</t>
        </is>
      </c>
      <c r="I16899" t="inlineStr">
        <is>
          <t>17/03/2026</t>
        </is>
      </c>
      <c r="J16899" t="inlineStr">
        <is>
          <t>Bán lẻ / Bán sỉ, Thực phẩm &amp; Đồ uống, Kế toán / Kiểm toán</t>
        </is>
      </c>
      <c r="K16899" t="inlineStr">
        <is>
          <t>3 - 4 Năm</t>
        </is>
      </c>
      <c r="L16899" s="8">
        <f>HYPERLINK("https://careerviet.vn/vi/tim-viec-lam/tax-accountant.35C64A0C.html","Xem chi tiết")</f>
        <v/>
      </c>
    </row>
    <row r="16900">
      <c r="B16900" s="9" t="n">
        <v>16898</v>
      </c>
      <c r="C16900" s="10" t="inlineStr">
        <is>
          <t>Đội trưởng đội xe</t>
        </is>
      </c>
      <c r="D16900" s="10" t="inlineStr">
        <is>
          <t>Công Ty Cổ Phần Panel Việt</t>
        </is>
      </c>
      <c r="E16900" s="10" t="inlineStr">
        <is>
          <t>Lương:13 Tr - 18 Tr VND</t>
        </is>
      </c>
      <c r="F16900" s="10" t="inlineStr">
        <is>
          <t>Đồng Nai</t>
        </is>
      </c>
      <c r="G16900" s="10" t="inlineStr">
        <is>
          <t>05-04-2026</t>
        </is>
      </c>
      <c r="H16900" s="10" t="inlineStr">
        <is>
          <t>05/04/2026</t>
        </is>
      </c>
      <c r="I16900" s="10" t="inlineStr">
        <is>
          <t>17/03/2026</t>
        </is>
      </c>
      <c r="J16900" s="10" t="inlineStr">
        <is>
          <t>Vận chuyển / Giao nhận / Kho vận</t>
        </is>
      </c>
      <c r="K16900" s="10" t="inlineStr">
        <is>
          <t>1 - 3 Năm</t>
        </is>
      </c>
      <c r="L16900" s="11">
        <f>HYPERLINK("https://careerviet.vn/vi/tim-viec-lam/doi-truong-doi-xe.35C64873.html","Xem chi tiết")</f>
        <v/>
      </c>
      <c r="M16900" s="10" t="n"/>
    </row>
    <row r="16901">
      <c r="B16901" s="7" t="n">
        <v>16899</v>
      </c>
      <c r="C16901" t="inlineStr">
        <is>
          <t>NHÂN VIÊN BÁN HÀNG (FULLTIME - KKV LÊ LỢI)</t>
        </is>
      </c>
      <c r="D16901" t="inlineStr">
        <is>
          <t>KK Vietnam</t>
        </is>
      </c>
      <c r="E16901" t="inlineStr">
        <is>
          <t>Lương:8 Tr - 10 Tr VND</t>
        </is>
      </c>
      <c r="F16901" t="inlineStr">
        <is>
          <t>Hồ Chí Minh</t>
        </is>
      </c>
      <c r="G16901" t="inlineStr">
        <is>
          <t>05-04-2026</t>
        </is>
      </c>
      <c r="H16901" t="inlineStr">
        <is>
          <t>05/04/2026</t>
        </is>
      </c>
      <c r="I16901" t="inlineStr">
        <is>
          <t>17/03/2026</t>
        </is>
      </c>
      <c r="J16901" t="inlineStr">
        <is>
          <t>Bán lẻ / Bán sỉ, Bán hàng / Kinh doanh</t>
        </is>
      </c>
      <c r="K16901" t="inlineStr">
        <is>
          <t>1 - 2 Năm</t>
        </is>
      </c>
      <c r="L16901" s="8">
        <f>HYPERLINK("https://careerviet.vn/vi/tim-viec-lam/nhan-vien-ban-hang-fulltime-kkv-le-loi.35C6487D.html","Xem chi tiết")</f>
        <v/>
      </c>
    </row>
    <row r="16902">
      <c r="B16902" s="9" t="n">
        <v>16900</v>
      </c>
      <c r="C16902" s="10" t="inlineStr">
        <is>
          <t>KỸ SƯ PHÁT TRIỂN DỰ ÁN  [LÀM VIỆC TẠI CỦ CHI]</t>
        </is>
      </c>
      <c r="D16902" s="10" t="inlineStr">
        <is>
          <t>CÔNG TY CP SAIGON AUTO SUPPORTING INDUSTRY</t>
        </is>
      </c>
      <c r="E16902" s="10" t="inlineStr">
        <is>
          <t>Lương:Cạnh tranh</t>
        </is>
      </c>
      <c r="F16902" s="10" t="inlineStr">
        <is>
          <t>Hồ Chí Minh</t>
        </is>
      </c>
      <c r="G16902" s="10" t="inlineStr">
        <is>
          <t>06-04-2026</t>
        </is>
      </c>
      <c r="H16902" s="10" t="inlineStr">
        <is>
          <t>06/04/2026</t>
        </is>
      </c>
      <c r="I16902" s="10" t="inlineStr">
        <is>
          <t>17/03/2026</t>
        </is>
      </c>
      <c r="J16902" s="10" t="inlineStr">
        <is>
          <t>Cơ khí / Ô tô / Tự động hóa, Sản xuất / Vận hành sản xuất, Ngành khác</t>
        </is>
      </c>
      <c r="K16902" s="10" t="inlineStr">
        <is>
          <t>3 - 10 Năm</t>
        </is>
      </c>
      <c r="L16902" s="11">
        <f>HYPERLINK("https://careerviet.vn/vi/tim-viec-lam/ky-su-phat-trien-du-an-lam-viec-tai-cu-chi.35C64B05.html","Xem chi tiết")</f>
        <v/>
      </c>
      <c r="M16902" s="10" t="n"/>
    </row>
    <row r="16903">
      <c r="B16903" s="7" t="n">
        <v>16901</v>
      </c>
      <c r="C16903" t="inlineStr">
        <is>
          <t>Kỹ thuật viên Cải Tiến (IE Technician)</t>
        </is>
      </c>
      <c r="D16903" t="inlineStr">
        <is>
          <t>Jabil Vietnam</t>
        </is>
      </c>
      <c r="E16903" t="inlineStr">
        <is>
          <t>Lương:7 Tr - 15 Tr VND</t>
        </is>
      </c>
      <c r="F16903" t="inlineStr">
        <is>
          <t>Hồ Chí Minh</t>
        </is>
      </c>
      <c r="G16903" t="inlineStr">
        <is>
          <t>06-04-2026</t>
        </is>
      </c>
      <c r="H16903" t="inlineStr">
        <is>
          <t>06/04/2026</t>
        </is>
      </c>
      <c r="I16903" t="inlineStr">
        <is>
          <t>17/03/2026</t>
        </is>
      </c>
      <c r="J16903" t="inlineStr">
        <is>
          <t>Cơ khí / Ô tô / Tự động hóa, Điện / Điện tử / Điện lạnh / Điện công nghiệp, Bảo trì / Sửa chữa</t>
        </is>
      </c>
      <c r="K16903" t="inlineStr">
        <is>
          <t>1 - 5 Năm</t>
        </is>
      </c>
      <c r="L16903" s="8">
        <f>HYPERLINK("https://careerviet.vn/vi/tim-viec-lam/ky-thuat-vien-cai-tien-ie-technician.35C67B6E.html","Xem chi tiết")</f>
        <v/>
      </c>
    </row>
    <row r="16904">
      <c r="B16904" s="9" t="n">
        <v>16902</v>
      </c>
      <c r="C16904" s="10" t="inlineStr">
        <is>
          <t>Nhân Viên Kỹ Thuật Thổi (Bến Cát, Bình Dương)</t>
        </is>
      </c>
      <c r="D16904" s="10" t="inlineStr">
        <is>
          <t>Công Ty Cổ Phần Sản Xuất Nhựa Duy Tân</t>
        </is>
      </c>
      <c r="E16904" s="10" t="inlineStr">
        <is>
          <t>Lương:Cạnh tranh</t>
        </is>
      </c>
      <c r="F16904" s="10" t="inlineStr">
        <is>
          <t>Bình Dương</t>
        </is>
      </c>
      <c r="G16904" s="10" t="inlineStr">
        <is>
          <t>05-04-2026</t>
        </is>
      </c>
      <c r="H16904" s="10" t="inlineStr">
        <is>
          <t>05/04/2026</t>
        </is>
      </c>
      <c r="I16904" s="10" t="inlineStr">
        <is>
          <t>17/03/2026</t>
        </is>
      </c>
      <c r="J16904" s="10" t="inlineStr">
        <is>
          <t>Cơ khí / Ô tô / Tự động hóa, Sản xuất / Vận hành sản xuất</t>
        </is>
      </c>
      <c r="K16904" s="10" t="inlineStr">
        <is>
          <t>1 - 2 Năm</t>
        </is>
      </c>
      <c r="L16904" s="11">
        <f>HYPERLINK("https://careerviet.vn/vi/tim-viec-lam/nhan-vien-ky-thuat-thoi-ben-cat-binh-duong.35C64954.html","Xem chi tiết")</f>
        <v/>
      </c>
      <c r="M16904" s="10" t="n"/>
    </row>
    <row r="16905">
      <c r="B16905" s="7" t="n">
        <v>16903</v>
      </c>
      <c r="C16905" t="inlineStr">
        <is>
          <t>Nhân viên Tổng vụ Văn phòng (Tiếng Trung)</t>
        </is>
      </c>
      <c r="D16905" t="inlineStr">
        <is>
          <t>Công ty TNHH tư vấn công trình xây dựng KCIS</t>
        </is>
      </c>
      <c r="E16905" t="inlineStr">
        <is>
          <t>Lương:Cạnh tranh</t>
        </is>
      </c>
      <c r="F16905" t="inlineStr">
        <is>
          <t>Hà Nội</t>
        </is>
      </c>
      <c r="G16905" t="inlineStr">
        <is>
          <t>06-04-2026</t>
        </is>
      </c>
      <c r="H16905" t="inlineStr">
        <is>
          <t>06/04/2026</t>
        </is>
      </c>
      <c r="I16905" t="inlineStr">
        <is>
          <t>17/03/2026</t>
        </is>
      </c>
      <c r="J16905" t="inlineStr">
        <is>
          <t>Hành chính / Thư ký, Nhân sự</t>
        </is>
      </c>
      <c r="K16905" t="inlineStr">
        <is>
          <t>Lên đến 1 Năm</t>
        </is>
      </c>
      <c r="L16905" s="8">
        <f>HYPERLINK("https://careerviet.vn/vi/tim-viec-lam/nhan-vien-tong-vu-van-phong-tieng-trung.35C64B4E.html","Xem chi tiết")</f>
        <v/>
      </c>
    </row>
    <row r="16906">
      <c r="B16906" s="9" t="n">
        <v>16904</v>
      </c>
      <c r="C16906" s="10" t="inlineStr">
        <is>
          <t>Thực tập sinh hỗ trợ kinh doanh (ngành Thực phẩm)</t>
        </is>
      </c>
      <c r="D16906" s="10" t="inlineStr">
        <is>
          <t>EUROFINS VIETNAM</t>
        </is>
      </c>
      <c r="E16906" s="10" t="inlineStr">
        <is>
          <t>Lương:Cạnh tranh</t>
        </is>
      </c>
      <c r="F16906" s="10" t="inlineStr">
        <is>
          <t>Hồ Chí Minh</t>
        </is>
      </c>
      <c r="G16906" s="10" t="inlineStr">
        <is>
          <t>06-04-2026</t>
        </is>
      </c>
      <c r="H16906" s="10" t="inlineStr">
        <is>
          <t>06/04/2026</t>
        </is>
      </c>
      <c r="I16906" s="10" t="inlineStr">
        <is>
          <t>17/03/2026</t>
        </is>
      </c>
      <c r="J16906" s="10" t="inlineStr">
        <is>
          <t>Bán hàng / Kinh doanh, Dịch vụ khách hàng, Hóa học</t>
        </is>
      </c>
      <c r="K16906" s="10" t="inlineStr">
        <is>
          <t>N/A</t>
        </is>
      </c>
      <c r="L16906" s="11">
        <f>HYPERLINK("https://careerviet.vn/vi/tim-viec-lam/thuc-tap-sinh-ho-tro-kinh-doanh-nganh-thuc-pham.35C64A8A.html","Xem chi tiết")</f>
        <v/>
      </c>
      <c r="M16906" s="10" t="n"/>
    </row>
    <row r="16907">
      <c r="B16907" s="7" t="n">
        <v>16905</v>
      </c>
      <c r="C16907" t="inlineStr">
        <is>
          <t>Chuyên viên/ CVC/ CVCC Khách hàng cá nhân - Nghệ An</t>
        </is>
      </c>
      <c r="D16907" t="inlineStr">
        <is>
          <t>Ngân hàng Thương mại cổ phần Đông Nam Á (SeABank)</t>
        </is>
      </c>
      <c r="E16907" t="inlineStr">
        <is>
          <t>Lương:10 Tr - 20 Tr VND</t>
        </is>
      </c>
      <c r="F16907" t="inlineStr">
        <is>
          <t>Nghệ An</t>
        </is>
      </c>
      <c r="G16907" t="inlineStr">
        <is>
          <t>06-04-2026</t>
        </is>
      </c>
      <c r="H16907" t="inlineStr">
        <is>
          <t>06/04/2026</t>
        </is>
      </c>
      <c r="I16907" t="inlineStr">
        <is>
          <t>17/03/2026</t>
        </is>
      </c>
      <c r="J16907" t="inlineStr">
        <is>
          <t>Bán hàng / Kinh doanh, Ngân hàng</t>
        </is>
      </c>
      <c r="K16907" t="inlineStr">
        <is>
          <t>Chưa có kinh nghiệm</t>
        </is>
      </c>
      <c r="L16907" s="8">
        <f>HYPERLINK("https://careerviet.vn/vi/tim-viec-lam/chuyen-vien-cvc-cvcc-khach-hang-ca-nhan-nghe-an.35C64B8E.html","Xem chi tiết")</f>
        <v/>
      </c>
    </row>
    <row r="16908">
      <c r="B16908" s="9" t="n">
        <v>16906</v>
      </c>
      <c r="C16908" s="10" t="inlineStr">
        <is>
          <t>Logistic officer</t>
        </is>
      </c>
      <c r="D16908" s="10" t="inlineStr">
        <is>
          <t>Công Ty TNHH SML Việt Nam</t>
        </is>
      </c>
      <c r="E16908" s="10" t="inlineStr">
        <is>
          <t>Lương:Cạnh tranh</t>
        </is>
      </c>
      <c r="F16908" s="10" t="inlineStr">
        <is>
          <t>Bình Dương</t>
        </is>
      </c>
      <c r="G16908" s="10" t="inlineStr">
        <is>
          <t>06-04-2026</t>
        </is>
      </c>
      <c r="H16908" s="10" t="inlineStr">
        <is>
          <t>06/04/2026</t>
        </is>
      </c>
      <c r="I16908" s="10" t="inlineStr">
        <is>
          <t>17/03/2026</t>
        </is>
      </c>
      <c r="J16908" s="10" t="inlineStr">
        <is>
          <t>Dịch vụ khách hàng, Xuất nhập khẩu, In ấn / Xuất bản</t>
        </is>
      </c>
      <c r="K16908" s="10" t="inlineStr">
        <is>
          <t>N/A</t>
        </is>
      </c>
      <c r="L16908" s="11">
        <f>HYPERLINK("https://careerviet.vn/vi/tim-viec-lam/logistic-officer.35C67C01.html","Xem chi tiết")</f>
        <v/>
      </c>
      <c r="M16908" s="10" t="n"/>
    </row>
    <row r="16909">
      <c r="B16909" s="7" t="n">
        <v>16907</v>
      </c>
      <c r="C16909" t="inlineStr">
        <is>
          <t>NHÂN VIÊN THU NGÂN NHÀ HÀNG bbq CHICKEN</t>
        </is>
      </c>
      <c r="D16909" t="inlineStr">
        <is>
          <t>CÔNG TY TNHH BBQ VIỆT NAM</t>
        </is>
      </c>
      <c r="E16909" t="inlineStr">
        <is>
          <t>Lương:8,5 Tr - 10 Tr VND</t>
        </is>
      </c>
      <c r="F16909" t="inlineStr">
        <is>
          <t>Hà Nội</t>
        </is>
      </c>
      <c r="G16909" t="inlineStr">
        <is>
          <t>06-04-2026</t>
        </is>
      </c>
      <c r="H16909" t="inlineStr">
        <is>
          <t>06/04/2026</t>
        </is>
      </c>
      <c r="I16909" t="inlineStr">
        <is>
          <t>17/03/2026</t>
        </is>
      </c>
      <c r="J16909" t="inlineStr">
        <is>
          <t>Nhà hàng / Khách sạn</t>
        </is>
      </c>
      <c r="K16909" t="inlineStr">
        <is>
          <t>N/A</t>
        </is>
      </c>
      <c r="L16909" s="8">
        <f>HYPERLINK("https://careerviet.vn/vi/tim-viec-lam/nhan-vien-thu-ngan-nha-hang-bbq-chicken.35C67A03.html","Xem chi tiết")</f>
        <v/>
      </c>
    </row>
    <row r="16910">
      <c r="B16910" s="9" t="n">
        <v>16908</v>
      </c>
      <c r="C16910" s="10" t="inlineStr">
        <is>
          <t>Kế Toán Tổng Hợp</t>
        </is>
      </c>
      <c r="D16910" s="10" t="inlineStr">
        <is>
          <t>Bảo mật</t>
        </is>
      </c>
      <c r="E16910" s="10" t="inlineStr">
        <is>
          <t>Lương:Cạnh tranh</t>
        </is>
      </c>
      <c r="F16910" s="10" t="inlineStr">
        <is>
          <t>Hồ Chí Minh</t>
        </is>
      </c>
      <c r="G16910" s="10" t="inlineStr">
        <is>
          <t>06-04-2026</t>
        </is>
      </c>
      <c r="H16910" s="10" t="inlineStr">
        <is>
          <t>06/04/2026</t>
        </is>
      </c>
      <c r="I16910" s="10" t="inlineStr">
        <is>
          <t>17/03/2026</t>
        </is>
      </c>
      <c r="J16910" s="10" t="inlineStr">
        <is>
          <t>Kế toán / Kiểm toán, Thống kê, Tài chính / Đầu tư</t>
        </is>
      </c>
      <c r="K16910" s="10" t="inlineStr">
        <is>
          <t>3 - 5 Năm</t>
        </is>
      </c>
      <c r="L16910" s="11">
        <f>HYPERLINK("https://careerviet.vn/vi/tim-viec-lam/ke-toan-tong-hop.35C67A50.html","Xem chi tiết")</f>
        <v/>
      </c>
      <c r="M16910" s="10" t="n"/>
    </row>
    <row r="16911">
      <c r="B16911" s="7" t="n">
        <v>16909</v>
      </c>
      <c r="C16911" t="inlineStr">
        <is>
          <t>Chuyên Viên Tư Vấn Tài Chính Cấp Cao - Kênh Liên Doanh Ngân Hàng BIDV</t>
        </is>
      </c>
      <c r="D16911" t="inlineStr">
        <is>
          <t>Công Ty TNHH Bảo Hiểm Nhân Thọ BIDV MetLife</t>
        </is>
      </c>
      <c r="E16911" t="inlineStr">
        <is>
          <t>Lương:Cạnh tranh</t>
        </is>
      </c>
      <c r="F16911" t="inlineStr">
        <is>
          <t>Hồ Chí MinhLâm ĐồngHà Nội</t>
        </is>
      </c>
      <c r="G16911" t="inlineStr">
        <is>
          <t>06-04-2026</t>
        </is>
      </c>
      <c r="H16911" t="inlineStr">
        <is>
          <t>06/04/2026</t>
        </is>
      </c>
      <c r="I16911" t="inlineStr">
        <is>
          <t>17/03/2026</t>
        </is>
      </c>
      <c r="J16911" t="inlineStr">
        <is>
          <t>Tư vấn, Ngân hàng, Bảo hiểm</t>
        </is>
      </c>
      <c r="K16911" t="inlineStr">
        <is>
          <t>1 - 3 Năm</t>
        </is>
      </c>
      <c r="L16911" s="8">
        <f>HYPERLINK("https://careerviet.vn/vi/tim-viec-lam/chuyen-vien-tu-van-tai-chinh-cap-cao-kenh-lien-doanh-ngan-hang-bidv.35C67B8D.html","Xem chi tiết")</f>
        <v/>
      </c>
    </row>
    <row r="16912">
      <c r="B16912" s="9" t="n">
        <v>16910</v>
      </c>
      <c r="C16912" s="10" t="inlineStr">
        <is>
          <t>[CITIGYM] Trợ lý Chuyển Đổi số</t>
        </is>
      </c>
      <c r="D16912" s="10" t="inlineStr">
        <is>
          <t>CITIGYM</t>
        </is>
      </c>
      <c r="E16912" s="10" t="inlineStr">
        <is>
          <t>Lương:Cạnh tranh</t>
        </is>
      </c>
      <c r="F16912" s="10" t="inlineStr">
        <is>
          <t>Hồ Chí Minh</t>
        </is>
      </c>
      <c r="G16912" s="10" t="inlineStr">
        <is>
          <t>06-04-2026</t>
        </is>
      </c>
      <c r="H16912" s="10" t="inlineStr">
        <is>
          <t>06/04/2026</t>
        </is>
      </c>
      <c r="I16912" s="10" t="inlineStr">
        <is>
          <t>17/03/2026</t>
        </is>
      </c>
      <c r="J16912" s="10" t="inlineStr">
        <is>
          <t>CNTT - Phần mềm</t>
        </is>
      </c>
      <c r="K16912" s="10" t="inlineStr">
        <is>
          <t>5 - 7 Năm</t>
        </is>
      </c>
      <c r="L16912" s="11">
        <f>HYPERLINK("https://careerviet.vn/vi/tim-viec-lam/citigym-tro-ly-chuyen-doi-so.35C67986.html","Xem chi tiết")</f>
        <v/>
      </c>
      <c r="M16912" s="10" t="n"/>
    </row>
    <row r="16913">
      <c r="B16913" s="7" t="n">
        <v>16911</v>
      </c>
      <c r="C16913" t="inlineStr">
        <is>
          <t>Nhân viên kế toán thuế</t>
        </is>
      </c>
      <c r="D16913" t="inlineStr">
        <is>
          <t>Công ty TNHH Thiết bị y tế Phương Đông</t>
        </is>
      </c>
      <c r="E16913" t="inlineStr">
        <is>
          <t>Lương:Cạnh tranh</t>
        </is>
      </c>
      <c r="F16913" t="inlineStr">
        <is>
          <t>Bắc Ninh</t>
        </is>
      </c>
      <c r="G16913" t="inlineStr">
        <is>
          <t>06-04-2026</t>
        </is>
      </c>
      <c r="H16913" t="inlineStr">
        <is>
          <t>06/04/2026</t>
        </is>
      </c>
      <c r="I16913" t="inlineStr">
        <is>
          <t>17/03/2026</t>
        </is>
      </c>
      <c r="J16913" t="inlineStr">
        <is>
          <t>Kế toán / Kiểm toán</t>
        </is>
      </c>
      <c r="K16913" t="inlineStr">
        <is>
          <t>3 - 5 Năm</t>
        </is>
      </c>
      <c r="L16913" s="8">
        <f>HYPERLINK("https://careerviet.vn/vi/tim-viec-lam/nhan-vien-ke-toan-thue.35C67B6C.html","Xem chi tiết")</f>
        <v/>
      </c>
    </row>
    <row r="16914">
      <c r="B16914" s="9" t="n">
        <v>16912</v>
      </c>
      <c r="C16914" s="10" t="inlineStr">
        <is>
          <t>Nhân Viên Tư Vấn Trực Tiếp</t>
        </is>
      </c>
      <c r="D16914" s="10" t="inlineStr">
        <is>
          <t>Viện Thẩm mỹ y khoa Dr Hải Lê</t>
        </is>
      </c>
      <c r="E16914" s="10" t="inlineStr">
        <is>
          <t>Lương:Cạnh tranh</t>
        </is>
      </c>
      <c r="F16914" s="10" t="inlineStr">
        <is>
          <t>Hà Nội</t>
        </is>
      </c>
      <c r="G16914" s="10" t="inlineStr">
        <is>
          <t>06-04-2026</t>
        </is>
      </c>
      <c r="H16914" s="10" t="inlineStr">
        <is>
          <t>06/04/2026</t>
        </is>
      </c>
      <c r="I16914" s="10" t="inlineStr">
        <is>
          <t>17/03/2026</t>
        </is>
      </c>
      <c r="J16914" s="10" t="inlineStr">
        <is>
          <t>Y tế / Chăm sóc sức khỏe / Thẩm mỹ / Làm đẹp, Dược phẩm/ Hóa Mỹ Phẩm, Dịch vụ khách hàng</t>
        </is>
      </c>
      <c r="K16914" s="10" t="inlineStr">
        <is>
          <t>N/A</t>
        </is>
      </c>
      <c r="L16914" s="11">
        <f>HYPERLINK("https://careerviet.vn/vi/tim-viec-lam/nhan-vien-tu-van-truc-tiep.35C67BBC.html","Xem chi tiết")</f>
        <v/>
      </c>
      <c r="M16914" s="10" t="n"/>
    </row>
    <row r="16915">
      <c r="B16915" s="7" t="n">
        <v>16913</v>
      </c>
      <c r="C16915" t="inlineStr">
        <is>
          <t>Nhân Viên Bán Hàng Bách hóa Lưu niệm Làm Tại Sân Bay Tân Sơn Nhất</t>
        </is>
      </c>
      <c r="D16915" t="inlineStr">
        <is>
          <t>Công ty Cổ phần Đầu tư Thương mại Kỹ thuật A&amp;T Việt Nam</t>
        </is>
      </c>
      <c r="E16915" t="inlineStr">
        <is>
          <t>Lương:7 Tr - 12 Tr VND</t>
        </is>
      </c>
      <c r="F16915" t="inlineStr">
        <is>
          <t>Hồ Chí Minh</t>
        </is>
      </c>
      <c r="G16915" t="inlineStr">
        <is>
          <t>06-04-2026</t>
        </is>
      </c>
      <c r="H16915" t="inlineStr">
        <is>
          <t>06/04/2026</t>
        </is>
      </c>
      <c r="I16915" t="inlineStr">
        <is>
          <t>17/03/2026</t>
        </is>
      </c>
      <c r="J16915" t="inlineStr">
        <is>
          <t>Tiếp thị / Marketing, Bán lẻ / Bán sỉ, Bán hàng / Kinh doanh</t>
        </is>
      </c>
      <c r="K16915" t="inlineStr">
        <is>
          <t>1 - 2 Năm</t>
        </is>
      </c>
      <c r="L16915" s="8">
        <f>HYPERLINK("https://careerviet.vn/vi/tim-viec-lam/nhan-vien-ban-hang-bach-hoa-luu-niem-lam-tai-san-bay-tan-son-nhat.35C64BD1.html","Xem chi tiết")</f>
        <v/>
      </c>
    </row>
    <row r="16916">
      <c r="B16916" s="9" t="n">
        <v>16914</v>
      </c>
      <c r="C16916" s="10" t="inlineStr">
        <is>
          <t>Trình Dược Viên ETC (SƠN LA - LÀO CAI - TUYÊN QUANG)</t>
        </is>
      </c>
      <c r="D16916" s="10" t="inlineStr">
        <is>
          <t>Công ty cổ phần Anvy</t>
        </is>
      </c>
      <c r="E16916" s="10" t="inlineStr">
        <is>
          <t>Lương:12 Tr - 20 Tr VND</t>
        </is>
      </c>
      <c r="F16916" s="10" t="inlineStr">
        <is>
          <t>Lào CaiTuyên QuangSơn La</t>
        </is>
      </c>
      <c r="G16916" s="10" t="inlineStr">
        <is>
          <t>06-04-2026</t>
        </is>
      </c>
      <c r="H16916" s="10" t="inlineStr">
        <is>
          <t>06/04/2026</t>
        </is>
      </c>
      <c r="I16916" s="10" t="inlineStr">
        <is>
          <t>17/03/2026</t>
        </is>
      </c>
      <c r="J16916" s="10" t="inlineStr">
        <is>
          <t>Bán hàng / Kinh doanh, Dược phẩm/ Hóa Mỹ Phẩm, Y tế / Chăm sóc sức khỏe / Thẩm mỹ / Làm đẹp</t>
        </is>
      </c>
      <c r="K16916" s="10" t="inlineStr">
        <is>
          <t>2 - 3 Năm</t>
        </is>
      </c>
      <c r="L16916" s="11">
        <f>HYPERLINK("https://careerviet.vn/vi/tim-viec-lam/trinh-duoc-vien-etc-son-la-lao-cai-tuyen-quang.35C64BE4.html","Xem chi tiết")</f>
        <v/>
      </c>
      <c r="M16916" s="10" t="n"/>
    </row>
    <row r="16917">
      <c r="B16917" s="7" t="n">
        <v>16915</v>
      </c>
      <c r="C16917" t="inlineStr">
        <is>
          <t>Chuyên viên Quản lý thiết kế Kiến trúc</t>
        </is>
      </c>
      <c r="D16917" t="inlineStr">
        <is>
          <t>Công ty TNHH Lạc việt Quy Nhơn</t>
        </is>
      </c>
      <c r="E16917" t="inlineStr">
        <is>
          <t>Lương:25 Tr - 35 Tr VND</t>
        </is>
      </c>
      <c r="F16917" t="inlineStr">
        <is>
          <t>Hà Nội</t>
        </is>
      </c>
      <c r="G16917" t="inlineStr">
        <is>
          <t>06-04-2026</t>
        </is>
      </c>
      <c r="H16917" t="inlineStr">
        <is>
          <t>06/04/2026</t>
        </is>
      </c>
      <c r="I16917" t="inlineStr">
        <is>
          <t>17/03/2026</t>
        </is>
      </c>
      <c r="J16917" t="inlineStr">
        <is>
          <t>Kiến trúc, Bất động sản</t>
        </is>
      </c>
      <c r="K16917" t="inlineStr">
        <is>
          <t>3 - 5 Năm</t>
        </is>
      </c>
      <c r="L16917" s="8">
        <f>HYPERLINK("https://careerviet.vn/vi/tim-viec-lam/chuyen-vien-quan-ly-thiet-ke-kien-truc.35C6499E.html","Xem chi tiết")</f>
        <v/>
      </c>
    </row>
    <row r="16918">
      <c r="B16918" s="9" t="n">
        <v>16916</v>
      </c>
      <c r="C16918" s="10" t="inlineStr">
        <is>
          <t>Project Manager</t>
        </is>
      </c>
      <c r="D16918" s="10" t="inlineStr">
        <is>
          <t>Bảo mật</t>
        </is>
      </c>
      <c r="E16918" s="10" t="inlineStr">
        <is>
          <t>Lương:1.800 - 2.000 USD</t>
        </is>
      </c>
      <c r="F16918" s="10" t="inlineStr">
        <is>
          <t>Hà Nội</t>
        </is>
      </c>
      <c r="G16918" s="10" t="inlineStr">
        <is>
          <t>06-04-2026</t>
        </is>
      </c>
      <c r="H16918" s="10" t="inlineStr">
        <is>
          <t>06/04/2026</t>
        </is>
      </c>
      <c r="I16918" s="10" t="inlineStr">
        <is>
          <t>17/03/2026</t>
        </is>
      </c>
      <c r="J16918" s="10" t="inlineStr">
        <is>
          <t>CNTT - Phần mềm</t>
        </is>
      </c>
      <c r="K16918" s="10" t="inlineStr">
        <is>
          <t>6 - 12 Năm</t>
        </is>
      </c>
      <c r="L16918" s="11">
        <f>HYPERLINK("https://careerviet.vn/vi/tim-viec-lam/project-manager.35C67BB6.html","Xem chi tiết")</f>
        <v/>
      </c>
      <c r="M16918" s="10" t="n"/>
    </row>
    <row r="16919">
      <c r="B16919" s="7" t="n">
        <v>16917</v>
      </c>
      <c r="C16919" t="inlineStr">
        <is>
          <t>HCM - Giám Đốc/Chuyên Viên Quan Hệ Khách Hàng Doanh Nghiệp</t>
        </is>
      </c>
      <c r="D16919" t="inlineStr">
        <is>
          <t>ACB - Ngân Hàng TMCP Á Châu</t>
        </is>
      </c>
      <c r="E16919" t="inlineStr">
        <is>
          <t>Lương:Cạnh tranh</t>
        </is>
      </c>
      <c r="F16919" t="inlineStr">
        <is>
          <t>Hồ Chí Minh</t>
        </is>
      </c>
      <c r="G16919" t="inlineStr">
        <is>
          <t>06-04-2026</t>
        </is>
      </c>
      <c r="H16919" t="inlineStr">
        <is>
          <t>06/04/2026</t>
        </is>
      </c>
      <c r="I16919" t="inlineStr">
        <is>
          <t>17/03/2026</t>
        </is>
      </c>
      <c r="J16919" t="inlineStr">
        <is>
          <t>Ngân hàng, Tài chính / Đầu tư, Bán hàng / Kinh doanh</t>
        </is>
      </c>
      <c r="K16919" t="inlineStr">
        <is>
          <t>1 Năm</t>
        </is>
      </c>
      <c r="L16919" s="8">
        <f>HYPERLINK("https://careerviet.vn/vi/tim-viec-lam/hcm-giam-doc-chuyen-vien-quan-he-khach-hang-doanh-nghiep.35C67AFC.html","Xem chi tiết")</f>
        <v/>
      </c>
    </row>
    <row r="16920">
      <c r="B16920" s="9" t="n">
        <v>16918</v>
      </c>
      <c r="C16920" s="10" t="inlineStr">
        <is>
          <t>Nhân viên Kế toán tổng hợp làm tại Khuất Duy Tiến, TX, HN</t>
        </is>
      </c>
      <c r="D16920" s="10" t="inlineStr">
        <is>
          <t>Viện Thẩm mỹ y khoa Dr Hải Lê</t>
        </is>
      </c>
      <c r="E16920" s="10" t="inlineStr">
        <is>
          <t>Lương:15 Tr - 25 Tr VND</t>
        </is>
      </c>
      <c r="F16920" s="10" t="inlineStr">
        <is>
          <t>Hà Nội</t>
        </is>
      </c>
      <c r="G16920" s="10" t="inlineStr">
        <is>
          <t>06-04-2026</t>
        </is>
      </c>
      <c r="H16920" s="10" t="inlineStr">
        <is>
          <t>06/04/2026</t>
        </is>
      </c>
      <c r="I16920" s="10" t="inlineStr">
        <is>
          <t>17/03/2026</t>
        </is>
      </c>
      <c r="J16920" s="10" t="inlineStr">
        <is>
          <t>Y tế / Chăm sóc sức khỏe / Thẩm mỹ / Làm đẹp, Kế toán / Kiểm toán, Tài chính / Đầu tư</t>
        </is>
      </c>
      <c r="K16920" s="10" t="inlineStr">
        <is>
          <t>1 - 3 Năm</t>
        </is>
      </c>
      <c r="L16920" s="11">
        <f>HYPERLINK("https://careerviet.vn/vi/tim-viec-lam/nhan-vien-ke-toan-tong-hop-lam-tai-khuat-duy-tien-tx-hn.35C67B2E.html","Xem chi tiết")</f>
        <v/>
      </c>
      <c r="M16920" s="10" t="n"/>
    </row>
    <row r="16921">
      <c r="B16921" s="7" t="n">
        <v>16919</v>
      </c>
      <c r="C16921" t="inlineStr">
        <is>
          <t>Chuyên viên cao cấp Xử lý nợ Ngoại Bảng</t>
        </is>
      </c>
      <c r="D16921" t="inlineStr">
        <is>
          <t>Ngân Hàng TMCP Quốc Tế Việt Nam</t>
        </is>
      </c>
      <c r="E16921" t="inlineStr">
        <is>
          <t>Lương:Cạnh tranh</t>
        </is>
      </c>
      <c r="F16921" t="inlineStr">
        <is>
          <t>Hồ Chí Minh</t>
        </is>
      </c>
      <c r="G16921" t="inlineStr">
        <is>
          <t>06-04-2026</t>
        </is>
      </c>
      <c r="H16921" t="inlineStr">
        <is>
          <t>06/04/2026</t>
        </is>
      </c>
      <c r="I16921" t="inlineStr">
        <is>
          <t>17/03/2026</t>
        </is>
      </c>
      <c r="J16921" t="inlineStr">
        <is>
          <t>Luật / Pháp lý, Ngân hàng, Tài chính / Đầu tư</t>
        </is>
      </c>
      <c r="K16921" t="inlineStr">
        <is>
          <t>Trên 2 Năm</t>
        </is>
      </c>
      <c r="L16921" s="8">
        <f>HYPERLINK("https://careerviet.vn/vi/tim-viec-lam/chuyen-vien-cao-cap-xu-ly-no-ngoai-bang.35C64B0C.html","Xem chi tiết")</f>
        <v/>
      </c>
    </row>
    <row r="16922">
      <c r="B16922" s="9" t="n">
        <v>16920</v>
      </c>
      <c r="C16922" s="10" t="inlineStr">
        <is>
          <t>Chuyên viên Marketing thiết kế</t>
        </is>
      </c>
      <c r="D16922" s="10" t="inlineStr">
        <is>
          <t>TỔNG CÔNG TY CỔ PHẦN THƯƠNG MẠI XÂY DỰNG</t>
        </is>
      </c>
      <c r="E16922" s="10" t="inlineStr">
        <is>
          <t>Lương:17 Tr - 20 Tr VND</t>
        </is>
      </c>
      <c r="F16922" s="10" t="inlineStr">
        <is>
          <t>Hà Nội</t>
        </is>
      </c>
      <c r="G16922" s="10" t="inlineStr">
        <is>
          <t>06-04-2026</t>
        </is>
      </c>
      <c r="H16922" s="10" t="inlineStr">
        <is>
          <t>06/04/2026</t>
        </is>
      </c>
      <c r="I16922" s="10" t="inlineStr">
        <is>
          <t>17/03/2026</t>
        </is>
      </c>
      <c r="J16922" s="10" t="inlineStr">
        <is>
          <t>Tiếp thị / Marketing, Quảng cáo / Đối ngoại / Truyền Thông, Mỹ thuật / Nghệ thuật / Thiết kế</t>
        </is>
      </c>
      <c r="K16922" s="10" t="inlineStr">
        <is>
          <t>2 - 3 Năm</t>
        </is>
      </c>
      <c r="L16922" s="11">
        <f>HYPERLINK("https://careerviet.vn/vi/tim-viec-lam/chuyen-vien-marketing-thiet-ke.35C67BF3.html","Xem chi tiết")</f>
        <v/>
      </c>
      <c r="M16922" s="10" t="n"/>
    </row>
    <row r="16923">
      <c r="B16923" s="7" t="n">
        <v>16921</v>
      </c>
      <c r="C16923" t="inlineStr">
        <is>
          <t>Chuyên viên kế toán tổng hợp</t>
        </is>
      </c>
      <c r="D16923" t="inlineStr">
        <is>
          <t>TỔNG CÔNG TY CỔ PHẦN THƯƠNG MẠI XÂY DỰNG</t>
        </is>
      </c>
      <c r="E16923" t="inlineStr">
        <is>
          <t>Lương:17 Tr - 22 Tr VND</t>
        </is>
      </c>
      <c r="F16923" t="inlineStr">
        <is>
          <t>Hà Nội</t>
        </is>
      </c>
      <c r="G16923" t="inlineStr">
        <is>
          <t>06-04-2026</t>
        </is>
      </c>
      <c r="H16923" t="inlineStr">
        <is>
          <t>06/04/2026</t>
        </is>
      </c>
      <c r="I16923" t="inlineStr">
        <is>
          <t>17/03/2026</t>
        </is>
      </c>
      <c r="J16923" t="inlineStr">
        <is>
          <t>Kế toán / Kiểm toán, Bán hàng / Kinh doanh, Tài chính / Đầu tư</t>
        </is>
      </c>
      <c r="K16923" t="inlineStr">
        <is>
          <t>2 - 5 Năm</t>
        </is>
      </c>
      <c r="L16923" s="8">
        <f>HYPERLINK("https://careerviet.vn/vi/tim-viec-lam/chuyen-vien-ke-toan-tong-hop.35C67BD7.html","Xem chi tiết")</f>
        <v/>
      </c>
    </row>
    <row r="16924">
      <c r="B16924" s="9" t="n">
        <v>16922</v>
      </c>
      <c r="C16924" s="10" t="inlineStr">
        <is>
          <t>HCM - Trưởng Phòng/Trưởng Bộ phận Khách Hàng Ưu Tiên</t>
        </is>
      </c>
      <c r="D16924" s="10" t="inlineStr">
        <is>
          <t>ACB - Ngân Hàng TMCP Á Châu</t>
        </is>
      </c>
      <c r="E16924" s="10" t="inlineStr">
        <is>
          <t>Lương:Cạnh tranh</t>
        </is>
      </c>
      <c r="F16924" s="10" t="inlineStr">
        <is>
          <t>Hồ Chí MinhBà Rịa - Vũng TàuBình Dương</t>
        </is>
      </c>
      <c r="G16924" s="10" t="inlineStr">
        <is>
          <t>06-04-2026</t>
        </is>
      </c>
      <c r="H16924" s="10" t="inlineStr">
        <is>
          <t>06/04/2026</t>
        </is>
      </c>
      <c r="I16924" s="10" t="inlineStr">
        <is>
          <t>17/03/2026</t>
        </is>
      </c>
      <c r="J16924" s="10" t="inlineStr">
        <is>
          <t>Dịch vụ khách hàng, Ngân hàng, Tài chính / Đầu tư</t>
        </is>
      </c>
      <c r="K16924" s="10" t="inlineStr">
        <is>
          <t>N/A</t>
        </is>
      </c>
      <c r="L16924" s="11">
        <f>HYPERLINK("https://careerviet.vn/vi/tim-viec-lam/hcm-truong-phong-truong-bo-phan-khach-hang-uu-tien.35C67AE4.html","Xem chi tiết")</f>
        <v/>
      </c>
      <c r="M16924" s="10" t="n"/>
    </row>
    <row r="16925">
      <c r="B16925" s="7" t="n">
        <v>16923</v>
      </c>
      <c r="C16925" t="inlineStr">
        <is>
          <t>Nhân viên bảo trì cơ điện sản xuất</t>
        </is>
      </c>
      <c r="D16925" t="inlineStr">
        <is>
          <t>Công ty Cổ Phần Thảo Mộc Xanh long an</t>
        </is>
      </c>
      <c r="E16925" t="inlineStr">
        <is>
          <t>Lương:Cạnh tranh</t>
        </is>
      </c>
      <c r="F16925" t="inlineStr">
        <is>
          <t>Long An</t>
        </is>
      </c>
      <c r="G16925" t="inlineStr">
        <is>
          <t>06-04-2026</t>
        </is>
      </c>
      <c r="H16925" t="inlineStr">
        <is>
          <t>06/04/2026</t>
        </is>
      </c>
      <c r="I16925" t="inlineStr">
        <is>
          <t>17/03/2026</t>
        </is>
      </c>
      <c r="J16925" t="inlineStr">
        <is>
          <t>Cơ khí / Ô tô / Tự động hóa, Bảo trì / Sửa chữa, Điện / Điện tử / Điện lạnh / Điện công nghiệp</t>
        </is>
      </c>
      <c r="K16925" t="inlineStr">
        <is>
          <t>Trên 2 Năm</t>
        </is>
      </c>
      <c r="L16925" s="8">
        <f>HYPERLINK("https://careerviet.vn/vi/tim-viec-lam/nhan-vien-bao-tri-co-dien-san-xuat.35C67C3B.html","Xem chi tiết")</f>
        <v/>
      </c>
    </row>
    <row r="16926">
      <c r="B16926" s="9" t="n">
        <v>16924</v>
      </c>
      <c r="C16926" s="10" t="inlineStr">
        <is>
          <t>Hanoi - Principal Consultant (ESS)</t>
        </is>
      </c>
      <c r="D16926" s="10" t="inlineStr">
        <is>
          <t>Cổ Phần Kết Nối Nhân Tài - Talentnet Corporation</t>
        </is>
      </c>
      <c r="E16926" s="10" t="inlineStr">
        <is>
          <t>Lương:Cạnh tranh</t>
        </is>
      </c>
      <c r="F16926" s="10" t="inlineStr">
        <is>
          <t>Hà Nội</t>
        </is>
      </c>
      <c r="G16926" s="10" t="inlineStr">
        <is>
          <t>06-04-2026</t>
        </is>
      </c>
      <c r="H16926" s="10" t="inlineStr">
        <is>
          <t>06/04/2026</t>
        </is>
      </c>
      <c r="I16926" s="10" t="inlineStr">
        <is>
          <t>17/03/2026</t>
        </is>
      </c>
      <c r="J16926" s="10" t="inlineStr">
        <is>
          <t>Nhân sự</t>
        </is>
      </c>
      <c r="K16926" s="10" t="inlineStr">
        <is>
          <t>5 - 7 Năm</t>
        </is>
      </c>
      <c r="L16926" s="11">
        <f>HYPERLINK("https://careerviet.vn/vi/tim-viec-lam/hanoi-principal-consultant-ess.35C67BA9.html","Xem chi tiết")</f>
        <v/>
      </c>
      <c r="M16926" s="10" t="n"/>
    </row>
    <row r="16927">
      <c r="B16927" s="7" t="n">
        <v>16925</v>
      </c>
      <c r="C16927" t="inlineStr">
        <is>
          <t>Trình Dược Viên ETC (PHÚ THỌ - HÀ NAM - THÁI BÌNH - HƯNG YÊN - NAM ĐỊNH - NINH BÌNH)</t>
        </is>
      </c>
      <c r="D16927" t="inlineStr">
        <is>
          <t>Công ty cổ phần Anvy</t>
        </is>
      </c>
      <c r="E16927" t="inlineStr">
        <is>
          <t>Lương:12 Tr - 20 Tr VND</t>
        </is>
      </c>
      <c r="F16927" t="inlineStr">
        <is>
          <t>Ninh BìnhHưng YênPhú Thọ</t>
        </is>
      </c>
      <c r="G16927" t="inlineStr">
        <is>
          <t>06-04-2026</t>
        </is>
      </c>
      <c r="H16927" t="inlineStr">
        <is>
          <t>06/04/2026</t>
        </is>
      </c>
      <c r="I16927" t="inlineStr">
        <is>
          <t>17/03/2026</t>
        </is>
      </c>
      <c r="J16927" t="inlineStr">
        <is>
          <t>Bán hàng / Kinh doanh, Dược phẩm/ Hóa Mỹ Phẩm, Y tế / Chăm sóc sức khỏe / Thẩm mỹ / Làm đẹp</t>
        </is>
      </c>
      <c r="K16927" t="inlineStr">
        <is>
          <t>2 - 3 Năm</t>
        </is>
      </c>
      <c r="L16927" s="8">
        <f>HYPERLINK("https://careerviet.vn/vi/tim-viec-lam/trinh-duoc-vien-etc-phu-tho-ha-nam-thai-binh-hung-yen-nam-dinh-ninh-binh.35C64BE6.html","Xem chi tiết")</f>
        <v/>
      </c>
    </row>
    <row r="16928">
      <c r="B16928" s="9" t="n">
        <v>16926</v>
      </c>
      <c r="C16928" s="10" t="inlineStr">
        <is>
          <t>Kỹ Sư Đấu Thầu (Tender Engineer)</t>
        </is>
      </c>
      <c r="D16928" s="10" t="inlineStr">
        <is>
          <t>CÔNG TY CP THIẾT KẾ VÀ XÂY DỰNG DBPLUS</t>
        </is>
      </c>
      <c r="E16928" s="10" t="inlineStr">
        <is>
          <t>Lương:700 - 1.100 USD</t>
        </is>
      </c>
      <c r="F16928" s="10" t="inlineStr">
        <is>
          <t>Hồ Chí Minh</t>
        </is>
      </c>
      <c r="G16928" s="10" t="inlineStr">
        <is>
          <t>06-04-2026</t>
        </is>
      </c>
      <c r="H16928" s="10" t="inlineStr">
        <is>
          <t>06/04/2026</t>
        </is>
      </c>
      <c r="I16928" s="10" t="inlineStr">
        <is>
          <t>17/03/2026</t>
        </is>
      </c>
      <c r="J16928" s="10" t="inlineStr">
        <is>
          <t>Kiến trúc, Xây dựng, Nội ngoại thất</t>
        </is>
      </c>
      <c r="K16928" s="10" t="inlineStr">
        <is>
          <t>2 - 5 Năm</t>
        </is>
      </c>
      <c r="L16928" s="11">
        <f>HYPERLINK("https://careerviet.vn/vi/tim-viec-lam/ky-su-dau-thau-tender-engineer.35C64BA5.html","Xem chi tiết")</f>
        <v/>
      </c>
      <c r="M16928" s="10" t="n"/>
    </row>
    <row r="16929">
      <c r="B16929" s="7" t="n">
        <v>16927</v>
      </c>
      <c r="C16929" t="inlineStr">
        <is>
          <t>IT Auditor_Chuyên Viên Kiểm Toán Công Nghệ Thông Tin</t>
        </is>
      </c>
      <c r="D16929" t="inlineStr">
        <is>
          <t>Công Ty Tài Chính TNHH Một Thành Viên Quốc Tế Việt Nam JACCS</t>
        </is>
      </c>
      <c r="E16929" t="inlineStr">
        <is>
          <t>Lương:18 Tr - 20 Tr VND</t>
        </is>
      </c>
      <c r="F16929" t="inlineStr">
        <is>
          <t>Hồ Chí Minh</t>
        </is>
      </c>
      <c r="G16929" t="inlineStr">
        <is>
          <t>06-04-2026</t>
        </is>
      </c>
      <c r="H16929" t="inlineStr">
        <is>
          <t>06/04/2026</t>
        </is>
      </c>
      <c r="I16929" t="inlineStr">
        <is>
          <t>17/03/2026</t>
        </is>
      </c>
      <c r="J16929" t="inlineStr">
        <is>
          <t>CNTT - Phần mềm, Tài chính / Đầu tư, Kế toán / Kiểm toán</t>
        </is>
      </c>
      <c r="K16929" t="inlineStr">
        <is>
          <t>3 - 4 Năm</t>
        </is>
      </c>
      <c r="L16929" s="8">
        <f>HYPERLINK("https://careerviet.vn/vi/tim-viec-lam/it-auditor_chuyen-vien-kiem-toan-cong-nghe-thong-tin.35C64B9A.html","Xem chi tiết")</f>
        <v/>
      </c>
    </row>
    <row r="16930">
      <c r="B16930" s="9" t="n">
        <v>16928</v>
      </c>
      <c r="C16930" s="10" t="inlineStr">
        <is>
          <t>Phó chủ nhiệm xưởng nhà máy 2 ( tiếng trung )</t>
        </is>
      </c>
      <c r="D16930" s="10" t="inlineStr">
        <is>
          <t>Công ty TNHH Midea Consumer Electric Vietnam</t>
        </is>
      </c>
      <c r="E16930" s="10" t="inlineStr">
        <is>
          <t>Lương:Cạnh tranh</t>
        </is>
      </c>
      <c r="F16930" s="10" t="inlineStr">
        <is>
          <t>Bình Dương</t>
        </is>
      </c>
      <c r="G16930" s="10" t="inlineStr">
        <is>
          <t>06-04-2026</t>
        </is>
      </c>
      <c r="H16930" s="10" t="inlineStr">
        <is>
          <t>06/04/2026</t>
        </is>
      </c>
      <c r="I16930" s="10" t="inlineStr">
        <is>
          <t>17/03/2026</t>
        </is>
      </c>
      <c r="J16930" s="10" t="inlineStr">
        <is>
          <t>Sản xuất / Vận hành sản xuất</t>
        </is>
      </c>
      <c r="K16930" s="10" t="inlineStr">
        <is>
          <t>3 - 5 Năm</t>
        </is>
      </c>
      <c r="L16930" s="11">
        <f>HYPERLINK("https://careerviet.vn/vi/tim-viec-lam/pho-chu-nhiem-xuong-nha-may-2-tieng-trung.35C67BA4.html","Xem chi tiết")</f>
        <v/>
      </c>
      <c r="M16930" s="10" t="n"/>
    </row>
    <row r="16931">
      <c r="B16931" s="7" t="n">
        <v>16929</v>
      </c>
      <c r="C16931" t="inlineStr">
        <is>
          <t>Nhân Viên Phát Triển Thị Trường Miền Trung</t>
        </is>
      </c>
      <c r="D16931" t="inlineStr">
        <is>
          <t>Tập Đoàn Kim Tín</t>
        </is>
      </c>
      <c r="E16931" t="inlineStr">
        <is>
          <t>Lương:12 Tr - 15 Tr VND</t>
        </is>
      </c>
      <c r="F16931" t="inlineStr">
        <is>
          <t>Hồ Chí MinhQuảng Trị</t>
        </is>
      </c>
      <c r="G16931" t="inlineStr">
        <is>
          <t>06-04-2026</t>
        </is>
      </c>
      <c r="H16931" t="inlineStr">
        <is>
          <t>06/04/2026</t>
        </is>
      </c>
      <c r="I16931" t="inlineStr">
        <is>
          <t>17/03/2026</t>
        </is>
      </c>
      <c r="J16931" t="inlineStr">
        <is>
          <t>Bán hàng / Kinh doanh</t>
        </is>
      </c>
      <c r="K16931" t="inlineStr">
        <is>
          <t>Không yêu cầu kinh nghiệm</t>
        </is>
      </c>
      <c r="L16931" s="8">
        <f>HYPERLINK("https://careerviet.vn/vi/tim-viec-lam/nhan-vien-phat-trien-thi-truong-mien-trung.35C67B5B.html","Xem chi tiết")</f>
        <v/>
      </c>
    </row>
    <row r="16932">
      <c r="B16932" s="9" t="n">
        <v>16930</v>
      </c>
      <c r="C16932" s="10" t="inlineStr">
        <is>
          <t>Nhân viên Sale (tiếng Tây Ban Nha)</t>
        </is>
      </c>
      <c r="D16932" s="10" t="inlineStr">
        <is>
          <t>CÔNG TY CỔ PHẦN SẢN XUẤT TÓC APOGROUP</t>
        </is>
      </c>
      <c r="E16932" s="10" t="inlineStr">
        <is>
          <t>Lương:Cạnh tranh</t>
        </is>
      </c>
      <c r="F16932" s="10" t="inlineStr">
        <is>
          <t>Hà Nội</t>
        </is>
      </c>
      <c r="G16932" s="10" t="inlineStr">
        <is>
          <t>06-04-2026</t>
        </is>
      </c>
      <c r="H16932" s="10" t="inlineStr">
        <is>
          <t>06/04/2026</t>
        </is>
      </c>
      <c r="I16932" s="10" t="inlineStr">
        <is>
          <t>17/03/2026</t>
        </is>
      </c>
      <c r="J16932" s="10" t="inlineStr">
        <is>
          <t>Bán hàng / Kinh doanh, Xuất nhập khẩu</t>
        </is>
      </c>
      <c r="K16932" s="10" t="inlineStr">
        <is>
          <t>Chưa có kinh nghiệm</t>
        </is>
      </c>
      <c r="L16932" s="11">
        <f>HYPERLINK("https://careerviet.vn/vi/tim-viec-lam/nhan-vien-sale-tieng-tay-ban-nha.35C67B76.html","Xem chi tiết")</f>
        <v/>
      </c>
      <c r="M16932" s="10" t="n"/>
    </row>
    <row r="16933">
      <c r="B16933" s="7" t="n">
        <v>16931</v>
      </c>
      <c r="C16933" t="inlineStr">
        <is>
          <t>Wind Farm Maintenance Engineer (Mekong Delta)</t>
        </is>
      </c>
      <c r="D16933" t="inlineStr">
        <is>
          <t>GOLDWIND INTERNATIONAL VIETNAM</t>
        </is>
      </c>
      <c r="E16933" t="inlineStr">
        <is>
          <t>Lương:Cạnh tranh</t>
        </is>
      </c>
      <c r="F16933" t="inlineStr">
        <is>
          <t>Trà Vinh</t>
        </is>
      </c>
      <c r="G16933" t="inlineStr">
        <is>
          <t>06-04-2026</t>
        </is>
      </c>
      <c r="H16933" t="inlineStr">
        <is>
          <t>06/04/2026</t>
        </is>
      </c>
      <c r="I16933" t="inlineStr">
        <is>
          <t>17/03/2026</t>
        </is>
      </c>
      <c r="J16933" t="inlineStr">
        <is>
          <t>Điện / Điện tử / Điện lạnh / Điện công nghiệp, Bảo trì / Sửa chữa</t>
        </is>
      </c>
      <c r="K16933" t="inlineStr">
        <is>
          <t>1 - 3 Năm</t>
        </is>
      </c>
      <c r="L16933" s="8">
        <f>HYPERLINK("https://careerviet.vn/vi/tim-viec-lam/wind-farm-maintenance-engineer-mekong-delta.35C67B04.html","Xem chi tiết")</f>
        <v/>
      </c>
    </row>
    <row r="16934">
      <c r="B16934" s="9" t="n">
        <v>16932</v>
      </c>
      <c r="C16934" s="10" t="inlineStr">
        <is>
          <t>Tổ Trưởng Tập Kết - Nguyên Liệu</t>
        </is>
      </c>
      <c r="D16934" s="10" t="inlineStr">
        <is>
          <t>CÔNG TY TNHH ARCHER DANIELS MIDLAND VN</t>
        </is>
      </c>
      <c r="E16934" s="10" t="inlineStr">
        <is>
          <t>Lương:Cạnh tranh</t>
        </is>
      </c>
      <c r="F16934" s="10" t="inlineStr">
        <is>
          <t>Bình Dương</t>
        </is>
      </c>
      <c r="G16934" s="10" t="inlineStr">
        <is>
          <t>06-04-2026</t>
        </is>
      </c>
      <c r="H16934" s="10" t="inlineStr">
        <is>
          <t>06/04/2026</t>
        </is>
      </c>
      <c r="I16934" s="10" t="inlineStr">
        <is>
          <t>17/03/2026</t>
        </is>
      </c>
      <c r="J16934" s="10" t="inlineStr">
        <is>
          <t>Sản xuất / Vận hành sản xuất</t>
        </is>
      </c>
      <c r="K16934" s="10" t="inlineStr">
        <is>
          <t>Trên 1 Năm</t>
        </is>
      </c>
      <c r="L16934" s="11">
        <f>HYPERLINK("https://careerviet.vn/vi/tim-viec-lam/to-truong-tap-ket-nguyen-lieu.35C67C6B.html","Xem chi tiết")</f>
        <v/>
      </c>
      <c r="M16934" s="10" t="n"/>
    </row>
    <row r="16935">
      <c r="B16935" s="7" t="n">
        <v>16933</v>
      </c>
      <c r="C16935" t="inlineStr">
        <is>
          <t>HN - Giám Đốc Quan Hệ Khách Hàng Ưu Tiên</t>
        </is>
      </c>
      <c r="D16935" t="inlineStr">
        <is>
          <t>ACB - Ngân Hàng TMCP Á Châu</t>
        </is>
      </c>
      <c r="E16935" t="inlineStr">
        <is>
          <t>Lương:Cạnh tranh</t>
        </is>
      </c>
      <c r="F16935" t="inlineStr">
        <is>
          <t>Hà Nội</t>
        </is>
      </c>
      <c r="G16935" t="inlineStr">
        <is>
          <t>06-04-2026</t>
        </is>
      </c>
      <c r="H16935" t="inlineStr">
        <is>
          <t>06/04/2026</t>
        </is>
      </c>
      <c r="I16935" t="inlineStr">
        <is>
          <t>17/03/2026</t>
        </is>
      </c>
      <c r="J16935" t="inlineStr">
        <is>
          <t>Ngân hàng, Dịch vụ khách hàng, Quản lý điều hành</t>
        </is>
      </c>
      <c r="K16935" t="inlineStr">
        <is>
          <t>2 Năm</t>
        </is>
      </c>
      <c r="L16935" s="8">
        <f>HYPERLINK("https://careerviet.vn/vi/tim-viec-lam/hn-giam-doc-quan-he-khach-hang-uu-tien.35C67B02.html","Xem chi tiết")</f>
        <v/>
      </c>
    </row>
    <row r="16936">
      <c r="B16936" s="9" t="n">
        <v>16934</v>
      </c>
      <c r="C16936" s="10" t="inlineStr">
        <is>
          <t>[HN] Chuyên Viên Cao Cấp Phân Tích Nghiệp Vụ/Executive Officer Of Business Analyst</t>
        </is>
      </c>
      <c r="D16936" s="10" t="inlineStr">
        <is>
          <t>CÔNG TY TÀI CHÍNH TÍN DỤNG TIÊU DÙNG TNHH MTV AEON</t>
        </is>
      </c>
      <c r="E16936" s="10" t="inlineStr">
        <is>
          <t>Lương:Cạnh tranh</t>
        </is>
      </c>
      <c r="F16936" s="10" t="inlineStr">
        <is>
          <t>Hà Nội</t>
        </is>
      </c>
      <c r="G16936" s="10" t="inlineStr">
        <is>
          <t>06-04-2026</t>
        </is>
      </c>
      <c r="H16936" s="10" t="inlineStr">
        <is>
          <t>06/04/2026</t>
        </is>
      </c>
      <c r="I16936" s="10" t="inlineStr">
        <is>
          <t>17/03/2026</t>
        </is>
      </c>
      <c r="J16936" s="10" t="inlineStr">
        <is>
          <t>Tài chính / Đầu tư, CNTT - Phần mềm</t>
        </is>
      </c>
      <c r="K16936" s="10" t="inlineStr">
        <is>
          <t>3 - 5 Năm</t>
        </is>
      </c>
      <c r="L16936" s="11">
        <f>HYPERLINK("https://careerviet.vn/vi/tim-viec-lam/hn-chuyen-vien-cao-cap-phan-tich-nghiep-vu-executive-officer-of-business-analyst.35C67A27.html","Xem chi tiết")</f>
        <v/>
      </c>
      <c r="M16936" s="10" t="n"/>
    </row>
    <row r="16937">
      <c r="B16937" s="7" t="n">
        <v>16935</v>
      </c>
      <c r="C16937" t="inlineStr">
        <is>
          <t>Bảo Mẫu Mầm Non (BRIS quận 3)</t>
        </is>
      </c>
      <c r="D16937" t="inlineStr">
        <is>
          <t>TRƯỜNG QUỐC TẾ BLUE RIDGE / BLUE RIDGE INTERNATIONAL SCHOOL (BRIS)</t>
        </is>
      </c>
      <c r="E16937" t="inlineStr">
        <is>
          <t>Lương:7 Tr - 8 Tr VND</t>
        </is>
      </c>
      <c r="F16937" t="inlineStr">
        <is>
          <t>Hồ Chí Minh</t>
        </is>
      </c>
      <c r="G16937" t="inlineStr">
        <is>
          <t>06-04-2026</t>
        </is>
      </c>
      <c r="H16937" t="inlineStr">
        <is>
          <t>06/04/2026</t>
        </is>
      </c>
      <c r="I16937" t="inlineStr">
        <is>
          <t>17/03/2026</t>
        </is>
      </c>
      <c r="J16937" t="inlineStr">
        <is>
          <t>Giáo dục / Đào tạo</t>
        </is>
      </c>
      <c r="K16937" t="inlineStr">
        <is>
          <t>1 - 2 Năm</t>
        </is>
      </c>
      <c r="L16937" s="8">
        <f>HYPERLINK("https://careerviet.vn/vi/tim-viec-lam/bao-mau-mam-non-bris-quan-3.35C679BB.html","Xem chi tiết")</f>
        <v/>
      </c>
    </row>
    <row r="16938">
      <c r="B16938" s="9" t="n">
        <v>16936</v>
      </c>
      <c r="C16938" s="10" t="inlineStr">
        <is>
          <t>Nhân Viên Vận Hành</t>
        </is>
      </c>
      <c r="D16938" s="10" t="inlineStr">
        <is>
          <t>PPCO</t>
        </is>
      </c>
      <c r="E16938" s="10" t="inlineStr">
        <is>
          <t>Lương:Cạnh tranh</t>
        </is>
      </c>
      <c r="F16938" s="10" t="inlineStr">
        <is>
          <t>Hồ Chí Minh</t>
        </is>
      </c>
      <c r="G16938" s="10" t="inlineStr">
        <is>
          <t>06-04-2026</t>
        </is>
      </c>
      <c r="H16938" s="10" t="inlineStr">
        <is>
          <t>06/04/2026</t>
        </is>
      </c>
      <c r="I16938" s="10" t="inlineStr">
        <is>
          <t>17/03/2026</t>
        </is>
      </c>
      <c r="J16938" s="10" t="inlineStr">
        <is>
          <t>Vận chuyển / Giao nhận / Kho vận, Xuất nhập khẩu, Sản xuất / Vận hành sản xuất</t>
        </is>
      </c>
      <c r="K16938" s="10" t="inlineStr">
        <is>
          <t>Trên 2 Năm</t>
        </is>
      </c>
      <c r="L16938" s="11">
        <f>HYPERLINK("https://careerviet.vn/vi/tim-viec-lam/nhan-vien-van-hanh.35C67BCC.html","Xem chi tiết")</f>
        <v/>
      </c>
      <c r="M16938" s="10" t="n"/>
    </row>
    <row r="16939">
      <c r="B16939" s="7" t="n">
        <v>16937</v>
      </c>
      <c r="C16939" t="inlineStr">
        <is>
          <t>Giao dịch viên/Giao dịch viên Cao cấp -  khu vực Nghệ An</t>
        </is>
      </c>
      <c r="D16939" t="inlineStr">
        <is>
          <t>Ngân hàng Thương mại cổ phần Đông Nam Á (SeABank)</t>
        </is>
      </c>
      <c r="E16939" t="inlineStr">
        <is>
          <t>Lương:Cạnh tranh</t>
        </is>
      </c>
      <c r="F16939" t="inlineStr">
        <is>
          <t>Nghệ An</t>
        </is>
      </c>
      <c r="G16939" t="inlineStr">
        <is>
          <t>06-04-2026</t>
        </is>
      </c>
      <c r="H16939" t="inlineStr">
        <is>
          <t>06/04/2026</t>
        </is>
      </c>
      <c r="I16939" t="inlineStr">
        <is>
          <t>17/03/2026</t>
        </is>
      </c>
      <c r="J16939" t="inlineStr">
        <is>
          <t>Ngân hàng, Tài chính / Đầu tư, Dịch vụ khách hàng</t>
        </is>
      </c>
      <c r="K16939" t="inlineStr">
        <is>
          <t>1 - 5 Năm</t>
        </is>
      </c>
      <c r="L16939" s="8">
        <f>HYPERLINK("https://careerviet.vn/vi/tim-viec-lam/giao-dich-vien-giao-dich-vien-cao-cap-khu-vuc-nghe-an.35C67ACF.html","Xem chi tiết")</f>
        <v/>
      </c>
    </row>
    <row r="16940">
      <c r="B16940" s="9" t="n">
        <v>16938</v>
      </c>
      <c r="C16940" s="10" t="inlineStr">
        <is>
          <t>Visual Merchandise Concept Executive | Chuyên Viên Phát Triển Concept VM</t>
        </is>
      </c>
      <c r="D16940" s="10" t="inlineStr">
        <is>
          <t>Công ty Cổ phần Thời Trang YODY</t>
        </is>
      </c>
      <c r="E16940" s="10" t="inlineStr">
        <is>
          <t>Lương:Cạnh tranh</t>
        </is>
      </c>
      <c r="F16940" s="10" t="inlineStr">
        <is>
          <t>Hà Nội</t>
        </is>
      </c>
      <c r="G16940" s="10" t="inlineStr">
        <is>
          <t>06-04-2026</t>
        </is>
      </c>
      <c r="H16940" s="10" t="inlineStr">
        <is>
          <t>06/04/2026</t>
        </is>
      </c>
      <c r="I16940" s="10" t="inlineStr">
        <is>
          <t>17/03/2026</t>
        </is>
      </c>
      <c r="J16940" s="10" t="inlineStr">
        <is>
          <t>Bán lẻ / Bán sỉ, Kiến trúc, Ngành khác</t>
        </is>
      </c>
      <c r="K16940" s="10" t="inlineStr">
        <is>
          <t>2 - 4 Năm</t>
        </is>
      </c>
      <c r="L16940" s="11">
        <f>HYPERLINK("https://careerviet.vn/vi/tim-viec-lam/visual-merchandise-concept-executive-chuyen-vien-phat-trien-concept-vm.35C679C8.html","Xem chi tiết")</f>
        <v/>
      </c>
      <c r="M16940" s="10" t="n"/>
    </row>
    <row r="16941">
      <c r="B16941" s="7" t="n">
        <v>16939</v>
      </c>
      <c r="C16941" t="inlineStr">
        <is>
          <t>Nhân Viên Vận Hành Máy CNC</t>
        </is>
      </c>
      <c r="D16941" t="inlineStr">
        <is>
          <t>CÔNG TY TNHH NAKANO PRECISION</t>
        </is>
      </c>
      <c r="E16941" t="inlineStr">
        <is>
          <t>Lương:7 Tr - 10 Tr VND</t>
        </is>
      </c>
      <c r="F16941" t="inlineStr">
        <is>
          <t>Hồ Chí Minh</t>
        </is>
      </c>
      <c r="G16941" t="inlineStr">
        <is>
          <t>06-04-2026</t>
        </is>
      </c>
      <c r="H16941" t="inlineStr">
        <is>
          <t>06/04/2026</t>
        </is>
      </c>
      <c r="I16941" t="inlineStr">
        <is>
          <t>17/03/2026</t>
        </is>
      </c>
      <c r="J16941" t="inlineStr">
        <is>
          <t>Cơ khí / Ô tô / Tự động hóa, Sản xuất / Vận hành sản xuất, Mới tốt nghiệp / Thực tập</t>
        </is>
      </c>
      <c r="K16941" t="inlineStr">
        <is>
          <t>N/A</t>
        </is>
      </c>
      <c r="L16941" s="8">
        <f>HYPERLINK("https://careerviet.vn/vi/tim-viec-lam/nhan-vien-van-hanh-may-cnc.35C64BDE.html","Xem chi tiết")</f>
        <v/>
      </c>
    </row>
    <row r="16942">
      <c r="B16942" s="9" t="n">
        <v>16940</v>
      </c>
      <c r="C16942" s="10" t="inlineStr">
        <is>
          <t>Đại Phước Nhơn Trạch-Nhân viên Chăm sóc khách hàng (Lễ tân-Tư vấn-Thu ngân)</t>
        </is>
      </c>
      <c r="D16942" s="10" t="inlineStr">
        <is>
          <t>Công Ty Cổ Phần Vacxin Việt Nam</t>
        </is>
      </c>
      <c r="E16942" s="10" t="inlineStr">
        <is>
          <t>Lương:7 Tr - 8 Tr VND</t>
        </is>
      </c>
      <c r="F16942" s="10" t="inlineStr">
        <is>
          <t>Đồng Nai</t>
        </is>
      </c>
      <c r="G16942" s="10" t="inlineStr">
        <is>
          <t>06-04-2026</t>
        </is>
      </c>
      <c r="H16942" s="10" t="inlineStr">
        <is>
          <t>06/04/2026</t>
        </is>
      </c>
      <c r="I16942" s="10" t="inlineStr">
        <is>
          <t>17/03/2026</t>
        </is>
      </c>
      <c r="J16942" s="10" t="inlineStr">
        <is>
          <t>Y tế / Chăm sóc sức khỏe / Thẩm mỹ / Làm đẹp, Tư vấn, Dịch vụ khách hàng</t>
        </is>
      </c>
      <c r="K16942" s="10" t="inlineStr">
        <is>
          <t>1 - 2 Năm</t>
        </is>
      </c>
      <c r="L16942" s="11">
        <f>HYPERLINK("https://careerviet.vn/vi/tim-viec-lam/dai-phuoc-nhon-trach-nhan-vien-cham-soc-khach-hang-le-tan-tu-van-thu-ngan.35C64BE9.html","Xem chi tiết")</f>
        <v/>
      </c>
      <c r="M16942" s="10" t="n"/>
    </row>
    <row r="16943">
      <c r="B16943" s="7" t="n">
        <v>16941</v>
      </c>
      <c r="C16943" t="inlineStr">
        <is>
          <t>Graphic Design</t>
        </is>
      </c>
      <c r="D16943" t="inlineStr">
        <is>
          <t>Công ty TNHH Sản xuất Thương mại &amp; Dịch vụ Hoa Xinh</t>
        </is>
      </c>
      <c r="E16943" t="inlineStr">
        <is>
          <t>Lương:10 Tr - 14 Tr VND</t>
        </is>
      </c>
      <c r="F16943" t="inlineStr">
        <is>
          <t>Bà Rịa - Vũng Tàu</t>
        </is>
      </c>
      <c r="G16943" t="inlineStr">
        <is>
          <t>06-04-2026</t>
        </is>
      </c>
      <c r="H16943" t="inlineStr">
        <is>
          <t>06/04/2026</t>
        </is>
      </c>
      <c r="I16943" t="inlineStr">
        <is>
          <t>17/03/2026</t>
        </is>
      </c>
      <c r="J16943" t="inlineStr">
        <is>
          <t>Tiếp thị / Marketing, Mỹ thuật / Nghệ thuật / Thiết kế</t>
        </is>
      </c>
      <c r="K16943" t="inlineStr">
        <is>
          <t>2 - 4 Năm</t>
        </is>
      </c>
      <c r="L16943" s="8">
        <f>HYPERLINK("https://careerviet.vn/vi/tim-viec-lam/graphic-design.35C67B2D.html","Xem chi tiết")</f>
        <v/>
      </c>
    </row>
    <row r="16944">
      <c r="B16944" s="9" t="n">
        <v>16942</v>
      </c>
      <c r="C16944" s="10" t="inlineStr">
        <is>
          <t>Trợ Lý Phó Tổng Giám Đốc</t>
        </is>
      </c>
      <c r="D16944" s="10" t="inlineStr">
        <is>
          <t>Tập Đoàn Kim Tín</t>
        </is>
      </c>
      <c r="E16944" s="10" t="inlineStr">
        <is>
          <t>Lương:Cạnh tranh</t>
        </is>
      </c>
      <c r="F16944" s="10" t="inlineStr">
        <is>
          <t>Hồ Chí MinhBình Phước</t>
        </is>
      </c>
      <c r="G16944" s="10" t="inlineStr">
        <is>
          <t>06-04-2026</t>
        </is>
      </c>
      <c r="H16944" s="10" t="inlineStr">
        <is>
          <t>06/04/2026</t>
        </is>
      </c>
      <c r="I16944" s="10" t="inlineStr">
        <is>
          <t>17/03/2026</t>
        </is>
      </c>
      <c r="J16944" s="10" t="inlineStr">
        <is>
          <t>Cơ khí / Ô tô / Tự động hóa, Sản xuất / Vận hành sản xuất</t>
        </is>
      </c>
      <c r="K16944" s="10" t="inlineStr">
        <is>
          <t>N/A</t>
        </is>
      </c>
      <c r="L16944" s="11">
        <f>HYPERLINK("https://careerviet.vn/vi/tim-viec-lam/tro-ly-pho-tong-giam-doc.35C67A0B.html","Xem chi tiết")</f>
        <v/>
      </c>
      <c r="M16944" s="10" t="n"/>
    </row>
    <row r="16945">
      <c r="B16945" s="7" t="n">
        <v>16943</v>
      </c>
      <c r="C16945" t="inlineStr">
        <is>
          <t>Kỹ thuật viên ép thổi nhựa sản xuất</t>
        </is>
      </c>
      <c r="D16945" t="inlineStr">
        <is>
          <t>Công ty Cổ Phần Thảo Mộc Xanh long an</t>
        </is>
      </c>
      <c r="E16945" t="inlineStr">
        <is>
          <t>Lương:Cạnh tranh</t>
        </is>
      </c>
      <c r="F16945" t="inlineStr">
        <is>
          <t>Long An</t>
        </is>
      </c>
      <c r="G16945" t="inlineStr">
        <is>
          <t>06-04-2026</t>
        </is>
      </c>
      <c r="H16945" t="inlineStr">
        <is>
          <t>06/04/2026</t>
        </is>
      </c>
      <c r="I16945" t="inlineStr">
        <is>
          <t>17/03/2026</t>
        </is>
      </c>
      <c r="J16945" t="inlineStr">
        <is>
          <t>Cơ khí / Ô tô / Tự động hóa, Sản xuất / Vận hành sản xuất, Điện / Điện tử / Điện lạnh / Điện công nghiệp</t>
        </is>
      </c>
      <c r="K16945" t="inlineStr">
        <is>
          <t>4 - 5 Năm</t>
        </is>
      </c>
      <c r="L16945" s="8">
        <f>HYPERLINK("https://careerviet.vn/vi/tim-viec-lam/ky-thuat-vien-ep-thoi-nhua-san-xuat.35C67C3A.html","Xem chi tiết")</f>
        <v/>
      </c>
    </row>
    <row r="16946">
      <c r="B16946" s="9" t="n">
        <v>16944</v>
      </c>
      <c r="C16946" s="10" t="inlineStr">
        <is>
          <t>Giám Sát Bán Hàng</t>
        </is>
      </c>
      <c r="D16946" s="10" t="inlineStr">
        <is>
          <t>Tập Đoàn Kim Tín</t>
        </is>
      </c>
      <c r="E16946" s="10" t="inlineStr">
        <is>
          <t>Lương:15 Tr - 20 Tr VND</t>
        </is>
      </c>
      <c r="F16946" s="10" t="inlineStr">
        <is>
          <t>Hồ Chí MinhKV Nam Trung Bộ</t>
        </is>
      </c>
      <c r="G16946" s="10" t="inlineStr">
        <is>
          <t>06-04-2026</t>
        </is>
      </c>
      <c r="H16946" s="10" t="inlineStr">
        <is>
          <t>06/04/2026</t>
        </is>
      </c>
      <c r="I16946" s="10" t="inlineStr">
        <is>
          <t>17/03/2026</t>
        </is>
      </c>
      <c r="J16946" s="10" t="inlineStr">
        <is>
          <t>Bán hàng / Kinh doanh, Bán lẻ / Bán sỉ</t>
        </is>
      </c>
      <c r="K16946" s="10" t="inlineStr">
        <is>
          <t>1 - 2 Năm</t>
        </is>
      </c>
      <c r="L16946" s="11">
        <f>HYPERLINK("https://careerviet.vn/vi/tim-viec-lam/giam-sat-ban-hang.35C67BAA.html","Xem chi tiết")</f>
        <v/>
      </c>
      <c r="M16946" s="10" t="n"/>
    </row>
    <row r="16947">
      <c r="B16947" s="7" t="n">
        <v>16945</v>
      </c>
      <c r="C16947" t="inlineStr">
        <is>
          <t>Customer Service Officer _ 8 months contract</t>
        </is>
      </c>
      <c r="D16947" t="inlineStr">
        <is>
          <t>Công Ty TNHH Detmold Packaging Vietnam</t>
        </is>
      </c>
      <c r="E16947" t="inlineStr">
        <is>
          <t>Lương:Cạnh tranh</t>
        </is>
      </c>
      <c r="F16947" t="inlineStr">
        <is>
          <t>Bình Dương</t>
        </is>
      </c>
      <c r="G16947" t="inlineStr">
        <is>
          <t>06-04-2026</t>
        </is>
      </c>
      <c r="H16947" t="inlineStr">
        <is>
          <t>06/04/2026</t>
        </is>
      </c>
      <c r="I16947" t="inlineStr">
        <is>
          <t>17/03/2026</t>
        </is>
      </c>
      <c r="J16947" t="inlineStr">
        <is>
          <t>Tiếp thị / Marketing, Bán hàng / Kinh doanh, Dịch vụ khách hàng</t>
        </is>
      </c>
      <c r="K16947" t="inlineStr">
        <is>
          <t>1 - 3 Năm</t>
        </is>
      </c>
      <c r="L16947" s="8">
        <f>HYPERLINK("https://careerviet.vn/vi/tim-viec-lam/customer-service-officer-_-8-months-contract.35C64B89.html","Xem chi tiết")</f>
        <v/>
      </c>
    </row>
    <row r="16948">
      <c r="B16948" s="9" t="n">
        <v>16946</v>
      </c>
      <c r="C16948" s="10" t="inlineStr">
        <is>
          <t>Nhân viên Content Creator</t>
        </is>
      </c>
      <c r="D16948" s="10" t="inlineStr">
        <is>
          <t>CÔNG TY CỔ PHẦN SẢN XUẤT TÓC APOGROUP</t>
        </is>
      </c>
      <c r="E16948" s="10" t="inlineStr">
        <is>
          <t>Lương:Cạnh tranh</t>
        </is>
      </c>
      <c r="F16948" s="10" t="inlineStr">
        <is>
          <t>Hà Nội</t>
        </is>
      </c>
      <c r="G16948" s="10" t="inlineStr">
        <is>
          <t>06-04-2026</t>
        </is>
      </c>
      <c r="H16948" s="10" t="inlineStr">
        <is>
          <t>06/04/2026</t>
        </is>
      </c>
      <c r="I16948" s="10" t="inlineStr">
        <is>
          <t>17/03/2026</t>
        </is>
      </c>
      <c r="J16948" s="10" t="inlineStr">
        <is>
          <t>Bán hàng / Kinh doanh, Quảng cáo / Đối ngoại / Truyền Thông, Xuất nhập khẩu</t>
        </is>
      </c>
      <c r="K16948" s="10" t="inlineStr">
        <is>
          <t>1 - 2 Năm</t>
        </is>
      </c>
      <c r="L16948" s="11">
        <f>HYPERLINK("https://careerviet.vn/vi/tim-viec-lam/nhan-vien-content-creator.35C67BC9.html","Xem chi tiết")</f>
        <v/>
      </c>
      <c r="M16948" s="10" t="n"/>
    </row>
    <row r="16949">
      <c r="B16949" s="7" t="n">
        <v>16947</v>
      </c>
      <c r="C16949" t="inlineStr">
        <is>
          <t>Marketing Executive – Trade &amp; Event</t>
        </is>
      </c>
      <c r="D16949" t="inlineStr">
        <is>
          <t>Trung tâm Thương mại SC VivoCity</t>
        </is>
      </c>
      <c r="E16949" t="inlineStr">
        <is>
          <t>Lương:Trên 18 Tr VND</t>
        </is>
      </c>
      <c r="F16949" t="inlineStr">
        <is>
          <t>Hồ Chí Minh</t>
        </is>
      </c>
      <c r="G16949" t="inlineStr">
        <is>
          <t>06-04-2026</t>
        </is>
      </c>
      <c r="H16949" t="inlineStr">
        <is>
          <t>06/04/2026</t>
        </is>
      </c>
      <c r="I16949" t="inlineStr">
        <is>
          <t>17/03/2026</t>
        </is>
      </c>
      <c r="J16949" t="inlineStr">
        <is>
          <t>Tiếp thị / Marketing, Bán lẻ / Bán sỉ, Tổ chức sự kiện</t>
        </is>
      </c>
      <c r="K16949" t="inlineStr">
        <is>
          <t>4 - 5 Năm</t>
        </is>
      </c>
      <c r="L16949" s="8">
        <f>HYPERLINK("https://careerviet.vn/vi/tim-viec-lam/marketing-executive-trade-event.35C67B03.html","Xem chi tiết")</f>
        <v/>
      </c>
    </row>
    <row r="16950">
      <c r="B16950" s="9" t="n">
        <v>16948</v>
      </c>
      <c r="C16950" s="10" t="inlineStr">
        <is>
          <t>[Nova Group] Chuyên viên Sản xuất video Đào tạo (AI)</t>
        </is>
      </c>
      <c r="D16950" s="10" t="inlineStr">
        <is>
          <t>Nova Service Group - Công ty Cổ phần Tập đoàn Nova Services</t>
        </is>
      </c>
      <c r="E16950" s="10" t="inlineStr">
        <is>
          <t>Lương:18 Tr - 30 Tr VND</t>
        </is>
      </c>
      <c r="F16950" s="10" t="inlineStr">
        <is>
          <t>Hồ Chí Minh</t>
        </is>
      </c>
      <c r="G16950" s="10" t="inlineStr">
        <is>
          <t>06-04-2026</t>
        </is>
      </c>
      <c r="H16950" s="10" t="inlineStr">
        <is>
          <t>06/04/2026</t>
        </is>
      </c>
      <c r="I16950" s="10" t="inlineStr">
        <is>
          <t>17/03/2026</t>
        </is>
      </c>
      <c r="J16950" s="10" t="inlineStr">
        <is>
          <t>Tiếp thị / Marketing, Mỹ thuật / Nghệ thuật / Thiết kế, Quảng cáo / Đối ngoại / Truyền Thông</t>
        </is>
      </c>
      <c r="K16950" s="10" t="inlineStr">
        <is>
          <t>2 - 4 Năm</t>
        </is>
      </c>
      <c r="L16950" s="11">
        <f>HYPERLINK("https://careerviet.vn/vi/tim-viec-lam/nova-group-chuyen-vien-san-xuat-video-dao-tao-ai.35C64B3C.html","Xem chi tiết")</f>
        <v/>
      </c>
      <c r="M16950" s="10" t="n"/>
    </row>
    <row r="16951">
      <c r="B16951" s="7" t="n">
        <v>16949</v>
      </c>
      <c r="C16951" t="inlineStr">
        <is>
          <t>Nhân viên kế toán</t>
        </is>
      </c>
      <c r="D16951" t="inlineStr">
        <is>
          <t>Công Ty TNHH Công Nghiệp Kolon Bình Dương</t>
        </is>
      </c>
      <c r="E16951" t="inlineStr">
        <is>
          <t>Lương:Cạnh tranh</t>
        </is>
      </c>
      <c r="F16951" t="inlineStr">
        <is>
          <t>Bình Dương</t>
        </is>
      </c>
      <c r="G16951" t="inlineStr">
        <is>
          <t>06-04-2026</t>
        </is>
      </c>
      <c r="H16951" t="inlineStr">
        <is>
          <t>06/04/2026</t>
        </is>
      </c>
      <c r="I16951" t="inlineStr">
        <is>
          <t>17/03/2026</t>
        </is>
      </c>
      <c r="J16951" t="inlineStr">
        <is>
          <t>Kế toán / Kiểm toán, Ngân hàng, Tài chính / Đầu tư</t>
        </is>
      </c>
      <c r="K16951" t="inlineStr">
        <is>
          <t>N/A</t>
        </is>
      </c>
      <c r="L16951" s="8">
        <f>HYPERLINK("https://careerviet.vn/vi/tim-viec-lam/nhan-vien-ke-toan.35C67B1D.html","Xem chi tiết")</f>
        <v/>
      </c>
    </row>
    <row r="16952">
      <c r="B16952" s="9" t="n">
        <v>16950</v>
      </c>
      <c r="C16952" s="10" t="inlineStr">
        <is>
          <t>Nhân viên Sale / Merchandiser</t>
        </is>
      </c>
      <c r="D16952" s="10" t="inlineStr">
        <is>
          <t>Công Ty TNHH Coronet Việt Nam</t>
        </is>
      </c>
      <c r="E16952" s="10" t="inlineStr">
        <is>
          <t>Lương:Cạnh tranh</t>
        </is>
      </c>
      <c r="F16952" s="10" t="inlineStr">
        <is>
          <t>Bến Tre</t>
        </is>
      </c>
      <c r="G16952" s="10" t="inlineStr">
        <is>
          <t>06-04-2026</t>
        </is>
      </c>
      <c r="H16952" s="10" t="inlineStr">
        <is>
          <t>06/04/2026</t>
        </is>
      </c>
      <c r="I16952" s="10" t="inlineStr">
        <is>
          <t>17/03/2026</t>
        </is>
      </c>
      <c r="J16952" s="10" t="inlineStr">
        <is>
          <t>Bán hàng / Kinh doanh, Sản xuất / Vận hành sản xuất</t>
        </is>
      </c>
      <c r="K16952" s="10" t="inlineStr">
        <is>
          <t>1 - 2 Năm</t>
        </is>
      </c>
      <c r="L16952" s="11">
        <f>HYPERLINK("https://careerviet.vn/vi/tim-viec-lam/nhan-vien-sale-merchandiser.35C67A8F.html","Xem chi tiết")</f>
        <v/>
      </c>
      <c r="M16952" s="10" t="n"/>
    </row>
    <row r="16953">
      <c r="B16953" s="7" t="n">
        <v>16951</v>
      </c>
      <c r="C16953" t="inlineStr">
        <is>
          <t>ESS Team Leader</t>
        </is>
      </c>
      <c r="D16953" t="inlineStr">
        <is>
          <t>Cổ Phần Kết Nối Nhân Tài - Talentnet Corporation</t>
        </is>
      </c>
      <c r="E16953" t="inlineStr">
        <is>
          <t>Lương:Cạnh tranh</t>
        </is>
      </c>
      <c r="F16953" t="inlineStr">
        <is>
          <t>Hồ Chí Minh</t>
        </is>
      </c>
      <c r="G16953" t="inlineStr">
        <is>
          <t>06-04-2026</t>
        </is>
      </c>
      <c r="H16953" t="inlineStr">
        <is>
          <t>06/04/2026</t>
        </is>
      </c>
      <c r="I16953" t="inlineStr">
        <is>
          <t>17/03/2026</t>
        </is>
      </c>
      <c r="J16953" t="inlineStr">
        <is>
          <t>Nhân sự</t>
        </is>
      </c>
      <c r="K16953" t="inlineStr">
        <is>
          <t>7 - 8 Năm</t>
        </is>
      </c>
      <c r="L16953" s="8">
        <f>HYPERLINK("https://careerviet.vn/vi/tim-viec-lam/ess-team-leader.35C67B9C.html","Xem chi tiết")</f>
        <v/>
      </c>
    </row>
    <row r="16954">
      <c r="B16954" s="9" t="n">
        <v>16952</v>
      </c>
      <c r="C16954" s="10" t="inlineStr">
        <is>
          <t>[HN] Nhân Viên Phát Triển Đối Tác (Mảng POS, Fintech)</t>
        </is>
      </c>
      <c r="D16954" s="10" t="inlineStr">
        <is>
          <t>Công ty Cố phần giải pháp công nghệ ITE</t>
        </is>
      </c>
      <c r="E16954" s="10" t="inlineStr">
        <is>
          <t>Lương:15 Tr - 20 Tr VND</t>
        </is>
      </c>
      <c r="F16954" s="10" t="inlineStr">
        <is>
          <t>Hà Nội</t>
        </is>
      </c>
      <c r="G16954" s="10" t="inlineStr">
        <is>
          <t>06-04-2026</t>
        </is>
      </c>
      <c r="H16954" s="10" t="inlineStr">
        <is>
          <t>06/04/2026</t>
        </is>
      </c>
      <c r="I16954" s="10" t="inlineStr">
        <is>
          <t>17/03/2026</t>
        </is>
      </c>
      <c r="J16954" s="10" t="inlineStr">
        <is>
          <t>Bán hàng / Kinh doanh, Tư vấn, Dịch vụ khách hàng</t>
        </is>
      </c>
      <c r="K16954" s="10" t="inlineStr">
        <is>
          <t>Trên 1 Năm</t>
        </is>
      </c>
      <c r="L16954" s="11">
        <f>HYPERLINK("https://careerviet.vn/vi/tim-viec-lam/hn-nhan-vien-phat-trien-doi-tac-mang-pos-fintech.35C67A08.html","Xem chi tiết")</f>
        <v/>
      </c>
      <c r="M16954" s="10" t="n"/>
    </row>
    <row r="16955">
      <c r="B16955" s="7" t="n">
        <v>16953</v>
      </c>
      <c r="C16955" t="inlineStr">
        <is>
          <t>Sales &amp; Marketing Assistant</t>
        </is>
      </c>
      <c r="D16955" t="inlineStr">
        <is>
          <t>Công Ty TNHH YKK Việt Nam</t>
        </is>
      </c>
      <c r="E16955" t="inlineStr">
        <is>
          <t>Lương:10 Tr - 12 Tr VND</t>
        </is>
      </c>
      <c r="F16955" t="inlineStr">
        <is>
          <t>Hồ Chí Minh</t>
        </is>
      </c>
      <c r="G16955" t="inlineStr">
        <is>
          <t>06-04-2026</t>
        </is>
      </c>
      <c r="H16955" t="inlineStr">
        <is>
          <t>06/04/2026</t>
        </is>
      </c>
      <c r="I16955" t="inlineStr">
        <is>
          <t>17/03/2026</t>
        </is>
      </c>
      <c r="J16955" t="inlineStr">
        <is>
          <t>Bán hàng / Kinh doanh, Dịch vụ khách hàng, Dệt may / Da giày / Thời trang</t>
        </is>
      </c>
      <c r="K16955" t="inlineStr">
        <is>
          <t>1 - 2 Năm</t>
        </is>
      </c>
      <c r="L16955" s="8">
        <f>HYPERLINK("https://careerviet.vn/vi/tim-viec-lam/sales-marketing-assistant.35C6794D.html","Xem chi tiết")</f>
        <v/>
      </c>
    </row>
    <row r="16956">
      <c r="B16956" s="9" t="n">
        <v>16954</v>
      </c>
      <c r="C16956" s="10" t="inlineStr">
        <is>
          <t>Kế toán kho Tài sản cố định</t>
        </is>
      </c>
      <c r="D16956" s="10" t="inlineStr">
        <is>
          <t>LacViet Computing Corporation</t>
        </is>
      </c>
      <c r="E16956" s="10" t="inlineStr">
        <is>
          <t>Lương:8 Tr - 10 Tr VND</t>
        </is>
      </c>
      <c r="F16956" s="10" t="inlineStr">
        <is>
          <t>Hồ Chí Minh</t>
        </is>
      </c>
      <c r="G16956" s="10" t="inlineStr">
        <is>
          <t>06-04-2026</t>
        </is>
      </c>
      <c r="H16956" s="10" t="inlineStr">
        <is>
          <t>06/04/2026</t>
        </is>
      </c>
      <c r="I16956" s="10" t="inlineStr">
        <is>
          <t>17/03/2026</t>
        </is>
      </c>
      <c r="J16956" s="10" t="inlineStr">
        <is>
          <t>Kế toán / Kiểm toán</t>
        </is>
      </c>
      <c r="K16956" s="10" t="inlineStr">
        <is>
          <t>Lên đến 1 Năm</t>
        </is>
      </c>
      <c r="L16956" s="11">
        <f>HYPERLINK("https://careerviet.vn/vi/tim-viec-lam/ke-toan-kho-tai-san-co-dinh.35C67C19.html","Xem chi tiết")</f>
        <v/>
      </c>
      <c r="M16956" s="10" t="n"/>
    </row>
    <row r="16957">
      <c r="B16957" s="7" t="n">
        <v>16955</v>
      </c>
      <c r="C16957" t="inlineStr">
        <is>
          <t>Nhân Viên Admin</t>
        </is>
      </c>
      <c r="D16957" t="inlineStr">
        <is>
          <t>Công Ty TNHH J.G</t>
        </is>
      </c>
      <c r="E16957" t="inlineStr">
        <is>
          <t>Lương:Cạnh tranh</t>
        </is>
      </c>
      <c r="F16957" t="inlineStr">
        <is>
          <t>Hồ Chí Minh</t>
        </is>
      </c>
      <c r="G16957" t="inlineStr">
        <is>
          <t>06-04-2026</t>
        </is>
      </c>
      <c r="H16957" t="inlineStr">
        <is>
          <t>06/04/2026</t>
        </is>
      </c>
      <c r="I16957" t="inlineStr">
        <is>
          <t>17/03/2026</t>
        </is>
      </c>
      <c r="J16957" t="inlineStr">
        <is>
          <t>Hành chính / Thư ký, Kế toán / Kiểm toán, Thu mua / Vật tư</t>
        </is>
      </c>
      <c r="K16957" t="inlineStr">
        <is>
          <t>Trên 1 Năm</t>
        </is>
      </c>
      <c r="L16957" s="8">
        <f>HYPERLINK("https://careerviet.vn/vi/tim-viec-lam/nhan-vien-admin.35C67919.html","Xem chi tiết")</f>
        <v/>
      </c>
    </row>
    <row r="16958">
      <c r="B16958" s="9" t="n">
        <v>16956</v>
      </c>
      <c r="C16958" s="10" t="inlineStr">
        <is>
          <t>Nhân Viên Marketing</t>
        </is>
      </c>
      <c r="D16958" s="10" t="inlineStr">
        <is>
          <t>OSEVEN Corp</t>
        </is>
      </c>
      <c r="E16958" s="10" t="inlineStr">
        <is>
          <t>Lương:15 Tr - 20 Tr VND</t>
        </is>
      </c>
      <c r="F16958" s="10" t="inlineStr">
        <is>
          <t>Hồ Chí Minh</t>
        </is>
      </c>
      <c r="G16958" s="10" t="inlineStr">
        <is>
          <t>06-04-2026</t>
        </is>
      </c>
      <c r="H16958" s="10" t="inlineStr">
        <is>
          <t>06/04/2026</t>
        </is>
      </c>
      <c r="I16958" s="10" t="inlineStr">
        <is>
          <t>17/03/2026</t>
        </is>
      </c>
      <c r="J16958" s="10" t="inlineStr">
        <is>
          <t>Tiếp thị trực tuyến, Tiếp thị / Marketing, Quảng cáo / Đối ngoại / Truyền Thông</t>
        </is>
      </c>
      <c r="K16958" s="10" t="inlineStr">
        <is>
          <t>Trên 3 Năm</t>
        </is>
      </c>
      <c r="L16958" s="11">
        <f>HYPERLINK("https://careerviet.vn/vi/tim-viec-lam/nhan-vien-marketing.35C67BAE.html","Xem chi tiết")</f>
        <v/>
      </c>
      <c r="M16958" s="10" t="n"/>
    </row>
    <row r="16959">
      <c r="B16959" s="7" t="n">
        <v>16957</v>
      </c>
      <c r="C16959" t="inlineStr">
        <is>
          <t>[QUẬN 7] - Kỹ Thuật Bảo Trì Tòa Nhà</t>
        </is>
      </c>
      <c r="D16959" t="inlineStr">
        <is>
          <t>Công ty TNHH Phát triển Phú Mỹ Hưng</t>
        </is>
      </c>
      <c r="E16959" t="inlineStr">
        <is>
          <t>Lương:8 Tr - 10 Tr VND</t>
        </is>
      </c>
      <c r="F16959" t="inlineStr">
        <is>
          <t>Hồ Chí Minh</t>
        </is>
      </c>
      <c r="G16959" t="inlineStr">
        <is>
          <t>06-04-2026</t>
        </is>
      </c>
      <c r="H16959" t="inlineStr">
        <is>
          <t>06/04/2026</t>
        </is>
      </c>
      <c r="I16959" t="inlineStr">
        <is>
          <t>17/03/2026</t>
        </is>
      </c>
      <c r="J16959" t="inlineStr">
        <is>
          <t>Điện / Điện tử / Điện lạnh / Điện công nghiệp, Bảo trì / Sửa chữa, Xây dựng</t>
        </is>
      </c>
      <c r="K16959" t="inlineStr">
        <is>
          <t>Lên đến 1 Năm</t>
        </is>
      </c>
      <c r="L16959" s="8">
        <f>HYPERLINK("https://careerviet.vn/vi/tim-viec-lam/quan-7-ky-thuat-bao-tri-toa-nha.35C67C11.html","Xem chi tiết")</f>
        <v/>
      </c>
    </row>
    <row r="16960">
      <c r="B16960" s="9" t="n">
        <v>16958</v>
      </c>
      <c r="C16960" s="10" t="inlineStr">
        <is>
          <t>Chuyên viên Trade Marketing</t>
        </is>
      </c>
      <c r="D16960" s="10" t="inlineStr">
        <is>
          <t>Công ty Cổ phần CANIFA</t>
        </is>
      </c>
      <c r="E16960" s="10" t="inlineStr">
        <is>
          <t>Lương:16 Tr - 25 Tr VND</t>
        </is>
      </c>
      <c r="F16960" s="10" t="inlineStr">
        <is>
          <t>Hà Nội</t>
        </is>
      </c>
      <c r="G16960" s="10" t="inlineStr">
        <is>
          <t>06-04-2026</t>
        </is>
      </c>
      <c r="H16960" s="10" t="inlineStr">
        <is>
          <t>06/04/2026</t>
        </is>
      </c>
      <c r="I16960" s="10" t="inlineStr">
        <is>
          <t>17/03/2026</t>
        </is>
      </c>
      <c r="J16960" s="10" t="inlineStr">
        <is>
          <t>Tiếp thị / Marketing, Bán lẻ / Bán sỉ</t>
        </is>
      </c>
      <c r="K16960" s="10" t="inlineStr">
        <is>
          <t>3 - 5 Năm</t>
        </is>
      </c>
      <c r="L16960" s="11">
        <f>HYPERLINK("https://careerviet.vn/vi/tim-viec-lam/chuyen-vien-trade-marketing.35C67B24.html","Xem chi tiết")</f>
        <v/>
      </c>
      <c r="M16960" s="10" t="n"/>
    </row>
    <row r="16961">
      <c r="B16961" s="7" t="n">
        <v>16959</v>
      </c>
      <c r="C16961" t="inlineStr">
        <is>
          <t>FP&amp;A Manager</t>
        </is>
      </c>
      <c r="D16961" t="inlineStr">
        <is>
          <t>Công Ty Cổ Phần Tập Đoàn Đầu Tư Địa Ốc No Va</t>
        </is>
      </c>
      <c r="E16961" t="inlineStr">
        <is>
          <t>Lương:Cạnh tranh</t>
        </is>
      </c>
      <c r="F16961" t="inlineStr">
        <is>
          <t>Hồ Chí Minh</t>
        </is>
      </c>
      <c r="G16961" t="inlineStr">
        <is>
          <t>06-04-2026</t>
        </is>
      </c>
      <c r="H16961" t="inlineStr">
        <is>
          <t>06/04/2026</t>
        </is>
      </c>
      <c r="I16961" t="inlineStr">
        <is>
          <t>17/03/2026</t>
        </is>
      </c>
      <c r="J16961" t="inlineStr">
        <is>
          <t>Kế toán / Kiểm toán, Tài chính / Đầu tư, Bất động sản</t>
        </is>
      </c>
      <c r="K16961" t="inlineStr">
        <is>
          <t>5 - 8 Năm</t>
        </is>
      </c>
      <c r="L16961" s="8">
        <f>HYPERLINK("https://careerviet.vn/vi/tim-viec-lam/fp-a-manager.35C64B29.html","Xem chi tiết")</f>
        <v/>
      </c>
    </row>
    <row r="16962">
      <c r="B16962" s="9" t="n">
        <v>16960</v>
      </c>
      <c r="C16962" s="10" t="inlineStr">
        <is>
          <t>Chuyên Viên Cao Cấp Đào Tạo Kinh Doanh</t>
        </is>
      </c>
      <c r="D16962" s="10" t="inlineStr">
        <is>
          <t>CÔNG TY TÀI CHÍNH TNHH NGÂN HÀNG TMCP SÀI GÒN - HÀ NỘI  (SHBFinance)</t>
        </is>
      </c>
      <c r="E16962" s="10" t="inlineStr">
        <is>
          <t>Lương:Cạnh tranh</t>
        </is>
      </c>
      <c r="F16962" s="10" t="inlineStr">
        <is>
          <t>Hồ Chí Minh</t>
        </is>
      </c>
      <c r="G16962" s="10" t="inlineStr">
        <is>
          <t>06-04-2026</t>
        </is>
      </c>
      <c r="H16962" s="10" t="inlineStr">
        <is>
          <t>06/04/2026</t>
        </is>
      </c>
      <c r="I16962" s="10" t="inlineStr">
        <is>
          <t>17/03/2026</t>
        </is>
      </c>
      <c r="J16962" s="10" t="inlineStr">
        <is>
          <t>Chứng khoán, Tài chính / Đầu tư, Ngân hàng</t>
        </is>
      </c>
      <c r="K16962" s="10" t="inlineStr">
        <is>
          <t>2 - 3 Năm</t>
        </is>
      </c>
      <c r="L16962" s="11">
        <f>HYPERLINK("https://careerviet.vn/vi/tim-viec-lam/chuyen-vien-cao-cap-dao-tao-kinh-doanh.35C64BAB.html","Xem chi tiết")</f>
        <v/>
      </c>
      <c r="M16962" s="10" t="n"/>
    </row>
    <row r="16963">
      <c r="B16963" s="7" t="n">
        <v>16961</v>
      </c>
      <c r="C16963" t="inlineStr">
        <is>
          <t>Giáo Viên Tiếng Anh Mầm Non</t>
        </is>
      </c>
      <c r="D16963" t="inlineStr">
        <is>
          <t>Công Ty Cổ Phần Đầu Tư Xây Dựng Bcons</t>
        </is>
      </c>
      <c r="E16963" t="inlineStr">
        <is>
          <t>Lương:Cạnh tranh</t>
        </is>
      </c>
      <c r="F16963" t="inlineStr">
        <is>
          <t>Bình Dương</t>
        </is>
      </c>
      <c r="G16963" t="inlineStr">
        <is>
          <t>06-04-2026</t>
        </is>
      </c>
      <c r="H16963" t="inlineStr">
        <is>
          <t>06/04/2026</t>
        </is>
      </c>
      <c r="I16963" t="inlineStr">
        <is>
          <t>17/03/2026</t>
        </is>
      </c>
      <c r="J16963" t="inlineStr">
        <is>
          <t>Giáo dục / Đào tạo, Ngành khác, Biên phiên dịch</t>
        </is>
      </c>
      <c r="K16963" t="inlineStr">
        <is>
          <t>N/A</t>
        </is>
      </c>
      <c r="L16963" s="8">
        <f>HYPERLINK("https://careerviet.vn/vi/tim-viec-lam/giao-vien-tieng-anh-mam-non.35C64BB5.html","Xem chi tiết")</f>
        <v/>
      </c>
    </row>
    <row r="16964">
      <c r="B16964" s="9" t="n">
        <v>16962</v>
      </c>
      <c r="C16964" s="10" t="inlineStr">
        <is>
          <t>Chuyên viên Kinh doanh BDS Khu Công nghiệp</t>
        </is>
      </c>
      <c r="D16964" s="10" t="inlineStr">
        <is>
          <t>Công Ty Cổ Phần Quốc Tế Sơn Hà</t>
        </is>
      </c>
      <c r="E16964" s="10" t="inlineStr">
        <is>
          <t>Lương:Cạnh tranh</t>
        </is>
      </c>
      <c r="F16964" s="10" t="inlineStr">
        <is>
          <t>Hà Nội</t>
        </is>
      </c>
      <c r="G16964" s="10" t="inlineStr">
        <is>
          <t>06-04-2026</t>
        </is>
      </c>
      <c r="H16964" s="10" t="inlineStr">
        <is>
          <t>06/04/2026</t>
        </is>
      </c>
      <c r="I16964" s="10" t="inlineStr">
        <is>
          <t>17/03/2026</t>
        </is>
      </c>
      <c r="J16964" s="10" t="inlineStr">
        <is>
          <t>Bán hàng / Kinh doanh, Bất động sản</t>
        </is>
      </c>
      <c r="K16964" s="10" t="inlineStr">
        <is>
          <t>1 - 3 Năm</t>
        </is>
      </c>
      <c r="L16964" s="11">
        <f>HYPERLINK("https://careerviet.vn/vi/tim-viec-lam/chuyen-vien-kinh-doanh-bds-khu-cong-nghiep.35C64B52.html","Xem chi tiết")</f>
        <v/>
      </c>
      <c r="M16964" s="10" t="n"/>
    </row>
    <row r="16965">
      <c r="B16965" s="7" t="n">
        <v>16963</v>
      </c>
      <c r="C16965" t="inlineStr">
        <is>
          <t>Quản lý cao cấp Khách hàng Doanh nghiệp lớn - Nghệ An, Đà Nẵng</t>
        </is>
      </c>
      <c r="D16965" t="inlineStr">
        <is>
          <t>Ngân Hàng TMCP Quốc Tế Việt Nam</t>
        </is>
      </c>
      <c r="E16965" t="inlineStr">
        <is>
          <t>Lương:15 Tr - 30 Tr VND</t>
        </is>
      </c>
      <c r="F16965" t="inlineStr">
        <is>
          <t>Đà NẵngNghệ An</t>
        </is>
      </c>
      <c r="G16965" t="inlineStr">
        <is>
          <t>06-04-2026</t>
        </is>
      </c>
      <c r="H16965" t="inlineStr">
        <is>
          <t>06/04/2026</t>
        </is>
      </c>
      <c r="I16965" t="inlineStr">
        <is>
          <t>17/03/2026</t>
        </is>
      </c>
      <c r="J16965" t="inlineStr">
        <is>
          <t>Bán hàng / Kinh doanh</t>
        </is>
      </c>
      <c r="K16965" t="inlineStr">
        <is>
          <t>Trên 1 Năm</t>
        </is>
      </c>
      <c r="L16965" s="8">
        <f>HYPERLINK("https://careerviet.vn/vi/tim-viec-lam/quan-ly-cao-cap-khach-hang-doanh-nghiep-lon-nghe-an-da-nang.35C64B1D.html","Xem chi tiết")</f>
        <v/>
      </c>
    </row>
    <row r="16966">
      <c r="B16966" s="9" t="n">
        <v>16964</v>
      </c>
      <c r="C16966" s="10" t="inlineStr">
        <is>
          <t>NHÂN VIÊN KINH DOANH NGÀNH DƯỢC</t>
        </is>
      </c>
      <c r="D16966" s="10" t="inlineStr">
        <is>
          <t>CÔNG TY CỔ PHẦN THẾ THẢO PHARMA</t>
        </is>
      </c>
      <c r="E16966" s="10" t="inlineStr">
        <is>
          <t>Lương:7 Tr - 25 Tr VND</t>
        </is>
      </c>
      <c r="F16966" s="10" t="inlineStr">
        <is>
          <t>Hà Nội</t>
        </is>
      </c>
      <c r="G16966" s="10" t="inlineStr">
        <is>
          <t>06-04-2026</t>
        </is>
      </c>
      <c r="H16966" s="10" t="inlineStr">
        <is>
          <t>06/04/2026</t>
        </is>
      </c>
      <c r="I16966" s="10" t="inlineStr">
        <is>
          <t>17/03/2026</t>
        </is>
      </c>
      <c r="J16966" s="10" t="inlineStr">
        <is>
          <t>Thương mại điện tử, Dược phẩm/ Hóa Mỹ Phẩm</t>
        </is>
      </c>
      <c r="K16966" s="10" t="inlineStr">
        <is>
          <t>N/A</t>
        </is>
      </c>
      <c r="L16966" s="11">
        <f>HYPERLINK("https://careerviet.vn/vi/tim-viec-lam/nhan-vien-kinh-doanh-nganh-duoc.35C67BFD.html","Xem chi tiết")</f>
        <v/>
      </c>
      <c r="M16966" s="10" t="n"/>
    </row>
    <row r="16967">
      <c r="B16967" s="7" t="n">
        <v>16965</v>
      </c>
      <c r="C16967" t="inlineStr">
        <is>
          <t>Nhân viên kế toán</t>
        </is>
      </c>
      <c r="D16967" t="inlineStr">
        <is>
          <t>CÔNG TY TNHH ĐẦU TƯ ITS</t>
        </is>
      </c>
      <c r="E16967" t="inlineStr">
        <is>
          <t>Lương:Cạnh tranh</t>
        </is>
      </c>
      <c r="F16967" t="inlineStr">
        <is>
          <t>Đồng ThápCần Thơ</t>
        </is>
      </c>
      <c r="G16967" t="inlineStr">
        <is>
          <t>06-04-2026</t>
        </is>
      </c>
      <c r="H16967" t="inlineStr">
        <is>
          <t>06/04/2026</t>
        </is>
      </c>
      <c r="I16967" t="inlineStr">
        <is>
          <t>17/03/2026</t>
        </is>
      </c>
      <c r="J16967" t="inlineStr">
        <is>
          <t>Kế toán / Kiểm toán, Cơ khí / Ô tô / Tự động hóa, Sản xuất / Vận hành sản xuất</t>
        </is>
      </c>
      <c r="K16967" t="inlineStr">
        <is>
          <t>3 - 5 Năm</t>
        </is>
      </c>
      <c r="L16967" s="8">
        <f>HYPERLINK("https://careerviet.vn/vi/tim-viec-lam/nhan-vien-ke-toan.35C67A2A.html","Xem chi tiết")</f>
        <v/>
      </c>
    </row>
    <row r="16968">
      <c r="B16968" s="9" t="n">
        <v>16966</v>
      </c>
      <c r="C16968" s="10" t="inlineStr">
        <is>
          <t>[Tân Đông Hiệp] Admin kiêm CSKH</t>
        </is>
      </c>
      <c r="D16968" s="10" t="inlineStr">
        <is>
          <t>Công Ty Cổ Phần Vacxin Việt Nam</t>
        </is>
      </c>
      <c r="E16968" s="10" t="inlineStr">
        <is>
          <t>Lương:Cạnh tranh</t>
        </is>
      </c>
      <c r="F16968" s="10" t="inlineStr">
        <is>
          <t>Bình Dương</t>
        </is>
      </c>
      <c r="G16968" s="10" t="inlineStr">
        <is>
          <t>06-04-2026</t>
        </is>
      </c>
      <c r="H16968" s="10" t="inlineStr">
        <is>
          <t>06/04/2026</t>
        </is>
      </c>
      <c r="I16968" s="10" t="inlineStr">
        <is>
          <t>17/03/2026</t>
        </is>
      </c>
      <c r="J16968" s="10" t="inlineStr">
        <is>
          <t>Dịch vụ khách hàng, Hành chính / Thư ký, Kế toán / Kiểm toán</t>
        </is>
      </c>
      <c r="K16968" s="10" t="inlineStr">
        <is>
          <t>1 - 3 Năm</t>
        </is>
      </c>
      <c r="L16968" s="11">
        <f>HYPERLINK("https://careerviet.vn/vi/tim-viec-lam/tan-dong-hiep-admin-kiem-cskh.35C67B41.html","Xem chi tiết")</f>
        <v/>
      </c>
      <c r="M16968" s="10" t="n"/>
    </row>
    <row r="16969">
      <c r="B16969" s="7" t="n">
        <v>16967</v>
      </c>
      <c r="C16969" t="inlineStr">
        <is>
          <t>Chuyên gia Quản lý Dự án CNTT</t>
        </is>
      </c>
      <c r="D16969" t="inlineStr">
        <is>
          <t>LOTTE FINANCE VIETNAM</t>
        </is>
      </c>
      <c r="E16969" t="inlineStr">
        <is>
          <t>Lương:Cạnh tranh</t>
        </is>
      </c>
      <c r="F16969" t="inlineStr">
        <is>
          <t>Hà Nội</t>
        </is>
      </c>
      <c r="G16969" t="inlineStr">
        <is>
          <t>06-04-2026</t>
        </is>
      </c>
      <c r="H16969" t="inlineStr">
        <is>
          <t>06/04/2026</t>
        </is>
      </c>
      <c r="I16969" t="inlineStr">
        <is>
          <t>17/03/2026</t>
        </is>
      </c>
      <c r="J16969" t="inlineStr">
        <is>
          <t>CNTT - Phần cứng / Mạng, CNTT - Phần mềm</t>
        </is>
      </c>
      <c r="K16969" t="inlineStr">
        <is>
          <t>Trên 7 Năm</t>
        </is>
      </c>
      <c r="L16969" s="8">
        <f>HYPERLINK("https://careerviet.vn/vi/tim-viec-lam/chuyen-gia-quan-ly-du-an-cntt.35C64BF2.html","Xem chi tiết")</f>
        <v/>
      </c>
    </row>
    <row r="16970">
      <c r="B16970" s="9" t="n">
        <v>16968</v>
      </c>
      <c r="C16970" s="10" t="inlineStr">
        <is>
          <t>FOAMING PRODUCTION MANAGER</t>
        </is>
      </c>
      <c r="D16970" s="10" t="inlineStr">
        <is>
          <t>Công Ty TNHH Ortholite Việt Nam</t>
        </is>
      </c>
      <c r="E16970" s="10" t="inlineStr">
        <is>
          <t>Lương:Cạnh tranh</t>
        </is>
      </c>
      <c r="F16970" s="10" t="inlineStr">
        <is>
          <t>Bình Dương</t>
        </is>
      </c>
      <c r="G16970" s="10" t="inlineStr">
        <is>
          <t>06-04-2026</t>
        </is>
      </c>
      <c r="H16970" s="10" t="inlineStr">
        <is>
          <t>06/04/2026</t>
        </is>
      </c>
      <c r="I16970" s="10" t="inlineStr">
        <is>
          <t>17/03/2026</t>
        </is>
      </c>
      <c r="J16970" s="10" t="inlineStr">
        <is>
          <t>Dệt may / Da giày / Thời trang</t>
        </is>
      </c>
      <c r="K16970" s="10" t="inlineStr">
        <is>
          <t>8 - 10 Năm</t>
        </is>
      </c>
      <c r="L16970" s="11">
        <f>HYPERLINK("https://careerviet.vn/vi/tim-viec-lam/foaming-production-manager.35C67B43.html","Xem chi tiết")</f>
        <v/>
      </c>
      <c r="M16970" s="10" t="n"/>
    </row>
    <row r="16971">
      <c r="B16971" s="7" t="n">
        <v>16969</v>
      </c>
      <c r="C16971" t="inlineStr">
        <is>
          <t>NV HÀNH CHÍNH THÚ Y ( TIẾNG THÁI)</t>
        </is>
      </c>
      <c r="D16971" t="inlineStr">
        <is>
          <t>CÔNG TY CỔ PHẦN THÁI VIỆT CORPORATION</t>
        </is>
      </c>
      <c r="E16971" t="inlineStr">
        <is>
          <t>Lương:13 Tr - 16 Tr VND</t>
        </is>
      </c>
      <c r="F16971" t="inlineStr">
        <is>
          <t>Hồ Chí Minh</t>
        </is>
      </c>
      <c r="G16971" t="inlineStr">
        <is>
          <t>06-04-2026</t>
        </is>
      </c>
      <c r="H16971" t="inlineStr">
        <is>
          <t>06/04/2026</t>
        </is>
      </c>
      <c r="I16971" t="inlineStr">
        <is>
          <t>17/03/2026</t>
        </is>
      </c>
      <c r="J16971" t="inlineStr">
        <is>
          <t>Nhân sự, Biên phiên dịch</t>
        </is>
      </c>
      <c r="K16971" t="inlineStr">
        <is>
          <t>Chưa có kinh nghiệm</t>
        </is>
      </c>
      <c r="L16971" s="8">
        <f>HYPERLINK("https://careerviet.vn/vi/tim-viec-lam/nv-hanh-chinh-thu-y-tieng-thai.35C67B92.html","Xem chi tiết")</f>
        <v/>
      </c>
    </row>
    <row r="16972">
      <c r="B16972" s="9" t="n">
        <v>16970</v>
      </c>
      <c r="C16972" s="10" t="inlineStr">
        <is>
          <t>Sales Admin cum Document Controller (7-Months Contract)</t>
        </is>
      </c>
      <c r="D16972" s="10" t="inlineStr">
        <is>
          <t>PEB STEEL BUILDINGS CO., LTD.</t>
        </is>
      </c>
      <c r="E16972" s="10" t="inlineStr">
        <is>
          <t>Lương:Cạnh tranh</t>
        </is>
      </c>
      <c r="F16972" s="10" t="inlineStr">
        <is>
          <t>Hồ Chí Minh</t>
        </is>
      </c>
      <c r="G16972" s="10" t="inlineStr">
        <is>
          <t>06-04-2026</t>
        </is>
      </c>
      <c r="H16972" s="10" t="inlineStr">
        <is>
          <t>06/04/2026</t>
        </is>
      </c>
      <c r="I16972" s="10" t="inlineStr">
        <is>
          <t>17/03/2026</t>
        </is>
      </c>
      <c r="J16972" s="10" t="inlineStr">
        <is>
          <t>Xây dựng</t>
        </is>
      </c>
      <c r="K16972" s="10" t="inlineStr">
        <is>
          <t>4 - 6 Năm</t>
        </is>
      </c>
      <c r="L16972" s="11">
        <f>HYPERLINK("https://careerviet.vn/vi/tim-viec-lam/sales-admin-cum-document-controller-7-months-contract.35C67B82.html","Xem chi tiết")</f>
        <v/>
      </c>
      <c r="M16972" s="10" t="n"/>
    </row>
    <row r="16973">
      <c r="B16973" s="7" t="n">
        <v>16971</v>
      </c>
      <c r="C16973" t="inlineStr">
        <is>
          <t>Nhân viên chứng từ xuất nhập khẩu</t>
        </is>
      </c>
      <c r="D16973" t="inlineStr">
        <is>
          <t>Công ty CP An Thành Bicsol</t>
        </is>
      </c>
      <c r="E16973" t="inlineStr">
        <is>
          <t>Lương:10 Tr - 15 Tr VND</t>
        </is>
      </c>
      <c r="F16973" t="inlineStr">
        <is>
          <t>Hà Nội</t>
        </is>
      </c>
      <c r="G16973" t="inlineStr">
        <is>
          <t>06-04-2026</t>
        </is>
      </c>
      <c r="H16973" t="inlineStr">
        <is>
          <t>06/04/2026</t>
        </is>
      </c>
      <c r="I16973" t="inlineStr">
        <is>
          <t>17/03/2026</t>
        </is>
      </c>
      <c r="J16973" t="inlineStr">
        <is>
          <t>Bán hàng / Kinh doanh, Dịch vụ khách hàng</t>
        </is>
      </c>
      <c r="K16973" t="inlineStr">
        <is>
          <t>N/A</t>
        </is>
      </c>
      <c r="L16973" s="8">
        <f>HYPERLINK("https://careerviet.vn/vi/tim-viec-lam/nhan-vien-chung-tu-xuat-nhap-khau.35C67CB6.html","Xem chi tiết")</f>
        <v/>
      </c>
    </row>
    <row r="16974">
      <c r="B16974" s="9" t="n">
        <v>16972</v>
      </c>
      <c r="C16974" s="10" t="inlineStr">
        <is>
          <t>Digital Marketing</t>
        </is>
      </c>
      <c r="D16974" s="10" t="inlineStr">
        <is>
          <t>CÔNG TY CỔ PHẦN XUẤT NHẬP KHẨU VÀ THƯƠNG MẠI FOREVER</t>
        </is>
      </c>
      <c r="E16974" s="10" t="inlineStr">
        <is>
          <t>Lương:10 Tr - 15 Tr VND</t>
        </is>
      </c>
      <c r="F16974" s="10" t="inlineStr">
        <is>
          <t>Hà Nội</t>
        </is>
      </c>
      <c r="G16974" s="10" t="inlineStr">
        <is>
          <t>06-04-2026</t>
        </is>
      </c>
      <c r="H16974" s="10" t="inlineStr">
        <is>
          <t>06/04/2026</t>
        </is>
      </c>
      <c r="I16974" s="10" t="inlineStr">
        <is>
          <t>17/03/2026</t>
        </is>
      </c>
      <c r="J16974" s="10" t="inlineStr">
        <is>
          <t>Tiếp thị / Marketing</t>
        </is>
      </c>
      <c r="K16974" s="10" t="inlineStr">
        <is>
          <t>Trên 2 Năm</t>
        </is>
      </c>
      <c r="L16974" s="11">
        <f>HYPERLINK("https://careerviet.vn/vi/tim-viec-lam/digital-marketing.35C6794E.html","Xem chi tiết")</f>
        <v/>
      </c>
      <c r="M16974" s="10" t="n"/>
    </row>
    <row r="16975">
      <c r="B16975" s="7" t="n">
        <v>16973</v>
      </c>
      <c r="C16975" t="inlineStr">
        <is>
          <t>Trình Dược Viên ETC (HỒ CHÍ MINH - ĐỒNG THÁP - TIỀN GIANG - VĨNH LONG - BẾN TRE)</t>
        </is>
      </c>
      <c r="D16975" t="inlineStr">
        <is>
          <t>Công ty cổ phần Anvy</t>
        </is>
      </c>
      <c r="E16975" t="inlineStr">
        <is>
          <t>Lương:12 Tr - 20 Tr VND</t>
        </is>
      </c>
      <c r="F16975" t="inlineStr">
        <is>
          <t>Hồ Chí MinhVĩnh LongĐồng Tháp</t>
        </is>
      </c>
      <c r="G16975" t="inlineStr">
        <is>
          <t>06-04-2026</t>
        </is>
      </c>
      <c r="H16975" t="inlineStr">
        <is>
          <t>06/04/2026</t>
        </is>
      </c>
      <c r="I16975" t="inlineStr">
        <is>
          <t>17/03/2026</t>
        </is>
      </c>
      <c r="J16975" t="inlineStr">
        <is>
          <t>Bán hàng / Kinh doanh, Dược phẩm/ Hóa Mỹ Phẩm, Y tế / Chăm sóc sức khỏe / Thẩm mỹ / Làm đẹp</t>
        </is>
      </c>
      <c r="K16975" t="inlineStr">
        <is>
          <t>2 - 3 Năm</t>
        </is>
      </c>
      <c r="L16975" s="8">
        <f>HYPERLINK("https://careerviet.vn/vi/tim-viec-lam/trinh-duoc-vien-etc-ho-chi-minh-dong-thap-tien-giang-vinh-long-ben-tre.35C64B5E.html","Xem chi tiết")</f>
        <v/>
      </c>
    </row>
    <row r="16976">
      <c r="B16976" s="9" t="n">
        <v>16974</v>
      </c>
      <c r="C16976" s="10" t="inlineStr">
        <is>
          <t>Giám Sát Bán Hàng Khu Vực Cao Nguyên</t>
        </is>
      </c>
      <c r="D16976" s="10" t="inlineStr">
        <is>
          <t>Tập Đoàn Kim Tín</t>
        </is>
      </c>
      <c r="E16976" s="10" t="inlineStr">
        <is>
          <t>Lương:15 Tr - 20 Tr VND</t>
        </is>
      </c>
      <c r="F16976" s="10" t="inlineStr">
        <is>
          <t>Hồ Chí MinhKV Nam Trung Bộ</t>
        </is>
      </c>
      <c r="G16976" s="10" t="inlineStr">
        <is>
          <t>06-04-2026</t>
        </is>
      </c>
      <c r="H16976" s="10" t="inlineStr">
        <is>
          <t>06/04/2026</t>
        </is>
      </c>
      <c r="I16976" s="10" t="inlineStr">
        <is>
          <t>17/03/2026</t>
        </is>
      </c>
      <c r="J16976" s="10" t="inlineStr">
        <is>
          <t>Bán hàng / Kinh doanh, Bán lẻ / Bán sỉ</t>
        </is>
      </c>
      <c r="K16976" s="10" t="inlineStr">
        <is>
          <t>1 - 2 Năm</t>
        </is>
      </c>
      <c r="L16976" s="11">
        <f>HYPERLINK("https://careerviet.vn/vi/tim-viec-lam/giam-sat-ban-hang-khu-vuc-cao-nguyen.35C67BAC.html","Xem chi tiết")</f>
        <v/>
      </c>
      <c r="M16976" s="10" t="n"/>
    </row>
    <row r="16977">
      <c r="B16977" s="7" t="n">
        <v>16975</v>
      </c>
      <c r="C16977" t="inlineStr">
        <is>
          <t>Tư vấn du học</t>
        </is>
      </c>
      <c r="D16977" t="inlineStr">
        <is>
          <t>CÔNG TY TNHH DREAMS TREE ORGANIZATION</t>
        </is>
      </c>
      <c r="E16977" t="inlineStr">
        <is>
          <t>Lương:8 Tr - 10 Tr VND</t>
        </is>
      </c>
      <c r="F16977" t="inlineStr">
        <is>
          <t>Hồ Chí Minh</t>
        </is>
      </c>
      <c r="G16977" t="inlineStr">
        <is>
          <t>06-04-2026</t>
        </is>
      </c>
      <c r="H16977" t="inlineStr">
        <is>
          <t>06/04/2026</t>
        </is>
      </c>
      <c r="I16977" t="inlineStr">
        <is>
          <t>17/03/2026</t>
        </is>
      </c>
      <c r="J16977" t="inlineStr">
        <is>
          <t>Tư vấn, Luật / Pháp lý, Giáo dục / Đào tạo</t>
        </is>
      </c>
      <c r="K16977" t="inlineStr">
        <is>
          <t>1 - 2 Năm</t>
        </is>
      </c>
      <c r="L16977" s="8">
        <f>HYPERLINK("https://careerviet.vn/vi/tim-viec-lam/tu-van-du-hoc.35C64C0F.html","Xem chi tiết")</f>
        <v/>
      </c>
    </row>
    <row r="16978">
      <c r="B16978" s="9" t="n">
        <v>16976</v>
      </c>
      <c r="C16978" s="10" t="inlineStr">
        <is>
          <t>Kế toán tổng hợp</t>
        </is>
      </c>
      <c r="D16978" s="10" t="inlineStr">
        <is>
          <t>CareerViet's client</t>
        </is>
      </c>
      <c r="E16978" s="10" t="inlineStr">
        <is>
          <t>Lương:15 Tr - 20 Tr VND</t>
        </is>
      </c>
      <c r="F16978" s="10" t="inlineStr">
        <is>
          <t>Hồ Chí Minh</t>
        </is>
      </c>
      <c r="G16978" s="10" t="inlineStr">
        <is>
          <t>06-04-2026</t>
        </is>
      </c>
      <c r="H16978" s="10" t="inlineStr">
        <is>
          <t>06/04/2026</t>
        </is>
      </c>
      <c r="I16978" s="10" t="inlineStr">
        <is>
          <t>17/03/2026</t>
        </is>
      </c>
      <c r="J16978" s="10" t="inlineStr">
        <is>
          <t>Kế toán / Kiểm toán</t>
        </is>
      </c>
      <c r="K16978" s="10" t="inlineStr">
        <is>
          <t>Lên đến 3 Năm</t>
        </is>
      </c>
      <c r="L16978" s="11">
        <f>HYPERLINK("https://careerviet.vn/vi/tim-viec-lam/ke-toan-tong-hop.35C67B50.html","Xem chi tiết")</f>
        <v/>
      </c>
      <c r="M16978" s="10" t="n"/>
    </row>
    <row r="16979">
      <c r="B16979" s="7" t="n">
        <v>16977</v>
      </c>
      <c r="C16979" t="inlineStr">
        <is>
          <t>Nhân viên kế toán</t>
        </is>
      </c>
      <c r="D16979" t="inlineStr">
        <is>
          <t>NANOCO GROUP</t>
        </is>
      </c>
      <c r="E16979" t="inlineStr">
        <is>
          <t>Lương:Cạnh tranh</t>
        </is>
      </c>
      <c r="F16979" t="inlineStr">
        <is>
          <t>Kiên Giang</t>
        </is>
      </c>
      <c r="G16979" t="inlineStr">
        <is>
          <t>06-04-2026</t>
        </is>
      </c>
      <c r="H16979" t="inlineStr">
        <is>
          <t>06/04/2026</t>
        </is>
      </c>
      <c r="I16979" t="inlineStr">
        <is>
          <t>17/03/2026</t>
        </is>
      </c>
      <c r="J16979" t="inlineStr">
        <is>
          <t>Kế toán / Kiểm toán, Sản xuất / Vận hành sản xuất</t>
        </is>
      </c>
      <c r="K16979" t="inlineStr">
        <is>
          <t>1 - 5 Năm</t>
        </is>
      </c>
      <c r="L16979" s="8">
        <f>HYPERLINK("https://careerviet.vn/vi/tim-viec-lam/nhan-vien-ke-toan.35C67BF9.html","Xem chi tiết")</f>
        <v/>
      </c>
    </row>
    <row r="16980">
      <c r="B16980" s="9" t="n">
        <v>16978</v>
      </c>
      <c r="C16980" s="10" t="inlineStr">
        <is>
          <t>Kế Toán Kho Đà Nẵng</t>
        </is>
      </c>
      <c r="D16980" s="10" t="inlineStr">
        <is>
          <t>Công ty Cổ phần Đầu tư Thương mại Bách Tường Phát</t>
        </is>
      </c>
      <c r="E16980" s="10" t="inlineStr">
        <is>
          <t>Lương:Cạnh tranh</t>
        </is>
      </c>
      <c r="F16980" s="10" t="inlineStr">
        <is>
          <t>Đà Nẵng</t>
        </is>
      </c>
      <c r="G16980" s="10" t="inlineStr">
        <is>
          <t>06-04-2026</t>
        </is>
      </c>
      <c r="H16980" s="10" t="inlineStr">
        <is>
          <t>06/04/2026</t>
        </is>
      </c>
      <c r="I16980" s="10" t="inlineStr">
        <is>
          <t>17/03/2026</t>
        </is>
      </c>
      <c r="J16980" s="10" t="inlineStr">
        <is>
          <t>Luật / Pháp lý, Kế toán / Kiểm toán, Thống kê</t>
        </is>
      </c>
      <c r="K16980" s="10" t="inlineStr">
        <is>
          <t>Trên 1 Năm</t>
        </is>
      </c>
      <c r="L16980" s="11">
        <f>HYPERLINK("https://careerviet.vn/vi/tim-viec-lam/ke-toan-kho-da-nang.35C64BF5.html","Xem chi tiết")</f>
        <v/>
      </c>
      <c r="M16980" s="10" t="n"/>
    </row>
    <row r="16981">
      <c r="B16981" s="7" t="n">
        <v>16979</v>
      </c>
      <c r="C16981" t="inlineStr">
        <is>
          <t>Kỹ Sư QS</t>
        </is>
      </c>
      <c r="D16981" t="inlineStr">
        <is>
          <t>Công Ty TNHH J.G</t>
        </is>
      </c>
      <c r="E16981" t="inlineStr">
        <is>
          <t>Lương:Cạnh tranh</t>
        </is>
      </c>
      <c r="F16981" t="inlineStr">
        <is>
          <t>Hồ Chí Minh</t>
        </is>
      </c>
      <c r="G16981" t="inlineStr">
        <is>
          <t>06-04-2026</t>
        </is>
      </c>
      <c r="H16981" t="inlineStr">
        <is>
          <t>06/04/2026</t>
        </is>
      </c>
      <c r="I16981" t="inlineStr">
        <is>
          <t>17/03/2026</t>
        </is>
      </c>
      <c r="J16981" t="inlineStr">
        <is>
          <t>Kiến trúc, Xây dựng, Bất động sản</t>
        </is>
      </c>
      <c r="K16981" t="inlineStr">
        <is>
          <t>Trên 2 Năm</t>
        </is>
      </c>
      <c r="L16981" s="8">
        <f>HYPERLINK("https://careerviet.vn/vi/tim-viec-lam/ky-su-qs.35C67918.html","Xem chi tiết")</f>
        <v/>
      </c>
    </row>
    <row r="16982">
      <c r="B16982" s="9" t="n">
        <v>16980</v>
      </c>
      <c r="C16982" s="10" t="inlineStr">
        <is>
          <t>ADMIN TRANG TRẠI (Ở LẠI TRẠI)</t>
        </is>
      </c>
      <c r="D16982" s="10" t="inlineStr">
        <is>
          <t>CÔNG TY CỔ PHẦN THÁI VIỆT CORPORATION</t>
        </is>
      </c>
      <c r="E16982" s="10" t="inlineStr">
        <is>
          <t>Lương:11 Tr - 15 Tr VND</t>
        </is>
      </c>
      <c r="F16982" s="10" t="inlineStr">
        <is>
          <t>Bình Phước</t>
        </is>
      </c>
      <c r="G16982" s="10" t="inlineStr">
        <is>
          <t>06-04-2026</t>
        </is>
      </c>
      <c r="H16982" s="10" t="inlineStr">
        <is>
          <t>06/04/2026</t>
        </is>
      </c>
      <c r="I16982" s="10" t="inlineStr">
        <is>
          <t>17/03/2026</t>
        </is>
      </c>
      <c r="J16982" s="10" t="inlineStr">
        <is>
          <t>Nhân sự, Kế toán / Kiểm toán, Chăn nuôi / Thú y</t>
        </is>
      </c>
      <c r="K16982" s="10" t="inlineStr">
        <is>
          <t>Chưa có kinh nghiệm</t>
        </is>
      </c>
      <c r="L16982" s="11">
        <f>HYPERLINK("https://careerviet.vn/vi/tim-viec-lam/admin-trang-trai-o-lai-trai.35C67BA8.html","Xem chi tiết")</f>
        <v/>
      </c>
      <c r="M16982" s="10" t="n"/>
    </row>
    <row r="16983">
      <c r="B16983" s="7" t="n">
        <v>16981</v>
      </c>
      <c r="C16983" t="inlineStr">
        <is>
          <t>Tư Vấn Bán Hàng Kinh Doanh Và Chăm Sóc Khách Hàng</t>
        </is>
      </c>
      <c r="D16983" t="inlineStr">
        <is>
          <t>Công ty Cổ phần Tierra</t>
        </is>
      </c>
      <c r="E16983" t="inlineStr">
        <is>
          <t>Lương:12 Tr - 20 Tr VND</t>
        </is>
      </c>
      <c r="F16983" t="inlineStr">
        <is>
          <t>Hà NộiHồ Chí MinhĐồng Nai</t>
        </is>
      </c>
      <c r="G16983" t="inlineStr">
        <is>
          <t>06-04-2026</t>
        </is>
      </c>
      <c r="H16983" t="inlineStr">
        <is>
          <t>06/04/2026</t>
        </is>
      </c>
      <c r="I16983" t="inlineStr">
        <is>
          <t>17/03/2026</t>
        </is>
      </c>
      <c r="J16983" t="inlineStr">
        <is>
          <t>Bán lẻ / Bán sỉ, Bán hàng / Kinh doanh, Tiếp thị trực tuyến</t>
        </is>
      </c>
      <c r="K16983" t="inlineStr">
        <is>
          <t>Lên đến 1 Năm</t>
        </is>
      </c>
      <c r="L16983" s="8">
        <f>HYPERLINK("https://careerviet.vn/vi/tim-viec-lam/tu-van-ban-hang-kinh-doanh-va-cham-soc-khach-hang.35C64B8B.html","Xem chi tiết")</f>
        <v/>
      </c>
    </row>
    <row r="16984">
      <c r="B16984" s="9" t="n">
        <v>16982</v>
      </c>
      <c r="C16984" s="10" t="inlineStr">
        <is>
          <t>QUẢN ĐỐC CHUYỀN MAY</t>
        </is>
      </c>
      <c r="D16984" s="10" t="inlineStr">
        <is>
          <t>Công Ty TNHH May Thêu Giày An Phước</t>
        </is>
      </c>
      <c r="E16984" s="10" t="inlineStr">
        <is>
          <t>Lương:Cạnh tranh</t>
        </is>
      </c>
      <c r="F16984" s="10" t="inlineStr">
        <is>
          <t>Hồ Chí Minh</t>
        </is>
      </c>
      <c r="G16984" s="10" t="inlineStr">
        <is>
          <t>24-03-2026</t>
        </is>
      </c>
      <c r="H16984" s="10" t="inlineStr">
        <is>
          <t>24/03/2026</t>
        </is>
      </c>
      <c r="I16984" s="10" t="inlineStr">
        <is>
          <t>17/03/2026</t>
        </is>
      </c>
      <c r="J16984" s="10" t="inlineStr">
        <is>
          <t>Sản xuất / Vận hành sản xuất, Dệt may / Da giày / Thời trang, Quản lý chất lượng (QA/QC)</t>
        </is>
      </c>
      <c r="K16984" s="10" t="inlineStr">
        <is>
          <t>5 - 10 Năm</t>
        </is>
      </c>
      <c r="L16984" s="11">
        <f>HYPERLINK("https://careerviet.vn/vi/tim-viec-lam/quan-doc-chuyen-may.35C67952.html","Xem chi tiết")</f>
        <v/>
      </c>
      <c r="M16984" s="10" t="n"/>
    </row>
    <row r="16985">
      <c r="B16985" s="7" t="n">
        <v>16983</v>
      </c>
      <c r="C16985" t="inlineStr">
        <is>
          <t>Nhân Viên Kế Toán</t>
        </is>
      </c>
      <c r="D16985" t="inlineStr">
        <is>
          <t>CÔNG TY TNHH CÔNG NGHỆ ĐIỆN TỬ BVT VIỆT NAM</t>
        </is>
      </c>
      <c r="E16985" t="inlineStr">
        <is>
          <t>Lương:7 Tr - 12 Tr VND</t>
        </is>
      </c>
      <c r="F16985" t="inlineStr">
        <is>
          <t>Hồ Chí Minh</t>
        </is>
      </c>
      <c r="G16985" t="inlineStr">
        <is>
          <t>06-04-2026</t>
        </is>
      </c>
      <c r="H16985" t="inlineStr">
        <is>
          <t>06/04/2026</t>
        </is>
      </c>
      <c r="I16985" t="inlineStr">
        <is>
          <t>17/03/2026</t>
        </is>
      </c>
      <c r="J16985" t="inlineStr">
        <is>
          <t>Tài chính / Đầu tư, Kế toán / Kiểm toán, Sản xuất / Vận hành sản xuất</t>
        </is>
      </c>
      <c r="K16985" t="inlineStr">
        <is>
          <t>N/A</t>
        </is>
      </c>
      <c r="L16985" s="8">
        <f>HYPERLINK("https://careerviet.vn/vi/tim-viec-lam/nhan-vien-ke-toan.35C64AA4.html","Xem chi tiết")</f>
        <v/>
      </c>
    </row>
    <row r="16986">
      <c r="B16986" s="9" t="n">
        <v>16984</v>
      </c>
      <c r="C16986" s="10" t="inlineStr">
        <is>
          <t>Nhân Viên Biết Tiếng Trung</t>
        </is>
      </c>
      <c r="D16986" s="10" t="inlineStr">
        <is>
          <t>CÔNG TY TNHH TEX YEAR VIỆT NAM</t>
        </is>
      </c>
      <c r="E16986" s="10" t="inlineStr">
        <is>
          <t>Lương:Cạnh tranh</t>
        </is>
      </c>
      <c r="F16986" s="10" t="inlineStr">
        <is>
          <t>Bình DươngHồ Chí MinhĐồng Nai</t>
        </is>
      </c>
      <c r="G16986" s="10" t="inlineStr">
        <is>
          <t>06-04-2026</t>
        </is>
      </c>
      <c r="H16986" s="10" t="inlineStr">
        <is>
          <t>06/04/2026</t>
        </is>
      </c>
      <c r="I16986" s="10" t="inlineStr">
        <is>
          <t>17/03/2026</t>
        </is>
      </c>
      <c r="J16986" s="10" t="inlineStr">
        <is>
          <t>Biên phiên dịch, Bán hàng / Kinh doanh, Sản xuất / Vận hành sản xuất</t>
        </is>
      </c>
      <c r="K16986" s="10" t="inlineStr">
        <is>
          <t>Chưa có kinh nghiệm</t>
        </is>
      </c>
      <c r="L16986" s="11">
        <f>HYPERLINK("https://careerviet.vn/vi/tim-viec-lam/nhan-vien-biet-tieng-trung.35C67B8C.html","Xem chi tiết")</f>
        <v/>
      </c>
      <c r="M16986" s="10" t="n"/>
    </row>
    <row r="16987">
      <c r="B16987" s="7" t="n">
        <v>16985</v>
      </c>
      <c r="C16987" t="inlineStr">
        <is>
          <t>CHUYÊN VIÊN ĐÀO TẠO &amp; PHÁT TRIỂN [BAF VIỆT NAM]</t>
        </is>
      </c>
      <c r="D16987" t="inlineStr">
        <is>
          <t>Công ty Cổ phần Nông nghiệp BAF Việt Nam</t>
        </is>
      </c>
      <c r="E16987" t="inlineStr">
        <is>
          <t>Lương:15 Tr - 20 Tr VND</t>
        </is>
      </c>
      <c r="F16987" t="inlineStr">
        <is>
          <t>Hồ Chí Minh</t>
        </is>
      </c>
      <c r="G16987" t="inlineStr">
        <is>
          <t>06-04-2026</t>
        </is>
      </c>
      <c r="H16987" t="inlineStr">
        <is>
          <t>06/04/2026</t>
        </is>
      </c>
      <c r="I16987" t="inlineStr">
        <is>
          <t>17/03/2026</t>
        </is>
      </c>
      <c r="J16987" t="inlineStr">
        <is>
          <t>Luật / Pháp lý, Nhân sự</t>
        </is>
      </c>
      <c r="K16987" t="inlineStr">
        <is>
          <t>1 - 2 Năm</t>
        </is>
      </c>
      <c r="L16987" s="8">
        <f>HYPERLINK("https://careerviet.vn/vi/tim-viec-lam/chuyen-vien-dao-tao-phat-trien-baf-viet-nam.35C64B22.html","Xem chi tiết")</f>
        <v/>
      </c>
    </row>
    <row r="16988">
      <c r="B16988" s="9" t="n">
        <v>16986</v>
      </c>
      <c r="C16988" s="10" t="inlineStr">
        <is>
          <t>Nhân viên mua sắm (thời vụ 6 tháng)</t>
        </is>
      </c>
      <c r="D16988" s="10" t="inlineStr">
        <is>
          <t>TRƯỜNG PHỔ THÔNG LIÊN CẤP H.A.S</t>
        </is>
      </c>
      <c r="E16988" s="10" t="inlineStr">
        <is>
          <t>Lương:10 Tr - 12 Tr VND</t>
        </is>
      </c>
      <c r="F16988" s="10" t="inlineStr">
        <is>
          <t>Hà Nội</t>
        </is>
      </c>
      <c r="G16988" s="10" t="inlineStr">
        <is>
          <t>06-04-2026</t>
        </is>
      </c>
      <c r="H16988" s="10" t="inlineStr">
        <is>
          <t>06/04/2026</t>
        </is>
      </c>
      <c r="I16988" s="10" t="inlineStr">
        <is>
          <t>17/03/2026</t>
        </is>
      </c>
      <c r="J16988" s="10" t="inlineStr">
        <is>
          <t>Giáo dục / Đào tạo</t>
        </is>
      </c>
      <c r="K16988" s="10" t="inlineStr">
        <is>
          <t>1 - 3 Năm</t>
        </is>
      </c>
      <c r="L16988" s="11">
        <f>HYPERLINK("https://careerviet.vn/vi/tim-viec-lam/nhan-vien-mua-sam-thoi-vu-6-thang.35C64A80.html","Xem chi tiết")</f>
        <v/>
      </c>
      <c r="M16988" s="10" t="n"/>
    </row>
    <row r="16989">
      <c r="B16989" s="7" t="n">
        <v>16987</v>
      </c>
      <c r="C16989" t="inlineStr">
        <is>
          <t>Nhân Viên Kế toán Thuế (Không yêu cầu kinh nghiệm)</t>
        </is>
      </c>
      <c r="D16989" t="inlineStr">
        <is>
          <t>Công Ty TNHH XNK Cầu Nối Việt</t>
        </is>
      </c>
      <c r="E16989" t="inlineStr">
        <is>
          <t>Lương:8 Tr - 16 Tr VND</t>
        </is>
      </c>
      <c r="F16989" t="inlineStr">
        <is>
          <t>Hà Nội</t>
        </is>
      </c>
      <c r="G16989" t="inlineStr">
        <is>
          <t>06-04-2026</t>
        </is>
      </c>
      <c r="H16989" t="inlineStr">
        <is>
          <t>06/04/2026</t>
        </is>
      </c>
      <c r="I16989" t="inlineStr">
        <is>
          <t>17/03/2026</t>
        </is>
      </c>
      <c r="J16989" t="inlineStr">
        <is>
          <t>Kế toán / Kiểm toán</t>
        </is>
      </c>
      <c r="K16989" t="inlineStr">
        <is>
          <t>N/A</t>
        </is>
      </c>
      <c r="L16989" s="8">
        <f>HYPERLINK("https://careerviet.vn/vi/tim-viec-lam/nhan-vien-ke-toan-thue-khong-yeu-cau-kinh-nghiem.35C67BCD.html","Xem chi tiết")</f>
        <v/>
      </c>
    </row>
    <row r="16990">
      <c r="B16990" s="9" t="n">
        <v>16988</v>
      </c>
      <c r="C16990" s="10" t="inlineStr">
        <is>
          <t>Chuyên viên Marketing triển khai sự kiện</t>
        </is>
      </c>
      <c r="D16990" s="10" t="inlineStr">
        <is>
          <t>TỔNG CÔNG TY CỔ PHẦN THƯƠNG MẠI XÂY DỰNG</t>
        </is>
      </c>
      <c r="E16990" s="10" t="inlineStr">
        <is>
          <t>Lương:17 Tr - 20 Tr VND</t>
        </is>
      </c>
      <c r="F16990" s="10" t="inlineStr">
        <is>
          <t>Hà Nội</t>
        </is>
      </c>
      <c r="G16990" s="10" t="inlineStr">
        <is>
          <t>06-04-2026</t>
        </is>
      </c>
      <c r="H16990" s="10" t="inlineStr">
        <is>
          <t>06/04/2026</t>
        </is>
      </c>
      <c r="I16990" s="10" t="inlineStr">
        <is>
          <t>17/03/2026</t>
        </is>
      </c>
      <c r="J16990" s="10" t="inlineStr">
        <is>
          <t>Tiếp thị / Marketing, Quảng cáo / Đối ngoại / Truyền Thông, Tổ chức sự kiện</t>
        </is>
      </c>
      <c r="K16990" s="10" t="inlineStr">
        <is>
          <t>2 - 3 Năm</t>
        </is>
      </c>
      <c r="L16990" s="11">
        <f>HYPERLINK("https://careerviet.vn/vi/tim-viec-lam/chuyen-vien-marketing-trien-khai-su-kien.35C67BE8.html","Xem chi tiết")</f>
        <v/>
      </c>
      <c r="M16990" s="10" t="n"/>
    </row>
    <row r="16991">
      <c r="B16991" s="7" t="n">
        <v>16989</v>
      </c>
      <c r="C16991" t="inlineStr">
        <is>
          <t>Kế Toán Tổng Hợp</t>
        </is>
      </c>
      <c r="D16991" t="inlineStr">
        <is>
          <t>Công ty TNHH Sản xuất Thương mại &amp; Dịch vụ Hoa Xinh</t>
        </is>
      </c>
      <c r="E16991" t="inlineStr">
        <is>
          <t>Lương:Cạnh tranh</t>
        </is>
      </c>
      <c r="F16991" t="inlineStr">
        <is>
          <t>Hồ Chí Minh</t>
        </is>
      </c>
      <c r="G16991" t="inlineStr">
        <is>
          <t>06-04-2026</t>
        </is>
      </c>
      <c r="H16991" t="inlineStr">
        <is>
          <t>06/04/2026</t>
        </is>
      </c>
      <c r="I16991" t="inlineStr">
        <is>
          <t>17/03/2026</t>
        </is>
      </c>
      <c r="J16991" t="inlineStr">
        <is>
          <t>Kế toán / Kiểm toán, Ngân hàng, Tài chính / Đầu tư</t>
        </is>
      </c>
      <c r="K16991" t="inlineStr">
        <is>
          <t>1 - 5 Năm</t>
        </is>
      </c>
      <c r="L16991" s="8">
        <f>HYPERLINK("https://careerviet.vn/vi/tim-viec-lam/ke-toan-tong-hop.35C679FE.html","Xem chi tiết")</f>
        <v/>
      </c>
    </row>
    <row r="16992">
      <c r="B16992" s="9" t="n">
        <v>16990</v>
      </c>
      <c r="C16992" s="10" t="inlineStr">
        <is>
          <t>Purchasing Manager</t>
        </is>
      </c>
      <c r="D16992" s="10" t="inlineStr">
        <is>
          <t>Rochdale Spears Co., Ltd.</t>
        </is>
      </c>
      <c r="E16992" s="10" t="inlineStr">
        <is>
          <t>Lương:Cạnh tranh</t>
        </is>
      </c>
      <c r="F16992" s="10" t="inlineStr">
        <is>
          <t>Bình Dương</t>
        </is>
      </c>
      <c r="G16992" s="10" t="inlineStr">
        <is>
          <t>06-04-2026</t>
        </is>
      </c>
      <c r="H16992" s="10" t="inlineStr">
        <is>
          <t>06/04/2026</t>
        </is>
      </c>
      <c r="I16992" s="10" t="inlineStr">
        <is>
          <t>17/03/2026</t>
        </is>
      </c>
      <c r="J16992" s="10" t="inlineStr">
        <is>
          <t>Nội ngoại thất, Thu mua / Vật tư, Đồ gỗ</t>
        </is>
      </c>
      <c r="K16992" s="10" t="inlineStr">
        <is>
          <t>5 - 8 Năm</t>
        </is>
      </c>
      <c r="L16992" s="11">
        <f>HYPERLINK("https://careerviet.vn/vi/tim-viec-lam/purchasing-manager.35C67B83.html","Xem chi tiết")</f>
        <v/>
      </c>
      <c r="M16992" s="10" t="n"/>
    </row>
    <row r="16993">
      <c r="B16993" s="7" t="n">
        <v>16991</v>
      </c>
      <c r="C16993" t="inlineStr">
        <is>
          <t>Cán Bộ Kinh Doanh - Khu vực Quảng Ninh, Ninh Bình</t>
        </is>
      </c>
      <c r="D16993" t="inlineStr">
        <is>
          <t>Tổng Công ty Cổ phần Bảo hiểm Ngân hàng Đầu tư và Phát triển Việt Nam (BIC)</t>
        </is>
      </c>
      <c r="E16993" t="inlineStr">
        <is>
          <t>Lương:Cạnh tranh</t>
        </is>
      </c>
      <c r="F16993" t="inlineStr">
        <is>
          <t>Quảng NinhNinh Bình</t>
        </is>
      </c>
      <c r="G16993" t="inlineStr">
        <is>
          <t>06-04-2026</t>
        </is>
      </c>
      <c r="H16993" t="inlineStr">
        <is>
          <t>06/04/2026</t>
        </is>
      </c>
      <c r="I16993" t="inlineStr">
        <is>
          <t>17/03/2026</t>
        </is>
      </c>
      <c r="J16993" t="inlineStr">
        <is>
          <t>Bảo hiểm, Bán hàng / Kinh doanh, Ngân hàng</t>
        </is>
      </c>
      <c r="K16993" t="inlineStr">
        <is>
          <t>Chưa có kinh nghiệm</t>
        </is>
      </c>
      <c r="L16993" s="8">
        <f>HYPERLINK("https://careerviet.vn/vi/tim-viec-lam/can-bo-kinh-doanh-khu-vuc-quang-ninh-ninh-binh.35C67C27.html","Xem chi tiết")</f>
        <v/>
      </c>
    </row>
    <row r="16994">
      <c r="B16994" s="9" t="n">
        <v>16992</v>
      </c>
      <c r="C16994" s="10" t="inlineStr">
        <is>
          <t>[HN] CVC Vận hành ứng dụng</t>
        </is>
      </c>
      <c r="D16994" s="10" t="inlineStr">
        <is>
          <t>CÔNG TY TÀI CHÍNH TÍN DỤNG TIÊU DÙNG TNHH MTV AEON</t>
        </is>
      </c>
      <c r="E16994" s="10" t="inlineStr">
        <is>
          <t>Lương:Cạnh tranh</t>
        </is>
      </c>
      <c r="F16994" s="10" t="inlineStr">
        <is>
          <t>Hà Nội</t>
        </is>
      </c>
      <c r="G16994" s="10" t="inlineStr">
        <is>
          <t>06-04-2026</t>
        </is>
      </c>
      <c r="H16994" s="10" t="inlineStr">
        <is>
          <t>06/04/2026</t>
        </is>
      </c>
      <c r="I16994" s="10" t="inlineStr">
        <is>
          <t>17/03/2026</t>
        </is>
      </c>
      <c r="J16994" s="10" t="inlineStr">
        <is>
          <t>CNTT - Phần mềm</t>
        </is>
      </c>
      <c r="K16994" s="10" t="inlineStr">
        <is>
          <t>1 - 3 Năm</t>
        </is>
      </c>
      <c r="L16994" s="11">
        <f>HYPERLINK("https://careerviet.vn/vi/tim-viec-lam/hn-cvc-van-hanh-ung-dung.35C67A6F.html","Xem chi tiết")</f>
        <v/>
      </c>
      <c r="M16994" s="10" t="n"/>
    </row>
    <row r="16995">
      <c r="B16995" s="7" t="n">
        <v>16993</v>
      </c>
      <c r="C16995" t="inlineStr">
        <is>
          <t>Nhân Viên Chăm Sóc Khách Hàng Sàn Thương Mại Điện Tử Kênh Call</t>
        </is>
      </c>
      <c r="D16995" t="inlineStr">
        <is>
          <t>CÔNG TY CỔ PHẦN ALTIUS LINK VIỆT NAM</t>
        </is>
      </c>
      <c r="E16995" t="inlineStr">
        <is>
          <t>Lương:7,5 Tr - 9 Tr VND</t>
        </is>
      </c>
      <c r="F16995" t="inlineStr">
        <is>
          <t>Hồ Chí Minh</t>
        </is>
      </c>
      <c r="G16995" t="inlineStr">
        <is>
          <t>06-04-2026</t>
        </is>
      </c>
      <c r="H16995" t="inlineStr">
        <is>
          <t>06/04/2026</t>
        </is>
      </c>
      <c r="I16995" t="inlineStr">
        <is>
          <t>17/03/2026</t>
        </is>
      </c>
      <c r="J16995" t="inlineStr">
        <is>
          <t>Thương mại điện tử, Tư vấn, Dịch vụ khách hàng</t>
        </is>
      </c>
      <c r="K16995" t="inlineStr">
        <is>
          <t>N/A</t>
        </is>
      </c>
      <c r="L16995" s="8">
        <f>HYPERLINK("https://careerviet.vn/vi/tim-viec-lam/nhan-vien-cham-soc-khach-hang-san-thuong-mai-dien-tu-kenh-call.35C64A97.html","Xem chi tiết")</f>
        <v/>
      </c>
    </row>
    <row r="16996">
      <c r="B16996" s="9" t="n">
        <v>16994</v>
      </c>
      <c r="C16996" s="10" t="inlineStr">
        <is>
          <t>Cán bộ cung ứng vật tư</t>
        </is>
      </c>
      <c r="D16996" s="10" t="inlineStr">
        <is>
          <t>Công Ty Cổ Phần Xây Dựng CDC</t>
        </is>
      </c>
      <c r="E16996" s="10" t="inlineStr">
        <is>
          <t>Lương:15 Tr - 23 Tr VND</t>
        </is>
      </c>
      <c r="F16996" s="10" t="inlineStr">
        <is>
          <t>Hải Phòng</t>
        </is>
      </c>
      <c r="G16996" s="10" t="inlineStr">
        <is>
          <t>06-04-2026</t>
        </is>
      </c>
      <c r="H16996" s="10" t="inlineStr">
        <is>
          <t>06/04/2026</t>
        </is>
      </c>
      <c r="I16996" s="10" t="inlineStr">
        <is>
          <t>17/03/2026</t>
        </is>
      </c>
      <c r="J16996" s="10" t="inlineStr">
        <is>
          <t>Xây dựng</t>
        </is>
      </c>
      <c r="K16996" s="10" t="inlineStr">
        <is>
          <t>3 - 5 Năm</t>
        </is>
      </c>
      <c r="L16996" s="11">
        <f>HYPERLINK("https://careerviet.vn/vi/tim-viec-lam/can-bo-cung-ung-vat-tu.35C67BA2.html","Xem chi tiết")</f>
        <v/>
      </c>
      <c r="M16996" s="10" t="n"/>
    </row>
    <row r="16997">
      <c r="B16997" s="7" t="n">
        <v>16995</v>
      </c>
      <c r="C16997" t="inlineStr">
        <is>
          <t>Chuyên viên Quản lý rủi ro Thẻ</t>
        </is>
      </c>
      <c r="D16997" t="inlineStr">
        <is>
          <t>BVBank - Ngân hàng Bản Việt</t>
        </is>
      </c>
      <c r="E16997" t="inlineStr">
        <is>
          <t>Lương:Cạnh tranh</t>
        </is>
      </c>
      <c r="F16997" t="inlineStr">
        <is>
          <t>Hồ Chí Minh</t>
        </is>
      </c>
      <c r="G16997" t="inlineStr">
        <is>
          <t>06-04-2026</t>
        </is>
      </c>
      <c r="H16997" t="inlineStr">
        <is>
          <t>06/04/2026</t>
        </is>
      </c>
      <c r="I16997" t="inlineStr">
        <is>
          <t>17/03/2026</t>
        </is>
      </c>
      <c r="J16997" t="inlineStr">
        <is>
          <t>Ngân hàng, Tài chính / Đầu tư, Bán hàng / Kinh doanh</t>
        </is>
      </c>
      <c r="K16997" t="inlineStr">
        <is>
          <t>1 - 2 Năm</t>
        </is>
      </c>
      <c r="L16997" s="8">
        <f>HYPERLINK("https://careerviet.vn/vi/tim-viec-lam/chuyen-vien-quan-ly-rui-ro-the.35C67981.html","Xem chi tiết")</f>
        <v/>
      </c>
    </row>
    <row r="16998">
      <c r="B16998" s="9" t="n">
        <v>16996</v>
      </c>
      <c r="C16998" s="10" t="inlineStr">
        <is>
          <t>TRƯỞNG BỘ PHẬN THỰC PHẨM TƯƠI SỐNG - GO! NHA TRANG</t>
        </is>
      </c>
      <c r="D16998" s="10" t="inlineStr">
        <is>
          <t>Food Retail</t>
        </is>
      </c>
      <c r="E16998" s="10" t="inlineStr">
        <is>
          <t>Lương:Cạnh tranh</t>
        </is>
      </c>
      <c r="F16998" s="10" t="inlineStr">
        <is>
          <t>Khánh Hòa</t>
        </is>
      </c>
      <c r="G16998" s="10" t="inlineStr">
        <is>
          <t>06-04-2026</t>
        </is>
      </c>
      <c r="H16998" s="10" t="inlineStr">
        <is>
          <t>06/04/2026</t>
        </is>
      </c>
      <c r="I16998" s="10" t="inlineStr">
        <is>
          <t>17/03/2026</t>
        </is>
      </c>
      <c r="J16998" s="10" t="inlineStr">
        <is>
          <t>Bán lẻ / Bán sỉ, Tiếp thị trực tuyến</t>
        </is>
      </c>
      <c r="K16998" s="10" t="inlineStr">
        <is>
          <t>1 - 2 Năm</t>
        </is>
      </c>
      <c r="L16998" s="11">
        <f>HYPERLINK("https://careerviet.vn/vi/tim-viec-lam/truong-bo-phan-thuc-pham-tuoi-song-go-nha-trang.35C67C0B.html","Xem chi tiết")</f>
        <v/>
      </c>
      <c r="M16998" s="10" t="n"/>
    </row>
    <row r="16999">
      <c r="B16999" s="7" t="n">
        <v>16997</v>
      </c>
      <c r="C16999" t="inlineStr">
        <is>
          <t>[Long An] Nhân viên mua hàng</t>
        </is>
      </c>
      <c r="D16999" t="inlineStr">
        <is>
          <t>Tập Đoàn Tân Á Đại Thành</t>
        </is>
      </c>
      <c r="E16999" t="inlineStr">
        <is>
          <t>Lương:11 Tr - 13 Tr VND</t>
        </is>
      </c>
      <c r="F16999" t="inlineStr">
        <is>
          <t>Long An</t>
        </is>
      </c>
      <c r="G16999" t="inlineStr">
        <is>
          <t>31-03-2026</t>
        </is>
      </c>
      <c r="H16999" t="inlineStr">
        <is>
          <t>31/03/2026</t>
        </is>
      </c>
      <c r="I16999" t="inlineStr">
        <is>
          <t>17/03/2026</t>
        </is>
      </c>
      <c r="J16999" t="inlineStr">
        <is>
          <t>Thu mua / Vật tư</t>
        </is>
      </c>
      <c r="K16999" t="inlineStr">
        <is>
          <t>1 - 3 Năm</t>
        </is>
      </c>
      <c r="L16999" s="8">
        <f>HYPERLINK("https://careerviet.vn/vi/tim-viec-lam/long-an-nhan-vien-mua-hang.35C68FC9.html","Xem chi tiết")</f>
        <v/>
      </c>
    </row>
    <row r="17000">
      <c r="B17000" s="9" t="n">
        <v>16998</v>
      </c>
      <c r="C17000" s="10" t="inlineStr">
        <is>
          <t>Nhân Viên Phát Triển Sản Phẩm (R&amp;D Staff)</t>
        </is>
      </c>
      <c r="D17000" s="10" t="inlineStr">
        <is>
          <t>Công Ty TNHH Texmaster Việt Nam</t>
        </is>
      </c>
      <c r="E17000" s="10" t="inlineStr">
        <is>
          <t>Lương:13 Tr - 15 Tr VND</t>
        </is>
      </c>
      <c r="F17000" s="10" t="inlineStr">
        <is>
          <t>Bình Dương</t>
        </is>
      </c>
      <c r="G17000" s="10" t="inlineStr">
        <is>
          <t>06-04-2026</t>
        </is>
      </c>
      <c r="H17000" s="10" t="inlineStr">
        <is>
          <t>06/04/2026</t>
        </is>
      </c>
      <c r="I17000" s="10" t="inlineStr">
        <is>
          <t>17/03/2026</t>
        </is>
      </c>
      <c r="J17000" s="10" t="inlineStr">
        <is>
          <t>Điện / Điện tử / Điện lạnh / Điện công nghiệp, Sản xuất / Vận hành sản xuất, Cơ khí / Ô tô / Tự động hóa</t>
        </is>
      </c>
      <c r="K17000" s="10" t="inlineStr">
        <is>
          <t>N/A</t>
        </is>
      </c>
      <c r="L17000" s="11">
        <f>HYPERLINK("https://careerviet.vn/vi/tim-viec-lam/nhan-vien-phat-trien-san-pham-r-d-staff.35C64B7C.html","Xem chi tiết")</f>
        <v/>
      </c>
      <c r="M17000" s="10" t="n"/>
    </row>
    <row r="17001">
      <c r="B17001" s="7" t="n">
        <v>16999</v>
      </c>
      <c r="C17001" t="inlineStr">
        <is>
          <t>Engineer (Electrical – Electronics – Automotive – Mechanical – Mechatronics)</t>
        </is>
      </c>
      <c r="D17001" t="inlineStr">
        <is>
          <t>Bảo mật</t>
        </is>
      </c>
      <c r="E17001" t="inlineStr">
        <is>
          <t>Lương:10 Tr - 30 Tr VND</t>
        </is>
      </c>
      <c r="F17001" t="inlineStr">
        <is>
          <t>Hà Nội</t>
        </is>
      </c>
      <c r="G17001" t="inlineStr">
        <is>
          <t>06-04-2026</t>
        </is>
      </c>
      <c r="H17001" t="inlineStr">
        <is>
          <t>06/04/2026</t>
        </is>
      </c>
      <c r="I17001" t="inlineStr">
        <is>
          <t>17/03/2026</t>
        </is>
      </c>
      <c r="J17001" t="inlineStr">
        <is>
          <t>Cơ khí / Ô tô / Tự động hóa</t>
        </is>
      </c>
      <c r="K17001" t="inlineStr">
        <is>
          <t>1 - 15 Năm</t>
        </is>
      </c>
      <c r="L17001" s="8">
        <f>HYPERLINK("https://careerviet.vn/vi/tim-viec-lam/engineer-electrical-electronics-automotive-mechanical-mechatronics.35C67BC2.html","Xem chi tiết")</f>
        <v/>
      </c>
    </row>
    <row r="17002">
      <c r="B17002" s="9" t="n">
        <v>17000</v>
      </c>
      <c r="C17002" s="10" t="inlineStr">
        <is>
          <t>Trình Dược Viên ETC (THANH HÓA - NGHỆ AN - VINH - HÀ TĨNH)</t>
        </is>
      </c>
      <c r="D17002" s="10" t="inlineStr">
        <is>
          <t>Công ty cổ phần Anvy</t>
        </is>
      </c>
      <c r="E17002" s="10" t="inlineStr">
        <is>
          <t>Lương:12 Tr - 20 Tr VND</t>
        </is>
      </c>
      <c r="F17002" s="10" t="inlineStr">
        <is>
          <t>Thanh HóaHà TĩnhNghệ An</t>
        </is>
      </c>
      <c r="G17002" s="10" t="inlineStr">
        <is>
          <t>06-04-2026</t>
        </is>
      </c>
      <c r="H17002" s="10" t="inlineStr">
        <is>
          <t>06/04/2026</t>
        </is>
      </c>
      <c r="I17002" s="10" t="inlineStr">
        <is>
          <t>17/03/2026</t>
        </is>
      </c>
      <c r="J17002" s="10" t="inlineStr">
        <is>
          <t>Bán hàng / Kinh doanh, Dược phẩm/ Hóa Mỹ Phẩm, Y tế / Chăm sóc sức khỏe / Thẩm mỹ / Làm đẹp</t>
        </is>
      </c>
      <c r="K17002" s="10" t="inlineStr">
        <is>
          <t>2 - 3 Năm</t>
        </is>
      </c>
      <c r="L17002" s="11">
        <f>HYPERLINK("https://careerviet.vn/vi/tim-viec-lam/trinh-duoc-vien-etc-thanh-hoa-nghe-an-vinh-ha-tinh.35C64BE3.html","Xem chi tiết")</f>
        <v/>
      </c>
      <c r="M17002" s="10" t="n"/>
    </row>
    <row r="17003">
      <c r="B17003" s="7" t="n">
        <v>17001</v>
      </c>
      <c r="C17003" t="inlineStr">
        <is>
          <t>Lễ tân phòng khám</t>
        </is>
      </c>
      <c r="D17003" t="inlineStr">
        <is>
          <t>CÔNG TY CỔ PHẦN BỆNH VIỆN QUỐC TẾ BERNARD 1</t>
        </is>
      </c>
      <c r="E17003" t="inlineStr">
        <is>
          <t>Lương:Cạnh tranh</t>
        </is>
      </c>
      <c r="F17003" t="inlineStr">
        <is>
          <t>Hồ Chí Minh</t>
        </is>
      </c>
      <c r="G17003" t="inlineStr">
        <is>
          <t>31-03-2026</t>
        </is>
      </c>
      <c r="H17003" t="inlineStr">
        <is>
          <t>31/03/2026</t>
        </is>
      </c>
      <c r="I17003" t="inlineStr">
        <is>
          <t>17/03/2026</t>
        </is>
      </c>
      <c r="J17003" t="inlineStr">
        <is>
          <t>Dược phẩm/ Hóa Mỹ Phẩm, Y tế / Chăm sóc sức khỏe / Thẩm mỹ / Làm đẹp, Dịch vụ khách hàng</t>
        </is>
      </c>
      <c r="K17003" t="inlineStr">
        <is>
          <t>1 - 5 Năm</t>
        </is>
      </c>
      <c r="L17003" s="8">
        <f>HYPERLINK("https://careerviet.vn/vi/tim-viec-lam/le-tan-phong-kham.35C68FD6.html","Xem chi tiết")</f>
        <v/>
      </c>
    </row>
    <row r="17004">
      <c r="B17004" s="9" t="n">
        <v>17002</v>
      </c>
      <c r="C17004" s="10" t="inlineStr">
        <is>
          <t>Chuyên viên Cao cấp Quản lý đối tác Công nghệ thông tin</t>
        </is>
      </c>
      <c r="D17004" s="10" t="inlineStr">
        <is>
          <t>LOTTE FINANCE VIETNAM</t>
        </is>
      </c>
      <c r="E17004" s="10" t="inlineStr">
        <is>
          <t>Lương:Cạnh tranh</t>
        </is>
      </c>
      <c r="F17004" s="10" t="inlineStr">
        <is>
          <t>Hà Nội</t>
        </is>
      </c>
      <c r="G17004" s="10" t="inlineStr">
        <is>
          <t>06-04-2026</t>
        </is>
      </c>
      <c r="H17004" s="10" t="inlineStr">
        <is>
          <t>06/04/2026</t>
        </is>
      </c>
      <c r="I17004" s="10" t="inlineStr">
        <is>
          <t>17/03/2026</t>
        </is>
      </c>
      <c r="J17004" s="10" t="inlineStr">
        <is>
          <t>CNTT - Phần cứng / Mạng, CNTT - Phần mềm, Ngân hàng</t>
        </is>
      </c>
      <c r="K17004" s="10" t="inlineStr">
        <is>
          <t>Trên 5 Năm</t>
        </is>
      </c>
      <c r="L17004" s="11">
        <f>HYPERLINK("https://careerviet.vn/vi/tim-viec-lam/chuyen-vien-cao-cap-quan-ly-doi-tac-cong-nghe-thong-tin.35C64BF1.html","Xem chi tiết")</f>
        <v/>
      </c>
      <c r="M17004" s="10" t="n"/>
    </row>
    <row r="17005">
      <c r="B17005" s="7" t="n">
        <v>17003</v>
      </c>
      <c r="C17005" t="inlineStr">
        <is>
          <t>CHỈ HUY TRƯỞNG - Nghi Sơn</t>
        </is>
      </c>
      <c r="D17005" t="inlineStr">
        <is>
          <t>Công ty cổ phần Xây dựng Công trình IPC</t>
        </is>
      </c>
      <c r="E17005" t="inlineStr">
        <is>
          <t>Lương:Cạnh tranh</t>
        </is>
      </c>
      <c r="F17005" t="inlineStr">
        <is>
          <t>Thanh Hóa</t>
        </is>
      </c>
      <c r="G17005" t="inlineStr">
        <is>
          <t>09-03-2026</t>
        </is>
      </c>
      <c r="H17005" t="inlineStr">
        <is>
          <t>15/03/2026</t>
        </is>
      </c>
      <c r="I17005" t="inlineStr">
        <is>
          <t>17/03/2026</t>
        </is>
      </c>
      <c r="J17005" t="inlineStr">
        <is>
          <t>Cơ khí / Ô tô / Tự động hóa, Xây dựng</t>
        </is>
      </c>
      <c r="K17005" t="inlineStr">
        <is>
          <t>Trên 5 Năm</t>
        </is>
      </c>
      <c r="L17005" s="8">
        <f>HYPERLINK("https://careerviet.vn/vi/tim-viec-lam/chi-huy-truong-nghi-son.35C68FE7.html","Xem chi tiết")</f>
        <v/>
      </c>
    </row>
    <row r="17006">
      <c r="B17006" s="9" t="n">
        <v>17004</v>
      </c>
      <c r="C17006" s="10" t="inlineStr">
        <is>
          <t>KỸ SƯ MEP CƠ ĐIỆN - LÀM VIỆC TẠI DỰ ÁN</t>
        </is>
      </c>
      <c r="D17006" s="10" t="inlineStr">
        <is>
          <t>Công ty cổ phần xây dựng công nghiệp Megacon</t>
        </is>
      </c>
      <c r="E17006" s="10" t="inlineStr">
        <is>
          <t>Lương:15 Tr - 20 Tr VND</t>
        </is>
      </c>
      <c r="F17006" s="10" t="inlineStr">
        <is>
          <t>Hưng Yên</t>
        </is>
      </c>
      <c r="G17006" s="10" t="inlineStr">
        <is>
          <t>30-04-2026</t>
        </is>
      </c>
      <c r="H17006" s="10" t="inlineStr">
        <is>
          <t>30/04/2026</t>
        </is>
      </c>
      <c r="I17006" s="10" t="inlineStr">
        <is>
          <t>17/03/2026</t>
        </is>
      </c>
      <c r="J17006" s="10" t="inlineStr">
        <is>
          <t>Kiến trúc, Xây dựng</t>
        </is>
      </c>
      <c r="K17006" s="10" t="inlineStr">
        <is>
          <t>Trên 2 Năm</t>
        </is>
      </c>
      <c r="L17006" s="11">
        <f>HYPERLINK("https://careerviet.vn/vi/tim-viec-lam/ky-su-mep-co-dien-lam-viec-tai-du-an.35C6900F.html","Xem chi tiết")</f>
        <v/>
      </c>
      <c r="M17006" s="10" t="n"/>
    </row>
    <row r="17007">
      <c r="B17007" s="7" t="n">
        <v>17005</v>
      </c>
      <c r="C17007" t="inlineStr">
        <is>
          <t>Nhân viên ISO - Bình Phước</t>
        </is>
      </c>
      <c r="D17007" t="inlineStr">
        <is>
          <t>CÔNG TY TNHH TM DV XỬ LÝ MÔI TRƯỜNG VIỆT KHẢI</t>
        </is>
      </c>
      <c r="E17007" t="inlineStr">
        <is>
          <t>Lương:10 Tr - 12 Tr VND</t>
        </is>
      </c>
      <c r="F17007" t="inlineStr">
        <is>
          <t>Bình Phước</t>
        </is>
      </c>
      <c r="G17007" t="inlineStr">
        <is>
          <t>31-03-2026</t>
        </is>
      </c>
      <c r="H17007" t="inlineStr">
        <is>
          <t>31/03/2026</t>
        </is>
      </c>
      <c r="I17007" t="inlineStr">
        <is>
          <t>17/03/2026</t>
        </is>
      </c>
      <c r="J17007" t="inlineStr">
        <is>
          <t>Tư vấn, Môi trường, Quản lý chất lượng (QA/QC)</t>
        </is>
      </c>
      <c r="K17007" t="inlineStr">
        <is>
          <t>Trên 2 Năm</t>
        </is>
      </c>
      <c r="L17007" s="8">
        <f>HYPERLINK("https://careerviet.vn/vi/tim-viec-lam/nhan-vien-iso-binh-phuoc.35C68F93.html","Xem chi tiết")</f>
        <v/>
      </c>
    </row>
    <row r="17008">
      <c r="B17008" s="9" t="n">
        <v>17006</v>
      </c>
      <c r="C17008" s="10" t="inlineStr">
        <is>
          <t>Quản trị dự án CNTT</t>
        </is>
      </c>
      <c r="D17008" s="10" t="inlineStr">
        <is>
          <t>Ngân Hàng TMCP Sài Gòn - Hà Nội ( SHB )</t>
        </is>
      </c>
      <c r="E17008" s="10" t="inlineStr">
        <is>
          <t>Lương:Cạnh tranh</t>
        </is>
      </c>
      <c r="F17008" s="10" t="inlineStr">
        <is>
          <t>Hà Nội</t>
        </is>
      </c>
      <c r="G17008" s="10" t="inlineStr">
        <is>
          <t>26-03-2026</t>
        </is>
      </c>
      <c r="H17008" s="10" t="inlineStr">
        <is>
          <t>26/03/2026</t>
        </is>
      </c>
      <c r="I17008" s="10" t="inlineStr">
        <is>
          <t>17/03/2026</t>
        </is>
      </c>
      <c r="J17008" s="10" t="inlineStr">
        <is>
          <t>CNTT - Phần mềm, Ngân hàng, CNTT - Phần cứng / Mạng</t>
        </is>
      </c>
      <c r="K17008" s="10" t="inlineStr">
        <is>
          <t>Trên 5 Năm</t>
        </is>
      </c>
      <c r="L17008" s="11">
        <f>HYPERLINK("https://careerviet.vn/vi/tim-viec-lam/quan-tri-du-an-cntt.35C69201.html","Xem chi tiết")</f>
        <v/>
      </c>
      <c r="M17008" s="10" t="n"/>
    </row>
    <row r="17009">
      <c r="B17009" s="7" t="n">
        <v>17007</v>
      </c>
      <c r="C17009" t="inlineStr">
        <is>
          <t>Nhân viên vận hành Máy CNC (không cần kinh nghiệm)</t>
        </is>
      </c>
      <c r="D17009" t="inlineStr">
        <is>
          <t>Công ty TNHH Greystone Data Systems Việt Nam</t>
        </is>
      </c>
      <c r="E17009" t="inlineStr">
        <is>
          <t>Lương:8,2 Tr - 12 Tr VND</t>
        </is>
      </c>
      <c r="F17009" t="inlineStr">
        <is>
          <t>Hồ Chí Minh</t>
        </is>
      </c>
      <c r="G17009" t="inlineStr">
        <is>
          <t>26-03-2026</t>
        </is>
      </c>
      <c r="H17009" t="inlineStr">
        <is>
          <t>26/03/2026</t>
        </is>
      </c>
      <c r="I17009" t="inlineStr">
        <is>
          <t>17/03/2026</t>
        </is>
      </c>
      <c r="J17009" t="inlineStr">
        <is>
          <t>Cơ khí / Ô tô / Tự động hóa, Sản xuất / Vận hành sản xuất, Bảo trì / Sửa chữa</t>
        </is>
      </c>
      <c r="K17009" t="inlineStr">
        <is>
          <t>N/A</t>
        </is>
      </c>
      <c r="L17009" s="8">
        <f>HYPERLINK("https://careerviet.vn/vi/tim-viec-lam/nhan-vien-van-hanh-may-cnc-khong-can-kinh-nghiem.35C691FA.html","Xem chi tiết")</f>
        <v/>
      </c>
    </row>
    <row r="17010">
      <c r="B17010" s="9" t="n">
        <v>17008</v>
      </c>
      <c r="C17010" s="10" t="inlineStr">
        <is>
          <t>Chuyên viên đào tạo nhà hàng</t>
        </is>
      </c>
      <c r="D17010" s="10" t="inlineStr">
        <is>
          <t>Công Ty Cổ Phần A25 Hotel</t>
        </is>
      </c>
      <c r="E17010" s="10" t="inlineStr">
        <is>
          <t>Lương:15 Tr - 25 Tr VND</t>
        </is>
      </c>
      <c r="F17010" s="10" t="inlineStr">
        <is>
          <t>Hà Nội</t>
        </is>
      </c>
      <c r="G17010" s="10" t="inlineStr">
        <is>
          <t>31-03-2026</t>
        </is>
      </c>
      <c r="H17010" s="10" t="inlineStr">
        <is>
          <t>31/03/2026</t>
        </is>
      </c>
      <c r="I17010" s="10" t="inlineStr">
        <is>
          <t>17/03/2026</t>
        </is>
      </c>
      <c r="J17010" s="10" t="inlineStr">
        <is>
          <t>Dịch vụ khách hàng, Nhà hàng / Khách sạn, Giáo dục / Đào tạo</t>
        </is>
      </c>
      <c r="K17010" s="10" t="inlineStr">
        <is>
          <t>2 - 3 Năm</t>
        </is>
      </c>
      <c r="L17010" s="11">
        <f>HYPERLINK("https://careerviet.vn/vi/tim-viec-lam/chuyen-vien-dao-tao-nha-hang.35C69350.html","Xem chi tiết")</f>
        <v/>
      </c>
      <c r="M17010" s="10" t="n"/>
    </row>
    <row r="17011">
      <c r="B17011" s="7" t="n">
        <v>17009</v>
      </c>
      <c r="C17011" t="inlineStr">
        <is>
          <t>Trưởng phòng pháp chế và tuân thủ</t>
        </is>
      </c>
      <c r="D17011" t="inlineStr">
        <is>
          <t>CÔNG TY CỔ PHẦN ẨM THỰC SAO PHƯƠNG NAM GROUP</t>
        </is>
      </c>
      <c r="E17011" t="inlineStr">
        <is>
          <t>Lương:Cạnh tranh</t>
        </is>
      </c>
      <c r="F17011" t="inlineStr">
        <is>
          <t>Hồ Chí Minh</t>
        </is>
      </c>
      <c r="G17011" t="inlineStr">
        <is>
          <t>09-03-2026</t>
        </is>
      </c>
      <c r="H17011" t="inlineStr">
        <is>
          <t>28/02/2026</t>
        </is>
      </c>
      <c r="I17011" t="inlineStr">
        <is>
          <t>17/03/2026</t>
        </is>
      </c>
      <c r="J17011" t="inlineStr">
        <is>
          <t>Luật / Pháp lý, Nhà hàng / Khách sạn</t>
        </is>
      </c>
      <c r="K17011" t="inlineStr">
        <is>
          <t>5 - 7 Năm</t>
        </is>
      </c>
      <c r="L17011" s="8">
        <f>HYPERLINK("https://careerviet.vn/vi/tim-viec-lam/truong-phong-phap-che-va-tuan-thu.35C68FB6.html","Xem chi tiết")</f>
        <v/>
      </c>
    </row>
    <row r="17012">
      <c r="B17012" s="9" t="n">
        <v>17010</v>
      </c>
      <c r="C17012" s="10" t="inlineStr">
        <is>
          <t>[Long An] Kỹ Sư Hoá</t>
        </is>
      </c>
      <c r="D17012" s="10" t="inlineStr">
        <is>
          <t>Tập Đoàn Tân Á Đại Thành</t>
        </is>
      </c>
      <c r="E17012" s="10" t="inlineStr">
        <is>
          <t>Lương:12 Tr - 14 Tr VND</t>
        </is>
      </c>
      <c r="F17012" s="10" t="inlineStr">
        <is>
          <t>Long An</t>
        </is>
      </c>
      <c r="G17012" s="10" t="inlineStr">
        <is>
          <t>31-03-2026</t>
        </is>
      </c>
      <c r="H17012" s="10" t="inlineStr">
        <is>
          <t>31/03/2026</t>
        </is>
      </c>
      <c r="I17012" s="10" t="inlineStr">
        <is>
          <t>17/03/2026</t>
        </is>
      </c>
      <c r="J17012" s="10" t="inlineStr">
        <is>
          <t>Cơ khí / Ô tô / Tự động hóa, Điện / Điện tử / Điện lạnh / Điện công nghiệp</t>
        </is>
      </c>
      <c r="K17012" s="10" t="inlineStr">
        <is>
          <t>2 - 3 Năm</t>
        </is>
      </c>
      <c r="L17012" s="11">
        <f>HYPERLINK("https://careerviet.vn/vi/tim-viec-lam/long-an-ky-su-hoa.35C68FAA.html","Xem chi tiết")</f>
        <v/>
      </c>
      <c r="M17012" s="10" t="n"/>
    </row>
    <row r="17013">
      <c r="B17013" s="7" t="n">
        <v>17011</v>
      </c>
      <c r="C17013" t="inlineStr">
        <is>
          <t>Project Assistant</t>
        </is>
      </c>
      <c r="D17013" t="inlineStr">
        <is>
          <t>CÔNG TY TRÁCH NHIỆM HỮU HẠN THÉP QSB</t>
        </is>
      </c>
      <c r="E17013" t="inlineStr">
        <is>
          <t>Lương:Cạnh tranh</t>
        </is>
      </c>
      <c r="F17013" t="inlineStr">
        <is>
          <t>Hồ Chí Minh</t>
        </is>
      </c>
      <c r="G17013" t="inlineStr">
        <is>
          <t>31-03-2026</t>
        </is>
      </c>
      <c r="H17013" t="inlineStr">
        <is>
          <t>31/03/2026</t>
        </is>
      </c>
      <c r="I17013" t="inlineStr">
        <is>
          <t>17/03/2026</t>
        </is>
      </c>
      <c r="J17013" t="inlineStr">
        <is>
          <t>Xây dựng, Cơ khí / Ô tô / Tự động hóa</t>
        </is>
      </c>
      <c r="K17013" t="inlineStr">
        <is>
          <t>1 - 5 Năm</t>
        </is>
      </c>
      <c r="L17013" s="8">
        <f>HYPERLINK("https://careerviet.vn/vi/tim-viec-lam/project-assistant.35C690C9.html","Xem chi tiết")</f>
        <v/>
      </c>
    </row>
    <row r="17014">
      <c r="B17014" s="9" t="n">
        <v>17012</v>
      </c>
      <c r="C17014" s="10" t="inlineStr">
        <is>
          <t>Nhân viên Bảo trì cơ khí</t>
        </is>
      </c>
      <c r="D17014" s="10" t="inlineStr">
        <is>
          <t>Công ty CP Thành Thành Công - Biên Hòa</t>
        </is>
      </c>
      <c r="E17014" s="10" t="inlineStr">
        <is>
          <t>Lương:Cạnh tranh</t>
        </is>
      </c>
      <c r="F17014" s="10" t="inlineStr">
        <is>
          <t>Tây Ninh</t>
        </is>
      </c>
      <c r="G17014" s="10" t="inlineStr">
        <is>
          <t>26-03-2026</t>
        </is>
      </c>
      <c r="H17014" s="10" t="inlineStr">
        <is>
          <t>26/03/2026</t>
        </is>
      </c>
      <c r="I17014" s="10" t="inlineStr">
        <is>
          <t>17/03/2026</t>
        </is>
      </c>
      <c r="J17014" s="10" t="inlineStr">
        <is>
          <t>Cơ khí / Ô tô / Tự động hóa, Bảo trì / Sửa chữa</t>
        </is>
      </c>
      <c r="K17014" s="10" t="inlineStr">
        <is>
          <t>1 - 5 Năm</t>
        </is>
      </c>
      <c r="L17014" s="11">
        <f>HYPERLINK("https://careerviet.vn/vi/tim-viec-lam/nhan-vien-bao-tri-co-khi.35C691BE.html","Xem chi tiết")</f>
        <v/>
      </c>
      <c r="M17014" s="10" t="n"/>
    </row>
    <row r="17015">
      <c r="B17015" s="7" t="n">
        <v>17013</v>
      </c>
      <c r="C17015" t="inlineStr">
        <is>
          <t>Chuyên viên Kế toán Thanh toán - Tiếng Trung</t>
        </is>
      </c>
      <c r="D17015" t="inlineStr">
        <is>
          <t>CÔNG TY TNHH ELECTRONIC TRIPOD VIỆT NAM (CHÂU ĐỨC)</t>
        </is>
      </c>
      <c r="E17015" t="inlineStr">
        <is>
          <t>Lương:Cạnh tranh</t>
        </is>
      </c>
      <c r="F17015" t="inlineStr">
        <is>
          <t>Bà Rịa - Vũng Tàu</t>
        </is>
      </c>
      <c r="G17015" t="inlineStr">
        <is>
          <t>24-03-2026</t>
        </is>
      </c>
      <c r="H17015" t="inlineStr">
        <is>
          <t>24/03/2026</t>
        </is>
      </c>
      <c r="I17015" t="inlineStr">
        <is>
          <t>17/03/2026</t>
        </is>
      </c>
      <c r="J17015" t="inlineStr">
        <is>
          <t>Kế toán / Kiểm toán</t>
        </is>
      </c>
      <c r="K17015" t="inlineStr">
        <is>
          <t>1 - 2 Năm</t>
        </is>
      </c>
      <c r="L17015" s="8">
        <f>HYPERLINK("https://careerviet.vn/vi/tim-viec-lam/chuyen-vien-ke-toan-thanh-toan-tieng-trung.35C691A4.html","Xem chi tiết")</f>
        <v/>
      </c>
    </row>
    <row r="17016">
      <c r="B17016" s="9" t="n">
        <v>17014</v>
      </c>
      <c r="C17016" s="10" t="inlineStr">
        <is>
          <t>Bếp chính</t>
        </is>
      </c>
      <c r="D17016" s="10" t="inlineStr">
        <is>
          <t>Công Ty Cổ Phần A25 Hotel</t>
        </is>
      </c>
      <c r="E17016" s="10" t="inlineStr">
        <is>
          <t>Lương:15 Tr - 30 Tr VND</t>
        </is>
      </c>
      <c r="F17016" s="10" t="inlineStr">
        <is>
          <t>Hà NộiLào CaiHồ Chí Minh</t>
        </is>
      </c>
      <c r="G17016" s="10" t="inlineStr">
        <is>
          <t>31-03-2026</t>
        </is>
      </c>
      <c r="H17016" s="10" t="inlineStr">
        <is>
          <t>31/03/2026</t>
        </is>
      </c>
      <c r="I17016" s="10" t="inlineStr">
        <is>
          <t>17/03/2026</t>
        </is>
      </c>
      <c r="J17016" s="10" t="inlineStr">
        <is>
          <t>Nhà hàng / Khách sạn, Thực phẩm &amp; Đồ uống</t>
        </is>
      </c>
      <c r="K17016" s="10" t="inlineStr">
        <is>
          <t>2 - 3 Năm</t>
        </is>
      </c>
      <c r="L17016" s="11">
        <f>HYPERLINK("https://careerviet.vn/vi/tim-viec-lam/bep-chinh.35C69397.html","Xem chi tiết")</f>
        <v/>
      </c>
      <c r="M17016" s="10" t="n"/>
    </row>
    <row r="17017">
      <c r="B17017" s="7" t="n">
        <v>17015</v>
      </c>
      <c r="C17017" t="inlineStr">
        <is>
          <t>Senior Internal Audit (Hanoi)</t>
        </is>
      </c>
      <c r="D17017" t="inlineStr">
        <is>
          <t>Công ty TNHH GS25 Vietnam</t>
        </is>
      </c>
      <c r="E17017" t="inlineStr">
        <is>
          <t>Lương:Cạnh tranh</t>
        </is>
      </c>
      <c r="F17017" t="inlineStr">
        <is>
          <t>Hà Nội</t>
        </is>
      </c>
      <c r="G17017" t="inlineStr">
        <is>
          <t>31-03-2026</t>
        </is>
      </c>
      <c r="H17017" t="inlineStr">
        <is>
          <t>31/03/2026</t>
        </is>
      </c>
      <c r="I17017" t="inlineStr">
        <is>
          <t>17/03/2026</t>
        </is>
      </c>
      <c r="J17017" t="inlineStr">
        <is>
          <t>Kế toán / Kiểm toán</t>
        </is>
      </c>
      <c r="K17017" t="inlineStr">
        <is>
          <t>3 - 5 Năm</t>
        </is>
      </c>
      <c r="L17017" s="8">
        <f>HYPERLINK("https://careerviet.vn/vi/tim-viec-lam/senior-internal-audit-hanoi.35C6938B.html","Xem chi tiết")</f>
        <v/>
      </c>
    </row>
    <row r="17018">
      <c r="B17018" s="9" t="n">
        <v>17016</v>
      </c>
      <c r="C17018" s="10" t="inlineStr">
        <is>
          <t>B2B Sales Lead (Horeca)</t>
        </is>
      </c>
      <c r="D17018" s="10" t="inlineStr">
        <is>
          <t>Công Ty TNHH CJ Foods Việt Nam</t>
        </is>
      </c>
      <c r="E17018" s="10" t="inlineStr">
        <is>
          <t>Lương:Cạnh tranh</t>
        </is>
      </c>
      <c r="F17018" s="10" t="inlineStr">
        <is>
          <t>Hồ Chí Minh</t>
        </is>
      </c>
      <c r="G17018" s="10" t="inlineStr">
        <is>
          <t>31-03-2026</t>
        </is>
      </c>
      <c r="H17018" s="10" t="inlineStr">
        <is>
          <t>31/03/2026</t>
        </is>
      </c>
      <c r="I17018" s="10" t="inlineStr">
        <is>
          <t>17/03/2026</t>
        </is>
      </c>
      <c r="J17018" s="10" t="inlineStr">
        <is>
          <t>Bán lẻ / Bán sỉ, Bán hàng / Kinh doanh, Thực phẩm &amp; Đồ uống</t>
        </is>
      </c>
      <c r="K17018" s="10" t="inlineStr">
        <is>
          <t>N/A</t>
        </is>
      </c>
      <c r="L17018" s="11">
        <f>HYPERLINK("https://careerviet.vn/vi/tim-viec-lam/b2b-sales-lead-horeca.35C6936D.html","Xem chi tiết")</f>
        <v/>
      </c>
      <c r="M17018" s="10" t="n"/>
    </row>
    <row r="17019">
      <c r="B17019" s="7" t="n">
        <v>17017</v>
      </c>
      <c r="C17019" t="inlineStr">
        <is>
          <t>Nhân Viên Ngành Hàng Siêu Thị</t>
        </is>
      </c>
      <c r="D17019" t="inlineStr">
        <is>
          <t>CÔNG TY TNHH NGUYÊN LIỆU Y PHỤC</t>
        </is>
      </c>
      <c r="E17019" t="inlineStr">
        <is>
          <t>Lương:10 Tr - 12 Tr VND</t>
        </is>
      </c>
      <c r="F17019" t="inlineStr">
        <is>
          <t>Hồ Chí Minh</t>
        </is>
      </c>
      <c r="G17019" t="inlineStr">
        <is>
          <t>24-03-2026</t>
        </is>
      </c>
      <c r="H17019" t="inlineStr">
        <is>
          <t>24/03/2026</t>
        </is>
      </c>
      <c r="I17019" t="inlineStr">
        <is>
          <t>17/03/2026</t>
        </is>
      </c>
      <c r="J17019" t="inlineStr">
        <is>
          <t>Bán hàng / Kinh doanh, Vận chuyển / Giao nhận / Kho vận, Thu mua / Vật tư</t>
        </is>
      </c>
      <c r="K17019" t="inlineStr">
        <is>
          <t>N/A</t>
        </is>
      </c>
      <c r="L17019" s="8">
        <f>HYPERLINK("https://careerviet.vn/vi/tim-viec-lam/nhan-vien-nganh-hang-sieu-thi.35C6931B.html","Xem chi tiết")</f>
        <v/>
      </c>
    </row>
    <row r="17020">
      <c r="B17020" s="9" t="n">
        <v>17018</v>
      </c>
      <c r="C17020" s="10" t="inlineStr">
        <is>
          <t>Chuyên viên Marketing (Định Hướng Lead)</t>
        </is>
      </c>
      <c r="D17020" s="10" t="inlineStr">
        <is>
          <t>Công ty TNHH Khải Minh Group</t>
        </is>
      </c>
      <c r="E17020" s="10" t="inlineStr">
        <is>
          <t>Lương:15 Tr - 20 Tr VND</t>
        </is>
      </c>
      <c r="F17020" s="10" t="inlineStr">
        <is>
          <t>Hà Nội</t>
        </is>
      </c>
      <c r="G17020" s="10" t="inlineStr">
        <is>
          <t>24-03-2026</t>
        </is>
      </c>
      <c r="H17020" s="10" t="inlineStr">
        <is>
          <t>24/03/2026</t>
        </is>
      </c>
      <c r="I17020" s="10" t="inlineStr">
        <is>
          <t>17/03/2026</t>
        </is>
      </c>
      <c r="J17020" s="10" t="inlineStr">
        <is>
          <t>Tiếp thị / Marketing, Bán hàng / Kinh doanh</t>
        </is>
      </c>
      <c r="K17020" s="10" t="inlineStr">
        <is>
          <t>2 - 5 Năm</t>
        </is>
      </c>
      <c r="L17020" s="11">
        <f>HYPERLINK("https://careerviet.vn/vi/tim-viec-lam/chuyen-vien-marketing-dinh-huong-lead.35C691D7.html","Xem chi tiết")</f>
        <v/>
      </c>
      <c r="M17020" s="10" t="n"/>
    </row>
    <row r="17021">
      <c r="B17021" s="7" t="n">
        <v>17019</v>
      </c>
      <c r="C17021" t="inlineStr">
        <is>
          <t>ĐIỀU DƯỠNG VIÊN (BỆNH VIỆN CK MẮT - TP HCM)</t>
        </is>
      </c>
      <c r="D17021" t="inlineStr">
        <is>
          <t>CÔNG TY TNHH ĐẦU TƯ Y TẾ QUỐC TẾ DND – SÀI GÒN</t>
        </is>
      </c>
      <c r="E17021" t="inlineStr">
        <is>
          <t>Lương:Cạnh tranh</t>
        </is>
      </c>
      <c r="F17021" t="inlineStr">
        <is>
          <t>Hồ Chí Minh</t>
        </is>
      </c>
      <c r="G17021" t="inlineStr">
        <is>
          <t>31-03-2026</t>
        </is>
      </c>
      <c r="H17021" t="inlineStr">
        <is>
          <t>31/03/2026</t>
        </is>
      </c>
      <c r="I17021" t="inlineStr">
        <is>
          <t>17/03/2026</t>
        </is>
      </c>
      <c r="J17021" t="inlineStr">
        <is>
          <t>Dược phẩm/ Hóa Mỹ Phẩm, Y tế / Chăm sóc sức khỏe / Thẩm mỹ / Làm đẹp</t>
        </is>
      </c>
      <c r="K17021" t="inlineStr">
        <is>
          <t>Trên 2 Năm</t>
        </is>
      </c>
      <c r="L17021" s="8">
        <f>HYPERLINK("https://careerviet.vn/vi/tim-viec-lam/dieu-duong-vien-benh-vien-ck-mat-tp-hcm.35C67406.html","Xem chi tiết")</f>
        <v/>
      </c>
    </row>
    <row r="17022">
      <c r="B17022" s="9" t="n">
        <v>17020</v>
      </c>
      <c r="C17022" s="10" t="inlineStr">
        <is>
          <t>HCM_Quản Lý Năng Lực Kinh Doanh (Ngành Dược)</t>
        </is>
      </c>
      <c r="D17022" s="10" t="inlineStr">
        <is>
          <t>BOSTON PHARMA - Công Ty CP Dược Phẩm Boston Việt Nam</t>
        </is>
      </c>
      <c r="E17022" s="10" t="inlineStr">
        <is>
          <t>Lương:Cạnh tranh</t>
        </is>
      </c>
      <c r="F17022" s="10" t="inlineStr">
        <is>
          <t>Hồ Chí Minh</t>
        </is>
      </c>
      <c r="G17022" s="10" t="inlineStr">
        <is>
          <t>24-03-2026</t>
        </is>
      </c>
      <c r="H17022" s="10" t="inlineStr">
        <is>
          <t>24/03/2026</t>
        </is>
      </c>
      <c r="I17022" s="10" t="inlineStr">
        <is>
          <t>17/03/2026</t>
        </is>
      </c>
      <c r="J17022" s="10" t="inlineStr">
        <is>
          <t>Bán hàng / Kinh doanh, Dược phẩm/ Hóa Mỹ Phẩm, Giáo dục / Đào tạo</t>
        </is>
      </c>
      <c r="K17022" s="10" t="inlineStr">
        <is>
          <t>2 - 3 Năm</t>
        </is>
      </c>
      <c r="L17022" s="11">
        <f>HYPERLINK("https://careerviet.vn/vi/tim-viec-lam/hcm_quan-ly-nang-luc-kinh-doanh-nganh-duoc.35C693B2.html","Xem chi tiết")</f>
        <v/>
      </c>
      <c r="M17022" s="10" t="n"/>
    </row>
    <row r="17023">
      <c r="B17023" s="7" t="n">
        <v>17021</v>
      </c>
      <c r="C17023" t="inlineStr">
        <is>
          <t>(Senior) Education Consultant</t>
        </is>
      </c>
      <c r="D17023" t="inlineStr">
        <is>
          <t>Wall Street English</t>
        </is>
      </c>
      <c r="E17023" t="inlineStr">
        <is>
          <t>Lương:9 Tr - 10 Tr VND</t>
        </is>
      </c>
      <c r="F17023" t="inlineStr">
        <is>
          <t>Hồ Chí Minh</t>
        </is>
      </c>
      <c r="G17023" t="inlineStr">
        <is>
          <t>3</t>
        </is>
      </c>
      <c r="H17023" t="inlineStr">
        <is>
          <t>20/03/2026</t>
        </is>
      </c>
      <c r="I17023" t="inlineStr">
        <is>
          <t>17/03/2026</t>
        </is>
      </c>
      <c r="J17023" t="inlineStr">
        <is>
          <t>Dịch vụ khách hàng, Tư vấn, Giáo dục / Đào tạo</t>
        </is>
      </c>
      <c r="K17023" t="inlineStr">
        <is>
          <t>1 - 3 Năm</t>
        </is>
      </c>
      <c r="L17023" s="8">
        <f>HYPERLINK("https://careerviet.vn/vi/tim-viec-lam/senior-education-consultant.35C692C0.html","Xem chi tiết")</f>
        <v/>
      </c>
    </row>
    <row r="17024">
      <c r="B17024" s="9" t="n">
        <v>17022</v>
      </c>
      <c r="C17024" s="10" t="inlineStr">
        <is>
          <t>Kế Toán Tổng Hợp</t>
        </is>
      </c>
      <c r="D17024" s="10" t="inlineStr">
        <is>
          <t>CÔNG TY TNHH SẢN XUẤT VÀ THƯƠNG MẠI THỰC PHẨM LÀNH MẠNH</t>
        </is>
      </c>
      <c r="E17024" s="10" t="inlineStr">
        <is>
          <t>Lương:13 Tr - 18 Tr VND</t>
        </is>
      </c>
      <c r="F17024" s="10" t="inlineStr">
        <is>
          <t>Hà Nội</t>
        </is>
      </c>
      <c r="G17024" s="10" t="inlineStr">
        <is>
          <t>24-03-2026</t>
        </is>
      </c>
      <c r="H17024" s="10" t="inlineStr">
        <is>
          <t>24/03/2026</t>
        </is>
      </c>
      <c r="I17024" s="10" t="inlineStr">
        <is>
          <t>17/03/2026</t>
        </is>
      </c>
      <c r="J17024" s="10" t="inlineStr">
        <is>
          <t>Kế toán / Kiểm toán, Bán hàng / Kinh doanh, Tài chính / Đầu tư</t>
        </is>
      </c>
      <c r="K17024" s="10" t="inlineStr">
        <is>
          <t>2 - 3 Năm</t>
        </is>
      </c>
      <c r="L17024" s="11">
        <f>HYPERLINK("https://careerviet.vn/vi/tim-viec-lam/ke-toan-tong-hop.35C69385.html","Xem chi tiết")</f>
        <v/>
      </c>
      <c r="M17024" s="10" t="n"/>
    </row>
    <row r="17025">
      <c r="B17025" s="7" t="n">
        <v>17023</v>
      </c>
      <c r="C17025" t="inlineStr">
        <is>
          <t>Nhân viên Dự toán</t>
        </is>
      </c>
      <c r="D17025" t="inlineStr">
        <is>
          <t>HEXAGON - CÔNG TY CỔ PHẦN THIẾT KẾ LỤC GIÁC</t>
        </is>
      </c>
      <c r="E17025" t="inlineStr">
        <is>
          <t>Lương:10 Tr - 15 Tr VND</t>
        </is>
      </c>
      <c r="F17025" t="inlineStr">
        <is>
          <t>Hà Nội</t>
        </is>
      </c>
      <c r="G17025" t="inlineStr">
        <is>
          <t>28-03-2026</t>
        </is>
      </c>
      <c r="H17025" t="inlineStr">
        <is>
          <t>28/03/2026</t>
        </is>
      </c>
      <c r="I17025" t="inlineStr">
        <is>
          <t>17/03/2026</t>
        </is>
      </c>
      <c r="J17025" t="inlineStr">
        <is>
          <t>Xây dựng, Nội ngoại thất</t>
        </is>
      </c>
      <c r="K17025" t="inlineStr">
        <is>
          <t>2 - 3 Năm</t>
        </is>
      </c>
      <c r="L17025" s="8">
        <f>HYPERLINK("https://careerviet.vn/vi/tim-viec-lam/nhan-vien-du-toan.35C6940A.html","Xem chi tiết")</f>
        <v/>
      </c>
    </row>
    <row r="17026">
      <c r="B17026" s="9" t="n">
        <v>17024</v>
      </c>
      <c r="C17026" s="10" t="inlineStr">
        <is>
          <t>Trưởng phòng mua hàng</t>
        </is>
      </c>
      <c r="D17026" s="10" t="inlineStr">
        <is>
          <t>CÔNG TY TNHH ĐẦU TƯ ITS</t>
        </is>
      </c>
      <c r="E17026" s="10" t="inlineStr">
        <is>
          <t>Lương:25 Tr - 35 Tr VND</t>
        </is>
      </c>
      <c r="F17026" s="10" t="inlineStr">
        <is>
          <t>Hồ Chí Minh</t>
        </is>
      </c>
      <c r="G17026" s="10" t="inlineStr">
        <is>
          <t>31-03-2026</t>
        </is>
      </c>
      <c r="H17026" s="10" t="inlineStr">
        <is>
          <t>31/03/2026</t>
        </is>
      </c>
      <c r="I17026" s="10" t="inlineStr">
        <is>
          <t>17/03/2026</t>
        </is>
      </c>
      <c r="J17026" s="10" t="inlineStr">
        <is>
          <t>Thu mua / Vật tư, Sản xuất / Vận hành sản xuất, Cơ khí / Ô tô / Tự động hóa</t>
        </is>
      </c>
      <c r="K17026" s="10" t="inlineStr">
        <is>
          <t>5 - 9 Năm</t>
        </is>
      </c>
      <c r="L17026" s="11">
        <f>HYPERLINK("https://careerviet.vn/vi/tim-viec-lam/truong-phong-mua-hang.35C66CF8.html","Xem chi tiết")</f>
        <v/>
      </c>
      <c r="M17026" s="10" t="n"/>
    </row>
    <row r="17027">
      <c r="B17027" s="7" t="n">
        <v>17025</v>
      </c>
      <c r="C17027" t="inlineStr">
        <is>
          <t>CHUYÊN VIÊN KINH DOANH_ĐỒNG NAI</t>
        </is>
      </c>
      <c r="D17027" t="inlineStr">
        <is>
          <t>CÔNG TY TNHH CESCO VIỆT NAM</t>
        </is>
      </c>
      <c r="E17027" t="inlineStr">
        <is>
          <t>Lương:7,8 Tr - 12 Tr VND</t>
        </is>
      </c>
      <c r="F17027" t="inlineStr">
        <is>
          <t>Đồng Nai</t>
        </is>
      </c>
      <c r="G17027" t="inlineStr">
        <is>
          <t>31-03-2026</t>
        </is>
      </c>
      <c r="H17027" t="inlineStr">
        <is>
          <t>31/03/2026</t>
        </is>
      </c>
      <c r="I17027" t="inlineStr">
        <is>
          <t>17/03/2026</t>
        </is>
      </c>
      <c r="J17027" t="inlineStr">
        <is>
          <t>Bán hàng / Kinh doanh, Bán Hàng Kỹ Thuật, Tư vấn</t>
        </is>
      </c>
      <c r="K17027" t="inlineStr">
        <is>
          <t>1 - 3 Năm</t>
        </is>
      </c>
      <c r="L17027" s="8">
        <f>HYPERLINK("https://careerviet.vn/vi/tim-viec-lam/chuyen-vien-kinh-doanh_dong-nai.35C690A9.html","Xem chi tiết")</f>
        <v/>
      </c>
    </row>
    <row r="17028">
      <c r="B17028" s="9" t="n">
        <v>17026</v>
      </c>
      <c r="C17028" s="10" t="inlineStr">
        <is>
          <t>Nhân viên pha chế</t>
        </is>
      </c>
      <c r="D17028" s="10" t="inlineStr">
        <is>
          <t>Công Ty Cổ Phần A25 Hotel</t>
        </is>
      </c>
      <c r="E17028" s="10" t="inlineStr">
        <is>
          <t>Lương:12 Tr - 22 Tr VND</t>
        </is>
      </c>
      <c r="F17028" s="10" t="inlineStr">
        <is>
          <t>Hà Nội</t>
        </is>
      </c>
      <c r="G17028" s="10" t="inlineStr">
        <is>
          <t>31-03-2026</t>
        </is>
      </c>
      <c r="H17028" s="10" t="inlineStr">
        <is>
          <t>31/03/2026</t>
        </is>
      </c>
      <c r="I17028" s="10" t="inlineStr">
        <is>
          <t>17/03/2026</t>
        </is>
      </c>
      <c r="J17028" s="10" t="inlineStr">
        <is>
          <t>Dịch vụ khách hàng, Thực phẩm &amp; Đồ uống, Nhà hàng / Khách sạn</t>
        </is>
      </c>
      <c r="K17028" s="10" t="inlineStr">
        <is>
          <t>2 - 3 Năm</t>
        </is>
      </c>
      <c r="L17028" s="11">
        <f>HYPERLINK("https://careerviet.vn/vi/tim-viec-lam/nhan-vien-pha-che.35C69391.html","Xem chi tiết")</f>
        <v/>
      </c>
      <c r="M17028" s="10" t="n"/>
    </row>
    <row r="17029">
      <c r="B17029" s="7" t="n">
        <v>17027</v>
      </c>
      <c r="C17029" t="inlineStr">
        <is>
          <t>Giám Sát Ca - Khu vực Vũng Tàu</t>
        </is>
      </c>
      <c r="D17029" t="inlineStr">
        <is>
          <t>Cà Phê Muối Chú Long</t>
        </is>
      </c>
      <c r="E17029" t="inlineStr">
        <is>
          <t>Lương:7 Tr - 9 Tr VND</t>
        </is>
      </c>
      <c r="F17029" t="inlineStr">
        <is>
          <t>Bà Rịa - Vũng Tàu</t>
        </is>
      </c>
      <c r="G17029" t="inlineStr">
        <is>
          <t>24-03-2026</t>
        </is>
      </c>
      <c r="H17029" t="inlineStr">
        <is>
          <t>24/03/2026</t>
        </is>
      </c>
      <c r="I17029" t="inlineStr">
        <is>
          <t>17/03/2026</t>
        </is>
      </c>
      <c r="J17029" t="inlineStr">
        <is>
          <t>Thực phẩm &amp; Đồ uống, Nhà hàng / Khách sạn</t>
        </is>
      </c>
      <c r="K17029" t="inlineStr">
        <is>
          <t>1 - 2 Năm</t>
        </is>
      </c>
      <c r="L17029" s="8">
        <f>HYPERLINK("https://careerviet.vn/vi/tim-viec-lam/giam-sat-ca-khu-vuc-vung-tau.35C68FD9.html","Xem chi tiết")</f>
        <v/>
      </c>
    </row>
    <row r="17030">
      <c r="B17030" s="9" t="n">
        <v>17028</v>
      </c>
      <c r="C17030" s="10" t="inlineStr">
        <is>
          <t>Assistant NPI Engineer - Dau Giay (Having shuttle bus)</t>
        </is>
      </c>
      <c r="D17030" s="10" t="inlineStr">
        <is>
          <t>Techtronic Industries Vietnam Manufacturing Company Limited</t>
        </is>
      </c>
      <c r="E17030" s="10" t="inlineStr">
        <is>
          <t>Lương:Cạnh tranh</t>
        </is>
      </c>
      <c r="F17030" s="10" t="inlineStr">
        <is>
          <t>Đồng Nai</t>
        </is>
      </c>
      <c r="G17030" s="10" t="inlineStr">
        <is>
          <t>26-03-2026</t>
        </is>
      </c>
      <c r="H17030" s="10" t="inlineStr">
        <is>
          <t>26/03/2026</t>
        </is>
      </c>
      <c r="I17030" s="10" t="inlineStr">
        <is>
          <t>17/03/2026</t>
        </is>
      </c>
      <c r="J17030" s="10" t="inlineStr">
        <is>
          <t>Cơ khí / Ô tô / Tự động hóa, Sản xuất / Vận hành sản xuất, Điện / Điện tử / Điện lạnh / Điện công nghiệp</t>
        </is>
      </c>
      <c r="K17030" s="10" t="inlineStr">
        <is>
          <t>N/A</t>
        </is>
      </c>
      <c r="L17030" s="11">
        <f>HYPERLINK("https://careerviet.vn/vi/tim-viec-lam/assistant-npi-engineer-dau-giay-having-shuttle-bus.35C69433.html","Xem chi tiết")</f>
        <v/>
      </c>
      <c r="M17030" s="10" t="n"/>
    </row>
    <row r="17031">
      <c r="B17031" s="7" t="n">
        <v>17029</v>
      </c>
      <c r="C17031" t="inlineStr">
        <is>
          <t>[Hà Nội] Chuyên viên Sale Admin</t>
        </is>
      </c>
      <c r="D17031" t="inlineStr">
        <is>
          <t>CÔNG TY CỔ PHẦN CASPER VIỆT NAM</t>
        </is>
      </c>
      <c r="E17031" t="inlineStr">
        <is>
          <t>Lương:10 Tr - 14 Tr VND</t>
        </is>
      </c>
      <c r="F17031" t="inlineStr">
        <is>
          <t>Hà Nội</t>
        </is>
      </c>
      <c r="G17031" t="inlineStr">
        <is>
          <t>30-03-2026</t>
        </is>
      </c>
      <c r="H17031" t="inlineStr">
        <is>
          <t>30/03/2026</t>
        </is>
      </c>
      <c r="I17031" t="inlineStr">
        <is>
          <t>17/03/2026</t>
        </is>
      </c>
      <c r="J17031" t="inlineStr">
        <is>
          <t>Bán hàng / Kinh doanh, Hành chính / Thư ký, Điện / Điện tử / Điện lạnh / Điện công nghiệp</t>
        </is>
      </c>
      <c r="K17031" t="inlineStr">
        <is>
          <t>2 - 3 Năm</t>
        </is>
      </c>
      <c r="L17031" s="8">
        <f>HYPERLINK("https://careerviet.vn/vi/tim-viec-lam/ha-noi-chuyen-vien-sale-admin.35C69253.html","Xem chi tiết")</f>
        <v/>
      </c>
    </row>
    <row r="17032">
      <c r="B17032" s="9" t="n">
        <v>17030</v>
      </c>
      <c r="C17032" s="10" t="inlineStr">
        <is>
          <t>[HN] NHÂN VIÊN ĐẦU TƯ HÀNG HÓA PHÁI SINH</t>
        </is>
      </c>
      <c r="D17032" s="10" t="inlineStr">
        <is>
          <t>CÔNG TY CỔ PHẦN GIAO DỊCH HÀNG HÓA ĐÔNG NAM Á</t>
        </is>
      </c>
      <c r="E17032" s="10" t="inlineStr">
        <is>
          <t>Lương:8 Tr - 15 Tr VND</t>
        </is>
      </c>
      <c r="F17032" s="10" t="inlineStr">
        <is>
          <t>Hà Nội</t>
        </is>
      </c>
      <c r="G17032" s="10" t="inlineStr">
        <is>
          <t>31-03-2026</t>
        </is>
      </c>
      <c r="H17032" s="10" t="inlineStr">
        <is>
          <t>31/03/2026</t>
        </is>
      </c>
      <c r="I17032" s="10" t="inlineStr">
        <is>
          <t>17/03/2026</t>
        </is>
      </c>
      <c r="J17032" s="10" t="inlineStr">
        <is>
          <t>Tài chính / Đầu tư</t>
        </is>
      </c>
      <c r="K17032" s="10" t="inlineStr">
        <is>
          <t>Lên đến 1 Năm</t>
        </is>
      </c>
      <c r="L17032" s="11">
        <f>HYPERLINK("https://careerviet.vn/vi/tim-viec-lam/hn-nhan-vien-dau-tu-hang-hoa-phai-sinh.35C6925E.html","Xem chi tiết")</f>
        <v/>
      </c>
      <c r="M17032" s="10" t="n"/>
    </row>
    <row r="17033">
      <c r="B17033" s="7" t="n">
        <v>17031</v>
      </c>
      <c r="C17033" t="inlineStr">
        <is>
          <t>Medical Representative - Trình dược viên ETC (Khánh Hòa, Ninh Thuận)</t>
        </is>
      </c>
      <c r="D17033" t="inlineStr">
        <is>
          <t>Công ty TNHH United International Pharma</t>
        </is>
      </c>
      <c r="E17033" t="inlineStr">
        <is>
          <t>Lương:Cạnh tranh</t>
        </is>
      </c>
      <c r="F17033" t="inlineStr">
        <is>
          <t>Ninh ThuậnKhánh Hòa</t>
        </is>
      </c>
      <c r="G17033" t="inlineStr">
        <is>
          <t>6</t>
        </is>
      </c>
      <c r="H17033" t="inlineStr">
        <is>
          <t>23/03/2026</t>
        </is>
      </c>
      <c r="I17033" t="inlineStr">
        <is>
          <t>17/03/2026</t>
        </is>
      </c>
      <c r="J17033" t="inlineStr">
        <is>
          <t>Y tế / Chăm sóc sức khỏe / Thẩm mỹ / Làm đẹp, Dược phẩm/ Hóa Mỹ Phẩm, Bán hàng / Kinh doanh</t>
        </is>
      </c>
      <c r="K17033" t="inlineStr">
        <is>
          <t>2 - 5 Năm</t>
        </is>
      </c>
      <c r="L17033" s="8">
        <f>HYPERLINK("https://careerviet.vn/vi/tim-viec-lam/medical-representative-trinh-duoc-vien-etc-khanh-hoa-ninh-thuan.35C69083.html","Xem chi tiết")</f>
        <v/>
      </c>
    </row>
    <row r="17034">
      <c r="B17034" s="9" t="n">
        <v>17032</v>
      </c>
      <c r="C17034" s="10" t="inlineStr">
        <is>
          <t>[Hà Nội] Nhân Viên Kinh doanh Quốc tế - International sales staff</t>
        </is>
      </c>
      <c r="D17034" s="10" t="inlineStr">
        <is>
          <t>CÔNG TY TNHH DAESANG VIỆT NAM</t>
        </is>
      </c>
      <c r="E17034" s="10" t="inlineStr">
        <is>
          <t>Lương:12 Tr - 20 Tr VND</t>
        </is>
      </c>
      <c r="F17034" s="10" t="inlineStr">
        <is>
          <t>Hà Nội</t>
        </is>
      </c>
      <c r="G17034" s="10" t="inlineStr">
        <is>
          <t>3</t>
        </is>
      </c>
      <c r="H17034" s="10" t="inlineStr">
        <is>
          <t>20/03/2026</t>
        </is>
      </c>
      <c r="I17034" s="10" t="inlineStr">
        <is>
          <t>17/03/2026</t>
        </is>
      </c>
      <c r="J17034" s="10" t="inlineStr">
        <is>
          <t>Bán lẻ / Bán sỉ, Bán hàng / Kinh doanh, Xuất nhập khẩu</t>
        </is>
      </c>
      <c r="K17034" s="10" t="inlineStr">
        <is>
          <t>1 - 3 Năm</t>
        </is>
      </c>
      <c r="L17034" s="11">
        <f>HYPERLINK("https://careerviet.vn/vi/tim-viec-lam/ha-noi-nhan-vien-kinh-doanh-quoc-te-international-sales-staff.35C6913A.html","Xem chi tiết")</f>
        <v/>
      </c>
      <c r="M17034" s="10" t="n"/>
    </row>
    <row r="17035">
      <c r="B17035" s="7" t="n">
        <v>17033</v>
      </c>
      <c r="C17035" t="inlineStr">
        <is>
          <t>Chuyên viên Phát triển phần mềm Odoo</t>
        </is>
      </c>
      <c r="D17035" t="inlineStr">
        <is>
          <t>Công Ty Cổ Phần Quốc Tế Sơn Hà</t>
        </is>
      </c>
      <c r="E17035" t="inlineStr">
        <is>
          <t>Lương:Cạnh tranh</t>
        </is>
      </c>
      <c r="F17035" t="inlineStr">
        <is>
          <t>Hà Nội</t>
        </is>
      </c>
      <c r="G17035" t="inlineStr">
        <is>
          <t>26-03-2026</t>
        </is>
      </c>
      <c r="H17035" t="inlineStr">
        <is>
          <t>26/03/2026</t>
        </is>
      </c>
      <c r="I17035" t="inlineStr">
        <is>
          <t>17/03/2026</t>
        </is>
      </c>
      <c r="J17035" t="inlineStr">
        <is>
          <t>CNTT - Phần mềm</t>
        </is>
      </c>
      <c r="K17035" t="inlineStr">
        <is>
          <t>2 - 5 Năm</t>
        </is>
      </c>
      <c r="L17035" s="8">
        <f>HYPERLINK("https://careerviet.vn/vi/tim-viec-lam/chuyen-vien-phat-trien-phan-mem-odoo.35C6910E.html","Xem chi tiết")</f>
        <v/>
      </c>
    </row>
    <row r="17036">
      <c r="B17036" s="9" t="n">
        <v>17034</v>
      </c>
      <c r="C17036" s="10" t="inlineStr">
        <is>
          <t>Chỉ huy trưởng công trình</t>
        </is>
      </c>
      <c r="D17036" s="10" t="inlineStr">
        <is>
          <t>CÔNG TY TNHH THIẾT KẾ XÂY DỰNG M.X</t>
        </is>
      </c>
      <c r="E17036" s="10" t="inlineStr">
        <is>
          <t>Lương:18 Tr - 35 Tr VND</t>
        </is>
      </c>
      <c r="F17036" s="10" t="inlineStr">
        <is>
          <t>Bà Rịa - Vũng Tàu</t>
        </is>
      </c>
      <c r="G17036" s="10" t="inlineStr">
        <is>
          <t>09-03-2026</t>
        </is>
      </c>
      <c r="H17036" s="10" t="inlineStr">
        <is>
          <t>02/02/2026</t>
        </is>
      </c>
      <c r="I17036" s="10" t="inlineStr">
        <is>
          <t>17/03/2026</t>
        </is>
      </c>
      <c r="J17036" s="10" t="inlineStr">
        <is>
          <t>Kiến trúc, Xây dựng</t>
        </is>
      </c>
      <c r="K17036" s="10" t="inlineStr">
        <is>
          <t>Trên 2 Năm</t>
        </is>
      </c>
      <c r="L17036" s="11">
        <f>HYPERLINK("https://careerviet.vn/vi/tim-viec-lam/chi-huy-truong-cong-trinh.35C65204.html","Xem chi tiết")</f>
        <v/>
      </c>
      <c r="M17036" s="10" t="n"/>
    </row>
    <row r="17037">
      <c r="B17037" s="7" t="n">
        <v>17035</v>
      </c>
      <c r="C17037" t="inlineStr">
        <is>
          <t>Nhân Viên Tạp vụ (Public)</t>
        </is>
      </c>
      <c r="D17037" t="inlineStr">
        <is>
          <t>Công Ty Cổ Phần A25 Hotel</t>
        </is>
      </c>
      <c r="E17037" t="inlineStr">
        <is>
          <t>Lương:11 Tr - 21 Tr VND</t>
        </is>
      </c>
      <c r="F17037" t="inlineStr">
        <is>
          <t>Hà NộiHồ Chí Minh</t>
        </is>
      </c>
      <c r="G17037" t="inlineStr">
        <is>
          <t>31-03-2026</t>
        </is>
      </c>
      <c r="H17037" t="inlineStr">
        <is>
          <t>31/03/2026</t>
        </is>
      </c>
      <c r="I17037" t="inlineStr">
        <is>
          <t>17/03/2026</t>
        </is>
      </c>
      <c r="J17037" t="inlineStr">
        <is>
          <t>Nhà hàng / Khách sạn, Mới tốt nghiệp / Thực tập, Lao động phổ thông</t>
        </is>
      </c>
      <c r="K17037" t="inlineStr">
        <is>
          <t>N/A</t>
        </is>
      </c>
      <c r="L17037" s="8">
        <f>HYPERLINK("https://careerviet.vn/vi/tim-viec-lam/nhan-vien-tap-vu-public.35C69347.html","Xem chi tiết")</f>
        <v/>
      </c>
    </row>
    <row r="17038">
      <c r="B17038" s="9" t="n">
        <v>17036</v>
      </c>
      <c r="C17038" s="10" t="inlineStr">
        <is>
          <t>Chuyên Viên Kiểm Soát Nội Bộ - FMCG</t>
        </is>
      </c>
      <c r="D17038" s="10" t="inlineStr">
        <is>
          <t>Công Ty Cổ Phần Lương Thực A AN</t>
        </is>
      </c>
      <c r="E17038" s="10" t="inlineStr">
        <is>
          <t>Lương:15 Tr - 17 Tr VND</t>
        </is>
      </c>
      <c r="F17038" s="10" t="inlineStr">
        <is>
          <t>Hà Nội</t>
        </is>
      </c>
      <c r="G17038" s="10" t="inlineStr">
        <is>
          <t>31-03-2026</t>
        </is>
      </c>
      <c r="H17038" s="10" t="inlineStr">
        <is>
          <t>31/03/2026</t>
        </is>
      </c>
      <c r="I17038" s="10" t="inlineStr">
        <is>
          <t>17/03/2026</t>
        </is>
      </c>
      <c r="J17038" s="10" t="inlineStr">
        <is>
          <t>Bán lẻ / Bán sỉ, Kế toán / Kiểm toán, Bán hàng / Kinh doanh</t>
        </is>
      </c>
      <c r="K17038" s="10" t="inlineStr">
        <is>
          <t>1 - 3 Năm</t>
        </is>
      </c>
      <c r="L17038" s="11">
        <f>HYPERLINK("https://careerviet.vn/vi/tim-viec-lam/chuyen-vien-kiem-soat-noi-bo-fmcg.35C693E4.html","Xem chi tiết")</f>
        <v/>
      </c>
      <c r="M17038" s="10" t="n"/>
    </row>
    <row r="17039">
      <c r="B17039" s="7" t="n">
        <v>17037</v>
      </c>
      <c r="C17039" t="inlineStr">
        <is>
          <t>Nhân viên Tổ chức sự kiện</t>
        </is>
      </c>
      <c r="D17039" t="inlineStr">
        <is>
          <t>HEXAGON - CÔNG TY CỔ PHẦN THIẾT KẾ LỤC GIÁC</t>
        </is>
      </c>
      <c r="E17039" t="inlineStr">
        <is>
          <t>Lương:Cạnh tranh</t>
        </is>
      </c>
      <c r="F17039" t="inlineStr">
        <is>
          <t>Hà Nội</t>
        </is>
      </c>
      <c r="G17039" t="inlineStr">
        <is>
          <t>28-03-2026</t>
        </is>
      </c>
      <c r="H17039" t="inlineStr">
        <is>
          <t>28/03/2026</t>
        </is>
      </c>
      <c r="I17039" t="inlineStr">
        <is>
          <t>17/03/2026</t>
        </is>
      </c>
      <c r="J17039" t="inlineStr">
        <is>
          <t>Tổ chức sự kiện</t>
        </is>
      </c>
      <c r="K17039" t="inlineStr">
        <is>
          <t>2 - 3 Năm</t>
        </is>
      </c>
      <c r="L17039" s="8">
        <f>HYPERLINK("https://careerviet.vn/vi/tim-viec-lam/nhan-vien-to-chuc-su-kien.35C69368.html","Xem chi tiết")</f>
        <v/>
      </c>
    </row>
    <row r="17040">
      <c r="B17040" s="9" t="n">
        <v>17038</v>
      </c>
      <c r="C17040" s="10" t="inlineStr">
        <is>
          <t>[Hà Nội] Nhân viên Kế toán Công nợ</t>
        </is>
      </c>
      <c r="D17040" s="10" t="inlineStr">
        <is>
          <t>CÔNG TY TNHH DAESANG VIỆT NAM</t>
        </is>
      </c>
      <c r="E17040" s="10" t="inlineStr">
        <is>
          <t>Lương:11 Tr - 17 Tr VND</t>
        </is>
      </c>
      <c r="F17040" s="10" t="inlineStr">
        <is>
          <t>Hà Nội</t>
        </is>
      </c>
      <c r="G17040" s="10" t="inlineStr">
        <is>
          <t>5</t>
        </is>
      </c>
      <c r="H17040" s="10" t="inlineStr">
        <is>
          <t>22/03/2026</t>
        </is>
      </c>
      <c r="I17040" s="10" t="inlineStr">
        <is>
          <t>17/03/2026</t>
        </is>
      </c>
      <c r="J17040" s="10" t="inlineStr">
        <is>
          <t>Bán lẻ / Bán sỉ, Bán hàng / Kinh doanh</t>
        </is>
      </c>
      <c r="K17040" s="10" t="inlineStr">
        <is>
          <t>2 - 3 Năm</t>
        </is>
      </c>
      <c r="L17040" s="11">
        <f>HYPERLINK("https://careerviet.vn/vi/tim-viec-lam/ha-noi-nhan-vien-ke-toan-cong-no.35C69122.html","Xem chi tiết")</f>
        <v/>
      </c>
      <c r="M17040" s="10" t="n"/>
    </row>
    <row r="17041">
      <c r="B17041" s="7" t="n">
        <v>17039</v>
      </c>
      <c r="C17041" t="inlineStr">
        <is>
          <t>Branding Marketing Leader</t>
        </is>
      </c>
      <c r="D17041" t="inlineStr">
        <is>
          <t>CÔNG TY CỔ PHẦN TRU-LIFE VIỆT NAM</t>
        </is>
      </c>
      <c r="E17041" t="inlineStr">
        <is>
          <t>Lương:16 Tr - 18 Tr VND</t>
        </is>
      </c>
      <c r="F17041" t="inlineStr">
        <is>
          <t>Hồ Chí Minh</t>
        </is>
      </c>
      <c r="G17041" t="inlineStr">
        <is>
          <t>6</t>
        </is>
      </c>
      <c r="H17041" t="inlineStr">
        <is>
          <t>23/03/2026</t>
        </is>
      </c>
      <c r="I17041" t="inlineStr">
        <is>
          <t>17/03/2026</t>
        </is>
      </c>
      <c r="J17041" t="inlineStr">
        <is>
          <t>Tiếp thị / Marketing, Tiếp thị trực tuyến, Quảng cáo / Đối ngoại / Truyền Thông</t>
        </is>
      </c>
      <c r="K17041" t="inlineStr">
        <is>
          <t>Trên 3 Năm</t>
        </is>
      </c>
      <c r="L17041" s="8">
        <f>HYPERLINK("https://careerviet.vn/vi/tim-viec-lam/branding-marketing-leader.35C6913F.html","Xem chi tiết")</f>
        <v/>
      </c>
    </row>
    <row r="17042">
      <c r="B17042" s="9" t="n">
        <v>17040</v>
      </c>
      <c r="C17042" s="10" t="inlineStr">
        <is>
          <t>[HOT JOB] Chuyên viên Sale Thiết Bị Y Tế</t>
        </is>
      </c>
      <c r="D17042" s="10" t="inlineStr">
        <is>
          <t>Công ty TNHH Thiết bị y tế Phương Đông</t>
        </is>
      </c>
      <c r="E17042" s="10" t="inlineStr">
        <is>
          <t>Lương:Cạnh tranh</t>
        </is>
      </c>
      <c r="F17042" s="10" t="inlineStr">
        <is>
          <t>Hà NộiHồ Chí MinhCần Thơ</t>
        </is>
      </c>
      <c r="G17042" s="10" t="inlineStr">
        <is>
          <t>26-03-2026</t>
        </is>
      </c>
      <c r="H17042" s="10" t="inlineStr">
        <is>
          <t>26/03/2026</t>
        </is>
      </c>
      <c r="I17042" s="10" t="inlineStr">
        <is>
          <t>17/03/2026</t>
        </is>
      </c>
      <c r="J17042" s="10" t="inlineStr">
        <is>
          <t>Dược phẩm/ Hóa Mỹ Phẩm, Bán hàng / Kinh doanh, Y tế / Chăm sóc sức khỏe / Thẩm mỹ / Làm đẹp</t>
        </is>
      </c>
      <c r="K17042" s="10" t="inlineStr">
        <is>
          <t>1 - 3 Năm</t>
        </is>
      </c>
      <c r="L17042" s="11">
        <f>HYPERLINK("https://careerviet.vn/vi/tim-viec-lam/hot-job-chuyen-vien-sale-thiet-bi-y-te.35C69360.html","Xem chi tiết")</f>
        <v/>
      </c>
      <c r="M17042" s="10" t="n"/>
    </row>
    <row r="17043">
      <c r="B17043" s="7" t="n">
        <v>17041</v>
      </c>
      <c r="C17043" t="inlineStr">
        <is>
          <t>Trưởng Nhóm Kinh Doanh Mảng Quảng Cáo</t>
        </is>
      </c>
      <c r="D17043" t="inlineStr">
        <is>
          <t>Cty TNHH Quảng Cáo &amp; Truyền Thông Trí Việt</t>
        </is>
      </c>
      <c r="E17043" t="inlineStr">
        <is>
          <t>Lương:40 Tr - 60 Tr VND</t>
        </is>
      </c>
      <c r="F17043" t="inlineStr">
        <is>
          <t>Hà Nội</t>
        </is>
      </c>
      <c r="G17043" t="inlineStr">
        <is>
          <t>3</t>
        </is>
      </c>
      <c r="H17043" t="inlineStr">
        <is>
          <t>20/03/2026</t>
        </is>
      </c>
      <c r="I17043" t="inlineStr">
        <is>
          <t>17/03/2026</t>
        </is>
      </c>
      <c r="J17043" t="inlineStr">
        <is>
          <t>Tiếp thị / Marketing, Bán hàng / Kinh doanh, Quảng cáo / Đối ngoại / Truyền Thông</t>
        </is>
      </c>
      <c r="K17043" t="inlineStr">
        <is>
          <t>Trên 2 Năm</t>
        </is>
      </c>
      <c r="L17043" s="8">
        <f>HYPERLINK("https://careerviet.vn/vi/tim-viec-lam/truong-nhom-kinh-doanh-mang-quang-cao.35C69303.html","Xem chi tiết")</f>
        <v/>
      </c>
    </row>
    <row r="17044">
      <c r="B17044" s="9" t="n">
        <v>17042</v>
      </c>
      <c r="C17044" s="10" t="inlineStr">
        <is>
          <t>NHÂN VIÊN CONTENT MEDIA</t>
        </is>
      </c>
      <c r="D17044" s="10" t="inlineStr">
        <is>
          <t>CÔNG TY TNHH MTV KỸ THUẬT TÚ LỘC</t>
        </is>
      </c>
      <c r="E17044" s="10" t="inlineStr">
        <is>
          <t>Lương:11 Tr - 13 Tr VND</t>
        </is>
      </c>
      <c r="F17044" s="10" t="inlineStr">
        <is>
          <t>Hồ Chí Minh</t>
        </is>
      </c>
      <c r="G17044" s="10" t="inlineStr">
        <is>
          <t>09-03-2026</t>
        </is>
      </c>
      <c r="H17044" s="10" t="inlineStr">
        <is>
          <t>16/03/2026</t>
        </is>
      </c>
      <c r="I17044" s="10" t="inlineStr">
        <is>
          <t>17/03/2026</t>
        </is>
      </c>
      <c r="J17044" s="10" t="inlineStr">
        <is>
          <t>Tiếp thị / Marketing, Quảng cáo / Đối ngoại / Truyền Thông, Truyền hình / Báo chí / Biên tập</t>
        </is>
      </c>
      <c r="K17044" s="10" t="inlineStr">
        <is>
          <t>1 - 2 Năm</t>
        </is>
      </c>
      <c r="L17044" s="11">
        <f>HYPERLINK("https://careerviet.vn/vi/tim-viec-lam/nhan-vien-content-media.35C6916E.html","Xem chi tiết")</f>
        <v/>
      </c>
      <c r="M17044" s="10" t="n"/>
    </row>
    <row r="17045">
      <c r="B17045" s="7" t="n">
        <v>17043</v>
      </c>
      <c r="C17045" t="inlineStr">
        <is>
          <t>Content Creator (TikTok/Social Media)</t>
        </is>
      </c>
      <c r="D17045" t="inlineStr">
        <is>
          <t>DR.BAUMANN VIETNAM - Công Ty TNHH DƯỢC MỸ PHẨM D&amp;D</t>
        </is>
      </c>
      <c r="E17045" t="inlineStr">
        <is>
          <t>Lương:Cạnh tranh</t>
        </is>
      </c>
      <c r="F17045" t="inlineStr">
        <is>
          <t>Hồ Chí Minh</t>
        </is>
      </c>
      <c r="G17045" t="inlineStr">
        <is>
          <t>30-04-2026</t>
        </is>
      </c>
      <c r="H17045" t="inlineStr">
        <is>
          <t>30/04/2026</t>
        </is>
      </c>
      <c r="I17045" t="inlineStr">
        <is>
          <t>17/03/2026</t>
        </is>
      </c>
      <c r="J17045" t="inlineStr">
        <is>
          <t>Tiếp thị / Marketing, Quảng cáo / Đối ngoại / Truyền Thông, Tiếp thị trực tuyến</t>
        </is>
      </c>
      <c r="K17045" t="inlineStr">
        <is>
          <t>2 - 3 Năm</t>
        </is>
      </c>
      <c r="L17045" s="8">
        <f>HYPERLINK("https://careerviet.vn/vi/tim-viec-lam/content-creator-tiktok-social-media.35C69196.html","Xem chi tiết")</f>
        <v/>
      </c>
    </row>
    <row r="17046">
      <c r="B17046" s="9" t="n">
        <v>17044</v>
      </c>
      <c r="C17046" s="10" t="inlineStr">
        <is>
          <t>NV Tuyển dụng - HCNS</t>
        </is>
      </c>
      <c r="D17046" s="10" t="inlineStr">
        <is>
          <t>CÔNG TY CỔ PHẦN FUCO E&amp;C</t>
        </is>
      </c>
      <c r="E17046" s="10" t="inlineStr">
        <is>
          <t>Lương:8 Tr - 11 Tr VND</t>
        </is>
      </c>
      <c r="F17046" s="10" t="inlineStr">
        <is>
          <t>Hà Nội</t>
        </is>
      </c>
      <c r="G17046" s="10" t="inlineStr">
        <is>
          <t>31-03-2026</t>
        </is>
      </c>
      <c r="H17046" s="10" t="inlineStr">
        <is>
          <t>31/03/2026</t>
        </is>
      </c>
      <c r="I17046" s="10" t="inlineStr">
        <is>
          <t>17/03/2026</t>
        </is>
      </c>
      <c r="J17046" s="10" t="inlineStr">
        <is>
          <t>Hành chính / Thư ký, Nhân sự, Luật / Pháp lý</t>
        </is>
      </c>
      <c r="K17046" s="10" t="inlineStr">
        <is>
          <t>Chưa có kinh nghiệm</t>
        </is>
      </c>
      <c r="L17046" s="11">
        <f>HYPERLINK("https://careerviet.vn/vi/tim-viec-lam/nv-tuyen-dung-hcns.35C68FED.html","Xem chi tiết")</f>
        <v/>
      </c>
      <c r="M17046" s="10" t="n"/>
    </row>
    <row r="17047">
      <c r="B17047" s="7" t="n">
        <v>17045</v>
      </c>
      <c r="C17047" t="inlineStr">
        <is>
          <t>Nhân Viên Chăm Sóc Khách Hàng</t>
        </is>
      </c>
      <c r="D17047" t="inlineStr">
        <is>
          <t>CHI NHÁNH CÔNG TY CỔ PHẦN Y HỌC VĨNH THIỆN- BỆNH VIỆN ĐẠI HỌC PHENIKAA</t>
        </is>
      </c>
      <c r="E17047" t="inlineStr">
        <is>
          <t>Lương:12 Tr - 15 Tr VND</t>
        </is>
      </c>
      <c r="F17047" t="inlineStr">
        <is>
          <t>Hà Nội</t>
        </is>
      </c>
      <c r="G17047" t="inlineStr">
        <is>
          <t>24-03-2026</t>
        </is>
      </c>
      <c r="H17047" t="inlineStr">
        <is>
          <t>24/03/2026</t>
        </is>
      </c>
      <c r="I17047" t="inlineStr">
        <is>
          <t>17/03/2026</t>
        </is>
      </c>
      <c r="J17047" t="inlineStr">
        <is>
          <t>Dịch vụ khách hàng, Y tế / Chăm sóc sức khỏe / Thẩm mỹ / Làm đẹp</t>
        </is>
      </c>
      <c r="K17047" t="inlineStr">
        <is>
          <t>3 - 5 Năm</t>
        </is>
      </c>
      <c r="L17047" s="8">
        <f>HYPERLINK("https://careerviet.vn/vi/tim-viec-lam/nhan-vien-cham-soc-khach-hang.35C693F1.html","Xem chi tiết")</f>
        <v/>
      </c>
    </row>
    <row r="17048">
      <c r="B17048" s="9" t="n">
        <v>17046</v>
      </c>
      <c r="C17048" s="10" t="inlineStr">
        <is>
          <t>CHUYÊN VIÊN KINH DOANH_BÌNH DƯƠNG</t>
        </is>
      </c>
      <c r="D17048" s="10" t="inlineStr">
        <is>
          <t>CÔNG TY TNHH CESCO VIỆT NAM</t>
        </is>
      </c>
      <c r="E17048" s="10" t="inlineStr">
        <is>
          <t>Lương:7,8 Tr - 12 Tr VND</t>
        </is>
      </c>
      <c r="F17048" s="10" t="inlineStr">
        <is>
          <t>Bình Dương</t>
        </is>
      </c>
      <c r="G17048" s="10" t="inlineStr">
        <is>
          <t>31-03-2026</t>
        </is>
      </c>
      <c r="H17048" s="10" t="inlineStr">
        <is>
          <t>31/03/2026</t>
        </is>
      </c>
      <c r="I17048" s="10" t="inlineStr">
        <is>
          <t>17/03/2026</t>
        </is>
      </c>
      <c r="J17048" s="10" t="inlineStr">
        <is>
          <t>Bán hàng / Kinh doanh, Bán Hàng Kỹ Thuật, Tư vấn</t>
        </is>
      </c>
      <c r="K17048" s="10" t="inlineStr">
        <is>
          <t>1 - 2 Năm</t>
        </is>
      </c>
      <c r="L17048" s="11">
        <f>HYPERLINK("https://careerviet.vn/vi/tim-viec-lam/chuyen-vien-kinh-doanh_binh-duong.35C690C6.html","Xem chi tiết")</f>
        <v/>
      </c>
      <c r="M17048" s="10" t="n"/>
    </row>
    <row r="17049">
      <c r="B17049" s="7" t="n">
        <v>17047</v>
      </c>
      <c r="C17049" t="inlineStr">
        <is>
          <t>Chuyên viên Nhân Sự - HR Executive</t>
        </is>
      </c>
      <c r="D17049" t="inlineStr">
        <is>
          <t>CÔNG TY TNHH K O T I T I VIỆT NAM</t>
        </is>
      </c>
      <c r="E17049" t="inlineStr">
        <is>
          <t>Lương:9 Tr - 22 Tr VND</t>
        </is>
      </c>
      <c r="F17049" t="inlineStr">
        <is>
          <t>Hồ Chí Minh</t>
        </is>
      </c>
      <c r="G17049" t="inlineStr">
        <is>
          <t>26-03-2026</t>
        </is>
      </c>
      <c r="H17049" t="inlineStr">
        <is>
          <t>26/03/2026</t>
        </is>
      </c>
      <c r="I17049" t="inlineStr">
        <is>
          <t>17/03/2026</t>
        </is>
      </c>
      <c r="J17049" t="inlineStr">
        <is>
          <t>Hành chính / Thư ký, Nhân sự, Kế toán / Kiểm toán</t>
        </is>
      </c>
      <c r="K17049" t="inlineStr">
        <is>
          <t>1 - 8 Năm</t>
        </is>
      </c>
      <c r="L17049" s="8">
        <f>HYPERLINK("https://careerviet.vn/vi/tim-viec-lam/chuyen-vien-nhan-su-hr-executive.35C6929F.html","Xem chi tiết")</f>
        <v/>
      </c>
    </row>
    <row r="17050">
      <c r="B17050" s="9" t="n">
        <v>17048</v>
      </c>
      <c r="C17050" s="10" t="inlineStr">
        <is>
          <t>Design Engineer</t>
        </is>
      </c>
      <c r="D17050" s="10" t="inlineStr">
        <is>
          <t>CÔNG TY TNHH NOVA BUILDINGS VIỆT NAM</t>
        </is>
      </c>
      <c r="E17050" s="10" t="inlineStr">
        <is>
          <t>Lương:Cạnh tranh</t>
        </is>
      </c>
      <c r="F17050" s="10" t="inlineStr">
        <is>
          <t>Hồ Chí Minh</t>
        </is>
      </c>
      <c r="G17050" s="10" t="inlineStr">
        <is>
          <t>24-03-2026</t>
        </is>
      </c>
      <c r="H17050" s="10" t="inlineStr">
        <is>
          <t>24/03/2026</t>
        </is>
      </c>
      <c r="I17050" s="10" t="inlineStr">
        <is>
          <t>17/03/2026</t>
        </is>
      </c>
      <c r="J17050" s="10" t="inlineStr">
        <is>
          <t>Xây dựng</t>
        </is>
      </c>
      <c r="K17050" s="10" t="inlineStr">
        <is>
          <t>3 - 10 Năm</t>
        </is>
      </c>
      <c r="L17050" s="11">
        <f>HYPERLINK("https://careerviet.vn/vi/tim-viec-lam/design-engineer.35C690EC.html","Xem chi tiết")</f>
        <v/>
      </c>
      <c r="M17050" s="10" t="n"/>
    </row>
    <row r="17051">
      <c r="B17051" s="7" t="n">
        <v>17049</v>
      </c>
      <c r="C17051" t="inlineStr">
        <is>
          <t>Social Media Executive (Hà Nội)</t>
        </is>
      </c>
      <c r="D17051" t="inlineStr">
        <is>
          <t>Công Ty TNHH XNK Cầu Nối Việt</t>
        </is>
      </c>
      <c r="E17051" t="inlineStr">
        <is>
          <t>Lương:7 Tr - 12 Tr VND</t>
        </is>
      </c>
      <c r="F17051" t="inlineStr">
        <is>
          <t>Hà Nội</t>
        </is>
      </c>
      <c r="G17051" t="inlineStr">
        <is>
          <t>30-05-2026</t>
        </is>
      </c>
      <c r="H17051" t="inlineStr">
        <is>
          <t>30/05/2026</t>
        </is>
      </c>
      <c r="I17051" t="inlineStr">
        <is>
          <t>17/03/2026</t>
        </is>
      </c>
      <c r="J17051" t="inlineStr">
        <is>
          <t>Tiếp thị / Marketing, Truyền hình / Báo chí / Biên tập, Quảng cáo / Đối ngoại / Truyền Thông</t>
        </is>
      </c>
      <c r="K17051" t="inlineStr">
        <is>
          <t>N/A</t>
        </is>
      </c>
      <c r="L17051" s="8">
        <f>HYPERLINK("https://careerviet.vn/vi/tim-viec-lam/social-media-executive-ha-noi.35C68B0C.html","Xem chi tiết")</f>
        <v/>
      </c>
    </row>
    <row r="17052">
      <c r="B17052" s="9" t="n">
        <v>17050</v>
      </c>
      <c r="C17052" s="10" t="inlineStr">
        <is>
          <t>Nhân viên Pháp chế</t>
        </is>
      </c>
      <c r="D17052" s="10" t="inlineStr">
        <is>
          <t>Công ty Cổ phần IntelLife</t>
        </is>
      </c>
      <c r="E17052" s="10" t="inlineStr">
        <is>
          <t>Lương:10 Tr - 15 Tr VND</t>
        </is>
      </c>
      <c r="F17052" s="10" t="inlineStr">
        <is>
          <t>Hà Nội</t>
        </is>
      </c>
      <c r="G17052" s="10" t="inlineStr">
        <is>
          <t>31-03-2026</t>
        </is>
      </c>
      <c r="H17052" s="10" t="inlineStr">
        <is>
          <t>31/03/2026</t>
        </is>
      </c>
      <c r="I17052" s="10" t="inlineStr">
        <is>
          <t>17/03/2026</t>
        </is>
      </c>
      <c r="J17052" s="10" t="inlineStr">
        <is>
          <t>Luật / Pháp lý, Bán hàng / Kinh doanh, Tư vấn</t>
        </is>
      </c>
      <c r="K17052" s="10" t="inlineStr">
        <is>
          <t>Trên 1 Năm</t>
        </is>
      </c>
      <c r="L17052" s="11">
        <f>HYPERLINK("https://careerviet.vn/vi/tim-viec-lam/nhan-vien-phap-che.35C68CDD.html","Xem chi tiết")</f>
        <v/>
      </c>
      <c r="M17052" s="10" t="n"/>
    </row>
    <row r="17053">
      <c r="B17053" s="7" t="n">
        <v>17051</v>
      </c>
      <c r="C17053" t="inlineStr">
        <is>
          <t>Nhân viên chứng từ xuất nhập khẩu</t>
        </is>
      </c>
      <c r="D17053" t="inlineStr">
        <is>
          <t>EuP Group</t>
        </is>
      </c>
      <c r="E17053" t="inlineStr">
        <is>
          <t>Lương:12 Tr - 15 Tr VND</t>
        </is>
      </c>
      <c r="F17053" t="inlineStr">
        <is>
          <t>Hà Nội</t>
        </is>
      </c>
      <c r="G17053" t="inlineStr">
        <is>
          <t>6</t>
        </is>
      </c>
      <c r="H17053" t="inlineStr">
        <is>
          <t>23/03/2026</t>
        </is>
      </c>
      <c r="I17053" t="inlineStr">
        <is>
          <t>17/03/2026</t>
        </is>
      </c>
      <c r="J17053" t="inlineStr">
        <is>
          <t>Bán hàng / Kinh doanh, Xuất nhập khẩu</t>
        </is>
      </c>
      <c r="K17053" t="inlineStr">
        <is>
          <t>Trên 2 Năm</t>
        </is>
      </c>
      <c r="L17053" s="8">
        <f>HYPERLINK("https://careerviet.vn/vi/tim-viec-lam/nhan-vien-chung-tu-xuat-nhap-khau.35C68F09.html","Xem chi tiết")</f>
        <v/>
      </c>
    </row>
    <row r="17054">
      <c r="B17054" s="9" t="n">
        <v>17052</v>
      </c>
      <c r="C17054" s="10" t="inlineStr">
        <is>
          <t>Giám Sát Đảm Bảo Chất Lượng - QA Supervisor</t>
        </is>
      </c>
      <c r="D17054" s="10" t="inlineStr">
        <is>
          <t>CÔNG TY CỔ PHẦN NGUYÊN LIỆU THỰC PHẨM MONOVA</t>
        </is>
      </c>
      <c r="E17054" s="10" t="inlineStr">
        <is>
          <t>Lương:Cạnh tranh</t>
        </is>
      </c>
      <c r="F17054" s="10" t="inlineStr">
        <is>
          <t>Hồ Chí Minh</t>
        </is>
      </c>
      <c r="G17054" s="10" t="inlineStr">
        <is>
          <t>6</t>
        </is>
      </c>
      <c r="H17054" s="10" t="inlineStr">
        <is>
          <t>23/03/2026</t>
        </is>
      </c>
      <c r="I17054" s="10" t="inlineStr">
        <is>
          <t>17/03/2026</t>
        </is>
      </c>
      <c r="J17054" s="10" t="inlineStr">
        <is>
          <t>Công nghệ thực phẩm / Dinh dưỡng, Thực phẩm &amp; Đồ uống</t>
        </is>
      </c>
      <c r="K17054" s="10" t="inlineStr">
        <is>
          <t>3 - 5 Năm</t>
        </is>
      </c>
      <c r="L17054" s="11">
        <f>HYPERLINK("https://careerviet.vn/vi/tim-viec-lam/giam-sat-dam-bao-chat-luong-qa-supervisor.35C69082.html","Xem chi tiết")</f>
        <v/>
      </c>
      <c r="M17054" s="10" t="n"/>
    </row>
    <row r="17055">
      <c r="B17055" s="7" t="n">
        <v>17053</v>
      </c>
      <c r="C17055" t="inlineStr">
        <is>
          <t>Software Engineer</t>
        </is>
      </c>
      <c r="D17055" t="inlineStr">
        <is>
          <t>Công ty TNHH Greystone Data Systems Việt Nam</t>
        </is>
      </c>
      <c r="E17055" t="inlineStr">
        <is>
          <t>Lương:12 Tr - 25 Tr VND</t>
        </is>
      </c>
      <c r="F17055" t="inlineStr">
        <is>
          <t>Hồ Chí Minh</t>
        </is>
      </c>
      <c r="G17055" t="inlineStr">
        <is>
          <t>6</t>
        </is>
      </c>
      <c r="H17055" t="inlineStr">
        <is>
          <t>23/03/2026</t>
        </is>
      </c>
      <c r="I17055" t="inlineStr">
        <is>
          <t>17/03/2026</t>
        </is>
      </c>
      <c r="J17055" t="inlineStr">
        <is>
          <t>Điện / Điện tử / Điện lạnh / Điện công nghiệp, CNTT - Phần mềm, Cơ khí / Ô tô / Tự động hóa</t>
        </is>
      </c>
      <c r="K17055" t="inlineStr">
        <is>
          <t>1 - 2 Năm</t>
        </is>
      </c>
      <c r="L17055" s="8">
        <f>HYPERLINK("https://careerviet.vn/vi/tim-viec-lam/software-engineer.35C68D48.html","Xem chi tiết")</f>
        <v/>
      </c>
    </row>
    <row r="17056">
      <c r="B17056" s="9" t="n">
        <v>17054</v>
      </c>
      <c r="C17056" s="10" t="inlineStr">
        <is>
          <t>Kế toán xưởng (Làm việc tại Hoài Đức)</t>
        </is>
      </c>
      <c r="D17056" s="10" t="inlineStr">
        <is>
          <t>Công Ty Cổ Phần A25 Hotel</t>
        </is>
      </c>
      <c r="E17056" s="10" t="inlineStr">
        <is>
          <t>Lương:18 Tr - 36 Tr VND</t>
        </is>
      </c>
      <c r="F17056" s="10" t="inlineStr">
        <is>
          <t>Hà Nội</t>
        </is>
      </c>
      <c r="G17056" s="10" t="inlineStr">
        <is>
          <t>31-03-2026</t>
        </is>
      </c>
      <c r="H17056" s="10" t="inlineStr">
        <is>
          <t>31/03/2026</t>
        </is>
      </c>
      <c r="I17056" s="10" t="inlineStr">
        <is>
          <t>17/03/2026</t>
        </is>
      </c>
      <c r="J17056" s="10" t="inlineStr">
        <is>
          <t>Kế toán / Kiểm toán</t>
        </is>
      </c>
      <c r="K17056" s="10" t="inlineStr">
        <is>
          <t>2 - 3 Năm</t>
        </is>
      </c>
      <c r="L17056" s="11">
        <f>HYPERLINK("https://careerviet.vn/vi/tim-viec-lam/ke-toan-xuong-lam-viec-tai-hoai-duc.35C68F36.html","Xem chi tiết")</f>
        <v/>
      </c>
      <c r="M17056" s="10" t="n"/>
    </row>
    <row r="17057">
      <c r="B17057" s="7" t="n">
        <v>17055</v>
      </c>
      <c r="C17057" t="inlineStr">
        <is>
          <t>DƯỢC SĨ BÁN HÀNG</t>
        </is>
      </c>
      <c r="D17057" t="inlineStr">
        <is>
          <t>Medigo Software</t>
        </is>
      </c>
      <c r="E17057" t="inlineStr">
        <is>
          <t>Lương:8 Tr - 18 Tr VND</t>
        </is>
      </c>
      <c r="F17057" t="inlineStr">
        <is>
          <t>Hà NộiHồ Chí Minh</t>
        </is>
      </c>
      <c r="G17057" t="inlineStr">
        <is>
          <t>23-04-2026</t>
        </is>
      </c>
      <c r="H17057" t="inlineStr">
        <is>
          <t>23/04/2026</t>
        </is>
      </c>
      <c r="I17057" t="inlineStr">
        <is>
          <t>17/03/2026</t>
        </is>
      </c>
      <c r="J17057" t="inlineStr">
        <is>
          <t>Dược phẩm/ Hóa Mỹ Phẩm, Y tế / Chăm sóc sức khỏe / Thẩm mỹ / Làm đẹp, Tư vấn</t>
        </is>
      </c>
      <c r="K17057" t="inlineStr">
        <is>
          <t>1 - 20 Năm</t>
        </is>
      </c>
      <c r="L17057" s="8">
        <f>HYPERLINK("https://careerviet.vn/vi/tim-viec-lam/duoc-si-ban-hang.35C68DEE.html","Xem chi tiết")</f>
        <v/>
      </c>
    </row>
    <row r="17058">
      <c r="B17058" s="9" t="n">
        <v>17056</v>
      </c>
      <c r="C17058" s="10" t="inlineStr">
        <is>
          <t>Chuyên viên Quan hệ Khách hàng Cá nhân (Toàn quốc)</t>
        </is>
      </c>
      <c r="D17058" s="10" t="inlineStr">
        <is>
          <t>Ngân Hàng TMCP Sài Gòn - Hà Nội ( SHB )</t>
        </is>
      </c>
      <c r="E17058" s="10" t="inlineStr">
        <is>
          <t>Lương:Cạnh tranh</t>
        </is>
      </c>
      <c r="F17058" s="10" t="inlineStr">
        <is>
          <t>Bình DươngĐà NẵngThừa Thiên- Huế</t>
        </is>
      </c>
      <c r="G17058" s="10" t="inlineStr">
        <is>
          <t>25-03-2026</t>
        </is>
      </c>
      <c r="H17058" s="10" t="inlineStr">
        <is>
          <t>25/03/2026</t>
        </is>
      </c>
      <c r="I17058" s="10" t="inlineStr">
        <is>
          <t>17/03/2026</t>
        </is>
      </c>
      <c r="J17058" s="10" t="inlineStr">
        <is>
          <t>Ngân hàng, Bán hàng / Kinh doanh</t>
        </is>
      </c>
      <c r="K17058" s="10" t="inlineStr">
        <is>
          <t>null - null Năm</t>
        </is>
      </c>
      <c r="L17058" s="11">
        <f>HYPERLINK("https://careerviet.vn/vi/tim-viec-lam/chuyen-vien-quan-he-khach-hang-ca-nhan-toan-quoc.35C68E85.html","Xem chi tiết")</f>
        <v/>
      </c>
      <c r="M17058" s="10" t="n"/>
    </row>
    <row r="17059">
      <c r="B17059" s="7" t="n">
        <v>17057</v>
      </c>
      <c r="C17059" t="inlineStr">
        <is>
          <t>Technical Support (Night Shift)</t>
        </is>
      </c>
      <c r="D17059" t="inlineStr">
        <is>
          <t>CÔNG TY CỔ PHẦN MAC MARKETING</t>
        </is>
      </c>
      <c r="E17059" t="inlineStr">
        <is>
          <t>Lương:12 Tr - 15 Tr VND</t>
        </is>
      </c>
      <c r="F17059" t="inlineStr">
        <is>
          <t>Hồ Chí Minh</t>
        </is>
      </c>
      <c r="G17059" t="inlineStr">
        <is>
          <t>31-03-2026</t>
        </is>
      </c>
      <c r="H17059" t="inlineStr">
        <is>
          <t>31/03/2026</t>
        </is>
      </c>
      <c r="I17059" t="inlineStr">
        <is>
          <t>17/03/2026</t>
        </is>
      </c>
      <c r="J17059" t="inlineStr">
        <is>
          <t>Tiếp thị / Marketing, CNTT - Phần mềm, CNTT - Phần cứng / Mạng</t>
        </is>
      </c>
      <c r="K17059" t="inlineStr">
        <is>
          <t>1 - 3 Năm</t>
        </is>
      </c>
      <c r="L17059" s="8">
        <f>HYPERLINK("https://careerviet.vn/vi/tim-viec-lam/technical-support-night-shift.35C68D24.html","Xem chi tiết")</f>
        <v/>
      </c>
    </row>
    <row r="17060">
      <c r="B17060" s="9" t="n">
        <v>17058</v>
      </c>
      <c r="C17060" s="10" t="inlineStr">
        <is>
          <t>Nhân Viên Bán Hàng - Chuỗi Cửa Hàng Bán Lẻ Thiết Bị Sức Khỏe</t>
        </is>
      </c>
      <c r="D17060" s="10" t="inlineStr">
        <is>
          <t>Công Ty TNHH XNK Phát Triển Đông Dương</t>
        </is>
      </c>
      <c r="E17060" s="10" t="inlineStr">
        <is>
          <t>Lương:12 Tr - 20 Tr VND</t>
        </is>
      </c>
      <c r="F17060" s="10" t="inlineStr">
        <is>
          <t>Bà Rịa - Vũng Tàu</t>
        </is>
      </c>
      <c r="G17060" s="10" t="inlineStr">
        <is>
          <t>31-03-2026</t>
        </is>
      </c>
      <c r="H17060" s="10" t="inlineStr">
        <is>
          <t>31/03/2026</t>
        </is>
      </c>
      <c r="I17060" s="10" t="inlineStr">
        <is>
          <t>17/03/2026</t>
        </is>
      </c>
      <c r="J17060" s="10" t="inlineStr">
        <is>
          <t>Bán lẻ / Bán sỉ, Bán hàng / Kinh doanh, Tư vấn</t>
        </is>
      </c>
      <c r="K17060" s="10" t="inlineStr">
        <is>
          <t>N/A</t>
        </is>
      </c>
      <c r="L17060" s="11">
        <f>HYPERLINK("https://careerviet.vn/vi/tim-viec-lam/nhan-vien-ban-hang-chuoi-cua-hang-ban-le-thiet-bi-suc-khoe.35C68DD7.html","Xem chi tiết")</f>
        <v/>
      </c>
      <c r="M17060" s="10" t="n"/>
    </row>
    <row r="17061">
      <c r="B17061" s="7" t="n">
        <v>17059</v>
      </c>
      <c r="C17061" t="inlineStr">
        <is>
          <t>Chuyên viên Phát triển Ứng dụng (java) - Làm việc tại TSC Hà Đông (Hà Nội)</t>
        </is>
      </c>
      <c r="D17061" t="inlineStr">
        <is>
          <t>Ngân hàng TMCP Việt Á – VietABank</t>
        </is>
      </c>
      <c r="E17061" t="inlineStr">
        <is>
          <t>Lương:Cạnh tranh</t>
        </is>
      </c>
      <c r="F17061" t="inlineStr">
        <is>
          <t>Hà Nội</t>
        </is>
      </c>
      <c r="G17061" t="inlineStr">
        <is>
          <t>31-03-2026</t>
        </is>
      </c>
      <c r="H17061" t="inlineStr">
        <is>
          <t>31/03/2026</t>
        </is>
      </c>
      <c r="I17061" t="inlineStr">
        <is>
          <t>17/03/2026</t>
        </is>
      </c>
      <c r="J17061" t="inlineStr">
        <is>
          <t>CNTT - Phần mềm, Ngân hàng</t>
        </is>
      </c>
      <c r="K17061" t="inlineStr">
        <is>
          <t>Trên 2 Năm</t>
        </is>
      </c>
      <c r="L17061" s="8">
        <f>HYPERLINK("https://careerviet.vn/vi/tim-viec-lam/chuyen-vien-phat-trien-ung-dung-java-lam-viec-tai-tsc-ha-dong-ha-noi.35C68EF1.html","Xem chi tiết")</f>
        <v/>
      </c>
    </row>
    <row r="17062">
      <c r="B17062" s="9" t="n">
        <v>17060</v>
      </c>
      <c r="C17062" s="10" t="inlineStr">
        <is>
          <t>[Chơn Thành - Bình Phước] Tuyển Nhân Viên Bán Hàng - Chuỗi Cửa Hàng Bán Lẻ Thiết Bị Sức Khỏe</t>
        </is>
      </c>
      <c r="D17062" s="10" t="inlineStr">
        <is>
          <t>Công Ty TNHH XNK Phát Triển Đông Dương</t>
        </is>
      </c>
      <c r="E17062" s="10" t="inlineStr">
        <is>
          <t>Lương:12 Tr - 20 Tr VND</t>
        </is>
      </c>
      <c r="F17062" s="10" t="inlineStr">
        <is>
          <t>Bình Phước</t>
        </is>
      </c>
      <c r="G17062" s="10" t="inlineStr">
        <is>
          <t>31-03-2026</t>
        </is>
      </c>
      <c r="H17062" s="10" t="inlineStr">
        <is>
          <t>31/03/2026</t>
        </is>
      </c>
      <c r="I17062" s="10" t="inlineStr">
        <is>
          <t>17/03/2026</t>
        </is>
      </c>
      <c r="J17062" s="10" t="inlineStr">
        <is>
          <t>Bán lẻ / Bán sỉ, Bán hàng / Kinh doanh, Tư vấn</t>
        </is>
      </c>
      <c r="K17062" s="10" t="inlineStr">
        <is>
          <t>N/A</t>
        </is>
      </c>
      <c r="L17062" s="11">
        <f>HYPERLINK("https://careerviet.vn/vi/tim-viec-lam/chon-thanh-binh-phuoc-tuyen-nhan-vien-ban-hang-chuoi-cua-hang-ban-le-thiet-bi-suc-khoe.35C68E03.html","Xem chi tiết")</f>
        <v/>
      </c>
      <c r="M17062" s="10" t="n"/>
    </row>
    <row r="17063">
      <c r="B17063" s="7" t="n">
        <v>17061</v>
      </c>
      <c r="C17063" t="inlineStr">
        <is>
          <t>[CITIGYM] Brand Manager</t>
        </is>
      </c>
      <c r="D17063" t="inlineStr">
        <is>
          <t>Nova Service Group - Công ty Cổ phần Tập đoàn Nova Services</t>
        </is>
      </c>
      <c r="E17063" t="inlineStr">
        <is>
          <t>Lương:30 Tr - 45 Tr VND</t>
        </is>
      </c>
      <c r="F17063" t="inlineStr">
        <is>
          <t>Hồ Chí Minh</t>
        </is>
      </c>
      <c r="G17063" t="inlineStr">
        <is>
          <t>31-03-2026</t>
        </is>
      </c>
      <c r="H17063" t="inlineStr">
        <is>
          <t>31/03/2026</t>
        </is>
      </c>
      <c r="I17063" t="inlineStr">
        <is>
          <t>17/03/2026</t>
        </is>
      </c>
      <c r="J17063" t="inlineStr">
        <is>
          <t>Tiếp thị / Marketing</t>
        </is>
      </c>
      <c r="K17063" t="inlineStr">
        <is>
          <t>5 - 7 Năm</t>
        </is>
      </c>
      <c r="L17063" s="8">
        <f>HYPERLINK("https://careerviet.vn/vi/tim-viec-lam/citigym-brand-manager.35C68F61.html","Xem chi tiết")</f>
        <v/>
      </c>
    </row>
    <row r="17064">
      <c r="B17064" s="9" t="n">
        <v>17062</v>
      </c>
      <c r="C17064" s="10" t="inlineStr">
        <is>
          <t>Trưởng nhóm Đại sứ thương hiệu (Team Leader PGs)</t>
        </is>
      </c>
      <c r="D17064" s="10" t="inlineStr">
        <is>
          <t>Tổng công ty Cổ phần Bia - Rượu - Nước giải khát Hà Nội (HABECO - Bia Hà Nội)</t>
        </is>
      </c>
      <c r="E17064" s="10" t="inlineStr">
        <is>
          <t>Lương:Cạnh tranh</t>
        </is>
      </c>
      <c r="F17064" s="10" t="inlineStr">
        <is>
          <t>Nam ĐịnhHồ Chí Minh</t>
        </is>
      </c>
      <c r="G17064" s="10" t="inlineStr">
        <is>
          <t>23-03-2026</t>
        </is>
      </c>
      <c r="H17064" s="10" t="inlineStr">
        <is>
          <t>23/03/2026</t>
        </is>
      </c>
      <c r="I17064" s="10" t="inlineStr">
        <is>
          <t>17/03/2026</t>
        </is>
      </c>
      <c r="J17064" s="10" t="inlineStr">
        <is>
          <t>Tiếp thị / Marketing, Bán lẻ / Bán sỉ, Bán hàng / Kinh doanh</t>
        </is>
      </c>
      <c r="K17064" s="10" t="inlineStr">
        <is>
          <t>2 - 3 Năm</t>
        </is>
      </c>
      <c r="L17064" s="11">
        <f>HYPERLINK("https://careerviet.vn/vi/tim-viec-lam/truong-nhom-dai-su-thuong-hieu-team-leader-pgs.35C68F2C.html","Xem chi tiết")</f>
        <v/>
      </c>
      <c r="M17064" s="10" t="n"/>
    </row>
    <row r="17065">
      <c r="B17065" s="7" t="n">
        <v>17063</v>
      </c>
      <c r="C17065" t="inlineStr">
        <is>
          <t>Nhân viên Sale tour</t>
        </is>
      </c>
      <c r="D17065" t="inlineStr">
        <is>
          <t>Công Ty Cổ Phần A25 Hotel</t>
        </is>
      </c>
      <c r="E17065" t="inlineStr">
        <is>
          <t>Lương:13 Tr - 20 Tr VND</t>
        </is>
      </c>
      <c r="F17065" t="inlineStr">
        <is>
          <t>Hà Nội</t>
        </is>
      </c>
      <c r="G17065" t="inlineStr">
        <is>
          <t>31-03-2026</t>
        </is>
      </c>
      <c r="H17065" t="inlineStr">
        <is>
          <t>31/03/2026</t>
        </is>
      </c>
      <c r="I17065" t="inlineStr">
        <is>
          <t>17/03/2026</t>
        </is>
      </c>
      <c r="J17065" t="inlineStr">
        <is>
          <t>Bán hàng / Kinh doanh, Nhà hàng / Khách sạn, Du lịch</t>
        </is>
      </c>
      <c r="K17065" t="inlineStr">
        <is>
          <t>2 - 3 Năm</t>
        </is>
      </c>
      <c r="L17065" s="8">
        <f>HYPERLINK("https://careerviet.vn/vi/tim-viec-lam/nhan-vien-sale-tour.35C68F44.html","Xem chi tiết")</f>
        <v/>
      </c>
    </row>
    <row r="17066">
      <c r="B17066" s="9" t="n">
        <v>17064</v>
      </c>
      <c r="C17066" s="10" t="inlineStr">
        <is>
          <t>Nhân Viên Văn Phòng Tiếng Trung</t>
        </is>
      </c>
      <c r="D17066" s="10" t="inlineStr">
        <is>
          <t>CÔNG TY TNHH AIRENT</t>
        </is>
      </c>
      <c r="E17066" s="10" t="inlineStr">
        <is>
          <t>Lương:Cạnh tranh</t>
        </is>
      </c>
      <c r="F17066" s="10" t="inlineStr">
        <is>
          <t>Hồ Chí Minh</t>
        </is>
      </c>
      <c r="G17066" s="10" t="inlineStr">
        <is>
          <t>26-03-2026</t>
        </is>
      </c>
      <c r="H17066" s="10" t="inlineStr">
        <is>
          <t>26/03/2026</t>
        </is>
      </c>
      <c r="I17066" s="10" t="inlineStr">
        <is>
          <t>17/03/2026</t>
        </is>
      </c>
      <c r="J17066" s="10" t="inlineStr">
        <is>
          <t>Hành chính / Thư ký, Nhân sự, Biên phiên dịch</t>
        </is>
      </c>
      <c r="K17066" s="10" t="inlineStr">
        <is>
          <t>N/A</t>
        </is>
      </c>
      <c r="L17066" s="11">
        <f>HYPERLINK("https://careerviet.vn/vi/tim-viec-lam/nhan-vien-van-phong-tieng-trung.35C68F35.html","Xem chi tiết")</f>
        <v/>
      </c>
      <c r="M17066" s="10" t="n"/>
    </row>
    <row r="17067">
      <c r="B17067" s="7" t="n">
        <v>17065</v>
      </c>
      <c r="C17067" t="inlineStr">
        <is>
          <t>[Dĩ An - Bình Dương] Tuyển Nhân Viên Bán Hàng - Chuỗi Cửa Hàng Bán Lẻ Thiết Bị Sức Khỏe</t>
        </is>
      </c>
      <c r="D17067" t="inlineStr">
        <is>
          <t>Công Ty TNHH XNK Phát Triển Đông Dương</t>
        </is>
      </c>
      <c r="E17067" t="inlineStr">
        <is>
          <t>Lương:12 Tr - 20 Tr VND</t>
        </is>
      </c>
      <c r="F17067" t="inlineStr">
        <is>
          <t>Bình Dương</t>
        </is>
      </c>
      <c r="G17067" t="inlineStr">
        <is>
          <t>31-03-2026</t>
        </is>
      </c>
      <c r="H17067" t="inlineStr">
        <is>
          <t>31/03/2026</t>
        </is>
      </c>
      <c r="I17067" t="inlineStr">
        <is>
          <t>17/03/2026</t>
        </is>
      </c>
      <c r="J17067" t="inlineStr">
        <is>
          <t>Bán lẻ / Bán sỉ, Bán hàng / Kinh doanh, Tư vấn</t>
        </is>
      </c>
      <c r="K17067" t="inlineStr">
        <is>
          <t>N/A</t>
        </is>
      </c>
      <c r="L17067" s="8">
        <f>HYPERLINK("https://careerviet.vn/vi/tim-viec-lam/di-an-binh-duong-tuyen-nhan-vien-ban-hang-chuoi-cua-hang-ban-le-thiet-bi-suc-khoe.35C68E35.html","Xem chi tiết")</f>
        <v/>
      </c>
    </row>
    <row r="17068">
      <c r="B17068" s="9" t="n">
        <v>17066</v>
      </c>
      <c r="C17068" s="10" t="inlineStr">
        <is>
          <t>Nhân viên bán hàng - Cần Thơ</t>
        </is>
      </c>
      <c r="D17068" s="10" t="inlineStr">
        <is>
          <t>Công ty CP Toshiko Việt Nam</t>
        </is>
      </c>
      <c r="E17068" s="10" t="inlineStr">
        <is>
          <t>Lương:10 Tr - 15 Tr VND</t>
        </is>
      </c>
      <c r="F17068" s="10" t="inlineStr">
        <is>
          <t>Cần Thơ</t>
        </is>
      </c>
      <c r="G17068" s="10" t="inlineStr">
        <is>
          <t>6</t>
        </is>
      </c>
      <c r="H17068" s="10" t="inlineStr">
        <is>
          <t>23/03/2026</t>
        </is>
      </c>
      <c r="I17068" s="10" t="inlineStr">
        <is>
          <t>17/03/2026</t>
        </is>
      </c>
      <c r="J17068" s="10" t="inlineStr">
        <is>
          <t>Bán lẻ / Bán sỉ, Bán hàng / Kinh doanh, Tư vấn</t>
        </is>
      </c>
      <c r="K17068" s="10" t="inlineStr">
        <is>
          <t>1 - 2 Năm</t>
        </is>
      </c>
      <c r="L17068" s="11">
        <f>HYPERLINK("https://careerviet.vn/vi/tim-viec-lam/nhan-vien-ban-hang-can-tho.35C68D40.html","Xem chi tiết")</f>
        <v/>
      </c>
      <c r="M17068" s="10" t="n"/>
    </row>
    <row r="17069">
      <c r="B17069" s="7" t="n">
        <v>17067</v>
      </c>
      <c r="C17069" t="inlineStr">
        <is>
          <t>Nhân Viên Bán Hàng Online (Sales Online)</t>
        </is>
      </c>
      <c r="D17069" t="inlineStr">
        <is>
          <t>Concung.com - Con Cung Joint Stock Company</t>
        </is>
      </c>
      <c r="E17069" t="inlineStr">
        <is>
          <t>Lương:Cạnh tranh</t>
        </is>
      </c>
      <c r="F17069" t="inlineStr">
        <is>
          <t>Hồ Chí Minh</t>
        </is>
      </c>
      <c r="G17069" t="inlineStr">
        <is>
          <t>6</t>
        </is>
      </c>
      <c r="H17069" t="inlineStr">
        <is>
          <t>23/03/2026</t>
        </is>
      </c>
      <c r="I17069" t="inlineStr">
        <is>
          <t>17/03/2026</t>
        </is>
      </c>
      <c r="J17069" t="inlineStr">
        <is>
          <t>Bán lẻ / Bán sỉ, Bán hàng / Kinh doanh, Tiếp thị trực tuyến</t>
        </is>
      </c>
      <c r="K17069" t="inlineStr">
        <is>
          <t>N/A</t>
        </is>
      </c>
      <c r="L17069" s="8">
        <f>HYPERLINK("https://careerviet.vn/vi/tim-viec-lam/nhan-vien-ban-hang-online-sales-online.35C68EBF.html","Xem chi tiết")</f>
        <v/>
      </c>
    </row>
    <row r="17070">
      <c r="B17070" s="9" t="n">
        <v>17068</v>
      </c>
      <c r="C17070" s="10" t="inlineStr">
        <is>
          <t>Core Engineer (Fresher)</t>
        </is>
      </c>
      <c r="D17070" s="10" t="inlineStr">
        <is>
          <t>CÔNG TY TNHH CÔNG NGHỆ HUAWEI VIỆT NAM</t>
        </is>
      </c>
      <c r="E17070" s="10" t="inlineStr">
        <is>
          <t>Lương:Cạnh tranh</t>
        </is>
      </c>
      <c r="F17070" s="10" t="inlineStr">
        <is>
          <t>Hà NộiHồ Chí Minh</t>
        </is>
      </c>
      <c r="G17070" s="10" t="inlineStr">
        <is>
          <t>31-03-2026</t>
        </is>
      </c>
      <c r="H17070" s="10" t="inlineStr">
        <is>
          <t>31/03/2026</t>
        </is>
      </c>
      <c r="I17070" s="10" t="inlineStr">
        <is>
          <t>17/03/2026</t>
        </is>
      </c>
      <c r="J17070" s="10" t="inlineStr">
        <is>
          <t>Bưu chính viễn thông</t>
        </is>
      </c>
      <c r="K17070" s="10" t="inlineStr">
        <is>
          <t>N/A</t>
        </is>
      </c>
      <c r="L17070" s="11">
        <f>HYPERLINK("https://careerviet.vn/vi/tim-viec-lam/core-engineer-fresher.35C68F75.html","Xem chi tiết")</f>
        <v/>
      </c>
      <c r="M17070" s="10" t="n"/>
    </row>
    <row r="17071">
      <c r="B17071" s="7" t="n">
        <v>17069</v>
      </c>
      <c r="C17071" t="inlineStr">
        <is>
          <t>Chuyên Viên Kế Toán Thanh Toán - Novaland</t>
        </is>
      </c>
      <c r="D17071" t="inlineStr">
        <is>
          <t>Công Ty Cổ Phần Tập Đoàn Đầu Tư Địa Ốc No Va</t>
        </is>
      </c>
      <c r="E17071" t="inlineStr">
        <is>
          <t>Lương:Cạnh tranh</t>
        </is>
      </c>
      <c r="F17071" t="inlineStr">
        <is>
          <t>Hồ Chí Minh</t>
        </is>
      </c>
      <c r="G17071" t="inlineStr">
        <is>
          <t>31-03-2026</t>
        </is>
      </c>
      <c r="H17071" t="inlineStr">
        <is>
          <t>31/03/2026</t>
        </is>
      </c>
      <c r="I17071" t="inlineStr">
        <is>
          <t>17/03/2026</t>
        </is>
      </c>
      <c r="J17071" t="inlineStr">
        <is>
          <t>Kế toán / Kiểm toán, Ngân hàng, Tài chính / Đầu tư</t>
        </is>
      </c>
      <c r="K17071" t="inlineStr">
        <is>
          <t>2 - 3 Năm</t>
        </is>
      </c>
      <c r="L17071" s="8">
        <f>HYPERLINK("https://careerviet.vn/vi/tim-viec-lam/chuyen-vien-ke-toan-thanh-toan-novaland.35C68E3F.html","Xem chi tiết")</f>
        <v/>
      </c>
    </row>
    <row r="17072">
      <c r="B17072" s="9" t="n">
        <v>17070</v>
      </c>
      <c r="C17072" s="10" t="inlineStr">
        <is>
          <t>Nhân viên Thống Kê - Kế Hoạch Sản Xuất</t>
        </is>
      </c>
      <c r="D17072" s="10" t="inlineStr">
        <is>
          <t>Công ty Cổ Phần Tập Đoàn Điện Quang</t>
        </is>
      </c>
      <c r="E17072" s="10" t="inlineStr">
        <is>
          <t>Lương:Cạnh tranh</t>
        </is>
      </c>
      <c r="F17072" s="10" t="inlineStr">
        <is>
          <t>Hồ Chí Minh</t>
        </is>
      </c>
      <c r="G17072" s="10" t="inlineStr">
        <is>
          <t>25-03-2026</t>
        </is>
      </c>
      <c r="H17072" s="10" t="inlineStr">
        <is>
          <t>25/03/2026</t>
        </is>
      </c>
      <c r="I17072" s="10" t="inlineStr">
        <is>
          <t>17/03/2026</t>
        </is>
      </c>
      <c r="J17072" s="10" t="inlineStr">
        <is>
          <t>Kế toán / Kiểm toán, Xuất nhập khẩu, Thu mua / Vật tư</t>
        </is>
      </c>
      <c r="K17072" s="10" t="inlineStr">
        <is>
          <t>1 - 2 Năm</t>
        </is>
      </c>
      <c r="L17072" s="11">
        <f>HYPERLINK("https://careerviet.vn/vi/tim-viec-lam/nhan-vien-thong-ke-ke-hoach-san-xuat.35C68E12.html","Xem chi tiết")</f>
        <v/>
      </c>
      <c r="M17072" s="10" t="n"/>
    </row>
    <row r="17073">
      <c r="B17073" s="7" t="n">
        <v>17071</v>
      </c>
      <c r="C17073" t="inlineStr">
        <is>
          <t>Ký Sư Tính Khối Lượng (QS)</t>
        </is>
      </c>
      <c r="D17073" t="inlineStr">
        <is>
          <t>Công Ty Cổ Phần Xây Dựng Phước Thành</t>
        </is>
      </c>
      <c r="E17073" t="inlineStr">
        <is>
          <t>Lương:Cạnh tranh</t>
        </is>
      </c>
      <c r="F17073" t="inlineStr">
        <is>
          <t>Hồ Chí Minh</t>
        </is>
      </c>
      <c r="G17073" t="inlineStr">
        <is>
          <t>31-03-2026</t>
        </is>
      </c>
      <c r="H17073" t="inlineStr">
        <is>
          <t>31/03/2026</t>
        </is>
      </c>
      <c r="I17073" t="inlineStr">
        <is>
          <t>17/03/2026</t>
        </is>
      </c>
      <c r="J17073" t="inlineStr">
        <is>
          <t>Xây dựng</t>
        </is>
      </c>
      <c r="K17073" t="inlineStr">
        <is>
          <t>1 - 2 Năm</t>
        </is>
      </c>
      <c r="L17073" s="8">
        <f>HYPERLINK("https://careerviet.vn/vi/tim-viec-lam/ky-su-tinh-khoi-luong-qs.35C68D64.html","Xem chi tiết")</f>
        <v/>
      </c>
    </row>
    <row r="17074">
      <c r="B17074" s="9" t="n">
        <v>17072</v>
      </c>
      <c r="C17074" s="10" t="inlineStr">
        <is>
          <t>Kỹ sư QS</t>
        </is>
      </c>
      <c r="D17074" s="10" t="inlineStr">
        <is>
          <t>Công Ty Cổ Phần A25 Hotel</t>
        </is>
      </c>
      <c r="E17074" s="10" t="inlineStr">
        <is>
          <t>Lương:20 Tr - 35 Tr VND</t>
        </is>
      </c>
      <c r="F17074" s="10" t="inlineStr">
        <is>
          <t>Hà Nội</t>
        </is>
      </c>
      <c r="G17074" s="10" t="inlineStr">
        <is>
          <t>31-03-2026</t>
        </is>
      </c>
      <c r="H17074" s="10" t="inlineStr">
        <is>
          <t>31/03/2026</t>
        </is>
      </c>
      <c r="I17074" s="10" t="inlineStr">
        <is>
          <t>17/03/2026</t>
        </is>
      </c>
      <c r="J17074" s="10" t="inlineStr">
        <is>
          <t>Kiến trúc, Xây dựng, Nội ngoại thất</t>
        </is>
      </c>
      <c r="K17074" s="10" t="inlineStr">
        <is>
          <t>3 - 5 Năm</t>
        </is>
      </c>
      <c r="L17074" s="11">
        <f>HYPERLINK("https://careerviet.vn/vi/tim-viec-lam/ky-su-qs.35C68F4C.html","Xem chi tiết")</f>
        <v/>
      </c>
      <c r="M17074" s="10" t="n"/>
    </row>
    <row r="17075">
      <c r="B17075" s="7" t="n">
        <v>17073</v>
      </c>
      <c r="C17075" t="inlineStr">
        <is>
          <t>Export Sales</t>
        </is>
      </c>
      <c r="D17075" t="inlineStr">
        <is>
          <t>CÔNG TY CỔ PHẦN BMP GROUP</t>
        </is>
      </c>
      <c r="E17075" t="inlineStr">
        <is>
          <t>Lương:Cạnh tranh</t>
        </is>
      </c>
      <c r="F17075" t="inlineStr">
        <is>
          <t>Hồ Chí Minh</t>
        </is>
      </c>
      <c r="G17075" t="inlineStr">
        <is>
          <t>08-03-2026</t>
        </is>
      </c>
      <c r="H17075" t="inlineStr">
        <is>
          <t>14/03/2026</t>
        </is>
      </c>
      <c r="I17075" t="inlineStr">
        <is>
          <t>17/03/2026</t>
        </is>
      </c>
      <c r="J17075" t="inlineStr">
        <is>
          <t>Xuất nhập khẩu, Bán Hàng Kỹ Thuật, Bán hàng / Kinh doanh</t>
        </is>
      </c>
      <c r="K17075" t="inlineStr">
        <is>
          <t>1 - 3 Năm</t>
        </is>
      </c>
      <c r="L17075" s="8">
        <f>HYPERLINK("https://careerviet.vn/vi/tim-viec-lam/export-sales.35C68D1E.html","Xem chi tiết")</f>
        <v/>
      </c>
    </row>
    <row r="17076">
      <c r="B17076" s="9" t="n">
        <v>17074</v>
      </c>
      <c r="C17076" s="10" t="inlineStr">
        <is>
          <t>Nhân viên kỹ thuật</t>
        </is>
      </c>
      <c r="D17076" s="10" t="inlineStr">
        <is>
          <t>Công ty TNHH ENP BIOTECH (VN)</t>
        </is>
      </c>
      <c r="E17076" s="10" t="inlineStr">
        <is>
          <t>Lương:10 Tr - 12 Tr VND</t>
        </is>
      </c>
      <c r="F17076" s="10" t="inlineStr">
        <is>
          <t>Khánh Hòa</t>
        </is>
      </c>
      <c r="G17076" s="10" t="inlineStr">
        <is>
          <t>08-03-2026</t>
        </is>
      </c>
      <c r="H17076" s="10" t="inlineStr">
        <is>
          <t>15/03/2026</t>
        </is>
      </c>
      <c r="I17076" s="10" t="inlineStr">
        <is>
          <t>17/03/2026</t>
        </is>
      </c>
      <c r="J17076" s="10" t="inlineStr">
        <is>
          <t>Điện / Điện tử / Điện lạnh / Điện công nghiệp, Bảo trì / Sửa chữa, Nông nghiệp</t>
        </is>
      </c>
      <c r="K17076" s="10" t="inlineStr">
        <is>
          <t>3 - 5 Năm</t>
        </is>
      </c>
      <c r="L17076" s="11">
        <f>HYPERLINK("https://careerviet.vn/vi/tim-viec-lam/nhan-vien-ky-thuat.35C68D11.html","Xem chi tiết")</f>
        <v/>
      </c>
      <c r="M17076" s="10" t="n"/>
    </row>
    <row r="17077">
      <c r="B17077" s="7" t="n">
        <v>17075</v>
      </c>
      <c r="C17077" t="inlineStr">
        <is>
          <t>Nhân viên kế toán (Làm việc tại Hạ Long)</t>
        </is>
      </c>
      <c r="D17077" t="inlineStr">
        <is>
          <t>Công Ty Cổ Phần A25 Hotel</t>
        </is>
      </c>
      <c r="E17077" t="inlineStr">
        <is>
          <t>Lương:18 Tr - 36 Tr VND</t>
        </is>
      </c>
      <c r="F17077" t="inlineStr">
        <is>
          <t>Quảng Ninh</t>
        </is>
      </c>
      <c r="G17077" t="inlineStr">
        <is>
          <t>08-03-2026</t>
        </is>
      </c>
      <c r="H17077" t="inlineStr">
        <is>
          <t>04/03/2026</t>
        </is>
      </c>
      <c r="I17077" t="inlineStr">
        <is>
          <t>17/03/2026</t>
        </is>
      </c>
      <c r="J17077" t="inlineStr">
        <is>
          <t>Kế toán / Kiểm toán</t>
        </is>
      </c>
      <c r="K17077" t="inlineStr">
        <is>
          <t>2 - 3 Năm</t>
        </is>
      </c>
      <c r="L17077" s="8">
        <f>HYPERLINK("https://careerviet.vn/vi/tim-viec-lam/nhan-vien-ke-toan-lam-viec-tai-ha-long.35C68F3C.html","Xem chi tiết")</f>
        <v/>
      </c>
    </row>
    <row r="17078">
      <c r="B17078" s="9" t="n">
        <v>17076</v>
      </c>
      <c r="C17078" s="10" t="inlineStr">
        <is>
          <t>Marketing Event Executive</t>
        </is>
      </c>
      <c r="D17078" s="10" t="inlineStr">
        <is>
          <t>INDOGUNA VINA FOOD SERVICE (INDV)</t>
        </is>
      </c>
      <c r="E17078" s="10" t="inlineStr">
        <is>
          <t>Lương:Cạnh tranh</t>
        </is>
      </c>
      <c r="F17078" s="10" t="inlineStr">
        <is>
          <t>Hồ Chí Minh</t>
        </is>
      </c>
      <c r="G17078" s="10" t="inlineStr">
        <is>
          <t>01-04-2026</t>
        </is>
      </c>
      <c r="H17078" s="10" t="inlineStr">
        <is>
          <t>01/04/2026</t>
        </is>
      </c>
      <c r="I17078" s="10" t="inlineStr">
        <is>
          <t>17/03/2026</t>
        </is>
      </c>
      <c r="J17078" s="10" t="inlineStr">
        <is>
          <t>Giải trí, Nhà hàng / Khách sạn, Bán lẻ / Bán sỉ</t>
        </is>
      </c>
      <c r="K17078" s="10" t="inlineStr">
        <is>
          <t>2 - 3 Năm</t>
        </is>
      </c>
      <c r="L17078" s="11">
        <f>HYPERLINK("https://careerviet.vn/vi/tim-viec-lam/marketing-event-executive.35C68DBC.html","Xem chi tiết")</f>
        <v/>
      </c>
      <c r="M17078" s="10" t="n"/>
    </row>
    <row r="17079">
      <c r="B17079" s="7" t="n">
        <v>17077</v>
      </c>
      <c r="C17079" t="inlineStr">
        <is>
          <t>Nhân viên truyền thông nội bộ</t>
        </is>
      </c>
      <c r="D17079" t="inlineStr">
        <is>
          <t>HEXAGON - CÔNG TY CỔ PHẦN THIẾT KẾ LỤC GIÁC</t>
        </is>
      </c>
      <c r="E17079" t="inlineStr">
        <is>
          <t>Lương:8 Tr - 12 Tr VND</t>
        </is>
      </c>
      <c r="F17079" t="inlineStr">
        <is>
          <t>Hà Nội</t>
        </is>
      </c>
      <c r="G17079" t="inlineStr">
        <is>
          <t>28-03-2026</t>
        </is>
      </c>
      <c r="H17079" t="inlineStr">
        <is>
          <t>28/03/2026</t>
        </is>
      </c>
      <c r="I17079" t="inlineStr">
        <is>
          <t>17/03/2026</t>
        </is>
      </c>
      <c r="J17079" t="inlineStr">
        <is>
          <t>Quảng cáo / Đối ngoại / Truyền Thông, Nhân sự</t>
        </is>
      </c>
      <c r="K17079" t="inlineStr">
        <is>
          <t>1 - 2 Năm</t>
        </is>
      </c>
      <c r="L17079" s="8">
        <f>HYPERLINK("https://careerviet.vn/vi/tim-viec-lam/nhan-vien-truyen-thong-noi-bo.35C68DD5.html","Xem chi tiết")</f>
        <v/>
      </c>
    </row>
    <row r="17080">
      <c r="B17080" s="9" t="n">
        <v>17078</v>
      </c>
      <c r="C17080" s="10" t="inlineStr">
        <is>
          <t>Giám sát bán hàng kênh GT-khu vực Bình Dương</t>
        </is>
      </c>
      <c r="D17080" s="10" t="inlineStr">
        <is>
          <t>Công ty Cổ Phần Hóa Mỹ Phẩm Mỹ Hảo</t>
        </is>
      </c>
      <c r="E17080" s="10" t="inlineStr">
        <is>
          <t>Lương:12 Tr - 18 Tr VND</t>
        </is>
      </c>
      <c r="F17080" s="10" t="inlineStr">
        <is>
          <t>Bình Dương</t>
        </is>
      </c>
      <c r="G17080" s="10" t="inlineStr">
        <is>
          <t>31-03-2026</t>
        </is>
      </c>
      <c r="H17080" s="10" t="inlineStr">
        <is>
          <t>31/03/2026</t>
        </is>
      </c>
      <c r="I17080" s="10" t="inlineStr">
        <is>
          <t>17/03/2026</t>
        </is>
      </c>
      <c r="J17080" s="10" t="inlineStr">
        <is>
          <t>Bán lẻ / Bán sỉ, Bán hàng / Kinh doanh, Hàng gia dụng / Chăm sóc cá nhân</t>
        </is>
      </c>
      <c r="K17080" s="10" t="inlineStr">
        <is>
          <t>Trên 2 Năm</t>
        </is>
      </c>
      <c r="L17080" s="11">
        <f>HYPERLINK("https://careerviet.vn/vi/tim-viec-lam/giam-sat-ban-hang-kenh-gt-khu-vuc-binh-duong.35C68D3A.html","Xem chi tiết")</f>
        <v/>
      </c>
      <c r="M17080" s="10" t="n"/>
    </row>
    <row r="17081">
      <c r="B17081" s="7" t="n">
        <v>17079</v>
      </c>
      <c r="C17081" t="inlineStr">
        <is>
          <t>Chuyên gia Kinh doanh và Phát triển đối tác kênh số - Làm việc tại TP Hồ Chí Minh</t>
        </is>
      </c>
      <c r="D17081" t="inlineStr">
        <is>
          <t>Ngân hàng TMCP Việt Á – VietABank</t>
        </is>
      </c>
      <c r="E17081" t="inlineStr">
        <is>
          <t>Lương:Trên 30 Tr VND</t>
        </is>
      </c>
      <c r="F17081" t="inlineStr">
        <is>
          <t>Hồ Chí Minh</t>
        </is>
      </c>
      <c r="G17081" t="inlineStr">
        <is>
          <t>31-03-2026</t>
        </is>
      </c>
      <c r="H17081" t="inlineStr">
        <is>
          <t>31/03/2026</t>
        </is>
      </c>
      <c r="I17081" t="inlineStr">
        <is>
          <t>17/03/2026</t>
        </is>
      </c>
      <c r="J17081" t="inlineStr">
        <is>
          <t>Tiếp thị / Marketing, Ngân hàng</t>
        </is>
      </c>
      <c r="K17081" t="inlineStr">
        <is>
          <t>Trên 5 Năm</t>
        </is>
      </c>
      <c r="L17081" s="8">
        <f>HYPERLINK("https://careerviet.vn/vi/tim-viec-lam/chuyen-gia-kinh-doanh-va-phat-trien-doi-tac-kenh-so-lam-viec-tai-tp-ho-chi-minh.35C68EF9.html","Xem chi tiết")</f>
        <v/>
      </c>
    </row>
    <row r="17082">
      <c r="B17082" s="9" t="n">
        <v>17080</v>
      </c>
      <c r="C17082" s="10" t="inlineStr">
        <is>
          <t>[CITIGYM] Media Production Manager</t>
        </is>
      </c>
      <c r="D17082" s="10" t="inlineStr">
        <is>
          <t>Nova Service Group - Công ty Cổ phần Tập đoàn Nova Services</t>
        </is>
      </c>
      <c r="E17082" s="10" t="inlineStr">
        <is>
          <t>Lương:30 Tr - 45 Tr VND</t>
        </is>
      </c>
      <c r="F17082" s="10" t="inlineStr">
        <is>
          <t>Hồ Chí Minh</t>
        </is>
      </c>
      <c r="G17082" s="10" t="inlineStr">
        <is>
          <t>31-03-2026</t>
        </is>
      </c>
      <c r="H17082" s="10" t="inlineStr">
        <is>
          <t>31/03/2026</t>
        </is>
      </c>
      <c r="I17082" s="10" t="inlineStr">
        <is>
          <t>17/03/2026</t>
        </is>
      </c>
      <c r="J17082" s="10" t="inlineStr">
        <is>
          <t>Tiếp thị / Marketing</t>
        </is>
      </c>
      <c r="K17082" s="10" t="inlineStr">
        <is>
          <t>5 - 7 Năm</t>
        </is>
      </c>
      <c r="L17082" s="11">
        <f>HYPERLINK("https://careerviet.vn/vi/tim-viec-lam/citigym-media-production-manager.35C68F45.html","Xem chi tiết")</f>
        <v/>
      </c>
      <c r="M17082" s="10" t="n"/>
    </row>
    <row r="17083">
      <c r="B17083" s="7" t="n">
        <v>17081</v>
      </c>
      <c r="C17083" t="inlineStr">
        <is>
          <t>Kỹ Sư Lập Trình Firmware</t>
        </is>
      </c>
      <c r="D17083" t="inlineStr">
        <is>
          <t>Công ty TNHH Greystone Data Systems Việt Nam</t>
        </is>
      </c>
      <c r="E17083" t="inlineStr">
        <is>
          <t>Lương:11 Tr - 15 Tr VND</t>
        </is>
      </c>
      <c r="F17083" t="inlineStr">
        <is>
          <t>Hồ Chí Minh</t>
        </is>
      </c>
      <c r="G17083" t="inlineStr">
        <is>
          <t>25-03-2026</t>
        </is>
      </c>
      <c r="H17083" t="inlineStr">
        <is>
          <t>25/03/2026</t>
        </is>
      </c>
      <c r="I17083" t="inlineStr">
        <is>
          <t>17/03/2026</t>
        </is>
      </c>
      <c r="J17083" t="inlineStr">
        <is>
          <t>Điện / Điện tử / Điện lạnh / Điện công nghiệp, CNTT - Phần mềm, CNTT - Phần cứng / Mạng</t>
        </is>
      </c>
      <c r="K17083" t="inlineStr">
        <is>
          <t>1 - 2 Năm</t>
        </is>
      </c>
      <c r="L17083" s="8">
        <f>HYPERLINK("https://careerviet.vn/vi/tim-viec-lam/ky-su-lap-trinh-firmware.35C68D5B.html","Xem chi tiết")</f>
        <v/>
      </c>
    </row>
    <row r="17084">
      <c r="B17084" s="9" t="n">
        <v>17082</v>
      </c>
      <c r="C17084" s="10" t="inlineStr">
        <is>
          <t>Maintenance Engineer (Fresh graduate)</t>
        </is>
      </c>
      <c r="D17084" s="10" t="inlineStr">
        <is>
          <t>CÔNG TY CỔ PHẦN BMP GROUP</t>
        </is>
      </c>
      <c r="E17084" s="10" t="inlineStr">
        <is>
          <t>Lương:Cạnh tranh</t>
        </is>
      </c>
      <c r="F17084" s="10" t="inlineStr">
        <is>
          <t>Bình Dương</t>
        </is>
      </c>
      <c r="G17084" s="10" t="inlineStr">
        <is>
          <t>Hôm nay</t>
        </is>
      </c>
      <c r="H17084" s="10" t="inlineStr">
        <is>
          <t>17/03/2026</t>
        </is>
      </c>
      <c r="I17084" s="10" t="inlineStr">
        <is>
          <t>17/03/2026</t>
        </is>
      </c>
      <c r="J17084" s="10" t="inlineStr">
        <is>
          <t>Bảo trì / Sửa chữa, Sản xuất / Vận hành sản xuất, In ấn / Xuất bản</t>
        </is>
      </c>
      <c r="K17084" s="10" t="inlineStr">
        <is>
          <t>N/A</t>
        </is>
      </c>
      <c r="L17084" s="11">
        <f>HYPERLINK("https://careerviet.vn/vi/tim-viec-lam/maintenance-engineer-fresh-graduate.35C68D17.html","Xem chi tiết")</f>
        <v/>
      </c>
      <c r="M17084" s="10" t="n"/>
    </row>
    <row r="17085">
      <c r="B17085" s="7" t="n">
        <v>17083</v>
      </c>
      <c r="C17085" t="inlineStr">
        <is>
          <t>[Hồ Tràm] Tuyển Nhân Viên Bán Hàng - Chuỗi Cửa Hàng Bán Lẻ Thiết Bị Sức Khỏe</t>
        </is>
      </c>
      <c r="D17085" t="inlineStr">
        <is>
          <t>Công Ty TNHH XNK Phát Triển Đông Dương</t>
        </is>
      </c>
      <c r="E17085" t="inlineStr">
        <is>
          <t>Lương:12 Tr - 20 Tr VND</t>
        </is>
      </c>
      <c r="F17085" t="inlineStr">
        <is>
          <t>Bà Rịa - Vũng Tàu</t>
        </is>
      </c>
      <c r="G17085" t="inlineStr">
        <is>
          <t>31-03-2026</t>
        </is>
      </c>
      <c r="H17085" t="inlineStr">
        <is>
          <t>31/03/2026</t>
        </is>
      </c>
      <c r="I17085" t="inlineStr">
        <is>
          <t>17/03/2026</t>
        </is>
      </c>
      <c r="J17085" t="inlineStr">
        <is>
          <t>Bán lẻ / Bán sỉ, Bán hàng / Kinh doanh, Tư vấn</t>
        </is>
      </c>
      <c r="K17085" t="inlineStr">
        <is>
          <t>N/A</t>
        </is>
      </c>
      <c r="L17085" s="8">
        <f>HYPERLINK("https://careerviet.vn/vi/tim-viec-lam/ho-tram-tuyen-nhan-vien-ban-hang-chuoi-cua-hang-ban-le-thiet-bi-suc-khoe.35C68E4B.html","Xem chi tiết")</f>
        <v/>
      </c>
    </row>
    <row r="17086">
      <c r="B17086" s="9" t="n">
        <v>17084</v>
      </c>
      <c r="C17086" s="10" t="inlineStr">
        <is>
          <t>[Tây Ninh] Tuyển Nhân Viên Bán Hàng Tại Showroom - Lương cao - Có đào tạo</t>
        </is>
      </c>
      <c r="D17086" s="10" t="inlineStr">
        <is>
          <t>Công Ty TNHH XNK Phát Triển Đông Dương</t>
        </is>
      </c>
      <c r="E17086" s="10" t="inlineStr">
        <is>
          <t>Lương:Cạnh tranh</t>
        </is>
      </c>
      <c r="F17086" s="10" t="inlineStr">
        <is>
          <t>Tây Ninh</t>
        </is>
      </c>
      <c r="G17086" s="10" t="inlineStr">
        <is>
          <t>6</t>
        </is>
      </c>
      <c r="H17086" s="10" t="inlineStr">
        <is>
          <t>23/03/2026</t>
        </is>
      </c>
      <c r="I17086" s="10" t="inlineStr">
        <is>
          <t>17/03/2026</t>
        </is>
      </c>
      <c r="J17086" s="10" t="inlineStr">
        <is>
          <t>Bán lẻ / Bán sỉ, Bán hàng / Kinh doanh, Tư vấn</t>
        </is>
      </c>
      <c r="K17086" s="10" t="inlineStr">
        <is>
          <t>N/A</t>
        </is>
      </c>
      <c r="L17086" s="11">
        <f>HYPERLINK("https://careerviet.vn/vi/tim-viec-lam/tay-ninh-tuyen-nhan-vien-ban-hang-tai-showroom-luong-cao-co-dao-tao.35C68E71.html","Xem chi tiết")</f>
        <v/>
      </c>
      <c r="M17086" s="10" t="n"/>
    </row>
    <row r="17087">
      <c r="B17087" s="7" t="n">
        <v>17085</v>
      </c>
      <c r="C17087" t="inlineStr">
        <is>
          <t>Chuyên viên Kế toán Thuế (có thể đi làm sau Tết)</t>
        </is>
      </c>
      <c r="D17087" t="inlineStr">
        <is>
          <t>Công Ty Cổ Phần Thương Mại Tư Vấn Và Xây Dựng Vĩnh Hưng</t>
        </is>
      </c>
      <c r="E17087" t="inlineStr">
        <is>
          <t>Lương:15 Tr - 22 Tr VND</t>
        </is>
      </c>
      <c r="F17087" t="inlineStr">
        <is>
          <t>Hà Nội</t>
        </is>
      </c>
      <c r="G17087" t="inlineStr">
        <is>
          <t>31-03-2026</t>
        </is>
      </c>
      <c r="H17087" t="inlineStr">
        <is>
          <t>31/03/2026</t>
        </is>
      </c>
      <c r="I17087" t="inlineStr">
        <is>
          <t>17/03/2026</t>
        </is>
      </c>
      <c r="J17087" t="inlineStr">
        <is>
          <t>Kế toán / Kiểm toán</t>
        </is>
      </c>
      <c r="K17087" t="inlineStr">
        <is>
          <t>3 - 5 Năm</t>
        </is>
      </c>
      <c r="L17087" s="8">
        <f>HYPERLINK("https://careerviet.vn/vi/tim-viec-lam/chuyen-vien-ke-toan-thue-co-the-di-lam-sau-tet.35C68EA7.html","Xem chi tiết")</f>
        <v/>
      </c>
    </row>
    <row r="17088">
      <c r="B17088" s="9" t="n">
        <v>17086</v>
      </c>
      <c r="C17088" s="10" t="inlineStr">
        <is>
          <t>[Đà Nẵng] Digital Marketing Executive</t>
        </is>
      </c>
      <c r="D17088" s="10" t="inlineStr">
        <is>
          <t>CÔNG TY TNHH MJ ART GROUP</t>
        </is>
      </c>
      <c r="E17088" s="10" t="inlineStr">
        <is>
          <t>Lương:Cạnh tranh</t>
        </is>
      </c>
      <c r="F17088" s="10" t="inlineStr">
        <is>
          <t>Đà Nẵng</t>
        </is>
      </c>
      <c r="G17088" s="10" t="inlineStr">
        <is>
          <t>25-03-2026</t>
        </is>
      </c>
      <c r="H17088" s="10" t="inlineStr">
        <is>
          <t>25/03/2026</t>
        </is>
      </c>
      <c r="I17088" s="10" t="inlineStr">
        <is>
          <t>17/03/2026</t>
        </is>
      </c>
      <c r="J17088" s="10" t="inlineStr">
        <is>
          <t>Tiếp thị / Marketing, Tiếp thị trực tuyến, Thương mại điện tử</t>
        </is>
      </c>
      <c r="K17088" s="10" t="inlineStr">
        <is>
          <t>1 - 3 Năm</t>
        </is>
      </c>
      <c r="L17088" s="11">
        <f>HYPERLINK("https://careerviet.vn/vi/tim-viec-lam/da-nang-digital-marketing-executive.35C68D62.html","Xem chi tiết")</f>
        <v/>
      </c>
      <c r="M17088" s="10" t="n"/>
    </row>
    <row r="17089">
      <c r="B17089" s="7" t="n">
        <v>17087</v>
      </c>
      <c r="C17089" t="inlineStr">
        <is>
          <t>Medical Sales Representative (Biên Hòa - Đồng Nai)</t>
        </is>
      </c>
      <c r="D17089" t="inlineStr">
        <is>
          <t>DIAG</t>
        </is>
      </c>
      <c r="E17089" t="inlineStr">
        <is>
          <t>Lương:Cạnh tranh</t>
        </is>
      </c>
      <c r="F17089" t="inlineStr">
        <is>
          <t>Đồng Nai</t>
        </is>
      </c>
      <c r="G17089" t="inlineStr">
        <is>
          <t>31-03-2026</t>
        </is>
      </c>
      <c r="H17089" t="inlineStr">
        <is>
          <t>31/03/2026</t>
        </is>
      </c>
      <c r="I17089" t="inlineStr">
        <is>
          <t>17/03/2026</t>
        </is>
      </c>
      <c r="J17089" t="inlineStr">
        <is>
          <t>Công nghệ thực phẩm / Dinh dưỡng, Hàng gia dụng / Chăm sóc cá nhân, Y tế / Chăm sóc sức khỏe / Thẩm mỹ / Làm đẹp</t>
        </is>
      </c>
      <c r="K17089" t="inlineStr">
        <is>
          <t>1 - 2 Năm</t>
        </is>
      </c>
      <c r="L17089" s="8">
        <f>HYPERLINK("https://careerviet.vn/vi/tim-viec-lam/medical-sales-representative-bien-hoa-dong-nai.35C68CA2.html","Xem chi tiết")</f>
        <v/>
      </c>
    </row>
    <row r="17090">
      <c r="B17090" s="9" t="n">
        <v>17088</v>
      </c>
      <c r="C17090" s="10" t="inlineStr">
        <is>
          <t>NHÂN VIÊN KẾ TOÁN</t>
        </is>
      </c>
      <c r="D17090" s="10" t="inlineStr">
        <is>
          <t>CÔNG TY TNHH KEIKO VIỆT NAM</t>
        </is>
      </c>
      <c r="E17090" s="10" t="inlineStr">
        <is>
          <t>Lương:8,5 Tr - 9 Tr VND</t>
        </is>
      </c>
      <c r="F17090" s="10" t="inlineStr">
        <is>
          <t>Hà Nội</t>
        </is>
      </c>
      <c r="G17090" s="10" t="inlineStr">
        <is>
          <t>6</t>
        </is>
      </c>
      <c r="H17090" s="10" t="inlineStr">
        <is>
          <t>23/03/2026</t>
        </is>
      </c>
      <c r="I17090" s="10" t="inlineStr">
        <is>
          <t>17/03/2026</t>
        </is>
      </c>
      <c r="J17090" s="10" t="inlineStr">
        <is>
          <t>Kế toán / Kiểm toán, Nhân sự, Tài chính / Đầu tư</t>
        </is>
      </c>
      <c r="K17090" s="10" t="inlineStr">
        <is>
          <t>N/A</t>
        </is>
      </c>
      <c r="L17090" s="11">
        <f>HYPERLINK("https://careerviet.vn/vi/tim-viec-lam/nhan-vien-ke-toan.35C68E04.html","Xem chi tiết")</f>
        <v/>
      </c>
      <c r="M17090" s="10" t="n"/>
    </row>
    <row r="17091">
      <c r="B17091" s="7" t="n">
        <v>17089</v>
      </c>
      <c r="C17091" t="inlineStr">
        <is>
          <t>TRƯỞNG PHÒNG ĐÀO TẠO</t>
        </is>
      </c>
      <c r="D17091" t="inlineStr">
        <is>
          <t>CÔNG TY CỔ PHẦN SÀN BẤT ĐỘNG SẢN HOMEGROUP</t>
        </is>
      </c>
      <c r="E17091" t="inlineStr">
        <is>
          <t>Lương:16 Tr - 20 Tr VND</t>
        </is>
      </c>
      <c r="F17091" t="inlineStr">
        <is>
          <t>Hồ Chí Minh</t>
        </is>
      </c>
      <c r="G17091" t="inlineStr">
        <is>
          <t>6</t>
        </is>
      </c>
      <c r="H17091" t="inlineStr">
        <is>
          <t>23/03/2026</t>
        </is>
      </c>
      <c r="I17091" t="inlineStr">
        <is>
          <t>17/03/2026</t>
        </is>
      </c>
      <c r="J17091" t="inlineStr">
        <is>
          <t>Bất động sản, Giáo dục / Đào tạo</t>
        </is>
      </c>
      <c r="K17091" t="inlineStr">
        <is>
          <t>3 - 5 Năm</t>
        </is>
      </c>
      <c r="L17091" s="8">
        <f>HYPERLINK("https://careerviet.vn/vi/tim-viec-lam/truong-phong-dao-tao.35C68F79.html","Xem chi tiết")</f>
        <v/>
      </c>
    </row>
    <row r="17092">
      <c r="B17092" s="9" t="n">
        <v>17090</v>
      </c>
      <c r="C17092" s="10" t="inlineStr">
        <is>
          <t>Trưởng phòng marketing điểm đến (thuộc khu đô thị)</t>
        </is>
      </c>
      <c r="D17092" s="10" t="inlineStr">
        <is>
          <t>Tập Đoàn Tân Á Đại Thành</t>
        </is>
      </c>
      <c r="E17092" s="10" t="inlineStr">
        <is>
          <t>Lương:Cạnh tranh</t>
        </is>
      </c>
      <c r="F17092" s="10" t="inlineStr">
        <is>
          <t>Hà Nội</t>
        </is>
      </c>
      <c r="G17092" s="10" t="inlineStr">
        <is>
          <t>6</t>
        </is>
      </c>
      <c r="H17092" s="10" t="inlineStr">
        <is>
          <t>23/03/2026</t>
        </is>
      </c>
      <c r="I17092" s="10" t="inlineStr">
        <is>
          <t>17/03/2026</t>
        </is>
      </c>
      <c r="J17092" s="10" t="inlineStr">
        <is>
          <t>Tiếp thị / Marketing, Quảng cáo / Đối ngoại / Truyền Thông, Truyền hình / Báo chí / Biên tập</t>
        </is>
      </c>
      <c r="K17092" s="10" t="inlineStr">
        <is>
          <t>3 - 5 Năm</t>
        </is>
      </c>
      <c r="L17092" s="11">
        <f>HYPERLINK("https://careerviet.vn/vi/tim-viec-lam/truong-phong-marketing-diem-den-thuoc-khu-do-thi.35C68E3C.html","Xem chi tiết")</f>
        <v/>
      </c>
      <c r="M17092" s="10" t="n"/>
    </row>
    <row r="17093">
      <c r="B17093" s="7" t="n">
        <v>17091</v>
      </c>
      <c r="C17093" t="inlineStr">
        <is>
          <t>Trưởng Ban Quản Lý Nâng Cấp</t>
        </is>
      </c>
      <c r="D17093" t="inlineStr">
        <is>
          <t>Công Ty Cổ Phần A25 Hotel</t>
        </is>
      </c>
      <c r="E17093" t="inlineStr">
        <is>
          <t>Lương:20 Tr - 35 Tr VND</t>
        </is>
      </c>
      <c r="F17093" t="inlineStr">
        <is>
          <t>Hà Nội</t>
        </is>
      </c>
      <c r="G17093" t="inlineStr">
        <is>
          <t>31-03-2026</t>
        </is>
      </c>
      <c r="H17093" t="inlineStr">
        <is>
          <t>31/03/2026</t>
        </is>
      </c>
      <c r="I17093" t="inlineStr">
        <is>
          <t>17/03/2026</t>
        </is>
      </c>
      <c r="J17093" t="inlineStr">
        <is>
          <t>Kiến trúc, Xây dựng, Nội ngoại thất</t>
        </is>
      </c>
      <c r="K17093" t="inlineStr">
        <is>
          <t>3 - 5 Năm</t>
        </is>
      </c>
      <c r="L17093" s="8">
        <f>HYPERLINK("https://careerviet.vn/vi/tim-viec-lam/truong-ban-quan-ly-nang-cap.35C68F4F.html","Xem chi tiết")</f>
        <v/>
      </c>
    </row>
    <row r="17094">
      <c r="B17094" s="9" t="n">
        <v>17092</v>
      </c>
      <c r="C17094" s="10" t="inlineStr">
        <is>
          <t>Nhân viên kỹ thuật lắp đặt GPS cho ô tô</t>
        </is>
      </c>
      <c r="D17094" s="10" t="inlineStr">
        <is>
          <t>Công Ty TNHH Phát Triển Công Nghệ Điện Tử Bình Anh</t>
        </is>
      </c>
      <c r="E17094" s="10" t="inlineStr">
        <is>
          <t>Lương:7 Tr - 10 Tr VND</t>
        </is>
      </c>
      <c r="F17094" s="10" t="inlineStr">
        <is>
          <t>Hải PhòngHà Tĩnh</t>
        </is>
      </c>
      <c r="G17094" s="10" t="inlineStr">
        <is>
          <t>31-03-2026</t>
        </is>
      </c>
      <c r="H17094" s="10" t="inlineStr">
        <is>
          <t>31/03/2026</t>
        </is>
      </c>
      <c r="I17094" s="10" t="inlineStr">
        <is>
          <t>17/03/2026</t>
        </is>
      </c>
      <c r="J17094" s="10" t="inlineStr">
        <is>
          <t>Cơ khí / Ô tô / Tự động hóa, Điện / Điện tử / Điện lạnh / Điện công nghiệp, Bảo trì / Sửa chữa</t>
        </is>
      </c>
      <c r="K17094" s="10" t="inlineStr">
        <is>
          <t>N/A</t>
        </is>
      </c>
      <c r="L17094" s="11">
        <f>HYPERLINK("https://careerviet.vn/vi/tim-viec-lam/nhan-vien-ky-thuat-lap-dat-gps-cho-o-to.35C68F22.html","Xem chi tiết")</f>
        <v/>
      </c>
      <c r="M17094" s="10" t="n"/>
    </row>
    <row r="17095">
      <c r="B17095" s="7" t="n">
        <v>17093</v>
      </c>
      <c r="C17095" t="inlineStr">
        <is>
          <t>[Factory 1] R&amp;D Junior Scientist (Chemical/ Biotech)</t>
        </is>
      </c>
      <c r="D17095" t="inlineStr">
        <is>
          <t>CÔNG TY TNHH ROHTO-MENTHOLATUM (VIỆT NAM)</t>
        </is>
      </c>
      <c r="E17095" t="inlineStr">
        <is>
          <t>Lương:Cạnh tranh</t>
        </is>
      </c>
      <c r="F17095" t="inlineStr">
        <is>
          <t>Bình Dương</t>
        </is>
      </c>
      <c r="G17095" t="inlineStr">
        <is>
          <t>6</t>
        </is>
      </c>
      <c r="H17095" t="inlineStr">
        <is>
          <t>23/03/2026</t>
        </is>
      </c>
      <c r="I17095" t="inlineStr">
        <is>
          <t>17/03/2026</t>
        </is>
      </c>
      <c r="J17095" t="inlineStr">
        <is>
          <t>Dược phẩm/ Hóa Mỹ Phẩm, Y tế / Chăm sóc sức khỏe / Thẩm mỹ / Làm đẹp</t>
        </is>
      </c>
      <c r="K17095" t="inlineStr">
        <is>
          <t>N/A</t>
        </is>
      </c>
      <c r="L17095" s="8">
        <f>HYPERLINK("https://careerviet.vn/vi/tim-viec-lam/factory-1-r-d-junior-scientist-chemical-biotech.35C68E00.html","Xem chi tiết")</f>
        <v/>
      </c>
    </row>
    <row r="17096">
      <c r="B17096" s="9" t="n">
        <v>17094</v>
      </c>
      <c r="C17096" s="10" t="inlineStr">
        <is>
          <t>Trưởng/Phó phòng mua hàng – XNK</t>
        </is>
      </c>
      <c r="D17096" s="10" t="inlineStr">
        <is>
          <t>CÔNG TY TNHH JOB HOUSE</t>
        </is>
      </c>
      <c r="E17096" s="10" t="inlineStr">
        <is>
          <t>Lương:20 Tr - 30 Tr VND</t>
        </is>
      </c>
      <c r="F17096" s="10" t="inlineStr">
        <is>
          <t>Hà NộiBắc Ninh</t>
        </is>
      </c>
      <c r="G17096" s="10" t="inlineStr">
        <is>
          <t>31-03-2026</t>
        </is>
      </c>
      <c r="H17096" s="10" t="inlineStr">
        <is>
          <t>31/03/2026</t>
        </is>
      </c>
      <c r="I17096" s="10" t="inlineStr">
        <is>
          <t>17/03/2026</t>
        </is>
      </c>
      <c r="J17096" s="10" t="inlineStr">
        <is>
          <t>Xuất nhập khẩu, Sản xuất / Vận hành sản xuất</t>
        </is>
      </c>
      <c r="K17096" s="10" t="inlineStr">
        <is>
          <t>3 - 5 Năm</t>
        </is>
      </c>
      <c r="L17096" s="11">
        <f>HYPERLINK("https://careerviet.vn/vi/tim-viec-lam/truong-pho-phong-mua-hang-xnk.35C68D79.html","Xem chi tiết")</f>
        <v/>
      </c>
      <c r="M17096" s="10" t="n"/>
    </row>
    <row r="17097">
      <c r="B17097" s="7" t="n">
        <v>17095</v>
      </c>
      <c r="C17097" t="inlineStr">
        <is>
          <t>QFS Associate (KCN Long Bình)</t>
        </is>
      </c>
      <c r="D17097" t="inlineStr">
        <is>
          <t>Công ty TNHH Olam Việt Nam</t>
        </is>
      </c>
      <c r="E17097" t="inlineStr">
        <is>
          <t>Lương:Cạnh tranh</t>
        </is>
      </c>
      <c r="F17097" t="inlineStr">
        <is>
          <t>Đồng Nai</t>
        </is>
      </c>
      <c r="G17097" t="inlineStr">
        <is>
          <t>31-03-2026</t>
        </is>
      </c>
      <c r="H17097" t="inlineStr">
        <is>
          <t>31/03/2026</t>
        </is>
      </c>
      <c r="I17097" t="inlineStr">
        <is>
          <t>17/03/2026</t>
        </is>
      </c>
      <c r="J17097" t="inlineStr">
        <is>
          <t>Nông nghiệp, Công nghệ thực phẩm / Dinh dưỡng, Quản lý chất lượng (QA/QC)</t>
        </is>
      </c>
      <c r="K17097" t="inlineStr">
        <is>
          <t>1 - 2 Năm</t>
        </is>
      </c>
      <c r="L17097" s="8">
        <f>HYPERLINK("https://careerviet.vn/vi/tim-viec-lam/qfs-associate-kcn-long-binh.35C68F59.html","Xem chi tiết")</f>
        <v/>
      </c>
    </row>
    <row r="17098">
      <c r="B17098" s="9" t="n">
        <v>17096</v>
      </c>
      <c r="C17098" s="10" t="inlineStr">
        <is>
          <t>Medical Sales Representative (An Giang)</t>
        </is>
      </c>
      <c r="D17098" s="10" t="inlineStr">
        <is>
          <t>DIAG</t>
        </is>
      </c>
      <c r="E17098" s="10" t="inlineStr">
        <is>
          <t>Lương:Cạnh tranh</t>
        </is>
      </c>
      <c r="F17098" s="10" t="inlineStr">
        <is>
          <t>An Giang</t>
        </is>
      </c>
      <c r="G17098" s="10" t="inlineStr">
        <is>
          <t>31-03-2026</t>
        </is>
      </c>
      <c r="H17098" s="10" t="inlineStr">
        <is>
          <t>31/03/2026</t>
        </is>
      </c>
      <c r="I17098" s="10" t="inlineStr">
        <is>
          <t>17/03/2026</t>
        </is>
      </c>
      <c r="J17098" s="10" t="inlineStr">
        <is>
          <t>Công nghệ thực phẩm / Dinh dưỡng, Hàng gia dụng / Chăm sóc cá nhân, Y tế / Chăm sóc sức khỏe / Thẩm mỹ / Làm đẹp</t>
        </is>
      </c>
      <c r="K17098" s="10" t="inlineStr">
        <is>
          <t>1 - 2 Năm</t>
        </is>
      </c>
      <c r="L17098" s="11">
        <f>HYPERLINK("https://careerviet.vn/vi/tim-viec-lam/medical-sales-representative-an-giang.35C68CA3.html","Xem chi tiết")</f>
        <v/>
      </c>
      <c r="M17098" s="10" t="n"/>
    </row>
    <row r="17099">
      <c r="B17099" s="7" t="n">
        <v>17097</v>
      </c>
      <c r="C17099" t="inlineStr">
        <is>
          <t>Trưởng nhóm/ Chuyên viên BIM Kết Cấu</t>
        </is>
      </c>
      <c r="D17099" t="inlineStr">
        <is>
          <t>Công Ty Cổ Phần Xây Dựng Phước Thành</t>
        </is>
      </c>
      <c r="E17099" t="inlineStr">
        <is>
          <t>Lương:Cạnh tranh</t>
        </is>
      </c>
      <c r="F17099" t="inlineStr">
        <is>
          <t>Hồ Chí Minh</t>
        </is>
      </c>
      <c r="G17099" t="inlineStr">
        <is>
          <t>31-03-2026</t>
        </is>
      </c>
      <c r="H17099" t="inlineStr">
        <is>
          <t>31/03/2026</t>
        </is>
      </c>
      <c r="I17099" t="inlineStr">
        <is>
          <t>17/03/2026</t>
        </is>
      </c>
      <c r="J17099" t="inlineStr">
        <is>
          <t>Kiến trúc, Xây dựng</t>
        </is>
      </c>
      <c r="K17099" t="inlineStr">
        <is>
          <t>3 - 4 Năm</t>
        </is>
      </c>
      <c r="L17099" s="8">
        <f>HYPERLINK("https://careerviet.vn/vi/tim-viec-lam/truong-nhom-chuyen-vien-bim-ket-cau.35C68D59.html","Xem chi tiết")</f>
        <v/>
      </c>
    </row>
    <row r="17100">
      <c r="B17100" s="9" t="n">
        <v>17098</v>
      </c>
      <c r="C17100" s="10" t="inlineStr">
        <is>
          <t>[CITIGYM] Senior Human Resources Business Partner (HRBP)</t>
        </is>
      </c>
      <c r="D17100" s="10" t="inlineStr">
        <is>
          <t>Nova Service Group - Công ty Cổ phần Tập đoàn Nova Services</t>
        </is>
      </c>
      <c r="E17100" s="10" t="inlineStr">
        <is>
          <t>Lương:20 Tr - 25 Tr VND</t>
        </is>
      </c>
      <c r="F17100" s="10" t="inlineStr">
        <is>
          <t>Hồ Chí Minh</t>
        </is>
      </c>
      <c r="G17100" s="10" t="inlineStr">
        <is>
          <t>31-03-2026</t>
        </is>
      </c>
      <c r="H17100" s="10" t="inlineStr">
        <is>
          <t>31/03/2026</t>
        </is>
      </c>
      <c r="I17100" s="10" t="inlineStr">
        <is>
          <t>17/03/2026</t>
        </is>
      </c>
      <c r="J17100" s="10" t="inlineStr">
        <is>
          <t>Nhân sự</t>
        </is>
      </c>
      <c r="K17100" s="10" t="inlineStr">
        <is>
          <t>3 - 5 Năm</t>
        </is>
      </c>
      <c r="L17100" s="11">
        <f>HYPERLINK("https://careerviet.vn/vi/tim-viec-lam/citigym-senior-human-resources-business-partner-hrbp.35C68E8B.html","Xem chi tiết")</f>
        <v/>
      </c>
      <c r="M17100" s="10" t="n"/>
    </row>
    <row r="17101">
      <c r="B17101" s="7" t="n">
        <v>17099</v>
      </c>
      <c r="C17101" t="inlineStr">
        <is>
          <t>Kỹ sư xây dựng</t>
        </is>
      </c>
      <c r="D17101" t="inlineStr">
        <is>
          <t>Công Ty Cổ Phần A25 Hotel</t>
        </is>
      </c>
      <c r="E17101" t="inlineStr">
        <is>
          <t>Lương:16 Tr - 25 Tr VND</t>
        </is>
      </c>
      <c r="F17101" t="inlineStr">
        <is>
          <t>Hà Nội</t>
        </is>
      </c>
      <c r="G17101" t="inlineStr">
        <is>
          <t>31-03-2026</t>
        </is>
      </c>
      <c r="H17101" t="inlineStr">
        <is>
          <t>31/03/2026</t>
        </is>
      </c>
      <c r="I17101" t="inlineStr">
        <is>
          <t>17/03/2026</t>
        </is>
      </c>
      <c r="J17101" t="inlineStr">
        <is>
          <t>Kiến trúc, Xây dựng, Nội ngoại thất</t>
        </is>
      </c>
      <c r="K17101" t="inlineStr">
        <is>
          <t>2 - 3 Năm</t>
        </is>
      </c>
      <c r="L17101" s="8">
        <f>HYPERLINK("https://careerviet.vn/vi/tim-viec-lam/ky-su-xay-dung.35C68F53.html","Xem chi tiết")</f>
        <v/>
      </c>
    </row>
    <row r="17102">
      <c r="B17102" s="9" t="n">
        <v>17100</v>
      </c>
      <c r="C17102" s="10" t="inlineStr">
        <is>
          <t>Nhân viên bảo trì sửa chữa máy ép công nghiệp</t>
        </is>
      </c>
      <c r="D17102" s="10" t="inlineStr">
        <is>
          <t>Công ty Cổ Phần Thảo Mộc Xanh Long An</t>
        </is>
      </c>
      <c r="E17102" s="10" t="inlineStr">
        <is>
          <t>Lương:Cạnh tranh</t>
        </is>
      </c>
      <c r="F17102" s="10" t="inlineStr">
        <is>
          <t>Long An</t>
        </is>
      </c>
      <c r="G17102" s="10" t="inlineStr">
        <is>
          <t>06-04-2026</t>
        </is>
      </c>
      <c r="H17102" s="10" t="inlineStr">
        <is>
          <t>06/04/2026</t>
        </is>
      </c>
      <c r="I17102" s="10" t="inlineStr">
        <is>
          <t>17/03/2026</t>
        </is>
      </c>
      <c r="J17102" s="10" t="inlineStr">
        <is>
          <t>Cơ khí / Ô tô / Tự động hóa, Bảo trì / Sửa chữa</t>
        </is>
      </c>
      <c r="K17102" s="10" t="inlineStr">
        <is>
          <t>2 - 3 Năm</t>
        </is>
      </c>
      <c r="L17102" s="11">
        <f>HYPERLINK("https://careerviet.vn/vi/tim-viec-lam/nhan-vien-bao-tri-sua-chua-may-ep-cong-nghiep.35C67C57.html","Xem chi tiết")</f>
        <v/>
      </c>
      <c r="M17102" s="10" t="n"/>
    </row>
    <row r="17103">
      <c r="B17103" s="7" t="n">
        <v>17101</v>
      </c>
      <c r="C17103" t="inlineStr">
        <is>
          <t>[HƯNG YÊN] Nhân Viên Sửa Chữa Bảo Dưỡng</t>
        </is>
      </c>
      <c r="D17103" t="inlineStr">
        <is>
          <t>Công Ty CP XNK Hóa Chất &amp; Thiết Bị Kim Ngưu</t>
        </is>
      </c>
      <c r="E17103" t="inlineStr">
        <is>
          <t>Lương:Cạnh tranh</t>
        </is>
      </c>
      <c r="F17103" t="inlineStr">
        <is>
          <t>Hưng Yên</t>
        </is>
      </c>
      <c r="G17103" t="inlineStr">
        <is>
          <t>25-03-2026</t>
        </is>
      </c>
      <c r="H17103" t="inlineStr">
        <is>
          <t>25/03/2026</t>
        </is>
      </c>
      <c r="I17103" t="inlineStr">
        <is>
          <t>17/03/2026</t>
        </is>
      </c>
      <c r="J17103" t="inlineStr">
        <is>
          <t>Bảo trì / Sửa chữa</t>
        </is>
      </c>
      <c r="K17103" t="inlineStr">
        <is>
          <t>null - null Năm</t>
        </is>
      </c>
      <c r="L17103" s="8">
        <f>HYPERLINK("https://careerviet.vn/vi/tim-viec-lam/hung-yen-nhan-vien-sua-chua-bao-duong.35C68F02.html","Xem chi tiết")</f>
        <v/>
      </c>
    </row>
    <row r="17104">
      <c r="B17104" s="9" t="n">
        <v>17102</v>
      </c>
      <c r="C17104" s="10" t="inlineStr">
        <is>
          <t>Nhân viên Sale (tiếng Anh)</t>
        </is>
      </c>
      <c r="D17104" s="10" t="inlineStr">
        <is>
          <t>CÔNG TY CỔ PHẦN SẢN XUẤT TÓC APOGROUP</t>
        </is>
      </c>
      <c r="E17104" s="10" t="inlineStr">
        <is>
          <t>Lương:Cạnh tranh</t>
        </is>
      </c>
      <c r="F17104" s="10" t="inlineStr">
        <is>
          <t>Hà Nội</t>
        </is>
      </c>
      <c r="G17104" s="10" t="inlineStr">
        <is>
          <t>06-04-2026</t>
        </is>
      </c>
      <c r="H17104" s="10" t="inlineStr">
        <is>
          <t>06/04/2026</t>
        </is>
      </c>
      <c r="I17104" s="10" t="inlineStr">
        <is>
          <t>17/03/2026</t>
        </is>
      </c>
      <c r="J17104" s="10" t="inlineStr">
        <is>
          <t>Bán hàng / Kinh doanh, Xuất nhập khẩu</t>
        </is>
      </c>
      <c r="K17104" s="10" t="inlineStr">
        <is>
          <t>Chưa có kinh nghiệm</t>
        </is>
      </c>
      <c r="L17104" s="11">
        <f>HYPERLINK("https://careerviet.vn/vi/tim-viec-lam/nhan-vien-sale-tieng-anh.35C67B6F.html","Xem chi tiết")</f>
        <v/>
      </c>
      <c r="M17104" s="10" t="n"/>
    </row>
    <row r="17105">
      <c r="B17105" s="7" t="n">
        <v>17103</v>
      </c>
      <c r="C17105" t="inlineStr">
        <is>
          <t>Nhân viên QC</t>
        </is>
      </c>
      <c r="D17105" t="inlineStr">
        <is>
          <t>Công ty Cổ Phần Thảo Mộc Xanh Long An</t>
        </is>
      </c>
      <c r="E17105" t="inlineStr">
        <is>
          <t>Lương:Cạnh tranh</t>
        </is>
      </c>
      <c r="F17105" t="inlineStr">
        <is>
          <t>Long An</t>
        </is>
      </c>
      <c r="G17105" t="inlineStr">
        <is>
          <t>06-04-2026</t>
        </is>
      </c>
      <c r="H17105" t="inlineStr">
        <is>
          <t>06/04/2026</t>
        </is>
      </c>
      <c r="I17105" t="inlineStr">
        <is>
          <t>17/03/2026</t>
        </is>
      </c>
      <c r="J17105" t="inlineStr">
        <is>
          <t>Quản lý chất lượng (QA/QC)</t>
        </is>
      </c>
      <c r="K17105" t="inlineStr">
        <is>
          <t>Chưa có kinh nghiệm</t>
        </is>
      </c>
      <c r="L17105" s="8">
        <f>HYPERLINK("https://careerviet.vn/vi/tim-viec-lam/nhan-vien-qc.35C67C47.html","Xem chi tiết")</f>
        <v/>
      </c>
    </row>
    <row r="17106">
      <c r="B17106" s="9" t="n">
        <v>17104</v>
      </c>
      <c r="C17106" s="10" t="inlineStr">
        <is>
          <t>Nhân viên chính thức trực Tổng đài nhà mạng Viettel</t>
        </is>
      </c>
      <c r="D17106" s="10" t="inlineStr">
        <is>
          <t>BellSystem24-Việt Nam</t>
        </is>
      </c>
      <c r="E17106" s="10" t="inlineStr">
        <is>
          <t>Lương:5 Tr - 8 Tr VND</t>
        </is>
      </c>
      <c r="F17106" s="10" t="inlineStr">
        <is>
          <t>Đà Nẵng</t>
        </is>
      </c>
      <c r="G17106" s="10" t="inlineStr">
        <is>
          <t>06-04-2026</t>
        </is>
      </c>
      <c r="H17106" s="10" t="inlineStr">
        <is>
          <t>06/04/2026</t>
        </is>
      </c>
      <c r="I17106" s="10" t="inlineStr">
        <is>
          <t>17/03/2026</t>
        </is>
      </c>
      <c r="J17106" s="10" t="inlineStr">
        <is>
          <t>Tư vấn, Dịch vụ khách hàng, Lao động phổ thông</t>
        </is>
      </c>
      <c r="K17106" s="10" t="inlineStr">
        <is>
          <t>N/A</t>
        </is>
      </c>
      <c r="L17106" s="11">
        <f>HYPERLINK("https://careerviet.vn/vi/tim-viec-lam/nhan-vien-chinh-thuc-truc-tong-dai-nha-mang-viettel.35C64A38.html","Xem chi tiết")</f>
        <v/>
      </c>
      <c r="M17106" s="10" t="n"/>
    </row>
    <row r="17107">
      <c r="B17107" s="7" t="n">
        <v>17105</v>
      </c>
      <c r="C17107" t="inlineStr">
        <is>
          <t>Chuyên viên Thiết kế (2D)</t>
        </is>
      </c>
      <c r="D17107" t="inlineStr">
        <is>
          <t>CÔNG TY CỔ PHẦN EPLUS RESEARCH</t>
        </is>
      </c>
      <c r="E17107" t="inlineStr">
        <is>
          <t>Lương:Cạnh tranh</t>
        </is>
      </c>
      <c r="F17107" t="inlineStr">
        <is>
          <t>Hồ Chí Minh</t>
        </is>
      </c>
      <c r="G17107" t="inlineStr">
        <is>
          <t>06-04-2026</t>
        </is>
      </c>
      <c r="H17107" t="inlineStr">
        <is>
          <t>06/04/2026</t>
        </is>
      </c>
      <c r="I17107" t="inlineStr">
        <is>
          <t>17/03/2026</t>
        </is>
      </c>
      <c r="J17107" t="inlineStr">
        <is>
          <t>Mỹ thuật / Nghệ thuật / Thiết kế</t>
        </is>
      </c>
      <c r="K17107" t="inlineStr">
        <is>
          <t>3 - 4 Năm</t>
        </is>
      </c>
      <c r="L17107" s="8">
        <f>HYPERLINK("https://careerviet.vn/vi/tim-viec-lam/chuyen-vien-thiet-ke-2d.35C67C0F.html","Xem chi tiết")</f>
        <v/>
      </c>
    </row>
    <row r="17108">
      <c r="B17108" s="9" t="n">
        <v>17106</v>
      </c>
      <c r="C17108" s="10" t="inlineStr">
        <is>
          <t>Training Specialist</t>
        </is>
      </c>
      <c r="D17108" s="10" t="inlineStr">
        <is>
          <t>Jabil Vietnam</t>
        </is>
      </c>
      <c r="E17108" s="10" t="inlineStr">
        <is>
          <t>Lương:Cạnh tranh</t>
        </is>
      </c>
      <c r="F17108" s="10" t="inlineStr">
        <is>
          <t>Hồ Chí Minh</t>
        </is>
      </c>
      <c r="G17108" s="10" t="inlineStr">
        <is>
          <t>06-04-2026</t>
        </is>
      </c>
      <c r="H17108" s="10" t="inlineStr">
        <is>
          <t>06/04/2026</t>
        </is>
      </c>
      <c r="I17108" s="10" t="inlineStr">
        <is>
          <t>17/03/2026</t>
        </is>
      </c>
      <c r="J17108" s="10" t="inlineStr">
        <is>
          <t>Nhân sự</t>
        </is>
      </c>
      <c r="K17108" s="10" t="inlineStr">
        <is>
          <t>3 - 7 Năm</t>
        </is>
      </c>
      <c r="L17108" s="11">
        <f>HYPERLINK("https://careerviet.vn/vi/tim-viec-lam/training-specialist.35C6795B.html","Xem chi tiết")</f>
        <v/>
      </c>
      <c r="M17108" s="10" t="n"/>
    </row>
    <row r="17109">
      <c r="B17109" s="7" t="n">
        <v>17107</v>
      </c>
      <c r="C17109" t="inlineStr">
        <is>
          <t>Bảo Mẫu Mầm Non (BRIS Tân Bình)</t>
        </is>
      </c>
      <c r="D17109" t="inlineStr">
        <is>
          <t>TRƯỜNG QUỐC TẾ BLUE RIDGE / BLUE RIDGE INTERNATIONAL SCHOOL (BRIS)</t>
        </is>
      </c>
      <c r="E17109" t="inlineStr">
        <is>
          <t>Lương:7 Tr - 8 Tr VND</t>
        </is>
      </c>
      <c r="F17109" t="inlineStr">
        <is>
          <t>Hồ Chí Minh</t>
        </is>
      </c>
      <c r="G17109" t="inlineStr">
        <is>
          <t>06-04-2026</t>
        </is>
      </c>
      <c r="H17109" t="inlineStr">
        <is>
          <t>06/04/2026</t>
        </is>
      </c>
      <c r="I17109" t="inlineStr">
        <is>
          <t>17/03/2026</t>
        </is>
      </c>
      <c r="J17109" t="inlineStr">
        <is>
          <t>Giáo dục / Đào tạo</t>
        </is>
      </c>
      <c r="K17109" t="inlineStr">
        <is>
          <t>1 - 2 Năm</t>
        </is>
      </c>
      <c r="L17109" s="8">
        <f>HYPERLINK("https://careerviet.vn/vi/tim-viec-lam/bao-mau-mam-non-bris-tan-binh.35C679A7.html","Xem chi tiết")</f>
        <v/>
      </c>
    </row>
    <row r="17110">
      <c r="B17110" s="9" t="n">
        <v>17108</v>
      </c>
      <c r="C17110" s="10" t="inlineStr">
        <is>
          <t>[HCM] Giám Sát Bán Hàng / Sales Supervisor Kênh GT (FMCG)</t>
        </is>
      </c>
      <c r="D17110" s="10" t="inlineStr">
        <is>
          <t>Công Ty Cổ Phần Diana Unicharm</t>
        </is>
      </c>
      <c r="E17110" s="10" t="inlineStr">
        <is>
          <t>Lương:Cạnh tranh</t>
        </is>
      </c>
      <c r="F17110" s="10" t="inlineStr">
        <is>
          <t>Hồ Chí Minh</t>
        </is>
      </c>
      <c r="G17110" s="10" t="inlineStr">
        <is>
          <t>06-04-2026</t>
        </is>
      </c>
      <c r="H17110" s="10" t="inlineStr">
        <is>
          <t>06/04/2026</t>
        </is>
      </c>
      <c r="I17110" s="10" t="inlineStr">
        <is>
          <t>17/03/2026</t>
        </is>
      </c>
      <c r="J17110" s="10" t="inlineStr">
        <is>
          <t>Tiếp thị / Marketing, Bán lẻ / Bán sỉ, Bán hàng / Kinh doanh</t>
        </is>
      </c>
      <c r="K17110" s="10" t="inlineStr">
        <is>
          <t>1 - 2 Năm</t>
        </is>
      </c>
      <c r="L17110" s="11">
        <f>HYPERLINK("https://careerviet.vn/vi/tim-viec-lam/hcm-giam-sat-ban-hang-sales-supervisor-kenh-gt-fmcg.35C67BBF.html","Xem chi tiết")</f>
        <v/>
      </c>
      <c r="M17110" s="10" t="n"/>
    </row>
    <row r="17111">
      <c r="B17111" s="7" t="n">
        <v>17109</v>
      </c>
      <c r="C17111" t="inlineStr">
        <is>
          <t>Chuyên viên Kiểm soát chi phí</t>
        </is>
      </c>
      <c r="D17111" t="inlineStr">
        <is>
          <t>Công Ty Cổ Phần Xây Dựng CDC</t>
        </is>
      </c>
      <c r="E17111" t="inlineStr">
        <is>
          <t>Lương:16 Tr - 18 Tr VND</t>
        </is>
      </c>
      <c r="F17111" t="inlineStr">
        <is>
          <t>Hà Nội</t>
        </is>
      </c>
      <c r="G17111" t="inlineStr">
        <is>
          <t>06-04-2026</t>
        </is>
      </c>
      <c r="H17111" t="inlineStr">
        <is>
          <t>06/04/2026</t>
        </is>
      </c>
      <c r="I17111" t="inlineStr">
        <is>
          <t>17/03/2026</t>
        </is>
      </c>
      <c r="J17111" t="inlineStr">
        <is>
          <t>Kiến trúc, Xây dựng</t>
        </is>
      </c>
      <c r="K17111" t="inlineStr">
        <is>
          <t>N/A</t>
        </is>
      </c>
      <c r="L17111" s="8">
        <f>HYPERLINK("https://careerviet.vn/vi/tim-viec-lam/chuyen-vien-kiem-soat-chi-phi.35C67B99.html","Xem chi tiết")</f>
        <v/>
      </c>
    </row>
    <row r="17112">
      <c r="B17112" s="9" t="n">
        <v>17110</v>
      </c>
      <c r="C17112" s="10" t="inlineStr">
        <is>
          <t>Nhân Viên Vận Hành</t>
        </is>
      </c>
      <c r="D17112" s="10" t="inlineStr">
        <is>
          <t>CHI NHÁNH CÔNG TY TNHH THỰC PHẨM ÂN NAM TẠI ĐÀ NẴNG</t>
        </is>
      </c>
      <c r="E17112" s="10" t="inlineStr">
        <is>
          <t>Lương:Cạnh tranh</t>
        </is>
      </c>
      <c r="F17112" s="10" t="inlineStr">
        <is>
          <t>Đà Nẵng</t>
        </is>
      </c>
      <c r="G17112" s="10" t="inlineStr">
        <is>
          <t>06-04-2026</t>
        </is>
      </c>
      <c r="H17112" s="10" t="inlineStr">
        <is>
          <t>06/04/2026</t>
        </is>
      </c>
      <c r="I17112" s="10" t="inlineStr">
        <is>
          <t>17/03/2026</t>
        </is>
      </c>
      <c r="J17112" s="10" t="inlineStr">
        <is>
          <t>Vận chuyển / Giao nhận / Kho vận, Xuất nhập khẩu, Sản xuất / Vận hành sản xuất</t>
        </is>
      </c>
      <c r="K17112" s="10" t="inlineStr">
        <is>
          <t>Trên 1 Năm</t>
        </is>
      </c>
      <c r="L17112" s="11">
        <f>HYPERLINK("https://careerviet.vn/vi/tim-viec-lam/nhan-vien-van-hanh.35C67BBA.html","Xem chi tiết")</f>
        <v/>
      </c>
      <c r="M17112" s="10" t="n"/>
    </row>
    <row r="17113">
      <c r="B17113" s="7" t="n">
        <v>17111</v>
      </c>
      <c r="C17113" t="inlineStr">
        <is>
          <t>Manager-HR, Vietnam</t>
        </is>
      </c>
      <c r="D17113" t="inlineStr">
        <is>
          <t>Công Ty Cổ Phần Khoai Mì Tây Ninh</t>
        </is>
      </c>
      <c r="E17113" t="inlineStr">
        <is>
          <t>Lương:Cạnh tranh</t>
        </is>
      </c>
      <c r="F17113" t="inlineStr">
        <is>
          <t>Tây Ninh</t>
        </is>
      </c>
      <c r="G17113" t="inlineStr">
        <is>
          <t>06-04-2026</t>
        </is>
      </c>
      <c r="H17113" t="inlineStr">
        <is>
          <t>06/04/2026</t>
        </is>
      </c>
      <c r="I17113" t="inlineStr">
        <is>
          <t>17/03/2026</t>
        </is>
      </c>
      <c r="J17113" t="inlineStr">
        <is>
          <t>Nhân sự</t>
        </is>
      </c>
      <c r="K17113" t="inlineStr">
        <is>
          <t>Trên 3 Năm</t>
        </is>
      </c>
      <c r="L17113" s="8">
        <f>HYPERLINK("https://careerviet.vn/vi/tim-viec-lam/manager-hr-vietnam.35C676A3.html","Xem chi tiết")</f>
        <v/>
      </c>
    </row>
    <row r="17114">
      <c r="B17114" s="9" t="n">
        <v>17112</v>
      </c>
      <c r="C17114" s="10" t="inlineStr">
        <is>
          <t>Giám đốc Quản lý Khách hàng Ưu tiên - Vùng Nam Hà Nội (Hà Đông, Thanh Trì, Thanh Xuân, Đống Đa)</t>
        </is>
      </c>
      <c r="D17114" s="10" t="inlineStr">
        <is>
          <t>Ngân Hàng TMCP Quốc Tế Việt Nam</t>
        </is>
      </c>
      <c r="E17114" s="10" t="inlineStr">
        <is>
          <t>Lương:15 Tr - 30 Tr VND</t>
        </is>
      </c>
      <c r="F17114" s="10" t="inlineStr">
        <is>
          <t>Hà Nội</t>
        </is>
      </c>
      <c r="G17114" s="10" t="inlineStr">
        <is>
          <t>06-04-2026</t>
        </is>
      </c>
      <c r="H17114" s="10" t="inlineStr">
        <is>
          <t>06/04/2026</t>
        </is>
      </c>
      <c r="I17114" s="10" t="inlineStr">
        <is>
          <t>17/03/2026</t>
        </is>
      </c>
      <c r="J17114" s="10" t="inlineStr">
        <is>
          <t>Bán hàng / Kinh doanh, Ngân hàng, Tài chính / Đầu tư</t>
        </is>
      </c>
      <c r="K17114" s="10" t="inlineStr">
        <is>
          <t>1 - 3 Năm</t>
        </is>
      </c>
      <c r="L17114" s="11">
        <f>HYPERLINK("https://careerviet.vn/vi/tim-viec-lam/giam-doc-quan-ly-khach-hang-uu-tien-vung-nam-ha-noi-ha-dong-thanh-tri-thanh-xuan-dong-da.35C64C07.html","Xem chi tiết")</f>
        <v/>
      </c>
      <c r="M17114" s="10" t="n"/>
    </row>
    <row r="17115">
      <c r="B17115" s="7" t="n">
        <v>17113</v>
      </c>
      <c r="C17115" t="inlineStr">
        <is>
          <t>Project Manager (Manufacturing, Japanese &amp; English speaking)</t>
        </is>
      </c>
      <c r="D17115" t="inlineStr">
        <is>
          <t>Headhunter HRchannels Group</t>
        </is>
      </c>
      <c r="E17115" t="inlineStr">
        <is>
          <t>Lương:2.000 - 3.000 USD</t>
        </is>
      </c>
      <c r="F17115" t="inlineStr">
        <is>
          <t>Bắc NinhBắc GiangHà Nội</t>
        </is>
      </c>
      <c r="G17115" t="inlineStr">
        <is>
          <t>06-04-2026</t>
        </is>
      </c>
      <c r="H17115" t="inlineStr">
        <is>
          <t>06/04/2026</t>
        </is>
      </c>
      <c r="I17115" t="inlineStr">
        <is>
          <t>17/03/2026</t>
        </is>
      </c>
      <c r="J17115" t="inlineStr">
        <is>
          <t>Cơ khí / Ô tô / Tự động hóa, Điện / Điện tử / Điện lạnh / Điện công nghiệp, Sản xuất / Vận hành sản xuất</t>
        </is>
      </c>
      <c r="K17115" t="inlineStr">
        <is>
          <t>3 - 10 Năm</t>
        </is>
      </c>
      <c r="L17115" s="8">
        <f>HYPERLINK("https://careerviet.vn/vi/tim-viec-lam/project-manager-manufacturing-japanese-english-speaking.35C64BF4.html","Xem chi tiết")</f>
        <v/>
      </c>
    </row>
    <row r="17116">
      <c r="B17116" s="9" t="n">
        <v>17114</v>
      </c>
      <c r="C17116" s="10" t="inlineStr">
        <is>
          <t>Nhân viên Kinh doanh quốc tế (KDQT)</t>
        </is>
      </c>
      <c r="D17116" s="10" t="inlineStr">
        <is>
          <t>CÔNG TY CỔ PHẦN SẢN XUẤT TÓC APOGROUP</t>
        </is>
      </c>
      <c r="E17116" s="10" t="inlineStr">
        <is>
          <t>Lương:Cạnh tranh</t>
        </is>
      </c>
      <c r="F17116" s="10" t="inlineStr">
        <is>
          <t>Hà Nội</t>
        </is>
      </c>
      <c r="G17116" s="10" t="inlineStr">
        <is>
          <t>06-04-2026</t>
        </is>
      </c>
      <c r="H17116" s="10" t="inlineStr">
        <is>
          <t>06/04/2026</t>
        </is>
      </c>
      <c r="I17116" s="10" t="inlineStr">
        <is>
          <t>17/03/2026</t>
        </is>
      </c>
      <c r="J17116" s="10" t="inlineStr">
        <is>
          <t>Bán hàng / Kinh doanh, Xuất nhập khẩu</t>
        </is>
      </c>
      <c r="K17116" s="10" t="inlineStr">
        <is>
          <t>Chưa có kinh nghiệm</t>
        </is>
      </c>
      <c r="L17116" s="11">
        <f>HYPERLINK("https://careerviet.vn/vi/tim-viec-lam/nhan-vien-kinh-doanh-quoc-te-kdqt.35C67BCB.html","Xem chi tiết")</f>
        <v/>
      </c>
      <c r="M17116" s="10" t="n"/>
    </row>
    <row r="17117">
      <c r="B17117" s="7" t="n">
        <v>17115</v>
      </c>
      <c r="C17117" t="inlineStr">
        <is>
          <t>[Tuyên Quang] Chuyên viên Quan hệ Khách hàng cá nhân</t>
        </is>
      </c>
      <c r="D17117" t="inlineStr">
        <is>
          <t>Ngân hàng TMCP Lộc Phát Việt Nam (LPBank)</t>
        </is>
      </c>
      <c r="E17117" t="inlineStr">
        <is>
          <t>Lương:Cạnh tranh</t>
        </is>
      </c>
      <c r="F17117" t="inlineStr">
        <is>
          <t>Tuyên Quang</t>
        </is>
      </c>
      <c r="G17117" t="inlineStr">
        <is>
          <t>06-04-2026</t>
        </is>
      </c>
      <c r="H17117" t="inlineStr">
        <is>
          <t>06/04/2026</t>
        </is>
      </c>
      <c r="I17117" t="inlineStr">
        <is>
          <t>17/03/2026</t>
        </is>
      </c>
      <c r="J17117" t="inlineStr">
        <is>
          <t>Bán hàng / Kinh doanh, Kế toán / Kiểm toán, Ngân hàng</t>
        </is>
      </c>
      <c r="K17117" t="inlineStr">
        <is>
          <t>N/A</t>
        </is>
      </c>
      <c r="L17117" s="8">
        <f>HYPERLINK("https://careerviet.vn/vi/tim-viec-lam/tuyen-quang-chuyen-vien-quan-he-khach-hang-ca-nhan.35C64BD6.html","Xem chi tiết")</f>
        <v/>
      </c>
    </row>
    <row r="17118">
      <c r="B17118" s="9" t="n">
        <v>17116</v>
      </c>
      <c r="C17118" s="10" t="inlineStr">
        <is>
          <t>Chuyên viên Hành chính nhân sự</t>
        </is>
      </c>
      <c r="D17118" s="10" t="inlineStr">
        <is>
          <t>CÔNG TY TNHH MEDIKIT VIỆT NAM</t>
        </is>
      </c>
      <c r="E17118" s="10" t="inlineStr">
        <is>
          <t>Lương:Cạnh tranh</t>
        </is>
      </c>
      <c r="F17118" s="10" t="inlineStr">
        <is>
          <t>Hải Phòng</t>
        </is>
      </c>
      <c r="G17118" s="10" t="inlineStr">
        <is>
          <t>06-04-2026</t>
        </is>
      </c>
      <c r="H17118" s="10" t="inlineStr">
        <is>
          <t>06/04/2026</t>
        </is>
      </c>
      <c r="I17118" s="10" t="inlineStr">
        <is>
          <t>17/03/2026</t>
        </is>
      </c>
      <c r="J17118" s="10" t="inlineStr">
        <is>
          <t>Hành chính / Thư ký, Nhân sự, Sản xuất / Vận hành sản xuất</t>
        </is>
      </c>
      <c r="K17118" s="10" t="inlineStr">
        <is>
          <t>Trên 2 Năm</t>
        </is>
      </c>
      <c r="L17118" s="11">
        <f>HYPERLINK("https://careerviet.vn/vi/tim-viec-lam/chuyen-vien-hanh-chinh-nhan-su.35C67BCE.html","Xem chi tiết")</f>
        <v/>
      </c>
      <c r="M17118" s="10" t="n"/>
    </row>
    <row r="17119">
      <c r="B17119" s="7" t="n">
        <v>17117</v>
      </c>
      <c r="C17119" t="inlineStr">
        <is>
          <t>[HN] Chuyên Gia Phát Triển Hệ Thống (Flutter)</t>
        </is>
      </c>
      <c r="D17119" t="inlineStr">
        <is>
          <t>CÔNG TY TÀI CHÍNH TÍN DỤNG TIÊU DÙNG TNHH MTV AEON</t>
        </is>
      </c>
      <c r="E17119" t="inlineStr">
        <is>
          <t>Lương:Cạnh tranh</t>
        </is>
      </c>
      <c r="F17119" t="inlineStr">
        <is>
          <t>Hà Nội</t>
        </is>
      </c>
      <c r="G17119" t="inlineStr">
        <is>
          <t>06-04-2026</t>
        </is>
      </c>
      <c r="H17119" t="inlineStr">
        <is>
          <t>06/04/2026</t>
        </is>
      </c>
      <c r="I17119" t="inlineStr">
        <is>
          <t>17/03/2026</t>
        </is>
      </c>
      <c r="J17119" t="inlineStr">
        <is>
          <t>CNTT - Phần cứng / Mạng</t>
        </is>
      </c>
      <c r="K17119" t="inlineStr">
        <is>
          <t>Trên 5 Năm</t>
        </is>
      </c>
      <c r="L17119" s="8">
        <f>HYPERLINK("https://careerviet.vn/vi/tim-viec-lam/hn-chuyen-gia-phat-trien-he-thong-flutter.35C67A3F.html","Xem chi tiết")</f>
        <v/>
      </c>
    </row>
    <row r="17120">
      <c r="B17120" s="9" t="n">
        <v>17118</v>
      </c>
      <c r="C17120" s="10" t="inlineStr">
        <is>
          <t>Chuyên Viên Giải Phóng Mặt Bằng</t>
        </is>
      </c>
      <c r="D17120" s="10" t="inlineStr">
        <is>
          <t>CÔNG TY CỔ PHẦN TẬP ĐOÀN ONSEN FUJI</t>
        </is>
      </c>
      <c r="E17120" s="10" t="inlineStr">
        <is>
          <t>Lương:20 Tr - 28 Tr VND</t>
        </is>
      </c>
      <c r="F17120" s="10" t="inlineStr">
        <is>
          <t>Hà Nội</t>
        </is>
      </c>
      <c r="G17120" s="10" t="inlineStr">
        <is>
          <t>06-04-2026</t>
        </is>
      </c>
      <c r="H17120" s="10" t="inlineStr">
        <is>
          <t>06/04/2026</t>
        </is>
      </c>
      <c r="I17120" s="10" t="inlineStr">
        <is>
          <t>17/03/2026</t>
        </is>
      </c>
      <c r="J17120" s="10" t="inlineStr">
        <is>
          <t>Luật / Pháp lý, Xây dựng, Bất động sản</t>
        </is>
      </c>
      <c r="K17120" s="10" t="inlineStr">
        <is>
          <t>2 - 3 Năm</t>
        </is>
      </c>
      <c r="L17120" s="11">
        <f>HYPERLINK("https://careerviet.vn/vi/tim-viec-lam/chuyen-vien-giai-phong-mat-bang.35C67A2B.html","Xem chi tiết")</f>
        <v/>
      </c>
      <c r="M17120" s="10" t="n"/>
    </row>
    <row r="17121">
      <c r="B17121" s="7" t="n">
        <v>17119</v>
      </c>
      <c r="C17121" t="inlineStr">
        <is>
          <t>Chuyên Viên Thiết Kế Thời Trang Đồ Da</t>
        </is>
      </c>
      <c r="D17121" t="inlineStr">
        <is>
          <t>CÔNG TY CỔ PHẦN SẢN XUẤT &amp; XUẤT NHẬP KHẨU HAT+</t>
        </is>
      </c>
      <c r="E17121" t="inlineStr">
        <is>
          <t>Lương:12 Tr - 20 Tr VND</t>
        </is>
      </c>
      <c r="F17121" t="inlineStr">
        <is>
          <t>Hà Nội</t>
        </is>
      </c>
      <c r="G17121" t="inlineStr">
        <is>
          <t>06-04-2026</t>
        </is>
      </c>
      <c r="H17121" t="inlineStr">
        <is>
          <t>06/04/2026</t>
        </is>
      </c>
      <c r="I17121" t="inlineStr">
        <is>
          <t>17/03/2026</t>
        </is>
      </c>
      <c r="J17121" t="inlineStr">
        <is>
          <t>Mỹ thuật / Nghệ thuật / Thiết kế, Dệt may / Da giày / Thời trang</t>
        </is>
      </c>
      <c r="K17121" t="inlineStr">
        <is>
          <t>2 - 5 Năm</t>
        </is>
      </c>
      <c r="L17121" s="8">
        <f>HYPERLINK("https://careerviet.vn/vi/tim-viec-lam/chuyen-vien-thiet-ke-thoi-trang-do-da.35C67B5A.html","Xem chi tiết")</f>
        <v/>
      </c>
    </row>
    <row r="17122">
      <c r="B17122" s="9" t="n">
        <v>17120</v>
      </c>
      <c r="C17122" s="10" t="inlineStr">
        <is>
          <t>Senior Import-Export Specialist (Chinese Speaking)</t>
        </is>
      </c>
      <c r="D17122" s="10" t="inlineStr">
        <is>
          <t>Công Ty TNHH LF Logistics (Việt Nam)</t>
        </is>
      </c>
      <c r="E17122" s="10" t="inlineStr">
        <is>
          <t>Lương:Cạnh tranh</t>
        </is>
      </c>
      <c r="F17122" s="10" t="inlineStr">
        <is>
          <t>Bình Dương</t>
        </is>
      </c>
      <c r="G17122" s="10" t="inlineStr">
        <is>
          <t>06-04-2026</t>
        </is>
      </c>
      <c r="H17122" s="10" t="inlineStr">
        <is>
          <t>06/04/2026</t>
        </is>
      </c>
      <c r="I17122" s="10" t="inlineStr">
        <is>
          <t>17/03/2026</t>
        </is>
      </c>
      <c r="J17122" s="10" t="inlineStr">
        <is>
          <t>Vận chuyển / Giao nhận / Kho vận, Xuất nhập khẩu</t>
        </is>
      </c>
      <c r="K17122" s="10" t="inlineStr">
        <is>
          <t>1 - 3 Năm</t>
        </is>
      </c>
      <c r="L17122" s="11">
        <f>HYPERLINK("https://careerviet.vn/vi/tim-viec-lam/senior-import-export-specialist-chinese-speaking.35C67BBB.html","Xem chi tiết")</f>
        <v/>
      </c>
      <c r="M17122" s="10" t="n"/>
    </row>
    <row r="17123">
      <c r="B17123" s="7" t="n">
        <v>17121</v>
      </c>
      <c r="C17123" t="inlineStr">
        <is>
          <t>HCM - Giám Đốc/Chuyên Viên Dịch Vụ Khách Hàng Cá Nhân</t>
        </is>
      </c>
      <c r="D17123" t="inlineStr">
        <is>
          <t>ACB - Ngân Hàng TMCP Á Châu</t>
        </is>
      </c>
      <c r="E17123" t="inlineStr">
        <is>
          <t>Lương:Cạnh tranh</t>
        </is>
      </c>
      <c r="F17123" t="inlineStr">
        <is>
          <t>Hồ Chí Minh</t>
        </is>
      </c>
      <c r="G17123" t="inlineStr">
        <is>
          <t>06-04-2026</t>
        </is>
      </c>
      <c r="H17123" t="inlineStr">
        <is>
          <t>06/04/2026</t>
        </is>
      </c>
      <c r="I17123" t="inlineStr">
        <is>
          <t>17/03/2026</t>
        </is>
      </c>
      <c r="J17123" t="inlineStr">
        <is>
          <t>Dịch vụ khách hàng, Ngân hàng, Tài chính / Đầu tư</t>
        </is>
      </c>
      <c r="K17123" t="inlineStr">
        <is>
          <t>N/A</t>
        </is>
      </c>
      <c r="L17123" s="8">
        <f>HYPERLINK("https://careerviet.vn/vi/tim-viec-lam/hcm-giam-doc-chuyen-vien-dich-vu-khach-hang-ca-nhan.35C67AEF.html","Xem chi tiết")</f>
        <v/>
      </c>
    </row>
    <row r="17124">
      <c r="B17124" s="9" t="n">
        <v>17122</v>
      </c>
      <c r="C17124" s="10" t="inlineStr">
        <is>
          <t>Vĩnh Phúc - Nhân viên PR</t>
        </is>
      </c>
      <c r="D17124" s="10" t="inlineStr">
        <is>
          <t>Cty TNHH Yakult Việt Nam</t>
        </is>
      </c>
      <c r="E17124" s="10" t="inlineStr">
        <is>
          <t>Lương:10 Tr - 14 Tr VND</t>
        </is>
      </c>
      <c r="F17124" s="10" t="inlineStr">
        <is>
          <t>Vĩnh Phúc</t>
        </is>
      </c>
      <c r="G17124" s="10" t="inlineStr">
        <is>
          <t>06-04-2026</t>
        </is>
      </c>
      <c r="H17124" s="10" t="inlineStr">
        <is>
          <t>06/04/2026</t>
        </is>
      </c>
      <c r="I17124" s="10" t="inlineStr">
        <is>
          <t>17/03/2026</t>
        </is>
      </c>
      <c r="J17124" s="10" t="inlineStr">
        <is>
          <t>Công nghệ sinh học</t>
        </is>
      </c>
      <c r="K17124" s="10" t="inlineStr">
        <is>
          <t>Chưa có kinh nghiệm</t>
        </is>
      </c>
      <c r="L17124" s="11">
        <f>HYPERLINK("https://careerviet.vn/vi/tim-viec-lam/vinh-phuc-nhan-vien-pr.35C67B3E.html","Xem chi tiết")</f>
        <v/>
      </c>
      <c r="M17124" s="10" t="n"/>
    </row>
    <row r="17125">
      <c r="B17125" s="7" t="n">
        <v>17123</v>
      </c>
      <c r="C17125" t="inlineStr">
        <is>
          <t>Nhân Viên Kho Hàng</t>
        </is>
      </c>
      <c r="D17125" t="inlineStr">
        <is>
          <t>CÔNG TY TNHH CÔNG NGHỆ ĐIỆN TỬ BVT VIỆT NAM</t>
        </is>
      </c>
      <c r="E17125" t="inlineStr">
        <is>
          <t>Lương:7 Tr - 12 Tr VND</t>
        </is>
      </c>
      <c r="F17125" t="inlineStr">
        <is>
          <t>Long An</t>
        </is>
      </c>
      <c r="G17125" t="inlineStr">
        <is>
          <t>06-04-2026</t>
        </is>
      </c>
      <c r="H17125" t="inlineStr">
        <is>
          <t>06/04/2026</t>
        </is>
      </c>
      <c r="I17125" t="inlineStr">
        <is>
          <t>17/03/2026</t>
        </is>
      </c>
      <c r="J17125" t="inlineStr">
        <is>
          <t>Sản xuất / Vận hành sản xuất, Vận chuyển / Giao nhận / Kho vận, Hành chính / Thư ký</t>
        </is>
      </c>
      <c r="K17125" t="inlineStr">
        <is>
          <t>N/A</t>
        </is>
      </c>
      <c r="L17125" s="8">
        <f>HYPERLINK("https://careerviet.vn/vi/tim-viec-lam/nhan-vien-kho-hang.35C64AA3.html","Xem chi tiết")</f>
        <v/>
      </c>
    </row>
    <row r="17126">
      <c r="B17126" s="9" t="n">
        <v>17124</v>
      </c>
      <c r="C17126" s="10" t="inlineStr">
        <is>
          <t>[HN] Chuyên Gia Vận Hành Hệ Thống Core (T24)</t>
        </is>
      </c>
      <c r="D17126" s="10" t="inlineStr">
        <is>
          <t>CÔNG TY TÀI CHÍNH TÍN DỤNG TIÊU DÙNG TNHH MTV AEON</t>
        </is>
      </c>
      <c r="E17126" s="10" t="inlineStr">
        <is>
          <t>Lương:Cạnh tranh</t>
        </is>
      </c>
      <c r="F17126" s="10" t="inlineStr">
        <is>
          <t>Hà Nội</t>
        </is>
      </c>
      <c r="G17126" s="10" t="inlineStr">
        <is>
          <t>06-04-2026</t>
        </is>
      </c>
      <c r="H17126" s="10" t="inlineStr">
        <is>
          <t>06/04/2026</t>
        </is>
      </c>
      <c r="I17126" s="10" t="inlineStr">
        <is>
          <t>17/03/2026</t>
        </is>
      </c>
      <c r="J17126" s="10" t="inlineStr">
        <is>
          <t>CNTT - Phần mềm</t>
        </is>
      </c>
      <c r="K17126" s="10" t="inlineStr">
        <is>
          <t>Trên 5 Năm</t>
        </is>
      </c>
      <c r="L17126" s="11">
        <f>HYPERLINK("https://careerviet.vn/vi/tim-viec-lam/hn-chuyen-gia-van-hanh-he-thong-core-t24.35C67A31.html","Xem chi tiết")</f>
        <v/>
      </c>
      <c r="M17126" s="10" t="n"/>
    </row>
    <row r="17127">
      <c r="B17127" s="7" t="n">
        <v>17125</v>
      </c>
      <c r="C17127" t="inlineStr">
        <is>
          <t>Trợ lý Điều hành cao cấp</t>
        </is>
      </c>
      <c r="D17127" t="inlineStr">
        <is>
          <t>Công ty Cổ phần thực phẩm và đồ uống Barett</t>
        </is>
      </c>
      <c r="E17127" t="inlineStr">
        <is>
          <t>Lương:28 Tr - 35 Tr VND</t>
        </is>
      </c>
      <c r="F17127" t="inlineStr">
        <is>
          <t>Hà Nội</t>
        </is>
      </c>
      <c r="G17127" t="inlineStr">
        <is>
          <t>06-04-2026</t>
        </is>
      </c>
      <c r="H17127" t="inlineStr">
        <is>
          <t>06/04/2026</t>
        </is>
      </c>
      <c r="I17127" t="inlineStr">
        <is>
          <t>17/03/2026</t>
        </is>
      </c>
      <c r="J17127" t="inlineStr">
        <is>
          <t>Hành chính / Thư ký, Quản lý điều hành</t>
        </is>
      </c>
      <c r="K17127" t="inlineStr">
        <is>
          <t>3 - 5 Năm</t>
        </is>
      </c>
      <c r="L17127" s="8">
        <f>HYPERLINK("https://careerviet.vn/vi/tim-viec-lam/tro-ly-dieu-hanh-cao-cap.35C64AE3.html","Xem chi tiết")</f>
        <v/>
      </c>
    </row>
    <row r="17128">
      <c r="B17128" s="9" t="n">
        <v>17126</v>
      </c>
      <c r="C17128" s="10" t="inlineStr">
        <is>
          <t>Amazon Specialist</t>
        </is>
      </c>
      <c r="D17128" s="10" t="inlineStr">
        <is>
          <t>CÔNG TY CỔ PHẦN ĐẦU TƯ VÀ PHÁT TRIỂN HA TA FA</t>
        </is>
      </c>
      <c r="E17128" s="10" t="inlineStr">
        <is>
          <t>Lương:Cạnh tranh</t>
        </is>
      </c>
      <c r="F17128" s="10" t="inlineStr">
        <is>
          <t>Đồng Nai</t>
        </is>
      </c>
      <c r="G17128" s="10" t="inlineStr">
        <is>
          <t>06-04-2026</t>
        </is>
      </c>
      <c r="H17128" s="10" t="inlineStr">
        <is>
          <t>06/04/2026</t>
        </is>
      </c>
      <c r="I17128" s="10" t="inlineStr">
        <is>
          <t>17/03/2026</t>
        </is>
      </c>
      <c r="J17128" s="10" t="inlineStr">
        <is>
          <t>Thương mại điện tử</t>
        </is>
      </c>
      <c r="K17128" s="10" t="inlineStr">
        <is>
          <t>Lên đến 1 Năm</t>
        </is>
      </c>
      <c r="L17128" s="11">
        <f>HYPERLINK("https://careerviet.vn/vi/tim-viec-lam/amazon-specialist.35C67976.html","Xem chi tiết")</f>
        <v/>
      </c>
      <c r="M17128" s="10" t="n"/>
    </row>
    <row r="17129">
      <c r="B17129" s="7" t="n">
        <v>17127</v>
      </c>
      <c r="C17129" t="inlineStr">
        <is>
          <t>Nhân viên bảo trì máy may công nghiệp</t>
        </is>
      </c>
      <c r="D17129" t="inlineStr">
        <is>
          <t>VĂN PHÒNG ĐẠI DIỆN JACK TECHNOLOGY CO., LTD. TẠI THÀNH PHỐ HỒ CHÍ MINH</t>
        </is>
      </c>
      <c r="E17129" t="inlineStr">
        <is>
          <t>Lương:10 Tr - 18 Tr VND</t>
        </is>
      </c>
      <c r="F17129" t="inlineStr">
        <is>
          <t>Hồ Chí Minh</t>
        </is>
      </c>
      <c r="G17129" t="inlineStr">
        <is>
          <t>06-04-2026</t>
        </is>
      </c>
      <c r="H17129" t="inlineStr">
        <is>
          <t>06/04/2026</t>
        </is>
      </c>
      <c r="I17129" t="inlineStr">
        <is>
          <t>17/03/2026</t>
        </is>
      </c>
      <c r="J17129" t="inlineStr">
        <is>
          <t>Bảo trì / Sửa chữa, Sản xuất / Vận hành sản xuất, Dệt may / Da giày / Thời trang</t>
        </is>
      </c>
      <c r="K17129" t="inlineStr">
        <is>
          <t>4 - 5 Năm</t>
        </is>
      </c>
      <c r="L17129" s="8">
        <f>HYPERLINK("https://careerviet.vn/vi/tim-viec-lam/nhan-vien-bao-tri-may-may-cong-nghiep.35C67B89.html","Xem chi tiết")</f>
        <v/>
      </c>
    </row>
    <row r="17130">
      <c r="B17130" s="9" t="n">
        <v>17128</v>
      </c>
      <c r="C17130" s="10" t="inlineStr">
        <is>
          <t>NHÂN VIÊN KẾ TOÁN (URGET)</t>
        </is>
      </c>
      <c r="D17130" s="10" t="inlineStr">
        <is>
          <t>Công ty CP An Thành Bicsol</t>
        </is>
      </c>
      <c r="E17130" s="10" t="inlineStr">
        <is>
          <t>Lương:10 Tr - 15 Tr VND</t>
        </is>
      </c>
      <c r="F17130" s="10" t="inlineStr">
        <is>
          <t>Hà Nội</t>
        </is>
      </c>
      <c r="G17130" s="10" t="inlineStr">
        <is>
          <t>06-04-2026</t>
        </is>
      </c>
      <c r="H17130" s="10" t="inlineStr">
        <is>
          <t>06/04/2026</t>
        </is>
      </c>
      <c r="I17130" s="10" t="inlineStr">
        <is>
          <t>17/03/2026</t>
        </is>
      </c>
      <c r="J17130" s="10" t="inlineStr">
        <is>
          <t>Kế toán / Kiểm toán</t>
        </is>
      </c>
      <c r="K17130" s="10" t="inlineStr">
        <is>
          <t>N/A</t>
        </is>
      </c>
      <c r="L17130" s="11">
        <f>HYPERLINK("https://careerviet.vn/vi/tim-viec-lam/nhan-vien-ke-toan-urget.35C67CC1.html","Xem chi tiết")</f>
        <v/>
      </c>
      <c r="M17130" s="10" t="n"/>
    </row>
    <row r="17131">
      <c r="B17131" s="7" t="n">
        <v>17129</v>
      </c>
      <c r="C17131" t="inlineStr">
        <is>
          <t>Liobank - Chuyên viên cao cấp Quản lý Danh mục sản phẩm</t>
        </is>
      </c>
      <c r="D17131" t="inlineStr">
        <is>
          <t>Ngân Hàng TMCP Phương Đông - OCB</t>
        </is>
      </c>
      <c r="E17131" t="inlineStr">
        <is>
          <t>Lương:Cạnh tranh</t>
        </is>
      </c>
      <c r="F17131" t="inlineStr">
        <is>
          <t>Hồ Chí Minh</t>
        </is>
      </c>
      <c r="G17131" t="inlineStr">
        <is>
          <t>06-04-2026</t>
        </is>
      </c>
      <c r="H17131" t="inlineStr">
        <is>
          <t>06/04/2026</t>
        </is>
      </c>
      <c r="I17131" t="inlineStr">
        <is>
          <t>17/03/2026</t>
        </is>
      </c>
      <c r="J17131" t="inlineStr">
        <is>
          <t>Ngân hàng, Tài chính / Đầu tư</t>
        </is>
      </c>
      <c r="K17131" t="inlineStr">
        <is>
          <t>4 - 6 Năm</t>
        </is>
      </c>
      <c r="L17131" s="8">
        <f>HYPERLINK("https://careerviet.vn/vi/tim-viec-lam/liobank-chuyen-vien-cao-cap-quan-ly-danh-muc-san-pham.35C67BD2.html","Xem chi tiết")</f>
        <v/>
      </c>
    </row>
    <row r="17132">
      <c r="B17132" s="9" t="n">
        <v>17130</v>
      </c>
      <c r="C17132" s="10" t="inlineStr">
        <is>
          <t>Chuyên viên Quản trị sản phẩm  - Product Management Specialist - Ban Sản phẩm và Marketing (HO26.34)</t>
        </is>
      </c>
      <c r="D17132" s="10" t="inlineStr">
        <is>
          <t>Ngân Hàng TMCP Quân Đội</t>
        </is>
      </c>
      <c r="E17132" s="10" t="inlineStr">
        <is>
          <t>Lương:Cạnh tranh</t>
        </is>
      </c>
      <c r="F17132" s="10" t="inlineStr">
        <is>
          <t>Hà Nội</t>
        </is>
      </c>
      <c r="G17132" s="10" t="inlineStr">
        <is>
          <t>06-04-2026</t>
        </is>
      </c>
      <c r="H17132" s="10" t="inlineStr">
        <is>
          <t>06/04/2026</t>
        </is>
      </c>
      <c r="I17132" s="10" t="inlineStr">
        <is>
          <t>17/03/2026</t>
        </is>
      </c>
      <c r="J17132" s="10" t="inlineStr">
        <is>
          <t>Ngân hàng</t>
        </is>
      </c>
      <c r="K17132" s="10" t="inlineStr">
        <is>
          <t>Không yêu cầu kinh nghiệm</t>
        </is>
      </c>
      <c r="L17132" s="11">
        <f>HYPERLINK("https://careerviet.vn/vi/tim-viec-lam/chuyen-vien-quan-tri-san-pham-product-management-specialist-ban-san-pham-va-marketing-ho26-34.35C67A70.html","Xem chi tiết")</f>
        <v/>
      </c>
      <c r="M17132" s="10" t="n"/>
    </row>
    <row r="17133">
      <c r="B17133" s="7" t="n">
        <v>17131</v>
      </c>
      <c r="C17133" t="inlineStr">
        <is>
          <t>Kế toán giá thành</t>
        </is>
      </c>
      <c r="D17133" t="inlineStr">
        <is>
          <t>Tập Đoàn Kim Tín</t>
        </is>
      </c>
      <c r="E17133" t="inlineStr">
        <is>
          <t>Lương:Cạnh tranh</t>
        </is>
      </c>
      <c r="F17133" t="inlineStr">
        <is>
          <t>Hưng Yên</t>
        </is>
      </c>
      <c r="G17133" t="inlineStr">
        <is>
          <t>06-04-2026</t>
        </is>
      </c>
      <c r="H17133" t="inlineStr">
        <is>
          <t>06/04/2026</t>
        </is>
      </c>
      <c r="I17133" t="inlineStr">
        <is>
          <t>17/03/2026</t>
        </is>
      </c>
      <c r="J17133" t="inlineStr">
        <is>
          <t>Kế toán / Kiểm toán</t>
        </is>
      </c>
      <c r="K17133" t="inlineStr">
        <is>
          <t>1 - 3 Năm</t>
        </is>
      </c>
      <c r="L17133" s="8">
        <f>HYPERLINK("https://careerviet.vn/vi/tim-viec-lam/ke-toan-gia-thanh.35C67B2C.html","Xem chi tiết")</f>
        <v/>
      </c>
    </row>
    <row r="17134">
      <c r="B17134" s="9" t="n">
        <v>17132</v>
      </c>
      <c r="C17134" s="10" t="inlineStr">
        <is>
          <t>Nhân viên chụp hình - quay dựng Video</t>
        </is>
      </c>
      <c r="D17134" s="10" t="inlineStr">
        <is>
          <t>CareerViet's client</t>
        </is>
      </c>
      <c r="E17134" s="10" t="inlineStr">
        <is>
          <t>Lương:Cạnh tranh</t>
        </is>
      </c>
      <c r="F17134" s="10" t="inlineStr">
        <is>
          <t>Hồ Chí Minh</t>
        </is>
      </c>
      <c r="G17134" s="10" t="inlineStr">
        <is>
          <t>06-04-2026</t>
        </is>
      </c>
      <c r="H17134" s="10" t="inlineStr">
        <is>
          <t>06/04/2026</t>
        </is>
      </c>
      <c r="I17134" s="10" t="inlineStr">
        <is>
          <t>17/03/2026</t>
        </is>
      </c>
      <c r="J17134" s="10" t="inlineStr">
        <is>
          <t>Tiếp thị / Marketing, Truyền hình / Báo chí / Biên tập, Quảng cáo / Đối ngoại / Truyền Thông</t>
        </is>
      </c>
      <c r="K17134" s="10" t="inlineStr">
        <is>
          <t>2 - 5 Năm</t>
        </is>
      </c>
      <c r="L17134" s="11">
        <f>HYPERLINK("https://careerviet.vn/vi/tim-viec-lam/nhan-vien-chup-hinh-quay-dung-video.35C6799F.html","Xem chi tiết")</f>
        <v/>
      </c>
      <c r="M17134" s="10" t="n"/>
    </row>
    <row r="17135">
      <c r="B17135" s="7" t="n">
        <v>17133</v>
      </c>
      <c r="C17135" t="inlineStr">
        <is>
          <t>HN - Giám đốc/ Chuyên viên Dịch Vụ Khách Hàng Doanh Nghiệp</t>
        </is>
      </c>
      <c r="D17135" t="inlineStr">
        <is>
          <t>ACB - Ngân Hàng TMCP Á Châu</t>
        </is>
      </c>
      <c r="E17135" t="inlineStr">
        <is>
          <t>Lương:Cạnh tranh</t>
        </is>
      </c>
      <c r="F17135" t="inlineStr">
        <is>
          <t>Hà Nội</t>
        </is>
      </c>
      <c r="G17135" t="inlineStr">
        <is>
          <t>06-04-2026</t>
        </is>
      </c>
      <c r="H17135" t="inlineStr">
        <is>
          <t>06/04/2026</t>
        </is>
      </c>
      <c r="I17135" t="inlineStr">
        <is>
          <t>17/03/2026</t>
        </is>
      </c>
      <c r="J17135" t="inlineStr">
        <is>
          <t>Ngân hàng, Dịch vụ khách hàng, Bán hàng / Kinh doanh</t>
        </is>
      </c>
      <c r="K17135" t="inlineStr">
        <is>
          <t>N/A</t>
        </is>
      </c>
      <c r="L17135" s="8">
        <f>HYPERLINK("https://careerviet.vn/vi/tim-viec-lam/hn-giam-doc-chuyen-vien-dich-vu-khach-hang-doanh-nghiep.35C67B08.html","Xem chi tiết")</f>
        <v/>
      </c>
    </row>
    <row r="17136">
      <c r="B17136" s="9" t="n">
        <v>17134</v>
      </c>
      <c r="C17136" s="10" t="inlineStr">
        <is>
          <t>Thiết Kế Đồ Họa</t>
        </is>
      </c>
      <c r="D17136" s="10" t="inlineStr">
        <is>
          <t>OSEVEN Corp</t>
        </is>
      </c>
      <c r="E17136" s="10" t="inlineStr">
        <is>
          <t>Lương:Cạnh tranh</t>
        </is>
      </c>
      <c r="F17136" s="10" t="inlineStr">
        <is>
          <t>Hồ Chí Minh</t>
        </is>
      </c>
      <c r="G17136" s="10" t="inlineStr">
        <is>
          <t>06-04-2026</t>
        </is>
      </c>
      <c r="H17136" s="10" t="inlineStr">
        <is>
          <t>06/04/2026</t>
        </is>
      </c>
      <c r="I17136" s="10" t="inlineStr">
        <is>
          <t>17/03/2026</t>
        </is>
      </c>
      <c r="J17136" s="10" t="inlineStr">
        <is>
          <t>Mỹ thuật / Nghệ thuật / Thiết kế, Nội ngoại thất, Quảng cáo / Đối ngoại / Truyền Thông</t>
        </is>
      </c>
      <c r="K17136" s="10" t="inlineStr">
        <is>
          <t>N/A</t>
        </is>
      </c>
      <c r="L17136" s="11">
        <f>HYPERLINK("https://careerviet.vn/vi/tim-viec-lam/thiet-ke-do-hoa.35C67BB7.html","Xem chi tiết")</f>
        <v/>
      </c>
      <c r="M17136" s="10" t="n"/>
    </row>
    <row r="17137">
      <c r="B17137" s="7" t="n">
        <v>17135</v>
      </c>
      <c r="C17137" t="inlineStr">
        <is>
          <t>Graphic Designer</t>
        </is>
      </c>
      <c r="D17137" t="inlineStr">
        <is>
          <t>CareerViet's client</t>
        </is>
      </c>
      <c r="E17137" t="inlineStr">
        <is>
          <t>Lương:Cạnh tranh</t>
        </is>
      </c>
      <c r="F17137" t="inlineStr">
        <is>
          <t>Hồ Chí Minh</t>
        </is>
      </c>
      <c r="G17137" t="inlineStr">
        <is>
          <t>06-04-2026</t>
        </is>
      </c>
      <c r="H17137" t="inlineStr">
        <is>
          <t>06/04/2026</t>
        </is>
      </c>
      <c r="I17137" t="inlineStr">
        <is>
          <t>17/03/2026</t>
        </is>
      </c>
      <c r="J17137" t="inlineStr">
        <is>
          <t>Tiếp thị / Marketing, Mỹ thuật / Nghệ thuật / Thiết kế, Quảng cáo / Đối ngoại / Truyền Thông</t>
        </is>
      </c>
      <c r="K17137" t="inlineStr">
        <is>
          <t>2 - 5 Năm</t>
        </is>
      </c>
      <c r="L17137" s="8">
        <f>HYPERLINK("https://careerviet.vn/vi/tim-viec-lam/graphic-designer.35C679FD.html","Xem chi tiết")</f>
        <v/>
      </c>
    </row>
    <row r="17138">
      <c r="B17138" s="9" t="n">
        <v>17136</v>
      </c>
      <c r="C17138" s="10" t="inlineStr">
        <is>
          <t>IT Application Executive</t>
        </is>
      </c>
      <c r="D17138" s="10" t="inlineStr">
        <is>
          <t>Công Ty Cổ Phần Thời Trang &amp; Mỹ Phẩm Duy Anh (DAFC)</t>
        </is>
      </c>
      <c r="E17138" s="10" t="inlineStr">
        <is>
          <t>Lương:Cạnh tranh</t>
        </is>
      </c>
      <c r="F17138" s="10" t="inlineStr">
        <is>
          <t>Hồ Chí Minh</t>
        </is>
      </c>
      <c r="G17138" s="10" t="inlineStr">
        <is>
          <t>06-04-2026</t>
        </is>
      </c>
      <c r="H17138" s="10" t="inlineStr">
        <is>
          <t>06/04/2026</t>
        </is>
      </c>
      <c r="I17138" s="10" t="inlineStr">
        <is>
          <t>17/03/2026</t>
        </is>
      </c>
      <c r="J17138" s="10" t="inlineStr">
        <is>
          <t>Bán lẻ / Bán sỉ, CNTT - Phần mềm, CNTT - Phần cứng / Mạng</t>
        </is>
      </c>
      <c r="K17138" s="10" t="inlineStr">
        <is>
          <t>Trên 2 Năm</t>
        </is>
      </c>
      <c r="L17138" s="11">
        <f>HYPERLINK("https://careerviet.vn/vi/tim-viec-lam/it-application-executive.35C678D8.html","Xem chi tiết")</f>
        <v/>
      </c>
      <c r="M17138" s="10" t="n"/>
    </row>
    <row r="17139">
      <c r="B17139" s="7" t="n">
        <v>17137</v>
      </c>
      <c r="C17139" t="inlineStr">
        <is>
          <t>Chuyên viên Ban Giá</t>
        </is>
      </c>
      <c r="D17139" t="inlineStr">
        <is>
          <t>CÔNG TY CỔ PHẦN TẬP ĐOÀN ONSEN FUJI</t>
        </is>
      </c>
      <c r="E17139" t="inlineStr">
        <is>
          <t>Lương:25 Tr - 30 Tr VND</t>
        </is>
      </c>
      <c r="F17139" t="inlineStr">
        <is>
          <t>Hà Nội</t>
        </is>
      </c>
      <c r="G17139" t="inlineStr">
        <is>
          <t>06-04-2026</t>
        </is>
      </c>
      <c r="H17139" t="inlineStr">
        <is>
          <t>06/04/2026</t>
        </is>
      </c>
      <c r="I17139" t="inlineStr">
        <is>
          <t>17/03/2026</t>
        </is>
      </c>
      <c r="J17139" t="inlineStr">
        <is>
          <t>Xây dựng, Bất động sản, Ngành khác</t>
        </is>
      </c>
      <c r="K17139" t="inlineStr">
        <is>
          <t>3 - 5 Năm</t>
        </is>
      </c>
      <c r="L17139" s="8">
        <f>HYPERLINK("https://careerviet.vn/vi/tim-viec-lam/chuyen-vien-ban-gia.35C67BA7.html","Xem chi tiết")</f>
        <v/>
      </c>
    </row>
    <row r="17140">
      <c r="B17140" s="9" t="n">
        <v>17138</v>
      </c>
      <c r="C17140" s="10" t="inlineStr">
        <is>
          <t>Kế toán trưởng (Công ty thành viên)</t>
        </is>
      </c>
      <c r="D17140" s="10" t="inlineStr">
        <is>
          <t>CÔNG TY CỔ PHẦN TẬP ĐOÀN ONSEN FUJI</t>
        </is>
      </c>
      <c r="E17140" s="10" t="inlineStr">
        <is>
          <t>Lương:30 Tr - 45 Tr VND</t>
        </is>
      </c>
      <c r="F17140" s="10" t="inlineStr">
        <is>
          <t>Hà Nội</t>
        </is>
      </c>
      <c r="G17140" s="10" t="inlineStr">
        <is>
          <t>06-04-2026</t>
        </is>
      </c>
      <c r="H17140" s="10" t="inlineStr">
        <is>
          <t>06/04/2026</t>
        </is>
      </c>
      <c r="I17140" s="10" t="inlineStr">
        <is>
          <t>17/03/2026</t>
        </is>
      </c>
      <c r="J17140" s="10" t="inlineStr">
        <is>
          <t>Kế toán / Kiểm toán, Xây dựng, Bất động sản</t>
        </is>
      </c>
      <c r="K17140" s="10" t="inlineStr">
        <is>
          <t>5 - 7 Năm</t>
        </is>
      </c>
      <c r="L17140" s="11">
        <f>HYPERLINK("https://careerviet.vn/vi/tim-viec-lam/ke-toan-truong-cong-ty-thanh-vien.35C67BB5.html","Xem chi tiết")</f>
        <v/>
      </c>
      <c r="M17140" s="10" t="n"/>
    </row>
    <row r="17141">
      <c r="B17141" s="7" t="n">
        <v>17139</v>
      </c>
      <c r="C17141" t="inlineStr">
        <is>
          <t>NHÂN VIÊN THIẾT KẾ KHUÔN</t>
        </is>
      </c>
      <c r="D17141" t="inlineStr">
        <is>
          <t>Công Ty Cổ Phần Sản Xuất Nhựa Duy Tân</t>
        </is>
      </c>
      <c r="E17141" t="inlineStr">
        <is>
          <t>Lương:Cạnh tranh</t>
        </is>
      </c>
      <c r="F17141" t="inlineStr">
        <is>
          <t>Hồ Chí Minh</t>
        </is>
      </c>
      <c r="G17141" t="inlineStr">
        <is>
          <t>06-04-2026</t>
        </is>
      </c>
      <c r="H17141" t="inlineStr">
        <is>
          <t>06/04/2026</t>
        </is>
      </c>
      <c r="I17141" t="inlineStr">
        <is>
          <t>17/03/2026</t>
        </is>
      </c>
      <c r="J17141" t="inlineStr">
        <is>
          <t>Cơ khí / Ô tô / Tự động hóa</t>
        </is>
      </c>
      <c r="K17141" t="inlineStr">
        <is>
          <t>2 - 5 Năm</t>
        </is>
      </c>
      <c r="L17141" s="8">
        <f>HYPERLINK("https://careerviet.vn/vi/tim-viec-lam/nhan-vien-thiet-ke-khuon.35C64B8D.html","Xem chi tiết")</f>
        <v/>
      </c>
    </row>
    <row r="17142">
      <c r="B17142" s="9" t="n">
        <v>17140</v>
      </c>
      <c r="C17142" s="10" t="inlineStr">
        <is>
          <t>NHÂN VIÊN KẾ HOẠCH HÀNG HOÁ  (F&amp;B)</t>
        </is>
      </c>
      <c r="D17142" s="10" t="inlineStr">
        <is>
          <t>ONE GROUP</t>
        </is>
      </c>
      <c r="E17142" s="10" t="inlineStr">
        <is>
          <t>Lương:10 Tr - 15 Tr VND</t>
        </is>
      </c>
      <c r="F17142" s="10" t="inlineStr">
        <is>
          <t>Hồ Chí Minh</t>
        </is>
      </c>
      <c r="G17142" s="10" t="inlineStr">
        <is>
          <t>06-04-2026</t>
        </is>
      </c>
      <c r="H17142" s="10" t="inlineStr">
        <is>
          <t>06/04/2026</t>
        </is>
      </c>
      <c r="I17142" s="10" t="inlineStr">
        <is>
          <t>17/03/2026</t>
        </is>
      </c>
      <c r="J17142" s="10" t="inlineStr">
        <is>
          <t>Bán hàng / Kinh doanh, Dịch vụ khách hàng, Nhà hàng / Khách sạn</t>
        </is>
      </c>
      <c r="K17142" s="10" t="inlineStr">
        <is>
          <t>2 - 3 Năm</t>
        </is>
      </c>
      <c r="L17142" s="11">
        <f>HYPERLINK("https://careerviet.vn/vi/tim-viec-lam/nhan-vien-ke-hoach-hang-hoa-f-b.35C67BB3.html","Xem chi tiết")</f>
        <v/>
      </c>
      <c r="M17142" s="10" t="n"/>
    </row>
    <row r="17143">
      <c r="B17143" s="7" t="n">
        <v>17141</v>
      </c>
      <c r="C17143" t="inlineStr">
        <is>
          <t>Kiến trúc sư  (Thiết kế cửa hàng)</t>
        </is>
      </c>
      <c r="D17143" t="inlineStr">
        <is>
          <t>Công ty Cổ phần CANIFA</t>
        </is>
      </c>
      <c r="E17143" t="inlineStr">
        <is>
          <t>Lương:18 Tr - 25 Tr VND</t>
        </is>
      </c>
      <c r="F17143" t="inlineStr">
        <is>
          <t>Hà Nội</t>
        </is>
      </c>
      <c r="G17143" t="inlineStr">
        <is>
          <t>06-04-2026</t>
        </is>
      </c>
      <c r="H17143" t="inlineStr">
        <is>
          <t>06/04/2026</t>
        </is>
      </c>
      <c r="I17143" t="inlineStr">
        <is>
          <t>17/03/2026</t>
        </is>
      </c>
      <c r="J17143" t="inlineStr">
        <is>
          <t>Kiến trúc, Xây dựng, Nội ngoại thất</t>
        </is>
      </c>
      <c r="K17143" t="inlineStr">
        <is>
          <t>2 - 5 Năm</t>
        </is>
      </c>
      <c r="L17143" s="8">
        <f>HYPERLINK("https://careerviet.vn/vi/tim-viec-lam/kien-truc-su-thiet-ke-cua-hang.35C67B28.html","Xem chi tiết")</f>
        <v/>
      </c>
    </row>
    <row r="17144">
      <c r="B17144" s="9" t="n">
        <v>17142</v>
      </c>
      <c r="C17144" s="10" t="inlineStr">
        <is>
          <t>Chuyên viên Quản lý ngân sách xây dựng</t>
        </is>
      </c>
      <c r="D17144" s="10" t="inlineStr">
        <is>
          <t>Công Ty Cổ Phần Xây Dựng CDC</t>
        </is>
      </c>
      <c r="E17144" s="10" t="inlineStr">
        <is>
          <t>Lương:14 Tr - 19 Tr VND</t>
        </is>
      </c>
      <c r="F17144" s="10" t="inlineStr">
        <is>
          <t>Hà Nội</t>
        </is>
      </c>
      <c r="G17144" s="10" t="inlineStr">
        <is>
          <t>06-04-2026</t>
        </is>
      </c>
      <c r="H17144" s="10" t="inlineStr">
        <is>
          <t>06/04/2026</t>
        </is>
      </c>
      <c r="I17144" s="10" t="inlineStr">
        <is>
          <t>17/03/2026</t>
        </is>
      </c>
      <c r="J17144" s="10" t="inlineStr">
        <is>
          <t>Kiến trúc, Xây dựng</t>
        </is>
      </c>
      <c r="K17144" s="10" t="inlineStr">
        <is>
          <t>2 - 5 Năm</t>
        </is>
      </c>
      <c r="L17144" s="11">
        <f>HYPERLINK("https://careerviet.vn/vi/tim-viec-lam/chuyen-vien-quan-ly-ngan-sach-xay-dung.35C67BA6.html","Xem chi tiết")</f>
        <v/>
      </c>
      <c r="M17144" s="10" t="n"/>
    </row>
    <row r="17145">
      <c r="B17145" s="7" t="n">
        <v>17143</v>
      </c>
      <c r="C17145" t="inlineStr">
        <is>
          <t>Chuyên Viên Truyền Thông Nội Bộ</t>
        </is>
      </c>
      <c r="D17145" t="inlineStr">
        <is>
          <t>GTEL ICT</t>
        </is>
      </c>
      <c r="E17145" t="inlineStr">
        <is>
          <t>Lương:10 Tr - 20 Tr VND</t>
        </is>
      </c>
      <c r="F17145" t="inlineStr">
        <is>
          <t>Hà Nội</t>
        </is>
      </c>
      <c r="G17145" t="inlineStr">
        <is>
          <t>06-04-2026</t>
        </is>
      </c>
      <c r="H17145" t="inlineStr">
        <is>
          <t>06/04/2026</t>
        </is>
      </c>
      <c r="I17145" t="inlineStr">
        <is>
          <t>17/03/2026</t>
        </is>
      </c>
      <c r="J17145" t="inlineStr">
        <is>
          <t>Truyền hình / Báo chí / Biên tập, Quảng cáo / Đối ngoại / Truyền Thông, Tổ chức sự kiện</t>
        </is>
      </c>
      <c r="K17145" t="inlineStr">
        <is>
          <t>Trên 3 Năm</t>
        </is>
      </c>
      <c r="L17145" s="8">
        <f>HYPERLINK("https://careerviet.vn/vi/tim-viec-lam/chuyen-vien-truyen-thong-noi-bo.35C64A52.html","Xem chi tiết")</f>
        <v/>
      </c>
    </row>
    <row r="17146">
      <c r="B17146" s="9" t="n">
        <v>17144</v>
      </c>
      <c r="C17146" s="10" t="inlineStr">
        <is>
          <t>Lễ Tân Tòa Nhà (Customer Service Officer)</t>
        </is>
      </c>
      <c r="D17146" s="10" t="inlineStr">
        <is>
          <t>Savills Vietnam</t>
        </is>
      </c>
      <c r="E17146" s="10" t="inlineStr">
        <is>
          <t>Lương:Cạnh tranh</t>
        </is>
      </c>
      <c r="F17146" s="10" t="inlineStr">
        <is>
          <t>Hồ Chí MinhLong An</t>
        </is>
      </c>
      <c r="G17146" s="10" t="inlineStr">
        <is>
          <t>6</t>
        </is>
      </c>
      <c r="H17146" s="10" t="inlineStr">
        <is>
          <t>23/03/2026</t>
        </is>
      </c>
      <c r="I17146" s="10" t="inlineStr">
        <is>
          <t>17/03/2026</t>
        </is>
      </c>
      <c r="J17146" s="10" t="inlineStr">
        <is>
          <t>Dịch vụ khách hàng, Nhà hàng / Khách sạn, Mới tốt nghiệp / Thực tập</t>
        </is>
      </c>
      <c r="K17146" s="10" t="inlineStr">
        <is>
          <t>N/A</t>
        </is>
      </c>
      <c r="L17146" s="11">
        <f>HYPERLINK("https://careerviet.vn/vi/tim-viec-lam/le-tan-toa-nha-customer-service-officer.35C68DA7.html","Xem chi tiết")</f>
        <v/>
      </c>
      <c r="M17146" s="10" t="n"/>
    </row>
    <row r="17147">
      <c r="B17147" s="7" t="n">
        <v>17145</v>
      </c>
      <c r="C17147" t="inlineStr">
        <is>
          <t>SENIOR DIGITAL PERFORMANCE EXECUTIVE</t>
        </is>
      </c>
      <c r="D17147" t="inlineStr">
        <is>
          <t>Công ty TNHH Sản xuất Thương mại &amp; Dịch vụ Hoa Xinh</t>
        </is>
      </c>
      <c r="E17147" t="inlineStr">
        <is>
          <t>Lương:Cạnh tranh</t>
        </is>
      </c>
      <c r="F17147" t="inlineStr">
        <is>
          <t>Hồ Chí Minh</t>
        </is>
      </c>
      <c r="G17147" t="inlineStr">
        <is>
          <t>06-04-2026</t>
        </is>
      </c>
      <c r="H17147" t="inlineStr">
        <is>
          <t>06/04/2026</t>
        </is>
      </c>
      <c r="I17147" t="inlineStr">
        <is>
          <t>17/03/2026</t>
        </is>
      </c>
      <c r="J17147" t="inlineStr">
        <is>
          <t>Tiếp thị / Marketing, Tiếp thị trực tuyến, Thương mại điện tử</t>
        </is>
      </c>
      <c r="K17147" t="inlineStr">
        <is>
          <t>1 - 5 Năm</t>
        </is>
      </c>
      <c r="L17147" s="8">
        <f>HYPERLINK("https://careerviet.vn/vi/tim-viec-lam/senior-digital-performance-executive.35C679F6.html","Xem chi tiết")</f>
        <v/>
      </c>
    </row>
    <row r="17148">
      <c r="B17148" s="9" t="n">
        <v>17146</v>
      </c>
      <c r="C17148" s="10" t="inlineStr">
        <is>
          <t>HN - Giám Đốc/Chuyên Viên Quan Hệ Khách Hàng Cá Nhân</t>
        </is>
      </c>
      <c r="D17148" s="10" t="inlineStr">
        <is>
          <t>ACB - Ngân Hàng TMCP Á Châu</t>
        </is>
      </c>
      <c r="E17148" s="10" t="inlineStr">
        <is>
          <t>Lương:Cạnh tranh</t>
        </is>
      </c>
      <c r="F17148" s="10" t="inlineStr">
        <is>
          <t>Hà Nội</t>
        </is>
      </c>
      <c r="G17148" s="10" t="inlineStr">
        <is>
          <t>06-04-2026</t>
        </is>
      </c>
      <c r="H17148" s="10" t="inlineStr">
        <is>
          <t>06/04/2026</t>
        </is>
      </c>
      <c r="I17148" s="10" t="inlineStr">
        <is>
          <t>17/03/2026</t>
        </is>
      </c>
      <c r="J17148" s="10" t="inlineStr">
        <is>
          <t>Ngân hàng, Dịch vụ khách hàng, Bán hàng / Kinh doanh</t>
        </is>
      </c>
      <c r="K17148" s="10" t="inlineStr">
        <is>
          <t>1 Năm</t>
        </is>
      </c>
      <c r="L17148" s="11">
        <f>HYPERLINK("https://careerviet.vn/vi/tim-viec-lam/hn-giam-doc-chuyen-vien-quan-he-khach-hang-ca-nhan.35C67B07.html","Xem chi tiết")</f>
        <v/>
      </c>
      <c r="M17148" s="10" t="n"/>
    </row>
    <row r="17149">
      <c r="B17149" s="7" t="n">
        <v>17147</v>
      </c>
      <c r="C17149" t="inlineStr">
        <is>
          <t>Receptionist (Head Office)</t>
        </is>
      </c>
      <c r="D17149" t="inlineStr">
        <is>
          <t>Savills Vietnam</t>
        </is>
      </c>
      <c r="E17149" t="inlineStr">
        <is>
          <t>Lương:Cạnh tranh</t>
        </is>
      </c>
      <c r="F17149" t="inlineStr">
        <is>
          <t>Hồ Chí Minh</t>
        </is>
      </c>
      <c r="G17149" t="inlineStr">
        <is>
          <t>06-04-2026</t>
        </is>
      </c>
      <c r="H17149" t="inlineStr">
        <is>
          <t>06/04/2026</t>
        </is>
      </c>
      <c r="I17149" t="inlineStr">
        <is>
          <t>17/03/2026</t>
        </is>
      </c>
      <c r="J17149" t="inlineStr">
        <is>
          <t>Dịch vụ khách hàng, Hành chính / Thư ký, Bất động sản</t>
        </is>
      </c>
      <c r="K17149" t="inlineStr">
        <is>
          <t>1 - 2 Năm</t>
        </is>
      </c>
      <c r="L17149" s="8">
        <f>HYPERLINK("https://careerviet.vn/vi/tim-viec-lam/receptionist-head-office.35C66CD2.html","Xem chi tiết")</f>
        <v/>
      </c>
    </row>
    <row r="17150">
      <c r="B17150" s="9" t="n">
        <v>17148</v>
      </c>
      <c r="C17150" s="10" t="inlineStr">
        <is>
          <t>NHÂN VIÊN MARKETING  [CỦ CHI]</t>
        </is>
      </c>
      <c r="D17150" s="10" t="inlineStr">
        <is>
          <t>CÔNG TY CP SAIGON AUTO SUPPORTING INDUSTRY</t>
        </is>
      </c>
      <c r="E17150" s="10" t="inlineStr">
        <is>
          <t>Lương:Cạnh tranh</t>
        </is>
      </c>
      <c r="F17150" s="10" t="inlineStr">
        <is>
          <t>Hồ Chí Minh</t>
        </is>
      </c>
      <c r="G17150" s="10" t="inlineStr">
        <is>
          <t>06-04-2026</t>
        </is>
      </c>
      <c r="H17150" s="10" t="inlineStr">
        <is>
          <t>06/04/2026</t>
        </is>
      </c>
      <c r="I17150" s="10" t="inlineStr">
        <is>
          <t>17/03/2026</t>
        </is>
      </c>
      <c r="J17150" s="10" t="inlineStr">
        <is>
          <t>Tiếp thị / Marketing, Hành chính / Thư ký, Bán hàng / Kinh doanh</t>
        </is>
      </c>
      <c r="K17150" s="10" t="inlineStr">
        <is>
          <t>1 - 3 Năm</t>
        </is>
      </c>
      <c r="L17150" s="11">
        <f>HYPERLINK("https://careerviet.vn/vi/tim-viec-lam/nhan-vien-marketing-cu-chi.35C64AF8.html","Xem chi tiết")</f>
        <v/>
      </c>
      <c r="M17150" s="10" t="n"/>
    </row>
    <row r="17151">
      <c r="B17151" s="7" t="n">
        <v>17149</v>
      </c>
      <c r="C17151" t="inlineStr">
        <is>
          <t>Sales Executive (Sale Banquet)</t>
        </is>
      </c>
      <c r="D17151" t="inlineStr">
        <is>
          <t>Công Ty Cổ Phần A25 Hotel</t>
        </is>
      </c>
      <c r="E17151" t="inlineStr">
        <is>
          <t>Lương:15 Tr - 25 Tr VND</t>
        </is>
      </c>
      <c r="F17151" t="inlineStr">
        <is>
          <t>Hà Nội</t>
        </is>
      </c>
      <c r="G17151" t="inlineStr">
        <is>
          <t>31-03-2026</t>
        </is>
      </c>
      <c r="H17151" t="inlineStr">
        <is>
          <t>31/03/2026</t>
        </is>
      </c>
      <c r="I17151" t="inlineStr">
        <is>
          <t>17/03/2026</t>
        </is>
      </c>
      <c r="J17151" t="inlineStr">
        <is>
          <t>Tiếp thị / Marketing, Bán hàng / Kinh doanh, Nhà hàng / Khách sạn</t>
        </is>
      </c>
      <c r="K17151" t="inlineStr">
        <is>
          <t>1 - 2 Năm</t>
        </is>
      </c>
      <c r="L17151" s="8">
        <f>HYPERLINK("https://careerviet.vn/vi/tim-viec-lam/sales-executive-sale-banquet.35C68F47.html","Xem chi tiết")</f>
        <v/>
      </c>
    </row>
    <row r="17152">
      <c r="B17152" s="9" t="n">
        <v>17150</v>
      </c>
      <c r="C17152" s="10" t="inlineStr">
        <is>
          <t>Chuyên viên Nhân sự</t>
        </is>
      </c>
      <c r="D17152" s="10" t="inlineStr">
        <is>
          <t>CareerViet's client</t>
        </is>
      </c>
      <c r="E17152" s="10" t="inlineStr">
        <is>
          <t>Lương:Cạnh tranh</t>
        </is>
      </c>
      <c r="F17152" s="10" t="inlineStr">
        <is>
          <t>Hồ Chí Minh</t>
        </is>
      </c>
      <c r="G17152" s="10" t="inlineStr">
        <is>
          <t>06-04-2026</t>
        </is>
      </c>
      <c r="H17152" s="10" t="inlineStr">
        <is>
          <t>06/04/2026</t>
        </is>
      </c>
      <c r="I17152" s="10" t="inlineStr">
        <is>
          <t>17/03/2026</t>
        </is>
      </c>
      <c r="J17152" s="10" t="inlineStr">
        <is>
          <t>Hành chính / Thư ký, Nhân sự, Bất động sản</t>
        </is>
      </c>
      <c r="K17152" s="10" t="inlineStr">
        <is>
          <t>2 - 5 Năm</t>
        </is>
      </c>
      <c r="L17152" s="11">
        <f>HYPERLINK("https://careerviet.vn/vi/tim-viec-lam/chuyen-vien-nhan-su.35C64B49.html","Xem chi tiết")</f>
        <v/>
      </c>
      <c r="M17152" s="10" t="n"/>
    </row>
    <row r="17153">
      <c r="B17153" s="7" t="n">
        <v>17151</v>
      </c>
      <c r="C17153" t="inlineStr">
        <is>
          <t>Kỹ Sư Trưởng  (Chief Engineer)</t>
        </is>
      </c>
      <c r="D17153" t="inlineStr">
        <is>
          <t>Savills Vietnam</t>
        </is>
      </c>
      <c r="E17153" t="inlineStr">
        <is>
          <t>Lương:Cạnh tranh</t>
        </is>
      </c>
      <c r="F17153" t="inlineStr">
        <is>
          <t>Hồ Chí Minh</t>
        </is>
      </c>
      <c r="G17153" t="inlineStr">
        <is>
          <t>31-03-2026</t>
        </is>
      </c>
      <c r="H17153" t="inlineStr">
        <is>
          <t>31/03/2026</t>
        </is>
      </c>
      <c r="I17153" t="inlineStr">
        <is>
          <t>17/03/2026</t>
        </is>
      </c>
      <c r="J17153" t="inlineStr">
        <is>
          <t>Điện / Điện tử / Điện lạnh / Điện công nghiệp, Bảo trì / Sửa chữa, Cơ khí / Ô tô / Tự động hóa</t>
        </is>
      </c>
      <c r="K17153" t="inlineStr">
        <is>
          <t>3 - 5 Năm</t>
        </is>
      </c>
      <c r="L17153" s="8">
        <f>HYPERLINK("https://careerviet.vn/vi/tim-viec-lam/ky-su-truong-chief-engineer.35C68F5C.html","Xem chi tiết")</f>
        <v/>
      </c>
    </row>
    <row r="17154">
      <c r="B17154" s="9" t="n">
        <v>17152</v>
      </c>
      <c r="C17154" s="10" t="inlineStr">
        <is>
          <t>[NovaDreams] Quản lý Quan hệ Khách hàng (Sales)</t>
        </is>
      </c>
      <c r="D17154" s="10" t="inlineStr">
        <is>
          <t>Nova Service Group - Công ty Cổ phần Tập đoàn Nova Services</t>
        </is>
      </c>
      <c r="E17154" s="10" t="inlineStr">
        <is>
          <t>Lương:Cạnh tranh</t>
        </is>
      </c>
      <c r="F17154" s="10" t="inlineStr">
        <is>
          <t>Hồ Chí Minh</t>
        </is>
      </c>
      <c r="G17154" s="10" t="inlineStr">
        <is>
          <t>6</t>
        </is>
      </c>
      <c r="H17154" s="10" t="inlineStr">
        <is>
          <t>23/03/2026</t>
        </is>
      </c>
      <c r="I17154" s="10" t="inlineStr">
        <is>
          <t>17/03/2026</t>
        </is>
      </c>
      <c r="J17154" s="10" t="inlineStr">
        <is>
          <t>Bán hàng / Kinh doanh, Nhà hàng / Khách sạn, Du lịch</t>
        </is>
      </c>
      <c r="K17154" s="10" t="inlineStr">
        <is>
          <t>3 - 8 Năm</t>
        </is>
      </c>
      <c r="L17154" s="11">
        <f>HYPERLINK("https://careerviet.vn/vi/tim-viec-lam/novadreams-quan-ly-quan-he-khach-hang-sales.35C68F3B.html","Xem chi tiết")</f>
        <v/>
      </c>
      <c r="M17154" s="10" t="n"/>
    </row>
    <row r="17155">
      <c r="B17155" s="7" t="n">
        <v>17153</v>
      </c>
      <c r="C17155" t="inlineStr">
        <is>
          <t>Nhân Viên Sale Thị Trường Đồng Nai Base Long Khánh, Tân Phú LC 9-12tr/tháng +PC + Hoa hồng (Có data KH). Thu nhập 15-35tr</t>
        </is>
      </c>
      <c r="D17155" t="inlineStr">
        <is>
          <t>Công Ty TNHH Phát Triển Công Nghệ Điện Tử Bình Anh</t>
        </is>
      </c>
      <c r="E17155" t="inlineStr">
        <is>
          <t>Lương:15 Tr - 35 Tr VND</t>
        </is>
      </c>
      <c r="F17155" t="inlineStr">
        <is>
          <t>Đồng Nai</t>
        </is>
      </c>
      <c r="G17155" t="inlineStr">
        <is>
          <t>31-03-2026</t>
        </is>
      </c>
      <c r="H17155" t="inlineStr">
        <is>
          <t>31/03/2026</t>
        </is>
      </c>
      <c r="I17155" t="inlineStr">
        <is>
          <t>17/03/2026</t>
        </is>
      </c>
      <c r="J17155" t="inlineStr">
        <is>
          <t>Bán hàng / Kinh doanh</t>
        </is>
      </c>
      <c r="K17155" t="inlineStr">
        <is>
          <t>1 - 3 Năm</t>
        </is>
      </c>
      <c r="L17155" s="8">
        <f>HYPERLINK("https://careerviet.vn/vi/tim-viec-lam/nhan-vien-sale-thi-truong-dong-nai-base-long-khanh-tan-phu-lc-9-12tr-thang-pc-hoa-hong-co-data-kh-thu-nhap-15-35tr.35C6627F.html","Xem chi tiết")</f>
        <v/>
      </c>
    </row>
    <row r="17156">
      <c r="B17156" s="9" t="n">
        <v>17154</v>
      </c>
      <c r="C17156" s="10" t="inlineStr">
        <is>
          <t>Giám Sát Ca / Shift Supervisor - Aeon Tân An , Long An</t>
        </is>
      </c>
      <c r="D17156" s="10" t="inlineStr">
        <is>
          <t>Starbucks Vietnam</t>
        </is>
      </c>
      <c r="E17156" s="10" t="inlineStr">
        <is>
          <t>Lương:Cạnh tranh</t>
        </is>
      </c>
      <c r="F17156" s="10" t="inlineStr">
        <is>
          <t>Kiên Giang</t>
        </is>
      </c>
      <c r="G17156" s="10" t="inlineStr">
        <is>
          <t>2</t>
        </is>
      </c>
      <c r="H17156" s="10" t="inlineStr">
        <is>
          <t>19/03/2026</t>
        </is>
      </c>
      <c r="I17156" s="10" t="inlineStr">
        <is>
          <t>17/03/2026</t>
        </is>
      </c>
      <c r="J17156" s="10" t="inlineStr">
        <is>
          <t>Bán lẻ / Bán sỉ, Thực phẩm &amp; Đồ uống, Nhà hàng / Khách sạn</t>
        </is>
      </c>
      <c r="K17156" s="10" t="inlineStr">
        <is>
          <t>2 - 4 Năm</t>
        </is>
      </c>
      <c r="L17156" s="11">
        <f>HYPERLINK("https://careerviet.vn/vi/tim-viec-lam/giam-sat-ca-shift-supervisor-aeon-tan-an-long-an.35C68E55.html","Xem chi tiết")</f>
        <v/>
      </c>
      <c r="M17156" s="10" t="n"/>
    </row>
    <row r="17157">
      <c r="B17157" s="7" t="n">
        <v>17155</v>
      </c>
      <c r="C17157" t="inlineStr">
        <is>
          <t>Chuyên viên BIM Cơ Điện</t>
        </is>
      </c>
      <c r="D17157" t="inlineStr">
        <is>
          <t>Công Ty Cổ Phần Xây Dựng Phước Thành</t>
        </is>
      </c>
      <c r="E17157" t="inlineStr">
        <is>
          <t>Lương:Cạnh tranh</t>
        </is>
      </c>
      <c r="F17157" t="inlineStr">
        <is>
          <t>Hồ Chí Minh</t>
        </is>
      </c>
      <c r="G17157" t="inlineStr">
        <is>
          <t>31-03-2026</t>
        </is>
      </c>
      <c r="H17157" t="inlineStr">
        <is>
          <t>31/03/2026</t>
        </is>
      </c>
      <c r="I17157" t="inlineStr">
        <is>
          <t>17/03/2026</t>
        </is>
      </c>
      <c r="J17157" t="inlineStr">
        <is>
          <t>Kiến trúc, Xây dựng, Điện / Điện tử / Điện lạnh / Điện công nghiệp</t>
        </is>
      </c>
      <c r="K17157" t="inlineStr">
        <is>
          <t>2 - 3 Năm</t>
        </is>
      </c>
      <c r="L17157" s="8">
        <f>HYPERLINK("https://careerviet.vn/vi/tim-viec-lam/chuyen-vien-bim-co-dien.35C68D47.html","Xem chi tiết")</f>
        <v/>
      </c>
    </row>
    <row r="17158">
      <c r="B17158" s="9" t="n">
        <v>17156</v>
      </c>
      <c r="C17158" s="10" t="inlineStr">
        <is>
          <t>Trưởng nhóm kế toán giá thành (chủ đầu tư BĐS)</t>
        </is>
      </c>
      <c r="D17158" s="10" t="inlineStr">
        <is>
          <t>Tập Đoàn Tân Á Đại Thành</t>
        </is>
      </c>
      <c r="E17158" s="10" t="inlineStr">
        <is>
          <t>Lương:Trên 30 Tr VND</t>
        </is>
      </c>
      <c r="F17158" s="10" t="inlineStr">
        <is>
          <t>Hà Nội</t>
        </is>
      </c>
      <c r="G17158" s="10" t="inlineStr">
        <is>
          <t>06-04-2026</t>
        </is>
      </c>
      <c r="H17158" s="10" t="inlineStr">
        <is>
          <t>06/04/2026</t>
        </is>
      </c>
      <c r="I17158" s="10" t="inlineStr">
        <is>
          <t>17/03/2026</t>
        </is>
      </c>
      <c r="J17158" s="10" t="inlineStr">
        <is>
          <t>Kế toán / Kiểm toán, Ngân hàng, Tài chính / Đầu tư</t>
        </is>
      </c>
      <c r="K17158" s="10" t="inlineStr">
        <is>
          <t>3 - 5 Năm</t>
        </is>
      </c>
      <c r="L17158" s="11">
        <f>HYPERLINK("https://careerviet.vn/vi/tim-viec-lam/truong-nhom-ke-toan-gia-thanh-chu-dau-tu-bds.35C64AE2.html","Xem chi tiết")</f>
        <v/>
      </c>
      <c r="M17158" s="10" t="n"/>
    </row>
    <row r="17159">
      <c r="B17159" s="7" t="n">
        <v>17157</v>
      </c>
      <c r="C17159" t="inlineStr">
        <is>
          <t>QC Supervisor (KCN Long Bình)</t>
        </is>
      </c>
      <c r="D17159" t="inlineStr">
        <is>
          <t>Công ty TNHH Olam Việt Nam</t>
        </is>
      </c>
      <c r="E17159" t="inlineStr">
        <is>
          <t>Lương:Cạnh tranh</t>
        </is>
      </c>
      <c r="F17159" t="inlineStr">
        <is>
          <t>Đồng Nai</t>
        </is>
      </c>
      <c r="G17159" t="inlineStr">
        <is>
          <t>08-03-2026</t>
        </is>
      </c>
      <c r="H17159" t="inlineStr">
        <is>
          <t>16/03/2026</t>
        </is>
      </c>
      <c r="I17159" t="inlineStr">
        <is>
          <t>17/03/2026</t>
        </is>
      </c>
      <c r="J17159" t="inlineStr">
        <is>
          <t>Công nghệ sinh học, Công nghệ thực phẩm / Dinh dưỡng, Quản lý chất lượng (QA/QC)</t>
        </is>
      </c>
      <c r="K17159" t="inlineStr">
        <is>
          <t>2 - 5 Năm</t>
        </is>
      </c>
      <c r="L17159" s="8">
        <f>HYPERLINK("https://careerviet.vn/vi/tim-viec-lam/qc-supervisor-kcn-long-binh.35C68F5B.html","Xem chi tiết")</f>
        <v/>
      </c>
    </row>
    <row r="17160">
      <c r="B17160" s="9" t="n">
        <v>17158</v>
      </c>
      <c r="C17160" s="10" t="inlineStr">
        <is>
          <t>KEY ACCOUNT MANAGER FNB</t>
        </is>
      </c>
      <c r="D17160" s="10" t="inlineStr">
        <is>
          <t>CÔNG TY CỔ PHẦN NGUYÊN LIỆU MQ</t>
        </is>
      </c>
      <c r="E17160" s="10" t="inlineStr">
        <is>
          <t>Lương:Cạnh tranh</t>
        </is>
      </c>
      <c r="F17160" s="10" t="inlineStr">
        <is>
          <t>Hồ Chí MinhĐồng Bằng Sông HồngĐồng Bằng Sông Cửu Long</t>
        </is>
      </c>
      <c r="G17160" s="10" t="inlineStr">
        <is>
          <t>31-03-2026</t>
        </is>
      </c>
      <c r="H17160" s="10" t="inlineStr">
        <is>
          <t>31/03/2026</t>
        </is>
      </c>
      <c r="I17160" s="10" t="inlineStr">
        <is>
          <t>17/03/2026</t>
        </is>
      </c>
      <c r="J17160" s="10" t="inlineStr">
        <is>
          <t>Bán hàng / Kinh doanh, Bán Hàng Kỹ Thuật, Dịch vụ khách hàng</t>
        </is>
      </c>
      <c r="K17160" s="10" t="inlineStr">
        <is>
          <t>2 - 5 Năm</t>
        </is>
      </c>
      <c r="L17160" s="11">
        <f>HYPERLINK("https://careerviet.vn/vi/tim-viec-lam/key-account-manager-fnb.35C68F58.html","Xem chi tiết")</f>
        <v/>
      </c>
      <c r="M17160" s="10" t="n"/>
    </row>
    <row r="17161">
      <c r="B17161" s="7" t="n">
        <v>17159</v>
      </c>
      <c r="C17161" t="inlineStr">
        <is>
          <t>Kế toán tổng hợp</t>
        </is>
      </c>
      <c r="D17161" t="inlineStr">
        <is>
          <t>Công Ty Cổ Phần A25 Hotel</t>
        </is>
      </c>
      <c r="E17161" t="inlineStr">
        <is>
          <t>Lương:18 Tr - 36 Tr VND</t>
        </is>
      </c>
      <c r="F17161" t="inlineStr">
        <is>
          <t>Hà Nội</t>
        </is>
      </c>
      <c r="G17161" t="inlineStr">
        <is>
          <t>31-03-2026</t>
        </is>
      </c>
      <c r="H17161" t="inlineStr">
        <is>
          <t>31/03/2026</t>
        </is>
      </c>
      <c r="I17161" t="inlineStr">
        <is>
          <t>17/03/2026</t>
        </is>
      </c>
      <c r="J17161" t="inlineStr">
        <is>
          <t>Kế toán / Kiểm toán, Nhà hàng / Khách sạn</t>
        </is>
      </c>
      <c r="K17161" t="inlineStr">
        <is>
          <t>3 - 5 Năm</t>
        </is>
      </c>
      <c r="L17161" s="8">
        <f>HYPERLINK("https://careerviet.vn/vi/tim-viec-lam/ke-toan-tong-hop.35C68F3F.html","Xem chi tiết")</f>
        <v/>
      </c>
    </row>
    <row r="17162">
      <c r="B17162" s="9" t="n">
        <v>17160</v>
      </c>
      <c r="C17162" s="10" t="inlineStr">
        <is>
          <t>IT Administrative Officer</t>
        </is>
      </c>
      <c r="D17162" s="10" t="inlineStr">
        <is>
          <t>Công Ty Cổ Phần A25 Hotel</t>
        </is>
      </c>
      <c r="E17162" s="10" t="inlineStr">
        <is>
          <t>Lương:14 Tr - 20 Tr VND</t>
        </is>
      </c>
      <c r="F17162" s="10" t="inlineStr">
        <is>
          <t>Hà Nội</t>
        </is>
      </c>
      <c r="G17162" s="10" t="inlineStr">
        <is>
          <t>31-03-2026</t>
        </is>
      </c>
      <c r="H17162" s="10" t="inlineStr">
        <is>
          <t>31/03/2026</t>
        </is>
      </c>
      <c r="I17162" s="10" t="inlineStr">
        <is>
          <t>17/03/2026</t>
        </is>
      </c>
      <c r="J17162" s="10" t="inlineStr">
        <is>
          <t>CNTT - Phần mềm, CNTT - Phần cứng / Mạng</t>
        </is>
      </c>
      <c r="K17162" s="10" t="inlineStr">
        <is>
          <t>1 - 2 Năm</t>
        </is>
      </c>
      <c r="L17162" s="11">
        <f>HYPERLINK("https://careerviet.vn/vi/tim-viec-lam/it-administrative-officer.35C68F30.html","Xem chi tiết")</f>
        <v/>
      </c>
      <c r="M17162" s="10" t="n"/>
    </row>
    <row r="17163">
      <c r="B17163" s="7" t="n">
        <v>17161</v>
      </c>
      <c r="C17163" t="inlineStr">
        <is>
          <t>Marketing Executive (Creative Content)</t>
        </is>
      </c>
      <c r="D17163" t="inlineStr">
        <is>
          <t>Công ty TNHH Truyền Thông Wise</t>
        </is>
      </c>
      <c r="E17163" t="inlineStr">
        <is>
          <t>Lương:9 Tr - 12 Tr VND</t>
        </is>
      </c>
      <c r="F17163" t="inlineStr">
        <is>
          <t>Hà Nội</t>
        </is>
      </c>
      <c r="G17163" t="inlineStr">
        <is>
          <t>1</t>
        </is>
      </c>
      <c r="H17163" t="inlineStr">
        <is>
          <t>18/03/2026</t>
        </is>
      </c>
      <c r="I17163" t="inlineStr">
        <is>
          <t>17/03/2026</t>
        </is>
      </c>
      <c r="J17163" t="inlineStr">
        <is>
          <t>Tiếp thị / Marketing, Quảng cáo / Đối ngoại / Truyền Thông</t>
        </is>
      </c>
      <c r="K17163" t="inlineStr">
        <is>
          <t>1 - 2 Năm</t>
        </is>
      </c>
      <c r="L17163" s="8">
        <f>HYPERLINK("https://careerviet.vn/vi/tim-viec-lam/marketing-executive-creative-content.35C68F2B.html","Xem chi tiết")</f>
        <v/>
      </c>
    </row>
    <row r="17164">
      <c r="B17164" s="9" t="n">
        <v>17162</v>
      </c>
      <c r="C17164" s="10" t="inlineStr">
        <is>
          <t>Trưởng bưu cục</t>
        </is>
      </c>
      <c r="D17164" s="10" t="inlineStr">
        <is>
          <t>Công Ty TNHH BEST Logistics Technology (Việt Nam)</t>
        </is>
      </c>
      <c r="E17164" s="10" t="inlineStr">
        <is>
          <t>Lương:Cạnh tranh</t>
        </is>
      </c>
      <c r="F17164" s="10" t="inlineStr">
        <is>
          <t>Bình DươngĐồng NaiBà Rịa - Vũng Tàu</t>
        </is>
      </c>
      <c r="G17164" s="10" t="inlineStr">
        <is>
          <t>31-03-2026</t>
        </is>
      </c>
      <c r="H17164" s="10" t="inlineStr">
        <is>
          <t>31/03/2026</t>
        </is>
      </c>
      <c r="I17164" s="10" t="inlineStr">
        <is>
          <t>17/03/2026</t>
        </is>
      </c>
      <c r="J17164" s="10" t="inlineStr">
        <is>
          <t>Thương mại điện tử, Vận chuyển / Giao nhận / Kho vận, Xuất nhập khẩu</t>
        </is>
      </c>
      <c r="K17164" s="10" t="inlineStr">
        <is>
          <t>2 - 5 Năm</t>
        </is>
      </c>
      <c r="L17164" s="11">
        <f>HYPERLINK("https://careerviet.vn/vi/tim-viec-lam/truong-buu-cuc.35C68ECE.html","Xem chi tiết")</f>
        <v/>
      </c>
      <c r="M17164" s="10" t="n"/>
    </row>
    <row r="17165">
      <c r="B17165" s="7" t="n">
        <v>17163</v>
      </c>
      <c r="C17165" t="inlineStr">
        <is>
          <t>CHUYÊN VIÊN KINH DOANH - HƯƠNG LIỆU THỰC PHẨM</t>
        </is>
      </c>
      <c r="D17165" t="inlineStr">
        <is>
          <t>CÔNG TY CỔ PHẦN NGUYÊN LIỆU MQ</t>
        </is>
      </c>
      <c r="E17165" t="inlineStr">
        <is>
          <t>Lương:Cạnh tranh</t>
        </is>
      </c>
      <c r="F17165" t="inlineStr">
        <is>
          <t>Hồ Chí MinhBình DươngĐồng Bằng Sông Cửu Long</t>
        </is>
      </c>
      <c r="G17165" t="inlineStr">
        <is>
          <t>31-03-2026</t>
        </is>
      </c>
      <c r="H17165" t="inlineStr">
        <is>
          <t>31/03/2026</t>
        </is>
      </c>
      <c r="I17165" t="inlineStr">
        <is>
          <t>17/03/2026</t>
        </is>
      </c>
      <c r="J17165" t="inlineStr">
        <is>
          <t>Bán hàng / Kinh doanh, Bán Hàng Kỹ Thuật, Công nghệ thực phẩm / Dinh dưỡng</t>
        </is>
      </c>
      <c r="K17165" t="inlineStr">
        <is>
          <t>1 - 2 Năm</t>
        </is>
      </c>
      <c r="L17165" s="8">
        <f>HYPERLINK("https://careerviet.vn/vi/tim-viec-lam/chuyen-vien-kinh-doanh-huong-lieu-thuc-pham.35C68F60.html","Xem chi tiết")</f>
        <v/>
      </c>
    </row>
    <row r="17166">
      <c r="B17166" s="9" t="n">
        <v>17164</v>
      </c>
      <c r="C17166" s="10" t="inlineStr">
        <is>
          <t>Giám sát kinh doanh (SS) (Lạng Sơn)</t>
        </is>
      </c>
      <c r="D17166" s="10" t="inlineStr">
        <is>
          <t>Tổng công ty Cổ phần Bia - Rượu - Nước giải khát Hà Nội (HABECO - Bia Hà Nội)</t>
        </is>
      </c>
      <c r="E17166" s="10" t="inlineStr">
        <is>
          <t>Lương:Cạnh tranh</t>
        </is>
      </c>
      <c r="F17166" s="10" t="inlineStr">
        <is>
          <t>Lạng Sơn</t>
        </is>
      </c>
      <c r="G17166" s="10" t="inlineStr">
        <is>
          <t>25-03-2026</t>
        </is>
      </c>
      <c r="H17166" s="10" t="inlineStr">
        <is>
          <t>25/03/2026</t>
        </is>
      </c>
      <c r="I17166" s="10" t="inlineStr">
        <is>
          <t>17/03/2026</t>
        </is>
      </c>
      <c r="J17166" s="10" t="inlineStr">
        <is>
          <t>Thực phẩm &amp; Đồ uống, Bán lẻ / Bán sỉ, Bán hàng / Kinh doanh</t>
        </is>
      </c>
      <c r="K17166" s="10" t="inlineStr">
        <is>
          <t>null - null Năm</t>
        </is>
      </c>
      <c r="L17166" s="11">
        <f>HYPERLINK("https://careerviet.vn/vi/tim-viec-lam/giam-sat-kinh-doanh-ss-lang-son.35C68F26.html","Xem chi tiết")</f>
        <v/>
      </c>
      <c r="M17166" s="10" t="n"/>
    </row>
    <row r="17167">
      <c r="B17167" s="7" t="n">
        <v>17165</v>
      </c>
      <c r="C17167" t="inlineStr">
        <is>
          <t>Chuyên viên thẩm định thực địa - Hà Nam - TA125 - ID821</t>
        </is>
      </c>
      <c r="D17167" t="inlineStr">
        <is>
          <t>Ngân Hàng TMCP Việt Nam Thịnh Vượng - VPBANK</t>
        </is>
      </c>
      <c r="E17167" t="inlineStr">
        <is>
          <t>Lương:Cạnh tranh</t>
        </is>
      </c>
      <c r="F17167" t="inlineStr">
        <is>
          <t>Hà Nam</t>
        </is>
      </c>
      <c r="G17167" t="inlineStr">
        <is>
          <t>06-04-2026</t>
        </is>
      </c>
      <c r="H17167" t="inlineStr">
        <is>
          <t>06/04/2026</t>
        </is>
      </c>
      <c r="I17167" t="inlineStr">
        <is>
          <t>17/03/2026</t>
        </is>
      </c>
      <c r="J17167" t="inlineStr">
        <is>
          <t>Ngân hàng, Tài chính / Đầu tư</t>
        </is>
      </c>
      <c r="K17167" t="inlineStr">
        <is>
          <t>1 - 2 Năm</t>
        </is>
      </c>
      <c r="L17167" s="8">
        <f>HYPERLINK("https://careerviet.vn/vi/tim-viec-lam/chuyen-vien-tham-dinh-thuc-dia-ha-nam-ta125-id821.35C67ABD.html","Xem chi tiết")</f>
        <v/>
      </c>
    </row>
    <row r="17168">
      <c r="B17168" s="9" t="n">
        <v>17166</v>
      </c>
      <c r="C17168" s="10" t="inlineStr">
        <is>
          <t>Nhân viên Điều phối Kỹ Thuật</t>
        </is>
      </c>
      <c r="D17168" s="10" t="inlineStr">
        <is>
          <t>Công Ty TNHH Phát Triển Công Nghệ Điện Tử Bình Anh</t>
        </is>
      </c>
      <c r="E17168" s="10" t="inlineStr">
        <is>
          <t>Lương:10 Tr - 14 Tr VND</t>
        </is>
      </c>
      <c r="F17168" s="10" t="inlineStr">
        <is>
          <t>Hồ Chí Minh</t>
        </is>
      </c>
      <c r="G17168" s="10" t="inlineStr">
        <is>
          <t>31-03-2026</t>
        </is>
      </c>
      <c r="H17168" s="10" t="inlineStr">
        <is>
          <t>31/03/2026</t>
        </is>
      </c>
      <c r="I17168" s="10" t="inlineStr">
        <is>
          <t>17/03/2026</t>
        </is>
      </c>
      <c r="J17168" s="10" t="inlineStr">
        <is>
          <t>Cơ khí / Ô tô / Tự động hóa, Điện / Điện tử / Điện lạnh / Điện công nghiệp</t>
        </is>
      </c>
      <c r="K17168" s="10" t="inlineStr">
        <is>
          <t>1 - 3 Năm</t>
        </is>
      </c>
      <c r="L17168" s="11">
        <f>HYPERLINK("https://careerviet.vn/vi/tim-viec-lam/nhan-vien-dieu-phoi-ky-thuat.35C68F1C.html","Xem chi tiết")</f>
        <v/>
      </c>
      <c r="M17168" s="10" t="n"/>
    </row>
    <row r="17169">
      <c r="B17169" s="7" t="n">
        <v>17167</v>
      </c>
      <c r="C17169" t="inlineStr">
        <is>
          <t>Thư ký Bán hàng</t>
        </is>
      </c>
      <c r="D17169" t="inlineStr">
        <is>
          <t>Công ty Cổ Phần Tập Đoàn Điện Quang</t>
        </is>
      </c>
      <c r="E17169" t="inlineStr">
        <is>
          <t>Lương:Cạnh tranh</t>
        </is>
      </c>
      <c r="F17169" t="inlineStr">
        <is>
          <t>Hồ Chí Minh</t>
        </is>
      </c>
      <c r="G17169" t="inlineStr">
        <is>
          <t>25-03-2026</t>
        </is>
      </c>
      <c r="H17169" t="inlineStr">
        <is>
          <t>25/03/2026</t>
        </is>
      </c>
      <c r="I17169" t="inlineStr">
        <is>
          <t>17/03/2026</t>
        </is>
      </c>
      <c r="J17169" t="inlineStr">
        <is>
          <t>Kế toán / Kiểm toán, Hành chính / Thư ký</t>
        </is>
      </c>
      <c r="K17169" t="inlineStr">
        <is>
          <t>null - null Năm</t>
        </is>
      </c>
      <c r="L17169" s="8">
        <f>HYPERLINK("https://careerviet.vn/vi/tim-viec-lam/thu-ky-ban-hang.35C68E80.html","Xem chi tiết")</f>
        <v/>
      </c>
    </row>
    <row r="17170">
      <c r="B17170" s="9" t="n">
        <v>17168</v>
      </c>
      <c r="C17170" s="10" t="inlineStr">
        <is>
          <t>Kỹ sư thiết kế đường giao thông</t>
        </is>
      </c>
      <c r="D17170" s="10" t="inlineStr">
        <is>
          <t>CÔNG TY TNHH TƯ VẤN VÀ CÔNG NGHỆ XÂY DỰNG HOÀNG PHÁT</t>
        </is>
      </c>
      <c r="E17170" s="10" t="inlineStr">
        <is>
          <t>Lương:14 Tr - 30 Tr VND</t>
        </is>
      </c>
      <c r="F17170" s="10" t="inlineStr">
        <is>
          <t>Hà Nội</t>
        </is>
      </c>
      <c r="G17170" s="10" t="inlineStr">
        <is>
          <t>31-03-2026</t>
        </is>
      </c>
      <c r="H17170" s="10" t="inlineStr">
        <is>
          <t>31/03/2026</t>
        </is>
      </c>
      <c r="I17170" s="10" t="inlineStr">
        <is>
          <t>17/03/2026</t>
        </is>
      </c>
      <c r="J17170" s="10" t="inlineStr">
        <is>
          <t>Kiến trúc, Xây dựng</t>
        </is>
      </c>
      <c r="K17170" s="10" t="inlineStr">
        <is>
          <t>Trên 1 Năm</t>
        </is>
      </c>
      <c r="L17170" s="11">
        <f>HYPERLINK("https://careerviet.vn/vi/tim-viec-lam/ky-su-thiet-ke-duong-giao-thong.35C68F12.html","Xem chi tiết")</f>
        <v/>
      </c>
      <c r="M17170" s="10" t="n"/>
    </row>
    <row r="17171">
      <c r="B17171" s="7" t="n">
        <v>17169</v>
      </c>
      <c r="C17171" t="inlineStr">
        <is>
          <t>Kỹ thuật viên IE(  Tiếng Trung)</t>
        </is>
      </c>
      <c r="D17171" t="inlineStr">
        <is>
          <t>CÔNG TY TNHH QISDA VIỆT NAM</t>
        </is>
      </c>
      <c r="E17171" t="inlineStr">
        <is>
          <t>Lương:Cạnh tranh</t>
        </is>
      </c>
      <c r="F17171" t="inlineStr">
        <is>
          <t>Hà Nam</t>
        </is>
      </c>
      <c r="G17171" t="inlineStr">
        <is>
          <t>25-03-2026</t>
        </is>
      </c>
      <c r="H17171" t="inlineStr">
        <is>
          <t>25/03/2026</t>
        </is>
      </c>
      <c r="I17171" t="inlineStr">
        <is>
          <t>17/03/2026</t>
        </is>
      </c>
      <c r="J17171" t="inlineStr">
        <is>
          <t>Sản xuất / Vận hành sản xuất</t>
        </is>
      </c>
      <c r="K17171" t="inlineStr">
        <is>
          <t>null - null Năm</t>
        </is>
      </c>
      <c r="L17171" s="8">
        <f>HYPERLINK("https://careerviet.vn/vi/tim-viec-lam/ky-thuat-vien-ie-tieng-trung.35C68ED4.html","Xem chi tiết")</f>
        <v/>
      </c>
    </row>
    <row r="17172">
      <c r="B17172" s="9" t="n">
        <v>17170</v>
      </c>
      <c r="C17172" s="10" t="inlineStr">
        <is>
          <t>Trưởng nhóm Xây Dựng Cơ Bản</t>
        </is>
      </c>
      <c r="D17172" s="10" t="inlineStr">
        <is>
          <t>CÔNG TY CỔ PHẦN THỜI TRANG H VÀ A (PANTIO)</t>
        </is>
      </c>
      <c r="E17172" s="10" t="inlineStr">
        <is>
          <t>Lương:23 Tr - 27 Tr VND</t>
        </is>
      </c>
      <c r="F17172" s="10" t="inlineStr">
        <is>
          <t>Hà Nội</t>
        </is>
      </c>
      <c r="G17172" s="10" t="inlineStr">
        <is>
          <t>31-03-2026</t>
        </is>
      </c>
      <c r="H17172" s="10" t="inlineStr">
        <is>
          <t>31/03/2026</t>
        </is>
      </c>
      <c r="I17172" s="10" t="inlineStr">
        <is>
          <t>17/03/2026</t>
        </is>
      </c>
      <c r="J17172" s="10" t="inlineStr">
        <is>
          <t>Xây dựng</t>
        </is>
      </c>
      <c r="K17172" s="10" t="inlineStr">
        <is>
          <t>5 - 10 Năm</t>
        </is>
      </c>
      <c r="L17172" s="11">
        <f>HYPERLINK("https://careerviet.vn/vi/tim-viec-lam/truong-nhom-xay-dung-co-ban.35C68EDA.html","Xem chi tiết")</f>
        <v/>
      </c>
      <c r="M17172" s="10" t="n"/>
    </row>
    <row r="17173">
      <c r="B17173" s="7" t="n">
        <v>17171</v>
      </c>
      <c r="C17173" t="inlineStr">
        <is>
          <t>Nhân Viên Trực Tổng Đài  Viettel</t>
        </is>
      </c>
      <c r="D17173" t="inlineStr">
        <is>
          <t>CÔNG TY CỔ PHẦN TRUYỀN THÔNG KIM CƯƠNG</t>
        </is>
      </c>
      <c r="E17173" t="inlineStr">
        <is>
          <t>Lương:8 Tr - 12 Tr VND</t>
        </is>
      </c>
      <c r="F17173" t="inlineStr">
        <is>
          <t>Hà Nội</t>
        </is>
      </c>
      <c r="G17173" t="inlineStr">
        <is>
          <t>08-03-2026</t>
        </is>
      </c>
      <c r="H17173" t="inlineStr">
        <is>
          <t>23/02/2026</t>
        </is>
      </c>
      <c r="I17173" t="inlineStr">
        <is>
          <t>17/03/2026</t>
        </is>
      </c>
      <c r="J17173" t="inlineStr">
        <is>
          <t>Dịch vụ khách hàng, Tư vấn</t>
        </is>
      </c>
      <c r="K17173" t="inlineStr">
        <is>
          <t>N/A</t>
        </is>
      </c>
      <c r="L17173" s="8">
        <f>HYPERLINK("https://careerviet.vn/vi/tim-viec-lam/nhan-vien-truc-tong-dai-viettel.35C68F06.html","Xem chi tiết")</f>
        <v/>
      </c>
    </row>
    <row r="17174">
      <c r="B17174" s="9" t="n">
        <v>17172</v>
      </c>
      <c r="C17174" s="10" t="inlineStr">
        <is>
          <t>Chuyên viên IT</t>
        </is>
      </c>
      <c r="D17174" s="10" t="inlineStr">
        <is>
          <t>CÔNG TY TNHH NÔNG SẢN QUỐC TẾ ĐỨC VINH</t>
        </is>
      </c>
      <c r="E17174" s="10" t="inlineStr">
        <is>
          <t>Lương:Cạnh tranh</t>
        </is>
      </c>
      <c r="F17174" s="10" t="inlineStr">
        <is>
          <t>Long An</t>
        </is>
      </c>
      <c r="G17174" s="10" t="inlineStr">
        <is>
          <t>23-04-2026</t>
        </is>
      </c>
      <c r="H17174" s="10" t="inlineStr">
        <is>
          <t>23/04/2026</t>
        </is>
      </c>
      <c r="I17174" s="10" t="inlineStr">
        <is>
          <t>17/03/2026</t>
        </is>
      </c>
      <c r="J17174" s="10" t="inlineStr">
        <is>
          <t>Ngành khác</t>
        </is>
      </c>
      <c r="K17174" s="10" t="inlineStr">
        <is>
          <t>1 - 3 Năm</t>
        </is>
      </c>
      <c r="L17174" s="11">
        <f>HYPERLINK("https://careerviet.vn/vi/tim-viec-lam/chuyen-vien-it.35C68F1D.html","Xem chi tiết")</f>
        <v/>
      </c>
      <c r="M17174" s="10" t="n"/>
    </row>
    <row r="17175">
      <c r="B17175" s="7" t="n">
        <v>17173</v>
      </c>
      <c r="C17175" t="inlineStr">
        <is>
          <t>[HƯNG YÊN] Nhân viên Thủ kho</t>
        </is>
      </c>
      <c r="D17175" t="inlineStr">
        <is>
          <t>Công Ty CP XNK Hóa Chất &amp; Thiết Bị Kim Ngưu</t>
        </is>
      </c>
      <c r="E17175" t="inlineStr">
        <is>
          <t>Lương:Cạnh tranh</t>
        </is>
      </c>
      <c r="F17175" t="inlineStr">
        <is>
          <t>Hưng Yên</t>
        </is>
      </c>
      <c r="G17175" t="inlineStr">
        <is>
          <t>25-03-2026</t>
        </is>
      </c>
      <c r="H17175" t="inlineStr">
        <is>
          <t>25/03/2026</t>
        </is>
      </c>
      <c r="I17175" t="inlineStr">
        <is>
          <t>17/03/2026</t>
        </is>
      </c>
      <c r="J17175" t="inlineStr">
        <is>
          <t>Kế toán / Kiểm toán, Sản xuất / Vận hành sản xuất, Vận chuyển / Giao nhận / Kho vận</t>
        </is>
      </c>
      <c r="K17175" t="inlineStr">
        <is>
          <t>null - null Năm</t>
        </is>
      </c>
      <c r="L17175" s="8">
        <f>HYPERLINK("https://careerviet.vn/vi/tim-viec-lam/hung-yen-nhan-vien-thu-kho.35C68F01.html","Xem chi tiết")</f>
        <v/>
      </c>
    </row>
    <row r="17176">
      <c r="B17176" s="9" t="n">
        <v>17174</v>
      </c>
      <c r="C17176" s="10" t="inlineStr">
        <is>
          <t>Chuyên viên kiểm soát nội bộ</t>
        </is>
      </c>
      <c r="D17176" s="10" t="inlineStr">
        <is>
          <t>CÔNG TY TNHH THƯƠNG MẠI VÀ DỊCH VỤ MINITI VIỆT NAM</t>
        </is>
      </c>
      <c r="E17176" s="10" t="inlineStr">
        <is>
          <t>Lương:15 Tr - 22 Tr VND</t>
        </is>
      </c>
      <c r="F17176" s="10" t="inlineStr">
        <is>
          <t>Hà Nội</t>
        </is>
      </c>
      <c r="G17176" s="10" t="inlineStr">
        <is>
          <t>31-03-2026</t>
        </is>
      </c>
      <c r="H17176" s="10" t="inlineStr">
        <is>
          <t>31/03/2026</t>
        </is>
      </c>
      <c r="I17176" s="10" t="inlineStr">
        <is>
          <t>17/03/2026</t>
        </is>
      </c>
      <c r="J17176" s="10" t="inlineStr">
        <is>
          <t>Kế toán / Kiểm toán, Hàng gia dụng / Chăm sóc cá nhân, Quản lý chất lượng (QA/QC)</t>
        </is>
      </c>
      <c r="K17176" s="10" t="inlineStr">
        <is>
          <t>2 - 4 Năm</t>
        </is>
      </c>
      <c r="L17176" s="11">
        <f>HYPERLINK("https://careerviet.vn/vi/tim-viec-lam/chuyen-vien-kiem-soat-noi-bo.35C68EC5.html","Xem chi tiết")</f>
        <v/>
      </c>
      <c r="M17176" s="10" t="n"/>
    </row>
    <row r="17177">
      <c r="B17177" s="7" t="n">
        <v>17175</v>
      </c>
      <c r="C17177" t="inlineStr">
        <is>
          <t>Nhân viên mua hàng</t>
        </is>
      </c>
      <c r="D17177" t="inlineStr">
        <is>
          <t>Công Ty TNHH Bao Bì Nhựa Thành Phú</t>
        </is>
      </c>
      <c r="E17177" t="inlineStr">
        <is>
          <t>Lương:Cạnh tranh</t>
        </is>
      </c>
      <c r="F17177" t="inlineStr">
        <is>
          <t>Long An</t>
        </is>
      </c>
      <c r="G17177" t="inlineStr">
        <is>
          <t>31-03-2026</t>
        </is>
      </c>
      <c r="H17177" t="inlineStr">
        <is>
          <t>31/03/2026</t>
        </is>
      </c>
      <c r="I17177" t="inlineStr">
        <is>
          <t>17/03/2026</t>
        </is>
      </c>
      <c r="J17177" t="inlineStr">
        <is>
          <t>Thu mua / Vật tư, Xuất nhập khẩu, Sản xuất / Vận hành sản xuất</t>
        </is>
      </c>
      <c r="K17177" t="inlineStr">
        <is>
          <t>2 - 3 Năm</t>
        </is>
      </c>
      <c r="L17177" s="8">
        <f>HYPERLINK("https://careerviet.vn/vi/tim-viec-lam/nhan-vien-mua-hang.35C68DC8.html","Xem chi tiết")</f>
        <v/>
      </c>
    </row>
    <row r="17178">
      <c r="B17178" s="9" t="n">
        <v>17176</v>
      </c>
      <c r="C17178" s="10" t="inlineStr">
        <is>
          <t>Giám sát kinh doanh Vùng Hồ Chí Minh</t>
        </is>
      </c>
      <c r="D17178" s="10" t="inlineStr">
        <is>
          <t>Công Ty TNHH Phát Triển Công Nghệ Điện Tử Bình Anh</t>
        </is>
      </c>
      <c r="E17178" s="10" t="inlineStr">
        <is>
          <t>Lương:20 Tr - 40 Tr VND</t>
        </is>
      </c>
      <c r="F17178" s="10" t="inlineStr">
        <is>
          <t>Hồ Chí Minh</t>
        </is>
      </c>
      <c r="G17178" s="10" t="inlineStr">
        <is>
          <t>31-03-2026</t>
        </is>
      </c>
      <c r="H17178" s="10" t="inlineStr">
        <is>
          <t>31/03/2026</t>
        </is>
      </c>
      <c r="I17178" s="10" t="inlineStr">
        <is>
          <t>17/03/2026</t>
        </is>
      </c>
      <c r="J17178" s="10" t="inlineStr">
        <is>
          <t>Bán hàng / Kinh doanh</t>
        </is>
      </c>
      <c r="K17178" s="10" t="inlineStr">
        <is>
          <t>2 - 5 Năm</t>
        </is>
      </c>
      <c r="L17178" s="11">
        <f>HYPERLINK("https://careerviet.vn/vi/tim-viec-lam/giam-sat-kinh-doanh-vung-ho-chi-minh.35C68F19.html","Xem chi tiết")</f>
        <v/>
      </c>
      <c r="M17178" s="10" t="n"/>
    </row>
    <row r="17179">
      <c r="B17179" s="7" t="n">
        <v>17177</v>
      </c>
      <c r="C17179" t="inlineStr">
        <is>
          <t>[Factory 1] R&amp;D Junior Scientist (Pharmacy)</t>
        </is>
      </c>
      <c r="D17179" t="inlineStr">
        <is>
          <t>CÔNG TY TNHH ROHTO-MENTHOLATUM (VIỆT NAM)</t>
        </is>
      </c>
      <c r="E17179" t="inlineStr">
        <is>
          <t>Lương:Cạnh tranh</t>
        </is>
      </c>
      <c r="F17179" t="inlineStr">
        <is>
          <t>Bình Dương</t>
        </is>
      </c>
      <c r="G17179" t="inlineStr">
        <is>
          <t>6</t>
        </is>
      </c>
      <c r="H17179" t="inlineStr">
        <is>
          <t>23/03/2026</t>
        </is>
      </c>
      <c r="I17179" t="inlineStr">
        <is>
          <t>17/03/2026</t>
        </is>
      </c>
      <c r="J17179" t="inlineStr">
        <is>
          <t>Dược phẩm/ Hóa Mỹ Phẩm, Y tế / Chăm sóc sức khỏe / Thẩm mỹ / Làm đẹp</t>
        </is>
      </c>
      <c r="K17179" t="inlineStr">
        <is>
          <t>N/A</t>
        </is>
      </c>
      <c r="L17179" s="8">
        <f>HYPERLINK("https://careerviet.vn/vi/tim-viec-lam/factory-1-r-d-junior-scientist-pharmacy.35C68E08.html","Xem chi tiết")</f>
        <v/>
      </c>
    </row>
    <row r="17180">
      <c r="B17180" s="9" t="n">
        <v>17178</v>
      </c>
      <c r="C17180" s="10" t="inlineStr">
        <is>
          <t>Chánh văn phòng</t>
        </is>
      </c>
      <c r="D17180" s="10" t="inlineStr">
        <is>
          <t>Công Ty Cổ Phần A25 Hotel</t>
        </is>
      </c>
      <c r="E17180" s="10" t="inlineStr">
        <is>
          <t>Lương:30 Tr - 60 Tr VND</t>
        </is>
      </c>
      <c r="F17180" s="10" t="inlineStr">
        <is>
          <t>Hà Nội</t>
        </is>
      </c>
      <c r="G17180" s="10" t="inlineStr">
        <is>
          <t>31-03-2026</t>
        </is>
      </c>
      <c r="H17180" s="10" t="inlineStr">
        <is>
          <t>31/03/2026</t>
        </is>
      </c>
      <c r="I17180" s="10" t="inlineStr">
        <is>
          <t>17/03/2026</t>
        </is>
      </c>
      <c r="J17180" s="10" t="inlineStr">
        <is>
          <t>Luật / Pháp lý, Quản lý điều hành, Hành chính / Thư ký</t>
        </is>
      </c>
      <c r="K17180" s="10" t="inlineStr">
        <is>
          <t>3 - 5 Năm</t>
        </is>
      </c>
      <c r="L17180" s="11">
        <f>HYPERLINK("https://careerviet.vn/vi/tim-viec-lam/chanh-van-phong.35C68EB9.html","Xem chi tiết")</f>
        <v/>
      </c>
      <c r="M17180" s="10" t="n"/>
    </row>
    <row r="17181">
      <c r="B17181" s="7" t="n">
        <v>17179</v>
      </c>
      <c r="C17181" t="inlineStr">
        <is>
          <t>Facilities Manager (TH Schools)</t>
        </is>
      </c>
      <c r="D17181" t="inlineStr">
        <is>
          <t>Công Ty Cổ Phần Tập Đoàn TH</t>
        </is>
      </c>
      <c r="E17181" t="inlineStr">
        <is>
          <t>Lương:Cạnh tranh</t>
        </is>
      </c>
      <c r="F17181" t="inlineStr">
        <is>
          <t>Hà Nội</t>
        </is>
      </c>
      <c r="G17181" t="inlineStr">
        <is>
          <t>31-03-2026</t>
        </is>
      </c>
      <c r="H17181" t="inlineStr">
        <is>
          <t>31/03/2026</t>
        </is>
      </c>
      <c r="I17181" t="inlineStr">
        <is>
          <t>17/03/2026</t>
        </is>
      </c>
      <c r="J17181" t="inlineStr">
        <is>
          <t>Bảo trì / Sửa chữa, Giáo dục / Đào tạo</t>
        </is>
      </c>
      <c r="K17181" t="inlineStr">
        <is>
          <t>5 - 6 Năm</t>
        </is>
      </c>
      <c r="L17181" s="8">
        <f>HYPERLINK("https://careerviet.vn/vi/tim-viec-lam/facilities-manager-th-schools.35C68EF3.html","Xem chi tiết")</f>
        <v/>
      </c>
    </row>
    <row r="17182">
      <c r="B17182" s="9" t="n">
        <v>17180</v>
      </c>
      <c r="C17182" s="10" t="inlineStr">
        <is>
          <t>Kỹ Sư Giám Sát Thi Công Xây Dựng</t>
        </is>
      </c>
      <c r="D17182" s="10" t="inlineStr">
        <is>
          <t>Công Ty Cổ Phần Xây Dựng Phước Thành</t>
        </is>
      </c>
      <c r="E17182" s="10" t="inlineStr">
        <is>
          <t>Lương:20 Tr - 25 Tr VND</t>
        </is>
      </c>
      <c r="F17182" s="10" t="inlineStr">
        <is>
          <t>Hồ Chí Minh</t>
        </is>
      </c>
      <c r="G17182" s="10" t="inlineStr">
        <is>
          <t>31-03-2026</t>
        </is>
      </c>
      <c r="H17182" s="10" t="inlineStr">
        <is>
          <t>31/03/2026</t>
        </is>
      </c>
      <c r="I17182" s="10" t="inlineStr">
        <is>
          <t>17/03/2026</t>
        </is>
      </c>
      <c r="J17182" s="10" t="inlineStr">
        <is>
          <t>Xây dựng</t>
        </is>
      </c>
      <c r="K17182" s="10" t="inlineStr">
        <is>
          <t>1 - 3 Năm</t>
        </is>
      </c>
      <c r="L17182" s="11">
        <f>HYPERLINK("https://careerviet.vn/vi/tim-viec-lam/ky-su-giam-sat-thi-cong-xay-dung.35C68D5D.html","Xem chi tiết")</f>
        <v/>
      </c>
      <c r="M17182" s="10" t="n"/>
    </row>
    <row r="17183">
      <c r="B17183" s="7" t="n">
        <v>17181</v>
      </c>
      <c r="C17183" t="inlineStr">
        <is>
          <t>TRƯỞNG NHÓM QUẢN LÝ CHẤT LƯỢNG</t>
        </is>
      </c>
      <c r="D17183" t="inlineStr">
        <is>
          <t>Công Ty Cổ Phần Thương Mại Tư Vấn Và Xây Dựng Vĩnh Hưng</t>
        </is>
      </c>
      <c r="E17183" t="inlineStr">
        <is>
          <t>Lương:Lên đến 25 Tr VND</t>
        </is>
      </c>
      <c r="F17183" t="inlineStr">
        <is>
          <t>Hà Nội</t>
        </is>
      </c>
      <c r="G17183" t="inlineStr">
        <is>
          <t>31-03-2026</t>
        </is>
      </c>
      <c r="H17183" t="inlineStr">
        <is>
          <t>31/03/2026</t>
        </is>
      </c>
      <c r="I17183" t="inlineStr">
        <is>
          <t>17/03/2026</t>
        </is>
      </c>
      <c r="J17183" t="inlineStr">
        <is>
          <t>Xây dựng</t>
        </is>
      </c>
      <c r="K17183" t="inlineStr">
        <is>
          <t>Chưa có kinh nghiệm</t>
        </is>
      </c>
      <c r="L17183" s="8">
        <f>HYPERLINK("https://careerviet.vn/vi/tim-viec-lam/truong-nhom-quan-ly-chat-luong.35C68EA9.html","Xem chi tiết")</f>
        <v/>
      </c>
    </row>
    <row r="17184">
      <c r="B17184" s="9" t="n">
        <v>17182</v>
      </c>
      <c r="C17184" s="10" t="inlineStr">
        <is>
          <t>Giám sát buồng phòng</t>
        </is>
      </c>
      <c r="D17184" s="10" t="inlineStr">
        <is>
          <t>Công Ty Cổ Phần A25 Hotel</t>
        </is>
      </c>
      <c r="E17184" s="10" t="inlineStr">
        <is>
          <t>Lương:15 Tr - 25 Tr VND</t>
        </is>
      </c>
      <c r="F17184" s="10" t="inlineStr">
        <is>
          <t>Hà Nội</t>
        </is>
      </c>
      <c r="G17184" s="10" t="inlineStr">
        <is>
          <t>31-03-2026</t>
        </is>
      </c>
      <c r="H17184" s="10" t="inlineStr">
        <is>
          <t>31/03/2026</t>
        </is>
      </c>
      <c r="I17184" s="10" t="inlineStr">
        <is>
          <t>17/03/2026</t>
        </is>
      </c>
      <c r="J17184" s="10" t="inlineStr">
        <is>
          <t>Nhà hàng / Khách sạn, Dịch vụ khách hàng</t>
        </is>
      </c>
      <c r="K17184" s="10" t="inlineStr">
        <is>
          <t>2 - 3 Năm</t>
        </is>
      </c>
      <c r="L17184" s="11">
        <f>HYPERLINK("https://careerviet.vn/vi/tim-viec-lam/giam-sat-buong-phong.35C68F0F.html","Xem chi tiết")</f>
        <v/>
      </c>
      <c r="M17184" s="10" t="n"/>
    </row>
    <row r="17185">
      <c r="B17185" s="7" t="n">
        <v>17183</v>
      </c>
      <c r="C17185" t="inlineStr">
        <is>
          <t>[Gò Dầu] Tuyển Nhân Viên Bán Hàng Tại Showroom - Lương cao - Có đào tạo</t>
        </is>
      </c>
      <c r="D17185" t="inlineStr">
        <is>
          <t>Công Ty TNHH XNK Phát Triển Đông Dương</t>
        </is>
      </c>
      <c r="E17185" t="inlineStr">
        <is>
          <t>Lương:Cạnh tranh</t>
        </is>
      </c>
      <c r="F17185" t="inlineStr">
        <is>
          <t>Tây Ninh</t>
        </is>
      </c>
      <c r="G17185" t="inlineStr">
        <is>
          <t>6</t>
        </is>
      </c>
      <c r="H17185" t="inlineStr">
        <is>
          <t>23/03/2026</t>
        </is>
      </c>
      <c r="I17185" t="inlineStr">
        <is>
          <t>17/03/2026</t>
        </is>
      </c>
      <c r="J17185" t="inlineStr">
        <is>
          <t>Bán lẻ / Bán sỉ, Bán hàng / Kinh doanh, Tư vấn</t>
        </is>
      </c>
      <c r="K17185" t="inlineStr">
        <is>
          <t>N/A</t>
        </is>
      </c>
      <c r="L17185" s="8">
        <f>HYPERLINK("https://careerviet.vn/vi/tim-viec-lam/go-dau-tuyen-nhan-vien-ban-hang-tai-showroom-luong-cao-co-dao-tao.35C68E77.html","Xem chi tiết")</f>
        <v/>
      </c>
    </row>
    <row r="17186">
      <c r="B17186" s="9" t="n">
        <v>17184</v>
      </c>
      <c r="C17186" s="10" t="inlineStr">
        <is>
          <t>Trưởng nhóm Vận hành &amp; Triển khai (Tech Operations Lead)</t>
        </is>
      </c>
      <c r="D17186" s="10" t="inlineStr">
        <is>
          <t>Công ty TNHH TOM Group Việt Nam</t>
        </is>
      </c>
      <c r="E17186" s="10" t="inlineStr">
        <is>
          <t>Lương:24 Tr - 28 Tr VND</t>
        </is>
      </c>
      <c r="F17186" s="10" t="inlineStr">
        <is>
          <t>Hồ Chí Minh</t>
        </is>
      </c>
      <c r="G17186" s="10" t="inlineStr">
        <is>
          <t>08-03-2026</t>
        </is>
      </c>
      <c r="H17186" s="10" t="inlineStr">
        <is>
          <t>02/03/2026</t>
        </is>
      </c>
      <c r="I17186" s="10" t="inlineStr">
        <is>
          <t>17/03/2026</t>
        </is>
      </c>
      <c r="J17186" s="10" t="inlineStr">
        <is>
          <t>CNTT - Phần mềm</t>
        </is>
      </c>
      <c r="K17186" s="10" t="inlineStr">
        <is>
          <t>3 - 5 Năm</t>
        </is>
      </c>
      <c r="L17186" s="11">
        <f>HYPERLINK("https://careerviet.vn/vi/tim-viec-lam/truong-nhom-van-hanh-trien-khai-tech-operations-lead.35C68E43.html","Xem chi tiết")</f>
        <v/>
      </c>
      <c r="M17186" s="10" t="n"/>
    </row>
    <row r="17187">
      <c r="B17187" s="7" t="n">
        <v>17185</v>
      </c>
      <c r="C17187" t="inlineStr">
        <is>
          <t>THỦ KHO DƯỢC</t>
        </is>
      </c>
      <c r="D17187" t="inlineStr">
        <is>
          <t>CÔNG TY TNHH THƯƠNG MẠI DỊCH VỤ DƯỢC PHẨM BÌNH PHÚ</t>
        </is>
      </c>
      <c r="E17187" t="inlineStr">
        <is>
          <t>Lương:Cạnh tranh</t>
        </is>
      </c>
      <c r="F17187" t="inlineStr">
        <is>
          <t>Bình Phước</t>
        </is>
      </c>
      <c r="G17187" t="inlineStr">
        <is>
          <t>31-03-2026</t>
        </is>
      </c>
      <c r="H17187" t="inlineStr">
        <is>
          <t>31/03/2026</t>
        </is>
      </c>
      <c r="I17187" t="inlineStr">
        <is>
          <t>17/03/2026</t>
        </is>
      </c>
      <c r="J17187" t="inlineStr">
        <is>
          <t>Dược phẩm/ Hóa Mỹ Phẩm</t>
        </is>
      </c>
      <c r="K17187" t="inlineStr">
        <is>
          <t>2 - 3 Năm</t>
        </is>
      </c>
      <c r="L17187" s="8">
        <f>HYPERLINK("https://careerviet.vn/vi/tim-viec-lam/thu-kho-duoc.35C68EB7.html","Xem chi tiết")</f>
        <v/>
      </c>
    </row>
    <row r="17188">
      <c r="B17188" s="9" t="n">
        <v>17186</v>
      </c>
      <c r="C17188" s="10" t="inlineStr">
        <is>
          <t>LINE LEADER</t>
        </is>
      </c>
      <c r="D17188" s="10" t="inlineStr">
        <is>
          <t>Techtronic Industries Vietnam Manufacturing Company Limited</t>
        </is>
      </c>
      <c r="E17188" s="10" t="inlineStr">
        <is>
          <t>Lương:Cạnh tranh</t>
        </is>
      </c>
      <c r="F17188" s="10" t="inlineStr">
        <is>
          <t>Hồ Chí Minh</t>
        </is>
      </c>
      <c r="G17188" s="10" t="inlineStr">
        <is>
          <t>25-03-2026</t>
        </is>
      </c>
      <c r="H17188" s="10" t="inlineStr">
        <is>
          <t>25/03/2026</t>
        </is>
      </c>
      <c r="I17188" s="10" t="inlineStr">
        <is>
          <t>17/03/2026</t>
        </is>
      </c>
      <c r="J17188" s="10" t="inlineStr">
        <is>
          <t>Sản xuất / Vận hành sản xuất</t>
        </is>
      </c>
      <c r="K17188" s="10" t="inlineStr">
        <is>
          <t>null - null Năm</t>
        </is>
      </c>
      <c r="L17188" s="11">
        <f>HYPERLINK("https://careerviet.vn/vi/tim-viec-lam/line-leader.35C68E59.html","Xem chi tiết")</f>
        <v/>
      </c>
      <c r="M17188" s="10" t="n"/>
    </row>
    <row r="17189">
      <c r="B17189" s="7" t="n">
        <v>17187</v>
      </c>
      <c r="C17189" t="inlineStr">
        <is>
          <t>Trưởng phòng Kế hoạch vật tư</t>
        </is>
      </c>
      <c r="D17189" t="inlineStr">
        <is>
          <t>Công ty cổ phần xây dựng và thương mại Tam Long</t>
        </is>
      </c>
      <c r="E17189" t="inlineStr">
        <is>
          <t>Lương:25 Tr - 35 Tr VND</t>
        </is>
      </c>
      <c r="F17189" t="inlineStr">
        <is>
          <t>Hải Phòng</t>
        </is>
      </c>
      <c r="G17189" t="inlineStr">
        <is>
          <t>08-03-2026</t>
        </is>
      </c>
      <c r="H17189" t="inlineStr">
        <is>
          <t>10/03/2026</t>
        </is>
      </c>
      <c r="I17189" t="inlineStr">
        <is>
          <t>17/03/2026</t>
        </is>
      </c>
      <c r="J17189" t="inlineStr">
        <is>
          <t>Ngành khác</t>
        </is>
      </c>
      <c r="K17189" t="inlineStr">
        <is>
          <t>1 - 3 Năm</t>
        </is>
      </c>
      <c r="L17189" s="8">
        <f>HYPERLINK("https://careerviet.vn/vi/tim-viec-lam/truong-phong-ke-hoach-vat-tu.35C68DD0.html","Xem chi tiết")</f>
        <v/>
      </c>
    </row>
    <row r="17190">
      <c r="B17190" s="9" t="n">
        <v>17188</v>
      </c>
      <c r="C17190" s="10" t="inlineStr">
        <is>
          <t>[Vũng Tàu] Tuyển Nhân Viên Bán Hàng - Chuỗi Cửa Hàng Bán Lẻ Thiết Bị Sức Khỏe</t>
        </is>
      </c>
      <c r="D17190" s="10" t="inlineStr">
        <is>
          <t>Công Ty TNHH XNK Phát Triển Đông Dương</t>
        </is>
      </c>
      <c r="E17190" s="10" t="inlineStr">
        <is>
          <t>Lương:12 Tr - 20 Tr VND</t>
        </is>
      </c>
      <c r="F17190" s="10" t="inlineStr">
        <is>
          <t>Bà Rịa - Vũng Tàu</t>
        </is>
      </c>
      <c r="G17190" s="10" t="inlineStr">
        <is>
          <t>31-03-2026</t>
        </is>
      </c>
      <c r="H17190" s="10" t="inlineStr">
        <is>
          <t>31/03/2026</t>
        </is>
      </c>
      <c r="I17190" s="10" t="inlineStr">
        <is>
          <t>17/03/2026</t>
        </is>
      </c>
      <c r="J17190" s="10" t="inlineStr">
        <is>
          <t>Bán lẻ / Bán sỉ, Bán hàng / Kinh doanh, Tư vấn</t>
        </is>
      </c>
      <c r="K17190" s="10" t="inlineStr">
        <is>
          <t>N/A</t>
        </is>
      </c>
      <c r="L17190" s="11">
        <f>HYPERLINK("https://careerviet.vn/vi/tim-viec-lam/vung-tau-tuyen-nhan-vien-ban-hang-chuoi-cua-hang-ban-le-thiet-bi-suc-khoe.35C68E2C.html","Xem chi tiết")</f>
        <v/>
      </c>
      <c r="M17190" s="10" t="n"/>
    </row>
    <row r="17191">
      <c r="B17191" s="7" t="n">
        <v>17189</v>
      </c>
      <c r="C17191" t="inlineStr">
        <is>
          <t>Chuyên viên Quản lý Quan hệ Đối ngoại (Corporate Relationship Coordinator)</t>
        </is>
      </c>
      <c r="D17191" t="inlineStr">
        <is>
          <t>Công Ty Cổ Phần Tập Đoàn Đầu Tư Địa Ốc No Va</t>
        </is>
      </c>
      <c r="E17191" t="inlineStr">
        <is>
          <t>Lương:Cạnh tranh</t>
        </is>
      </c>
      <c r="F17191" t="inlineStr">
        <is>
          <t>Hồ Chí Minh</t>
        </is>
      </c>
      <c r="G17191" t="inlineStr">
        <is>
          <t>31-03-2026</t>
        </is>
      </c>
      <c r="H17191" t="inlineStr">
        <is>
          <t>31/03/2026</t>
        </is>
      </c>
      <c r="I17191" t="inlineStr">
        <is>
          <t>17/03/2026</t>
        </is>
      </c>
      <c r="J17191" t="inlineStr">
        <is>
          <t>Quảng cáo / Đối ngoại / Truyền Thông</t>
        </is>
      </c>
      <c r="K17191" t="inlineStr">
        <is>
          <t>7 - 12 Năm</t>
        </is>
      </c>
      <c r="L17191" s="8">
        <f>HYPERLINK("https://careerviet.vn/vi/tim-viec-lam/chuyen-vien-quan-ly-quan-he-doi-ngoai-corporate-relationship-coordinator.35C68E74.html","Xem chi tiết")</f>
        <v/>
      </c>
    </row>
    <row r="17192">
      <c r="B17192" s="9" t="n">
        <v>17190</v>
      </c>
      <c r="C17192" s="10" t="inlineStr">
        <is>
          <t>Chuyên viên kế hoạch hàng hóa (Merchandiser)</t>
        </is>
      </c>
      <c r="D17192" s="10" t="inlineStr">
        <is>
          <t>HỘ KINH DOANH MONO TALK</t>
        </is>
      </c>
      <c r="E17192" s="10" t="inlineStr">
        <is>
          <t>Lương:Cạnh tranh</t>
        </is>
      </c>
      <c r="F17192" s="10" t="inlineStr">
        <is>
          <t>Hà Nội</t>
        </is>
      </c>
      <c r="G17192" s="10" t="inlineStr">
        <is>
          <t>31-03-2026</t>
        </is>
      </c>
      <c r="H17192" s="10" t="inlineStr">
        <is>
          <t>31/03/2026</t>
        </is>
      </c>
      <c r="I17192" s="10" t="inlineStr">
        <is>
          <t>17/03/2026</t>
        </is>
      </c>
      <c r="J17192" s="10" t="inlineStr">
        <is>
          <t>Bán hàng / Kinh doanh, Thương mại điện tử, Dệt may / Da giày / Thời trang</t>
        </is>
      </c>
      <c r="K17192" s="10" t="inlineStr">
        <is>
          <t>1 - 2 Năm</t>
        </is>
      </c>
      <c r="L17192" s="11">
        <f>HYPERLINK("https://careerviet.vn/vi/tim-viec-lam/chuyen-vien-ke-hoach-hang-hoa-merchandiser.35C68E2A.html","Xem chi tiết")</f>
        <v/>
      </c>
      <c r="M17192" s="10" t="n"/>
    </row>
    <row r="17193">
      <c r="B17193" s="7" t="n">
        <v>17191</v>
      </c>
      <c r="C17193" t="inlineStr">
        <is>
          <t>PREPRESS AND DIGITAL PRINTING SUPERVISOR</t>
        </is>
      </c>
      <c r="D17193" t="inlineStr">
        <is>
          <t>CÔNG TY TNHH JANG TRIM</t>
        </is>
      </c>
      <c r="E17193" t="inlineStr">
        <is>
          <t>Lương:Cạnh tranh</t>
        </is>
      </c>
      <c r="F17193" t="inlineStr">
        <is>
          <t>Hồ Chí Minh</t>
        </is>
      </c>
      <c r="G17193" t="inlineStr">
        <is>
          <t>25-03-2026</t>
        </is>
      </c>
      <c r="H17193" t="inlineStr">
        <is>
          <t>25/03/2026</t>
        </is>
      </c>
      <c r="I17193" t="inlineStr">
        <is>
          <t>17/03/2026</t>
        </is>
      </c>
      <c r="J17193" t="inlineStr">
        <is>
          <t>Sản xuất / Vận hành sản xuất, In ấn / Xuất bản, Mỹ thuật / Nghệ thuật / Thiết kế</t>
        </is>
      </c>
      <c r="K17193" t="inlineStr">
        <is>
          <t>3 - 5 Năm</t>
        </is>
      </c>
      <c r="L17193" s="8">
        <f>HYPERLINK("https://careerviet.vn/vi/tim-viec-lam/prepress-and-digital-printing-supervisor.35C68D8D.html","Xem chi tiết")</f>
        <v/>
      </c>
    </row>
    <row r="17194">
      <c r="B17194" s="9" t="n">
        <v>17192</v>
      </c>
      <c r="C17194" s="10" t="inlineStr">
        <is>
          <t>[Đức Hòa] Tuyển Nhân Viên Bán Hàng Tại Showroom - Lương cao - Có đào tạo</t>
        </is>
      </c>
      <c r="D17194" s="10" t="inlineStr">
        <is>
          <t>Công Ty TNHH XNK Phát Triển Đông Dương</t>
        </is>
      </c>
      <c r="E17194" s="10" t="inlineStr">
        <is>
          <t>Lương:Cạnh tranh</t>
        </is>
      </c>
      <c r="F17194" s="10" t="inlineStr">
        <is>
          <t>Long An</t>
        </is>
      </c>
      <c r="G17194" s="10" t="inlineStr">
        <is>
          <t>6</t>
        </is>
      </c>
      <c r="H17194" s="10" t="inlineStr">
        <is>
          <t>23/03/2026</t>
        </is>
      </c>
      <c r="I17194" s="10" t="inlineStr">
        <is>
          <t>17/03/2026</t>
        </is>
      </c>
      <c r="J17194" s="10" t="inlineStr">
        <is>
          <t>Bán lẻ / Bán sỉ, Bán hàng / Kinh doanh, Y tế / Chăm sóc sức khỏe / Thẩm mỹ / Làm đẹp</t>
        </is>
      </c>
      <c r="K17194" s="10" t="inlineStr">
        <is>
          <t>Chưa có kinh nghiệm</t>
        </is>
      </c>
      <c r="L17194" s="11">
        <f>HYPERLINK("https://careerviet.vn/vi/tim-viec-lam/duc-hoa-tuyen-nhan-vien-ban-hang-tai-showroom-luong-cao-co-dao-tao.35C68E70.html","Xem chi tiết")</f>
        <v/>
      </c>
      <c r="M17194" s="10" t="n"/>
    </row>
    <row r="17195">
      <c r="B17195" s="7" t="n">
        <v>17193</v>
      </c>
      <c r="C17195" t="inlineStr">
        <is>
          <t>[Mỹ Tho - Tiền Giang] Nhân Viên Kỹ Thuật Bảo Hành (Thiết Bị, Máy Móc)</t>
        </is>
      </c>
      <c r="D17195" t="inlineStr">
        <is>
          <t>Công Ty TNHH XNK Phát Triển Đông Dương</t>
        </is>
      </c>
      <c r="E17195" t="inlineStr">
        <is>
          <t>Lương:9 Tr - 14 Tr VND</t>
        </is>
      </c>
      <c r="F17195" t="inlineStr">
        <is>
          <t>Tiền Giang</t>
        </is>
      </c>
      <c r="G17195" t="inlineStr">
        <is>
          <t>31-03-2026</t>
        </is>
      </c>
      <c r="H17195" t="inlineStr">
        <is>
          <t>31/03/2026</t>
        </is>
      </c>
      <c r="I17195" t="inlineStr">
        <is>
          <t>17/03/2026</t>
        </is>
      </c>
      <c r="J17195" t="inlineStr">
        <is>
          <t>Điện / Điện tử / Điện lạnh / Điện công nghiệp, Bảo trì / Sửa chữa, Mới tốt nghiệp / Thực tập</t>
        </is>
      </c>
      <c r="K17195" t="inlineStr">
        <is>
          <t>1 - 5 Năm</t>
        </is>
      </c>
      <c r="L17195" s="8">
        <f>HYPERLINK("https://careerviet.vn/vi/tim-viec-lam/my-tho-tien-giang-nhan-vien-ky-thuat-bao-hanh-thiet-bi-may-moc.35C68E5E.html","Xem chi tiết")</f>
        <v/>
      </c>
    </row>
    <row r="17196">
      <c r="B17196" s="9" t="n">
        <v>17194</v>
      </c>
      <c r="C17196" s="10" t="inlineStr">
        <is>
          <t>Trưởng bộ phận đảm bảo chất lượng (QA)</t>
        </is>
      </c>
      <c r="D17196" s="10" t="inlineStr">
        <is>
          <t>CÔNG TY TNHH THƯƠNG MẠI DỊCH VỤ DƯỢC PHẨM BÌNH PHÚ</t>
        </is>
      </c>
      <c r="E17196" s="10" t="inlineStr">
        <is>
          <t>Lương:Cạnh tranh</t>
        </is>
      </c>
      <c r="F17196" s="10" t="inlineStr">
        <is>
          <t>Bình Phước</t>
        </is>
      </c>
      <c r="G17196" s="10" t="inlineStr">
        <is>
          <t>31-03-2026</t>
        </is>
      </c>
      <c r="H17196" s="10" t="inlineStr">
        <is>
          <t>31/03/2026</t>
        </is>
      </c>
      <c r="I17196" s="10" t="inlineStr">
        <is>
          <t>17/03/2026</t>
        </is>
      </c>
      <c r="J17196" s="10" t="inlineStr">
        <is>
          <t>Dược phẩm/ Hóa Mỹ Phẩm, Quản lý chất lượng (QA/QC)</t>
        </is>
      </c>
      <c r="K17196" s="10" t="inlineStr">
        <is>
          <t>5 - 7 Năm</t>
        </is>
      </c>
      <c r="L17196" s="11">
        <f>HYPERLINK("https://careerviet.vn/vi/tim-viec-lam/truong-bo-phan-dam-bao-chat-luong-qa.35C68E1F.html","Xem chi tiết")</f>
        <v/>
      </c>
      <c r="M17196" s="10" t="n"/>
    </row>
    <row r="17197">
      <c r="B17197" s="7" t="n">
        <v>17195</v>
      </c>
      <c r="C17197" t="inlineStr">
        <is>
          <t>Kế toán thanh toán</t>
        </is>
      </c>
      <c r="D17197" t="inlineStr">
        <is>
          <t>Công Ty TNHH XNK Phát Triển Đông Dương</t>
        </is>
      </c>
      <c r="E17197" t="inlineStr">
        <is>
          <t>Lương:13 Tr - 16 Tr VND</t>
        </is>
      </c>
      <c r="F17197" t="inlineStr">
        <is>
          <t>Hồ Chí Minh</t>
        </is>
      </c>
      <c r="G17197" t="inlineStr">
        <is>
          <t>31-03-2026</t>
        </is>
      </c>
      <c r="H17197" t="inlineStr">
        <is>
          <t>31/03/2026</t>
        </is>
      </c>
      <c r="I17197" t="inlineStr">
        <is>
          <t>17/03/2026</t>
        </is>
      </c>
      <c r="J17197" t="inlineStr">
        <is>
          <t>Kế toán / Kiểm toán, Ngân hàng, Tài chính / Đầu tư</t>
        </is>
      </c>
      <c r="K17197" t="inlineStr">
        <is>
          <t>1 - 3 Năm</t>
        </is>
      </c>
      <c r="L17197" s="8">
        <f>HYPERLINK("https://careerviet.vn/vi/tim-viec-lam/ke-toan-thanh-toan.35C68DD2.html","Xem chi tiết")</f>
        <v/>
      </c>
    </row>
    <row r="17198">
      <c r="B17198" s="9" t="n">
        <v>17196</v>
      </c>
      <c r="C17198" s="10" t="inlineStr">
        <is>
          <t>[Thống Nhất] Tuyển Nhân Viên Bán Hàng - Chuỗi Cửa Hàng Bán Lẻ Thiết Bị Sức Khỏe</t>
        </is>
      </c>
      <c r="D17198" s="10" t="inlineStr">
        <is>
          <t>Công Ty TNHH XNK Phát Triển Đông Dương</t>
        </is>
      </c>
      <c r="E17198" s="10" t="inlineStr">
        <is>
          <t>Lương:12 Tr - 20 Tr VND</t>
        </is>
      </c>
      <c r="F17198" s="10" t="inlineStr">
        <is>
          <t>Đồng Nai</t>
        </is>
      </c>
      <c r="G17198" s="10" t="inlineStr">
        <is>
          <t>31-03-2026</t>
        </is>
      </c>
      <c r="H17198" s="10" t="inlineStr">
        <is>
          <t>31/03/2026</t>
        </is>
      </c>
      <c r="I17198" s="10" t="inlineStr">
        <is>
          <t>17/03/2026</t>
        </is>
      </c>
      <c r="J17198" s="10" t="inlineStr">
        <is>
          <t>Bán lẻ / Bán sỉ, Bán hàng / Kinh doanh, Tư vấn</t>
        </is>
      </c>
      <c r="K17198" s="10" t="inlineStr">
        <is>
          <t>N/A</t>
        </is>
      </c>
      <c r="L17198" s="11">
        <f>HYPERLINK("https://careerviet.vn/vi/tim-viec-lam/thong-nhat-tuyen-nhan-vien-ban-hang-chuoi-cua-hang-ban-le-thiet-bi-suc-khoe.35C68E1A.html","Xem chi tiết")</f>
        <v/>
      </c>
      <c r="M17198" s="10" t="n"/>
    </row>
    <row r="17199">
      <c r="B17199" s="7" t="n">
        <v>17197</v>
      </c>
      <c r="C17199" t="inlineStr">
        <is>
          <t>Giám đốc kinh doanh</t>
        </is>
      </c>
      <c r="D17199" t="inlineStr">
        <is>
          <t>Tập Đoàn CT Group Việt Nam</t>
        </is>
      </c>
      <c r="E17199" t="inlineStr">
        <is>
          <t>Lương:70 Tr - 80 Tr VND</t>
        </is>
      </c>
      <c r="F17199" t="inlineStr">
        <is>
          <t>Hồ Chí Minh</t>
        </is>
      </c>
      <c r="G17199" t="inlineStr">
        <is>
          <t>05-04-2026</t>
        </is>
      </c>
      <c r="H17199" t="inlineStr">
        <is>
          <t>05/04/2026</t>
        </is>
      </c>
      <c r="I17199" t="inlineStr">
        <is>
          <t>17/03/2026</t>
        </is>
      </c>
      <c r="J17199" t="inlineStr">
        <is>
          <t>CNTT - Phần mềm</t>
        </is>
      </c>
      <c r="K17199" t="inlineStr">
        <is>
          <t>5 - 10 Năm</t>
        </is>
      </c>
      <c r="L17199" s="8">
        <f>HYPERLINK("https://careerviet.vn/vi/tim-viec-lam/giam-doc-kinh-doanh.35C6486D.html","Xem chi tiết")</f>
        <v/>
      </c>
    </row>
    <row r="17200">
      <c r="B17200" s="9" t="n">
        <v>17198</v>
      </c>
      <c r="C17200" s="10" t="inlineStr">
        <is>
          <t>PHỤ TRÁCH KẾ TOÁN</t>
        </is>
      </c>
      <c r="D17200" s="10" t="inlineStr">
        <is>
          <t>CÔNG TY TNHH KEIKO VIỆT NAM</t>
        </is>
      </c>
      <c r="E17200" s="10" t="inlineStr">
        <is>
          <t>Lương:11 Tr - 12 Tr VND</t>
        </is>
      </c>
      <c r="F17200" s="10" t="inlineStr">
        <is>
          <t>Hà Nội</t>
        </is>
      </c>
      <c r="G17200" s="10" t="inlineStr">
        <is>
          <t>6</t>
        </is>
      </c>
      <c r="H17200" s="10" t="inlineStr">
        <is>
          <t>23/03/2026</t>
        </is>
      </c>
      <c r="I17200" s="10" t="inlineStr">
        <is>
          <t>17/03/2026</t>
        </is>
      </c>
      <c r="J17200" s="10" t="inlineStr">
        <is>
          <t>Bán hàng / Kinh doanh, Kế toán / Kiểm toán, Tài chính / Đầu tư</t>
        </is>
      </c>
      <c r="K17200" s="10" t="inlineStr">
        <is>
          <t>N/A</t>
        </is>
      </c>
      <c r="L17200" s="11">
        <f>HYPERLINK("https://careerviet.vn/vi/tim-viec-lam/phu-trach-ke-toan.35C68E01.html","Xem chi tiết")</f>
        <v/>
      </c>
      <c r="M17200" s="10" t="n"/>
    </row>
    <row r="17201">
      <c r="B17201" s="7" t="n">
        <v>17199</v>
      </c>
      <c r="C17201" t="inlineStr">
        <is>
          <t>[Miền Bắc] Giám Sát Kinh Doanh Trực Tiếp</t>
        </is>
      </c>
      <c r="D17201" t="inlineStr">
        <is>
          <t>Công Ty Tài Chính Mirae Asset (Việt Nam)</t>
        </is>
      </c>
      <c r="E17201" t="inlineStr">
        <is>
          <t>Lương:Cạnh tranh</t>
        </is>
      </c>
      <c r="F17201" t="inlineStr">
        <is>
          <t>Hà NộiNghệ AnThanh Hóa</t>
        </is>
      </c>
      <c r="G17201" t="inlineStr">
        <is>
          <t>05-04-2026</t>
        </is>
      </c>
      <c r="H17201" t="inlineStr">
        <is>
          <t>05/04/2026</t>
        </is>
      </c>
      <c r="I17201" t="inlineStr">
        <is>
          <t>17/03/2026</t>
        </is>
      </c>
      <c r="J17201" t="inlineStr">
        <is>
          <t>Bảo hiểm, Biên phiên dịch, Bất động sản</t>
        </is>
      </c>
      <c r="K17201" t="inlineStr">
        <is>
          <t>1 - 2 Năm</t>
        </is>
      </c>
      <c r="L17201" s="8">
        <f>HYPERLINK("https://careerviet.vn/vi/tim-viec-lam/mien-bac-giam-sat-kinh-doanh-truc-tiep.35C6496E.html","Xem chi tiết")</f>
        <v/>
      </c>
    </row>
    <row r="17202">
      <c r="B17202" s="9" t="n">
        <v>17200</v>
      </c>
      <c r="C17202" s="10" t="inlineStr">
        <is>
          <t>Thư ký CEO</t>
        </is>
      </c>
      <c r="D17202" s="10" t="inlineStr">
        <is>
          <t>Công ty TNHH TOM Group Việt Nam</t>
        </is>
      </c>
      <c r="E17202" s="10" t="inlineStr">
        <is>
          <t>Lương:Cạnh tranh</t>
        </is>
      </c>
      <c r="F17202" s="10" t="inlineStr">
        <is>
          <t>Hồ Chí Minh</t>
        </is>
      </c>
      <c r="G17202" s="10" t="inlineStr">
        <is>
          <t>24-03-2026</t>
        </is>
      </c>
      <c r="H17202" s="10" t="inlineStr">
        <is>
          <t>24/03/2026</t>
        </is>
      </c>
      <c r="I17202" s="10" t="inlineStr">
        <is>
          <t>17/03/2026</t>
        </is>
      </c>
      <c r="J17202" s="10" t="inlineStr">
        <is>
          <t>Bán lẻ / Bán sỉ, Bán hàng / Kinh doanh</t>
        </is>
      </c>
      <c r="K17202" s="10" t="inlineStr">
        <is>
          <t>2 - 3 Năm</t>
        </is>
      </c>
      <c r="L17202" s="11">
        <f>HYPERLINK("https://careerviet.vn/vi/tim-viec-lam/thu-ky-ceo.35C68E65.html","Xem chi tiết")</f>
        <v/>
      </c>
      <c r="M17202" s="10" t="n"/>
    </row>
    <row r="17203">
      <c r="B17203" s="7" t="n">
        <v>17201</v>
      </c>
      <c r="C17203" t="inlineStr">
        <is>
          <t>Trợ lý kinh doanh</t>
        </is>
      </c>
      <c r="D17203" t="inlineStr">
        <is>
          <t>CÔNG TY TNHH KEIKO VIỆT NAM</t>
        </is>
      </c>
      <c r="E17203" t="inlineStr">
        <is>
          <t>Lương:12 Tr - 14 Tr VND</t>
        </is>
      </c>
      <c r="F17203" t="inlineStr">
        <is>
          <t>Hà Nội</t>
        </is>
      </c>
      <c r="G17203" t="inlineStr">
        <is>
          <t>6</t>
        </is>
      </c>
      <c r="H17203" t="inlineStr">
        <is>
          <t>23/03/2026</t>
        </is>
      </c>
      <c r="I17203" t="inlineStr">
        <is>
          <t>17/03/2026</t>
        </is>
      </c>
      <c r="J17203" t="inlineStr">
        <is>
          <t>Bán hàng / Kinh doanh, Tài chính / Đầu tư, Bất động sản</t>
        </is>
      </c>
      <c r="K17203" t="inlineStr">
        <is>
          <t>N/A</t>
        </is>
      </c>
      <c r="L17203" s="8">
        <f>HYPERLINK("https://careerviet.vn/vi/tim-viec-lam/tro-ly-kinh-doanh.35C68DFB.html","Xem chi tiết")</f>
        <v/>
      </c>
    </row>
    <row r="17204">
      <c r="B17204" s="9" t="n">
        <v>17202</v>
      </c>
      <c r="C17204" s="10" t="inlineStr">
        <is>
          <t>E-Commerce Manager</t>
        </is>
      </c>
      <c r="D17204" s="10" t="inlineStr">
        <is>
          <t>CÔNG TY TNHH MTV THƯƠNG MẠI DỊCH VỤ BLUE OCEAN- THẾ GIỚI SKINFOOD</t>
        </is>
      </c>
      <c r="E17204" s="10" t="inlineStr">
        <is>
          <t>Lương:20 Tr - 30 Tr VND</t>
        </is>
      </c>
      <c r="F17204" s="10" t="inlineStr">
        <is>
          <t>Hồ Chí Minh</t>
        </is>
      </c>
      <c r="G17204" s="10" t="inlineStr">
        <is>
          <t>05-04-2026</t>
        </is>
      </c>
      <c r="H17204" s="10" t="inlineStr">
        <is>
          <t>05/04/2026</t>
        </is>
      </c>
      <c r="I17204" s="10" t="inlineStr">
        <is>
          <t>17/03/2026</t>
        </is>
      </c>
      <c r="J17204" s="10" t="inlineStr">
        <is>
          <t>Tiếp thị / Marketing, Tiếp thị trực tuyến, Thương mại điện tử</t>
        </is>
      </c>
      <c r="K17204" s="10" t="inlineStr">
        <is>
          <t>2 - 3 Năm</t>
        </is>
      </c>
      <c r="L17204" s="11">
        <f>HYPERLINK("https://careerviet.vn/vi/tim-viec-lam/e-commerce-manager.35C64995.html","Xem chi tiết")</f>
        <v/>
      </c>
      <c r="M17204" s="10" t="n"/>
    </row>
    <row r="17205">
      <c r="B17205" s="7" t="n">
        <v>17203</v>
      </c>
      <c r="C17205" t="inlineStr">
        <is>
          <t>HO - Khối Thị trường và Quản trị tài chính -  Phó phòng Bán sản phẩm Thị trường tài chính</t>
        </is>
      </c>
      <c r="D17205" t="inlineStr">
        <is>
          <t>Ngân hàng TMCP Lộc Phát Việt Nam (LPBank)</t>
        </is>
      </c>
      <c r="E17205" t="inlineStr">
        <is>
          <t>Lương:Cạnh tranh</t>
        </is>
      </c>
      <c r="F17205" t="inlineStr">
        <is>
          <t>Hà Nội</t>
        </is>
      </c>
      <c r="G17205" t="inlineStr">
        <is>
          <t>05-04-2026</t>
        </is>
      </c>
      <c r="H17205" t="inlineStr">
        <is>
          <t>05/04/2026</t>
        </is>
      </c>
      <c r="I17205" t="inlineStr">
        <is>
          <t>17/03/2026</t>
        </is>
      </c>
      <c r="J17205" t="inlineStr">
        <is>
          <t>Bán hàng / Kinh doanh, Kế toán / Kiểm toán, Ngân hàng</t>
        </is>
      </c>
      <c r="K17205" t="inlineStr">
        <is>
          <t>Trên 5 Năm</t>
        </is>
      </c>
      <c r="L17205" s="8">
        <f>HYPERLINK("https://careerviet.vn/vi/tim-viec-lam/ho-khoi-thi-truong-va-quan-tri-tai-chinh-pho-phong-ban-san-pham-thi-truong-tai-chinh.35C64A10.html","Xem chi tiết")</f>
        <v/>
      </c>
    </row>
    <row r="17206">
      <c r="B17206" s="9" t="n">
        <v>17204</v>
      </c>
      <c r="C17206" s="10" t="inlineStr">
        <is>
          <t>[Quảng Nam] - Chuyên Viên Tư Vấn Trả Góp Ô Tô</t>
        </is>
      </c>
      <c r="D17206" s="10" t="inlineStr">
        <is>
          <t>Công Ty Tài Chính Mirae Asset (Việt Nam)</t>
        </is>
      </c>
      <c r="E17206" s="10" t="inlineStr">
        <is>
          <t>Lương:17 Tr - 30 Tr VND</t>
        </is>
      </c>
      <c r="F17206" s="10" t="inlineStr">
        <is>
          <t>Quảng NamKV Nam Trung Bộ</t>
        </is>
      </c>
      <c r="G17206" s="10" t="inlineStr">
        <is>
          <t>05-04-2026</t>
        </is>
      </c>
      <c r="H17206" s="10" t="inlineStr">
        <is>
          <t>05/04/2026</t>
        </is>
      </c>
      <c r="I17206" s="10" t="inlineStr">
        <is>
          <t>17/03/2026</t>
        </is>
      </c>
      <c r="J17206" s="10" t="inlineStr">
        <is>
          <t>Bán hàng / Kinh doanh, Bán lẻ / Bán sỉ, Tài chính / Đầu tư</t>
        </is>
      </c>
      <c r="K17206" s="10" t="inlineStr">
        <is>
          <t>1 - 3 Năm</t>
        </is>
      </c>
      <c r="L17206" s="11">
        <f>HYPERLINK("https://careerviet.vn/vi/tim-viec-lam/quang-nam-chuyen-vien-tu-van-tra-gop-o-to.35C64951.html","Xem chi tiết")</f>
        <v/>
      </c>
      <c r="M17206" s="10" t="n"/>
    </row>
    <row r="17207">
      <c r="B17207" s="7" t="n">
        <v>17205</v>
      </c>
      <c r="C17207" t="inlineStr">
        <is>
          <t>Giám đốc Kinh doanh Miền Bắc</t>
        </is>
      </c>
      <c r="D17207" t="inlineStr">
        <is>
          <t>Công Ty Cổ Phần Panel Việt</t>
        </is>
      </c>
      <c r="E17207" t="inlineStr">
        <is>
          <t>Lương:50 Tr - 70 Tr VND</t>
        </is>
      </c>
      <c r="F17207" t="inlineStr">
        <is>
          <t>Hà Nội</t>
        </is>
      </c>
      <c r="G17207" t="inlineStr">
        <is>
          <t>05-04-2026</t>
        </is>
      </c>
      <c r="H17207" t="inlineStr">
        <is>
          <t>05/04/2026</t>
        </is>
      </c>
      <c r="I17207" t="inlineStr">
        <is>
          <t>17/03/2026</t>
        </is>
      </c>
      <c r="J17207" t="inlineStr">
        <is>
          <t>Bán lẻ / Bán sỉ, Bán hàng / Kinh doanh, Bán Hàng Kỹ Thuật</t>
        </is>
      </c>
      <c r="K17207" t="inlineStr">
        <is>
          <t>3 - 5 Năm</t>
        </is>
      </c>
      <c r="L17207" s="8">
        <f>HYPERLINK("https://careerviet.vn/vi/tim-viec-lam/giam-doc-kinh-doanh-mien-bac.35C64881.html","Xem chi tiết")</f>
        <v/>
      </c>
    </row>
    <row r="17208">
      <c r="B17208" s="9" t="n">
        <v>17206</v>
      </c>
      <c r="C17208" s="10" t="inlineStr">
        <is>
          <t>(Senior) Influencer Management Executive</t>
        </is>
      </c>
      <c r="D17208" s="10" t="inlineStr">
        <is>
          <t>Công ty TNHH Onpoint</t>
        </is>
      </c>
      <c r="E17208" s="10" t="inlineStr">
        <is>
          <t>Lương:Cạnh tranh</t>
        </is>
      </c>
      <c r="F17208" s="10" t="inlineStr">
        <is>
          <t>Hồ Chí Minh</t>
        </is>
      </c>
      <c r="G17208" s="10" t="inlineStr">
        <is>
          <t>05-04-2026</t>
        </is>
      </c>
      <c r="H17208" s="10" t="inlineStr">
        <is>
          <t>05/04/2026</t>
        </is>
      </c>
      <c r="I17208" s="10" t="inlineStr">
        <is>
          <t>17/03/2026</t>
        </is>
      </c>
      <c r="J17208" s="10" t="inlineStr">
        <is>
          <t>Tiếp thị / Marketing, Thương mại điện tử, Tiếp thị trực tuyến</t>
        </is>
      </c>
      <c r="K17208" s="10" t="inlineStr">
        <is>
          <t>2 - 3 Năm</t>
        </is>
      </c>
      <c r="L17208" s="11">
        <f>HYPERLINK("https://careerviet.vn/vi/tim-viec-lam/senior-influencer-management-executive.35C649D6.html","Xem chi tiết")</f>
        <v/>
      </c>
      <c r="M17208" s="10" t="n"/>
    </row>
    <row r="17209">
      <c r="B17209" s="7" t="n">
        <v>17207</v>
      </c>
      <c r="C17209" t="inlineStr">
        <is>
          <t>Sales Executive</t>
        </is>
      </c>
      <c r="D17209" t="inlineStr">
        <is>
          <t>CÔNG TY TNHH TRUYỀN THÔNG &amp; DỊCH VỤ BC VIỆT NAM ( BC Agency)</t>
        </is>
      </c>
      <c r="E17209" t="inlineStr">
        <is>
          <t>Lương:10 Tr - 20 Tr VND</t>
        </is>
      </c>
      <c r="F17209" t="inlineStr">
        <is>
          <t>Hà NộiHồ Chí Minh</t>
        </is>
      </c>
      <c r="G17209" t="inlineStr">
        <is>
          <t>05-04-2026</t>
        </is>
      </c>
      <c r="H17209" t="inlineStr">
        <is>
          <t>05/04/2026</t>
        </is>
      </c>
      <c r="I17209" t="inlineStr">
        <is>
          <t>17/03/2026</t>
        </is>
      </c>
      <c r="J17209" t="inlineStr">
        <is>
          <t>Bán hàng / Kinh doanh, Tư vấn, Dịch vụ khách hàng</t>
        </is>
      </c>
      <c r="K17209" t="inlineStr">
        <is>
          <t>Lên đến 2 Năm</t>
        </is>
      </c>
      <c r="L17209" s="8">
        <f>HYPERLINK("https://careerviet.vn/vi/tim-viec-lam/sales-executive.35C64992.html","Xem chi tiết")</f>
        <v/>
      </c>
    </row>
    <row r="17210">
      <c r="B17210" s="9" t="n">
        <v>17208</v>
      </c>
      <c r="C17210" s="10" t="inlineStr">
        <is>
          <t>TRỢ LÝ KINH DOANH (CÓ TIẾNG ANH)</t>
        </is>
      </c>
      <c r="D17210" s="10" t="inlineStr">
        <is>
          <t>CÔNG TY TNHH KEIKO VIỆT NAM</t>
        </is>
      </c>
      <c r="E17210" s="10" t="inlineStr">
        <is>
          <t>Lương:13 Tr - 14 Tr VND</t>
        </is>
      </c>
      <c r="F17210" s="10" t="inlineStr">
        <is>
          <t>Hà Nội</t>
        </is>
      </c>
      <c r="G17210" s="10" t="inlineStr">
        <is>
          <t>6</t>
        </is>
      </c>
      <c r="H17210" s="10" t="inlineStr">
        <is>
          <t>23/03/2026</t>
        </is>
      </c>
      <c r="I17210" s="10" t="inlineStr">
        <is>
          <t>17/03/2026</t>
        </is>
      </c>
      <c r="J17210" s="10" t="inlineStr">
        <is>
          <t>Hành chính / Thư ký, Biên phiên dịch, Tài chính / Đầu tư</t>
        </is>
      </c>
      <c r="K17210" s="10" t="inlineStr">
        <is>
          <t>N/A</t>
        </is>
      </c>
      <c r="L17210" s="11">
        <f>HYPERLINK("https://careerviet.vn/vi/tim-viec-lam/tro-ly-kinh-doanh-co-tieng-anh.35C68DEB.html","Xem chi tiết")</f>
        <v/>
      </c>
      <c r="M17210" s="10" t="n"/>
    </row>
    <row r="17211">
      <c r="B17211" s="7" t="n">
        <v>17209</v>
      </c>
      <c r="C17211" t="inlineStr">
        <is>
          <t>TƯ VẤN GIÁM SÁT TRƯỞNG</t>
        </is>
      </c>
      <c r="D17211" t="inlineStr">
        <is>
          <t>Công ty TNHH tư vấn công trình xây dựng KCIS</t>
        </is>
      </c>
      <c r="E17211" t="inlineStr">
        <is>
          <t>Lương:20 Tr - 30 Tr VND</t>
        </is>
      </c>
      <c r="F17211" t="inlineStr">
        <is>
          <t>Hưng Yên</t>
        </is>
      </c>
      <c r="G17211" t="inlineStr">
        <is>
          <t>05-04-2026</t>
        </is>
      </c>
      <c r="H17211" t="inlineStr">
        <is>
          <t>05/04/2026</t>
        </is>
      </c>
      <c r="I17211" t="inlineStr">
        <is>
          <t>17/03/2026</t>
        </is>
      </c>
      <c r="J17211" t="inlineStr">
        <is>
          <t>Kiến trúc, Xây dựng</t>
        </is>
      </c>
      <c r="K17211" t="inlineStr">
        <is>
          <t>3 - 5 Năm</t>
        </is>
      </c>
      <c r="L17211" s="8">
        <f>HYPERLINK("https://careerviet.vn/vi/tim-viec-lam/tu-van-giam-sat-truong.35C64847.html","Xem chi tiết")</f>
        <v/>
      </c>
    </row>
    <row r="17212">
      <c r="B17212" s="9" t="n">
        <v>17210</v>
      </c>
      <c r="C17212" s="10" t="inlineStr">
        <is>
          <t>KỸ SƯ BẢO TRÌ MÁY MÓC CƠ KHÍ ĐI CA - NHÀ MÁY 2</t>
        </is>
      </c>
      <c r="D17212" s="10" t="inlineStr">
        <is>
          <t>CÔNG TY TRÁCH NHIỆM HỮU HẠN SÀI GÒN PRECISION</t>
        </is>
      </c>
      <c r="E17212" s="10" t="inlineStr">
        <is>
          <t>Lương:Cạnh tranh</t>
        </is>
      </c>
      <c r="F17212" s="10" t="inlineStr">
        <is>
          <t>Hồ Chí Minh</t>
        </is>
      </c>
      <c r="G17212" s="10" t="inlineStr">
        <is>
          <t>05-04-2026</t>
        </is>
      </c>
      <c r="H17212" s="10" t="inlineStr">
        <is>
          <t>05/04/2026</t>
        </is>
      </c>
      <c r="I17212" s="10" t="inlineStr">
        <is>
          <t>17/03/2026</t>
        </is>
      </c>
      <c r="J17212" s="10" t="inlineStr">
        <is>
          <t>Bảo trì / Sửa chữa, Cơ khí / Ô tô / Tự động hóa, Sản xuất / Vận hành sản xuất</t>
        </is>
      </c>
      <c r="K17212" s="10" t="inlineStr">
        <is>
          <t>1 - 2 Năm</t>
        </is>
      </c>
      <c r="L17212" s="11">
        <f>HYPERLINK("https://careerviet.vn/vi/tim-viec-lam/ky-su-bao-tri-may-moc-co-khi-di-ca-nha-may-2.35C648D5.html","Xem chi tiết")</f>
        <v/>
      </c>
      <c r="M17212" s="10" t="n"/>
    </row>
    <row r="17213">
      <c r="B17213" s="7" t="n">
        <v>17211</v>
      </c>
      <c r="C17213" t="inlineStr">
        <is>
          <t>[CITIGYM] TRƯỞNG PHÒNG  PHÁP CHẾ</t>
        </is>
      </c>
      <c r="D17213" t="inlineStr">
        <is>
          <t>Nova Service Group - Công ty Cổ phần Tập đoàn Nova Services</t>
        </is>
      </c>
      <c r="E17213" t="inlineStr">
        <is>
          <t>Lương:Cạnh tranh</t>
        </is>
      </c>
      <c r="F17213" t="inlineStr">
        <is>
          <t>Hồ Chí Minh</t>
        </is>
      </c>
      <c r="G17213" t="inlineStr">
        <is>
          <t>05-04-2026</t>
        </is>
      </c>
      <c r="H17213" t="inlineStr">
        <is>
          <t>05/04/2026</t>
        </is>
      </c>
      <c r="I17213" t="inlineStr">
        <is>
          <t>17/03/2026</t>
        </is>
      </c>
      <c r="J17213" t="inlineStr">
        <is>
          <t>Luật / Pháp lý</t>
        </is>
      </c>
      <c r="K17213" t="inlineStr">
        <is>
          <t>5 - 7 Năm</t>
        </is>
      </c>
      <c r="L17213" s="8">
        <f>HYPERLINK("https://careerviet.vn/vi/tim-viec-lam/citigym-truong-phong-phap-che.35C64854.html","Xem chi tiết")</f>
        <v/>
      </c>
    </row>
    <row r="17214">
      <c r="B17214" s="9" t="n">
        <v>17212</v>
      </c>
      <c r="C17214" s="10" t="inlineStr">
        <is>
          <t>Dược sĩ Kho làm việc tại Gò Đen</t>
        </is>
      </c>
      <c r="D17214" s="10" t="inlineStr">
        <is>
          <t>Công Ty Cổ Phần Vacxin Việt Nam</t>
        </is>
      </c>
      <c r="E17214" s="10" t="inlineStr">
        <is>
          <t>Lương:7 Tr - 9 Tr VND</t>
        </is>
      </c>
      <c r="F17214" s="10" t="inlineStr">
        <is>
          <t>Long An</t>
        </is>
      </c>
      <c r="G17214" s="10" t="inlineStr">
        <is>
          <t>05-04-2026</t>
        </is>
      </c>
      <c r="H17214" s="10" t="inlineStr">
        <is>
          <t>05/04/2026</t>
        </is>
      </c>
      <c r="I17214" s="10" t="inlineStr">
        <is>
          <t>17/03/2026</t>
        </is>
      </c>
      <c r="J17214" s="10" t="inlineStr">
        <is>
          <t>Dược phẩm/ Hóa Mỹ Phẩm, Y tế / Chăm sóc sức khỏe / Thẩm mỹ / Làm đẹp, Vận chuyển / Giao nhận / Kho vận</t>
        </is>
      </c>
      <c r="K17214" s="10" t="inlineStr">
        <is>
          <t>Lên đến 1 Năm</t>
        </is>
      </c>
      <c r="L17214" s="11">
        <f>HYPERLINK("https://careerviet.vn/vi/tim-viec-lam/duoc-si-kho-lam-viec-tai-go-den.35C64998.html","Xem chi tiết")</f>
        <v/>
      </c>
      <c r="M17214" s="10" t="n"/>
    </row>
    <row r="17215">
      <c r="B17215" s="7" t="n">
        <v>17213</v>
      </c>
      <c r="C17215" t="inlineStr">
        <is>
          <t>Tài Xế Xe Tải</t>
        </is>
      </c>
      <c r="D17215" t="inlineStr">
        <is>
          <t>Tập Đoàn Kim Tín</t>
        </is>
      </c>
      <c r="E17215" t="inlineStr">
        <is>
          <t>Lương:12 Tr - 15 Tr VND</t>
        </is>
      </c>
      <c r="F17215" t="inlineStr">
        <is>
          <t>Hồ Chí Minh</t>
        </is>
      </c>
      <c r="G17215" t="inlineStr">
        <is>
          <t>05-04-2026</t>
        </is>
      </c>
      <c r="H17215" t="inlineStr">
        <is>
          <t>05/04/2026</t>
        </is>
      </c>
      <c r="I17215" t="inlineStr">
        <is>
          <t>17/03/2026</t>
        </is>
      </c>
      <c r="J17215" t="inlineStr">
        <is>
          <t>Sản xuất / Vận hành sản xuất, Vận chuyển / Giao nhận / Kho vận</t>
        </is>
      </c>
      <c r="K17215" t="inlineStr">
        <is>
          <t>1 - 2 Năm</t>
        </is>
      </c>
      <c r="L17215" s="8">
        <f>HYPERLINK("https://careerviet.vn/vi/tim-viec-lam/tai-xe-xe-tai.35C649CA.html","Xem chi tiết")</f>
        <v/>
      </c>
    </row>
    <row r="17216">
      <c r="B17216" s="9" t="n">
        <v>17214</v>
      </c>
      <c r="C17216" s="10" t="inlineStr">
        <is>
          <t>Recruitment &amp; Training Supervisor</t>
        </is>
      </c>
      <c r="D17216" s="10" t="inlineStr">
        <is>
          <t>CÔNG TY TNHH THIỀN</t>
        </is>
      </c>
      <c r="E17216" s="10" t="inlineStr">
        <is>
          <t>Lương:700 - 1.000 USD</t>
        </is>
      </c>
      <c r="F17216" s="10" t="inlineStr">
        <is>
          <t>Hải Dương</t>
        </is>
      </c>
      <c r="G17216" s="10" t="inlineStr">
        <is>
          <t>05-04-2026</t>
        </is>
      </c>
      <c r="H17216" s="10" t="inlineStr">
        <is>
          <t>05/04/2026</t>
        </is>
      </c>
      <c r="I17216" s="10" t="inlineStr">
        <is>
          <t>17/03/2026</t>
        </is>
      </c>
      <c r="J17216" s="10" t="inlineStr">
        <is>
          <t>Hành chính / Thư ký</t>
        </is>
      </c>
      <c r="K17216" s="10" t="inlineStr">
        <is>
          <t>Lên đến 5 Năm</t>
        </is>
      </c>
      <c r="L17216" s="11">
        <f>HYPERLINK("https://careerviet.vn/vi/tim-viec-lam/recruitment-training-supervisor.35C64966.html","Xem chi tiết")</f>
        <v/>
      </c>
      <c r="M17216" s="10" t="n"/>
    </row>
    <row r="17217">
      <c r="B17217" s="7" t="n">
        <v>17215</v>
      </c>
      <c r="C17217" t="inlineStr">
        <is>
          <t>Administrative Cum Receptionist</t>
        </is>
      </c>
      <c r="D17217" t="inlineStr">
        <is>
          <t>HR Vietnam’s ESS Client</t>
        </is>
      </c>
      <c r="E17217" t="inlineStr">
        <is>
          <t>Lương:Cạnh tranh</t>
        </is>
      </c>
      <c r="F17217" t="inlineStr">
        <is>
          <t>Bình Phước</t>
        </is>
      </c>
      <c r="G17217" t="inlineStr">
        <is>
          <t>05-04-2026</t>
        </is>
      </c>
      <c r="H17217" t="inlineStr">
        <is>
          <t>05/04/2026</t>
        </is>
      </c>
      <c r="I17217" t="inlineStr">
        <is>
          <t>17/03/2026</t>
        </is>
      </c>
      <c r="J17217" t="inlineStr">
        <is>
          <t>Hành chính / Thư ký</t>
        </is>
      </c>
      <c r="K17217" t="inlineStr">
        <is>
          <t>Trên 2 Năm</t>
        </is>
      </c>
      <c r="L17217" s="8">
        <f>HYPERLINK("https://careerviet.vn/vi/tim-viec-lam/administrative-cum-receptionist.35C6488D.html","Xem chi tiết")</f>
        <v/>
      </c>
    </row>
    <row r="17218">
      <c r="B17218" s="9" t="n">
        <v>17216</v>
      </c>
      <c r="C17218" s="10" t="inlineStr">
        <is>
          <t>Chuyên viên Marketing du học</t>
        </is>
      </c>
      <c r="D17218" s="10" t="inlineStr">
        <is>
          <t>Công Ty TNHH Prosfa</t>
        </is>
      </c>
      <c r="E17218" s="10" t="inlineStr">
        <is>
          <t>Lương:Trên 9 Tr VND</t>
        </is>
      </c>
      <c r="F17218" s="10" t="inlineStr">
        <is>
          <t>Hồ Chí Minh</t>
        </is>
      </c>
      <c r="G17218" s="10" t="inlineStr">
        <is>
          <t>05-04-2026</t>
        </is>
      </c>
      <c r="H17218" s="10" t="inlineStr">
        <is>
          <t>05/04/2026</t>
        </is>
      </c>
      <c r="I17218" s="10" t="inlineStr">
        <is>
          <t>17/03/2026</t>
        </is>
      </c>
      <c r="J17218" s="10" t="inlineStr">
        <is>
          <t>Tiếp thị / Marketing, Dịch vụ khách hàng, Giáo dục / Đào tạo</t>
        </is>
      </c>
      <c r="K17218" s="10" t="inlineStr">
        <is>
          <t>Trên 1 Năm</t>
        </is>
      </c>
      <c r="L17218" s="11">
        <f>HYPERLINK("https://careerviet.vn/vi/tim-viec-lam/chuyen-vien-marketing-du-hoc.35C64958.html","Xem chi tiết")</f>
        <v/>
      </c>
      <c r="M17218" s="10" t="n"/>
    </row>
    <row r="17219">
      <c r="B17219" s="7" t="n">
        <v>17217</v>
      </c>
      <c r="C17219" t="inlineStr">
        <is>
          <t>Nhân viên xuất nhập khẩu- Tiếng Trung</t>
        </is>
      </c>
      <c r="D17219" t="inlineStr">
        <is>
          <t>CÔNG TY TNHH AUSSCO VIỆT NAM</t>
        </is>
      </c>
      <c r="E17219" t="inlineStr">
        <is>
          <t>Lương:12 Tr - 30 Tr VND</t>
        </is>
      </c>
      <c r="F17219" t="inlineStr">
        <is>
          <t>Bình Dương</t>
        </is>
      </c>
      <c r="G17219" t="inlineStr">
        <is>
          <t>05-04-2026</t>
        </is>
      </c>
      <c r="H17219" t="inlineStr">
        <is>
          <t>05/04/2026</t>
        </is>
      </c>
      <c r="I17219" t="inlineStr">
        <is>
          <t>17/03/2026</t>
        </is>
      </c>
      <c r="J17219" t="inlineStr">
        <is>
          <t>Xuất nhập khẩu</t>
        </is>
      </c>
      <c r="K17219" t="inlineStr">
        <is>
          <t>1 - 2 Năm</t>
        </is>
      </c>
      <c r="L17219" s="8">
        <f>HYPERLINK("https://careerviet.vn/vi/tim-viec-lam/nhan-vien-xuat-nhap-khau-tieng-trung.35C6498B.html","Xem chi tiết")</f>
        <v/>
      </c>
    </row>
    <row r="17220">
      <c r="B17220" s="9" t="n">
        <v>17218</v>
      </c>
      <c r="C17220" s="10" t="inlineStr">
        <is>
          <t>Marketing Executive</t>
        </is>
      </c>
      <c r="D17220" s="10" t="inlineStr">
        <is>
          <t>CÔNG TY TNHH WELLNESS LIFESTYLE</t>
        </is>
      </c>
      <c r="E17220" s="10" t="inlineStr">
        <is>
          <t>Lương:Cạnh tranh</t>
        </is>
      </c>
      <c r="F17220" s="10" t="inlineStr">
        <is>
          <t>Hà Nội</t>
        </is>
      </c>
      <c r="G17220" s="10" t="inlineStr">
        <is>
          <t>05-04-2026</t>
        </is>
      </c>
      <c r="H17220" s="10" t="inlineStr">
        <is>
          <t>05/04/2026</t>
        </is>
      </c>
      <c r="I17220" s="10" t="inlineStr">
        <is>
          <t>17/03/2026</t>
        </is>
      </c>
      <c r="J17220" s="10" t="inlineStr">
        <is>
          <t>Tiếp thị trực tuyến, Dệt may / Da giày / Thời trang, Tiếp thị / Marketing</t>
        </is>
      </c>
      <c r="K17220" s="10" t="inlineStr">
        <is>
          <t>Trên 1 Năm</t>
        </is>
      </c>
      <c r="L17220" s="11">
        <f>HYPERLINK("https://careerviet.vn/vi/tim-viec-lam/marketing-executive.35C648B1.html","Xem chi tiết")</f>
        <v/>
      </c>
      <c r="M17220" s="10" t="n"/>
    </row>
    <row r="17221">
      <c r="B17221" s="7" t="n">
        <v>17219</v>
      </c>
      <c r="C17221" t="inlineStr">
        <is>
          <t>Quản lý sản xuất (Quản đốc)</t>
        </is>
      </c>
      <c r="D17221" t="inlineStr">
        <is>
          <t>CÔNG TY CỔ PHẦN SEAREFICO</t>
        </is>
      </c>
      <c r="E17221" t="inlineStr">
        <is>
          <t>Lương:Cạnh tranh</t>
        </is>
      </c>
      <c r="F17221" t="inlineStr">
        <is>
          <t>Hồ Chí Minh</t>
        </is>
      </c>
      <c r="G17221" t="inlineStr">
        <is>
          <t>05-04-2026</t>
        </is>
      </c>
      <c r="H17221" t="inlineStr">
        <is>
          <t>05/04/2026</t>
        </is>
      </c>
      <c r="I17221" t="inlineStr">
        <is>
          <t>17/03/2026</t>
        </is>
      </c>
      <c r="J17221" t="inlineStr">
        <is>
          <t>Bảo trì / Sửa chữa, Sản xuất / Vận hành sản xuất, Điện / Điện tử / Điện lạnh / Điện công nghiệp</t>
        </is>
      </c>
      <c r="K17221" t="inlineStr">
        <is>
          <t>Trên 2 Năm</t>
        </is>
      </c>
      <c r="L17221" s="8">
        <f>HYPERLINK("https://careerviet.vn/vi/tim-viec-lam/quan-ly-san-xuat-quan-doc.35C64895.html","Xem chi tiết")</f>
        <v/>
      </c>
    </row>
    <row r="17222">
      <c r="B17222" s="9" t="n">
        <v>17220</v>
      </c>
      <c r="C17222" s="10" t="inlineStr">
        <is>
          <t>Nhân viên Kỹ thuật nhuộm</t>
        </is>
      </c>
      <c r="D17222" s="10" t="inlineStr">
        <is>
          <t>CÔNG TY TNHH DỆT LIÊN CHÂU</t>
        </is>
      </c>
      <c r="E17222" s="10" t="inlineStr">
        <is>
          <t>Lương:Cạnh tranh</t>
        </is>
      </c>
      <c r="F17222" s="10" t="inlineStr">
        <is>
          <t>Bình Dương</t>
        </is>
      </c>
      <c r="G17222" s="10" t="inlineStr">
        <is>
          <t>05-04-2026</t>
        </is>
      </c>
      <c r="H17222" s="10" t="inlineStr">
        <is>
          <t>05/04/2026</t>
        </is>
      </c>
      <c r="I17222" s="10" t="inlineStr">
        <is>
          <t>17/03/2026</t>
        </is>
      </c>
      <c r="J17222" s="10" t="inlineStr">
        <is>
          <t>Hóa học, Sản xuất / Vận hành sản xuất, Dệt may / Da giày / Thời trang</t>
        </is>
      </c>
      <c r="K17222" s="10" t="inlineStr">
        <is>
          <t>1 - 3 Năm</t>
        </is>
      </c>
      <c r="L17222" s="11">
        <f>HYPERLINK("https://careerviet.vn/vi/tim-viec-lam/nhan-vien-ky-thuat-nhuom.35C6480A.html","Xem chi tiết")</f>
        <v/>
      </c>
      <c r="M17222" s="10" t="n"/>
    </row>
    <row r="17223">
      <c r="B17223" s="7" t="n">
        <v>17221</v>
      </c>
      <c r="C17223" t="inlineStr">
        <is>
          <t>Retail Associate - New Store Opening</t>
        </is>
      </c>
      <c r="D17223" t="inlineStr">
        <is>
          <t>Công Ty Avanti - Group</t>
        </is>
      </c>
      <c r="E17223" t="inlineStr">
        <is>
          <t>Lương:10 Tr - 15 Tr VND</t>
        </is>
      </c>
      <c r="F17223" t="inlineStr">
        <is>
          <t>Hồ Chí MinhHà NộiKhánh Hòa</t>
        </is>
      </c>
      <c r="G17223" t="inlineStr">
        <is>
          <t>05-04-2026</t>
        </is>
      </c>
      <c r="H17223" t="inlineStr">
        <is>
          <t>05/04/2026</t>
        </is>
      </c>
      <c r="I17223" t="inlineStr">
        <is>
          <t>17/03/2026</t>
        </is>
      </c>
      <c r="J17223" t="inlineStr">
        <is>
          <t>Bán hàng / Kinh doanh, Nhà hàng / Khách sạn, Bán lẻ / Bán sỉ</t>
        </is>
      </c>
      <c r="K17223" t="inlineStr">
        <is>
          <t>1 - 3 Năm</t>
        </is>
      </c>
      <c r="L17223" s="8">
        <f>HYPERLINK("https://careerviet.vn/vi/tim-viec-lam/retail-associate-new-store-opening.35C649A2.html","Xem chi tiết")</f>
        <v/>
      </c>
    </row>
    <row r="17224">
      <c r="B17224" s="9" t="n">
        <v>17222</v>
      </c>
      <c r="C17224" s="10" t="inlineStr">
        <is>
          <t>Cán Bộ Kiểm Soát Hiện Trường</t>
        </is>
      </c>
      <c r="D17224" s="10" t="inlineStr">
        <is>
          <t>CÔNG TY TNHH XÂY DỰNG TỰ LẬP</t>
        </is>
      </c>
      <c r="E17224" s="10" t="inlineStr">
        <is>
          <t>Lương:25 Tr - 40 Tr VND</t>
        </is>
      </c>
      <c r="F17224" s="10" t="inlineStr">
        <is>
          <t>Phú Thọ</t>
        </is>
      </c>
      <c r="G17224" s="10" t="inlineStr">
        <is>
          <t>05-04-2026</t>
        </is>
      </c>
      <c r="H17224" s="10" t="inlineStr">
        <is>
          <t>05/04/2026</t>
        </is>
      </c>
      <c r="I17224" s="10" t="inlineStr">
        <is>
          <t>17/03/2026</t>
        </is>
      </c>
      <c r="J17224" s="10" t="inlineStr">
        <is>
          <t>Quản lý điều hành, Kiến trúc, Xây dựng</t>
        </is>
      </c>
      <c r="K17224" s="10" t="inlineStr">
        <is>
          <t>Trên 15 Năm</t>
        </is>
      </c>
      <c r="L17224" s="11">
        <f>HYPERLINK("https://careerviet.vn/vi/tim-viec-lam/can-bo-kiem-soat-hien-truong.35C649EA.html","Xem chi tiết")</f>
        <v/>
      </c>
      <c r="M17224" s="10" t="n"/>
    </row>
    <row r="17225">
      <c r="B17225" s="7" t="n">
        <v>17223</v>
      </c>
      <c r="C17225" t="inlineStr">
        <is>
          <t>Nhân Viên Vận Hành Sàn Thương Mại Điện Tử</t>
        </is>
      </c>
      <c r="D17225" t="inlineStr">
        <is>
          <t>CÔNG TY TNHH WELLNESS LIFESTYLE</t>
        </is>
      </c>
      <c r="E17225" t="inlineStr">
        <is>
          <t>Lương:Cạnh tranh</t>
        </is>
      </c>
      <c r="F17225" t="inlineStr">
        <is>
          <t>Hà Nội</t>
        </is>
      </c>
      <c r="G17225" t="inlineStr">
        <is>
          <t>05-04-2026</t>
        </is>
      </c>
      <c r="H17225" t="inlineStr">
        <is>
          <t>05/04/2026</t>
        </is>
      </c>
      <c r="I17225" t="inlineStr">
        <is>
          <t>17/03/2026</t>
        </is>
      </c>
      <c r="J17225" t="inlineStr">
        <is>
          <t>Tiếp thị trực tuyến, Thương mại điện tử, Dệt may / Da giày / Thời trang</t>
        </is>
      </c>
      <c r="K17225" t="inlineStr">
        <is>
          <t>1 - 2 Năm</t>
        </is>
      </c>
      <c r="L17225" s="8">
        <f>HYPERLINK("https://careerviet.vn/vi/tim-viec-lam/nhan-vien-van-hanh-san-thuong-mai-dien-tu.35C648AC.html","Xem chi tiết")</f>
        <v/>
      </c>
    </row>
    <row r="17226">
      <c r="B17226" s="9" t="n">
        <v>17224</v>
      </c>
      <c r="C17226" s="10" t="inlineStr">
        <is>
          <t>Chuyên viên Pháp chế</t>
        </is>
      </c>
      <c r="D17226" s="10" t="inlineStr">
        <is>
          <t>Công Ty Cổ Phần Quốc Tế Sơn Hà</t>
        </is>
      </c>
      <c r="E17226" s="10" t="inlineStr">
        <is>
          <t>Lương:Cạnh tranh</t>
        </is>
      </c>
      <c r="F17226" s="10" t="inlineStr">
        <is>
          <t>Hà Nội</t>
        </is>
      </c>
      <c r="G17226" s="10" t="inlineStr">
        <is>
          <t>05-04-2026</t>
        </is>
      </c>
      <c r="H17226" s="10" t="inlineStr">
        <is>
          <t>05/04/2026</t>
        </is>
      </c>
      <c r="I17226" s="10" t="inlineStr">
        <is>
          <t>17/03/2026</t>
        </is>
      </c>
      <c r="J17226" s="10" t="inlineStr">
        <is>
          <t>Luật / Pháp lý</t>
        </is>
      </c>
      <c r="K17226" s="10" t="inlineStr">
        <is>
          <t>4 - 5 Năm</t>
        </is>
      </c>
      <c r="L17226" s="11">
        <f>HYPERLINK("https://careerviet.vn/vi/tim-viec-lam/chuyen-vien-phap-che.35C64A02.html","Xem chi tiết")</f>
        <v/>
      </c>
      <c r="M17226" s="10" t="n"/>
    </row>
    <row r="17227">
      <c r="B17227" s="7" t="n">
        <v>17225</v>
      </c>
      <c r="C17227" t="inlineStr">
        <is>
          <t>Nhân Viên Vận Hành Máy Ép Viên / Ép Đùn</t>
        </is>
      </c>
      <c r="D17227" t="inlineStr">
        <is>
          <t>De Heus LLC</t>
        </is>
      </c>
      <c r="E17227" t="inlineStr">
        <is>
          <t>Lương:9 Tr - 11 Tr VND</t>
        </is>
      </c>
      <c r="F17227" t="inlineStr">
        <is>
          <t>Đồng Nai</t>
        </is>
      </c>
      <c r="G17227" t="inlineStr">
        <is>
          <t>05-04-2026</t>
        </is>
      </c>
      <c r="H17227" t="inlineStr">
        <is>
          <t>05/04/2026</t>
        </is>
      </c>
      <c r="I17227" t="inlineStr">
        <is>
          <t>17/03/2026</t>
        </is>
      </c>
      <c r="J17227" t="inlineStr">
        <is>
          <t>Cơ khí / Ô tô / Tự động hóa, Điện / Điện tử / Điện lạnh / Điện công nghiệp, Bảo trì / Sửa chữa</t>
        </is>
      </c>
      <c r="K17227" t="inlineStr">
        <is>
          <t>Chưa có kinh nghiệm</t>
        </is>
      </c>
      <c r="L17227" s="8">
        <f>HYPERLINK("https://careerviet.vn/vi/tim-viec-lam/nhan-vien-van-hanh-may-ep-vien-ep-dun.35C6494F.html","Xem chi tiết")</f>
        <v/>
      </c>
    </row>
    <row r="17228">
      <c r="B17228" s="9" t="n">
        <v>17226</v>
      </c>
      <c r="C17228" s="10" t="inlineStr">
        <is>
          <t>Đội trưởng vận hành/ Giám sát vận hành</t>
        </is>
      </c>
      <c r="D17228" s="10" t="inlineStr">
        <is>
          <t>CÔNG TY CỔ PHẦN DI CHUYỂN VÀ THÔNG MINH GSM</t>
        </is>
      </c>
      <c r="E17228" s="10" t="inlineStr">
        <is>
          <t>Lương:15 Tr - 20 Tr VND</t>
        </is>
      </c>
      <c r="F17228" s="10" t="inlineStr">
        <is>
          <t>Đồng Tháp</t>
        </is>
      </c>
      <c r="G17228" s="10" t="inlineStr">
        <is>
          <t>05-04-2026</t>
        </is>
      </c>
      <c r="H17228" s="10" t="inlineStr">
        <is>
          <t>05/04/2026</t>
        </is>
      </c>
      <c r="I17228" s="10" t="inlineStr">
        <is>
          <t>17/03/2026</t>
        </is>
      </c>
      <c r="J17228" s="10" t="inlineStr">
        <is>
          <t>Vận chuyển / Giao nhận / Kho vận, Quản lý điều hành, Cơ khí / Ô tô / Tự động hóa</t>
        </is>
      </c>
      <c r="K17228" s="10" t="inlineStr">
        <is>
          <t>3 - 10 Năm</t>
        </is>
      </c>
      <c r="L17228" s="11">
        <f>HYPERLINK("https://careerviet.vn/vi/tim-viec-lam/doi-truong-van-hanh-giam-sat-van-hanh.35C64A08.html","Xem chi tiết")</f>
        <v/>
      </c>
      <c r="M17228" s="10" t="n"/>
    </row>
    <row r="17229">
      <c r="B17229" s="7" t="n">
        <v>17227</v>
      </c>
      <c r="C17229" t="inlineStr">
        <is>
          <t>Tuyển 3D Character</t>
        </is>
      </c>
      <c r="D17229" t="inlineStr">
        <is>
          <t>CÔNG TY TNHH CA ADVANCE VIỆT NAM</t>
        </is>
      </c>
      <c r="E17229" t="inlineStr">
        <is>
          <t>Lương:Cạnh tranh</t>
        </is>
      </c>
      <c r="F17229" t="inlineStr">
        <is>
          <t>Hồ Chí Minh</t>
        </is>
      </c>
      <c r="G17229" t="inlineStr">
        <is>
          <t>05-04-2026</t>
        </is>
      </c>
      <c r="H17229" t="inlineStr">
        <is>
          <t>05/04/2026</t>
        </is>
      </c>
      <c r="I17229" t="inlineStr">
        <is>
          <t>17/03/2026</t>
        </is>
      </c>
      <c r="J17229" t="inlineStr">
        <is>
          <t>Mỹ thuật / Nghệ thuật / Thiết kế, Giải trí, Ngành khác</t>
        </is>
      </c>
      <c r="K17229" t="inlineStr">
        <is>
          <t>3 - 5 Năm</t>
        </is>
      </c>
      <c r="L17229" s="8">
        <f>HYPERLINK("https://careerviet.vn/vi/tim-viec-lam/tuyen-3d-character.35C64853.html","Xem chi tiết")</f>
        <v/>
      </c>
    </row>
    <row r="17230">
      <c r="B17230" s="9" t="n">
        <v>17228</v>
      </c>
      <c r="C17230" s="10" t="inlineStr">
        <is>
          <t>Nhân Viên Kinh Doanh - Khu Vực Hồ Chí Minh</t>
        </is>
      </c>
      <c r="D17230" s="10" t="inlineStr">
        <is>
          <t>Tổng Công Ty Chuyển Phát Nhanh Bưu Điện</t>
        </is>
      </c>
      <c r="E17230" s="10" t="inlineStr">
        <is>
          <t>Lương:Cạnh tranh</t>
        </is>
      </c>
      <c r="F17230" s="10" t="inlineStr">
        <is>
          <t>Hồ Chí Minh</t>
        </is>
      </c>
      <c r="G17230" s="10" t="inlineStr">
        <is>
          <t>05-04-2026</t>
        </is>
      </c>
      <c r="H17230" s="10" t="inlineStr">
        <is>
          <t>05/04/2026</t>
        </is>
      </c>
      <c r="I17230" s="10" t="inlineStr">
        <is>
          <t>17/03/2026</t>
        </is>
      </c>
      <c r="J17230" s="10" t="inlineStr">
        <is>
          <t>Bán hàng / Kinh doanh, Tiếp thị / Marketing, Xuất nhập khẩu</t>
        </is>
      </c>
      <c r="K17230" s="10" t="inlineStr">
        <is>
          <t>N/A</t>
        </is>
      </c>
      <c r="L17230" s="11">
        <f>HYPERLINK("https://careerviet.vn/vi/tim-viec-lam/nhan-vien-kinh-doanh-khu-vuc-ho-chi-minh.35C648D6.html","Xem chi tiết")</f>
        <v/>
      </c>
      <c r="M17230" s="10" t="n"/>
    </row>
    <row r="17231">
      <c r="B17231" s="7" t="n">
        <v>17229</v>
      </c>
      <c r="C17231" t="inlineStr">
        <is>
          <t>Merchandising Intern</t>
        </is>
      </c>
      <c r="D17231" t="inlineStr">
        <is>
          <t>Un-Available LTD Co.,</t>
        </is>
      </c>
      <c r="E17231" t="inlineStr">
        <is>
          <t>Lương:Lên đến 1 Tr VND</t>
        </is>
      </c>
      <c r="F17231" t="inlineStr">
        <is>
          <t>Hồ Chí Minh</t>
        </is>
      </c>
      <c r="G17231" t="inlineStr">
        <is>
          <t>05-04-2026</t>
        </is>
      </c>
      <c r="H17231" t="inlineStr">
        <is>
          <t>05/04/2026</t>
        </is>
      </c>
      <c r="I17231" t="inlineStr">
        <is>
          <t>17/03/2026</t>
        </is>
      </c>
      <c r="J17231" t="inlineStr">
        <is>
          <t>Bán hàng / Kinh doanh, Dệt may / Da giày / Thời trang, Mới tốt nghiệp / Thực tập</t>
        </is>
      </c>
      <c r="K17231" t="inlineStr">
        <is>
          <t>N/A</t>
        </is>
      </c>
      <c r="L17231" s="8">
        <f>HYPERLINK("https://careerviet.vn/vi/tim-viec-lam/merchandising-intern.35C6485C.html","Xem chi tiết")</f>
        <v/>
      </c>
    </row>
    <row r="17232">
      <c r="B17232" s="9" t="n">
        <v>17230</v>
      </c>
      <c r="C17232" s="10" t="inlineStr">
        <is>
          <t>TAX &amp; CUSTOMS ACCOUNTANT</t>
        </is>
      </c>
      <c r="D17232" s="10" t="inlineStr">
        <is>
          <t>Công Ty TNHH Corsair Marine International</t>
        </is>
      </c>
      <c r="E17232" s="10" t="inlineStr">
        <is>
          <t>Lương:Cạnh tranh</t>
        </is>
      </c>
      <c r="F17232" s="10" t="inlineStr">
        <is>
          <t>Hồ Chí Minh</t>
        </is>
      </c>
      <c r="G17232" s="10" t="inlineStr">
        <is>
          <t>05-04-2026</t>
        </is>
      </c>
      <c r="H17232" s="10" t="inlineStr">
        <is>
          <t>05/04/2026</t>
        </is>
      </c>
      <c r="I17232" s="10" t="inlineStr">
        <is>
          <t>17/03/2026</t>
        </is>
      </c>
      <c r="J17232" s="10" t="inlineStr">
        <is>
          <t>Kế toán / Kiểm toán, Tài chính / Đầu tư</t>
        </is>
      </c>
      <c r="K17232" s="10" t="inlineStr">
        <is>
          <t>2 - 3 Năm</t>
        </is>
      </c>
      <c r="L17232" s="11">
        <f>HYPERLINK("https://careerviet.vn/vi/tim-viec-lam/tax-customs-accountant.35C64822.html","Xem chi tiết")</f>
        <v/>
      </c>
      <c r="M17232" s="10" t="n"/>
    </row>
    <row r="17233">
      <c r="B17233" s="7" t="n">
        <v>17231</v>
      </c>
      <c r="C17233" t="inlineStr">
        <is>
          <t>Media Producer</t>
        </is>
      </c>
      <c r="D17233" t="inlineStr">
        <is>
          <t>CÔNG TY TNHH WELLNESS LIFESTYLE</t>
        </is>
      </c>
      <c r="E17233" t="inlineStr">
        <is>
          <t>Lương:Cạnh tranh</t>
        </is>
      </c>
      <c r="F17233" t="inlineStr">
        <is>
          <t>Hà Nội</t>
        </is>
      </c>
      <c r="G17233" t="inlineStr">
        <is>
          <t>05-04-2026</t>
        </is>
      </c>
      <c r="H17233" t="inlineStr">
        <is>
          <t>05/04/2026</t>
        </is>
      </c>
      <c r="I17233" t="inlineStr">
        <is>
          <t>17/03/2026</t>
        </is>
      </c>
      <c r="J17233" t="inlineStr">
        <is>
          <t>Dệt may / Da giày / Thời trang, CNTT - Phần mềm, Truyền hình / Báo chí / Biên tập</t>
        </is>
      </c>
      <c r="K17233" t="inlineStr">
        <is>
          <t>Trên 2 Năm</t>
        </is>
      </c>
      <c r="L17233" s="8">
        <f>HYPERLINK("https://careerviet.vn/vi/tim-viec-lam/media-producer.35C648C0.html","Xem chi tiết")</f>
        <v/>
      </c>
    </row>
    <row r="17234">
      <c r="B17234" s="9" t="n">
        <v>17232</v>
      </c>
      <c r="C17234" s="10" t="inlineStr">
        <is>
          <t>SMT NPI Engineer</t>
        </is>
      </c>
      <c r="D17234" s="10" t="inlineStr">
        <is>
          <t>Công ty TNHH Sài Gòn Stec</t>
        </is>
      </c>
      <c r="E17234" s="10" t="inlineStr">
        <is>
          <t>Lương:12 Tr - 20 Tr VND</t>
        </is>
      </c>
      <c r="F17234" s="10" t="inlineStr">
        <is>
          <t>Bình Dương</t>
        </is>
      </c>
      <c r="G17234" s="10" t="inlineStr">
        <is>
          <t>05-04-2026</t>
        </is>
      </c>
      <c r="H17234" s="10" t="inlineStr">
        <is>
          <t>05/04/2026</t>
        </is>
      </c>
      <c r="I17234" s="10" t="inlineStr">
        <is>
          <t>17/03/2026</t>
        </is>
      </c>
      <c r="J17234" s="10" t="inlineStr">
        <is>
          <t>Cơ khí / Ô tô / Tự động hóa, Điện / Điện tử / Điện lạnh / Điện công nghiệp, Bảo trì / Sửa chữa</t>
        </is>
      </c>
      <c r="K17234" s="10" t="inlineStr">
        <is>
          <t>3 - 5 Năm</t>
        </is>
      </c>
      <c r="L17234" s="11">
        <f>HYPERLINK("https://careerviet.vn/vi/tim-viec-lam/smt-npi-engineer.35C64877.html","Xem chi tiết")</f>
        <v/>
      </c>
      <c r="M17234" s="10" t="n"/>
    </row>
    <row r="17235">
      <c r="B17235" s="7" t="n">
        <v>17233</v>
      </c>
      <c r="C17235" t="inlineStr">
        <is>
          <t>[Thanh Hóa] Giám Sát Kinh Doanh Bán Hàng Trả Góp</t>
        </is>
      </c>
      <c r="D17235" t="inlineStr">
        <is>
          <t>Công Ty Tài Chính Mirae Asset (Việt Nam)</t>
        </is>
      </c>
      <c r="E17235" t="inlineStr">
        <is>
          <t>Lương:Cạnh tranh</t>
        </is>
      </c>
      <c r="F17235" t="inlineStr">
        <is>
          <t>Thanh HóaKV Bắc Trung Bộ</t>
        </is>
      </c>
      <c r="G17235" t="inlineStr">
        <is>
          <t>05-04-2026</t>
        </is>
      </c>
      <c r="H17235" t="inlineStr">
        <is>
          <t>05/04/2026</t>
        </is>
      </c>
      <c r="I17235" t="inlineStr">
        <is>
          <t>17/03/2026</t>
        </is>
      </c>
      <c r="J17235" t="inlineStr">
        <is>
          <t>Bán hàng / Kinh doanh, Tài chính / Đầu tư, Dịch vụ khách hàng</t>
        </is>
      </c>
      <c r="K17235" t="inlineStr">
        <is>
          <t>2 - 3 Năm</t>
        </is>
      </c>
      <c r="L17235" s="8">
        <f>HYPERLINK("https://careerviet.vn/vi/tim-viec-lam/thanh-hoa-giam-sat-kinh-doanh-ban-hang-tra-gop.35C64943.html","Xem chi tiết")</f>
        <v/>
      </c>
    </row>
    <row r="17236">
      <c r="B17236" s="9" t="n">
        <v>17234</v>
      </c>
      <c r="C17236" s="10" t="inlineStr">
        <is>
          <t>KẾ TOÁN TRƯỞNG - HẢI PHÒNG</t>
        </is>
      </c>
      <c r="D17236" s="10" t="inlineStr">
        <is>
          <t>Công ty cổ phần UNESFA</t>
        </is>
      </c>
      <c r="E17236" s="10" t="inlineStr">
        <is>
          <t>Lương:15 Tr - 20 Tr VND</t>
        </is>
      </c>
      <c r="F17236" s="10" t="inlineStr">
        <is>
          <t>Hải Phòng</t>
        </is>
      </c>
      <c r="G17236" s="10" t="inlineStr">
        <is>
          <t>05-04-2026</t>
        </is>
      </c>
      <c r="H17236" s="10" t="inlineStr">
        <is>
          <t>05/04/2026</t>
        </is>
      </c>
      <c r="I17236" s="10" t="inlineStr">
        <is>
          <t>17/03/2026</t>
        </is>
      </c>
      <c r="J17236" s="10" t="inlineStr">
        <is>
          <t>Kế toán / Kiểm toán, Ngân hàng, Tài chính / Đầu tư</t>
        </is>
      </c>
      <c r="K17236" s="10" t="inlineStr">
        <is>
          <t>5 - 7 Năm</t>
        </is>
      </c>
      <c r="L17236" s="11">
        <f>HYPERLINK("https://careerviet.vn/vi/tim-viec-lam/ke-toan-truong-hai-phong.35C6497B.html","Xem chi tiết")</f>
        <v/>
      </c>
      <c r="M17236" s="10" t="n"/>
    </row>
    <row r="17237">
      <c r="B17237" s="7" t="n">
        <v>17235</v>
      </c>
      <c r="C17237" t="inlineStr">
        <is>
          <t>SMT machine Engineer</t>
        </is>
      </c>
      <c r="D17237" t="inlineStr">
        <is>
          <t>Công ty TNHH Sài Gòn Stec</t>
        </is>
      </c>
      <c r="E17237" t="inlineStr">
        <is>
          <t>Lương:12 Tr - 20 Tr VND</t>
        </is>
      </c>
      <c r="F17237" t="inlineStr">
        <is>
          <t>Bình Dương</t>
        </is>
      </c>
      <c r="G17237" t="inlineStr">
        <is>
          <t>05-04-2026</t>
        </is>
      </c>
      <c r="H17237" t="inlineStr">
        <is>
          <t>05/04/2026</t>
        </is>
      </c>
      <c r="I17237" t="inlineStr">
        <is>
          <t>17/03/2026</t>
        </is>
      </c>
      <c r="J17237" t="inlineStr">
        <is>
          <t>Cơ khí / Ô tô / Tự động hóa, Điện / Điện tử / Điện lạnh / Điện công nghiệp, Bảo trì / Sửa chữa</t>
        </is>
      </c>
      <c r="K17237" t="inlineStr">
        <is>
          <t>3 - 5 Năm</t>
        </is>
      </c>
      <c r="L17237" s="8">
        <f>HYPERLINK("https://careerviet.vn/vi/tim-viec-lam/smt-machine-engineer.35C64867.html","Xem chi tiết")</f>
        <v/>
      </c>
    </row>
    <row r="17238">
      <c r="B17238" s="9" t="n">
        <v>17236</v>
      </c>
      <c r="C17238" s="10" t="inlineStr">
        <is>
          <t>Chuyên viên Content Marketing</t>
        </is>
      </c>
      <c r="D17238" s="10" t="inlineStr">
        <is>
          <t>Tập Đoàn Karofi Holding</t>
        </is>
      </c>
      <c r="E17238" s="10" t="inlineStr">
        <is>
          <t>Lương:14 Tr - 16 Tr VND</t>
        </is>
      </c>
      <c r="F17238" s="10" t="inlineStr">
        <is>
          <t>Hà Nội</t>
        </is>
      </c>
      <c r="G17238" s="10" t="inlineStr">
        <is>
          <t>05-04-2026</t>
        </is>
      </c>
      <c r="H17238" s="10" t="inlineStr">
        <is>
          <t>05/04/2026</t>
        </is>
      </c>
      <c r="I17238" s="10" t="inlineStr">
        <is>
          <t>17/03/2026</t>
        </is>
      </c>
      <c r="J17238" s="10" t="inlineStr">
        <is>
          <t>Truyền hình / Báo chí / Biên tập</t>
        </is>
      </c>
      <c r="K17238" s="10" t="inlineStr">
        <is>
          <t>Trên 3 Năm</t>
        </is>
      </c>
      <c r="L17238" s="11">
        <f>HYPERLINK("https://careerviet.vn/vi/tim-viec-lam/chuyen-vien-content-marketing.35C6482B.html","Xem chi tiết")</f>
        <v/>
      </c>
      <c r="M17238" s="10" t="n"/>
    </row>
    <row r="17239">
      <c r="B17239" s="7" t="n">
        <v>17237</v>
      </c>
      <c r="C17239" t="inlineStr">
        <is>
          <t>Nhân Viên Bảo Trì</t>
        </is>
      </c>
      <c r="D17239" t="inlineStr">
        <is>
          <t>Công ty TNHH Giáo dục Khai Nguyên</t>
        </is>
      </c>
      <c r="E17239" t="inlineStr">
        <is>
          <t>Lương:8 Tr - 9,5 Tr VND</t>
        </is>
      </c>
      <c r="F17239" t="inlineStr">
        <is>
          <t>Hồ Chí Minh</t>
        </is>
      </c>
      <c r="G17239" t="inlineStr">
        <is>
          <t>05-04-2026</t>
        </is>
      </c>
      <c r="H17239" t="inlineStr">
        <is>
          <t>05/04/2026</t>
        </is>
      </c>
      <c r="I17239" t="inlineStr">
        <is>
          <t>17/03/2026</t>
        </is>
      </c>
      <c r="J17239" t="inlineStr">
        <is>
          <t>Bảo trì / Sửa chữa, Điện / Điện tử / Điện lạnh / Điện công nghiệp, Giáo dục / Đào tạo</t>
        </is>
      </c>
      <c r="K17239" t="inlineStr">
        <is>
          <t>Trên 1 Năm</t>
        </is>
      </c>
      <c r="L17239" s="8">
        <f>HYPERLINK("https://careerviet.vn/vi/tim-viec-lam/nhan-vien-bao-tri.35C648B7.html","Xem chi tiết")</f>
        <v/>
      </c>
    </row>
    <row r="17240">
      <c r="B17240" s="9" t="n">
        <v>17238</v>
      </c>
      <c r="C17240" s="10" t="inlineStr">
        <is>
          <t>Cán Bộ Kế Hoạch Đấu Thầu (Kiểm Tra HSTK, Lập HSDT) lương từ 19tr - 30tr</t>
        </is>
      </c>
      <c r="D17240" s="10" t="inlineStr">
        <is>
          <t>CÔNG TY TNHH XÂY DỰNG TỰ LẬP</t>
        </is>
      </c>
      <c r="E17240" s="10" t="inlineStr">
        <is>
          <t>Lương:19 Tr - 30 Tr VND</t>
        </is>
      </c>
      <c r="F17240" s="10" t="inlineStr">
        <is>
          <t>Phú Thọ</t>
        </is>
      </c>
      <c r="G17240" s="10" t="inlineStr">
        <is>
          <t>05-04-2026</t>
        </is>
      </c>
      <c r="H17240" s="10" t="inlineStr">
        <is>
          <t>05/04/2026</t>
        </is>
      </c>
      <c r="I17240" s="10" t="inlineStr">
        <is>
          <t>17/03/2026</t>
        </is>
      </c>
      <c r="J17240" s="10" t="inlineStr">
        <is>
          <t>Tài chính / Đầu tư, Kiến trúc, Bất động sản</t>
        </is>
      </c>
      <c r="K17240" s="10" t="inlineStr">
        <is>
          <t>N/A</t>
        </is>
      </c>
      <c r="L17240" s="11">
        <f>HYPERLINK("https://careerviet.vn/vi/tim-viec-lam/can-bo-ke-hoach-dau-thau-kiem-tra-hstk-lap-hsdt-luong-tu-19tr-30tr.35C649E7.html","Xem chi tiết")</f>
        <v/>
      </c>
      <c r="M17240" s="10" t="n"/>
    </row>
    <row r="17241">
      <c r="B17241" s="7" t="n">
        <v>17239</v>
      </c>
      <c r="C17241" t="inlineStr">
        <is>
          <t>[Đà Nẵng] Chuyên Viên Tư Vấn Trả Góp Ô Tô</t>
        </is>
      </c>
      <c r="D17241" t="inlineStr">
        <is>
          <t>Công Ty Tài Chính Mirae Asset (Việt Nam)</t>
        </is>
      </c>
      <c r="E17241" t="inlineStr">
        <is>
          <t>Lương:17 Tr - 30 Tr VND</t>
        </is>
      </c>
      <c r="F17241" t="inlineStr">
        <is>
          <t>Đà NẵngKV Nam Trung Bộ</t>
        </is>
      </c>
      <c r="G17241" t="inlineStr">
        <is>
          <t>05-04-2026</t>
        </is>
      </c>
      <c r="H17241" t="inlineStr">
        <is>
          <t>05/04/2026</t>
        </is>
      </c>
      <c r="I17241" t="inlineStr">
        <is>
          <t>17/03/2026</t>
        </is>
      </c>
      <c r="J17241" t="inlineStr">
        <is>
          <t>Bán hàng / Kinh doanh, Bán lẻ / Bán sỉ, Tài chính / Đầu tư</t>
        </is>
      </c>
      <c r="K17241" t="inlineStr">
        <is>
          <t>1 - 3 Năm</t>
        </is>
      </c>
      <c r="L17241" s="8">
        <f>HYPERLINK("https://careerviet.vn/vi/tim-viec-lam/da-nang-chuyen-vien-tu-van-tra-gop-o-to.35C64935.html","Xem chi tiết")</f>
        <v/>
      </c>
    </row>
    <row r="17242">
      <c r="B17242" s="9" t="n">
        <v>17240</v>
      </c>
      <c r="C17242" s="10" t="inlineStr">
        <is>
          <t>CHUYÊN VIÊN ISO [CỦ CHI]</t>
        </is>
      </c>
      <c r="D17242" s="10" t="inlineStr">
        <is>
          <t>CÔNG TY CP SAIGON AUTO SUPPORTING INDUSTRY</t>
        </is>
      </c>
      <c r="E17242" s="10" t="inlineStr">
        <is>
          <t>Lương:Cạnh tranh</t>
        </is>
      </c>
      <c r="F17242" s="10" t="inlineStr">
        <is>
          <t>Hồ Chí Minh</t>
        </is>
      </c>
      <c r="G17242" s="10" t="inlineStr">
        <is>
          <t>05-04-2026</t>
        </is>
      </c>
      <c r="H17242" s="10" t="inlineStr">
        <is>
          <t>05/04/2026</t>
        </is>
      </c>
      <c r="I17242" s="10" t="inlineStr">
        <is>
          <t>17/03/2026</t>
        </is>
      </c>
      <c r="J17242" s="10" t="inlineStr">
        <is>
          <t>Quản lý chất lượng (QA/QC), Hóa học, Cơ khí / Ô tô / Tự động hóa</t>
        </is>
      </c>
      <c r="K17242" s="10" t="inlineStr">
        <is>
          <t>2 - 5 Năm</t>
        </is>
      </c>
      <c r="L17242" s="11">
        <f>HYPERLINK("https://careerviet.vn/vi/tim-viec-lam/chuyen-vien-iso-cu-chi.35C64950.html","Xem chi tiết")</f>
        <v/>
      </c>
      <c r="M17242" s="10" t="n"/>
    </row>
    <row r="17243">
      <c r="B17243" s="7" t="n">
        <v>17241</v>
      </c>
      <c r="C17243" t="inlineStr">
        <is>
          <t>SMT Process Engineer</t>
        </is>
      </c>
      <c r="D17243" t="inlineStr">
        <is>
          <t>Công ty TNHH Sài Gòn Stec</t>
        </is>
      </c>
      <c r="E17243" t="inlineStr">
        <is>
          <t>Lương:12 Tr - 20 Tr VND</t>
        </is>
      </c>
      <c r="F17243" t="inlineStr">
        <is>
          <t>Bình Dương</t>
        </is>
      </c>
      <c r="G17243" t="inlineStr">
        <is>
          <t>05-04-2026</t>
        </is>
      </c>
      <c r="H17243" t="inlineStr">
        <is>
          <t>05/04/2026</t>
        </is>
      </c>
      <c r="I17243" t="inlineStr">
        <is>
          <t>17/03/2026</t>
        </is>
      </c>
      <c r="J17243" t="inlineStr">
        <is>
          <t>Cơ khí / Ô tô / Tự động hóa, Điện / Điện tử / Điện lạnh / Điện công nghiệp, Bảo trì / Sửa chữa</t>
        </is>
      </c>
      <c r="K17243" t="inlineStr">
        <is>
          <t>3 - 5 Năm</t>
        </is>
      </c>
      <c r="L17243" s="8">
        <f>HYPERLINK("https://careerviet.vn/vi/tim-viec-lam/smt-process-engineer.35C6486F.html","Xem chi tiết")</f>
        <v/>
      </c>
    </row>
    <row r="17244">
      <c r="B17244" s="9" t="n">
        <v>17242</v>
      </c>
      <c r="C17244" s="10" t="inlineStr">
        <is>
          <t>NHÂN VIÊN GIA CÔNG</t>
        </is>
      </c>
      <c r="D17244" s="10" t="inlineStr">
        <is>
          <t>CÔNG TY TNHH POUYUEN VIỆT NAM</t>
        </is>
      </c>
      <c r="E17244" s="10" t="inlineStr">
        <is>
          <t>Lương:Trên 6 Tr VND</t>
        </is>
      </c>
      <c r="F17244" s="10" t="inlineStr">
        <is>
          <t>Hồ Chí Minh</t>
        </is>
      </c>
      <c r="G17244" s="10" t="inlineStr">
        <is>
          <t>05-04-2026</t>
        </is>
      </c>
      <c r="H17244" s="10" t="inlineStr">
        <is>
          <t>05/04/2026</t>
        </is>
      </c>
      <c r="I17244" s="10" t="inlineStr">
        <is>
          <t>17/03/2026</t>
        </is>
      </c>
      <c r="J17244" s="10" t="inlineStr">
        <is>
          <t>Lao động phổ thông, Dệt may / Da giày / Thời trang, Sản xuất / Vận hành sản xuất</t>
        </is>
      </c>
      <c r="K17244" s="10" t="inlineStr">
        <is>
          <t>N/A</t>
        </is>
      </c>
      <c r="L17244" s="11">
        <f>HYPERLINK("https://careerviet.vn/vi/tim-viec-lam/nhan-vien-gia-cong.35C678A9.html","Xem chi tiết")</f>
        <v/>
      </c>
      <c r="M17244" s="10" t="n"/>
    </row>
    <row r="17245">
      <c r="B17245" s="7" t="n">
        <v>17243</v>
      </c>
      <c r="C17245" t="inlineStr">
        <is>
          <t>[NHÀ MÁY]  Technology Transfer Manager</t>
        </is>
      </c>
      <c r="D17245" t="inlineStr">
        <is>
          <t>Công Ty Cổ Phần Vacxin Việt Nam</t>
        </is>
      </c>
      <c r="E17245" t="inlineStr">
        <is>
          <t>Lương:Cạnh tranh</t>
        </is>
      </c>
      <c r="F17245" t="inlineStr">
        <is>
          <t>Hồ Chí MinhLong An</t>
        </is>
      </c>
      <c r="G17245" t="inlineStr">
        <is>
          <t>05-04-2026</t>
        </is>
      </c>
      <c r="H17245" t="inlineStr">
        <is>
          <t>05/04/2026</t>
        </is>
      </c>
      <c r="I17245" t="inlineStr">
        <is>
          <t>17/03/2026</t>
        </is>
      </c>
      <c r="J17245" t="inlineStr">
        <is>
          <t>Dược phẩm/ Hóa Mỹ Phẩm, Quản lý chất lượng (QA/QC), Công nghệ sinh học</t>
        </is>
      </c>
      <c r="K17245" t="inlineStr">
        <is>
          <t>5 - 7 Năm</t>
        </is>
      </c>
      <c r="L17245" s="8">
        <f>HYPERLINK("https://careerviet.vn/vi/tim-viec-lam/nha-may-technology-transfer-manager.35C67671.html","Xem chi tiết")</f>
        <v/>
      </c>
    </row>
    <row r="17246">
      <c r="B17246" s="9" t="n">
        <v>17244</v>
      </c>
      <c r="C17246" s="10" t="inlineStr">
        <is>
          <t>[NovaDreams] Chuyên viên cao cấp Dựng phim</t>
        </is>
      </c>
      <c r="D17246" s="10" t="inlineStr">
        <is>
          <t>Bảo mật</t>
        </is>
      </c>
      <c r="E17246" s="10" t="inlineStr">
        <is>
          <t>Lương:Cạnh tranh</t>
        </is>
      </c>
      <c r="F17246" s="10" t="inlineStr">
        <is>
          <t>Hồ Chí Minh</t>
        </is>
      </c>
      <c r="G17246" s="10" t="inlineStr">
        <is>
          <t>05-04-2026</t>
        </is>
      </c>
      <c r="H17246" s="10" t="inlineStr">
        <is>
          <t>05/04/2026</t>
        </is>
      </c>
      <c r="I17246" s="10" t="inlineStr">
        <is>
          <t>17/03/2026</t>
        </is>
      </c>
      <c r="J17246" s="10" t="inlineStr">
        <is>
          <t>Tiếp thị / Marketing, Truyền hình / Báo chí / Biên tập, Quảng cáo / Đối ngoại / Truyền Thông</t>
        </is>
      </c>
      <c r="K17246" s="10" t="inlineStr">
        <is>
          <t>3 - 8 Năm</t>
        </is>
      </c>
      <c r="L17246" s="11">
        <f>HYPERLINK("https://careerviet.vn/vi/tim-viec-lam/novadreams-chuyen-vien-cao-cap-dung-phim.35C676C6.html","Xem chi tiết")</f>
        <v/>
      </c>
      <c r="M17246" s="10" t="n"/>
    </row>
    <row r="17247">
      <c r="B17247" s="7" t="n">
        <v>17245</v>
      </c>
      <c r="C17247" t="inlineStr">
        <is>
          <t>Senior Business Analyst - E-commerce Website (Cosmetics Retail)</t>
        </is>
      </c>
      <c r="D17247" t="inlineStr">
        <is>
          <t>Công ty Cổ phần Mỹ phẩm Quốc tế Thùy Dung</t>
        </is>
      </c>
      <c r="E17247" t="inlineStr">
        <is>
          <t>Lương:30 Tr - 40 Tr VND</t>
        </is>
      </c>
      <c r="F17247" t="inlineStr">
        <is>
          <t>Hà Nội</t>
        </is>
      </c>
      <c r="G17247" t="inlineStr">
        <is>
          <t>05-04-2026</t>
        </is>
      </c>
      <c r="H17247" t="inlineStr">
        <is>
          <t>05/04/2026</t>
        </is>
      </c>
      <c r="I17247" t="inlineStr">
        <is>
          <t>17/03/2026</t>
        </is>
      </c>
      <c r="J17247" t="inlineStr">
        <is>
          <t>Bán lẻ / Bán sỉ, CNTT - Phần mềm, Tiếp thị trực tuyến</t>
        </is>
      </c>
      <c r="K17247" t="inlineStr">
        <is>
          <t>4 - 7 Năm</t>
        </is>
      </c>
      <c r="L17247" s="8">
        <f>HYPERLINK("https://careerviet.vn/vi/tim-viec-lam/senior-business-analyst-e-commerce-website-cosmetics-retail.35C649D3.html","Xem chi tiết")</f>
        <v/>
      </c>
    </row>
    <row r="17248">
      <c r="B17248" s="9" t="n">
        <v>17246</v>
      </c>
      <c r="C17248" s="10" t="inlineStr">
        <is>
          <t>Trưởng phòng Phát triển đối tác số (Digital Partnership Manager)</t>
        </is>
      </c>
      <c r="D17248" s="10" t="inlineStr">
        <is>
          <t>Tổng Công Ty Cổ Phần Bảo Hiểm Ngân Hàng TMCP Công Thương Việt Nam</t>
        </is>
      </c>
      <c r="E17248" s="10" t="inlineStr">
        <is>
          <t>Lương:Cạnh tranh</t>
        </is>
      </c>
      <c r="F17248" s="10" t="inlineStr">
        <is>
          <t>Hà Nội</t>
        </is>
      </c>
      <c r="G17248" s="10" t="inlineStr">
        <is>
          <t>05-04-2026</t>
        </is>
      </c>
      <c r="H17248" s="10" t="inlineStr">
        <is>
          <t>05/04/2026</t>
        </is>
      </c>
      <c r="I17248" s="10" t="inlineStr">
        <is>
          <t>17/03/2026</t>
        </is>
      </c>
      <c r="J17248" s="10" t="inlineStr">
        <is>
          <t>Bảo hiểm</t>
        </is>
      </c>
      <c r="K17248" s="10" t="inlineStr">
        <is>
          <t>5 - 7 Năm</t>
        </is>
      </c>
      <c r="L17248" s="11">
        <f>HYPERLINK("https://careerviet.vn/vi/tim-viec-lam/truong-phong-phat-trien-doi-tac-so-digital-partnership-manager.35C67920.html","Xem chi tiết")</f>
        <v/>
      </c>
      <c r="M17248" s="10" t="n"/>
    </row>
    <row r="17249">
      <c r="B17249" s="7" t="n">
        <v>17247</v>
      </c>
      <c r="C17249" t="inlineStr">
        <is>
          <t>[Lào Cai] - Chuyên Viên Tư Vấn Trả Góp Ô Tô</t>
        </is>
      </c>
      <c r="D17249" t="inlineStr">
        <is>
          <t>Công Ty Tài Chính Mirae Asset (Việt Nam)</t>
        </is>
      </c>
      <c r="E17249" t="inlineStr">
        <is>
          <t>Lương:17 Tr - 30 Tr VND</t>
        </is>
      </c>
      <c r="F17249" t="inlineStr">
        <is>
          <t>Lào CaiKV Bắc Trung Bộ</t>
        </is>
      </c>
      <c r="G17249" t="inlineStr">
        <is>
          <t>05-04-2026</t>
        </is>
      </c>
      <c r="H17249" t="inlineStr">
        <is>
          <t>05/04/2026</t>
        </is>
      </c>
      <c r="I17249" t="inlineStr">
        <is>
          <t>17/03/2026</t>
        </is>
      </c>
      <c r="J17249" t="inlineStr">
        <is>
          <t>Bán hàng / Kinh doanh, Bán lẻ / Bán sỉ, Tài chính / Đầu tư</t>
        </is>
      </c>
      <c r="K17249" t="inlineStr">
        <is>
          <t>1 - 3 Năm</t>
        </is>
      </c>
      <c r="L17249" s="8">
        <f>HYPERLINK("https://careerviet.vn/vi/tim-viec-lam/lao-cai-chuyen-vien-tu-van-tra-gop-o-to.35C64933.html","Xem chi tiết")</f>
        <v/>
      </c>
    </row>
    <row r="17250">
      <c r="B17250" s="9" t="n">
        <v>17248</v>
      </c>
      <c r="C17250" s="10" t="inlineStr">
        <is>
          <t>[Phenikaa Uni] Giảng Viên Tiếng Hàn Quốc</t>
        </is>
      </c>
      <c r="D17250" s="10" t="inlineStr">
        <is>
          <t>ĐẠI HỌC PHENIKAA</t>
        </is>
      </c>
      <c r="E17250" s="10" t="inlineStr">
        <is>
          <t>Lương:Cạnh tranh</t>
        </is>
      </c>
      <c r="F17250" s="10" t="inlineStr">
        <is>
          <t>Hà Nội</t>
        </is>
      </c>
      <c r="G17250" s="10" t="inlineStr">
        <is>
          <t>05-04-2026</t>
        </is>
      </c>
      <c r="H17250" s="10" t="inlineStr">
        <is>
          <t>05/04/2026</t>
        </is>
      </c>
      <c r="I17250" s="10" t="inlineStr">
        <is>
          <t>17/03/2026</t>
        </is>
      </c>
      <c r="J17250" s="10" t="inlineStr">
        <is>
          <t>Giáo dục / Đào tạo, Biên phiên dịch</t>
        </is>
      </c>
      <c r="K17250" s="10" t="inlineStr">
        <is>
          <t>1 - 2 Năm</t>
        </is>
      </c>
      <c r="L17250" s="11">
        <f>HYPERLINK("https://careerviet.vn/vi/tim-viec-lam/phenikaa-uni-giang-vien-tieng-han-quoc.35C67668.html","Xem chi tiết")</f>
        <v/>
      </c>
      <c r="M17250" s="10" t="n"/>
    </row>
    <row r="17251">
      <c r="B17251" s="7" t="n">
        <v>17249</v>
      </c>
      <c r="C17251" t="inlineStr">
        <is>
          <t>CHUYÊN VIÊN THIẾT KẾ</t>
        </is>
      </c>
      <c r="D17251" t="inlineStr">
        <is>
          <t>Công Ty Cổ Phần Tập Đoàn Bất Động Sản Thắng Lợi</t>
        </is>
      </c>
      <c r="E17251" t="inlineStr">
        <is>
          <t>Lương:Cạnh tranh</t>
        </is>
      </c>
      <c r="F17251" t="inlineStr">
        <is>
          <t>Hồ Chí Minh</t>
        </is>
      </c>
      <c r="G17251" t="inlineStr">
        <is>
          <t>05-04-2026</t>
        </is>
      </c>
      <c r="H17251" t="inlineStr">
        <is>
          <t>05/04/2026</t>
        </is>
      </c>
      <c r="I17251" t="inlineStr">
        <is>
          <t>17/03/2026</t>
        </is>
      </c>
      <c r="J17251" t="inlineStr">
        <is>
          <t>Bất động sản, Mỹ thuật / Nghệ thuật / Thiết kế, Tiếp thị trực tuyến</t>
        </is>
      </c>
      <c r="K17251" t="inlineStr">
        <is>
          <t>3 - 5 Năm</t>
        </is>
      </c>
      <c r="L17251" s="8">
        <f>HYPERLINK("https://careerviet.vn/vi/tim-viec-lam/chuyen-vien-thiet-ke.35C64876.html","Xem chi tiết")</f>
        <v/>
      </c>
    </row>
    <row r="17252">
      <c r="B17252" s="9" t="n">
        <v>17250</v>
      </c>
      <c r="C17252" s="10" t="inlineStr">
        <is>
          <t>KỸ THUẬT VIÊN BẢO TRÌ (ĐIỆN)</t>
        </is>
      </c>
      <c r="D17252" s="10" t="inlineStr">
        <is>
          <t>De Heus LLC</t>
        </is>
      </c>
      <c r="E17252" s="10" t="inlineStr">
        <is>
          <t>Lương:9 Tr - 11 Tr VND</t>
        </is>
      </c>
      <c r="F17252" s="10" t="inlineStr">
        <is>
          <t>Đồng Nai</t>
        </is>
      </c>
      <c r="G17252" s="10" t="inlineStr">
        <is>
          <t>05-04-2026</t>
        </is>
      </c>
      <c r="H17252" s="10" t="inlineStr">
        <is>
          <t>05/04/2026</t>
        </is>
      </c>
      <c r="I17252" s="10" t="inlineStr">
        <is>
          <t>17/03/2026</t>
        </is>
      </c>
      <c r="J17252" s="10" t="inlineStr">
        <is>
          <t>Cơ khí / Ô tô / Tự động hóa, Điện / Điện tử / Điện lạnh / Điện công nghiệp, Bảo trì / Sửa chữa</t>
        </is>
      </c>
      <c r="K17252" s="10" t="inlineStr">
        <is>
          <t>Chưa có kinh nghiệm</t>
        </is>
      </c>
      <c r="L17252" s="11">
        <f>HYPERLINK("https://careerviet.vn/vi/tim-viec-lam/ky-thuat-vien-bao-tri-dien.35C6493F.html","Xem chi tiết")</f>
        <v/>
      </c>
      <c r="M17252" s="10" t="n"/>
    </row>
    <row r="17253">
      <c r="B17253" s="7" t="n">
        <v>17251</v>
      </c>
      <c r="C17253" t="inlineStr">
        <is>
          <t>Human Resource Director</t>
        </is>
      </c>
      <c r="D17253" t="inlineStr">
        <is>
          <t>Openasia Group</t>
        </is>
      </c>
      <c r="E17253" t="inlineStr">
        <is>
          <t>Lương:Cạnh tranh</t>
        </is>
      </c>
      <c r="F17253" t="inlineStr">
        <is>
          <t>Hà Nội</t>
        </is>
      </c>
      <c r="G17253" t="inlineStr">
        <is>
          <t>05-04-2026</t>
        </is>
      </c>
      <c r="H17253" t="inlineStr">
        <is>
          <t>05/04/2026</t>
        </is>
      </c>
      <c r="I17253" t="inlineStr">
        <is>
          <t>17/03/2026</t>
        </is>
      </c>
      <c r="J17253" t="inlineStr">
        <is>
          <t>Quản lý điều hành, Nhân sự</t>
        </is>
      </c>
      <c r="K17253" t="inlineStr">
        <is>
          <t>12 - 20 Năm</t>
        </is>
      </c>
      <c r="L17253" s="8">
        <f>HYPERLINK("https://careerviet.vn/vi/tim-viec-lam/human-resource-director.35C6793E.html","Xem chi tiết")</f>
        <v/>
      </c>
    </row>
    <row r="17254">
      <c r="B17254" s="9" t="n">
        <v>17252</v>
      </c>
      <c r="C17254" s="10" t="inlineStr">
        <is>
          <t>Chuyên viên cao cấp Quản lý Chính sách và Quy trình</t>
        </is>
      </c>
      <c r="D17254" s="10" t="inlineStr">
        <is>
          <t>Công Ty Cổ Phần Tập Đoàn Đầu Tư Địa Ốc No Va</t>
        </is>
      </c>
      <c r="E17254" s="10" t="inlineStr">
        <is>
          <t>Lương:Cạnh tranh</t>
        </is>
      </c>
      <c r="F17254" s="10" t="inlineStr">
        <is>
          <t>Hồ Chí Minh</t>
        </is>
      </c>
      <c r="G17254" s="10" t="inlineStr">
        <is>
          <t>05-04-2026</t>
        </is>
      </c>
      <c r="H17254" s="10" t="inlineStr">
        <is>
          <t>05/04/2026</t>
        </is>
      </c>
      <c r="I17254" s="10" t="inlineStr">
        <is>
          <t>17/03/2026</t>
        </is>
      </c>
      <c r="J17254" s="10" t="inlineStr">
        <is>
          <t>Quản lý điều hành</t>
        </is>
      </c>
      <c r="K17254" s="10" t="inlineStr">
        <is>
          <t>3 - 5 Năm</t>
        </is>
      </c>
      <c r="L17254" s="11">
        <f>HYPERLINK("https://careerviet.vn/vi/tim-viec-lam/chuyen-vien-cao-cap-quan-ly-chinh-sach-va-quy-trinh.35C676B7.html","Xem chi tiết")</f>
        <v/>
      </c>
      <c r="M17254" s="10" t="n"/>
    </row>
    <row r="17255">
      <c r="B17255" s="7" t="n">
        <v>17253</v>
      </c>
      <c r="C17255" t="inlineStr">
        <is>
          <t>Nhân Viên Kinh Doanh - Khu vực Đà Nẵng</t>
        </is>
      </c>
      <c r="D17255" t="inlineStr">
        <is>
          <t>Tổng Công Ty Chuyển Phát Nhanh Bưu Điện</t>
        </is>
      </c>
      <c r="E17255" t="inlineStr">
        <is>
          <t>Lương:Cạnh tranh</t>
        </is>
      </c>
      <c r="F17255" t="inlineStr">
        <is>
          <t>Đà Nẵng</t>
        </is>
      </c>
      <c r="G17255" t="inlineStr">
        <is>
          <t>05-04-2026</t>
        </is>
      </c>
      <c r="H17255" t="inlineStr">
        <is>
          <t>05/04/2026</t>
        </is>
      </c>
      <c r="I17255" t="inlineStr">
        <is>
          <t>17/03/2026</t>
        </is>
      </c>
      <c r="J17255" t="inlineStr">
        <is>
          <t>Bán hàng / Kinh doanh, Tiếp thị / Marketing, Xuất nhập khẩu</t>
        </is>
      </c>
      <c r="K17255" t="inlineStr">
        <is>
          <t>N/A</t>
        </is>
      </c>
      <c r="L17255" s="8">
        <f>HYPERLINK("https://careerviet.vn/vi/tim-viec-lam/nhan-vien-kinh-doanh-khu-vuc-da-nang.35C648D9.html","Xem chi tiết")</f>
        <v/>
      </c>
    </row>
    <row r="17256">
      <c r="B17256" s="9" t="n">
        <v>17254</v>
      </c>
      <c r="C17256" s="10" t="inlineStr">
        <is>
          <t>LAO ĐỘNG PHỔ THÔNG</t>
        </is>
      </c>
      <c r="D17256" s="10" t="inlineStr">
        <is>
          <t>CÔNG TY TNHH POUYUEN VIỆT NAM</t>
        </is>
      </c>
      <c r="E17256" s="10" t="inlineStr">
        <is>
          <t>Lương:Cạnh tranh</t>
        </is>
      </c>
      <c r="F17256" s="10" t="inlineStr">
        <is>
          <t>Hồ Chí Minh</t>
        </is>
      </c>
      <c r="G17256" s="10" t="inlineStr">
        <is>
          <t>05-04-2026</t>
        </is>
      </c>
      <c r="H17256" s="10" t="inlineStr">
        <is>
          <t>05/04/2026</t>
        </is>
      </c>
      <c r="I17256" s="10" t="inlineStr">
        <is>
          <t>17/03/2026</t>
        </is>
      </c>
      <c r="J17256" s="10" t="inlineStr">
        <is>
          <t>Lao động phổ thông, Cơ khí / Ô tô / Tự động hóa</t>
        </is>
      </c>
      <c r="K17256" s="10" t="inlineStr">
        <is>
          <t>N/A</t>
        </is>
      </c>
      <c r="L17256" s="11">
        <f>HYPERLINK("https://careerviet.vn/vi/tim-viec-lam/lao-dong-pho-thong.35C6786B.html","Xem chi tiết")</f>
        <v/>
      </c>
      <c r="M17256" s="10" t="n"/>
    </row>
    <row r="17257">
      <c r="B17257" s="7" t="n">
        <v>17255</v>
      </c>
      <c r="C17257" t="inlineStr">
        <is>
          <t>[PHENIKAA UNI] Giảng viên ngành Phân tích dữ liệu - Khoa công nghệ số liên ngành</t>
        </is>
      </c>
      <c r="D17257" t="inlineStr">
        <is>
          <t>ĐẠI HỌC PHENIKAA</t>
        </is>
      </c>
      <c r="E17257" t="inlineStr">
        <is>
          <t>Lương:Cạnh tranh</t>
        </is>
      </c>
      <c r="F17257" t="inlineStr">
        <is>
          <t>Hà Nội</t>
        </is>
      </c>
      <c r="G17257" t="inlineStr">
        <is>
          <t>05-04-2026</t>
        </is>
      </c>
      <c r="H17257" t="inlineStr">
        <is>
          <t>05/04/2026</t>
        </is>
      </c>
      <c r="I17257" t="inlineStr">
        <is>
          <t>17/03/2026</t>
        </is>
      </c>
      <c r="J17257" t="inlineStr">
        <is>
          <t>Giáo dục / Đào tạo, Tài chính / Đầu tư, Tiếp thị / Marketing</t>
        </is>
      </c>
      <c r="K17257" t="inlineStr">
        <is>
          <t>1 - 2 Năm</t>
        </is>
      </c>
      <c r="L17257" s="8">
        <f>HYPERLINK("https://careerviet.vn/vi/tim-viec-lam/phenikaa-uni-giang-vien-nganh-phan-tich-du-lieu-khoa-cong-nghe-so-lien-nganh.35C67738.html","Xem chi tiết")</f>
        <v/>
      </c>
    </row>
    <row r="17258">
      <c r="B17258" s="9" t="n">
        <v>17256</v>
      </c>
      <c r="C17258" s="10" t="inlineStr">
        <is>
          <t>Chuyên gia Quản lý Chính sách và Quy trình</t>
        </is>
      </c>
      <c r="D17258" s="10" t="inlineStr">
        <is>
          <t>Công Ty Cổ Phần Tập Đoàn Đầu Tư Địa Ốc No Va</t>
        </is>
      </c>
      <c r="E17258" s="10" t="inlineStr">
        <is>
          <t>Lương:Cạnh tranh</t>
        </is>
      </c>
      <c r="F17258" s="10" t="inlineStr">
        <is>
          <t>Hồ Chí Minh</t>
        </is>
      </c>
      <c r="G17258" s="10" t="inlineStr">
        <is>
          <t>05-04-2026</t>
        </is>
      </c>
      <c r="H17258" s="10" t="inlineStr">
        <is>
          <t>05/04/2026</t>
        </is>
      </c>
      <c r="I17258" s="10" t="inlineStr">
        <is>
          <t>17/03/2026</t>
        </is>
      </c>
      <c r="J17258" s="10" t="inlineStr">
        <is>
          <t>Bất động sản</t>
        </is>
      </c>
      <c r="K17258" s="10" t="inlineStr">
        <is>
          <t>10 - 12 Năm</t>
        </is>
      </c>
      <c r="L17258" s="11">
        <f>HYPERLINK("https://careerviet.vn/vi/tim-viec-lam/chuyen-gia-quan-ly-chinh-sach-va-quy-trinh.35C678EC.html","Xem chi tiết")</f>
        <v/>
      </c>
      <c r="M17258" s="10" t="n"/>
    </row>
    <row r="17259">
      <c r="B17259" s="7" t="n">
        <v>17257</v>
      </c>
      <c r="C17259" t="inlineStr">
        <is>
          <t>Chuyên viên tuyển dụng (Tuyển Mass)</t>
        </is>
      </c>
      <c r="D17259" t="inlineStr">
        <is>
          <t>Công ty TNHH Sản xuất Thương mại &amp; Dịch vụ Hoa Xinh</t>
        </is>
      </c>
      <c r="E17259" t="inlineStr">
        <is>
          <t>Lương:10 Tr - 15 Tr VND</t>
        </is>
      </c>
      <c r="F17259" t="inlineStr">
        <is>
          <t>Hồ Chí Minh</t>
        </is>
      </c>
      <c r="G17259" t="inlineStr">
        <is>
          <t>05-04-2026</t>
        </is>
      </c>
      <c r="H17259" t="inlineStr">
        <is>
          <t>05/04/2026</t>
        </is>
      </c>
      <c r="I17259" t="inlineStr">
        <is>
          <t>17/03/2026</t>
        </is>
      </c>
      <c r="J17259" t="inlineStr">
        <is>
          <t>Tư vấn, Hành chính / Thư ký, Nhân sự</t>
        </is>
      </c>
      <c r="K17259" t="inlineStr">
        <is>
          <t>1 - 3 Năm</t>
        </is>
      </c>
      <c r="L17259" s="8">
        <f>HYPERLINK("https://careerviet.vn/vi/tim-viec-lam/chuyen-vien-tuyen-dung-tuyen-mass.35C677EA.html","Xem chi tiết")</f>
        <v/>
      </c>
    </row>
    <row r="17260">
      <c r="B17260" s="9" t="n">
        <v>17258</v>
      </c>
      <c r="C17260" s="10" t="inlineStr">
        <is>
          <t>[Hà Nội] Chuyên viên cao cấp Hành chính quản trị (phụ trách công tác Đảng, Đoàn)</t>
        </is>
      </c>
      <c r="D17260" s="10" t="inlineStr">
        <is>
          <t>Ngân hàng TMCP Lộc Phát Việt Nam (LPBank)</t>
        </is>
      </c>
      <c r="E17260" s="10" t="inlineStr">
        <is>
          <t>Lương:Cạnh tranh</t>
        </is>
      </c>
      <c r="F17260" s="10" t="inlineStr">
        <is>
          <t>Hà Nội</t>
        </is>
      </c>
      <c r="G17260" s="10" t="inlineStr">
        <is>
          <t>05-04-2026</t>
        </is>
      </c>
      <c r="H17260" s="10" t="inlineStr">
        <is>
          <t>05/04/2026</t>
        </is>
      </c>
      <c r="I17260" s="10" t="inlineStr">
        <is>
          <t>17/03/2026</t>
        </is>
      </c>
      <c r="J17260" s="10" t="inlineStr">
        <is>
          <t>CNTT - Phần mềm, Hành chính / Thư ký, Luật / Pháp lý</t>
        </is>
      </c>
      <c r="K17260" s="10" t="inlineStr">
        <is>
          <t>Trên 3 Năm</t>
        </is>
      </c>
      <c r="L17260" s="11">
        <f>HYPERLINK("https://careerviet.vn/vi/tim-viec-lam/ha-noi-chuyen-vien-cao-cap-hanh-chinh-quan-tri-phu-trach-cong-tac-dang-doan.35C67808.html","Xem chi tiết")</f>
        <v/>
      </c>
      <c r="M17260" s="10" t="n"/>
    </row>
    <row r="17261">
      <c r="B17261" s="7" t="n">
        <v>17259</v>
      </c>
      <c r="C17261" t="inlineStr">
        <is>
          <t>Hiệu trưởng Mầm Non</t>
        </is>
      </c>
      <c r="D17261" t="inlineStr">
        <is>
          <t>TRƯỜNG QUỐC TẾ BLUE RIDGE / BLUE RIDGE INTERNATIONAL SCHOOL (BRIS)</t>
        </is>
      </c>
      <c r="E17261" t="inlineStr">
        <is>
          <t>Lương:Cạnh tranh</t>
        </is>
      </c>
      <c r="F17261" t="inlineStr">
        <is>
          <t>Hồ Chí Minh</t>
        </is>
      </c>
      <c r="G17261" t="inlineStr">
        <is>
          <t>05-04-2026</t>
        </is>
      </c>
      <c r="H17261" t="inlineStr">
        <is>
          <t>05/04/2026</t>
        </is>
      </c>
      <c r="I17261" t="inlineStr">
        <is>
          <t>17/03/2026</t>
        </is>
      </c>
      <c r="J17261" t="inlineStr">
        <is>
          <t>Giáo dục / Đào tạo, Quản lý điều hành</t>
        </is>
      </c>
      <c r="K17261" t="inlineStr">
        <is>
          <t>2 - 4 Năm</t>
        </is>
      </c>
      <c r="L17261" s="8">
        <f>HYPERLINK("https://careerviet.vn/vi/tim-viec-lam/hieu-truong-mam-non.35C6772B.html","Xem chi tiết")</f>
        <v/>
      </c>
    </row>
    <row r="17262">
      <c r="B17262" s="9" t="n">
        <v>17260</v>
      </c>
      <c r="C17262" s="10" t="inlineStr">
        <is>
          <t>Sales Director</t>
        </is>
      </c>
      <c r="D17262" s="10" t="inlineStr">
        <is>
          <t>HR Vietnam’s ESS Client</t>
        </is>
      </c>
      <c r="E17262" s="10" t="inlineStr">
        <is>
          <t>Lương:Cạnh tranh</t>
        </is>
      </c>
      <c r="F17262" s="10" t="inlineStr">
        <is>
          <t>Hà Nội</t>
        </is>
      </c>
      <c r="G17262" s="10" t="inlineStr">
        <is>
          <t>05-04-2026</t>
        </is>
      </c>
      <c r="H17262" s="10" t="inlineStr">
        <is>
          <t>05/04/2026</t>
        </is>
      </c>
      <c r="I17262" s="10" t="inlineStr">
        <is>
          <t>17/03/2026</t>
        </is>
      </c>
      <c r="J17262" s="10" t="inlineStr">
        <is>
          <t>Cơ khí / Ô tô / Tự động hóa, Sản xuất / Vận hành sản xuất, Bán hàng / Kinh doanh</t>
        </is>
      </c>
      <c r="K17262" s="10" t="inlineStr">
        <is>
          <t>Trên 8 Năm</t>
        </is>
      </c>
      <c r="L17262" s="11">
        <f>HYPERLINK("https://careerviet.vn/vi/tim-viec-lam/sales-director.35C649DB.html","Xem chi tiết")</f>
        <v/>
      </c>
      <c r="M17262" s="10" t="n"/>
    </row>
    <row r="17263">
      <c r="B17263" s="7" t="n">
        <v>17261</v>
      </c>
      <c r="C17263" t="inlineStr">
        <is>
          <t>[Hà Nội] Đội Trưởng KAM (Đàm Phán Buyer hệ thống Siêu Thị)</t>
        </is>
      </c>
      <c r="D17263" t="inlineStr">
        <is>
          <t>CÔNG TY TNHH DAESANG VIỆT NAM</t>
        </is>
      </c>
      <c r="E17263" t="inlineStr">
        <is>
          <t>Lương:15 Tr - 20 Tr VND</t>
        </is>
      </c>
      <c r="F17263" t="inlineStr">
        <is>
          <t>Hà Nội</t>
        </is>
      </c>
      <c r="G17263" t="inlineStr">
        <is>
          <t>05-04-2026</t>
        </is>
      </c>
      <c r="H17263" t="inlineStr">
        <is>
          <t>05/04/2026</t>
        </is>
      </c>
      <c r="I17263" t="inlineStr">
        <is>
          <t>17/03/2026</t>
        </is>
      </c>
      <c r="J17263" t="inlineStr">
        <is>
          <t>Tiếp thị / Marketing, Bán hàng / Kinh doanh, Thực phẩm &amp; Đồ uống</t>
        </is>
      </c>
      <c r="K17263" t="inlineStr">
        <is>
          <t>25 - 40 Năm</t>
        </is>
      </c>
      <c r="L17263" s="8">
        <f>HYPERLINK("https://careerviet.vn/vi/tim-viec-lam/ha-noi-doi-truong-kam-dam-phan-buyer-he-thong-sieu-thi.35C67927.html","Xem chi tiết")</f>
        <v/>
      </c>
    </row>
    <row r="17264">
      <c r="B17264" s="9" t="n">
        <v>17262</v>
      </c>
      <c r="C17264" s="10" t="inlineStr">
        <is>
          <t>Hiệu Trưởng Trường Mầm Non</t>
        </is>
      </c>
      <c r="D17264" s="10" t="inlineStr">
        <is>
          <t>TỔNG CÔNG TY CỔ PHẦN THƯƠNG MẠI XÂY DỰNG</t>
        </is>
      </c>
      <c r="E17264" s="10" t="inlineStr">
        <is>
          <t>Lương:Cạnh tranh</t>
        </is>
      </c>
      <c r="F17264" s="10" t="inlineStr">
        <is>
          <t>Hà Nội</t>
        </is>
      </c>
      <c r="G17264" s="10" t="inlineStr">
        <is>
          <t>05-04-2026</t>
        </is>
      </c>
      <c r="H17264" s="10" t="inlineStr">
        <is>
          <t>05/04/2026</t>
        </is>
      </c>
      <c r="I17264" s="10" t="inlineStr">
        <is>
          <t>17/03/2026</t>
        </is>
      </c>
      <c r="J17264" s="10" t="inlineStr">
        <is>
          <t>Giáo dục / Đào tạo, Quản lý điều hành, Ngành khác</t>
        </is>
      </c>
      <c r="K17264" s="10" t="inlineStr">
        <is>
          <t>Trên 3 Năm</t>
        </is>
      </c>
      <c r="L17264" s="11">
        <f>HYPERLINK("https://careerviet.vn/vi/tim-viec-lam/hieu-truong-truong-mam-non.35C676DC.html","Xem chi tiết")</f>
        <v/>
      </c>
      <c r="M17264" s="10" t="n"/>
    </row>
    <row r="17265">
      <c r="B17265" s="7" t="n">
        <v>17263</v>
      </c>
      <c r="C17265" t="inlineStr">
        <is>
          <t>Kỹ Sư Công Nghệ Vật Liệu</t>
        </is>
      </c>
      <c r="D17265" t="inlineStr">
        <is>
          <t>Tập Đoàn Kim Tín</t>
        </is>
      </c>
      <c r="E17265" t="inlineStr">
        <is>
          <t>Lương:Cạnh tranh</t>
        </is>
      </c>
      <c r="F17265" t="inlineStr">
        <is>
          <t>Bình Phước</t>
        </is>
      </c>
      <c r="G17265" t="inlineStr">
        <is>
          <t>05-04-2026</t>
        </is>
      </c>
      <c r="H17265" t="inlineStr">
        <is>
          <t>05/04/2026</t>
        </is>
      </c>
      <c r="I17265" t="inlineStr">
        <is>
          <t>17/03/2026</t>
        </is>
      </c>
      <c r="J17265" t="inlineStr">
        <is>
          <t>Hóa học, Nội ngoại thất, Sản xuất / Vận hành sản xuất</t>
        </is>
      </c>
      <c r="K17265" t="inlineStr">
        <is>
          <t>Trên 1 Năm</t>
        </is>
      </c>
      <c r="L17265" s="8">
        <f>HYPERLINK("https://careerviet.vn/vi/tim-viec-lam/ky-su-cong-nghe-vat-lieu.35C6784E.html","Xem chi tiết")</f>
        <v/>
      </c>
    </row>
    <row r="17266">
      <c r="B17266" s="9" t="n">
        <v>17264</v>
      </c>
      <c r="C17266" s="10" t="inlineStr">
        <is>
          <t>Chuyên viên Báo cáo quản trị</t>
        </is>
      </c>
      <c r="D17266" s="10" t="inlineStr">
        <is>
          <t>BVBank - Ngân hàng Bản Việt</t>
        </is>
      </c>
      <c r="E17266" s="10" t="inlineStr">
        <is>
          <t>Lương:Cạnh tranh</t>
        </is>
      </c>
      <c r="F17266" s="10" t="inlineStr">
        <is>
          <t>Hồ Chí Minh</t>
        </is>
      </c>
      <c r="G17266" s="10" t="inlineStr">
        <is>
          <t>05-04-2026</t>
        </is>
      </c>
      <c r="H17266" s="10" t="inlineStr">
        <is>
          <t>05/04/2026</t>
        </is>
      </c>
      <c r="I17266" s="10" t="inlineStr">
        <is>
          <t>17/03/2026</t>
        </is>
      </c>
      <c r="J17266" s="10" t="inlineStr">
        <is>
          <t>Ngân hàng, Tài chính / Đầu tư, Bán hàng / Kinh doanh</t>
        </is>
      </c>
      <c r="K17266" s="10" t="inlineStr">
        <is>
          <t>2 - 3 Năm</t>
        </is>
      </c>
      <c r="L17266" s="11">
        <f>HYPERLINK("https://careerviet.vn/vi/tim-viec-lam/chuyen-vien-bao-cao-quan-tri.35C676CE.html","Xem chi tiết")</f>
        <v/>
      </c>
      <c r="M17266" s="10" t="n"/>
    </row>
    <row r="17267">
      <c r="B17267" s="7" t="n">
        <v>17265</v>
      </c>
      <c r="C17267" t="inlineStr">
        <is>
          <t>[Hà Nội] Giám Sát Cho Vay Thế Chấp Ô Tô</t>
        </is>
      </c>
      <c r="D17267" t="inlineStr">
        <is>
          <t>Công Ty Tài Chính Mirae Asset (Việt Nam)</t>
        </is>
      </c>
      <c r="E17267" t="inlineStr">
        <is>
          <t>Lương:Cạnh tranh</t>
        </is>
      </c>
      <c r="F17267" t="inlineStr">
        <is>
          <t>Hà NộiKV Bắc Trung Bộ</t>
        </is>
      </c>
      <c r="G17267" t="inlineStr">
        <is>
          <t>05-04-2026</t>
        </is>
      </c>
      <c r="H17267" t="inlineStr">
        <is>
          <t>05/04/2026</t>
        </is>
      </c>
      <c r="I17267" t="inlineStr">
        <is>
          <t>17/03/2026</t>
        </is>
      </c>
      <c r="J17267" t="inlineStr">
        <is>
          <t>Bảo hiểm, Bất động sản, Bán hàng / Kinh doanh</t>
        </is>
      </c>
      <c r="K17267" t="inlineStr">
        <is>
          <t>1 - 2 Năm</t>
        </is>
      </c>
      <c r="L17267" s="8">
        <f>HYPERLINK("https://careerviet.vn/vi/tim-viec-lam/ha-noi-giam-sat-cho-vay-the-chap-o-to.35C6497D.html","Xem chi tiết")</f>
        <v/>
      </c>
    </row>
    <row r="17268">
      <c r="B17268" s="9" t="n">
        <v>17266</v>
      </c>
      <c r="C17268" s="10" t="inlineStr">
        <is>
          <t>Thư Ký Đối Ngoại</t>
        </is>
      </c>
      <c r="D17268" s="10" t="inlineStr">
        <is>
          <t>Công Ty Cổ Phần Tập Đoàn Đầu Tư Địa Ốc No Va</t>
        </is>
      </c>
      <c r="E17268" s="10" t="inlineStr">
        <is>
          <t>Lương:25 Tr - 30 Tr VND</t>
        </is>
      </c>
      <c r="F17268" s="10" t="inlineStr">
        <is>
          <t>Hồ Chí Minh</t>
        </is>
      </c>
      <c r="G17268" s="10" t="inlineStr">
        <is>
          <t>05-04-2026</t>
        </is>
      </c>
      <c r="H17268" s="10" t="inlineStr">
        <is>
          <t>05/04/2026</t>
        </is>
      </c>
      <c r="I17268" s="10" t="inlineStr">
        <is>
          <t>17/03/2026</t>
        </is>
      </c>
      <c r="J17268" s="10" t="inlineStr">
        <is>
          <t>Hành chính / Thư ký, Quảng cáo / Đối ngoại / Truyền Thông, Bất động sản</t>
        </is>
      </c>
      <c r="K17268" s="10" t="inlineStr">
        <is>
          <t>2 - 5 Năm</t>
        </is>
      </c>
      <c r="L17268" s="11">
        <f>HYPERLINK("https://careerviet.vn/vi/tim-viec-lam/thu-ky-doi-ngoai.35C678F8.html","Xem chi tiết")</f>
        <v/>
      </c>
      <c r="M17268" s="10" t="n"/>
    </row>
    <row r="17269">
      <c r="B17269" s="7" t="n">
        <v>17267</v>
      </c>
      <c r="C17269" t="inlineStr">
        <is>
          <t>Nhân viên Hành chính nhân sự</t>
        </is>
      </c>
      <c r="D17269" t="inlineStr">
        <is>
          <t>Công ty Cổ phần Đầu tư Nhật Huy (Nhat Huy Group)</t>
        </is>
      </c>
      <c r="E17269" t="inlineStr">
        <is>
          <t>Lương:9 Tr - 12 Tr VND</t>
        </is>
      </c>
      <c r="F17269" t="inlineStr">
        <is>
          <t>Phú Thọ</t>
        </is>
      </c>
      <c r="G17269" t="inlineStr">
        <is>
          <t>05-04-2026</t>
        </is>
      </c>
      <c r="H17269" t="inlineStr">
        <is>
          <t>05/04/2026</t>
        </is>
      </c>
      <c r="I17269" t="inlineStr">
        <is>
          <t>17/03/2026</t>
        </is>
      </c>
      <c r="J17269" t="inlineStr">
        <is>
          <t>Hành chính / Thư ký, Quản lý điều hành, Nhân sự</t>
        </is>
      </c>
      <c r="K17269" t="inlineStr">
        <is>
          <t>2 - 3 Năm</t>
        </is>
      </c>
      <c r="L17269" s="8">
        <f>HYPERLINK("https://careerviet.vn/vi/tim-viec-lam/nhan-vien-hanh-chinh-nhan-su.35C649A8.html","Xem chi tiết")</f>
        <v/>
      </c>
    </row>
    <row r="17270">
      <c r="B17270" s="9" t="n">
        <v>17268</v>
      </c>
      <c r="C17270" s="10" t="inlineStr">
        <is>
          <t>Chuyên viên Nghiên cứu &amp; Phát triển chương trình THCS</t>
        </is>
      </c>
      <c r="D17270" s="10" t="inlineStr">
        <is>
          <t>TRƯỜNG QUỐC TẾ BLUE RIDGE / BLUE RIDGE INTERNATIONAL SCHOOL (BRIS)</t>
        </is>
      </c>
      <c r="E17270" s="10" t="inlineStr">
        <is>
          <t>Lương:Cạnh tranh</t>
        </is>
      </c>
      <c r="F17270" s="10" t="inlineStr">
        <is>
          <t>Hồ Chí Minh</t>
        </is>
      </c>
      <c r="G17270" s="10" t="inlineStr">
        <is>
          <t>05-04-2026</t>
        </is>
      </c>
      <c r="H17270" s="10" t="inlineStr">
        <is>
          <t>05/04/2026</t>
        </is>
      </c>
      <c r="I17270" s="10" t="inlineStr">
        <is>
          <t>17/03/2026</t>
        </is>
      </c>
      <c r="J17270" s="10" t="inlineStr">
        <is>
          <t>Giáo dục / Đào tạo</t>
        </is>
      </c>
      <c r="K17270" s="10" t="inlineStr">
        <is>
          <t>2 - 3 Năm</t>
        </is>
      </c>
      <c r="L17270" s="11">
        <f>HYPERLINK("https://careerviet.vn/vi/tim-viec-lam/chuyen-vien-nghien-cuu-phat-trien-chuong-trinh-thcs.35C67728.html","Xem chi tiết")</f>
        <v/>
      </c>
      <c r="M17270" s="10" t="n"/>
    </row>
    <row r="17271">
      <c r="B17271" s="7" t="n">
        <v>17269</v>
      </c>
      <c r="C17271" t="inlineStr">
        <is>
          <t>Nhân viên kho - Không yêu cầu bằng cấp</t>
        </is>
      </c>
      <c r="D17271" t="inlineStr">
        <is>
          <t>Công Ty TNHH Phúc Giang</t>
        </is>
      </c>
      <c r="E17271" t="inlineStr">
        <is>
          <t>Lương:8,4 Tr - 9 Tr VND</t>
        </is>
      </c>
      <c r="F17271" t="inlineStr">
        <is>
          <t>Hồ Chí Minh</t>
        </is>
      </c>
      <c r="G17271" t="inlineStr">
        <is>
          <t>05-04-2026</t>
        </is>
      </c>
      <c r="H17271" t="inlineStr">
        <is>
          <t>05/04/2026</t>
        </is>
      </c>
      <c r="I17271" t="inlineStr">
        <is>
          <t>17/03/2026</t>
        </is>
      </c>
      <c r="J17271" t="inlineStr">
        <is>
          <t>Vận chuyển / Giao nhận / Kho vận, Lao động phổ thông</t>
        </is>
      </c>
      <c r="K17271" t="inlineStr">
        <is>
          <t>Chưa có kinh nghiệm</t>
        </is>
      </c>
      <c r="L17271" s="8">
        <f>HYPERLINK("https://careerviet.vn/vi/tim-viec-lam/nhan-vien-kho-khong-yeu-cau-bang-cap.35C64915.html","Xem chi tiết")</f>
        <v/>
      </c>
    </row>
    <row r="17272">
      <c r="B17272" s="9" t="n">
        <v>17270</v>
      </c>
      <c r="C17272" s="10" t="inlineStr">
        <is>
          <t>Kỹ Sư Cơ Điện</t>
        </is>
      </c>
      <c r="D17272" s="10" t="inlineStr">
        <is>
          <t>Tập Đoàn Kim Tín</t>
        </is>
      </c>
      <c r="E17272" s="10" t="inlineStr">
        <is>
          <t>Lương:Cạnh tranh</t>
        </is>
      </c>
      <c r="F17272" s="10" t="inlineStr">
        <is>
          <t>Bình Phước</t>
        </is>
      </c>
      <c r="G17272" s="10" t="inlineStr">
        <is>
          <t>05-04-2026</t>
        </is>
      </c>
      <c r="H17272" s="10" t="inlineStr">
        <is>
          <t>05/04/2026</t>
        </is>
      </c>
      <c r="I17272" s="10" t="inlineStr">
        <is>
          <t>17/03/2026</t>
        </is>
      </c>
      <c r="J17272" s="10" t="inlineStr">
        <is>
          <t>Cơ khí / Ô tô / Tự động hóa, Nội ngoại thất, Sản xuất / Vận hành sản xuất</t>
        </is>
      </c>
      <c r="K17272" s="10" t="inlineStr">
        <is>
          <t>1 Năm</t>
        </is>
      </c>
      <c r="L17272" s="11">
        <f>HYPERLINK("https://careerviet.vn/vi/tim-viec-lam/ky-su-co-dien.35C67860.html","Xem chi tiết")</f>
        <v/>
      </c>
      <c r="M17272" s="10" t="n"/>
    </row>
    <row r="17273">
      <c r="B17273" s="7" t="n">
        <v>17271</v>
      </c>
      <c r="C17273" t="inlineStr">
        <is>
          <t>Sales Manager</t>
        </is>
      </c>
      <c r="D17273" t="inlineStr">
        <is>
          <t>HR Vietnam’s ESS Client</t>
        </is>
      </c>
      <c r="E17273" t="inlineStr">
        <is>
          <t>Lương:Cạnh tranh</t>
        </is>
      </c>
      <c r="F17273" t="inlineStr">
        <is>
          <t>Hà Nội</t>
        </is>
      </c>
      <c r="G17273" t="inlineStr">
        <is>
          <t>05-04-2026</t>
        </is>
      </c>
      <c r="H17273" t="inlineStr">
        <is>
          <t>05/04/2026</t>
        </is>
      </c>
      <c r="I17273" t="inlineStr">
        <is>
          <t>17/03/2026</t>
        </is>
      </c>
      <c r="J17273" t="inlineStr">
        <is>
          <t>Điện / Điện tử / Điện lạnh / Điện công nghiệp, Cơ khí / Ô tô / Tự động hóa, Sản xuất / Vận hành sản xuất</t>
        </is>
      </c>
      <c r="K17273" t="inlineStr">
        <is>
          <t>Trên 5 Năm</t>
        </is>
      </c>
      <c r="L17273" s="8">
        <f>HYPERLINK("https://careerviet.vn/vi/tim-viec-lam/sales-manager.35C67865.html","Xem chi tiết")</f>
        <v/>
      </c>
    </row>
    <row r="17274">
      <c r="B17274" s="9" t="n">
        <v>17272</v>
      </c>
      <c r="C17274" s="10" t="inlineStr">
        <is>
          <t>Chuyên viên giám sát dịch vụ tòa nhà</t>
        </is>
      </c>
      <c r="D17274" s="10" t="inlineStr">
        <is>
          <t>TỔNG CÔNG TY CỔ PHẦN THƯƠNG MẠI XÂY DỰNG</t>
        </is>
      </c>
      <c r="E17274" s="10" t="inlineStr">
        <is>
          <t>Lương:13 Tr - 15 Tr VND</t>
        </is>
      </c>
      <c r="F17274" s="10" t="inlineStr">
        <is>
          <t>Hà Nội</t>
        </is>
      </c>
      <c r="G17274" s="10" t="inlineStr">
        <is>
          <t>05-04-2026</t>
        </is>
      </c>
      <c r="H17274" s="10" t="inlineStr">
        <is>
          <t>05/04/2026</t>
        </is>
      </c>
      <c r="I17274" s="10" t="inlineStr">
        <is>
          <t>17/03/2026</t>
        </is>
      </c>
      <c r="J17274" s="10" t="inlineStr">
        <is>
          <t>Dịch vụ khách hàng, Xây dựng, Bất động sản</t>
        </is>
      </c>
      <c r="K17274" s="10" t="inlineStr">
        <is>
          <t>Trên 3 Năm</t>
        </is>
      </c>
      <c r="L17274" s="11">
        <f>HYPERLINK("https://careerviet.vn/vi/tim-viec-lam/chuyen-vien-giam-sat-dich-vu-toa-nha.35C676D0.html","Xem chi tiết")</f>
        <v/>
      </c>
      <c r="M17274" s="10" t="n"/>
    </row>
    <row r="17275">
      <c r="B17275" s="7" t="n">
        <v>17273</v>
      </c>
      <c r="C17275" t="inlineStr">
        <is>
          <t>Tuyển 3D Environment Artist</t>
        </is>
      </c>
      <c r="D17275" t="inlineStr">
        <is>
          <t>CÔNG TY TNHH CA ADVANCE VIỆT NAM</t>
        </is>
      </c>
      <c r="E17275" t="inlineStr">
        <is>
          <t>Lương:Cạnh tranh</t>
        </is>
      </c>
      <c r="F17275" t="inlineStr">
        <is>
          <t>Hồ Chí Minh</t>
        </is>
      </c>
      <c r="G17275" t="inlineStr">
        <is>
          <t>05-04-2026</t>
        </is>
      </c>
      <c r="H17275" t="inlineStr">
        <is>
          <t>05/04/2026</t>
        </is>
      </c>
      <c r="I17275" t="inlineStr">
        <is>
          <t>17/03/2026</t>
        </is>
      </c>
      <c r="J17275" t="inlineStr">
        <is>
          <t>Mỹ thuật / Nghệ thuật / Thiết kế, Giải trí, Ngành khác</t>
        </is>
      </c>
      <c r="K17275" t="inlineStr">
        <is>
          <t>3 - 5 Năm</t>
        </is>
      </c>
      <c r="L17275" s="8">
        <f>HYPERLINK("https://careerviet.vn/vi/tim-viec-lam/tuyen-3d-environment-artist.35C64855.html","Xem chi tiết")</f>
        <v/>
      </c>
    </row>
    <row r="17276">
      <c r="B17276" s="9" t="n">
        <v>17274</v>
      </c>
      <c r="C17276" s="10" t="inlineStr">
        <is>
          <t>Graphic Designer</t>
        </is>
      </c>
      <c r="D17276" s="10" t="inlineStr">
        <is>
          <t>CÔNG TY TRÁCH NHIỆM HỮU HẠN TRUNG SƠN ALPHA (Hệ thống Nhà thuốc Trung Sơn)</t>
        </is>
      </c>
      <c r="E17276" s="10" t="inlineStr">
        <is>
          <t>Lương:Cạnh tranh</t>
        </is>
      </c>
      <c r="F17276" s="10" t="inlineStr">
        <is>
          <t>Cần ThơHồ Chí Minh</t>
        </is>
      </c>
      <c r="G17276" s="10" t="inlineStr">
        <is>
          <t>05-04-2026</t>
        </is>
      </c>
      <c r="H17276" s="10" t="inlineStr">
        <is>
          <t>05/04/2026</t>
        </is>
      </c>
      <c r="I17276" s="10" t="inlineStr">
        <is>
          <t>17/03/2026</t>
        </is>
      </c>
      <c r="J17276" s="10" t="inlineStr">
        <is>
          <t>Dược phẩm/ Hóa Mỹ Phẩm, Mỹ thuật / Nghệ thuật / Thiết kế</t>
        </is>
      </c>
      <c r="K17276" s="10" t="inlineStr">
        <is>
          <t>1 - 2 Năm</t>
        </is>
      </c>
      <c r="L17276" s="11">
        <f>HYPERLINK("https://careerviet.vn/vi/tim-viec-lam/graphic-designer.35C6761F.html","Xem chi tiết")</f>
        <v/>
      </c>
      <c r="M17276" s="10" t="n"/>
    </row>
    <row r="17277">
      <c r="B17277" s="7" t="n">
        <v>17275</v>
      </c>
      <c r="C17277" t="inlineStr">
        <is>
          <t>Trưởng Nhóm Hệ Thống Bảo Trì – Tài Sản (EAM)</t>
        </is>
      </c>
      <c r="D17277" t="inlineStr">
        <is>
          <t>TỔNG CÔNG TY CỔ PHẦN THƯƠNG MẠI XÂY DỰNG</t>
        </is>
      </c>
      <c r="E17277" t="inlineStr">
        <is>
          <t>Lương:Cạnh tranh</t>
        </is>
      </c>
      <c r="F17277" t="inlineStr">
        <is>
          <t>Quảng Ngãi</t>
        </is>
      </c>
      <c r="G17277" t="inlineStr">
        <is>
          <t>05-04-2026</t>
        </is>
      </c>
      <c r="H17277" t="inlineStr">
        <is>
          <t>05/04/2026</t>
        </is>
      </c>
      <c r="I17277" t="inlineStr">
        <is>
          <t>17/03/2026</t>
        </is>
      </c>
      <c r="J17277" t="inlineStr">
        <is>
          <t>Cơ khí / Ô tô / Tự động hóa, Điện / Điện tử / Điện lạnh / Điện công nghiệp, CNTT - Phần mềm</t>
        </is>
      </c>
      <c r="K17277" t="inlineStr">
        <is>
          <t>Trên 5 Năm</t>
        </is>
      </c>
      <c r="L17277" s="8">
        <f>HYPERLINK("https://careerviet.vn/vi/tim-viec-lam/truong-nhom-he-thong-bao-tri-tai-san-eam.35C676BC.html","Xem chi tiết")</f>
        <v/>
      </c>
    </row>
    <row r="17278">
      <c r="B17278" s="9" t="n">
        <v>17276</v>
      </c>
      <c r="C17278" s="10" t="inlineStr">
        <is>
          <t>Chuyên viên Kinh doanh - Ngành hàng Chấn thương Chỉnh hình - Khu vực Hồ Chí Minh</t>
        </is>
      </c>
      <c r="D17278" s="10" t="inlineStr">
        <is>
          <t>Công Ty Cổ Phần Y Tế Việt Tiến</t>
        </is>
      </c>
      <c r="E17278" s="10" t="inlineStr">
        <is>
          <t>Lương:Cạnh tranh</t>
        </is>
      </c>
      <c r="F17278" s="10" t="inlineStr">
        <is>
          <t>Hồ Chí Minh</t>
        </is>
      </c>
      <c r="G17278" s="10" t="inlineStr">
        <is>
          <t>05-04-2026</t>
        </is>
      </c>
      <c r="H17278" s="10" t="inlineStr">
        <is>
          <t>05/04/2026</t>
        </is>
      </c>
      <c r="I17278" s="10" t="inlineStr">
        <is>
          <t>17/03/2026</t>
        </is>
      </c>
      <c r="J17278" s="10" t="inlineStr">
        <is>
          <t>Bán hàng / Kinh doanh, Dược phẩm/ Hóa Mỹ Phẩm, Y tế / Chăm sóc sức khỏe / Thẩm mỹ / Làm đẹp</t>
        </is>
      </c>
      <c r="K17278" s="10" t="inlineStr">
        <is>
          <t>1 - 3 Năm</t>
        </is>
      </c>
      <c r="L17278" s="11">
        <f>HYPERLINK("https://careerviet.vn/vi/tim-viec-lam/chuyen-vien-kinh-doanh-nganh-hang-chan-thuong-chinh-hinh-khu-vuc-ho-chi-minh.35C6771E.html","Xem chi tiết")</f>
        <v/>
      </c>
      <c r="M17278" s="10" t="n"/>
    </row>
    <row r="17279">
      <c r="B17279" s="7" t="n">
        <v>17277</v>
      </c>
      <c r="C17279" t="inlineStr">
        <is>
          <t>Nhân viên Kinh doanh Kỹ thuật</t>
        </is>
      </c>
      <c r="D17279" t="inlineStr">
        <is>
          <t>CÔNG TY CỔ PHẦN PHÁT TRIỂN CÔNG NGHỆ TECHPRO</t>
        </is>
      </c>
      <c r="E17279" t="inlineStr">
        <is>
          <t>Lương:15 Tr - 30 Tr VND</t>
        </is>
      </c>
      <c r="F17279" t="inlineStr">
        <is>
          <t>Hà NộiHồ Chí Minh</t>
        </is>
      </c>
      <c r="G17279" t="inlineStr">
        <is>
          <t>05-04-2026</t>
        </is>
      </c>
      <c r="H17279" t="inlineStr">
        <is>
          <t>05/04/2026</t>
        </is>
      </c>
      <c r="I17279" t="inlineStr">
        <is>
          <t>17/03/2026</t>
        </is>
      </c>
      <c r="J17279" t="inlineStr">
        <is>
          <t>Bán Hàng Kỹ Thuật, Điện / Điện tử / Điện lạnh / Điện công nghiệp</t>
        </is>
      </c>
      <c r="K17279" t="inlineStr">
        <is>
          <t>Trên 2 Năm</t>
        </is>
      </c>
      <c r="L17279" s="8">
        <f>HYPERLINK("https://careerviet.vn/vi/tim-viec-lam/nhan-vien-kinh-doanh-ky-thuat.35C678E0.html","Xem chi tiết")</f>
        <v/>
      </c>
    </row>
    <row r="17280">
      <c r="B17280" s="9" t="n">
        <v>17278</v>
      </c>
      <c r="C17280" s="10" t="inlineStr">
        <is>
          <t>NHÂN VIÊN VẼ ĐỒ HỌA CAD</t>
        </is>
      </c>
      <c r="D17280" s="10" t="inlineStr">
        <is>
          <t>CÔNG TY TNHH POUYUEN VIỆT NAM</t>
        </is>
      </c>
      <c r="E17280" s="10" t="inlineStr">
        <is>
          <t>Lương:Trên 6 Tr VND</t>
        </is>
      </c>
      <c r="F17280" s="10" t="inlineStr">
        <is>
          <t>Hồ Chí Minh</t>
        </is>
      </c>
      <c r="G17280" s="10" t="inlineStr">
        <is>
          <t>05-04-2026</t>
        </is>
      </c>
      <c r="H17280" s="10" t="inlineStr">
        <is>
          <t>05/04/2026</t>
        </is>
      </c>
      <c r="I17280" s="10" t="inlineStr">
        <is>
          <t>17/03/2026</t>
        </is>
      </c>
      <c r="J17280" s="10" t="inlineStr">
        <is>
          <t>Lao động phổ thông, Mỹ thuật / Nghệ thuật / Thiết kế</t>
        </is>
      </c>
      <c r="K17280" s="10" t="inlineStr">
        <is>
          <t>N/A</t>
        </is>
      </c>
      <c r="L17280" s="11">
        <f>HYPERLINK("https://careerviet.vn/vi/tim-viec-lam/nhan-vien-ve-do-hoa-cad.35C67894.html","Xem chi tiết")</f>
        <v/>
      </c>
      <c r="M17280" s="10" t="n"/>
    </row>
    <row r="17281">
      <c r="B17281" s="7" t="n">
        <v>17279</v>
      </c>
      <c r="C17281" t="inlineStr">
        <is>
          <t>Nhân viên hành chính nhân sự biết Tiếng Trung</t>
        </is>
      </c>
      <c r="D17281" t="inlineStr">
        <is>
          <t>CÔNG TY TNHH VIỆT NAM MAXWIDE LOGISTICS</t>
        </is>
      </c>
      <c r="E17281" t="inlineStr">
        <is>
          <t>Lương:Cạnh tranh</t>
        </is>
      </c>
      <c r="F17281" t="inlineStr">
        <is>
          <t>Hồ Chí Minh</t>
        </is>
      </c>
      <c r="G17281" t="inlineStr">
        <is>
          <t>05-04-2026</t>
        </is>
      </c>
      <c r="H17281" t="inlineStr">
        <is>
          <t>05/04/2026</t>
        </is>
      </c>
      <c r="I17281" t="inlineStr">
        <is>
          <t>17/03/2026</t>
        </is>
      </c>
      <c r="J17281" t="inlineStr">
        <is>
          <t>Hành chính / Thư ký, Quản lý điều hành, Nhân sự</t>
        </is>
      </c>
      <c r="K17281" t="inlineStr">
        <is>
          <t>2 - 3 Năm</t>
        </is>
      </c>
      <c r="L17281" s="8">
        <f>HYPERLINK("https://careerviet.vn/vi/tim-viec-lam/nhan-vien-hanh-chinh-nhan-su-biet-tieng-trung.35C6773E.html","Xem chi tiết")</f>
        <v/>
      </c>
    </row>
    <row r="17282">
      <c r="B17282" s="9" t="n">
        <v>17280</v>
      </c>
      <c r="C17282" s="10" t="inlineStr">
        <is>
          <t>Chuyên viên Thẩm định Tín Dụng - Chi nhánh Hà Nội</t>
        </is>
      </c>
      <c r="D17282" s="10" t="inlineStr">
        <is>
          <t>Indovina Bank Ltd.</t>
        </is>
      </c>
      <c r="E17282" s="10" t="inlineStr">
        <is>
          <t>Lương:Cạnh tranh</t>
        </is>
      </c>
      <c r="F17282" s="10" t="inlineStr">
        <is>
          <t>Hà Nội</t>
        </is>
      </c>
      <c r="G17282" s="10" t="inlineStr">
        <is>
          <t>05-04-2026</t>
        </is>
      </c>
      <c r="H17282" s="10" t="inlineStr">
        <is>
          <t>05/04/2026</t>
        </is>
      </c>
      <c r="I17282" s="10" t="inlineStr">
        <is>
          <t>17/03/2026</t>
        </is>
      </c>
      <c r="J17282" s="10" t="inlineStr">
        <is>
          <t>Bán hàng / Kinh doanh, Ngân hàng, Tài chính / Đầu tư</t>
        </is>
      </c>
      <c r="K17282" s="10" t="inlineStr">
        <is>
          <t>1 - 2 Năm</t>
        </is>
      </c>
      <c r="L17282" s="11">
        <f>HYPERLINK("https://careerviet.vn/vi/tim-viec-lam/chuyen-vien-tham-dinh-tin-dung-chi-nhanh-ha-noi.35C6496A.html","Xem chi tiết")</f>
        <v/>
      </c>
      <c r="M17282" s="10" t="n"/>
    </row>
    <row r="17283">
      <c r="B17283" s="7" t="n">
        <v>17281</v>
      </c>
      <c r="C17283" t="inlineStr">
        <is>
          <t>Chuyên viên Mua hàng  (Hợp đồng 6 - 8 tháng)</t>
        </is>
      </c>
      <c r="D17283" t="inlineStr">
        <is>
          <t>CÔNG TY CỔ PHẦN MATSUMOTO KIYOSHI VIỆT NAM</t>
        </is>
      </c>
      <c r="E17283" t="inlineStr">
        <is>
          <t>Lương:Cạnh tranh</t>
        </is>
      </c>
      <c r="F17283" t="inlineStr">
        <is>
          <t>Hồ Chí Minh</t>
        </is>
      </c>
      <c r="G17283" t="inlineStr">
        <is>
          <t>05-04-2026</t>
        </is>
      </c>
      <c r="H17283" t="inlineStr">
        <is>
          <t>05/04/2026</t>
        </is>
      </c>
      <c r="I17283" t="inlineStr">
        <is>
          <t>17/03/2026</t>
        </is>
      </c>
      <c r="J17283" t="inlineStr">
        <is>
          <t>Dược phẩm/ Hóa Mỹ Phẩm, Thu mua / Vật tư</t>
        </is>
      </c>
      <c r="K17283" t="inlineStr">
        <is>
          <t>2 - 5 Năm</t>
        </is>
      </c>
      <c r="L17283" s="8">
        <f>HYPERLINK("https://careerviet.vn/vi/tim-viec-lam/chuyen-vien-mua-hang-hop-dong-6-8-thang.35C648C1.html","Xem chi tiết")</f>
        <v/>
      </c>
    </row>
    <row r="17284">
      <c r="B17284" s="9" t="n">
        <v>17282</v>
      </c>
      <c r="C17284" s="10" t="inlineStr">
        <is>
          <t>Phụ tài xe tải</t>
        </is>
      </c>
      <c r="D17284" s="10" t="inlineStr">
        <is>
          <t>Công ty Cổ phần Đầu tư Thương mại Bách Tường Phát</t>
        </is>
      </c>
      <c r="E17284" s="10" t="inlineStr">
        <is>
          <t>Lương:8 Tr - 12 Tr VND</t>
        </is>
      </c>
      <c r="F17284" s="10" t="inlineStr">
        <is>
          <t>Hồ Chí Minh</t>
        </is>
      </c>
      <c r="G17284" s="10" t="inlineStr">
        <is>
          <t>05-04-2026</t>
        </is>
      </c>
      <c r="H17284" s="10" t="inlineStr">
        <is>
          <t>05/04/2026</t>
        </is>
      </c>
      <c r="I17284" s="10" t="inlineStr">
        <is>
          <t>17/03/2026</t>
        </is>
      </c>
      <c r="J17284" s="10" t="inlineStr">
        <is>
          <t>Vận chuyển / Giao nhận / Kho vận, Lao động phổ thông, Hàng gia dụng / Chăm sóc cá nhân</t>
        </is>
      </c>
      <c r="K17284" s="10" t="inlineStr">
        <is>
          <t>1 - 3 Năm</t>
        </is>
      </c>
      <c r="L17284" s="11">
        <f>HYPERLINK("https://careerviet.vn/vi/tim-viec-lam/phu-tai-xe-tai.35C678B6.html","Xem chi tiết")</f>
        <v/>
      </c>
      <c r="M17284" s="10" t="n"/>
    </row>
    <row r="17285">
      <c r="B17285" s="7" t="n">
        <v>17283</v>
      </c>
      <c r="C17285" t="inlineStr">
        <is>
          <t>Trình Dược Viên</t>
        </is>
      </c>
      <c r="D17285" t="inlineStr">
        <is>
          <t>CÔNG TY CỔ PHẦN THƯƠNG MẠI DƯỢC LIỆU TÂY NGYUYÊN</t>
        </is>
      </c>
      <c r="E17285" t="inlineStr">
        <is>
          <t>Lương:12 Tr - 15 Tr VND</t>
        </is>
      </c>
      <c r="F17285" t="inlineStr">
        <is>
          <t>Dak LakDak NôngLâm Đồng</t>
        </is>
      </c>
      <c r="G17285" t="inlineStr">
        <is>
          <t>05-04-2026</t>
        </is>
      </c>
      <c r="H17285" t="inlineStr">
        <is>
          <t>05/04/2026</t>
        </is>
      </c>
      <c r="I17285" t="inlineStr">
        <is>
          <t>17/03/2026</t>
        </is>
      </c>
      <c r="J17285" t="inlineStr">
        <is>
          <t>Tiếp thị / Marketing, Bán hàng / Kinh doanh, Dược phẩm/ Hóa Mỹ Phẩm</t>
        </is>
      </c>
      <c r="K17285" t="inlineStr">
        <is>
          <t>N/A</t>
        </is>
      </c>
      <c r="L17285" s="8">
        <f>HYPERLINK("https://careerviet.vn/vi/tim-viec-lam/trinh-duoc-vien.35C6789B.html","Xem chi tiết")</f>
        <v/>
      </c>
    </row>
    <row r="17286">
      <c r="B17286" s="9" t="n">
        <v>17284</v>
      </c>
      <c r="C17286" s="10" t="inlineStr">
        <is>
          <t>Nhân viên bán hàng - Erke Tasco Long Biên</t>
        </is>
      </c>
      <c r="D17286" s="10" t="inlineStr">
        <is>
          <t>CÔNG TY TNHH PHÁT TRIỂN ĐỒ UỐNG AN VIỆT SÔNG HỒNG</t>
        </is>
      </c>
      <c r="E17286" s="10" t="inlineStr">
        <is>
          <t>Lương:9 Tr - 12 Tr VND</t>
        </is>
      </c>
      <c r="F17286" s="10" t="inlineStr">
        <is>
          <t>Hà Nội</t>
        </is>
      </c>
      <c r="G17286" s="10" t="inlineStr">
        <is>
          <t>05-04-2026</t>
        </is>
      </c>
      <c r="H17286" s="10" t="inlineStr">
        <is>
          <t>05/04/2026</t>
        </is>
      </c>
      <c r="I17286" s="10" t="inlineStr">
        <is>
          <t>17/03/2026</t>
        </is>
      </c>
      <c r="J17286" s="10" t="inlineStr">
        <is>
          <t>Bán lẻ / Bán sỉ, Bán hàng / Kinh doanh, Tư vấn</t>
        </is>
      </c>
      <c r="K17286" s="10" t="inlineStr">
        <is>
          <t>Chưa có kinh nghiệm</t>
        </is>
      </c>
      <c r="L17286" s="11">
        <f>HYPERLINK("https://careerviet.vn/vi/tim-viec-lam/nhan-vien-ban-hang-erke-tasco-long-bien.35C678FB.html","Xem chi tiết")</f>
        <v/>
      </c>
      <c r="M17286" s="10" t="n"/>
    </row>
    <row r="17287">
      <c r="B17287" s="7" t="n">
        <v>17285</v>
      </c>
      <c r="C17287" t="inlineStr">
        <is>
          <t>NHÂN VIÊN KINH DOANH PHỤ TRÁCH KÊNH SIÊU THỊ</t>
        </is>
      </c>
      <c r="D17287" t="inlineStr">
        <is>
          <t>CÔNG TY CỔ PHẦN TẬP ĐOÀN KALPEN</t>
        </is>
      </c>
      <c r="E17287" t="inlineStr">
        <is>
          <t>Lương:9 Tr - 15 Tr VND</t>
        </is>
      </c>
      <c r="F17287" t="inlineStr">
        <is>
          <t>Hà Nội</t>
        </is>
      </c>
      <c r="G17287" t="inlineStr">
        <is>
          <t>05-04-2026</t>
        </is>
      </c>
      <c r="H17287" t="inlineStr">
        <is>
          <t>05/04/2026</t>
        </is>
      </c>
      <c r="I17287" t="inlineStr">
        <is>
          <t>17/03/2026</t>
        </is>
      </c>
      <c r="J17287" t="inlineStr">
        <is>
          <t>Bán hàng / Kinh doanh, Hàng gia dụng / Chăm sóc cá nhân</t>
        </is>
      </c>
      <c r="K17287" t="inlineStr">
        <is>
          <t>1 - 2 Năm</t>
        </is>
      </c>
      <c r="L17287" s="8">
        <f>HYPERLINK("https://careerviet.vn/vi/tim-viec-lam/nhan-vien-kinh-doanh-phu-trach-kenh-sieu-thi.35C67622.html","Xem chi tiết")</f>
        <v/>
      </c>
    </row>
    <row r="17288">
      <c r="B17288" s="9" t="n">
        <v>17286</v>
      </c>
      <c r="C17288" s="10" t="inlineStr">
        <is>
          <t>[Điện Biên, Lào Cai] Giám Sát Kinh Doanh Bán Hàng Trả Góp</t>
        </is>
      </c>
      <c r="D17288" s="10" t="inlineStr">
        <is>
          <t>Công Ty Tài Chính Mirae Asset (Việt Nam)</t>
        </is>
      </c>
      <c r="E17288" s="10" t="inlineStr">
        <is>
          <t>Lương:Cạnh tranh</t>
        </is>
      </c>
      <c r="F17288" s="10" t="inlineStr">
        <is>
          <t>Lào CaiKV Bắc Trung BộĐiện Biên</t>
        </is>
      </c>
      <c r="G17288" s="10" t="inlineStr">
        <is>
          <t>05-04-2026</t>
        </is>
      </c>
      <c r="H17288" s="10" t="inlineStr">
        <is>
          <t>05/04/2026</t>
        </is>
      </c>
      <c r="I17288" s="10" t="inlineStr">
        <is>
          <t>17/03/2026</t>
        </is>
      </c>
      <c r="J17288" s="10" t="inlineStr">
        <is>
          <t>Bán hàng / Kinh doanh, Tài chính / Đầu tư, Dịch vụ khách hàng</t>
        </is>
      </c>
      <c r="K17288" s="10" t="inlineStr">
        <is>
          <t>2 - 3 Năm</t>
        </is>
      </c>
      <c r="L17288" s="11">
        <f>HYPERLINK("https://careerviet.vn/vi/tim-viec-lam/dien-bien-lao-cai-giam-sat-kinh-doanh-ban-hang-tra-gop.35C64960.html","Xem chi tiết")</f>
        <v/>
      </c>
      <c r="M17288" s="10" t="n"/>
    </row>
    <row r="17289">
      <c r="B17289" s="7" t="n">
        <v>17287</v>
      </c>
      <c r="C17289" t="inlineStr">
        <is>
          <t>Kiểm toán viên</t>
        </is>
      </c>
      <c r="D17289" t="inlineStr">
        <is>
          <t>Ngân hàng TMCP Lộc Phát Việt Nam (LPBank)</t>
        </is>
      </c>
      <c r="E17289" t="inlineStr">
        <is>
          <t>Lương:Cạnh tranh</t>
        </is>
      </c>
      <c r="F17289" t="inlineStr">
        <is>
          <t>Hà Nội</t>
        </is>
      </c>
      <c r="G17289" t="inlineStr">
        <is>
          <t>05-04-2026</t>
        </is>
      </c>
      <c r="H17289" t="inlineStr">
        <is>
          <t>05/04/2026</t>
        </is>
      </c>
      <c r="I17289" t="inlineStr">
        <is>
          <t>17/03/2026</t>
        </is>
      </c>
      <c r="J17289" t="inlineStr">
        <is>
          <t>Kế toán / Kiểm toán, Ngân hàng</t>
        </is>
      </c>
      <c r="K17289" t="inlineStr">
        <is>
          <t>Trên 2 Năm</t>
        </is>
      </c>
      <c r="L17289" s="8">
        <f>HYPERLINK("https://careerviet.vn/vi/tim-viec-lam/kiem-toan-vien.35C678B8.html","Xem chi tiết")</f>
        <v/>
      </c>
    </row>
    <row r="17290">
      <c r="B17290" s="9" t="n">
        <v>17288</v>
      </c>
      <c r="C17290" s="10" t="inlineStr">
        <is>
          <t>Senior Business Analyst - Kho/WMS (E-commerce/Fulfillment)</t>
        </is>
      </c>
      <c r="D17290" s="10" t="inlineStr">
        <is>
          <t>Công ty Cổ phần Mỹ phẩm Quốc tế Thùy Dung</t>
        </is>
      </c>
      <c r="E17290" s="10" t="inlineStr">
        <is>
          <t>Lương:30 Tr - 40 Tr VND</t>
        </is>
      </c>
      <c r="F17290" s="10" t="inlineStr">
        <is>
          <t>Hà Nội</t>
        </is>
      </c>
      <c r="G17290" s="10" t="inlineStr">
        <is>
          <t>05-04-2026</t>
        </is>
      </c>
      <c r="H17290" s="10" t="inlineStr">
        <is>
          <t>05/04/2026</t>
        </is>
      </c>
      <c r="I17290" s="10" t="inlineStr">
        <is>
          <t>17/03/2026</t>
        </is>
      </c>
      <c r="J17290" s="10" t="inlineStr">
        <is>
          <t>Vận chuyển / Giao nhận / Kho vận, CNTT - Phần mềm, Xuất nhập khẩu</t>
        </is>
      </c>
      <c r="K17290" s="10" t="inlineStr">
        <is>
          <t>4 - 6 Năm</t>
        </is>
      </c>
      <c r="L17290" s="11">
        <f>HYPERLINK("https://careerviet.vn/vi/tim-viec-lam/senior-business-analyst-kho-wms-e-commerce-fulfillment.35C648F8.html","Xem chi tiết")</f>
        <v/>
      </c>
      <c r="M17290" s="10" t="n"/>
    </row>
    <row r="17291">
      <c r="B17291" s="7" t="n">
        <v>17289</v>
      </c>
      <c r="C17291" t="inlineStr">
        <is>
          <t>Chuyên viên đảm bảo chất lượng</t>
        </is>
      </c>
      <c r="D17291" t="inlineStr">
        <is>
          <t>TRƯỜNG PHỔ THÔNG LIÊN CẤP H.A.S</t>
        </is>
      </c>
      <c r="E17291" t="inlineStr">
        <is>
          <t>Lương:Cạnh tranh</t>
        </is>
      </c>
      <c r="F17291" t="inlineStr">
        <is>
          <t>Hà Nội</t>
        </is>
      </c>
      <c r="G17291" t="inlineStr">
        <is>
          <t>05-04-2026</t>
        </is>
      </c>
      <c r="H17291" t="inlineStr">
        <is>
          <t>05/04/2026</t>
        </is>
      </c>
      <c r="I17291" t="inlineStr">
        <is>
          <t>17/03/2026</t>
        </is>
      </c>
      <c r="J17291" t="inlineStr">
        <is>
          <t>Giáo dục / Đào tạo, Quản lý chất lượng (QA/QC)</t>
        </is>
      </c>
      <c r="K17291" t="inlineStr">
        <is>
          <t>2 - 3 Năm</t>
        </is>
      </c>
      <c r="L17291" s="8">
        <f>HYPERLINK("https://careerviet.vn/vi/tim-viec-lam/chuyen-vien-dam-bao-chat-luong.35C649B4.html","Xem chi tiết")</f>
        <v/>
      </c>
    </row>
    <row r="17292">
      <c r="B17292" s="9" t="n">
        <v>17290</v>
      </c>
      <c r="C17292" s="10" t="inlineStr">
        <is>
          <t>Chuyên Viên Kinh Doanh Nội Thất (Sales dự án)</t>
        </is>
      </c>
      <c r="D17292" s="10" t="inlineStr">
        <is>
          <t>Công ty TNHH Nesta</t>
        </is>
      </c>
      <c r="E17292" s="10" t="inlineStr">
        <is>
          <t>Lương:Cạnh tranh</t>
        </is>
      </c>
      <c r="F17292" s="10" t="inlineStr">
        <is>
          <t>Hà NộiHưng Yên</t>
        </is>
      </c>
      <c r="G17292" s="10" t="inlineStr">
        <is>
          <t>05-04-2026</t>
        </is>
      </c>
      <c r="H17292" s="10" t="inlineStr">
        <is>
          <t>05/04/2026</t>
        </is>
      </c>
      <c r="I17292" s="10" t="inlineStr">
        <is>
          <t>17/03/2026</t>
        </is>
      </c>
      <c r="J17292" s="10" t="inlineStr">
        <is>
          <t>Tiếp thị / Marketing, Bán hàng / Kinh doanh, Nội ngoại thất</t>
        </is>
      </c>
      <c r="K17292" s="10" t="inlineStr">
        <is>
          <t>2 - 3 Năm</t>
        </is>
      </c>
      <c r="L17292" s="11">
        <f>HYPERLINK("https://careerviet.vn/vi/tim-viec-lam/chuyen-vien-kinh-doanh-noi-that-sales-du-an.35C6492A.html","Xem chi tiết")</f>
        <v/>
      </c>
      <c r="M17292" s="10" t="n"/>
    </row>
    <row r="17293">
      <c r="B17293" s="7" t="n">
        <v>17291</v>
      </c>
      <c r="C17293" t="inlineStr">
        <is>
          <t>Solution International Representative</t>
        </is>
      </c>
      <c r="D17293" t="inlineStr">
        <is>
          <t>Tập Đoàn CT Group Việt Nam</t>
        </is>
      </c>
      <c r="E17293" t="inlineStr">
        <is>
          <t>Lương:Cạnh tranh</t>
        </is>
      </c>
      <c r="F17293" t="inlineStr">
        <is>
          <t>Hồ Chí Minh</t>
        </is>
      </c>
      <c r="G17293" t="inlineStr">
        <is>
          <t>05-04-2026</t>
        </is>
      </c>
      <c r="H17293" t="inlineStr">
        <is>
          <t>05/04/2026</t>
        </is>
      </c>
      <c r="I17293" t="inlineStr">
        <is>
          <t>17/03/2026</t>
        </is>
      </c>
      <c r="J17293" t="inlineStr">
        <is>
          <t>Bán hàng / Kinh doanh, CNTT - Phần mềm, Ngành khác</t>
        </is>
      </c>
      <c r="K17293" t="inlineStr">
        <is>
          <t>2 - 3 Năm</t>
        </is>
      </c>
      <c r="L17293" s="8">
        <f>HYPERLINK("https://careerviet.vn/vi/tim-viec-lam/solution-international-representative.35C6786D.html","Xem chi tiết")</f>
        <v/>
      </c>
    </row>
    <row r="17294">
      <c r="B17294" s="9" t="n">
        <v>17292</v>
      </c>
      <c r="C17294" s="10" t="inlineStr">
        <is>
          <t>Test Engineer</t>
        </is>
      </c>
      <c r="D17294" s="10" t="inlineStr">
        <is>
          <t>Công ty TNHH Spartronics Việt Nam</t>
        </is>
      </c>
      <c r="E17294" s="10" t="inlineStr">
        <is>
          <t>Lương:Cạnh tranh</t>
        </is>
      </c>
      <c r="F17294" s="10" t="inlineStr">
        <is>
          <t>Bình Dương</t>
        </is>
      </c>
      <c r="G17294" s="10" t="inlineStr">
        <is>
          <t>05-04-2026</t>
        </is>
      </c>
      <c r="H17294" s="10" t="inlineStr">
        <is>
          <t>05/04/2026</t>
        </is>
      </c>
      <c r="I17294" s="10" t="inlineStr">
        <is>
          <t>17/03/2026</t>
        </is>
      </c>
      <c r="J17294" s="10" t="inlineStr">
        <is>
          <t>Điện / Điện tử / Điện lạnh / Điện công nghiệp, Sản xuất / Vận hành sản xuất</t>
        </is>
      </c>
      <c r="K17294" s="10" t="inlineStr">
        <is>
          <t>3 - 6 Năm</t>
        </is>
      </c>
      <c r="L17294" s="11">
        <f>HYPERLINK("https://careerviet.vn/vi/tim-viec-lam/test-engineer.35C67788.html","Xem chi tiết")</f>
        <v/>
      </c>
      <c r="M17294" s="10" t="n"/>
    </row>
    <row r="17295">
      <c r="B17295" s="7" t="n">
        <v>17293</v>
      </c>
      <c r="C17295" t="inlineStr">
        <is>
          <t>Maintenance Engineer</t>
        </is>
      </c>
      <c r="D17295" t="inlineStr">
        <is>
          <t>Thermtrol Co., Ltd.</t>
        </is>
      </c>
      <c r="E17295" t="inlineStr">
        <is>
          <t>Lương:Cạnh tranh</t>
        </is>
      </c>
      <c r="F17295" t="inlineStr">
        <is>
          <t>Bình Dương</t>
        </is>
      </c>
      <c r="G17295" t="inlineStr">
        <is>
          <t>05-04-2026</t>
        </is>
      </c>
      <c r="H17295" t="inlineStr">
        <is>
          <t>05/04/2026</t>
        </is>
      </c>
      <c r="I17295" t="inlineStr">
        <is>
          <t>17/03/2026</t>
        </is>
      </c>
      <c r="J17295" t="inlineStr">
        <is>
          <t>Sản xuất / Vận hành sản xuất</t>
        </is>
      </c>
      <c r="K17295" t="inlineStr">
        <is>
          <t>3 - 5 Năm</t>
        </is>
      </c>
      <c r="L17295" s="8">
        <f>HYPERLINK("https://careerviet.vn/vi/tim-viec-lam/maintenance-engineer.35C67753.html","Xem chi tiết")</f>
        <v/>
      </c>
    </row>
    <row r="17296">
      <c r="B17296" s="9" t="n">
        <v>17294</v>
      </c>
      <c r="C17296" s="10" t="inlineStr">
        <is>
          <t>QA Specialist (System)</t>
        </is>
      </c>
      <c r="D17296" s="10" t="inlineStr">
        <is>
          <t>Công Ty TNHH CJ Foods Việt Nam - Chi nhánh Long An</t>
        </is>
      </c>
      <c r="E17296" s="10" t="inlineStr">
        <is>
          <t>Lương:Cạnh tranh</t>
        </is>
      </c>
      <c r="F17296" s="10" t="inlineStr">
        <is>
          <t>Long An</t>
        </is>
      </c>
      <c r="G17296" s="10" t="inlineStr">
        <is>
          <t>05-04-2026</t>
        </is>
      </c>
      <c r="H17296" s="10" t="inlineStr">
        <is>
          <t>05/04/2026</t>
        </is>
      </c>
      <c r="I17296" s="10" t="inlineStr">
        <is>
          <t>17/03/2026</t>
        </is>
      </c>
      <c r="J17296" s="10" t="inlineStr">
        <is>
          <t>Công nghệ thực phẩm / Dinh dưỡng, Sản xuất / Vận hành sản xuất, Quản lý chất lượng (QA/QC)</t>
        </is>
      </c>
      <c r="K17296" s="10" t="inlineStr">
        <is>
          <t>5 - 7 Năm</t>
        </is>
      </c>
      <c r="L17296" s="11">
        <f>HYPERLINK("https://careerviet.vn/vi/tim-viec-lam/qa-specialist-system.35C649DA.html","Xem chi tiết")</f>
        <v/>
      </c>
      <c r="M17296" s="10" t="n"/>
    </row>
    <row r="17297">
      <c r="B17297" s="7" t="n">
        <v>17295</v>
      </c>
      <c r="C17297" t="inlineStr">
        <is>
          <t>Nhân viên Marketing</t>
        </is>
      </c>
      <c r="D17297" t="inlineStr">
        <is>
          <t>CÔNG TY CỔ PHẦN TẬP ĐOÀN KALPEN</t>
        </is>
      </c>
      <c r="E17297" t="inlineStr">
        <is>
          <t>Lương:12 Tr - 15 Tr VND</t>
        </is>
      </c>
      <c r="F17297" t="inlineStr">
        <is>
          <t>Hà Nội</t>
        </is>
      </c>
      <c r="G17297" t="inlineStr">
        <is>
          <t>05-04-2026</t>
        </is>
      </c>
      <c r="H17297" t="inlineStr">
        <is>
          <t>05/04/2026</t>
        </is>
      </c>
      <c r="I17297" t="inlineStr">
        <is>
          <t>17/03/2026</t>
        </is>
      </c>
      <c r="J17297" t="inlineStr">
        <is>
          <t>Tiếp thị / Marketing, Bán hàng / Kinh doanh, Tiếp thị trực tuyến</t>
        </is>
      </c>
      <c r="K17297" t="inlineStr">
        <is>
          <t>1 - 3 Năm</t>
        </is>
      </c>
      <c r="L17297" s="8">
        <f>HYPERLINK("https://careerviet.vn/vi/tim-viec-lam/nhan-vien-marketing.35C67621.html","Xem chi tiết")</f>
        <v/>
      </c>
    </row>
    <row r="17298">
      <c r="B17298" s="9" t="n">
        <v>17296</v>
      </c>
      <c r="C17298" s="10" t="inlineStr">
        <is>
          <t>Kỹ Sư Cơ Điện (Chuyên Ngành Hệ Thống Kỹ Thuật Trong Công Trình, Kỹ Thuật Cơ Điện)</t>
        </is>
      </c>
      <c r="D17298" s="10" t="inlineStr">
        <is>
          <t>CÔNG TY TNHH XÂY DỰNG TỰ LẬP</t>
        </is>
      </c>
      <c r="E17298" s="10" t="inlineStr">
        <is>
          <t>Lương:20 Tr - 25 Tr VND</t>
        </is>
      </c>
      <c r="F17298" s="10" t="inlineStr">
        <is>
          <t>Phú ThọYên Bái</t>
        </is>
      </c>
      <c r="G17298" s="10" t="inlineStr">
        <is>
          <t>05-04-2026</t>
        </is>
      </c>
      <c r="H17298" s="10" t="inlineStr">
        <is>
          <t>05/04/2026</t>
        </is>
      </c>
      <c r="I17298" s="10" t="inlineStr">
        <is>
          <t>17/03/2026</t>
        </is>
      </c>
      <c r="J17298" s="10" t="inlineStr">
        <is>
          <t>Điện / Điện tử / Điện lạnh / Điện công nghiệp, Xây dựng, Kiến trúc</t>
        </is>
      </c>
      <c r="K17298" s="10" t="inlineStr">
        <is>
          <t>Trên 5 Năm</t>
        </is>
      </c>
      <c r="L17298" s="11">
        <f>HYPERLINK("https://careerviet.vn/vi/tim-viec-lam/ky-su-co-dien-chuyen-nganh-he-thong-ky-thuat-trong-cong-trinh-ky-thuat-co-dien.35C649CF.html","Xem chi tiết")</f>
        <v/>
      </c>
      <c r="M17298" s="10" t="n"/>
    </row>
    <row r="17299">
      <c r="B17299" s="7" t="n">
        <v>17297</v>
      </c>
      <c r="C17299" t="inlineStr">
        <is>
          <t>[Miền Nam] Nhân Viên Tư Vấn Tín Dụng</t>
        </is>
      </c>
      <c r="D17299" t="inlineStr">
        <is>
          <t>Công Ty Tài Chính Mirae Asset (Việt Nam)</t>
        </is>
      </c>
      <c r="E17299" t="inlineStr">
        <is>
          <t>Lương:Cạnh tranh</t>
        </is>
      </c>
      <c r="F17299" t="inlineStr">
        <is>
          <t>KV Đông Nam BộHồ Chí MinhTây Ninh</t>
        </is>
      </c>
      <c r="G17299" t="inlineStr">
        <is>
          <t>05-04-2026</t>
        </is>
      </c>
      <c r="H17299" t="inlineStr">
        <is>
          <t>05/04/2026</t>
        </is>
      </c>
      <c r="I17299" t="inlineStr">
        <is>
          <t>17/03/2026</t>
        </is>
      </c>
      <c r="J17299" t="inlineStr">
        <is>
          <t>Bảo hiểm, Bất động sản, Bán hàng / Kinh doanh</t>
        </is>
      </c>
      <c r="K17299" t="inlineStr">
        <is>
          <t>N/A</t>
        </is>
      </c>
      <c r="L17299" s="8">
        <f>HYPERLINK("https://careerviet.vn/vi/tim-viec-lam/mien-nam-nhan-vien-tu-van-tin-dung.35C649F1.html","Xem chi tiết")</f>
        <v/>
      </c>
    </row>
    <row r="17300">
      <c r="B17300" s="9" t="n">
        <v>17298</v>
      </c>
      <c r="C17300" s="10" t="inlineStr">
        <is>
          <t>Sourcing specialist</t>
        </is>
      </c>
      <c r="D17300" s="10" t="inlineStr">
        <is>
          <t>CÔNG TY CỔ PHẦN BMP GROUP</t>
        </is>
      </c>
      <c r="E17300" s="10" t="inlineStr">
        <is>
          <t>Lương:Cạnh tranh</t>
        </is>
      </c>
      <c r="F17300" s="10" t="inlineStr">
        <is>
          <t>Hồ Chí Minh</t>
        </is>
      </c>
      <c r="G17300" s="10" t="inlineStr">
        <is>
          <t>08-03-2026</t>
        </is>
      </c>
      <c r="H17300" s="10" t="inlineStr">
        <is>
          <t>10/03/2026</t>
        </is>
      </c>
      <c r="I17300" s="10" t="inlineStr">
        <is>
          <t>17/03/2026</t>
        </is>
      </c>
      <c r="J17300" s="10" t="inlineStr">
        <is>
          <t>Thu mua / Vật tư</t>
        </is>
      </c>
      <c r="K17300" s="10" t="inlineStr">
        <is>
          <t>1 - 3 Năm</t>
        </is>
      </c>
      <c r="L17300" s="11">
        <f>HYPERLINK("https://careerviet.vn/vi/tim-viec-lam/sourcing-specialist.35C68D1C.html","Xem chi tiết")</f>
        <v/>
      </c>
      <c r="M17300" s="10" t="n"/>
    </row>
    <row r="17301">
      <c r="B17301" s="7" t="n">
        <v>17299</v>
      </c>
      <c r="C17301" t="inlineStr">
        <is>
          <t>Nhân viên Tiếp Thị</t>
        </is>
      </c>
      <c r="D17301" t="inlineStr">
        <is>
          <t>Công ty TNHH sân golf Palm Sông Bé</t>
        </is>
      </c>
      <c r="E17301" t="inlineStr">
        <is>
          <t>Lương:Cạnh tranh</t>
        </is>
      </c>
      <c r="F17301" t="inlineStr">
        <is>
          <t>Bình Dương</t>
        </is>
      </c>
      <c r="G17301" t="inlineStr">
        <is>
          <t>05-04-2026</t>
        </is>
      </c>
      <c r="H17301" t="inlineStr">
        <is>
          <t>05/04/2026</t>
        </is>
      </c>
      <c r="I17301" t="inlineStr">
        <is>
          <t>17/03/2026</t>
        </is>
      </c>
      <c r="J17301" t="inlineStr">
        <is>
          <t>Tiếp thị / Marketing, Nhà hàng / Khách sạn, Tổ chức sự kiện</t>
        </is>
      </c>
      <c r="K17301" t="inlineStr">
        <is>
          <t>1 - 2 Năm</t>
        </is>
      </c>
      <c r="L17301" s="8">
        <f>HYPERLINK("https://careerviet.vn/vi/tim-viec-lam/nhan-vien-tiep-thi.35C6789E.html","Xem chi tiết")</f>
        <v/>
      </c>
    </row>
    <row r="17302">
      <c r="B17302" s="9" t="n">
        <v>17300</v>
      </c>
      <c r="C17302" s="10" t="inlineStr">
        <is>
          <t>Nhân viên kho hàng</t>
        </is>
      </c>
      <c r="D17302" s="10" t="inlineStr">
        <is>
          <t>CÔNG TY CỔ PHẦN BMP GROUP</t>
        </is>
      </c>
      <c r="E17302" s="10" t="inlineStr">
        <is>
          <t>Lương:Cạnh tranh</t>
        </is>
      </c>
      <c r="F17302" s="10" t="inlineStr">
        <is>
          <t>Bình DươngHồ Chí Minh</t>
        </is>
      </c>
      <c r="G17302" s="10" t="inlineStr">
        <is>
          <t>31-03-2026</t>
        </is>
      </c>
      <c r="H17302" s="10" t="inlineStr">
        <is>
          <t>31/03/2026</t>
        </is>
      </c>
      <c r="I17302" s="10" t="inlineStr">
        <is>
          <t>17/03/2026</t>
        </is>
      </c>
      <c r="J17302" s="10" t="inlineStr">
        <is>
          <t>Vận chuyển / Giao nhận / Kho vận</t>
        </is>
      </c>
      <c r="K17302" s="10" t="inlineStr">
        <is>
          <t>1 - 3 Năm</t>
        </is>
      </c>
      <c r="L17302" s="11">
        <f>HYPERLINK("https://careerviet.vn/vi/tim-viec-lam/nhan-vien-kho-hang.35C68CD9.html","Xem chi tiết")</f>
        <v/>
      </c>
      <c r="M17302" s="10" t="n"/>
    </row>
    <row r="17303">
      <c r="B17303" s="7" t="n">
        <v>17301</v>
      </c>
      <c r="C17303" t="inlineStr">
        <is>
          <t>IT Support</t>
        </is>
      </c>
      <c r="D17303" t="inlineStr">
        <is>
          <t>CÔNG TY TNHH ĐẦU TƯ VÀ KINH DOANH BẤT ĐỘNG SẢN CREDIT LAND</t>
        </is>
      </c>
      <c r="E17303" t="inlineStr">
        <is>
          <t>Lương:13 Tr - 17 Tr VND</t>
        </is>
      </c>
      <c r="F17303" t="inlineStr">
        <is>
          <t>Hà Nội</t>
        </is>
      </c>
      <c r="G17303" t="inlineStr">
        <is>
          <t>05-04-2026</t>
        </is>
      </c>
      <c r="H17303" t="inlineStr">
        <is>
          <t>05/04/2026</t>
        </is>
      </c>
      <c r="I17303" t="inlineStr">
        <is>
          <t>17/03/2026</t>
        </is>
      </c>
      <c r="J17303" t="inlineStr">
        <is>
          <t>Hành chính / Thư ký, CNTT - Phần cứng / Mạng, Bất động sản</t>
        </is>
      </c>
      <c r="K17303" t="inlineStr">
        <is>
          <t>Trên 1 Năm</t>
        </is>
      </c>
      <c r="L17303" s="8">
        <f>HYPERLINK("https://careerviet.vn/vi/tim-viec-lam/it-support.35C6791C.html","Xem chi tiết")</f>
        <v/>
      </c>
    </row>
    <row r="17304">
      <c r="B17304" s="9" t="n">
        <v>17302</v>
      </c>
      <c r="C17304" s="10" t="inlineStr">
        <is>
          <t>Nhân viên thu mua vật tư (tiếng Trung )</t>
        </is>
      </c>
      <c r="D17304" s="10" t="inlineStr">
        <is>
          <t>CÔNG TY TNHH QISDA VIỆT NAM</t>
        </is>
      </c>
      <c r="E17304" s="10" t="inlineStr">
        <is>
          <t>Lương:Cạnh tranh</t>
        </is>
      </c>
      <c r="F17304" s="10" t="inlineStr">
        <is>
          <t>Hà Nam</t>
        </is>
      </c>
      <c r="G17304" s="10" t="inlineStr">
        <is>
          <t>25-03-2026</t>
        </is>
      </c>
      <c r="H17304" s="10" t="inlineStr">
        <is>
          <t>25/03/2026</t>
        </is>
      </c>
      <c r="I17304" s="10" t="inlineStr">
        <is>
          <t>17/03/2026</t>
        </is>
      </c>
      <c r="J17304" s="10" t="inlineStr">
        <is>
          <t>Thu mua / Vật tư</t>
        </is>
      </c>
      <c r="K17304" s="10" t="inlineStr">
        <is>
          <t>null - null Năm</t>
        </is>
      </c>
      <c r="L17304" s="11">
        <f>HYPERLINK("https://careerviet.vn/vi/tim-viec-lam/nhan-vien-thu-mua-vat-tu-tieng-trung.35C68EB0.html","Xem chi tiết")</f>
        <v/>
      </c>
      <c r="M17304" s="10" t="n"/>
    </row>
    <row r="17305">
      <c r="B17305" s="7" t="n">
        <v>17303</v>
      </c>
      <c r="C17305" t="inlineStr">
        <is>
          <t>Nhân viên kinh doanh (ngành hàng kim khí) tại Đà Nẵng</t>
        </is>
      </c>
      <c r="D17305" t="inlineStr">
        <is>
          <t>Tập Đoàn Tân Á Đại Thành</t>
        </is>
      </c>
      <c r="E17305" t="inlineStr">
        <is>
          <t>Lương:8 Tr - 15 Tr VND</t>
        </is>
      </c>
      <c r="F17305" t="inlineStr">
        <is>
          <t>Đà Nẵng</t>
        </is>
      </c>
      <c r="G17305" t="inlineStr">
        <is>
          <t>08-03-2026</t>
        </is>
      </c>
      <c r="H17305" t="inlineStr">
        <is>
          <t>15/03/2026</t>
        </is>
      </c>
      <c r="I17305" t="inlineStr">
        <is>
          <t>17/03/2026</t>
        </is>
      </c>
      <c r="J17305" t="inlineStr">
        <is>
          <t>Bán hàng / Kinh doanh</t>
        </is>
      </c>
      <c r="K17305" t="inlineStr">
        <is>
          <t>N/A</t>
        </is>
      </c>
      <c r="L17305" s="8">
        <f>HYPERLINK("https://careerviet.vn/vi/tim-viec-lam/nhan-vien-kinh-doanh-nganh-hang-kim-khi-tai-da-nang.35C68D6D.html","Xem chi tiết")</f>
        <v/>
      </c>
    </row>
    <row r="17306">
      <c r="B17306" s="9" t="n">
        <v>17304</v>
      </c>
      <c r="C17306" s="10" t="inlineStr">
        <is>
          <t>Chuyên viên Lập trình Cơ sở dữ liệu - Dự án Core Banking</t>
        </is>
      </c>
      <c r="D17306" s="10" t="inlineStr">
        <is>
          <t>BVBank - Ngân hàng Bản Việt</t>
        </is>
      </c>
      <c r="E17306" s="10" t="inlineStr">
        <is>
          <t>Lương:Cạnh tranh</t>
        </is>
      </c>
      <c r="F17306" s="10" t="inlineStr">
        <is>
          <t>Hồ Chí Minh</t>
        </is>
      </c>
      <c r="G17306" s="10" t="inlineStr">
        <is>
          <t>05-04-2026</t>
        </is>
      </c>
      <c r="H17306" s="10" t="inlineStr">
        <is>
          <t>05/04/2026</t>
        </is>
      </c>
      <c r="I17306" s="10" t="inlineStr">
        <is>
          <t>17/03/2026</t>
        </is>
      </c>
      <c r="J17306" s="10" t="inlineStr">
        <is>
          <t>Ngân hàng, Tài chính / Đầu tư, CNTT - Phần mềm</t>
        </is>
      </c>
      <c r="K17306" s="10" t="inlineStr">
        <is>
          <t>3 - 5 Năm</t>
        </is>
      </c>
      <c r="L17306" s="11">
        <f>HYPERLINK("https://careerviet.vn/vi/tim-viec-lam/chuyen-vien-lap-trinh-co-so-du-lieu-du-an-core-banking.35C649F9.html","Xem chi tiết")</f>
        <v/>
      </c>
      <c r="M17306" s="10" t="n"/>
    </row>
    <row r="17307">
      <c r="B17307" s="7" t="n">
        <v>17305</v>
      </c>
      <c r="C17307" t="inlineStr">
        <is>
          <t>TRƯỞNG PHÒNG KINH DOANH B2B (B2B SALES MANAGER)</t>
        </is>
      </c>
      <c r="D17307" t="inlineStr">
        <is>
          <t>CÔNG TY CỔ PHẦN NGUYÊN LIỆU MQ</t>
        </is>
      </c>
      <c r="E17307" t="inlineStr">
        <is>
          <t>Lương:Cạnh tranh</t>
        </is>
      </c>
      <c r="F17307" t="inlineStr">
        <is>
          <t>Hồ Chí MinhHà NộiĐồng Bằng Sông Hồng</t>
        </is>
      </c>
      <c r="G17307" t="inlineStr">
        <is>
          <t>08-03-2026</t>
        </is>
      </c>
      <c r="H17307" t="inlineStr">
        <is>
          <t>28/02/2026</t>
        </is>
      </c>
      <c r="I17307" t="inlineStr">
        <is>
          <t>17/03/2026</t>
        </is>
      </c>
      <c r="J17307" t="inlineStr">
        <is>
          <t>Bán hàng / Kinh doanh, Bán Hàng Kỹ Thuật, Dịch vụ khách hàng</t>
        </is>
      </c>
      <c r="K17307" t="inlineStr">
        <is>
          <t>3 - 5 Năm</t>
        </is>
      </c>
      <c r="L17307" s="8">
        <f>HYPERLINK("https://careerviet.vn/vi/tim-viec-lam/truong-phong-kinh-doanh-b2b-b2b-sales-manager.35C68F48.html","Xem chi tiết")</f>
        <v/>
      </c>
    </row>
    <row r="17308">
      <c r="B17308" s="9" t="n">
        <v>17306</v>
      </c>
      <c r="C17308" s="10" t="inlineStr">
        <is>
          <t>Kế Toán Tổng Hợp</t>
        </is>
      </c>
      <c r="D17308" s="10" t="inlineStr">
        <is>
          <t>Công Ty Cổ Phần Xây Dựng Phước Thành</t>
        </is>
      </c>
      <c r="E17308" s="10" t="inlineStr">
        <is>
          <t>Lương:Cạnh tranh</t>
        </is>
      </c>
      <c r="F17308" s="10" t="inlineStr">
        <is>
          <t>Hồ Chí Minh</t>
        </is>
      </c>
      <c r="G17308" s="10" t="inlineStr">
        <is>
          <t>31-03-2026</t>
        </is>
      </c>
      <c r="H17308" s="10" t="inlineStr">
        <is>
          <t>31/03/2026</t>
        </is>
      </c>
      <c r="I17308" s="10" t="inlineStr">
        <is>
          <t>17/03/2026</t>
        </is>
      </c>
      <c r="J17308" s="10" t="inlineStr">
        <is>
          <t>Bất động sản, Kế toán / Kiểm toán</t>
        </is>
      </c>
      <c r="K17308" s="10" t="inlineStr">
        <is>
          <t>2 - 4 Năm</t>
        </is>
      </c>
      <c r="L17308" s="11">
        <f>HYPERLINK("https://careerviet.vn/vi/tim-viec-lam/ke-toan-tong-hop.35C68D5A.html","Xem chi tiết")</f>
        <v/>
      </c>
      <c r="M17308" s="10" t="n"/>
    </row>
    <row r="17309">
      <c r="B17309" s="7" t="n">
        <v>17307</v>
      </c>
      <c r="C17309" t="inlineStr">
        <is>
          <t>Trưởng phòng QA ( Tiếng Trung)</t>
        </is>
      </c>
      <c r="D17309" t="inlineStr">
        <is>
          <t>CÔNG TY TNHH QISDA VIỆT NAM</t>
        </is>
      </c>
      <c r="E17309" t="inlineStr">
        <is>
          <t>Lương:Cạnh tranh</t>
        </is>
      </c>
      <c r="F17309" t="inlineStr">
        <is>
          <t>Hà Nam</t>
        </is>
      </c>
      <c r="G17309" t="inlineStr">
        <is>
          <t>25-03-2026</t>
        </is>
      </c>
      <c r="H17309" t="inlineStr">
        <is>
          <t>25/03/2026</t>
        </is>
      </c>
      <c r="I17309" t="inlineStr">
        <is>
          <t>17/03/2026</t>
        </is>
      </c>
      <c r="J17309" t="inlineStr">
        <is>
          <t>Quản lý chất lượng (QA/QC)</t>
        </is>
      </c>
      <c r="K17309" t="inlineStr">
        <is>
          <t>null - null Năm</t>
        </is>
      </c>
      <c r="L17309" s="8">
        <f>HYPERLINK("https://careerviet.vn/vi/tim-viec-lam/truong-phong-qa-tieng-trung.35C68E95.html","Xem chi tiết")</f>
        <v/>
      </c>
    </row>
    <row r="17310">
      <c r="B17310" s="9" t="n">
        <v>17308</v>
      </c>
      <c r="C17310" s="10" t="inlineStr">
        <is>
          <t>Chuyên viên kế hoạch sản xuất- xuất hàng (SC)</t>
        </is>
      </c>
      <c r="D17310" s="10" t="inlineStr">
        <is>
          <t>CÔNG TY TNHH QISDA VIỆT NAM</t>
        </is>
      </c>
      <c r="E17310" s="10" t="inlineStr">
        <is>
          <t>Lương:Cạnh tranh</t>
        </is>
      </c>
      <c r="F17310" s="10" t="inlineStr">
        <is>
          <t>Hà Nam</t>
        </is>
      </c>
      <c r="G17310" s="10" t="inlineStr">
        <is>
          <t>25-03-2026</t>
        </is>
      </c>
      <c r="H17310" s="10" t="inlineStr">
        <is>
          <t>25/03/2026</t>
        </is>
      </c>
      <c r="I17310" s="10" t="inlineStr">
        <is>
          <t>17/03/2026</t>
        </is>
      </c>
      <c r="J17310" s="10" t="inlineStr">
        <is>
          <t>Sản xuất / Vận hành sản xuất</t>
        </is>
      </c>
      <c r="K17310" s="10" t="inlineStr">
        <is>
          <t>null - null Năm</t>
        </is>
      </c>
      <c r="L17310" s="11">
        <f>HYPERLINK("https://careerviet.vn/vi/tim-viec-lam/chuyen-vien-ke-hoach-san-xuat-xuat-hang-sc.35C68EB5.html","Xem chi tiết")</f>
        <v/>
      </c>
      <c r="M17310" s="10" t="n"/>
    </row>
    <row r="17311">
      <c r="B17311" s="7" t="n">
        <v>17309</v>
      </c>
      <c r="C17311" t="inlineStr">
        <is>
          <t>Chuyên viên tuyển dụng cao cấp</t>
        </is>
      </c>
      <c r="D17311" t="inlineStr">
        <is>
          <t>Careerbuilders' Client</t>
        </is>
      </c>
      <c r="E17311" t="inlineStr">
        <is>
          <t>Lương:Cạnh tranh</t>
        </is>
      </c>
      <c r="F17311" t="inlineStr">
        <is>
          <t>Hồ Chí Minh</t>
        </is>
      </c>
      <c r="G17311" t="inlineStr">
        <is>
          <t>24-03-2026</t>
        </is>
      </c>
      <c r="H17311" t="inlineStr">
        <is>
          <t>24/03/2026</t>
        </is>
      </c>
      <c r="I17311" t="inlineStr">
        <is>
          <t>17/03/2026</t>
        </is>
      </c>
      <c r="J17311" t="inlineStr">
        <is>
          <t>Nhân sự, Xây dựng, Bất động sản</t>
        </is>
      </c>
      <c r="K17311" t="inlineStr">
        <is>
          <t>3 - 5 Năm</t>
        </is>
      </c>
      <c r="L17311" s="8">
        <f>HYPERLINK("https://careerviet.vn/vi/tim-viec-lam/chuyen-vien-tuyen-dung-cao-cap.35C68F7F.html","Xem chi tiết")</f>
        <v/>
      </c>
    </row>
    <row r="17312">
      <c r="B17312" s="9" t="n">
        <v>17310</v>
      </c>
      <c r="C17312" s="10" t="inlineStr">
        <is>
          <t>Nhân viên kho (KCN Long Bình)</t>
        </is>
      </c>
      <c r="D17312" s="10" t="inlineStr">
        <is>
          <t>Công ty TNHH Olam Việt Nam</t>
        </is>
      </c>
      <c r="E17312" s="10" t="inlineStr">
        <is>
          <t>Lương:Cạnh tranh</t>
        </is>
      </c>
      <c r="F17312" s="10" t="inlineStr">
        <is>
          <t>Đồng Nai</t>
        </is>
      </c>
      <c r="G17312" s="10" t="inlineStr">
        <is>
          <t>31-03-2026</t>
        </is>
      </c>
      <c r="H17312" s="10" t="inlineStr">
        <is>
          <t>31/03/2026</t>
        </is>
      </c>
      <c r="I17312" s="10" t="inlineStr">
        <is>
          <t>17/03/2026</t>
        </is>
      </c>
      <c r="J17312" s="10" t="inlineStr">
        <is>
          <t>Vận chuyển / Giao nhận / Kho vận, Xuất nhập khẩu</t>
        </is>
      </c>
      <c r="K17312" s="10" t="inlineStr">
        <is>
          <t>2 - 10 Năm</t>
        </is>
      </c>
      <c r="L17312" s="11">
        <f>HYPERLINK("https://careerviet.vn/vi/tim-viec-lam/nhan-vien-kho-kcn-long-binh.35C68F5D.html","Xem chi tiết")</f>
        <v/>
      </c>
      <c r="M17312" s="10" t="n"/>
    </row>
    <row r="17313">
      <c r="B17313" s="7" t="n">
        <v>17311</v>
      </c>
      <c r="C17313" t="inlineStr">
        <is>
          <t>Nhân viên Trưng bày (Hà Nội)</t>
        </is>
      </c>
      <c r="D17313" t="inlineStr">
        <is>
          <t>Tổng công ty Cổ phần Bia - Rượu - Nước giải khát Hà Nội (HABECO - Bia Hà Nội)</t>
        </is>
      </c>
      <c r="E17313" t="inlineStr">
        <is>
          <t>Lương:Cạnh tranh</t>
        </is>
      </c>
      <c r="F17313" t="inlineStr">
        <is>
          <t>Hà Nội</t>
        </is>
      </c>
      <c r="G17313" t="inlineStr">
        <is>
          <t>25-03-2026</t>
        </is>
      </c>
      <c r="H17313" t="inlineStr">
        <is>
          <t>25/03/2026</t>
        </is>
      </c>
      <c r="I17313" t="inlineStr">
        <is>
          <t>17/03/2026</t>
        </is>
      </c>
      <c r="J17313" t="inlineStr">
        <is>
          <t>Thực phẩm &amp; Đồ uống, Bán lẻ / Bán sỉ, Bán hàng / Kinh doanh</t>
        </is>
      </c>
      <c r="K17313" t="inlineStr">
        <is>
          <t>null - null Năm</t>
        </is>
      </c>
      <c r="L17313" s="8">
        <f>HYPERLINK("https://careerviet.vn/vi/tim-viec-lam/nhan-vien-trung-bay-ha-noi.35C68F21.html","Xem chi tiết")</f>
        <v/>
      </c>
    </row>
    <row r="17314">
      <c r="B17314" s="9" t="n">
        <v>17312</v>
      </c>
      <c r="C17314" s="10" t="inlineStr">
        <is>
          <t>TRAINING EXECUTIVE</t>
        </is>
      </c>
      <c r="D17314" s="10" t="inlineStr">
        <is>
          <t>Cà Phê Muối Chú Long</t>
        </is>
      </c>
      <c r="E17314" s="10" t="inlineStr">
        <is>
          <t>Lương:10 Tr - 12 Tr VND</t>
        </is>
      </c>
      <c r="F17314" s="10" t="inlineStr">
        <is>
          <t>Hồ Chí Minh</t>
        </is>
      </c>
      <c r="G17314" s="10" t="inlineStr">
        <is>
          <t>6</t>
        </is>
      </c>
      <c r="H17314" s="10" t="inlineStr">
        <is>
          <t>23/03/2026</t>
        </is>
      </c>
      <c r="I17314" s="10" t="inlineStr">
        <is>
          <t>17/03/2026</t>
        </is>
      </c>
      <c r="J17314" s="10" t="inlineStr">
        <is>
          <t>Thực phẩm &amp; Đồ uống, Nhà hàng / Khách sạn</t>
        </is>
      </c>
      <c r="K17314" s="10" t="inlineStr">
        <is>
          <t>1 - 2 Năm</t>
        </is>
      </c>
      <c r="L17314" s="11">
        <f>HYPERLINK("https://careerviet.vn/vi/tim-viec-lam/training-executive.35C68CE5.html","Xem chi tiết")</f>
        <v/>
      </c>
      <c r="M17314" s="10" t="n"/>
    </row>
    <row r="17315">
      <c r="B17315" s="7" t="n">
        <v>17313</v>
      </c>
      <c r="C17315" t="inlineStr">
        <is>
          <t>Nhân Viên Sửa Chữa Board Mạch Điện Tử</t>
        </is>
      </c>
      <c r="D17315" t="inlineStr">
        <is>
          <t>Công Ty TNHH XNK Phát Triển Đông Dương</t>
        </is>
      </c>
      <c r="E17315" t="inlineStr">
        <is>
          <t>Lương:10 Tr - 15 Tr VND</t>
        </is>
      </c>
      <c r="F17315" t="inlineStr">
        <is>
          <t>Long AnHồ Chí Minh</t>
        </is>
      </c>
      <c r="G17315" t="inlineStr">
        <is>
          <t>31-03-2026</t>
        </is>
      </c>
      <c r="H17315" t="inlineStr">
        <is>
          <t>31/03/2026</t>
        </is>
      </c>
      <c r="I17315" t="inlineStr">
        <is>
          <t>17/03/2026</t>
        </is>
      </c>
      <c r="J17315" t="inlineStr">
        <is>
          <t>Cơ khí / Ô tô / Tự động hóa, Điện / Điện tử / Điện lạnh / Điện công nghiệp, Bảo trì / Sửa chữa</t>
        </is>
      </c>
      <c r="K17315" t="inlineStr">
        <is>
          <t>1 - 5 Năm</t>
        </is>
      </c>
      <c r="L17315" s="8">
        <f>HYPERLINK("https://careerviet.vn/vi/tim-viec-lam/nhan-vien-sua-chua-board-mach-dien-tu.35C68E58.html","Xem chi tiết")</f>
        <v/>
      </c>
    </row>
    <row r="17316">
      <c r="B17316" s="9" t="n">
        <v>17314</v>
      </c>
      <c r="C17316" s="10" t="inlineStr">
        <is>
          <t>Chuyên viên Cao cấp Quản lý Bảng Cân đối Kế toán</t>
        </is>
      </c>
      <c r="D17316" s="10" t="inlineStr">
        <is>
          <t>Ngân Hàng TMCP Sài Gòn - Hà Nội ( SHB )</t>
        </is>
      </c>
      <c r="E17316" s="10" t="inlineStr">
        <is>
          <t>Lương:Cạnh tranh</t>
        </is>
      </c>
      <c r="F17316" s="10" t="inlineStr">
        <is>
          <t>Hà Nội</t>
        </is>
      </c>
      <c r="G17316" s="10" t="inlineStr">
        <is>
          <t>25-03-2026</t>
        </is>
      </c>
      <c r="H17316" s="10" t="inlineStr">
        <is>
          <t>25/03/2026</t>
        </is>
      </c>
      <c r="I17316" s="10" t="inlineStr">
        <is>
          <t>17/03/2026</t>
        </is>
      </c>
      <c r="J17316" s="10" t="inlineStr">
        <is>
          <t>Kế toán / Kiểm toán, Ngân hàng, Tài chính / Đầu tư</t>
        </is>
      </c>
      <c r="K17316" s="10" t="inlineStr">
        <is>
          <t>null - null Năm</t>
        </is>
      </c>
      <c r="L17316" s="11">
        <f>HYPERLINK("https://careerviet.vn/vi/tim-viec-lam/chuyen-vien-cao-cap-quan-ly-bang-can-doi-ke-toan.35C68E8E.html","Xem chi tiết")</f>
        <v/>
      </c>
      <c r="M17316" s="10" t="n"/>
    </row>
    <row r="17317">
      <c r="B17317" s="7" t="n">
        <v>17315</v>
      </c>
      <c r="C17317" t="inlineStr">
        <is>
          <t>Kỹ sư xây dựng</t>
        </is>
      </c>
      <c r="D17317" t="inlineStr">
        <is>
          <t>Công ty Cổ Phần Sản Xuất Dịch Vụ và Thương Mại Phát Linh</t>
        </is>
      </c>
      <c r="E17317" t="inlineStr">
        <is>
          <t>Lương:18 Tr - 22 Tr VND</t>
        </is>
      </c>
      <c r="F17317" t="inlineStr">
        <is>
          <t>Hà Nội</t>
        </is>
      </c>
      <c r="G17317" t="inlineStr">
        <is>
          <t>31-03-2026</t>
        </is>
      </c>
      <c r="H17317" t="inlineStr">
        <is>
          <t>31/03/2026</t>
        </is>
      </c>
      <c r="I17317" t="inlineStr">
        <is>
          <t>17/03/2026</t>
        </is>
      </c>
      <c r="J17317" t="inlineStr">
        <is>
          <t>Kiến trúc, Xây dựng, Bất động sản</t>
        </is>
      </c>
      <c r="K17317" t="inlineStr">
        <is>
          <t>3 - 5 Năm</t>
        </is>
      </c>
      <c r="L17317" s="8">
        <f>HYPERLINK("https://careerviet.vn/vi/tim-viec-lam/ky-su-xay-dung.35C68F1A.html","Xem chi tiết")</f>
        <v/>
      </c>
    </row>
    <row r="17318">
      <c r="B17318" s="9" t="n">
        <v>17316</v>
      </c>
      <c r="C17318" s="10" t="inlineStr">
        <is>
          <t>Trade Coordinator (Temp 8M)</t>
        </is>
      </c>
      <c r="D17318" s="10" t="inlineStr">
        <is>
          <t>CÔNG TY TNHH MSC VIỆT NAM</t>
        </is>
      </c>
      <c r="E17318" s="10" t="inlineStr">
        <is>
          <t>Lương:Cạnh tranh</t>
        </is>
      </c>
      <c r="F17318" s="10" t="inlineStr">
        <is>
          <t>Hồ Chí Minh</t>
        </is>
      </c>
      <c r="G17318" s="10" t="inlineStr">
        <is>
          <t>31-03-2026</t>
        </is>
      </c>
      <c r="H17318" s="10" t="inlineStr">
        <is>
          <t>31/03/2026</t>
        </is>
      </c>
      <c r="I17318" s="10" t="inlineStr">
        <is>
          <t>17/03/2026</t>
        </is>
      </c>
      <c r="J17318" s="10" t="inlineStr">
        <is>
          <t>Bán hàng / Kinh doanh</t>
        </is>
      </c>
      <c r="K17318" s="10" t="inlineStr">
        <is>
          <t>1 - 2 Năm</t>
        </is>
      </c>
      <c r="L17318" s="11">
        <f>HYPERLINK("https://careerviet.vn/vi/tim-viec-lam/trade-coordinator-temp-8m.35C68EE4.html","Xem chi tiết")</f>
        <v/>
      </c>
      <c r="M17318" s="10" t="n"/>
    </row>
    <row r="17319">
      <c r="B17319" s="7" t="n">
        <v>17317</v>
      </c>
      <c r="C17319" t="inlineStr">
        <is>
          <t>Assistant to the COO – Korean Speaking</t>
        </is>
      </c>
      <c r="D17319" t="inlineStr">
        <is>
          <t>CÔNG TY TRÁCH NHIỆM HỮU HẠN TRUNG SƠN ALPHA (Hệ thống Nhà thuốc Trung Sơn)</t>
        </is>
      </c>
      <c r="E17319" t="inlineStr">
        <is>
          <t>Lương:Cạnh tranh</t>
        </is>
      </c>
      <c r="F17319" t="inlineStr">
        <is>
          <t>Cần ThơHồ Chí Minh</t>
        </is>
      </c>
      <c r="G17319" t="inlineStr">
        <is>
          <t>31-03-2026</t>
        </is>
      </c>
      <c r="H17319" t="inlineStr">
        <is>
          <t>31/03/2026</t>
        </is>
      </c>
      <c r="I17319" t="inlineStr">
        <is>
          <t>17/03/2026</t>
        </is>
      </c>
      <c r="J17319" t="inlineStr">
        <is>
          <t>Biên phiên dịch, Hành chính / Thư ký, Bán hàng / Kinh doanh</t>
        </is>
      </c>
      <c r="K17319" t="inlineStr">
        <is>
          <t>2 - 3 Năm</t>
        </is>
      </c>
      <c r="L17319" s="8">
        <f>HYPERLINK("https://careerviet.vn/vi/tim-viec-lam/assistant-to-the-coo-korean-speaking.35C68DF8.html","Xem chi tiết")</f>
        <v/>
      </c>
    </row>
    <row r="17320">
      <c r="B17320" s="9" t="n">
        <v>17318</v>
      </c>
      <c r="C17320" s="10" t="inlineStr">
        <is>
          <t>Trưởng phòng dự án thi công</t>
        </is>
      </c>
      <c r="D17320" s="10" t="inlineStr">
        <is>
          <t>Công ty cổ phần xây dựng và thương mại Tam Long</t>
        </is>
      </c>
      <c r="E17320" s="10" t="inlineStr">
        <is>
          <t>Lương:18 Tr - 25 Tr VND</t>
        </is>
      </c>
      <c r="F17320" s="10" t="inlineStr">
        <is>
          <t>Hải Phòng</t>
        </is>
      </c>
      <c r="G17320" s="10" t="inlineStr">
        <is>
          <t>08-03-2026</t>
        </is>
      </c>
      <c r="H17320" s="10" t="inlineStr">
        <is>
          <t>10/03/2026</t>
        </is>
      </c>
      <c r="I17320" s="10" t="inlineStr">
        <is>
          <t>17/03/2026</t>
        </is>
      </c>
      <c r="J17320" s="10" t="inlineStr">
        <is>
          <t>Xây dựng</t>
        </is>
      </c>
      <c r="K17320" s="10" t="inlineStr">
        <is>
          <t>1 - 3 Năm</t>
        </is>
      </c>
      <c r="L17320" s="11">
        <f>HYPERLINK("https://careerviet.vn/vi/tim-viec-lam/truong-phong-du-an-thi-cong.35C68EAB.html","Xem chi tiết")</f>
        <v/>
      </c>
      <c r="M17320" s="10" t="n"/>
    </row>
    <row r="17321">
      <c r="B17321" s="7" t="n">
        <v>17319</v>
      </c>
      <c r="C17321" t="inlineStr">
        <is>
          <t>Thiết Kế Đồ Họa Game Tại Đà Nẵng</t>
        </is>
      </c>
      <c r="D17321" t="inlineStr">
        <is>
          <t>Koei Tecmo Software Vietnam</t>
        </is>
      </c>
      <c r="E17321" t="inlineStr">
        <is>
          <t>Lương:Cạnh tranh</t>
        </is>
      </c>
      <c r="F17321" t="inlineStr">
        <is>
          <t>Đà Nẵng</t>
        </is>
      </c>
      <c r="G17321" t="inlineStr">
        <is>
          <t>25-03-2026</t>
        </is>
      </c>
      <c r="H17321" t="inlineStr">
        <is>
          <t>25/03/2026</t>
        </is>
      </c>
      <c r="I17321" t="inlineStr">
        <is>
          <t>17/03/2026</t>
        </is>
      </c>
      <c r="J17321" t="inlineStr">
        <is>
          <t>Mỹ thuật / Nghệ thuật / Thiết kế</t>
        </is>
      </c>
      <c r="K17321" t="inlineStr">
        <is>
          <t>null - null Năm</t>
        </is>
      </c>
      <c r="L17321" s="8">
        <f>HYPERLINK("https://careerviet.vn/vi/tim-viec-lam/thiet-ke-do-hoa-game-tai-da-nang.35C68D7C.html","Xem chi tiết")</f>
        <v/>
      </c>
    </row>
    <row r="17322">
      <c r="B17322" s="9" t="n">
        <v>17320</v>
      </c>
      <c r="C17322" s="10" t="inlineStr">
        <is>
          <t>Nhân viên kế toán thuế  (đi làm ngay)</t>
        </is>
      </c>
      <c r="D17322" s="10" t="inlineStr">
        <is>
          <t>CÔNG TY CỔ PHẦN VÀNG BẠC ĐÁ QUÝ LỘC PHÚC</t>
        </is>
      </c>
      <c r="E17322" s="10" t="inlineStr">
        <is>
          <t>Lương:7 Tr - 10 Tr VND</t>
        </is>
      </c>
      <c r="F17322" s="10" t="inlineStr">
        <is>
          <t>Hồ Chí Minh</t>
        </is>
      </c>
      <c r="G17322" s="10" t="inlineStr">
        <is>
          <t>6</t>
        </is>
      </c>
      <c r="H17322" s="10" t="inlineStr">
        <is>
          <t>23/03/2026</t>
        </is>
      </c>
      <c r="I17322" s="10" t="inlineStr">
        <is>
          <t>17/03/2026</t>
        </is>
      </c>
      <c r="J17322" s="10" t="inlineStr">
        <is>
          <t>Kế toán / Kiểm toán</t>
        </is>
      </c>
      <c r="K17322" s="10" t="inlineStr">
        <is>
          <t>N/A</t>
        </is>
      </c>
      <c r="L17322" s="11">
        <f>HYPERLINK("https://careerviet.vn/vi/tim-viec-lam/nhan-vien-ke-toan-thue-di-lam-ngay.35C68DB3.html","Xem chi tiết")</f>
        <v/>
      </c>
      <c r="M17322" s="10" t="n"/>
    </row>
    <row r="17323">
      <c r="B17323" s="7" t="n">
        <v>17321</v>
      </c>
      <c r="C17323" t="inlineStr">
        <is>
          <t>Web Platform &amp; Tech Solutions Lead</t>
        </is>
      </c>
      <c r="D17323" t="inlineStr">
        <is>
          <t>Công ty TNHH TOM Group Việt Nam</t>
        </is>
      </c>
      <c r="E17323" t="inlineStr">
        <is>
          <t>Lương:25 Tr - 30 Tr VND</t>
        </is>
      </c>
      <c r="F17323" t="inlineStr">
        <is>
          <t>Hồ Chí Minh</t>
        </is>
      </c>
      <c r="G17323" t="inlineStr">
        <is>
          <t>24-03-2026</t>
        </is>
      </c>
      <c r="H17323" t="inlineStr">
        <is>
          <t>24/03/2026</t>
        </is>
      </c>
      <c r="I17323" t="inlineStr">
        <is>
          <t>17/03/2026</t>
        </is>
      </c>
      <c r="J17323" t="inlineStr">
        <is>
          <t>CNTT - Phần mềm, Quảng cáo / Đối ngoại / Truyền Thông, Sản xuất / Vận hành sản xuất</t>
        </is>
      </c>
      <c r="K17323" t="inlineStr">
        <is>
          <t>3 - 5 Năm</t>
        </is>
      </c>
      <c r="L17323" s="8">
        <f>HYPERLINK("https://careerviet.vn/vi/tim-viec-lam/web-platform-tech-solutions-lead.35C68D04.html","Xem chi tiết")</f>
        <v/>
      </c>
    </row>
    <row r="17324">
      <c r="B17324" s="9" t="n">
        <v>17322</v>
      </c>
      <c r="C17324" s="10" t="inlineStr">
        <is>
          <t>Chuyên Viên Phát Triển Sản Phẩm (May Mặc) - Product Development Executive (Garment)</t>
        </is>
      </c>
      <c r="D17324" s="10" t="inlineStr">
        <is>
          <t>Công Ty TNHH Linea Aqua Việt Nam</t>
        </is>
      </c>
      <c r="E17324" s="10" t="inlineStr">
        <is>
          <t>Lương:600 - 900 USD</t>
        </is>
      </c>
      <c r="F17324" s="10" t="inlineStr">
        <is>
          <t>Hưng YênHà NộiHải Dương</t>
        </is>
      </c>
      <c r="G17324" s="10" t="inlineStr">
        <is>
          <t>30-03-2026</t>
        </is>
      </c>
      <c r="H17324" s="10" t="inlineStr">
        <is>
          <t>30/03/2026</t>
        </is>
      </c>
      <c r="I17324" s="10" t="inlineStr">
        <is>
          <t>17/03/2026</t>
        </is>
      </c>
      <c r="J17324" s="10" t="inlineStr">
        <is>
          <t>Sản xuất / Vận hành sản xuất, Dệt may / Da giày / Thời trang, Ngành khác</t>
        </is>
      </c>
      <c r="K17324" s="10" t="inlineStr">
        <is>
          <t>3 - 4 Năm</t>
        </is>
      </c>
      <c r="L17324" s="11">
        <f>HYPERLINK("https://careerviet.vn/vi/tim-viec-lam/chuyen-vien-phat-trien-san-pham-may-mac-product-development-executive-garment.35C68DA8.html","Xem chi tiết")</f>
        <v/>
      </c>
      <c r="M17324" s="10" t="n"/>
    </row>
    <row r="17325">
      <c r="B17325" s="7" t="n">
        <v>17323</v>
      </c>
      <c r="C17325" t="inlineStr">
        <is>
          <t>Kế toán nội bộ</t>
        </is>
      </c>
      <c r="D17325" t="inlineStr">
        <is>
          <t>CÔNG TY TNHH GLOBAL INVESTORS</t>
        </is>
      </c>
      <c r="E17325" t="inlineStr">
        <is>
          <t>Lương:7 Tr - 12,5 Tr VND</t>
        </is>
      </c>
      <c r="F17325" t="inlineStr">
        <is>
          <t>Hồ Chí Minh</t>
        </is>
      </c>
      <c r="G17325" t="inlineStr">
        <is>
          <t>6</t>
        </is>
      </c>
      <c r="H17325" t="inlineStr">
        <is>
          <t>23/03/2026</t>
        </is>
      </c>
      <c r="I17325" t="inlineStr">
        <is>
          <t>17/03/2026</t>
        </is>
      </c>
      <c r="J17325" t="inlineStr">
        <is>
          <t>Kế toán / Kiểm toán, Thực phẩm &amp; Đồ uống</t>
        </is>
      </c>
      <c r="K17325" t="inlineStr">
        <is>
          <t>Trên 1 Năm</t>
        </is>
      </c>
      <c r="L17325" s="8">
        <f>HYPERLINK("https://careerviet.vn/vi/tim-viec-lam/ke-toan-noi-bo.35C68EC9.html","Xem chi tiết")</f>
        <v/>
      </c>
    </row>
    <row r="17326">
      <c r="B17326" s="9" t="n">
        <v>17324</v>
      </c>
      <c r="C17326" s="10" t="inlineStr">
        <is>
          <t>Cán bộ giám sát xây dựng công trình - Ban Quản lý dự án</t>
        </is>
      </c>
      <c r="D17326" s="10" t="inlineStr">
        <is>
          <t>CÔNG TY CP ĐẦU TƯ PHÁT TRIỂN TRÍ DƯƠNG</t>
        </is>
      </c>
      <c r="E17326" s="10" t="inlineStr">
        <is>
          <t>Lương:15 Tr - 25 Tr VND</t>
        </is>
      </c>
      <c r="F17326" s="10" t="inlineStr">
        <is>
          <t>Nghệ An</t>
        </is>
      </c>
      <c r="G17326" s="10" t="inlineStr">
        <is>
          <t>08-03-2026</t>
        </is>
      </c>
      <c r="H17326" s="10" t="inlineStr">
        <is>
          <t>14/03/2026</t>
        </is>
      </c>
      <c r="I17326" s="10" t="inlineStr">
        <is>
          <t>17/03/2026</t>
        </is>
      </c>
      <c r="J17326" s="10" t="inlineStr">
        <is>
          <t>Xây dựng, Bất động sản</t>
        </is>
      </c>
      <c r="K17326" s="10" t="inlineStr">
        <is>
          <t>5 - 10 Năm</t>
        </is>
      </c>
      <c r="L17326" s="11">
        <f>HYPERLINK("https://careerviet.vn/vi/tim-viec-lam/can-bo-giam-sat-xay-dung-cong-trinh-ban-quan-ly-du-an.35C68EEA.html","Xem chi tiết")</f>
        <v/>
      </c>
      <c r="M17326" s="10" t="n"/>
    </row>
    <row r="17327">
      <c r="B17327" s="7" t="n">
        <v>17325</v>
      </c>
      <c r="C17327" t="inlineStr">
        <is>
          <t>Medical Sales Representative (Khu vực HCM)</t>
        </is>
      </c>
      <c r="D17327" t="inlineStr">
        <is>
          <t>DIAG</t>
        </is>
      </c>
      <c r="E17327" t="inlineStr">
        <is>
          <t>Lương:Cạnh tranh</t>
        </is>
      </c>
      <c r="F17327" t="inlineStr">
        <is>
          <t>Hồ Chí Minh</t>
        </is>
      </c>
      <c r="G17327" t="inlineStr">
        <is>
          <t>31-03-2026</t>
        </is>
      </c>
      <c r="H17327" t="inlineStr">
        <is>
          <t>31/03/2026</t>
        </is>
      </c>
      <c r="I17327" t="inlineStr">
        <is>
          <t>17/03/2026</t>
        </is>
      </c>
      <c r="J17327" t="inlineStr">
        <is>
          <t>Công nghệ thực phẩm / Dinh dưỡng, Hàng gia dụng / Chăm sóc cá nhân, Y tế / Chăm sóc sức khỏe / Thẩm mỹ / Làm đẹp</t>
        </is>
      </c>
      <c r="K17327" t="inlineStr">
        <is>
          <t>1 - 2 Năm</t>
        </is>
      </c>
      <c r="L17327" s="8">
        <f>HYPERLINK("https://careerviet.vn/vi/tim-viec-lam/medical-sales-representative-khu-vuc-hcm.35C68CA1.html","Xem chi tiết")</f>
        <v/>
      </c>
    </row>
    <row r="17328">
      <c r="B17328" s="9" t="n">
        <v>17326</v>
      </c>
      <c r="C17328" s="10" t="inlineStr">
        <is>
          <t>[Long An] Chuyên viên hành chính nhân sự</t>
        </is>
      </c>
      <c r="D17328" s="10" t="inlineStr">
        <is>
          <t>Tập Đoàn Tân Á Đại Thành</t>
        </is>
      </c>
      <c r="E17328" s="10" t="inlineStr">
        <is>
          <t>Lương:12 Tr - 13 Tr VND</t>
        </is>
      </c>
      <c r="F17328" s="10" t="inlineStr">
        <is>
          <t>Long An</t>
        </is>
      </c>
      <c r="G17328" s="10" t="inlineStr">
        <is>
          <t>31-03-2026</t>
        </is>
      </c>
      <c r="H17328" s="10" t="inlineStr">
        <is>
          <t>31/03/2026</t>
        </is>
      </c>
      <c r="I17328" s="10" t="inlineStr">
        <is>
          <t>17/03/2026</t>
        </is>
      </c>
      <c r="J17328" s="10" t="inlineStr">
        <is>
          <t>Nhân sự, Hành chính / Thư ký, Sản xuất / Vận hành sản xuất</t>
        </is>
      </c>
      <c r="K17328" s="10" t="inlineStr">
        <is>
          <t>2 - 3 Năm</t>
        </is>
      </c>
      <c r="L17328" s="11">
        <f>HYPERLINK("https://careerviet.vn/vi/tim-viec-lam/long-an-chuyen-vien-hanh-chinh-nhan-su.35C68CB2.html","Xem chi tiết")</f>
        <v/>
      </c>
      <c r="M17328" s="10" t="n"/>
    </row>
    <row r="17329">
      <c r="B17329" s="7" t="n">
        <v>17327</v>
      </c>
      <c r="C17329" t="inlineStr">
        <is>
          <t>[NovaService] Trưởng phòng Quản lý Nhân tài (Talent Management Manager)</t>
        </is>
      </c>
      <c r="D17329" t="inlineStr">
        <is>
          <t>Nova Service Group - Công ty Cổ phần Tập đoàn Nova Services</t>
        </is>
      </c>
      <c r="E17329" t="inlineStr">
        <is>
          <t>Lương:Cạnh tranh</t>
        </is>
      </c>
      <c r="F17329" t="inlineStr">
        <is>
          <t>Hồ Chí Minh</t>
        </is>
      </c>
      <c r="G17329" t="inlineStr">
        <is>
          <t>31-03-2026</t>
        </is>
      </c>
      <c r="H17329" t="inlineStr">
        <is>
          <t>31/03/2026</t>
        </is>
      </c>
      <c r="I17329" t="inlineStr">
        <is>
          <t>17/03/2026</t>
        </is>
      </c>
      <c r="J17329" t="inlineStr">
        <is>
          <t>Nhân sự</t>
        </is>
      </c>
      <c r="K17329" t="inlineStr">
        <is>
          <t>5 - 7 Năm</t>
        </is>
      </c>
      <c r="L17329" s="8">
        <f>HYPERLINK("https://careerviet.vn/vi/tim-viec-lam/novaservice-truong-phong-quan-ly-nhan-tai-talent-management-manager.35C68EBA.html","Xem chi tiết")</f>
        <v/>
      </c>
    </row>
    <row r="17330">
      <c r="B17330" s="9" t="n">
        <v>17328</v>
      </c>
      <c r="C17330" s="10" t="inlineStr">
        <is>
          <t>Chuyên viên Thẩm định Khách hàng Doanh nghiệp</t>
        </is>
      </c>
      <c r="D17330" s="10" t="inlineStr">
        <is>
          <t>Ngân Hàng TMCP Sài Gòn - Hà Nội ( SHB )</t>
        </is>
      </c>
      <c r="E17330" s="10" t="inlineStr">
        <is>
          <t>Lương:Cạnh tranh</t>
        </is>
      </c>
      <c r="F17330" s="10" t="inlineStr">
        <is>
          <t>Nghệ An</t>
        </is>
      </c>
      <c r="G17330" s="10" t="inlineStr">
        <is>
          <t>25-03-2026</t>
        </is>
      </c>
      <c r="H17330" s="10" t="inlineStr">
        <is>
          <t>25/03/2026</t>
        </is>
      </c>
      <c r="I17330" s="10" t="inlineStr">
        <is>
          <t>17/03/2026</t>
        </is>
      </c>
      <c r="J17330" s="10" t="inlineStr">
        <is>
          <t>Ngân hàng</t>
        </is>
      </c>
      <c r="K17330" s="10" t="inlineStr">
        <is>
          <t>null - null Năm</t>
        </is>
      </c>
      <c r="L17330" s="11">
        <f>HYPERLINK("https://careerviet.vn/vi/tim-viec-lam/chuyen-vien-tham-dinh-khach-hang-doanh-nghiep.35C68E92.html","Xem chi tiết")</f>
        <v/>
      </c>
      <c r="M17330" s="10" t="n"/>
    </row>
    <row r="17331">
      <c r="B17331" s="7" t="n">
        <v>17329</v>
      </c>
      <c r="C17331" t="inlineStr">
        <is>
          <t>[Tân Uyên Bình Dương] Admin kiêm CSKH</t>
        </is>
      </c>
      <c r="D17331" t="inlineStr">
        <is>
          <t>Công Ty Cổ Phần Vacxin Việt Nam</t>
        </is>
      </c>
      <c r="E17331" t="inlineStr">
        <is>
          <t>Lương:Cạnh tranh</t>
        </is>
      </c>
      <c r="F17331" t="inlineStr">
        <is>
          <t>Bình Dương</t>
        </is>
      </c>
      <c r="G17331" t="inlineStr">
        <is>
          <t>08-03-2026</t>
        </is>
      </c>
      <c r="H17331" t="inlineStr">
        <is>
          <t>15/03/2026</t>
        </is>
      </c>
      <c r="I17331" t="inlineStr">
        <is>
          <t>17/03/2026</t>
        </is>
      </c>
      <c r="J17331" t="inlineStr">
        <is>
          <t>Dịch vụ khách hàng, Hành chính / Thư ký, Kế toán / Kiểm toán</t>
        </is>
      </c>
      <c r="K17331" t="inlineStr">
        <is>
          <t>1 - 2 Năm</t>
        </is>
      </c>
      <c r="L17331" s="8">
        <f>HYPERLINK("https://careerviet.vn/vi/tim-viec-lam/tan-uyen-binh-duong-admin-kiem-cskh.35C68F07.html","Xem chi tiết")</f>
        <v/>
      </c>
    </row>
    <row r="17332">
      <c r="B17332" s="9" t="n">
        <v>17330</v>
      </c>
      <c r="C17332" s="10" t="inlineStr">
        <is>
          <t>Tổ trưởng SMT biết tiếng Trung</t>
        </is>
      </c>
      <c r="D17332" s="10" t="inlineStr">
        <is>
          <t>CÔNG TY TNHH QISDA VIỆT NAM</t>
        </is>
      </c>
      <c r="E17332" s="10" t="inlineStr">
        <is>
          <t>Lương:Cạnh tranh</t>
        </is>
      </c>
      <c r="F17332" s="10" t="inlineStr">
        <is>
          <t>Hà Nam</t>
        </is>
      </c>
      <c r="G17332" s="10" t="inlineStr">
        <is>
          <t>25-03-2026</t>
        </is>
      </c>
      <c r="H17332" s="10" t="inlineStr">
        <is>
          <t>25/03/2026</t>
        </is>
      </c>
      <c r="I17332" s="10" t="inlineStr">
        <is>
          <t>17/03/2026</t>
        </is>
      </c>
      <c r="J17332" s="10" t="inlineStr">
        <is>
          <t>Sản xuất / Vận hành sản xuất</t>
        </is>
      </c>
      <c r="K17332" s="10" t="inlineStr">
        <is>
          <t>null - null Năm</t>
        </is>
      </c>
      <c r="L17332" s="11">
        <f>HYPERLINK("https://careerviet.vn/vi/tim-viec-lam/to-truong-smt-biet-tieng-trung.35C68ED6.html","Xem chi tiết")</f>
        <v/>
      </c>
      <c r="M17332" s="10" t="n"/>
    </row>
    <row r="17333">
      <c r="B17333" s="7" t="n">
        <v>17331</v>
      </c>
      <c r="C17333" t="inlineStr">
        <is>
          <t>[HO] MIS DEVELOPER</t>
        </is>
      </c>
      <c r="D17333" t="inlineStr">
        <is>
          <t>Shinhan Bank Vietnam</t>
        </is>
      </c>
      <c r="E17333" t="inlineStr">
        <is>
          <t>Lương:Cạnh tranh</t>
        </is>
      </c>
      <c r="F17333" t="inlineStr">
        <is>
          <t>Hồ Chí Minh</t>
        </is>
      </c>
      <c r="G17333" t="inlineStr">
        <is>
          <t>25-03-2026</t>
        </is>
      </c>
      <c r="H17333" t="inlineStr">
        <is>
          <t>25/03/2026</t>
        </is>
      </c>
      <c r="I17333" t="inlineStr">
        <is>
          <t>17/03/2026</t>
        </is>
      </c>
      <c r="J17333" t="inlineStr">
        <is>
          <t>Ngân hàng</t>
        </is>
      </c>
      <c r="K17333" t="inlineStr">
        <is>
          <t>null - null Năm</t>
        </is>
      </c>
      <c r="L17333" s="8">
        <f>HYPERLINK("https://careerviet.vn/vi/tim-viec-lam/ho-mis-developer.35C68F66.html","Xem chi tiết")</f>
        <v/>
      </c>
    </row>
    <row r="17334">
      <c r="B17334" s="9" t="n">
        <v>17332</v>
      </c>
      <c r="C17334" s="10" t="inlineStr">
        <is>
          <t>Kỹ sư JQE (Tiếng Trung)</t>
        </is>
      </c>
      <c r="D17334" s="10" t="inlineStr">
        <is>
          <t>CÔNG TY TNHH QISDA VIỆT NAM</t>
        </is>
      </c>
      <c r="E17334" s="10" t="inlineStr">
        <is>
          <t>Lương:Cạnh tranh</t>
        </is>
      </c>
      <c r="F17334" s="10" t="inlineStr">
        <is>
          <t>Hà Nam</t>
        </is>
      </c>
      <c r="G17334" s="10" t="inlineStr">
        <is>
          <t>25-03-2026</t>
        </is>
      </c>
      <c r="H17334" s="10" t="inlineStr">
        <is>
          <t>25/03/2026</t>
        </is>
      </c>
      <c r="I17334" s="10" t="inlineStr">
        <is>
          <t>17/03/2026</t>
        </is>
      </c>
      <c r="J17334" s="10" t="inlineStr">
        <is>
          <t>Quản lý chất lượng (QA/QC)</t>
        </is>
      </c>
      <c r="K17334" s="10" t="inlineStr">
        <is>
          <t>null - null Năm</t>
        </is>
      </c>
      <c r="L17334" s="11">
        <f>HYPERLINK("https://careerviet.vn/vi/tim-viec-lam/ky-su-jqe-tieng-trung.35C68E86.html","Xem chi tiết")</f>
        <v/>
      </c>
      <c r="M17334" s="10" t="n"/>
    </row>
    <row r="17335">
      <c r="B17335" s="7" t="n">
        <v>17333</v>
      </c>
      <c r="C17335" t="inlineStr">
        <is>
          <t>Nhân Viên Điều Khiển</t>
        </is>
      </c>
      <c r="D17335" t="inlineStr">
        <is>
          <t>CÔNG TY CỔ PHẦN THỦY SẢN CÔNG NGHỆ CAO GROWMAX</t>
        </is>
      </c>
      <c r="E17335" t="inlineStr">
        <is>
          <t>Lương:Cạnh tranh</t>
        </is>
      </c>
      <c r="F17335" t="inlineStr">
        <is>
          <t>Đồng Nai</t>
        </is>
      </c>
      <c r="G17335" t="inlineStr">
        <is>
          <t>5</t>
        </is>
      </c>
      <c r="H17335" t="inlineStr">
        <is>
          <t>22/03/2026</t>
        </is>
      </c>
      <c r="I17335" t="inlineStr">
        <is>
          <t>17/03/2026</t>
        </is>
      </c>
      <c r="J17335" t="inlineStr">
        <is>
          <t>Điện / Điện tử / Điện lạnh / Điện công nghiệp, Bảo trì / Sửa chữa, Sản xuất / Vận hành sản xuất</t>
        </is>
      </c>
      <c r="K17335" t="inlineStr">
        <is>
          <t>N/A</t>
        </is>
      </c>
      <c r="L17335" s="8">
        <f>HYPERLINK("https://careerviet.vn/vi/tim-viec-lam/nhan-vien-dieu-khien.35C68DE5.html","Xem chi tiết")</f>
        <v/>
      </c>
    </row>
    <row r="17336">
      <c r="B17336" s="9" t="n">
        <v>17334</v>
      </c>
      <c r="C17336" s="10" t="inlineStr">
        <is>
          <t>Nhân viên kinh doanh</t>
        </is>
      </c>
      <c r="D17336" s="10" t="inlineStr">
        <is>
          <t>Công ty Cổ phần Transimex Logisitcs</t>
        </is>
      </c>
      <c r="E17336" s="10" t="inlineStr">
        <is>
          <t>Lương:Cạnh tranh</t>
        </is>
      </c>
      <c r="F17336" s="10" t="inlineStr">
        <is>
          <t>Hồ Chí Minh</t>
        </is>
      </c>
      <c r="G17336" s="10" t="inlineStr">
        <is>
          <t>5</t>
        </is>
      </c>
      <c r="H17336" s="10" t="inlineStr">
        <is>
          <t>22/03/2026</t>
        </is>
      </c>
      <c r="I17336" s="10" t="inlineStr">
        <is>
          <t>17/03/2026</t>
        </is>
      </c>
      <c r="J17336" s="10" t="inlineStr">
        <is>
          <t>Vận chuyển / Giao nhận / Kho vận, Xuất nhập khẩu, Bán hàng / Kinh doanh</t>
        </is>
      </c>
      <c r="K17336" s="10" t="inlineStr">
        <is>
          <t>1 - 5 Năm</t>
        </is>
      </c>
      <c r="L17336" s="11">
        <f>HYPERLINK("https://careerviet.vn/vi/tim-viec-lam/nhan-vien-kinh-doanh.35C68D23.html","Xem chi tiết")</f>
        <v/>
      </c>
      <c r="M17336" s="10" t="n"/>
    </row>
    <row r="17337">
      <c r="B17337" s="7" t="n">
        <v>17335</v>
      </c>
      <c r="C17337" t="inlineStr">
        <is>
          <t>TỔNG QUẢN LÝ NHÀ HÀNG ÂU (Operation Manager)</t>
        </is>
      </c>
      <c r="D17337" t="inlineStr">
        <is>
          <t>Công Ty TNHH Dịch Vụ TL</t>
        </is>
      </c>
      <c r="E17337" t="inlineStr">
        <is>
          <t>Lương:Cạnh tranh</t>
        </is>
      </c>
      <c r="F17337" t="inlineStr">
        <is>
          <t>Hồ Chí Minh</t>
        </is>
      </c>
      <c r="G17337" t="inlineStr">
        <is>
          <t>31-03-2026</t>
        </is>
      </c>
      <c r="H17337" t="inlineStr">
        <is>
          <t>31/03/2026</t>
        </is>
      </c>
      <c r="I17337" t="inlineStr">
        <is>
          <t>17/03/2026</t>
        </is>
      </c>
      <c r="J17337" t="inlineStr">
        <is>
          <t>Nhà hàng / Khách sạn, Thực phẩm &amp; Đồ uống</t>
        </is>
      </c>
      <c r="K17337" t="inlineStr">
        <is>
          <t>Chưa có kinh nghiệm</t>
        </is>
      </c>
      <c r="L17337" s="8">
        <f>HYPERLINK("https://careerviet.vn/vi/tim-viec-lam/tong-quan-ly-nha-hang-au-operation-manager.35C68D9E.html","Xem chi tiết")</f>
        <v/>
      </c>
    </row>
    <row r="17338">
      <c r="B17338" s="9" t="n">
        <v>17336</v>
      </c>
      <c r="C17338" s="10" t="inlineStr">
        <is>
          <t>Nhân viên kinh doanh (ngành hàng kim khí) tại Hải Dương, Bà Rịa Vũng Tàu</t>
        </is>
      </c>
      <c r="D17338" s="10" t="inlineStr">
        <is>
          <t>Tập Đoàn Tân Á Đại Thành</t>
        </is>
      </c>
      <c r="E17338" s="10" t="inlineStr">
        <is>
          <t>Lương:8 Tr - 15 Tr VND</t>
        </is>
      </c>
      <c r="F17338" s="10" t="inlineStr">
        <is>
          <t>Hải DươngBà Rịa - Vũng Tàu</t>
        </is>
      </c>
      <c r="G17338" s="10" t="inlineStr">
        <is>
          <t>08-03-2026</t>
        </is>
      </c>
      <c r="H17338" s="10" t="inlineStr">
        <is>
          <t>15/03/2026</t>
        </is>
      </c>
      <c r="I17338" s="10" t="inlineStr">
        <is>
          <t>17/03/2026</t>
        </is>
      </c>
      <c r="J17338" s="10" t="inlineStr">
        <is>
          <t>Bán hàng / Kinh doanh</t>
        </is>
      </c>
      <c r="K17338" s="10" t="inlineStr">
        <is>
          <t>N/A</t>
        </is>
      </c>
      <c r="L17338" s="11">
        <f>HYPERLINK("https://careerviet.vn/vi/tim-viec-lam/nhan-vien-kinh-doanh-nganh-hang-kim-khi-tai-hai-duong-ba-ria-vung-tau.35C68CEA.html","Xem chi tiết")</f>
        <v/>
      </c>
      <c r="M17338" s="10" t="n"/>
    </row>
    <row r="17339">
      <c r="B17339" s="7" t="n">
        <v>17337</v>
      </c>
      <c r="C17339" t="inlineStr">
        <is>
          <t>KEY ACCOUNT MANAGER (kênh ETC - bệnh viện)</t>
        </is>
      </c>
      <c r="D17339" t="inlineStr">
        <is>
          <t>Bảo mật</t>
        </is>
      </c>
      <c r="E17339" t="inlineStr">
        <is>
          <t>Lương:15 Tr - 30 Tr VND</t>
        </is>
      </c>
      <c r="F17339" t="inlineStr">
        <is>
          <t>Hồ Chí Minh</t>
        </is>
      </c>
      <c r="G17339" t="inlineStr">
        <is>
          <t>31-03-2026</t>
        </is>
      </c>
      <c r="H17339" t="inlineStr">
        <is>
          <t>31/03/2026</t>
        </is>
      </c>
      <c r="I17339" t="inlineStr">
        <is>
          <t>17/03/2026</t>
        </is>
      </c>
      <c r="J17339" t="inlineStr">
        <is>
          <t>Bán hàng / Kinh doanh, Y tế / Chăm sóc sức khỏe / Thẩm mỹ / Làm đẹp, Dược phẩm/ Hóa Mỹ Phẩm</t>
        </is>
      </c>
      <c r="K17339" t="inlineStr">
        <is>
          <t>3 - 6 Năm</t>
        </is>
      </c>
      <c r="L17339" s="8">
        <f>HYPERLINK("https://careerviet.vn/vi/tim-viec-lam/key-account-manager-kenh-etc-benh-vien.35C68D76.html","Xem chi tiết")</f>
        <v/>
      </c>
    </row>
    <row r="17340">
      <c r="B17340" s="9" t="n">
        <v>17338</v>
      </c>
      <c r="C17340" s="10" t="inlineStr">
        <is>
          <t>[CITIGYM] HRBP Manager</t>
        </is>
      </c>
      <c r="D17340" s="10" t="inlineStr">
        <is>
          <t>Nova Service Group - Công ty Cổ phần Tập đoàn Nova Services</t>
        </is>
      </c>
      <c r="E17340" s="10" t="inlineStr">
        <is>
          <t>Lương:30 Tr - 45 Tr VND</t>
        </is>
      </c>
      <c r="F17340" s="10" t="inlineStr">
        <is>
          <t>Hồ Chí Minh</t>
        </is>
      </c>
      <c r="G17340" s="10" t="inlineStr">
        <is>
          <t>31-03-2026</t>
        </is>
      </c>
      <c r="H17340" s="10" t="inlineStr">
        <is>
          <t>31/03/2026</t>
        </is>
      </c>
      <c r="I17340" s="10" t="inlineStr">
        <is>
          <t>17/03/2026</t>
        </is>
      </c>
      <c r="J17340" s="10" t="inlineStr">
        <is>
          <t>Nhân sự</t>
        </is>
      </c>
      <c r="K17340" s="10" t="inlineStr">
        <is>
          <t>5 - 7 Năm</t>
        </is>
      </c>
      <c r="L17340" s="11">
        <f>HYPERLINK("https://careerviet.vn/vi/tim-viec-lam/citigym-hrbp-manager.35C68E9B.html","Xem chi tiết")</f>
        <v/>
      </c>
      <c r="M17340" s="10" t="n"/>
    </row>
    <row r="17341">
      <c r="B17341" s="7" t="n">
        <v>17339</v>
      </c>
      <c r="C17341" t="inlineStr">
        <is>
          <t>Kế toán trưởng</t>
        </is>
      </c>
      <c r="D17341" t="inlineStr">
        <is>
          <t>Công Ty Cổ Phần A25 Hotel</t>
        </is>
      </c>
      <c r="E17341" t="inlineStr">
        <is>
          <t>Lương:35 Tr - 60 Tr VND</t>
        </is>
      </c>
      <c r="F17341" t="inlineStr">
        <is>
          <t>Hà Nội</t>
        </is>
      </c>
      <c r="G17341" t="inlineStr">
        <is>
          <t>31-03-2026</t>
        </is>
      </c>
      <c r="H17341" t="inlineStr">
        <is>
          <t>31/03/2026</t>
        </is>
      </c>
      <c r="I17341" t="inlineStr">
        <is>
          <t>17/03/2026</t>
        </is>
      </c>
      <c r="J17341" t="inlineStr">
        <is>
          <t>Kế toán / Kiểm toán, Tài chính / Đầu tư, Nhà hàng / Khách sạn</t>
        </is>
      </c>
      <c r="K17341" t="inlineStr">
        <is>
          <t>5 - 7 Năm</t>
        </is>
      </c>
      <c r="L17341" s="8">
        <f>HYPERLINK("https://careerviet.vn/vi/tim-viec-lam/ke-toan-truong.35C68F31.html","Xem chi tiết")</f>
        <v/>
      </c>
    </row>
    <row r="17342">
      <c r="B17342" s="9" t="n">
        <v>17340</v>
      </c>
      <c r="C17342" s="10" t="inlineStr">
        <is>
          <t>[Bình Dương] Store Manager - Cửa hàng trưởng</t>
        </is>
      </c>
      <c r="D17342" s="10" t="inlineStr">
        <is>
          <t>Starbucks Vietnam</t>
        </is>
      </c>
      <c r="E17342" s="10" t="inlineStr">
        <is>
          <t>Lương:Cạnh tranh</t>
        </is>
      </c>
      <c r="F17342" s="10" t="inlineStr">
        <is>
          <t>Bình Dương</t>
        </is>
      </c>
      <c r="G17342" s="10" t="inlineStr">
        <is>
          <t>08-03-2026</t>
        </is>
      </c>
      <c r="H17342" s="10" t="inlineStr">
        <is>
          <t>10/03/2026</t>
        </is>
      </c>
      <c r="I17342" s="10" t="inlineStr">
        <is>
          <t>17/03/2026</t>
        </is>
      </c>
      <c r="J17342" s="10" t="inlineStr">
        <is>
          <t>Bán lẻ / Bán sỉ, Thực phẩm &amp; Đồ uống, Nhà hàng / Khách sạn</t>
        </is>
      </c>
      <c r="K17342" s="10" t="inlineStr">
        <is>
          <t>2 - 8 Năm</t>
        </is>
      </c>
      <c r="L17342" s="11">
        <f>HYPERLINK("https://careerviet.vn/vi/tim-viec-lam/binh-duong-store-manager-cua-hang-truong.35C68E52.html","Xem chi tiết")</f>
        <v/>
      </c>
      <c r="M17342" s="10" t="n"/>
    </row>
    <row r="17343">
      <c r="B17343" s="7" t="n">
        <v>17341</v>
      </c>
      <c r="C17343" t="inlineStr">
        <is>
          <t>Trưởng ban kiểm soát nội bộ (BĐS CĐT)</t>
        </is>
      </c>
      <c r="D17343" t="inlineStr">
        <is>
          <t>Careerbuilders' Client</t>
        </is>
      </c>
      <c r="E17343" t="inlineStr">
        <is>
          <t>Lương:Cạnh tranh</t>
        </is>
      </c>
      <c r="F17343" t="inlineStr">
        <is>
          <t>Hồ Chí Minh</t>
        </is>
      </c>
      <c r="G17343" t="inlineStr">
        <is>
          <t>24-03-2026</t>
        </is>
      </c>
      <c r="H17343" t="inlineStr">
        <is>
          <t>24/03/2026</t>
        </is>
      </c>
      <c r="I17343" t="inlineStr">
        <is>
          <t>17/03/2026</t>
        </is>
      </c>
      <c r="J17343" t="inlineStr">
        <is>
          <t>Xây dựng, Kế toán / Kiểm toán, Bất động sản</t>
        </is>
      </c>
      <c r="K17343" t="inlineStr">
        <is>
          <t>10 - 15 Năm</t>
        </is>
      </c>
      <c r="L17343" s="8">
        <f>HYPERLINK("https://careerviet.vn/vi/tim-viec-lam/truong-ban-kiem-soat-noi-bo-bds-cdt.35C68F7E.html","Xem chi tiết")</f>
        <v/>
      </c>
    </row>
    <row r="17344">
      <c r="B17344" s="9" t="n">
        <v>17342</v>
      </c>
      <c r="C17344" s="10" t="inlineStr">
        <is>
          <t>Nhân Viên Kế Toán Nội Bộ</t>
        </is>
      </c>
      <c r="D17344" s="10" t="inlineStr">
        <is>
          <t>Công ty TNHH TANEYA</t>
        </is>
      </c>
      <c r="E17344" s="10" t="inlineStr">
        <is>
          <t>Lương:13 Tr - 18 Tr VND</t>
        </is>
      </c>
      <c r="F17344" s="10" t="inlineStr">
        <is>
          <t>Bắc Ninh</t>
        </is>
      </c>
      <c r="G17344" s="10" t="inlineStr">
        <is>
          <t>31-03-2026</t>
        </is>
      </c>
      <c r="H17344" s="10" t="inlineStr">
        <is>
          <t>31/03/2026</t>
        </is>
      </c>
      <c r="I17344" s="10" t="inlineStr">
        <is>
          <t>17/03/2026</t>
        </is>
      </c>
      <c r="J17344" s="10" t="inlineStr">
        <is>
          <t>Kế toán / Kiểm toán</t>
        </is>
      </c>
      <c r="K17344" s="10" t="inlineStr">
        <is>
          <t>Trên 1 Năm</t>
        </is>
      </c>
      <c r="L17344" s="11">
        <f>HYPERLINK("https://careerviet.vn/vi/tim-viec-lam/nhan-vien-ke-toan-noi-bo.35C68EEF.html","Xem chi tiết")</f>
        <v/>
      </c>
      <c r="M17344" s="10" t="n"/>
    </row>
    <row r="17345">
      <c r="B17345" s="7" t="n">
        <v>17343</v>
      </c>
      <c r="C17345" t="inlineStr">
        <is>
          <t>HRGA Manager</t>
        </is>
      </c>
      <c r="D17345" t="inlineStr">
        <is>
          <t>CÔNG TY TNHH JOB HOUSE</t>
        </is>
      </c>
      <c r="E17345" t="inlineStr">
        <is>
          <t>Lương:30 Tr - 50 Tr VND</t>
        </is>
      </c>
      <c r="F17345" t="inlineStr">
        <is>
          <t>Hà Nội</t>
        </is>
      </c>
      <c r="G17345" t="inlineStr">
        <is>
          <t>3</t>
        </is>
      </c>
      <c r="H17345" t="inlineStr">
        <is>
          <t>20/03/2026</t>
        </is>
      </c>
      <c r="I17345" t="inlineStr">
        <is>
          <t>17/03/2026</t>
        </is>
      </c>
      <c r="J17345" t="inlineStr">
        <is>
          <t>Nhân sự, Hành chính / Thư ký, Sản xuất / Vận hành sản xuất</t>
        </is>
      </c>
      <c r="K17345" t="inlineStr">
        <is>
          <t>Trên 5 Năm</t>
        </is>
      </c>
      <c r="L17345" s="8">
        <f>HYPERLINK("https://careerviet.vn/vi/tim-viec-lam/hrga-manager.35C68EB8.html","Xem chi tiết")</f>
        <v/>
      </c>
    </row>
    <row r="17346">
      <c r="B17346" s="9" t="n">
        <v>17344</v>
      </c>
      <c r="C17346" s="10" t="inlineStr">
        <is>
          <t>CHUYÊN VIÊN KẾ TOÁN NGÂN HÀNG</t>
        </is>
      </c>
      <c r="D17346" s="10" t="inlineStr">
        <is>
          <t>CÔNG TY CỔ PHẦN CẢNG TÀU KHÁCH QUỐC TẾ TUẦN CHÂU</t>
        </is>
      </c>
      <c r="E17346" s="10" t="inlineStr">
        <is>
          <t>Lương:Cạnh tranh</t>
        </is>
      </c>
      <c r="F17346" s="10" t="inlineStr">
        <is>
          <t>Quảng Ninh</t>
        </is>
      </c>
      <c r="G17346" s="10" t="inlineStr">
        <is>
          <t>25-03-2026</t>
        </is>
      </c>
      <c r="H17346" s="10" t="inlineStr">
        <is>
          <t>25/03/2026</t>
        </is>
      </c>
      <c r="I17346" s="10" t="inlineStr">
        <is>
          <t>17/03/2026</t>
        </is>
      </c>
      <c r="J17346" s="10" t="inlineStr">
        <is>
          <t>Kế toán / Kiểm toán</t>
        </is>
      </c>
      <c r="K17346" s="10" t="inlineStr">
        <is>
          <t>null - null Năm</t>
        </is>
      </c>
      <c r="L17346" s="11">
        <f>HYPERLINK("https://careerviet.vn/vi/tim-viec-lam/chuyen-vien-ke-toan-ngan-hang.35C68E6A.html","Xem chi tiết")</f>
        <v/>
      </c>
      <c r="M17346" s="10" t="n"/>
    </row>
    <row r="17347">
      <c r="B17347" s="7" t="n">
        <v>17345</v>
      </c>
      <c r="C17347" t="inlineStr">
        <is>
          <t>Điều Phối Hàng Hóa Chi Nhánh Ninh Bình</t>
        </is>
      </c>
      <c r="D17347" t="inlineStr">
        <is>
          <t>Công ty TNHH X.E Việt Nam</t>
        </is>
      </c>
      <c r="E17347" t="inlineStr">
        <is>
          <t>Lương:11 Tr - 14 Tr VND</t>
        </is>
      </c>
      <c r="F17347" t="inlineStr">
        <is>
          <t>Ninh Bình</t>
        </is>
      </c>
      <c r="G17347" t="inlineStr">
        <is>
          <t>25-03-2026</t>
        </is>
      </c>
      <c r="H17347" t="inlineStr">
        <is>
          <t>25/03/2026</t>
        </is>
      </c>
      <c r="I17347" t="inlineStr">
        <is>
          <t>17/03/2026</t>
        </is>
      </c>
      <c r="J17347" t="inlineStr">
        <is>
          <t>Vận chuyển / Giao nhận / Kho vận</t>
        </is>
      </c>
      <c r="K17347" t="inlineStr">
        <is>
          <t>N/A</t>
        </is>
      </c>
      <c r="L17347" s="8">
        <f>HYPERLINK("https://careerviet.vn/vi/tim-viec-lam/dieu-phoi-hang-hoa-chi-nhanh-ninh-binh.35C68CB7.html","Xem chi tiết")</f>
        <v/>
      </c>
    </row>
    <row r="17348">
      <c r="B17348" s="9" t="n">
        <v>17346</v>
      </c>
      <c r="C17348" s="10" t="inlineStr">
        <is>
          <t>Chuyên viên kinh doanh thiết bị điện (MCCB, MCB, MEP)</t>
        </is>
      </c>
      <c r="D17348" s="10" t="inlineStr">
        <is>
          <t>NANOCO GROUP</t>
        </is>
      </c>
      <c r="E17348" s="10" t="inlineStr">
        <is>
          <t>Lương:Cạnh tranh</t>
        </is>
      </c>
      <c r="F17348" s="10" t="inlineStr">
        <is>
          <t>Hồ Chí Minh</t>
        </is>
      </c>
      <c r="G17348" s="10" t="inlineStr">
        <is>
          <t>6</t>
        </is>
      </c>
      <c r="H17348" s="10" t="inlineStr">
        <is>
          <t>23/03/2026</t>
        </is>
      </c>
      <c r="I17348" s="10" t="inlineStr">
        <is>
          <t>17/03/2026</t>
        </is>
      </c>
      <c r="J17348" s="10" t="inlineStr">
        <is>
          <t>Bán lẻ / Bán sỉ, Bán hàng / Kinh doanh, Bán Hàng Kỹ Thuật</t>
        </is>
      </c>
      <c r="K17348" s="10" t="inlineStr">
        <is>
          <t>Trên 3 Năm</t>
        </is>
      </c>
      <c r="L17348" s="11">
        <f>HYPERLINK("https://careerviet.vn/vi/tim-viec-lam/chuyen-vien-kinh-doanh-thiet-bi-dien-mccb-mcb-mep.35C68E27.html","Xem chi tiết")</f>
        <v/>
      </c>
      <c r="M17348" s="10" t="n"/>
    </row>
    <row r="17349">
      <c r="B17349" s="7" t="n">
        <v>17347</v>
      </c>
      <c r="C17349" t="inlineStr">
        <is>
          <t>Kế toán trưởng (BĐS CĐT)</t>
        </is>
      </c>
      <c r="D17349" t="inlineStr">
        <is>
          <t>Careerbuilders' Client</t>
        </is>
      </c>
      <c r="E17349" t="inlineStr">
        <is>
          <t>Lương:Cạnh tranh</t>
        </is>
      </c>
      <c r="F17349" t="inlineStr">
        <is>
          <t>Hồ Chí Minh</t>
        </is>
      </c>
      <c r="G17349" t="inlineStr">
        <is>
          <t>24-03-2026</t>
        </is>
      </c>
      <c r="H17349" t="inlineStr">
        <is>
          <t>24/03/2026</t>
        </is>
      </c>
      <c r="I17349" t="inlineStr">
        <is>
          <t>17/03/2026</t>
        </is>
      </c>
      <c r="J17349" t="inlineStr">
        <is>
          <t>Kế toán / Kiểm toán, Bất động sản, Xây dựng</t>
        </is>
      </c>
      <c r="K17349" t="inlineStr">
        <is>
          <t>10 - 15 Năm</t>
        </is>
      </c>
      <c r="L17349" s="8">
        <f>HYPERLINK("https://careerviet.vn/vi/tim-viec-lam/ke-toan-truong-bds-cdt.35C68F7A.html","Xem chi tiết")</f>
        <v/>
      </c>
    </row>
    <row r="17350">
      <c r="B17350" s="9" t="n">
        <v>17348</v>
      </c>
      <c r="C17350" s="10" t="inlineStr">
        <is>
          <t>Chuyên viên đầu tư cao cấp</t>
        </is>
      </c>
      <c r="D17350" s="10" t="inlineStr">
        <is>
          <t>Bảo mật</t>
        </is>
      </c>
      <c r="E17350" s="10" t="inlineStr">
        <is>
          <t>Lương:Cạnh tranh</t>
        </is>
      </c>
      <c r="F17350" s="10" t="inlineStr">
        <is>
          <t>Hồ Chí Minh</t>
        </is>
      </c>
      <c r="G17350" s="10" t="inlineStr">
        <is>
          <t>24-03-2026</t>
        </is>
      </c>
      <c r="H17350" s="10" t="inlineStr">
        <is>
          <t>24/03/2026</t>
        </is>
      </c>
      <c r="I17350" s="10" t="inlineStr">
        <is>
          <t>17/03/2026</t>
        </is>
      </c>
      <c r="J17350" s="10" t="inlineStr">
        <is>
          <t>Tài chính / Đầu tư, Xây dựng, Bất động sản</t>
        </is>
      </c>
      <c r="K17350" s="10" t="inlineStr">
        <is>
          <t>10 - 15 Năm</t>
        </is>
      </c>
      <c r="L17350" s="11">
        <f>HYPERLINK("https://careerviet.vn/vi/tim-viec-lam/chuyen-vien-dau-tu-cao-cap.35C68F7C.html","Xem chi tiết")</f>
        <v/>
      </c>
      <c r="M17350" s="10" t="n"/>
    </row>
    <row r="17351">
      <c r="B17351" s="7" t="n">
        <v>17349</v>
      </c>
      <c r="C17351" t="inlineStr">
        <is>
          <t>Giám đốc Quản lý Khách hàng ưu tiên - khu vực Bắc Trung Bộ</t>
        </is>
      </c>
      <c r="D17351" t="inlineStr">
        <is>
          <t>Ngân Hàng TMCP Quốc Tế Việt Nam</t>
        </is>
      </c>
      <c r="E17351" t="inlineStr">
        <is>
          <t>Lương:Cạnh tranh</t>
        </is>
      </c>
      <c r="F17351" t="inlineStr">
        <is>
          <t>Đà Nẵng</t>
        </is>
      </c>
      <c r="G17351" t="inlineStr">
        <is>
          <t>06-04-2026</t>
        </is>
      </c>
      <c r="H17351" t="inlineStr">
        <is>
          <t>06/04/2026</t>
        </is>
      </c>
      <c r="I17351" t="inlineStr">
        <is>
          <t>17/03/2026</t>
        </is>
      </c>
      <c r="J17351" t="inlineStr">
        <is>
          <t>Kế toán / Kiểm toán, Ngân hàng, Bảo hiểm</t>
        </is>
      </c>
      <c r="K17351" t="inlineStr">
        <is>
          <t>Trên 3 Năm</t>
        </is>
      </c>
      <c r="L17351" s="8">
        <f>HYPERLINK("https://careerviet.vn/vi/tim-viec-lam/giam-doc-quan-ly-khach-hang-uu-tien-khu-vuc-bac-trung-bo.35C64B39.html","Xem chi tiết")</f>
        <v/>
      </c>
    </row>
    <row r="17352">
      <c r="B17352" s="9" t="n">
        <v>17350</v>
      </c>
      <c r="C17352" s="10" t="inlineStr">
        <is>
          <t>NHÂN VIÊN KINH DOANH - KHU VỰC ĐỒNG NAI</t>
        </is>
      </c>
      <c r="D17352" s="10" t="inlineStr">
        <is>
          <t>CÔNG TY TNHH CESCO VIỆT NAM</t>
        </is>
      </c>
      <c r="E17352" s="10" t="inlineStr">
        <is>
          <t>Lương:10 Tr - 13 Tr VND</t>
        </is>
      </c>
      <c r="F17352" s="10" t="inlineStr">
        <is>
          <t>Đồng Nai</t>
        </is>
      </c>
      <c r="G17352" s="10" t="inlineStr">
        <is>
          <t>06-04-2026</t>
        </is>
      </c>
      <c r="H17352" s="10" t="inlineStr">
        <is>
          <t>06/04/2026</t>
        </is>
      </c>
      <c r="I17352" s="10" t="inlineStr">
        <is>
          <t>17/03/2026</t>
        </is>
      </c>
      <c r="J17352" s="10" t="inlineStr">
        <is>
          <t>Bán lẻ / Bán sỉ, Bán hàng / Kinh doanh, Bán Hàng Kỹ Thuật</t>
        </is>
      </c>
      <c r="K17352" s="10" t="inlineStr">
        <is>
          <t>3 - 5 Năm</t>
        </is>
      </c>
      <c r="L17352" s="11">
        <f>HYPERLINK("https://careerviet.vn/vi/tim-viec-lam/nhan-vien-kinh-doanh-khu-vuc-dong-nai.35C64BD4.html","Xem chi tiết")</f>
        <v/>
      </c>
      <c r="M17352" s="10" t="n"/>
    </row>
    <row r="17353">
      <c r="B17353" s="7" t="n">
        <v>17351</v>
      </c>
      <c r="C17353" t="inlineStr">
        <is>
          <t>Giáo Viên Mầm Non</t>
        </is>
      </c>
      <c r="D17353" t="inlineStr">
        <is>
          <t>Công Ty TNHH Kindy City</t>
        </is>
      </c>
      <c r="E17353" t="inlineStr">
        <is>
          <t>Lương:9 Tr - 11 Tr VND</t>
        </is>
      </c>
      <c r="F17353" t="inlineStr">
        <is>
          <t>Hồ Chí Minh</t>
        </is>
      </c>
      <c r="G17353" t="inlineStr">
        <is>
          <t>06-04-2026</t>
        </is>
      </c>
      <c r="H17353" t="inlineStr">
        <is>
          <t>06/04/2026</t>
        </is>
      </c>
      <c r="I17353" t="inlineStr">
        <is>
          <t>17/03/2026</t>
        </is>
      </c>
      <c r="J17353" t="inlineStr">
        <is>
          <t>Giáo dục / Đào tạo, Mới tốt nghiệp / Thực tập</t>
        </is>
      </c>
      <c r="K17353" t="inlineStr">
        <is>
          <t>1 - 4 Năm</t>
        </is>
      </c>
      <c r="L17353" s="8">
        <f>HYPERLINK("https://careerviet.vn/vi/tim-viec-lam/giao-vien-mam-non.35C64B1B.html","Xem chi tiết")</f>
        <v/>
      </c>
    </row>
    <row r="17354">
      <c r="B17354" s="9" t="n">
        <v>17352</v>
      </c>
      <c r="C17354" s="10" t="inlineStr">
        <is>
          <t>Warehouse Manager (Material Warehouse)</t>
        </is>
      </c>
      <c r="D17354" s="10" t="inlineStr">
        <is>
          <t>Công ty TNHH GT Line Á Châu</t>
        </is>
      </c>
      <c r="E17354" s="10" t="inlineStr">
        <is>
          <t>Lương:Cạnh tranh</t>
        </is>
      </c>
      <c r="F17354" s="10" t="inlineStr">
        <is>
          <t>Bà Rịa - Vũng Tàu</t>
        </is>
      </c>
      <c r="G17354" s="10" t="inlineStr">
        <is>
          <t>06-04-2026</t>
        </is>
      </c>
      <c r="H17354" s="10" t="inlineStr">
        <is>
          <t>06/04/2026</t>
        </is>
      </c>
      <c r="I17354" s="10" t="inlineStr">
        <is>
          <t>17/03/2026</t>
        </is>
      </c>
      <c r="J17354" s="10" t="inlineStr">
        <is>
          <t>Vận chuyển / Giao nhận / Kho vận, Kế toán / Kiểm toán, Dệt may / Da giày / Thời trang</t>
        </is>
      </c>
      <c r="K17354" s="10" t="inlineStr">
        <is>
          <t>3 - 5 Năm</t>
        </is>
      </c>
      <c r="L17354" s="11">
        <f>HYPERLINK("https://careerviet.vn/vi/tim-viec-lam/warehouse-manager-material-warehouse.35C64A35.html","Xem chi tiết")</f>
        <v/>
      </c>
      <c r="M17354" s="10" t="n"/>
    </row>
    <row r="17355">
      <c r="B17355" s="7" t="n">
        <v>17353</v>
      </c>
      <c r="C17355" t="inlineStr">
        <is>
          <t>Công nhân lắp đặt</t>
        </is>
      </c>
      <c r="D17355" t="inlineStr">
        <is>
          <t>Công Ty Cổ Phần Eurowindow</t>
        </is>
      </c>
      <c r="E17355" t="inlineStr">
        <is>
          <t>Lương:Cạnh tranh</t>
        </is>
      </c>
      <c r="F17355" t="inlineStr">
        <is>
          <t>Hà Nội</t>
        </is>
      </c>
      <c r="G17355" t="inlineStr">
        <is>
          <t>06-04-2026</t>
        </is>
      </c>
      <c r="H17355" t="inlineStr">
        <is>
          <t>06/04/2026</t>
        </is>
      </c>
      <c r="I17355" t="inlineStr">
        <is>
          <t>17/03/2026</t>
        </is>
      </c>
      <c r="J17355" t="inlineStr">
        <is>
          <t>Cơ khí / Ô tô / Tự động hóa, Lao động phổ thông, Xây dựng</t>
        </is>
      </c>
      <c r="K17355" t="inlineStr">
        <is>
          <t>N/A</t>
        </is>
      </c>
      <c r="L17355" s="8">
        <f>HYPERLINK("https://careerviet.vn/vi/tim-viec-lam/cong-nhan-lap-dat.35C64AFE.html","Xem chi tiết")</f>
        <v/>
      </c>
    </row>
    <row r="17356">
      <c r="B17356" s="9" t="n">
        <v>17354</v>
      </c>
      <c r="C17356" s="10" t="inlineStr">
        <is>
          <t>Kế Toán Giá Thành (Nhà máy Karofi Hưng Yên)</t>
        </is>
      </c>
      <c r="D17356" s="10" t="inlineStr">
        <is>
          <t>Tập Đoàn Karofi Holding</t>
        </is>
      </c>
      <c r="E17356" s="10" t="inlineStr">
        <is>
          <t>Lương:Cạnh tranh</t>
        </is>
      </c>
      <c r="F17356" s="10" t="inlineStr">
        <is>
          <t>Hưng Yên</t>
        </is>
      </c>
      <c r="G17356" s="10" t="inlineStr">
        <is>
          <t>30-03-2026</t>
        </is>
      </c>
      <c r="H17356" s="10" t="inlineStr">
        <is>
          <t>30/03/2026</t>
        </is>
      </c>
      <c r="I17356" s="10" t="inlineStr">
        <is>
          <t>17/03/2026</t>
        </is>
      </c>
      <c r="J17356" s="10" t="inlineStr">
        <is>
          <t>Kế toán / Kiểm toán, Sản xuất / Vận hành sản xuất</t>
        </is>
      </c>
      <c r="K17356" s="10" t="inlineStr">
        <is>
          <t>1 - 3 Năm</t>
        </is>
      </c>
      <c r="L17356" s="11">
        <f>HYPERLINK("https://careerviet.vn/vi/tim-viec-lam/ke-toan-gia-thanh-nha-may-karofi-hung-yen.35C68F77.html","Xem chi tiết")</f>
        <v/>
      </c>
      <c r="M17356" s="10" t="n"/>
    </row>
    <row r="17357">
      <c r="B17357" s="7" t="n">
        <v>17355</v>
      </c>
      <c r="C17357" t="inlineStr">
        <is>
          <t>Quản Lý  Kinh Doanh Dự Án  (Project Sales Manager)</t>
        </is>
      </c>
      <c r="D17357" t="inlineStr">
        <is>
          <t>Công ty TNHH Dầu Nhờn GS Việt Nam</t>
        </is>
      </c>
      <c r="E17357" t="inlineStr">
        <is>
          <t>Lương:Cạnh tranh</t>
        </is>
      </c>
      <c r="F17357" t="inlineStr">
        <is>
          <t>Hải PhòngNam ĐịnhThái Bình</t>
        </is>
      </c>
      <c r="G17357" t="inlineStr">
        <is>
          <t>06-04-2026</t>
        </is>
      </c>
      <c r="H17357" t="inlineStr">
        <is>
          <t>06/04/2026</t>
        </is>
      </c>
      <c r="I17357" t="inlineStr">
        <is>
          <t>17/03/2026</t>
        </is>
      </c>
      <c r="J17357" t="inlineStr">
        <is>
          <t>Bán hàng / Kinh doanh, Dịch vụ khách hàng, Dầu khí</t>
        </is>
      </c>
      <c r="K17357" t="inlineStr">
        <is>
          <t>3 - 5 Năm</t>
        </is>
      </c>
      <c r="L17357" s="8">
        <f>HYPERLINK("https://careerviet.vn/vi/tim-viec-lam/quan-ly-kinh-doanh-du-an-project-sales-manager.35C64B7F.html","Xem chi tiết")</f>
        <v/>
      </c>
    </row>
    <row r="17358">
      <c r="B17358" s="9" t="n">
        <v>17356</v>
      </c>
      <c r="C17358" s="10" t="inlineStr">
        <is>
          <t>Chuyên viên QS cao cấp (CĐT BĐS)</t>
        </is>
      </c>
      <c r="D17358" s="10" t="inlineStr">
        <is>
          <t>CareerViet's client</t>
        </is>
      </c>
      <c r="E17358" s="10" t="inlineStr">
        <is>
          <t>Lương:Cạnh tranh</t>
        </is>
      </c>
      <c r="F17358" s="10" t="inlineStr">
        <is>
          <t>Hồ Chí Minh</t>
        </is>
      </c>
      <c r="G17358" s="10" t="inlineStr">
        <is>
          <t>24-03-2026</t>
        </is>
      </c>
      <c r="H17358" s="10" t="inlineStr">
        <is>
          <t>24/03/2026</t>
        </is>
      </c>
      <c r="I17358" s="10" t="inlineStr">
        <is>
          <t>17/03/2026</t>
        </is>
      </c>
      <c r="J17358" s="10" t="inlineStr">
        <is>
          <t>Thu mua / Vật tư, Xây dựng, Bất động sản</t>
        </is>
      </c>
      <c r="K17358" s="10" t="inlineStr">
        <is>
          <t>10 - 15 Năm</t>
        </is>
      </c>
      <c r="L17358" s="11">
        <f>HYPERLINK("https://careerviet.vn/vi/tim-viec-lam/chuyen-vien-qs-cao-cap-cdt-bds.35C63ABE.html","Xem chi tiết")</f>
        <v/>
      </c>
      <c r="M17358" s="10" t="n"/>
    </row>
    <row r="17359">
      <c r="B17359" s="7" t="n">
        <v>17357</v>
      </c>
      <c r="C17359" t="inlineStr">
        <is>
          <t>Nhân viên hỗ trợ Chăm sóc Khách hàng (Hợp đồng 6 tháng)</t>
        </is>
      </c>
      <c r="D17359" t="inlineStr">
        <is>
          <t>Công Ty TNHH Bảo Hiểm Liberty</t>
        </is>
      </c>
      <c r="E17359" t="inlineStr">
        <is>
          <t>Lương:Cạnh tranh</t>
        </is>
      </c>
      <c r="F17359" t="inlineStr">
        <is>
          <t>Hồ Chí Minh</t>
        </is>
      </c>
      <c r="G17359" t="inlineStr">
        <is>
          <t>06-04-2026</t>
        </is>
      </c>
      <c r="H17359" t="inlineStr">
        <is>
          <t>06/04/2026</t>
        </is>
      </c>
      <c r="I17359" t="inlineStr">
        <is>
          <t>17/03/2026</t>
        </is>
      </c>
      <c r="J17359" t="inlineStr">
        <is>
          <t>Dịch vụ khách hàng, Bảo hiểm</t>
        </is>
      </c>
      <c r="K17359" t="inlineStr">
        <is>
          <t>1 - 2 Năm</t>
        </is>
      </c>
      <c r="L17359" s="8">
        <f>HYPERLINK("https://careerviet.vn/vi/tim-viec-lam/nhan-vien-ho-tro-cham-soc-khach-hang-hop-dong-6-thang.35C64B91.html","Xem chi tiết")</f>
        <v/>
      </c>
    </row>
    <row r="17360">
      <c r="B17360" s="9" t="n">
        <v>17358</v>
      </c>
      <c r="C17360" s="10" t="inlineStr">
        <is>
          <t>Creative Planner</t>
        </is>
      </c>
      <c r="D17360" s="10" t="inlineStr">
        <is>
          <t>CÔNG TY CỔ PHẦN TAJ VIỆT NAM</t>
        </is>
      </c>
      <c r="E17360" s="10" t="inlineStr">
        <is>
          <t>Lương:10 Tr - 15 Tr VND</t>
        </is>
      </c>
      <c r="F17360" s="10" t="inlineStr">
        <is>
          <t>Hà Nội</t>
        </is>
      </c>
      <c r="G17360" s="10" t="inlineStr">
        <is>
          <t>06-04-2026</t>
        </is>
      </c>
      <c r="H17360" s="10" t="inlineStr">
        <is>
          <t>06/04/2026</t>
        </is>
      </c>
      <c r="I17360" s="10" t="inlineStr">
        <is>
          <t>17/03/2026</t>
        </is>
      </c>
      <c r="J17360" s="10" t="inlineStr">
        <is>
          <t>Truyền hình / Báo chí / Biên tập</t>
        </is>
      </c>
      <c r="K17360" s="10" t="inlineStr">
        <is>
          <t>2 - 3 Năm</t>
        </is>
      </c>
      <c r="L17360" s="11">
        <f>HYPERLINK("https://careerviet.vn/vi/tim-viec-lam/creative-planner.35C64A7C.html","Xem chi tiết")</f>
        <v/>
      </c>
      <c r="M17360" s="10" t="n"/>
    </row>
    <row r="17361">
      <c r="B17361" s="7" t="n">
        <v>17359</v>
      </c>
      <c r="C17361" t="inlineStr">
        <is>
          <t>Nhân viên bảo trì máy may công nghiệp</t>
        </is>
      </c>
      <c r="D17361" t="inlineStr">
        <is>
          <t>Công ty TNHH GT Line Á Châu</t>
        </is>
      </c>
      <c r="E17361" t="inlineStr">
        <is>
          <t>Lương:12 Tr - 15 Tr VND</t>
        </is>
      </c>
      <c r="F17361" t="inlineStr">
        <is>
          <t>Bà Rịa - Vũng Tàu</t>
        </is>
      </c>
      <c r="G17361" t="inlineStr">
        <is>
          <t>06-04-2026</t>
        </is>
      </c>
      <c r="H17361" t="inlineStr">
        <is>
          <t>06/04/2026</t>
        </is>
      </c>
      <c r="I17361" t="inlineStr">
        <is>
          <t>17/03/2026</t>
        </is>
      </c>
      <c r="J17361" t="inlineStr">
        <is>
          <t>Bảo trì / Sửa chữa, Dệt may / Da giày / Thời trang</t>
        </is>
      </c>
      <c r="K17361" t="inlineStr">
        <is>
          <t>2 - 5 Năm</t>
        </is>
      </c>
      <c r="L17361" s="8">
        <f>HYPERLINK("https://careerviet.vn/vi/tim-viec-lam/nhan-vien-bao-tri-may-may-cong-nghiep.35C64A36.html","Xem chi tiết")</f>
        <v/>
      </c>
    </row>
    <row r="17362">
      <c r="B17362" s="9" t="n">
        <v>17360</v>
      </c>
      <c r="C17362" s="10" t="inlineStr">
        <is>
          <t>Trưởng Nhóm Hỗ Trợ Vận Hành</t>
        </is>
      </c>
      <c r="D17362" s="10" t="inlineStr">
        <is>
          <t>Công Ty TNHH Aeon Việt Nam</t>
        </is>
      </c>
      <c r="E17362" s="10" t="inlineStr">
        <is>
          <t>Lương:Cạnh tranh</t>
        </is>
      </c>
      <c r="F17362" s="10" t="inlineStr">
        <is>
          <t>Hà Nội</t>
        </is>
      </c>
      <c r="G17362" s="10" t="inlineStr">
        <is>
          <t>06-04-2026</t>
        </is>
      </c>
      <c r="H17362" s="10" t="inlineStr">
        <is>
          <t>06/04/2026</t>
        </is>
      </c>
      <c r="I17362" s="10" t="inlineStr">
        <is>
          <t>17/03/2026</t>
        </is>
      </c>
      <c r="J17362" s="10" t="inlineStr">
        <is>
          <t>Bán hàng / Kinh doanh</t>
        </is>
      </c>
      <c r="K17362" s="10" t="inlineStr">
        <is>
          <t>Lên đến 1 Năm</t>
        </is>
      </c>
      <c r="L17362" s="11">
        <f>HYPERLINK("https://careerviet.vn/vi/tim-viec-lam/truong-nhom-ho-tro-van-hanh.35C64AB4.html","Xem chi tiết")</f>
        <v/>
      </c>
      <c r="M17362" s="10" t="n"/>
    </row>
    <row r="17363">
      <c r="B17363" s="7" t="n">
        <v>17361</v>
      </c>
      <c r="C17363" t="inlineStr">
        <is>
          <t>[Nova Hotel &amp; Resorts World] Kế Toán Trưởng</t>
        </is>
      </c>
      <c r="D17363" t="inlineStr">
        <is>
          <t>Nova Service Group - Công ty Cổ phần Tập đoàn Nova Services</t>
        </is>
      </c>
      <c r="E17363" t="inlineStr">
        <is>
          <t>Lương:Cạnh tranh</t>
        </is>
      </c>
      <c r="F17363" t="inlineStr">
        <is>
          <t>Bà Rịa - Vũng Tàu</t>
        </is>
      </c>
      <c r="G17363" t="inlineStr">
        <is>
          <t>06-04-2026</t>
        </is>
      </c>
      <c r="H17363" t="inlineStr">
        <is>
          <t>06/04/2026</t>
        </is>
      </c>
      <c r="I17363" t="inlineStr">
        <is>
          <t>17/03/2026</t>
        </is>
      </c>
      <c r="J17363" t="inlineStr">
        <is>
          <t>Kế toán / Kiểm toán</t>
        </is>
      </c>
      <c r="K17363" t="inlineStr">
        <is>
          <t>8 - 10 Năm</t>
        </is>
      </c>
      <c r="L17363" s="8">
        <f>HYPERLINK("https://careerviet.vn/vi/tim-viec-lam/nova-hotel-resorts-world-ke-toan-truong.35C64AA6.html","Xem chi tiết")</f>
        <v/>
      </c>
    </row>
    <row r="17364">
      <c r="B17364" s="9" t="n">
        <v>17362</v>
      </c>
      <c r="C17364" s="10" t="inlineStr">
        <is>
          <t>Chuyên viên cao cấp - Phòng Dịch vụ pháp lý về Vận hành và dịch vụ Quản trị doanh nghiệp</t>
        </is>
      </c>
      <c r="D17364" s="10" t="inlineStr">
        <is>
          <t>Ngân Hàng TMCP Quốc Tế Việt Nam</t>
        </is>
      </c>
      <c r="E17364" s="10" t="inlineStr">
        <is>
          <t>Lương:Cạnh tranh</t>
        </is>
      </c>
      <c r="F17364" s="10" t="inlineStr">
        <is>
          <t>Hồ Chí Minh</t>
        </is>
      </c>
      <c r="G17364" s="10" t="inlineStr">
        <is>
          <t>06-04-2026</t>
        </is>
      </c>
      <c r="H17364" s="10" t="inlineStr">
        <is>
          <t>06/04/2026</t>
        </is>
      </c>
      <c r="I17364" s="10" t="inlineStr">
        <is>
          <t>17/03/2026</t>
        </is>
      </c>
      <c r="J17364" s="10" t="inlineStr">
        <is>
          <t>Luật / Pháp lý, Ngân hàng, Tài chính / Đầu tư</t>
        </is>
      </c>
      <c r="K17364" s="10" t="inlineStr">
        <is>
          <t>Trên 3 Năm</t>
        </is>
      </c>
      <c r="L17364" s="11">
        <f>HYPERLINK("https://careerviet.vn/vi/tim-viec-lam/chuyen-vien-cao-cap-phong-dich-vu-phap-ly-ve-van-hanh-va-dich-vu-quan-tri-doanh-nghiep.35C64B11.html","Xem chi tiết")</f>
        <v/>
      </c>
      <c r="M17364" s="10" t="n"/>
    </row>
    <row r="17365">
      <c r="B17365" s="7" t="n">
        <v>17363</v>
      </c>
      <c r="C17365" t="inlineStr">
        <is>
          <t>Chuyên viên Kế toán Phải trả</t>
        </is>
      </c>
      <c r="D17365" t="inlineStr">
        <is>
          <t>Công Ty Cổ Phần Tập Đoàn Đầu Tư Địa Ốc No Va</t>
        </is>
      </c>
      <c r="E17365" t="inlineStr">
        <is>
          <t>Lương:13 Tr - 16 Tr VND</t>
        </is>
      </c>
      <c r="F17365" t="inlineStr">
        <is>
          <t>Hồ Chí Minh</t>
        </is>
      </c>
      <c r="G17365" t="inlineStr">
        <is>
          <t>06-04-2026</t>
        </is>
      </c>
      <c r="H17365" t="inlineStr">
        <is>
          <t>06/04/2026</t>
        </is>
      </c>
      <c r="I17365" t="inlineStr">
        <is>
          <t>17/03/2026</t>
        </is>
      </c>
      <c r="J17365" t="inlineStr">
        <is>
          <t>Kế toán / Kiểm toán, Tài chính / Đầu tư, Bất động sản</t>
        </is>
      </c>
      <c r="K17365" t="inlineStr">
        <is>
          <t>1 - 2 Năm</t>
        </is>
      </c>
      <c r="L17365" s="8">
        <f>HYPERLINK("https://careerviet.vn/vi/tim-viec-lam/chuyen-vien-ke-toan-phai-tra.35C64C0C.html","Xem chi tiết")</f>
        <v/>
      </c>
    </row>
    <row r="17366">
      <c r="B17366" s="9" t="n">
        <v>17364</v>
      </c>
      <c r="C17366" s="10" t="inlineStr">
        <is>
          <t>Nhân viên bảo trì (KCN Bàu Bàng)</t>
        </is>
      </c>
      <c r="D17366" s="10" t="inlineStr">
        <is>
          <t>RAWLPLUG VIETNAM COMPANY LIMITED</t>
        </is>
      </c>
      <c r="E17366" s="10" t="inlineStr">
        <is>
          <t>Lương:10,5 Tr - 13 Tr VND</t>
        </is>
      </c>
      <c r="F17366" s="10" t="inlineStr">
        <is>
          <t>Bình Dương</t>
        </is>
      </c>
      <c r="G17366" s="10" t="inlineStr">
        <is>
          <t>06-04-2026</t>
        </is>
      </c>
      <c r="H17366" s="10" t="inlineStr">
        <is>
          <t>06/04/2026</t>
        </is>
      </c>
      <c r="I17366" s="10" t="inlineStr">
        <is>
          <t>17/03/2026</t>
        </is>
      </c>
      <c r="J17366" s="10" t="inlineStr">
        <is>
          <t>Cơ khí / Ô tô / Tự động hóa, Điện / Điện tử / Điện lạnh / Điện công nghiệp, Bảo trì / Sửa chữa</t>
        </is>
      </c>
      <c r="K17366" s="10" t="inlineStr">
        <is>
          <t>1 - 3 Năm</t>
        </is>
      </c>
      <c r="L17366" s="11">
        <f>HYPERLINK("https://careerviet.vn/vi/tim-viec-lam/nhan-vien-bao-tri-kcn-bau-bang.35C64A68.html","Xem chi tiết")</f>
        <v/>
      </c>
      <c r="M17366" s="10" t="n"/>
    </row>
    <row r="17367">
      <c r="B17367" s="7" t="n">
        <v>17365</v>
      </c>
      <c r="C17367" t="inlineStr">
        <is>
          <t>Phó Phòng Kỹ Thuật -  Công Trình Giao Thông (Cầu Đường)KTV Thí Nghiệm - Công Trình Giao Thông (Cầu Đường, địa chất, khoáng sản)</t>
        </is>
      </c>
      <c r="D17367" t="inlineStr">
        <is>
          <t>CÔNG TY CỔ PHẦN WEI XERN SIN VIỆT NAM</t>
        </is>
      </c>
      <c r="E17367" t="inlineStr">
        <is>
          <t>Lương:Cạnh tranh</t>
        </is>
      </c>
      <c r="F17367" t="inlineStr">
        <is>
          <t>Quảng Nam</t>
        </is>
      </c>
      <c r="G17367" t="inlineStr">
        <is>
          <t>06-04-2026</t>
        </is>
      </c>
      <c r="H17367" t="inlineStr">
        <is>
          <t>06/04/2026</t>
        </is>
      </c>
      <c r="I17367" t="inlineStr">
        <is>
          <t>17/03/2026</t>
        </is>
      </c>
      <c r="J17367" t="inlineStr">
        <is>
          <t>Trắc địa / Địa Chất, Khoáng sản, Xây dựng</t>
        </is>
      </c>
      <c r="K17367" t="inlineStr">
        <is>
          <t>Trên 4 Năm</t>
        </is>
      </c>
      <c r="L17367" s="8">
        <f>HYPERLINK("https://careerviet.vn/vi/tim-viec-lam/pho-phong-ky-thuat-cong-tri-nh-giao-thong-cau-duong-ktv-thi-nghiem-cong-tri-nh-giao-thong-cau-duong-dia-chat-khoang-san.35C64AC8.html","Xem chi tiết")</f>
        <v/>
      </c>
    </row>
    <row r="17368">
      <c r="B17368" s="9" t="n">
        <v>17366</v>
      </c>
      <c r="C17368" s="10" t="inlineStr">
        <is>
          <t>Chuyên viên cao cấp Tư vấn Tài chính Cá nhân</t>
        </is>
      </c>
      <c r="D17368" s="10" t="inlineStr">
        <is>
          <t>Ngân Hàng TMCP Quốc Tế Việt Nam</t>
        </is>
      </c>
      <c r="E17368" s="10" t="inlineStr">
        <is>
          <t>Lương:10 Tr - 20 Tr VND</t>
        </is>
      </c>
      <c r="F17368" s="10" t="inlineStr">
        <is>
          <t>Quảng NinhHải PhòngHải Dương</t>
        </is>
      </c>
      <c r="G17368" s="10" t="inlineStr">
        <is>
          <t>06-04-2026</t>
        </is>
      </c>
      <c r="H17368" s="10" t="inlineStr">
        <is>
          <t>06/04/2026</t>
        </is>
      </c>
      <c r="I17368" s="10" t="inlineStr">
        <is>
          <t>17/03/2026</t>
        </is>
      </c>
      <c r="J17368" s="10" t="inlineStr">
        <is>
          <t>Bán hàng / Kinh doanh</t>
        </is>
      </c>
      <c r="K17368" s="10" t="inlineStr">
        <is>
          <t>Trên 1 Năm</t>
        </is>
      </c>
      <c r="L17368" s="11">
        <f>HYPERLINK("https://careerviet.vn/vi/tim-viec-lam/chuyen-vien-cao-cap-tu-van-tai-chinh-ca-nhan.35C64AD3.html","Xem chi tiết")</f>
        <v/>
      </c>
      <c r="M17368" s="10" t="n"/>
    </row>
    <row r="17369">
      <c r="B17369" s="7" t="n">
        <v>17367</v>
      </c>
      <c r="C17369" t="inlineStr">
        <is>
          <t>KẾ TOÁN TỔNG HỢP</t>
        </is>
      </c>
      <c r="D17369" t="inlineStr">
        <is>
          <t>CÔNG TY CỔ PHẦN SẢN XUẤT THƯƠNG MẠI XÂY DỰNG TRANG TRÍ NỘI THẤT G.S VIỆT NAM</t>
        </is>
      </c>
      <c r="E17369" t="inlineStr">
        <is>
          <t>Lương:Trên 12 Tr VND</t>
        </is>
      </c>
      <c r="F17369" t="inlineStr">
        <is>
          <t>Bình Dương</t>
        </is>
      </c>
      <c r="G17369" t="inlineStr">
        <is>
          <t>06-04-2026</t>
        </is>
      </c>
      <c r="H17369" t="inlineStr">
        <is>
          <t>06/04/2026</t>
        </is>
      </c>
      <c r="I17369" t="inlineStr">
        <is>
          <t>17/03/2026</t>
        </is>
      </c>
      <c r="J17369" t="inlineStr">
        <is>
          <t>Kế toán / Kiểm toán, Xây dựng, Nội ngoại thất</t>
        </is>
      </c>
      <c r="K17369" t="inlineStr">
        <is>
          <t>3 - 5 Năm</t>
        </is>
      </c>
      <c r="L17369" s="8">
        <f>HYPERLINK("https://careerviet.vn/vi/tim-viec-lam/ke-toan-tong-hop.35C64A58.html","Xem chi tiết")</f>
        <v/>
      </c>
    </row>
    <row r="17370">
      <c r="B17370" s="9" t="n">
        <v>17368</v>
      </c>
      <c r="C17370" s="10" t="inlineStr">
        <is>
          <t>Nhân viên Kỹ thuật may</t>
        </is>
      </c>
      <c r="D17370" s="10" t="inlineStr">
        <is>
          <t>CÔNG TY TNHH ELITE APPARATECH</t>
        </is>
      </c>
      <c r="E17370" s="10" t="inlineStr">
        <is>
          <t>Lương:Cạnh tranh</t>
        </is>
      </c>
      <c r="F17370" s="10" t="inlineStr">
        <is>
          <t>Đồng Nai</t>
        </is>
      </c>
      <c r="G17370" s="10" t="inlineStr">
        <is>
          <t>06-04-2026</t>
        </is>
      </c>
      <c r="H17370" s="10" t="inlineStr">
        <is>
          <t>06/04/2026</t>
        </is>
      </c>
      <c r="I17370" s="10" t="inlineStr">
        <is>
          <t>17/03/2026</t>
        </is>
      </c>
      <c r="J17370" s="10" t="inlineStr">
        <is>
          <t>Dệt may / Da giày / Thời trang</t>
        </is>
      </c>
      <c r="K17370" s="10" t="inlineStr">
        <is>
          <t>1 - 2 Năm</t>
        </is>
      </c>
      <c r="L17370" s="11">
        <f>HYPERLINK("https://careerviet.vn/vi/tim-viec-lam/nhan-vien-ky-thuat-may.35C64A71.html","Xem chi tiết")</f>
        <v/>
      </c>
      <c r="M17370" s="10" t="n"/>
    </row>
    <row r="17371">
      <c r="B17371" s="7" t="n">
        <v>17369</v>
      </c>
      <c r="C17371" t="inlineStr">
        <is>
          <t>Sales Logistics</t>
        </is>
      </c>
      <c r="D17371" t="inlineStr">
        <is>
          <t>Scanwell Logistics Vietnam</t>
        </is>
      </c>
      <c r="E17371" t="inlineStr">
        <is>
          <t>Lương:8 Tr - 15 Tr VND</t>
        </is>
      </c>
      <c r="F17371" t="inlineStr">
        <is>
          <t>Hồ Chí Minh</t>
        </is>
      </c>
      <c r="G17371" t="inlineStr">
        <is>
          <t>06-04-2026</t>
        </is>
      </c>
      <c r="H17371" t="inlineStr">
        <is>
          <t>06/04/2026</t>
        </is>
      </c>
      <c r="I17371" t="inlineStr">
        <is>
          <t>17/03/2026</t>
        </is>
      </c>
      <c r="J17371" t="inlineStr">
        <is>
          <t>Bán hàng / Kinh doanh, Vận chuyển / Giao nhận / Kho vận, Xuất nhập khẩu</t>
        </is>
      </c>
      <c r="K17371" t="inlineStr">
        <is>
          <t>1 - 2 Năm</t>
        </is>
      </c>
      <c r="L17371" s="8">
        <f>HYPERLINK("https://careerviet.vn/vi/tim-viec-lam/sales-logistics.35C64B5C.html","Xem chi tiết")</f>
        <v/>
      </c>
    </row>
    <row r="17372">
      <c r="B17372" s="9" t="n">
        <v>17370</v>
      </c>
      <c r="C17372" s="10" t="inlineStr">
        <is>
          <t>Nhân Viên Trạm Điện 110Kv, Trung Thế 22Kv</t>
        </is>
      </c>
      <c r="D17372" s="10" t="inlineStr">
        <is>
          <t>CÔNG TY TNHH TÔN NAM KIM PHÚ MỸ</t>
        </is>
      </c>
      <c r="E17372" s="10" t="inlineStr">
        <is>
          <t>Lương:11 Tr - 14 Tr VND</t>
        </is>
      </c>
      <c r="F17372" s="10" t="inlineStr">
        <is>
          <t>Bà Rịa - Vũng Tàu</t>
        </is>
      </c>
      <c r="G17372" s="10" t="inlineStr">
        <is>
          <t>06-04-2026</t>
        </is>
      </c>
      <c r="H17372" s="10" t="inlineStr">
        <is>
          <t>06/04/2026</t>
        </is>
      </c>
      <c r="I17372" s="10" t="inlineStr">
        <is>
          <t>17/03/2026</t>
        </is>
      </c>
      <c r="J17372" s="10" t="inlineStr">
        <is>
          <t>Điện / Điện tử / Điện lạnh / Điện công nghiệp, Bảo trì / Sửa chữa</t>
        </is>
      </c>
      <c r="K17372" s="10" t="inlineStr">
        <is>
          <t>Chưa có kinh nghiệm</t>
        </is>
      </c>
      <c r="L17372" s="11">
        <f>HYPERLINK("https://careerviet.vn/vi/tim-viec-lam/nhan-vien-tram-dien-110kv-trung-the-22kv.35C64AEC.html","Xem chi tiết")</f>
        <v/>
      </c>
      <c r="M17372" s="10" t="n"/>
    </row>
    <row r="17373">
      <c r="B17373" s="7" t="n">
        <v>17371</v>
      </c>
      <c r="C17373" t="inlineStr">
        <is>
          <t>Biên Tập Viên Sản Xuất Video/ Video Production Editor (Lương lên tới 20 triệu+/tháng)</t>
        </is>
      </c>
      <c r="D17373" t="inlineStr">
        <is>
          <t>CÔNG TY CỔ PHẦN TAJ VIỆT NAM</t>
        </is>
      </c>
      <c r="E17373" t="inlineStr">
        <is>
          <t>Lương:Trên 16 Tr VND</t>
        </is>
      </c>
      <c r="F17373" t="inlineStr">
        <is>
          <t>Hà Nội</t>
        </is>
      </c>
      <c r="G17373" t="inlineStr">
        <is>
          <t>06-04-2026</t>
        </is>
      </c>
      <c r="H17373" t="inlineStr">
        <is>
          <t>06/04/2026</t>
        </is>
      </c>
      <c r="I17373" t="inlineStr">
        <is>
          <t>17/03/2026</t>
        </is>
      </c>
      <c r="J17373" t="inlineStr">
        <is>
          <t>Tiếp thị / Marketing, Truyền hình / Báo chí / Biên tập, Quảng cáo / Đối ngoại / Truyền Thông</t>
        </is>
      </c>
      <c r="K17373" t="inlineStr">
        <is>
          <t>Trên 2 Năm</t>
        </is>
      </c>
      <c r="L17373" s="8">
        <f>HYPERLINK("https://careerviet.vn/vi/tim-viec-lam/bien-tap-vien-san-xuat-video-video-production-editor-luong-len-toi-20-trieu-thang.35C64A73.html","Xem chi tiết")</f>
        <v/>
      </c>
    </row>
    <row r="17374">
      <c r="B17374" s="9" t="n">
        <v>17372</v>
      </c>
      <c r="C17374" s="10" t="inlineStr">
        <is>
          <t>KCN Đông Xuyên VT_ Tổ trưởng sản xuất (Nam/Nữ )</t>
        </is>
      </c>
      <c r="D17374" s="10" t="inlineStr">
        <is>
          <t>Công ty TNHH GT Line Á Châu</t>
        </is>
      </c>
      <c r="E17374" s="10" t="inlineStr">
        <is>
          <t>Lương:12 Tr - 15 Tr VND</t>
        </is>
      </c>
      <c r="F17374" s="10" t="inlineStr">
        <is>
          <t>Bà Rịa - Vũng Tàu</t>
        </is>
      </c>
      <c r="G17374" s="10" t="inlineStr">
        <is>
          <t>06-04-2026</t>
        </is>
      </c>
      <c r="H17374" s="10" t="inlineStr">
        <is>
          <t>06/04/2026</t>
        </is>
      </c>
      <c r="I17374" s="10" t="inlineStr">
        <is>
          <t>17/03/2026</t>
        </is>
      </c>
      <c r="J17374" s="10" t="inlineStr">
        <is>
          <t>Dệt may / Da giày / Thời trang, Sản xuất / Vận hành sản xuất</t>
        </is>
      </c>
      <c r="K17374" s="10" t="inlineStr">
        <is>
          <t>3 - 5 Năm</t>
        </is>
      </c>
      <c r="L17374" s="11">
        <f>HYPERLINK("https://careerviet.vn/vi/tim-viec-lam/kcn-dong-xuyen-vt_-to-truong-san-xuat-nam-nu.35C64A30.html","Xem chi tiết")</f>
        <v/>
      </c>
      <c r="M17374" s="10" t="n"/>
    </row>
    <row r="17375">
      <c r="B17375" s="7" t="n">
        <v>17373</v>
      </c>
      <c r="C17375" t="inlineStr">
        <is>
          <t>KTV Thí Nghiệm - Công Trình Giao Thông (Cầu Đường)KTV Thí Nghiệm - Công Trình Giao Thông (Cầu Đường, địa chất, khoáng sản)</t>
        </is>
      </c>
      <c r="D17375" t="inlineStr">
        <is>
          <t>CÔNG TY CỔ PHẦN WEI XERN SIN VIỆT NAM</t>
        </is>
      </c>
      <c r="E17375" t="inlineStr">
        <is>
          <t>Lương:Cạnh tranh</t>
        </is>
      </c>
      <c r="F17375" t="inlineStr">
        <is>
          <t>Quảng Nam</t>
        </is>
      </c>
      <c r="G17375" t="inlineStr">
        <is>
          <t>06-04-2026</t>
        </is>
      </c>
      <c r="H17375" t="inlineStr">
        <is>
          <t>06/04/2026</t>
        </is>
      </c>
      <c r="I17375" t="inlineStr">
        <is>
          <t>17/03/2026</t>
        </is>
      </c>
      <c r="J17375" t="inlineStr">
        <is>
          <t>Trắc địa / Địa Chất, Khoáng sản, Xây dựng</t>
        </is>
      </c>
      <c r="K17375" t="inlineStr">
        <is>
          <t>Trên 1 Năm</t>
        </is>
      </c>
      <c r="L17375" s="8">
        <f>HYPERLINK("https://careerviet.vn/vi/tim-viec-lam/ktv-thi-nghiem-cong-tri-nh-giao-thong-cau-duong-ktv-thi-nghiem-cong-tri-nh-giao-thong-cau-duong-dia-chat-khoang-san.35C64AC6.html","Xem chi tiết")</f>
        <v/>
      </c>
    </row>
    <row r="17376">
      <c r="B17376" s="9" t="n">
        <v>17374</v>
      </c>
      <c r="C17376" s="10" t="inlineStr">
        <is>
          <t>[QUẢNG BÌNH] KỸ SƯ MEP</t>
        </is>
      </c>
      <c r="D17376" s="10" t="inlineStr">
        <is>
          <t>Tổng công ty Xây dựng số 1 – CTCP</t>
        </is>
      </c>
      <c r="E17376" s="10" t="inlineStr">
        <is>
          <t>Lương:Cạnh tranh</t>
        </is>
      </c>
      <c r="F17376" s="10" t="inlineStr">
        <is>
          <t>Quảng Bình</t>
        </is>
      </c>
      <c r="G17376" s="10" t="inlineStr">
        <is>
          <t>06-04-2026</t>
        </is>
      </c>
      <c r="H17376" s="10" t="inlineStr">
        <is>
          <t>06/04/2026</t>
        </is>
      </c>
      <c r="I17376" s="10" t="inlineStr">
        <is>
          <t>17/03/2026</t>
        </is>
      </c>
      <c r="J17376" s="10" t="inlineStr">
        <is>
          <t>Điện / Điện tử / Điện lạnh / Điện công nghiệp</t>
        </is>
      </c>
      <c r="K17376" s="10" t="inlineStr">
        <is>
          <t>5 - 10 Năm</t>
        </is>
      </c>
      <c r="L17376" s="11">
        <f>HYPERLINK("https://careerviet.vn/vi/tim-viec-lam/quang-binh-ky-su-mep.35C64AB3.html","Xem chi tiết")</f>
        <v/>
      </c>
      <c r="M17376" s="10" t="n"/>
    </row>
    <row r="17377">
      <c r="B17377" s="7" t="n">
        <v>17375</v>
      </c>
      <c r="C17377" t="inlineStr">
        <is>
          <t>Phiên dịch tiếng Trung  - Living Global - 4V006</t>
        </is>
      </c>
      <c r="D17377" t="inlineStr">
        <is>
          <t>Tập đoàn ROX (ROX Group)</t>
        </is>
      </c>
      <c r="E17377" t="inlineStr">
        <is>
          <t>Lương:Cạnh tranh</t>
        </is>
      </c>
      <c r="F17377" t="inlineStr">
        <is>
          <t>Kyrgyzstan</t>
        </is>
      </c>
      <c r="G17377" t="inlineStr">
        <is>
          <t>06-04-2026</t>
        </is>
      </c>
      <c r="H17377" t="inlineStr">
        <is>
          <t>06/04/2026</t>
        </is>
      </c>
      <c r="I17377" t="inlineStr">
        <is>
          <t>17/03/2026</t>
        </is>
      </c>
      <c r="J17377" t="inlineStr">
        <is>
          <t>Bất động sản, Biên phiên dịch</t>
        </is>
      </c>
      <c r="K17377" t="inlineStr">
        <is>
          <t>Trên 2 Năm</t>
        </is>
      </c>
      <c r="L17377" s="8">
        <f>HYPERLINK("https://careerviet.vn/vi/tim-viec-lam/phien-dich-tieng-trung-living-global-4v006.35C64B0E.html","Xem chi tiết")</f>
        <v/>
      </c>
    </row>
    <row r="17378">
      <c r="B17378" s="9" t="n">
        <v>17376</v>
      </c>
      <c r="C17378" s="10" t="inlineStr">
        <is>
          <t>[Nam Sách, Trần Phú - Hải Dương] - Giao Dịch Viên</t>
        </is>
      </c>
      <c r="D17378" s="10" t="inlineStr">
        <is>
          <t>NGÂN HÀNG TRÁCH NHIỆM HỮU HẠN MỘT THÀNH VIÊN VIỆT NAM HIỆN ĐẠI</t>
        </is>
      </c>
      <c r="E17378" s="10" t="inlineStr">
        <is>
          <t>Lương:Cạnh tranh</t>
        </is>
      </c>
      <c r="F17378" s="10" t="inlineStr">
        <is>
          <t>Hải Dương</t>
        </is>
      </c>
      <c r="G17378" s="10" t="inlineStr">
        <is>
          <t>06-04-2026</t>
        </is>
      </c>
      <c r="H17378" s="10" t="inlineStr">
        <is>
          <t>06/04/2026</t>
        </is>
      </c>
      <c r="I17378" s="10" t="inlineStr">
        <is>
          <t>17/03/2026</t>
        </is>
      </c>
      <c r="J17378" s="10" t="inlineStr">
        <is>
          <t>Dịch vụ khách hàng, Ngân hàng, Tài chính / Đầu tư</t>
        </is>
      </c>
      <c r="K17378" s="10" t="inlineStr">
        <is>
          <t>N/A</t>
        </is>
      </c>
      <c r="L17378" s="11">
        <f>HYPERLINK("https://careerviet.vn/vi/tim-viec-lam/nam-sach-tran-phu-hai-duong-giao-dich-vien.35C64C0B.html","Xem chi tiết")</f>
        <v/>
      </c>
      <c r="M17378" s="10" t="n"/>
    </row>
    <row r="17379">
      <c r="B17379" s="7" t="n">
        <v>17377</v>
      </c>
      <c r="C17379" t="inlineStr">
        <is>
          <t>Phó Phòng Hỗ Trợ Kinh Doanh (Thu Nhập lên đến 60 triệu)</t>
        </is>
      </c>
      <c r="D17379" t="inlineStr">
        <is>
          <t>Công Ty Cổ Phần Hai Bốn Bảy</t>
        </is>
      </c>
      <c r="E17379" t="inlineStr">
        <is>
          <t>Lương:35 Tr - 55 Tr VND</t>
        </is>
      </c>
      <c r="F17379" t="inlineStr">
        <is>
          <t>Hồ Chí Minh</t>
        </is>
      </c>
      <c r="G17379" t="inlineStr">
        <is>
          <t>06-04-2026</t>
        </is>
      </c>
      <c r="H17379" t="inlineStr">
        <is>
          <t>06/04/2026</t>
        </is>
      </c>
      <c r="I17379" t="inlineStr">
        <is>
          <t>17/03/2026</t>
        </is>
      </c>
      <c r="J17379" t="inlineStr">
        <is>
          <t>Vận chuyển / Giao nhận / Kho vận</t>
        </is>
      </c>
      <c r="K17379" t="inlineStr">
        <is>
          <t>3 - 6 Năm</t>
        </is>
      </c>
      <c r="L17379" s="8">
        <f>HYPERLINK("https://careerviet.vn/vi/tim-viec-lam/pho-phong-ho-tro-kinh-doanh-thu-nhap-len-den-60-trieu.35C64B53.html","Xem chi tiết")</f>
        <v/>
      </c>
    </row>
    <row r="17380">
      <c r="B17380" s="9" t="n">
        <v>17378</v>
      </c>
      <c r="C17380" s="10" t="inlineStr">
        <is>
          <t>Nhân Viên Lễ Tân Hành Chính</t>
        </is>
      </c>
      <c r="D17380" s="10" t="inlineStr">
        <is>
          <t>CÔNG TY CỔ PHẦN THIẾT BỊ CÔNG NGHIỆP GEIC</t>
        </is>
      </c>
      <c r="E17380" s="10" t="inlineStr">
        <is>
          <t>Lương:Cạnh tranh</t>
        </is>
      </c>
      <c r="F17380" s="10" t="inlineStr">
        <is>
          <t>Hà Nội</t>
        </is>
      </c>
      <c r="G17380" s="10" t="inlineStr">
        <is>
          <t>06-04-2026</t>
        </is>
      </c>
      <c r="H17380" s="10" t="inlineStr">
        <is>
          <t>06/04/2026</t>
        </is>
      </c>
      <c r="I17380" s="10" t="inlineStr">
        <is>
          <t>17/03/2026</t>
        </is>
      </c>
      <c r="J17380" s="10" t="inlineStr">
        <is>
          <t>Dịch vụ khách hàng, Hành chính / Thư ký, Nhân sự</t>
        </is>
      </c>
      <c r="K17380" s="10" t="inlineStr">
        <is>
          <t>Trên 2 Năm</t>
        </is>
      </c>
      <c r="L17380" s="11">
        <f>HYPERLINK("https://careerviet.vn/vi/tim-viec-lam/nhan-vien-le-tan-hanh-chinh.35C64BEF.html","Xem chi tiết")</f>
        <v/>
      </c>
      <c r="M17380" s="10" t="n"/>
    </row>
    <row r="17381">
      <c r="B17381" s="7" t="n">
        <v>17379</v>
      </c>
      <c r="C17381" t="inlineStr">
        <is>
          <t>Trưởng nhóm phân tích tài chính (chủ đầu tư BĐS)</t>
        </is>
      </c>
      <c r="D17381" t="inlineStr">
        <is>
          <t>Tập Đoàn Tân Á Đại Thành</t>
        </is>
      </c>
      <c r="E17381" t="inlineStr">
        <is>
          <t>Lương:Cạnh tranh</t>
        </is>
      </c>
      <c r="F17381" t="inlineStr">
        <is>
          <t>Hà Nội</t>
        </is>
      </c>
      <c r="G17381" t="inlineStr">
        <is>
          <t>06-04-2026</t>
        </is>
      </c>
      <c r="H17381" t="inlineStr">
        <is>
          <t>06/04/2026</t>
        </is>
      </c>
      <c r="I17381" t="inlineStr">
        <is>
          <t>17/03/2026</t>
        </is>
      </c>
      <c r="J17381" t="inlineStr">
        <is>
          <t>Kế toán / Kiểm toán, Ngân hàng, Tài chính / Đầu tư</t>
        </is>
      </c>
      <c r="K17381" t="inlineStr">
        <is>
          <t>Trên 5 Năm</t>
        </is>
      </c>
      <c r="L17381" s="8">
        <f>HYPERLINK("https://careerviet.vn/vi/tim-viec-lam/truong-nhom-phan-tich-tai-chinh-chu-dau-tu-bds.35C64BD0.html","Xem chi tiết")</f>
        <v/>
      </c>
    </row>
    <row r="17382">
      <c r="B17382" s="9" t="n">
        <v>17380</v>
      </c>
      <c r="C17382" s="10" t="inlineStr">
        <is>
          <t>Chuyên Viên Sửa Chữa Bảo Dưỡng - Việt Nam - Nước Ngoài</t>
        </is>
      </c>
      <c r="D17382" s="10" t="inlineStr">
        <is>
          <t>CÔNG TY CỔ PHẦN DI CHUYỂN VÀ THÔNG MINH GSM</t>
        </is>
      </c>
      <c r="E17382" s="10" t="inlineStr">
        <is>
          <t>Lương:Cạnh tranh</t>
        </is>
      </c>
      <c r="F17382" s="10" t="inlineStr">
        <is>
          <t>Hà Nội</t>
        </is>
      </c>
      <c r="G17382" s="10" t="inlineStr">
        <is>
          <t>06-04-2026</t>
        </is>
      </c>
      <c r="H17382" s="10" t="inlineStr">
        <is>
          <t>06/04/2026</t>
        </is>
      </c>
      <c r="I17382" s="10" t="inlineStr">
        <is>
          <t>17/03/2026</t>
        </is>
      </c>
      <c r="J17382" s="10" t="inlineStr">
        <is>
          <t>Quản lý điều hành, Cơ khí / Ô tô / Tự động hóa, Bảo trì / Sửa chữa</t>
        </is>
      </c>
      <c r="K17382" s="10" t="inlineStr">
        <is>
          <t>2 - 5 Năm</t>
        </is>
      </c>
      <c r="L17382" s="11">
        <f>HYPERLINK("https://careerviet.vn/vi/tim-viec-lam/chuyen-vien-sua-chua-bao-duong-viet-nam-nuoc-ngoai.35C63DF1.html","Xem chi tiết")</f>
        <v/>
      </c>
      <c r="M17382" s="10" t="n"/>
    </row>
    <row r="17383">
      <c r="B17383" s="7" t="n">
        <v>17381</v>
      </c>
      <c r="C17383" t="inlineStr">
        <is>
          <t>[Mạo Khê - Quảng Ninh] - Giao Dịch Viên</t>
        </is>
      </c>
      <c r="D17383" t="inlineStr">
        <is>
          <t>NGÂN HÀNG TRÁCH NHIỆM HỮU HẠN MỘT THÀNH VIÊN VIỆT NAM HIỆN ĐẠI</t>
        </is>
      </c>
      <c r="E17383" t="inlineStr">
        <is>
          <t>Lương:Cạnh tranh</t>
        </is>
      </c>
      <c r="F17383" t="inlineStr">
        <is>
          <t>Quảng Ninh</t>
        </is>
      </c>
      <c r="G17383" t="inlineStr">
        <is>
          <t>06-04-2026</t>
        </is>
      </c>
      <c r="H17383" t="inlineStr">
        <is>
          <t>06/04/2026</t>
        </is>
      </c>
      <c r="I17383" t="inlineStr">
        <is>
          <t>17/03/2026</t>
        </is>
      </c>
      <c r="J17383" t="inlineStr">
        <is>
          <t>Dịch vụ khách hàng, Ngân hàng, Tài chính / Đầu tư</t>
        </is>
      </c>
      <c r="K17383" t="inlineStr">
        <is>
          <t>N/A</t>
        </is>
      </c>
      <c r="L17383" s="8">
        <f>HYPERLINK("https://careerviet.vn/vi/tim-viec-lam/mao-khe-quang-ninh-giao-dich-vien.35C64C0A.html","Xem chi tiết")</f>
        <v/>
      </c>
    </row>
    <row r="17384">
      <c r="B17384" s="9" t="n">
        <v>17382</v>
      </c>
      <c r="C17384" s="10" t="inlineStr">
        <is>
          <t>Chuyên Viên Kinh Doanh</t>
        </is>
      </c>
      <c r="D17384" s="10" t="inlineStr">
        <is>
          <t>Công ty TNHH Viễn thông IPN</t>
        </is>
      </c>
      <c r="E17384" s="10" t="inlineStr">
        <is>
          <t>Lương:Cạnh tranh</t>
        </is>
      </c>
      <c r="F17384" s="10" t="inlineStr">
        <is>
          <t>Hà Nội</t>
        </is>
      </c>
      <c r="G17384" s="10" t="inlineStr">
        <is>
          <t>06-04-2026</t>
        </is>
      </c>
      <c r="H17384" s="10" t="inlineStr">
        <is>
          <t>06/04/2026</t>
        </is>
      </c>
      <c r="I17384" s="10" t="inlineStr">
        <is>
          <t>17/03/2026</t>
        </is>
      </c>
      <c r="J17384" s="10" t="inlineStr">
        <is>
          <t>Bán hàng / Kinh doanh, Bán Hàng Kỹ Thuật, Bưu chính viễn thông</t>
        </is>
      </c>
      <c r="K17384" s="10" t="inlineStr">
        <is>
          <t>N/A</t>
        </is>
      </c>
      <c r="L17384" s="11">
        <f>HYPERLINK("https://careerviet.vn/vi/tim-viec-lam/chuyen-vien-kinh-doanh.35C64AD8.html","Xem chi tiết")</f>
        <v/>
      </c>
      <c r="M17384" s="10" t="n"/>
    </row>
    <row r="17385">
      <c r="B17385" s="7" t="n">
        <v>17383</v>
      </c>
      <c r="C17385" t="inlineStr">
        <is>
          <t>Nhân viên Sale (tiếng Pháp)</t>
        </is>
      </c>
      <c r="D17385" t="inlineStr">
        <is>
          <t>CÔNG TY CỔ PHẦN SẢN XUẤT TÓC APOGROUP</t>
        </is>
      </c>
      <c r="E17385" t="inlineStr">
        <is>
          <t>Lương:Cạnh tranh</t>
        </is>
      </c>
      <c r="F17385" t="inlineStr">
        <is>
          <t>Hà Nội</t>
        </is>
      </c>
      <c r="G17385" t="inlineStr">
        <is>
          <t>06-04-2026</t>
        </is>
      </c>
      <c r="H17385" t="inlineStr">
        <is>
          <t>06/04/2026</t>
        </is>
      </c>
      <c r="I17385" t="inlineStr">
        <is>
          <t>17/03/2026</t>
        </is>
      </c>
      <c r="J17385" t="inlineStr">
        <is>
          <t>Bán hàng / Kinh doanh, Xuất nhập khẩu</t>
        </is>
      </c>
      <c r="K17385" t="inlineStr">
        <is>
          <t>Chưa có kinh nghiệm</t>
        </is>
      </c>
      <c r="L17385" s="8">
        <f>HYPERLINK("https://careerviet.vn/vi/tim-viec-lam/nhan-vien-sale-tieng-phap.35C67B81.html","Xem chi tiết")</f>
        <v/>
      </c>
    </row>
    <row r="17386">
      <c r="B17386" s="9" t="n">
        <v>17384</v>
      </c>
      <c r="C17386" s="10" t="inlineStr">
        <is>
          <t>Nhân Viên Nam Bộ Phận Sản Xuất</t>
        </is>
      </c>
      <c r="D17386" s="10" t="inlineStr">
        <is>
          <t>CÔNG TY TNHH MEDIKIT VIỆT NAM</t>
        </is>
      </c>
      <c r="E17386" s="10" t="inlineStr">
        <is>
          <t>Lương:Cạnh tranh</t>
        </is>
      </c>
      <c r="F17386" s="10" t="inlineStr">
        <is>
          <t>Hải Phòng</t>
        </is>
      </c>
      <c r="G17386" s="10" t="inlineStr">
        <is>
          <t>06-04-2026</t>
        </is>
      </c>
      <c r="H17386" s="10" t="inlineStr">
        <is>
          <t>06/04/2026</t>
        </is>
      </c>
      <c r="I17386" s="10" t="inlineStr">
        <is>
          <t>17/03/2026</t>
        </is>
      </c>
      <c r="J17386" s="10" t="inlineStr">
        <is>
          <t>Vận chuyển / Giao nhận / Kho vận, Sản xuất / Vận hành sản xuất</t>
        </is>
      </c>
      <c r="K17386" s="10" t="inlineStr">
        <is>
          <t>N/A</t>
        </is>
      </c>
      <c r="L17386" s="11">
        <f>HYPERLINK("https://careerviet.vn/vi/tim-viec-lam/nhan-vien-nam-bo-phan-san-xuat.35C67BD1.html","Xem chi tiết")</f>
        <v/>
      </c>
      <c r="M17386" s="10" t="n"/>
    </row>
    <row r="17387">
      <c r="B17387" s="7" t="n">
        <v>17385</v>
      </c>
      <c r="C17387" t="inlineStr">
        <is>
          <t>Kỹ Sư HSE Công Trường</t>
        </is>
      </c>
      <c r="D17387" t="inlineStr">
        <is>
          <t>CÔNG TY CỔ PHẦN KẾT CẤU THÉP QH PLUS (QHPS)</t>
        </is>
      </c>
      <c r="E17387" t="inlineStr">
        <is>
          <t>Lương:12 Tr - 17 Tr VND</t>
        </is>
      </c>
      <c r="F17387" t="inlineStr">
        <is>
          <t>Hồ Chí MinhKiên GiangĐồng Nai</t>
        </is>
      </c>
      <c r="G17387" t="inlineStr">
        <is>
          <t>06-04-2026</t>
        </is>
      </c>
      <c r="H17387" t="inlineStr">
        <is>
          <t>06/04/2026</t>
        </is>
      </c>
      <c r="I17387" t="inlineStr">
        <is>
          <t>17/03/2026</t>
        </is>
      </c>
      <c r="J17387" t="inlineStr">
        <is>
          <t>Xây dựng</t>
        </is>
      </c>
      <c r="K17387" t="inlineStr">
        <is>
          <t>1 - 2 Năm</t>
        </is>
      </c>
      <c r="L17387" s="8">
        <f>HYPERLINK("https://careerviet.vn/vi/tim-viec-lam/ky-su-hse-cong-truong.35C64A3C.html","Xem chi tiết")</f>
        <v/>
      </c>
    </row>
    <row r="17388">
      <c r="B17388" s="9" t="n">
        <v>17386</v>
      </c>
      <c r="C17388" s="10" t="inlineStr">
        <is>
          <t>Trưởng bộ phận Đấu thầu</t>
        </is>
      </c>
      <c r="D17388" s="10" t="inlineStr">
        <is>
          <t>CÔNG TY CỔ PHẦN ĐẦU TƯ XÂY DỰNG HÀ TIÊN</t>
        </is>
      </c>
      <c r="E17388" s="10" t="inlineStr">
        <is>
          <t>Lương:Cạnh tranh</t>
        </is>
      </c>
      <c r="F17388" s="10" t="inlineStr">
        <is>
          <t>Hồ Chí Minh</t>
        </is>
      </c>
      <c r="G17388" s="10" t="inlineStr">
        <is>
          <t>06-04-2026</t>
        </is>
      </c>
      <c r="H17388" s="10" t="inlineStr">
        <is>
          <t>06/04/2026</t>
        </is>
      </c>
      <c r="I17388" s="10" t="inlineStr">
        <is>
          <t>17/03/2026</t>
        </is>
      </c>
      <c r="J17388" s="10" t="inlineStr">
        <is>
          <t>Quản lý chất lượng (QA/QC), Xây dựng, Bất động sản</t>
        </is>
      </c>
      <c r="K17388" s="10" t="inlineStr">
        <is>
          <t>3 - 5 Năm</t>
        </is>
      </c>
      <c r="L17388" s="11">
        <f>HYPERLINK("https://careerviet.vn/vi/tim-viec-lam/truong-bo-phan-dau-thau.35C64AEE.html","Xem chi tiết")</f>
        <v/>
      </c>
      <c r="M17388" s="10" t="n"/>
    </row>
    <row r="17389">
      <c r="B17389" s="7" t="n">
        <v>17387</v>
      </c>
      <c r="C17389" t="inlineStr">
        <is>
          <t>Nhân Viên Chăm Sóc Khách Hàng (Admission Officer) - ILA Giga Mall Thủ Đức</t>
        </is>
      </c>
      <c r="D17389" t="inlineStr">
        <is>
          <t>ILA Việt Nam</t>
        </is>
      </c>
      <c r="E17389" t="inlineStr">
        <is>
          <t>Lương:7,5 Tr - 10 Tr VND</t>
        </is>
      </c>
      <c r="F17389" t="inlineStr">
        <is>
          <t>Hồ Chí Minh</t>
        </is>
      </c>
      <c r="G17389" t="inlineStr">
        <is>
          <t>06-04-2026</t>
        </is>
      </c>
      <c r="H17389" t="inlineStr">
        <is>
          <t>06/04/2026</t>
        </is>
      </c>
      <c r="I17389" t="inlineStr">
        <is>
          <t>17/03/2026</t>
        </is>
      </c>
      <c r="J17389" t="inlineStr">
        <is>
          <t>Tư vấn, Dịch vụ khách hàng, Giáo dục / Đào tạo</t>
        </is>
      </c>
      <c r="K17389" t="inlineStr">
        <is>
          <t>1 - 2 Năm</t>
        </is>
      </c>
      <c r="L17389" s="8">
        <f>HYPERLINK("https://careerviet.vn/vi/tim-viec-lam/nhan-vien-cham-soc-khach-hang-admission-officer-ila-giga-mall-thu-duc.35C64B6E.html","Xem chi tiết")</f>
        <v/>
      </c>
    </row>
    <row r="17390">
      <c r="B17390" s="9" t="n">
        <v>17388</v>
      </c>
      <c r="C17390" s="10" t="inlineStr">
        <is>
          <t>Chủ nhiệm tài vụ (thủ quỹ)</t>
        </is>
      </c>
      <c r="D17390" s="10" t="inlineStr">
        <is>
          <t>Công ty TNHH Giầy Chingluh Việt Nam</t>
        </is>
      </c>
      <c r="E17390" s="10" t="inlineStr">
        <is>
          <t>Lương:Cạnh tranh</t>
        </is>
      </c>
      <c r="F17390" s="10" t="inlineStr">
        <is>
          <t>Long An</t>
        </is>
      </c>
      <c r="G17390" s="10" t="inlineStr">
        <is>
          <t>06-04-2026</t>
        </is>
      </c>
      <c r="H17390" s="10" t="inlineStr">
        <is>
          <t>06/04/2026</t>
        </is>
      </c>
      <c r="I17390" s="10" t="inlineStr">
        <is>
          <t>17/03/2026</t>
        </is>
      </c>
      <c r="J17390" s="10" t="inlineStr">
        <is>
          <t>Hành chính / Thư ký, Kế toán / Kiểm toán, Tài chính / Đầu tư</t>
        </is>
      </c>
      <c r="K17390" s="10" t="inlineStr">
        <is>
          <t>Trên 3 Năm</t>
        </is>
      </c>
      <c r="L17390" s="11">
        <f>HYPERLINK("https://careerviet.vn/vi/tim-viec-lam/chu-nhiem-tai-vu-thu-quy.35C64BA0.html","Xem chi tiết")</f>
        <v/>
      </c>
      <c r="M17390" s="10" t="n"/>
    </row>
    <row r="17391">
      <c r="B17391" s="7" t="n">
        <v>17389</v>
      </c>
      <c r="C17391" t="inlineStr">
        <is>
          <t>Senior Graphic Designer/ Thiết Kế Đồ Họa (Tuyển gấp, Lương hấp dẫn)</t>
        </is>
      </c>
      <c r="D17391" t="inlineStr">
        <is>
          <t>CÔNG TY CỔ PHẦN TAJ VIỆT NAM</t>
        </is>
      </c>
      <c r="E17391" t="inlineStr">
        <is>
          <t>Lương:12 Tr - 15 Tr VND</t>
        </is>
      </c>
      <c r="F17391" t="inlineStr">
        <is>
          <t>Hà Nội</t>
        </is>
      </c>
      <c r="G17391" t="inlineStr">
        <is>
          <t>06-04-2026</t>
        </is>
      </c>
      <c r="H17391" t="inlineStr">
        <is>
          <t>06/04/2026</t>
        </is>
      </c>
      <c r="I17391" t="inlineStr">
        <is>
          <t>17/03/2026</t>
        </is>
      </c>
      <c r="J17391" t="inlineStr">
        <is>
          <t>Tiếp thị / Marketing, Mỹ thuật / Nghệ thuật / Thiết kế, Quảng cáo / Đối ngoại / Truyền Thông</t>
        </is>
      </c>
      <c r="K17391" t="inlineStr">
        <is>
          <t>Trên 3 Năm</t>
        </is>
      </c>
      <c r="L17391" s="8">
        <f>HYPERLINK("https://careerviet.vn/vi/tim-viec-lam/senior-graphic-designer-thiet-ke-do-hoa-tuyen-gap-luong-hap-dan.35C64A70.html","Xem chi tiết")</f>
        <v/>
      </c>
    </row>
    <row r="17392">
      <c r="B17392" s="9" t="n">
        <v>17390</v>
      </c>
      <c r="C17392" s="10" t="inlineStr">
        <is>
          <t>Chuyên viên dịch vụ cung ứng vàng - Hà Nội - TA162</t>
        </is>
      </c>
      <c r="D17392" s="10" t="inlineStr">
        <is>
          <t>Ngân Hàng TMCP Việt Nam Thịnh Vượng - VPBANK</t>
        </is>
      </c>
      <c r="E17392" s="10" t="inlineStr">
        <is>
          <t>Lương:Cạnh tranh</t>
        </is>
      </c>
      <c r="F17392" s="10" t="inlineStr">
        <is>
          <t>Hà Nội</t>
        </is>
      </c>
      <c r="G17392" s="10" t="inlineStr">
        <is>
          <t>06-04-2026</t>
        </is>
      </c>
      <c r="H17392" s="10" t="inlineStr">
        <is>
          <t>06/04/2026</t>
        </is>
      </c>
      <c r="I17392" s="10" t="inlineStr">
        <is>
          <t>17/03/2026</t>
        </is>
      </c>
      <c r="J17392" s="10" t="inlineStr">
        <is>
          <t>Ngân hàng</t>
        </is>
      </c>
      <c r="K17392" s="10" t="inlineStr">
        <is>
          <t>1 - 2 Năm</t>
        </is>
      </c>
      <c r="L17392" s="11">
        <f>HYPERLINK("https://careerviet.vn/vi/tim-viec-lam/chuyen-vien-dich-vu-cung-ung-vang-ha-noi-ta162.35C64C0D.html","Xem chi tiết")</f>
        <v/>
      </c>
      <c r="M17392" s="10" t="n"/>
    </row>
    <row r="17393">
      <c r="B17393" s="7" t="n">
        <v>17391</v>
      </c>
      <c r="C17393" t="inlineStr">
        <is>
          <t>[Nova Group] Chuyên gia Thiết kế và Biên soạn Tài liệu Đào tạo</t>
        </is>
      </c>
      <c r="D17393" t="inlineStr">
        <is>
          <t>Nova Service Group - Công ty Cổ phần Tập đoàn Nova Services</t>
        </is>
      </c>
      <c r="E17393" t="inlineStr">
        <is>
          <t>Lương:Cạnh tranh</t>
        </is>
      </c>
      <c r="F17393" t="inlineStr">
        <is>
          <t>Hồ Chí Minh</t>
        </is>
      </c>
      <c r="G17393" t="inlineStr">
        <is>
          <t>06-04-2026</t>
        </is>
      </c>
      <c r="H17393" t="inlineStr">
        <is>
          <t>06/04/2026</t>
        </is>
      </c>
      <c r="I17393" t="inlineStr">
        <is>
          <t>17/03/2026</t>
        </is>
      </c>
      <c r="J17393" t="inlineStr">
        <is>
          <t>Giáo dục / Đào tạo, Nhân sự</t>
        </is>
      </c>
      <c r="K17393" t="inlineStr">
        <is>
          <t>5 - 7 Năm</t>
        </is>
      </c>
      <c r="L17393" s="8">
        <f>HYPERLINK("https://careerviet.vn/vi/tim-viec-lam/nova-group-chuyen-gia-thiet-ke-va-bien-soan-tai-lieu-dao-tao.35C64B9C.html","Xem chi tiết")</f>
        <v/>
      </c>
    </row>
    <row r="17394">
      <c r="B17394" s="9" t="n">
        <v>17392</v>
      </c>
      <c r="C17394" s="10" t="inlineStr">
        <is>
          <t>Chuyên Viên Kế Toán Hành Chính tại Gia Lai</t>
        </is>
      </c>
      <c r="D17394" s="10" t="inlineStr">
        <is>
          <t>Tổng Công Ty Cổ Phần Bảo Hiểm Ngân Hàng TMCP Công Thương Việt Nam</t>
        </is>
      </c>
      <c r="E17394" s="10" t="inlineStr">
        <is>
          <t>Lương:Cạnh tranh</t>
        </is>
      </c>
      <c r="F17394" s="10" t="inlineStr">
        <is>
          <t>Gia Lai</t>
        </is>
      </c>
      <c r="G17394" s="10" t="inlineStr">
        <is>
          <t>06-04-2026</t>
        </is>
      </c>
      <c r="H17394" s="10" t="inlineStr">
        <is>
          <t>06/04/2026</t>
        </is>
      </c>
      <c r="I17394" s="10" t="inlineStr">
        <is>
          <t>17/03/2026</t>
        </is>
      </c>
      <c r="J17394" s="10" t="inlineStr">
        <is>
          <t>Bảo hiểm, Kế toán / Kiểm toán, Tài chính / Đầu tư</t>
        </is>
      </c>
      <c r="K17394" s="10" t="inlineStr">
        <is>
          <t>1 - 3 Năm</t>
        </is>
      </c>
      <c r="L17394" s="11">
        <f>HYPERLINK("https://careerviet.vn/vi/tim-viec-lam/chuyen-vien-ke-toan-hanh-chinh-tai-gia-lai.35C64A41.html","Xem chi tiết")</f>
        <v/>
      </c>
      <c r="M17394" s="10" t="n"/>
    </row>
    <row r="17395">
      <c r="B17395" s="7" t="n">
        <v>17393</v>
      </c>
      <c r="C17395" t="inlineStr">
        <is>
          <t>Tài Xế Kiêm Giao Nhận</t>
        </is>
      </c>
      <c r="D17395" t="inlineStr">
        <is>
          <t>Công ty Cổ phần Đầu tư Thương mại Bách Tường Phát</t>
        </is>
      </c>
      <c r="E17395" t="inlineStr">
        <is>
          <t>Lương:Trên 8 Tr VND</t>
        </is>
      </c>
      <c r="F17395" t="inlineStr">
        <is>
          <t>Đà Nẵng</t>
        </is>
      </c>
      <c r="G17395" t="inlineStr">
        <is>
          <t>06-04-2026</t>
        </is>
      </c>
      <c r="H17395" t="inlineStr">
        <is>
          <t>06/04/2026</t>
        </is>
      </c>
      <c r="I17395" t="inlineStr">
        <is>
          <t>17/03/2026</t>
        </is>
      </c>
      <c r="J17395" t="inlineStr">
        <is>
          <t>Vận chuyển / Giao nhận / Kho vận, Xuất nhập khẩu, Ngành khác</t>
        </is>
      </c>
      <c r="K17395" t="inlineStr">
        <is>
          <t>N/A</t>
        </is>
      </c>
      <c r="L17395" s="8">
        <f>HYPERLINK("https://careerviet.vn/vi/tim-viec-lam/tai-xe-kiem-giao-nhan.35C64BCC.html","Xem chi tiết")</f>
        <v/>
      </c>
    </row>
    <row r="17396">
      <c r="B17396" s="9" t="n">
        <v>17394</v>
      </c>
      <c r="C17396" s="10" t="inlineStr">
        <is>
          <t>Quận 12 - Thực Tập Sinh Kinh Doanh - Có Lương - Hỗ Trợ Mộc</t>
        </is>
      </c>
      <c r="D17396" s="10" t="inlineStr">
        <is>
          <t>Vietnam Concentrix Services Company Limited</t>
        </is>
      </c>
      <c r="E17396" s="10" t="inlineStr">
        <is>
          <t>Lương:3 Tr - 6 Tr VND</t>
        </is>
      </c>
      <c r="F17396" s="10" t="inlineStr">
        <is>
          <t>Hồ Chí Minh</t>
        </is>
      </c>
      <c r="G17396" s="10" t="inlineStr">
        <is>
          <t>06-04-2026</t>
        </is>
      </c>
      <c r="H17396" s="10" t="inlineStr">
        <is>
          <t>06/04/2026</t>
        </is>
      </c>
      <c r="I17396" s="10" t="inlineStr">
        <is>
          <t>17/03/2026</t>
        </is>
      </c>
      <c r="J17396" s="10" t="inlineStr">
        <is>
          <t>Bán hàng / Kinh doanh, Tư vấn, Dịch vụ khách hàng</t>
        </is>
      </c>
      <c r="K17396" s="10" t="inlineStr">
        <is>
          <t>Chưa có kinh nghiệm</t>
        </is>
      </c>
      <c r="L17396" s="11">
        <f>HYPERLINK("https://careerviet.vn/vi/tim-viec-lam/quan-12-thuc-tap-sinh-kinh-doanh-co-luong-ho-tro-moc.35C67BB2.html","Xem chi tiết")</f>
        <v/>
      </c>
      <c r="M17396" s="10" t="n"/>
    </row>
    <row r="17397">
      <c r="B17397" s="7" t="n">
        <v>17395</v>
      </c>
      <c r="C17397" t="inlineStr">
        <is>
          <t>Chuyên viên Nhân sự</t>
        </is>
      </c>
      <c r="D17397" t="inlineStr">
        <is>
          <t>Công Ty Cổ Phần Tập Đoàn Đầu Tư Địa Ốc No Va</t>
        </is>
      </c>
      <c r="E17397" t="inlineStr">
        <is>
          <t>Lương:Cạnh tranh</t>
        </is>
      </c>
      <c r="F17397" t="inlineStr">
        <is>
          <t>Hồ Chí Minh</t>
        </is>
      </c>
      <c r="G17397" t="inlineStr">
        <is>
          <t>06-04-2026</t>
        </is>
      </c>
      <c r="H17397" t="inlineStr">
        <is>
          <t>06/04/2026</t>
        </is>
      </c>
      <c r="I17397" t="inlineStr">
        <is>
          <t>17/03/2026</t>
        </is>
      </c>
      <c r="J17397" t="inlineStr">
        <is>
          <t>Nhân sự, Bất động sản</t>
        </is>
      </c>
      <c r="K17397" t="inlineStr">
        <is>
          <t>4 - 5 Năm</t>
        </is>
      </c>
      <c r="L17397" s="8">
        <f>HYPERLINK("https://careerviet.vn/vi/tim-viec-lam/chuyen-vien-nhan-su.35C67B11.html","Xem chi tiết")</f>
        <v/>
      </c>
    </row>
    <row r="17398">
      <c r="B17398" s="9" t="n">
        <v>17396</v>
      </c>
      <c r="C17398" s="10" t="inlineStr">
        <is>
          <t>International Sales Executive - Hưng Yên</t>
        </is>
      </c>
      <c r="D17398" s="10" t="inlineStr">
        <is>
          <t>CÔNG TY ASIA SPECIALTY INGREDIENTS</t>
        </is>
      </c>
      <c r="E17398" s="10" t="inlineStr">
        <is>
          <t>Lương:20 Tr - 40 Tr VND</t>
        </is>
      </c>
      <c r="F17398" s="10" t="inlineStr">
        <is>
          <t>Hưng Yên</t>
        </is>
      </c>
      <c r="G17398" s="10" t="inlineStr">
        <is>
          <t>06-04-2026</t>
        </is>
      </c>
      <c r="H17398" s="10" t="inlineStr">
        <is>
          <t>06/04/2026</t>
        </is>
      </c>
      <c r="I17398" s="10" t="inlineStr">
        <is>
          <t>17/03/2026</t>
        </is>
      </c>
      <c r="J17398" s="10" t="inlineStr">
        <is>
          <t>Bán hàng / Kinh doanh</t>
        </is>
      </c>
      <c r="K17398" s="10" t="inlineStr">
        <is>
          <t>1 - 7 Năm</t>
        </is>
      </c>
      <c r="L17398" s="11">
        <f>HYPERLINK("https://careerviet.vn/vi/tim-viec-lam/international-sales-executive-hung-yen.35C67C1A.html","Xem chi tiết")</f>
        <v/>
      </c>
      <c r="M17398" s="10" t="n"/>
    </row>
    <row r="17399">
      <c r="B17399" s="7" t="n">
        <v>17397</v>
      </c>
      <c r="C17399" t="inlineStr">
        <is>
          <t>Kế Toán Tổng Hợp</t>
        </is>
      </c>
      <c r="D17399" t="inlineStr">
        <is>
          <t>CÔNG TY CỔ PHẦN SÔNG ĐÀ - HOÀNG LONG</t>
        </is>
      </c>
      <c r="E17399" t="inlineStr">
        <is>
          <t>Lương:Cạnh tranh</t>
        </is>
      </c>
      <c r="F17399" t="inlineStr">
        <is>
          <t>Hà Nội</t>
        </is>
      </c>
      <c r="G17399" t="inlineStr">
        <is>
          <t>06-04-2026</t>
        </is>
      </c>
      <c r="H17399" t="inlineStr">
        <is>
          <t>06/04/2026</t>
        </is>
      </c>
      <c r="I17399" t="inlineStr">
        <is>
          <t>17/03/2026</t>
        </is>
      </c>
      <c r="J17399" t="inlineStr">
        <is>
          <t>Kế toán / Kiểm toán, Tài chính / Đầu tư, Sản xuất / Vận hành sản xuất</t>
        </is>
      </c>
      <c r="K17399" t="inlineStr">
        <is>
          <t>Trên 3 Năm</t>
        </is>
      </c>
      <c r="L17399" s="8">
        <f>HYPERLINK("https://careerviet.vn/vi/tim-viec-lam/ke-toan-tong-hop.35C64BEE.html","Xem chi tiết")</f>
        <v/>
      </c>
    </row>
    <row r="17400">
      <c r="B17400" s="9" t="n">
        <v>17398</v>
      </c>
      <c r="C17400" s="10" t="inlineStr">
        <is>
          <t>Dược sĩ Kho làm việc tại Nhơn Trạch (Hợp đồng thời vụ 6 tháng)</t>
        </is>
      </c>
      <c r="D17400" s="10" t="inlineStr">
        <is>
          <t>Công Ty Cổ Phần Vacxin Việt Nam</t>
        </is>
      </c>
      <c r="E17400" s="10" t="inlineStr">
        <is>
          <t>Lương:7 Tr - 9 Tr VND</t>
        </is>
      </c>
      <c r="F17400" s="10" t="inlineStr">
        <is>
          <t>Đồng Nai</t>
        </is>
      </c>
      <c r="G17400" s="10" t="inlineStr">
        <is>
          <t>05-04-2026</t>
        </is>
      </c>
      <c r="H17400" s="10" t="inlineStr">
        <is>
          <t>05/04/2026</t>
        </is>
      </c>
      <c r="I17400" s="10" t="inlineStr">
        <is>
          <t>17/03/2026</t>
        </is>
      </c>
      <c r="J17400" s="10" t="inlineStr">
        <is>
          <t>Dược phẩm/ Hóa Mỹ Phẩm, Y tế / Chăm sóc sức khỏe / Thẩm mỹ / Làm đẹp, Vận chuyển / Giao nhận / Kho vận</t>
        </is>
      </c>
      <c r="K17400" s="10" t="inlineStr">
        <is>
          <t>Lên đến 1 Năm</t>
        </is>
      </c>
      <c r="L17400" s="11">
        <f>HYPERLINK("https://careerviet.vn/vi/tim-viec-lam/duoc-si-kho-lam-viec-tai-nhon-trach-hop-dong-thoi-vu-6-thang.35C6498C.html","Xem chi tiết")</f>
        <v/>
      </c>
      <c r="M17400" s="10" t="n"/>
    </row>
    <row r="17401">
      <c r="B17401" s="7" t="n">
        <v>17399</v>
      </c>
      <c r="C17401" t="inlineStr">
        <is>
          <t>Hiện Trường Khai Hải Quan</t>
        </is>
      </c>
      <c r="D17401" t="inlineStr">
        <is>
          <t>Công Ty TNHH Vận Tải Việt Nhật</t>
        </is>
      </c>
      <c r="E17401" t="inlineStr">
        <is>
          <t>Lương:Cạnh tranh</t>
        </is>
      </c>
      <c r="F17401" t="inlineStr">
        <is>
          <t>Hồ Chí Minh</t>
        </is>
      </c>
      <c r="G17401" t="inlineStr">
        <is>
          <t>06-04-2026</t>
        </is>
      </c>
      <c r="H17401" t="inlineStr">
        <is>
          <t>06/04/2026</t>
        </is>
      </c>
      <c r="I17401" t="inlineStr">
        <is>
          <t>17/03/2026</t>
        </is>
      </c>
      <c r="J17401" t="inlineStr">
        <is>
          <t>Vận chuyển / Giao nhận / Kho vận, Hàng hải, Xuất nhập khẩu</t>
        </is>
      </c>
      <c r="K17401" t="inlineStr">
        <is>
          <t>2 - 4 Năm</t>
        </is>
      </c>
      <c r="L17401" s="8">
        <f>HYPERLINK("https://careerviet.vn/vi/tim-viec-lam/hien-truong-khai-hai-quan.35C67AEC.html","Xem chi tiết")</f>
        <v/>
      </c>
    </row>
    <row r="17402">
      <c r="B17402" s="9" t="n">
        <v>17400</v>
      </c>
      <c r="C17402" s="10" t="inlineStr">
        <is>
          <t>Kỹ Sư Cơ Điện</t>
        </is>
      </c>
      <c r="D17402" s="10" t="inlineStr">
        <is>
          <t>CÔNG TY TNHH XÂY DỰNG TỰ LẬP</t>
        </is>
      </c>
      <c r="E17402" s="10" t="inlineStr">
        <is>
          <t>Lương:20 Tr - 25 Tr VND</t>
        </is>
      </c>
      <c r="F17402" s="10" t="inlineStr">
        <is>
          <t>Phú Thọ</t>
        </is>
      </c>
      <c r="G17402" s="10" t="inlineStr">
        <is>
          <t>05-04-2026</t>
        </is>
      </c>
      <c r="H17402" s="10" t="inlineStr">
        <is>
          <t>05/04/2026</t>
        </is>
      </c>
      <c r="I17402" s="10" t="inlineStr">
        <is>
          <t>17/03/2026</t>
        </is>
      </c>
      <c r="J17402" s="10" t="inlineStr">
        <is>
          <t>Xây dựng, Cơ khí / Ô tô / Tự động hóa, Điện / Điện tử / Điện lạnh / Điện công nghiệp</t>
        </is>
      </c>
      <c r="K17402" s="10" t="inlineStr">
        <is>
          <t>Trên 2 Năm</t>
        </is>
      </c>
      <c r="L17402" s="11">
        <f>HYPERLINK("https://careerviet.vn/vi/tim-viec-lam/ky-su-co-dien.35C649F3.html","Xem chi tiết")</f>
        <v/>
      </c>
      <c r="M17402" s="10" t="n"/>
    </row>
    <row r="17403">
      <c r="B17403" s="7" t="n">
        <v>17401</v>
      </c>
      <c r="C17403" t="inlineStr">
        <is>
          <t>KỸ THUẬT VIÊN QC-CƠ KHÍ [CỦ CHI]</t>
        </is>
      </c>
      <c r="D17403" t="inlineStr">
        <is>
          <t>CÔNG TY CP SAIGON AUTO SUPPORTING INDUSTRY</t>
        </is>
      </c>
      <c r="E17403" t="inlineStr">
        <is>
          <t>Lương:Cạnh tranh</t>
        </is>
      </c>
      <c r="F17403" t="inlineStr">
        <is>
          <t>Hồ Chí Minh</t>
        </is>
      </c>
      <c r="G17403" t="inlineStr">
        <is>
          <t>06-04-2026</t>
        </is>
      </c>
      <c r="H17403" t="inlineStr">
        <is>
          <t>06/04/2026</t>
        </is>
      </c>
      <c r="I17403" t="inlineStr">
        <is>
          <t>17/03/2026</t>
        </is>
      </c>
      <c r="J17403" t="inlineStr">
        <is>
          <t>Cơ khí / Ô tô / Tự động hóa, Quản lý chất lượng (QA/QC)</t>
        </is>
      </c>
      <c r="K17403" t="inlineStr">
        <is>
          <t>N/A</t>
        </is>
      </c>
      <c r="L17403" s="8">
        <f>HYPERLINK("https://careerviet.vn/vi/tim-viec-lam/ky-thuat-vien-qc-co-khi-cu-chi.35C64B2A.html","Xem chi tiết")</f>
        <v/>
      </c>
    </row>
    <row r="17404">
      <c r="B17404" s="9" t="n">
        <v>17402</v>
      </c>
      <c r="C17404" s="10" t="inlineStr">
        <is>
          <t>Chuyên viên Phát triển chiến lược sáng tạo - Content Creator</t>
        </is>
      </c>
      <c r="D17404" s="10" t="inlineStr">
        <is>
          <t>CÔNG TY CỔ PHẦN TAJ VIỆT NAM</t>
        </is>
      </c>
      <c r="E17404" s="10" t="inlineStr">
        <is>
          <t>Lương:Cạnh tranh</t>
        </is>
      </c>
      <c r="F17404" s="10" t="inlineStr">
        <is>
          <t>Hà Nội</t>
        </is>
      </c>
      <c r="G17404" s="10" t="inlineStr">
        <is>
          <t>06-04-2026</t>
        </is>
      </c>
      <c r="H17404" s="10" t="inlineStr">
        <is>
          <t>06/04/2026</t>
        </is>
      </c>
      <c r="I17404" s="10" t="inlineStr">
        <is>
          <t>17/03/2026</t>
        </is>
      </c>
      <c r="J17404" s="10" t="inlineStr">
        <is>
          <t>Tiếp thị / Marketing, Tiếp thị trực tuyến, Truyền hình / Báo chí / Biên tập</t>
        </is>
      </c>
      <c r="K17404" s="10" t="inlineStr">
        <is>
          <t>Trên 3 Năm</t>
        </is>
      </c>
      <c r="L17404" s="11">
        <f>HYPERLINK("https://careerviet.vn/vi/tim-viec-lam/chuyen-vien-phat-trien-chien-luoc-sang-tao-content-creator.35C64A6F.html","Xem chi tiết")</f>
        <v/>
      </c>
      <c r="M17404" s="10" t="n"/>
    </row>
    <row r="17405">
      <c r="B17405" s="7" t="n">
        <v>17403</v>
      </c>
      <c r="C17405" t="inlineStr">
        <is>
          <t>Project Management  -  PCBA Industry</t>
        </is>
      </c>
      <c r="D17405" t="inlineStr">
        <is>
          <t>Công ty TNHH Cicor Việt Nam</t>
        </is>
      </c>
      <c r="E17405" t="inlineStr">
        <is>
          <t>Lương:Cạnh tranh</t>
        </is>
      </c>
      <c r="F17405" t="inlineStr">
        <is>
          <t>Bình Dương</t>
        </is>
      </c>
      <c r="G17405" t="inlineStr">
        <is>
          <t>05-04-2026</t>
        </is>
      </c>
      <c r="H17405" t="inlineStr">
        <is>
          <t>05/04/2026</t>
        </is>
      </c>
      <c r="I17405" t="inlineStr">
        <is>
          <t>17/03/2026</t>
        </is>
      </c>
      <c r="J17405" t="inlineStr">
        <is>
          <t>Điện / Điện tử / Điện lạnh / Điện công nghiệp, Sản xuất / Vận hành sản xuất</t>
        </is>
      </c>
      <c r="K17405" t="inlineStr">
        <is>
          <t>3 - 5 Năm</t>
        </is>
      </c>
      <c r="L17405" s="8">
        <f>HYPERLINK("https://careerviet.vn/vi/tim-viec-lam/project-management-pcba-industry.35C67777.html","Xem chi tiết")</f>
        <v/>
      </c>
    </row>
    <row r="17406">
      <c r="B17406" s="9" t="n">
        <v>17404</v>
      </c>
      <c r="C17406" s="10" t="inlineStr">
        <is>
          <t>Chuyên Viên Phát Triển Tổ Chức - Organization Development Executive</t>
        </is>
      </c>
      <c r="D17406" s="10" t="inlineStr">
        <is>
          <t>Công Ty Tài Chính Mirae Asset (Việt Nam)</t>
        </is>
      </c>
      <c r="E17406" s="10" t="inlineStr">
        <is>
          <t>Lương:Cạnh tranh</t>
        </is>
      </c>
      <c r="F17406" s="10" t="inlineStr">
        <is>
          <t>Hồ Chí Minh</t>
        </is>
      </c>
      <c r="G17406" s="10" t="inlineStr">
        <is>
          <t>23-04-2026</t>
        </is>
      </c>
      <c r="H17406" s="10" t="inlineStr">
        <is>
          <t>23/04/2026</t>
        </is>
      </c>
      <c r="I17406" s="10" t="inlineStr">
        <is>
          <t>17/03/2026</t>
        </is>
      </c>
      <c r="J17406" s="10" t="inlineStr">
        <is>
          <t>Bảo hiểm, Bất động sản, Bán hàng / Kinh doanh</t>
        </is>
      </c>
      <c r="K17406" s="10" t="inlineStr">
        <is>
          <t>3 - 5 Năm</t>
        </is>
      </c>
      <c r="L17406" s="11">
        <f>HYPERLINK("https://careerviet.vn/vi/tim-viec-lam/chuyen-vien-phat-trien-to-chuc-organization-development-executive.35C64905.html","Xem chi tiết")</f>
        <v/>
      </c>
      <c r="M17406" s="10" t="n"/>
    </row>
    <row r="17407">
      <c r="B17407" s="7" t="n">
        <v>17405</v>
      </c>
      <c r="C17407" t="inlineStr">
        <is>
          <t>Phiên dịch &amp; Quản lý tiếng Hàn Quốc</t>
        </is>
      </c>
      <c r="D17407" t="inlineStr">
        <is>
          <t>Công ty TNHH Sản xuất Thương mại &amp; Dịch vụ Hoa Xinh</t>
        </is>
      </c>
      <c r="E17407" t="inlineStr">
        <is>
          <t>Lương:20 Tr - 30 Tr VND</t>
        </is>
      </c>
      <c r="F17407" t="inlineStr">
        <is>
          <t>Hồ Chí Minh</t>
        </is>
      </c>
      <c r="G17407" t="inlineStr">
        <is>
          <t>05-04-2026</t>
        </is>
      </c>
      <c r="H17407" t="inlineStr">
        <is>
          <t>05/04/2026</t>
        </is>
      </c>
      <c r="I17407" t="inlineStr">
        <is>
          <t>17/03/2026</t>
        </is>
      </c>
      <c r="J17407" t="inlineStr">
        <is>
          <t>Biên phiên dịch, Thực phẩm &amp; Đồ uống, Bán lẻ / Bán sỉ</t>
        </is>
      </c>
      <c r="K17407" t="inlineStr">
        <is>
          <t>2 - 5 Năm</t>
        </is>
      </c>
      <c r="L17407" s="8">
        <f>HYPERLINK("https://careerviet.vn/vi/tim-viec-lam/phien-dich-quan-ly-tieng-han-quoc.35C678B0.html","Xem chi tiết")</f>
        <v/>
      </c>
    </row>
    <row r="17408">
      <c r="B17408" s="9" t="n">
        <v>17406</v>
      </c>
      <c r="C17408" s="10" t="inlineStr">
        <is>
          <t>Chuyên gia Phân tích dữ liệu (Senior Data Analyst) - K.CNTT</t>
        </is>
      </c>
      <c r="D17408" s="10" t="inlineStr">
        <is>
          <t>Ngân hàng TMCP Đại Chúng Việt Nam - PVcomBank</t>
        </is>
      </c>
      <c r="E17408" s="10" t="inlineStr">
        <is>
          <t>Lương:Cạnh tranh</t>
        </is>
      </c>
      <c r="F17408" s="10" t="inlineStr">
        <is>
          <t>Hà Nội</t>
        </is>
      </c>
      <c r="G17408" s="10" t="inlineStr">
        <is>
          <t>05-04-2026</t>
        </is>
      </c>
      <c r="H17408" s="10" t="inlineStr">
        <is>
          <t>05/04/2026</t>
        </is>
      </c>
      <c r="I17408" s="10" t="inlineStr">
        <is>
          <t>17/03/2026</t>
        </is>
      </c>
      <c r="J17408" s="10" t="inlineStr">
        <is>
          <t>CNTT - Phần cứng / Mạng, CNTT - Phần mềm, Ngân hàng</t>
        </is>
      </c>
      <c r="K17408" s="10" t="inlineStr">
        <is>
          <t>5 - 10 Năm</t>
        </is>
      </c>
      <c r="L17408" s="11">
        <f>HYPERLINK("https://careerviet.vn/vi/tim-viec-lam/chuyen-gia-phan-tich-du-lieu-senior-data-analyst-k-cntt.35C6489A.html","Xem chi tiết")</f>
        <v/>
      </c>
      <c r="M17408" s="10" t="n"/>
    </row>
    <row r="17409">
      <c r="B17409" s="7" t="n">
        <v>17407</v>
      </c>
      <c r="C17409" t="inlineStr">
        <is>
          <t>Manufacturing Engineering Engineer (Jig Engineer)</t>
        </is>
      </c>
      <c r="D17409" t="inlineStr">
        <is>
          <t>Thermtrol Co., Ltd.</t>
        </is>
      </c>
      <c r="E17409" t="inlineStr">
        <is>
          <t>Lương:Cạnh tranh</t>
        </is>
      </c>
      <c r="F17409" t="inlineStr">
        <is>
          <t>Bình Dương</t>
        </is>
      </c>
      <c r="G17409" t="inlineStr">
        <is>
          <t>05-04-2026</t>
        </is>
      </c>
      <c r="H17409" t="inlineStr">
        <is>
          <t>05/04/2026</t>
        </is>
      </c>
      <c r="I17409" t="inlineStr">
        <is>
          <t>17/03/2026</t>
        </is>
      </c>
      <c r="J17409" t="inlineStr">
        <is>
          <t>Cơ khí / Ô tô / Tự động hóa, Sản xuất / Vận hành sản xuất, Điện / Điện tử / Điện lạnh / Điện công nghiệp</t>
        </is>
      </c>
      <c r="K17409" t="inlineStr">
        <is>
          <t>1 - 3 Năm</t>
        </is>
      </c>
      <c r="L17409" s="8">
        <f>HYPERLINK("https://careerviet.vn/vi/tim-viec-lam/manufacturing-engineering-engineer-jig-engineer.35C677F5.html","Xem chi tiết")</f>
        <v/>
      </c>
    </row>
    <row r="17410">
      <c r="B17410" s="9" t="n">
        <v>17408</v>
      </c>
      <c r="C17410" s="10" t="inlineStr">
        <is>
          <t>Hành chính văn thư</t>
        </is>
      </c>
      <c r="D17410" s="10" t="inlineStr">
        <is>
          <t>Công ty Cổ phần Miền Thực Phẩm</t>
        </is>
      </c>
      <c r="E17410" s="10" t="inlineStr">
        <is>
          <t>Lương:8 Tr - 15 Tr VND</t>
        </is>
      </c>
      <c r="F17410" s="10" t="inlineStr">
        <is>
          <t>Hà Nội</t>
        </is>
      </c>
      <c r="G17410" s="10" t="inlineStr">
        <is>
          <t>05-04-2026</t>
        </is>
      </c>
      <c r="H17410" s="10" t="inlineStr">
        <is>
          <t>05/04/2026</t>
        </is>
      </c>
      <c r="I17410" s="10" t="inlineStr">
        <is>
          <t>17/03/2026</t>
        </is>
      </c>
      <c r="J17410" s="10" t="inlineStr">
        <is>
          <t>Hành chính / Thư ký, Nhân sự, Mới tốt nghiệp / Thực tập</t>
        </is>
      </c>
      <c r="K17410" s="10" t="inlineStr">
        <is>
          <t>1 - 2 Năm</t>
        </is>
      </c>
      <c r="L17410" s="11">
        <f>HYPERLINK("https://careerviet.vn/vi/tim-viec-lam/hanh-chinh-van-thu.35C654A6.html","Xem chi tiết")</f>
        <v/>
      </c>
      <c r="M17410" s="10" t="n"/>
    </row>
    <row r="17411">
      <c r="B17411" s="7" t="n">
        <v>17409</v>
      </c>
      <c r="C17411" t="inlineStr">
        <is>
          <t>[ Quảng Ngãi] Chuyên Viên Tư Vấn Trả Góp Ô Tô</t>
        </is>
      </c>
      <c r="D17411" t="inlineStr">
        <is>
          <t>Công Ty Tài Chính Mirae Asset (Việt Nam)</t>
        </is>
      </c>
      <c r="E17411" t="inlineStr">
        <is>
          <t>Lương:17 Tr - 30 Tr VND</t>
        </is>
      </c>
      <c r="F17411" t="inlineStr">
        <is>
          <t>Quảng NgãiKV Nam Trung Bộ</t>
        </is>
      </c>
      <c r="G17411" t="inlineStr">
        <is>
          <t>05-04-2026</t>
        </is>
      </c>
      <c r="H17411" t="inlineStr">
        <is>
          <t>05/04/2026</t>
        </is>
      </c>
      <c r="I17411" t="inlineStr">
        <is>
          <t>17/03/2026</t>
        </is>
      </c>
      <c r="J17411" t="inlineStr">
        <is>
          <t>Bán hàng / Kinh doanh, Bán lẻ / Bán sỉ, Tài chính / Đầu tư</t>
        </is>
      </c>
      <c r="K17411" t="inlineStr">
        <is>
          <t>1 - 3 Năm</t>
        </is>
      </c>
      <c r="L17411" s="8">
        <f>HYPERLINK("https://careerviet.vn/vi/tim-viec-lam/quang-ngai-chuyen-vien-tu-van-tra-gop-o-to.35C64959.html","Xem chi tiết")</f>
        <v/>
      </c>
    </row>
    <row r="17412">
      <c r="B17412" s="9" t="n">
        <v>17410</v>
      </c>
      <c r="C17412" s="10" t="inlineStr">
        <is>
          <t>Nhân Viên Tư Vấn Bán Hàng Tại  King Kong Phú Quốc</t>
        </is>
      </c>
      <c r="D17412" s="10" t="inlineStr">
        <is>
          <t>Công Ty Cổ Phần Mỹ Phẩm Sài Gòn</t>
        </is>
      </c>
      <c r="E17412" s="10" t="inlineStr">
        <is>
          <t>Lương:7 Tr - 10 Tr VND</t>
        </is>
      </c>
      <c r="F17412" s="10" t="inlineStr">
        <is>
          <t>Kiên Giang</t>
        </is>
      </c>
      <c r="G17412" s="10" t="inlineStr">
        <is>
          <t>05-04-2026</t>
        </is>
      </c>
      <c r="H17412" s="10" t="inlineStr">
        <is>
          <t>05/04/2026</t>
        </is>
      </c>
      <c r="I17412" s="10" t="inlineStr">
        <is>
          <t>17/03/2026</t>
        </is>
      </c>
      <c r="J17412" s="10" t="inlineStr">
        <is>
          <t>Biên phiên dịch, Bán lẻ / Bán sỉ, Bán hàng / Kinh doanh</t>
        </is>
      </c>
      <c r="K17412" s="10" t="inlineStr">
        <is>
          <t>1 - 2 Năm</t>
        </is>
      </c>
      <c r="L17412" s="11">
        <f>HYPERLINK("https://careerviet.vn/vi/tim-viec-lam/nhan-vien-tu-van-ban-hang-tai-king-kong-phu-quoc.35C6770F.html","Xem chi tiết")</f>
        <v/>
      </c>
      <c r="M17412" s="10" t="n"/>
    </row>
    <row r="17413">
      <c r="B17413" s="7" t="n">
        <v>17411</v>
      </c>
      <c r="C17413" t="inlineStr">
        <is>
          <t>Bác sĩ Nội tổng quát/ Nội tiết/ Nội tim mạch/ Nội thận/ Nội dinh dưỡng</t>
        </is>
      </c>
      <c r="D17413" t="inlineStr">
        <is>
          <t>DIAG</t>
        </is>
      </c>
      <c r="E17413" t="inlineStr">
        <is>
          <t>Lương:Cạnh tranh</t>
        </is>
      </c>
      <c r="F17413" t="inlineStr">
        <is>
          <t>Hồ Chí Minh</t>
        </is>
      </c>
      <c r="G17413" t="inlineStr">
        <is>
          <t>05-04-2026</t>
        </is>
      </c>
      <c r="H17413" t="inlineStr">
        <is>
          <t>05/04/2026</t>
        </is>
      </c>
      <c r="I17413" t="inlineStr">
        <is>
          <t>17/03/2026</t>
        </is>
      </c>
      <c r="J17413" t="inlineStr">
        <is>
          <t>Y tế / Chăm sóc sức khỏe / Thẩm mỹ / Làm đẹp, Dược phẩm/ Hóa Mỹ Phẩm</t>
        </is>
      </c>
      <c r="K17413" t="inlineStr">
        <is>
          <t>4 - 7 Năm</t>
        </is>
      </c>
      <c r="L17413" s="8">
        <f>HYPERLINK("https://careerviet.vn/vi/tim-viec-lam/bac-si-noi-tong-quat-noi-tiet-noi-tim-mach-noi-than-noi-dinh-duong.35C67911.html","Xem chi tiết")</f>
        <v/>
      </c>
    </row>
    <row r="17414">
      <c r="B17414" s="9" t="n">
        <v>17412</v>
      </c>
      <c r="C17414" s="10" t="inlineStr">
        <is>
          <t>HCM - Senior Content Creator (Yaman)</t>
        </is>
      </c>
      <c r="D17414" s="10" t="inlineStr">
        <is>
          <t>Công ty TNHH Thiên Thủy Mộc</t>
        </is>
      </c>
      <c r="E17414" s="10" t="inlineStr">
        <is>
          <t>Lương:15 Tr - 17 Tr VND</t>
        </is>
      </c>
      <c r="F17414" s="10" t="inlineStr">
        <is>
          <t>Hồ Chí Minh</t>
        </is>
      </c>
      <c r="G17414" s="10" t="inlineStr">
        <is>
          <t>05-04-2026</t>
        </is>
      </c>
      <c r="H17414" s="10" t="inlineStr">
        <is>
          <t>05/04/2026</t>
        </is>
      </c>
      <c r="I17414" s="10" t="inlineStr">
        <is>
          <t>17/03/2026</t>
        </is>
      </c>
      <c r="J17414" s="10" t="inlineStr">
        <is>
          <t>Tiếp thị / Marketing, Quảng cáo / Đối ngoại / Truyền Thông</t>
        </is>
      </c>
      <c r="K17414" s="10" t="inlineStr">
        <is>
          <t>2 - 4 Năm</t>
        </is>
      </c>
      <c r="L17414" s="11">
        <f>HYPERLINK("https://careerviet.vn/vi/tim-viec-lam/hcm-senior-content-creator-yaman.35C648B2.html","Xem chi tiết")</f>
        <v/>
      </c>
      <c r="M17414" s="10" t="n"/>
    </row>
    <row r="17415">
      <c r="B17415" s="7" t="n">
        <v>17413</v>
      </c>
      <c r="C17415" t="inlineStr">
        <is>
          <t>Nhân viên Seo Marketing - Tại Hà Nội - Thu nhập: 10.000.000 - 20.000.000</t>
        </is>
      </c>
      <c r="D17415" t="inlineStr">
        <is>
          <t>Công ty TNHH Dược Hunmed</t>
        </is>
      </c>
      <c r="E17415" t="inlineStr">
        <is>
          <t>Lương:12 Tr - 20 Tr VND</t>
        </is>
      </c>
      <c r="F17415" t="inlineStr">
        <is>
          <t>Hà Nội</t>
        </is>
      </c>
      <c r="G17415" t="inlineStr">
        <is>
          <t>05-04-2026</t>
        </is>
      </c>
      <c r="H17415" t="inlineStr">
        <is>
          <t>05/04/2026</t>
        </is>
      </c>
      <c r="I17415" t="inlineStr">
        <is>
          <t>17/03/2026</t>
        </is>
      </c>
      <c r="J17415" t="inlineStr">
        <is>
          <t>Tiếp thị / Marketing, Dược phẩm/ Hóa Mỹ Phẩm</t>
        </is>
      </c>
      <c r="K17415" t="inlineStr">
        <is>
          <t>1 - 2 Năm</t>
        </is>
      </c>
      <c r="L17415" s="8">
        <f>HYPERLINK("https://careerviet.vn/vi/tim-viec-lam/nhan-vien-seo-marketing-tai-ha-noi-thu-nhap-10-000-000-20-000-000.35C6787C.html","Xem chi tiết")</f>
        <v/>
      </c>
    </row>
    <row r="17416">
      <c r="B17416" s="9" t="n">
        <v>17414</v>
      </c>
      <c r="C17416" s="10" t="inlineStr">
        <is>
          <t>Sales Admin</t>
        </is>
      </c>
      <c r="D17416" s="10" t="inlineStr">
        <is>
          <t>CÔNG TY TNHH ĐẦU TƯ THƯƠNG MẠI OM SOHA</t>
        </is>
      </c>
      <c r="E17416" s="10" t="inlineStr">
        <is>
          <t>Lương:Cạnh tranh</t>
        </is>
      </c>
      <c r="F17416" s="10" t="inlineStr">
        <is>
          <t>Hồ Chí Minh</t>
        </is>
      </c>
      <c r="G17416" s="10" t="inlineStr">
        <is>
          <t>05-04-2026</t>
        </is>
      </c>
      <c r="H17416" s="10" t="inlineStr">
        <is>
          <t>05/04/2026</t>
        </is>
      </c>
      <c r="I17416" s="10" t="inlineStr">
        <is>
          <t>17/03/2026</t>
        </is>
      </c>
      <c r="J17416" s="10" t="inlineStr">
        <is>
          <t>Bán hàng / Kinh doanh, Hành chính / Thư ký, Quản lý điều hành</t>
        </is>
      </c>
      <c r="K17416" s="10" t="inlineStr">
        <is>
          <t>Lên đến 1 Năm</t>
        </is>
      </c>
      <c r="L17416" s="11">
        <f>HYPERLINK("https://careerviet.vn/vi/tim-viec-lam/sales-admin.35C649AD.html","Xem chi tiết")</f>
        <v/>
      </c>
      <c r="M17416" s="10" t="n"/>
    </row>
    <row r="17417">
      <c r="B17417" s="7" t="n">
        <v>17415</v>
      </c>
      <c r="C17417" t="inlineStr">
        <is>
          <t>Họa viên triển khai bản vẽ kỹ thuật 2D/3D</t>
        </is>
      </c>
      <c r="D17417" t="inlineStr">
        <is>
          <t>CÔNG TY CỔ PHẦN ĐẦU TƯ VÀ XÂY DỰNG THIÊN SỨ</t>
        </is>
      </c>
      <c r="E17417" t="inlineStr">
        <is>
          <t>Lương:12 Tr - 15 Tr VND</t>
        </is>
      </c>
      <c r="F17417" t="inlineStr">
        <is>
          <t>Hồ Chí Minh</t>
        </is>
      </c>
      <c r="G17417" t="inlineStr">
        <is>
          <t>04-04-2026</t>
        </is>
      </c>
      <c r="H17417" t="inlineStr">
        <is>
          <t>04/04/2026</t>
        </is>
      </c>
      <c r="I17417" t="inlineStr">
        <is>
          <t>17/03/2026</t>
        </is>
      </c>
      <c r="J17417" t="inlineStr">
        <is>
          <t>Mỹ thuật / Nghệ thuật / Thiết kế, Xây dựng, Kiến trúc</t>
        </is>
      </c>
      <c r="K17417" t="inlineStr">
        <is>
          <t>Lên đến 1 Năm</t>
        </is>
      </c>
      <c r="L17417" s="8">
        <f>HYPERLINK("https://careerviet.vn/vi/tim-viec-lam/hoa-vien-trien-khai-ban-ve-ky-thuat-2d-3d.35C678F3.html","Xem chi tiết")</f>
        <v/>
      </c>
    </row>
    <row r="17418">
      <c r="B17418" s="9" t="n">
        <v>17416</v>
      </c>
      <c r="C17418" s="10" t="inlineStr">
        <is>
          <t>CV Kỹ thuật Bảo trì Utility - HVAC</t>
        </is>
      </c>
      <c r="D17418" s="10" t="inlineStr">
        <is>
          <t>CÔNG TY CỔ PHẦN SẢN XUẤT THƯƠNG MẠI AP BEVERAGE</t>
        </is>
      </c>
      <c r="E17418" s="10" t="inlineStr">
        <is>
          <t>Lương:10 Tr - 14 Tr VND</t>
        </is>
      </c>
      <c r="F17418" s="10" t="inlineStr">
        <is>
          <t>Đồng Nai</t>
        </is>
      </c>
      <c r="G17418" s="10" t="inlineStr">
        <is>
          <t>05-04-2026</t>
        </is>
      </c>
      <c r="H17418" s="10" t="inlineStr">
        <is>
          <t>05/04/2026</t>
        </is>
      </c>
      <c r="I17418" s="10" t="inlineStr">
        <is>
          <t>17/03/2026</t>
        </is>
      </c>
      <c r="J17418" s="10" t="inlineStr">
        <is>
          <t>Cơ khí / Ô tô / Tự động hóa, Điện / Điện tử / Điện lạnh / Điện công nghiệp, Bảo trì / Sửa chữa</t>
        </is>
      </c>
      <c r="K17418" s="10" t="inlineStr">
        <is>
          <t>2 - 5 Năm</t>
        </is>
      </c>
      <c r="L17418" s="11">
        <f>HYPERLINK("https://careerviet.vn/vi/tim-viec-lam/cv-ky-thuat-bao-tri-utility-hvac.35C6494C.html","Xem chi tiết")</f>
        <v/>
      </c>
      <c r="M17418" s="10" t="n"/>
    </row>
    <row r="17419">
      <c r="B17419" s="7" t="n">
        <v>17417</v>
      </c>
      <c r="C17419" t="inlineStr">
        <is>
          <t>Chuyên Viên Nhân Sự Cấp Cao</t>
        </is>
      </c>
      <c r="D17419" t="inlineStr">
        <is>
          <t>CÔNG TY TNHH TƯ VẤN QUẢN LÝ FAST RETAILING (VIỆT NAM)</t>
        </is>
      </c>
      <c r="E17419" t="inlineStr">
        <is>
          <t>Lương:Cạnh tranh</t>
        </is>
      </c>
      <c r="F17419" t="inlineStr">
        <is>
          <t>Hồ Chí Minh</t>
        </is>
      </c>
      <c r="G17419" t="inlineStr">
        <is>
          <t>05-04-2026</t>
        </is>
      </c>
      <c r="H17419" t="inlineStr">
        <is>
          <t>05/04/2026</t>
        </is>
      </c>
      <c r="I17419" t="inlineStr">
        <is>
          <t>17/03/2026</t>
        </is>
      </c>
      <c r="J17419" t="inlineStr">
        <is>
          <t>Nhân sự</t>
        </is>
      </c>
      <c r="K17419" t="inlineStr">
        <is>
          <t>4 - 10 Năm</t>
        </is>
      </c>
      <c r="L17419" s="8">
        <f>HYPERLINK("https://careerviet.vn/vi/tim-viec-lam/chuyen-vien-nhan-su-cap-cao.35C6490E.html","Xem chi tiết")</f>
        <v/>
      </c>
    </row>
    <row r="17420">
      <c r="B17420" s="9" t="n">
        <v>17418</v>
      </c>
      <c r="C17420" s="10" t="inlineStr">
        <is>
          <t>Nhân Viên Kho Hàng Dược - tại Hà Nội</t>
        </is>
      </c>
      <c r="D17420" s="10" t="inlineStr">
        <is>
          <t>Công ty TNHH Dược Hunmed</t>
        </is>
      </c>
      <c r="E17420" s="10" t="inlineStr">
        <is>
          <t>Lương:8 Tr - 10 Tr VND</t>
        </is>
      </c>
      <c r="F17420" s="10" t="inlineStr">
        <is>
          <t>Hà Nội</t>
        </is>
      </c>
      <c r="G17420" s="10" t="inlineStr">
        <is>
          <t>05-04-2026</t>
        </is>
      </c>
      <c r="H17420" s="10" t="inlineStr">
        <is>
          <t>05/04/2026</t>
        </is>
      </c>
      <c r="I17420" s="10" t="inlineStr">
        <is>
          <t>17/03/2026</t>
        </is>
      </c>
      <c r="J17420" s="10" t="inlineStr">
        <is>
          <t>Vận chuyển / Giao nhận / Kho vận, Mới tốt nghiệp / Thực tập, Ngành khác</t>
        </is>
      </c>
      <c r="K17420" s="10" t="inlineStr">
        <is>
          <t>N/A</t>
        </is>
      </c>
      <c r="L17420" s="11">
        <f>HYPERLINK("https://careerviet.vn/vi/tim-viec-lam/nhan-vien-kho-hang-duoc-tai-ha-noi.35C6787A.html","Xem chi tiết")</f>
        <v/>
      </c>
      <c r="M17420" s="10" t="n"/>
    </row>
    <row r="17421">
      <c r="B17421" s="7" t="n">
        <v>17419</v>
      </c>
      <c r="C17421" t="inlineStr">
        <is>
          <t>Chuyên Viên Marketing Điểm Bán</t>
        </is>
      </c>
      <c r="D17421" t="inlineStr">
        <is>
          <t>Tập Đoàn Karofi Holding</t>
        </is>
      </c>
      <c r="E17421" t="inlineStr">
        <is>
          <t>Lương:12 Tr - 16 Tr VND</t>
        </is>
      </c>
      <c r="F17421" t="inlineStr">
        <is>
          <t>Hà Nội</t>
        </is>
      </c>
      <c r="G17421" t="inlineStr">
        <is>
          <t>05-04-2026</t>
        </is>
      </c>
      <c r="H17421" t="inlineStr">
        <is>
          <t>05/04/2026</t>
        </is>
      </c>
      <c r="I17421" t="inlineStr">
        <is>
          <t>17/03/2026</t>
        </is>
      </c>
      <c r="J17421" t="inlineStr">
        <is>
          <t>Quảng cáo / Đối ngoại / Truyền Thông, Tiếp thị / Marketing</t>
        </is>
      </c>
      <c r="K17421" t="inlineStr">
        <is>
          <t>1 - 2 Năm</t>
        </is>
      </c>
      <c r="L17421" s="8">
        <f>HYPERLINK("https://careerviet.vn/vi/tim-viec-lam/chuyen-vien-marketing-diem-ban.35C6493A.html","Xem chi tiết")</f>
        <v/>
      </c>
    </row>
    <row r="17422">
      <c r="B17422" s="9" t="n">
        <v>17420</v>
      </c>
      <c r="C17422" s="10" t="inlineStr">
        <is>
          <t>[CHÂU THÀNH KIÊN GIANG] TRƯỞNG TRUNG TÂM TIÊM CHỦNG</t>
        </is>
      </c>
      <c r="D17422" s="10" t="inlineStr">
        <is>
          <t>Công Ty Cổ Phần Vacxin Việt Nam</t>
        </is>
      </c>
      <c r="E17422" s="10" t="inlineStr">
        <is>
          <t>Lương:Cạnh tranh</t>
        </is>
      </c>
      <c r="F17422" s="10" t="inlineStr">
        <is>
          <t>Kiên Giang</t>
        </is>
      </c>
      <c r="G17422" s="10" t="inlineStr">
        <is>
          <t>05-04-2026</t>
        </is>
      </c>
      <c r="H17422" s="10" t="inlineStr">
        <is>
          <t>05/04/2026</t>
        </is>
      </c>
      <c r="I17422" s="10" t="inlineStr">
        <is>
          <t>17/03/2026</t>
        </is>
      </c>
      <c r="J17422" s="10" t="inlineStr">
        <is>
          <t>Tiếp thị / Marketing, Bán lẻ / Bán sỉ, Bán hàng / Kinh doanh</t>
        </is>
      </c>
      <c r="K17422" s="10" t="inlineStr">
        <is>
          <t>3 - 5 Năm</t>
        </is>
      </c>
      <c r="L17422" s="11">
        <f>HYPERLINK("https://careerviet.vn/vi/tim-viec-lam/chau-thanh-kien-giang-truong-trung-tam-tiem-chung.35C676BE.html","Xem chi tiết")</f>
        <v/>
      </c>
      <c r="M17422" s="10" t="n"/>
    </row>
    <row r="17423">
      <c r="B17423" s="7" t="n">
        <v>17421</v>
      </c>
      <c r="C17423" t="inlineStr">
        <is>
          <t>Kỹ sư trí tuệ nhân tạo (AI/ML Engineering) - K.CNTT</t>
        </is>
      </c>
      <c r="D17423" t="inlineStr">
        <is>
          <t>Ngân hàng TMCP Đại Chúng Việt Nam - PVcomBank</t>
        </is>
      </c>
      <c r="E17423" t="inlineStr">
        <is>
          <t>Lương:Cạnh tranh</t>
        </is>
      </c>
      <c r="F17423" t="inlineStr">
        <is>
          <t>Hà Nội</t>
        </is>
      </c>
      <c r="G17423" t="inlineStr">
        <is>
          <t>05-04-2026</t>
        </is>
      </c>
      <c r="H17423" t="inlineStr">
        <is>
          <t>05/04/2026</t>
        </is>
      </c>
      <c r="I17423" t="inlineStr">
        <is>
          <t>17/03/2026</t>
        </is>
      </c>
      <c r="J17423" t="inlineStr">
        <is>
          <t>CNTT - Phần cứng / Mạng, CNTT - Phần mềm, Ngân hàng</t>
        </is>
      </c>
      <c r="K17423" t="inlineStr">
        <is>
          <t>1 - 5 Năm</t>
        </is>
      </c>
      <c r="L17423" s="8">
        <f>HYPERLINK("https://careerviet.vn/vi/tim-viec-lam/ky-su-tri-tue-nhan-tao-ai-ml-engineering-k-cntt.35C648AB.html","Xem chi tiết")</f>
        <v/>
      </c>
    </row>
    <row r="17424">
      <c r="B17424" s="9" t="n">
        <v>17422</v>
      </c>
      <c r="C17424" s="10" t="inlineStr">
        <is>
          <t>[NHÀ MÁY]  ENGINEERING MANAGER</t>
        </is>
      </c>
      <c r="D17424" s="10" t="inlineStr">
        <is>
          <t>Công Ty Cổ Phần Vacxin Việt Nam</t>
        </is>
      </c>
      <c r="E17424" s="10" t="inlineStr">
        <is>
          <t>Lương:Cạnh tranh</t>
        </is>
      </c>
      <c r="F17424" s="10" t="inlineStr">
        <is>
          <t>Hồ Chí MinhLong An</t>
        </is>
      </c>
      <c r="G17424" s="10" t="inlineStr">
        <is>
          <t>05-04-2026</t>
        </is>
      </c>
      <c r="H17424" s="10" t="inlineStr">
        <is>
          <t>05/04/2026</t>
        </is>
      </c>
      <c r="I17424" s="10" t="inlineStr">
        <is>
          <t>17/03/2026</t>
        </is>
      </c>
      <c r="J17424" s="10" t="inlineStr">
        <is>
          <t>Dược phẩm/ Hóa Mỹ Phẩm, Cơ khí / Ô tô / Tự động hóa, Điện / Điện tử / Điện lạnh / Điện công nghiệp</t>
        </is>
      </c>
      <c r="K17424" s="10" t="inlineStr">
        <is>
          <t>5 - 7 Năm</t>
        </is>
      </c>
      <c r="L17424" s="11">
        <f>HYPERLINK("https://careerviet.vn/vi/tim-viec-lam/nha-may-engineering-manager.35C67663.html","Xem chi tiết")</f>
        <v/>
      </c>
      <c r="M17424" s="10" t="n"/>
    </row>
    <row r="17425">
      <c r="B17425" s="7" t="n">
        <v>17423</v>
      </c>
      <c r="C17425" t="inlineStr">
        <is>
          <t>[NOVA CONSUMER] Giám Sát Bán Hàng Kênh Sub (Miền Tây)</t>
        </is>
      </c>
      <c r="D17425" t="inlineStr">
        <is>
          <t>Công ty CP Thực Phẩm Xuxifarm</t>
        </is>
      </c>
      <c r="E17425" t="inlineStr">
        <is>
          <t>Lương:15 Tr - 20 Tr VND</t>
        </is>
      </c>
      <c r="F17425" t="inlineStr">
        <is>
          <t>Cần Thơ</t>
        </is>
      </c>
      <c r="G17425" t="inlineStr">
        <is>
          <t>05-04-2026</t>
        </is>
      </c>
      <c r="H17425" t="inlineStr">
        <is>
          <t>05/04/2026</t>
        </is>
      </c>
      <c r="I17425" t="inlineStr">
        <is>
          <t>17/03/2026</t>
        </is>
      </c>
      <c r="J17425" t="inlineStr">
        <is>
          <t>Tiếp thị / Marketing, Bán lẻ / Bán sỉ, Bán hàng / Kinh doanh</t>
        </is>
      </c>
      <c r="K17425" t="inlineStr">
        <is>
          <t>3 - 5 Năm</t>
        </is>
      </c>
      <c r="L17425" s="8">
        <f>HYPERLINK("https://careerviet.vn/vi/tim-viec-lam/nova-consumer-giam-sat-ban-hang-kenh-sub-mien-tay.35C6481A.html","Xem chi tiết")</f>
        <v/>
      </c>
    </row>
    <row r="17426">
      <c r="B17426" s="9" t="n">
        <v>17424</v>
      </c>
      <c r="C17426" s="10" t="inlineStr">
        <is>
          <t>Giáo Viên Tiếng Anh Dạy SAT</t>
        </is>
      </c>
      <c r="D17426" s="10" t="inlineStr">
        <is>
          <t>Công ty cổ phần SIMPACE Việt Nam</t>
        </is>
      </c>
      <c r="E17426" s="10" t="inlineStr">
        <is>
          <t>Lương:15 Tr - 30 Tr VND</t>
        </is>
      </c>
      <c r="F17426" s="10" t="inlineStr">
        <is>
          <t>Hà Nội</t>
        </is>
      </c>
      <c r="G17426" s="10" t="inlineStr">
        <is>
          <t>05-04-2026</t>
        </is>
      </c>
      <c r="H17426" s="10" t="inlineStr">
        <is>
          <t>05/04/2026</t>
        </is>
      </c>
      <c r="I17426" s="10" t="inlineStr">
        <is>
          <t>17/03/2026</t>
        </is>
      </c>
      <c r="J17426" s="10" t="inlineStr">
        <is>
          <t>Giáo dục / Đào tạo</t>
        </is>
      </c>
      <c r="K17426" s="10" t="inlineStr">
        <is>
          <t>2 - 3 Năm</t>
        </is>
      </c>
      <c r="L17426" s="11">
        <f>HYPERLINK("https://careerviet.vn/vi/tim-viec-lam/giao-vien-tieng-anh-day-sat.35C6442E.html","Xem chi tiết")</f>
        <v/>
      </c>
      <c r="M17426" s="10" t="n"/>
    </row>
    <row r="17427">
      <c r="B17427" s="7" t="n">
        <v>17425</v>
      </c>
      <c r="C17427" t="inlineStr">
        <is>
          <t>Trưởng Phòng Kinh Doanh Dự Án ( B2B Sales Manager)</t>
        </is>
      </c>
      <c r="D17427" t="inlineStr">
        <is>
          <t>Công ty TNHH Nesta</t>
        </is>
      </c>
      <c r="E17427" t="inlineStr">
        <is>
          <t>Lương:Cạnh tranh</t>
        </is>
      </c>
      <c r="F17427" t="inlineStr">
        <is>
          <t>Hà Nội</t>
        </is>
      </c>
      <c r="G17427" t="inlineStr">
        <is>
          <t>05-04-2026</t>
        </is>
      </c>
      <c r="H17427" t="inlineStr">
        <is>
          <t>05/04/2026</t>
        </is>
      </c>
      <c r="I17427" t="inlineStr">
        <is>
          <t>17/03/2026</t>
        </is>
      </c>
      <c r="J17427" t="inlineStr">
        <is>
          <t>Tiếp thị / Marketing, Bán hàng / Kinh doanh, Nội ngoại thất</t>
        </is>
      </c>
      <c r="K17427" t="inlineStr">
        <is>
          <t>3 - 5 Năm</t>
        </is>
      </c>
      <c r="L17427" s="8">
        <f>HYPERLINK("https://careerviet.vn/vi/tim-viec-lam/truong-phong-kinh-doanh-du-an-b2b-sales-manager.35C6492D.html","Xem chi tiết")</f>
        <v/>
      </c>
    </row>
    <row r="17428">
      <c r="B17428" s="9" t="n">
        <v>17426</v>
      </c>
      <c r="C17428" s="10" t="inlineStr">
        <is>
          <t>Digital Product Deputy Manager</t>
        </is>
      </c>
      <c r="D17428" s="10" t="inlineStr">
        <is>
          <t>Công Ty Tài Chính Mirae Asset (Việt Nam)</t>
        </is>
      </c>
      <c r="E17428" s="10" t="inlineStr">
        <is>
          <t>Lương:Cạnh tranh</t>
        </is>
      </c>
      <c r="F17428" s="10" t="inlineStr">
        <is>
          <t>Hồ Chí Minh</t>
        </is>
      </c>
      <c r="G17428" s="10" t="inlineStr">
        <is>
          <t>05-04-2026</t>
        </is>
      </c>
      <c r="H17428" s="10" t="inlineStr">
        <is>
          <t>05/04/2026</t>
        </is>
      </c>
      <c r="I17428" s="10" t="inlineStr">
        <is>
          <t>17/03/2026</t>
        </is>
      </c>
      <c r="J17428" s="10" t="inlineStr">
        <is>
          <t>Ngân hàng, Tài chính / Đầu tư</t>
        </is>
      </c>
      <c r="K17428" s="10" t="inlineStr">
        <is>
          <t>5 - 7 Năm</t>
        </is>
      </c>
      <c r="L17428" s="11">
        <f>HYPERLINK("https://careerviet.vn/vi/tim-viec-lam/digital-product-deputy-manager.35C64882.html","Xem chi tiết")</f>
        <v/>
      </c>
      <c r="M17428" s="10" t="n"/>
    </row>
    <row r="17429">
      <c r="B17429" s="7" t="n">
        <v>17427</v>
      </c>
      <c r="C17429" t="inlineStr">
        <is>
          <t>TUYỂN NHÂN VIÊN SEO MARKETING TỔNG HỢP</t>
        </is>
      </c>
      <c r="D17429" t="inlineStr">
        <is>
          <t>CIG SCI-TECH COMPANY LIMITED</t>
        </is>
      </c>
      <c r="E17429" t="inlineStr">
        <is>
          <t>Lương:12 Tr - 18 Tr VND</t>
        </is>
      </c>
      <c r="F17429" t="inlineStr">
        <is>
          <t>Hà Nội</t>
        </is>
      </c>
      <c r="G17429" t="inlineStr">
        <is>
          <t>05-04-2026</t>
        </is>
      </c>
      <c r="H17429" t="inlineStr">
        <is>
          <t>05/04/2026</t>
        </is>
      </c>
      <c r="I17429" t="inlineStr">
        <is>
          <t>17/03/2026</t>
        </is>
      </c>
      <c r="J17429" t="inlineStr">
        <is>
          <t>Tiếp thị / Marketing, CNTT - Phần mềm</t>
        </is>
      </c>
      <c r="K17429" t="inlineStr">
        <is>
          <t>1 - 3 Năm</t>
        </is>
      </c>
      <c r="L17429" s="8">
        <f>HYPERLINK("https://careerviet.vn/vi/tim-viec-lam/tuyen-nhan-vien-seo-marketing-tong-hop.35C676F0.html","Xem chi tiết")</f>
        <v/>
      </c>
    </row>
    <row r="17430">
      <c r="B17430" s="9" t="n">
        <v>17428</v>
      </c>
      <c r="C17430" s="10" t="inlineStr">
        <is>
          <t>NHÂN VIÊN BẢO TRÌ ĐIỆN</t>
        </is>
      </c>
      <c r="D17430" s="10" t="inlineStr">
        <is>
          <t>CÔNG TY TNHH POUYUEN VIỆT NAM</t>
        </is>
      </c>
      <c r="E17430" s="10" t="inlineStr">
        <is>
          <t>Lương:Trên 6 Tr VND</t>
        </is>
      </c>
      <c r="F17430" s="10" t="inlineStr">
        <is>
          <t>Hồ Chí Minh</t>
        </is>
      </c>
      <c r="G17430" s="10" t="inlineStr">
        <is>
          <t>05-04-2026</t>
        </is>
      </c>
      <c r="H17430" s="10" t="inlineStr">
        <is>
          <t>05/04/2026</t>
        </is>
      </c>
      <c r="I17430" s="10" t="inlineStr">
        <is>
          <t>17/03/2026</t>
        </is>
      </c>
      <c r="J17430" s="10" t="inlineStr">
        <is>
          <t>Bảo trì / Sửa chữa</t>
        </is>
      </c>
      <c r="K17430" s="10" t="inlineStr">
        <is>
          <t>N/A</t>
        </is>
      </c>
      <c r="L17430" s="11">
        <f>HYPERLINK("https://careerviet.vn/vi/tim-viec-lam/nhan-vien-bao-tri-dien.35C678B1.html","Xem chi tiết")</f>
        <v/>
      </c>
      <c r="M17430" s="10" t="n"/>
    </row>
    <row r="17431">
      <c r="B17431" s="7" t="n">
        <v>17429</v>
      </c>
      <c r="C17431" t="inlineStr">
        <is>
          <t>CHUYÊN VIÊN TUYỂN DỤNG</t>
        </is>
      </c>
      <c r="D17431" t="inlineStr">
        <is>
          <t>Bảo mật</t>
        </is>
      </c>
      <c r="E17431" t="inlineStr">
        <is>
          <t>Lương:Cạnh tranh</t>
        </is>
      </c>
      <c r="F17431" t="inlineStr">
        <is>
          <t>Hà Nội</t>
        </is>
      </c>
      <c r="G17431" t="inlineStr">
        <is>
          <t>05-04-2026</t>
        </is>
      </c>
      <c r="H17431" t="inlineStr">
        <is>
          <t>05/04/2026</t>
        </is>
      </c>
      <c r="I17431" t="inlineStr">
        <is>
          <t>17/03/2026</t>
        </is>
      </c>
      <c r="J17431" t="inlineStr">
        <is>
          <t>Nhân sự</t>
        </is>
      </c>
      <c r="K17431" t="inlineStr">
        <is>
          <t>3 - 5 Năm</t>
        </is>
      </c>
      <c r="L17431" s="8">
        <f>HYPERLINK("https://careerviet.vn/vi/tim-viec-lam/chuyen-vien-tuyen-dung.35C67928.html","Xem chi tiết")</f>
        <v/>
      </c>
    </row>
    <row r="17432">
      <c r="B17432" s="9" t="n">
        <v>17430</v>
      </c>
      <c r="C17432" s="10" t="inlineStr">
        <is>
          <t>Phó Phòng Dự Án Và Quản Lý Đối Tác Kênh Xe Máy / Doanh Nghiệp (Phòng Cho Vay Trả Góp)</t>
        </is>
      </c>
      <c r="D17432" s="10" t="inlineStr">
        <is>
          <t>Công Ty Tài Chính Mirae Asset (Việt Nam)</t>
        </is>
      </c>
      <c r="E17432" s="10" t="inlineStr">
        <is>
          <t>Lương:Cạnh tranh</t>
        </is>
      </c>
      <c r="F17432" s="10" t="inlineStr">
        <is>
          <t>Hà NộiHồ Chí MinhĐà Nẵng</t>
        </is>
      </c>
      <c r="G17432" s="10" t="inlineStr">
        <is>
          <t>05-04-2026</t>
        </is>
      </c>
      <c r="H17432" s="10" t="inlineStr">
        <is>
          <t>05/04/2026</t>
        </is>
      </c>
      <c r="I17432" s="10" t="inlineStr">
        <is>
          <t>17/03/2026</t>
        </is>
      </c>
      <c r="J17432" s="10" t="inlineStr">
        <is>
          <t>Tài chính / Đầu tư, Ngân hàng, Quảng cáo / Đối ngoại / Truyền Thông</t>
        </is>
      </c>
      <c r="K17432" s="10" t="inlineStr">
        <is>
          <t>2 - 5 Năm</t>
        </is>
      </c>
      <c r="L17432" s="11">
        <f>HYPERLINK("https://careerviet.vn/vi/tim-viec-lam/pho-phong-du-an-va-quan-ly-doi-tac-kenh-xe-may-doanh-nghiep-phong-cho-vay-tra-gop.35C648D2.html","Xem chi tiết")</f>
        <v/>
      </c>
      <c r="M17432" s="10" t="n"/>
    </row>
    <row r="17433">
      <c r="B17433" s="7" t="n">
        <v>17431</v>
      </c>
      <c r="C17433" t="inlineStr">
        <is>
          <t>Chuyên Viên Quan Hệ Khách Hàng - [BAC A BANK - CN Bình Định/ An Giang/ Cà Mau]</t>
        </is>
      </c>
      <c r="D17433" t="inlineStr">
        <is>
          <t>Ngân Hàng Thương mại cổ phần Bắc Á- BAC A BANK</t>
        </is>
      </c>
      <c r="E17433" t="inlineStr">
        <is>
          <t>Lương:Cạnh tranh</t>
        </is>
      </c>
      <c r="F17433" t="inlineStr">
        <is>
          <t>Cà MauBình ĐịnhAn Giang</t>
        </is>
      </c>
      <c r="G17433" t="inlineStr">
        <is>
          <t>05-04-2026</t>
        </is>
      </c>
      <c r="H17433" t="inlineStr">
        <is>
          <t>05/04/2026</t>
        </is>
      </c>
      <c r="I17433" t="inlineStr">
        <is>
          <t>17/03/2026</t>
        </is>
      </c>
      <c r="J17433" t="inlineStr">
        <is>
          <t>Bán hàng / Kinh doanh, Ngân hàng, Tài chính / Đầu tư</t>
        </is>
      </c>
      <c r="K17433" t="inlineStr">
        <is>
          <t>Chưa có kinh nghiệm</t>
        </is>
      </c>
      <c r="L17433" s="8">
        <f>HYPERLINK("https://careerviet.vn/vi/tim-viec-lam/chuyen-vien-quan-he-khach-hang-bac-a-bank-cn-binh-dinh-an-giang-ca-mau.35C648CE.html","Xem chi tiết")</f>
        <v/>
      </c>
    </row>
    <row r="17434">
      <c r="B17434" s="9" t="n">
        <v>17432</v>
      </c>
      <c r="C17434" s="10" t="inlineStr">
        <is>
          <t>Chuyên viên Cao cấp Kiểm soát Tuân thủ</t>
        </is>
      </c>
      <c r="D17434" s="10" t="inlineStr">
        <is>
          <t>Công Ty Cổ Phần Tập Đoàn Đầu Tư Địa Ốc No Va</t>
        </is>
      </c>
      <c r="E17434" s="10" t="inlineStr">
        <is>
          <t>Lương:Cạnh tranh</t>
        </is>
      </c>
      <c r="F17434" s="10" t="inlineStr">
        <is>
          <t>Hồ Chí Minh</t>
        </is>
      </c>
      <c r="G17434" s="10" t="inlineStr">
        <is>
          <t>05-04-2026</t>
        </is>
      </c>
      <c r="H17434" s="10" t="inlineStr">
        <is>
          <t>05/04/2026</t>
        </is>
      </c>
      <c r="I17434" s="10" t="inlineStr">
        <is>
          <t>17/03/2026</t>
        </is>
      </c>
      <c r="J17434" s="10" t="inlineStr">
        <is>
          <t>Xây dựng, Bất động sản</t>
        </is>
      </c>
      <c r="K17434" s="10" t="inlineStr">
        <is>
          <t>3 - 5 Năm</t>
        </is>
      </c>
      <c r="L17434" s="11">
        <f>HYPERLINK("https://careerviet.vn/vi/tim-viec-lam/chuyen-vien-cao-cap-kiem-soat-tuan-thu.35C676A4.html","Xem chi tiết")</f>
        <v/>
      </c>
      <c r="M17434" s="10" t="n"/>
    </row>
    <row r="17435">
      <c r="B17435" s="7" t="n">
        <v>17433</v>
      </c>
      <c r="C17435" t="inlineStr">
        <is>
          <t>Phó Dự Án Shop FMCG</t>
        </is>
      </c>
      <c r="D17435" t="inlineStr">
        <is>
          <t>Công Ty Cổ Phần Vacxin Việt Nam</t>
        </is>
      </c>
      <c r="E17435" t="inlineStr">
        <is>
          <t>Lương:Cạnh tranh</t>
        </is>
      </c>
      <c r="F17435" t="inlineStr">
        <is>
          <t>Hồ Chí Minh</t>
        </is>
      </c>
      <c r="G17435" t="inlineStr">
        <is>
          <t>05-04-2026</t>
        </is>
      </c>
      <c r="H17435" t="inlineStr">
        <is>
          <t>05/04/2026</t>
        </is>
      </c>
      <c r="I17435" t="inlineStr">
        <is>
          <t>17/03/2026</t>
        </is>
      </c>
      <c r="J17435" t="inlineStr">
        <is>
          <t>Tiếp thị / Marketing, Thực phẩm &amp; Đồ uống, Bán lẻ / Bán sỉ</t>
        </is>
      </c>
      <c r="K17435" t="inlineStr">
        <is>
          <t>Chưa có kinh nghiệm</t>
        </is>
      </c>
      <c r="L17435" s="8">
        <f>HYPERLINK("https://careerviet.vn/vi/tim-viec-lam/pho-du-an-shop-fmcg.35C6766A.html","Xem chi tiết")</f>
        <v/>
      </c>
    </row>
    <row r="17436">
      <c r="B17436" s="9" t="n">
        <v>17434</v>
      </c>
      <c r="C17436" s="10" t="inlineStr">
        <is>
          <t>Marketing Manager (F&amp;B)</t>
        </is>
      </c>
      <c r="D17436" s="10" t="inlineStr">
        <is>
          <t>Công ty TNHH Sản xuất Thương mại &amp; Dịch vụ Hoa Xinh</t>
        </is>
      </c>
      <c r="E17436" s="10" t="inlineStr">
        <is>
          <t>Lương:Cạnh tranh</t>
        </is>
      </c>
      <c r="F17436" s="10" t="inlineStr">
        <is>
          <t>Hồ Chí Minh</t>
        </is>
      </c>
      <c r="G17436" s="10" t="inlineStr">
        <is>
          <t>05-04-2026</t>
        </is>
      </c>
      <c r="H17436" s="10" t="inlineStr">
        <is>
          <t>05/04/2026</t>
        </is>
      </c>
      <c r="I17436" s="10" t="inlineStr">
        <is>
          <t>17/03/2026</t>
        </is>
      </c>
      <c r="J17436" s="10" t="inlineStr">
        <is>
          <t>Tiếp thị / Marketing, Tiếp thị trực tuyến, Thực phẩm &amp; Đồ uống</t>
        </is>
      </c>
      <c r="K17436" s="10" t="inlineStr">
        <is>
          <t>3 - 5 Năm</t>
        </is>
      </c>
      <c r="L17436" s="11">
        <f>HYPERLINK("https://careerviet.vn/vi/tim-viec-lam/marketing-manager-f-b.35C678AA.html","Xem chi tiết")</f>
        <v/>
      </c>
      <c r="M17436" s="10" t="n"/>
    </row>
    <row r="17437">
      <c r="B17437" s="7" t="n">
        <v>17435</v>
      </c>
      <c r="C17437" t="inlineStr">
        <is>
          <t>[Nam] Nhân Viên Kho Hàng Dược - Thu nhập 8 - 10Tr - Làm việc tại Hà Nội</t>
        </is>
      </c>
      <c r="D17437" t="inlineStr">
        <is>
          <t>Công ty TNHH Dược Hunmed</t>
        </is>
      </c>
      <c r="E17437" t="inlineStr">
        <is>
          <t>Lương:8 Tr - 10 Tr VND</t>
        </is>
      </c>
      <c r="F17437" t="inlineStr">
        <is>
          <t>Hà Nội</t>
        </is>
      </c>
      <c r="G17437" t="inlineStr">
        <is>
          <t>05-04-2026</t>
        </is>
      </c>
      <c r="H17437" t="inlineStr">
        <is>
          <t>05/04/2026</t>
        </is>
      </c>
      <c r="I17437" t="inlineStr">
        <is>
          <t>17/03/2026</t>
        </is>
      </c>
      <c r="J17437" t="inlineStr">
        <is>
          <t>Dược phẩm/ Hóa Mỹ Phẩm, Vận chuyển / Giao nhận / Kho vận, Hành chính / Thư ký</t>
        </is>
      </c>
      <c r="K17437" t="inlineStr">
        <is>
          <t>N/A</t>
        </is>
      </c>
      <c r="L17437" s="8">
        <f>HYPERLINK("https://careerviet.vn/vi/tim-viec-lam/nam-nhan-vien-kho-hang-duoc-thu-nhap-8-10tr-lam-viec-tai-ha-noi.35C6787D.html","Xem chi tiết")</f>
        <v/>
      </c>
    </row>
    <row r="17438">
      <c r="B17438" s="9" t="n">
        <v>17436</v>
      </c>
      <c r="C17438" s="10" t="inlineStr">
        <is>
          <t>Nhân Viên Kinh Doanh (Based in Bạc Liêu)</t>
        </is>
      </c>
      <c r="D17438" s="10" t="inlineStr">
        <is>
          <t>CÔNG TY CỔ PHẦN VẮC XIN VÀ SINH PHẨM NAM HƯNG VIỆT</t>
        </is>
      </c>
      <c r="E17438" s="10" t="inlineStr">
        <is>
          <t>Lương:12 Tr - 30 Tr VND</t>
        </is>
      </c>
      <c r="F17438" s="10" t="inlineStr">
        <is>
          <t>Bạc LiêuCà Mau</t>
        </is>
      </c>
      <c r="G17438" s="10" t="inlineStr">
        <is>
          <t>05-04-2026</t>
        </is>
      </c>
      <c r="H17438" s="10" t="inlineStr">
        <is>
          <t>05/04/2026</t>
        </is>
      </c>
      <c r="I17438" s="10" t="inlineStr">
        <is>
          <t>17/03/2026</t>
        </is>
      </c>
      <c r="J17438" s="10" t="inlineStr">
        <is>
          <t>Bán hàng / Kinh doanh, Dược phẩm/ Hóa Mỹ Phẩm, Y tế / Chăm sóc sức khỏe / Thẩm mỹ / Làm đẹp</t>
        </is>
      </c>
      <c r="K17438" s="10" t="inlineStr">
        <is>
          <t>Trên 2 Năm</t>
        </is>
      </c>
      <c r="L17438" s="11">
        <f>HYPERLINK("https://careerviet.vn/vi/tim-viec-lam/nhan-vien-kinh-doanh-based-in-bac-lieu.35C64989.html","Xem chi tiết")</f>
        <v/>
      </c>
      <c r="M17438" s="10" t="n"/>
    </row>
    <row r="17439">
      <c r="B17439" s="7" t="n">
        <v>17437</v>
      </c>
      <c r="C17439" t="inlineStr">
        <is>
          <t>Phụ trách Vệ sinh an toàn thực phẩm</t>
        </is>
      </c>
      <c r="D17439" t="inlineStr">
        <is>
          <t>CÔNG TY CỔ PHẦN THƯƠNG MẠI DỊCH VỤ AN ĐẠI DƯƠNG</t>
        </is>
      </c>
      <c r="E17439" t="inlineStr">
        <is>
          <t>Lương:12 Tr - 16 Tr VND</t>
        </is>
      </c>
      <c r="F17439" t="inlineStr">
        <is>
          <t>Hà Nội</t>
        </is>
      </c>
      <c r="G17439" t="inlineStr">
        <is>
          <t>05-04-2026</t>
        </is>
      </c>
      <c r="H17439" t="inlineStr">
        <is>
          <t>05/04/2026</t>
        </is>
      </c>
      <c r="I17439" t="inlineStr">
        <is>
          <t>17/03/2026</t>
        </is>
      </c>
      <c r="J17439" t="inlineStr">
        <is>
          <t>Quản lý điều hành, Công nghệ thực phẩm / Dinh dưỡng</t>
        </is>
      </c>
      <c r="K17439" t="inlineStr">
        <is>
          <t>2 - 5 Năm</t>
        </is>
      </c>
      <c r="L17439" s="8">
        <f>HYPERLINK("https://careerviet.vn/vi/tim-viec-lam/phu-trach-ve-sinh-an-toan-thuc-pham.35C676DD.html","Xem chi tiết")</f>
        <v/>
      </c>
    </row>
    <row r="17440">
      <c r="B17440" s="9" t="n">
        <v>17438</v>
      </c>
      <c r="C17440" s="10" t="inlineStr">
        <is>
          <t>Trưởng nhóm giám sát dịch vụ tòa nhà</t>
        </is>
      </c>
      <c r="D17440" s="10" t="inlineStr">
        <is>
          <t>TỔNG CÔNG TY CỔ PHẦN THƯƠNG MẠI XÂY DỰNG</t>
        </is>
      </c>
      <c r="E17440" s="10" t="inlineStr">
        <is>
          <t>Lương:15 Tr - 18 Tr VND</t>
        </is>
      </c>
      <c r="F17440" s="10" t="inlineStr">
        <is>
          <t>Hà Nội</t>
        </is>
      </c>
      <c r="G17440" s="10" t="inlineStr">
        <is>
          <t>05-04-2026</t>
        </is>
      </c>
      <c r="H17440" s="10" t="inlineStr">
        <is>
          <t>05/04/2026</t>
        </is>
      </c>
      <c r="I17440" s="10" t="inlineStr">
        <is>
          <t>17/03/2026</t>
        </is>
      </c>
      <c r="J17440" s="10" t="inlineStr">
        <is>
          <t>Dịch vụ khách hàng, Xây dựng, Bất động sản</t>
        </is>
      </c>
      <c r="K17440" s="10" t="inlineStr">
        <is>
          <t>Trên 5 Năm</t>
        </is>
      </c>
      <c r="L17440" s="11">
        <f>HYPERLINK("https://careerviet.vn/vi/tim-viec-lam/truong-nhom-giam-sat-dich-vu-toa-nha.35C67641.html","Xem chi tiết")</f>
        <v/>
      </c>
      <c r="M17440" s="10" t="n"/>
    </row>
    <row r="17441">
      <c r="B17441" s="7" t="n">
        <v>17439</v>
      </c>
      <c r="C17441" t="inlineStr">
        <is>
          <t>Kế Toán Công Nợ</t>
        </is>
      </c>
      <c r="D17441" t="inlineStr">
        <is>
          <t>Tập Đoàn Kim Tín</t>
        </is>
      </c>
      <c r="E17441" t="inlineStr">
        <is>
          <t>Lương:12 Tr - 15 Tr VND</t>
        </is>
      </c>
      <c r="F17441" t="inlineStr">
        <is>
          <t>Hồ Chí Minh</t>
        </is>
      </c>
      <c r="G17441" t="inlineStr">
        <is>
          <t>05-04-2026</t>
        </is>
      </c>
      <c r="H17441" t="inlineStr">
        <is>
          <t>05/04/2026</t>
        </is>
      </c>
      <c r="I17441" t="inlineStr">
        <is>
          <t>17/03/2026</t>
        </is>
      </c>
      <c r="J17441" t="inlineStr">
        <is>
          <t>Kế toán / Kiểm toán, Tài chính / Đầu tư, Vận chuyển / Giao nhận / Kho vận</t>
        </is>
      </c>
      <c r="K17441" t="inlineStr">
        <is>
          <t>N/A</t>
        </is>
      </c>
      <c r="L17441" s="8">
        <f>HYPERLINK("https://careerviet.vn/vi/tim-viec-lam/ke-toan-cong-no.35C6773F.html","Xem chi tiết")</f>
        <v/>
      </c>
    </row>
    <row r="17442">
      <c r="B17442" s="9" t="n">
        <v>17440</v>
      </c>
      <c r="C17442" s="10" t="inlineStr">
        <is>
          <t>League &amp; Event Operations Manager</t>
        </is>
      </c>
      <c r="D17442" s="10" t="inlineStr">
        <is>
          <t>CÔNG TY CỔ PHẦN BÓNG RỔ VIỆT NAM</t>
        </is>
      </c>
      <c r="E17442" s="10" t="inlineStr">
        <is>
          <t>Lương:Cạnh tranh</t>
        </is>
      </c>
      <c r="F17442" s="10" t="inlineStr">
        <is>
          <t>Hồ Chí Minh</t>
        </is>
      </c>
      <c r="G17442" s="10" t="inlineStr">
        <is>
          <t>05-04-2026</t>
        </is>
      </c>
      <c r="H17442" s="10" t="inlineStr">
        <is>
          <t>05/04/2026</t>
        </is>
      </c>
      <c r="I17442" s="10" t="inlineStr">
        <is>
          <t>17/03/2026</t>
        </is>
      </c>
      <c r="J17442" s="10" t="inlineStr">
        <is>
          <t>Sản xuất / Vận hành sản xuất, Quảng cáo / Đối ngoại / Truyền Thông, Tổ chức sự kiện</t>
        </is>
      </c>
      <c r="K17442" s="10" t="inlineStr">
        <is>
          <t>2 - 5 Năm</t>
        </is>
      </c>
      <c r="L17442" s="11">
        <f>HYPERLINK("https://careerviet.vn/vi/tim-viec-lam/league-event-operations-manager.35C649AE.html","Xem chi tiết")</f>
        <v/>
      </c>
      <c r="M17442" s="10" t="n"/>
    </row>
    <row r="17443">
      <c r="B17443" s="7" t="n">
        <v>17441</v>
      </c>
      <c r="C17443" t="inlineStr">
        <is>
          <t>Chuyên viên Cao cấp Quản lý Rủi ro</t>
        </is>
      </c>
      <c r="D17443" t="inlineStr">
        <is>
          <t>Công Ty Cổ Phần Tập Đoàn Đầu Tư Địa Ốc No Va</t>
        </is>
      </c>
      <c r="E17443" t="inlineStr">
        <is>
          <t>Lương:Cạnh tranh</t>
        </is>
      </c>
      <c r="F17443" t="inlineStr">
        <is>
          <t>Hồ Chí Minh</t>
        </is>
      </c>
      <c r="G17443" t="inlineStr">
        <is>
          <t>05-04-2026</t>
        </is>
      </c>
      <c r="H17443" t="inlineStr">
        <is>
          <t>05/04/2026</t>
        </is>
      </c>
      <c r="I17443" t="inlineStr">
        <is>
          <t>17/03/2026</t>
        </is>
      </c>
      <c r="J17443" t="inlineStr">
        <is>
          <t>Bất động sản</t>
        </is>
      </c>
      <c r="K17443" t="inlineStr">
        <is>
          <t>5 - 8 Năm</t>
        </is>
      </c>
      <c r="L17443" s="8">
        <f>HYPERLINK("https://careerviet.vn/vi/tim-viec-lam/chuyen-vien-cao-cap-quan-ly-rui-ro.35C67905.html","Xem chi tiết")</f>
        <v/>
      </c>
    </row>
    <row r="17444">
      <c r="B17444" s="9" t="n">
        <v>17442</v>
      </c>
      <c r="C17444" s="10" t="inlineStr">
        <is>
          <t>Tái Xế Lái Xe</t>
        </is>
      </c>
      <c r="D17444" s="10" t="inlineStr">
        <is>
          <t>Bảo mật</t>
        </is>
      </c>
      <c r="E17444" s="10" t="inlineStr">
        <is>
          <t>Lương:Cạnh tranh</t>
        </is>
      </c>
      <c r="F17444" s="10" t="inlineStr">
        <is>
          <t>Hồ Chí Minh</t>
        </is>
      </c>
      <c r="G17444" s="10" t="inlineStr">
        <is>
          <t>05-04-2026</t>
        </is>
      </c>
      <c r="H17444" s="10" t="inlineStr">
        <is>
          <t>05/04/2026</t>
        </is>
      </c>
      <c r="I17444" s="10" t="inlineStr">
        <is>
          <t>17/03/2026</t>
        </is>
      </c>
      <c r="J17444" s="10" t="inlineStr">
        <is>
          <t>Lao động phổ thông, Ngành khác</t>
        </is>
      </c>
      <c r="K17444" s="10" t="inlineStr">
        <is>
          <t>N/A</t>
        </is>
      </c>
      <c r="L17444" s="11">
        <f>HYPERLINK("https://careerviet.vn/vi/tim-viec-lam/tai-xe-lai-xe.35C648DD.html","Xem chi tiết")</f>
        <v/>
      </c>
      <c r="M17444" s="10" t="n"/>
    </row>
    <row r="17445">
      <c r="B17445" s="7" t="n">
        <v>17443</v>
      </c>
      <c r="C17445" t="inlineStr">
        <is>
          <t>NHÂN VIÊN KIỂM SOÁT TIẾN ĐỘ VÀ CHẤT LƯỢNG</t>
        </is>
      </c>
      <c r="D17445" t="inlineStr">
        <is>
          <t>Công Ty Cổ Phần Eurowindow</t>
        </is>
      </c>
      <c r="E17445" t="inlineStr">
        <is>
          <t>Lương:12 Tr - 16 Tr VND</t>
        </is>
      </c>
      <c r="F17445" t="inlineStr">
        <is>
          <t>Hồ Chí Minh</t>
        </is>
      </c>
      <c r="G17445" t="inlineStr">
        <is>
          <t>05-04-2026</t>
        </is>
      </c>
      <c r="H17445" t="inlineStr">
        <is>
          <t>05/04/2026</t>
        </is>
      </c>
      <c r="I17445" t="inlineStr">
        <is>
          <t>17/03/2026</t>
        </is>
      </c>
      <c r="J17445" t="inlineStr">
        <is>
          <t>Kiến trúc, Quản lý chất lượng (QA/QC), Xây dựng</t>
        </is>
      </c>
      <c r="K17445" t="inlineStr">
        <is>
          <t>1 - 2 Năm</t>
        </is>
      </c>
      <c r="L17445" s="8">
        <f>HYPERLINK("https://careerviet.vn/vi/tim-viec-lam/nhan-vien-kiem-soat-tien-do-va-chat-luong.35C64965.html","Xem chi tiết")</f>
        <v/>
      </c>
    </row>
    <row r="17446">
      <c r="B17446" s="9" t="n">
        <v>17444</v>
      </c>
      <c r="C17446" s="10" t="inlineStr">
        <is>
          <t>Chuyên viên IT</t>
        </is>
      </c>
      <c r="D17446" s="10" t="inlineStr">
        <is>
          <t>TỔNG CÔNG TY CỔ PHẦN THƯƠNG MẠI XÂY DỰNG</t>
        </is>
      </c>
      <c r="E17446" s="10" t="inlineStr">
        <is>
          <t>Lương:15 Tr - 17 Tr VND</t>
        </is>
      </c>
      <c r="F17446" s="10" t="inlineStr">
        <is>
          <t>Hà Nội</t>
        </is>
      </c>
      <c r="G17446" s="10" t="inlineStr">
        <is>
          <t>05-04-2026</t>
        </is>
      </c>
      <c r="H17446" s="10" t="inlineStr">
        <is>
          <t>05/04/2026</t>
        </is>
      </c>
      <c r="I17446" s="10" t="inlineStr">
        <is>
          <t>17/03/2026</t>
        </is>
      </c>
      <c r="J17446" s="10" t="inlineStr">
        <is>
          <t>CNTT - Phần mềm, Điện / Điện tử / Điện lạnh / Điện công nghiệp, CNTT - Phần cứng / Mạng</t>
        </is>
      </c>
      <c r="K17446" s="10" t="inlineStr">
        <is>
          <t>2 - 3 Năm</t>
        </is>
      </c>
      <c r="L17446" s="11">
        <f>HYPERLINK("https://careerviet.vn/vi/tim-viec-lam/chuyen-vien-it.35C6760A.html","Xem chi tiết")</f>
        <v/>
      </c>
      <c r="M17446" s="10" t="n"/>
    </row>
    <row r="17447">
      <c r="B17447" s="7" t="n">
        <v>17445</v>
      </c>
      <c r="C17447" t="inlineStr">
        <is>
          <t>Thực tập sinh Môi Trường</t>
        </is>
      </c>
      <c r="D17447" t="inlineStr">
        <is>
          <t>Un-Available LTD Co.,</t>
        </is>
      </c>
      <c r="E17447" t="inlineStr">
        <is>
          <t>Lương:Lên đến 1 Tr VND</t>
        </is>
      </c>
      <c r="F17447" t="inlineStr">
        <is>
          <t>Hồ Chí Minh</t>
        </is>
      </c>
      <c r="G17447" t="inlineStr">
        <is>
          <t>05-04-2026</t>
        </is>
      </c>
      <c r="H17447" t="inlineStr">
        <is>
          <t>05/04/2026</t>
        </is>
      </c>
      <c r="I17447" t="inlineStr">
        <is>
          <t>17/03/2026</t>
        </is>
      </c>
      <c r="J17447" t="inlineStr">
        <is>
          <t>Môi trường, Sản xuất / Vận hành sản xuất, Mới tốt nghiệp / Thực tập</t>
        </is>
      </c>
      <c r="K17447" t="inlineStr">
        <is>
          <t>N/A</t>
        </is>
      </c>
      <c r="L17447" s="8">
        <f>HYPERLINK("https://careerviet.vn/vi/tim-viec-lam/thuc-tap-sinh-moi-truong.35C6485E.html","Xem chi tiết")</f>
        <v/>
      </c>
    </row>
    <row r="17448">
      <c r="B17448" s="9" t="n">
        <v>17446</v>
      </c>
      <c r="C17448" s="10" t="inlineStr">
        <is>
          <t>Air Operation Staff</t>
        </is>
      </c>
      <c r="D17448" s="10" t="inlineStr">
        <is>
          <t>CÔNG TY TNHH HYUNDAI GLOVIS VIỆT NAM</t>
        </is>
      </c>
      <c r="E17448" s="10" t="inlineStr">
        <is>
          <t>Lương:Cạnh tranh</t>
        </is>
      </c>
      <c r="F17448" s="10" t="inlineStr">
        <is>
          <t>Hà Nội</t>
        </is>
      </c>
      <c r="G17448" s="10" t="inlineStr">
        <is>
          <t>05-04-2026</t>
        </is>
      </c>
      <c r="H17448" s="10" t="inlineStr">
        <is>
          <t>05/04/2026</t>
        </is>
      </c>
      <c r="I17448" s="10" t="inlineStr">
        <is>
          <t>17/03/2026</t>
        </is>
      </c>
      <c r="J17448" s="10" t="inlineStr">
        <is>
          <t>Vận chuyển / Giao nhận / Kho vận, Hàng hải, Xuất nhập khẩu</t>
        </is>
      </c>
      <c r="K17448" s="10" t="inlineStr">
        <is>
          <t>Trên 2 Năm</t>
        </is>
      </c>
      <c r="L17448" s="11">
        <f>HYPERLINK("https://careerviet.vn/vi/tim-viec-lam/air-operation-staff.35C678A7.html","Xem chi tiết")</f>
        <v/>
      </c>
      <c r="M17448" s="10" t="n"/>
    </row>
    <row r="17449">
      <c r="B17449" s="7" t="n">
        <v>17447</v>
      </c>
      <c r="C17449" t="inlineStr">
        <is>
          <t>Hội sở - Giám đốc Phát triển đối tác RB</t>
        </is>
      </c>
      <c r="D17449" t="inlineStr">
        <is>
          <t>Ngân Hàng TMCP Phương Đông - OCB</t>
        </is>
      </c>
      <c r="E17449" t="inlineStr">
        <is>
          <t>Lương:Cạnh tranh</t>
        </is>
      </c>
      <c r="F17449" t="inlineStr">
        <is>
          <t>Hồ Chí MinhHà Nội</t>
        </is>
      </c>
      <c r="G17449" t="inlineStr">
        <is>
          <t>05-04-2026</t>
        </is>
      </c>
      <c r="H17449" t="inlineStr">
        <is>
          <t>05/04/2026</t>
        </is>
      </c>
      <c r="I17449" t="inlineStr">
        <is>
          <t>17/03/2026</t>
        </is>
      </c>
      <c r="J17449" t="inlineStr">
        <is>
          <t>Bán hàng / Kinh doanh, Ngân hàng</t>
        </is>
      </c>
      <c r="K17449" t="inlineStr">
        <is>
          <t>Trên 3 Năm</t>
        </is>
      </c>
      <c r="L17449" s="8">
        <f>HYPERLINK("https://careerviet.vn/vi/tim-viec-lam/hoi-so-giam-doc-phat-trien-doi-tac-rb.35C64851.html","Xem chi tiết")</f>
        <v/>
      </c>
    </row>
    <row r="17450">
      <c r="B17450" s="9" t="n">
        <v>17448</v>
      </c>
      <c r="C17450" s="10" t="inlineStr">
        <is>
          <t>Nhân viên xuất nhập hàng</t>
        </is>
      </c>
      <c r="D17450" s="10" t="inlineStr">
        <is>
          <t>Công ty TNHH Di Đại Hưng</t>
        </is>
      </c>
      <c r="E17450" s="10" t="inlineStr">
        <is>
          <t>Lương:9 Tr - 12 Tr VND</t>
        </is>
      </c>
      <c r="F17450" s="10" t="inlineStr">
        <is>
          <t>Hồ Chí Minh</t>
        </is>
      </c>
      <c r="G17450" s="10" t="inlineStr">
        <is>
          <t>05-04-2026</t>
        </is>
      </c>
      <c r="H17450" s="10" t="inlineStr">
        <is>
          <t>05/04/2026</t>
        </is>
      </c>
      <c r="I17450" s="10" t="inlineStr">
        <is>
          <t>17/03/2026</t>
        </is>
      </c>
      <c r="J17450" s="10" t="inlineStr">
        <is>
          <t>Xuất nhập khẩu, Sản xuất / Vận hành sản xuất, Thu mua / Vật tư</t>
        </is>
      </c>
      <c r="K17450" s="10" t="inlineStr">
        <is>
          <t>1 - 3 Năm</t>
        </is>
      </c>
      <c r="L17450" s="11">
        <f>HYPERLINK("https://careerviet.vn/vi/tim-viec-lam/nhan-vien-xuat-nhap-hang.35C6761B.html","Xem chi tiết")</f>
        <v/>
      </c>
      <c r="M17450" s="10" t="n"/>
    </row>
    <row r="17451">
      <c r="B17451" s="7" t="n">
        <v>17449</v>
      </c>
      <c r="C17451" t="inlineStr">
        <is>
          <t>Trưởng nhóm kỹ sư chất lượng</t>
        </is>
      </c>
      <c r="D17451" t="inlineStr">
        <is>
          <t>Công ty Cổ phần FECON</t>
        </is>
      </c>
      <c r="E17451" t="inlineStr">
        <is>
          <t>Lương:Cạnh tranh</t>
        </is>
      </c>
      <c r="F17451" t="inlineStr">
        <is>
          <t>Hà NộiHồ Chí Minh</t>
        </is>
      </c>
      <c r="G17451" t="inlineStr">
        <is>
          <t>05-04-2026</t>
        </is>
      </c>
      <c r="H17451" t="inlineStr">
        <is>
          <t>05/04/2026</t>
        </is>
      </c>
      <c r="I17451" t="inlineStr">
        <is>
          <t>17/03/2026</t>
        </is>
      </c>
      <c r="J17451" t="inlineStr">
        <is>
          <t>Xây dựng</t>
        </is>
      </c>
      <c r="K17451" t="inlineStr">
        <is>
          <t>Trên 5 Năm</t>
        </is>
      </c>
      <c r="L17451" s="8">
        <f>HYPERLINK("https://careerviet.vn/vi/tim-viec-lam/truong-nhom-ky-su-chat-luong.35C67889.html","Xem chi tiết")</f>
        <v/>
      </c>
    </row>
    <row r="17452">
      <c r="B17452" s="9" t="n">
        <v>17450</v>
      </c>
      <c r="C17452" s="10" t="inlineStr">
        <is>
          <t>Chuyên Viên Quản Trị Dự Án Triển Khai Data Warehouse, Datalake</t>
        </is>
      </c>
      <c r="D17452" s="10" t="inlineStr">
        <is>
          <t>CÔNG TY CỔ PHẦN TẬP ĐOÀN PC1</t>
        </is>
      </c>
      <c r="E17452" s="10" t="inlineStr">
        <is>
          <t>Lương:Cạnh tranh</t>
        </is>
      </c>
      <c r="F17452" s="10" t="inlineStr">
        <is>
          <t>Hà Nội</t>
        </is>
      </c>
      <c r="G17452" s="10" t="inlineStr">
        <is>
          <t>05-04-2026</t>
        </is>
      </c>
      <c r="H17452" s="10" t="inlineStr">
        <is>
          <t>05/04/2026</t>
        </is>
      </c>
      <c r="I17452" s="10" t="inlineStr">
        <is>
          <t>17/03/2026</t>
        </is>
      </c>
      <c r="J17452" s="10" t="inlineStr">
        <is>
          <t>CNTT - Phần mềm, CNTT - Phần cứng / Mạng</t>
        </is>
      </c>
      <c r="K17452" s="10" t="inlineStr">
        <is>
          <t>3 - 5 Năm</t>
        </is>
      </c>
      <c r="L17452" s="11">
        <f>HYPERLINK("https://careerviet.vn/vi/tim-viec-lam/chuyen-vien-quan-tri-du-an-trien-khai-data-warehouse-datalake.35C678ED.html","Xem chi tiết")</f>
        <v/>
      </c>
      <c r="M17452" s="10" t="n"/>
    </row>
    <row r="17453">
      <c r="B17453" s="7" t="n">
        <v>17451</v>
      </c>
      <c r="C17453" t="inlineStr">
        <is>
          <t>IE Staff</t>
        </is>
      </c>
      <c r="D17453" t="inlineStr">
        <is>
          <t>Công ty TNHH, Liên Doanh Vĩnh Hưng (TMI Việt Nam)</t>
        </is>
      </c>
      <c r="E17453" t="inlineStr">
        <is>
          <t>Lương:9 Tr - 11 Tr VND</t>
        </is>
      </c>
      <c r="F17453" t="inlineStr">
        <is>
          <t>Hồ Chí Minh</t>
        </is>
      </c>
      <c r="G17453" t="inlineStr">
        <is>
          <t>05-04-2026</t>
        </is>
      </c>
      <c r="H17453" t="inlineStr">
        <is>
          <t>05/04/2026</t>
        </is>
      </c>
      <c r="I17453" t="inlineStr">
        <is>
          <t>17/03/2026</t>
        </is>
      </c>
      <c r="J17453" t="inlineStr">
        <is>
          <t>Sản xuất / Vận hành sản xuất, Dệt may / Da giày / Thời trang</t>
        </is>
      </c>
      <c r="K17453" t="inlineStr">
        <is>
          <t>Lên đến 3 Năm</t>
        </is>
      </c>
      <c r="L17453" s="8">
        <f>HYPERLINK("https://careerviet.vn/vi/tim-viec-lam/ie-staff.35C6779E.html","Xem chi tiết")</f>
        <v/>
      </c>
    </row>
    <row r="17454">
      <c r="B17454" s="9" t="n">
        <v>17452</v>
      </c>
      <c r="C17454" s="10" t="inlineStr">
        <is>
          <t>[Bắc Giang] - Chuyên Viên Tư Vấn Trả Góp Ô Tô</t>
        </is>
      </c>
      <c r="D17454" s="10" t="inlineStr">
        <is>
          <t>Công Ty Tài Chính Mirae Asset (Việt Nam)</t>
        </is>
      </c>
      <c r="E17454" s="10" t="inlineStr">
        <is>
          <t>Lương:17 Tr - 30 Tr VND</t>
        </is>
      </c>
      <c r="F17454" s="10" t="inlineStr">
        <is>
          <t>Bắc GiangKV Bắc Trung Bộ</t>
        </is>
      </c>
      <c r="G17454" s="10" t="inlineStr">
        <is>
          <t>05-04-2026</t>
        </is>
      </c>
      <c r="H17454" s="10" t="inlineStr">
        <is>
          <t>05/04/2026</t>
        </is>
      </c>
      <c r="I17454" s="10" t="inlineStr">
        <is>
          <t>17/03/2026</t>
        </is>
      </c>
      <c r="J17454" s="10" t="inlineStr">
        <is>
          <t>Bán hàng / Kinh doanh, Bán lẻ / Bán sỉ, Tài chính / Đầu tư</t>
        </is>
      </c>
      <c r="K17454" s="10" t="inlineStr">
        <is>
          <t>1 - 3 Năm</t>
        </is>
      </c>
      <c r="L17454" s="11">
        <f>HYPERLINK("https://careerviet.vn/vi/tim-viec-lam/bac-giang-chuyen-vien-tu-van-tra-gop-o-to.35C64947.html","Xem chi tiết")</f>
        <v/>
      </c>
      <c r="M17454" s="10" t="n"/>
    </row>
    <row r="17455">
      <c r="B17455" s="7" t="n">
        <v>17453</v>
      </c>
      <c r="C17455" t="inlineStr">
        <is>
          <t>Quản lý lớp học tại trường THPT</t>
        </is>
      </c>
      <c r="D17455" t="inlineStr">
        <is>
          <t>Công ty cổ phần SIMPACE Việt Nam</t>
        </is>
      </c>
      <c r="E17455" t="inlineStr">
        <is>
          <t>Lương:10 Tr - 12 Tr VND</t>
        </is>
      </c>
      <c r="F17455" t="inlineStr">
        <is>
          <t>Hà Nội</t>
        </is>
      </c>
      <c r="G17455" t="inlineStr">
        <is>
          <t>05-04-2026</t>
        </is>
      </c>
      <c r="H17455" t="inlineStr">
        <is>
          <t>05/04/2026</t>
        </is>
      </c>
      <c r="I17455" t="inlineStr">
        <is>
          <t>17/03/2026</t>
        </is>
      </c>
      <c r="J17455" t="inlineStr">
        <is>
          <t>Giáo dục / Đào tạo, Tư vấn, Dịch vụ khách hàng</t>
        </is>
      </c>
      <c r="K17455" t="inlineStr">
        <is>
          <t>2 - 3 Năm</t>
        </is>
      </c>
      <c r="L17455" s="8">
        <f>HYPERLINK("https://careerviet.vn/vi/tim-viec-lam/quan-ly-lop-hoc-tai-truong-thpt.35C50978.html","Xem chi tiết")</f>
        <v/>
      </c>
    </row>
    <row r="17456">
      <c r="B17456" s="9" t="n">
        <v>17454</v>
      </c>
      <c r="C17456" s="10" t="inlineStr">
        <is>
          <t>TRỢ LÝ GIÁM ĐỐC TIẾNG HÀN</t>
        </is>
      </c>
      <c r="D17456" s="10" t="inlineStr">
        <is>
          <t>Công ty TNHH Sản xuất Thương mại &amp; Dịch vụ Hoa Xinh</t>
        </is>
      </c>
      <c r="E17456" s="10" t="inlineStr">
        <is>
          <t>Lương:Cạnh tranh</t>
        </is>
      </c>
      <c r="F17456" s="10" t="inlineStr">
        <is>
          <t>Hồ Chí Minh</t>
        </is>
      </c>
      <c r="G17456" s="10" t="inlineStr">
        <is>
          <t>05-04-2026</t>
        </is>
      </c>
      <c r="H17456" s="10" t="inlineStr">
        <is>
          <t>05/04/2026</t>
        </is>
      </c>
      <c r="I17456" s="10" t="inlineStr">
        <is>
          <t>17/03/2026</t>
        </is>
      </c>
      <c r="J17456" s="10" t="inlineStr">
        <is>
          <t>Dịch vụ khách hàng, Hành chính / Thư ký, Biên phiên dịch</t>
        </is>
      </c>
      <c r="K17456" s="10" t="inlineStr">
        <is>
          <t>5 - 10 Năm</t>
        </is>
      </c>
      <c r="L17456" s="11">
        <f>HYPERLINK("https://careerviet.vn/vi/tim-viec-lam/tro-ly-giam-doc-tieng-han.35C678AF.html","Xem chi tiết")</f>
        <v/>
      </c>
      <c r="M17456" s="10" t="n"/>
    </row>
    <row r="17457">
      <c r="B17457" s="7" t="n">
        <v>17455</v>
      </c>
      <c r="C17457" t="inlineStr">
        <is>
          <t>Talent Acquisition Manager (Assistant BOD)_Sales &amp; Marketing &amp; Operation</t>
        </is>
      </c>
      <c r="D17457" t="inlineStr">
        <is>
          <t>Công Ty Cổ Phần Tập Đoàn Đầu Tư Địa Ốc No Va</t>
        </is>
      </c>
      <c r="E17457" t="inlineStr">
        <is>
          <t>Lương:55 Tr - 75 Tr VND</t>
        </is>
      </c>
      <c r="F17457" t="inlineStr">
        <is>
          <t>Hồ Chí Minh</t>
        </is>
      </c>
      <c r="G17457" t="inlineStr">
        <is>
          <t>05-04-2026</t>
        </is>
      </c>
      <c r="H17457" t="inlineStr">
        <is>
          <t>05/04/2026</t>
        </is>
      </c>
      <c r="I17457" t="inlineStr">
        <is>
          <t>17/03/2026</t>
        </is>
      </c>
      <c r="J17457" t="inlineStr">
        <is>
          <t>Nhân sự, Bất động sản</t>
        </is>
      </c>
      <c r="K17457" t="inlineStr">
        <is>
          <t>7 - 10 Năm</t>
        </is>
      </c>
      <c r="L17457" s="8">
        <f>HYPERLINK("https://careerviet.vn/vi/tim-viec-lam/talent-acquisition-manager-assistant-bod-_sales-marketing-operation.35C67909.html","Xem chi tiết")</f>
        <v/>
      </c>
    </row>
    <row r="17458">
      <c r="B17458" s="9" t="n">
        <v>17456</v>
      </c>
      <c r="C17458" s="10" t="inlineStr">
        <is>
          <t>Giám sát kỹ thuật</t>
        </is>
      </c>
      <c r="D17458" s="10" t="inlineStr">
        <is>
          <t>Công ty Cổ phần Đầu tư Thương mại Kỹ thuật A&amp;T Việt Nam</t>
        </is>
      </c>
      <c r="E17458" s="10" t="inlineStr">
        <is>
          <t>Lương:15 Tr - 17 Tr VND</t>
        </is>
      </c>
      <c r="F17458" s="10" t="inlineStr">
        <is>
          <t>Bình Dương</t>
        </is>
      </c>
      <c r="G17458" s="10" t="inlineStr">
        <is>
          <t>05-04-2026</t>
        </is>
      </c>
      <c r="H17458" s="10" t="inlineStr">
        <is>
          <t>05/04/2026</t>
        </is>
      </c>
      <c r="I17458" s="10" t="inlineStr">
        <is>
          <t>17/03/2026</t>
        </is>
      </c>
      <c r="J17458" s="10" t="inlineStr">
        <is>
          <t>Điện / Điện tử / Điện lạnh / Điện công nghiệp, Bảo trì / Sửa chữa, Bất động sản</t>
        </is>
      </c>
      <c r="K17458" s="10" t="inlineStr">
        <is>
          <t>3 - 5 Năm</t>
        </is>
      </c>
      <c r="L17458" s="11">
        <f>HYPERLINK("https://careerviet.vn/vi/tim-viec-lam/giam-sat-ky-thuat.35C64982.html","Xem chi tiết")</f>
        <v/>
      </c>
      <c r="M17458" s="10" t="n"/>
    </row>
    <row r="17459">
      <c r="B17459" s="7" t="n">
        <v>17457</v>
      </c>
      <c r="C17459" t="inlineStr">
        <is>
          <t>NHÂN VIÊN VĂN PHÒNG BIẾT TIẾNG TRUNG</t>
        </is>
      </c>
      <c r="D17459" t="inlineStr">
        <is>
          <t>CÔNG TY TNHH POUYUEN VIỆT NAM</t>
        </is>
      </c>
      <c r="E17459" t="inlineStr">
        <is>
          <t>Lương:8 Tr - 12 Tr VND</t>
        </is>
      </c>
      <c r="F17459" t="inlineStr">
        <is>
          <t>Hồ Chí Minh</t>
        </is>
      </c>
      <c r="G17459" t="inlineStr">
        <is>
          <t>05-04-2026</t>
        </is>
      </c>
      <c r="H17459" t="inlineStr">
        <is>
          <t>05/04/2026</t>
        </is>
      </c>
      <c r="I17459" t="inlineStr">
        <is>
          <t>17/03/2026</t>
        </is>
      </c>
      <c r="J17459" t="inlineStr">
        <is>
          <t>Dệt may / Da giày / Thời trang, Biên phiên dịch, Dịch vụ khách hàng</t>
        </is>
      </c>
      <c r="K17459" t="inlineStr">
        <is>
          <t>N/A</t>
        </is>
      </c>
      <c r="L17459" s="8">
        <f>HYPERLINK("https://careerviet.vn/vi/tim-viec-lam/nhan-vien-van-phong-biet-tieng-trung.35C64983.html","Xem chi tiết")</f>
        <v/>
      </c>
    </row>
    <row r="17460">
      <c r="B17460" s="9" t="n">
        <v>17458</v>
      </c>
      <c r="C17460" s="10" t="inlineStr">
        <is>
          <t>Regional Finance Manager</t>
        </is>
      </c>
      <c r="D17460" s="10" t="inlineStr">
        <is>
          <t>HR Vietnam’s ESS Client</t>
        </is>
      </c>
      <c r="E17460" s="10" t="inlineStr">
        <is>
          <t>Lương:Cạnh tranh</t>
        </is>
      </c>
      <c r="F17460" s="10" t="inlineStr">
        <is>
          <t>Hồ Chí Minh</t>
        </is>
      </c>
      <c r="G17460" s="10" t="inlineStr">
        <is>
          <t>05-04-2026</t>
        </is>
      </c>
      <c r="H17460" s="10" t="inlineStr">
        <is>
          <t>05/04/2026</t>
        </is>
      </c>
      <c r="I17460" s="10" t="inlineStr">
        <is>
          <t>17/03/2026</t>
        </is>
      </c>
      <c r="J17460" s="10" t="inlineStr">
        <is>
          <t>Kế toán / Kiểm toán, Tài chính / Đầu tư</t>
        </is>
      </c>
      <c r="K17460" s="10" t="inlineStr">
        <is>
          <t>5 - 6 Năm</t>
        </is>
      </c>
      <c r="L17460" s="11">
        <f>HYPERLINK("https://careerviet.vn/vi/tim-viec-lam/regional-finance-manager.35C677F4.html","Xem chi tiết")</f>
        <v/>
      </c>
      <c r="M17460" s="10" t="n"/>
    </row>
    <row r="17461">
      <c r="B17461" s="7" t="n">
        <v>17459</v>
      </c>
      <c r="C17461" t="inlineStr">
        <is>
          <t>[NovaDreams] Chuyên viên cao cấp Quản lý Vận hành Kênh và Quảng cáo</t>
        </is>
      </c>
      <c r="D17461" t="inlineStr">
        <is>
          <t>Bảo mật</t>
        </is>
      </c>
      <c r="E17461" t="inlineStr">
        <is>
          <t>Lương:Cạnh tranh</t>
        </is>
      </c>
      <c r="F17461" t="inlineStr">
        <is>
          <t>Hồ Chí Minh</t>
        </is>
      </c>
      <c r="G17461" t="inlineStr">
        <is>
          <t>05-04-2026</t>
        </is>
      </c>
      <c r="H17461" t="inlineStr">
        <is>
          <t>05/04/2026</t>
        </is>
      </c>
      <c r="I17461" t="inlineStr">
        <is>
          <t>17/03/2026</t>
        </is>
      </c>
      <c r="J17461" t="inlineStr">
        <is>
          <t>Tiếp thị / Marketing, Quảng cáo / Đối ngoại / Truyền Thông</t>
        </is>
      </c>
      <c r="K17461" t="inlineStr">
        <is>
          <t>3 - 8 Năm</t>
        </is>
      </c>
      <c r="L17461" s="8">
        <f>HYPERLINK("https://careerviet.vn/vi/tim-viec-lam/novadreams-chuyen-vien-cao-cap-quan-ly-van-hanh-kenh-va-quang-cao.35C676DE.html","Xem chi tiết")</f>
        <v/>
      </c>
    </row>
    <row r="17462">
      <c r="B17462" s="9" t="n">
        <v>17460</v>
      </c>
      <c r="C17462" s="10" t="inlineStr">
        <is>
          <t>Trưởng phòng kiểm soát tuân thủ</t>
        </is>
      </c>
      <c r="D17462" s="10" t="inlineStr">
        <is>
          <t>Công Ty Cổ Phần Tập Đoàn Đầu Tư Địa Ốc No Va</t>
        </is>
      </c>
      <c r="E17462" s="10" t="inlineStr">
        <is>
          <t>Lương:Cạnh tranh</t>
        </is>
      </c>
      <c r="F17462" s="10" t="inlineStr">
        <is>
          <t>Hồ Chí Minh</t>
        </is>
      </c>
      <c r="G17462" s="10" t="inlineStr">
        <is>
          <t>05-04-2026</t>
        </is>
      </c>
      <c r="H17462" s="10" t="inlineStr">
        <is>
          <t>05/04/2026</t>
        </is>
      </c>
      <c r="I17462" s="10" t="inlineStr">
        <is>
          <t>17/03/2026</t>
        </is>
      </c>
      <c r="J17462" s="10" t="inlineStr">
        <is>
          <t>Bất động sản</t>
        </is>
      </c>
      <c r="K17462" s="10" t="inlineStr">
        <is>
          <t>10 - 12 Năm</t>
        </is>
      </c>
      <c r="L17462" s="11">
        <f>HYPERLINK("https://careerviet.vn/vi/tim-viec-lam/truong-phong-kiem-soat-tuan-thu.35C678F6.html","Xem chi tiết")</f>
        <v/>
      </c>
      <c r="M17462" s="10" t="n"/>
    </row>
    <row r="17463">
      <c r="B17463" s="7" t="n">
        <v>17461</v>
      </c>
      <c r="C17463" t="inlineStr">
        <is>
          <t>Chuyên viên/ CVC/ CVCC Khách hàng cá nhân - Việt Trì, Phú Thọ</t>
        </is>
      </c>
      <c r="D17463" t="inlineStr">
        <is>
          <t>Ngân hàng Thương mại cổ phần Đông Nam Á (SeABank)</t>
        </is>
      </c>
      <c r="E17463" t="inlineStr">
        <is>
          <t>Lương:10 Tr - 20 Tr VND</t>
        </is>
      </c>
      <c r="F17463" t="inlineStr">
        <is>
          <t>Phú Thọ</t>
        </is>
      </c>
      <c r="G17463" t="inlineStr">
        <is>
          <t>05-04-2026</t>
        </is>
      </c>
      <c r="H17463" t="inlineStr">
        <is>
          <t>05/04/2026</t>
        </is>
      </c>
      <c r="I17463" t="inlineStr">
        <is>
          <t>17/03/2026</t>
        </is>
      </c>
      <c r="J17463" t="inlineStr">
        <is>
          <t>Bán hàng / Kinh doanh, Ngân hàng</t>
        </is>
      </c>
      <c r="K17463" t="inlineStr">
        <is>
          <t>N/A</t>
        </is>
      </c>
      <c r="L17463" s="8">
        <f>HYPERLINK("https://careerviet.vn/vi/tim-viec-lam/chuyen-vien-cvc-cvcc-khach-hang-ca-nhan-viet-tri-phu-tho.35C6774F.html","Xem chi tiết")</f>
        <v/>
      </c>
    </row>
    <row r="17464">
      <c r="B17464" s="9" t="n">
        <v>17462</v>
      </c>
      <c r="C17464" s="10" t="inlineStr">
        <is>
          <t>Cán Bộ Kiểm Soát Nội Nghiệp</t>
        </is>
      </c>
      <c r="D17464" s="10" t="inlineStr">
        <is>
          <t>CÔNG TY TNHH XÂY DỰNG TỰ LẬP</t>
        </is>
      </c>
      <c r="E17464" s="10" t="inlineStr">
        <is>
          <t>Lương:16 Tr - 25 Tr VND</t>
        </is>
      </c>
      <c r="F17464" s="10" t="inlineStr">
        <is>
          <t>Phú Thọ</t>
        </is>
      </c>
      <c r="G17464" s="10" t="inlineStr">
        <is>
          <t>05-04-2026</t>
        </is>
      </c>
      <c r="H17464" s="10" t="inlineStr">
        <is>
          <t>05/04/2026</t>
        </is>
      </c>
      <c r="I17464" s="10" t="inlineStr">
        <is>
          <t>17/03/2026</t>
        </is>
      </c>
      <c r="J17464" s="10" t="inlineStr">
        <is>
          <t>Quản lý điều hành, Kiến trúc, Xây dựng</t>
        </is>
      </c>
      <c r="K17464" s="10" t="inlineStr">
        <is>
          <t>Trên 7 Năm</t>
        </is>
      </c>
      <c r="L17464" s="11">
        <f>HYPERLINK("https://careerviet.vn/vi/tim-viec-lam/can-bo-kiem-soat-noi-nghiep.35C649F6.html","Xem chi tiết")</f>
        <v/>
      </c>
      <c r="M17464" s="10" t="n"/>
    </row>
    <row r="17465">
      <c r="B17465" s="7" t="n">
        <v>17463</v>
      </c>
      <c r="C17465" t="inlineStr">
        <is>
          <t>[HO] BIG DATA SCIENTIST</t>
        </is>
      </c>
      <c r="D17465" t="inlineStr">
        <is>
          <t>Shinhan Bank Vietnam</t>
        </is>
      </c>
      <c r="E17465" t="inlineStr">
        <is>
          <t>Lương:Cạnh tranh</t>
        </is>
      </c>
      <c r="F17465" t="inlineStr">
        <is>
          <t>Hồ Chí Minh</t>
        </is>
      </c>
      <c r="G17465" t="inlineStr">
        <is>
          <t>05-04-2026</t>
        </is>
      </c>
      <c r="H17465" t="inlineStr">
        <is>
          <t>05/04/2026</t>
        </is>
      </c>
      <c r="I17465" t="inlineStr">
        <is>
          <t>17/03/2026</t>
        </is>
      </c>
      <c r="J17465" t="inlineStr">
        <is>
          <t>Ngân hàng, CNTT - Phần mềm</t>
        </is>
      </c>
      <c r="K17465" t="inlineStr">
        <is>
          <t>1 - 2 Năm</t>
        </is>
      </c>
      <c r="L17465" s="8">
        <f>HYPERLINK("https://careerviet.vn/vi/tim-viec-lam/ho-big-data-scientist.35C67903.html","Xem chi tiết")</f>
        <v/>
      </c>
    </row>
    <row r="17466">
      <c r="B17466" s="9" t="n">
        <v>17464</v>
      </c>
      <c r="C17466" s="10" t="inlineStr">
        <is>
          <t>Thư Ký Tổng Hợp - Ban Tổng GĐ</t>
        </is>
      </c>
      <c r="D17466" s="10" t="inlineStr">
        <is>
          <t>Công Ty Cổ Phần Tập Đoàn Đầu Tư Địa Ốc No Va</t>
        </is>
      </c>
      <c r="E17466" s="10" t="inlineStr">
        <is>
          <t>Lương:25 Tr - 35 Tr VND</t>
        </is>
      </c>
      <c r="F17466" s="10" t="inlineStr">
        <is>
          <t>Hồ Chí Minh</t>
        </is>
      </c>
      <c r="G17466" s="10" t="inlineStr">
        <is>
          <t>05-04-2026</t>
        </is>
      </c>
      <c r="H17466" s="10" t="inlineStr">
        <is>
          <t>05/04/2026</t>
        </is>
      </c>
      <c r="I17466" s="10" t="inlineStr">
        <is>
          <t>17/03/2026</t>
        </is>
      </c>
      <c r="J17466" s="10" t="inlineStr">
        <is>
          <t>Luật / Pháp lý, Hành chính / Thư ký, Bất động sản</t>
        </is>
      </c>
      <c r="K17466" s="10" t="inlineStr">
        <is>
          <t>2 - 5 Năm</t>
        </is>
      </c>
      <c r="L17466" s="11">
        <f>HYPERLINK("https://careerviet.vn/vi/tim-viec-lam/thu-ky-tong-hop-ban-tong-gd.35C678EE.html","Xem chi tiết")</f>
        <v/>
      </c>
      <c r="M17466" s="10" t="n"/>
    </row>
    <row r="17467">
      <c r="B17467" s="7" t="n">
        <v>17465</v>
      </c>
      <c r="C17467" t="inlineStr">
        <is>
          <t>Nhân viên lái xe tải</t>
        </is>
      </c>
      <c r="D17467" t="inlineStr">
        <is>
          <t>Công Ty Cổ Phần Panel Việt</t>
        </is>
      </c>
      <c r="E17467" t="inlineStr">
        <is>
          <t>Lương:10 Tr - 15 Tr VND</t>
        </is>
      </c>
      <c r="F17467" t="inlineStr">
        <is>
          <t>Đồng Nai</t>
        </is>
      </c>
      <c r="G17467" t="inlineStr">
        <is>
          <t>05-04-2026</t>
        </is>
      </c>
      <c r="H17467" t="inlineStr">
        <is>
          <t>05/04/2026</t>
        </is>
      </c>
      <c r="I17467" t="inlineStr">
        <is>
          <t>17/03/2026</t>
        </is>
      </c>
      <c r="J17467" t="inlineStr">
        <is>
          <t>Vận chuyển / Giao nhận / Kho vận</t>
        </is>
      </c>
      <c r="K17467" t="inlineStr">
        <is>
          <t>1 - 2 Năm</t>
        </is>
      </c>
      <c r="L17467" s="8">
        <f>HYPERLINK("https://careerviet.vn/vi/tim-viec-lam/nhan-vien-lai-xe-tai.35C6487A.html","Xem chi tiết")</f>
        <v/>
      </c>
    </row>
    <row r="17468">
      <c r="B17468" s="9" t="n">
        <v>17466</v>
      </c>
      <c r="C17468" s="10" t="inlineStr">
        <is>
          <t>[[HO] - INNOVATION &amp; PARTNERSHIP DEVELOPMENT</t>
        </is>
      </c>
      <c r="D17468" s="10" t="inlineStr">
        <is>
          <t>Shinhan Bank Vietnam</t>
        </is>
      </c>
      <c r="E17468" s="10" t="inlineStr">
        <is>
          <t>Lương:Cạnh tranh</t>
        </is>
      </c>
      <c r="F17468" s="10" t="inlineStr">
        <is>
          <t>Hồ Chí Minh</t>
        </is>
      </c>
      <c r="G17468" s="10" t="inlineStr">
        <is>
          <t>05-04-2026</t>
        </is>
      </c>
      <c r="H17468" s="10" t="inlineStr">
        <is>
          <t>05/04/2026</t>
        </is>
      </c>
      <c r="I17468" s="10" t="inlineStr">
        <is>
          <t>17/03/2026</t>
        </is>
      </c>
      <c r="J17468" s="10" t="inlineStr">
        <is>
          <t>Ngân hàng, Tiếp thị trực tuyến</t>
        </is>
      </c>
      <c r="K17468" s="10" t="inlineStr">
        <is>
          <t>Trên 3 Năm</t>
        </is>
      </c>
      <c r="L17468" s="11">
        <f>HYPERLINK("https://careerviet.vn/vi/tim-viec-lam/ho-innovation-partnership-development.35C678C5.html","Xem chi tiết")</f>
        <v/>
      </c>
      <c r="M17468" s="10" t="n"/>
    </row>
    <row r="17469">
      <c r="B17469" s="7" t="n">
        <v>17467</v>
      </c>
      <c r="C17469" t="inlineStr">
        <is>
          <t>Chuyên viên mua sắm công cụ dụng cụ vật tư</t>
        </is>
      </c>
      <c r="D17469" t="inlineStr">
        <is>
          <t>TỔNG CÔNG TY CỔ PHẦN THƯƠNG MẠI XÂY DỰNG</t>
        </is>
      </c>
      <c r="E17469" t="inlineStr">
        <is>
          <t>Lương:14 Tr - 16 Tr VND</t>
        </is>
      </c>
      <c r="F17469" t="inlineStr">
        <is>
          <t>Hà Nội</t>
        </is>
      </c>
      <c r="G17469" t="inlineStr">
        <is>
          <t>05-04-2026</t>
        </is>
      </c>
      <c r="H17469" t="inlineStr">
        <is>
          <t>05/04/2026</t>
        </is>
      </c>
      <c r="I17469" t="inlineStr">
        <is>
          <t>17/03/2026</t>
        </is>
      </c>
      <c r="J17469" t="inlineStr">
        <is>
          <t>Hành chính / Thư ký, Thu mua / Vật tư</t>
        </is>
      </c>
      <c r="K17469" t="inlineStr">
        <is>
          <t>2 - 3 Năm</t>
        </is>
      </c>
      <c r="L17469" s="8">
        <f>HYPERLINK("https://careerviet.vn/vi/tim-viec-lam/chuyen-vien-mua-sam-cong-cu-dung-cu-vat-tu.35C6774B.html","Xem chi tiết")</f>
        <v/>
      </c>
    </row>
    <row r="17470">
      <c r="B17470" s="9" t="n">
        <v>17468</v>
      </c>
      <c r="C17470" s="10" t="inlineStr">
        <is>
          <t>Chuyên viên điều phối Container</t>
        </is>
      </c>
      <c r="D17470" s="10" t="inlineStr">
        <is>
          <t>CÔNG TY CỔ PHẦN  ITL LOGISTICS</t>
        </is>
      </c>
      <c r="E17470" s="10" t="inlineStr">
        <is>
          <t>Lương:Cạnh tranh</t>
        </is>
      </c>
      <c r="F17470" s="10" t="inlineStr">
        <is>
          <t>Bình Dương</t>
        </is>
      </c>
      <c r="G17470" s="10" t="inlineStr">
        <is>
          <t>05-04-2026</t>
        </is>
      </c>
      <c r="H17470" s="10" t="inlineStr">
        <is>
          <t>05/04/2026</t>
        </is>
      </c>
      <c r="I17470" s="10" t="inlineStr">
        <is>
          <t>17/03/2026</t>
        </is>
      </c>
      <c r="J17470" s="10" t="inlineStr">
        <is>
          <t>Vận chuyển / Giao nhận / Kho vận</t>
        </is>
      </c>
      <c r="K17470" s="10" t="inlineStr">
        <is>
          <t>1 - 5 Năm</t>
        </is>
      </c>
      <c r="L17470" s="11">
        <f>HYPERLINK("https://careerviet.vn/vi/tim-viec-lam/chuyen-vien-dieu-phoi-container.35C6484E.html","Xem chi tiết")</f>
        <v/>
      </c>
      <c r="M17470" s="10" t="n"/>
    </row>
    <row r="17471">
      <c r="B17471" s="7" t="n">
        <v>17469</v>
      </c>
      <c r="C17471" t="inlineStr">
        <is>
          <t>Digital Performance Lead</t>
        </is>
      </c>
      <c r="D17471" t="inlineStr">
        <is>
          <t>Công ty TNHH Sản xuất Thương mại &amp; Dịch vụ Hoa Xinh</t>
        </is>
      </c>
      <c r="E17471" t="inlineStr">
        <is>
          <t>Lương:Cạnh tranh</t>
        </is>
      </c>
      <c r="F17471" t="inlineStr">
        <is>
          <t>Hồ Chí Minh</t>
        </is>
      </c>
      <c r="G17471" t="inlineStr">
        <is>
          <t>05-04-2026</t>
        </is>
      </c>
      <c r="H17471" t="inlineStr">
        <is>
          <t>05/04/2026</t>
        </is>
      </c>
      <c r="I17471" t="inlineStr">
        <is>
          <t>17/03/2026</t>
        </is>
      </c>
      <c r="J17471" t="inlineStr">
        <is>
          <t>Tiếp thị / Marketing, Tiếp thị trực tuyến, Thương mại điện tử</t>
        </is>
      </c>
      <c r="K17471" t="inlineStr">
        <is>
          <t>3 - 5 Năm</t>
        </is>
      </c>
      <c r="L17471" s="8">
        <f>HYPERLINK("https://careerviet.vn/vi/tim-viec-lam/digital-performance-lead.35C678AB.html","Xem chi tiết")</f>
        <v/>
      </c>
    </row>
    <row r="17472">
      <c r="B17472" s="9" t="n">
        <v>17470</v>
      </c>
      <c r="C17472" s="10" t="inlineStr">
        <is>
          <t>Senior Investor Relations Officer</t>
        </is>
      </c>
      <c r="D17472" s="10" t="inlineStr">
        <is>
          <t>Công Ty Cổ Phần Tập Đoàn Đầu Tư Địa Ốc No Va</t>
        </is>
      </c>
      <c r="E17472" s="10" t="inlineStr">
        <is>
          <t>Lương:Cạnh tranh</t>
        </is>
      </c>
      <c r="F17472" s="10" t="inlineStr">
        <is>
          <t>Hồ Chí Minh</t>
        </is>
      </c>
      <c r="G17472" s="10" t="inlineStr">
        <is>
          <t>05-04-2026</t>
        </is>
      </c>
      <c r="H17472" s="10" t="inlineStr">
        <is>
          <t>05/04/2026</t>
        </is>
      </c>
      <c r="I17472" s="10" t="inlineStr">
        <is>
          <t>17/03/2026</t>
        </is>
      </c>
      <c r="J17472" s="10" t="inlineStr">
        <is>
          <t>Luật / Pháp lý, Tài chính / Đầu tư, Bất động sản</t>
        </is>
      </c>
      <c r="K17472" s="10" t="inlineStr">
        <is>
          <t>3 - 5 Năm</t>
        </is>
      </c>
      <c r="L17472" s="11">
        <f>HYPERLINK("https://careerviet.vn/vi/tim-viec-lam/senior-investor-relations-officer.35C6486A.html","Xem chi tiết")</f>
        <v/>
      </c>
      <c r="M17472" s="10" t="n"/>
    </row>
    <row r="17473">
      <c r="B17473" s="7" t="n">
        <v>17471</v>
      </c>
      <c r="C17473" t="inlineStr">
        <is>
          <t>Nhân viên tuyển dụng đào tạo</t>
        </is>
      </c>
      <c r="D17473" t="inlineStr">
        <is>
          <t>Công ty TNHH sân golf Palm Sông Bé</t>
        </is>
      </c>
      <c r="E17473" t="inlineStr">
        <is>
          <t>Lương:Cạnh tranh</t>
        </is>
      </c>
      <c r="F17473" t="inlineStr">
        <is>
          <t>Bình Dương</t>
        </is>
      </c>
      <c r="G17473" t="inlineStr">
        <is>
          <t>05-04-2026</t>
        </is>
      </c>
      <c r="H17473" t="inlineStr">
        <is>
          <t>05/04/2026</t>
        </is>
      </c>
      <c r="I17473" t="inlineStr">
        <is>
          <t>17/03/2026</t>
        </is>
      </c>
      <c r="J17473" t="inlineStr">
        <is>
          <t>Hành chính / Thư ký, Nhân sự, Quảng cáo / Đối ngoại / Truyền Thông</t>
        </is>
      </c>
      <c r="K17473" t="inlineStr">
        <is>
          <t>2 - 3 Năm</t>
        </is>
      </c>
      <c r="L17473" s="8">
        <f>HYPERLINK("https://careerviet.vn/vi/tim-viec-lam/nhan-vien-tuyen-dung-dao-tao.35C67895.html","Xem chi tiết")</f>
        <v/>
      </c>
    </row>
    <row r="17474">
      <c r="B17474" s="9" t="n">
        <v>17472</v>
      </c>
      <c r="C17474" s="10" t="inlineStr">
        <is>
          <t>NHÂN VIÊN LAO ĐỘNG SẢN XUẤT</t>
        </is>
      </c>
      <c r="D17474" s="10" t="inlineStr">
        <is>
          <t>CÔNG TY TNHH POUYUEN VIỆT NAM</t>
        </is>
      </c>
      <c r="E17474" s="10" t="inlineStr">
        <is>
          <t>Lương:Trên 6 Tr VND</t>
        </is>
      </c>
      <c r="F17474" s="10" t="inlineStr">
        <is>
          <t>Hồ Chí Minh</t>
        </is>
      </c>
      <c r="G17474" s="10" t="inlineStr">
        <is>
          <t>05-04-2026</t>
        </is>
      </c>
      <c r="H17474" s="10" t="inlineStr">
        <is>
          <t>05/04/2026</t>
        </is>
      </c>
      <c r="I17474" s="10" t="inlineStr">
        <is>
          <t>17/03/2026</t>
        </is>
      </c>
      <c r="J17474" s="10" t="inlineStr">
        <is>
          <t>Lao động phổ thông, Sản xuất / Vận hành sản xuất, Dệt may / Da giày / Thời trang</t>
        </is>
      </c>
      <c r="K17474" s="10" t="inlineStr">
        <is>
          <t>N/A</t>
        </is>
      </c>
      <c r="L17474" s="11">
        <f>HYPERLINK("https://careerviet.vn/vi/tim-viec-lam/nhan-vien-lao-dong-san-xuat.35C6789D.html","Xem chi tiết")</f>
        <v/>
      </c>
      <c r="M17474" s="10" t="n"/>
    </row>
    <row r="17475">
      <c r="B17475" s="7" t="n">
        <v>17473</v>
      </c>
      <c r="C17475" t="inlineStr">
        <is>
          <t>Nhân Viên Kinh Doanh Thị Trường Kênh MT</t>
        </is>
      </c>
      <c r="D17475" t="inlineStr">
        <is>
          <t>Công ty TNHH Chế biến thực phẩm Đông Đô</t>
        </is>
      </c>
      <c r="E17475" t="inlineStr">
        <is>
          <t>Lương:13 Tr - 16 Tr VND</t>
        </is>
      </c>
      <c r="F17475" t="inlineStr">
        <is>
          <t>Hà NamNinh BìnhVĩnh Phúc</t>
        </is>
      </c>
      <c r="G17475" t="inlineStr">
        <is>
          <t>05-04-2026</t>
        </is>
      </c>
      <c r="H17475" t="inlineStr">
        <is>
          <t>05/04/2026</t>
        </is>
      </c>
      <c r="I17475" t="inlineStr">
        <is>
          <t>17/03/2026</t>
        </is>
      </c>
      <c r="J17475" t="inlineStr">
        <is>
          <t>Bán lẻ / Bán sỉ, Bán hàng / Kinh doanh, Thực phẩm &amp; Đồ uống</t>
        </is>
      </c>
      <c r="K17475" t="inlineStr">
        <is>
          <t>1 - 2 Năm</t>
        </is>
      </c>
      <c r="L17475" s="8">
        <f>HYPERLINK("https://careerviet.vn/vi/tim-viec-lam/nhan-vien-kinh-doanh-thi-truong-kenh-mt.35C649B7.html","Xem chi tiết")</f>
        <v/>
      </c>
    </row>
    <row r="17476">
      <c r="B17476" s="9" t="n">
        <v>17474</v>
      </c>
      <c r="C17476" s="10" t="inlineStr">
        <is>
          <t>Nhân Viên Trade Marketing - 10.000.000 - 15.000.000 - Tại Hà Nội</t>
        </is>
      </c>
      <c r="D17476" s="10" t="inlineStr">
        <is>
          <t>Công ty TNHH Dược Hunmed</t>
        </is>
      </c>
      <c r="E17476" s="10" t="inlineStr">
        <is>
          <t>Lương:10 Tr - 15 Tr VND</t>
        </is>
      </c>
      <c r="F17476" s="10" t="inlineStr">
        <is>
          <t>Hà Nội</t>
        </is>
      </c>
      <c r="G17476" s="10" t="inlineStr">
        <is>
          <t>05-04-2026</t>
        </is>
      </c>
      <c r="H17476" s="10" t="inlineStr">
        <is>
          <t>05/04/2026</t>
        </is>
      </c>
      <c r="I17476" s="10" t="inlineStr">
        <is>
          <t>17/03/2026</t>
        </is>
      </c>
      <c r="J17476" s="10" t="inlineStr">
        <is>
          <t>Dược phẩm/ Hóa Mỹ Phẩm</t>
        </is>
      </c>
      <c r="K17476" s="10" t="inlineStr">
        <is>
          <t>1 - 2 Năm</t>
        </is>
      </c>
      <c r="L17476" s="11">
        <f>HYPERLINK("https://careerviet.vn/vi/tim-viec-lam/nhan-vien-trade-marketing-10-000-000-15-000-000-tai-ha-noi.35C6787B.html","Xem chi tiết")</f>
        <v/>
      </c>
      <c r="M17476" s="10" t="n"/>
    </row>
    <row r="17477">
      <c r="B17477" s="7" t="n">
        <v>17475</v>
      </c>
      <c r="C17477" t="inlineStr">
        <is>
          <t>GL Accountant</t>
        </is>
      </c>
      <c r="D17477" t="inlineStr">
        <is>
          <t>XP Power  Vietnam</t>
        </is>
      </c>
      <c r="E17477" t="inlineStr">
        <is>
          <t>Lương:Cạnh tranh</t>
        </is>
      </c>
      <c r="F17477" t="inlineStr">
        <is>
          <t>Bình Dương</t>
        </is>
      </c>
      <c r="G17477" t="inlineStr">
        <is>
          <t>05-04-2026</t>
        </is>
      </c>
      <c r="H17477" t="inlineStr">
        <is>
          <t>05/04/2026</t>
        </is>
      </c>
      <c r="I17477" t="inlineStr">
        <is>
          <t>17/03/2026</t>
        </is>
      </c>
      <c r="J17477" t="inlineStr">
        <is>
          <t>Kế toán / Kiểm toán</t>
        </is>
      </c>
      <c r="K17477" t="inlineStr">
        <is>
          <t>N/A</t>
        </is>
      </c>
      <c r="L17477" s="8">
        <f>HYPERLINK("https://careerviet.vn/vi/tim-viec-lam/gl-accountant.35C6496F.html","Xem chi tiết")</f>
        <v/>
      </c>
    </row>
    <row r="17478">
      <c r="B17478" s="9" t="n">
        <v>17476</v>
      </c>
      <c r="C17478" s="10" t="inlineStr">
        <is>
          <t>Trưởng Bộ phận sáng tạo ý tưởng và sản xuất nội dung</t>
        </is>
      </c>
      <c r="D17478" s="10" t="inlineStr">
        <is>
          <t>CÔNG TY CỔ PHẦN EUROWINDOW HOLDING</t>
        </is>
      </c>
      <c r="E17478" s="10" t="inlineStr">
        <is>
          <t>Lương:Cạnh tranh</t>
        </is>
      </c>
      <c r="F17478" s="10" t="inlineStr">
        <is>
          <t>Hà Nội</t>
        </is>
      </c>
      <c r="G17478" s="10" t="inlineStr">
        <is>
          <t>05-04-2026</t>
        </is>
      </c>
      <c r="H17478" s="10" t="inlineStr">
        <is>
          <t>05/04/2026</t>
        </is>
      </c>
      <c r="I17478" s="10" t="inlineStr">
        <is>
          <t>17/03/2026</t>
        </is>
      </c>
      <c r="J17478" s="10" t="inlineStr">
        <is>
          <t>Tiếp thị / Marketing</t>
        </is>
      </c>
      <c r="K17478" s="10" t="inlineStr">
        <is>
          <t>3 - 5 Năm</t>
        </is>
      </c>
      <c r="L17478" s="11">
        <f>HYPERLINK("https://careerviet.vn/vi/tim-viec-lam/truong-bo-phan-sang-tao-y-tuong-va-san-xuat-noi-dung.35C676D9.html","Xem chi tiết")</f>
        <v/>
      </c>
      <c r="M17478" s="10" t="n"/>
    </row>
    <row r="17479">
      <c r="B17479" s="7" t="n">
        <v>17477</v>
      </c>
      <c r="C17479" t="inlineStr">
        <is>
          <t>[Thanh Hóa] Giám Sát Kinh Doanh Bán Hàng Trả Góp</t>
        </is>
      </c>
      <c r="D17479" t="inlineStr">
        <is>
          <t>Công Ty Tài Chính Mirae Asset (Việt Nam)</t>
        </is>
      </c>
      <c r="E17479" t="inlineStr">
        <is>
          <t>Lương:Cạnh tranh</t>
        </is>
      </c>
      <c r="F17479" t="inlineStr">
        <is>
          <t>Thanh HóaKV Bắc Trung BộĐiện Biên</t>
        </is>
      </c>
      <c r="G17479" t="inlineStr">
        <is>
          <t>05-04-2026</t>
        </is>
      </c>
      <c r="H17479" t="inlineStr">
        <is>
          <t>05/04/2026</t>
        </is>
      </c>
      <c r="I17479" t="inlineStr">
        <is>
          <t>17/03/2026</t>
        </is>
      </c>
      <c r="J17479" t="inlineStr">
        <is>
          <t>Bán hàng / Kinh doanh, Tài chính / Đầu tư, Dịch vụ khách hàng</t>
        </is>
      </c>
      <c r="K17479" t="inlineStr">
        <is>
          <t>2 - 3 Năm</t>
        </is>
      </c>
      <c r="L17479" s="8">
        <f>HYPERLINK("https://careerviet.vn/vi/tim-viec-lam/thanh-hoa-giam-sat-kinh-doanh-ban-hang-tra-gop.35C6493E.html","Xem chi tiết")</f>
        <v/>
      </c>
    </row>
    <row r="17480">
      <c r="B17480" s="9" t="n">
        <v>17478</v>
      </c>
      <c r="C17480" s="10" t="inlineStr">
        <is>
          <t>NHÂN VIÊN THAO TÁC MÁY CNC</t>
        </is>
      </c>
      <c r="D17480" s="10" t="inlineStr">
        <is>
          <t>CÔNG TY TNHH POUYUEN VIỆT NAM</t>
        </is>
      </c>
      <c r="E17480" s="10" t="inlineStr">
        <is>
          <t>Lương:Trên 6 Tr VND</t>
        </is>
      </c>
      <c r="F17480" s="10" t="inlineStr">
        <is>
          <t>Hồ Chí Minh</t>
        </is>
      </c>
      <c r="G17480" s="10" t="inlineStr">
        <is>
          <t>05-04-2026</t>
        </is>
      </c>
      <c r="H17480" s="10" t="inlineStr">
        <is>
          <t>05/04/2026</t>
        </is>
      </c>
      <c r="I17480" s="10" t="inlineStr">
        <is>
          <t>17/03/2026</t>
        </is>
      </c>
      <c r="J17480" s="10" t="inlineStr">
        <is>
          <t>Lao động phổ thông, Cơ khí / Ô tô / Tự động hóa, Điện / Điện tử / Điện lạnh / Điện công nghiệp</t>
        </is>
      </c>
      <c r="K17480" s="10" t="inlineStr">
        <is>
          <t>N/A</t>
        </is>
      </c>
      <c r="L17480" s="11">
        <f>HYPERLINK("https://careerviet.vn/vi/tim-viec-lam/nhan-vien-thao-tac-may-cnc.35C6788C.html","Xem chi tiết")</f>
        <v/>
      </c>
      <c r="M17480" s="10" t="n"/>
    </row>
    <row r="17481">
      <c r="B17481" s="7" t="n">
        <v>17479</v>
      </c>
      <c r="C17481" t="inlineStr">
        <is>
          <t>Quality Assurance Manager</t>
        </is>
      </c>
      <c r="D17481" t="inlineStr">
        <is>
          <t>Brand Packaging Joint Stock Company</t>
        </is>
      </c>
      <c r="E17481" t="inlineStr">
        <is>
          <t>Lương:Cạnh tranh</t>
        </is>
      </c>
      <c r="F17481" t="inlineStr">
        <is>
          <t>Bình Dương</t>
        </is>
      </c>
      <c r="G17481" t="inlineStr">
        <is>
          <t>05-04-2026</t>
        </is>
      </c>
      <c r="H17481" t="inlineStr">
        <is>
          <t>05/04/2026</t>
        </is>
      </c>
      <c r="I17481" t="inlineStr">
        <is>
          <t>17/03/2026</t>
        </is>
      </c>
      <c r="J17481" t="inlineStr">
        <is>
          <t>Sản xuất / Vận hành sản xuất, Quản lý chất lượng (QA/QC), Hóa học</t>
        </is>
      </c>
      <c r="K17481" t="inlineStr">
        <is>
          <t>7 - 10 Năm</t>
        </is>
      </c>
      <c r="L17481" s="8">
        <f>HYPERLINK("https://careerviet.vn/vi/tim-viec-lam/quality-assurance-manager.35C64984.html","Xem chi tiết")</f>
        <v/>
      </c>
    </row>
    <row r="17482">
      <c r="B17482" s="9" t="n">
        <v>17480</v>
      </c>
      <c r="C17482" s="10" t="inlineStr">
        <is>
          <t>Nhân Viên Kỹ Thuật (Giám sát thi công)</t>
        </is>
      </c>
      <c r="D17482" s="10" t="inlineStr">
        <is>
          <t>Công ty TNHH Phòng cháy chữa cháy và cứu nạn cứu hộ Việt Nam</t>
        </is>
      </c>
      <c r="E17482" s="10" t="inlineStr">
        <is>
          <t>Lương:16 Tr - 18 Tr VND</t>
        </is>
      </c>
      <c r="F17482" s="10" t="inlineStr">
        <is>
          <t>Hà Nội</t>
        </is>
      </c>
      <c r="G17482" s="10" t="inlineStr">
        <is>
          <t>05-04-2026</t>
        </is>
      </c>
      <c r="H17482" s="10" t="inlineStr">
        <is>
          <t>05/04/2026</t>
        </is>
      </c>
      <c r="I17482" s="10" t="inlineStr">
        <is>
          <t>17/03/2026</t>
        </is>
      </c>
      <c r="J17482" s="10" t="inlineStr">
        <is>
          <t>Xây dựng, Kiến trúc, Điện / Điện tử / Điện lạnh / Điện công nghiệp</t>
        </is>
      </c>
      <c r="K17482" s="10" t="inlineStr">
        <is>
          <t>1 - 5 Năm</t>
        </is>
      </c>
      <c r="L17482" s="11">
        <f>HYPERLINK("https://careerviet.vn/vi/tim-viec-lam/nhan-vien-ky-thuat-giam-sat-thi-cong.35C676D7.html","Xem chi tiết")</f>
        <v/>
      </c>
      <c r="M17482" s="10" t="n"/>
    </row>
    <row r="17483">
      <c r="B17483" s="7" t="n">
        <v>17481</v>
      </c>
      <c r="C17483" t="inlineStr">
        <is>
          <t>Chuyên gia Kiến trúc Hạ tầng Hệ thống</t>
        </is>
      </c>
      <c r="D17483" t="inlineStr">
        <is>
          <t>LOTTE FINANCE VIETNAM</t>
        </is>
      </c>
      <c r="E17483" t="inlineStr">
        <is>
          <t>Lương:Cạnh tranh</t>
        </is>
      </c>
      <c r="F17483" t="inlineStr">
        <is>
          <t>Hà Nội</t>
        </is>
      </c>
      <c r="G17483" t="inlineStr">
        <is>
          <t>05-04-2026</t>
        </is>
      </c>
      <c r="H17483" t="inlineStr">
        <is>
          <t>05/04/2026</t>
        </is>
      </c>
      <c r="I17483" t="inlineStr">
        <is>
          <t>17/03/2026</t>
        </is>
      </c>
      <c r="J17483" t="inlineStr">
        <is>
          <t>CNTT - Phần cứng / Mạng, CNTT - Phần mềm, Ngân hàng</t>
        </is>
      </c>
      <c r="K17483" t="inlineStr">
        <is>
          <t>Trên 7 Năm</t>
        </is>
      </c>
      <c r="L17483" s="8">
        <f>HYPERLINK("https://careerviet.vn/vi/tim-viec-lam/chuyen-gia-kien-truc-ha-tang-he-thong.35C64A20.html","Xem chi tiết")</f>
        <v/>
      </c>
    </row>
    <row r="17484">
      <c r="B17484" s="9" t="n">
        <v>17482</v>
      </c>
      <c r="C17484" s="10" t="inlineStr">
        <is>
          <t>Sourcing Specialist</t>
        </is>
      </c>
      <c r="D17484" s="10" t="inlineStr">
        <is>
          <t>Công Ty Cổ Phần TEECOM</t>
        </is>
      </c>
      <c r="E17484" s="10" t="inlineStr">
        <is>
          <t>Lương:Cạnh tranh</t>
        </is>
      </c>
      <c r="F17484" s="10" t="inlineStr">
        <is>
          <t>Hồ Chí Minh</t>
        </is>
      </c>
      <c r="G17484" s="10" t="inlineStr">
        <is>
          <t>05-04-2026</t>
        </is>
      </c>
      <c r="H17484" s="10" t="inlineStr">
        <is>
          <t>05/04/2026</t>
        </is>
      </c>
      <c r="I17484" s="10" t="inlineStr">
        <is>
          <t>17/03/2026</t>
        </is>
      </c>
      <c r="J17484" s="10" t="inlineStr">
        <is>
          <t>Tiếp thị trực tuyến, Thương mại điện tử, Thu mua / Vật tư</t>
        </is>
      </c>
      <c r="K17484" s="10" t="inlineStr">
        <is>
          <t>2 - 5 Năm</t>
        </is>
      </c>
      <c r="L17484" s="11">
        <f>HYPERLINK("https://careerviet.vn/vi/tim-viec-lam/sourcing-specialist.35C6495B.html","Xem chi tiết")</f>
        <v/>
      </c>
      <c r="M17484" s="10" t="n"/>
    </row>
    <row r="17485">
      <c r="B17485" s="7" t="n">
        <v>17483</v>
      </c>
      <c r="C17485" t="inlineStr">
        <is>
          <t>Chuyên viên cao cấp phân tích dữ liệu (Data Analyst)</t>
        </is>
      </c>
      <c r="D17485" t="inlineStr">
        <is>
          <t>Ngân hàng TMCP Đại Chúng Việt Nam - PVcomBank</t>
        </is>
      </c>
      <c r="E17485" t="inlineStr">
        <is>
          <t>Lương:Cạnh tranh</t>
        </is>
      </c>
      <c r="F17485" t="inlineStr">
        <is>
          <t>Hà Nội</t>
        </is>
      </c>
      <c r="G17485" t="inlineStr">
        <is>
          <t>05-04-2026</t>
        </is>
      </c>
      <c r="H17485" t="inlineStr">
        <is>
          <t>05/04/2026</t>
        </is>
      </c>
      <c r="I17485" t="inlineStr">
        <is>
          <t>17/03/2026</t>
        </is>
      </c>
      <c r="J17485" t="inlineStr">
        <is>
          <t>CNTT - Phần cứng / Mạng, CNTT - Phần mềm, Ngân hàng</t>
        </is>
      </c>
      <c r="K17485" t="inlineStr">
        <is>
          <t>1 - 5 Năm</t>
        </is>
      </c>
      <c r="L17485" s="8">
        <f>HYPERLINK("https://careerviet.vn/vi/tim-viec-lam/chuyen-vien-cao-cap-phan-tich-du-lieu-data-analyst.35C648A9.html","Xem chi tiết")</f>
        <v/>
      </c>
    </row>
    <row r="17486">
      <c r="B17486" s="9" t="n">
        <v>17484</v>
      </c>
      <c r="C17486" s="10" t="inlineStr">
        <is>
          <t>Nhân viên bảo trì</t>
        </is>
      </c>
      <c r="D17486" s="10" t="inlineStr">
        <is>
          <t>Công ty TNHH Midea Consumer Electric Vietnam</t>
        </is>
      </c>
      <c r="E17486" s="10" t="inlineStr">
        <is>
          <t>Lương:10 Tr - 15 Tr VND</t>
        </is>
      </c>
      <c r="F17486" s="10" t="inlineStr">
        <is>
          <t>Bình Dương</t>
        </is>
      </c>
      <c r="G17486" s="10" t="inlineStr">
        <is>
          <t>05-04-2026</t>
        </is>
      </c>
      <c r="H17486" s="10" t="inlineStr">
        <is>
          <t>05/04/2026</t>
        </is>
      </c>
      <c r="I17486" s="10" t="inlineStr">
        <is>
          <t>17/03/2026</t>
        </is>
      </c>
      <c r="J17486" s="10" t="inlineStr">
        <is>
          <t>Cơ khí / Ô tô / Tự động hóa, Điện / Điện tử / Điện lạnh / Điện công nghiệp</t>
        </is>
      </c>
      <c r="K17486" s="10" t="inlineStr">
        <is>
          <t>1 - 2 Năm</t>
        </is>
      </c>
      <c r="L17486" s="11">
        <f>HYPERLINK("https://careerviet.vn/vi/tim-viec-lam/nhan-vien-bao-tri.35C67782.html","Xem chi tiết")</f>
        <v/>
      </c>
      <c r="M17486" s="10" t="n"/>
    </row>
    <row r="17487">
      <c r="B17487" s="7" t="n">
        <v>17485</v>
      </c>
      <c r="C17487" t="inlineStr">
        <is>
          <t>Engineering Engineer</t>
        </is>
      </c>
      <c r="D17487" t="inlineStr">
        <is>
          <t>Thermtrol Co., Ltd.</t>
        </is>
      </c>
      <c r="E17487" t="inlineStr">
        <is>
          <t>Lương:Cạnh tranh</t>
        </is>
      </c>
      <c r="F17487" t="inlineStr">
        <is>
          <t>Bình Dương</t>
        </is>
      </c>
      <c r="G17487" t="inlineStr">
        <is>
          <t>05-04-2026</t>
        </is>
      </c>
      <c r="H17487" t="inlineStr">
        <is>
          <t>05/04/2026</t>
        </is>
      </c>
      <c r="I17487" t="inlineStr">
        <is>
          <t>17/03/2026</t>
        </is>
      </c>
      <c r="J17487" t="inlineStr">
        <is>
          <t>Cơ khí / Ô tô / Tự động hóa, Sản xuất / Vận hành sản xuất, Điện / Điện tử / Điện lạnh / Điện công nghiệp</t>
        </is>
      </c>
      <c r="K17487" t="inlineStr">
        <is>
          <t>1 - 3 Năm</t>
        </is>
      </c>
      <c r="L17487" s="8">
        <f>HYPERLINK("https://careerviet.vn/vi/tim-viec-lam/engineering-engineer.35C67871.html","Xem chi tiết")</f>
        <v/>
      </c>
    </row>
    <row r="17488">
      <c r="B17488" s="9" t="n">
        <v>17486</v>
      </c>
      <c r="C17488" s="10" t="inlineStr">
        <is>
          <t>[NovaService] Talent Acquisition Manager</t>
        </is>
      </c>
      <c r="D17488" s="10" t="inlineStr">
        <is>
          <t>Nova Service Group - Công ty Cổ phần Tập đoàn Nova Services</t>
        </is>
      </c>
      <c r="E17488" s="10" t="inlineStr">
        <is>
          <t>Lương:Cạnh tranh</t>
        </is>
      </c>
      <c r="F17488" s="10" t="inlineStr">
        <is>
          <t>Hồ Chí Minh</t>
        </is>
      </c>
      <c r="G17488" s="10" t="inlineStr">
        <is>
          <t>05-04-2026</t>
        </is>
      </c>
      <c r="H17488" s="10" t="inlineStr">
        <is>
          <t>05/04/2026</t>
        </is>
      </c>
      <c r="I17488" s="10" t="inlineStr">
        <is>
          <t>17/03/2026</t>
        </is>
      </c>
      <c r="J17488" s="10" t="inlineStr">
        <is>
          <t>Dịch vụ khách hàng, Nhân sự, Nhà hàng / Khách sạn</t>
        </is>
      </c>
      <c r="K17488" s="10" t="inlineStr">
        <is>
          <t>7 - 9 Năm</t>
        </is>
      </c>
      <c r="L17488" s="11">
        <f>HYPERLINK("https://careerviet.vn/vi/tim-viec-lam/novaservice-talent-acquisition-manager.35C6495F.html","Xem chi tiết")</f>
        <v/>
      </c>
      <c r="M17488" s="10" t="n"/>
    </row>
    <row r="17489">
      <c r="B17489" s="7" t="n">
        <v>17487</v>
      </c>
      <c r="C17489" t="inlineStr">
        <is>
          <t>[PHENIKAA UNI] Tuyển dụng Giảng viên cơ hữu - Khoa Quản trị Kinh doanh, Trường Kinh tế Phenikaa</t>
        </is>
      </c>
      <c r="D17489" t="inlineStr">
        <is>
          <t>ĐẠI HỌC PHENIKAA</t>
        </is>
      </c>
      <c r="E17489" t="inlineStr">
        <is>
          <t>Lương:Cạnh tranh</t>
        </is>
      </c>
      <c r="F17489" t="inlineStr">
        <is>
          <t>Hà Nội</t>
        </is>
      </c>
      <c r="G17489" t="inlineStr">
        <is>
          <t>05-04-2026</t>
        </is>
      </c>
      <c r="H17489" t="inlineStr">
        <is>
          <t>05/04/2026</t>
        </is>
      </c>
      <c r="I17489" t="inlineStr">
        <is>
          <t>17/03/2026</t>
        </is>
      </c>
      <c r="J17489" t="inlineStr">
        <is>
          <t>Giáo dục / Đào tạo</t>
        </is>
      </c>
      <c r="K17489" t="inlineStr">
        <is>
          <t>1 - 2 Năm</t>
        </is>
      </c>
      <c r="L17489" s="8">
        <f>HYPERLINK("https://careerviet.vn/vi/tim-viec-lam/phenikaa-uni-tuyen-dung-giang-vien-co-huu-khoa-quan-tri-kinh-doanh-truong-kinh-te-phenikaa.35C66D19.html","Xem chi tiết")</f>
        <v/>
      </c>
    </row>
    <row r="17490">
      <c r="B17490" s="9" t="n">
        <v>17488</v>
      </c>
      <c r="C17490" s="10" t="inlineStr">
        <is>
          <t>Nhân viên Kế toán</t>
        </is>
      </c>
      <c r="D17490" s="10" t="inlineStr">
        <is>
          <t>CÔNG TY CỔ PHẦN THƯƠNG MẠI DỊCH VỤ AN ĐẠI DƯƠNG</t>
        </is>
      </c>
      <c r="E17490" s="10" t="inlineStr">
        <is>
          <t>Lương:10 Tr - 12 Tr VND</t>
        </is>
      </c>
      <c r="F17490" s="10" t="inlineStr">
        <is>
          <t>Hà Nội</t>
        </is>
      </c>
      <c r="G17490" s="10" t="inlineStr">
        <is>
          <t>05-04-2026</t>
        </is>
      </c>
      <c r="H17490" s="10" t="inlineStr">
        <is>
          <t>05/04/2026</t>
        </is>
      </c>
      <c r="I17490" s="10" t="inlineStr">
        <is>
          <t>17/03/2026</t>
        </is>
      </c>
      <c r="J17490" s="10" t="inlineStr">
        <is>
          <t>Kế toán / Kiểm toán</t>
        </is>
      </c>
      <c r="K17490" s="10" t="inlineStr">
        <is>
          <t>1 - 5 Năm</t>
        </is>
      </c>
      <c r="L17490" s="11">
        <f>HYPERLINK("https://careerviet.vn/vi/tim-viec-lam/nhan-vien-ke-toan.35C676E0.html","Xem chi tiết")</f>
        <v/>
      </c>
      <c r="M17490" s="10" t="n"/>
    </row>
    <row r="17491">
      <c r="B17491" s="7" t="n">
        <v>17489</v>
      </c>
      <c r="C17491" t="inlineStr">
        <is>
          <t>Accounting Supervisor</t>
        </is>
      </c>
      <c r="D17491" t="inlineStr">
        <is>
          <t>CÔNG TY TNHH AUTOGRILL VFS F&amp;B TẠI CAM RANH</t>
        </is>
      </c>
      <c r="E17491" t="inlineStr">
        <is>
          <t>Lương:13 Tr - 14 Tr VND</t>
        </is>
      </c>
      <c r="F17491" t="inlineStr">
        <is>
          <t>Khánh Hòa</t>
        </is>
      </c>
      <c r="G17491" t="inlineStr">
        <is>
          <t>05-04-2026</t>
        </is>
      </c>
      <c r="H17491" t="inlineStr">
        <is>
          <t>05/04/2026</t>
        </is>
      </c>
      <c r="I17491" t="inlineStr">
        <is>
          <t>17/03/2026</t>
        </is>
      </c>
      <c r="J17491" t="inlineStr">
        <is>
          <t>Kế toán / Kiểm toán, Tài chính / Đầu tư, Vận chuyển / Giao nhận / Kho vận</t>
        </is>
      </c>
      <c r="K17491" t="inlineStr">
        <is>
          <t>Lên đến 1 Năm</t>
        </is>
      </c>
      <c r="L17491" s="8">
        <f>HYPERLINK("https://careerviet.vn/vi/tim-viec-lam/accounting-supervisor.35C648B8.html","Xem chi tiết")</f>
        <v/>
      </c>
    </row>
    <row r="17492">
      <c r="B17492" s="9" t="n">
        <v>17490</v>
      </c>
      <c r="C17492" s="10" t="inlineStr">
        <is>
          <t>Campaign Planner Specialist</t>
        </is>
      </c>
      <c r="D17492" s="10" t="inlineStr">
        <is>
          <t>Công Ty Cổ Phần TM &amp; DV Phong Vũ</t>
        </is>
      </c>
      <c r="E17492" s="10" t="inlineStr">
        <is>
          <t>Lương:Cạnh tranh</t>
        </is>
      </c>
      <c r="F17492" s="10" t="inlineStr">
        <is>
          <t>Hồ Chí Minh</t>
        </is>
      </c>
      <c r="G17492" s="10" t="inlineStr">
        <is>
          <t>05-04-2026</t>
        </is>
      </c>
      <c r="H17492" s="10" t="inlineStr">
        <is>
          <t>05/04/2026</t>
        </is>
      </c>
      <c r="I17492" s="10" t="inlineStr">
        <is>
          <t>17/03/2026</t>
        </is>
      </c>
      <c r="J17492" s="10" t="inlineStr">
        <is>
          <t>Tiếp thị / Marketing, Bán lẻ / Bán sỉ</t>
        </is>
      </c>
      <c r="K17492" s="10" t="inlineStr">
        <is>
          <t>2 - 5 Năm</t>
        </is>
      </c>
      <c r="L17492" s="11">
        <f>HYPERLINK("https://careerviet.vn/vi/tim-viec-lam/campaign-planner-specialist.35C64A0D.html","Xem chi tiết")</f>
        <v/>
      </c>
      <c r="M17492" s="10" t="n"/>
    </row>
    <row r="17493">
      <c r="B17493" s="7" t="n">
        <v>17491</v>
      </c>
      <c r="C17493" t="inlineStr">
        <is>
          <t>Chuyên Viên Video Editor - Nhận Việc Sau Tết</t>
        </is>
      </c>
      <c r="D17493" t="inlineStr">
        <is>
          <t>CÔNG TY CỔ PHẦN ĐẦU TƯ PHÁT TRIỂN THỦ THỪA</t>
        </is>
      </c>
      <c r="E17493" t="inlineStr">
        <is>
          <t>Lương:15 Tr - 25 Tr VND</t>
        </is>
      </c>
      <c r="F17493" t="inlineStr">
        <is>
          <t>Hồ Chí Minh</t>
        </is>
      </c>
      <c r="G17493" t="inlineStr">
        <is>
          <t>05-04-2026</t>
        </is>
      </c>
      <c r="H17493" t="inlineStr">
        <is>
          <t>05/04/2026</t>
        </is>
      </c>
      <c r="I17493" t="inlineStr">
        <is>
          <t>17/03/2026</t>
        </is>
      </c>
      <c r="J17493" t="inlineStr">
        <is>
          <t>Quảng cáo / Đối ngoại / Truyền Thông, Tổ chức sự kiện, Bất động sản</t>
        </is>
      </c>
      <c r="K17493" t="inlineStr">
        <is>
          <t>3 - 5 Năm</t>
        </is>
      </c>
      <c r="L17493" s="8">
        <f>HYPERLINK("https://careerviet.vn/vi/tim-viec-lam/chuyen-vien-video-editor-nhan-viec-sau-tet.35C67687.html","Xem chi tiết")</f>
        <v/>
      </c>
    </row>
    <row r="17494">
      <c r="B17494" s="9" t="n">
        <v>17492</v>
      </c>
      <c r="C17494" s="10" t="inlineStr">
        <is>
          <t>kế toán trưởng</t>
        </is>
      </c>
      <c r="D17494" s="10" t="inlineStr">
        <is>
          <t>Công ty Cổ phần Đầu tư Xây dựng HUD Kiên Giang</t>
        </is>
      </c>
      <c r="E17494" s="10" t="inlineStr">
        <is>
          <t>Lương:20 Tr - 30 Tr VND</t>
        </is>
      </c>
      <c r="F17494" s="10" t="inlineStr">
        <is>
          <t>Kiên Giang</t>
        </is>
      </c>
      <c r="G17494" s="10" t="inlineStr">
        <is>
          <t>05-04-2026</t>
        </is>
      </c>
      <c r="H17494" s="10" t="inlineStr">
        <is>
          <t>05/04/2026</t>
        </is>
      </c>
      <c r="I17494" s="10" t="inlineStr">
        <is>
          <t>17/03/2026</t>
        </is>
      </c>
      <c r="J17494" s="10" t="inlineStr">
        <is>
          <t>Kế toán / Kiểm toán</t>
        </is>
      </c>
      <c r="K17494" s="10" t="inlineStr">
        <is>
          <t>Trên 5 Năm</t>
        </is>
      </c>
      <c r="L17494" s="11">
        <f>HYPERLINK("https://careerviet.vn/vi/tim-viec-lam/ke-toan-truong.35C64842.html","Xem chi tiết")</f>
        <v/>
      </c>
      <c r="M17494" s="10" t="n"/>
    </row>
    <row r="17495">
      <c r="B17495" s="7" t="n">
        <v>17493</v>
      </c>
      <c r="C17495" t="inlineStr">
        <is>
          <t>Chuyên viên Kinh doanh - Vật tư tiêu hao Y tế - Khu vực Hồ Chí Minh</t>
        </is>
      </c>
      <c r="D17495" t="inlineStr">
        <is>
          <t>Công Ty Cổ Phần Y Tế Việt Tiến</t>
        </is>
      </c>
      <c r="E17495" t="inlineStr">
        <is>
          <t>Lương:Cạnh tranh</t>
        </is>
      </c>
      <c r="F17495" t="inlineStr">
        <is>
          <t>Hồ Chí Minh</t>
        </is>
      </c>
      <c r="G17495" t="inlineStr">
        <is>
          <t>05-04-2026</t>
        </is>
      </c>
      <c r="H17495" t="inlineStr">
        <is>
          <t>05/04/2026</t>
        </is>
      </c>
      <c r="I17495" t="inlineStr">
        <is>
          <t>17/03/2026</t>
        </is>
      </c>
      <c r="J17495" t="inlineStr">
        <is>
          <t>Bán hàng / Kinh doanh, Dược phẩm/ Hóa Mỹ Phẩm, Y tế / Chăm sóc sức khỏe / Thẩm mỹ / Làm đẹp</t>
        </is>
      </c>
      <c r="K17495" t="inlineStr">
        <is>
          <t>1 - 3 Năm</t>
        </is>
      </c>
      <c r="L17495" s="8">
        <f>HYPERLINK("https://careerviet.vn/vi/tim-viec-lam/chuyen-vien-kinh-doanh-vat-tu-tieu-hao-y-te-khu-vuc-ho-chi-minh.35C67712.html","Xem chi tiết")</f>
        <v/>
      </c>
    </row>
    <row r="17496">
      <c r="B17496" s="9" t="n">
        <v>17494</v>
      </c>
      <c r="C17496" s="10" t="inlineStr">
        <is>
          <t>Chuyên viên Kinh doanh - Ngành hàng Chẩn đoán hình ảnh (Product GE Healthcare)</t>
        </is>
      </c>
      <c r="D17496" s="10" t="inlineStr">
        <is>
          <t>Công Ty Cổ Phần Y Tế Việt Tiến</t>
        </is>
      </c>
      <c r="E17496" s="10" t="inlineStr">
        <is>
          <t>Lương:Cạnh tranh</t>
        </is>
      </c>
      <c r="F17496" s="10" t="inlineStr">
        <is>
          <t>Hồ Chí Minh</t>
        </is>
      </c>
      <c r="G17496" s="10" t="inlineStr">
        <is>
          <t>05-04-2026</t>
        </is>
      </c>
      <c r="H17496" s="10" t="inlineStr">
        <is>
          <t>05/04/2026</t>
        </is>
      </c>
      <c r="I17496" s="10" t="inlineStr">
        <is>
          <t>17/03/2026</t>
        </is>
      </c>
      <c r="J17496" s="10" t="inlineStr">
        <is>
          <t>Y tế / Chăm sóc sức khỏe / Thẩm mỹ / Làm đẹp</t>
        </is>
      </c>
      <c r="K17496" s="10" t="inlineStr">
        <is>
          <t>Trên 2 Năm</t>
        </is>
      </c>
      <c r="L17496" s="11">
        <f>HYPERLINK("https://careerviet.vn/vi/tim-viec-lam/chuyen-vien-kinh-doanh-nganh-hang-chan-doan-hinh-anh-product-ge-healthcare.35C67725.html","Xem chi tiết")</f>
        <v/>
      </c>
      <c r="M17496" s="10" t="n"/>
    </row>
    <row r="17497">
      <c r="B17497" s="7" t="n">
        <v>17495</v>
      </c>
      <c r="C17497" t="inlineStr">
        <is>
          <t>NHÂN VIÊN THAO TÁC MÁY BẮN CÁT</t>
        </is>
      </c>
      <c r="D17497" t="inlineStr">
        <is>
          <t>CÔNG TY TNHH POUYUEN VIỆT NAM</t>
        </is>
      </c>
      <c r="E17497" t="inlineStr">
        <is>
          <t>Lương:Trên 6 Tr VND</t>
        </is>
      </c>
      <c r="F17497" t="inlineStr">
        <is>
          <t>Hồ Chí Minh</t>
        </is>
      </c>
      <c r="G17497" t="inlineStr">
        <is>
          <t>05-04-2026</t>
        </is>
      </c>
      <c r="H17497" t="inlineStr">
        <is>
          <t>05/04/2026</t>
        </is>
      </c>
      <c r="I17497" t="inlineStr">
        <is>
          <t>17/03/2026</t>
        </is>
      </c>
      <c r="J17497" t="inlineStr">
        <is>
          <t>Lao động phổ thông, Cơ khí / Ô tô / Tự động hóa, Sản xuất / Vận hành sản xuất</t>
        </is>
      </c>
      <c r="K17497" t="inlineStr">
        <is>
          <t>N/A</t>
        </is>
      </c>
      <c r="L17497" s="8">
        <f>HYPERLINK("https://careerviet.vn/vi/tim-viec-lam/nhan-vien-thao-tac-may-ban-cat.35C678AC.html","Xem chi tiết")</f>
        <v/>
      </c>
    </row>
    <row r="17498">
      <c r="B17498" s="9" t="n">
        <v>17496</v>
      </c>
      <c r="C17498" s="10" t="inlineStr">
        <is>
          <t>Kỹ thuật viên PT</t>
        </is>
      </c>
      <c r="D17498" s="10" t="inlineStr">
        <is>
          <t>CÔNG TY TNHH QISDA VIỆT NAM</t>
        </is>
      </c>
      <c r="E17498" s="10" t="inlineStr">
        <is>
          <t>Lương:10 Tr - 18 Tr VND</t>
        </is>
      </c>
      <c r="F17498" s="10" t="inlineStr">
        <is>
          <t>Hà Nam</t>
        </is>
      </c>
      <c r="G17498" s="10" t="inlineStr">
        <is>
          <t>05-04-2026</t>
        </is>
      </c>
      <c r="H17498" s="10" t="inlineStr">
        <is>
          <t>05/04/2026</t>
        </is>
      </c>
      <c r="I17498" s="10" t="inlineStr">
        <is>
          <t>17/03/2026</t>
        </is>
      </c>
      <c r="J17498" s="10" t="inlineStr">
        <is>
          <t>Sản xuất / Vận hành sản xuất</t>
        </is>
      </c>
      <c r="K17498" s="10" t="inlineStr">
        <is>
          <t>N/A</t>
        </is>
      </c>
      <c r="L17498" s="11">
        <f>HYPERLINK("https://careerviet.vn/vi/tim-viec-lam/ky-thuat-vien-pt.35C677DA.html","Xem chi tiết")</f>
        <v/>
      </c>
      <c r="M17498" s="10" t="n"/>
    </row>
    <row r="17499">
      <c r="B17499" s="7" t="n">
        <v>17497</v>
      </c>
      <c r="C17499" t="inlineStr">
        <is>
          <t>Chuyên Viên Quản Trị Dự Án Triển Khai Mảng Kế Toán Doanh Nghiệp/ERP</t>
        </is>
      </c>
      <c r="D17499" t="inlineStr">
        <is>
          <t>CÔNG TY CỔ PHẦN TẬP ĐOÀN PC1</t>
        </is>
      </c>
      <c r="E17499" t="inlineStr">
        <is>
          <t>Lương:Cạnh tranh</t>
        </is>
      </c>
      <c r="F17499" t="inlineStr">
        <is>
          <t>Hà Nội</t>
        </is>
      </c>
      <c r="G17499" t="inlineStr">
        <is>
          <t>05-04-2026</t>
        </is>
      </c>
      <c r="H17499" t="inlineStr">
        <is>
          <t>05/04/2026</t>
        </is>
      </c>
      <c r="I17499" t="inlineStr">
        <is>
          <t>17/03/2026</t>
        </is>
      </c>
      <c r="J17499" t="inlineStr">
        <is>
          <t>CNTT - Phần mềm, Kế toán / Kiểm toán, Tài chính / Đầu tư</t>
        </is>
      </c>
      <c r="K17499" t="inlineStr">
        <is>
          <t>3 - 5 Năm</t>
        </is>
      </c>
      <c r="L17499" s="8">
        <f>HYPERLINK("https://careerviet.vn/vi/tim-viec-lam/chuyen-vien-quan-tri-du-an-trien-khai-mang-ke-toan-doanh-nghiep-erp.35C678F1.html","Xem chi tiết")</f>
        <v/>
      </c>
    </row>
    <row r="17500">
      <c r="B17500" s="9" t="n">
        <v>17498</v>
      </c>
      <c r="C17500" s="10" t="inlineStr">
        <is>
          <t>[Lạng Sơn] Giám Sát Kinh Doanh Bán Hàng Trả Góp</t>
        </is>
      </c>
      <c r="D17500" s="10" t="inlineStr">
        <is>
          <t>Công Ty Tài Chính Mirae Asset (Việt Nam)</t>
        </is>
      </c>
      <c r="E17500" s="10" t="inlineStr">
        <is>
          <t>Lương:Cạnh tranh</t>
        </is>
      </c>
      <c r="F17500" s="10" t="inlineStr">
        <is>
          <t>Lào CaiKV Bắc Trung BộĐiện Biên</t>
        </is>
      </c>
      <c r="G17500" s="10" t="inlineStr">
        <is>
          <t>05-04-2026</t>
        </is>
      </c>
      <c r="H17500" s="10" t="inlineStr">
        <is>
          <t>05/04/2026</t>
        </is>
      </c>
      <c r="I17500" s="10" t="inlineStr">
        <is>
          <t>17/03/2026</t>
        </is>
      </c>
      <c r="J17500" s="10" t="inlineStr">
        <is>
          <t>Bán hàng / Kinh doanh, Tài chính / Đầu tư, Dịch vụ khách hàng</t>
        </is>
      </c>
      <c r="K17500" s="10" t="inlineStr">
        <is>
          <t>2 - 3 Năm</t>
        </is>
      </c>
      <c r="L17500" s="11">
        <f>HYPERLINK("https://careerviet.vn/vi/tim-viec-lam/lang-son-giam-sat-kinh-doanh-ban-hang-tra-gop.35C6494A.html","Xem chi tiết")</f>
        <v/>
      </c>
      <c r="M17500" s="10" t="n"/>
    </row>
    <row r="17501">
      <c r="B17501" s="7" t="n">
        <v>17499</v>
      </c>
      <c r="C17501" t="inlineStr">
        <is>
          <t>Tuyển 3D  VFX Artist</t>
        </is>
      </c>
      <c r="D17501" t="inlineStr">
        <is>
          <t>CÔNG TY TNHH CA ADVANCE VIỆT NAM</t>
        </is>
      </c>
      <c r="E17501" t="inlineStr">
        <is>
          <t>Lương:Cạnh tranh</t>
        </is>
      </c>
      <c r="F17501" t="inlineStr">
        <is>
          <t>Hồ Chí Minh</t>
        </is>
      </c>
      <c r="G17501" t="inlineStr">
        <is>
          <t>05-04-2026</t>
        </is>
      </c>
      <c r="H17501" t="inlineStr">
        <is>
          <t>05/04/2026</t>
        </is>
      </c>
      <c r="I17501" t="inlineStr">
        <is>
          <t>17/03/2026</t>
        </is>
      </c>
      <c r="J17501" t="inlineStr">
        <is>
          <t>Mỹ thuật / Nghệ thuật / Thiết kế, Giải trí, Ngành khác</t>
        </is>
      </c>
      <c r="K17501" t="inlineStr">
        <is>
          <t>3 - 5 Năm</t>
        </is>
      </c>
      <c r="L17501" s="8">
        <f>HYPERLINK("https://careerviet.vn/vi/tim-viec-lam/tuyen-3d-vfx-artist.35C64856.html","Xem chi tiết")</f>
        <v/>
      </c>
    </row>
    <row r="17502">
      <c r="B17502" s="9" t="n">
        <v>17500</v>
      </c>
      <c r="C17502" s="10" t="inlineStr">
        <is>
          <t>Giám Sát Kinh Doanh (Distributor Account Supervisor/Manager) GT - Central</t>
        </is>
      </c>
      <c r="D17502" s="10" t="inlineStr">
        <is>
          <t>Marico South East Asia Corporation</t>
        </is>
      </c>
      <c r="E17502" s="10" t="inlineStr">
        <is>
          <t>Lương:Cạnh tranh</t>
        </is>
      </c>
      <c r="F17502" s="10" t="inlineStr">
        <is>
          <t>Khác</t>
        </is>
      </c>
      <c r="G17502" s="10" t="inlineStr">
        <is>
          <t>05-04-2026</t>
        </is>
      </c>
      <c r="H17502" s="10" t="inlineStr">
        <is>
          <t>05/04/2026</t>
        </is>
      </c>
      <c r="I17502" s="10" t="inlineStr">
        <is>
          <t>17/03/2026</t>
        </is>
      </c>
      <c r="J17502" s="10" t="inlineStr">
        <is>
          <t>Bán hàng / Kinh doanh</t>
        </is>
      </c>
      <c r="K17502" s="10" t="inlineStr">
        <is>
          <t>Trên 3 Năm</t>
        </is>
      </c>
      <c r="L17502" s="11">
        <f>HYPERLINK("https://careerviet.vn/vi/tim-viec-lam/giam-sat-kinh-doanh-distributor-account-supervisor-manager-gt-central.35C676FF.html","Xem chi tiết")</f>
        <v/>
      </c>
      <c r="M17502" s="10" t="n"/>
    </row>
    <row r="17503">
      <c r="B17503" s="7" t="n">
        <v>17501</v>
      </c>
      <c r="C17503" t="inlineStr">
        <is>
          <t>Kỹ Sư Bảo Trì Cơ Khí</t>
        </is>
      </c>
      <c r="D17503" t="inlineStr">
        <is>
          <t>Tập Đoàn Kim Tín</t>
        </is>
      </c>
      <c r="E17503" t="inlineStr">
        <is>
          <t>Lương:Cạnh tranh</t>
        </is>
      </c>
      <c r="F17503" t="inlineStr">
        <is>
          <t>Bình Phước</t>
        </is>
      </c>
      <c r="G17503" t="inlineStr">
        <is>
          <t>05-04-2026</t>
        </is>
      </c>
      <c r="H17503" t="inlineStr">
        <is>
          <t>05/04/2026</t>
        </is>
      </c>
      <c r="I17503" t="inlineStr">
        <is>
          <t>17/03/2026</t>
        </is>
      </c>
      <c r="J17503" t="inlineStr">
        <is>
          <t>Cơ khí / Ô tô / Tự động hóa, Nội ngoại thất, Sản xuất / Vận hành sản xuất</t>
        </is>
      </c>
      <c r="K17503" t="inlineStr">
        <is>
          <t>Trên 1 Năm</t>
        </is>
      </c>
      <c r="L17503" s="8">
        <f>HYPERLINK("https://careerviet.vn/vi/tim-viec-lam/ky-su-bao-tri-co-khi.35C67864.html","Xem chi tiết")</f>
        <v/>
      </c>
    </row>
    <row r="17504">
      <c r="B17504" s="9" t="n">
        <v>17502</v>
      </c>
      <c r="C17504" s="10" t="inlineStr">
        <is>
          <t>Kỹ sư thiết kế (18-22tr)</t>
        </is>
      </c>
      <c r="D17504" s="10" t="inlineStr">
        <is>
          <t>Công ty cổ phần Xây dựng Công trình IPC</t>
        </is>
      </c>
      <c r="E17504" s="10" t="inlineStr">
        <is>
          <t>Lương:18 Tr - 22 Tr VND</t>
        </is>
      </c>
      <c r="F17504" s="10" t="inlineStr">
        <is>
          <t>Hồ Chí Minh</t>
        </is>
      </c>
      <c r="G17504" s="10" t="inlineStr">
        <is>
          <t>05-04-2026</t>
        </is>
      </c>
      <c r="H17504" s="10" t="inlineStr">
        <is>
          <t>05/04/2026</t>
        </is>
      </c>
      <c r="I17504" s="10" t="inlineStr">
        <is>
          <t>17/03/2026</t>
        </is>
      </c>
      <c r="J17504" s="10" t="inlineStr">
        <is>
          <t>Điện / Điện tử / Điện lạnh / Điện công nghiệp</t>
        </is>
      </c>
      <c r="K17504" s="10" t="inlineStr">
        <is>
          <t>Trên 1 Năm</t>
        </is>
      </c>
      <c r="L17504" s="11">
        <f>HYPERLINK("https://careerviet.vn/vi/tim-viec-lam/ky-su-thiet-ke-18-22tr.35C64824.html","Xem chi tiết")</f>
        <v/>
      </c>
      <c r="M17504" s="10" t="n"/>
    </row>
    <row r="17505">
      <c r="B17505" s="7" t="n">
        <v>17503</v>
      </c>
      <c r="C17505" t="inlineStr">
        <is>
          <t>Kế Toán Tổng Hợp (KCS)</t>
        </is>
      </c>
      <c r="D17505" t="inlineStr">
        <is>
          <t>CÔNG TY TNHH XÂY DỰNG TỰ LẬP</t>
        </is>
      </c>
      <c r="E17505" t="inlineStr">
        <is>
          <t>Lương:Cạnh tranh</t>
        </is>
      </c>
      <c r="F17505" t="inlineStr">
        <is>
          <t>Phú Thọ</t>
        </is>
      </c>
      <c r="G17505" t="inlineStr">
        <is>
          <t>05-04-2026</t>
        </is>
      </c>
      <c r="H17505" t="inlineStr">
        <is>
          <t>05/04/2026</t>
        </is>
      </c>
      <c r="I17505" t="inlineStr">
        <is>
          <t>17/03/2026</t>
        </is>
      </c>
      <c r="J17505" t="inlineStr">
        <is>
          <t>Luật / Pháp lý, Kế toán / Kiểm toán, Tài chính / Đầu tư</t>
        </is>
      </c>
      <c r="K17505" t="inlineStr">
        <is>
          <t>Trên 5 Năm</t>
        </is>
      </c>
      <c r="L17505" s="8">
        <f>HYPERLINK("https://careerviet.vn/vi/tim-viec-lam/ke-toan-tong-hop-kcs.35C649D2.html","Xem chi tiết")</f>
        <v/>
      </c>
    </row>
    <row r="17506">
      <c r="B17506" s="9" t="n">
        <v>17504</v>
      </c>
      <c r="C17506" s="10" t="inlineStr">
        <is>
          <t>Kỹ Sư Cơ khí – Thiết Bị Nhà Máy MDF/HDF</t>
        </is>
      </c>
      <c r="D17506" s="10" t="inlineStr">
        <is>
          <t>Tập Đoàn Kim Tín</t>
        </is>
      </c>
      <c r="E17506" s="10" t="inlineStr">
        <is>
          <t>Lương:Cạnh tranh</t>
        </is>
      </c>
      <c r="F17506" s="10" t="inlineStr">
        <is>
          <t>Bình Phước</t>
        </is>
      </c>
      <c r="G17506" s="10" t="inlineStr">
        <is>
          <t>05-04-2026</t>
        </is>
      </c>
      <c r="H17506" s="10" t="inlineStr">
        <is>
          <t>05/04/2026</t>
        </is>
      </c>
      <c r="I17506" s="10" t="inlineStr">
        <is>
          <t>17/03/2026</t>
        </is>
      </c>
      <c r="J17506" s="10" t="inlineStr">
        <is>
          <t>Cơ khí / Ô tô / Tự động hóa, Nội ngoại thất, Sản xuất / Vận hành sản xuất</t>
        </is>
      </c>
      <c r="K17506" s="10" t="inlineStr">
        <is>
          <t>Lên đến 1 NămĐịa điểm</t>
        </is>
      </c>
      <c r="L17506" s="11">
        <f>HYPERLINK("https://careerviet.vn/vi/tim-viec-lam/ky-su-co-khi-thiet-bi-nha-may-mdf-hdf.35C6785B.html","Xem chi tiết")</f>
        <v/>
      </c>
      <c r="M17506" s="10" t="n"/>
    </row>
    <row r="17507">
      <c r="B17507" s="7" t="n">
        <v>17505</v>
      </c>
      <c r="C17507" t="inlineStr">
        <is>
          <t>[PHENIKAA UNI] Giảng Viên Cơ hữu ngành Truyền thông đa phương tiện</t>
        </is>
      </c>
      <c r="D17507" t="inlineStr">
        <is>
          <t>ĐẠI HỌC PHENIKAA</t>
        </is>
      </c>
      <c r="E17507" t="inlineStr">
        <is>
          <t>Lương:Cạnh tranh</t>
        </is>
      </c>
      <c r="F17507" t="inlineStr">
        <is>
          <t>Hà Nội</t>
        </is>
      </c>
      <c r="G17507" t="inlineStr">
        <is>
          <t>05-04-2026</t>
        </is>
      </c>
      <c r="H17507" t="inlineStr">
        <is>
          <t>05/04/2026</t>
        </is>
      </c>
      <c r="I17507" t="inlineStr">
        <is>
          <t>17/03/2026</t>
        </is>
      </c>
      <c r="J17507" t="inlineStr">
        <is>
          <t>Tiếp thị / Marketing, Quảng cáo / Đối ngoại / Truyền Thông, Truyền hình / Báo chí / Biên tập</t>
        </is>
      </c>
      <c r="K17507" t="inlineStr">
        <is>
          <t>1 - 3 Năm</t>
        </is>
      </c>
      <c r="L17507" s="8">
        <f>HYPERLINK("https://careerviet.vn/vi/tim-viec-lam/phenikaa-uni-giang-vien-co-huu-nganh-truyen-thong-da-phuong-tien.35C66D2E.html","Xem chi tiết")</f>
        <v/>
      </c>
    </row>
    <row r="17508">
      <c r="B17508" s="9" t="n">
        <v>17506</v>
      </c>
      <c r="C17508" s="10" t="inlineStr">
        <is>
          <t>Nhân Viên Booking</t>
        </is>
      </c>
      <c r="D17508" s="10" t="inlineStr">
        <is>
          <t>CÔNG TY TNHH WELLNESS LIFESTYLE</t>
        </is>
      </c>
      <c r="E17508" s="10" t="inlineStr">
        <is>
          <t>Lương:Cạnh tranh</t>
        </is>
      </c>
      <c r="F17508" s="10" t="inlineStr">
        <is>
          <t>Hà Nội</t>
        </is>
      </c>
      <c r="G17508" s="10" t="inlineStr">
        <is>
          <t>05-04-2026</t>
        </is>
      </c>
      <c r="H17508" s="10" t="inlineStr">
        <is>
          <t>05/04/2026</t>
        </is>
      </c>
      <c r="I17508" s="10" t="inlineStr">
        <is>
          <t>17/03/2026</t>
        </is>
      </c>
      <c r="J17508" s="10" t="inlineStr">
        <is>
          <t>Dệt may / Da giày / Thời trang, Quảng cáo / Đối ngoại / Truyền Thông, Thương mại điện tử</t>
        </is>
      </c>
      <c r="K17508" s="10" t="inlineStr">
        <is>
          <t>Trên 1 Năm</t>
        </is>
      </c>
      <c r="L17508" s="11">
        <f>HYPERLINK("https://careerviet.vn/vi/tim-viec-lam/nhan-vien-booking.35C648B9.html","Xem chi tiết")</f>
        <v/>
      </c>
      <c r="M17508" s="10" t="n"/>
    </row>
    <row r="17509">
      <c r="B17509" s="7" t="n">
        <v>17507</v>
      </c>
      <c r="C17509" t="inlineStr">
        <is>
          <t>Head of Quality Assurance &amp; Laboratory</t>
        </is>
      </c>
      <c r="D17509" t="inlineStr">
        <is>
          <t>CÔNG TY TNHH DỆT LIÊN CHÂU</t>
        </is>
      </c>
      <c r="E17509" t="inlineStr">
        <is>
          <t>Lương:Cạnh tranh</t>
        </is>
      </c>
      <c r="F17509" t="inlineStr">
        <is>
          <t>Bình Dương</t>
        </is>
      </c>
      <c r="G17509" t="inlineStr">
        <is>
          <t>05-04-2026</t>
        </is>
      </c>
      <c r="H17509" t="inlineStr">
        <is>
          <t>05/04/2026</t>
        </is>
      </c>
      <c r="I17509" t="inlineStr">
        <is>
          <t>17/03/2026</t>
        </is>
      </c>
      <c r="J17509" t="inlineStr">
        <is>
          <t>Sản xuất / Vận hành sản xuất, Dệt may / Da giày / Thời trang, Quản lý chất lượng (QA/QC)</t>
        </is>
      </c>
      <c r="K17509" t="inlineStr">
        <is>
          <t>Trên 5 Năm</t>
        </is>
      </c>
      <c r="L17509" s="8">
        <f>HYPERLINK("https://careerviet.vn/vi/tim-viec-lam/head-of-quality-assurance-laboratory.35C6481B.html","Xem chi tiết")</f>
        <v/>
      </c>
    </row>
    <row r="17510">
      <c r="B17510" s="9" t="n">
        <v>17508</v>
      </c>
      <c r="C17510" s="10" t="inlineStr">
        <is>
          <t>HO - Khối Thị trường và Quản trị tài chính -  Chuyên viên Kinh doanh Thị trường tài chính</t>
        </is>
      </c>
      <c r="D17510" s="10" t="inlineStr">
        <is>
          <t>Ngân hàng TMCP Lộc Phát Việt Nam (LPBank)</t>
        </is>
      </c>
      <c r="E17510" s="10" t="inlineStr">
        <is>
          <t>Lương:Cạnh tranh</t>
        </is>
      </c>
      <c r="F17510" s="10" t="inlineStr">
        <is>
          <t>Hà Nội</t>
        </is>
      </c>
      <c r="G17510" s="10" t="inlineStr">
        <is>
          <t>05-04-2026</t>
        </is>
      </c>
      <c r="H17510" s="10" t="inlineStr">
        <is>
          <t>05/04/2026</t>
        </is>
      </c>
      <c r="I17510" s="10" t="inlineStr">
        <is>
          <t>17/03/2026</t>
        </is>
      </c>
      <c r="J17510" s="10" t="inlineStr">
        <is>
          <t>Bán hàng / Kinh doanh, Kế toán / Kiểm toán, Ngân hàng</t>
        </is>
      </c>
      <c r="K17510" s="10" t="inlineStr">
        <is>
          <t>Trên 1 Năm</t>
        </is>
      </c>
      <c r="L17510" s="11">
        <f>HYPERLINK("https://careerviet.vn/vi/tim-viec-lam/ho-khoi-thi-truong-va-quan-tri-tai-chinh-chuyen-vien-kinh-doanh-thi-truong-tai-chinh.35C64850.html","Xem chi tiết")</f>
        <v/>
      </c>
      <c r="M17510" s="10" t="n"/>
    </row>
    <row r="17511">
      <c r="B17511" s="7" t="n">
        <v>17509</v>
      </c>
      <c r="C17511" t="inlineStr">
        <is>
          <t>Giáo viên Mỹ thuật - Quận 12 - Pathway School</t>
        </is>
      </c>
      <c r="D17511" t="inlineStr">
        <is>
          <t>Hệ thống trường Pathway</t>
        </is>
      </c>
      <c r="E17511" t="inlineStr">
        <is>
          <t>Lương:Cạnh tranh</t>
        </is>
      </c>
      <c r="F17511" t="inlineStr">
        <is>
          <t>Hồ Chí Minh</t>
        </is>
      </c>
      <c r="G17511" t="inlineStr">
        <is>
          <t>05-04-2026</t>
        </is>
      </c>
      <c r="H17511" t="inlineStr">
        <is>
          <t>05/04/2026</t>
        </is>
      </c>
      <c r="I17511" t="inlineStr">
        <is>
          <t>17/03/2026</t>
        </is>
      </c>
      <c r="J17511" t="inlineStr">
        <is>
          <t>Giáo dục / Đào tạo, Mỹ thuật / Nghệ thuật / Thiết kế</t>
        </is>
      </c>
      <c r="K17511" t="inlineStr">
        <is>
          <t>1 - 2 Năm</t>
        </is>
      </c>
      <c r="L17511" s="8">
        <f>HYPERLINK("https://careerviet.vn/vi/tim-viec-lam/giao-vien-my-thuat-quan-12-pathway-school.35C67854.html","Xem chi tiết")</f>
        <v/>
      </c>
    </row>
    <row r="17512">
      <c r="B17512" s="9" t="n">
        <v>17510</v>
      </c>
      <c r="C17512" s="10" t="inlineStr">
        <is>
          <t>Kiến trúc sư thiết kế nội thất</t>
        </is>
      </c>
      <c r="D17512" s="10" t="inlineStr">
        <is>
          <t>TỔNG CÔNG TY CỔ PHẦN THƯƠNG MẠI XÂY DỰNG</t>
        </is>
      </c>
      <c r="E17512" s="10" t="inlineStr">
        <is>
          <t>Lương:25 Tr - 40 Tr VND</t>
        </is>
      </c>
      <c r="F17512" s="10" t="inlineStr">
        <is>
          <t>Hà Nội</t>
        </is>
      </c>
      <c r="G17512" s="10" t="inlineStr">
        <is>
          <t>05-04-2026</t>
        </is>
      </c>
      <c r="H17512" s="10" t="inlineStr">
        <is>
          <t>05/04/2026</t>
        </is>
      </c>
      <c r="I17512" s="10" t="inlineStr">
        <is>
          <t>17/03/2026</t>
        </is>
      </c>
      <c r="J17512" s="10" t="inlineStr">
        <is>
          <t>Kiến trúc, Xây dựng, Nội ngoại thất</t>
        </is>
      </c>
      <c r="K17512" s="10" t="inlineStr">
        <is>
          <t>Trên 3 Năm</t>
        </is>
      </c>
      <c r="L17512" s="11">
        <f>HYPERLINK("https://careerviet.vn/vi/tim-viec-lam/kien-truc-su-thiet-ke-noi-that.35C67656.html","Xem chi tiết")</f>
        <v/>
      </c>
      <c r="M17512" s="10" t="n"/>
    </row>
    <row r="17513">
      <c r="B17513" s="7" t="n">
        <v>17511</v>
      </c>
      <c r="C17513" t="inlineStr">
        <is>
          <t>NV Đặt phụ liệu (Trim Purchaser)</t>
        </is>
      </c>
      <c r="D17513" t="inlineStr">
        <is>
          <t>Công ty TNHH, Liên Doanh Vĩnh Hưng (TMI Việt Nam)</t>
        </is>
      </c>
      <c r="E17513" t="inlineStr">
        <is>
          <t>Lương:11 Tr - 15 Tr VND</t>
        </is>
      </c>
      <c r="F17513" t="inlineStr">
        <is>
          <t>Hồ Chí Minh</t>
        </is>
      </c>
      <c r="G17513" t="inlineStr">
        <is>
          <t>05-04-2026</t>
        </is>
      </c>
      <c r="H17513" t="inlineStr">
        <is>
          <t>05/04/2026</t>
        </is>
      </c>
      <c r="I17513" t="inlineStr">
        <is>
          <t>17/03/2026</t>
        </is>
      </c>
      <c r="J17513" t="inlineStr">
        <is>
          <t>Biên phiên dịch, Dệt may / Da giày / Thời trang, Thu mua / Vật tư</t>
        </is>
      </c>
      <c r="K17513" t="inlineStr">
        <is>
          <t>Lên đến 5 Năm</t>
        </is>
      </c>
      <c r="L17513" s="8">
        <f>HYPERLINK("https://careerviet.vn/vi/tim-viec-lam/nv-dat-phu-lieu-trim-purchaser.35C6761C.html","Xem chi tiết")</f>
        <v/>
      </c>
    </row>
    <row r="17514">
      <c r="B17514" s="9" t="n">
        <v>17512</v>
      </c>
      <c r="C17514" s="10" t="inlineStr">
        <is>
          <t>Chuyên viên Phân tích nghiệp vụ</t>
        </is>
      </c>
      <c r="D17514" s="10" t="inlineStr">
        <is>
          <t>NGÂN HÀNG TRÁCH NHIỆM HỮU HẠN MỘT THÀNH VIÊN VIỆT NAM HIỆN ĐẠI</t>
        </is>
      </c>
      <c r="E17514" s="10" t="inlineStr">
        <is>
          <t>Lương:Cạnh tranh</t>
        </is>
      </c>
      <c r="F17514" s="10" t="inlineStr">
        <is>
          <t>Hà Nội</t>
        </is>
      </c>
      <c r="G17514" s="10" t="inlineStr">
        <is>
          <t>05-04-2026</t>
        </is>
      </c>
      <c r="H17514" s="10" t="inlineStr">
        <is>
          <t>05/04/2026</t>
        </is>
      </c>
      <c r="I17514" s="10" t="inlineStr">
        <is>
          <t>17/03/2026</t>
        </is>
      </c>
      <c r="J17514" s="10" t="inlineStr">
        <is>
          <t>CNTT - Phần mềm</t>
        </is>
      </c>
      <c r="K17514" s="10" t="inlineStr">
        <is>
          <t>2 - 5 Năm</t>
        </is>
      </c>
      <c r="L17514" s="11">
        <f>HYPERLINK("https://careerviet.vn/vi/tim-viec-lam/chuyen-vien-phan-tich-nghiep-vu.35C648EA.html","Xem chi tiết")</f>
        <v/>
      </c>
      <c r="M17514" s="10" t="n"/>
    </row>
    <row r="17515">
      <c r="B17515" s="7" t="n">
        <v>17513</v>
      </c>
      <c r="C17515" t="inlineStr">
        <is>
          <t>Chuyên Viên Thiết Kế - Nhận Việc Sau Tết</t>
        </is>
      </c>
      <c r="D17515" t="inlineStr">
        <is>
          <t>CÔNG TY CỔ PHẦN ĐẦU TƯ PHÁT TRIỂN THỦ THỪA</t>
        </is>
      </c>
      <c r="E17515" t="inlineStr">
        <is>
          <t>Lương:15 Tr - 25 Tr VND</t>
        </is>
      </c>
      <c r="F17515" t="inlineStr">
        <is>
          <t>Hồ Chí Minh</t>
        </is>
      </c>
      <c r="G17515" t="inlineStr">
        <is>
          <t>05-04-2026</t>
        </is>
      </c>
      <c r="H17515" t="inlineStr">
        <is>
          <t>05/04/2026</t>
        </is>
      </c>
      <c r="I17515" t="inlineStr">
        <is>
          <t>17/03/2026</t>
        </is>
      </c>
      <c r="J17515" t="inlineStr">
        <is>
          <t>Tiếp thị / Marketing, Mỹ thuật / Nghệ thuật / Thiết kế, Bất động sản</t>
        </is>
      </c>
      <c r="K17515" t="inlineStr">
        <is>
          <t>3 - 5 Năm</t>
        </is>
      </c>
      <c r="L17515" s="8">
        <f>HYPERLINK("https://careerviet.vn/vi/tim-viec-lam/chuyen-vien-thiet-ke-nhan-viec-sau-tet.35C67642.html","Xem chi tiết")</f>
        <v/>
      </c>
    </row>
    <row r="17516">
      <c r="B17516" s="9" t="n">
        <v>17514</v>
      </c>
      <c r="C17516" s="10" t="inlineStr">
        <is>
          <t>Quản Lý Công Trình</t>
        </is>
      </c>
      <c r="D17516" s="10" t="inlineStr">
        <is>
          <t>CÔNG TY TNHH XÂY DỰNG TỰ LẬP</t>
        </is>
      </c>
      <c r="E17516" s="10" t="inlineStr">
        <is>
          <t>Lương:Cạnh tranh</t>
        </is>
      </c>
      <c r="F17516" s="10" t="inlineStr">
        <is>
          <t>Phú Thọ</t>
        </is>
      </c>
      <c r="G17516" s="10" t="inlineStr">
        <is>
          <t>05-04-2026</t>
        </is>
      </c>
      <c r="H17516" s="10" t="inlineStr">
        <is>
          <t>05/04/2026</t>
        </is>
      </c>
      <c r="I17516" s="10" t="inlineStr">
        <is>
          <t>17/03/2026</t>
        </is>
      </c>
      <c r="J17516" s="10" t="inlineStr">
        <is>
          <t>Thu mua / Vật tư, Kiến trúc, Xây dựng</t>
        </is>
      </c>
      <c r="K17516" s="10" t="inlineStr">
        <is>
          <t>N/A</t>
        </is>
      </c>
      <c r="L17516" s="11">
        <f>HYPERLINK("https://careerviet.vn/vi/tim-viec-lam/quan-ly-cong-trinh.35C649C8.html","Xem chi tiết")</f>
        <v/>
      </c>
      <c r="M17516" s="10" t="n"/>
    </row>
    <row r="17517">
      <c r="B17517" s="7" t="n">
        <v>17515</v>
      </c>
      <c r="C17517" t="inlineStr">
        <is>
          <t>[Miền Trung] Nhân Viên Tư Vấn Tín Dụng</t>
        </is>
      </c>
      <c r="D17517" t="inlineStr">
        <is>
          <t>Công Ty Tài Chính Mirae Asset (Việt Nam)</t>
        </is>
      </c>
      <c r="E17517" t="inlineStr">
        <is>
          <t>Lương:Cạnh tranh</t>
        </is>
      </c>
      <c r="F17517" t="inlineStr">
        <is>
          <t>KV Nam Trung BộKV Tây NguyênĐà Nẵng</t>
        </is>
      </c>
      <c r="G17517" t="inlineStr">
        <is>
          <t>05-04-2026</t>
        </is>
      </c>
      <c r="H17517" t="inlineStr">
        <is>
          <t>05/04/2026</t>
        </is>
      </c>
      <c r="I17517" t="inlineStr">
        <is>
          <t>17/03/2026</t>
        </is>
      </c>
      <c r="J17517" t="inlineStr">
        <is>
          <t>Bảo hiểm, Bất động sản, Bán hàng / Kinh doanh</t>
        </is>
      </c>
      <c r="K17517" t="inlineStr">
        <is>
          <t>Chưa có kinh nghiệm</t>
        </is>
      </c>
      <c r="L17517" s="8">
        <f>HYPERLINK("https://careerviet.vn/vi/tim-viec-lam/mien-trung-nhan-vien-tu-van-tin-dung.35C64A0A.html","Xem chi tiết")</f>
        <v/>
      </c>
    </row>
    <row r="17518">
      <c r="B17518" s="9" t="n">
        <v>17516</v>
      </c>
      <c r="C17518" s="10" t="inlineStr">
        <is>
          <t>Chuyên gia Quản trị Cơ sở Dữ liệu</t>
        </is>
      </c>
      <c r="D17518" s="10" t="inlineStr">
        <is>
          <t>LOTTE FINANCE VIETNAM</t>
        </is>
      </c>
      <c r="E17518" s="10" t="inlineStr">
        <is>
          <t>Lương:Cạnh tranh</t>
        </is>
      </c>
      <c r="F17518" s="10" t="inlineStr">
        <is>
          <t>Hà Nội</t>
        </is>
      </c>
      <c r="G17518" s="10" t="inlineStr">
        <is>
          <t>05-04-2026</t>
        </is>
      </c>
      <c r="H17518" s="10" t="inlineStr">
        <is>
          <t>05/04/2026</t>
        </is>
      </c>
      <c r="I17518" s="10" t="inlineStr">
        <is>
          <t>17/03/2026</t>
        </is>
      </c>
      <c r="J17518" s="10" t="inlineStr">
        <is>
          <t>CNTT - Phần cứng / Mạng, CNTT - Phần mềm</t>
        </is>
      </c>
      <c r="K17518" s="10" t="inlineStr">
        <is>
          <t>Trên 7 Năm</t>
        </is>
      </c>
      <c r="L17518" s="11">
        <f>HYPERLINK("https://careerviet.vn/vi/tim-viec-lam/chuyen-gia-quan-tri-co-so-du-lieu.35C64A1F.html","Xem chi tiết")</f>
        <v/>
      </c>
      <c r="M17518" s="10" t="n"/>
    </row>
    <row r="17519">
      <c r="B17519" s="7" t="n">
        <v>17517</v>
      </c>
      <c r="C17519" t="inlineStr">
        <is>
          <t>Kỹ Thuật Hiện Trường Lương từ 19tr - 30tr</t>
        </is>
      </c>
      <c r="D17519" t="inlineStr">
        <is>
          <t>CÔNG TY TNHH XÂY DỰNG TỰ LẬP</t>
        </is>
      </c>
      <c r="E17519" t="inlineStr">
        <is>
          <t>Lương:19 Tr - 30 Tr VND</t>
        </is>
      </c>
      <c r="F17519" t="inlineStr">
        <is>
          <t>Phú Thọ</t>
        </is>
      </c>
      <c r="G17519" t="inlineStr">
        <is>
          <t>05-04-2026</t>
        </is>
      </c>
      <c r="H17519" t="inlineStr">
        <is>
          <t>05/04/2026</t>
        </is>
      </c>
      <c r="I17519" t="inlineStr">
        <is>
          <t>17/03/2026</t>
        </is>
      </c>
      <c r="J17519" t="inlineStr">
        <is>
          <t>Mới tốt nghiệp / Thực tập, Xây dựng, Kiến trúc</t>
        </is>
      </c>
      <c r="K17519" t="inlineStr">
        <is>
          <t>N/A</t>
        </is>
      </c>
      <c r="L17519" s="8">
        <f>HYPERLINK("https://careerviet.vn/vi/tim-viec-lam/ky-thuat-hien-truong-luong-tu-19tr-30tr.35C649FE.html","Xem chi tiết")</f>
        <v/>
      </c>
    </row>
    <row r="17520">
      <c r="B17520" s="9" t="n">
        <v>17518</v>
      </c>
      <c r="C17520" s="10" t="inlineStr">
        <is>
          <t>Customer Service Officer</t>
        </is>
      </c>
      <c r="D17520" s="10" t="inlineStr">
        <is>
          <t>Rochdale Spears Co., Ltd.</t>
        </is>
      </c>
      <c r="E17520" s="10" t="inlineStr">
        <is>
          <t>Lương:Cạnh tranh</t>
        </is>
      </c>
      <c r="F17520" s="10" t="inlineStr">
        <is>
          <t>Bình DươngBình Phước</t>
        </is>
      </c>
      <c r="G17520" s="10" t="inlineStr">
        <is>
          <t>05-04-2026</t>
        </is>
      </c>
      <c r="H17520" s="10" t="inlineStr">
        <is>
          <t>05/04/2026</t>
        </is>
      </c>
      <c r="I17520" s="10" t="inlineStr">
        <is>
          <t>17/03/2026</t>
        </is>
      </c>
      <c r="J17520" s="10" t="inlineStr">
        <is>
          <t>Nội ngoại thất, Sản xuất / Vận hành sản xuất, Đồ gỗ</t>
        </is>
      </c>
      <c r="K17520" s="10" t="inlineStr">
        <is>
          <t>1 - 3 Năm</t>
        </is>
      </c>
      <c r="L17520" s="11">
        <f>HYPERLINK("https://careerviet.vn/vi/tim-viec-lam/customer-service-officer.35C6789A.html","Xem chi tiết")</f>
        <v/>
      </c>
      <c r="M17520" s="10" t="n"/>
    </row>
    <row r="17521">
      <c r="B17521" s="7" t="n">
        <v>17519</v>
      </c>
      <c r="C17521" t="inlineStr">
        <is>
          <t>[HO-HCM] - Chuyên gia/Chuyên viên cao cấp Quản lý chất lượng nợ - Ngân hàng doanh nghiệp</t>
        </is>
      </c>
      <c r="D17521" t="inlineStr">
        <is>
          <t>Ngân hàng TMCP Phát triển TP.HCM (HDBank)</t>
        </is>
      </c>
      <c r="E17521" t="inlineStr">
        <is>
          <t>Lương:18 Tr - 35 Tr VND</t>
        </is>
      </c>
      <c r="F17521" t="inlineStr">
        <is>
          <t>Hồ Chí Minh</t>
        </is>
      </c>
      <c r="G17521" t="inlineStr">
        <is>
          <t>05-04-2026</t>
        </is>
      </c>
      <c r="H17521" t="inlineStr">
        <is>
          <t>05/04/2026</t>
        </is>
      </c>
      <c r="I17521" t="inlineStr">
        <is>
          <t>17/03/2026</t>
        </is>
      </c>
      <c r="J17521" t="inlineStr">
        <is>
          <t>Ngân hàng, Chứng khoán, Tài chính / Đầu tư</t>
        </is>
      </c>
      <c r="K17521" t="inlineStr">
        <is>
          <t>3 - 10 Năm</t>
        </is>
      </c>
      <c r="L17521" s="8">
        <f>HYPERLINK("https://careerviet.vn/vi/tim-viec-lam/ho-hcm-chuyen-gia-chuyen-vien-cao-cap-quan-ly-chat-luong-no-ngan-hang-doanh-nghiep.35C676C2.html","Xem chi tiết")</f>
        <v/>
      </c>
    </row>
    <row r="17522">
      <c r="B17522" s="9" t="n">
        <v>17520</v>
      </c>
      <c r="C17522" s="10" t="inlineStr">
        <is>
          <t>Kỹ Sư Tự Động Hóa (Plc, Robot) - nhận việc sau Tết Âm</t>
        </is>
      </c>
      <c r="D17522" s="10" t="inlineStr">
        <is>
          <t>CÔNG TY CỔ PHẦN CÔNG NGHIỆP WELDCOM</t>
        </is>
      </c>
      <c r="E17522" s="10" t="inlineStr">
        <is>
          <t>Lương:15 Tr - 25 Tr VND</t>
        </is>
      </c>
      <c r="F17522" s="10" t="inlineStr">
        <is>
          <t>Hà NộiHà Tĩnh</t>
        </is>
      </c>
      <c r="G17522" s="10" t="inlineStr">
        <is>
          <t>05-04-2026</t>
        </is>
      </c>
      <c r="H17522" s="10" t="inlineStr">
        <is>
          <t>05/04/2026</t>
        </is>
      </c>
      <c r="I17522" s="10" t="inlineStr">
        <is>
          <t>17/03/2026</t>
        </is>
      </c>
      <c r="J17522" s="10" t="inlineStr">
        <is>
          <t>Cơ khí / Ô tô / Tự động hóa, Điện / Điện tử / Điện lạnh / Điện công nghiệp, Bảo trì / Sửa chữa</t>
        </is>
      </c>
      <c r="K17522" s="10" t="inlineStr">
        <is>
          <t>1 - 3 Năm</t>
        </is>
      </c>
      <c r="L17522" s="11">
        <f>HYPERLINK("https://careerviet.vn/vi/tim-viec-lam/ky-su-tu-dong-hoa-plc-robot-nhan-viec-sau-tet-am.35C677DD.html","Xem chi tiết")</f>
        <v/>
      </c>
      <c r="M17522" s="10" t="n"/>
    </row>
    <row r="17523">
      <c r="B17523" s="7" t="n">
        <v>17521</v>
      </c>
      <c r="C17523" t="inlineStr">
        <is>
          <t>Chủ quản Sinh quản Sợi</t>
        </is>
      </c>
      <c r="D17523" t="inlineStr">
        <is>
          <t>Công Ty TNHH Dệt Tah Tong Việt Nam</t>
        </is>
      </c>
      <c r="E17523" t="inlineStr">
        <is>
          <t>Lương:Cạnh tranh</t>
        </is>
      </c>
      <c r="F17523" t="inlineStr">
        <is>
          <t>Bà Rịa - Vũng Tàu</t>
        </is>
      </c>
      <c r="G17523" t="inlineStr">
        <is>
          <t>05-04-2026</t>
        </is>
      </c>
      <c r="H17523" t="inlineStr">
        <is>
          <t>05/04/2026</t>
        </is>
      </c>
      <c r="I17523" t="inlineStr">
        <is>
          <t>17/03/2026</t>
        </is>
      </c>
      <c r="J17523" t="inlineStr">
        <is>
          <t>Sản xuất / Vận hành sản xuất, Dệt may / Da giày / Thời trang</t>
        </is>
      </c>
      <c r="K17523" t="inlineStr">
        <is>
          <t>2 - 5 Năm</t>
        </is>
      </c>
      <c r="L17523" s="8">
        <f>HYPERLINK("https://careerviet.vn/vi/tim-viec-lam/chu-quan-sinh-quan-soi.35C67825.html","Xem chi tiết")</f>
        <v/>
      </c>
    </row>
    <row r="17524">
      <c r="B17524" s="9" t="n">
        <v>17522</v>
      </c>
      <c r="C17524" s="10" t="inlineStr">
        <is>
          <t>Cán Bộ Kinh Doanh - Khu vực Nam Định, Hà Nam, Thái Bình</t>
        </is>
      </c>
      <c r="D17524" s="10" t="inlineStr">
        <is>
          <t>Tổng Công ty Cổ phần Bảo hiểm Ngân hàng Đầu tư và Phát triển Việt Nam (BIC)</t>
        </is>
      </c>
      <c r="E17524" s="10" t="inlineStr">
        <is>
          <t>Lương:Cạnh tranh</t>
        </is>
      </c>
      <c r="F17524" s="10" t="inlineStr">
        <is>
          <t>Nam ĐịnhHà NamThái Bình</t>
        </is>
      </c>
      <c r="G17524" s="10" t="inlineStr">
        <is>
          <t>05-04-2026</t>
        </is>
      </c>
      <c r="H17524" s="10" t="inlineStr">
        <is>
          <t>05/04/2026</t>
        </is>
      </c>
      <c r="I17524" s="10" t="inlineStr">
        <is>
          <t>17/03/2026</t>
        </is>
      </c>
      <c r="J17524" s="10" t="inlineStr">
        <is>
          <t>Bảo hiểm, Bán hàng / Kinh doanh, Ngân hàng</t>
        </is>
      </c>
      <c r="K17524" s="10" t="inlineStr">
        <is>
          <t>Chưa có kinh nghiệm</t>
        </is>
      </c>
      <c r="L17524" s="11">
        <f>HYPERLINK("https://careerviet.vn/vi/tim-viec-lam/can-bo-kinh-doanh-khu-vuc-nam-dinh-ha-nam-thai-binh.35C678A1.html","Xem chi tiết")</f>
        <v/>
      </c>
      <c r="M17524" s="10" t="n"/>
    </row>
    <row r="17525">
      <c r="B17525" s="7" t="n">
        <v>17523</v>
      </c>
      <c r="C17525" t="inlineStr">
        <is>
          <t>Thư ký Ban Giám Đốc</t>
        </is>
      </c>
      <c r="D17525" t="inlineStr">
        <is>
          <t>Bảo mật</t>
        </is>
      </c>
      <c r="E17525" t="inlineStr">
        <is>
          <t>Lương:Cạnh tranh</t>
        </is>
      </c>
      <c r="F17525" t="inlineStr">
        <is>
          <t>Hồ Chí Minh</t>
        </is>
      </c>
      <c r="G17525" t="inlineStr">
        <is>
          <t>05-04-2026</t>
        </is>
      </c>
      <c r="H17525" t="inlineStr">
        <is>
          <t>05/04/2026</t>
        </is>
      </c>
      <c r="I17525" t="inlineStr">
        <is>
          <t>17/03/2026</t>
        </is>
      </c>
      <c r="J17525" t="inlineStr">
        <is>
          <t>Hành chính / Thư ký, Biên phiên dịch, Bất động sản</t>
        </is>
      </c>
      <c r="K17525" t="inlineStr">
        <is>
          <t>3 - 5 Năm</t>
        </is>
      </c>
      <c r="L17525" s="8">
        <f>HYPERLINK("https://careerviet.vn/vi/tim-viec-lam/thu-ky-ban-giam-doc.35C6486E.html","Xem chi tiết")</f>
        <v/>
      </c>
    </row>
    <row r="17526">
      <c r="B17526" s="9" t="n">
        <v>17524</v>
      </c>
      <c r="C17526" s="10" t="inlineStr">
        <is>
          <t>Chuyên viên tuyển dụng</t>
        </is>
      </c>
      <c r="D17526" s="10" t="inlineStr">
        <is>
          <t>GTEL ICT</t>
        </is>
      </c>
      <c r="E17526" s="10" t="inlineStr">
        <is>
          <t>Lương:10 Tr - 15 Tr VND</t>
        </is>
      </c>
      <c r="F17526" s="10" t="inlineStr">
        <is>
          <t>Hà Nội</t>
        </is>
      </c>
      <c r="G17526" s="10" t="inlineStr">
        <is>
          <t>05-04-2026</t>
        </is>
      </c>
      <c r="H17526" s="10" t="inlineStr">
        <is>
          <t>05/04/2026</t>
        </is>
      </c>
      <c r="I17526" s="10" t="inlineStr">
        <is>
          <t>17/03/2026</t>
        </is>
      </c>
      <c r="J17526" s="10" t="inlineStr">
        <is>
          <t>Nhân sự, Điện / Điện tử / Điện lạnh / Điện công nghiệp, CNTT - Phần mềm</t>
        </is>
      </c>
      <c r="K17526" s="10" t="inlineStr">
        <is>
          <t>Trên 2 Năm</t>
        </is>
      </c>
      <c r="L17526" s="11">
        <f>HYPERLINK("https://careerviet.vn/vi/tim-viec-lam/chuyen-vien-tuyen-dung.35C678B5.html","Xem chi tiết")</f>
        <v/>
      </c>
      <c r="M17526" s="10" t="n"/>
    </row>
    <row r="17527">
      <c r="B17527" s="7" t="n">
        <v>17525</v>
      </c>
      <c r="C17527" t="inlineStr">
        <is>
          <t>Senior Brand Manager</t>
        </is>
      </c>
      <c r="D17527" t="inlineStr">
        <is>
          <t>Công ty CP Thành Thành Công - Biên Hòa</t>
        </is>
      </c>
      <c r="E17527" t="inlineStr">
        <is>
          <t>Lương:Cạnh tranh</t>
        </is>
      </c>
      <c r="F17527" t="inlineStr">
        <is>
          <t>Hồ Chí Minh</t>
        </is>
      </c>
      <c r="G17527" t="inlineStr">
        <is>
          <t>05-04-2026</t>
        </is>
      </c>
      <c r="H17527" t="inlineStr">
        <is>
          <t>05/04/2026</t>
        </is>
      </c>
      <c r="I17527" t="inlineStr">
        <is>
          <t>17/03/2026</t>
        </is>
      </c>
      <c r="J17527" t="inlineStr">
        <is>
          <t>Tiếp thị / Marketing</t>
        </is>
      </c>
      <c r="K17527" t="inlineStr">
        <is>
          <t>Trên 7 Năm</t>
        </is>
      </c>
      <c r="L17527" s="8">
        <f>HYPERLINK("https://careerviet.vn/vi/tim-viec-lam/senior-brand-manager.35C67878.html","Xem chi tiết")</f>
        <v/>
      </c>
    </row>
    <row r="17528">
      <c r="B17528" s="9" t="n">
        <v>17526</v>
      </c>
      <c r="C17528" s="10" t="inlineStr">
        <is>
          <t>E-commerce Manager</t>
        </is>
      </c>
      <c r="D17528" s="10" t="inlineStr">
        <is>
          <t>Công ty TNHH Sản xuất Thương mại &amp; Dịch vụ Hoa Xinh</t>
        </is>
      </c>
      <c r="E17528" s="10" t="inlineStr">
        <is>
          <t>Lương:Cạnh tranh</t>
        </is>
      </c>
      <c r="F17528" s="10" t="inlineStr">
        <is>
          <t>Hồ Chí Minh</t>
        </is>
      </c>
      <c r="G17528" s="10" t="inlineStr">
        <is>
          <t>05-04-2026</t>
        </is>
      </c>
      <c r="H17528" s="10" t="inlineStr">
        <is>
          <t>05/04/2026</t>
        </is>
      </c>
      <c r="I17528" s="10" t="inlineStr">
        <is>
          <t>17/03/2026</t>
        </is>
      </c>
      <c r="J17528" s="10" t="inlineStr">
        <is>
          <t>Tiếp thị / Marketing, Tiếp thị trực tuyến, Thương mại điện tử</t>
        </is>
      </c>
      <c r="K17528" s="10" t="inlineStr">
        <is>
          <t>5 - 15 Năm</t>
        </is>
      </c>
      <c r="L17528" s="11">
        <f>HYPERLINK("https://careerviet.vn/vi/tim-viec-lam/e-commerce-manager.35C678AE.html","Xem chi tiết")</f>
        <v/>
      </c>
      <c r="M17528" s="10" t="n"/>
    </row>
    <row r="17529">
      <c r="B17529" s="7" t="n">
        <v>17527</v>
      </c>
      <c r="C17529" t="inlineStr">
        <is>
          <t>Store Manager Hoka - Cửa Hàng Trưởng Hoka Bà Triệu</t>
        </is>
      </c>
      <c r="D17529" t="inlineStr">
        <is>
          <t>Central Brand &amp; Specialty Việt Nam</t>
        </is>
      </c>
      <c r="E17529" t="inlineStr">
        <is>
          <t>Lương:Cạnh tranh</t>
        </is>
      </c>
      <c r="F17529" t="inlineStr">
        <is>
          <t>Hà Nội</t>
        </is>
      </c>
      <c r="G17529" t="inlineStr">
        <is>
          <t>05-04-2026</t>
        </is>
      </c>
      <c r="H17529" t="inlineStr">
        <is>
          <t>05/04/2026</t>
        </is>
      </c>
      <c r="I17529" t="inlineStr">
        <is>
          <t>17/03/2026</t>
        </is>
      </c>
      <c r="J17529" t="inlineStr">
        <is>
          <t>Bán lẻ / Bán sỉ, Bán hàng / Kinh doanh, Dệt may / Da giày / Thời trang</t>
        </is>
      </c>
      <c r="K17529" t="inlineStr">
        <is>
          <t>1 - 2 Năm</t>
        </is>
      </c>
      <c r="L17529" s="8">
        <f>HYPERLINK("https://careerviet.vn/vi/tim-viec-lam/store-manager-hoka-cua-hang-truong-hoka-ba-trieu.35C67650.html","Xem chi tiết")</f>
        <v/>
      </c>
    </row>
    <row r="17530">
      <c r="B17530" s="9" t="n">
        <v>17528</v>
      </c>
      <c r="C17530" s="10" t="inlineStr">
        <is>
          <t>Giám Sát Kinh Doanh (Distributor Account Supervisor/Manager) GT - Central Highlands</t>
        </is>
      </c>
      <c r="D17530" s="10" t="inlineStr">
        <is>
          <t>Marico South East Asia Corporation</t>
        </is>
      </c>
      <c r="E17530" s="10" t="inlineStr">
        <is>
          <t>Lương:Cạnh tranh</t>
        </is>
      </c>
      <c r="F17530" s="10" t="inlineStr">
        <is>
          <t>Khác</t>
        </is>
      </c>
      <c r="G17530" s="10" t="inlineStr">
        <is>
          <t>05-04-2026</t>
        </is>
      </c>
      <c r="H17530" s="10" t="inlineStr">
        <is>
          <t>05/04/2026</t>
        </is>
      </c>
      <c r="I17530" s="10" t="inlineStr">
        <is>
          <t>17/03/2026</t>
        </is>
      </c>
      <c r="J17530" s="10" t="inlineStr">
        <is>
          <t>Bán hàng / Kinh doanh</t>
        </is>
      </c>
      <c r="K17530" s="10" t="inlineStr">
        <is>
          <t>Trên 3 Năm</t>
        </is>
      </c>
      <c r="L17530" s="11">
        <f>HYPERLINK("https://careerviet.vn/vi/tim-viec-lam/giam-sat-kinh-doanh-distributor-account-supervisor-manager-gt-central-highlands.35C67706.html","Xem chi tiết")</f>
        <v/>
      </c>
      <c r="M17530" s="10" t="n"/>
    </row>
    <row r="17531">
      <c r="B17531" s="7" t="n">
        <v>17529</v>
      </c>
      <c r="C17531" t="inlineStr">
        <is>
          <t>Trưởng Nhóm Quản lý lớp học tại trường THPT</t>
        </is>
      </c>
      <c r="D17531" t="inlineStr">
        <is>
          <t>Công ty cổ phần SIMPACE Việt Nam</t>
        </is>
      </c>
      <c r="E17531" t="inlineStr">
        <is>
          <t>Lương:15 Tr - 18 Tr VND</t>
        </is>
      </c>
      <c r="F17531" t="inlineStr">
        <is>
          <t>Hà Nội</t>
        </is>
      </c>
      <c r="G17531" t="inlineStr">
        <is>
          <t>05-04-2026</t>
        </is>
      </c>
      <c r="H17531" t="inlineStr">
        <is>
          <t>05/04/2026</t>
        </is>
      </c>
      <c r="I17531" t="inlineStr">
        <is>
          <t>17/03/2026</t>
        </is>
      </c>
      <c r="J17531" t="inlineStr">
        <is>
          <t>Giáo dục / Đào tạo</t>
        </is>
      </c>
      <c r="K17531" t="inlineStr">
        <is>
          <t>4 - 5 Năm</t>
        </is>
      </c>
      <c r="L17531" s="8">
        <f>HYPERLINK("https://careerviet.vn/vi/tim-viec-lam/truong-nhom-quan-ly-lop-hoc-tai-truong-thpt.35C6706E.html","Xem chi tiết")</f>
        <v/>
      </c>
    </row>
    <row r="17532">
      <c r="B17532" s="9" t="n">
        <v>17530</v>
      </c>
      <c r="C17532" s="10" t="inlineStr">
        <is>
          <t>Customer Service Executive</t>
        </is>
      </c>
      <c r="D17532" s="10" t="inlineStr">
        <is>
          <t>Công ty TNHH Yamato Logistics Việt Nam</t>
        </is>
      </c>
      <c r="E17532" s="10" t="inlineStr">
        <is>
          <t>Lương:15 Tr - 20 Tr VND</t>
        </is>
      </c>
      <c r="F17532" s="10" t="inlineStr">
        <is>
          <t>Hà Nội</t>
        </is>
      </c>
      <c r="G17532" s="10" t="inlineStr">
        <is>
          <t>05-04-2026</t>
        </is>
      </c>
      <c r="H17532" s="10" t="inlineStr">
        <is>
          <t>05/04/2026</t>
        </is>
      </c>
      <c r="I17532" s="10" t="inlineStr">
        <is>
          <t>17/03/2026</t>
        </is>
      </c>
      <c r="J17532" s="10" t="inlineStr">
        <is>
          <t>Xuất nhập khẩu, Dịch vụ khách hàng, Vận chuyển / Giao nhận / Kho vận</t>
        </is>
      </c>
      <c r="K17532" s="10" t="inlineStr">
        <is>
          <t>2 - 4 Năm</t>
        </is>
      </c>
      <c r="L17532" s="11">
        <f>HYPERLINK("https://careerviet.vn/vi/tim-viec-lam/customer-service-executive.35C678C3.html","Xem chi tiết")</f>
        <v/>
      </c>
      <c r="M17532" s="10" t="n"/>
    </row>
    <row r="17533">
      <c r="B17533" s="7" t="n">
        <v>17531</v>
      </c>
      <c r="C17533" t="inlineStr">
        <is>
          <t>Project Sales executive</t>
        </is>
      </c>
      <c r="D17533" t="inlineStr">
        <is>
          <t>HR Vietnam’s ESS Client</t>
        </is>
      </c>
      <c r="E17533" t="inlineStr">
        <is>
          <t>Lương:Cạnh tranh</t>
        </is>
      </c>
      <c r="F17533" t="inlineStr">
        <is>
          <t>Hồ Chí Minh</t>
        </is>
      </c>
      <c r="G17533" t="inlineStr">
        <is>
          <t>05-04-2026</t>
        </is>
      </c>
      <c r="H17533" t="inlineStr">
        <is>
          <t>05/04/2026</t>
        </is>
      </c>
      <c r="I17533" t="inlineStr">
        <is>
          <t>17/03/2026</t>
        </is>
      </c>
      <c r="J17533" t="inlineStr">
        <is>
          <t>Xây dựng, Bán lẻ / Bán sỉ, Bất động sản</t>
        </is>
      </c>
      <c r="K17533" t="inlineStr">
        <is>
          <t>Trên 1 Năm</t>
        </is>
      </c>
      <c r="L17533" s="8">
        <f>HYPERLINK("https://careerviet.vn/vi/tim-viec-lam/project-sales-executive.35C64970.html","Xem chi tiết")</f>
        <v/>
      </c>
    </row>
    <row r="17534">
      <c r="B17534" s="9" t="n">
        <v>17532</v>
      </c>
      <c r="C17534" s="10" t="inlineStr">
        <is>
          <t>Dược sĩ Kho làm việc tại Quận 1</t>
        </is>
      </c>
      <c r="D17534" s="10" t="inlineStr">
        <is>
          <t>Công Ty Cổ Phần Vacxin Việt Nam</t>
        </is>
      </c>
      <c r="E17534" s="10" t="inlineStr">
        <is>
          <t>Lương:7 Tr - 9 Tr VND</t>
        </is>
      </c>
      <c r="F17534" s="10" t="inlineStr">
        <is>
          <t>Hồ Chí Minh</t>
        </is>
      </c>
      <c r="G17534" s="10" t="inlineStr">
        <is>
          <t>05-04-2026</t>
        </is>
      </c>
      <c r="H17534" s="10" t="inlineStr">
        <is>
          <t>05/04/2026</t>
        </is>
      </c>
      <c r="I17534" s="10" t="inlineStr">
        <is>
          <t>17/03/2026</t>
        </is>
      </c>
      <c r="J17534" s="10" t="inlineStr">
        <is>
          <t>Dược phẩm/ Hóa Mỹ Phẩm, Y tế / Chăm sóc sức khỏe / Thẩm mỹ / Làm đẹp, Vận chuyển / Giao nhận / Kho vận</t>
        </is>
      </c>
      <c r="K17534" s="10" t="inlineStr">
        <is>
          <t>Lên đến 1 Năm</t>
        </is>
      </c>
      <c r="L17534" s="11">
        <f>HYPERLINK("https://careerviet.vn/vi/tim-viec-lam/duoc-si-kho-lam-viec-tai-quan-1.35C6498A.html","Xem chi tiết")</f>
        <v/>
      </c>
      <c r="M17534" s="10" t="n"/>
    </row>
    <row r="17535">
      <c r="B17535" s="7" t="n">
        <v>17533</v>
      </c>
      <c r="C17535" t="inlineStr">
        <is>
          <t>Nhân Viên Khai Báo Hải Quan</t>
        </is>
      </c>
      <c r="D17535" t="inlineStr">
        <is>
          <t>Tập Đoàn Kim Tín</t>
        </is>
      </c>
      <c r="E17535" t="inlineStr">
        <is>
          <t>Lương:Lên đến 15 Tr VND</t>
        </is>
      </c>
      <c r="F17535" t="inlineStr">
        <is>
          <t>Hồ Chí Minh</t>
        </is>
      </c>
      <c r="G17535" t="inlineStr">
        <is>
          <t>05-04-2026</t>
        </is>
      </c>
      <c r="H17535" t="inlineStr">
        <is>
          <t>05/04/2026</t>
        </is>
      </c>
      <c r="I17535" t="inlineStr">
        <is>
          <t>17/03/2026</t>
        </is>
      </c>
      <c r="J17535" t="inlineStr">
        <is>
          <t>Sản xuất / Vận hành sản xuất, Vận chuyển / Giao nhận / Kho vận, Xuất nhập khẩu</t>
        </is>
      </c>
      <c r="K17535" t="inlineStr">
        <is>
          <t>3 - 5 Năm</t>
        </is>
      </c>
      <c r="L17535" s="8">
        <f>HYPERLINK("https://careerviet.vn/vi/tim-viec-lam/nhan-vien-khai-bao-hai-quan.35C678E2.html","Xem chi tiết")</f>
        <v/>
      </c>
    </row>
    <row r="17536">
      <c r="B17536" s="9" t="n">
        <v>17534</v>
      </c>
      <c r="C17536" s="10" t="inlineStr">
        <is>
          <t>Giáo viên Tâm lý Tiểu học - Pathway School</t>
        </is>
      </c>
      <c r="D17536" s="10" t="inlineStr">
        <is>
          <t>Hệ thống trường Pathway Tuệ Đức</t>
        </is>
      </c>
      <c r="E17536" s="10" t="inlineStr">
        <is>
          <t>Lương:Cạnh tranh</t>
        </is>
      </c>
      <c r="F17536" s="10" t="inlineStr">
        <is>
          <t>Hồ Chí Minh</t>
        </is>
      </c>
      <c r="G17536" s="10" t="inlineStr">
        <is>
          <t>05-04-2026</t>
        </is>
      </c>
      <c r="H17536" s="10" t="inlineStr">
        <is>
          <t>05/04/2026</t>
        </is>
      </c>
      <c r="I17536" s="10" t="inlineStr">
        <is>
          <t>17/03/2026</t>
        </is>
      </c>
      <c r="J17536" s="10" t="inlineStr">
        <is>
          <t>Giáo dục / Đào tạo</t>
        </is>
      </c>
      <c r="K17536" s="10" t="inlineStr">
        <is>
          <t>2 - 3 Năm</t>
        </is>
      </c>
      <c r="L17536" s="11">
        <f>HYPERLINK("https://careerviet.vn/vi/tim-viec-lam/giao-vien-tam-ly-tieu-hoc-pathway-school.35C64949.html","Xem chi tiết")</f>
        <v/>
      </c>
      <c r="M17536" s="10" t="n"/>
    </row>
    <row r="17537">
      <c r="B17537" s="7" t="n">
        <v>17535</v>
      </c>
      <c r="C17537" t="inlineStr">
        <is>
          <t>Kỹ Sư Điện – Tự Động Hóa</t>
        </is>
      </c>
      <c r="D17537" t="inlineStr">
        <is>
          <t>Tập Đoàn Kim Tín</t>
        </is>
      </c>
      <c r="E17537" t="inlineStr">
        <is>
          <t>Lương:Cạnh tranh</t>
        </is>
      </c>
      <c r="F17537" t="inlineStr">
        <is>
          <t>Bình Phước</t>
        </is>
      </c>
      <c r="G17537" t="inlineStr">
        <is>
          <t>05-04-2026</t>
        </is>
      </c>
      <c r="H17537" t="inlineStr">
        <is>
          <t>05/04/2026</t>
        </is>
      </c>
      <c r="I17537" t="inlineStr">
        <is>
          <t>17/03/2026</t>
        </is>
      </c>
      <c r="J17537" t="inlineStr">
        <is>
          <t>Cơ khí / Ô tô / Tự động hóa, Sản xuất / Vận hành sản xuất, Điện / Điện tử / Điện lạnh / Điện công nghiệp</t>
        </is>
      </c>
      <c r="K17537" t="inlineStr">
        <is>
          <t>Lên đến 1 NămĐịa điểm</t>
        </is>
      </c>
      <c r="L17537" s="8">
        <f>HYPERLINK("https://careerviet.vn/vi/tim-viec-lam/ky-su-dien-tu-dong-hoa.35C67855.html","Xem chi tiết")</f>
        <v/>
      </c>
    </row>
    <row r="17538">
      <c r="B17538" s="9" t="n">
        <v>17536</v>
      </c>
      <c r="C17538" s="10" t="inlineStr">
        <is>
          <t>[PHENIKAA UNI] Giảng viên ngành Du lịch - Khoa Du lịch</t>
        </is>
      </c>
      <c r="D17538" s="10" t="inlineStr">
        <is>
          <t>ĐẠI HỌC PHENIKAA</t>
        </is>
      </c>
      <c r="E17538" s="10" t="inlineStr">
        <is>
          <t>Lương:Cạnh tranh</t>
        </is>
      </c>
      <c r="F17538" s="10" t="inlineStr">
        <is>
          <t>Hà Nội</t>
        </is>
      </c>
      <c r="G17538" s="10" t="inlineStr">
        <is>
          <t>05-04-2026</t>
        </is>
      </c>
      <c r="H17538" s="10" t="inlineStr">
        <is>
          <t>05/04/2026</t>
        </is>
      </c>
      <c r="I17538" s="10" t="inlineStr">
        <is>
          <t>17/03/2026</t>
        </is>
      </c>
      <c r="J17538" s="10" t="inlineStr">
        <is>
          <t>Giáo dục / Đào tạo, Du lịch, Nhà hàng / Khách sạn</t>
        </is>
      </c>
      <c r="K17538" s="10" t="inlineStr">
        <is>
          <t>1 - 3 Năm</t>
        </is>
      </c>
      <c r="L17538" s="11">
        <f>HYPERLINK("https://careerviet.vn/vi/tim-viec-lam/phenikaa-uni-giang-vien-nganh-du-lich-khoa-du-lich.35C67709.html","Xem chi tiết")</f>
        <v/>
      </c>
      <c r="M17538" s="10" t="n"/>
    </row>
    <row r="17539">
      <c r="B17539" s="7" t="n">
        <v>17537</v>
      </c>
      <c r="C17539" t="inlineStr">
        <is>
          <t>Dược sĩ Kho làm việc tại Bình Hòa (Bình Dương)</t>
        </is>
      </c>
      <c r="D17539" t="inlineStr">
        <is>
          <t>Công Ty Cổ Phần Vacxin Việt Nam</t>
        </is>
      </c>
      <c r="E17539" t="inlineStr">
        <is>
          <t>Lương:7 Tr - 9 Tr VND</t>
        </is>
      </c>
      <c r="F17539" t="inlineStr">
        <is>
          <t>Bình Dương</t>
        </is>
      </c>
      <c r="G17539" t="inlineStr">
        <is>
          <t>05-04-2026</t>
        </is>
      </c>
      <c r="H17539" t="inlineStr">
        <is>
          <t>05/04/2026</t>
        </is>
      </c>
      <c r="I17539" t="inlineStr">
        <is>
          <t>17/03/2026</t>
        </is>
      </c>
      <c r="J17539" t="inlineStr">
        <is>
          <t>Dược phẩm/ Hóa Mỹ Phẩm, Y tế / Chăm sóc sức khỏe / Thẩm mỹ / Làm đẹp, Vận chuyển / Giao nhận / Kho vận</t>
        </is>
      </c>
      <c r="K17539" t="inlineStr">
        <is>
          <t>Lên đến 1 Năm</t>
        </is>
      </c>
      <c r="L17539" s="8">
        <f>HYPERLINK("https://careerviet.vn/vi/tim-viec-lam/duoc-si-kho-lam-viec-tai-binh-hoa-binh-duong.35C64990.html","Xem chi tiết")</f>
        <v/>
      </c>
    </row>
    <row r="17540">
      <c r="B17540" s="9" t="n">
        <v>17538</v>
      </c>
      <c r="C17540" s="10" t="inlineStr">
        <is>
          <t>Kế Toán Tổng Hợp/ General Accountant</t>
        </is>
      </c>
      <c r="D17540" s="10" t="inlineStr">
        <is>
          <t>CÔNG TY TNHH PACHIRA CORPORATION</t>
        </is>
      </c>
      <c r="E17540" s="10" t="inlineStr">
        <is>
          <t>Lương:Cạnh tranh</t>
        </is>
      </c>
      <c r="F17540" s="10" t="inlineStr">
        <is>
          <t>Hồ Chí Minh</t>
        </is>
      </c>
      <c r="G17540" s="10" t="inlineStr">
        <is>
          <t>05-04-2026</t>
        </is>
      </c>
      <c r="H17540" s="10" t="inlineStr">
        <is>
          <t>05/04/2026</t>
        </is>
      </c>
      <c r="I17540" s="10" t="inlineStr">
        <is>
          <t>17/03/2026</t>
        </is>
      </c>
      <c r="J17540" s="10" t="inlineStr">
        <is>
          <t>Kế toán / Kiểm toán, Bất động sản, Xây dựng</t>
        </is>
      </c>
      <c r="K17540" s="10" t="inlineStr">
        <is>
          <t>2 - 3 Năm</t>
        </is>
      </c>
      <c r="L17540" s="11">
        <f>HYPERLINK("https://careerviet.vn/vi/tim-viec-lam/ke-toan-tong-hop-general-accountant.35C67912.html","Xem chi tiết")</f>
        <v/>
      </c>
      <c r="M17540" s="10" t="n"/>
    </row>
    <row r="17541">
      <c r="B17541" s="7" t="n">
        <v>17539</v>
      </c>
      <c r="C17541" t="inlineStr">
        <is>
          <t>Phó Ban Quản lý An toàn lao động</t>
        </is>
      </c>
      <c r="D17541" t="inlineStr">
        <is>
          <t>CÔNG TY CỔ PHẦN XÂY DỰNG VILAI VIỆT</t>
        </is>
      </c>
      <c r="E17541" t="inlineStr">
        <is>
          <t>Lương:Cạnh tranh</t>
        </is>
      </c>
      <c r="F17541" t="inlineStr">
        <is>
          <t>Hà Nội</t>
        </is>
      </c>
      <c r="G17541" t="inlineStr">
        <is>
          <t>05-04-2026</t>
        </is>
      </c>
      <c r="H17541" t="inlineStr">
        <is>
          <t>05/04/2026</t>
        </is>
      </c>
      <c r="I17541" t="inlineStr">
        <is>
          <t>17/03/2026</t>
        </is>
      </c>
      <c r="J17541" t="inlineStr">
        <is>
          <t>An toàn lao động, Kiến trúc, Xây dựng</t>
        </is>
      </c>
      <c r="K17541" t="inlineStr">
        <is>
          <t>5 - 7 Năm</t>
        </is>
      </c>
      <c r="L17541" s="8">
        <f>HYPERLINK("https://careerviet.vn/vi/tim-viec-lam/pho-ban-quan-ly-an-toan-lao-dong.35C649C0.html","Xem chi tiết")</f>
        <v/>
      </c>
    </row>
    <row r="17542">
      <c r="B17542" s="9" t="n">
        <v>17540</v>
      </c>
      <c r="C17542" s="10" t="inlineStr">
        <is>
          <t>Nhân viên bán hàng - Erke Royal City</t>
        </is>
      </c>
      <c r="D17542" s="10" t="inlineStr">
        <is>
          <t>CÔNG TY TNHH PHÁT TRIỂN ĐỒ UỐNG AN VIỆT SÔNG HỒNG</t>
        </is>
      </c>
      <c r="E17542" s="10" t="inlineStr">
        <is>
          <t>Lương:9 Tr - 12 Tr VND</t>
        </is>
      </c>
      <c r="F17542" s="10" t="inlineStr">
        <is>
          <t>Hà Nội</t>
        </is>
      </c>
      <c r="G17542" s="10" t="inlineStr">
        <is>
          <t>05-04-2026</t>
        </is>
      </c>
      <c r="H17542" s="10" t="inlineStr">
        <is>
          <t>05/04/2026</t>
        </is>
      </c>
      <c r="I17542" s="10" t="inlineStr">
        <is>
          <t>17/03/2026</t>
        </is>
      </c>
      <c r="J17542" s="10" t="inlineStr">
        <is>
          <t>Bán lẻ / Bán sỉ, Bán hàng / Kinh doanh, Tư vấn</t>
        </is>
      </c>
      <c r="K17542" s="10" t="inlineStr">
        <is>
          <t>Chưa có kinh nghiệm</t>
        </is>
      </c>
      <c r="L17542" s="11">
        <f>HYPERLINK("https://careerviet.vn/vi/tim-viec-lam/nhan-vien-ban-hang-erke-royal-city.35C678FA.html","Xem chi tiết")</f>
        <v/>
      </c>
      <c r="M17542" s="10" t="n"/>
    </row>
    <row r="17543">
      <c r="B17543" s="7" t="n">
        <v>17541</v>
      </c>
      <c r="C17543" t="inlineStr">
        <is>
          <t>Quality Manager (Trưởng Phòng Chất Lượng)</t>
        </is>
      </c>
      <c r="D17543" t="inlineStr">
        <is>
          <t>DP Systems Electronic Mechanical Technology Vietnam Co., Ltd</t>
        </is>
      </c>
      <c r="E17543" t="inlineStr">
        <is>
          <t>Lương:Cạnh tranh</t>
        </is>
      </c>
      <c r="F17543" t="inlineStr">
        <is>
          <t>Bình Dương</t>
        </is>
      </c>
      <c r="G17543" t="inlineStr">
        <is>
          <t>05-04-2026</t>
        </is>
      </c>
      <c r="H17543" t="inlineStr">
        <is>
          <t>05/04/2026</t>
        </is>
      </c>
      <c r="I17543" t="inlineStr">
        <is>
          <t>17/03/2026</t>
        </is>
      </c>
      <c r="J17543" t="inlineStr">
        <is>
          <t>Quản lý chất lượng (QA/QC)</t>
        </is>
      </c>
      <c r="K17543" t="inlineStr">
        <is>
          <t>3 - 10 Năm</t>
        </is>
      </c>
      <c r="L17543" s="8">
        <f>HYPERLINK("https://careerviet.vn/vi/tim-viec-lam/quality-manager-truong-phong-chat-luong.35C6763E.html","Xem chi tiết")</f>
        <v/>
      </c>
    </row>
    <row r="17544">
      <c r="B17544" s="9" t="n">
        <v>17542</v>
      </c>
      <c r="C17544" s="10" t="inlineStr">
        <is>
          <t>Trưởng/ Phó Bộ phận Kinh tế xây dưng</t>
        </is>
      </c>
      <c r="D17544" s="10" t="inlineStr">
        <is>
          <t>CÔNG TY CỔ PHẦN TẬP ĐOÀN ONSEN FUJI</t>
        </is>
      </c>
      <c r="E17544" s="10" t="inlineStr">
        <is>
          <t>Lương:40 Tr - 50 Tr VND</t>
        </is>
      </c>
      <c r="F17544" s="10" t="inlineStr">
        <is>
          <t>Hà Nội</t>
        </is>
      </c>
      <c r="G17544" s="10" t="inlineStr">
        <is>
          <t>05-04-2026</t>
        </is>
      </c>
      <c r="H17544" s="10" t="inlineStr">
        <is>
          <t>05/04/2026</t>
        </is>
      </c>
      <c r="I17544" s="10" t="inlineStr">
        <is>
          <t>17/03/2026</t>
        </is>
      </c>
      <c r="J17544" s="10" t="inlineStr">
        <is>
          <t>Xây dựng, Bất động sản, Ngành khác</t>
        </is>
      </c>
      <c r="K17544" s="10" t="inlineStr">
        <is>
          <t>5 - 10 Năm</t>
        </is>
      </c>
      <c r="L17544" s="11">
        <f>HYPERLINK("https://careerviet.vn/vi/tim-viec-lam/truong-pho-bo-phan-kinh-te-xay-dung.35C64A01.html","Xem chi tiết")</f>
        <v/>
      </c>
      <c r="M17544" s="10" t="n"/>
    </row>
    <row r="17545">
      <c r="B17545" s="7" t="n">
        <v>17543</v>
      </c>
      <c r="C17545" t="inlineStr">
        <is>
          <t>Kỹ Sư Điện Công Nghiệp</t>
        </is>
      </c>
      <c r="D17545" t="inlineStr">
        <is>
          <t>Tập Đoàn Kim Tín</t>
        </is>
      </c>
      <c r="E17545" t="inlineStr">
        <is>
          <t>Lương:Cạnh tranh</t>
        </is>
      </c>
      <c r="F17545" t="inlineStr">
        <is>
          <t>Bình Phước</t>
        </is>
      </c>
      <c r="G17545" t="inlineStr">
        <is>
          <t>05-04-2026</t>
        </is>
      </c>
      <c r="H17545" t="inlineStr">
        <is>
          <t>05/04/2026</t>
        </is>
      </c>
      <c r="I17545" t="inlineStr">
        <is>
          <t>17/03/2026</t>
        </is>
      </c>
      <c r="J17545" t="inlineStr">
        <is>
          <t>Cơ khí / Ô tô / Tự động hóa, Sản xuất / Vận hành sản xuất, Điện / Điện tử / Điện lạnh / Điện công nghiệp</t>
        </is>
      </c>
      <c r="K17545" t="inlineStr">
        <is>
          <t>Trên 1 Năm</t>
        </is>
      </c>
      <c r="L17545" s="8">
        <f>HYPERLINK("https://careerviet.vn/vi/tim-viec-lam/ky-su-dien-cong-nghiep.35C67857.html","Xem chi tiết")</f>
        <v/>
      </c>
    </row>
    <row r="17546">
      <c r="B17546" s="9" t="n">
        <v>17544</v>
      </c>
      <c r="C17546" s="10" t="inlineStr">
        <is>
          <t>Trưởng Phòng Phụ Trách Quản Lý Xây Dựng</t>
        </is>
      </c>
      <c r="D17546" s="10" t="inlineStr">
        <is>
          <t>Công Ty Cổ Phần Tập Đoàn Đầu Tư Địa Ốc No Va</t>
        </is>
      </c>
      <c r="E17546" s="10" t="inlineStr">
        <is>
          <t>Lương:Cạnh tranh</t>
        </is>
      </c>
      <c r="F17546" s="10" t="inlineStr">
        <is>
          <t>Lâm Đồng</t>
        </is>
      </c>
      <c r="G17546" s="10" t="inlineStr">
        <is>
          <t>05-04-2026</t>
        </is>
      </c>
      <c r="H17546" s="10" t="inlineStr">
        <is>
          <t>05/04/2026</t>
        </is>
      </c>
      <c r="I17546" s="10" t="inlineStr">
        <is>
          <t>17/03/2026</t>
        </is>
      </c>
      <c r="J17546" s="10" t="inlineStr">
        <is>
          <t>Bất động sản</t>
        </is>
      </c>
      <c r="K17546" s="10" t="inlineStr">
        <is>
          <t>8 - 15 Năm</t>
        </is>
      </c>
      <c r="L17546" s="11">
        <f>HYPERLINK("https://careerviet.vn/vi/tim-viec-lam/truong-phong-phu-trach-quan-ly-xay-dung.35C67802.html","Xem chi tiết")</f>
        <v/>
      </c>
      <c r="M17546" s="10" t="n"/>
    </row>
    <row r="17547">
      <c r="B17547" s="7" t="n">
        <v>17545</v>
      </c>
      <c r="C17547" t="inlineStr">
        <is>
          <t>Kỹ thuật viên chưng bốc, xút hóa</t>
        </is>
      </c>
      <c r="D17547" t="inlineStr">
        <is>
          <t>TỔNG CÔNG TY CỔ PHẦN THƯƠNG MẠI XÂY DỰNG</t>
        </is>
      </c>
      <c r="E17547" t="inlineStr">
        <is>
          <t>Lương:12 Tr - 20 Tr VND</t>
        </is>
      </c>
      <c r="F17547" t="inlineStr">
        <is>
          <t>Quảng Ngãi</t>
        </is>
      </c>
      <c r="G17547" t="inlineStr">
        <is>
          <t>05-04-2026</t>
        </is>
      </c>
      <c r="H17547" t="inlineStr">
        <is>
          <t>05/04/2026</t>
        </is>
      </c>
      <c r="I17547" t="inlineStr">
        <is>
          <t>17/03/2026</t>
        </is>
      </c>
      <c r="J17547" t="inlineStr">
        <is>
          <t>Hóa học</t>
        </is>
      </c>
      <c r="K17547" t="inlineStr">
        <is>
          <t>3 - 5 Năm</t>
        </is>
      </c>
      <c r="L17547" s="8">
        <f>HYPERLINK("https://careerviet.vn/vi/tim-viec-lam/ky-thuat-vien-chung-boc-xut-hoa.35C67415.html","Xem chi tiết")</f>
        <v/>
      </c>
    </row>
    <row r="17548">
      <c r="B17548" s="9" t="n">
        <v>17546</v>
      </c>
      <c r="C17548" s="10" t="inlineStr">
        <is>
          <t>NHÂN VIÊN THAO TÁC MÁY TỰ ĐỘNG IN KIM LOẠI</t>
        </is>
      </c>
      <c r="D17548" s="10" t="inlineStr">
        <is>
          <t>CÔNG TY TNHH POUYUEN VIỆT NAM</t>
        </is>
      </c>
      <c r="E17548" s="10" t="inlineStr">
        <is>
          <t>Lương:Trên 6 Tr VND</t>
        </is>
      </c>
      <c r="F17548" s="10" t="inlineStr">
        <is>
          <t>Hồ Chí Minh</t>
        </is>
      </c>
      <c r="G17548" s="10" t="inlineStr">
        <is>
          <t>05-04-2026</t>
        </is>
      </c>
      <c r="H17548" s="10" t="inlineStr">
        <is>
          <t>05/04/2026</t>
        </is>
      </c>
      <c r="I17548" s="10" t="inlineStr">
        <is>
          <t>17/03/2026</t>
        </is>
      </c>
      <c r="J17548" s="10" t="inlineStr">
        <is>
          <t>Lao động phổ thông, Cơ khí / Ô tô / Tự động hóa, Điện / Điện tử / Điện lạnh / Điện công nghiệp</t>
        </is>
      </c>
      <c r="K17548" s="10" t="inlineStr">
        <is>
          <t>N/A</t>
        </is>
      </c>
      <c r="L17548" s="11">
        <f>HYPERLINK("https://careerviet.vn/vi/tim-viec-lam/nhan-vien-thao-tac-may-tu-dong-in-kim-loai.35C6788F.html","Xem chi tiết")</f>
        <v/>
      </c>
      <c r="M17548" s="10" t="n"/>
    </row>
    <row r="17549">
      <c r="B17549" s="7" t="n">
        <v>17547</v>
      </c>
      <c r="C17549" t="inlineStr">
        <is>
          <t>Chuyên gia Kiến trúc Hạ tầng Mạng</t>
        </is>
      </c>
      <c r="D17549" t="inlineStr">
        <is>
          <t>LOTTE FINANCE VIETNAM</t>
        </is>
      </c>
      <c r="E17549" t="inlineStr">
        <is>
          <t>Lương:Cạnh tranh</t>
        </is>
      </c>
      <c r="F17549" t="inlineStr">
        <is>
          <t>Hà Nội</t>
        </is>
      </c>
      <c r="G17549" t="inlineStr">
        <is>
          <t>05-04-2026</t>
        </is>
      </c>
      <c r="H17549" t="inlineStr">
        <is>
          <t>05/04/2026</t>
        </is>
      </c>
      <c r="I17549" t="inlineStr">
        <is>
          <t>17/03/2026</t>
        </is>
      </c>
      <c r="J17549" t="inlineStr">
        <is>
          <t>CNTT - Phần cứng / Mạng, CNTT - Phần mềm, Ngân hàng</t>
        </is>
      </c>
      <c r="K17549" t="inlineStr">
        <is>
          <t>Trên 7 Năm</t>
        </is>
      </c>
      <c r="L17549" s="8">
        <f>HYPERLINK("https://careerviet.vn/vi/tim-viec-lam/chuyen-gia-kien-truc-ha-tang-mang.35C64A21.html","Xem chi tiết")</f>
        <v/>
      </c>
    </row>
    <row r="17550">
      <c r="B17550" s="9" t="n">
        <v>17548</v>
      </c>
      <c r="C17550" s="10" t="inlineStr">
        <is>
          <t>[Quảng Ninh] Chuyên Viên Tư Vấn Trả Góp Ô Tô</t>
        </is>
      </c>
      <c r="D17550" s="10" t="inlineStr">
        <is>
          <t>Công Ty Tài Chính Mirae Asset (Việt Nam)</t>
        </is>
      </c>
      <c r="E17550" s="10" t="inlineStr">
        <is>
          <t>Lương:17 Tr - 30 Tr VND</t>
        </is>
      </c>
      <c r="F17550" s="10" t="inlineStr">
        <is>
          <t>Quảng NinhKV Bắc Trung Bộ</t>
        </is>
      </c>
      <c r="G17550" s="10" t="inlineStr">
        <is>
          <t>05-04-2026</t>
        </is>
      </c>
      <c r="H17550" s="10" t="inlineStr">
        <is>
          <t>05/04/2026</t>
        </is>
      </c>
      <c r="I17550" s="10" t="inlineStr">
        <is>
          <t>17/03/2026</t>
        </is>
      </c>
      <c r="J17550" s="10" t="inlineStr">
        <is>
          <t>Bán hàng / Kinh doanh, Bán lẻ / Bán sỉ, Tài chính / Đầu tư</t>
        </is>
      </c>
      <c r="K17550" s="10" t="inlineStr">
        <is>
          <t>1 - 3 Năm</t>
        </is>
      </c>
      <c r="L17550" s="11">
        <f>HYPERLINK("https://careerviet.vn/vi/tim-viec-lam/quang-ninh-chuyen-vien-tu-van-tra-gop-o-to.35C6493B.html","Xem chi tiết")</f>
        <v/>
      </c>
      <c r="M17550" s="10" t="n"/>
    </row>
    <row r="17551">
      <c r="B17551" s="7" t="n">
        <v>17549</v>
      </c>
      <c r="C17551" t="inlineStr">
        <is>
          <t>NHÂN VIÊN KẾ TOÁN</t>
        </is>
      </c>
      <c r="D17551" t="inlineStr">
        <is>
          <t>CÔNG TY TNHH MỘT NGÔI SAO THÔNG MINH VIỆT NAM</t>
        </is>
      </c>
      <c r="E17551" t="inlineStr">
        <is>
          <t>Lương:10 Tr - 15 Tr VND</t>
        </is>
      </c>
      <c r="F17551" t="inlineStr">
        <is>
          <t>Hà Nội</t>
        </is>
      </c>
      <c r="G17551" t="inlineStr">
        <is>
          <t>05-04-2026</t>
        </is>
      </c>
      <c r="H17551" t="inlineStr">
        <is>
          <t>05/04/2026</t>
        </is>
      </c>
      <c r="I17551" t="inlineStr">
        <is>
          <t>17/03/2026</t>
        </is>
      </c>
      <c r="J17551" t="inlineStr">
        <is>
          <t>Kế toán / Kiểm toán</t>
        </is>
      </c>
      <c r="K17551" t="inlineStr">
        <is>
          <t>1 - 2 Năm</t>
        </is>
      </c>
      <c r="L17551" s="8">
        <f>HYPERLINK("https://careerviet.vn/vi/tim-viec-lam/nhan-vien-ke-toan.35C677BC.html","Xem chi tiết")</f>
        <v/>
      </c>
    </row>
    <row r="17552">
      <c r="B17552" s="9" t="n">
        <v>17550</v>
      </c>
      <c r="C17552" s="10" t="inlineStr">
        <is>
          <t>Quản lý Chất lượng/ Đúc mẫu- rút độ sụt</t>
        </is>
      </c>
      <c r="D17552" s="10" t="inlineStr">
        <is>
          <t>CÔNG TY CỔ PHẦN ĐẦU TƯ XÂY DỰNG NEGEN</t>
        </is>
      </c>
      <c r="E17552" s="10" t="inlineStr">
        <is>
          <t>Lương:16 Tr - 19 Tr VND</t>
        </is>
      </c>
      <c r="F17552" s="10" t="inlineStr">
        <is>
          <t>Bà Rịa - Vũng Tàu</t>
        </is>
      </c>
      <c r="G17552" s="10" t="inlineStr">
        <is>
          <t>05-04-2026</t>
        </is>
      </c>
      <c r="H17552" s="10" t="inlineStr">
        <is>
          <t>05/04/2026</t>
        </is>
      </c>
      <c r="I17552" s="10" t="inlineStr">
        <is>
          <t>17/03/2026</t>
        </is>
      </c>
      <c r="J17552" s="10" t="inlineStr">
        <is>
          <t>Xây dựng</t>
        </is>
      </c>
      <c r="K17552" s="10" t="inlineStr">
        <is>
          <t>2 - 3 Năm</t>
        </is>
      </c>
      <c r="L17552" s="11">
        <f>HYPERLINK("https://careerviet.vn/vi/tim-viec-lam/quan-ly-chat-luong-duc-mau-rut-do-sut.35C67787.html","Xem chi tiết")</f>
        <v/>
      </c>
      <c r="M17552" s="10" t="n"/>
    </row>
    <row r="17553">
      <c r="B17553" s="7" t="n">
        <v>17551</v>
      </c>
      <c r="C17553" t="inlineStr">
        <is>
          <t>Giáo viên Tiểu học | Pathway School</t>
        </is>
      </c>
      <c r="D17553" t="inlineStr">
        <is>
          <t>Hệ thống trường Pathway Tuệ Đức</t>
        </is>
      </c>
      <c r="E17553" t="inlineStr">
        <is>
          <t>Lương:Cạnh tranh</t>
        </is>
      </c>
      <c r="F17553" t="inlineStr">
        <is>
          <t>Hồ Chí Minh</t>
        </is>
      </c>
      <c r="G17553" t="inlineStr">
        <is>
          <t>06-03-2026</t>
        </is>
      </c>
      <c r="H17553" t="inlineStr">
        <is>
          <t>10/03/2026</t>
        </is>
      </c>
      <c r="I17553" t="inlineStr">
        <is>
          <t>17/03/2026</t>
        </is>
      </c>
      <c r="J17553" t="inlineStr">
        <is>
          <t>Giáo dục / Đào tạo</t>
        </is>
      </c>
      <c r="K17553" t="inlineStr">
        <is>
          <t>1 - 2 Năm</t>
        </is>
      </c>
      <c r="L17553" s="8">
        <f>HYPERLINK("https://careerviet.vn/vi/tim-viec-lam/giao-vien-tieu-hoc-pathway-school.35C68C25.html","Xem chi tiết")</f>
        <v/>
      </c>
    </row>
    <row r="17554">
      <c r="B17554" s="9" t="n">
        <v>17552</v>
      </c>
      <c r="C17554" s="10" t="inlineStr">
        <is>
          <t>Nhân viên Học vụ Trung học - Quận 12 | Pathway School</t>
        </is>
      </c>
      <c r="D17554" s="10" t="inlineStr">
        <is>
          <t>Hệ thống trường Pathway Tuệ Đức</t>
        </is>
      </c>
      <c r="E17554" s="10" t="inlineStr">
        <is>
          <t>Lương:Cạnh tranh</t>
        </is>
      </c>
      <c r="F17554" s="10" t="inlineStr">
        <is>
          <t>Hồ Chí Minh</t>
        </is>
      </c>
      <c r="G17554" s="10" t="inlineStr">
        <is>
          <t>06-03-2026</t>
        </is>
      </c>
      <c r="H17554" s="10" t="inlineStr">
        <is>
          <t>07/03/2026</t>
        </is>
      </c>
      <c r="I17554" s="10" t="inlineStr">
        <is>
          <t>17/03/2026</t>
        </is>
      </c>
      <c r="J17554" s="10" t="inlineStr">
        <is>
          <t>Giáo dục / Đào tạo, Hành chính / Thư ký</t>
        </is>
      </c>
      <c r="K17554" s="10" t="inlineStr">
        <is>
          <t>1 - 3 Năm</t>
        </is>
      </c>
      <c r="L17554" s="11">
        <f>HYPERLINK("https://careerviet.vn/vi/tim-viec-lam/nhan-vien-hoc-vu-trung-hoc-quan-12-pathway-school.35C68C2C.html","Xem chi tiết")</f>
        <v/>
      </c>
      <c r="M17554" s="10" t="n"/>
    </row>
    <row r="17555">
      <c r="B17555" s="7" t="n">
        <v>17553</v>
      </c>
      <c r="C17555" t="inlineStr">
        <is>
          <t>Bio care</t>
        </is>
      </c>
      <c r="D17555" t="inlineStr">
        <is>
          <t>CÔNG TY CỔ PHẦN THÁI VIỆT CORPORATION</t>
        </is>
      </c>
      <c r="E17555" t="inlineStr">
        <is>
          <t>Lương:9 Tr - 13 Tr VND</t>
        </is>
      </c>
      <c r="F17555" t="inlineStr">
        <is>
          <t>Bình PhướcDak NôngSơn La</t>
        </is>
      </c>
      <c r="G17555" t="inlineStr">
        <is>
          <t>31-03-2026</t>
        </is>
      </c>
      <c r="H17555" t="inlineStr">
        <is>
          <t>31/03/2026</t>
        </is>
      </c>
      <c r="I17555" t="inlineStr">
        <is>
          <t>17/03/2026</t>
        </is>
      </c>
      <c r="J17555" t="inlineStr">
        <is>
          <t>Hành chính / Thư ký, An toàn lao động, Chăn nuôi / Thú y</t>
        </is>
      </c>
      <c r="K17555" t="inlineStr">
        <is>
          <t>Chưa có kinh nghiệm</t>
        </is>
      </c>
      <c r="L17555" s="8">
        <f>HYPERLINK("https://careerviet.vn/vi/tim-viec-lam/bio-care.35C68C3B.html","Xem chi tiết")</f>
        <v/>
      </c>
    </row>
    <row r="17556">
      <c r="B17556" s="9" t="n">
        <v>17554</v>
      </c>
      <c r="C17556" s="10" t="inlineStr">
        <is>
          <t>KẾ TOÁN TỔNG HỢP</t>
        </is>
      </c>
      <c r="D17556" s="10" t="inlineStr">
        <is>
          <t>CÔNG TY CỔ PHẦN TẬP ĐOÀN XUẤT - NHẬP KHẨU TRÁI CÂY CHÁNH THU</t>
        </is>
      </c>
      <c r="E17556" s="10" t="inlineStr">
        <is>
          <t>Lương:Cạnh tranh</t>
        </is>
      </c>
      <c r="F17556" s="10" t="inlineStr">
        <is>
          <t>Bến TreHồ Chí MinhDak Lak</t>
        </is>
      </c>
      <c r="G17556" s="10" t="inlineStr">
        <is>
          <t>4</t>
        </is>
      </c>
      <c r="H17556" s="10" t="inlineStr">
        <is>
          <t>21/03/2026</t>
        </is>
      </c>
      <c r="I17556" s="10" t="inlineStr">
        <is>
          <t>17/03/2026</t>
        </is>
      </c>
      <c r="J17556" s="10" t="inlineStr">
        <is>
          <t>Kế toán / Kiểm toán, Xuất nhập khẩu, Sản xuất / Vận hành sản xuất</t>
        </is>
      </c>
      <c r="K17556" s="10" t="inlineStr">
        <is>
          <t>3 - 4 Năm</t>
        </is>
      </c>
      <c r="L17556" s="11">
        <f>HYPERLINK("https://careerviet.vn/vi/tim-viec-lam/ke-toan-tong-hop.35C68C36.html","Xem chi tiết")</f>
        <v/>
      </c>
      <c r="M17556" s="10" t="n"/>
    </row>
    <row r="17557">
      <c r="B17557" s="7" t="n">
        <v>17555</v>
      </c>
      <c r="C17557" t="inlineStr">
        <is>
          <t>Nhân viên bán hàng</t>
        </is>
      </c>
      <c r="D17557" t="inlineStr">
        <is>
          <t>Hỷ Lâm Môn &amp; L'amour Bakery</t>
        </is>
      </c>
      <c r="E17557" t="inlineStr">
        <is>
          <t>Lương:6,5 Tr - 7,5 Tr VND</t>
        </is>
      </c>
      <c r="F17557" t="inlineStr">
        <is>
          <t>Hồ Chí Minh</t>
        </is>
      </c>
      <c r="G17557" t="inlineStr">
        <is>
          <t>4</t>
        </is>
      </c>
      <c r="H17557" t="inlineStr">
        <is>
          <t>21/03/2026</t>
        </is>
      </c>
      <c r="I17557" t="inlineStr">
        <is>
          <t>17/03/2026</t>
        </is>
      </c>
      <c r="J17557" t="inlineStr">
        <is>
          <t>Tiếp thị / Marketing, Bán lẻ / Bán sỉ, Bán hàng / Kinh doanh</t>
        </is>
      </c>
      <c r="K17557" t="inlineStr">
        <is>
          <t>N/A</t>
        </is>
      </c>
      <c r="L17557" s="8">
        <f>HYPERLINK("https://careerviet.vn/vi/tim-viec-lam/nhan-vien-ban-hang.35C68C31.html","Xem chi tiết")</f>
        <v/>
      </c>
    </row>
    <row r="17558">
      <c r="B17558" s="9" t="n">
        <v>17556</v>
      </c>
      <c r="C17558" s="10" t="inlineStr">
        <is>
          <t>Nhân viên Phụ bếp - TP. Thủ Đức | Pathway school</t>
        </is>
      </c>
      <c r="D17558" s="10" t="inlineStr">
        <is>
          <t>Hệ thống trường Pathway Tuệ Đức</t>
        </is>
      </c>
      <c r="E17558" s="10" t="inlineStr">
        <is>
          <t>Lương:Cạnh tranh</t>
        </is>
      </c>
      <c r="F17558" s="10" t="inlineStr">
        <is>
          <t>Hồ Chí Minh</t>
        </is>
      </c>
      <c r="G17558" s="10" t="inlineStr">
        <is>
          <t>06-03-2026</t>
        </is>
      </c>
      <c r="H17558" s="10" t="inlineStr">
        <is>
          <t>10/03/2026</t>
        </is>
      </c>
      <c r="I17558" s="10" t="inlineStr">
        <is>
          <t>17/03/2026</t>
        </is>
      </c>
      <c r="J17558" s="10" t="inlineStr">
        <is>
          <t>Nhà hàng / Khách sạn, Lao động phổ thông</t>
        </is>
      </c>
      <c r="K17558" s="10" t="inlineStr">
        <is>
          <t>1 - 2 Năm</t>
        </is>
      </c>
      <c r="L17558" s="11">
        <f>HYPERLINK("https://careerviet.vn/vi/tim-viec-lam/nhan-vien-phu-bep-tp-thu-duc-pathway-school.35C68C1F.html","Xem chi tiết")</f>
        <v/>
      </c>
      <c r="M17558" s="10" t="n"/>
    </row>
    <row r="17559">
      <c r="B17559" s="7" t="n">
        <v>17557</v>
      </c>
      <c r="C17559" t="inlineStr">
        <is>
          <t>Kỹ sư ứng dụng đo kiểm RF</t>
        </is>
      </c>
      <c r="D17559" t="inlineStr">
        <is>
          <t>CÔNG TY CỔ PHẦN TƯ VẤN VÀ DỊCH VỤ CÔNG NGHỆ ASIC</t>
        </is>
      </c>
      <c r="E17559" t="inlineStr">
        <is>
          <t>Lương:15 Tr - 30 Tr VND</t>
        </is>
      </c>
      <c r="F17559" t="inlineStr">
        <is>
          <t>Hồ Chí Minh</t>
        </is>
      </c>
      <c r="G17559" t="inlineStr">
        <is>
          <t>31-03-2026</t>
        </is>
      </c>
      <c r="H17559" t="inlineStr">
        <is>
          <t>31/03/2026</t>
        </is>
      </c>
      <c r="I17559" t="inlineStr">
        <is>
          <t>17/03/2026</t>
        </is>
      </c>
      <c r="J17559" t="inlineStr">
        <is>
          <t>Bưu chính viễn thông</t>
        </is>
      </c>
      <c r="K17559" t="inlineStr">
        <is>
          <t>1 - 3 Năm</t>
        </is>
      </c>
      <c r="L17559" s="8">
        <f>HYPERLINK("https://careerviet.vn/vi/tim-viec-lam/ky-su-ung-dung-do-kiem-rf.35C68C38.html","Xem chi tiết")</f>
        <v/>
      </c>
    </row>
    <row r="17560">
      <c r="B17560" s="9" t="n">
        <v>17558</v>
      </c>
      <c r="C17560" s="10" t="inlineStr">
        <is>
          <t>Giáo viên Bộ môn Trung học - TP. HCM</t>
        </is>
      </c>
      <c r="D17560" s="10" t="inlineStr">
        <is>
          <t>CareerViet's client</t>
        </is>
      </c>
      <c r="E17560" s="10" t="inlineStr">
        <is>
          <t>Lương:Cạnh tranh</t>
        </is>
      </c>
      <c r="F17560" s="10" t="inlineStr">
        <is>
          <t>Hồ Chí Minh</t>
        </is>
      </c>
      <c r="G17560" s="10" t="inlineStr">
        <is>
          <t>06-03-2026</t>
        </is>
      </c>
      <c r="H17560" s="10" t="inlineStr">
        <is>
          <t>05/03/2026</t>
        </is>
      </c>
      <c r="I17560" s="10" t="inlineStr">
        <is>
          <t>17/03/2026</t>
        </is>
      </c>
      <c r="J17560" s="10" t="inlineStr">
        <is>
          <t>Giáo dục / Đào tạo</t>
        </is>
      </c>
      <c r="K17560" s="10" t="inlineStr">
        <is>
          <t>1 - 3 Năm</t>
        </is>
      </c>
      <c r="L17560" s="11">
        <f>HYPERLINK("https://careerviet.vn/vi/tim-viec-lam/giao-vien-bo-mon-trung-hoc-tp-hcm.35C68C2A.html","Xem chi tiết")</f>
        <v/>
      </c>
      <c r="M17560" s="10" t="n"/>
    </row>
    <row r="17561">
      <c r="B17561" s="7" t="n">
        <v>17559</v>
      </c>
      <c r="C17561" t="inlineStr">
        <is>
          <t>Giáo viên Học đường - Quận 12 | Pathway School</t>
        </is>
      </c>
      <c r="D17561" t="inlineStr">
        <is>
          <t>Hệ thống trường Pathway Tuệ Đức</t>
        </is>
      </c>
      <c r="E17561" t="inlineStr">
        <is>
          <t>Lương:Cạnh tranh</t>
        </is>
      </c>
      <c r="F17561" t="inlineStr">
        <is>
          <t>Hồ Chí Minh</t>
        </is>
      </c>
      <c r="G17561" t="inlineStr">
        <is>
          <t>31-03-2026</t>
        </is>
      </c>
      <c r="H17561" t="inlineStr">
        <is>
          <t>31/03/2026</t>
        </is>
      </c>
      <c r="I17561" t="inlineStr">
        <is>
          <t>17/03/2026</t>
        </is>
      </c>
      <c r="J17561" t="inlineStr">
        <is>
          <t>Giáo dục / Đào tạo</t>
        </is>
      </c>
      <c r="K17561" t="inlineStr">
        <is>
          <t>25 - 45 Năm</t>
        </is>
      </c>
      <c r="L17561" s="8">
        <f>HYPERLINK("https://careerviet.vn/vi/tim-viec-lam/giao-vien-hoc-duong-quan-12-pathway-school.35C68C21.html","Xem chi tiết")</f>
        <v/>
      </c>
    </row>
    <row r="17562">
      <c r="B17562" s="9" t="n">
        <v>17560</v>
      </c>
      <c r="C17562" s="10" t="inlineStr">
        <is>
          <t>Nhân viên Bảo mẫu Mầm non - TP. HCM</t>
        </is>
      </c>
      <c r="D17562" s="10" t="inlineStr">
        <is>
          <t>CareerViet's client</t>
        </is>
      </c>
      <c r="E17562" s="10" t="inlineStr">
        <is>
          <t>Lương:6,5 Tr - 8,5 Tr VND</t>
        </is>
      </c>
      <c r="F17562" s="10" t="inlineStr">
        <is>
          <t>Hồ Chí Minh</t>
        </is>
      </c>
      <c r="G17562" s="10" t="inlineStr">
        <is>
          <t>06-03-2026</t>
        </is>
      </c>
      <c r="H17562" s="10" t="inlineStr">
        <is>
          <t>07/03/2026</t>
        </is>
      </c>
      <c r="I17562" s="10" t="inlineStr">
        <is>
          <t>17/03/2026</t>
        </is>
      </c>
      <c r="J17562" s="10" t="inlineStr">
        <is>
          <t>Giáo dục / Đào tạo</t>
        </is>
      </c>
      <c r="K17562" s="10" t="inlineStr">
        <is>
          <t>18 - 40 Năm</t>
        </is>
      </c>
      <c r="L17562" s="11">
        <f>HYPERLINK("https://careerviet.vn/vi/tim-viec-lam/nhan-vien-bao-mau-mam-non-tp-hcm.35C68C1E.html","Xem chi tiết")</f>
        <v/>
      </c>
      <c r="M17562" s="10" t="n"/>
    </row>
    <row r="17563">
      <c r="B17563" s="7" t="n">
        <v>17561</v>
      </c>
      <c r="C17563" t="inlineStr">
        <is>
          <t>Giáo viên Mầm non - TP. Thủ Đức | Pathway School</t>
        </is>
      </c>
      <c r="D17563" t="inlineStr">
        <is>
          <t>Hệ thống trường Pathway Tuệ Đức</t>
        </is>
      </c>
      <c r="E17563" t="inlineStr">
        <is>
          <t>Lương:Cạnh tranh</t>
        </is>
      </c>
      <c r="F17563" t="inlineStr">
        <is>
          <t>Hồ Chí Minh</t>
        </is>
      </c>
      <c r="G17563" t="inlineStr">
        <is>
          <t>06-03-2026</t>
        </is>
      </c>
      <c r="H17563" t="inlineStr">
        <is>
          <t>26/02/2026</t>
        </is>
      </c>
      <c r="I17563" t="inlineStr">
        <is>
          <t>17/03/2026</t>
        </is>
      </c>
      <c r="J17563" t="inlineStr">
        <is>
          <t>Giáo dục / Đào tạo</t>
        </is>
      </c>
      <c r="K17563" t="inlineStr">
        <is>
          <t>1 - 3 Năm</t>
        </is>
      </c>
      <c r="L17563" s="8">
        <f>HYPERLINK("https://careerviet.vn/vi/tim-viec-lam/giao-vien-mam-non-tp-thu-duc-pathway-school.35C68C29.html","Xem chi tiết")</f>
        <v/>
      </c>
    </row>
    <row r="17564">
      <c r="B17564" s="9" t="n">
        <v>17562</v>
      </c>
      <c r="C17564" s="10" t="inlineStr">
        <is>
          <t>Hiệu trưởng | Phó Hiệu trưởng Tiểu học - TP. HCM</t>
        </is>
      </c>
      <c r="D17564" s="10" t="inlineStr">
        <is>
          <t>CareerViet's client</t>
        </is>
      </c>
      <c r="E17564" s="10" t="inlineStr">
        <is>
          <t>Lương:27 Tr - 35 Tr VND</t>
        </is>
      </c>
      <c r="F17564" s="10" t="inlineStr">
        <is>
          <t>Hồ Chí Minh</t>
        </is>
      </c>
      <c r="G17564" s="10" t="inlineStr">
        <is>
          <t>31-03-2026</t>
        </is>
      </c>
      <c r="H17564" s="10" t="inlineStr">
        <is>
          <t>31/03/2026</t>
        </is>
      </c>
      <c r="I17564" s="10" t="inlineStr">
        <is>
          <t>17/03/2026</t>
        </is>
      </c>
      <c r="J17564" s="10" t="inlineStr">
        <is>
          <t>Giáo dục / Đào tạo, Quản lý điều hành</t>
        </is>
      </c>
      <c r="K17564" s="10" t="inlineStr">
        <is>
          <t>25 - 45 Năm</t>
        </is>
      </c>
      <c r="L17564" s="11">
        <f>HYPERLINK("https://careerviet.vn/vi/tim-viec-lam/hieu-truong-pho-hieu-truong-tieu-hoc-tp-hcm.35C68C23.html","Xem chi tiết")</f>
        <v/>
      </c>
      <c r="M17564" s="10" t="n"/>
    </row>
    <row r="17565">
      <c r="B17565" s="7" t="n">
        <v>17563</v>
      </c>
      <c r="C17565" t="inlineStr">
        <is>
          <t>Production Control &amp; Customer Satisfaction</t>
        </is>
      </c>
      <c r="D17565" t="inlineStr">
        <is>
          <t>Amkor Technology Việt Nam</t>
        </is>
      </c>
      <c r="E17565" t="inlineStr">
        <is>
          <t>Lương:Cạnh tranh</t>
        </is>
      </c>
      <c r="F17565" t="inlineStr">
        <is>
          <t>Bắc Ninh</t>
        </is>
      </c>
      <c r="G17565" t="inlineStr">
        <is>
          <t>31-03-2026</t>
        </is>
      </c>
      <c r="H17565" t="inlineStr">
        <is>
          <t>31/03/2026</t>
        </is>
      </c>
      <c r="I17565" t="inlineStr">
        <is>
          <t>17/03/2026</t>
        </is>
      </c>
      <c r="J17565" t="inlineStr">
        <is>
          <t>Sản xuất / Vận hành sản xuất</t>
        </is>
      </c>
      <c r="K17565" t="inlineStr">
        <is>
          <t>1 - 10 Năm</t>
        </is>
      </c>
      <c r="L17565" s="8">
        <f>HYPERLINK("https://careerviet.vn/vi/tim-viec-lam/production-control-customer-satisfaction.35C68C3F.html","Xem chi tiết")</f>
        <v/>
      </c>
    </row>
    <row r="17566">
      <c r="B17566" s="9" t="n">
        <v>17564</v>
      </c>
      <c r="C17566" s="10" t="inlineStr">
        <is>
          <t>Giáo viên Học đường | Giám thị - Quận 12</t>
        </is>
      </c>
      <c r="D17566" s="10" t="inlineStr">
        <is>
          <t>Bảo mật</t>
        </is>
      </c>
      <c r="E17566" s="10" t="inlineStr">
        <is>
          <t>Lương:Cạnh tranh</t>
        </is>
      </c>
      <c r="F17566" s="10" t="inlineStr">
        <is>
          <t>Hồ Chí Minh</t>
        </is>
      </c>
      <c r="G17566" s="10" t="inlineStr">
        <is>
          <t>06-03-2026</t>
        </is>
      </c>
      <c r="H17566" s="10" t="inlineStr">
        <is>
          <t>12/03/2026</t>
        </is>
      </c>
      <c r="I17566" s="10" t="inlineStr">
        <is>
          <t>17/03/2026</t>
        </is>
      </c>
      <c r="J17566" s="10" t="inlineStr">
        <is>
          <t>Giáo dục / Đào tạo</t>
        </is>
      </c>
      <c r="K17566" s="10" t="inlineStr">
        <is>
          <t>25 - 40 Năm</t>
        </is>
      </c>
      <c r="L17566" s="11">
        <f>HYPERLINK("https://careerviet.vn/vi/tim-viec-lam/giao-vien-hoc-duong-giam-thi-quan-12.35C68C20.html","Xem chi tiết")</f>
        <v/>
      </c>
      <c r="M17566" s="10" t="n"/>
    </row>
    <row r="17567">
      <c r="B17567" s="7" t="n">
        <v>17565</v>
      </c>
      <c r="C17567" t="inlineStr">
        <is>
          <t>Nhân viên thư viện - Pathway School</t>
        </is>
      </c>
      <c r="D17567" t="inlineStr">
        <is>
          <t>Hệ thống trường Pathway Tuệ Đức</t>
        </is>
      </c>
      <c r="E17567" t="inlineStr">
        <is>
          <t>Lương:Cạnh tranh</t>
        </is>
      </c>
      <c r="F17567" t="inlineStr">
        <is>
          <t>Hồ Chí Minh</t>
        </is>
      </c>
      <c r="G17567" t="inlineStr">
        <is>
          <t>4</t>
        </is>
      </c>
      <c r="H17567" t="inlineStr">
        <is>
          <t>21/03/2026</t>
        </is>
      </c>
      <c r="I17567" t="inlineStr">
        <is>
          <t>17/03/2026</t>
        </is>
      </c>
      <c r="J17567" t="inlineStr">
        <is>
          <t>Giáo dục / Đào tạo, Thư viện</t>
        </is>
      </c>
      <c r="K17567" t="inlineStr">
        <is>
          <t>25 - 45 Năm</t>
        </is>
      </c>
      <c r="L17567" s="8">
        <f>HYPERLINK("https://careerviet.vn/vi/tim-viec-lam/nhan-vien-thu-vien-pathway-school.35C68C24.html","Xem chi tiết")</f>
        <v/>
      </c>
    </row>
    <row r="17568">
      <c r="B17568" s="9" t="n">
        <v>17566</v>
      </c>
      <c r="C17568" s="10" t="inlineStr">
        <is>
          <t>Nhân viên Bảo mẫu - TP. Thủ đức | Pathway School</t>
        </is>
      </c>
      <c r="D17568" s="10" t="inlineStr">
        <is>
          <t>Hệ thống trường Pathway Tuệ Đức</t>
        </is>
      </c>
      <c r="E17568" s="10" t="inlineStr">
        <is>
          <t>Lương:Cạnh tranh</t>
        </is>
      </c>
      <c r="F17568" s="10" t="inlineStr">
        <is>
          <t>Hồ Chí Minh</t>
        </is>
      </c>
      <c r="G17568" s="10" t="inlineStr">
        <is>
          <t>06-03-2026</t>
        </is>
      </c>
      <c r="H17568" s="10" t="inlineStr">
        <is>
          <t>14/03/2026</t>
        </is>
      </c>
      <c r="I17568" s="10" t="inlineStr">
        <is>
          <t>17/03/2026</t>
        </is>
      </c>
      <c r="J17568" s="10" t="inlineStr">
        <is>
          <t>Giáo dục / Đào tạo</t>
        </is>
      </c>
      <c r="K17568" s="10" t="inlineStr">
        <is>
          <t>18 - 40 Năm</t>
        </is>
      </c>
      <c r="L17568" s="11">
        <f>HYPERLINK("https://careerviet.vn/vi/tim-viec-lam/nhan-vien-bao-mau-tp-thu-duc-pathway-school.35C68C1D.html","Xem chi tiết")</f>
        <v/>
      </c>
      <c r="M17568" s="10" t="n"/>
    </row>
    <row r="17569">
      <c r="B17569" s="7" t="n">
        <v>17567</v>
      </c>
      <c r="C17569" t="inlineStr">
        <is>
          <t>VIDEO GRAPHER</t>
        </is>
      </c>
      <c r="D17569" t="inlineStr">
        <is>
          <t>CÔNG TY TNHH THẨM MỸ QUỐC TẾ LINH ANH</t>
        </is>
      </c>
      <c r="E17569" t="inlineStr">
        <is>
          <t>Lương:15 Tr - 25 Tr VND</t>
        </is>
      </c>
      <c r="F17569" t="inlineStr">
        <is>
          <t>Hồ Chí Minh</t>
        </is>
      </c>
      <c r="G17569" t="inlineStr">
        <is>
          <t>11-04-2026</t>
        </is>
      </c>
      <c r="H17569" t="inlineStr">
        <is>
          <t>11/04/2026</t>
        </is>
      </c>
      <c r="I17569" t="inlineStr">
        <is>
          <t>17/03/2026</t>
        </is>
      </c>
      <c r="J17569" t="inlineStr">
        <is>
          <t>Tiếp thị / Marketing</t>
        </is>
      </c>
      <c r="K17569" t="inlineStr">
        <is>
          <t>3 - 5 Năm</t>
        </is>
      </c>
      <c r="L17569" s="8">
        <f>HYPERLINK("https://careerviet.vn/vi/tim-viec-lam/video-grapher.35C6A140.html","Xem chi tiết")</f>
        <v/>
      </c>
    </row>
    <row r="17570">
      <c r="B17570" s="9" t="n">
        <v>17568</v>
      </c>
      <c r="C17570" s="10" t="inlineStr">
        <is>
          <t>Nhân viên Y tế học đường - TP. Thủ Đức - Pathway School</t>
        </is>
      </c>
      <c r="D17570" s="10" t="inlineStr">
        <is>
          <t>Hệ thống trường Pathway Tuệ Đức</t>
        </is>
      </c>
      <c r="E17570" s="10" t="inlineStr">
        <is>
          <t>Lương:Cạnh tranh</t>
        </is>
      </c>
      <c r="F17570" s="10" t="inlineStr">
        <is>
          <t>Hồ Chí Minh</t>
        </is>
      </c>
      <c r="G17570" s="10" t="inlineStr">
        <is>
          <t>06-03-2026</t>
        </is>
      </c>
      <c r="H17570" s="10" t="inlineStr">
        <is>
          <t>07/03/2026</t>
        </is>
      </c>
      <c r="I17570" s="10" t="inlineStr">
        <is>
          <t>17/03/2026</t>
        </is>
      </c>
      <c r="J17570" s="10" t="inlineStr">
        <is>
          <t>Y tế / Chăm sóc sức khỏe / Thẩm mỹ / Làm đẹp, Giáo dục / Đào tạo</t>
        </is>
      </c>
      <c r="K17570" s="10" t="inlineStr">
        <is>
          <t>1 - 3 Năm</t>
        </is>
      </c>
      <c r="L17570" s="11">
        <f>HYPERLINK("https://careerviet.vn/vi/tim-viec-lam/nhan-vien-y-te-hoc-duong-tp-thu-duc-pathway-school.35C68C28.html","Xem chi tiết")</f>
        <v/>
      </c>
      <c r="M17570" s="10" t="n"/>
    </row>
    <row r="17571">
      <c r="B17571" s="7" t="n">
        <v>17569</v>
      </c>
      <c r="C17571" t="inlineStr">
        <is>
          <t>Nhân Viên Kinh Doanh Thực Phẩm Khu vực Hồ Chí Minh</t>
        </is>
      </c>
      <c r="D17571" t="inlineStr">
        <is>
          <t>CÔNG TY CỔ PHẦN THƯƠNG MẠI VÀ CÔNG NGHỆ THỰC PHẨM HOÀNG LÂM</t>
        </is>
      </c>
      <c r="E17571" t="inlineStr">
        <is>
          <t>Lương:Trên 20 Tr VND</t>
        </is>
      </c>
      <c r="F17571" t="inlineStr">
        <is>
          <t>Hồ Chí Minh</t>
        </is>
      </c>
      <c r="G17571" t="inlineStr">
        <is>
          <t>31-03-2026</t>
        </is>
      </c>
      <c r="H17571" t="inlineStr">
        <is>
          <t>31/03/2026</t>
        </is>
      </c>
      <c r="I17571" t="inlineStr">
        <is>
          <t>17/03/2026</t>
        </is>
      </c>
      <c r="J17571" t="inlineStr">
        <is>
          <t>Bán hàng / Kinh doanh, Thực phẩm &amp; Đồ uống, Công nghệ thực phẩm / Dinh dưỡng</t>
        </is>
      </c>
      <c r="K17571" t="inlineStr">
        <is>
          <t>1 - 2 Năm</t>
        </is>
      </c>
      <c r="L17571" s="8">
        <f>HYPERLINK("https://careerviet.vn/vi/tim-viec-lam/nhan-vien-kinh-doanh-thuc-pham-khu-vuc-ho-chi-minh.35C6A127.html","Xem chi tiết")</f>
        <v/>
      </c>
    </row>
    <row r="17572">
      <c r="B17572" s="9" t="n">
        <v>17570</v>
      </c>
      <c r="C17572" s="10" t="inlineStr">
        <is>
          <t>Chuyên viên tuyển dụng</t>
        </is>
      </c>
      <c r="D17572" s="10" t="inlineStr">
        <is>
          <t>CÔNG TY CỔ PHẦN THÁI VIỆT CORPORATION</t>
        </is>
      </c>
      <c r="E17572" s="10" t="inlineStr">
        <is>
          <t>Lương:15 Tr - 18 Tr VND</t>
        </is>
      </c>
      <c r="F17572" s="10" t="inlineStr">
        <is>
          <t>Hồ Chí Minh</t>
        </is>
      </c>
      <c r="G17572" s="10" t="inlineStr">
        <is>
          <t>25-03-2026</t>
        </is>
      </c>
      <c r="H17572" s="10" t="inlineStr">
        <is>
          <t>25/03/2026</t>
        </is>
      </c>
      <c r="I17572" s="10" t="inlineStr">
        <is>
          <t>17/03/2026</t>
        </is>
      </c>
      <c r="J17572" s="10" t="inlineStr">
        <is>
          <t>Nhân sự, Quản lý điều hành</t>
        </is>
      </c>
      <c r="K17572" s="10" t="inlineStr">
        <is>
          <t>3 - 5 Năm</t>
        </is>
      </c>
      <c r="L17572" s="11">
        <f>HYPERLINK("https://careerviet.vn/vi/tim-viec-lam/chuyen-vien-tuyen-dung.35C68C3A.html","Xem chi tiết")</f>
        <v/>
      </c>
      <c r="M17572" s="10" t="n"/>
    </row>
    <row r="17573">
      <c r="B17573" s="7" t="n">
        <v>17571</v>
      </c>
      <c r="C17573" t="inlineStr">
        <is>
          <t>Kiểm toán nội bộ</t>
        </is>
      </c>
      <c r="D17573" t="inlineStr">
        <is>
          <t>CÔNG TY CỔ PHẦN TẬP ĐOÀN ONSEN FUJI</t>
        </is>
      </c>
      <c r="E17573" t="inlineStr">
        <is>
          <t>Lương:20 Tr - 30 Tr VND</t>
        </is>
      </c>
      <c r="F17573" t="inlineStr">
        <is>
          <t>Hà Nội</t>
        </is>
      </c>
      <c r="G17573" t="inlineStr">
        <is>
          <t>31-03-2026</t>
        </is>
      </c>
      <c r="H17573" t="inlineStr">
        <is>
          <t>31/03/2026</t>
        </is>
      </c>
      <c r="I17573" t="inlineStr">
        <is>
          <t>17/03/2026</t>
        </is>
      </c>
      <c r="J17573" t="inlineStr">
        <is>
          <t>Kế toán / Kiểm toán, Bất động sản, Ngành khác</t>
        </is>
      </c>
      <c r="K17573" t="inlineStr">
        <is>
          <t>4 - 5 Năm</t>
        </is>
      </c>
      <c r="L17573" s="8">
        <f>HYPERLINK("https://careerviet.vn/vi/tim-viec-lam/kiem-toan-noi-bo.35C6A15B.html","Xem chi tiết")</f>
        <v/>
      </c>
    </row>
    <row r="17574">
      <c r="B17574" s="9" t="n">
        <v>17572</v>
      </c>
      <c r="C17574" s="10" t="inlineStr">
        <is>
          <t>Nhân viên Văn phòng Kho (Thành phẩm mẫu)</t>
        </is>
      </c>
      <c r="D17574" s="10" t="inlineStr">
        <is>
          <t>Công Ty TNHH Ortholite Việt Nam</t>
        </is>
      </c>
      <c r="E17574" s="10" t="inlineStr">
        <is>
          <t>Lương:Cạnh tranh</t>
        </is>
      </c>
      <c r="F17574" s="10" t="inlineStr">
        <is>
          <t>Bình Dương</t>
        </is>
      </c>
      <c r="G17574" s="10" t="inlineStr">
        <is>
          <t>30-03-2026</t>
        </is>
      </c>
      <c r="H17574" s="10" t="inlineStr">
        <is>
          <t>30/03/2026</t>
        </is>
      </c>
      <c r="I17574" s="10" t="inlineStr">
        <is>
          <t>17/03/2026</t>
        </is>
      </c>
      <c r="J17574" s="10" t="inlineStr">
        <is>
          <t>Kế toán / Kiểm toán, Vận chuyển / Giao nhận / Kho vận, Dệt may / Da giày / Thời trang</t>
        </is>
      </c>
      <c r="K17574" s="10" t="inlineStr">
        <is>
          <t>1 - 2 Năm</t>
        </is>
      </c>
      <c r="L17574" s="11">
        <f>HYPERLINK("https://careerviet.vn/vi/tim-viec-lam/nhan-vien-van-phong-kho-thanh-pham-mau.35C6A146.html","Xem chi tiết")</f>
        <v/>
      </c>
      <c r="M17574" s="10" t="n"/>
    </row>
    <row r="17575">
      <c r="B17575" s="7" t="n">
        <v>17573</v>
      </c>
      <c r="C17575" t="inlineStr">
        <is>
          <t>TRỢ LÝ TIẾNG TRUNG (CẦN THƠ)</t>
        </is>
      </c>
      <c r="D17575" t="inlineStr">
        <is>
          <t>Công Ty TNHH BEST Logistics Technology (Việt Nam)</t>
        </is>
      </c>
      <c r="E17575" t="inlineStr">
        <is>
          <t>Lương:13 Tr - 17 Tr VND</t>
        </is>
      </c>
      <c r="F17575" t="inlineStr">
        <is>
          <t>Cần Thơ</t>
        </is>
      </c>
      <c r="G17575" t="inlineStr">
        <is>
          <t>3</t>
        </is>
      </c>
      <c r="H17575" t="inlineStr">
        <is>
          <t>20/03/2026</t>
        </is>
      </c>
      <c r="I17575" t="inlineStr">
        <is>
          <t>17/03/2026</t>
        </is>
      </c>
      <c r="J17575" t="inlineStr">
        <is>
          <t>Vận chuyển / Giao nhận / Kho vận, Bưu chính viễn thông</t>
        </is>
      </c>
      <c r="K17575" t="inlineStr">
        <is>
          <t>1 - 3 Năm</t>
        </is>
      </c>
      <c r="L17575" s="8">
        <f>HYPERLINK("https://careerviet.vn/vi/tim-viec-lam/tro-ly-tieng-trung-can-tho.35C68C2D.html","Xem chi tiết")</f>
        <v/>
      </c>
    </row>
    <row r="17576">
      <c r="B17576" s="9" t="n">
        <v>17574</v>
      </c>
      <c r="C17576" s="10" t="inlineStr">
        <is>
          <t>Kiến Trúc Sư Quy Hoạch</t>
        </is>
      </c>
      <c r="D17576" s="10" t="inlineStr">
        <is>
          <t>CÔNG TY CỔ PHẦN TẬP ĐOÀN ONSEN FUJI</t>
        </is>
      </c>
      <c r="E17576" s="10" t="inlineStr">
        <is>
          <t>Lương:20 Tr - 30 Tr VND</t>
        </is>
      </c>
      <c r="F17576" s="10" t="inlineStr">
        <is>
          <t>Hà Nội</t>
        </is>
      </c>
      <c r="G17576" s="10" t="inlineStr">
        <is>
          <t>31-03-2026</t>
        </is>
      </c>
      <c r="H17576" s="10" t="inlineStr">
        <is>
          <t>31/03/2026</t>
        </is>
      </c>
      <c r="I17576" s="10" t="inlineStr">
        <is>
          <t>17/03/2026</t>
        </is>
      </c>
      <c r="J17576" s="10" t="inlineStr">
        <is>
          <t>Xây dựng, Bất động sản, Kiến trúc</t>
        </is>
      </c>
      <c r="K17576" s="10" t="inlineStr">
        <is>
          <t>4 - 6 Năm</t>
        </is>
      </c>
      <c r="L17576" s="11">
        <f>HYPERLINK("https://careerviet.vn/vi/tim-viec-lam/kien-truc-su-quy-hoach.35C6A19E.html","Xem chi tiết")</f>
        <v/>
      </c>
      <c r="M17576" s="10" t="n"/>
    </row>
    <row r="17577">
      <c r="B17577" s="7" t="n">
        <v>17575</v>
      </c>
      <c r="C17577" t="inlineStr">
        <is>
          <t>Nhân viên an toàn lao động</t>
        </is>
      </c>
      <c r="D17577" t="inlineStr">
        <is>
          <t>Công ty cổ phần Alumax Việt Nam</t>
        </is>
      </c>
      <c r="E17577" t="inlineStr">
        <is>
          <t>Lương:9 Tr - 15 Tr VND</t>
        </is>
      </c>
      <c r="F17577" t="inlineStr">
        <is>
          <t>Hà Nội</t>
        </is>
      </c>
      <c r="G17577" t="inlineStr">
        <is>
          <t>06-03-2026</t>
        </is>
      </c>
      <c r="H17577" t="inlineStr">
        <is>
          <t>16/03/2026</t>
        </is>
      </c>
      <c r="I17577" t="inlineStr">
        <is>
          <t>17/03/2026</t>
        </is>
      </c>
      <c r="J17577" t="inlineStr">
        <is>
          <t>An toàn lao động, Kiến trúc, Xây dựng</t>
        </is>
      </c>
      <c r="K17577" t="inlineStr">
        <is>
          <t>1 - 2 Năm</t>
        </is>
      </c>
      <c r="L17577" s="8">
        <f>HYPERLINK("https://careerviet.vn/vi/tim-viec-lam/nhan-vien-an-toan-lao-dong.35C6A115.html","Xem chi tiết")</f>
        <v/>
      </c>
    </row>
    <row r="17578">
      <c r="B17578" s="9" t="n">
        <v>17576</v>
      </c>
      <c r="C17578" s="10" t="inlineStr">
        <is>
          <t>Kế toán thanh toán</t>
        </is>
      </c>
      <c r="D17578" s="10" t="inlineStr">
        <is>
          <t>Công Ty Cổ Phần Xây Dựng Phước Thành</t>
        </is>
      </c>
      <c r="E17578" s="10" t="inlineStr">
        <is>
          <t>Lương:20 Tr - 25 Tr VND</t>
        </is>
      </c>
      <c r="F17578" s="10" t="inlineStr">
        <is>
          <t>Hồ Chí Minh</t>
        </is>
      </c>
      <c r="G17578" s="10" t="inlineStr">
        <is>
          <t>30-03-2026</t>
        </is>
      </c>
      <c r="H17578" s="10" t="inlineStr">
        <is>
          <t>30/03/2026</t>
        </is>
      </c>
      <c r="I17578" s="10" t="inlineStr">
        <is>
          <t>17/03/2026</t>
        </is>
      </c>
      <c r="J17578" s="10" t="inlineStr">
        <is>
          <t>Xây dựng, Ngành khác, Kế toán / Kiểm toán</t>
        </is>
      </c>
      <c r="K17578" s="10" t="inlineStr">
        <is>
          <t>2 - 5 Năm</t>
        </is>
      </c>
      <c r="L17578" s="11">
        <f>HYPERLINK("https://careerviet.vn/vi/tim-viec-lam/ke-toan-thanh-toan.35C6A196.html","Xem chi tiết")</f>
        <v/>
      </c>
      <c r="M17578" s="10" t="n"/>
    </row>
    <row r="17579">
      <c r="B17579" s="7" t="n">
        <v>17577</v>
      </c>
      <c r="C17579" t="inlineStr">
        <is>
          <t>Embedded Firmware Engineer</t>
        </is>
      </c>
      <c r="D17579" t="inlineStr">
        <is>
          <t>Công ty TNHH Hòa Kiến Nhân</t>
        </is>
      </c>
      <c r="E17579" t="inlineStr">
        <is>
          <t>Lương:11 Tr - 17 Tr VND</t>
        </is>
      </c>
      <c r="F17579" t="inlineStr">
        <is>
          <t>Hồ Chí Minh</t>
        </is>
      </c>
      <c r="G17579" t="inlineStr">
        <is>
          <t>31-03-2026</t>
        </is>
      </c>
      <c r="H17579" t="inlineStr">
        <is>
          <t>31/03/2026</t>
        </is>
      </c>
      <c r="I17579" t="inlineStr">
        <is>
          <t>17/03/2026</t>
        </is>
      </c>
      <c r="J17579" t="inlineStr">
        <is>
          <t>CNTT - Phần mềm, CNTT - Phần cứng / Mạng</t>
        </is>
      </c>
      <c r="K17579" t="inlineStr">
        <is>
          <t>1 - 4 Năm</t>
        </is>
      </c>
      <c r="L17579" s="8">
        <f>HYPERLINK("https://careerviet.vn/vi/tim-viec-lam/embedded-firmware-engineer.35C6A1CE.html","Xem chi tiết")</f>
        <v/>
      </c>
    </row>
    <row r="17580">
      <c r="B17580" s="9" t="n">
        <v>17578</v>
      </c>
      <c r="C17580" s="10" t="inlineStr">
        <is>
          <t>Chuyên Viên Bảo Hành</t>
        </is>
      </c>
      <c r="D17580" s="10" t="inlineStr">
        <is>
          <t>Công ty Cổ phần Mediamart Việt Nam</t>
        </is>
      </c>
      <c r="E17580" s="10" t="inlineStr">
        <is>
          <t>Lương:10 Tr - 15 Tr VND</t>
        </is>
      </c>
      <c r="F17580" s="10" t="inlineStr">
        <is>
          <t>Hà Nội</t>
        </is>
      </c>
      <c r="G17580" s="10" t="inlineStr">
        <is>
          <t>6</t>
        </is>
      </c>
      <c r="H17580" s="10" t="inlineStr">
        <is>
          <t>23/03/2026</t>
        </is>
      </c>
      <c r="I17580" s="10" t="inlineStr">
        <is>
          <t>17/03/2026</t>
        </is>
      </c>
      <c r="J17580" s="10" t="inlineStr">
        <is>
          <t>Điện / Điện tử / Điện lạnh / Điện công nghiệp, Bảo trì / Sửa chữa, CNTT - Phần cứng / Mạng</t>
        </is>
      </c>
      <c r="K17580" s="10" t="inlineStr">
        <is>
          <t>1 - 2 Năm</t>
        </is>
      </c>
      <c r="L17580" s="11">
        <f>HYPERLINK("https://careerviet.vn/vi/tim-viec-lam/chuyen-vien-bao-hanh.35C6A188.html","Xem chi tiết")</f>
        <v/>
      </c>
      <c r="M17580" s="10" t="n"/>
    </row>
    <row r="17581">
      <c r="B17581" s="7" t="n">
        <v>17579</v>
      </c>
      <c r="C17581" t="inlineStr">
        <is>
          <t>Điều dưỡng dụng cụ</t>
        </is>
      </c>
      <c r="D17581" t="inlineStr">
        <is>
          <t>BỆNH VIỆN ĐA KHOA PHƯƠNG NAM</t>
        </is>
      </c>
      <c r="E17581" t="inlineStr">
        <is>
          <t>Lương:Cạnh tranh</t>
        </is>
      </c>
      <c r="F17581" t="inlineStr">
        <is>
          <t>Hồ Chí Minh</t>
        </is>
      </c>
      <c r="G17581" t="inlineStr">
        <is>
          <t>30-04-2026</t>
        </is>
      </c>
      <c r="H17581" t="inlineStr">
        <is>
          <t>30/04/2026</t>
        </is>
      </c>
      <c r="I17581" t="inlineStr">
        <is>
          <t>17/03/2026</t>
        </is>
      </c>
      <c r="J17581" t="inlineStr">
        <is>
          <t>Y tế / Chăm sóc sức khỏe / Thẩm mỹ / Làm đẹp</t>
        </is>
      </c>
      <c r="K17581" t="inlineStr">
        <is>
          <t>1 - 2 Năm</t>
        </is>
      </c>
      <c r="L17581" s="8">
        <f>HYPERLINK("https://careerviet.vn/vi/tim-viec-lam/dieu-duong-dung-cu.35C6A15F.html","Xem chi tiết")</f>
        <v/>
      </c>
    </row>
    <row r="17582">
      <c r="B17582" s="9" t="n">
        <v>17580</v>
      </c>
      <c r="C17582" s="10" t="inlineStr">
        <is>
          <t>Pricing Staff</t>
        </is>
      </c>
      <c r="D17582" s="10" t="inlineStr">
        <is>
          <t>Vietnam Furniture Resources (VFR)</t>
        </is>
      </c>
      <c r="E17582" s="10" t="inlineStr">
        <is>
          <t>Lương:Cạnh tranh</t>
        </is>
      </c>
      <c r="F17582" s="10" t="inlineStr">
        <is>
          <t>Bình Dương</t>
        </is>
      </c>
      <c r="G17582" s="10" t="inlineStr">
        <is>
          <t>29-03-2026</t>
        </is>
      </c>
      <c r="H17582" s="10" t="inlineStr">
        <is>
          <t>29/03/2026</t>
        </is>
      </c>
      <c r="I17582" s="10" t="inlineStr">
        <is>
          <t>17/03/2026</t>
        </is>
      </c>
      <c r="J17582" s="10" t="inlineStr">
        <is>
          <t>Thu mua / Vật tư, Nội ngoại thất, Ngành khác</t>
        </is>
      </c>
      <c r="K17582" s="10" t="inlineStr">
        <is>
          <t>2 - 8 Năm</t>
        </is>
      </c>
      <c r="L17582" s="11">
        <f>HYPERLINK("https://careerviet.vn/vi/tim-viec-lam/pricing-staff.35C6A227.html","Xem chi tiết")</f>
        <v/>
      </c>
      <c r="M17582" s="10" t="n"/>
    </row>
    <row r="17583">
      <c r="B17583" s="7" t="n">
        <v>17581</v>
      </c>
      <c r="C17583" t="inlineStr">
        <is>
          <t>Trưởng nhóm chứng từ xuất nhập khẩu</t>
        </is>
      </c>
      <c r="D17583" t="inlineStr">
        <is>
          <t>Công Ty TNHH Xúc Tiến Thương Mại NBT Holdings</t>
        </is>
      </c>
      <c r="E17583" t="inlineStr">
        <is>
          <t>Lương:15 Tr - 20 Tr VND</t>
        </is>
      </c>
      <c r="F17583" t="inlineStr">
        <is>
          <t>Hà Nội</t>
        </is>
      </c>
      <c r="G17583" t="inlineStr">
        <is>
          <t>06-03-2026</t>
        </is>
      </c>
      <c r="H17583" t="inlineStr">
        <is>
          <t>15/03/2026</t>
        </is>
      </c>
      <c r="I17583" t="inlineStr">
        <is>
          <t>17/03/2026</t>
        </is>
      </c>
      <c r="J17583" t="inlineStr">
        <is>
          <t>Xuất nhập khẩu, Biên phiên dịch, Bán hàng / Kinh doanh</t>
        </is>
      </c>
      <c r="K17583" t="inlineStr">
        <is>
          <t>2 - 3 Năm</t>
        </is>
      </c>
      <c r="L17583" s="8">
        <f>HYPERLINK("https://careerviet.vn/vi/tim-viec-lam/truong-nhom-chung-tu-xuat-nhap-khau.35C6A147.html","Xem chi tiết")</f>
        <v/>
      </c>
    </row>
    <row r="17584">
      <c r="B17584" s="9" t="n">
        <v>17582</v>
      </c>
      <c r="C17584" s="10" t="inlineStr">
        <is>
          <t>Tuyển dụng Thủ kho nhà máy, LV tại Tiến Xuân, Thạch Thất cũ, TN 9-11 triệu</t>
        </is>
      </c>
      <c r="D17584" s="10" t="inlineStr">
        <is>
          <t>CÔNG TY CỔ PHẦN PHÁT TRIỂN CƠ ĐIỆN LẠNH HOÀNG ĐẠT</t>
        </is>
      </c>
      <c r="E17584" s="10" t="inlineStr">
        <is>
          <t>Lương:9 Tr - 11 Tr VND</t>
        </is>
      </c>
      <c r="F17584" s="10" t="inlineStr">
        <is>
          <t>Hà Nội</t>
        </is>
      </c>
      <c r="G17584" s="10" t="inlineStr">
        <is>
          <t>31-03-2026</t>
        </is>
      </c>
      <c r="H17584" s="10" t="inlineStr">
        <is>
          <t>31/03/2026</t>
        </is>
      </c>
      <c r="I17584" s="10" t="inlineStr">
        <is>
          <t>17/03/2026</t>
        </is>
      </c>
      <c r="J17584" s="10" t="inlineStr">
        <is>
          <t>Vận chuyển / Giao nhận / Kho vận</t>
        </is>
      </c>
      <c r="K17584" s="10" t="inlineStr">
        <is>
          <t>1 - 2 Năm</t>
        </is>
      </c>
      <c r="L17584" s="11">
        <f>HYPERLINK("https://careerviet.vn/vi/tim-viec-lam/tuyen-dung-thu-kho-nha-may-lv-tai-tien-xuan-thach-that-cu-tn-9-11-trieu.35C6A263.html","Xem chi tiết")</f>
        <v/>
      </c>
      <c r="M17584" s="10" t="n"/>
    </row>
    <row r="17585">
      <c r="B17585" s="7" t="n">
        <v>17583</v>
      </c>
      <c r="C17585" t="inlineStr">
        <is>
          <t>Khối trưởng Chuyên môn Mầm non (Long Khánh - Đồng Nai)</t>
        </is>
      </c>
      <c r="D17585" t="inlineStr">
        <is>
          <t>Công Ty CP Liên Kết Quốc Tế INTERLINK (Trường Liên Kết Quốc Tế INschool &amp; Ngoại Ngữ Quốc Tế INS ENGLISH &amp; CHINESE)</t>
        </is>
      </c>
      <c r="E17585" t="inlineStr">
        <is>
          <t>Lương:10 Tr - 14 Tr VND</t>
        </is>
      </c>
      <c r="F17585" t="inlineStr">
        <is>
          <t>Đồng Nai</t>
        </is>
      </c>
      <c r="G17585" t="inlineStr">
        <is>
          <t>27-03-2026</t>
        </is>
      </c>
      <c r="H17585" t="inlineStr">
        <is>
          <t>27/03/2026</t>
        </is>
      </c>
      <c r="I17585" t="inlineStr">
        <is>
          <t>17/03/2026</t>
        </is>
      </c>
      <c r="J17585" t="inlineStr">
        <is>
          <t>Giáo dục / Đào tạo</t>
        </is>
      </c>
      <c r="K17585" t="inlineStr">
        <is>
          <t>2 - 3 Năm</t>
        </is>
      </c>
      <c r="L17585" s="8">
        <f>HYPERLINK("https://careerviet.vn/vi/tim-viec-lam/khoi-truong-chuyen-mon-mam-non-long-khanh-dong-nai.35C6A216.html","Xem chi tiết")</f>
        <v/>
      </c>
    </row>
    <row r="17586">
      <c r="B17586" s="9" t="n">
        <v>17584</v>
      </c>
      <c r="C17586" s="10" t="inlineStr">
        <is>
          <t>Nhân viên giao hàng tại kho Quận 12</t>
        </is>
      </c>
      <c r="D17586" s="10" t="inlineStr">
        <is>
          <t>Công ty CP Toshiko Việt Nam</t>
        </is>
      </c>
      <c r="E17586" s="10" t="inlineStr">
        <is>
          <t>Lương:10 Tr - 15 Tr VND</t>
        </is>
      </c>
      <c r="F17586" s="10" t="inlineStr">
        <is>
          <t>Hồ Chí Minh</t>
        </is>
      </c>
      <c r="G17586" s="10" t="inlineStr">
        <is>
          <t>28-03-2026</t>
        </is>
      </c>
      <c r="H17586" s="10" t="inlineStr">
        <is>
          <t>28/03/2026</t>
        </is>
      </c>
      <c r="I17586" s="10" t="inlineStr">
        <is>
          <t>17/03/2026</t>
        </is>
      </c>
      <c r="J17586" s="10" t="inlineStr">
        <is>
          <t>Vận chuyển / Giao nhận / Kho vận</t>
        </is>
      </c>
      <c r="K17586" s="10" t="inlineStr">
        <is>
          <t>1 - 2 Năm</t>
        </is>
      </c>
      <c r="L17586" s="11">
        <f>HYPERLINK("https://careerviet.vn/vi/tim-viec-lam/nhan-vien-giao-hang-tai-kho-quan-12.35C6A22C.html","Xem chi tiết")</f>
        <v/>
      </c>
      <c r="M17586" s="10" t="n"/>
    </row>
    <row r="17587">
      <c r="B17587" s="7" t="n">
        <v>17585</v>
      </c>
      <c r="C17587" t="inlineStr">
        <is>
          <t>Nhân Viên Sự Kiện (Phú Thọ)</t>
        </is>
      </c>
      <c r="D17587" t="inlineStr">
        <is>
          <t>CÔNG TY CỔ PHẦN TẬP ĐOÀN ONSEN FUJI</t>
        </is>
      </c>
      <c r="E17587" t="inlineStr">
        <is>
          <t>Lương:10 Tr - 15 Tr VND</t>
        </is>
      </c>
      <c r="F17587" t="inlineStr">
        <is>
          <t>Phú Thọ</t>
        </is>
      </c>
      <c r="G17587" t="inlineStr">
        <is>
          <t>01-04-2026</t>
        </is>
      </c>
      <c r="H17587" t="inlineStr">
        <is>
          <t>01/04/2026</t>
        </is>
      </c>
      <c r="I17587" t="inlineStr">
        <is>
          <t>17/03/2026</t>
        </is>
      </c>
      <c r="J17587" t="inlineStr">
        <is>
          <t>Nhà hàng / Khách sạn</t>
        </is>
      </c>
      <c r="K17587" t="inlineStr">
        <is>
          <t>1 - 2 Năm</t>
        </is>
      </c>
      <c r="L17587" s="8">
        <f>HYPERLINK("https://careerviet.vn/vi/tim-viec-lam/nhan-vien-su-kien-phu-tho.35C6A14D.html","Xem chi tiết")</f>
        <v/>
      </c>
    </row>
    <row r="17588">
      <c r="B17588" s="9" t="n">
        <v>17586</v>
      </c>
      <c r="C17588" s="10" t="inlineStr">
        <is>
          <t>Kế toán trưởng nhà máy - LV tại Mễ Trì, Nam Từ Liêm, HN, TN 30-40 triệu</t>
        </is>
      </c>
      <c r="D17588" s="10" t="inlineStr">
        <is>
          <t>CÔNG TY CỔ PHẦN PHÁT TRIỂN CƠ ĐIỆN LẠNH HOÀNG ĐẠT</t>
        </is>
      </c>
      <c r="E17588" s="10" t="inlineStr">
        <is>
          <t>Lương:30 Tr - 40 Tr VND</t>
        </is>
      </c>
      <c r="F17588" s="10" t="inlineStr">
        <is>
          <t>Hà NộiBắc Ninh</t>
        </is>
      </c>
      <c r="G17588" s="10" t="inlineStr">
        <is>
          <t>31-03-2026</t>
        </is>
      </c>
      <c r="H17588" s="10" t="inlineStr">
        <is>
          <t>31/03/2026</t>
        </is>
      </c>
      <c r="I17588" s="10" t="inlineStr">
        <is>
          <t>17/03/2026</t>
        </is>
      </c>
      <c r="J17588" s="10" t="inlineStr">
        <is>
          <t>Kế toán / Kiểm toán</t>
        </is>
      </c>
      <c r="K17588" s="10" t="inlineStr">
        <is>
          <t>6 - 10 Năm</t>
        </is>
      </c>
      <c r="L17588" s="11">
        <f>HYPERLINK("https://careerviet.vn/vi/tim-viec-lam/ke-toan-truong-nha-may-lv-tai-me-tri-nam-tu-liem-hn-tn-30-40-trieu.35C6A260.html","Xem chi tiết")</f>
        <v/>
      </c>
      <c r="M17588" s="10" t="n"/>
    </row>
    <row r="17589">
      <c r="B17589" s="7" t="n">
        <v>17587</v>
      </c>
      <c r="C17589" t="inlineStr">
        <is>
          <t>Phó Trưởng Phòng Tài Chính</t>
        </is>
      </c>
      <c r="D17589" t="inlineStr">
        <is>
          <t>CÔNG TY CỔ PHẦN ĐẦU TƯ THIÊN ÂN</t>
        </is>
      </c>
      <c r="E17589" t="inlineStr">
        <is>
          <t>Lương:25 Tr - 35 Tr VND</t>
        </is>
      </c>
      <c r="F17589" t="inlineStr">
        <is>
          <t>Hà Nội</t>
        </is>
      </c>
      <c r="G17589" t="inlineStr">
        <is>
          <t>31-03-2026</t>
        </is>
      </c>
      <c r="H17589" t="inlineStr">
        <is>
          <t>31/03/2026</t>
        </is>
      </c>
      <c r="I17589" t="inlineStr">
        <is>
          <t>17/03/2026</t>
        </is>
      </c>
      <c r="J17589" t="inlineStr">
        <is>
          <t>Kế toán / Kiểm toán, Tài chính / Đầu tư, Xây dựng</t>
        </is>
      </c>
      <c r="K17589" t="inlineStr">
        <is>
          <t>5 - 10 Năm</t>
        </is>
      </c>
      <c r="L17589" s="8">
        <f>HYPERLINK("https://careerviet.vn/vi/tim-viec-lam/pho-truong-phong-tai-chinh.35C6A241.html","Xem chi tiết")</f>
        <v/>
      </c>
    </row>
    <row r="17590">
      <c r="B17590" s="9" t="n">
        <v>17588</v>
      </c>
      <c r="C17590" s="10" t="inlineStr">
        <is>
          <t>KỸ SƯ THIẾT KẾ CÔNG TRÌNH HẠ TẦNG GIAO THÔNG</t>
        </is>
      </c>
      <c r="D17590" s="10" t="inlineStr">
        <is>
          <t>CÔNG TY CP ĐẦU TƯ PHÁT TRIỂN TRÍ DƯƠNG</t>
        </is>
      </c>
      <c r="E17590" s="10" t="inlineStr">
        <is>
          <t>Lương:Cạnh tranh</t>
        </is>
      </c>
      <c r="F17590" s="10" t="inlineStr">
        <is>
          <t>Nghệ An</t>
        </is>
      </c>
      <c r="G17590" s="10" t="inlineStr">
        <is>
          <t>28-03-2026</t>
        </is>
      </c>
      <c r="H17590" s="10" t="inlineStr">
        <is>
          <t>28/03/2026</t>
        </is>
      </c>
      <c r="I17590" s="10" t="inlineStr">
        <is>
          <t>17/03/2026</t>
        </is>
      </c>
      <c r="J17590" s="10" t="inlineStr">
        <is>
          <t>Kiến trúc, Xây dựng, Bất động sản</t>
        </is>
      </c>
      <c r="K17590" s="10" t="inlineStr">
        <is>
          <t>3 - 7 Năm</t>
        </is>
      </c>
      <c r="L17590" s="11">
        <f>HYPERLINK("https://careerviet.vn/vi/tim-viec-lam/ky-su-thiet-ke-cong-trinh-ha-tang-giao-thong.35C6A1F7.html","Xem chi tiết")</f>
        <v/>
      </c>
      <c r="M17590" s="10" t="n"/>
    </row>
    <row r="17591">
      <c r="B17591" s="7" t="n">
        <v>17589</v>
      </c>
      <c r="C17591" t="inlineStr">
        <is>
          <t>Nhân viên Quản lý chất lượng</t>
        </is>
      </c>
      <c r="D17591" t="inlineStr">
        <is>
          <t>BỆNH VIỆN ĐA KHOA PHƯƠNG ĐÔNG</t>
        </is>
      </c>
      <c r="E17591" t="inlineStr">
        <is>
          <t>Lương:8 Tr - 10 Tr VND</t>
        </is>
      </c>
      <c r="F17591" t="inlineStr">
        <is>
          <t>Hà Nội</t>
        </is>
      </c>
      <c r="G17591" t="inlineStr">
        <is>
          <t>31-05-2026</t>
        </is>
      </c>
      <c r="H17591" t="inlineStr">
        <is>
          <t>31/05/2026</t>
        </is>
      </c>
      <c r="I17591" t="inlineStr">
        <is>
          <t>17/03/2026</t>
        </is>
      </c>
      <c r="J17591" t="inlineStr">
        <is>
          <t>Y tế / Chăm sóc sức khỏe / Thẩm mỹ / Làm đẹp</t>
        </is>
      </c>
      <c r="K17591" t="inlineStr">
        <is>
          <t>2 - 3 Năm</t>
        </is>
      </c>
      <c r="L17591" s="8">
        <f>HYPERLINK("https://careerviet.vn/vi/tim-viec-lam/nhan-vien-quan-ly-chat-luong.35C6A22B.html","Xem chi tiết")</f>
        <v/>
      </c>
    </row>
    <row r="17592">
      <c r="B17592" s="9" t="n">
        <v>17590</v>
      </c>
      <c r="C17592" s="10" t="inlineStr">
        <is>
          <t>Internal Control Supervisor</t>
        </is>
      </c>
      <c r="D17592" s="10" t="inlineStr">
        <is>
          <t>Vietnam Furniture Resources (VFR)</t>
        </is>
      </c>
      <c r="E17592" s="10" t="inlineStr">
        <is>
          <t>Lương:Cạnh tranh</t>
        </is>
      </c>
      <c r="F17592" s="10" t="inlineStr">
        <is>
          <t>Bình Dương</t>
        </is>
      </c>
      <c r="G17592" s="10" t="inlineStr">
        <is>
          <t>06-03-2026</t>
        </is>
      </c>
      <c r="H17592" s="10" t="inlineStr">
        <is>
          <t>05/03/2026</t>
        </is>
      </c>
      <c r="I17592" s="10" t="inlineStr">
        <is>
          <t>17/03/2026</t>
        </is>
      </c>
      <c r="J17592" s="10" t="inlineStr">
        <is>
          <t>Kế toán / Kiểm toán, Ngân hàng, Tài chính / Đầu tư</t>
        </is>
      </c>
      <c r="K17592" s="10" t="inlineStr">
        <is>
          <t>5 - 10 Năm</t>
        </is>
      </c>
      <c r="L17592" s="11">
        <f>HYPERLINK("https://careerviet.vn/vi/tim-viec-lam/internal-control-supervisor.35C6A1F3.html","Xem chi tiết")</f>
        <v/>
      </c>
      <c r="M17592" s="10" t="n"/>
    </row>
    <row r="17593">
      <c r="B17593" s="7" t="n">
        <v>17591</v>
      </c>
      <c r="C17593" t="inlineStr">
        <is>
          <t>Nhân viên điều hành bưu cục tại Bắc Giang, Hà Nội</t>
        </is>
      </c>
      <c r="D17593" t="inlineStr">
        <is>
          <t>Công Ty Cổ Phần Hai Bốn Bảy</t>
        </is>
      </c>
      <c r="E17593" t="inlineStr">
        <is>
          <t>Lương:10 Tr - 12 Tr VND</t>
        </is>
      </c>
      <c r="F17593" t="inlineStr">
        <is>
          <t>Hà Nội</t>
        </is>
      </c>
      <c r="G17593" t="inlineStr">
        <is>
          <t>31-03-2026</t>
        </is>
      </c>
      <c r="H17593" t="inlineStr">
        <is>
          <t>31/03/2026</t>
        </is>
      </c>
      <c r="I17593" t="inlineStr">
        <is>
          <t>17/03/2026</t>
        </is>
      </c>
      <c r="J17593" t="inlineStr">
        <is>
          <t>Vận chuyển / Giao nhận / Kho vận</t>
        </is>
      </c>
      <c r="K17593" t="inlineStr">
        <is>
          <t>N/A</t>
        </is>
      </c>
      <c r="L17593" s="8">
        <f>HYPERLINK("https://careerviet.vn/vi/tim-viec-lam/nhan-vien-dieu-hanh-buu-cuc-tai-bac-giang-ha-noi.35C6A21C.html","Xem chi tiết")</f>
        <v/>
      </c>
    </row>
    <row r="17594">
      <c r="B17594" s="9" t="n">
        <v>17592</v>
      </c>
      <c r="C17594" s="10" t="inlineStr">
        <is>
          <t>Kiến trúc sư cảnh quan</t>
        </is>
      </c>
      <c r="D17594" s="10" t="inlineStr">
        <is>
          <t>CÔNG TY CP ĐẦU TƯ PHÁT TRIỂN TRÍ DƯƠNG</t>
        </is>
      </c>
      <c r="E17594" s="10" t="inlineStr">
        <is>
          <t>Lương:Cạnh tranh</t>
        </is>
      </c>
      <c r="F17594" s="10" t="inlineStr">
        <is>
          <t>Nghệ An</t>
        </is>
      </c>
      <c r="G17594" s="10" t="inlineStr">
        <is>
          <t>28-03-2026</t>
        </is>
      </c>
      <c r="H17594" s="10" t="inlineStr">
        <is>
          <t>28/03/2026</t>
        </is>
      </c>
      <c r="I17594" s="10" t="inlineStr">
        <is>
          <t>17/03/2026</t>
        </is>
      </c>
      <c r="J17594" s="10" t="inlineStr">
        <is>
          <t>Kiến trúc, Xây dựng, Bất động sản</t>
        </is>
      </c>
      <c r="K17594" s="10" t="inlineStr">
        <is>
          <t>2 - 5 Năm</t>
        </is>
      </c>
      <c r="L17594" s="11">
        <f>HYPERLINK("https://careerviet.vn/vi/tim-viec-lam/kien-truc-su-canh-quan.35C6A1E2.html","Xem chi tiết")</f>
        <v/>
      </c>
      <c r="M17594" s="10" t="n"/>
    </row>
    <row r="17595">
      <c r="B17595" s="7" t="n">
        <v>17593</v>
      </c>
      <c r="C17595" t="inlineStr">
        <is>
          <t>Giám đốc cơ sở Thẩm mỹ viện - Đà Lạt</t>
        </is>
      </c>
      <c r="D17595" t="inlineStr">
        <is>
          <t>CÔNG TY TNHH THẨM MỸ QUỐC TẾ LINH ANH</t>
        </is>
      </c>
      <c r="E17595" t="inlineStr">
        <is>
          <t>Lương:40 Tr - 100 Tr VND</t>
        </is>
      </c>
      <c r="F17595" t="inlineStr">
        <is>
          <t>Lâm Đồng</t>
        </is>
      </c>
      <c r="G17595" t="inlineStr">
        <is>
          <t>06-03-2026</t>
        </is>
      </c>
      <c r="H17595" t="inlineStr">
        <is>
          <t>09/03/2026</t>
        </is>
      </c>
      <c r="I17595" t="inlineStr">
        <is>
          <t>17/03/2026</t>
        </is>
      </c>
      <c r="J17595" t="inlineStr">
        <is>
          <t>Y tế / Chăm sóc sức khỏe / Thẩm mỹ / Làm đẹp</t>
        </is>
      </c>
      <c r="K17595" t="inlineStr">
        <is>
          <t>1 - 2 Năm</t>
        </is>
      </c>
      <c r="L17595" s="8">
        <f>HYPERLINK("https://careerviet.vn/vi/tim-viec-lam/giam-doc-co-so-tham-my-vien-da-lat.35C6A1C5.html","Xem chi tiết")</f>
        <v/>
      </c>
    </row>
    <row r="17596">
      <c r="B17596" s="9" t="n">
        <v>17594</v>
      </c>
      <c r="C17596" s="10" t="inlineStr">
        <is>
          <t>Cán bộ M&amp;E _ Ban QLDA</t>
        </is>
      </c>
      <c r="D17596" s="10" t="inlineStr">
        <is>
          <t>CÔNG TY CP ĐẦU TƯ PHÁT TRIỂN TRÍ DƯƠNG</t>
        </is>
      </c>
      <c r="E17596" s="10" t="inlineStr">
        <is>
          <t>Lương:Cạnh tranh</t>
        </is>
      </c>
      <c r="F17596" s="10" t="inlineStr">
        <is>
          <t>Nghệ An</t>
        </is>
      </c>
      <c r="G17596" s="10" t="inlineStr">
        <is>
          <t>28-03-2026</t>
        </is>
      </c>
      <c r="H17596" s="10" t="inlineStr">
        <is>
          <t>28/03/2026</t>
        </is>
      </c>
      <c r="I17596" s="10" t="inlineStr">
        <is>
          <t>17/03/2026</t>
        </is>
      </c>
      <c r="J17596" s="10" t="inlineStr">
        <is>
          <t>Xây dựng, Bất động sản</t>
        </is>
      </c>
      <c r="K17596" s="10" t="inlineStr">
        <is>
          <t>5 - 10 Năm</t>
        </is>
      </c>
      <c r="L17596" s="11">
        <f>HYPERLINK("https://careerviet.vn/vi/tim-viec-lam/can-bo-m-e-_-ban-qlda.35C6A1DF.html","Xem chi tiết")</f>
        <v/>
      </c>
      <c r="M17596" s="10" t="n"/>
    </row>
    <row r="17597">
      <c r="B17597" s="7" t="n">
        <v>17595</v>
      </c>
      <c r="C17597" t="inlineStr">
        <is>
          <t>Nhân viên Kỹ thuật</t>
        </is>
      </c>
      <c r="D17597" t="inlineStr">
        <is>
          <t>CÔNG TY CỔ PHẦN THƯƠNG MẠI VÀ CÔNG NGHỆ THỰC PHẨM HOÀNG LÂM</t>
        </is>
      </c>
      <c r="E17597" t="inlineStr">
        <is>
          <t>Lương:Cạnh tranh</t>
        </is>
      </c>
      <c r="F17597" t="inlineStr">
        <is>
          <t>Hà Nội</t>
        </is>
      </c>
      <c r="G17597" t="inlineStr">
        <is>
          <t>31-03-2026</t>
        </is>
      </c>
      <c r="H17597" t="inlineStr">
        <is>
          <t>31/03/2026</t>
        </is>
      </c>
      <c r="I17597" t="inlineStr">
        <is>
          <t>17/03/2026</t>
        </is>
      </c>
      <c r="J17597" t="inlineStr">
        <is>
          <t>Điện / Điện tử / Điện lạnh / Điện công nghiệp</t>
        </is>
      </c>
      <c r="K17597" t="inlineStr">
        <is>
          <t>1 - 2 Năm</t>
        </is>
      </c>
      <c r="L17597" s="8">
        <f>HYPERLINK("https://careerviet.vn/vi/tim-viec-lam/nhan-vien-ky-thuat.35C6A12A.html","Xem chi tiết")</f>
        <v/>
      </c>
    </row>
    <row r="17598">
      <c r="B17598" s="9" t="n">
        <v>17596</v>
      </c>
      <c r="C17598" s="10" t="inlineStr">
        <is>
          <t>Nhân Viên Call Center - Bán Hàng Online</t>
        </is>
      </c>
      <c r="D17598" s="10" t="inlineStr">
        <is>
          <t>Công ty Cổ phần Mediamart Việt Nam</t>
        </is>
      </c>
      <c r="E17598" s="10" t="inlineStr">
        <is>
          <t>Lương:7 Tr - 15 Tr VND</t>
        </is>
      </c>
      <c r="F17598" s="10" t="inlineStr">
        <is>
          <t>Hà Nội</t>
        </is>
      </c>
      <c r="G17598" s="10" t="inlineStr">
        <is>
          <t>27-03-2026</t>
        </is>
      </c>
      <c r="H17598" s="10" t="inlineStr">
        <is>
          <t>27/03/2026</t>
        </is>
      </c>
      <c r="I17598" s="10" t="inlineStr">
        <is>
          <t>17/03/2026</t>
        </is>
      </c>
      <c r="J17598" s="10" t="inlineStr">
        <is>
          <t>Bán lẻ / Bán sỉ, Bán hàng / Kinh doanh, Tiếp thị trực tuyến</t>
        </is>
      </c>
      <c r="K17598" s="10" t="inlineStr">
        <is>
          <t>1 - 2 Năm</t>
        </is>
      </c>
      <c r="L17598" s="11">
        <f>HYPERLINK("https://careerviet.vn/vi/tim-viec-lam/nhan-vien-call-center-ban-hang-online.35C6A18C.html","Xem chi tiết")</f>
        <v/>
      </c>
      <c r="M17598" s="10" t="n"/>
    </row>
    <row r="17599">
      <c r="B17599" s="7" t="n">
        <v>17597</v>
      </c>
      <c r="C17599" t="inlineStr">
        <is>
          <t>Giám Sát Bếp Bánh (Phú Thọ)</t>
        </is>
      </c>
      <c r="D17599" t="inlineStr">
        <is>
          <t>CÔNG TY CỔ PHẦN TẬP ĐOÀN ONSEN FUJI</t>
        </is>
      </c>
      <c r="E17599" t="inlineStr">
        <is>
          <t>Lương:12 Tr - 15 Tr VND</t>
        </is>
      </c>
      <c r="F17599" t="inlineStr">
        <is>
          <t>Phú Thọ</t>
        </is>
      </c>
      <c r="G17599" t="inlineStr">
        <is>
          <t>31-03-2026</t>
        </is>
      </c>
      <c r="H17599" t="inlineStr">
        <is>
          <t>31/03/2026</t>
        </is>
      </c>
      <c r="I17599" t="inlineStr">
        <is>
          <t>17/03/2026</t>
        </is>
      </c>
      <c r="J17599" t="inlineStr">
        <is>
          <t>Nhà hàng / Khách sạn</t>
        </is>
      </c>
      <c r="K17599" t="inlineStr">
        <is>
          <t>3 - 5 Năm</t>
        </is>
      </c>
      <c r="L17599" s="8">
        <f>HYPERLINK("https://careerviet.vn/vi/tim-viec-lam/giam-sat-bep-banh-phu-tho.35C6A132.html","Xem chi tiết")</f>
        <v/>
      </c>
    </row>
    <row r="17600">
      <c r="B17600" s="9" t="n">
        <v>17598</v>
      </c>
      <c r="C17600" s="10" t="inlineStr">
        <is>
          <t>Cán bộ giám sát hạ tầng kỹ thuật_Ban QLDA</t>
        </is>
      </c>
      <c r="D17600" s="10" t="inlineStr">
        <is>
          <t>CÔNG TY CP ĐẦU TƯ PHÁT TRIỂN TRÍ DƯƠNG</t>
        </is>
      </c>
      <c r="E17600" s="10" t="inlineStr">
        <is>
          <t>Lương:Cạnh tranh</t>
        </is>
      </c>
      <c r="F17600" s="10" t="inlineStr">
        <is>
          <t>Nghệ An</t>
        </is>
      </c>
      <c r="G17600" s="10" t="inlineStr">
        <is>
          <t>28-03-2026</t>
        </is>
      </c>
      <c r="H17600" s="10" t="inlineStr">
        <is>
          <t>28/03/2026</t>
        </is>
      </c>
      <c r="I17600" s="10" t="inlineStr">
        <is>
          <t>17/03/2026</t>
        </is>
      </c>
      <c r="J17600" s="10" t="inlineStr">
        <is>
          <t>Xây dựng, Bất động sản</t>
        </is>
      </c>
      <c r="K17600" s="10" t="inlineStr">
        <is>
          <t>5 - 10 Năm</t>
        </is>
      </c>
      <c r="L17600" s="11">
        <f>HYPERLINK("https://careerviet.vn/vi/tim-viec-lam/can-bo-giam-sat-ha-tang-ky-thuat_ban-qlda.35C6A1E1.html","Xem chi tiết")</f>
        <v/>
      </c>
      <c r="M17600" s="10" t="n"/>
    </row>
    <row r="17601">
      <c r="B17601" s="7" t="n">
        <v>17599</v>
      </c>
      <c r="C17601" t="inlineStr">
        <is>
          <t>[Hồ Chí Minh] Nhân Viên Kinh Doanh Thị Trường</t>
        </is>
      </c>
      <c r="D17601" t="inlineStr">
        <is>
          <t>Công ty TNHH Chế biến thực phẩm Đông Đô</t>
        </is>
      </c>
      <c r="E17601" t="inlineStr">
        <is>
          <t>Lương:13 Tr - 16 Tr VND</t>
        </is>
      </c>
      <c r="F17601" t="inlineStr">
        <is>
          <t>Hồ Chí Minh</t>
        </is>
      </c>
      <c r="G17601" t="inlineStr">
        <is>
          <t>05-04-2026</t>
        </is>
      </c>
      <c r="H17601" t="inlineStr">
        <is>
          <t>05/04/2026</t>
        </is>
      </c>
      <c r="I17601" t="inlineStr">
        <is>
          <t>17/03/2026</t>
        </is>
      </c>
      <c r="J17601" t="inlineStr">
        <is>
          <t>Bán lẻ / Bán sỉ, Bán hàng / Kinh doanh, Thực phẩm &amp; Đồ uống</t>
        </is>
      </c>
      <c r="K17601" t="inlineStr">
        <is>
          <t>1 - 2 Năm</t>
        </is>
      </c>
      <c r="L17601" s="8">
        <f>HYPERLINK("https://careerviet.vn/vi/tim-viec-lam/ho-chi-minh-nhan-vien-kinh-doanh-thi-truong.35C6783C.html","Xem chi tiết")</f>
        <v/>
      </c>
    </row>
    <row r="17602">
      <c r="B17602" s="9" t="n">
        <v>17600</v>
      </c>
      <c r="C17602" s="10" t="inlineStr">
        <is>
          <t>Cán bộ giám sát xây dựng công trình - Ban Quản lý dự án</t>
        </is>
      </c>
      <c r="D17602" s="10" t="inlineStr">
        <is>
          <t>CÔNG TY CP ĐẦU TƯ PHÁT TRIỂN TRÍ DƯƠNG</t>
        </is>
      </c>
      <c r="E17602" s="10" t="inlineStr">
        <is>
          <t>Lương:Cạnh tranh</t>
        </is>
      </c>
      <c r="F17602" s="10" t="inlineStr">
        <is>
          <t>Nghệ An</t>
        </is>
      </c>
      <c r="G17602" s="10" t="inlineStr">
        <is>
          <t>28-03-2026</t>
        </is>
      </c>
      <c r="H17602" s="10" t="inlineStr">
        <is>
          <t>28/03/2026</t>
        </is>
      </c>
      <c r="I17602" s="10" t="inlineStr">
        <is>
          <t>17/03/2026</t>
        </is>
      </c>
      <c r="J17602" s="10" t="inlineStr">
        <is>
          <t>Xây dựng, Bất động sản</t>
        </is>
      </c>
      <c r="K17602" s="10" t="inlineStr">
        <is>
          <t>5 - 10 Năm</t>
        </is>
      </c>
      <c r="L17602" s="11">
        <f>HYPERLINK("https://careerviet.vn/vi/tim-viec-lam/can-bo-giam-sat-xay-dung-cong-trinh-ban-quan-ly-du-an.35C6A1DA.html","Xem chi tiết")</f>
        <v/>
      </c>
      <c r="M17602" s="10" t="n"/>
    </row>
    <row r="17603">
      <c r="B17603" s="7" t="n">
        <v>17601</v>
      </c>
      <c r="C17603" t="inlineStr">
        <is>
          <t>Chuyên viên Giám Sát Thi Công (Sau tết nhận việc)</t>
        </is>
      </c>
      <c r="D17603" t="inlineStr">
        <is>
          <t>CÔNG TY TNHH PHÁT TRIỂN ĐỒ UỐNG AN VIỆT SÔNG HỒNG</t>
        </is>
      </c>
      <c r="E17603" t="inlineStr">
        <is>
          <t>Lương:15 Tr - 18 Tr VND</t>
        </is>
      </c>
      <c r="F17603" t="inlineStr">
        <is>
          <t>Hà Nội</t>
        </is>
      </c>
      <c r="G17603" t="inlineStr">
        <is>
          <t>05-04-2026</t>
        </is>
      </c>
      <c r="H17603" t="inlineStr">
        <is>
          <t>05/04/2026</t>
        </is>
      </c>
      <c r="I17603" t="inlineStr">
        <is>
          <t>17/03/2026</t>
        </is>
      </c>
      <c r="J17603" t="inlineStr">
        <is>
          <t>Kiến trúc, Xây dựng, Nội ngoại thất</t>
        </is>
      </c>
      <c r="K17603" t="inlineStr">
        <is>
          <t>1 - 2 Năm</t>
        </is>
      </c>
      <c r="L17603" s="8">
        <f>HYPERLINK("https://careerviet.vn/vi/tim-viec-lam/chuyen-vien-giam-sat-thi-cong-sau-tet-nhan-viec.35C678EF.html","Xem chi tiết")</f>
        <v/>
      </c>
    </row>
    <row r="17604">
      <c r="B17604" s="9" t="n">
        <v>17602</v>
      </c>
      <c r="C17604" s="10" t="inlineStr">
        <is>
          <t>[Nghệ An] Giám Sát Kinh Doanh Bán Hàng Trả Góp</t>
        </is>
      </c>
      <c r="D17604" s="10" t="inlineStr">
        <is>
          <t>Công Ty Tài Chính Mirae Asset (Việt Nam)</t>
        </is>
      </c>
      <c r="E17604" s="10" t="inlineStr">
        <is>
          <t>Lương:Cạnh tranh</t>
        </is>
      </c>
      <c r="F17604" s="10" t="inlineStr">
        <is>
          <t>Nghệ AnKV Bắc Trung BộĐiện Biên</t>
        </is>
      </c>
      <c r="G17604" s="10" t="inlineStr">
        <is>
          <t>05-04-2026</t>
        </is>
      </c>
      <c r="H17604" s="10" t="inlineStr">
        <is>
          <t>05/04/2026</t>
        </is>
      </c>
      <c r="I17604" s="10" t="inlineStr">
        <is>
          <t>17/03/2026</t>
        </is>
      </c>
      <c r="J17604" s="10" t="inlineStr">
        <is>
          <t>Bán hàng / Kinh doanh, Tài chính / Đầu tư, Dịch vụ khách hàng</t>
        </is>
      </c>
      <c r="K17604" s="10" t="inlineStr">
        <is>
          <t>2 - 3 Năm</t>
        </is>
      </c>
      <c r="L17604" s="11">
        <f>HYPERLINK("https://careerviet.vn/vi/tim-viec-lam/nghe-an-giam-sat-kinh-doanh-ban-hang-tra-gop.35C64942.html","Xem chi tiết")</f>
        <v/>
      </c>
      <c r="M17604" s="10" t="n"/>
    </row>
    <row r="17605">
      <c r="B17605" s="7" t="n">
        <v>17603</v>
      </c>
      <c r="C17605" t="inlineStr">
        <is>
          <t>Chuyên Viên Phát Triển Kinh Doanh</t>
        </is>
      </c>
      <c r="D17605" t="inlineStr">
        <is>
          <t>CÔNG TY TNHH MTV CHẾ TÁC VÀ KINH DOANH TRANG SỨC PNJ</t>
        </is>
      </c>
      <c r="E17605" t="inlineStr">
        <is>
          <t>Lương:15 Tr - 17 Tr VND</t>
        </is>
      </c>
      <c r="F17605" t="inlineStr">
        <is>
          <t>Hồ Chí Minh</t>
        </is>
      </c>
      <c r="G17605" t="inlineStr">
        <is>
          <t>05-04-2026</t>
        </is>
      </c>
      <c r="H17605" t="inlineStr">
        <is>
          <t>05/04/2026</t>
        </is>
      </c>
      <c r="I17605" t="inlineStr">
        <is>
          <t>17/03/2026</t>
        </is>
      </c>
      <c r="J17605" t="inlineStr">
        <is>
          <t>Tiếp thị / Marketing, Bán lẻ / Bán sỉ, Bán hàng / Kinh doanh</t>
        </is>
      </c>
      <c r="K17605" t="inlineStr">
        <is>
          <t>Trên 2 Năm</t>
        </is>
      </c>
      <c r="L17605" s="8">
        <f>HYPERLINK("https://careerviet.vn/vi/tim-viec-lam/chuyen-vien-phat-trien-kinh-doanh.35C678CB.html","Xem chi tiết")</f>
        <v/>
      </c>
    </row>
    <row r="17606">
      <c r="B17606" s="9" t="n">
        <v>17604</v>
      </c>
      <c r="C17606" s="10" t="inlineStr">
        <is>
          <t>Sales Online Staff (HĐ 6 tháng)</t>
        </is>
      </c>
      <c r="D17606" s="10" t="inlineStr">
        <is>
          <t>Dalat Hasfarm</t>
        </is>
      </c>
      <c r="E17606" s="10" t="inlineStr">
        <is>
          <t>Lương:Cạnh tranh</t>
        </is>
      </c>
      <c r="F17606" s="10" t="inlineStr">
        <is>
          <t>Hồ Chí Minh</t>
        </is>
      </c>
      <c r="G17606" s="10" t="inlineStr">
        <is>
          <t>28-03-2026</t>
        </is>
      </c>
      <c r="H17606" s="10" t="inlineStr">
        <is>
          <t>28/03/2026</t>
        </is>
      </c>
      <c r="I17606" s="10" t="inlineStr">
        <is>
          <t>17/03/2026</t>
        </is>
      </c>
      <c r="J17606" s="10" t="inlineStr">
        <is>
          <t>Tiếp thị / Marketing, Tiếp thị trực tuyến, Thương mại điện tử</t>
        </is>
      </c>
      <c r="K17606" s="10" t="inlineStr">
        <is>
          <t>1 - 2 Năm</t>
        </is>
      </c>
      <c r="L17606" s="11">
        <f>HYPERLINK("https://careerviet.vn/vi/tim-viec-lam/sales-online-staff-hd-6-thang.35C6A180.html","Xem chi tiết")</f>
        <v/>
      </c>
      <c r="M17606" s="10" t="n"/>
    </row>
    <row r="17607">
      <c r="B17607" s="7" t="n">
        <v>17605</v>
      </c>
      <c r="C17607" t="inlineStr">
        <is>
          <t>[Bắc Ninh] Chuyên Viên Tư Vấn Trả Góp Ô Tô</t>
        </is>
      </c>
      <c r="D17607" t="inlineStr">
        <is>
          <t>Công Ty Tài Chính Mirae Asset (Việt Nam)</t>
        </is>
      </c>
      <c r="E17607" t="inlineStr">
        <is>
          <t>Lương:17 Tr - 30 Tr VND</t>
        </is>
      </c>
      <c r="F17607" t="inlineStr">
        <is>
          <t>Bắc NinhKV Bắc Trung Bộ</t>
        </is>
      </c>
      <c r="G17607" t="inlineStr">
        <is>
          <t>05-04-2026</t>
        </is>
      </c>
      <c r="H17607" t="inlineStr">
        <is>
          <t>05/04/2026</t>
        </is>
      </c>
      <c r="I17607" t="inlineStr">
        <is>
          <t>17/03/2026</t>
        </is>
      </c>
      <c r="J17607" t="inlineStr">
        <is>
          <t>Bán hàng / Kinh doanh, Bán lẻ / Bán sỉ, Tài chính / Đầu tư</t>
        </is>
      </c>
      <c r="K17607" t="inlineStr">
        <is>
          <t>1 - 3 Năm</t>
        </is>
      </c>
      <c r="L17607" s="8">
        <f>HYPERLINK("https://careerviet.vn/vi/tim-viec-lam/bac-ninh-chuyen-vien-tu-van-tra-gop-o-to.35C64937.html","Xem chi tiết")</f>
        <v/>
      </c>
    </row>
    <row r="17608">
      <c r="B17608" s="9" t="n">
        <v>17606</v>
      </c>
      <c r="C17608" s="10" t="inlineStr">
        <is>
          <t>[Nhà máy] EHS Manager</t>
        </is>
      </c>
      <c r="D17608" s="10" t="inlineStr">
        <is>
          <t>Công Ty Cổ Phần Vacxin Việt Nam</t>
        </is>
      </c>
      <c r="E17608" s="10" t="inlineStr">
        <is>
          <t>Lương:30 Tr - 30 Tr VND</t>
        </is>
      </c>
      <c r="F17608" s="10" t="inlineStr">
        <is>
          <t>Hồ Chí MinhLong An</t>
        </is>
      </c>
      <c r="G17608" s="10" t="inlineStr">
        <is>
          <t>05-04-2026</t>
        </is>
      </c>
      <c r="H17608" s="10" t="inlineStr">
        <is>
          <t>05/04/2026</t>
        </is>
      </c>
      <c r="I17608" s="10" t="inlineStr">
        <is>
          <t>17/03/2026</t>
        </is>
      </c>
      <c r="J17608" s="10" t="inlineStr">
        <is>
          <t>Dược phẩm/ Hóa Mỹ Phẩm, Môi trường, An toàn lao động</t>
        </is>
      </c>
      <c r="K17608" s="10" t="inlineStr">
        <is>
          <t>5 - 7 Năm</t>
        </is>
      </c>
      <c r="L17608" s="11">
        <f>HYPERLINK("https://careerviet.vn/vi/tim-viec-lam/nha-may-ehs-manager.35C67665.html","Xem chi tiết")</f>
        <v/>
      </c>
      <c r="M17608" s="10" t="n"/>
    </row>
    <row r="17609">
      <c r="B17609" s="7" t="n">
        <v>17607</v>
      </c>
      <c r="C17609" t="inlineStr">
        <is>
          <t>Kỹ sư trưởng</t>
        </is>
      </c>
      <c r="D17609" t="inlineStr">
        <is>
          <t>Công ty Cổ phần Đầu tư Thương mại Kỹ thuật A&amp;T Việt Nam</t>
        </is>
      </c>
      <c r="E17609" t="inlineStr">
        <is>
          <t>Lương:22 Tr - 25 Tr VND</t>
        </is>
      </c>
      <c r="F17609" t="inlineStr">
        <is>
          <t>Bình Dương</t>
        </is>
      </c>
      <c r="G17609" t="inlineStr">
        <is>
          <t>05-04-2026</t>
        </is>
      </c>
      <c r="H17609" t="inlineStr">
        <is>
          <t>05/04/2026</t>
        </is>
      </c>
      <c r="I17609" t="inlineStr">
        <is>
          <t>17/03/2026</t>
        </is>
      </c>
      <c r="J17609" t="inlineStr">
        <is>
          <t>Điện / Điện tử / Điện lạnh / Điện công nghiệp, Bảo trì / Sửa chữa, Bất động sản</t>
        </is>
      </c>
      <c r="K17609" t="inlineStr">
        <is>
          <t>3 - 5 Năm</t>
        </is>
      </c>
      <c r="L17609" s="8">
        <f>HYPERLINK("https://careerviet.vn/vi/tim-viec-lam/ky-su-truong.35C64980.html","Xem chi tiết")</f>
        <v/>
      </c>
    </row>
    <row r="17610">
      <c r="B17610" s="9" t="n">
        <v>17608</v>
      </c>
      <c r="C17610" s="10" t="inlineStr">
        <is>
          <t>Nhân Viên Quản Lý Kho / Store keeper</t>
        </is>
      </c>
      <c r="D17610" s="10" t="inlineStr">
        <is>
          <t>Công Ty TNHH DSR Vina</t>
        </is>
      </c>
      <c r="E17610" s="10" t="inlineStr">
        <is>
          <t>Lương:13 Tr - 14 Tr VND</t>
        </is>
      </c>
      <c r="F17610" s="10" t="inlineStr">
        <is>
          <t>Bình Dương</t>
        </is>
      </c>
      <c r="G17610" s="10" t="inlineStr">
        <is>
          <t>05-04-2026</t>
        </is>
      </c>
      <c r="H17610" s="10" t="inlineStr">
        <is>
          <t>05/04/2026</t>
        </is>
      </c>
      <c r="I17610" s="10" t="inlineStr">
        <is>
          <t>17/03/2026</t>
        </is>
      </c>
      <c r="J17610" s="10" t="inlineStr">
        <is>
          <t>Sản xuất / Vận hành sản xuất, Xuất nhập khẩu, Vận chuyển / Giao nhận / Kho vận</t>
        </is>
      </c>
      <c r="K17610" s="10" t="inlineStr">
        <is>
          <t>N/A</t>
        </is>
      </c>
      <c r="L17610" s="11">
        <f>HYPERLINK("https://careerviet.vn/vi/tim-viec-lam/nhan-vien-quan-ly-kho-store-keeper.35C676E5.html","Xem chi tiết")</f>
        <v/>
      </c>
      <c r="M17610" s="10" t="n"/>
    </row>
    <row r="17611">
      <c r="B17611" s="7" t="n">
        <v>17609</v>
      </c>
      <c r="C17611" t="inlineStr">
        <is>
          <t>Kỹ sư hiện trường</t>
        </is>
      </c>
      <c r="D17611" t="inlineStr">
        <is>
          <t>Công ty Cổ phần FECON</t>
        </is>
      </c>
      <c r="E17611" t="inlineStr">
        <is>
          <t>Lương:Cạnh tranh</t>
        </is>
      </c>
      <c r="F17611" t="inlineStr">
        <is>
          <t>Hà NộiCần Thơ</t>
        </is>
      </c>
      <c r="G17611" t="inlineStr">
        <is>
          <t>05-04-2026</t>
        </is>
      </c>
      <c r="H17611" t="inlineStr">
        <is>
          <t>05/04/2026</t>
        </is>
      </c>
      <c r="I17611" t="inlineStr">
        <is>
          <t>17/03/2026</t>
        </is>
      </c>
      <c r="J17611" t="inlineStr">
        <is>
          <t>Xây dựng</t>
        </is>
      </c>
      <c r="K17611" t="inlineStr">
        <is>
          <t>2 - 5 Năm</t>
        </is>
      </c>
      <c r="L17611" s="8">
        <f>HYPERLINK("https://careerviet.vn/vi/tim-viec-lam/ky-su-hien-truong.35C6785F.html","Xem chi tiết")</f>
        <v/>
      </c>
    </row>
    <row r="17612">
      <c r="B17612" s="9" t="n">
        <v>17610</v>
      </c>
      <c r="C17612" s="10" t="inlineStr">
        <is>
          <t>CHUYÊN VIÊN ĐẤU THẦU HỢP ĐỒNG</t>
        </is>
      </c>
      <c r="D17612" s="10" t="inlineStr">
        <is>
          <t>CÔNG TY CP ĐẦU TƯ XÂY DỰNG VÀ CƠ ĐIỆN IEC</t>
        </is>
      </c>
      <c r="E17612" s="10" t="inlineStr">
        <is>
          <t>Lương:20 Tr - 24 Tr VND</t>
        </is>
      </c>
      <c r="F17612" s="10" t="inlineStr">
        <is>
          <t>Hà Nội</t>
        </is>
      </c>
      <c r="G17612" s="10" t="inlineStr">
        <is>
          <t>05-04-2026</t>
        </is>
      </c>
      <c r="H17612" s="10" t="inlineStr">
        <is>
          <t>05/04/2026</t>
        </is>
      </c>
      <c r="I17612" s="10" t="inlineStr">
        <is>
          <t>17/03/2026</t>
        </is>
      </c>
      <c r="J17612" s="10" t="inlineStr">
        <is>
          <t>Xây dựng, Bất động sản, Ngành khác</t>
        </is>
      </c>
      <c r="K17612" s="10" t="inlineStr">
        <is>
          <t>2 - 5 Năm</t>
        </is>
      </c>
      <c r="L17612" s="11">
        <f>HYPERLINK("https://careerviet.vn/vi/tim-viec-lam/chuyen-vien-dau-thau-hop-dong.35C64813.html","Xem chi tiết")</f>
        <v/>
      </c>
      <c r="M17612" s="10" t="n"/>
    </row>
    <row r="17613">
      <c r="B17613" s="7" t="n">
        <v>17611</v>
      </c>
      <c r="C17613" t="inlineStr">
        <is>
          <t>Trưởng nhóm kế toán</t>
        </is>
      </c>
      <c r="D17613" t="inlineStr">
        <is>
          <t>TỔNG CÔNG TY CỔ PHẦN THƯƠNG MẠI XÂY DỰNG</t>
        </is>
      </c>
      <c r="E17613" t="inlineStr">
        <is>
          <t>Lương:20 Tr - 22 Tr VND</t>
        </is>
      </c>
      <c r="F17613" t="inlineStr">
        <is>
          <t>Hà Nội</t>
        </is>
      </c>
      <c r="G17613" t="inlineStr">
        <is>
          <t>05-04-2026</t>
        </is>
      </c>
      <c r="H17613" t="inlineStr">
        <is>
          <t>05/04/2026</t>
        </is>
      </c>
      <c r="I17613" t="inlineStr">
        <is>
          <t>17/03/2026</t>
        </is>
      </c>
      <c r="J17613" t="inlineStr">
        <is>
          <t>Kế toán / Kiểm toán, Tài chính / Đầu tư</t>
        </is>
      </c>
      <c r="K17613" t="inlineStr">
        <is>
          <t>3 - 5 Năm</t>
        </is>
      </c>
      <c r="L17613" s="8">
        <f>HYPERLINK("https://careerviet.vn/vi/tim-viec-lam/truong-nhom-ke-toan.35C67389.html","Xem chi tiết")</f>
        <v/>
      </c>
    </row>
    <row r="17614">
      <c r="B17614" s="9" t="n">
        <v>17612</v>
      </c>
      <c r="C17614" s="10" t="inlineStr">
        <is>
          <t>Kỹ thuật viên làm đồ gá</t>
        </is>
      </c>
      <c r="D17614" s="10" t="inlineStr">
        <is>
          <t>Thermtrol Co., Ltd.</t>
        </is>
      </c>
      <c r="E17614" s="10" t="inlineStr">
        <is>
          <t>Lương:Cạnh tranh</t>
        </is>
      </c>
      <c r="F17614" s="10" t="inlineStr">
        <is>
          <t>Bình Dương</t>
        </is>
      </c>
      <c r="G17614" s="10" t="inlineStr">
        <is>
          <t>05-04-2026</t>
        </is>
      </c>
      <c r="H17614" s="10" t="inlineStr">
        <is>
          <t>05/04/2026</t>
        </is>
      </c>
      <c r="I17614" s="10" t="inlineStr">
        <is>
          <t>17/03/2026</t>
        </is>
      </c>
      <c r="J17614" s="10" t="inlineStr">
        <is>
          <t>Cơ khí / Ô tô / Tự động hóa, Sản xuất / Vận hành sản xuất</t>
        </is>
      </c>
      <c r="K17614" s="10" t="inlineStr">
        <is>
          <t>1 - 3 Năm</t>
        </is>
      </c>
      <c r="L17614" s="11">
        <f>HYPERLINK("https://careerviet.vn/vi/tim-viec-lam/ky-thuat-vien-lam-do-ga.35C676F1.html","Xem chi tiết")</f>
        <v/>
      </c>
      <c r="M17614" s="10" t="n"/>
    </row>
    <row r="17615">
      <c r="B17615" s="7" t="n">
        <v>17613</v>
      </c>
      <c r="C17615" t="inlineStr">
        <is>
          <t>Unilever - Nhân viên vận hành máy</t>
        </is>
      </c>
      <c r="D17615" t="inlineStr">
        <is>
          <t>Unilever Vietnam International</t>
        </is>
      </c>
      <c r="E17615" t="inlineStr">
        <is>
          <t>Lương:10 Tr - 12 Tr VND</t>
        </is>
      </c>
      <c r="F17615" t="inlineStr">
        <is>
          <t>Hồ Chí Minh</t>
        </is>
      </c>
      <c r="G17615" t="inlineStr">
        <is>
          <t>05-04-2026</t>
        </is>
      </c>
      <c r="H17615" t="inlineStr">
        <is>
          <t>05/04/2026</t>
        </is>
      </c>
      <c r="I17615" t="inlineStr">
        <is>
          <t>17/03/2026</t>
        </is>
      </c>
      <c r="J17615" t="inlineStr">
        <is>
          <t>Sản xuất / Vận hành sản xuất</t>
        </is>
      </c>
      <c r="K17615" t="inlineStr">
        <is>
          <t>1 - 3 Năm</t>
        </is>
      </c>
      <c r="L17615" s="8">
        <f>HYPERLINK("https://careerviet.vn/vi/tim-viec-lam/unilever-nhan-vien-van-hanh-may.35C6774C.html","Xem chi tiết")</f>
        <v/>
      </c>
    </row>
    <row r="17616">
      <c r="B17616" s="9" t="n">
        <v>17614</v>
      </c>
      <c r="C17616" s="10" t="inlineStr">
        <is>
          <t>PHÓ PHÒNG HÀNH CHÍNH NHÂN SỰ</t>
        </is>
      </c>
      <c r="D17616" s="10" t="inlineStr">
        <is>
          <t>Công ty Cổ phần Đầu tư Dừa Bến Tre</t>
        </is>
      </c>
      <c r="E17616" s="10" t="inlineStr">
        <is>
          <t>Lương:Cạnh tranh</t>
        </is>
      </c>
      <c r="F17616" s="10" t="inlineStr">
        <is>
          <t>Bến Tre</t>
        </is>
      </c>
      <c r="G17616" s="10" t="inlineStr">
        <is>
          <t>05-04-2026</t>
        </is>
      </c>
      <c r="H17616" s="10" t="inlineStr">
        <is>
          <t>05/04/2026</t>
        </is>
      </c>
      <c r="I17616" s="10" t="inlineStr">
        <is>
          <t>17/03/2026</t>
        </is>
      </c>
      <c r="J17616" s="10" t="inlineStr">
        <is>
          <t>Luật / Pháp lý, Hành chính / Thư ký, Nhân sự</t>
        </is>
      </c>
      <c r="K17616" s="10" t="inlineStr">
        <is>
          <t>3 - 5 Năm</t>
        </is>
      </c>
      <c r="L17616" s="11">
        <f>HYPERLINK("https://careerviet.vn/vi/tim-viec-lam/pho-phong-hanh-chinh-nhan-su.35C677DE.html","Xem chi tiết")</f>
        <v/>
      </c>
      <c r="M17616" s="10" t="n"/>
    </row>
    <row r="17617">
      <c r="B17617" s="7" t="n">
        <v>17615</v>
      </c>
      <c r="C17617" t="inlineStr">
        <is>
          <t>[Thanh Hóa] - Chuyên Viên Tư Vấn Trả Góp Ô Tô</t>
        </is>
      </c>
      <c r="D17617" t="inlineStr">
        <is>
          <t>Công Ty Tài Chính Mirae Asset (Việt Nam)</t>
        </is>
      </c>
      <c r="E17617" t="inlineStr">
        <is>
          <t>Lương:17 Tr - 30 Tr VND</t>
        </is>
      </c>
      <c r="F17617" t="inlineStr">
        <is>
          <t>Thanh HóaKV Bắc Trung Bộ</t>
        </is>
      </c>
      <c r="G17617" t="inlineStr">
        <is>
          <t>05-04-2026</t>
        </is>
      </c>
      <c r="H17617" t="inlineStr">
        <is>
          <t>05/04/2026</t>
        </is>
      </c>
      <c r="I17617" t="inlineStr">
        <is>
          <t>17/03/2026</t>
        </is>
      </c>
      <c r="J17617" t="inlineStr">
        <is>
          <t>Bán hàng / Kinh doanh, Bán lẻ / Bán sỉ, Tài chính / Đầu tư</t>
        </is>
      </c>
      <c r="K17617" t="inlineStr">
        <is>
          <t>1 - 3 Năm</t>
        </is>
      </c>
      <c r="L17617" s="8">
        <f>HYPERLINK("https://careerviet.vn/vi/tim-viec-lam/thanh-hoa-chuyen-vien-tu-van-tra-gop-o-to.35C64930.html","Xem chi tiết")</f>
        <v/>
      </c>
    </row>
    <row r="17618">
      <c r="B17618" s="9" t="n">
        <v>17616</v>
      </c>
      <c r="C17618" s="10" t="inlineStr">
        <is>
          <t>NHÂN VIÊN LẬP TRÌNH CAM</t>
        </is>
      </c>
      <c r="D17618" s="10" t="inlineStr">
        <is>
          <t>CÔNG TY TNHH POUYUEN VIỆT NAM</t>
        </is>
      </c>
      <c r="E17618" s="10" t="inlineStr">
        <is>
          <t>Lương:Trên 6 Tr VND</t>
        </is>
      </c>
      <c r="F17618" s="10" t="inlineStr">
        <is>
          <t>Hồ Chí Minh</t>
        </is>
      </c>
      <c r="G17618" s="10" t="inlineStr">
        <is>
          <t>05-04-2026</t>
        </is>
      </c>
      <c r="H17618" s="10" t="inlineStr">
        <is>
          <t>05/04/2026</t>
        </is>
      </c>
      <c r="I17618" s="10" t="inlineStr">
        <is>
          <t>17/03/2026</t>
        </is>
      </c>
      <c r="J17618" s="10" t="inlineStr">
        <is>
          <t>Lao động phổ thông, Mỹ thuật / Nghệ thuật / Thiết kế</t>
        </is>
      </c>
      <c r="K17618" s="10" t="inlineStr">
        <is>
          <t>N/A</t>
        </is>
      </c>
      <c r="L17618" s="11">
        <f>HYPERLINK("https://careerviet.vn/vi/tim-viec-lam/nhan-vien-lap-trinh-cam.35C67897.html","Xem chi tiết")</f>
        <v/>
      </c>
      <c r="M17618" s="10" t="n"/>
    </row>
    <row r="17619">
      <c r="B17619" s="7" t="n">
        <v>17617</v>
      </c>
      <c r="C17619" t="inlineStr">
        <is>
          <t>Kỹ thuật viên nhiệt điện</t>
        </is>
      </c>
      <c r="D17619" t="inlineStr">
        <is>
          <t>Công ty CP Thành Thành Công - Biên Hòa</t>
        </is>
      </c>
      <c r="E17619" t="inlineStr">
        <is>
          <t>Lương:Cạnh tranh</t>
        </is>
      </c>
      <c r="F17619" t="inlineStr">
        <is>
          <t>Tây Ninh</t>
        </is>
      </c>
      <c r="G17619" t="inlineStr">
        <is>
          <t>05-04-2026</t>
        </is>
      </c>
      <c r="H17619" t="inlineStr">
        <is>
          <t>05/04/2026</t>
        </is>
      </c>
      <c r="I17619" t="inlineStr">
        <is>
          <t>17/03/2026</t>
        </is>
      </c>
      <c r="J17619" t="inlineStr">
        <is>
          <t>Bảo trì / Sửa chữa, Cơ khí / Ô tô / Tự động hóa, Điện / Điện tử / Điện lạnh / Điện công nghiệp</t>
        </is>
      </c>
      <c r="K17619" t="inlineStr">
        <is>
          <t>1 - 3 Năm</t>
        </is>
      </c>
      <c r="L17619" s="8">
        <f>HYPERLINK("https://careerviet.vn/vi/tim-viec-lam/ky-thuat-vien-nhiet-dien.35C678E4.html","Xem chi tiết")</f>
        <v/>
      </c>
    </row>
    <row r="17620">
      <c r="B17620" s="9" t="n">
        <v>17618</v>
      </c>
      <c r="C17620" s="10" t="inlineStr">
        <is>
          <t>Nhân viên Trade Marketing</t>
        </is>
      </c>
      <c r="D17620" s="10" t="inlineStr">
        <is>
          <t>Tập Đoàn Kim Tín</t>
        </is>
      </c>
      <c r="E17620" s="10" t="inlineStr">
        <is>
          <t>Lương:Cạnh tranh</t>
        </is>
      </c>
      <c r="F17620" s="10" t="inlineStr">
        <is>
          <t>Hồ Chí MinhHưng Yên</t>
        </is>
      </c>
      <c r="G17620" s="10" t="inlineStr">
        <is>
          <t>05-04-2026</t>
        </is>
      </c>
      <c r="H17620" s="10" t="inlineStr">
        <is>
          <t>05/04/2026</t>
        </is>
      </c>
      <c r="I17620" s="10" t="inlineStr">
        <is>
          <t>17/03/2026</t>
        </is>
      </c>
      <c r="J17620" s="10" t="inlineStr">
        <is>
          <t>Bán hàng / Kinh doanh, Quảng cáo / Đối ngoại / Truyền Thông, Tiếp thị / Marketing</t>
        </is>
      </c>
      <c r="K17620" s="10" t="inlineStr">
        <is>
          <t>1 - 3 Năm</t>
        </is>
      </c>
      <c r="L17620" s="11">
        <f>HYPERLINK("https://careerviet.vn/vi/tim-viec-lam/nhan-vien-trade-marketing.35C677B5.html","Xem chi tiết")</f>
        <v/>
      </c>
      <c r="M17620" s="10" t="n"/>
    </row>
    <row r="17621">
      <c r="B17621" s="7" t="n">
        <v>17619</v>
      </c>
      <c r="C17621" t="inlineStr">
        <is>
          <t>Kỹ Thuật Viên Cơ Khí</t>
        </is>
      </c>
      <c r="D17621" t="inlineStr">
        <is>
          <t>Công ty Duy Phát</t>
        </is>
      </c>
      <c r="E17621" t="inlineStr">
        <is>
          <t>Lương:10 Tr - 15 Tr VND</t>
        </is>
      </c>
      <c r="F17621" t="inlineStr">
        <is>
          <t>Bình Dương</t>
        </is>
      </c>
      <c r="G17621" t="inlineStr">
        <is>
          <t>05-04-2026</t>
        </is>
      </c>
      <c r="H17621" t="inlineStr">
        <is>
          <t>05/04/2026</t>
        </is>
      </c>
      <c r="I17621" t="inlineStr">
        <is>
          <t>17/03/2026</t>
        </is>
      </c>
      <c r="J17621" t="inlineStr">
        <is>
          <t>Bán hàng / Kinh doanh, Cơ khí / Ô tô / Tự động hóa, Mỹ thuật / Nghệ thuật / Thiết kế</t>
        </is>
      </c>
      <c r="K17621" t="inlineStr">
        <is>
          <t>Lên đến 1 Năm</t>
        </is>
      </c>
      <c r="L17621" s="8">
        <f>HYPERLINK("https://careerviet.vn/vi/tim-viec-lam/ky-thuat-vien-co-khi.35C67930.html","Xem chi tiết")</f>
        <v/>
      </c>
    </row>
    <row r="17622">
      <c r="B17622" s="9" t="n">
        <v>17620</v>
      </c>
      <c r="C17622" s="10" t="inlineStr">
        <is>
          <t>Nhân viên kỹ thuật - Gia công nguội</t>
        </is>
      </c>
      <c r="D17622" s="10" t="inlineStr">
        <is>
          <t>CÔNG TY CỔ PHẦN CÔNG NGHIỆP WELDCOM</t>
        </is>
      </c>
      <c r="E17622" s="10" t="inlineStr">
        <is>
          <t>Lương:12 Tr - 17 Tr VND</t>
        </is>
      </c>
      <c r="F17622" s="10" t="inlineStr">
        <is>
          <t>Bình DươngHà Nội</t>
        </is>
      </c>
      <c r="G17622" s="10" t="inlineStr">
        <is>
          <t>05-04-2026</t>
        </is>
      </c>
      <c r="H17622" s="10" t="inlineStr">
        <is>
          <t>05/04/2026</t>
        </is>
      </c>
      <c r="I17622" s="10" t="inlineStr">
        <is>
          <t>17/03/2026</t>
        </is>
      </c>
      <c r="J17622" s="10" t="inlineStr">
        <is>
          <t>Cơ khí / Ô tô / Tự động hóa, Điện / Điện tử / Điện lạnh / Điện công nghiệp</t>
        </is>
      </c>
      <c r="K17622" s="10" t="inlineStr">
        <is>
          <t>1 - 3 Năm</t>
        </is>
      </c>
      <c r="L17622" s="11">
        <f>HYPERLINK("https://careerviet.vn/vi/tim-viec-lam/nhan-vien-ky-thuat-gia-cong-nguoi.35C64972.html","Xem chi tiết")</f>
        <v/>
      </c>
      <c r="M17622" s="10" t="n"/>
    </row>
    <row r="17623">
      <c r="B17623" s="7" t="n">
        <v>17621</v>
      </c>
      <c r="C17623" t="inlineStr">
        <is>
          <t>Multimedia Designer</t>
        </is>
      </c>
      <c r="D17623" t="inlineStr">
        <is>
          <t>Công ty TNHH Sản xuất Thương mại &amp; Dịch vụ Hoa Xinh</t>
        </is>
      </c>
      <c r="E17623" t="inlineStr">
        <is>
          <t>Lương:13 Tr - 18 Tr VND</t>
        </is>
      </c>
      <c r="F17623" t="inlineStr">
        <is>
          <t>Hồ Chí Minh</t>
        </is>
      </c>
      <c r="G17623" t="inlineStr">
        <is>
          <t>05-04-2026</t>
        </is>
      </c>
      <c r="H17623" t="inlineStr">
        <is>
          <t>05/04/2026</t>
        </is>
      </c>
      <c r="I17623" t="inlineStr">
        <is>
          <t>17/03/2026</t>
        </is>
      </c>
      <c r="J17623" t="inlineStr">
        <is>
          <t>Tiếp thị / Marketing, Mỹ thuật / Nghệ thuật / Thiết kế</t>
        </is>
      </c>
      <c r="K17623" t="inlineStr">
        <is>
          <t>2 - 4 Năm</t>
        </is>
      </c>
      <c r="L17623" s="8">
        <f>HYPERLINK("https://careerviet.vn/vi/tim-viec-lam/multimedia-designer.35C678A8.html","Xem chi tiết")</f>
        <v/>
      </c>
    </row>
    <row r="17624">
      <c r="B17624" s="9" t="n">
        <v>17622</v>
      </c>
      <c r="C17624" s="10" t="inlineStr">
        <is>
          <t>Quản lý sản xuất</t>
        </is>
      </c>
      <c r="D17624" s="10" t="inlineStr">
        <is>
          <t>CÔNG TY CỔ PHẦN SEAREFICO</t>
        </is>
      </c>
      <c r="E17624" s="10" t="inlineStr">
        <is>
          <t>Lương:Cạnh tranh</t>
        </is>
      </c>
      <c r="F17624" s="10" t="inlineStr">
        <is>
          <t>Hồ Chí Minh</t>
        </is>
      </c>
      <c r="G17624" s="10" t="inlineStr">
        <is>
          <t>05-04-2026</t>
        </is>
      </c>
      <c r="H17624" s="10" t="inlineStr">
        <is>
          <t>05/04/2026</t>
        </is>
      </c>
      <c r="I17624" s="10" t="inlineStr">
        <is>
          <t>17/03/2026</t>
        </is>
      </c>
      <c r="J17624" s="10" t="inlineStr">
        <is>
          <t>Cơ khí / Ô tô / Tự động hóa</t>
        </is>
      </c>
      <c r="K17624" s="10" t="inlineStr">
        <is>
          <t>2 - 5 Năm</t>
        </is>
      </c>
      <c r="L17624" s="11">
        <f>HYPERLINK("https://careerviet.vn/vi/tim-viec-lam/quan-ly-san-xuat.35C64898.html","Xem chi tiết")</f>
        <v/>
      </c>
      <c r="M17624" s="10" t="n"/>
    </row>
    <row r="17625">
      <c r="B17625" s="7" t="n">
        <v>17623</v>
      </c>
      <c r="C17625" t="inlineStr">
        <is>
          <t>Trưởng nhóm Truyền thông thương hiệu</t>
        </is>
      </c>
      <c r="D17625" t="inlineStr">
        <is>
          <t>Công ty Cổ Phần Giáo Dục German Link</t>
        </is>
      </c>
      <c r="E17625" t="inlineStr">
        <is>
          <t>Lương:18 Tr - 20 Tr VND</t>
        </is>
      </c>
      <c r="F17625" t="inlineStr">
        <is>
          <t>Hà Nội</t>
        </is>
      </c>
      <c r="G17625" t="inlineStr">
        <is>
          <t>05-04-2026</t>
        </is>
      </c>
      <c r="H17625" t="inlineStr">
        <is>
          <t>05/04/2026</t>
        </is>
      </c>
      <c r="I17625" t="inlineStr">
        <is>
          <t>17/03/2026</t>
        </is>
      </c>
      <c r="J17625" t="inlineStr">
        <is>
          <t>Tổ chức sự kiện, Quảng cáo / Đối ngoại / Truyền Thông, Giáo dục / Đào tạo</t>
        </is>
      </c>
      <c r="K17625" t="inlineStr">
        <is>
          <t>Lên đến 3 Năm</t>
        </is>
      </c>
      <c r="L17625" s="8">
        <f>HYPERLINK("https://careerviet.vn/vi/tim-viec-lam/truong-nhom-truyen-thong-thuong-hieu.35C64931.html","Xem chi tiết")</f>
        <v/>
      </c>
    </row>
    <row r="17626">
      <c r="B17626" s="9" t="n">
        <v>17624</v>
      </c>
      <c r="C17626" s="10" t="inlineStr">
        <is>
          <t>Cán Bộ Kế Hoạch Đấu Thầu (Lập Giá Dự Thầu)</t>
        </is>
      </c>
      <c r="D17626" s="10" t="inlineStr">
        <is>
          <t>CÔNG TY TNHH XÂY DỰNG TỰ LẬP</t>
        </is>
      </c>
      <c r="E17626" s="10" t="inlineStr">
        <is>
          <t>Lương:19 Tr - 30 Tr VND</t>
        </is>
      </c>
      <c r="F17626" s="10" t="inlineStr">
        <is>
          <t>Phú Thọ</t>
        </is>
      </c>
      <c r="G17626" s="10" t="inlineStr">
        <is>
          <t>05-04-2026</t>
        </is>
      </c>
      <c r="H17626" s="10" t="inlineStr">
        <is>
          <t>05/04/2026</t>
        </is>
      </c>
      <c r="I17626" s="10" t="inlineStr">
        <is>
          <t>17/03/2026</t>
        </is>
      </c>
      <c r="J17626" s="10" t="inlineStr">
        <is>
          <t>Bán hàng / Kinh doanh, Kiến trúc, Bất động sản</t>
        </is>
      </c>
      <c r="K17626" s="10" t="inlineStr">
        <is>
          <t>N/A</t>
        </is>
      </c>
      <c r="L17626" s="11">
        <f>HYPERLINK("https://careerviet.vn/vi/tim-viec-lam/can-bo-ke-hoach-dau-thau-lap-gia-du-thau.35C649DF.html","Xem chi tiết")</f>
        <v/>
      </c>
      <c r="M17626" s="10" t="n"/>
    </row>
    <row r="17627">
      <c r="B17627" s="7" t="n">
        <v>17625</v>
      </c>
      <c r="C17627" t="inlineStr">
        <is>
          <t>Sale Admin B2B (8-12 triệu, thưởng doanh số)</t>
        </is>
      </c>
      <c r="D17627" t="inlineStr">
        <is>
          <t>CÔNG TY TNHH MỘT NGÔI SAO THÔNG MINH VIỆT NAM</t>
        </is>
      </c>
      <c r="E17627" t="inlineStr">
        <is>
          <t>Lương:Cạnh tranh</t>
        </is>
      </c>
      <c r="F17627" t="inlineStr">
        <is>
          <t>Hà Nội</t>
        </is>
      </c>
      <c r="G17627" t="inlineStr">
        <is>
          <t>05-04-2026</t>
        </is>
      </c>
      <c r="H17627" t="inlineStr">
        <is>
          <t>05/04/2026</t>
        </is>
      </c>
      <c r="I17627" t="inlineStr">
        <is>
          <t>17/03/2026</t>
        </is>
      </c>
      <c r="J17627" t="inlineStr">
        <is>
          <t>Tiếp thị / Marketing, Bán hàng / Kinh doanh, Tư vấn</t>
        </is>
      </c>
      <c r="K17627" t="inlineStr">
        <is>
          <t>Chưa có kinh nghiệm</t>
        </is>
      </c>
      <c r="L17627" s="8">
        <f>HYPERLINK("https://careerviet.vn/vi/tim-viec-lam/sale-admin-b2b-8-12-trieu-thuong-doanh-so.35C677BF.html","Xem chi tiết")</f>
        <v/>
      </c>
    </row>
    <row r="17628">
      <c r="B17628" s="9" t="n">
        <v>17626</v>
      </c>
      <c r="C17628" s="10" t="inlineStr">
        <is>
          <t>Chuyên viên Quy hoạch và Phát triển  dự án</t>
        </is>
      </c>
      <c r="D17628" s="10" t="inlineStr">
        <is>
          <t>TỔNG CÔNG TY CỔ PHẦN THƯƠNG MẠI XÂY DỰNG</t>
        </is>
      </c>
      <c r="E17628" s="10" t="inlineStr">
        <is>
          <t>Lương:24 Tr - 35 Tr VND</t>
        </is>
      </c>
      <c r="F17628" s="10" t="inlineStr">
        <is>
          <t>Hà Nội</t>
        </is>
      </c>
      <c r="G17628" s="10" t="inlineStr">
        <is>
          <t>05-04-2026</t>
        </is>
      </c>
      <c r="H17628" s="10" t="inlineStr">
        <is>
          <t>05/04/2026</t>
        </is>
      </c>
      <c r="I17628" s="10" t="inlineStr">
        <is>
          <t>17/03/2026</t>
        </is>
      </c>
      <c r="J17628" s="10" t="inlineStr">
        <is>
          <t>Kiến trúc, Xây dựng, Bất động sản</t>
        </is>
      </c>
      <c r="K17628" s="10" t="inlineStr">
        <is>
          <t>Trên 3 Năm</t>
        </is>
      </c>
      <c r="L17628" s="11">
        <f>HYPERLINK("https://careerviet.vn/vi/tim-viec-lam/chuyen-vien-quy-hoach-va-phat-trien-du-an.35C6762A.html","Xem chi tiết")</f>
        <v/>
      </c>
      <c r="M17628" s="10" t="n"/>
    </row>
    <row r="17629">
      <c r="B17629" s="7" t="n">
        <v>17627</v>
      </c>
      <c r="C17629" t="inlineStr">
        <is>
          <t>[Bình Thuận] Chuyên viên/CVC/CVCC Quan hệ Khách hàng Doanh nghiệp</t>
        </is>
      </c>
      <c r="D17629" t="inlineStr">
        <is>
          <t>Ngân hàng TMCP Lộc Phát Việt Nam (LPBank)</t>
        </is>
      </c>
      <c r="E17629" t="inlineStr">
        <is>
          <t>Lương:Cạnh tranh</t>
        </is>
      </c>
      <c r="F17629" t="inlineStr">
        <is>
          <t>Bình Thuận</t>
        </is>
      </c>
      <c r="G17629" t="inlineStr">
        <is>
          <t>05-04-2026</t>
        </is>
      </c>
      <c r="H17629" t="inlineStr">
        <is>
          <t>05/04/2026</t>
        </is>
      </c>
      <c r="I17629" t="inlineStr">
        <is>
          <t>17/03/2026</t>
        </is>
      </c>
      <c r="J17629" t="inlineStr">
        <is>
          <t>Bán hàng / Kinh doanh, Bất động sản, Bảo hiểm</t>
        </is>
      </c>
      <c r="K17629" t="inlineStr">
        <is>
          <t>Trên 1 Năm</t>
        </is>
      </c>
      <c r="L17629" s="8">
        <f>HYPERLINK("https://careerviet.vn/vi/tim-viec-lam/binh-thuan-chuyen-vien-cvc-cvcc-quan-he-khach-hang-doanh-nghiep.35C649A7.html","Xem chi tiết")</f>
        <v/>
      </c>
    </row>
    <row r="17630">
      <c r="B17630" s="9" t="n">
        <v>17628</v>
      </c>
      <c r="C17630" s="10" t="inlineStr">
        <is>
          <t>Field Application Engineer</t>
        </is>
      </c>
      <c r="D17630" s="10" t="inlineStr">
        <is>
          <t>CÔNG TY TNHH CÔNG NGHỆ PROS VIỆT NAM</t>
        </is>
      </c>
      <c r="E17630" s="10" t="inlineStr">
        <is>
          <t>Lương:Cạnh tranh</t>
        </is>
      </c>
      <c r="F17630" s="10" t="inlineStr">
        <is>
          <t>Hà Nội</t>
        </is>
      </c>
      <c r="G17630" s="10" t="inlineStr">
        <is>
          <t>05-04-2026</t>
        </is>
      </c>
      <c r="H17630" s="10" t="inlineStr">
        <is>
          <t>05/04/2026</t>
        </is>
      </c>
      <c r="I17630" s="10" t="inlineStr">
        <is>
          <t>17/03/2026</t>
        </is>
      </c>
      <c r="J17630" s="10" t="inlineStr">
        <is>
          <t>Cơ khí / Ô tô / Tự động hóa, Hóa học, Điện / Điện tử / Điện lạnh / Điện công nghiệp</t>
        </is>
      </c>
      <c r="K17630" s="10" t="inlineStr">
        <is>
          <t>2 - 4 Năm</t>
        </is>
      </c>
      <c r="L17630" s="11">
        <f>HYPERLINK("https://careerviet.vn/vi/tim-viec-lam/field-application-engineer.35C6770C.html","Xem chi tiết")</f>
        <v/>
      </c>
      <c r="M17630" s="10" t="n"/>
    </row>
    <row r="17631">
      <c r="B17631" s="7" t="n">
        <v>17629</v>
      </c>
      <c r="C17631" t="inlineStr">
        <is>
          <t>Market research 市场调研专员</t>
        </is>
      </c>
      <c r="D17631" t="inlineStr">
        <is>
          <t>S.F. EXPRESS LTD.</t>
        </is>
      </c>
      <c r="E17631" t="inlineStr">
        <is>
          <t>Lương:20 Tr - 25 Tr VND</t>
        </is>
      </c>
      <c r="F17631" t="inlineStr">
        <is>
          <t>Hồ Chí Minh</t>
        </is>
      </c>
      <c r="G17631" t="inlineStr">
        <is>
          <t>05-04-2026</t>
        </is>
      </c>
      <c r="H17631" t="inlineStr">
        <is>
          <t>05/04/2026</t>
        </is>
      </c>
      <c r="I17631" t="inlineStr">
        <is>
          <t>17/03/2026</t>
        </is>
      </c>
      <c r="J17631" t="inlineStr">
        <is>
          <t>Vận chuyển / Giao nhận / Kho vận, Xuất nhập khẩu, Tiếp thị / Marketing</t>
        </is>
      </c>
      <c r="K17631" t="inlineStr">
        <is>
          <t>3 - 5 Năm</t>
        </is>
      </c>
      <c r="L17631" s="8">
        <f>HYPERLINK("https://careerviet.vn/vi/tim-viec-lam/market-research.35C6771A.html","Xem chi tiết")</f>
        <v/>
      </c>
    </row>
    <row r="17632">
      <c r="B17632" s="9" t="n">
        <v>17630</v>
      </c>
      <c r="C17632" s="10" t="inlineStr">
        <is>
          <t>Content Marketing</t>
        </is>
      </c>
      <c r="D17632" s="10" t="inlineStr">
        <is>
          <t>Hệ thống đào tạo lập trình hiện đại CodeGym Việt Nam</t>
        </is>
      </c>
      <c r="E17632" s="10" t="inlineStr">
        <is>
          <t>Lương:10 Tr - 14 Tr VND</t>
        </is>
      </c>
      <c r="F17632" s="10" t="inlineStr">
        <is>
          <t>Hà Nội</t>
        </is>
      </c>
      <c r="G17632" s="10" t="inlineStr">
        <is>
          <t>05-04-2026</t>
        </is>
      </c>
      <c r="H17632" s="10" t="inlineStr">
        <is>
          <t>05/04/2026</t>
        </is>
      </c>
      <c r="I17632" s="10" t="inlineStr">
        <is>
          <t>17/03/2026</t>
        </is>
      </c>
      <c r="J17632" s="10" t="inlineStr">
        <is>
          <t>Tiếp thị / Marketing, Giáo dục / Đào tạo, CNTT - Phần mềm</t>
        </is>
      </c>
      <c r="K17632" s="10" t="inlineStr">
        <is>
          <t>Trên 2 Năm</t>
        </is>
      </c>
      <c r="L17632" s="11">
        <f>HYPERLINK("https://careerviet.vn/vi/tim-viec-lam/content-marketing.35C648D1.html","Xem chi tiết")</f>
        <v/>
      </c>
      <c r="M17632" s="10" t="n"/>
    </row>
    <row r="17633">
      <c r="B17633" s="7" t="n">
        <v>17631</v>
      </c>
      <c r="C17633" t="inlineStr">
        <is>
          <t>Nhân viên Logistics Nhập khẩu</t>
        </is>
      </c>
      <c r="D17633" t="inlineStr">
        <is>
          <t>Tập Đoàn Kim Tín</t>
        </is>
      </c>
      <c r="E17633" t="inlineStr">
        <is>
          <t>Lương:Cạnh tranh</t>
        </is>
      </c>
      <c r="F17633" t="inlineStr">
        <is>
          <t>Hồ Chí Minh</t>
        </is>
      </c>
      <c r="G17633" t="inlineStr">
        <is>
          <t>05-04-2026</t>
        </is>
      </c>
      <c r="H17633" t="inlineStr">
        <is>
          <t>05/04/2026</t>
        </is>
      </c>
      <c r="I17633" t="inlineStr">
        <is>
          <t>17/03/2026</t>
        </is>
      </c>
      <c r="J17633" t="inlineStr">
        <is>
          <t>Xuất nhập khẩu</t>
        </is>
      </c>
      <c r="K17633" t="inlineStr">
        <is>
          <t>1 - 2 Năm</t>
        </is>
      </c>
      <c r="L17633" s="8">
        <f>HYPERLINK("https://careerviet.vn/vi/tim-viec-lam/nhan-vien-logistics-nhap-khau.35C676F5.html","Xem chi tiết")</f>
        <v/>
      </c>
    </row>
    <row r="17634">
      <c r="B17634" s="9" t="n">
        <v>17632</v>
      </c>
      <c r="C17634" s="10" t="inlineStr">
        <is>
          <t>Agency Sales Intern (US trade lane)</t>
        </is>
      </c>
      <c r="D17634" s="10" t="inlineStr">
        <is>
          <t>ITL Freight Management</t>
        </is>
      </c>
      <c r="E17634" s="10" t="inlineStr">
        <is>
          <t>Lương:1 Tr - 3 Tr VND</t>
        </is>
      </c>
      <c r="F17634" s="10" t="inlineStr">
        <is>
          <t>Hồ Chí Minh</t>
        </is>
      </c>
      <c r="G17634" s="10" t="inlineStr">
        <is>
          <t>05-04-2026</t>
        </is>
      </c>
      <c r="H17634" s="10" t="inlineStr">
        <is>
          <t>05/04/2026</t>
        </is>
      </c>
      <c r="I17634" s="10" t="inlineStr">
        <is>
          <t>17/03/2026</t>
        </is>
      </c>
      <c r="J17634" s="10" t="inlineStr">
        <is>
          <t>Bán hàng / Kinh doanh, Vận chuyển / Giao nhận / Kho vận</t>
        </is>
      </c>
      <c r="K17634" s="10" t="inlineStr">
        <is>
          <t>N/A</t>
        </is>
      </c>
      <c r="L17634" s="11">
        <f>HYPERLINK("https://careerviet.vn/vi/tim-viec-lam/agency-sales-intern-us-trade-lane.35C64968.html","Xem chi tiết")</f>
        <v/>
      </c>
      <c r="M17634" s="10" t="n"/>
    </row>
    <row r="17635">
      <c r="B17635" s="7" t="n">
        <v>17633</v>
      </c>
      <c r="C17635" t="inlineStr">
        <is>
          <t>CVCC/ CVC/ Chuyên viên khách hàng doanh nghiệp - Khu vực Hà Nội</t>
        </is>
      </c>
      <c r="D17635" t="inlineStr">
        <is>
          <t>Ngân hàng Thương mại cổ phần Đông Nam Á (SeABank)</t>
        </is>
      </c>
      <c r="E17635" t="inlineStr">
        <is>
          <t>Lương:Cạnh tranh</t>
        </is>
      </c>
      <c r="F17635" t="inlineStr">
        <is>
          <t>Hà Nội</t>
        </is>
      </c>
      <c r="G17635" t="inlineStr">
        <is>
          <t>05-04-2026</t>
        </is>
      </c>
      <c r="H17635" t="inlineStr">
        <is>
          <t>05/04/2026</t>
        </is>
      </c>
      <c r="I17635" t="inlineStr">
        <is>
          <t>17/03/2026</t>
        </is>
      </c>
      <c r="J17635" t="inlineStr">
        <is>
          <t>Bán hàng / Kinh doanh, Ngân hàng, Tài chính / Đầu tư</t>
        </is>
      </c>
      <c r="K17635" t="inlineStr">
        <is>
          <t>1 - 5 Năm</t>
        </is>
      </c>
      <c r="L17635" s="8">
        <f>HYPERLINK("https://careerviet.vn/vi/tim-viec-lam/cvcc-cvc-chuyen-vien-khach-hang-doanh-nghiep-khu-vuc-ha-noi.35C648AE.html","Xem chi tiết")</f>
        <v/>
      </c>
    </row>
    <row r="17636">
      <c r="B17636" s="9" t="n">
        <v>17634</v>
      </c>
      <c r="C17636" s="10" t="inlineStr">
        <is>
          <t>CHUYÊN VIÊN DỰ TOÁN - ĐẤU THẦU MẢNG NỘI THẤT</t>
        </is>
      </c>
      <c r="D17636" s="10" t="inlineStr">
        <is>
          <t>CÔNG TY CỔ PHẦN SẢN XUẤT THƯƠNG MẠI XÂY DỰNG TRANG TRÍ NỘI THẤT G.S VIỆT NAM</t>
        </is>
      </c>
      <c r="E17636" s="10" t="inlineStr">
        <is>
          <t>Lương:Trên 17 Tr VND</t>
        </is>
      </c>
      <c r="F17636" s="10" t="inlineStr">
        <is>
          <t>Hồ Chí Minh</t>
        </is>
      </c>
      <c r="G17636" s="10" t="inlineStr">
        <is>
          <t>05-04-2026</t>
        </is>
      </c>
      <c r="H17636" s="10" t="inlineStr">
        <is>
          <t>05/04/2026</t>
        </is>
      </c>
      <c r="I17636" s="10" t="inlineStr">
        <is>
          <t>17/03/2026</t>
        </is>
      </c>
      <c r="J17636" s="10" t="inlineStr">
        <is>
          <t>Xây dựng, Nội ngoại thất, Kiến trúc</t>
        </is>
      </c>
      <c r="K17636" s="10" t="inlineStr">
        <is>
          <t>2 - 5 Năm</t>
        </is>
      </c>
      <c r="L17636" s="11">
        <f>HYPERLINK("https://careerviet.vn/vi/tim-viec-lam/chuyen-vien-du-toan-dau-thau-mang-noi-that.35C67638.html","Xem chi tiết")</f>
        <v/>
      </c>
      <c r="M17636" s="10" t="n"/>
    </row>
    <row r="17637">
      <c r="B17637" s="7" t="n">
        <v>17635</v>
      </c>
      <c r="C17637" t="inlineStr">
        <is>
          <t>DA NANG - HR &amp; Admin Specialist</t>
        </is>
      </c>
      <c r="D17637" t="inlineStr">
        <is>
          <t>CÔNG TY CỔ PHẦN MAISON RETAIL MANAGEMENT INTERNATIONAL</t>
        </is>
      </c>
      <c r="E17637" t="inlineStr">
        <is>
          <t>Lương:Cạnh tranh</t>
        </is>
      </c>
      <c r="F17637" t="inlineStr">
        <is>
          <t>Đà Nẵng</t>
        </is>
      </c>
      <c r="G17637" t="inlineStr">
        <is>
          <t>05-04-2026</t>
        </is>
      </c>
      <c r="H17637" t="inlineStr">
        <is>
          <t>05/04/2026</t>
        </is>
      </c>
      <c r="I17637" t="inlineStr">
        <is>
          <t>17/03/2026</t>
        </is>
      </c>
      <c r="J17637" t="inlineStr">
        <is>
          <t>Hành chính / Thư ký, Quản lý điều hành, Nhân sự</t>
        </is>
      </c>
      <c r="K17637" t="inlineStr">
        <is>
          <t>2 - 5 Năm</t>
        </is>
      </c>
      <c r="L17637" s="8">
        <f>HYPERLINK("https://careerviet.vn/vi/tim-viec-lam/da-nang-hr-admin-specialist.35C678A0.html","Xem chi tiết")</f>
        <v/>
      </c>
    </row>
    <row r="17638">
      <c r="B17638" s="9" t="n">
        <v>17636</v>
      </c>
      <c r="C17638" s="10" t="inlineStr">
        <is>
          <t>Nhân viên chính thức trực Tổng đài nhà mạng Viettel Đà Nẵng</t>
        </is>
      </c>
      <c r="D17638" s="10" t="inlineStr">
        <is>
          <t>BellSystem24-Việt Nam</t>
        </is>
      </c>
      <c r="E17638" s="10" t="inlineStr">
        <is>
          <t>Lương:5 Tr - 8 Tr VND</t>
        </is>
      </c>
      <c r="F17638" s="10" t="inlineStr">
        <is>
          <t>Đà Nẵng</t>
        </is>
      </c>
      <c r="G17638" s="10" t="inlineStr">
        <is>
          <t>05-04-2026</t>
        </is>
      </c>
      <c r="H17638" s="10" t="inlineStr">
        <is>
          <t>05/04/2026</t>
        </is>
      </c>
      <c r="I17638" s="10" t="inlineStr">
        <is>
          <t>17/03/2026</t>
        </is>
      </c>
      <c r="J17638" s="10" t="inlineStr">
        <is>
          <t>Tư vấn, Dịch vụ khách hàng, Lao động phổ thông</t>
        </is>
      </c>
      <c r="K17638" s="10" t="inlineStr">
        <is>
          <t>N/A</t>
        </is>
      </c>
      <c r="L17638" s="11">
        <f>HYPERLINK("https://careerviet.vn/vi/tim-viec-lam/nhan-vien-chinh-thuc-truc-tong-dai-nha-mang-viettel-da-nang.35C6480F.html","Xem chi tiết")</f>
        <v/>
      </c>
      <c r="M17638" s="10" t="n"/>
    </row>
    <row r="17639">
      <c r="B17639" s="7" t="n">
        <v>17637</v>
      </c>
      <c r="C17639" t="inlineStr">
        <is>
          <t>Nhân Viên Kinh Doanh B2B – Nội Thất Cao Cấp</t>
        </is>
      </c>
      <c r="D17639" t="inlineStr">
        <is>
          <t>CÔNG TY TNHH PHÁT TRIỂN ĐỒ UỐNG AN VIỆT SÔNG HỒNG</t>
        </is>
      </c>
      <c r="E17639" t="inlineStr">
        <is>
          <t>Lương:20 Tr - 35 Tr VND</t>
        </is>
      </c>
      <c r="F17639" t="inlineStr">
        <is>
          <t>Hà Nội</t>
        </is>
      </c>
      <c r="G17639" t="inlineStr">
        <is>
          <t>05-04-2026</t>
        </is>
      </c>
      <c r="H17639" t="inlineStr">
        <is>
          <t>05/04/2026</t>
        </is>
      </c>
      <c r="I17639" t="inlineStr">
        <is>
          <t>17/03/2026</t>
        </is>
      </c>
      <c r="J17639" t="inlineStr">
        <is>
          <t>Tiếp thị / Marketing, Bán lẻ / Bán sỉ, Tiếp thị trực tuyến</t>
        </is>
      </c>
      <c r="K17639" t="inlineStr">
        <is>
          <t>1 - 2 Năm</t>
        </is>
      </c>
      <c r="L17639" s="8">
        <f>HYPERLINK("https://careerviet.vn/vi/tim-viec-lam/nhan-vien-kinh-doanh-b2b-noi-that-cao-cap.35C678E8.html","Xem chi tiết")</f>
        <v/>
      </c>
    </row>
    <row r="17640">
      <c r="B17640" s="9" t="n">
        <v>17638</v>
      </c>
      <c r="C17640" s="10" t="inlineStr">
        <is>
          <t>Kỹ Sư R&amp;D Gỗ</t>
        </is>
      </c>
      <c r="D17640" s="10" t="inlineStr">
        <is>
          <t>Tập Đoàn Kim Tín</t>
        </is>
      </c>
      <c r="E17640" s="10" t="inlineStr">
        <is>
          <t>Lương:Cạnh tranh</t>
        </is>
      </c>
      <c r="F17640" s="10" t="inlineStr">
        <is>
          <t>Bình Phước</t>
        </is>
      </c>
      <c r="G17640" s="10" t="inlineStr">
        <is>
          <t>05-04-2026</t>
        </is>
      </c>
      <c r="H17640" s="10" t="inlineStr">
        <is>
          <t>05/04/2026</t>
        </is>
      </c>
      <c r="I17640" s="10" t="inlineStr">
        <is>
          <t>17/03/2026</t>
        </is>
      </c>
      <c r="J17640" s="10" t="inlineStr">
        <is>
          <t>Hóa học, Nội ngoại thất, Sản xuất / Vận hành sản xuất</t>
        </is>
      </c>
      <c r="K17640" s="10" t="inlineStr">
        <is>
          <t>1 Năm</t>
        </is>
      </c>
      <c r="L17640" s="11">
        <f>HYPERLINK("https://careerviet.vn/vi/tim-viec-lam/ky-su-r-d-go.35C6783F.html","Xem chi tiết")</f>
        <v/>
      </c>
      <c r="M17640" s="10" t="n"/>
    </row>
    <row r="17641">
      <c r="B17641" s="7" t="n">
        <v>17639</v>
      </c>
      <c r="C17641" t="inlineStr">
        <is>
          <t>Senior Data Scientist - K.CNTT</t>
        </is>
      </c>
      <c r="D17641" t="inlineStr">
        <is>
          <t>Ngân hàng TMCP Đại Chúng Việt Nam - PVcomBank</t>
        </is>
      </c>
      <c r="E17641" t="inlineStr">
        <is>
          <t>Lương:Cạnh tranh</t>
        </is>
      </c>
      <c r="F17641" t="inlineStr">
        <is>
          <t>Hà Nội</t>
        </is>
      </c>
      <c r="G17641" t="inlineStr">
        <is>
          <t>05-04-2026</t>
        </is>
      </c>
      <c r="H17641" t="inlineStr">
        <is>
          <t>05/04/2026</t>
        </is>
      </c>
      <c r="I17641" t="inlineStr">
        <is>
          <t>17/03/2026</t>
        </is>
      </c>
      <c r="J17641" t="inlineStr">
        <is>
          <t>CNTT - Phần cứng / Mạng, CNTT - Phần mềm, Ngân hàng</t>
        </is>
      </c>
      <c r="K17641" t="inlineStr">
        <is>
          <t>3 - 5 Năm</t>
        </is>
      </c>
      <c r="L17641" s="8">
        <f>HYPERLINK("https://careerviet.vn/vi/tim-viec-lam/senior-data-scientist-k-cntt.35C648C5.html","Xem chi tiết")</f>
        <v/>
      </c>
    </row>
    <row r="17642">
      <c r="B17642" s="9" t="n">
        <v>17640</v>
      </c>
      <c r="C17642" s="10" t="inlineStr">
        <is>
          <t>[Hà Nội] - Chuyên Viên Tư Vấn Trả Góp Ô Tô</t>
        </is>
      </c>
      <c r="D17642" s="10" t="inlineStr">
        <is>
          <t>Công Ty Tài Chính Mirae Asset (Việt Nam)</t>
        </is>
      </c>
      <c r="E17642" s="10" t="inlineStr">
        <is>
          <t>Lương:17 Tr - 30 Tr VND</t>
        </is>
      </c>
      <c r="F17642" s="10" t="inlineStr">
        <is>
          <t>Hà NộiKV Bắc Trung Bộ</t>
        </is>
      </c>
      <c r="G17642" s="10" t="inlineStr">
        <is>
          <t>05-04-2026</t>
        </is>
      </c>
      <c r="H17642" s="10" t="inlineStr">
        <is>
          <t>05/04/2026</t>
        </is>
      </c>
      <c r="I17642" s="10" t="inlineStr">
        <is>
          <t>17/03/2026</t>
        </is>
      </c>
      <c r="J17642" s="10" t="inlineStr">
        <is>
          <t>Bán hàng / Kinh doanh, Bán lẻ / Bán sỉ, Tài chính / Đầu tư</t>
        </is>
      </c>
      <c r="K17642" s="10" t="inlineStr">
        <is>
          <t>1 - 3 Năm</t>
        </is>
      </c>
      <c r="L17642" s="11">
        <f>HYPERLINK("https://careerviet.vn/vi/tim-viec-lam/ha-noi-chuyen-vien-tu-van-tra-gop-o-to.35C64952.html","Xem chi tiết")</f>
        <v/>
      </c>
      <c r="M17642" s="10" t="n"/>
    </row>
    <row r="17643">
      <c r="B17643" s="7" t="n">
        <v>17641</v>
      </c>
      <c r="C17643" t="inlineStr">
        <is>
          <t>Graphic Design</t>
        </is>
      </c>
      <c r="D17643" t="inlineStr">
        <is>
          <t>Công ty TNHH Sản xuất Thương mại &amp; Dịch vụ Hoa Xinh</t>
        </is>
      </c>
      <c r="E17643" t="inlineStr">
        <is>
          <t>Lương:10 Tr - 14 Tr VND</t>
        </is>
      </c>
      <c r="F17643" t="inlineStr">
        <is>
          <t>Hồ Chí MinhBà Rịa - Vũng Tàu</t>
        </is>
      </c>
      <c r="G17643" t="inlineStr">
        <is>
          <t>05-04-2026</t>
        </is>
      </c>
      <c r="H17643" t="inlineStr">
        <is>
          <t>05/04/2026</t>
        </is>
      </c>
      <c r="I17643" t="inlineStr">
        <is>
          <t>17/03/2026</t>
        </is>
      </c>
      <c r="J17643" t="inlineStr">
        <is>
          <t>Tiếp thị / Marketing, Mỹ thuật / Nghệ thuật / Thiết kế</t>
        </is>
      </c>
      <c r="K17643" t="inlineStr">
        <is>
          <t>2 - 4 Năm</t>
        </is>
      </c>
      <c r="L17643" s="8">
        <f>HYPERLINK("https://careerviet.vn/vi/tim-viec-lam/graphic-design.35C677E3.html","Xem chi tiết")</f>
        <v/>
      </c>
    </row>
    <row r="17644">
      <c r="B17644" s="9" t="n">
        <v>17642</v>
      </c>
      <c r="C17644" s="10" t="inlineStr">
        <is>
          <t>Kế toán trưởng</t>
        </is>
      </c>
      <c r="D17644" s="10" t="inlineStr">
        <is>
          <t>CÔNG TY CỔ PHẦN DƯỢC LIỆU VIỆT NAM (VIETMEC)</t>
        </is>
      </c>
      <c r="E17644" s="10" t="inlineStr">
        <is>
          <t>Lương:15 Tr - 20 Tr VND</t>
        </is>
      </c>
      <c r="F17644" s="10" t="inlineStr">
        <is>
          <t>Hải PhòngĐà NẵngĐồng Tháp</t>
        </is>
      </c>
      <c r="G17644" s="10" t="inlineStr">
        <is>
          <t>05-04-2026</t>
        </is>
      </c>
      <c r="H17644" s="10" t="inlineStr">
        <is>
          <t>05/04/2026</t>
        </is>
      </c>
      <c r="I17644" s="10" t="inlineStr">
        <is>
          <t>17/03/2026</t>
        </is>
      </c>
      <c r="J17644" s="10" t="inlineStr">
        <is>
          <t>Kế toán / Kiểm toán, Ngân hàng, Tài chính / Đầu tư</t>
        </is>
      </c>
      <c r="K17644" s="10" t="inlineStr">
        <is>
          <t>3 - 5 Năm</t>
        </is>
      </c>
      <c r="L17644" s="11">
        <f>HYPERLINK("https://careerviet.vn/vi/tim-viec-lam/ke-toan-truong.35C64987.html","Xem chi tiết")</f>
        <v/>
      </c>
      <c r="M17644" s="10" t="n"/>
    </row>
    <row r="17645">
      <c r="B17645" s="7" t="n">
        <v>17643</v>
      </c>
      <c r="C17645" t="inlineStr">
        <is>
          <t>[PHENIKAA UNI] Tuyển dụng Giảng viên Kinh doanh Quốc tế - Khoa Kinh tế và Kinh doanh Quốc tế, Trường Kinh tế Phenikaa</t>
        </is>
      </c>
      <c r="D17645" t="inlineStr">
        <is>
          <t>ĐẠI HỌC PHENIKAA</t>
        </is>
      </c>
      <c r="E17645" t="inlineStr">
        <is>
          <t>Lương:Cạnh tranh</t>
        </is>
      </c>
      <c r="F17645" t="inlineStr">
        <is>
          <t>Hà Nội</t>
        </is>
      </c>
      <c r="G17645" t="inlineStr">
        <is>
          <t>05-04-2026</t>
        </is>
      </c>
      <c r="H17645" t="inlineStr">
        <is>
          <t>05/04/2026</t>
        </is>
      </c>
      <c r="I17645" t="inlineStr">
        <is>
          <t>17/03/2026</t>
        </is>
      </c>
      <c r="J17645" t="inlineStr">
        <is>
          <t>Giáo dục / Đào tạo</t>
        </is>
      </c>
      <c r="K17645" t="inlineStr">
        <is>
          <t>1 - 2 Năm</t>
        </is>
      </c>
      <c r="L17645" s="8">
        <f>HYPERLINK("https://careerviet.vn/vi/tim-viec-lam/phenikaa-uni-tuyen-dung-giang-vien-kinh-doanh-quoc-te-khoa-kinh-te-va-kinh-doanh-quoc-te-truong-kinh-te-phenikaa.35C66D24.html","Xem chi tiết")</f>
        <v/>
      </c>
    </row>
    <row r="17646">
      <c r="B17646" s="9" t="n">
        <v>17644</v>
      </c>
      <c r="C17646" s="10" t="inlineStr">
        <is>
          <t>CHUYÊN VIÊN KIỂM TOÁN NỘI BỘ VÀ QUẢN LÝ RỦI RO/  INTERNAL AUDIT &amp; RISK SPECIALIST</t>
        </is>
      </c>
      <c r="D17646" s="10" t="inlineStr">
        <is>
          <t>Tan Hiep Phat Group</t>
        </is>
      </c>
      <c r="E17646" s="10" t="inlineStr">
        <is>
          <t>Lương:Cạnh tranh</t>
        </is>
      </c>
      <c r="F17646" s="10" t="inlineStr">
        <is>
          <t>Bình DươngHồ Chí Minh</t>
        </is>
      </c>
      <c r="G17646" s="10" t="inlineStr">
        <is>
          <t>05-04-2026</t>
        </is>
      </c>
      <c r="H17646" s="10" t="inlineStr">
        <is>
          <t>05/04/2026</t>
        </is>
      </c>
      <c r="I17646" s="10" t="inlineStr">
        <is>
          <t>17/03/2026</t>
        </is>
      </c>
      <c r="J17646" s="10" t="inlineStr">
        <is>
          <t>Kế toán / Kiểm toán, Ngân hàng</t>
        </is>
      </c>
      <c r="K17646" s="10" t="inlineStr">
        <is>
          <t>4 - 15 Năm</t>
        </is>
      </c>
      <c r="L17646" s="11">
        <f>HYPERLINK("https://careerviet.vn/vi/tim-viec-lam/chuyen-vien-kiem-toan-noi-bo-va-quan-ly-rui-ro-internal-audit-risk-specialist.35C6486C.html","Xem chi tiết")</f>
        <v/>
      </c>
      <c r="M17646" s="10" t="n"/>
    </row>
    <row r="17647">
      <c r="B17647" s="7" t="n">
        <v>17645</v>
      </c>
      <c r="C17647" t="inlineStr">
        <is>
          <t>Chuyên viên Thiết kế 3D &amp; Mockup sản phẩm (Drinkware/POD)</t>
        </is>
      </c>
      <c r="D17647" t="inlineStr">
        <is>
          <t>Công Ty Cổ Phần TEECOM</t>
        </is>
      </c>
      <c r="E17647" t="inlineStr">
        <is>
          <t>Lương:Cạnh tranh</t>
        </is>
      </c>
      <c r="F17647" t="inlineStr">
        <is>
          <t>Hồ Chí Minh</t>
        </is>
      </c>
      <c r="G17647" t="inlineStr">
        <is>
          <t>05-04-2026</t>
        </is>
      </c>
      <c r="H17647" t="inlineStr">
        <is>
          <t>05/04/2026</t>
        </is>
      </c>
      <c r="I17647" t="inlineStr">
        <is>
          <t>17/03/2026</t>
        </is>
      </c>
      <c r="J17647" t="inlineStr">
        <is>
          <t>Tiếp thị trực tuyến, Thương mại điện tử, Mỹ thuật / Nghệ thuật / Thiết kế</t>
        </is>
      </c>
      <c r="K17647" t="inlineStr">
        <is>
          <t>2 - 3 Năm</t>
        </is>
      </c>
      <c r="L17647" s="8">
        <f>HYPERLINK("https://careerviet.vn/vi/tim-viec-lam/chuyen-vien-thiet-ke-3d-mockup-san-pham-drinkware-pod.35C67757.html","Xem chi tiết")</f>
        <v/>
      </c>
    </row>
    <row r="17648">
      <c r="B17648" s="9" t="n">
        <v>17646</v>
      </c>
      <c r="C17648" s="10" t="inlineStr">
        <is>
          <t>Trưởng phòng phụ trách Quản Lý Rủi Ro</t>
        </is>
      </c>
      <c r="D17648" s="10" t="inlineStr">
        <is>
          <t>Công Ty Cổ Phần Tập Đoàn Đầu Tư Địa Ốc No Va</t>
        </is>
      </c>
      <c r="E17648" s="10" t="inlineStr">
        <is>
          <t>Lương:Cạnh tranh</t>
        </is>
      </c>
      <c r="F17648" s="10" t="inlineStr">
        <is>
          <t>Hồ Chí Minh</t>
        </is>
      </c>
      <c r="G17648" s="10" t="inlineStr">
        <is>
          <t>05-04-2026</t>
        </is>
      </c>
      <c r="H17648" s="10" t="inlineStr">
        <is>
          <t>05/04/2026</t>
        </is>
      </c>
      <c r="I17648" s="10" t="inlineStr">
        <is>
          <t>17/03/2026</t>
        </is>
      </c>
      <c r="J17648" s="10" t="inlineStr">
        <is>
          <t>Bất động sản</t>
        </is>
      </c>
      <c r="K17648" s="10" t="inlineStr">
        <is>
          <t>10 - 12 Năm</t>
        </is>
      </c>
      <c r="L17648" s="11">
        <f>HYPERLINK("https://careerviet.vn/vi/tim-viec-lam/truong-phong-phu-trach-quan-ly-rui-ro.35C677CA.html","Xem chi tiết")</f>
        <v/>
      </c>
      <c r="M17648" s="10" t="n"/>
    </row>
    <row r="17649">
      <c r="B17649" s="7" t="n">
        <v>17647</v>
      </c>
      <c r="C17649" t="inlineStr">
        <is>
          <t>Chuyên viên kế toán</t>
        </is>
      </c>
      <c r="D17649" t="inlineStr">
        <is>
          <t>CÔNG TY CỔ PHẦN EUROWINDOW HOLDING</t>
        </is>
      </c>
      <c r="E17649" t="inlineStr">
        <is>
          <t>Lương:Cạnh tranh</t>
        </is>
      </c>
      <c r="F17649" t="inlineStr">
        <is>
          <t>Hà Nội</t>
        </is>
      </c>
      <c r="G17649" t="inlineStr">
        <is>
          <t>05-04-2026</t>
        </is>
      </c>
      <c r="H17649" t="inlineStr">
        <is>
          <t>05/04/2026</t>
        </is>
      </c>
      <c r="I17649" t="inlineStr">
        <is>
          <t>17/03/2026</t>
        </is>
      </c>
      <c r="J17649" t="inlineStr">
        <is>
          <t>Kế toán / Kiểm toán</t>
        </is>
      </c>
      <c r="K17649" t="inlineStr">
        <is>
          <t>1 - 5 Năm</t>
        </is>
      </c>
      <c r="L17649" s="8">
        <f>HYPERLINK("https://careerviet.vn/vi/tim-viec-lam/chuyen-vien-ke-toan.35C6775D.html","Xem chi tiết")</f>
        <v/>
      </c>
    </row>
    <row r="17650">
      <c r="B17650" s="9" t="n">
        <v>17648</v>
      </c>
      <c r="C17650" s="10" t="inlineStr">
        <is>
          <t>QUẢN LÝ BẾP TRUNG TÂM</t>
        </is>
      </c>
      <c r="D17650" s="10" t="inlineStr">
        <is>
          <t>Công Ty Cổ Phần Tầm Nhìn Quốc Tế Aladdin</t>
        </is>
      </c>
      <c r="E17650" s="10" t="inlineStr">
        <is>
          <t>Lương:Cạnh tranh</t>
        </is>
      </c>
      <c r="F17650" s="10" t="inlineStr">
        <is>
          <t>Hồ Chí Minh</t>
        </is>
      </c>
      <c r="G17650" s="10" t="inlineStr">
        <is>
          <t>31-03-2026</t>
        </is>
      </c>
      <c r="H17650" s="10" t="inlineStr">
        <is>
          <t>31/03/2026</t>
        </is>
      </c>
      <c r="I17650" s="10" t="inlineStr">
        <is>
          <t>17/03/2026</t>
        </is>
      </c>
      <c r="J17650" s="10" t="inlineStr">
        <is>
          <t>Thực phẩm &amp; Đồ uống, Nhà hàng / Khách sạn, Quản lý điều hành</t>
        </is>
      </c>
      <c r="K17650" s="10" t="inlineStr">
        <is>
          <t>3 - 4 Năm</t>
        </is>
      </c>
      <c r="L17650" s="11">
        <f>HYPERLINK("https://careerviet.vn/vi/tim-viec-lam/quan-ly-bep-trung-tam.35C68E99.html","Xem chi tiết")</f>
        <v/>
      </c>
      <c r="M17650" s="10" t="n"/>
    </row>
    <row r="17651">
      <c r="B17651" s="7" t="n">
        <v>17649</v>
      </c>
      <c r="C17651" t="inlineStr">
        <is>
          <t>Chuyên Viên quản lý thiết kế (kiến trúc sư công trình)</t>
        </is>
      </c>
      <c r="D17651" t="inlineStr">
        <is>
          <t>CareerViet's client</t>
        </is>
      </c>
      <c r="E17651" t="inlineStr">
        <is>
          <t>Lương:Cạnh tranh</t>
        </is>
      </c>
      <c r="F17651" t="inlineStr">
        <is>
          <t>Hồ Chí Minh</t>
        </is>
      </c>
      <c r="G17651" t="inlineStr">
        <is>
          <t>24-03-2026</t>
        </is>
      </c>
      <c r="H17651" t="inlineStr">
        <is>
          <t>24/03/2026</t>
        </is>
      </c>
      <c r="I17651" t="inlineStr">
        <is>
          <t>17/03/2026</t>
        </is>
      </c>
      <c r="J17651" t="inlineStr">
        <is>
          <t>Bất động sản, Kiến trúc, Mỹ thuật / Nghệ thuật / Thiết kế</t>
        </is>
      </c>
      <c r="K17651" t="inlineStr">
        <is>
          <t>10 - 15 Năm</t>
        </is>
      </c>
      <c r="L17651" s="8">
        <f>HYPERLINK("https://careerviet.vn/vi/tim-viec-lam/chuyen-vien-quan-ly-thiet-ke-kien-truc-su-cong-trinh.35C68F78.html","Xem chi tiết")</f>
        <v/>
      </c>
    </row>
    <row r="17652">
      <c r="B17652" s="9" t="n">
        <v>17650</v>
      </c>
      <c r="C17652" s="10" t="inlineStr">
        <is>
          <t>Nhân Viên Kinh Doanh Toàn Thời Gian Hàng FMCG</t>
        </is>
      </c>
      <c r="D17652" s="10" t="inlineStr">
        <is>
          <t>Công ty TNHH Chế biến thực phẩm Đông Đô</t>
        </is>
      </c>
      <c r="E17652" s="10" t="inlineStr">
        <is>
          <t>Lương:13 Tr - 16 Tr VND</t>
        </is>
      </c>
      <c r="F17652" s="10" t="inlineStr">
        <is>
          <t>Thừa Thiên- HuếKhánh HòaBình Thuận</t>
        </is>
      </c>
      <c r="G17652" s="10" t="inlineStr">
        <is>
          <t>05-04-2026</t>
        </is>
      </c>
      <c r="H17652" s="10" t="inlineStr">
        <is>
          <t>05/04/2026</t>
        </is>
      </c>
      <c r="I17652" s="10" t="inlineStr">
        <is>
          <t>17/03/2026</t>
        </is>
      </c>
      <c r="J17652" s="10" t="inlineStr">
        <is>
          <t>Bán lẻ / Bán sỉ, Bán hàng / Kinh doanh, Thực phẩm &amp; Đồ uống</t>
        </is>
      </c>
      <c r="K17652" s="10" t="inlineStr">
        <is>
          <t>1 - 2 Năm</t>
        </is>
      </c>
      <c r="L17652" s="11">
        <f>HYPERLINK("https://careerviet.vn/vi/tim-viec-lam/nhan-vien-kinh-doanh-toan-thoi-gian-hang-fmcg.35C649EB.html","Xem chi tiết")</f>
        <v/>
      </c>
      <c r="M17652" s="10" t="n"/>
    </row>
    <row r="17653">
      <c r="B17653" s="7" t="n">
        <v>17651</v>
      </c>
      <c r="C17653" t="inlineStr">
        <is>
          <t>Fabric Sales</t>
        </is>
      </c>
      <c r="D17653" t="inlineStr">
        <is>
          <t>Công Ty TNHH Dệt Tah Tong Việt Nam</t>
        </is>
      </c>
      <c r="E17653" t="inlineStr">
        <is>
          <t>Lương:Cạnh tranh</t>
        </is>
      </c>
      <c r="F17653" t="inlineStr">
        <is>
          <t>Hồ Chí Minh</t>
        </is>
      </c>
      <c r="G17653" t="inlineStr">
        <is>
          <t>05-04-2026</t>
        </is>
      </c>
      <c r="H17653" t="inlineStr">
        <is>
          <t>05/04/2026</t>
        </is>
      </c>
      <c r="I17653" t="inlineStr">
        <is>
          <t>17/03/2026</t>
        </is>
      </c>
      <c r="J17653" t="inlineStr">
        <is>
          <t>Bán hàng / Kinh doanh, Dệt may / Da giày / Thời trang, Bán lẻ / Bán sỉ</t>
        </is>
      </c>
      <c r="K17653" t="inlineStr">
        <is>
          <t>1 - 5 Năm</t>
        </is>
      </c>
      <c r="L17653" s="8">
        <f>HYPERLINK("https://careerviet.vn/vi/tim-viec-lam/fabric-sales.35C677EC.html","Xem chi tiết")</f>
        <v/>
      </c>
    </row>
    <row r="17654">
      <c r="B17654" s="9" t="n">
        <v>17652</v>
      </c>
      <c r="C17654" s="10" t="inlineStr">
        <is>
          <t>[Lạng Sơn] Chuyên Viên Tư Vấn Trả Góp Ô Tô</t>
        </is>
      </c>
      <c r="D17654" s="10" t="inlineStr">
        <is>
          <t>Công Ty Tài Chính Mirae Asset (Việt Nam)</t>
        </is>
      </c>
      <c r="E17654" s="10" t="inlineStr">
        <is>
          <t>Lương:17 Tr - 30 Tr VND</t>
        </is>
      </c>
      <c r="F17654" s="10" t="inlineStr">
        <is>
          <t>Lạng SơnKV Bắc Trung Bộ</t>
        </is>
      </c>
      <c r="G17654" s="10" t="inlineStr">
        <is>
          <t>05-04-2026</t>
        </is>
      </c>
      <c r="H17654" s="10" t="inlineStr">
        <is>
          <t>05/04/2026</t>
        </is>
      </c>
      <c r="I17654" s="10" t="inlineStr">
        <is>
          <t>17/03/2026</t>
        </is>
      </c>
      <c r="J17654" s="10" t="inlineStr">
        <is>
          <t>Bán hàng / Kinh doanh, Bán lẻ / Bán sỉ, Tài chính / Đầu tư</t>
        </is>
      </c>
      <c r="K17654" s="10" t="inlineStr">
        <is>
          <t>1 - 3 Năm</t>
        </is>
      </c>
      <c r="L17654" s="11">
        <f>HYPERLINK("https://careerviet.vn/vi/tim-viec-lam/lang-son-chuyen-vien-tu-van-tra-gop-o-to.35C64939.html","Xem chi tiết")</f>
        <v/>
      </c>
      <c r="M17654" s="10" t="n"/>
    </row>
    <row r="17655">
      <c r="B17655" s="7" t="n">
        <v>17653</v>
      </c>
      <c r="C17655" t="inlineStr">
        <is>
          <t>Chuyên viên Kiểm soát Kế toán Thuế</t>
        </is>
      </c>
      <c r="D17655" t="inlineStr">
        <is>
          <t>Ngân Hàng TMCP Sài Gòn - Hà Nội ( SHB )</t>
        </is>
      </c>
      <c r="E17655" t="inlineStr">
        <is>
          <t>Lương:Cạnh tranh</t>
        </is>
      </c>
      <c r="F17655" t="inlineStr">
        <is>
          <t>Hà Nội</t>
        </is>
      </c>
      <c r="G17655" t="inlineStr">
        <is>
          <t>25-03-2026</t>
        </is>
      </c>
      <c r="H17655" t="inlineStr">
        <is>
          <t>25/03/2026</t>
        </is>
      </c>
      <c r="I17655" t="inlineStr">
        <is>
          <t>17/03/2026</t>
        </is>
      </c>
      <c r="J17655" t="inlineStr">
        <is>
          <t>Kế toán / Kiểm toán, Ngân hàng, Tài chính / Đầu tư</t>
        </is>
      </c>
      <c r="K17655" t="inlineStr">
        <is>
          <t>null - null Năm</t>
        </is>
      </c>
      <c r="L17655" s="8">
        <f>HYPERLINK("https://careerviet.vn/vi/tim-viec-lam/chuyen-vien-kiem-soat-ke-toan-thue.35C68E93.html","Xem chi tiết")</f>
        <v/>
      </c>
    </row>
    <row r="17656">
      <c r="B17656" s="9" t="n">
        <v>17654</v>
      </c>
      <c r="C17656" s="10" t="inlineStr">
        <is>
          <t>Nhân viên kinh doanh thành thạo tiếng Anh</t>
        </is>
      </c>
      <c r="D17656" s="10" t="inlineStr">
        <is>
          <t>Công ty Cổ phần ĐẠI ĐỒNG TIẾN</t>
        </is>
      </c>
      <c r="E17656" s="10" t="inlineStr">
        <is>
          <t>Lương:10 Tr - 15 Tr VND</t>
        </is>
      </c>
      <c r="F17656" s="10" t="inlineStr">
        <is>
          <t>Hồ Chí Minh</t>
        </is>
      </c>
      <c r="G17656" s="10" t="inlineStr">
        <is>
          <t>6</t>
        </is>
      </c>
      <c r="H17656" s="10" t="inlineStr">
        <is>
          <t>23/03/2026</t>
        </is>
      </c>
      <c r="I17656" s="10" t="inlineStr">
        <is>
          <t>17/03/2026</t>
        </is>
      </c>
      <c r="J17656" s="10" t="inlineStr">
        <is>
          <t>Bán lẻ / Bán sỉ, Bán hàng / Kinh doanh, Xuất nhập khẩu</t>
        </is>
      </c>
      <c r="K17656" s="10" t="inlineStr">
        <is>
          <t>1 - 2 Năm</t>
        </is>
      </c>
      <c r="L17656" s="11">
        <f>HYPERLINK("https://careerviet.vn/vi/tim-viec-lam/nhan-vien-kinh-doanh-thanh-thao-tieng-anh.35C68CCF.html","Xem chi tiết")</f>
        <v/>
      </c>
      <c r="M17656" s="10" t="n"/>
    </row>
    <row r="17657">
      <c r="B17657" s="7" t="n">
        <v>17655</v>
      </c>
      <c r="C17657" t="inlineStr">
        <is>
          <t>Nhân Viên Kế Toán Kho</t>
        </is>
      </c>
      <c r="D17657" t="inlineStr">
        <is>
          <t>Công ty TNHH Thực Phẩm Sạch Thương Mại T&amp;P</t>
        </is>
      </c>
      <c r="E17657" t="inlineStr">
        <is>
          <t>Lương:8 Tr - 10 Tr VND</t>
        </is>
      </c>
      <c r="F17657" t="inlineStr">
        <is>
          <t>Hà Nội</t>
        </is>
      </c>
      <c r="G17657" t="inlineStr">
        <is>
          <t>31-03-2026</t>
        </is>
      </c>
      <c r="H17657" t="inlineStr">
        <is>
          <t>31/03/2026</t>
        </is>
      </c>
      <c r="I17657" t="inlineStr">
        <is>
          <t>17/03/2026</t>
        </is>
      </c>
      <c r="J17657" t="inlineStr">
        <is>
          <t>Kế toán / Kiểm toán, Ngân hàng, Thống kê</t>
        </is>
      </c>
      <c r="K17657" t="inlineStr">
        <is>
          <t>N/A</t>
        </is>
      </c>
      <c r="L17657" s="8">
        <f>HYPERLINK("https://careerviet.vn/vi/tim-viec-lam/nhan-vien-ke-toan-kho.35C68E02.html","Xem chi tiết")</f>
        <v/>
      </c>
    </row>
    <row r="17658">
      <c r="B17658" s="9" t="n">
        <v>17656</v>
      </c>
      <c r="C17658" s="10" t="inlineStr">
        <is>
          <t>NHÂN VIÊN KẾ HOẠCH</t>
        </is>
      </c>
      <c r="D17658" s="10" t="inlineStr">
        <is>
          <t>Công ty Cổ phần Mạc Tích (MARTECH)</t>
        </is>
      </c>
      <c r="E17658" s="10" t="inlineStr">
        <is>
          <t>Lương:Cạnh tranh</t>
        </is>
      </c>
      <c r="F17658" s="10" t="inlineStr">
        <is>
          <t>Đồng Nai</t>
        </is>
      </c>
      <c r="G17658" s="10" t="inlineStr">
        <is>
          <t>25-03-2026</t>
        </is>
      </c>
      <c r="H17658" s="10" t="inlineStr">
        <is>
          <t>25/03/2026</t>
        </is>
      </c>
      <c r="I17658" s="10" t="inlineStr">
        <is>
          <t>17/03/2026</t>
        </is>
      </c>
      <c r="J17658" s="10" t="inlineStr">
        <is>
          <t>Cơ khí / Ô tô / Tự động hóa, Điện / Điện tử / Điện lạnh / Điện công nghiệp, Thu mua / Vật tư</t>
        </is>
      </c>
      <c r="K17658" s="10" t="inlineStr">
        <is>
          <t>N/A</t>
        </is>
      </c>
      <c r="L17658" s="11">
        <f>HYPERLINK("https://careerviet.vn/vi/tim-viec-lam/nhan-vien-ke-hoach.35C68D6C.html","Xem chi tiết")</f>
        <v/>
      </c>
      <c r="M17658" s="10" t="n"/>
    </row>
    <row r="17659">
      <c r="B17659" s="7" t="n">
        <v>17657</v>
      </c>
      <c r="C17659" t="inlineStr">
        <is>
          <t>Cán Bộ An Toàn, Vệ Sinh Lao Động Hải Phòng</t>
        </is>
      </c>
      <c r="D17659" t="inlineStr">
        <is>
          <t>EuP Group</t>
        </is>
      </c>
      <c r="E17659" t="inlineStr">
        <is>
          <t>Lương:10 Tr - 20 Tr VND</t>
        </is>
      </c>
      <c r="F17659" t="inlineStr">
        <is>
          <t>Hải Phòng</t>
        </is>
      </c>
      <c r="G17659" t="inlineStr">
        <is>
          <t>6</t>
        </is>
      </c>
      <c r="H17659" t="inlineStr">
        <is>
          <t>23/03/2026</t>
        </is>
      </c>
      <c r="I17659" t="inlineStr">
        <is>
          <t>17/03/2026</t>
        </is>
      </c>
      <c r="J17659" t="inlineStr">
        <is>
          <t>An toàn lao động, Cơ khí / Ô tô / Tự động hóa, Điện / Điện tử / Điện lạnh / Điện công nghiệp</t>
        </is>
      </c>
      <c r="K17659" t="inlineStr">
        <is>
          <t>Trên 1 Năm</t>
        </is>
      </c>
      <c r="L17659" s="8">
        <f>HYPERLINK("https://careerviet.vn/vi/tim-viec-lam/can-bo-an-toan-ve-sinh-lao-dong-hai-phong.35C68E3A.html","Xem chi tiết")</f>
        <v/>
      </c>
    </row>
    <row r="17660">
      <c r="B17660" s="9" t="n">
        <v>17658</v>
      </c>
      <c r="C17660" s="10" t="inlineStr">
        <is>
          <t>Trưởng phòng kiểm soát chất lượng (QC)</t>
        </is>
      </c>
      <c r="D17660" s="10" t="inlineStr">
        <is>
          <t>CÔNG TY TNHH THƯƠNG MẠI DỊCH VỤ DƯỢC PHẨM BÌNH PHÚ</t>
        </is>
      </c>
      <c r="E17660" s="10" t="inlineStr">
        <is>
          <t>Lương:Cạnh tranh</t>
        </is>
      </c>
      <c r="F17660" s="10" t="inlineStr">
        <is>
          <t>Bình Phước</t>
        </is>
      </c>
      <c r="G17660" s="10" t="inlineStr">
        <is>
          <t>31-03-2026</t>
        </is>
      </c>
      <c r="H17660" s="10" t="inlineStr">
        <is>
          <t>31/03/2026</t>
        </is>
      </c>
      <c r="I17660" s="10" t="inlineStr">
        <is>
          <t>17/03/2026</t>
        </is>
      </c>
      <c r="J17660" s="10" t="inlineStr">
        <is>
          <t>Dược phẩm/ Hóa Mỹ Phẩm, Quản lý chất lượng (QA/QC)</t>
        </is>
      </c>
      <c r="K17660" s="10" t="inlineStr">
        <is>
          <t>Lên đến 1 Năm</t>
        </is>
      </c>
      <c r="L17660" s="11">
        <f>HYPERLINK("https://careerviet.vn/vi/tim-viec-lam/truong-phong-kiem-soat-chat-luong-qc.35C68E37.html","Xem chi tiết")</f>
        <v/>
      </c>
      <c r="M17660" s="10" t="n"/>
    </row>
    <row r="17661">
      <c r="B17661" s="7" t="n">
        <v>17659</v>
      </c>
      <c r="C17661" t="inlineStr">
        <is>
          <t>[HO] IT BUSINESS ANALYST - SENIOR</t>
        </is>
      </c>
      <c r="D17661" t="inlineStr">
        <is>
          <t>Shinhan Bank Vietnam</t>
        </is>
      </c>
      <c r="E17661" t="inlineStr">
        <is>
          <t>Lương:Cạnh tranh</t>
        </is>
      </c>
      <c r="F17661" t="inlineStr">
        <is>
          <t>Hồ Chí Minh</t>
        </is>
      </c>
      <c r="G17661" t="inlineStr">
        <is>
          <t>25-03-2026</t>
        </is>
      </c>
      <c r="H17661" t="inlineStr">
        <is>
          <t>25/03/2026</t>
        </is>
      </c>
      <c r="I17661" t="inlineStr">
        <is>
          <t>17/03/2026</t>
        </is>
      </c>
      <c r="J17661" t="inlineStr">
        <is>
          <t>Kế toán / Kiểm toán, Hành chính / Thư ký, Ngân hàng</t>
        </is>
      </c>
      <c r="K17661" t="inlineStr">
        <is>
          <t>null - null Năm</t>
        </is>
      </c>
      <c r="L17661" s="8">
        <f>HYPERLINK("https://careerviet.vn/vi/tim-viec-lam/ho-it-business-analyst-senior.35C68F5F.html","Xem chi tiết")</f>
        <v/>
      </c>
    </row>
    <row r="17662">
      <c r="B17662" s="9" t="n">
        <v>17660</v>
      </c>
      <c r="C17662" s="10" t="inlineStr">
        <is>
          <t>Nhân viên viên Marketing  Tiếng Trung</t>
        </is>
      </c>
      <c r="D17662" s="10" t="inlineStr">
        <is>
          <t>CÔNG TY CỔ PHẦN ZENBOOKS</t>
        </is>
      </c>
      <c r="E17662" s="10" t="inlineStr">
        <is>
          <t>Lương:11 Tr - 15 Tr VND</t>
        </is>
      </c>
      <c r="F17662" s="10" t="inlineStr">
        <is>
          <t>Hồ Chí Minh</t>
        </is>
      </c>
      <c r="G17662" s="10" t="inlineStr">
        <is>
          <t>6</t>
        </is>
      </c>
      <c r="H17662" s="10" t="inlineStr">
        <is>
          <t>23/03/2026</t>
        </is>
      </c>
      <c r="I17662" s="10" t="inlineStr">
        <is>
          <t>17/03/2026</t>
        </is>
      </c>
      <c r="J17662" s="10" t="inlineStr">
        <is>
          <t>Tiếp thị / Marketing</t>
        </is>
      </c>
      <c r="K17662" s="10" t="inlineStr">
        <is>
          <t>1 - 2 Năm</t>
        </is>
      </c>
      <c r="L17662" s="11">
        <f>HYPERLINK("https://careerviet.vn/vi/tim-viec-lam/nhan-vien-vien-marketing-tieng-trung.35C68D3F.html","Xem chi tiết")</f>
        <v/>
      </c>
      <c r="M17662" s="10" t="n"/>
    </row>
    <row r="17663">
      <c r="B17663" s="7" t="n">
        <v>17661</v>
      </c>
      <c r="C17663" t="inlineStr">
        <is>
          <t>Kế hoạch hàng hóa</t>
        </is>
      </c>
      <c r="D17663" t="inlineStr">
        <is>
          <t>HỘ KINH DOANH MONO TALK</t>
        </is>
      </c>
      <c r="E17663" t="inlineStr">
        <is>
          <t>Lương:10 Tr - 16 Tr VND</t>
        </is>
      </c>
      <c r="F17663" t="inlineStr">
        <is>
          <t>Hà Nội</t>
        </is>
      </c>
      <c r="G17663" t="inlineStr">
        <is>
          <t>30-04-2026</t>
        </is>
      </c>
      <c r="H17663" t="inlineStr">
        <is>
          <t>30/04/2026</t>
        </is>
      </c>
      <c r="I17663" t="inlineStr">
        <is>
          <t>17/03/2026</t>
        </is>
      </c>
      <c r="J17663" t="inlineStr">
        <is>
          <t>Bán hàng / Kinh doanh, Thương mại điện tử, Dệt may / Da giày / Thời trang</t>
        </is>
      </c>
      <c r="K17663" t="inlineStr">
        <is>
          <t>1 - 2 Năm</t>
        </is>
      </c>
      <c r="L17663" s="8">
        <f>HYPERLINK("https://careerviet.vn/vi/tim-viec-lam/ke-hoach-hang-hoa.35C68E30.html","Xem chi tiết")</f>
        <v/>
      </c>
    </row>
    <row r="17664">
      <c r="B17664" s="9" t="n">
        <v>17662</v>
      </c>
      <c r="C17664" s="10" t="inlineStr">
        <is>
          <t>Kỹ sư thiết kế HVAC</t>
        </is>
      </c>
      <c r="D17664" s="10" t="inlineStr">
        <is>
          <t>Công ty Cổ phần công nghệ và đầu tư INTECH</t>
        </is>
      </c>
      <c r="E17664" s="10" t="inlineStr">
        <is>
          <t>Lương:15 Tr - 30 Tr VND</t>
        </is>
      </c>
      <c r="F17664" s="10" t="inlineStr">
        <is>
          <t>Hà NộiHồ Chí Minh</t>
        </is>
      </c>
      <c r="G17664" s="10" t="inlineStr">
        <is>
          <t>31-03-2026</t>
        </is>
      </c>
      <c r="H17664" s="10" t="inlineStr">
        <is>
          <t>31/03/2026</t>
        </is>
      </c>
      <c r="I17664" s="10" t="inlineStr">
        <is>
          <t>17/03/2026</t>
        </is>
      </c>
      <c r="J17664" s="10" t="inlineStr">
        <is>
          <t>Điện / Điện tử / Điện lạnh / Điện công nghiệp, Môi trường, Xây dựng</t>
        </is>
      </c>
      <c r="K17664" s="10" t="inlineStr">
        <is>
          <t>1 - 3 Năm</t>
        </is>
      </c>
      <c r="L17664" s="11">
        <f>HYPERLINK("https://careerviet.vn/vi/tim-viec-lam/ky-su-thiet-ke-hvac.35C68D8F.html","Xem chi tiết")</f>
        <v/>
      </c>
      <c r="M17664" s="10" t="n"/>
    </row>
    <row r="17665">
      <c r="B17665" s="7" t="n">
        <v>17663</v>
      </c>
      <c r="C17665" t="inlineStr">
        <is>
          <t>Giao dịch viên - Chi nhánh Hưng Yên</t>
        </is>
      </c>
      <c r="D17665" t="inlineStr">
        <is>
          <t>Ngân Hàng TMCP Sài Gòn - Hà Nội ( SHB )</t>
        </is>
      </c>
      <c r="E17665" t="inlineStr">
        <is>
          <t>Lương:Cạnh tranh</t>
        </is>
      </c>
      <c r="F17665" t="inlineStr">
        <is>
          <t>Hưng Yên</t>
        </is>
      </c>
      <c r="G17665" t="inlineStr">
        <is>
          <t>25-03-2026</t>
        </is>
      </c>
      <c r="H17665" t="inlineStr">
        <is>
          <t>25/03/2026</t>
        </is>
      </c>
      <c r="I17665" t="inlineStr">
        <is>
          <t>17/03/2026</t>
        </is>
      </c>
      <c r="J17665" t="inlineStr">
        <is>
          <t>Dịch vụ khách hàng, Ngân hàng, Tài chính / Đầu tư</t>
        </is>
      </c>
      <c r="K17665" t="inlineStr">
        <is>
          <t>null - null Năm</t>
        </is>
      </c>
      <c r="L17665" s="8">
        <f>HYPERLINK("https://careerviet.vn/vi/tim-viec-lam/giao-dich-vien-chi-nhanh-hung-yen.35C68E88.html","Xem chi tiết")</f>
        <v/>
      </c>
    </row>
    <row r="17666">
      <c r="B17666" s="9" t="n">
        <v>17664</v>
      </c>
      <c r="C17666" s="10" t="inlineStr">
        <is>
          <t>[Long Thành - Đồng Nai] Tuyển Nhân Viên Bán Hàng - Chuỗi Cửa Hàng Bán Lẻ Thiết Bị Sức Khỏe</t>
        </is>
      </c>
      <c r="D17666" s="10" t="inlineStr">
        <is>
          <t>Công Ty TNHH XNK Phát Triển Đông Dương</t>
        </is>
      </c>
      <c r="E17666" s="10" t="inlineStr">
        <is>
          <t>Lương:12 Tr - 20 Tr VND</t>
        </is>
      </c>
      <c r="F17666" s="10" t="inlineStr">
        <is>
          <t>Đồng Nai</t>
        </is>
      </c>
      <c r="G17666" s="10" t="inlineStr">
        <is>
          <t>31-03-2026</t>
        </is>
      </c>
      <c r="H17666" s="10" t="inlineStr">
        <is>
          <t>31/03/2026</t>
        </is>
      </c>
      <c r="I17666" s="10" t="inlineStr">
        <is>
          <t>17/03/2026</t>
        </is>
      </c>
      <c r="J17666" s="10" t="inlineStr">
        <is>
          <t>Bán lẻ / Bán sỉ, Bán hàng / Kinh doanh, Tư vấn</t>
        </is>
      </c>
      <c r="K17666" s="10" t="inlineStr">
        <is>
          <t>N/A</t>
        </is>
      </c>
      <c r="L17666" s="11">
        <f>HYPERLINK("https://careerviet.vn/vi/tim-viec-lam/long-thanh-dong-nai-tuyen-nhan-vien-ban-hang-chuoi-cua-hang-ban-le-thiet-bi-suc-khoe.35C68E4F.html","Xem chi tiết")</f>
        <v/>
      </c>
      <c r="M17666" s="10" t="n"/>
    </row>
    <row r="17667">
      <c r="B17667" s="7" t="n">
        <v>17665</v>
      </c>
      <c r="C17667" t="inlineStr">
        <is>
          <t>Nhân viên nghiên cứu Phòng  nghiên cứu và phát triển (R&amp;D)</t>
        </is>
      </c>
      <c r="D17667" t="inlineStr">
        <is>
          <t>CÔNG TY TNHH THƯƠNG MẠI DỊCH VỤ DƯỢC PHẨM BÌNH PHÚ</t>
        </is>
      </c>
      <c r="E17667" t="inlineStr">
        <is>
          <t>Lương:Cạnh tranh</t>
        </is>
      </c>
      <c r="F17667" t="inlineStr">
        <is>
          <t>Bình Phước</t>
        </is>
      </c>
      <c r="G17667" t="inlineStr">
        <is>
          <t>31-03-2026</t>
        </is>
      </c>
      <c r="H17667" t="inlineStr">
        <is>
          <t>31/03/2026</t>
        </is>
      </c>
      <c r="I17667" t="inlineStr">
        <is>
          <t>17/03/2026</t>
        </is>
      </c>
      <c r="J17667" t="inlineStr">
        <is>
          <t>Dược phẩm/ Hóa Mỹ Phẩm</t>
        </is>
      </c>
      <c r="K17667" t="inlineStr">
        <is>
          <t>Lên đến 1 Năm</t>
        </is>
      </c>
      <c r="L17667" s="8">
        <f>HYPERLINK("https://careerviet.vn/vi/tim-viec-lam/nhan-vien-nghien-cuu-phong-nghien-cuu-va-phat-trien-r-d.35C68E2F.html","Xem chi tiết")</f>
        <v/>
      </c>
    </row>
    <row r="17668">
      <c r="B17668" s="9" t="n">
        <v>17666</v>
      </c>
      <c r="C17668" s="10" t="inlineStr">
        <is>
          <t>Trợ lý Phó Tổng Giám Đốc (công ty về quản lý vận hành)</t>
        </is>
      </c>
      <c r="D17668" s="10" t="inlineStr">
        <is>
          <t>Tập Đoàn Tân Á Đại Thành</t>
        </is>
      </c>
      <c r="E17668" s="10" t="inlineStr">
        <is>
          <t>Lương:Cạnh tranh</t>
        </is>
      </c>
      <c r="F17668" s="10" t="inlineStr">
        <is>
          <t>Hà Nội</t>
        </is>
      </c>
      <c r="G17668" s="10" t="inlineStr">
        <is>
          <t>3</t>
        </is>
      </c>
      <c r="H17668" s="10" t="inlineStr">
        <is>
          <t>20/03/2026</t>
        </is>
      </c>
      <c r="I17668" s="10" t="inlineStr">
        <is>
          <t>17/03/2026</t>
        </is>
      </c>
      <c r="J17668" s="10" t="inlineStr">
        <is>
          <t>Hành chính / Thư ký, Quản lý điều hành, Bất động sản</t>
        </is>
      </c>
      <c r="K17668" s="10" t="inlineStr">
        <is>
          <t>Trên 3 Năm</t>
        </is>
      </c>
      <c r="L17668" s="11">
        <f>HYPERLINK("https://careerviet.vn/vi/tim-viec-lam/tro-ly-pho-tong-giam-doc-cong-ty-ve-quan-ly-van-hanh.35C68D86.html","Xem chi tiết")</f>
        <v/>
      </c>
      <c r="M17668" s="10" t="n"/>
    </row>
    <row r="17669">
      <c r="B17669" s="7" t="n">
        <v>17667</v>
      </c>
      <c r="C17669" t="inlineStr">
        <is>
          <t>Kế toán trưởng</t>
        </is>
      </c>
      <c r="D17669" t="inlineStr">
        <is>
          <t>CÔNG TY TNHH THƯƠNG MẠI DỊCH VỤ DƯỢC PHẨM BÌNH PHÚ</t>
        </is>
      </c>
      <c r="E17669" t="inlineStr">
        <is>
          <t>Lương:25 Tr - 30 Tr VND</t>
        </is>
      </c>
      <c r="F17669" t="inlineStr">
        <is>
          <t>Bình Phước</t>
        </is>
      </c>
      <c r="G17669" t="inlineStr">
        <is>
          <t>31-03-2026</t>
        </is>
      </c>
      <c r="H17669" t="inlineStr">
        <is>
          <t>31/03/2026</t>
        </is>
      </c>
      <c r="I17669" t="inlineStr">
        <is>
          <t>17/03/2026</t>
        </is>
      </c>
      <c r="J17669" t="inlineStr">
        <is>
          <t>Kế toán / Kiểm toán</t>
        </is>
      </c>
      <c r="K17669" t="inlineStr">
        <is>
          <t>5 - 7 Năm</t>
        </is>
      </c>
      <c r="L17669" s="8">
        <f>HYPERLINK("https://careerviet.vn/vi/tim-viec-lam/ke-toan-truong.35C68E10.html","Xem chi tiết")</f>
        <v/>
      </c>
    </row>
    <row r="17670">
      <c r="B17670" s="9" t="n">
        <v>17668</v>
      </c>
      <c r="C17670" s="10" t="inlineStr">
        <is>
          <t>Nhân viên vận hành thiết bị</t>
        </is>
      </c>
      <c r="D17670" s="10" t="inlineStr">
        <is>
          <t>CÔNG TY TNHH BIA NGŨ HÀNH</t>
        </is>
      </c>
      <c r="E17670" s="10" t="inlineStr">
        <is>
          <t>Lương:Cạnh tranh</t>
        </is>
      </c>
      <c r="F17670" s="10" t="inlineStr">
        <is>
          <t>Đà Nẵng</t>
        </is>
      </c>
      <c r="G17670" s="10" t="inlineStr">
        <is>
          <t>5</t>
        </is>
      </c>
      <c r="H17670" s="10" t="inlineStr">
        <is>
          <t>22/03/2026</t>
        </is>
      </c>
      <c r="I17670" s="10" t="inlineStr">
        <is>
          <t>17/03/2026</t>
        </is>
      </c>
      <c r="J17670" s="10" t="inlineStr">
        <is>
          <t>Sản xuất / Vận hành sản xuất, Điện / Điện tử / Điện lạnh / Điện công nghiệp, Công nghệ thực phẩm / Dinh dưỡng</t>
        </is>
      </c>
      <c r="K17670" s="10" t="inlineStr">
        <is>
          <t>1 - 3 Năm</t>
        </is>
      </c>
      <c r="L17670" s="11">
        <f>HYPERLINK("https://careerviet.vn/vi/tim-viec-lam/nhan-vien-van-hanh-thiet-bi.35C68DAB.html","Xem chi tiết")</f>
        <v/>
      </c>
      <c r="M17670" s="10" t="n"/>
    </row>
    <row r="17671">
      <c r="B17671" s="7" t="n">
        <v>17669</v>
      </c>
      <c r="C17671" t="inlineStr">
        <is>
          <t>KTV Vận hành Lò hơi</t>
        </is>
      </c>
      <c r="D17671" t="inlineStr">
        <is>
          <t>Công Ty TNHH Red Bull (Việt Nam)</t>
        </is>
      </c>
      <c r="E17671" t="inlineStr">
        <is>
          <t>Lương:Cạnh tranh</t>
        </is>
      </c>
      <c r="F17671" t="inlineStr">
        <is>
          <t>Hồ Chí MinhBình DươngĐồng Nai</t>
        </is>
      </c>
      <c r="G17671" t="inlineStr">
        <is>
          <t>6</t>
        </is>
      </c>
      <c r="H17671" t="inlineStr">
        <is>
          <t>23/03/2026</t>
        </is>
      </c>
      <c r="I17671" t="inlineStr">
        <is>
          <t>17/03/2026</t>
        </is>
      </c>
      <c r="J17671" t="inlineStr">
        <is>
          <t>Bảo trì / Sửa chữa, Cơ khí / Ô tô / Tự động hóa, Sản xuất / Vận hành sản xuất</t>
        </is>
      </c>
      <c r="K17671" t="inlineStr">
        <is>
          <t>Trên 1 Năm</t>
        </is>
      </c>
      <c r="L17671" s="8">
        <f>HYPERLINK("https://careerviet.vn/vi/tim-viec-lam/ktv-van-hanh-lo-hoi.35C68CBD.html","Xem chi tiết")</f>
        <v/>
      </c>
    </row>
    <row r="17672">
      <c r="B17672" s="9" t="n">
        <v>17670</v>
      </c>
      <c r="C17672" s="10" t="inlineStr">
        <is>
          <t>Abbott - Giám Sát Tiếp Thị PG Thị Trường (PG Sup)</t>
        </is>
      </c>
      <c r="D17672" s="10" t="inlineStr">
        <is>
          <t>Abbott</t>
        </is>
      </c>
      <c r="E17672" s="10" t="inlineStr">
        <is>
          <t>Lương:Cạnh tranh</t>
        </is>
      </c>
      <c r="F17672" s="10" t="inlineStr">
        <is>
          <t>Khánh HòaĐồng ThápTiền Giang</t>
        </is>
      </c>
      <c r="G17672" s="10" t="inlineStr">
        <is>
          <t>31-03-2026</t>
        </is>
      </c>
      <c r="H17672" s="10" t="inlineStr">
        <is>
          <t>31/03/2026</t>
        </is>
      </c>
      <c r="I17672" s="10" t="inlineStr">
        <is>
          <t>17/03/2026</t>
        </is>
      </c>
      <c r="J17672" s="10" t="inlineStr">
        <is>
          <t>Tiếp thị / Marketing, Bán lẻ / Bán sỉ, Bán hàng / Kinh doanh</t>
        </is>
      </c>
      <c r="K17672" s="10" t="inlineStr">
        <is>
          <t>2 - 5 Năm</t>
        </is>
      </c>
      <c r="L17672" s="11">
        <f>HYPERLINK("https://careerviet.vn/vi/tim-viec-lam/abbott-giam-sat-tiep-thi-pg-thi-truong-pg-sup.35C68DAA.html","Xem chi tiết")</f>
        <v/>
      </c>
      <c r="M17672" s="10" t="n"/>
    </row>
    <row r="17673">
      <c r="B17673" s="7" t="n">
        <v>17671</v>
      </c>
      <c r="C17673" t="inlineStr">
        <is>
          <t>Nhân viên Kế hoạch phòng Cắt may</t>
        </is>
      </c>
      <c r="D17673" t="inlineStr">
        <is>
          <t>Công Ty TNHH Linea Aqua Việt Nam</t>
        </is>
      </c>
      <c r="E17673" t="inlineStr">
        <is>
          <t>Lương:Cạnh tranh</t>
        </is>
      </c>
      <c r="F17673" t="inlineStr">
        <is>
          <t>Hưng YênHà NộiHải Dương</t>
        </is>
      </c>
      <c r="G17673" t="inlineStr">
        <is>
          <t>30-03-2026</t>
        </is>
      </c>
      <c r="H17673" t="inlineStr">
        <is>
          <t>30/03/2026</t>
        </is>
      </c>
      <c r="I17673" t="inlineStr">
        <is>
          <t>17/03/2026</t>
        </is>
      </c>
      <c r="J17673" t="inlineStr">
        <is>
          <t>Hành chính / Thư ký, Dệt may / Da giày / Thời trang, Kế toán / Kiểm toán</t>
        </is>
      </c>
      <c r="K17673" t="inlineStr">
        <is>
          <t>Lên đến 1 Năm</t>
        </is>
      </c>
      <c r="L17673" s="8">
        <f>HYPERLINK("https://careerviet.vn/vi/tim-viec-lam/nhan-vien-ke-hoach-phong-cat-may.35C68DA6.html","Xem chi tiết")</f>
        <v/>
      </c>
    </row>
    <row r="17674">
      <c r="B17674" s="9" t="n">
        <v>17672</v>
      </c>
      <c r="C17674" s="10" t="inlineStr">
        <is>
          <t>[Đồng Xoài - Bình Phước] Tuyển Nhân Viên Bán Hàng - Chuỗi Cửa Hàng Bán Lẻ Thiết Bị Sức Khỏe</t>
        </is>
      </c>
      <c r="D17674" s="10" t="inlineStr">
        <is>
          <t>Công Ty TNHH XNK Phát Triển Đông Dương</t>
        </is>
      </c>
      <c r="E17674" s="10" t="inlineStr">
        <is>
          <t>Lương:12 Tr - 20 Tr VND</t>
        </is>
      </c>
      <c r="F17674" s="10" t="inlineStr">
        <is>
          <t>Bình Phước</t>
        </is>
      </c>
      <c r="G17674" s="10" t="inlineStr">
        <is>
          <t>31-03-2026</t>
        </is>
      </c>
      <c r="H17674" s="10" t="inlineStr">
        <is>
          <t>31/03/2026</t>
        </is>
      </c>
      <c r="I17674" s="10" t="inlineStr">
        <is>
          <t>17/03/2026</t>
        </is>
      </c>
      <c r="J17674" s="10" t="inlineStr">
        <is>
          <t>Bán lẻ / Bán sỉ, Bán hàng / Kinh doanh, Tư vấn</t>
        </is>
      </c>
      <c r="K17674" s="10" t="inlineStr">
        <is>
          <t>N/A</t>
        </is>
      </c>
      <c r="L17674" s="11">
        <f>HYPERLINK("https://careerviet.vn/vi/tim-viec-lam/dong-xoai-binh-phuoc-tuyen-nhan-vien-ban-hang-chuoi-cua-hang-ban-le-thiet-bi-suc-khoe.35C68E26.html","Xem chi tiết")</f>
        <v/>
      </c>
      <c r="M17674" s="10" t="n"/>
    </row>
    <row r="17675">
      <c r="B17675" s="7" t="n">
        <v>17673</v>
      </c>
      <c r="C17675" t="inlineStr">
        <is>
          <t>Nhân Viên Giao Hàng Siêu Thị</t>
        </is>
      </c>
      <c r="D17675" t="inlineStr">
        <is>
          <t>Công Ty TNHH Thương Mại K&amp;K Toàn Cầu</t>
        </is>
      </c>
      <c r="E17675" t="inlineStr">
        <is>
          <t>Lương:8 Tr - 10 Tr VND</t>
        </is>
      </c>
      <c r="F17675" t="inlineStr">
        <is>
          <t>Hà NộiBắc NinhĐà Nẵng</t>
        </is>
      </c>
      <c r="G17675" t="inlineStr">
        <is>
          <t>27-04-2026</t>
        </is>
      </c>
      <c r="H17675" t="inlineStr">
        <is>
          <t>27/04/2026</t>
        </is>
      </c>
      <c r="I17675" t="inlineStr">
        <is>
          <t>17/03/2026</t>
        </is>
      </c>
      <c r="J17675" t="inlineStr">
        <is>
          <t>Vận chuyển / Giao nhận / Kho vận, Lao động phổ thông</t>
        </is>
      </c>
      <c r="K17675" t="inlineStr">
        <is>
          <t>N/A</t>
        </is>
      </c>
      <c r="L17675" s="8">
        <f>HYPERLINK("https://careerviet.vn/vi/tim-viec-lam/nhan-vien-giao-hang-sieu-thi.35C68CC1.html","Xem chi tiết")</f>
        <v/>
      </c>
    </row>
    <row r="17676">
      <c r="B17676" s="9" t="n">
        <v>17674</v>
      </c>
      <c r="C17676" s="10" t="inlineStr">
        <is>
          <t>Beauty Consultant (Japanese speaker)/Tư Vấn Viên Thẩm Mỹ Tiếng Nhật - Rohto Aohal Clinic</t>
        </is>
      </c>
      <c r="D17676" s="10" t="inlineStr">
        <is>
          <t>CÔNG TY TNHH ROHTO-MENTHOLATUM (VIỆT NAM)</t>
        </is>
      </c>
      <c r="E17676" s="10" t="inlineStr">
        <is>
          <t>Lương:10 Tr - 15 Tr VND</t>
        </is>
      </c>
      <c r="F17676" s="10" t="inlineStr">
        <is>
          <t>Hồ Chí Minh</t>
        </is>
      </c>
      <c r="G17676" s="10" t="inlineStr">
        <is>
          <t>31-03-2026</t>
        </is>
      </c>
      <c r="H17676" s="10" t="inlineStr">
        <is>
          <t>31/03/2026</t>
        </is>
      </c>
      <c r="I17676" s="10" t="inlineStr">
        <is>
          <t>17/03/2026</t>
        </is>
      </c>
      <c r="J17676" s="10" t="inlineStr">
        <is>
          <t>Y tế / Chăm sóc sức khỏe / Thẩm mỹ / Làm đẹp, Dịch vụ khách hàng, Biên phiên dịch</t>
        </is>
      </c>
      <c r="K17676" s="10" t="inlineStr">
        <is>
          <t>N/A</t>
        </is>
      </c>
      <c r="L17676" s="11">
        <f>HYPERLINK("https://careerviet.vn/vi/tim-viec-lam/beauty-consultant-japanese-speaker-tu-van-vien-tham-my-tieng-nhat-rohto-aohal-clinic.35C68E13.html","Xem chi tiết")</f>
        <v/>
      </c>
      <c r="M17676" s="10" t="n"/>
    </row>
    <row r="17677">
      <c r="B17677" s="7" t="n">
        <v>17675</v>
      </c>
      <c r="C17677" t="inlineStr">
        <is>
          <t>Kế Toán Viên (Quản Lý Tòa Nhà)</t>
        </is>
      </c>
      <c r="D17677" t="inlineStr">
        <is>
          <t>Savills Vietnam</t>
        </is>
      </c>
      <c r="E17677" t="inlineStr">
        <is>
          <t>Lương:Cạnh tranh</t>
        </is>
      </c>
      <c r="F17677" t="inlineStr">
        <is>
          <t>Hồ Chí Minh</t>
        </is>
      </c>
      <c r="G17677" t="inlineStr">
        <is>
          <t>31-03-2026</t>
        </is>
      </c>
      <c r="H17677" t="inlineStr">
        <is>
          <t>31/03/2026</t>
        </is>
      </c>
      <c r="I17677" t="inlineStr">
        <is>
          <t>17/03/2026</t>
        </is>
      </c>
      <c r="J17677" t="inlineStr">
        <is>
          <t>Bất động sản</t>
        </is>
      </c>
      <c r="K17677" t="inlineStr">
        <is>
          <t>2 - 4 Năm</t>
        </is>
      </c>
      <c r="L17677" s="8">
        <f>HYPERLINK("https://careerviet.vn/vi/tim-viec-lam/ke-toan-vien-quan-ly-toa-nha.35C68F5E.html","Xem chi tiết")</f>
        <v/>
      </c>
    </row>
    <row r="17678">
      <c r="B17678" s="9" t="n">
        <v>17676</v>
      </c>
      <c r="C17678" s="10" t="inlineStr">
        <is>
          <t>Kỹ Sư Thiết Kế Cầu</t>
        </is>
      </c>
      <c r="D17678" s="10" t="inlineStr">
        <is>
          <t>CÔNG TY TNHH TƯ VẤN VÀ CÔNG NGHỆ XÂY DỰNG HOÀNG PHÁT</t>
        </is>
      </c>
      <c r="E17678" s="10" t="inlineStr">
        <is>
          <t>Lương:15 Tr - 25 Tr VND</t>
        </is>
      </c>
      <c r="F17678" s="10" t="inlineStr">
        <is>
          <t>Hà Nội</t>
        </is>
      </c>
      <c r="G17678" s="10" t="inlineStr">
        <is>
          <t>25-03-2026</t>
        </is>
      </c>
      <c r="H17678" s="10" t="inlineStr">
        <is>
          <t>25/03/2026</t>
        </is>
      </c>
      <c r="I17678" s="10" t="inlineStr">
        <is>
          <t>17/03/2026</t>
        </is>
      </c>
      <c r="J17678" s="10" t="inlineStr">
        <is>
          <t>Xây dựng, Kiến trúc</t>
        </is>
      </c>
      <c r="K17678" s="10" t="inlineStr">
        <is>
          <t>Trên 2 Năm</t>
        </is>
      </c>
      <c r="L17678" s="11">
        <f>HYPERLINK("https://careerviet.vn/vi/tim-viec-lam/ky-su-thiet-ke-cau.35C68EFF.html","Xem chi tiết")</f>
        <v/>
      </c>
      <c r="M17678" s="10" t="n"/>
    </row>
    <row r="17679">
      <c r="B17679" s="7" t="n">
        <v>17677</v>
      </c>
      <c r="C17679" t="inlineStr">
        <is>
          <t>Demand Planning &amp; Replenishment Manager (Retail)</t>
        </is>
      </c>
      <c r="D17679" t="inlineStr">
        <is>
          <t>CÔNG TY CỔ PHẦN KING FOOD MARKET</t>
        </is>
      </c>
      <c r="E17679" t="inlineStr">
        <is>
          <t>Lương:Cạnh tranh</t>
        </is>
      </c>
      <c r="F17679" t="inlineStr">
        <is>
          <t>Hồ Chí Minh</t>
        </is>
      </c>
      <c r="G17679" t="inlineStr">
        <is>
          <t>31-03-2026</t>
        </is>
      </c>
      <c r="H17679" t="inlineStr">
        <is>
          <t>31/03/2026</t>
        </is>
      </c>
      <c r="I17679" t="inlineStr">
        <is>
          <t>17/03/2026</t>
        </is>
      </c>
      <c r="J17679" t="inlineStr">
        <is>
          <t>Bán lẻ / Bán sỉ, Vận chuyển / Giao nhận / Kho vận, Thực phẩm &amp; Đồ uống</t>
        </is>
      </c>
      <c r="K17679" t="inlineStr">
        <is>
          <t>5 - 6 Năm</t>
        </is>
      </c>
      <c r="L17679" s="8">
        <f>HYPERLINK("https://careerviet.vn/vi/tim-viec-lam/demand-planning-replenishment-manager-retail.35C68DC4.html","Xem chi tiết")</f>
        <v/>
      </c>
    </row>
    <row r="17680">
      <c r="B17680" s="9" t="n">
        <v>17678</v>
      </c>
      <c r="C17680" s="10" t="inlineStr">
        <is>
          <t>[Đơn Dương] Tuyển Nhân Viên Bán Hàng - Chuỗi Cửa Hàng Bán Lẻ Thiết Bị Sức Khỏe</t>
        </is>
      </c>
      <c r="D17680" s="10" t="inlineStr">
        <is>
          <t>Công Ty TNHH XNK Phát Triển Đông Dương</t>
        </is>
      </c>
      <c r="E17680" s="10" t="inlineStr">
        <is>
          <t>Lương:12 Tr - 20 Tr VND</t>
        </is>
      </c>
      <c r="F17680" s="10" t="inlineStr">
        <is>
          <t>Lâm Đồng</t>
        </is>
      </c>
      <c r="G17680" s="10" t="inlineStr">
        <is>
          <t>31-03-2026</t>
        </is>
      </c>
      <c r="H17680" s="10" t="inlineStr">
        <is>
          <t>31/03/2026</t>
        </is>
      </c>
      <c r="I17680" s="10" t="inlineStr">
        <is>
          <t>17/03/2026</t>
        </is>
      </c>
      <c r="J17680" s="10" t="inlineStr">
        <is>
          <t>Bán lẻ / Bán sỉ, Bán hàng / Kinh doanh, Tư vấn</t>
        </is>
      </c>
      <c r="K17680" s="10" t="inlineStr">
        <is>
          <t>N/A</t>
        </is>
      </c>
      <c r="L17680" s="11">
        <f>HYPERLINK("https://careerviet.vn/vi/tim-viec-lam/don-duong-tuyen-nhan-vien-ban-hang-chuoi-cua-hang-ban-le-thiet-bi-suc-khoe.35C68E46.html","Xem chi tiết")</f>
        <v/>
      </c>
      <c r="M17680" s="10" t="n"/>
    </row>
    <row r="17681">
      <c r="B17681" s="7" t="n">
        <v>17679</v>
      </c>
      <c r="C17681" t="inlineStr">
        <is>
          <t>Chuyên viên tuyển dụng</t>
        </is>
      </c>
      <c r="D17681" t="inlineStr">
        <is>
          <t>Công ty TNHH X.E Việt Nam</t>
        </is>
      </c>
      <c r="E17681" t="inlineStr">
        <is>
          <t>Lương:12 Tr - 15 Tr VND</t>
        </is>
      </c>
      <c r="F17681" t="inlineStr">
        <is>
          <t>Hà Nội</t>
        </is>
      </c>
      <c r="G17681" t="inlineStr">
        <is>
          <t>25-03-2026</t>
        </is>
      </c>
      <c r="H17681" t="inlineStr">
        <is>
          <t>25/03/2026</t>
        </is>
      </c>
      <c r="I17681" t="inlineStr">
        <is>
          <t>17/03/2026</t>
        </is>
      </c>
      <c r="J17681" t="inlineStr">
        <is>
          <t>Nhân sự</t>
        </is>
      </c>
      <c r="K17681" t="inlineStr">
        <is>
          <t>2 - 4 Năm</t>
        </is>
      </c>
      <c r="L17681" s="8">
        <f>HYPERLINK("https://careerviet.vn/vi/tim-viec-lam/chuyen-vien-tuyen-dung.35C68CBF.html","Xem chi tiết")</f>
        <v/>
      </c>
    </row>
    <row r="17682">
      <c r="B17682" s="9" t="n">
        <v>17680</v>
      </c>
      <c r="C17682" s="10" t="inlineStr">
        <is>
          <t>KẾ TOÁN TỔNG HỢP</t>
        </is>
      </c>
      <c r="D17682" s="10" t="inlineStr">
        <is>
          <t>CÔNG TY TNHH ĐẦU TƯ ITS</t>
        </is>
      </c>
      <c r="E17682" s="10" t="inlineStr">
        <is>
          <t>Lương:Cạnh tranh</t>
        </is>
      </c>
      <c r="F17682" s="10" t="inlineStr">
        <is>
          <t>Hồ Chí Minh</t>
        </is>
      </c>
      <c r="G17682" s="10" t="inlineStr">
        <is>
          <t>31-03-2026</t>
        </is>
      </c>
      <c r="H17682" s="10" t="inlineStr">
        <is>
          <t>31/03/2026</t>
        </is>
      </c>
      <c r="I17682" s="10" t="inlineStr">
        <is>
          <t>17/03/2026</t>
        </is>
      </c>
      <c r="J17682" s="10" t="inlineStr">
        <is>
          <t>Kế toán / Kiểm toán</t>
        </is>
      </c>
      <c r="K17682" s="10" t="inlineStr">
        <is>
          <t>5 - 7 Năm</t>
        </is>
      </c>
      <c r="L17682" s="11">
        <f>HYPERLINK("https://careerviet.vn/vi/tim-viec-lam/ke-toan-tong-hop.35C68D2F.html","Xem chi tiết")</f>
        <v/>
      </c>
      <c r="M17682" s="10" t="n"/>
    </row>
    <row r="17683">
      <c r="B17683" s="7" t="n">
        <v>17681</v>
      </c>
      <c r="C17683" t="inlineStr">
        <is>
          <t>CHUYÊN VIÊN TUYỂN DỤNG MẢNG THẨM MỸ</t>
        </is>
      </c>
      <c r="D17683" t="inlineStr">
        <is>
          <t>SCI Group</t>
        </is>
      </c>
      <c r="E17683" t="inlineStr">
        <is>
          <t>Lương:Cạnh tranh</t>
        </is>
      </c>
      <c r="F17683" t="inlineStr">
        <is>
          <t>Hà Nội</t>
        </is>
      </c>
      <c r="G17683" t="inlineStr">
        <is>
          <t>25-03-2026</t>
        </is>
      </c>
      <c r="H17683" t="inlineStr">
        <is>
          <t>25/03/2026</t>
        </is>
      </c>
      <c r="I17683" t="inlineStr">
        <is>
          <t>17/03/2026</t>
        </is>
      </c>
      <c r="J17683" t="inlineStr">
        <is>
          <t>Nhân sự</t>
        </is>
      </c>
      <c r="K17683" t="inlineStr">
        <is>
          <t>null - null Năm</t>
        </is>
      </c>
      <c r="L17683" s="8">
        <f>HYPERLINK("https://careerviet.vn/vi/tim-viec-lam/chuyen-vien-tuyen-dung-mang-tham-my.35C68D39.html","Xem chi tiết")</f>
        <v/>
      </c>
    </row>
    <row r="17684">
      <c r="B17684" s="9" t="n">
        <v>17682</v>
      </c>
      <c r="C17684" s="10" t="inlineStr">
        <is>
          <t>Social Media Executive</t>
        </is>
      </c>
      <c r="D17684" s="10" t="inlineStr">
        <is>
          <t>CÔNG TY TNHH MJ ART GROUP</t>
        </is>
      </c>
      <c r="E17684" s="10" t="inlineStr">
        <is>
          <t>Lương:Cạnh tranh</t>
        </is>
      </c>
      <c r="F17684" s="10" t="inlineStr">
        <is>
          <t>Đà Nẵng</t>
        </is>
      </c>
      <c r="G17684" s="10" t="inlineStr">
        <is>
          <t>31-03-2026</t>
        </is>
      </c>
      <c r="H17684" s="10" t="inlineStr">
        <is>
          <t>31/03/2026</t>
        </is>
      </c>
      <c r="I17684" s="10" t="inlineStr">
        <is>
          <t>17/03/2026</t>
        </is>
      </c>
      <c r="J17684" s="10" t="inlineStr">
        <is>
          <t>Tiếp thị / Marketing, Thương mại điện tử, Tiếp thị trực tuyến</t>
        </is>
      </c>
      <c r="K17684" s="10" t="inlineStr">
        <is>
          <t>1 - 3 Năm</t>
        </is>
      </c>
      <c r="L17684" s="11">
        <f>HYPERLINK("https://careerviet.vn/vi/tim-viec-lam/social-media-executive.35C68D50.html","Xem chi tiết")</f>
        <v/>
      </c>
      <c r="M17684" s="10" t="n"/>
    </row>
    <row r="17685">
      <c r="B17685" s="7" t="n">
        <v>17683</v>
      </c>
      <c r="C17685" t="inlineStr">
        <is>
          <t>[Đà Nẵng] Quản lý siêu thị - Biết Tiếng Hàn</t>
        </is>
      </c>
      <c r="D17685" t="inlineStr">
        <is>
          <t>Công Ty TNHH Thương Mại K&amp;K Toàn Cầu</t>
        </is>
      </c>
      <c r="E17685" t="inlineStr">
        <is>
          <t>Lương:9 Tr - 12 Tr VND</t>
        </is>
      </c>
      <c r="F17685" t="inlineStr">
        <is>
          <t>Đà Nẵng</t>
        </is>
      </c>
      <c r="G17685" t="inlineStr">
        <is>
          <t>27-04-2026</t>
        </is>
      </c>
      <c r="H17685" t="inlineStr">
        <is>
          <t>27/04/2026</t>
        </is>
      </c>
      <c r="I17685" t="inlineStr">
        <is>
          <t>17/03/2026</t>
        </is>
      </c>
      <c r="J17685" t="inlineStr">
        <is>
          <t>Bán hàng / Kinh doanh</t>
        </is>
      </c>
      <c r="K17685" t="inlineStr">
        <is>
          <t>N/A</t>
        </is>
      </c>
      <c r="L17685" s="8">
        <f>HYPERLINK("https://careerviet.vn/vi/tim-viec-lam/da-nang-quan-ly-sieu-thi-biet-tieng-han.35C68CC5.html","Xem chi tiết")</f>
        <v/>
      </c>
    </row>
    <row r="17686">
      <c r="B17686" s="9" t="n">
        <v>17684</v>
      </c>
      <c r="C17686" s="10" t="inlineStr">
        <is>
          <t>Chuyên viên C&amp;B (mạnh Bảo hiểm)</t>
        </is>
      </c>
      <c r="D17686" s="10" t="inlineStr">
        <is>
          <t>Công ty cổ phần Tập đoàn Danko</t>
        </is>
      </c>
      <c r="E17686" s="10" t="inlineStr">
        <is>
          <t>Lương:15 Tr - 20 Tr VND</t>
        </is>
      </c>
      <c r="F17686" s="10" t="inlineStr">
        <is>
          <t>Hà Nội</t>
        </is>
      </c>
      <c r="G17686" s="10" t="inlineStr">
        <is>
          <t>31-03-2026</t>
        </is>
      </c>
      <c r="H17686" s="10" t="inlineStr">
        <is>
          <t>31/03/2026</t>
        </is>
      </c>
      <c r="I17686" s="10" t="inlineStr">
        <is>
          <t>17/03/2026</t>
        </is>
      </c>
      <c r="J17686" s="10" t="inlineStr">
        <is>
          <t>Nhân sự</t>
        </is>
      </c>
      <c r="K17686" s="10" t="inlineStr">
        <is>
          <t>4 - 10 Năm</t>
        </is>
      </c>
      <c r="L17686" s="11">
        <f>HYPERLINK("https://careerviet.vn/vi/tim-viec-lam/chuyen-vien-c-b-manh-bao-hiem.35C68D80.html","Xem chi tiết")</f>
        <v/>
      </c>
      <c r="M17686" s="10" t="n"/>
    </row>
    <row r="17687">
      <c r="B17687" s="7" t="n">
        <v>17685</v>
      </c>
      <c r="C17687" t="inlineStr">
        <is>
          <t>Nhân viên Sales Admin</t>
        </is>
      </c>
      <c r="D17687" t="inlineStr">
        <is>
          <t>HEXAGON - CÔNG TY CỔ PHẦN THIẾT KẾ LỤC GIÁC</t>
        </is>
      </c>
      <c r="E17687" t="inlineStr">
        <is>
          <t>Lương:8 Tr - 12 Tr VND</t>
        </is>
      </c>
      <c r="F17687" t="inlineStr">
        <is>
          <t>Hà Nội</t>
        </is>
      </c>
      <c r="G17687" t="inlineStr">
        <is>
          <t>28-03-2026</t>
        </is>
      </c>
      <c r="H17687" t="inlineStr">
        <is>
          <t>28/03/2026</t>
        </is>
      </c>
      <c r="I17687" t="inlineStr">
        <is>
          <t>17/03/2026</t>
        </is>
      </c>
      <c r="J17687" t="inlineStr">
        <is>
          <t>Bán hàng / Kinh doanh</t>
        </is>
      </c>
      <c r="K17687" t="inlineStr">
        <is>
          <t>1 - 2 Năm</t>
        </is>
      </c>
      <c r="L17687" s="8">
        <f>HYPERLINK("https://careerviet.vn/vi/tim-viec-lam/nhan-vien-sales-admin.35C68E7E.html","Xem chi tiết")</f>
        <v/>
      </c>
    </row>
    <row r="17688">
      <c r="B17688" s="9" t="n">
        <v>17686</v>
      </c>
      <c r="C17688" s="10" t="inlineStr">
        <is>
          <t>Giám sát bán hàng kênh GT-khu vực Bắc Ninh, Gia Lâm (Hà Nội)</t>
        </is>
      </c>
      <c r="D17688" s="10" t="inlineStr">
        <is>
          <t>Công ty Cổ Phần Hóa Mỹ Phẩm Mỹ Hảo</t>
        </is>
      </c>
      <c r="E17688" s="10" t="inlineStr">
        <is>
          <t>Lương:12 Tr - 18 Tr VND</t>
        </is>
      </c>
      <c r="F17688" s="10" t="inlineStr">
        <is>
          <t>Bắc NinhHà Nội</t>
        </is>
      </c>
      <c r="G17688" s="10" t="inlineStr">
        <is>
          <t>31-03-2026</t>
        </is>
      </c>
      <c r="H17688" s="10" t="inlineStr">
        <is>
          <t>31/03/2026</t>
        </is>
      </c>
      <c r="I17688" s="10" t="inlineStr">
        <is>
          <t>17/03/2026</t>
        </is>
      </c>
      <c r="J17688" s="10" t="inlineStr">
        <is>
          <t>Bán lẻ / Bán sỉ, Bán hàng / Kinh doanh, Hàng gia dụng / Chăm sóc cá nhân</t>
        </is>
      </c>
      <c r="K17688" s="10" t="inlineStr">
        <is>
          <t>Trên 2 Năm</t>
        </is>
      </c>
      <c r="L17688" s="11">
        <f>HYPERLINK("https://careerviet.vn/vi/tim-viec-lam/giam-sat-ban-hang-kenh-gt-khu-vuc-bac-ninh-gia-lam-ha-noi.35C68CEB.html","Xem chi tiết")</f>
        <v/>
      </c>
      <c r="M17688" s="10" t="n"/>
    </row>
    <row r="17689">
      <c r="B17689" s="7" t="n">
        <v>17687</v>
      </c>
      <c r="C17689" t="inlineStr">
        <is>
          <t>Trưởng nhóm Dự toán</t>
        </is>
      </c>
      <c r="D17689" t="inlineStr">
        <is>
          <t>Công ty TNHH Nesta</t>
        </is>
      </c>
      <c r="E17689" t="inlineStr">
        <is>
          <t>Lương:20 Tr - 30 Tr VND</t>
        </is>
      </c>
      <c r="F17689" t="inlineStr">
        <is>
          <t>Hưng Yên</t>
        </is>
      </c>
      <c r="G17689" t="inlineStr">
        <is>
          <t>6</t>
        </is>
      </c>
      <c r="H17689" t="inlineStr">
        <is>
          <t>23/03/2026</t>
        </is>
      </c>
      <c r="I17689" t="inlineStr">
        <is>
          <t>17/03/2026</t>
        </is>
      </c>
      <c r="J17689" t="inlineStr">
        <is>
          <t>Nội ngoại thất, Bán Hàng Kỹ Thuật, Đồ gỗ</t>
        </is>
      </c>
      <c r="K17689" t="inlineStr">
        <is>
          <t>5 - 10 Năm</t>
        </is>
      </c>
      <c r="L17689" s="8">
        <f>HYPERLINK("https://careerviet.vn/vi/tim-viec-lam/truong-nhom-du-toan.35C68D8E.html","Xem chi tiết")</f>
        <v/>
      </c>
    </row>
    <row r="17690">
      <c r="B17690" s="9" t="n">
        <v>17688</v>
      </c>
      <c r="C17690" s="10" t="inlineStr">
        <is>
          <t>Trưởng Phòng Bán Hàng</t>
        </is>
      </c>
      <c r="D17690" s="10" t="inlineStr">
        <is>
          <t>Công Ty Cổ Phần A25 Hotel</t>
        </is>
      </c>
      <c r="E17690" s="10" t="inlineStr">
        <is>
          <t>Lương:30 Tr - 60 Tr VND</t>
        </is>
      </c>
      <c r="F17690" s="10" t="inlineStr">
        <is>
          <t>Hà Nội</t>
        </is>
      </c>
      <c r="G17690" s="10" t="inlineStr">
        <is>
          <t>31-03-2026</t>
        </is>
      </c>
      <c r="H17690" s="10" t="inlineStr">
        <is>
          <t>31/03/2026</t>
        </is>
      </c>
      <c r="I17690" s="10" t="inlineStr">
        <is>
          <t>17/03/2026</t>
        </is>
      </c>
      <c r="J17690" s="10" t="inlineStr">
        <is>
          <t>Bán hàng / Kinh doanh, Quản lý điều hành, Nhà hàng / Khách sạn</t>
        </is>
      </c>
      <c r="K17690" s="10" t="inlineStr">
        <is>
          <t>3 - 5 Năm</t>
        </is>
      </c>
      <c r="L17690" s="11">
        <f>HYPERLINK("https://careerviet.vn/vi/tim-viec-lam/truong-phong-ban-hang.35C68F40.html","Xem chi tiết")</f>
        <v/>
      </c>
      <c r="M17690" s="10" t="n"/>
    </row>
    <row r="17691">
      <c r="B17691" s="7" t="n">
        <v>17689</v>
      </c>
      <c r="C17691" t="inlineStr">
        <is>
          <t>Nhân viên Kỹ thuật-Bảo trì</t>
        </is>
      </c>
      <c r="D17691" t="inlineStr">
        <is>
          <t>CÔNG TY TNHH BIA NGŨ HÀNH</t>
        </is>
      </c>
      <c r="E17691" t="inlineStr">
        <is>
          <t>Lương:Cạnh tranh</t>
        </is>
      </c>
      <c r="F17691" t="inlineStr">
        <is>
          <t>Đà Nẵng</t>
        </is>
      </c>
      <c r="G17691" t="inlineStr">
        <is>
          <t>5</t>
        </is>
      </c>
      <c r="H17691" t="inlineStr">
        <is>
          <t>22/03/2026</t>
        </is>
      </c>
      <c r="I17691" t="inlineStr">
        <is>
          <t>17/03/2026</t>
        </is>
      </c>
      <c r="J17691" t="inlineStr">
        <is>
          <t>Điện / Điện tử / Điện lạnh / Điện công nghiệp, Mới tốt nghiệp / Thực tập</t>
        </is>
      </c>
      <c r="K17691" t="inlineStr">
        <is>
          <t>N/A</t>
        </is>
      </c>
      <c r="L17691" s="8">
        <f>HYPERLINK("https://careerviet.vn/vi/tim-viec-lam/nhan-vien-ky-thuat-bao-tri.35C68D90.html","Xem chi tiết")</f>
        <v/>
      </c>
    </row>
    <row r="17692">
      <c r="B17692" s="9" t="n">
        <v>17690</v>
      </c>
      <c r="C17692" s="10" t="inlineStr">
        <is>
          <t>INDUSTRIAL ENGINEER SUPERVISOR (CONTINUOUS IMPROVEMENT)</t>
        </is>
      </c>
      <c r="D17692" s="10" t="inlineStr">
        <is>
          <t>CÔNG TY TNHH CRYSTAL ELEGANCE TEXTILES VIỆT NAM</t>
        </is>
      </c>
      <c r="E17692" s="10" t="inlineStr">
        <is>
          <t>Lương:Cạnh tranh</t>
        </is>
      </c>
      <c r="F17692" s="10" t="inlineStr">
        <is>
          <t>Bình Dương</t>
        </is>
      </c>
      <c r="G17692" s="10" t="inlineStr">
        <is>
          <t>08-03-2026</t>
        </is>
      </c>
      <c r="H17692" s="10" t="inlineStr">
        <is>
          <t>14/03/2026</t>
        </is>
      </c>
      <c r="I17692" s="10" t="inlineStr">
        <is>
          <t>17/03/2026</t>
        </is>
      </c>
      <c r="J17692" s="10" t="inlineStr">
        <is>
          <t>Cơ khí / Ô tô / Tự động hóa, Sản xuất / Vận hành sản xuất, Dệt may / Da giày / Thời trang</t>
        </is>
      </c>
      <c r="K17692" s="10" t="inlineStr">
        <is>
          <t>2 - 3 Năm</t>
        </is>
      </c>
      <c r="L17692" s="11">
        <f>HYPERLINK("https://careerviet.vn/vi/tim-viec-lam/industrial-engineer-supervisor-continuous-improvement.35C68ECB.html","Xem chi tiết")</f>
        <v/>
      </c>
      <c r="M17692" s="10" t="n"/>
    </row>
    <row r="17693">
      <c r="B17693" s="7" t="n">
        <v>17691</v>
      </c>
      <c r="C17693" t="inlineStr">
        <is>
          <t>GRAPHIC DESIGNER - TUYỂN GẤP</t>
        </is>
      </c>
      <c r="D17693" t="inlineStr">
        <is>
          <t>CÔNG TY TNHH AUSTAR PHARMA VIỆT NAM</t>
        </is>
      </c>
      <c r="E17693" t="inlineStr">
        <is>
          <t>Lương:Cạnh tranh</t>
        </is>
      </c>
      <c r="F17693" t="inlineStr">
        <is>
          <t>Hồ Chí Minh</t>
        </is>
      </c>
      <c r="G17693" t="inlineStr">
        <is>
          <t>30-06-2026</t>
        </is>
      </c>
      <c r="H17693" t="inlineStr">
        <is>
          <t>30/06/2026</t>
        </is>
      </c>
      <c r="I17693" t="inlineStr">
        <is>
          <t>17/03/2026</t>
        </is>
      </c>
      <c r="J17693" t="inlineStr">
        <is>
          <t>Dược phẩm/ Hóa Mỹ Phẩm, Y tế / Chăm sóc sức khỏe / Thẩm mỹ / Làm đẹp, Tiếp thị / Marketing</t>
        </is>
      </c>
      <c r="K17693" t="inlineStr">
        <is>
          <t>1 - 5 Năm</t>
        </is>
      </c>
      <c r="L17693" s="8">
        <f>HYPERLINK("https://careerviet.vn/vi/tim-viec-lam/graphic-designer-tuyen-gap.35C68E7F.html","Xem chi tiết")</f>
        <v/>
      </c>
    </row>
    <row r="17694">
      <c r="B17694" s="9" t="n">
        <v>17692</v>
      </c>
      <c r="C17694" s="10" t="inlineStr">
        <is>
          <t>[CITIGYM] C&amp;B Executive</t>
        </is>
      </c>
      <c r="D17694" s="10" t="inlineStr">
        <is>
          <t>Nova Service Group - Công ty Cổ phần Tập đoàn Nova Services</t>
        </is>
      </c>
      <c r="E17694" s="10" t="inlineStr">
        <is>
          <t>Lương:15 Tr - 17 Tr VND</t>
        </is>
      </c>
      <c r="F17694" s="10" t="inlineStr">
        <is>
          <t>Hồ Chí Minh</t>
        </is>
      </c>
      <c r="G17694" s="10" t="inlineStr">
        <is>
          <t>31-03-2026</t>
        </is>
      </c>
      <c r="H17694" s="10" t="inlineStr">
        <is>
          <t>31/03/2026</t>
        </is>
      </c>
      <c r="I17694" s="10" t="inlineStr">
        <is>
          <t>17/03/2026</t>
        </is>
      </c>
      <c r="J17694" s="10" t="inlineStr">
        <is>
          <t>Nhân sự</t>
        </is>
      </c>
      <c r="K17694" s="10" t="inlineStr">
        <is>
          <t>2 - 7 Năm</t>
        </is>
      </c>
      <c r="L17694" s="11">
        <f>HYPERLINK("https://careerviet.vn/vi/tim-viec-lam/citigym-c-b-executive.35C68F68.html","Xem chi tiết")</f>
        <v/>
      </c>
      <c r="M17694" s="10" t="n"/>
    </row>
    <row r="17695">
      <c r="B17695" s="7" t="n">
        <v>17693</v>
      </c>
      <c r="C17695" t="inlineStr">
        <is>
          <t>Giám đốc Trung tâm Kinh doanh ngoại tệ</t>
        </is>
      </c>
      <c r="D17695" t="inlineStr">
        <is>
          <t>Ngân Hàng TMCP Sài Gòn - Hà Nội ( SHB )</t>
        </is>
      </c>
      <c r="E17695" t="inlineStr">
        <is>
          <t>Lương:Cạnh tranh</t>
        </is>
      </c>
      <c r="F17695" t="inlineStr">
        <is>
          <t>Hà Nội</t>
        </is>
      </c>
      <c r="G17695" t="inlineStr">
        <is>
          <t>25-03-2026</t>
        </is>
      </c>
      <c r="H17695" t="inlineStr">
        <is>
          <t>25/03/2026</t>
        </is>
      </c>
      <c r="I17695" t="inlineStr">
        <is>
          <t>17/03/2026</t>
        </is>
      </c>
      <c r="J17695" t="inlineStr">
        <is>
          <t>Ngân hàng, Tài chính / Đầu tư</t>
        </is>
      </c>
      <c r="K17695" t="inlineStr">
        <is>
          <t>null - null Năm</t>
        </is>
      </c>
      <c r="L17695" s="8">
        <f>HYPERLINK("https://careerviet.vn/vi/tim-viec-lam/giam-doc-trung-tam-kinh-doanh-ngoai-te.35C68E8C.html","Xem chi tiết")</f>
        <v/>
      </c>
    </row>
    <row r="17696">
      <c r="B17696" s="9" t="n">
        <v>17694</v>
      </c>
      <c r="C17696" s="10" t="inlineStr">
        <is>
          <t>Kế toán công nợ</t>
        </is>
      </c>
      <c r="D17696" s="10" t="inlineStr">
        <is>
          <t>Công ty TNHH X.E Việt Nam</t>
        </is>
      </c>
      <c r="E17696" s="10" t="inlineStr">
        <is>
          <t>Lương:11 Tr - 14 Tr VND</t>
        </is>
      </c>
      <c r="F17696" s="10" t="inlineStr">
        <is>
          <t>Hà Nội</t>
        </is>
      </c>
      <c r="G17696" s="10" t="inlineStr">
        <is>
          <t>6</t>
        </is>
      </c>
      <c r="H17696" s="10" t="inlineStr">
        <is>
          <t>23/03/2026</t>
        </is>
      </c>
      <c r="I17696" s="10" t="inlineStr">
        <is>
          <t>17/03/2026</t>
        </is>
      </c>
      <c r="J17696" s="10" t="inlineStr">
        <is>
          <t>Kế toán / Kiểm toán</t>
        </is>
      </c>
      <c r="K17696" s="10" t="inlineStr">
        <is>
          <t>2 - 3 Năm</t>
        </is>
      </c>
      <c r="L17696" s="11">
        <f>HYPERLINK("https://careerviet.vn/vi/tim-viec-lam/ke-toan-cong-no.35C68CB5.html","Xem chi tiết")</f>
        <v/>
      </c>
      <c r="M17696" s="10" t="n"/>
    </row>
    <row r="17697">
      <c r="B17697" s="7" t="n">
        <v>17695</v>
      </c>
      <c r="C17697" t="inlineStr">
        <is>
          <t>[Xuân Lộc - Đồng Nai] Tuyển Nhân Viên Bán Hàng - Chuỗi Cửa Hàng Bán Lẻ Thiết Bị Sức Khỏe</t>
        </is>
      </c>
      <c r="D17697" t="inlineStr">
        <is>
          <t>Công Ty TNHH XNK Phát Triển Đông Dương</t>
        </is>
      </c>
      <c r="E17697" t="inlineStr">
        <is>
          <t>Lương:12 Tr - 20 Tr VND</t>
        </is>
      </c>
      <c r="F17697" t="inlineStr">
        <is>
          <t>Đồng Nai</t>
        </is>
      </c>
      <c r="G17697" t="inlineStr">
        <is>
          <t>31-03-2026</t>
        </is>
      </c>
      <c r="H17697" t="inlineStr">
        <is>
          <t>31/03/2026</t>
        </is>
      </c>
      <c r="I17697" t="inlineStr">
        <is>
          <t>17/03/2026</t>
        </is>
      </c>
      <c r="J17697" t="inlineStr">
        <is>
          <t>Bán lẻ / Bán sỉ, Bán hàng / Kinh doanh, Tư vấn</t>
        </is>
      </c>
      <c r="K17697" t="inlineStr">
        <is>
          <t>N/A</t>
        </is>
      </c>
      <c r="L17697" s="8">
        <f>HYPERLINK("https://careerviet.vn/vi/tim-viec-lam/xuan-loc-dong-nai-tuyen-nhan-vien-ban-hang-chuoi-cua-hang-ban-le-thiet-bi-suc-khoe.35C68E18.html","Xem chi tiết")</f>
        <v/>
      </c>
    </row>
    <row r="17698">
      <c r="B17698" s="9" t="n">
        <v>17696</v>
      </c>
      <c r="C17698" s="10" t="inlineStr">
        <is>
          <t>Training Engineer</t>
        </is>
      </c>
      <c r="D17698" s="10" t="inlineStr">
        <is>
          <t>Thermtrol Co., Ltd.</t>
        </is>
      </c>
      <c r="E17698" s="10" t="inlineStr">
        <is>
          <t>Lương:Cạnh tranh</t>
        </is>
      </c>
      <c r="F17698" s="10" t="inlineStr">
        <is>
          <t>Bình Dương</t>
        </is>
      </c>
      <c r="G17698" s="10" t="inlineStr">
        <is>
          <t>25-03-2026</t>
        </is>
      </c>
      <c r="H17698" s="10" t="inlineStr">
        <is>
          <t>25/03/2026</t>
        </is>
      </c>
      <c r="I17698" s="10" t="inlineStr">
        <is>
          <t>17/03/2026</t>
        </is>
      </c>
      <c r="J17698" s="10" t="inlineStr">
        <is>
          <t>Nhân sự, Quản lý chất lượng (QA/QC), Mới tốt nghiệp / Thực tập</t>
        </is>
      </c>
      <c r="K17698" s="10" t="inlineStr">
        <is>
          <t>null - null Năm</t>
        </is>
      </c>
      <c r="L17698" s="11">
        <f>HYPERLINK("https://careerviet.vn/vi/tim-viec-lam/training-engineer.35C68E79.html","Xem chi tiết")</f>
        <v/>
      </c>
      <c r="M17698" s="10" t="n"/>
    </row>
    <row r="17699">
      <c r="B17699" s="7" t="n">
        <v>17697</v>
      </c>
      <c r="C17699" t="inlineStr">
        <is>
          <t>Field Sales Executive (ISO Certifications) - Hanoi - A.01</t>
        </is>
      </c>
      <c r="D17699" t="inlineStr">
        <is>
          <t>TÜV Rheinland Vietnam</t>
        </is>
      </c>
      <c r="E17699" t="inlineStr">
        <is>
          <t>Lương:Cạnh tranh</t>
        </is>
      </c>
      <c r="F17699" t="inlineStr">
        <is>
          <t>Hà Nội</t>
        </is>
      </c>
      <c r="G17699" t="inlineStr">
        <is>
          <t>6</t>
        </is>
      </c>
      <c r="H17699" t="inlineStr">
        <is>
          <t>23/03/2026</t>
        </is>
      </c>
      <c r="I17699" t="inlineStr">
        <is>
          <t>17/03/2026</t>
        </is>
      </c>
      <c r="J17699" t="inlineStr">
        <is>
          <t>Bán hàng / Kinh doanh, Tư vấn</t>
        </is>
      </c>
      <c r="K17699" t="inlineStr">
        <is>
          <t>1 - 2 Năm</t>
        </is>
      </c>
      <c r="L17699" s="8">
        <f>HYPERLINK("https://careerviet.vn/vi/tim-viec-lam/field-sales-executive-iso-certifications-hanoi-a-01.35C68D56.html","Xem chi tiết")</f>
        <v/>
      </c>
    </row>
    <row r="17700">
      <c r="B17700" s="9" t="n">
        <v>17698</v>
      </c>
      <c r="C17700" s="10" t="inlineStr">
        <is>
          <t>[Lái Thiêu - Thuận An] Tuyển Nhân Viên Bán Hàng - Chuỗi Cửa Hàng Bán Lẻ Thiết Bị Sức Khỏe</t>
        </is>
      </c>
      <c r="D17700" s="10" t="inlineStr">
        <is>
          <t>Công Ty TNHH XNK Phát Triển Đông Dương</t>
        </is>
      </c>
      <c r="E17700" s="10" t="inlineStr">
        <is>
          <t>Lương:12 Tr - 20 Tr VND</t>
        </is>
      </c>
      <c r="F17700" s="10" t="inlineStr">
        <is>
          <t>Bình Dương</t>
        </is>
      </c>
      <c r="G17700" s="10" t="inlineStr">
        <is>
          <t>31-03-2026</t>
        </is>
      </c>
      <c r="H17700" s="10" t="inlineStr">
        <is>
          <t>31/03/2026</t>
        </is>
      </c>
      <c r="I17700" s="10" t="inlineStr">
        <is>
          <t>17/03/2026</t>
        </is>
      </c>
      <c r="J17700" s="10" t="inlineStr">
        <is>
          <t>Bán lẻ / Bán sỉ, Bán hàng / Kinh doanh, Tư vấn</t>
        </is>
      </c>
      <c r="K17700" s="10" t="inlineStr">
        <is>
          <t>N/A</t>
        </is>
      </c>
      <c r="L17700" s="11">
        <f>HYPERLINK("https://careerviet.vn/vi/tim-viec-lam/lai-thieu-thuan-an-tuyen-nhan-vien-ban-hang-chuoi-cua-hang-ban-le-thiet-bi-suc-khoe.35C68E39.html","Xem chi tiết")</f>
        <v/>
      </c>
      <c r="M17700" s="10" t="n"/>
    </row>
    <row r="17701">
      <c r="B17701" s="7" t="n">
        <v>17699</v>
      </c>
      <c r="C17701" t="inlineStr">
        <is>
          <t>Chuyên viên kế hoạch tiến độ (chủ đầu tư)</t>
        </is>
      </c>
      <c r="D17701" t="inlineStr">
        <is>
          <t>Tập Đoàn Tân Á Đại Thành</t>
        </is>
      </c>
      <c r="E17701" t="inlineStr">
        <is>
          <t>Lương:Cạnh tranh</t>
        </is>
      </c>
      <c r="F17701" t="inlineStr">
        <is>
          <t>Hà Nội</t>
        </is>
      </c>
      <c r="G17701" t="inlineStr">
        <is>
          <t>6</t>
        </is>
      </c>
      <c r="H17701" t="inlineStr">
        <is>
          <t>23/03/2026</t>
        </is>
      </c>
      <c r="I17701" t="inlineStr">
        <is>
          <t>17/03/2026</t>
        </is>
      </c>
      <c r="J17701" t="inlineStr">
        <is>
          <t>Kiến trúc, Xây dựng, Bất động sản</t>
        </is>
      </c>
      <c r="K17701" t="inlineStr">
        <is>
          <t>3 - 5 Năm</t>
        </is>
      </c>
      <c r="L17701" s="8">
        <f>HYPERLINK("https://careerviet.vn/vi/tim-viec-lam/chuyen-vien-ke-hoach-tien-do-chu-dau-tu.35C68D78.html","Xem chi tiết")</f>
        <v/>
      </c>
    </row>
    <row r="17702">
      <c r="B17702" s="9" t="n">
        <v>17700</v>
      </c>
      <c r="C17702" s="10" t="inlineStr">
        <is>
          <t>Nhân viên chăm sóc khách hàng</t>
        </is>
      </c>
      <c r="D17702" s="10" t="inlineStr">
        <is>
          <t>Công ty Cổ phần Mediamart Việt Nam</t>
        </is>
      </c>
      <c r="E17702" s="10" t="inlineStr">
        <is>
          <t>Lương:7 Tr - 9 Tr VND</t>
        </is>
      </c>
      <c r="F17702" s="10" t="inlineStr">
        <is>
          <t>Hà Nội</t>
        </is>
      </c>
      <c r="G17702" s="10" t="inlineStr">
        <is>
          <t>27-03-2026</t>
        </is>
      </c>
      <c r="H17702" s="10" t="inlineStr">
        <is>
          <t>27/03/2026</t>
        </is>
      </c>
      <c r="I17702" s="10" t="inlineStr">
        <is>
          <t>17/03/2026</t>
        </is>
      </c>
      <c r="J17702" s="10" t="inlineStr">
        <is>
          <t>Bán hàng / Kinh doanh, Dịch vụ khách hàng, Điện / Điện tử / Điện lạnh / Điện công nghiệp</t>
        </is>
      </c>
      <c r="K17702" s="10" t="inlineStr">
        <is>
          <t>N/A</t>
        </is>
      </c>
      <c r="L17702" s="11">
        <f>HYPERLINK("https://careerviet.vn/vi/tim-viec-lam/nhan-vien-cham-soc-khach-hang.35C6A18A.html","Xem chi tiết")</f>
        <v/>
      </c>
      <c r="M17702" s="10" t="n"/>
    </row>
    <row r="17703">
      <c r="B17703" s="7" t="n">
        <v>17701</v>
      </c>
      <c r="C17703" t="inlineStr">
        <is>
          <t>Kĩ sư kết cấu, Kĩ sư MEP</t>
        </is>
      </c>
      <c r="D17703" t="inlineStr">
        <is>
          <t>CHI NHÁNH TỔNG CÔNG TY TƯ VẤN XÂY DỰNG VIỆT NAM - CTCP</t>
        </is>
      </c>
      <c r="E17703" t="inlineStr">
        <is>
          <t>Lương:12 Tr - 20 Tr VND</t>
        </is>
      </c>
      <c r="F17703" t="inlineStr">
        <is>
          <t>Hồ Chí Minh</t>
        </is>
      </c>
      <c r="G17703" t="inlineStr">
        <is>
          <t>01-04-2026</t>
        </is>
      </c>
      <c r="H17703" t="inlineStr">
        <is>
          <t>01/04/2026</t>
        </is>
      </c>
      <c r="I17703" t="inlineStr">
        <is>
          <t>17/03/2026</t>
        </is>
      </c>
      <c r="J17703" t="inlineStr">
        <is>
          <t>Xây dựng, Điện / Điện tử / Điện lạnh / Điện công nghiệp, Kiến trúc</t>
        </is>
      </c>
      <c r="K17703" t="inlineStr">
        <is>
          <t>3 - 6 Năm</t>
        </is>
      </c>
      <c r="L17703" s="8">
        <f>HYPERLINK("https://careerviet.vn/vi/tim-viec-lam/ki-su-ket-cau-ki-su-mep.35C68977.html","Xem chi tiết")</f>
        <v/>
      </c>
    </row>
    <row r="17704">
      <c r="B17704" s="9" t="n">
        <v>17702</v>
      </c>
      <c r="C17704" s="10" t="inlineStr">
        <is>
          <t>KỸ SƯ PHÁT TRIỂN HỆ THỐNG</t>
        </is>
      </c>
      <c r="D17704" s="10" t="inlineStr">
        <is>
          <t>CÔNG TY TNHH ĐIỆN KHÍ QUỐC QUANG (VIỆT NAM)</t>
        </is>
      </c>
      <c r="E17704" s="10" t="inlineStr">
        <is>
          <t>Lương:Cạnh tranh</t>
        </is>
      </c>
      <c r="F17704" s="10" t="inlineStr">
        <is>
          <t>Quảng Nam</t>
        </is>
      </c>
      <c r="G17704" s="10" t="inlineStr">
        <is>
          <t>31-03-2026</t>
        </is>
      </c>
      <c r="H17704" s="10" t="inlineStr">
        <is>
          <t>31/03/2026</t>
        </is>
      </c>
      <c r="I17704" s="10" t="inlineStr">
        <is>
          <t>17/03/2026</t>
        </is>
      </c>
      <c r="J17704" s="10" t="inlineStr">
        <is>
          <t>CNTT - Phần mềm, Sản xuất / Vận hành sản xuất</t>
        </is>
      </c>
      <c r="K17704" s="10" t="inlineStr">
        <is>
          <t>3 - 5 Năm</t>
        </is>
      </c>
      <c r="L17704" s="11">
        <f>HYPERLINK("https://careerviet.vn/vi/tim-viec-lam/ky-su-phat-trien-he-thong.35C6A199.html","Xem chi tiết")</f>
        <v/>
      </c>
      <c r="M17704" s="10" t="n"/>
    </row>
    <row r="17705">
      <c r="B17705" s="7" t="n">
        <v>17703</v>
      </c>
      <c r="C17705" t="inlineStr">
        <is>
          <t>NHÂN VIÊN CONTENT</t>
        </is>
      </c>
      <c r="D17705" t="inlineStr">
        <is>
          <t>CÔNG TY TNHH TƯ VẤN KIẾN TRÚC TLI HÀ NỘI</t>
        </is>
      </c>
      <c r="E17705" t="inlineStr">
        <is>
          <t>Lương:9 Tr - 12 Tr VND</t>
        </is>
      </c>
      <c r="F17705" t="inlineStr">
        <is>
          <t>Hà Nội</t>
        </is>
      </c>
      <c r="G17705" t="inlineStr">
        <is>
          <t>31-03-2026</t>
        </is>
      </c>
      <c r="H17705" t="inlineStr">
        <is>
          <t>31/03/2026</t>
        </is>
      </c>
      <c r="I17705" t="inlineStr">
        <is>
          <t>17/03/2026</t>
        </is>
      </c>
      <c r="J17705" t="inlineStr">
        <is>
          <t>Sản xuất / Vận hành sản xuất, Đồ gỗ, Kiến trúc</t>
        </is>
      </c>
      <c r="K17705" t="inlineStr">
        <is>
          <t>1 - 2 Năm</t>
        </is>
      </c>
      <c r="L17705" s="8">
        <f>HYPERLINK("https://careerviet.vn/vi/tim-viec-lam/nhan-vien-content.35C6A1A6.html","Xem chi tiết")</f>
        <v/>
      </c>
    </row>
    <row r="17706">
      <c r="B17706" s="9" t="n">
        <v>17704</v>
      </c>
      <c r="C17706" s="10" t="inlineStr">
        <is>
          <t>CHUYÊN VIÊN HÀNH CHÍNH PHÁP CHẾ</t>
        </is>
      </c>
      <c r="D17706" s="10" t="inlineStr">
        <is>
          <t>CÔNG TY CỔ PHẦN ĐẦU TƯ XÂY DỰNG NEGEN</t>
        </is>
      </c>
      <c r="E17706" s="10" t="inlineStr">
        <is>
          <t>Lương:13 Tr - 15 Tr VND</t>
        </is>
      </c>
      <c r="F17706" s="10" t="inlineStr">
        <is>
          <t>Hồ Chí Minh</t>
        </is>
      </c>
      <c r="G17706" s="10" t="inlineStr">
        <is>
          <t>28-03-2026</t>
        </is>
      </c>
      <c r="H17706" s="10" t="inlineStr">
        <is>
          <t>28/03/2026</t>
        </is>
      </c>
      <c r="I17706" s="10" t="inlineStr">
        <is>
          <t>17/03/2026</t>
        </is>
      </c>
      <c r="J17706" s="10" t="inlineStr">
        <is>
          <t>Xây dựng</t>
        </is>
      </c>
      <c r="K17706" s="10" t="inlineStr">
        <is>
          <t>2 - 3 Năm</t>
        </is>
      </c>
      <c r="L17706" s="11">
        <f>HYPERLINK("https://careerviet.vn/vi/tim-viec-lam/chuyen-vien-hanh-chinh-phap-che.35C6A12E.html","Xem chi tiết")</f>
        <v/>
      </c>
      <c r="M17706" s="10" t="n"/>
    </row>
    <row r="17707">
      <c r="B17707" s="7" t="n">
        <v>17705</v>
      </c>
      <c r="C17707" t="inlineStr">
        <is>
          <t>Kế Toán Tổng Hợp</t>
        </is>
      </c>
      <c r="D17707" t="inlineStr">
        <is>
          <t>IDC Group</t>
        </is>
      </c>
      <c r="E17707" t="inlineStr">
        <is>
          <t>Lương:Cạnh tranh</t>
        </is>
      </c>
      <c r="F17707" t="inlineStr">
        <is>
          <t>Hà Nội</t>
        </is>
      </c>
      <c r="G17707" t="inlineStr">
        <is>
          <t>31-03-2026</t>
        </is>
      </c>
      <c r="H17707" t="inlineStr">
        <is>
          <t>31/03/2026</t>
        </is>
      </c>
      <c r="I17707" t="inlineStr">
        <is>
          <t>17/03/2026</t>
        </is>
      </c>
      <c r="J17707" t="inlineStr">
        <is>
          <t>Kế toán / Kiểm toán, Luật / Pháp lý, Tài chính / Đầu tư</t>
        </is>
      </c>
      <c r="K17707" t="inlineStr">
        <is>
          <t>Lên đến 5 Năm</t>
        </is>
      </c>
      <c r="L17707" s="8">
        <f>HYPERLINK("https://careerviet.vn/vi/tim-viec-lam/ke-toan-tong-hop.35C6A19B.html","Xem chi tiết")</f>
        <v/>
      </c>
    </row>
    <row r="17708">
      <c r="B17708" s="9" t="n">
        <v>17706</v>
      </c>
      <c r="C17708" s="10" t="inlineStr">
        <is>
          <t>Phụ trách Kinh doanh Nguyên liệu Thực phẩm</t>
        </is>
      </c>
      <c r="D17708" s="10" t="inlineStr">
        <is>
          <t>CÔNG TY CỔ PHẦN THƯƠNG MẠI VÀ CÔNG NGHỆ THỰC PHẨM HOÀNG LÂM</t>
        </is>
      </c>
      <c r="E17708" s="10" t="inlineStr">
        <is>
          <t>Lương:Cạnh tranh</t>
        </is>
      </c>
      <c r="F17708" s="10" t="inlineStr">
        <is>
          <t>Hà Nội</t>
        </is>
      </c>
      <c r="G17708" s="10" t="inlineStr">
        <is>
          <t>31-03-2026</t>
        </is>
      </c>
      <c r="H17708" s="10" t="inlineStr">
        <is>
          <t>31/03/2026</t>
        </is>
      </c>
      <c r="I17708" s="10" t="inlineStr">
        <is>
          <t>17/03/2026</t>
        </is>
      </c>
      <c r="J17708" s="10" t="inlineStr">
        <is>
          <t>Bán hàng / Kinh doanh</t>
        </is>
      </c>
      <c r="K17708" s="10" t="inlineStr">
        <is>
          <t>3 - 4 Năm</t>
        </is>
      </c>
      <c r="L17708" s="11">
        <f>HYPERLINK("https://careerviet.vn/vi/tim-viec-lam/phu-trach-kinh-doanh-nguyen-lieu-thuc-pham.35C6A125.html","Xem chi tiết")</f>
        <v/>
      </c>
      <c r="M17708" s="10" t="n"/>
    </row>
    <row r="17709">
      <c r="B17709" s="7" t="n">
        <v>17707</v>
      </c>
      <c r="C17709" t="inlineStr">
        <is>
          <t>Nhân Viên Lễ Tân (SPA, THẨM MỸ) làm tại Quận 10</t>
        </is>
      </c>
      <c r="D17709" t="inlineStr">
        <is>
          <t>CÔNG TY TNHH THẨM MỸ QUỐC TẾ LINH ANH</t>
        </is>
      </c>
      <c r="E17709" t="inlineStr">
        <is>
          <t>Lương:7 Tr - 25 Tr VND</t>
        </is>
      </c>
      <c r="F17709" t="inlineStr">
        <is>
          <t>Hồ Chí Minh</t>
        </is>
      </c>
      <c r="G17709" t="inlineStr">
        <is>
          <t>11-04-2026</t>
        </is>
      </c>
      <c r="H17709" t="inlineStr">
        <is>
          <t>11/04/2026</t>
        </is>
      </c>
      <c r="I17709" t="inlineStr">
        <is>
          <t>17/03/2026</t>
        </is>
      </c>
      <c r="J17709" t="inlineStr">
        <is>
          <t>Tư vấn</t>
        </is>
      </c>
      <c r="K17709" t="inlineStr">
        <is>
          <t>N/A</t>
        </is>
      </c>
      <c r="L17709" s="8">
        <f>HYPERLINK("https://careerviet.vn/vi/tim-viec-lam/nhan-vien-le-tan-spa-tham-my-lam-tai-quan-10.35C6A135.html","Xem chi tiết")</f>
        <v/>
      </c>
    </row>
    <row r="17710">
      <c r="B17710" s="9" t="n">
        <v>17708</v>
      </c>
      <c r="C17710" s="10" t="inlineStr">
        <is>
          <t>Quản Lý Bán Hàng - HĐ2 (OM) (Thu Nhập Upto 30m/Tháng)</t>
        </is>
      </c>
      <c r="D17710" s="10" t="inlineStr">
        <is>
          <t>CÔNG TY TNHH THẨM MỸ QUỐC TẾ LINH ANH</t>
        </is>
      </c>
      <c r="E17710" s="10" t="inlineStr">
        <is>
          <t>Lương:20 Tr - 30 Tr VND</t>
        </is>
      </c>
      <c r="F17710" s="10" t="inlineStr">
        <is>
          <t>Hồ Chí Minh</t>
        </is>
      </c>
      <c r="G17710" s="10" t="inlineStr">
        <is>
          <t>11-07-2026</t>
        </is>
      </c>
      <c r="H17710" s="10" t="inlineStr">
        <is>
          <t>11/07/2026</t>
        </is>
      </c>
      <c r="I17710" s="10" t="inlineStr">
        <is>
          <t>17/03/2026</t>
        </is>
      </c>
      <c r="J17710" s="10" t="inlineStr">
        <is>
          <t>Y tế / Chăm sóc sức khỏe / Thẩm mỹ / Làm đẹp</t>
        </is>
      </c>
      <c r="K17710" s="10" t="inlineStr">
        <is>
          <t>2 - 5 Năm</t>
        </is>
      </c>
      <c r="L17710" s="11">
        <f>HYPERLINK("https://careerviet.vn/vi/tim-viec-lam/quan-ly-ban-hang-hd2-om-thu-nhap-upto-30m-thang.35C6A13F.html","Xem chi tiết")</f>
        <v/>
      </c>
      <c r="M17710" s="10" t="n"/>
    </row>
    <row r="17711">
      <c r="B17711" s="7" t="n">
        <v>17709</v>
      </c>
      <c r="C17711" t="inlineStr">
        <is>
          <t>Chuyên viên IT</t>
        </is>
      </c>
      <c r="D17711" t="inlineStr">
        <is>
          <t>Viet Han Concrete JSC.,</t>
        </is>
      </c>
      <c r="E17711" t="inlineStr">
        <is>
          <t>Lương:Cạnh tranh</t>
        </is>
      </c>
      <c r="F17711" t="inlineStr">
        <is>
          <t>Hồ Chí Minh</t>
        </is>
      </c>
      <c r="G17711" t="inlineStr">
        <is>
          <t>06-04-2026</t>
        </is>
      </c>
      <c r="H17711" t="inlineStr">
        <is>
          <t>06/04/2026</t>
        </is>
      </c>
      <c r="I17711" t="inlineStr">
        <is>
          <t>17/03/2026</t>
        </is>
      </c>
      <c r="J17711" t="inlineStr">
        <is>
          <t>CNTT - Phần mềm, CNTT - Phần cứng / Mạng</t>
        </is>
      </c>
      <c r="K17711" t="inlineStr">
        <is>
          <t>1 - 2 Năm</t>
        </is>
      </c>
      <c r="L17711" s="8">
        <f>HYPERLINK("https://careerviet.vn/vi/tim-viec-lam/chuyen-vien-it.35C6B3E6.html","Xem chi tiết")</f>
        <v/>
      </c>
    </row>
    <row r="17712">
      <c r="B17712" s="9" t="n">
        <v>17710</v>
      </c>
      <c r="C17712" s="10" t="inlineStr">
        <is>
          <t>Giám sát MEP</t>
        </is>
      </c>
      <c r="D17712" s="10" t="inlineStr">
        <is>
          <t>CÔNG TY TNHH ĐẦU TƯ VÀ PHÁT TRIỂN LÊ PHONG</t>
        </is>
      </c>
      <c r="E17712" s="10" t="inlineStr">
        <is>
          <t>Lương:Cạnh tranh</t>
        </is>
      </c>
      <c r="F17712" s="10" t="inlineStr">
        <is>
          <t>Hồ Chí MinhBình Dương</t>
        </is>
      </c>
      <c r="G17712" s="10" t="inlineStr">
        <is>
          <t>31-03-2026</t>
        </is>
      </c>
      <c r="H17712" s="10" t="inlineStr">
        <is>
          <t>31/03/2026</t>
        </is>
      </c>
      <c r="I17712" s="10" t="inlineStr">
        <is>
          <t>17/03/2026</t>
        </is>
      </c>
      <c r="J17712" s="10" t="inlineStr">
        <is>
          <t>Bất động sản, Xây dựng, Điện / Điện tử / Điện lạnh / Điện công nghiệp</t>
        </is>
      </c>
      <c r="K17712" s="10" t="inlineStr">
        <is>
          <t>Trên 5 Năm</t>
        </is>
      </c>
      <c r="L17712" s="11">
        <f>HYPERLINK("https://careerviet.vn/vi/tim-viec-lam/giam-sat-mep.35C6A043.html","Xem chi tiết")</f>
        <v/>
      </c>
      <c r="M17712" s="10" t="n"/>
    </row>
    <row r="17713">
      <c r="B17713" s="7" t="n">
        <v>17711</v>
      </c>
      <c r="C17713" t="inlineStr">
        <is>
          <t>Marketing Manager</t>
        </is>
      </c>
      <c r="D17713" t="inlineStr">
        <is>
          <t>Công Ty Cổ Phần GreenFeed Việt Nam</t>
        </is>
      </c>
      <c r="E17713" t="inlineStr">
        <is>
          <t>Lương:Cạnh tranh</t>
        </is>
      </c>
      <c r="F17713" t="inlineStr">
        <is>
          <t>Hồ Chí Minh</t>
        </is>
      </c>
      <c r="G17713" t="inlineStr">
        <is>
          <t>30-03-2026</t>
        </is>
      </c>
      <c r="H17713" t="inlineStr">
        <is>
          <t>30/03/2026</t>
        </is>
      </c>
      <c r="I17713" t="inlineStr">
        <is>
          <t>17/03/2026</t>
        </is>
      </c>
      <c r="J17713" t="inlineStr">
        <is>
          <t>Nông nghiệp, Bán hàng / Kinh doanh, Chăn nuôi / Thú y</t>
        </is>
      </c>
      <c r="K17713" t="inlineStr">
        <is>
          <t>3 - 5 Năm</t>
        </is>
      </c>
      <c r="L17713" s="8">
        <f>HYPERLINK("https://careerviet.vn/vi/tim-viec-lam/marketing-manager.35C6B43D.html","Xem chi tiết")</f>
        <v/>
      </c>
    </row>
    <row r="17714">
      <c r="B17714" s="9" t="n">
        <v>17712</v>
      </c>
      <c r="C17714" s="10" t="inlineStr">
        <is>
          <t>Nhân viên telesales  (làm online ở nhà)</t>
        </is>
      </c>
      <c r="D17714" s="10" t="inlineStr">
        <is>
          <t>ONE GROUP</t>
        </is>
      </c>
      <c r="E17714" s="10" t="inlineStr">
        <is>
          <t>Lương:Cạnh tranh</t>
        </is>
      </c>
      <c r="F17714" s="10" t="inlineStr">
        <is>
          <t>Hồ Chí Minh</t>
        </is>
      </c>
      <c r="G17714" s="10" t="inlineStr">
        <is>
          <t>04-04-2026</t>
        </is>
      </c>
      <c r="H17714" s="10" t="inlineStr">
        <is>
          <t>04/04/2026</t>
        </is>
      </c>
      <c r="I17714" s="10" t="inlineStr">
        <is>
          <t>17/03/2026</t>
        </is>
      </c>
      <c r="J17714" s="10" t="inlineStr">
        <is>
          <t>Bán lẻ / Bán sỉ, Bán hàng / Kinh doanh, Y tế / Chăm sóc sức khỏe / Thẩm mỹ / Làm đẹp</t>
        </is>
      </c>
      <c r="K17714" s="10" t="inlineStr">
        <is>
          <t>1 - 2 Năm</t>
        </is>
      </c>
      <c r="L17714" s="11">
        <f>HYPERLINK("https://careerviet.vn/vi/tim-viec-lam/nhan-vien-telesales-lam-online-o-nha.35C6B375.html","Xem chi tiết")</f>
        <v/>
      </c>
      <c r="M17714" s="10" t="n"/>
    </row>
    <row r="17715">
      <c r="B17715" s="7" t="n">
        <v>17713</v>
      </c>
      <c r="C17715" t="inlineStr">
        <is>
          <t>Graphic Designer (Up-to $2000)</t>
        </is>
      </c>
      <c r="D17715" t="inlineStr">
        <is>
          <t>CÔNG TY TNHH CÔNG NGHỆ VÀ GIẢI PHÁP PHẦN MỀM CROSSIAN VIỆT NAM</t>
        </is>
      </c>
      <c r="E17715" t="inlineStr">
        <is>
          <t>Lương:900 - 2.000 USD</t>
        </is>
      </c>
      <c r="F17715" t="inlineStr">
        <is>
          <t>Hà NộiHồ Chí Minh</t>
        </is>
      </c>
      <c r="G17715" t="inlineStr">
        <is>
          <t>06-04-2026</t>
        </is>
      </c>
      <c r="H17715" t="inlineStr">
        <is>
          <t>06/04/2026</t>
        </is>
      </c>
      <c r="I17715" t="inlineStr">
        <is>
          <t>17/03/2026</t>
        </is>
      </c>
      <c r="J17715" t="inlineStr">
        <is>
          <t>Truyền hình / Báo chí / Biên tập, Thương mại điện tử, CNTT - Phần mềm</t>
        </is>
      </c>
      <c r="K17715" t="inlineStr">
        <is>
          <t>Trên 1 Năm</t>
        </is>
      </c>
      <c r="L17715" s="8">
        <f>HYPERLINK("https://careerviet.vn/vi/tim-viec-lam/graphic-designer-up-to-2000.35C6B49E.html","Xem chi tiết")</f>
        <v/>
      </c>
    </row>
    <row r="17716">
      <c r="B17716" s="9" t="n">
        <v>17714</v>
      </c>
      <c r="C17716" s="10" t="inlineStr">
        <is>
          <t>Nhân Viên Sales Admin – Kinh Doanh Nội Địa</t>
        </is>
      </c>
      <c r="D17716" s="10" t="inlineStr">
        <is>
          <t>Công Ty TNHH Xuất Nhập Khẩu Thái Châu</t>
        </is>
      </c>
      <c r="E17716" s="10" t="inlineStr">
        <is>
          <t>Lương:Cạnh tranh</t>
        </is>
      </c>
      <c r="F17716" s="10" t="inlineStr">
        <is>
          <t>Hồ Chí Minh</t>
        </is>
      </c>
      <c r="G17716" s="10" t="inlineStr">
        <is>
          <t>06-04-2026</t>
        </is>
      </c>
      <c r="H17716" s="10" t="inlineStr">
        <is>
          <t>06/04/2026</t>
        </is>
      </c>
      <c r="I17716" s="10" t="inlineStr">
        <is>
          <t>17/03/2026</t>
        </is>
      </c>
      <c r="J17716" s="10" t="inlineStr">
        <is>
          <t>Bán hàng / Kinh doanh, Xây dựng, Hành chính / Thư ký</t>
        </is>
      </c>
      <c r="K17716" s="10" t="inlineStr">
        <is>
          <t>Lên đến 2 Năm</t>
        </is>
      </c>
      <c r="L17716" s="11">
        <f>HYPERLINK("https://careerviet.vn/vi/tim-viec-lam/nhan-vien-sales-admin-kinh-doanh-noi-dia.35C6B39B.html","Xem chi tiết")</f>
        <v/>
      </c>
      <c r="M17716" s="10" t="n"/>
    </row>
    <row r="17717">
      <c r="B17717" s="7" t="n">
        <v>17715</v>
      </c>
      <c r="C17717" t="inlineStr">
        <is>
          <t>Giám đốc Marketing</t>
        </is>
      </c>
      <c r="D17717" t="inlineStr">
        <is>
          <t>CÔNG TY CỔ PHẦN THỜI TRANG H VÀ A (PANTIO)</t>
        </is>
      </c>
      <c r="E17717" t="inlineStr">
        <is>
          <t>Lương:Cạnh tranh</t>
        </is>
      </c>
      <c r="F17717" t="inlineStr">
        <is>
          <t>Hà Nội</t>
        </is>
      </c>
      <c r="G17717" t="inlineStr">
        <is>
          <t>31-03-2026</t>
        </is>
      </c>
      <c r="H17717" t="inlineStr">
        <is>
          <t>31/03/2026</t>
        </is>
      </c>
      <c r="I17717" t="inlineStr">
        <is>
          <t>17/03/2026</t>
        </is>
      </c>
      <c r="J17717" t="inlineStr">
        <is>
          <t>Dệt may / Da giày / Thời trang, Bán hàng / Kinh doanh, Tiếp thị / Marketing</t>
        </is>
      </c>
      <c r="K17717" t="inlineStr">
        <is>
          <t>5 - 10 Năm</t>
        </is>
      </c>
      <c r="L17717" s="8">
        <f>HYPERLINK("https://careerviet.vn/vi/tim-viec-lam/giam-doc-marketing.35C6A16E.html","Xem chi tiết")</f>
        <v/>
      </c>
    </row>
    <row r="17718">
      <c r="B17718" s="9" t="n">
        <v>17716</v>
      </c>
      <c r="C17718" s="10" t="inlineStr">
        <is>
          <t>Giám đốc nhân sự</t>
        </is>
      </c>
      <c r="D17718" s="10" t="inlineStr">
        <is>
          <t>CÔNG TY CỔ PHẦN VẠN XUÂN SERVICE</t>
        </is>
      </c>
      <c r="E17718" s="10" t="inlineStr">
        <is>
          <t>Lương:25 Tr - 40 Tr VND</t>
        </is>
      </c>
      <c r="F17718" s="10" t="inlineStr">
        <is>
          <t>Hồ Chí Minh</t>
        </is>
      </c>
      <c r="G17718" s="10" t="inlineStr">
        <is>
          <t>06-04-2026</t>
        </is>
      </c>
      <c r="H17718" s="10" t="inlineStr">
        <is>
          <t>06/04/2026</t>
        </is>
      </c>
      <c r="I17718" s="10" t="inlineStr">
        <is>
          <t>17/03/2026</t>
        </is>
      </c>
      <c r="J17718" s="10" t="inlineStr">
        <is>
          <t>Bất động sản, Bán hàng / Kinh doanh, Hành chính / Thư ký</t>
        </is>
      </c>
      <c r="K17718" s="10" t="inlineStr">
        <is>
          <t>5 - 10 Năm</t>
        </is>
      </c>
      <c r="L17718" s="11">
        <f>HYPERLINK("https://careerviet.vn/vi/tim-viec-lam/giam-doc-nhan-su.35C6B505.html","Xem chi tiết")</f>
        <v/>
      </c>
      <c r="M17718" s="10" t="n"/>
    </row>
    <row r="17719">
      <c r="B17719" s="7" t="n">
        <v>17717</v>
      </c>
      <c r="C17719" t="inlineStr">
        <is>
          <t>[Quận 12, HCM] Nhân viên Tư Vấn Bán Hàng - Thu Nhập từ 10 - 15 Triệu Tháng - Data Khách Hàng Có Sẵn</t>
        </is>
      </c>
      <c r="D17719" t="inlineStr">
        <is>
          <t>Vietnam Concentrix Services Company Limited</t>
        </is>
      </c>
      <c r="E17719" t="inlineStr">
        <is>
          <t>Lương:10 Tr - 20 Tr VND</t>
        </is>
      </c>
      <c r="F17719" t="inlineStr">
        <is>
          <t>Hồ Chí Minh</t>
        </is>
      </c>
      <c r="G17719" t="inlineStr">
        <is>
          <t>28-03-2026</t>
        </is>
      </c>
      <c r="H17719" t="inlineStr">
        <is>
          <t>28/03/2026</t>
        </is>
      </c>
      <c r="I17719" t="inlineStr">
        <is>
          <t>17/03/2026</t>
        </is>
      </c>
      <c r="J17719" t="inlineStr">
        <is>
          <t>Bán hàng / Kinh doanh, Dịch vụ khách hàng, Tiếp thị trực tuyến</t>
        </is>
      </c>
      <c r="K17719" t="inlineStr">
        <is>
          <t>Chưa có kinh nghiệm</t>
        </is>
      </c>
      <c r="L17719" s="8">
        <f>HYPERLINK("https://careerviet.vn/vi/tim-viec-lam/quan-12-hcm-nhan-vien-tu-van-ban-hang-thu-nhap-tu-10-15-trieu-thang-data-khach-hang-co-san.35C66B0C.html","Xem chi tiết")</f>
        <v/>
      </c>
    </row>
    <row r="17720">
      <c r="B17720" s="9" t="n">
        <v>17718</v>
      </c>
      <c r="C17720" s="10" t="inlineStr">
        <is>
          <t>Trưởng Nhóm Chăm Sóc Khách Hàng (Tiếng Nhật)</t>
        </is>
      </c>
      <c r="D17720" s="10" t="inlineStr">
        <is>
          <t>Vietnam Concentrix Services Company Limited</t>
        </is>
      </c>
      <c r="E17720" s="10" t="inlineStr">
        <is>
          <t>Lương:35 Tr - 40 Tr VND</t>
        </is>
      </c>
      <c r="F17720" s="10" t="inlineStr">
        <is>
          <t>Hồ Chí Minh</t>
        </is>
      </c>
      <c r="G17720" s="10" t="inlineStr">
        <is>
          <t>28-03-2026</t>
        </is>
      </c>
      <c r="H17720" s="10" t="inlineStr">
        <is>
          <t>28/03/2026</t>
        </is>
      </c>
      <c r="I17720" s="10" t="inlineStr">
        <is>
          <t>17/03/2026</t>
        </is>
      </c>
      <c r="J17720" s="10" t="inlineStr">
        <is>
          <t>Thương mại điện tử</t>
        </is>
      </c>
      <c r="K17720" s="10" t="inlineStr">
        <is>
          <t>2 - 6 Năm</t>
        </is>
      </c>
      <c r="L17720" s="11">
        <f>HYPERLINK("https://careerviet.vn/vi/tim-viec-lam/truong-nhom-cham-soc-khach-hang-tieng-nhat.35C66B15.html","Xem chi tiết")</f>
        <v/>
      </c>
      <c r="M17720" s="10" t="n"/>
    </row>
    <row r="17721">
      <c r="B17721" s="7" t="n">
        <v>17719</v>
      </c>
      <c r="C17721" t="inlineStr">
        <is>
          <t>Nhân viên Sale Tại Văn Phòng  - Data Khách Hàng Có Sẵn - Quận 12</t>
        </is>
      </c>
      <c r="D17721" t="inlineStr">
        <is>
          <t>Vietnam Concentrix Services Company Limited</t>
        </is>
      </c>
      <c r="E17721" t="inlineStr">
        <is>
          <t>Lương:10 Tr - 20 Tr VND</t>
        </is>
      </c>
      <c r="F17721" t="inlineStr">
        <is>
          <t>Hồ Chí Minh</t>
        </is>
      </c>
      <c r="G17721" t="inlineStr">
        <is>
          <t>30-03-2026</t>
        </is>
      </c>
      <c r="H17721" t="inlineStr">
        <is>
          <t>30/03/2026</t>
        </is>
      </c>
      <c r="I17721" t="inlineStr">
        <is>
          <t>17/03/2026</t>
        </is>
      </c>
      <c r="J17721" t="inlineStr">
        <is>
          <t>Bán hàng / Kinh doanh, Tiếp thị trực tuyến, Dịch vụ khách hàng</t>
        </is>
      </c>
      <c r="K17721" t="inlineStr">
        <is>
          <t>Chưa có kinh nghiệm</t>
        </is>
      </c>
      <c r="L17721" s="8">
        <f>HYPERLINK("https://careerviet.vn/vi/tim-viec-lam/nhan-vien-sale-tai-van-phong-data-khach-hang-co-san-quan-12.35C66EC7.html","Xem chi tiết")</f>
        <v/>
      </c>
    </row>
    <row r="17722">
      <c r="B17722" s="9" t="n">
        <v>17720</v>
      </c>
      <c r="C17722" s="10" t="inlineStr">
        <is>
          <t>Trưởng phòng Hành chính – Nhân sự</t>
        </is>
      </c>
      <c r="D17722" s="10" t="inlineStr">
        <is>
          <t>CÔNG TY CỔ PHẦN SÀI GÒN NAM PHÁT</t>
        </is>
      </c>
      <c r="E17722" s="10" t="inlineStr">
        <is>
          <t>Lương:Cạnh tranh</t>
        </is>
      </c>
      <c r="F17722" s="10" t="inlineStr">
        <is>
          <t>Hồ Chí Minh</t>
        </is>
      </c>
      <c r="G17722" s="10" t="inlineStr">
        <is>
          <t>30-04-2026</t>
        </is>
      </c>
      <c r="H17722" s="10" t="inlineStr">
        <is>
          <t>30/04/2026</t>
        </is>
      </c>
      <c r="I17722" s="10" t="inlineStr">
        <is>
          <t>17/03/2026</t>
        </is>
      </c>
      <c r="J17722" s="10" t="inlineStr">
        <is>
          <t>Nhân sự, Hành chính / Thư ký, Quản lý điều hành</t>
        </is>
      </c>
      <c r="K17722" s="10" t="inlineStr">
        <is>
          <t>3 - 5 Năm</t>
        </is>
      </c>
      <c r="L17722" s="11">
        <f>HYPERLINK("https://careerviet.vn/vi/tim-viec-lam/truong-phong-hanh-chinh-nhan-su.35C6B2ED.html","Xem chi tiết")</f>
        <v/>
      </c>
      <c r="M17722" s="10" t="n"/>
    </row>
    <row r="17723">
      <c r="B17723" s="7" t="n">
        <v>17721</v>
      </c>
      <c r="C17723" t="inlineStr">
        <is>
          <t>Nhân viên IT phần mềm</t>
        </is>
      </c>
      <c r="D17723" t="inlineStr">
        <is>
          <t>CÔNG TY CỔ PHẦN THƯƠNG MẠI SATORI</t>
        </is>
      </c>
      <c r="E17723" t="inlineStr">
        <is>
          <t>Lương:Cạnh tranh</t>
        </is>
      </c>
      <c r="F17723" t="inlineStr">
        <is>
          <t>Hồ Chí Minh</t>
        </is>
      </c>
      <c r="G17723" t="inlineStr">
        <is>
          <t>31-03-2026</t>
        </is>
      </c>
      <c r="H17723" t="inlineStr">
        <is>
          <t>31/03/2026</t>
        </is>
      </c>
      <c r="I17723" t="inlineStr">
        <is>
          <t>17/03/2026</t>
        </is>
      </c>
      <c r="J17723" t="inlineStr">
        <is>
          <t>CNTT - Phần mềm</t>
        </is>
      </c>
      <c r="K17723" t="inlineStr">
        <is>
          <t>2 - 5 Năm</t>
        </is>
      </c>
      <c r="L17723" s="8">
        <f>HYPERLINK("https://careerviet.vn/vi/tim-viec-lam/nhan-vien-it-phan-mem.35C6B2EC.html","Xem chi tiết")</f>
        <v/>
      </c>
    </row>
    <row r="17724">
      <c r="B17724" s="9" t="n">
        <v>17722</v>
      </c>
      <c r="C17724" s="10" t="inlineStr">
        <is>
          <t>Chuyên Viên Phụ Trách Phương Tiện Vận Chuyển</t>
        </is>
      </c>
      <c r="D17724" s="10" t="inlineStr">
        <is>
          <t>Ngân hàng TMCP Phát triển TP.HCM (HDBank)</t>
        </is>
      </c>
      <c r="E17724" s="10" t="inlineStr">
        <is>
          <t>Lương:Cạnh tranh</t>
        </is>
      </c>
      <c r="F17724" s="10" t="inlineStr">
        <is>
          <t>Hồ Chí Minh</t>
        </is>
      </c>
      <c r="G17724" s="10" t="inlineStr">
        <is>
          <t>04-04-2026</t>
        </is>
      </c>
      <c r="H17724" s="10" t="inlineStr">
        <is>
          <t>04/04/2026</t>
        </is>
      </c>
      <c r="I17724" s="10" t="inlineStr">
        <is>
          <t>17/03/2026</t>
        </is>
      </c>
      <c r="J17724" s="10" t="inlineStr">
        <is>
          <t>Hành chính / Thư ký</t>
        </is>
      </c>
      <c r="K17724" s="10" t="inlineStr">
        <is>
          <t>Trên 1 Năm</t>
        </is>
      </c>
      <c r="L17724" s="11">
        <f>HYPERLINK("https://careerviet.vn/vi/tim-viec-lam/chuyen-vien-phu-trach-phuong-tien-van-chuyen.35C6746D.html","Xem chi tiết")</f>
        <v/>
      </c>
      <c r="M17724" s="10" t="n"/>
    </row>
    <row r="17725">
      <c r="B17725" s="7" t="n">
        <v>17723</v>
      </c>
      <c r="C17725" t="inlineStr">
        <is>
          <t>Senior Customer Service  (Korean Language)</t>
        </is>
      </c>
      <c r="D17725" t="inlineStr">
        <is>
          <t>Vietnam Concentrix Services Company Limited</t>
        </is>
      </c>
      <c r="E17725" t="inlineStr">
        <is>
          <t>Lương:28 Tr - 30 Tr VND</t>
        </is>
      </c>
      <c r="F17725" t="inlineStr">
        <is>
          <t>Hồ Chí Minh</t>
        </is>
      </c>
      <c r="G17725" t="inlineStr">
        <is>
          <t>04-04-2026</t>
        </is>
      </c>
      <c r="H17725" t="inlineStr">
        <is>
          <t>04/04/2026</t>
        </is>
      </c>
      <c r="I17725" t="inlineStr">
        <is>
          <t>17/03/2026</t>
        </is>
      </c>
      <c r="J17725" t="inlineStr">
        <is>
          <t>Tư vấn, Dịch vụ khách hàng</t>
        </is>
      </c>
      <c r="K17725" t="inlineStr">
        <is>
          <t>1 - 2 Năm</t>
        </is>
      </c>
      <c r="L17725" s="8">
        <f>HYPERLINK("https://careerviet.vn/vi/tim-viec-lam/senior-customer-service-korean-language.35C675BD.html","Xem chi tiết")</f>
        <v/>
      </c>
    </row>
    <row r="17726">
      <c r="B17726" s="9" t="n">
        <v>17724</v>
      </c>
      <c r="C17726" s="10" t="inlineStr">
        <is>
          <t>Nhân Viên Kinh Doanh</t>
        </is>
      </c>
      <c r="D17726" s="10" t="inlineStr">
        <is>
          <t>CÔNG TY TNHH XCONS E&amp;C</t>
        </is>
      </c>
      <c r="E17726" s="10" t="inlineStr">
        <is>
          <t>Lương:16 Tr - 30 Tr VND</t>
        </is>
      </c>
      <c r="F17726" s="10" t="inlineStr">
        <is>
          <t>Hồ Chí Minh</t>
        </is>
      </c>
      <c r="G17726" s="10" t="inlineStr">
        <is>
          <t>31-03-2026</t>
        </is>
      </c>
      <c r="H17726" s="10" t="inlineStr">
        <is>
          <t>31/03/2026</t>
        </is>
      </c>
      <c r="I17726" s="10" t="inlineStr">
        <is>
          <t>17/03/2026</t>
        </is>
      </c>
      <c r="J17726" s="10" t="inlineStr">
        <is>
          <t>Bán lẻ / Bán sỉ, Bán hàng / Kinh doanh, Nội ngoại thất</t>
        </is>
      </c>
      <c r="K17726" s="10" t="inlineStr">
        <is>
          <t>Trên 2 Năm</t>
        </is>
      </c>
      <c r="L17726" s="11">
        <f>HYPERLINK("https://careerviet.vn/vi/tim-viec-lam/nhan-vien-kinh-doanh.35C662D1.html","Xem chi tiết")</f>
        <v/>
      </c>
      <c r="M17726" s="10" t="n"/>
    </row>
    <row r="17727">
      <c r="B17727" s="7" t="n">
        <v>17725</v>
      </c>
      <c r="C17727" t="inlineStr">
        <is>
          <t>TRƯỞNG PHÒNG KINH DOANH</t>
        </is>
      </c>
      <c r="D17727" t="inlineStr">
        <is>
          <t>Công ty TNHH Xây Dựng Và Quản Lý Đô Thị Bắc Ninh</t>
        </is>
      </c>
      <c r="E17727" t="inlineStr">
        <is>
          <t>Lương:25 Tr - 30 Tr VND</t>
        </is>
      </c>
      <c r="F17727" t="inlineStr">
        <is>
          <t>Bắc NinhHà NộiBắc Giang</t>
        </is>
      </c>
      <c r="G17727" t="inlineStr">
        <is>
          <t>04-04-2026</t>
        </is>
      </c>
      <c r="H17727" t="inlineStr">
        <is>
          <t>04/04/2026</t>
        </is>
      </c>
      <c r="I17727" t="inlineStr">
        <is>
          <t>17/03/2026</t>
        </is>
      </c>
      <c r="J17727" t="inlineStr">
        <is>
          <t>Tiếp thị / Marketing, Bán lẻ / Bán sỉ, Bán hàng / Kinh doanh</t>
        </is>
      </c>
      <c r="K17727" t="inlineStr">
        <is>
          <t>2 - 3 Năm</t>
        </is>
      </c>
      <c r="L17727" s="8">
        <f>HYPERLINK("https://careerviet.vn/vi/tim-viec-lam/truong-phong-kinh-doanh.35C67504.html","Xem chi tiết")</f>
        <v/>
      </c>
    </row>
    <row r="17728">
      <c r="B17728" s="9" t="n">
        <v>17726</v>
      </c>
      <c r="C17728" s="10" t="inlineStr">
        <is>
          <t>Nhân Viên IT Helpdesk</t>
        </is>
      </c>
      <c r="D17728" s="10" t="inlineStr">
        <is>
          <t>Công ty CP IIG Việt Nam</t>
        </is>
      </c>
      <c r="E17728" s="10" t="inlineStr">
        <is>
          <t>Lương:9 Tr - 12 Tr VND</t>
        </is>
      </c>
      <c r="F17728" s="10" t="inlineStr">
        <is>
          <t>Hồ Chí Minh</t>
        </is>
      </c>
      <c r="G17728" s="10" t="inlineStr">
        <is>
          <t>06-03-2026</t>
        </is>
      </c>
      <c r="H17728" s="10" t="inlineStr">
        <is>
          <t>06/03/2026</t>
        </is>
      </c>
      <c r="I17728" s="10" t="inlineStr">
        <is>
          <t>17/03/2026</t>
        </is>
      </c>
      <c r="J17728" s="10" t="inlineStr">
        <is>
          <t>CNTT - Phần cứng / Mạng</t>
        </is>
      </c>
      <c r="K17728" s="10" t="inlineStr">
        <is>
          <t>1 - 3 Năm</t>
        </is>
      </c>
      <c r="L17728" s="11">
        <f>HYPERLINK("https://careerviet.vn/vi/tim-viec-lam/nhan-vien-it-helpdesk.35C67EA3.html","Xem chi tiết")</f>
        <v/>
      </c>
      <c r="M17728" s="10" t="n"/>
    </row>
    <row r="17729">
      <c r="B17729" s="7" t="n">
        <v>17727</v>
      </c>
      <c r="C17729" t="inlineStr">
        <is>
          <t>Nhân Viên Kỹ Thuật Và Bảo Trì</t>
        </is>
      </c>
      <c r="D17729" t="inlineStr">
        <is>
          <t>Công ty TNHH Shopee</t>
        </is>
      </c>
      <c r="E17729" t="inlineStr">
        <is>
          <t>Lương:Cạnh tranh</t>
        </is>
      </c>
      <c r="F17729" t="inlineStr">
        <is>
          <t>Đà NẵngHồ Chí MinhVĩnh Long</t>
        </is>
      </c>
      <c r="G17729" t="inlineStr">
        <is>
          <t>04-04-2026</t>
        </is>
      </c>
      <c r="H17729" t="inlineStr">
        <is>
          <t>04/04/2026</t>
        </is>
      </c>
      <c r="I17729" t="inlineStr">
        <is>
          <t>17/03/2026</t>
        </is>
      </c>
      <c r="J17729" t="inlineStr">
        <is>
          <t>Cơ khí / Ô tô / Tự động hóa, Bảo trì / Sửa chữa, Ngành khác</t>
        </is>
      </c>
      <c r="K17729" t="inlineStr">
        <is>
          <t>3 - 5 Năm</t>
        </is>
      </c>
      <c r="L17729" s="8">
        <f>HYPERLINK("https://careerviet.vn/vi/tim-viec-lam/nhan-vien-ky-thuat-va-bao-tri.35C675EA.html","Xem chi tiết")</f>
        <v/>
      </c>
    </row>
    <row r="17730">
      <c r="B17730" s="9" t="n">
        <v>17728</v>
      </c>
      <c r="C17730" s="10" t="inlineStr">
        <is>
          <t>Quản Lý Kinh Doanh Khu Vực Khánh Hòa, Ninh Thuận</t>
        </is>
      </c>
      <c r="D17730" s="10" t="inlineStr">
        <is>
          <t>Công ty TNHH SX-TM-DV Qui Phúc</t>
        </is>
      </c>
      <c r="E17730" s="10" t="inlineStr">
        <is>
          <t>Lương:25 Tr - 30 Tr VND</t>
        </is>
      </c>
      <c r="F17730" s="10" t="inlineStr">
        <is>
          <t>Khánh Hòa</t>
        </is>
      </c>
      <c r="G17730" s="10" t="inlineStr">
        <is>
          <t>04-04-2026</t>
        </is>
      </c>
      <c r="H17730" s="10" t="inlineStr">
        <is>
          <t>04/04/2026</t>
        </is>
      </c>
      <c r="I17730" s="10" t="inlineStr">
        <is>
          <t>17/03/2026</t>
        </is>
      </c>
      <c r="J17730" s="10" t="inlineStr">
        <is>
          <t>Tiếp thị / Marketing, Bán lẻ / Bán sỉ, Bán hàng / Kinh doanh</t>
        </is>
      </c>
      <c r="K17730" s="10" t="inlineStr">
        <is>
          <t>4 - 5 Năm</t>
        </is>
      </c>
      <c r="L17730" s="11">
        <f>HYPERLINK("https://careerviet.vn/vi/tim-viec-lam/quan-ly-kinh-doanh-khu-vuc-khanh-hoa-ninh-thuan.35C675CE.html","Xem chi tiết")</f>
        <v/>
      </c>
      <c r="M17730" s="10" t="n"/>
    </row>
    <row r="17731">
      <c r="B17731" s="7" t="n">
        <v>17729</v>
      </c>
      <c r="C17731" t="inlineStr">
        <is>
          <t>TRỢ LÝ BAN TỔNG GIÁM ĐỐC MẢNG XÂY DỰNG</t>
        </is>
      </c>
      <c r="D17731" t="inlineStr">
        <is>
          <t>LDG INVESTMENT</t>
        </is>
      </c>
      <c r="E17731" t="inlineStr">
        <is>
          <t>Lương:35 Tr - 45 Tr VND</t>
        </is>
      </c>
      <c r="F17731" t="inlineStr">
        <is>
          <t>Hồ Chí Minh</t>
        </is>
      </c>
      <c r="G17731" t="inlineStr">
        <is>
          <t>05-04-2026</t>
        </is>
      </c>
      <c r="H17731" t="inlineStr">
        <is>
          <t>05/04/2026</t>
        </is>
      </c>
      <c r="I17731" t="inlineStr">
        <is>
          <t>17/03/2026</t>
        </is>
      </c>
      <c r="J17731" t="inlineStr">
        <is>
          <t>Xây dựng, Bất động sản</t>
        </is>
      </c>
      <c r="K17731" t="inlineStr">
        <is>
          <t>Trên 5 Năm</t>
        </is>
      </c>
      <c r="L17731" s="8">
        <f>HYPERLINK("https://careerviet.vn/vi/tim-viec-lam/tro-ly-ban-tong-giam-doc-mang-xay-dung.35C6B2E5.html","Xem chi tiết")</f>
        <v/>
      </c>
    </row>
    <row r="17732">
      <c r="B17732" s="9" t="n">
        <v>17730</v>
      </c>
      <c r="C17732" s="10" t="inlineStr">
        <is>
          <t>Kỹ sư Cơ khí (Nhà máy Đà Nẵng)</t>
        </is>
      </c>
      <c r="D17732" s="10" t="inlineStr">
        <is>
          <t>CÔNG TY CỔ PHẦN DÂY CÁP ĐIỆN VIỆT NAM - CADIVI</t>
        </is>
      </c>
      <c r="E17732" s="10" t="inlineStr">
        <is>
          <t>Lương:Cạnh tranh</t>
        </is>
      </c>
      <c r="F17732" s="10" t="inlineStr">
        <is>
          <t>Đà Nẵng</t>
        </is>
      </c>
      <c r="G17732" s="10" t="inlineStr">
        <is>
          <t>04-04-2026</t>
        </is>
      </c>
      <c r="H17732" s="10" t="inlineStr">
        <is>
          <t>04/04/2026</t>
        </is>
      </c>
      <c r="I17732" s="10" t="inlineStr">
        <is>
          <t>17/03/2026</t>
        </is>
      </c>
      <c r="J17732" s="10" t="inlineStr">
        <is>
          <t>Cơ khí / Ô tô / Tự động hóa, Điện / Điện tử / Điện lạnh / Điện công nghiệp, Sản xuất / Vận hành sản xuất</t>
        </is>
      </c>
      <c r="K17732" s="10" t="inlineStr">
        <is>
          <t>1 - 3 Năm</t>
        </is>
      </c>
      <c r="L17732" s="11">
        <f>HYPERLINK("https://careerviet.vn/vi/tim-viec-lam/ky-su-co-khi-nha-may-da-nang.35C6760C.html","Xem chi tiết")</f>
        <v/>
      </c>
      <c r="M17732" s="10" t="n"/>
    </row>
    <row r="17733">
      <c r="B17733" s="7" t="n">
        <v>17731</v>
      </c>
      <c r="C17733" t="inlineStr">
        <is>
          <t>Chuyên viên Khai triển 2D</t>
        </is>
      </c>
      <c r="D17733" t="inlineStr">
        <is>
          <t>Công Ty Cổ Phần Decox</t>
        </is>
      </c>
      <c r="E17733" t="inlineStr">
        <is>
          <t>Lương:16 Tr - 24 Tr VND</t>
        </is>
      </c>
      <c r="F17733" t="inlineStr">
        <is>
          <t>Hồ Chí Minh</t>
        </is>
      </c>
      <c r="G17733" t="inlineStr">
        <is>
          <t>04-04-2026</t>
        </is>
      </c>
      <c r="H17733" t="inlineStr">
        <is>
          <t>04/04/2026</t>
        </is>
      </c>
      <c r="I17733" t="inlineStr">
        <is>
          <t>17/03/2026</t>
        </is>
      </c>
      <c r="J17733" t="inlineStr">
        <is>
          <t>Kiến trúc, Nội ngoại thất, Xây dựng</t>
        </is>
      </c>
      <c r="K17733" t="inlineStr">
        <is>
          <t>2 - 4 Năm</t>
        </is>
      </c>
      <c r="L17733" s="8">
        <f>HYPERLINK("https://careerviet.vn/vi/tim-viec-lam/chuyen-vien-khai-trien-2d.35C675E4.html","Xem chi tiết")</f>
        <v/>
      </c>
    </row>
    <row r="17734">
      <c r="B17734" s="9" t="n">
        <v>17732</v>
      </c>
      <c r="C17734" s="10" t="inlineStr">
        <is>
          <t>Chuyên viên Tuyển dụng - Talent Acquisition - Khối Tổ chức Nhân sự (HO26.33)</t>
        </is>
      </c>
      <c r="D17734" s="10" t="inlineStr">
        <is>
          <t>Ngân Hàng TMCP Quân Đội</t>
        </is>
      </c>
      <c r="E17734" s="10" t="inlineStr">
        <is>
          <t>Lương:Cạnh tranh</t>
        </is>
      </c>
      <c r="F17734" s="10" t="inlineStr">
        <is>
          <t>Hà Nội</t>
        </is>
      </c>
      <c r="G17734" s="10" t="inlineStr">
        <is>
          <t>04-04-2026</t>
        </is>
      </c>
      <c r="H17734" s="10" t="inlineStr">
        <is>
          <t>04/04/2026</t>
        </is>
      </c>
      <c r="I17734" s="10" t="inlineStr">
        <is>
          <t>17/03/2026</t>
        </is>
      </c>
      <c r="J17734" s="10" t="inlineStr">
        <is>
          <t>Ngân hàng</t>
        </is>
      </c>
      <c r="K17734" s="10" t="inlineStr">
        <is>
          <t>Không yêu cầu kinh nghiệm</t>
        </is>
      </c>
      <c r="L17734" s="11">
        <f>HYPERLINK("https://careerviet.vn/vi/tim-viec-lam/chuyen-vien-tuyen-dung-talent-acquisition-khoi-to-chuc-nhan-su-ho26-33.35C675EC.html","Xem chi tiết")</f>
        <v/>
      </c>
      <c r="M17734" s="10" t="n"/>
    </row>
    <row r="17735">
      <c r="B17735" s="7" t="n">
        <v>17733</v>
      </c>
      <c r="C17735" t="inlineStr">
        <is>
          <t>MANAGER, PRODUCTION OPERATIONS MANAGEMENT</t>
        </is>
      </c>
      <c r="D17735" t="inlineStr">
        <is>
          <t>CÔNG TY TNHH CALERES INTERNATIONAL VIETNAM</t>
        </is>
      </c>
      <c r="E17735" t="inlineStr">
        <is>
          <t>Lương:Cạnh tranh</t>
        </is>
      </c>
      <c r="F17735" t="inlineStr">
        <is>
          <t>Hồ Chí MinhNghệ An</t>
        </is>
      </c>
      <c r="G17735" t="inlineStr">
        <is>
          <t>04-04-2026</t>
        </is>
      </c>
      <c r="H17735" t="inlineStr">
        <is>
          <t>04/04/2026</t>
        </is>
      </c>
      <c r="I17735" t="inlineStr">
        <is>
          <t>17/03/2026</t>
        </is>
      </c>
      <c r="J17735" t="inlineStr">
        <is>
          <t>Quản lý chất lượng (QA/QC), Sản xuất / Vận hành sản xuất</t>
        </is>
      </c>
      <c r="K17735" t="inlineStr">
        <is>
          <t>5 - 10 Năm</t>
        </is>
      </c>
      <c r="L17735" s="8">
        <f>HYPERLINK("https://careerviet.vn/vi/tim-viec-lam/manager-production-operations-management.35C6756D.html","Xem chi tiết")</f>
        <v/>
      </c>
    </row>
    <row r="17736">
      <c r="B17736" s="9" t="n">
        <v>17734</v>
      </c>
      <c r="C17736" s="10" t="inlineStr">
        <is>
          <t>Chuyên Viên Pháp Chế</t>
        </is>
      </c>
      <c r="D17736" s="10" t="inlineStr">
        <is>
          <t>BIM Group</t>
        </is>
      </c>
      <c r="E17736" s="10" t="inlineStr">
        <is>
          <t>Lương:Cạnh tranh</t>
        </is>
      </c>
      <c r="F17736" s="10" t="inlineStr">
        <is>
          <t>Kiên Giang</t>
        </is>
      </c>
      <c r="G17736" s="10" t="inlineStr">
        <is>
          <t>04-04-2026</t>
        </is>
      </c>
      <c r="H17736" s="10" t="inlineStr">
        <is>
          <t>04/04/2026</t>
        </is>
      </c>
      <c r="I17736" s="10" t="inlineStr">
        <is>
          <t>17/03/2026</t>
        </is>
      </c>
      <c r="J17736" s="10" t="inlineStr">
        <is>
          <t>Luật / Pháp lý</t>
        </is>
      </c>
      <c r="K17736" s="10" t="inlineStr">
        <is>
          <t>2 - 5 Năm</t>
        </is>
      </c>
      <c r="L17736" s="11">
        <f>HYPERLINK("https://careerviet.vn/vi/tim-viec-lam/chuyen-vien-phap-che.35C675A8.html","Xem chi tiết")</f>
        <v/>
      </c>
      <c r="M17736" s="10" t="n"/>
    </row>
    <row r="17737">
      <c r="B17737" s="7" t="n">
        <v>17735</v>
      </c>
      <c r="C17737" t="inlineStr">
        <is>
          <t>Chuyên Viên Chính Quản lý hiệu quả Phòng Quản lý MAF - Hồ Chí Minh - TA159</t>
        </is>
      </c>
      <c r="D17737" t="inlineStr">
        <is>
          <t>Ngân Hàng TMCP Việt Nam Thịnh Vượng - VPBANK</t>
        </is>
      </c>
      <c r="E17737" t="inlineStr">
        <is>
          <t>Lương:20 Tr - 50 Tr VND</t>
        </is>
      </c>
      <c r="F17737" t="inlineStr">
        <is>
          <t>Hồ Chí Minh</t>
        </is>
      </c>
      <c r="G17737" t="inlineStr">
        <is>
          <t>04-04-2026</t>
        </is>
      </c>
      <c r="H17737" t="inlineStr">
        <is>
          <t>04/04/2026</t>
        </is>
      </c>
      <c r="I17737" t="inlineStr">
        <is>
          <t>17/03/2026</t>
        </is>
      </c>
      <c r="J17737" t="inlineStr">
        <is>
          <t>Ngân hàng, Tài chính / Đầu tư</t>
        </is>
      </c>
      <c r="K17737" t="inlineStr">
        <is>
          <t>Trên 3 Năm</t>
        </is>
      </c>
      <c r="L17737" s="8">
        <f>HYPERLINK("https://careerviet.vn/vi/tim-viec-lam/chuyen-vien-chinh-quan-ly-hieu-qua-phong-quan-ly-maf-ho-chi-minh-ta159.35C67526.html","Xem chi tiết")</f>
        <v/>
      </c>
    </row>
    <row r="17738">
      <c r="B17738" s="9" t="n">
        <v>17736</v>
      </c>
      <c r="C17738" s="10" t="inlineStr">
        <is>
          <t>CV/CVCC Báo cáo NHNN- Khối Tài chính Kế hoạch - Hội sở HDBank</t>
        </is>
      </c>
      <c r="D17738" s="10" t="inlineStr">
        <is>
          <t>Ngân hàng TMCP Phát triển TP.HCM (HDBank)</t>
        </is>
      </c>
      <c r="E17738" s="10" t="inlineStr">
        <is>
          <t>Lương:Cạnh tranh</t>
        </is>
      </c>
      <c r="F17738" s="10" t="inlineStr">
        <is>
          <t>Hồ Chí Minh</t>
        </is>
      </c>
      <c r="G17738" s="10" t="inlineStr">
        <is>
          <t>04-04-2026</t>
        </is>
      </c>
      <c r="H17738" s="10" t="inlineStr">
        <is>
          <t>04/04/2026</t>
        </is>
      </c>
      <c r="I17738" s="10" t="inlineStr">
        <is>
          <t>17/03/2026</t>
        </is>
      </c>
      <c r="J17738" s="10" t="inlineStr">
        <is>
          <t>Kế toán / Kiểm toán, Ngân hàng</t>
        </is>
      </c>
      <c r="K17738" s="10" t="inlineStr">
        <is>
          <t>2 - 4 Năm</t>
        </is>
      </c>
      <c r="L17738" s="11">
        <f>HYPERLINK("https://careerviet.vn/vi/tim-viec-lam/cv-cvcc-bao-cao-nhnn-khoi-tai-chinh-ke-hoach-hoi-so-hdbank.35C675C4.html","Xem chi tiết")</f>
        <v/>
      </c>
      <c r="M17738" s="10" t="n"/>
    </row>
    <row r="17739">
      <c r="B17739" s="7" t="n">
        <v>17737</v>
      </c>
      <c r="C17739" t="inlineStr">
        <is>
          <t>Chuyên Viên Hỗ Trợ Vận Hành (Budget Control/Project Management)</t>
        </is>
      </c>
      <c r="D17739" t="inlineStr">
        <is>
          <t>Công ty TNHH Shopee</t>
        </is>
      </c>
      <c r="E17739" t="inlineStr">
        <is>
          <t>Lương:Cạnh tranh</t>
        </is>
      </c>
      <c r="F17739" t="inlineStr">
        <is>
          <t>Hồ Chí Minh</t>
        </is>
      </c>
      <c r="G17739" t="inlineStr">
        <is>
          <t>04-04-2026</t>
        </is>
      </c>
      <c r="H17739" t="inlineStr">
        <is>
          <t>04/04/2026</t>
        </is>
      </c>
      <c r="I17739" t="inlineStr">
        <is>
          <t>17/03/2026</t>
        </is>
      </c>
      <c r="J17739" t="inlineStr">
        <is>
          <t>Bán lẻ / Bán sỉ, Thực phẩm &amp; Đồ uống, Vận chuyển / Giao nhận / Kho vận</t>
        </is>
      </c>
      <c r="K17739" t="inlineStr">
        <is>
          <t>3 - 8 Năm</t>
        </is>
      </c>
      <c r="L17739" s="8">
        <f>HYPERLINK("https://careerviet.vn/vi/tim-viec-lam/chuyen-vien-ho-tro-van-hanh-budget-control-project-management.35C675E6.html","Xem chi tiết")</f>
        <v/>
      </c>
    </row>
    <row r="17740">
      <c r="B17740" s="9" t="n">
        <v>17738</v>
      </c>
      <c r="C17740" s="10" t="inlineStr">
        <is>
          <t>Nhân Viên Đào Tạo  (L&amp;D) - Fresher</t>
        </is>
      </c>
      <c r="D17740" s="10" t="inlineStr">
        <is>
          <t>CÔNG TY CỔ PHẦN GREEN SPEED</t>
        </is>
      </c>
      <c r="E17740" s="10" t="inlineStr">
        <is>
          <t>Lương:9 Tr - 11 Tr VND</t>
        </is>
      </c>
      <c r="F17740" s="10" t="inlineStr">
        <is>
          <t>Bình Dương</t>
        </is>
      </c>
      <c r="G17740" s="10" t="inlineStr">
        <is>
          <t>04-04-2026</t>
        </is>
      </c>
      <c r="H17740" s="10" t="inlineStr">
        <is>
          <t>04/04/2026</t>
        </is>
      </c>
      <c r="I17740" s="10" t="inlineStr">
        <is>
          <t>17/03/2026</t>
        </is>
      </c>
      <c r="J17740" s="10" t="inlineStr">
        <is>
          <t>Giáo dục / Đào tạo, Hành chính / Thư ký, Nhân sự</t>
        </is>
      </c>
      <c r="K17740" s="10" t="inlineStr">
        <is>
          <t>N/A</t>
        </is>
      </c>
      <c r="L17740" s="11">
        <f>HYPERLINK("https://careerviet.vn/vi/tim-viec-lam/nhan-vien-dao-tao-l-d-fresher.35C673F0.html","Xem chi tiết")</f>
        <v/>
      </c>
      <c r="M17740" s="10" t="n"/>
    </row>
    <row r="17741">
      <c r="B17741" s="7" t="n">
        <v>17739</v>
      </c>
      <c r="C17741" t="inlineStr">
        <is>
          <t>[Hotel HN] Content Marketing Executive (Hotel &amp; Hospitality)</t>
        </is>
      </c>
      <c r="D17741" t="inlineStr">
        <is>
          <t>Công ty Cổ phần Tập đoàn Minh Anh</t>
        </is>
      </c>
      <c r="E17741" t="inlineStr">
        <is>
          <t>Lương:Cạnh tranh</t>
        </is>
      </c>
      <c r="F17741" t="inlineStr">
        <is>
          <t>Hà Nội</t>
        </is>
      </c>
      <c r="G17741" t="inlineStr">
        <is>
          <t>04-04-2026</t>
        </is>
      </c>
      <c r="H17741" t="inlineStr">
        <is>
          <t>04/04/2026</t>
        </is>
      </c>
      <c r="I17741" t="inlineStr">
        <is>
          <t>17/03/2026</t>
        </is>
      </c>
      <c r="J17741" t="inlineStr">
        <is>
          <t>Tiếp thị / Marketing, Nhà hàng / Khách sạn, Truyền hình / Báo chí / Biên tập</t>
        </is>
      </c>
      <c r="K17741" t="inlineStr">
        <is>
          <t>2 - 5 Năm</t>
        </is>
      </c>
      <c r="L17741" s="8">
        <f>HYPERLINK("https://careerviet.vn/vi/tim-viec-lam/hotel-hn-content-marketing-executive-hotel-hospitality.35C674A1.html","Xem chi tiết")</f>
        <v/>
      </c>
    </row>
    <row r="17742">
      <c r="B17742" s="9" t="n">
        <v>17740</v>
      </c>
      <c r="C17742" s="10" t="inlineStr">
        <is>
          <t>Nhân viên QC</t>
        </is>
      </c>
      <c r="D17742" s="10" t="inlineStr">
        <is>
          <t>CÔNG TY TNHH SẢN XUẤT THƯƠNG MẠI DỊCH VỤ ĐÁ NỮ HOÀNG</t>
        </is>
      </c>
      <c r="E17742" s="10" t="inlineStr">
        <is>
          <t>Lương:10 Tr - 13 Tr VND</t>
        </is>
      </c>
      <c r="F17742" s="10" t="inlineStr">
        <is>
          <t>Hồ Chí Minh</t>
        </is>
      </c>
      <c r="G17742" s="10" t="inlineStr">
        <is>
          <t>04-04-2026</t>
        </is>
      </c>
      <c r="H17742" s="10" t="inlineStr">
        <is>
          <t>04/04/2026</t>
        </is>
      </c>
      <c r="I17742" s="10" t="inlineStr">
        <is>
          <t>17/03/2026</t>
        </is>
      </c>
      <c r="J17742" s="10" t="inlineStr">
        <is>
          <t>Sản xuất / Vận hành sản xuất, Quản lý chất lượng (QA/QC), Thu mua / Vật tư</t>
        </is>
      </c>
      <c r="K17742" s="10" t="inlineStr">
        <is>
          <t>1 - 2 Năm</t>
        </is>
      </c>
      <c r="L17742" s="11">
        <f>HYPERLINK("https://careerviet.vn/vi/tim-viec-lam/nhan-vien-qc.35C67418.html","Xem chi tiết")</f>
        <v/>
      </c>
      <c r="M17742" s="10" t="n"/>
    </row>
    <row r="17743">
      <c r="B17743" s="7" t="n">
        <v>17741</v>
      </c>
      <c r="C17743" t="inlineStr">
        <is>
          <t>Luật sư pháp chế</t>
        </is>
      </c>
      <c r="D17743" t="inlineStr">
        <is>
          <t>CÔNG TY CỔ PHẦN XUẤT NHẬP KHẨU VÀ THƯƠNG MẠI FOREVER</t>
        </is>
      </c>
      <c r="E17743" t="inlineStr">
        <is>
          <t>Lương:20 Tr - 25 Tr VND</t>
        </is>
      </c>
      <c r="F17743" t="inlineStr">
        <is>
          <t>Hà Nội</t>
        </is>
      </c>
      <c r="G17743" t="inlineStr">
        <is>
          <t>04-04-2026</t>
        </is>
      </c>
      <c r="H17743" t="inlineStr">
        <is>
          <t>04/04/2026</t>
        </is>
      </c>
      <c r="I17743" t="inlineStr">
        <is>
          <t>17/03/2026</t>
        </is>
      </c>
      <c r="J17743" t="inlineStr">
        <is>
          <t>Luật / Pháp lý</t>
        </is>
      </c>
      <c r="K17743" t="inlineStr">
        <is>
          <t>3 - 5 Năm</t>
        </is>
      </c>
      <c r="L17743" s="8">
        <f>HYPERLINK("https://careerviet.vn/vi/tim-viec-lam/luat-su-phap-che.35C6748A.html","Xem chi tiết")</f>
        <v/>
      </c>
    </row>
    <row r="17744">
      <c r="B17744" s="9" t="n">
        <v>17742</v>
      </c>
      <c r="C17744" s="10" t="inlineStr">
        <is>
          <t>SALES CÔNG NGHỆ SINH HỌC</t>
        </is>
      </c>
      <c r="D17744" s="10" t="inlineStr">
        <is>
          <t>Công Ty Cổ Phần Hóa Chất Kỹ Thuật Kim Phong</t>
        </is>
      </c>
      <c r="E17744" s="10" t="inlineStr">
        <is>
          <t>Lương:10 Tr - 15 Tr VND</t>
        </is>
      </c>
      <c r="F17744" s="10" t="inlineStr">
        <is>
          <t>Hồ Chí Minh</t>
        </is>
      </c>
      <c r="G17744" s="10" t="inlineStr">
        <is>
          <t>04-04-2026</t>
        </is>
      </c>
      <c r="H17744" s="10" t="inlineStr">
        <is>
          <t>04/04/2026</t>
        </is>
      </c>
      <c r="I17744" s="10" t="inlineStr">
        <is>
          <t>17/03/2026</t>
        </is>
      </c>
      <c r="J17744" s="10" t="inlineStr">
        <is>
          <t>Bán hàng / Kinh doanh, Môi trường</t>
        </is>
      </c>
      <c r="K17744" s="10" t="inlineStr">
        <is>
          <t>1 - 5 Năm</t>
        </is>
      </c>
      <c r="L17744" s="11">
        <f>HYPERLINK("https://careerviet.vn/vi/tim-viec-lam/sales-cong-nghe-sinh-hoc.35C6751C.html","Xem chi tiết")</f>
        <v/>
      </c>
      <c r="M17744" s="10" t="n"/>
    </row>
    <row r="17745">
      <c r="B17745" s="7" t="n">
        <v>17743</v>
      </c>
      <c r="C17745" t="inlineStr">
        <is>
          <t>Kế Toán Trưởng (Chief Accountant)</t>
        </is>
      </c>
      <c r="D17745" t="inlineStr">
        <is>
          <t>CÔNG TY TNHH ĐẦU TƯ DỊCH VỤ HUMVENTURES</t>
        </is>
      </c>
      <c r="E17745" t="inlineStr">
        <is>
          <t>Lương:Cạnh tranh</t>
        </is>
      </c>
      <c r="F17745" t="inlineStr">
        <is>
          <t>Hồ Chí Minh</t>
        </is>
      </c>
      <c r="G17745" t="inlineStr">
        <is>
          <t>04-04-2026</t>
        </is>
      </c>
      <c r="H17745" t="inlineStr">
        <is>
          <t>04/04/2026</t>
        </is>
      </c>
      <c r="I17745" t="inlineStr">
        <is>
          <t>17/03/2026</t>
        </is>
      </c>
      <c r="J17745" t="inlineStr">
        <is>
          <t>Kế toán / Kiểm toán, Tài chính / Đầu tư, Nhà hàng / Khách sạn</t>
        </is>
      </c>
      <c r="K17745" t="inlineStr">
        <is>
          <t>3 - 5 Năm</t>
        </is>
      </c>
      <c r="L17745" s="8">
        <f>HYPERLINK("https://careerviet.vn/vi/tim-viec-lam/ke-toan-truong-chief-accountant.35C675EE.html","Xem chi tiết")</f>
        <v/>
      </c>
    </row>
    <row r="17746">
      <c r="B17746" s="9" t="n">
        <v>17744</v>
      </c>
      <c r="C17746" s="10" t="inlineStr">
        <is>
          <t>Kỹ sư  phòng Cán nguội (PCM Engineering)</t>
        </is>
      </c>
      <c r="D17746" s="10" t="inlineStr">
        <is>
          <t>Công Ty TNHH POSCO - Việt Nam</t>
        </is>
      </c>
      <c r="E17746" s="10" t="inlineStr">
        <is>
          <t>Lương:13 Tr - 20 Tr VND</t>
        </is>
      </c>
      <c r="F17746" s="10" t="inlineStr">
        <is>
          <t>Bà Rịa - Vũng Tàu</t>
        </is>
      </c>
      <c r="G17746" s="10" t="inlineStr">
        <is>
          <t>04-04-2026</t>
        </is>
      </c>
      <c r="H17746" s="10" t="inlineStr">
        <is>
          <t>04/04/2026</t>
        </is>
      </c>
      <c r="I17746" s="10" t="inlineStr">
        <is>
          <t>17/03/2026</t>
        </is>
      </c>
      <c r="J17746" s="10" t="inlineStr">
        <is>
          <t>Cơ khí / Ô tô / Tự động hóa, Điện / Điện tử / Điện lạnh / Điện công nghiệp</t>
        </is>
      </c>
      <c r="K17746" s="10" t="inlineStr">
        <is>
          <t>1 - 3 Năm</t>
        </is>
      </c>
      <c r="L17746" s="11">
        <f>HYPERLINK("https://careerviet.vn/vi/tim-viec-lam/ky-su-phong-can-nguoi-pcm-engineering.35C67528.html","Xem chi tiết")</f>
        <v/>
      </c>
      <c r="M17746" s="10" t="n"/>
    </row>
    <row r="17747">
      <c r="B17747" s="7" t="n">
        <v>17745</v>
      </c>
      <c r="C17747" t="inlineStr">
        <is>
          <t>TUYỂN THỢ KỸ THUẬT (ĐI LÀM NGAY HOẶC SAU TẾT)</t>
        </is>
      </c>
      <c r="D17747" t="inlineStr">
        <is>
          <t>CIG SCI-TECH COMPANY LIMITED</t>
        </is>
      </c>
      <c r="E17747" t="inlineStr">
        <is>
          <t>Lương:10 Tr - 16 Tr VND</t>
        </is>
      </c>
      <c r="F17747" t="inlineStr">
        <is>
          <t>Hà Nội</t>
        </is>
      </c>
      <c r="G17747" t="inlineStr">
        <is>
          <t>03-04-2026</t>
        </is>
      </c>
      <c r="H17747" t="inlineStr">
        <is>
          <t>03/04/2026</t>
        </is>
      </c>
      <c r="I17747" t="inlineStr">
        <is>
          <t>17/03/2026</t>
        </is>
      </c>
      <c r="J17747" t="inlineStr">
        <is>
          <t>Cơ khí / Ô tô / Tự động hóa, Điện / Điện tử / Điện lạnh / Điện công nghiệp</t>
        </is>
      </c>
      <c r="K17747" t="inlineStr">
        <is>
          <t>1 - 3 Năm</t>
        </is>
      </c>
      <c r="L17747" s="8">
        <f>HYPERLINK("https://careerviet.vn/vi/tim-viec-lam/tuyen-tho-ky-thuat-di-lam-ngay-hoac-sau-tet.35C6734A.html","Xem chi tiết")</f>
        <v/>
      </c>
    </row>
    <row r="17748">
      <c r="B17748" s="9" t="n">
        <v>17746</v>
      </c>
      <c r="C17748" s="10" t="inlineStr">
        <is>
          <t>HCM - Corporate Legal Specialist</t>
        </is>
      </c>
      <c r="D17748" s="10" t="inlineStr">
        <is>
          <t>CÔNG TY CỔ PHẦN MAISON RETAIL MANAGEMENT INTERNATIONAL</t>
        </is>
      </c>
      <c r="E17748" s="10" t="inlineStr">
        <is>
          <t>Lương:Cạnh tranh</t>
        </is>
      </c>
      <c r="F17748" s="10" t="inlineStr">
        <is>
          <t>Hồ Chí Minh</t>
        </is>
      </c>
      <c r="G17748" s="10" t="inlineStr">
        <is>
          <t>04-04-2026</t>
        </is>
      </c>
      <c r="H17748" s="10" t="inlineStr">
        <is>
          <t>04/04/2026</t>
        </is>
      </c>
      <c r="I17748" s="10" t="inlineStr">
        <is>
          <t>17/03/2026</t>
        </is>
      </c>
      <c r="J17748" s="10" t="inlineStr">
        <is>
          <t>Bán lẻ / Bán sỉ, Luật / Pháp lý</t>
        </is>
      </c>
      <c r="K17748" s="10" t="inlineStr">
        <is>
          <t>3 - 4 Năm</t>
        </is>
      </c>
      <c r="L17748" s="11">
        <f>HYPERLINK("https://careerviet.vn/vi/tim-viec-lam/hcm-corporate-legal-specialist.35C675C7.html","Xem chi tiết")</f>
        <v/>
      </c>
      <c r="M17748" s="10" t="n"/>
    </row>
    <row r="17749">
      <c r="B17749" s="7" t="n">
        <v>17747</v>
      </c>
      <c r="C17749" t="inlineStr">
        <is>
          <t>Chuyên viên Quản lý Đại lý (Phòng QLĐL)</t>
        </is>
      </c>
      <c r="D17749" t="inlineStr">
        <is>
          <t>CÔNG TY CỔ PHẦN HIRUNDO REALTY</t>
        </is>
      </c>
      <c r="E17749" t="inlineStr">
        <is>
          <t>Lương:Cạnh tranh</t>
        </is>
      </c>
      <c r="F17749" t="inlineStr">
        <is>
          <t>Hà Nội</t>
        </is>
      </c>
      <c r="G17749" t="inlineStr">
        <is>
          <t>04-04-2026</t>
        </is>
      </c>
      <c r="H17749" t="inlineStr">
        <is>
          <t>04/04/2026</t>
        </is>
      </c>
      <c r="I17749" t="inlineStr">
        <is>
          <t>17/03/2026</t>
        </is>
      </c>
      <c r="J17749" t="inlineStr">
        <is>
          <t>Dịch vụ khách hàng, Hành chính / Thư ký, Bất động sản</t>
        </is>
      </c>
      <c r="K17749" t="inlineStr">
        <is>
          <t>1 - 2 Năm</t>
        </is>
      </c>
      <c r="L17749" s="8">
        <f>HYPERLINK("https://careerviet.vn/vi/tim-viec-lam/chuyen-vien-quan-ly-dai-ly-phong-qldl.35C674DC.html","Xem chi tiết")</f>
        <v/>
      </c>
    </row>
    <row r="17750">
      <c r="B17750" s="9" t="n">
        <v>17748</v>
      </c>
      <c r="C17750" s="10" t="inlineStr">
        <is>
          <t>Project Engineer II</t>
        </is>
      </c>
      <c r="D17750" s="10" t="inlineStr">
        <is>
          <t>Jabil Vietnam</t>
        </is>
      </c>
      <c r="E17750" s="10" t="inlineStr">
        <is>
          <t>Lương:Cạnh tranh</t>
        </is>
      </c>
      <c r="F17750" s="10" t="inlineStr">
        <is>
          <t>Hồ Chí Minh</t>
        </is>
      </c>
      <c r="G17750" s="10" t="inlineStr">
        <is>
          <t>04-04-2026</t>
        </is>
      </c>
      <c r="H17750" s="10" t="inlineStr">
        <is>
          <t>04/04/2026</t>
        </is>
      </c>
      <c r="I17750" s="10" t="inlineStr">
        <is>
          <t>17/03/2026</t>
        </is>
      </c>
      <c r="J17750" s="10" t="inlineStr">
        <is>
          <t>Điện / Điện tử / Điện lạnh / Điện công nghiệp, Sản xuất / Vận hành sản xuất</t>
        </is>
      </c>
      <c r="K17750" s="10" t="inlineStr">
        <is>
          <t>Trên 5 Năm</t>
        </is>
      </c>
      <c r="L17750" s="11">
        <f>HYPERLINK("https://careerviet.vn/vi/tim-viec-lam/project-engineer-ii.35C674E8.html","Xem chi tiết")</f>
        <v/>
      </c>
      <c r="M17750" s="10" t="n"/>
    </row>
    <row r="17751">
      <c r="B17751" s="7" t="n">
        <v>17749</v>
      </c>
      <c r="C17751" t="inlineStr">
        <is>
          <t>Finance Business Partner Supervisor</t>
        </is>
      </c>
      <c r="D17751" t="inlineStr">
        <is>
          <t>Công Ty Cổ Phần Thời Trang &amp; Mỹ Phẩm Duy Anh (DAFC)</t>
        </is>
      </c>
      <c r="E17751" t="inlineStr">
        <is>
          <t>Lương:Cạnh tranh</t>
        </is>
      </c>
      <c r="F17751" t="inlineStr">
        <is>
          <t>Hồ Chí Minh</t>
        </is>
      </c>
      <c r="G17751" t="inlineStr">
        <is>
          <t>04-04-2026</t>
        </is>
      </c>
      <c r="H17751" t="inlineStr">
        <is>
          <t>04/04/2026</t>
        </is>
      </c>
      <c r="I17751" t="inlineStr">
        <is>
          <t>17/03/2026</t>
        </is>
      </c>
      <c r="J17751" t="inlineStr">
        <is>
          <t>Bán lẻ / Bán sỉ, Kế toán / Kiểm toán, Tài chính / Đầu tư</t>
        </is>
      </c>
      <c r="K17751" t="inlineStr">
        <is>
          <t>Trên 3 Năm</t>
        </is>
      </c>
      <c r="L17751" s="8">
        <f>HYPERLINK("https://careerviet.vn/vi/tim-viec-lam/finance-business-partner-supervisor.35C58476.html","Xem chi tiết")</f>
        <v/>
      </c>
    </row>
    <row r="17752">
      <c r="B17752" s="9" t="n">
        <v>17750</v>
      </c>
      <c r="C17752" s="10" t="inlineStr">
        <is>
          <t>Trưởng bộ phận Quản lý Tài Sản</t>
        </is>
      </c>
      <c r="D17752" s="10" t="inlineStr">
        <is>
          <t>Ngân hàng TMCP Phát triển TP.HCM (HDBank)</t>
        </is>
      </c>
      <c r="E17752" s="10" t="inlineStr">
        <is>
          <t>Lương:Cạnh tranh</t>
        </is>
      </c>
      <c r="F17752" s="10" t="inlineStr">
        <is>
          <t>Hồ Chí Minh</t>
        </is>
      </c>
      <c r="G17752" s="10" t="inlineStr">
        <is>
          <t>04-04-2026</t>
        </is>
      </c>
      <c r="H17752" s="10" t="inlineStr">
        <is>
          <t>04/04/2026</t>
        </is>
      </c>
      <c r="I17752" s="10" t="inlineStr">
        <is>
          <t>17/03/2026</t>
        </is>
      </c>
      <c r="J17752" s="10" t="inlineStr">
        <is>
          <t>Hành chính / Thư ký</t>
        </is>
      </c>
      <c r="K17752" s="10" t="inlineStr">
        <is>
          <t>Trên 3 Năm</t>
        </is>
      </c>
      <c r="L17752" s="11">
        <f>HYPERLINK("https://careerviet.vn/vi/tim-viec-lam/truong-bo-phan-quan-ly-tai-san.35C6747B.html","Xem chi tiết")</f>
        <v/>
      </c>
      <c r="M17752" s="10" t="n"/>
    </row>
    <row r="17753">
      <c r="B17753" s="7" t="n">
        <v>17751</v>
      </c>
      <c r="C17753" t="inlineStr">
        <is>
          <t>Senior Sales Executive</t>
        </is>
      </c>
      <c r="D17753" t="inlineStr">
        <is>
          <t>Công Ty Cổ Phần Hóa Chất Kỹ Thuật Kim Phong</t>
        </is>
      </c>
      <c r="E17753" t="inlineStr">
        <is>
          <t>Lương:15 Tr - 35 Tr VND</t>
        </is>
      </c>
      <c r="F17753" t="inlineStr">
        <is>
          <t>Hồ Chí Minh</t>
        </is>
      </c>
      <c r="G17753" t="inlineStr">
        <is>
          <t>04-04-2026</t>
        </is>
      </c>
      <c r="H17753" t="inlineStr">
        <is>
          <t>04/04/2026</t>
        </is>
      </c>
      <c r="I17753" t="inlineStr">
        <is>
          <t>17/03/2026</t>
        </is>
      </c>
      <c r="J17753" t="inlineStr">
        <is>
          <t>Tiếp thị / Marketing, Bán hàng / Kinh doanh, Môi trường</t>
        </is>
      </c>
      <c r="K17753" t="inlineStr">
        <is>
          <t>3 - 5 Năm</t>
        </is>
      </c>
      <c r="L17753" s="8">
        <f>HYPERLINK("https://careerviet.vn/vi/tim-viec-lam/senior-sales-executive.35C67520.html","Xem chi tiết")</f>
        <v/>
      </c>
    </row>
    <row r="17754">
      <c r="B17754" s="9" t="n">
        <v>17752</v>
      </c>
      <c r="C17754" s="10" t="inlineStr">
        <is>
          <t>Ecom Operations Specialist</t>
        </is>
      </c>
      <c r="D17754" s="10" t="inlineStr">
        <is>
          <t>Công ty TNHH Sản xuất Thương mại &amp; Dịch vụ Hoa Xinh</t>
        </is>
      </c>
      <c r="E17754" s="10" t="inlineStr">
        <is>
          <t>Lương:Cạnh tranh</t>
        </is>
      </c>
      <c r="F17754" s="10" t="inlineStr">
        <is>
          <t>Hồ Chí Minh</t>
        </is>
      </c>
      <c r="G17754" s="10" t="inlineStr">
        <is>
          <t>03-04-2026</t>
        </is>
      </c>
      <c r="H17754" s="10" t="inlineStr">
        <is>
          <t>03/04/2026</t>
        </is>
      </c>
      <c r="I17754" s="10" t="inlineStr">
        <is>
          <t>17/03/2026</t>
        </is>
      </c>
      <c r="J17754" s="10" t="inlineStr">
        <is>
          <t>Tiếp thị / Marketing, Tiếp thị trực tuyến, Thương mại điện tử</t>
        </is>
      </c>
      <c r="K17754" s="10" t="inlineStr">
        <is>
          <t>3 - 10 Năm</t>
        </is>
      </c>
      <c r="L17754" s="11">
        <f>HYPERLINK("https://careerviet.vn/vi/tim-viec-lam/ecom-operations-specialist.35C6478F.html","Xem chi tiết")</f>
        <v/>
      </c>
      <c r="M17754" s="10" t="n"/>
    </row>
    <row r="17755">
      <c r="B17755" s="7" t="n">
        <v>17753</v>
      </c>
      <c r="C17755" t="inlineStr">
        <is>
          <t>Thông Dịch Viên Tiếng Nhật</t>
        </is>
      </c>
      <c r="D17755" t="inlineStr">
        <is>
          <t>LIXIL Global Manufacturing Vietnam</t>
        </is>
      </c>
      <c r="E17755" t="inlineStr">
        <is>
          <t>Lương:11 Tr - 13 Tr VND</t>
        </is>
      </c>
      <c r="F17755" t="inlineStr">
        <is>
          <t>Đồng Nai</t>
        </is>
      </c>
      <c r="G17755" t="inlineStr">
        <is>
          <t>03-04-2026</t>
        </is>
      </c>
      <c r="H17755" t="inlineStr">
        <is>
          <t>03/04/2026</t>
        </is>
      </c>
      <c r="I17755" t="inlineStr">
        <is>
          <t>17/03/2026</t>
        </is>
      </c>
      <c r="J17755" t="inlineStr">
        <is>
          <t>Biên phiên dịch</t>
        </is>
      </c>
      <c r="K17755" t="inlineStr">
        <is>
          <t>N/A</t>
        </is>
      </c>
      <c r="L17755" s="8">
        <f>HYPERLINK("https://careerviet.vn/vi/tim-viec-lam/thong-dich-vien-tieng-nhat.35C67387.html","Xem chi tiết")</f>
        <v/>
      </c>
    </row>
    <row r="17756">
      <c r="B17756" s="9" t="n">
        <v>17754</v>
      </c>
      <c r="C17756" s="10" t="inlineStr">
        <is>
          <t>Phú Giáo -  Chuyên Viên IT</t>
        </is>
      </c>
      <c r="D17756" s="10" t="inlineStr">
        <is>
          <t>Công Ty Cổ Phần Vacxin Việt Nam</t>
        </is>
      </c>
      <c r="E17756" s="10" t="inlineStr">
        <is>
          <t>Lương:Cạnh tranh</t>
        </is>
      </c>
      <c r="F17756" s="10" t="inlineStr">
        <is>
          <t>Bình Dương</t>
        </is>
      </c>
      <c r="G17756" s="10" t="inlineStr">
        <is>
          <t>03-04-2026</t>
        </is>
      </c>
      <c r="H17756" s="10" t="inlineStr">
        <is>
          <t>03/04/2026</t>
        </is>
      </c>
      <c r="I17756" s="10" t="inlineStr">
        <is>
          <t>17/03/2026</t>
        </is>
      </c>
      <c r="J17756" s="10" t="inlineStr">
        <is>
          <t>CNTT - Phần mềm, CNTT - Phần cứng / Mạng</t>
        </is>
      </c>
      <c r="K17756" s="10" t="inlineStr">
        <is>
          <t>2 - 5 Năm</t>
        </is>
      </c>
      <c r="L17756" s="11">
        <f>HYPERLINK("https://careerviet.vn/vi/tim-viec-lam/phu-giao-chuyen-vien-it.35C672E9.html","Xem chi tiết")</f>
        <v/>
      </c>
      <c r="M17756" s="10" t="n"/>
    </row>
    <row r="17757">
      <c r="B17757" s="7" t="n">
        <v>17755</v>
      </c>
      <c r="C17757" t="inlineStr">
        <is>
          <t>Department Assistant (Trợ lý ngành hàng)  - KKV 3/2, Vạn Hạnh Mall, Aeon Mall Tân Phú</t>
        </is>
      </c>
      <c r="D17757" t="inlineStr">
        <is>
          <t>KK Vietnam</t>
        </is>
      </c>
      <c r="E17757" t="inlineStr">
        <is>
          <t>Lương:11 Tr - 14 Tr VND</t>
        </is>
      </c>
      <c r="F17757" t="inlineStr">
        <is>
          <t>Hồ Chí Minh</t>
        </is>
      </c>
      <c r="G17757" t="inlineStr">
        <is>
          <t>03-04-2026</t>
        </is>
      </c>
      <c r="H17757" t="inlineStr">
        <is>
          <t>03/04/2026</t>
        </is>
      </c>
      <c r="I17757" t="inlineStr">
        <is>
          <t>17/03/2026</t>
        </is>
      </c>
      <c r="J17757" t="inlineStr">
        <is>
          <t>Bán lẻ / Bán sỉ, Bán hàng / Kinh doanh</t>
        </is>
      </c>
      <c r="K17757" t="inlineStr">
        <is>
          <t>1 - 3 Năm</t>
        </is>
      </c>
      <c r="L17757" s="8">
        <f>HYPERLINK("https://careerviet.vn/vi/tim-viec-lam/department-assistant-tro-ly-nganh-hang-kkv-3-2-van-hanh-mall-aeon-mall-tan-phu.35C6726B.html","Xem chi tiết")</f>
        <v/>
      </c>
    </row>
    <row r="17758">
      <c r="B17758" s="9" t="n">
        <v>17756</v>
      </c>
      <c r="C17758" s="10" t="inlineStr">
        <is>
          <t>Thủ kho</t>
        </is>
      </c>
      <c r="D17758" s="10" t="inlineStr">
        <is>
          <t>Công ty CP Thành Thành Công - Biên Hòa</t>
        </is>
      </c>
      <c r="E17758" s="10" t="inlineStr">
        <is>
          <t>Lương:Cạnh tranh</t>
        </is>
      </c>
      <c r="F17758" s="10" t="inlineStr">
        <is>
          <t>Tây Ninh</t>
        </is>
      </c>
      <c r="G17758" s="10" t="inlineStr">
        <is>
          <t>03-04-2026</t>
        </is>
      </c>
      <c r="H17758" s="10" t="inlineStr">
        <is>
          <t>03/04/2026</t>
        </is>
      </c>
      <c r="I17758" s="10" t="inlineStr">
        <is>
          <t>17/03/2026</t>
        </is>
      </c>
      <c r="J17758" s="10" t="inlineStr">
        <is>
          <t>Vận chuyển / Giao nhận / Kho vận</t>
        </is>
      </c>
      <c r="K17758" s="10" t="inlineStr">
        <is>
          <t>Trên 1 Năm</t>
        </is>
      </c>
      <c r="L17758" s="11">
        <f>HYPERLINK("https://careerviet.vn/vi/tim-viec-lam/thu-kho.35C67227.html","Xem chi tiết")</f>
        <v/>
      </c>
      <c r="M17758" s="10" t="n"/>
    </row>
    <row r="17759">
      <c r="B17759" s="7" t="n">
        <v>17757</v>
      </c>
      <c r="C17759" t="inlineStr">
        <is>
          <t>Kỹ sư thiết kế cơ khí  (NPI Engineer)</t>
        </is>
      </c>
      <c r="D17759" t="inlineStr">
        <is>
          <t>Công ty TNHH Anam Electronics Việt Nam</t>
        </is>
      </c>
      <c r="E17759" t="inlineStr">
        <is>
          <t>Lương:Cạnh tranh</t>
        </is>
      </c>
      <c r="F17759" t="inlineStr">
        <is>
          <t>Hà Nam</t>
        </is>
      </c>
      <c r="G17759" t="inlineStr">
        <is>
          <t>03-04-2026</t>
        </is>
      </c>
      <c r="H17759" t="inlineStr">
        <is>
          <t>03/04/2026</t>
        </is>
      </c>
      <c r="I17759" t="inlineStr">
        <is>
          <t>17/03/2026</t>
        </is>
      </c>
      <c r="J17759" t="inlineStr">
        <is>
          <t>Cơ khí / Ô tô / Tự động hóa, Điện / Điện tử / Điện lạnh / Điện công nghiệp</t>
        </is>
      </c>
      <c r="K17759" t="inlineStr">
        <is>
          <t>N/A</t>
        </is>
      </c>
      <c r="L17759" s="8">
        <f>HYPERLINK("https://careerviet.vn/vi/tim-viec-lam/ky-su-thiet-ke-co-khi-npi-engineer.35C67320.html","Xem chi tiết")</f>
        <v/>
      </c>
    </row>
    <row r="17760">
      <c r="B17760" s="9" t="n">
        <v>17758</v>
      </c>
      <c r="C17760" s="10" t="inlineStr">
        <is>
          <t>Export Documentation Specialist</t>
        </is>
      </c>
      <c r="D17760" s="10" t="inlineStr">
        <is>
          <t>Wanek Furniture</t>
        </is>
      </c>
      <c r="E17760" s="10" t="inlineStr">
        <is>
          <t>Lương:Cạnh tranh</t>
        </is>
      </c>
      <c r="F17760" s="10" t="inlineStr">
        <is>
          <t>Bình Dương</t>
        </is>
      </c>
      <c r="G17760" s="10" t="inlineStr">
        <is>
          <t>03-04-2026</t>
        </is>
      </c>
      <c r="H17760" s="10" t="inlineStr">
        <is>
          <t>03/04/2026</t>
        </is>
      </c>
      <c r="I17760" s="10" t="inlineStr">
        <is>
          <t>17/03/2026</t>
        </is>
      </c>
      <c r="J17760" s="10" t="inlineStr">
        <is>
          <t>Xuất nhập khẩu, Sản xuất / Vận hành sản xuất, Nội ngoại thất</t>
        </is>
      </c>
      <c r="K17760" s="10" t="inlineStr">
        <is>
          <t>1 - 3 Năm</t>
        </is>
      </c>
      <c r="L17760" s="11">
        <f>HYPERLINK("https://careerviet.vn/vi/tim-viec-lam/export-documentation-specialist.35C672F8.html","Xem chi tiết")</f>
        <v/>
      </c>
      <c r="M17760" s="10" t="n"/>
    </row>
    <row r="17761">
      <c r="B17761" s="7" t="n">
        <v>17759</v>
      </c>
      <c r="C17761" t="inlineStr">
        <is>
          <t>Nhân viên Kỹ thuật (Technician)</t>
        </is>
      </c>
      <c r="D17761" t="inlineStr">
        <is>
          <t>Savills Vietnam</t>
        </is>
      </c>
      <c r="E17761" t="inlineStr">
        <is>
          <t>Lương:Cạnh tranh</t>
        </is>
      </c>
      <c r="F17761" t="inlineStr">
        <is>
          <t>Hồ Chí Minh</t>
        </is>
      </c>
      <c r="G17761" t="inlineStr">
        <is>
          <t>03-04-2026</t>
        </is>
      </c>
      <c r="H17761" t="inlineStr">
        <is>
          <t>03/04/2026</t>
        </is>
      </c>
      <c r="I17761" t="inlineStr">
        <is>
          <t>17/03/2026</t>
        </is>
      </c>
      <c r="J17761" t="inlineStr">
        <is>
          <t>Cơ khí / Ô tô / Tự động hóa, Điện / Điện tử / Điện lạnh / Điện công nghiệp, Bảo trì / Sửa chữa</t>
        </is>
      </c>
      <c r="K17761" t="inlineStr">
        <is>
          <t>Chưa có kinh nghiệm</t>
        </is>
      </c>
      <c r="L17761" s="8">
        <f>HYPERLINK("https://careerviet.vn/vi/tim-viec-lam/nhan-vien-ky-thuat-technician.35C66D81.html","Xem chi tiết")</f>
        <v/>
      </c>
    </row>
    <row r="17762">
      <c r="B17762" s="9" t="n">
        <v>17760</v>
      </c>
      <c r="C17762" s="10" t="inlineStr">
        <is>
          <t>[TÂN UYÊN - BÌNH DƯƠNG] NHÂN VIÊN THIẾT KẾ BAO BÌ</t>
        </is>
      </c>
      <c r="D17762" s="10" t="inlineStr">
        <is>
          <t>Công Ty CP Tập Đoàn Kỹ Nghệ Gỗ Trường Thành</t>
        </is>
      </c>
      <c r="E17762" s="10" t="inlineStr">
        <is>
          <t>Lương:12 Tr - 16 Tr VND</t>
        </is>
      </c>
      <c r="F17762" s="10" t="inlineStr">
        <is>
          <t>Bình Dương</t>
        </is>
      </c>
      <c r="G17762" s="10" t="inlineStr">
        <is>
          <t>03-04-2026</t>
        </is>
      </c>
      <c r="H17762" s="10" t="inlineStr">
        <is>
          <t>03/04/2026</t>
        </is>
      </c>
      <c r="I17762" s="10" t="inlineStr">
        <is>
          <t>17/03/2026</t>
        </is>
      </c>
      <c r="J17762" s="10" t="inlineStr">
        <is>
          <t>Đồ gỗ, Nội ngoại thất, Mỹ thuật / Nghệ thuật / Thiết kế</t>
        </is>
      </c>
      <c r="K17762" s="10" t="inlineStr">
        <is>
          <t>1 - 3 Năm</t>
        </is>
      </c>
      <c r="L17762" s="11">
        <f>HYPERLINK("https://careerviet.vn/vi/tim-viec-lam/tan-uyen-binh-duong-nhan-vien-thiet-ke-bao-bi.35C6728E.html","Xem chi tiết")</f>
        <v/>
      </c>
      <c r="M17762" s="10" t="n"/>
    </row>
    <row r="17763">
      <c r="B17763" s="7" t="n">
        <v>17761</v>
      </c>
      <c r="C17763" t="inlineStr">
        <is>
          <t>[Hotel HN] Food and Beverage Manager</t>
        </is>
      </c>
      <c r="D17763" t="inlineStr">
        <is>
          <t>Công ty Cổ phần Tập đoàn Minh Anh</t>
        </is>
      </c>
      <c r="E17763" t="inlineStr">
        <is>
          <t>Lương:Cạnh tranh</t>
        </is>
      </c>
      <c r="F17763" t="inlineStr">
        <is>
          <t>Hà Nội</t>
        </is>
      </c>
      <c r="G17763" t="inlineStr">
        <is>
          <t>03-04-2026</t>
        </is>
      </c>
      <c r="H17763" t="inlineStr">
        <is>
          <t>03/04/2026</t>
        </is>
      </c>
      <c r="I17763" t="inlineStr">
        <is>
          <t>17/03/2026</t>
        </is>
      </c>
      <c r="J17763" t="inlineStr">
        <is>
          <t>Thực phẩm &amp; Đồ uống, Nhà hàng / Khách sạn, Du lịch</t>
        </is>
      </c>
      <c r="K17763" t="inlineStr">
        <is>
          <t>3 - 5 Năm</t>
        </is>
      </c>
      <c r="L17763" s="8">
        <f>HYPERLINK("https://careerviet.vn/vi/tim-viec-lam/hotel-hn-food-and-beverage-manager.35C673B0.html","Xem chi tiết")</f>
        <v/>
      </c>
    </row>
    <row r="17764">
      <c r="B17764" s="9" t="n">
        <v>17762</v>
      </c>
      <c r="C17764" s="10" t="inlineStr">
        <is>
          <t>[Hotel HN] Front Office Manager</t>
        </is>
      </c>
      <c r="D17764" s="10" t="inlineStr">
        <is>
          <t>Công ty Cổ phần Tập đoàn Minh Anh</t>
        </is>
      </c>
      <c r="E17764" s="10" t="inlineStr">
        <is>
          <t>Lương:Cạnh tranh</t>
        </is>
      </c>
      <c r="F17764" s="10" t="inlineStr">
        <is>
          <t>Hà Nội</t>
        </is>
      </c>
      <c r="G17764" s="10" t="inlineStr">
        <is>
          <t>03-04-2026</t>
        </is>
      </c>
      <c r="H17764" s="10" t="inlineStr">
        <is>
          <t>03/04/2026</t>
        </is>
      </c>
      <c r="I17764" s="10" t="inlineStr">
        <is>
          <t>17/03/2026</t>
        </is>
      </c>
      <c r="J17764" s="10" t="inlineStr">
        <is>
          <t>Tư vấn, Dịch vụ khách hàng, Nhà hàng / Khách sạn</t>
        </is>
      </c>
      <c r="K17764" s="10" t="inlineStr">
        <is>
          <t>2 - 5 Năm</t>
        </is>
      </c>
      <c r="L17764" s="11">
        <f>HYPERLINK("https://careerviet.vn/vi/tim-viec-lam/hotel-hn-front-office-manager.35C67356.html","Xem chi tiết")</f>
        <v/>
      </c>
      <c r="M17764" s="10" t="n"/>
    </row>
    <row r="17765">
      <c r="B17765" s="7" t="n">
        <v>17763</v>
      </c>
      <c r="C17765" t="inlineStr">
        <is>
          <t>[HCM] Nhân viên Marketing</t>
        </is>
      </c>
      <c r="D17765" t="inlineStr">
        <is>
          <t>CÔNG TY CỔ PHẦN GIAO DỊCH HÀNG HÓA ĐÔNG NAM Á</t>
        </is>
      </c>
      <c r="E17765" t="inlineStr">
        <is>
          <t>Lương:8 Tr - 10 Tr VND</t>
        </is>
      </c>
      <c r="F17765" t="inlineStr">
        <is>
          <t>Hồ Chí Minh</t>
        </is>
      </c>
      <c r="G17765" t="inlineStr">
        <is>
          <t>03-04-2026</t>
        </is>
      </c>
      <c r="H17765" t="inlineStr">
        <is>
          <t>03/04/2026</t>
        </is>
      </c>
      <c r="I17765" t="inlineStr">
        <is>
          <t>17/03/2026</t>
        </is>
      </c>
      <c r="J17765" t="inlineStr">
        <is>
          <t>Tài chính / Đầu tư</t>
        </is>
      </c>
      <c r="K17765" t="inlineStr">
        <is>
          <t>Lên đến 1 Năm</t>
        </is>
      </c>
      <c r="L17765" s="8">
        <f>HYPERLINK("https://careerviet.vn/vi/tim-viec-lam/hcm-nhan-vien-marketing.35C6733D.html","Xem chi tiết")</f>
        <v/>
      </c>
    </row>
    <row r="17766">
      <c r="B17766" s="9" t="n">
        <v>17764</v>
      </c>
      <c r="C17766" s="10" t="inlineStr">
        <is>
          <t>Marketing Intern</t>
        </is>
      </c>
      <c r="D17766" s="10" t="inlineStr">
        <is>
          <t>Bảo mật</t>
        </is>
      </c>
      <c r="E17766" s="10" t="inlineStr">
        <is>
          <t>Lương:3 Tr - 5 Tr VND</t>
        </is>
      </c>
      <c r="F17766" s="10" t="inlineStr">
        <is>
          <t>Hồ Chí Minh</t>
        </is>
      </c>
      <c r="G17766" s="10" t="inlineStr">
        <is>
          <t>03-04-2026</t>
        </is>
      </c>
      <c r="H17766" s="10" t="inlineStr">
        <is>
          <t>03/04/2026</t>
        </is>
      </c>
      <c r="I17766" s="10" t="inlineStr">
        <is>
          <t>17/03/2026</t>
        </is>
      </c>
      <c r="J17766" s="10" t="inlineStr">
        <is>
          <t>Tiếp thị / Marketing</t>
        </is>
      </c>
      <c r="K17766" s="10" t="inlineStr">
        <is>
          <t>N/A</t>
        </is>
      </c>
      <c r="L17766" s="11">
        <f>HYPERLINK("https://careerviet.vn/vi/tim-viec-lam/marketing-intern.35C6736A.html","Xem chi tiết")</f>
        <v/>
      </c>
      <c r="M17766" s="10" t="n"/>
    </row>
    <row r="17767">
      <c r="B17767" s="7" t="n">
        <v>17765</v>
      </c>
      <c r="C17767" t="inlineStr">
        <is>
          <t>CHUYÊN VIÊN 2D/3D/KHUÔN ĐẾ</t>
        </is>
      </c>
      <c r="D17767" t="inlineStr">
        <is>
          <t>Công ty TNHH Giày Apache Việt Nam</t>
        </is>
      </c>
      <c r="E17767" t="inlineStr">
        <is>
          <t>Lương:Cạnh tranh</t>
        </is>
      </c>
      <c r="F17767" t="inlineStr">
        <is>
          <t>Tiền Giang</t>
        </is>
      </c>
      <c r="G17767" t="inlineStr">
        <is>
          <t>03-04-2026</t>
        </is>
      </c>
      <c r="H17767" t="inlineStr">
        <is>
          <t>03/04/2026</t>
        </is>
      </c>
      <c r="I17767" t="inlineStr">
        <is>
          <t>17/03/2026</t>
        </is>
      </c>
      <c r="J17767" t="inlineStr">
        <is>
          <t>Dệt may / Da giày / Thời trang</t>
        </is>
      </c>
      <c r="K17767" t="inlineStr">
        <is>
          <t>1 - 10 Năm</t>
        </is>
      </c>
      <c r="L17767" s="8">
        <f>HYPERLINK("https://careerviet.vn/vi/tim-viec-lam/chuyen-vien-2d-3d-khuon-de.35C647A2.html","Xem chi tiết")</f>
        <v/>
      </c>
    </row>
    <row r="17768">
      <c r="B17768" s="9" t="n">
        <v>17766</v>
      </c>
      <c r="C17768" s="10" t="inlineStr">
        <is>
          <t>Kỹ sư dự toán MEP</t>
        </is>
      </c>
      <c r="D17768" s="10" t="inlineStr">
        <is>
          <t>CÔNG TY CỔ PHẦN KỸ THUẬT CÔNG NGHỆ SÀI GÒN - TECHGEL</t>
        </is>
      </c>
      <c r="E17768" s="10" t="inlineStr">
        <is>
          <t>Lương:Cạnh tranh</t>
        </is>
      </c>
      <c r="F17768" s="10" t="inlineStr">
        <is>
          <t>Hồ Chí Minh</t>
        </is>
      </c>
      <c r="G17768" s="10" t="inlineStr">
        <is>
          <t>03-04-2026</t>
        </is>
      </c>
      <c r="H17768" s="10" t="inlineStr">
        <is>
          <t>03/04/2026</t>
        </is>
      </c>
      <c r="I17768" s="10" t="inlineStr">
        <is>
          <t>17/03/2026</t>
        </is>
      </c>
      <c r="J17768" s="10" t="inlineStr">
        <is>
          <t>Điện / Điện tử / Điện lạnh / Điện công nghiệp, Xây dựng</t>
        </is>
      </c>
      <c r="K17768" s="10" t="inlineStr">
        <is>
          <t>Trên 2 Năm</t>
        </is>
      </c>
      <c r="L17768" s="11">
        <f>HYPERLINK("https://careerviet.vn/vi/tim-viec-lam/ky-su-du-toan-mep.35C6476A.html","Xem chi tiết")</f>
        <v/>
      </c>
      <c r="M17768" s="10" t="n"/>
    </row>
    <row r="17769">
      <c r="B17769" s="7" t="n">
        <v>17767</v>
      </c>
      <c r="C17769" t="inlineStr">
        <is>
          <t>Chuyên viên kinh doanh trực tuyến thẻ (Telesales)</t>
        </is>
      </c>
      <c r="D17769" t="inlineStr">
        <is>
          <t>Ngân Hàng TMCP Quốc Tế Việt Nam</t>
        </is>
      </c>
      <c r="E17769" t="inlineStr">
        <is>
          <t>Lương:Cạnh tranh</t>
        </is>
      </c>
      <c r="F17769" t="inlineStr">
        <is>
          <t>Hồ Chí Minh</t>
        </is>
      </c>
      <c r="G17769" t="inlineStr">
        <is>
          <t>03-04-2026</t>
        </is>
      </c>
      <c r="H17769" t="inlineStr">
        <is>
          <t>03/04/2026</t>
        </is>
      </c>
      <c r="I17769" t="inlineStr">
        <is>
          <t>17/03/2026</t>
        </is>
      </c>
      <c r="J17769" t="inlineStr">
        <is>
          <t>Ngân hàng, Bảo hiểm, Bán hàng / Kinh doanh</t>
        </is>
      </c>
      <c r="K17769" t="inlineStr">
        <is>
          <t>1 - 5 Năm</t>
        </is>
      </c>
      <c r="L17769" s="8">
        <f>HYPERLINK("https://careerviet.vn/vi/tim-viec-lam/chuyen-vien-kinh-doanh-truc-tuyen-the-telesales.35C673CE.html","Xem chi tiết")</f>
        <v/>
      </c>
    </row>
    <row r="17770">
      <c r="B17770" s="9" t="n">
        <v>17768</v>
      </c>
      <c r="C17770" s="10" t="inlineStr">
        <is>
          <t>Giám Sát Cửa Hàng F&amp;B</t>
        </is>
      </c>
      <c r="D17770" s="10" t="inlineStr">
        <is>
          <t>Công ty TNHH Sản xuất Thương mại &amp; Dịch vụ Hoa Xinh</t>
        </is>
      </c>
      <c r="E17770" s="10" t="inlineStr">
        <is>
          <t>Lương:10 Tr - 20 Tr VND</t>
        </is>
      </c>
      <c r="F17770" s="10" t="inlineStr">
        <is>
          <t>Bà Rịa - Vũng Tàu</t>
        </is>
      </c>
      <c r="G17770" s="10" t="inlineStr">
        <is>
          <t>03-04-2026</t>
        </is>
      </c>
      <c r="H17770" s="10" t="inlineStr">
        <is>
          <t>03/04/2026</t>
        </is>
      </c>
      <c r="I17770" s="10" t="inlineStr">
        <is>
          <t>17/03/2026</t>
        </is>
      </c>
      <c r="J17770" s="10" t="inlineStr">
        <is>
          <t>Thực phẩm &amp; Đồ uống, Nhà hàng / Khách sạn, Bán lẻ / Bán sỉ</t>
        </is>
      </c>
      <c r="K17770" s="10" t="inlineStr">
        <is>
          <t>1 - 5 Năm</t>
        </is>
      </c>
      <c r="L17770" s="11">
        <f>HYPERLINK("https://careerviet.vn/vi/tim-viec-lam/giam-sat-cua-hang-f-b.35C67358.html","Xem chi tiết")</f>
        <v/>
      </c>
      <c r="M17770" s="10" t="n"/>
    </row>
    <row r="17771">
      <c r="B17771" s="7" t="n">
        <v>17769</v>
      </c>
      <c r="C17771" t="inlineStr">
        <is>
          <t>Kỹ Sư Trưởng  (Chief Engineer)</t>
        </is>
      </c>
      <c r="D17771" t="inlineStr">
        <is>
          <t>Savills Vietnam</t>
        </is>
      </c>
      <c r="E17771" t="inlineStr">
        <is>
          <t>Lương:Cạnh tranh</t>
        </is>
      </c>
      <c r="F17771" t="inlineStr">
        <is>
          <t>Hồ Chí Minh</t>
        </is>
      </c>
      <c r="G17771" t="inlineStr">
        <is>
          <t>03-04-2026</t>
        </is>
      </c>
      <c r="H17771" t="inlineStr">
        <is>
          <t>03/04/2026</t>
        </is>
      </c>
      <c r="I17771" t="inlineStr">
        <is>
          <t>17/03/2026</t>
        </is>
      </c>
      <c r="J17771" t="inlineStr">
        <is>
          <t>Điện / Điện tử / Điện lạnh / Điện công nghiệp, Bảo trì / Sửa chữa, Cơ khí / Ô tô / Tự động hóa</t>
        </is>
      </c>
      <c r="K17771" t="inlineStr">
        <is>
          <t>3 - 5 Năm</t>
        </is>
      </c>
      <c r="L17771" s="8">
        <f>HYPERLINK("https://careerviet.vn/vi/tim-viec-lam/ky-su-truong-chief-engineer.35C66F62.html","Xem chi tiết")</f>
        <v/>
      </c>
    </row>
    <row r="17772">
      <c r="B17772" s="9" t="n">
        <v>17770</v>
      </c>
      <c r="C17772" s="10" t="inlineStr">
        <is>
          <t>Phó phòng Pháp lý Dự án</t>
        </is>
      </c>
      <c r="D17772" s="10" t="inlineStr">
        <is>
          <t>CÔNG TY CỔ PHẦN VĨNH QUANG</t>
        </is>
      </c>
      <c r="E17772" s="10" t="inlineStr">
        <is>
          <t>Lương:Cạnh tranh</t>
        </is>
      </c>
      <c r="F17772" s="10" t="inlineStr">
        <is>
          <t>Hồ Chí Minh</t>
        </is>
      </c>
      <c r="G17772" s="10" t="inlineStr">
        <is>
          <t>03-04-2026</t>
        </is>
      </c>
      <c r="H17772" s="10" t="inlineStr">
        <is>
          <t>03/04/2026</t>
        </is>
      </c>
      <c r="I17772" s="10" t="inlineStr">
        <is>
          <t>17/03/2026</t>
        </is>
      </c>
      <c r="J17772" s="10" t="inlineStr">
        <is>
          <t>Luật / Pháp lý, Xây dựng, Bất động sản</t>
        </is>
      </c>
      <c r="K17772" s="10" t="inlineStr">
        <is>
          <t>5 - 7 Năm</t>
        </is>
      </c>
      <c r="L17772" s="11">
        <f>HYPERLINK("https://careerviet.vn/vi/tim-viec-lam/pho-phong-phap-ly-du-an.35C647CF.html","Xem chi tiết")</f>
        <v/>
      </c>
      <c r="M17772" s="10" t="n"/>
    </row>
    <row r="17773">
      <c r="B17773" s="7" t="n">
        <v>17771</v>
      </c>
      <c r="C17773" t="inlineStr">
        <is>
          <t>Kỹ thuật viên IE(  Tiếng Trung)</t>
        </is>
      </c>
      <c r="D17773" t="inlineStr">
        <is>
          <t>CÔNG TY TNHH QISDA VIỆT NAM</t>
        </is>
      </c>
      <c r="E17773" t="inlineStr">
        <is>
          <t>Lương:10 Tr - 18 Tr VND</t>
        </is>
      </c>
      <c r="F17773" t="inlineStr">
        <is>
          <t>Hà Nam</t>
        </is>
      </c>
      <c r="G17773" t="inlineStr">
        <is>
          <t>03-04-2026</t>
        </is>
      </c>
      <c r="H17773" t="inlineStr">
        <is>
          <t>03/04/2026</t>
        </is>
      </c>
      <c r="I17773" t="inlineStr">
        <is>
          <t>17/03/2026</t>
        </is>
      </c>
      <c r="J17773" t="inlineStr">
        <is>
          <t>Sản xuất / Vận hành sản xuất</t>
        </is>
      </c>
      <c r="K17773" t="inlineStr">
        <is>
          <t>Chưa có kinh nghiệm</t>
        </is>
      </c>
      <c r="L17773" s="8">
        <f>HYPERLINK("https://careerviet.vn/vi/tim-viec-lam/ky-thuat-vien-ie-tieng-trung.35C647D1.html","Xem chi tiết")</f>
        <v/>
      </c>
    </row>
    <row r="17774">
      <c r="B17774" s="9" t="n">
        <v>17772</v>
      </c>
      <c r="C17774" s="10" t="inlineStr">
        <is>
          <t>Kỹ thuật tòa nhà (12 triệu/tháng)</t>
        </is>
      </c>
      <c r="D17774" s="10" t="inlineStr">
        <is>
          <t>TỔNG CÔNG TY CỔ PHẦN THƯƠNG MẠI XÂY DỰNG</t>
        </is>
      </c>
      <c r="E17774" s="10" t="inlineStr">
        <is>
          <t>Lương:10 Tr - 12 Tr VND</t>
        </is>
      </c>
      <c r="F17774" s="10" t="inlineStr">
        <is>
          <t>Hà Nội</t>
        </is>
      </c>
      <c r="G17774" s="10" t="inlineStr">
        <is>
          <t>03-04-2026</t>
        </is>
      </c>
      <c r="H17774" s="10" t="inlineStr">
        <is>
          <t>03/04/2026</t>
        </is>
      </c>
      <c r="I17774" s="10" t="inlineStr">
        <is>
          <t>17/03/2026</t>
        </is>
      </c>
      <c r="J17774" s="10" t="inlineStr">
        <is>
          <t>Nhà hàng / Khách sạn, Điện / Điện tử / Điện lạnh / Điện công nghiệp, Bảo trì / Sửa chữa</t>
        </is>
      </c>
      <c r="K17774" s="10" t="inlineStr">
        <is>
          <t>Trên 1 Năm</t>
        </is>
      </c>
      <c r="L17774" s="11">
        <f>HYPERLINK("https://careerviet.vn/vi/tim-viec-lam/ky-thuat-toa-nha-12-trieu-thang.35C6732D.html","Xem chi tiết")</f>
        <v/>
      </c>
      <c r="M17774" s="10" t="n"/>
    </row>
    <row r="17775">
      <c r="B17775" s="7" t="n">
        <v>17773</v>
      </c>
      <c r="C17775" t="inlineStr">
        <is>
          <t>Chuyên viên IE</t>
        </is>
      </c>
      <c r="D17775" t="inlineStr">
        <is>
          <t>Công ty Cổ phần Thời Trang YODY</t>
        </is>
      </c>
      <c r="E17775" t="inlineStr">
        <is>
          <t>Lương:Cạnh tranh</t>
        </is>
      </c>
      <c r="F17775" t="inlineStr">
        <is>
          <t>Hải Dương</t>
        </is>
      </c>
      <c r="G17775" t="inlineStr">
        <is>
          <t>03-04-2026</t>
        </is>
      </c>
      <c r="H17775" t="inlineStr">
        <is>
          <t>03/04/2026</t>
        </is>
      </c>
      <c r="I17775" t="inlineStr">
        <is>
          <t>17/03/2026</t>
        </is>
      </c>
      <c r="J17775" t="inlineStr">
        <is>
          <t>Dệt may / Da giày / Thời trang</t>
        </is>
      </c>
      <c r="K17775" t="inlineStr">
        <is>
          <t>1 - 2 Năm</t>
        </is>
      </c>
      <c r="L17775" s="8">
        <f>HYPERLINK("https://careerviet.vn/vi/tim-viec-lam/chuyen-vien-ie.35C6728F.html","Xem chi tiết")</f>
        <v/>
      </c>
    </row>
    <row r="17776">
      <c r="B17776" s="9" t="n">
        <v>17774</v>
      </c>
      <c r="C17776" s="10" t="inlineStr">
        <is>
          <t>Kế toán thu chi trường mầm non (Bình Tân, Tân Phú)</t>
        </is>
      </c>
      <c r="D17776" s="10" t="inlineStr">
        <is>
          <t>TRƯỜNG QUỐC TẾ BLUE RIDGE / BLUE RIDGE INTERNATIONAL SCHOOL (BRIS)</t>
        </is>
      </c>
      <c r="E17776" s="10" t="inlineStr">
        <is>
          <t>Lương:7 Tr - 9 Tr VND</t>
        </is>
      </c>
      <c r="F17776" s="10" t="inlineStr">
        <is>
          <t>Hồ Chí Minh</t>
        </is>
      </c>
      <c r="G17776" s="10" t="inlineStr">
        <is>
          <t>03-04-2026</t>
        </is>
      </c>
      <c r="H17776" s="10" t="inlineStr">
        <is>
          <t>03/04/2026</t>
        </is>
      </c>
      <c r="I17776" s="10" t="inlineStr">
        <is>
          <t>17/03/2026</t>
        </is>
      </c>
      <c r="J17776" s="10" t="inlineStr">
        <is>
          <t>Kế toán / Kiểm toán</t>
        </is>
      </c>
      <c r="K17776" s="10" t="inlineStr">
        <is>
          <t>1 - 2 Năm</t>
        </is>
      </c>
      <c r="L17776" s="11">
        <f>HYPERLINK("https://careerviet.vn/vi/tim-viec-lam/ke-toan-thu-chi-truong-mam-non-binh-tan-tan-phu.35C67388.html","Xem chi tiết")</f>
        <v/>
      </c>
      <c r="M17776" s="10" t="n"/>
    </row>
    <row r="17777">
      <c r="B17777" s="7" t="n">
        <v>17775</v>
      </c>
      <c r="C17777" t="inlineStr">
        <is>
          <t>Chuyên viên chăm sóc khách hàng</t>
        </is>
      </c>
      <c r="D17777" t="inlineStr">
        <is>
          <t>TỔNG CÔNG TY CỔ PHẦN THƯƠNG MẠI XÂY DỰNG</t>
        </is>
      </c>
      <c r="E17777" t="inlineStr">
        <is>
          <t>Lương:13 Tr - 15 Tr VND</t>
        </is>
      </c>
      <c r="F17777" t="inlineStr">
        <is>
          <t>Hà Nội</t>
        </is>
      </c>
      <c r="G17777" t="inlineStr">
        <is>
          <t>03-04-2026</t>
        </is>
      </c>
      <c r="H17777" t="inlineStr">
        <is>
          <t>03/04/2026</t>
        </is>
      </c>
      <c r="I17777" t="inlineStr">
        <is>
          <t>17/03/2026</t>
        </is>
      </c>
      <c r="J17777" t="inlineStr">
        <is>
          <t>Tiếp thị / Marketing, Dịch vụ khách hàng, Bán lẻ / Bán sỉ</t>
        </is>
      </c>
      <c r="K17777" t="inlineStr">
        <is>
          <t>2 - 3 Năm</t>
        </is>
      </c>
      <c r="L17777" s="8">
        <f>HYPERLINK("https://careerviet.vn/vi/tim-viec-lam/chuyen-vien-cham-soc-khach-hang.35C66F5E.html","Xem chi tiết")</f>
        <v/>
      </c>
    </row>
    <row r="17778">
      <c r="B17778" s="9" t="n">
        <v>17776</v>
      </c>
      <c r="C17778" s="10" t="inlineStr">
        <is>
          <t>C&amp;B Executive (Good English Speaking)</t>
        </is>
      </c>
      <c r="D17778" s="10" t="inlineStr">
        <is>
          <t>Bảo mật</t>
        </is>
      </c>
      <c r="E17778" s="10" t="inlineStr">
        <is>
          <t>Lương:Cạnh tranh</t>
        </is>
      </c>
      <c r="F17778" s="10" t="inlineStr">
        <is>
          <t>Hồ Chí Minh</t>
        </is>
      </c>
      <c r="G17778" s="10" t="inlineStr">
        <is>
          <t>03-04-2026</t>
        </is>
      </c>
      <c r="H17778" s="10" t="inlineStr">
        <is>
          <t>03/04/2026</t>
        </is>
      </c>
      <c r="I17778" s="10" t="inlineStr">
        <is>
          <t>17/03/2026</t>
        </is>
      </c>
      <c r="J17778" s="10" t="inlineStr">
        <is>
          <t>Hành chính / Thư ký, Nhân sự, Kế toán / Kiểm toán</t>
        </is>
      </c>
      <c r="K17778" s="10" t="inlineStr">
        <is>
          <t>3 - 8 Năm</t>
        </is>
      </c>
      <c r="L17778" s="11">
        <f>HYPERLINK("https://careerviet.vn/vi/tim-viec-lam/c-b-executive-good-english-speaking.35C672B7.html","Xem chi tiết")</f>
        <v/>
      </c>
      <c r="M17778" s="10" t="n"/>
    </row>
    <row r="17779">
      <c r="B17779" s="7" t="n">
        <v>17777</v>
      </c>
      <c r="C17779" t="inlineStr">
        <is>
          <t>Nhân viên kế toán bán hàng</t>
        </is>
      </c>
      <c r="D17779" t="inlineStr">
        <is>
          <t>Công ty Cổ Phần Thực Phẩm Vĩnh Tân</t>
        </is>
      </c>
      <c r="E17779" t="inlineStr">
        <is>
          <t>Lương:8 Tr - 10 Tr VND</t>
        </is>
      </c>
      <c r="F17779" t="inlineStr">
        <is>
          <t>Hồ Chí Minh</t>
        </is>
      </c>
      <c r="G17779" t="inlineStr">
        <is>
          <t>03-04-2026</t>
        </is>
      </c>
      <c r="H17779" t="inlineStr">
        <is>
          <t>03/04/2026</t>
        </is>
      </c>
      <c r="I17779" t="inlineStr">
        <is>
          <t>17/03/2026</t>
        </is>
      </c>
      <c r="J17779" t="inlineStr">
        <is>
          <t>Kế toán / Kiểm toán</t>
        </is>
      </c>
      <c r="K17779" t="inlineStr">
        <is>
          <t>N/A</t>
        </is>
      </c>
      <c r="L17779" s="8">
        <f>HYPERLINK("https://careerviet.vn/vi/tim-viec-lam/nhan-vien-ke-toan-ban-hang.35C6738E.html","Xem chi tiết")</f>
        <v/>
      </c>
    </row>
    <row r="17780">
      <c r="B17780" s="9" t="n">
        <v>17778</v>
      </c>
      <c r="C17780" s="10" t="inlineStr">
        <is>
          <t>Chuyên viên Tài chính</t>
        </is>
      </c>
      <c r="D17780" s="10" t="inlineStr">
        <is>
          <t>Công ty cổ phần Liên Doanh ô tô Hyundai Thành Công Việt Nam</t>
        </is>
      </c>
      <c r="E17780" s="10" t="inlineStr">
        <is>
          <t>Lương:Cạnh tranh</t>
        </is>
      </c>
      <c r="F17780" s="10" t="inlineStr">
        <is>
          <t>Hà Nội</t>
        </is>
      </c>
      <c r="G17780" s="10" t="inlineStr">
        <is>
          <t>03-04-2026</t>
        </is>
      </c>
      <c r="H17780" s="10" t="inlineStr">
        <is>
          <t>03/04/2026</t>
        </is>
      </c>
      <c r="I17780" s="10" t="inlineStr">
        <is>
          <t>17/03/2026</t>
        </is>
      </c>
      <c r="J17780" s="10" t="inlineStr">
        <is>
          <t>Cơ khí / Ô tô / Tự động hóa, Tài chính / Đầu tư</t>
        </is>
      </c>
      <c r="K17780" s="10" t="inlineStr">
        <is>
          <t>Trên 3 Năm</t>
        </is>
      </c>
      <c r="L17780" s="11">
        <f>HYPERLINK("https://careerviet.vn/vi/tim-viec-lam/chuyen-vien-tai-chinh.35C672AA.html","Xem chi tiết")</f>
        <v/>
      </c>
      <c r="M17780" s="10" t="n"/>
    </row>
    <row r="17781">
      <c r="B17781" s="7" t="n">
        <v>17779</v>
      </c>
      <c r="C17781" t="inlineStr">
        <is>
          <t>Trưởng Nhóm Logistic</t>
        </is>
      </c>
      <c r="D17781" t="inlineStr">
        <is>
          <t>Công Ty Cổ Phần Mỹ Phẩm Sài Gòn</t>
        </is>
      </c>
      <c r="E17781" t="inlineStr">
        <is>
          <t>Lương:Cạnh tranh</t>
        </is>
      </c>
      <c r="F17781" t="inlineStr">
        <is>
          <t>Hồ Chí Minh</t>
        </is>
      </c>
      <c r="G17781" t="inlineStr">
        <is>
          <t>03-04-2026</t>
        </is>
      </c>
      <c r="H17781" t="inlineStr">
        <is>
          <t>03/04/2026</t>
        </is>
      </c>
      <c r="I17781" t="inlineStr">
        <is>
          <t>17/03/2026</t>
        </is>
      </c>
      <c r="J17781" t="inlineStr">
        <is>
          <t>Sản xuất / Vận hành sản xuất, Vận chuyển / Giao nhận / Kho vận</t>
        </is>
      </c>
      <c r="K17781" t="inlineStr">
        <is>
          <t>2 - 3 Năm</t>
        </is>
      </c>
      <c r="L17781" s="8">
        <f>HYPERLINK("https://careerviet.vn/vi/tim-viec-lam/truong-nhom-logistic.35C673F2.html","Xem chi tiết")</f>
        <v/>
      </c>
    </row>
    <row r="17782">
      <c r="B17782" s="9" t="n">
        <v>17780</v>
      </c>
      <c r="C17782" s="10" t="inlineStr">
        <is>
          <t>[Hotel HN] Executive Chef</t>
        </is>
      </c>
      <c r="D17782" s="10" t="inlineStr">
        <is>
          <t>Công ty Cổ phần Tập đoàn Minh Anh</t>
        </is>
      </c>
      <c r="E17782" s="10" t="inlineStr">
        <is>
          <t>Lương:Cạnh tranh</t>
        </is>
      </c>
      <c r="F17782" s="10" t="inlineStr">
        <is>
          <t>Hà Nội</t>
        </is>
      </c>
      <c r="G17782" s="10" t="inlineStr">
        <is>
          <t>03-04-2026</t>
        </is>
      </c>
      <c r="H17782" s="10" t="inlineStr">
        <is>
          <t>03/04/2026</t>
        </is>
      </c>
      <c r="I17782" s="10" t="inlineStr">
        <is>
          <t>17/03/2026</t>
        </is>
      </c>
      <c r="J17782" s="10" t="inlineStr">
        <is>
          <t>Dịch vụ khách hàng, Nhà hàng / Khách sạn, Công nghệ thực phẩm / Dinh dưỡng</t>
        </is>
      </c>
      <c r="K17782" s="10" t="inlineStr">
        <is>
          <t>5 - 20 Năm</t>
        </is>
      </c>
      <c r="L17782" s="11">
        <f>HYPERLINK("https://careerviet.vn/vi/tim-viec-lam/hotel-hn-executive-chef.35C67369.html","Xem chi tiết")</f>
        <v/>
      </c>
      <c r="M17782" s="10" t="n"/>
    </row>
    <row r="17783">
      <c r="B17783" s="7" t="n">
        <v>17781</v>
      </c>
      <c r="C17783" t="inlineStr">
        <is>
          <t>Kỹ thuật Bảo trì Tòa nhà - Nhận việc ngay</t>
        </is>
      </c>
      <c r="D17783" t="inlineStr">
        <is>
          <t>Công ty TNHH Phát triển Phú Mỹ Hưng</t>
        </is>
      </c>
      <c r="E17783" t="inlineStr">
        <is>
          <t>Lương:8 Tr - 10 Tr VND</t>
        </is>
      </c>
      <c r="F17783" t="inlineStr">
        <is>
          <t>Hồ Chí Minh</t>
        </is>
      </c>
      <c r="G17783" t="inlineStr">
        <is>
          <t>03-04-2026</t>
        </is>
      </c>
      <c r="H17783" t="inlineStr">
        <is>
          <t>03/04/2026</t>
        </is>
      </c>
      <c r="I17783" t="inlineStr">
        <is>
          <t>17/03/2026</t>
        </is>
      </c>
      <c r="J17783" t="inlineStr">
        <is>
          <t>Điện / Điện tử / Điện lạnh / Điện công nghiệp, Bảo trì / Sửa chữa, Xây dựng</t>
        </is>
      </c>
      <c r="K17783" t="inlineStr">
        <is>
          <t>Lên đến 1 Năm</t>
        </is>
      </c>
      <c r="L17783" s="8">
        <f>HYPERLINK("https://careerviet.vn/vi/tim-viec-lam/ky-thuat-bao-tri-toa-nha-nhan-viec-ngay.35C67365.html","Xem chi tiết")</f>
        <v/>
      </c>
    </row>
    <row r="17784">
      <c r="B17784" s="9" t="n">
        <v>17782</v>
      </c>
      <c r="C17784" s="10" t="inlineStr">
        <is>
          <t>CHUYÊN VIÊN SỬA CHỮA BẢO DƯỠNG SÀ LAN</t>
        </is>
      </c>
      <c r="D17784" s="10" t="inlineStr">
        <is>
          <t>PTSC Offshore Services (POS)</t>
        </is>
      </c>
      <c r="E17784" s="10" t="inlineStr">
        <is>
          <t>Lương:Cạnh tranh</t>
        </is>
      </c>
      <c r="F17784" s="10" t="inlineStr">
        <is>
          <t>Bà Rịa - Vũng Tàu</t>
        </is>
      </c>
      <c r="G17784" s="10" t="inlineStr">
        <is>
          <t>03-04-2026</t>
        </is>
      </c>
      <c r="H17784" s="10" t="inlineStr">
        <is>
          <t>03/04/2026</t>
        </is>
      </c>
      <c r="I17784" s="10" t="inlineStr">
        <is>
          <t>17/03/2026</t>
        </is>
      </c>
      <c r="J17784" s="10" t="inlineStr">
        <is>
          <t>Cơ khí / Ô tô / Tự động hóa, Dầu khí, Bảo trì / Sửa chữa</t>
        </is>
      </c>
      <c r="K17784" s="10" t="inlineStr">
        <is>
          <t>3 Năm</t>
        </is>
      </c>
      <c r="L17784" s="11">
        <f>HYPERLINK("https://careerviet.vn/vi/tim-viec-lam/chuyen-vien-sua-chua-bao-duong-sa-lan.35C6731E.html","Xem chi tiết")</f>
        <v/>
      </c>
      <c r="M17784" s="10" t="n"/>
    </row>
    <row r="17785">
      <c r="B17785" s="7" t="n">
        <v>17783</v>
      </c>
      <c r="C17785" t="inlineStr">
        <is>
          <t>GIÁM ĐỐC KINH DOANH KÊNH GT - FMCG (SALES MANAGER)</t>
        </is>
      </c>
      <c r="D17785" t="inlineStr">
        <is>
          <t>Công Ty Cổ Phần Phúc Sinh</t>
        </is>
      </c>
      <c r="E17785" t="inlineStr">
        <is>
          <t>Lương:Cạnh tranh</t>
        </is>
      </c>
      <c r="F17785" t="inlineStr">
        <is>
          <t>Hồ Chí Minh</t>
        </is>
      </c>
      <c r="G17785" t="inlineStr">
        <is>
          <t>03-04-2026</t>
        </is>
      </c>
      <c r="H17785" t="inlineStr">
        <is>
          <t>03/04/2026</t>
        </is>
      </c>
      <c r="I17785" t="inlineStr">
        <is>
          <t>17/03/2026</t>
        </is>
      </c>
      <c r="J17785" t="inlineStr">
        <is>
          <t>Bán hàng / Kinh doanh, Bán lẻ / Bán sỉ, Thực phẩm &amp; Đồ uống</t>
        </is>
      </c>
      <c r="K17785" t="inlineStr">
        <is>
          <t>10 - 20 Năm</t>
        </is>
      </c>
      <c r="L17785" s="8">
        <f>HYPERLINK("https://careerviet.vn/vi/tim-viec-lam/giam-doc-kinh-doanh-kenh-gt-fmcg-sales-manager.35C67257.html","Xem chi tiết")</f>
        <v/>
      </c>
    </row>
    <row r="17786">
      <c r="B17786" s="9" t="n">
        <v>17784</v>
      </c>
      <c r="C17786" s="10" t="inlineStr">
        <is>
          <t>TRƯỞNG NHÓM MÔ PHỎNG ĐÚC KIM LOẠI &amp; THIẾT KẾ KHUÔN</t>
        </is>
      </c>
      <c r="D17786" s="10" t="inlineStr">
        <is>
          <t>HR Vietnam’s ESS Client</t>
        </is>
      </c>
      <c r="E17786" s="10" t="inlineStr">
        <is>
          <t>Lương:Cạnh tranh</t>
        </is>
      </c>
      <c r="F17786" s="10" t="inlineStr">
        <is>
          <t>Long An</t>
        </is>
      </c>
      <c r="G17786" s="10" t="inlineStr">
        <is>
          <t>03-04-2026</t>
        </is>
      </c>
      <c r="H17786" s="10" t="inlineStr">
        <is>
          <t>03/04/2026</t>
        </is>
      </c>
      <c r="I17786" s="10" t="inlineStr">
        <is>
          <t>17/03/2026</t>
        </is>
      </c>
      <c r="J17786" s="10" t="inlineStr">
        <is>
          <t>Khoáng sản, Sản xuất / Vận hành sản xuất, Bảo trì / Sửa chữa</t>
        </is>
      </c>
      <c r="K17786" s="10" t="inlineStr">
        <is>
          <t>Trên 5 Năm</t>
        </is>
      </c>
      <c r="L17786" s="11">
        <f>HYPERLINK("https://careerviet.vn/vi/tim-viec-lam/truong-nhom-mo-phong-duc-kim-loai-thiet-ke-khuon.35C6725A.html","Xem chi tiết")</f>
        <v/>
      </c>
      <c r="M17786" s="10" t="n"/>
    </row>
    <row r="17787">
      <c r="B17787" s="7" t="n">
        <v>17785</v>
      </c>
      <c r="C17787" t="inlineStr">
        <is>
          <t>Kế toán Tổng hợp</t>
        </is>
      </c>
      <c r="D17787" t="inlineStr">
        <is>
          <t>CÔNG TY TNHH HÀNG KHÔNG SƠN HẢI</t>
        </is>
      </c>
      <c r="E17787" t="inlineStr">
        <is>
          <t>Lương:14 Tr - 18 Tr VND</t>
        </is>
      </c>
      <c r="F17787" t="inlineStr">
        <is>
          <t>Hồ Chí Minh</t>
        </is>
      </c>
      <c r="G17787" t="inlineStr">
        <is>
          <t>03-04-2026</t>
        </is>
      </c>
      <c r="H17787" t="inlineStr">
        <is>
          <t>03/04/2026</t>
        </is>
      </c>
      <c r="I17787" t="inlineStr">
        <is>
          <t>17/03/2026</t>
        </is>
      </c>
      <c r="J17787" t="inlineStr">
        <is>
          <t>Kế toán / Kiểm toán</t>
        </is>
      </c>
      <c r="K17787" t="inlineStr">
        <is>
          <t>2 - 3 Năm</t>
        </is>
      </c>
      <c r="L17787" s="8">
        <f>HYPERLINK("https://careerviet.vn/vi/tim-viec-lam/ke-toan-tong-hop.35C6734D.html","Xem chi tiết")</f>
        <v/>
      </c>
    </row>
    <row r="17788">
      <c r="B17788" s="9" t="n">
        <v>17786</v>
      </c>
      <c r="C17788" s="10" t="inlineStr">
        <is>
          <t>Chuyên Viên Kiểm Toán Nội Bộ</t>
        </is>
      </c>
      <c r="D17788" s="10" t="inlineStr">
        <is>
          <t>Công ty CP IIG Việt Nam</t>
        </is>
      </c>
      <c r="E17788" s="10" t="inlineStr">
        <is>
          <t>Lương:18 Tr - 20 Tr VND</t>
        </is>
      </c>
      <c r="F17788" s="10" t="inlineStr">
        <is>
          <t>Hà Nội</t>
        </is>
      </c>
      <c r="G17788" s="10" t="inlineStr">
        <is>
          <t>03-04-2026</t>
        </is>
      </c>
      <c r="H17788" s="10" t="inlineStr">
        <is>
          <t>03/04/2026</t>
        </is>
      </c>
      <c r="I17788" s="10" t="inlineStr">
        <is>
          <t>17/03/2026</t>
        </is>
      </c>
      <c r="J17788" s="10" t="inlineStr">
        <is>
          <t>Giáo dục / Đào tạo, Kế toán / Kiểm toán, Tài chính / Đầu tư</t>
        </is>
      </c>
      <c r="K17788" s="10" t="inlineStr">
        <is>
          <t>3 - 5 Năm</t>
        </is>
      </c>
      <c r="L17788" s="11">
        <f>HYPERLINK("https://careerviet.vn/vi/tim-viec-lam/chuyen-vien-kiem-toan-noi-bo.35C672E2.html","Xem chi tiết")</f>
        <v/>
      </c>
      <c r="M17788" s="10" t="n"/>
    </row>
    <row r="17789">
      <c r="B17789" s="7" t="n">
        <v>17787</v>
      </c>
      <c r="C17789" t="inlineStr">
        <is>
          <t>Chuyên viên nguồn vốn</t>
        </is>
      </c>
      <c r="D17789" t="inlineStr">
        <is>
          <t>CÔNG TY TNHH QISDA VIỆT NAM</t>
        </is>
      </c>
      <c r="E17789" t="inlineStr">
        <is>
          <t>Lương:Cạnh tranh</t>
        </is>
      </c>
      <c r="F17789" t="inlineStr">
        <is>
          <t>Hà Nam</t>
        </is>
      </c>
      <c r="G17789" t="inlineStr">
        <is>
          <t>03-04-2026</t>
        </is>
      </c>
      <c r="H17789" t="inlineStr">
        <is>
          <t>03/04/2026</t>
        </is>
      </c>
      <c r="I17789" t="inlineStr">
        <is>
          <t>17/03/2026</t>
        </is>
      </c>
      <c r="J17789" t="inlineStr">
        <is>
          <t>Kế toán / Kiểm toán</t>
        </is>
      </c>
      <c r="K17789" t="inlineStr">
        <is>
          <t>2 - 3 Năm</t>
        </is>
      </c>
      <c r="L17789" s="8">
        <f>HYPERLINK("https://careerviet.vn/vi/tim-viec-lam/chuyen-vien-nguon-von.35C647B6.html","Xem chi tiết")</f>
        <v/>
      </c>
    </row>
    <row r="17790">
      <c r="B17790" s="9" t="n">
        <v>17788</v>
      </c>
      <c r="C17790" s="10" t="inlineStr">
        <is>
          <t>Nhân viên Tuyển dụng</t>
        </is>
      </c>
      <c r="D17790" s="10" t="inlineStr">
        <is>
          <t>CÔNG TY TNHH DỊCH VỤ THƯƠNG MẠI THIÊN HỒNG</t>
        </is>
      </c>
      <c r="E17790" s="10" t="inlineStr">
        <is>
          <t>Lương:Cạnh tranh</t>
        </is>
      </c>
      <c r="F17790" s="10" t="inlineStr">
        <is>
          <t>Bình Dương</t>
        </is>
      </c>
      <c r="G17790" s="10" t="inlineStr">
        <is>
          <t>03-04-2026</t>
        </is>
      </c>
      <c r="H17790" s="10" t="inlineStr">
        <is>
          <t>03/04/2026</t>
        </is>
      </c>
      <c r="I17790" s="10" t="inlineStr">
        <is>
          <t>17/03/2026</t>
        </is>
      </c>
      <c r="J17790" s="10" t="inlineStr">
        <is>
          <t>Nhân sự</t>
        </is>
      </c>
      <c r="K17790" s="10" t="inlineStr">
        <is>
          <t>2 - 3 Năm</t>
        </is>
      </c>
      <c r="L17790" s="11">
        <f>HYPERLINK("https://careerviet.vn/vi/tim-viec-lam/nhan-vien-tuyen-dung.35C672B6.html","Xem chi tiết")</f>
        <v/>
      </c>
      <c r="M17790" s="10" t="n"/>
    </row>
    <row r="17791">
      <c r="B17791" s="7" t="n">
        <v>17789</v>
      </c>
      <c r="C17791" t="inlineStr">
        <is>
          <t>Thủ kho Cơ điện</t>
        </is>
      </c>
      <c r="D17791" t="inlineStr">
        <is>
          <t>Công Ty Cổ Phần Trang</t>
        </is>
      </c>
      <c r="E17791" t="inlineStr">
        <is>
          <t>Lương:Cạnh tranh</t>
        </is>
      </c>
      <c r="F17791" t="inlineStr">
        <is>
          <t>Hồ Chí Minh</t>
        </is>
      </c>
      <c r="G17791" t="inlineStr">
        <is>
          <t>03-04-2026</t>
        </is>
      </c>
      <c r="H17791" t="inlineStr">
        <is>
          <t>03/04/2026</t>
        </is>
      </c>
      <c r="I17791" t="inlineStr">
        <is>
          <t>17/03/2026</t>
        </is>
      </c>
      <c r="J17791" t="inlineStr">
        <is>
          <t>Sản xuất / Vận hành sản xuất</t>
        </is>
      </c>
      <c r="K17791" t="inlineStr">
        <is>
          <t>1 - 2 Năm</t>
        </is>
      </c>
      <c r="L17791" s="8">
        <f>HYPERLINK("https://careerviet.vn/vi/tim-viec-lam/thu-kho-co-dien.35C64792.html","Xem chi tiết")</f>
        <v/>
      </c>
    </row>
    <row r="17792">
      <c r="B17792" s="9" t="n">
        <v>17790</v>
      </c>
      <c r="C17792" s="10" t="inlineStr">
        <is>
          <t>Nhân viên kế toán thuế</t>
        </is>
      </c>
      <c r="D17792" s="10" t="inlineStr">
        <is>
          <t>Công ty CP Thương mại Dịch vụ An Biên</t>
        </is>
      </c>
      <c r="E17792" s="10" t="inlineStr">
        <is>
          <t>Lương:17 Tr - 20 Tr VND</t>
        </is>
      </c>
      <c r="F17792" s="10" t="inlineStr">
        <is>
          <t>Hồ Chí Minh</t>
        </is>
      </c>
      <c r="G17792" s="10" t="inlineStr">
        <is>
          <t>03-04-2026</t>
        </is>
      </c>
      <c r="H17792" s="10" t="inlineStr">
        <is>
          <t>03/04/2026</t>
        </is>
      </c>
      <c r="I17792" s="10" t="inlineStr">
        <is>
          <t>17/03/2026</t>
        </is>
      </c>
      <c r="J17792" s="10" t="inlineStr">
        <is>
          <t>Kế toán / Kiểm toán, Ngân hàng, Tài chính / Đầu tư</t>
        </is>
      </c>
      <c r="K17792" s="10" t="inlineStr">
        <is>
          <t>3 - 5 Năm</t>
        </is>
      </c>
      <c r="L17792" s="11">
        <f>HYPERLINK("https://careerviet.vn/vi/tim-viec-lam/nhan-vien-ke-toan-thue.35C673C7.html","Xem chi tiết")</f>
        <v/>
      </c>
      <c r="M17792" s="10" t="n"/>
    </row>
    <row r="17793">
      <c r="B17793" s="7" t="n">
        <v>17791</v>
      </c>
      <c r="C17793" t="inlineStr">
        <is>
          <t>Technical &amp; Planning Manager</t>
        </is>
      </c>
      <c r="D17793" t="inlineStr">
        <is>
          <t>Công Ty CP Xây Dựng Số 1 (COFICO)</t>
        </is>
      </c>
      <c r="E17793" t="inlineStr">
        <is>
          <t>Lương:25 Tr - 30 Tr VND</t>
        </is>
      </c>
      <c r="F17793" t="inlineStr">
        <is>
          <t>Hồ Chí Minh</t>
        </is>
      </c>
      <c r="G17793" t="inlineStr">
        <is>
          <t>03-04-2026</t>
        </is>
      </c>
      <c r="H17793" t="inlineStr">
        <is>
          <t>03/04/2026</t>
        </is>
      </c>
      <c r="I17793" t="inlineStr">
        <is>
          <t>17/03/2026</t>
        </is>
      </c>
      <c r="J17793" t="inlineStr">
        <is>
          <t>Xây dựng</t>
        </is>
      </c>
      <c r="K17793" t="inlineStr">
        <is>
          <t>5 - 10 Năm</t>
        </is>
      </c>
      <c r="L17793" s="8">
        <f>HYPERLINK("https://careerviet.vn/vi/tim-viec-lam/technical-planning-manager.35C67400.html","Xem chi tiết")</f>
        <v/>
      </c>
    </row>
    <row r="17794">
      <c r="B17794" s="9" t="n">
        <v>17792</v>
      </c>
      <c r="C17794" s="10" t="inlineStr">
        <is>
          <t>Chuyên Viên Digital Marketing (Edtech)</t>
        </is>
      </c>
      <c r="D17794" s="10" t="inlineStr">
        <is>
          <t>Công ty CP IIG Việt Nam</t>
        </is>
      </c>
      <c r="E17794" s="10" t="inlineStr">
        <is>
          <t>Lương:25 Tr - 30 Tr VND</t>
        </is>
      </c>
      <c r="F17794" s="10" t="inlineStr">
        <is>
          <t>Hà Nội</t>
        </is>
      </c>
      <c r="G17794" s="10" t="inlineStr">
        <is>
          <t>03-04-2026</t>
        </is>
      </c>
      <c r="H17794" s="10" t="inlineStr">
        <is>
          <t>03/04/2026</t>
        </is>
      </c>
      <c r="I17794" s="10" t="inlineStr">
        <is>
          <t>17/03/2026</t>
        </is>
      </c>
      <c r="J17794" s="10" t="inlineStr">
        <is>
          <t>Bán hàng / Kinh doanh, Giáo dục / Đào tạo, Quảng cáo / Đối ngoại / Truyền Thông</t>
        </is>
      </c>
      <c r="K17794" s="10" t="inlineStr">
        <is>
          <t>2 - 5 Năm</t>
        </is>
      </c>
      <c r="L17794" s="11">
        <f>HYPERLINK("https://careerviet.vn/vi/tim-viec-lam/chuyen-vien-digital-marketing-edtech.35C672C9.html","Xem chi tiết")</f>
        <v/>
      </c>
      <c r="M17794" s="10" t="n"/>
    </row>
    <row r="17795">
      <c r="B17795" s="7" t="n">
        <v>17793</v>
      </c>
      <c r="C17795" t="inlineStr">
        <is>
          <t>PHÓ GIÁM ĐỐC NGHIỆP VỤ/QUẢN LÝ ĐƠN HÀNG (Ngành giày)</t>
        </is>
      </c>
      <c r="D17795" t="inlineStr">
        <is>
          <t>Công ty TNHH Giày Apache Việt Nam</t>
        </is>
      </c>
      <c r="E17795" t="inlineStr">
        <is>
          <t>Lương:60 Tr - 80 Tr VND</t>
        </is>
      </c>
      <c r="F17795" t="inlineStr">
        <is>
          <t>Tiền Giang</t>
        </is>
      </c>
      <c r="G17795" t="inlineStr">
        <is>
          <t>03-04-2026</t>
        </is>
      </c>
      <c r="H17795" t="inlineStr">
        <is>
          <t>03/04/2026</t>
        </is>
      </c>
      <c r="I17795" t="inlineStr">
        <is>
          <t>17/03/2026</t>
        </is>
      </c>
      <c r="J17795" t="inlineStr">
        <is>
          <t>Dệt may / Da giày / Thời trang</t>
        </is>
      </c>
      <c r="K17795" t="inlineStr">
        <is>
          <t>2 - 10 Năm</t>
        </is>
      </c>
      <c r="L17795" s="8">
        <f>HYPERLINK("https://careerviet.vn/vi/tim-viec-lam/pho-giam-doc-nghiep-vu-quan-ly-don-hang-nganh-giay.35C647A4.html","Xem chi tiết")</f>
        <v/>
      </c>
    </row>
    <row r="17796">
      <c r="B17796" s="9" t="n">
        <v>17794</v>
      </c>
      <c r="C17796" s="10" t="inlineStr">
        <is>
          <t>CVC/CVCC Tư vấn Tài chính Cá nhân - KV Nghệ An - TA 189</t>
        </is>
      </c>
      <c r="D17796" s="10" t="inlineStr">
        <is>
          <t>Ngân Hàng TMCP Việt Nam Thịnh Vượng - VPBANK</t>
        </is>
      </c>
      <c r="E17796" s="10" t="inlineStr">
        <is>
          <t>Lương:20 Tr - 30 Tr VND</t>
        </is>
      </c>
      <c r="F17796" s="10" t="inlineStr">
        <is>
          <t>Nghệ An</t>
        </is>
      </c>
      <c r="G17796" s="10" t="inlineStr">
        <is>
          <t>03-04-2026</t>
        </is>
      </c>
      <c r="H17796" s="10" t="inlineStr">
        <is>
          <t>03/04/2026</t>
        </is>
      </c>
      <c r="I17796" s="10" t="inlineStr">
        <is>
          <t>17/03/2026</t>
        </is>
      </c>
      <c r="J17796" s="10" t="inlineStr">
        <is>
          <t>Ngân hàng</t>
        </is>
      </c>
      <c r="K17796" s="10" t="inlineStr">
        <is>
          <t>Trên 2 Năm</t>
        </is>
      </c>
      <c r="L17796" s="11">
        <f>HYPERLINK("https://careerviet.vn/vi/tim-viec-lam/cvc-cvcc-tu-van-tai-chinh-ca-nhan-kv-nghe-an-ta-189.35C67380.html","Xem chi tiết")</f>
        <v/>
      </c>
      <c r="M17796" s="10" t="n"/>
    </row>
    <row r="17797">
      <c r="B17797" s="7" t="n">
        <v>17795</v>
      </c>
      <c r="C17797" t="inlineStr">
        <is>
          <t>ISO/ QMS Section Leader ( Trưởng bộ phận Iso)</t>
        </is>
      </c>
      <c r="D17797" t="inlineStr">
        <is>
          <t>Công ty TNHH Anam Electronics Việt Nam</t>
        </is>
      </c>
      <c r="E17797" t="inlineStr">
        <is>
          <t>Lương:Cạnh tranh</t>
        </is>
      </c>
      <c r="F17797" t="inlineStr">
        <is>
          <t>Hà Nam</t>
        </is>
      </c>
      <c r="G17797" t="inlineStr">
        <is>
          <t>03-04-2026</t>
        </is>
      </c>
      <c r="H17797" t="inlineStr">
        <is>
          <t>03/04/2026</t>
        </is>
      </c>
      <c r="I17797" t="inlineStr">
        <is>
          <t>17/03/2026</t>
        </is>
      </c>
      <c r="J17797" t="inlineStr">
        <is>
          <t>Dịch vụ khách hàng, Điện / Điện tử / Điện lạnh / Điện công nghiệp, Sản xuất / Vận hành sản xuất</t>
        </is>
      </c>
      <c r="K17797" t="inlineStr">
        <is>
          <t>5 - 10 Năm</t>
        </is>
      </c>
      <c r="L17797" s="8">
        <f>HYPERLINK("https://careerviet.vn/vi/tim-viec-lam/iso-qms-section-leader-truong-bo-phan-iso.35C672CC.html","Xem chi tiết")</f>
        <v/>
      </c>
    </row>
    <row r="17798">
      <c r="B17798" s="9" t="n">
        <v>17796</v>
      </c>
      <c r="C17798" s="10" t="inlineStr">
        <is>
          <t>Purchasing Executive</t>
        </is>
      </c>
      <c r="D17798" s="10" t="inlineStr">
        <is>
          <t>Savimex Corporation</t>
        </is>
      </c>
      <c r="E17798" s="10" t="inlineStr">
        <is>
          <t>Lương:Cạnh tranh</t>
        </is>
      </c>
      <c r="F17798" s="10" t="inlineStr">
        <is>
          <t>Hồ Chí Minh</t>
        </is>
      </c>
      <c r="G17798" s="10" t="inlineStr">
        <is>
          <t>03-04-2026</t>
        </is>
      </c>
      <c r="H17798" s="10" t="inlineStr">
        <is>
          <t>03/04/2026</t>
        </is>
      </c>
      <c r="I17798" s="10" t="inlineStr">
        <is>
          <t>17/03/2026</t>
        </is>
      </c>
      <c r="J17798" s="10" t="inlineStr">
        <is>
          <t>Đồ gỗ, Thu mua / Vật tư, Nội ngoại thất</t>
        </is>
      </c>
      <c r="K17798" s="10" t="inlineStr">
        <is>
          <t>Trên 2 Năm</t>
        </is>
      </c>
      <c r="L17798" s="11">
        <f>HYPERLINK("https://careerviet.vn/vi/tim-viec-lam/purchasing-executive.35C67270.html","Xem chi tiết")</f>
        <v/>
      </c>
      <c r="M17798" s="10" t="n"/>
    </row>
    <row r="17799">
      <c r="B17799" s="7" t="n">
        <v>17797</v>
      </c>
      <c r="C17799" t="inlineStr">
        <is>
          <t>Nhân Viên Chứng Từ Hải Quan</t>
        </is>
      </c>
      <c r="D17799" t="inlineStr">
        <is>
          <t>CÔNG TY CỔ PHẦN CARGO CARE LOGISTICS</t>
        </is>
      </c>
      <c r="E17799" t="inlineStr">
        <is>
          <t>Lương:Cạnh tranh</t>
        </is>
      </c>
      <c r="F17799" t="inlineStr">
        <is>
          <t>Hồ Chí Minh</t>
        </is>
      </c>
      <c r="G17799" t="inlineStr">
        <is>
          <t>03-04-2026</t>
        </is>
      </c>
      <c r="H17799" t="inlineStr">
        <is>
          <t>03/04/2026</t>
        </is>
      </c>
      <c r="I17799" t="inlineStr">
        <is>
          <t>17/03/2026</t>
        </is>
      </c>
      <c r="J17799" t="inlineStr">
        <is>
          <t>Hàng hải, Xuất nhập khẩu, Vận chuyển / Giao nhận / Kho vận</t>
        </is>
      </c>
      <c r="K17799" t="inlineStr">
        <is>
          <t>Trên 1 Năm</t>
        </is>
      </c>
      <c r="L17799" s="8">
        <f>HYPERLINK("https://careerviet.vn/vi/tim-viec-lam/nhan-vien-chung-tu-hai-quan.35C672F5.html","Xem chi tiết")</f>
        <v/>
      </c>
    </row>
    <row r="17800">
      <c r="B17800" s="9" t="n">
        <v>17798</v>
      </c>
      <c r="C17800" s="10" t="inlineStr">
        <is>
          <t>Trưởng Phòng Tuyển Dụng</t>
        </is>
      </c>
      <c r="D17800" s="10" t="inlineStr">
        <is>
          <t>Công ty TNHH Thiên Thủy Mộc</t>
        </is>
      </c>
      <c r="E17800" s="10" t="inlineStr">
        <is>
          <t>Lương:25 Tr - 35 Tr VND</t>
        </is>
      </c>
      <c r="F17800" s="10" t="inlineStr">
        <is>
          <t>Hà Nội</t>
        </is>
      </c>
      <c r="G17800" s="10" t="inlineStr">
        <is>
          <t>03-04-2026</t>
        </is>
      </c>
      <c r="H17800" s="10" t="inlineStr">
        <is>
          <t>03/04/2026</t>
        </is>
      </c>
      <c r="I17800" s="10" t="inlineStr">
        <is>
          <t>17/03/2026</t>
        </is>
      </c>
      <c r="J17800" s="10" t="inlineStr">
        <is>
          <t>Nhân sự</t>
        </is>
      </c>
      <c r="K17800" s="10" t="inlineStr">
        <is>
          <t>2 - 4 Năm</t>
        </is>
      </c>
      <c r="L17800" s="11">
        <f>HYPERLINK("https://careerviet.vn/vi/tim-viec-lam/truong-phong-tuyen-dung.35C64782.html","Xem chi tiết")</f>
        <v/>
      </c>
      <c r="M17800" s="10" t="n"/>
    </row>
    <row r="17801">
      <c r="B17801" s="7" t="n">
        <v>17799</v>
      </c>
      <c r="C17801" t="inlineStr">
        <is>
          <t>THIẾT KẾ KỸ THUẬT - CHI NHÁNH ĐÀ NẴNG</t>
        </is>
      </c>
      <c r="D17801" t="inlineStr">
        <is>
          <t>Công Ty TNHH SX Và TM Quân Đạt</t>
        </is>
      </c>
      <c r="E17801" t="inlineStr">
        <is>
          <t>Lương:Cạnh tranh</t>
        </is>
      </c>
      <c r="F17801" t="inlineStr">
        <is>
          <t>Đà Nẵng</t>
        </is>
      </c>
      <c r="G17801" t="inlineStr">
        <is>
          <t>03-04-2026</t>
        </is>
      </c>
      <c r="H17801" t="inlineStr">
        <is>
          <t>03/04/2026</t>
        </is>
      </c>
      <c r="I17801" t="inlineStr">
        <is>
          <t>17/03/2026</t>
        </is>
      </c>
      <c r="J17801" t="inlineStr">
        <is>
          <t>Cơ khí / Ô tô / Tự động hóa, Kiến trúc, Xây dựng</t>
        </is>
      </c>
      <c r="K17801" t="inlineStr">
        <is>
          <t>N/A</t>
        </is>
      </c>
      <c r="L17801" s="8">
        <f>HYPERLINK("https://careerviet.vn/vi/tim-viec-lam/thiet-ke-ky-thuat-chi-nhanh-da-nang.35C67281.html","Xem chi tiết")</f>
        <v/>
      </c>
    </row>
    <row r="17802">
      <c r="B17802" s="9" t="n">
        <v>17800</v>
      </c>
      <c r="C17802" s="10" t="inlineStr">
        <is>
          <t>Giáo viên mầm non (Quận 11)</t>
        </is>
      </c>
      <c r="D17802" s="10" t="inlineStr">
        <is>
          <t>TRƯỜNG QUỐC TẾ BLUE RIDGE / BLUE RIDGE INTERNATIONAL SCHOOL (BRIS)</t>
        </is>
      </c>
      <c r="E17802" s="10" t="inlineStr">
        <is>
          <t>Lương:7 Tr - 9 Tr VND</t>
        </is>
      </c>
      <c r="F17802" s="10" t="inlineStr">
        <is>
          <t>Hồ Chí Minh</t>
        </is>
      </c>
      <c r="G17802" s="10" t="inlineStr">
        <is>
          <t>03-04-2026</t>
        </is>
      </c>
      <c r="H17802" s="10" t="inlineStr">
        <is>
          <t>03/04/2026</t>
        </is>
      </c>
      <c r="I17802" s="10" t="inlineStr">
        <is>
          <t>17/03/2026</t>
        </is>
      </c>
      <c r="J17802" s="10" t="inlineStr">
        <is>
          <t>Giáo dục / Đào tạo</t>
        </is>
      </c>
      <c r="K17802" s="10" t="inlineStr">
        <is>
          <t>N/A</t>
        </is>
      </c>
      <c r="L17802" s="11">
        <f>HYPERLINK("https://careerviet.vn/vi/tim-viec-lam/giao-vien-mam-non-quan-11.35C67382.html","Xem chi tiết")</f>
        <v/>
      </c>
      <c r="M17802" s="10" t="n"/>
    </row>
    <row r="17803">
      <c r="B17803" s="7" t="n">
        <v>17801</v>
      </c>
      <c r="C17803" t="inlineStr">
        <is>
          <t>[Hotel HN] Spa Manager</t>
        </is>
      </c>
      <c r="D17803" t="inlineStr">
        <is>
          <t>Công ty Cổ phần Tập đoàn Minh Anh</t>
        </is>
      </c>
      <c r="E17803" t="inlineStr">
        <is>
          <t>Lương:Cạnh tranh</t>
        </is>
      </c>
      <c r="F17803" t="inlineStr">
        <is>
          <t>Hà Nội</t>
        </is>
      </c>
      <c r="G17803" t="inlineStr">
        <is>
          <t>03-04-2026</t>
        </is>
      </c>
      <c r="H17803" t="inlineStr">
        <is>
          <t>03/04/2026</t>
        </is>
      </c>
      <c r="I17803" t="inlineStr">
        <is>
          <t>17/03/2026</t>
        </is>
      </c>
      <c r="J17803" t="inlineStr">
        <is>
          <t>Y tế / Chăm sóc sức khỏe / Thẩm mỹ / Làm đẹp, Dịch vụ khách hàng, Nhà hàng / Khách sạn</t>
        </is>
      </c>
      <c r="K17803" t="inlineStr">
        <is>
          <t>2 - 5 Năm</t>
        </is>
      </c>
      <c r="L17803" s="8">
        <f>HYPERLINK("https://careerviet.vn/vi/tim-viec-lam/hotel-hn-spa-manager.35C673DE.html","Xem chi tiết")</f>
        <v/>
      </c>
    </row>
    <row r="17804">
      <c r="B17804" s="9" t="n">
        <v>17802</v>
      </c>
      <c r="C17804" s="10" t="inlineStr">
        <is>
          <t>Quản Lý Khách Hàng Sản Phẩm Thẻ</t>
        </is>
      </c>
      <c r="D17804" s="10" t="inlineStr">
        <is>
          <t>Ngân Hàng TMCP Quốc Tế Việt Nam</t>
        </is>
      </c>
      <c r="E17804" s="10" t="inlineStr">
        <is>
          <t>Lương:Cạnh tranh</t>
        </is>
      </c>
      <c r="F17804" s="10" t="inlineStr">
        <is>
          <t>Bà Rịa - Vũng TàuĐồng Nai</t>
        </is>
      </c>
      <c r="G17804" s="10" t="inlineStr">
        <is>
          <t>03-04-2026</t>
        </is>
      </c>
      <c r="H17804" s="10" t="inlineStr">
        <is>
          <t>03/04/2026</t>
        </is>
      </c>
      <c r="I17804" s="10" t="inlineStr">
        <is>
          <t>17/03/2026</t>
        </is>
      </c>
      <c r="J17804" s="10" t="inlineStr">
        <is>
          <t>Bán hàng / Kinh doanh, Ngân hàng, Tài chính / Đầu tư</t>
        </is>
      </c>
      <c r="K17804" s="10" t="inlineStr">
        <is>
          <t>1 - 5 Năm</t>
        </is>
      </c>
      <c r="L17804" s="11">
        <f>HYPERLINK("https://careerviet.vn/vi/tim-viec-lam/quan-ly-khach-hang-san-pham-the.35C673CD.html","Xem chi tiết")</f>
        <v/>
      </c>
      <c r="M17804" s="10" t="n"/>
    </row>
    <row r="17805">
      <c r="B17805" s="7" t="n">
        <v>17803</v>
      </c>
      <c r="C17805" t="inlineStr">
        <is>
          <t>[Hotel HN] Director of Sales and Marketing</t>
        </is>
      </c>
      <c r="D17805" t="inlineStr">
        <is>
          <t>Công ty Cổ phần Tập đoàn Minh Anh</t>
        </is>
      </c>
      <c r="E17805" t="inlineStr">
        <is>
          <t>Lương:Cạnh tranh</t>
        </is>
      </c>
      <c r="F17805" t="inlineStr">
        <is>
          <t>Hà Nội</t>
        </is>
      </c>
      <c r="G17805" t="inlineStr">
        <is>
          <t>03-04-2026</t>
        </is>
      </c>
      <c r="H17805" t="inlineStr">
        <is>
          <t>03/04/2026</t>
        </is>
      </c>
      <c r="I17805" t="inlineStr">
        <is>
          <t>17/03/2026</t>
        </is>
      </c>
      <c r="J17805" t="inlineStr">
        <is>
          <t>Bán hàng / Kinh doanh, Tiếp thị trực tuyến, Nhà hàng / Khách sạn</t>
        </is>
      </c>
      <c r="K17805" t="inlineStr">
        <is>
          <t>5 - 10 Năm</t>
        </is>
      </c>
      <c r="L17805" s="8">
        <f>HYPERLINK("https://careerviet.vn/vi/tim-viec-lam/hotel-hn-director-of-sales-and-marketing.35C672F3.html","Xem chi tiết")</f>
        <v/>
      </c>
    </row>
    <row r="17806">
      <c r="B17806" s="9" t="n">
        <v>17804</v>
      </c>
      <c r="C17806" s="10" t="inlineStr">
        <is>
          <t>Kế Toán Kho</t>
        </is>
      </c>
      <c r="D17806" s="10" t="inlineStr">
        <is>
          <t>CÔNG TY TNHH TASGO</t>
        </is>
      </c>
      <c r="E17806" s="10" t="inlineStr">
        <is>
          <t>Lương:Cạnh tranh</t>
        </is>
      </c>
      <c r="F17806" s="10" t="inlineStr">
        <is>
          <t>Hà Nội</t>
        </is>
      </c>
      <c r="G17806" s="10" t="inlineStr">
        <is>
          <t>03-04-2026</t>
        </is>
      </c>
      <c r="H17806" s="10" t="inlineStr">
        <is>
          <t>03/04/2026</t>
        </is>
      </c>
      <c r="I17806" s="10" t="inlineStr">
        <is>
          <t>17/03/2026</t>
        </is>
      </c>
      <c r="J17806" s="10" t="inlineStr">
        <is>
          <t>Hành chính / Thư ký, Kế toán / Kiểm toán, Tài chính / Đầu tư</t>
        </is>
      </c>
      <c r="K17806" s="10" t="inlineStr">
        <is>
          <t>Trên 1 Năm</t>
        </is>
      </c>
      <c r="L17806" s="11">
        <f>HYPERLINK("https://careerviet.vn/vi/tim-viec-lam/ke-toan-kho.35C6739E.html","Xem chi tiết")</f>
        <v/>
      </c>
      <c r="M17806" s="10" t="n"/>
    </row>
    <row r="17807">
      <c r="B17807" s="7" t="n">
        <v>17805</v>
      </c>
      <c r="C17807" t="inlineStr">
        <is>
          <t>Nhân Viên Kinh Doanh</t>
        </is>
      </c>
      <c r="D17807" t="inlineStr">
        <is>
          <t>Công Ty TNHH Maruei Vietnam Precision</t>
        </is>
      </c>
      <c r="E17807" t="inlineStr">
        <is>
          <t>Lương:Cạnh tranh</t>
        </is>
      </c>
      <c r="F17807" t="inlineStr">
        <is>
          <t>Bình Dương</t>
        </is>
      </c>
      <c r="G17807" t="inlineStr">
        <is>
          <t>03-04-2026</t>
        </is>
      </c>
      <c r="H17807" t="inlineStr">
        <is>
          <t>03/04/2026</t>
        </is>
      </c>
      <c r="I17807" t="inlineStr">
        <is>
          <t>17/03/2026</t>
        </is>
      </c>
      <c r="J17807" t="inlineStr">
        <is>
          <t>Bán lẻ / Bán sỉ, Bán Hàng Kỹ Thuật, Bán hàng / Kinh doanh</t>
        </is>
      </c>
      <c r="K17807" t="inlineStr">
        <is>
          <t>Không yêu cầu kinh nghiệmĐịa điểm</t>
        </is>
      </c>
      <c r="L17807" s="8">
        <f>HYPERLINK("https://careerviet.vn/vi/tim-viec-lam/nhan-vien-kinh-doanh.35C673D1.html","Xem chi tiết")</f>
        <v/>
      </c>
    </row>
    <row r="17808">
      <c r="B17808" s="9" t="n">
        <v>17806</v>
      </c>
      <c r="C17808" s="10" t="inlineStr">
        <is>
          <t>CHUYÊN VIÊN RẬP/KHUÔN ĐẾ (Ngành giày)</t>
        </is>
      </c>
      <c r="D17808" s="10" t="inlineStr">
        <is>
          <t>Công ty TNHH Giày Apache Việt Nam</t>
        </is>
      </c>
      <c r="E17808" s="10" t="inlineStr">
        <is>
          <t>Lương:Cạnh tranh</t>
        </is>
      </c>
      <c r="F17808" s="10" t="inlineStr">
        <is>
          <t>Tiền Giang</t>
        </is>
      </c>
      <c r="G17808" s="10" t="inlineStr">
        <is>
          <t>03-04-2026</t>
        </is>
      </c>
      <c r="H17808" s="10" t="inlineStr">
        <is>
          <t>03/04/2026</t>
        </is>
      </c>
      <c r="I17808" s="10" t="inlineStr">
        <is>
          <t>17/03/2026</t>
        </is>
      </c>
      <c r="J17808" s="10" t="inlineStr">
        <is>
          <t>Dệt may / Da giày / Thời trang</t>
        </is>
      </c>
      <c r="K17808" s="10" t="inlineStr">
        <is>
          <t>2 - 10 Năm</t>
        </is>
      </c>
      <c r="L17808" s="11">
        <f>HYPERLINK("https://careerviet.vn/vi/tim-viec-lam/chuyen-vien-rap-khuon-de-nganh-giay.35C647A6.html","Xem chi tiết")</f>
        <v/>
      </c>
      <c r="M17808" s="10" t="n"/>
    </row>
    <row r="17809">
      <c r="B17809" s="7" t="n">
        <v>17807</v>
      </c>
      <c r="C17809" t="inlineStr">
        <is>
          <t>CVC/CVCC Bán sản phẩm cho vay - KV Nam Định - TA 189</t>
        </is>
      </c>
      <c r="D17809" t="inlineStr">
        <is>
          <t>Ngân Hàng TMCP Việt Nam Thịnh Vượng - VPBANK</t>
        </is>
      </c>
      <c r="E17809" t="inlineStr">
        <is>
          <t>Lương:20 Tr - 30 Tr VND</t>
        </is>
      </c>
      <c r="F17809" t="inlineStr">
        <is>
          <t>Nam Định</t>
        </is>
      </c>
      <c r="G17809" t="inlineStr">
        <is>
          <t>03-04-2026</t>
        </is>
      </c>
      <c r="H17809" t="inlineStr">
        <is>
          <t>03/04/2026</t>
        </is>
      </c>
      <c r="I17809" t="inlineStr">
        <is>
          <t>17/03/2026</t>
        </is>
      </c>
      <c r="J17809" t="inlineStr">
        <is>
          <t>Ngân hàng</t>
        </is>
      </c>
      <c r="K17809" t="inlineStr">
        <is>
          <t>Trên 2 Năm</t>
        </is>
      </c>
      <c r="L17809" s="8">
        <f>HYPERLINK("https://careerviet.vn/vi/tim-viec-lam/cvc-cvcc-ban-san-pham-cho-vay-kv-nam-dinh-ta-189.35C6737D.html","Xem chi tiết")</f>
        <v/>
      </c>
    </row>
    <row r="17810">
      <c r="B17810" s="9" t="n">
        <v>17808</v>
      </c>
      <c r="C17810" s="10" t="inlineStr">
        <is>
          <t>CVC/CVCC Quan Hệ Khách Hàng Ưu Tiên - KV Thanh Hóa - TA189</t>
        </is>
      </c>
      <c r="D17810" s="10" t="inlineStr">
        <is>
          <t>Ngân Hàng TMCP Việt Nam Thịnh Vượng - VPBANK</t>
        </is>
      </c>
      <c r="E17810" s="10" t="inlineStr">
        <is>
          <t>Lương:20 Tr - 50 Tr VND</t>
        </is>
      </c>
      <c r="F17810" s="10" t="inlineStr">
        <is>
          <t>Thanh Hóa</t>
        </is>
      </c>
      <c r="G17810" s="10" t="inlineStr">
        <is>
          <t>03-04-2026</t>
        </is>
      </c>
      <c r="H17810" s="10" t="inlineStr">
        <is>
          <t>03/04/2026</t>
        </is>
      </c>
      <c r="I17810" s="10" t="inlineStr">
        <is>
          <t>17/03/2026</t>
        </is>
      </c>
      <c r="J17810" s="10" t="inlineStr">
        <is>
          <t>Ngân hàng, Dịch vụ khách hàng</t>
        </is>
      </c>
      <c r="K17810" s="10" t="inlineStr">
        <is>
          <t>Trên 2 Năm</t>
        </is>
      </c>
      <c r="L17810" s="11">
        <f>HYPERLINK("https://careerviet.vn/vi/tim-viec-lam/cvc-cvcc-quan-he-khach-hang-uu-tien-kv-thanh-hoa-ta189.35C6738D.html","Xem chi tiết")</f>
        <v/>
      </c>
      <c r="M17810" s="10" t="n"/>
    </row>
    <row r="17811">
      <c r="B17811" s="7" t="n">
        <v>17809</v>
      </c>
      <c r="C17811" t="inlineStr">
        <is>
          <t>Nhân Viên Kế Toán</t>
        </is>
      </c>
      <c r="D17811" t="inlineStr">
        <is>
          <t>Công Ty TNHH Maruei Vietnam Precision</t>
        </is>
      </c>
      <c r="E17811" t="inlineStr">
        <is>
          <t>Lương:Cạnh tranh</t>
        </is>
      </c>
      <c r="F17811" t="inlineStr">
        <is>
          <t>Bình Dương</t>
        </is>
      </c>
      <c r="G17811" t="inlineStr">
        <is>
          <t>03-04-2026</t>
        </is>
      </c>
      <c r="H17811" t="inlineStr">
        <is>
          <t>03/04/2026</t>
        </is>
      </c>
      <c r="I17811" t="inlineStr">
        <is>
          <t>17/03/2026</t>
        </is>
      </c>
      <c r="J17811" t="inlineStr">
        <is>
          <t>Kế toán / Kiểm toán, Tài chính / Đầu tư</t>
        </is>
      </c>
      <c r="K17811" t="inlineStr">
        <is>
          <t>Lên đến 1 NămĐịa điểm</t>
        </is>
      </c>
      <c r="L17811" s="8">
        <f>HYPERLINK("https://careerviet.vn/vi/tim-viec-lam/nhan-vien-ke-toan.35C673D4.html","Xem chi tiết")</f>
        <v/>
      </c>
    </row>
    <row r="17812">
      <c r="B17812" s="9" t="n">
        <v>17810</v>
      </c>
      <c r="C17812" s="10" t="inlineStr">
        <is>
          <t>Customs Staff (Import/Export)</t>
        </is>
      </c>
      <c r="D17812" s="10" t="inlineStr">
        <is>
          <t>Wanek Furniture</t>
        </is>
      </c>
      <c r="E17812" s="10" t="inlineStr">
        <is>
          <t>Lương:Cạnh tranh</t>
        </is>
      </c>
      <c r="F17812" s="10" t="inlineStr">
        <is>
          <t>Bình Dương</t>
        </is>
      </c>
      <c r="G17812" s="10" t="inlineStr">
        <is>
          <t>03-04-2026</t>
        </is>
      </c>
      <c r="H17812" s="10" t="inlineStr">
        <is>
          <t>03/04/2026</t>
        </is>
      </c>
      <c r="I17812" s="10" t="inlineStr">
        <is>
          <t>17/03/2026</t>
        </is>
      </c>
      <c r="J17812" s="10" t="inlineStr">
        <is>
          <t>Hàng hải, Xuất nhập khẩu, Sản xuất / Vận hành sản xuất</t>
        </is>
      </c>
      <c r="K17812" s="10" t="inlineStr">
        <is>
          <t>1 - 5 Năm</t>
        </is>
      </c>
      <c r="L17812" s="11">
        <f>HYPERLINK("https://careerviet.vn/vi/tim-viec-lam/customs-staff-import-export.35C67325.html","Xem chi tiết")</f>
        <v/>
      </c>
      <c r="M17812" s="10" t="n"/>
    </row>
    <row r="17813">
      <c r="B17813" s="7" t="n">
        <v>17811</v>
      </c>
      <c r="C17813" t="inlineStr">
        <is>
          <t>Trưởng ca kỹ thuật (Technician Duty Shift)</t>
        </is>
      </c>
      <c r="D17813" t="inlineStr">
        <is>
          <t>Savills Vietnam</t>
        </is>
      </c>
      <c r="E17813" t="inlineStr">
        <is>
          <t>Lương:Cạnh tranh</t>
        </is>
      </c>
      <c r="F17813" t="inlineStr">
        <is>
          <t>Hồ Chí Minh</t>
        </is>
      </c>
      <c r="G17813" t="inlineStr">
        <is>
          <t>03-04-2026</t>
        </is>
      </c>
      <c r="H17813" t="inlineStr">
        <is>
          <t>03/04/2026</t>
        </is>
      </c>
      <c r="I17813" t="inlineStr">
        <is>
          <t>17/03/2026</t>
        </is>
      </c>
      <c r="J17813" t="inlineStr">
        <is>
          <t>Cơ khí / Ô tô / Tự động hóa, Điện / Điện tử / Điện lạnh / Điện công nghiệp, Bảo trì / Sửa chữa</t>
        </is>
      </c>
      <c r="K17813" t="inlineStr">
        <is>
          <t>Chưa có kinh nghiệm</t>
        </is>
      </c>
      <c r="L17813" s="8">
        <f>HYPERLINK("https://careerviet.vn/vi/tim-viec-lam/truong-ca-ky-thuat-technician-duty-shift.35C66D8D.html","Xem chi tiết")</f>
        <v/>
      </c>
    </row>
    <row r="17814">
      <c r="B17814" s="9" t="n">
        <v>17812</v>
      </c>
      <c r="C17814" s="10" t="inlineStr">
        <is>
          <t>CVC/CVCC Quan Hệ Khách Hàng Ưu Tiên - KV Hà Tĩnh - TA189</t>
        </is>
      </c>
      <c r="D17814" s="10" t="inlineStr">
        <is>
          <t>Ngân Hàng TMCP Việt Nam Thịnh Vượng - VPBANK</t>
        </is>
      </c>
      <c r="E17814" s="10" t="inlineStr">
        <is>
          <t>Lương:20 Tr - 50 Tr VND</t>
        </is>
      </c>
      <c r="F17814" s="10" t="inlineStr">
        <is>
          <t>Hà Tĩnh</t>
        </is>
      </c>
      <c r="G17814" s="10" t="inlineStr">
        <is>
          <t>03-04-2026</t>
        </is>
      </c>
      <c r="H17814" s="10" t="inlineStr">
        <is>
          <t>03/04/2026</t>
        </is>
      </c>
      <c r="I17814" s="10" t="inlineStr">
        <is>
          <t>17/03/2026</t>
        </is>
      </c>
      <c r="J17814" s="10" t="inlineStr">
        <is>
          <t>Ngân hàng, Dịch vụ khách hàng</t>
        </is>
      </c>
      <c r="K17814" s="10" t="inlineStr">
        <is>
          <t>Trên 2 Năm</t>
        </is>
      </c>
      <c r="L17814" s="11">
        <f>HYPERLINK("https://careerviet.vn/vi/tim-viec-lam/cvc-cvcc-quan-he-khach-hang-uu-tien-kv-ha-tinh-ta189.35C6738C.html","Xem chi tiết")</f>
        <v/>
      </c>
      <c r="M17814" s="10" t="n"/>
    </row>
    <row r="17815">
      <c r="B17815" s="7" t="n">
        <v>17813</v>
      </c>
      <c r="C17815" t="inlineStr">
        <is>
          <t>Trưởng phòng kế hoạch sản xuất (tiếng Trung)</t>
        </is>
      </c>
      <c r="D17815" t="inlineStr">
        <is>
          <t>CÔNG TY TNHH QISDA VIỆT NAM</t>
        </is>
      </c>
      <c r="E17815" t="inlineStr">
        <is>
          <t>Lương:Cạnh tranh</t>
        </is>
      </c>
      <c r="F17815" t="inlineStr">
        <is>
          <t>Hà Nam</t>
        </is>
      </c>
      <c r="G17815" t="inlineStr">
        <is>
          <t>03-04-2026</t>
        </is>
      </c>
      <c r="H17815" t="inlineStr">
        <is>
          <t>03/04/2026</t>
        </is>
      </c>
      <c r="I17815" t="inlineStr">
        <is>
          <t>17/03/2026</t>
        </is>
      </c>
      <c r="J17815" t="inlineStr">
        <is>
          <t>Sản xuất / Vận hành sản xuất, Thu mua / Vật tư</t>
        </is>
      </c>
      <c r="K17815" t="inlineStr">
        <is>
          <t>3 - 5 Năm</t>
        </is>
      </c>
      <c r="L17815" s="8">
        <f>HYPERLINK("https://careerviet.vn/vi/tim-viec-lam/truong-phong-ke-hoach-san-xuat-tieng-trung.35C647D7.html","Xem chi tiết")</f>
        <v/>
      </c>
    </row>
    <row r="17816">
      <c r="B17816" s="9" t="n">
        <v>17814</v>
      </c>
      <c r="C17816" s="10" t="inlineStr">
        <is>
          <t>Trưởng phòng  Kế toán Thuế (Tax &amp; Accounting Leader)</t>
        </is>
      </c>
      <c r="D17816" s="10" t="inlineStr">
        <is>
          <t>Công Ty TNHH POSCO - Việt Nam</t>
        </is>
      </c>
      <c r="E17816" s="10" t="inlineStr">
        <is>
          <t>Lương:20 Tr - 25 Tr VND</t>
        </is>
      </c>
      <c r="F17816" s="10" t="inlineStr">
        <is>
          <t>Bà Rịa - Vũng Tàu</t>
        </is>
      </c>
      <c r="G17816" s="10" t="inlineStr">
        <is>
          <t>03-04-2026</t>
        </is>
      </c>
      <c r="H17816" s="10" t="inlineStr">
        <is>
          <t>03/04/2026</t>
        </is>
      </c>
      <c r="I17816" s="10" t="inlineStr">
        <is>
          <t>17/03/2026</t>
        </is>
      </c>
      <c r="J17816" s="10" t="inlineStr">
        <is>
          <t>Hành chính / Thư ký, Nhân sự, Kế toán / Kiểm toán</t>
        </is>
      </c>
      <c r="K17816" s="10" t="inlineStr">
        <is>
          <t>5 - 10 Năm</t>
        </is>
      </c>
      <c r="L17816" s="11">
        <f>HYPERLINK("https://careerviet.vn/vi/tim-viec-lam/truong-phong-ke-toan-thue-tax-accounting-leader.35C6732C.html","Xem chi tiết")</f>
        <v/>
      </c>
      <c r="M17816" s="10" t="n"/>
    </row>
    <row r="17817">
      <c r="B17817" s="7" t="n">
        <v>17815</v>
      </c>
      <c r="C17817" t="inlineStr">
        <is>
          <t>Nhân viên văn phòng sản xuất</t>
        </is>
      </c>
      <c r="D17817" t="inlineStr">
        <is>
          <t>Công ty TNHH Olam Việt Nam</t>
        </is>
      </c>
      <c r="E17817" t="inlineStr">
        <is>
          <t>Lương:Cạnh tranh</t>
        </is>
      </c>
      <c r="F17817" t="inlineStr">
        <is>
          <t>Đồng Nai</t>
        </is>
      </c>
      <c r="G17817" t="inlineStr">
        <is>
          <t>03-04-2026</t>
        </is>
      </c>
      <c r="H17817" t="inlineStr">
        <is>
          <t>03/04/2026</t>
        </is>
      </c>
      <c r="I17817" t="inlineStr">
        <is>
          <t>17/03/2026</t>
        </is>
      </c>
      <c r="J17817" t="inlineStr">
        <is>
          <t>Hành chính / Thư ký, Kế toán / Kiểm toán, Mới tốt nghiệp / Thực tập</t>
        </is>
      </c>
      <c r="K17817" t="inlineStr">
        <is>
          <t>N/A</t>
        </is>
      </c>
      <c r="L17817" s="8">
        <f>HYPERLINK("https://careerviet.vn/vi/tim-viec-lam/nhan-vien-van-phong-san-xuat.35C672A1.html","Xem chi tiết")</f>
        <v/>
      </c>
    </row>
    <row r="17818">
      <c r="B17818" s="9" t="n">
        <v>17816</v>
      </c>
      <c r="C17818" s="10" t="inlineStr">
        <is>
          <t>Nhân Viên Kiểm Tra Quá Trình (QC) - Không Yêu Cầu Kinh Nghiệm</t>
        </is>
      </c>
      <c r="D17818" s="10" t="inlineStr">
        <is>
          <t>Công Ty Cổ Phần Mỹ Phẩm Sài Gòn</t>
        </is>
      </c>
      <c r="E17818" s="10" t="inlineStr">
        <is>
          <t>Lương:7 Tr - 8 Tr VND</t>
        </is>
      </c>
      <c r="F17818" s="10" t="inlineStr">
        <is>
          <t>Hồ Chí Minh</t>
        </is>
      </c>
      <c r="G17818" s="10" t="inlineStr">
        <is>
          <t>03-04-2026</t>
        </is>
      </c>
      <c r="H17818" s="10" t="inlineStr">
        <is>
          <t>03/04/2026</t>
        </is>
      </c>
      <c r="I17818" s="10" t="inlineStr">
        <is>
          <t>17/03/2026</t>
        </is>
      </c>
      <c r="J17818" s="10" t="inlineStr">
        <is>
          <t>Dược phẩm/ Hóa Mỹ Phẩm, Hóa học, Mới tốt nghiệp / Thực tập</t>
        </is>
      </c>
      <c r="K17818" s="10" t="inlineStr">
        <is>
          <t>N/A</t>
        </is>
      </c>
      <c r="L17818" s="11">
        <f>HYPERLINK("https://careerviet.vn/vi/tim-viec-lam/nhan-vien-kiem-tra-qua-trinh-qc-khong-yeu-cau-kinh-nghiem.35C673F1.html","Xem chi tiết")</f>
        <v/>
      </c>
      <c r="M17818" s="10" t="n"/>
    </row>
    <row r="17819">
      <c r="B17819" s="7" t="n">
        <v>17817</v>
      </c>
      <c r="C17819" t="inlineStr">
        <is>
          <t>Chuyên viên Hệ thống &amp; Luật định (R&amp;D System &amp; Regulation Specialist)</t>
        </is>
      </c>
      <c r="D17819" t="inlineStr">
        <is>
          <t>Công ty CP Thành Thành Công - Biên Hòa</t>
        </is>
      </c>
      <c r="E17819" t="inlineStr">
        <is>
          <t>Lương:Cạnh tranh</t>
        </is>
      </c>
      <c r="F17819" t="inlineStr">
        <is>
          <t>Hồ Chí Minh</t>
        </is>
      </c>
      <c r="G17819" t="inlineStr">
        <is>
          <t>03-04-2026</t>
        </is>
      </c>
      <c r="H17819" t="inlineStr">
        <is>
          <t>03/04/2026</t>
        </is>
      </c>
      <c r="I17819" t="inlineStr">
        <is>
          <t>17/03/2026</t>
        </is>
      </c>
      <c r="J17819" t="inlineStr">
        <is>
          <t>Công nghệ thực phẩm / Dinh dưỡng, Công nghệ sinh học, Hóa học</t>
        </is>
      </c>
      <c r="K17819" t="inlineStr">
        <is>
          <t>2 - 3 Năm</t>
        </is>
      </c>
      <c r="L17819" s="8">
        <f>HYPERLINK("https://careerviet.vn/vi/tim-viec-lam/chuyen-vien-he-thong-luat-dinh-r-d-system-regulation-specialist.35C6724B.html","Xem chi tiết")</f>
        <v/>
      </c>
    </row>
    <row r="17820">
      <c r="B17820" s="9" t="n">
        <v>17818</v>
      </c>
      <c r="C17820" s="10" t="inlineStr">
        <is>
          <t>Nhân Viên Kinh Doanh (lương hấp dẫn)</t>
        </is>
      </c>
      <c r="D17820" s="10" t="inlineStr">
        <is>
          <t>CIG SCI-TECH COMPANY LIMITED</t>
        </is>
      </c>
      <c r="E17820" s="10" t="inlineStr">
        <is>
          <t>Lương:12 Tr - 20 Tr VND</t>
        </is>
      </c>
      <c r="F17820" s="10" t="inlineStr">
        <is>
          <t>Hà NộiHồ Chí Minh</t>
        </is>
      </c>
      <c r="G17820" s="10" t="inlineStr">
        <is>
          <t>03-04-2026</t>
        </is>
      </c>
      <c r="H17820" s="10" t="inlineStr">
        <is>
          <t>03/04/2026</t>
        </is>
      </c>
      <c r="I17820" s="10" t="inlineStr">
        <is>
          <t>17/03/2026</t>
        </is>
      </c>
      <c r="J17820" s="10" t="inlineStr">
        <is>
          <t>Bán hàng / Kinh doanh, Tư vấn, Biên phiên dịch</t>
        </is>
      </c>
      <c r="K17820" s="10" t="inlineStr">
        <is>
          <t>Trên 3 Năm</t>
        </is>
      </c>
      <c r="L17820" s="11">
        <f>HYPERLINK("https://careerviet.vn/vi/tim-viec-lam/nhan-vien-kinh-doanh-luong-hap-dan.35C6733A.html","Xem chi tiết")</f>
        <v/>
      </c>
      <c r="M17820" s="10" t="n"/>
    </row>
    <row r="17821">
      <c r="B17821" s="7" t="n">
        <v>17819</v>
      </c>
      <c r="C17821" t="inlineStr">
        <is>
          <t>TUYỂN HOST LIVESTREAM TẠI NHÀ</t>
        </is>
      </c>
      <c r="D17821" t="inlineStr">
        <is>
          <t>CÔNG TY CỔ PHẦN DƯỢC PHẨM REVO</t>
        </is>
      </c>
      <c r="E17821" t="inlineStr">
        <is>
          <t>Lương:15 Tr - 20 Tr VND</t>
        </is>
      </c>
      <c r="F17821" t="inlineStr">
        <is>
          <t>Hà Nội</t>
        </is>
      </c>
      <c r="G17821" t="inlineStr">
        <is>
          <t>03-04-2026</t>
        </is>
      </c>
      <c r="H17821" t="inlineStr">
        <is>
          <t>03/04/2026</t>
        </is>
      </c>
      <c r="I17821" t="inlineStr">
        <is>
          <t>17/03/2026</t>
        </is>
      </c>
      <c r="J17821" t="inlineStr">
        <is>
          <t>Tiếp thị / Marketing, Bán lẻ / Bán sỉ, Bán hàng / Kinh doanh</t>
        </is>
      </c>
      <c r="K17821" t="inlineStr">
        <is>
          <t>Trên 1 Năm</t>
        </is>
      </c>
      <c r="L17821" s="8">
        <f>HYPERLINK("https://careerviet.vn/vi/tim-viec-lam/tuyen-host-livestream-tai-nha.35C67347.html","Xem chi tiết")</f>
        <v/>
      </c>
    </row>
    <row r="17822">
      <c r="B17822" s="9" t="n">
        <v>17820</v>
      </c>
      <c r="C17822" s="10" t="inlineStr">
        <is>
          <t>CVC/CVCC Tư vấn Tài chính Cá nhân - KV Thanh Hóa - TA 189</t>
        </is>
      </c>
      <c r="D17822" s="10" t="inlineStr">
        <is>
          <t>Ngân Hàng TMCP Việt Nam Thịnh Vượng - VPBANK</t>
        </is>
      </c>
      <c r="E17822" s="10" t="inlineStr">
        <is>
          <t>Lương:20 Tr - 30 Tr VND</t>
        </is>
      </c>
      <c r="F17822" s="10" t="inlineStr">
        <is>
          <t>Thanh Hóa</t>
        </is>
      </c>
      <c r="G17822" s="10" t="inlineStr">
        <is>
          <t>03-04-2026</t>
        </is>
      </c>
      <c r="H17822" s="10" t="inlineStr">
        <is>
          <t>03/04/2026</t>
        </is>
      </c>
      <c r="I17822" s="10" t="inlineStr">
        <is>
          <t>17/03/2026</t>
        </is>
      </c>
      <c r="J17822" s="10" t="inlineStr">
        <is>
          <t>Ngân hàng</t>
        </is>
      </c>
      <c r="K17822" s="10" t="inlineStr">
        <is>
          <t>Trên 2 Năm</t>
        </is>
      </c>
      <c r="L17822" s="11">
        <f>HYPERLINK("https://careerviet.vn/vi/tim-viec-lam/cvc-cvcc-tu-van-tai-chinh-ca-nhan-kv-thanh-hoa-ta-189.35C67386.html","Xem chi tiết")</f>
        <v/>
      </c>
      <c r="M17822" s="10" t="n"/>
    </row>
    <row r="17823">
      <c r="B17823" s="7" t="n">
        <v>17821</v>
      </c>
      <c r="C17823" t="inlineStr">
        <is>
          <t>Raw Materials Buyer</t>
        </is>
      </c>
      <c r="D17823" t="inlineStr">
        <is>
          <t>Wanek Furniture</t>
        </is>
      </c>
      <c r="E17823" t="inlineStr">
        <is>
          <t>Lương:Cạnh tranh</t>
        </is>
      </c>
      <c r="F17823" t="inlineStr">
        <is>
          <t>Bình Dương</t>
        </is>
      </c>
      <c r="G17823" t="inlineStr">
        <is>
          <t>03-04-2026</t>
        </is>
      </c>
      <c r="H17823" t="inlineStr">
        <is>
          <t>03/04/2026</t>
        </is>
      </c>
      <c r="I17823" t="inlineStr">
        <is>
          <t>17/03/2026</t>
        </is>
      </c>
      <c r="J17823" t="inlineStr">
        <is>
          <t>Mỹ thuật / Nghệ thuật / Thiết kế, Sản xuất / Vận hành sản xuất, Nội ngoại thất</t>
        </is>
      </c>
      <c r="K17823" t="inlineStr">
        <is>
          <t>2 - 5 Năm</t>
        </is>
      </c>
      <c r="L17823" s="8">
        <f>HYPERLINK("https://careerviet.vn/vi/tim-viec-lam/raw-materials-buyer.35C672F7.html","Xem chi tiết")</f>
        <v/>
      </c>
    </row>
    <row r="17824">
      <c r="B17824" s="9" t="n">
        <v>17822</v>
      </c>
      <c r="C17824" s="10" t="inlineStr">
        <is>
          <t>Nhân viên vận hành trạm điện 110KV</t>
        </is>
      </c>
      <c r="D17824" s="10" t="inlineStr">
        <is>
          <t>Công Ty TNHH POSCO - Việt Nam</t>
        </is>
      </c>
      <c r="E17824" s="10" t="inlineStr">
        <is>
          <t>Lương:12 Tr - 15 Tr VND</t>
        </is>
      </c>
      <c r="F17824" s="10" t="inlineStr">
        <is>
          <t>Bà Rịa - Vũng Tàu</t>
        </is>
      </c>
      <c r="G17824" s="10" t="inlineStr">
        <is>
          <t>03-04-2026</t>
        </is>
      </c>
      <c r="H17824" s="10" t="inlineStr">
        <is>
          <t>03/04/2026</t>
        </is>
      </c>
      <c r="I17824" s="10" t="inlineStr">
        <is>
          <t>17/03/2026</t>
        </is>
      </c>
      <c r="J17824" s="10" t="inlineStr">
        <is>
          <t>Điện / Điện tử / Điện lạnh / Điện công nghiệp, Sản xuất / Vận hành sản xuất</t>
        </is>
      </c>
      <c r="K17824" s="10" t="inlineStr">
        <is>
          <t>1 - 3 Năm</t>
        </is>
      </c>
      <c r="L17824" s="11">
        <f>HYPERLINK("https://careerviet.vn/vi/tim-viec-lam/nhan-vien-van-hanh-tram-dien-110kv.35C6732F.html","Xem chi tiết")</f>
        <v/>
      </c>
      <c r="M17824" s="10" t="n"/>
    </row>
    <row r="17825">
      <c r="B17825" s="7" t="n">
        <v>17823</v>
      </c>
      <c r="C17825" t="inlineStr">
        <is>
          <t>CVC/CVCC Tư vấn Tài chính Cá nhân - KV Ninh Bình - TA 189</t>
        </is>
      </c>
      <c r="D17825" t="inlineStr">
        <is>
          <t>Ngân Hàng TMCP Việt Nam Thịnh Vượng - VPBANK</t>
        </is>
      </c>
      <c r="E17825" t="inlineStr">
        <is>
          <t>Lương:20 Tr - 30 Tr VND</t>
        </is>
      </c>
      <c r="F17825" t="inlineStr">
        <is>
          <t>Ninh Bình</t>
        </is>
      </c>
      <c r="G17825" t="inlineStr">
        <is>
          <t>03-04-2026</t>
        </is>
      </c>
      <c r="H17825" t="inlineStr">
        <is>
          <t>03/04/2026</t>
        </is>
      </c>
      <c r="I17825" t="inlineStr">
        <is>
          <t>17/03/2026</t>
        </is>
      </c>
      <c r="J17825" t="inlineStr">
        <is>
          <t>Ngân hàng</t>
        </is>
      </c>
      <c r="K17825" t="inlineStr">
        <is>
          <t>Trên 2 Năm</t>
        </is>
      </c>
      <c r="L17825" s="8">
        <f>HYPERLINK("https://careerviet.vn/vi/tim-viec-lam/cvc-cvcc-tu-van-tai-chinh-ca-nhan-kv-ninh-binh-ta-189.35C67384.html","Xem chi tiết")</f>
        <v/>
      </c>
    </row>
    <row r="17826">
      <c r="B17826" s="9" t="n">
        <v>17824</v>
      </c>
      <c r="C17826" s="10" t="inlineStr">
        <is>
          <t>Thư ký dự án xây dựng</t>
        </is>
      </c>
      <c r="D17826" s="10" t="inlineStr">
        <is>
          <t>Công Ty CP Xây Dựng Số 1 (COFICO)</t>
        </is>
      </c>
      <c r="E17826" s="10" t="inlineStr">
        <is>
          <t>Lương:10 Tr - 14 Tr VND</t>
        </is>
      </c>
      <c r="F17826" s="10" t="inlineStr">
        <is>
          <t>Bình Dương</t>
        </is>
      </c>
      <c r="G17826" s="10" t="inlineStr">
        <is>
          <t>03-04-2026</t>
        </is>
      </c>
      <c r="H17826" s="10" t="inlineStr">
        <is>
          <t>03/04/2026</t>
        </is>
      </c>
      <c r="I17826" s="10" t="inlineStr">
        <is>
          <t>17/03/2026</t>
        </is>
      </c>
      <c r="J17826" s="10" t="inlineStr">
        <is>
          <t>Xây dựng</t>
        </is>
      </c>
      <c r="K17826" s="10" t="inlineStr">
        <is>
          <t>2 - 5 Năm</t>
        </is>
      </c>
      <c r="L17826" s="11">
        <f>HYPERLINK("https://careerviet.vn/vi/tim-viec-lam/thu-ky-du-an-xay-dung.35C67330.html","Xem chi tiết")</f>
        <v/>
      </c>
      <c r="M17826" s="10" t="n"/>
    </row>
    <row r="17827">
      <c r="B17827" s="7" t="n">
        <v>17825</v>
      </c>
      <c r="C17827" t="inlineStr">
        <is>
          <t>[BSV]-[G1] _Chuyên Viên Tư Vấn Mạng Viettel - Được Đào Tạo Miễn Phí - Chấp Nhận Sinh Viên Chờ Bằng</t>
        </is>
      </c>
      <c r="D17827" t="inlineStr">
        <is>
          <t>BellSystem24-Việt Nam</t>
        </is>
      </c>
      <c r="E17827" t="inlineStr">
        <is>
          <t>Lương:8 Tr - 15 Tr VND</t>
        </is>
      </c>
      <c r="F17827" t="inlineStr">
        <is>
          <t>Hồ Chí Minh</t>
        </is>
      </c>
      <c r="G17827" t="inlineStr">
        <is>
          <t>03-04-2026</t>
        </is>
      </c>
      <c r="H17827" t="inlineStr">
        <is>
          <t>03/04/2026</t>
        </is>
      </c>
      <c r="I17827" t="inlineStr">
        <is>
          <t>17/03/2026</t>
        </is>
      </c>
      <c r="J17827" t="inlineStr">
        <is>
          <t>Bưu chính viễn thông, Dịch vụ khách hàng, Tư vấn</t>
        </is>
      </c>
      <c r="K17827" t="inlineStr">
        <is>
          <t>N/A</t>
        </is>
      </c>
      <c r="L17827" s="8">
        <f>HYPERLINK("https://careerviet.vn/vi/tim-viec-lam/bsv-g1-_chuyen-vien-tu-van-mang-viettel-duoc-dao-tao-mien-phi-chap-nhan-sinh-vien-cho-bang.35C673A0.html","Xem chi tiết")</f>
        <v/>
      </c>
    </row>
    <row r="17828">
      <c r="B17828" s="9" t="n">
        <v>17826</v>
      </c>
      <c r="C17828" s="10" t="inlineStr">
        <is>
          <t>Kỹ Sư Vận Hành Máy</t>
        </is>
      </c>
      <c r="D17828" s="10" t="inlineStr">
        <is>
          <t>CÔNG TY TNHH TÔN NAM KIM PHÚ MỸ</t>
        </is>
      </c>
      <c r="E17828" s="10" t="inlineStr">
        <is>
          <t>Lương:12 Tr - 15 Tr VND</t>
        </is>
      </c>
      <c r="F17828" s="10" t="inlineStr">
        <is>
          <t>Bà Rịa - Vũng Tàu</t>
        </is>
      </c>
      <c r="G17828" s="10" t="inlineStr">
        <is>
          <t>03-04-2026</t>
        </is>
      </c>
      <c r="H17828" s="10" t="inlineStr">
        <is>
          <t>03/04/2026</t>
        </is>
      </c>
      <c r="I17828" s="10" t="inlineStr">
        <is>
          <t>17/03/2026</t>
        </is>
      </c>
      <c r="J17828" s="10" t="inlineStr">
        <is>
          <t>Sản xuất / Vận hành sản xuất, Cơ khí / Ô tô / Tự động hóa, Điện / Điện tử / Điện lạnh / Điện công nghiệp</t>
        </is>
      </c>
      <c r="K17828" s="10" t="inlineStr">
        <is>
          <t>1 - 5 Năm</t>
        </is>
      </c>
      <c r="L17828" s="11">
        <f>HYPERLINK("https://careerviet.vn/vi/tim-viec-lam/ky-su-van-hanh-may.35C647D4.html","Xem chi tiết")</f>
        <v/>
      </c>
      <c r="M17828" s="10" t="n"/>
    </row>
    <row r="17829">
      <c r="B17829" s="7" t="n">
        <v>17827</v>
      </c>
      <c r="C17829" t="inlineStr">
        <is>
          <t>Sales Admin</t>
        </is>
      </c>
      <c r="D17829" t="inlineStr">
        <is>
          <t>Công Ty Cổ Phần Dịch Vụ Nhà Sạch</t>
        </is>
      </c>
      <c r="E17829" t="inlineStr">
        <is>
          <t>Lương:8 Tr - 10 Tr VND</t>
        </is>
      </c>
      <c r="F17829" t="inlineStr">
        <is>
          <t>Hồ Chí Minh</t>
        </is>
      </c>
      <c r="G17829" t="inlineStr">
        <is>
          <t>03-04-2026</t>
        </is>
      </c>
      <c r="H17829" t="inlineStr">
        <is>
          <t>03/04/2026</t>
        </is>
      </c>
      <c r="I17829" t="inlineStr">
        <is>
          <t>17/03/2026</t>
        </is>
      </c>
      <c r="J17829" t="inlineStr">
        <is>
          <t>Bán hàng / Kinh doanh, Hành chính / Thư ký</t>
        </is>
      </c>
      <c r="K17829" t="inlineStr">
        <is>
          <t>2 - 3 Năm</t>
        </is>
      </c>
      <c r="L17829" s="8">
        <f>HYPERLINK("https://careerviet.vn/vi/tim-viec-lam/sales-admin.35C6723D.html","Xem chi tiết")</f>
        <v/>
      </c>
    </row>
    <row r="17830">
      <c r="B17830" s="9" t="n">
        <v>17828</v>
      </c>
      <c r="C17830" s="10" t="inlineStr">
        <is>
          <t>Nhân Viên Văn Phòng</t>
        </is>
      </c>
      <c r="D17830" s="10" t="inlineStr">
        <is>
          <t>CÔNG TY TNHH DU LỊCH VÀ THƯƠNG MẠI HOÀNG TRÀ</t>
        </is>
      </c>
      <c r="E17830" s="10" t="inlineStr">
        <is>
          <t>Lương:Cạnh tranh</t>
        </is>
      </c>
      <c r="F17830" s="10" t="inlineStr">
        <is>
          <t>Kiên GiangHồ Chí Minh</t>
        </is>
      </c>
      <c r="G17830" s="10" t="inlineStr">
        <is>
          <t>03-04-2026</t>
        </is>
      </c>
      <c r="H17830" s="10" t="inlineStr">
        <is>
          <t>03/04/2026</t>
        </is>
      </c>
      <c r="I17830" s="10" t="inlineStr">
        <is>
          <t>17/03/2026</t>
        </is>
      </c>
      <c r="J17830" s="10" t="inlineStr">
        <is>
          <t>Bán hàng / Kinh doanh, Tư vấn, Du lịch</t>
        </is>
      </c>
      <c r="K17830" s="10" t="inlineStr">
        <is>
          <t>N/A</t>
        </is>
      </c>
      <c r="L17830" s="11">
        <f>HYPERLINK("https://careerviet.vn/vi/tim-viec-lam/nhan-vien-van-phong.35C672F0.html","Xem chi tiết")</f>
        <v/>
      </c>
      <c r="M17830" s="10" t="n"/>
    </row>
    <row r="17831">
      <c r="B17831" s="7" t="n">
        <v>17829</v>
      </c>
      <c r="C17831" t="inlineStr">
        <is>
          <t>Nhân Viên HSE ( Đi Công Trình )</t>
        </is>
      </c>
      <c r="D17831" t="inlineStr">
        <is>
          <t>Công Ty Cổ Phần Cơ Khí Xây Dựng Thương Mại Đại Dũng</t>
        </is>
      </c>
      <c r="E17831" t="inlineStr">
        <is>
          <t>Lương:Cạnh tranh</t>
        </is>
      </c>
      <c r="F17831" t="inlineStr">
        <is>
          <t>Hồ Chí Minh</t>
        </is>
      </c>
      <c r="G17831" t="inlineStr">
        <is>
          <t>03-04-2026</t>
        </is>
      </c>
      <c r="H17831" t="inlineStr">
        <is>
          <t>03/04/2026</t>
        </is>
      </c>
      <c r="I17831" t="inlineStr">
        <is>
          <t>17/03/2026</t>
        </is>
      </c>
      <c r="J17831" t="inlineStr">
        <is>
          <t>An toàn lao động, Xây dựng</t>
        </is>
      </c>
      <c r="K17831" t="inlineStr">
        <is>
          <t>1 - 2 Năm</t>
        </is>
      </c>
      <c r="L17831" s="8">
        <f>HYPERLINK("https://careerviet.vn/vi/tim-viec-lam/nhan-vien-hse-di-cong-trinh.35C6729C.html","Xem chi tiết")</f>
        <v/>
      </c>
    </row>
    <row r="17832">
      <c r="B17832" s="9" t="n">
        <v>17830</v>
      </c>
      <c r="C17832" s="10" t="inlineStr">
        <is>
          <t>Kỹ sư  Cơ khí (Mechanical Engineering)</t>
        </is>
      </c>
      <c r="D17832" s="10" t="inlineStr">
        <is>
          <t>Công Ty TNHH POSCO - Việt Nam</t>
        </is>
      </c>
      <c r="E17832" s="10" t="inlineStr">
        <is>
          <t>Lương:13 Tr - 20 Tr VND</t>
        </is>
      </c>
      <c r="F17832" s="10" t="inlineStr">
        <is>
          <t>Bà Rịa - Vũng Tàu</t>
        </is>
      </c>
      <c r="G17832" s="10" t="inlineStr">
        <is>
          <t>03-04-2026</t>
        </is>
      </c>
      <c r="H17832" s="10" t="inlineStr">
        <is>
          <t>03/04/2026</t>
        </is>
      </c>
      <c r="I17832" s="10" t="inlineStr">
        <is>
          <t>17/03/2026</t>
        </is>
      </c>
      <c r="J17832" s="10" t="inlineStr">
        <is>
          <t>Cơ khí / Ô tô / Tự động hóa</t>
        </is>
      </c>
      <c r="K17832" s="10" t="inlineStr">
        <is>
          <t>1 - 3 Năm</t>
        </is>
      </c>
      <c r="L17832" s="11">
        <f>HYPERLINK("https://careerviet.vn/vi/tim-viec-lam/ky-su-co-khi-mechanical-engineering.35C67370.html","Xem chi tiết")</f>
        <v/>
      </c>
      <c r="M17832" s="10" t="n"/>
    </row>
    <row r="17833">
      <c r="B17833" s="7" t="n">
        <v>17831</v>
      </c>
      <c r="C17833" t="inlineStr">
        <is>
          <t>Kỹ thuật viên PE</t>
        </is>
      </c>
      <c r="D17833" t="inlineStr">
        <is>
          <t>CÔNG TY TNHH QISDA VIỆT NAM</t>
        </is>
      </c>
      <c r="E17833" t="inlineStr">
        <is>
          <t>Lương:10 Tr - 18 Tr VND</t>
        </is>
      </c>
      <c r="F17833" t="inlineStr">
        <is>
          <t>Hà Nam</t>
        </is>
      </c>
      <c r="G17833" t="inlineStr">
        <is>
          <t>03-04-2026</t>
        </is>
      </c>
      <c r="H17833" t="inlineStr">
        <is>
          <t>03/04/2026</t>
        </is>
      </c>
      <c r="I17833" t="inlineStr">
        <is>
          <t>17/03/2026</t>
        </is>
      </c>
      <c r="J17833" t="inlineStr">
        <is>
          <t>Điện / Điện tử / Điện lạnh / Điện công nghiệp</t>
        </is>
      </c>
      <c r="K17833" t="inlineStr">
        <is>
          <t>1 - 2 Năm</t>
        </is>
      </c>
      <c r="L17833" s="8">
        <f>HYPERLINK("https://careerviet.vn/vi/tim-viec-lam/ky-thuat-vien-pe.35C647BA.html","Xem chi tiết")</f>
        <v/>
      </c>
    </row>
    <row r="17834">
      <c r="B17834" s="9" t="n">
        <v>17832</v>
      </c>
      <c r="C17834" s="10" t="inlineStr">
        <is>
          <t>Technician Staff_ Nhân viên thiết kế nội thất</t>
        </is>
      </c>
      <c r="D17834" s="10" t="inlineStr">
        <is>
          <t>H. Nicholas &amp; Co Joint Stock Company</t>
        </is>
      </c>
      <c r="E17834" s="10" t="inlineStr">
        <is>
          <t>Lương:14 Tr - 25 Tr VND</t>
        </is>
      </c>
      <c r="F17834" s="10" t="inlineStr">
        <is>
          <t>Bình Dương</t>
        </is>
      </c>
      <c r="G17834" s="10" t="inlineStr">
        <is>
          <t>03-04-2026</t>
        </is>
      </c>
      <c r="H17834" s="10" t="inlineStr">
        <is>
          <t>03/04/2026</t>
        </is>
      </c>
      <c r="I17834" s="10" t="inlineStr">
        <is>
          <t>17/03/2026</t>
        </is>
      </c>
      <c r="J17834" s="10" t="inlineStr">
        <is>
          <t>Mỹ thuật / Nghệ thuật / Thiết kế, Đồ gỗ</t>
        </is>
      </c>
      <c r="K17834" s="10" t="inlineStr">
        <is>
          <t>2 - 5 Năm</t>
        </is>
      </c>
      <c r="L17834" s="11">
        <f>HYPERLINK("https://careerviet.vn/vi/tim-viec-lam/technician-staff_-nhan-vien-thiet-ke-noi-that.35C64769.html","Xem chi tiết")</f>
        <v/>
      </c>
      <c r="M17834" s="10" t="n"/>
    </row>
    <row r="17835">
      <c r="B17835" s="7" t="n">
        <v>17833</v>
      </c>
      <c r="C17835" t="inlineStr">
        <is>
          <t>Chuyên viên IT support</t>
        </is>
      </c>
      <c r="D17835" t="inlineStr">
        <is>
          <t>Công ty TNHH Anam Electronics Việt Nam</t>
        </is>
      </c>
      <c r="E17835" t="inlineStr">
        <is>
          <t>Lương:Cạnh tranh</t>
        </is>
      </c>
      <c r="F17835" t="inlineStr">
        <is>
          <t>Hà Nam</t>
        </is>
      </c>
      <c r="G17835" t="inlineStr">
        <is>
          <t>03-04-2026</t>
        </is>
      </c>
      <c r="H17835" t="inlineStr">
        <is>
          <t>03/04/2026</t>
        </is>
      </c>
      <c r="I17835" t="inlineStr">
        <is>
          <t>17/03/2026</t>
        </is>
      </c>
      <c r="J17835" t="inlineStr">
        <is>
          <t>CNTT - Phần mềm, CNTT - Phần cứng / Mạng</t>
        </is>
      </c>
      <c r="K17835" t="inlineStr">
        <is>
          <t>3 - 7 Năm</t>
        </is>
      </c>
      <c r="L17835" s="8">
        <f>HYPERLINK("https://careerviet.vn/vi/tim-viec-lam/chuyen-vien-it-support.35C6730C.html","Xem chi tiết")</f>
        <v/>
      </c>
    </row>
    <row r="17836">
      <c r="B17836" s="9" t="n">
        <v>17834</v>
      </c>
      <c r="C17836" s="10" t="inlineStr">
        <is>
          <t>Sale Admin - Attractive salary</t>
        </is>
      </c>
      <c r="D17836" s="10" t="inlineStr">
        <is>
          <t>CÔNG TY CỔ PHẦN ĐIỆN TỬ  SOJI</t>
        </is>
      </c>
      <c r="E17836" s="10" t="inlineStr">
        <is>
          <t>Lương:10 Tr - 25 Tr VND</t>
        </is>
      </c>
      <c r="F17836" s="10" t="inlineStr">
        <is>
          <t>Hà Nội</t>
        </is>
      </c>
      <c r="G17836" s="10" t="inlineStr">
        <is>
          <t>03-04-2026</t>
        </is>
      </c>
      <c r="H17836" s="10" t="inlineStr">
        <is>
          <t>03/04/2026</t>
        </is>
      </c>
      <c r="I17836" s="10" t="inlineStr">
        <is>
          <t>17/03/2026</t>
        </is>
      </c>
      <c r="J17836" s="10" t="inlineStr">
        <is>
          <t>Dịch vụ khách hàng, Vận chuyển / Giao nhận / Kho vận, Xuất nhập khẩu</t>
        </is>
      </c>
      <c r="K17836" s="10" t="inlineStr">
        <is>
          <t>Trên 3 Năm</t>
        </is>
      </c>
      <c r="L17836" s="11">
        <f>HYPERLINK("https://careerviet.vn/vi/tim-viec-lam/sale-admin-attractive-salary.35C672E5.html","Xem chi tiết")</f>
        <v/>
      </c>
      <c r="M17836" s="10" t="n"/>
    </row>
    <row r="17837">
      <c r="B17837" s="7" t="n">
        <v>17835</v>
      </c>
      <c r="C17837" t="inlineStr">
        <is>
          <t>[QUẬN 5] CHUYÊN VIÊN DỊCH VỤ KHÁCH HÀNG CÁ NHÂN - RETAIL CUSTOMER SERVICE</t>
        </is>
      </c>
      <c r="D17837" t="inlineStr">
        <is>
          <t>Shinhan Bank Vietnam</t>
        </is>
      </c>
      <c r="E17837" t="inlineStr">
        <is>
          <t>Lương:Cạnh tranh</t>
        </is>
      </c>
      <c r="F17837" t="inlineStr">
        <is>
          <t>Hồ Chí Minh</t>
        </is>
      </c>
      <c r="G17837" t="inlineStr">
        <is>
          <t>03-04-2026</t>
        </is>
      </c>
      <c r="H17837" t="inlineStr">
        <is>
          <t>03/04/2026</t>
        </is>
      </c>
      <c r="I17837" t="inlineStr">
        <is>
          <t>17/03/2026</t>
        </is>
      </c>
      <c r="J17837" t="inlineStr">
        <is>
          <t>Ngân hàng, Dịch vụ khách hàng</t>
        </is>
      </c>
      <c r="K17837" t="inlineStr">
        <is>
          <t>Trên 1 Năm</t>
        </is>
      </c>
      <c r="L17837" s="8">
        <f>HYPERLINK("https://careerviet.vn/vi/tim-viec-lam/quan-5-chuyen-vien-dich-vu-khach-hang-ca-nhan-retail-customer-service.35C67293.html","Xem chi tiết")</f>
        <v/>
      </c>
    </row>
    <row r="17838">
      <c r="B17838" s="9" t="n">
        <v>17836</v>
      </c>
      <c r="C17838" s="10" t="inlineStr">
        <is>
          <t>QC Executive - Nhà máy Bến Cát Bình Dương</t>
        </is>
      </c>
      <c r="D17838" s="10" t="inlineStr">
        <is>
          <t>Công Ty TNHH SX Và TM Quân Đạt</t>
        </is>
      </c>
      <c r="E17838" s="10" t="inlineStr">
        <is>
          <t>Lương:Cạnh tranh</t>
        </is>
      </c>
      <c r="F17838" s="10" t="inlineStr">
        <is>
          <t>Bình Dương</t>
        </is>
      </c>
      <c r="G17838" s="10" t="inlineStr">
        <is>
          <t>03-04-2026</t>
        </is>
      </c>
      <c r="H17838" s="10" t="inlineStr">
        <is>
          <t>03/04/2026</t>
        </is>
      </c>
      <c r="I17838" s="10" t="inlineStr">
        <is>
          <t>17/03/2026</t>
        </is>
      </c>
      <c r="J17838" s="10" t="inlineStr">
        <is>
          <t>Quản lý chất lượng (QA/QC), Cơ khí / Ô tô / Tự động hóa, Sản xuất / Vận hành sản xuất</t>
        </is>
      </c>
      <c r="K17838" s="10" t="inlineStr">
        <is>
          <t>N/A</t>
        </is>
      </c>
      <c r="L17838" s="11">
        <f>HYPERLINK("https://careerviet.vn/vi/tim-viec-lam/qc-executive-nha-may-ben-cat-binh-duong.35C67286.html","Xem chi tiết")</f>
        <v/>
      </c>
      <c r="M17838" s="10" t="n"/>
    </row>
    <row r="17839">
      <c r="B17839" s="7" t="n">
        <v>17837</v>
      </c>
      <c r="C17839" t="inlineStr">
        <is>
          <t>NHÂN VIÊN LIVESTREAM  (Part-time)</t>
        </is>
      </c>
      <c r="D17839" t="inlineStr">
        <is>
          <t>CÔNG TY TNHH DƯỢC PHẨM ĐẠI PHÚ AN</t>
        </is>
      </c>
      <c r="E17839" t="inlineStr">
        <is>
          <t>Lương:4 Tr - 8 Tr VND</t>
        </is>
      </c>
      <c r="F17839" t="inlineStr">
        <is>
          <t>Hồ Chí Minh</t>
        </is>
      </c>
      <c r="G17839" t="inlineStr">
        <is>
          <t>03-04-2026</t>
        </is>
      </c>
      <c r="H17839" t="inlineStr">
        <is>
          <t>03/04/2026</t>
        </is>
      </c>
      <c r="I17839" t="inlineStr">
        <is>
          <t>17/03/2026</t>
        </is>
      </c>
      <c r="J17839" t="inlineStr">
        <is>
          <t>Tiếp thị / Marketing, Dược phẩm/ Hóa Mỹ Phẩm, Y tế / Chăm sóc sức khỏe / Thẩm mỹ / Làm đẹp</t>
        </is>
      </c>
      <c r="K17839" t="inlineStr">
        <is>
          <t>N/A</t>
        </is>
      </c>
      <c r="L17839" s="8">
        <f>HYPERLINK("https://careerviet.vn/vi/tim-viec-lam/nhan-vien-livestream-part-time.35C672AC.html","Xem chi tiết")</f>
        <v/>
      </c>
    </row>
    <row r="17840">
      <c r="B17840" s="9" t="n">
        <v>17838</v>
      </c>
      <c r="C17840" s="10" t="inlineStr">
        <is>
          <t>Nhân Viên Kho</t>
        </is>
      </c>
      <c r="D17840" s="10" t="inlineStr">
        <is>
          <t>LIXIL Global Manufacturing Vietnam</t>
        </is>
      </c>
      <c r="E17840" s="10" t="inlineStr">
        <is>
          <t>Lương:Cạnh tranh</t>
        </is>
      </c>
      <c r="F17840" s="10" t="inlineStr">
        <is>
          <t>Đồng Nai</t>
        </is>
      </c>
      <c r="G17840" s="10" t="inlineStr">
        <is>
          <t>03-04-2026</t>
        </is>
      </c>
      <c r="H17840" s="10" t="inlineStr">
        <is>
          <t>03/04/2026</t>
        </is>
      </c>
      <c r="I17840" s="10" t="inlineStr">
        <is>
          <t>17/03/2026</t>
        </is>
      </c>
      <c r="J17840" s="10" t="inlineStr">
        <is>
          <t>Sản xuất / Vận hành sản xuất</t>
        </is>
      </c>
      <c r="K17840" s="10" t="inlineStr">
        <is>
          <t>1 - 2 Năm</t>
        </is>
      </c>
      <c r="L17840" s="11">
        <f>HYPERLINK("https://careerviet.vn/vi/tim-viec-lam/nhan-vien-kho.35C6737E.html","Xem chi tiết")</f>
        <v/>
      </c>
      <c r="M17840" s="10" t="n"/>
    </row>
    <row r="17841">
      <c r="B17841" s="7" t="n">
        <v>17839</v>
      </c>
      <c r="C17841" t="inlineStr">
        <is>
          <t>kỹ thuật viên IQC (tiếng Trung giao tiếp)</t>
        </is>
      </c>
      <c r="D17841" t="inlineStr">
        <is>
          <t>CÔNG TY TNHH QISDA VIỆT NAM</t>
        </is>
      </c>
      <c r="E17841" t="inlineStr">
        <is>
          <t>Lương:10 Tr - 18 Tr VND</t>
        </is>
      </c>
      <c r="F17841" t="inlineStr">
        <is>
          <t>Hà Nam</t>
        </is>
      </c>
      <c r="G17841" t="inlineStr">
        <is>
          <t>03-04-2026</t>
        </is>
      </c>
      <c r="H17841" t="inlineStr">
        <is>
          <t>03/04/2026</t>
        </is>
      </c>
      <c r="I17841" t="inlineStr">
        <is>
          <t>17/03/2026</t>
        </is>
      </c>
      <c r="J17841" t="inlineStr">
        <is>
          <t>Quản lý chất lượng (QA/QC)</t>
        </is>
      </c>
      <c r="K17841" t="inlineStr">
        <is>
          <t>1 - 2 Năm</t>
        </is>
      </c>
      <c r="L17841" s="8">
        <f>HYPERLINK("https://careerviet.vn/vi/tim-viec-lam/ky-thuat-vien-iqc-tieng-trung-giao-tiep.35C647D0.html","Xem chi tiết")</f>
        <v/>
      </c>
    </row>
    <row r="17842">
      <c r="B17842" s="9" t="n">
        <v>17840</v>
      </c>
      <c r="C17842" s="10" t="inlineStr">
        <is>
          <t>Nhân Viên Kế Toán</t>
        </is>
      </c>
      <c r="D17842" s="10" t="inlineStr">
        <is>
          <t>Công Ty TNHH INOAC Viet Nam</t>
        </is>
      </c>
      <c r="E17842" s="10" t="inlineStr">
        <is>
          <t>Lương:Cạnh tranh</t>
        </is>
      </c>
      <c r="F17842" s="10" t="inlineStr">
        <is>
          <t>Hà Nội</t>
        </is>
      </c>
      <c r="G17842" s="10" t="inlineStr">
        <is>
          <t>03-04-2026</t>
        </is>
      </c>
      <c r="H17842" s="10" t="inlineStr">
        <is>
          <t>03/04/2026</t>
        </is>
      </c>
      <c r="I17842" s="10" t="inlineStr">
        <is>
          <t>17/03/2026</t>
        </is>
      </c>
      <c r="J17842" s="10" t="inlineStr">
        <is>
          <t>Kế toán / Kiểm toán, Tài chính / Đầu tư, Sản xuất / Vận hành sản xuất</t>
        </is>
      </c>
      <c r="K17842" s="10" t="inlineStr">
        <is>
          <t>1 - 5 Năm</t>
        </is>
      </c>
      <c r="L17842" s="11">
        <f>HYPERLINK("https://careerviet.vn/vi/tim-viec-lam/nhan-vien-ke-toan.35C67275.html","Xem chi tiết")</f>
        <v/>
      </c>
      <c r="M17842" s="10" t="n"/>
    </row>
    <row r="17843">
      <c r="B17843" s="7" t="n">
        <v>17841</v>
      </c>
      <c r="C17843" t="inlineStr">
        <is>
          <t>Quản lý kinh doanh kênh ETC - Khu vực  (Hải Phòng, Quảng Ninh, Bắc Ninh, Lạng Sơn)</t>
        </is>
      </c>
      <c r="D17843" t="inlineStr">
        <is>
          <t>Công ty cổ phần Anvy</t>
        </is>
      </c>
      <c r="E17843" t="inlineStr">
        <is>
          <t>Lương:25 Tr - 30 Tr VND</t>
        </is>
      </c>
      <c r="F17843" t="inlineStr">
        <is>
          <t>Hà Nội</t>
        </is>
      </c>
      <c r="G17843" t="inlineStr">
        <is>
          <t>03-04-2026</t>
        </is>
      </c>
      <c r="H17843" t="inlineStr">
        <is>
          <t>03/04/2026</t>
        </is>
      </c>
      <c r="I17843" t="inlineStr">
        <is>
          <t>17/03/2026</t>
        </is>
      </c>
      <c r="J17843" t="inlineStr">
        <is>
          <t>Dược phẩm/ Hóa Mỹ Phẩm, Công nghệ thực phẩm / Dinh dưỡng</t>
        </is>
      </c>
      <c r="K17843" t="inlineStr">
        <is>
          <t>Lên đến 3 Năm</t>
        </is>
      </c>
      <c r="L17843" s="8">
        <f>HYPERLINK("https://careerviet.vn/vi/tim-viec-lam/quan-ly-kinh-doanh-kenh-etc-khu-vuc-hai-phong-quang-ninh-bac-ninh-lang-son.35C647D6.html","Xem chi tiết")</f>
        <v/>
      </c>
    </row>
    <row r="17844">
      <c r="B17844" s="9" t="n">
        <v>17842</v>
      </c>
      <c r="C17844" s="10" t="inlineStr">
        <is>
          <t>Customer Service Logistics</t>
        </is>
      </c>
      <c r="D17844" s="10" t="inlineStr">
        <is>
          <t>CÔNG TY CỔ PHẦN CUNG ỨNG LẠNH VN</t>
        </is>
      </c>
      <c r="E17844" s="10" t="inlineStr">
        <is>
          <t>Lương:Cạnh tranh</t>
        </is>
      </c>
      <c r="F17844" s="10" t="inlineStr">
        <is>
          <t>Hà Nội</t>
        </is>
      </c>
      <c r="G17844" s="10" t="inlineStr">
        <is>
          <t>03-04-2026</t>
        </is>
      </c>
      <c r="H17844" s="10" t="inlineStr">
        <is>
          <t>03/04/2026</t>
        </is>
      </c>
      <c r="I17844" s="10" t="inlineStr">
        <is>
          <t>17/03/2026</t>
        </is>
      </c>
      <c r="J17844" s="10" t="inlineStr">
        <is>
          <t>Hàng hải, Vận chuyển / Giao nhận / Kho vận, Xuất nhập khẩu</t>
        </is>
      </c>
      <c r="K17844" s="10" t="inlineStr">
        <is>
          <t>2 - 3 Năm</t>
        </is>
      </c>
      <c r="L17844" s="11">
        <f>HYPERLINK("https://careerviet.vn/vi/tim-viec-lam/customer-service-logistics.35C672C1.html","Xem chi tiết")</f>
        <v/>
      </c>
      <c r="M17844" s="10" t="n"/>
    </row>
    <row r="17845">
      <c r="B17845" s="7" t="n">
        <v>17843</v>
      </c>
      <c r="C17845" t="inlineStr">
        <is>
          <t>Tổ trưởng SMT biết tiếng Trung</t>
        </is>
      </c>
      <c r="D17845" t="inlineStr">
        <is>
          <t>CÔNG TY TNHH QISDA VIỆT NAM</t>
        </is>
      </c>
      <c r="E17845" t="inlineStr">
        <is>
          <t>Lương:10 Tr - 18 Tr VND</t>
        </is>
      </c>
      <c r="F17845" t="inlineStr">
        <is>
          <t>Hà Nam</t>
        </is>
      </c>
      <c r="G17845" t="inlineStr">
        <is>
          <t>03-04-2026</t>
        </is>
      </c>
      <c r="H17845" t="inlineStr">
        <is>
          <t>03/04/2026</t>
        </is>
      </c>
      <c r="I17845" t="inlineStr">
        <is>
          <t>17/03/2026</t>
        </is>
      </c>
      <c r="J17845" t="inlineStr">
        <is>
          <t>Sản xuất / Vận hành sản xuất</t>
        </is>
      </c>
      <c r="K17845" t="inlineStr">
        <is>
          <t>1 - 3 Năm</t>
        </is>
      </c>
      <c r="L17845" s="8">
        <f>HYPERLINK("https://careerviet.vn/vi/tim-viec-lam/to-truong-smt-biet-tieng-trung.35C647B8.html","Xem chi tiết")</f>
        <v/>
      </c>
    </row>
    <row r="17846">
      <c r="B17846" s="9" t="n">
        <v>17844</v>
      </c>
      <c r="C17846" s="10" t="inlineStr">
        <is>
          <t>Bếp Trưởng/ Phụ Bếp</t>
        </is>
      </c>
      <c r="D17846" s="10" t="inlineStr">
        <is>
          <t>Công ty TNHH Sản xuất Thương mại &amp; Dịch vụ Hoa Xinh</t>
        </is>
      </c>
      <c r="E17846" s="10" t="inlineStr">
        <is>
          <t>Lương:15 Tr - 30 Tr VND</t>
        </is>
      </c>
      <c r="F17846" s="10" t="inlineStr">
        <is>
          <t>Bà Rịa - Vũng TàuHồ Chí Minh</t>
        </is>
      </c>
      <c r="G17846" s="10" t="inlineStr">
        <is>
          <t>03-04-2026</t>
        </is>
      </c>
      <c r="H17846" s="10" t="inlineStr">
        <is>
          <t>03/04/2026</t>
        </is>
      </c>
      <c r="I17846" s="10" t="inlineStr">
        <is>
          <t>17/03/2026</t>
        </is>
      </c>
      <c r="J17846" s="10" t="inlineStr">
        <is>
          <t>Thực phẩm &amp; Đồ uống, Nhà hàng / Khách sạn, Du lịch</t>
        </is>
      </c>
      <c r="K17846" s="10" t="inlineStr">
        <is>
          <t>1 - 5 Năm</t>
        </is>
      </c>
      <c r="L17846" s="11">
        <f>HYPERLINK("https://careerviet.vn/vi/tim-viec-lam/bep-truong-phu-bep.35C647CD.html","Xem chi tiết")</f>
        <v/>
      </c>
      <c r="M17846" s="10" t="n"/>
    </row>
    <row r="17847">
      <c r="B17847" s="7" t="n">
        <v>17845</v>
      </c>
      <c r="C17847" t="inlineStr">
        <is>
          <t>Nhân viên Kiểm soát nội bộ (Mảng Sản xuất)</t>
        </is>
      </c>
      <c r="D17847" t="inlineStr">
        <is>
          <t>CÔNG TY CP BIA &amp; NGK HẠ LONG</t>
        </is>
      </c>
      <c r="E17847" t="inlineStr">
        <is>
          <t>Lương:10 Tr - 13 Tr VND</t>
        </is>
      </c>
      <c r="F17847" t="inlineStr">
        <is>
          <t>Quảng Ninh</t>
        </is>
      </c>
      <c r="G17847" t="inlineStr">
        <is>
          <t>03-04-2026</t>
        </is>
      </c>
      <c r="H17847" t="inlineStr">
        <is>
          <t>03/04/2026</t>
        </is>
      </c>
      <c r="I17847" t="inlineStr">
        <is>
          <t>17/03/2026</t>
        </is>
      </c>
      <c r="J17847" t="inlineStr">
        <is>
          <t>Sản xuất / Vận hành sản xuất</t>
        </is>
      </c>
      <c r="K17847" t="inlineStr">
        <is>
          <t>2 - 3 Năm</t>
        </is>
      </c>
      <c r="L17847" s="8">
        <f>HYPERLINK("https://careerviet.vn/vi/tim-viec-lam/nhan-vien-kiem-soat-noi-bo-mang-san-xuat.35C672AF.html","Xem chi tiết")</f>
        <v/>
      </c>
    </row>
    <row r="17848">
      <c r="B17848" s="9" t="n">
        <v>17846</v>
      </c>
      <c r="C17848" s="10" t="inlineStr">
        <is>
          <t>Business Analyst</t>
        </is>
      </c>
      <c r="D17848" s="10" t="inlineStr">
        <is>
          <t>Công ty TNHH Viettel - CHT</t>
        </is>
      </c>
      <c r="E17848" s="10" t="inlineStr">
        <is>
          <t>Lương:Cạnh tranh</t>
        </is>
      </c>
      <c r="F17848" s="10" t="inlineStr">
        <is>
          <t>Hà Nội</t>
        </is>
      </c>
      <c r="G17848" s="10" t="inlineStr">
        <is>
          <t>03-04-2026</t>
        </is>
      </c>
      <c r="H17848" s="10" t="inlineStr">
        <is>
          <t>03/04/2026</t>
        </is>
      </c>
      <c r="I17848" s="10" t="inlineStr">
        <is>
          <t>17/03/2026</t>
        </is>
      </c>
      <c r="J17848" s="10" t="inlineStr">
        <is>
          <t>CNTT - Phần mềm</t>
        </is>
      </c>
      <c r="K17848" s="10" t="inlineStr">
        <is>
          <t>Trên 2 Năm</t>
        </is>
      </c>
      <c r="L17848" s="11">
        <f>HYPERLINK("https://careerviet.vn/vi/tim-viec-lam/business-analyst.35C647EF.html","Xem chi tiết")</f>
        <v/>
      </c>
      <c r="M17848" s="10" t="n"/>
    </row>
    <row r="17849">
      <c r="B17849" s="7" t="n">
        <v>17847</v>
      </c>
      <c r="C17849" t="inlineStr">
        <is>
          <t>Bác sĩ Thận nhân tạo</t>
        </is>
      </c>
      <c r="D17849" t="inlineStr">
        <is>
          <t>Công ty TNHH Bệnh Viện Gia An 115</t>
        </is>
      </c>
      <c r="E17849" t="inlineStr">
        <is>
          <t>Lương:Cạnh tranh</t>
        </is>
      </c>
      <c r="F17849" t="inlineStr">
        <is>
          <t>Hồ Chí Minh</t>
        </is>
      </c>
      <c r="G17849" t="inlineStr">
        <is>
          <t>03-04-2026</t>
        </is>
      </c>
      <c r="H17849" t="inlineStr">
        <is>
          <t>03/04/2026</t>
        </is>
      </c>
      <c r="I17849" t="inlineStr">
        <is>
          <t>17/03/2026</t>
        </is>
      </c>
      <c r="J17849" t="inlineStr">
        <is>
          <t>Y tế / Chăm sóc sức khỏe / Thẩm mỹ / Làm đẹp</t>
        </is>
      </c>
      <c r="K17849" t="inlineStr">
        <is>
          <t>3 - 5 Năm</t>
        </is>
      </c>
      <c r="L17849" s="8">
        <f>HYPERLINK("https://careerviet.vn/vi/tim-viec-lam/bac-si-than-nhan-tao.35C6476F.html","Xem chi tiết")</f>
        <v/>
      </c>
    </row>
    <row r="17850">
      <c r="B17850" s="9" t="n">
        <v>17848</v>
      </c>
      <c r="C17850" s="10" t="inlineStr">
        <is>
          <t>Bến Cát -  Chuyên Viên IT</t>
        </is>
      </c>
      <c r="D17850" s="10" t="inlineStr">
        <is>
          <t>Công Ty Cổ Phần Vacxin Việt Nam</t>
        </is>
      </c>
      <c r="E17850" s="10" t="inlineStr">
        <is>
          <t>Lương:Cạnh tranh</t>
        </is>
      </c>
      <c r="F17850" s="10" t="inlineStr">
        <is>
          <t>Bình Dương</t>
        </is>
      </c>
      <c r="G17850" s="10" t="inlineStr">
        <is>
          <t>03-04-2026</t>
        </is>
      </c>
      <c r="H17850" s="10" t="inlineStr">
        <is>
          <t>03/04/2026</t>
        </is>
      </c>
      <c r="I17850" s="10" t="inlineStr">
        <is>
          <t>17/03/2026</t>
        </is>
      </c>
      <c r="J17850" s="10" t="inlineStr">
        <is>
          <t>CNTT - Phần mềm, CNTT - Phần cứng / Mạng</t>
        </is>
      </c>
      <c r="K17850" s="10" t="inlineStr">
        <is>
          <t>2 - 5 Năm</t>
        </is>
      </c>
      <c r="L17850" s="11">
        <f>HYPERLINK("https://careerviet.vn/vi/tim-viec-lam/ben-cat-chuyen-vien-it.35C672E7.html","Xem chi tiết")</f>
        <v/>
      </c>
      <c r="M17850" s="10" t="n"/>
    </row>
    <row r="17851">
      <c r="B17851" s="7" t="n">
        <v>17849</v>
      </c>
      <c r="C17851" t="inlineStr">
        <is>
          <t>Nhân viên phiên dịch tiếng Trung Quốc</t>
        </is>
      </c>
      <c r="D17851" t="inlineStr">
        <is>
          <t>CÔNG TY TNHH TÔN NAM KIM PHÚ MỸ</t>
        </is>
      </c>
      <c r="E17851" t="inlineStr">
        <is>
          <t>Lương:15 Tr - 17 Tr VND</t>
        </is>
      </c>
      <c r="F17851" t="inlineStr">
        <is>
          <t>Bà Rịa - Vũng Tàu</t>
        </is>
      </c>
      <c r="G17851" t="inlineStr">
        <is>
          <t>03-04-2026</t>
        </is>
      </c>
      <c r="H17851" t="inlineStr">
        <is>
          <t>03/04/2026</t>
        </is>
      </c>
      <c r="I17851" t="inlineStr">
        <is>
          <t>17/03/2026</t>
        </is>
      </c>
      <c r="J17851" t="inlineStr">
        <is>
          <t>Hành chính / Thư ký, Nhân sự, Biên phiên dịch</t>
        </is>
      </c>
      <c r="K17851" t="inlineStr">
        <is>
          <t>1 - 5 Năm</t>
        </is>
      </c>
      <c r="L17851" s="8">
        <f>HYPERLINK("https://careerviet.vn/vi/tim-viec-lam/nhan-vien-phien-dich-tieng-trung-quoc.35C647D3.html","Xem chi tiết")</f>
        <v/>
      </c>
    </row>
    <row r="17852">
      <c r="B17852" s="9" t="n">
        <v>17850</v>
      </c>
      <c r="C17852" s="10" t="inlineStr">
        <is>
          <t>Trưởng Phòng Kế Hoạch Sản Xuất (Tiếng Nhật)</t>
        </is>
      </c>
      <c r="D17852" s="10" t="inlineStr">
        <is>
          <t>Headhunter HRchannels Group</t>
        </is>
      </c>
      <c r="E17852" s="10" t="inlineStr">
        <is>
          <t>Lương:1.500 - 1.800 USD</t>
        </is>
      </c>
      <c r="F17852" s="10" t="inlineStr">
        <is>
          <t>Hồ Chí MinhBình DươngĐồng Nai</t>
        </is>
      </c>
      <c r="G17852" s="10" t="inlineStr">
        <is>
          <t>03-04-2026</t>
        </is>
      </c>
      <c r="H17852" s="10" t="inlineStr">
        <is>
          <t>03/04/2026</t>
        </is>
      </c>
      <c r="I17852" s="10" t="inlineStr">
        <is>
          <t>17/03/2026</t>
        </is>
      </c>
      <c r="J17852" s="10" t="inlineStr">
        <is>
          <t>Sản xuất / Vận hành sản xuất, Thu mua / Vật tư, Kế toán / Kiểm toán</t>
        </is>
      </c>
      <c r="K17852" s="10" t="inlineStr">
        <is>
          <t>3 - 10 Năm</t>
        </is>
      </c>
      <c r="L17852" s="11">
        <f>HYPERLINK("https://careerviet.vn/vi/tim-viec-lam/truong-phong-ke-hoach-san-xuat-tieng-nhat.35C6721B.html","Xem chi tiết")</f>
        <v/>
      </c>
      <c r="M17852" s="10" t="n"/>
    </row>
    <row r="17853">
      <c r="B17853" s="7" t="n">
        <v>17851</v>
      </c>
      <c r="C17853" t="inlineStr">
        <is>
          <t>Giám Sát Dịch Vụ Tòa Nhà  (Building Executive)</t>
        </is>
      </c>
      <c r="D17853" t="inlineStr">
        <is>
          <t>Savills Vietnam</t>
        </is>
      </c>
      <c r="E17853" t="inlineStr">
        <is>
          <t>Lương:Cạnh tranh</t>
        </is>
      </c>
      <c r="F17853" t="inlineStr">
        <is>
          <t>Hồ Chí Minh</t>
        </is>
      </c>
      <c r="G17853" t="inlineStr">
        <is>
          <t>03-04-2026</t>
        </is>
      </c>
      <c r="H17853" t="inlineStr">
        <is>
          <t>03/04/2026</t>
        </is>
      </c>
      <c r="I17853" t="inlineStr">
        <is>
          <t>17/03/2026</t>
        </is>
      </c>
      <c r="J17853" t="inlineStr">
        <is>
          <t>Dịch vụ khách hàng, Ngành khác, Nhà hàng / Khách sạn</t>
        </is>
      </c>
      <c r="K17853" t="inlineStr">
        <is>
          <t>1 - 2 Năm</t>
        </is>
      </c>
      <c r="L17853" s="8">
        <f>HYPERLINK("https://careerviet.vn/vi/tim-viec-lam/giam-sat-dich-vu-toa-nha-building-executive.35C66D0C.html","Xem chi tiết")</f>
        <v/>
      </c>
    </row>
    <row r="17854">
      <c r="B17854" s="9" t="n">
        <v>17852</v>
      </c>
      <c r="C17854" s="10" t="inlineStr">
        <is>
          <t>Quản Lý Chuỗi Cửa Hàng Ăn Vặt (Tiếng Trung giao tiếp)</t>
        </is>
      </c>
      <c r="D17854" s="10" t="inlineStr">
        <is>
          <t>CÔNG TY TNHH CHUỖI THƯƠNG MẠI BUSY MING VIỆT NAM</t>
        </is>
      </c>
      <c r="E17854" s="10" t="inlineStr">
        <is>
          <t>Lương:25 Tr - 40 Tr VND</t>
        </is>
      </c>
      <c r="F17854" s="10" t="inlineStr">
        <is>
          <t>Hồ Chí Minh</t>
        </is>
      </c>
      <c r="G17854" s="10" t="inlineStr">
        <is>
          <t>03-04-2026</t>
        </is>
      </c>
      <c r="H17854" s="10" t="inlineStr">
        <is>
          <t>03/04/2026</t>
        </is>
      </c>
      <c r="I17854" s="10" t="inlineStr">
        <is>
          <t>17/03/2026</t>
        </is>
      </c>
      <c r="J17854" s="10" t="inlineStr">
        <is>
          <t>Bán lẻ / Bán sỉ, Bán hàng / Kinh doanh, Dịch vụ khách hàng</t>
        </is>
      </c>
      <c r="K17854" s="10" t="inlineStr">
        <is>
          <t>5 - 7 Năm</t>
        </is>
      </c>
      <c r="L17854" s="11">
        <f>HYPERLINK("https://careerviet.vn/vi/tim-viec-lam/quan-ly-chuoi-cua-hang-an-vat-tieng-trung-giao-tiep.35C67285.html","Xem chi tiết")</f>
        <v/>
      </c>
      <c r="M17854" s="10" t="n"/>
    </row>
    <row r="17855">
      <c r="B17855" s="7" t="n">
        <v>17853</v>
      </c>
      <c r="C17855" t="inlineStr">
        <is>
          <t>Kỹ sư quản kho</t>
        </is>
      </c>
      <c r="D17855" t="inlineStr">
        <is>
          <t>CÔNG TY TNHH QISDA VIỆT NAM</t>
        </is>
      </c>
      <c r="E17855" t="inlineStr">
        <is>
          <t>Lương:15 Tr - 25 Tr VND</t>
        </is>
      </c>
      <c r="F17855" t="inlineStr">
        <is>
          <t>Hà Nam</t>
        </is>
      </c>
      <c r="G17855" t="inlineStr">
        <is>
          <t>03-04-2026</t>
        </is>
      </c>
      <c r="H17855" t="inlineStr">
        <is>
          <t>03/04/2026</t>
        </is>
      </c>
      <c r="I17855" t="inlineStr">
        <is>
          <t>17/03/2026</t>
        </is>
      </c>
      <c r="J17855" t="inlineStr">
        <is>
          <t>Vận chuyển / Giao nhận / Kho vận</t>
        </is>
      </c>
      <c r="K17855" t="inlineStr">
        <is>
          <t>2 - 3 Năm</t>
        </is>
      </c>
      <c r="L17855" s="8">
        <f>HYPERLINK("https://careerviet.vn/vi/tim-viec-lam/ky-su-quan-kho.35C647D2.html","Xem chi tiết")</f>
        <v/>
      </c>
    </row>
    <row r="17856">
      <c r="B17856" s="9" t="n">
        <v>17854</v>
      </c>
      <c r="C17856" s="10" t="inlineStr">
        <is>
          <t>Nhân viên Marketing Performer</t>
        </is>
      </c>
      <c r="D17856" s="10" t="inlineStr">
        <is>
          <t>CÔNG TY CỔ PHẦN ĐẦU TƯ VÀ PHÁT TRIỂN HA TA FA</t>
        </is>
      </c>
      <c r="E17856" s="10" t="inlineStr">
        <is>
          <t>Lương:Cạnh tranh</t>
        </is>
      </c>
      <c r="F17856" s="10" t="inlineStr">
        <is>
          <t>Đồng Nai</t>
        </is>
      </c>
      <c r="G17856" s="10" t="inlineStr">
        <is>
          <t>03-04-2026</t>
        </is>
      </c>
      <c r="H17856" s="10" t="inlineStr">
        <is>
          <t>03/04/2026</t>
        </is>
      </c>
      <c r="I17856" s="10" t="inlineStr">
        <is>
          <t>17/03/2026</t>
        </is>
      </c>
      <c r="J17856" s="10" t="inlineStr">
        <is>
          <t>Tiếp thị / Marketing, Thương mại điện tử</t>
        </is>
      </c>
      <c r="K17856" s="10" t="inlineStr">
        <is>
          <t>Lên đến 1 Năm</t>
        </is>
      </c>
      <c r="L17856" s="11">
        <f>HYPERLINK("https://careerviet.vn/vi/tim-viec-lam/nhan-vien-marketing-performer.35C672AB.html","Xem chi tiết")</f>
        <v/>
      </c>
      <c r="M17856" s="10" t="n"/>
    </row>
    <row r="17857">
      <c r="B17857" s="7" t="n">
        <v>17855</v>
      </c>
      <c r="C17857" t="inlineStr">
        <is>
          <t>Sales Manager</t>
        </is>
      </c>
      <c r="D17857" t="inlineStr">
        <is>
          <t>Công ty TNHH Viettel - CHT</t>
        </is>
      </c>
      <c r="E17857" t="inlineStr">
        <is>
          <t>Lương:Cạnh tranh</t>
        </is>
      </c>
      <c r="F17857" t="inlineStr">
        <is>
          <t>Hồ Chí Minh</t>
        </is>
      </c>
      <c r="G17857" t="inlineStr">
        <is>
          <t>03-04-2026</t>
        </is>
      </c>
      <c r="H17857" t="inlineStr">
        <is>
          <t>03/04/2026</t>
        </is>
      </c>
      <c r="I17857" t="inlineStr">
        <is>
          <t>17/03/2026</t>
        </is>
      </c>
      <c r="J17857" t="inlineStr">
        <is>
          <t>Bán hàng / Kinh doanh, Bưu chính viễn thông, CNTT - Phần mềm</t>
        </is>
      </c>
      <c r="K17857" t="inlineStr">
        <is>
          <t>Trên 3 Năm</t>
        </is>
      </c>
      <c r="L17857" s="8">
        <f>HYPERLINK("https://careerviet.vn/vi/tim-viec-lam/sales-manager.35C647F0.html","Xem chi tiết")</f>
        <v/>
      </c>
    </row>
    <row r="17858">
      <c r="B17858" s="9" t="n">
        <v>17856</v>
      </c>
      <c r="C17858" s="10" t="inlineStr">
        <is>
          <t>Nhân Viên Kế Toán Nội Bộ (2+ Năm KN, T.Anh Tốt)</t>
        </is>
      </c>
      <c r="D17858" s="10" t="inlineStr">
        <is>
          <t>Công ty TNHH AT Á Châu</t>
        </is>
      </c>
      <c r="E17858" s="10" t="inlineStr">
        <is>
          <t>Lương:Cạnh tranh</t>
        </is>
      </c>
      <c r="F17858" s="10" t="inlineStr">
        <is>
          <t>Hà Nội</t>
        </is>
      </c>
      <c r="G17858" s="10" t="inlineStr">
        <is>
          <t>03-04-2026</t>
        </is>
      </c>
      <c r="H17858" s="10" t="inlineStr">
        <is>
          <t>03/04/2026</t>
        </is>
      </c>
      <c r="I17858" s="10" t="inlineStr">
        <is>
          <t>17/03/2026</t>
        </is>
      </c>
      <c r="J17858" s="10" t="inlineStr">
        <is>
          <t>Xuất nhập khẩu</t>
        </is>
      </c>
      <c r="K17858" s="10" t="inlineStr">
        <is>
          <t>2 - 5 Năm</t>
        </is>
      </c>
      <c r="L17858" s="11">
        <f>HYPERLINK("https://careerviet.vn/vi/tim-viec-lam/nhan-vien-ke-toan-noi-bo-2-nam-kn-t-anh-tot.35C672CF.html","Xem chi tiết")</f>
        <v/>
      </c>
      <c r="M17858" s="10" t="n"/>
    </row>
    <row r="17859">
      <c r="B17859" s="7" t="n">
        <v>17857</v>
      </c>
      <c r="C17859" t="inlineStr">
        <is>
          <t>Nhân viên tổng hợp sản xuất</t>
        </is>
      </c>
      <c r="D17859" t="inlineStr">
        <is>
          <t>Công ty CP Thành Thành Công - Biên Hòa</t>
        </is>
      </c>
      <c r="E17859" t="inlineStr">
        <is>
          <t>Lương:Cạnh tranh</t>
        </is>
      </c>
      <c r="F17859" t="inlineStr">
        <is>
          <t>Tây Ninh</t>
        </is>
      </c>
      <c r="G17859" t="inlineStr">
        <is>
          <t>03-04-2026</t>
        </is>
      </c>
      <c r="H17859" t="inlineStr">
        <is>
          <t>03/04/2026</t>
        </is>
      </c>
      <c r="I17859" t="inlineStr">
        <is>
          <t>17/03/2026</t>
        </is>
      </c>
      <c r="J17859" t="inlineStr">
        <is>
          <t>Hành chính / Thư ký, Sản xuất / Vận hành sản xuất</t>
        </is>
      </c>
      <c r="K17859" t="inlineStr">
        <is>
          <t>2 - 3 Năm</t>
        </is>
      </c>
      <c r="L17859" s="8">
        <f>HYPERLINK("https://careerviet.vn/vi/tim-viec-lam/nhan-vien-tong-hop-san-xuat.35C67229.html","Xem chi tiết")</f>
        <v/>
      </c>
    </row>
    <row r="17860">
      <c r="B17860" s="9" t="n">
        <v>17858</v>
      </c>
      <c r="C17860" s="10" t="inlineStr">
        <is>
          <t>[Hotel HN] Executive Housekeeper/Trưởng bộ phần buồng phòng</t>
        </is>
      </c>
      <c r="D17860" s="10" t="inlineStr">
        <is>
          <t>Công ty Cổ phần Tập đoàn Minh Anh</t>
        </is>
      </c>
      <c r="E17860" s="10" t="inlineStr">
        <is>
          <t>Lương:Cạnh tranh</t>
        </is>
      </c>
      <c r="F17860" s="10" t="inlineStr">
        <is>
          <t>Hà Nội</t>
        </is>
      </c>
      <c r="G17860" s="10" t="inlineStr">
        <is>
          <t>03-04-2026</t>
        </is>
      </c>
      <c r="H17860" s="10" t="inlineStr">
        <is>
          <t>03/04/2026</t>
        </is>
      </c>
      <c r="I17860" s="10" t="inlineStr">
        <is>
          <t>17/03/2026</t>
        </is>
      </c>
      <c r="J17860" s="10" t="inlineStr">
        <is>
          <t>An Ninh / Bảo Vệ, Nhà hàng / Khách sạn, Du lịch</t>
        </is>
      </c>
      <c r="K17860" s="10" t="inlineStr">
        <is>
          <t>5 - 10 Năm</t>
        </is>
      </c>
      <c r="L17860" s="11">
        <f>HYPERLINK("https://careerviet.vn/vi/tim-viec-lam/hotel-hn-executive-housekeeper-truong-bo-phan-buong-phong.35C673C4.html","Xem chi tiết")</f>
        <v/>
      </c>
      <c r="M17860" s="10" t="n"/>
    </row>
    <row r="17861">
      <c r="B17861" s="7" t="n">
        <v>17859</v>
      </c>
      <c r="C17861" t="inlineStr">
        <is>
          <t>[BẮC GIANG] Giám Sát Rạp Chiếu Phim</t>
        </is>
      </c>
      <c r="D17861" t="inlineStr">
        <is>
          <t>CÔNG TY TNHH LOTTECINEMA VIỆT NAM</t>
        </is>
      </c>
      <c r="E17861" t="inlineStr">
        <is>
          <t>Lương:8 Tr - 10 Tr VND</t>
        </is>
      </c>
      <c r="F17861" t="inlineStr">
        <is>
          <t>Bắc Giang</t>
        </is>
      </c>
      <c r="G17861" t="inlineStr">
        <is>
          <t>03-04-2026</t>
        </is>
      </c>
      <c r="H17861" t="inlineStr">
        <is>
          <t>03/04/2026</t>
        </is>
      </c>
      <c r="I17861" t="inlineStr">
        <is>
          <t>17/03/2026</t>
        </is>
      </c>
      <c r="J17861" t="inlineStr">
        <is>
          <t>Dịch vụ khách hàng, Nhà hàng / Khách sạn, Giải trí</t>
        </is>
      </c>
      <c r="K17861" t="inlineStr">
        <is>
          <t>N/A</t>
        </is>
      </c>
      <c r="L17861" s="8">
        <f>HYPERLINK("https://careerviet.vn/vi/tim-viec-lam/bac-giang-giam-sat-rap-chieu-phim.35C6729E.html","Xem chi tiết")</f>
        <v/>
      </c>
    </row>
    <row r="17862">
      <c r="B17862" s="9" t="n">
        <v>17860</v>
      </c>
      <c r="C17862" s="10" t="inlineStr">
        <is>
          <t>[Khối CNTT] Chuyên viên cao cấp Quản trị rủi ro và tuân thủ Công nghệ thông tin</t>
        </is>
      </c>
      <c r="D17862" s="10" t="inlineStr">
        <is>
          <t>CÔNG TY TNHH BẢO HIỂM NHÂN THỌ MB AGEAS</t>
        </is>
      </c>
      <c r="E17862" s="10" t="inlineStr">
        <is>
          <t>Lương:Cạnh tranh</t>
        </is>
      </c>
      <c r="F17862" s="10" t="inlineStr">
        <is>
          <t>Hà Nội</t>
        </is>
      </c>
      <c r="G17862" s="10" t="inlineStr">
        <is>
          <t>03-04-2026</t>
        </is>
      </c>
      <c r="H17862" s="10" t="inlineStr">
        <is>
          <t>03/04/2026</t>
        </is>
      </c>
      <c r="I17862" s="10" t="inlineStr">
        <is>
          <t>17/03/2026</t>
        </is>
      </c>
      <c r="J17862" s="10" t="inlineStr">
        <is>
          <t>Bảo hiểm, CNTT - Phần mềm, Ngân hàng</t>
        </is>
      </c>
      <c r="K17862" s="10" t="inlineStr">
        <is>
          <t>Trên 3 Năm</t>
        </is>
      </c>
      <c r="L17862" s="11">
        <f>HYPERLINK("https://careerviet.vn/vi/tim-viec-lam/khoi-cntt-chuyen-vien-cao-cap-quan-tri-rui-ro-va-tuan-thu-cong-nghe-thong-tin.35C673F9.html","Xem chi tiết")</f>
        <v/>
      </c>
      <c r="M17862" s="10" t="n"/>
    </row>
    <row r="17863">
      <c r="B17863" s="7" t="n">
        <v>17861</v>
      </c>
      <c r="C17863" t="inlineStr">
        <is>
          <t>Trưởng nhóm Affiliate Tik Tok</t>
        </is>
      </c>
      <c r="D17863" t="inlineStr">
        <is>
          <t>CÔNG TY TNHH PHÁT TRIỂN DELI VIỆT NAM</t>
        </is>
      </c>
      <c r="E17863" t="inlineStr">
        <is>
          <t>Lương:16 Tr - 25 Tr VND</t>
        </is>
      </c>
      <c r="F17863" t="inlineStr">
        <is>
          <t>Hà Nội</t>
        </is>
      </c>
      <c r="G17863" t="inlineStr">
        <is>
          <t>03-04-2026</t>
        </is>
      </c>
      <c r="H17863" t="inlineStr">
        <is>
          <t>03/04/2026</t>
        </is>
      </c>
      <c r="I17863" t="inlineStr">
        <is>
          <t>17/03/2026</t>
        </is>
      </c>
      <c r="J17863" t="inlineStr">
        <is>
          <t>Tiếp thị / Marketing, Thương mại điện tử</t>
        </is>
      </c>
      <c r="K17863" t="inlineStr">
        <is>
          <t>1 - 2 Năm</t>
        </is>
      </c>
      <c r="L17863" s="8">
        <f>HYPERLINK("https://careerviet.vn/vi/tim-viec-lam/truong-nhom-affiliate-tik-tok.35C6476B.html","Xem chi tiết")</f>
        <v/>
      </c>
    </row>
    <row r="17864">
      <c r="B17864" s="9" t="n">
        <v>17862</v>
      </c>
      <c r="C17864" s="10" t="inlineStr">
        <is>
          <t>Trợ lý phiên dịch  (HSK4)</t>
        </is>
      </c>
      <c r="D17864" s="10" t="inlineStr">
        <is>
          <t>CÔNG TY TNHH QISDA VIỆT NAM</t>
        </is>
      </c>
      <c r="E17864" s="10" t="inlineStr">
        <is>
          <t>Lương:10 Tr - 18 Tr VND</t>
        </is>
      </c>
      <c r="F17864" s="10" t="inlineStr">
        <is>
          <t>Hà Nam</t>
        </is>
      </c>
      <c r="G17864" s="10" t="inlineStr">
        <is>
          <t>03-04-2026</t>
        </is>
      </c>
      <c r="H17864" s="10" t="inlineStr">
        <is>
          <t>03/04/2026</t>
        </is>
      </c>
      <c r="I17864" s="10" t="inlineStr">
        <is>
          <t>17/03/2026</t>
        </is>
      </c>
      <c r="J17864" s="10" t="inlineStr">
        <is>
          <t>Hành chính / Thư ký</t>
        </is>
      </c>
      <c r="K17864" s="10" t="inlineStr">
        <is>
          <t>Lên đến 1 Năm</t>
        </is>
      </c>
      <c r="L17864" s="11">
        <f>HYPERLINK("https://careerviet.vn/vi/tim-viec-lam/tro-ly-phien-dich-hsk4.35C647BE.html","Xem chi tiết")</f>
        <v/>
      </c>
      <c r="M17864" s="10" t="n"/>
    </row>
    <row r="17865">
      <c r="B17865" s="7" t="n">
        <v>17863</v>
      </c>
      <c r="C17865" t="inlineStr">
        <is>
          <t>CỘNG TÁC VIÊN BOOKING (CÂN NHẮC FULLTIME)</t>
        </is>
      </c>
      <c r="D17865" t="inlineStr">
        <is>
          <t>CÔNG TY TNHH DƯỢC PHẨM ĐẠI PHÚ AN</t>
        </is>
      </c>
      <c r="E17865" t="inlineStr">
        <is>
          <t>Lương:3 Tr - 5 Tr VND</t>
        </is>
      </c>
      <c r="F17865" t="inlineStr">
        <is>
          <t>Hồ Chí Minh</t>
        </is>
      </c>
      <c r="G17865" t="inlineStr">
        <is>
          <t>03-04-2026</t>
        </is>
      </c>
      <c r="H17865" t="inlineStr">
        <is>
          <t>03/04/2026</t>
        </is>
      </c>
      <c r="I17865" t="inlineStr">
        <is>
          <t>17/03/2026</t>
        </is>
      </c>
      <c r="J17865" t="inlineStr">
        <is>
          <t>Tiếp thị / Marketing, Thương mại điện tử, Dược phẩm/ Hóa Mỹ Phẩm</t>
        </is>
      </c>
      <c r="K17865" t="inlineStr">
        <is>
          <t>N/A</t>
        </is>
      </c>
      <c r="L17865" s="8">
        <f>HYPERLINK("https://careerviet.vn/vi/tim-viec-lam/cong-tac-vien-booking-can-nhac-fulltime.35C672FC.html","Xem chi tiết")</f>
        <v/>
      </c>
    </row>
    <row r="17866">
      <c r="B17866" s="9" t="n">
        <v>17864</v>
      </c>
      <c r="C17866" s="10" t="inlineStr">
        <is>
          <t>Công nhân vận hành  cẩu trục</t>
        </is>
      </c>
      <c r="D17866" s="10" t="inlineStr">
        <is>
          <t>Công Ty TNHH POSCO - Việt Nam</t>
        </is>
      </c>
      <c r="E17866" s="10" t="inlineStr">
        <is>
          <t>Lương:12 Tr - 15 Tr VND</t>
        </is>
      </c>
      <c r="F17866" s="10" t="inlineStr">
        <is>
          <t>Bà Rịa - Vũng Tàu</t>
        </is>
      </c>
      <c r="G17866" s="10" t="inlineStr">
        <is>
          <t>03-04-2026</t>
        </is>
      </c>
      <c r="H17866" s="10" t="inlineStr">
        <is>
          <t>03/04/2026</t>
        </is>
      </c>
      <c r="I17866" s="10" t="inlineStr">
        <is>
          <t>17/03/2026</t>
        </is>
      </c>
      <c r="J17866" s="10" t="inlineStr">
        <is>
          <t>Cơ khí / Ô tô / Tự động hóa, Điện / Điện tử / Điện lạnh / Điện công nghiệp</t>
        </is>
      </c>
      <c r="K17866" s="10" t="inlineStr">
        <is>
          <t>Trên 1 Năm</t>
        </is>
      </c>
      <c r="L17866" s="11">
        <f>HYPERLINK("https://careerviet.vn/vi/tim-viec-lam/cong-nhan-van-hanh-cau-truc.35C67374.html","Xem chi tiết")</f>
        <v/>
      </c>
      <c r="M17866" s="10" t="n"/>
    </row>
    <row r="17867">
      <c r="B17867" s="7" t="n">
        <v>17865</v>
      </c>
      <c r="C17867" t="inlineStr">
        <is>
          <t>Junior Graphic Designer</t>
        </is>
      </c>
      <c r="D17867" t="inlineStr">
        <is>
          <t>Công ty TNHH Truyền Thông Wise</t>
        </is>
      </c>
      <c r="E17867" t="inlineStr">
        <is>
          <t>Lương:10 Tr - 12 Tr VND</t>
        </is>
      </c>
      <c r="F17867" t="inlineStr">
        <is>
          <t>Hà Nội</t>
        </is>
      </c>
      <c r="G17867" t="inlineStr">
        <is>
          <t>03-04-2026</t>
        </is>
      </c>
      <c r="H17867" t="inlineStr">
        <is>
          <t>03/04/2026</t>
        </is>
      </c>
      <c r="I17867" t="inlineStr">
        <is>
          <t>17/03/2026</t>
        </is>
      </c>
      <c r="J17867" t="inlineStr">
        <is>
          <t>Mỹ thuật / Nghệ thuật / Thiết kế, Quảng cáo / Đối ngoại / Truyền Thông</t>
        </is>
      </c>
      <c r="K17867" t="inlineStr">
        <is>
          <t>Trên 1 Năm</t>
        </is>
      </c>
      <c r="L17867" s="8">
        <f>HYPERLINK("https://careerviet.vn/vi/tim-viec-lam/junior-graphic-designer.35C672EC.html","Xem chi tiết")</f>
        <v/>
      </c>
    </row>
    <row r="17868">
      <c r="B17868" s="9" t="n">
        <v>17866</v>
      </c>
      <c r="C17868" s="10" t="inlineStr">
        <is>
          <t>[BSV]_[G1] - Tuyển Dụng Nhân Viên Tổng Đài - Không Yêu Cầu Kinh Nghiệm - Lương Thưởng Cao</t>
        </is>
      </c>
      <c r="D17868" s="10" t="inlineStr">
        <is>
          <t>BellSystem24-Việt Nam</t>
        </is>
      </c>
      <c r="E17868" s="10" t="inlineStr">
        <is>
          <t>Lương:7 Tr - 10 Tr VND</t>
        </is>
      </c>
      <c r="F17868" s="10" t="inlineStr">
        <is>
          <t>Hồ Chí Minh</t>
        </is>
      </c>
      <c r="G17868" s="10" t="inlineStr">
        <is>
          <t>03-04-2026</t>
        </is>
      </c>
      <c r="H17868" s="10" t="inlineStr">
        <is>
          <t>03/04/2026</t>
        </is>
      </c>
      <c r="I17868" s="10" t="inlineStr">
        <is>
          <t>17/03/2026</t>
        </is>
      </c>
      <c r="J17868" s="10" t="inlineStr">
        <is>
          <t>Bưu chính viễn thông, Dịch vụ khách hàng, Mới tốt nghiệp / Thực tập</t>
        </is>
      </c>
      <c r="K17868" s="10" t="inlineStr">
        <is>
          <t>N/A</t>
        </is>
      </c>
      <c r="L17868" s="11">
        <f>HYPERLINK("https://careerviet.vn/vi/tim-viec-lam/bsv-_-g1-tuyen-dung-nhan-vien-tong-dai-khong-yeu-cau-kinh-nghiem-luong-thuong-cao.35C6739C.html","Xem chi tiết")</f>
        <v/>
      </c>
      <c r="M17868" s="10" t="n"/>
    </row>
    <row r="17869">
      <c r="B17869" s="7" t="n">
        <v>17867</v>
      </c>
      <c r="C17869" t="inlineStr">
        <is>
          <t>ASM kênh OTC Khu Vực Hà Nội</t>
        </is>
      </c>
      <c r="D17869" t="inlineStr">
        <is>
          <t>Công ty cổ phần Anvy</t>
        </is>
      </c>
      <c r="E17869" t="inlineStr">
        <is>
          <t>Lương:20 Tr - 40 Tr VND</t>
        </is>
      </c>
      <c r="F17869" t="inlineStr">
        <is>
          <t>Hà Nội</t>
        </is>
      </c>
      <c r="G17869" t="inlineStr">
        <is>
          <t>03-04-2026</t>
        </is>
      </c>
      <c r="H17869" t="inlineStr">
        <is>
          <t>03/04/2026</t>
        </is>
      </c>
      <c r="I17869" t="inlineStr">
        <is>
          <t>17/03/2026</t>
        </is>
      </c>
      <c r="J17869" t="inlineStr">
        <is>
          <t>Bán hàng / Kinh doanh, Dược phẩm/ Hóa Mỹ Phẩm, Y tế / Chăm sóc sức khỏe / Thẩm mỹ / Làm đẹp</t>
        </is>
      </c>
      <c r="K17869" t="inlineStr">
        <is>
          <t>3 - 5 Năm</t>
        </is>
      </c>
      <c r="L17869" s="8">
        <f>HYPERLINK("https://careerviet.vn/vi/tim-viec-lam/asm-kenh-otc-khu-vuc-ha-noi.35C647E5.html","Xem chi tiết")</f>
        <v/>
      </c>
    </row>
    <row r="17870">
      <c r="B17870" s="9" t="n">
        <v>17868</v>
      </c>
      <c r="C17870" s="10" t="inlineStr">
        <is>
          <t>Chuyên Viên Truyền Thông Cuộc Thi</t>
        </is>
      </c>
      <c r="D17870" s="10" t="inlineStr">
        <is>
          <t>Công ty CP IIG Việt Nam</t>
        </is>
      </c>
      <c r="E17870" s="10" t="inlineStr">
        <is>
          <t>Lương:15 Tr - 18 Tr VND</t>
        </is>
      </c>
      <c r="F17870" s="10" t="inlineStr">
        <is>
          <t>Hà Nội</t>
        </is>
      </c>
      <c r="G17870" s="10" t="inlineStr">
        <is>
          <t>03-04-2026</t>
        </is>
      </c>
      <c r="H17870" s="10" t="inlineStr">
        <is>
          <t>03/04/2026</t>
        </is>
      </c>
      <c r="I17870" s="10" t="inlineStr">
        <is>
          <t>17/03/2026</t>
        </is>
      </c>
      <c r="J17870" s="10" t="inlineStr">
        <is>
          <t>Truyền hình / Báo chí / Biên tập, Quảng cáo / Đối ngoại / Truyền Thông, Tổ chức sự kiện</t>
        </is>
      </c>
      <c r="K17870" s="10" t="inlineStr">
        <is>
          <t>3 - 5 Năm</t>
        </is>
      </c>
      <c r="L17870" s="11">
        <f>HYPERLINK("https://careerviet.vn/vi/tim-viec-lam/chuyen-vien-truyen-thong-cuoc-thi.35C672EA.html","Xem chi tiết")</f>
        <v/>
      </c>
      <c r="M17870" s="10" t="n"/>
    </row>
    <row r="17871">
      <c r="B17871" s="7" t="n">
        <v>17869</v>
      </c>
      <c r="C17871" t="inlineStr">
        <is>
          <t>Senior Account Executive (Account management - Savills Place)</t>
        </is>
      </c>
      <c r="D17871" t="inlineStr">
        <is>
          <t>Savills Vietnam</t>
        </is>
      </c>
      <c r="E17871" t="inlineStr">
        <is>
          <t>Lương:Cạnh tranh</t>
        </is>
      </c>
      <c r="F17871" t="inlineStr">
        <is>
          <t>Hồ Chí Minh</t>
        </is>
      </c>
      <c r="G17871" t="inlineStr">
        <is>
          <t>03-04-2026</t>
        </is>
      </c>
      <c r="H17871" t="inlineStr">
        <is>
          <t>03/04/2026</t>
        </is>
      </c>
      <c r="I17871" t="inlineStr">
        <is>
          <t>17/03/2026</t>
        </is>
      </c>
      <c r="J17871" t="inlineStr">
        <is>
          <t>Tiếp thị / Marketing, Dịch vụ khách hàng</t>
        </is>
      </c>
      <c r="K17871" t="inlineStr">
        <is>
          <t>5 - 7 Năm</t>
        </is>
      </c>
      <c r="L17871" s="8">
        <f>HYPERLINK("https://careerviet.vn/vi/tim-viec-lam/senior-account-executive-account-management-savills-place.35C66CC2.html","Xem chi tiết")</f>
        <v/>
      </c>
    </row>
    <row r="17872">
      <c r="B17872" s="9" t="n">
        <v>17870</v>
      </c>
      <c r="C17872" s="10" t="inlineStr">
        <is>
          <t>[Hà Nội] Chuyên viên Marketing</t>
        </is>
      </c>
      <c r="D17872" s="10" t="inlineStr">
        <is>
          <t>Tập Đoàn Tân Á Đại Thành</t>
        </is>
      </c>
      <c r="E17872" s="10" t="inlineStr">
        <is>
          <t>Lương:16 Tr - 18 Tr VND</t>
        </is>
      </c>
      <c r="F17872" s="10" t="inlineStr">
        <is>
          <t>Hà Nội</t>
        </is>
      </c>
      <c r="G17872" s="10" t="inlineStr">
        <is>
          <t>03-04-2026</t>
        </is>
      </c>
      <c r="H17872" s="10" t="inlineStr">
        <is>
          <t>03/04/2026</t>
        </is>
      </c>
      <c r="I17872" s="10" t="inlineStr">
        <is>
          <t>17/03/2026</t>
        </is>
      </c>
      <c r="J17872" s="10" t="inlineStr">
        <is>
          <t>Tiếp thị / Marketing</t>
        </is>
      </c>
      <c r="K17872" s="10" t="inlineStr">
        <is>
          <t>5 - 6 Năm</t>
        </is>
      </c>
      <c r="L17872" s="11">
        <f>HYPERLINK("https://careerviet.vn/vi/tim-viec-lam/ha-noi-chuyen-vien-marketing.35C6474F.html","Xem chi tiết")</f>
        <v/>
      </c>
      <c r="M17872" s="10" t="n"/>
    </row>
    <row r="17873">
      <c r="B17873" s="7" t="n">
        <v>17871</v>
      </c>
      <c r="C17873" t="inlineStr">
        <is>
          <t>Kỹ sư Giám sát Xây dựng</t>
        </is>
      </c>
      <c r="D17873" t="inlineStr">
        <is>
          <t>CÔNG TY CỔ PHẦN VĨNH QUANG</t>
        </is>
      </c>
      <c r="E17873" t="inlineStr">
        <is>
          <t>Lương:Cạnh tranh</t>
        </is>
      </c>
      <c r="F17873" t="inlineStr">
        <is>
          <t>Hồ Chí Minh</t>
        </is>
      </c>
      <c r="G17873" t="inlineStr">
        <is>
          <t>03-04-2026</t>
        </is>
      </c>
      <c r="H17873" t="inlineStr">
        <is>
          <t>03/04/2026</t>
        </is>
      </c>
      <c r="I17873" t="inlineStr">
        <is>
          <t>17/03/2026</t>
        </is>
      </c>
      <c r="J17873" t="inlineStr">
        <is>
          <t>Bất động sản, Kiến trúc, Xây dựng</t>
        </is>
      </c>
      <c r="K17873" t="inlineStr">
        <is>
          <t>5 - 7 Năm</t>
        </is>
      </c>
      <c r="L17873" s="8">
        <f>HYPERLINK("https://careerviet.vn/vi/tim-viec-lam/ky-su-giam-sat-xay-dung.35C6739D.html","Xem chi tiết")</f>
        <v/>
      </c>
    </row>
    <row r="17874">
      <c r="B17874" s="9" t="n">
        <v>17872</v>
      </c>
      <c r="C17874" s="10" t="inlineStr">
        <is>
          <t>Quảng Bình cũ- Nhân viên kinh doanh thu nhập từ 13-20 triệu</t>
        </is>
      </c>
      <c r="D17874" s="10" t="inlineStr">
        <is>
          <t>CÔNG TY CỔ PHẦN TẬP ĐOÀN DEKKO</t>
        </is>
      </c>
      <c r="E17874" s="10" t="inlineStr">
        <is>
          <t>Lương:13 Tr - 30 Tr VND</t>
        </is>
      </c>
      <c r="F17874" s="10" t="inlineStr">
        <is>
          <t>Quảng Bình</t>
        </is>
      </c>
      <c r="G17874" s="10" t="inlineStr">
        <is>
          <t>03-04-2026</t>
        </is>
      </c>
      <c r="H17874" s="10" t="inlineStr">
        <is>
          <t>03/04/2026</t>
        </is>
      </c>
      <c r="I17874" s="10" t="inlineStr">
        <is>
          <t>17/03/2026</t>
        </is>
      </c>
      <c r="J17874" s="10" t="inlineStr">
        <is>
          <t>Bán hàng / Kinh doanh</t>
        </is>
      </c>
      <c r="K17874" s="10" t="inlineStr">
        <is>
          <t>Trên 1 Năm</t>
        </is>
      </c>
      <c r="L17874" s="11">
        <f>HYPERLINK("https://careerviet.vn/vi/tim-viec-lam/quang-binh-cu-nhan-vien-kinh-doanh-thu-nhap-tu-13-20-trieu.35C672CD.html","Xem chi tiết")</f>
        <v/>
      </c>
      <c r="M17874" s="10" t="n"/>
    </row>
    <row r="17875">
      <c r="B17875" s="7" t="n">
        <v>17873</v>
      </c>
      <c r="C17875" t="inlineStr">
        <is>
          <t>Trưởng phòng mua sắm</t>
        </is>
      </c>
      <c r="D17875" t="inlineStr">
        <is>
          <t>TỔNG CÔNG TY CỔ PHẦN THƯƠNG MẠI XÂY DỰNG</t>
        </is>
      </c>
      <c r="E17875" t="inlineStr">
        <is>
          <t>Lương:30 Tr - 40 Tr VND</t>
        </is>
      </c>
      <c r="F17875" t="inlineStr">
        <is>
          <t>Hà Nội</t>
        </is>
      </c>
      <c r="G17875" t="inlineStr">
        <is>
          <t>03-04-2026</t>
        </is>
      </c>
      <c r="H17875" t="inlineStr">
        <is>
          <t>03/04/2026</t>
        </is>
      </c>
      <c r="I17875" t="inlineStr">
        <is>
          <t>17/03/2026</t>
        </is>
      </c>
      <c r="J17875" t="inlineStr">
        <is>
          <t>Bán lẻ / Bán sỉ, Bán hàng / Kinh doanh, Thực phẩm &amp; Đồ uống</t>
        </is>
      </c>
      <c r="K17875" t="inlineStr">
        <is>
          <t>3 - 5 Năm</t>
        </is>
      </c>
      <c r="L17875" s="8">
        <f>HYPERLINK("https://careerviet.vn/vi/tim-viec-lam/truong-phong-mua-sam.35C670FF.html","Xem chi tiết")</f>
        <v/>
      </c>
    </row>
    <row r="17876">
      <c r="B17876" s="9" t="n">
        <v>17874</v>
      </c>
      <c r="C17876" s="10" t="inlineStr">
        <is>
          <t>Sales executive</t>
        </is>
      </c>
      <c r="D17876" s="10" t="inlineStr">
        <is>
          <t>HR Vietnam’s ESS Client</t>
        </is>
      </c>
      <c r="E17876" s="10" t="inlineStr">
        <is>
          <t>Lương:Cạnh tranh</t>
        </is>
      </c>
      <c r="F17876" s="10" t="inlineStr">
        <is>
          <t>Hà Nội</t>
        </is>
      </c>
      <c r="G17876" s="10" t="inlineStr">
        <is>
          <t>03-04-2026</t>
        </is>
      </c>
      <c r="H17876" s="10" t="inlineStr">
        <is>
          <t>03/04/2026</t>
        </is>
      </c>
      <c r="I17876" s="10" t="inlineStr">
        <is>
          <t>17/03/2026</t>
        </is>
      </c>
      <c r="J17876" s="10" t="inlineStr">
        <is>
          <t>Tiếp thị / Marketing, Bán lẻ / Bán sỉ, Bán hàng / Kinh doanh</t>
        </is>
      </c>
      <c r="K17876" s="10" t="inlineStr">
        <is>
          <t>Trên 1 Năm</t>
        </is>
      </c>
      <c r="L17876" s="11">
        <f>HYPERLINK("https://careerviet.vn/vi/tim-viec-lam/sales-executive.35C6739B.html","Xem chi tiết")</f>
        <v/>
      </c>
      <c r="M17876" s="10" t="n"/>
    </row>
    <row r="17877">
      <c r="B17877" s="7" t="n">
        <v>17875</v>
      </c>
      <c r="C17877" t="inlineStr">
        <is>
          <t>Admission Manager - TP. HCM</t>
        </is>
      </c>
      <c r="D17877" t="inlineStr">
        <is>
          <t>Bảo mật</t>
        </is>
      </c>
      <c r="E17877" t="inlineStr">
        <is>
          <t>Lương:25 Tr - 35 Tr VND</t>
        </is>
      </c>
      <c r="F17877" t="inlineStr">
        <is>
          <t>Hồ Chí Minh</t>
        </is>
      </c>
      <c r="G17877" t="inlineStr">
        <is>
          <t>03-04-2026</t>
        </is>
      </c>
      <c r="H17877" t="inlineStr">
        <is>
          <t>03/04/2026</t>
        </is>
      </c>
      <c r="I17877" t="inlineStr">
        <is>
          <t>17/03/2026</t>
        </is>
      </c>
      <c r="J17877" t="inlineStr">
        <is>
          <t>Giáo dục / Đào tạo, Bán hàng / Kinh doanh, Quản lý điều hành</t>
        </is>
      </c>
      <c r="K17877" t="inlineStr">
        <is>
          <t>3 - 5 Năm</t>
        </is>
      </c>
      <c r="L17877" s="8">
        <f>HYPERLINK("https://careerviet.vn/vi/tim-viec-lam/admission-manager-tp-hcm.35C672BE.html","Xem chi tiết")</f>
        <v/>
      </c>
    </row>
    <row r="17878">
      <c r="B17878" s="9" t="n">
        <v>17876</v>
      </c>
      <c r="C17878" s="10" t="inlineStr">
        <is>
          <t>CVC/CVCC Quan Hệ Khách Hàng Ưu Tiên - KV Nghệ An - TA189</t>
        </is>
      </c>
      <c r="D17878" s="10" t="inlineStr">
        <is>
          <t>Ngân Hàng TMCP Việt Nam Thịnh Vượng - VPBANK</t>
        </is>
      </c>
      <c r="E17878" s="10" t="inlineStr">
        <is>
          <t>Lương:20 Tr - 50 Tr VND</t>
        </is>
      </c>
      <c r="F17878" s="10" t="inlineStr">
        <is>
          <t>Nghệ An</t>
        </is>
      </c>
      <c r="G17878" s="10" t="inlineStr">
        <is>
          <t>03-04-2026</t>
        </is>
      </c>
      <c r="H17878" s="10" t="inlineStr">
        <is>
          <t>03/04/2026</t>
        </is>
      </c>
      <c r="I17878" s="10" t="inlineStr">
        <is>
          <t>17/03/2026</t>
        </is>
      </c>
      <c r="J17878" s="10" t="inlineStr">
        <is>
          <t>Ngân hàng, Dịch vụ khách hàng</t>
        </is>
      </c>
      <c r="K17878" s="10" t="inlineStr">
        <is>
          <t>Trên 2 Năm</t>
        </is>
      </c>
      <c r="L17878" s="11">
        <f>HYPERLINK("https://careerviet.vn/vi/tim-viec-lam/cvc-cvcc-quan-he-khach-hang-uu-tien-kv-nghe-an-ta189.35C6738B.html","Xem chi tiết")</f>
        <v/>
      </c>
      <c r="M17878" s="10" t="n"/>
    </row>
    <row r="17879">
      <c r="B17879" s="7" t="n">
        <v>17877</v>
      </c>
      <c r="C17879" t="inlineStr">
        <is>
          <t>Trợ Lý Kinh Doanh</t>
        </is>
      </c>
      <c r="D17879" t="inlineStr">
        <is>
          <t>CÔNG TY TNHH THỰC PHẨM CUỘC SỐNG</t>
        </is>
      </c>
      <c r="E17879" t="inlineStr">
        <is>
          <t>Lương:15 Tr - 18 Tr VND</t>
        </is>
      </c>
      <c r="F17879" t="inlineStr">
        <is>
          <t>Hà Nội</t>
        </is>
      </c>
      <c r="G17879" t="inlineStr">
        <is>
          <t>03-04-2026</t>
        </is>
      </c>
      <c r="H17879" t="inlineStr">
        <is>
          <t>03/04/2026</t>
        </is>
      </c>
      <c r="I17879" t="inlineStr">
        <is>
          <t>17/03/2026</t>
        </is>
      </c>
      <c r="J17879" t="inlineStr">
        <is>
          <t>Hành chính / Thư ký</t>
        </is>
      </c>
      <c r="K17879" t="inlineStr">
        <is>
          <t>Trên 2 Năm</t>
        </is>
      </c>
      <c r="L17879" s="8">
        <f>HYPERLINK("https://careerviet.vn/vi/tim-viec-lam/tro-ly-kinh-doanh.35C6734F.html","Xem chi tiết")</f>
        <v/>
      </c>
    </row>
    <row r="17880">
      <c r="B17880" s="9" t="n">
        <v>17878</v>
      </c>
      <c r="C17880" s="10" t="inlineStr">
        <is>
          <t>Chuyên viên Tổng mức đầu tư</t>
        </is>
      </c>
      <c r="D17880" s="10" t="inlineStr">
        <is>
          <t>CÔNG TY CỔ PHẦN TẬP ĐOÀN ONSEN FUJI</t>
        </is>
      </c>
      <c r="E17880" s="10" t="inlineStr">
        <is>
          <t>Lương:25 Tr - 35 Tr VND</t>
        </is>
      </c>
      <c r="F17880" s="10" t="inlineStr">
        <is>
          <t>Hà Nội</t>
        </is>
      </c>
      <c r="G17880" s="10" t="inlineStr">
        <is>
          <t>03-04-2026</t>
        </is>
      </c>
      <c r="H17880" s="10" t="inlineStr">
        <is>
          <t>03/04/2026</t>
        </is>
      </c>
      <c r="I17880" s="10" t="inlineStr">
        <is>
          <t>17/03/2026</t>
        </is>
      </c>
      <c r="J17880" s="10" t="inlineStr">
        <is>
          <t>Tài chính / Đầu tư, Bất động sản, Xây dựng</t>
        </is>
      </c>
      <c r="K17880" s="10" t="inlineStr">
        <is>
          <t>5 - 7 Năm</t>
        </is>
      </c>
      <c r="L17880" s="11">
        <f>HYPERLINK("https://careerviet.vn/vi/tim-viec-lam/chuyen-vien-tong-muc-dau-tu.35C672A6.html","Xem chi tiết")</f>
        <v/>
      </c>
      <c r="M17880" s="10" t="n"/>
    </row>
    <row r="17881">
      <c r="B17881" s="7" t="n">
        <v>17879</v>
      </c>
      <c r="C17881" t="inlineStr">
        <is>
          <t>Nhân viên kinh doanh nhượng quyền</t>
        </is>
      </c>
      <c r="D17881" t="inlineStr">
        <is>
          <t>CÔNG TY TNHH BBQ VIỆT NAM</t>
        </is>
      </c>
      <c r="E17881" t="inlineStr">
        <is>
          <t>Lương:15 Tr - 30 Tr VND</t>
        </is>
      </c>
      <c r="F17881" t="inlineStr">
        <is>
          <t>Hà Nội</t>
        </is>
      </c>
      <c r="G17881" t="inlineStr">
        <is>
          <t>03-04-2026</t>
        </is>
      </c>
      <c r="H17881" t="inlineStr">
        <is>
          <t>03/04/2026</t>
        </is>
      </c>
      <c r="I17881" t="inlineStr">
        <is>
          <t>17/03/2026</t>
        </is>
      </c>
      <c r="J17881" t="inlineStr">
        <is>
          <t>Nhà hàng / Khách sạn</t>
        </is>
      </c>
      <c r="K17881" t="inlineStr">
        <is>
          <t>1 - 2 Năm</t>
        </is>
      </c>
      <c r="L17881" s="8">
        <f>HYPERLINK("https://careerviet.vn/vi/tim-viec-lam/nhan-vien-kinh-doanh-nhuong-quyen.35C672FE.html","Xem chi tiết")</f>
        <v/>
      </c>
    </row>
    <row r="17882">
      <c r="B17882" s="9" t="n">
        <v>17880</v>
      </c>
      <c r="C17882" s="10" t="inlineStr">
        <is>
          <t>[Đồng Nai] CV/CVC Quan hệ Khách hàng Doanh nghiệp</t>
        </is>
      </c>
      <c r="D17882" s="10" t="inlineStr">
        <is>
          <t>Ngân hàng TMCP Lộc Phát Việt Nam (LPBank)</t>
        </is>
      </c>
      <c r="E17882" s="10" t="inlineStr">
        <is>
          <t>Lương:Cạnh tranh</t>
        </is>
      </c>
      <c r="F17882" s="10" t="inlineStr">
        <is>
          <t>Đồng Nai</t>
        </is>
      </c>
      <c r="G17882" s="10" t="inlineStr">
        <is>
          <t>03-04-2026</t>
        </is>
      </c>
      <c r="H17882" s="10" t="inlineStr">
        <is>
          <t>03/04/2026</t>
        </is>
      </c>
      <c r="I17882" s="10" t="inlineStr">
        <is>
          <t>17/03/2026</t>
        </is>
      </c>
      <c r="J17882" s="10" t="inlineStr">
        <is>
          <t>Bán hàng / Kinh doanh, Bất động sản, Bảo hiểm</t>
        </is>
      </c>
      <c r="K17882" s="10" t="inlineStr">
        <is>
          <t>Trên 1 Năm</t>
        </is>
      </c>
      <c r="L17882" s="11">
        <f>HYPERLINK("https://careerviet.vn/vi/tim-viec-lam/dong-nai-cv-cvc-quan-he-khach-hang-doanh-nghiep.35C6734E.html","Xem chi tiết")</f>
        <v/>
      </c>
      <c r="M17882" s="10" t="n"/>
    </row>
    <row r="17883">
      <c r="B17883" s="7" t="n">
        <v>17881</v>
      </c>
      <c r="C17883" t="inlineStr">
        <is>
          <t>Chuyên viên Nghiên cứu &amp; Phát triển thị trường (Robot AI)</t>
        </is>
      </c>
      <c r="D17883" t="inlineStr">
        <is>
          <t>Bảo mật</t>
        </is>
      </c>
      <c r="E17883" t="inlineStr">
        <is>
          <t>Lương:Cạnh tranh</t>
        </is>
      </c>
      <c r="F17883" t="inlineStr">
        <is>
          <t>Hồ Chí Minh</t>
        </is>
      </c>
      <c r="G17883" t="inlineStr">
        <is>
          <t>03-04-2026</t>
        </is>
      </c>
      <c r="H17883" t="inlineStr">
        <is>
          <t>03/04/2026</t>
        </is>
      </c>
      <c r="I17883" t="inlineStr">
        <is>
          <t>17/03/2026</t>
        </is>
      </c>
      <c r="J17883" t="inlineStr">
        <is>
          <t>Bán hàng / Kinh doanh, Cơ khí / Ô tô / Tự động hóa, CNTT - Phần cứng / Mạng</t>
        </is>
      </c>
      <c r="K17883" t="inlineStr">
        <is>
          <t>3 - 5 Năm</t>
        </is>
      </c>
      <c r="L17883" s="8">
        <f>HYPERLINK("https://careerviet.vn/vi/tim-viec-lam/chuyen-vien-nghien-cuu-phat-trien-thi-truong-robot-ai.35C673EA.html","Xem chi tiết")</f>
        <v/>
      </c>
    </row>
    <row r="17884">
      <c r="B17884" s="9" t="n">
        <v>17882</v>
      </c>
      <c r="C17884" s="10" t="inlineStr">
        <is>
          <t>Kế Toán Tổng Hợp (Quản Lý Tòa Nhà) - Open for Fresher</t>
        </is>
      </c>
      <c r="D17884" s="10" t="inlineStr">
        <is>
          <t>Savills Vietnam</t>
        </is>
      </c>
      <c r="E17884" s="10" t="inlineStr">
        <is>
          <t>Lương:Cạnh tranh</t>
        </is>
      </c>
      <c r="F17884" s="10" t="inlineStr">
        <is>
          <t>Hồ Chí Minh</t>
        </is>
      </c>
      <c r="G17884" s="10" t="inlineStr">
        <is>
          <t>03-04-2026</t>
        </is>
      </c>
      <c r="H17884" s="10" t="inlineStr">
        <is>
          <t>03/04/2026</t>
        </is>
      </c>
      <c r="I17884" s="10" t="inlineStr">
        <is>
          <t>17/03/2026</t>
        </is>
      </c>
      <c r="J17884" s="10" t="inlineStr">
        <is>
          <t>Bất động sản</t>
        </is>
      </c>
      <c r="K17884" s="10" t="inlineStr">
        <is>
          <t>1 - 2 Năm</t>
        </is>
      </c>
      <c r="L17884" s="11">
        <f>HYPERLINK("https://careerviet.vn/vi/tim-viec-lam/ke-toan-tong-hop-quan-ly-toa-nha-open-for-fresher.35C66403.html","Xem chi tiết")</f>
        <v/>
      </c>
      <c r="M17884" s="10" t="n"/>
    </row>
    <row r="17885">
      <c r="B17885" s="7" t="n">
        <v>17883</v>
      </c>
      <c r="C17885" t="inlineStr">
        <is>
          <t>Giao Dịch Viên</t>
        </is>
      </c>
      <c r="D17885" t="inlineStr">
        <is>
          <t>Ngân Hàng TMCP Quốc Tế Việt Nam</t>
        </is>
      </c>
      <c r="E17885" t="inlineStr">
        <is>
          <t>Lương:8 Tr - 12 Tr VND</t>
        </is>
      </c>
      <c r="F17885" t="inlineStr">
        <is>
          <t>Hà Nội</t>
        </is>
      </c>
      <c r="G17885" t="inlineStr">
        <is>
          <t>03-04-2026</t>
        </is>
      </c>
      <c r="H17885" t="inlineStr">
        <is>
          <t>03/04/2026</t>
        </is>
      </c>
      <c r="I17885" t="inlineStr">
        <is>
          <t>17/03/2026</t>
        </is>
      </c>
      <c r="J17885" t="inlineStr">
        <is>
          <t>Tiếp thị / Marketing, Bán hàng / Kinh doanh, Ngân hàng</t>
        </is>
      </c>
      <c r="K17885" t="inlineStr">
        <is>
          <t>N/A</t>
        </is>
      </c>
      <c r="L17885" s="8">
        <f>HYPERLINK("https://careerviet.vn/vi/tim-viec-lam/giao-dich-vien.35C673AE.html","Xem chi tiết")</f>
        <v/>
      </c>
    </row>
    <row r="17886">
      <c r="B17886" s="9" t="n">
        <v>17884</v>
      </c>
      <c r="C17886" s="10" t="inlineStr">
        <is>
          <t>Nhân Viên Kinh Doanh</t>
        </is>
      </c>
      <c r="D17886" s="10" t="inlineStr">
        <is>
          <t>Công ty cổ phần Thiết bị Metech</t>
        </is>
      </c>
      <c r="E17886" s="10" t="inlineStr">
        <is>
          <t>Lương:10 Tr - 12 Tr VND</t>
        </is>
      </c>
      <c r="F17886" s="10" t="inlineStr">
        <is>
          <t>Hà Nội</t>
        </is>
      </c>
      <c r="G17886" s="10" t="inlineStr">
        <is>
          <t>03-04-2026</t>
        </is>
      </c>
      <c r="H17886" s="10" t="inlineStr">
        <is>
          <t>03/04/2026</t>
        </is>
      </c>
      <c r="I17886" s="10" t="inlineStr">
        <is>
          <t>17/03/2026</t>
        </is>
      </c>
      <c r="J17886" s="10" t="inlineStr">
        <is>
          <t>Y tế / Chăm sóc sức khỏe / Thẩm mỹ / Làm đẹp, Bán hàng / Kinh doanh, Tư vấn</t>
        </is>
      </c>
      <c r="K17886" s="10" t="inlineStr">
        <is>
          <t>1 - 3 Năm</t>
        </is>
      </c>
      <c r="L17886" s="11">
        <f>HYPERLINK("https://careerviet.vn/vi/tim-viec-lam/nhan-vien-kinh-doanh.35C672B3.html","Xem chi tiết")</f>
        <v/>
      </c>
      <c r="M17886" s="10" t="n"/>
    </row>
    <row r="17887">
      <c r="B17887" s="7" t="n">
        <v>17885</v>
      </c>
      <c r="C17887" t="inlineStr">
        <is>
          <t>Senior Graphic Designer</t>
        </is>
      </c>
      <c r="D17887" t="inlineStr">
        <is>
          <t>Công Ty Cổ Phần TEECOM</t>
        </is>
      </c>
      <c r="E17887" t="inlineStr">
        <is>
          <t>Lương:Cạnh tranh</t>
        </is>
      </c>
      <c r="F17887" t="inlineStr">
        <is>
          <t>Hồ Chí Minh</t>
        </is>
      </c>
      <c r="G17887" t="inlineStr">
        <is>
          <t>03-04-2026</t>
        </is>
      </c>
      <c r="H17887" t="inlineStr">
        <is>
          <t>03/04/2026</t>
        </is>
      </c>
      <c r="I17887" t="inlineStr">
        <is>
          <t>17/03/2026</t>
        </is>
      </c>
      <c r="J17887" t="inlineStr">
        <is>
          <t>Mỹ thuật / Nghệ thuật / Thiết kế, In ấn / Xuất bản</t>
        </is>
      </c>
      <c r="K17887" t="inlineStr">
        <is>
          <t>4 - 6 Năm</t>
        </is>
      </c>
      <c r="L17887" s="8">
        <f>HYPERLINK("https://careerviet.vn/vi/tim-viec-lam/senior-graphic-designer.35C673BC.html","Xem chi tiết")</f>
        <v/>
      </c>
    </row>
    <row r="17888">
      <c r="B17888" s="9" t="n">
        <v>17886</v>
      </c>
      <c r="C17888" s="10" t="inlineStr">
        <is>
          <t>Chuyên Viên Kinh Doanh (B2B) - Mảng Beauty/Cosmetic/Clinic</t>
        </is>
      </c>
      <c r="D17888" s="10" t="inlineStr">
        <is>
          <t>CÔNG TY TNHH XNK CUỘC SỐNG TƯƠI ĐẸP</t>
        </is>
      </c>
      <c r="E17888" s="10" t="inlineStr">
        <is>
          <t>Lương:12 Tr - 18 Tr VND</t>
        </is>
      </c>
      <c r="F17888" s="10" t="inlineStr">
        <is>
          <t>Hồ Chí MinhDak LakHà Nội</t>
        </is>
      </c>
      <c r="G17888" s="10" t="inlineStr">
        <is>
          <t>03-04-2026</t>
        </is>
      </c>
      <c r="H17888" s="10" t="inlineStr">
        <is>
          <t>03/04/2026</t>
        </is>
      </c>
      <c r="I17888" s="10" t="inlineStr">
        <is>
          <t>17/03/2026</t>
        </is>
      </c>
      <c r="J17888" s="10" t="inlineStr">
        <is>
          <t>Bán lẻ / Bán sỉ, Bán hàng / Kinh doanh, Dược phẩm/ Hóa Mỹ Phẩm</t>
        </is>
      </c>
      <c r="K17888" s="10" t="inlineStr">
        <is>
          <t>1 - 3 Năm</t>
        </is>
      </c>
      <c r="L17888" s="11">
        <f>HYPERLINK("https://careerviet.vn/vi/tim-viec-lam/chuyen-vien-kinh-doanh-b2b-mang-beauty-cosmetic-clinic.35C67331.html","Xem chi tiết")</f>
        <v/>
      </c>
      <c r="M17888" s="10" t="n"/>
    </row>
    <row r="17889">
      <c r="B17889" s="7" t="n">
        <v>17887</v>
      </c>
      <c r="C17889" t="inlineStr">
        <is>
          <t>Nhân viên IT tiếng anh / tiếng Trung</t>
        </is>
      </c>
      <c r="D17889" t="inlineStr">
        <is>
          <t>CÔNG TY TNHH QISDA VIỆT NAM</t>
        </is>
      </c>
      <c r="E17889" t="inlineStr">
        <is>
          <t>Lương:10 Tr - 18 Tr VND</t>
        </is>
      </c>
      <c r="F17889" t="inlineStr">
        <is>
          <t>Hà Nam</t>
        </is>
      </c>
      <c r="G17889" t="inlineStr">
        <is>
          <t>03-04-2026</t>
        </is>
      </c>
      <c r="H17889" t="inlineStr">
        <is>
          <t>03/04/2026</t>
        </is>
      </c>
      <c r="I17889" t="inlineStr">
        <is>
          <t>17/03/2026</t>
        </is>
      </c>
      <c r="J17889" t="inlineStr">
        <is>
          <t>CNTT - Phần cứng / Mạng</t>
        </is>
      </c>
      <c r="K17889" t="inlineStr">
        <is>
          <t>1 - 2 Năm</t>
        </is>
      </c>
      <c r="L17889" s="8">
        <f>HYPERLINK("https://careerviet.vn/vi/tim-viec-lam/nhan-vien-it-tieng-anh-tieng-trung.35C647DB.html","Xem chi tiết")</f>
        <v/>
      </c>
    </row>
    <row r="17890">
      <c r="B17890" s="9" t="n">
        <v>17888</v>
      </c>
      <c r="C17890" s="10" t="inlineStr">
        <is>
          <t>Nhân Viên Thủ Quỹ (Biết Tiếng Trung)</t>
        </is>
      </c>
      <c r="D17890" s="10" t="inlineStr">
        <is>
          <t>CÔNG TY TNHH DU LỊCH VÀ THƯƠNG MẠI HOÀNG TRÀ</t>
        </is>
      </c>
      <c r="E17890" s="10" t="inlineStr">
        <is>
          <t>Lương:Cạnh tranh</t>
        </is>
      </c>
      <c r="F17890" s="10" t="inlineStr">
        <is>
          <t>Hồ Chí Minh</t>
        </is>
      </c>
      <c r="G17890" s="10" t="inlineStr">
        <is>
          <t>03-04-2026</t>
        </is>
      </c>
      <c r="H17890" s="10" t="inlineStr">
        <is>
          <t>03/04/2026</t>
        </is>
      </c>
      <c r="I17890" s="10" t="inlineStr">
        <is>
          <t>17/03/2026</t>
        </is>
      </c>
      <c r="J17890" s="10" t="inlineStr">
        <is>
          <t>Hành chính / Thư ký, Kế toán / Kiểm toán, Du lịch</t>
        </is>
      </c>
      <c r="K17890" s="10" t="inlineStr">
        <is>
          <t>N/A</t>
        </is>
      </c>
      <c r="L17890" s="11">
        <f>HYPERLINK("https://careerviet.vn/vi/tim-viec-lam/nhan-vien-thu-quy-biet-tieng-trung.35C672EF.html","Xem chi tiết")</f>
        <v/>
      </c>
      <c r="M17890" s="10" t="n"/>
    </row>
    <row r="17891">
      <c r="B17891" s="7" t="n">
        <v>17889</v>
      </c>
      <c r="C17891" t="inlineStr">
        <is>
          <t>Nhân Viên Kinh Doanh Dự Án – Phụ Trách Livestream</t>
        </is>
      </c>
      <c r="D17891" t="inlineStr">
        <is>
          <t>CÔNG TY CỔ PHẦN ZENBOOKS</t>
        </is>
      </c>
      <c r="E17891" t="inlineStr">
        <is>
          <t>Lương:13 Tr - 15 Tr VND</t>
        </is>
      </c>
      <c r="F17891" t="inlineStr">
        <is>
          <t>Hồ Chí Minh</t>
        </is>
      </c>
      <c r="G17891" t="inlineStr">
        <is>
          <t>02-04-2026</t>
        </is>
      </c>
      <c r="H17891" t="inlineStr">
        <is>
          <t>02/04/2026</t>
        </is>
      </c>
      <c r="I17891" t="inlineStr">
        <is>
          <t>17/03/2026</t>
        </is>
      </c>
      <c r="J17891" t="inlineStr">
        <is>
          <t>Bán hàng / Kinh doanh, Tiếp thị trực tuyến, Thương mại điện tử</t>
        </is>
      </c>
      <c r="K17891" t="inlineStr">
        <is>
          <t>1 - 2 Năm</t>
        </is>
      </c>
      <c r="L17891" s="8">
        <f>HYPERLINK("https://careerviet.vn/vi/tim-viec-lam/nhan-vien-kinh-doanh-du-an-phu-trach-livestream.35C67385.html","Xem chi tiết")</f>
        <v/>
      </c>
    </row>
    <row r="17892">
      <c r="B17892" s="9" t="n">
        <v>17890</v>
      </c>
      <c r="C17892" s="10" t="inlineStr">
        <is>
          <t>Việc Làm Văn Phòng - Sale Data Có Sẵn Của Viettel - [BSV]-[G1]</t>
        </is>
      </c>
      <c r="D17892" s="10" t="inlineStr">
        <is>
          <t>BellSystem24-Việt Nam</t>
        </is>
      </c>
      <c r="E17892" s="10" t="inlineStr">
        <is>
          <t>Lương:8 Tr - 15 Tr VND</t>
        </is>
      </c>
      <c r="F17892" s="10" t="inlineStr">
        <is>
          <t>Hồ Chí Minh</t>
        </is>
      </c>
      <c r="G17892" s="10" t="inlineStr">
        <is>
          <t>03-04-2026</t>
        </is>
      </c>
      <c r="H17892" s="10" t="inlineStr">
        <is>
          <t>03/04/2026</t>
        </is>
      </c>
      <c r="I17892" s="10" t="inlineStr">
        <is>
          <t>17/03/2026</t>
        </is>
      </c>
      <c r="J17892" s="10" t="inlineStr">
        <is>
          <t>Bưu chính viễn thông, Dịch vụ khách hàng, Tư vấn</t>
        </is>
      </c>
      <c r="K17892" s="10" t="inlineStr">
        <is>
          <t>N/A</t>
        </is>
      </c>
      <c r="L17892" s="11">
        <f>HYPERLINK("https://careerviet.vn/vi/tim-viec-lam/viec-lam-van-phong-sale-data-co-san-cua-viettel-bsv-g1.35C673A1.html","Xem chi tiết")</f>
        <v/>
      </c>
      <c r="M17892" s="10" t="n"/>
    </row>
    <row r="17893">
      <c r="B17893" s="7" t="n">
        <v>17891</v>
      </c>
      <c r="C17893" t="inlineStr">
        <is>
          <t>THỦ KHO (BẾN LỨC - TÂY NINH)</t>
        </is>
      </c>
      <c r="D17893" t="inlineStr">
        <is>
          <t>CÔNG TY TNHH ĐẦU TƯ ITS</t>
        </is>
      </c>
      <c r="E17893" t="inlineStr">
        <is>
          <t>Lương:9 Tr - 11 Tr VND</t>
        </is>
      </c>
      <c r="F17893" t="inlineStr">
        <is>
          <t>Long An</t>
        </is>
      </c>
      <c r="G17893" t="inlineStr">
        <is>
          <t>03-04-2026</t>
        </is>
      </c>
      <c r="H17893" t="inlineStr">
        <is>
          <t>03/04/2026</t>
        </is>
      </c>
      <c r="I17893" t="inlineStr">
        <is>
          <t>17/03/2026</t>
        </is>
      </c>
      <c r="J17893" t="inlineStr">
        <is>
          <t>Vận chuyển / Giao nhận / Kho vận, Sản xuất / Vận hành sản xuất, Cơ khí / Ô tô / Tự động hóa</t>
        </is>
      </c>
      <c r="K17893" t="inlineStr">
        <is>
          <t>1 - 2 Năm</t>
        </is>
      </c>
      <c r="L17893" s="8">
        <f>HYPERLINK("https://careerviet.vn/vi/tim-viec-lam/thu-kho-ben-luc-tay-ninh.35C67352.html","Xem chi tiết")</f>
        <v/>
      </c>
    </row>
    <row r="17894">
      <c r="B17894" s="9" t="n">
        <v>17892</v>
      </c>
      <c r="C17894" s="10" t="inlineStr">
        <is>
          <t>Kỹ sư JQE (Tiếng Trung)</t>
        </is>
      </c>
      <c r="D17894" s="10" t="inlineStr">
        <is>
          <t>CÔNG TY TNHH QISDA VIỆT NAM</t>
        </is>
      </c>
      <c r="E17894" s="10" t="inlineStr">
        <is>
          <t>Lương:12 Tr - 30,0 Tr VND</t>
        </is>
      </c>
      <c r="F17894" s="10" t="inlineStr">
        <is>
          <t>Hà Nam</t>
        </is>
      </c>
      <c r="G17894" s="10" t="inlineStr">
        <is>
          <t>03-04-2026</t>
        </is>
      </c>
      <c r="H17894" s="10" t="inlineStr">
        <is>
          <t>03/04/2026</t>
        </is>
      </c>
      <c r="I17894" s="10" t="inlineStr">
        <is>
          <t>17/03/2026</t>
        </is>
      </c>
      <c r="J17894" s="10" t="inlineStr">
        <is>
          <t>Quản lý chất lượng (QA/QC)</t>
        </is>
      </c>
      <c r="K17894" s="10" t="inlineStr">
        <is>
          <t>2 - 5 Năm</t>
        </is>
      </c>
      <c r="L17894" s="11">
        <f>HYPERLINK("https://careerviet.vn/vi/tim-viec-lam/ky-su-jqe-tieng-trung.35C647C9.html","Xem chi tiết")</f>
        <v/>
      </c>
      <c r="M17894" s="10" t="n"/>
    </row>
    <row r="17895">
      <c r="B17895" s="7" t="n">
        <v>17893</v>
      </c>
      <c r="C17895" t="inlineStr">
        <is>
          <t>Phó phòng kinh doanh mảng B2B</t>
        </is>
      </c>
      <c r="D17895" t="inlineStr">
        <is>
          <t>Công ty CP IIG Việt Nam</t>
        </is>
      </c>
      <c r="E17895" t="inlineStr">
        <is>
          <t>Lương:Cạnh tranh</t>
        </is>
      </c>
      <c r="F17895" t="inlineStr">
        <is>
          <t>Hà Nội</t>
        </is>
      </c>
      <c r="G17895" t="inlineStr">
        <is>
          <t>03-04-2026</t>
        </is>
      </c>
      <c r="H17895" t="inlineStr">
        <is>
          <t>03/04/2026</t>
        </is>
      </c>
      <c r="I17895" t="inlineStr">
        <is>
          <t>17/03/2026</t>
        </is>
      </c>
      <c r="J17895" t="inlineStr">
        <is>
          <t>Bán hàng / Kinh doanh, Giáo dục / Đào tạo, Ngân hàng</t>
        </is>
      </c>
      <c r="K17895" t="inlineStr">
        <is>
          <t>3 - 5 Năm</t>
        </is>
      </c>
      <c r="L17895" s="8">
        <f>HYPERLINK("https://careerviet.vn/vi/tim-viec-lam/pho-phong-kinh-doanh-mang-b2b.35C67290.html","Xem chi tiết")</f>
        <v/>
      </c>
    </row>
    <row r="17896">
      <c r="B17896" s="9" t="n">
        <v>17894</v>
      </c>
      <c r="C17896" s="10" t="inlineStr">
        <is>
          <t>Trợ Lý Quản Lý Tòa Nhà (Assistant to Property Manager)</t>
        </is>
      </c>
      <c r="D17896" s="10" t="inlineStr">
        <is>
          <t>Savills Vietnam</t>
        </is>
      </c>
      <c r="E17896" s="10" t="inlineStr">
        <is>
          <t>Lương:14 Tr - 16 Tr VND</t>
        </is>
      </c>
      <c r="F17896" s="10" t="inlineStr">
        <is>
          <t>Hồ Chí Minh</t>
        </is>
      </c>
      <c r="G17896" s="10" t="inlineStr">
        <is>
          <t>03-04-2026</t>
        </is>
      </c>
      <c r="H17896" s="10" t="inlineStr">
        <is>
          <t>03/04/2026</t>
        </is>
      </c>
      <c r="I17896" s="10" t="inlineStr">
        <is>
          <t>17/03/2026</t>
        </is>
      </c>
      <c r="J17896" s="10" t="inlineStr">
        <is>
          <t>Nhà hàng / Khách sạn, Hành chính / Thư ký, Ngành khác</t>
        </is>
      </c>
      <c r="K17896" s="10" t="inlineStr">
        <is>
          <t>1 - 2 Năm</t>
        </is>
      </c>
      <c r="L17896" s="11">
        <f>HYPERLINK("https://careerviet.vn/vi/tim-viec-lam/tro-ly-quan-ly-toa-nha-assistant-to-property-manager.35C66D65.html","Xem chi tiết")</f>
        <v/>
      </c>
      <c r="M17896" s="10" t="n"/>
    </row>
    <row r="17897">
      <c r="B17897" s="7" t="n">
        <v>17895</v>
      </c>
      <c r="C17897" t="inlineStr">
        <is>
          <t>Nhân viên Kinh doanh Giao hàng tận nhà - TP.HCM</t>
        </is>
      </c>
      <c r="D17897" t="inlineStr">
        <is>
          <t>Cty TNHH Yakult Việt Nam</t>
        </is>
      </c>
      <c r="E17897" t="inlineStr">
        <is>
          <t>Lương:11 Tr - 15 Tr VND</t>
        </is>
      </c>
      <c r="F17897" t="inlineStr">
        <is>
          <t>Hồ Chí Minh</t>
        </is>
      </c>
      <c r="G17897" t="inlineStr">
        <is>
          <t>03-04-2026</t>
        </is>
      </c>
      <c r="H17897" t="inlineStr">
        <is>
          <t>03/04/2026</t>
        </is>
      </c>
      <c r="I17897" t="inlineStr">
        <is>
          <t>17/03/2026</t>
        </is>
      </c>
      <c r="J17897" t="inlineStr">
        <is>
          <t>Tiếp thị / Marketing, Bán hàng / Kinh doanh, Dịch vụ khách hàng</t>
        </is>
      </c>
      <c r="K17897" t="inlineStr">
        <is>
          <t>N/A</t>
        </is>
      </c>
      <c r="L17897" s="8">
        <f>HYPERLINK("https://careerviet.vn/vi/tim-viec-lam/nhan-vien-kinh-doanh-giao-hang-tan-nha-tp-hcm.35C6721F.html","Xem chi tiết")</f>
        <v/>
      </c>
    </row>
    <row r="17898">
      <c r="B17898" s="9" t="n">
        <v>17896</v>
      </c>
      <c r="C17898" s="10" t="inlineStr">
        <is>
          <t>[Hotel HN] Assistant To Chairman (Hospitality)</t>
        </is>
      </c>
      <c r="D17898" s="10" t="inlineStr">
        <is>
          <t>Công ty Cổ phần Tập đoàn Minh Anh</t>
        </is>
      </c>
      <c r="E17898" s="10" t="inlineStr">
        <is>
          <t>Lương:Cạnh tranh</t>
        </is>
      </c>
      <c r="F17898" s="10" t="inlineStr">
        <is>
          <t>Hà Nội</t>
        </is>
      </c>
      <c r="G17898" s="10" t="inlineStr">
        <is>
          <t>03-04-2026</t>
        </is>
      </c>
      <c r="H17898" s="10" t="inlineStr">
        <is>
          <t>03/04/2026</t>
        </is>
      </c>
      <c r="I17898" s="10" t="inlineStr">
        <is>
          <t>17/03/2026</t>
        </is>
      </c>
      <c r="J17898" s="10" t="inlineStr">
        <is>
          <t>Dịch vụ khách hàng, Hành chính / Thư ký, Nhà hàng / Khách sạn</t>
        </is>
      </c>
      <c r="K17898" s="10" t="inlineStr">
        <is>
          <t>2 - 5 Năm</t>
        </is>
      </c>
      <c r="L17898" s="11">
        <f>HYPERLINK("https://careerviet.vn/vi/tim-viec-lam/hotel-hn-assistant-to-chairman-hospitality.35C67324.html","Xem chi tiết")</f>
        <v/>
      </c>
      <c r="M17898" s="10" t="n"/>
    </row>
    <row r="17899">
      <c r="B17899" s="7" t="n">
        <v>17897</v>
      </c>
      <c r="C17899" t="inlineStr">
        <is>
          <t>Business Development</t>
        </is>
      </c>
      <c r="D17899" t="inlineStr">
        <is>
          <t>Công ty TNHH Viettel - CHT</t>
        </is>
      </c>
      <c r="E17899" t="inlineStr">
        <is>
          <t>Lương:Cạnh tranh</t>
        </is>
      </c>
      <c r="F17899" t="inlineStr">
        <is>
          <t>Hà Nội</t>
        </is>
      </c>
      <c r="G17899" t="inlineStr">
        <is>
          <t>03-04-2026</t>
        </is>
      </c>
      <c r="H17899" t="inlineStr">
        <is>
          <t>03/04/2026</t>
        </is>
      </c>
      <c r="I17899" t="inlineStr">
        <is>
          <t>17/03/2026</t>
        </is>
      </c>
      <c r="J17899" t="inlineStr">
        <is>
          <t>CNTT - Phần mềm, CNTT - Phần cứng / Mạng, Tài chính / Đầu tư</t>
        </is>
      </c>
      <c r="K17899" t="inlineStr">
        <is>
          <t>Trên 3 Năm</t>
        </is>
      </c>
      <c r="L17899" s="8">
        <f>HYPERLINK("https://careerviet.vn/vi/tim-viec-lam/business-development.35C647EE.html","Xem chi tiết")</f>
        <v/>
      </c>
    </row>
    <row r="17900">
      <c r="B17900" s="9" t="n">
        <v>17898</v>
      </c>
      <c r="C17900" s="10" t="inlineStr">
        <is>
          <t>THIẾT KẾ NỘI THẤT</t>
        </is>
      </c>
      <c r="D17900" s="10" t="inlineStr">
        <is>
          <t>APS Concept</t>
        </is>
      </c>
      <c r="E17900" s="10" t="inlineStr">
        <is>
          <t>Lương:12 Tr - 18 Tr VND</t>
        </is>
      </c>
      <c r="F17900" s="10" t="inlineStr">
        <is>
          <t>Hồ Chí Minh</t>
        </is>
      </c>
      <c r="G17900" s="10" t="inlineStr">
        <is>
          <t>04-05-2026</t>
        </is>
      </c>
      <c r="H17900" s="10" t="inlineStr">
        <is>
          <t>04/05/2026</t>
        </is>
      </c>
      <c r="I17900" s="10" t="inlineStr">
        <is>
          <t>17/03/2026</t>
        </is>
      </c>
      <c r="J17900" s="10" t="inlineStr">
        <is>
          <t>Nội ngoại thất, Kiến trúc, Xây dựng</t>
        </is>
      </c>
      <c r="K17900" s="10" t="inlineStr">
        <is>
          <t>1 - 2 Năm</t>
        </is>
      </c>
      <c r="L17900" s="11">
        <f>HYPERLINK("https://careerviet.vn/vi/tim-viec-lam/thiet-ke-noi-that.35C65C96.html","Xem chi tiết")</f>
        <v/>
      </c>
      <c r="M17900" s="10" t="n"/>
    </row>
    <row r="17901">
      <c r="B17901" s="7" t="n">
        <v>17899</v>
      </c>
      <c r="C17901" t="inlineStr">
        <is>
          <t>TRỢ LÝ KINH DOANH</t>
        </is>
      </c>
      <c r="D17901" t="inlineStr">
        <is>
          <t>CÔNG TY TNHH CÔNG NGHỆ TECO (VIỆT NAM)</t>
        </is>
      </c>
      <c r="E17901" t="inlineStr">
        <is>
          <t>Lương:15 Tr - 20 Tr VND</t>
        </is>
      </c>
      <c r="F17901" t="inlineStr">
        <is>
          <t>Bình Dương</t>
        </is>
      </c>
      <c r="G17901" t="inlineStr">
        <is>
          <t>02-04-2026</t>
        </is>
      </c>
      <c r="H17901" t="inlineStr">
        <is>
          <t>02/04/2026</t>
        </is>
      </c>
      <c r="I17901" t="inlineStr">
        <is>
          <t>17/03/2026</t>
        </is>
      </c>
      <c r="J17901" t="inlineStr">
        <is>
          <t>Tiếp thị / Marketing, Bán Hàng Kỹ Thuật, Điện / Điện tử / Điện lạnh / Điện công nghiệp</t>
        </is>
      </c>
      <c r="K17901" t="inlineStr">
        <is>
          <t>2 - 3 Năm</t>
        </is>
      </c>
      <c r="L17901" s="8">
        <f>HYPERLINK("https://careerviet.vn/vi/tim-viec-lam/tro-ly-kinh-doanh.35C671E3.html","Xem chi tiết")</f>
        <v/>
      </c>
    </row>
    <row r="17902">
      <c r="B17902" s="9" t="n">
        <v>17900</v>
      </c>
      <c r="C17902" s="10" t="inlineStr">
        <is>
          <t>Nhân Viên Hành Chính (Admin)</t>
        </is>
      </c>
      <c r="D17902" s="10" t="inlineStr">
        <is>
          <t>Savills Vietnam</t>
        </is>
      </c>
      <c r="E17902" s="10" t="inlineStr">
        <is>
          <t>Lương:10 Tr - 12 Tr VND</t>
        </is>
      </c>
      <c r="F17902" s="10" t="inlineStr">
        <is>
          <t>Hồ Chí Minh</t>
        </is>
      </c>
      <c r="G17902" s="10" t="inlineStr">
        <is>
          <t>03-04-2026</t>
        </is>
      </c>
      <c r="H17902" s="10" t="inlineStr">
        <is>
          <t>03/04/2026</t>
        </is>
      </c>
      <c r="I17902" s="10" t="inlineStr">
        <is>
          <t>17/03/2026</t>
        </is>
      </c>
      <c r="J17902" s="10" t="inlineStr">
        <is>
          <t>Hành chính / Thư ký, Nhân sự, Ngành khác</t>
        </is>
      </c>
      <c r="K17902" s="10" t="inlineStr">
        <is>
          <t>Chưa có kinh nghiệm</t>
        </is>
      </c>
      <c r="L17902" s="11">
        <f>HYPERLINK("https://careerviet.vn/vi/tim-viec-lam/nhan-vien-hanh-chinh-admin.35C66D63.html","Xem chi tiết")</f>
        <v/>
      </c>
      <c r="M17902" s="10" t="n"/>
    </row>
    <row r="17903">
      <c r="B17903" s="7" t="n">
        <v>17901</v>
      </c>
      <c r="C17903" t="inlineStr">
        <is>
          <t>Tổ trưởng sản xuất</t>
        </is>
      </c>
      <c r="D17903" t="inlineStr">
        <is>
          <t>CÔNG TY CỔ PHẦN NHỰA TÁI CHẾ DUY TÂN</t>
        </is>
      </c>
      <c r="E17903" t="inlineStr">
        <is>
          <t>Lương:12 Tr - 13 Tr VND</t>
        </is>
      </c>
      <c r="F17903" t="inlineStr">
        <is>
          <t>Long An</t>
        </is>
      </c>
      <c r="G17903" t="inlineStr">
        <is>
          <t>24-03-2026</t>
        </is>
      </c>
      <c r="H17903" t="inlineStr">
        <is>
          <t>24/03/2026</t>
        </is>
      </c>
      <c r="I17903" t="inlineStr">
        <is>
          <t>17/03/2026</t>
        </is>
      </c>
      <c r="J17903" t="inlineStr">
        <is>
          <t>Sản xuất / Vận hành sản xuất, Ngành khác, Hóa học</t>
        </is>
      </c>
      <c r="K17903" t="inlineStr">
        <is>
          <t>1 - 2 Năm</t>
        </is>
      </c>
      <c r="L17903" s="8">
        <f>HYPERLINK("https://careerviet.vn/vi/tim-viec-lam/to-truong-san-xuat.35C63AD5.html","Xem chi tiết")</f>
        <v/>
      </c>
    </row>
    <row r="17904">
      <c r="B17904" s="9" t="n">
        <v>17902</v>
      </c>
      <c r="C17904" s="10" t="inlineStr">
        <is>
          <t>Sales Admin</t>
        </is>
      </c>
      <c r="D17904" s="10" t="inlineStr">
        <is>
          <t>CÔNG TY CỔ PHẦN GIẢI PHÁP GENE - GENE SOLUTIONS</t>
        </is>
      </c>
      <c r="E17904" s="10" t="inlineStr">
        <is>
          <t>Lương:Cạnh tranh</t>
        </is>
      </c>
      <c r="F17904" s="10" t="inlineStr">
        <is>
          <t>Hồ Chí Minh</t>
        </is>
      </c>
      <c r="G17904" s="10" t="inlineStr">
        <is>
          <t>11-04-2026</t>
        </is>
      </c>
      <c r="H17904" s="10" t="inlineStr">
        <is>
          <t>11/04/2026</t>
        </is>
      </c>
      <c r="I17904" s="10" t="inlineStr">
        <is>
          <t>17/03/2026</t>
        </is>
      </c>
      <c r="J17904" s="10" t="inlineStr">
        <is>
          <t>Tiếp thị / Marketing, Y tế / Chăm sóc sức khỏe / Thẩm mỹ / Làm đẹp, Bán hàng / Kinh doanh</t>
        </is>
      </c>
      <c r="K17904" s="10" t="inlineStr">
        <is>
          <t>2 - 5 Năm</t>
        </is>
      </c>
      <c r="L17904" s="11">
        <f>HYPERLINK("https://careerviet.vn/vi/tim-viec-lam/sales-admin.35C6AABA.html","Xem chi tiết")</f>
        <v/>
      </c>
      <c r="M17904" s="10" t="n"/>
    </row>
    <row r="17905">
      <c r="B17905" s="7" t="n">
        <v>17903</v>
      </c>
      <c r="C17905" t="inlineStr">
        <is>
          <t>KẾ TOÁN TỔNG HỢP</t>
        </is>
      </c>
      <c r="D17905" t="inlineStr">
        <is>
          <t>CÔNG TY TNHH CÔNG NGHỆ TECO (VIỆT NAM)</t>
        </is>
      </c>
      <c r="E17905" t="inlineStr">
        <is>
          <t>Lương:15 Tr - 20 Tr VND</t>
        </is>
      </c>
      <c r="F17905" t="inlineStr">
        <is>
          <t>Bình Dương</t>
        </is>
      </c>
      <c r="G17905" t="inlineStr">
        <is>
          <t>02-04-2026</t>
        </is>
      </c>
      <c r="H17905" t="inlineStr">
        <is>
          <t>02/04/2026</t>
        </is>
      </c>
      <c r="I17905" t="inlineStr">
        <is>
          <t>17/03/2026</t>
        </is>
      </c>
      <c r="J17905" t="inlineStr">
        <is>
          <t>Kế toán / Kiểm toán</t>
        </is>
      </c>
      <c r="K17905" t="inlineStr">
        <is>
          <t>1 - 2 Năm</t>
        </is>
      </c>
      <c r="L17905" s="8">
        <f>HYPERLINK("https://careerviet.vn/vi/tim-viec-lam/ke-toan-tong-hop.35C671E6.html","Xem chi tiết")</f>
        <v/>
      </c>
    </row>
    <row r="17906">
      <c r="B17906" s="9" t="n">
        <v>17904</v>
      </c>
      <c r="C17906" s="10" t="inlineStr">
        <is>
          <t>Kỹ thuật viên SMT</t>
        </is>
      </c>
      <c r="D17906" s="10" t="inlineStr">
        <is>
          <t>Công ty TNHH Anam Electronics Việt Nam</t>
        </is>
      </c>
      <c r="E17906" s="10" t="inlineStr">
        <is>
          <t>Lương:Cạnh tranh</t>
        </is>
      </c>
      <c r="F17906" s="10" t="inlineStr">
        <is>
          <t>Hà Nam</t>
        </is>
      </c>
      <c r="G17906" s="10" t="inlineStr">
        <is>
          <t>03-04-2026</t>
        </is>
      </c>
      <c r="H17906" s="10" t="inlineStr">
        <is>
          <t>03/04/2026</t>
        </is>
      </c>
      <c r="I17906" s="10" t="inlineStr">
        <is>
          <t>17/03/2026</t>
        </is>
      </c>
      <c r="J17906" s="10" t="inlineStr">
        <is>
          <t>Cơ khí / Ô tô / Tự động hóa, Điện / Điện tử / Điện lạnh / Điện công nghiệp, Sản xuất / Vận hành sản xuất</t>
        </is>
      </c>
      <c r="K17906" s="10" t="inlineStr">
        <is>
          <t>Chưa có kinh nghiệm</t>
        </is>
      </c>
      <c r="L17906" s="11">
        <f>HYPERLINK("https://careerviet.vn/vi/tim-viec-lam/ky-thuat-vien-smt.35C67327.html","Xem chi tiết")</f>
        <v/>
      </c>
      <c r="M17906" s="10" t="n"/>
    </row>
    <row r="17907">
      <c r="B17907" s="7" t="n">
        <v>17905</v>
      </c>
      <c r="C17907" t="inlineStr">
        <is>
          <t>TRỢ LÝ KIỂM TOÁN NỘI BỘ</t>
        </is>
      </c>
      <c r="D17907" t="inlineStr">
        <is>
          <t>Công ty TNHH Giày Apache Việt Nam</t>
        </is>
      </c>
      <c r="E17907" t="inlineStr">
        <is>
          <t>Lương:8 Tr - 13 Tr VND</t>
        </is>
      </c>
      <c r="F17907" t="inlineStr">
        <is>
          <t>Tiền Giang</t>
        </is>
      </c>
      <c r="G17907" t="inlineStr">
        <is>
          <t>02-04-2026</t>
        </is>
      </c>
      <c r="H17907" t="inlineStr">
        <is>
          <t>02/04/2026</t>
        </is>
      </c>
      <c r="I17907" t="inlineStr">
        <is>
          <t>17/03/2026</t>
        </is>
      </c>
      <c r="J17907" t="inlineStr">
        <is>
          <t>Kế toán / Kiểm toán</t>
        </is>
      </c>
      <c r="K17907" t="inlineStr">
        <is>
          <t>1 - 2 Năm</t>
        </is>
      </c>
      <c r="L17907" s="8">
        <f>HYPERLINK("https://careerviet.vn/vi/tim-viec-lam/tro-ly-kiem-toan-noi-bo.35C64723.html","Xem chi tiết")</f>
        <v/>
      </c>
    </row>
    <row r="17908">
      <c r="B17908" s="9" t="n">
        <v>17906</v>
      </c>
      <c r="C17908" s="10" t="inlineStr">
        <is>
          <t>[NovaDreams] Chuyên viên cao cấp thanh tra An Toàn Vệ Sinh Thực Phẩm</t>
        </is>
      </c>
      <c r="D17908" s="10" t="inlineStr">
        <is>
          <t>Nova Service Group - Công ty Cổ phần Tập đoàn Nova Services</t>
        </is>
      </c>
      <c r="E17908" s="10" t="inlineStr">
        <is>
          <t>Lương:Cạnh tranh</t>
        </is>
      </c>
      <c r="F17908" s="10" t="inlineStr">
        <is>
          <t>Hồ Chí Minh</t>
        </is>
      </c>
      <c r="G17908" s="10" t="inlineStr">
        <is>
          <t>31-03-2026</t>
        </is>
      </c>
      <c r="H17908" s="10" t="inlineStr">
        <is>
          <t>31/03/2026</t>
        </is>
      </c>
      <c r="I17908" s="10" t="inlineStr">
        <is>
          <t>17/03/2026</t>
        </is>
      </c>
      <c r="J17908" s="10" t="inlineStr">
        <is>
          <t>Quản lý chất lượng (QA/QC), Thực phẩm &amp; Đồ uống, Công nghệ thực phẩm / Dinh dưỡng</t>
        </is>
      </c>
      <c r="K17908" s="10" t="inlineStr">
        <is>
          <t>4 - 10 Năm</t>
        </is>
      </c>
      <c r="L17908" s="11">
        <f>HYPERLINK("https://careerviet.vn/vi/tim-viec-lam/novadreams-chuyen-vien-cao-cap-thanh-tra-an-toan-ve-sinh-thuc-pham.35C6A947.html","Xem chi tiết")</f>
        <v/>
      </c>
      <c r="M17908" s="10" t="n"/>
    </row>
    <row r="17909">
      <c r="B17909" s="7" t="n">
        <v>17907</v>
      </c>
      <c r="C17909" t="inlineStr">
        <is>
          <t>Nhân viên xét nghiệm (nội trú)</t>
        </is>
      </c>
      <c r="D17909" t="inlineStr">
        <is>
          <t>Công ty Cổ Phần Thực Phẩm Vĩnh Tân</t>
        </is>
      </c>
      <c r="E17909" t="inlineStr">
        <is>
          <t>Lương:8 Tr - 10 Tr VND</t>
        </is>
      </c>
      <c r="F17909" t="inlineStr">
        <is>
          <t>Bà Rịa - Vũng Tàu</t>
        </is>
      </c>
      <c r="G17909" t="inlineStr">
        <is>
          <t>02-04-2026</t>
        </is>
      </c>
      <c r="H17909" t="inlineStr">
        <is>
          <t>02/04/2026</t>
        </is>
      </c>
      <c r="I17909" t="inlineStr">
        <is>
          <t>17/03/2026</t>
        </is>
      </c>
      <c r="J17909" t="inlineStr">
        <is>
          <t>Chăn nuôi / Thú y</t>
        </is>
      </c>
      <c r="K17909" t="inlineStr">
        <is>
          <t>N/A</t>
        </is>
      </c>
      <c r="L17909" s="8">
        <f>HYPERLINK("https://careerviet.vn/vi/tim-viec-lam/nhan-vien-xet-nghiem-noi-tru.35C64703.html","Xem chi tiết")</f>
        <v/>
      </c>
    </row>
    <row r="17910">
      <c r="B17910" s="9" t="n">
        <v>17908</v>
      </c>
      <c r="C17910" s="10" t="inlineStr">
        <is>
          <t>KẾ TOÁN TRƯỞNG    (BIẾT TIẾNG TRUNG)</t>
        </is>
      </c>
      <c r="D17910" s="10" t="inlineStr">
        <is>
          <t>CÔNG TY TNHH CÔNG NGHỆ TECO (VIỆT NAM)</t>
        </is>
      </c>
      <c r="E17910" s="10" t="inlineStr">
        <is>
          <t>Lương:25 Tr - 30 Tr VND</t>
        </is>
      </c>
      <c r="F17910" s="10" t="inlineStr">
        <is>
          <t>Bình Dương</t>
        </is>
      </c>
      <c r="G17910" s="10" t="inlineStr">
        <is>
          <t>02-04-2026</t>
        </is>
      </c>
      <c r="H17910" s="10" t="inlineStr">
        <is>
          <t>02/04/2026</t>
        </is>
      </c>
      <c r="I17910" s="10" t="inlineStr">
        <is>
          <t>17/03/2026</t>
        </is>
      </c>
      <c r="J17910" s="10" t="inlineStr">
        <is>
          <t>Kế toán / Kiểm toán</t>
        </is>
      </c>
      <c r="K17910" s="10" t="inlineStr">
        <is>
          <t>3 - 5 Năm</t>
        </is>
      </c>
      <c r="L17910" s="11">
        <f>HYPERLINK("https://careerviet.vn/vi/tim-viec-lam/ke-toan-truong-biet-tieng-trung.35C671E5.html","Xem chi tiết")</f>
        <v/>
      </c>
      <c r="M17910" s="10" t="n"/>
    </row>
    <row r="17911">
      <c r="B17911" s="7" t="n">
        <v>17909</v>
      </c>
      <c r="C17911" t="inlineStr">
        <is>
          <t>IT support</t>
        </is>
      </c>
      <c r="D17911" t="inlineStr">
        <is>
          <t>CÔNG TY CP CÔNG NGHỆ QI</t>
        </is>
      </c>
      <c r="E17911" t="inlineStr">
        <is>
          <t>Lương:16 Tr - 18 Tr VND</t>
        </is>
      </c>
      <c r="F17911" t="inlineStr">
        <is>
          <t>Hồ Chí Minh</t>
        </is>
      </c>
      <c r="G17911" t="inlineStr">
        <is>
          <t>03-04-2026</t>
        </is>
      </c>
      <c r="H17911" t="inlineStr">
        <is>
          <t>03/04/2026</t>
        </is>
      </c>
      <c r="I17911" t="inlineStr">
        <is>
          <t>17/03/2026</t>
        </is>
      </c>
      <c r="J17911" t="inlineStr">
        <is>
          <t>CNTT - Phần cứng / Mạng</t>
        </is>
      </c>
      <c r="K17911" t="inlineStr">
        <is>
          <t>2 - 3 Năm</t>
        </is>
      </c>
      <c r="L17911" s="8">
        <f>HYPERLINK("https://careerviet.vn/vi/tim-viec-lam/it-support.35C6AA1F.html","Xem chi tiết")</f>
        <v/>
      </c>
    </row>
    <row r="17912">
      <c r="B17912" s="9" t="n">
        <v>17910</v>
      </c>
      <c r="C17912" s="10" t="inlineStr">
        <is>
          <t>Brand Manager</t>
        </is>
      </c>
      <c r="D17912" s="10" t="inlineStr">
        <is>
          <t>Công ty Cổ phần Tierra</t>
        </is>
      </c>
      <c r="E17912" s="10" t="inlineStr">
        <is>
          <t>Lương:Cạnh tranh</t>
        </is>
      </c>
      <c r="F17912" s="10" t="inlineStr">
        <is>
          <t>Hồ Chí Minh</t>
        </is>
      </c>
      <c r="G17912" s="10" t="inlineStr">
        <is>
          <t>30-04-2026</t>
        </is>
      </c>
      <c r="H17912" s="10" t="inlineStr">
        <is>
          <t>30/04/2026</t>
        </is>
      </c>
      <c r="I17912" s="10" t="inlineStr">
        <is>
          <t>17/03/2026</t>
        </is>
      </c>
      <c r="J17912" s="10" t="inlineStr">
        <is>
          <t>Tiếp thị / Marketing, Quảng cáo / Đối ngoại / Truyền Thông, Truyền hình / Báo chí / Biên tập</t>
        </is>
      </c>
      <c r="K17912" s="10" t="inlineStr">
        <is>
          <t>5 - 10 Năm</t>
        </is>
      </c>
      <c r="L17912" s="11">
        <f>HYPERLINK("https://careerviet.vn/vi/tim-viec-lam/brand-manager.35C6AA7D.html","Xem chi tiết")</f>
        <v/>
      </c>
      <c r="M17912" s="10" t="n"/>
    </row>
    <row r="17913">
      <c r="B17913" s="7" t="n">
        <v>17911</v>
      </c>
      <c r="C17913" t="inlineStr">
        <is>
          <t>Nhân Viên R&amp;D - R&amp;D Staff [Tuyển Dụng Bổ Sung Do Mở Rộng Kinh Doanh]</t>
        </is>
      </c>
      <c r="D17913" t="inlineStr">
        <is>
          <t>CÔNG TY TNHH K O T I T I VIỆT NAM</t>
        </is>
      </c>
      <c r="E17913" t="inlineStr">
        <is>
          <t>Lương:10 Tr - 26 Tr VND</t>
        </is>
      </c>
      <c r="F17913" t="inlineStr">
        <is>
          <t>Hồ Chí Minh</t>
        </is>
      </c>
      <c r="G17913" t="inlineStr">
        <is>
          <t>26-03-2026</t>
        </is>
      </c>
      <c r="H17913" t="inlineStr">
        <is>
          <t>26/03/2026</t>
        </is>
      </c>
      <c r="I17913" t="inlineStr">
        <is>
          <t>17/03/2026</t>
        </is>
      </c>
      <c r="J17913" t="inlineStr">
        <is>
          <t>Hóa học, Dệt may / Da giày / Thời trang, Quản lý chất lượng (QA/QC)</t>
        </is>
      </c>
      <c r="K17913" t="inlineStr">
        <is>
          <t>N/A</t>
        </is>
      </c>
      <c r="L17913" s="8">
        <f>HYPERLINK("https://careerviet.vn/vi/tim-viec-lam/nhan-vien-r-d-r-d-staff-tuyen-dung-bo-sung-do-mo-rong-kinh-doanh.35C692A0.html","Xem chi tiết")</f>
        <v/>
      </c>
    </row>
    <row r="17914">
      <c r="B17914" s="9" t="n">
        <v>17912</v>
      </c>
      <c r="C17914" s="10" t="inlineStr">
        <is>
          <t>Nhân viên tư vấn bán hàng</t>
        </is>
      </c>
      <c r="D17914" s="10" t="inlineStr">
        <is>
          <t>Công Ty TNHH Banyan Việt Nam</t>
        </is>
      </c>
      <c r="E17914" s="10" t="inlineStr">
        <is>
          <t>Lương:7,5 Tr - 10 Tr VND</t>
        </is>
      </c>
      <c r="F17914" s="10" t="inlineStr">
        <is>
          <t>Hồ Chí Minh</t>
        </is>
      </c>
      <c r="G17914" s="10" t="inlineStr">
        <is>
          <t>4</t>
        </is>
      </c>
      <c r="H17914" s="10" t="inlineStr">
        <is>
          <t>21/03/2026</t>
        </is>
      </c>
      <c r="I17914" s="10" t="inlineStr">
        <is>
          <t>17/03/2026</t>
        </is>
      </c>
      <c r="J17914" s="10" t="inlineStr">
        <is>
          <t>Bán hàng / Kinh doanh, Tư vấn, Dịch vụ khách hàng</t>
        </is>
      </c>
      <c r="K17914" s="10" t="inlineStr">
        <is>
          <t>1 - 2 Năm</t>
        </is>
      </c>
      <c r="L17914" s="11">
        <f>HYPERLINK("https://careerviet.vn/vi/tim-viec-lam/nhan-vien-tu-van-ban-hang.35C661CC.html","Xem chi tiết")</f>
        <v/>
      </c>
      <c r="M17914" s="10" t="n"/>
    </row>
    <row r="17915">
      <c r="B17915" s="7" t="n">
        <v>17913</v>
      </c>
      <c r="C17915" t="inlineStr">
        <is>
          <t>Trưởng phòng công nghệ thông tin</t>
        </is>
      </c>
      <c r="D17915" t="inlineStr">
        <is>
          <t>BỆNH VIỆN ĐA KHOA PHƯƠNG NAM</t>
        </is>
      </c>
      <c r="E17915" t="inlineStr">
        <is>
          <t>Lương:Cạnh tranh</t>
        </is>
      </c>
      <c r="F17915" t="inlineStr">
        <is>
          <t>Hồ Chí Minh</t>
        </is>
      </c>
      <c r="G17915" t="inlineStr">
        <is>
          <t>03-04-2026</t>
        </is>
      </c>
      <c r="H17915" t="inlineStr">
        <is>
          <t>03/04/2026</t>
        </is>
      </c>
      <c r="I17915" t="inlineStr">
        <is>
          <t>17/03/2026</t>
        </is>
      </c>
      <c r="J17915" t="inlineStr">
        <is>
          <t>Y tế / Chăm sóc sức khỏe / Thẩm mỹ / Làm đẹp, CNTT - Phần mềm, CNTT - Phần cứng / Mạng</t>
        </is>
      </c>
      <c r="K17915" t="inlineStr">
        <is>
          <t>5 - 10 Năm</t>
        </is>
      </c>
      <c r="L17915" s="8">
        <f>HYPERLINK("https://careerviet.vn/vi/tim-viec-lam/truong-phong-cong-nghe-thong-tin.35C6A943.html","Xem chi tiết")</f>
        <v/>
      </c>
    </row>
    <row r="17916">
      <c r="B17916" s="9" t="n">
        <v>17914</v>
      </c>
      <c r="C17916" s="10" t="inlineStr">
        <is>
          <t>Nhân Viên Lễ Tân (Nam, có làm ca đêm)</t>
        </is>
      </c>
      <c r="D17916" s="10" t="inlineStr">
        <is>
          <t>Công ty TNHH Phát triển Phú Mỹ Hưng</t>
        </is>
      </c>
      <c r="E17916" s="10" t="inlineStr">
        <is>
          <t>Lương:6 Tr - 8 Tr VND</t>
        </is>
      </c>
      <c r="F17916" s="10" t="inlineStr">
        <is>
          <t>Hồ Chí Minh</t>
        </is>
      </c>
      <c r="G17916" s="10" t="inlineStr">
        <is>
          <t>Hôm nay</t>
        </is>
      </c>
      <c r="H17916" s="10" t="inlineStr">
        <is>
          <t>17/03/2026</t>
        </is>
      </c>
      <c r="I17916" s="10" t="inlineStr">
        <is>
          <t>17/03/2026</t>
        </is>
      </c>
      <c r="J17916" s="10" t="inlineStr">
        <is>
          <t>Hành chính / Thư ký, Nhân sự</t>
        </is>
      </c>
      <c r="K17916" s="10" t="inlineStr">
        <is>
          <t>N/A</t>
        </is>
      </c>
      <c r="L17916" s="11">
        <f>HYPERLINK("https://careerviet.vn/vi/tim-viec-lam/nhan-vien-le-tan-nam-co-lam-ca-dem.35C65CFB.html","Xem chi tiết")</f>
        <v/>
      </c>
      <c r="M17916" s="10" t="n"/>
    </row>
    <row r="17917">
      <c r="B17917" s="7" t="n">
        <v>17915</v>
      </c>
      <c r="C17917" t="inlineStr">
        <is>
          <t>Chuyên Viên CS (Customer Service) (Nhà Máy Karofi Hưng Yên)</t>
        </is>
      </c>
      <c r="D17917" t="inlineStr">
        <is>
          <t>Tập Đoàn Karofi Holding</t>
        </is>
      </c>
      <c r="E17917" t="inlineStr">
        <is>
          <t>Lương:14 Tr - 18 Tr VND</t>
        </is>
      </c>
      <c r="F17917" t="inlineStr">
        <is>
          <t>Hưng Yên</t>
        </is>
      </c>
      <c r="G17917" t="inlineStr">
        <is>
          <t>25-03-2026</t>
        </is>
      </c>
      <c r="H17917" t="inlineStr">
        <is>
          <t>25/03/2026</t>
        </is>
      </c>
      <c r="I17917" t="inlineStr">
        <is>
          <t>17/03/2026</t>
        </is>
      </c>
      <c r="J17917" t="inlineStr">
        <is>
          <t>Dịch vụ khách hàng, Quản lý chất lượng (QA/QC), Điện / Điện tử / Điện lạnh / Điện công nghiệp</t>
        </is>
      </c>
      <c r="K17917" t="inlineStr">
        <is>
          <t>1 - 2 Năm</t>
        </is>
      </c>
      <c r="L17917" s="8">
        <f>HYPERLINK("https://careerviet.vn/vi/tim-viec-lam/chuyen-vien-cs-customer-service-nha-may-karofi-hung-yen.35C667DF.html","Xem chi tiết")</f>
        <v/>
      </c>
    </row>
    <row r="17918">
      <c r="B17918" s="9" t="n">
        <v>17916</v>
      </c>
      <c r="C17918" s="10" t="inlineStr">
        <is>
          <t>Trợ lý - Phiên dịch</t>
        </is>
      </c>
      <c r="D17918" s="10" t="inlineStr">
        <is>
          <t>CÔNG TY TNHH FOXSCORE</t>
        </is>
      </c>
      <c r="E17918" s="10" t="inlineStr">
        <is>
          <t>Lương:Trên 18 Tr VND</t>
        </is>
      </c>
      <c r="F17918" s="10" t="inlineStr">
        <is>
          <t>Hồ Chí Minh</t>
        </is>
      </c>
      <c r="G17918" s="10" t="inlineStr">
        <is>
          <t>01-04-2026</t>
        </is>
      </c>
      <c r="H17918" s="10" t="inlineStr">
        <is>
          <t>01/04/2026</t>
        </is>
      </c>
      <c r="I17918" s="10" t="inlineStr">
        <is>
          <t>17/03/2026</t>
        </is>
      </c>
      <c r="J17918" s="10" t="inlineStr">
        <is>
          <t>Hành chính / Thư ký, Biên phiên dịch</t>
        </is>
      </c>
      <c r="K17918" s="10" t="inlineStr">
        <is>
          <t>Trên 1 Năm</t>
        </is>
      </c>
      <c r="L17918" s="11">
        <f>HYPERLINK("https://careerviet.vn/vi/tim-viec-lam/tro-ly-phien-dich.35C64629.html","Xem chi tiết")</f>
        <v/>
      </c>
      <c r="M17918" s="10" t="n"/>
    </row>
    <row r="17919">
      <c r="B17919" s="7" t="n">
        <v>17917</v>
      </c>
      <c r="C17919" t="inlineStr">
        <is>
          <t>Chuyên Viên Thẩm Định Đấu Thầu</t>
        </is>
      </c>
      <c r="D17919" t="inlineStr">
        <is>
          <t>Tổng Công ty Du Lịch Sài Gòn-TNHH MTV (SAIGONTOURIST)</t>
        </is>
      </c>
      <c r="E17919" t="inlineStr">
        <is>
          <t>Lương:15 Tr - 20 Tr VND</t>
        </is>
      </c>
      <c r="F17919" t="inlineStr">
        <is>
          <t>Hồ Chí Minh</t>
        </is>
      </c>
      <c r="G17919" t="inlineStr">
        <is>
          <t>31-03-2026</t>
        </is>
      </c>
      <c r="H17919" t="inlineStr">
        <is>
          <t>31/03/2026</t>
        </is>
      </c>
      <c r="I17919" t="inlineStr">
        <is>
          <t>17/03/2026</t>
        </is>
      </c>
      <c r="J17919" t="inlineStr">
        <is>
          <t>Kiến trúc, Xây dựng, Bất động sản</t>
        </is>
      </c>
      <c r="K17919" t="inlineStr">
        <is>
          <t>Trên 2 Năm</t>
        </is>
      </c>
      <c r="L17919" s="8">
        <f>HYPERLINK("https://careerviet.vn/vi/tim-viec-lam/chuyen-vien-tham-dinh-dau-thau.35C645CA.html","Xem chi tiết")</f>
        <v/>
      </c>
    </row>
    <row r="17920">
      <c r="B17920" s="9" t="n">
        <v>17918</v>
      </c>
      <c r="C17920" s="10" t="inlineStr">
        <is>
          <t>CHUYÊN VIÊN PHÁP CHẾ (Ưu tiên nữ - Làm việc tại Bình Dương)</t>
        </is>
      </c>
      <c r="D17920" s="10" t="inlineStr">
        <is>
          <t>CÔNG TY CỔ PHẦN TẬP ĐOÀN QP</t>
        </is>
      </c>
      <c r="E17920" s="10" t="inlineStr">
        <is>
          <t>Lương:15 Tr - 22 Tr VND</t>
        </is>
      </c>
      <c r="F17920" s="10" t="inlineStr">
        <is>
          <t>Bình Dương</t>
        </is>
      </c>
      <c r="G17920" s="10" t="inlineStr">
        <is>
          <t>3</t>
        </is>
      </c>
      <c r="H17920" s="10" t="inlineStr">
        <is>
          <t>20/03/2026</t>
        </is>
      </c>
      <c r="I17920" s="10" t="inlineStr">
        <is>
          <t>17/03/2026</t>
        </is>
      </c>
      <c r="J17920" s="10" t="inlineStr">
        <is>
          <t>Luật / Pháp lý, Bất động sảnBằng cấpĐại họcĐộ tuổi25 - 35</t>
        </is>
      </c>
      <c r="K17920" s="10" t="inlineStr">
        <is>
          <t>N/A</t>
        </is>
      </c>
      <c r="L17920" s="11">
        <f>HYPERLINK("https://careerviet.vn/vi/tim-viec-lam/chuyen-vien-phap-che-uu-tien-nu-lam-viec-tai-binh-duong.35C65E94.html","Xem chi tiết")</f>
        <v/>
      </c>
      <c r="M17920" s="10" t="n"/>
    </row>
    <row r="17921">
      <c r="B17921" s="7" t="n">
        <v>17919</v>
      </c>
      <c r="C17921" t="inlineStr">
        <is>
          <t>IT Helpdesk/Support</t>
        </is>
      </c>
      <c r="D17921" t="inlineStr">
        <is>
          <t>CP Thương Mại và Đầu Tư Công Nghệ Viễn Thông Mới</t>
        </is>
      </c>
      <c r="E17921" t="inlineStr">
        <is>
          <t>Lương:Cạnh tranh</t>
        </is>
      </c>
      <c r="F17921" t="inlineStr">
        <is>
          <t>Hồ Chí Minh</t>
        </is>
      </c>
      <c r="G17921" t="inlineStr">
        <is>
          <t>31-03-2026</t>
        </is>
      </c>
      <c r="H17921" t="inlineStr">
        <is>
          <t>31/03/2026</t>
        </is>
      </c>
      <c r="I17921" t="inlineStr">
        <is>
          <t>17/03/2026</t>
        </is>
      </c>
      <c r="J17921" t="inlineStr">
        <is>
          <t>CNTT - Phần cứng / Mạng</t>
        </is>
      </c>
      <c r="K17921" t="inlineStr">
        <is>
          <t>2 - 3 Năm</t>
        </is>
      </c>
      <c r="L17921" s="8">
        <f>HYPERLINK("https://careerviet.vn/vi/tim-viec-lam/it-helpdesk-support.35C6A7E7.html","Xem chi tiết")</f>
        <v/>
      </c>
    </row>
    <row r="17922">
      <c r="B17922" s="9" t="n">
        <v>17920</v>
      </c>
      <c r="C17922" s="10" t="inlineStr">
        <is>
          <t>Admin Staff</t>
        </is>
      </c>
      <c r="D17922" s="10" t="inlineStr">
        <is>
          <t>Công ty TNHH Thai F&amp;B</t>
        </is>
      </c>
      <c r="E17922" s="10" t="inlineStr">
        <is>
          <t>Lương:Cạnh tranh</t>
        </is>
      </c>
      <c r="F17922" s="10" t="inlineStr">
        <is>
          <t>Hồ Chí Minh</t>
        </is>
      </c>
      <c r="G17922" s="10" t="inlineStr">
        <is>
          <t>01-04-2026</t>
        </is>
      </c>
      <c r="H17922" s="10" t="inlineStr">
        <is>
          <t>01/04/2026</t>
        </is>
      </c>
      <c r="I17922" s="10" t="inlineStr">
        <is>
          <t>17/03/2026</t>
        </is>
      </c>
      <c r="J17922" s="10" t="inlineStr">
        <is>
          <t>Thực phẩm &amp; Đồ uống, Hành chính / Thư ký, Nhân sự</t>
        </is>
      </c>
      <c r="K17922" s="10" t="inlineStr">
        <is>
          <t>Trên 3 Năm</t>
        </is>
      </c>
      <c r="L17922" s="11">
        <f>HYPERLINK("https://careerviet.vn/vi/tim-viec-lam/admin-staff.35C64626.html","Xem chi tiết")</f>
        <v/>
      </c>
      <c r="M17922" s="10" t="n"/>
    </row>
    <row r="17923">
      <c r="B17923" s="7" t="n">
        <v>17921</v>
      </c>
      <c r="C17923" t="inlineStr">
        <is>
          <t>Chuyên Viên Pháp Chế</t>
        </is>
      </c>
      <c r="D17923" t="inlineStr">
        <is>
          <t>Công Ty Cổ Phần Mỹ Phẩm Sài Gòn</t>
        </is>
      </c>
      <c r="E17923" t="inlineStr">
        <is>
          <t>Lương:Cạnh tranh</t>
        </is>
      </c>
      <c r="F17923" t="inlineStr">
        <is>
          <t>Hồ Chí Minh</t>
        </is>
      </c>
      <c r="G17923" t="inlineStr">
        <is>
          <t>02-04-2026</t>
        </is>
      </c>
      <c r="H17923" t="inlineStr">
        <is>
          <t>02/04/2026</t>
        </is>
      </c>
      <c r="I17923" t="inlineStr">
        <is>
          <t>17/03/2026</t>
        </is>
      </c>
      <c r="J17923" t="inlineStr">
        <is>
          <t>Hành chính / Thư ký, Nhân sự, Luật / Pháp lý</t>
        </is>
      </c>
      <c r="K17923" t="inlineStr">
        <is>
          <t>1 - 3 Năm</t>
        </is>
      </c>
      <c r="L17923" s="8">
        <f>HYPERLINK("https://careerviet.vn/vi/tim-viec-lam/chuyen-vien-phap-che.35C6A932.html","Xem chi tiết")</f>
        <v/>
      </c>
    </row>
    <row r="17924">
      <c r="B17924" s="9" t="n">
        <v>17922</v>
      </c>
      <c r="C17924" s="10" t="inlineStr">
        <is>
          <t>Senior C&amp;B Specialist</t>
        </is>
      </c>
      <c r="D17924" s="10" t="inlineStr">
        <is>
          <t>CÔNG TY TNHH THANTAWAN INDUSTRY (VIỆT NAM)</t>
        </is>
      </c>
      <c r="E17924" s="10" t="inlineStr">
        <is>
          <t>Lương:25 Tr - 40 Tr VND</t>
        </is>
      </c>
      <c r="F17924" s="10" t="inlineStr">
        <is>
          <t>Tây NinhBình DươngĐồng Nai</t>
        </is>
      </c>
      <c r="G17924" s="10" t="inlineStr">
        <is>
          <t>31-03-2026</t>
        </is>
      </c>
      <c r="H17924" s="10" t="inlineStr">
        <is>
          <t>31/03/2026</t>
        </is>
      </c>
      <c r="I17924" s="10" t="inlineStr">
        <is>
          <t>17/03/2026</t>
        </is>
      </c>
      <c r="J17924" s="10" t="inlineStr">
        <is>
          <t>Hành chính / Thư ký, Nhân sự</t>
        </is>
      </c>
      <c r="K17924" s="10" t="inlineStr">
        <is>
          <t>Trên 3 Năm</t>
        </is>
      </c>
      <c r="L17924" s="11">
        <f>HYPERLINK("https://careerviet.vn/vi/tim-viec-lam/senior-c-b-specialist.35C66F52.html","Xem chi tiết")</f>
        <v/>
      </c>
      <c r="M17924" s="10" t="n"/>
    </row>
    <row r="17925">
      <c r="B17925" s="7" t="n">
        <v>17923</v>
      </c>
      <c r="C17925" t="inlineStr">
        <is>
          <t>Chuyên Viên Chứng Từ Xuất Nhập Khẩu</t>
        </is>
      </c>
      <c r="D17925" t="inlineStr">
        <is>
          <t>CÔNG TY TNHH VẬN TẢI QUỐC TẾ FASTLINK</t>
        </is>
      </c>
      <c r="E17925" t="inlineStr">
        <is>
          <t>Lương:12 Tr - 15 Tr VND</t>
        </is>
      </c>
      <c r="F17925" t="inlineStr">
        <is>
          <t>Hồ Chí Minh</t>
        </is>
      </c>
      <c r="G17925" t="inlineStr">
        <is>
          <t>01-04-2026</t>
        </is>
      </c>
      <c r="H17925" t="inlineStr">
        <is>
          <t>01/04/2026</t>
        </is>
      </c>
      <c r="I17925" t="inlineStr">
        <is>
          <t>17/03/2026</t>
        </is>
      </c>
      <c r="J17925" t="inlineStr">
        <is>
          <t>Vận chuyển / Giao nhận / Kho vận, Xuất nhập khẩu</t>
        </is>
      </c>
      <c r="K17925" t="inlineStr">
        <is>
          <t>2 - 5 Năm</t>
        </is>
      </c>
      <c r="L17925" s="8">
        <f>HYPERLINK("https://careerviet.vn/vi/tim-viec-lam/chuyen-vien-chung-tu-xuat-nhap-khau.35C64625.html","Xem chi tiết")</f>
        <v/>
      </c>
    </row>
    <row r="17926">
      <c r="B17926" s="9" t="n">
        <v>17924</v>
      </c>
      <c r="C17926" s="10" t="inlineStr">
        <is>
          <t>Kế Toán Tổng Hợp - Logistic/Xuất Nhập Khẩu</t>
        </is>
      </c>
      <c r="D17926" s="10" t="inlineStr">
        <is>
          <t>CÔNG TY TNHH VẬN TẢI QUỐC TẾ FASTLINK</t>
        </is>
      </c>
      <c r="E17926" s="10" t="inlineStr">
        <is>
          <t>Lương:16 Tr - 20 Tr VND</t>
        </is>
      </c>
      <c r="F17926" s="10" t="inlineStr">
        <is>
          <t>Hồ Chí Minh</t>
        </is>
      </c>
      <c r="G17926" s="10" t="inlineStr">
        <is>
          <t>01-04-2026</t>
        </is>
      </c>
      <c r="H17926" s="10" t="inlineStr">
        <is>
          <t>01/04/2026</t>
        </is>
      </c>
      <c r="I17926" s="10" t="inlineStr">
        <is>
          <t>17/03/2026</t>
        </is>
      </c>
      <c r="J17926" s="10" t="inlineStr">
        <is>
          <t>Kế toán / Kiểm toán</t>
        </is>
      </c>
      <c r="K17926" s="10" t="inlineStr">
        <is>
          <t>3 - 5 Năm</t>
        </is>
      </c>
      <c r="L17926" s="11">
        <f>HYPERLINK("https://careerviet.vn/vi/tim-viec-lam/ke-toan-tong-hop-logistic-xuat-nhap-khau.35C6461E.html","Xem chi tiết")</f>
        <v/>
      </c>
      <c r="M17926" s="10" t="n"/>
    </row>
    <row r="17927">
      <c r="B17927" s="7" t="n">
        <v>17925</v>
      </c>
      <c r="C17927" t="inlineStr">
        <is>
          <t>TÀI XẾ XE TẢI (Mini Van)</t>
        </is>
      </c>
      <c r="D17927" t="inlineStr">
        <is>
          <t>CÔNG TY TNHH THƯƠNG MẠI VÀ TIẾP VẬN ĐẠI DƯƠNG XANH</t>
        </is>
      </c>
      <c r="E17927" t="inlineStr">
        <is>
          <t>Lương:9 Tr - 12 Tr VND</t>
        </is>
      </c>
      <c r="F17927" t="inlineStr">
        <is>
          <t>Hồ Chí Minh</t>
        </is>
      </c>
      <c r="G17927" t="inlineStr">
        <is>
          <t>01-04-2026</t>
        </is>
      </c>
      <c r="H17927" t="inlineStr">
        <is>
          <t>01/04/2026</t>
        </is>
      </c>
      <c r="I17927" t="inlineStr">
        <is>
          <t>17/03/2026</t>
        </is>
      </c>
      <c r="J17927" t="inlineStr">
        <is>
          <t>Vận chuyển / Giao nhận / Kho vận, Lao động phổ thông</t>
        </is>
      </c>
      <c r="K17927" t="inlineStr">
        <is>
          <t>2 - 5 Năm</t>
        </is>
      </c>
      <c r="L17927" s="8">
        <f>HYPERLINK("https://careerviet.vn/vi/tim-viec-lam/tai-xe-xe-tai-mini-van.35C6719B.html","Xem chi tiết")</f>
        <v/>
      </c>
    </row>
    <row r="17928">
      <c r="B17928" s="9" t="n">
        <v>17926</v>
      </c>
      <c r="C17928" s="10" t="inlineStr">
        <is>
          <t>Chuyên Viên QS - Mảng Nội Thất Fit - Out</t>
        </is>
      </c>
      <c r="D17928" s="10" t="inlineStr">
        <is>
          <t>CÔNG TY TNHH THIẾT KẾ XÂY DỰNG FINN</t>
        </is>
      </c>
      <c r="E17928" s="10" t="inlineStr">
        <is>
          <t>Lương:18 Tr - 25 Tr VND</t>
        </is>
      </c>
      <c r="F17928" s="10" t="inlineStr">
        <is>
          <t>Hồ Chí Minh</t>
        </is>
      </c>
      <c r="G17928" s="10" t="inlineStr">
        <is>
          <t>01-04-2026</t>
        </is>
      </c>
      <c r="H17928" s="10" t="inlineStr">
        <is>
          <t>01/04/2026</t>
        </is>
      </c>
      <c r="I17928" s="10" t="inlineStr">
        <is>
          <t>17/03/2026</t>
        </is>
      </c>
      <c r="J17928" s="10" t="inlineStr">
        <is>
          <t>Kiến trúc, Nội ngoại thất, Xây dựng</t>
        </is>
      </c>
      <c r="K17928" s="10" t="inlineStr">
        <is>
          <t>Trên 3 Năm</t>
        </is>
      </c>
      <c r="L17928" s="11">
        <f>HYPERLINK("https://careerviet.vn/vi/tim-viec-lam/chuyen-vien-qs-mang-noi-that-fit-out.35C6718D.html","Xem chi tiết")</f>
        <v/>
      </c>
      <c r="M17928" s="10" t="n"/>
    </row>
    <row r="17929">
      <c r="B17929" s="7" t="n">
        <v>17927</v>
      </c>
      <c r="C17929" t="inlineStr">
        <is>
          <t>NHÂN VIÊN MUA SẮM VẬT TƯ - THIẾT BỊ</t>
        </is>
      </c>
      <c r="D17929" t="inlineStr">
        <is>
          <t>Công Ty Cổ Phần Tập Đoàn Đèo Cả</t>
        </is>
      </c>
      <c r="E17929" t="inlineStr">
        <is>
          <t>Lương:13 Tr - 16 Tr VND</t>
        </is>
      </c>
      <c r="F17929" t="inlineStr">
        <is>
          <t>Hồ Chí Minh</t>
        </is>
      </c>
      <c r="G17929" t="inlineStr">
        <is>
          <t>04-04-2026</t>
        </is>
      </c>
      <c r="H17929" t="inlineStr">
        <is>
          <t>04/04/2026</t>
        </is>
      </c>
      <c r="I17929" t="inlineStr">
        <is>
          <t>17/03/2026</t>
        </is>
      </c>
      <c r="J17929" t="inlineStr">
        <is>
          <t>Thu mua / Vật tư, Xây dựng</t>
        </is>
      </c>
      <c r="K17929" t="inlineStr">
        <is>
          <t>1 Năm</t>
        </is>
      </c>
      <c r="L17929" s="8">
        <f>HYPERLINK("https://careerviet.vn/vi/tim-viec-lam/nhan-vien-mua-sam-vat-tu-thiet-bi.35C6A72F.html","Xem chi tiết")</f>
        <v/>
      </c>
    </row>
    <row r="17930">
      <c r="B17930" s="9" t="n">
        <v>17928</v>
      </c>
      <c r="C17930" s="10" t="inlineStr">
        <is>
          <t>Nhân Viên Kỹ Thuật</t>
        </is>
      </c>
      <c r="D17930" s="10" t="inlineStr">
        <is>
          <t>CÔNG TY TNHH THƯƠNG MẠI XÂY DỰNG ĐOÀN LỰC</t>
        </is>
      </c>
      <c r="E17930" s="10" t="inlineStr">
        <is>
          <t>Lương:15 Tr - 22 Tr VND</t>
        </is>
      </c>
      <c r="F17930" s="10" t="inlineStr">
        <is>
          <t>Bà Rịa - Vũng TàuBình Dương</t>
        </is>
      </c>
      <c r="G17930" s="10" t="inlineStr">
        <is>
          <t>Hôm nay</t>
        </is>
      </c>
      <c r="H17930" s="10" t="inlineStr">
        <is>
          <t>17/03/2026</t>
        </is>
      </c>
      <c r="I17930" s="10" t="inlineStr">
        <is>
          <t>17/03/2026</t>
        </is>
      </c>
      <c r="J17930" s="10" t="inlineStr">
        <is>
          <t>Mỹ thuật / Nghệ thuật / Thiết kế, Kiến trúc, Xây dựng</t>
        </is>
      </c>
      <c r="K17930" s="10" t="inlineStr">
        <is>
          <t>Trên 2 Năm</t>
        </is>
      </c>
      <c r="L17930" s="11">
        <f>HYPERLINK("https://careerviet.vn/vi/tim-viec-lam/nhan-vien-ky-thuat.35C65D51.html","Xem chi tiết")</f>
        <v/>
      </c>
      <c r="M17930" s="10" t="n"/>
    </row>
    <row r="17931">
      <c r="B17931" s="7" t="n">
        <v>17929</v>
      </c>
      <c r="C17931" t="inlineStr">
        <is>
          <t>Nhân viên thủ kho - Tri Tôn (An Giang)</t>
        </is>
      </c>
      <c r="D17931" t="inlineStr">
        <is>
          <t>Công ty TNHH ADC</t>
        </is>
      </c>
      <c r="E17931" t="inlineStr">
        <is>
          <t>Lương:7,5 Tr - 8,5 Tr VND</t>
        </is>
      </c>
      <c r="F17931" t="inlineStr">
        <is>
          <t>An Giang</t>
        </is>
      </c>
      <c r="G17931" t="inlineStr">
        <is>
          <t>01-04-2026</t>
        </is>
      </c>
      <c r="H17931" t="inlineStr">
        <is>
          <t>01/04/2026</t>
        </is>
      </c>
      <c r="I17931" t="inlineStr">
        <is>
          <t>17/03/2026</t>
        </is>
      </c>
      <c r="J17931" t="inlineStr">
        <is>
          <t>Dịch vụ khách hàng, Kế toán / Kiểm toán, Nông nghiệp</t>
        </is>
      </c>
      <c r="K17931" t="inlineStr">
        <is>
          <t>1 - 2 Năm</t>
        </is>
      </c>
      <c r="L17931" s="8">
        <f>HYPERLINK("https://careerviet.vn/vi/tim-viec-lam/nhan-vien-thu-kho-tri-ton-an-giang.35C671AC.html","Xem chi tiết")</f>
        <v/>
      </c>
    </row>
    <row r="17932">
      <c r="B17932" s="9" t="n">
        <v>17930</v>
      </c>
      <c r="C17932" s="10" t="inlineStr">
        <is>
          <t>Kỹ thuật viên ép thổi nhựa sản xuất</t>
        </is>
      </c>
      <c r="D17932" s="10" t="inlineStr">
        <is>
          <t>Công ty Cổ Phần Thảo Mộc Xanh</t>
        </is>
      </c>
      <c r="E17932" s="10" t="inlineStr">
        <is>
          <t>Lương:Cạnh tranh</t>
        </is>
      </c>
      <c r="F17932" s="10" t="inlineStr">
        <is>
          <t>Long An</t>
        </is>
      </c>
      <c r="G17932" s="10" t="inlineStr">
        <is>
          <t>01-04-2026</t>
        </is>
      </c>
      <c r="H17932" s="10" t="inlineStr">
        <is>
          <t>01/04/2026</t>
        </is>
      </c>
      <c r="I17932" s="10" t="inlineStr">
        <is>
          <t>17/03/2026</t>
        </is>
      </c>
      <c r="J17932" s="10" t="inlineStr">
        <is>
          <t>Cơ khí / Ô tô / Tự động hóa, Sản xuất / Vận hành sản xuất, Điện / Điện tử / Điện lạnh / Điện công nghiệp</t>
        </is>
      </c>
      <c r="K17932" s="10" t="inlineStr">
        <is>
          <t>4 - 5 Năm</t>
        </is>
      </c>
      <c r="L17932" s="11">
        <f>HYPERLINK("https://careerviet.vn/vi/tim-viec-lam/ky-thuat-vien-ep-thoi-nhua-san-xuat.35C671D4.html","Xem chi tiết")</f>
        <v/>
      </c>
      <c r="M17932" s="10" t="n"/>
    </row>
    <row r="17933">
      <c r="B17933" s="7" t="n">
        <v>17931</v>
      </c>
      <c r="C17933" t="inlineStr">
        <is>
          <t>Sales Logistics / Nhân viên kinh doanh vận tải quốc tế</t>
        </is>
      </c>
      <c r="D17933" t="inlineStr">
        <is>
          <t>CÔNG TY TNHH THƯƠNG MẠI VÀ TIẾP VẬN ĐẠI DƯƠNG XANH</t>
        </is>
      </c>
      <c r="E17933" t="inlineStr">
        <is>
          <t>Lương:Trên 6 Tr VND</t>
        </is>
      </c>
      <c r="F17933" t="inlineStr">
        <is>
          <t>Hồ Chí Minh</t>
        </is>
      </c>
      <c r="G17933" t="inlineStr">
        <is>
          <t>01-04-2026</t>
        </is>
      </c>
      <c r="H17933" t="inlineStr">
        <is>
          <t>01/04/2026</t>
        </is>
      </c>
      <c r="I17933" t="inlineStr">
        <is>
          <t>17/03/2026</t>
        </is>
      </c>
      <c r="J17933" t="inlineStr">
        <is>
          <t>Bán hàng / Kinh doanh, Vận chuyển / Giao nhận / Kho vận, Xuất nhập khẩu</t>
        </is>
      </c>
      <c r="K17933" t="inlineStr">
        <is>
          <t>Trên 1 Năm</t>
        </is>
      </c>
      <c r="L17933" s="8">
        <f>HYPERLINK("https://careerviet.vn/vi/tim-viec-lam/sales-logistics-nhan-vien-kinh-doanh-van-tai-quoc-te.35C67193.html","Xem chi tiết")</f>
        <v/>
      </c>
    </row>
    <row r="17934">
      <c r="B17934" s="9" t="n">
        <v>17932</v>
      </c>
      <c r="C17934" s="10" t="inlineStr">
        <is>
          <t>Kế toán tổng hợp</t>
        </is>
      </c>
      <c r="D17934" s="10" t="inlineStr">
        <is>
          <t>CÔNG TY TNHH MTV TOMO VIỆT NAM</t>
        </is>
      </c>
      <c r="E17934" s="10" t="inlineStr">
        <is>
          <t>Lương:10 Tr - 15 Tr VND</t>
        </is>
      </c>
      <c r="F17934" s="10" t="inlineStr">
        <is>
          <t>Hồ Chí Minh</t>
        </is>
      </c>
      <c r="G17934" s="10" t="inlineStr">
        <is>
          <t>01-04-2026</t>
        </is>
      </c>
      <c r="H17934" s="10" t="inlineStr">
        <is>
          <t>01/04/2026</t>
        </is>
      </c>
      <c r="I17934" s="10" t="inlineStr">
        <is>
          <t>17/03/2026</t>
        </is>
      </c>
      <c r="J17934" s="10" t="inlineStr">
        <is>
          <t>Bán lẻ / Bán sỉ, Bán hàng / Kinh doanh, Kế toán / Kiểm toán</t>
        </is>
      </c>
      <c r="K17934" s="10" t="inlineStr">
        <is>
          <t>3 - 10 Năm</t>
        </is>
      </c>
      <c r="L17934" s="11">
        <f>HYPERLINK("https://careerviet.vn/vi/tim-viec-lam/ke-toan-tong-hop.35C671AA.html","Xem chi tiết")</f>
        <v/>
      </c>
      <c r="M17934" s="10" t="n"/>
    </row>
    <row r="17935">
      <c r="B17935" s="7" t="n">
        <v>17933</v>
      </c>
      <c r="C17935" t="inlineStr">
        <is>
          <t>Nhân viên bảo trì cơ điện sản xuất</t>
        </is>
      </c>
      <c r="D17935" t="inlineStr">
        <is>
          <t>Công ty Cổ Phần Thảo Mộc Xanh</t>
        </is>
      </c>
      <c r="E17935" t="inlineStr">
        <is>
          <t>Lương:Cạnh tranh</t>
        </is>
      </c>
      <c r="F17935" t="inlineStr">
        <is>
          <t>Long An</t>
        </is>
      </c>
      <c r="G17935" t="inlineStr">
        <is>
          <t>01-04-2026</t>
        </is>
      </c>
      <c r="H17935" t="inlineStr">
        <is>
          <t>01/04/2026</t>
        </is>
      </c>
      <c r="I17935" t="inlineStr">
        <is>
          <t>17/03/2026</t>
        </is>
      </c>
      <c r="J17935" t="inlineStr">
        <is>
          <t>Cơ khí / Ô tô / Tự động hóa, Bảo trì / Sửa chữa, Điện / Điện tử / Điện lạnh / Điện công nghiệp</t>
        </is>
      </c>
      <c r="K17935" t="inlineStr">
        <is>
          <t>Trên 2 Năm</t>
        </is>
      </c>
      <c r="L17935" s="8">
        <f>HYPERLINK("https://careerviet.vn/vi/tim-viec-lam/nhan-vien-bao-tri-co-dien-san-xuat.35C671D5.html","Xem chi tiết")</f>
        <v/>
      </c>
    </row>
    <row r="17936">
      <c r="B17936" s="9" t="n">
        <v>17934</v>
      </c>
      <c r="C17936" s="10" t="inlineStr">
        <is>
          <t>Trưởng phòng Kinh doanh</t>
        </is>
      </c>
      <c r="D17936" s="10" t="inlineStr">
        <is>
          <t>CÔNG TY CỔ PHẦN GIẢI PHÁP THANH TOÁN VIỆT TÍN</t>
        </is>
      </c>
      <c r="E17936" s="10" t="inlineStr">
        <is>
          <t>Lương:Cạnh tranh</t>
        </is>
      </c>
      <c r="F17936" s="10" t="inlineStr">
        <is>
          <t>Hồ Chí Minh</t>
        </is>
      </c>
      <c r="G17936" s="10" t="inlineStr">
        <is>
          <t>01-04-2026</t>
        </is>
      </c>
      <c r="H17936" s="10" t="inlineStr">
        <is>
          <t>01/04/2026</t>
        </is>
      </c>
      <c r="I17936" s="10" t="inlineStr">
        <is>
          <t>17/03/2026</t>
        </is>
      </c>
      <c r="J17936" s="10" t="inlineStr">
        <is>
          <t>Bán hàng / Kinh doanh</t>
        </is>
      </c>
      <c r="K17936" s="10" t="inlineStr">
        <is>
          <t>Trên 2 Năm</t>
        </is>
      </c>
      <c r="L17936" s="11">
        <f>HYPERLINK("https://careerviet.vn/vi/tim-viec-lam/truong-phong-kinh-doanh.35C671A8.html","Xem chi tiết")</f>
        <v/>
      </c>
      <c r="M17936" s="10" t="n"/>
    </row>
    <row r="17937">
      <c r="B17937" s="7" t="n">
        <v>17935</v>
      </c>
      <c r="C17937" t="inlineStr">
        <is>
          <t>Nhân viên tuyển dụng</t>
        </is>
      </c>
      <c r="D17937" t="inlineStr">
        <is>
          <t>CÔNG TY TNHH THƯƠNG MẠI VÀ HỮU NGHỊ LÊ GIA</t>
        </is>
      </c>
      <c r="E17937" t="inlineStr">
        <is>
          <t>Lương:9 Tr - 10 Tr VND</t>
        </is>
      </c>
      <c r="F17937" t="inlineStr">
        <is>
          <t>Hà Nội</t>
        </is>
      </c>
      <c r="G17937" t="inlineStr">
        <is>
          <t>01-04-2026</t>
        </is>
      </c>
      <c r="H17937" t="inlineStr">
        <is>
          <t>01/04/2026</t>
        </is>
      </c>
      <c r="I17937" t="inlineStr">
        <is>
          <t>17/03/2026</t>
        </is>
      </c>
      <c r="J17937" t="inlineStr">
        <is>
          <t>Điện / Điện tử / Điện lạnh / Điện công nghiệp</t>
        </is>
      </c>
      <c r="K17937" t="inlineStr">
        <is>
          <t>Trên 1 Năm</t>
        </is>
      </c>
      <c r="L17937" s="8">
        <f>HYPERLINK("https://careerviet.vn/vi/tim-viec-lam/nhan-vien-tuyen-dung.35C671A0.html","Xem chi tiết")</f>
        <v/>
      </c>
    </row>
    <row r="17938">
      <c r="B17938" s="9" t="n">
        <v>17936</v>
      </c>
      <c r="C17938" s="10" t="inlineStr">
        <is>
          <t>Nhân Viên Kinh Doanh Kênh Siêu Thị - Ngành Mẹ Và Bé</t>
        </is>
      </c>
      <c r="D17938" s="10" t="inlineStr">
        <is>
          <t>Công Ty TNHH XNK Cầu Nối Việt</t>
        </is>
      </c>
      <c r="E17938" s="10" t="inlineStr">
        <is>
          <t>Lương:15 Tr - 20 Tr VND</t>
        </is>
      </c>
      <c r="F17938" s="10" t="inlineStr">
        <is>
          <t>Hồ Chí Minh</t>
        </is>
      </c>
      <c r="G17938" s="10" t="inlineStr">
        <is>
          <t>01-04-2026</t>
        </is>
      </c>
      <c r="H17938" s="10" t="inlineStr">
        <is>
          <t>01/04/2026</t>
        </is>
      </c>
      <c r="I17938" s="10" t="inlineStr">
        <is>
          <t>17/03/2026</t>
        </is>
      </c>
      <c r="J17938" s="10" t="inlineStr">
        <is>
          <t>Bán lẻ / Bán sỉ, Bán hàng / Kinh doanh</t>
        </is>
      </c>
      <c r="K17938" s="10" t="inlineStr">
        <is>
          <t>Lên đến 1 Năm</t>
        </is>
      </c>
      <c r="L17938" s="11">
        <f>HYPERLINK("https://careerviet.vn/vi/tim-viec-lam/nhan-vien-kinh-doanh-kenh-sieu-thi-nganh-me-va-be.35C6461F.html","Xem chi tiết")</f>
        <v/>
      </c>
      <c r="M17938" s="10" t="n"/>
    </row>
    <row r="17939">
      <c r="B17939" s="7" t="n">
        <v>17937</v>
      </c>
      <c r="C17939" t="inlineStr">
        <is>
          <t>Kế Toán Bán Hàng</t>
        </is>
      </c>
      <c r="D17939" t="inlineStr">
        <is>
          <t>CÔNG TY TNHH THỰC PHẨM CUỘC SỐNG</t>
        </is>
      </c>
      <c r="E17939" t="inlineStr">
        <is>
          <t>Lương:10 Tr - 11 Tr VND</t>
        </is>
      </c>
      <c r="F17939" t="inlineStr">
        <is>
          <t>Hà Nội</t>
        </is>
      </c>
      <c r="G17939" t="inlineStr">
        <is>
          <t>01-04-2026</t>
        </is>
      </c>
      <c r="H17939" t="inlineStr">
        <is>
          <t>01/04/2026</t>
        </is>
      </c>
      <c r="I17939" t="inlineStr">
        <is>
          <t>17/03/2026</t>
        </is>
      </c>
      <c r="J17939" t="inlineStr">
        <is>
          <t>Thực phẩm &amp; Đồ uống, Kế toán / Kiểm toán</t>
        </is>
      </c>
      <c r="K17939" t="inlineStr">
        <is>
          <t>Trên 1 Năm</t>
        </is>
      </c>
      <c r="L17939" s="8">
        <f>HYPERLINK("https://careerviet.vn/vi/tim-viec-lam/ke-toan-ban-hang.35C67174.html","Xem chi tiết")</f>
        <v/>
      </c>
    </row>
    <row r="17940">
      <c r="B17940" s="9" t="n">
        <v>17938</v>
      </c>
      <c r="C17940" s="10" t="inlineStr">
        <is>
          <t>Air Freight Specialist</t>
        </is>
      </c>
      <c r="D17940" s="10" t="inlineStr">
        <is>
          <t>Wanek Furniture</t>
        </is>
      </c>
      <c r="E17940" s="10" t="inlineStr">
        <is>
          <t>Lương:Cạnh tranh</t>
        </is>
      </c>
      <c r="F17940" s="10" t="inlineStr">
        <is>
          <t>Bình Dương</t>
        </is>
      </c>
      <c r="G17940" s="10" t="inlineStr">
        <is>
          <t>01-04-2026</t>
        </is>
      </c>
      <c r="H17940" s="10" t="inlineStr">
        <is>
          <t>01/04/2026</t>
        </is>
      </c>
      <c r="I17940" s="10" t="inlineStr">
        <is>
          <t>17/03/2026</t>
        </is>
      </c>
      <c r="J17940" s="10" t="inlineStr">
        <is>
          <t>Bán hàng / Kinh doanh, Xuất nhập khẩu, Nội ngoại thất</t>
        </is>
      </c>
      <c r="K17940" s="10" t="inlineStr">
        <is>
          <t>1 - 3 Năm</t>
        </is>
      </c>
      <c r="L17940" s="11">
        <f>HYPERLINK("https://careerviet.vn/vi/tim-viec-lam/air-freight-specialist.35C6716E.html","Xem chi tiết")</f>
        <v/>
      </c>
      <c r="M17940" s="10" t="n"/>
    </row>
    <row r="17941">
      <c r="B17941" s="7" t="n">
        <v>17939</v>
      </c>
      <c r="C17941" t="inlineStr">
        <is>
          <t>[THANH HÓA] KỸ SƯ QS</t>
        </is>
      </c>
      <c r="D17941" t="inlineStr">
        <is>
          <t>Tổng công ty Xây dựng số 1 – CTCP</t>
        </is>
      </c>
      <c r="E17941" t="inlineStr">
        <is>
          <t>Lương:Cạnh tranh</t>
        </is>
      </c>
      <c r="F17941" t="inlineStr">
        <is>
          <t>Thanh Hóa</t>
        </is>
      </c>
      <c r="G17941" t="inlineStr">
        <is>
          <t>01-04-2026</t>
        </is>
      </c>
      <c r="H17941" t="inlineStr">
        <is>
          <t>01/04/2026</t>
        </is>
      </c>
      <c r="I17941" t="inlineStr">
        <is>
          <t>17/03/2026</t>
        </is>
      </c>
      <c r="J17941" t="inlineStr">
        <is>
          <t>Xây dựng</t>
        </is>
      </c>
      <c r="K17941" t="inlineStr">
        <is>
          <t>Trên 5 Năm</t>
        </is>
      </c>
      <c r="L17941" s="8">
        <f>HYPERLINK("https://careerviet.vn/vi/tim-viec-lam/thanh-hoa-ky-su-qs.35C671DE.html","Xem chi tiết")</f>
        <v/>
      </c>
    </row>
    <row r="17942">
      <c r="B17942" s="9" t="n">
        <v>17940</v>
      </c>
      <c r="C17942" s="10" t="inlineStr">
        <is>
          <t>Nhân Viên Y Tế Nhà Máy</t>
        </is>
      </c>
      <c r="D17942" s="10" t="inlineStr">
        <is>
          <t>CÔNG TY CỔ PHẦN CHẾ BIẾN THỰC PHẨM HOÀNG SƠN</t>
        </is>
      </c>
      <c r="E17942" s="10" t="inlineStr">
        <is>
          <t>Lương:9 Tr - 12 Tr VND</t>
        </is>
      </c>
      <c r="F17942" s="10" t="inlineStr">
        <is>
          <t>Bình Dương</t>
        </is>
      </c>
      <c r="G17942" s="10" t="inlineStr">
        <is>
          <t>01-04-2026</t>
        </is>
      </c>
      <c r="H17942" s="10" t="inlineStr">
        <is>
          <t>01/04/2026</t>
        </is>
      </c>
      <c r="I17942" s="10" t="inlineStr">
        <is>
          <t>17/03/2026</t>
        </is>
      </c>
      <c r="J17942" s="10" t="inlineStr">
        <is>
          <t>Y tế / Chăm sóc sức khỏe / Thẩm mỹ / Làm đẹp, Công nghệ thực phẩm / Dinh dưỡng, Sản xuất / Vận hành sản xuất</t>
        </is>
      </c>
      <c r="K17942" s="10" t="inlineStr">
        <is>
          <t>1 - 3 Năm</t>
        </is>
      </c>
      <c r="L17942" s="11">
        <f>HYPERLINK("https://careerviet.vn/vi/tim-viec-lam/nhan-vien-y-te-nha-may.35C6462C.html","Xem chi tiết")</f>
        <v/>
      </c>
      <c r="M17942" s="10" t="n"/>
    </row>
    <row r="17943">
      <c r="B17943" s="7" t="n">
        <v>17941</v>
      </c>
      <c r="C17943" t="inlineStr">
        <is>
          <t>kinh doanh</t>
        </is>
      </c>
      <c r="D17943" t="inlineStr">
        <is>
          <t>Công ty Cổ Phần Thảo Mộc Xanh</t>
        </is>
      </c>
      <c r="E17943" t="inlineStr">
        <is>
          <t>Lương:Cạnh tranh</t>
        </is>
      </c>
      <c r="F17943" t="inlineStr">
        <is>
          <t>Hồ Chí Minh</t>
        </is>
      </c>
      <c r="G17943" t="inlineStr">
        <is>
          <t>01-04-2026</t>
        </is>
      </c>
      <c r="H17943" t="inlineStr">
        <is>
          <t>01/04/2026</t>
        </is>
      </c>
      <c r="I17943" t="inlineStr">
        <is>
          <t>17/03/2026</t>
        </is>
      </c>
      <c r="J17943" t="inlineStr">
        <is>
          <t>Tiếp thị / Marketing, Bán lẻ / Bán sỉ, Bán hàng / Kinh doanh</t>
        </is>
      </c>
      <c r="K17943" t="inlineStr">
        <is>
          <t>N/A</t>
        </is>
      </c>
      <c r="L17943" s="8">
        <f>HYPERLINK("https://careerviet.vn/vi/tim-viec-lam/kinh-doanh.35C671D2.html","Xem chi tiết")</f>
        <v/>
      </c>
    </row>
    <row r="17944">
      <c r="B17944" s="9" t="n">
        <v>17942</v>
      </c>
      <c r="C17944" s="10" t="inlineStr">
        <is>
          <t>Nhân viên hành chính - nhân sự tổng hợp</t>
        </is>
      </c>
      <c r="D17944" s="10" t="inlineStr">
        <is>
          <t>CÔNG TY TNHH THƯƠNG MẠI VÀ HỮU NGHỊ LÊ GIA</t>
        </is>
      </c>
      <c r="E17944" s="10" t="inlineStr">
        <is>
          <t>Lương:10 Tr - 15 Tr VND</t>
        </is>
      </c>
      <c r="F17944" s="10" t="inlineStr">
        <is>
          <t>Hà Nội</t>
        </is>
      </c>
      <c r="G17944" s="10" t="inlineStr">
        <is>
          <t>01-04-2026</t>
        </is>
      </c>
      <c r="H17944" s="10" t="inlineStr">
        <is>
          <t>01/04/2026</t>
        </is>
      </c>
      <c r="I17944" s="10" t="inlineStr">
        <is>
          <t>17/03/2026</t>
        </is>
      </c>
      <c r="J17944" s="10" t="inlineStr">
        <is>
          <t>Điện / Điện tử / Điện lạnh / Điện công nghiệp</t>
        </is>
      </c>
      <c r="K17944" s="10" t="inlineStr">
        <is>
          <t>Chưa có kinh nghiệm</t>
        </is>
      </c>
      <c r="L17944" s="11">
        <f>HYPERLINK("https://careerviet.vn/vi/tim-viec-lam/nhan-vien-hanh-chinh-nhan-su-tong-hop.35C6719D.html","Xem chi tiết")</f>
        <v/>
      </c>
      <c r="M17944" s="10" t="n"/>
    </row>
    <row r="17945">
      <c r="B17945" s="7" t="n">
        <v>17943</v>
      </c>
      <c r="C17945" t="inlineStr">
        <is>
          <t>[Bệnh viện Đại học Phenikaa] Kỹ thuật viên Trung tâm di truyền</t>
        </is>
      </c>
      <c r="D17945" t="inlineStr">
        <is>
          <t>BỆNH VIỆN ĐẠI HỌC PHENIKAA</t>
        </is>
      </c>
      <c r="E17945" t="inlineStr">
        <is>
          <t>Lương:15 Tr - 20 Tr VND</t>
        </is>
      </c>
      <c r="F17945" t="inlineStr">
        <is>
          <t>Hà Nội</t>
        </is>
      </c>
      <c r="G17945" t="inlineStr">
        <is>
          <t>01-04-2026</t>
        </is>
      </c>
      <c r="H17945" t="inlineStr">
        <is>
          <t>01/04/2026</t>
        </is>
      </c>
      <c r="I17945" t="inlineStr">
        <is>
          <t>17/03/2026</t>
        </is>
      </c>
      <c r="J17945" t="inlineStr">
        <is>
          <t>Y tế / Chăm sóc sức khỏe / Thẩm mỹ / Làm đẹp, Công nghệ sinh học</t>
        </is>
      </c>
      <c r="K17945" t="inlineStr">
        <is>
          <t>2 - 3 Năm</t>
        </is>
      </c>
      <c r="L17945" s="8">
        <f>HYPERLINK("https://careerviet.vn/vi/tim-viec-lam/benh-vien-dai-hoc-phenikaa-ky-thuat-vien-trung-tam-di-truyen.35C671B0.html","Xem chi tiết")</f>
        <v/>
      </c>
    </row>
    <row r="17946">
      <c r="B17946" s="9" t="n">
        <v>17944</v>
      </c>
      <c r="C17946" s="10" t="inlineStr">
        <is>
          <t>KẾ TOÁN XUẤT NHẬP KHẨU / LOGISTICS</t>
        </is>
      </c>
      <c r="D17946" s="10" t="inlineStr">
        <is>
          <t>CÔNG TY TNHH THƯƠNG MẠI VÀ TIẾP VẬN ĐẠI DƯƠNG XANH</t>
        </is>
      </c>
      <c r="E17946" s="10" t="inlineStr">
        <is>
          <t>Lương:8 Tr - 12 Tr VND</t>
        </is>
      </c>
      <c r="F17946" s="10" t="inlineStr">
        <is>
          <t>Hồ Chí Minh</t>
        </is>
      </c>
      <c r="G17946" s="10" t="inlineStr">
        <is>
          <t>01-04-2026</t>
        </is>
      </c>
      <c r="H17946" s="10" t="inlineStr">
        <is>
          <t>01/04/2026</t>
        </is>
      </c>
      <c r="I17946" s="10" t="inlineStr">
        <is>
          <t>17/03/2026</t>
        </is>
      </c>
      <c r="J17946" s="10" t="inlineStr">
        <is>
          <t>Vận chuyển / Giao nhận / Kho vận, Kế toán / Kiểm toán</t>
        </is>
      </c>
      <c r="K17946" s="10" t="inlineStr">
        <is>
          <t>1 - 5 Năm</t>
        </is>
      </c>
      <c r="L17946" s="11">
        <f>HYPERLINK("https://careerviet.vn/vi/tim-viec-lam/ke-toan-xuat-nhap-khau-logistics.35C6719F.html","Xem chi tiết")</f>
        <v/>
      </c>
      <c r="M17946" s="10" t="n"/>
    </row>
    <row r="17947">
      <c r="B17947" s="7" t="n">
        <v>17945</v>
      </c>
      <c r="C17947" t="inlineStr">
        <is>
          <t>Trưởng phòng kinh doanh</t>
        </is>
      </c>
      <c r="D17947" t="inlineStr">
        <is>
          <t>CÔNG TY TNHH ĐẦU TƯ ITS</t>
        </is>
      </c>
      <c r="E17947" t="inlineStr">
        <is>
          <t>Lương:18 Tr - 22 Tr VND</t>
        </is>
      </c>
      <c r="F17947" t="inlineStr">
        <is>
          <t>Hồ Chí Minh</t>
        </is>
      </c>
      <c r="G17947" t="inlineStr">
        <is>
          <t>01-04-2026</t>
        </is>
      </c>
      <c r="H17947" t="inlineStr">
        <is>
          <t>01/04/2026</t>
        </is>
      </c>
      <c r="I17947" t="inlineStr">
        <is>
          <t>17/03/2026</t>
        </is>
      </c>
      <c r="J17947" t="inlineStr">
        <is>
          <t>Cơ khí / Ô tô / Tự động hóa, Xây dựng</t>
        </is>
      </c>
      <c r="K17947" t="inlineStr">
        <is>
          <t>4 - 6 Năm</t>
        </is>
      </c>
      <c r="L17947" s="8">
        <f>HYPERLINK("https://careerviet.vn/vi/tim-viec-lam/truong-phong-kinh-doanh.35C671C5.html","Xem chi tiết")</f>
        <v/>
      </c>
    </row>
    <row r="17948">
      <c r="B17948" s="9" t="n">
        <v>17946</v>
      </c>
      <c r="C17948" s="10" t="inlineStr">
        <is>
          <t>TÀI XẾ XE CONTAINER/ TÀI XẾ XE TẢI</t>
        </is>
      </c>
      <c r="D17948" s="10" t="inlineStr">
        <is>
          <t>CÔNG TY TNHH THƯƠNG MẠI VÀ TIẾP VẬN ĐẠI DƯƠNG XANH</t>
        </is>
      </c>
      <c r="E17948" s="10" t="inlineStr">
        <is>
          <t>Lương:8 Tr - 35 Tr VND</t>
        </is>
      </c>
      <c r="F17948" s="10" t="inlineStr">
        <is>
          <t>Hồ Chí Minh</t>
        </is>
      </c>
      <c r="G17948" s="10" t="inlineStr">
        <is>
          <t>01-04-2026</t>
        </is>
      </c>
      <c r="H17948" s="10" t="inlineStr">
        <is>
          <t>01/04/2026</t>
        </is>
      </c>
      <c r="I17948" s="10" t="inlineStr">
        <is>
          <t>17/03/2026</t>
        </is>
      </c>
      <c r="J17948" s="10" t="inlineStr">
        <is>
          <t>Vận chuyển / Giao nhận / Kho vận</t>
        </is>
      </c>
      <c r="K17948" s="10" t="inlineStr">
        <is>
          <t>2 - 10 Năm</t>
        </is>
      </c>
      <c r="L17948" s="11">
        <f>HYPERLINK("https://careerviet.vn/vi/tim-viec-lam/tai-xe-xe-container-tai-xe-xe-tai.35C671A2.html","Xem chi tiết")</f>
        <v/>
      </c>
      <c r="M17948" s="10" t="n"/>
    </row>
    <row r="17949">
      <c r="B17949" s="7" t="n">
        <v>17947</v>
      </c>
      <c r="C17949" t="inlineStr">
        <is>
          <t>THỰC TẬP SINH DIGITAL MARKETING ( FACEBOOK ADS)</t>
        </is>
      </c>
      <c r="D17949" t="inlineStr">
        <is>
          <t>ONE GROUP</t>
        </is>
      </c>
      <c r="E17949" t="inlineStr">
        <is>
          <t>Lương:2 Tr - 4 Tr VND</t>
        </is>
      </c>
      <c r="F17949" t="inlineStr">
        <is>
          <t>Hà NộiHồ Chí Minh</t>
        </is>
      </c>
      <c r="G17949" t="inlineStr">
        <is>
          <t>30-04-2026</t>
        </is>
      </c>
      <c r="H17949" t="inlineStr">
        <is>
          <t>30/04/2026</t>
        </is>
      </c>
      <c r="I17949" t="inlineStr">
        <is>
          <t>17/03/2026</t>
        </is>
      </c>
      <c r="J17949" t="inlineStr">
        <is>
          <t>Tiếp thị / Marketing, Thương mại điện tử, Bán hàng / Kinh doanh</t>
        </is>
      </c>
      <c r="K17949" t="inlineStr">
        <is>
          <t>N/A</t>
        </is>
      </c>
      <c r="L17949" s="8">
        <f>HYPERLINK("https://careerviet.vn/vi/tim-viec-lam/thuc-tap-sinh-digital-marketing-facebook-ads.35C6A69E.html","Xem chi tiết")</f>
        <v/>
      </c>
    </row>
    <row r="17950">
      <c r="B17950" s="9" t="n">
        <v>17948</v>
      </c>
      <c r="C17950" s="10" t="inlineStr">
        <is>
          <t>Chuyên viên Tài chính ( Tài chính Công)</t>
        </is>
      </c>
      <c r="D17950" s="10" t="inlineStr">
        <is>
          <t>Tập Đoàn CT Group Việt Nam</t>
        </is>
      </c>
      <c r="E17950" s="10" t="inlineStr">
        <is>
          <t>Lương:20 Tr - 25 Tr VND</t>
        </is>
      </c>
      <c r="F17950" s="10" t="inlineStr">
        <is>
          <t>Hồ Chí Minh</t>
        </is>
      </c>
      <c r="G17950" s="10" t="inlineStr">
        <is>
          <t>04-04-2026</t>
        </is>
      </c>
      <c r="H17950" s="10" t="inlineStr">
        <is>
          <t>04/04/2026</t>
        </is>
      </c>
      <c r="I17950" s="10" t="inlineStr">
        <is>
          <t>17/03/2026</t>
        </is>
      </c>
      <c r="J17950" s="10" t="inlineStr">
        <is>
          <t>Kế toán / Kiểm toán, Tài chính / Đầu tư, Ngành khác</t>
        </is>
      </c>
      <c r="K17950" s="10" t="inlineStr">
        <is>
          <t>Chưa có kinh nghiệm</t>
        </is>
      </c>
      <c r="L17950" s="11">
        <f>HYPERLINK("https://careerviet.vn/vi/tim-viec-lam/chuyen-vien-tai-chinh-tai-chinh-cong.35C675C0.html","Xem chi tiết")</f>
        <v/>
      </c>
      <c r="M17950" s="10" t="n"/>
    </row>
    <row r="17951">
      <c r="B17951" s="7" t="n">
        <v>17949</v>
      </c>
      <c r="C17951" t="inlineStr">
        <is>
          <t>Project Assistant</t>
        </is>
      </c>
      <c r="D17951" t="inlineStr">
        <is>
          <t>Công ty TNHH Olam Việt Nam</t>
        </is>
      </c>
      <c r="E17951" t="inlineStr">
        <is>
          <t>Lương:Cạnh tranh</t>
        </is>
      </c>
      <c r="F17951" t="inlineStr">
        <is>
          <t>Long An</t>
        </is>
      </c>
      <c r="G17951" t="inlineStr">
        <is>
          <t>04-04-2026</t>
        </is>
      </c>
      <c r="H17951" t="inlineStr">
        <is>
          <t>04/04/2026</t>
        </is>
      </c>
      <c r="I17951" t="inlineStr">
        <is>
          <t>17/03/2026</t>
        </is>
      </c>
      <c r="J17951" t="inlineStr">
        <is>
          <t>Cơ khí / Ô tô / Tự động hóa, Điện / Điện tử / Điện lạnh / Điện công nghiệp, Xây dựng</t>
        </is>
      </c>
      <c r="K17951" t="inlineStr">
        <is>
          <t>1 - 2 Năm</t>
        </is>
      </c>
      <c r="L17951" s="8">
        <f>HYPERLINK("https://careerviet.vn/vi/tim-viec-lam/project-assistant.35C647F6.html","Xem chi tiết")</f>
        <v/>
      </c>
    </row>
    <row r="17952">
      <c r="B17952" s="9" t="n">
        <v>17950</v>
      </c>
      <c r="C17952" s="10" t="inlineStr">
        <is>
          <t>NHÂN VIÊN QA - CƠ KHÍ [CỦ CHI]</t>
        </is>
      </c>
      <c r="D17952" s="10" t="inlineStr">
        <is>
          <t>CÔNG TY CP SAIGON AUTO SUPPORTING INDUSTRY</t>
        </is>
      </c>
      <c r="E17952" s="10" t="inlineStr">
        <is>
          <t>Lương:Cạnh tranh</t>
        </is>
      </c>
      <c r="F17952" s="10" t="inlineStr">
        <is>
          <t>Hồ Chí Minh</t>
        </is>
      </c>
      <c r="G17952" s="10" t="inlineStr">
        <is>
          <t>04-04-2026</t>
        </is>
      </c>
      <c r="H17952" s="10" t="inlineStr">
        <is>
          <t>04/04/2026</t>
        </is>
      </c>
      <c r="I17952" s="10" t="inlineStr">
        <is>
          <t>17/03/2026</t>
        </is>
      </c>
      <c r="J17952" s="10" t="inlineStr">
        <is>
          <t>Cơ khí / Ô tô / Tự động hóa, Quản lý chất lượng (QA/QC)</t>
        </is>
      </c>
      <c r="K17952" s="10" t="inlineStr">
        <is>
          <t>1 - 5 Năm</t>
        </is>
      </c>
      <c r="L17952" s="11">
        <f>HYPERLINK("https://careerviet.vn/vi/tim-viec-lam/nhan-vien-qa-co-khi-cu-chi.35C674B7.html","Xem chi tiết")</f>
        <v/>
      </c>
      <c r="M17952" s="10" t="n"/>
    </row>
    <row r="17953">
      <c r="B17953" s="7" t="n">
        <v>17951</v>
      </c>
      <c r="C17953" t="inlineStr">
        <is>
          <t>Nhân viên Thu Mua</t>
        </is>
      </c>
      <c r="D17953" t="inlineStr">
        <is>
          <t>CX Technology VN</t>
        </is>
      </c>
      <c r="E17953" t="inlineStr">
        <is>
          <t>Lương:9 Tr - 15 Tr VND</t>
        </is>
      </c>
      <c r="F17953" t="inlineStr">
        <is>
          <t>Hồ Chí Minh</t>
        </is>
      </c>
      <c r="G17953" t="inlineStr">
        <is>
          <t>04-04-2026</t>
        </is>
      </c>
      <c r="H17953" t="inlineStr">
        <is>
          <t>04/04/2026</t>
        </is>
      </c>
      <c r="I17953" t="inlineStr">
        <is>
          <t>17/03/2026</t>
        </is>
      </c>
      <c r="J17953" t="inlineStr">
        <is>
          <t>Thu mua / Vật tư</t>
        </is>
      </c>
      <c r="K17953" t="inlineStr">
        <is>
          <t>N/A</t>
        </is>
      </c>
      <c r="L17953" s="8">
        <f>HYPERLINK("https://careerviet.vn/vi/tim-viec-lam/nhan-vien-thu-mua.35C6756C.html","Xem chi tiết")</f>
        <v/>
      </c>
    </row>
    <row r="17954">
      <c r="B17954" s="9" t="n">
        <v>17952</v>
      </c>
      <c r="C17954" s="10" t="inlineStr">
        <is>
          <t>Chuyên viên Kinh doanh Thị Trường</t>
        </is>
      </c>
      <c r="D17954" s="10" t="inlineStr">
        <is>
          <t>CÔNG TY CỔ PHẦN GIẢI PHÁP THANH TOÁN VIỆT TÍN</t>
        </is>
      </c>
      <c r="E17954" s="10" t="inlineStr">
        <is>
          <t>Lương:10 Tr - 30 Tr VND</t>
        </is>
      </c>
      <c r="F17954" s="10" t="inlineStr">
        <is>
          <t>Hồ Chí Minh</t>
        </is>
      </c>
      <c r="G17954" s="10" t="inlineStr">
        <is>
          <t>01-04-2026</t>
        </is>
      </c>
      <c r="H17954" s="10" t="inlineStr">
        <is>
          <t>01/04/2026</t>
        </is>
      </c>
      <c r="I17954" s="10" t="inlineStr">
        <is>
          <t>17/03/2026</t>
        </is>
      </c>
      <c r="J17954" s="10" t="inlineStr">
        <is>
          <t>Bán hàng / Kinh doanh</t>
        </is>
      </c>
      <c r="K17954" s="10" t="inlineStr">
        <is>
          <t>Trên 1 Năm</t>
        </is>
      </c>
      <c r="L17954" s="11">
        <f>HYPERLINK("https://careerviet.vn/vi/tim-viec-lam/chuyen-vien-kinh-doanh-thi-truong.35C671AB.html","Xem chi tiết")</f>
        <v/>
      </c>
      <c r="M17954" s="10" t="n"/>
    </row>
    <row r="17955">
      <c r="B17955" s="7" t="n">
        <v>17953</v>
      </c>
      <c r="C17955" t="inlineStr">
        <is>
          <t>[THANH HÓA] Trưởng Bộ phận kỹ thuật</t>
        </is>
      </c>
      <c r="D17955" t="inlineStr">
        <is>
          <t>CÔNG TY CỔ PHẦN EUROWINDOW HOLDING</t>
        </is>
      </c>
      <c r="E17955" t="inlineStr">
        <is>
          <t>Lương:Cạnh tranh</t>
        </is>
      </c>
      <c r="F17955" t="inlineStr">
        <is>
          <t>Thanh Hóa</t>
        </is>
      </c>
      <c r="G17955" t="inlineStr">
        <is>
          <t>04-04-2026</t>
        </is>
      </c>
      <c r="H17955" t="inlineStr">
        <is>
          <t>04/04/2026</t>
        </is>
      </c>
      <c r="I17955" t="inlineStr">
        <is>
          <t>17/03/2026</t>
        </is>
      </c>
      <c r="J17955" t="inlineStr">
        <is>
          <t>Điện / Điện tử / Điện lạnh / Điện công nghiệp, Bất động sản</t>
        </is>
      </c>
      <c r="K17955" t="inlineStr">
        <is>
          <t>2 - 5 Năm</t>
        </is>
      </c>
      <c r="L17955" s="8">
        <f>HYPERLINK("https://careerviet.vn/vi/tim-viec-lam/thanh-hoa-truong-bo-phan-ky-thuat.35C674AE.html","Xem chi tiết")</f>
        <v/>
      </c>
    </row>
    <row r="17956">
      <c r="B17956" s="9" t="n">
        <v>17954</v>
      </c>
      <c r="C17956" s="10" t="inlineStr">
        <is>
          <t>Kế toán công nợ (Ca Đêm)</t>
        </is>
      </c>
      <c r="D17956" s="10" t="inlineStr">
        <is>
          <t>CÔNG TY CỔ PHẦN MAC MARKETING</t>
        </is>
      </c>
      <c r="E17956" s="10" t="inlineStr">
        <is>
          <t>Lương:10 Tr - 13 Tr VND</t>
        </is>
      </c>
      <c r="F17956" s="10" t="inlineStr">
        <is>
          <t>Hồ Chí Minh</t>
        </is>
      </c>
      <c r="G17956" s="10" t="inlineStr">
        <is>
          <t>5</t>
        </is>
      </c>
      <c r="H17956" s="10" t="inlineStr">
        <is>
          <t>22/03/2026</t>
        </is>
      </c>
      <c r="I17956" s="10" t="inlineStr">
        <is>
          <t>17/03/2026</t>
        </is>
      </c>
      <c r="J17956" s="10" t="inlineStr">
        <is>
          <t>Kế toán / Kiểm toán</t>
        </is>
      </c>
      <c r="K17956" s="10" t="inlineStr">
        <is>
          <t>1 - 2 Năm</t>
        </is>
      </c>
      <c r="L17956" s="11">
        <f>HYPERLINK("https://careerviet.vn/vi/tim-viec-lam/ke-toan-cong-no-ca-dem.35C661BE.html","Xem chi tiết")</f>
        <v/>
      </c>
      <c r="M17956" s="10" t="n"/>
    </row>
    <row r="17957">
      <c r="B17957" s="7" t="n">
        <v>17955</v>
      </c>
      <c r="C17957" t="inlineStr">
        <is>
          <t>Kế toán cân hàng</t>
        </is>
      </c>
      <c r="D17957" t="inlineStr">
        <is>
          <t>Công ty TNHH Olam Việt Nam</t>
        </is>
      </c>
      <c r="E17957" t="inlineStr">
        <is>
          <t>Lương:8 Tr - 8 Tr VND</t>
        </is>
      </c>
      <c r="F17957" t="inlineStr">
        <is>
          <t>Đồng Nai</t>
        </is>
      </c>
      <c r="G17957" t="inlineStr">
        <is>
          <t>04-04-2026</t>
        </is>
      </c>
      <c r="H17957" t="inlineStr">
        <is>
          <t>04/04/2026</t>
        </is>
      </c>
      <c r="I17957" t="inlineStr">
        <is>
          <t>17/03/2026</t>
        </is>
      </c>
      <c r="J17957" t="inlineStr">
        <is>
          <t>Kế toán / Kiểm toán</t>
        </is>
      </c>
      <c r="K17957" t="inlineStr">
        <is>
          <t>Chưa có kinh nghiệm</t>
        </is>
      </c>
      <c r="L17957" s="8">
        <f>HYPERLINK("https://careerviet.vn/vi/tim-viec-lam/ke-toan-can-hang.35C6743C.html","Xem chi tiết")</f>
        <v/>
      </c>
    </row>
    <row r="17958">
      <c r="B17958" s="9" t="n">
        <v>17956</v>
      </c>
      <c r="C17958" s="10" t="inlineStr">
        <is>
          <t>Tổ trưởng kỹ thuật</t>
        </is>
      </c>
      <c r="D17958" s="10" t="inlineStr">
        <is>
          <t>TỔNG CÔNG TY CỔ PHẦN THƯƠNG MẠI XÂY DỰNG</t>
        </is>
      </c>
      <c r="E17958" s="10" t="inlineStr">
        <is>
          <t>Lương:13 Tr - 15 Tr VND</t>
        </is>
      </c>
      <c r="F17958" s="10" t="inlineStr">
        <is>
          <t>Hà Nội</t>
        </is>
      </c>
      <c r="G17958" s="10" t="inlineStr">
        <is>
          <t>04-04-2026</t>
        </is>
      </c>
      <c r="H17958" s="10" t="inlineStr">
        <is>
          <t>04/04/2026</t>
        </is>
      </c>
      <c r="I17958" s="10" t="inlineStr">
        <is>
          <t>17/03/2026</t>
        </is>
      </c>
      <c r="J17958" s="10" t="inlineStr">
        <is>
          <t>Cơ khí / Ô tô / Tự động hóa, Điện / Điện tử / Điện lạnh / Điện công nghiệp, Bảo trì / Sửa chữa</t>
        </is>
      </c>
      <c r="K17958" s="10" t="inlineStr">
        <is>
          <t>1 - 2 Năm</t>
        </is>
      </c>
      <c r="L17958" s="11">
        <f>HYPERLINK("https://careerviet.vn/vi/tim-viec-lam/to-truong-ky-thuat.35C6760B.html","Xem chi tiết")</f>
        <v/>
      </c>
      <c r="M17958" s="10" t="n"/>
    </row>
    <row r="17959">
      <c r="B17959" s="7" t="n">
        <v>17957</v>
      </c>
      <c r="C17959" t="inlineStr">
        <is>
          <t>Product Marketing - TA189</t>
        </is>
      </c>
      <c r="D17959" t="inlineStr">
        <is>
          <t>Ngân Hàng TMCP Việt Nam Thịnh Vượng - VPBANK</t>
        </is>
      </c>
      <c r="E17959" t="inlineStr">
        <is>
          <t>Lương:20 Tr - 50 Tr VND</t>
        </is>
      </c>
      <c r="F17959" t="inlineStr">
        <is>
          <t>Hồ Chí MinhHà Nội</t>
        </is>
      </c>
      <c r="G17959" t="inlineStr">
        <is>
          <t>04-04-2026</t>
        </is>
      </c>
      <c r="H17959" t="inlineStr">
        <is>
          <t>04/04/2026</t>
        </is>
      </c>
      <c r="I17959" t="inlineStr">
        <is>
          <t>17/03/2026</t>
        </is>
      </c>
      <c r="J17959" t="inlineStr">
        <is>
          <t>Ngân hàng</t>
        </is>
      </c>
      <c r="K17959" t="inlineStr">
        <is>
          <t>Trên 2 Năm</t>
        </is>
      </c>
      <c r="L17959" s="8">
        <f>HYPERLINK("https://careerviet.vn/vi/tim-viec-lam/product-marketing-ta189.35C6754C.html","Xem chi tiết")</f>
        <v/>
      </c>
    </row>
    <row r="17960">
      <c r="B17960" s="9" t="n">
        <v>17958</v>
      </c>
      <c r="C17960" s="10" t="inlineStr">
        <is>
          <t>Nhân viên hành chánh tổng hợp</t>
        </is>
      </c>
      <c r="D17960" s="10" t="inlineStr">
        <is>
          <t>Công ty Cổ Phần Thảo Mộc Xanh</t>
        </is>
      </c>
      <c r="E17960" s="10" t="inlineStr">
        <is>
          <t>Lương:Cạnh tranh</t>
        </is>
      </c>
      <c r="F17960" s="10" t="inlineStr">
        <is>
          <t>Hồ Chí Minh</t>
        </is>
      </c>
      <c r="G17960" s="10" t="inlineStr">
        <is>
          <t>01-04-2026</t>
        </is>
      </c>
      <c r="H17960" s="10" t="inlineStr">
        <is>
          <t>01/04/2026</t>
        </is>
      </c>
      <c r="I17960" s="10" t="inlineStr">
        <is>
          <t>17/03/2026</t>
        </is>
      </c>
      <c r="J17960" s="10" t="inlineStr">
        <is>
          <t>Hành chính / Thư ký, Quản lý điều hành, Ngành khác</t>
        </is>
      </c>
      <c r="K17960" s="10" t="inlineStr">
        <is>
          <t>Trên 2 Năm</t>
        </is>
      </c>
      <c r="L17960" s="11">
        <f>HYPERLINK("https://careerviet.vn/vi/tim-viec-lam/nhan-vien-hanh-chanh-tong-hop.35C671D3.html","Xem chi tiết")</f>
        <v/>
      </c>
      <c r="M17960" s="10" t="n"/>
    </row>
    <row r="17961">
      <c r="B17961" s="7" t="n">
        <v>17959</v>
      </c>
      <c r="C17961" t="inlineStr">
        <is>
          <t>QUẢN ĐỐC XƯỞNG CƠ KHÍ</t>
        </is>
      </c>
      <c r="D17961" t="inlineStr">
        <is>
          <t>CÔNG TY TNHH ĐẦU TƯ ITS</t>
        </is>
      </c>
      <c r="E17961" t="inlineStr">
        <is>
          <t>Lương:18 Tr - 25 Tr VND</t>
        </is>
      </c>
      <c r="F17961" t="inlineStr">
        <is>
          <t>Long An</t>
        </is>
      </c>
      <c r="G17961" t="inlineStr">
        <is>
          <t>04-04-2026</t>
        </is>
      </c>
      <c r="H17961" t="inlineStr">
        <is>
          <t>04/04/2026</t>
        </is>
      </c>
      <c r="I17961" t="inlineStr">
        <is>
          <t>17/03/2026</t>
        </is>
      </c>
      <c r="J17961" t="inlineStr">
        <is>
          <t>Quản lý điều hành, Cơ khí / Ô tô / Tự động hóa, Sản xuất / Vận hành sản xuất</t>
        </is>
      </c>
      <c r="K17961" t="inlineStr">
        <is>
          <t>4 - 5 Năm</t>
        </is>
      </c>
      <c r="L17961" s="8">
        <f>HYPERLINK("https://careerviet.vn/vi/tim-viec-lam/quan-doc-xuong-co-khi.35C67571.html","Xem chi tiết")</f>
        <v/>
      </c>
    </row>
    <row r="17962">
      <c r="B17962" s="9" t="n">
        <v>17960</v>
      </c>
      <c r="C17962" s="10" t="inlineStr">
        <is>
          <t>Giám đốc Phòng Khách hàng Doanh nghiệp</t>
        </is>
      </c>
      <c r="D17962" s="10" t="inlineStr">
        <is>
          <t>Ngân Hàng TMCP Tiên Phong (TPBank)</t>
        </is>
      </c>
      <c r="E17962" s="10" t="inlineStr">
        <is>
          <t>Lương:35 Tr - 40 Tr VND</t>
        </is>
      </c>
      <c r="F17962" s="10" t="inlineStr">
        <is>
          <t>Long AnHồ Chí Minh</t>
        </is>
      </c>
      <c r="G17962" s="10" t="inlineStr">
        <is>
          <t>04-04-2026</t>
        </is>
      </c>
      <c r="H17962" s="10" t="inlineStr">
        <is>
          <t>04/04/2026</t>
        </is>
      </c>
      <c r="I17962" s="10" t="inlineStr">
        <is>
          <t>17/03/2026</t>
        </is>
      </c>
      <c r="J17962" s="10" t="inlineStr">
        <is>
          <t>Bán hàng / Kinh doanh, Ngân hàng, Tài chính / Đầu tư</t>
        </is>
      </c>
      <c r="K17962" s="10" t="inlineStr">
        <is>
          <t>3 - 5 Năm</t>
        </is>
      </c>
      <c r="L17962" s="11">
        <f>HYPERLINK("https://careerviet.vn/vi/tim-viec-lam/giam-doc-phong-khach-hang-doanh-nghiep.35C67547.html","Xem chi tiết")</f>
        <v/>
      </c>
      <c r="M17962" s="10" t="n"/>
    </row>
    <row r="17963">
      <c r="B17963" s="7" t="n">
        <v>17961</v>
      </c>
      <c r="C17963" t="inlineStr">
        <is>
          <t>Điều phối viên Nghiên cứu lâm sàng (CRC)</t>
        </is>
      </c>
      <c r="D17963" t="inlineStr">
        <is>
          <t>Công ty TNHH Bình Việt Đức (BIVID)</t>
        </is>
      </c>
      <c r="E17963" t="inlineStr">
        <is>
          <t>Lương:18 Tr - 30 Tr VND</t>
        </is>
      </c>
      <c r="F17963" t="inlineStr">
        <is>
          <t>Hồ Chí Minh</t>
        </is>
      </c>
      <c r="G17963" t="inlineStr">
        <is>
          <t>04-04-2026</t>
        </is>
      </c>
      <c r="H17963" t="inlineStr">
        <is>
          <t>04/04/2026</t>
        </is>
      </c>
      <c r="I17963" t="inlineStr">
        <is>
          <t>17/03/2026</t>
        </is>
      </c>
      <c r="J17963" t="inlineStr">
        <is>
          <t>Bán hàng / Kinh doanh, Dược phẩm/ Hóa Mỹ Phẩm, Y tế / Chăm sóc sức khỏe / Thẩm mỹ / Làm đẹp</t>
        </is>
      </c>
      <c r="K17963" t="inlineStr">
        <is>
          <t>2 - 3 Năm</t>
        </is>
      </c>
      <c r="L17963" s="8">
        <f>HYPERLINK("https://careerviet.vn/vi/tim-viec-lam/dieu-phoi-vien-nghien-cuu-lam-sang-crc.35C67599.html","Xem chi tiết")</f>
        <v/>
      </c>
    </row>
    <row r="17964">
      <c r="B17964" s="9" t="n">
        <v>17962</v>
      </c>
      <c r="C17964" s="10" t="inlineStr">
        <is>
          <t>Thực tập sinh Kinh Doanh</t>
        </is>
      </c>
      <c r="D17964" s="10" t="inlineStr">
        <is>
          <t>Công Ty Cổ Phần Hóa Chất Kỹ Thuật Kim Phong</t>
        </is>
      </c>
      <c r="E17964" s="10" t="inlineStr">
        <is>
          <t>Lương:Cạnh tranh</t>
        </is>
      </c>
      <c r="F17964" s="10" t="inlineStr">
        <is>
          <t>Hồ Chí Minh</t>
        </is>
      </c>
      <c r="G17964" s="10" t="inlineStr">
        <is>
          <t>04-04-2026</t>
        </is>
      </c>
      <c r="H17964" s="10" t="inlineStr">
        <is>
          <t>04/04/2026</t>
        </is>
      </c>
      <c r="I17964" s="10" t="inlineStr">
        <is>
          <t>17/03/2026</t>
        </is>
      </c>
      <c r="J17964" s="10" t="inlineStr">
        <is>
          <t>Bán lẻ / Bán sỉ, Bán hàng / Kinh doanh</t>
        </is>
      </c>
      <c r="K17964" s="10" t="inlineStr">
        <is>
          <t>N/A</t>
        </is>
      </c>
      <c r="L17964" s="11">
        <f>HYPERLINK("https://careerviet.vn/vi/tim-viec-lam/thuc-tap-sinh-kinh-doanh.35C6752C.html","Xem chi tiết")</f>
        <v/>
      </c>
      <c r="M17964" s="10" t="n"/>
    </row>
    <row r="17965">
      <c r="B17965" s="7" t="n">
        <v>17963</v>
      </c>
      <c r="C17965" t="inlineStr">
        <is>
          <t>EPD (Equipment Process Drive) Engineer</t>
        </is>
      </c>
      <c r="D17965" t="inlineStr">
        <is>
          <t>Công ty TNHH Sài Gòn Stec</t>
        </is>
      </c>
      <c r="E17965" t="inlineStr">
        <is>
          <t>Lương:15 Tr - 23 Tr VND</t>
        </is>
      </c>
      <c r="F17965" t="inlineStr">
        <is>
          <t>Bình Dương</t>
        </is>
      </c>
      <c r="G17965" t="inlineStr">
        <is>
          <t>04-04-2026</t>
        </is>
      </c>
      <c r="H17965" t="inlineStr">
        <is>
          <t>04/04/2026</t>
        </is>
      </c>
      <c r="I17965" t="inlineStr">
        <is>
          <t>17/03/2026</t>
        </is>
      </c>
      <c r="J17965" t="inlineStr">
        <is>
          <t>Cơ khí / Ô tô / Tự động hóa, Điện / Điện tử / Điện lạnh / Điện công nghiệp, Bảo trì / Sửa chữa</t>
        </is>
      </c>
      <c r="K17965" t="inlineStr">
        <is>
          <t>2 - 5 Năm</t>
        </is>
      </c>
      <c r="L17965" s="8">
        <f>HYPERLINK("https://careerviet.vn/vi/tim-viec-lam/epd-equipment-process-drive-engineer.35C6750F.html","Xem chi tiết")</f>
        <v/>
      </c>
    </row>
    <row r="17966">
      <c r="B17966" s="9" t="n">
        <v>17964</v>
      </c>
      <c r="C17966" s="10" t="inlineStr">
        <is>
          <t>[NOVAGROUP] TRỢ LÝ BAN GIÁM ĐỐC (PHỤ TRÁCH TUYỂN DỤNG)</t>
        </is>
      </c>
      <c r="D17966" s="10" t="inlineStr">
        <is>
          <t>NovaGroup - Công ty Cổ phần NovaGroup</t>
        </is>
      </c>
      <c r="E17966" s="10" t="inlineStr">
        <is>
          <t>Lương:Cạnh tranh</t>
        </is>
      </c>
      <c r="F17966" s="10" t="inlineStr">
        <is>
          <t>Hồ Chí Minh</t>
        </is>
      </c>
      <c r="G17966" s="10" t="inlineStr">
        <is>
          <t>04-04-2026</t>
        </is>
      </c>
      <c r="H17966" s="10" t="inlineStr">
        <is>
          <t>04/04/2026</t>
        </is>
      </c>
      <c r="I17966" s="10" t="inlineStr">
        <is>
          <t>17/03/2026</t>
        </is>
      </c>
      <c r="J17966" s="10" t="inlineStr">
        <is>
          <t>Hành chính / Thư ký, Quản lý điều hành, Nhân sự</t>
        </is>
      </c>
      <c r="K17966" s="10" t="inlineStr">
        <is>
          <t>5 - 10 Năm</t>
        </is>
      </c>
      <c r="L17966" s="11">
        <f>HYPERLINK("https://careerviet.vn/vi/tim-viec-lam/novagroup-tro-ly-ban-giam-doc-phu-trach-tuyen-dung.35C67443.html","Xem chi tiết")</f>
        <v/>
      </c>
      <c r="M17966" s="10" t="n"/>
    </row>
    <row r="17967">
      <c r="B17967" s="7" t="n">
        <v>17965</v>
      </c>
      <c r="C17967" t="inlineStr">
        <is>
          <t>Nhân viên hành chính - thu mua  (Tiếng Trung)</t>
        </is>
      </c>
      <c r="D17967" t="inlineStr">
        <is>
          <t>S.F. EXPRESS LTD.</t>
        </is>
      </c>
      <c r="E17967" t="inlineStr">
        <is>
          <t>Lương:15 Tr - 17 Tr VND</t>
        </is>
      </c>
      <c r="F17967" t="inlineStr">
        <is>
          <t>Hồ Chí Minh</t>
        </is>
      </c>
      <c r="G17967" t="inlineStr">
        <is>
          <t>04-04-2026</t>
        </is>
      </c>
      <c r="H17967" t="inlineStr">
        <is>
          <t>04/04/2026</t>
        </is>
      </c>
      <c r="I17967" t="inlineStr">
        <is>
          <t>17/03/2026</t>
        </is>
      </c>
      <c r="J17967" t="inlineStr">
        <is>
          <t>Vận chuyển / Giao nhận / Kho vận, Hành chính / Thư ký, Thu mua / Vật tư</t>
        </is>
      </c>
      <c r="K17967" t="inlineStr">
        <is>
          <t>1 - 3 Năm</t>
        </is>
      </c>
      <c r="L17967" s="8">
        <f>HYPERLINK("https://careerviet.vn/vi/tim-viec-lam/nhan-vien-hanh-chinh-thu-mua-tieng-trung.35C675EB.html","Xem chi tiết")</f>
        <v/>
      </c>
    </row>
    <row r="17968">
      <c r="B17968" s="9" t="n">
        <v>17966</v>
      </c>
      <c r="C17968" s="10" t="inlineStr">
        <is>
          <t>Nhân Viên Tuyển Dụng và Đào Tạo</t>
        </is>
      </c>
      <c r="D17968" s="10" t="inlineStr">
        <is>
          <t>Công ty TNHH Bình Việt Đức (BIVID)</t>
        </is>
      </c>
      <c r="E17968" s="10" t="inlineStr">
        <is>
          <t>Lương:Cạnh tranh</t>
        </is>
      </c>
      <c r="F17968" s="10" t="inlineStr">
        <is>
          <t>Hồ Chí Minh</t>
        </is>
      </c>
      <c r="G17968" s="10" t="inlineStr">
        <is>
          <t>04-04-2026</t>
        </is>
      </c>
      <c r="H17968" s="10" t="inlineStr">
        <is>
          <t>04/04/2026</t>
        </is>
      </c>
      <c r="I17968" s="10" t="inlineStr">
        <is>
          <t>17/03/2026</t>
        </is>
      </c>
      <c r="J17968" s="10" t="inlineStr">
        <is>
          <t>Dược phẩm/ Hóa Mỹ Phẩm, Y tế / Chăm sóc sức khỏe / Thẩm mỹ / Làm đẹp, Nhân sự</t>
        </is>
      </c>
      <c r="K17968" s="10" t="inlineStr">
        <is>
          <t>1 - 3 Năm</t>
        </is>
      </c>
      <c r="L17968" s="11">
        <f>HYPERLINK("https://careerviet.vn/vi/tim-viec-lam/nhan-vien-tuyen-dung-va-dao-tao.35C67518.html","Xem chi tiết")</f>
        <v/>
      </c>
      <c r="M17968" s="10" t="n"/>
    </row>
    <row r="17969">
      <c r="B17969" s="7" t="n">
        <v>17967</v>
      </c>
      <c r="C17969" t="inlineStr">
        <is>
          <t>Giám Sát Công Trường (Site Supervisor)</t>
        </is>
      </c>
      <c r="D17969" t="inlineStr">
        <is>
          <t>Công Ty TNHH Kỹ Thuật Và Xây Dựng TAMADA</t>
        </is>
      </c>
      <c r="E17969" t="inlineStr">
        <is>
          <t>Lương:Cạnh tranh</t>
        </is>
      </c>
      <c r="F17969" t="inlineStr">
        <is>
          <t>Hồ Chí Minh</t>
        </is>
      </c>
      <c r="G17969" t="inlineStr">
        <is>
          <t>04-04-2026</t>
        </is>
      </c>
      <c r="H17969" t="inlineStr">
        <is>
          <t>04/04/2026</t>
        </is>
      </c>
      <c r="I17969" t="inlineStr">
        <is>
          <t>17/03/2026</t>
        </is>
      </c>
      <c r="J17969" t="inlineStr">
        <is>
          <t>Quản lý điều hành, Điện / Điện tử / Điện lạnh / Điện công nghiệp</t>
        </is>
      </c>
      <c r="K17969" t="inlineStr">
        <is>
          <t>1 - 5 Năm</t>
        </is>
      </c>
      <c r="L17969" s="8">
        <f>HYPERLINK("https://careerviet.vn/vi/tim-viec-lam/giam-sat-cong-truong-site-supervisor.35C674C3.html","Xem chi tiết")</f>
        <v/>
      </c>
    </row>
    <row r="17970">
      <c r="B17970" s="9" t="n">
        <v>17968</v>
      </c>
      <c r="C17970" s="10" t="inlineStr">
        <is>
          <t>[Nova Service Group] Chuyên viên cao cấp Tổ chức Quản lý Kênh Digital IC-EB</t>
        </is>
      </c>
      <c r="D17970" s="10" t="inlineStr">
        <is>
          <t>Nova Service Group - Công ty Cổ phần Tập đoàn Nova Services</t>
        </is>
      </c>
      <c r="E17970" s="10" t="inlineStr">
        <is>
          <t>Lương:Cạnh tranh</t>
        </is>
      </c>
      <c r="F17970" s="10" t="inlineStr">
        <is>
          <t>Hồ Chí Minh</t>
        </is>
      </c>
      <c r="G17970" s="10" t="inlineStr">
        <is>
          <t>04-04-2026</t>
        </is>
      </c>
      <c r="H17970" s="10" t="inlineStr">
        <is>
          <t>04/04/2026</t>
        </is>
      </c>
      <c r="I17970" s="10" t="inlineStr">
        <is>
          <t>17/03/2026</t>
        </is>
      </c>
      <c r="J17970" s="10" t="inlineStr">
        <is>
          <t>Quảng cáo / Đối ngoại / Truyền Thông</t>
        </is>
      </c>
      <c r="K17970" s="10" t="inlineStr">
        <is>
          <t>5 - 7 Năm</t>
        </is>
      </c>
      <c r="L17970" s="11">
        <f>HYPERLINK("https://careerviet.vn/vi/tim-viec-lam/nova-service-group-chuyen-vien-cao-cap-to-chuc-quan-ly-kenh-digital-ic-eb.35C673E9.html","Xem chi tiết")</f>
        <v/>
      </c>
      <c r="M17970" s="10" t="n"/>
    </row>
    <row r="17971">
      <c r="B17971" s="7" t="n">
        <v>17969</v>
      </c>
      <c r="C17971" t="inlineStr">
        <is>
          <t>Chuyên viên Nghiên cứu &amp; Phát triển chương trình THCS</t>
        </is>
      </c>
      <c r="D17971" t="inlineStr">
        <is>
          <t>TRƯỜNG QUỐC TẾ BLUE RIDGE / BLUE RIDGE INTERNATIONAL SCHOOL (BRIS)</t>
        </is>
      </c>
      <c r="E17971" t="inlineStr">
        <is>
          <t>Lương:Cạnh tranh</t>
        </is>
      </c>
      <c r="F17971" t="inlineStr">
        <is>
          <t>Hồ Chí Minh</t>
        </is>
      </c>
      <c r="G17971" t="inlineStr">
        <is>
          <t>04-04-2026</t>
        </is>
      </c>
      <c r="H17971" t="inlineStr">
        <is>
          <t>04/04/2026</t>
        </is>
      </c>
      <c r="I17971" t="inlineStr">
        <is>
          <t>17/03/2026</t>
        </is>
      </c>
      <c r="J17971" t="inlineStr">
        <is>
          <t>Giáo dục / Đào tạo</t>
        </is>
      </c>
      <c r="K17971" t="inlineStr">
        <is>
          <t>2 - 3 Năm</t>
        </is>
      </c>
      <c r="L17971" s="8">
        <f>HYPERLINK("https://careerviet.vn/vi/tim-viec-lam/chuyen-vien-nghien-cuu-phat-trien-chuong-trinh-thcs.35C6758A.html","Xem chi tiết")</f>
        <v/>
      </c>
    </row>
    <row r="17972">
      <c r="B17972" s="9" t="n">
        <v>17970</v>
      </c>
      <c r="C17972" s="10" t="inlineStr">
        <is>
          <t>Business Analyst - [Hà Nội]</t>
        </is>
      </c>
      <c r="D17972" s="10" t="inlineStr">
        <is>
          <t>CÔNG TY CỔ PHẦN GREEN SPEED</t>
        </is>
      </c>
      <c r="E17972" s="10" t="inlineStr">
        <is>
          <t>Lương:15 Tr - 20 Tr VND</t>
        </is>
      </c>
      <c r="F17972" s="10" t="inlineStr">
        <is>
          <t>Hà Nội</t>
        </is>
      </c>
      <c r="G17972" s="10" t="inlineStr">
        <is>
          <t>04-04-2026</t>
        </is>
      </c>
      <c r="H17972" s="10" t="inlineStr">
        <is>
          <t>04/04/2026</t>
        </is>
      </c>
      <c r="I17972" s="10" t="inlineStr">
        <is>
          <t>17/03/2026</t>
        </is>
      </c>
      <c r="J17972" s="10" t="inlineStr">
        <is>
          <t>CNTT - Phần mềm</t>
        </is>
      </c>
      <c r="K17972" s="10" t="inlineStr">
        <is>
          <t>1 - 2 Năm</t>
        </is>
      </c>
      <c r="L17972" s="11">
        <f>HYPERLINK("https://careerviet.vn/vi/tim-viec-lam/business-analyst-ha-noi.35C6744D.html","Xem chi tiết")</f>
        <v/>
      </c>
      <c r="M17972" s="10" t="n"/>
    </row>
    <row r="17973">
      <c r="B17973" s="7" t="n">
        <v>17971</v>
      </c>
      <c r="C17973" t="inlineStr">
        <is>
          <t>Visual Merchandiser (Layout Quầy Kệ)</t>
        </is>
      </c>
      <c r="D17973" t="inlineStr">
        <is>
          <t>Concung.com - Con Cung Joint Stock Company</t>
        </is>
      </c>
      <c r="E17973" t="inlineStr">
        <is>
          <t>Lương:Cạnh tranh</t>
        </is>
      </c>
      <c r="F17973" t="inlineStr">
        <is>
          <t>Hồ Chí Minh</t>
        </is>
      </c>
      <c r="G17973" t="inlineStr">
        <is>
          <t>04-04-2026</t>
        </is>
      </c>
      <c r="H17973" t="inlineStr">
        <is>
          <t>04/04/2026</t>
        </is>
      </c>
      <c r="I17973" t="inlineStr">
        <is>
          <t>17/03/2026</t>
        </is>
      </c>
      <c r="J17973" t="inlineStr">
        <is>
          <t>Bán lẻ / Bán sỉ, Kiến trúc</t>
        </is>
      </c>
      <c r="K17973" t="inlineStr">
        <is>
          <t>1 - 2 Năm</t>
        </is>
      </c>
      <c r="L17973" s="8">
        <f>HYPERLINK("https://careerviet.vn/vi/tim-viec-lam/visual-merchandiser-layout-quay-ke.35C6751B.html","Xem chi tiết")</f>
        <v/>
      </c>
    </row>
    <row r="17974">
      <c r="B17974" s="9" t="n">
        <v>17972</v>
      </c>
      <c r="C17974" s="10" t="inlineStr">
        <is>
          <t>Nhân viên Chăm sóc Khách hàng HD Bank</t>
        </is>
      </c>
      <c r="D17974" s="10" t="inlineStr">
        <is>
          <t>CÔNG TY TNHH GALAXY DIGITAL HOLDINGS</t>
        </is>
      </c>
      <c r="E17974" s="10" t="inlineStr">
        <is>
          <t>Lương:8 Tr - 12 Tr VND</t>
        </is>
      </c>
      <c r="F17974" s="10" t="inlineStr">
        <is>
          <t>Hồ Chí Minh</t>
        </is>
      </c>
      <c r="G17974" s="10" t="inlineStr">
        <is>
          <t>04-04-2026</t>
        </is>
      </c>
      <c r="H17974" s="10" t="inlineStr">
        <is>
          <t>04/04/2026</t>
        </is>
      </c>
      <c r="I17974" s="10" t="inlineStr">
        <is>
          <t>17/03/2026</t>
        </is>
      </c>
      <c r="J17974" s="10" t="inlineStr">
        <is>
          <t>Dịch vụ khách hàng</t>
        </is>
      </c>
      <c r="K17974" s="10" t="inlineStr">
        <is>
          <t>N/A</t>
        </is>
      </c>
      <c r="L17974" s="11">
        <f>HYPERLINK("https://careerviet.vn/vi/tim-viec-lam/nhan-vien-cham-soc-khach-hang-hd-bank.35C67501.html","Xem chi tiết")</f>
        <v/>
      </c>
      <c r="M17974" s="10" t="n"/>
    </row>
    <row r="17975">
      <c r="B17975" s="7" t="n">
        <v>17973</v>
      </c>
      <c r="C17975" t="inlineStr">
        <is>
          <t>Giám Sát Phát Triển Đối Tác E-shop kênh GT - Phụ trách Miền Trung</t>
        </is>
      </c>
      <c r="D17975" t="inlineStr">
        <is>
          <t>Công Ty Cổ Phần Diana Unicharm</t>
        </is>
      </c>
      <c r="E17975" t="inlineStr">
        <is>
          <t>Lương:Cạnh tranh</t>
        </is>
      </c>
      <c r="F17975" t="inlineStr">
        <is>
          <t>Dak LakKhánh HòaBình Định</t>
        </is>
      </c>
      <c r="G17975" t="inlineStr">
        <is>
          <t>04-04-2026</t>
        </is>
      </c>
      <c r="H17975" t="inlineStr">
        <is>
          <t>04/04/2026</t>
        </is>
      </c>
      <c r="I17975" t="inlineStr">
        <is>
          <t>17/03/2026</t>
        </is>
      </c>
      <c r="J17975" t="inlineStr">
        <is>
          <t>Bán lẻ / Bán sỉ, Bán hàng / Kinh doanh, Hàng gia dụng / Chăm sóc cá nhân</t>
        </is>
      </c>
      <c r="K17975" t="inlineStr">
        <is>
          <t>3 - 5 Năm</t>
        </is>
      </c>
      <c r="L17975" s="8">
        <f>HYPERLINK("https://careerviet.vn/vi/tim-viec-lam/giam-sat-phat-trien-doi-tac-e-shop-kenh-gt-phu-trach-mien-trung.35C6757C.html","Xem chi tiết")</f>
        <v/>
      </c>
    </row>
    <row r="17976">
      <c r="B17976" s="9" t="n">
        <v>17974</v>
      </c>
      <c r="C17976" s="10" t="inlineStr">
        <is>
          <t>Chuyên viên Pháp luật quản trị Ngân hàng - [BAC A BANK - Ban Pháp chế]</t>
        </is>
      </c>
      <c r="D17976" s="10" t="inlineStr">
        <is>
          <t>Ngân Hàng Thương mại cổ phần Bắc Á- BAC A BANK</t>
        </is>
      </c>
      <c r="E17976" s="10" t="inlineStr">
        <is>
          <t>Lương:Cạnh tranh</t>
        </is>
      </c>
      <c r="F17976" s="10" t="inlineStr">
        <is>
          <t>Hà Nội</t>
        </is>
      </c>
      <c r="G17976" s="10" t="inlineStr">
        <is>
          <t>04-04-2026</t>
        </is>
      </c>
      <c r="H17976" s="10" t="inlineStr">
        <is>
          <t>04/04/2026</t>
        </is>
      </c>
      <c r="I17976" s="10" t="inlineStr">
        <is>
          <t>17/03/2026</t>
        </is>
      </c>
      <c r="J17976" s="10" t="inlineStr">
        <is>
          <t>Luật / Pháp lý, Ngân hàng</t>
        </is>
      </c>
      <c r="K17976" s="10" t="inlineStr">
        <is>
          <t>3 - 5 Năm</t>
        </is>
      </c>
      <c r="L17976" s="11">
        <f>HYPERLINK("https://careerviet.vn/vi/tim-viec-lam/chuyen-vien-phap-luat-quan-tri-ngan-hang-bac-a-bank-ban-phap-che.35C67597.html","Xem chi tiết")</f>
        <v/>
      </c>
      <c r="M17976" s="10" t="n"/>
    </row>
    <row r="17977">
      <c r="B17977" s="7" t="n">
        <v>17975</v>
      </c>
      <c r="C17977" t="inlineStr">
        <is>
          <t>Trưởng bộ phận Tài chính</t>
        </is>
      </c>
      <c r="D17977" t="inlineStr">
        <is>
          <t>Công Ty Cổ Phần VictoryCons</t>
        </is>
      </c>
      <c r="E17977" t="inlineStr">
        <is>
          <t>Lương:Cạnh tranh</t>
        </is>
      </c>
      <c r="F17977" t="inlineStr">
        <is>
          <t>Hồ Chí Minh</t>
        </is>
      </c>
      <c r="G17977" t="inlineStr">
        <is>
          <t>04-04-2026</t>
        </is>
      </c>
      <c r="H17977" t="inlineStr">
        <is>
          <t>04/04/2026</t>
        </is>
      </c>
      <c r="I17977" t="inlineStr">
        <is>
          <t>17/03/2026</t>
        </is>
      </c>
      <c r="J17977" t="inlineStr">
        <is>
          <t>Kiến trúc, Xây dựng, Bất động sản</t>
        </is>
      </c>
      <c r="K17977" t="inlineStr">
        <is>
          <t>2 - 3 Năm</t>
        </is>
      </c>
      <c r="L17977" s="8">
        <f>HYPERLINK("https://careerviet.vn/vi/tim-viec-lam/truong-bo-phan-tai-chinh.35C675E0.html","Xem chi tiết")</f>
        <v/>
      </c>
    </row>
    <row r="17978">
      <c r="B17978" s="9" t="n">
        <v>17976</v>
      </c>
      <c r="C17978" s="10" t="inlineStr">
        <is>
          <t>Administrative Cum Receptionist</t>
        </is>
      </c>
      <c r="D17978" s="10" t="inlineStr">
        <is>
          <t>HR Vietnam’s ESS Client</t>
        </is>
      </c>
      <c r="E17978" s="10" t="inlineStr">
        <is>
          <t>Lương:Cạnh tranh</t>
        </is>
      </c>
      <c r="F17978" s="10" t="inlineStr">
        <is>
          <t>Bình Phước</t>
        </is>
      </c>
      <c r="G17978" s="10" t="inlineStr">
        <is>
          <t>04-04-2026</t>
        </is>
      </c>
      <c r="H17978" s="10" t="inlineStr">
        <is>
          <t>04/04/2026</t>
        </is>
      </c>
      <c r="I17978" s="10" t="inlineStr">
        <is>
          <t>17/03/2026</t>
        </is>
      </c>
      <c r="J17978" s="10" t="inlineStr">
        <is>
          <t>Hành chính / Thư ký</t>
        </is>
      </c>
      <c r="K17978" s="10" t="inlineStr">
        <is>
          <t>1 - 2 Năm</t>
        </is>
      </c>
      <c r="L17978" s="11">
        <f>HYPERLINK("https://careerviet.vn/vi/tim-viec-lam/administrative-cum-receptionist.35C67529.html","Xem chi tiết")</f>
        <v/>
      </c>
      <c r="M17978" s="10" t="n"/>
    </row>
    <row r="17979">
      <c r="B17979" s="7" t="n">
        <v>17977</v>
      </c>
      <c r="C17979" t="inlineStr">
        <is>
          <t>Chuyên Viên Mua Hàng Dược Mỹ Phẩm</t>
        </is>
      </c>
      <c r="D17979" t="inlineStr">
        <is>
          <t>CÔNG TY CỔ PHẦN MATSUMOTO KIYOSHI VIỆT NAM</t>
        </is>
      </c>
      <c r="E17979" t="inlineStr">
        <is>
          <t>Lương:14 Tr - 17 Tr VND</t>
        </is>
      </c>
      <c r="F17979" t="inlineStr">
        <is>
          <t>Hồ Chí Minh</t>
        </is>
      </c>
      <c r="G17979" t="inlineStr">
        <is>
          <t>04-04-2026</t>
        </is>
      </c>
      <c r="H17979" t="inlineStr">
        <is>
          <t>04/04/2026</t>
        </is>
      </c>
      <c r="I17979" t="inlineStr">
        <is>
          <t>17/03/2026</t>
        </is>
      </c>
      <c r="J17979" t="inlineStr">
        <is>
          <t>Bán lẻ / Bán sỉ, Dược phẩm/ Hóa Mỹ Phẩm, Thu mua / Vật tư</t>
        </is>
      </c>
      <c r="K17979" t="inlineStr">
        <is>
          <t>2 - 5 Năm</t>
        </is>
      </c>
      <c r="L17979" s="8">
        <f>HYPERLINK("https://careerviet.vn/vi/tim-viec-lam/chuyen-vien-mua-hang-duoc-my-pham.35C6745E.html","Xem chi tiết")</f>
        <v/>
      </c>
    </row>
    <row r="17980">
      <c r="B17980" s="9" t="n">
        <v>17978</v>
      </c>
      <c r="C17980" s="10" t="inlineStr">
        <is>
          <t>Marketing Team Leader - Dược mỹ phẩm</t>
        </is>
      </c>
      <c r="D17980" s="10" t="inlineStr">
        <is>
          <t>CÔNG TY CỔ PHẦN TCELL</t>
        </is>
      </c>
      <c r="E17980" s="10" t="inlineStr">
        <is>
          <t>Lương:18 Tr - 30 Tr VND</t>
        </is>
      </c>
      <c r="F17980" s="10" t="inlineStr">
        <is>
          <t>Hồ Chí Minh</t>
        </is>
      </c>
      <c r="G17980" s="10" t="inlineStr">
        <is>
          <t>04-04-2026</t>
        </is>
      </c>
      <c r="H17980" s="10" t="inlineStr">
        <is>
          <t>04/04/2026</t>
        </is>
      </c>
      <c r="I17980" s="10" t="inlineStr">
        <is>
          <t>17/03/2026</t>
        </is>
      </c>
      <c r="J17980" s="10" t="inlineStr">
        <is>
          <t>Tiếp thị / Marketing, Y tế / Chăm sóc sức khỏe / Thẩm mỹ / Làm đẹp, Dược phẩm/ Hóa Mỹ Phẩm</t>
        </is>
      </c>
      <c r="K17980" s="10" t="inlineStr">
        <is>
          <t>5 - 7 Năm</t>
        </is>
      </c>
      <c r="L17980" s="11">
        <f>HYPERLINK("https://careerviet.vn/vi/tim-viec-lam/marketing-team-leader-duoc-my-pham.35C674EA.html","Xem chi tiết")</f>
        <v/>
      </c>
      <c r="M17980" s="10" t="n"/>
    </row>
    <row r="17981">
      <c r="B17981" s="7" t="n">
        <v>17979</v>
      </c>
      <c r="C17981" t="inlineStr">
        <is>
          <t>Cán Bộ Kinh Doanh - Khu vực Hà Nội, Bắc Ninh, Hòa Bình</t>
        </is>
      </c>
      <c r="D17981" t="inlineStr">
        <is>
          <t>Tổng Công ty Cổ phần Bảo hiểm Ngân hàng Đầu tư và Phát triển Việt Nam (BIC)</t>
        </is>
      </c>
      <c r="E17981" t="inlineStr">
        <is>
          <t>Lương:Cạnh tranh</t>
        </is>
      </c>
      <c r="F17981" t="inlineStr">
        <is>
          <t>Hà NộiBắc NinhHòa Bình</t>
        </is>
      </c>
      <c r="G17981" t="inlineStr">
        <is>
          <t>04-04-2026</t>
        </is>
      </c>
      <c r="H17981" t="inlineStr">
        <is>
          <t>04/04/2026</t>
        </is>
      </c>
      <c r="I17981" t="inlineStr">
        <is>
          <t>17/03/2026</t>
        </is>
      </c>
      <c r="J17981" t="inlineStr">
        <is>
          <t>Bảo hiểm, Bán hàng / Kinh doanh, Ngân hàng</t>
        </is>
      </c>
      <c r="K17981" t="inlineStr">
        <is>
          <t>Chưa có kinh nghiệm</t>
        </is>
      </c>
      <c r="L17981" s="8">
        <f>HYPERLINK("https://careerviet.vn/vi/tim-viec-lam/can-bo-kinh-doanh-khu-vuc-ha-noi-bac-ninh-hoa-binh.35C675F4.html","Xem chi tiết")</f>
        <v/>
      </c>
    </row>
    <row r="17982">
      <c r="B17982" s="9" t="n">
        <v>17980</v>
      </c>
      <c r="C17982" s="10" t="inlineStr">
        <is>
          <t>Sales Operations/Sales Coordination Specialist</t>
        </is>
      </c>
      <c r="D17982" s="10" t="inlineStr">
        <is>
          <t>Công ty Cổ phần Sữa VitaDairy Việt Nam</t>
        </is>
      </c>
      <c r="E17982" s="10" t="inlineStr">
        <is>
          <t>Lương:Cạnh tranh</t>
        </is>
      </c>
      <c r="F17982" s="10" t="inlineStr">
        <is>
          <t>Hồ Chí Minh</t>
        </is>
      </c>
      <c r="G17982" s="10" t="inlineStr">
        <is>
          <t>04-04-2026</t>
        </is>
      </c>
      <c r="H17982" s="10" t="inlineStr">
        <is>
          <t>04/04/2026</t>
        </is>
      </c>
      <c r="I17982" s="10" t="inlineStr">
        <is>
          <t>17/03/2026</t>
        </is>
      </c>
      <c r="J17982" s="10" t="inlineStr">
        <is>
          <t>Bán hàng / Kinh doanh, Dịch vụ khách hàng, Thống kê</t>
        </is>
      </c>
      <c r="K17982" s="10" t="inlineStr">
        <is>
          <t>Trên 3 Năm</t>
        </is>
      </c>
      <c r="L17982" s="11">
        <f>HYPERLINK("https://careerviet.vn/vi/tim-viec-lam/sales-operations-sales-coordination-specialist.35C675B2.html","Xem chi tiết")</f>
        <v/>
      </c>
      <c r="M17982" s="10" t="n"/>
    </row>
    <row r="17983">
      <c r="B17983" s="7" t="n">
        <v>17981</v>
      </c>
      <c r="C17983" t="inlineStr">
        <is>
          <t>Project Manager / Senior Specialist</t>
        </is>
      </c>
      <c r="D17983" t="inlineStr">
        <is>
          <t>FE CREDIT</t>
        </is>
      </c>
      <c r="E17983" t="inlineStr">
        <is>
          <t>Lương:Cạnh tranh</t>
        </is>
      </c>
      <c r="F17983" t="inlineStr">
        <is>
          <t>Hồ Chí Minh</t>
        </is>
      </c>
      <c r="G17983" t="inlineStr">
        <is>
          <t>04-04-2026</t>
        </is>
      </c>
      <c r="H17983" t="inlineStr">
        <is>
          <t>04/04/2026</t>
        </is>
      </c>
      <c r="I17983" t="inlineStr">
        <is>
          <t>17/03/2026</t>
        </is>
      </c>
      <c r="J17983" t="inlineStr">
        <is>
          <t>Ngân hàng, Bảo hiểm, Tài chính / Đầu tư</t>
        </is>
      </c>
      <c r="K17983" t="inlineStr">
        <is>
          <t>2 - 3 Năm</t>
        </is>
      </c>
      <c r="L17983" s="8">
        <f>HYPERLINK("https://careerviet.vn/vi/tim-viec-lam/project-manager-senior-specialist.35C6758D.html","Xem chi tiết")</f>
        <v/>
      </c>
    </row>
    <row r="17984">
      <c r="B17984" s="9" t="n">
        <v>17982</v>
      </c>
      <c r="C17984" s="10" t="inlineStr">
        <is>
          <t>Nhân Viên Phát Triển Sản Phẩm</t>
        </is>
      </c>
      <c r="D17984" s="10" t="inlineStr">
        <is>
          <t>Tập Đoàn Kim Tín</t>
        </is>
      </c>
      <c r="E17984" s="10" t="inlineStr">
        <is>
          <t>Lương:Cạnh tranh</t>
        </is>
      </c>
      <c r="F17984" s="10" t="inlineStr">
        <is>
          <t>Hồ Chí Minh</t>
        </is>
      </c>
      <c r="G17984" s="10" t="inlineStr">
        <is>
          <t>04-04-2026</t>
        </is>
      </c>
      <c r="H17984" s="10" t="inlineStr">
        <is>
          <t>04/04/2026</t>
        </is>
      </c>
      <c r="I17984" s="10" t="inlineStr">
        <is>
          <t>17/03/2026</t>
        </is>
      </c>
      <c r="J17984" s="10" t="inlineStr">
        <is>
          <t>Sản xuất / Vận hành sản xuất</t>
        </is>
      </c>
      <c r="K17984" s="10" t="inlineStr">
        <is>
          <t>1 - 5 Năm</t>
        </is>
      </c>
      <c r="L17984" s="11">
        <f>HYPERLINK("https://careerviet.vn/vi/tim-viec-lam/nhan-vien-phat-trien-san-pham.35C67478.html","Xem chi tiết")</f>
        <v/>
      </c>
      <c r="M17984" s="10" t="n"/>
    </row>
    <row r="17985">
      <c r="B17985" s="7" t="n">
        <v>17983</v>
      </c>
      <c r="C17985" t="inlineStr">
        <is>
          <t>Phó Giám đốc (Phụ trách Xây dựng dự án)</t>
        </is>
      </c>
      <c r="D17985" t="inlineStr">
        <is>
          <t>CÔNG TY TNHH CÔNG NGHỆ VIỆT</t>
        </is>
      </c>
      <c r="E17985" t="inlineStr">
        <is>
          <t>Lương:35 Tr - 50 Tr VND</t>
        </is>
      </c>
      <c r="F17985" t="inlineStr">
        <is>
          <t>Hà Nội</t>
        </is>
      </c>
      <c r="G17985" t="inlineStr">
        <is>
          <t>04-04-2026</t>
        </is>
      </c>
      <c r="H17985" t="inlineStr">
        <is>
          <t>04/04/2026</t>
        </is>
      </c>
      <c r="I17985" t="inlineStr">
        <is>
          <t>17/03/2026</t>
        </is>
      </c>
      <c r="J17985" t="inlineStr">
        <is>
          <t>Điện / Điện tử / Điện lạnh / Điện công nghiệp, Xây dựng, Bất động sản</t>
        </is>
      </c>
      <c r="K17985" t="inlineStr">
        <is>
          <t>5 - 7 Năm</t>
        </is>
      </c>
      <c r="L17985" s="8">
        <f>HYPERLINK("https://careerviet.vn/vi/tim-viec-lam/pho-giam-doc-phu-trach-xay-dung-du-an.35C64BB2.html","Xem chi tiết")</f>
        <v/>
      </c>
    </row>
    <row r="17986">
      <c r="B17986" s="9" t="n">
        <v>17984</v>
      </c>
      <c r="C17986" s="10" t="inlineStr">
        <is>
          <t>C&amp;B Supervisor</t>
        </is>
      </c>
      <c r="D17986" s="10" t="inlineStr">
        <is>
          <t>Công ty TNHH Sản xuất Thương mại &amp; Dịch vụ Hoa Xinh</t>
        </is>
      </c>
      <c r="E17986" s="10" t="inlineStr">
        <is>
          <t>Lương:Cạnh tranh</t>
        </is>
      </c>
      <c r="F17986" s="10" t="inlineStr">
        <is>
          <t>Hồ Chí Minh</t>
        </is>
      </c>
      <c r="G17986" s="10" t="inlineStr">
        <is>
          <t>04-04-2026</t>
        </is>
      </c>
      <c r="H17986" s="10" t="inlineStr">
        <is>
          <t>04/04/2026</t>
        </is>
      </c>
      <c r="I17986" s="10" t="inlineStr">
        <is>
          <t>17/03/2026</t>
        </is>
      </c>
      <c r="J17986" s="10" t="inlineStr">
        <is>
          <t>Dịch vụ khách hàng, Hành chính / Thư ký, Nhân sự</t>
        </is>
      </c>
      <c r="K17986" s="10" t="inlineStr">
        <is>
          <t>2 - 5 Năm</t>
        </is>
      </c>
      <c r="L17986" s="11">
        <f>HYPERLINK("https://careerviet.vn/vi/tim-viec-lam/c-b-supervisor.35C67538.html","Xem chi tiết")</f>
        <v/>
      </c>
      <c r="M17986" s="10" t="n"/>
    </row>
    <row r="17987">
      <c r="B17987" s="7" t="n">
        <v>17985</v>
      </c>
      <c r="C17987" t="inlineStr">
        <is>
          <t>Phó Giám Đốc Phòng Quản Lý Thiết Kế</t>
        </is>
      </c>
      <c r="D17987" t="inlineStr">
        <is>
          <t>Công Ty Cổ Phần Tập Đoàn Đầu Tư Địa Ốc No Va</t>
        </is>
      </c>
      <c r="E17987" t="inlineStr">
        <is>
          <t>Lương:Cạnh tranh</t>
        </is>
      </c>
      <c r="F17987" t="inlineStr">
        <is>
          <t>Hồ Chí Minh</t>
        </is>
      </c>
      <c r="G17987" t="inlineStr">
        <is>
          <t>04-04-2026</t>
        </is>
      </c>
      <c r="H17987" t="inlineStr">
        <is>
          <t>04/04/2026</t>
        </is>
      </c>
      <c r="I17987" t="inlineStr">
        <is>
          <t>17/03/2026</t>
        </is>
      </c>
      <c r="J17987" t="inlineStr">
        <is>
          <t>Bất động sản</t>
        </is>
      </c>
      <c r="K17987" t="inlineStr">
        <is>
          <t>8 - 15 Năm</t>
        </is>
      </c>
      <c r="L17987" s="8">
        <f>HYPERLINK("https://careerviet.vn/vi/tim-viec-lam/pho-giam-doc-phong-quan-ly-thiet-ke.35C675D6.html","Xem chi tiết")</f>
        <v/>
      </c>
    </row>
    <row r="17988">
      <c r="B17988" s="9" t="n">
        <v>17986</v>
      </c>
      <c r="C17988" s="10" t="inlineStr">
        <is>
          <t>Customer Service Executive (Temporary 6 months)</t>
        </is>
      </c>
      <c r="D17988" s="10" t="inlineStr">
        <is>
          <t>CCL LABEL VIETNAM</t>
        </is>
      </c>
      <c r="E17988" s="10" t="inlineStr">
        <is>
          <t>Lương:Cạnh tranh</t>
        </is>
      </c>
      <c r="F17988" s="10" t="inlineStr">
        <is>
          <t>Bình Dương</t>
        </is>
      </c>
      <c r="G17988" s="10" t="inlineStr">
        <is>
          <t>04-04-2026</t>
        </is>
      </c>
      <c r="H17988" s="10" t="inlineStr">
        <is>
          <t>04/04/2026</t>
        </is>
      </c>
      <c r="I17988" s="10" t="inlineStr">
        <is>
          <t>17/03/2026</t>
        </is>
      </c>
      <c r="J17988" s="10" t="inlineStr">
        <is>
          <t>Dịch vụ khách hàng, Vận chuyển / Giao nhận / Kho vận, In ấn / Xuất bản</t>
        </is>
      </c>
      <c r="K17988" s="10" t="inlineStr">
        <is>
          <t>1 - 3 Năm</t>
        </is>
      </c>
      <c r="L17988" s="11">
        <f>HYPERLINK("https://careerviet.vn/vi/tim-viec-lam/customer-service-executive-temporary-6-months.35C6733E.html","Xem chi tiết")</f>
        <v/>
      </c>
      <c r="M17988" s="10" t="n"/>
    </row>
    <row r="17989">
      <c r="B17989" s="7" t="n">
        <v>17987</v>
      </c>
      <c r="C17989" t="inlineStr">
        <is>
          <t>Nhân Viên Mua Hàng</t>
        </is>
      </c>
      <c r="D17989" t="inlineStr">
        <is>
          <t>Công ty TNHH SEOHEUNG VIETNAM</t>
        </is>
      </c>
      <c r="E17989" t="inlineStr">
        <is>
          <t>Lương:9 Tr - 15 Tr VND</t>
        </is>
      </c>
      <c r="F17989" t="inlineStr">
        <is>
          <t>Bình Dương</t>
        </is>
      </c>
      <c r="G17989" t="inlineStr">
        <is>
          <t>04-04-2026</t>
        </is>
      </c>
      <c r="H17989" t="inlineStr">
        <is>
          <t>04/04/2026</t>
        </is>
      </c>
      <c r="I17989" t="inlineStr">
        <is>
          <t>17/03/2026</t>
        </is>
      </c>
      <c r="J17989" t="inlineStr">
        <is>
          <t>Thu mua / Vật tư, Bán lẻ / Bán sỉ, Hành chính / Thư ký</t>
        </is>
      </c>
      <c r="K17989" t="inlineStr">
        <is>
          <t>2 - 5 Năm</t>
        </is>
      </c>
      <c r="L17989" s="8">
        <f>HYPERLINK("https://careerviet.vn/vi/tim-viec-lam/nhan-vien-mua-hang.35C67486.html","Xem chi tiết")</f>
        <v/>
      </c>
    </row>
    <row r="17990">
      <c r="B17990" s="9" t="n">
        <v>17988</v>
      </c>
      <c r="C17990" s="10" t="inlineStr">
        <is>
          <t>Giám Đốc Ban Điều Hành Dự Án</t>
        </is>
      </c>
      <c r="D17990" s="10" t="inlineStr">
        <is>
          <t>Công Ty Cổ Phần Tập Đoàn Đầu Tư Địa Ốc No Va</t>
        </is>
      </c>
      <c r="E17990" s="10" t="inlineStr">
        <is>
          <t>Lương:Cạnh tranh</t>
        </is>
      </c>
      <c r="F17990" s="10" t="inlineStr">
        <is>
          <t>Hồ Chí Minh</t>
        </is>
      </c>
      <c r="G17990" s="10" t="inlineStr">
        <is>
          <t>04-04-2026</t>
        </is>
      </c>
      <c r="H17990" s="10" t="inlineStr">
        <is>
          <t>04/04/2026</t>
        </is>
      </c>
      <c r="I17990" s="10" t="inlineStr">
        <is>
          <t>17/03/2026</t>
        </is>
      </c>
      <c r="J17990" s="10" t="inlineStr">
        <is>
          <t>Bất động sản</t>
        </is>
      </c>
      <c r="K17990" s="10" t="inlineStr">
        <is>
          <t>15 - 20 Năm</t>
        </is>
      </c>
      <c r="L17990" s="11">
        <f>HYPERLINK("https://careerviet.vn/vi/tim-viec-lam/giam-doc-ban-dieu-hanh-du-an.35C675DA.html","Xem chi tiết")</f>
        <v/>
      </c>
      <c r="M17990" s="10" t="n"/>
    </row>
    <row r="17991">
      <c r="B17991" s="7" t="n">
        <v>17989</v>
      </c>
      <c r="C17991" t="inlineStr">
        <is>
          <t>CHUYÊN VIÊN MUA HÀNG [CƠ KHÍ -  CỦ CHI]</t>
        </is>
      </c>
      <c r="D17991" t="inlineStr">
        <is>
          <t>CÔNG TY CP SAIGON AUTO SUPPORTING INDUSTRY</t>
        </is>
      </c>
      <c r="E17991" t="inlineStr">
        <is>
          <t>Lương:Cạnh tranh</t>
        </is>
      </c>
      <c r="F17991" t="inlineStr">
        <is>
          <t>Hồ Chí Minh</t>
        </is>
      </c>
      <c r="G17991" t="inlineStr">
        <is>
          <t>04-04-2026</t>
        </is>
      </c>
      <c r="H17991" t="inlineStr">
        <is>
          <t>04/04/2026</t>
        </is>
      </c>
      <c r="I17991" t="inlineStr">
        <is>
          <t>17/03/2026</t>
        </is>
      </c>
      <c r="J17991" t="inlineStr">
        <is>
          <t>Cơ khí / Ô tô / Tự động hóa, Thu mua / Vật tư, Bán Hàng Kỹ Thuật</t>
        </is>
      </c>
      <c r="K17991" t="inlineStr">
        <is>
          <t>2 - 5 Năm</t>
        </is>
      </c>
      <c r="L17991" s="8">
        <f>HYPERLINK("https://careerviet.vn/vi/tim-viec-lam/chuyen-vien-mua-hang-co-khi-cu-chi.35C67507.html","Xem chi tiết")</f>
        <v/>
      </c>
    </row>
    <row r="17992">
      <c r="B17992" s="9" t="n">
        <v>17990</v>
      </c>
      <c r="C17992" s="10" t="inlineStr">
        <is>
          <t>Giám Sát Phát Triển Đối Tác E-shop kênh GT - Phụ trách Mekong và Miền Đông</t>
        </is>
      </c>
      <c r="D17992" s="10" t="inlineStr">
        <is>
          <t>Công Ty Cổ Phần Diana Unicharm</t>
        </is>
      </c>
      <c r="E17992" s="10" t="inlineStr">
        <is>
          <t>Lương:Cạnh tranh</t>
        </is>
      </c>
      <c r="F17992" s="10" t="inlineStr">
        <is>
          <t>Hồ Chí Minh</t>
        </is>
      </c>
      <c r="G17992" s="10" t="inlineStr">
        <is>
          <t>04-04-2026</t>
        </is>
      </c>
      <c r="H17992" s="10" t="inlineStr">
        <is>
          <t>04/04/2026</t>
        </is>
      </c>
      <c r="I17992" s="10" t="inlineStr">
        <is>
          <t>17/03/2026</t>
        </is>
      </c>
      <c r="J17992" s="10" t="inlineStr">
        <is>
          <t>Bán lẻ / Bán sỉ, Bán hàng / Kinh doanh, Hàng gia dụng / Chăm sóc cá nhân</t>
        </is>
      </c>
      <c r="K17992" s="10" t="inlineStr">
        <is>
          <t>3 - 5 Năm</t>
        </is>
      </c>
      <c r="L17992" s="11">
        <f>HYPERLINK("https://careerviet.vn/vi/tim-viec-lam/giam-sat-phat-trien-doi-tac-e-shop-kenh-gt-phu-trach-mekong-va-mien-dong.35C6758B.html","Xem chi tiết")</f>
        <v/>
      </c>
      <c r="M17992" s="10" t="n"/>
    </row>
    <row r="17993">
      <c r="B17993" s="7" t="n">
        <v>17991</v>
      </c>
      <c r="C17993" t="inlineStr">
        <is>
          <t>Nhân viên vận hành máy</t>
        </is>
      </c>
      <c r="D17993" t="inlineStr">
        <is>
          <t>Công Ty TNHH PEROMA Việt Nam</t>
        </is>
      </c>
      <c r="E17993" t="inlineStr">
        <is>
          <t>Lương:7 Tr - 12 Tr VND</t>
        </is>
      </c>
      <c r="F17993" t="inlineStr">
        <is>
          <t>Long An</t>
        </is>
      </c>
      <c r="G17993" t="inlineStr">
        <is>
          <t>04-04-2026</t>
        </is>
      </c>
      <c r="H17993" t="inlineStr">
        <is>
          <t>04/04/2026</t>
        </is>
      </c>
      <c r="I17993" t="inlineStr">
        <is>
          <t>17/03/2026</t>
        </is>
      </c>
      <c r="J17993" t="inlineStr">
        <is>
          <t>Cơ khí / Ô tô / Tự động hóa, Điện / Điện tử / Điện lạnh / Điện công nghiệp, Sản xuất / Vận hành sản xuất</t>
        </is>
      </c>
      <c r="K17993" t="inlineStr">
        <is>
          <t>Chưa có kinh nghiệm</t>
        </is>
      </c>
      <c r="L17993" s="8">
        <f>HYPERLINK("https://careerviet.vn/vi/tim-viec-lam/nhan-vien-van-hanh-may.35C6749B.html","Xem chi tiết")</f>
        <v/>
      </c>
    </row>
    <row r="17994">
      <c r="B17994" s="9" t="n">
        <v>17992</v>
      </c>
      <c r="C17994" s="10" t="inlineStr">
        <is>
          <t>Nhân viên kho</t>
        </is>
      </c>
      <c r="D17994" s="10" t="inlineStr">
        <is>
          <t>Công Ty Cổ Phần Hóa Chất Kỹ Thuật Kim Phong</t>
        </is>
      </c>
      <c r="E17994" s="10" t="inlineStr">
        <is>
          <t>Lương:8,5 Tr - 8,5 Tr VND</t>
        </is>
      </c>
      <c r="F17994" s="10" t="inlineStr">
        <is>
          <t>Hồ Chí Minh</t>
        </is>
      </c>
      <c r="G17994" s="10" t="inlineStr">
        <is>
          <t>04-04-2026</t>
        </is>
      </c>
      <c r="H17994" s="10" t="inlineStr">
        <is>
          <t>04/04/2026</t>
        </is>
      </c>
      <c r="I17994" s="10" t="inlineStr">
        <is>
          <t>17/03/2026</t>
        </is>
      </c>
      <c r="J17994" s="10" t="inlineStr">
        <is>
          <t>Vận chuyển / Giao nhận / Kho vận, Lao động phổ thông</t>
        </is>
      </c>
      <c r="K17994" s="10" t="inlineStr">
        <is>
          <t>1 - 2 Năm</t>
        </is>
      </c>
      <c r="L17994" s="11">
        <f>HYPERLINK("https://careerviet.vn/vi/tim-viec-lam/nhan-vien-kho.35C6752B.html","Xem chi tiết")</f>
        <v/>
      </c>
      <c r="M17994" s="10" t="n"/>
    </row>
    <row r="17995">
      <c r="B17995" s="7" t="n">
        <v>17993</v>
      </c>
      <c r="C17995" t="inlineStr">
        <is>
          <t>Kỹ sư PE (tiếng Trung/tiếng Anh)</t>
        </is>
      </c>
      <c r="D17995" t="inlineStr">
        <is>
          <t>CÔNG TY TNHH QISDA VIỆT NAM</t>
        </is>
      </c>
      <c r="E17995" t="inlineStr">
        <is>
          <t>Lương:Cạnh tranh</t>
        </is>
      </c>
      <c r="F17995" t="inlineStr">
        <is>
          <t>Hà Nam</t>
        </is>
      </c>
      <c r="G17995" t="inlineStr">
        <is>
          <t>03-04-2026</t>
        </is>
      </c>
      <c r="H17995" t="inlineStr">
        <is>
          <t>03/04/2026</t>
        </is>
      </c>
      <c r="I17995" t="inlineStr">
        <is>
          <t>17/03/2026</t>
        </is>
      </c>
      <c r="J17995" t="inlineStr">
        <is>
          <t>Điện / Điện tử / Điện lạnh / Điện công nghiệp</t>
        </is>
      </c>
      <c r="K17995" t="inlineStr">
        <is>
          <t>2 - 3 Năm</t>
        </is>
      </c>
      <c r="L17995" s="8">
        <f>HYPERLINK("https://careerviet.vn/vi/tim-viec-lam/ky-su-pe-tieng-trung-tieng-anh.35C647E2.html","Xem chi tiết")</f>
        <v/>
      </c>
    </row>
    <row r="17996">
      <c r="B17996" s="9" t="n">
        <v>17994</v>
      </c>
      <c r="C17996" s="10" t="inlineStr">
        <is>
          <t>Nhân viên mua hàng dự án và hỗ trợ SXKD</t>
        </is>
      </c>
      <c r="D17996" s="10" t="inlineStr">
        <is>
          <t>Công ty Cổ phần Tập đoàn Gỗ Minh Long</t>
        </is>
      </c>
      <c r="E17996" s="10" t="inlineStr">
        <is>
          <t>Lương:12 Tr - 16 Tr VND</t>
        </is>
      </c>
      <c r="F17996" s="10" t="inlineStr">
        <is>
          <t>Hưng YênHà Nội</t>
        </is>
      </c>
      <c r="G17996" s="10" t="inlineStr">
        <is>
          <t>31-03-2026</t>
        </is>
      </c>
      <c r="H17996" s="10" t="inlineStr">
        <is>
          <t>31/03/2026</t>
        </is>
      </c>
      <c r="I17996" s="10" t="inlineStr">
        <is>
          <t>17/03/2026</t>
        </is>
      </c>
      <c r="J17996" s="10" t="inlineStr">
        <is>
          <t>Thu mua / Vật tư</t>
        </is>
      </c>
      <c r="K17996" s="10" t="inlineStr">
        <is>
          <t>Trên 1 Năm</t>
        </is>
      </c>
      <c r="L17996" s="11">
        <f>HYPERLINK("https://careerviet.vn/vi/tim-viec-lam/nhan-vien-mua-hang-du-an-va-ho-tro-sxkd.35C68C0B.html","Xem chi tiết")</f>
        <v/>
      </c>
      <c r="M17996" s="10" t="n"/>
    </row>
    <row r="17997">
      <c r="B17997" s="7" t="n">
        <v>17995</v>
      </c>
      <c r="C17997" t="inlineStr">
        <is>
          <t>[THANH HÓA] Giám Sát Rạp Chiếu Phim</t>
        </is>
      </c>
      <c r="D17997" t="inlineStr">
        <is>
          <t>CÔNG TY TNHH LOTTECINEMA VIỆT NAM</t>
        </is>
      </c>
      <c r="E17997" t="inlineStr">
        <is>
          <t>Lương:8 Tr - 10 Tr VND</t>
        </is>
      </c>
      <c r="F17997" t="inlineStr">
        <is>
          <t>Thanh Hóa</t>
        </is>
      </c>
      <c r="G17997" t="inlineStr">
        <is>
          <t>04-04-2026</t>
        </is>
      </c>
      <c r="H17997" t="inlineStr">
        <is>
          <t>04/04/2026</t>
        </is>
      </c>
      <c r="I17997" t="inlineStr">
        <is>
          <t>17/03/2026</t>
        </is>
      </c>
      <c r="J17997" t="inlineStr">
        <is>
          <t>Dịch vụ khách hàng, Nhà hàng / Khách sạn, Giải trí</t>
        </is>
      </c>
      <c r="K17997" t="inlineStr">
        <is>
          <t>N/A</t>
        </is>
      </c>
      <c r="L17997" s="8">
        <f>HYPERLINK("https://careerviet.vn/vi/tim-viec-lam/thanh-hoa-giam-sat-rap-chieu-phim.35C6752D.html","Xem chi tiết")</f>
        <v/>
      </c>
    </row>
    <row r="17998">
      <c r="B17998" s="9" t="n">
        <v>17996</v>
      </c>
      <c r="C17998" s="10" t="inlineStr">
        <is>
          <t>Giám Đốc Kinh Doanh (Tiếng Trung)</t>
        </is>
      </c>
      <c r="D17998" s="10" t="inlineStr">
        <is>
          <t>CIG SCI-TECH COMPANY LIMITED</t>
        </is>
      </c>
      <c r="E17998" s="10" t="inlineStr">
        <is>
          <t>Lương:25 Tr - 45 Tr VND</t>
        </is>
      </c>
      <c r="F17998" s="10" t="inlineStr">
        <is>
          <t>Hà Nội</t>
        </is>
      </c>
      <c r="G17998" s="10" t="inlineStr">
        <is>
          <t>03-04-2026</t>
        </is>
      </c>
      <c r="H17998" s="10" t="inlineStr">
        <is>
          <t>03/04/2026</t>
        </is>
      </c>
      <c r="I17998" s="10" t="inlineStr">
        <is>
          <t>17/03/2026</t>
        </is>
      </c>
      <c r="J17998" s="10" t="inlineStr">
        <is>
          <t>Tiếp thị / Marketing, Bán hàng / Kinh doanh, Biên phiên dịch</t>
        </is>
      </c>
      <c r="K17998" s="10" t="inlineStr">
        <is>
          <t>3 - 5 Năm</t>
        </is>
      </c>
      <c r="L17998" s="11">
        <f>HYPERLINK("https://careerviet.vn/vi/tim-viec-lam/giam-doc-kinh-doanh-tieng-trung.35C67350.html","Xem chi tiết")</f>
        <v/>
      </c>
      <c r="M17998" s="10" t="n"/>
    </row>
    <row r="17999">
      <c r="B17999" s="7" t="n">
        <v>17997</v>
      </c>
      <c r="C17999" t="inlineStr">
        <is>
          <t>Nhân Viên Bảo Trì Điện</t>
        </is>
      </c>
      <c r="D17999" t="inlineStr">
        <is>
          <t>LIXIL Global Manufacturing Vietnam</t>
        </is>
      </c>
      <c r="E17999" t="inlineStr">
        <is>
          <t>Lương:Cạnh tranh</t>
        </is>
      </c>
      <c r="F17999" t="inlineStr">
        <is>
          <t>Đồng Nai</t>
        </is>
      </c>
      <c r="G17999" t="inlineStr">
        <is>
          <t>04-04-2026</t>
        </is>
      </c>
      <c r="H17999" t="inlineStr">
        <is>
          <t>04/04/2026</t>
        </is>
      </c>
      <c r="I17999" t="inlineStr">
        <is>
          <t>17/03/2026</t>
        </is>
      </c>
      <c r="J17999" t="inlineStr">
        <is>
          <t>Cơ khí / Ô tô / Tự động hóa, Điện / Điện tử / Điện lạnh / Điện công nghiệp</t>
        </is>
      </c>
      <c r="K17999" t="inlineStr">
        <is>
          <t>N/A</t>
        </is>
      </c>
      <c r="L17999" s="8">
        <f>HYPERLINK("https://careerviet.vn/vi/tim-viec-lam/nhan-vien-bao-tri-dien.35C67577.html","Xem chi tiết")</f>
        <v/>
      </c>
    </row>
    <row r="18000">
      <c r="B18000" s="9" t="n">
        <v>17998</v>
      </c>
      <c r="C18000" s="10" t="inlineStr">
        <is>
          <t>Kế Toán Trưởng</t>
        </is>
      </c>
      <c r="D18000" s="10" t="inlineStr">
        <is>
          <t>Công ty Cổ phần Phân Phối Danh</t>
        </is>
      </c>
      <c r="E18000" s="10" t="inlineStr">
        <is>
          <t>Lương:Cạnh tranh</t>
        </is>
      </c>
      <c r="F18000" s="10" t="inlineStr">
        <is>
          <t>Hồ Chí Minh</t>
        </is>
      </c>
      <c r="G18000" s="10" t="inlineStr">
        <is>
          <t>04-04-2026</t>
        </is>
      </c>
      <c r="H18000" s="10" t="inlineStr">
        <is>
          <t>04/04/2026</t>
        </is>
      </c>
      <c r="I18000" s="10" t="inlineStr">
        <is>
          <t>17/03/2026</t>
        </is>
      </c>
      <c r="J18000" s="10" t="inlineStr">
        <is>
          <t>Bán hàng / Kinh doanh, Kế toán / Kiểm toán, Tài chính / Đầu tư</t>
        </is>
      </c>
      <c r="K18000" s="10" t="inlineStr">
        <is>
          <t>Trên 5 Năm</t>
        </is>
      </c>
      <c r="L18000" s="11">
        <f>HYPERLINK("https://careerviet.vn/vi/tim-viec-lam/ke-toan-truong.35C674DF.html","Xem chi tiết")</f>
        <v/>
      </c>
      <c r="M18000" s="10" t="n"/>
    </row>
    <row r="18001">
      <c r="B18001" s="7" t="n">
        <v>17999</v>
      </c>
      <c r="C18001" t="inlineStr">
        <is>
          <t>[Nova Service] Chuyên viên Quản lý Kế hoạch IC - EB</t>
        </is>
      </c>
      <c r="D18001" t="inlineStr">
        <is>
          <t>Nova Service Group - Công ty Cổ phần Tập đoàn Nova Services</t>
        </is>
      </c>
      <c r="E18001" t="inlineStr">
        <is>
          <t>Lương:18 Tr - 30 Tr VND</t>
        </is>
      </c>
      <c r="F18001" t="inlineStr">
        <is>
          <t>Hồ Chí Minh</t>
        </is>
      </c>
      <c r="G18001" t="inlineStr">
        <is>
          <t>03-04-2026</t>
        </is>
      </c>
      <c r="H18001" t="inlineStr">
        <is>
          <t>03/04/2026</t>
        </is>
      </c>
      <c r="I18001" t="inlineStr">
        <is>
          <t>17/03/2026</t>
        </is>
      </c>
      <c r="J18001" t="inlineStr">
        <is>
          <t>Quảng cáo / Đối ngoại / Truyền Thông</t>
        </is>
      </c>
      <c r="K18001" t="inlineStr">
        <is>
          <t>3 - 5 Năm</t>
        </is>
      </c>
      <c r="L18001" s="8">
        <f>HYPERLINK("https://careerviet.vn/vi/tim-viec-lam/nova-service-chuyen-vien-quan-ly-ke-hoach-ic-eb.35C673EE.html","Xem chi tiết")</f>
        <v/>
      </c>
    </row>
    <row r="18002">
      <c r="B18002" s="9" t="n">
        <v>18000</v>
      </c>
      <c r="C18002" s="10" t="inlineStr">
        <is>
          <t>Trình Dược Viên ETC (Biên Hoà - Đồng Nai)</t>
        </is>
      </c>
      <c r="D18002" s="10" t="inlineStr">
        <is>
          <t>Công ty cổ phần Anvy</t>
        </is>
      </c>
      <c r="E18002" s="10" t="inlineStr">
        <is>
          <t>Lương:12 Tr - 20 Tr VND</t>
        </is>
      </c>
      <c r="F18002" s="10" t="inlineStr">
        <is>
          <t>Đồng Nai</t>
        </is>
      </c>
      <c r="G18002" s="10" t="inlineStr">
        <is>
          <t>03-04-2026</t>
        </is>
      </c>
      <c r="H18002" s="10" t="inlineStr">
        <is>
          <t>03/04/2026</t>
        </is>
      </c>
      <c r="I18002" s="10" t="inlineStr">
        <is>
          <t>17/03/2026</t>
        </is>
      </c>
      <c r="J18002" s="10" t="inlineStr">
        <is>
          <t>Bán hàng / Kinh doanh, Dược phẩm/ Hóa Mỹ Phẩm, Y tế / Chăm sóc sức khỏe / Thẩm mỹ / Làm đẹp</t>
        </is>
      </c>
      <c r="K18002" s="10" t="inlineStr">
        <is>
          <t>N/A</t>
        </is>
      </c>
      <c r="L18002" s="11">
        <f>HYPERLINK("https://careerviet.vn/vi/tim-viec-lam/trinh-duoc-vien-etc-bien-hoa-dong-nai.35C67284.html","Xem chi tiết")</f>
        <v/>
      </c>
      <c r="M18002" s="10" t="n"/>
    </row>
    <row r="18003">
      <c r="B18003" s="7" t="n">
        <v>18001</v>
      </c>
      <c r="C18003" t="inlineStr">
        <is>
          <t>Nhân Viên Giám Sát Chất Lượng (QC)</t>
        </is>
      </c>
      <c r="D18003" t="inlineStr">
        <is>
          <t>Công ty TNHH Thương Mại và Sản xuất ĐỨC MINH</t>
        </is>
      </c>
      <c r="E18003" t="inlineStr">
        <is>
          <t>Lương:10 Tr - 13 Tr VND</t>
        </is>
      </c>
      <c r="F18003" t="inlineStr">
        <is>
          <t>Hà Nội</t>
        </is>
      </c>
      <c r="G18003" t="inlineStr">
        <is>
          <t>03-04-2026</t>
        </is>
      </c>
      <c r="H18003" t="inlineStr">
        <is>
          <t>03/04/2026</t>
        </is>
      </c>
      <c r="I18003" t="inlineStr">
        <is>
          <t>17/03/2026</t>
        </is>
      </c>
      <c r="J18003" t="inlineStr">
        <is>
          <t>Điện / Điện tử / Điện lạnh / Điện công nghiệp</t>
        </is>
      </c>
      <c r="K18003" t="inlineStr">
        <is>
          <t>1 - 2 Năm</t>
        </is>
      </c>
      <c r="L18003" s="8">
        <f>HYPERLINK("https://careerviet.vn/vi/tim-viec-lam/nhan-vien-giam-sat-chat-luong-qc.35C63BEF.html","Xem chi tiết")</f>
        <v/>
      </c>
    </row>
    <row r="18004">
      <c r="B18004" s="9" t="n">
        <v>18002</v>
      </c>
      <c r="C18004" s="10" t="inlineStr">
        <is>
          <t>NHÂN VIÊN BẢO TRÌ - VẬN HÀNH</t>
        </is>
      </c>
      <c r="D18004" s="10" t="inlineStr">
        <is>
          <t>Công Ty Cổ Phần Hóa Chất Kỹ Thuật Kim Phong</t>
        </is>
      </c>
      <c r="E18004" s="10" t="inlineStr">
        <is>
          <t>Lương:15 Tr - 20 Tr VND</t>
        </is>
      </c>
      <c r="F18004" s="10" t="inlineStr">
        <is>
          <t>Đồng Nai</t>
        </is>
      </c>
      <c r="G18004" s="10" t="inlineStr">
        <is>
          <t>04-04-2026</t>
        </is>
      </c>
      <c r="H18004" s="10" t="inlineStr">
        <is>
          <t>04/04/2026</t>
        </is>
      </c>
      <c r="I18004" s="10" t="inlineStr">
        <is>
          <t>17/03/2026</t>
        </is>
      </c>
      <c r="J18004" s="10" t="inlineStr">
        <is>
          <t>Vận chuyển / Giao nhận / Kho vận, Môi trường, Hóa học</t>
        </is>
      </c>
      <c r="K18004" s="10" t="inlineStr">
        <is>
          <t>Trên 1 Năm</t>
        </is>
      </c>
      <c r="L18004" s="11">
        <f>HYPERLINK("https://careerviet.vn/vi/tim-viec-lam/nhan-vien-bao-tri-van-hanh.35C67523.html","Xem chi tiết")</f>
        <v/>
      </c>
      <c r="M18004" s="10" t="n"/>
    </row>
    <row r="18005">
      <c r="B18005" s="7" t="n">
        <v>18003</v>
      </c>
      <c r="C18005" t="inlineStr">
        <is>
          <t>Sales Executive (Vi sinh)</t>
        </is>
      </c>
      <c r="D18005" t="inlineStr">
        <is>
          <t>Công Ty Cổ Phần Hóa Chất Kỹ Thuật Kim Phong</t>
        </is>
      </c>
      <c r="E18005" t="inlineStr">
        <is>
          <t>Lương:Cạnh tranh</t>
        </is>
      </c>
      <c r="F18005" t="inlineStr">
        <is>
          <t>Hồ Chí Minh</t>
        </is>
      </c>
      <c r="G18005" t="inlineStr">
        <is>
          <t>04-04-2026</t>
        </is>
      </c>
      <c r="H18005" t="inlineStr">
        <is>
          <t>04/04/2026</t>
        </is>
      </c>
      <c r="I18005" t="inlineStr">
        <is>
          <t>17/03/2026</t>
        </is>
      </c>
      <c r="J18005" t="inlineStr">
        <is>
          <t>Môi trường</t>
        </is>
      </c>
      <c r="K18005" t="inlineStr">
        <is>
          <t>Trên 1 Năm</t>
        </is>
      </c>
      <c r="L18005" s="8">
        <f>HYPERLINK("https://careerviet.vn/vi/tim-viec-lam/sales-executive-vi-sinh.35C67521.html","Xem chi tiết")</f>
        <v/>
      </c>
    </row>
    <row r="18006">
      <c r="B18006" s="9" t="n">
        <v>18004</v>
      </c>
      <c r="C18006" s="10" t="inlineStr">
        <is>
          <t>Kế toán mới ra trường (11 triệu/tháng)</t>
        </is>
      </c>
      <c r="D18006" s="10" t="inlineStr">
        <is>
          <t>TỔNG CÔNG TY CỔ PHẦN THƯƠNG MẠI XÂY DỰNG</t>
        </is>
      </c>
      <c r="E18006" s="10" t="inlineStr">
        <is>
          <t>Lương:11 Tr - 14 Tr VND</t>
        </is>
      </c>
      <c r="F18006" s="10" t="inlineStr">
        <is>
          <t>Hà Nội</t>
        </is>
      </c>
      <c r="G18006" s="10" t="inlineStr">
        <is>
          <t>03-04-2026</t>
        </is>
      </c>
      <c r="H18006" s="10" t="inlineStr">
        <is>
          <t>03/04/2026</t>
        </is>
      </c>
      <c r="I18006" s="10" t="inlineStr">
        <is>
          <t>17/03/2026</t>
        </is>
      </c>
      <c r="J18006" s="10" t="inlineStr">
        <is>
          <t>Kế toán / Kiểm toán, Ngân hàng</t>
        </is>
      </c>
      <c r="K18006" s="10" t="inlineStr">
        <is>
          <t>N/A</t>
        </is>
      </c>
      <c r="L18006" s="11">
        <f>HYPERLINK("https://careerviet.vn/vi/tim-viec-lam/ke-toan-moi-ra-truong-11-trieu-thang.35C672FB.html","Xem chi tiết")</f>
        <v/>
      </c>
      <c r="M18006" s="10" t="n"/>
    </row>
    <row r="18007">
      <c r="B18007" s="7" t="n">
        <v>18005</v>
      </c>
      <c r="C18007" t="inlineStr">
        <is>
          <t>Chuyên viên tuyển dụng phòng nhân sự</t>
        </is>
      </c>
      <c r="D18007" t="inlineStr">
        <is>
          <t>Viện Thẩm mỹ y khoa Dr Hải Lê</t>
        </is>
      </c>
      <c r="E18007" t="inlineStr">
        <is>
          <t>Lương:10 Tr - 15 Tr VND</t>
        </is>
      </c>
      <c r="F18007" t="inlineStr">
        <is>
          <t>Hà Nội</t>
        </is>
      </c>
      <c r="G18007" t="inlineStr">
        <is>
          <t>04-04-2026</t>
        </is>
      </c>
      <c r="H18007" t="inlineStr">
        <is>
          <t>04/04/2026</t>
        </is>
      </c>
      <c r="I18007" t="inlineStr">
        <is>
          <t>17/03/2026</t>
        </is>
      </c>
      <c r="J18007" t="inlineStr">
        <is>
          <t>Y tế / Chăm sóc sức khỏe / Thẩm mỹ / Làm đẹp, Hành chính / Thư ký, Nhân sự</t>
        </is>
      </c>
      <c r="K18007" t="inlineStr">
        <is>
          <t>1 - 3 Năm</t>
        </is>
      </c>
      <c r="L18007" s="8">
        <f>HYPERLINK("https://careerviet.vn/vi/tim-viec-lam/chuyen-vien-tuyen-dung-phong-nhan-su.35C67461.html","Xem chi tiết")</f>
        <v/>
      </c>
    </row>
    <row r="18008">
      <c r="B18008" s="9" t="n">
        <v>18006</v>
      </c>
      <c r="C18008" s="10" t="inlineStr">
        <is>
          <t>Nhân Viên E-commerce</t>
        </is>
      </c>
      <c r="D18008" s="10" t="inlineStr">
        <is>
          <t>CÔNG TY CỔ PHẦN DƯỢC PHẨM REVO</t>
        </is>
      </c>
      <c r="E18008" s="10" t="inlineStr">
        <is>
          <t>Lương:Trên 10 Tr VND</t>
        </is>
      </c>
      <c r="F18008" s="10" t="inlineStr">
        <is>
          <t>Hà Nội</t>
        </is>
      </c>
      <c r="G18008" s="10" t="inlineStr">
        <is>
          <t>03-04-2026</t>
        </is>
      </c>
      <c r="H18008" s="10" t="inlineStr">
        <is>
          <t>03/04/2026</t>
        </is>
      </c>
      <c r="I18008" s="10" t="inlineStr">
        <is>
          <t>17/03/2026</t>
        </is>
      </c>
      <c r="J18008" s="10" t="inlineStr">
        <is>
          <t>Bán hàng / Kinh doanh, Tư vấn, Dịch vụ khách hàng</t>
        </is>
      </c>
      <c r="K18008" s="10" t="inlineStr">
        <is>
          <t>Chưa có kinh nghiệm</t>
        </is>
      </c>
      <c r="L18008" s="11">
        <f>HYPERLINK("https://careerviet.vn/vi/tim-viec-lam/nhan-vien-e-commerce.35C67401.html","Xem chi tiết")</f>
        <v/>
      </c>
      <c r="M18008" s="10" t="n"/>
    </row>
    <row r="18009">
      <c r="B18009" s="7" t="n">
        <v>18007</v>
      </c>
      <c r="C18009" t="inlineStr">
        <is>
          <t>Recruitment Supervisor</t>
        </is>
      </c>
      <c r="D18009" t="inlineStr">
        <is>
          <t>CÔNG TY TNHH HWASEUNG VINA</t>
        </is>
      </c>
      <c r="E18009" t="inlineStr">
        <is>
          <t>Lương:Cạnh tranh</t>
        </is>
      </c>
      <c r="F18009" t="inlineStr">
        <is>
          <t>Đồng NaiHồ Chí Minh</t>
        </is>
      </c>
      <c r="G18009" t="inlineStr">
        <is>
          <t>01-04-2026</t>
        </is>
      </c>
      <c r="H18009" t="inlineStr">
        <is>
          <t>01/04/2026</t>
        </is>
      </c>
      <c r="I18009" t="inlineStr">
        <is>
          <t>17/03/2026</t>
        </is>
      </c>
      <c r="J18009" t="inlineStr">
        <is>
          <t>Hành chính / Thư ký, Nhân sự, Dệt may / Da giày / Thời trang</t>
        </is>
      </c>
      <c r="K18009" t="inlineStr">
        <is>
          <t>3 - 5 Năm</t>
        </is>
      </c>
      <c r="L18009" s="8">
        <f>HYPERLINK("https://careerviet.vn/vi/tim-viec-lam/recruitment-supervisor.35C6716B.html","Xem chi tiết")</f>
        <v/>
      </c>
    </row>
    <row r="18010">
      <c r="B18010" s="9" t="n">
        <v>18008</v>
      </c>
      <c r="C18010" s="10" t="inlineStr">
        <is>
          <t>Chuyên viên Nhân sự</t>
        </is>
      </c>
      <c r="D18010" s="10" t="inlineStr">
        <is>
          <t>Công Ty Cổ Phần Giáo Dục Thành Thành Công (IGC Group)</t>
        </is>
      </c>
      <c r="E18010" s="10" t="inlineStr">
        <is>
          <t>Lương:10 Tr - 12 Tr VND</t>
        </is>
      </c>
      <c r="F18010" s="10" t="inlineStr">
        <is>
          <t>Đồng Nai</t>
        </is>
      </c>
      <c r="G18010" s="10" t="inlineStr">
        <is>
          <t>1</t>
        </is>
      </c>
      <c r="H18010" s="10" t="inlineStr">
        <is>
          <t>18/03/2026</t>
        </is>
      </c>
      <c r="I18010" s="10" t="inlineStr">
        <is>
          <t>17/03/2026</t>
        </is>
      </c>
      <c r="J18010" s="10" t="inlineStr">
        <is>
          <t>Giáo dục / Đào tạo, Nhân sự, Kế toán / Kiểm toán</t>
        </is>
      </c>
      <c r="K18010" s="10" t="inlineStr">
        <is>
          <t>3 - 5 Năm</t>
        </is>
      </c>
      <c r="L18010" s="11">
        <f>HYPERLINK("https://careerviet.vn/vi/tim-viec-lam/chuyen-vien-nhan-su.35C633CE.html","Xem chi tiết")</f>
        <v/>
      </c>
      <c r="M18010" s="10" t="n"/>
    </row>
    <row r="18011">
      <c r="B18011" s="7" t="n">
        <v>18009</v>
      </c>
      <c r="C18011" t="inlineStr">
        <is>
          <t>Talent Acquisition Executive</t>
        </is>
      </c>
      <c r="D18011" t="inlineStr">
        <is>
          <t>Cty SGS Việt Nam TNHH</t>
        </is>
      </c>
      <c r="E18011" t="inlineStr">
        <is>
          <t>Lương:Cạnh tranh</t>
        </is>
      </c>
      <c r="F18011" t="inlineStr">
        <is>
          <t>Hồ Chí Minh</t>
        </is>
      </c>
      <c r="G18011" t="inlineStr">
        <is>
          <t>04-04-2026</t>
        </is>
      </c>
      <c r="H18011" t="inlineStr">
        <is>
          <t>04/04/2026</t>
        </is>
      </c>
      <c r="I18011" t="inlineStr">
        <is>
          <t>17/03/2026</t>
        </is>
      </c>
      <c r="J18011" t="inlineStr">
        <is>
          <t>Nhân sự</t>
        </is>
      </c>
      <c r="K18011" t="inlineStr">
        <is>
          <t>N/A</t>
        </is>
      </c>
      <c r="L18011" s="8">
        <f>HYPERLINK("https://careerviet.vn/vi/tim-viec-lam/talent-acquisition-executive.35C6ADCB.html","Xem chi tiết")</f>
        <v/>
      </c>
    </row>
    <row r="18012">
      <c r="B18012" s="9" t="n">
        <v>18010</v>
      </c>
      <c r="C18012" s="10" t="inlineStr">
        <is>
          <t>QUẢN LÝ NHÀ THUỐC</t>
        </is>
      </c>
      <c r="D18012" s="10" t="inlineStr">
        <is>
          <t>CÔNG TY TRÁCH NHIỆM HỮU HẠN TRUNG SƠN ALPHA (Hệ thống Nhà thuốc Trung Sơn)</t>
        </is>
      </c>
      <c r="E18012" s="10" t="inlineStr">
        <is>
          <t>Lương:Cạnh tranh</t>
        </is>
      </c>
      <c r="F18012" s="10" t="inlineStr">
        <is>
          <t>Long AnBến TreVĩnh Long</t>
        </is>
      </c>
      <c r="G18012" s="10" t="inlineStr">
        <is>
          <t>04-04-2026</t>
        </is>
      </c>
      <c r="H18012" s="10" t="inlineStr">
        <is>
          <t>04/04/2026</t>
        </is>
      </c>
      <c r="I18012" s="10" t="inlineStr">
        <is>
          <t>17/03/2026</t>
        </is>
      </c>
      <c r="J18012" s="10" t="inlineStr">
        <is>
          <t>Bán hàng / Kinh doanh, Dược phẩm/ Hóa Mỹ Phẩm, Y tế / Chăm sóc sức khỏe / Thẩm mỹ / Làm đẹp</t>
        </is>
      </c>
      <c r="K18012" s="10" t="inlineStr">
        <is>
          <t>2 - 3 Năm</t>
        </is>
      </c>
      <c r="L18012" s="11">
        <f>HYPERLINK("https://careerviet.vn/vi/tim-viec-lam/quan-ly-nha-thuoc.35C67553.html","Xem chi tiết")</f>
        <v/>
      </c>
      <c r="M18012" s="10" t="n"/>
    </row>
    <row r="18013">
      <c r="B18013" s="7" t="n">
        <v>18011</v>
      </c>
      <c r="C18013" t="inlineStr">
        <is>
          <t>Thực Tập Sinh Chứng Từ</t>
        </is>
      </c>
      <c r="D18013" t="inlineStr">
        <is>
          <t>CÔNG TY TNHH VẬN TẢI BIỂN ĐÔNG LONG</t>
        </is>
      </c>
      <c r="E18013" t="inlineStr">
        <is>
          <t>Lương:Cạnh tranh</t>
        </is>
      </c>
      <c r="F18013" t="inlineStr">
        <is>
          <t>Hồ Chí Minh</t>
        </is>
      </c>
      <c r="G18013" t="inlineStr">
        <is>
          <t>04-04-2026</t>
        </is>
      </c>
      <c r="H18013" t="inlineStr">
        <is>
          <t>04/04/2026</t>
        </is>
      </c>
      <c r="I18013" t="inlineStr">
        <is>
          <t>17/03/2026</t>
        </is>
      </c>
      <c r="J18013" t="inlineStr">
        <is>
          <t>Mới tốt nghiệp / Thực tập, Xuất nhập khẩu, Bán hàng / Kinh doanh</t>
        </is>
      </c>
      <c r="K18013" t="inlineStr">
        <is>
          <t>N/A</t>
        </is>
      </c>
      <c r="L18013" s="8">
        <f>HYPERLINK("https://careerviet.vn/vi/tim-viec-lam/thuc-tap-sinh-chung-tu.35C6ADCE.html","Xem chi tiết")</f>
        <v/>
      </c>
    </row>
    <row r="18014">
      <c r="B18014" s="9" t="n">
        <v>18012</v>
      </c>
      <c r="C18014" s="10" t="inlineStr">
        <is>
          <t>Chuyên Viên Phát Triển Kinh Doanh (Ngành Hàng Gạch)</t>
        </is>
      </c>
      <c r="D18014" s="10" t="inlineStr">
        <is>
          <t>CÔNG TY CỔ PHẦN TẬP ĐOÀN HOA SEN</t>
        </is>
      </c>
      <c r="E18014" s="10" t="inlineStr">
        <is>
          <t>Lương:Cạnh tranh</t>
        </is>
      </c>
      <c r="F18014" s="10" t="inlineStr">
        <is>
          <t>Hồ Chí Minh</t>
        </is>
      </c>
      <c r="G18014" s="10" t="inlineStr">
        <is>
          <t>4</t>
        </is>
      </c>
      <c r="H18014" s="10" t="inlineStr">
        <is>
          <t>21/03/2026</t>
        </is>
      </c>
      <c r="I18014" s="10" t="inlineStr">
        <is>
          <t>17/03/2026</t>
        </is>
      </c>
      <c r="J18014" s="10" t="inlineStr">
        <is>
          <t>Bán hàng / Kinh doanh, Nội ngoại thất, Xây dựng</t>
        </is>
      </c>
      <c r="K18014" s="10" t="inlineStr">
        <is>
          <t>1 - 3 Năm</t>
        </is>
      </c>
      <c r="L18014" s="11">
        <f>HYPERLINK("https://careerviet.vn/vi/tim-viec-lam/chuyen-vien-phat-trien-kinh-doanh-nganh-hang-gach.35C661AE.html","Xem chi tiết")</f>
        <v/>
      </c>
      <c r="M18014" s="10" t="n"/>
    </row>
    <row r="18015">
      <c r="B18015" s="7" t="n">
        <v>18013</v>
      </c>
      <c r="C18015" t="inlineStr">
        <is>
          <t>Purchasing Executive</t>
        </is>
      </c>
      <c r="D18015" t="inlineStr">
        <is>
          <t>CÔNG TY TNHH HYUNDAI ELEVATOR VIỆT NAM</t>
        </is>
      </c>
      <c r="E18015" t="inlineStr">
        <is>
          <t>Lương:Cạnh tranh</t>
        </is>
      </c>
      <c r="F18015" t="inlineStr">
        <is>
          <t>Hà Nội</t>
        </is>
      </c>
      <c r="G18015" t="inlineStr">
        <is>
          <t>31-03-2026</t>
        </is>
      </c>
      <c r="H18015" t="inlineStr">
        <is>
          <t>31/03/2026</t>
        </is>
      </c>
      <c r="I18015" t="inlineStr">
        <is>
          <t>17/03/2026</t>
        </is>
      </c>
      <c r="J18015" t="inlineStr">
        <is>
          <t>Thu mua / Vật tư, Xuất nhập khẩu, Vận chuyển / Giao nhận / Kho vận</t>
        </is>
      </c>
      <c r="K18015" t="inlineStr">
        <is>
          <t>2 - 3 Năm</t>
        </is>
      </c>
      <c r="L18015" s="8">
        <f>HYPERLINK("https://careerviet.vn/vi/tim-viec-lam/purchasing-executive.35C6AD84.html","Xem chi tiết")</f>
        <v/>
      </c>
    </row>
    <row r="18016">
      <c r="B18016" s="9" t="n">
        <v>18014</v>
      </c>
      <c r="C18016" s="10" t="inlineStr">
        <is>
          <t>Chuyên viên Digital Marketing</t>
        </is>
      </c>
      <c r="D18016" s="10" t="inlineStr">
        <is>
          <t>BVBank - Ngân hàng Bản Việt</t>
        </is>
      </c>
      <c r="E18016" s="10" t="inlineStr">
        <is>
          <t>Lương:Cạnh tranh</t>
        </is>
      </c>
      <c r="F18016" s="10" t="inlineStr">
        <is>
          <t>Hồ Chí Minh</t>
        </is>
      </c>
      <c r="G18016" s="10" t="inlineStr">
        <is>
          <t>03-04-2026</t>
        </is>
      </c>
      <c r="H18016" s="10" t="inlineStr">
        <is>
          <t>03/04/2026</t>
        </is>
      </c>
      <c r="I18016" s="10" t="inlineStr">
        <is>
          <t>17/03/2026</t>
        </is>
      </c>
      <c r="J18016" s="10" t="inlineStr">
        <is>
          <t>Ngân hàng, Tiếp thị / Marketing</t>
        </is>
      </c>
      <c r="K18016" s="10" t="inlineStr">
        <is>
          <t>2 - 3 Năm</t>
        </is>
      </c>
      <c r="L18016" s="11">
        <f>HYPERLINK("https://careerviet.vn/vi/tim-viec-lam/chuyen-vien-digital-marketing.35C6AD62.html","Xem chi tiết")</f>
        <v/>
      </c>
      <c r="M18016" s="10" t="n"/>
    </row>
    <row r="18017">
      <c r="B18017" s="7" t="n">
        <v>18015</v>
      </c>
      <c r="C18017" t="inlineStr">
        <is>
          <t>IT Support Officer</t>
        </is>
      </c>
      <c r="D18017" t="inlineStr">
        <is>
          <t>CÔNG TY TNHH KAIOEN</t>
        </is>
      </c>
      <c r="E18017" t="inlineStr">
        <is>
          <t>Lương:12 Tr - 20 Tr VND</t>
        </is>
      </c>
      <c r="F18017" t="inlineStr">
        <is>
          <t>Hồ Chí Minh</t>
        </is>
      </c>
      <c r="G18017" t="inlineStr">
        <is>
          <t>30-04-2026</t>
        </is>
      </c>
      <c r="H18017" t="inlineStr">
        <is>
          <t>30/04/2026</t>
        </is>
      </c>
      <c r="I18017" t="inlineStr">
        <is>
          <t>17/03/2026</t>
        </is>
      </c>
      <c r="J18017" t="inlineStr">
        <is>
          <t>CNTT - Phần mềm, CNTT - Phần cứng / Mạng</t>
        </is>
      </c>
      <c r="K18017" t="inlineStr">
        <is>
          <t>2 - 5 Năm</t>
        </is>
      </c>
      <c r="L18017" s="8">
        <f>HYPERLINK("https://careerviet.vn/vi/tim-viec-lam/it-support-officer.35C6ACC6.html","Xem chi tiết")</f>
        <v/>
      </c>
    </row>
    <row r="18018">
      <c r="B18018" s="9" t="n">
        <v>18016</v>
      </c>
      <c r="C18018" s="10" t="inlineStr">
        <is>
          <t>Quản Lý Khu Vực</t>
        </is>
      </c>
      <c r="D18018" s="10" t="inlineStr">
        <is>
          <t>HỆ THỐNG KÍNH MẮT ANNA</t>
        </is>
      </c>
      <c r="E18018" s="10" t="inlineStr">
        <is>
          <t>Lương:25 Tr - 30 Tr VND</t>
        </is>
      </c>
      <c r="F18018" s="10" t="inlineStr">
        <is>
          <t>Đà NẵngCần Thơ</t>
        </is>
      </c>
      <c r="G18018" s="10" t="inlineStr">
        <is>
          <t>04-04-2026</t>
        </is>
      </c>
      <c r="H18018" s="10" t="inlineStr">
        <is>
          <t>04/04/2026</t>
        </is>
      </c>
      <c r="I18018" s="10" t="inlineStr">
        <is>
          <t>17/03/2026</t>
        </is>
      </c>
      <c r="J18018" s="10" t="inlineStr">
        <is>
          <t>Bán lẻ / Bán sỉ, Bán hàng / Kinh doanh</t>
        </is>
      </c>
      <c r="K18018" s="10" t="inlineStr">
        <is>
          <t>Trên 2 Năm</t>
        </is>
      </c>
      <c r="L18018" s="11">
        <f>HYPERLINK("https://careerviet.vn/vi/tim-viec-lam/quan-ly-khu-vuc.35C6ACC0.html","Xem chi tiết")</f>
        <v/>
      </c>
      <c r="M18018" s="10" t="n"/>
    </row>
    <row r="18019">
      <c r="B18019" s="7" t="n">
        <v>18017</v>
      </c>
      <c r="C18019" t="inlineStr">
        <is>
          <t>Nhân viên mua hàng thị trường</t>
        </is>
      </c>
      <c r="D18019" t="inlineStr">
        <is>
          <t>CÔNG TY CỔ PHẦN NHỰA TÁI CHẾ DUY TÂN</t>
        </is>
      </c>
      <c r="E18019" t="inlineStr">
        <is>
          <t>Lương:Cạnh tranh</t>
        </is>
      </c>
      <c r="F18019" t="inlineStr">
        <is>
          <t>Kiên GiangĐà NẵngQuảng Nam</t>
        </is>
      </c>
      <c r="G18019" t="inlineStr">
        <is>
          <t>31-03-2026</t>
        </is>
      </c>
      <c r="H18019" t="inlineStr">
        <is>
          <t>31/03/2026</t>
        </is>
      </c>
      <c r="I18019" t="inlineStr">
        <is>
          <t>17/03/2026</t>
        </is>
      </c>
      <c r="J18019" t="inlineStr">
        <is>
          <t>Bán hàng / Kinh doanh, Hành chính / Thư ký, Thu mua / Vật tư</t>
        </is>
      </c>
      <c r="K18019" t="inlineStr">
        <is>
          <t>1 - 2 Năm</t>
        </is>
      </c>
      <c r="L18019" s="8">
        <f>HYPERLINK("https://careerviet.vn/vi/tim-viec-lam/nhan-vien-mua-hang-thi-truong.35C6ACEE.html","Xem chi tiết")</f>
        <v/>
      </c>
    </row>
    <row r="18020">
      <c r="B18020" s="9" t="n">
        <v>18018</v>
      </c>
      <c r="C18020" s="10" t="inlineStr">
        <is>
          <t>Trưởng phòng hành chính nhân sự</t>
        </is>
      </c>
      <c r="D18020" s="10" t="inlineStr">
        <is>
          <t>Công ty Di Động Việt</t>
        </is>
      </c>
      <c r="E18020" s="10" t="inlineStr">
        <is>
          <t>Lương:30 Tr - 35 Tr VND</t>
        </is>
      </c>
      <c r="F18020" s="10" t="inlineStr">
        <is>
          <t>Hồ Chí Minh</t>
        </is>
      </c>
      <c r="G18020" s="10" t="inlineStr">
        <is>
          <t>04-04-2026</t>
        </is>
      </c>
      <c r="H18020" s="10" t="inlineStr">
        <is>
          <t>04/04/2026</t>
        </is>
      </c>
      <c r="I18020" s="10" t="inlineStr">
        <is>
          <t>17/03/2026</t>
        </is>
      </c>
      <c r="J18020" s="10" t="inlineStr">
        <is>
          <t>Bán lẻ / Bán sỉ, Nhân sự</t>
        </is>
      </c>
      <c r="K18020" s="10" t="inlineStr">
        <is>
          <t>2 - 5 Năm</t>
        </is>
      </c>
      <c r="L18020" s="11">
        <f>HYPERLINK("https://careerviet.vn/vi/tim-viec-lam/truong-phong-hanh-chinh-nhan-su.35C6ACA3.html","Xem chi tiết")</f>
        <v/>
      </c>
      <c r="M18020" s="10" t="n"/>
    </row>
    <row r="18021">
      <c r="B18021" s="7" t="n">
        <v>18019</v>
      </c>
      <c r="C18021" t="inlineStr">
        <is>
          <t>Business Analyst / ERP Functional Consultant – D365 Business Central</t>
        </is>
      </c>
      <c r="D18021" t="inlineStr">
        <is>
          <t>Công Ty TNHH XNK Phát Triển Đông Dương</t>
        </is>
      </c>
      <c r="E18021" t="inlineStr">
        <is>
          <t>Lương:Cạnh tranh</t>
        </is>
      </c>
      <c r="F18021" t="inlineStr">
        <is>
          <t>Hồ Chí Minh</t>
        </is>
      </c>
      <c r="G18021" t="inlineStr">
        <is>
          <t>31-03-2026</t>
        </is>
      </c>
      <c r="H18021" t="inlineStr">
        <is>
          <t>31/03/2026</t>
        </is>
      </c>
      <c r="I18021" t="inlineStr">
        <is>
          <t>17/03/2026</t>
        </is>
      </c>
      <c r="J18021" t="inlineStr">
        <is>
          <t>CNTT - Phần mềm</t>
        </is>
      </c>
      <c r="K18021" t="inlineStr">
        <is>
          <t>1 - 2 Năm</t>
        </is>
      </c>
      <c r="L18021" s="8">
        <f>HYPERLINK("https://careerviet.vn/vi/tim-viec-lam/business-analyst-erp-functional-consultant-d365-business-central.35C6AD3C.html","Xem chi tiết")</f>
        <v/>
      </c>
    </row>
    <row r="18022">
      <c r="B18022" s="9" t="n">
        <v>18020</v>
      </c>
      <c r="C18022" s="10" t="inlineStr">
        <is>
          <t>[Thủ Đức] Thực tập sinh phòng kiểm nghiệm Hóa (6 tháng có hỗ trợ phụ cấp)</t>
        </is>
      </c>
      <c r="D18022" s="10" t="inlineStr">
        <is>
          <t>EUROFINS VIETNAM</t>
        </is>
      </c>
      <c r="E18022" s="10" t="inlineStr">
        <is>
          <t>Lương:Cạnh tranh</t>
        </is>
      </c>
      <c r="F18022" s="10" t="inlineStr">
        <is>
          <t>Hồ Chí Minh</t>
        </is>
      </c>
      <c r="G18022" s="10" t="inlineStr">
        <is>
          <t>31-03-2026</t>
        </is>
      </c>
      <c r="H18022" s="10" t="inlineStr">
        <is>
          <t>31/03/2026</t>
        </is>
      </c>
      <c r="I18022" s="10" t="inlineStr">
        <is>
          <t>17/03/2026</t>
        </is>
      </c>
      <c r="J18022" s="10" t="inlineStr">
        <is>
          <t>Công nghệ sinh học, Công nghệ thực phẩm / Dinh dưỡng, Hóa học</t>
        </is>
      </c>
      <c r="K18022" s="10" t="inlineStr">
        <is>
          <t>N/A</t>
        </is>
      </c>
      <c r="L18022" s="11">
        <f>HYPERLINK("https://careerviet.vn/vi/tim-viec-lam/thu-duc-thuc-tap-sinh-phong-kiem-nghiem-hoa-6-thang-co-ho-tro-phu-cap.35C6AB3E.html","Xem chi tiết")</f>
        <v/>
      </c>
      <c r="M18022" s="10" t="n"/>
    </row>
    <row r="18023">
      <c r="B18023" s="7" t="n">
        <v>18021</v>
      </c>
      <c r="C18023" t="inlineStr">
        <is>
          <t>Quality Technician</t>
        </is>
      </c>
      <c r="D18023" t="inlineStr">
        <is>
          <t>CÔNG TY TNHH LEGO MANUFACTURING VIỆT NAM</t>
        </is>
      </c>
      <c r="E18023" t="inlineStr">
        <is>
          <t>Lương:Cạnh tranh</t>
        </is>
      </c>
      <c r="F18023" t="inlineStr">
        <is>
          <t>Bình Dương</t>
        </is>
      </c>
      <c r="G18023" t="inlineStr">
        <is>
          <t>03-04-2026</t>
        </is>
      </c>
      <c r="H18023" t="inlineStr">
        <is>
          <t>03/04/2026</t>
        </is>
      </c>
      <c r="I18023" t="inlineStr">
        <is>
          <t>17/03/2026</t>
        </is>
      </c>
      <c r="J18023" t="inlineStr">
        <is>
          <t>Quản lý chất lượng (QA/QC), Sản xuất / Vận hành sản xuất</t>
        </is>
      </c>
      <c r="K18023" t="inlineStr">
        <is>
          <t>1 - 3 Năm</t>
        </is>
      </c>
      <c r="L18023" s="8">
        <f>HYPERLINK("https://careerviet.vn/vi/tim-viec-lam/quality-technician.35C6ABE0.html","Xem chi tiết")</f>
        <v/>
      </c>
    </row>
    <row r="18024">
      <c r="B18024" s="9" t="n">
        <v>18022</v>
      </c>
      <c r="C18024" s="10" t="inlineStr">
        <is>
          <t>Chuyên viên Lập trình Front End – Junior</t>
        </is>
      </c>
      <c r="D18024" s="10" t="inlineStr">
        <is>
          <t>Công ty TNHH TOM Group Việt Nam</t>
        </is>
      </c>
      <c r="E18024" s="10" t="inlineStr">
        <is>
          <t>Lương:12 Tr - 14 Tr VND</t>
        </is>
      </c>
      <c r="F18024" s="10" t="inlineStr">
        <is>
          <t>Hồ Chí Minh</t>
        </is>
      </c>
      <c r="G18024" s="10" t="inlineStr">
        <is>
          <t>25-03-2026</t>
        </is>
      </c>
      <c r="H18024" s="10" t="inlineStr">
        <is>
          <t>25/03/2026</t>
        </is>
      </c>
      <c r="I18024" s="10" t="inlineStr">
        <is>
          <t>17/03/2026</t>
        </is>
      </c>
      <c r="J18024" s="10" t="inlineStr">
        <is>
          <t>CNTT - Phần mềm</t>
        </is>
      </c>
      <c r="K18024" s="10" t="inlineStr">
        <is>
          <t>1 - 2 Năm</t>
        </is>
      </c>
      <c r="L18024" s="11">
        <f>HYPERLINK("https://careerviet.vn/vi/tim-viec-lam/chuyen-vien-lap-trinh-front-end-junior.35C6AB37.html","Xem chi tiết")</f>
        <v/>
      </c>
      <c r="M18024" s="10" t="n"/>
    </row>
    <row r="18025">
      <c r="B18025" s="7" t="n">
        <v>18023</v>
      </c>
      <c r="C18025" t="inlineStr">
        <is>
          <t>Giám Sát Bán Hàng - Đà Nẵng-Quảng Nam-Quảng Ngãi</t>
        </is>
      </c>
      <c r="D18025" t="inlineStr">
        <is>
          <t>Công ty Cổ Phần Tập Đoàn Điện Quang</t>
        </is>
      </c>
      <c r="E18025" t="inlineStr">
        <is>
          <t>Lương:Cạnh tranh</t>
        </is>
      </c>
      <c r="F18025" t="inlineStr">
        <is>
          <t>Đà NẵngQuảng NamQuảng Ngãi</t>
        </is>
      </c>
      <c r="G18025" t="inlineStr">
        <is>
          <t>03-04-2026</t>
        </is>
      </c>
      <c r="H18025" t="inlineStr">
        <is>
          <t>03/04/2026</t>
        </is>
      </c>
      <c r="I18025" t="inlineStr">
        <is>
          <t>17/03/2026</t>
        </is>
      </c>
      <c r="J18025" t="inlineStr">
        <is>
          <t>Bán lẻ / Bán sỉ, Bán hàng / Kinh doanh</t>
        </is>
      </c>
      <c r="K18025" t="inlineStr">
        <is>
          <t>2 - 3 Năm</t>
        </is>
      </c>
      <c r="L18025" s="8">
        <f>HYPERLINK("https://careerviet.vn/vi/tim-viec-lam/giam-sat-ban-hang-da-nang-quang-nam-quang-ngai.35C6ABFD.html","Xem chi tiết")</f>
        <v/>
      </c>
    </row>
    <row r="18026">
      <c r="B18026" s="9" t="n">
        <v>18024</v>
      </c>
      <c r="C18026" s="10" t="inlineStr">
        <is>
          <t>Thủ Kho công trình (GẤP - PV ĐI  LÀM NGAY)</t>
        </is>
      </c>
      <c r="D18026" s="10" t="inlineStr">
        <is>
          <t>CÔNG TY CỔ PHẦN ĐẦU TƯ XÂY DỰNG HÀ TIÊN</t>
        </is>
      </c>
      <c r="E18026" s="10" t="inlineStr">
        <is>
          <t>Lương:10 Tr - 12 Tr VND</t>
        </is>
      </c>
      <c r="F18026" s="10" t="inlineStr">
        <is>
          <t>Hồ Chí Minh</t>
        </is>
      </c>
      <c r="G18026" s="10" t="inlineStr">
        <is>
          <t>24-03-2026</t>
        </is>
      </c>
      <c r="H18026" s="10" t="inlineStr">
        <is>
          <t>24/03/2026</t>
        </is>
      </c>
      <c r="I18026" s="10" t="inlineStr">
        <is>
          <t>17/03/2026</t>
        </is>
      </c>
      <c r="J18026" s="10" t="inlineStr">
        <is>
          <t>Vận chuyển / Giao nhận / Kho vận, Xây dựng, Bất động sản</t>
        </is>
      </c>
      <c r="K18026" s="10" t="inlineStr">
        <is>
          <t>N/A</t>
        </is>
      </c>
      <c r="L18026" s="11">
        <f>HYPERLINK("https://careerviet.vn/vi/tim-viec-lam/thu-kho-cong-trinh-gap-pv-di-lam-ngay.35C63BAD.html","Xem chi tiết")</f>
        <v/>
      </c>
      <c r="M18026" s="10" t="n"/>
    </row>
    <row r="18027">
      <c r="B18027" s="7" t="n">
        <v>18025</v>
      </c>
      <c r="C18027" t="inlineStr">
        <is>
          <t>Trưởng phòng nhân sự</t>
        </is>
      </c>
      <c r="D18027" t="inlineStr">
        <is>
          <t>ONE GROUP</t>
        </is>
      </c>
      <c r="E18027" t="inlineStr">
        <is>
          <t>Lương:30 Tr - 45 Tr VND</t>
        </is>
      </c>
      <c r="F18027" t="inlineStr">
        <is>
          <t>Hồ Chí Minh</t>
        </is>
      </c>
      <c r="G18027" t="inlineStr">
        <is>
          <t>05-04-2026</t>
        </is>
      </c>
      <c r="H18027" t="inlineStr">
        <is>
          <t>05/04/2026</t>
        </is>
      </c>
      <c r="I18027" t="inlineStr">
        <is>
          <t>17/03/2026</t>
        </is>
      </c>
      <c r="J18027" t="inlineStr">
        <is>
          <t>Hành chính / Thư ký, Quản lý điều hành, Nhân sự</t>
        </is>
      </c>
      <c r="K18027" t="inlineStr">
        <is>
          <t>5 - 8 Năm</t>
        </is>
      </c>
      <c r="L18027" s="8">
        <f>HYPERLINK("https://careerviet.vn/vi/tim-viec-lam/truong-phong-nhan-su.35C6AB97.html","Xem chi tiết")</f>
        <v/>
      </c>
    </row>
    <row r="18028">
      <c r="B18028" s="9" t="n">
        <v>18026</v>
      </c>
      <c r="C18028" s="10" t="inlineStr">
        <is>
          <t>Trưởng nhóm Tuyển dụng - Chuyên tuyển Mass LĐPT</t>
        </is>
      </c>
      <c r="D18028" s="10" t="inlineStr">
        <is>
          <t>Công Ty Cổ Phần Dịch Vụ Nhà Sạch</t>
        </is>
      </c>
      <c r="E18028" s="10" t="inlineStr">
        <is>
          <t>Lương:14 Tr - 16 Tr VND</t>
        </is>
      </c>
      <c r="F18028" s="10" t="inlineStr">
        <is>
          <t>Hồ Chí Minh</t>
        </is>
      </c>
      <c r="G18028" s="10" t="inlineStr">
        <is>
          <t>02-04-2026</t>
        </is>
      </c>
      <c r="H18028" s="10" t="inlineStr">
        <is>
          <t>02/04/2026</t>
        </is>
      </c>
      <c r="I18028" s="10" t="inlineStr">
        <is>
          <t>17/03/2026</t>
        </is>
      </c>
      <c r="J18028" s="10" t="inlineStr">
        <is>
          <t>Nhân sự, Bất động sản, An Ninh / Bảo Vệ</t>
        </is>
      </c>
      <c r="K18028" s="10" t="inlineStr">
        <is>
          <t>4 - 5 Năm</t>
        </is>
      </c>
      <c r="L18028" s="11">
        <f>HYPERLINK("https://careerviet.vn/vi/tim-viec-lam/truong-nhom-tuyen-dung-chuyen-tuyen-mass-ldpt.35C646C9.html","Xem chi tiết")</f>
        <v/>
      </c>
      <c r="M18028" s="10" t="n"/>
    </row>
    <row r="18029">
      <c r="B18029" s="7" t="n">
        <v>18027</v>
      </c>
      <c r="C18029" t="inlineStr">
        <is>
          <t>Senior Content Strategist</t>
        </is>
      </c>
      <c r="D18029" t="inlineStr">
        <is>
          <t>Công ty TNHH Onpoint</t>
        </is>
      </c>
      <c r="E18029" t="inlineStr">
        <is>
          <t>Lương:Cạnh tranh</t>
        </is>
      </c>
      <c r="F18029" t="inlineStr">
        <is>
          <t>Hồ Chí Minh</t>
        </is>
      </c>
      <c r="G18029" t="inlineStr">
        <is>
          <t>02-04-2026</t>
        </is>
      </c>
      <c r="H18029" t="inlineStr">
        <is>
          <t>02/04/2026</t>
        </is>
      </c>
      <c r="I18029" t="inlineStr">
        <is>
          <t>17/03/2026</t>
        </is>
      </c>
      <c r="J18029" t="inlineStr">
        <is>
          <t>Tiếp thị / Marketing, Quảng cáo / Đối ngoại / Truyền Thông, Thương mại điện tử</t>
        </is>
      </c>
      <c r="K18029" t="inlineStr">
        <is>
          <t>3 - 5 Năm</t>
        </is>
      </c>
      <c r="L18029" s="8">
        <f>HYPERLINK("https://careerviet.vn/vi/tim-viec-lam/senior-content-strategist.35C646E0.html","Xem chi tiết")</f>
        <v/>
      </c>
    </row>
    <row r="18030">
      <c r="B18030" s="9" t="n">
        <v>18028</v>
      </c>
      <c r="C18030" s="10" t="inlineStr">
        <is>
          <t>Kỹ sư QS Công trình</t>
        </is>
      </c>
      <c r="D18030" s="10" t="inlineStr">
        <is>
          <t>CÔNG TY CỔ PHẦN ĐẦU TƯ XÂY DỰNG HÀ TIÊN</t>
        </is>
      </c>
      <c r="E18030" s="10" t="inlineStr">
        <is>
          <t>Lương:15 Tr - 18 Tr VND</t>
        </is>
      </c>
      <c r="F18030" s="10" t="inlineStr">
        <is>
          <t>Hồ Chí Minh</t>
        </is>
      </c>
      <c r="G18030" s="10" t="inlineStr">
        <is>
          <t>3</t>
        </is>
      </c>
      <c r="H18030" s="10" t="inlineStr">
        <is>
          <t>20/03/2026</t>
        </is>
      </c>
      <c r="I18030" s="10" t="inlineStr">
        <is>
          <t>17/03/2026</t>
        </is>
      </c>
      <c r="J18030" s="10" t="inlineStr">
        <is>
          <t>Quản lý chất lượng (QA/QC), Xây dựng, Bất động sản</t>
        </is>
      </c>
      <c r="K18030" s="10" t="inlineStr">
        <is>
          <t>2 - 3 Năm</t>
        </is>
      </c>
      <c r="L18030" s="11">
        <f>HYPERLINK("https://careerviet.vn/vi/tim-viec-lam/ky-su-qs-cong-trinh.35C6361E.html","Xem chi tiết")</f>
        <v/>
      </c>
      <c r="M18030" s="10" t="n"/>
    </row>
    <row r="18031">
      <c r="B18031" s="7" t="n">
        <v>18029</v>
      </c>
      <c r="C18031" t="inlineStr">
        <is>
          <t>NHÂN VIÊN HÀNH CHÍNH – NHÂN SỰ</t>
        </is>
      </c>
      <c r="D18031" t="inlineStr">
        <is>
          <t>CÔNG TY CỔ PHẦN ĐẦU TƯ XÂY DỰNG HÀ TIÊN</t>
        </is>
      </c>
      <c r="E18031" t="inlineStr">
        <is>
          <t>Lương:Cạnh tranh</t>
        </is>
      </c>
      <c r="F18031" t="inlineStr">
        <is>
          <t>Hồ Chí Minh</t>
        </is>
      </c>
      <c r="G18031" t="inlineStr">
        <is>
          <t>31-03-2026</t>
        </is>
      </c>
      <c r="H18031" t="inlineStr">
        <is>
          <t>31/03/2026</t>
        </is>
      </c>
      <c r="I18031" t="inlineStr">
        <is>
          <t>17/03/2026</t>
        </is>
      </c>
      <c r="J18031" t="inlineStr">
        <is>
          <t>Xây dựng, Bất động sản, Hành chính / Thư ký</t>
        </is>
      </c>
      <c r="K18031" t="inlineStr">
        <is>
          <t>1 - 3 Năm</t>
        </is>
      </c>
      <c r="L18031" s="8">
        <f>HYPERLINK("https://careerviet.vn/vi/tim-viec-lam/nhan-vien-hanh-chinh-nhan-su.35C6AB1C.html","Xem chi tiết")</f>
        <v/>
      </c>
    </row>
    <row r="18032">
      <c r="B18032" s="9" t="n">
        <v>18030</v>
      </c>
      <c r="C18032" s="10" t="inlineStr">
        <is>
          <t>Nhân Viên Kinh Doanh Kênh MT</t>
        </is>
      </c>
      <c r="D18032" s="10" t="inlineStr">
        <is>
          <t>CÔNG TY TNHH THỰC PHẨM CUỘC SỐNG</t>
        </is>
      </c>
      <c r="E18032" s="10" t="inlineStr">
        <is>
          <t>Lương:15 Tr - 18 Tr VND</t>
        </is>
      </c>
      <c r="F18032" s="10" t="inlineStr">
        <is>
          <t>Hà Nội</t>
        </is>
      </c>
      <c r="G18032" s="10" t="inlineStr">
        <is>
          <t>02-04-2026</t>
        </is>
      </c>
      <c r="H18032" s="10" t="inlineStr">
        <is>
          <t>02/04/2026</t>
        </is>
      </c>
      <c r="I18032" s="10" t="inlineStr">
        <is>
          <t>17/03/2026</t>
        </is>
      </c>
      <c r="J18032" s="10" t="inlineStr">
        <is>
          <t>Bán lẻ / Bán sỉ, Bán hàng / Kinh doanh, Tiếp thị trực tuyến</t>
        </is>
      </c>
      <c r="K18032" s="10" t="inlineStr">
        <is>
          <t>N/A</t>
        </is>
      </c>
      <c r="L18032" s="11">
        <f>HYPERLINK("https://careerviet.vn/vi/tim-viec-lam/nhan-vien-kinh-doanh-kenh-mt.35C64696.html","Xem chi tiết")</f>
        <v/>
      </c>
      <c r="M18032" s="10" t="n"/>
    </row>
    <row r="18033">
      <c r="B18033" s="7" t="n">
        <v>18031</v>
      </c>
      <c r="C18033" t="inlineStr">
        <is>
          <t>Kỹ sư QS-QA/QC xây dựng</t>
        </is>
      </c>
      <c r="D18033" t="inlineStr">
        <is>
          <t>Công Ty Cổ Phần Tập đoàn Xây dựng Thành Đô</t>
        </is>
      </c>
      <c r="E18033" t="inlineStr">
        <is>
          <t>Lương:15 Tr - 20 Tr VND</t>
        </is>
      </c>
      <c r="F18033" t="inlineStr">
        <is>
          <t>Hồ Chí Minh</t>
        </is>
      </c>
      <c r="G18033" t="inlineStr">
        <is>
          <t>Hôm nay</t>
        </is>
      </c>
      <c r="H18033" t="inlineStr">
        <is>
          <t>17/03/2026</t>
        </is>
      </c>
      <c r="I18033" t="inlineStr">
        <is>
          <t>17/03/2026</t>
        </is>
      </c>
      <c r="J18033" t="inlineStr">
        <is>
          <t>Kiến trúc, Xây dựng, Điện / Điện tử / Điện lạnh / Điện công nghiệp</t>
        </is>
      </c>
      <c r="K18033" t="inlineStr">
        <is>
          <t>Trên 3 Năm</t>
        </is>
      </c>
      <c r="L18033" s="8">
        <f>HYPERLINK("https://careerviet.vn/vi/tim-viec-lam/ky-su-qs-qa-qc-xay-dung.35C65C10.html","Xem chi tiết")</f>
        <v/>
      </c>
    </row>
    <row r="18034">
      <c r="B18034" s="9" t="n">
        <v>18032</v>
      </c>
      <c r="C18034" s="10" t="inlineStr">
        <is>
          <t>Nhân viên kinh doanh</t>
        </is>
      </c>
      <c r="D18034" s="10" t="inlineStr">
        <is>
          <t>CÔNG TY CỔ PHẦN THIẾT BỊ ĐIỆN VINSHINE</t>
        </is>
      </c>
      <c r="E18034" s="10" t="inlineStr">
        <is>
          <t>Lương:10 Tr - 20 Tr VND</t>
        </is>
      </c>
      <c r="F18034" s="10" t="inlineStr">
        <is>
          <t>Hải Phòng</t>
        </is>
      </c>
      <c r="G18034" s="10" t="inlineStr">
        <is>
          <t>02-04-2026</t>
        </is>
      </c>
      <c r="H18034" s="10" t="inlineStr">
        <is>
          <t>02/04/2026</t>
        </is>
      </c>
      <c r="I18034" s="10" t="inlineStr">
        <is>
          <t>17/03/2026</t>
        </is>
      </c>
      <c r="J18034" s="10" t="inlineStr">
        <is>
          <t>Tiếp thị / Marketing, Bán lẻ / Bán sỉ, Bán hàng / Kinh doanh</t>
        </is>
      </c>
      <c r="K18034" s="10" t="inlineStr">
        <is>
          <t>N/A</t>
        </is>
      </c>
      <c r="L18034" s="11">
        <f>HYPERLINK("https://careerviet.vn/vi/tim-viec-lam/nhan-vien-kinh-doanh.35C646B5.html","Xem chi tiết")</f>
        <v/>
      </c>
      <c r="M18034" s="10" t="n"/>
    </row>
    <row r="18035">
      <c r="B18035" s="7" t="n">
        <v>18033</v>
      </c>
      <c r="C18035" t="inlineStr">
        <is>
          <t>Nhân Viên Kinh Doanh Thị Trường</t>
        </is>
      </c>
      <c r="D18035" t="inlineStr">
        <is>
          <t>Tập Đoàn Kim Tín</t>
        </is>
      </c>
      <c r="E18035" t="inlineStr">
        <is>
          <t>Lương:12 Tr - 15 Tr VND</t>
        </is>
      </c>
      <c r="F18035" t="inlineStr">
        <is>
          <t>Hồ Chí MinhHưng YênHà Nội</t>
        </is>
      </c>
      <c r="G18035" t="inlineStr">
        <is>
          <t>02-04-2026</t>
        </is>
      </c>
      <c r="H18035" t="inlineStr">
        <is>
          <t>02/04/2026</t>
        </is>
      </c>
      <c r="I18035" t="inlineStr">
        <is>
          <t>17/03/2026</t>
        </is>
      </c>
      <c r="J18035" t="inlineStr">
        <is>
          <t>Bán hàng / Kinh doanh</t>
        </is>
      </c>
      <c r="K18035" t="inlineStr">
        <is>
          <t>N/A</t>
        </is>
      </c>
      <c r="L18035" s="8">
        <f>HYPERLINK("https://careerviet.vn/vi/tim-viec-lam/nhan-vien-kinh-doanh-thi-truong.35C646AF.html","Xem chi tiết")</f>
        <v/>
      </c>
    </row>
    <row r="18036">
      <c r="B18036" s="9" t="n">
        <v>18034</v>
      </c>
      <c r="C18036" s="10" t="inlineStr">
        <is>
          <t>Trợ Lý Quản Lý Khách Hàng Trọng Yếu (KAA)</t>
        </is>
      </c>
      <c r="D18036" s="10" t="inlineStr">
        <is>
          <t>Công Ty Cổ Phần Mỹ Phẩm Sài Gòn</t>
        </is>
      </c>
      <c r="E18036" s="10" t="inlineStr">
        <is>
          <t>Lương:20 Tr - 25 Tr VND</t>
        </is>
      </c>
      <c r="F18036" s="10" t="inlineStr">
        <is>
          <t>Hồ Chí Minh</t>
        </is>
      </c>
      <c r="G18036" s="10" t="inlineStr">
        <is>
          <t>02-04-2026</t>
        </is>
      </c>
      <c r="H18036" s="10" t="inlineStr">
        <is>
          <t>02/04/2026</t>
        </is>
      </c>
      <c r="I18036" s="10" t="inlineStr">
        <is>
          <t>17/03/2026</t>
        </is>
      </c>
      <c r="J18036" s="10" t="inlineStr">
        <is>
          <t>Bán hàng / Kinh doanh, Ngân hàng</t>
        </is>
      </c>
      <c r="K18036" s="10" t="inlineStr">
        <is>
          <t>2 - 5 Năm</t>
        </is>
      </c>
      <c r="L18036" s="11">
        <f>HYPERLINK("https://careerviet.vn/vi/tim-viec-lam/tro-ly-quan-ly-khach-hang-trong-yeu-kaa.35C64659.html","Xem chi tiết")</f>
        <v/>
      </c>
      <c r="M18036" s="10" t="n"/>
    </row>
    <row r="18037">
      <c r="B18037" s="7" t="n">
        <v>18035</v>
      </c>
      <c r="C18037" t="inlineStr">
        <is>
          <t>KỸ SƯ THIẾT KẾ CƠ KHI - LĨNH VỰC THIẾT KẾ  MÁY TỰ ĐỘNG</t>
        </is>
      </c>
      <c r="D18037" t="inlineStr">
        <is>
          <t>CÔNG TY CỔ PHẦN TỰ ĐỘNG HOÁ TCI</t>
        </is>
      </c>
      <c r="E18037" t="inlineStr">
        <is>
          <t>Lương:15 Tr - 20 Tr VND</t>
        </is>
      </c>
      <c r="F18037" t="inlineStr">
        <is>
          <t>Hồ Chí Minh</t>
        </is>
      </c>
      <c r="G18037" t="inlineStr">
        <is>
          <t>02-04-2026</t>
        </is>
      </c>
      <c r="H18037" t="inlineStr">
        <is>
          <t>02/04/2026</t>
        </is>
      </c>
      <c r="I18037" t="inlineStr">
        <is>
          <t>17/03/2026</t>
        </is>
      </c>
      <c r="J18037" t="inlineStr">
        <is>
          <t>Cơ khí / Ô tô / Tự động hóa, Sản xuất / Vận hành sản xuất</t>
        </is>
      </c>
      <c r="K18037" t="inlineStr">
        <is>
          <t>3 - 5 Năm</t>
        </is>
      </c>
      <c r="L18037" s="8">
        <f>HYPERLINK("https://careerviet.vn/vi/tim-viec-lam/ky-su-thiet-ke-co-khi-linh-vuc-thiet-ke-may-tu-dong.35C646B6.html","Xem chi tiết")</f>
        <v/>
      </c>
    </row>
    <row r="18038">
      <c r="B18038" s="9" t="n">
        <v>18036</v>
      </c>
      <c r="C18038" s="10" t="inlineStr">
        <is>
          <t>Kỹ Thuật Điện/ Kỹ Sư Điện - Làm việc tại Phường Cát Lái</t>
        </is>
      </c>
      <c r="D18038" s="10" t="inlineStr">
        <is>
          <t>Công Ty Cổ Phần Mỹ Phẩm Sài Gòn</t>
        </is>
      </c>
      <c r="E18038" s="10" t="inlineStr">
        <is>
          <t>Lương:9 Tr - 15 Tr VND</t>
        </is>
      </c>
      <c r="F18038" s="10" t="inlineStr">
        <is>
          <t>Hồ Chí Minh</t>
        </is>
      </c>
      <c r="G18038" s="10" t="inlineStr">
        <is>
          <t>02-04-2026</t>
        </is>
      </c>
      <c r="H18038" s="10" t="inlineStr">
        <is>
          <t>02/04/2026</t>
        </is>
      </c>
      <c r="I18038" s="10" t="inlineStr">
        <is>
          <t>17/03/2026</t>
        </is>
      </c>
      <c r="J18038" s="10" t="inlineStr">
        <is>
          <t>Bảo trì / Sửa chữa, Điện / Điện tử / Điện lạnh / Điện công nghiệp</t>
        </is>
      </c>
      <c r="K18038" s="10" t="inlineStr">
        <is>
          <t>1 - 3 Năm</t>
        </is>
      </c>
      <c r="L18038" s="11">
        <f>HYPERLINK("https://careerviet.vn/vi/tim-viec-lam/ky-thuat-dien-ky-su-dien-lam-viec-tai-phuong-cat-lai.35C6465C.html","Xem chi tiết")</f>
        <v/>
      </c>
      <c r="M18038" s="10" t="n"/>
    </row>
    <row r="18039">
      <c r="B18039" s="7" t="n">
        <v>18037</v>
      </c>
      <c r="C18039" t="inlineStr">
        <is>
          <t>NHÂN VIÊN KỸ THUẬT ĐIỆN TỬ</t>
        </is>
      </c>
      <c r="D18039" t="inlineStr">
        <is>
          <t>CHI NHÁNH CÔNG TY TNHH DAEYOUNG EP VINA TẠI BÀ RỊA - VŨNG TÀU</t>
        </is>
      </c>
      <c r="E18039" t="inlineStr">
        <is>
          <t>Lương:8 Tr - 12 Tr VND</t>
        </is>
      </c>
      <c r="F18039" t="inlineStr">
        <is>
          <t>Bà Rịa - Vũng Tàu</t>
        </is>
      </c>
      <c r="G18039" t="inlineStr">
        <is>
          <t>02-04-2026</t>
        </is>
      </c>
      <c r="H18039" t="inlineStr">
        <is>
          <t>02/04/2026</t>
        </is>
      </c>
      <c r="I18039" t="inlineStr">
        <is>
          <t>17/03/2026</t>
        </is>
      </c>
      <c r="J18039" t="inlineStr">
        <is>
          <t>Cơ khí / Ô tô / Tự động hóa, Điện / Điện tử / Điện lạnh / Điện công nghiệp, Sản xuất / Vận hành sản xuất</t>
        </is>
      </c>
      <c r="K18039" t="inlineStr">
        <is>
          <t>N/A</t>
        </is>
      </c>
      <c r="L18039" s="8">
        <f>HYPERLINK("https://careerviet.vn/vi/tim-viec-lam/nhan-vien-ky-thuat-dien-tu.35C6470B.html","Xem chi tiết")</f>
        <v/>
      </c>
    </row>
    <row r="18040">
      <c r="B18040" s="9" t="n">
        <v>18038</v>
      </c>
      <c r="C18040" s="10" t="inlineStr">
        <is>
          <t>Nhân Viên Kinh Doanh Tại Văn Phòng (Hàng Gia Dụng) Thu Nhập 10 -18 Triệu Tại Hà Nội, Hồ Chí Minh</t>
        </is>
      </c>
      <c r="D18040" s="10" t="inlineStr">
        <is>
          <t>CÔNG TY CP XUẤT NHẬP KHẨU TKS GROUP</t>
        </is>
      </c>
      <c r="E18040" s="10" t="inlineStr">
        <is>
          <t>Lương:10 Tr - 18 Tr VND</t>
        </is>
      </c>
      <c r="F18040" s="10" t="inlineStr">
        <is>
          <t>Hà NộiHồ Chí Minh</t>
        </is>
      </c>
      <c r="G18040" s="10" t="inlineStr">
        <is>
          <t>02-04-2026</t>
        </is>
      </c>
      <c r="H18040" s="10" t="inlineStr">
        <is>
          <t>02/04/2026</t>
        </is>
      </c>
      <c r="I18040" s="10" t="inlineStr">
        <is>
          <t>17/03/2026</t>
        </is>
      </c>
      <c r="J18040" s="10" t="inlineStr">
        <is>
          <t>Bán hàng / Kinh doanh, Tiếp thị / Marketing, Thương mại điện tử</t>
        </is>
      </c>
      <c r="K18040" s="10" t="inlineStr">
        <is>
          <t>N/A</t>
        </is>
      </c>
      <c r="L18040" s="11">
        <f>HYPERLINK("https://careerviet.vn/vi/tim-viec-lam/nhan-vien-kinh-doanh-tai-van-phong-hang-gia-dung-thu-nhap-10-18-trieu-tai-ha-noi-ho-chi-minh.35C6467D.html","Xem chi tiết")</f>
        <v/>
      </c>
      <c r="M18040" s="10" t="n"/>
    </row>
    <row r="18041">
      <c r="B18041" s="7" t="n">
        <v>18039</v>
      </c>
      <c r="C18041" t="inlineStr">
        <is>
          <t>Nhân viên Host Livestream (chính thức)</t>
        </is>
      </c>
      <c r="D18041" t="inlineStr">
        <is>
          <t>Francia Beauty Co., Ltd.</t>
        </is>
      </c>
      <c r="E18041" t="inlineStr">
        <is>
          <t>Lương:10 Tr - 11 Tr VND</t>
        </is>
      </c>
      <c r="F18041" t="inlineStr">
        <is>
          <t>Hồ Chí Minh</t>
        </is>
      </c>
      <c r="G18041" t="inlineStr">
        <is>
          <t>02-04-2026</t>
        </is>
      </c>
      <c r="H18041" t="inlineStr">
        <is>
          <t>02/04/2026</t>
        </is>
      </c>
      <c r="I18041" t="inlineStr">
        <is>
          <t>17/03/2026</t>
        </is>
      </c>
      <c r="J18041" t="inlineStr">
        <is>
          <t>Tiếp thị / Marketing, Bán hàng / Kinh doanh, Tiếp thị trực tuyến</t>
        </is>
      </c>
      <c r="K18041" t="inlineStr">
        <is>
          <t>1 - 2 Năm</t>
        </is>
      </c>
      <c r="L18041" s="8">
        <f>HYPERLINK("https://careerviet.vn/vi/tim-viec-lam/nhan-vien-host-livestream-chinh-thuc.35C64691.html","Xem chi tiết")</f>
        <v/>
      </c>
    </row>
    <row r="18042">
      <c r="B18042" s="9" t="n">
        <v>18040</v>
      </c>
      <c r="C18042" s="10" t="inlineStr">
        <is>
          <t>MARKETING MANAGER</t>
        </is>
      </c>
      <c r="D18042" s="10" t="inlineStr">
        <is>
          <t>Công ty TNHH Sản xuất Thương mại &amp; Dịch vụ Hoa Xinh</t>
        </is>
      </c>
      <c r="E18042" s="10" t="inlineStr">
        <is>
          <t>Lương:Cạnh tranh</t>
        </is>
      </c>
      <c r="F18042" s="10" t="inlineStr">
        <is>
          <t>Hồ Chí Minh</t>
        </is>
      </c>
      <c r="G18042" s="10" t="inlineStr">
        <is>
          <t>02-04-2026</t>
        </is>
      </c>
      <c r="H18042" s="10" t="inlineStr">
        <is>
          <t>02/04/2026</t>
        </is>
      </c>
      <c r="I18042" s="10" t="inlineStr">
        <is>
          <t>17/03/2026</t>
        </is>
      </c>
      <c r="J18042" s="10" t="inlineStr">
        <is>
          <t>Tiếp thị / Marketing, Tiếp thị trực tuyến, Thương mại điện tử</t>
        </is>
      </c>
      <c r="K18042" s="10" t="inlineStr">
        <is>
          <t>3 - 10 Năm</t>
        </is>
      </c>
      <c r="L18042" s="11">
        <f>HYPERLINK("https://careerviet.vn/vi/tim-viec-lam/marketing-manager.35C64678.html","Xem chi tiết")</f>
        <v/>
      </c>
      <c r="M18042" s="10" t="n"/>
    </row>
    <row r="18043">
      <c r="B18043" s="7" t="n">
        <v>18041</v>
      </c>
      <c r="C18043" t="inlineStr">
        <is>
          <t>Kỹ Thuật Viên Xử Lý Nước Thải - nhà máy Cần Thơ</t>
        </is>
      </c>
      <c r="D18043" t="inlineStr">
        <is>
          <t>Suntory PepsiCo</t>
        </is>
      </c>
      <c r="E18043" t="inlineStr">
        <is>
          <t>Lương:Cạnh tranh</t>
        </is>
      </c>
      <c r="F18043" t="inlineStr">
        <is>
          <t>Cần Thơ</t>
        </is>
      </c>
      <c r="G18043" t="inlineStr">
        <is>
          <t>02-04-2026</t>
        </is>
      </c>
      <c r="H18043" t="inlineStr">
        <is>
          <t>02/04/2026</t>
        </is>
      </c>
      <c r="I18043" t="inlineStr">
        <is>
          <t>17/03/2026</t>
        </is>
      </c>
      <c r="J18043" t="inlineStr">
        <is>
          <t>Môi trường</t>
        </is>
      </c>
      <c r="K18043" t="inlineStr">
        <is>
          <t>Trên 1 Năm</t>
        </is>
      </c>
      <c r="L18043" s="8">
        <f>HYPERLINK("https://careerviet.vn/vi/tim-viec-lam/ky-thuat-vien-xu-ly-nuoc-thai-nha-may-can-tho.35C646B1.html","Xem chi tiết")</f>
        <v/>
      </c>
    </row>
    <row r="18044">
      <c r="B18044" s="9" t="n">
        <v>18042</v>
      </c>
      <c r="C18044" s="10" t="inlineStr">
        <is>
          <t>Sales executive- Construction material</t>
        </is>
      </c>
      <c r="D18044" s="10" t="inlineStr">
        <is>
          <t>HR Vietnam’s ESS Client</t>
        </is>
      </c>
      <c r="E18044" s="10" t="inlineStr">
        <is>
          <t>Lương:Cạnh tranh</t>
        </is>
      </c>
      <c r="F18044" s="10" t="inlineStr">
        <is>
          <t>Hồ Chí Minh</t>
        </is>
      </c>
      <c r="G18044" s="10" t="inlineStr">
        <is>
          <t>02-04-2026</t>
        </is>
      </c>
      <c r="H18044" s="10" t="inlineStr">
        <is>
          <t>02/04/2026</t>
        </is>
      </c>
      <c r="I18044" s="10" t="inlineStr">
        <is>
          <t>17/03/2026</t>
        </is>
      </c>
      <c r="J18044" s="10" t="inlineStr">
        <is>
          <t>Kiến trúc, Xây dựng, Bán hàng / Kinh doanh</t>
        </is>
      </c>
      <c r="K18044" s="10" t="inlineStr">
        <is>
          <t>Trên 2 Năm</t>
        </is>
      </c>
      <c r="L18044" s="11">
        <f>HYPERLINK("https://careerviet.vn/vi/tim-viec-lam/sales-executive-construction-material.35C6468A.html","Xem chi tiết")</f>
        <v/>
      </c>
      <c r="M18044" s="10" t="n"/>
    </row>
    <row r="18045">
      <c r="B18045" s="7" t="n">
        <v>18043</v>
      </c>
      <c r="C18045" t="inlineStr">
        <is>
          <t>Nhân Viên Kinh Doanh B2B – IT / Laptop (HCM &amp; HN)</t>
        </is>
      </c>
      <c r="D18045" t="inlineStr">
        <is>
          <t>Công ty TNHH MTV Công nghệ Tin học Viễn Sơn</t>
        </is>
      </c>
      <c r="E18045" t="inlineStr">
        <is>
          <t>Lương:10 Tr - 15 Tr VND</t>
        </is>
      </c>
      <c r="F18045" t="inlineStr">
        <is>
          <t>Hồ Chí MinhHà Nội</t>
        </is>
      </c>
      <c r="G18045" t="inlineStr">
        <is>
          <t>02-04-2026</t>
        </is>
      </c>
      <c r="H18045" t="inlineStr">
        <is>
          <t>02/04/2026</t>
        </is>
      </c>
      <c r="I18045" t="inlineStr">
        <is>
          <t>17/03/2026</t>
        </is>
      </c>
      <c r="J18045" t="inlineStr">
        <is>
          <t>Bán lẻ / Bán sỉ, Bán hàng / Kinh doanh, CNTT - Phần cứng / Mạng</t>
        </is>
      </c>
      <c r="K18045" t="inlineStr">
        <is>
          <t>1 - 3 Năm</t>
        </is>
      </c>
      <c r="L18045" s="8">
        <f>HYPERLINK("https://careerviet.vn/vi/tim-viec-lam/nhan-vien-kinh-doanh-b2b-it-laptop-hcm-hn.35C64652.html","Xem chi tiết")</f>
        <v/>
      </c>
    </row>
    <row r="18046">
      <c r="B18046" s="9" t="n">
        <v>18044</v>
      </c>
      <c r="C18046" s="10" t="inlineStr">
        <is>
          <t>Export Product Development Assistant Manager</t>
        </is>
      </c>
      <c r="D18046" s="10" t="inlineStr">
        <is>
          <t>Công Ty TNHH CJ Foods Việt Nam</t>
        </is>
      </c>
      <c r="E18046" s="10" t="inlineStr">
        <is>
          <t>Lương:Cạnh tranh</t>
        </is>
      </c>
      <c r="F18046" s="10" t="inlineStr">
        <is>
          <t>Hồ Chí Minh</t>
        </is>
      </c>
      <c r="G18046" s="10" t="inlineStr">
        <is>
          <t>02-04-2026</t>
        </is>
      </c>
      <c r="H18046" s="10" t="inlineStr">
        <is>
          <t>02/04/2026</t>
        </is>
      </c>
      <c r="I18046" s="10" t="inlineStr">
        <is>
          <t>17/03/2026</t>
        </is>
      </c>
      <c r="J18046" s="10" t="inlineStr">
        <is>
          <t>Bán lẻ / Bán sỉ, Xuất nhập khẩu, Thực phẩm &amp; Đồ uống</t>
        </is>
      </c>
      <c r="K18046" s="10" t="inlineStr">
        <is>
          <t>N/A</t>
        </is>
      </c>
      <c r="L18046" s="11">
        <f>HYPERLINK("https://careerviet.vn/vi/tim-viec-lam/export-product-development-assistant-manager.35C64645.html","Xem chi tiết")</f>
        <v/>
      </c>
      <c r="M18046" s="10" t="n"/>
    </row>
    <row r="18047">
      <c r="B18047" s="7" t="n">
        <v>18045</v>
      </c>
      <c r="C18047" t="inlineStr">
        <is>
          <t>Kỹ sư giám sát hiện trường phụ trợ, sản xuất cấu kiện</t>
        </is>
      </c>
      <c r="D18047" t="inlineStr">
        <is>
          <t>Tổng công ty Xây dựng Trường Sơn</t>
        </is>
      </c>
      <c r="E18047" t="inlineStr">
        <is>
          <t>Lương:12 Tr - 24 Tr VND</t>
        </is>
      </c>
      <c r="F18047" t="inlineStr">
        <is>
          <t>Cà Mau</t>
        </is>
      </c>
      <c r="G18047" t="inlineStr">
        <is>
          <t>02-04-2026</t>
        </is>
      </c>
      <c r="H18047" t="inlineStr">
        <is>
          <t>02/04/2026</t>
        </is>
      </c>
      <c r="I18047" t="inlineStr">
        <is>
          <t>17/03/2026</t>
        </is>
      </c>
      <c r="J18047" t="inlineStr">
        <is>
          <t>Kiến trúc, Xây dựng</t>
        </is>
      </c>
      <c r="K18047" t="inlineStr">
        <is>
          <t>Trên 2 Năm</t>
        </is>
      </c>
      <c r="L18047" s="8">
        <f>HYPERLINK("https://careerviet.vn/vi/tim-viec-lam/ky-su-giam-sat-hien-truong-phu-tro-san-xuat-cau-kien.35C6469E.html","Xem chi tiết")</f>
        <v/>
      </c>
    </row>
    <row r="18048">
      <c r="B18048" s="9" t="n">
        <v>18046</v>
      </c>
      <c r="C18048" s="10" t="inlineStr">
        <is>
          <t>Nhân Viên Điều Phối Xe Container</t>
        </is>
      </c>
      <c r="D18048" s="10" t="inlineStr">
        <is>
          <t>CÔNG TY TNHH VẬN TẢI QUỐC TẾ FASTLINK</t>
        </is>
      </c>
      <c r="E18048" s="10" t="inlineStr">
        <is>
          <t>Lương:12 Tr - 15 Tr VND</t>
        </is>
      </c>
      <c r="F18048" s="10" t="inlineStr">
        <is>
          <t>Hồ Chí Minh</t>
        </is>
      </c>
      <c r="G18048" s="10" t="inlineStr">
        <is>
          <t>02-04-2026</t>
        </is>
      </c>
      <c r="H18048" s="10" t="inlineStr">
        <is>
          <t>02/04/2026</t>
        </is>
      </c>
      <c r="I18048" s="10" t="inlineStr">
        <is>
          <t>17/03/2026</t>
        </is>
      </c>
      <c r="J18048" s="10" t="inlineStr">
        <is>
          <t>Vận chuyển / Giao nhận / Kho vận</t>
        </is>
      </c>
      <c r="K18048" s="10" t="inlineStr">
        <is>
          <t>2 - 5 Năm</t>
        </is>
      </c>
      <c r="L18048" s="11">
        <f>HYPERLINK("https://careerviet.vn/vi/tim-viec-lam/nhan-vien-dieu-phoi-xe-container.35C6470A.html","Xem chi tiết")</f>
        <v/>
      </c>
      <c r="M18048" s="10" t="n"/>
    </row>
    <row r="18049">
      <c r="B18049" s="7" t="n">
        <v>18047</v>
      </c>
      <c r="C18049" t="inlineStr">
        <is>
          <t>GIÁM SÁT CHUỖI NHÀ HÀNG HÀN QUỐC</t>
        </is>
      </c>
      <c r="D18049" t="inlineStr">
        <is>
          <t>Công Ty TNHH Thương Mại K&amp;K Toàn Cầu</t>
        </is>
      </c>
      <c r="E18049" t="inlineStr">
        <is>
          <t>Lương:15 Tr - 20 Tr VND</t>
        </is>
      </c>
      <c r="F18049" t="inlineStr">
        <is>
          <t>Hà Nội</t>
        </is>
      </c>
      <c r="G18049" t="inlineStr">
        <is>
          <t>02-04-2026</t>
        </is>
      </c>
      <c r="H18049" t="inlineStr">
        <is>
          <t>02/04/2026</t>
        </is>
      </c>
      <c r="I18049" t="inlineStr">
        <is>
          <t>17/03/2026</t>
        </is>
      </c>
      <c r="J18049" t="inlineStr">
        <is>
          <t>Bán lẻ / Bán sỉ, Thực phẩm &amp; Đồ uống, Nhà hàng / Khách sạn</t>
        </is>
      </c>
      <c r="K18049" t="inlineStr">
        <is>
          <t>1 - 2 Năm</t>
        </is>
      </c>
      <c r="L18049" s="8">
        <f>HYPERLINK("https://careerviet.vn/vi/tim-viec-lam/giam-sat-chuoi-nha-hang-han-quoc.35C6473E.html","Xem chi tiết")</f>
        <v/>
      </c>
    </row>
    <row r="18050">
      <c r="B18050" s="9" t="n">
        <v>18048</v>
      </c>
      <c r="C18050" s="10" t="inlineStr">
        <is>
          <t>Data Engineer</t>
        </is>
      </c>
      <c r="D18050" s="10" t="inlineStr">
        <is>
          <t>Wall Street English</t>
        </is>
      </c>
      <c r="E18050" s="10" t="inlineStr">
        <is>
          <t>Lương:Cạnh tranh</t>
        </is>
      </c>
      <c r="F18050" s="10" t="inlineStr">
        <is>
          <t>Hồ Chí Minh</t>
        </is>
      </c>
      <c r="G18050" s="10" t="inlineStr">
        <is>
          <t>02-04-2026</t>
        </is>
      </c>
      <c r="H18050" s="10" t="inlineStr">
        <is>
          <t>02/04/2026</t>
        </is>
      </c>
      <c r="I18050" s="10" t="inlineStr">
        <is>
          <t>17/03/2026</t>
        </is>
      </c>
      <c r="J18050" s="10" t="inlineStr">
        <is>
          <t>Giáo dục / Đào tạo, CNTT - Phần mềm, CNTT - Phần cứng / Mạng</t>
        </is>
      </c>
      <c r="K18050" s="10" t="inlineStr">
        <is>
          <t>3 - 5 Năm</t>
        </is>
      </c>
      <c r="L18050" s="11">
        <f>HYPERLINK("https://careerviet.vn/vi/tim-viec-lam/data-engineer.35C64729.html","Xem chi tiết")</f>
        <v/>
      </c>
      <c r="M18050" s="10" t="n"/>
    </row>
    <row r="18051">
      <c r="B18051" s="7" t="n">
        <v>18049</v>
      </c>
      <c r="C18051" t="inlineStr">
        <is>
          <t>Kế toán trưởng công ty thành viên thuộc Tavico Group</t>
        </is>
      </c>
      <c r="D18051" t="inlineStr">
        <is>
          <t>Công Ty Cổ Phần Tân Vĩnh Cửu (Tavico group)</t>
        </is>
      </c>
      <c r="E18051" t="inlineStr">
        <is>
          <t>Lương:Cạnh tranh</t>
        </is>
      </c>
      <c r="F18051" t="inlineStr">
        <is>
          <t>Đồng Nai</t>
        </is>
      </c>
      <c r="G18051" t="inlineStr">
        <is>
          <t>02-04-2026</t>
        </is>
      </c>
      <c r="H18051" t="inlineStr">
        <is>
          <t>02/04/2026</t>
        </is>
      </c>
      <c r="I18051" t="inlineStr">
        <is>
          <t>17/03/2026</t>
        </is>
      </c>
      <c r="J18051" t="inlineStr">
        <is>
          <t>Kế toán / Kiểm toán</t>
        </is>
      </c>
      <c r="K18051" t="inlineStr">
        <is>
          <t>5 - 7 Năm</t>
        </is>
      </c>
      <c r="L18051" s="8">
        <f>HYPERLINK("https://careerviet.vn/vi/tim-viec-lam/ke-toan-truong-cong-ty-thanh-vien-thuoc-tavico-group.35C64651.html","Xem chi tiết")</f>
        <v/>
      </c>
    </row>
    <row r="18052">
      <c r="B18052" s="9" t="n">
        <v>18050</v>
      </c>
      <c r="C18052" s="10" t="inlineStr">
        <is>
          <t>Nhân viên admin trại (nội trú)</t>
        </is>
      </c>
      <c r="D18052" s="10" t="inlineStr">
        <is>
          <t>Công ty Cổ Phần Thực Phẩm Vĩnh Tân</t>
        </is>
      </c>
      <c r="E18052" s="10" t="inlineStr">
        <is>
          <t>Lương:9 Tr - 12 Tr VND</t>
        </is>
      </c>
      <c r="F18052" s="10" t="inlineStr">
        <is>
          <t>Bình Dương</t>
        </is>
      </c>
      <c r="G18052" s="10" t="inlineStr">
        <is>
          <t>02-04-2026</t>
        </is>
      </c>
      <c r="H18052" s="10" t="inlineStr">
        <is>
          <t>02/04/2026</t>
        </is>
      </c>
      <c r="I18052" s="10" t="inlineStr">
        <is>
          <t>17/03/2026</t>
        </is>
      </c>
      <c r="J18052" s="10" t="inlineStr">
        <is>
          <t>Chăn nuôi / Thú y</t>
        </is>
      </c>
      <c r="K18052" s="10" t="inlineStr">
        <is>
          <t>N/A</t>
        </is>
      </c>
      <c r="L18052" s="11">
        <f>HYPERLINK("https://careerviet.vn/vi/tim-viec-lam/nhan-vien-admin-trai-noi-tru.35C64705.html","Xem chi tiết")</f>
        <v/>
      </c>
      <c r="M18052" s="10" t="n"/>
    </row>
    <row r="18053">
      <c r="B18053" s="7" t="n">
        <v>18051</v>
      </c>
      <c r="C18053" t="inlineStr">
        <is>
          <t>Kỹ sư giám sát hiện trường phần cầu</t>
        </is>
      </c>
      <c r="D18053" t="inlineStr">
        <is>
          <t>Tổng công ty Xây dựng Trường Sơn</t>
        </is>
      </c>
      <c r="E18053" t="inlineStr">
        <is>
          <t>Lương:12 Tr - 24 Tr VND</t>
        </is>
      </c>
      <c r="F18053" t="inlineStr">
        <is>
          <t>Cà Mau</t>
        </is>
      </c>
      <c r="G18053" t="inlineStr">
        <is>
          <t>02-04-2026</t>
        </is>
      </c>
      <c r="H18053" t="inlineStr">
        <is>
          <t>02/04/2026</t>
        </is>
      </c>
      <c r="I18053" t="inlineStr">
        <is>
          <t>17/03/2026</t>
        </is>
      </c>
      <c r="J18053" t="inlineStr">
        <is>
          <t>Kiến trúc, Xây dựng</t>
        </is>
      </c>
      <c r="K18053" t="inlineStr">
        <is>
          <t>Trên 2 Năm</t>
        </is>
      </c>
      <c r="L18053" s="8">
        <f>HYPERLINK("https://careerviet.vn/vi/tim-viec-lam/ky-su-giam-sat-hien-truong-phan-cau.35C6469B.html","Xem chi tiết")</f>
        <v/>
      </c>
    </row>
    <row r="18054">
      <c r="B18054" s="9" t="n">
        <v>18052</v>
      </c>
      <c r="C18054" s="10" t="inlineStr">
        <is>
          <t>Thiết Kế Thời Trang</t>
        </is>
      </c>
      <c r="D18054" s="10" t="inlineStr">
        <is>
          <t>Công ty TNHH Minh Hương P.N.D (thương hiệu thời trang mặc nhà cao cấp Sunfly)</t>
        </is>
      </c>
      <c r="E18054" s="10" t="inlineStr">
        <is>
          <t>Lương:15 Tr - 20 Tr VND</t>
        </is>
      </c>
      <c r="F18054" s="10" t="inlineStr">
        <is>
          <t>Hà Nội</t>
        </is>
      </c>
      <c r="G18054" s="10" t="inlineStr">
        <is>
          <t>02-04-2026</t>
        </is>
      </c>
      <c r="H18054" s="10" t="inlineStr">
        <is>
          <t>02/04/2026</t>
        </is>
      </c>
      <c r="I18054" s="10" t="inlineStr">
        <is>
          <t>17/03/2026</t>
        </is>
      </c>
      <c r="J18054" s="10" t="inlineStr">
        <is>
          <t>Bán lẻ / Bán sỉ, Mỹ thuật / Nghệ thuật / Thiết kế, Dệt may / Da giày / Thời trang</t>
        </is>
      </c>
      <c r="K18054" s="10" t="inlineStr">
        <is>
          <t>1 - 2 Năm</t>
        </is>
      </c>
      <c r="L18054" s="11">
        <f>HYPERLINK("https://careerviet.vn/vi/tim-viec-lam/thiet-ke-thoi-trang.35C646BD.html","Xem chi tiết")</f>
        <v/>
      </c>
      <c r="M18054" s="10" t="n"/>
    </row>
    <row r="18055">
      <c r="B18055" s="7" t="n">
        <v>18053</v>
      </c>
      <c r="C18055" t="inlineStr">
        <is>
          <t>Quản Lý Cửa Hàng Mắt Kính</t>
        </is>
      </c>
      <c r="D18055" t="inlineStr">
        <is>
          <t>Công ty TNHH Sản xuất Thương mại &amp; Dịch vụ Hoa Xinh</t>
        </is>
      </c>
      <c r="E18055" t="inlineStr">
        <is>
          <t>Lương:17 Tr - 25 Tr VND</t>
        </is>
      </c>
      <c r="F18055" t="inlineStr">
        <is>
          <t>Hà Nội</t>
        </is>
      </c>
      <c r="G18055" t="inlineStr">
        <is>
          <t>02-04-2026</t>
        </is>
      </c>
      <c r="H18055" t="inlineStr">
        <is>
          <t>02/04/2026</t>
        </is>
      </c>
      <c r="I18055" t="inlineStr">
        <is>
          <t>17/03/2026</t>
        </is>
      </c>
      <c r="J18055" t="inlineStr">
        <is>
          <t>Bán lẻ / Bán sỉ, Dược phẩm/ Hóa Mỹ Phẩm, Dệt may / Da giày / Thời trang</t>
        </is>
      </c>
      <c r="K18055" t="inlineStr">
        <is>
          <t>1 - 10 Năm</t>
        </is>
      </c>
      <c r="L18055" s="8">
        <f>HYPERLINK("https://careerviet.vn/vi/tim-viec-lam/quan-ly-cua-hang-mat-kinh.35C646C1.html","Xem chi tiết")</f>
        <v/>
      </c>
    </row>
    <row r="18056">
      <c r="B18056" s="9" t="n">
        <v>18054</v>
      </c>
      <c r="C18056" s="10" t="inlineStr">
        <is>
          <t>Kỹ Sư QS</t>
        </is>
      </c>
      <c r="D18056" s="10" t="inlineStr">
        <is>
          <t>Tổng công ty Xây dựng Trường Sơn</t>
        </is>
      </c>
      <c r="E18056" s="10" t="inlineStr">
        <is>
          <t>Lương:12 Tr - 24 Tr VND</t>
        </is>
      </c>
      <c r="F18056" s="10" t="inlineStr">
        <is>
          <t>Quảng NinhThái Nguyên</t>
        </is>
      </c>
      <c r="G18056" s="10" t="inlineStr">
        <is>
          <t>02-04-2026</t>
        </is>
      </c>
      <c r="H18056" s="10" t="inlineStr">
        <is>
          <t>02/04/2026</t>
        </is>
      </c>
      <c r="I18056" s="10" t="inlineStr">
        <is>
          <t>17/03/2026</t>
        </is>
      </c>
      <c r="J18056" s="10" t="inlineStr">
        <is>
          <t>Mỹ thuật / Nghệ thuật / Thiết kế, Kiến trúc, Xây dựng</t>
        </is>
      </c>
      <c r="K18056" s="10" t="inlineStr">
        <is>
          <t>Trên 2 Năm</t>
        </is>
      </c>
      <c r="L18056" s="11">
        <f>HYPERLINK("https://careerviet.vn/vi/tim-viec-lam/ky-su-qs.35C646A1.html","Xem chi tiết")</f>
        <v/>
      </c>
      <c r="M18056" s="10" t="n"/>
    </row>
    <row r="18057">
      <c r="B18057" s="7" t="n">
        <v>18055</v>
      </c>
      <c r="C18057" t="inlineStr">
        <is>
          <t>Kỹ sư cầu đường</t>
        </is>
      </c>
      <c r="D18057" t="inlineStr">
        <is>
          <t>Tổng công ty Xây dựng Trường Sơn</t>
        </is>
      </c>
      <c r="E18057" t="inlineStr">
        <is>
          <t>Lương:12 Tr - 24 Tr VND</t>
        </is>
      </c>
      <c r="F18057" t="inlineStr">
        <is>
          <t>Thái Nguyên</t>
        </is>
      </c>
      <c r="G18057" t="inlineStr">
        <is>
          <t>02-04-2026</t>
        </is>
      </c>
      <c r="H18057" t="inlineStr">
        <is>
          <t>02/04/2026</t>
        </is>
      </c>
      <c r="I18057" t="inlineStr">
        <is>
          <t>17/03/2026</t>
        </is>
      </c>
      <c r="J18057" t="inlineStr">
        <is>
          <t>Xây dựng, Kiến trúc, Quản lý chất lượng (QA/QC)</t>
        </is>
      </c>
      <c r="K18057" t="inlineStr">
        <is>
          <t>1 - 2 Năm</t>
        </is>
      </c>
      <c r="L18057" s="8">
        <f>HYPERLINK("https://careerviet.vn/vi/tim-viec-lam/ky-su-cau-duong.35C6469A.html","Xem chi tiết")</f>
        <v/>
      </c>
    </row>
    <row r="18058">
      <c r="B18058" s="9" t="n">
        <v>18056</v>
      </c>
      <c r="C18058" s="10" t="inlineStr">
        <is>
          <t>Quản Lý Cửa Hàng Mắt Kính</t>
        </is>
      </c>
      <c r="D18058" s="10" t="inlineStr">
        <is>
          <t>Công ty TNHH Sản xuất Thương mại &amp; Dịch vụ Hoa Xinh</t>
        </is>
      </c>
      <c r="E18058" s="10" t="inlineStr">
        <is>
          <t>Lương:16 Tr - 30 Tr VND</t>
        </is>
      </c>
      <c r="F18058" s="10" t="inlineStr">
        <is>
          <t>Hà Nội</t>
        </is>
      </c>
      <c r="G18058" s="10" t="inlineStr">
        <is>
          <t>02-04-2026</t>
        </is>
      </c>
      <c r="H18058" s="10" t="inlineStr">
        <is>
          <t>02/04/2026</t>
        </is>
      </c>
      <c r="I18058" s="10" t="inlineStr">
        <is>
          <t>17/03/2026</t>
        </is>
      </c>
      <c r="J18058" s="10" t="inlineStr">
        <is>
          <t>Bán lẻ / Bán sỉ, Bán hàng / Kinh doanh, Y tế / Chăm sóc sức khỏe / Thẩm mỹ / Làm đẹp</t>
        </is>
      </c>
      <c r="K18058" s="10" t="inlineStr">
        <is>
          <t>1 - 10 Năm</t>
        </is>
      </c>
      <c r="L18058" s="11">
        <f>HYPERLINK("https://careerviet.vn/vi/tim-viec-lam/quan-ly-cua-hang-mat-kinh.35C646C2.html","Xem chi tiết")</f>
        <v/>
      </c>
      <c r="M18058" s="10" t="n"/>
    </row>
    <row r="18059">
      <c r="B18059" s="7" t="n">
        <v>18057</v>
      </c>
      <c r="C18059" t="inlineStr">
        <is>
          <t>NHÂN VIÊN KINH DOANH</t>
        </is>
      </c>
      <c r="D18059" t="inlineStr">
        <is>
          <t>Visingpack Packing Industries Ltd.</t>
        </is>
      </c>
      <c r="E18059" t="inlineStr">
        <is>
          <t>Lương:Cạnh tranh</t>
        </is>
      </c>
      <c r="F18059" t="inlineStr">
        <is>
          <t>Hồ Chí Minh</t>
        </is>
      </c>
      <c r="G18059" t="inlineStr">
        <is>
          <t>02-04-2026</t>
        </is>
      </c>
      <c r="H18059" t="inlineStr">
        <is>
          <t>02/04/2026</t>
        </is>
      </c>
      <c r="I18059" t="inlineStr">
        <is>
          <t>17/03/2026</t>
        </is>
      </c>
      <c r="J18059" t="inlineStr">
        <is>
          <t>Tiếp thị / Marketing, Bán lẻ / Bán sỉ, Bán hàng / Kinh doanh</t>
        </is>
      </c>
      <c r="K18059" t="inlineStr">
        <is>
          <t>1 - 5 Năm</t>
        </is>
      </c>
      <c r="L18059" s="8">
        <f>HYPERLINK("https://careerviet.vn/vi/tim-viec-lam/nhan-vien-kinh-doanh.35C64666.html","Xem chi tiết")</f>
        <v/>
      </c>
    </row>
    <row r="18060">
      <c r="B18060" s="9" t="n">
        <v>18058</v>
      </c>
      <c r="C18060" s="10" t="inlineStr">
        <is>
          <t>KỸ SƯ HIỆN TRƯỜNG HẠ TẦNG GIAO THÔNG</t>
        </is>
      </c>
      <c r="D18060" s="10" t="inlineStr">
        <is>
          <t>CÔNG TY CỔ PHẦN ĐẦU TƯ VÀ XÂY DỰNG BÌNH DƯƠNG ACC</t>
        </is>
      </c>
      <c r="E18060" s="10" t="inlineStr">
        <is>
          <t>Lương:17 Tr - 25 Tr VND</t>
        </is>
      </c>
      <c r="F18060" s="10" t="inlineStr">
        <is>
          <t>Bình Dương</t>
        </is>
      </c>
      <c r="G18060" s="10" t="inlineStr">
        <is>
          <t>02-04-2026</t>
        </is>
      </c>
      <c r="H18060" s="10" t="inlineStr">
        <is>
          <t>02/04/2026</t>
        </is>
      </c>
      <c r="I18060" s="10" t="inlineStr">
        <is>
          <t>17/03/2026</t>
        </is>
      </c>
      <c r="J18060" s="10" t="inlineStr">
        <is>
          <t>Xây dựng</t>
        </is>
      </c>
      <c r="K18060" s="10" t="inlineStr">
        <is>
          <t>Trên 6 Năm</t>
        </is>
      </c>
      <c r="L18060" s="11">
        <f>HYPERLINK("https://careerviet.vn/vi/tim-viec-lam/ky-su-hien-truong-ha-tang-giao-thong.35C64680.html","Xem chi tiết")</f>
        <v/>
      </c>
      <c r="M18060" s="10" t="n"/>
    </row>
    <row r="18061">
      <c r="B18061" s="7" t="n">
        <v>18059</v>
      </c>
      <c r="C18061" t="inlineStr">
        <is>
          <t>Thủ Kho</t>
        </is>
      </c>
      <c r="D18061" t="inlineStr">
        <is>
          <t>CÔNG TY CỔ PHẦN KẾT CẤU THÉP OMEGA VIỆT NAM</t>
        </is>
      </c>
      <c r="E18061" t="inlineStr">
        <is>
          <t>Lương:Cạnh tranh</t>
        </is>
      </c>
      <c r="F18061" t="inlineStr">
        <is>
          <t>Hưng Yên</t>
        </is>
      </c>
      <c r="G18061" t="inlineStr">
        <is>
          <t>02-04-2026</t>
        </is>
      </c>
      <c r="H18061" t="inlineStr">
        <is>
          <t>02/04/2026</t>
        </is>
      </c>
      <c r="I18061" t="inlineStr">
        <is>
          <t>17/03/2026</t>
        </is>
      </c>
      <c r="J18061" t="inlineStr">
        <is>
          <t>Vận chuyển / Giao nhận / Kho vận, Hành chính / Thư ký, Xuất nhập khẩu</t>
        </is>
      </c>
      <c r="K18061" t="inlineStr">
        <is>
          <t>Trên 1 Năm</t>
        </is>
      </c>
      <c r="L18061" s="8">
        <f>HYPERLINK("https://careerviet.vn/vi/tim-viec-lam/thu-kho.35C6468E.html","Xem chi tiết")</f>
        <v/>
      </c>
    </row>
    <row r="18062">
      <c r="B18062" s="9" t="n">
        <v>18060</v>
      </c>
      <c r="C18062" s="10" t="inlineStr">
        <is>
          <t>Nhân Viên Thu Hồi Nợ Qua Điện Thoại (Nhóm 30 ngày)</t>
        </is>
      </c>
      <c r="D18062" s="10" t="inlineStr">
        <is>
          <t>Công Ty Tài Chính TNHH Một Thành Viên Quốc Tế Việt Nam JACCS</t>
        </is>
      </c>
      <c r="E18062" s="10" t="inlineStr">
        <is>
          <t>Lương:7 Tr - 10 Tr VND</t>
        </is>
      </c>
      <c r="F18062" s="10" t="inlineStr">
        <is>
          <t>Hồ Chí Minh</t>
        </is>
      </c>
      <c r="G18062" s="10" t="inlineStr">
        <is>
          <t>02-04-2026</t>
        </is>
      </c>
      <c r="H18062" s="10" t="inlineStr">
        <is>
          <t>02/04/2026</t>
        </is>
      </c>
      <c r="I18062" s="10" t="inlineStr">
        <is>
          <t>17/03/2026</t>
        </is>
      </c>
      <c r="J18062" s="10" t="inlineStr">
        <is>
          <t>Luật / Pháp lý, Ngân hàng, Tài chính / Đầu tư</t>
        </is>
      </c>
      <c r="K18062" s="10" t="inlineStr">
        <is>
          <t>1 - 2 Năm</t>
        </is>
      </c>
      <c r="L18062" s="11">
        <f>HYPERLINK("https://careerviet.vn/vi/tim-viec-lam/nhan-vien-thu-hoi-no-qua-dien-thoai-nhom-30-ngay.35C64646.html","Xem chi tiết")</f>
        <v/>
      </c>
      <c r="M18062" s="10" t="n"/>
    </row>
    <row r="18063">
      <c r="B18063" s="7" t="n">
        <v>18061</v>
      </c>
      <c r="C18063" t="inlineStr">
        <is>
          <t>KẾ TOÁN NỘI BỘ</t>
        </is>
      </c>
      <c r="D18063" t="inlineStr">
        <is>
          <t>CHI NHÁNH CÔNG TY TNHH CHUNGHO VINA HEALTH SOLUTION TẠI THÀNH PHỐ HỒ CHÍ MINH</t>
        </is>
      </c>
      <c r="E18063" t="inlineStr">
        <is>
          <t>Lương:10 Tr - 12 Tr VND</t>
        </is>
      </c>
      <c r="F18063" t="inlineStr">
        <is>
          <t>Hồ Chí Minh</t>
        </is>
      </c>
      <c r="G18063" t="inlineStr">
        <is>
          <t>02-04-2026</t>
        </is>
      </c>
      <c r="H18063" t="inlineStr">
        <is>
          <t>02/04/2026</t>
        </is>
      </c>
      <c r="I18063" t="inlineStr">
        <is>
          <t>17/03/2026</t>
        </is>
      </c>
      <c r="J18063" t="inlineStr">
        <is>
          <t>Kế toán / Kiểm toán</t>
        </is>
      </c>
      <c r="K18063" t="inlineStr">
        <is>
          <t>1 - 2 Năm</t>
        </is>
      </c>
      <c r="L18063" s="8">
        <f>HYPERLINK("https://careerviet.vn/vi/tim-viec-lam/ke-toan-noi-bo.35C646CF.html","Xem chi tiết")</f>
        <v/>
      </c>
    </row>
    <row r="18064">
      <c r="B18064" s="9" t="n">
        <v>18062</v>
      </c>
      <c r="C18064" s="10" t="inlineStr">
        <is>
          <t>Standard Officer/ Chuyên viên Tiêu chuẩn</t>
        </is>
      </c>
      <c r="D18064" s="10" t="inlineStr">
        <is>
          <t>CÔNG TY TNHH THANTAWAN INDUSTRY (VIỆT NAM)</t>
        </is>
      </c>
      <c r="E18064" s="10" t="inlineStr">
        <is>
          <t>Lương:Cạnh tranh</t>
        </is>
      </c>
      <c r="F18064" s="10" t="inlineStr">
        <is>
          <t>Tây NinhBình DươngĐồng Nai</t>
        </is>
      </c>
      <c r="G18064" s="10" t="inlineStr">
        <is>
          <t>02-04-2026</t>
        </is>
      </c>
      <c r="H18064" s="10" t="inlineStr">
        <is>
          <t>02/04/2026</t>
        </is>
      </c>
      <c r="I18064" s="10" t="inlineStr">
        <is>
          <t>17/03/2026</t>
        </is>
      </c>
      <c r="J18064" s="10" t="inlineStr">
        <is>
          <t>Hành chính / Thư ký, Nhân sự, Quản lý chất lượng (QA/QC)</t>
        </is>
      </c>
      <c r="K18064" s="10" t="inlineStr">
        <is>
          <t>Trên 1 Năm</t>
        </is>
      </c>
      <c r="L18064" s="11">
        <f>HYPERLINK("https://careerviet.vn/vi/tim-viec-lam/standard-officer-chuyen-vien-tieu-chuan.35C6468B.html","Xem chi tiết")</f>
        <v/>
      </c>
      <c r="M18064" s="10" t="n"/>
    </row>
    <row r="18065">
      <c r="B18065" s="7" t="n">
        <v>18063</v>
      </c>
      <c r="C18065" t="inlineStr">
        <is>
          <t>Nhân Viên Bán Hàng Khu Vực Hà Nội</t>
        </is>
      </c>
      <c r="D18065" t="inlineStr">
        <is>
          <t>Công Ty Cổ Phần Mỹ Phẩm Sài Gòn</t>
        </is>
      </c>
      <c r="E18065" t="inlineStr">
        <is>
          <t>Lương:Cạnh tranh</t>
        </is>
      </c>
      <c r="F18065" t="inlineStr">
        <is>
          <t>Hà Nội</t>
        </is>
      </c>
      <c r="G18065" t="inlineStr">
        <is>
          <t>02-04-2026</t>
        </is>
      </c>
      <c r="H18065" t="inlineStr">
        <is>
          <t>02/04/2026</t>
        </is>
      </c>
      <c r="I18065" t="inlineStr">
        <is>
          <t>17/03/2026</t>
        </is>
      </c>
      <c r="J18065" t="inlineStr">
        <is>
          <t>Bán lẻ / Bán sỉ, Bán hàng / Kinh doanh, Ngân hàng</t>
        </is>
      </c>
      <c r="K18065" t="inlineStr">
        <is>
          <t>1 - 2 Năm</t>
        </is>
      </c>
      <c r="L18065" s="8">
        <f>HYPERLINK("https://careerviet.vn/vi/tim-viec-lam/nhan-vien-ban-hang-khu-vuc-ha-noi.35C64663.html","Xem chi tiết")</f>
        <v/>
      </c>
    </row>
    <row r="18066">
      <c r="B18066" s="9" t="n">
        <v>18064</v>
      </c>
      <c r="C18066" s="10" t="inlineStr">
        <is>
          <t>Chuyên Viên Nhân Sự Tổng Hợp</t>
        </is>
      </c>
      <c r="D18066" s="10" t="inlineStr">
        <is>
          <t>Công ty TNHH Khải Minh Group</t>
        </is>
      </c>
      <c r="E18066" s="10" t="inlineStr">
        <is>
          <t>Lương:12 Tr - 15 Tr VND</t>
        </is>
      </c>
      <c r="F18066" s="10" t="inlineStr">
        <is>
          <t>Hà Nội</t>
        </is>
      </c>
      <c r="G18066" s="10" t="inlineStr">
        <is>
          <t>02-04-2026</t>
        </is>
      </c>
      <c r="H18066" s="10" t="inlineStr">
        <is>
          <t>02/04/2026</t>
        </is>
      </c>
      <c r="I18066" s="10" t="inlineStr">
        <is>
          <t>17/03/2026</t>
        </is>
      </c>
      <c r="J18066" s="10" t="inlineStr">
        <is>
          <t>Nhân sự, Luật / Pháp lý, Hành chính / Thư ký</t>
        </is>
      </c>
      <c r="K18066" s="10" t="inlineStr">
        <is>
          <t>2 - 3 Năm</t>
        </is>
      </c>
      <c r="L18066" s="11">
        <f>HYPERLINK("https://careerviet.vn/vi/tim-viec-lam/chuyen-vien-nhan-su-tong-hop.35C6466E.html","Xem chi tiết")</f>
        <v/>
      </c>
      <c r="M18066" s="10" t="n"/>
    </row>
    <row r="18067">
      <c r="B18067" s="7" t="n">
        <v>18065</v>
      </c>
      <c r="C18067" t="inlineStr">
        <is>
          <t>Kỹ sư kỹ thuật hiện trường</t>
        </is>
      </c>
      <c r="D18067" t="inlineStr">
        <is>
          <t>Tổng công ty Xây dựng Trường Sơn</t>
        </is>
      </c>
      <c r="E18067" t="inlineStr">
        <is>
          <t>Lương:13 Tr - 28 Tr VND</t>
        </is>
      </c>
      <c r="F18067" t="inlineStr">
        <is>
          <t>Quảng NinhBắc NinhHà Nội</t>
        </is>
      </c>
      <c r="G18067" t="inlineStr">
        <is>
          <t>02-04-2026</t>
        </is>
      </c>
      <c r="H18067" t="inlineStr">
        <is>
          <t>02/04/2026</t>
        </is>
      </c>
      <c r="I18067" t="inlineStr">
        <is>
          <t>17/03/2026</t>
        </is>
      </c>
      <c r="J18067" t="inlineStr">
        <is>
          <t>Kiến trúc, Xây dựng, Quản lý chất lượng (QA/QC)</t>
        </is>
      </c>
      <c r="K18067" t="inlineStr">
        <is>
          <t>N/A</t>
        </is>
      </c>
      <c r="L18067" s="8">
        <f>HYPERLINK("https://careerviet.vn/vi/tim-viec-lam/ky-su-ky-thuat-hien-truong.35C646A0.html","Xem chi tiết")</f>
        <v/>
      </c>
    </row>
    <row r="18068">
      <c r="B18068" s="9" t="n">
        <v>18066</v>
      </c>
      <c r="C18068" s="10" t="inlineStr">
        <is>
          <t>Thực Tập Sinh Chăm sóc khách hàng Vận tải nội địa</t>
        </is>
      </c>
      <c r="D18068" s="10" t="inlineStr">
        <is>
          <t>CÔNG TY CỔ PHẦN  ITL LOGISTICS</t>
        </is>
      </c>
      <c r="E18068" s="10" t="inlineStr">
        <is>
          <t>Lương:Lên đến 1 Tr VND</t>
        </is>
      </c>
      <c r="F18068" s="10" t="inlineStr">
        <is>
          <t>Bình Dương</t>
        </is>
      </c>
      <c r="G18068" s="10" t="inlineStr">
        <is>
          <t>02-04-2026</t>
        </is>
      </c>
      <c r="H18068" s="10" t="inlineStr">
        <is>
          <t>02/04/2026</t>
        </is>
      </c>
      <c r="I18068" s="10" t="inlineStr">
        <is>
          <t>17/03/2026</t>
        </is>
      </c>
      <c r="J18068" s="10" t="inlineStr">
        <is>
          <t>Vận chuyển / Giao nhận / Kho vận</t>
        </is>
      </c>
      <c r="K18068" s="10" t="inlineStr">
        <is>
          <t>N/A</t>
        </is>
      </c>
      <c r="L18068" s="11">
        <f>HYPERLINK("https://careerviet.vn/vi/tim-viec-lam/thuc-tap-sinh-cham-soc-khach-hang-van-tai-noi-dia.35C64684.html","Xem chi tiết")</f>
        <v/>
      </c>
      <c r="M18068" s="10" t="n"/>
    </row>
    <row r="18069">
      <c r="B18069" s="7" t="n">
        <v>18067</v>
      </c>
      <c r="C18069" t="inlineStr">
        <is>
          <t>KIỂM NGHIỆM VIÊN TỔ HÓA LÝ</t>
        </is>
      </c>
      <c r="D18069" t="inlineStr">
        <is>
          <t>Công Ty Cổ Phần Dược Phẩm 3/2</t>
        </is>
      </c>
      <c r="E18069" t="inlineStr">
        <is>
          <t>Lương:8 Tr - 9 Tr VND</t>
        </is>
      </c>
      <c r="F18069" t="inlineStr">
        <is>
          <t>Hồ Chí Minh</t>
        </is>
      </c>
      <c r="G18069" t="inlineStr">
        <is>
          <t>02-04-2026</t>
        </is>
      </c>
      <c r="H18069" t="inlineStr">
        <is>
          <t>02/04/2026</t>
        </is>
      </c>
      <c r="I18069" t="inlineStr">
        <is>
          <t>17/03/2026</t>
        </is>
      </c>
      <c r="J18069" t="inlineStr">
        <is>
          <t>Dược phẩm/ Hóa Mỹ Phẩm, Quản lý chất lượng (QA/QC)</t>
        </is>
      </c>
      <c r="K18069" t="inlineStr">
        <is>
          <t>1 - 2 Năm</t>
        </is>
      </c>
      <c r="L18069" s="8">
        <f>HYPERLINK("https://careerviet.vn/vi/tim-viec-lam/kiem-nghiem-vien-to-hoa-ly.35C646FA.html","Xem chi tiết")</f>
        <v/>
      </c>
    </row>
    <row r="18070">
      <c r="B18070" s="9" t="n">
        <v>18068</v>
      </c>
      <c r="C18070" s="10" t="inlineStr">
        <is>
          <t>Merchandising Lead</t>
        </is>
      </c>
      <c r="D18070" s="10" t="inlineStr">
        <is>
          <t>CÔNG TY TNHH MINTHACARE</t>
        </is>
      </c>
      <c r="E18070" s="10" t="inlineStr">
        <is>
          <t>Lương:Cạnh tranh</t>
        </is>
      </c>
      <c r="F18070" s="10" t="inlineStr">
        <is>
          <t>Hồ Chí Minh</t>
        </is>
      </c>
      <c r="G18070" s="10" t="inlineStr">
        <is>
          <t>02-04-2026</t>
        </is>
      </c>
      <c r="H18070" s="10" t="inlineStr">
        <is>
          <t>02/04/2026</t>
        </is>
      </c>
      <c r="I18070" s="10" t="inlineStr">
        <is>
          <t>17/03/2026</t>
        </is>
      </c>
      <c r="J18070" s="10" t="inlineStr">
        <is>
          <t>Tiếp thị / Marketing, Bán lẻ / Bán sỉ, Dược phẩm/ Hóa Mỹ Phẩm</t>
        </is>
      </c>
      <c r="K18070" s="10" t="inlineStr">
        <is>
          <t>3 - 5 Năm</t>
        </is>
      </c>
      <c r="L18070" s="11">
        <f>HYPERLINK("https://careerviet.vn/vi/tim-viec-lam/merchandising-lead.35C64673.html","Xem chi tiết")</f>
        <v/>
      </c>
      <c r="M18070" s="10" t="n"/>
    </row>
    <row r="18071">
      <c r="B18071" s="7" t="n">
        <v>18069</v>
      </c>
      <c r="C18071" t="inlineStr">
        <is>
          <t>Kế toán quản trị</t>
        </is>
      </c>
      <c r="D18071" t="inlineStr">
        <is>
          <t>Công ty Cổ phần In và Bao bì Mỹ Châu</t>
        </is>
      </c>
      <c r="E18071" t="inlineStr">
        <is>
          <t>Lương:Cạnh tranh</t>
        </is>
      </c>
      <c r="F18071" t="inlineStr">
        <is>
          <t>Hồ Chí Minh</t>
        </is>
      </c>
      <c r="G18071" t="inlineStr">
        <is>
          <t>02-04-2026</t>
        </is>
      </c>
      <c r="H18071" t="inlineStr">
        <is>
          <t>02/04/2026</t>
        </is>
      </c>
      <c r="I18071" t="inlineStr">
        <is>
          <t>17/03/2026</t>
        </is>
      </c>
      <c r="J18071" t="inlineStr">
        <is>
          <t>Kế toán / Kiểm toán</t>
        </is>
      </c>
      <c r="K18071" t="inlineStr">
        <is>
          <t>3 - 5 Năm</t>
        </is>
      </c>
      <c r="L18071" s="8">
        <f>HYPERLINK("https://careerviet.vn/vi/tim-viec-lam/ke-toan-quan-tri.35C634A3.html","Xem chi tiết")</f>
        <v/>
      </c>
    </row>
    <row r="18072">
      <c r="B18072" s="9" t="n">
        <v>18070</v>
      </c>
      <c r="C18072" s="10" t="inlineStr">
        <is>
          <t>Chuyên viên Thương vụ &amp; Vận hành Hãng tàu</t>
        </is>
      </c>
      <c r="D18072" s="10" t="inlineStr">
        <is>
          <t>CÔNG TY TNHH VẬN TẢI QUỐC TẾ FASTLINK</t>
        </is>
      </c>
      <c r="E18072" s="10" t="inlineStr">
        <is>
          <t>Lương:12 Tr - 16 Tr VND</t>
        </is>
      </c>
      <c r="F18072" s="10" t="inlineStr">
        <is>
          <t>Hồ Chí Minh</t>
        </is>
      </c>
      <c r="G18072" s="10" t="inlineStr">
        <is>
          <t>02-04-2026</t>
        </is>
      </c>
      <c r="H18072" s="10" t="inlineStr">
        <is>
          <t>02/04/2026</t>
        </is>
      </c>
      <c r="I18072" s="10" t="inlineStr">
        <is>
          <t>17/03/2026</t>
        </is>
      </c>
      <c r="J18072" s="10" t="inlineStr">
        <is>
          <t>Vận chuyển / Giao nhận / Kho vận, Xuất nhập khẩu</t>
        </is>
      </c>
      <c r="K18072" s="10" t="inlineStr">
        <is>
          <t>2 - 5 Năm</t>
        </is>
      </c>
      <c r="L18072" s="11">
        <f>HYPERLINK("https://careerviet.vn/vi/tim-viec-lam/chuyen-vien-thuong-vu-van-hanh-hang-tau.35C64730.html","Xem chi tiết")</f>
        <v/>
      </c>
      <c r="M18072" s="10" t="n"/>
    </row>
    <row r="18073">
      <c r="B18073" s="7" t="n">
        <v>18071</v>
      </c>
      <c r="C18073" t="inlineStr">
        <is>
          <t>Nhân viên phụ kho ( Kho Kim Nỗ - Đông Anh) - Ngành hàng mẹ và bé</t>
        </is>
      </c>
      <c r="D18073" t="inlineStr">
        <is>
          <t>Công Ty TNHH XNK Cầu Nối Việt</t>
        </is>
      </c>
      <c r="E18073" t="inlineStr">
        <is>
          <t>Lương:8 Tr - 9 Tr VND</t>
        </is>
      </c>
      <c r="F18073" t="inlineStr">
        <is>
          <t>Hà Nội</t>
        </is>
      </c>
      <c r="G18073" t="inlineStr">
        <is>
          <t>02-04-2026</t>
        </is>
      </c>
      <c r="H18073" t="inlineStr">
        <is>
          <t>02/04/2026</t>
        </is>
      </c>
      <c r="I18073" t="inlineStr">
        <is>
          <t>17/03/2026</t>
        </is>
      </c>
      <c r="J18073" t="inlineStr">
        <is>
          <t>Vận chuyển / Giao nhận / Kho vận</t>
        </is>
      </c>
      <c r="K18073" t="inlineStr">
        <is>
          <t>N/A</t>
        </is>
      </c>
      <c r="L18073" s="8">
        <f>HYPERLINK("https://careerviet.vn/vi/tim-viec-lam/nhan-vien-phu-kho-kho-kim-no-dong-anh-nganh-hang-me-va-be.35C64739.html","Xem chi tiết")</f>
        <v/>
      </c>
    </row>
    <row r="18074">
      <c r="B18074" s="9" t="n">
        <v>18072</v>
      </c>
      <c r="C18074" s="10" t="inlineStr">
        <is>
          <t>TRƯỞNG PHÒNG THÍ NGHIỆM</t>
        </is>
      </c>
      <c r="D18074" s="10" t="inlineStr">
        <is>
          <t>Công ty TNHH Giày Apache Việt Nam</t>
        </is>
      </c>
      <c r="E18074" s="10" t="inlineStr">
        <is>
          <t>Lương:17 Tr - 22 Tr VND</t>
        </is>
      </c>
      <c r="F18074" s="10" t="inlineStr">
        <is>
          <t>Tiền Giang</t>
        </is>
      </c>
      <c r="G18074" s="10" t="inlineStr">
        <is>
          <t>02-04-2026</t>
        </is>
      </c>
      <c r="H18074" s="10" t="inlineStr">
        <is>
          <t>02/04/2026</t>
        </is>
      </c>
      <c r="I18074" s="10" t="inlineStr">
        <is>
          <t>17/03/2026</t>
        </is>
      </c>
      <c r="J18074" s="10" t="inlineStr">
        <is>
          <t>Sản xuất / Vận hành sản xuất</t>
        </is>
      </c>
      <c r="K18074" s="10" t="inlineStr">
        <is>
          <t>1 - 2 Năm</t>
        </is>
      </c>
      <c r="L18074" s="11">
        <f>HYPERLINK("https://careerviet.vn/vi/tim-viec-lam/truong-phong-thi-nghiem.35C64727.html","Xem chi tiết")</f>
        <v/>
      </c>
      <c r="M18074" s="10" t="n"/>
    </row>
    <row r="18075">
      <c r="B18075" s="7" t="n">
        <v>18073</v>
      </c>
      <c r="C18075" t="inlineStr">
        <is>
          <t>Trưởng Bộ Phận / Quản Lý Bảo Trì</t>
        </is>
      </c>
      <c r="D18075" t="inlineStr">
        <is>
          <t>CÔNG TY TNHH XÂY LẮP THƯƠNG MẠI SONG ANH</t>
        </is>
      </c>
      <c r="E18075" t="inlineStr">
        <is>
          <t>Lương:Cạnh tranh</t>
        </is>
      </c>
      <c r="F18075" t="inlineStr">
        <is>
          <t>Hải Phòng</t>
        </is>
      </c>
      <c r="G18075" t="inlineStr">
        <is>
          <t>02-04-2026</t>
        </is>
      </c>
      <c r="H18075" t="inlineStr">
        <is>
          <t>02/04/2026</t>
        </is>
      </c>
      <c r="I18075" t="inlineStr">
        <is>
          <t>17/03/2026</t>
        </is>
      </c>
      <c r="J18075" t="inlineStr">
        <is>
          <t>Cơ khí / Ô tô / Tự động hóa, Điện / Điện tử / Điện lạnh / Điện công nghiệp, Bảo trì / Sửa chữa</t>
        </is>
      </c>
      <c r="K18075" t="inlineStr">
        <is>
          <t>3 - 5 Năm</t>
        </is>
      </c>
      <c r="L18075" s="8">
        <f>HYPERLINK("https://careerviet.vn/vi/tim-viec-lam/truong-bo-phan-quan-ly-bao-tri.35C6466A.html","Xem chi tiết")</f>
        <v/>
      </c>
    </row>
    <row r="18076">
      <c r="B18076" s="9" t="n">
        <v>18074</v>
      </c>
      <c r="C18076" s="10" t="inlineStr">
        <is>
          <t>Kế toán viên</t>
        </is>
      </c>
      <c r="D18076" s="10" t="inlineStr">
        <is>
          <t>CÔNG TY CỔ PHẦN GENTA THỤY SĨ</t>
        </is>
      </c>
      <c r="E18076" s="10" t="inlineStr">
        <is>
          <t>Lương:10 Tr - 12 Tr VND</t>
        </is>
      </c>
      <c r="F18076" s="10" t="inlineStr">
        <is>
          <t>Long An</t>
        </is>
      </c>
      <c r="G18076" s="10" t="inlineStr">
        <is>
          <t>02-04-2026</t>
        </is>
      </c>
      <c r="H18076" s="10" t="inlineStr">
        <is>
          <t>02/04/2026</t>
        </is>
      </c>
      <c r="I18076" s="10" t="inlineStr">
        <is>
          <t>17/03/2026</t>
        </is>
      </c>
      <c r="J18076" s="10" t="inlineStr">
        <is>
          <t>Kế toán / Kiểm toán, Sản xuất / Vận hành sản xuất, Thu mua / Vật tư</t>
        </is>
      </c>
      <c r="K18076" s="10" t="inlineStr">
        <is>
          <t>1 - 2 Năm</t>
        </is>
      </c>
      <c r="L18076" s="11">
        <f>HYPERLINK("https://careerviet.vn/vi/tim-viec-lam/ke-toan-vien.35C6466C.html","Xem chi tiết")</f>
        <v/>
      </c>
      <c r="M18076" s="10" t="n"/>
    </row>
    <row r="18077">
      <c r="B18077" s="7" t="n">
        <v>18075</v>
      </c>
      <c r="C18077" t="inlineStr">
        <is>
          <t>R&amp;D Specialist (Processed meat)</t>
        </is>
      </c>
      <c r="D18077" t="inlineStr">
        <is>
          <t>Công Ty TNHH CJ Foods Việt Nam - Chi nhánh Long An</t>
        </is>
      </c>
      <c r="E18077" t="inlineStr">
        <is>
          <t>Lương:Cạnh tranh</t>
        </is>
      </c>
      <c r="F18077" t="inlineStr">
        <is>
          <t>Long An</t>
        </is>
      </c>
      <c r="G18077" t="inlineStr">
        <is>
          <t>02-04-2026</t>
        </is>
      </c>
      <c r="H18077" t="inlineStr">
        <is>
          <t>02/04/2026</t>
        </is>
      </c>
      <c r="I18077" t="inlineStr">
        <is>
          <t>17/03/2026</t>
        </is>
      </c>
      <c r="J18077" t="inlineStr">
        <is>
          <t>Thực phẩm &amp; Đồ uống, Công nghệ sinh học, Công nghệ thực phẩm / Dinh dưỡng</t>
        </is>
      </c>
      <c r="K18077" t="inlineStr">
        <is>
          <t>3 - 7 Năm</t>
        </is>
      </c>
      <c r="L18077" s="8">
        <f>HYPERLINK("https://careerviet.vn/vi/tim-viec-lam/r-d-specialist-processed-meat.35C646D3.html","Xem chi tiết")</f>
        <v/>
      </c>
    </row>
    <row r="18078">
      <c r="B18078" s="9" t="n">
        <v>18076</v>
      </c>
      <c r="C18078" s="10" t="inlineStr">
        <is>
          <t>SALES &amp; MARKETING MANAGER</t>
        </is>
      </c>
      <c r="D18078" s="10" t="inlineStr">
        <is>
          <t>HR Vietnam’s ESS Client</t>
        </is>
      </c>
      <c r="E18078" s="10" t="inlineStr">
        <is>
          <t>Lương:Cạnh tranh</t>
        </is>
      </c>
      <c r="F18078" s="10" t="inlineStr">
        <is>
          <t>Bình Dương</t>
        </is>
      </c>
      <c r="G18078" s="10" t="inlineStr">
        <is>
          <t>02-04-2026</t>
        </is>
      </c>
      <c r="H18078" s="10" t="inlineStr">
        <is>
          <t>02/04/2026</t>
        </is>
      </c>
      <c r="I18078" s="10" t="inlineStr">
        <is>
          <t>17/03/2026</t>
        </is>
      </c>
      <c r="J18078" s="10" t="inlineStr">
        <is>
          <t>In ấn / Xuất bản, Bán hàng / Kinh doanh</t>
        </is>
      </c>
      <c r="K18078" s="10" t="inlineStr">
        <is>
          <t>7 - 15 Năm</t>
        </is>
      </c>
      <c r="L18078" s="11">
        <f>HYPERLINK("https://careerviet.vn/vi/tim-viec-lam/sales-marketing-manager.35C646EB.html","Xem chi tiết")</f>
        <v/>
      </c>
      <c r="M18078" s="10" t="n"/>
    </row>
    <row r="18079">
      <c r="B18079" s="7" t="n">
        <v>18077</v>
      </c>
      <c r="C18079" t="inlineStr">
        <is>
          <t>Chuyên Viên Quản Trị Rủi Ro (CN Đông Nam Bộ)</t>
        </is>
      </c>
      <c r="D18079" t="inlineStr">
        <is>
          <t>Công Ty CP Vàng Bạc Đá Quý Phú Nhuận - PNJ</t>
        </is>
      </c>
      <c r="E18079" t="inlineStr">
        <is>
          <t>Lương:Cạnh tranh</t>
        </is>
      </c>
      <c r="F18079" t="inlineStr">
        <is>
          <t>Đồng Nai</t>
        </is>
      </c>
      <c r="G18079" t="inlineStr">
        <is>
          <t>02-04-2026</t>
        </is>
      </c>
      <c r="H18079" t="inlineStr">
        <is>
          <t>02/04/2026</t>
        </is>
      </c>
      <c r="I18079" t="inlineStr">
        <is>
          <t>17/03/2026</t>
        </is>
      </c>
      <c r="J18079" t="inlineStr">
        <is>
          <t>Bán lẻ / Bán sỉ, Kế toán / Kiểm toán, Tài chính / Đầu tư</t>
        </is>
      </c>
      <c r="K18079" t="inlineStr">
        <is>
          <t>3 - 5 Năm</t>
        </is>
      </c>
      <c r="L18079" s="8">
        <f>HYPERLINK("https://careerviet.vn/vi/tim-viec-lam/chuyen-vien-quan-tri-rui-ro-cn-dong-nam-bo.35C64647.html","Xem chi tiết")</f>
        <v/>
      </c>
    </row>
    <row r="18080">
      <c r="B18080" s="9" t="n">
        <v>18078</v>
      </c>
      <c r="C18080" s="10" t="inlineStr">
        <is>
          <t>International Business Development Manager (Fashion)</t>
        </is>
      </c>
      <c r="D18080" s="10" t="inlineStr">
        <is>
          <t>ROUTINE VN - FASHION DESIGN &amp; RETAILER</t>
        </is>
      </c>
      <c r="E18080" s="10" t="inlineStr">
        <is>
          <t>Lương:Cạnh tranh</t>
        </is>
      </c>
      <c r="F18080" s="10" t="inlineStr">
        <is>
          <t>Hồ Chí Minh</t>
        </is>
      </c>
      <c r="G18080" s="10" t="inlineStr">
        <is>
          <t>02-04-2026</t>
        </is>
      </c>
      <c r="H18080" s="10" t="inlineStr">
        <is>
          <t>02/04/2026</t>
        </is>
      </c>
      <c r="I18080" s="10" t="inlineStr">
        <is>
          <t>17/03/2026</t>
        </is>
      </c>
      <c r="J18080" s="10" t="inlineStr">
        <is>
          <t>Bán lẻ / Bán sỉ, Bán hàng / Kinh doanh, Dệt may / Da giày / Thời trang</t>
        </is>
      </c>
      <c r="K18080" s="10" t="inlineStr">
        <is>
          <t>5 - 7 Năm</t>
        </is>
      </c>
      <c r="L18080" s="11">
        <f>HYPERLINK("https://careerviet.vn/vi/tim-viec-lam/international-business-development-manager-fashion.35C64709.html","Xem chi tiết")</f>
        <v/>
      </c>
      <c r="M18080" s="10" t="n"/>
    </row>
    <row r="18081">
      <c r="B18081" s="7" t="n">
        <v>18079</v>
      </c>
      <c r="C18081" t="inlineStr">
        <is>
          <t>Supply Planning (Slob management)</t>
        </is>
      </c>
      <c r="D18081" t="inlineStr">
        <is>
          <t>Công Ty TNHH CJ Foods Việt Nam - Chi nhánh Long An</t>
        </is>
      </c>
      <c r="E18081" t="inlineStr">
        <is>
          <t>Lương:Cạnh tranh</t>
        </is>
      </c>
      <c r="F18081" t="inlineStr">
        <is>
          <t>Long An</t>
        </is>
      </c>
      <c r="G18081" t="inlineStr">
        <is>
          <t>02-04-2026</t>
        </is>
      </c>
      <c r="H18081" t="inlineStr">
        <is>
          <t>02/04/2026</t>
        </is>
      </c>
      <c r="I18081" t="inlineStr">
        <is>
          <t>17/03/2026</t>
        </is>
      </c>
      <c r="J18081" t="inlineStr">
        <is>
          <t>Thực phẩm &amp; Đồ uống, Công nghệ thực phẩm / Dinh dưỡng, Sản xuất / Vận hành sản xuất</t>
        </is>
      </c>
      <c r="K18081" t="inlineStr">
        <is>
          <t>3 - 7 Năm</t>
        </is>
      </c>
      <c r="L18081" s="8">
        <f>HYPERLINK("https://careerviet.vn/vi/tim-viec-lam/supply-planning-slob-management.35C646D0.html","Xem chi tiết")</f>
        <v/>
      </c>
    </row>
    <row r="18082">
      <c r="B18082" s="9" t="n">
        <v>18080</v>
      </c>
      <c r="C18082" s="10" t="inlineStr">
        <is>
          <t>Giám sát bán hàng - Hải Phòng</t>
        </is>
      </c>
      <c r="D18082" s="10" t="inlineStr">
        <is>
          <t>CÔNG TY CP BIA &amp; NGK HẠ LONG</t>
        </is>
      </c>
      <c r="E18082" s="10" t="inlineStr">
        <is>
          <t>Lương:17 Tr - 26 Tr VND</t>
        </is>
      </c>
      <c r="F18082" s="10" t="inlineStr">
        <is>
          <t>Hải Phòng</t>
        </is>
      </c>
      <c r="G18082" s="10" t="inlineStr">
        <is>
          <t>02-04-2026</t>
        </is>
      </c>
      <c r="H18082" s="10" t="inlineStr">
        <is>
          <t>02/04/2026</t>
        </is>
      </c>
      <c r="I18082" s="10" t="inlineStr">
        <is>
          <t>17/03/2026</t>
        </is>
      </c>
      <c r="J18082" s="10" t="inlineStr">
        <is>
          <t>Bán lẻ / Bán sỉ</t>
        </is>
      </c>
      <c r="K18082" s="10" t="inlineStr">
        <is>
          <t>2 - 3 Năm</t>
        </is>
      </c>
      <c r="L18082" s="11">
        <f>HYPERLINK("https://careerviet.vn/vi/tim-viec-lam/giam-sat-ban-hang-hai-phong.35C646C8.html","Xem chi tiết")</f>
        <v/>
      </c>
      <c r="M18082" s="10" t="n"/>
    </row>
    <row r="18083">
      <c r="B18083" s="7" t="n">
        <v>18081</v>
      </c>
      <c r="C18083" t="inlineStr">
        <is>
          <t>Nhân Viên Mua hàng/Vật tư</t>
        </is>
      </c>
      <c r="D18083" t="inlineStr">
        <is>
          <t>CÔNG TY CỔ PHẦN KẾT CẤU THÉP OMEGA VIỆT NAM</t>
        </is>
      </c>
      <c r="E18083" t="inlineStr">
        <is>
          <t>Lương:Trên 10 Tr VND</t>
        </is>
      </c>
      <c r="F18083" t="inlineStr">
        <is>
          <t>Hà Nội</t>
        </is>
      </c>
      <c r="G18083" t="inlineStr">
        <is>
          <t>02-04-2026</t>
        </is>
      </c>
      <c r="H18083" t="inlineStr">
        <is>
          <t>02/04/2026</t>
        </is>
      </c>
      <c r="I18083" t="inlineStr">
        <is>
          <t>17/03/2026</t>
        </is>
      </c>
      <c r="J18083" t="inlineStr">
        <is>
          <t>Hành chính / Thư ký, Thu mua / Vật tư, Xây dựng</t>
        </is>
      </c>
      <c r="K18083" t="inlineStr">
        <is>
          <t>Lên đến 1 Năm</t>
        </is>
      </c>
      <c r="L18083" s="8">
        <f>HYPERLINK("https://careerviet.vn/vi/tim-viec-lam/nhan-vien-mua-hang-vat-tu.35C64692.html","Xem chi tiết")</f>
        <v/>
      </c>
    </row>
    <row r="18084">
      <c r="B18084" s="9" t="n">
        <v>18082</v>
      </c>
      <c r="C18084" s="10" t="inlineStr">
        <is>
          <t>Trợ giảng tiếng Anh full-time</t>
        </is>
      </c>
      <c r="D18084" s="10" t="inlineStr">
        <is>
          <t>Công ty cổ phần SIMPACE Việt Nam</t>
        </is>
      </c>
      <c r="E18084" s="10" t="inlineStr">
        <is>
          <t>Lương:8 Tr - 8,5 Tr VND</t>
        </is>
      </c>
      <c r="F18084" s="10" t="inlineStr">
        <is>
          <t>Hà Nội</t>
        </is>
      </c>
      <c r="G18084" s="10" t="inlineStr">
        <is>
          <t>02-04-2026</t>
        </is>
      </c>
      <c r="H18084" s="10" t="inlineStr">
        <is>
          <t>02/04/2026</t>
        </is>
      </c>
      <c r="I18084" s="10" t="inlineStr">
        <is>
          <t>17/03/2026</t>
        </is>
      </c>
      <c r="J18084" s="10" t="inlineStr">
        <is>
          <t>Giáo dục / Đào tạo</t>
        </is>
      </c>
      <c r="K18084" s="10" t="inlineStr">
        <is>
          <t>Lên đến 1 Năm</t>
        </is>
      </c>
      <c r="L18084" s="11">
        <f>HYPERLINK("https://careerviet.vn/vi/tim-viec-lam/tro-giang-tieng-anh-full-time.35C64643.html","Xem chi tiết")</f>
        <v/>
      </c>
      <c r="M18084" s="10" t="n"/>
    </row>
    <row r="18085">
      <c r="B18085" s="7" t="n">
        <v>18083</v>
      </c>
      <c r="C18085" t="inlineStr">
        <is>
          <t>TRỢ LÝ PHÁP LÝ</t>
        </is>
      </c>
      <c r="D18085" t="inlineStr">
        <is>
          <t>Công ty TNHH Giày Apache Việt Nam</t>
        </is>
      </c>
      <c r="E18085" t="inlineStr">
        <is>
          <t>Lương:Cạnh tranh</t>
        </is>
      </c>
      <c r="F18085" t="inlineStr">
        <is>
          <t>Tiền Giang</t>
        </is>
      </c>
      <c r="G18085" t="inlineStr">
        <is>
          <t>02-04-2026</t>
        </is>
      </c>
      <c r="H18085" t="inlineStr">
        <is>
          <t>02/04/2026</t>
        </is>
      </c>
      <c r="I18085" t="inlineStr">
        <is>
          <t>17/03/2026</t>
        </is>
      </c>
      <c r="J18085" t="inlineStr">
        <is>
          <t>Luật / Pháp lý</t>
        </is>
      </c>
      <c r="K18085" t="inlineStr">
        <is>
          <t>1 - 4 Năm</t>
        </is>
      </c>
      <c r="L18085" s="8">
        <f>HYPERLINK("https://careerviet.vn/vi/tim-viec-lam/tro-ly-phap-ly.35C64724.html","Xem chi tiết")</f>
        <v/>
      </c>
    </row>
    <row r="18086">
      <c r="B18086" s="9" t="n">
        <v>18084</v>
      </c>
      <c r="C18086" s="10" t="inlineStr">
        <is>
          <t>Creative Project Manager</t>
        </is>
      </c>
      <c r="D18086" s="10" t="inlineStr">
        <is>
          <t>Công Ty Cổ phần Tập Đoàn KIDO</t>
        </is>
      </c>
      <c r="E18086" s="10" t="inlineStr">
        <is>
          <t>Lương:Cạnh tranh</t>
        </is>
      </c>
      <c r="F18086" s="10" t="inlineStr">
        <is>
          <t>Hồ Chí Minh</t>
        </is>
      </c>
      <c r="G18086" s="10" t="inlineStr">
        <is>
          <t>02-04-2026</t>
        </is>
      </c>
      <c r="H18086" s="10" t="inlineStr">
        <is>
          <t>02/04/2026</t>
        </is>
      </c>
      <c r="I18086" s="10" t="inlineStr">
        <is>
          <t>17/03/2026</t>
        </is>
      </c>
      <c r="J18086" s="10" t="inlineStr">
        <is>
          <t>Giải trí, Quảng cáo / Đối ngoại / Truyền Thông, Tiếp thị trực tuyến</t>
        </is>
      </c>
      <c r="K18086" s="10" t="inlineStr">
        <is>
          <t>3 - 5 Năm</t>
        </is>
      </c>
      <c r="L18086" s="11">
        <f>HYPERLINK("https://careerviet.vn/vi/tim-viec-lam/creative-project-manager.35C6470D.html","Xem chi tiết")</f>
        <v/>
      </c>
      <c r="M18086" s="10" t="n"/>
    </row>
    <row r="18087">
      <c r="B18087" s="7" t="n">
        <v>18085</v>
      </c>
      <c r="C18087" t="inlineStr">
        <is>
          <t>Chuyên Viên Hiệu Suất Lao Động</t>
        </is>
      </c>
      <c r="D18087" t="inlineStr">
        <is>
          <t>Hệ thống Vĩnh Tân</t>
        </is>
      </c>
      <c r="E18087" t="inlineStr">
        <is>
          <t>Lương:12 Tr - 17 Tr VND</t>
        </is>
      </c>
      <c r="F18087" t="inlineStr">
        <is>
          <t>Hồ Chí Minh</t>
        </is>
      </c>
      <c r="G18087" t="inlineStr">
        <is>
          <t>02-04-2026</t>
        </is>
      </c>
      <c r="H18087" t="inlineStr">
        <is>
          <t>02/04/2026</t>
        </is>
      </c>
      <c r="I18087" t="inlineStr">
        <is>
          <t>17/03/2026</t>
        </is>
      </c>
      <c r="J18087" t="inlineStr">
        <is>
          <t>Hành chính / Thư ký, Quản lý điều hành, Nhân sự</t>
        </is>
      </c>
      <c r="K18087" t="inlineStr">
        <is>
          <t>3 - 5 Năm</t>
        </is>
      </c>
      <c r="L18087" s="8">
        <f>HYPERLINK("https://careerviet.vn/vi/tim-viec-lam/chuyen-vien-hieu-suat-lao-dong.35C646FE.html","Xem chi tiết")</f>
        <v/>
      </c>
    </row>
    <row r="18088">
      <c r="B18088" s="9" t="n">
        <v>18086</v>
      </c>
      <c r="C18088" s="10" t="inlineStr">
        <is>
          <t>Chuyên viên Phát triển thị trường</t>
        </is>
      </c>
      <c r="D18088" s="10" t="inlineStr">
        <is>
          <t>Công ty Cổ Phần Nhựa Thiếu Niên Tiền Phong Phía Nam</t>
        </is>
      </c>
      <c r="E18088" s="10" t="inlineStr">
        <is>
          <t>Lương:Cạnh tranh</t>
        </is>
      </c>
      <c r="F18088" s="10" t="inlineStr">
        <is>
          <t>Hồ Chí MinhBình DươngĐồng Nai</t>
        </is>
      </c>
      <c r="G18088" s="10" t="inlineStr">
        <is>
          <t>02-04-2026</t>
        </is>
      </c>
      <c r="H18088" s="10" t="inlineStr">
        <is>
          <t>02/04/2026</t>
        </is>
      </c>
      <c r="I18088" s="10" t="inlineStr">
        <is>
          <t>17/03/2026</t>
        </is>
      </c>
      <c r="J18088" s="10" t="inlineStr">
        <is>
          <t>Bán hàng / Kinh doanh, Tiếp thị / Marketing</t>
        </is>
      </c>
      <c r="K18088" s="10" t="inlineStr">
        <is>
          <t>N/A</t>
        </is>
      </c>
      <c r="L18088" s="11">
        <f>HYPERLINK("https://careerviet.vn/vi/tim-viec-lam/chuyen-vien-phat-trien-thi-truong.35C64700.html","Xem chi tiết")</f>
        <v/>
      </c>
      <c r="M18088" s="10" t="n"/>
    </row>
    <row r="18089">
      <c r="B18089" s="7" t="n">
        <v>18087</v>
      </c>
      <c r="C18089" t="inlineStr">
        <is>
          <t>Nhân Viên Bán Hàng</t>
        </is>
      </c>
      <c r="D18089" t="inlineStr">
        <is>
          <t>Công ty TNHH Sản xuất Thương mại &amp; Dịch vụ Hoa Xinh</t>
        </is>
      </c>
      <c r="E18089" t="inlineStr">
        <is>
          <t>Lương:8 Tr - 20 Tr VND</t>
        </is>
      </c>
      <c r="F18089" t="inlineStr">
        <is>
          <t>Hà Nội</t>
        </is>
      </c>
      <c r="G18089" t="inlineStr">
        <is>
          <t>02-04-2026</t>
        </is>
      </c>
      <c r="H18089" t="inlineStr">
        <is>
          <t>02/04/2026</t>
        </is>
      </c>
      <c r="I18089" t="inlineStr">
        <is>
          <t>17/03/2026</t>
        </is>
      </c>
      <c r="J18089" t="inlineStr">
        <is>
          <t>Bán hàng / Kinh doanh, Biên phiên dịch, Mới tốt nghiệp / Thực tập</t>
        </is>
      </c>
      <c r="K18089" t="inlineStr">
        <is>
          <t>N/A</t>
        </is>
      </c>
      <c r="L18089" s="8">
        <f>HYPERLINK("https://careerviet.vn/vi/tim-viec-lam/nhan-vien-ban-hang.35C646CB.html","Xem chi tiết")</f>
        <v/>
      </c>
    </row>
    <row r="18090">
      <c r="B18090" s="9" t="n">
        <v>18088</v>
      </c>
      <c r="C18090" s="10" t="inlineStr">
        <is>
          <t>Local Quality Assurance Officer</t>
        </is>
      </c>
      <c r="D18090" s="10" t="inlineStr">
        <is>
          <t>TÜV Rheinland Vietnam</t>
        </is>
      </c>
      <c r="E18090" s="10" t="inlineStr">
        <is>
          <t>Lương:Cạnh tranh</t>
        </is>
      </c>
      <c r="F18090" s="10" t="inlineStr">
        <is>
          <t>Hồ Chí Minh</t>
        </is>
      </c>
      <c r="G18090" s="10" t="inlineStr">
        <is>
          <t>02-04-2026</t>
        </is>
      </c>
      <c r="H18090" s="10" t="inlineStr">
        <is>
          <t>02/04/2026</t>
        </is>
      </c>
      <c r="I18090" s="10" t="inlineStr">
        <is>
          <t>17/03/2026</t>
        </is>
      </c>
      <c r="J18090" s="10" t="inlineStr">
        <is>
          <t>Tư vấn, Luật / Pháp lý, Quản lý chất lượng (QA/QC)</t>
        </is>
      </c>
      <c r="K18090" s="10" t="inlineStr">
        <is>
          <t>5 - 10 Năm</t>
        </is>
      </c>
      <c r="L18090" s="11">
        <f>HYPERLINK("https://careerviet.vn/vi/tim-viec-lam/local-quality-assurance-officer.35C646CD.html","Xem chi tiết")</f>
        <v/>
      </c>
      <c r="M18090" s="10" t="n"/>
    </row>
    <row r="18091">
      <c r="B18091" s="7" t="n">
        <v>18089</v>
      </c>
      <c r="C18091" t="inlineStr">
        <is>
          <t>Kế toán tổng hợp</t>
        </is>
      </c>
      <c r="D18091" t="inlineStr">
        <is>
          <t>Công ty TNHH Bất Động Sản Đầu Tư Thương Mại Hiệp hoà</t>
        </is>
      </c>
      <c r="E18091" t="inlineStr">
        <is>
          <t>Lương:12 Tr - 18 Tr VND</t>
        </is>
      </c>
      <c r="F18091" t="inlineStr">
        <is>
          <t>Bắc Giang</t>
        </is>
      </c>
      <c r="G18091" t="inlineStr">
        <is>
          <t>02-04-2026</t>
        </is>
      </c>
      <c r="H18091" t="inlineStr">
        <is>
          <t>02/04/2026</t>
        </is>
      </c>
      <c r="I18091" t="inlineStr">
        <is>
          <t>17/03/2026</t>
        </is>
      </c>
      <c r="J18091" t="inlineStr">
        <is>
          <t>Kế toán / Kiểm toán</t>
        </is>
      </c>
      <c r="K18091" t="inlineStr">
        <is>
          <t>Trên 3 Năm</t>
        </is>
      </c>
      <c r="L18091" s="8">
        <f>HYPERLINK("https://careerviet.vn/vi/tim-viec-lam/ke-toan-tong-hop.35C671F6.html","Xem chi tiết")</f>
        <v/>
      </c>
    </row>
    <row r="18092">
      <c r="B18092" s="9" t="n">
        <v>18090</v>
      </c>
      <c r="C18092" s="10" t="inlineStr">
        <is>
          <t>Kỹ sư nghiệm thu thanh toán</t>
        </is>
      </c>
      <c r="D18092" s="10" t="inlineStr">
        <is>
          <t>Tổng công ty Xây dựng Trường Sơn</t>
        </is>
      </c>
      <c r="E18092" s="10" t="inlineStr">
        <is>
          <t>Lương:13 Tr - 28 Tr VND</t>
        </is>
      </c>
      <c r="F18092" s="10" t="inlineStr">
        <is>
          <t>Quảng NinhHà NộiBắc Ninh</t>
        </is>
      </c>
      <c r="G18092" s="10" t="inlineStr">
        <is>
          <t>02-04-2026</t>
        </is>
      </c>
      <c r="H18092" s="10" t="inlineStr">
        <is>
          <t>02/04/2026</t>
        </is>
      </c>
      <c r="I18092" s="10" t="inlineStr">
        <is>
          <t>17/03/2026</t>
        </is>
      </c>
      <c r="J18092" s="10" t="inlineStr">
        <is>
          <t>Hành chính / Thư ký, Kiến trúc, Xây dựng</t>
        </is>
      </c>
      <c r="K18092" s="10" t="inlineStr">
        <is>
          <t>N/A</t>
        </is>
      </c>
      <c r="L18092" s="11">
        <f>HYPERLINK("https://careerviet.vn/vi/tim-viec-lam/ky-su-nghiem-thu-thanh-toan.35C646A3.html","Xem chi tiết")</f>
        <v/>
      </c>
      <c r="M18092" s="10" t="n"/>
    </row>
    <row r="18093">
      <c r="B18093" s="7" t="n">
        <v>18091</v>
      </c>
      <c r="C18093" t="inlineStr">
        <is>
          <t>Key Account Executive (Beauty Chains)</t>
        </is>
      </c>
      <c r="D18093" t="inlineStr">
        <is>
          <t>CÔNG TY TNHH MINTHACARE</t>
        </is>
      </c>
      <c r="E18093" t="inlineStr">
        <is>
          <t>Lương:Cạnh tranh</t>
        </is>
      </c>
      <c r="F18093" t="inlineStr">
        <is>
          <t>Hồ Chí Minh</t>
        </is>
      </c>
      <c r="G18093" t="inlineStr">
        <is>
          <t>02-04-2026</t>
        </is>
      </c>
      <c r="H18093" t="inlineStr">
        <is>
          <t>02/04/2026</t>
        </is>
      </c>
      <c r="I18093" t="inlineStr">
        <is>
          <t>17/03/2026</t>
        </is>
      </c>
      <c r="J18093" t="inlineStr">
        <is>
          <t>Bán lẻ / Bán sỉ, Bán hàng / Kinh doanh, Dược phẩm/ Hóa Mỹ Phẩm</t>
        </is>
      </c>
      <c r="K18093" t="inlineStr">
        <is>
          <t>1 - 3 Năm</t>
        </is>
      </c>
      <c r="L18093" s="8">
        <f>HYPERLINK("https://careerviet.vn/vi/tim-viec-lam/key-account-executive-beauty-chains.35C64697.html","Xem chi tiết")</f>
        <v/>
      </c>
    </row>
    <row r="18094">
      <c r="B18094" s="9" t="n">
        <v>18092</v>
      </c>
      <c r="C18094" s="10" t="inlineStr">
        <is>
          <t>Sale Admin</t>
        </is>
      </c>
      <c r="D18094" s="10" t="inlineStr">
        <is>
          <t>CÔNG TY TNHH SẢN XUẤT THIẾT BỊ CÔNG NGHIỆP THIÊN NAM</t>
        </is>
      </c>
      <c r="E18094" s="10" t="inlineStr">
        <is>
          <t>Lương:10 Tr - 15 Tr VND</t>
        </is>
      </c>
      <c r="F18094" s="10" t="inlineStr">
        <is>
          <t>Hồ Chí Minh</t>
        </is>
      </c>
      <c r="G18094" s="10" t="inlineStr">
        <is>
          <t>02-04-2026</t>
        </is>
      </c>
      <c r="H18094" s="10" t="inlineStr">
        <is>
          <t>02/04/2026</t>
        </is>
      </c>
      <c r="I18094" s="10" t="inlineStr">
        <is>
          <t>17/03/2026</t>
        </is>
      </c>
      <c r="J18094" s="10" t="inlineStr">
        <is>
          <t>Bán Hàng Kỹ Thuật, Bán hàng / Kinh doanh, Tư vấn</t>
        </is>
      </c>
      <c r="K18094" s="10" t="inlineStr">
        <is>
          <t>1 - 2 Năm</t>
        </is>
      </c>
      <c r="L18094" s="11">
        <f>HYPERLINK("https://careerviet.vn/vi/tim-viec-lam/sale-admin.35C646A9.html","Xem chi tiết")</f>
        <v/>
      </c>
      <c r="M18094" s="10" t="n"/>
    </row>
    <row r="18095">
      <c r="B18095" s="7" t="n">
        <v>18093</v>
      </c>
      <c r="C18095" t="inlineStr">
        <is>
          <t>Nhân Viên Kỹ Thuật Quá Trình</t>
        </is>
      </c>
      <c r="D18095" t="inlineStr">
        <is>
          <t>Công Ty Cổ Phần Mỹ Phẩm Sài Gòn</t>
        </is>
      </c>
      <c r="E18095" t="inlineStr">
        <is>
          <t>Lương:Cạnh tranh</t>
        </is>
      </c>
      <c r="F18095" t="inlineStr">
        <is>
          <t>Hồ Chí Minh</t>
        </is>
      </c>
      <c r="G18095" t="inlineStr">
        <is>
          <t>02-04-2026</t>
        </is>
      </c>
      <c r="H18095" t="inlineStr">
        <is>
          <t>02/04/2026</t>
        </is>
      </c>
      <c r="I18095" t="inlineStr">
        <is>
          <t>17/03/2026</t>
        </is>
      </c>
      <c r="J18095" t="inlineStr">
        <is>
          <t>Công nghệ thực phẩm / Dinh dưỡng, Dược phẩm/ Hóa Mỹ Phẩm, Hóa học</t>
        </is>
      </c>
      <c r="K18095" t="inlineStr">
        <is>
          <t>1 - 3 Năm</t>
        </is>
      </c>
      <c r="L18095" s="8">
        <f>HYPERLINK("https://careerviet.vn/vi/tim-viec-lam/nhan-vien-ky-thuat-qua-trinh.35C6465E.html","Xem chi tiết")</f>
        <v/>
      </c>
    </row>
    <row r="18096">
      <c r="B18096" s="9" t="n">
        <v>18094</v>
      </c>
      <c r="C18096" s="10" t="inlineStr">
        <is>
          <t>WAREHOUSE PART LEADER</t>
        </is>
      </c>
      <c r="D18096" s="10" t="inlineStr">
        <is>
          <t>CÔNG TY TNHH CS BEARING VIỆT NAM</t>
        </is>
      </c>
      <c r="E18096" s="10" t="inlineStr">
        <is>
          <t>Lương:10 Tr - 18 Tr VND</t>
        </is>
      </c>
      <c r="F18096" s="10" t="inlineStr">
        <is>
          <t>Bà Rịa - Vũng Tàu</t>
        </is>
      </c>
      <c r="G18096" s="10" t="inlineStr">
        <is>
          <t>02-04-2026</t>
        </is>
      </c>
      <c r="H18096" s="10" t="inlineStr">
        <is>
          <t>02/04/2026</t>
        </is>
      </c>
      <c r="I18096" s="10" t="inlineStr">
        <is>
          <t>17/03/2026</t>
        </is>
      </c>
      <c r="J18096" s="10" t="inlineStr">
        <is>
          <t>Vận chuyển / Giao nhận / Kho vận, Thống kê, Sản xuất / Vận hành sản xuất</t>
        </is>
      </c>
      <c r="K18096" s="10" t="inlineStr">
        <is>
          <t>3 - 4 Năm</t>
        </is>
      </c>
      <c r="L18096" s="11">
        <f>HYPERLINK("https://careerviet.vn/vi/tim-viec-lam/warehouse-part-leader.35C67217.html","Xem chi tiết")</f>
        <v/>
      </c>
      <c r="M18096" s="10" t="n"/>
    </row>
    <row r="18097">
      <c r="B18097" s="7" t="n">
        <v>18095</v>
      </c>
      <c r="C18097" t="inlineStr">
        <is>
          <t>ADMIN PHÒNG XÂY DỰNG</t>
        </is>
      </c>
      <c r="D18097" t="inlineStr">
        <is>
          <t>CÔNG TY CỔ PHẦN CHẾ BIẾN THỰC PHẨM HOÀNG SƠN</t>
        </is>
      </c>
      <c r="E18097" t="inlineStr">
        <is>
          <t>Lương:9 Tr - 10 Tr VND</t>
        </is>
      </c>
      <c r="F18097" t="inlineStr">
        <is>
          <t>Bình Dương</t>
        </is>
      </c>
      <c r="G18097" t="inlineStr">
        <is>
          <t>02-04-2026</t>
        </is>
      </c>
      <c r="H18097" t="inlineStr">
        <is>
          <t>02/04/2026</t>
        </is>
      </c>
      <c r="I18097" t="inlineStr">
        <is>
          <t>17/03/2026</t>
        </is>
      </c>
      <c r="J18097" t="inlineStr">
        <is>
          <t>Hành chính / Thư ký, Nhân sự, Xây dựng</t>
        </is>
      </c>
      <c r="K18097" t="inlineStr">
        <is>
          <t>1 - 2 Năm</t>
        </is>
      </c>
      <c r="L18097" s="8">
        <f>HYPERLINK("https://careerviet.vn/vi/tim-viec-lam/admin-phong-xay-dung.35C646AB.html","Xem chi tiết")</f>
        <v/>
      </c>
    </row>
    <row r="18098">
      <c r="B18098" s="9" t="n">
        <v>18096</v>
      </c>
      <c r="C18098" s="10" t="inlineStr">
        <is>
          <t>KỸ SƯ QA/ QC CÔNG TRÌNH</t>
        </is>
      </c>
      <c r="D18098" s="10" t="inlineStr">
        <is>
          <t>CÔNG TY CỔ PHẦN MEGABUILD</t>
        </is>
      </c>
      <c r="E18098" s="10" t="inlineStr">
        <is>
          <t>Lương:Cạnh tranh</t>
        </is>
      </c>
      <c r="F18098" s="10" t="inlineStr">
        <is>
          <t>Hồ Chí Minh</t>
        </is>
      </c>
      <c r="G18098" s="10" t="inlineStr">
        <is>
          <t>02-04-2026</t>
        </is>
      </c>
      <c r="H18098" s="10" t="inlineStr">
        <is>
          <t>02/04/2026</t>
        </is>
      </c>
      <c r="I18098" s="10" t="inlineStr">
        <is>
          <t>17/03/2026</t>
        </is>
      </c>
      <c r="J18098" s="10" t="inlineStr">
        <is>
          <t>Kiến trúc, Xây dựng</t>
        </is>
      </c>
      <c r="K18098" s="10" t="inlineStr">
        <is>
          <t>Trên 2 Năm</t>
        </is>
      </c>
      <c r="L18098" s="11">
        <f>HYPERLINK("https://careerviet.vn/vi/tim-viec-lam/ky-su-qa-qc-cong-trinh.35C671EB.html","Xem chi tiết")</f>
        <v/>
      </c>
      <c r="M18098" s="10" t="n"/>
    </row>
    <row r="18099">
      <c r="B18099" s="7" t="n">
        <v>18097</v>
      </c>
      <c r="C18099" t="inlineStr">
        <is>
          <t>Nhân viên quảng cáo tiếng Nhật</t>
        </is>
      </c>
      <c r="D18099" t="inlineStr">
        <is>
          <t>Công ty TNHH DYM Vietnam</t>
        </is>
      </c>
      <c r="E18099" t="inlineStr">
        <is>
          <t>Lương:Trên 8 Tr VND</t>
        </is>
      </c>
      <c r="F18099" t="inlineStr">
        <is>
          <t>Hồ Chí Minh</t>
        </is>
      </c>
      <c r="G18099" t="inlineStr">
        <is>
          <t>31-03-2026</t>
        </is>
      </c>
      <c r="H18099" t="inlineStr">
        <is>
          <t>31/03/2026</t>
        </is>
      </c>
      <c r="I18099" t="inlineStr">
        <is>
          <t>17/03/2026</t>
        </is>
      </c>
      <c r="J18099" t="inlineStr">
        <is>
          <t>Tiếp thị / Marketing, Hành chính / Thư ký, Biên phiên dịch</t>
        </is>
      </c>
      <c r="K18099" t="inlineStr">
        <is>
          <t>N/A</t>
        </is>
      </c>
      <c r="L18099" s="8">
        <f>HYPERLINK("https://careerviet.vn/vi/tim-viec-lam/nhan-vien-quang-cao-tieng-nhat.35C670A0.html","Xem chi tiết")</f>
        <v/>
      </c>
    </row>
    <row r="18100">
      <c r="B18100" s="9" t="n">
        <v>18098</v>
      </c>
      <c r="C18100" s="10" t="inlineStr">
        <is>
          <t>Content Marketing Executive</t>
        </is>
      </c>
      <c r="D18100" s="10" t="inlineStr">
        <is>
          <t>Công ty Cổ phần Vietsol</t>
        </is>
      </c>
      <c r="E18100" s="10" t="inlineStr">
        <is>
          <t>Lương:15 Tr - 20 Tr VND</t>
        </is>
      </c>
      <c r="F18100" s="10" t="inlineStr">
        <is>
          <t>Hà Nội</t>
        </is>
      </c>
      <c r="G18100" s="10" t="inlineStr">
        <is>
          <t>31-05-2026</t>
        </is>
      </c>
      <c r="H18100" s="10" t="inlineStr">
        <is>
          <t>31/05/2026</t>
        </is>
      </c>
      <c r="I18100" s="10" t="inlineStr">
        <is>
          <t>17/03/2026</t>
        </is>
      </c>
      <c r="J18100" s="10" t="inlineStr">
        <is>
          <t>Tiếp thị / Marketing, Thương mại điện tử</t>
        </is>
      </c>
      <c r="K18100" s="10" t="inlineStr">
        <is>
          <t>2 - 5 Năm</t>
        </is>
      </c>
      <c r="L18100" s="11">
        <f>HYPERLINK("https://careerviet.vn/vi/tim-viec-lam/content-marketing-executive.35C670DE.html","Xem chi tiết")</f>
        <v/>
      </c>
      <c r="M18100" s="10" t="n"/>
    </row>
    <row r="18101">
      <c r="B18101" s="7" t="n">
        <v>18099</v>
      </c>
      <c r="C18101" t="inlineStr">
        <is>
          <t>Medical Trainer</t>
        </is>
      </c>
      <c r="D18101" t="inlineStr">
        <is>
          <t>CÔNG TY TNHH MINTHACARE</t>
        </is>
      </c>
      <c r="E18101" t="inlineStr">
        <is>
          <t>Lương:Cạnh tranh</t>
        </is>
      </c>
      <c r="F18101" t="inlineStr">
        <is>
          <t>Hồ Chí Minh</t>
        </is>
      </c>
      <c r="G18101" t="inlineStr">
        <is>
          <t>02-04-2026</t>
        </is>
      </c>
      <c r="H18101" t="inlineStr">
        <is>
          <t>02/04/2026</t>
        </is>
      </c>
      <c r="I18101" t="inlineStr">
        <is>
          <t>17/03/2026</t>
        </is>
      </c>
      <c r="J18101" t="inlineStr">
        <is>
          <t>Tiếp thị / Marketing, Dược phẩm/ Hóa Mỹ Phẩm, Giáo dục / Đào tạo</t>
        </is>
      </c>
      <c r="K18101" t="inlineStr">
        <is>
          <t>1 - 5 Năm</t>
        </is>
      </c>
      <c r="L18101" s="8">
        <f>HYPERLINK("https://careerviet.vn/vi/tim-viec-lam/medical-trainer.35C646A8.html","Xem chi tiết")</f>
        <v/>
      </c>
    </row>
    <row r="18102">
      <c r="B18102" s="9" t="n">
        <v>18100</v>
      </c>
      <c r="C18102" s="10" t="inlineStr">
        <is>
          <t>Marketing Supporter  (Temporary Contract - 06 months)</t>
        </is>
      </c>
      <c r="D18102" s="10" t="inlineStr">
        <is>
          <t>De Heus LLC</t>
        </is>
      </c>
      <c r="E18102" s="10" t="inlineStr">
        <is>
          <t>Lương:5 Tr - 7 Tr VND</t>
        </is>
      </c>
      <c r="F18102" s="10" t="inlineStr">
        <is>
          <t>Hồ Chí Minh</t>
        </is>
      </c>
      <c r="G18102" s="10" t="inlineStr">
        <is>
          <t>02-04-2026</t>
        </is>
      </c>
      <c r="H18102" s="10" t="inlineStr">
        <is>
          <t>02/04/2026</t>
        </is>
      </c>
      <c r="I18102" s="10" t="inlineStr">
        <is>
          <t>17/03/2026</t>
        </is>
      </c>
      <c r="J18102" s="10" t="inlineStr">
        <is>
          <t>Tiếp thị / Marketing</t>
        </is>
      </c>
      <c r="K18102" s="10" t="inlineStr">
        <is>
          <t>N/A</t>
        </is>
      </c>
      <c r="L18102" s="11">
        <f>HYPERLINK("https://careerviet.vn/vi/tim-viec-lam/marketing-supporter-temporary-contract-06-months.35C646ED.html","Xem chi tiết")</f>
        <v/>
      </c>
      <c r="M18102" s="10" t="n"/>
    </row>
    <row r="18103">
      <c r="B18103" s="7" t="n">
        <v>18101</v>
      </c>
      <c r="C18103" t="inlineStr">
        <is>
          <t>Kỹ sư thiết kế BVTC cầu + kiểm soát khối lượng + hoàn công</t>
        </is>
      </c>
      <c r="D18103" t="inlineStr">
        <is>
          <t>Tổng công ty Xây dựng Trường Sơn</t>
        </is>
      </c>
      <c r="E18103" t="inlineStr">
        <is>
          <t>Lương:12 Tr - 24 Tr VND</t>
        </is>
      </c>
      <c r="F18103" t="inlineStr">
        <is>
          <t>Cà Mau</t>
        </is>
      </c>
      <c r="G18103" t="inlineStr">
        <is>
          <t>02-04-2026</t>
        </is>
      </c>
      <c r="H18103" t="inlineStr">
        <is>
          <t>02/04/2026</t>
        </is>
      </c>
      <c r="I18103" t="inlineStr">
        <is>
          <t>17/03/2026</t>
        </is>
      </c>
      <c r="J18103" t="inlineStr">
        <is>
          <t>Mỹ thuật / Nghệ thuật / Thiết kế, Kiến trúc, Xây dựng</t>
        </is>
      </c>
      <c r="K18103" t="inlineStr">
        <is>
          <t>Trên 1 Năm</t>
        </is>
      </c>
      <c r="L18103" s="8">
        <f>HYPERLINK("https://careerviet.vn/vi/tim-viec-lam/ky-su-thiet-ke-bvtc-cau-kiem-soat-khoi-luong-hoan-cong.35C6469C.html","Xem chi tiết")</f>
        <v/>
      </c>
    </row>
    <row r="18104">
      <c r="B18104" s="9" t="n">
        <v>18102</v>
      </c>
      <c r="C18104" s="10" t="inlineStr">
        <is>
          <t>Trưởng ca Sản xuất (Làm việc tại Gia Lai)</t>
        </is>
      </c>
      <c r="D18104" s="10" t="inlineStr">
        <is>
          <t>Công ty CP Thành Thành Công - Biên Hòa</t>
        </is>
      </c>
      <c r="E18104" s="10" t="inlineStr">
        <is>
          <t>Lương:Cạnh tranh</t>
        </is>
      </c>
      <c r="F18104" s="10" t="inlineStr">
        <is>
          <t>Gia Lai</t>
        </is>
      </c>
      <c r="G18104" s="10" t="inlineStr">
        <is>
          <t>31-03-2026</t>
        </is>
      </c>
      <c r="H18104" s="10" t="inlineStr">
        <is>
          <t>31/03/2026</t>
        </is>
      </c>
      <c r="I18104" s="10" t="inlineStr">
        <is>
          <t>17/03/2026</t>
        </is>
      </c>
      <c r="J18104" s="10" t="inlineStr">
        <is>
          <t>Sản xuất / Vận hành sản xuất</t>
        </is>
      </c>
      <c r="K18104" s="10" t="inlineStr">
        <is>
          <t>1 - 5 Năm</t>
        </is>
      </c>
      <c r="L18104" s="11">
        <f>HYPERLINK("https://careerviet.vn/vi/tim-viec-lam/truong-ca-san-xuat-lam-viec-tai-gia-lai.35C67045.html","Xem chi tiết")</f>
        <v/>
      </c>
      <c r="M18104" s="10" t="n"/>
    </row>
    <row r="18105">
      <c r="B18105" s="7" t="n">
        <v>18103</v>
      </c>
      <c r="C18105" t="inlineStr">
        <is>
          <t>[Hà Nội] CVCC/CVC/CC phân tích dữ liệu - Khối KHDN</t>
        </is>
      </c>
      <c r="D18105" t="inlineStr">
        <is>
          <t>Ngân Hàng TMCP Tiên Phong (TPBank)</t>
        </is>
      </c>
      <c r="E18105" t="inlineStr">
        <is>
          <t>Lương:Cạnh tranh</t>
        </is>
      </c>
      <c r="F18105" t="inlineStr">
        <is>
          <t>Hà Nội</t>
        </is>
      </c>
      <c r="G18105" t="inlineStr">
        <is>
          <t>31-03-2026</t>
        </is>
      </c>
      <c r="H18105" t="inlineStr">
        <is>
          <t>31/03/2026</t>
        </is>
      </c>
      <c r="I18105" t="inlineStr">
        <is>
          <t>17/03/2026</t>
        </is>
      </c>
      <c r="J18105" t="inlineStr">
        <is>
          <t>Ngân hàng, Dịch vụ khách hàng, Tài chính / Đầu tư</t>
        </is>
      </c>
      <c r="K18105" t="inlineStr">
        <is>
          <t>1 - 3 Năm</t>
        </is>
      </c>
      <c r="L18105" s="8">
        <f>HYPERLINK("https://careerviet.vn/vi/tim-viec-lam/ha-noi-cvcc-cvc-cc-phan-tich-du-lieu-khoi-khdn.35C66FEF.html","Xem chi tiết")</f>
        <v/>
      </c>
    </row>
    <row r="18106">
      <c r="B18106" s="9" t="n">
        <v>18104</v>
      </c>
      <c r="C18106" s="10" t="inlineStr">
        <is>
          <t>Nhân Viên Tư Vấn Sản Phẩm Karofi tại Điện Máy Xanh Tiền Giang</t>
        </is>
      </c>
      <c r="D18106" s="10" t="inlineStr">
        <is>
          <t>Tập Đoàn Karofi Holding</t>
        </is>
      </c>
      <c r="E18106" s="10" t="inlineStr">
        <is>
          <t>Lương:8 Tr - 15 Tr VND</t>
        </is>
      </c>
      <c r="F18106" s="10" t="inlineStr">
        <is>
          <t>Tiền Giang</t>
        </is>
      </c>
      <c r="G18106" s="10" t="inlineStr">
        <is>
          <t>31-03-2026</t>
        </is>
      </c>
      <c r="H18106" s="10" t="inlineStr">
        <is>
          <t>31/03/2026</t>
        </is>
      </c>
      <c r="I18106" s="10" t="inlineStr">
        <is>
          <t>17/03/2026</t>
        </is>
      </c>
      <c r="J18106" s="10" t="inlineStr">
        <is>
          <t>Bán hàng / Kinh doanh</t>
        </is>
      </c>
      <c r="K18106" s="10" t="inlineStr">
        <is>
          <t>Trên 6 Năm</t>
        </is>
      </c>
      <c r="L18106" s="11">
        <f>HYPERLINK("https://careerviet.vn/vi/tim-viec-lam/nhan-vien-tu-van-san-pham-karofi-tai-dien-may-xanh-tien-giang.35C64509.html","Xem chi tiết")</f>
        <v/>
      </c>
      <c r="M18106" s="10" t="n"/>
    </row>
    <row r="18107">
      <c r="B18107" s="7" t="n">
        <v>18105</v>
      </c>
      <c r="C18107" t="inlineStr">
        <is>
          <t>Quảng Bình - Phó ban Quản lý Dự án</t>
        </is>
      </c>
      <c r="D18107" t="inlineStr">
        <is>
          <t>CÔNG TY CỔ PHẦN TẬP ĐOÀN ONSEN FUJI</t>
        </is>
      </c>
      <c r="E18107" t="inlineStr">
        <is>
          <t>Lương:25 Tr - 35 Tr VND</t>
        </is>
      </c>
      <c r="F18107" t="inlineStr">
        <is>
          <t>Quảng Bình</t>
        </is>
      </c>
      <c r="G18107" t="inlineStr">
        <is>
          <t>31-03-2026</t>
        </is>
      </c>
      <c r="H18107" t="inlineStr">
        <is>
          <t>31/03/2026</t>
        </is>
      </c>
      <c r="I18107" t="inlineStr">
        <is>
          <t>17/03/2026</t>
        </is>
      </c>
      <c r="J18107" t="inlineStr">
        <is>
          <t>Luật / Pháp lý, Xây dựng, Bất động sản</t>
        </is>
      </c>
      <c r="K18107" t="inlineStr">
        <is>
          <t>5 - 10 Năm</t>
        </is>
      </c>
      <c r="L18107" s="8">
        <f>HYPERLINK("https://careerviet.vn/vi/tim-viec-lam/quang-binh-pho-ban-quan-ly-du-an.35C670F0.html","Xem chi tiết")</f>
        <v/>
      </c>
    </row>
    <row r="18108">
      <c r="B18108" s="9" t="n">
        <v>18106</v>
      </c>
      <c r="C18108" s="10" t="inlineStr">
        <is>
          <t>Quản lý mua hàng</t>
        </is>
      </c>
      <c r="D18108" s="10" t="inlineStr">
        <is>
          <t>CÔNG TY CỔ PHẦN SEAREFICO</t>
        </is>
      </c>
      <c r="E18108" s="10" t="inlineStr">
        <is>
          <t>Lương:Cạnh tranh</t>
        </is>
      </c>
      <c r="F18108" s="10" t="inlineStr">
        <is>
          <t>Hồ Chí Minh</t>
        </is>
      </c>
      <c r="G18108" s="10" t="inlineStr">
        <is>
          <t>31-03-2026</t>
        </is>
      </c>
      <c r="H18108" s="10" t="inlineStr">
        <is>
          <t>31/03/2026</t>
        </is>
      </c>
      <c r="I18108" s="10" t="inlineStr">
        <is>
          <t>17/03/2026</t>
        </is>
      </c>
      <c r="J18108" s="10" t="inlineStr">
        <is>
          <t>Thu mua / Vật tư</t>
        </is>
      </c>
      <c r="K18108" s="10" t="inlineStr">
        <is>
          <t>Trên 5 Năm</t>
        </is>
      </c>
      <c r="L18108" s="11">
        <f>HYPERLINK("https://careerviet.vn/vi/tim-viec-lam/quan-ly-mua-hang.35C6707B.html","Xem chi tiết")</f>
        <v/>
      </c>
      <c r="M18108" s="10" t="n"/>
    </row>
    <row r="18109">
      <c r="B18109" s="7" t="n">
        <v>18107</v>
      </c>
      <c r="C18109" t="inlineStr">
        <is>
          <t>[Trảng Bom] Admin trung tâm kiêm CSKH ( 6 tháng)</t>
        </is>
      </c>
      <c r="D18109" t="inlineStr">
        <is>
          <t>Công Ty Cổ Phần Vacxin Việt Nam</t>
        </is>
      </c>
      <c r="E18109" t="inlineStr">
        <is>
          <t>Lương:Cạnh tranh</t>
        </is>
      </c>
      <c r="F18109" t="inlineStr">
        <is>
          <t>Đồng Nai</t>
        </is>
      </c>
      <c r="G18109" t="inlineStr">
        <is>
          <t>31-03-2026</t>
        </is>
      </c>
      <c r="H18109" t="inlineStr">
        <is>
          <t>31/03/2026</t>
        </is>
      </c>
      <c r="I18109" t="inlineStr">
        <is>
          <t>17/03/2026</t>
        </is>
      </c>
      <c r="J18109" t="inlineStr">
        <is>
          <t>Dịch vụ khách hàng, Hành chính / Thư ký, Kế toán / Kiểm toán</t>
        </is>
      </c>
      <c r="K18109" t="inlineStr">
        <is>
          <t>1 - 3 Năm</t>
        </is>
      </c>
      <c r="L18109" s="8">
        <f>HYPERLINK("https://careerviet.vn/vi/tim-viec-lam/trang-bom-admin-trung-tam-kiem-cskh-6-thang.35C67002.html","Xem chi tiết")</f>
        <v/>
      </c>
    </row>
    <row r="18110">
      <c r="B18110" s="9" t="n">
        <v>18108</v>
      </c>
      <c r="C18110" s="10" t="inlineStr">
        <is>
          <t>Trưởng nhóm Sale</t>
        </is>
      </c>
      <c r="D18110" s="10" t="inlineStr">
        <is>
          <t>TỔNG CÔNG TY CỔ PHẦN THƯƠNG MẠI XÂY DỰNG</t>
        </is>
      </c>
      <c r="E18110" s="10" t="inlineStr">
        <is>
          <t>Lương:20 Tr - 30 Tr VND</t>
        </is>
      </c>
      <c r="F18110" s="10" t="inlineStr">
        <is>
          <t>Hà Nội</t>
        </is>
      </c>
      <c r="G18110" s="10" t="inlineStr">
        <is>
          <t>31-03-2026</t>
        </is>
      </c>
      <c r="H18110" s="10" t="inlineStr">
        <is>
          <t>31/03/2026</t>
        </is>
      </c>
      <c r="I18110" s="10" t="inlineStr">
        <is>
          <t>17/03/2026</t>
        </is>
      </c>
      <c r="J18110" s="10" t="inlineStr">
        <is>
          <t>Tư vấn, Dịch vụ khách hàng, Bán hàng / Kinh doanh</t>
        </is>
      </c>
      <c r="K18110" s="10" t="inlineStr">
        <is>
          <t>2 - 5 Năm</t>
        </is>
      </c>
      <c r="L18110" s="11">
        <f>HYPERLINK("https://careerviet.vn/vi/tim-viec-lam/truong-nhom-sale.35C66F66.html","Xem chi tiết")</f>
        <v/>
      </c>
      <c r="M18110" s="10" t="n"/>
    </row>
    <row r="18111">
      <c r="B18111" s="7" t="n">
        <v>18109</v>
      </c>
      <c r="C18111" t="inlineStr">
        <is>
          <t>Đội phó + Trưởng ca + Nhân viên bảo vệ</t>
        </is>
      </c>
      <c r="D18111" t="inlineStr">
        <is>
          <t>Visingpack Packing Industries Ltd.</t>
        </is>
      </c>
      <c r="E18111" t="inlineStr">
        <is>
          <t>Lương:Cạnh tranh</t>
        </is>
      </c>
      <c r="F18111" t="inlineStr">
        <is>
          <t>Hồ Chí Minh</t>
        </is>
      </c>
      <c r="G18111" t="inlineStr">
        <is>
          <t>31-03-2026</t>
        </is>
      </c>
      <c r="H18111" t="inlineStr">
        <is>
          <t>31/03/2026</t>
        </is>
      </c>
      <c r="I18111" t="inlineStr">
        <is>
          <t>17/03/2026</t>
        </is>
      </c>
      <c r="J18111" t="inlineStr">
        <is>
          <t>Lao động phổ thông, An Ninh / Bảo Vệ, Sản xuất / Vận hành sản xuất</t>
        </is>
      </c>
      <c r="K18111" t="inlineStr">
        <is>
          <t>1 - 5 Năm</t>
        </is>
      </c>
      <c r="L18111" s="8">
        <f>HYPERLINK("https://careerviet.vn/vi/tim-viec-lam/doi-pho-truong-ca-nhan-vien-bao-ve.35C6448A.html","Xem chi tiết")</f>
        <v/>
      </c>
    </row>
    <row r="18112">
      <c r="B18112" s="9" t="n">
        <v>18110</v>
      </c>
      <c r="C18112" s="10" t="inlineStr">
        <is>
          <t>Lễ Tân – Tư Vấn</t>
        </is>
      </c>
      <c r="D18112" s="10" t="inlineStr">
        <is>
          <t>CÔNG TY CỔ PHẦN BADAN</t>
        </is>
      </c>
      <c r="E18112" s="10" t="inlineStr">
        <is>
          <t>Lương:15 Tr - 20 Tr VND</t>
        </is>
      </c>
      <c r="F18112" s="10" t="inlineStr">
        <is>
          <t>Hà Nội</t>
        </is>
      </c>
      <c r="G18112" s="10" t="inlineStr">
        <is>
          <t>31-03-2026</t>
        </is>
      </c>
      <c r="H18112" s="10" t="inlineStr">
        <is>
          <t>31/03/2026</t>
        </is>
      </c>
      <c r="I18112" s="10" t="inlineStr">
        <is>
          <t>17/03/2026</t>
        </is>
      </c>
      <c r="J18112" s="10" t="inlineStr">
        <is>
          <t>Hành chính / Thư ký, Nhân sự, Y tế / Chăm sóc sức khỏe / Thẩm mỹ / Làm đẹp</t>
        </is>
      </c>
      <c r="K18112" s="10" t="inlineStr">
        <is>
          <t>Trên 1 Năm</t>
        </is>
      </c>
      <c r="L18112" s="11">
        <f>HYPERLINK("https://careerviet.vn/vi/tim-viec-lam/le-tan-tu-van.35C645FD.html","Xem chi tiết")</f>
        <v/>
      </c>
      <c r="M18112" s="10" t="n"/>
    </row>
    <row r="18113">
      <c r="B18113" s="7" t="n">
        <v>18111</v>
      </c>
      <c r="C18113" t="inlineStr">
        <is>
          <t>Quality Manager</t>
        </is>
      </c>
      <c r="D18113" t="inlineStr">
        <is>
          <t>VINFAST TRADING AND PRODUCTION JSC</t>
        </is>
      </c>
      <c r="E18113" t="inlineStr">
        <is>
          <t>Lương:Cạnh tranh</t>
        </is>
      </c>
      <c r="F18113" t="inlineStr">
        <is>
          <t>Hà Tĩnh</t>
        </is>
      </c>
      <c r="G18113" t="inlineStr">
        <is>
          <t>02-04-2026</t>
        </is>
      </c>
      <c r="H18113" t="inlineStr">
        <is>
          <t>02/04/2026</t>
        </is>
      </c>
      <c r="I18113" t="inlineStr">
        <is>
          <t>17/03/2026</t>
        </is>
      </c>
      <c r="J18113" t="inlineStr">
        <is>
          <t>Quản lý chất lượng (QA/QC)</t>
        </is>
      </c>
      <c r="K18113" t="inlineStr">
        <is>
          <t>5 - 7 Năm</t>
        </is>
      </c>
      <c r="L18113" s="8">
        <f>HYPERLINK("https://careerviet.vn/vi/tim-viec-lam/quality-manager.35C671F7.html","Xem chi tiết")</f>
        <v/>
      </c>
    </row>
    <row r="18114">
      <c r="B18114" s="9" t="n">
        <v>18112</v>
      </c>
      <c r="C18114" s="10" t="inlineStr">
        <is>
          <t>Nhân Viên Livestream</t>
        </is>
      </c>
      <c r="D18114" s="10" t="inlineStr">
        <is>
          <t>Tập Đoàn Karofi Holding</t>
        </is>
      </c>
      <c r="E18114" s="10" t="inlineStr">
        <is>
          <t>Lương:11 Tr - 16 Tr VND</t>
        </is>
      </c>
      <c r="F18114" s="10" t="inlineStr">
        <is>
          <t>Hà Nội</t>
        </is>
      </c>
      <c r="G18114" s="10" t="inlineStr">
        <is>
          <t>31-03-2026</t>
        </is>
      </c>
      <c r="H18114" s="10" t="inlineStr">
        <is>
          <t>31/03/2026</t>
        </is>
      </c>
      <c r="I18114" s="10" t="inlineStr">
        <is>
          <t>17/03/2026</t>
        </is>
      </c>
      <c r="J18114" s="10" t="inlineStr">
        <is>
          <t>Quảng cáo / Đối ngoại / Truyền Thông</t>
        </is>
      </c>
      <c r="K18114" s="10" t="inlineStr">
        <is>
          <t>1 - 2 Năm</t>
        </is>
      </c>
      <c r="L18114" s="11">
        <f>HYPERLINK("https://careerviet.vn/vi/tim-viec-lam/nhan-vien-livestream.35C64502.html","Xem chi tiết")</f>
        <v/>
      </c>
      <c r="M18114" s="10" t="n"/>
    </row>
    <row r="18115">
      <c r="B18115" s="7" t="n">
        <v>18113</v>
      </c>
      <c r="C18115" t="inlineStr">
        <is>
          <t>Assistant Marketing Manager</t>
        </is>
      </c>
      <c r="D18115" t="inlineStr">
        <is>
          <t>Công ty TNHH AB Mauri Viet Nam</t>
        </is>
      </c>
      <c r="E18115" t="inlineStr">
        <is>
          <t>Lương:Cạnh tranh</t>
        </is>
      </c>
      <c r="F18115" t="inlineStr">
        <is>
          <t>Hồ Chí Minh</t>
        </is>
      </c>
      <c r="G18115" t="inlineStr">
        <is>
          <t>31-03-2026</t>
        </is>
      </c>
      <c r="H18115" t="inlineStr">
        <is>
          <t>31/03/2026</t>
        </is>
      </c>
      <c r="I18115" t="inlineStr">
        <is>
          <t>17/03/2026</t>
        </is>
      </c>
      <c r="J18115" t="inlineStr">
        <is>
          <t>Tiếp thị / Marketing, Thực phẩm &amp; Đồ uống, Công nghệ thực phẩm / Dinh dưỡng</t>
        </is>
      </c>
      <c r="K18115" t="inlineStr">
        <is>
          <t>3 - 5 Năm</t>
        </is>
      </c>
      <c r="L18115" s="8">
        <f>HYPERLINK("https://careerviet.vn/vi/tim-viec-lam/assistant-marketing-manager.35C6703F.html","Xem chi tiết")</f>
        <v/>
      </c>
    </row>
    <row r="18116">
      <c r="B18116" s="9" t="n">
        <v>18114</v>
      </c>
      <c r="C18116" s="10" t="inlineStr">
        <is>
          <t>Nhân Viên Tư Vấn Sản Phẩm Karofi tại Điện Máy Xanh Hậu Giang</t>
        </is>
      </c>
      <c r="D18116" s="10" t="inlineStr">
        <is>
          <t>Tập Đoàn Karofi Holding</t>
        </is>
      </c>
      <c r="E18116" s="10" t="inlineStr">
        <is>
          <t>Lương:8 Tr - 15 Tr VND</t>
        </is>
      </c>
      <c r="F18116" s="10" t="inlineStr">
        <is>
          <t>Hậu Giang</t>
        </is>
      </c>
      <c r="G18116" s="10" t="inlineStr">
        <is>
          <t>31-03-2026</t>
        </is>
      </c>
      <c r="H18116" s="10" t="inlineStr">
        <is>
          <t>31/03/2026</t>
        </is>
      </c>
      <c r="I18116" s="10" t="inlineStr">
        <is>
          <t>17/03/2026</t>
        </is>
      </c>
      <c r="J18116" s="10" t="inlineStr">
        <is>
          <t>Bán hàng / Kinh doanh</t>
        </is>
      </c>
      <c r="K18116" s="10" t="inlineStr">
        <is>
          <t>Trên 6 Năm</t>
        </is>
      </c>
      <c r="L18116" s="11">
        <f>HYPERLINK("https://careerviet.vn/vi/tim-viec-lam/nhan-vien-tu-van-san-pham-karofi-tai-dien-may-xanh-hau-giang.35C6450C.html","Xem chi tiết")</f>
        <v/>
      </c>
      <c r="M18116" s="10" t="n"/>
    </row>
    <row r="18117">
      <c r="B18117" s="7" t="n">
        <v>18115</v>
      </c>
      <c r="C18117" t="inlineStr">
        <is>
          <t>Nhân Viên Kho</t>
        </is>
      </c>
      <c r="D18117" t="inlineStr">
        <is>
          <t>CÔNG TY TNHH HỒNG QUYÊN</t>
        </is>
      </c>
      <c r="E18117" t="inlineStr">
        <is>
          <t>Lương:12 Tr - 15 Tr VND</t>
        </is>
      </c>
      <c r="F18117" t="inlineStr">
        <is>
          <t>Hà Nội</t>
        </is>
      </c>
      <c r="G18117" t="inlineStr">
        <is>
          <t>31-03-2026</t>
        </is>
      </c>
      <c r="H18117" t="inlineStr">
        <is>
          <t>31/03/2026</t>
        </is>
      </c>
      <c r="I18117" t="inlineStr">
        <is>
          <t>17/03/2026</t>
        </is>
      </c>
      <c r="J18117" t="inlineStr">
        <is>
          <t>Vận chuyển / Giao nhận / Kho vận, Kế toán / Kiểm toán, Xuất nhập khẩu</t>
        </is>
      </c>
      <c r="K18117" t="inlineStr">
        <is>
          <t>Trên 1 Năm</t>
        </is>
      </c>
      <c r="L18117" s="8">
        <f>HYPERLINK("https://careerviet.vn/vi/tim-viec-lam/nhan-vien-kho.35C66FF3.html","Xem chi tiết")</f>
        <v/>
      </c>
    </row>
    <row r="18118">
      <c r="B18118" s="9" t="n">
        <v>18116</v>
      </c>
      <c r="C18118" s="10" t="inlineStr">
        <is>
          <t>Giám Sát Xây Dựng - Làm Việc Tại Trung Quốc</t>
        </is>
      </c>
      <c r="D18118" s="10" t="inlineStr">
        <is>
          <t>VIET UC SEAFOOD CORPORATION</t>
        </is>
      </c>
      <c r="E18118" s="10" t="inlineStr">
        <is>
          <t>Lương:30 Tr - 40 Tr VND</t>
        </is>
      </c>
      <c r="F18118" s="10" t="inlineStr">
        <is>
          <t>Quốc tế</t>
        </is>
      </c>
      <c r="G18118" s="10" t="inlineStr">
        <is>
          <t>31-03-2026</t>
        </is>
      </c>
      <c r="H18118" s="10" t="inlineStr">
        <is>
          <t>31/03/2026</t>
        </is>
      </c>
      <c r="I18118" s="10" t="inlineStr">
        <is>
          <t>17/03/2026</t>
        </is>
      </c>
      <c r="J18118" s="10" t="inlineStr">
        <is>
          <t>Xây dựng</t>
        </is>
      </c>
      <c r="K18118" s="10" t="inlineStr">
        <is>
          <t>5 - 10 Năm</t>
        </is>
      </c>
      <c r="L18118" s="11">
        <f>HYPERLINK("https://careerviet.vn/vi/tim-viec-lam/giam-sat-xay-dung-lam-viec-tai-trung-quoc.35C66FE2.html","Xem chi tiết")</f>
        <v/>
      </c>
      <c r="M18118" s="10" t="n"/>
    </row>
    <row r="18119">
      <c r="B18119" s="7" t="n">
        <v>18117</v>
      </c>
      <c r="C18119" t="inlineStr">
        <is>
          <t>Kỹ Sư Shop Drawing</t>
        </is>
      </c>
      <c r="D18119" t="inlineStr">
        <is>
          <t>CÔNG TY TNHH KIẾN TRÚC - NỘI THẤT NAM ANH</t>
        </is>
      </c>
      <c r="E18119" t="inlineStr">
        <is>
          <t>Lương:Cạnh tranh</t>
        </is>
      </c>
      <c r="F18119" t="inlineStr">
        <is>
          <t>Hà Nội</t>
        </is>
      </c>
      <c r="G18119" t="inlineStr">
        <is>
          <t>31-03-2026</t>
        </is>
      </c>
      <c r="H18119" t="inlineStr">
        <is>
          <t>31/03/2026</t>
        </is>
      </c>
      <c r="I18119" t="inlineStr">
        <is>
          <t>17/03/2026</t>
        </is>
      </c>
      <c r="J18119" t="inlineStr">
        <is>
          <t>Mỹ thuật / Nghệ thuật / Thiết kế, Xây dựng, Nội ngoại thất</t>
        </is>
      </c>
      <c r="K18119" t="inlineStr">
        <is>
          <t>3 - 5 Năm</t>
        </is>
      </c>
      <c r="L18119" s="8">
        <f>HYPERLINK("https://careerviet.vn/vi/tim-viec-lam/ky-su-shop-drawing.35C644B1.html","Xem chi tiết")</f>
        <v/>
      </c>
    </row>
    <row r="18120">
      <c r="B18120" s="9" t="n">
        <v>18118</v>
      </c>
      <c r="C18120" s="10" t="inlineStr">
        <is>
          <t>Nhân viên cơ điện-Hà Nội</t>
        </is>
      </c>
      <c r="D18120" s="10" t="inlineStr">
        <is>
          <t>Công Ty Cổ Phần Thép Việt Xô Hà Nội</t>
        </is>
      </c>
      <c r="E18120" s="10" t="inlineStr">
        <is>
          <t>Lương:10 Tr - 12 Tr VND</t>
        </is>
      </c>
      <c r="F18120" s="10" t="inlineStr">
        <is>
          <t>Hà Nội</t>
        </is>
      </c>
      <c r="G18120" s="10" t="inlineStr">
        <is>
          <t>31-03-2026</t>
        </is>
      </c>
      <c r="H18120" s="10" t="inlineStr">
        <is>
          <t>31/03/2026</t>
        </is>
      </c>
      <c r="I18120" s="10" t="inlineStr">
        <is>
          <t>17/03/2026</t>
        </is>
      </c>
      <c r="J18120" s="10" t="inlineStr">
        <is>
          <t>Bảo trì / Sửa chữa</t>
        </is>
      </c>
      <c r="K18120" s="10" t="inlineStr">
        <is>
          <t>1 - 2 Năm</t>
        </is>
      </c>
      <c r="L18120" s="11">
        <f>HYPERLINK("https://careerviet.vn/vi/tim-viec-lam/nhan-vien-co-dien-ha-noi.35C644E7.html","Xem chi tiết")</f>
        <v/>
      </c>
      <c r="M18120" s="10" t="n"/>
    </row>
    <row r="18121">
      <c r="B18121" s="7" t="n">
        <v>18119</v>
      </c>
      <c r="C18121" t="inlineStr">
        <is>
          <t>Chuyên Viên Khách Hàng Cá Nhân Khu Vực Tp.Hồ Chí Minh</t>
        </is>
      </c>
      <c r="D18121" t="inlineStr">
        <is>
          <t>Ngân hàng TMCP Đại Chúng Việt Nam - PVcomBank</t>
        </is>
      </c>
      <c r="E18121" t="inlineStr">
        <is>
          <t>Lương:Cạnh tranh</t>
        </is>
      </c>
      <c r="F18121" t="inlineStr">
        <is>
          <t>Hồ Chí MinhKV Đông Nam Bộ</t>
        </is>
      </c>
      <c r="G18121" t="inlineStr">
        <is>
          <t>31-03-2026</t>
        </is>
      </c>
      <c r="H18121" t="inlineStr">
        <is>
          <t>31/03/2026</t>
        </is>
      </c>
      <c r="I18121" t="inlineStr">
        <is>
          <t>17/03/2026</t>
        </is>
      </c>
      <c r="J18121" t="inlineStr">
        <is>
          <t>Ngân hàng, Tài chính / Đầu tư</t>
        </is>
      </c>
      <c r="K18121" t="inlineStr">
        <is>
          <t>1 - 2 Năm</t>
        </is>
      </c>
      <c r="L18121" s="8">
        <f>HYPERLINK("https://careerviet.vn/vi/tim-viec-lam/chuyen-vien-khach-hang-ca-nhan-khu-vuc-tp-ho-chi-minh.35C64574.html","Xem chi tiết")</f>
        <v/>
      </c>
    </row>
    <row r="18122">
      <c r="B18122" s="9" t="n">
        <v>18120</v>
      </c>
      <c r="C18122" s="10" t="inlineStr">
        <is>
          <t>Chuyên viên kiểm soát chất lượng ( QC)</t>
        </is>
      </c>
      <c r="D18122" s="10" t="inlineStr">
        <is>
          <t>TỔNG CÔNG TY CỔ PHẦN THƯƠNG MẠI XÂY DỰNG</t>
        </is>
      </c>
      <c r="E18122" s="10" t="inlineStr">
        <is>
          <t>Lương:13 Tr - 15 Tr VND</t>
        </is>
      </c>
      <c r="F18122" s="10" t="inlineStr">
        <is>
          <t>Hà Nội</t>
        </is>
      </c>
      <c r="G18122" s="10" t="inlineStr">
        <is>
          <t>31-03-2026</t>
        </is>
      </c>
      <c r="H18122" s="10" t="inlineStr">
        <is>
          <t>31/03/2026</t>
        </is>
      </c>
      <c r="I18122" s="10" t="inlineStr">
        <is>
          <t>17/03/2026</t>
        </is>
      </c>
      <c r="J18122" s="10" t="inlineStr">
        <is>
          <t>Quản lý chất lượng (QA/QC), Công nghệ sinh học, Công nghệ thực phẩm / Dinh dưỡng</t>
        </is>
      </c>
      <c r="K18122" s="10" t="inlineStr">
        <is>
          <t>1 - 2 Năm</t>
        </is>
      </c>
      <c r="L18122" s="11">
        <f>HYPERLINK("https://careerviet.vn/vi/tim-viec-lam/chuyen-vien-kiem-soat-chat-luong-qc.35C67118.html","Xem chi tiết")</f>
        <v/>
      </c>
      <c r="M18122" s="10" t="n"/>
    </row>
    <row r="18123">
      <c r="B18123" s="7" t="n">
        <v>18121</v>
      </c>
      <c r="C18123" t="inlineStr">
        <is>
          <t>Nhân Viên Kế Toán Thuế</t>
        </is>
      </c>
      <c r="D18123" t="inlineStr">
        <is>
          <t>Công ty TNHH SX-TM-DV Qui Phúc</t>
        </is>
      </c>
      <c r="E18123" t="inlineStr">
        <is>
          <t>Lương:Cạnh tranh</t>
        </is>
      </c>
      <c r="F18123" t="inlineStr">
        <is>
          <t>Hồ Chí Minh</t>
        </is>
      </c>
      <c r="G18123" t="inlineStr">
        <is>
          <t>31-03-2026</t>
        </is>
      </c>
      <c r="H18123" t="inlineStr">
        <is>
          <t>31/03/2026</t>
        </is>
      </c>
      <c r="I18123" t="inlineStr">
        <is>
          <t>17/03/2026</t>
        </is>
      </c>
      <c r="J18123" t="inlineStr">
        <is>
          <t>Nhân sự, Kế toán / Kiểm toán, Ngân hàng</t>
        </is>
      </c>
      <c r="K18123" t="inlineStr">
        <is>
          <t>3 - 5 Năm</t>
        </is>
      </c>
      <c r="L18123" s="8">
        <f>HYPERLINK("https://careerviet.vn/vi/tim-viec-lam/nhan-vien-ke-toan-thue.35C645FF.html","Xem chi tiết")</f>
        <v/>
      </c>
    </row>
    <row r="18124">
      <c r="B18124" s="9" t="n">
        <v>18122</v>
      </c>
      <c r="C18124" s="10" t="inlineStr">
        <is>
          <t>Kỹ Sư Cơ Điện</t>
        </is>
      </c>
      <c r="D18124" s="10" t="inlineStr">
        <is>
          <t>Công Ty Cổ Phần Thương Mại và Xây Lắp Cơ Điện Probuild</t>
        </is>
      </c>
      <c r="E18124" s="10" t="inlineStr">
        <is>
          <t>Lương:15 Tr - 40 Tr VND</t>
        </is>
      </c>
      <c r="F18124" s="10" t="inlineStr">
        <is>
          <t>Hà Nội</t>
        </is>
      </c>
      <c r="G18124" s="10" t="inlineStr">
        <is>
          <t>30-04-2026</t>
        </is>
      </c>
      <c r="H18124" s="10" t="inlineStr">
        <is>
          <t>30/04/2026</t>
        </is>
      </c>
      <c r="I18124" s="10" t="inlineStr">
        <is>
          <t>17/03/2026</t>
        </is>
      </c>
      <c r="J18124" s="10" t="inlineStr">
        <is>
          <t>Cơ khí / Ô tô / Tự động hóa, Điện / Điện tử / Điện lạnh / Điện công nghiệp, Bảo trì / Sửa chữa</t>
        </is>
      </c>
      <c r="K18124" s="10" t="inlineStr">
        <is>
          <t>Lên đến 1 Năm</t>
        </is>
      </c>
      <c r="L18124" s="11">
        <f>HYPERLINK("https://careerviet.vn/vi/tim-viec-lam/ky-su-co-dien.35C670AC.html","Xem chi tiết")</f>
        <v/>
      </c>
      <c r="M18124" s="10" t="n"/>
    </row>
    <row r="18125">
      <c r="B18125" s="7" t="n">
        <v>18123</v>
      </c>
      <c r="C18125" t="inlineStr">
        <is>
          <t>Nhân Viên IE Cải Tiến &amp; Tối Ưu Hóa</t>
        </is>
      </c>
      <c r="D18125" t="inlineStr">
        <is>
          <t>CÔNG TY CỔ PHẦN SẢN XUẤT &amp; XUẤT NHẬP KHẨU HAT+</t>
        </is>
      </c>
      <c r="E18125" t="inlineStr">
        <is>
          <t>Lương:10 Tr - 15 Tr VND</t>
        </is>
      </c>
      <c r="F18125" t="inlineStr">
        <is>
          <t>Hà Nội</t>
        </is>
      </c>
      <c r="G18125" t="inlineStr">
        <is>
          <t>31-03-2026</t>
        </is>
      </c>
      <c r="H18125" t="inlineStr">
        <is>
          <t>31/03/2026</t>
        </is>
      </c>
      <c r="I18125" t="inlineStr">
        <is>
          <t>17/03/2026</t>
        </is>
      </c>
      <c r="J18125" t="inlineStr">
        <is>
          <t>Sản xuất / Vận hành sản xuất, Dệt may / Da giày / Thời trang</t>
        </is>
      </c>
      <c r="K18125" t="inlineStr">
        <is>
          <t>2 - 3 Năm</t>
        </is>
      </c>
      <c r="L18125" s="8">
        <f>HYPERLINK("https://careerviet.vn/vi/tim-viec-lam/nhan-vien-ie-cai-tien-toi-uu-hoa.35C644E1.html","Xem chi tiết")</f>
        <v/>
      </c>
    </row>
    <row r="18126">
      <c r="B18126" s="9" t="n">
        <v>18124</v>
      </c>
      <c r="C18126" s="10" t="inlineStr">
        <is>
          <t>Nhân Viên Tư Vấn Sản Phẩm Karofi tại Điện Máy Xanh Long An</t>
        </is>
      </c>
      <c r="D18126" s="10" t="inlineStr">
        <is>
          <t>Tập Đoàn Karofi Holding</t>
        </is>
      </c>
      <c r="E18126" s="10" t="inlineStr">
        <is>
          <t>Lương:8 Tr - 15 Tr VND</t>
        </is>
      </c>
      <c r="F18126" s="10" t="inlineStr">
        <is>
          <t>Long An</t>
        </is>
      </c>
      <c r="G18126" s="10" t="inlineStr">
        <is>
          <t>31-03-2026</t>
        </is>
      </c>
      <c r="H18126" s="10" t="inlineStr">
        <is>
          <t>31/03/2026</t>
        </is>
      </c>
      <c r="I18126" s="10" t="inlineStr">
        <is>
          <t>17/03/2026</t>
        </is>
      </c>
      <c r="J18126" s="10" t="inlineStr">
        <is>
          <t>Bán hàng / Kinh doanh</t>
        </is>
      </c>
      <c r="K18126" s="10" t="inlineStr">
        <is>
          <t>Trên 6 Năm</t>
        </is>
      </c>
      <c r="L18126" s="11">
        <f>HYPERLINK("https://careerviet.vn/vi/tim-viec-lam/nhan-vien-tu-van-san-pham-karofi-tai-dien-may-xanh-long-an.35C64508.html","Xem chi tiết")</f>
        <v/>
      </c>
      <c r="M18126" s="10" t="n"/>
    </row>
    <row r="18127">
      <c r="B18127" s="7" t="n">
        <v>18125</v>
      </c>
      <c r="C18127" t="inlineStr">
        <is>
          <t>[QUẢNG BÌNH] TRƯỞNG BỘ PHẬN QS</t>
        </is>
      </c>
      <c r="D18127" t="inlineStr">
        <is>
          <t>Tổng công ty Xây dựng số 1 – CTCP</t>
        </is>
      </c>
      <c r="E18127" t="inlineStr">
        <is>
          <t>Lương:Cạnh tranh</t>
        </is>
      </c>
      <c r="F18127" t="inlineStr">
        <is>
          <t>Quảng Bình</t>
        </is>
      </c>
      <c r="G18127" t="inlineStr">
        <is>
          <t>31-03-2026</t>
        </is>
      </c>
      <c r="H18127" t="inlineStr">
        <is>
          <t>31/03/2026</t>
        </is>
      </c>
      <c r="I18127" t="inlineStr">
        <is>
          <t>17/03/2026</t>
        </is>
      </c>
      <c r="J18127" t="inlineStr">
        <is>
          <t>Xây dựng</t>
        </is>
      </c>
      <c r="K18127" t="inlineStr">
        <is>
          <t>Trên 5 Năm</t>
        </is>
      </c>
      <c r="L18127" s="8">
        <f>HYPERLINK("https://careerviet.vn/vi/tim-viec-lam/quang-binh-truong-bo-phan-qs.35C67025.html","Xem chi tiết")</f>
        <v/>
      </c>
    </row>
    <row r="18128">
      <c r="B18128" s="9" t="n">
        <v>18126</v>
      </c>
      <c r="C18128" s="10" t="inlineStr">
        <is>
          <t>[ Cần Thơ] Giám Sát Kinh Doanh Bán Hàng Trực Tiếp</t>
        </is>
      </c>
      <c r="D18128" s="10" t="inlineStr">
        <is>
          <t>Công Ty Tài Chính Mirae Asset (Việt Nam)</t>
        </is>
      </c>
      <c r="E18128" s="10" t="inlineStr">
        <is>
          <t>Lương:Cạnh tranh</t>
        </is>
      </c>
      <c r="F18128" s="10" t="inlineStr">
        <is>
          <t>Lào CaiKV Bắc Trung BộĐiện Biên</t>
        </is>
      </c>
      <c r="G18128" s="10" t="inlineStr">
        <is>
          <t>31-03-2026</t>
        </is>
      </c>
      <c r="H18128" s="10" t="inlineStr">
        <is>
          <t>31/03/2026</t>
        </is>
      </c>
      <c r="I18128" s="10" t="inlineStr">
        <is>
          <t>17/03/2026</t>
        </is>
      </c>
      <c r="J18128" s="10" t="inlineStr">
        <is>
          <t>Bán hàng / Kinh doanh, Tài chính / Đầu tư, Dịch vụ khách hàng</t>
        </is>
      </c>
      <c r="K18128" s="10" t="inlineStr">
        <is>
          <t>2 - 3 Năm</t>
        </is>
      </c>
      <c r="L18128" s="11">
        <f>HYPERLINK("https://careerviet.vn/vi/tim-viec-lam/can-tho-giam-sat-kinh-doanh-ban-hang-truc-tiep.35C6715A.html","Xem chi tiết")</f>
        <v/>
      </c>
      <c r="M18128" s="10" t="n"/>
    </row>
    <row r="18129">
      <c r="B18129" s="7" t="n">
        <v>18127</v>
      </c>
      <c r="C18129" t="inlineStr">
        <is>
          <t>Kế Toán Trưởng</t>
        </is>
      </c>
      <c r="D18129" t="inlineStr">
        <is>
          <t>HỆ THỐNG VƯỜN TÙNG TOÀN JP</t>
        </is>
      </c>
      <c r="E18129" t="inlineStr">
        <is>
          <t>Lương:Trên 20 Tr VND</t>
        </is>
      </c>
      <c r="F18129" t="inlineStr">
        <is>
          <t>Hà Nội</t>
        </is>
      </c>
      <c r="G18129" t="inlineStr">
        <is>
          <t>31-03-2026</t>
        </is>
      </c>
      <c r="H18129" t="inlineStr">
        <is>
          <t>31/03/2026</t>
        </is>
      </c>
      <c r="I18129" t="inlineStr">
        <is>
          <t>17/03/2026</t>
        </is>
      </c>
      <c r="J18129" t="inlineStr">
        <is>
          <t>Quản lý điều hành, Kế toán / Kiểm toán, Tài chính / Đầu tư</t>
        </is>
      </c>
      <c r="K18129" t="inlineStr">
        <is>
          <t>3 - 5 Năm</t>
        </is>
      </c>
      <c r="L18129" s="8">
        <f>HYPERLINK("https://careerviet.vn/vi/tim-viec-lam/ke-toan-truong.35C67151.html","Xem chi tiết")</f>
        <v/>
      </c>
    </row>
    <row r="18130">
      <c r="B18130" s="9" t="n">
        <v>18128</v>
      </c>
      <c r="C18130" s="10" t="inlineStr">
        <is>
          <t>LẬP TRÌNH GAME - GAME DEVELOPERS</t>
        </is>
      </c>
      <c r="D18130" s="10" t="inlineStr">
        <is>
          <t>Koei Tecmo Software Vietnam</t>
        </is>
      </c>
      <c r="E18130" s="10" t="inlineStr">
        <is>
          <t>Lương:Cạnh tranh</t>
        </is>
      </c>
      <c r="F18130" s="10" t="inlineStr">
        <is>
          <t>Hà Nội</t>
        </is>
      </c>
      <c r="G18130" s="10" t="inlineStr">
        <is>
          <t>31-03-2026</t>
        </is>
      </c>
      <c r="H18130" s="10" t="inlineStr">
        <is>
          <t>31/03/2026</t>
        </is>
      </c>
      <c r="I18130" s="10" t="inlineStr">
        <is>
          <t>17/03/2026</t>
        </is>
      </c>
      <c r="J18130" s="10" t="inlineStr">
        <is>
          <t>Bưu chính viễn thông, CNTT - Phần cứng / Mạng, CNTT - Phần mềm</t>
        </is>
      </c>
      <c r="K18130" s="10" t="inlineStr">
        <is>
          <t>Chưa có kinh nghiệm</t>
        </is>
      </c>
      <c r="L18130" s="11">
        <f>HYPERLINK("https://careerviet.vn/vi/tim-viec-lam/lap-trinh-game-game-developers.35C66FBB.html","Xem chi tiết")</f>
        <v/>
      </c>
      <c r="M18130" s="10" t="n"/>
    </row>
    <row r="18131">
      <c r="B18131" s="7" t="n">
        <v>18129</v>
      </c>
      <c r="C18131" t="inlineStr">
        <is>
          <t>Kế toán tổng hợp</t>
        </is>
      </c>
      <c r="D18131" t="inlineStr">
        <is>
          <t>CÔNG TY CỔ PHẦN GIÁO DỤC MAYA</t>
        </is>
      </c>
      <c r="E18131" t="inlineStr">
        <is>
          <t>Lương:Cạnh tranh</t>
        </is>
      </c>
      <c r="F18131" t="inlineStr">
        <is>
          <t>Hà Nội</t>
        </is>
      </c>
      <c r="G18131" t="inlineStr">
        <is>
          <t>31-03-2026</t>
        </is>
      </c>
      <c r="H18131" t="inlineStr">
        <is>
          <t>31/03/2026</t>
        </is>
      </c>
      <c r="I18131" t="inlineStr">
        <is>
          <t>17/03/2026</t>
        </is>
      </c>
      <c r="J18131" t="inlineStr">
        <is>
          <t>Giáo dục / Đào tạo, Kế toán / Kiểm toán</t>
        </is>
      </c>
      <c r="K18131" t="inlineStr">
        <is>
          <t>2 - 5 Năm</t>
        </is>
      </c>
      <c r="L18131" s="8">
        <f>HYPERLINK("https://careerviet.vn/vi/tim-viec-lam/ke-toan-tong-hop.35C64592.html","Xem chi tiết")</f>
        <v/>
      </c>
    </row>
    <row r="18132">
      <c r="B18132" s="9" t="n">
        <v>18130</v>
      </c>
      <c r="C18132" s="10" t="inlineStr">
        <is>
          <t>Kỹ Sư Cấp Thoát Nước</t>
        </is>
      </c>
      <c r="D18132" s="10" t="inlineStr">
        <is>
          <t>Tập đoàn An Lạc – Anlac Group</t>
        </is>
      </c>
      <c r="E18132" s="10" t="inlineStr">
        <is>
          <t>Lương:25 Tr - 30 Tr VND</t>
        </is>
      </c>
      <c r="F18132" s="10" t="inlineStr">
        <is>
          <t>Hà Nội</t>
        </is>
      </c>
      <c r="G18132" s="10" t="inlineStr">
        <is>
          <t>31-03-2026</t>
        </is>
      </c>
      <c r="H18132" s="10" t="inlineStr">
        <is>
          <t>31/03/2026</t>
        </is>
      </c>
      <c r="I18132" s="10" t="inlineStr">
        <is>
          <t>17/03/2026</t>
        </is>
      </c>
      <c r="J18132" s="10" t="inlineStr">
        <is>
          <t>Điện / Điện tử / Điện lạnh / Điện công nghiệp, Xây dựng, Bất động sản</t>
        </is>
      </c>
      <c r="K18132" s="10" t="inlineStr">
        <is>
          <t>3 - 5 Năm</t>
        </is>
      </c>
      <c r="L18132" s="11">
        <f>HYPERLINK("https://careerviet.vn/vi/tim-viec-lam/ky-su-cap-thoat-nuoc.35C644AD.html","Xem chi tiết")</f>
        <v/>
      </c>
      <c r="M18132" s="10" t="n"/>
    </row>
    <row r="18133">
      <c r="B18133" s="7" t="n">
        <v>18131</v>
      </c>
      <c r="C18133" t="inlineStr">
        <is>
          <t>Chuyên viên Thiết kế</t>
        </is>
      </c>
      <c r="D18133" t="inlineStr">
        <is>
          <t>LOTTE FINANCE VIETNAM</t>
        </is>
      </c>
      <c r="E18133" t="inlineStr">
        <is>
          <t>Lương:Cạnh tranh</t>
        </is>
      </c>
      <c r="F18133" t="inlineStr">
        <is>
          <t>Hà Nội</t>
        </is>
      </c>
      <c r="G18133" t="inlineStr">
        <is>
          <t>31-03-2026</t>
        </is>
      </c>
      <c r="H18133" t="inlineStr">
        <is>
          <t>31/03/2026</t>
        </is>
      </c>
      <c r="I18133" t="inlineStr">
        <is>
          <t>17/03/2026</t>
        </is>
      </c>
      <c r="J18133" t="inlineStr">
        <is>
          <t>Mỹ thuật / Nghệ thuật / Thiết kế, Ngân hàng, Tài chính / Đầu tư</t>
        </is>
      </c>
      <c r="K18133" t="inlineStr">
        <is>
          <t>Trên 1 Năm</t>
        </is>
      </c>
      <c r="L18133" s="8">
        <f>HYPERLINK("https://careerviet.vn/vi/tim-viec-lam/chuyen-vien-thiet-ke.35C670DC.html","Xem chi tiết")</f>
        <v/>
      </c>
    </row>
    <row r="18134">
      <c r="B18134" s="9" t="n">
        <v>18132</v>
      </c>
      <c r="C18134" s="10" t="inlineStr">
        <is>
          <t>Chủ nhiệm dự án VST</t>
        </is>
      </c>
      <c r="D18134" s="10" t="inlineStr">
        <is>
          <t>HR Vietnam’s ESS Client</t>
        </is>
      </c>
      <c r="E18134" s="10" t="inlineStr">
        <is>
          <t>Lương:Cạnh tranh</t>
        </is>
      </c>
      <c r="F18134" s="10" t="inlineStr">
        <is>
          <t>Hà Nội</t>
        </is>
      </c>
      <c r="G18134" s="10" t="inlineStr">
        <is>
          <t>31-03-2026</t>
        </is>
      </c>
      <c r="H18134" s="10" t="inlineStr">
        <is>
          <t>31/03/2026</t>
        </is>
      </c>
      <c r="I18134" s="10" t="inlineStr">
        <is>
          <t>17/03/2026</t>
        </is>
      </c>
      <c r="J18134" s="10" t="inlineStr">
        <is>
          <t>Điện / Điện tử / Điện lạnh / Điện công nghiệp, Bán hàng / Kinh doanh</t>
        </is>
      </c>
      <c r="K18134" s="10" t="inlineStr">
        <is>
          <t>3 - 7 Năm</t>
        </is>
      </c>
      <c r="L18134" s="11">
        <f>HYPERLINK("https://careerviet.vn/vi/tim-viec-lam/chu-nhiem-du-an-vst.35C6710E.html","Xem chi tiết")</f>
        <v/>
      </c>
      <c r="M18134" s="10" t="n"/>
    </row>
    <row r="18135">
      <c r="B18135" s="7" t="n">
        <v>18133</v>
      </c>
      <c r="C18135" t="inlineStr">
        <is>
          <t>Warehouse Packer - Nhân viên đóng gói</t>
        </is>
      </c>
      <c r="D18135" t="inlineStr">
        <is>
          <t>Công Ty Cổ Phần Goody Group</t>
        </is>
      </c>
      <c r="E18135" t="inlineStr">
        <is>
          <t>Lương:8 Tr - 9 Tr VND</t>
        </is>
      </c>
      <c r="F18135" t="inlineStr">
        <is>
          <t>Hồ Chí Minh</t>
        </is>
      </c>
      <c r="G18135" t="inlineStr">
        <is>
          <t>31-03-2026</t>
        </is>
      </c>
      <c r="H18135" t="inlineStr">
        <is>
          <t>31/03/2026</t>
        </is>
      </c>
      <c r="I18135" t="inlineStr">
        <is>
          <t>17/03/2026</t>
        </is>
      </c>
      <c r="J18135" t="inlineStr">
        <is>
          <t>Vận chuyển / Giao nhận / Kho vận</t>
        </is>
      </c>
      <c r="K18135" t="inlineStr">
        <is>
          <t>1 - 2 Năm</t>
        </is>
      </c>
      <c r="L18135" s="8">
        <f>HYPERLINK("https://careerviet.vn/vi/tim-viec-lam/warehouse-packer-nhan-vien-dong-goi.35C64505.html","Xem chi tiết")</f>
        <v/>
      </c>
    </row>
    <row r="18136">
      <c r="B18136" s="9" t="n">
        <v>18134</v>
      </c>
      <c r="C18136" s="10" t="inlineStr">
        <is>
          <t>Nhân viên kinh doanh dự án ( Đà nẵng)</t>
        </is>
      </c>
      <c r="D18136" s="10" t="inlineStr">
        <is>
          <t>Servo Dynamics Engineering Co.,Ltd</t>
        </is>
      </c>
      <c r="E18136" s="10" t="inlineStr">
        <is>
          <t>Lương:20 Tr - 30 Tr VND</t>
        </is>
      </c>
      <c r="F18136" s="10" t="inlineStr">
        <is>
          <t>Đà Nẵng</t>
        </is>
      </c>
      <c r="G18136" s="10" t="inlineStr">
        <is>
          <t>31-03-2026</t>
        </is>
      </c>
      <c r="H18136" s="10" t="inlineStr">
        <is>
          <t>31/03/2026</t>
        </is>
      </c>
      <c r="I18136" s="10" t="inlineStr">
        <is>
          <t>17/03/2026</t>
        </is>
      </c>
      <c r="J18136" s="10" t="inlineStr">
        <is>
          <t>Bán hàng / Kinh doanh, Thương mại điện tử, Ngành khác</t>
        </is>
      </c>
      <c r="K18136" s="10" t="inlineStr">
        <is>
          <t>Lên đến 1 Năm</t>
        </is>
      </c>
      <c r="L18136" s="11">
        <f>HYPERLINK("https://careerviet.vn/vi/tim-viec-lam/nhan-vien-kinh-doanh-du-an-da-nang.35C67007.html","Xem chi tiết")</f>
        <v/>
      </c>
      <c r="M18136" s="10" t="n"/>
    </row>
    <row r="18137">
      <c r="B18137" s="7" t="n">
        <v>18135</v>
      </c>
      <c r="C18137" t="inlineStr">
        <is>
          <t>[GLOBALX-NOVASERVICE] Chuyên Viên Tổng Đài</t>
        </is>
      </c>
      <c r="D18137" t="inlineStr">
        <is>
          <t>GLOBAX - CÔNG TY CỔ PHẦN TRẢI NGHIỆM TOÀN CẦU</t>
        </is>
      </c>
      <c r="E18137" t="inlineStr">
        <is>
          <t>Lương:Cạnh tranh</t>
        </is>
      </c>
      <c r="F18137" t="inlineStr">
        <is>
          <t>Hồ Chí Minh</t>
        </is>
      </c>
      <c r="G18137" t="inlineStr">
        <is>
          <t>31-03-2026</t>
        </is>
      </c>
      <c r="H18137" t="inlineStr">
        <is>
          <t>31/03/2026</t>
        </is>
      </c>
      <c r="I18137" t="inlineStr">
        <is>
          <t>17/03/2026</t>
        </is>
      </c>
      <c r="J18137" t="inlineStr">
        <is>
          <t>Nhà hàng / Khách sạn</t>
        </is>
      </c>
      <c r="K18137" t="inlineStr">
        <is>
          <t>1 - 2 Năm</t>
        </is>
      </c>
      <c r="L18137" s="8">
        <f>HYPERLINK("https://careerviet.vn/vi/tim-viec-lam/globalx-novaservice-chuyen-vien-tong-dai.35C64513.html","Xem chi tiết")</f>
        <v/>
      </c>
    </row>
    <row r="18138">
      <c r="B18138" s="9" t="n">
        <v>18136</v>
      </c>
      <c r="C18138" s="10" t="inlineStr">
        <is>
          <t>Kế Toán Tổng Hợp</t>
        </is>
      </c>
      <c r="D18138" s="10" t="inlineStr">
        <is>
          <t>JVI - Công Ty CP Quốc Tế Việt Nam Nhật Bản</t>
        </is>
      </c>
      <c r="E18138" s="10" t="inlineStr">
        <is>
          <t>Lương:Cạnh tranh</t>
        </is>
      </c>
      <c r="F18138" s="10" t="inlineStr">
        <is>
          <t>Hà Nội</t>
        </is>
      </c>
      <c r="G18138" s="10" t="inlineStr">
        <is>
          <t>31-03-2026</t>
        </is>
      </c>
      <c r="H18138" s="10" t="inlineStr">
        <is>
          <t>31/03/2026</t>
        </is>
      </c>
      <c r="I18138" s="10" t="inlineStr">
        <is>
          <t>17/03/2026</t>
        </is>
      </c>
      <c r="J18138" s="10" t="inlineStr">
        <is>
          <t>Y tế / Chăm sóc sức khỏe / Thẩm mỹ / Làm đẹp, Kế toán / Kiểm toán, Tài chính / Đầu tư</t>
        </is>
      </c>
      <c r="K18138" s="10" t="inlineStr">
        <is>
          <t>Trên 2 Năm</t>
        </is>
      </c>
      <c r="L18138" s="11">
        <f>HYPERLINK("https://careerviet.vn/vi/tim-viec-lam/ke-toan-tong-hop.35C67119.html","Xem chi tiết")</f>
        <v/>
      </c>
      <c r="M18138" s="10" t="n"/>
    </row>
    <row r="18139">
      <c r="B18139" s="7" t="n">
        <v>18137</v>
      </c>
      <c r="C18139" t="inlineStr">
        <is>
          <t>Talent Acquisition Executive</t>
        </is>
      </c>
      <c r="D18139" t="inlineStr">
        <is>
          <t>Công Ty Tài Chính Mirae Asset (Việt Nam)</t>
        </is>
      </c>
      <c r="E18139" t="inlineStr">
        <is>
          <t>Lương:Cạnh tranh</t>
        </is>
      </c>
      <c r="F18139" t="inlineStr">
        <is>
          <t>Hồ Chí Minh</t>
        </is>
      </c>
      <c r="G18139" t="inlineStr">
        <is>
          <t>31-03-2026</t>
        </is>
      </c>
      <c r="H18139" t="inlineStr">
        <is>
          <t>31/03/2026</t>
        </is>
      </c>
      <c r="I18139" t="inlineStr">
        <is>
          <t>17/03/2026</t>
        </is>
      </c>
      <c r="J18139" t="inlineStr">
        <is>
          <t>Tài chính / Đầu tư, Ngân hàng, Nhân sự</t>
        </is>
      </c>
      <c r="K18139" t="inlineStr">
        <is>
          <t>3 - 10 Năm</t>
        </is>
      </c>
      <c r="L18139" s="8">
        <f>HYPERLINK("https://careerviet.vn/vi/tim-viec-lam/talent-acquisition-executive.35C67070.html","Xem chi tiết")</f>
        <v/>
      </c>
    </row>
    <row r="18140">
      <c r="B18140" s="9" t="n">
        <v>18138</v>
      </c>
      <c r="C18140" s="10" t="inlineStr">
        <is>
          <t>[Bắc Ninh] Nhân viên khai báo hải quan (Chấp nhận mới ra trường)</t>
        </is>
      </c>
      <c r="D18140" s="10" t="inlineStr">
        <is>
          <t>Chi nhánh Công ty Cổ phần ITL Logistics tại phía Bắc</t>
        </is>
      </c>
      <c r="E18140" s="10" t="inlineStr">
        <is>
          <t>Lương:Cạnh tranh</t>
        </is>
      </c>
      <c r="F18140" s="10" t="inlineStr">
        <is>
          <t>Bắc Ninh</t>
        </is>
      </c>
      <c r="G18140" s="10" t="inlineStr">
        <is>
          <t>31-03-2026</t>
        </is>
      </c>
      <c r="H18140" s="10" t="inlineStr">
        <is>
          <t>31/03/2026</t>
        </is>
      </c>
      <c r="I18140" s="10" t="inlineStr">
        <is>
          <t>17/03/2026</t>
        </is>
      </c>
      <c r="J18140" s="10" t="inlineStr">
        <is>
          <t>Vận chuyển / Giao nhận / Kho vận</t>
        </is>
      </c>
      <c r="K18140" s="10" t="inlineStr">
        <is>
          <t>1 - 2 Năm</t>
        </is>
      </c>
      <c r="L18140" s="11">
        <f>HYPERLINK("https://careerviet.vn/vi/tim-viec-lam/bac-ninh-nhan-vien-khai-bao-hai-quan-chap-nhan-moi-ra-truong.35C670CE.html","Xem chi tiết")</f>
        <v/>
      </c>
      <c r="M18140" s="10" t="n"/>
    </row>
    <row r="18141">
      <c r="B18141" s="7" t="n">
        <v>18139</v>
      </c>
      <c r="C18141" t="inlineStr">
        <is>
          <t>[I1] ADMIN BỘ PHẬN KINH DOANH B2B</t>
        </is>
      </c>
      <c r="D18141" t="inlineStr">
        <is>
          <t>BellSystem24 Việt Nam</t>
        </is>
      </c>
      <c r="E18141" t="inlineStr">
        <is>
          <t>Lương:9 Tr - 11 Tr VND</t>
        </is>
      </c>
      <c r="F18141" t="inlineStr">
        <is>
          <t>Hà Nội</t>
        </is>
      </c>
      <c r="G18141" t="inlineStr">
        <is>
          <t>31-03-2026</t>
        </is>
      </c>
      <c r="H18141" t="inlineStr">
        <is>
          <t>31/03/2026</t>
        </is>
      </c>
      <c r="I18141" t="inlineStr">
        <is>
          <t>17/03/2026</t>
        </is>
      </c>
      <c r="J18141" t="inlineStr">
        <is>
          <t>Bán hàng / Kinh doanh, Dịch vụ khách hàng</t>
        </is>
      </c>
      <c r="K18141" t="inlineStr">
        <is>
          <t>N/A</t>
        </is>
      </c>
      <c r="L18141" s="8">
        <f>HYPERLINK("https://careerviet.vn/vi/tim-viec-lam/i1-admin-bo-phan-kinh-doanh-b2b.35C64571.html","Xem chi tiết")</f>
        <v/>
      </c>
    </row>
    <row r="18142">
      <c r="B18142" s="9" t="n">
        <v>18140</v>
      </c>
      <c r="C18142" s="10" t="inlineStr">
        <is>
          <t>Giám sát thi công nội thất</t>
        </is>
      </c>
      <c r="D18142" s="10" t="inlineStr">
        <is>
          <t>Công ty TNHH Frontier Consulting Việt Nam</t>
        </is>
      </c>
      <c r="E18142" s="10" t="inlineStr">
        <is>
          <t>Lương:13 Tr - 20 Tr VND</t>
        </is>
      </c>
      <c r="F18142" s="10" t="inlineStr">
        <is>
          <t>Hồ Chí Minh</t>
        </is>
      </c>
      <c r="G18142" s="10" t="inlineStr">
        <is>
          <t>31-03-2026</t>
        </is>
      </c>
      <c r="H18142" s="10" t="inlineStr">
        <is>
          <t>31/03/2026</t>
        </is>
      </c>
      <c r="I18142" s="10" t="inlineStr">
        <is>
          <t>17/03/2026</t>
        </is>
      </c>
      <c r="J18142" s="10" t="inlineStr">
        <is>
          <t>Kiến trúc, Xây dựng, Nội ngoại thất</t>
        </is>
      </c>
      <c r="K18142" s="10" t="inlineStr">
        <is>
          <t>1 - 3 Năm</t>
        </is>
      </c>
      <c r="L18142" s="11">
        <f>HYPERLINK("https://careerviet.vn/vi/tim-viec-lam/giam-sat-thi-cong-noi-that.35C670BB.html","Xem chi tiết")</f>
        <v/>
      </c>
      <c r="M18142" s="10" t="n"/>
    </row>
    <row r="18143">
      <c r="B18143" s="7" t="n">
        <v>18141</v>
      </c>
      <c r="C18143" t="inlineStr">
        <is>
          <t>Chuyên Viên Kiểm Soát Nội Bộ</t>
        </is>
      </c>
      <c r="D18143" t="inlineStr">
        <is>
          <t>CÔNG TY CỔ PHẦN TẬP ĐOÀN ONSEN FUJI</t>
        </is>
      </c>
      <c r="E18143" t="inlineStr">
        <is>
          <t>Lương:20 Tr - 30 Tr VND</t>
        </is>
      </c>
      <c r="F18143" t="inlineStr">
        <is>
          <t>Hà Nội</t>
        </is>
      </c>
      <c r="G18143" t="inlineStr">
        <is>
          <t>31-03-2026</t>
        </is>
      </c>
      <c r="H18143" t="inlineStr">
        <is>
          <t>31/03/2026</t>
        </is>
      </c>
      <c r="I18143" t="inlineStr">
        <is>
          <t>17/03/2026</t>
        </is>
      </c>
      <c r="J18143" t="inlineStr">
        <is>
          <t>Kế toán / Kiểm toán, Xây dựng, Bất động sản</t>
        </is>
      </c>
      <c r="K18143" t="inlineStr">
        <is>
          <t>5 - 7 Năm</t>
        </is>
      </c>
      <c r="L18143" s="8">
        <f>HYPERLINK("https://careerviet.vn/vi/tim-viec-lam/chuyen-vien-kiem-soat-noi-bo.35C67150.html","Xem chi tiết")</f>
        <v/>
      </c>
    </row>
    <row r="18144">
      <c r="B18144" s="9" t="n">
        <v>18142</v>
      </c>
      <c r="C18144" s="10" t="inlineStr">
        <is>
          <t>Giám Sát Hiện Trường</t>
        </is>
      </c>
      <c r="D18144" s="10" t="inlineStr">
        <is>
          <t>TỔNG CÔNG TY CỔ PHẦN THƯƠNG MẠI XÂY DỰNG</t>
        </is>
      </c>
      <c r="E18144" s="10" t="inlineStr">
        <is>
          <t>Lương:15 Tr - 25 Tr VND</t>
        </is>
      </c>
      <c r="F18144" s="10" t="inlineStr">
        <is>
          <t>Hà Nội</t>
        </is>
      </c>
      <c r="G18144" s="10" t="inlineStr">
        <is>
          <t>31-03-2026</t>
        </is>
      </c>
      <c r="H18144" s="10" t="inlineStr">
        <is>
          <t>31/03/2026</t>
        </is>
      </c>
      <c r="I18144" s="10" t="inlineStr">
        <is>
          <t>17/03/2026</t>
        </is>
      </c>
      <c r="J18144" s="10" t="inlineStr">
        <is>
          <t>An toàn lao động, Xây dựng</t>
        </is>
      </c>
      <c r="K18144" s="10" t="inlineStr">
        <is>
          <t>Chưa có kinh nghiệm</t>
        </is>
      </c>
      <c r="L18144" s="11">
        <f>HYPERLINK("https://careerviet.vn/vi/tim-viec-lam/giam-sat-hien-truong.35C66FD1.html","Xem chi tiết")</f>
        <v/>
      </c>
      <c r="M18144" s="10" t="n"/>
    </row>
    <row r="18145">
      <c r="B18145" s="7" t="n">
        <v>18143</v>
      </c>
      <c r="C18145" t="inlineStr">
        <is>
          <t>Nhân viên Tuyển sinh</t>
        </is>
      </c>
      <c r="D18145" t="inlineStr">
        <is>
          <t>HỆ THỐNG GIÁO DỤC EDUFIT</t>
        </is>
      </c>
      <c r="E18145" t="inlineStr">
        <is>
          <t>Lương:15 Tr - 25 Tr VND</t>
        </is>
      </c>
      <c r="F18145" t="inlineStr">
        <is>
          <t>Hà Nội</t>
        </is>
      </c>
      <c r="G18145" t="inlineStr">
        <is>
          <t>31-03-2026</t>
        </is>
      </c>
      <c r="H18145" t="inlineStr">
        <is>
          <t>31/03/2026</t>
        </is>
      </c>
      <c r="I18145" t="inlineStr">
        <is>
          <t>17/03/2026</t>
        </is>
      </c>
      <c r="J18145" t="inlineStr">
        <is>
          <t>Bán hàng / Kinh doanh</t>
        </is>
      </c>
      <c r="K18145" t="inlineStr">
        <is>
          <t>2 - 3 Năm</t>
        </is>
      </c>
      <c r="L18145" s="8">
        <f>HYPERLINK("https://careerviet.vn/vi/tim-viec-lam/nhan-vien-tuyen-sinh.35C670FA.html","Xem chi tiết")</f>
        <v/>
      </c>
    </row>
    <row r="18146">
      <c r="B18146" s="9" t="n">
        <v>18144</v>
      </c>
      <c r="C18146" s="10" t="inlineStr">
        <is>
          <t>Nhân Viên Tư Vấn Sản Phẩm Karofi tại Nguyễn Kim</t>
        </is>
      </c>
      <c r="D18146" s="10" t="inlineStr">
        <is>
          <t>Tập Đoàn Karofi Holding</t>
        </is>
      </c>
      <c r="E18146" s="10" t="inlineStr">
        <is>
          <t>Lương:8 Tr - 15 Tr VND</t>
        </is>
      </c>
      <c r="F18146" s="10" t="inlineStr">
        <is>
          <t>Bình DươngHà Nội</t>
        </is>
      </c>
      <c r="G18146" s="10" t="inlineStr">
        <is>
          <t>31-03-2026</t>
        </is>
      </c>
      <c r="H18146" s="10" t="inlineStr">
        <is>
          <t>31/03/2026</t>
        </is>
      </c>
      <c r="I18146" s="10" t="inlineStr">
        <is>
          <t>17/03/2026</t>
        </is>
      </c>
      <c r="J18146" s="10" t="inlineStr">
        <is>
          <t>Bán hàng / Kinh doanh</t>
        </is>
      </c>
      <c r="K18146" s="10" t="inlineStr">
        <is>
          <t>Trên 6 Năm</t>
        </is>
      </c>
      <c r="L18146" s="11">
        <f>HYPERLINK("https://careerviet.vn/vi/tim-viec-lam/nhan-vien-tu-van-san-pham-karofi-tai-nguyen-kim.35C6452B.html","Xem chi tiết")</f>
        <v/>
      </c>
      <c r="M18146" s="10" t="n"/>
    </row>
    <row r="18147">
      <c r="B18147" s="7" t="n">
        <v>18145</v>
      </c>
      <c r="C18147" t="inlineStr">
        <is>
          <t>Trưởng Phòng R&amp;D</t>
        </is>
      </c>
      <c r="D18147" t="inlineStr">
        <is>
          <t>Tập Đoàn An Phát Holdings</t>
        </is>
      </c>
      <c r="E18147" t="inlineStr">
        <is>
          <t>Lương:25 Tr - 35 Tr VND</t>
        </is>
      </c>
      <c r="F18147" t="inlineStr">
        <is>
          <t>Hải DươngLào Cai</t>
        </is>
      </c>
      <c r="G18147" t="inlineStr">
        <is>
          <t>31-03-2026</t>
        </is>
      </c>
      <c r="H18147" t="inlineStr">
        <is>
          <t>31/03/2026</t>
        </is>
      </c>
      <c r="I18147" t="inlineStr">
        <is>
          <t>17/03/2026</t>
        </is>
      </c>
      <c r="J18147" t="inlineStr">
        <is>
          <t>Sản xuất / Vận hành sản xuất, Quản lý chất lượng (QA/QC)</t>
        </is>
      </c>
      <c r="K18147" t="inlineStr">
        <is>
          <t>5 - 7 Năm</t>
        </is>
      </c>
      <c r="L18147" s="8">
        <f>HYPERLINK("https://careerviet.vn/vi/tim-viec-lam/truong-phong-r-d.35C67142.html","Xem chi tiết")</f>
        <v/>
      </c>
    </row>
    <row r="18148">
      <c r="B18148" s="9" t="n">
        <v>18146</v>
      </c>
      <c r="C18148" s="10" t="inlineStr">
        <is>
          <t>Product Owner (Domain Ecommerce/CRM)</t>
        </is>
      </c>
      <c r="D18148" s="10" t="inlineStr">
        <is>
          <t>Công ty Cổ phần Thời Trang YODY</t>
        </is>
      </c>
      <c r="E18148" s="10" t="inlineStr">
        <is>
          <t>Lương:Cạnh tranh</t>
        </is>
      </c>
      <c r="F18148" s="10" t="inlineStr">
        <is>
          <t>Hồ Chí Minh</t>
        </is>
      </c>
      <c r="G18148" s="10" t="inlineStr">
        <is>
          <t>31-03-2026</t>
        </is>
      </c>
      <c r="H18148" s="10" t="inlineStr">
        <is>
          <t>31/03/2026</t>
        </is>
      </c>
      <c r="I18148" s="10" t="inlineStr">
        <is>
          <t>17/03/2026</t>
        </is>
      </c>
      <c r="J18148" s="10" t="inlineStr">
        <is>
          <t>Thương mại điện tử, CNTT - Phần mềm</t>
        </is>
      </c>
      <c r="K18148" s="10" t="inlineStr">
        <is>
          <t>2 - 3 Năm</t>
        </is>
      </c>
      <c r="L18148" s="11">
        <f>HYPERLINK("https://careerviet.vn/vi/tim-viec-lam/product-owner-domain-ecommerce-crm.35C67040.html","Xem chi tiết")</f>
        <v/>
      </c>
      <c r="M18148" s="10" t="n"/>
    </row>
    <row r="18149">
      <c r="B18149" s="7" t="n">
        <v>18147</v>
      </c>
      <c r="C18149" t="inlineStr">
        <is>
          <t>Kế Toán Trưởng</t>
        </is>
      </c>
      <c r="D18149" t="inlineStr">
        <is>
          <t>CÔNG TY TNHH TM XD DV VÀ TRANG TRÍ NNT HOÀNG NAM - NỘI THẤT PHỐ XINH</t>
        </is>
      </c>
      <c r="E18149" t="inlineStr">
        <is>
          <t>Lương:Trên 25 Tr VND</t>
        </is>
      </c>
      <c r="F18149" t="inlineStr">
        <is>
          <t>Hồ Chí Minh</t>
        </is>
      </c>
      <c r="G18149" t="inlineStr">
        <is>
          <t>31-03-2026</t>
        </is>
      </c>
      <c r="H18149" t="inlineStr">
        <is>
          <t>31/03/2026</t>
        </is>
      </c>
      <c r="I18149" t="inlineStr">
        <is>
          <t>17/03/2026</t>
        </is>
      </c>
      <c r="J18149" t="inlineStr">
        <is>
          <t>Bán lẻ / Bán sỉ, Kế toán / Kiểm toán, Bán hàng / Kinh doanh</t>
        </is>
      </c>
      <c r="K18149" t="inlineStr">
        <is>
          <t>Trên 5 Năm</t>
        </is>
      </c>
      <c r="L18149" s="8">
        <f>HYPERLINK("https://careerviet.vn/vi/tim-viec-lam/ke-toan-truong.35C67114.html","Xem chi tiết")</f>
        <v/>
      </c>
    </row>
    <row r="18150">
      <c r="B18150" s="9" t="n">
        <v>18148</v>
      </c>
      <c r="C18150" s="10" t="inlineStr">
        <is>
          <t>Giám sát viên cao cấp - Trung tâm Kiểm soát nội bộ và tuân thủ (ICC)</t>
        </is>
      </c>
      <c r="D18150" s="10" t="inlineStr">
        <is>
          <t>Ngân Hàng TMCP Tiên Phong (TPBank)</t>
        </is>
      </c>
      <c r="E18150" s="10" t="inlineStr">
        <is>
          <t>Lương:20 Tr - 30 Tr VND</t>
        </is>
      </c>
      <c r="F18150" s="10" t="inlineStr">
        <is>
          <t>Hà Nội</t>
        </is>
      </c>
      <c r="G18150" s="10" t="inlineStr">
        <is>
          <t>31-03-2026</t>
        </is>
      </c>
      <c r="H18150" s="10" t="inlineStr">
        <is>
          <t>31/03/2026</t>
        </is>
      </c>
      <c r="I18150" s="10" t="inlineStr">
        <is>
          <t>17/03/2026</t>
        </is>
      </c>
      <c r="J18150" s="10" t="inlineStr">
        <is>
          <t>Kế toán / Kiểm toán, Ngân hàng</t>
        </is>
      </c>
      <c r="K18150" s="10" t="inlineStr">
        <is>
          <t>5 - 7 Năm</t>
        </is>
      </c>
      <c r="L18150" s="11">
        <f>HYPERLINK("https://careerviet.vn/vi/tim-viec-lam/giam-sat-vien-cao-cap-trung-tam-kiem-soat-noi-bo-va-tuan-thu-icc.35C6703D.html","Xem chi tiết")</f>
        <v/>
      </c>
      <c r="M18150" s="10" t="n"/>
    </row>
    <row r="18151">
      <c r="B18151" s="7" t="n">
        <v>18149</v>
      </c>
      <c r="C18151" t="inlineStr">
        <is>
          <t>Trưởng ban quản lý dự án ( Chủ đầu tư) đi làm ngay</t>
        </is>
      </c>
      <c r="D18151" t="inlineStr">
        <is>
          <t>Công Ty CP Đầu Tư IMG</t>
        </is>
      </c>
      <c r="E18151" t="inlineStr">
        <is>
          <t>Lương:45 Tr - 55 Tr VND</t>
        </is>
      </c>
      <c r="F18151" t="inlineStr">
        <is>
          <t>Hồ Chí Minh</t>
        </is>
      </c>
      <c r="G18151" t="inlineStr">
        <is>
          <t>02-03-2026</t>
        </is>
      </c>
      <c r="H18151" t="inlineStr">
        <is>
          <t>15/03/2026</t>
        </is>
      </c>
      <c r="I18151" t="inlineStr">
        <is>
          <t>17/03/2026</t>
        </is>
      </c>
      <c r="J18151" t="inlineStr">
        <is>
          <t>Kiến trúc, Xây dựng, Bất động sản</t>
        </is>
      </c>
      <c r="K18151" t="inlineStr">
        <is>
          <t>10 - 20 Năm</t>
        </is>
      </c>
      <c r="L18151" s="8">
        <f>HYPERLINK("https://careerviet.vn/vi/tim-viec-lam/truong-ban-quan-ly-du-an-chu-dau-tu-di-lam-ngay.35C6A5B3.html","Xem chi tiết")</f>
        <v/>
      </c>
    </row>
    <row r="18152">
      <c r="B18152" s="9" t="n">
        <v>18150</v>
      </c>
      <c r="C18152" s="10" t="inlineStr">
        <is>
          <t>Nhân viên QC (Quận Tân Phú)</t>
        </is>
      </c>
      <c r="D18152" s="10" t="inlineStr">
        <is>
          <t>Công Ty TNHH CJ Foods Việt Nam</t>
        </is>
      </c>
      <c r="E18152" s="10" t="inlineStr">
        <is>
          <t>Lương:Cạnh tranh</t>
        </is>
      </c>
      <c r="F18152" s="10" t="inlineStr">
        <is>
          <t>Hồ Chí Minh</t>
        </is>
      </c>
      <c r="G18152" s="10" t="inlineStr">
        <is>
          <t>04-04-2026</t>
        </is>
      </c>
      <c r="H18152" s="10" t="inlineStr">
        <is>
          <t>04/04/2026</t>
        </is>
      </c>
      <c r="I18152" s="10" t="inlineStr">
        <is>
          <t>17/03/2026</t>
        </is>
      </c>
      <c r="J18152" s="10" t="inlineStr">
        <is>
          <t>Công nghệ thực phẩm / Dinh dưỡng, Sản xuất / Vận hành sản xuất, Quản lý chất lượng (QA/QC)</t>
        </is>
      </c>
      <c r="K18152" s="10" t="inlineStr">
        <is>
          <t>1 - 3 Năm</t>
        </is>
      </c>
      <c r="L18152" s="11">
        <f>HYPERLINK("https://careerviet.vn/vi/tim-viec-lam/nhan-vien-qc-quan-tan-phu.35C6A47B.html","Xem chi tiết")</f>
        <v/>
      </c>
      <c r="M18152" s="10" t="n"/>
    </row>
    <row r="18153">
      <c r="B18153" s="7" t="n">
        <v>18151</v>
      </c>
      <c r="C18153" t="inlineStr">
        <is>
          <t>Kế toán trưởng</t>
        </is>
      </c>
      <c r="D18153" t="inlineStr">
        <is>
          <t>Công ty TNHH SXTM XNK Minh Hiền</t>
        </is>
      </c>
      <c r="E18153" t="inlineStr">
        <is>
          <t>Lương:Cạnh tranh</t>
        </is>
      </c>
      <c r="F18153" t="inlineStr">
        <is>
          <t>Hồ Chí Minh</t>
        </is>
      </c>
      <c r="G18153" t="inlineStr">
        <is>
          <t>31-03-2026</t>
        </is>
      </c>
      <c r="H18153" t="inlineStr">
        <is>
          <t>31/03/2026</t>
        </is>
      </c>
      <c r="I18153" t="inlineStr">
        <is>
          <t>17/03/2026</t>
        </is>
      </c>
      <c r="J18153" t="inlineStr">
        <is>
          <t>Kế toán / Kiểm toán, Tài chính / Đầu tư, Sản xuất / Vận hành sản xuất</t>
        </is>
      </c>
      <c r="K18153" t="inlineStr">
        <is>
          <t>3 - 5 Năm</t>
        </is>
      </c>
      <c r="L18153" s="8">
        <f>HYPERLINK("https://careerviet.vn/vi/tim-viec-lam/ke-toan-truong.35C644F7.html","Xem chi tiết")</f>
        <v/>
      </c>
    </row>
    <row r="18154">
      <c r="B18154" s="9" t="n">
        <v>18152</v>
      </c>
      <c r="C18154" s="10" t="inlineStr">
        <is>
          <t>Senior Accountant</t>
        </is>
      </c>
      <c r="D18154" s="10" t="inlineStr">
        <is>
          <t>Công ty TNHH Sản xuất Thương mại &amp; Dịch vụ Hoa Xinh</t>
        </is>
      </c>
      <c r="E18154" s="10" t="inlineStr">
        <is>
          <t>Lương:25 Tr - 35 Tr VND</t>
        </is>
      </c>
      <c r="F18154" s="10" t="inlineStr">
        <is>
          <t>Hồ Chí Minh</t>
        </is>
      </c>
      <c r="G18154" s="10" t="inlineStr">
        <is>
          <t>31-03-2026</t>
        </is>
      </c>
      <c r="H18154" s="10" t="inlineStr">
        <is>
          <t>31/03/2026</t>
        </is>
      </c>
      <c r="I18154" s="10" t="inlineStr">
        <is>
          <t>17/03/2026</t>
        </is>
      </c>
      <c r="J18154" s="10" t="inlineStr">
        <is>
          <t>Kế toán / Kiểm toán, Ngân hàng, Tài chính / Đầu tư</t>
        </is>
      </c>
      <c r="K18154" s="10" t="inlineStr">
        <is>
          <t>5 - 8 Năm</t>
        </is>
      </c>
      <c r="L18154" s="11">
        <f>HYPERLINK("https://careerviet.vn/vi/tim-viec-lam/senior-accountant.35C64545.html","Xem chi tiết")</f>
        <v/>
      </c>
      <c r="M18154" s="10" t="n"/>
    </row>
    <row r="18155">
      <c r="B18155" s="7" t="n">
        <v>18153</v>
      </c>
      <c r="C18155" t="inlineStr">
        <is>
          <t>[HUB FX KHCN] Giám đốc Kinh doanh Ngoại hối</t>
        </is>
      </c>
      <c r="D18155" t="inlineStr">
        <is>
          <t>Ngân hàng TMCP Lộc Phát Việt Nam (LPBank)</t>
        </is>
      </c>
      <c r="E18155" t="inlineStr">
        <is>
          <t>Lương:Cạnh tranh</t>
        </is>
      </c>
      <c r="F18155" t="inlineStr">
        <is>
          <t>Hà Nội</t>
        </is>
      </c>
      <c r="G18155" t="inlineStr">
        <is>
          <t>31-03-2026</t>
        </is>
      </c>
      <c r="H18155" t="inlineStr">
        <is>
          <t>31/03/2026</t>
        </is>
      </c>
      <c r="I18155" t="inlineStr">
        <is>
          <t>17/03/2026</t>
        </is>
      </c>
      <c r="J18155" t="inlineStr">
        <is>
          <t>Bán hàng / Kinh doanh, Bảo hiểm, Dịch vụ khách hàng</t>
        </is>
      </c>
      <c r="K18155" t="inlineStr">
        <is>
          <t>1 - 5 Năm</t>
        </is>
      </c>
      <c r="L18155" s="8">
        <f>HYPERLINK("https://careerviet.vn/vi/tim-viec-lam/hub-fx-khcn-giam-doc-kinh-doanh-ngoai-hoi.35C644FB.html","Xem chi tiết")</f>
        <v/>
      </c>
    </row>
    <row r="18156">
      <c r="B18156" s="9" t="n">
        <v>18154</v>
      </c>
      <c r="C18156" s="10" t="inlineStr">
        <is>
          <t>Software Engineer (Web Application)</t>
        </is>
      </c>
      <c r="D18156" s="10" t="inlineStr">
        <is>
          <t>Nova Service Group - Công ty Cổ phần Tập đoàn Nova Services</t>
        </is>
      </c>
      <c r="E18156" s="10" t="inlineStr">
        <is>
          <t>Lương:25 Tr - 35 Tr VND</t>
        </is>
      </c>
      <c r="F18156" s="10" t="inlineStr">
        <is>
          <t>Hồ Chí Minh</t>
        </is>
      </c>
      <c r="G18156" s="10" t="inlineStr">
        <is>
          <t>01-04-2026</t>
        </is>
      </c>
      <c r="H18156" s="10" t="inlineStr">
        <is>
          <t>01/04/2026</t>
        </is>
      </c>
      <c r="I18156" s="10" t="inlineStr">
        <is>
          <t>17/03/2026</t>
        </is>
      </c>
      <c r="J18156" s="10" t="inlineStr">
        <is>
          <t>CNTT - Phần mềm</t>
        </is>
      </c>
      <c r="K18156" s="10" t="inlineStr">
        <is>
          <t>2 - 7 Năm</t>
        </is>
      </c>
      <c r="L18156" s="11">
        <f>HYPERLINK("https://careerviet.vn/vi/tim-viec-lam/software-engineer-web-application.35C6A2BD.html","Xem chi tiết")</f>
        <v/>
      </c>
      <c r="M18156" s="10" t="n"/>
    </row>
    <row r="18157">
      <c r="B18157" s="7" t="n">
        <v>18155</v>
      </c>
      <c r="C18157" t="inlineStr">
        <is>
          <t>Chuyên Viên Hành Chính Quản Trị Mua Sắm</t>
        </is>
      </c>
      <c r="D18157" t="inlineStr">
        <is>
          <t>CÔNG TY TNHH THƯƠNG MẠI DỊCH VỤ TINI OFFICE</t>
        </is>
      </c>
      <c r="E18157" t="inlineStr">
        <is>
          <t>Lương:Cạnh tranh</t>
        </is>
      </c>
      <c r="F18157" t="inlineStr">
        <is>
          <t>Hồ Chí Minh</t>
        </is>
      </c>
      <c r="G18157" t="inlineStr">
        <is>
          <t>31-03-2026</t>
        </is>
      </c>
      <c r="H18157" t="inlineStr">
        <is>
          <t>31/03/2026</t>
        </is>
      </c>
      <c r="I18157" t="inlineStr">
        <is>
          <t>17/03/2026</t>
        </is>
      </c>
      <c r="J18157" t="inlineStr">
        <is>
          <t>Hành chính / Thư ký</t>
        </is>
      </c>
      <c r="K18157" t="inlineStr">
        <is>
          <t>2 - 5 Năm</t>
        </is>
      </c>
      <c r="L18157" s="8">
        <f>HYPERLINK("https://careerviet.vn/vi/tim-viec-lam/chuyen-vien-hanh-chinh-quan-tri-mua-sam.35C6947E.html","Xem chi tiết")</f>
        <v/>
      </c>
    </row>
    <row r="18158">
      <c r="B18158" s="9" t="n">
        <v>18156</v>
      </c>
      <c r="C18158" s="10" t="inlineStr">
        <is>
          <t>Lab Technician (Chemical)</t>
        </is>
      </c>
      <c r="D18158" s="10" t="inlineStr">
        <is>
          <t>Cty SGS Việt Nam TNHH</t>
        </is>
      </c>
      <c r="E18158" s="10" t="inlineStr">
        <is>
          <t>Lương:Cạnh tranh</t>
        </is>
      </c>
      <c r="F18158" s="10" t="inlineStr">
        <is>
          <t>Hồ Chí Minh</t>
        </is>
      </c>
      <c r="G18158" s="10" t="inlineStr">
        <is>
          <t>02-04-2026</t>
        </is>
      </c>
      <c r="H18158" s="10" t="inlineStr">
        <is>
          <t>02/04/2026</t>
        </is>
      </c>
      <c r="I18158" s="10" t="inlineStr">
        <is>
          <t>17/03/2026</t>
        </is>
      </c>
      <c r="J18158" s="10" t="inlineStr">
        <is>
          <t>Hóa học, Công nghệ sinh học, Công nghệ thực phẩm / Dinh dưỡng</t>
        </is>
      </c>
      <c r="K18158" s="10" t="inlineStr">
        <is>
          <t>Chưa có kinh nghiệm</t>
        </is>
      </c>
      <c r="L18158" s="11">
        <f>HYPERLINK("https://careerviet.vn/vi/tim-viec-lam/lab-technician-chemical.35C6A4E5.html","Xem chi tiết")</f>
        <v/>
      </c>
      <c r="M18158" s="10" t="n"/>
    </row>
    <row r="18159">
      <c r="B18159" s="7" t="n">
        <v>18157</v>
      </c>
      <c r="C18159" t="inlineStr">
        <is>
          <t>GA Admin Supervisor/ Giám Sát Tổng Vụ</t>
        </is>
      </c>
      <c r="D18159" t="inlineStr">
        <is>
          <t>Công ty TNHH San Lim Furniture Việt Nam</t>
        </is>
      </c>
      <c r="E18159" t="inlineStr">
        <is>
          <t>Lương:Cạnh tranh</t>
        </is>
      </c>
      <c r="F18159" t="inlineStr">
        <is>
          <t>Đồng Nai</t>
        </is>
      </c>
      <c r="G18159" t="inlineStr">
        <is>
          <t>4</t>
        </is>
      </c>
      <c r="H18159" t="inlineStr">
        <is>
          <t>21/03/2026</t>
        </is>
      </c>
      <c r="I18159" t="inlineStr">
        <is>
          <t>17/03/2026</t>
        </is>
      </c>
      <c r="J18159" t="inlineStr">
        <is>
          <t>Hành chính / Thư ký, Quản lý điều hành, Nhân sự</t>
        </is>
      </c>
      <c r="K18159" t="inlineStr">
        <is>
          <t>Trên 3 Năm</t>
        </is>
      </c>
      <c r="L18159" s="8">
        <f>HYPERLINK("https://careerviet.vn/vi/tim-viec-lam/ga-admin-supervisor-giam-sat-tong-vu.35C66099.html","Xem chi tiết")</f>
        <v/>
      </c>
    </row>
    <row r="18160">
      <c r="B18160" s="9" t="n">
        <v>18158</v>
      </c>
      <c r="C18160" s="10" t="inlineStr">
        <is>
          <t>Quản Lý Kinh Doanh Khu Vực/ Area Sales Manager</t>
        </is>
      </c>
      <c r="D18160" s="10" t="inlineStr">
        <is>
          <t>CÔNG TY TNHH DƯỢC PHẨM VÀ TRANG THIẾT BỊ Y TẾ HD</t>
        </is>
      </c>
      <c r="E18160" s="10" t="inlineStr">
        <is>
          <t>Lương:Cạnh tranh</t>
        </is>
      </c>
      <c r="F18160" s="10" t="inlineStr">
        <is>
          <t>Hồ Chí MinhHà Nội</t>
        </is>
      </c>
      <c r="G18160" s="10" t="inlineStr">
        <is>
          <t>31-03-2026</t>
        </is>
      </c>
      <c r="H18160" s="10" t="inlineStr">
        <is>
          <t>31/03/2026</t>
        </is>
      </c>
      <c r="I18160" s="10" t="inlineStr">
        <is>
          <t>17/03/2026</t>
        </is>
      </c>
      <c r="J18160" s="10" t="inlineStr">
        <is>
          <t>Bán hàng / Kinh doanh, Dược phẩm/ Hóa Mỹ Phẩm, Y tế / Chăm sóc sức khỏe / Thẩm mỹ / Làm đẹp</t>
        </is>
      </c>
      <c r="K18160" s="10" t="inlineStr">
        <is>
          <t>Trên 2 Năm</t>
        </is>
      </c>
      <c r="L18160" s="11">
        <f>HYPERLINK("https://careerviet.vn/vi/tim-viec-lam/quan-ly-kinh-doanh-khu-vuc-area-sales-manager.35C644EC.html","Xem chi tiết")</f>
        <v/>
      </c>
      <c r="M18160" s="10" t="n"/>
    </row>
    <row r="18161">
      <c r="B18161" s="7" t="n">
        <v>18159</v>
      </c>
      <c r="C18161" t="inlineStr">
        <is>
          <t>HR Officer ( Recruitment &amp; Engagement)</t>
        </is>
      </c>
      <c r="D18161" t="inlineStr">
        <is>
          <t>Wipro Consumer Care Vietnam</t>
        </is>
      </c>
      <c r="E18161" t="inlineStr">
        <is>
          <t>Lương:Cạnh tranh</t>
        </is>
      </c>
      <c r="F18161" t="inlineStr">
        <is>
          <t>Hồ Chí Minh</t>
        </is>
      </c>
      <c r="G18161" t="inlineStr">
        <is>
          <t>01-04-2026</t>
        </is>
      </c>
      <c r="H18161" t="inlineStr">
        <is>
          <t>01/04/2026</t>
        </is>
      </c>
      <c r="I18161" t="inlineStr">
        <is>
          <t>17/03/2026</t>
        </is>
      </c>
      <c r="J18161" t="inlineStr">
        <is>
          <t>Nhân sự</t>
        </is>
      </c>
      <c r="K18161" t="inlineStr">
        <is>
          <t>1 - 4 Năm</t>
        </is>
      </c>
      <c r="L18161" s="8">
        <f>HYPERLINK("https://careerviet.vn/vi/tim-viec-lam/hr-officer-recruitment-engagement.35C6A4DE.html","Xem chi tiết")</f>
        <v/>
      </c>
    </row>
    <row r="18162">
      <c r="B18162" s="9" t="n">
        <v>18160</v>
      </c>
      <c r="C18162" s="10" t="inlineStr">
        <is>
          <t>Kiến Trúc Sư Triển Khai Bản Vẽ</t>
        </is>
      </c>
      <c r="D18162" s="10" t="inlineStr">
        <is>
          <t>TỔNG CÔNG TY CỔ PHẦN THƯƠNG MẠI XÂY DỰNG</t>
        </is>
      </c>
      <c r="E18162" s="10" t="inlineStr">
        <is>
          <t>Lương:15 Tr - 20 Tr VND</t>
        </is>
      </c>
      <c r="F18162" s="10" t="inlineStr">
        <is>
          <t>Hà Nội</t>
        </is>
      </c>
      <c r="G18162" s="10" t="inlineStr">
        <is>
          <t>31-03-2026</t>
        </is>
      </c>
      <c r="H18162" s="10" t="inlineStr">
        <is>
          <t>31/03/2026</t>
        </is>
      </c>
      <c r="I18162" s="10" t="inlineStr">
        <is>
          <t>17/03/2026</t>
        </is>
      </c>
      <c r="J18162" s="10" t="inlineStr">
        <is>
          <t>Mỹ thuật / Nghệ thuật / Thiết kế, Kiến trúc, Xây dựng</t>
        </is>
      </c>
      <c r="K18162" s="10" t="inlineStr">
        <is>
          <t>2 - 5 Năm</t>
        </is>
      </c>
      <c r="L18162" s="11">
        <f>HYPERLINK("https://careerviet.vn/vi/tim-viec-lam/kien-truc-su-trien-khai-ban-ve.35C6455D.html","Xem chi tiết")</f>
        <v/>
      </c>
      <c r="M18162" s="10" t="n"/>
    </row>
    <row r="18163">
      <c r="B18163" s="7" t="n">
        <v>18161</v>
      </c>
      <c r="C18163" t="inlineStr">
        <is>
          <t>[Nova Hotels &amp; Resorts World] Chuyên viên Cao cấp Kế Toán Tổng Hợp</t>
        </is>
      </c>
      <c r="D18163" t="inlineStr">
        <is>
          <t>Nova Service Group - Công ty Cổ phần Tập đoàn Nova Services</t>
        </is>
      </c>
      <c r="E18163" t="inlineStr">
        <is>
          <t>Lương:Cạnh tranh</t>
        </is>
      </c>
      <c r="F18163" t="inlineStr">
        <is>
          <t>Hồ Chí Minh</t>
        </is>
      </c>
      <c r="G18163" t="inlineStr">
        <is>
          <t>31-03-2026</t>
        </is>
      </c>
      <c r="H18163" t="inlineStr">
        <is>
          <t>31/03/2026</t>
        </is>
      </c>
      <c r="I18163" t="inlineStr">
        <is>
          <t>17/03/2026</t>
        </is>
      </c>
      <c r="J18163" t="inlineStr">
        <is>
          <t>Nhà hàng / Khách sạn, Du lịch</t>
        </is>
      </c>
      <c r="K18163" t="inlineStr">
        <is>
          <t>3 - 5 Năm</t>
        </is>
      </c>
      <c r="L18163" s="8">
        <f>HYPERLINK("https://careerviet.vn/vi/tim-viec-lam/nova-hotels-resorts-world-chuyen-vien-cao-cap-ke-toan-tong-hop.35C644E0.html","Xem chi tiết")</f>
        <v/>
      </c>
    </row>
    <row r="18164">
      <c r="B18164" s="9" t="n">
        <v>18162</v>
      </c>
      <c r="C18164" s="10" t="inlineStr">
        <is>
          <t>Trưởng nhóm Quản lý Sản xuất nội dung</t>
        </is>
      </c>
      <c r="D18164" s="10" t="inlineStr">
        <is>
          <t>Công Ty Cổ Phần Tập Đoàn Đầu Tư Địa Ốc No Va</t>
        </is>
      </c>
      <c r="E18164" s="10" t="inlineStr">
        <is>
          <t>Lương:Cạnh tranh</t>
        </is>
      </c>
      <c r="F18164" s="10" t="inlineStr">
        <is>
          <t>Hồ Chí Minh</t>
        </is>
      </c>
      <c r="G18164" s="10" t="inlineStr">
        <is>
          <t>31-03-2026</t>
        </is>
      </c>
      <c r="H18164" s="10" t="inlineStr">
        <is>
          <t>31/03/2026</t>
        </is>
      </c>
      <c r="I18164" s="10" t="inlineStr">
        <is>
          <t>17/03/2026</t>
        </is>
      </c>
      <c r="J18164" s="10" t="inlineStr">
        <is>
          <t>Nhà hàng / Khách sạn, Bất động sản, Tiếp thị / Marketing</t>
        </is>
      </c>
      <c r="K18164" s="10" t="inlineStr">
        <is>
          <t>8 - 15 Năm</t>
        </is>
      </c>
      <c r="L18164" s="11">
        <f>HYPERLINK("https://careerviet.vn/vi/tim-viec-lam/truong-nhom-quan-ly-san-xuat-noi-dung.35C6457D.html","Xem chi tiết")</f>
        <v/>
      </c>
      <c r="M18164" s="10" t="n"/>
    </row>
    <row r="18165">
      <c r="B18165" s="7" t="n">
        <v>18163</v>
      </c>
      <c r="C18165" t="inlineStr">
        <is>
          <t>Chuyên viên kiểm soát chi phí</t>
        </is>
      </c>
      <c r="D18165" t="inlineStr">
        <is>
          <t>Công Ty Cổ Phần Cơ Khí Xây Dựng Thương Mại Đại Dũng</t>
        </is>
      </c>
      <c r="E18165" t="inlineStr">
        <is>
          <t>Lương:Cạnh tranh</t>
        </is>
      </c>
      <c r="F18165" t="inlineStr">
        <is>
          <t>Hồ Chí Minh</t>
        </is>
      </c>
      <c r="G18165" t="inlineStr">
        <is>
          <t>31-03-2026</t>
        </is>
      </c>
      <c r="H18165" t="inlineStr">
        <is>
          <t>31/03/2026</t>
        </is>
      </c>
      <c r="I18165" t="inlineStr">
        <is>
          <t>17/03/2026</t>
        </is>
      </c>
      <c r="J18165" t="inlineStr">
        <is>
          <t>Sản xuất / Vận hành sản xuất, Xây dựng</t>
        </is>
      </c>
      <c r="K18165" t="inlineStr">
        <is>
          <t>2 - 5 Năm</t>
        </is>
      </c>
      <c r="L18165" s="8">
        <f>HYPERLINK("https://careerviet.vn/vi/tim-viec-lam/chuyen-vien-kiem-soat-chi-phi.35C644AE.html","Xem chi tiết")</f>
        <v/>
      </c>
    </row>
    <row r="18166">
      <c r="B18166" s="9" t="n">
        <v>18164</v>
      </c>
      <c r="C18166" s="10" t="inlineStr">
        <is>
          <t>Chuyên viên Marketing</t>
        </is>
      </c>
      <c r="D18166" s="10" t="inlineStr">
        <is>
          <t>CÔNG TY CỔ PHẦN GIÁO DỤC MAYA</t>
        </is>
      </c>
      <c r="E18166" s="10" t="inlineStr">
        <is>
          <t>Lương:Cạnh tranh</t>
        </is>
      </c>
      <c r="F18166" s="10" t="inlineStr">
        <is>
          <t>Hà Nội</t>
        </is>
      </c>
      <c r="G18166" s="10" t="inlineStr">
        <is>
          <t>31-03-2026</t>
        </is>
      </c>
      <c r="H18166" s="10" t="inlineStr">
        <is>
          <t>31/03/2026</t>
        </is>
      </c>
      <c r="I18166" s="10" t="inlineStr">
        <is>
          <t>17/03/2026</t>
        </is>
      </c>
      <c r="J18166" s="10" t="inlineStr">
        <is>
          <t>Giáo dục / Đào tạo, Tiếp thị / Marketing, Bán hàng / Kinh doanh</t>
        </is>
      </c>
      <c r="K18166" s="10" t="inlineStr">
        <is>
          <t>3 - 5 Năm</t>
        </is>
      </c>
      <c r="L18166" s="11">
        <f>HYPERLINK("https://careerviet.vn/vi/tim-viec-lam/chuyen-vien-marketing.35C64590.html","Xem chi tiết")</f>
        <v/>
      </c>
      <c r="M18166" s="10" t="n"/>
    </row>
    <row r="18167">
      <c r="B18167" s="7" t="n">
        <v>18165</v>
      </c>
      <c r="C18167" t="inlineStr">
        <is>
          <t>Chuyên viên kế toán tiền lương</t>
        </is>
      </c>
      <c r="D18167" t="inlineStr">
        <is>
          <t>BỆNH VIỆN ĐA KHOA PHƯƠNG ĐÔNG</t>
        </is>
      </c>
      <c r="E18167" t="inlineStr">
        <is>
          <t>Lương:9 Tr - 12 Tr VND</t>
        </is>
      </c>
      <c r="F18167" t="inlineStr">
        <is>
          <t>Hà Nội</t>
        </is>
      </c>
      <c r="G18167" t="inlineStr">
        <is>
          <t>31-03-2026</t>
        </is>
      </c>
      <c r="H18167" t="inlineStr">
        <is>
          <t>31/03/2026</t>
        </is>
      </c>
      <c r="I18167" t="inlineStr">
        <is>
          <t>17/03/2026</t>
        </is>
      </c>
      <c r="J18167" t="inlineStr">
        <is>
          <t>Kế toán / Kiểm toán</t>
        </is>
      </c>
      <c r="K18167" t="inlineStr">
        <is>
          <t>1 - 3 Năm</t>
        </is>
      </c>
      <c r="L18167" s="8">
        <f>HYPERLINK("https://careerviet.vn/vi/tim-viec-lam/chuyen-vien-ke-toan-tien-luong.35C644F2.html","Xem chi tiết")</f>
        <v/>
      </c>
    </row>
    <row r="18168">
      <c r="B18168" s="9" t="n">
        <v>18166</v>
      </c>
      <c r="C18168" s="10" t="inlineStr">
        <is>
          <t>Nhân viên Truyền Thông</t>
        </is>
      </c>
      <c r="D18168" s="10" t="inlineStr">
        <is>
          <t>Công ty Cổ Phần Tập Đoàn Điện Quang</t>
        </is>
      </c>
      <c r="E18168" s="10" t="inlineStr">
        <is>
          <t>Lương:Cạnh tranh</t>
        </is>
      </c>
      <c r="F18168" s="10" t="inlineStr">
        <is>
          <t>Hồ Chí Minh</t>
        </is>
      </c>
      <c r="G18168" s="10" t="inlineStr">
        <is>
          <t>01-04-2026</t>
        </is>
      </c>
      <c r="H18168" s="10" t="inlineStr">
        <is>
          <t>01/04/2026</t>
        </is>
      </c>
      <c r="I18168" s="10" t="inlineStr">
        <is>
          <t>17/03/2026</t>
        </is>
      </c>
      <c r="J18168" s="10" t="inlineStr">
        <is>
          <t>Truyền hình / Báo chí / Biên tập, Quảng cáo / Đối ngoại / Truyền Thông, Tổ chức sự kiện</t>
        </is>
      </c>
      <c r="K18168" s="10" t="inlineStr">
        <is>
          <t>1 - 2 Năm</t>
        </is>
      </c>
      <c r="L18168" s="11">
        <f>HYPERLINK("https://careerviet.vn/vi/tim-viec-lam/nhan-vien-truyen-thong.35C6A603.html","Xem chi tiết")</f>
        <v/>
      </c>
      <c r="M18168" s="10" t="n"/>
    </row>
    <row r="18169">
      <c r="B18169" s="7" t="n">
        <v>18167</v>
      </c>
      <c r="C18169" t="inlineStr">
        <is>
          <t>Trade Marketing Supervisor</t>
        </is>
      </c>
      <c r="D18169" t="inlineStr">
        <is>
          <t>Wipro Consumer Care Vietnam</t>
        </is>
      </c>
      <c r="E18169" t="inlineStr">
        <is>
          <t>Lương:Cạnh tranh</t>
        </is>
      </c>
      <c r="F18169" t="inlineStr">
        <is>
          <t>Hồ Chí Minh</t>
        </is>
      </c>
      <c r="G18169" t="inlineStr">
        <is>
          <t>22-04-2026</t>
        </is>
      </c>
      <c r="H18169" t="inlineStr">
        <is>
          <t>22/04/2026</t>
        </is>
      </c>
      <c r="I18169" t="inlineStr">
        <is>
          <t>17/03/2026</t>
        </is>
      </c>
      <c r="J18169" t="inlineStr">
        <is>
          <t>Tiếp thị / Marketing, Bán hàng / Kinh doanh</t>
        </is>
      </c>
      <c r="K18169" t="inlineStr">
        <is>
          <t>2 - 3 Năm</t>
        </is>
      </c>
      <c r="L18169" s="8">
        <f>HYPERLINK("https://careerviet.vn/vi/tim-viec-lam/trade-marketing-supervisor.35C6A4F3.html","Xem chi tiết")</f>
        <v/>
      </c>
    </row>
    <row r="18170">
      <c r="B18170" s="9" t="n">
        <v>18168</v>
      </c>
      <c r="C18170" s="10" t="inlineStr">
        <is>
          <t>HR Assistant (Recruitment)</t>
        </is>
      </c>
      <c r="D18170" s="10" t="inlineStr">
        <is>
          <t>CJ Foodville Việt Nam</t>
        </is>
      </c>
      <c r="E18170" s="10" t="inlineStr">
        <is>
          <t>Lương:Cạnh tranh</t>
        </is>
      </c>
      <c r="F18170" s="10" t="inlineStr">
        <is>
          <t>Hồ Chí Minh</t>
        </is>
      </c>
      <c r="G18170" s="10" t="inlineStr">
        <is>
          <t>29-04-2026</t>
        </is>
      </c>
      <c r="H18170" s="10" t="inlineStr">
        <is>
          <t>29/04/2026</t>
        </is>
      </c>
      <c r="I18170" s="10" t="inlineStr">
        <is>
          <t>17/03/2026</t>
        </is>
      </c>
      <c r="J18170" s="10" t="inlineStr">
        <is>
          <t>Thực phẩm &amp; Đồ uống, Nhân sự, Bán hàng / Kinh doanh</t>
        </is>
      </c>
      <c r="K18170" s="10" t="inlineStr">
        <is>
          <t>3 - 5 Năm</t>
        </is>
      </c>
      <c r="L18170" s="11">
        <f>HYPERLINK("https://careerviet.vn/vi/tim-viec-lam/hr-assistant-recruitment.35C6A3D1.html","Xem chi tiết")</f>
        <v/>
      </c>
      <c r="M18170" s="10" t="n"/>
    </row>
    <row r="18171">
      <c r="B18171" s="7" t="n">
        <v>18169</v>
      </c>
      <c r="C18171" t="inlineStr">
        <is>
          <t>Kế Toán Tổng Hợp</t>
        </is>
      </c>
      <c r="D18171" t="inlineStr">
        <is>
          <t>CÔNG TY TNHH KỸ THUẬT ASG VIỆT NAM</t>
        </is>
      </c>
      <c r="E18171" t="inlineStr">
        <is>
          <t>Lương:Cạnh tranh</t>
        </is>
      </c>
      <c r="F18171" t="inlineStr">
        <is>
          <t>Hà Nội</t>
        </is>
      </c>
      <c r="G18171" t="inlineStr">
        <is>
          <t>31-03-2026</t>
        </is>
      </c>
      <c r="H18171" t="inlineStr">
        <is>
          <t>31/03/2026</t>
        </is>
      </c>
      <c r="I18171" t="inlineStr">
        <is>
          <t>17/03/2026</t>
        </is>
      </c>
      <c r="J18171" t="inlineStr">
        <is>
          <t>Luật / Pháp lý, Kế toán / Kiểm toán, Tài chính / Đầu tư</t>
        </is>
      </c>
      <c r="K18171" t="inlineStr">
        <is>
          <t>3 - 5 Năm</t>
        </is>
      </c>
      <c r="L18171" s="8">
        <f>HYPERLINK("https://careerviet.vn/vi/tim-viec-lam/ke-toan-tong-hop.35C644E2.html","Xem chi tiết")</f>
        <v/>
      </c>
    </row>
    <row r="18172">
      <c r="B18172" s="9" t="n">
        <v>18170</v>
      </c>
      <c r="C18172" s="10" t="inlineStr">
        <is>
          <t>Nhân Viên Sản Xuất</t>
        </is>
      </c>
      <c r="D18172" s="10" t="inlineStr">
        <is>
          <t>Công ty TNHH Ong Mật Tracybee</t>
        </is>
      </c>
      <c r="E18172" s="10" t="inlineStr">
        <is>
          <t>Lương:8 Tr - 10 Tr VND</t>
        </is>
      </c>
      <c r="F18172" s="10" t="inlineStr">
        <is>
          <t>Hồ Chí Minh</t>
        </is>
      </c>
      <c r="G18172" s="10" t="inlineStr">
        <is>
          <t>31-03-2026</t>
        </is>
      </c>
      <c r="H18172" s="10" t="inlineStr">
        <is>
          <t>31/03/2026</t>
        </is>
      </c>
      <c r="I18172" s="10" t="inlineStr">
        <is>
          <t>17/03/2026</t>
        </is>
      </c>
      <c r="J18172" s="10" t="inlineStr">
        <is>
          <t>Công nghệ thực phẩm / Dinh dưỡng, Sản xuất / Vận hành sản xuất, Quản lý chất lượng (QA/QC)</t>
        </is>
      </c>
      <c r="K18172" s="10" t="inlineStr">
        <is>
          <t>N/A</t>
        </is>
      </c>
      <c r="L18172" s="11">
        <f>HYPERLINK("https://careerviet.vn/vi/tim-viec-lam/nhan-vien-san-xuat.35C64449.html","Xem chi tiết")</f>
        <v/>
      </c>
      <c r="M18172" s="10" t="n"/>
    </row>
    <row r="18173">
      <c r="B18173" s="7" t="n">
        <v>18171</v>
      </c>
      <c r="C18173" t="inlineStr">
        <is>
          <t>THỰC TẬP SINH TƯ VẤN ĐẦU TƯ KHCN (Bình Dương)</t>
        </is>
      </c>
      <c r="D18173" t="inlineStr">
        <is>
          <t>VDSC - Công ty CP Chứng khoán Rồng Việt</t>
        </is>
      </c>
      <c r="E18173" t="inlineStr">
        <is>
          <t>Lương:3 Tr - 5 Tr VND</t>
        </is>
      </c>
      <c r="F18173" t="inlineStr">
        <is>
          <t>Bình Dương</t>
        </is>
      </c>
      <c r="G18173" t="inlineStr">
        <is>
          <t>31-03-2026</t>
        </is>
      </c>
      <c r="H18173" t="inlineStr">
        <is>
          <t>31/03/2026</t>
        </is>
      </c>
      <c r="I18173" t="inlineStr">
        <is>
          <t>17/03/2026</t>
        </is>
      </c>
      <c r="J18173" t="inlineStr">
        <is>
          <t>Chứng khoán, Tài chính / Đầu tư, Ngân hàng</t>
        </is>
      </c>
      <c r="K18173" t="inlineStr">
        <is>
          <t>N/A</t>
        </is>
      </c>
      <c r="L18173" s="8">
        <f>HYPERLINK("https://careerviet.vn/vi/tim-viec-lam/thuc-tap-sinh-tu-van-dau-tu-khcn-binh-duong.35C64587.html","Xem chi tiết")</f>
        <v/>
      </c>
    </row>
    <row r="18174">
      <c r="B18174" s="9" t="n">
        <v>18172</v>
      </c>
      <c r="C18174" s="10" t="inlineStr">
        <is>
          <t>Đại Diện Bán Hàng</t>
        </is>
      </c>
      <c r="D18174" s="10" t="inlineStr">
        <is>
          <t>Tập Đoàn Karofi Holding</t>
        </is>
      </c>
      <c r="E18174" s="10" t="inlineStr">
        <is>
          <t>Lương:16 Tr - 22 Tr VND</t>
        </is>
      </c>
      <c r="F18174" s="10" t="inlineStr">
        <is>
          <t>Tuyên QuangBắc CạnĐiện Biên</t>
        </is>
      </c>
      <c r="G18174" s="10" t="inlineStr">
        <is>
          <t>31-03-2026</t>
        </is>
      </c>
      <c r="H18174" s="10" t="inlineStr">
        <is>
          <t>31/03/2026</t>
        </is>
      </c>
      <c r="I18174" s="10" t="inlineStr">
        <is>
          <t>17/03/2026</t>
        </is>
      </c>
      <c r="J18174" s="10" t="inlineStr">
        <is>
          <t>Bán lẻ / Bán sỉ, Bán hàng / Kinh doanh, Hàng gia dụng / Chăm sóc cá nhân</t>
        </is>
      </c>
      <c r="K18174" s="10" t="inlineStr">
        <is>
          <t>Trên 1 Năm</t>
        </is>
      </c>
      <c r="L18174" s="11">
        <f>HYPERLINK("https://careerviet.vn/vi/tim-viec-lam/dai-dien-ban-hang.35C64532.html","Xem chi tiết")</f>
        <v/>
      </c>
      <c r="M18174" s="10" t="n"/>
    </row>
    <row r="18175">
      <c r="B18175" s="7" t="n">
        <v>18173</v>
      </c>
      <c r="C18175" t="inlineStr">
        <is>
          <t>Chuyên Viên Kiểm Toán Nội Bộ</t>
        </is>
      </c>
      <c r="D18175" t="inlineStr">
        <is>
          <t>Tổng Công ty Du Lịch Sài Gòn-TNHH MTV (SAIGONTOURIST)</t>
        </is>
      </c>
      <c r="E18175" t="inlineStr">
        <is>
          <t>Lương:15 Tr - 20 Tr VND</t>
        </is>
      </c>
      <c r="F18175" t="inlineStr">
        <is>
          <t>Hồ Chí Minh</t>
        </is>
      </c>
      <c r="G18175" t="inlineStr">
        <is>
          <t>31-03-2026</t>
        </is>
      </c>
      <c r="H18175" t="inlineStr">
        <is>
          <t>31/03/2026</t>
        </is>
      </c>
      <c r="I18175" t="inlineStr">
        <is>
          <t>17/03/2026</t>
        </is>
      </c>
      <c r="J18175" t="inlineStr">
        <is>
          <t>Tài chính / Đầu tư, Kế toán / Kiểm toán, Du lịch</t>
        </is>
      </c>
      <c r="K18175" t="inlineStr">
        <is>
          <t>Trên 3 Năm</t>
        </is>
      </c>
      <c r="L18175" s="8">
        <f>HYPERLINK("https://careerviet.vn/vi/tim-viec-lam/chuyen-vien-kiem-toan-noi-bo.35C645CD.html","Xem chi tiết")</f>
        <v/>
      </c>
    </row>
    <row r="18176">
      <c r="B18176" s="9" t="n">
        <v>18174</v>
      </c>
      <c r="C18176" s="10" t="inlineStr">
        <is>
          <t>Nhân Viên Tư Vấn Sản Phẩm Livotec tại Điện Máy Xanh Tiền Giang/An Giang/Bến Tre</t>
        </is>
      </c>
      <c r="D18176" s="10" t="inlineStr">
        <is>
          <t>Tập Đoàn Karofi Holding</t>
        </is>
      </c>
      <c r="E18176" s="10" t="inlineStr">
        <is>
          <t>Lương:8 Tr - 15 Tr VND</t>
        </is>
      </c>
      <c r="F18176" s="10" t="inlineStr">
        <is>
          <t>Tiền GiangAn GiangBến Tre</t>
        </is>
      </c>
      <c r="G18176" s="10" t="inlineStr">
        <is>
          <t>31-03-2026</t>
        </is>
      </c>
      <c r="H18176" s="10" t="inlineStr">
        <is>
          <t>31/03/2026</t>
        </is>
      </c>
      <c r="I18176" s="10" t="inlineStr">
        <is>
          <t>17/03/2026</t>
        </is>
      </c>
      <c r="J18176" s="10" t="inlineStr">
        <is>
          <t>Bán hàng / Kinh doanh</t>
        </is>
      </c>
      <c r="K18176" s="10" t="inlineStr">
        <is>
          <t>Trên 6 Năm</t>
        </is>
      </c>
      <c r="L18176" s="11">
        <f>HYPERLINK("https://careerviet.vn/vi/tim-viec-lam/nhan-vien-tu-van-san-pham-livotec-tai-dien-may-xanh-tien-giang-an-giang-ben-tre.35C6450F.html","Xem chi tiết")</f>
        <v/>
      </c>
      <c r="M18176" s="10" t="n"/>
    </row>
    <row r="18177">
      <c r="B18177" s="7" t="n">
        <v>18175</v>
      </c>
      <c r="C18177" t="inlineStr">
        <is>
          <t>126465 - Deputy Manager of Corporate Claims Division - Insurance (Non-Life)</t>
        </is>
      </c>
      <c r="D18177" t="inlineStr">
        <is>
          <t>RGF HR Agent Vietnam Co., LTD</t>
        </is>
      </c>
      <c r="E18177" t="inlineStr">
        <is>
          <t>Lương:Cạnh tranh</t>
        </is>
      </c>
      <c r="F18177" t="inlineStr">
        <is>
          <t>Hà Nội</t>
        </is>
      </c>
      <c r="G18177" t="inlineStr">
        <is>
          <t>31-03-2026</t>
        </is>
      </c>
      <c r="H18177" t="inlineStr">
        <is>
          <t>31/03/2026</t>
        </is>
      </c>
      <c r="I18177" t="inlineStr">
        <is>
          <t>17/03/2026</t>
        </is>
      </c>
      <c r="J18177" t="inlineStr">
        <is>
          <t>Bảo hiểm</t>
        </is>
      </c>
      <c r="K18177" t="inlineStr">
        <is>
          <t>Trên 4 Năm</t>
        </is>
      </c>
      <c r="L18177" s="8">
        <f>HYPERLINK("https://careerviet.vn/vi/tim-viec-lam/126465-deputy-manager-of-corporate-claims-division-insurance-non-life.35C6459D.html","Xem chi tiết")</f>
        <v/>
      </c>
    </row>
    <row r="18178">
      <c r="B18178" s="9" t="n">
        <v>18176</v>
      </c>
      <c r="C18178" s="10" t="inlineStr">
        <is>
          <t>Kỹ Sư Thiết Kế Hệ Thống Điện/Điện Nhẹ</t>
        </is>
      </c>
      <c r="D18178" s="10" t="inlineStr">
        <is>
          <t>Công Ty CP Tự động hóa và Xây lắp điện SNT</t>
        </is>
      </c>
      <c r="E18178" s="10" t="inlineStr">
        <is>
          <t>Lương:Cạnh tranh</t>
        </is>
      </c>
      <c r="F18178" s="10" t="inlineStr">
        <is>
          <t>Nghệ AnHà Nội</t>
        </is>
      </c>
      <c r="G18178" s="10" t="inlineStr">
        <is>
          <t>31-03-2026</t>
        </is>
      </c>
      <c r="H18178" s="10" t="inlineStr">
        <is>
          <t>31/03/2026</t>
        </is>
      </c>
      <c r="I18178" s="10" t="inlineStr">
        <is>
          <t>17/03/2026</t>
        </is>
      </c>
      <c r="J18178" s="10" t="inlineStr">
        <is>
          <t>Cơ khí / Ô tô / Tự động hóa, Điện / Điện tử / Điện lạnh / Điện công nghiệp, Mỹ thuật / Nghệ thuật / Thiết kế</t>
        </is>
      </c>
      <c r="K18178" s="10" t="inlineStr">
        <is>
          <t>2 - 3 Năm</t>
        </is>
      </c>
      <c r="L18178" s="11">
        <f>HYPERLINK("https://careerviet.vn/vi/tim-viec-lam/ky-su-thiet-ke-he-thong-dien-dien-nhe.35C645BF.html","Xem chi tiết")</f>
        <v/>
      </c>
      <c r="M18178" s="10" t="n"/>
    </row>
    <row r="18179">
      <c r="B18179" s="7" t="n">
        <v>18177</v>
      </c>
      <c r="C18179" t="inlineStr">
        <is>
          <t>Nhân Viên Kinh Doanh</t>
        </is>
      </c>
      <c r="D18179" t="inlineStr">
        <is>
          <t>Công ty TNHH Ong Mật Tracybee</t>
        </is>
      </c>
      <c r="E18179" t="inlineStr">
        <is>
          <t>Lương:Trên 9 Tr VND</t>
        </is>
      </c>
      <c r="F18179" t="inlineStr">
        <is>
          <t>Hồ Chí MinhHà Nội</t>
        </is>
      </c>
      <c r="G18179" t="inlineStr">
        <is>
          <t>31-03-2026</t>
        </is>
      </c>
      <c r="H18179" t="inlineStr">
        <is>
          <t>31/03/2026</t>
        </is>
      </c>
      <c r="I18179" t="inlineStr">
        <is>
          <t>17/03/2026</t>
        </is>
      </c>
      <c r="J18179" t="inlineStr">
        <is>
          <t>Công nghệ thực phẩm / Dinh dưỡng, Tiếp thị / Marketing, Bán hàng / Kinh doanh</t>
        </is>
      </c>
      <c r="K18179" t="inlineStr">
        <is>
          <t>Trên 1 Năm</t>
        </is>
      </c>
      <c r="L18179" s="8">
        <f>HYPERLINK("https://careerviet.vn/vi/tim-viec-lam/nhan-vien-kinh-doanh.35C6444A.html","Xem chi tiết")</f>
        <v/>
      </c>
    </row>
    <row r="18180">
      <c r="B18180" s="9" t="n">
        <v>18178</v>
      </c>
      <c r="C18180" s="10" t="inlineStr">
        <is>
          <t>126305 - Tiếng Nhật - Trợ lý kinh doanh - ngành Phần mềm</t>
        </is>
      </c>
      <c r="D18180" s="10" t="inlineStr">
        <is>
          <t>RGF HR Agent Vietnam Co., LTD</t>
        </is>
      </c>
      <c r="E18180" s="10" t="inlineStr">
        <is>
          <t>Lương:60 Tr - 60 Tr VND</t>
        </is>
      </c>
      <c r="F18180" s="10" t="inlineStr">
        <is>
          <t>Hà Nội</t>
        </is>
      </c>
      <c r="G18180" s="10" t="inlineStr">
        <is>
          <t>31-03-2026</t>
        </is>
      </c>
      <c r="H18180" s="10" t="inlineStr">
        <is>
          <t>31/03/2026</t>
        </is>
      </c>
      <c r="I18180" s="10" t="inlineStr">
        <is>
          <t>17/03/2026</t>
        </is>
      </c>
      <c r="J18180" s="10" t="inlineStr">
        <is>
          <t>Bán hàng / Kinh doanh, Dịch vụ khách hàng, Hành chính / Thư ký</t>
        </is>
      </c>
      <c r="K18180" s="10" t="inlineStr">
        <is>
          <t>Trên 3 Năm</t>
        </is>
      </c>
      <c r="L18180" s="11">
        <f>HYPERLINK("https://careerviet.vn/vi/tim-viec-lam/126305-tieng-nhat-tro-ly-kinh-doanh-nganh-phan-mem.35C645CE.html","Xem chi tiết")</f>
        <v/>
      </c>
      <c r="M18180" s="10" t="n"/>
    </row>
    <row r="18181">
      <c r="B18181" s="7" t="n">
        <v>18179</v>
      </c>
      <c r="C18181" t="inlineStr">
        <is>
          <t>Nhân viên kinh doanh - VBI Quảng Bình</t>
        </is>
      </c>
      <c r="D18181" t="inlineStr">
        <is>
          <t>Tổng Công Ty Cổ Phần Bảo Hiểm Ngân Hàng TMCP Công Thương Việt Nam</t>
        </is>
      </c>
      <c r="E18181" t="inlineStr">
        <is>
          <t>Lương:Cạnh tranh</t>
        </is>
      </c>
      <c r="F18181" t="inlineStr">
        <is>
          <t>Quảng Bình</t>
        </is>
      </c>
      <c r="G18181" t="inlineStr">
        <is>
          <t>31-03-2026</t>
        </is>
      </c>
      <c r="H18181" t="inlineStr">
        <is>
          <t>31/03/2026</t>
        </is>
      </c>
      <c r="I18181" t="inlineStr">
        <is>
          <t>17/03/2026</t>
        </is>
      </c>
      <c r="J18181" t="inlineStr">
        <is>
          <t>Bảo hiểm</t>
        </is>
      </c>
      <c r="K18181" t="inlineStr">
        <is>
          <t>1 - 2 Năm</t>
        </is>
      </c>
      <c r="L18181" s="8">
        <f>HYPERLINK("https://careerviet.vn/vi/tim-viec-lam/nhan-vien-kinh-doanh-vbi-quang-binh.35C64606.html","Xem chi tiết")</f>
        <v/>
      </c>
    </row>
    <row r="18182">
      <c r="B18182" s="9" t="n">
        <v>18180</v>
      </c>
      <c r="C18182" s="10" t="inlineStr">
        <is>
          <t>NHÂN VIÊN KẾ TOÁN - VBI THÀNH AN (Hà Nội)</t>
        </is>
      </c>
      <c r="D18182" s="10" t="inlineStr">
        <is>
          <t>Tổng Công Ty Cổ Phần Bảo Hiểm Ngân Hàng TMCP Công Thương Việt Nam</t>
        </is>
      </c>
      <c r="E18182" s="10" t="inlineStr">
        <is>
          <t>Lương:Cạnh tranh</t>
        </is>
      </c>
      <c r="F18182" s="10" t="inlineStr">
        <is>
          <t>Hà Nội</t>
        </is>
      </c>
      <c r="G18182" s="10" t="inlineStr">
        <is>
          <t>31-03-2026</t>
        </is>
      </c>
      <c r="H18182" s="10" t="inlineStr">
        <is>
          <t>31/03/2026</t>
        </is>
      </c>
      <c r="I18182" s="10" t="inlineStr">
        <is>
          <t>17/03/2026</t>
        </is>
      </c>
      <c r="J18182" s="10" t="inlineStr">
        <is>
          <t>Kế toán / Kiểm toán, Tài chính / Đầu tư</t>
        </is>
      </c>
      <c r="K18182" s="10" t="inlineStr">
        <is>
          <t>Trên 1 Năm</t>
        </is>
      </c>
      <c r="L18182" s="11">
        <f>HYPERLINK("https://careerviet.vn/vi/tim-viec-lam/nhan-vien-ke-toan-vbi-thanh-an-ha-noi.35C64608.html","Xem chi tiết")</f>
        <v/>
      </c>
      <c r="M18182" s="10" t="n"/>
    </row>
    <row r="18183">
      <c r="B18183" s="7" t="n">
        <v>18181</v>
      </c>
      <c r="C18183" t="inlineStr">
        <is>
          <t>Nhân viên kinh doanh - Tuyên Quang</t>
        </is>
      </c>
      <c r="D18183" t="inlineStr">
        <is>
          <t>Tổng Công Ty Cổ Phần Bảo Hiểm Ngân Hàng TMCP Công Thương Việt Nam</t>
        </is>
      </c>
      <c r="E18183" t="inlineStr">
        <is>
          <t>Lương:Cạnh tranh</t>
        </is>
      </c>
      <c r="F18183" t="inlineStr">
        <is>
          <t>Tuyên Quang</t>
        </is>
      </c>
      <c r="G18183" t="inlineStr">
        <is>
          <t>31-03-2026</t>
        </is>
      </c>
      <c r="H18183" t="inlineStr">
        <is>
          <t>31/03/2026</t>
        </is>
      </c>
      <c r="I18183" t="inlineStr">
        <is>
          <t>17/03/2026</t>
        </is>
      </c>
      <c r="J18183" t="inlineStr">
        <is>
          <t>Bảo hiểm, Bán hàng / Kinh doanh, Ngân hàng</t>
        </is>
      </c>
      <c r="K18183" t="inlineStr">
        <is>
          <t>N/A</t>
        </is>
      </c>
      <c r="L18183" s="8">
        <f>HYPERLINK("https://careerviet.vn/vi/tim-viec-lam/nhan-vien-kinh-doanh-tuyen-quang.35C64607.html","Xem chi tiết")</f>
        <v/>
      </c>
    </row>
    <row r="18184">
      <c r="B18184" s="9" t="n">
        <v>18182</v>
      </c>
      <c r="C18184" s="10" t="inlineStr">
        <is>
          <t>Nhân viên Booking KOL/KOC tại Bình Tân</t>
        </is>
      </c>
      <c r="D18184" s="10" t="inlineStr">
        <is>
          <t>Công Ty TNHH Công Nghệ Toàn Cầu Wook Việt Nam</t>
        </is>
      </c>
      <c r="E18184" s="10" t="inlineStr">
        <is>
          <t>Lương:8 Tr - 12 Tr VND</t>
        </is>
      </c>
      <c r="F18184" s="10" t="inlineStr">
        <is>
          <t>Hồ Chí Minh</t>
        </is>
      </c>
      <c r="G18184" s="10" t="inlineStr">
        <is>
          <t>31-03-2026</t>
        </is>
      </c>
      <c r="H18184" s="10" t="inlineStr">
        <is>
          <t>31/03/2026</t>
        </is>
      </c>
      <c r="I18184" s="10" t="inlineStr">
        <is>
          <t>17/03/2026</t>
        </is>
      </c>
      <c r="J18184" s="10" t="inlineStr">
        <is>
          <t>Thương mại điện tử</t>
        </is>
      </c>
      <c r="K18184" s="10" t="inlineStr">
        <is>
          <t>1 - 3 Năm</t>
        </is>
      </c>
      <c r="L18184" s="11">
        <f>HYPERLINK("https://careerviet.vn/vi/tim-viec-lam/nhan-vien-booking-kol-koc-tai-binh-tan.35C6456F.html","Xem chi tiết")</f>
        <v/>
      </c>
      <c r="M18184" s="10" t="n"/>
    </row>
    <row r="18185">
      <c r="B18185" s="7" t="n">
        <v>18183</v>
      </c>
      <c r="C18185" t="inlineStr">
        <is>
          <t>Kiến Trúc Sư Kiểm Soát Thiết Kế</t>
        </is>
      </c>
      <c r="D18185" t="inlineStr">
        <is>
          <t>TỔNG CÔNG TY CỔ PHẦN THƯƠNG MẠI XÂY DỰNG</t>
        </is>
      </c>
      <c r="E18185" t="inlineStr">
        <is>
          <t>Lương:30 Tr - 50 Tr VND</t>
        </is>
      </c>
      <c r="F18185" t="inlineStr">
        <is>
          <t>Hà Nội</t>
        </is>
      </c>
      <c r="G18185" t="inlineStr">
        <is>
          <t>31-03-2026</t>
        </is>
      </c>
      <c r="H18185" t="inlineStr">
        <is>
          <t>31/03/2026</t>
        </is>
      </c>
      <c r="I18185" t="inlineStr">
        <is>
          <t>17/03/2026</t>
        </is>
      </c>
      <c r="J18185" t="inlineStr">
        <is>
          <t>Mỹ thuật / Nghệ thuật / Thiết kế, Xây dựng, Bất động sản</t>
        </is>
      </c>
      <c r="K18185" t="inlineStr">
        <is>
          <t>5 - 10 Năm</t>
        </is>
      </c>
      <c r="L18185" s="8">
        <f>HYPERLINK("https://careerviet.vn/vi/tim-viec-lam/kien-truc-su-kiem-soat-thiet-ke.35C6454D.html","Xem chi tiết")</f>
        <v/>
      </c>
    </row>
    <row r="18186">
      <c r="B18186" s="9" t="n">
        <v>18184</v>
      </c>
      <c r="C18186" s="10" t="inlineStr">
        <is>
          <t>Senior Talent Acquisition Officer (6-month contract)</t>
        </is>
      </c>
      <c r="D18186" s="10" t="inlineStr">
        <is>
          <t>Savills Vietnam</t>
        </is>
      </c>
      <c r="E18186" s="10" t="inlineStr">
        <is>
          <t>Lương:Cạnh tranh</t>
        </is>
      </c>
      <c r="F18186" s="10" t="inlineStr">
        <is>
          <t>Hồ Chí Minh</t>
        </is>
      </c>
      <c r="G18186" s="10" t="inlineStr">
        <is>
          <t>31-03-2026</t>
        </is>
      </c>
      <c r="H18186" s="10" t="inlineStr">
        <is>
          <t>31/03/2026</t>
        </is>
      </c>
      <c r="I18186" s="10" t="inlineStr">
        <is>
          <t>17/03/2026</t>
        </is>
      </c>
      <c r="J18186" s="10" t="inlineStr">
        <is>
          <t>Nhân sự</t>
        </is>
      </c>
      <c r="K18186" s="10" t="inlineStr">
        <is>
          <t>3 - 4 Năm</t>
        </is>
      </c>
      <c r="L18186" s="11">
        <f>HYPERLINK("https://careerviet.vn/vi/tim-viec-lam/senior-talent-acquisition-officer-6-month-contract.35C633E9.html","Xem chi tiết")</f>
        <v/>
      </c>
      <c r="M18186" s="10" t="n"/>
    </row>
    <row r="18187">
      <c r="B18187" s="7" t="n">
        <v>18185</v>
      </c>
      <c r="C18187" t="inlineStr">
        <is>
          <t>Chuyên Viên Marketing</t>
        </is>
      </c>
      <c r="D18187" t="inlineStr">
        <is>
          <t>Công Ty Cổ Phần Cơ Khí Chính Xác VN-J</t>
        </is>
      </c>
      <c r="E18187" t="inlineStr">
        <is>
          <t>Lương:Cạnh tranh</t>
        </is>
      </c>
      <c r="F18187" t="inlineStr">
        <is>
          <t>Hà Nội</t>
        </is>
      </c>
      <c r="G18187" t="inlineStr">
        <is>
          <t>31-03-2026</t>
        </is>
      </c>
      <c r="H18187" t="inlineStr">
        <is>
          <t>31/03/2026</t>
        </is>
      </c>
      <c r="I18187" t="inlineStr">
        <is>
          <t>17/03/2026</t>
        </is>
      </c>
      <c r="J18187" t="inlineStr">
        <is>
          <t>Tiếp thị / Marketing, Tiếp thị trực tuyến, Bán Hàng Kỹ Thuật</t>
        </is>
      </c>
      <c r="K18187" t="inlineStr">
        <is>
          <t>Trên 1 Năm</t>
        </is>
      </c>
      <c r="L18187" s="8">
        <f>HYPERLINK("https://careerviet.vn/vi/tim-viec-lam/chuyen-vien-marketing.35C6427E.html","Xem chi tiết")</f>
        <v/>
      </c>
    </row>
    <row r="18188">
      <c r="B18188" s="9" t="n">
        <v>18186</v>
      </c>
      <c r="C18188" s="10" t="inlineStr">
        <is>
          <t>Chuyên Viên Mua Hàng Nguyên Vật Liệu / Purchasing Raw Material Specialist</t>
        </is>
      </c>
      <c r="D18188" s="10" t="inlineStr">
        <is>
          <t>Tan Hiep Phat Group</t>
        </is>
      </c>
      <c r="E18188" s="10" t="inlineStr">
        <is>
          <t>Lương:Cạnh tranh</t>
        </is>
      </c>
      <c r="F18188" s="10" t="inlineStr">
        <is>
          <t>Bình DươngHồ Chí Minh</t>
        </is>
      </c>
      <c r="G18188" s="10" t="inlineStr">
        <is>
          <t>31-03-2026</t>
        </is>
      </c>
      <c r="H18188" s="10" t="inlineStr">
        <is>
          <t>31/03/2026</t>
        </is>
      </c>
      <c r="I18188" s="10" t="inlineStr">
        <is>
          <t>17/03/2026</t>
        </is>
      </c>
      <c r="J18188" s="10" t="inlineStr">
        <is>
          <t>Thực phẩm &amp; Đồ uống, Thu mua / Vật tư</t>
        </is>
      </c>
      <c r="K18188" s="10" t="inlineStr">
        <is>
          <t>Trên 3 Năm</t>
        </is>
      </c>
      <c r="L18188" s="11">
        <f>HYPERLINK("https://careerviet.vn/vi/tim-viec-lam/chuyen-vien-mua-hang-nguyen-vat-lieu-purchasing-raw-material-specialist.35C644C6.html","Xem chi tiết")</f>
        <v/>
      </c>
      <c r="M18188" s="10" t="n"/>
    </row>
    <row r="18189">
      <c r="B18189" s="7" t="n">
        <v>18187</v>
      </c>
      <c r="C18189" t="inlineStr">
        <is>
          <t>Chuyên Viên Số Hóa Bài Giảng</t>
        </is>
      </c>
      <c r="D18189" t="inlineStr">
        <is>
          <t>Tổng công ty Xây dựng số 1 – CTCP</t>
        </is>
      </c>
      <c r="E18189" t="inlineStr">
        <is>
          <t>Lương:Cạnh tranh</t>
        </is>
      </c>
      <c r="F18189" t="inlineStr">
        <is>
          <t>Hồ Chí Minh</t>
        </is>
      </c>
      <c r="G18189" t="inlineStr">
        <is>
          <t>31-03-2026</t>
        </is>
      </c>
      <c r="H18189" t="inlineStr">
        <is>
          <t>31/03/2026</t>
        </is>
      </c>
      <c r="I18189" t="inlineStr">
        <is>
          <t>17/03/2026</t>
        </is>
      </c>
      <c r="J18189" t="inlineStr">
        <is>
          <t>Giáo dục / Đào tạo</t>
        </is>
      </c>
      <c r="K18189" t="inlineStr">
        <is>
          <t>2 - 3 Năm</t>
        </is>
      </c>
      <c r="L18189" s="8">
        <f>HYPERLINK("https://careerviet.vn/vi/tim-viec-lam/chuyen-vien-so-hoa-bai-giang.35C64507.html","Xem chi tiết")</f>
        <v/>
      </c>
    </row>
    <row r="18190">
      <c r="B18190" s="9" t="n">
        <v>18188</v>
      </c>
      <c r="C18190" s="10" t="inlineStr">
        <is>
          <t>Chuyên viên hành chính nhân sự</t>
        </is>
      </c>
      <c r="D18190" s="10" t="inlineStr">
        <is>
          <t>Công ty Cổ phần Đầu Tư Xây Dựng Amavi</t>
        </is>
      </c>
      <c r="E18190" s="10" t="inlineStr">
        <is>
          <t>Lương:Cạnh tranh</t>
        </is>
      </c>
      <c r="F18190" s="10" t="inlineStr">
        <is>
          <t>Bình Dương</t>
        </is>
      </c>
      <c r="G18190" s="10" t="inlineStr">
        <is>
          <t>31-03-2026</t>
        </is>
      </c>
      <c r="H18190" s="10" t="inlineStr">
        <is>
          <t>31/03/2026</t>
        </is>
      </c>
      <c r="I18190" s="10" t="inlineStr">
        <is>
          <t>17/03/2026</t>
        </is>
      </c>
      <c r="J18190" s="10" t="inlineStr">
        <is>
          <t>Hành chính / Thư ký, Nhân sự, Sản xuất / Vận hành sản xuất</t>
        </is>
      </c>
      <c r="K18190" s="10" t="inlineStr">
        <is>
          <t>Trên 1 Năm</t>
        </is>
      </c>
      <c r="L18190" s="11">
        <f>HYPERLINK("https://careerviet.vn/vi/tim-viec-lam/chuyen-vien-hanh-chinh-nhan-su.35C64549.html","Xem chi tiết")</f>
        <v/>
      </c>
      <c r="M18190" s="10" t="n"/>
    </row>
    <row r="18191">
      <c r="B18191" s="7" t="n">
        <v>18189</v>
      </c>
      <c r="C18191" t="inlineStr">
        <is>
          <t>Nhân viên thống kê</t>
        </is>
      </c>
      <c r="D18191" t="inlineStr">
        <is>
          <t>CÔNG TY CỔ PHẦN NHỰA TÁI CHẾ DUY TÂN</t>
        </is>
      </c>
      <c r="E18191" t="inlineStr">
        <is>
          <t>Lương:6 Tr - 8 Tr VND</t>
        </is>
      </c>
      <c r="F18191" t="inlineStr">
        <is>
          <t>Vĩnh Long</t>
        </is>
      </c>
      <c r="G18191" t="inlineStr">
        <is>
          <t>31-03-2026</t>
        </is>
      </c>
      <c r="H18191" t="inlineStr">
        <is>
          <t>31/03/2026</t>
        </is>
      </c>
      <c r="I18191" t="inlineStr">
        <is>
          <t>17/03/2026</t>
        </is>
      </c>
      <c r="J18191" t="inlineStr">
        <is>
          <t>Kế toán / Kiểm toán, Thống kê, Sản xuất / Vận hành sản xuất</t>
        </is>
      </c>
      <c r="K18191" t="inlineStr">
        <is>
          <t>1 - 2 Năm</t>
        </is>
      </c>
      <c r="L18191" s="8">
        <f>HYPERLINK("https://careerviet.vn/vi/tim-viec-lam/nhan-vien-thong-ke.35C644C3.html","Xem chi tiết")</f>
        <v/>
      </c>
    </row>
    <row r="18192">
      <c r="B18192" s="9" t="n">
        <v>18190</v>
      </c>
      <c r="C18192" s="10" t="inlineStr">
        <is>
          <t>C&amp;B Officer</t>
        </is>
      </c>
      <c r="D18192" s="10" t="inlineStr">
        <is>
          <t>Savills Vietnam</t>
        </is>
      </c>
      <c r="E18192" s="10" t="inlineStr">
        <is>
          <t>Lương:Cạnh tranh</t>
        </is>
      </c>
      <c r="F18192" s="10" t="inlineStr">
        <is>
          <t>Hồ Chí Minh</t>
        </is>
      </c>
      <c r="G18192" s="10" t="inlineStr">
        <is>
          <t>31-03-2026</t>
        </is>
      </c>
      <c r="H18192" s="10" t="inlineStr">
        <is>
          <t>31/03/2026</t>
        </is>
      </c>
      <c r="I18192" s="10" t="inlineStr">
        <is>
          <t>17/03/2026</t>
        </is>
      </c>
      <c r="J18192" s="10" t="inlineStr">
        <is>
          <t>Nhân sự</t>
        </is>
      </c>
      <c r="K18192" s="10" t="inlineStr">
        <is>
          <t>2 - 7 Năm</t>
        </is>
      </c>
      <c r="L18192" s="11">
        <f>HYPERLINK("https://careerviet.vn/vi/tim-viec-lam/c-b-officer.35C63F2D.html","Xem chi tiết")</f>
        <v/>
      </c>
      <c r="M18192" s="10" t="n"/>
    </row>
    <row r="18193">
      <c r="B18193" s="7" t="n">
        <v>18191</v>
      </c>
      <c r="C18193" t="inlineStr">
        <is>
          <t>Transportation Assistance- Trợ lý điều phối</t>
        </is>
      </c>
      <c r="D18193" t="inlineStr">
        <is>
          <t>Công Ty Cổ Phần Goody Group</t>
        </is>
      </c>
      <c r="E18193" t="inlineStr">
        <is>
          <t>Lương:8 Tr - 9 Tr VND</t>
        </is>
      </c>
      <c r="F18193" t="inlineStr">
        <is>
          <t>Hồ Chí Minh</t>
        </is>
      </c>
      <c r="G18193" t="inlineStr">
        <is>
          <t>31-03-2026</t>
        </is>
      </c>
      <c r="H18193" t="inlineStr">
        <is>
          <t>31/03/2026</t>
        </is>
      </c>
      <c r="I18193" t="inlineStr">
        <is>
          <t>17/03/2026</t>
        </is>
      </c>
      <c r="J18193" t="inlineStr">
        <is>
          <t>Vận chuyển / Giao nhận / Kho vận</t>
        </is>
      </c>
      <c r="K18193" t="inlineStr">
        <is>
          <t>1 - 2 Năm</t>
        </is>
      </c>
      <c r="L18193" s="8">
        <f>HYPERLINK("https://careerviet.vn/vi/tim-viec-lam/transportation-assistance-tro-ly-dieu-phoi.35C6450D.html","Xem chi tiết")</f>
        <v/>
      </c>
    </row>
    <row r="18194">
      <c r="B18194" s="9" t="n">
        <v>18192</v>
      </c>
      <c r="C18194" s="10" t="inlineStr">
        <is>
          <t>Chuyên viên Thủ tục Pháp lý Doanh nghiệp</t>
        </is>
      </c>
      <c r="D18194" s="10" t="inlineStr">
        <is>
          <t>Công Ty Cổ Phần Tập Đoàn Đầu Tư Địa Ốc No Va</t>
        </is>
      </c>
      <c r="E18194" s="10" t="inlineStr">
        <is>
          <t>Lương:Cạnh tranh</t>
        </is>
      </c>
      <c r="F18194" s="10" t="inlineStr">
        <is>
          <t>Hồ Chí Minh</t>
        </is>
      </c>
      <c r="G18194" s="10" t="inlineStr">
        <is>
          <t>31-03-2026</t>
        </is>
      </c>
      <c r="H18194" s="10" t="inlineStr">
        <is>
          <t>31/03/2026</t>
        </is>
      </c>
      <c r="I18194" s="10" t="inlineStr">
        <is>
          <t>17/03/2026</t>
        </is>
      </c>
      <c r="J18194" s="10" t="inlineStr">
        <is>
          <t>Luật / Pháp lý</t>
        </is>
      </c>
      <c r="K18194" s="10" t="inlineStr">
        <is>
          <t>3 - 5 Năm</t>
        </is>
      </c>
      <c r="L18194" s="11">
        <f>HYPERLINK("https://careerviet.vn/vi/tim-viec-lam/chuyen-vien-thu-tuc-phap-ly-doanh-nghiep.35C64534.html","Xem chi tiết")</f>
        <v/>
      </c>
      <c r="M18194" s="10" t="n"/>
    </row>
    <row r="18195">
      <c r="B18195" s="7" t="n">
        <v>18193</v>
      </c>
      <c r="C18195" t="inlineStr">
        <is>
          <t>Kế toán trưởng khối bất động sản Công ty</t>
        </is>
      </c>
      <c r="D18195" t="inlineStr">
        <is>
          <t>Công ty Cổ phần Tập Đoàn Picenza Viet Nam</t>
        </is>
      </c>
      <c r="E18195" t="inlineStr">
        <is>
          <t>Lương:38 Tr - 40 Tr VND</t>
        </is>
      </c>
      <c r="F18195" t="inlineStr">
        <is>
          <t>Hà Nội</t>
        </is>
      </c>
      <c r="G18195" t="inlineStr">
        <is>
          <t>31-03-2026</t>
        </is>
      </c>
      <c r="H18195" t="inlineStr">
        <is>
          <t>31/03/2026</t>
        </is>
      </c>
      <c r="I18195" t="inlineStr">
        <is>
          <t>17/03/2026</t>
        </is>
      </c>
      <c r="J18195" t="inlineStr">
        <is>
          <t>Kế toán / Kiểm toán, Tài chính / Đầu tư</t>
        </is>
      </c>
      <c r="K18195" t="inlineStr">
        <is>
          <t>Trên 5 Năm</t>
        </is>
      </c>
      <c r="L18195" s="8">
        <f>HYPERLINK("https://careerviet.vn/vi/tim-viec-lam/ke-toan-truong-khoi-bat-dong-san-cong-ty.35C645D7.html","Xem chi tiết")</f>
        <v/>
      </c>
    </row>
    <row r="18196">
      <c r="B18196" s="9" t="n">
        <v>18194</v>
      </c>
      <c r="C18196" s="10" t="inlineStr">
        <is>
          <t>Inspector (Garment/ Electrical/Furniture)</t>
        </is>
      </c>
      <c r="D18196" s="10" t="inlineStr">
        <is>
          <t>Công ty Bureau Veritas Consumer Products Services Việt Nam</t>
        </is>
      </c>
      <c r="E18196" s="10" t="inlineStr">
        <is>
          <t>Lương:Cạnh tranh</t>
        </is>
      </c>
      <c r="F18196" s="10" t="inlineStr">
        <is>
          <t>Bình DươngHà NộiHồ Chí Minh</t>
        </is>
      </c>
      <c r="G18196" s="10" t="inlineStr">
        <is>
          <t>31-03-2026</t>
        </is>
      </c>
      <c r="H18196" s="10" t="inlineStr">
        <is>
          <t>31/03/2026</t>
        </is>
      </c>
      <c r="I18196" s="10" t="inlineStr">
        <is>
          <t>17/03/2026</t>
        </is>
      </c>
      <c r="J18196" s="10" t="inlineStr">
        <is>
          <t>Đồ gỗ, Dệt may / Da giày / Thời trang, Quản lý chất lượng (QA/QC)</t>
        </is>
      </c>
      <c r="K18196" s="10" t="inlineStr">
        <is>
          <t>Trên 2 Năm</t>
        </is>
      </c>
      <c r="L18196" s="11">
        <f>HYPERLINK("https://careerviet.vn/vi/tim-viec-lam/inspector-garment-electrical-furniture.35C64577.html","Xem chi tiết")</f>
        <v/>
      </c>
      <c r="M18196" s="10" t="n"/>
    </row>
    <row r="18197">
      <c r="B18197" s="7" t="n">
        <v>18195</v>
      </c>
      <c r="C18197" t="inlineStr">
        <is>
          <t>Kế toán công nợ</t>
        </is>
      </c>
      <c r="D18197" t="inlineStr">
        <is>
          <t>CÔNG TY TNHH THƯƠNG MẠI VÀ DỊCH VỤ MINITI VIỆT NAM</t>
        </is>
      </c>
      <c r="E18197" t="inlineStr">
        <is>
          <t>Lương:10 Tr - 12 Tr VND</t>
        </is>
      </c>
      <c r="F18197" t="inlineStr">
        <is>
          <t>Hà Nội</t>
        </is>
      </c>
      <c r="G18197" t="inlineStr">
        <is>
          <t>31-03-2026</t>
        </is>
      </c>
      <c r="H18197" t="inlineStr">
        <is>
          <t>31/03/2026</t>
        </is>
      </c>
      <c r="I18197" t="inlineStr">
        <is>
          <t>17/03/2026</t>
        </is>
      </c>
      <c r="J18197" t="inlineStr">
        <is>
          <t>Thực phẩm &amp; Đồ uống, Kế toán / Kiểm toán, Tài chính / Đầu tư</t>
        </is>
      </c>
      <c r="K18197" t="inlineStr">
        <is>
          <t>1 - 3 Năm</t>
        </is>
      </c>
      <c r="L18197" s="8">
        <f>HYPERLINK("https://careerviet.vn/vi/tim-viec-lam/ke-toan-cong-no.35C64478.html","Xem chi tiết")</f>
        <v/>
      </c>
    </row>
    <row r="18198">
      <c r="B18198" s="9" t="n">
        <v>18196</v>
      </c>
      <c r="C18198" s="10" t="inlineStr">
        <is>
          <t>Logistics Admin Staff</t>
        </is>
      </c>
      <c r="D18198" s="10" t="inlineStr">
        <is>
          <t>Công Ty Cổ Phần Goody Group</t>
        </is>
      </c>
      <c r="E18198" s="10" t="inlineStr">
        <is>
          <t>Lương:8 Tr - 10 Tr VND</t>
        </is>
      </c>
      <c r="F18198" s="10" t="inlineStr">
        <is>
          <t>Hồ Chí Minh</t>
        </is>
      </c>
      <c r="G18198" s="10" t="inlineStr">
        <is>
          <t>31-03-2026</t>
        </is>
      </c>
      <c r="H18198" s="10" t="inlineStr">
        <is>
          <t>31/03/2026</t>
        </is>
      </c>
      <c r="I18198" s="10" t="inlineStr">
        <is>
          <t>17/03/2026</t>
        </is>
      </c>
      <c r="J18198" s="10" t="inlineStr">
        <is>
          <t>Vận chuyển / Giao nhận / Kho vận, Hành chính / Thư ký</t>
        </is>
      </c>
      <c r="K18198" s="10" t="inlineStr">
        <is>
          <t>1 - 3 Năm</t>
        </is>
      </c>
      <c r="L18198" s="11">
        <f>HYPERLINK("https://careerviet.vn/vi/tim-viec-lam/logistics-admin-staff.35C644B0.html","Xem chi tiết")</f>
        <v/>
      </c>
      <c r="M18198" s="10" t="n"/>
    </row>
    <row r="18199">
      <c r="B18199" s="7" t="n">
        <v>18197</v>
      </c>
      <c r="C18199" t="inlineStr">
        <is>
          <t>Trade Marketing Executive (Sup Activision</t>
        </is>
      </c>
      <c r="D18199" t="inlineStr">
        <is>
          <t>CÔNG TY CỔ PHẦN THE NEW DISTRICT</t>
        </is>
      </c>
      <c r="E18199" t="inlineStr">
        <is>
          <t>Lương:15 Tr - 18 Tr VND</t>
        </is>
      </c>
      <c r="F18199" t="inlineStr">
        <is>
          <t>Hồ Chí Minh</t>
        </is>
      </c>
      <c r="G18199" t="inlineStr">
        <is>
          <t>31-03-2026</t>
        </is>
      </c>
      <c r="H18199" t="inlineStr">
        <is>
          <t>31/03/2026</t>
        </is>
      </c>
      <c r="I18199" t="inlineStr">
        <is>
          <t>17/03/2026</t>
        </is>
      </c>
      <c r="J18199" t="inlineStr">
        <is>
          <t>Tiếp thị / Marketing, Bán hàng / Kinh doanh, Tổ chức sự kiện</t>
        </is>
      </c>
      <c r="K18199" t="inlineStr">
        <is>
          <t>3 - 5 Năm</t>
        </is>
      </c>
      <c r="L18199" s="8">
        <f>HYPERLINK("https://careerviet.vn/vi/tim-viec-lam/trade-marketing-executive-sup-activision.35C6451D.html","Xem chi tiết")</f>
        <v/>
      </c>
    </row>
    <row r="18200">
      <c r="B18200" s="9" t="n">
        <v>18198</v>
      </c>
      <c r="C18200" s="10" t="inlineStr">
        <is>
          <t>Kế Toán Quầy</t>
        </is>
      </c>
      <c r="D18200" s="10" t="inlineStr">
        <is>
          <t>CÔNG TY CỔ PHẦN BADAN</t>
        </is>
      </c>
      <c r="E18200" s="10" t="inlineStr">
        <is>
          <t>Lương:12 Tr - 13 Tr VND</t>
        </is>
      </c>
      <c r="F18200" s="10" t="inlineStr">
        <is>
          <t>Hà Nội</t>
        </is>
      </c>
      <c r="G18200" s="10" t="inlineStr">
        <is>
          <t>31-03-2026</t>
        </is>
      </c>
      <c r="H18200" s="10" t="inlineStr">
        <is>
          <t>31/03/2026</t>
        </is>
      </c>
      <c r="I18200" s="10" t="inlineStr">
        <is>
          <t>17/03/2026</t>
        </is>
      </c>
      <c r="J18200" s="10" t="inlineStr">
        <is>
          <t>Kế toán / Kiểm toán, Luật / Pháp lý, Tài chính / Đầu tư</t>
        </is>
      </c>
      <c r="K18200" s="10" t="inlineStr">
        <is>
          <t>Trên 1 Năm</t>
        </is>
      </c>
      <c r="L18200" s="11">
        <f>HYPERLINK("https://careerviet.vn/vi/tim-viec-lam/ke-toan-quay.35C645FA.html","Xem chi tiết")</f>
        <v/>
      </c>
      <c r="M18200" s="10" t="n"/>
    </row>
    <row r="18201">
      <c r="B18201" s="7" t="n">
        <v>18199</v>
      </c>
      <c r="C18201" t="inlineStr">
        <is>
          <t>Trưởng phòng kinh doanh - VBI Lào Cai</t>
        </is>
      </c>
      <c r="D18201" t="inlineStr">
        <is>
          <t>Tổng Công Ty Cổ Phần Bảo Hiểm Ngân Hàng TMCP Công Thương Việt Nam</t>
        </is>
      </c>
      <c r="E18201" t="inlineStr">
        <is>
          <t>Lương:Cạnh tranh</t>
        </is>
      </c>
      <c r="F18201" t="inlineStr">
        <is>
          <t>Lào Cai</t>
        </is>
      </c>
      <c r="G18201" t="inlineStr">
        <is>
          <t>31-03-2026</t>
        </is>
      </c>
      <c r="H18201" t="inlineStr">
        <is>
          <t>31/03/2026</t>
        </is>
      </c>
      <c r="I18201" t="inlineStr">
        <is>
          <t>17/03/2026</t>
        </is>
      </c>
      <c r="J18201" t="inlineStr">
        <is>
          <t>Bảo hiểm, Ngân hàng, Tài chính / Đầu tư</t>
        </is>
      </c>
      <c r="K18201" t="inlineStr">
        <is>
          <t>1 - 3 Năm</t>
        </is>
      </c>
      <c r="L18201" s="8">
        <f>HYPERLINK("https://careerviet.vn/vi/tim-viec-lam/truong-phong-kinh-doanh-vbi-lao-cai.35C64609.html","Xem chi tiết")</f>
        <v/>
      </c>
    </row>
    <row r="18202">
      <c r="B18202" s="9" t="n">
        <v>18200</v>
      </c>
      <c r="C18202" s="10" t="inlineStr">
        <is>
          <t>Kế Toán Trưởng</t>
        </is>
      </c>
      <c r="D18202" s="10" t="inlineStr">
        <is>
          <t>JVI - Công Ty CP Quốc Tế Việt Nam Nhật Bản</t>
        </is>
      </c>
      <c r="E18202" s="10" t="inlineStr">
        <is>
          <t>Lương:Trên 20 Tr VND</t>
        </is>
      </c>
      <c r="F18202" s="10" t="inlineStr">
        <is>
          <t>Hưng Yên</t>
        </is>
      </c>
      <c r="G18202" s="10" t="inlineStr">
        <is>
          <t>31-03-2026</t>
        </is>
      </c>
      <c r="H18202" s="10" t="inlineStr">
        <is>
          <t>31/03/2026</t>
        </is>
      </c>
      <c r="I18202" s="10" t="inlineStr">
        <is>
          <t>17/03/2026</t>
        </is>
      </c>
      <c r="J18202" s="10" t="inlineStr">
        <is>
          <t>Y tế / Chăm sóc sức khỏe / Thẩm mỹ / Làm đẹp, Kế toán / Kiểm toán, Quản lý điều hành</t>
        </is>
      </c>
      <c r="K18202" s="10" t="inlineStr">
        <is>
          <t>Trên 5 Năm</t>
        </is>
      </c>
      <c r="L18202" s="11">
        <f>HYPERLINK("https://careerviet.vn/vi/tim-viec-lam/ke-toan-truong.35C6711C.html","Xem chi tiết")</f>
        <v/>
      </c>
      <c r="M18202" s="10" t="n"/>
    </row>
    <row r="18203">
      <c r="B18203" s="7" t="n">
        <v>18201</v>
      </c>
      <c r="C18203" t="inlineStr">
        <is>
          <t>Chuyên viên Cao cấp Cung ứng - Food</t>
        </is>
      </c>
      <c r="D18203" t="inlineStr">
        <is>
          <t>Nova Service Group - Công ty Cổ phần Tập đoàn Nova Services</t>
        </is>
      </c>
      <c r="E18203" t="inlineStr">
        <is>
          <t>Lương:20 Tr - 25 Tr VND</t>
        </is>
      </c>
      <c r="F18203" t="inlineStr">
        <is>
          <t>Hồ Chí Minh</t>
        </is>
      </c>
      <c r="G18203" t="inlineStr">
        <is>
          <t>31-03-2026</t>
        </is>
      </c>
      <c r="H18203" t="inlineStr">
        <is>
          <t>31/03/2026</t>
        </is>
      </c>
      <c r="I18203" t="inlineStr">
        <is>
          <t>17/03/2026</t>
        </is>
      </c>
      <c r="J18203" t="inlineStr">
        <is>
          <t>Thực phẩm &amp; Đồ uống, Nhà hàng / Khách sạn</t>
        </is>
      </c>
      <c r="K18203" t="inlineStr">
        <is>
          <t>3 - 5 Năm</t>
        </is>
      </c>
      <c r="L18203" s="8">
        <f>HYPERLINK("https://careerviet.vn/vi/tim-viec-lam/chuyen-vien-cao-cap-cung-ung-food.35C645C5.html","Xem chi tiết")</f>
        <v/>
      </c>
    </row>
    <row r="18204">
      <c r="B18204" s="9" t="n">
        <v>18202</v>
      </c>
      <c r="C18204" s="10" t="inlineStr">
        <is>
          <t>THỰC TẬP SINH QA</t>
        </is>
      </c>
      <c r="D18204" s="10" t="inlineStr">
        <is>
          <t>RAWLPLUG VIETNAM COMPANY LIMITED</t>
        </is>
      </c>
      <c r="E18204" s="10" t="inlineStr">
        <is>
          <t>Lương:Lên đến 2 Tr VND</t>
        </is>
      </c>
      <c r="F18204" s="10" t="inlineStr">
        <is>
          <t>Bình Dương</t>
        </is>
      </c>
      <c r="G18204" s="10" t="inlineStr">
        <is>
          <t>31-03-2026</t>
        </is>
      </c>
      <c r="H18204" s="10" t="inlineStr">
        <is>
          <t>31/03/2026</t>
        </is>
      </c>
      <c r="I18204" s="10" t="inlineStr">
        <is>
          <t>17/03/2026</t>
        </is>
      </c>
      <c r="J18204" s="10" t="inlineStr">
        <is>
          <t>Sản xuất / Vận hành sản xuất, Quản lý chất lượng (QA/QC), Mới tốt nghiệp / Thực tập</t>
        </is>
      </c>
      <c r="K18204" s="10" t="inlineStr">
        <is>
          <t>N/A</t>
        </is>
      </c>
      <c r="L18204" s="11">
        <f>HYPERLINK("https://careerviet.vn/vi/tim-viec-lam/thuc-tap-sinh-qa.35C6711A.html","Xem chi tiết")</f>
        <v/>
      </c>
      <c r="M18204" s="10" t="n"/>
    </row>
    <row r="18205">
      <c r="B18205" s="7" t="n">
        <v>18203</v>
      </c>
      <c r="C18205" t="inlineStr">
        <is>
          <t>Chuyên viên kinh doanh bất động sản (cho thuê shophouse)</t>
        </is>
      </c>
      <c r="D18205" t="inlineStr">
        <is>
          <t>Công ty Cổ phần thực phẩm và đồ uống Barett</t>
        </is>
      </c>
      <c r="E18205" t="inlineStr">
        <is>
          <t>Lương:20 Tr - 35 Tr VND</t>
        </is>
      </c>
      <c r="F18205" t="inlineStr">
        <is>
          <t>Đà Nẵng</t>
        </is>
      </c>
      <c r="G18205" t="inlineStr">
        <is>
          <t>31-03-2026</t>
        </is>
      </c>
      <c r="H18205" t="inlineStr">
        <is>
          <t>31/03/2026</t>
        </is>
      </c>
      <c r="I18205" t="inlineStr">
        <is>
          <t>17/03/2026</t>
        </is>
      </c>
      <c r="J18205" t="inlineStr">
        <is>
          <t>Bất động sản</t>
        </is>
      </c>
      <c r="K18205" t="inlineStr">
        <is>
          <t>N/A</t>
        </is>
      </c>
      <c r="L18205" s="8">
        <f>HYPERLINK("https://careerviet.vn/vi/tim-viec-lam/chuyen-vien-kinh-doanh-bat-dong-san-cho-thue-shophouse.35C6709C.html","Xem chi tiết")</f>
        <v/>
      </c>
    </row>
    <row r="18206">
      <c r="B18206" s="9" t="n">
        <v>18204</v>
      </c>
      <c r="C18206" s="10" t="inlineStr">
        <is>
          <t>Chuyên viên - Nhân viên theo dõi đơn hàng ( Merchandiser )</t>
        </is>
      </c>
      <c r="D18206" s="10" t="inlineStr">
        <is>
          <t>CÔNG TY TNHH SBGEAR VINA</t>
        </is>
      </c>
      <c r="E18206" s="10" t="inlineStr">
        <is>
          <t>Lương:12 Tr - 25 Tr VND</t>
        </is>
      </c>
      <c r="F18206" s="10" t="inlineStr">
        <is>
          <t>Hồ Chí Minh</t>
        </is>
      </c>
      <c r="G18206" s="10" t="inlineStr">
        <is>
          <t>31-03-2026</t>
        </is>
      </c>
      <c r="H18206" s="10" t="inlineStr">
        <is>
          <t>31/03/2026</t>
        </is>
      </c>
      <c r="I18206" s="10" t="inlineStr">
        <is>
          <t>17/03/2026</t>
        </is>
      </c>
      <c r="J18206" s="10" t="inlineStr">
        <is>
          <t>Bán hàng / Kinh doanh, Sản xuất / Vận hành sản xuất, Dệt may / Da giày / Thời trang</t>
        </is>
      </c>
      <c r="K18206" s="10" t="inlineStr">
        <is>
          <t>Trên 1 Năm</t>
        </is>
      </c>
      <c r="L18206" s="11">
        <f>HYPERLINK("https://careerviet.vn/vi/tim-viec-lam/chuyen-vien-nhan-vien-theo-doi-don-hang-merchandiser.35C66D43.html","Xem chi tiết")</f>
        <v/>
      </c>
      <c r="M18206" s="10" t="n"/>
    </row>
    <row r="18207">
      <c r="B18207" s="7" t="n">
        <v>18205</v>
      </c>
      <c r="C18207" t="inlineStr">
        <is>
          <t>Project Engineer</t>
        </is>
      </c>
      <c r="D18207" t="inlineStr">
        <is>
          <t>Summit Polymers Vietnam Co Ltd.</t>
        </is>
      </c>
      <c r="E18207" t="inlineStr">
        <is>
          <t>Lương:Cạnh tranh</t>
        </is>
      </c>
      <c r="F18207" t="inlineStr">
        <is>
          <t>Đồng Nai</t>
        </is>
      </c>
      <c r="G18207" t="inlineStr">
        <is>
          <t>31-03-2026</t>
        </is>
      </c>
      <c r="H18207" t="inlineStr">
        <is>
          <t>31/03/2026</t>
        </is>
      </c>
      <c r="I18207" t="inlineStr">
        <is>
          <t>17/03/2026</t>
        </is>
      </c>
      <c r="J18207" t="inlineStr">
        <is>
          <t>Cơ khí / Ô tô / Tự động hóa, Sản xuất / Vận hành sản xuất, Ngành khác</t>
        </is>
      </c>
      <c r="K18207" t="inlineStr">
        <is>
          <t>1 - 5 Năm</t>
        </is>
      </c>
      <c r="L18207" s="8">
        <f>HYPERLINK("https://careerviet.vn/vi/tim-viec-lam/project-engineer.35C67018.html","Xem chi tiết")</f>
        <v/>
      </c>
    </row>
    <row r="18208">
      <c r="B18208" s="9" t="n">
        <v>18206</v>
      </c>
      <c r="C18208" s="10" t="inlineStr">
        <is>
          <t>[Vùng 5A - Tây Nguyên] - Chuyên viên Vùng cấp 2 (Trợ lý Giám đốc Vùng)</t>
        </is>
      </c>
      <c r="D18208" s="10" t="inlineStr">
        <is>
          <t>Ngân hàng TMCP Lộc Phát Việt Nam (LPBank)</t>
        </is>
      </c>
      <c r="E18208" s="10" t="inlineStr">
        <is>
          <t>Lương:15 Tr - 30 Tr VND</t>
        </is>
      </c>
      <c r="F18208" s="10" t="inlineStr">
        <is>
          <t>Dak Lak</t>
        </is>
      </c>
      <c r="G18208" s="10" t="inlineStr">
        <is>
          <t>31-03-2026</t>
        </is>
      </c>
      <c r="H18208" s="10" t="inlineStr">
        <is>
          <t>31/03/2026</t>
        </is>
      </c>
      <c r="I18208" s="10" t="inlineStr">
        <is>
          <t>17/03/2026</t>
        </is>
      </c>
      <c r="J18208" s="10" t="inlineStr">
        <is>
          <t>Bán hàng / Kinh doanh, Hành chính / Thư ký, Ngân hàng</t>
        </is>
      </c>
      <c r="K18208" s="10" t="inlineStr">
        <is>
          <t>Trên 3 Năm</t>
        </is>
      </c>
      <c r="L18208" s="11">
        <f>HYPERLINK("https://careerviet.vn/vi/tim-viec-lam/vung-5a-tay-nguyen-chuyen-vien-vung-cap-2-tro-ly-giam-doc-vung.35C644DB.html","Xem chi tiết")</f>
        <v/>
      </c>
      <c r="M18208" s="10" t="n"/>
    </row>
    <row r="18209">
      <c r="B18209" s="7" t="n">
        <v>18207</v>
      </c>
      <c r="C18209" t="inlineStr">
        <is>
          <t>Nhân viên Sản xuất Dược phẩm</t>
        </is>
      </c>
      <c r="D18209" t="inlineStr">
        <is>
          <t>Công ty cổ phần Dược Phẩm Savi</t>
        </is>
      </c>
      <c r="E18209" t="inlineStr">
        <is>
          <t>Lương:Cạnh tranh</t>
        </is>
      </c>
      <c r="F18209" t="inlineStr">
        <is>
          <t>Hồ Chí Minh</t>
        </is>
      </c>
      <c r="G18209" t="inlineStr">
        <is>
          <t>31-03-2026</t>
        </is>
      </c>
      <c r="H18209" t="inlineStr">
        <is>
          <t>31/03/2026</t>
        </is>
      </c>
      <c r="I18209" t="inlineStr">
        <is>
          <t>17/03/2026</t>
        </is>
      </c>
      <c r="J18209" t="inlineStr">
        <is>
          <t>Dược phẩm/ Hóa Mỹ Phẩm, Cơ khí / Ô tô / Tự động hóa</t>
        </is>
      </c>
      <c r="K18209" t="inlineStr">
        <is>
          <t>N/A</t>
        </is>
      </c>
      <c r="L18209" s="8">
        <f>HYPERLINK("https://careerviet.vn/vi/tim-viec-lam/nhan-vien-san-xuat-duoc-pham.35C67135.html","Xem chi tiết")</f>
        <v/>
      </c>
    </row>
    <row r="18210">
      <c r="B18210" s="9" t="n">
        <v>18208</v>
      </c>
      <c r="C18210" s="10" t="inlineStr">
        <is>
          <t>Cán bộ Trắc đạc tại Đồng Nai</t>
        </is>
      </c>
      <c r="D18210" s="10" t="inlineStr">
        <is>
          <t>CÔNG TY CỔ PHẦN XÂY DỰNG MEGASPACE</t>
        </is>
      </c>
      <c r="E18210" s="10" t="inlineStr">
        <is>
          <t>Lương:15 Tr - 25 Tr VND</t>
        </is>
      </c>
      <c r="F18210" s="10" t="inlineStr">
        <is>
          <t>Đồng Nai</t>
        </is>
      </c>
      <c r="G18210" s="10" t="inlineStr">
        <is>
          <t>31-03-2026</t>
        </is>
      </c>
      <c r="H18210" s="10" t="inlineStr">
        <is>
          <t>31/03/2026</t>
        </is>
      </c>
      <c r="I18210" s="10" t="inlineStr">
        <is>
          <t>17/03/2026</t>
        </is>
      </c>
      <c r="J18210" s="10" t="inlineStr">
        <is>
          <t>Xây dựng</t>
        </is>
      </c>
      <c r="K18210" s="10" t="inlineStr">
        <is>
          <t>5 - 10 Năm</t>
        </is>
      </c>
      <c r="L18210" s="11">
        <f>HYPERLINK("https://careerviet.vn/vi/tim-viec-lam/can-bo-trac-dac-tai-dong-nai.35C6703C.html","Xem chi tiết")</f>
        <v/>
      </c>
      <c r="M18210" s="10" t="n"/>
    </row>
    <row r="18211">
      <c r="B18211" s="7" t="n">
        <v>18209</v>
      </c>
      <c r="C18211" t="inlineStr">
        <is>
          <t>Nhân viên kế toán tiếng trung</t>
        </is>
      </c>
      <c r="D18211" t="inlineStr">
        <is>
          <t>CÔNG TY TNHH BILLION VIETNAM HOLDING</t>
        </is>
      </c>
      <c r="E18211" t="inlineStr">
        <is>
          <t>Lương:Cạnh tranh</t>
        </is>
      </c>
      <c r="F18211" t="inlineStr">
        <is>
          <t>Hồ Chí Minh</t>
        </is>
      </c>
      <c r="G18211" t="inlineStr">
        <is>
          <t>31-03-2026</t>
        </is>
      </c>
      <c r="H18211" t="inlineStr">
        <is>
          <t>31/03/2026</t>
        </is>
      </c>
      <c r="I18211" t="inlineStr">
        <is>
          <t>17/03/2026</t>
        </is>
      </c>
      <c r="J18211" t="inlineStr">
        <is>
          <t>Hành chính / Thư ký, Kế toán / Kiểm toán, Tài chính / Đầu tư</t>
        </is>
      </c>
      <c r="K18211" t="inlineStr">
        <is>
          <t>1 - 3 Năm</t>
        </is>
      </c>
      <c r="L18211" s="8">
        <f>HYPERLINK("https://careerviet.vn/vi/tim-viec-lam/nhan-vien-ke-toan-tieng-trung.35C644D8.html","Xem chi tiết")</f>
        <v/>
      </c>
    </row>
    <row r="18212">
      <c r="B18212" s="9" t="n">
        <v>18210</v>
      </c>
      <c r="C18212" s="10" t="inlineStr">
        <is>
          <t>[Hồ Chí Minh} Nhân viên Hành chính kho  (nhận việc sau tết)</t>
        </is>
      </c>
      <c r="D18212" s="10" t="inlineStr">
        <is>
          <t>CÔNG TY TNHH DAESANG VIỆT NAM</t>
        </is>
      </c>
      <c r="E18212" s="10" t="inlineStr">
        <is>
          <t>Lương:10 Tr - 12 Tr VND</t>
        </is>
      </c>
      <c r="F18212" s="10" t="inlineStr">
        <is>
          <t>Hồ Chí Minh</t>
        </is>
      </c>
      <c r="G18212" s="10" t="inlineStr">
        <is>
          <t>31-03-2026</t>
        </is>
      </c>
      <c r="H18212" s="10" t="inlineStr">
        <is>
          <t>31/03/2026</t>
        </is>
      </c>
      <c r="I18212" s="10" t="inlineStr">
        <is>
          <t>17/03/2026</t>
        </is>
      </c>
      <c r="J18212" s="10" t="inlineStr">
        <is>
          <t>Hành chính / Thư ký, Quản lý điều hành, Bảo trì / Sửa chữa</t>
        </is>
      </c>
      <c r="K18212" s="10" t="inlineStr">
        <is>
          <t>1 - 3 Năm</t>
        </is>
      </c>
      <c r="L18212" s="11">
        <f>HYPERLINK("https://careerviet.vn/vi/tim-viec-lam/ho-chi-minh-nhan-vien-hanh-chinh-kho-nhan-viec-sau-tet.35C67013.html","Xem chi tiết")</f>
        <v/>
      </c>
      <c r="M18212" s="10" t="n"/>
    </row>
    <row r="18213">
      <c r="B18213" s="7" t="n">
        <v>18211</v>
      </c>
      <c r="C18213" t="inlineStr">
        <is>
          <t>Bác Sĩ Nội Tổng Hợp</t>
        </is>
      </c>
      <c r="D18213" t="inlineStr">
        <is>
          <t>Công Ty Cổ Phần Helen Care</t>
        </is>
      </c>
      <c r="E18213" t="inlineStr">
        <is>
          <t>Lương:30 Tr - 50 Tr VND</t>
        </is>
      </c>
      <c r="F18213" t="inlineStr">
        <is>
          <t>Hồ Chí Minh</t>
        </is>
      </c>
      <c r="G18213" t="inlineStr">
        <is>
          <t>31-03-2026</t>
        </is>
      </c>
      <c r="H18213" t="inlineStr">
        <is>
          <t>31/03/2026</t>
        </is>
      </c>
      <c r="I18213" t="inlineStr">
        <is>
          <t>17/03/2026</t>
        </is>
      </c>
      <c r="J18213" t="inlineStr">
        <is>
          <t>Dược phẩm/ Hóa Mỹ Phẩm, Y tế / Chăm sóc sức khỏe / Thẩm mỹ / Làm đẹp</t>
        </is>
      </c>
      <c r="K18213" t="inlineStr">
        <is>
          <t>5 - 10 Năm</t>
        </is>
      </c>
      <c r="L18213" s="8">
        <f>HYPERLINK("https://careerviet.vn/vi/tim-viec-lam/bac-si-noi-tong-hop.35C64555.html","Xem chi tiết")</f>
        <v/>
      </c>
    </row>
    <row r="18214">
      <c r="B18214" s="9" t="n">
        <v>18212</v>
      </c>
      <c r="C18214" s="10" t="inlineStr">
        <is>
          <t>Nhân viên tư vấn bán hàng tại showroom</t>
        </is>
      </c>
      <c r="D18214" s="10" t="inlineStr">
        <is>
          <t>Công ty CP Toshiko Việt Nam</t>
        </is>
      </c>
      <c r="E18214" s="10" t="inlineStr">
        <is>
          <t>Lương:12 Tr - 20 Tr VND</t>
        </is>
      </c>
      <c r="F18214" s="10" t="inlineStr">
        <is>
          <t>Hải Dương</t>
        </is>
      </c>
      <c r="G18214" s="10" t="inlineStr">
        <is>
          <t>31-03-2026</t>
        </is>
      </c>
      <c r="H18214" s="10" t="inlineStr">
        <is>
          <t>31/03/2026</t>
        </is>
      </c>
      <c r="I18214" s="10" t="inlineStr">
        <is>
          <t>17/03/2026</t>
        </is>
      </c>
      <c r="J18214" s="10" t="inlineStr">
        <is>
          <t>Bán lẻ / Bán sỉ, Bán hàng / Kinh doanh, Hàng gia dụng / Chăm sóc cá nhân</t>
        </is>
      </c>
      <c r="K18214" s="10" t="inlineStr">
        <is>
          <t>2 - 3 Năm</t>
        </is>
      </c>
      <c r="L18214" s="11">
        <f>HYPERLINK("https://careerviet.vn/vi/tim-viec-lam/nhan-vien-tu-van-ban-hang-tai-showroom.35C6451F.html","Xem chi tiết")</f>
        <v/>
      </c>
      <c r="M18214" s="10" t="n"/>
    </row>
    <row r="18215">
      <c r="B18215" s="7" t="n">
        <v>18213</v>
      </c>
      <c r="C18215" t="inlineStr">
        <is>
          <t>Kỹ sư giám sát xây dựng</t>
        </is>
      </c>
      <c r="D18215" t="inlineStr">
        <is>
          <t>TỔNG CÔNG TY CỔ PHẦN THƯƠNG MẠI XÂY DỰNG</t>
        </is>
      </c>
      <c r="E18215" t="inlineStr">
        <is>
          <t>Lương:Cạnh tranh</t>
        </is>
      </c>
      <c r="F18215" t="inlineStr">
        <is>
          <t>Hà Nội</t>
        </is>
      </c>
      <c r="G18215" t="inlineStr">
        <is>
          <t>31-03-2026</t>
        </is>
      </c>
      <c r="H18215" t="inlineStr">
        <is>
          <t>31/03/2026</t>
        </is>
      </c>
      <c r="I18215" t="inlineStr">
        <is>
          <t>17/03/2026</t>
        </is>
      </c>
      <c r="J18215" t="inlineStr">
        <is>
          <t>Kiến trúc, Xây dựng, Bất động sản</t>
        </is>
      </c>
      <c r="K18215" t="inlineStr">
        <is>
          <t>5 - 10 Năm</t>
        </is>
      </c>
      <c r="L18215" s="8">
        <f>HYPERLINK("https://careerviet.vn/vi/tim-viec-lam/ky-su-giam-sat-xay-dung.35C6454B.html","Xem chi tiết")</f>
        <v/>
      </c>
    </row>
    <row r="18216">
      <c r="B18216" s="9" t="n">
        <v>18214</v>
      </c>
      <c r="C18216" s="10" t="inlineStr">
        <is>
          <t>Kế Toán Kiêm Bán Hàng</t>
        </is>
      </c>
      <c r="D18216" s="10" t="inlineStr">
        <is>
          <t>HỆ THỐNG VƯỜN TÙNG TOÀN JP</t>
        </is>
      </c>
      <c r="E18216" s="10" t="inlineStr">
        <is>
          <t>Lương:Lên đến 12 Tr VND</t>
        </is>
      </c>
      <c r="F18216" s="10" t="inlineStr">
        <is>
          <t>Hà Nội</t>
        </is>
      </c>
      <c r="G18216" s="10" t="inlineStr">
        <is>
          <t>31-03-2026</t>
        </is>
      </c>
      <c r="H18216" s="10" t="inlineStr">
        <is>
          <t>31/03/2026</t>
        </is>
      </c>
      <c r="I18216" s="10" t="inlineStr">
        <is>
          <t>17/03/2026</t>
        </is>
      </c>
      <c r="J18216" s="10" t="inlineStr">
        <is>
          <t>Bán hàng / Kinh doanh, Kế toán / Kiểm toán, Tài chính / Đầu tư</t>
        </is>
      </c>
      <c r="K18216" s="10" t="inlineStr">
        <is>
          <t>Trên 1 Năm</t>
        </is>
      </c>
      <c r="L18216" s="11">
        <f>HYPERLINK("https://careerviet.vn/vi/tim-viec-lam/ke-toan-kiem-ban-hang.35C670C9.html","Xem chi tiết")</f>
        <v/>
      </c>
      <c r="M18216" s="10" t="n"/>
    </row>
    <row r="18217">
      <c r="B18217" s="7" t="n">
        <v>18215</v>
      </c>
      <c r="C18217" t="inlineStr">
        <is>
          <t>Chuyên Viên Kinh Doanh (Audio)</t>
        </is>
      </c>
      <c r="D18217" t="inlineStr">
        <is>
          <t>Headhunter HRchannels Group</t>
        </is>
      </c>
      <c r="E18217" t="inlineStr">
        <is>
          <t>Lương:15 Tr - 20 Tr VND</t>
        </is>
      </c>
      <c r="F18217" t="inlineStr">
        <is>
          <t>Hà NộiĐà Nẵng</t>
        </is>
      </c>
      <c r="G18217" t="inlineStr">
        <is>
          <t>31-03-2026</t>
        </is>
      </c>
      <c r="H18217" t="inlineStr">
        <is>
          <t>31/03/2026</t>
        </is>
      </c>
      <c r="I18217" t="inlineStr">
        <is>
          <t>17/03/2026</t>
        </is>
      </c>
      <c r="J18217" t="inlineStr">
        <is>
          <t>Bán lẻ / Bán sỉ, Bán hàng / Kinh doanh, Bán Hàng Kỹ Thuật</t>
        </is>
      </c>
      <c r="K18217" t="inlineStr">
        <is>
          <t>3 - 11 Năm</t>
        </is>
      </c>
      <c r="L18217" s="8">
        <f>HYPERLINK("https://careerviet.vn/vi/tim-viec-lam/chuyen-vien-kinh-doanh-audio.35C66FF8.html","Xem chi tiết")</f>
        <v/>
      </c>
    </row>
    <row r="18218">
      <c r="B18218" s="9" t="n">
        <v>18216</v>
      </c>
      <c r="C18218" s="10" t="inlineStr">
        <is>
          <t>Nhân Viên Thiết Kế Khuôn Mẫu Ngành Nhựa (Creo)</t>
        </is>
      </c>
      <c r="D18218" s="10" t="inlineStr">
        <is>
          <t>CÔNG TY TNHH SX HIỆP PHƯỚC THÀNH</t>
        </is>
      </c>
      <c r="E18218" s="10" t="inlineStr">
        <is>
          <t>Lương:12 Tr - 30 Tr VND</t>
        </is>
      </c>
      <c r="F18218" s="10" t="inlineStr">
        <is>
          <t>Hồ Chí Minh</t>
        </is>
      </c>
      <c r="G18218" s="10" t="inlineStr">
        <is>
          <t>31-03-2026</t>
        </is>
      </c>
      <c r="H18218" s="10" t="inlineStr">
        <is>
          <t>31/03/2026</t>
        </is>
      </c>
      <c r="I18218" s="10" t="inlineStr">
        <is>
          <t>17/03/2026</t>
        </is>
      </c>
      <c r="J18218" s="10" t="inlineStr">
        <is>
          <t>Cơ khí / Ô tô / Tự động hóa, Sản xuất / Vận hành sản xuất, Mới tốt nghiệp / Thực tập</t>
        </is>
      </c>
      <c r="K18218" s="10" t="inlineStr">
        <is>
          <t>1 - 5 Năm</t>
        </is>
      </c>
      <c r="L18218" s="11">
        <f>HYPERLINK("https://careerviet.vn/vi/tim-viec-lam/nhan-vien-thiet-ke-khuon-mau-nganh-nhua-creo.35C6454E.html","Xem chi tiết")</f>
        <v/>
      </c>
      <c r="M18218" s="10" t="n"/>
    </row>
    <row r="18219">
      <c r="B18219" s="7" t="n">
        <v>18217</v>
      </c>
      <c r="C18219" t="inlineStr">
        <is>
          <t>Giám đốc nhà máy xử lý rác</t>
        </is>
      </c>
      <c r="D18219" t="inlineStr">
        <is>
          <t>Công ty Cổ phần công nghệ T-Tech Việt Nam</t>
        </is>
      </c>
      <c r="E18219" t="inlineStr">
        <is>
          <t>Lương:20 Tr - 25 Tr VND</t>
        </is>
      </c>
      <c r="F18219" t="inlineStr">
        <is>
          <t>Bạc Liêu</t>
        </is>
      </c>
      <c r="G18219" t="inlineStr">
        <is>
          <t>31-03-2026</t>
        </is>
      </c>
      <c r="H18219" t="inlineStr">
        <is>
          <t>31/03/2026</t>
        </is>
      </c>
      <c r="I18219" t="inlineStr">
        <is>
          <t>17/03/2026</t>
        </is>
      </c>
      <c r="J18219" t="inlineStr">
        <is>
          <t>Môi trường, Điện / Điện tử / Điện lạnh / Điện công nghiệp, Sản xuất / Vận hành sản xuất</t>
        </is>
      </c>
      <c r="K18219" t="inlineStr">
        <is>
          <t>5 - 10 Năm</t>
        </is>
      </c>
      <c r="L18219" s="8">
        <f>HYPERLINK("https://careerviet.vn/vi/tim-viec-lam/giam-doc-nha-may-xu-ly-rac.35C6437C.html","Xem chi tiết")</f>
        <v/>
      </c>
    </row>
    <row r="18220">
      <c r="B18220" s="9" t="n">
        <v>18218</v>
      </c>
      <c r="C18220" s="10" t="inlineStr">
        <is>
          <t>NHÂN VIÊN KINH DOANH THIẾT BỊ FIRE &amp; SECURITY (DỰ ÁN)</t>
        </is>
      </c>
      <c r="D18220" s="10" t="inlineStr">
        <is>
          <t>Servo Dynamics Engineering Co.,Ltd</t>
        </is>
      </c>
      <c r="E18220" s="10" t="inlineStr">
        <is>
          <t>Lương:Cạnh tranh</t>
        </is>
      </c>
      <c r="F18220" s="10" t="inlineStr">
        <is>
          <t>Hà Nội</t>
        </is>
      </c>
      <c r="G18220" s="10" t="inlineStr">
        <is>
          <t>31-03-2026</t>
        </is>
      </c>
      <c r="H18220" s="10" t="inlineStr">
        <is>
          <t>31/03/2026</t>
        </is>
      </c>
      <c r="I18220" s="10" t="inlineStr">
        <is>
          <t>17/03/2026</t>
        </is>
      </c>
      <c r="J18220" s="10" t="inlineStr">
        <is>
          <t>Bán hàng / Kinh doanh, Thương mại điện tử, Bán Hàng Kỹ Thuật</t>
        </is>
      </c>
      <c r="K18220" s="10" t="inlineStr">
        <is>
          <t>Lên đến 1 Năm</t>
        </is>
      </c>
      <c r="L18220" s="11">
        <f>HYPERLINK("https://careerviet.vn/vi/tim-viec-lam/nhan-vien-kinh-doanh-thiet-bi-fire-security-du-an.35C66FFE.html","Xem chi tiết")</f>
        <v/>
      </c>
      <c r="M18220" s="10" t="n"/>
    </row>
    <row r="18221">
      <c r="B18221" s="7" t="n">
        <v>18219</v>
      </c>
      <c r="C18221" t="inlineStr">
        <is>
          <t>Nhân viên đón tiễn sân bay</t>
        </is>
      </c>
      <c r="D18221" t="inlineStr">
        <is>
          <t>CÔNG TY CỔ PHẦN DỊCH VỤ HÀNG KHÔNG TASECO SÀI GÒN</t>
        </is>
      </c>
      <c r="E18221" t="inlineStr">
        <is>
          <t>Lương:12 Tr - 18 Tr VND</t>
        </is>
      </c>
      <c r="F18221" t="inlineStr">
        <is>
          <t>Hồ Chí Minh</t>
        </is>
      </c>
      <c r="G18221" t="inlineStr">
        <is>
          <t>31-03-2026</t>
        </is>
      </c>
      <c r="H18221" t="inlineStr">
        <is>
          <t>31/03/2026</t>
        </is>
      </c>
      <c r="I18221" t="inlineStr">
        <is>
          <t>17/03/2026</t>
        </is>
      </c>
      <c r="J18221" t="inlineStr">
        <is>
          <t>Bán hàng / Kinh doanh, Dịch vụ khách hàng, Hàng không</t>
        </is>
      </c>
      <c r="K18221" t="inlineStr">
        <is>
          <t>N/A</t>
        </is>
      </c>
      <c r="L18221" s="8">
        <f>HYPERLINK("https://careerviet.vn/vi/tim-viec-lam/nhan-vien-don-tien-san-bay.35C66FBC.html","Xem chi tiết")</f>
        <v/>
      </c>
    </row>
    <row r="18222">
      <c r="B18222" s="9" t="n">
        <v>18220</v>
      </c>
      <c r="C18222" s="10" t="inlineStr">
        <is>
          <t>Kế toán Nội bộ và ngân hàng</t>
        </is>
      </c>
      <c r="D18222" s="10" t="inlineStr">
        <is>
          <t>Công ty TNHH Hòa Kiến Nhân</t>
        </is>
      </c>
      <c r="E18222" s="10" t="inlineStr">
        <is>
          <t>Lương:10 Tr - 15 Tr VND</t>
        </is>
      </c>
      <c r="F18222" s="10" t="inlineStr">
        <is>
          <t>Hồ Chí Minh</t>
        </is>
      </c>
      <c r="G18222" s="10" t="inlineStr">
        <is>
          <t>30-03-2026</t>
        </is>
      </c>
      <c r="H18222" s="10" t="inlineStr">
        <is>
          <t>30/03/2026</t>
        </is>
      </c>
      <c r="I18222" s="10" t="inlineStr">
        <is>
          <t>17/03/2026</t>
        </is>
      </c>
      <c r="J18222" s="10" t="inlineStr">
        <is>
          <t>Kế toán / Kiểm toán, Ngân hàng, Hành chính / Thư ký</t>
        </is>
      </c>
      <c r="K18222" s="10" t="inlineStr">
        <is>
          <t>1 - 5 Năm</t>
        </is>
      </c>
      <c r="L18222" s="11">
        <f>HYPERLINK("https://careerviet.vn/vi/tim-viec-lam/ke-toan-noi-bo-va-ngan-hang.35C670C1.html","Xem chi tiết")</f>
        <v/>
      </c>
      <c r="M18222" s="10" t="n"/>
    </row>
    <row r="18223">
      <c r="B18223" s="7" t="n">
        <v>18221</v>
      </c>
      <c r="C18223" t="inlineStr">
        <is>
          <t>Quản lý dự án kiêm sales</t>
        </is>
      </c>
      <c r="D18223" t="inlineStr">
        <is>
          <t>Công ty TNHH Frontier Consulting Việt Nam</t>
        </is>
      </c>
      <c r="E18223" t="inlineStr">
        <is>
          <t>Lương:20 Tr - 22 Tr VND</t>
        </is>
      </c>
      <c r="F18223" t="inlineStr">
        <is>
          <t>Hồ Chí Minh</t>
        </is>
      </c>
      <c r="G18223" t="inlineStr">
        <is>
          <t>31-03-2026</t>
        </is>
      </c>
      <c r="H18223" t="inlineStr">
        <is>
          <t>31/03/2026</t>
        </is>
      </c>
      <c r="I18223" t="inlineStr">
        <is>
          <t>17/03/2026</t>
        </is>
      </c>
      <c r="J18223" t="inlineStr">
        <is>
          <t>Kiến trúc, Xây dựng, Nội ngoại thất</t>
        </is>
      </c>
      <c r="K18223" t="inlineStr">
        <is>
          <t>3 - 7 Năm</t>
        </is>
      </c>
      <c r="L18223" s="8">
        <f>HYPERLINK("https://careerviet.vn/vi/tim-viec-lam/quan-ly-du-an-kiem-sales.35C670C0.html","Xem chi tiết")</f>
        <v/>
      </c>
    </row>
    <row r="18224">
      <c r="B18224" s="9" t="n">
        <v>18222</v>
      </c>
      <c r="C18224" s="10" t="inlineStr">
        <is>
          <t>Nhân viên vận hành tài khoản tuyển dụng tiếng nhật</t>
        </is>
      </c>
      <c r="D18224" s="10" t="inlineStr">
        <is>
          <t>Công ty TNHH DYM Vietnam</t>
        </is>
      </c>
      <c r="E18224" s="10" t="inlineStr">
        <is>
          <t>Lương:Trên 11 Tr VND</t>
        </is>
      </c>
      <c r="F18224" s="10" t="inlineStr">
        <is>
          <t>Hồ Chí Minh</t>
        </is>
      </c>
      <c r="G18224" s="10" t="inlineStr">
        <is>
          <t>31-03-2026</t>
        </is>
      </c>
      <c r="H18224" s="10" t="inlineStr">
        <is>
          <t>31/03/2026</t>
        </is>
      </c>
      <c r="I18224" s="10" t="inlineStr">
        <is>
          <t>17/03/2026</t>
        </is>
      </c>
      <c r="J18224" s="10" t="inlineStr">
        <is>
          <t>Tiếp thị / Marketing, Nhân sự, Biên phiên dịch</t>
        </is>
      </c>
      <c r="K18224" s="10" t="inlineStr">
        <is>
          <t>N/A</t>
        </is>
      </c>
      <c r="L18224" s="11">
        <f>HYPERLINK("https://careerviet.vn/vi/tim-viec-lam/nhan-vien-van-hanh-tai-khoan-tuyen-dung-tieng-nhat.35C670A2.html","Xem chi tiết")</f>
        <v/>
      </c>
      <c r="M18224" s="10" t="n"/>
    </row>
    <row r="18225">
      <c r="B18225" s="7" t="n">
        <v>18223</v>
      </c>
      <c r="C18225" t="inlineStr">
        <is>
          <t>Chuyên viên Khách hàng ưu tiên làm việc tại Tp.HCM</t>
        </is>
      </c>
      <c r="D18225" t="inlineStr">
        <is>
          <t>Ngân hàng TMCP Đại Chúng Việt Nam - PVcomBank</t>
        </is>
      </c>
      <c r="E18225" t="inlineStr">
        <is>
          <t>Lương:Cạnh tranh</t>
        </is>
      </c>
      <c r="F18225" t="inlineStr">
        <is>
          <t>Hồ Chí MinhKV Đông Nam Bộ</t>
        </is>
      </c>
      <c r="G18225" t="inlineStr">
        <is>
          <t>31-03-2026</t>
        </is>
      </c>
      <c r="H18225" t="inlineStr">
        <is>
          <t>31/03/2026</t>
        </is>
      </c>
      <c r="I18225" t="inlineStr">
        <is>
          <t>17/03/2026</t>
        </is>
      </c>
      <c r="J18225" t="inlineStr">
        <is>
          <t>Bán hàng / Kinh doanh, Ngân hàng, Tài chính / Đầu tư</t>
        </is>
      </c>
      <c r="K18225" t="inlineStr">
        <is>
          <t>Trên 1 Năm</t>
        </is>
      </c>
      <c r="L18225" s="8">
        <f>HYPERLINK("https://careerviet.vn/vi/tim-viec-lam/chuyen-vien-khach-hang-uu-tien-lam-viec-tai-tp-hcm.35C64585.html","Xem chi tiết")</f>
        <v/>
      </c>
    </row>
    <row r="18226">
      <c r="B18226" s="9" t="n">
        <v>18224</v>
      </c>
      <c r="C18226" s="10" t="inlineStr">
        <is>
          <t>Embedded Software Engineer</t>
        </is>
      </c>
      <c r="D18226" s="10" t="inlineStr">
        <is>
          <t>Friwo Vietnam Co., Ltd</t>
        </is>
      </c>
      <c r="E18226" s="10" t="inlineStr">
        <is>
          <t>Lương:Cạnh tranh</t>
        </is>
      </c>
      <c r="F18226" s="10" t="inlineStr">
        <is>
          <t>Hồ Chí Minh</t>
        </is>
      </c>
      <c r="G18226" s="10" t="inlineStr">
        <is>
          <t>31-03-2026</t>
        </is>
      </c>
      <c r="H18226" s="10" t="inlineStr">
        <is>
          <t>31/03/2026</t>
        </is>
      </c>
      <c r="I18226" s="10" t="inlineStr">
        <is>
          <t>17/03/2026</t>
        </is>
      </c>
      <c r="J18226" s="10" t="inlineStr">
        <is>
          <t>Điện / Điện tử / Điện lạnh / Điện công nghiệp</t>
        </is>
      </c>
      <c r="K18226" s="10" t="inlineStr">
        <is>
          <t>2 - 5 Năm</t>
        </is>
      </c>
      <c r="L18226" s="11">
        <f>HYPERLINK("https://careerviet.vn/vi/tim-viec-lam/embedded-software-engineer.35C67132.html","Xem chi tiết")</f>
        <v/>
      </c>
      <c r="M18226" s="10" t="n"/>
    </row>
    <row r="18227">
      <c r="B18227" s="7" t="n">
        <v>18225</v>
      </c>
      <c r="C18227" t="inlineStr">
        <is>
          <t>QUẢN LÝ PHÁT TRIỂN KINH DOANH QUỐC TẾ</t>
        </is>
      </c>
      <c r="D18227" t="inlineStr">
        <is>
          <t>Tổng công ty Xây dựng số 1 – CTCP</t>
        </is>
      </c>
      <c r="E18227" t="inlineStr">
        <is>
          <t>Lương:Cạnh tranh</t>
        </is>
      </c>
      <c r="F18227" t="inlineStr">
        <is>
          <t>Hồ Chí Minh</t>
        </is>
      </c>
      <c r="G18227" t="inlineStr">
        <is>
          <t>31-03-2026</t>
        </is>
      </c>
      <c r="H18227" t="inlineStr">
        <is>
          <t>31/03/2026</t>
        </is>
      </c>
      <c r="I18227" t="inlineStr">
        <is>
          <t>17/03/2026</t>
        </is>
      </c>
      <c r="J18227" t="inlineStr">
        <is>
          <t>Bán hàng / Kinh doanh, Xây dựng</t>
        </is>
      </c>
      <c r="K18227" t="inlineStr">
        <is>
          <t>Trên 3 Năm</t>
        </is>
      </c>
      <c r="L18227" s="8">
        <f>HYPERLINK("https://careerviet.vn/vi/tim-viec-lam/quan-ly-phat-trien-kinh-doanh-quoc-te.35C67082.html","Xem chi tiết")</f>
        <v/>
      </c>
    </row>
    <row r="18228">
      <c r="B18228" s="9" t="n">
        <v>18226</v>
      </c>
      <c r="C18228" s="10" t="inlineStr">
        <is>
          <t>SOC ENGINEER tại Phú Nhuận</t>
        </is>
      </c>
      <c r="D18228" s="10" t="inlineStr">
        <is>
          <t>Công Ty Cổ Phần Vacxin Việt Nam</t>
        </is>
      </c>
      <c r="E18228" s="10" t="inlineStr">
        <is>
          <t>Lương:Cạnh tranh</t>
        </is>
      </c>
      <c r="F18228" s="10" t="inlineStr">
        <is>
          <t>Hồ Chí Minh</t>
        </is>
      </c>
      <c r="G18228" s="10" t="inlineStr">
        <is>
          <t>31-03-2026</t>
        </is>
      </c>
      <c r="H18228" s="10" t="inlineStr">
        <is>
          <t>31/03/2026</t>
        </is>
      </c>
      <c r="I18228" s="10" t="inlineStr">
        <is>
          <t>17/03/2026</t>
        </is>
      </c>
      <c r="J18228" s="10" t="inlineStr">
        <is>
          <t>CNTT - Phần mềm, CNTT - Phần cứng / Mạng</t>
        </is>
      </c>
      <c r="K18228" s="10" t="inlineStr">
        <is>
          <t>2 - 5 Năm</t>
        </is>
      </c>
      <c r="L18228" s="11">
        <f>HYPERLINK("https://careerviet.vn/vi/tim-viec-lam/soc-engineer-tai-phu-nhuan.35C67005.html","Xem chi tiết")</f>
        <v/>
      </c>
      <c r="M18228" s="10" t="n"/>
    </row>
    <row r="18229">
      <c r="B18229" s="7" t="n">
        <v>18227</v>
      </c>
      <c r="C18229" t="inlineStr">
        <is>
          <t>Trưởng Phòng Kinh Doanh (CĐT Bất động sản) - Gấp!</t>
        </is>
      </c>
      <c r="D18229" t="inlineStr">
        <is>
          <t>CÔNG TY CỔ PHẦN CLOUD PROPERTY</t>
        </is>
      </c>
      <c r="E18229" t="inlineStr">
        <is>
          <t>Lương:Cạnh tranh</t>
        </is>
      </c>
      <c r="F18229" t="inlineStr">
        <is>
          <t>Hà Nội</t>
        </is>
      </c>
      <c r="G18229" t="inlineStr">
        <is>
          <t>31-03-2026</t>
        </is>
      </c>
      <c r="H18229" t="inlineStr">
        <is>
          <t>31/03/2026</t>
        </is>
      </c>
      <c r="I18229" t="inlineStr">
        <is>
          <t>17/03/2026</t>
        </is>
      </c>
      <c r="J18229" t="inlineStr">
        <is>
          <t>Bán hàng / Kinh doanh, Quản lý điều hành, Bất động sản</t>
        </is>
      </c>
      <c r="K18229" t="inlineStr">
        <is>
          <t>3 - 6 Năm</t>
        </is>
      </c>
      <c r="L18229" s="8">
        <f>HYPERLINK("https://careerviet.vn/vi/tim-viec-lam/truong-phong-kinh-doanh-cdt-bat-dong-san-gap.35C670CC.html","Xem chi tiết")</f>
        <v/>
      </c>
    </row>
    <row r="18230">
      <c r="B18230" s="9" t="n">
        <v>18228</v>
      </c>
      <c r="C18230" s="10" t="inlineStr">
        <is>
          <t>Nhân viên hành chính - lễ tân</t>
        </is>
      </c>
      <c r="D18230" s="10" t="inlineStr">
        <is>
          <t>Công ty Cổ phần Đầu tư Tân Minh</t>
        </is>
      </c>
      <c r="E18230" s="10" t="inlineStr">
        <is>
          <t>Lương:8 Tr - 10 Tr VND</t>
        </is>
      </c>
      <c r="F18230" s="10" t="inlineStr">
        <is>
          <t>Hà Nội</t>
        </is>
      </c>
      <c r="G18230" s="10" t="inlineStr">
        <is>
          <t>31-03-2026</t>
        </is>
      </c>
      <c r="H18230" s="10" t="inlineStr">
        <is>
          <t>31/03/2026</t>
        </is>
      </c>
      <c r="I18230" s="10" t="inlineStr">
        <is>
          <t>17/03/2026</t>
        </is>
      </c>
      <c r="J18230" s="10" t="inlineStr">
        <is>
          <t>Nhân sự, Hành chính / Thư ký</t>
        </is>
      </c>
      <c r="K18230" s="10" t="inlineStr">
        <is>
          <t>N/A</t>
        </is>
      </c>
      <c r="L18230" s="11">
        <f>HYPERLINK("https://careerviet.vn/vi/tim-viec-lam/nhan-vien-hanh-chinh-le-tan.35C6453C.html","Xem chi tiết")</f>
        <v/>
      </c>
      <c r="M18230" s="10" t="n"/>
    </row>
    <row r="18231">
      <c r="B18231" s="7" t="n">
        <v>18229</v>
      </c>
      <c r="C18231" t="inlineStr">
        <is>
          <t>PHỤ BẾP NHÀ HÀNG GENKI SUSHI (Q7)</t>
        </is>
      </c>
      <c r="D18231" t="inlineStr">
        <is>
          <t>Japanese Chain Restaurants Vietnam</t>
        </is>
      </c>
      <c r="E18231" t="inlineStr">
        <is>
          <t>Lương:7 Tr - 9 Tr VND</t>
        </is>
      </c>
      <c r="F18231" t="inlineStr">
        <is>
          <t>Hồ Chí Minh</t>
        </is>
      </c>
      <c r="G18231" t="inlineStr">
        <is>
          <t>31-03-2026</t>
        </is>
      </c>
      <c r="H18231" t="inlineStr">
        <is>
          <t>31/03/2026</t>
        </is>
      </c>
      <c r="I18231" t="inlineStr">
        <is>
          <t>17/03/2026</t>
        </is>
      </c>
      <c r="J18231" t="inlineStr">
        <is>
          <t>Nhà hàng / Khách sạn</t>
        </is>
      </c>
      <c r="K18231" t="inlineStr">
        <is>
          <t>Lên đến 1 Năm</t>
        </is>
      </c>
      <c r="L18231" s="8">
        <f>HYPERLINK("https://careerviet.vn/vi/tim-viec-lam/phu-bep-nha-hang-genki-sushi-q7.35C66F43.html","Xem chi tiết")</f>
        <v/>
      </c>
    </row>
    <row r="18232">
      <c r="B18232" s="9" t="n">
        <v>18230</v>
      </c>
      <c r="C18232" s="10" t="inlineStr">
        <is>
          <t>Sales Engineer - HCMC ( NEW)</t>
        </is>
      </c>
      <c r="D18232" s="10" t="inlineStr">
        <is>
          <t>Servo Dynamics Engineering Co.,Ltd</t>
        </is>
      </c>
      <c r="E18232" s="10" t="inlineStr">
        <is>
          <t>Lương:Cạnh tranh</t>
        </is>
      </c>
      <c r="F18232" s="10" t="inlineStr">
        <is>
          <t>Hồ Chí Minh</t>
        </is>
      </c>
      <c r="G18232" s="10" t="inlineStr">
        <is>
          <t>31-03-2026</t>
        </is>
      </c>
      <c r="H18232" s="10" t="inlineStr">
        <is>
          <t>31/03/2026</t>
        </is>
      </c>
      <c r="I18232" s="10" t="inlineStr">
        <is>
          <t>17/03/2026</t>
        </is>
      </c>
      <c r="J18232" s="10" t="inlineStr">
        <is>
          <t>Cơ khí / Ô tô / Tự động hóa, Điện / Điện tử / Điện lạnh / Điện công nghiệp</t>
        </is>
      </c>
      <c r="K18232" s="10" t="inlineStr">
        <is>
          <t>Lên đến 1 Năm</t>
        </is>
      </c>
      <c r="L18232" s="11">
        <f>HYPERLINK("https://careerviet.vn/vi/tim-viec-lam/sales-engineer-hcmc-new.35C67009.html","Xem chi tiết")</f>
        <v/>
      </c>
      <c r="M18232" s="10" t="n"/>
    </row>
    <row r="18233">
      <c r="B18233" s="7" t="n">
        <v>18231</v>
      </c>
      <c r="C18233" t="inlineStr">
        <is>
          <t>[Bà Rịa - Vũng Tàu] - Nhân Viên Sản Xuất Nước Giải Khát</t>
        </is>
      </c>
      <c r="D18233" t="inlineStr">
        <is>
          <t>Công Ty Cổ Phần Goody Group</t>
        </is>
      </c>
      <c r="E18233" t="inlineStr">
        <is>
          <t>Lương:7,5 Tr - 8 Tr VND</t>
        </is>
      </c>
      <c r="F18233" t="inlineStr">
        <is>
          <t>Hồ Chí Minh</t>
        </is>
      </c>
      <c r="G18233" t="inlineStr">
        <is>
          <t>31-03-2026</t>
        </is>
      </c>
      <c r="H18233" t="inlineStr">
        <is>
          <t>31/03/2026</t>
        </is>
      </c>
      <c r="I18233" t="inlineStr">
        <is>
          <t>17/03/2026</t>
        </is>
      </c>
      <c r="J18233" t="inlineStr">
        <is>
          <t>Lao động phổ thông, Thực phẩm &amp; Đồ uống</t>
        </is>
      </c>
      <c r="K18233" t="inlineStr">
        <is>
          <t>N/A</t>
        </is>
      </c>
      <c r="L18233" s="8">
        <f>HYPERLINK("https://careerviet.vn/vi/tim-viec-lam/ba-ria-vung-tau-nhan-vien-san-xuat-nuoc-giai-khat.35C644C1.html","Xem chi tiết")</f>
        <v/>
      </c>
    </row>
    <row r="18234">
      <c r="B18234" s="9" t="n">
        <v>18232</v>
      </c>
      <c r="C18234" s="10" t="inlineStr">
        <is>
          <t>Nhân viên bảo trì</t>
        </is>
      </c>
      <c r="D18234" s="10" t="inlineStr">
        <is>
          <t>CÔNG TY CỔ PHẦN GIẢI PHÁP GENE - GENE SOLUTIONS</t>
        </is>
      </c>
      <c r="E18234" s="10" t="inlineStr">
        <is>
          <t>Lương:Cạnh tranh</t>
        </is>
      </c>
      <c r="F18234" s="10" t="inlineStr">
        <is>
          <t>Hồ Chí Minh</t>
        </is>
      </c>
      <c r="G18234" s="10" t="inlineStr">
        <is>
          <t>31-03-2026</t>
        </is>
      </c>
      <c r="H18234" s="10" t="inlineStr">
        <is>
          <t>31/03/2026</t>
        </is>
      </c>
      <c r="I18234" s="10" t="inlineStr">
        <is>
          <t>17/03/2026</t>
        </is>
      </c>
      <c r="J18234" s="10" t="inlineStr">
        <is>
          <t>Hành chính / Thư ký, Điện / Điện tử / Điện lạnh / Điện công nghiệp, Bảo trì / Sửa chữa</t>
        </is>
      </c>
      <c r="K18234" s="10" t="inlineStr">
        <is>
          <t>N/A</t>
        </is>
      </c>
      <c r="L18234" s="11">
        <f>HYPERLINK("https://careerviet.vn/vi/tim-viec-lam/nhan-vien-bao-tri.35C64558.html","Xem chi tiết")</f>
        <v/>
      </c>
      <c r="M18234" s="10" t="n"/>
    </row>
    <row r="18235">
      <c r="B18235" s="7" t="n">
        <v>18233</v>
      </c>
      <c r="C18235" t="inlineStr">
        <is>
          <t>HVAC Thermal Engineer</t>
        </is>
      </c>
      <c r="D18235" t="inlineStr">
        <is>
          <t>Công ty Cổ phần Vietsol</t>
        </is>
      </c>
      <c r="E18235" t="inlineStr">
        <is>
          <t>Lương:Cạnh tranh</t>
        </is>
      </c>
      <c r="F18235" t="inlineStr">
        <is>
          <t>Hải PhòngHà Nội</t>
        </is>
      </c>
      <c r="G18235" t="inlineStr">
        <is>
          <t>31-03-2026</t>
        </is>
      </c>
      <c r="H18235" t="inlineStr">
        <is>
          <t>31/03/2026</t>
        </is>
      </c>
      <c r="I18235" t="inlineStr">
        <is>
          <t>17/03/2026</t>
        </is>
      </c>
      <c r="J18235" t="inlineStr">
        <is>
          <t>Cơ khí / Ô tô / Tự động hóa</t>
        </is>
      </c>
      <c r="K18235" t="inlineStr">
        <is>
          <t>N/A</t>
        </is>
      </c>
      <c r="L18235" s="8">
        <f>HYPERLINK("https://careerviet.vn/vi/tim-viec-lam/hvac-thermal-engineer.35C670BA.html","Xem chi tiết")</f>
        <v/>
      </c>
    </row>
    <row r="18236">
      <c r="B18236" s="9" t="n">
        <v>18234</v>
      </c>
      <c r="C18236" s="10" t="inlineStr">
        <is>
          <t>Structural engineer</t>
        </is>
      </c>
      <c r="D18236" s="10" t="inlineStr">
        <is>
          <t>Công Ty TNHH gbc engineers Vietnam</t>
        </is>
      </c>
      <c r="E18236" s="10" t="inlineStr">
        <is>
          <t>Lương:Cạnh tranh</t>
        </is>
      </c>
      <c r="F18236" s="10" t="inlineStr">
        <is>
          <t>Đà Nẵng</t>
        </is>
      </c>
      <c r="G18236" s="10" t="inlineStr">
        <is>
          <t>31-03-2026</t>
        </is>
      </c>
      <c r="H18236" s="10" t="inlineStr">
        <is>
          <t>31/03/2026</t>
        </is>
      </c>
      <c r="I18236" s="10" t="inlineStr">
        <is>
          <t>17/03/2026</t>
        </is>
      </c>
      <c r="J18236" s="10" t="inlineStr">
        <is>
          <t>Xây dựng</t>
        </is>
      </c>
      <c r="K18236" s="10" t="inlineStr">
        <is>
          <t>N/A</t>
        </is>
      </c>
      <c r="L18236" s="11">
        <f>HYPERLINK("https://careerviet.vn/vi/tim-viec-lam/structural-engineer.35C67039.html","Xem chi tiết")</f>
        <v/>
      </c>
      <c r="M18236" s="10" t="n"/>
    </row>
    <row r="18237">
      <c r="B18237" s="7" t="n">
        <v>18235</v>
      </c>
      <c r="C18237" t="inlineStr">
        <is>
          <t>Corporate Legal Specialist (1-Year Contract)</t>
        </is>
      </c>
      <c r="D18237" t="inlineStr">
        <is>
          <t>Wanek Furniture</t>
        </is>
      </c>
      <c r="E18237" t="inlineStr">
        <is>
          <t>Lương:Cạnh tranh</t>
        </is>
      </c>
      <c r="F18237" t="inlineStr">
        <is>
          <t>Bình Dương</t>
        </is>
      </c>
      <c r="G18237" t="inlineStr">
        <is>
          <t>31-03-2026</t>
        </is>
      </c>
      <c r="H18237" t="inlineStr">
        <is>
          <t>31/03/2026</t>
        </is>
      </c>
      <c r="I18237" t="inlineStr">
        <is>
          <t>17/03/2026</t>
        </is>
      </c>
      <c r="J18237" t="inlineStr">
        <is>
          <t>Luật / Pháp lý, Sản xuất / Vận hành sản xuất, Đồ gỗ</t>
        </is>
      </c>
      <c r="K18237" t="inlineStr">
        <is>
          <t>N/A</t>
        </is>
      </c>
      <c r="L18237" s="8">
        <f>HYPERLINK("https://careerviet.vn/vi/tim-viec-lam/corporate-legal-specialist-1-year-contract.35C6703E.html","Xem chi tiết")</f>
        <v/>
      </c>
    </row>
    <row r="18238">
      <c r="B18238" s="9" t="n">
        <v>18236</v>
      </c>
      <c r="C18238" s="10" t="inlineStr">
        <is>
          <t>Nhân Viên Tư Vấn Sản Phẩm Livotec tại Điện Máy Xanh Đồng Nai/Hậu Giang</t>
        </is>
      </c>
      <c r="D18238" s="10" t="inlineStr">
        <is>
          <t>Tập Đoàn Karofi Holding</t>
        </is>
      </c>
      <c r="E18238" s="10" t="inlineStr">
        <is>
          <t>Lương:8 Tr - 15 Tr VND</t>
        </is>
      </c>
      <c r="F18238" s="10" t="inlineStr">
        <is>
          <t>Đồng NaiHậu Giang</t>
        </is>
      </c>
      <c r="G18238" s="10" t="inlineStr">
        <is>
          <t>31-03-2026</t>
        </is>
      </c>
      <c r="H18238" s="10" t="inlineStr">
        <is>
          <t>31/03/2026</t>
        </is>
      </c>
      <c r="I18238" s="10" t="inlineStr">
        <is>
          <t>17/03/2026</t>
        </is>
      </c>
      <c r="J18238" s="10" t="inlineStr">
        <is>
          <t>Bán hàng / Kinh doanh</t>
        </is>
      </c>
      <c r="K18238" s="10" t="inlineStr">
        <is>
          <t>Trên 6 Năm</t>
        </is>
      </c>
      <c r="L18238" s="11">
        <f>HYPERLINK("https://careerviet.vn/vi/tim-viec-lam/nhan-vien-tu-van-san-pham-livotec-tai-dien-may-xanh-dong-nai-hau-giang.35C64511.html","Xem chi tiết")</f>
        <v/>
      </c>
      <c r="M18238" s="10" t="n"/>
    </row>
    <row r="18239">
      <c r="B18239" s="7" t="n">
        <v>18237</v>
      </c>
      <c r="C18239" t="inlineStr">
        <is>
          <t>Kế toán Tổng hợp (Công ty Sản xuất)</t>
        </is>
      </c>
      <c r="D18239" t="inlineStr">
        <is>
          <t>CÔNG TY CỔ PHẦN VINATECH SOLUTION</t>
        </is>
      </c>
      <c r="E18239" t="inlineStr">
        <is>
          <t>Lương:18 Tr - 25 Tr VND</t>
        </is>
      </c>
      <c r="F18239" t="inlineStr">
        <is>
          <t>Hồ Chí Minh</t>
        </is>
      </c>
      <c r="G18239" t="inlineStr">
        <is>
          <t>31-03-2026</t>
        </is>
      </c>
      <c r="H18239" t="inlineStr">
        <is>
          <t>31/03/2026</t>
        </is>
      </c>
      <c r="I18239" t="inlineStr">
        <is>
          <t>17/03/2026</t>
        </is>
      </c>
      <c r="J18239" t="inlineStr">
        <is>
          <t>Kế toán / Kiểm toán, Tài chính / Đầu tư, Sản xuất / Vận hành sản xuất</t>
        </is>
      </c>
      <c r="K18239" t="inlineStr">
        <is>
          <t>2 - 5 Năm</t>
        </is>
      </c>
      <c r="L18239" s="8">
        <f>HYPERLINK("https://careerviet.vn/vi/tim-viec-lam/ke-toan-tong-hop-cong-ty-san-xuat.35C67090.html","Xem chi tiết")</f>
        <v/>
      </c>
    </row>
    <row r="18240">
      <c r="B18240" s="9" t="n">
        <v>18238</v>
      </c>
      <c r="C18240" s="10" t="inlineStr">
        <is>
          <t>Thư ký Chủ tịch</t>
        </is>
      </c>
      <c r="D18240" s="10" t="inlineStr">
        <is>
          <t>TỔNG CÔNG TY CỔ PHẦN THƯƠNG MẠI XÂY DỰNG</t>
        </is>
      </c>
      <c r="E18240" s="10" t="inlineStr">
        <is>
          <t>Lương:Cạnh tranh</t>
        </is>
      </c>
      <c r="F18240" s="10" t="inlineStr">
        <is>
          <t>Hà Nội</t>
        </is>
      </c>
      <c r="G18240" s="10" t="inlineStr">
        <is>
          <t>31-03-2026</t>
        </is>
      </c>
      <c r="H18240" s="10" t="inlineStr">
        <is>
          <t>31/03/2026</t>
        </is>
      </c>
      <c r="I18240" s="10" t="inlineStr">
        <is>
          <t>17/03/2026</t>
        </is>
      </c>
      <c r="J18240" s="10" t="inlineStr">
        <is>
          <t>Hành chính / Thư ký, Biên phiên dịch</t>
        </is>
      </c>
      <c r="K18240" s="10" t="inlineStr">
        <is>
          <t>Trên 3 Năm</t>
        </is>
      </c>
      <c r="L18240" s="11">
        <f>HYPERLINK("https://careerviet.vn/vi/tim-viec-lam/thu-ky-chu-tich.35C66FB6.html","Xem chi tiết")</f>
        <v/>
      </c>
      <c r="M18240" s="10" t="n"/>
    </row>
    <row r="18241">
      <c r="B18241" s="7" t="n">
        <v>18239</v>
      </c>
      <c r="C18241" t="inlineStr">
        <is>
          <t>Chuyên Viên Dự Án – Đấu Thầu</t>
        </is>
      </c>
      <c r="D18241" t="inlineStr">
        <is>
          <t>CÔNG TY TNHH XÂY DỰNG THƯƠNG MẠI LỤC GIÁC</t>
        </is>
      </c>
      <c r="E18241" t="inlineStr">
        <is>
          <t>Lương:15 Tr - 20 Tr VND</t>
        </is>
      </c>
      <c r="F18241" t="inlineStr">
        <is>
          <t>Hồ Chí Minh</t>
        </is>
      </c>
      <c r="G18241" t="inlineStr">
        <is>
          <t>31-03-2026</t>
        </is>
      </c>
      <c r="H18241" t="inlineStr">
        <is>
          <t>31/03/2026</t>
        </is>
      </c>
      <c r="I18241" t="inlineStr">
        <is>
          <t>17/03/2026</t>
        </is>
      </c>
      <c r="J18241" t="inlineStr">
        <is>
          <t>Xây dựng, Cơ khí / Ô tô / Tự động hóa, Kiến trúc</t>
        </is>
      </c>
      <c r="K18241" t="inlineStr">
        <is>
          <t>2 - 1 Năm</t>
        </is>
      </c>
      <c r="L18241" s="8">
        <f>HYPERLINK("https://careerviet.vn/vi/tim-viec-lam/chuyen-vien-du-an-dau-thau.35C645F7.html","Xem chi tiết")</f>
        <v/>
      </c>
    </row>
    <row r="18242">
      <c r="B18242" s="9" t="n">
        <v>18240</v>
      </c>
      <c r="C18242" s="10" t="inlineStr">
        <is>
          <t>Chuyên viên tài chính</t>
        </is>
      </c>
      <c r="D18242" s="10" t="inlineStr">
        <is>
          <t>Công Ty Cổ Phần TM &amp; DV Phong Vũ</t>
        </is>
      </c>
      <c r="E18242" s="10" t="inlineStr">
        <is>
          <t>Lương:Cạnh tranh</t>
        </is>
      </c>
      <c r="F18242" s="10" t="inlineStr">
        <is>
          <t>Hà Nội</t>
        </is>
      </c>
      <c r="G18242" s="10" t="inlineStr">
        <is>
          <t>31-03-2026</t>
        </is>
      </c>
      <c r="H18242" s="10" t="inlineStr">
        <is>
          <t>31/03/2026</t>
        </is>
      </c>
      <c r="I18242" s="10" t="inlineStr">
        <is>
          <t>17/03/2026</t>
        </is>
      </c>
      <c r="J18242" s="10" t="inlineStr">
        <is>
          <t>Kế toán / Kiểm toán</t>
        </is>
      </c>
      <c r="K18242" s="10" t="inlineStr">
        <is>
          <t>3 - 5 Năm</t>
        </is>
      </c>
      <c r="L18242" s="11">
        <f>HYPERLINK("https://careerviet.vn/vi/tim-viec-lam/chuyen-vien-tai-chinh.35C67030.html","Xem chi tiết")</f>
        <v/>
      </c>
      <c r="M18242" s="10" t="n"/>
    </row>
    <row r="18243">
      <c r="B18243" s="7" t="n">
        <v>18241</v>
      </c>
      <c r="C18243" t="inlineStr">
        <is>
          <t>Nhân Viên Phát Triển Thị Trường Nhật | Giáo dục &amp; Xuất Khẩu Lao Động</t>
        </is>
      </c>
      <c r="D18243" t="inlineStr">
        <is>
          <t>CareerViet's client</t>
        </is>
      </c>
      <c r="E18243" t="inlineStr">
        <is>
          <t>Lương:20 Tr - 25 Tr VND</t>
        </is>
      </c>
      <c r="F18243" t="inlineStr">
        <is>
          <t>Hồ Chí Minh</t>
        </is>
      </c>
      <c r="G18243" t="inlineStr">
        <is>
          <t>31-03-2026</t>
        </is>
      </c>
      <c r="H18243" t="inlineStr">
        <is>
          <t>31/03/2026</t>
        </is>
      </c>
      <c r="I18243" t="inlineStr">
        <is>
          <t>17/03/2026</t>
        </is>
      </c>
      <c r="J18243" t="inlineStr">
        <is>
          <t>Bán hàng / Kinh doanh, Giáo dục / Đào tạo, Nhân sự</t>
        </is>
      </c>
      <c r="K18243" t="inlineStr">
        <is>
          <t>1 - 5 Năm</t>
        </is>
      </c>
      <c r="L18243" s="8">
        <f>HYPERLINK("https://careerviet.vn/vi/tim-viec-lam/nhan-vien-phat-trien-thi-truong-nhat-giao-duc-xuat-khau-lao-dong.35C67108.html","Xem chi tiết")</f>
        <v/>
      </c>
    </row>
    <row r="18244">
      <c r="B18244" s="9" t="n">
        <v>18242</v>
      </c>
      <c r="C18244" s="10" t="inlineStr">
        <is>
          <t>Kỹ thuật viên bảo trì</t>
        </is>
      </c>
      <c r="D18244" s="10" t="inlineStr">
        <is>
          <t>Anheuser-Busch InBev (AB InBev)</t>
        </is>
      </c>
      <c r="E18244" s="10" t="inlineStr">
        <is>
          <t>Lương:Cạnh tranh</t>
        </is>
      </c>
      <c r="F18244" s="10" t="inlineStr">
        <is>
          <t>Bình Dương</t>
        </is>
      </c>
      <c r="G18244" s="10" t="inlineStr">
        <is>
          <t>31-03-2026</t>
        </is>
      </c>
      <c r="H18244" s="10" t="inlineStr">
        <is>
          <t>31/03/2026</t>
        </is>
      </c>
      <c r="I18244" s="10" t="inlineStr">
        <is>
          <t>17/03/2026</t>
        </is>
      </c>
      <c r="J18244" s="10" t="inlineStr">
        <is>
          <t>Bảo trì / Sửa chữa</t>
        </is>
      </c>
      <c r="K18244" s="10" t="inlineStr">
        <is>
          <t>Trên 2 Năm</t>
        </is>
      </c>
      <c r="L18244" s="11">
        <f>HYPERLINK("https://careerviet.vn/vi/tim-viec-lam/ky-thuat-vien-bao-tri.35C6452E.html","Xem chi tiết")</f>
        <v/>
      </c>
      <c r="M18244" s="10" t="n"/>
    </row>
    <row r="18245">
      <c r="B18245" s="7" t="n">
        <v>18243</v>
      </c>
      <c r="C18245" t="inlineStr">
        <is>
          <t>Chuyên viên chính Giải pháp Ngân hàng số</t>
        </is>
      </c>
      <c r="D18245" t="inlineStr">
        <is>
          <t>Ngân hàng Thương mại cổ phần Đông Nam Á (SeABank)</t>
        </is>
      </c>
      <c r="E18245" t="inlineStr">
        <is>
          <t>Lương:Cạnh tranh</t>
        </is>
      </c>
      <c r="F18245" t="inlineStr">
        <is>
          <t>Hà Nội</t>
        </is>
      </c>
      <c r="G18245" t="inlineStr">
        <is>
          <t>31-03-2026</t>
        </is>
      </c>
      <c r="H18245" t="inlineStr">
        <is>
          <t>31/03/2026</t>
        </is>
      </c>
      <c r="I18245" t="inlineStr">
        <is>
          <t>17/03/2026</t>
        </is>
      </c>
      <c r="J18245" t="inlineStr">
        <is>
          <t>Ngân hàng</t>
        </is>
      </c>
      <c r="K18245" t="inlineStr">
        <is>
          <t>1 - 3 Năm</t>
        </is>
      </c>
      <c r="L18245" s="8">
        <f>HYPERLINK("https://careerviet.vn/vi/tim-viec-lam/chuyen-vien-chinh-giai-phap-ngan-hang-so.35C644A1.html","Xem chi tiết")</f>
        <v/>
      </c>
    </row>
    <row r="18246">
      <c r="B18246" s="9" t="n">
        <v>18244</v>
      </c>
      <c r="C18246" s="10" t="inlineStr">
        <is>
          <t>Nhân Viên Tư Vấn Sản Phẩm Karofi tại Điện Máy Xanh Đồng Tháp</t>
        </is>
      </c>
      <c r="D18246" s="10" t="inlineStr">
        <is>
          <t>Tập Đoàn Karofi Holding</t>
        </is>
      </c>
      <c r="E18246" s="10" t="inlineStr">
        <is>
          <t>Lương:8 Tr - 15 Tr VND</t>
        </is>
      </c>
      <c r="F18246" s="10" t="inlineStr">
        <is>
          <t>Đồng Tháp</t>
        </is>
      </c>
      <c r="G18246" s="10" t="inlineStr">
        <is>
          <t>31-03-2026</t>
        </is>
      </c>
      <c r="H18246" s="10" t="inlineStr">
        <is>
          <t>31/03/2026</t>
        </is>
      </c>
      <c r="I18246" s="10" t="inlineStr">
        <is>
          <t>17/03/2026</t>
        </is>
      </c>
      <c r="J18246" s="10" t="inlineStr">
        <is>
          <t>Bán hàng / Kinh doanh</t>
        </is>
      </c>
      <c r="K18246" s="10" t="inlineStr">
        <is>
          <t>Trên 6 Năm</t>
        </is>
      </c>
      <c r="L18246" s="11">
        <f>HYPERLINK("https://careerviet.vn/vi/tim-viec-lam/nhan-vien-tu-van-san-pham-karofi-tai-dien-may-xanh-dong-thap.35C6450A.html","Xem chi tiết")</f>
        <v/>
      </c>
      <c r="M18246" s="10" t="n"/>
    </row>
    <row r="18247">
      <c r="B18247" s="7" t="n">
        <v>18245</v>
      </c>
      <c r="C18247" t="inlineStr">
        <is>
          <t>[HO] CHUYÊN VIÊN QUẢN LÝ THANH KHOẢN - ASSET &amp; LIABILITY MANAGEMENT (ALM)</t>
        </is>
      </c>
      <c r="D18247" t="inlineStr">
        <is>
          <t>Shinhan Bank Vietnam</t>
        </is>
      </c>
      <c r="E18247" t="inlineStr">
        <is>
          <t>Lương:Cạnh tranh</t>
        </is>
      </c>
      <c r="F18247" t="inlineStr">
        <is>
          <t>Hồ Chí Minh</t>
        </is>
      </c>
      <c r="G18247" t="inlineStr">
        <is>
          <t>31-03-2026</t>
        </is>
      </c>
      <c r="H18247" t="inlineStr">
        <is>
          <t>31/03/2026</t>
        </is>
      </c>
      <c r="I18247" t="inlineStr">
        <is>
          <t>17/03/2026</t>
        </is>
      </c>
      <c r="J18247" t="inlineStr">
        <is>
          <t>Kế toán / Kiểm toán, Ngân hàng, Tài chính / Đầu tư</t>
        </is>
      </c>
      <c r="K18247" t="inlineStr">
        <is>
          <t>Trên 2 Năm</t>
        </is>
      </c>
      <c r="L18247" s="8">
        <f>HYPERLINK("https://careerviet.vn/vi/tim-viec-lam/ho-chuyen-vien-quan-ly-thanh-khoan-asset-liability-management-alm.35C64495.html","Xem chi tiết")</f>
        <v/>
      </c>
    </row>
    <row r="18248">
      <c r="B18248" s="9" t="n">
        <v>18246</v>
      </c>
      <c r="C18248" s="10" t="inlineStr">
        <is>
          <t>Thực Tập Market Research</t>
        </is>
      </c>
      <c r="D18248" s="10" t="inlineStr">
        <is>
          <t>Công ty TNHH Sản xuất Thương mại &amp; Dịch vụ Hoa Xinh</t>
        </is>
      </c>
      <c r="E18248" s="10" t="inlineStr">
        <is>
          <t>Lương:3 Tr - 4 Tr VND</t>
        </is>
      </c>
      <c r="F18248" s="10" t="inlineStr">
        <is>
          <t>Hồ Chí Minh</t>
        </is>
      </c>
      <c r="G18248" s="10" t="inlineStr">
        <is>
          <t>31-03-2026</t>
        </is>
      </c>
      <c r="H18248" s="10" t="inlineStr">
        <is>
          <t>31/03/2026</t>
        </is>
      </c>
      <c r="I18248" s="10" t="inlineStr">
        <is>
          <t>17/03/2026</t>
        </is>
      </c>
      <c r="J18248" s="10" t="inlineStr">
        <is>
          <t>Mới tốt nghiệp / Thực tập, Hành chính / Thư ký, Tư vấn</t>
        </is>
      </c>
      <c r="K18248" s="10" t="inlineStr">
        <is>
          <t>Chưa có kinh nghiệm</t>
        </is>
      </c>
      <c r="L18248" s="11">
        <f>HYPERLINK("https://careerviet.vn/vi/tim-viec-lam/thuc-tap-market-research.35C6700F.html","Xem chi tiết")</f>
        <v/>
      </c>
      <c r="M18248" s="10" t="n"/>
    </row>
    <row r="18249">
      <c r="B18249" s="7" t="n">
        <v>18247</v>
      </c>
      <c r="C18249" t="inlineStr">
        <is>
          <t>NHÂN VIÊN CSKH NHÀ MẠNG VIETTEL TẠI ĐÀ NẴNG HÔM NAY</t>
        </is>
      </c>
      <c r="D18249" t="inlineStr">
        <is>
          <t>BellSystem24-Việt Nam</t>
        </is>
      </c>
      <c r="E18249" t="inlineStr">
        <is>
          <t>Lương:5 Tr - 8 Tr VND</t>
        </is>
      </c>
      <c r="F18249" t="inlineStr">
        <is>
          <t>Đà Nẵng</t>
        </is>
      </c>
      <c r="G18249" t="inlineStr">
        <is>
          <t>31-03-2026</t>
        </is>
      </c>
      <c r="H18249" t="inlineStr">
        <is>
          <t>31/03/2026</t>
        </is>
      </c>
      <c r="I18249" t="inlineStr">
        <is>
          <t>17/03/2026</t>
        </is>
      </c>
      <c r="J18249" t="inlineStr">
        <is>
          <t>Tư vấn, Bưu chính viễn thông, Lao động phổ thông</t>
        </is>
      </c>
      <c r="K18249" t="inlineStr">
        <is>
          <t>N/A</t>
        </is>
      </c>
      <c r="L18249" s="8">
        <f>HYPERLINK("https://careerviet.vn/vi/tim-viec-lam/nhan-vien-cskh-nha-mang-viettel-tai-da-nang-hom-nay.35C64533.html","Xem chi tiết")</f>
        <v/>
      </c>
    </row>
    <row r="18250">
      <c r="B18250" s="9" t="n">
        <v>18248</v>
      </c>
      <c r="C18250" s="10" t="inlineStr">
        <is>
          <t>KTV Xét nghiệm Lấy Máu Tại Chi Nhánh</t>
        </is>
      </c>
      <c r="D18250" s="10" t="inlineStr">
        <is>
          <t>DIAG</t>
        </is>
      </c>
      <c r="E18250" s="10" t="inlineStr">
        <is>
          <t>Lương:11 Tr - 15 Tr VND</t>
        </is>
      </c>
      <c r="F18250" s="10" t="inlineStr">
        <is>
          <t>Hồ Chí Minh</t>
        </is>
      </c>
      <c r="G18250" s="10" t="inlineStr">
        <is>
          <t>31-03-2026</t>
        </is>
      </c>
      <c r="H18250" s="10" t="inlineStr">
        <is>
          <t>31/03/2026</t>
        </is>
      </c>
      <c r="I18250" s="10" t="inlineStr">
        <is>
          <t>17/03/2026</t>
        </is>
      </c>
      <c r="J18250" s="10" t="inlineStr">
        <is>
          <t>Dược phẩm/ Hóa Mỹ Phẩm, Y tế / Chăm sóc sức khỏe / Thẩm mỹ / Làm đẹp, Dịch vụ khách hàng</t>
        </is>
      </c>
      <c r="K18250" s="10" t="inlineStr">
        <is>
          <t>Lên đến 1 Năm</t>
        </is>
      </c>
      <c r="L18250" s="11">
        <f>HYPERLINK("https://careerviet.vn/vi/tim-viec-lam/ktv-xet-nghiem-lay-mau-tai-chi-nhanh.35C67136.html","Xem chi tiết")</f>
        <v/>
      </c>
      <c r="M18250" s="10" t="n"/>
    </row>
    <row r="18251">
      <c r="B18251" s="7" t="n">
        <v>18249</v>
      </c>
      <c r="C18251" t="inlineStr">
        <is>
          <t>Creative Producer | Metub Originals</t>
        </is>
      </c>
      <c r="D18251" t="inlineStr">
        <is>
          <t>Công Ty Cổ Phần Metub Việt Nam</t>
        </is>
      </c>
      <c r="E18251" t="inlineStr">
        <is>
          <t>Lương:Cạnh tranh</t>
        </is>
      </c>
      <c r="F18251" t="inlineStr">
        <is>
          <t>Hồ Chí Minh</t>
        </is>
      </c>
      <c r="G18251" t="inlineStr">
        <is>
          <t>31-03-2026</t>
        </is>
      </c>
      <c r="H18251" t="inlineStr">
        <is>
          <t>31/03/2026</t>
        </is>
      </c>
      <c r="I18251" t="inlineStr">
        <is>
          <t>17/03/2026</t>
        </is>
      </c>
      <c r="J18251" t="inlineStr">
        <is>
          <t>Giải trí, Truyền hình / Báo chí / Biên tập, Quảng cáo / Đối ngoại / Truyền Thông</t>
        </is>
      </c>
      <c r="K18251" t="inlineStr">
        <is>
          <t>2 - 5 Năm</t>
        </is>
      </c>
      <c r="L18251" s="8">
        <f>HYPERLINK("https://careerviet.vn/vi/tim-viec-lam/creative-producer-metub-originals.35C67072.html","Xem chi tiết")</f>
        <v/>
      </c>
    </row>
    <row r="18252">
      <c r="B18252" s="9" t="n">
        <v>18250</v>
      </c>
      <c r="C18252" s="10" t="inlineStr">
        <is>
          <t>Công nhân sản xuất (cân nạp Premix) - làm việc tại tuyến công nghiệp Cổ Chiên, Vĩnh Long</t>
        </is>
      </c>
      <c r="D18252" s="10" t="inlineStr">
        <is>
          <t>Công Ty TNHH De Heus - Chi Nhánh Vĩnh Long 4</t>
        </is>
      </c>
      <c r="E18252" s="10" t="inlineStr">
        <is>
          <t>Lương:5 Tr - 6,6 Tr VND</t>
        </is>
      </c>
      <c r="F18252" s="10" t="inlineStr">
        <is>
          <t>Vĩnh Long</t>
        </is>
      </c>
      <c r="G18252" s="10" t="inlineStr">
        <is>
          <t>31-03-2026</t>
        </is>
      </c>
      <c r="H18252" s="10" t="inlineStr">
        <is>
          <t>31/03/2026</t>
        </is>
      </c>
      <c r="I18252" s="10" t="inlineStr">
        <is>
          <t>17/03/2026</t>
        </is>
      </c>
      <c r="J18252" s="10" t="inlineStr">
        <is>
          <t>Sản xuất / Vận hành sản xuất</t>
        </is>
      </c>
      <c r="K18252" s="10" t="inlineStr">
        <is>
          <t>N/A</t>
        </is>
      </c>
      <c r="L18252" s="11">
        <f>HYPERLINK("https://careerviet.vn/vi/tim-viec-lam/cong-nhan-san-xuat-can-nap-premix-lam-viec-tai-tuyen-cong-nghiep-co-chien-vinh-long.35C66FA3.html","Xem chi tiết")</f>
        <v/>
      </c>
      <c r="M18252" s="10" t="n"/>
    </row>
    <row r="18253">
      <c r="B18253" s="7" t="n">
        <v>18251</v>
      </c>
      <c r="C18253" t="inlineStr">
        <is>
          <t>Nhân viên thu mua (F&amp;B)</t>
        </is>
      </c>
      <c r="D18253" t="inlineStr">
        <is>
          <t>ONE GROUP</t>
        </is>
      </c>
      <c r="E18253" t="inlineStr">
        <is>
          <t>Lương:10 Tr - 15 Tr VND</t>
        </is>
      </c>
      <c r="F18253" t="inlineStr">
        <is>
          <t>Hồ Chí Minh</t>
        </is>
      </c>
      <c r="G18253" t="inlineStr">
        <is>
          <t>31-03-2026</t>
        </is>
      </c>
      <c r="H18253" t="inlineStr">
        <is>
          <t>31/03/2026</t>
        </is>
      </c>
      <c r="I18253" t="inlineStr">
        <is>
          <t>17/03/2026</t>
        </is>
      </c>
      <c r="J18253" t="inlineStr">
        <is>
          <t>Thực phẩm &amp; Đồ uống, Dịch vụ khách hàng, Nhà hàng / Khách sạn</t>
        </is>
      </c>
      <c r="K18253" t="inlineStr">
        <is>
          <t>1 - 2 Năm</t>
        </is>
      </c>
      <c r="L18253" s="8">
        <f>HYPERLINK("https://careerviet.vn/vi/tim-viec-lam/nhan-vien-thu-mua-f-b.35C66FEC.html","Xem chi tiết")</f>
        <v/>
      </c>
    </row>
    <row r="18254">
      <c r="B18254" s="9" t="n">
        <v>18252</v>
      </c>
      <c r="C18254" s="10" t="inlineStr">
        <is>
          <t>SMT Engineering Supervisor</t>
        </is>
      </c>
      <c r="D18254" s="10" t="inlineStr">
        <is>
          <t>East West Industries Vietnam LLC.</t>
        </is>
      </c>
      <c r="E18254" s="10" t="inlineStr">
        <is>
          <t>Lương:Cạnh tranh</t>
        </is>
      </c>
      <c r="F18254" s="10" t="inlineStr">
        <is>
          <t>Bình Dương</t>
        </is>
      </c>
      <c r="G18254" s="10" t="inlineStr">
        <is>
          <t>31-03-2026</t>
        </is>
      </c>
      <c r="H18254" s="10" t="inlineStr">
        <is>
          <t>31/03/2026</t>
        </is>
      </c>
      <c r="I18254" s="10" t="inlineStr">
        <is>
          <t>17/03/2026</t>
        </is>
      </c>
      <c r="J18254" s="10" t="inlineStr">
        <is>
          <t>Cơ khí / Ô tô / Tự động hóa, Điện / Điện tử / Điện lạnh / Điện công nghiệp</t>
        </is>
      </c>
      <c r="K18254" s="10" t="inlineStr">
        <is>
          <t>5 - 10 Năm</t>
        </is>
      </c>
      <c r="L18254" s="11">
        <f>HYPERLINK("https://careerviet.vn/vi/tim-viec-lam/smt-engineering-supervisor.35C6431A.html","Xem chi tiết")</f>
        <v/>
      </c>
      <c r="M18254" s="10" t="n"/>
    </row>
    <row r="18255">
      <c r="B18255" s="7" t="n">
        <v>18253</v>
      </c>
      <c r="C18255" t="inlineStr">
        <is>
          <t>[Hà Nội] CVCC/CVC Phát triển Sản phẩm và Giải pháp Ngân hàng số - Dự án BaaS</t>
        </is>
      </c>
      <c r="D18255" t="inlineStr">
        <is>
          <t>Ngân Hàng TMCP Tiên Phong (TPBank)</t>
        </is>
      </c>
      <c r="E18255" t="inlineStr">
        <is>
          <t>Lương:Cạnh tranh</t>
        </is>
      </c>
      <c r="F18255" t="inlineStr">
        <is>
          <t>Hà Nội</t>
        </is>
      </c>
      <c r="G18255" t="inlineStr">
        <is>
          <t>31-03-2026</t>
        </is>
      </c>
      <c r="H18255" t="inlineStr">
        <is>
          <t>31/03/2026</t>
        </is>
      </c>
      <c r="I18255" t="inlineStr">
        <is>
          <t>17/03/2026</t>
        </is>
      </c>
      <c r="J18255" t="inlineStr">
        <is>
          <t>Ngân hàng, Dịch vụ khách hàng, Tài chính / Đầu tư</t>
        </is>
      </c>
      <c r="K18255" t="inlineStr">
        <is>
          <t>1 - 3 Năm</t>
        </is>
      </c>
      <c r="L18255" s="8">
        <f>HYPERLINK("https://careerviet.vn/vi/tim-viec-lam/ha-noi-cvcc-cvc-phat-trien-san-pham-va-giai-phap-ngan-hang-so-du-an-baas.35C66FF4.html","Xem chi tiết")</f>
        <v/>
      </c>
    </row>
    <row r="18256">
      <c r="B18256" s="9" t="n">
        <v>18254</v>
      </c>
      <c r="C18256" s="10" t="inlineStr">
        <is>
          <t>NSG - Trưởng Phòng Quản lý Tuân Thủ &amp; Bảo Mật (CNTT)/IT Compliance &amp; Information Security Manager</t>
        </is>
      </c>
      <c r="D18256" s="10" t="inlineStr">
        <is>
          <t>Nova Service Group - Công ty Cổ phần Tập đoàn Nova Services</t>
        </is>
      </c>
      <c r="E18256" s="10" t="inlineStr">
        <is>
          <t>Lương:Cạnh tranh</t>
        </is>
      </c>
      <c r="F18256" s="10" t="inlineStr">
        <is>
          <t>Hồ Chí Minh</t>
        </is>
      </c>
      <c r="G18256" s="10" t="inlineStr">
        <is>
          <t>31-03-2026</t>
        </is>
      </c>
      <c r="H18256" s="10" t="inlineStr">
        <is>
          <t>31/03/2026</t>
        </is>
      </c>
      <c r="I18256" s="10" t="inlineStr">
        <is>
          <t>17/03/2026</t>
        </is>
      </c>
      <c r="J18256" s="10" t="inlineStr">
        <is>
          <t>CNTT - Phần cứng / Mạng</t>
        </is>
      </c>
      <c r="K18256" s="10" t="inlineStr">
        <is>
          <t>Trên 7 Năm</t>
        </is>
      </c>
      <c r="L18256" s="11">
        <f>HYPERLINK("https://careerviet.vn/vi/tim-viec-lam/nsg-truong-phong-quan-ly-tuan-thu-bao-mat-cntt-it-compliance-information-security-manager.35C670B7.html","Xem chi tiết")</f>
        <v/>
      </c>
      <c r="M18256" s="10" t="n"/>
    </row>
    <row r="18257">
      <c r="B18257" s="7" t="n">
        <v>18255</v>
      </c>
      <c r="C18257" t="inlineStr">
        <is>
          <t>[ TP.Hồ Chí Minh] Giám Sát Kinh Doanh Bán Hàng Trực Tiếp</t>
        </is>
      </c>
      <c r="D18257" t="inlineStr">
        <is>
          <t>Công Ty Tài Chính Mirae Asset (Việt Nam)</t>
        </is>
      </c>
      <c r="E18257" t="inlineStr">
        <is>
          <t>Lương:Cạnh tranh</t>
        </is>
      </c>
      <c r="F18257" t="inlineStr">
        <is>
          <t>Lào CaiKV Bắc Trung BộĐiện Biên</t>
        </is>
      </c>
      <c r="G18257" t="inlineStr">
        <is>
          <t>31-03-2026</t>
        </is>
      </c>
      <c r="H18257" t="inlineStr">
        <is>
          <t>31/03/2026</t>
        </is>
      </c>
      <c r="I18257" t="inlineStr">
        <is>
          <t>17/03/2026</t>
        </is>
      </c>
      <c r="J18257" t="inlineStr">
        <is>
          <t>Bán hàng / Kinh doanh, Tài chính / Đầu tư, Dịch vụ khách hàng</t>
        </is>
      </c>
      <c r="K18257" t="inlineStr">
        <is>
          <t>2 - 3 Năm</t>
        </is>
      </c>
      <c r="L18257" s="8">
        <f>HYPERLINK("https://careerviet.vn/vi/tim-viec-lam/tp-ho-chi-minh-giam-sat-kinh-doanh-ban-hang-truc-tiep.35C67158.html","Xem chi tiết")</f>
        <v/>
      </c>
    </row>
    <row r="18258">
      <c r="B18258" s="9" t="n">
        <v>18256</v>
      </c>
      <c r="C18258" s="10" t="inlineStr">
        <is>
          <t>Chuyên Viên Cao Cấp Cung Ứng (Kinh nghiệm BĐS)</t>
        </is>
      </c>
      <c r="D18258" s="10" t="inlineStr">
        <is>
          <t>Công Ty Cổ Phần Tập Đoàn Đầu Tư Địa Ốc No Va</t>
        </is>
      </c>
      <c r="E18258" s="10" t="inlineStr">
        <is>
          <t>Lương:Cạnh tranh</t>
        </is>
      </c>
      <c r="F18258" s="10" t="inlineStr">
        <is>
          <t>Hồ Chí Minh</t>
        </is>
      </c>
      <c r="G18258" s="10" t="inlineStr">
        <is>
          <t>31-03-2026</t>
        </is>
      </c>
      <c r="H18258" s="10" t="inlineStr">
        <is>
          <t>31/03/2026</t>
        </is>
      </c>
      <c r="I18258" s="10" t="inlineStr">
        <is>
          <t>17/03/2026</t>
        </is>
      </c>
      <c r="J18258" s="10" t="inlineStr">
        <is>
          <t>Thu mua / Vật tư, Xây dựng, Bất động sản</t>
        </is>
      </c>
      <c r="K18258" s="10" t="inlineStr">
        <is>
          <t>N/A</t>
        </is>
      </c>
      <c r="L18258" s="11">
        <f>HYPERLINK("https://careerviet.vn/vi/tim-viec-lam/chuyen-vien-cao-cap-cung-ung-kinh-nghiem-bds.35C645DD.html","Xem chi tiết")</f>
        <v/>
      </c>
      <c r="M18258" s="10" t="n"/>
    </row>
    <row r="18259">
      <c r="B18259" s="7" t="n">
        <v>18257</v>
      </c>
      <c r="C18259" t="inlineStr">
        <is>
          <t>Chuyên viên Thu hồi nợ Hiện trường (Nợ sớm) - Lâm Đồng (Bảo Lộc) - TA155</t>
        </is>
      </c>
      <c r="D18259" t="inlineStr">
        <is>
          <t>Ngân Hàng TMCP Việt Nam Thịnh Vượng - VPBANK</t>
        </is>
      </c>
      <c r="E18259" t="inlineStr">
        <is>
          <t>Lương:15 Tr - 35 Tr VND</t>
        </is>
      </c>
      <c r="F18259" t="inlineStr">
        <is>
          <t>Lâm Đồng</t>
        </is>
      </c>
      <c r="G18259" t="inlineStr">
        <is>
          <t>31-03-2026</t>
        </is>
      </c>
      <c r="H18259" t="inlineStr">
        <is>
          <t>31/03/2026</t>
        </is>
      </c>
      <c r="I18259" t="inlineStr">
        <is>
          <t>17/03/2026</t>
        </is>
      </c>
      <c r="J18259" t="inlineStr">
        <is>
          <t>Bán hàng / Kinh doanh, Luật / Pháp lý, Tài chính / Đầu tư</t>
        </is>
      </c>
      <c r="K18259" t="inlineStr">
        <is>
          <t>1 - 2 Năm</t>
        </is>
      </c>
      <c r="L18259" s="8">
        <f>HYPERLINK("https://careerviet.vn/vi/tim-viec-lam/chuyen-vien-thu-hoi-no-hien-truong-no-som-lam-dong-bao-loc-ta155.35C64542.html","Xem chi tiết")</f>
        <v/>
      </c>
    </row>
    <row r="18260">
      <c r="B18260" s="9" t="n">
        <v>18258</v>
      </c>
      <c r="C18260" s="10" t="inlineStr">
        <is>
          <t>Giám sát tài chính/ Finance Supervisor</t>
        </is>
      </c>
      <c r="D18260" s="10" t="inlineStr">
        <is>
          <t>American International Hospital (AIH)</t>
        </is>
      </c>
      <c r="E18260" s="10" t="inlineStr">
        <is>
          <t>Lương:25 Tr - 35 Tr VND</t>
        </is>
      </c>
      <c r="F18260" s="10" t="inlineStr">
        <is>
          <t>Hồ Chí Minh</t>
        </is>
      </c>
      <c r="G18260" s="10" t="inlineStr">
        <is>
          <t>31-03-2026</t>
        </is>
      </c>
      <c r="H18260" s="10" t="inlineStr">
        <is>
          <t>31/03/2026</t>
        </is>
      </c>
      <c r="I18260" s="10" t="inlineStr">
        <is>
          <t>17/03/2026</t>
        </is>
      </c>
      <c r="J18260" s="10" t="inlineStr">
        <is>
          <t>Y tế / Chăm sóc sức khỏe / Thẩm mỹ / Làm đẹp, Kế toán / Kiểm toán, Tài chính / Đầu tư</t>
        </is>
      </c>
      <c r="K18260" s="10" t="inlineStr">
        <is>
          <t>5 - 10 Năm</t>
        </is>
      </c>
      <c r="L18260" s="11">
        <f>HYPERLINK("https://careerviet.vn/vi/tim-viec-lam/giam-sat-tai-chinh-finance-supervisor.35C6700E.html","Xem chi tiết")</f>
        <v/>
      </c>
      <c r="M18260" s="10" t="n"/>
    </row>
    <row r="18261">
      <c r="B18261" s="7" t="n">
        <v>18259</v>
      </c>
      <c r="C18261" t="inlineStr">
        <is>
          <t>Senior Accountant (AP)</t>
        </is>
      </c>
      <c r="D18261" t="inlineStr">
        <is>
          <t>Công Ty Hoàng An Nhiên</t>
        </is>
      </c>
      <c r="E18261" t="inlineStr">
        <is>
          <t>Lương:Cạnh tranh</t>
        </is>
      </c>
      <c r="F18261" t="inlineStr">
        <is>
          <t>Hồ Chí Minh</t>
        </is>
      </c>
      <c r="G18261" t="inlineStr">
        <is>
          <t>31-03-2026</t>
        </is>
      </c>
      <c r="H18261" t="inlineStr">
        <is>
          <t>31/03/2026</t>
        </is>
      </c>
      <c r="I18261" t="inlineStr">
        <is>
          <t>17/03/2026</t>
        </is>
      </c>
      <c r="J18261" t="inlineStr">
        <is>
          <t>Kế toán / Kiểm toán, Thực phẩm &amp; Đồ uống, Sản xuất / Vận hành sản xuất</t>
        </is>
      </c>
      <c r="K18261" t="inlineStr">
        <is>
          <t>1 - 3 Năm</t>
        </is>
      </c>
      <c r="L18261" s="8">
        <f>HYPERLINK("https://careerviet.vn/vi/tim-viec-lam/senior-accountant-ap.35C6714C.html","Xem chi tiết")</f>
        <v/>
      </c>
    </row>
    <row r="18262">
      <c r="B18262" s="9" t="n">
        <v>18260</v>
      </c>
      <c r="C18262" s="10" t="inlineStr">
        <is>
          <t>Kế toán thanh toán</t>
        </is>
      </c>
      <c r="D18262" s="10" t="inlineStr">
        <is>
          <t>CÔNG TY CỔ PHẦN THƯƠNG MẠI DỊCH VỤ SẢN XUẤT HƯƠNG THỦY</t>
        </is>
      </c>
      <c r="E18262" s="10" t="inlineStr">
        <is>
          <t>Lương:11 Tr - 13 Tr VND</t>
        </is>
      </c>
      <c r="F18262" s="10" t="inlineStr">
        <is>
          <t>Hồ Chí Minh</t>
        </is>
      </c>
      <c r="G18262" s="10" t="inlineStr">
        <is>
          <t>31-03-2026</t>
        </is>
      </c>
      <c r="H18262" s="10" t="inlineStr">
        <is>
          <t>31/03/2026</t>
        </is>
      </c>
      <c r="I18262" s="10" t="inlineStr">
        <is>
          <t>17/03/2026</t>
        </is>
      </c>
      <c r="J18262" s="10" t="inlineStr">
        <is>
          <t>Kế toán / Kiểm toán</t>
        </is>
      </c>
      <c r="K18262" s="10" t="inlineStr">
        <is>
          <t>2 - 3 Năm</t>
        </is>
      </c>
      <c r="L18262" s="11">
        <f>HYPERLINK("https://careerviet.vn/vi/tim-viec-lam/ke-toa-n-thanh-toa-n.35C6702E.html","Xem chi tiết")</f>
        <v/>
      </c>
      <c r="M18262" s="10" t="n"/>
    </row>
    <row r="18263">
      <c r="B18263" s="7" t="n">
        <v>18261</v>
      </c>
      <c r="C18263" t="inlineStr">
        <is>
          <t>Nhân Viên Hành Chính - Planning</t>
        </is>
      </c>
      <c r="D18263" t="inlineStr">
        <is>
          <t>CÔNG TY CỔ PHẦN THÁI VIỆT CORPORATION</t>
        </is>
      </c>
      <c r="E18263" t="inlineStr">
        <is>
          <t>Lương:13 Tr - 16 Tr VND</t>
        </is>
      </c>
      <c r="F18263" t="inlineStr">
        <is>
          <t>Hồ Chí Minh</t>
        </is>
      </c>
      <c r="G18263" t="inlineStr">
        <is>
          <t>31-03-2026</t>
        </is>
      </c>
      <c r="H18263" t="inlineStr">
        <is>
          <t>31/03/2026</t>
        </is>
      </c>
      <c r="I18263" t="inlineStr">
        <is>
          <t>17/03/2026</t>
        </is>
      </c>
      <c r="J18263" t="inlineStr">
        <is>
          <t>Biên phiên dịch, Chăn nuôi / Thú y</t>
        </is>
      </c>
      <c r="K18263" t="inlineStr">
        <is>
          <t>N/A</t>
        </is>
      </c>
      <c r="L18263" s="8">
        <f>HYPERLINK("https://careerviet.vn/vi/tim-viec-lam/nhan-vien-hanh-chinh-planning.35C6710C.html","Xem chi tiết")</f>
        <v/>
      </c>
    </row>
    <row r="18264">
      <c r="B18264" s="9" t="n">
        <v>18262</v>
      </c>
      <c r="C18264" s="10" t="inlineStr">
        <is>
          <t>[Vũng Tàu] TƯ VẤN VIÊN TƯ VẤN ĐẦU TƯ (Mức hoa hồng hấp dẫn)</t>
        </is>
      </c>
      <c r="D18264" s="10" t="inlineStr">
        <is>
          <t>VDSC - Công ty CP Chứng khoán Rồng Việt</t>
        </is>
      </c>
      <c r="E18264" s="10" t="inlineStr">
        <is>
          <t>Lương:Cạnh tranh</t>
        </is>
      </c>
      <c r="F18264" s="10" t="inlineStr">
        <is>
          <t>Bà Rịa - Vũng Tàu</t>
        </is>
      </c>
      <c r="G18264" s="10" t="inlineStr">
        <is>
          <t>31-03-2026</t>
        </is>
      </c>
      <c r="H18264" s="10" t="inlineStr">
        <is>
          <t>31/03/2026</t>
        </is>
      </c>
      <c r="I18264" s="10" t="inlineStr">
        <is>
          <t>17/03/2026</t>
        </is>
      </c>
      <c r="J18264" s="10" t="inlineStr">
        <is>
          <t>Ngân hàng, Bất động sản, Chứng khoán</t>
        </is>
      </c>
      <c r="K18264" s="10" t="inlineStr">
        <is>
          <t>Trên 1 Năm</t>
        </is>
      </c>
      <c r="L18264" s="11">
        <f>HYPERLINK("https://careerviet.vn/vi/tim-viec-lam/vung-tau-tu-van-vien-tu-van-dau-tu-muc-hoa-hong-hap-dan.35C64586.html","Xem chi tiết")</f>
        <v/>
      </c>
      <c r="M18264" s="10" t="n"/>
    </row>
    <row r="18265">
      <c r="B18265" s="7" t="n">
        <v>18263</v>
      </c>
      <c r="C18265" t="inlineStr">
        <is>
          <t>Kỹ sư in</t>
        </is>
      </c>
      <c r="D18265" t="inlineStr">
        <is>
          <t>CÔNG TY TNHH IN BAO BÌ TOÀN PHÁT</t>
        </is>
      </c>
      <c r="E18265" t="inlineStr">
        <is>
          <t>Lương:15 Tr - 25 Tr VND</t>
        </is>
      </c>
      <c r="F18265" t="inlineStr">
        <is>
          <t>Hồ Chí Minh</t>
        </is>
      </c>
      <c r="G18265" t="inlineStr">
        <is>
          <t>31-03-2026</t>
        </is>
      </c>
      <c r="H18265" t="inlineStr">
        <is>
          <t>31/03/2026</t>
        </is>
      </c>
      <c r="I18265" t="inlineStr">
        <is>
          <t>17/03/2026</t>
        </is>
      </c>
      <c r="J18265" t="inlineStr">
        <is>
          <t>Sản xuất / Vận hành sản xuất, Quản lý chất lượng (QA/QC), In ấn / Xuất bản</t>
        </is>
      </c>
      <c r="K18265" t="inlineStr">
        <is>
          <t>2 - 5 Năm</t>
        </is>
      </c>
      <c r="L18265" s="8">
        <f>HYPERLINK("https://careerviet.vn/vi/tim-viec-lam/ky-su-in.35C6707E.html","Xem chi tiết")</f>
        <v/>
      </c>
    </row>
    <row r="18266">
      <c r="B18266" s="9" t="n">
        <v>18264</v>
      </c>
      <c r="C18266" s="10" t="inlineStr">
        <is>
          <t>Nhân Viên Kinh Doanh Khu Vực – Làm Việc Từ Xa</t>
        </is>
      </c>
      <c r="D18266" s="10" t="inlineStr">
        <is>
          <t>CÔNG TY TNHH THƯƠNG MẠI DỊCH VỤ N.K.MAY MẮN</t>
        </is>
      </c>
      <c r="E18266" s="10" t="inlineStr">
        <is>
          <t>Lương:8,5 Tr - 12 Tr VND</t>
        </is>
      </c>
      <c r="F18266" s="10" t="inlineStr">
        <is>
          <t>Hồ Chí Minh</t>
        </is>
      </c>
      <c r="G18266" s="10" t="inlineStr">
        <is>
          <t>31-03-2026</t>
        </is>
      </c>
      <c r="H18266" s="10" t="inlineStr">
        <is>
          <t>31/03/2026</t>
        </is>
      </c>
      <c r="I18266" s="10" t="inlineStr">
        <is>
          <t>17/03/2026</t>
        </is>
      </c>
      <c r="J18266" s="10" t="inlineStr">
        <is>
          <t>Bán hàng / Kinh doanh, Y tế / Chăm sóc sức khỏe / Thẩm mỹ / Làm đẹp, Thương mại điện tử</t>
        </is>
      </c>
      <c r="K18266" s="10" t="inlineStr">
        <is>
          <t>2 - 5 Năm</t>
        </is>
      </c>
      <c r="L18266" s="11">
        <f>HYPERLINK("https://careerviet.vn/vi/tim-viec-lam/nhan-vien-kinh-doanh-khu-vuc-lam-viec-tu-xa.35C644D3.html","Xem chi tiết")</f>
        <v/>
      </c>
      <c r="M18266" s="10" t="n"/>
    </row>
    <row r="18267">
      <c r="B18267" s="7" t="n">
        <v>18265</v>
      </c>
      <c r="C18267" t="inlineStr">
        <is>
          <t>Nhân Viên Thiết Kế Đồ Họa</t>
        </is>
      </c>
      <c r="D18267" t="inlineStr">
        <is>
          <t>CÔNG TY CỔ PHẦN THƯƠNG MẠI ĐIỆN MÁY HOA NAM</t>
        </is>
      </c>
      <c r="E18267" t="inlineStr">
        <is>
          <t>Lương:12 Tr - 14 Tr VND</t>
        </is>
      </c>
      <c r="F18267" t="inlineStr">
        <is>
          <t>Hà Nội</t>
        </is>
      </c>
      <c r="G18267" t="inlineStr">
        <is>
          <t>31-03-2026</t>
        </is>
      </c>
      <c r="H18267" t="inlineStr">
        <is>
          <t>31/03/2026</t>
        </is>
      </c>
      <c r="I18267" t="inlineStr">
        <is>
          <t>17/03/2026</t>
        </is>
      </c>
      <c r="J18267" t="inlineStr">
        <is>
          <t>Tiếp thị / Marketing, Mỹ thuật / Nghệ thuật / Thiết kế, Quảng cáo / Đối ngoại / Truyền Thông</t>
        </is>
      </c>
      <c r="K18267" t="inlineStr">
        <is>
          <t>Trên 2 Năm</t>
        </is>
      </c>
      <c r="L18267" s="8">
        <f>HYPERLINK("https://careerviet.vn/vi/tim-viec-lam/nhan-vien-thiet-ke-do-hoa.35C67044.html","Xem chi tiết")</f>
        <v/>
      </c>
    </row>
    <row r="18268">
      <c r="B18268" s="9" t="n">
        <v>18266</v>
      </c>
      <c r="C18268" s="10" t="inlineStr">
        <is>
          <t>Thư ký Hội đồng quản trị VBI - tại Hà Nội</t>
        </is>
      </c>
      <c r="D18268" s="10" t="inlineStr">
        <is>
          <t>Tổng Công Ty Cổ Phần Bảo Hiểm Ngân Hàng TMCP Công Thương Việt Nam</t>
        </is>
      </c>
      <c r="E18268" s="10" t="inlineStr">
        <is>
          <t>Lương:Cạnh tranh</t>
        </is>
      </c>
      <c r="F18268" s="10" t="inlineStr">
        <is>
          <t>Hà Nội</t>
        </is>
      </c>
      <c r="G18268" s="10" t="inlineStr">
        <is>
          <t>31-03-2026</t>
        </is>
      </c>
      <c r="H18268" s="10" t="inlineStr">
        <is>
          <t>31/03/2026</t>
        </is>
      </c>
      <c r="I18268" s="10" t="inlineStr">
        <is>
          <t>17/03/2026</t>
        </is>
      </c>
      <c r="J18268" s="10" t="inlineStr">
        <is>
          <t>Bảo hiểm, Hành chính / Thư ký</t>
        </is>
      </c>
      <c r="K18268" s="10" t="inlineStr">
        <is>
          <t>1 - 5 Năm</t>
        </is>
      </c>
      <c r="L18268" s="11">
        <f>HYPERLINK("https://careerviet.vn/vi/tim-viec-lam/thu-ky-hoi-dong-quan-tri-vbi-tai-ha-noi.35C64603.html","Xem chi tiết")</f>
        <v/>
      </c>
      <c r="M18268" s="10" t="n"/>
    </row>
    <row r="18269">
      <c r="B18269" s="7" t="n">
        <v>18267</v>
      </c>
      <c r="C18269" t="inlineStr">
        <is>
          <t>Nhân viên kinh doanh B2B (HCM, Hà Nội, Toàn Quốc)</t>
        </is>
      </c>
      <c r="D18269" t="inlineStr">
        <is>
          <t>Công Ty Cổ Phần Hai Bốn Bảy</t>
        </is>
      </c>
      <c r="E18269" t="inlineStr">
        <is>
          <t>Lương:15 Tr - 20 Tr VND</t>
        </is>
      </c>
      <c r="F18269" t="inlineStr">
        <is>
          <t>Hà NộiToàn quốcHồ Chí Minh</t>
        </is>
      </c>
      <c r="G18269" t="inlineStr">
        <is>
          <t>31-03-2026</t>
        </is>
      </c>
      <c r="H18269" t="inlineStr">
        <is>
          <t>31/03/2026</t>
        </is>
      </c>
      <c r="I18269" t="inlineStr">
        <is>
          <t>17/03/2026</t>
        </is>
      </c>
      <c r="J18269" t="inlineStr">
        <is>
          <t>Bán hàng / Kinh doanh, Bưu chính viễn thông, Vận chuyển / Giao nhận / Kho vận</t>
        </is>
      </c>
      <c r="K18269" t="inlineStr">
        <is>
          <t>1 - 5 Năm</t>
        </is>
      </c>
      <c r="L18269" s="8">
        <f>HYPERLINK("https://careerviet.vn/vi/tim-viec-lam/nhan-vien-kinh-doanh-b2b-hcm-ha-noi-toan-quoc.35C67084.html","Xem chi tiết")</f>
        <v/>
      </c>
    </row>
    <row r="18270">
      <c r="B18270" s="9" t="n">
        <v>18268</v>
      </c>
      <c r="C18270" s="10" t="inlineStr">
        <is>
          <t>QA Vice Manager / Phó Giám Đốc Quản Lý Chất Lượng (ngành may mặc)</t>
        </is>
      </c>
      <c r="D18270" s="10" t="inlineStr">
        <is>
          <t>Công Ty TNHH Apparel Far Eastern (Việt Nam)</t>
        </is>
      </c>
      <c r="E18270" s="10" t="inlineStr">
        <is>
          <t>Lương:42 Tr - 45 Tr VND</t>
        </is>
      </c>
      <c r="F18270" s="10" t="inlineStr">
        <is>
          <t>Bình Phước</t>
        </is>
      </c>
      <c r="G18270" s="10" t="inlineStr">
        <is>
          <t>31-03-2026</t>
        </is>
      </c>
      <c r="H18270" s="10" t="inlineStr">
        <is>
          <t>31/03/2026</t>
        </is>
      </c>
      <c r="I18270" s="10" t="inlineStr">
        <is>
          <t>17/03/2026</t>
        </is>
      </c>
      <c r="J18270" s="10" t="inlineStr">
        <is>
          <t>Dệt may / Da giày / Thời trang</t>
        </is>
      </c>
      <c r="K18270" s="10" t="inlineStr">
        <is>
          <t>3 - 5 Năm</t>
        </is>
      </c>
      <c r="L18270" s="11">
        <f>HYPERLINK("https://careerviet.vn/vi/tim-viec-lam/qa-vice-manager-pho-giam-doc-quan-ly-chat-luong-nganh-may-mac.35C670A7.html","Xem chi tiết")</f>
        <v/>
      </c>
      <c r="M18270" s="10" t="n"/>
    </row>
    <row r="18271">
      <c r="B18271" s="7" t="n">
        <v>18269</v>
      </c>
      <c r="C18271" t="inlineStr">
        <is>
          <t>[Đồng Tháp] Sales Supervisor/ Giám Sát Bán Hàng Kênh GT</t>
        </is>
      </c>
      <c r="D18271" t="inlineStr">
        <is>
          <t>Công Ty Cổ Phần Diana Unicharm</t>
        </is>
      </c>
      <c r="E18271" t="inlineStr">
        <is>
          <t>Lương:Cạnh tranh</t>
        </is>
      </c>
      <c r="F18271" t="inlineStr">
        <is>
          <t>Đồng Tháp</t>
        </is>
      </c>
      <c r="G18271" t="inlineStr">
        <is>
          <t>31-03-2026</t>
        </is>
      </c>
      <c r="H18271" t="inlineStr">
        <is>
          <t>31/03/2026</t>
        </is>
      </c>
      <c r="I18271" t="inlineStr">
        <is>
          <t>17/03/2026</t>
        </is>
      </c>
      <c r="J18271" t="inlineStr">
        <is>
          <t>Bán lẻ / Bán sỉ, Bán hàng / Kinh doanh, Hàng gia dụng / Chăm sóc cá nhân</t>
        </is>
      </c>
      <c r="K18271" t="inlineStr">
        <is>
          <t>3 - 5 Năm</t>
        </is>
      </c>
      <c r="L18271" s="8">
        <f>HYPERLINK("https://careerviet.vn/vi/tim-viec-lam/dong-thap-sales-supervisor-giam-sat-ban-hang-kenh-gt.35C6704A.html","Xem chi tiết")</f>
        <v/>
      </c>
    </row>
    <row r="18272">
      <c r="B18272" s="9" t="n">
        <v>18270</v>
      </c>
      <c r="C18272" s="10" t="inlineStr">
        <is>
          <t>Chuyên viên Tài chính Khách hàng</t>
        </is>
      </c>
      <c r="D18272" s="10" t="inlineStr">
        <is>
          <t>Công ty Cổ Phần Bất Động Sản SeaHoldings</t>
        </is>
      </c>
      <c r="E18272" s="10" t="inlineStr">
        <is>
          <t>Lương:Cạnh tranh</t>
        </is>
      </c>
      <c r="F18272" s="10" t="inlineStr">
        <is>
          <t>Hồ Chí Minh</t>
        </is>
      </c>
      <c r="G18272" s="10" t="inlineStr">
        <is>
          <t>31-03-2026</t>
        </is>
      </c>
      <c r="H18272" s="10" t="inlineStr">
        <is>
          <t>31/03/2026</t>
        </is>
      </c>
      <c r="I18272" s="10" t="inlineStr">
        <is>
          <t>17/03/2026</t>
        </is>
      </c>
      <c r="J18272" s="10" t="inlineStr">
        <is>
          <t>Ngân hàng, Bất động sản</t>
        </is>
      </c>
      <c r="K18272" s="10" t="inlineStr">
        <is>
          <t>2 - 7 Năm</t>
        </is>
      </c>
      <c r="L18272" s="11">
        <f>HYPERLINK("https://careerviet.vn/vi/tim-viec-lam/chuyen-vien-tai-chinh-khach-hang.35C645E7.html","Xem chi tiết")</f>
        <v/>
      </c>
      <c r="M18272" s="10" t="n"/>
    </row>
    <row r="18273">
      <c r="B18273" s="7" t="n">
        <v>18271</v>
      </c>
      <c r="C18273" t="inlineStr">
        <is>
          <t>[Hưng Yên] Nhân viên duyệt đơn hàng</t>
        </is>
      </c>
      <c r="D18273" t="inlineStr">
        <is>
          <t>Công ty Cổ phần Dược Hậu Giang</t>
        </is>
      </c>
      <c r="E18273" t="inlineStr">
        <is>
          <t>Lương:9 Tr - 12 Tr VND</t>
        </is>
      </c>
      <c r="F18273" t="inlineStr">
        <is>
          <t>Hưng Yên</t>
        </is>
      </c>
      <c r="G18273" t="inlineStr">
        <is>
          <t>31-03-2026</t>
        </is>
      </c>
      <c r="H18273" t="inlineStr">
        <is>
          <t>31/03/2026</t>
        </is>
      </c>
      <c r="I18273" t="inlineStr">
        <is>
          <t>17/03/2026</t>
        </is>
      </c>
      <c r="J18273" t="inlineStr">
        <is>
          <t>Dược phẩm/ Hóa Mỹ Phẩm, Kế toán / Kiểm toán, Vận chuyển / Giao nhận / Kho vận</t>
        </is>
      </c>
      <c r="K18273" t="inlineStr">
        <is>
          <t>1 - 2 Năm</t>
        </is>
      </c>
      <c r="L18273" s="8">
        <f>HYPERLINK("https://careerviet.vn/vi/tim-viec-lam/hung-yen-nhan-vien-duyet-don-hang.35C64476.html","Xem chi tiết")</f>
        <v/>
      </c>
    </row>
    <row r="18274">
      <c r="B18274" s="9" t="n">
        <v>18272</v>
      </c>
      <c r="C18274" s="10" t="inlineStr">
        <is>
          <t>Chuyên viên hành chính nhân sự</t>
        </is>
      </c>
      <c r="D18274" s="10" t="inlineStr">
        <is>
          <t>Công ty cổ phần Anvy</t>
        </is>
      </c>
      <c r="E18274" s="10" t="inlineStr">
        <is>
          <t>Lương:15 Tr - 18 Tr VND</t>
        </is>
      </c>
      <c r="F18274" s="10" t="inlineStr">
        <is>
          <t>Hà Nội</t>
        </is>
      </c>
      <c r="G18274" s="10" t="inlineStr">
        <is>
          <t>31-03-2026</t>
        </is>
      </c>
      <c r="H18274" s="10" t="inlineStr">
        <is>
          <t>31/03/2026</t>
        </is>
      </c>
      <c r="I18274" s="10" t="inlineStr">
        <is>
          <t>17/03/2026</t>
        </is>
      </c>
      <c r="J18274" s="10" t="inlineStr">
        <is>
          <t>Nhân sự</t>
        </is>
      </c>
      <c r="K18274" s="10" t="inlineStr">
        <is>
          <t>3 - 5 Năm</t>
        </is>
      </c>
      <c r="L18274" s="11">
        <f>HYPERLINK("https://careerviet.vn/vi/tim-viec-lam/chuyen-vien-hanh-chinh-nhan-su.35C670E6.html","Xem chi tiết")</f>
        <v/>
      </c>
      <c r="M18274" s="10" t="n"/>
    </row>
    <row r="18275">
      <c r="B18275" s="7" t="n">
        <v>18273</v>
      </c>
      <c r="C18275" t="inlineStr">
        <is>
          <t>Nhân viên Phát triển đối tác - Kênh Digital</t>
        </is>
      </c>
      <c r="D18275" t="inlineStr">
        <is>
          <t>Tổng Công Ty Cổ Phần Bảo Hiểm Ngân Hàng TMCP Công Thương Việt Nam</t>
        </is>
      </c>
      <c r="E18275" t="inlineStr">
        <is>
          <t>Lương:Cạnh tranh</t>
        </is>
      </c>
      <c r="F18275" t="inlineStr">
        <is>
          <t>Hà Nội</t>
        </is>
      </c>
      <c r="G18275" t="inlineStr">
        <is>
          <t>31-03-2026</t>
        </is>
      </c>
      <c r="H18275" t="inlineStr">
        <is>
          <t>31/03/2026</t>
        </is>
      </c>
      <c r="I18275" t="inlineStr">
        <is>
          <t>17/03/2026</t>
        </is>
      </c>
      <c r="J18275" t="inlineStr">
        <is>
          <t>Bảo hiểm</t>
        </is>
      </c>
      <c r="K18275" t="inlineStr">
        <is>
          <t>1 - 3 Năm</t>
        </is>
      </c>
      <c r="L18275" s="8">
        <f>HYPERLINK("https://careerviet.vn/vi/tim-viec-lam/nhan-vien-phat-trien-doi-tac-kenh-digital.35C64602.html","Xem chi tiết")</f>
        <v/>
      </c>
    </row>
    <row r="18276">
      <c r="B18276" s="9" t="n">
        <v>18274</v>
      </c>
      <c r="C18276" s="10" t="inlineStr">
        <is>
          <t>[Sunrise City] Admin trung tâm kiêm CSKH</t>
        </is>
      </c>
      <c r="D18276" s="10" t="inlineStr">
        <is>
          <t>Công Ty Cổ Phần Vacxin Việt Nam</t>
        </is>
      </c>
      <c r="E18276" s="10" t="inlineStr">
        <is>
          <t>Lương:Cạnh tranh</t>
        </is>
      </c>
      <c r="F18276" s="10" t="inlineStr">
        <is>
          <t>Hồ Chí Minh</t>
        </is>
      </c>
      <c r="G18276" s="10" t="inlineStr">
        <is>
          <t>31-03-2026</t>
        </is>
      </c>
      <c r="H18276" s="10" t="inlineStr">
        <is>
          <t>31/03/2026</t>
        </is>
      </c>
      <c r="I18276" s="10" t="inlineStr">
        <is>
          <t>17/03/2026</t>
        </is>
      </c>
      <c r="J18276" s="10" t="inlineStr">
        <is>
          <t>Dịch vụ khách hàng, Hành chính / Thư ký, Kế toán / Kiểm toán</t>
        </is>
      </c>
      <c r="K18276" s="10" t="inlineStr">
        <is>
          <t>1 - 3 Năm</t>
        </is>
      </c>
      <c r="L18276" s="11">
        <f>HYPERLINK("https://careerviet.vn/vi/tim-viec-lam/sunrise-city-admin-trung-tam-kiem-cskh.35C67006.html","Xem chi tiết")</f>
        <v/>
      </c>
      <c r="M18276" s="10" t="n"/>
    </row>
    <row r="18277">
      <c r="B18277" s="7" t="n">
        <v>18275</v>
      </c>
      <c r="C18277" t="inlineStr">
        <is>
          <t>[BẮC NINH] KỸ SƯ QC</t>
        </is>
      </c>
      <c r="D18277" t="inlineStr">
        <is>
          <t>Tổng công ty Xây dựng số 1 – CTCP</t>
        </is>
      </c>
      <c r="E18277" t="inlineStr">
        <is>
          <t>Lương:Cạnh tranh</t>
        </is>
      </c>
      <c r="F18277" t="inlineStr">
        <is>
          <t>Bắc Ninh</t>
        </is>
      </c>
      <c r="G18277" t="inlineStr">
        <is>
          <t>31-03-2026</t>
        </is>
      </c>
      <c r="H18277" t="inlineStr">
        <is>
          <t>31/03/2026</t>
        </is>
      </c>
      <c r="I18277" t="inlineStr">
        <is>
          <t>17/03/2026</t>
        </is>
      </c>
      <c r="J18277" t="inlineStr">
        <is>
          <t>Xây dựng</t>
        </is>
      </c>
      <c r="K18277" t="inlineStr">
        <is>
          <t>Trên 5 Năm</t>
        </is>
      </c>
      <c r="L18277" s="8">
        <f>HYPERLINK("https://careerviet.vn/vi/tim-viec-lam/bac-ninh-ky-su-qc.35C6705E.html","Xem chi tiết")</f>
        <v/>
      </c>
    </row>
    <row r="18278">
      <c r="B18278" s="9" t="n">
        <v>18276</v>
      </c>
      <c r="C18278" s="10" t="inlineStr">
        <is>
          <t>[HA NOI] - Inspector</t>
        </is>
      </c>
      <c r="D18278" s="10" t="inlineStr">
        <is>
          <t>EUROFINS VIETNAM</t>
        </is>
      </c>
      <c r="E18278" s="10" t="inlineStr">
        <is>
          <t>Lương:12 Tr - 15 Tr VND</t>
        </is>
      </c>
      <c r="F18278" s="10" t="inlineStr">
        <is>
          <t>Hà Nội</t>
        </is>
      </c>
      <c r="G18278" s="10" t="inlineStr">
        <is>
          <t>31-03-2026</t>
        </is>
      </c>
      <c r="H18278" s="10" t="inlineStr">
        <is>
          <t>31/03/2026</t>
        </is>
      </c>
      <c r="I18278" s="10" t="inlineStr">
        <is>
          <t>17/03/2026</t>
        </is>
      </c>
      <c r="J18278" s="10" t="inlineStr">
        <is>
          <t>Bán Hàng Kỹ Thuật, Tư vấn, Hàng gia dụng / Chăm sóc cá nhân</t>
        </is>
      </c>
      <c r="K18278" s="10" t="inlineStr">
        <is>
          <t>1 - 2 Năm</t>
        </is>
      </c>
      <c r="L18278" s="11">
        <f>HYPERLINK("https://careerviet.vn/vi/tim-viec-lam/ha-noi-inspector.35C67066.html","Xem chi tiết")</f>
        <v/>
      </c>
      <c r="M18278" s="10" t="n"/>
    </row>
    <row r="18279">
      <c r="B18279" s="7" t="n">
        <v>18277</v>
      </c>
      <c r="C18279" t="inlineStr">
        <is>
          <t>Kỹ Thuật Viên Bảo Trì  (Làm Việc Tại Vĩnh Long)</t>
        </is>
      </c>
      <c r="D18279" t="inlineStr">
        <is>
          <t>Công Ty TNHH De Heus - Chi Nhánh Vĩnh Long 4</t>
        </is>
      </c>
      <c r="E18279" t="inlineStr">
        <is>
          <t>Lương:7 Tr - 9,3 Tr VND</t>
        </is>
      </c>
      <c r="F18279" t="inlineStr">
        <is>
          <t>Vĩnh Long</t>
        </is>
      </c>
      <c r="G18279" t="inlineStr">
        <is>
          <t>31-03-2026</t>
        </is>
      </c>
      <c r="H18279" t="inlineStr">
        <is>
          <t>31/03/2026</t>
        </is>
      </c>
      <c r="I18279" t="inlineStr">
        <is>
          <t>17/03/2026</t>
        </is>
      </c>
      <c r="J18279" t="inlineStr">
        <is>
          <t>Cơ khí / Ô tô / Tự động hóa, Điện / Điện tử / Điện lạnh / Điện công nghiệp, Bảo trì / Sửa chữa</t>
        </is>
      </c>
      <c r="K18279" t="inlineStr">
        <is>
          <t>N/A</t>
        </is>
      </c>
      <c r="L18279" s="8">
        <f>HYPERLINK("https://careerviet.vn/vi/tim-viec-lam/ky-thuat-vien-bao-tri-lam-viec-tai-vinh-long.35C66FA0.html","Xem chi tiết")</f>
        <v/>
      </c>
    </row>
    <row r="18280">
      <c r="B18280" s="9" t="n">
        <v>18278</v>
      </c>
      <c r="C18280" s="10" t="inlineStr">
        <is>
          <t>THỰC TẬP SINH TƯ VẤN ĐẦU TƯ CHỨNG KHOÁN (HCM)</t>
        </is>
      </c>
      <c r="D18280" s="10" t="inlineStr">
        <is>
          <t>VDSC - Công ty CP Chứng khoán Rồng Việt</t>
        </is>
      </c>
      <c r="E18280" s="10" t="inlineStr">
        <is>
          <t>Lương:3 Tr - 5 Tr VND</t>
        </is>
      </c>
      <c r="F18280" s="10" t="inlineStr">
        <is>
          <t>Hồ Chí Minh</t>
        </is>
      </c>
      <c r="G18280" s="10" t="inlineStr">
        <is>
          <t>31-03-2026</t>
        </is>
      </c>
      <c r="H18280" s="10" t="inlineStr">
        <is>
          <t>31/03/2026</t>
        </is>
      </c>
      <c r="I18280" s="10" t="inlineStr">
        <is>
          <t>17/03/2026</t>
        </is>
      </c>
      <c r="J18280" s="10" t="inlineStr">
        <is>
          <t>Ngân hàng, Chứng khoán, Tài chính / Đầu tư</t>
        </is>
      </c>
      <c r="K18280" s="10" t="inlineStr">
        <is>
          <t>N/A</t>
        </is>
      </c>
      <c r="L18280" s="11">
        <f>HYPERLINK("https://careerviet.vn/vi/tim-viec-lam/thuc-tap-sinh-tu-van-dau-tu-chung-khoan-hcm.35C64589.html","Xem chi tiết")</f>
        <v/>
      </c>
      <c r="M18280" s="10" t="n"/>
    </row>
    <row r="18281">
      <c r="B18281" s="7" t="n">
        <v>18279</v>
      </c>
      <c r="C18281" t="inlineStr">
        <is>
          <t>[HO] RECEPTIONIST - LỄ TÂN</t>
        </is>
      </c>
      <c r="D18281" t="inlineStr">
        <is>
          <t>Shinhan Bank Vietnam</t>
        </is>
      </c>
      <c r="E18281" t="inlineStr">
        <is>
          <t>Lương:Cạnh tranh</t>
        </is>
      </c>
      <c r="F18281" t="inlineStr">
        <is>
          <t>Hồ Chí Minh</t>
        </is>
      </c>
      <c r="G18281" t="inlineStr">
        <is>
          <t>31-03-2026</t>
        </is>
      </c>
      <c r="H18281" t="inlineStr">
        <is>
          <t>31/03/2026</t>
        </is>
      </c>
      <c r="I18281" t="inlineStr">
        <is>
          <t>17/03/2026</t>
        </is>
      </c>
      <c r="J18281" t="inlineStr">
        <is>
          <t>Hành chính / Thư ký, Ngân hàng</t>
        </is>
      </c>
      <c r="K18281" t="inlineStr">
        <is>
          <t>Chưa có kinh nghiệm</t>
        </is>
      </c>
      <c r="L18281" s="8">
        <f>HYPERLINK("https://careerviet.vn/vi/tim-viec-lam/ho-receptionist-le-tan.35C66FB5.html","Xem chi tiết")</f>
        <v/>
      </c>
    </row>
    <row r="18282">
      <c r="B18282" s="9" t="n">
        <v>18280</v>
      </c>
      <c r="C18282" s="10" t="inlineStr">
        <is>
          <t>Quản Lý Kinh Doanh (Lĩnh Vực Chất Độn Ngành Nhựa)</t>
        </is>
      </c>
      <c r="D18282" s="10" t="inlineStr">
        <is>
          <t>ADC PLASTIC,. JSC</t>
        </is>
      </c>
      <c r="E18282" s="10" t="inlineStr">
        <is>
          <t>Lương:800 - 2.000 USD</t>
        </is>
      </c>
      <c r="F18282" s="10" t="inlineStr">
        <is>
          <t>Hồ Chí MinhHà NộiBình Dương</t>
        </is>
      </c>
      <c r="G18282" s="10" t="inlineStr">
        <is>
          <t>31-03-2026</t>
        </is>
      </c>
      <c r="H18282" s="10" t="inlineStr">
        <is>
          <t>31/03/2026</t>
        </is>
      </c>
      <c r="I18282" s="10" t="inlineStr">
        <is>
          <t>17/03/2026</t>
        </is>
      </c>
      <c r="J18282" s="10" t="inlineStr">
        <is>
          <t>Bán lẻ / Bán sỉ, Bán hàng / Kinh doanh, Xuất nhập khẩu</t>
        </is>
      </c>
      <c r="K18282" s="10" t="inlineStr">
        <is>
          <t>Trên 3 Năm</t>
        </is>
      </c>
      <c r="L18282" s="11">
        <f>HYPERLINK("https://careerviet.vn/vi/tim-viec-lam/quan-ly-kinh-doanh-linh-vuc-chat-don-nganh-nhua.35C66FE0.html","Xem chi tiết")</f>
        <v/>
      </c>
      <c r="M18282" s="10" t="n"/>
    </row>
    <row r="18283">
      <c r="B18283" s="7" t="n">
        <v>18281</v>
      </c>
      <c r="C18283" t="inlineStr">
        <is>
          <t>Trợ lý cá nhân (doanh nhân)</t>
        </is>
      </c>
      <c r="D18283" t="inlineStr">
        <is>
          <t>Bảo mật</t>
        </is>
      </c>
      <c r="E18283" t="inlineStr">
        <is>
          <t>Lương:Cạnh tranh</t>
        </is>
      </c>
      <c r="F18283" t="inlineStr">
        <is>
          <t>Hồ Chí Minh</t>
        </is>
      </c>
      <c r="G18283" t="inlineStr">
        <is>
          <t>31-03-2026</t>
        </is>
      </c>
      <c r="H18283" t="inlineStr">
        <is>
          <t>31/03/2026</t>
        </is>
      </c>
      <c r="I18283" t="inlineStr">
        <is>
          <t>17/03/2026</t>
        </is>
      </c>
      <c r="J18283" t="inlineStr">
        <is>
          <t>Hành chính / Thư ký, Quảng cáo / Đối ngoại / Truyền Thông, Ngành khác</t>
        </is>
      </c>
      <c r="K18283" t="inlineStr">
        <is>
          <t>1 - 5 Năm</t>
        </is>
      </c>
      <c r="L18283" s="8">
        <f>HYPERLINK("https://careerviet.vn/vi/tim-viec-lam/tro-ly-ca-nhan-doanh-nhan.35C66FE3.html","Xem chi tiết")</f>
        <v/>
      </c>
    </row>
    <row r="18284">
      <c r="B18284" s="9" t="n">
        <v>18282</v>
      </c>
      <c r="C18284" s="10" t="inlineStr">
        <is>
          <t>Senior Bidding</t>
        </is>
      </c>
      <c r="D18284" s="10" t="inlineStr">
        <is>
          <t>Công ty TNHH Spartronics Việt Nam</t>
        </is>
      </c>
      <c r="E18284" s="10" t="inlineStr">
        <is>
          <t>Lương:Cạnh tranh</t>
        </is>
      </c>
      <c r="F18284" s="10" t="inlineStr">
        <is>
          <t>Bình Dương</t>
        </is>
      </c>
      <c r="G18284" s="10" t="inlineStr">
        <is>
          <t>31-03-2026</t>
        </is>
      </c>
      <c r="H18284" s="10" t="inlineStr">
        <is>
          <t>31/03/2026</t>
        </is>
      </c>
      <c r="I18284" s="10" t="inlineStr">
        <is>
          <t>17/03/2026</t>
        </is>
      </c>
      <c r="J18284" s="10" t="inlineStr">
        <is>
          <t>Bán hàng / Kinh doanh, Bán Hàng Kỹ Thuật, Thương mại điện tử</t>
        </is>
      </c>
      <c r="K18284" s="10" t="inlineStr">
        <is>
          <t>4 - 8 Năm</t>
        </is>
      </c>
      <c r="L18284" s="11">
        <f>HYPERLINK("https://careerviet.vn/vi/tim-viec-lam/senior-bidding.35C644E9.html","Xem chi tiết")</f>
        <v/>
      </c>
      <c r="M18284" s="10" t="n"/>
    </row>
    <row r="18285">
      <c r="B18285" s="7" t="n">
        <v>18283</v>
      </c>
      <c r="C18285" t="inlineStr">
        <is>
          <t>Nhân Viên Kinh Doanh Tư Vấn Bán Hàng &amp; CSKH - Trang Sức Kim Cương</t>
        </is>
      </c>
      <c r="D18285" t="inlineStr">
        <is>
          <t>Công ty Cổ phần Tierra</t>
        </is>
      </c>
      <c r="E18285" t="inlineStr">
        <is>
          <t>Lương:12 Tr - 20 Tr VND</t>
        </is>
      </c>
      <c r="F18285" t="inlineStr">
        <is>
          <t>Hồ Chí MinhHà Nội</t>
        </is>
      </c>
      <c r="G18285" t="inlineStr">
        <is>
          <t>31-03-2026</t>
        </is>
      </c>
      <c r="H18285" t="inlineStr">
        <is>
          <t>31/03/2026</t>
        </is>
      </c>
      <c r="I18285" t="inlineStr">
        <is>
          <t>17/03/2026</t>
        </is>
      </c>
      <c r="J18285" t="inlineStr">
        <is>
          <t>Bán lẻ / Bán sỉ, Bán hàng / Kinh doanh, Tiếp thị trực tuyến</t>
        </is>
      </c>
      <c r="K18285" t="inlineStr">
        <is>
          <t>N/A</t>
        </is>
      </c>
      <c r="L18285" s="8">
        <f>HYPERLINK("https://careerviet.vn/vi/tim-viec-lam/nhan-vien-kinh-doanh-tu-van-ban-hang-cskh-trang-suc-kim-cuong.35C67031.html","Xem chi tiết")</f>
        <v/>
      </c>
    </row>
    <row r="18286">
      <c r="B18286" s="9" t="n">
        <v>18284</v>
      </c>
      <c r="C18286" s="10" t="inlineStr">
        <is>
          <t>Legal Specialist – Property Operations</t>
        </is>
      </c>
      <c r="D18286" s="10" t="inlineStr">
        <is>
          <t>Công ty TNHH Phát triển Phú Mỹ Hưng</t>
        </is>
      </c>
      <c r="E18286" s="10" t="inlineStr">
        <is>
          <t>Lương:15 Tr - 18 Tr VND</t>
        </is>
      </c>
      <c r="F18286" s="10" t="inlineStr">
        <is>
          <t>Hồ Chí Minh</t>
        </is>
      </c>
      <c r="G18286" s="10" t="inlineStr">
        <is>
          <t>31-03-2026</t>
        </is>
      </c>
      <c r="H18286" s="10" t="inlineStr">
        <is>
          <t>31/03/2026</t>
        </is>
      </c>
      <c r="I18286" s="10" t="inlineStr">
        <is>
          <t>17/03/2026</t>
        </is>
      </c>
      <c r="J18286" s="10" t="inlineStr">
        <is>
          <t>Luật / Pháp lý</t>
        </is>
      </c>
      <c r="K18286" s="10" t="inlineStr">
        <is>
          <t>3 - 10 Năm</t>
        </is>
      </c>
      <c r="L18286" s="11">
        <f>HYPERLINK("https://careerviet.vn/vi/tim-viec-lam/legal-specialist-property-operations.35C6452D.html","Xem chi tiết")</f>
        <v/>
      </c>
      <c r="M18286" s="10" t="n"/>
    </row>
    <row r="18287">
      <c r="B18287" s="7" t="n">
        <v>18285</v>
      </c>
      <c r="C18287" t="inlineStr">
        <is>
          <t>Nhân viên kế toán tổng hợp</t>
        </is>
      </c>
      <c r="D18287" t="inlineStr">
        <is>
          <t>Công Ty Cổ Phần Thương Mại Aqua Stone</t>
        </is>
      </c>
      <c r="E18287" t="inlineStr">
        <is>
          <t>Lương:15 Tr - 23 Tr VND</t>
        </is>
      </c>
      <c r="F18287" t="inlineStr">
        <is>
          <t>Hồ Chí Minh</t>
        </is>
      </c>
      <c r="G18287" t="inlineStr">
        <is>
          <t>31-03-2026</t>
        </is>
      </c>
      <c r="H18287" t="inlineStr">
        <is>
          <t>31/03/2026</t>
        </is>
      </c>
      <c r="I18287" t="inlineStr">
        <is>
          <t>17/03/2026</t>
        </is>
      </c>
      <c r="J18287" t="inlineStr">
        <is>
          <t>Kế toán / Kiểm toán, Xây dựng, Tài chính / Đầu tư</t>
        </is>
      </c>
      <c r="K18287" t="inlineStr">
        <is>
          <t>2 - 5 Năm</t>
        </is>
      </c>
      <c r="L18287" s="8">
        <f>HYPERLINK("https://careerviet.vn/vi/tim-viec-lam/nhan-vien-ke-toan-tong-hop.35C67001.html","Xem chi tiết")</f>
        <v/>
      </c>
    </row>
    <row r="18288">
      <c r="B18288" s="9" t="n">
        <v>18286</v>
      </c>
      <c r="C18288" s="10" t="inlineStr">
        <is>
          <t>Chuyên viên/ nhân viên kinh doanh bán lẻ</t>
        </is>
      </c>
      <c r="D18288" s="10" t="inlineStr">
        <is>
          <t>HR Vietnam’s ESS Client</t>
        </is>
      </c>
      <c r="E18288" s="10" t="inlineStr">
        <is>
          <t>Lương:Cạnh tranh</t>
        </is>
      </c>
      <c r="F18288" s="10" t="inlineStr">
        <is>
          <t>Hà NộiHồ Chí Minh</t>
        </is>
      </c>
      <c r="G18288" s="10" t="inlineStr">
        <is>
          <t>31-03-2026</t>
        </is>
      </c>
      <c r="H18288" s="10" t="inlineStr">
        <is>
          <t>31/03/2026</t>
        </is>
      </c>
      <c r="I18288" s="10" t="inlineStr">
        <is>
          <t>17/03/2026</t>
        </is>
      </c>
      <c r="J18288" s="10" t="inlineStr">
        <is>
          <t>Điện / Điện tử / Điện lạnh / Điện công nghiệp, Bán hàng / Kinh doanh</t>
        </is>
      </c>
      <c r="K18288" s="10" t="inlineStr">
        <is>
          <t>2 - 3 Năm</t>
        </is>
      </c>
      <c r="L18288" s="11">
        <f>HYPERLINK("https://careerviet.vn/vi/tim-viec-lam/chuyen-vien-nhan-vien-kinh-doanh-ban-le.35C67102.html","Xem chi tiết")</f>
        <v/>
      </c>
      <c r="M18288" s="10" t="n"/>
    </row>
    <row r="18289">
      <c r="B18289" s="7" t="n">
        <v>18287</v>
      </c>
      <c r="C18289" t="inlineStr">
        <is>
          <t>[ Đống Nai] Giám Sát Kinh Doanh Bán Hàng Trực Tiếp</t>
        </is>
      </c>
      <c r="D18289" t="inlineStr">
        <is>
          <t>Công Ty Tài Chính Mirae Asset (Việt Nam)</t>
        </is>
      </c>
      <c r="E18289" t="inlineStr">
        <is>
          <t>Lương:Cạnh tranh</t>
        </is>
      </c>
      <c r="F18289" t="inlineStr">
        <is>
          <t>Lào CaiKV Bắc Trung BộĐiện Biên</t>
        </is>
      </c>
      <c r="G18289" t="inlineStr">
        <is>
          <t>31-03-2026</t>
        </is>
      </c>
      <c r="H18289" t="inlineStr">
        <is>
          <t>31/03/2026</t>
        </is>
      </c>
      <c r="I18289" t="inlineStr">
        <is>
          <t>17/03/2026</t>
        </is>
      </c>
      <c r="J18289" t="inlineStr">
        <is>
          <t>Bán hàng / Kinh doanh, Tài chính / Đầu tư, Dịch vụ khách hàng</t>
        </is>
      </c>
      <c r="K18289" t="inlineStr">
        <is>
          <t>2 - 3 Năm</t>
        </is>
      </c>
      <c r="L18289" s="8">
        <f>HYPERLINK("https://careerviet.vn/vi/tim-viec-lam/dong-nai-giam-sat-kinh-doanh-ban-hang-truc-tiep.35C67159.html","Xem chi tiết")</f>
        <v/>
      </c>
    </row>
    <row r="18290">
      <c r="B18290" s="9" t="n">
        <v>18288</v>
      </c>
      <c r="C18290" s="10" t="inlineStr">
        <is>
          <t>Senior Sales Engineer - Chinese</t>
        </is>
      </c>
      <c r="D18290" s="10" t="inlineStr">
        <is>
          <t>HR Vietnam’s ESS Client</t>
        </is>
      </c>
      <c r="E18290" s="10" t="inlineStr">
        <is>
          <t>Lương:Cạnh tranh</t>
        </is>
      </c>
      <c r="F18290" s="10" t="inlineStr">
        <is>
          <t>Hồ Chí Minh</t>
        </is>
      </c>
      <c r="G18290" s="10" t="inlineStr">
        <is>
          <t>31-03-2026</t>
        </is>
      </c>
      <c r="H18290" s="10" t="inlineStr">
        <is>
          <t>31/03/2026</t>
        </is>
      </c>
      <c r="I18290" s="10" t="inlineStr">
        <is>
          <t>17/03/2026</t>
        </is>
      </c>
      <c r="J18290" s="10" t="inlineStr">
        <is>
          <t>Điện / Điện tử / Điện lạnh / Điện công nghiệp, Cơ khí / Ô tô / Tự động hóa, Bán hàng / Kinh doanh</t>
        </is>
      </c>
      <c r="K18290" s="10" t="inlineStr">
        <is>
          <t>3 - 5 Năm</t>
        </is>
      </c>
      <c r="L18290" s="11">
        <f>HYPERLINK("https://careerviet.vn/vi/tim-viec-lam/senior-sales-engineer-chinese.35C644DD.html","Xem chi tiết")</f>
        <v/>
      </c>
      <c r="M18290" s="10" t="n"/>
    </row>
    <row r="18291">
      <c r="B18291" s="7" t="n">
        <v>18289</v>
      </c>
      <c r="C18291" t="inlineStr">
        <is>
          <t>Quảng Bình - Giám sát xây dựng</t>
        </is>
      </c>
      <c r="D18291" t="inlineStr">
        <is>
          <t>CÔNG TY CỔ PHẦN TẬP ĐOÀN ONSEN FUJI</t>
        </is>
      </c>
      <c r="E18291" t="inlineStr">
        <is>
          <t>Lương:Cạnh tranh</t>
        </is>
      </c>
      <c r="F18291" t="inlineStr">
        <is>
          <t>Quảng Bình</t>
        </is>
      </c>
      <c r="G18291" t="inlineStr">
        <is>
          <t>31-03-2026</t>
        </is>
      </c>
      <c r="H18291" t="inlineStr">
        <is>
          <t>31/03/2026</t>
        </is>
      </c>
      <c r="I18291" t="inlineStr">
        <is>
          <t>17/03/2026</t>
        </is>
      </c>
      <c r="J18291" t="inlineStr">
        <is>
          <t>Quản lý điều hành, Xây dựng, Ngành khác</t>
        </is>
      </c>
      <c r="K18291" t="inlineStr">
        <is>
          <t>3 - 5 Năm</t>
        </is>
      </c>
      <c r="L18291" s="8">
        <f>HYPERLINK("https://careerviet.vn/vi/tim-viec-lam/quang-binh-giam-sat-xay-dung.35C67068.html","Xem chi tiết")</f>
        <v/>
      </c>
    </row>
    <row r="18292">
      <c r="B18292" s="9" t="n">
        <v>18290</v>
      </c>
      <c r="C18292" s="10" t="inlineStr">
        <is>
          <t>Chủ nhiệm dự án (sales manager)</t>
        </is>
      </c>
      <c r="D18292" s="10" t="inlineStr">
        <is>
          <t>HR Vietnam’s ESS Client</t>
        </is>
      </c>
      <c r="E18292" s="10" t="inlineStr">
        <is>
          <t>Lương:Cạnh tranh</t>
        </is>
      </c>
      <c r="F18292" s="10" t="inlineStr">
        <is>
          <t>Hà Nội</t>
        </is>
      </c>
      <c r="G18292" s="10" t="inlineStr">
        <is>
          <t>31-03-2026</t>
        </is>
      </c>
      <c r="H18292" s="10" t="inlineStr">
        <is>
          <t>31/03/2026</t>
        </is>
      </c>
      <c r="I18292" s="10" t="inlineStr">
        <is>
          <t>17/03/2026</t>
        </is>
      </c>
      <c r="J18292" s="10" t="inlineStr">
        <is>
          <t>Điện / Điện tử / Điện lạnh / Điện công nghiệp, Bán hàng / Kinh doanh</t>
        </is>
      </c>
      <c r="K18292" s="10" t="inlineStr">
        <is>
          <t>3 - 4 Năm</t>
        </is>
      </c>
      <c r="L18292" s="11">
        <f>HYPERLINK("https://careerviet.vn/vi/tim-viec-lam/chu-nhiem-du-an-sales-manager.35C67110.html","Xem chi tiết")</f>
        <v/>
      </c>
      <c r="M18292" s="10" t="n"/>
    </row>
    <row r="18293">
      <c r="B18293" s="7" t="n">
        <v>18291</v>
      </c>
      <c r="C18293" t="inlineStr">
        <is>
          <t>Sales operation Specialist – Industrial paper &amp; Tissue paper export</t>
        </is>
      </c>
      <c r="D18293" t="inlineStr">
        <is>
          <t>Công ty Cổ Phần Giấy Sài Gòn - SAIGON PAPER CORPORATION</t>
        </is>
      </c>
      <c r="E18293" t="inlineStr">
        <is>
          <t>Lương:Cạnh tranh</t>
        </is>
      </c>
      <c r="F18293" t="inlineStr">
        <is>
          <t>Hồ Chí Minh</t>
        </is>
      </c>
      <c r="G18293" t="inlineStr">
        <is>
          <t>31-03-2026</t>
        </is>
      </c>
      <c r="H18293" t="inlineStr">
        <is>
          <t>31/03/2026</t>
        </is>
      </c>
      <c r="I18293" t="inlineStr">
        <is>
          <t>17/03/2026</t>
        </is>
      </c>
      <c r="J18293" t="inlineStr">
        <is>
          <t>Bán hàng / Kinh doanh</t>
        </is>
      </c>
      <c r="K18293" t="inlineStr">
        <is>
          <t>2 - 3 Năm</t>
        </is>
      </c>
      <c r="L18293" s="8">
        <f>HYPERLINK("https://careerviet.vn/vi/tim-viec-lam/sales-operation-specialist-industrial-paper-tissue-paper-export.35C67014.html","Xem chi tiết")</f>
        <v/>
      </c>
    </row>
    <row r="18294">
      <c r="B18294" s="9" t="n">
        <v>18292</v>
      </c>
      <c r="C18294" s="10" t="inlineStr">
        <is>
          <t>[BẮC NINH] KỸ SƯ GIÁM SÁT THI CÔNG</t>
        </is>
      </c>
      <c r="D18294" s="10" t="inlineStr">
        <is>
          <t>Tổng công ty Xây dựng số 1 – CTCP</t>
        </is>
      </c>
      <c r="E18294" s="10" t="inlineStr">
        <is>
          <t>Lương:Cạnh tranh</t>
        </is>
      </c>
      <c r="F18294" s="10" t="inlineStr">
        <is>
          <t>Bắc Ninh</t>
        </is>
      </c>
      <c r="G18294" s="10" t="inlineStr">
        <is>
          <t>31-03-2026</t>
        </is>
      </c>
      <c r="H18294" s="10" t="inlineStr">
        <is>
          <t>31/03/2026</t>
        </is>
      </c>
      <c r="I18294" s="10" t="inlineStr">
        <is>
          <t>17/03/2026</t>
        </is>
      </c>
      <c r="J18294" s="10" t="inlineStr">
        <is>
          <t>Xây dựng</t>
        </is>
      </c>
      <c r="K18294" s="10" t="inlineStr">
        <is>
          <t>Trên 5 Năm</t>
        </is>
      </c>
      <c r="L18294" s="11">
        <f>HYPERLINK("https://careerviet.vn/vi/tim-viec-lam/bac-ninh-ky-su-giam-sat-thi-cong.35C67041.html","Xem chi tiết")</f>
        <v/>
      </c>
      <c r="M18294" s="10" t="n"/>
    </row>
    <row r="18295">
      <c r="B18295" s="7" t="n">
        <v>18293</v>
      </c>
      <c r="C18295" t="inlineStr">
        <is>
          <t>Nhân Viên Tư Vấn Sản Phẩm Karofi tại Điện Máy Xanh Hồ Chí Minh</t>
        </is>
      </c>
      <c r="D18295" t="inlineStr">
        <is>
          <t>Tập Đoàn Karofi Holding</t>
        </is>
      </c>
      <c r="E18295" t="inlineStr">
        <is>
          <t>Lương:8 Tr - 15 Tr VND</t>
        </is>
      </c>
      <c r="F18295" t="inlineStr">
        <is>
          <t>Hồ Chí Minh</t>
        </is>
      </c>
      <c r="G18295" t="inlineStr">
        <is>
          <t>31-03-2026</t>
        </is>
      </c>
      <c r="H18295" t="inlineStr">
        <is>
          <t>31/03/2026</t>
        </is>
      </c>
      <c r="I18295" t="inlineStr">
        <is>
          <t>17/03/2026</t>
        </is>
      </c>
      <c r="J18295" t="inlineStr">
        <is>
          <t>Bán hàng / Kinh doanh</t>
        </is>
      </c>
      <c r="K18295" t="inlineStr">
        <is>
          <t>Trên 6 Năm</t>
        </is>
      </c>
      <c r="L18295" s="8">
        <f>HYPERLINK("https://careerviet.vn/vi/tim-viec-lam/nhan-vien-tu-van-san-pham-karofi-tai-dien-may-xanh-ho-chi-minh.35C64521.html","Xem chi tiết")</f>
        <v/>
      </c>
    </row>
    <row r="18296">
      <c r="B18296" s="9" t="n">
        <v>18294</v>
      </c>
      <c r="C18296" s="10" t="inlineStr">
        <is>
          <t>TBP THN hiện trường - Hồ Chí Minh - TA155 - ID863</t>
        </is>
      </c>
      <c r="D18296" s="10" t="inlineStr">
        <is>
          <t>Ngân Hàng TMCP Việt Nam Thịnh Vượng - VPBANK</t>
        </is>
      </c>
      <c r="E18296" s="10" t="inlineStr">
        <is>
          <t>Lương:Cạnh tranh</t>
        </is>
      </c>
      <c r="F18296" s="10" t="inlineStr">
        <is>
          <t>Hồ Chí Minh</t>
        </is>
      </c>
      <c r="G18296" s="10" t="inlineStr">
        <is>
          <t>31-03-2026</t>
        </is>
      </c>
      <c r="H18296" s="10" t="inlineStr">
        <is>
          <t>31/03/2026</t>
        </is>
      </c>
      <c r="I18296" s="10" t="inlineStr">
        <is>
          <t>17/03/2026</t>
        </is>
      </c>
      <c r="J18296" s="10" t="inlineStr">
        <is>
          <t>Luật / Pháp lý, Ngân hàng, Tài chính / Đầu tư</t>
        </is>
      </c>
      <c r="K18296" s="10" t="inlineStr">
        <is>
          <t>Chưa có kinh nghiệm</t>
        </is>
      </c>
      <c r="L18296" s="11">
        <f>HYPERLINK("https://careerviet.vn/vi/tim-viec-lam/tbp-thn-hien-truong-ho-chi-minh-ta155-id863.35C64540.html","Xem chi tiết")</f>
        <v/>
      </c>
      <c r="M18296" s="10" t="n"/>
    </row>
    <row r="18297">
      <c r="B18297" s="7" t="n">
        <v>18295</v>
      </c>
      <c r="C18297" t="inlineStr">
        <is>
          <t>Ecommerce</t>
        </is>
      </c>
      <c r="D18297" t="inlineStr">
        <is>
          <t>FamilyMart VietNam Joint Stock Company</t>
        </is>
      </c>
      <c r="E18297" t="inlineStr">
        <is>
          <t>Lương:Cạnh tranh</t>
        </is>
      </c>
      <c r="F18297" t="inlineStr">
        <is>
          <t>Hồ Chí Minh</t>
        </is>
      </c>
      <c r="G18297" t="inlineStr">
        <is>
          <t>31-03-2026</t>
        </is>
      </c>
      <c r="H18297" t="inlineStr">
        <is>
          <t>31/03/2026</t>
        </is>
      </c>
      <c r="I18297" t="inlineStr">
        <is>
          <t>17/03/2026</t>
        </is>
      </c>
      <c r="J18297" t="inlineStr">
        <is>
          <t>Tiếp thị trực tuyến, Thương mại điện tử</t>
        </is>
      </c>
      <c r="K18297" t="inlineStr">
        <is>
          <t>Trên 2 Năm</t>
        </is>
      </c>
      <c r="L18297" s="8">
        <f>HYPERLINK("https://careerviet.vn/vi/tim-viec-lam/ecommerce.35C67133.html","Xem chi tiết")</f>
        <v/>
      </c>
    </row>
    <row r="18298">
      <c r="B18298" s="9" t="n">
        <v>18296</v>
      </c>
      <c r="C18298" s="10" t="inlineStr">
        <is>
          <t>Nhân Viên Kinh Doanh Thị Trường - Ngành Hàng Điện Gia Dụng, Phụ Kiện Điện Tử - Làm Việc Tại Bình Tân Thu Nhập Hấp Dẫn</t>
        </is>
      </c>
      <c r="D18298" s="10" t="inlineStr">
        <is>
          <t>Công Ty TNHH Công Nghệ Toàn Cầu Wook Việt Nam</t>
        </is>
      </c>
      <c r="E18298" s="10" t="inlineStr">
        <is>
          <t>Lương:8 Tr - 15 Tr VND</t>
        </is>
      </c>
      <c r="F18298" s="10" t="inlineStr">
        <is>
          <t>Hồ Chí Minh</t>
        </is>
      </c>
      <c r="G18298" s="10" t="inlineStr">
        <is>
          <t>31-03-2026</t>
        </is>
      </c>
      <c r="H18298" s="10" t="inlineStr">
        <is>
          <t>31/03/2026</t>
        </is>
      </c>
      <c r="I18298" s="10" t="inlineStr">
        <is>
          <t>17/03/2026</t>
        </is>
      </c>
      <c r="J18298" s="10" t="inlineStr">
        <is>
          <t>Bán lẻ / Bán sỉ, Bán hàng / Kinh doanh</t>
        </is>
      </c>
      <c r="K18298" s="10" t="inlineStr">
        <is>
          <t>1 - 3 Năm</t>
        </is>
      </c>
      <c r="L18298" s="11">
        <f>HYPERLINK("https://careerviet.vn/vi/tim-viec-lam/nhan-vien-kinh-doanh-thi-truong-nganh-hang-dien-gia-dung-phu-kien-dien-tu-lam-viec-tai-binh-tan-thu-nhap-hap-dan.35C6456E.html","Xem chi tiết")</f>
        <v/>
      </c>
      <c r="M18298" s="10" t="n"/>
    </row>
    <row r="18299">
      <c r="B18299" s="7" t="n">
        <v>18297</v>
      </c>
      <c r="C18299" t="inlineStr">
        <is>
          <t>Nhân viên mua hàng nội thất</t>
        </is>
      </c>
      <c r="D18299" t="inlineStr">
        <is>
          <t>Công ty TNHH Frontier Consulting Việt Nam</t>
        </is>
      </c>
      <c r="E18299" t="inlineStr">
        <is>
          <t>Lương:13 Tr - 20 Tr VND</t>
        </is>
      </c>
      <c r="F18299" t="inlineStr">
        <is>
          <t>Hồ Chí Minh</t>
        </is>
      </c>
      <c r="G18299" t="inlineStr">
        <is>
          <t>31-03-2026</t>
        </is>
      </c>
      <c r="H18299" t="inlineStr">
        <is>
          <t>31/03/2026</t>
        </is>
      </c>
      <c r="I18299" t="inlineStr">
        <is>
          <t>17/03/2026</t>
        </is>
      </c>
      <c r="J18299" t="inlineStr">
        <is>
          <t>Kiến trúc, Xây dựng, Nội ngoại thất</t>
        </is>
      </c>
      <c r="K18299" t="inlineStr">
        <is>
          <t>2 - 5 Năm</t>
        </is>
      </c>
      <c r="L18299" s="8">
        <f>HYPERLINK("https://careerviet.vn/vi/tim-viec-lam/nhan-vien-mua-hang-noi-that.35C670BF.html","Xem chi tiết")</f>
        <v/>
      </c>
    </row>
    <row r="18300">
      <c r="B18300" s="9" t="n">
        <v>18298</v>
      </c>
      <c r="C18300" s="10" t="inlineStr">
        <is>
          <t>Nhân viên Văn phòng</t>
        </is>
      </c>
      <c r="D18300" s="10" t="inlineStr">
        <is>
          <t>Công Ty TNHH Dệt Tah Tong Việt Nam</t>
        </is>
      </c>
      <c r="E18300" s="10" t="inlineStr">
        <is>
          <t>Lương:Cạnh tranh</t>
        </is>
      </c>
      <c r="F18300" s="10" t="inlineStr">
        <is>
          <t>Tây Ninh</t>
        </is>
      </c>
      <c r="G18300" s="10" t="inlineStr">
        <is>
          <t>31-03-2026</t>
        </is>
      </c>
      <c r="H18300" s="10" t="inlineStr">
        <is>
          <t>31/03/2026</t>
        </is>
      </c>
      <c r="I18300" s="10" t="inlineStr">
        <is>
          <t>17/03/2026</t>
        </is>
      </c>
      <c r="J18300" s="10" t="inlineStr">
        <is>
          <t>Dệt may / Da giày / Thời trang</t>
        </is>
      </c>
      <c r="K18300" s="10" t="inlineStr">
        <is>
          <t>1 - 2 Năm</t>
        </is>
      </c>
      <c r="L18300" s="11">
        <f>HYPERLINK("https://careerviet.vn/vi/tim-viec-lam/nhan-vien-van-phong.35C6454A.html","Xem chi tiết")</f>
        <v/>
      </c>
      <c r="M18300" s="10" t="n"/>
    </row>
    <row r="18301">
      <c r="B18301" s="7" t="n">
        <v>18299</v>
      </c>
      <c r="C18301" t="inlineStr">
        <is>
          <t>[BẮC NINH] KỸ SƯ THIẾT KẾ</t>
        </is>
      </c>
      <c r="D18301" t="inlineStr">
        <is>
          <t>Tổng công ty Xây dựng số 1 – CTCP</t>
        </is>
      </c>
      <c r="E18301" t="inlineStr">
        <is>
          <t>Lương:Cạnh tranh</t>
        </is>
      </c>
      <c r="F18301" t="inlineStr">
        <is>
          <t>Bắc Ninh</t>
        </is>
      </c>
      <c r="G18301" t="inlineStr">
        <is>
          <t>31-03-2026</t>
        </is>
      </c>
      <c r="H18301" t="inlineStr">
        <is>
          <t>31/03/2026</t>
        </is>
      </c>
      <c r="I18301" t="inlineStr">
        <is>
          <t>17/03/2026</t>
        </is>
      </c>
      <c r="J18301" t="inlineStr">
        <is>
          <t>Kiến trúc, Xây dựng</t>
        </is>
      </c>
      <c r="K18301" t="inlineStr">
        <is>
          <t>Trên 5 Năm</t>
        </is>
      </c>
      <c r="L18301" s="8">
        <f>HYPERLINK("https://careerviet.vn/vi/tim-viec-lam/bac-ninh-ky-su-thiet-ke.35C67056.html","Xem chi tiết")</f>
        <v/>
      </c>
    </row>
    <row r="18302">
      <c r="B18302" s="9" t="n">
        <v>18300</v>
      </c>
      <c r="C18302" s="10" t="inlineStr">
        <is>
          <t>Trưởng bưu cục giao nhận tại Quảng Nam - Thu nhập lên đến 25 triệu</t>
        </is>
      </c>
      <c r="D18302" s="10" t="inlineStr">
        <is>
          <t>Công Ty Cổ Phần Hai Bốn Bảy</t>
        </is>
      </c>
      <c r="E18302" s="10" t="inlineStr">
        <is>
          <t>Lương:15 Tr - 25 Tr VND</t>
        </is>
      </c>
      <c r="F18302" s="10" t="inlineStr">
        <is>
          <t>Quảng Nam</t>
        </is>
      </c>
      <c r="G18302" s="10" t="inlineStr">
        <is>
          <t>31-03-2026</t>
        </is>
      </c>
      <c r="H18302" s="10" t="inlineStr">
        <is>
          <t>31/03/2026</t>
        </is>
      </c>
      <c r="I18302" s="10" t="inlineStr">
        <is>
          <t>17/03/2026</t>
        </is>
      </c>
      <c r="J18302" s="10" t="inlineStr">
        <is>
          <t>Vận chuyển / Giao nhận / Kho vận</t>
        </is>
      </c>
      <c r="K18302" s="10" t="inlineStr">
        <is>
          <t>1 - 2 Năm</t>
        </is>
      </c>
      <c r="L18302" s="11">
        <f>HYPERLINK("https://careerviet.vn/vi/tim-viec-lam/truong-buu-cuc-giao-nhan-tai-quang-nam-thu-nhap-len-den-25-trieu.35C670E4.html","Xem chi tiết")</f>
        <v/>
      </c>
      <c r="M18302" s="10" t="n"/>
    </row>
    <row r="18303">
      <c r="B18303" s="7" t="n">
        <v>18301</v>
      </c>
      <c r="C18303" t="inlineStr">
        <is>
          <t>[HUB FX KHCN]  Giám đốc Quản lý Kinh doanh Ngoại hối</t>
        </is>
      </c>
      <c r="D18303" t="inlineStr">
        <is>
          <t>Ngân hàng TMCP Lộc Phát Việt Nam (LPBank)</t>
        </is>
      </c>
      <c r="E18303" t="inlineStr">
        <is>
          <t>Lương:Cạnh tranh</t>
        </is>
      </c>
      <c r="F18303" t="inlineStr">
        <is>
          <t>Hà Nội</t>
        </is>
      </c>
      <c r="G18303" t="inlineStr">
        <is>
          <t>31-03-2026</t>
        </is>
      </c>
      <c r="H18303" t="inlineStr">
        <is>
          <t>31/03/2026</t>
        </is>
      </c>
      <c r="I18303" t="inlineStr">
        <is>
          <t>17/03/2026</t>
        </is>
      </c>
      <c r="J18303" t="inlineStr">
        <is>
          <t>Bán hàng / Kinh doanh, Bảo hiểm, Dịch vụ khách hàng</t>
        </is>
      </c>
      <c r="K18303" t="inlineStr">
        <is>
          <t>3 - 5 Năm</t>
        </is>
      </c>
      <c r="L18303" s="8">
        <f>HYPERLINK("https://careerviet.vn/vi/tim-viec-lam/hub-fx-khcn-giam-doc-quan-ly-kinh-doanh-ngoai-hoi.35C644FA.html","Xem chi tiết")</f>
        <v/>
      </c>
    </row>
    <row r="18304">
      <c r="B18304" s="9" t="n">
        <v>18302</v>
      </c>
      <c r="C18304" s="10" t="inlineStr">
        <is>
          <t>Chuyên viên kinh doanh thị trường khu vực Thanh Hóa, Yên Bái</t>
        </is>
      </c>
      <c r="D18304" s="10" t="inlineStr">
        <is>
          <t>Công ty Cổ phần thực phẩm và đồ uống Barett</t>
        </is>
      </c>
      <c r="E18304" s="10" t="inlineStr">
        <is>
          <t>Lương:11 Tr - 20 Tr VND</t>
        </is>
      </c>
      <c r="F18304" s="10" t="inlineStr">
        <is>
          <t>Thanh Hóa</t>
        </is>
      </c>
      <c r="G18304" s="10" t="inlineStr">
        <is>
          <t>31-03-2026</t>
        </is>
      </c>
      <c r="H18304" s="10" t="inlineStr">
        <is>
          <t>31/03/2026</t>
        </is>
      </c>
      <c r="I18304" s="10" t="inlineStr">
        <is>
          <t>17/03/2026</t>
        </is>
      </c>
      <c r="J18304" s="10" t="inlineStr">
        <is>
          <t>Bán lẻ / Bán sỉ, Bán hàng / Kinh doanh, Thực phẩm &amp; Đồ uống</t>
        </is>
      </c>
      <c r="K18304" s="10" t="inlineStr">
        <is>
          <t>1 - 2 Năm</t>
        </is>
      </c>
      <c r="L18304" s="11">
        <f>HYPERLINK("https://careerviet.vn/vi/tim-viec-lam/chuyen-vien-kinh-doanh-thi-truong-khu-vuc-thanh-hoa-yen-bai.35C670AB.html","Xem chi tiết")</f>
        <v/>
      </c>
      <c r="M18304" s="10" t="n"/>
    </row>
    <row r="18305">
      <c r="B18305" s="7" t="n">
        <v>18303</v>
      </c>
      <c r="C18305" t="inlineStr">
        <is>
          <t>[Đồng Nai] Tổ Trưởng Sản Xuất/Production Team Leader</t>
        </is>
      </c>
      <c r="D18305" t="inlineStr">
        <is>
          <t>Công ty Cổ Phần Tập Đoàn Thiên Long</t>
        </is>
      </c>
      <c r="E18305" t="inlineStr">
        <is>
          <t>Lương:13 Tr - 18 Tr VND</t>
        </is>
      </c>
      <c r="F18305" t="inlineStr">
        <is>
          <t>Đồng Nai</t>
        </is>
      </c>
      <c r="G18305" t="inlineStr">
        <is>
          <t>31-03-2026</t>
        </is>
      </c>
      <c r="H18305" t="inlineStr">
        <is>
          <t>31/03/2026</t>
        </is>
      </c>
      <c r="I18305" t="inlineStr">
        <is>
          <t>17/03/2026</t>
        </is>
      </c>
      <c r="J18305" t="inlineStr">
        <is>
          <t>Sản xuất / Vận hành sản xuất</t>
        </is>
      </c>
      <c r="K18305" t="inlineStr">
        <is>
          <t>1 - 3 Năm</t>
        </is>
      </c>
      <c r="L18305" s="8">
        <f>HYPERLINK("https://careerviet.vn/vi/tim-viec-lam/dong-nai-to-truong-san-xuat-production-team-leader.35C66FC1.html","Xem chi tiết")</f>
        <v/>
      </c>
    </row>
    <row r="18306">
      <c r="B18306" s="9" t="n">
        <v>18304</v>
      </c>
      <c r="C18306" s="10" t="inlineStr">
        <is>
          <t>126320 - Interior Designer - Construction</t>
        </is>
      </c>
      <c r="D18306" s="10" t="inlineStr">
        <is>
          <t>RGF HR Agent Vietnam Co., LTD</t>
        </is>
      </c>
      <c r="E18306" s="10" t="inlineStr">
        <is>
          <t>Lương:15 Tr - 23 Tr VND</t>
        </is>
      </c>
      <c r="F18306" s="10" t="inlineStr">
        <is>
          <t>Hà Nội</t>
        </is>
      </c>
      <c r="G18306" s="10" t="inlineStr">
        <is>
          <t>31-03-2026</t>
        </is>
      </c>
      <c r="H18306" s="10" t="inlineStr">
        <is>
          <t>31/03/2026</t>
        </is>
      </c>
      <c r="I18306" s="10" t="inlineStr">
        <is>
          <t>17/03/2026</t>
        </is>
      </c>
      <c r="J18306" s="10" t="inlineStr">
        <is>
          <t>Xây dựng, Nội ngoại thất</t>
        </is>
      </c>
      <c r="K18306" s="10" t="inlineStr">
        <is>
          <t>Trên 3 Năm</t>
        </is>
      </c>
      <c r="L18306" s="11">
        <f>HYPERLINK("https://careerviet.vn/vi/tim-viec-lam/126320-interior-designer-construction.35C645D1.html","Xem chi tiết")</f>
        <v/>
      </c>
      <c r="M18306" s="10" t="n"/>
    </row>
    <row r="18307">
      <c r="B18307" s="7" t="n">
        <v>18305</v>
      </c>
      <c r="C18307" t="inlineStr">
        <is>
          <t>Chuyên viên kinh doanh thiết bị đóng cắt (MCCB, MCB)</t>
        </is>
      </c>
      <c r="D18307" t="inlineStr">
        <is>
          <t>NANOCO GROUP</t>
        </is>
      </c>
      <c r="E18307" t="inlineStr">
        <is>
          <t>Lương:Cạnh tranh</t>
        </is>
      </c>
      <c r="F18307" t="inlineStr">
        <is>
          <t>Hồ Chí Minh</t>
        </is>
      </c>
      <c r="G18307" t="inlineStr">
        <is>
          <t>31-03-2026</t>
        </is>
      </c>
      <c r="H18307" t="inlineStr">
        <is>
          <t>31/03/2026</t>
        </is>
      </c>
      <c r="I18307" t="inlineStr">
        <is>
          <t>17/03/2026</t>
        </is>
      </c>
      <c r="J18307" t="inlineStr">
        <is>
          <t>Bán lẻ / Bán sỉ, Bán hàng / Kinh doanh, Bán Hàng Kỹ Thuật</t>
        </is>
      </c>
      <c r="K18307" t="inlineStr">
        <is>
          <t>1 - 3 Năm</t>
        </is>
      </c>
      <c r="L18307" s="8">
        <f>HYPERLINK("https://careerviet.vn/vi/tim-viec-lam/chuyen-vien-kinh-doanh-thiet-bi-dong-cat-mccb-mcb.35C644D6.html","Xem chi tiết")</f>
        <v/>
      </c>
    </row>
    <row r="18308">
      <c r="B18308" s="9" t="n">
        <v>18306</v>
      </c>
      <c r="C18308" s="10" t="inlineStr">
        <is>
          <t>Trưởng Phòng Rập Cải Tiến / Template Chief</t>
        </is>
      </c>
      <c r="D18308" s="10" t="inlineStr">
        <is>
          <t>Công Ty TNHH Apparel Far Eastern (Việt Nam)</t>
        </is>
      </c>
      <c r="E18308" s="10" t="inlineStr">
        <is>
          <t>Lương:25 Tr - 35 Tr VND</t>
        </is>
      </c>
      <c r="F18308" s="10" t="inlineStr">
        <is>
          <t>Bình Dương</t>
        </is>
      </c>
      <c r="G18308" s="10" t="inlineStr">
        <is>
          <t>31-03-2026</t>
        </is>
      </c>
      <c r="H18308" s="10" t="inlineStr">
        <is>
          <t>31/03/2026</t>
        </is>
      </c>
      <c r="I18308" s="10" t="inlineStr">
        <is>
          <t>17/03/2026</t>
        </is>
      </c>
      <c r="J18308" s="10" t="inlineStr">
        <is>
          <t>Dệt may / Da giày / Thời trang</t>
        </is>
      </c>
      <c r="K18308" s="10" t="inlineStr">
        <is>
          <t>5 - 7 Năm</t>
        </is>
      </c>
      <c r="L18308" s="11">
        <f>HYPERLINK("https://careerviet.vn/vi/tim-viec-lam/truong-phong-rap-cai-tien-template-chief.35C670AA.html","Xem chi tiết")</f>
        <v/>
      </c>
      <c r="M18308" s="10" t="n"/>
    </row>
    <row r="18309">
      <c r="B18309" s="7" t="n">
        <v>18307</v>
      </c>
      <c r="C18309" t="inlineStr">
        <is>
          <t>SENIOR DESIGNER</t>
        </is>
      </c>
      <c r="D18309" t="inlineStr">
        <is>
          <t>CÔNG TY CỔ PHẦN CẢNG TÀU KHÁCH QUỐC TẾ TUẦN CHÂU</t>
        </is>
      </c>
      <c r="E18309" t="inlineStr">
        <is>
          <t>Lương:Cạnh tranh</t>
        </is>
      </c>
      <c r="F18309" t="inlineStr">
        <is>
          <t>Hà Nội</t>
        </is>
      </c>
      <c r="G18309" t="inlineStr">
        <is>
          <t>31-03-2026</t>
        </is>
      </c>
      <c r="H18309" t="inlineStr">
        <is>
          <t>31/03/2026</t>
        </is>
      </c>
      <c r="I18309" t="inlineStr">
        <is>
          <t>17/03/2026</t>
        </is>
      </c>
      <c r="J18309" t="inlineStr">
        <is>
          <t>Mỹ thuật / Nghệ thuật / Thiết kế</t>
        </is>
      </c>
      <c r="K18309" t="inlineStr">
        <is>
          <t>3 - 5 Năm</t>
        </is>
      </c>
      <c r="L18309" s="8">
        <f>HYPERLINK("https://careerviet.vn/vi/tim-viec-lam/senior-designer.35C644DF.html","Xem chi tiết")</f>
        <v/>
      </c>
    </row>
    <row r="18310">
      <c r="B18310" s="9" t="n">
        <v>18308</v>
      </c>
      <c r="C18310" s="10" t="inlineStr">
        <is>
          <t>CHUYÊN VIÊN PHÁP CHẾ</t>
        </is>
      </c>
      <c r="D18310" s="10" t="inlineStr">
        <is>
          <t>CÔNG TY TNHH ĐẦU TƯ VÀ XÂY DỰNG TNG</t>
        </is>
      </c>
      <c r="E18310" s="10" t="inlineStr">
        <is>
          <t>Lương:Cạnh tranh</t>
        </is>
      </c>
      <c r="F18310" s="10" t="inlineStr">
        <is>
          <t>Hà Nội</t>
        </is>
      </c>
      <c r="G18310" s="10" t="inlineStr">
        <is>
          <t>31-03-2026</t>
        </is>
      </c>
      <c r="H18310" s="10" t="inlineStr">
        <is>
          <t>31/03/2026</t>
        </is>
      </c>
      <c r="I18310" s="10" t="inlineStr">
        <is>
          <t>17/03/2026</t>
        </is>
      </c>
      <c r="J18310" s="10" t="inlineStr">
        <is>
          <t>Luật / Pháp lý</t>
        </is>
      </c>
      <c r="K18310" s="10" t="inlineStr">
        <is>
          <t>5 - 7 Năm</t>
        </is>
      </c>
      <c r="L18310" s="11">
        <f>HYPERLINK("https://careerviet.vn/vi/tim-viec-lam/chuyen-vien-phap-che.35C6703A.html","Xem chi tiết")</f>
        <v/>
      </c>
      <c r="M18310" s="10" t="n"/>
    </row>
    <row r="18311">
      <c r="B18311" s="7" t="n">
        <v>18309</v>
      </c>
      <c r="C18311" t="inlineStr">
        <is>
          <t>Nhân viên Nhân sự (Phụ trách Truyền Thông)</t>
        </is>
      </c>
      <c r="D18311" t="inlineStr">
        <is>
          <t>CÔNG TY TNHH HANESBRANDS VIỆT NAM HUẾ (HBI Huế)</t>
        </is>
      </c>
      <c r="E18311" t="inlineStr">
        <is>
          <t>Lương:Cạnh tranh</t>
        </is>
      </c>
      <c r="F18311" t="inlineStr">
        <is>
          <t>Thừa Thiên- Huế</t>
        </is>
      </c>
      <c r="G18311" t="inlineStr">
        <is>
          <t>31-03-2026</t>
        </is>
      </c>
      <c r="H18311" t="inlineStr">
        <is>
          <t>31/03/2026</t>
        </is>
      </c>
      <c r="I18311" t="inlineStr">
        <is>
          <t>17/03/2026</t>
        </is>
      </c>
      <c r="J18311" t="inlineStr">
        <is>
          <t>Tiếp thị / Marketing, Truyền hình / Báo chí / Biên tập, Quảng cáo / Đối ngoại / Truyền Thông</t>
        </is>
      </c>
      <c r="K18311" t="inlineStr">
        <is>
          <t>Trên 2 Năm</t>
        </is>
      </c>
      <c r="L18311" s="8">
        <f>HYPERLINK("https://careerviet.vn/vi/tim-viec-lam/nhan-vien-nhan-su-phu-trach-truyen-thong.35C6705B.html","Xem chi tiết")</f>
        <v/>
      </c>
    </row>
    <row r="18312">
      <c r="B18312" s="9" t="n">
        <v>18310</v>
      </c>
      <c r="C18312" s="10" t="inlineStr">
        <is>
          <t>PG Leader</t>
        </is>
      </c>
      <c r="D18312" s="10" t="inlineStr">
        <is>
          <t>CÔNG TY TNHH SẢN XUẤT TẬP ĐOÀN ĐẠI VIỆT</t>
        </is>
      </c>
      <c r="E18312" s="10" t="inlineStr">
        <is>
          <t>Lương:Cạnh tranh</t>
        </is>
      </c>
      <c r="F18312" s="10" t="inlineStr">
        <is>
          <t>Hồ Chí Minh</t>
        </is>
      </c>
      <c r="G18312" s="10" t="inlineStr">
        <is>
          <t>31-03-2026</t>
        </is>
      </c>
      <c r="H18312" s="10" t="inlineStr">
        <is>
          <t>31/03/2026</t>
        </is>
      </c>
      <c r="I18312" s="10" t="inlineStr">
        <is>
          <t>17/03/2026</t>
        </is>
      </c>
      <c r="J18312" s="10" t="inlineStr">
        <is>
          <t>Bán hàng / Kinh doanh, Thương mại điện tử, Điện / Điện tử / Điện lạnh / Điện công nghiệp</t>
        </is>
      </c>
      <c r="K18312" s="10" t="inlineStr">
        <is>
          <t>1 - 2 Năm</t>
        </is>
      </c>
      <c r="L18312" s="11">
        <f>HYPERLINK("https://careerviet.vn/vi/tim-viec-lam/pg-leader.35C6705C.html","Xem chi tiết")</f>
        <v/>
      </c>
      <c r="M18312" s="10" t="n"/>
    </row>
    <row r="18313">
      <c r="B18313" s="7" t="n">
        <v>18311</v>
      </c>
      <c r="C18313" t="inlineStr">
        <is>
          <t>CHUYÊN GIA PHÁP LÝ AI (LEGAL AI EXPERT)</t>
        </is>
      </c>
      <c r="D18313" t="inlineStr">
        <is>
          <t>Công TY Giải Pháp Pháp Lý Thông Minh</t>
        </is>
      </c>
      <c r="E18313" t="inlineStr">
        <is>
          <t>Lương:9 Tr - 10 Tr VND</t>
        </is>
      </c>
      <c r="F18313" t="inlineStr">
        <is>
          <t>Hồ Chí Minh</t>
        </is>
      </c>
      <c r="G18313" t="inlineStr">
        <is>
          <t>31-03-2026</t>
        </is>
      </c>
      <c r="H18313" t="inlineStr">
        <is>
          <t>31/03/2026</t>
        </is>
      </c>
      <c r="I18313" t="inlineStr">
        <is>
          <t>17/03/2026</t>
        </is>
      </c>
      <c r="J18313" t="inlineStr">
        <is>
          <t>Luật / Pháp lý</t>
        </is>
      </c>
      <c r="K18313" t="inlineStr">
        <is>
          <t>1 - 3 Năm</t>
        </is>
      </c>
      <c r="L18313" s="8">
        <f>HYPERLINK("https://careerviet.vn/vi/tim-viec-lam/chuyen-gia-phap-ly-ai-legal-ai-expert.35C67059.html","Xem chi tiết")</f>
        <v/>
      </c>
    </row>
    <row r="18314">
      <c r="B18314" s="9" t="n">
        <v>18312</v>
      </c>
      <c r="C18314" s="10" t="inlineStr">
        <is>
          <t>Nhân viên Kinh doanh Dự án</t>
        </is>
      </c>
      <c r="D18314" s="10" t="inlineStr">
        <is>
          <t>NANOCO GROUP</t>
        </is>
      </c>
      <c r="E18314" s="10" t="inlineStr">
        <is>
          <t>Lương:Cạnh tranh</t>
        </is>
      </c>
      <c r="F18314" s="10" t="inlineStr">
        <is>
          <t>Hồ Chí Minh</t>
        </is>
      </c>
      <c r="G18314" s="10" t="inlineStr">
        <is>
          <t>31-03-2026</t>
        </is>
      </c>
      <c r="H18314" s="10" t="inlineStr">
        <is>
          <t>31/03/2026</t>
        </is>
      </c>
      <c r="I18314" s="10" t="inlineStr">
        <is>
          <t>17/03/2026</t>
        </is>
      </c>
      <c r="J18314" s="10" t="inlineStr">
        <is>
          <t>Bán lẻ / Bán sỉ, Bán hàng / Kinh doanh, Bán Hàng Kỹ Thuật</t>
        </is>
      </c>
      <c r="K18314" s="10" t="inlineStr">
        <is>
          <t>1 - 3 Năm</t>
        </is>
      </c>
      <c r="L18314" s="11">
        <f>HYPERLINK("https://careerviet.vn/vi/tim-viec-lam/nhan-vien-kinh-doanh-du-an.35C645A1.html","Xem chi tiết")</f>
        <v/>
      </c>
      <c r="M18314" s="10" t="n"/>
    </row>
    <row r="18315">
      <c r="B18315" s="7" t="n">
        <v>18313</v>
      </c>
      <c r="C18315" t="inlineStr">
        <is>
          <t>CHUYÊN VIÊN KINH DOANH B2B</t>
        </is>
      </c>
      <c r="D18315" t="inlineStr">
        <is>
          <t>CÔNG TY TNHH ELTETE (VIỆT NAM)</t>
        </is>
      </c>
      <c r="E18315" t="inlineStr">
        <is>
          <t>Lương:Cạnh tranh</t>
        </is>
      </c>
      <c r="F18315" t="inlineStr">
        <is>
          <t>Bình Dương</t>
        </is>
      </c>
      <c r="G18315" t="inlineStr">
        <is>
          <t>31-03-2026</t>
        </is>
      </c>
      <c r="H18315" t="inlineStr">
        <is>
          <t>31/03/2026</t>
        </is>
      </c>
      <c r="I18315" t="inlineStr">
        <is>
          <t>17/03/2026</t>
        </is>
      </c>
      <c r="J18315" t="inlineStr">
        <is>
          <t>Tiếp thị / Marketing, Bán lẻ / Bán sỉ, Bán hàng / Kinh doanh</t>
        </is>
      </c>
      <c r="K18315" t="inlineStr">
        <is>
          <t>2 - 5 Năm</t>
        </is>
      </c>
      <c r="L18315" s="8">
        <f>HYPERLINK("https://careerviet.vn/vi/tim-viec-lam/chuyen-vien-kinh-doanh-b2b.35C64565.html","Xem chi tiết")</f>
        <v/>
      </c>
    </row>
    <row r="18316">
      <c r="B18316" s="9" t="n">
        <v>18314</v>
      </c>
      <c r="C18316" s="10" t="inlineStr">
        <is>
          <t>Giám đốc kinh doanh tại Cà Mau</t>
        </is>
      </c>
      <c r="D18316" s="10" t="inlineStr">
        <is>
          <t>Công ty Cổ phần công nghệ T-Tech Việt Nam</t>
        </is>
      </c>
      <c r="E18316" s="10" t="inlineStr">
        <is>
          <t>Lương:15 Tr - 25 Tr VND</t>
        </is>
      </c>
      <c r="F18316" s="10" t="inlineStr">
        <is>
          <t>Cà Mau</t>
        </is>
      </c>
      <c r="G18316" s="10" t="inlineStr">
        <is>
          <t>31-03-2026</t>
        </is>
      </c>
      <c r="H18316" s="10" t="inlineStr">
        <is>
          <t>31/03/2026</t>
        </is>
      </c>
      <c r="I18316" s="10" t="inlineStr">
        <is>
          <t>17/03/2026</t>
        </is>
      </c>
      <c r="J18316" s="10" t="inlineStr">
        <is>
          <t>Bán hàng / Kinh doanh</t>
        </is>
      </c>
      <c r="K18316" s="10" t="inlineStr">
        <is>
          <t>25 - 45 Năm</t>
        </is>
      </c>
      <c r="L18316" s="11">
        <f>HYPERLINK("https://careerviet.vn/vi/tim-viec-lam/giam-doc-kinh-doanh-tai-ca-mau.35C63B1C.html","Xem chi tiết")</f>
        <v/>
      </c>
      <c r="M18316" s="10" t="n"/>
    </row>
    <row r="18317">
      <c r="B18317" s="7" t="n">
        <v>18315</v>
      </c>
      <c r="C18317" t="inlineStr">
        <is>
          <t>Building Maintenance Technician / Nhân viên bảo trì toà nhà / Nhân viên kỹ thuật</t>
        </is>
      </c>
      <c r="D18317" t="inlineStr">
        <is>
          <t>Trung tâm Thương mại SC VivoCity</t>
        </is>
      </c>
      <c r="E18317" t="inlineStr">
        <is>
          <t>Lương:Trên 9 Tr VND</t>
        </is>
      </c>
      <c r="F18317" t="inlineStr">
        <is>
          <t>Hồ Chí Minh</t>
        </is>
      </c>
      <c r="G18317" t="inlineStr">
        <is>
          <t>31-03-2026</t>
        </is>
      </c>
      <c r="H18317" t="inlineStr">
        <is>
          <t>31/03/2026</t>
        </is>
      </c>
      <c r="I18317" t="inlineStr">
        <is>
          <t>17/03/2026</t>
        </is>
      </c>
      <c r="J18317" t="inlineStr">
        <is>
          <t>Điện / Điện tử / Điện lạnh / Điện công nghiệp, Bảo trì / Sửa chữa</t>
        </is>
      </c>
      <c r="K18317" t="inlineStr">
        <is>
          <t>1 - 2 Năm</t>
        </is>
      </c>
      <c r="L18317" s="8">
        <f>HYPERLINK("https://careerviet.vn/vi/tim-viec-lam/building-maintenance-technician-nhan-vien-bao-tri-toa-nha-nhan-vien-ky-thuat.35C644F4.html","Xem chi tiết")</f>
        <v/>
      </c>
    </row>
    <row r="18318">
      <c r="B18318" s="9" t="n">
        <v>18316</v>
      </c>
      <c r="C18318" s="10" t="inlineStr">
        <is>
          <t>Quản Lý Cửa Hàng Trưởng (Store Manager)</t>
        </is>
      </c>
      <c r="D18318" s="10" t="inlineStr">
        <is>
          <t>Công ty Cổ phần Tierra</t>
        </is>
      </c>
      <c r="E18318" s="10" t="inlineStr">
        <is>
          <t>Lương:20 Tr - 25 Tr VND</t>
        </is>
      </c>
      <c r="F18318" s="10" t="inlineStr">
        <is>
          <t>Hà Nội</t>
        </is>
      </c>
      <c r="G18318" s="10" t="inlineStr">
        <is>
          <t>31-03-2026</t>
        </is>
      </c>
      <c r="H18318" s="10" t="inlineStr">
        <is>
          <t>31/03/2026</t>
        </is>
      </c>
      <c r="I18318" s="10" t="inlineStr">
        <is>
          <t>17/03/2026</t>
        </is>
      </c>
      <c r="J18318" s="10" t="inlineStr">
        <is>
          <t>Bán lẻ / Bán sỉ, Bán hàng / Kinh doanh, Dịch vụ khách hàng</t>
        </is>
      </c>
      <c r="K18318" s="10" t="inlineStr">
        <is>
          <t>5 - 7 Năm</t>
        </is>
      </c>
      <c r="L18318" s="11">
        <f>HYPERLINK("https://careerviet.vn/vi/tim-viec-lam/quan-ly-cua-hang-truong-store-manager.35C67036.html","Xem chi tiết")</f>
        <v/>
      </c>
      <c r="M18318" s="10" t="n"/>
    </row>
    <row r="18319">
      <c r="B18319" s="7" t="n">
        <v>18317</v>
      </c>
      <c r="C18319" t="inlineStr">
        <is>
          <t>Trưởng phòng Chiến lược Maketing</t>
        </is>
      </c>
      <c r="D18319" t="inlineStr">
        <is>
          <t>Công Ty TNHH Nha Khoa My Auris</t>
        </is>
      </c>
      <c r="E18319" t="inlineStr">
        <is>
          <t>Lương:20 Tr - 30 Tr VND</t>
        </is>
      </c>
      <c r="F18319" t="inlineStr">
        <is>
          <t>Hồ Chí Minh</t>
        </is>
      </c>
      <c r="G18319" t="inlineStr">
        <is>
          <t>31-03-2026</t>
        </is>
      </c>
      <c r="H18319" t="inlineStr">
        <is>
          <t>31/03/2026</t>
        </is>
      </c>
      <c r="I18319" t="inlineStr">
        <is>
          <t>17/03/2026</t>
        </is>
      </c>
      <c r="J18319" t="inlineStr">
        <is>
          <t>Tiếp thị / Marketing, Dược phẩm/ Hóa Mỹ Phẩm, Y tế / Chăm sóc sức khỏe / Thẩm mỹ / Làm đẹp</t>
        </is>
      </c>
      <c r="K18319" t="inlineStr">
        <is>
          <t>3 - 5 Năm</t>
        </is>
      </c>
      <c r="L18319" s="8">
        <f>HYPERLINK("https://careerviet.vn/vi/tim-viec-lam/truong-phong-chien-luoc-maketing.35C64412.html","Xem chi tiết")</f>
        <v/>
      </c>
    </row>
    <row r="18320">
      <c r="B18320" s="9" t="n">
        <v>18318</v>
      </c>
      <c r="C18320" s="10" t="inlineStr">
        <is>
          <t>Nhân viên vận hành máy ép viên (tuyến công nghiệp Cổ Chiên Vĩnh Long)</t>
        </is>
      </c>
      <c r="D18320" s="10" t="inlineStr">
        <is>
          <t>Công Ty TNHH De Heus - Chi Nhánh Vĩnh Long 4</t>
        </is>
      </c>
      <c r="E18320" s="10" t="inlineStr">
        <is>
          <t>Lương:7 Tr - 9,3 Tr VND</t>
        </is>
      </c>
      <c r="F18320" s="10" t="inlineStr">
        <is>
          <t>Vĩnh Long</t>
        </is>
      </c>
      <c r="G18320" s="10" t="inlineStr">
        <is>
          <t>31-03-2026</t>
        </is>
      </c>
      <c r="H18320" s="10" t="inlineStr">
        <is>
          <t>31/03/2026</t>
        </is>
      </c>
      <c r="I18320" s="10" t="inlineStr">
        <is>
          <t>17/03/2026</t>
        </is>
      </c>
      <c r="J18320" s="10" t="inlineStr">
        <is>
          <t>Chăn nuôi / Thú y, Cơ khí / Ô tô / Tự động hóa, Sản xuất / Vận hành sản xuất</t>
        </is>
      </c>
      <c r="K18320" s="10" t="inlineStr">
        <is>
          <t>Trên 1 Năm</t>
        </is>
      </c>
      <c r="L18320" s="11">
        <f>HYPERLINK("https://careerviet.vn/vi/tim-viec-lam/nhan-vien-van-hanh-may-ep-vien-tuyen-cong-nghiep-co-chien-vinh-long.35C66F9A.html","Xem chi tiết")</f>
        <v/>
      </c>
      <c r="M18320" s="10" t="n"/>
    </row>
    <row r="18321">
      <c r="B18321" s="7" t="n">
        <v>18319</v>
      </c>
      <c r="C18321" t="inlineStr">
        <is>
          <t>Kế Toán Nội Bộ</t>
        </is>
      </c>
      <c r="D18321" t="inlineStr">
        <is>
          <t>Công Ty TNHH Sản Xuất Thương Mại Dịch Vụ Sơn Hoàng Gia</t>
        </is>
      </c>
      <c r="E18321" t="inlineStr">
        <is>
          <t>Lương:Cạnh tranh</t>
        </is>
      </c>
      <c r="F18321" t="inlineStr">
        <is>
          <t>Hồ Chí Minh</t>
        </is>
      </c>
      <c r="G18321" t="inlineStr">
        <is>
          <t>09-04-2026</t>
        </is>
      </c>
      <c r="H18321" t="inlineStr">
        <is>
          <t>09/04/2026</t>
        </is>
      </c>
      <c r="I18321" t="inlineStr">
        <is>
          <t>17/03/2026</t>
        </is>
      </c>
      <c r="J18321" t="inlineStr">
        <is>
          <t>Tài chính / Đầu tư, Bán lẻ / Bán sỉ, Kế toán / Kiểm toán</t>
        </is>
      </c>
      <c r="K18321" t="inlineStr">
        <is>
          <t>Trên 1 Năm</t>
        </is>
      </c>
      <c r="L18321" s="8">
        <f>HYPERLINK("https://careerviet.vn/vi/tim-viec-lam/ke-toan-noi-bo.35C6712E.html","Xem chi tiết")</f>
        <v/>
      </c>
    </row>
    <row r="18322">
      <c r="B18322" s="9" t="n">
        <v>18320</v>
      </c>
      <c r="C18322" s="10" t="inlineStr">
        <is>
          <t>Chuyên viên Kế toán tổng hợp</t>
        </is>
      </c>
      <c r="D18322" s="10" t="inlineStr">
        <is>
          <t>Tập Đoàn Karofi Holding</t>
        </is>
      </c>
      <c r="E18322" s="10" t="inlineStr">
        <is>
          <t>Lương:25 Tr - 27 Tr VND</t>
        </is>
      </c>
      <c r="F18322" s="10" t="inlineStr">
        <is>
          <t>Hà Nội</t>
        </is>
      </c>
      <c r="G18322" s="10" t="inlineStr">
        <is>
          <t>31-03-2026</t>
        </is>
      </c>
      <c r="H18322" s="10" t="inlineStr">
        <is>
          <t>31/03/2026</t>
        </is>
      </c>
      <c r="I18322" s="10" t="inlineStr">
        <is>
          <t>17/03/2026</t>
        </is>
      </c>
      <c r="J18322" s="10" t="inlineStr">
        <is>
          <t>Kế toán / Kiểm toán</t>
        </is>
      </c>
      <c r="K18322" s="10" t="inlineStr">
        <is>
          <t>Trên 5 Năm</t>
        </is>
      </c>
      <c r="L18322" s="11">
        <f>HYPERLINK("https://careerviet.vn/vi/tim-viec-lam/chuyen-vien-ke-toan-tong-hop.35C645C8.html","Xem chi tiết")</f>
        <v/>
      </c>
      <c r="M18322" s="10" t="n"/>
    </row>
    <row r="18323">
      <c r="B18323" s="7" t="n">
        <v>18321</v>
      </c>
      <c r="C18323" t="inlineStr">
        <is>
          <t>Thực tập sinh tiềm năng - New Plus Banker</t>
        </is>
      </c>
      <c r="D18323" t="inlineStr">
        <is>
          <t>BVBank - Ngân hàng Bản Việt</t>
        </is>
      </c>
      <c r="E18323" t="inlineStr">
        <is>
          <t>Lương:Cạnh tranh</t>
        </is>
      </c>
      <c r="F18323" t="inlineStr">
        <is>
          <t>Hồ Chí Minh</t>
        </is>
      </c>
      <c r="G18323" t="inlineStr">
        <is>
          <t>31-03-2026</t>
        </is>
      </c>
      <c r="H18323" t="inlineStr">
        <is>
          <t>31/03/2026</t>
        </is>
      </c>
      <c r="I18323" t="inlineStr">
        <is>
          <t>17/03/2026</t>
        </is>
      </c>
      <c r="J18323" t="inlineStr">
        <is>
          <t>Ngân hàng, Tài chính / Đầu tư, Bán hàng / Kinh doanh</t>
        </is>
      </c>
      <c r="K18323" t="inlineStr">
        <is>
          <t>N/A</t>
        </is>
      </c>
      <c r="L18323" s="8">
        <f>HYPERLINK("https://careerviet.vn/vi/tim-viec-lam/thuc-tap-sinh-tiem-nang-new-plus-banker.35C6708B.html","Xem chi tiết")</f>
        <v/>
      </c>
    </row>
    <row r="18324">
      <c r="B18324" s="9" t="n">
        <v>18322</v>
      </c>
      <c r="C18324" s="10" t="inlineStr">
        <is>
          <t>Warehouse Staff - Nhân viên kho hàng</t>
        </is>
      </c>
      <c r="D18324" s="10" t="inlineStr">
        <is>
          <t>Công Ty Cổ Phần Goody Group</t>
        </is>
      </c>
      <c r="E18324" s="10" t="inlineStr">
        <is>
          <t>Lương:8 Tr - 9 Tr VND</t>
        </is>
      </c>
      <c r="F18324" s="10" t="inlineStr">
        <is>
          <t>Hồ Chí Minh</t>
        </is>
      </c>
      <c r="G18324" s="10" t="inlineStr">
        <is>
          <t>31-03-2026</t>
        </is>
      </c>
      <c r="H18324" s="10" t="inlineStr">
        <is>
          <t>31/03/2026</t>
        </is>
      </c>
      <c r="I18324" s="10" t="inlineStr">
        <is>
          <t>17/03/2026</t>
        </is>
      </c>
      <c r="J18324" s="10" t="inlineStr">
        <is>
          <t>Vận chuyển / Giao nhận / Kho vận</t>
        </is>
      </c>
      <c r="K18324" s="10" t="inlineStr">
        <is>
          <t>1 - 2 Năm</t>
        </is>
      </c>
      <c r="L18324" s="11">
        <f>HYPERLINK("https://careerviet.vn/vi/tim-viec-lam/warehouse-staff-nhan-vien-kho-hang.35C64510.html","Xem chi tiết")</f>
        <v/>
      </c>
      <c r="M18324" s="10" t="n"/>
    </row>
    <row r="18325">
      <c r="B18325" s="7" t="n">
        <v>18323</v>
      </c>
      <c r="C18325" t="inlineStr">
        <is>
          <t>Chuyên viên kiểm soát nội bộ</t>
        </is>
      </c>
      <c r="D18325" t="inlineStr">
        <is>
          <t>Công ty TNHH Bình Việt Đức (BIVID)</t>
        </is>
      </c>
      <c r="E18325" t="inlineStr">
        <is>
          <t>Lương:Cạnh tranh</t>
        </is>
      </c>
      <c r="F18325" t="inlineStr">
        <is>
          <t>Hồ Chí Minh</t>
        </is>
      </c>
      <c r="G18325" t="inlineStr">
        <is>
          <t>31-03-2026</t>
        </is>
      </c>
      <c r="H18325" t="inlineStr">
        <is>
          <t>31/03/2026</t>
        </is>
      </c>
      <c r="I18325" t="inlineStr">
        <is>
          <t>17/03/2026</t>
        </is>
      </c>
      <c r="J18325" t="inlineStr">
        <is>
          <t>Dược phẩm/ Hóa Mỹ Phẩm, Y tế / Chăm sóc sức khỏe / Thẩm mỹ / Làm đẹp, Kế toán / Kiểm toán</t>
        </is>
      </c>
      <c r="K18325" t="inlineStr">
        <is>
          <t>2 - 3 Năm</t>
        </is>
      </c>
      <c r="L18325" s="8">
        <f>HYPERLINK("https://careerviet.vn/vi/tim-viec-lam/chuyen-vien-kiem-soat-noi-bo.35C67147.html","Xem chi tiết")</f>
        <v/>
      </c>
    </row>
    <row r="18326">
      <c r="B18326" s="9" t="n">
        <v>18324</v>
      </c>
      <c r="C18326" s="10" t="inlineStr">
        <is>
          <t>Chuyên Viên QA - Hồ Sơ Công Bố (Có Xe Đưa Đón)</t>
        </is>
      </c>
      <c r="D18326" s="10" t="inlineStr">
        <is>
          <t>Công Ty TNHH Thương Mại K&amp;K Toàn Cầu</t>
        </is>
      </c>
      <c r="E18326" s="10" t="inlineStr">
        <is>
          <t>Lương:10 Tr - 15 Tr VND</t>
        </is>
      </c>
      <c r="F18326" s="10" t="inlineStr">
        <is>
          <t>Hà Nội</t>
        </is>
      </c>
      <c r="G18326" s="10" t="inlineStr">
        <is>
          <t>31-03-2026</t>
        </is>
      </c>
      <c r="H18326" s="10" t="inlineStr">
        <is>
          <t>31/03/2026</t>
        </is>
      </c>
      <c r="I18326" s="10" t="inlineStr">
        <is>
          <t>17/03/2026</t>
        </is>
      </c>
      <c r="J18326" s="10" t="inlineStr">
        <is>
          <t>Thực phẩm &amp; Đồ uống, Công nghệ thực phẩm / Dinh dưỡng, Quản lý chất lượng (QA/QC)</t>
        </is>
      </c>
      <c r="K18326" s="10" t="inlineStr">
        <is>
          <t>1 - 2 Năm</t>
        </is>
      </c>
      <c r="L18326" s="11">
        <f>HYPERLINK("https://careerviet.vn/vi/tim-viec-lam/chuyen-vien-qa-ho-so-cong-bo-co-xe-dua-don.35C644F0.html","Xem chi tiết")</f>
        <v/>
      </c>
      <c r="M18326" s="10" t="n"/>
    </row>
    <row r="18327">
      <c r="B18327" s="7" t="n">
        <v>18325</v>
      </c>
      <c r="C18327" t="inlineStr">
        <is>
          <t>Chuyên viên Kế toán thuế</t>
        </is>
      </c>
      <c r="D18327" t="inlineStr">
        <is>
          <t>CÔNG TY CỔ PHẦN TẬP ĐOÀN ONSEN FUJI</t>
        </is>
      </c>
      <c r="E18327" t="inlineStr">
        <is>
          <t>Lương:20 Tr - 30 Tr VND</t>
        </is>
      </c>
      <c r="F18327" t="inlineStr">
        <is>
          <t>Hà Nội</t>
        </is>
      </c>
      <c r="G18327" t="inlineStr">
        <is>
          <t>31-03-2026</t>
        </is>
      </c>
      <c r="H18327" t="inlineStr">
        <is>
          <t>31/03/2026</t>
        </is>
      </c>
      <c r="I18327" t="inlineStr">
        <is>
          <t>17/03/2026</t>
        </is>
      </c>
      <c r="J18327" t="inlineStr">
        <is>
          <t>Kế toán / Kiểm toán, Bất động sản, Xây dựng</t>
        </is>
      </c>
      <c r="K18327" t="inlineStr">
        <is>
          <t>5 - 7 Năm</t>
        </is>
      </c>
      <c r="L18327" s="8">
        <f>HYPERLINK("https://careerviet.vn/vi/tim-viec-lam/chuyen-vien-ke-toan-thue.35C67129.html","Xem chi tiết")</f>
        <v/>
      </c>
    </row>
    <row r="18328">
      <c r="B18328" s="9" t="n">
        <v>18326</v>
      </c>
      <c r="C18328" s="10" t="inlineStr">
        <is>
          <t>Quản lý sản xuất ( làm việc tại Long Hồ - Vĩnh Long )</t>
        </is>
      </c>
      <c r="D18328" s="10" t="inlineStr">
        <is>
          <t>CÔNG TY CỔ PHẦN NHỰA TÁI CHẾ DUY TÂN</t>
        </is>
      </c>
      <c r="E18328" s="10" t="inlineStr">
        <is>
          <t>Lương:18 Tr - 20 Tr VND</t>
        </is>
      </c>
      <c r="F18328" s="10" t="inlineStr">
        <is>
          <t>Vĩnh Long</t>
        </is>
      </c>
      <c r="G18328" s="10" t="inlineStr">
        <is>
          <t>31-03-2026</t>
        </is>
      </c>
      <c r="H18328" s="10" t="inlineStr">
        <is>
          <t>31/03/2026</t>
        </is>
      </c>
      <c r="I18328" s="10" t="inlineStr">
        <is>
          <t>17/03/2026</t>
        </is>
      </c>
      <c r="J18328" s="10" t="inlineStr">
        <is>
          <t>Sản xuất / Vận hành sản xuất, Ngành khác, Quản lý chất lượng (QA/QC)</t>
        </is>
      </c>
      <c r="K18328" s="10" t="inlineStr">
        <is>
          <t>2 - 6 Năm</t>
        </is>
      </c>
      <c r="L18328" s="11">
        <f>HYPERLINK("https://careerviet.vn/vi/tim-viec-lam/quan-ly-san-xuat-lam-viec-tai-long-ho-vinh-long.35C66FBF.html","Xem chi tiết")</f>
        <v/>
      </c>
      <c r="M18328" s="10" t="n"/>
    </row>
    <row r="18329">
      <c r="B18329" s="7" t="n">
        <v>18327</v>
      </c>
      <c r="C18329" t="inlineStr">
        <is>
          <t>Chuyên viên khách hàng doanh nghiệp siêu nhỏ làm việc tại Tp.Hồ Chí Minh</t>
        </is>
      </c>
      <c r="D18329" t="inlineStr">
        <is>
          <t>Ngân hàng TMCP Đại Chúng Việt Nam - PVcomBank</t>
        </is>
      </c>
      <c r="E18329" t="inlineStr">
        <is>
          <t>Lương:Cạnh tranh</t>
        </is>
      </c>
      <c r="F18329" t="inlineStr">
        <is>
          <t>Hồ Chí Minh</t>
        </is>
      </c>
      <c r="G18329" t="inlineStr">
        <is>
          <t>31-03-2026</t>
        </is>
      </c>
      <c r="H18329" t="inlineStr">
        <is>
          <t>31/03/2026</t>
        </is>
      </c>
      <c r="I18329" t="inlineStr">
        <is>
          <t>17/03/2026</t>
        </is>
      </c>
      <c r="J18329" t="inlineStr">
        <is>
          <t>Bán hàng / Kinh doanh, Ngân hàng, Tài chính / Đầu tư</t>
        </is>
      </c>
      <c r="K18329" t="inlineStr">
        <is>
          <t>1 - 2 Năm</t>
        </is>
      </c>
      <c r="L18329" s="8">
        <f>HYPERLINK("https://careerviet.vn/vi/tim-viec-lam/chuyen-vien-khach-hang-doanh-nghiep-sieu-nho-lam-viec-tai-tp-ho-chi-minh.35C64583.html","Xem chi tiết")</f>
        <v/>
      </c>
    </row>
    <row r="18330">
      <c r="B18330" s="9" t="n">
        <v>18328</v>
      </c>
      <c r="C18330" s="10" t="inlineStr">
        <is>
          <t>Chuyên Viên QS (Quảng Bình)</t>
        </is>
      </c>
      <c r="D18330" s="10" t="inlineStr">
        <is>
          <t>CÔNG TY CỔ PHẦN TẬP ĐOÀN ONSEN FUJI</t>
        </is>
      </c>
      <c r="E18330" s="10" t="inlineStr">
        <is>
          <t>Lương:18 Tr - 25 Tr VND</t>
        </is>
      </c>
      <c r="F18330" s="10" t="inlineStr">
        <is>
          <t>Quảng Bình</t>
        </is>
      </c>
      <c r="G18330" s="10" t="inlineStr">
        <is>
          <t>31-03-2026</t>
        </is>
      </c>
      <c r="H18330" s="10" t="inlineStr">
        <is>
          <t>31/03/2026</t>
        </is>
      </c>
      <c r="I18330" s="10" t="inlineStr">
        <is>
          <t>17/03/2026</t>
        </is>
      </c>
      <c r="J18330" s="10" t="inlineStr">
        <is>
          <t>Xây dựng</t>
        </is>
      </c>
      <c r="K18330" s="10" t="inlineStr">
        <is>
          <t>N/A</t>
        </is>
      </c>
      <c r="L18330" s="11">
        <f>HYPERLINK("https://careerviet.vn/vi/tim-viec-lam/chuyen-vien-qs-quang-binh.35C67052.html","Xem chi tiết")</f>
        <v/>
      </c>
      <c r="M18330" s="10" t="n"/>
    </row>
    <row r="18331">
      <c r="B18331" s="7" t="n">
        <v>18329</v>
      </c>
      <c r="C18331" t="inlineStr">
        <is>
          <t>SMT Maintenance Engineer</t>
        </is>
      </c>
      <c r="D18331" t="inlineStr">
        <is>
          <t>East West Industries Vietnam LLC.</t>
        </is>
      </c>
      <c r="E18331" t="inlineStr">
        <is>
          <t>Lương:Cạnh tranh</t>
        </is>
      </c>
      <c r="F18331" t="inlineStr">
        <is>
          <t>Bình Dương</t>
        </is>
      </c>
      <c r="G18331" t="inlineStr">
        <is>
          <t>31-03-2026</t>
        </is>
      </c>
      <c r="H18331" t="inlineStr">
        <is>
          <t>31/03/2026</t>
        </is>
      </c>
      <c r="I18331" t="inlineStr">
        <is>
          <t>17/03/2026</t>
        </is>
      </c>
      <c r="J18331" t="inlineStr">
        <is>
          <t>Cơ khí / Ô tô / Tự động hóa, Điện / Điện tử / Điện lạnh / Điện công nghiệp</t>
        </is>
      </c>
      <c r="K18331" t="inlineStr">
        <is>
          <t>2 - 7 Năm</t>
        </is>
      </c>
      <c r="L18331" s="8">
        <f>HYPERLINK("https://careerviet.vn/vi/tim-viec-lam/smt-maintenance-engineer.35C6451E.html","Xem chi tiết")</f>
        <v/>
      </c>
    </row>
    <row r="18332">
      <c r="B18332" s="9" t="n">
        <v>18330</v>
      </c>
      <c r="C18332" s="10" t="inlineStr">
        <is>
          <t>Nhân viên Vận hành sàn Tiktok - Làm việc tại Bình Tân - Có kinh nghiệm</t>
        </is>
      </c>
      <c r="D18332" s="10" t="inlineStr">
        <is>
          <t>Công Ty TNHH Công Nghệ Toàn Cầu Wook Việt Nam</t>
        </is>
      </c>
      <c r="E18332" s="10" t="inlineStr">
        <is>
          <t>Lương:8 Tr - 12 Tr VND</t>
        </is>
      </c>
      <c r="F18332" s="10" t="inlineStr">
        <is>
          <t>Hồ Chí Minh</t>
        </is>
      </c>
      <c r="G18332" s="10" t="inlineStr">
        <is>
          <t>31-03-2026</t>
        </is>
      </c>
      <c r="H18332" s="10" t="inlineStr">
        <is>
          <t>31/03/2026</t>
        </is>
      </c>
      <c r="I18332" s="10" t="inlineStr">
        <is>
          <t>17/03/2026</t>
        </is>
      </c>
      <c r="J18332" s="10" t="inlineStr">
        <is>
          <t>Tiếp thị / Marketing, Bán hàng / Kinh doanh, Thương mại điện tử</t>
        </is>
      </c>
      <c r="K18332" s="10" t="inlineStr">
        <is>
          <t>N/A</t>
        </is>
      </c>
      <c r="L18332" s="11">
        <f>HYPERLINK("https://careerviet.vn/vi/tim-viec-lam/nhan-vien-van-hanh-san-tiktok-lam-viec-tai-binh-tan-co-kinh-nghiem.35C6456C.html","Xem chi tiết")</f>
        <v/>
      </c>
      <c r="M18332" s="10" t="n"/>
    </row>
    <row r="18333">
      <c r="B18333" s="7" t="n">
        <v>18331</v>
      </c>
      <c r="C18333" t="inlineStr">
        <is>
          <t>Kế Toán Tổng Hợp</t>
        </is>
      </c>
      <c r="D18333" t="inlineStr">
        <is>
          <t>CÔNG TY CỔ PHẦN TẬP ĐOÀN ONSEN FUJI</t>
        </is>
      </c>
      <c r="E18333" t="inlineStr">
        <is>
          <t>Lương:18 Tr - 25 Tr VND</t>
        </is>
      </c>
      <c r="F18333" t="inlineStr">
        <is>
          <t>Hà Nội</t>
        </is>
      </c>
      <c r="G18333" t="inlineStr">
        <is>
          <t>31-03-2026</t>
        </is>
      </c>
      <c r="H18333" t="inlineStr">
        <is>
          <t>31/03/2026</t>
        </is>
      </c>
      <c r="I18333" t="inlineStr">
        <is>
          <t>17/03/2026</t>
        </is>
      </c>
      <c r="J18333" t="inlineStr">
        <is>
          <t>Kế toán / Kiểm toán, Xây dựng, Bất động sản</t>
        </is>
      </c>
      <c r="K18333" t="inlineStr">
        <is>
          <t>3 - 5 Năm</t>
        </is>
      </c>
      <c r="L18333" s="8">
        <f>HYPERLINK("https://careerviet.vn/vi/tim-viec-lam/ke-toan-tong-hop.35C67128.html","Xem chi tiết")</f>
        <v/>
      </c>
    </row>
    <row r="18334">
      <c r="B18334" s="9" t="n">
        <v>18332</v>
      </c>
      <c r="C18334" s="10" t="inlineStr">
        <is>
          <t>Kỹ Sư Mô Phỏng Độ Bền Xe Đạp Điện (CAE)/ E-Scooter</t>
        </is>
      </c>
      <c r="D18334" s="10" t="inlineStr">
        <is>
          <t>Công ty Cổ phần Vietsol</t>
        </is>
      </c>
      <c r="E18334" s="10" t="inlineStr">
        <is>
          <t>Lương:Cạnh tranh</t>
        </is>
      </c>
      <c r="F18334" s="10" t="inlineStr">
        <is>
          <t>Hải PhòngHà Nội</t>
        </is>
      </c>
      <c r="G18334" s="10" t="inlineStr">
        <is>
          <t>31-03-2026</t>
        </is>
      </c>
      <c r="H18334" s="10" t="inlineStr">
        <is>
          <t>31/03/2026</t>
        </is>
      </c>
      <c r="I18334" s="10" t="inlineStr">
        <is>
          <t>17/03/2026</t>
        </is>
      </c>
      <c r="J18334" s="10" t="inlineStr">
        <is>
          <t>Cơ khí / Ô tô / Tự động hóa</t>
        </is>
      </c>
      <c r="K18334" s="10" t="inlineStr">
        <is>
          <t>Trên 2 Năm</t>
        </is>
      </c>
      <c r="L18334" s="11">
        <f>HYPERLINK("https://careerviet.vn/vi/tim-viec-lam/ky-su-mo-phong-do-ben-xe-dap-dien-cae-e-scooter.35C6707F.html","Xem chi tiết")</f>
        <v/>
      </c>
      <c r="M18334" s="10" t="n"/>
    </row>
    <row r="18335">
      <c r="B18335" s="7" t="n">
        <v>18333</v>
      </c>
      <c r="C18335" t="inlineStr">
        <is>
          <t>Giám sát quầy Delica</t>
        </is>
      </c>
      <c r="D18335" t="inlineStr">
        <is>
          <t>TỔNG CÔNG TY CỔ PHẦN THƯƠNG MẠI XÂY DỰNG</t>
        </is>
      </c>
      <c r="E18335" t="inlineStr">
        <is>
          <t>Lương:12 Tr - 14 Tr VND</t>
        </is>
      </c>
      <c r="F18335" t="inlineStr">
        <is>
          <t>Hà Nội</t>
        </is>
      </c>
      <c r="G18335" t="inlineStr">
        <is>
          <t>31-03-2026</t>
        </is>
      </c>
      <c r="H18335" t="inlineStr">
        <is>
          <t>31/03/2026</t>
        </is>
      </c>
      <c r="I18335" t="inlineStr">
        <is>
          <t>17/03/2026</t>
        </is>
      </c>
      <c r="J18335" t="inlineStr">
        <is>
          <t>Bán hàng / Kinh doanh, Dịch vụ khách hàng</t>
        </is>
      </c>
      <c r="K18335" t="inlineStr">
        <is>
          <t>1 - 2 Năm</t>
        </is>
      </c>
      <c r="L18335" s="8">
        <f>HYPERLINK("https://careerviet.vn/vi/tim-viec-lam/giam-sat-quay-delica.35C67140.html","Xem chi tiết")</f>
        <v/>
      </c>
    </row>
    <row r="18336">
      <c r="B18336" s="9" t="n">
        <v>18334</v>
      </c>
      <c r="C18336" s="10" t="inlineStr">
        <is>
          <t>Nhân viên kinh doanh FMCG (GT &amp; HORECA)</t>
        </is>
      </c>
      <c r="D18336" s="10" t="inlineStr">
        <is>
          <t>Công ty cổ phần Nafoods Group</t>
        </is>
      </c>
      <c r="E18336" s="10" t="inlineStr">
        <is>
          <t>Lương:Cạnh tranh</t>
        </is>
      </c>
      <c r="F18336" s="10" t="inlineStr">
        <is>
          <t>Hồ Chí Minh</t>
        </is>
      </c>
      <c r="G18336" s="10" t="inlineStr">
        <is>
          <t>31-03-2026</t>
        </is>
      </c>
      <c r="H18336" s="10" t="inlineStr">
        <is>
          <t>31/03/2026</t>
        </is>
      </c>
      <c r="I18336" s="10" t="inlineStr">
        <is>
          <t>17/03/2026</t>
        </is>
      </c>
      <c r="J18336" s="10" t="inlineStr">
        <is>
          <t>Bán lẻ / Bán sỉ, Bán hàng / Kinh doanh, Thực phẩm &amp; Đồ uống</t>
        </is>
      </c>
      <c r="K18336" s="10" t="inlineStr">
        <is>
          <t>1 - 3 Năm</t>
        </is>
      </c>
      <c r="L18336" s="11">
        <f>HYPERLINK("https://careerviet.vn/vi/tim-viec-lam/nhan-vien-kinh-doanh-fmcg-gt-horeca.35C67053.html","Xem chi tiết")</f>
        <v/>
      </c>
      <c r="M18336" s="10" t="n"/>
    </row>
    <row r="18337">
      <c r="B18337" s="7" t="n">
        <v>18335</v>
      </c>
      <c r="C18337" t="inlineStr">
        <is>
          <t>Kế Toán Phải Thu | Giáo dục &amp; Xuất Khẩu Lao Động</t>
        </is>
      </c>
      <c r="D18337" t="inlineStr">
        <is>
          <t>CareerViet's client</t>
        </is>
      </c>
      <c r="E18337" t="inlineStr">
        <is>
          <t>Lương:18 Tr - 20 Tr VND</t>
        </is>
      </c>
      <c r="F18337" t="inlineStr">
        <is>
          <t>Hồ Chí Minh</t>
        </is>
      </c>
      <c r="G18337" t="inlineStr">
        <is>
          <t>31-03-2026</t>
        </is>
      </c>
      <c r="H18337" t="inlineStr">
        <is>
          <t>31/03/2026</t>
        </is>
      </c>
      <c r="I18337" t="inlineStr">
        <is>
          <t>17/03/2026</t>
        </is>
      </c>
      <c r="J18337" t="inlineStr">
        <is>
          <t>Giáo dục / Đào tạo, Kế toán / Kiểm toán</t>
        </is>
      </c>
      <c r="K18337" t="inlineStr">
        <is>
          <t>2 - 4 Năm</t>
        </is>
      </c>
      <c r="L18337" s="8">
        <f>HYPERLINK("https://careerviet.vn/vi/tim-viec-lam/ke-toan-phai-thu-giao-duc-xuat-khau-lao-dong.35C67100.html","Xem chi tiết")</f>
        <v/>
      </c>
    </row>
    <row r="18338">
      <c r="B18338" s="9" t="n">
        <v>18336</v>
      </c>
      <c r="C18338" s="10" t="inlineStr">
        <is>
          <t>Chăm Sóc Khách Hàng</t>
        </is>
      </c>
      <c r="D18338" s="10" t="inlineStr">
        <is>
          <t>HỆ THỐNG VƯỜN TÙNG TOÀN JP</t>
        </is>
      </c>
      <c r="E18338" s="10" t="inlineStr">
        <is>
          <t>Lương:10 Tr - 14 Tr VND</t>
        </is>
      </c>
      <c r="F18338" s="10" t="inlineStr">
        <is>
          <t>Hà Nội</t>
        </is>
      </c>
      <c r="G18338" s="10" t="inlineStr">
        <is>
          <t>31-03-2026</t>
        </is>
      </c>
      <c r="H18338" s="10" t="inlineStr">
        <is>
          <t>31/03/2026</t>
        </is>
      </c>
      <c r="I18338" s="10" t="inlineStr">
        <is>
          <t>17/03/2026</t>
        </is>
      </c>
      <c r="J18338" s="10" t="inlineStr">
        <is>
          <t>Tư vấn, Bán hàng / Kinh doanh, Dịch vụ khách hàng</t>
        </is>
      </c>
      <c r="K18338" s="10" t="inlineStr">
        <is>
          <t>Trên 1 Năm</t>
        </is>
      </c>
      <c r="L18338" s="11">
        <f>HYPERLINK("https://careerviet.vn/vi/tim-viec-lam/cham-soc-khach-hang.35C670C3.html","Xem chi tiết")</f>
        <v/>
      </c>
      <c r="M18338" s="10" t="n"/>
    </row>
    <row r="18339">
      <c r="B18339" s="7" t="n">
        <v>18337</v>
      </c>
      <c r="C18339" t="inlineStr">
        <is>
          <t>General Accountant</t>
        </is>
      </c>
      <c r="D18339" t="inlineStr">
        <is>
          <t>CÔNG TY TNHH DOYLE PACIFIC VIETNAM</t>
        </is>
      </c>
      <c r="E18339" t="inlineStr">
        <is>
          <t>Lương:Cạnh tranh</t>
        </is>
      </c>
      <c r="F18339" t="inlineStr">
        <is>
          <t>Đồng Nai</t>
        </is>
      </c>
      <c r="G18339" t="inlineStr">
        <is>
          <t>31-03-2026</t>
        </is>
      </c>
      <c r="H18339" t="inlineStr">
        <is>
          <t>31/03/2026</t>
        </is>
      </c>
      <c r="I18339" t="inlineStr">
        <is>
          <t>17/03/2026</t>
        </is>
      </c>
      <c r="J18339" t="inlineStr">
        <is>
          <t>Kế toán / Kiểm toán, Ngân hàng, Tài chính / Đầu tư</t>
        </is>
      </c>
      <c r="K18339" t="inlineStr">
        <is>
          <t>3 - 5 Năm</t>
        </is>
      </c>
      <c r="L18339" s="8">
        <f>HYPERLINK("https://careerviet.vn/vi/tim-viec-lam/general-accountant.35C67162.html","Xem chi tiết")</f>
        <v/>
      </c>
    </row>
    <row r="18340">
      <c r="B18340" s="9" t="n">
        <v>18338</v>
      </c>
      <c r="C18340" s="10" t="inlineStr">
        <is>
          <t>[KCN Tân Kim] Nhân viên Kế hoạch Sản xuất</t>
        </is>
      </c>
      <c r="D18340" s="10" t="inlineStr">
        <is>
          <t>Công Ty Cổ Phần Y Tế Việt Tiến</t>
        </is>
      </c>
      <c r="E18340" s="10" t="inlineStr">
        <is>
          <t>Lương:Cạnh tranh</t>
        </is>
      </c>
      <c r="F18340" s="10" t="inlineStr">
        <is>
          <t>Long An</t>
        </is>
      </c>
      <c r="G18340" s="10" t="inlineStr">
        <is>
          <t>31-03-2026</t>
        </is>
      </c>
      <c r="H18340" s="10" t="inlineStr">
        <is>
          <t>31/03/2026</t>
        </is>
      </c>
      <c r="I18340" s="10" t="inlineStr">
        <is>
          <t>17/03/2026</t>
        </is>
      </c>
      <c r="J18340" s="10" t="inlineStr">
        <is>
          <t>Ngành khác, Kế toán / Kiểm toán, Sản xuất / Vận hành sản xuất</t>
        </is>
      </c>
      <c r="K18340" s="10" t="inlineStr">
        <is>
          <t>Trên 1 Năm</t>
        </is>
      </c>
      <c r="L18340" s="11">
        <f>HYPERLINK("https://careerviet.vn/vi/tim-viec-lam/kcn-tan-kim-nhan-vien-ke-hoach-san-xuat.35C645D9.html","Xem chi tiết")</f>
        <v/>
      </c>
      <c r="M18340" s="10" t="n"/>
    </row>
    <row r="18341">
      <c r="B18341" s="7" t="n">
        <v>18339</v>
      </c>
      <c r="C18341" t="inlineStr">
        <is>
          <t>Chuyên viên kinh doanh phát triển thị trường bia thủ công Barett</t>
        </is>
      </c>
      <c r="D18341" t="inlineStr">
        <is>
          <t>Công ty Cổ phần thực phẩm và đồ uống Barett</t>
        </is>
      </c>
      <c r="E18341" t="inlineStr">
        <is>
          <t>Lương:15 Tr - 23 Tr VND</t>
        </is>
      </c>
      <c r="F18341" t="inlineStr">
        <is>
          <t>Hà Nội</t>
        </is>
      </c>
      <c r="G18341" t="inlineStr">
        <is>
          <t>31-03-2026</t>
        </is>
      </c>
      <c r="H18341" t="inlineStr">
        <is>
          <t>31/03/2026</t>
        </is>
      </c>
      <c r="I18341" t="inlineStr">
        <is>
          <t>17/03/2026</t>
        </is>
      </c>
      <c r="J18341" t="inlineStr">
        <is>
          <t>Bán lẻ / Bán sỉ, Bán hàng / Kinh doanh, Tiếp thị trực tuyến</t>
        </is>
      </c>
      <c r="K18341" t="inlineStr">
        <is>
          <t>2 - 3 Năm</t>
        </is>
      </c>
      <c r="L18341" s="8">
        <f>HYPERLINK("https://careerviet.vn/vi/tim-viec-lam/chuyen-vien-kinh-doanh-phat-trien-thi-truong-bia-thu-cong-barett.35C6709E.html","Xem chi tiết")</f>
        <v/>
      </c>
    </row>
    <row r="18342">
      <c r="B18342" s="9" t="n">
        <v>18340</v>
      </c>
      <c r="C18342" s="10" t="inlineStr">
        <is>
          <t>Chuyên viên Thông tin quản trị - Khối Tài chính</t>
        </is>
      </c>
      <c r="D18342" s="10" t="inlineStr">
        <is>
          <t>Ngân Hàng TMCP Tiên Phong (TPBank)</t>
        </is>
      </c>
      <c r="E18342" s="10" t="inlineStr">
        <is>
          <t>Lương:15 Tr - 25 Tr VND</t>
        </is>
      </c>
      <c r="F18342" s="10" t="inlineStr">
        <is>
          <t>Hà Nội</t>
        </is>
      </c>
      <c r="G18342" s="10" t="inlineStr">
        <is>
          <t>31-03-2026</t>
        </is>
      </c>
      <c r="H18342" s="10" t="inlineStr">
        <is>
          <t>31/03/2026</t>
        </is>
      </c>
      <c r="I18342" s="10" t="inlineStr">
        <is>
          <t>17/03/2026</t>
        </is>
      </c>
      <c r="J18342" s="10" t="inlineStr">
        <is>
          <t>Kế toán / Kiểm toán, Ngân hàng, Tài chính / Đầu tư</t>
        </is>
      </c>
      <c r="K18342" s="10" t="inlineStr">
        <is>
          <t>2 - 5 Năm</t>
        </is>
      </c>
      <c r="L18342" s="11">
        <f>HYPERLINK("https://careerviet.vn/vi/tim-viec-lam/chuyen-vien-thong-tin-quan-tri-khoi-tai-chinh.35C67034.html","Xem chi tiết")</f>
        <v/>
      </c>
      <c r="M18342" s="10" t="n"/>
    </row>
    <row r="18343">
      <c r="B18343" s="7" t="n">
        <v>18341</v>
      </c>
      <c r="C18343" t="inlineStr">
        <is>
          <t>Giám Đốc Phân Xưởng</t>
        </is>
      </c>
      <c r="D18343" t="inlineStr">
        <is>
          <t>Công ty TNHH Ong Mật Tracybee</t>
        </is>
      </c>
      <c r="E18343" t="inlineStr">
        <is>
          <t>Lương:15 Tr - 20 Tr VND</t>
        </is>
      </c>
      <c r="F18343" t="inlineStr">
        <is>
          <t>Hồ Chí Minh</t>
        </is>
      </c>
      <c r="G18343" t="inlineStr">
        <is>
          <t>31-03-2026</t>
        </is>
      </c>
      <c r="H18343" t="inlineStr">
        <is>
          <t>31/03/2026</t>
        </is>
      </c>
      <c r="I18343" t="inlineStr">
        <is>
          <t>17/03/2026</t>
        </is>
      </c>
      <c r="J18343" t="inlineStr">
        <is>
          <t>Sản xuất / Vận hành sản xuất, Quản lý chất lượng (QA/QC), Công nghệ thực phẩm / Dinh dưỡng</t>
        </is>
      </c>
      <c r="K18343" t="inlineStr">
        <is>
          <t>Trên 3 Năm</t>
        </is>
      </c>
      <c r="L18343" s="8">
        <f>HYPERLINK("https://careerviet.vn/vi/tim-viec-lam/giam-doc-phan-xuong.35C64441.html","Xem chi tiết")</f>
        <v/>
      </c>
    </row>
    <row r="18344">
      <c r="B18344" s="9" t="n">
        <v>18342</v>
      </c>
      <c r="C18344" s="10" t="inlineStr">
        <is>
          <t>Tổ Trưởng Sản Xuất/Production Team Leader</t>
        </is>
      </c>
      <c r="D18344" s="10" t="inlineStr">
        <is>
          <t>Công ty Cổ Phần Tập Đoàn Thiên Long</t>
        </is>
      </c>
      <c r="E18344" s="10" t="inlineStr">
        <is>
          <t>Lương:Cạnh tranh</t>
        </is>
      </c>
      <c r="F18344" s="10" t="inlineStr">
        <is>
          <t>Hồ Chí Minh</t>
        </is>
      </c>
      <c r="G18344" s="10" t="inlineStr">
        <is>
          <t>31-03-2026</t>
        </is>
      </c>
      <c r="H18344" s="10" t="inlineStr">
        <is>
          <t>31/03/2026</t>
        </is>
      </c>
      <c r="I18344" s="10" t="inlineStr">
        <is>
          <t>17/03/2026</t>
        </is>
      </c>
      <c r="J18344" s="10" t="inlineStr">
        <is>
          <t>Cơ khí / Ô tô / Tự động hóa, Hóa học, Sản xuất / Vận hành sản xuất</t>
        </is>
      </c>
      <c r="K18344" s="10" t="inlineStr">
        <is>
          <t>1 - 5 Năm</t>
        </is>
      </c>
      <c r="L18344" s="11">
        <f>HYPERLINK("https://careerviet.vn/vi/tim-viec-lam/to-truong-san-xuat-production-team-leader.35C670C6.html","Xem chi tiết")</f>
        <v/>
      </c>
      <c r="M18344" s="10" t="n"/>
    </row>
    <row r="18345">
      <c r="B18345" s="7" t="n">
        <v>18343</v>
      </c>
      <c r="C18345" t="inlineStr">
        <is>
          <t>Quản Lý Kinh Doanh Siêu Thị Miền Trung/Miền Nam</t>
        </is>
      </c>
      <c r="D18345" t="inlineStr">
        <is>
          <t>CÔNG TY TNHH SẢN XUẤT TẬP ĐOÀN ĐẠI VIỆT</t>
        </is>
      </c>
      <c r="E18345" t="inlineStr">
        <is>
          <t>Lương:18 Tr - 32 Tr VND</t>
        </is>
      </c>
      <c r="F18345" t="inlineStr">
        <is>
          <t>Bình ThuậnNghệ AnHồ Chí Minh</t>
        </is>
      </c>
      <c r="G18345" t="inlineStr">
        <is>
          <t>31-03-2026</t>
        </is>
      </c>
      <c r="H18345" t="inlineStr">
        <is>
          <t>31/03/2026</t>
        </is>
      </c>
      <c r="I18345" t="inlineStr">
        <is>
          <t>17/03/2026</t>
        </is>
      </c>
      <c r="J18345" t="inlineStr">
        <is>
          <t>Bán hàng / Kinh doanh, Thương mại điện tử, Điện / Điện tử / Điện lạnh / Điện công nghiệp</t>
        </is>
      </c>
      <c r="K18345" t="inlineStr">
        <is>
          <t>1 - 2 Năm</t>
        </is>
      </c>
      <c r="L18345" s="8">
        <f>HYPERLINK("https://careerviet.vn/vi/tim-viec-lam/quan-ly-kinh-doanh-sieu-thi-mien-trung-mien-nam.35C6704C.html","Xem chi tiết")</f>
        <v/>
      </c>
    </row>
    <row r="18346">
      <c r="B18346" s="9" t="n">
        <v>18344</v>
      </c>
      <c r="C18346" s="10" t="inlineStr">
        <is>
          <t>Chuyên viên chăm sóc khách đặc biệt (VIP)</t>
        </is>
      </c>
      <c r="D18346" s="10" t="inlineStr">
        <is>
          <t>Công Ty Cổ Phần Tập Đoàn Đầu Tư Địa Ốc No Va</t>
        </is>
      </c>
      <c r="E18346" s="10" t="inlineStr">
        <is>
          <t>Lương:Cạnh tranh</t>
        </is>
      </c>
      <c r="F18346" s="10" t="inlineStr">
        <is>
          <t>Hồ Chí Minh</t>
        </is>
      </c>
      <c r="G18346" s="10" t="inlineStr">
        <is>
          <t>30-03-2026</t>
        </is>
      </c>
      <c r="H18346" s="10" t="inlineStr">
        <is>
          <t>30/03/2026</t>
        </is>
      </c>
      <c r="I18346" s="10" t="inlineStr">
        <is>
          <t>17/03/2026</t>
        </is>
      </c>
      <c r="J18346" s="10" t="inlineStr">
        <is>
          <t>Bất động sản</t>
        </is>
      </c>
      <c r="K18346" s="10" t="inlineStr">
        <is>
          <t>3 - 10 Năm</t>
        </is>
      </c>
      <c r="L18346" s="11">
        <f>HYPERLINK("https://careerviet.vn/vi/tim-viec-lam/chuyen-vien-cham-soc-khach-dac-biet-vip.35C643F2.html","Xem chi tiết")</f>
        <v/>
      </c>
      <c r="M18346" s="10" t="n"/>
    </row>
    <row r="18347">
      <c r="B18347" s="7" t="n">
        <v>18345</v>
      </c>
      <c r="C18347" t="inlineStr">
        <is>
          <t>Chuyên viên Digital Marketing</t>
        </is>
      </c>
      <c r="D18347" t="inlineStr">
        <is>
          <t>CÔNG TY CỔ PHẦN PHÁT TRIỂN CÔNG NGHỆ TECHPRO</t>
        </is>
      </c>
      <c r="E18347" t="inlineStr">
        <is>
          <t>Lương:Cạnh tranh</t>
        </is>
      </c>
      <c r="F18347" t="inlineStr">
        <is>
          <t>Hà Nội</t>
        </is>
      </c>
      <c r="G18347" t="inlineStr">
        <is>
          <t>31-03-2026</t>
        </is>
      </c>
      <c r="H18347" t="inlineStr">
        <is>
          <t>31/03/2026</t>
        </is>
      </c>
      <c r="I18347" t="inlineStr">
        <is>
          <t>17/03/2026</t>
        </is>
      </c>
      <c r="J18347" t="inlineStr">
        <is>
          <t>Tiếp thị / Marketing</t>
        </is>
      </c>
      <c r="K18347" t="inlineStr">
        <is>
          <t>2 - 3 Năm</t>
        </is>
      </c>
      <c r="L18347" s="8">
        <f>HYPERLINK("https://careerviet.vn/vi/tim-viec-lam/chuyen-vien-digital-marketing.35C6701A.html","Xem chi tiết")</f>
        <v/>
      </c>
    </row>
    <row r="18348">
      <c r="B18348" s="9" t="n">
        <v>18346</v>
      </c>
      <c r="C18348" s="10" t="inlineStr">
        <is>
          <t>Chuyên viên tuyển dụng - Mass</t>
        </is>
      </c>
      <c r="D18348" s="10" t="inlineStr">
        <is>
          <t>CÔNG TY TÀI CHÍNH TNHH NGÂN HÀNG TMCP SÀI GÒN - HÀ NỘI  (SHBFinance)</t>
        </is>
      </c>
      <c r="E18348" s="10" t="inlineStr">
        <is>
          <t>Lương:Cạnh tranh</t>
        </is>
      </c>
      <c r="F18348" s="10" t="inlineStr">
        <is>
          <t>Hồ Chí Minh</t>
        </is>
      </c>
      <c r="G18348" s="10" t="inlineStr">
        <is>
          <t>31-03-2026</t>
        </is>
      </c>
      <c r="H18348" s="10" t="inlineStr">
        <is>
          <t>31/03/2026</t>
        </is>
      </c>
      <c r="I18348" s="10" t="inlineStr">
        <is>
          <t>17/03/2026</t>
        </is>
      </c>
      <c r="J18348" s="10" t="inlineStr">
        <is>
          <t>Nhân sự</t>
        </is>
      </c>
      <c r="K18348" s="10" t="inlineStr">
        <is>
          <t>2 - 3 Năm</t>
        </is>
      </c>
      <c r="L18348" s="11">
        <f>HYPERLINK("https://careerviet.vn/vi/tim-viec-lam/chuyen-vien-tuyen-dung-mass.35C644B3.html","Xem chi tiết")</f>
        <v/>
      </c>
      <c r="M18348" s="10" t="n"/>
    </row>
    <row r="18349">
      <c r="B18349" s="7" t="n">
        <v>18347</v>
      </c>
      <c r="C18349" t="inlineStr">
        <is>
          <t>Chuyên Viên Kinh Doanh tại Đà Lạt</t>
        </is>
      </c>
      <c r="D18349" t="inlineStr">
        <is>
          <t>Tổng Công Ty Cổ Phần Bảo Hiểm Ngân Hàng TMCP Công Thương Việt Nam</t>
        </is>
      </c>
      <c r="E18349" t="inlineStr">
        <is>
          <t>Lương:Cạnh tranh</t>
        </is>
      </c>
      <c r="F18349" t="inlineStr">
        <is>
          <t>Lâm Đồng</t>
        </is>
      </c>
      <c r="G18349" t="inlineStr">
        <is>
          <t>30-03-2026</t>
        </is>
      </c>
      <c r="H18349" t="inlineStr">
        <is>
          <t>30/03/2026</t>
        </is>
      </c>
      <c r="I18349" t="inlineStr">
        <is>
          <t>17/03/2026</t>
        </is>
      </c>
      <c r="J18349" t="inlineStr">
        <is>
          <t>Bảo hiểm, Bán hàng / Kinh doanh, Ngân hàng</t>
        </is>
      </c>
      <c r="K18349" t="inlineStr">
        <is>
          <t>1 - 2 Năm</t>
        </is>
      </c>
      <c r="L18349" s="8">
        <f>HYPERLINK("https://careerviet.vn/vi/tim-viec-lam/chuyen-vien-kinh-doanh-tai-da-lat.35C64393.html","Xem chi tiết")</f>
        <v/>
      </c>
    </row>
    <row r="18350">
      <c r="B18350" s="9" t="n">
        <v>18348</v>
      </c>
      <c r="C18350" s="10" t="inlineStr">
        <is>
          <t>CHUYÊN VIÊN ĐẤU THẦU - DỰ TOÁN</t>
        </is>
      </c>
      <c r="D18350" s="10" t="inlineStr">
        <is>
          <t>TỔNG CÔNG TY CỔ PHẦN THƯƠNG MẠI XÂY DỰNG</t>
        </is>
      </c>
      <c r="E18350" s="10" t="inlineStr">
        <is>
          <t>Lương:20 Tr - 30 Tr VND</t>
        </is>
      </c>
      <c r="F18350" s="10" t="inlineStr">
        <is>
          <t>Hà Nội</t>
        </is>
      </c>
      <c r="G18350" s="10" t="inlineStr">
        <is>
          <t>31-03-2026</t>
        </is>
      </c>
      <c r="H18350" s="10" t="inlineStr">
        <is>
          <t>31/03/2026</t>
        </is>
      </c>
      <c r="I18350" s="10" t="inlineStr">
        <is>
          <t>17/03/2026</t>
        </is>
      </c>
      <c r="J18350" s="10" t="inlineStr">
        <is>
          <t>Kiến trúc, Xây dựng, Bất động sản</t>
        </is>
      </c>
      <c r="K18350" s="10" t="inlineStr">
        <is>
          <t>5 - 10 Năm</t>
        </is>
      </c>
      <c r="L18350" s="11">
        <f>HYPERLINK("https://careerviet.vn/vi/tim-viec-lam/chuyen-vien-dau-thau-du-toan.35C6456A.html","Xem chi tiết")</f>
        <v/>
      </c>
      <c r="M18350" s="10" t="n"/>
    </row>
    <row r="18351">
      <c r="B18351" s="7" t="n">
        <v>18349</v>
      </c>
      <c r="C18351" t="inlineStr">
        <is>
          <t>Nhân Viên Tư Vấn Sản Phẩm Livotec tại Điện Máy Xanh Hồ Chí Minh</t>
        </is>
      </c>
      <c r="D18351" t="inlineStr">
        <is>
          <t>Tập Đoàn Karofi Holding</t>
        </is>
      </c>
      <c r="E18351" t="inlineStr">
        <is>
          <t>Lương:8 Tr - 15 Tr VND</t>
        </is>
      </c>
      <c r="F18351" t="inlineStr">
        <is>
          <t>Hồ Chí Minh</t>
        </is>
      </c>
      <c r="G18351" t="inlineStr">
        <is>
          <t>31-03-2026</t>
        </is>
      </c>
      <c r="H18351" t="inlineStr">
        <is>
          <t>31/03/2026</t>
        </is>
      </c>
      <c r="I18351" t="inlineStr">
        <is>
          <t>17/03/2026</t>
        </is>
      </c>
      <c r="J18351" t="inlineStr">
        <is>
          <t>Bán hàng / Kinh doanh</t>
        </is>
      </c>
      <c r="K18351" t="inlineStr">
        <is>
          <t>Trên 6 Năm</t>
        </is>
      </c>
      <c r="L18351" s="8">
        <f>HYPERLINK("https://careerviet.vn/vi/tim-viec-lam/nhan-vien-tu-van-san-pham-livotec-tai-dien-may-xanh-ho-chi-minh.35C64506.html","Xem chi tiết")</f>
        <v/>
      </c>
    </row>
    <row r="18352">
      <c r="B18352" s="9" t="n">
        <v>18350</v>
      </c>
      <c r="C18352" s="10" t="inlineStr">
        <is>
          <t>Chuyên viên Digital Marketing</t>
        </is>
      </c>
      <c r="D18352" s="10" t="inlineStr">
        <is>
          <t>Công ty TNHH Phát Triển Giáo Dục Và Hợp Tác Quốc Tế THANHMAIHSK</t>
        </is>
      </c>
      <c r="E18352" s="10" t="inlineStr">
        <is>
          <t>Lương:12 Tr - 17 Tr VND</t>
        </is>
      </c>
      <c r="F18352" s="10" t="inlineStr">
        <is>
          <t>Hà Nội</t>
        </is>
      </c>
      <c r="G18352" s="10" t="inlineStr">
        <is>
          <t>30-03-2026</t>
        </is>
      </c>
      <c r="H18352" s="10" t="inlineStr">
        <is>
          <t>30/03/2026</t>
        </is>
      </c>
      <c r="I18352" s="10" t="inlineStr">
        <is>
          <t>17/03/2026</t>
        </is>
      </c>
      <c r="J18352" s="10" t="inlineStr">
        <is>
          <t>Tư vấn, Quảng cáo / Đối ngoại / Truyền Thông, Tiếp thị / Marketing</t>
        </is>
      </c>
      <c r="K18352" s="10" t="inlineStr">
        <is>
          <t>Trên 1 Năm</t>
        </is>
      </c>
      <c r="L18352" s="11">
        <f>HYPERLINK("https://careerviet.vn/vi/tim-viec-lam/chuyen-vien-digital-marketing.35C6704D.html","Xem chi tiết")</f>
        <v/>
      </c>
      <c r="M18352" s="10" t="n"/>
    </row>
    <row r="18353">
      <c r="B18353" s="7" t="n">
        <v>18351</v>
      </c>
      <c r="C18353" t="inlineStr">
        <is>
          <t>Nhân viên kinh doanh</t>
        </is>
      </c>
      <c r="D18353" t="inlineStr">
        <is>
          <t>CÔNG TY TNHH DỆT MAY TRUNG QUY</t>
        </is>
      </c>
      <c r="E18353" t="inlineStr">
        <is>
          <t>Lương:18 Tr - 35 Tr VND</t>
        </is>
      </c>
      <c r="F18353" t="inlineStr">
        <is>
          <t>Hồ Chí Minh</t>
        </is>
      </c>
      <c r="G18353" t="inlineStr">
        <is>
          <t>30-03-2026</t>
        </is>
      </c>
      <c r="H18353" t="inlineStr">
        <is>
          <t>30/03/2026</t>
        </is>
      </c>
      <c r="I18353" t="inlineStr">
        <is>
          <t>17/03/2026</t>
        </is>
      </c>
      <c r="J18353" t="inlineStr">
        <is>
          <t>Tiếp thị / Marketing, Bán lẻ / Bán sỉ, Bán hàng / Kinh doanh</t>
        </is>
      </c>
      <c r="K18353" t="inlineStr">
        <is>
          <t>1 - 3 Năm</t>
        </is>
      </c>
      <c r="L18353" s="8">
        <f>HYPERLINK("https://careerviet.vn/vi/tim-viec-lam/nhan-vien-kinh-doanh.35C643AA.html","Xem chi tiết")</f>
        <v/>
      </c>
    </row>
    <row r="18354">
      <c r="B18354" s="9" t="n">
        <v>18352</v>
      </c>
      <c r="C18354" s="10" t="inlineStr">
        <is>
          <t>Chuyên Viên Bảo Trì Điện Lạnh Nhà hàng</t>
        </is>
      </c>
      <c r="D18354" s="10" t="inlineStr">
        <is>
          <t>Công Ty Hoàng An Nhiên</t>
        </is>
      </c>
      <c r="E18354" s="10" t="inlineStr">
        <is>
          <t>Lương:12 Tr - 13 Tr VND</t>
        </is>
      </c>
      <c r="F18354" s="10" t="inlineStr">
        <is>
          <t>Hà Nội</t>
        </is>
      </c>
      <c r="G18354" s="10" t="inlineStr">
        <is>
          <t>31-03-2026</t>
        </is>
      </c>
      <c r="H18354" s="10" t="inlineStr">
        <is>
          <t>31/03/2026</t>
        </is>
      </c>
      <c r="I18354" s="10" t="inlineStr">
        <is>
          <t>17/03/2026</t>
        </is>
      </c>
      <c r="J18354" s="10" t="inlineStr">
        <is>
          <t>Bảo trì / Sửa chữa</t>
        </is>
      </c>
      <c r="K18354" s="10" t="inlineStr">
        <is>
          <t>2 - 5 Năm</t>
        </is>
      </c>
      <c r="L18354" s="11">
        <f>HYPERLINK("https://careerviet.vn/vi/tim-viec-lam/chuyen-vien-bao-tri-dien-lanh-nha-hang.35C645D3.html","Xem chi tiết")</f>
        <v/>
      </c>
      <c r="M18354" s="10" t="n"/>
    </row>
    <row r="18355">
      <c r="B18355" s="7" t="n">
        <v>18353</v>
      </c>
      <c r="C18355" t="inlineStr">
        <is>
          <t>Chuyên Gia Kiểm Soát Và Thúc Đẩy Hoạt Động Thu Giữ) - TA184 - ID556</t>
        </is>
      </c>
      <c r="D18355" t="inlineStr">
        <is>
          <t>Ngân Hàng TMCP Việt Nam Thịnh Vượng - VPBANK</t>
        </is>
      </c>
      <c r="E18355" t="inlineStr">
        <is>
          <t>Lương:Cạnh tranh</t>
        </is>
      </c>
      <c r="F18355" t="inlineStr">
        <is>
          <t>Hà Nội</t>
        </is>
      </c>
      <c r="G18355" t="inlineStr">
        <is>
          <t>30-03-2026</t>
        </is>
      </c>
      <c r="H18355" t="inlineStr">
        <is>
          <t>30/03/2026</t>
        </is>
      </c>
      <c r="I18355" t="inlineStr">
        <is>
          <t>17/03/2026</t>
        </is>
      </c>
      <c r="J18355" t="inlineStr">
        <is>
          <t>Luật / Pháp lý, Ngân hàng, Tài chính / Đầu tư</t>
        </is>
      </c>
      <c r="K18355" t="inlineStr">
        <is>
          <t>10 - 20 Năm</t>
        </is>
      </c>
      <c r="L18355" s="8">
        <f>HYPERLINK("https://careerviet.vn/vi/tim-viec-lam/chuyen-gia-kiem-soat-va-thuc-day-hoat-dong-thu-giu-ta184-id556.35C64363.html","Xem chi tiết")</f>
        <v/>
      </c>
    </row>
    <row r="18356">
      <c r="B18356" s="9" t="n">
        <v>18354</v>
      </c>
      <c r="C18356" s="10" t="inlineStr">
        <is>
          <t>Nhân viên Quản lý chất lượng ( Đi ca ) - Ưu tiên chưa có kinh nghiệm</t>
        </is>
      </c>
      <c r="D18356" s="10" t="inlineStr">
        <is>
          <t>Công ty Omron Healthcare Manufacturing Việt Nam</t>
        </is>
      </c>
      <c r="E18356" s="10" t="inlineStr">
        <is>
          <t>Lương:Cạnh tranh</t>
        </is>
      </c>
      <c r="F18356" s="10" t="inlineStr">
        <is>
          <t>Bình Dương</t>
        </is>
      </c>
      <c r="G18356" s="10" t="inlineStr">
        <is>
          <t>31-03-2026</t>
        </is>
      </c>
      <c r="H18356" s="10" t="inlineStr">
        <is>
          <t>31/03/2026</t>
        </is>
      </c>
      <c r="I18356" s="10" t="inlineStr">
        <is>
          <t>17/03/2026</t>
        </is>
      </c>
      <c r="J18356" s="10" t="inlineStr">
        <is>
          <t>Cơ khí / Ô tô / Tự động hóa, Điện / Điện tử / Điện lạnh / Điện công nghiệp, Quản lý chất lượng (QA/QC)</t>
        </is>
      </c>
      <c r="K18356" s="10" t="inlineStr">
        <is>
          <t>N/A</t>
        </is>
      </c>
      <c r="L18356" s="11">
        <f>HYPERLINK("https://careerviet.vn/vi/tim-viec-lam/nhan-vien-quan-ly-chat-luong-di-ca-uu-tien-chua-co-kinh-nghiem.35C644FF.html","Xem chi tiết")</f>
        <v/>
      </c>
      <c r="M18356" s="10" t="n"/>
    </row>
    <row r="18357">
      <c r="B18357" s="7" t="n">
        <v>18355</v>
      </c>
      <c r="C18357" t="inlineStr">
        <is>
          <t>Trưởng Phòng Hành Chính Nhân Sự</t>
        </is>
      </c>
      <c r="D18357" t="inlineStr">
        <is>
          <t>Tập Đoàn Kim Tín</t>
        </is>
      </c>
      <c r="E18357" t="inlineStr">
        <is>
          <t>Lương:Cạnh tranh</t>
        </is>
      </c>
      <c r="F18357" t="inlineStr">
        <is>
          <t>Bình Phước</t>
        </is>
      </c>
      <c r="G18357" t="inlineStr">
        <is>
          <t>30-03-2026</t>
        </is>
      </c>
      <c r="H18357" t="inlineStr">
        <is>
          <t>30/03/2026</t>
        </is>
      </c>
      <c r="I18357" t="inlineStr">
        <is>
          <t>17/03/2026</t>
        </is>
      </c>
      <c r="J18357" t="inlineStr">
        <is>
          <t>Hành chính / Thư ký, Nhân sự, Sản xuất / Vận hành sản xuất</t>
        </is>
      </c>
      <c r="K18357" t="inlineStr">
        <is>
          <t>3 - 5 Năm</t>
        </is>
      </c>
      <c r="L18357" s="8">
        <f>HYPERLINK("https://careerviet.vn/vi/tim-viec-lam/truong-phong-hanh-chinh-nhan-su.35C6434A.html","Xem chi tiết")</f>
        <v/>
      </c>
    </row>
    <row r="18358">
      <c r="B18358" s="9" t="n">
        <v>18356</v>
      </c>
      <c r="C18358" s="10" t="inlineStr">
        <is>
          <t>Chuyên viên Kinh doanh (mảng kỹ thuật)</t>
        </is>
      </c>
      <c r="D18358" s="10" t="inlineStr">
        <is>
          <t>CÔNG TY CỔ PHẦN VINATECH SOLUTION</t>
        </is>
      </c>
      <c r="E18358" s="10" t="inlineStr">
        <is>
          <t>Lương:30 Tr - 50 Tr VND</t>
        </is>
      </c>
      <c r="F18358" s="10" t="inlineStr">
        <is>
          <t>Hồ Chí Minh</t>
        </is>
      </c>
      <c r="G18358" s="10" t="inlineStr">
        <is>
          <t>30-03-2026</t>
        </is>
      </c>
      <c r="H18358" s="10" t="inlineStr">
        <is>
          <t>30/03/2026</t>
        </is>
      </c>
      <c r="I18358" s="10" t="inlineStr">
        <is>
          <t>17/03/2026</t>
        </is>
      </c>
      <c r="J18358" s="10" t="inlineStr">
        <is>
          <t>Bán lẻ / Bán sỉ, Bán hàng / Kinh doanh, Bán Hàng Kỹ Thuật</t>
        </is>
      </c>
      <c r="K18358" s="10" t="inlineStr">
        <is>
          <t>2 - 3 Năm</t>
        </is>
      </c>
      <c r="L18358" s="11">
        <f>HYPERLINK("https://careerviet.vn/vi/tim-viec-lam/chuyen-vien-kinh-doanh-mang-ky-thuat.35C643EB.html","Xem chi tiết")</f>
        <v/>
      </c>
      <c r="M18358" s="10" t="n"/>
    </row>
    <row r="18359">
      <c r="B18359" s="7" t="n">
        <v>18357</v>
      </c>
      <c r="C18359" t="inlineStr">
        <is>
          <t>Chuyên Viên Đấu Thầu</t>
        </is>
      </c>
      <c r="D18359" t="inlineStr">
        <is>
          <t>CÔNG TY CỔ PHẦN VĨNH QUANG</t>
        </is>
      </c>
      <c r="E18359" t="inlineStr">
        <is>
          <t>Lương:Cạnh tranh</t>
        </is>
      </c>
      <c r="F18359" t="inlineStr">
        <is>
          <t>Hồ Chí Minh</t>
        </is>
      </c>
      <c r="G18359" t="inlineStr">
        <is>
          <t>30-03-2026</t>
        </is>
      </c>
      <c r="H18359" t="inlineStr">
        <is>
          <t>30/03/2026</t>
        </is>
      </c>
      <c r="I18359" t="inlineStr">
        <is>
          <t>17/03/2026</t>
        </is>
      </c>
      <c r="J18359" t="inlineStr">
        <is>
          <t>Bất động sản, Kiến trúc, Xây dựng</t>
        </is>
      </c>
      <c r="K18359" t="inlineStr">
        <is>
          <t>3 - 5 Năm</t>
        </is>
      </c>
      <c r="L18359" s="8">
        <f>HYPERLINK("https://careerviet.vn/vi/tim-viec-lam/chuyen-vien-dau-thau.35C66E84.html","Xem chi tiết")</f>
        <v/>
      </c>
    </row>
    <row r="18360">
      <c r="B18360" s="9" t="n">
        <v>18358</v>
      </c>
      <c r="C18360" s="10" t="inlineStr">
        <is>
          <t>BrSE/ Scrum Master/ Project Leader (Japanese speaking)</t>
        </is>
      </c>
      <c r="D18360" s="10" t="inlineStr">
        <is>
          <t>HR Vietnam’s ESS Client</t>
        </is>
      </c>
      <c r="E18360" s="10" t="inlineStr">
        <is>
          <t>Lương:Cạnh tranh</t>
        </is>
      </c>
      <c r="F18360" s="10" t="inlineStr">
        <is>
          <t>Hà Nội</t>
        </is>
      </c>
      <c r="G18360" s="10" t="inlineStr">
        <is>
          <t>30-03-2026</t>
        </is>
      </c>
      <c r="H18360" s="10" t="inlineStr">
        <is>
          <t>30/03/2026</t>
        </is>
      </c>
      <c r="I18360" s="10" t="inlineStr">
        <is>
          <t>17/03/2026</t>
        </is>
      </c>
      <c r="J18360" s="10" t="inlineStr">
        <is>
          <t>CNTT - Phần mềm</t>
        </is>
      </c>
      <c r="K18360" s="10" t="inlineStr">
        <is>
          <t>2 - 5 Năm</t>
        </is>
      </c>
      <c r="L18360" s="11">
        <f>HYPERLINK("https://careerviet.vn/vi/tim-viec-lam/brse-scrum-master-project-leader-japanese-speaking.35C64330.html","Xem chi tiết")</f>
        <v/>
      </c>
      <c r="M18360" s="10" t="n"/>
    </row>
    <row r="18361">
      <c r="B18361" s="7" t="n">
        <v>18359</v>
      </c>
      <c r="C18361" t="inlineStr">
        <is>
          <t>Chuyên viên Thẩm định giá - Đồng Nai</t>
        </is>
      </c>
      <c r="D18361" t="inlineStr">
        <is>
          <t>CÔNG TY CỔ PHẦN CITICS</t>
        </is>
      </c>
      <c r="E18361" t="inlineStr">
        <is>
          <t>Lương:Cạnh tranh</t>
        </is>
      </c>
      <c r="F18361" t="inlineStr">
        <is>
          <t>Đồng Nai</t>
        </is>
      </c>
      <c r="G18361" t="inlineStr">
        <is>
          <t>30-03-2026</t>
        </is>
      </c>
      <c r="H18361" t="inlineStr">
        <is>
          <t>30/03/2026</t>
        </is>
      </c>
      <c r="I18361" t="inlineStr">
        <is>
          <t>17/03/2026</t>
        </is>
      </c>
      <c r="J18361" t="inlineStr">
        <is>
          <t>Bất động sản</t>
        </is>
      </c>
      <c r="K18361" t="inlineStr">
        <is>
          <t>1 - 2 Năm</t>
        </is>
      </c>
      <c r="L18361" s="8">
        <f>HYPERLINK("https://careerviet.vn/vi/tim-viec-lam/chuyen-vien-tham-dinh-gia-dong-nai.35C65E39.html","Xem chi tiết")</f>
        <v/>
      </c>
    </row>
    <row r="18362">
      <c r="B18362" s="9" t="n">
        <v>18360</v>
      </c>
      <c r="C18362" s="10" t="inlineStr">
        <is>
          <t>Nhân Viên Kỹ Thuật Điện Tử- Tự Động Hóa</t>
        </is>
      </c>
      <c r="D18362" s="10" t="inlineStr">
        <is>
          <t>Công Ty Cổ Phần Cơ Khí Chính Xác VN-J</t>
        </is>
      </c>
      <c r="E18362" s="10" t="inlineStr">
        <is>
          <t>Lương:Cạnh tranh</t>
        </is>
      </c>
      <c r="F18362" s="10" t="inlineStr">
        <is>
          <t>Bình Dương</t>
        </is>
      </c>
      <c r="G18362" s="10" t="inlineStr">
        <is>
          <t>30-03-2026</t>
        </is>
      </c>
      <c r="H18362" s="10" t="inlineStr">
        <is>
          <t>30/03/2026</t>
        </is>
      </c>
      <c r="I18362" s="10" t="inlineStr">
        <is>
          <t>17/03/2026</t>
        </is>
      </c>
      <c r="J18362" s="10" t="inlineStr">
        <is>
          <t>Cơ khí / Ô tô / Tự động hóa, Điện / Điện tử / Điện lạnh / Điện công nghiệp, Bảo trì / Sửa chữa</t>
        </is>
      </c>
      <c r="K18362" s="10" t="inlineStr">
        <is>
          <t>Trên 1 Năm</t>
        </is>
      </c>
      <c r="L18362" s="11">
        <f>HYPERLINK("https://careerviet.vn/vi/tim-viec-lam/nhan-vien-ky-thuat-dien-tu-tu-dong-hoa.35C6427C.html","Xem chi tiết")</f>
        <v/>
      </c>
      <c r="M18362" s="10" t="n"/>
    </row>
    <row r="18363">
      <c r="B18363" s="7" t="n">
        <v>18361</v>
      </c>
      <c r="C18363" t="inlineStr">
        <is>
          <t>Giám Sát Bán Hàng Tại Thanh Hoá</t>
        </is>
      </c>
      <c r="D18363" t="inlineStr">
        <is>
          <t>Công ty TNHH Chế biến thực phẩm Đông Đô</t>
        </is>
      </c>
      <c r="E18363" t="inlineStr">
        <is>
          <t>Lương:18 Tr - 25 Tr VND</t>
        </is>
      </c>
      <c r="F18363" t="inlineStr">
        <is>
          <t>Thanh Hóa</t>
        </is>
      </c>
      <c r="G18363" t="inlineStr">
        <is>
          <t>30-03-2026</t>
        </is>
      </c>
      <c r="H18363" t="inlineStr">
        <is>
          <t>30/03/2026</t>
        </is>
      </c>
      <c r="I18363" t="inlineStr">
        <is>
          <t>17/03/2026</t>
        </is>
      </c>
      <c r="J18363" t="inlineStr">
        <is>
          <t>Bán lẻ / Bán sỉ, Bán hàng / Kinh doanh, Thực phẩm &amp; Đồ uống</t>
        </is>
      </c>
      <c r="K18363" t="inlineStr">
        <is>
          <t>2 - 3 Năm</t>
        </is>
      </c>
      <c r="L18363" s="8">
        <f>HYPERLINK("https://careerviet.vn/vi/tim-viec-lam/giam-sat-ban-hang-tai-thanh-hoa.35C66ED6.html","Xem chi tiết")</f>
        <v/>
      </c>
    </row>
    <row r="18364">
      <c r="B18364" s="9" t="n">
        <v>18362</v>
      </c>
      <c r="C18364" s="10" t="inlineStr">
        <is>
          <t>Nhân viên Kinh doanh miền Trung (base tại Đà Nẵng)</t>
        </is>
      </c>
      <c r="D18364" s="10" t="inlineStr">
        <is>
          <t>Công Ty TNHH XNK Cầu Nối Việt</t>
        </is>
      </c>
      <c r="E18364" s="10" t="inlineStr">
        <is>
          <t>Lương:10 Tr - 15 Tr VND</t>
        </is>
      </c>
      <c r="F18364" s="10" t="inlineStr">
        <is>
          <t>Đà Nẵng</t>
        </is>
      </c>
      <c r="G18364" s="10" t="inlineStr">
        <is>
          <t>30-03-2026</t>
        </is>
      </c>
      <c r="H18364" s="10" t="inlineStr">
        <is>
          <t>30/03/2026</t>
        </is>
      </c>
      <c r="I18364" s="10" t="inlineStr">
        <is>
          <t>17/03/2026</t>
        </is>
      </c>
      <c r="J18364" s="10" t="inlineStr">
        <is>
          <t>Bán hàng / Kinh doanh</t>
        </is>
      </c>
      <c r="K18364" s="10" t="inlineStr">
        <is>
          <t>1 - 5 Năm</t>
        </is>
      </c>
      <c r="L18364" s="11">
        <f>HYPERLINK("https://careerviet.vn/vi/tim-viec-lam/nhan-vien-kinh-doanh-mien-trung-base-tai-da-nang.35C64336.html","Xem chi tiết")</f>
        <v/>
      </c>
      <c r="M18364" s="10" t="n"/>
    </row>
    <row r="18365">
      <c r="B18365" s="7" t="n">
        <v>18363</v>
      </c>
      <c r="C18365" t="inlineStr">
        <is>
          <t>KV Hồ Chí Minh - Giám đốc/Chuyên viên Dịch vụ Khách hàng</t>
        </is>
      </c>
      <c r="D18365" t="inlineStr">
        <is>
          <t>BVBank - Ngân hàng Bản Việt</t>
        </is>
      </c>
      <c r="E18365" t="inlineStr">
        <is>
          <t>Lương:Cạnh tranh</t>
        </is>
      </c>
      <c r="F18365" t="inlineStr">
        <is>
          <t>Hồ Chí Minh</t>
        </is>
      </c>
      <c r="G18365" t="inlineStr">
        <is>
          <t>30-03-2026</t>
        </is>
      </c>
      <c r="H18365" t="inlineStr">
        <is>
          <t>30/03/2026</t>
        </is>
      </c>
      <c r="I18365" t="inlineStr">
        <is>
          <t>17/03/2026</t>
        </is>
      </c>
      <c r="J18365" t="inlineStr">
        <is>
          <t>Ngân hàng, Tài chính / Đầu tư, Bán hàng / Kinh doanh</t>
        </is>
      </c>
      <c r="K18365" t="inlineStr">
        <is>
          <t>1 - 2 Năm</t>
        </is>
      </c>
      <c r="L18365" s="8">
        <f>HYPERLINK("https://careerviet.vn/vi/tim-viec-lam/kv-ho-chi-minh-giam-doc-chuyen-vien-dich-vu-khach-hang.35C643D7.html","Xem chi tiết")</f>
        <v/>
      </c>
    </row>
    <row r="18366">
      <c r="B18366" s="9" t="n">
        <v>18364</v>
      </c>
      <c r="C18366" s="10" t="inlineStr">
        <is>
          <t>Kỹ sư hệ thống (System Engineer)</t>
        </is>
      </c>
      <c r="D18366" s="10" t="inlineStr">
        <is>
          <t>LacViet Computing Corporation</t>
        </is>
      </c>
      <c r="E18366" s="10" t="inlineStr">
        <is>
          <t>Lương:Cạnh tranh</t>
        </is>
      </c>
      <c r="F18366" s="10" t="inlineStr">
        <is>
          <t>Hồ Chí Minh</t>
        </is>
      </c>
      <c r="G18366" s="10" t="inlineStr">
        <is>
          <t>30-03-2026</t>
        </is>
      </c>
      <c r="H18366" s="10" t="inlineStr">
        <is>
          <t>30/03/2026</t>
        </is>
      </c>
      <c r="I18366" s="10" t="inlineStr">
        <is>
          <t>17/03/2026</t>
        </is>
      </c>
      <c r="J18366" s="10" t="inlineStr">
        <is>
          <t>CNTT - Phần mềm, CNTT - Phần cứng / Mạng</t>
        </is>
      </c>
      <c r="K18366" s="10" t="inlineStr">
        <is>
          <t>2 - 3 Năm</t>
        </is>
      </c>
      <c r="L18366" s="11">
        <f>HYPERLINK("https://careerviet.vn/vi/tim-viec-lam/ky-su-he-thong-system-engineer.35C66F94.html","Xem chi tiết")</f>
        <v/>
      </c>
      <c r="M18366" s="10" t="n"/>
    </row>
    <row r="18367">
      <c r="B18367" s="7" t="n">
        <v>18365</v>
      </c>
      <c r="C18367" t="inlineStr">
        <is>
          <t>Trưởng Phòng Tuyển Dụng</t>
        </is>
      </c>
      <c r="D18367" t="inlineStr">
        <is>
          <t>CÔNG TY CỔ PHẦN GREEN SPEED</t>
        </is>
      </c>
      <c r="E18367" t="inlineStr">
        <is>
          <t>Lương:Cạnh tranh</t>
        </is>
      </c>
      <c r="F18367" t="inlineStr">
        <is>
          <t>Hồ Chí Minh</t>
        </is>
      </c>
      <c r="G18367" t="inlineStr">
        <is>
          <t>30-03-2026</t>
        </is>
      </c>
      <c r="H18367" t="inlineStr">
        <is>
          <t>30/03/2026</t>
        </is>
      </c>
      <c r="I18367" t="inlineStr">
        <is>
          <t>17/03/2026</t>
        </is>
      </c>
      <c r="J18367" t="inlineStr">
        <is>
          <t>Hành chính / Thư ký, Sản xuất / Vận hành sản xuất, Nhân sự</t>
        </is>
      </c>
      <c r="K18367" t="inlineStr">
        <is>
          <t>5 - 10 Năm</t>
        </is>
      </c>
      <c r="L18367" s="8">
        <f>HYPERLINK("https://careerviet.vn/vi/tim-viec-lam/truong-phong-tuyen-dung.35C66ED7.html","Xem chi tiết")</f>
        <v/>
      </c>
    </row>
    <row r="18368">
      <c r="B18368" s="9" t="n">
        <v>18366</v>
      </c>
      <c r="C18368" s="10" t="inlineStr">
        <is>
          <t>Nhân Viên Kỹ Thuật Tòa Nhà</t>
        </is>
      </c>
      <c r="D18368" s="10" t="inlineStr">
        <is>
          <t>Công Ty Cổ Phần Vincom Retail</t>
        </is>
      </c>
      <c r="E18368" s="10" t="inlineStr">
        <is>
          <t>Lương:10 Tr - 12 Tr VND</t>
        </is>
      </c>
      <c r="F18368" s="10" t="inlineStr">
        <is>
          <t>Nghệ An</t>
        </is>
      </c>
      <c r="G18368" s="10" t="inlineStr">
        <is>
          <t>30-03-2026</t>
        </is>
      </c>
      <c r="H18368" s="10" t="inlineStr">
        <is>
          <t>30/03/2026</t>
        </is>
      </c>
      <c r="I18368" s="10" t="inlineStr">
        <is>
          <t>17/03/2026</t>
        </is>
      </c>
      <c r="J18368" s="10" t="inlineStr">
        <is>
          <t>Cơ khí / Ô tô / Tự động hóa, Điện / Điện tử / Điện lạnh / Điện công nghiệp, Bảo trì / Sửa chữa</t>
        </is>
      </c>
      <c r="K18368" s="10" t="inlineStr">
        <is>
          <t>1 - 3 Năm</t>
        </is>
      </c>
      <c r="L18368" s="11">
        <f>HYPERLINK("https://careerviet.vn/vi/tim-viec-lam/nhan-vien-ky-thuat-toa-nha.35C66F69.html","Xem chi tiết")</f>
        <v/>
      </c>
      <c r="M18368" s="10" t="n"/>
    </row>
    <row r="18369">
      <c r="B18369" s="7" t="n">
        <v>18367</v>
      </c>
      <c r="C18369" t="inlineStr">
        <is>
          <t>Nhân viên giám sát điện năng lượng mặt trời</t>
        </is>
      </c>
      <c r="D18369" t="inlineStr">
        <is>
          <t>CÔNG TY CỔ PHẦN NĂNG LƯỢNG XANH ON ENERGY</t>
        </is>
      </c>
      <c r="E18369" t="inlineStr">
        <is>
          <t>Lương:12 Tr - 15 Tr VND</t>
        </is>
      </c>
      <c r="F18369" t="inlineStr">
        <is>
          <t>Đồng Nai</t>
        </is>
      </c>
      <c r="G18369" t="inlineStr">
        <is>
          <t>30-03-2026</t>
        </is>
      </c>
      <c r="H18369" t="inlineStr">
        <is>
          <t>30/03/2026</t>
        </is>
      </c>
      <c r="I18369" t="inlineStr">
        <is>
          <t>17/03/2026</t>
        </is>
      </c>
      <c r="J18369" t="inlineStr">
        <is>
          <t>Điện / Điện tử / Điện lạnh / Điện công nghiệp, Bảo trì / Sửa chữa</t>
        </is>
      </c>
      <c r="K18369" t="inlineStr">
        <is>
          <t>Chưa có kinh nghiệm</t>
        </is>
      </c>
      <c r="L18369" s="8">
        <f>HYPERLINK("https://careerviet.vn/vi/tim-viec-lam/nhan-vien-giam-sat-dien-nang-luong-mat-troi.35C643AB.html","Xem chi tiết")</f>
        <v/>
      </c>
    </row>
    <row r="18370">
      <c r="B18370" s="9" t="n">
        <v>18368</v>
      </c>
      <c r="C18370" s="10" t="inlineStr">
        <is>
          <t>E-commerce Executive</t>
        </is>
      </c>
      <c r="D18370" s="10" t="inlineStr">
        <is>
          <t>INDOGUNA VINA FOOD SERVICE (INDV)</t>
        </is>
      </c>
      <c r="E18370" s="10" t="inlineStr">
        <is>
          <t>Lương:Cạnh tranh</t>
        </is>
      </c>
      <c r="F18370" s="10" t="inlineStr">
        <is>
          <t>Hà Nội</t>
        </is>
      </c>
      <c r="G18370" s="10" t="inlineStr">
        <is>
          <t>30-03-2026</t>
        </is>
      </c>
      <c r="H18370" s="10" t="inlineStr">
        <is>
          <t>30/03/2026</t>
        </is>
      </c>
      <c r="I18370" s="10" t="inlineStr">
        <is>
          <t>17/03/2026</t>
        </is>
      </c>
      <c r="J18370" s="10" t="inlineStr">
        <is>
          <t>Bán lẻ / Bán sỉ, Bán hàng / Kinh doanh, Dịch vụ khách hàng</t>
        </is>
      </c>
      <c r="K18370" s="10" t="inlineStr">
        <is>
          <t>1 - 2 Năm</t>
        </is>
      </c>
      <c r="L18370" s="11">
        <f>HYPERLINK("https://careerviet.vn/vi/tim-viec-lam/e-commerce-executive.35C642CF.html","Xem chi tiết")</f>
        <v/>
      </c>
      <c r="M18370" s="10" t="n"/>
    </row>
    <row r="18371">
      <c r="B18371" s="7" t="n">
        <v>18369</v>
      </c>
      <c r="C18371" t="inlineStr">
        <is>
          <t>KV Tây Nam Bộ - Giám đốc/Chuyên viên Quan hệ khách hàng Doanh nghiệp</t>
        </is>
      </c>
      <c r="D18371" t="inlineStr">
        <is>
          <t>BVBank - Ngân hàng Bản Việt</t>
        </is>
      </c>
      <c r="E18371" t="inlineStr">
        <is>
          <t>Lương:Cạnh tranh</t>
        </is>
      </c>
      <c r="F18371" t="inlineStr">
        <is>
          <t>Cần ThơAn GiangĐồng Tháp</t>
        </is>
      </c>
      <c r="G18371" t="inlineStr">
        <is>
          <t>30-03-2026</t>
        </is>
      </c>
      <c r="H18371" t="inlineStr">
        <is>
          <t>30/03/2026</t>
        </is>
      </c>
      <c r="I18371" t="inlineStr">
        <is>
          <t>17/03/2026</t>
        </is>
      </c>
      <c r="J18371" t="inlineStr">
        <is>
          <t>Ngân hàng, Tài chính / Đầu tư, Bán hàng / Kinh doanh</t>
        </is>
      </c>
      <c r="K18371" t="inlineStr">
        <is>
          <t>1 - 2 Năm</t>
        </is>
      </c>
      <c r="L18371" s="8">
        <f>HYPERLINK("https://careerviet.vn/vi/tim-viec-lam/kv-tay-nam-bo-giam-doc-chuyen-vien-quan-he-khach-hang-doanh-nghiep.35C643FA.html","Xem chi tiết")</f>
        <v/>
      </c>
    </row>
    <row r="18372">
      <c r="B18372" s="9" t="n">
        <v>18370</v>
      </c>
      <c r="C18372" s="10" t="inlineStr">
        <is>
          <t>Nhân viên QA Hồ sơ - Ngành dược (Làm việc tại Củ Chi- Tp. HCM)</t>
        </is>
      </c>
      <c r="D18372" s="10" t="inlineStr">
        <is>
          <t>Công ty TNHH Bình Việt Đức (BIVID)</t>
        </is>
      </c>
      <c r="E18372" s="10" t="inlineStr">
        <is>
          <t>Lương:Cạnh tranh</t>
        </is>
      </c>
      <c r="F18372" s="10" t="inlineStr">
        <is>
          <t>Hồ Chí Minh</t>
        </is>
      </c>
      <c r="G18372" s="10" t="inlineStr">
        <is>
          <t>30-03-2026</t>
        </is>
      </c>
      <c r="H18372" s="10" t="inlineStr">
        <is>
          <t>30/03/2026</t>
        </is>
      </c>
      <c r="I18372" s="10" t="inlineStr">
        <is>
          <t>17/03/2026</t>
        </is>
      </c>
      <c r="J18372" s="10" t="inlineStr">
        <is>
          <t>Dược phẩm/ Hóa Mỹ Phẩm, Sản xuất / Vận hành sản xuất, Quản lý chất lượng (QA/QC)</t>
        </is>
      </c>
      <c r="K18372" s="10" t="inlineStr">
        <is>
          <t>Trên 2 Năm</t>
        </is>
      </c>
      <c r="L18372" s="11">
        <f>HYPERLINK("https://careerviet.vn/vi/tim-viec-lam/nhan-vien-qa-ho-so-nganh-duoc-lam-viec-tai-cu-chi-tp-hcm.35C643E9.html","Xem chi tiết")</f>
        <v/>
      </c>
      <c r="M18372" s="10" t="n"/>
    </row>
    <row r="18373">
      <c r="B18373" s="7" t="n">
        <v>18371</v>
      </c>
      <c r="C18373" t="inlineStr">
        <is>
          <t>Kỹ Thuật Viên Vận Hành Máy (Nhà máy Bình Dương)</t>
        </is>
      </c>
      <c r="D18373" t="inlineStr">
        <is>
          <t>PepsiCo Foods Vietnam Company</t>
        </is>
      </c>
      <c r="E18373" t="inlineStr">
        <is>
          <t>Lương:Cạnh tranh</t>
        </is>
      </c>
      <c r="F18373" t="inlineStr">
        <is>
          <t>Bình Dương</t>
        </is>
      </c>
      <c r="G18373" t="inlineStr">
        <is>
          <t>30-03-2026</t>
        </is>
      </c>
      <c r="H18373" t="inlineStr">
        <is>
          <t>30/03/2026</t>
        </is>
      </c>
      <c r="I18373" t="inlineStr">
        <is>
          <t>17/03/2026</t>
        </is>
      </c>
      <c r="J18373" t="inlineStr">
        <is>
          <t>Thực phẩm &amp; Đồ uống, Sản xuất / Vận hành sản xuất, Bảo trì / Sửa chữa</t>
        </is>
      </c>
      <c r="K18373" t="inlineStr">
        <is>
          <t>1 - 3 Năm</t>
        </is>
      </c>
      <c r="L18373" s="8">
        <f>HYPERLINK("https://careerviet.vn/vi/tim-viec-lam/ky-thuat-vien-van-hanh-may-nha-may-binh-duong.35C66E67.html","Xem chi tiết")</f>
        <v/>
      </c>
    </row>
    <row r="18374">
      <c r="B18374" s="9" t="n">
        <v>18372</v>
      </c>
      <c r="C18374" s="10" t="inlineStr">
        <is>
          <t>Giám Sát Kỹ Thuật Tòa Nhà (Tây Ninh)</t>
        </is>
      </c>
      <c r="D18374" s="10" t="inlineStr">
        <is>
          <t>LOTTE VIETNAM SHOPPING JOINT STOCK COMPANY</t>
        </is>
      </c>
      <c r="E18374" s="10" t="inlineStr">
        <is>
          <t>Lương:Cạnh tranh</t>
        </is>
      </c>
      <c r="F18374" s="10" t="inlineStr">
        <is>
          <t>Tây NinhBắc Giang</t>
        </is>
      </c>
      <c r="G18374" s="10" t="inlineStr">
        <is>
          <t>30-03-2026</t>
        </is>
      </c>
      <c r="H18374" s="10" t="inlineStr">
        <is>
          <t>30/03/2026</t>
        </is>
      </c>
      <c r="I18374" s="10" t="inlineStr">
        <is>
          <t>17/03/2026</t>
        </is>
      </c>
      <c r="J18374" s="10" t="inlineStr">
        <is>
          <t>Điện / Điện tử / Điện lạnh / Điện công nghiệp</t>
        </is>
      </c>
      <c r="K18374" s="10" t="inlineStr">
        <is>
          <t>3 - 5 Năm</t>
        </is>
      </c>
      <c r="L18374" s="11">
        <f>HYPERLINK("https://careerviet.vn/vi/tim-viec-lam/giam-sat-ky-thuat-toa-nha-tay-ninh.35C66F24.html","Xem chi tiết")</f>
        <v/>
      </c>
      <c r="M18374" s="10" t="n"/>
    </row>
    <row r="18375">
      <c r="B18375" s="7" t="n">
        <v>18373</v>
      </c>
      <c r="C18375" t="inlineStr">
        <is>
          <t>Nhân Viên Kỹ Thuật Bảo Trì Điện</t>
        </is>
      </c>
      <c r="D18375" t="inlineStr">
        <is>
          <t>CÔNG TY TNHH THƯƠNG MẠI DỊCH VỤ FORTUNE</t>
        </is>
      </c>
      <c r="E18375" t="inlineStr">
        <is>
          <t>Lương:8 Tr - 15 Tr VND</t>
        </is>
      </c>
      <c r="F18375" t="inlineStr">
        <is>
          <t>Hồ Chí Minh</t>
        </is>
      </c>
      <c r="G18375" t="inlineStr">
        <is>
          <t>30-03-2026</t>
        </is>
      </c>
      <c r="H18375" t="inlineStr">
        <is>
          <t>30/03/2026</t>
        </is>
      </c>
      <c r="I18375" t="inlineStr">
        <is>
          <t>17/03/2026</t>
        </is>
      </c>
      <c r="J18375" t="inlineStr">
        <is>
          <t>Điện / Điện tử / Điện lạnh / Điện công nghiệp, Bảo trì / Sửa chữa</t>
        </is>
      </c>
      <c r="K18375" t="inlineStr">
        <is>
          <t>N/A</t>
        </is>
      </c>
      <c r="L18375" s="8">
        <f>HYPERLINK("https://careerviet.vn/vi/tim-viec-lam/nhan-vien-ky-thuat-bao-tri-dien.35C66EFE.html","Xem chi tiết")</f>
        <v/>
      </c>
    </row>
    <row r="18376">
      <c r="B18376" s="9" t="n">
        <v>18374</v>
      </c>
      <c r="C18376" s="10" t="inlineStr">
        <is>
          <t>KỸ SƯ AN TOÀN LAO ĐỘNG</t>
        </is>
      </c>
      <c r="D18376" s="10" t="inlineStr">
        <is>
          <t>CÔNG TY CỔ PHẦN FECON SOUTH</t>
        </is>
      </c>
      <c r="E18376" s="10" t="inlineStr">
        <is>
          <t>Lương:17 Tr - 25 Tr VND</t>
        </is>
      </c>
      <c r="F18376" s="10" t="inlineStr">
        <is>
          <t>Hồ Chí Minh</t>
        </is>
      </c>
      <c r="G18376" s="10" t="inlineStr">
        <is>
          <t>30-03-2026</t>
        </is>
      </c>
      <c r="H18376" s="10" t="inlineStr">
        <is>
          <t>30/03/2026</t>
        </is>
      </c>
      <c r="I18376" s="10" t="inlineStr">
        <is>
          <t>17/03/2026</t>
        </is>
      </c>
      <c r="J18376" s="10" t="inlineStr">
        <is>
          <t>Kiến trúc, Xây dựng, An toàn lao động</t>
        </is>
      </c>
      <c r="K18376" s="10" t="inlineStr">
        <is>
          <t>2 - 5 Năm</t>
        </is>
      </c>
      <c r="L18376" s="11">
        <f>HYPERLINK("https://careerviet.vn/vi/tim-viec-lam/ky-su-an-toan-lao-dong.35C66E29.html","Xem chi tiết")</f>
        <v/>
      </c>
      <c r="M18376" s="10" t="n"/>
    </row>
    <row r="18377">
      <c r="B18377" s="7" t="n">
        <v>18375</v>
      </c>
      <c r="C18377" t="inlineStr">
        <is>
          <t>Trưởng bộ phận kho vận</t>
        </is>
      </c>
      <c r="D18377" t="inlineStr">
        <is>
          <t>CÔNG TY TNHH GIP GROUP</t>
        </is>
      </c>
      <c r="E18377" t="inlineStr">
        <is>
          <t>Lương:40 Tr - 60 Tr VND</t>
        </is>
      </c>
      <c r="F18377" t="inlineStr">
        <is>
          <t>Hà Nội</t>
        </is>
      </c>
      <c r="G18377" t="inlineStr">
        <is>
          <t>30-03-2026</t>
        </is>
      </c>
      <c r="H18377" t="inlineStr">
        <is>
          <t>30/03/2026</t>
        </is>
      </c>
      <c r="I18377" t="inlineStr">
        <is>
          <t>17/03/2026</t>
        </is>
      </c>
      <c r="J18377" t="inlineStr">
        <is>
          <t>Thương mại điện tử, Vận chuyển / Giao nhận / Kho vận, Quản lý điều hành</t>
        </is>
      </c>
      <c r="K18377" t="inlineStr">
        <is>
          <t>3 - 5 Năm</t>
        </is>
      </c>
      <c r="L18377" s="8">
        <f>HYPERLINK("https://careerviet.vn/vi/tim-viec-lam/truong-bo-phan-kho-van.35C66F78.html","Xem chi tiết")</f>
        <v/>
      </c>
    </row>
    <row r="18378">
      <c r="B18378" s="9" t="n">
        <v>18376</v>
      </c>
      <c r="C18378" s="10" t="inlineStr">
        <is>
          <t>Product Manager</t>
        </is>
      </c>
      <c r="D18378" s="10" t="inlineStr">
        <is>
          <t>CÔNG TY CỔ PHẦN GIẢI PHÁP GENE - GENE SOLUTIONS</t>
        </is>
      </c>
      <c r="E18378" s="10" t="inlineStr">
        <is>
          <t>Lương:Cạnh tranh</t>
        </is>
      </c>
      <c r="F18378" s="10" t="inlineStr">
        <is>
          <t>Hồ Chí Minh</t>
        </is>
      </c>
      <c r="G18378" s="10" t="inlineStr">
        <is>
          <t>30-03-2026</t>
        </is>
      </c>
      <c r="H18378" s="10" t="inlineStr">
        <is>
          <t>30/03/2026</t>
        </is>
      </c>
      <c r="I18378" s="10" t="inlineStr">
        <is>
          <t>17/03/2026</t>
        </is>
      </c>
      <c r="J18378" s="10" t="inlineStr">
        <is>
          <t>Dược phẩm/ Hóa Mỹ Phẩm, Y tế / Chăm sóc sức khỏe / Thẩm mỹ / Làm đẹp</t>
        </is>
      </c>
      <c r="K18378" s="10" t="inlineStr">
        <is>
          <t>5 - 7 Năm</t>
        </is>
      </c>
      <c r="L18378" s="11">
        <f>HYPERLINK("https://careerviet.vn/vi/tim-viec-lam/product-manager.35C64350.html","Xem chi tiết")</f>
        <v/>
      </c>
      <c r="M18378" s="10" t="n"/>
    </row>
    <row r="18379">
      <c r="B18379" s="7" t="n">
        <v>18377</v>
      </c>
      <c r="C18379" t="inlineStr">
        <is>
          <t>CHUYÊN VIÊN BRAND &amp; PRODUCT - FMCG</t>
        </is>
      </c>
      <c r="D18379" t="inlineStr">
        <is>
          <t>Công Ty Cổ Phần Phúc Sinh</t>
        </is>
      </c>
      <c r="E18379" t="inlineStr">
        <is>
          <t>Lương:Cạnh tranh</t>
        </is>
      </c>
      <c r="F18379" t="inlineStr">
        <is>
          <t>Hồ Chí Minh</t>
        </is>
      </c>
      <c r="G18379" t="inlineStr">
        <is>
          <t>30-03-2026</t>
        </is>
      </c>
      <c r="H18379" t="inlineStr">
        <is>
          <t>30/03/2026</t>
        </is>
      </c>
      <c r="I18379" t="inlineStr">
        <is>
          <t>17/03/2026</t>
        </is>
      </c>
      <c r="J18379" t="inlineStr">
        <is>
          <t>Thực phẩm &amp; Đồ uống, Tiếp thị trực tuyến, Tiếp thị / Marketing</t>
        </is>
      </c>
      <c r="K18379" t="inlineStr">
        <is>
          <t>3 - 5 Năm</t>
        </is>
      </c>
      <c r="L18379" s="8">
        <f>HYPERLINK("https://careerviet.vn/vi/tim-viec-lam/chuyen-vien-brand-product-fmcg.35C64447.html","Xem chi tiết")</f>
        <v/>
      </c>
    </row>
    <row r="18380">
      <c r="B18380" s="9" t="n">
        <v>18378</v>
      </c>
      <c r="C18380" s="10" t="inlineStr">
        <is>
          <t>Nhân viên kinh doanh - VBI Đông Đô (địa bàn Hà Nội)</t>
        </is>
      </c>
      <c r="D18380" s="10" t="inlineStr">
        <is>
          <t>Tổng Công Ty Cổ Phần Bảo Hiểm Ngân Hàng TMCP Công Thương Việt Nam</t>
        </is>
      </c>
      <c r="E18380" s="10" t="inlineStr">
        <is>
          <t>Lương:Cạnh tranh</t>
        </is>
      </c>
      <c r="F18380" s="10" t="inlineStr">
        <is>
          <t>Hà Nội</t>
        </is>
      </c>
      <c r="G18380" s="10" t="inlineStr">
        <is>
          <t>30-03-2026</t>
        </is>
      </c>
      <c r="H18380" s="10" t="inlineStr">
        <is>
          <t>30/03/2026</t>
        </is>
      </c>
      <c r="I18380" s="10" t="inlineStr">
        <is>
          <t>17/03/2026</t>
        </is>
      </c>
      <c r="J18380" s="10" t="inlineStr">
        <is>
          <t>Bảo hiểm</t>
        </is>
      </c>
      <c r="K18380" s="10" t="inlineStr">
        <is>
          <t>1 - 2 Năm</t>
        </is>
      </c>
      <c r="L18380" s="11">
        <f>HYPERLINK("https://careerviet.vn/vi/tim-viec-lam/nhan-vien-kinh-doanh-vbi-dong-do-dia-ban-ha-noi.35C66F1F.html","Xem chi tiết")</f>
        <v/>
      </c>
      <c r="M18380" s="10" t="n"/>
    </row>
    <row r="18381">
      <c r="B18381" s="7" t="n">
        <v>18379</v>
      </c>
      <c r="C18381" t="inlineStr">
        <is>
          <t>Nhân viên điều phối</t>
        </is>
      </c>
      <c r="D18381" t="inlineStr">
        <is>
          <t>CÔNG TY TNHH EVOLUTION ENTERPRISES</t>
        </is>
      </c>
      <c r="E18381" t="inlineStr">
        <is>
          <t>Lương:8 Tr - 10 Tr VND</t>
        </is>
      </c>
      <c r="F18381" t="inlineStr">
        <is>
          <t>Hồ Chí Minh</t>
        </is>
      </c>
      <c r="G18381" t="inlineStr">
        <is>
          <t>30-03-2026</t>
        </is>
      </c>
      <c r="H18381" t="inlineStr">
        <is>
          <t>30/03/2026</t>
        </is>
      </c>
      <c r="I18381" t="inlineStr">
        <is>
          <t>17/03/2026</t>
        </is>
      </c>
      <c r="J18381" t="inlineStr">
        <is>
          <t>Dệt may / Da giày / Thời trang, Sản xuất / Vận hành sản xuất, Bán hàng / Kinh doanh</t>
        </is>
      </c>
      <c r="K18381" t="inlineStr">
        <is>
          <t>1 - 2 Năm</t>
        </is>
      </c>
      <c r="L18381" s="8">
        <f>HYPERLINK("https://careerviet.vn/vi/tim-viec-lam/nhan-vien-dieu-phoi.35C5A7F8.html","Xem chi tiết")</f>
        <v/>
      </c>
    </row>
    <row r="18382">
      <c r="B18382" s="9" t="n">
        <v>18380</v>
      </c>
      <c r="C18382" s="10" t="inlineStr">
        <is>
          <t>Chuyên viên thanh toán bồi thường con người - Trung tâm DVKH khu vực Phía Bắc - Khối Giám định bồi thường</t>
        </is>
      </c>
      <c r="D18382" s="10" t="inlineStr">
        <is>
          <t>Tổng Công ty Cổ phần Bảo hiểm Quân đội (MIC)</t>
        </is>
      </c>
      <c r="E18382" s="10" t="inlineStr">
        <is>
          <t>Lương:Cạnh tranh</t>
        </is>
      </c>
      <c r="F18382" s="10" t="inlineStr">
        <is>
          <t>Hà Nội</t>
        </is>
      </c>
      <c r="G18382" s="10" t="inlineStr">
        <is>
          <t>30-03-2026</t>
        </is>
      </c>
      <c r="H18382" s="10" t="inlineStr">
        <is>
          <t>30/03/2026</t>
        </is>
      </c>
      <c r="I18382" s="10" t="inlineStr">
        <is>
          <t>17/03/2026</t>
        </is>
      </c>
      <c r="J18382" s="10" t="inlineStr">
        <is>
          <t>Bảo hiểm, Kế toán / Kiểm toán</t>
        </is>
      </c>
      <c r="K18382" s="10" t="inlineStr">
        <is>
          <t>1 - 10 Năm</t>
        </is>
      </c>
      <c r="L18382" s="11">
        <f>HYPERLINK("https://careerviet.vn/vi/tim-viec-lam/chuyen-vien-thanh-toan-boi-thuong-con-nguoi-trung-tam-dvkh-khu-vuc-phia-bac-khoi-giam-dinh-boi-thuong.35C643EC.html","Xem chi tiết")</f>
        <v/>
      </c>
      <c r="M18382" s="10" t="n"/>
    </row>
    <row r="18383">
      <c r="B18383" s="7" t="n">
        <v>18381</v>
      </c>
      <c r="C18383" t="inlineStr">
        <is>
          <t>[BIÊN HÒA] TRƯỞNG NHÓM TUYỂN DỤNG</t>
        </is>
      </c>
      <c r="D18383" t="inlineStr">
        <is>
          <t>Công Ty TNHH CJ Vina Agri</t>
        </is>
      </c>
      <c r="E18383" t="inlineStr">
        <is>
          <t>Lương:Cạnh tranh</t>
        </is>
      </c>
      <c r="F18383" t="inlineStr">
        <is>
          <t>Đồng Nai</t>
        </is>
      </c>
      <c r="G18383" t="inlineStr">
        <is>
          <t>30-03-2026</t>
        </is>
      </c>
      <c r="H18383" t="inlineStr">
        <is>
          <t>30/03/2026</t>
        </is>
      </c>
      <c r="I18383" t="inlineStr">
        <is>
          <t>17/03/2026</t>
        </is>
      </c>
      <c r="J18383" t="inlineStr">
        <is>
          <t>Nhân sự</t>
        </is>
      </c>
      <c r="K18383" t="inlineStr">
        <is>
          <t>5 - 7 Năm</t>
        </is>
      </c>
      <c r="L18383" s="8">
        <f>HYPERLINK("https://careerviet.vn/vi/tim-viec-lam/bien-hoa-truong-nhom-tuyen-dung.35C642E6.html","Xem chi tiết")</f>
        <v/>
      </c>
    </row>
    <row r="18384">
      <c r="B18384" s="9" t="n">
        <v>18382</v>
      </c>
      <c r="C18384" s="10" t="inlineStr">
        <is>
          <t>Chuyên Viên Kế Toán Hành Chính tại Ninh Bình</t>
        </is>
      </c>
      <c r="D18384" s="10" t="inlineStr">
        <is>
          <t>Tổng Công Ty Cổ Phần Bảo Hiểm Ngân Hàng TMCP Công Thương Việt Nam</t>
        </is>
      </c>
      <c r="E18384" s="10" t="inlineStr">
        <is>
          <t>Lương:10 Tr - 12 Tr VND</t>
        </is>
      </c>
      <c r="F18384" s="10" t="inlineStr">
        <is>
          <t>Ninh Bình</t>
        </is>
      </c>
      <c r="G18384" s="10" t="inlineStr">
        <is>
          <t>30-03-2026</t>
        </is>
      </c>
      <c r="H18384" s="10" t="inlineStr">
        <is>
          <t>30/03/2026</t>
        </is>
      </c>
      <c r="I18384" s="10" t="inlineStr">
        <is>
          <t>17/03/2026</t>
        </is>
      </c>
      <c r="J18384" s="10" t="inlineStr">
        <is>
          <t>Bảo hiểm, Kế toán / Kiểm toán, Tài chính / Đầu tư</t>
        </is>
      </c>
      <c r="K18384" s="10" t="inlineStr">
        <is>
          <t>1 - 3 Năm</t>
        </is>
      </c>
      <c r="L18384" s="11">
        <f>HYPERLINK("https://careerviet.vn/vi/tim-viec-lam/chuyen-vien-ke-toan-hanh-chinh-tai-ninh-binh.35C66E8B.html","Xem chi tiết")</f>
        <v/>
      </c>
      <c r="M18384" s="10" t="n"/>
    </row>
    <row r="18385">
      <c r="B18385" s="7" t="n">
        <v>18383</v>
      </c>
      <c r="C18385" t="inlineStr">
        <is>
          <t>Kỹ Sư Cơ Điện</t>
        </is>
      </c>
      <c r="D18385" t="inlineStr">
        <is>
          <t>Công ty TNHH Hana E&amp;C</t>
        </is>
      </c>
      <c r="E18385" t="inlineStr">
        <is>
          <t>Lương:18 Tr - 25 Tr VND</t>
        </is>
      </c>
      <c r="F18385" t="inlineStr">
        <is>
          <t>Hà Nội</t>
        </is>
      </c>
      <c r="G18385" t="inlineStr">
        <is>
          <t>30-03-2026</t>
        </is>
      </c>
      <c r="H18385" t="inlineStr">
        <is>
          <t>30/03/2026</t>
        </is>
      </c>
      <c r="I18385" t="inlineStr">
        <is>
          <t>17/03/2026</t>
        </is>
      </c>
      <c r="J18385" t="inlineStr">
        <is>
          <t>Điện / Điện tử / Điện lạnh / Điện công nghiệp, Xây dựng</t>
        </is>
      </c>
      <c r="K18385" t="inlineStr">
        <is>
          <t>Trên 3 Năm</t>
        </is>
      </c>
      <c r="L18385" s="8">
        <f>HYPERLINK("https://careerviet.vn/vi/tim-viec-lam/ky-su-co-dien.35C65CA4.html","Xem chi tiết")</f>
        <v/>
      </c>
    </row>
    <row r="18386">
      <c r="B18386" s="9" t="n">
        <v>18384</v>
      </c>
      <c r="C18386" s="10" t="inlineStr">
        <is>
          <t>Nhân viên chính thức trực Tổng đài nhà mạng Viettel Đà Nẵng</t>
        </is>
      </c>
      <c r="D18386" s="10" t="inlineStr">
        <is>
          <t>BellSystem24-Việt Nam</t>
        </is>
      </c>
      <c r="E18386" s="10" t="inlineStr">
        <is>
          <t>Lương:5 Tr - 8 Tr VND</t>
        </is>
      </c>
      <c r="F18386" s="10" t="inlineStr">
        <is>
          <t>Đà Nẵng</t>
        </is>
      </c>
      <c r="G18386" s="10" t="inlineStr">
        <is>
          <t>30-03-2026</t>
        </is>
      </c>
      <c r="H18386" s="10" t="inlineStr">
        <is>
          <t>30/03/2026</t>
        </is>
      </c>
      <c r="I18386" s="10" t="inlineStr">
        <is>
          <t>17/03/2026</t>
        </is>
      </c>
      <c r="J18386" s="10" t="inlineStr">
        <is>
          <t>Tư vấn, Dịch vụ khách hàng, Lao động phổ thông</t>
        </is>
      </c>
      <c r="K18386" s="10" t="inlineStr">
        <is>
          <t>N/A</t>
        </is>
      </c>
      <c r="L18386" s="11">
        <f>HYPERLINK("https://careerviet.vn/vi/tim-viec-lam/nhan-vien-chinh-thuc-truc-tong-dai-nha-mang-viettel-da-nang.35C66E78.html","Xem chi tiết")</f>
        <v/>
      </c>
      <c r="M18386" s="10" t="n"/>
    </row>
    <row r="18387">
      <c r="B18387" s="7" t="n">
        <v>18385</v>
      </c>
      <c r="C18387" t="inlineStr">
        <is>
          <t>Manufacturing Engineer (DFM)</t>
        </is>
      </c>
      <c r="D18387" t="inlineStr">
        <is>
          <t>Jabil Vietnam</t>
        </is>
      </c>
      <c r="E18387" t="inlineStr">
        <is>
          <t>Lương:20 Tr - 30 Tr VND</t>
        </is>
      </c>
      <c r="F18387" t="inlineStr">
        <is>
          <t>Hồ Chí Minh</t>
        </is>
      </c>
      <c r="G18387" t="inlineStr">
        <is>
          <t>30-03-2026</t>
        </is>
      </c>
      <c r="H18387" t="inlineStr">
        <is>
          <t>30/03/2026</t>
        </is>
      </c>
      <c r="I18387" t="inlineStr">
        <is>
          <t>17/03/2026</t>
        </is>
      </c>
      <c r="J18387" t="inlineStr">
        <is>
          <t>Điện / Điện tử / Điện lạnh / Điện công nghiệp</t>
        </is>
      </c>
      <c r="K18387" t="inlineStr">
        <is>
          <t>2 - 5 Năm</t>
        </is>
      </c>
      <c r="L18387" s="8">
        <f>HYPERLINK("https://careerviet.vn/vi/tim-viec-lam/manufacturing-engineer-dfm.35C66FB0.html","Xem chi tiết")</f>
        <v/>
      </c>
    </row>
    <row r="18388">
      <c r="B18388" s="9" t="n">
        <v>18386</v>
      </c>
      <c r="C18388" s="10" t="inlineStr">
        <is>
          <t>Sales Admin</t>
        </is>
      </c>
      <c r="D18388" s="10" t="inlineStr">
        <is>
          <t>Công ty cổ phần Nu Việt Nam</t>
        </is>
      </c>
      <c r="E18388" s="10" t="inlineStr">
        <is>
          <t>Lương:10 Tr - 13 Tr VND</t>
        </is>
      </c>
      <c r="F18388" s="10" t="inlineStr">
        <is>
          <t>Hà Nội</t>
        </is>
      </c>
      <c r="G18388" s="10" t="inlineStr">
        <is>
          <t>30-03-2026</t>
        </is>
      </c>
      <c r="H18388" s="10" t="inlineStr">
        <is>
          <t>30/03/2026</t>
        </is>
      </c>
      <c r="I18388" s="10" t="inlineStr">
        <is>
          <t>17/03/2026</t>
        </is>
      </c>
      <c r="J18388" s="10" t="inlineStr">
        <is>
          <t>Bán hàng / Kinh doanh, Hành chính / Thư ký, Dệt may / Da giày / Thời trang</t>
        </is>
      </c>
      <c r="K18388" s="10" t="inlineStr">
        <is>
          <t>2 - 5 Năm</t>
        </is>
      </c>
      <c r="L18388" s="11">
        <f>HYPERLINK("https://careerviet.vn/vi/tim-viec-lam/sales-admin.35C66E7D.html","Xem chi tiết")</f>
        <v/>
      </c>
      <c r="M18388" s="10" t="n"/>
    </row>
    <row r="18389">
      <c r="B18389" s="7" t="n">
        <v>18387</v>
      </c>
      <c r="C18389" t="inlineStr">
        <is>
          <t>Head of Solution &amp; Quality Assurance cum Head of Data Analytics &amp; AI</t>
        </is>
      </c>
      <c r="D18389" t="inlineStr">
        <is>
          <t>LOTTE FINANCE VIETNAM</t>
        </is>
      </c>
      <c r="E18389" t="inlineStr">
        <is>
          <t>Lương:Cạnh tranh</t>
        </is>
      </c>
      <c r="F18389" t="inlineStr">
        <is>
          <t>Hà Nội</t>
        </is>
      </c>
      <c r="G18389" t="inlineStr">
        <is>
          <t>30-03-2026</t>
        </is>
      </c>
      <c r="H18389" t="inlineStr">
        <is>
          <t>30/03/2026</t>
        </is>
      </c>
      <c r="I18389" t="inlineStr">
        <is>
          <t>17/03/2026</t>
        </is>
      </c>
      <c r="J18389" t="inlineStr">
        <is>
          <t>CNTT - Phần mềm, Ngân hàng</t>
        </is>
      </c>
      <c r="K18389" t="inlineStr">
        <is>
          <t>Trên 8 Năm</t>
        </is>
      </c>
      <c r="L18389" s="8">
        <f>HYPERLINK("https://careerviet.vn/vi/tim-viec-lam/head-of-solution-quality-assurance-cum-head-of-data-analytics-ai.35C66E1A.html","Xem chi tiết")</f>
        <v/>
      </c>
    </row>
    <row r="18390">
      <c r="B18390" s="9" t="n">
        <v>18388</v>
      </c>
      <c r="C18390" s="10" t="inlineStr">
        <is>
          <t>Trưởng bộ phận Xây dựng Kiểm soát Hệ thống &amp; Chính sách Chế độ</t>
        </is>
      </c>
      <c r="D18390" s="10" t="inlineStr">
        <is>
          <t>CÔNG TY CỔ PHẦN EUROWINDOW HOLDING</t>
        </is>
      </c>
      <c r="E18390" s="10" t="inlineStr">
        <is>
          <t>Lương:Cạnh tranh</t>
        </is>
      </c>
      <c r="F18390" s="10" t="inlineStr">
        <is>
          <t>Hà Nội</t>
        </is>
      </c>
      <c r="G18390" s="10" t="inlineStr">
        <is>
          <t>30-03-2026</t>
        </is>
      </c>
      <c r="H18390" s="10" t="inlineStr">
        <is>
          <t>30/03/2026</t>
        </is>
      </c>
      <c r="I18390" s="10" t="inlineStr">
        <is>
          <t>17/03/2026</t>
        </is>
      </c>
      <c r="J18390" s="10" t="inlineStr">
        <is>
          <t>Nhân sự</t>
        </is>
      </c>
      <c r="K18390" s="10" t="inlineStr">
        <is>
          <t>5 - 15 Năm</t>
        </is>
      </c>
      <c r="L18390" s="11">
        <f>HYPERLINK("https://careerviet.vn/vi/tim-viec-lam/truong-bo-phan-xay-dung-kiem-soat-he-thong-chinh-sach-che-do.35C66ECE.html","Xem chi tiết")</f>
        <v/>
      </c>
      <c r="M18390" s="10" t="n"/>
    </row>
    <row r="18391">
      <c r="B18391" s="7" t="n">
        <v>18389</v>
      </c>
      <c r="C18391" t="inlineStr">
        <is>
          <t>Import Pricing Executive</t>
        </is>
      </c>
      <c r="D18391" t="inlineStr">
        <is>
          <t>EVERICH VIETNAM</t>
        </is>
      </c>
      <c r="E18391" t="inlineStr">
        <is>
          <t>Lương:Cạnh tranh</t>
        </is>
      </c>
      <c r="F18391" t="inlineStr">
        <is>
          <t>Hồ Chí Minh</t>
        </is>
      </c>
      <c r="G18391" t="inlineStr">
        <is>
          <t>30-03-2026</t>
        </is>
      </c>
      <c r="H18391" t="inlineStr">
        <is>
          <t>30/03/2026</t>
        </is>
      </c>
      <c r="I18391" t="inlineStr">
        <is>
          <t>17/03/2026</t>
        </is>
      </c>
      <c r="J18391" t="inlineStr">
        <is>
          <t>Vận chuyển / Giao nhận / Kho vận, Xuất nhập khẩu, Dịch vụ khách hàng</t>
        </is>
      </c>
      <c r="K18391" t="inlineStr">
        <is>
          <t>Trên 3 Năm</t>
        </is>
      </c>
      <c r="L18391" s="8">
        <f>HYPERLINK("https://careerviet.vn/vi/tim-viec-lam/import-pricing-executive.35C643C9.html","Xem chi tiết")</f>
        <v/>
      </c>
    </row>
    <row r="18392">
      <c r="B18392" s="9" t="n">
        <v>18390</v>
      </c>
      <c r="C18392" s="10" t="inlineStr">
        <is>
          <t>Nhân viên Tiếp tân kiêm Hành chính</t>
        </is>
      </c>
      <c r="D18392" s="10" t="inlineStr">
        <is>
          <t>Công Ty TNHH DV Trợ Thính Quang Đức</t>
        </is>
      </c>
      <c r="E18392" s="10" t="inlineStr">
        <is>
          <t>Lương:Cạnh tranh</t>
        </is>
      </c>
      <c r="F18392" s="10" t="inlineStr">
        <is>
          <t>Hà Nội</t>
        </is>
      </c>
      <c r="G18392" s="10" t="inlineStr">
        <is>
          <t>30-03-2026</t>
        </is>
      </c>
      <c r="H18392" s="10" t="inlineStr">
        <is>
          <t>30/03/2026</t>
        </is>
      </c>
      <c r="I18392" s="10" t="inlineStr">
        <is>
          <t>17/03/2026</t>
        </is>
      </c>
      <c r="J18392" s="10" t="inlineStr">
        <is>
          <t>Bán hàng / Kinh doanh, Kế toán / Kiểm toán, Hành chính / Thư ký</t>
        </is>
      </c>
      <c r="K18392" s="10" t="inlineStr">
        <is>
          <t>Lên đến 1 Năm</t>
        </is>
      </c>
      <c r="L18392" s="11">
        <f>HYPERLINK("https://careerviet.vn/vi/tim-viec-lam/nhan-vien-tiep-tan-kiem-hanh-chinh.35C64320.html","Xem chi tiết")</f>
        <v/>
      </c>
      <c r="M18392" s="10" t="n"/>
    </row>
    <row r="18393">
      <c r="B18393" s="7" t="n">
        <v>18391</v>
      </c>
      <c r="C18393" t="inlineStr">
        <is>
          <t>Kỹ Thuật Viên Bảo Trì</t>
        </is>
      </c>
      <c r="D18393" t="inlineStr">
        <is>
          <t>Công Ty Cổ Phần Cơ Khí Chính Xác VN-J</t>
        </is>
      </c>
      <c r="E18393" t="inlineStr">
        <is>
          <t>Lương:Cạnh tranh</t>
        </is>
      </c>
      <c r="F18393" t="inlineStr">
        <is>
          <t>Hà Nội</t>
        </is>
      </c>
      <c r="G18393" t="inlineStr">
        <is>
          <t>30-03-2026</t>
        </is>
      </c>
      <c r="H18393" t="inlineStr">
        <is>
          <t>30/03/2026</t>
        </is>
      </c>
      <c r="I18393" t="inlineStr">
        <is>
          <t>17/03/2026</t>
        </is>
      </c>
      <c r="J18393" t="inlineStr">
        <is>
          <t>Cơ khí / Ô tô / Tự động hóa, Điện / Điện tử / Điện lạnh / Điện công nghiệp, Bảo trì / Sửa chữa</t>
        </is>
      </c>
      <c r="K18393" t="inlineStr">
        <is>
          <t>1 - 2 Năm</t>
        </is>
      </c>
      <c r="L18393" s="8">
        <f>HYPERLINK("https://careerviet.vn/vi/tim-viec-lam/ky-thuat-vien-bao-tri.35C6427A.html","Xem chi tiết")</f>
        <v/>
      </c>
    </row>
    <row r="18394">
      <c r="B18394" s="9" t="n">
        <v>18392</v>
      </c>
      <c r="C18394" s="10" t="inlineStr">
        <is>
          <t>KV Tây Nguyên - Giám đốc/Chuyên viên Quan hệ khách hàng Cá nhân</t>
        </is>
      </c>
      <c r="D18394" s="10" t="inlineStr">
        <is>
          <t>BVBank - Ngân hàng Bản Việt</t>
        </is>
      </c>
      <c r="E18394" s="10" t="inlineStr">
        <is>
          <t>Lương:Cạnh tranh</t>
        </is>
      </c>
      <c r="F18394" s="10" t="inlineStr">
        <is>
          <t>Dak LakLâm ĐồngGia Lai</t>
        </is>
      </c>
      <c r="G18394" s="10" t="inlineStr">
        <is>
          <t>30-03-2026</t>
        </is>
      </c>
      <c r="H18394" s="10" t="inlineStr">
        <is>
          <t>30/03/2026</t>
        </is>
      </c>
      <c r="I18394" s="10" t="inlineStr">
        <is>
          <t>17/03/2026</t>
        </is>
      </c>
      <c r="J18394" s="10" t="inlineStr">
        <is>
          <t>Ngân hàng, Tài chính / Đầu tư, Bán hàng / Kinh doanh</t>
        </is>
      </c>
      <c r="K18394" s="10" t="inlineStr">
        <is>
          <t>1 - 2 Năm</t>
        </is>
      </c>
      <c r="L18394" s="11">
        <f>HYPERLINK("https://careerviet.vn/vi/tim-viec-lam/kv-tay-nguyen-giam-doc-chuyen-vien-quan-he-khach-hang-ca-nhan.35C643CF.html","Xem chi tiết")</f>
        <v/>
      </c>
      <c r="M18394" s="10" t="n"/>
    </row>
    <row r="18395">
      <c r="B18395" s="7" t="n">
        <v>18393</v>
      </c>
      <c r="C18395" t="inlineStr">
        <is>
          <t>Nhân viên kế toán</t>
        </is>
      </c>
      <c r="D18395" t="inlineStr">
        <is>
          <t>Công ty TNHH Olam Việt Nam</t>
        </is>
      </c>
      <c r="E18395" t="inlineStr">
        <is>
          <t>Lương:Cạnh tranh</t>
        </is>
      </c>
      <c r="F18395" t="inlineStr">
        <is>
          <t>Bình Định</t>
        </is>
      </c>
      <c r="G18395" t="inlineStr">
        <is>
          <t>30-03-2026</t>
        </is>
      </c>
      <c r="H18395" t="inlineStr">
        <is>
          <t>30/03/2026</t>
        </is>
      </c>
      <c r="I18395" t="inlineStr">
        <is>
          <t>17/03/2026</t>
        </is>
      </c>
      <c r="J18395" t="inlineStr">
        <is>
          <t>Thực phẩm &amp; Đồ uống, Nông nghiệp, Công nghệ thực phẩm / Dinh dưỡng</t>
        </is>
      </c>
      <c r="K18395" t="inlineStr">
        <is>
          <t>Trên 2 Năm</t>
        </is>
      </c>
      <c r="L18395" s="8">
        <f>HYPERLINK("https://careerviet.vn/vi/tim-viec-lam/nhan-vien-ke-toan.35C643CC.html","Xem chi tiết")</f>
        <v/>
      </c>
    </row>
    <row r="18396">
      <c r="B18396" s="9" t="n">
        <v>18394</v>
      </c>
      <c r="C18396" s="10" t="inlineStr">
        <is>
          <t>TỔ TRƯỞNG ĐÓNG GÓI</t>
        </is>
      </c>
      <c r="D18396" s="10" t="inlineStr">
        <is>
          <t>Công ty CP Thành Thành Công - Biên Hòa</t>
        </is>
      </c>
      <c r="E18396" s="10" t="inlineStr">
        <is>
          <t>Lương:Cạnh tranh</t>
        </is>
      </c>
      <c r="F18396" s="10" t="inlineStr">
        <is>
          <t>Tây Ninh</t>
        </is>
      </c>
      <c r="G18396" s="10" t="inlineStr">
        <is>
          <t>30-03-2026</t>
        </is>
      </c>
      <c r="H18396" s="10" t="inlineStr">
        <is>
          <t>30/03/2026</t>
        </is>
      </c>
      <c r="I18396" s="10" t="inlineStr">
        <is>
          <t>17/03/2026</t>
        </is>
      </c>
      <c r="J18396" s="10" t="inlineStr">
        <is>
          <t>Nông nghiệp</t>
        </is>
      </c>
      <c r="K18396" s="10" t="inlineStr">
        <is>
          <t>1 - 2 Năm</t>
        </is>
      </c>
      <c r="L18396" s="11">
        <f>HYPERLINK("https://careerviet.vn/vi/tim-viec-lam/to-truong-dong-goi.35C66FB4.html","Xem chi tiết")</f>
        <v/>
      </c>
      <c r="M18396" s="10" t="n"/>
    </row>
    <row r="18397">
      <c r="B18397" s="7" t="n">
        <v>18395</v>
      </c>
      <c r="C18397" t="inlineStr">
        <is>
          <t>Trưởng Bộ Phận Canh Tác</t>
        </is>
      </c>
      <c r="D18397" t="inlineStr">
        <is>
          <t>Công ty CP Thành Thành Công - Biên Hòa</t>
        </is>
      </c>
      <c r="E18397" t="inlineStr">
        <is>
          <t>Lương:16 Tr - 20 Tr VND</t>
        </is>
      </c>
      <c r="F18397" t="inlineStr">
        <is>
          <t>Tây Ninh</t>
        </is>
      </c>
      <c r="G18397" t="inlineStr">
        <is>
          <t>30-03-2026</t>
        </is>
      </c>
      <c r="H18397" t="inlineStr">
        <is>
          <t>30/03/2026</t>
        </is>
      </c>
      <c r="I18397" t="inlineStr">
        <is>
          <t>17/03/2026</t>
        </is>
      </c>
      <c r="J18397" t="inlineStr">
        <is>
          <t>Chăn nuôi / Thú y, Nông nghiệp</t>
        </is>
      </c>
      <c r="K18397" t="inlineStr">
        <is>
          <t>1 - 2 Năm</t>
        </is>
      </c>
      <c r="L18397" s="8">
        <f>HYPERLINK("https://careerviet.vn/vi/tim-viec-lam/truong-bo-phan-canh-tac.35C66FB3.html","Xem chi tiết")</f>
        <v/>
      </c>
    </row>
    <row r="18398">
      <c r="B18398" s="9" t="n">
        <v>18396</v>
      </c>
      <c r="C18398" s="10" t="inlineStr">
        <is>
          <t>Business Development Executive</t>
        </is>
      </c>
      <c r="D18398" s="10" t="inlineStr">
        <is>
          <t>CÔNG TY CỔ PHẦN GREEN SPEED</t>
        </is>
      </c>
      <c r="E18398" s="10" t="inlineStr">
        <is>
          <t>Lương:16 Tr - 20 Tr VND</t>
        </is>
      </c>
      <c r="F18398" s="10" t="inlineStr">
        <is>
          <t>Hồ Chí Minh</t>
        </is>
      </c>
      <c r="G18398" s="10" t="inlineStr">
        <is>
          <t>30-03-2026</t>
        </is>
      </c>
      <c r="H18398" s="10" t="inlineStr">
        <is>
          <t>30/03/2026</t>
        </is>
      </c>
      <c r="I18398" s="10" t="inlineStr">
        <is>
          <t>17/03/2026</t>
        </is>
      </c>
      <c r="J18398" s="10" t="inlineStr">
        <is>
          <t>Bán hàng / Kinh doanh</t>
        </is>
      </c>
      <c r="K18398" s="10" t="inlineStr">
        <is>
          <t>1 - 3 Năm</t>
        </is>
      </c>
      <c r="L18398" s="11">
        <f>HYPERLINK("https://careerviet.vn/vi/tim-viec-lam/business-development-executive.35C66F06.html","Xem chi tiết")</f>
        <v/>
      </c>
      <c r="M18398" s="10" t="n"/>
    </row>
    <row r="18399">
      <c r="B18399" s="7" t="n">
        <v>18397</v>
      </c>
      <c r="C18399" t="inlineStr">
        <is>
          <t>Kỹ sư Tự động hóa triển khai phần mềm</t>
        </is>
      </c>
      <c r="D18399" t="inlineStr">
        <is>
          <t>Bảo mật</t>
        </is>
      </c>
      <c r="E18399" t="inlineStr">
        <is>
          <t>Lương:15 Tr - 30 Tr VND</t>
        </is>
      </c>
      <c r="F18399" t="inlineStr">
        <is>
          <t>Hà Nội</t>
        </is>
      </c>
      <c r="G18399" t="inlineStr">
        <is>
          <t>30-03-2026</t>
        </is>
      </c>
      <c r="H18399" t="inlineStr">
        <is>
          <t>30/03/2026</t>
        </is>
      </c>
      <c r="I18399" t="inlineStr">
        <is>
          <t>17/03/2026</t>
        </is>
      </c>
      <c r="J18399" t="inlineStr">
        <is>
          <t>Cơ khí / Ô tô / Tự động hóa, Điện / Điện tử / Điện lạnh / Điện công nghiệp</t>
        </is>
      </c>
      <c r="K18399" t="inlineStr">
        <is>
          <t>1 - 2 Năm</t>
        </is>
      </c>
      <c r="L18399" s="8">
        <f>HYPERLINK("https://careerviet.vn/vi/tim-viec-lam/ky-su-tu-dong-hoa-trien-khai-phan-mem.35C66E26.html","Xem chi tiết")</f>
        <v/>
      </c>
    </row>
    <row r="18400">
      <c r="B18400" s="9" t="n">
        <v>18398</v>
      </c>
      <c r="C18400" s="10" t="inlineStr">
        <is>
          <t>CVCC Quản trị tuân thủ &amp; Kiểm soát pháp lý - Hà Nội - TA125 - ID277</t>
        </is>
      </c>
      <c r="D18400" s="10" t="inlineStr">
        <is>
          <t>Ngân Hàng TMCP Việt Nam Thịnh Vượng - VPBANK</t>
        </is>
      </c>
      <c r="E18400" s="10" t="inlineStr">
        <is>
          <t>Lương:20 Tr - 25 Tr VND</t>
        </is>
      </c>
      <c r="F18400" s="10" t="inlineStr">
        <is>
          <t>Hà Nội</t>
        </is>
      </c>
      <c r="G18400" s="10" t="inlineStr">
        <is>
          <t>30-03-2026</t>
        </is>
      </c>
      <c r="H18400" s="10" t="inlineStr">
        <is>
          <t>30/03/2026</t>
        </is>
      </c>
      <c r="I18400" s="10" t="inlineStr">
        <is>
          <t>17/03/2026</t>
        </is>
      </c>
      <c r="J18400" s="10" t="inlineStr">
        <is>
          <t>Luật / Pháp lý, Ngân hàng, Tài chính / Đầu tư</t>
        </is>
      </c>
      <c r="K18400" s="10" t="inlineStr">
        <is>
          <t>Chưa có kinh nghiệm</t>
        </is>
      </c>
      <c r="L18400" s="11">
        <f>HYPERLINK("https://careerviet.vn/vi/tim-viec-lam/cvcc-quan-tri-tuan-thu-kiem-soat-phap-ly-ha-noi-ta125-id277.35C66E55.html","Xem chi tiết")</f>
        <v/>
      </c>
      <c r="M18400" s="10" t="n"/>
    </row>
    <row r="18401">
      <c r="B18401" s="7" t="n">
        <v>18399</v>
      </c>
      <c r="C18401" t="inlineStr">
        <is>
          <t>Đại Diện Quản Lý Chất Lượng - QMR</t>
        </is>
      </c>
      <c r="D18401" t="inlineStr">
        <is>
          <t>CareerViet's client</t>
        </is>
      </c>
      <c r="E18401" t="inlineStr">
        <is>
          <t>Lương:25 Tr - 35 Tr VND</t>
        </is>
      </c>
      <c r="F18401" t="inlineStr">
        <is>
          <t>Hưng Yên</t>
        </is>
      </c>
      <c r="G18401" t="inlineStr">
        <is>
          <t>31-03-2026</t>
        </is>
      </c>
      <c r="H18401" t="inlineStr">
        <is>
          <t>31/03/2026</t>
        </is>
      </c>
      <c r="I18401" t="inlineStr">
        <is>
          <t>17/03/2026</t>
        </is>
      </c>
      <c r="J18401" t="inlineStr">
        <is>
          <t>Quản lý điều hành, Sản xuất / Vận hành sản xuất, Quản lý chất lượng (QA/QC)</t>
        </is>
      </c>
      <c r="K18401" t="inlineStr">
        <is>
          <t>Trên 5 Năm</t>
        </is>
      </c>
      <c r="L18401" s="8">
        <f>HYPERLINK("https://careerviet.vn/vi/tim-viec-lam/dai-dien-quan-ly-chat-luong-qmr.35C68C09.html","Xem chi tiết")</f>
        <v/>
      </c>
    </row>
    <row r="18402">
      <c r="B18402" s="9" t="n">
        <v>18400</v>
      </c>
      <c r="C18402" s="10" t="inlineStr">
        <is>
          <t>Recruitment Manager (Strategic Delivery &amp; Client Growth)</t>
        </is>
      </c>
      <c r="D18402" s="10" t="inlineStr">
        <is>
          <t>CÔNG TY TNHH LANGUAGE TALENT SOLUTIONS</t>
        </is>
      </c>
      <c r="E18402" s="10" t="inlineStr">
        <is>
          <t>Lương:Cạnh tranh</t>
        </is>
      </c>
      <c r="F18402" s="10" t="inlineStr">
        <is>
          <t>Hồ Chí Minh</t>
        </is>
      </c>
      <c r="G18402" s="10" t="inlineStr">
        <is>
          <t>3</t>
        </is>
      </c>
      <c r="H18402" s="10" t="inlineStr">
        <is>
          <t>20/03/2026</t>
        </is>
      </c>
      <c r="I18402" s="10" t="inlineStr">
        <is>
          <t>17/03/2026</t>
        </is>
      </c>
      <c r="J18402" s="10" t="inlineStr">
        <is>
          <t>Tư vấn, Nhân sự, Dịch vụ khách hàng</t>
        </is>
      </c>
      <c r="K18402" s="10" t="inlineStr">
        <is>
          <t>6 - 10 Năm</t>
        </is>
      </c>
      <c r="L18402" s="11">
        <f>HYPERLINK("https://careerviet.vn/vi/tim-viec-lam/recruitment-manager-strategic-delivery-client-growth.35C68C1A.html","Xem chi tiết")</f>
        <v/>
      </c>
      <c r="M18402" s="10" t="n"/>
    </row>
    <row r="18403">
      <c r="B18403" s="7" t="n">
        <v>18401</v>
      </c>
      <c r="C18403" t="inlineStr">
        <is>
          <t>Trợ lý - Giám đốc Kinh doanh Miền Nam</t>
        </is>
      </c>
      <c r="D18403" t="inlineStr">
        <is>
          <t>Ngân Hàng TMCP Việt Nam Thịnh Vượng - VPBANK</t>
        </is>
      </c>
      <c r="E18403" t="inlineStr">
        <is>
          <t>Lương:Cạnh tranh</t>
        </is>
      </c>
      <c r="F18403" t="inlineStr">
        <is>
          <t>Hồ Chí Minh</t>
        </is>
      </c>
      <c r="G18403" t="inlineStr">
        <is>
          <t>30-03-2026</t>
        </is>
      </c>
      <c r="H18403" t="inlineStr">
        <is>
          <t>30/03/2026</t>
        </is>
      </c>
      <c r="I18403" t="inlineStr">
        <is>
          <t>17/03/2026</t>
        </is>
      </c>
      <c r="J18403" t="inlineStr">
        <is>
          <t>Hành chính / Thư ký, Ngân hàng</t>
        </is>
      </c>
      <c r="K18403" t="inlineStr">
        <is>
          <t>3 - 4 Năm</t>
        </is>
      </c>
      <c r="L18403" s="8">
        <f>HYPERLINK("https://careerviet.vn/vi/tim-viec-lam/tro-ly-giam-doc-kinh-doanh-mien-nam.35C66E35.html","Xem chi tiết")</f>
        <v/>
      </c>
    </row>
    <row r="18404">
      <c r="B18404" s="9" t="n">
        <v>18402</v>
      </c>
      <c r="C18404" s="10" t="inlineStr">
        <is>
          <t>Trưởng trung tâm phân phối</t>
        </is>
      </c>
      <c r="D18404" s="10" t="inlineStr">
        <is>
          <t>CÔNG TY TNHH TÚ PHƯỢNG TONY</t>
        </is>
      </c>
      <c r="E18404" s="10" t="inlineStr">
        <is>
          <t>Lương:20 Tr - 28 Tr VND</t>
        </is>
      </c>
      <c r="F18404" s="10" t="inlineStr">
        <is>
          <t>Hà NộiCần Thơ</t>
        </is>
      </c>
      <c r="G18404" s="10" t="inlineStr">
        <is>
          <t>31-03-2026</t>
        </is>
      </c>
      <c r="H18404" s="10" t="inlineStr">
        <is>
          <t>31/03/2026</t>
        </is>
      </c>
      <c r="I18404" s="10" t="inlineStr">
        <is>
          <t>17/03/2026</t>
        </is>
      </c>
      <c r="J18404" s="10" t="inlineStr">
        <is>
          <t>Bán lẻ / Bán sỉ, Vận chuyển / Giao nhận / Kho vận, Bán hàng / Kinh doanh</t>
        </is>
      </c>
      <c r="K18404" s="10" t="inlineStr">
        <is>
          <t>Trên 3 Năm</t>
        </is>
      </c>
      <c r="L18404" s="11">
        <f>HYPERLINK("https://careerviet.vn/vi/tim-viec-lam/truong-trung-tam-phan-phoi.35C69DC0.html","Xem chi tiết")</f>
        <v/>
      </c>
      <c r="M18404" s="10" t="n"/>
    </row>
    <row r="18405">
      <c r="B18405" s="7" t="n">
        <v>18403</v>
      </c>
      <c r="C18405" t="inlineStr">
        <is>
          <t>[HO] MIS - KPI REPORTING</t>
        </is>
      </c>
      <c r="D18405" t="inlineStr">
        <is>
          <t>Shinhan Bank Vietnam</t>
        </is>
      </c>
      <c r="E18405" t="inlineStr">
        <is>
          <t>Lương:Cạnh tranh</t>
        </is>
      </c>
      <c r="F18405" t="inlineStr">
        <is>
          <t>Hồ Chí Minh</t>
        </is>
      </c>
      <c r="G18405" t="inlineStr">
        <is>
          <t>30-03-2026</t>
        </is>
      </c>
      <c r="H18405" t="inlineStr">
        <is>
          <t>30/03/2026</t>
        </is>
      </c>
      <c r="I18405" t="inlineStr">
        <is>
          <t>17/03/2026</t>
        </is>
      </c>
      <c r="J18405" t="inlineStr">
        <is>
          <t>Ngân hàng</t>
        </is>
      </c>
      <c r="K18405" t="inlineStr">
        <is>
          <t>Trên 1 Năm</t>
        </is>
      </c>
      <c r="L18405" s="8">
        <f>HYPERLINK("https://careerviet.vn/vi/tim-viec-lam/ho-mis-kpi-reporting.35C66F34.html","Xem chi tiết")</f>
        <v/>
      </c>
    </row>
    <row r="18406">
      <c r="B18406" s="9" t="n">
        <v>18404</v>
      </c>
      <c r="C18406" s="10" t="inlineStr">
        <is>
          <t>Giám sát kho</t>
        </is>
      </c>
      <c r="D18406" s="10" t="inlineStr">
        <is>
          <t>CÔNG TY TNHH NÔNG SẢN QUỐC TẾ ĐỨC VINH</t>
        </is>
      </c>
      <c r="E18406" s="10" t="inlineStr">
        <is>
          <t>Lương:Cạnh tranh</t>
        </is>
      </c>
      <c r="F18406" s="10" t="inlineStr">
        <is>
          <t>Long An</t>
        </is>
      </c>
      <c r="G18406" s="10" t="inlineStr">
        <is>
          <t>3</t>
        </is>
      </c>
      <c r="H18406" s="10" t="inlineStr">
        <is>
          <t>20/03/2026</t>
        </is>
      </c>
      <c r="I18406" s="10" t="inlineStr">
        <is>
          <t>17/03/2026</t>
        </is>
      </c>
      <c r="J18406" s="10" t="inlineStr">
        <is>
          <t>Vận chuyển / Giao nhận / Kho vận</t>
        </is>
      </c>
      <c r="K18406" s="10" t="inlineStr">
        <is>
          <t>2 - 3 Năm</t>
        </is>
      </c>
      <c r="L18406" s="11">
        <f>HYPERLINK("https://careerviet.vn/vi/tim-viec-lam/giam-sat-kho.35C68C11.html","Xem chi tiết")</f>
        <v/>
      </c>
      <c r="M18406" s="10" t="n"/>
    </row>
    <row r="18407">
      <c r="B18407" s="7" t="n">
        <v>18405</v>
      </c>
      <c r="C18407" t="inlineStr">
        <is>
          <t>NHÂN VIÊN PHÁP CHẾ</t>
        </is>
      </c>
      <c r="D18407" t="inlineStr">
        <is>
          <t>Công ty Cổ phần Mạc Tích (MARTECH)</t>
        </is>
      </c>
      <c r="E18407" t="inlineStr">
        <is>
          <t>Lương:Cạnh tranh</t>
        </is>
      </c>
      <c r="F18407" t="inlineStr">
        <is>
          <t>Hồ Chí Minh</t>
        </is>
      </c>
      <c r="G18407" t="inlineStr">
        <is>
          <t>31-03-2026</t>
        </is>
      </c>
      <c r="H18407" t="inlineStr">
        <is>
          <t>31/03/2026</t>
        </is>
      </c>
      <c r="I18407" t="inlineStr">
        <is>
          <t>17/03/2026</t>
        </is>
      </c>
      <c r="J18407" t="inlineStr">
        <is>
          <t>Luật / Pháp lý, Sản xuất / Vận hành sản xuất</t>
        </is>
      </c>
      <c r="K18407" t="inlineStr">
        <is>
          <t>1 - 2 Năm</t>
        </is>
      </c>
      <c r="L18407" s="8">
        <f>HYPERLINK("https://careerviet.vn/vi/tim-viec-lam/nhan-vien-phap-che.35C69EC7.html","Xem chi tiết")</f>
        <v/>
      </c>
    </row>
    <row r="18408">
      <c r="B18408" s="9" t="n">
        <v>18406</v>
      </c>
      <c r="C18408" s="10" t="inlineStr">
        <is>
          <t>Kế toán tổng hợp</t>
        </is>
      </c>
      <c r="D18408" s="10" t="inlineStr">
        <is>
          <t>Công ty Cổ phần Tập đoàn Gỗ Minh Long</t>
        </is>
      </c>
      <c r="E18408" s="10" t="inlineStr">
        <is>
          <t>Lương:18 Tr - 20 Tr VND</t>
        </is>
      </c>
      <c r="F18408" s="10" t="inlineStr">
        <is>
          <t>Hưng YênHà Nội</t>
        </is>
      </c>
      <c r="G18408" s="10" t="inlineStr">
        <is>
          <t>31-03-2026</t>
        </is>
      </c>
      <c r="H18408" s="10" t="inlineStr">
        <is>
          <t>31/03/2026</t>
        </is>
      </c>
      <c r="I18408" s="10" t="inlineStr">
        <is>
          <t>17/03/2026</t>
        </is>
      </c>
      <c r="J18408" s="10" t="inlineStr">
        <is>
          <t>Kế toán / Kiểm toán</t>
        </is>
      </c>
      <c r="K18408" s="10" t="inlineStr">
        <is>
          <t>3 - 4 Năm</t>
        </is>
      </c>
      <c r="L18408" s="11">
        <f>HYPERLINK("https://careerviet.vn/vi/tim-viec-lam/ke-toan-tong-hop.35C5CBE7.html","Xem chi tiết")</f>
        <v/>
      </c>
      <c r="M18408" s="10" t="n"/>
    </row>
    <row r="18409">
      <c r="B18409" s="7" t="n">
        <v>18407</v>
      </c>
      <c r="C18409" t="inlineStr">
        <is>
          <t>User Acquisition (Mobile App/All levels accepted)</t>
        </is>
      </c>
      <c r="D18409" t="inlineStr">
        <is>
          <t>CÔNG TY TNHH SCIFATE VN</t>
        </is>
      </c>
      <c r="E18409" t="inlineStr">
        <is>
          <t>Lương:Cạnh tranh</t>
        </is>
      </c>
      <c r="F18409" t="inlineStr">
        <is>
          <t>Hồ Chí Minh</t>
        </is>
      </c>
      <c r="G18409" t="inlineStr">
        <is>
          <t>05-03-2026</t>
        </is>
      </c>
      <c r="H18409" t="inlineStr">
        <is>
          <t>14/03/2026</t>
        </is>
      </c>
      <c r="I18409" t="inlineStr">
        <is>
          <t>17/03/2026</t>
        </is>
      </c>
      <c r="J18409" t="inlineStr">
        <is>
          <t>Tiếp thị / Marketing</t>
        </is>
      </c>
      <c r="K18409" t="inlineStr">
        <is>
          <t>Trên 1 Năm</t>
        </is>
      </c>
      <c r="L18409" s="8">
        <f>HYPERLINK("https://careerviet.vn/vi/tim-viec-lam/user-acquisition-mobile-app-all-levels-accepted.35C68C0D.html","Xem chi tiết")</f>
        <v/>
      </c>
    </row>
    <row r="18410">
      <c r="B18410" s="9" t="n">
        <v>18408</v>
      </c>
      <c r="C18410" s="10" t="inlineStr">
        <is>
          <t>Oversea Purchasing Executive</t>
        </is>
      </c>
      <c r="D18410" s="10" t="inlineStr">
        <is>
          <t>Concung.com - Con Cung Joint Stock Company</t>
        </is>
      </c>
      <c r="E18410" s="10" t="inlineStr">
        <is>
          <t>Lương:Cạnh tranh</t>
        </is>
      </c>
      <c r="F18410" s="10" t="inlineStr">
        <is>
          <t>Hồ Chí Minh</t>
        </is>
      </c>
      <c r="G18410" s="10" t="inlineStr">
        <is>
          <t>31-03-2026</t>
        </is>
      </c>
      <c r="H18410" s="10" t="inlineStr">
        <is>
          <t>31/03/2026</t>
        </is>
      </c>
      <c r="I18410" s="10" t="inlineStr">
        <is>
          <t>17/03/2026</t>
        </is>
      </c>
      <c r="J18410" s="10" t="inlineStr">
        <is>
          <t>Bán lẻ / Bán sỉ, Xuất nhập khẩu, Thu mua / Vật tư</t>
        </is>
      </c>
      <c r="K18410" s="10" t="inlineStr">
        <is>
          <t>1 - 3 Năm</t>
        </is>
      </c>
      <c r="L18410" s="11">
        <f>HYPERLINK("https://careerviet.vn/vi/tim-viec-lam/oversea-purchasing-executive.35C69F01.html","Xem chi tiết")</f>
        <v/>
      </c>
      <c r="M18410" s="10" t="n"/>
    </row>
    <row r="18411">
      <c r="B18411" s="7" t="n">
        <v>18409</v>
      </c>
      <c r="C18411" t="inlineStr">
        <is>
          <t>Nhân Viên Kỹ Thuật Cơ Điện - Nghĩa Trụ, Hưng Yên</t>
        </is>
      </c>
      <c r="D18411" t="inlineStr">
        <is>
          <t>Công ty Cổ phần Tập đoàn Gỗ Minh Long</t>
        </is>
      </c>
      <c r="E18411" t="inlineStr">
        <is>
          <t>Lương:10 Tr - 15 Tr VND</t>
        </is>
      </c>
      <c r="F18411" t="inlineStr">
        <is>
          <t>Hưng Yên</t>
        </is>
      </c>
      <c r="G18411" t="inlineStr">
        <is>
          <t>3</t>
        </is>
      </c>
      <c r="H18411" t="inlineStr">
        <is>
          <t>20/03/2026</t>
        </is>
      </c>
      <c r="I18411" t="inlineStr">
        <is>
          <t>17/03/2026</t>
        </is>
      </c>
      <c r="J18411" t="inlineStr">
        <is>
          <t>Cơ khí / Ô tô / Tự động hóa, Điện / Điện tử / Điện lạnh / Điện công nghiệp, Bảo trì / Sửa chữa</t>
        </is>
      </c>
      <c r="K18411" t="inlineStr">
        <is>
          <t>1 - 2 Năm</t>
        </is>
      </c>
      <c r="L18411" s="8">
        <f>HYPERLINK("https://careerviet.vn/vi/tim-viec-lam/nhan-vien-ky-thuat-co-dien-nghia-tru-hung-yen.35C68C06.html","Xem chi tiết")</f>
        <v/>
      </c>
    </row>
    <row r="18412">
      <c r="B18412" s="9" t="n">
        <v>18410</v>
      </c>
      <c r="C18412" s="10" t="inlineStr">
        <is>
          <t>Visual Content Creator</t>
        </is>
      </c>
      <c r="D18412" s="10" t="inlineStr">
        <is>
          <t>Concung.com - Con Cung Joint Stock Company</t>
        </is>
      </c>
      <c r="E18412" s="10" t="inlineStr">
        <is>
          <t>Lương:Cạnh tranh</t>
        </is>
      </c>
      <c r="F18412" s="10" t="inlineStr">
        <is>
          <t>Hồ Chí Minh</t>
        </is>
      </c>
      <c r="G18412" s="10" t="inlineStr">
        <is>
          <t>27-03-2026</t>
        </is>
      </c>
      <c r="H18412" s="10" t="inlineStr">
        <is>
          <t>27/03/2026</t>
        </is>
      </c>
      <c r="I18412" s="10" t="inlineStr">
        <is>
          <t>17/03/2026</t>
        </is>
      </c>
      <c r="J18412" s="10" t="inlineStr">
        <is>
          <t>Tiếp thị / Marketing, Giải trí, Truyền hình / Báo chí / Biên tập</t>
        </is>
      </c>
      <c r="K18412" s="10" t="inlineStr">
        <is>
          <t>N/A</t>
        </is>
      </c>
      <c r="L18412" s="11">
        <f>HYPERLINK("https://careerviet.vn/vi/tim-viec-lam/visual-content-creator.35C69F11.html","Xem chi tiết")</f>
        <v/>
      </c>
      <c r="M18412" s="10" t="n"/>
    </row>
    <row r="18413">
      <c r="B18413" s="7" t="n">
        <v>18411</v>
      </c>
      <c r="C18413" t="inlineStr">
        <is>
          <t>Chuyên Viên Pháp Chế</t>
        </is>
      </c>
      <c r="D18413" t="inlineStr">
        <is>
          <t>CÔNG TY TNHH INFINITY LOGISTICS</t>
        </is>
      </c>
      <c r="E18413" t="inlineStr">
        <is>
          <t>Lương:15 Tr - 20 Tr VND</t>
        </is>
      </c>
      <c r="F18413" t="inlineStr">
        <is>
          <t>Hồ Chí Minh</t>
        </is>
      </c>
      <c r="G18413" t="inlineStr">
        <is>
          <t>31-03-2026</t>
        </is>
      </c>
      <c r="H18413" t="inlineStr">
        <is>
          <t>31/03/2026</t>
        </is>
      </c>
      <c r="I18413" t="inlineStr">
        <is>
          <t>17/03/2026</t>
        </is>
      </c>
      <c r="J18413" t="inlineStr">
        <is>
          <t>Xuất nhập khẩu, Luật / Pháp lý, Hành chính / Thư ký</t>
        </is>
      </c>
      <c r="K18413" t="inlineStr">
        <is>
          <t>Trên 3 Năm</t>
        </is>
      </c>
      <c r="L18413" s="8">
        <f>HYPERLINK("https://careerviet.vn/vi/tim-viec-lam/chuyen-vien-phap-che.35C69F8C.html","Xem chi tiết")</f>
        <v/>
      </c>
    </row>
    <row r="18414">
      <c r="B18414" s="9" t="n">
        <v>18412</v>
      </c>
      <c r="C18414" s="10" t="inlineStr">
        <is>
          <t>Kế toán thuế</t>
        </is>
      </c>
      <c r="D18414" s="10" t="inlineStr">
        <is>
          <t>Công ty Cổ phần Tập đoàn Gỗ Minh Long</t>
        </is>
      </c>
      <c r="E18414" s="10" t="inlineStr">
        <is>
          <t>Lương:18 Tr - 28 Tr VND</t>
        </is>
      </c>
      <c r="F18414" s="10" t="inlineStr">
        <is>
          <t>Hà NộiHưng Yên</t>
        </is>
      </c>
      <c r="G18414" s="10" t="inlineStr">
        <is>
          <t>31-03-2026</t>
        </is>
      </c>
      <c r="H18414" s="10" t="inlineStr">
        <is>
          <t>31/03/2026</t>
        </is>
      </c>
      <c r="I18414" s="10" t="inlineStr">
        <is>
          <t>17/03/2026</t>
        </is>
      </c>
      <c r="J18414" s="10" t="inlineStr">
        <is>
          <t>Kế toán / Kiểm toán</t>
        </is>
      </c>
      <c r="K18414" s="10" t="inlineStr">
        <is>
          <t>Trên 3 Năm</t>
        </is>
      </c>
      <c r="L18414" s="11">
        <f>HYPERLINK("https://careerviet.vn/vi/tim-viec-lam/ke-toan-thue.35C68C0A.html","Xem chi tiết")</f>
        <v/>
      </c>
      <c r="M18414" s="10" t="n"/>
    </row>
    <row r="18415">
      <c r="B18415" s="7" t="n">
        <v>18413</v>
      </c>
      <c r="C18415" t="inlineStr">
        <is>
          <t>[HO - HCM] Chuyên viên quản lý tín dụng - Trung tâm Quản lý &amp; Hỗ trợ tín dụng</t>
        </is>
      </c>
      <c r="D18415" t="inlineStr">
        <is>
          <t>Ngân hàng TMCP Phát triển TP.HCM (HDBank)</t>
        </is>
      </c>
      <c r="E18415" t="inlineStr">
        <is>
          <t>Lương:15 Tr - 25 Tr VND</t>
        </is>
      </c>
      <c r="F18415" t="inlineStr">
        <is>
          <t>Hồ Chí Minh</t>
        </is>
      </c>
      <c r="G18415" t="inlineStr">
        <is>
          <t>31-03-2026</t>
        </is>
      </c>
      <c r="H18415" t="inlineStr">
        <is>
          <t>31/03/2026</t>
        </is>
      </c>
      <c r="I18415" t="inlineStr">
        <is>
          <t>17/03/2026</t>
        </is>
      </c>
      <c r="J18415" t="inlineStr">
        <is>
          <t>Ngân hàng, Tài chính / Đầu tư, Bảo hiểm</t>
        </is>
      </c>
      <c r="K18415" t="inlineStr">
        <is>
          <t>3 - 5 Năm</t>
        </is>
      </c>
      <c r="L18415" s="8">
        <f>HYPERLINK("https://careerviet.vn/vi/tim-viec-lam/ho-hcm-chuyen-vien-quan-ly-tin-dung-trung-tam-quan-ly-ho-tro-tin-dung.35C69DD0.html","Xem chi tiết")</f>
        <v/>
      </c>
    </row>
    <row r="18416">
      <c r="B18416" s="9" t="n">
        <v>18414</v>
      </c>
      <c r="C18416" s="10" t="inlineStr">
        <is>
          <t>Thực tập sinh vận hành sàn thương mại điện tử</t>
        </is>
      </c>
      <c r="D18416" s="10" t="inlineStr">
        <is>
          <t>CÔNG TY TNHH MỘT THÀNH VIÊN TIKPLUS VIỆT NAM</t>
        </is>
      </c>
      <c r="E18416" s="10" t="inlineStr">
        <is>
          <t>Lương:1 Tr - 3 Tr VND</t>
        </is>
      </c>
      <c r="F18416" s="10" t="inlineStr">
        <is>
          <t>Hồ Chí Minh</t>
        </is>
      </c>
      <c r="G18416" s="10" t="inlineStr">
        <is>
          <t>3</t>
        </is>
      </c>
      <c r="H18416" s="10" t="inlineStr">
        <is>
          <t>20/03/2026</t>
        </is>
      </c>
      <c r="I18416" s="10" t="inlineStr">
        <is>
          <t>17/03/2026</t>
        </is>
      </c>
      <c r="J18416" s="10" t="inlineStr">
        <is>
          <t>Thương mại điện tử, Mới tốt nghiệp / Thực tập, Tiếp thị / Marketing</t>
        </is>
      </c>
      <c r="K18416" s="10" t="inlineStr">
        <is>
          <t>N/A</t>
        </is>
      </c>
      <c r="L18416" s="11">
        <f>HYPERLINK("https://careerviet.vn/vi/tim-viec-lam/thuc-tap-sinh-van-hanh-san-thuong-mai-dien-tu.35C69E38.html","Xem chi tiết")</f>
        <v/>
      </c>
      <c r="M18416" s="10" t="n"/>
    </row>
    <row r="18417">
      <c r="B18417" s="7" t="n">
        <v>18415</v>
      </c>
      <c r="C18417" t="inlineStr">
        <is>
          <t>Chuyên viên Kho vận và Xuất nhập Khẩu (Logistics)</t>
        </is>
      </c>
      <c r="D18417" t="inlineStr">
        <is>
          <t>CÔNG TY CỔ PHẦN MATSUMOTO KIYOSHI VIỆT NAM</t>
        </is>
      </c>
      <c r="E18417" t="inlineStr">
        <is>
          <t>Lương:15 Tr - 17 Tr VND</t>
        </is>
      </c>
      <c r="F18417" t="inlineStr">
        <is>
          <t>Hồ Chí Minh</t>
        </is>
      </c>
      <c r="G18417" t="inlineStr">
        <is>
          <t>27-03-2026</t>
        </is>
      </c>
      <c r="H18417" t="inlineStr">
        <is>
          <t>27/03/2026</t>
        </is>
      </c>
      <c r="I18417" t="inlineStr">
        <is>
          <t>17/03/2026</t>
        </is>
      </c>
      <c r="J18417" t="inlineStr">
        <is>
          <t>Vận chuyển / Giao nhận / Kho vận, Xuất nhập khẩu</t>
        </is>
      </c>
      <c r="K18417" t="inlineStr">
        <is>
          <t>3 - 5 Năm</t>
        </is>
      </c>
      <c r="L18417" s="8">
        <f>HYPERLINK("https://careerviet.vn/vi/tim-viec-lam/chuyen-vien-kho-van-va-xuat-nhap-khau-logistics.35C69F12.html","Xem chi tiết")</f>
        <v/>
      </c>
    </row>
    <row r="18418">
      <c r="B18418" s="9" t="n">
        <v>18416</v>
      </c>
      <c r="C18418" s="10" t="inlineStr">
        <is>
          <t>Trưởng phòng Marketing</t>
        </is>
      </c>
      <c r="D18418" s="10" t="inlineStr">
        <is>
          <t>Công ty Di Động Việt</t>
        </is>
      </c>
      <c r="E18418" s="10" t="inlineStr">
        <is>
          <t>Lương:30 Tr - 35 Tr VND</t>
        </is>
      </c>
      <c r="F18418" s="10" t="inlineStr">
        <is>
          <t>Hồ Chí Minh</t>
        </is>
      </c>
      <c r="G18418" s="10" t="inlineStr">
        <is>
          <t>31-03-2026</t>
        </is>
      </c>
      <c r="H18418" s="10" t="inlineStr">
        <is>
          <t>31/03/2026</t>
        </is>
      </c>
      <c r="I18418" s="10" t="inlineStr">
        <is>
          <t>17/03/2026</t>
        </is>
      </c>
      <c r="J18418" s="10" t="inlineStr">
        <is>
          <t>Bán lẻ / Bán sỉ, Tiếp thị / Marketing, Bán hàng / Kinh doanh</t>
        </is>
      </c>
      <c r="K18418" s="10" t="inlineStr">
        <is>
          <t>5 - 10 Năm</t>
        </is>
      </c>
      <c r="L18418" s="11">
        <f>HYPERLINK("https://careerviet.vn/vi/tim-viec-lam/truong-phong-marketing.35C69E11.html","Xem chi tiết")</f>
        <v/>
      </c>
      <c r="M18418" s="10" t="n"/>
    </row>
    <row r="18419">
      <c r="B18419" s="7" t="n">
        <v>18417</v>
      </c>
      <c r="C18419" t="inlineStr">
        <is>
          <t>Chuyên Viên Nhân sự tổng hợp</t>
        </is>
      </c>
      <c r="D18419" t="inlineStr">
        <is>
          <t>Công Ty TNHH T.M.G</t>
        </is>
      </c>
      <c r="E18419" t="inlineStr">
        <is>
          <t>Lương:Cạnh tranh</t>
        </is>
      </c>
      <c r="F18419" t="inlineStr">
        <is>
          <t>Hồ Chí Minh</t>
        </is>
      </c>
      <c r="G18419" t="inlineStr">
        <is>
          <t>30-03-2026</t>
        </is>
      </c>
      <c r="H18419" t="inlineStr">
        <is>
          <t>30/03/2026</t>
        </is>
      </c>
      <c r="I18419" t="inlineStr">
        <is>
          <t>17/03/2026</t>
        </is>
      </c>
      <c r="J18419" t="inlineStr">
        <is>
          <t>Hành chính / Thư ký, Nhân sự, Bán lẻ / Bán sỉ</t>
        </is>
      </c>
      <c r="K18419" t="inlineStr">
        <is>
          <t>2 - 3 Năm</t>
        </is>
      </c>
      <c r="L18419" s="8">
        <f>HYPERLINK("https://careerviet.vn/vi/tim-viec-lam/chuyen-vien-nhan-su-tong-hop.35C69D86.html","Xem chi tiết")</f>
        <v/>
      </c>
    </row>
    <row r="18420">
      <c r="B18420" s="9" t="n">
        <v>18418</v>
      </c>
      <c r="C18420" s="10" t="inlineStr">
        <is>
          <t>Nhân viên R&amp;D Hồ sơ công bố</t>
        </is>
      </c>
      <c r="D18420" s="10" t="inlineStr">
        <is>
          <t>IDOCEAN Co.,ltd</t>
        </is>
      </c>
      <c r="E18420" s="10" t="inlineStr">
        <is>
          <t>Lương:Cạnh tranh</t>
        </is>
      </c>
      <c r="F18420" s="10" t="inlineStr">
        <is>
          <t>Hồ Chí Minh</t>
        </is>
      </c>
      <c r="G18420" s="10" t="inlineStr">
        <is>
          <t>31-03-2026</t>
        </is>
      </c>
      <c r="H18420" s="10" t="inlineStr">
        <is>
          <t>31/03/2026</t>
        </is>
      </c>
      <c r="I18420" s="10" t="inlineStr">
        <is>
          <t>17/03/2026</t>
        </is>
      </c>
      <c r="J18420" s="10" t="inlineStr">
        <is>
          <t>Công nghệ thực phẩm / Dinh dưỡng, Sản xuất / Vận hành sản xuất, Quản lý chất lượng (QA/QC)</t>
        </is>
      </c>
      <c r="K18420" s="10" t="inlineStr">
        <is>
          <t>2 - 5 Năm</t>
        </is>
      </c>
      <c r="L18420" s="11">
        <f>HYPERLINK("https://careerviet.vn/vi/tim-viec-lam/nhan-vien-r-d-ho-so-cong-bo.35C69F1D.html","Xem chi tiết")</f>
        <v/>
      </c>
      <c r="M18420" s="10" t="n"/>
    </row>
    <row r="18421">
      <c r="B18421" s="7" t="n">
        <v>18419</v>
      </c>
      <c r="C18421" t="inlineStr">
        <is>
          <t>Administrative Officer</t>
        </is>
      </c>
      <c r="D18421" t="inlineStr">
        <is>
          <t>CÔNG TY CỔ PHẦN GREEN SPEED</t>
        </is>
      </c>
      <c r="E18421" t="inlineStr">
        <is>
          <t>Lương:15 Tr - 16 Tr VND</t>
        </is>
      </c>
      <c r="F18421" t="inlineStr">
        <is>
          <t>Hồ Chí Minh</t>
        </is>
      </c>
      <c r="G18421" t="inlineStr">
        <is>
          <t>28-03-2026</t>
        </is>
      </c>
      <c r="H18421" t="inlineStr">
        <is>
          <t>28/03/2026</t>
        </is>
      </c>
      <c r="I18421" t="inlineStr">
        <is>
          <t>17/03/2026</t>
        </is>
      </c>
      <c r="J18421" t="inlineStr">
        <is>
          <t>Nhân sự, Hành chính / Thư ký, Sản xuất / Vận hành sản xuất</t>
        </is>
      </c>
      <c r="K18421" t="inlineStr">
        <is>
          <t>1 - 2 Năm</t>
        </is>
      </c>
      <c r="L18421" s="8">
        <f>HYPERLINK("https://careerviet.vn/vi/tim-viec-lam/administrative-officer.35C69F67.html","Xem chi tiết")</f>
        <v/>
      </c>
    </row>
    <row r="18422">
      <c r="B18422" s="9" t="n">
        <v>18420</v>
      </c>
      <c r="C18422" s="10" t="inlineStr">
        <is>
          <t>Nhân Viên Hành Chính Nhân Sự</t>
        </is>
      </c>
      <c r="D18422" s="10" t="inlineStr">
        <is>
          <t>JoyMall - Nhà Phân Phối Locknlock</t>
        </is>
      </c>
      <c r="E18422" s="10" t="inlineStr">
        <is>
          <t>Lương:7 Tr - 10 Tr VND</t>
        </is>
      </c>
      <c r="F18422" s="10" t="inlineStr">
        <is>
          <t>Hồ Chí Minh</t>
        </is>
      </c>
      <c r="G18422" s="10" t="inlineStr">
        <is>
          <t>31-03-2026</t>
        </is>
      </c>
      <c r="H18422" s="10" t="inlineStr">
        <is>
          <t>31/03/2026</t>
        </is>
      </c>
      <c r="I18422" s="10" t="inlineStr">
        <is>
          <t>17/03/2026</t>
        </is>
      </c>
      <c r="J18422" s="10" t="inlineStr">
        <is>
          <t>Nhân sự, Hành chính / Thư ký, Tổ chức sự kiện</t>
        </is>
      </c>
      <c r="K18422" s="10" t="inlineStr">
        <is>
          <t>Lên đến 1 Năm</t>
        </is>
      </c>
      <c r="L18422" s="11">
        <f>HYPERLINK("https://careerviet.vn/vi/tim-viec-lam/nhan-vien-hanh-chinh-nhan-su.35C6A047.html","Xem chi tiết")</f>
        <v/>
      </c>
      <c r="M18422" s="10" t="n"/>
    </row>
    <row r="18423">
      <c r="B18423" s="7" t="n">
        <v>18421</v>
      </c>
      <c r="C18423" t="inlineStr">
        <is>
          <t>Digital Marketing Manager</t>
        </is>
      </c>
      <c r="D18423" t="inlineStr">
        <is>
          <t>Công ty Cổ phần Tierra</t>
        </is>
      </c>
      <c r="E18423" t="inlineStr">
        <is>
          <t>Lương:Cạnh tranh</t>
        </is>
      </c>
      <c r="F18423" t="inlineStr">
        <is>
          <t>Hồ Chí Minh</t>
        </is>
      </c>
      <c r="G18423" t="inlineStr">
        <is>
          <t>30-03-2026</t>
        </is>
      </c>
      <c r="H18423" t="inlineStr">
        <is>
          <t>30/03/2026</t>
        </is>
      </c>
      <c r="I18423" t="inlineStr">
        <is>
          <t>17/03/2026</t>
        </is>
      </c>
      <c r="J18423" t="inlineStr">
        <is>
          <t>Tiếp thị / Marketing, Thương mại điện tử, Bán lẻ / Bán sỉ</t>
        </is>
      </c>
      <c r="K18423" t="inlineStr">
        <is>
          <t>5 - 10 Năm</t>
        </is>
      </c>
      <c r="L18423" s="8">
        <f>HYPERLINK("https://careerviet.vn/vi/tim-viec-lam/digital-marketing-manager.35C69EBC.html","Xem chi tiết")</f>
        <v/>
      </c>
    </row>
    <row r="18424">
      <c r="B18424" s="9" t="n">
        <v>18422</v>
      </c>
      <c r="C18424" s="10" t="inlineStr">
        <is>
          <t>IT Support Officer</t>
        </is>
      </c>
      <c r="D18424" s="10" t="inlineStr">
        <is>
          <t>CÔNG TY TNHH KAIOEN</t>
        </is>
      </c>
      <c r="E18424" s="10" t="inlineStr">
        <is>
          <t>Lương:12 Tr - 20 Tr VND</t>
        </is>
      </c>
      <c r="F18424" s="10" t="inlineStr">
        <is>
          <t>Hồ Chí Minh</t>
        </is>
      </c>
      <c r="G18424" s="10" t="inlineStr">
        <is>
          <t>31-03-2026</t>
        </is>
      </c>
      <c r="H18424" s="10" t="inlineStr">
        <is>
          <t>31/03/2026</t>
        </is>
      </c>
      <c r="I18424" s="10" t="inlineStr">
        <is>
          <t>17/03/2026</t>
        </is>
      </c>
      <c r="J18424" s="10" t="inlineStr">
        <is>
          <t>CNTT - Phần mềm, CNTT - Phần cứng / Mạng</t>
        </is>
      </c>
      <c r="K18424" s="10" t="inlineStr">
        <is>
          <t>2 - 5 Năm</t>
        </is>
      </c>
      <c r="L18424" s="11">
        <f>HYPERLINK("https://careerviet.vn/vi/tim-viec-lam/it-support-officer.35C69E63.html","Xem chi tiết")</f>
        <v/>
      </c>
      <c r="M18424" s="10" t="n"/>
    </row>
    <row r="18425">
      <c r="B18425" s="7" t="n">
        <v>18423</v>
      </c>
      <c r="C18425" t="inlineStr">
        <is>
          <t>Chuyên viên Tài chính/ Finance Executive</t>
        </is>
      </c>
      <c r="D18425" t="inlineStr">
        <is>
          <t>American International Hospital (AIH)</t>
        </is>
      </c>
      <c r="E18425" t="inlineStr">
        <is>
          <t>Lương:13 Tr - 20 Tr VND</t>
        </is>
      </c>
      <c r="F18425" t="inlineStr">
        <is>
          <t>Hồ Chí Minh</t>
        </is>
      </c>
      <c r="G18425" t="inlineStr">
        <is>
          <t>31-03-2026</t>
        </is>
      </c>
      <c r="H18425" t="inlineStr">
        <is>
          <t>31/03/2026</t>
        </is>
      </c>
      <c r="I18425" t="inlineStr">
        <is>
          <t>17/03/2026</t>
        </is>
      </c>
      <c r="J18425" t="inlineStr">
        <is>
          <t>Y tế / Chăm sóc sức khỏe / Thẩm mỹ / Làm đẹp, Dược phẩm/ Hóa Mỹ Phẩm, Bán lẻ / Bán sỉ</t>
        </is>
      </c>
      <c r="K18425" t="inlineStr">
        <is>
          <t>1 - 4 Năm</t>
        </is>
      </c>
      <c r="L18425" s="8">
        <f>HYPERLINK("https://careerviet.vn/vi/tim-viec-lam/chuyen-vien-tai-chinh-finance-executive.35C6A089.html","Xem chi tiết")</f>
        <v/>
      </c>
    </row>
    <row r="18426">
      <c r="B18426" s="9" t="n">
        <v>18424</v>
      </c>
      <c r="C18426" s="10" t="inlineStr">
        <is>
          <t>GIÁM ĐỐC NHÀ MÁY</t>
        </is>
      </c>
      <c r="D18426" s="10" t="inlineStr">
        <is>
          <t>Công ty Cổ phần Kho vận Giao nhận Ngoại thương Mộc An Châu</t>
        </is>
      </c>
      <c r="E18426" s="10" t="inlineStr">
        <is>
          <t>Lương:30 Tr - 40 Tr VND</t>
        </is>
      </c>
      <c r="F18426" s="10" t="inlineStr">
        <is>
          <t>Hồ Chí Minh</t>
        </is>
      </c>
      <c r="G18426" s="10" t="inlineStr">
        <is>
          <t>30-05-2026</t>
        </is>
      </c>
      <c r="H18426" s="10" t="inlineStr">
        <is>
          <t>30/05/2026</t>
        </is>
      </c>
      <c r="I18426" s="10" t="inlineStr">
        <is>
          <t>17/03/2026</t>
        </is>
      </c>
      <c r="J18426" s="10" t="inlineStr">
        <is>
          <t>Môi trường</t>
        </is>
      </c>
      <c r="K18426" s="10" t="inlineStr">
        <is>
          <t>5 - 10 Năm</t>
        </is>
      </c>
      <c r="L18426" s="11">
        <f>HYPERLINK("https://careerviet.vn/vi/tim-viec-lam/giam-doc-nha-may.35C69DFC.html","Xem chi tiết")</f>
        <v/>
      </c>
      <c r="M18426" s="10" t="n"/>
    </row>
    <row r="18427">
      <c r="B18427" s="7" t="n">
        <v>18425</v>
      </c>
      <c r="C18427" t="inlineStr">
        <is>
          <t>Chuyên viên Pháp chế</t>
        </is>
      </c>
      <c r="D18427" t="inlineStr">
        <is>
          <t>Công ty Cổ phần Sữa VitaDairy Việt Nam</t>
        </is>
      </c>
      <c r="E18427" t="inlineStr">
        <is>
          <t>Lương:Cạnh tranh</t>
        </is>
      </c>
      <c r="F18427" t="inlineStr">
        <is>
          <t>Hồ Chí Minh</t>
        </is>
      </c>
      <c r="G18427" t="inlineStr">
        <is>
          <t>30-04-2026</t>
        </is>
      </c>
      <c r="H18427" t="inlineStr">
        <is>
          <t>30/04/2026</t>
        </is>
      </c>
      <c r="I18427" t="inlineStr">
        <is>
          <t>17/03/2026</t>
        </is>
      </c>
      <c r="J18427" t="inlineStr">
        <is>
          <t>Luật / Pháp lý, Hàng gia dụng / Chăm sóc cá nhân, Thực phẩm &amp; Đồ uống</t>
        </is>
      </c>
      <c r="K18427" t="inlineStr">
        <is>
          <t>3 - 5 Năm</t>
        </is>
      </c>
      <c r="L18427" s="8">
        <f>HYPERLINK("https://careerviet.vn/vi/tim-viec-lam/chuyen-vien-phap-che.35C6B0FB.html","Xem chi tiết")</f>
        <v/>
      </c>
    </row>
    <row r="18428">
      <c r="B18428" s="9" t="n">
        <v>18426</v>
      </c>
      <c r="C18428" s="10" t="inlineStr">
        <is>
          <t>Recruitment Intern (Mass)</t>
        </is>
      </c>
      <c r="D18428" s="10" t="inlineStr">
        <is>
          <t>Concung.com - Con Cung Joint Stock Company</t>
        </is>
      </c>
      <c r="E18428" s="10" t="inlineStr">
        <is>
          <t>Lương:Cạnh tranh</t>
        </is>
      </c>
      <c r="F18428" s="10" t="inlineStr">
        <is>
          <t>Hồ Chí Minh</t>
        </is>
      </c>
      <c r="G18428" s="10" t="inlineStr">
        <is>
          <t>27-03-2026</t>
        </is>
      </c>
      <c r="H18428" s="10" t="inlineStr">
        <is>
          <t>27/03/2026</t>
        </is>
      </c>
      <c r="I18428" s="10" t="inlineStr">
        <is>
          <t>17/03/2026</t>
        </is>
      </c>
      <c r="J18428" s="10" t="inlineStr">
        <is>
          <t>Nhân sự, Bán lẻ / Bán sỉ, Mới tốt nghiệp / Thực tập</t>
        </is>
      </c>
      <c r="K18428" s="10" t="inlineStr">
        <is>
          <t>N/A</t>
        </is>
      </c>
      <c r="L18428" s="11">
        <f>HYPERLINK("https://careerviet.vn/vi/tim-viec-lam/recruitment-intern-mass.35C69E33.html","Xem chi tiết")</f>
        <v/>
      </c>
      <c r="M18428" s="10" t="n"/>
    </row>
    <row r="18429">
      <c r="B18429" s="7" t="n">
        <v>18427</v>
      </c>
      <c r="C18429" t="inlineStr">
        <is>
          <t>Chuyên viên Đảm bảo Chất lượng (QA Specialist)</t>
        </is>
      </c>
      <c r="D18429" t="inlineStr">
        <is>
          <t>Công Ty TNHH Red Bull (Việt Nam)</t>
        </is>
      </c>
      <c r="E18429" t="inlineStr">
        <is>
          <t>Lương:Cạnh tranh</t>
        </is>
      </c>
      <c r="F18429" t="inlineStr">
        <is>
          <t>Hồ Chí MinhĐồng NaiBình Dương</t>
        </is>
      </c>
      <c r="G18429" t="inlineStr">
        <is>
          <t>05-04-2026</t>
        </is>
      </c>
      <c r="H18429" t="inlineStr">
        <is>
          <t>05/04/2026</t>
        </is>
      </c>
      <c r="I18429" t="inlineStr">
        <is>
          <t>17/03/2026</t>
        </is>
      </c>
      <c r="J18429" t="inlineStr">
        <is>
          <t>Quản lý chất lượng (QA/QC), Thực phẩm &amp; Đồ uống, Công nghệ thực phẩm / Dinh dưỡng</t>
        </is>
      </c>
      <c r="K18429" t="inlineStr">
        <is>
          <t>Trên 1 Năm</t>
        </is>
      </c>
      <c r="L18429" s="8">
        <f>HYPERLINK("https://careerviet.vn/vi/tim-viec-lam/chuyen-vien-dam-bao-chat-luong-qa-specialist.35C6B090.html","Xem chi tiết")</f>
        <v/>
      </c>
    </row>
    <row r="18430">
      <c r="B18430" s="9" t="n">
        <v>18428</v>
      </c>
      <c r="C18430" s="10" t="inlineStr">
        <is>
          <t>Innovation Workshop Manager</t>
        </is>
      </c>
      <c r="D18430" s="10" t="inlineStr">
        <is>
          <t>CÔNG TY TNHH HWASEUNG VINA</t>
        </is>
      </c>
      <c r="E18430" s="10" t="inlineStr">
        <is>
          <t>Lương:Cạnh tranh</t>
        </is>
      </c>
      <c r="F18430" s="10" t="inlineStr">
        <is>
          <t>Đồng NaiHồ Chí MinhBình Dương</t>
        </is>
      </c>
      <c r="G18430" s="10" t="inlineStr">
        <is>
          <t>5</t>
        </is>
      </c>
      <c r="H18430" s="10" t="inlineStr">
        <is>
          <t>22/03/2026</t>
        </is>
      </c>
      <c r="I18430" s="10" t="inlineStr">
        <is>
          <t>17/03/2026</t>
        </is>
      </c>
      <c r="J18430" s="10" t="inlineStr">
        <is>
          <t>Quản lý điều hành, Sản xuất / Vận hành sản xuất, Dệt may / Da giày / Thời trang</t>
        </is>
      </c>
      <c r="K18430" s="10" t="inlineStr">
        <is>
          <t>5 - 15 Năm</t>
        </is>
      </c>
      <c r="L18430" s="11">
        <f>HYPERLINK("https://careerviet.vn/vi/tim-viec-lam/innovation-workshop-manager.35C6375A.html","Xem chi tiết")</f>
        <v/>
      </c>
      <c r="M18430" s="10" t="n"/>
    </row>
    <row r="18431">
      <c r="B18431" s="7" t="n">
        <v>18429</v>
      </c>
      <c r="C18431" t="inlineStr">
        <is>
          <t>Nhân viên điều phối</t>
        </is>
      </c>
      <c r="D18431" t="inlineStr">
        <is>
          <t>CÔNG TY CỔ PHẦN NHỰA TÁI CHẾ DUY TÂN</t>
        </is>
      </c>
      <c r="E18431" t="inlineStr">
        <is>
          <t>Lương:13 Tr - 16 Tr VND</t>
        </is>
      </c>
      <c r="F18431" t="inlineStr">
        <is>
          <t>Long An</t>
        </is>
      </c>
      <c r="G18431" t="inlineStr">
        <is>
          <t>05-03-2026</t>
        </is>
      </c>
      <c r="H18431" t="inlineStr">
        <is>
          <t>28/02/2026</t>
        </is>
      </c>
      <c r="I18431" t="inlineStr">
        <is>
          <t>17/03/2026</t>
        </is>
      </c>
      <c r="J18431" t="inlineStr">
        <is>
          <t>Tiếp thị / Marketing, Bán hàng / Kinh doanh, Thu mua / Vật tư</t>
        </is>
      </c>
      <c r="K18431" t="inlineStr">
        <is>
          <t>Chưa có kinh nghiệm</t>
        </is>
      </c>
      <c r="L18431" s="8">
        <f>HYPERLINK("https://careerviet.vn/vi/tim-viec-lam/nhan-vien-dieu-phoi.35C68BCE.html","Xem chi tiết")</f>
        <v/>
      </c>
    </row>
    <row r="18432">
      <c r="B18432" s="9" t="n">
        <v>18430</v>
      </c>
      <c r="C18432" s="10" t="inlineStr">
        <is>
          <t>Nhân viên hành chính nhân sự tổng hợp (C&amp;B)</t>
        </is>
      </c>
      <c r="D18432" s="10" t="inlineStr">
        <is>
          <t>CÔNG TY TNHH NHA KHOA I-DENT</t>
        </is>
      </c>
      <c r="E18432" s="10" t="inlineStr">
        <is>
          <t>Lương:13 Tr - 15 Tr VND</t>
        </is>
      </c>
      <c r="F18432" s="10" t="inlineStr">
        <is>
          <t>Hồ Chí Minh</t>
        </is>
      </c>
      <c r="G18432" s="10" t="inlineStr">
        <is>
          <t>31-03-2026</t>
        </is>
      </c>
      <c r="H18432" s="10" t="inlineStr">
        <is>
          <t>31/03/2026</t>
        </is>
      </c>
      <c r="I18432" s="10" t="inlineStr">
        <is>
          <t>17/03/2026</t>
        </is>
      </c>
      <c r="J18432" s="10" t="inlineStr">
        <is>
          <t>Hành chính / Thư ký, Nhân sự, Kế toán / Kiểm toán</t>
        </is>
      </c>
      <c r="K18432" s="10" t="inlineStr">
        <is>
          <t>2 - 3 Năm</t>
        </is>
      </c>
      <c r="L18432" s="11">
        <f>HYPERLINK("https://careerviet.vn/vi/tim-viec-lam/nhan-vien-hanh-chinh-nhan-su-tong-hop-c-b.35C69F57.html","Xem chi tiết")</f>
        <v/>
      </c>
      <c r="M18432" s="10" t="n"/>
    </row>
    <row r="18433">
      <c r="B18433" s="7" t="n">
        <v>18431</v>
      </c>
      <c r="C18433" t="inlineStr">
        <is>
          <t>[REMOTE] Nhân viên Booking KOL/KOC (Influencer Marketing) - Làm tại nhà</t>
        </is>
      </c>
      <c r="D18433" t="inlineStr">
        <is>
          <t>PICKDI</t>
        </is>
      </c>
      <c r="E18433" t="inlineStr">
        <is>
          <t>Lương:12 Tr - 16 Tr VND</t>
        </is>
      </c>
      <c r="F18433" t="inlineStr">
        <is>
          <t>Hà NộiHồ Chí MinhĐà Nẵng</t>
        </is>
      </c>
      <c r="G18433" t="inlineStr">
        <is>
          <t>4</t>
        </is>
      </c>
      <c r="H18433" t="inlineStr">
        <is>
          <t>21/03/2026</t>
        </is>
      </c>
      <c r="I18433" t="inlineStr">
        <is>
          <t>17/03/2026</t>
        </is>
      </c>
      <c r="J18433" t="inlineStr">
        <is>
          <t>Quảng cáo / Đối ngoại / Truyền Thông, Truyền hình / Báo chí / Biên tập, Tiếp thị / Marketing</t>
        </is>
      </c>
      <c r="K18433" t="inlineStr">
        <is>
          <t>1 - 4 Năm</t>
        </is>
      </c>
      <c r="L18433" s="8">
        <f>HYPERLINK("https://careerviet.vn/vi/tim-viec-lam/remote-nhan-vien-booking-kol-koc-influencer-marketing-lam-tai-nha.35C6B016.html","Xem chi tiết")</f>
        <v/>
      </c>
    </row>
    <row r="18434">
      <c r="B18434" s="9" t="n">
        <v>18432</v>
      </c>
      <c r="C18434" s="10" t="inlineStr">
        <is>
          <t>Admin (Hành chính văn phòng)</t>
        </is>
      </c>
      <c r="D18434" s="10" t="inlineStr">
        <is>
          <t>HMK Eyewear</t>
        </is>
      </c>
      <c r="E18434" s="10" t="inlineStr">
        <is>
          <t>Lương:Cạnh tranh</t>
        </is>
      </c>
      <c r="F18434" s="10" t="inlineStr">
        <is>
          <t>Hồ Chí Minh</t>
        </is>
      </c>
      <c r="G18434" s="10" t="inlineStr">
        <is>
          <t>31-03-2026</t>
        </is>
      </c>
      <c r="H18434" s="10" t="inlineStr">
        <is>
          <t>31/03/2026</t>
        </is>
      </c>
      <c r="I18434" s="10" t="inlineStr">
        <is>
          <t>17/03/2026</t>
        </is>
      </c>
      <c r="J18434" s="10" t="inlineStr">
        <is>
          <t>Hành chính / Thư ký, Nhân sự</t>
        </is>
      </c>
      <c r="K18434" s="10" t="inlineStr">
        <is>
          <t>1 - 3 Năm</t>
        </is>
      </c>
      <c r="L18434" s="11">
        <f>HYPERLINK("https://careerviet.vn/vi/tim-viec-lam/admin-hanh-chinh-van-phong.35C6B10B.html","Xem chi tiết")</f>
        <v/>
      </c>
      <c r="M18434" s="10" t="n"/>
    </row>
    <row r="18435">
      <c r="B18435" s="7" t="n">
        <v>18433</v>
      </c>
      <c r="C18435" t="inlineStr">
        <is>
          <t>Head Of HR</t>
        </is>
      </c>
      <c r="D18435" t="inlineStr">
        <is>
          <t>CÔNG TY TNHH SX TM DV ĐẶNG GIA TRANG</t>
        </is>
      </c>
      <c r="E18435" t="inlineStr">
        <is>
          <t>Lương:Cạnh tranh</t>
        </is>
      </c>
      <c r="F18435" t="inlineStr">
        <is>
          <t>Hồ Chí Minh</t>
        </is>
      </c>
      <c r="G18435" t="inlineStr">
        <is>
          <t>11-04-2026</t>
        </is>
      </c>
      <c r="H18435" t="inlineStr">
        <is>
          <t>11/04/2026</t>
        </is>
      </c>
      <c r="I18435" t="inlineStr">
        <is>
          <t>17/03/2026</t>
        </is>
      </c>
      <c r="J18435" t="inlineStr">
        <is>
          <t>Nhân sự</t>
        </is>
      </c>
      <c r="K18435" t="inlineStr">
        <is>
          <t>8 - 10 Năm</t>
        </is>
      </c>
      <c r="L18435" s="8">
        <f>HYPERLINK("https://careerviet.vn/vi/tim-viec-lam/head-of-hr.35C6AFC8.html","Xem chi tiết")</f>
        <v/>
      </c>
    </row>
    <row r="18436">
      <c r="B18436" s="9" t="n">
        <v>18434</v>
      </c>
      <c r="C18436" s="10" t="inlineStr">
        <is>
          <t>[REMOTE] eCommerce Marketer - Làm tại nhà</t>
        </is>
      </c>
      <c r="D18436" s="10" t="inlineStr">
        <is>
          <t>PICKDI</t>
        </is>
      </c>
      <c r="E18436" s="10" t="inlineStr">
        <is>
          <t>Lương:22 Tr - 25 Tr VND</t>
        </is>
      </c>
      <c r="F18436" s="10" t="inlineStr">
        <is>
          <t>Hà NộiHồ Chí MinhĐà Nẵng</t>
        </is>
      </c>
      <c r="G18436" s="10" t="inlineStr">
        <is>
          <t>05-03-2026</t>
        </is>
      </c>
      <c r="H18436" s="10" t="inlineStr">
        <is>
          <t>12/03/2026</t>
        </is>
      </c>
      <c r="I18436" s="10" t="inlineStr">
        <is>
          <t>17/03/2026</t>
        </is>
      </c>
      <c r="J18436" s="10" t="inlineStr">
        <is>
          <t>Quảng cáo / Đối ngoại / Truyền Thông, Truyền hình / Báo chí / Biên tập, Tiếp thị / Marketing</t>
        </is>
      </c>
      <c r="K18436" s="10" t="inlineStr">
        <is>
          <t>3 - 7 Năm</t>
        </is>
      </c>
      <c r="L18436" s="11">
        <f>HYPERLINK("https://careerviet.vn/vi/tim-viec-lam/remote-ecommerce-marketer-lam-tai-nha.35C6B000.html","Xem chi tiết")</f>
        <v/>
      </c>
      <c r="M18436" s="10" t="n"/>
    </row>
    <row r="18437">
      <c r="B18437" s="7" t="n">
        <v>18435</v>
      </c>
      <c r="C18437" t="inlineStr">
        <is>
          <t>Warehouse Clerk - Spare Parts</t>
        </is>
      </c>
      <c r="D18437" t="inlineStr">
        <is>
          <t>CÔNG TY TNHH LEGO MANUFACTURING VIỆT NAM</t>
        </is>
      </c>
      <c r="E18437" t="inlineStr">
        <is>
          <t>Lương:Cạnh tranh</t>
        </is>
      </c>
      <c r="F18437" t="inlineStr">
        <is>
          <t>Bình Dương</t>
        </is>
      </c>
      <c r="G18437" t="inlineStr">
        <is>
          <t>05-03-2026</t>
        </is>
      </c>
      <c r="H18437" t="inlineStr">
        <is>
          <t>06/11/2025</t>
        </is>
      </c>
      <c r="I18437" t="inlineStr">
        <is>
          <t>17/03/2026</t>
        </is>
      </c>
      <c r="J18437" t="inlineStr">
        <is>
          <t>Vận chuyển / Giao nhận / Kho vận, Sản xuất / Vận hành sản xuất</t>
        </is>
      </c>
      <c r="K18437" t="inlineStr">
        <is>
          <t>2 - 3 Năm</t>
        </is>
      </c>
      <c r="L18437" s="8">
        <f>HYPERLINK("https://careerviet.vn/vi/tim-viec-lam/warehouse-clerk-spare-parts.35C5A5DD.html","Xem chi tiết")</f>
        <v/>
      </c>
    </row>
    <row r="18438">
      <c r="B18438" s="9" t="n">
        <v>18436</v>
      </c>
      <c r="C18438" s="10" t="inlineStr">
        <is>
          <t>Nhân viên Hành chính và Admin</t>
        </is>
      </c>
      <c r="D18438" s="10" t="inlineStr">
        <is>
          <t>Công Ty Cổ Phần Du Lịch Vietravel</t>
        </is>
      </c>
      <c r="E18438" s="10" t="inlineStr">
        <is>
          <t>Lương:Cạnh tranh</t>
        </is>
      </c>
      <c r="F18438" s="10" t="inlineStr">
        <is>
          <t>Hồ Chí Minh</t>
        </is>
      </c>
      <c r="G18438" s="10" t="inlineStr">
        <is>
          <t>04-04-2026</t>
        </is>
      </c>
      <c r="H18438" s="10" t="inlineStr">
        <is>
          <t>04/04/2026</t>
        </is>
      </c>
      <c r="I18438" s="10" t="inlineStr">
        <is>
          <t>17/03/2026</t>
        </is>
      </c>
      <c r="J18438" s="10" t="inlineStr">
        <is>
          <t>Hành chính / Thư ký, Nhân sự, Du lịch</t>
        </is>
      </c>
      <c r="K18438" s="10" t="inlineStr">
        <is>
          <t>2 - 3 Năm</t>
        </is>
      </c>
      <c r="L18438" s="11">
        <f>HYPERLINK("https://careerviet.vn/vi/tim-viec-lam/nhan-vien-hanh-chinh-va-admin.35C6B239.html","Xem chi tiết")</f>
        <v/>
      </c>
      <c r="M18438" s="10" t="n"/>
    </row>
    <row r="18439">
      <c r="B18439" s="7" t="n">
        <v>18437</v>
      </c>
      <c r="C18439" t="inlineStr">
        <is>
          <t>Bình Dương - Nhân viên IT</t>
        </is>
      </c>
      <c r="D18439" t="inlineStr">
        <is>
          <t>Cty TNHH Yakult Việt Nam</t>
        </is>
      </c>
      <c r="E18439" t="inlineStr">
        <is>
          <t>Lương:17 Tr - 18 Tr VND</t>
        </is>
      </c>
      <c r="F18439" t="inlineStr">
        <is>
          <t>Bình Dương</t>
        </is>
      </c>
      <c r="G18439" t="inlineStr">
        <is>
          <t>30-04-2026</t>
        </is>
      </c>
      <c r="H18439" t="inlineStr">
        <is>
          <t>30/04/2026</t>
        </is>
      </c>
      <c r="I18439" t="inlineStr">
        <is>
          <t>17/03/2026</t>
        </is>
      </c>
      <c r="J18439" t="inlineStr">
        <is>
          <t>CNTT - Phần mềm, CNTT - Phần cứng / Mạng</t>
        </is>
      </c>
      <c r="K18439" t="inlineStr">
        <is>
          <t>N/A</t>
        </is>
      </c>
      <c r="L18439" s="8">
        <f>HYPERLINK("https://careerviet.vn/vi/tim-viec-lam/binh-duong-nhan-vien-it.35C6B03F.html","Xem chi tiết")</f>
        <v/>
      </c>
    </row>
    <row r="18440">
      <c r="B18440" s="9" t="n">
        <v>18438</v>
      </c>
      <c r="C18440" s="10" t="inlineStr">
        <is>
          <t>Nhân viên C&amp;B</t>
        </is>
      </c>
      <c r="D18440" s="10" t="inlineStr">
        <is>
          <t>S.F. EXPRESS LTD.</t>
        </is>
      </c>
      <c r="E18440" s="10" t="inlineStr">
        <is>
          <t>Lương:14 Tr - 20 Tr VND</t>
        </is>
      </c>
      <c r="F18440" s="10" t="inlineStr">
        <is>
          <t>Hồ Chí Minh</t>
        </is>
      </c>
      <c r="G18440" s="10" t="inlineStr">
        <is>
          <t>30-04-2026</t>
        </is>
      </c>
      <c r="H18440" s="10" t="inlineStr">
        <is>
          <t>30/04/2026</t>
        </is>
      </c>
      <c r="I18440" s="10" t="inlineStr">
        <is>
          <t>17/03/2026</t>
        </is>
      </c>
      <c r="J18440" s="10" t="inlineStr">
        <is>
          <t>Xuất nhập khẩu, Vận chuyển / Giao nhận / Kho vận, Nhân sự</t>
        </is>
      </c>
      <c r="K18440" s="10" t="inlineStr">
        <is>
          <t>1 - 2 Năm</t>
        </is>
      </c>
      <c r="L18440" s="11">
        <f>HYPERLINK("https://careerviet.vn/vi/tim-viec-lam/nhan-vien-c-b.35C6AF54.html","Xem chi tiết")</f>
        <v/>
      </c>
      <c r="M18440" s="10" t="n"/>
    </row>
    <row r="18441">
      <c r="B18441" s="7" t="n">
        <v>18439</v>
      </c>
      <c r="C18441" t="inlineStr">
        <is>
          <t>KỸ SƯ QS</t>
        </is>
      </c>
      <c r="D18441" t="inlineStr">
        <is>
          <t>CÔNG TY CỔ PHẦN MEGABUILD</t>
        </is>
      </c>
      <c r="E18441" t="inlineStr">
        <is>
          <t>Lương:Cạnh tranh</t>
        </is>
      </c>
      <c r="F18441" t="inlineStr">
        <is>
          <t>Hồ Chí Minh</t>
        </is>
      </c>
      <c r="G18441" t="inlineStr">
        <is>
          <t>03-04-2026</t>
        </is>
      </c>
      <c r="H18441" t="inlineStr">
        <is>
          <t>03/04/2026</t>
        </is>
      </c>
      <c r="I18441" t="inlineStr">
        <is>
          <t>17/03/2026</t>
        </is>
      </c>
      <c r="J18441" t="inlineStr">
        <is>
          <t>Kiến trúc, Xây dựng</t>
        </is>
      </c>
      <c r="K18441" t="inlineStr">
        <is>
          <t>Trên 2 Năm</t>
        </is>
      </c>
      <c r="L18441" s="8">
        <f>HYPERLINK("https://careerviet.vn/vi/tim-viec-lam/ky-su-qs.35C671EC.html","Xem chi tiết")</f>
        <v/>
      </c>
    </row>
    <row r="18442">
      <c r="B18442" s="9" t="n">
        <v>18440</v>
      </c>
      <c r="C18442" s="10" t="inlineStr">
        <is>
          <t>Cộng Tác Viên Kế Toán  - Thời Gian 6 Tháng</t>
        </is>
      </c>
      <c r="D18442" s="10" t="inlineStr">
        <is>
          <t>Công Ty Cổ Phần Mỹ Phẩm Sài Gòn</t>
        </is>
      </c>
      <c r="E18442" s="10" t="inlineStr">
        <is>
          <t>Lương:Cạnh tranh</t>
        </is>
      </c>
      <c r="F18442" s="10" t="inlineStr">
        <is>
          <t>Hồ Chí Minh</t>
        </is>
      </c>
      <c r="G18442" s="10" t="inlineStr">
        <is>
          <t>03-04-2026</t>
        </is>
      </c>
      <c r="H18442" s="10" t="inlineStr">
        <is>
          <t>03/04/2026</t>
        </is>
      </c>
      <c r="I18442" s="10" t="inlineStr">
        <is>
          <t>17/03/2026</t>
        </is>
      </c>
      <c r="J18442" s="10" t="inlineStr">
        <is>
          <t>Kế toán / Kiểm toán</t>
        </is>
      </c>
      <c r="K18442" s="10" t="inlineStr">
        <is>
          <t>1 - 3 Năm</t>
        </is>
      </c>
      <c r="L18442" s="11">
        <f>HYPERLINK("https://careerviet.vn/vi/tim-viec-lam/cong-tac-vien-ke-toan-thoi-gian-6-thang.35C673F5.html","Xem chi tiết")</f>
        <v/>
      </c>
      <c r="M18442" s="10" t="n"/>
    </row>
    <row r="18443">
      <c r="B18443" s="7" t="n">
        <v>18441</v>
      </c>
      <c r="C18443" t="inlineStr">
        <is>
          <t>Thủ kho</t>
        </is>
      </c>
      <c r="D18443" t="inlineStr">
        <is>
          <t>Công ty CP Thành Thành Công - Biên Hòa</t>
        </is>
      </c>
      <c r="E18443" t="inlineStr">
        <is>
          <t>Lương:Cạnh tranh</t>
        </is>
      </c>
      <c r="F18443" t="inlineStr">
        <is>
          <t>Tây Ninh</t>
        </is>
      </c>
      <c r="G18443" t="inlineStr">
        <is>
          <t>03-04-2026</t>
        </is>
      </c>
      <c r="H18443" t="inlineStr">
        <is>
          <t>03/04/2026</t>
        </is>
      </c>
      <c r="I18443" t="inlineStr">
        <is>
          <t>17/03/2026</t>
        </is>
      </c>
      <c r="J18443" t="inlineStr">
        <is>
          <t>Kế toán / Kiểm toán, Vận chuyển / Giao nhận / Kho vận</t>
        </is>
      </c>
      <c r="K18443" t="inlineStr">
        <is>
          <t>1 - 3 Năm</t>
        </is>
      </c>
      <c r="L18443" s="8">
        <f>HYPERLINK("https://careerviet.vn/vi/tim-viec-lam/thu-kho.35C67228.html","Xem chi tiết")</f>
        <v/>
      </c>
    </row>
    <row r="18444">
      <c r="B18444" s="9" t="n">
        <v>18442</v>
      </c>
      <c r="C18444" s="10" t="inlineStr">
        <is>
          <t>National Sales &amp; Marketing Manager</t>
        </is>
      </c>
      <c r="D18444" s="10" t="inlineStr">
        <is>
          <t>CÔNG TY TNHH DƯỢC PHẨM VÀ TRANG THIẾT BỊ Y TẾ HD</t>
        </is>
      </c>
      <c r="E18444" s="10" t="inlineStr">
        <is>
          <t>Lương:Cạnh tranh</t>
        </is>
      </c>
      <c r="F18444" s="10" t="inlineStr">
        <is>
          <t>Hồ Chí Minh</t>
        </is>
      </c>
      <c r="G18444" s="10" t="inlineStr">
        <is>
          <t>03-04-2026</t>
        </is>
      </c>
      <c r="H18444" s="10" t="inlineStr">
        <is>
          <t>03/04/2026</t>
        </is>
      </c>
      <c r="I18444" s="10" t="inlineStr">
        <is>
          <t>17/03/2026</t>
        </is>
      </c>
      <c r="J18444" s="10" t="inlineStr">
        <is>
          <t>Bán hàng / Kinh doanh, Dược phẩm/ Hóa Mỹ Phẩm, Y tế / Chăm sóc sức khỏe / Thẩm mỹ / Làm đẹp</t>
        </is>
      </c>
      <c r="K18444" s="10" t="inlineStr">
        <is>
          <t>3 - 12 Năm</t>
        </is>
      </c>
      <c r="L18444" s="11">
        <f>HYPERLINK("https://careerviet.vn/vi/tim-viec-lam/national-sales-marketing-manager.35C67353.html","Xem chi tiết")</f>
        <v/>
      </c>
      <c r="M18444" s="10" t="n"/>
    </row>
    <row r="18445">
      <c r="B18445" s="7" t="n">
        <v>18443</v>
      </c>
      <c r="C18445" t="inlineStr">
        <is>
          <t>CVC/CVCC Quan Hệ Khách Hàng Ưu Tiên - KV Nam Định - TA189</t>
        </is>
      </c>
      <c r="D18445" t="inlineStr">
        <is>
          <t>Ngân Hàng TMCP Việt Nam Thịnh Vượng - VPBANK</t>
        </is>
      </c>
      <c r="E18445" t="inlineStr">
        <is>
          <t>Lương:20 Tr - 50 Tr VND</t>
        </is>
      </c>
      <c r="F18445" t="inlineStr">
        <is>
          <t>Nam Định</t>
        </is>
      </c>
      <c r="G18445" t="inlineStr">
        <is>
          <t>03-04-2026</t>
        </is>
      </c>
      <c r="H18445" t="inlineStr">
        <is>
          <t>03/04/2026</t>
        </is>
      </c>
      <c r="I18445" t="inlineStr">
        <is>
          <t>17/03/2026</t>
        </is>
      </c>
      <c r="J18445" t="inlineStr">
        <is>
          <t>Ngân hàng, Dịch vụ khách hàng</t>
        </is>
      </c>
      <c r="K18445" t="inlineStr">
        <is>
          <t>Trên 2 Năm</t>
        </is>
      </c>
      <c r="L18445" s="8">
        <f>HYPERLINK("https://careerviet.vn/vi/tim-viec-lam/cvc-cvcc-quan-he-khach-hang-uu-tien-kv-nam-dinh-ta189.35C6738F.html","Xem chi tiết")</f>
        <v/>
      </c>
    </row>
    <row r="18446">
      <c r="B18446" s="9" t="n">
        <v>18444</v>
      </c>
      <c r="C18446" s="10" t="inlineStr">
        <is>
          <t>Kế Toán Nội Bộ</t>
        </is>
      </c>
      <c r="D18446" s="10" t="inlineStr">
        <is>
          <t>Công ty cổ phần Thiết bị Metech</t>
        </is>
      </c>
      <c r="E18446" s="10" t="inlineStr">
        <is>
          <t>Lương:10 Tr - 15 Tr VND</t>
        </is>
      </c>
      <c r="F18446" s="10" t="inlineStr">
        <is>
          <t>Hà Nội</t>
        </is>
      </c>
      <c r="G18446" s="10" t="inlineStr">
        <is>
          <t>03-04-2026</t>
        </is>
      </c>
      <c r="H18446" s="10" t="inlineStr">
        <is>
          <t>03/04/2026</t>
        </is>
      </c>
      <c r="I18446" s="10" t="inlineStr">
        <is>
          <t>17/03/2026</t>
        </is>
      </c>
      <c r="J18446" s="10" t="inlineStr">
        <is>
          <t>Tài chính / Đầu tư, Luật / Pháp lý, Kế toán / Kiểm toán</t>
        </is>
      </c>
      <c r="K18446" s="10" t="inlineStr">
        <is>
          <t>2 - 3 Năm</t>
        </is>
      </c>
      <c r="L18446" s="11">
        <f>HYPERLINK("https://careerviet.vn/vi/tim-viec-lam/ke-toan-noi-bo.35C672A2.html","Xem chi tiết")</f>
        <v/>
      </c>
      <c r="M18446" s="10" t="n"/>
    </row>
    <row r="18447">
      <c r="B18447" s="7" t="n">
        <v>18445</v>
      </c>
      <c r="C18447" t="inlineStr">
        <is>
          <t>Kế Toán Nội Bộ</t>
        </is>
      </c>
      <c r="D18447" t="inlineStr">
        <is>
          <t>Công Ty TNHH Insultec International Việt Nam</t>
        </is>
      </c>
      <c r="E18447" t="inlineStr">
        <is>
          <t>Lương:Cạnh tranh</t>
        </is>
      </c>
      <c r="F18447" t="inlineStr">
        <is>
          <t>Hồ Chí Minh</t>
        </is>
      </c>
      <c r="G18447" t="inlineStr">
        <is>
          <t>03-04-2026</t>
        </is>
      </c>
      <c r="H18447" t="inlineStr">
        <is>
          <t>03/04/2026</t>
        </is>
      </c>
      <c r="I18447" t="inlineStr">
        <is>
          <t>17/03/2026</t>
        </is>
      </c>
      <c r="J18447" t="inlineStr">
        <is>
          <t>Kế toán / Kiểm toán, Xây dựng, Tài chính / Đầu tư</t>
        </is>
      </c>
      <c r="K18447" t="inlineStr">
        <is>
          <t>Trên 1 Năm</t>
        </is>
      </c>
      <c r="L18447" s="8">
        <f>HYPERLINK("https://careerviet.vn/vi/tim-viec-lam/ke-toan-noi-bo.35C67343.html","Xem chi tiết")</f>
        <v/>
      </c>
    </row>
    <row r="18448">
      <c r="B18448" s="9" t="n">
        <v>18446</v>
      </c>
      <c r="C18448" s="10" t="inlineStr">
        <is>
          <t>Giám đốc Ban Vật tư</t>
        </is>
      </c>
      <c r="D18448" s="10" t="inlineStr">
        <is>
          <t>CÔNG TY CỔ PHẦN TẬP ĐOÀN GELEX</t>
        </is>
      </c>
      <c r="E18448" s="10" t="inlineStr">
        <is>
          <t>Lương:Cạnh tranh</t>
        </is>
      </c>
      <c r="F18448" s="10" t="inlineStr">
        <is>
          <t>Hồ Chí MinhHà Nội</t>
        </is>
      </c>
      <c r="G18448" s="10" t="inlineStr">
        <is>
          <t>03-04-2026</t>
        </is>
      </c>
      <c r="H18448" s="10" t="inlineStr">
        <is>
          <t>03/04/2026</t>
        </is>
      </c>
      <c r="I18448" s="10" t="inlineStr">
        <is>
          <t>17/03/2026</t>
        </is>
      </c>
      <c r="J18448" s="10" t="inlineStr">
        <is>
          <t>Vận chuyển / Giao nhận / Kho vận, Xuất nhập khẩu, Thu mua / Vật tư</t>
        </is>
      </c>
      <c r="K18448" s="10" t="inlineStr">
        <is>
          <t>8 - 10 Năm</t>
        </is>
      </c>
      <c r="L18448" s="11">
        <f>HYPERLINK("https://careerviet.vn/vi/tim-viec-lam/giam-doc-ban-vat-tu.35C6735F.html","Xem chi tiết")</f>
        <v/>
      </c>
      <c r="M18448" s="10" t="n"/>
    </row>
    <row r="18449">
      <c r="B18449" s="7" t="n">
        <v>18447</v>
      </c>
      <c r="C18449" t="inlineStr">
        <is>
          <t>[Actuary Dept.] Senior Pricing Actuary</t>
        </is>
      </c>
      <c r="D18449" t="inlineStr">
        <is>
          <t>CÔNG TY TNHH BẢO HIỂM NHÂN THỌ MB AGEAS</t>
        </is>
      </c>
      <c r="E18449" t="inlineStr">
        <is>
          <t>Lương:Cạnh tranh</t>
        </is>
      </c>
      <c r="F18449" t="inlineStr">
        <is>
          <t>Hà Nội</t>
        </is>
      </c>
      <c r="G18449" t="inlineStr">
        <is>
          <t>03-04-2026</t>
        </is>
      </c>
      <c r="H18449" t="inlineStr">
        <is>
          <t>03/04/2026</t>
        </is>
      </c>
      <c r="I18449" t="inlineStr">
        <is>
          <t>17/03/2026</t>
        </is>
      </c>
      <c r="J18449" t="inlineStr">
        <is>
          <t>Bảo hiểm, Ngân hàng, Tài chính / Đầu tư</t>
        </is>
      </c>
      <c r="K18449" t="inlineStr">
        <is>
          <t>Trên 4 Năm</t>
        </is>
      </c>
      <c r="L18449" s="8">
        <f>HYPERLINK("https://careerviet.vn/vi/tim-viec-lam/actuary-dept-senior-pricing-actuary.35C673FF.html","Xem chi tiết")</f>
        <v/>
      </c>
    </row>
    <row r="18450">
      <c r="B18450" s="9" t="n">
        <v>18448</v>
      </c>
      <c r="C18450" s="10" t="inlineStr">
        <is>
          <t>[Hotel HN] General Manager (Pre-opening)</t>
        </is>
      </c>
      <c r="D18450" s="10" t="inlineStr">
        <is>
          <t>Công ty Cổ phần Tập đoàn Minh Anh</t>
        </is>
      </c>
      <c r="E18450" s="10" t="inlineStr">
        <is>
          <t>Lương:Cạnh tranh</t>
        </is>
      </c>
      <c r="F18450" s="10" t="inlineStr">
        <is>
          <t>Hà Nội</t>
        </is>
      </c>
      <c r="G18450" s="10" t="inlineStr">
        <is>
          <t>03-04-2026</t>
        </is>
      </c>
      <c r="H18450" s="10" t="inlineStr">
        <is>
          <t>03/04/2026</t>
        </is>
      </c>
      <c r="I18450" s="10" t="inlineStr">
        <is>
          <t>17/03/2026</t>
        </is>
      </c>
      <c r="J18450" s="10" t="inlineStr">
        <is>
          <t>Quản lý điều hành, Nhà hàng / Khách sạn, Du lịch</t>
        </is>
      </c>
      <c r="K18450" s="10" t="inlineStr">
        <is>
          <t>5 - 10 Năm</t>
        </is>
      </c>
      <c r="L18450" s="11">
        <f>HYPERLINK("https://careerviet.vn/vi/tim-viec-lam/hotel-hn-general-manager-pre-opening.35C672DC.html","Xem chi tiết")</f>
        <v/>
      </c>
      <c r="M18450" s="10" t="n"/>
    </row>
    <row r="18451">
      <c r="B18451" s="7" t="n">
        <v>18449</v>
      </c>
      <c r="C18451" t="inlineStr">
        <is>
          <t>[Khối Đại lý] Chuyên viên cao cấp Digital Marketing</t>
        </is>
      </c>
      <c r="D18451" t="inlineStr">
        <is>
          <t>CÔNG TY TNHH BẢO HIỂM NHÂN THỌ MB AGEAS</t>
        </is>
      </c>
      <c r="E18451" t="inlineStr">
        <is>
          <t>Lương:Cạnh tranh</t>
        </is>
      </c>
      <c r="F18451" t="inlineStr">
        <is>
          <t>Hà Nội</t>
        </is>
      </c>
      <c r="G18451" t="inlineStr">
        <is>
          <t>03-04-2026</t>
        </is>
      </c>
      <c r="H18451" t="inlineStr">
        <is>
          <t>03/04/2026</t>
        </is>
      </c>
      <c r="I18451" t="inlineStr">
        <is>
          <t>17/03/2026</t>
        </is>
      </c>
      <c r="J18451" t="inlineStr">
        <is>
          <t>Bảo hiểm, Ngân hàng, Tài chính / Đầu tư</t>
        </is>
      </c>
      <c r="K18451" t="inlineStr">
        <is>
          <t>3 - 5 Năm</t>
        </is>
      </c>
      <c r="L18451" s="8">
        <f>HYPERLINK("https://careerviet.vn/vi/tim-viec-lam/khoi-dai-ly-chuyen-vien-cao-cap-digital-marketing.35C673FE.html","Xem chi tiết")</f>
        <v/>
      </c>
    </row>
    <row r="18452">
      <c r="B18452" s="9" t="n">
        <v>18450</v>
      </c>
      <c r="C18452" s="10" t="inlineStr">
        <is>
          <t>Nhân viên QC (làm việc tại tuyến công nghiệp Cổ Chiên, Vĩnh Long)</t>
        </is>
      </c>
      <c r="D18452" s="10" t="inlineStr">
        <is>
          <t>De Heus LLC</t>
        </is>
      </c>
      <c r="E18452" s="10" t="inlineStr">
        <is>
          <t>Lương:8 Tr - 9,3 Tr VND</t>
        </is>
      </c>
      <c r="F18452" s="10" t="inlineStr">
        <is>
          <t>Vĩnh Long</t>
        </is>
      </c>
      <c r="G18452" s="10" t="inlineStr">
        <is>
          <t>31-03-2026</t>
        </is>
      </c>
      <c r="H18452" s="10" t="inlineStr">
        <is>
          <t>31/03/2026</t>
        </is>
      </c>
      <c r="I18452" s="10" t="inlineStr">
        <is>
          <t>17/03/2026</t>
        </is>
      </c>
      <c r="J18452" s="10" t="inlineStr">
        <is>
          <t>Thực phẩm &amp; Đồ uống, Chăn nuôi / Thú y, Công nghệ thực phẩm / Dinh dưỡng</t>
        </is>
      </c>
      <c r="K18452" s="10" t="inlineStr">
        <is>
          <t>1 - 5 Năm</t>
        </is>
      </c>
      <c r="L18452" s="11">
        <f>HYPERLINK("https://careerviet.vn/vi/tim-viec-lam/nhan-vien-qc-lam-viec-tai-tuyen-cong-nghiep-co-chien-vinh-long.35C66FA7.html","Xem chi tiết")</f>
        <v/>
      </c>
      <c r="M18452" s="10" t="n"/>
    </row>
    <row r="18453">
      <c r="B18453" s="7" t="n">
        <v>18451</v>
      </c>
      <c r="C18453" t="inlineStr">
        <is>
          <t>Nhân viên giao hàng xe máy</t>
        </is>
      </c>
      <c r="D18453" t="inlineStr">
        <is>
          <t>Công ty Cổ Phần Gourmet Partner Việt Nam</t>
        </is>
      </c>
      <c r="E18453" t="inlineStr">
        <is>
          <t>Lương:Cạnh tranh</t>
        </is>
      </c>
      <c r="F18453" t="inlineStr">
        <is>
          <t>Hà Nội</t>
        </is>
      </c>
      <c r="G18453" t="inlineStr">
        <is>
          <t>31-03-2026</t>
        </is>
      </c>
      <c r="H18453" t="inlineStr">
        <is>
          <t>31/03/2026</t>
        </is>
      </c>
      <c r="I18453" t="inlineStr">
        <is>
          <t>17/03/2026</t>
        </is>
      </c>
      <c r="J18453" t="inlineStr">
        <is>
          <t>Bán lẻ / Bán sỉ, Vận chuyển / Giao nhận / Kho vận</t>
        </is>
      </c>
      <c r="K18453" t="inlineStr">
        <is>
          <t>1 - 3 Năm</t>
        </is>
      </c>
      <c r="L18453" s="8">
        <f>HYPERLINK("https://careerviet.vn/vi/tim-viec-lam/nhan-vien-giao-hang-xe-may.35C66FFD.html","Xem chi tiết")</f>
        <v/>
      </c>
    </row>
    <row r="18454">
      <c r="B18454" s="9" t="n">
        <v>18452</v>
      </c>
      <c r="C18454" s="10" t="inlineStr">
        <is>
          <t>Trưởng Nhóm Giám Sát Dịch Vụ (Building Executive Team Leader)</t>
        </is>
      </c>
      <c r="D18454" s="10" t="inlineStr">
        <is>
          <t>Savills Vietnam</t>
        </is>
      </c>
      <c r="E18454" s="10" t="inlineStr">
        <is>
          <t>Lương:Cạnh tranh</t>
        </is>
      </c>
      <c r="F18454" s="10" t="inlineStr">
        <is>
          <t>Hồ Chí Minh</t>
        </is>
      </c>
      <c r="G18454" s="10" t="inlineStr">
        <is>
          <t>03-04-2026</t>
        </is>
      </c>
      <c r="H18454" s="10" t="inlineStr">
        <is>
          <t>03/04/2026</t>
        </is>
      </c>
      <c r="I18454" s="10" t="inlineStr">
        <is>
          <t>17/03/2026</t>
        </is>
      </c>
      <c r="J18454" s="10" t="inlineStr">
        <is>
          <t>Dịch vụ khách hàng, Nhà hàng / Khách sạn, Ngành khác</t>
        </is>
      </c>
      <c r="K18454" s="10" t="inlineStr">
        <is>
          <t>1 - 2 Năm</t>
        </is>
      </c>
      <c r="L18454" s="11">
        <f>HYPERLINK("https://careerviet.vn/vi/tim-viec-lam/truong-nhom-giam-sat-dich-vu-building-executive-team-leader.35C66D04.html","Xem chi tiết")</f>
        <v/>
      </c>
      <c r="M18454" s="10" t="n"/>
    </row>
    <row r="18455">
      <c r="B18455" s="7" t="n">
        <v>18453</v>
      </c>
      <c r="C18455" t="inlineStr">
        <is>
          <t>Nhân Sự Tổng Hợp</t>
        </is>
      </c>
      <c r="D18455" t="inlineStr">
        <is>
          <t>CÔNG TY CỔ PHẦN TCELL</t>
        </is>
      </c>
      <c r="E18455" t="inlineStr">
        <is>
          <t>Lương:12 Tr - 17 Tr VND</t>
        </is>
      </c>
      <c r="F18455" t="inlineStr">
        <is>
          <t>Hồ Chí Minh</t>
        </is>
      </c>
      <c r="G18455" t="inlineStr">
        <is>
          <t>31-03-2026</t>
        </is>
      </c>
      <c r="H18455" t="inlineStr">
        <is>
          <t>31/03/2026</t>
        </is>
      </c>
      <c r="I18455" t="inlineStr">
        <is>
          <t>17/03/2026</t>
        </is>
      </c>
      <c r="J18455" t="inlineStr">
        <is>
          <t>Hành chính / Thư ký, Nhân sự, Quản lý điều hành</t>
        </is>
      </c>
      <c r="K18455" t="inlineStr">
        <is>
          <t>4 - 6 Năm</t>
        </is>
      </c>
      <c r="L18455" s="8">
        <f>HYPERLINK("https://careerviet.vn/vi/tim-viec-lam/nhan-su-tong-hop.35C6A5D8.html","Xem chi tiết")</f>
        <v/>
      </c>
    </row>
    <row r="18456">
      <c r="B18456" s="9" t="n">
        <v>18454</v>
      </c>
      <c r="C18456" s="10" t="inlineStr">
        <is>
          <t>Nhân viên Kỹ thuật bê tông</t>
        </is>
      </c>
      <c r="D18456" s="10" t="inlineStr">
        <is>
          <t>Công Ty Cổ Phần MC-Bifi Bauchemie</t>
        </is>
      </c>
      <c r="E18456" s="10" t="inlineStr">
        <is>
          <t>Lương:12 Tr - 15 Tr VND</t>
        </is>
      </c>
      <c r="F18456" s="10" t="inlineStr">
        <is>
          <t>Hồ Chí MinhHà Nội</t>
        </is>
      </c>
      <c r="G18456" s="10" t="inlineStr">
        <is>
          <t>31-03-2026</t>
        </is>
      </c>
      <c r="H18456" s="10" t="inlineStr">
        <is>
          <t>31/03/2026</t>
        </is>
      </c>
      <c r="I18456" s="10" t="inlineStr">
        <is>
          <t>17/03/2026</t>
        </is>
      </c>
      <c r="J18456" s="10" t="inlineStr">
        <is>
          <t>Bán Hàng Kỹ Thuật, Hóa học, Xây dựng</t>
        </is>
      </c>
      <c r="K18456" s="10" t="inlineStr">
        <is>
          <t>2 - 3 Năm</t>
        </is>
      </c>
      <c r="L18456" s="11">
        <f>HYPERLINK("https://careerviet.vn/vi/tim-viec-lam/nhan-vien-ky-thuat-be-tong.35C6701B.html","Xem chi tiết")</f>
        <v/>
      </c>
      <c r="M18456" s="10" t="n"/>
    </row>
    <row r="18457">
      <c r="B18457" s="7" t="n">
        <v>18455</v>
      </c>
      <c r="C18457" t="inlineStr">
        <is>
          <t>Forklift Driver/Warehouse – Nhân viên lái xe nâng/Nhân viên kho hàng</t>
        </is>
      </c>
      <c r="D18457" t="inlineStr">
        <is>
          <t>Công Ty Cổ Phần Goody Group</t>
        </is>
      </c>
      <c r="E18457" t="inlineStr">
        <is>
          <t>Lương:8 Tr - 9 Tr VND</t>
        </is>
      </c>
      <c r="F18457" t="inlineStr">
        <is>
          <t>Hồ Chí Minh</t>
        </is>
      </c>
      <c r="G18457" t="inlineStr">
        <is>
          <t>31-03-2026</t>
        </is>
      </c>
      <c r="H18457" t="inlineStr">
        <is>
          <t>31/03/2026</t>
        </is>
      </c>
      <c r="I18457" t="inlineStr">
        <is>
          <t>17/03/2026</t>
        </is>
      </c>
      <c r="J18457" t="inlineStr">
        <is>
          <t>Vận chuyển / Giao nhận / Kho vận</t>
        </is>
      </c>
      <c r="K18457" t="inlineStr">
        <is>
          <t>1 - 2 Năm</t>
        </is>
      </c>
      <c r="L18457" s="8">
        <f>HYPERLINK("https://careerviet.vn/vi/tim-viec-lam/forklift-driver-warehouse-nhan-vien-lai-xe-nang-nhan-vien-kho-hang.35C644F8.html","Xem chi tiết")</f>
        <v/>
      </c>
    </row>
    <row r="18458">
      <c r="B18458" s="9" t="n">
        <v>18456</v>
      </c>
      <c r="C18458" s="10" t="inlineStr">
        <is>
          <t>Nhân viên kỹ thuật dự án</t>
        </is>
      </c>
      <c r="D18458" s="10" t="inlineStr">
        <is>
          <t>Servo Dynamics Engineering Co.,Ltd</t>
        </is>
      </c>
      <c r="E18458" s="10" t="inlineStr">
        <is>
          <t>Lương:9 Tr - 10 Tr VND</t>
        </is>
      </c>
      <c r="F18458" s="10" t="inlineStr">
        <is>
          <t>Hồ Chí Minh</t>
        </is>
      </c>
      <c r="G18458" s="10" t="inlineStr">
        <is>
          <t>31-03-2026</t>
        </is>
      </c>
      <c r="H18458" s="10" t="inlineStr">
        <is>
          <t>31/03/2026</t>
        </is>
      </c>
      <c r="I18458" s="10" t="inlineStr">
        <is>
          <t>17/03/2026</t>
        </is>
      </c>
      <c r="J18458" s="10" t="inlineStr">
        <is>
          <t>Điện / Điện tử / Điện lạnh / Điện công nghiệp, Bảo trì / Sửa chữa, Mới tốt nghiệp / Thực tập</t>
        </is>
      </c>
      <c r="K18458" s="10" t="inlineStr">
        <is>
          <t>N/A</t>
        </is>
      </c>
      <c r="L18458" s="11">
        <f>HYPERLINK("https://careerviet.vn/vi/tim-viec-lam/nhan-vien-ky-thuat-du-an.35C67004.html","Xem chi tiết")</f>
        <v/>
      </c>
      <c r="M18458" s="10" t="n"/>
    </row>
    <row r="18459">
      <c r="B18459" s="7" t="n">
        <v>18457</v>
      </c>
      <c r="C18459" t="inlineStr">
        <is>
          <t>Nhân Viên Thiết Kế Máy</t>
        </is>
      </c>
      <c r="D18459" t="inlineStr">
        <is>
          <t>Công ty Cổ Phần Tập Đoàn Thiên Long</t>
        </is>
      </c>
      <c r="E18459" t="inlineStr">
        <is>
          <t>Lương:Cạnh tranh</t>
        </is>
      </c>
      <c r="F18459" t="inlineStr">
        <is>
          <t>Hồ Chí Minh</t>
        </is>
      </c>
      <c r="G18459" t="inlineStr">
        <is>
          <t>31-03-2026</t>
        </is>
      </c>
      <c r="H18459" t="inlineStr">
        <is>
          <t>31/03/2026</t>
        </is>
      </c>
      <c r="I18459" t="inlineStr">
        <is>
          <t>17/03/2026</t>
        </is>
      </c>
      <c r="J18459" t="inlineStr">
        <is>
          <t>Cơ khí / Ô tô / Tự động hóa</t>
        </is>
      </c>
      <c r="K18459" t="inlineStr">
        <is>
          <t>1 - 3 Năm</t>
        </is>
      </c>
      <c r="L18459" s="8">
        <f>HYPERLINK("https://careerviet.vn/vi/tim-viec-lam/nhan-vien-thiet-ke-may.35C6713A.html","Xem chi tiết")</f>
        <v/>
      </c>
    </row>
    <row r="18460">
      <c r="B18460" s="9" t="n">
        <v>18458</v>
      </c>
      <c r="C18460" s="10" t="inlineStr">
        <is>
          <t>Thư Kí Công Trình  (Hà Nội)</t>
        </is>
      </c>
      <c r="D18460" s="10" t="inlineStr">
        <is>
          <t>Công Ty Cổ Phần Kiến Trúc Tư Vấn Quản Lý Đông Dương</t>
        </is>
      </c>
      <c r="E18460" s="10" t="inlineStr">
        <is>
          <t>Lương:Cạnh tranh</t>
        </is>
      </c>
      <c r="F18460" s="10" t="inlineStr">
        <is>
          <t>Hà Nội</t>
        </is>
      </c>
      <c r="G18460" s="10" t="inlineStr">
        <is>
          <t>1</t>
        </is>
      </c>
      <c r="H18460" s="10" t="inlineStr">
        <is>
          <t>18/03/2026</t>
        </is>
      </c>
      <c r="I18460" s="10" t="inlineStr">
        <is>
          <t>17/03/2026</t>
        </is>
      </c>
      <c r="J18460" s="10" t="inlineStr">
        <is>
          <t>Kiến trúc, Hành chính / Thư ký, Xây dựng</t>
        </is>
      </c>
      <c r="K18460" s="10" t="inlineStr">
        <is>
          <t>3 - 10 Năm</t>
        </is>
      </c>
      <c r="L18460" s="11">
        <f>HYPERLINK("https://careerviet.vn/vi/tim-viec-lam/thu-ki-cong-trinh-ha-noi.35C63338.html","Xem chi tiết")</f>
        <v/>
      </c>
      <c r="M18460" s="10" t="n"/>
    </row>
    <row r="18461">
      <c r="B18461" s="7" t="n">
        <v>18459</v>
      </c>
      <c r="C18461" t="inlineStr">
        <is>
          <t>Chuyên viên Mua hàng nhập khẩu</t>
        </is>
      </c>
      <c r="D18461" t="inlineStr">
        <is>
          <t>CÔNG TY CỔ PHẦN CÔNG NGHIỆP WELDCOM</t>
        </is>
      </c>
      <c r="E18461" t="inlineStr">
        <is>
          <t>Lương:15 Tr - 20 Tr VND</t>
        </is>
      </c>
      <c r="F18461" t="inlineStr">
        <is>
          <t>Hà Nội</t>
        </is>
      </c>
      <c r="G18461" t="inlineStr">
        <is>
          <t>27-03-2026</t>
        </is>
      </c>
      <c r="H18461" t="inlineStr">
        <is>
          <t>27/03/2026</t>
        </is>
      </c>
      <c r="I18461" t="inlineStr">
        <is>
          <t>17/03/2026</t>
        </is>
      </c>
      <c r="J18461" t="inlineStr">
        <is>
          <t>Xuất nhập khẩu, Thu mua / Vật tư, Bán hàng / Kinh doanh</t>
        </is>
      </c>
      <c r="K18461" t="inlineStr">
        <is>
          <t>2 - 5 Năm</t>
        </is>
      </c>
      <c r="L18461" s="8">
        <f>HYPERLINK("https://careerviet.vn/vi/tim-viec-lam/chuyen-vien-mua-hang-nhap-khau.35C669F8.html","Xem chi tiết")</f>
        <v/>
      </c>
    </row>
    <row r="18462">
      <c r="B18462" s="9" t="n">
        <v>18460</v>
      </c>
      <c r="C18462" s="10" t="inlineStr">
        <is>
          <t>[Đồng Nai] Giám Sát Rạp Phim Beta Biên Hòa</t>
        </is>
      </c>
      <c r="D18462" s="10" t="inlineStr">
        <is>
          <t>Beta Group</t>
        </is>
      </c>
      <c r="E18462" s="10" t="inlineStr">
        <is>
          <t>Lương:8 Tr - 10 Tr VND</t>
        </is>
      </c>
      <c r="F18462" s="10" t="inlineStr">
        <is>
          <t>Đồng Nai</t>
        </is>
      </c>
      <c r="G18462" s="10" t="inlineStr">
        <is>
          <t>30-03-2026</t>
        </is>
      </c>
      <c r="H18462" s="10" t="inlineStr">
        <is>
          <t>30/03/2026</t>
        </is>
      </c>
      <c r="I18462" s="10" t="inlineStr">
        <is>
          <t>17/03/2026</t>
        </is>
      </c>
      <c r="J18462" s="10" t="inlineStr">
        <is>
          <t>Dịch vụ khách hàng, Nhà hàng / Khách sạn, Bán lẻ / Bán sỉ</t>
        </is>
      </c>
      <c r="K18462" s="10" t="inlineStr">
        <is>
          <t>1 - 3 Năm</t>
        </is>
      </c>
      <c r="L18462" s="11">
        <f>HYPERLINK("https://careerviet.vn/vi/tim-viec-lam/dong-nai-giam-sat-rap-phim-beta-bien-hoa.35C64365.html","Xem chi tiết")</f>
        <v/>
      </c>
      <c r="M18462" s="10" t="n"/>
    </row>
    <row r="18463">
      <c r="B18463" s="7" t="n">
        <v>18461</v>
      </c>
      <c r="C18463" t="inlineStr">
        <is>
          <t>Supervisor Inbound Ecommerce</t>
        </is>
      </c>
      <c r="D18463" t="inlineStr">
        <is>
          <t>CÔNG TY CỔ PHẦN ALTIUS LINK VIỆT NAM</t>
        </is>
      </c>
      <c r="E18463" t="inlineStr">
        <is>
          <t>Lương:12 Tr - 16 Tr VND</t>
        </is>
      </c>
      <c r="F18463" t="inlineStr">
        <is>
          <t>Hồ Chí Minh</t>
        </is>
      </c>
      <c r="G18463" t="inlineStr">
        <is>
          <t>30-03-2026</t>
        </is>
      </c>
      <c r="H18463" t="inlineStr">
        <is>
          <t>30/03/2026</t>
        </is>
      </c>
      <c r="I18463" t="inlineStr">
        <is>
          <t>17/03/2026</t>
        </is>
      </c>
      <c r="J18463" t="inlineStr">
        <is>
          <t>Tiếp thị / Marketing, Tiếp thị trực tuyến, Tư vấn</t>
        </is>
      </c>
      <c r="K18463" t="inlineStr">
        <is>
          <t>1 - 2 Năm</t>
        </is>
      </c>
      <c r="L18463" s="8">
        <f>HYPERLINK("https://careerviet.vn/vi/tim-viec-lam/supervisor-inbound-ecommerce.35C642F6.html","Xem chi tiết")</f>
        <v/>
      </c>
    </row>
    <row r="18464">
      <c r="B18464" s="9" t="n">
        <v>18462</v>
      </c>
      <c r="C18464" s="10" t="inlineStr">
        <is>
          <t>Brand Marketing Director</t>
        </is>
      </c>
      <c r="D18464" s="10" t="inlineStr">
        <is>
          <t>Concung.com - Con Cung Joint Stock Company</t>
        </is>
      </c>
      <c r="E18464" s="10" t="inlineStr">
        <is>
          <t>Lương:Cạnh tranh</t>
        </is>
      </c>
      <c r="F18464" s="10" t="inlineStr">
        <is>
          <t>Hồ Chí Minh</t>
        </is>
      </c>
      <c r="G18464" s="10" t="inlineStr">
        <is>
          <t>30-03-2026</t>
        </is>
      </c>
      <c r="H18464" s="10" t="inlineStr">
        <is>
          <t>30/03/2026</t>
        </is>
      </c>
      <c r="I18464" s="10" t="inlineStr">
        <is>
          <t>17/03/2026</t>
        </is>
      </c>
      <c r="J18464" s="10" t="inlineStr">
        <is>
          <t>Tiếp thị / Marketing, Bán lẻ / Bán sỉ, Bán hàng / Kinh doanh</t>
        </is>
      </c>
      <c r="K18464" s="10" t="inlineStr">
        <is>
          <t>3 - 5 Năm</t>
        </is>
      </c>
      <c r="L18464" s="11">
        <f>HYPERLINK("https://careerviet.vn/vi/tim-viec-lam/brand-marketing-director.35C6440A.html","Xem chi tiết")</f>
        <v/>
      </c>
      <c r="M18464" s="10" t="n"/>
    </row>
    <row r="18465">
      <c r="B18465" s="7" t="n">
        <v>18463</v>
      </c>
      <c r="C18465" t="inlineStr">
        <is>
          <t>MARKETING CONTENT LEADER</t>
        </is>
      </c>
      <c r="D18465" t="inlineStr">
        <is>
          <t>Công ty TNHH VK Soho Offices</t>
        </is>
      </c>
      <c r="E18465" t="inlineStr">
        <is>
          <t>Lương:15 Tr - 17 Tr VND</t>
        </is>
      </c>
      <c r="F18465" t="inlineStr">
        <is>
          <t>Hồ Chí MinhĐà Nẵng</t>
        </is>
      </c>
      <c r="G18465" t="inlineStr">
        <is>
          <t>31-03-2026</t>
        </is>
      </c>
      <c r="H18465" t="inlineStr">
        <is>
          <t>31/03/2026</t>
        </is>
      </c>
      <c r="I18465" t="inlineStr">
        <is>
          <t>17/03/2026</t>
        </is>
      </c>
      <c r="J18465" t="inlineStr">
        <is>
          <t>Tiếp thị / Marketing, Quảng cáo / Đối ngoại / Truyền Thông</t>
        </is>
      </c>
      <c r="K18465" t="inlineStr">
        <is>
          <t>3 - 5 Năm</t>
        </is>
      </c>
      <c r="L18465" s="8">
        <f>HYPERLINK("https://careerviet.vn/vi/tim-viec-lam/marketing-content-leader.35C64500.html","Xem chi tiết")</f>
        <v/>
      </c>
    </row>
    <row r="18466">
      <c r="B18466" s="9" t="n">
        <v>18464</v>
      </c>
      <c r="C18466" s="10" t="inlineStr">
        <is>
          <t>KV Bắc Trung Bộ - Giám đốc/Chuyên viên Dịch vụ Khách hàng</t>
        </is>
      </c>
      <c r="D18466" s="10" t="inlineStr">
        <is>
          <t>BVBank - Ngân hàng Bản Việt</t>
        </is>
      </c>
      <c r="E18466" s="10" t="inlineStr">
        <is>
          <t>Lương:Cạnh tranh</t>
        </is>
      </c>
      <c r="F18466" s="10" t="inlineStr">
        <is>
          <t>Thanh HóaHà TĩnhNghệ An</t>
        </is>
      </c>
      <c r="G18466" s="10" t="inlineStr">
        <is>
          <t>30-03-2026</t>
        </is>
      </c>
      <c r="H18466" s="10" t="inlineStr">
        <is>
          <t>30/03/2026</t>
        </is>
      </c>
      <c r="I18466" s="10" t="inlineStr">
        <is>
          <t>17/03/2026</t>
        </is>
      </c>
      <c r="J18466" s="10" t="inlineStr">
        <is>
          <t>Ngân hàng, Tài chính / Đầu tư, Bán hàng / Kinh doanh</t>
        </is>
      </c>
      <c r="K18466" s="10" t="inlineStr">
        <is>
          <t>1 - 2 Năm</t>
        </is>
      </c>
      <c r="L18466" s="11">
        <f>HYPERLINK("https://careerviet.vn/vi/tim-viec-lam/kv-bac-trung-bo-giam-doc-chuyen-vien-dich-vu-khach-hang.35C643B8.html","Xem chi tiết")</f>
        <v/>
      </c>
      <c r="M18466" s="10" t="n"/>
    </row>
    <row r="18467">
      <c r="B18467" s="7" t="n">
        <v>18465</v>
      </c>
      <c r="C18467" t="inlineStr">
        <is>
          <t>Giám Sát Bán Hàng - Đồng Nai-Bà Rịa Vũng Tàu</t>
        </is>
      </c>
      <c r="D18467" t="inlineStr">
        <is>
          <t>Công ty Cổ Phần Tập Đoàn Điện Quang</t>
        </is>
      </c>
      <c r="E18467" t="inlineStr">
        <is>
          <t>Lương:Cạnh tranh</t>
        </is>
      </c>
      <c r="F18467" t="inlineStr">
        <is>
          <t>Đồng NaiBà Rịa - Vũng Tàu</t>
        </is>
      </c>
      <c r="G18467" t="inlineStr">
        <is>
          <t>30-03-2026</t>
        </is>
      </c>
      <c r="H18467" t="inlineStr">
        <is>
          <t>30/03/2026</t>
        </is>
      </c>
      <c r="I18467" t="inlineStr">
        <is>
          <t>17/03/2026</t>
        </is>
      </c>
      <c r="J18467" t="inlineStr">
        <is>
          <t>Bán lẻ / Bán sỉ, Bán hàng / Kinh doanh</t>
        </is>
      </c>
      <c r="K18467" t="inlineStr">
        <is>
          <t>2 - 3 Năm</t>
        </is>
      </c>
      <c r="L18467" s="8">
        <f>HYPERLINK("https://careerviet.vn/vi/tim-viec-lam/giam-sat-ban-hang-dong-nai-ba-ria-vung-tau.35C643DC.html","Xem chi tiết")</f>
        <v/>
      </c>
    </row>
    <row r="18468">
      <c r="B18468" s="9" t="n">
        <v>18466</v>
      </c>
      <c r="C18468" s="10" t="inlineStr">
        <is>
          <t>Giám đốc Ban quản lý dự án xây dựng  [Làm việc tại Bắc Giang]</t>
        </is>
      </c>
      <c r="D18468" s="10" t="inlineStr">
        <is>
          <t>CÔNG TY CỔ PHẦN ĐẦU TƯ THIÊN ÂN</t>
        </is>
      </c>
      <c r="E18468" s="10" t="inlineStr">
        <is>
          <t>Lương:25 Tr - 30 Tr VND</t>
        </is>
      </c>
      <c r="F18468" s="10" t="inlineStr">
        <is>
          <t>Bắc GiangHà Nội</t>
        </is>
      </c>
      <c r="G18468" s="10" t="inlineStr">
        <is>
          <t>30-03-2026</t>
        </is>
      </c>
      <c r="H18468" s="10" t="inlineStr">
        <is>
          <t>30/03/2026</t>
        </is>
      </c>
      <c r="I18468" s="10" t="inlineStr">
        <is>
          <t>17/03/2026</t>
        </is>
      </c>
      <c r="J18468" s="10" t="inlineStr">
        <is>
          <t>Kiến trúc, Xây dựng, Bất động sản</t>
        </is>
      </c>
      <c r="K18468" s="10" t="inlineStr">
        <is>
          <t>Trên 5 Năm</t>
        </is>
      </c>
      <c r="L18468" s="11">
        <f>HYPERLINK("https://careerviet.vn/vi/tim-viec-lam/giam-doc-ban-quan-ly-du-an-xay-dung-lam-viec-tai-bac-giang.35C643B3.html","Xem chi tiết")</f>
        <v/>
      </c>
      <c r="M18468" s="10" t="n"/>
    </row>
    <row r="18469">
      <c r="B18469" s="7" t="n">
        <v>18467</v>
      </c>
      <c r="C18469" t="inlineStr">
        <is>
          <t>Key Account Manager (EL - Home&amp;Kitchen Appliances)</t>
        </is>
      </c>
      <c r="D18469" t="inlineStr">
        <is>
          <t>Công Ty Cổ Phần Metub Việt Nam</t>
        </is>
      </c>
      <c r="E18469" t="inlineStr">
        <is>
          <t>Lương:Cạnh tranh</t>
        </is>
      </c>
      <c r="F18469" t="inlineStr">
        <is>
          <t>Hồ Chí Minh</t>
        </is>
      </c>
      <c r="G18469" t="inlineStr">
        <is>
          <t>30-03-2026</t>
        </is>
      </c>
      <c r="H18469" t="inlineStr">
        <is>
          <t>30/03/2026</t>
        </is>
      </c>
      <c r="I18469" t="inlineStr">
        <is>
          <t>17/03/2026</t>
        </is>
      </c>
      <c r="J18469" t="inlineStr">
        <is>
          <t>Thương mại điện tử, Hàng gia dụng / Chăm sóc cá nhân</t>
        </is>
      </c>
      <c r="K18469" t="inlineStr">
        <is>
          <t>3 - 6 Năm</t>
        </is>
      </c>
      <c r="L18469" s="8">
        <f>HYPERLINK("https://careerviet.vn/vi/tim-viec-lam/key-account-manager-el-home-kitchen-appliances.35C643D1.html","Xem chi tiết")</f>
        <v/>
      </c>
    </row>
    <row r="18470">
      <c r="B18470" s="9" t="n">
        <v>18468</v>
      </c>
      <c r="C18470" s="10" t="inlineStr">
        <is>
          <t>Phó Phòng Kinh Doanh</t>
        </is>
      </c>
      <c r="D18470" s="10" t="inlineStr">
        <is>
          <t>CÔNG TY CỔ PHẦN GIẶT ỦI XANH</t>
        </is>
      </c>
      <c r="E18470" s="10" t="inlineStr">
        <is>
          <t>Lương:25 Tr - 45 Tr VND</t>
        </is>
      </c>
      <c r="F18470" s="10" t="inlineStr">
        <is>
          <t>Hồ Chí Minh</t>
        </is>
      </c>
      <c r="G18470" s="10" t="inlineStr">
        <is>
          <t>30-03-2026</t>
        </is>
      </c>
      <c r="H18470" s="10" t="inlineStr">
        <is>
          <t>30/03/2026</t>
        </is>
      </c>
      <c r="I18470" s="10" t="inlineStr">
        <is>
          <t>17/03/2026</t>
        </is>
      </c>
      <c r="J18470" s="10" t="inlineStr">
        <is>
          <t>Tiếp thị / Marketing, Bán lẻ / Bán sỉ, Bán hàng / Kinh doanh</t>
        </is>
      </c>
      <c r="K18470" s="10" t="inlineStr">
        <is>
          <t>Trên 1 Năm</t>
        </is>
      </c>
      <c r="L18470" s="11">
        <f>HYPERLINK("https://careerviet.vn/vi/tim-viec-lam/pho-phong-kinh-doanh.35C64410.html","Xem chi tiết")</f>
        <v/>
      </c>
      <c r="M18470" s="10" t="n"/>
    </row>
    <row r="18471">
      <c r="B18471" s="7" t="n">
        <v>18469</v>
      </c>
      <c r="C18471" t="inlineStr">
        <is>
          <t>Chuyên viên Quay dựng</t>
        </is>
      </c>
      <c r="D18471" t="inlineStr">
        <is>
          <t>CÔNG TY CỔ PHẦN BADAN</t>
        </is>
      </c>
      <c r="E18471" t="inlineStr">
        <is>
          <t>Lương:15 Tr - 18 Tr VND</t>
        </is>
      </c>
      <c r="F18471" t="inlineStr">
        <is>
          <t>Hà Nội</t>
        </is>
      </c>
      <c r="G18471" t="inlineStr">
        <is>
          <t>29-03-2026</t>
        </is>
      </c>
      <c r="H18471" t="inlineStr">
        <is>
          <t>29/03/2026</t>
        </is>
      </c>
      <c r="I18471" t="inlineStr">
        <is>
          <t>17/03/2026</t>
        </is>
      </c>
      <c r="J18471" t="inlineStr">
        <is>
          <t>Tiếp thị / Marketing, Y tế / Chăm sóc sức khỏe / Thẩm mỹ / Làm đẹp, Quảng cáo / Đối ngoại / Truyền Thông</t>
        </is>
      </c>
      <c r="K18471" t="inlineStr">
        <is>
          <t>2 - 5 Năm</t>
        </is>
      </c>
      <c r="L18471" s="8">
        <f>HYPERLINK("https://careerviet.vn/vi/tim-viec-lam/chuyen-vien-quay-dung.35C642C6.html","Xem chi tiết")</f>
        <v/>
      </c>
    </row>
    <row r="18472">
      <c r="B18472" s="9" t="n">
        <v>18470</v>
      </c>
      <c r="C18472" s="10" t="inlineStr">
        <is>
          <t>Japanese Engineer</t>
        </is>
      </c>
      <c r="D18472" s="10" t="inlineStr">
        <is>
          <t>HR Vietnam’s ESS Client</t>
        </is>
      </c>
      <c r="E18472" s="10" t="inlineStr">
        <is>
          <t>Lương:Cạnh tranh</t>
        </is>
      </c>
      <c r="F18472" s="10" t="inlineStr">
        <is>
          <t>Hà Nội</t>
        </is>
      </c>
      <c r="G18472" s="10" t="inlineStr">
        <is>
          <t>30-03-2026</t>
        </is>
      </c>
      <c r="H18472" s="10" t="inlineStr">
        <is>
          <t>30/03/2026</t>
        </is>
      </c>
      <c r="I18472" s="10" t="inlineStr">
        <is>
          <t>17/03/2026</t>
        </is>
      </c>
      <c r="J18472" s="10" t="inlineStr">
        <is>
          <t>CNTT - Phần mềm</t>
        </is>
      </c>
      <c r="K18472" s="10" t="inlineStr">
        <is>
          <t>2 - 3 Năm</t>
        </is>
      </c>
      <c r="L18472" s="11">
        <f>HYPERLINK("https://careerviet.vn/vi/tim-viec-lam/japanese-engineer.35C64335.html","Xem chi tiết")</f>
        <v/>
      </c>
      <c r="M18472" s="10" t="n"/>
    </row>
    <row r="18473">
      <c r="B18473" s="7" t="n">
        <v>18471</v>
      </c>
      <c r="C18473" t="inlineStr">
        <is>
          <t>NHÂN VIÊN SALE SỰ KIỆN/HỘI NGHỊ</t>
        </is>
      </c>
      <c r="D18473" t="inlineStr">
        <is>
          <t>Công Ty Tổ Chức Hội Nghị, Sự Kiện Và Du Lịch Quốc Tế Hòa Bình</t>
        </is>
      </c>
      <c r="E18473" t="inlineStr">
        <is>
          <t>Lương:Cạnh tranh</t>
        </is>
      </c>
      <c r="F18473" t="inlineStr">
        <is>
          <t>Hồ Chí Minh</t>
        </is>
      </c>
      <c r="G18473" t="inlineStr">
        <is>
          <t>30-03-2026</t>
        </is>
      </c>
      <c r="H18473" t="inlineStr">
        <is>
          <t>30/03/2026</t>
        </is>
      </c>
      <c r="I18473" t="inlineStr">
        <is>
          <t>17/03/2026</t>
        </is>
      </c>
      <c r="J18473" t="inlineStr">
        <is>
          <t>Bán hàng / Kinh doanh, Nhà hàng / Khách sạn, Tổ chức sự kiện</t>
        </is>
      </c>
      <c r="K18473" t="inlineStr">
        <is>
          <t>1 - 2 Năm</t>
        </is>
      </c>
      <c r="L18473" s="8">
        <f>HYPERLINK("https://careerviet.vn/vi/tim-viec-lam/nhan-vien-sale-su-kien-hoi-nghi.35C642F5.html","Xem chi tiết")</f>
        <v/>
      </c>
    </row>
    <row r="18474">
      <c r="B18474" s="9" t="n">
        <v>18472</v>
      </c>
      <c r="C18474" s="10" t="inlineStr">
        <is>
          <t>Nhân viên telesale tiếng Thái</t>
        </is>
      </c>
      <c r="D18474" s="10" t="inlineStr">
        <is>
          <t>CÔNG TY TNHH GIP GROUP</t>
        </is>
      </c>
      <c r="E18474" s="10" t="inlineStr">
        <is>
          <t>Lương:10 Tr - 15 Tr VND</t>
        </is>
      </c>
      <c r="F18474" s="10" t="inlineStr">
        <is>
          <t>Hà Nội</t>
        </is>
      </c>
      <c r="G18474" s="10" t="inlineStr">
        <is>
          <t>30-03-2026</t>
        </is>
      </c>
      <c r="H18474" s="10" t="inlineStr">
        <is>
          <t>30/03/2026</t>
        </is>
      </c>
      <c r="I18474" s="10" t="inlineStr">
        <is>
          <t>17/03/2026</t>
        </is>
      </c>
      <c r="J18474" s="10" t="inlineStr">
        <is>
          <t>Bán hàng / Kinh doanh, Tiếp thị trực tuyến, Thương mại điện tử</t>
        </is>
      </c>
      <c r="K18474" s="10" t="inlineStr">
        <is>
          <t>Lên đến 1 Năm</t>
        </is>
      </c>
      <c r="L18474" s="11">
        <f>HYPERLINK("https://careerviet.vn/vi/tim-viec-lam/nhan-vien-telesale-tieng-thai.35C643E4.html","Xem chi tiết")</f>
        <v/>
      </c>
      <c r="M18474" s="10" t="n"/>
    </row>
    <row r="18475">
      <c r="B18475" s="7" t="n">
        <v>18473</v>
      </c>
      <c r="C18475" t="inlineStr">
        <is>
          <t>Chuyên viên xử lý nợ tố tụng (Khánh Hòa)</t>
        </is>
      </c>
      <c r="D18475" t="inlineStr">
        <is>
          <t>Công Ty Quản Lý Nợ Và Khai Thác Tài Sản - Ngân Hàng TMCP Quân Đội</t>
        </is>
      </c>
      <c r="E18475" t="inlineStr">
        <is>
          <t>Lương:Cạnh tranh</t>
        </is>
      </c>
      <c r="F18475" t="inlineStr">
        <is>
          <t>Khánh Hòa</t>
        </is>
      </c>
      <c r="G18475" t="inlineStr">
        <is>
          <t>30-03-2026</t>
        </is>
      </c>
      <c r="H18475" t="inlineStr">
        <is>
          <t>30/03/2026</t>
        </is>
      </c>
      <c r="I18475" t="inlineStr">
        <is>
          <t>17/03/2026</t>
        </is>
      </c>
      <c r="J18475" t="inlineStr">
        <is>
          <t>Luật / Pháp lý, Ngân hàng, Tài chính / Đầu tư</t>
        </is>
      </c>
      <c r="K18475" t="inlineStr">
        <is>
          <t>Trên 1 Năm</t>
        </is>
      </c>
      <c r="L18475" s="8">
        <f>HYPERLINK("https://careerviet.vn/vi/tim-viec-lam/chuyen-vien-xu-ly-no-to-tung-khanh-hoa.35C642D0.html","Xem chi tiết")</f>
        <v/>
      </c>
    </row>
    <row r="18476">
      <c r="B18476" s="9" t="n">
        <v>18474</v>
      </c>
      <c r="C18476" s="10" t="inlineStr">
        <is>
          <t>KỸ SƯ GIÁM SÁT XÂY DỰNG</t>
        </is>
      </c>
      <c r="D18476" s="10" t="inlineStr">
        <is>
          <t>TỔNG CÔNG TY CỔ PHẦN THƯƠNG MẠI XÂY DỰNG</t>
        </is>
      </c>
      <c r="E18476" s="10" t="inlineStr">
        <is>
          <t>Lương:18 Tr - 23 Tr VND</t>
        </is>
      </c>
      <c r="F18476" s="10" t="inlineStr">
        <is>
          <t>Hà Nội</t>
        </is>
      </c>
      <c r="G18476" s="10" t="inlineStr">
        <is>
          <t>30-03-2026</t>
        </is>
      </c>
      <c r="H18476" s="10" t="inlineStr">
        <is>
          <t>30/03/2026</t>
        </is>
      </c>
      <c r="I18476" s="10" t="inlineStr">
        <is>
          <t>17/03/2026</t>
        </is>
      </c>
      <c r="J18476" s="10" t="inlineStr">
        <is>
          <t>Kiến trúc, Xây dựng, Bất động sản</t>
        </is>
      </c>
      <c r="K18476" s="10" t="inlineStr">
        <is>
          <t>3 - 5 Năm</t>
        </is>
      </c>
      <c r="L18476" s="11">
        <f>HYPERLINK("https://careerviet.vn/vi/tim-viec-lam/ky-su-giam-sat-xay-dung.35C6436D.html","Xem chi tiết")</f>
        <v/>
      </c>
      <c r="M18476" s="10" t="n"/>
    </row>
    <row r="18477">
      <c r="B18477" s="7" t="n">
        <v>18475</v>
      </c>
      <c r="C18477" t="inlineStr">
        <is>
          <t>Kiểm toán viên</t>
        </is>
      </c>
      <c r="D18477" t="inlineStr">
        <is>
          <t>Ngân hàng TMCP Lộc Phát Việt Nam (LPBank)</t>
        </is>
      </c>
      <c r="E18477" t="inlineStr">
        <is>
          <t>Lương:Cạnh tranh</t>
        </is>
      </c>
      <c r="F18477" t="inlineStr">
        <is>
          <t>Hà Nội</t>
        </is>
      </c>
      <c r="G18477" t="inlineStr">
        <is>
          <t>30-03-2026</t>
        </is>
      </c>
      <c r="H18477" t="inlineStr">
        <is>
          <t>30/03/2026</t>
        </is>
      </c>
      <c r="I18477" t="inlineStr">
        <is>
          <t>17/03/2026</t>
        </is>
      </c>
      <c r="J18477" t="inlineStr">
        <is>
          <t>Kế toán / Kiểm toán, Ngân hàng</t>
        </is>
      </c>
      <c r="K18477" t="inlineStr">
        <is>
          <t>Trên 2 Năm</t>
        </is>
      </c>
      <c r="L18477" s="8">
        <f>HYPERLINK("https://careerviet.vn/vi/tim-viec-lam/kiem-toan-vien.35C6431B.html","Xem chi tiết")</f>
        <v/>
      </c>
    </row>
    <row r="18478">
      <c r="B18478" s="9" t="n">
        <v>18476</v>
      </c>
      <c r="C18478" s="10" t="inlineStr">
        <is>
          <t>TRƯỞNG PHÒNG TÀI CHÍNH KẾ TOÁN</t>
        </is>
      </c>
      <c r="D18478" s="10" t="inlineStr">
        <is>
          <t>CÔNG TY CỔ PHẦN BADAN</t>
        </is>
      </c>
      <c r="E18478" s="10" t="inlineStr">
        <is>
          <t>Lương:28 Tr - 32 Tr VND</t>
        </is>
      </c>
      <c r="F18478" s="10" t="inlineStr">
        <is>
          <t>Hà Nội</t>
        </is>
      </c>
      <c r="G18478" s="10" t="inlineStr">
        <is>
          <t>29-03-2026</t>
        </is>
      </c>
      <c r="H18478" s="10" t="inlineStr">
        <is>
          <t>29/03/2026</t>
        </is>
      </c>
      <c r="I18478" s="10" t="inlineStr">
        <is>
          <t>17/03/2026</t>
        </is>
      </c>
      <c r="J18478" s="10" t="inlineStr">
        <is>
          <t>Kế toán / Kiểm toán, Tài chính / Đầu tư</t>
        </is>
      </c>
      <c r="K18478" s="10" t="inlineStr">
        <is>
          <t>3 - 5 Năm</t>
        </is>
      </c>
      <c r="L18478" s="11">
        <f>HYPERLINK("https://careerviet.vn/vi/tim-viec-lam/truong-phong-tai-chinh-ke-toan.35C642C5.html","Xem chi tiết")</f>
        <v/>
      </c>
      <c r="M18478" s="10" t="n"/>
    </row>
    <row r="18479">
      <c r="B18479" s="7" t="n">
        <v>18477</v>
      </c>
      <c r="C18479" t="inlineStr">
        <is>
          <t>Kĩ sư thiết kế kết cấu</t>
        </is>
      </c>
      <c r="D18479" t="inlineStr">
        <is>
          <t>CÔNG TY CỔ PHẦN THIẾT KẾ XÂY DỰNG TWIN</t>
        </is>
      </c>
      <c r="E18479" t="inlineStr">
        <is>
          <t>Lương:Cạnh tranh</t>
        </is>
      </c>
      <c r="F18479" t="inlineStr">
        <is>
          <t>Hồ Chí Minh</t>
        </is>
      </c>
      <c r="G18479" t="inlineStr">
        <is>
          <t>30-03-2026</t>
        </is>
      </c>
      <c r="H18479" t="inlineStr">
        <is>
          <t>30/03/2026</t>
        </is>
      </c>
      <c r="I18479" t="inlineStr">
        <is>
          <t>17/03/2026</t>
        </is>
      </c>
      <c r="J18479" t="inlineStr">
        <is>
          <t>Cơ khí / Ô tô / Tự động hóa, Kiến trúc, Xây dựng</t>
        </is>
      </c>
      <c r="K18479" t="inlineStr">
        <is>
          <t>2 - 3 Năm</t>
        </is>
      </c>
      <c r="L18479" s="8">
        <f>HYPERLINK("https://careerviet.vn/vi/tim-viec-lam/ki-su-thiet-ke-ket-cau.35C6431D.html","Xem chi tiết")</f>
        <v/>
      </c>
    </row>
    <row r="18480">
      <c r="B18480" s="9" t="n">
        <v>18478</v>
      </c>
      <c r="C18480" s="10" t="inlineStr">
        <is>
          <t>Nhân Viên Kiểm Soát Chất Lượng Bán Hàng (QC Officer)</t>
        </is>
      </c>
      <c r="D18480" s="10" t="inlineStr">
        <is>
          <t>Công Ty Tài Chính Mirae Asset (Việt Nam)</t>
        </is>
      </c>
      <c r="E18480" s="10" t="inlineStr">
        <is>
          <t>Lương:Cạnh tranh</t>
        </is>
      </c>
      <c r="F18480" s="10" t="inlineStr">
        <is>
          <t>Hồ Chí Minh</t>
        </is>
      </c>
      <c r="G18480" s="10" t="inlineStr">
        <is>
          <t>30-03-2026</t>
        </is>
      </c>
      <c r="H18480" s="10" t="inlineStr">
        <is>
          <t>30/03/2026</t>
        </is>
      </c>
      <c r="I18480" s="10" t="inlineStr">
        <is>
          <t>17/03/2026</t>
        </is>
      </c>
      <c r="J18480" s="10" t="inlineStr">
        <is>
          <t>Bảo hiểm, Bán hàng / Kinh doanh, Tài chính / Đầu tư</t>
        </is>
      </c>
      <c r="K18480" s="10" t="inlineStr">
        <is>
          <t>1 - 5 Năm</t>
        </is>
      </c>
      <c r="L18480" s="11">
        <f>HYPERLINK("https://careerviet.vn/vi/tim-viec-lam/nhan-vien-kiem-soat-chat-luong-ban-hang-qc-officer.35C64377.html","Xem chi tiết")</f>
        <v/>
      </c>
      <c r="M18480" s="10" t="n"/>
    </row>
    <row r="18481">
      <c r="B18481" s="7" t="n">
        <v>18479</v>
      </c>
      <c r="C18481" t="inlineStr">
        <is>
          <t>KV Hà Nội - Giám đốc/Chuyên viên Dịch vụ Khách hàng</t>
        </is>
      </c>
      <c r="D18481" t="inlineStr">
        <is>
          <t>BVBank - Ngân hàng Bản Việt</t>
        </is>
      </c>
      <c r="E18481" t="inlineStr">
        <is>
          <t>Lương:Cạnh tranh</t>
        </is>
      </c>
      <c r="F18481" t="inlineStr">
        <is>
          <t>Hà Nội</t>
        </is>
      </c>
      <c r="G18481" t="inlineStr">
        <is>
          <t>30-03-2026</t>
        </is>
      </c>
      <c r="H18481" t="inlineStr">
        <is>
          <t>30/03/2026</t>
        </is>
      </c>
      <c r="I18481" t="inlineStr">
        <is>
          <t>17/03/2026</t>
        </is>
      </c>
      <c r="J18481" t="inlineStr">
        <is>
          <t>Ngân hàng, Tài chính / Đầu tư, Bán hàng / Kinh doanh</t>
        </is>
      </c>
      <c r="K18481" t="inlineStr">
        <is>
          <t>1 - 2 Năm</t>
        </is>
      </c>
      <c r="L18481" s="8">
        <f>HYPERLINK("https://careerviet.vn/vi/tim-viec-lam/kv-ha-noi-giam-doc-chuyen-vien-dich-vu-khach-hang.35C643A5.html","Xem chi tiết")</f>
        <v/>
      </c>
    </row>
    <row r="18482">
      <c r="B18482" s="9" t="n">
        <v>18480</v>
      </c>
      <c r="C18482" s="10" t="inlineStr">
        <is>
          <t>KV Miền Bắc - Giám đốc/Chuyên viên Quan hệ khách hàng Cá nhân</t>
        </is>
      </c>
      <c r="D18482" s="10" t="inlineStr">
        <is>
          <t>BVBank - Ngân hàng Bản Việt</t>
        </is>
      </c>
      <c r="E18482" s="10" t="inlineStr">
        <is>
          <t>Lương:Cạnh tranh</t>
        </is>
      </c>
      <c r="F18482" s="10" t="inlineStr">
        <is>
          <t>Phú ThọHải PhòngQuảng Ninh</t>
        </is>
      </c>
      <c r="G18482" s="10" t="inlineStr">
        <is>
          <t>30-03-2026</t>
        </is>
      </c>
      <c r="H18482" s="10" t="inlineStr">
        <is>
          <t>30/03/2026</t>
        </is>
      </c>
      <c r="I18482" s="10" t="inlineStr">
        <is>
          <t>17/03/2026</t>
        </is>
      </c>
      <c r="J18482" s="10" t="inlineStr">
        <is>
          <t>Ngân hàng, Tài chính / Đầu tư, Bán hàng / Kinh doanh</t>
        </is>
      </c>
      <c r="K18482" s="10" t="inlineStr">
        <is>
          <t>1 - 2 Năm</t>
        </is>
      </c>
      <c r="L18482" s="11">
        <f>HYPERLINK("https://careerviet.vn/vi/tim-viec-lam/kv-mien-bac-giam-doc-chuyen-vien-quan-he-khach-hang-ca-nhan.35C643AD.html","Xem chi tiết")</f>
        <v/>
      </c>
      <c r="M18482" s="10" t="n"/>
    </row>
    <row r="18483">
      <c r="B18483" s="7" t="n">
        <v>18481</v>
      </c>
      <c r="C18483" t="inlineStr">
        <is>
          <t>Trưởng Phòng Quản Lý Chuỗi Cung Ứng</t>
        </is>
      </c>
      <c r="D18483" t="inlineStr">
        <is>
          <t>Tập Đoàn Kim Tín</t>
        </is>
      </c>
      <c r="E18483" t="inlineStr">
        <is>
          <t>Lương:Cạnh tranh</t>
        </is>
      </c>
      <c r="F18483" t="inlineStr">
        <is>
          <t>Bình Phước</t>
        </is>
      </c>
      <c r="G18483" t="inlineStr">
        <is>
          <t>30-03-2026</t>
        </is>
      </c>
      <c r="H18483" t="inlineStr">
        <is>
          <t>30/03/2026</t>
        </is>
      </c>
      <c r="I18483" t="inlineStr">
        <is>
          <t>17/03/2026</t>
        </is>
      </c>
      <c r="J18483" t="inlineStr">
        <is>
          <t>Sản xuất / Vận hành sản xuất, Vận chuyển / Giao nhận / Kho vận, Xuất nhập khẩu</t>
        </is>
      </c>
      <c r="K18483" t="inlineStr">
        <is>
          <t>3 - 5 Năm</t>
        </is>
      </c>
      <c r="L18483" s="8">
        <f>HYPERLINK("https://careerviet.vn/vi/tim-viec-lam/truong-phong-quan-ly-chuoi-cung-ung.35C6436A.html","Xem chi tiết")</f>
        <v/>
      </c>
    </row>
    <row r="18484">
      <c r="B18484" s="9" t="n">
        <v>18482</v>
      </c>
      <c r="C18484" s="10" t="inlineStr">
        <is>
          <t>KV Bắc Trung Bộ - Giám đốc/Chuyên viên Quan hệ khách hàng Cá nhân</t>
        </is>
      </c>
      <c r="D18484" s="10" t="inlineStr">
        <is>
          <t>BVBank - Ngân hàng Bản Việt</t>
        </is>
      </c>
      <c r="E18484" s="10" t="inlineStr">
        <is>
          <t>Lương:Cạnh tranh</t>
        </is>
      </c>
      <c r="F18484" s="10" t="inlineStr">
        <is>
          <t>Thanh HóaHà TĩnhNghệ An</t>
        </is>
      </c>
      <c r="G18484" s="10" t="inlineStr">
        <is>
          <t>30-03-2026</t>
        </is>
      </c>
      <c r="H18484" s="10" t="inlineStr">
        <is>
          <t>30/03/2026</t>
        </is>
      </c>
      <c r="I18484" s="10" t="inlineStr">
        <is>
          <t>17/03/2026</t>
        </is>
      </c>
      <c r="J18484" s="10" t="inlineStr">
        <is>
          <t>Ngân hàng, Tài chính / Đầu tư, Bán hàng / Kinh doanh</t>
        </is>
      </c>
      <c r="K18484" s="10" t="inlineStr">
        <is>
          <t>1 - 2 Năm</t>
        </is>
      </c>
      <c r="L18484" s="11">
        <f>HYPERLINK("https://careerviet.vn/vi/tim-viec-lam/kv-bac-trung-bo-giam-doc-chuyen-vien-quan-he-khach-hang-ca-nhan.35C643B6.html","Xem chi tiết")</f>
        <v/>
      </c>
      <c r="M18484" s="10" t="n"/>
    </row>
    <row r="18485">
      <c r="B18485" s="7" t="n">
        <v>18483</v>
      </c>
      <c r="C18485" t="inlineStr">
        <is>
          <t>[GLOBALX-NOVASERVICE] Nhân Viên An Ninh</t>
        </is>
      </c>
      <c r="D18485" t="inlineStr">
        <is>
          <t>GLOBAX - CÔNG TY CỔ PHẦN TRẢI NGHIỆM TOÀN CẦU</t>
        </is>
      </c>
      <c r="E18485" t="inlineStr">
        <is>
          <t>Lương:Cạnh tranh</t>
        </is>
      </c>
      <c r="F18485" t="inlineStr">
        <is>
          <t>Hồ Chí Minh</t>
        </is>
      </c>
      <c r="G18485" t="inlineStr">
        <is>
          <t>30-03-2026</t>
        </is>
      </c>
      <c r="H18485" t="inlineStr">
        <is>
          <t>30/03/2026</t>
        </is>
      </c>
      <c r="I18485" t="inlineStr">
        <is>
          <t>17/03/2026</t>
        </is>
      </c>
      <c r="J18485" t="inlineStr">
        <is>
          <t>Nhà hàng / Khách sạn</t>
        </is>
      </c>
      <c r="K18485" t="inlineStr">
        <is>
          <t>1 - 2 Năm</t>
        </is>
      </c>
      <c r="L18485" s="8">
        <f>HYPERLINK("https://careerviet.vn/vi/tim-viec-lam/globalx-novaservice-nhan-vien-an-ninh.35C6432C.html","Xem chi tiết")</f>
        <v/>
      </c>
    </row>
    <row r="18486">
      <c r="B18486" s="9" t="n">
        <v>18484</v>
      </c>
      <c r="C18486" s="10" t="inlineStr">
        <is>
          <t>Trưởng nhóm Kho (Làm việc tại Củ Chi)</t>
        </is>
      </c>
      <c r="D18486" s="10" t="inlineStr">
        <is>
          <t>Công ty Cổ phần Mỹ phẩm Quốc tế Thùy Dung</t>
        </is>
      </c>
      <c r="E18486" s="10" t="inlineStr">
        <is>
          <t>Lương:8 Tr - 10 Tr VND</t>
        </is>
      </c>
      <c r="F18486" s="10" t="inlineStr">
        <is>
          <t>Hồ Chí Minh</t>
        </is>
      </c>
      <c r="G18486" s="10" t="inlineStr">
        <is>
          <t>30-03-2026</t>
        </is>
      </c>
      <c r="H18486" s="10" t="inlineStr">
        <is>
          <t>30/03/2026</t>
        </is>
      </c>
      <c r="I18486" s="10" t="inlineStr">
        <is>
          <t>17/03/2026</t>
        </is>
      </c>
      <c r="J18486" s="10" t="inlineStr">
        <is>
          <t>Vận chuyển / Giao nhận / Kho vận</t>
        </is>
      </c>
      <c r="K18486" s="10" t="inlineStr">
        <is>
          <t>1 - 3 Năm</t>
        </is>
      </c>
      <c r="L18486" s="11">
        <f>HYPERLINK("https://careerviet.vn/vi/tim-viec-lam/truong-nhom-kho-lam-viec-tai-cu-chi.35C6437B.html","Xem chi tiết")</f>
        <v/>
      </c>
      <c r="M18486" s="10" t="n"/>
    </row>
    <row r="18487">
      <c r="B18487" s="7" t="n">
        <v>18485</v>
      </c>
      <c r="C18487" t="inlineStr">
        <is>
          <t>Accountant (Data Entry Operator)</t>
        </is>
      </c>
      <c r="D18487" t="inlineStr">
        <is>
          <t>PeopleWise Vietnam</t>
        </is>
      </c>
      <c r="E18487" t="inlineStr">
        <is>
          <t>Lương:12 Tr - 15 Tr VND</t>
        </is>
      </c>
      <c r="F18487" t="inlineStr">
        <is>
          <t>Hồ Chí Minh</t>
        </is>
      </c>
      <c r="G18487" t="inlineStr">
        <is>
          <t>30-03-2026</t>
        </is>
      </c>
      <c r="H18487" t="inlineStr">
        <is>
          <t>30/03/2026</t>
        </is>
      </c>
      <c r="I18487" t="inlineStr">
        <is>
          <t>17/03/2026</t>
        </is>
      </c>
      <c r="J18487" t="inlineStr">
        <is>
          <t>Kế toán / Kiểm toán, Nông nghiệp, Sản xuất / Vận hành sản xuất</t>
        </is>
      </c>
      <c r="K18487" t="inlineStr">
        <is>
          <t>1 - 3 Năm</t>
        </is>
      </c>
      <c r="L18487" s="8">
        <f>HYPERLINK("https://careerviet.vn/vi/tim-viec-lam/accountant-data-entry-operator.35C6432B.html","Xem chi tiết")</f>
        <v/>
      </c>
    </row>
    <row r="18488">
      <c r="B18488" s="9" t="n">
        <v>18486</v>
      </c>
      <c r="C18488" s="10" t="inlineStr">
        <is>
          <t>R&amp;D Product Marketing Leader</t>
        </is>
      </c>
      <c r="D18488" s="10" t="inlineStr">
        <is>
          <t>Công ty Cổ phần Mỹ phẩm Quốc tế Thùy Dung</t>
        </is>
      </c>
      <c r="E18488" s="10" t="inlineStr">
        <is>
          <t>Lương:14 Tr - 24 Tr VND</t>
        </is>
      </c>
      <c r="F18488" s="10" t="inlineStr">
        <is>
          <t>Hồ Chí Minh</t>
        </is>
      </c>
      <c r="G18488" s="10" t="inlineStr">
        <is>
          <t>30-03-2026</t>
        </is>
      </c>
      <c r="H18488" s="10" t="inlineStr">
        <is>
          <t>30/03/2026</t>
        </is>
      </c>
      <c r="I18488" s="10" t="inlineStr">
        <is>
          <t>17/03/2026</t>
        </is>
      </c>
      <c r="J18488" s="10" t="inlineStr">
        <is>
          <t>Công nghệ sinh học, Quảng cáo / Đối ngoại / Truyền Thông</t>
        </is>
      </c>
      <c r="K18488" s="10" t="inlineStr">
        <is>
          <t>1 - 3 Năm</t>
        </is>
      </c>
      <c r="L18488" s="11">
        <f>HYPERLINK("https://careerviet.vn/vi/tim-viec-lam/r-d-product-marketing-leader.35C64415.html","Xem chi tiết")</f>
        <v/>
      </c>
      <c r="M18488" s="10" t="n"/>
    </row>
    <row r="18489">
      <c r="B18489" s="7" t="n">
        <v>18487</v>
      </c>
      <c r="C18489" t="inlineStr">
        <is>
          <t>KV Tây Nguyên - Giám đốc/Chuyên viên Dịch vụ Khách hàng</t>
        </is>
      </c>
      <c r="D18489" t="inlineStr">
        <is>
          <t>BVBank - Ngân hàng Bản Việt</t>
        </is>
      </c>
      <c r="E18489" t="inlineStr">
        <is>
          <t>Lương:Cạnh tranh</t>
        </is>
      </c>
      <c r="F18489" t="inlineStr">
        <is>
          <t>Dak LakLâm ĐồngGia Lai</t>
        </is>
      </c>
      <c r="G18489" t="inlineStr">
        <is>
          <t>30-03-2026</t>
        </is>
      </c>
      <c r="H18489" t="inlineStr">
        <is>
          <t>30/03/2026</t>
        </is>
      </c>
      <c r="I18489" t="inlineStr">
        <is>
          <t>17/03/2026</t>
        </is>
      </c>
      <c r="J18489" t="inlineStr">
        <is>
          <t>Ngân hàng, Tài chính / Đầu tư, Bán hàng / Kinh doanh</t>
        </is>
      </c>
      <c r="K18489" t="inlineStr">
        <is>
          <t>1 - 2 Năm</t>
        </is>
      </c>
      <c r="L18489" s="8">
        <f>HYPERLINK("https://careerviet.vn/vi/tim-viec-lam/kv-tay-nguyen-giam-doc-chuyen-vien-dich-vu-khach-hang.35C643CE.html","Xem chi tiết")</f>
        <v/>
      </c>
    </row>
    <row r="18490">
      <c r="B18490" s="9" t="n">
        <v>18488</v>
      </c>
      <c r="C18490" s="10" t="inlineStr">
        <is>
          <t>Chuyên viên tuyển dụng phòng nhân sự</t>
        </is>
      </c>
      <c r="D18490" s="10" t="inlineStr">
        <is>
          <t>Viện Thẩm mỹ y khoa Dr Hải Lê</t>
        </is>
      </c>
      <c r="E18490" s="10" t="inlineStr">
        <is>
          <t>Lương:10 Tr - 15 Tr VND</t>
        </is>
      </c>
      <c r="F18490" s="10" t="inlineStr">
        <is>
          <t>Hà Nội</t>
        </is>
      </c>
      <c r="G18490" s="10" t="inlineStr">
        <is>
          <t>30-03-2026</t>
        </is>
      </c>
      <c r="H18490" s="10" t="inlineStr">
        <is>
          <t>30/03/2026</t>
        </is>
      </c>
      <c r="I18490" s="10" t="inlineStr">
        <is>
          <t>17/03/2026</t>
        </is>
      </c>
      <c r="J18490" s="10" t="inlineStr">
        <is>
          <t>Y tế / Chăm sóc sức khỏe / Thẩm mỹ / Làm đẹp, Hành chính / Thư ký, Nhân sự</t>
        </is>
      </c>
      <c r="K18490" s="10" t="inlineStr">
        <is>
          <t>1 - 3 Năm</t>
        </is>
      </c>
      <c r="L18490" s="11">
        <f>HYPERLINK("https://careerviet.vn/vi/tim-viec-lam/chuyen-vien-tuyen-dung-phong-nhan-su.35C643E0.html","Xem chi tiết")</f>
        <v/>
      </c>
      <c r="M18490" s="10" t="n"/>
    </row>
    <row r="18491">
      <c r="B18491" s="7" t="n">
        <v>18489</v>
      </c>
      <c r="C18491" t="inlineStr">
        <is>
          <t>Cộng tác viên - Phòng Vận hành Nhân sự</t>
        </is>
      </c>
      <c r="D18491" t="inlineStr">
        <is>
          <t>Ngân Hàng TMCP Tiên Phong (TPBank)</t>
        </is>
      </c>
      <c r="E18491" t="inlineStr">
        <is>
          <t>Lương:5 Tr - 6 Tr VND</t>
        </is>
      </c>
      <c r="F18491" t="inlineStr">
        <is>
          <t>Hà Nội</t>
        </is>
      </c>
      <c r="G18491" t="inlineStr">
        <is>
          <t>30-03-2026</t>
        </is>
      </c>
      <c r="H18491" t="inlineStr">
        <is>
          <t>30/03/2026</t>
        </is>
      </c>
      <c r="I18491" t="inlineStr">
        <is>
          <t>17/03/2026</t>
        </is>
      </c>
      <c r="J18491" t="inlineStr">
        <is>
          <t>Nhân sự</t>
        </is>
      </c>
      <c r="K18491" t="inlineStr">
        <is>
          <t>N/A</t>
        </is>
      </c>
      <c r="L18491" s="8">
        <f>HYPERLINK("https://careerviet.vn/vi/tim-viec-lam/cong-tac-vien-phong-van-hanh-nhan-su.35C64424.html","Xem chi tiết")</f>
        <v/>
      </c>
    </row>
    <row r="18492">
      <c r="B18492" s="9" t="n">
        <v>18490</v>
      </c>
      <c r="C18492" s="10" t="inlineStr">
        <is>
          <t>Chuyên viên Digital Marketing (Chủ đầu tư BĐS, làm việc tại Quận 5)</t>
        </is>
      </c>
      <c r="D18492" s="10" t="inlineStr">
        <is>
          <t>Công ty Cổ phần Tập đoàn KITA Group</t>
        </is>
      </c>
      <c r="E18492" s="10" t="inlineStr">
        <is>
          <t>Lương:15 Tr - 17 Tr VND</t>
        </is>
      </c>
      <c r="F18492" s="10" t="inlineStr">
        <is>
          <t>Hồ Chí Minh</t>
        </is>
      </c>
      <c r="G18492" s="10" t="inlineStr">
        <is>
          <t>30-03-2026</t>
        </is>
      </c>
      <c r="H18492" s="10" t="inlineStr">
        <is>
          <t>30/03/2026</t>
        </is>
      </c>
      <c r="I18492" s="10" t="inlineStr">
        <is>
          <t>17/03/2026</t>
        </is>
      </c>
      <c r="J18492" s="10" t="inlineStr">
        <is>
          <t>Tiếp thị / Marketing, Quảng cáo / Đối ngoại / Truyền Thông, Bất động sản</t>
        </is>
      </c>
      <c r="K18492" s="10" t="inlineStr">
        <is>
          <t>2 - 3 Năm</t>
        </is>
      </c>
      <c r="L18492" s="11">
        <f>HYPERLINK("https://careerviet.vn/vi/tim-viec-lam/chuyen-vien-digital-marketing-chu-dau-tu-bds-lam-viec-tai-quan-5.35C6444C.html","Xem chi tiết")</f>
        <v/>
      </c>
      <c r="M18492" s="10" t="n"/>
    </row>
    <row r="18493">
      <c r="B18493" s="7" t="n">
        <v>18491</v>
      </c>
      <c r="C18493" t="inlineStr">
        <is>
          <t>KV Miền Bắc - Giám đốc/Chuyên viên Dịch vụ Khách hàng</t>
        </is>
      </c>
      <c r="D18493" t="inlineStr">
        <is>
          <t>BVBank - Ngân hàng Bản Việt</t>
        </is>
      </c>
      <c r="E18493" t="inlineStr">
        <is>
          <t>Lương:Cạnh tranh</t>
        </is>
      </c>
      <c r="F18493" t="inlineStr">
        <is>
          <t>Phú ThọHải PhòngThái Nguyên</t>
        </is>
      </c>
      <c r="G18493" t="inlineStr">
        <is>
          <t>30-03-2026</t>
        </is>
      </c>
      <c r="H18493" t="inlineStr">
        <is>
          <t>30/03/2026</t>
        </is>
      </c>
      <c r="I18493" t="inlineStr">
        <is>
          <t>17/03/2026</t>
        </is>
      </c>
      <c r="J18493" t="inlineStr">
        <is>
          <t>Ngân hàng, Tài chính / Đầu tư, Bán hàng / Kinh doanh</t>
        </is>
      </c>
      <c r="K18493" t="inlineStr">
        <is>
          <t>1 - 2 Năm</t>
        </is>
      </c>
      <c r="L18493" s="8">
        <f>HYPERLINK("https://careerviet.vn/vi/tim-viec-lam/kv-mien-bac-giam-doc-chuyen-vien-dich-vu-khach-hang.35C643AF.html","Xem chi tiết")</f>
        <v/>
      </c>
    </row>
    <row r="18494">
      <c r="B18494" s="9" t="n">
        <v>18492</v>
      </c>
      <c r="C18494" s="10" t="inlineStr">
        <is>
          <t>Nhân viên may mẫu</t>
        </is>
      </c>
      <c r="D18494" s="10" t="inlineStr">
        <is>
          <t>CÔNG TY TNHH EVOLUTION ENTERPRISES</t>
        </is>
      </c>
      <c r="E18494" s="10" t="inlineStr">
        <is>
          <t>Lương:Cạnh tranh</t>
        </is>
      </c>
      <c r="F18494" s="10" t="inlineStr">
        <is>
          <t>Hồ Chí Minh</t>
        </is>
      </c>
      <c r="G18494" s="10" t="inlineStr">
        <is>
          <t>30-03-2026</t>
        </is>
      </c>
      <c r="H18494" s="10" t="inlineStr">
        <is>
          <t>30/03/2026</t>
        </is>
      </c>
      <c r="I18494" s="10" t="inlineStr">
        <is>
          <t>17/03/2026</t>
        </is>
      </c>
      <c r="J18494" s="10" t="inlineStr">
        <is>
          <t>Sản xuất / Vận hành sản xuất, Dệt may / Da giày / Thời trang</t>
        </is>
      </c>
      <c r="K18494" s="10" t="inlineStr">
        <is>
          <t>1 - 2 Năm</t>
        </is>
      </c>
      <c r="L18494" s="11">
        <f>HYPERLINK("https://careerviet.vn/vi/tim-viec-lam/nhan-vien-may-mau.35C6440C.html","Xem chi tiết")</f>
        <v/>
      </c>
      <c r="M18494" s="10" t="n"/>
    </row>
    <row r="18495">
      <c r="B18495" s="7" t="n">
        <v>18493</v>
      </c>
      <c r="C18495" t="inlineStr">
        <is>
          <t>KẾ TOÁN TỔNG HỢP</t>
        </is>
      </c>
      <c r="D18495" t="inlineStr">
        <is>
          <t>Công ty TNHH MTV Bao bì quốc tế</t>
        </is>
      </c>
      <c r="E18495" t="inlineStr">
        <is>
          <t>Lương:14 Tr - 18 Tr VND</t>
        </is>
      </c>
      <c r="F18495" t="inlineStr">
        <is>
          <t>Hà Nội</t>
        </is>
      </c>
      <c r="G18495" t="inlineStr">
        <is>
          <t>30-03-2026</t>
        </is>
      </c>
      <c r="H18495" t="inlineStr">
        <is>
          <t>30/03/2026</t>
        </is>
      </c>
      <c r="I18495" t="inlineStr">
        <is>
          <t>17/03/2026</t>
        </is>
      </c>
      <c r="J18495" t="inlineStr">
        <is>
          <t>Kế toán / Kiểm toán, Ngân hàng, Sản xuất / Vận hành sản xuất</t>
        </is>
      </c>
      <c r="K18495" t="inlineStr">
        <is>
          <t>2 - 10 Năm</t>
        </is>
      </c>
      <c r="L18495" s="8">
        <f>HYPERLINK("https://careerviet.vn/vi/tim-viec-lam/ke-toan-tong-hop.35C642CB.html","Xem chi tiết")</f>
        <v/>
      </c>
    </row>
    <row r="18496">
      <c r="B18496" s="9" t="n">
        <v>18494</v>
      </c>
      <c r="C18496" s="10" t="inlineStr">
        <is>
          <t>Chuyên viên Sản phẩm/ Product Specialist</t>
        </is>
      </c>
      <c r="D18496" s="10" t="inlineStr">
        <is>
          <t>Công Ty Cổ Phần Thiết Bị Y Tế Nam Trung</t>
        </is>
      </c>
      <c r="E18496" s="10" t="inlineStr">
        <is>
          <t>Lương:Cạnh tranh</t>
        </is>
      </c>
      <c r="F18496" s="10" t="inlineStr">
        <is>
          <t>Hồ Chí Minh</t>
        </is>
      </c>
      <c r="G18496" s="10" t="inlineStr">
        <is>
          <t>30-03-2026</t>
        </is>
      </c>
      <c r="H18496" s="10" t="inlineStr">
        <is>
          <t>30/03/2026</t>
        </is>
      </c>
      <c r="I18496" s="10" t="inlineStr">
        <is>
          <t>17/03/2026</t>
        </is>
      </c>
      <c r="J18496" s="10" t="inlineStr">
        <is>
          <t>Bán hàng / Kinh doanh, Y tế / Chăm sóc sức khỏe / Thẩm mỹ / Làm đẹp, Công nghệ sinh học</t>
        </is>
      </c>
      <c r="K18496" s="10" t="inlineStr">
        <is>
          <t>Trên 2 Năm</t>
        </is>
      </c>
      <c r="L18496" s="11">
        <f>HYPERLINK("https://careerviet.vn/vi/tim-viec-lam/chuyen-vien-san-pham-product-specialist.35C64385.html","Xem chi tiết")</f>
        <v/>
      </c>
      <c r="M18496" s="10" t="n"/>
    </row>
    <row r="18497">
      <c r="B18497" s="7" t="n">
        <v>18495</v>
      </c>
      <c r="C18497" t="inlineStr">
        <is>
          <t>Giám Đốc Kinh Doanh khu vực Duyên Hải - Đông Bắc (ASM)</t>
        </is>
      </c>
      <c r="D18497" t="inlineStr">
        <is>
          <t>Công ty Cổ Phần Hóa Mỹ Phẩm Mỹ Hảo</t>
        </is>
      </c>
      <c r="E18497" t="inlineStr">
        <is>
          <t>Lương:Cạnh tranh</t>
        </is>
      </c>
      <c r="F18497" t="inlineStr">
        <is>
          <t>Hải PhòngHải DươngQuảng Ninh</t>
        </is>
      </c>
      <c r="G18497" t="inlineStr">
        <is>
          <t>30-03-2026</t>
        </is>
      </c>
      <c r="H18497" t="inlineStr">
        <is>
          <t>30/03/2026</t>
        </is>
      </c>
      <c r="I18497" t="inlineStr">
        <is>
          <t>17/03/2026</t>
        </is>
      </c>
      <c r="J18497" t="inlineStr">
        <is>
          <t>Bán lẻ / Bán sỉ, Bán hàng / Kinh doanh, Dược phẩm/ Hóa Mỹ Phẩm</t>
        </is>
      </c>
      <c r="K18497" t="inlineStr">
        <is>
          <t>5 - 7 Năm</t>
        </is>
      </c>
      <c r="L18497" s="8">
        <f>HYPERLINK("https://careerviet.vn/vi/tim-viec-lam/giam-doc-kinh-doanh-khu-vuc-duyen-hai-dong-bac-asm.35C642C8.html","Xem chi tiết")</f>
        <v/>
      </c>
    </row>
    <row r="18498">
      <c r="B18498" s="9" t="n">
        <v>18496</v>
      </c>
      <c r="C18498" s="10" t="inlineStr">
        <is>
          <t>Chuyên Viên Kiểm Soát Nội Bộ</t>
        </is>
      </c>
      <c r="D18498" s="10" t="inlineStr">
        <is>
          <t>HỆ THỐNG KÍNH MẮT ANNA</t>
        </is>
      </c>
      <c r="E18498" s="10" t="inlineStr">
        <is>
          <t>Lương:10 Tr - 13 Tr VND</t>
        </is>
      </c>
      <c r="F18498" s="10" t="inlineStr">
        <is>
          <t>Hà Nội</t>
        </is>
      </c>
      <c r="G18498" s="10" t="inlineStr">
        <is>
          <t>30-03-2026</t>
        </is>
      </c>
      <c r="H18498" s="10" t="inlineStr">
        <is>
          <t>30/03/2026</t>
        </is>
      </c>
      <c r="I18498" s="10" t="inlineStr">
        <is>
          <t>17/03/2026</t>
        </is>
      </c>
      <c r="J18498" s="10" t="inlineStr">
        <is>
          <t>Bán lẻ / Bán sỉ</t>
        </is>
      </c>
      <c r="K18498" s="10" t="inlineStr">
        <is>
          <t>Trên 1 Năm</t>
        </is>
      </c>
      <c r="L18498" s="11">
        <f>HYPERLINK("https://careerviet.vn/vi/tim-viec-lam/chuyen-vien-kiem-soat-noi-bo.35C643D3.html","Xem chi tiết")</f>
        <v/>
      </c>
      <c r="M18498" s="10" t="n"/>
    </row>
    <row r="18499">
      <c r="B18499" s="7" t="n">
        <v>18497</v>
      </c>
      <c r="C18499" t="inlineStr">
        <is>
          <t>KV Miền Trung - Giám đốc/Chuyên viên Dịch vụ Khách hàng</t>
        </is>
      </c>
      <c r="D18499" t="inlineStr">
        <is>
          <t>BVBank - Ngân hàng Bản Việt</t>
        </is>
      </c>
      <c r="E18499" t="inlineStr">
        <is>
          <t>Lương:Cạnh tranh</t>
        </is>
      </c>
      <c r="F18499" t="inlineStr">
        <is>
          <t>Đà NẵngBình ĐịnhKhánh Hòa</t>
        </is>
      </c>
      <c r="G18499" t="inlineStr">
        <is>
          <t>30-03-2026</t>
        </is>
      </c>
      <c r="H18499" t="inlineStr">
        <is>
          <t>30/03/2026</t>
        </is>
      </c>
      <c r="I18499" t="inlineStr">
        <is>
          <t>17/03/2026</t>
        </is>
      </c>
      <c r="J18499" t="inlineStr">
        <is>
          <t>Ngân hàng, Tài chính / Đầu tư, Bán hàng / Kinh doanh</t>
        </is>
      </c>
      <c r="K18499" t="inlineStr">
        <is>
          <t>1 - 2 Năm</t>
        </is>
      </c>
      <c r="L18499" s="8">
        <f>HYPERLINK("https://careerviet.vn/vi/tim-viec-lam/kv-mien-trung-giam-doc-chuyen-vien-dich-vu-khach-hang.35C643BD.html","Xem chi tiết")</f>
        <v/>
      </c>
    </row>
    <row r="18500">
      <c r="B18500" s="9" t="n">
        <v>18498</v>
      </c>
      <c r="C18500" s="10" t="inlineStr">
        <is>
          <t>KV Hồ Chí Minh - Giám đốc/Chuyên viên Quan hệ khách hàng Cá nhân</t>
        </is>
      </c>
      <c r="D18500" s="10" t="inlineStr">
        <is>
          <t>BVBank - Ngân hàng Bản Việt</t>
        </is>
      </c>
      <c r="E18500" s="10" t="inlineStr">
        <is>
          <t>Lương:Cạnh tranh</t>
        </is>
      </c>
      <c r="F18500" s="10" t="inlineStr">
        <is>
          <t>Hồ Chí Minh</t>
        </is>
      </c>
      <c r="G18500" s="10" t="inlineStr">
        <is>
          <t>30-03-2026</t>
        </is>
      </c>
      <c r="H18500" s="10" t="inlineStr">
        <is>
          <t>30/03/2026</t>
        </is>
      </c>
      <c r="I18500" s="10" t="inlineStr">
        <is>
          <t>17/03/2026</t>
        </is>
      </c>
      <c r="J18500" s="10" t="inlineStr">
        <is>
          <t>Ngân hàng, Tài chính / Đầu tư, Bán hàng / Kinh doanh</t>
        </is>
      </c>
      <c r="K18500" s="10" t="inlineStr">
        <is>
          <t>1 - 2 Năm</t>
        </is>
      </c>
      <c r="L18500" s="11">
        <f>HYPERLINK("https://careerviet.vn/vi/tim-viec-lam/kv-ho-chi-minh-giam-doc-chuyen-vien-quan-he-khach-hang-ca-nhan.35C643D5.html","Xem chi tiết")</f>
        <v/>
      </c>
      <c r="M18500" s="10" t="n"/>
    </row>
    <row r="18501">
      <c r="B18501" s="7" t="n">
        <v>18499</v>
      </c>
      <c r="C18501" t="inlineStr">
        <is>
          <t>Trade Marketing Executive</t>
        </is>
      </c>
      <c r="D18501" t="inlineStr">
        <is>
          <t>TRƯỜNG QUỐC TẾ BLUE RIDGE / BLUE RIDGE INTERNATIONAL SCHOOL (BRIS)</t>
        </is>
      </c>
      <c r="E18501" t="inlineStr">
        <is>
          <t>Lương:10 Tr - 12 Tr VND</t>
        </is>
      </c>
      <c r="F18501" t="inlineStr">
        <is>
          <t>Hồ Chí Minh</t>
        </is>
      </c>
      <c r="G18501" t="inlineStr">
        <is>
          <t>30-03-2026</t>
        </is>
      </c>
      <c r="H18501" t="inlineStr">
        <is>
          <t>30/03/2026</t>
        </is>
      </c>
      <c r="I18501" t="inlineStr">
        <is>
          <t>17/03/2026</t>
        </is>
      </c>
      <c r="J18501" t="inlineStr">
        <is>
          <t>Giáo dục / Đào tạo, Quảng cáo / Đối ngoại / Truyền Thông, Tổ chức sự kiện</t>
        </is>
      </c>
      <c r="K18501" t="inlineStr">
        <is>
          <t>2 - 3 Năm</t>
        </is>
      </c>
      <c r="L18501" s="8">
        <f>HYPERLINK("https://careerviet.vn/vi/tim-viec-lam/trade-marketing-executive.35C66ECB.html","Xem chi tiết")</f>
        <v/>
      </c>
    </row>
    <row r="18502">
      <c r="B18502" s="9" t="n">
        <v>18500</v>
      </c>
      <c r="C18502" s="10" t="inlineStr">
        <is>
          <t>R&amp;D Software Senior Engineer</t>
        </is>
      </c>
      <c r="D18502" s="10" t="inlineStr">
        <is>
          <t>HR Vietnam’s ESS Client</t>
        </is>
      </c>
      <c r="E18502" s="10" t="inlineStr">
        <is>
          <t>Lương:Cạnh tranh</t>
        </is>
      </c>
      <c r="F18502" s="10" t="inlineStr">
        <is>
          <t>Hưng Yên</t>
        </is>
      </c>
      <c r="G18502" s="10" t="inlineStr">
        <is>
          <t>30-03-2026</t>
        </is>
      </c>
      <c r="H18502" s="10" t="inlineStr">
        <is>
          <t>30/03/2026</t>
        </is>
      </c>
      <c r="I18502" s="10" t="inlineStr">
        <is>
          <t>17/03/2026</t>
        </is>
      </c>
      <c r="J18502" s="10" t="inlineStr">
        <is>
          <t>Điện / Điện tử / Điện lạnh / Điện công nghiệp, CNTT - Phần mềm, Cơ khí / Ô tô / Tự động hóa</t>
        </is>
      </c>
      <c r="K18502" s="10" t="inlineStr">
        <is>
          <t>2 - 3 Năm</t>
        </is>
      </c>
      <c r="L18502" s="11">
        <f>HYPERLINK("https://careerviet.vn/vi/tim-viec-lam/r-d-software-senior-engineer.35C64360.html","Xem chi tiết")</f>
        <v/>
      </c>
      <c r="M18502" s="10" t="n"/>
    </row>
    <row r="18503">
      <c r="B18503" s="7" t="n">
        <v>18501</v>
      </c>
      <c r="C18503" t="inlineStr">
        <is>
          <t>Sales Executive</t>
        </is>
      </c>
      <c r="D18503" t="inlineStr">
        <is>
          <t>Công Ty TNHH Nhãn Mác SMT (Việt Nam)</t>
        </is>
      </c>
      <c r="E18503" t="inlineStr">
        <is>
          <t>Lương:15 Tr - 20 Tr VND</t>
        </is>
      </c>
      <c r="F18503" t="inlineStr">
        <is>
          <t>Hồ Chí Minh</t>
        </is>
      </c>
      <c r="G18503" t="inlineStr">
        <is>
          <t>30-03-2026</t>
        </is>
      </c>
      <c r="H18503" t="inlineStr">
        <is>
          <t>30/03/2026</t>
        </is>
      </c>
      <c r="I18503" t="inlineStr">
        <is>
          <t>17/03/2026</t>
        </is>
      </c>
      <c r="J18503" t="inlineStr">
        <is>
          <t>Bán hàng / Kinh doanh, Bán lẻ / Bán sỉ, Dệt may / Da giày / Thời trang</t>
        </is>
      </c>
      <c r="K18503" t="inlineStr">
        <is>
          <t>Trên 2 Năm</t>
        </is>
      </c>
      <c r="L18503" s="8">
        <f>HYPERLINK("https://careerviet.vn/vi/tim-viec-lam/sales-executive.35C642CA.html","Xem chi tiết")</f>
        <v/>
      </c>
    </row>
    <row r="18504">
      <c r="B18504" s="9" t="n">
        <v>18502</v>
      </c>
      <c r="C18504" s="10" t="inlineStr">
        <is>
          <t>Chủ trì Dự toán (18-25 triệu)</t>
        </is>
      </c>
      <c r="D18504" s="10" t="inlineStr">
        <is>
          <t>Công ty Cổ phần Đầu tư Tân Minh</t>
        </is>
      </c>
      <c r="E18504" s="10" t="inlineStr">
        <is>
          <t>Lương:18 Tr - 25 Tr VND</t>
        </is>
      </c>
      <c r="F18504" s="10" t="inlineStr">
        <is>
          <t>Hà Nội</t>
        </is>
      </c>
      <c r="G18504" s="10" t="inlineStr">
        <is>
          <t>30-03-2026</t>
        </is>
      </c>
      <c r="H18504" s="10" t="inlineStr">
        <is>
          <t>30/03/2026</t>
        </is>
      </c>
      <c r="I18504" s="10" t="inlineStr">
        <is>
          <t>17/03/2026</t>
        </is>
      </c>
      <c r="J18504" s="10" t="inlineStr">
        <is>
          <t>Xây dựng</t>
        </is>
      </c>
      <c r="K18504" s="10" t="inlineStr">
        <is>
          <t>3 - 5 Năm</t>
        </is>
      </c>
      <c r="L18504" s="11">
        <f>HYPERLINK("https://careerviet.vn/vi/tim-viec-lam/chu-tri-du-toan-18-25-trieu.35C64384.html","Xem chi tiết")</f>
        <v/>
      </c>
      <c r="M18504" s="10" t="n"/>
    </row>
    <row r="18505">
      <c r="B18505" s="7" t="n">
        <v>18503</v>
      </c>
      <c r="C18505" t="inlineStr">
        <is>
          <t>Store Supervisor</t>
        </is>
      </c>
      <c r="D18505" t="inlineStr">
        <is>
          <t>CÔNG TY TNHH ANTA SPORTS VIỆT NAM</t>
        </is>
      </c>
      <c r="E18505" t="inlineStr">
        <is>
          <t>Lương:10 Tr - 15 Tr VND</t>
        </is>
      </c>
      <c r="F18505" t="inlineStr">
        <is>
          <t>Hồ Chí Minh</t>
        </is>
      </c>
      <c r="G18505" t="inlineStr">
        <is>
          <t>30-03-2026</t>
        </is>
      </c>
      <c r="H18505" t="inlineStr">
        <is>
          <t>30/03/2026</t>
        </is>
      </c>
      <c r="I18505" t="inlineStr">
        <is>
          <t>17/03/2026</t>
        </is>
      </c>
      <c r="J18505" t="inlineStr">
        <is>
          <t>Tiếp thị / Marketing, Bán lẻ / Bán sỉ, Bán hàng / Kinh doanh</t>
        </is>
      </c>
      <c r="K18505" t="inlineStr">
        <is>
          <t>Trên 1 Năm</t>
        </is>
      </c>
      <c r="L18505" s="8">
        <f>HYPERLINK("https://careerviet.vn/vi/tim-viec-lam/store-supervisor.35C6430B.html","Xem chi tiết")</f>
        <v/>
      </c>
    </row>
    <row r="18506">
      <c r="B18506" s="9" t="n">
        <v>18504</v>
      </c>
      <c r="C18506" s="10" t="inlineStr">
        <is>
          <t>KV Miền Bắc - Giám đốc/Chuyên viên Quan hệ khách hàng Doanh nghiệp</t>
        </is>
      </c>
      <c r="D18506" s="10" t="inlineStr">
        <is>
          <t>BVBank - Ngân hàng Bản Việt</t>
        </is>
      </c>
      <c r="E18506" s="10" t="inlineStr">
        <is>
          <t>Lương:Cạnh tranh</t>
        </is>
      </c>
      <c r="F18506" s="10" t="inlineStr">
        <is>
          <t>Bắc NinhBắc GiangHải Phòng</t>
        </is>
      </c>
      <c r="G18506" s="10" t="inlineStr">
        <is>
          <t>30-03-2026</t>
        </is>
      </c>
      <c r="H18506" s="10" t="inlineStr">
        <is>
          <t>30/03/2026</t>
        </is>
      </c>
      <c r="I18506" s="10" t="inlineStr">
        <is>
          <t>17/03/2026</t>
        </is>
      </c>
      <c r="J18506" s="10" t="inlineStr">
        <is>
          <t>Ngân hàng, Tài chính / Đầu tư, Bán hàng / Kinh doanh</t>
        </is>
      </c>
      <c r="K18506" s="10" t="inlineStr">
        <is>
          <t>1 - 2 Năm</t>
        </is>
      </c>
      <c r="L18506" s="11">
        <f>HYPERLINK("https://careerviet.vn/vi/tim-viec-lam/kv-mien-bac-giam-doc-chuyen-vien-quan-he-khach-hang-doanh-nghiep.35C643AE.html","Xem chi tiết")</f>
        <v/>
      </c>
      <c r="M18506" s="10" t="n"/>
    </row>
    <row r="18507">
      <c r="B18507" s="7" t="n">
        <v>18505</v>
      </c>
      <c r="C18507" t="inlineStr">
        <is>
          <t>Chuyên viên AML - FATCA</t>
        </is>
      </c>
      <c r="D18507" t="inlineStr">
        <is>
          <t>BVBank - Ngân hàng Bản Việt</t>
        </is>
      </c>
      <c r="E18507" t="inlineStr">
        <is>
          <t>Lương:Cạnh tranh</t>
        </is>
      </c>
      <c r="F18507" t="inlineStr">
        <is>
          <t>Hồ Chí Minh</t>
        </is>
      </c>
      <c r="G18507" t="inlineStr">
        <is>
          <t>30-03-2026</t>
        </is>
      </c>
      <c r="H18507" t="inlineStr">
        <is>
          <t>30/03/2026</t>
        </is>
      </c>
      <c r="I18507" t="inlineStr">
        <is>
          <t>17/03/2026</t>
        </is>
      </c>
      <c r="J18507" t="inlineStr">
        <is>
          <t>Ngân hàng, Tài chính / Đầu tư, Luật / Pháp lý</t>
        </is>
      </c>
      <c r="K18507" t="inlineStr">
        <is>
          <t>1 - 2 Năm</t>
        </is>
      </c>
      <c r="L18507" s="8">
        <f>HYPERLINK("https://careerviet.vn/vi/tim-viec-lam/chuyen-vien-aml-fatca.35C64428.html","Xem chi tiết")</f>
        <v/>
      </c>
    </row>
    <row r="18508">
      <c r="B18508" s="9" t="n">
        <v>18506</v>
      </c>
      <c r="C18508" s="10" t="inlineStr">
        <is>
          <t>Nhân viên văn hóa – an toàn</t>
        </is>
      </c>
      <c r="D18508" s="10" t="inlineStr">
        <is>
          <t>Công Ty TNHH Sunjin Vina</t>
        </is>
      </c>
      <c r="E18508" s="10" t="inlineStr">
        <is>
          <t>Lương:12 Tr - 20 Tr VND</t>
        </is>
      </c>
      <c r="F18508" s="10" t="inlineStr">
        <is>
          <t>Hồ Chí Minh</t>
        </is>
      </c>
      <c r="G18508" s="10" t="inlineStr">
        <is>
          <t>30-03-2026</t>
        </is>
      </c>
      <c r="H18508" s="10" t="inlineStr">
        <is>
          <t>30/03/2026</t>
        </is>
      </c>
      <c r="I18508" s="10" t="inlineStr">
        <is>
          <t>17/03/2026</t>
        </is>
      </c>
      <c r="J18508" s="10" t="inlineStr">
        <is>
          <t>Nhân sự, Nông nghiệp, Chăn nuôi / Thú y</t>
        </is>
      </c>
      <c r="K18508" s="10" t="inlineStr">
        <is>
          <t>1 - 2 Năm</t>
        </is>
      </c>
      <c r="L18508" s="11">
        <f>HYPERLINK("https://careerviet.vn/vi/tim-viec-lam/nhan-vien-van-hoa-an-toan.35C66E11.html","Xem chi tiết")</f>
        <v/>
      </c>
      <c r="M18508" s="10" t="n"/>
    </row>
    <row r="18509">
      <c r="B18509" s="7" t="n">
        <v>18507</v>
      </c>
      <c r="C18509" t="inlineStr">
        <is>
          <t>Kỹ Sư Điện</t>
        </is>
      </c>
      <c r="D18509" t="inlineStr">
        <is>
          <t>CÔNG TY CỔ PHẦN XÂY DỰNG PHÁT TRIỂN SÀI GÒN</t>
        </is>
      </c>
      <c r="E18509" t="inlineStr">
        <is>
          <t>Lương:Cạnh tranh</t>
        </is>
      </c>
      <c r="F18509" t="inlineStr">
        <is>
          <t>Hồ Chí Minh</t>
        </is>
      </c>
      <c r="G18509" t="inlineStr">
        <is>
          <t>30-03-2026</t>
        </is>
      </c>
      <c r="H18509" t="inlineStr">
        <is>
          <t>30/03/2026</t>
        </is>
      </c>
      <c r="I18509" t="inlineStr">
        <is>
          <t>17/03/2026</t>
        </is>
      </c>
      <c r="J18509" t="inlineStr">
        <is>
          <t>Điện / Điện tử / Điện lạnh / Điện công nghiệp, Bảo trì / Sửa chữa</t>
        </is>
      </c>
      <c r="K18509" t="inlineStr">
        <is>
          <t>N/A</t>
        </is>
      </c>
      <c r="L18509" s="8">
        <f>HYPERLINK("https://careerviet.vn/vi/tim-viec-lam/ky-su-dien.35C66F00.html","Xem chi tiết")</f>
        <v/>
      </c>
    </row>
    <row r="18510">
      <c r="B18510" s="9" t="n">
        <v>18508</v>
      </c>
      <c r="C18510" s="10" t="inlineStr">
        <is>
          <t>Nhân viên kế toán - VBI Đông Đô (địa bàn Hà Nội)</t>
        </is>
      </c>
      <c r="D18510" s="10" t="inlineStr">
        <is>
          <t>Tổng Công Ty Cổ Phần Bảo Hiểm Ngân Hàng TMCP Công Thương Việt Nam</t>
        </is>
      </c>
      <c r="E18510" s="10" t="inlineStr">
        <is>
          <t>Lương:Cạnh tranh</t>
        </is>
      </c>
      <c r="F18510" s="10" t="inlineStr">
        <is>
          <t>Hà Nội</t>
        </is>
      </c>
      <c r="G18510" s="10" t="inlineStr">
        <is>
          <t>30-03-2026</t>
        </is>
      </c>
      <c r="H18510" s="10" t="inlineStr">
        <is>
          <t>30/03/2026</t>
        </is>
      </c>
      <c r="I18510" s="10" t="inlineStr">
        <is>
          <t>17/03/2026</t>
        </is>
      </c>
      <c r="J18510" s="10" t="inlineStr">
        <is>
          <t>Kế toán / Kiểm toán</t>
        </is>
      </c>
      <c r="K18510" s="10" t="inlineStr">
        <is>
          <t>1 - 2 Năm</t>
        </is>
      </c>
      <c r="L18510" s="11">
        <f>HYPERLINK("https://careerviet.vn/vi/tim-viec-lam/nhan-vien-ke-toan-vbi-dong-do-dia-ban-ha-noi.35C66F21.html","Xem chi tiết")</f>
        <v/>
      </c>
      <c r="M18510" s="10" t="n"/>
    </row>
    <row r="18511">
      <c r="B18511" s="7" t="n">
        <v>18509</v>
      </c>
      <c r="C18511" t="inlineStr">
        <is>
          <t>Kế Toán Nội Bộ</t>
        </is>
      </c>
      <c r="D18511" t="inlineStr">
        <is>
          <t>CÔNG TY TNHH XÂY LẮP THƯƠNG MẠI SONG ANH</t>
        </is>
      </c>
      <c r="E18511" t="inlineStr">
        <is>
          <t>Lương:Cạnh tranh</t>
        </is>
      </c>
      <c r="F18511" t="inlineStr">
        <is>
          <t>Hải Phòng</t>
        </is>
      </c>
      <c r="G18511" t="inlineStr">
        <is>
          <t>30-03-2026</t>
        </is>
      </c>
      <c r="H18511" t="inlineStr">
        <is>
          <t>30/03/2026</t>
        </is>
      </c>
      <c r="I18511" t="inlineStr">
        <is>
          <t>17/03/2026</t>
        </is>
      </c>
      <c r="J18511" t="inlineStr">
        <is>
          <t>Kế toán / Kiểm toán, Luật / Pháp lý, Tài chính / Đầu tư</t>
        </is>
      </c>
      <c r="K18511" t="inlineStr">
        <is>
          <t>Trên 1 Năm</t>
        </is>
      </c>
      <c r="L18511" s="8">
        <f>HYPERLINK("https://careerviet.vn/vi/tim-viec-lam/ke-toan-noi-bo.35C64406.html","Xem chi tiết")</f>
        <v/>
      </c>
    </row>
    <row r="18512">
      <c r="B18512" s="9" t="n">
        <v>18510</v>
      </c>
      <c r="C18512" s="10" t="inlineStr">
        <is>
          <t>Kế toán tổng hợp</t>
        </is>
      </c>
      <c r="D18512" s="10" t="inlineStr">
        <is>
          <t>Công Ty Cổ Phần Xuất Nhập Khẩu Thương Mại Đài Linh</t>
        </is>
      </c>
      <c r="E18512" s="10" t="inlineStr">
        <is>
          <t>Lương:20 Tr - 30 Tr VND</t>
        </is>
      </c>
      <c r="F18512" s="10" t="inlineStr">
        <is>
          <t>Hà Nội</t>
        </is>
      </c>
      <c r="G18512" s="10" t="inlineStr">
        <is>
          <t>30-03-2026</t>
        </is>
      </c>
      <c r="H18512" s="10" t="inlineStr">
        <is>
          <t>30/03/2026</t>
        </is>
      </c>
      <c r="I18512" s="10" t="inlineStr">
        <is>
          <t>17/03/2026</t>
        </is>
      </c>
      <c r="J18512" s="10" t="inlineStr">
        <is>
          <t>Kế toán / Kiểm toán</t>
        </is>
      </c>
      <c r="K18512" s="10" t="inlineStr">
        <is>
          <t>2 - 3 Năm</t>
        </is>
      </c>
      <c r="L18512" s="11">
        <f>HYPERLINK("https://careerviet.vn/vi/tim-viec-lam/ke-toan-tong-hop.35C643B0.html","Xem chi tiết")</f>
        <v/>
      </c>
      <c r="M18512" s="10" t="n"/>
    </row>
    <row r="18513">
      <c r="B18513" s="7" t="n">
        <v>18511</v>
      </c>
      <c r="C18513" t="inlineStr">
        <is>
          <t>Nhân Viên Bán Hàng Quốc Tế</t>
        </is>
      </c>
      <c r="D18513" t="inlineStr">
        <is>
          <t>Công Ty Cổ Phần Nhựa Bao Bì An Vinh</t>
        </is>
      </c>
      <c r="E18513" t="inlineStr">
        <is>
          <t>Lương:10 Tr - 20 Tr VND</t>
        </is>
      </c>
      <c r="F18513" t="inlineStr">
        <is>
          <t>Hải Dương</t>
        </is>
      </c>
      <c r="G18513" t="inlineStr">
        <is>
          <t>30-03-2026</t>
        </is>
      </c>
      <c r="H18513" t="inlineStr">
        <is>
          <t>30/03/2026</t>
        </is>
      </c>
      <c r="I18513" t="inlineStr">
        <is>
          <t>17/03/2026</t>
        </is>
      </c>
      <c r="J18513" t="inlineStr">
        <is>
          <t>Tiếp thị / Marketing, Bán hàng / Kinh doanh</t>
        </is>
      </c>
      <c r="K18513" t="inlineStr">
        <is>
          <t>N/A</t>
        </is>
      </c>
      <c r="L18513" s="8">
        <f>HYPERLINK("https://careerviet.vn/vi/tim-viec-lam/nhan-vien-ban-hang-quoc-te.35C66EF7.html","Xem chi tiết")</f>
        <v/>
      </c>
    </row>
    <row r="18514">
      <c r="B18514" s="9" t="n">
        <v>18512</v>
      </c>
      <c r="C18514" s="10" t="inlineStr">
        <is>
          <t>KV Hồ Chí Minh - Giám đốc/Chuyên viên Quan hệ khách hàng Doanh nghiệp</t>
        </is>
      </c>
      <c r="D18514" s="10" t="inlineStr">
        <is>
          <t>BVBank - Ngân hàng Bản Việt</t>
        </is>
      </c>
      <c r="E18514" s="10" t="inlineStr">
        <is>
          <t>Lương:Cạnh tranh</t>
        </is>
      </c>
      <c r="F18514" s="10" t="inlineStr">
        <is>
          <t>Hồ Chí Minh</t>
        </is>
      </c>
      <c r="G18514" s="10" t="inlineStr">
        <is>
          <t>30-03-2026</t>
        </is>
      </c>
      <c r="H18514" s="10" t="inlineStr">
        <is>
          <t>30/03/2026</t>
        </is>
      </c>
      <c r="I18514" s="10" t="inlineStr">
        <is>
          <t>17/03/2026</t>
        </is>
      </c>
      <c r="J18514" s="10" t="inlineStr">
        <is>
          <t>Ngân hàng, Tài chính / Đầu tư, Bán hàng / Kinh doanh</t>
        </is>
      </c>
      <c r="K18514" s="10" t="inlineStr">
        <is>
          <t>1 - 2 Năm</t>
        </is>
      </c>
      <c r="L18514" s="11">
        <f>HYPERLINK("https://careerviet.vn/vi/tim-viec-lam/kv-ho-chi-minh-giam-doc-chuyen-vien-quan-he-khach-hang-doanh-nghiep.35C643D6.html","Xem chi tiết")</f>
        <v/>
      </c>
      <c r="M18514" s="10" t="n"/>
    </row>
    <row r="18515">
      <c r="B18515" s="7" t="n">
        <v>18513</v>
      </c>
      <c r="C18515" t="inlineStr">
        <is>
          <t>Nhân viên dịch vụ khách hàng</t>
        </is>
      </c>
      <c r="D18515" t="inlineStr">
        <is>
          <t>CÔNG TY TNHH GIP GROUP</t>
        </is>
      </c>
      <c r="E18515" t="inlineStr">
        <is>
          <t>Lương:10 Tr - 12 Tr VND</t>
        </is>
      </c>
      <c r="F18515" t="inlineStr">
        <is>
          <t>Hà Nội</t>
        </is>
      </c>
      <c r="G18515" t="inlineStr">
        <is>
          <t>30-03-2026</t>
        </is>
      </c>
      <c r="H18515" t="inlineStr">
        <is>
          <t>30/03/2026</t>
        </is>
      </c>
      <c r="I18515" t="inlineStr">
        <is>
          <t>17/03/2026</t>
        </is>
      </c>
      <c r="J18515" t="inlineStr">
        <is>
          <t>Dịch vụ khách hàng, Tư vấn, Thương mại điện tử</t>
        </is>
      </c>
      <c r="K18515" t="inlineStr">
        <is>
          <t>Lên đến 1 Năm</t>
        </is>
      </c>
      <c r="L18515" s="8">
        <f>HYPERLINK("https://careerviet.vn/vi/tim-viec-lam/nhan-vien-dich-vu-khach-hang.35C643E8.html","Xem chi tiết")</f>
        <v/>
      </c>
    </row>
    <row r="18516">
      <c r="B18516" s="9" t="n">
        <v>18514</v>
      </c>
      <c r="C18516" s="10" t="inlineStr">
        <is>
          <t>CHUYÊN VIÊN KẾ TOÁN - (ĐI LÀM NGAY)</t>
        </is>
      </c>
      <c r="D18516" s="10" t="inlineStr">
        <is>
          <t>CÔNG TY TNHH YIMI J&amp;T CARGO TRANSPORTATION</t>
        </is>
      </c>
      <c r="E18516" s="10" t="inlineStr">
        <is>
          <t>Lương:13 Tr - 18 Tr VND</t>
        </is>
      </c>
      <c r="F18516" s="10" t="inlineStr">
        <is>
          <t>Hồ Chí Minh</t>
        </is>
      </c>
      <c r="G18516" s="10" t="inlineStr">
        <is>
          <t>30-03-2026</t>
        </is>
      </c>
      <c r="H18516" s="10" t="inlineStr">
        <is>
          <t>30/03/2026</t>
        </is>
      </c>
      <c r="I18516" s="10" t="inlineStr">
        <is>
          <t>17/03/2026</t>
        </is>
      </c>
      <c r="J18516" s="10" t="inlineStr">
        <is>
          <t>Hành chính / Thư ký, Kế toán / Kiểm toán</t>
        </is>
      </c>
      <c r="K18516" s="10" t="inlineStr">
        <is>
          <t>2 - 3 Năm</t>
        </is>
      </c>
      <c r="L18516" s="11">
        <f>HYPERLINK("https://careerviet.vn/vi/tim-viec-lam/chuyen-vien-ke-toan-di-lam-ngay.35C66E5D.html","Xem chi tiết")</f>
        <v/>
      </c>
      <c r="M18516" s="10" t="n"/>
    </row>
    <row r="18517">
      <c r="B18517" s="7" t="n">
        <v>18515</v>
      </c>
      <c r="C18517" t="inlineStr">
        <is>
          <t>Qc inline</t>
        </is>
      </c>
      <c r="D18517" t="inlineStr">
        <is>
          <t>CÔNG TY TNHH EVOLUTION ENTERPRISES</t>
        </is>
      </c>
      <c r="E18517" t="inlineStr">
        <is>
          <t>Lương:Cạnh tranh</t>
        </is>
      </c>
      <c r="F18517" t="inlineStr">
        <is>
          <t>Hồ Chí Minh</t>
        </is>
      </c>
      <c r="G18517" t="inlineStr">
        <is>
          <t>30-03-2026</t>
        </is>
      </c>
      <c r="H18517" t="inlineStr">
        <is>
          <t>30/03/2026</t>
        </is>
      </c>
      <c r="I18517" t="inlineStr">
        <is>
          <t>17/03/2026</t>
        </is>
      </c>
      <c r="J18517" t="inlineStr">
        <is>
          <t>Dệt may / Da giày / Thời trang, Quản lý chất lượng (QA/QC)</t>
        </is>
      </c>
      <c r="K18517" t="inlineStr">
        <is>
          <t>1 - 2 Năm</t>
        </is>
      </c>
      <c r="L18517" s="8">
        <f>HYPERLINK("https://careerviet.vn/vi/tim-viec-lam/qc-inline.35C643F8.html","Xem chi tiết")</f>
        <v/>
      </c>
    </row>
    <row r="18518">
      <c r="B18518" s="9" t="n">
        <v>18516</v>
      </c>
      <c r="C18518" s="10" t="inlineStr">
        <is>
          <t>Chuyên Viên Tuyển Dụng</t>
        </is>
      </c>
      <c r="D18518" s="10" t="inlineStr">
        <is>
          <t>CÔNG TY TNHH KIẾN TRÚC - NỘI THẤT NAM ANH</t>
        </is>
      </c>
      <c r="E18518" s="10" t="inlineStr">
        <is>
          <t>Lương:12 Tr - 15 Tr VND</t>
        </is>
      </c>
      <c r="F18518" s="10" t="inlineStr">
        <is>
          <t>Hà Nội</t>
        </is>
      </c>
      <c r="G18518" s="10" t="inlineStr">
        <is>
          <t>30-03-2026</t>
        </is>
      </c>
      <c r="H18518" s="10" t="inlineStr">
        <is>
          <t>30/03/2026</t>
        </is>
      </c>
      <c r="I18518" s="10" t="inlineStr">
        <is>
          <t>17/03/2026</t>
        </is>
      </c>
      <c r="J18518" s="10" t="inlineStr">
        <is>
          <t>Hành chính / Thư ký, Quản lý điều hành, Nhân sự</t>
        </is>
      </c>
      <c r="K18518" s="10" t="inlineStr">
        <is>
          <t>2 - 3 Năm</t>
        </is>
      </c>
      <c r="L18518" s="11">
        <f>HYPERLINK("https://careerviet.vn/vi/tim-viec-lam/chuyen-vien-tuyen-dung.35C66F3A.html","Xem chi tiết")</f>
        <v/>
      </c>
      <c r="M18518" s="10" t="n"/>
    </row>
    <row r="18519">
      <c r="B18519" s="7" t="n">
        <v>18517</v>
      </c>
      <c r="C18519" t="inlineStr">
        <is>
          <t>Chuyên viên Chọn thầu</t>
        </is>
      </c>
      <c r="D18519" t="inlineStr">
        <is>
          <t>Công Ty Cổ Phần VictoryCons</t>
        </is>
      </c>
      <c r="E18519" t="inlineStr">
        <is>
          <t>Lương:Cạnh tranh</t>
        </is>
      </c>
      <c r="F18519" t="inlineStr">
        <is>
          <t>Hồ Chí Minh</t>
        </is>
      </c>
      <c r="G18519" t="inlineStr">
        <is>
          <t>30-03-2026</t>
        </is>
      </c>
      <c r="H18519" t="inlineStr">
        <is>
          <t>30/03/2026</t>
        </is>
      </c>
      <c r="I18519" t="inlineStr">
        <is>
          <t>17/03/2026</t>
        </is>
      </c>
      <c r="J18519" t="inlineStr">
        <is>
          <t>Kiến trúc, Xây dựng, Bất động sản</t>
        </is>
      </c>
      <c r="K18519" t="inlineStr">
        <is>
          <t>1 - 5 Năm</t>
        </is>
      </c>
      <c r="L18519" s="8">
        <f>HYPERLINK("https://careerviet.vn/vi/tim-viec-lam/chuyen-vien-chon-thau.35C6435B.html","Xem chi tiết")</f>
        <v/>
      </c>
    </row>
    <row r="18520">
      <c r="B18520" s="9" t="n">
        <v>18518</v>
      </c>
      <c r="C18520" s="10" t="inlineStr">
        <is>
          <t>(Senior) System Executive</t>
        </is>
      </c>
      <c r="D18520" s="10" t="inlineStr">
        <is>
          <t>Công ty TNHH Onpoint</t>
        </is>
      </c>
      <c r="E18520" s="10" t="inlineStr">
        <is>
          <t>Lương:Cạnh tranh</t>
        </is>
      </c>
      <c r="F18520" s="10" t="inlineStr">
        <is>
          <t>Hồ Chí Minh</t>
        </is>
      </c>
      <c r="G18520" s="10" t="inlineStr">
        <is>
          <t>30-03-2026</t>
        </is>
      </c>
      <c r="H18520" s="10" t="inlineStr">
        <is>
          <t>30/03/2026</t>
        </is>
      </c>
      <c r="I18520" s="10" t="inlineStr">
        <is>
          <t>17/03/2026</t>
        </is>
      </c>
      <c r="J18520" s="10" t="inlineStr">
        <is>
          <t>CNTT - Phần mềm, CNTT - Phần cứng / Mạng, Thương mại điện tử</t>
        </is>
      </c>
      <c r="K18520" s="10" t="inlineStr">
        <is>
          <t>1 - 3 Năm</t>
        </is>
      </c>
      <c r="L18520" s="11">
        <f>HYPERLINK("https://careerviet.vn/vi/tim-viec-lam/senior-system-executive.35C6444D.html","Xem chi tiết")</f>
        <v/>
      </c>
      <c r="M18520" s="10" t="n"/>
    </row>
    <row r="18521">
      <c r="B18521" s="7" t="n">
        <v>18519</v>
      </c>
      <c r="C18521" t="inlineStr">
        <is>
          <t>Chuyên viên Thẩm định giá - Bình Phước</t>
        </is>
      </c>
      <c r="D18521" t="inlineStr">
        <is>
          <t>CÔNG TY CỔ PHẦN CITICS</t>
        </is>
      </c>
      <c r="E18521" t="inlineStr">
        <is>
          <t>Lương:Cạnh tranh</t>
        </is>
      </c>
      <c r="F18521" t="inlineStr">
        <is>
          <t>Bình Phước</t>
        </is>
      </c>
      <c r="G18521" t="inlineStr">
        <is>
          <t>30-03-2026</t>
        </is>
      </c>
      <c r="H18521" t="inlineStr">
        <is>
          <t>30/03/2026</t>
        </is>
      </c>
      <c r="I18521" t="inlineStr">
        <is>
          <t>17/03/2026</t>
        </is>
      </c>
      <c r="J18521" t="inlineStr">
        <is>
          <t>Bất động sản</t>
        </is>
      </c>
      <c r="K18521" t="inlineStr">
        <is>
          <t>1 - 2 Năm</t>
        </is>
      </c>
      <c r="L18521" s="8">
        <f>HYPERLINK("https://careerviet.vn/vi/tim-viec-lam/chuyen-vien-tham-dinh-gia-binh-phuoc.35C66F47.html","Xem chi tiết")</f>
        <v/>
      </c>
    </row>
    <row r="18522">
      <c r="B18522" s="9" t="n">
        <v>18520</v>
      </c>
      <c r="C18522" s="10" t="inlineStr">
        <is>
          <t>KV Đông Nam Bộ - Giám đốc/Chuyên viên Quan hệ khách hàng Doanh nghiệp</t>
        </is>
      </c>
      <c r="D18522" s="10" t="inlineStr">
        <is>
          <t>BVBank - Ngân hàng Bản Việt</t>
        </is>
      </c>
      <c r="E18522" s="10" t="inlineStr">
        <is>
          <t>Lương:Cạnh tranh</t>
        </is>
      </c>
      <c r="F18522" s="10" t="inlineStr">
        <is>
          <t>Bình DươngBà Rịa - Vũng TàuBình Thuận</t>
        </is>
      </c>
      <c r="G18522" s="10" t="inlineStr">
        <is>
          <t>30-03-2026</t>
        </is>
      </c>
      <c r="H18522" s="10" t="inlineStr">
        <is>
          <t>30/03/2026</t>
        </is>
      </c>
      <c r="I18522" s="10" t="inlineStr">
        <is>
          <t>17/03/2026</t>
        </is>
      </c>
      <c r="J18522" s="10" t="inlineStr">
        <is>
          <t>Ngân hàng, Tài chính / Đầu tư, Bán hàng / Kinh doanh</t>
        </is>
      </c>
      <c r="K18522" s="10" t="inlineStr">
        <is>
          <t>1 - 2 Năm</t>
        </is>
      </c>
      <c r="L18522" s="11">
        <f>HYPERLINK("https://careerviet.vn/vi/tim-viec-lam/kv-dong-nam-bo-giam-doc-chuyen-vien-quan-he-khach-hang-doanh-nghiep.35C643C5.html","Xem chi tiết")</f>
        <v/>
      </c>
      <c r="M18522" s="10" t="n"/>
    </row>
    <row r="18523">
      <c r="B18523" s="7" t="n">
        <v>18521</v>
      </c>
      <c r="C18523" t="inlineStr">
        <is>
          <t>[Hòa Bình] Chuyên viên Phát triển Dự Án</t>
        </is>
      </c>
      <c r="D18523" t="inlineStr">
        <is>
          <t>Công ty TNHH Phát triển Phú Mỹ Hưng</t>
        </is>
      </c>
      <c r="E18523" t="inlineStr">
        <is>
          <t>Lương:15 Tr - 17 Tr VND</t>
        </is>
      </c>
      <c r="F18523" t="inlineStr">
        <is>
          <t>Hòa Bình</t>
        </is>
      </c>
      <c r="G18523" t="inlineStr">
        <is>
          <t>30-03-2026</t>
        </is>
      </c>
      <c r="H18523" t="inlineStr">
        <is>
          <t>30/03/2026</t>
        </is>
      </c>
      <c r="I18523" t="inlineStr">
        <is>
          <t>17/03/2026</t>
        </is>
      </c>
      <c r="J18523" t="inlineStr">
        <is>
          <t>Luật / Pháp lý, Xây dựng, Bất động sản</t>
        </is>
      </c>
      <c r="K18523" t="inlineStr">
        <is>
          <t>3 - 6 Năm</t>
        </is>
      </c>
      <c r="L18523" s="8">
        <f>HYPERLINK("https://careerviet.vn/vi/tim-viec-lam/hoa-binh-chuyen-vien-phat-trien-du-an.35C6442B.html","Xem chi tiết")</f>
        <v/>
      </c>
    </row>
    <row r="18524">
      <c r="B18524" s="9" t="n">
        <v>18522</v>
      </c>
      <c r="C18524" s="10" t="inlineStr">
        <is>
          <t>Trưởng Phòng Chất Lượng (QC/Kỹ Thuật)</t>
        </is>
      </c>
      <c r="D18524" s="10" t="inlineStr">
        <is>
          <t>Công ty TNHH Sản xuất, lắp ráp Tuấn Nghĩa</t>
        </is>
      </c>
      <c r="E18524" s="10" t="inlineStr">
        <is>
          <t>Lương:20 Tr - 30 Tr VND</t>
        </is>
      </c>
      <c r="F18524" s="10" t="inlineStr">
        <is>
          <t>Hà Nội</t>
        </is>
      </c>
      <c r="G18524" s="10" t="inlineStr">
        <is>
          <t>30-03-2026</t>
        </is>
      </c>
      <c r="H18524" s="10" t="inlineStr">
        <is>
          <t>30/03/2026</t>
        </is>
      </c>
      <c r="I18524" s="10" t="inlineStr">
        <is>
          <t>17/03/2026</t>
        </is>
      </c>
      <c r="J18524" s="10" t="inlineStr">
        <is>
          <t>Cơ khí / Ô tô / Tự động hóa, Điện / Điện tử / Điện lạnh / Điện công nghiệp, Quản lý chất lượng (QA/QC)</t>
        </is>
      </c>
      <c r="K18524" s="10" t="inlineStr">
        <is>
          <t>Trên 3 Năm</t>
        </is>
      </c>
      <c r="L18524" s="11">
        <f>HYPERLINK("https://careerviet.vn/vi/tim-viec-lam/truong-phong-chat-luong-qc-ky-thuat.35C64390.html","Xem chi tiết")</f>
        <v/>
      </c>
      <c r="M18524" s="10" t="n"/>
    </row>
    <row r="18525">
      <c r="B18525" s="7" t="n">
        <v>18523</v>
      </c>
      <c r="C18525" t="inlineStr">
        <is>
          <t>Nhân viên thiết kế cơ khí</t>
        </is>
      </c>
      <c r="D18525" t="inlineStr">
        <is>
          <t>Công ty Cổ phần Giải pháp Tự động hóa ETEK</t>
        </is>
      </c>
      <c r="E18525" t="inlineStr">
        <is>
          <t>Lương:10 Tr - 15 Tr VND</t>
        </is>
      </c>
      <c r="F18525" t="inlineStr">
        <is>
          <t>Hồ Chí Minh</t>
        </is>
      </c>
      <c r="G18525" t="inlineStr">
        <is>
          <t>30-03-2026</t>
        </is>
      </c>
      <c r="H18525" t="inlineStr">
        <is>
          <t>30/03/2026</t>
        </is>
      </c>
      <c r="I18525" t="inlineStr">
        <is>
          <t>17/03/2026</t>
        </is>
      </c>
      <c r="J18525" t="inlineStr">
        <is>
          <t>Cơ khí / Ô tô / Tự động hóa</t>
        </is>
      </c>
      <c r="K18525" t="inlineStr">
        <is>
          <t>1 - 2 Năm</t>
        </is>
      </c>
      <c r="L18525" s="8">
        <f>HYPERLINK("https://careerviet.vn/vi/tim-viec-lam/nhan-vien-thiet-ke-co-khi.35C658EE.html","Xem chi tiết")</f>
        <v/>
      </c>
    </row>
    <row r="18526">
      <c r="B18526" s="9" t="n">
        <v>18524</v>
      </c>
      <c r="C18526" s="10" t="inlineStr">
        <is>
          <t>IT Operation Engineer</t>
        </is>
      </c>
      <c r="D18526" s="10" t="inlineStr">
        <is>
          <t>CÔNG TY TNHH YIMI J&amp;T CARGO TRANSPORTATION</t>
        </is>
      </c>
      <c r="E18526" s="10" t="inlineStr">
        <is>
          <t>Lương:15 Tr - 20 Tr VND</t>
        </is>
      </c>
      <c r="F18526" s="10" t="inlineStr">
        <is>
          <t>Hà Nội</t>
        </is>
      </c>
      <c r="G18526" s="10" t="inlineStr">
        <is>
          <t>30-03-2026</t>
        </is>
      </c>
      <c r="H18526" s="10" t="inlineStr">
        <is>
          <t>30/03/2026</t>
        </is>
      </c>
      <c r="I18526" s="10" t="inlineStr">
        <is>
          <t>17/03/2026</t>
        </is>
      </c>
      <c r="J18526" s="10" t="inlineStr">
        <is>
          <t>CNTT - Phần cứng / Mạng, Vận chuyển / Giao nhận / Kho vận, CNTT - Phần mềm</t>
        </is>
      </c>
      <c r="K18526" s="10" t="inlineStr">
        <is>
          <t>Trên 2 Năm</t>
        </is>
      </c>
      <c r="L18526" s="11">
        <f>HYPERLINK("https://careerviet.vn/vi/tim-viec-lam/it-operation-engineer.35C66F98.html","Xem chi tiết")</f>
        <v/>
      </c>
      <c r="M18526" s="10" t="n"/>
    </row>
    <row r="18527">
      <c r="B18527" s="7" t="n">
        <v>18525</v>
      </c>
      <c r="C18527" t="inlineStr">
        <is>
          <t>Nhân viên hỗ trợ kinh doanh - Thiết bị điện công nghiệp</t>
        </is>
      </c>
      <c r="D18527" t="inlineStr">
        <is>
          <t>HR Vietnam’s ESS Client</t>
        </is>
      </c>
      <c r="E18527" t="inlineStr">
        <is>
          <t>Lương:Cạnh tranh</t>
        </is>
      </c>
      <c r="F18527" t="inlineStr">
        <is>
          <t>Hà Nội</t>
        </is>
      </c>
      <c r="G18527" t="inlineStr">
        <is>
          <t>30-03-2026</t>
        </is>
      </c>
      <c r="H18527" t="inlineStr">
        <is>
          <t>30/03/2026</t>
        </is>
      </c>
      <c r="I18527" t="inlineStr">
        <is>
          <t>17/03/2026</t>
        </is>
      </c>
      <c r="J18527" t="inlineStr">
        <is>
          <t>Điện / Điện tử / Điện lạnh / Điện công nghiệp, Bán hàng / Kinh doanh</t>
        </is>
      </c>
      <c r="K18527" t="inlineStr">
        <is>
          <t>3 - 4 Năm</t>
        </is>
      </c>
      <c r="L18527" s="8">
        <f>HYPERLINK("https://careerviet.vn/vi/tim-viec-lam/nhan-vien-ho-tro-kinh-doanh-thiet-bi-dien-cong-nghiep.35C66E68.html","Xem chi tiết")</f>
        <v/>
      </c>
    </row>
    <row r="18528">
      <c r="B18528" s="9" t="n">
        <v>18526</v>
      </c>
      <c r="C18528" s="10" t="inlineStr">
        <is>
          <t>Nhân Viên IE (May Mặc)</t>
        </is>
      </c>
      <c r="D18528" s="10" t="inlineStr">
        <is>
          <t>Headhunter HRchannels Group</t>
        </is>
      </c>
      <c r="E18528" s="10" t="inlineStr">
        <is>
          <t>Lương:10 Tr - 20 Tr VND</t>
        </is>
      </c>
      <c r="F18528" s="10" t="inlineStr">
        <is>
          <t>Đồng NaiThừa Thiên- HuếHồ Chí Minh</t>
        </is>
      </c>
      <c r="G18528" s="10" t="inlineStr">
        <is>
          <t>30-03-2026</t>
        </is>
      </c>
      <c r="H18528" s="10" t="inlineStr">
        <is>
          <t>30/03/2026</t>
        </is>
      </c>
      <c r="I18528" s="10" t="inlineStr">
        <is>
          <t>17/03/2026</t>
        </is>
      </c>
      <c r="J18528" s="10" t="inlineStr">
        <is>
          <t>Dệt may / Da giày / Thời trang</t>
        </is>
      </c>
      <c r="K18528" s="10" t="inlineStr">
        <is>
          <t>1 - 2 Năm</t>
        </is>
      </c>
      <c r="L18528" s="11">
        <f>HYPERLINK("https://careerviet.vn/vi/tim-viec-lam/nhan-vien-ie-may-mac.35C66F40.html","Xem chi tiết")</f>
        <v/>
      </c>
      <c r="M18528" s="10" t="n"/>
    </row>
    <row r="18529">
      <c r="B18529" s="7" t="n">
        <v>18527</v>
      </c>
      <c r="C18529" t="inlineStr">
        <is>
          <t>Qc inline</t>
        </is>
      </c>
      <c r="D18529" t="inlineStr">
        <is>
          <t>CÔNG TY TNHH EVOLUTION ENTERPRISES</t>
        </is>
      </c>
      <c r="E18529" t="inlineStr">
        <is>
          <t>Lương:Cạnh tranh</t>
        </is>
      </c>
      <c r="F18529" t="inlineStr">
        <is>
          <t>Hồ Chí Minh</t>
        </is>
      </c>
      <c r="G18529" t="inlineStr">
        <is>
          <t>30-03-2026</t>
        </is>
      </c>
      <c r="H18529" t="inlineStr">
        <is>
          <t>30/03/2026</t>
        </is>
      </c>
      <c r="I18529" t="inlineStr">
        <is>
          <t>17/03/2026</t>
        </is>
      </c>
      <c r="J18529" t="inlineStr">
        <is>
          <t>Dệt may / Da giày / Thời trang, Quản lý chất lượng (QA/QC)</t>
        </is>
      </c>
      <c r="K18529" t="inlineStr">
        <is>
          <t>1 - 2 Năm</t>
        </is>
      </c>
      <c r="L18529" s="8">
        <f>HYPERLINK("https://careerviet.vn/vi/tim-viec-lam/qc-inline.35C643F5.html","Xem chi tiết")</f>
        <v/>
      </c>
    </row>
    <row r="18530">
      <c r="B18530" s="9" t="n">
        <v>18528</v>
      </c>
      <c r="C18530" s="10" t="inlineStr">
        <is>
          <t>Phó Phòng Kinh tế xây dựng ( Phó phòng QS)</t>
        </is>
      </c>
      <c r="D18530" s="10" t="inlineStr">
        <is>
          <t>CÔNG TY CỔ PHẦN TẬP ĐOÀN ONSEN FUJI</t>
        </is>
      </c>
      <c r="E18530" s="10" t="inlineStr">
        <is>
          <t>Lương:40 Tr - 50 Tr VND</t>
        </is>
      </c>
      <c r="F18530" s="10" t="inlineStr">
        <is>
          <t>Hà Nội</t>
        </is>
      </c>
      <c r="G18530" s="10" t="inlineStr">
        <is>
          <t>30-03-2026</t>
        </is>
      </c>
      <c r="H18530" s="10" t="inlineStr">
        <is>
          <t>30/03/2026</t>
        </is>
      </c>
      <c r="I18530" s="10" t="inlineStr">
        <is>
          <t>17/03/2026</t>
        </is>
      </c>
      <c r="J18530" s="10" t="inlineStr">
        <is>
          <t>Xây dựng, Bất động sản, Ngành khác</t>
        </is>
      </c>
      <c r="K18530" s="10" t="inlineStr">
        <is>
          <t>5 - 10 Năm</t>
        </is>
      </c>
      <c r="L18530" s="11">
        <f>HYPERLINK("https://careerviet.vn/vi/tim-viec-lam/pho-phong-kinh-te-xay-dung-pho-phong-qs.35C66F29.html","Xem chi tiết")</f>
        <v/>
      </c>
      <c r="M18530" s="10" t="n"/>
    </row>
    <row r="18531">
      <c r="B18531" s="7" t="n">
        <v>18529</v>
      </c>
      <c r="C18531" t="inlineStr">
        <is>
          <t>Nhân Viên Chăm Sóc Khách Hàng Nhà Hàng</t>
        </is>
      </c>
      <c r="D18531" t="inlineStr">
        <is>
          <t>ONE GROUP</t>
        </is>
      </c>
      <c r="E18531" t="inlineStr">
        <is>
          <t>Lương:7 Tr - 8 Tr VND</t>
        </is>
      </c>
      <c r="F18531" t="inlineStr">
        <is>
          <t>Hồ Chí Minh</t>
        </is>
      </c>
      <c r="G18531" t="inlineStr">
        <is>
          <t>30-03-2026</t>
        </is>
      </c>
      <c r="H18531" t="inlineStr">
        <is>
          <t>30/03/2026</t>
        </is>
      </c>
      <c r="I18531" t="inlineStr">
        <is>
          <t>17/03/2026</t>
        </is>
      </c>
      <c r="J18531" t="inlineStr">
        <is>
          <t>Dịch vụ khách hàng, Thực phẩm &amp; Đồ uống, Nhà hàng / Khách sạn</t>
        </is>
      </c>
      <c r="K18531" t="inlineStr">
        <is>
          <t>1 - 2 Năm</t>
        </is>
      </c>
      <c r="L18531" s="8">
        <f>HYPERLINK("https://careerviet.vn/vi/tim-viec-lam/nhan-vien-cham-soc-khach-hang-nha-hang.35C66E73.html","Xem chi tiết")</f>
        <v/>
      </c>
    </row>
    <row r="18532">
      <c r="B18532" s="9" t="n">
        <v>18530</v>
      </c>
      <c r="C18532" s="10" t="inlineStr">
        <is>
          <t>Nhân Viên Thiết Kế Rập (Gerber)</t>
        </is>
      </c>
      <c r="D18532" s="10" t="inlineStr">
        <is>
          <t>Công Ty TNHH May Thêu Giày An Phước</t>
        </is>
      </c>
      <c r="E18532" s="10" t="inlineStr">
        <is>
          <t>Lương:Cạnh tranh</t>
        </is>
      </c>
      <c r="F18532" s="10" t="inlineStr">
        <is>
          <t>Hồ Chí Minh</t>
        </is>
      </c>
      <c r="G18532" s="10" t="inlineStr">
        <is>
          <t>30-03-2026</t>
        </is>
      </c>
      <c r="H18532" s="10" t="inlineStr">
        <is>
          <t>30/03/2026</t>
        </is>
      </c>
      <c r="I18532" s="10" t="inlineStr">
        <is>
          <t>17/03/2026</t>
        </is>
      </c>
      <c r="J18532" s="10" t="inlineStr">
        <is>
          <t>Mỹ thuật / Nghệ thuật / Thiết kế, Dệt may / Da giày / Thời trang, In ấn / Xuất bản</t>
        </is>
      </c>
      <c r="K18532" s="10" t="inlineStr">
        <is>
          <t>3 - 10 Năm</t>
        </is>
      </c>
      <c r="L18532" s="11">
        <f>HYPERLINK("https://careerviet.vn/vi/tim-viec-lam/nhan-vien-thiet-ke-rap-gerber.35C643B5.html","Xem chi tiết")</f>
        <v/>
      </c>
      <c r="M18532" s="10" t="n"/>
    </row>
    <row r="18533">
      <c r="B18533" s="7" t="n">
        <v>18531</v>
      </c>
      <c r="C18533" t="inlineStr">
        <is>
          <t>Phó phòng Thủ tục</t>
        </is>
      </c>
      <c r="D18533" t="inlineStr">
        <is>
          <t>CÔNG TY CỔ PHẦN TẬP ĐOÀN ONSEN FUJI</t>
        </is>
      </c>
      <c r="E18533" t="inlineStr">
        <is>
          <t>Lương:Cạnh tranh</t>
        </is>
      </c>
      <c r="F18533" t="inlineStr">
        <is>
          <t>Hà Nội</t>
        </is>
      </c>
      <c r="G18533" t="inlineStr">
        <is>
          <t>30-03-2026</t>
        </is>
      </c>
      <c r="H18533" t="inlineStr">
        <is>
          <t>30/03/2026</t>
        </is>
      </c>
      <c r="I18533" t="inlineStr">
        <is>
          <t>17/03/2026</t>
        </is>
      </c>
      <c r="J18533" t="inlineStr">
        <is>
          <t>Bất động sản, Luật / Pháp lý, Dịch vụ khách hàng</t>
        </is>
      </c>
      <c r="K18533" t="inlineStr">
        <is>
          <t>3 - 5 Năm</t>
        </is>
      </c>
      <c r="L18533" s="8">
        <f>HYPERLINK("https://careerviet.vn/vi/tim-viec-lam/pho-phong-thu-tuc.35C66F80.html","Xem chi tiết")</f>
        <v/>
      </c>
    </row>
    <row r="18534">
      <c r="B18534" s="9" t="n">
        <v>18532</v>
      </c>
      <c r="C18534" s="10" t="inlineStr">
        <is>
          <t>Chỉ Huy Trưởng</t>
        </is>
      </c>
      <c r="D18534" s="10" t="inlineStr">
        <is>
          <t>Công Ty Cổ Phần Cơ Khí Xây Dựng Thương Mại Đại Dũng</t>
        </is>
      </c>
      <c r="E18534" s="10" t="inlineStr">
        <is>
          <t>Lương:Cạnh tranh</t>
        </is>
      </c>
      <c r="F18534" s="10" t="inlineStr">
        <is>
          <t>Hồ Chí Minh</t>
        </is>
      </c>
      <c r="G18534" s="10" t="inlineStr">
        <is>
          <t>30-03-2026</t>
        </is>
      </c>
      <c r="H18534" s="10" t="inlineStr">
        <is>
          <t>30/03/2026</t>
        </is>
      </c>
      <c r="I18534" s="10" t="inlineStr">
        <is>
          <t>17/03/2026</t>
        </is>
      </c>
      <c r="J18534" s="10" t="inlineStr">
        <is>
          <t>Xây dựng</t>
        </is>
      </c>
      <c r="K18534" s="10" t="inlineStr">
        <is>
          <t>3 - 5 Năm</t>
        </is>
      </c>
      <c r="L18534" s="11">
        <f>HYPERLINK("https://careerviet.vn/vi/tim-viec-lam/chi-huy-truong.35C66F5D.html","Xem chi tiết")</f>
        <v/>
      </c>
      <c r="M18534" s="10" t="n"/>
    </row>
    <row r="18535">
      <c r="B18535" s="7" t="n">
        <v>18533</v>
      </c>
      <c r="C18535" t="inlineStr">
        <is>
          <t>Chuyên viên thu hồi nợ thực địa Bắc Ninh - TA140</t>
        </is>
      </c>
      <c r="D18535" t="inlineStr">
        <is>
          <t>Ngân Hàng TMCP Việt Nam Thịnh Vượng - VPBANK</t>
        </is>
      </c>
      <c r="E18535" t="inlineStr">
        <is>
          <t>Lương:15 Tr - 50 Tr VND</t>
        </is>
      </c>
      <c r="F18535" t="inlineStr">
        <is>
          <t>Hải PhòngBắc NinhVĩnh Phúc</t>
        </is>
      </c>
      <c r="G18535" t="inlineStr">
        <is>
          <t>30-03-2026</t>
        </is>
      </c>
      <c r="H18535" t="inlineStr">
        <is>
          <t>30/03/2026</t>
        </is>
      </c>
      <c r="I18535" t="inlineStr">
        <is>
          <t>17/03/2026</t>
        </is>
      </c>
      <c r="J18535" t="inlineStr">
        <is>
          <t>Luật / Pháp lý, Ngân hàng, Dịch vụ khách hàng</t>
        </is>
      </c>
      <c r="K18535" t="inlineStr">
        <is>
          <t>N/A</t>
        </is>
      </c>
      <c r="L18535" s="8">
        <f>HYPERLINK("https://careerviet.vn/vi/tim-viec-lam/chuyen-vien-thu-hoi-no-thuc-dia-bac-ninh-ta140.35C66ECF.html","Xem chi tiết")</f>
        <v/>
      </c>
    </row>
    <row r="18536">
      <c r="B18536" s="9" t="n">
        <v>18534</v>
      </c>
      <c r="C18536" s="10" t="inlineStr">
        <is>
          <t>[PGDL An Phú] CV/CVC/GĐ Quan hệ KHCN Priority</t>
        </is>
      </c>
      <c r="D18536" s="10" t="inlineStr">
        <is>
          <t>Ngân hàng TMCP Lộc Phát Việt Nam (LPBank)</t>
        </is>
      </c>
      <c r="E18536" s="10" t="inlineStr">
        <is>
          <t>Lương:Cạnh tranh</t>
        </is>
      </c>
      <c r="F18536" s="10" t="inlineStr">
        <is>
          <t>Hồ Chí Minh</t>
        </is>
      </c>
      <c r="G18536" s="10" t="inlineStr">
        <is>
          <t>30-03-2026</t>
        </is>
      </c>
      <c r="H18536" s="10" t="inlineStr">
        <is>
          <t>30/03/2026</t>
        </is>
      </c>
      <c r="I18536" s="10" t="inlineStr">
        <is>
          <t>17/03/2026</t>
        </is>
      </c>
      <c r="J18536" s="10" t="inlineStr">
        <is>
          <t>Bán hàng / Kinh doanh, Bất động sản, Bảo hiểm</t>
        </is>
      </c>
      <c r="K18536" s="10" t="inlineStr">
        <is>
          <t>Trên 1 Năm</t>
        </is>
      </c>
      <c r="L18536" s="11">
        <f>HYPERLINK("https://careerviet.vn/vi/tim-viec-lam/pgdl-an-phu-cv-cvc-gd-quan-he-khcn-priority.35C6438D.html","Xem chi tiết")</f>
        <v/>
      </c>
      <c r="M18536" s="10" t="n"/>
    </row>
    <row r="18537">
      <c r="B18537" s="7" t="n">
        <v>18535</v>
      </c>
      <c r="C18537" t="inlineStr">
        <is>
          <t>QA</t>
        </is>
      </c>
      <c r="D18537" t="inlineStr">
        <is>
          <t>CÔNG TY TNHH EVOLUTION ENTERPRISES</t>
        </is>
      </c>
      <c r="E18537" t="inlineStr">
        <is>
          <t>Lương:Cạnh tranh</t>
        </is>
      </c>
      <c r="F18537" t="inlineStr">
        <is>
          <t>Hồ Chí Minh</t>
        </is>
      </c>
      <c r="G18537" t="inlineStr">
        <is>
          <t>30-03-2026</t>
        </is>
      </c>
      <c r="H18537" t="inlineStr">
        <is>
          <t>30/03/2026</t>
        </is>
      </c>
      <c r="I18537" t="inlineStr">
        <is>
          <t>17/03/2026</t>
        </is>
      </c>
      <c r="J18537" t="inlineStr">
        <is>
          <t>Dệt may / Da giày / Thời trang, Quản lý chất lượng (QA/QC)</t>
        </is>
      </c>
      <c r="K18537" t="inlineStr">
        <is>
          <t>1 - 2 Năm</t>
        </is>
      </c>
      <c r="L18537" s="8">
        <f>HYPERLINK("https://careerviet.vn/vi/tim-viec-lam/qa.35C643FD.html","Xem chi tiết")</f>
        <v/>
      </c>
    </row>
    <row r="18538">
      <c r="B18538" s="9" t="n">
        <v>18536</v>
      </c>
      <c r="C18538" s="10" t="inlineStr">
        <is>
          <t>Nhân Viên Vệ Sinh</t>
        </is>
      </c>
      <c r="D18538" s="10" t="inlineStr">
        <is>
          <t>BỆNH VIỆN HÙNG VƯƠNG</t>
        </is>
      </c>
      <c r="E18538" s="10" t="inlineStr">
        <is>
          <t>Lương:Trên 7 Tr VND</t>
        </is>
      </c>
      <c r="F18538" s="10" t="inlineStr">
        <is>
          <t>Hồ Chí Minh</t>
        </is>
      </c>
      <c r="G18538" s="10" t="inlineStr">
        <is>
          <t>30-03-2026</t>
        </is>
      </c>
      <c r="H18538" s="10" t="inlineStr">
        <is>
          <t>30/03/2026</t>
        </is>
      </c>
      <c r="I18538" s="10" t="inlineStr">
        <is>
          <t>17/03/2026</t>
        </is>
      </c>
      <c r="J18538" s="10" t="inlineStr">
        <is>
          <t>Y tế / Chăm sóc sức khỏe / Thẩm mỹ / Làm đẹp, Lao động phổ thông</t>
        </is>
      </c>
      <c r="K18538" s="10" t="inlineStr">
        <is>
          <t>N/A</t>
        </is>
      </c>
      <c r="L18538" s="11">
        <f>HYPERLINK("https://careerviet.vn/vi/tim-viec-lam/nhan-vien-ve-sinh.35C66F12.html","Xem chi tiết")</f>
        <v/>
      </c>
      <c r="M18538" s="10" t="n"/>
    </row>
    <row r="18539">
      <c r="B18539" s="7" t="n">
        <v>18537</v>
      </c>
      <c r="C18539" t="inlineStr">
        <is>
          <t>Nhân viên văn thư an toàn sinh học (ở lại trại, tại Bình Phước)</t>
        </is>
      </c>
      <c r="D18539" t="inlineStr">
        <is>
          <t>CÔNG TY CỔ PHẦN THÁI VIỆT CORPORATION</t>
        </is>
      </c>
      <c r="E18539" t="inlineStr">
        <is>
          <t>Lương:10 Tr - 15 Tr VND</t>
        </is>
      </c>
      <c r="F18539" t="inlineStr">
        <is>
          <t>Bình Phước</t>
        </is>
      </c>
      <c r="G18539" t="inlineStr">
        <is>
          <t>30-03-2026</t>
        </is>
      </c>
      <c r="H18539" t="inlineStr">
        <is>
          <t>30/03/2026</t>
        </is>
      </c>
      <c r="I18539" t="inlineStr">
        <is>
          <t>17/03/2026</t>
        </is>
      </c>
      <c r="J18539" t="inlineStr">
        <is>
          <t>Hành chính / Thư ký, Nhân sự, An toàn lao động</t>
        </is>
      </c>
      <c r="K18539" t="inlineStr">
        <is>
          <t>Chưa có kinh nghiệm</t>
        </is>
      </c>
      <c r="L18539" s="8">
        <f>HYPERLINK("https://careerviet.vn/vi/tim-viec-lam/nhan-vien-van-thu-an-toan-sinh-hoc-o-lai-trai-tai-binh-phuoc.35C66F57.html","Xem chi tiết")</f>
        <v/>
      </c>
    </row>
    <row r="18540">
      <c r="B18540" s="9" t="n">
        <v>18538</v>
      </c>
      <c r="C18540" s="10" t="inlineStr">
        <is>
          <t>Mid/Senior Backend Developer (Golang/Python/TypeScript)</t>
        </is>
      </c>
      <c r="D18540" s="10" t="inlineStr">
        <is>
          <t>Công ty Cổ phần Mỹ phẩm Quốc tế Thùy Dung</t>
        </is>
      </c>
      <c r="E18540" s="10" t="inlineStr">
        <is>
          <t>Lương:26 Tr - 35 Tr VND</t>
        </is>
      </c>
      <c r="F18540" s="10" t="inlineStr">
        <is>
          <t>Hà Nội</t>
        </is>
      </c>
      <c r="G18540" s="10" t="inlineStr">
        <is>
          <t>30-03-2026</t>
        </is>
      </c>
      <c r="H18540" s="10" t="inlineStr">
        <is>
          <t>30/03/2026</t>
        </is>
      </c>
      <c r="I18540" s="10" t="inlineStr">
        <is>
          <t>17/03/2026</t>
        </is>
      </c>
      <c r="J18540" s="10" t="inlineStr">
        <is>
          <t>Bán lẻ / Bán sỉ, CNTT - Phần mềm</t>
        </is>
      </c>
      <c r="K18540" s="10" t="inlineStr">
        <is>
          <t>Lên đến 4 NămĐịa điểm</t>
        </is>
      </c>
      <c r="L18540" s="11">
        <f>HYPERLINK("https://careerviet.vn/vi/tim-viec-lam/mid-senior-backend-developer-golang-python-typescript.35C6436B.html","Xem chi tiết")</f>
        <v/>
      </c>
      <c r="M18540" s="10" t="n"/>
    </row>
    <row r="18541">
      <c r="B18541" s="7" t="n">
        <v>18539</v>
      </c>
      <c r="C18541" t="inlineStr">
        <is>
          <t>Procurement and Technology Manager (ERP Implementation)</t>
        </is>
      </c>
      <c r="D18541" t="inlineStr">
        <is>
          <t>Savills Vietnam</t>
        </is>
      </c>
      <c r="E18541" t="inlineStr">
        <is>
          <t>Lương:Cạnh tranh</t>
        </is>
      </c>
      <c r="F18541" t="inlineStr">
        <is>
          <t>Hồ Chí Minh</t>
        </is>
      </c>
      <c r="G18541" t="inlineStr">
        <is>
          <t>30-03-2026</t>
        </is>
      </c>
      <c r="H18541" t="inlineStr">
        <is>
          <t>30/03/2026</t>
        </is>
      </c>
      <c r="I18541" t="inlineStr">
        <is>
          <t>17/03/2026</t>
        </is>
      </c>
      <c r="J18541" t="inlineStr">
        <is>
          <t>Kế toán / Kiểm toán, Tài chính / Đầu tư, Bất động sản</t>
        </is>
      </c>
      <c r="K18541" t="inlineStr">
        <is>
          <t>8 - 10 Năm</t>
        </is>
      </c>
      <c r="L18541" s="8">
        <f>HYPERLINK("https://careerviet.vn/vi/tim-viec-lam/procurement-and-technology-manager-erp-implementation.35C64286.html","Xem chi tiết")</f>
        <v/>
      </c>
    </row>
    <row r="18542">
      <c r="B18542" s="9" t="n">
        <v>18540</v>
      </c>
      <c r="C18542" s="10" t="inlineStr">
        <is>
          <t>Nhân viên Thủ Kho</t>
        </is>
      </c>
      <c r="D18542" s="10" t="inlineStr">
        <is>
          <t>Công Ty Cổ Phần Tân Vĩnh Cửu (Tavico group)</t>
        </is>
      </c>
      <c r="E18542" s="10" t="inlineStr">
        <is>
          <t>Lương:Cạnh tranh</t>
        </is>
      </c>
      <c r="F18542" s="10" t="inlineStr">
        <is>
          <t>Đồng Nai</t>
        </is>
      </c>
      <c r="G18542" s="10" t="inlineStr">
        <is>
          <t>30-03-2026</t>
        </is>
      </c>
      <c r="H18542" s="10" t="inlineStr">
        <is>
          <t>30/03/2026</t>
        </is>
      </c>
      <c r="I18542" s="10" t="inlineStr">
        <is>
          <t>17/03/2026</t>
        </is>
      </c>
      <c r="J18542" s="10" t="inlineStr">
        <is>
          <t>Lao động phổ thông, Sản xuất / Vận hành sản xuất, Đồ gỗ</t>
        </is>
      </c>
      <c r="K18542" s="10" t="inlineStr">
        <is>
          <t>2 - 5 Năm</t>
        </is>
      </c>
      <c r="L18542" s="11">
        <f>HYPERLINK("https://careerviet.vn/vi/tim-viec-lam/nhan-vien-thu-kho.35C64327.html","Xem chi tiết")</f>
        <v/>
      </c>
      <c r="M18542" s="10" t="n"/>
    </row>
    <row r="18543">
      <c r="B18543" s="7" t="n">
        <v>18541</v>
      </c>
      <c r="C18543" t="inlineStr">
        <is>
          <t>Chuyên viên Kinh doanh phân bón &amp; Thuốc Bảo vệ thực vật</t>
        </is>
      </c>
      <c r="D18543" t="inlineStr">
        <is>
          <t>Công ty CP Thành Thành Công - Biên Hòa</t>
        </is>
      </c>
      <c r="E18543" t="inlineStr">
        <is>
          <t>Lương:Cạnh tranh</t>
        </is>
      </c>
      <c r="F18543" t="inlineStr">
        <is>
          <t>Gia Lai</t>
        </is>
      </c>
      <c r="G18543" t="inlineStr">
        <is>
          <t>30-03-2026</t>
        </is>
      </c>
      <c r="H18543" t="inlineStr">
        <is>
          <t>30/03/2026</t>
        </is>
      </c>
      <c r="I18543" t="inlineStr">
        <is>
          <t>17/03/2026</t>
        </is>
      </c>
      <c r="J18543" t="inlineStr">
        <is>
          <t>Bán hàng / Kinh doanh</t>
        </is>
      </c>
      <c r="K18543" t="inlineStr">
        <is>
          <t>1 - 2 Năm</t>
        </is>
      </c>
      <c r="L18543" s="8">
        <f>HYPERLINK("https://careerviet.vn/vi/tim-viec-lam/chuyen-vien-kinh-doanh-phan-bon-thuoc-bao-ve-thuc-vat.35C66E50.html","Xem chi tiết")</f>
        <v/>
      </c>
    </row>
    <row r="18544">
      <c r="B18544" s="9" t="n">
        <v>18542</v>
      </c>
      <c r="C18544" s="10" t="inlineStr">
        <is>
          <t>Thực Tập Sinh Nhân Sự (Mảng C&amp;B)</t>
        </is>
      </c>
      <c r="D18544" s="10" t="inlineStr">
        <is>
          <t>Beta Group</t>
        </is>
      </c>
      <c r="E18544" s="10" t="inlineStr">
        <is>
          <t>Lương:1,5 Tr - 2 Tr VND</t>
        </is>
      </c>
      <c r="F18544" s="10" t="inlineStr">
        <is>
          <t>Hà Nội</t>
        </is>
      </c>
      <c r="G18544" s="10" t="inlineStr">
        <is>
          <t>30-03-2026</t>
        </is>
      </c>
      <c r="H18544" s="10" t="inlineStr">
        <is>
          <t>30/03/2026</t>
        </is>
      </c>
      <c r="I18544" s="10" t="inlineStr">
        <is>
          <t>17/03/2026</t>
        </is>
      </c>
      <c r="J18544" s="10" t="inlineStr">
        <is>
          <t>Nhân sự</t>
        </is>
      </c>
      <c r="K18544" s="10" t="inlineStr">
        <is>
          <t>N/A</t>
        </is>
      </c>
      <c r="L18544" s="11">
        <f>HYPERLINK("https://careerviet.vn/vi/tim-viec-lam/thuc-tap-sinh-nhan-su-mang-c-b.35C66EF3.html","Xem chi tiết")</f>
        <v/>
      </c>
      <c r="M18544" s="10" t="n"/>
    </row>
    <row r="18545">
      <c r="B18545" s="7" t="n">
        <v>18543</v>
      </c>
      <c r="C18545" t="inlineStr">
        <is>
          <t>Chỉ huy trưởng công trình Khách sạn</t>
        </is>
      </c>
      <c r="D18545" t="inlineStr">
        <is>
          <t>TỔNG CÔNG TY CỔ PHẦN THƯƠNG MẠI XÂY DỰNG</t>
        </is>
      </c>
      <c r="E18545" t="inlineStr">
        <is>
          <t>Lương:Cạnh tranh</t>
        </is>
      </c>
      <c r="F18545" t="inlineStr">
        <is>
          <t>Hà Nội</t>
        </is>
      </c>
      <c r="G18545" t="inlineStr">
        <is>
          <t>30-03-2026</t>
        </is>
      </c>
      <c r="H18545" t="inlineStr">
        <is>
          <t>30/03/2026</t>
        </is>
      </c>
      <c r="I18545" t="inlineStr">
        <is>
          <t>17/03/2026</t>
        </is>
      </c>
      <c r="J18545" t="inlineStr">
        <is>
          <t>Nhà hàng / Khách sạn, Xây dựng, Bất động sản</t>
        </is>
      </c>
      <c r="K18545" t="inlineStr">
        <is>
          <t>Trên 15 Năm</t>
        </is>
      </c>
      <c r="L18545" s="8">
        <f>HYPERLINK("https://careerviet.vn/vi/tim-viec-lam/chi-huy-truong-cong-trinh-khach-san.35C6437D.html","Xem chi tiết")</f>
        <v/>
      </c>
    </row>
    <row r="18546">
      <c r="B18546" s="9" t="n">
        <v>18544</v>
      </c>
      <c r="C18546" s="10" t="inlineStr">
        <is>
          <t>Sales Engineer</t>
        </is>
      </c>
      <c r="D18546" s="10" t="inlineStr">
        <is>
          <t>Công ty TNHH AOBA Việt Nam</t>
        </is>
      </c>
      <c r="E18546" s="10" t="inlineStr">
        <is>
          <t>Lương:800 - 1.200 USD</t>
        </is>
      </c>
      <c r="F18546" s="10" t="inlineStr">
        <is>
          <t>Hà Nội</t>
        </is>
      </c>
      <c r="G18546" s="10" t="inlineStr">
        <is>
          <t>30-03-2026</t>
        </is>
      </c>
      <c r="H18546" s="10" t="inlineStr">
        <is>
          <t>30/03/2026</t>
        </is>
      </c>
      <c r="I18546" s="10" t="inlineStr">
        <is>
          <t>17/03/2026</t>
        </is>
      </c>
      <c r="J18546" s="10" t="inlineStr">
        <is>
          <t>Bán hàng / Kinh doanh</t>
        </is>
      </c>
      <c r="K18546" s="10" t="inlineStr">
        <is>
          <t>2 - 10 Năm</t>
        </is>
      </c>
      <c r="L18546" s="11">
        <f>HYPERLINK("https://careerviet.vn/vi/tim-viec-lam/sales-engineer.35C66E5E.html","Xem chi tiết")</f>
        <v/>
      </c>
      <c r="M18546" s="10" t="n"/>
    </row>
    <row r="18547">
      <c r="B18547" s="7" t="n">
        <v>18545</v>
      </c>
      <c r="C18547" t="inlineStr">
        <is>
          <t>Chuyên viên Cải tiến &amp; Tối ưu Sản xuất</t>
        </is>
      </c>
      <c r="D18547" t="inlineStr">
        <is>
          <t>CÔNG TY CỔ PHẦN DÂY CÁP ĐIỆN VIỆT NAM - CADIVI</t>
        </is>
      </c>
      <c r="E18547" t="inlineStr">
        <is>
          <t>Lương:Cạnh tranh</t>
        </is>
      </c>
      <c r="F18547" t="inlineStr">
        <is>
          <t>Hồ Chí Minh</t>
        </is>
      </c>
      <c r="G18547" t="inlineStr">
        <is>
          <t>30-03-2026</t>
        </is>
      </c>
      <c r="H18547" t="inlineStr">
        <is>
          <t>30/03/2026</t>
        </is>
      </c>
      <c r="I18547" t="inlineStr">
        <is>
          <t>17/03/2026</t>
        </is>
      </c>
      <c r="J18547" t="inlineStr">
        <is>
          <t>Sản xuất / Vận hành sản xuất, Quản lý chất lượng (QA/QC)</t>
        </is>
      </c>
      <c r="K18547" t="inlineStr">
        <is>
          <t>3 - 5 Năm</t>
        </is>
      </c>
      <c r="L18547" s="8">
        <f>HYPERLINK("https://careerviet.vn/vi/tim-viec-lam/chuyen-vien-cai-tien-toi-uu-san-xuat.35C66FB1.html","Xem chi tiết")</f>
        <v/>
      </c>
    </row>
    <row r="18548">
      <c r="B18548" s="9" t="n">
        <v>18546</v>
      </c>
      <c r="C18548" s="10" t="inlineStr">
        <is>
          <t>KV Miền Trung - Giám đốc/Chuyên viên Quan hệ khách hàng Doanh nghiệp</t>
        </is>
      </c>
      <c r="D18548" s="10" t="inlineStr">
        <is>
          <t>BVBank - Ngân hàng Bản Việt</t>
        </is>
      </c>
      <c r="E18548" s="10" t="inlineStr">
        <is>
          <t>Lương:Cạnh tranh</t>
        </is>
      </c>
      <c r="F18548" s="10" t="inlineStr">
        <is>
          <t>Bình ĐịnhKhánh Hòa</t>
        </is>
      </c>
      <c r="G18548" s="10" t="inlineStr">
        <is>
          <t>30-03-2026</t>
        </is>
      </c>
      <c r="H18548" s="10" t="inlineStr">
        <is>
          <t>30/03/2026</t>
        </is>
      </c>
      <c r="I18548" s="10" t="inlineStr">
        <is>
          <t>17/03/2026</t>
        </is>
      </c>
      <c r="J18548" s="10" t="inlineStr">
        <is>
          <t>Ngân hàng, Tài chính / Đầu tư, Bán hàng / Kinh doanh</t>
        </is>
      </c>
      <c r="K18548" s="10" t="inlineStr">
        <is>
          <t>1 - 2 Năm</t>
        </is>
      </c>
      <c r="L18548" s="11">
        <f>HYPERLINK("https://careerviet.vn/vi/tim-viec-lam/kv-mien-trung-giam-doc-chuyen-vien-quan-he-khach-hang-doanh-nghiep.35C643BF.html","Xem chi tiết")</f>
        <v/>
      </c>
      <c r="M18548" s="10" t="n"/>
    </row>
    <row r="18549">
      <c r="B18549" s="7" t="n">
        <v>18547</v>
      </c>
      <c r="C18549" t="inlineStr">
        <is>
          <t>KV Bắc Trung Bộ - Giám đốc/Chuyên viên Quan hệ khách hàng Doanh nghiệp</t>
        </is>
      </c>
      <c r="D18549" t="inlineStr">
        <is>
          <t>BVBank - Ngân hàng Bản Việt</t>
        </is>
      </c>
      <c r="E18549" t="inlineStr">
        <is>
          <t>Lương:Cạnh tranh</t>
        </is>
      </c>
      <c r="F18549" t="inlineStr">
        <is>
          <t>Thanh HóaHà TĩnhNghệ An</t>
        </is>
      </c>
      <c r="G18549" t="inlineStr">
        <is>
          <t>30-03-2026</t>
        </is>
      </c>
      <c r="H18549" t="inlineStr">
        <is>
          <t>30/03/2026</t>
        </is>
      </c>
      <c r="I18549" t="inlineStr">
        <is>
          <t>17/03/2026</t>
        </is>
      </c>
      <c r="J18549" t="inlineStr">
        <is>
          <t>Ngân hàng, Tài chính / Đầu tư, Bán hàng / Kinh doanh</t>
        </is>
      </c>
      <c r="K18549" t="inlineStr">
        <is>
          <t>1 - 2 Năm</t>
        </is>
      </c>
      <c r="L18549" s="8">
        <f>HYPERLINK("https://careerviet.vn/vi/tim-viec-lam/kv-bac-trung-bo-giam-doc-chuyen-vien-quan-he-khach-hang-doanh-nghiep.35C643B7.html","Xem chi tiết")</f>
        <v/>
      </c>
    </row>
    <row r="18550">
      <c r="B18550" s="9" t="n">
        <v>18548</v>
      </c>
      <c r="C18550" s="10" t="inlineStr">
        <is>
          <t>Chuyên Viên Kinh Doanh Khách Sạn (LCB 15 - 20 Triệu + Hoa hồng)</t>
        </is>
      </c>
      <c r="D18550" s="10" t="inlineStr">
        <is>
          <t>CÔNG TY CỔ PHẦN QUẢN LÝ VẬN HÀNH &amp; KHAI THÁC BẤT ĐỘNG SẢN GELEXIMCO</t>
        </is>
      </c>
      <c r="E18550" s="10" t="inlineStr">
        <is>
          <t>Lương:20 Tr - 30 Tr VND</t>
        </is>
      </c>
      <c r="F18550" s="10" t="inlineStr">
        <is>
          <t>Hà Nội</t>
        </is>
      </c>
      <c r="G18550" s="10" t="inlineStr">
        <is>
          <t>04-04-2026</t>
        </is>
      </c>
      <c r="H18550" s="10" t="inlineStr">
        <is>
          <t>04/04/2026</t>
        </is>
      </c>
      <c r="I18550" s="10" t="inlineStr">
        <is>
          <t>17/03/2026</t>
        </is>
      </c>
      <c r="J18550" s="10" t="inlineStr">
        <is>
          <t>Nhà hàng / Khách sạn, Du lịch, Bán hàng / Kinh doanh</t>
        </is>
      </c>
      <c r="K18550" s="10" t="inlineStr">
        <is>
          <t>Trên 2 Năm</t>
        </is>
      </c>
      <c r="L18550" s="11">
        <f>HYPERLINK("https://careerviet.vn/vi/tim-viec-lam/chuyen-vien-kinh-doanh-khach-san-lcb-15-20-trieu-hoa-hong.35C6745C.html","Xem chi tiết")</f>
        <v/>
      </c>
      <c r="M18550" s="10" t="n"/>
    </row>
    <row r="18551">
      <c r="B18551" s="7" t="n">
        <v>18549</v>
      </c>
      <c r="C18551" t="inlineStr">
        <is>
          <t>Tuyển gấp nhân viên Chăm sóc Khách hàng- Viện thẩm mỹ Y khoa DR HẢI LÊ</t>
        </is>
      </c>
      <c r="D18551" t="inlineStr">
        <is>
          <t>Viện Thẩm mỹ y khoa Dr Hải Lê</t>
        </is>
      </c>
      <c r="E18551" t="inlineStr">
        <is>
          <t>Lương:8 Tr - 15 Tr VND</t>
        </is>
      </c>
      <c r="F18551" t="inlineStr">
        <is>
          <t>Hà Nội</t>
        </is>
      </c>
      <c r="G18551" t="inlineStr">
        <is>
          <t>04-04-2026</t>
        </is>
      </c>
      <c r="H18551" t="inlineStr">
        <is>
          <t>04/04/2026</t>
        </is>
      </c>
      <c r="I18551" t="inlineStr">
        <is>
          <t>17/03/2026</t>
        </is>
      </c>
      <c r="J18551" t="inlineStr">
        <is>
          <t>Tiếp thị trực tuyến, Y tế / Chăm sóc sức khỏe / Thẩm mỹ / Làm đẹp, Dịch vụ khách hàng</t>
        </is>
      </c>
      <c r="K18551" t="inlineStr">
        <is>
          <t>Chưa có kinh nghiệm</t>
        </is>
      </c>
      <c r="L18551" s="8">
        <f>HYPERLINK("https://careerviet.vn/vi/tim-viec-lam/tuyen-gap-nhan-vien-cham-soc-khach-hang-vien-tham-my-y-khoa-dr-hai-le.35C67465.html","Xem chi tiết")</f>
        <v/>
      </c>
    </row>
    <row r="18552">
      <c r="B18552" s="9" t="n">
        <v>18550</v>
      </c>
      <c r="C18552" s="10" t="inlineStr">
        <is>
          <t>KV Tây Nam Bộ - Giám đốc/Chuyên viên Dịch vụ Khách hàng</t>
        </is>
      </c>
      <c r="D18552" s="10" t="inlineStr">
        <is>
          <t>BVBank - Ngân hàng Bản Việt</t>
        </is>
      </c>
      <c r="E18552" s="10" t="inlineStr">
        <is>
          <t>Lương:Cạnh tranh</t>
        </is>
      </c>
      <c r="F18552" s="10" t="inlineStr">
        <is>
          <t>An GiangĐồng ThápCần Thơ</t>
        </is>
      </c>
      <c r="G18552" s="10" t="inlineStr">
        <is>
          <t>30-03-2026</t>
        </is>
      </c>
      <c r="H18552" s="10" t="inlineStr">
        <is>
          <t>30/03/2026</t>
        </is>
      </c>
      <c r="I18552" s="10" t="inlineStr">
        <is>
          <t>17/03/2026</t>
        </is>
      </c>
      <c r="J18552" s="10" t="inlineStr">
        <is>
          <t>Ngân hàng, Tài chính / Đầu tư, Bán hàng / Kinh doanh</t>
        </is>
      </c>
      <c r="K18552" s="10" t="inlineStr">
        <is>
          <t>1 - 2 Năm</t>
        </is>
      </c>
      <c r="L18552" s="11">
        <f>HYPERLINK("https://careerviet.vn/vi/tim-viec-lam/kv-tay-nam-bo-giam-doc-chuyen-vien-dich-vu-khach-hang.35C643F9.html","Xem chi tiết")</f>
        <v/>
      </c>
      <c r="M18552" s="10" t="n"/>
    </row>
    <row r="18553">
      <c r="B18553" s="7" t="n">
        <v>18551</v>
      </c>
      <c r="C18553" t="inlineStr">
        <is>
          <t>Leader Event</t>
        </is>
      </c>
      <c r="D18553" t="inlineStr">
        <is>
          <t>CÔNG TY CỔ PHẦN XUẤT NHẬP KHẨU VÀ THƯƠNG MẠI FOREVER</t>
        </is>
      </c>
      <c r="E18553" t="inlineStr">
        <is>
          <t>Lương:20 Tr - 25 Tr VND</t>
        </is>
      </c>
      <c r="F18553" t="inlineStr">
        <is>
          <t>Hà Nội</t>
        </is>
      </c>
      <c r="G18553" t="inlineStr">
        <is>
          <t>04-04-2026</t>
        </is>
      </c>
      <c r="H18553" t="inlineStr">
        <is>
          <t>04/04/2026</t>
        </is>
      </c>
      <c r="I18553" t="inlineStr">
        <is>
          <t>17/03/2026</t>
        </is>
      </c>
      <c r="J18553" t="inlineStr">
        <is>
          <t>Tổ chức sự kiện</t>
        </is>
      </c>
      <c r="K18553" t="inlineStr">
        <is>
          <t>2 - 3 Năm</t>
        </is>
      </c>
      <c r="L18553" s="8">
        <f>HYPERLINK("https://careerviet.vn/vi/tim-viec-lam/leader-event.35C67474.html","Xem chi tiết")</f>
        <v/>
      </c>
    </row>
    <row r="18554">
      <c r="B18554" s="9" t="n">
        <v>18552</v>
      </c>
      <c r="C18554" s="10" t="inlineStr">
        <is>
          <t>Trưởng Phòng Kho (Điện Tử, Tiếng Trung)  làm việc tại Bắc Giang</t>
        </is>
      </c>
      <c r="D18554" s="10" t="inlineStr">
        <is>
          <t>Headhunter HRchannels Group</t>
        </is>
      </c>
      <c r="E18554" s="10" t="inlineStr">
        <is>
          <t>Lương:1.300 - 1.300 USD</t>
        </is>
      </c>
      <c r="F18554" s="10" t="inlineStr">
        <is>
          <t>Bắc GiangBắc NinhHồ Chí Minh</t>
        </is>
      </c>
      <c r="G18554" s="10" t="inlineStr">
        <is>
          <t>04-04-2026</t>
        </is>
      </c>
      <c r="H18554" s="10" t="inlineStr">
        <is>
          <t>04/04/2026</t>
        </is>
      </c>
      <c r="I18554" s="10" t="inlineStr">
        <is>
          <t>17/03/2026</t>
        </is>
      </c>
      <c r="J18554" s="10" t="inlineStr">
        <is>
          <t>Vận chuyển / Giao nhận / Kho vận, Sản xuất / Vận hành sản xuất, Kế toán / Kiểm toán</t>
        </is>
      </c>
      <c r="K18554" s="10" t="inlineStr">
        <is>
          <t>2 - 3 Năm</t>
        </is>
      </c>
      <c r="L18554" s="11">
        <f>HYPERLINK("https://careerviet.vn/vi/tim-viec-lam/truong-phong-kho-dien-tu-tieng-trung-lam-viec-tai-bac-giang.35C6743D.html","Xem chi tiết")</f>
        <v/>
      </c>
      <c r="M18554" s="10" t="n"/>
    </row>
    <row r="18555">
      <c r="B18555" s="7" t="n">
        <v>18553</v>
      </c>
      <c r="C18555" t="inlineStr">
        <is>
          <t>Nhân viên Trải nghiệm khách hàng</t>
        </is>
      </c>
      <c r="D18555" t="inlineStr">
        <is>
          <t>Tổng Công Ty Cổ Phần Bảo Hiểm Ngân Hàng TMCP Công Thương Việt Nam</t>
        </is>
      </c>
      <c r="E18555" t="inlineStr">
        <is>
          <t>Lương:Cạnh tranh</t>
        </is>
      </c>
      <c r="F18555" t="inlineStr">
        <is>
          <t>Hà Nội</t>
        </is>
      </c>
      <c r="G18555" t="inlineStr">
        <is>
          <t>30-03-2026</t>
        </is>
      </c>
      <c r="H18555" t="inlineStr">
        <is>
          <t>30/03/2026</t>
        </is>
      </c>
      <c r="I18555" t="inlineStr">
        <is>
          <t>17/03/2026</t>
        </is>
      </c>
      <c r="J18555" t="inlineStr">
        <is>
          <t>Dịch vụ khách hàng</t>
        </is>
      </c>
      <c r="K18555" t="inlineStr">
        <is>
          <t>1 - 2 Năm</t>
        </is>
      </c>
      <c r="L18555" s="8">
        <f>HYPERLINK("https://careerviet.vn/vi/tim-viec-lam/nhan-vien-trai-nghiem-khach-hang.35C66F35.html","Xem chi tiết")</f>
        <v/>
      </c>
    </row>
    <row r="18556">
      <c r="B18556" s="9" t="n">
        <v>18554</v>
      </c>
      <c r="C18556" s="10" t="inlineStr">
        <is>
          <t>Nhân Viên Lễ Tân Tòa Nhà</t>
        </is>
      </c>
      <c r="D18556" s="10" t="inlineStr">
        <is>
          <t>TỔNG CÔNG TY CỔ PHẦN THƯƠNG MẠI XÂY DỰNG</t>
        </is>
      </c>
      <c r="E18556" s="10" t="inlineStr">
        <is>
          <t>Lương:8,5 Tr - 10,5 Tr VND</t>
        </is>
      </c>
      <c r="F18556" s="10" t="inlineStr">
        <is>
          <t>Hà Nội</t>
        </is>
      </c>
      <c r="G18556" s="10" t="inlineStr">
        <is>
          <t>04-04-2026</t>
        </is>
      </c>
      <c r="H18556" s="10" t="inlineStr">
        <is>
          <t>04/04/2026</t>
        </is>
      </c>
      <c r="I18556" s="10" t="inlineStr">
        <is>
          <t>17/03/2026</t>
        </is>
      </c>
      <c r="J18556" s="10" t="inlineStr">
        <is>
          <t>Dịch vụ khách hàng, Hành chính / Thư ký, Nhân sự</t>
        </is>
      </c>
      <c r="K18556" s="10" t="inlineStr">
        <is>
          <t>Trên 1 Năm</t>
        </is>
      </c>
      <c r="L18556" s="11">
        <f>HYPERLINK("https://careerviet.vn/vi/tim-viec-lam/nhan-vien-le-tan-toa-nha.35C67550.html","Xem chi tiết")</f>
        <v/>
      </c>
      <c r="M18556" s="10" t="n"/>
    </row>
    <row r="18557">
      <c r="B18557" s="7" t="n">
        <v>18555</v>
      </c>
      <c r="C18557" t="inlineStr">
        <is>
          <t>Chuyên Viên Tuyển Dụng</t>
        </is>
      </c>
      <c r="D18557" t="inlineStr">
        <is>
          <t>CÔNG TY TNHH XNK CUỘC SỐNG TƯƠI ĐẸP</t>
        </is>
      </c>
      <c r="E18557" t="inlineStr">
        <is>
          <t>Lương:15 Tr - 17 Tr VND</t>
        </is>
      </c>
      <c r="F18557" t="inlineStr">
        <is>
          <t>Hồ Chí Minh</t>
        </is>
      </c>
      <c r="G18557" t="inlineStr">
        <is>
          <t>04-04-2026</t>
        </is>
      </c>
      <c r="H18557" t="inlineStr">
        <is>
          <t>04/04/2026</t>
        </is>
      </c>
      <c r="I18557" t="inlineStr">
        <is>
          <t>17/03/2026</t>
        </is>
      </c>
      <c r="J18557" t="inlineStr">
        <is>
          <t>Hành chính / Thư ký, Nhân sự</t>
        </is>
      </c>
      <c r="K18557" t="inlineStr">
        <is>
          <t>3 - 5 Năm</t>
        </is>
      </c>
      <c r="L18557" s="8">
        <f>HYPERLINK("https://careerviet.vn/vi/tim-viec-lam/chuyen-vien-tuyen-dung.35C67540.html","Xem chi tiết")</f>
        <v/>
      </c>
    </row>
    <row r="18558">
      <c r="B18558" s="9" t="n">
        <v>18556</v>
      </c>
      <c r="C18558" s="10" t="inlineStr">
        <is>
          <t>Strategic Customer Account Manager</t>
        </is>
      </c>
      <c r="D18558" s="10" t="inlineStr">
        <is>
          <t>CÔNG TY TNHH LESCHACO VIỆT NAM</t>
        </is>
      </c>
      <c r="E18558" s="10" t="inlineStr">
        <is>
          <t>Lương:Cạnh tranh</t>
        </is>
      </c>
      <c r="F18558" s="10" t="inlineStr">
        <is>
          <t>Hồ Chí Minh</t>
        </is>
      </c>
      <c r="G18558" s="10" t="inlineStr">
        <is>
          <t>04-04-2026</t>
        </is>
      </c>
      <c r="H18558" s="10" t="inlineStr">
        <is>
          <t>04/04/2026</t>
        </is>
      </c>
      <c r="I18558" s="10" t="inlineStr">
        <is>
          <t>17/03/2026</t>
        </is>
      </c>
      <c r="J18558" s="10" t="inlineStr">
        <is>
          <t>Xuất nhập khẩu</t>
        </is>
      </c>
      <c r="K18558" s="10" t="inlineStr">
        <is>
          <t>3 - 5 Năm</t>
        </is>
      </c>
      <c r="L18558" s="11">
        <f>HYPERLINK("https://careerviet.vn/vi/tim-viec-lam/strategic-customer-account-manager.35C674BA.html","Xem chi tiết")</f>
        <v/>
      </c>
      <c r="M18558" s="10" t="n"/>
    </row>
    <row r="18559">
      <c r="B18559" s="7" t="n">
        <v>18557</v>
      </c>
      <c r="C18559" t="inlineStr">
        <is>
          <t>Product Owner (Domain Fintech)</t>
        </is>
      </c>
      <c r="D18559" t="inlineStr">
        <is>
          <t>Công ty Cố phần giải pháp công nghệ ITE</t>
        </is>
      </c>
      <c r="E18559" t="inlineStr">
        <is>
          <t>Lương:30 Tr - 40 Tr VND</t>
        </is>
      </c>
      <c r="F18559" t="inlineStr">
        <is>
          <t>Hà Nội</t>
        </is>
      </c>
      <c r="G18559" t="inlineStr">
        <is>
          <t>04-04-2026</t>
        </is>
      </c>
      <c r="H18559" t="inlineStr">
        <is>
          <t>04/04/2026</t>
        </is>
      </c>
      <c r="I18559" t="inlineStr">
        <is>
          <t>17/03/2026</t>
        </is>
      </c>
      <c r="J18559" t="inlineStr">
        <is>
          <t>Dịch vụ khách hàng, Tài chính / Đầu tư, CNTT - Phần mềm</t>
        </is>
      </c>
      <c r="K18559" t="inlineStr">
        <is>
          <t>2 - 3 Năm</t>
        </is>
      </c>
      <c r="L18559" s="8">
        <f>HYPERLINK("https://careerviet.vn/vi/tim-viec-lam/product-owner-domain-fintech.35C675E3.html","Xem chi tiết")</f>
        <v/>
      </c>
    </row>
    <row r="18560">
      <c r="B18560" s="9" t="n">
        <v>18558</v>
      </c>
      <c r="C18560" s="10" t="inlineStr">
        <is>
          <t>Nhân viên Chăm sóc Khách hàng VietJet Air</t>
        </is>
      </c>
      <c r="D18560" s="10" t="inlineStr">
        <is>
          <t>CÔNG TY TNHH GALAXY DIGITAL HOLDINGS</t>
        </is>
      </c>
      <c r="E18560" s="10" t="inlineStr">
        <is>
          <t>Lương:8 Tr - 11 Tr VND</t>
        </is>
      </c>
      <c r="F18560" s="10" t="inlineStr">
        <is>
          <t>Hồ Chí Minh</t>
        </is>
      </c>
      <c r="G18560" s="10" t="inlineStr">
        <is>
          <t>04-04-2026</t>
        </is>
      </c>
      <c r="H18560" s="10" t="inlineStr">
        <is>
          <t>04/04/2026</t>
        </is>
      </c>
      <c r="I18560" s="10" t="inlineStr">
        <is>
          <t>17/03/2026</t>
        </is>
      </c>
      <c r="J18560" s="10" t="inlineStr">
        <is>
          <t>Dịch vụ khách hàng</t>
        </is>
      </c>
      <c r="K18560" s="10" t="inlineStr">
        <is>
          <t>N/A</t>
        </is>
      </c>
      <c r="L18560" s="11">
        <f>HYPERLINK("https://careerviet.vn/vi/tim-viec-lam/nhan-vien-cham-soc-khach-hang-vietjet-air.35C6750C.html","Xem chi tiết")</f>
        <v/>
      </c>
      <c r="M18560" s="10" t="n"/>
    </row>
    <row r="18561">
      <c r="B18561" s="7" t="n">
        <v>18559</v>
      </c>
      <c r="C18561" t="inlineStr">
        <is>
          <t>Kỹ sư Bảo trì - sửa chữa (Bà Rịa-Vũng Tàu)</t>
        </is>
      </c>
      <c r="D18561" t="inlineStr">
        <is>
          <t>Daikin Air Conditioning (Vietnam) Joint Stock Company</t>
        </is>
      </c>
      <c r="E18561" t="inlineStr">
        <is>
          <t>Lương:Cạnh tranh</t>
        </is>
      </c>
      <c r="F18561" t="inlineStr">
        <is>
          <t>Bà Rịa - Vũng Tàu</t>
        </is>
      </c>
      <c r="G18561" t="inlineStr">
        <is>
          <t>30-03-2026</t>
        </is>
      </c>
      <c r="H18561" t="inlineStr">
        <is>
          <t>30/03/2026</t>
        </is>
      </c>
      <c r="I18561" t="inlineStr">
        <is>
          <t>17/03/2026</t>
        </is>
      </c>
      <c r="J18561" t="inlineStr">
        <is>
          <t>Bảo trì / Sửa chữa, Điện / Điện tử / Điện lạnh / Điện công nghiệp</t>
        </is>
      </c>
      <c r="K18561" t="inlineStr">
        <is>
          <t>Trên 3 Năm</t>
        </is>
      </c>
      <c r="L18561" s="8">
        <f>HYPERLINK("https://careerviet.vn/vi/tim-viec-lam/ky-su-bao-tri-sua-chua-ba-ria-vung-tau.35C66F32.html","Xem chi tiết")</f>
        <v/>
      </c>
    </row>
    <row r="18562">
      <c r="B18562" s="9" t="n">
        <v>18560</v>
      </c>
      <c r="C18562" s="10" t="inlineStr">
        <is>
          <t>Chuyên Viên Quản Lý Máy Móc Thiết Bị</t>
        </is>
      </c>
      <c r="D18562" s="10" t="inlineStr">
        <is>
          <t>CÔNG TY CỔ PHẦN TẬP ĐOÀN PC1</t>
        </is>
      </c>
      <c r="E18562" s="10" t="inlineStr">
        <is>
          <t>Lương:23 Tr - 26 Tr VND</t>
        </is>
      </c>
      <c r="F18562" s="10" t="inlineStr">
        <is>
          <t>Hà Nội</t>
        </is>
      </c>
      <c r="G18562" s="10" t="inlineStr">
        <is>
          <t>04-04-2026</t>
        </is>
      </c>
      <c r="H18562" s="10" t="inlineStr">
        <is>
          <t>04/04/2026</t>
        </is>
      </c>
      <c r="I18562" s="10" t="inlineStr">
        <is>
          <t>17/03/2026</t>
        </is>
      </c>
      <c r="J18562" s="10" t="inlineStr">
        <is>
          <t>Bảo trì / Sửa chữa, Thu mua / Vật tư, Hành chính / Thư ký</t>
        </is>
      </c>
      <c r="K18562" s="10" t="inlineStr">
        <is>
          <t>Trên 5 Năm</t>
        </is>
      </c>
      <c r="L18562" s="11">
        <f>HYPERLINK("https://careerviet.vn/vi/tim-viec-lam/chuyen-vien-quan-ly-may-moc-thiet-bi.35C674D1.html","Xem chi tiết")</f>
        <v/>
      </c>
      <c r="M18562" s="10" t="n"/>
    </row>
    <row r="18563">
      <c r="B18563" s="7" t="n">
        <v>18561</v>
      </c>
      <c r="C18563" t="inlineStr">
        <is>
          <t>[Hotel HN] Graphic Designer (Hotels &amp; Hospitality)</t>
        </is>
      </c>
      <c r="D18563" t="inlineStr">
        <is>
          <t>Công ty Cổ phần Tập đoàn Minh Anh</t>
        </is>
      </c>
      <c r="E18563" t="inlineStr">
        <is>
          <t>Lương:Cạnh tranh</t>
        </is>
      </c>
      <c r="F18563" t="inlineStr">
        <is>
          <t>Hà Nội</t>
        </is>
      </c>
      <c r="G18563" t="inlineStr">
        <is>
          <t>04-04-2026</t>
        </is>
      </c>
      <c r="H18563" t="inlineStr">
        <is>
          <t>04/04/2026</t>
        </is>
      </c>
      <c r="I18563" t="inlineStr">
        <is>
          <t>17/03/2026</t>
        </is>
      </c>
      <c r="J18563" t="inlineStr">
        <is>
          <t>Nhà hàng / Khách sạn, Du lịch, Mỹ thuật / Nghệ thuật / Thiết kế</t>
        </is>
      </c>
      <c r="K18563" t="inlineStr">
        <is>
          <t>2 - 5 Năm</t>
        </is>
      </c>
      <c r="L18563" s="8">
        <f>HYPERLINK("https://careerviet.vn/vi/tim-viec-lam/hotel-hn-graphic-designer-hotels-hospitality.35C6747D.html","Xem chi tiết")</f>
        <v/>
      </c>
    </row>
    <row r="18564">
      <c r="B18564" s="9" t="n">
        <v>18562</v>
      </c>
      <c r="C18564" s="10" t="inlineStr">
        <is>
          <t>Sales Support Japanese Speaking</t>
        </is>
      </c>
      <c r="D18564" s="10" t="inlineStr">
        <is>
          <t>CÔNG TY TNHH JOB HOUSE</t>
        </is>
      </c>
      <c r="E18564" s="10" t="inlineStr">
        <is>
          <t>Lương:15 Tr - 25 Tr VND</t>
        </is>
      </c>
      <c r="F18564" s="10" t="inlineStr">
        <is>
          <t>Hà Nội</t>
        </is>
      </c>
      <c r="G18564" s="10" t="inlineStr">
        <is>
          <t>04-04-2026</t>
        </is>
      </c>
      <c r="H18564" s="10" t="inlineStr">
        <is>
          <t>04/04/2026</t>
        </is>
      </c>
      <c r="I18564" s="10" t="inlineStr">
        <is>
          <t>17/03/2026</t>
        </is>
      </c>
      <c r="J18564" s="10" t="inlineStr">
        <is>
          <t>Bán hàng / Kinh doanh, Xuất nhập khẩu</t>
        </is>
      </c>
      <c r="K18564" s="10" t="inlineStr">
        <is>
          <t>Trên 2 Năm</t>
        </is>
      </c>
      <c r="L18564" s="11">
        <f>HYPERLINK("https://careerviet.vn/vi/tim-viec-lam/sales-support-japanese-speaking.35C674DE.html","Xem chi tiết")</f>
        <v/>
      </c>
      <c r="M18564" s="10" t="n"/>
    </row>
    <row r="18565">
      <c r="B18565" s="7" t="n">
        <v>18563</v>
      </c>
      <c r="C18565" t="inlineStr">
        <is>
          <t>Nhân viên xuất nhập khẩu tiếng Nhật/Anh</t>
        </is>
      </c>
      <c r="D18565" t="inlineStr">
        <is>
          <t>CÔNG TY TNHH JOB HOUSE</t>
        </is>
      </c>
      <c r="E18565" t="inlineStr">
        <is>
          <t>Lương:9 Tr - 15 Tr VND</t>
        </is>
      </c>
      <c r="F18565" t="inlineStr">
        <is>
          <t>Hải DươngHưng Yên</t>
        </is>
      </c>
      <c r="G18565" t="inlineStr">
        <is>
          <t>04-04-2026</t>
        </is>
      </c>
      <c r="H18565" t="inlineStr">
        <is>
          <t>04/04/2026</t>
        </is>
      </c>
      <c r="I18565" t="inlineStr">
        <is>
          <t>17/03/2026</t>
        </is>
      </c>
      <c r="J18565" t="inlineStr">
        <is>
          <t>Xuất nhập khẩu</t>
        </is>
      </c>
      <c r="K18565" t="inlineStr">
        <is>
          <t>Trên 1 Năm</t>
        </is>
      </c>
      <c r="L18565" s="8">
        <f>HYPERLINK("https://careerviet.vn/vi/tim-viec-lam/nhan-vien-xuat-nhap-khau-tieng-nhat-anh.35C675B4.html","Xem chi tiết")</f>
        <v/>
      </c>
    </row>
    <row r="18566">
      <c r="B18566" s="9" t="n">
        <v>18564</v>
      </c>
      <c r="C18566" s="10" t="inlineStr">
        <is>
          <t>[HO-Rủi ro tín dụng]_ Chuyên viên cao cấp Phân loại nợ &amp; Trích lập dự phòng</t>
        </is>
      </c>
      <c r="D18566" s="10" t="inlineStr">
        <is>
          <t>Ngân hàng TMCP Phát triển TP.HCM (HDBank)</t>
        </is>
      </c>
      <c r="E18566" s="10" t="inlineStr">
        <is>
          <t>Lương:Cạnh tranh</t>
        </is>
      </c>
      <c r="F18566" s="10" t="inlineStr">
        <is>
          <t>Hồ Chí Minh</t>
        </is>
      </c>
      <c r="G18566" s="10" t="inlineStr">
        <is>
          <t>04-04-2026</t>
        </is>
      </c>
      <c r="H18566" s="10" t="inlineStr">
        <is>
          <t>04/04/2026</t>
        </is>
      </c>
      <c r="I18566" s="10" t="inlineStr">
        <is>
          <t>17/03/2026</t>
        </is>
      </c>
      <c r="J18566" s="10" t="inlineStr">
        <is>
          <t>Ngân hàng, Bảo hiểm, Tài chính / Đầu tư</t>
        </is>
      </c>
      <c r="K18566" s="10" t="inlineStr">
        <is>
          <t>1 - 2 Năm</t>
        </is>
      </c>
      <c r="L18566" s="11">
        <f>HYPERLINK("https://careerviet.vn/vi/tim-viec-lam/ho-rui-ro-tin-dung-_-chuyen-vien-cao-cap-phan-loai-no-trich-lap-du-phong.35C6744B.html","Xem chi tiết")</f>
        <v/>
      </c>
      <c r="M18566" s="10" t="n"/>
    </row>
    <row r="18567">
      <c r="B18567" s="7" t="n">
        <v>18565</v>
      </c>
      <c r="C18567" t="inlineStr">
        <is>
          <t>Giám đốc Nhà máy tại Thạnh Hóa Long An cũ</t>
        </is>
      </c>
      <c r="D18567" t="inlineStr">
        <is>
          <t>Công Ty Cổ Phần Thép Việt Xô Hà Nội</t>
        </is>
      </c>
      <c r="E18567" t="inlineStr">
        <is>
          <t>Lương:25 Tr - 40 Tr VND</t>
        </is>
      </c>
      <c r="F18567" t="inlineStr">
        <is>
          <t>Long An</t>
        </is>
      </c>
      <c r="G18567" t="inlineStr">
        <is>
          <t>04-04-2026</t>
        </is>
      </c>
      <c r="H18567" t="inlineStr">
        <is>
          <t>04/04/2026</t>
        </is>
      </c>
      <c r="I18567" t="inlineStr">
        <is>
          <t>17/03/2026</t>
        </is>
      </c>
      <c r="J18567" t="inlineStr">
        <is>
          <t>Sản xuất / Vận hành sản xuất</t>
        </is>
      </c>
      <c r="K18567" t="inlineStr">
        <is>
          <t>Trên 3 Năm</t>
        </is>
      </c>
      <c r="L18567" s="8">
        <f>HYPERLINK("https://careerviet.vn/vi/tim-viec-lam/giam-doc-nha-may-tai-thanh-hoa-long-an-cu.35C67462.html","Xem chi tiết")</f>
        <v/>
      </c>
    </row>
    <row r="18568">
      <c r="B18568" s="9" t="n">
        <v>18566</v>
      </c>
      <c r="C18568" s="10" t="inlineStr">
        <is>
          <t>CHUYÊN VIÊN KẾ TOÁN LOGISTICS (QUẬN 7 - HCM)</t>
        </is>
      </c>
      <c r="D18568" s="10" t="inlineStr">
        <is>
          <t>CÔNG TY CỔ PHẦN VẬN TẢI ĐỈNH PHONG</t>
        </is>
      </c>
      <c r="E18568" s="10" t="inlineStr">
        <is>
          <t>Lương:Cạnh tranh</t>
        </is>
      </c>
      <c r="F18568" s="10" t="inlineStr">
        <is>
          <t>Hồ Chí Minh</t>
        </is>
      </c>
      <c r="G18568" s="10" t="inlineStr">
        <is>
          <t>04-04-2026</t>
        </is>
      </c>
      <c r="H18568" s="10" t="inlineStr">
        <is>
          <t>04/04/2026</t>
        </is>
      </c>
      <c r="I18568" s="10" t="inlineStr">
        <is>
          <t>17/03/2026</t>
        </is>
      </c>
      <c r="J18568" s="10" t="inlineStr">
        <is>
          <t>Bán hàng / Kinh doanh, Kế toán / Kiểm toán, Xuất nhập khẩu</t>
        </is>
      </c>
      <c r="K18568" s="10" t="inlineStr">
        <is>
          <t>2 - 3 Năm</t>
        </is>
      </c>
      <c r="L18568" s="11">
        <f>HYPERLINK("https://careerviet.vn/vi/tim-viec-lam/chuyen-vien-ke-toan-logistics-quan-7-hcm.35C67438.html","Xem chi tiết")</f>
        <v/>
      </c>
      <c r="M18568" s="10" t="n"/>
    </row>
    <row r="18569">
      <c r="B18569" s="7" t="n">
        <v>18567</v>
      </c>
      <c r="C18569" t="inlineStr">
        <is>
          <t>Contracting Executive</t>
        </is>
      </c>
      <c r="D18569" t="inlineStr">
        <is>
          <t>Công ty Easia Travel</t>
        </is>
      </c>
      <c r="E18569" t="inlineStr">
        <is>
          <t>Lương:Cạnh tranh</t>
        </is>
      </c>
      <c r="F18569" t="inlineStr">
        <is>
          <t>Hà Nội</t>
        </is>
      </c>
      <c r="G18569" t="inlineStr">
        <is>
          <t>04-04-2026</t>
        </is>
      </c>
      <c r="H18569" t="inlineStr">
        <is>
          <t>04/04/2026</t>
        </is>
      </c>
      <c r="I18569" t="inlineStr">
        <is>
          <t>17/03/2026</t>
        </is>
      </c>
      <c r="J18569" t="inlineStr">
        <is>
          <t>Nhà hàng / Khách sạn, Du lịch</t>
        </is>
      </c>
      <c r="K18569" t="inlineStr">
        <is>
          <t>1 - 2 Năm</t>
        </is>
      </c>
      <c r="L18569" s="8">
        <f>HYPERLINK("https://careerviet.vn/vi/tim-viec-lam/contracting-executive.35C6746C.html","Xem chi tiết")</f>
        <v/>
      </c>
    </row>
    <row r="18570">
      <c r="B18570" s="9" t="n">
        <v>18568</v>
      </c>
      <c r="C18570" s="10" t="inlineStr">
        <is>
          <t>Quality Inspector</t>
        </is>
      </c>
      <c r="D18570" s="10" t="inlineStr">
        <is>
          <t>HR Vietnam’s ESS Client</t>
        </is>
      </c>
      <c r="E18570" s="10" t="inlineStr">
        <is>
          <t>Lương:Cạnh tranh</t>
        </is>
      </c>
      <c r="F18570" s="10" t="inlineStr">
        <is>
          <t>Bình Dương</t>
        </is>
      </c>
      <c r="G18570" s="10" t="inlineStr">
        <is>
          <t>04-04-2026</t>
        </is>
      </c>
      <c r="H18570" s="10" t="inlineStr">
        <is>
          <t>04/04/2026</t>
        </is>
      </c>
      <c r="I18570" s="10" t="inlineStr">
        <is>
          <t>17/03/2026</t>
        </is>
      </c>
      <c r="J18570" s="10" t="inlineStr">
        <is>
          <t>Nội ngoại thất, Sản xuất / Vận hành sản xuất, Dệt may / Da giày / Thời trang</t>
        </is>
      </c>
      <c r="K18570" s="10" t="inlineStr">
        <is>
          <t>3 - 15 Năm</t>
        </is>
      </c>
      <c r="L18570" s="11">
        <f>HYPERLINK("https://careerviet.vn/vi/tim-viec-lam/quality-inspector.35C6746B.html","Xem chi tiết")</f>
        <v/>
      </c>
      <c r="M18570" s="10" t="n"/>
    </row>
    <row r="18571">
      <c r="B18571" s="7" t="n">
        <v>18569</v>
      </c>
      <c r="C18571" t="inlineStr">
        <is>
          <t>Cán Bộ Kinh Doanh - Khu vực Hải Phòng, Hải Dương, Hưng Yên</t>
        </is>
      </c>
      <c r="D18571" t="inlineStr">
        <is>
          <t>Tổng Công ty Cổ phần Bảo hiểm Ngân hàng Đầu tư và Phát triển Việt Nam (BIC)</t>
        </is>
      </c>
      <c r="E18571" t="inlineStr">
        <is>
          <t>Lương:Cạnh tranh</t>
        </is>
      </c>
      <c r="F18571" t="inlineStr">
        <is>
          <t>Hải PhòngHải DươngHưng Yên</t>
        </is>
      </c>
      <c r="G18571" t="inlineStr">
        <is>
          <t>04-04-2026</t>
        </is>
      </c>
      <c r="H18571" t="inlineStr">
        <is>
          <t>04/04/2026</t>
        </is>
      </c>
      <c r="I18571" t="inlineStr">
        <is>
          <t>17/03/2026</t>
        </is>
      </c>
      <c r="J18571" t="inlineStr">
        <is>
          <t>Bảo hiểm, Bán hàng / Kinh doanh, Ngân hàng</t>
        </is>
      </c>
      <c r="K18571" t="inlineStr">
        <is>
          <t>Chưa có kinh nghiệm</t>
        </is>
      </c>
      <c r="L18571" s="8">
        <f>HYPERLINK("https://careerviet.vn/vi/tim-viec-lam/can-bo-kinh-doanh-khu-vuc-hai-phong-hai-duong-hung-yen.35C675F6.html","Xem chi tiết")</f>
        <v/>
      </c>
    </row>
    <row r="18572">
      <c r="B18572" s="9" t="n">
        <v>18570</v>
      </c>
      <c r="C18572" s="10" t="inlineStr">
        <is>
          <t>Chuyên viên, Chuyên viên Cao cấp Khoa học Dữ liệu - Data Scientist - Data Scientist - Khối Dữ liệu (HO26.30)</t>
        </is>
      </c>
      <c r="D18572" s="10" t="inlineStr">
        <is>
          <t>Ngân Hàng TMCP Quân Đội</t>
        </is>
      </c>
      <c r="E18572" s="10" t="inlineStr">
        <is>
          <t>Lương:Cạnh tranh</t>
        </is>
      </c>
      <c r="F18572" s="10" t="inlineStr">
        <is>
          <t>Hà Nội</t>
        </is>
      </c>
      <c r="G18572" s="10" t="inlineStr">
        <is>
          <t>04-04-2026</t>
        </is>
      </c>
      <c r="H18572" s="10" t="inlineStr">
        <is>
          <t>04/04/2026</t>
        </is>
      </c>
      <c r="I18572" s="10" t="inlineStr">
        <is>
          <t>17/03/2026</t>
        </is>
      </c>
      <c r="J18572" s="10" t="inlineStr">
        <is>
          <t>Ngân hàng</t>
        </is>
      </c>
      <c r="K18572" s="10" t="inlineStr">
        <is>
          <t>3 Năm</t>
        </is>
      </c>
      <c r="L18572" s="11">
        <f>HYPERLINK("https://careerviet.vn/vi/tim-viec-lam/chuyen-vien-chuyen-vien-cao-cap-khoa-hoc-du-lieu-data-scientist-data-scientist-khoi-du-lieu-ho26-30.35C675E7.html","Xem chi tiết")</f>
        <v/>
      </c>
      <c r="M18572" s="10" t="n"/>
    </row>
    <row r="18573">
      <c r="B18573" s="7" t="n">
        <v>18571</v>
      </c>
      <c r="C18573" t="inlineStr">
        <is>
          <t>Kế Toán Nội Bộ</t>
        </is>
      </c>
      <c r="D18573" t="inlineStr">
        <is>
          <t>CÔNG TY TNHH CÔNG NGHỆ MÔI TRƯỜNG NÔNG LÂM</t>
        </is>
      </c>
      <c r="E18573" t="inlineStr">
        <is>
          <t>Lương:12 Tr - 15 Tr VND</t>
        </is>
      </c>
      <c r="F18573" t="inlineStr">
        <is>
          <t>Hồ Chí Minh</t>
        </is>
      </c>
      <c r="G18573" t="inlineStr">
        <is>
          <t>04-04-2026</t>
        </is>
      </c>
      <c r="H18573" t="inlineStr">
        <is>
          <t>04/04/2026</t>
        </is>
      </c>
      <c r="I18573" t="inlineStr">
        <is>
          <t>17/03/2026</t>
        </is>
      </c>
      <c r="J18573" t="inlineStr">
        <is>
          <t>Luật / Pháp lý, Kế toán / Kiểm toán, Tài chính / Đầu tư</t>
        </is>
      </c>
      <c r="K18573" t="inlineStr">
        <is>
          <t>Lên đến 1 Năm</t>
        </is>
      </c>
      <c r="L18573" s="8">
        <f>HYPERLINK("https://careerviet.vn/vi/tim-viec-lam/ke-toan-noi-bo.35C67591.html","Xem chi tiết")</f>
        <v/>
      </c>
    </row>
    <row r="18574">
      <c r="B18574" s="9" t="n">
        <v>18572</v>
      </c>
      <c r="C18574" s="10" t="inlineStr">
        <is>
          <t>[HO-Rủi ro Hoạt động]_ Chuyên viên cao cấp Rủi ro gian lận</t>
        </is>
      </c>
      <c r="D18574" s="10" t="inlineStr">
        <is>
          <t>Ngân hàng TMCP Phát triển TP.HCM (HDBank)</t>
        </is>
      </c>
      <c r="E18574" s="10" t="inlineStr">
        <is>
          <t>Lương:Cạnh tranh</t>
        </is>
      </c>
      <c r="F18574" s="10" t="inlineStr">
        <is>
          <t>Hồ Chí Minh</t>
        </is>
      </c>
      <c r="G18574" s="10" t="inlineStr">
        <is>
          <t>04-04-2026</t>
        </is>
      </c>
      <c r="H18574" s="10" t="inlineStr">
        <is>
          <t>04/04/2026</t>
        </is>
      </c>
      <c r="I18574" s="10" t="inlineStr">
        <is>
          <t>17/03/2026</t>
        </is>
      </c>
      <c r="J18574" s="10" t="inlineStr">
        <is>
          <t>Ngân hàng, Tài chính / Đầu tư</t>
        </is>
      </c>
      <c r="K18574" s="10" t="inlineStr">
        <is>
          <t>3 - 4 Năm</t>
        </is>
      </c>
      <c r="L18574" s="11">
        <f>HYPERLINK("https://careerviet.vn/vi/tim-viec-lam/ho-rui-ro-hoat-dong-_-chuyen-vien-cao-cap-rui-ro-gian-lan.35C67476.html","Xem chi tiết")</f>
        <v/>
      </c>
      <c r="M18574" s="10" t="n"/>
    </row>
    <row r="18575">
      <c r="B18575" s="7" t="n">
        <v>18573</v>
      </c>
      <c r="C18575" t="inlineStr">
        <is>
          <t>Shipping Staff / Nhân viên giao hàng</t>
        </is>
      </c>
      <c r="D18575" t="inlineStr">
        <is>
          <t>Nexgen Packaging Vietnam Ltd</t>
        </is>
      </c>
      <c r="E18575" t="inlineStr">
        <is>
          <t>Lương:Cạnh tranh</t>
        </is>
      </c>
      <c r="F18575" t="inlineStr">
        <is>
          <t>Bình Dương</t>
        </is>
      </c>
      <c r="G18575" t="inlineStr">
        <is>
          <t>04-04-2026</t>
        </is>
      </c>
      <c r="H18575" t="inlineStr">
        <is>
          <t>04/04/2026</t>
        </is>
      </c>
      <c r="I18575" t="inlineStr">
        <is>
          <t>17/03/2026</t>
        </is>
      </c>
      <c r="J18575" t="inlineStr">
        <is>
          <t>Vận chuyển / Giao nhận / Kho vận, In ấn / Xuất bản</t>
        </is>
      </c>
      <c r="K18575" t="inlineStr">
        <is>
          <t>Chưa có kinh nghiệm</t>
        </is>
      </c>
      <c r="L18575" s="8">
        <f>HYPERLINK("https://careerviet.vn/vi/tim-viec-lam/shipping-staff-nhan-vien-giao-hang.35C647F8.html","Xem chi tiết")</f>
        <v/>
      </c>
    </row>
    <row r="18576">
      <c r="B18576" s="9" t="n">
        <v>18574</v>
      </c>
      <c r="C18576" s="10" t="inlineStr">
        <is>
          <t>Giám sát quầy Dịch Vụ Khách hàng</t>
        </is>
      </c>
      <c r="D18576" s="10" t="inlineStr">
        <is>
          <t>TỔNG CÔNG TY CỔ PHẦN THƯƠNG MẠI XÂY DỰNG</t>
        </is>
      </c>
      <c r="E18576" s="10" t="inlineStr">
        <is>
          <t>Lương:12 Tr - 14 Tr VND</t>
        </is>
      </c>
      <c r="F18576" s="10" t="inlineStr">
        <is>
          <t>Hà Nội</t>
        </is>
      </c>
      <c r="G18576" s="10" t="inlineStr">
        <is>
          <t>04-04-2026</t>
        </is>
      </c>
      <c r="H18576" s="10" t="inlineStr">
        <is>
          <t>04/04/2026</t>
        </is>
      </c>
      <c r="I18576" s="10" t="inlineStr">
        <is>
          <t>17/03/2026</t>
        </is>
      </c>
      <c r="J18576" s="10" t="inlineStr">
        <is>
          <t>Dịch vụ khách hàng, Tiếp thị / Marketing, Tư vấn</t>
        </is>
      </c>
      <c r="K18576" s="10" t="inlineStr">
        <is>
          <t>2 - 3 Năm</t>
        </is>
      </c>
      <c r="L18576" s="11">
        <f>HYPERLINK("https://careerviet.vn/vi/tim-viec-lam/giam-sat-quay-dich-vu-khach-hang.35C673AA.html","Xem chi tiết")</f>
        <v/>
      </c>
      <c r="M18576" s="10" t="n"/>
    </row>
    <row r="18577">
      <c r="B18577" s="7" t="n">
        <v>18575</v>
      </c>
      <c r="C18577" t="inlineStr">
        <is>
          <t>Nhân viên Kế Hoạch Nguyên Vật Liệu</t>
        </is>
      </c>
      <c r="D18577" t="inlineStr">
        <is>
          <t>Công ty TNHH San Lim Furniture Việt Nam</t>
        </is>
      </c>
      <c r="E18577" t="inlineStr">
        <is>
          <t>Lương:Cạnh tranh</t>
        </is>
      </c>
      <c r="F18577" t="inlineStr">
        <is>
          <t>Đồng Nai</t>
        </is>
      </c>
      <c r="G18577" t="inlineStr">
        <is>
          <t>04-04-2026</t>
        </is>
      </c>
      <c r="H18577" t="inlineStr">
        <is>
          <t>04/04/2026</t>
        </is>
      </c>
      <c r="I18577" t="inlineStr">
        <is>
          <t>17/03/2026</t>
        </is>
      </c>
      <c r="J18577" t="inlineStr">
        <is>
          <t>Thu mua / Vật tư, Mỹ thuật / Nghệ thuật / Thiết kế, Sản xuất / Vận hành sản xuất</t>
        </is>
      </c>
      <c r="K18577" t="inlineStr">
        <is>
          <t>1 - 2 Năm</t>
        </is>
      </c>
      <c r="L18577" s="8">
        <f>HYPERLINK("https://careerviet.vn/vi/tim-viec-lam/nhan-vien-ke-hoach-nguyen-vat-lieu.35C674F3.html","Xem chi tiết")</f>
        <v/>
      </c>
    </row>
    <row r="18578">
      <c r="B18578" s="9" t="n">
        <v>18576</v>
      </c>
      <c r="C18578" s="10" t="inlineStr">
        <is>
          <t>Kỹ Sư Hiện Trường Cầu - Đường</t>
        </is>
      </c>
      <c r="D18578" s="10" t="inlineStr">
        <is>
          <t>Công Ty CP Lizen</t>
        </is>
      </c>
      <c r="E18578" s="10" t="inlineStr">
        <is>
          <t>Lương:Cạnh tranh</t>
        </is>
      </c>
      <c r="F18578" s="10" t="inlineStr">
        <is>
          <t>Hà NộiLào CaiHưng Yên</t>
        </is>
      </c>
      <c r="G18578" s="10" t="inlineStr">
        <is>
          <t>04-04-2026</t>
        </is>
      </c>
      <c r="H18578" s="10" t="inlineStr">
        <is>
          <t>04/04/2026</t>
        </is>
      </c>
      <c r="I18578" s="10" t="inlineStr">
        <is>
          <t>17/03/2026</t>
        </is>
      </c>
      <c r="J18578" s="10" t="inlineStr">
        <is>
          <t>Xây dựng, Kiến trúc, Bất động sản</t>
        </is>
      </c>
      <c r="K18578" s="10" t="inlineStr">
        <is>
          <t>N/A</t>
        </is>
      </c>
      <c r="L18578" s="11">
        <f>HYPERLINK("https://careerviet.vn/vi/tim-viec-lam/ky-su-hien-truong-cau-duong.35C67566.html","Xem chi tiết")</f>
        <v/>
      </c>
      <c r="M18578" s="10" t="n"/>
    </row>
    <row r="18579">
      <c r="B18579" s="7" t="n">
        <v>18577</v>
      </c>
      <c r="C18579" t="inlineStr">
        <is>
          <t>Giám sát thi công nội thất</t>
        </is>
      </c>
      <c r="D18579" t="inlineStr">
        <is>
          <t>Công ty TNHH Nesta</t>
        </is>
      </c>
      <c r="E18579" t="inlineStr">
        <is>
          <t>Lương:15 Tr - 18 Tr VND</t>
        </is>
      </c>
      <c r="F18579" t="inlineStr">
        <is>
          <t>Đà NẵngHồ Chí MinhLào Cai</t>
        </is>
      </c>
      <c r="G18579" t="inlineStr">
        <is>
          <t>04-04-2026</t>
        </is>
      </c>
      <c r="H18579" t="inlineStr">
        <is>
          <t>04/04/2026</t>
        </is>
      </c>
      <c r="I18579" t="inlineStr">
        <is>
          <t>17/03/2026</t>
        </is>
      </c>
      <c r="J18579" t="inlineStr">
        <is>
          <t>Kiến trúc, Xây dựng, Nội ngoại thất</t>
        </is>
      </c>
      <c r="K18579" t="inlineStr">
        <is>
          <t>2 - 3 Năm</t>
        </is>
      </c>
      <c r="L18579" s="8">
        <f>HYPERLINK("https://careerviet.vn/vi/tim-viec-lam/giam-sat-thi-cong-noi-that.35C674BB.html","Xem chi tiết")</f>
        <v/>
      </c>
    </row>
    <row r="18580">
      <c r="B18580" s="9" t="n">
        <v>18578</v>
      </c>
      <c r="C18580" s="10" t="inlineStr">
        <is>
          <t>Chuyên Viên QS</t>
        </is>
      </c>
      <c r="D18580" s="10" t="inlineStr">
        <is>
          <t>CÔNG TY CỔ PHẦN TẬP ĐOÀN PC1</t>
        </is>
      </c>
      <c r="E18580" s="10" t="inlineStr">
        <is>
          <t>Lương:23 Tr - 27 Tr VND</t>
        </is>
      </c>
      <c r="F18580" s="10" t="inlineStr">
        <is>
          <t>Hà Nội</t>
        </is>
      </c>
      <c r="G18580" s="10" t="inlineStr">
        <is>
          <t>04-04-2026</t>
        </is>
      </c>
      <c r="H18580" s="10" t="inlineStr">
        <is>
          <t>04/04/2026</t>
        </is>
      </c>
      <c r="I18580" s="10" t="inlineStr">
        <is>
          <t>17/03/2026</t>
        </is>
      </c>
      <c r="J18580" s="10" t="inlineStr">
        <is>
          <t>Điện / Điện tử / Điện lạnh / Điện công nghiệp, Bảo trì / Sửa chữa, Xây dựng</t>
        </is>
      </c>
      <c r="K18580" s="10" t="inlineStr">
        <is>
          <t>Trên 5 Năm</t>
        </is>
      </c>
      <c r="L18580" s="11">
        <f>HYPERLINK("https://careerviet.vn/vi/tim-viec-lam/chuyen-vien-qs.35C674D3.html","Xem chi tiết")</f>
        <v/>
      </c>
      <c r="M18580" s="10" t="n"/>
    </row>
    <row r="18581">
      <c r="B18581" s="7" t="n">
        <v>18579</v>
      </c>
      <c r="C18581" t="inlineStr">
        <is>
          <t>Nhân Viên Tổng Đài</t>
        </is>
      </c>
      <c r="D18581" t="inlineStr">
        <is>
          <t>Công Ty Tài Chính Mirae Asset (Việt Nam)</t>
        </is>
      </c>
      <c r="E18581" t="inlineStr">
        <is>
          <t>Lương:Cạnh tranh</t>
        </is>
      </c>
      <c r="F18581" t="inlineStr">
        <is>
          <t>Hồ Chí Minh</t>
        </is>
      </c>
      <c r="G18581" t="inlineStr">
        <is>
          <t>04-04-2026</t>
        </is>
      </c>
      <c r="H18581" t="inlineStr">
        <is>
          <t>04/04/2026</t>
        </is>
      </c>
      <c r="I18581" t="inlineStr">
        <is>
          <t>17/03/2026</t>
        </is>
      </c>
      <c r="J18581" t="inlineStr">
        <is>
          <t>Bảo hiểm, Bất động sản, Bán hàng / Kinh doanh</t>
        </is>
      </c>
      <c r="K18581" t="inlineStr">
        <is>
          <t>1 - 2 Năm</t>
        </is>
      </c>
      <c r="L18581" s="8">
        <f>HYPERLINK("https://careerviet.vn/vi/tim-viec-lam/nhan-vien-tong-dai.35C675A3.html","Xem chi tiết")</f>
        <v/>
      </c>
    </row>
    <row r="18582">
      <c r="B18582" s="9" t="n">
        <v>18580</v>
      </c>
      <c r="C18582" s="10" t="inlineStr">
        <is>
          <t>Photographer - Videographer</t>
        </is>
      </c>
      <c r="D18582" s="10" t="inlineStr">
        <is>
          <t>Savimex Corporation</t>
        </is>
      </c>
      <c r="E18582" s="10" t="inlineStr">
        <is>
          <t>Lương:Cạnh tranh</t>
        </is>
      </c>
      <c r="F18582" s="10" t="inlineStr">
        <is>
          <t>Hồ Chí Minh</t>
        </is>
      </c>
      <c r="G18582" s="10" t="inlineStr">
        <is>
          <t>04-04-2026</t>
        </is>
      </c>
      <c r="H18582" s="10" t="inlineStr">
        <is>
          <t>04/04/2026</t>
        </is>
      </c>
      <c r="I18582" s="10" t="inlineStr">
        <is>
          <t>17/03/2026</t>
        </is>
      </c>
      <c r="J18582" s="10" t="inlineStr">
        <is>
          <t>Tiếp thị / Marketing, Mỹ thuật / Nghệ thuật / Thiết kế, Quảng cáo / Đối ngoại / Truyền Thông</t>
        </is>
      </c>
      <c r="K18582" s="10" t="inlineStr">
        <is>
          <t>Trên 1 Năm</t>
        </is>
      </c>
      <c r="L18582" s="11">
        <f>HYPERLINK("https://careerviet.vn/vi/tim-viec-lam/photographer-videographer.35C674FF.html","Xem chi tiết")</f>
        <v/>
      </c>
      <c r="M18582" s="10" t="n"/>
    </row>
    <row r="18583">
      <c r="B18583" s="7" t="n">
        <v>18581</v>
      </c>
      <c r="C18583" t="inlineStr">
        <is>
          <t>Creative Marketing Specialist</t>
        </is>
      </c>
      <c r="D18583" t="inlineStr">
        <is>
          <t>VĂN PHÒNG ĐẠI DIỆN LP FOODS PTE. LTD. TẠI THÀNH PHỐ HỒ CHÍ MINH</t>
        </is>
      </c>
      <c r="E18583" t="inlineStr">
        <is>
          <t>Lương:Cạnh tranh</t>
        </is>
      </c>
      <c r="F18583" t="inlineStr">
        <is>
          <t>Hồ Chí Minh</t>
        </is>
      </c>
      <c r="G18583" t="inlineStr">
        <is>
          <t>04-04-2026</t>
        </is>
      </c>
      <c r="H18583" t="inlineStr">
        <is>
          <t>04/04/2026</t>
        </is>
      </c>
      <c r="I18583" t="inlineStr">
        <is>
          <t>17/03/2026</t>
        </is>
      </c>
      <c r="J18583" t="inlineStr">
        <is>
          <t>Tiếp thị / Marketing, Mỹ thuật / Nghệ thuật / Thiết kế</t>
        </is>
      </c>
      <c r="K18583" t="inlineStr">
        <is>
          <t>2 - 3 Năm</t>
        </is>
      </c>
      <c r="L18583" s="8">
        <f>HYPERLINK("https://careerviet.vn/vi/tim-viec-lam/creative-marketing-specialist.35C67552.html","Xem chi tiết")</f>
        <v/>
      </c>
    </row>
    <row r="18584">
      <c r="B18584" s="9" t="n">
        <v>18582</v>
      </c>
      <c r="C18584" s="10" t="inlineStr">
        <is>
          <t>LẬP KẾ HOẠCH CHO GAME - GAME DESIGNER</t>
        </is>
      </c>
      <c r="D18584" s="10" t="inlineStr">
        <is>
          <t>Koei Tecmo Software Vietnam</t>
        </is>
      </c>
      <c r="E18584" s="10" t="inlineStr">
        <is>
          <t>Lương:Cạnh tranh</t>
        </is>
      </c>
      <c r="F18584" s="10" t="inlineStr">
        <is>
          <t>Hà Nội</t>
        </is>
      </c>
      <c r="G18584" s="10" t="inlineStr">
        <is>
          <t>04-04-2026</t>
        </is>
      </c>
      <c r="H18584" s="10" t="inlineStr">
        <is>
          <t>04/04/2026</t>
        </is>
      </c>
      <c r="I18584" s="10" t="inlineStr">
        <is>
          <t>17/03/2026</t>
        </is>
      </c>
      <c r="J18584" s="10" t="inlineStr">
        <is>
          <t>Biên phiên dịch, CNTT - Phần mềm, Mỹ thuật / Nghệ thuật / Thiết kế</t>
        </is>
      </c>
      <c r="K18584" s="10" t="inlineStr">
        <is>
          <t>Chưa có kinh nghiệm</t>
        </is>
      </c>
      <c r="L18584" s="11">
        <f>HYPERLINK("https://careerviet.vn/vi/tim-viec-lam/lap-ke-hoach-cho-game-game-designer.35C674E6.html","Xem chi tiết")</f>
        <v/>
      </c>
      <c r="M18584" s="10" t="n"/>
    </row>
    <row r="18585">
      <c r="B18585" s="7" t="n">
        <v>18583</v>
      </c>
      <c r="C18585" t="inlineStr">
        <is>
          <t>Raw Materials Market Research</t>
        </is>
      </c>
      <c r="D18585" t="inlineStr">
        <is>
          <t>Công ty cổ phần Nafoods Group</t>
        </is>
      </c>
      <c r="E18585" t="inlineStr">
        <is>
          <t>Lương:Cạnh tranh</t>
        </is>
      </c>
      <c r="F18585" t="inlineStr">
        <is>
          <t>Hồ Chí Minh</t>
        </is>
      </c>
      <c r="G18585" t="inlineStr">
        <is>
          <t>04-04-2026</t>
        </is>
      </c>
      <c r="H18585" t="inlineStr">
        <is>
          <t>04/04/2026</t>
        </is>
      </c>
      <c r="I18585" t="inlineStr">
        <is>
          <t>17/03/2026</t>
        </is>
      </c>
      <c r="J18585" t="inlineStr">
        <is>
          <t>Tiếp thị / Marketing, Nông nghiệp, Thu mua / Vật tư</t>
        </is>
      </c>
      <c r="K18585" t="inlineStr">
        <is>
          <t>2 - 3 Năm</t>
        </is>
      </c>
      <c r="L18585" s="8">
        <f>HYPERLINK("https://careerviet.vn/vi/tim-viec-lam/raw-materials-market-research.35C67499.html","Xem chi tiết")</f>
        <v/>
      </c>
    </row>
    <row r="18586">
      <c r="B18586" s="9" t="n">
        <v>18584</v>
      </c>
      <c r="C18586" s="10" t="inlineStr">
        <is>
          <t>Quality Manager</t>
        </is>
      </c>
      <c r="D18586" s="10" t="inlineStr">
        <is>
          <t>CLIMAVENETA CHAT UNION REFRIGERATION EQUIPMENT - CÔNG TY TNHH THIẾT BỊ ĐIỆN LẠNH CLIMAVENETA CHAT UNION VIỆT NAM</t>
        </is>
      </c>
      <c r="E18586" s="10" t="inlineStr">
        <is>
          <t>Lương:Cạnh tranh</t>
        </is>
      </c>
      <c r="F18586" s="10" t="inlineStr">
        <is>
          <t>Long An</t>
        </is>
      </c>
      <c r="G18586" s="10" t="inlineStr">
        <is>
          <t>04-04-2026</t>
        </is>
      </c>
      <c r="H18586" s="10" t="inlineStr">
        <is>
          <t>04/04/2026</t>
        </is>
      </c>
      <c r="I18586" s="10" t="inlineStr">
        <is>
          <t>17/03/2026</t>
        </is>
      </c>
      <c r="J18586" s="10" t="inlineStr">
        <is>
          <t>Sản xuất / Vận hành sản xuất, Quản lý chất lượng (QA/QC), Điện / Điện tử / Điện lạnh / Điện công nghiệp</t>
        </is>
      </c>
      <c r="K18586" s="10" t="inlineStr">
        <is>
          <t>Trên 5 Năm</t>
        </is>
      </c>
      <c r="L18586" s="11">
        <f>HYPERLINK("https://careerviet.vn/vi/tim-viec-lam/quality-manager.35C67575.html","Xem chi tiết")</f>
        <v/>
      </c>
      <c r="M18586" s="10" t="n"/>
    </row>
    <row r="18587">
      <c r="B18587" s="7" t="n">
        <v>18585</v>
      </c>
      <c r="C18587" t="inlineStr">
        <is>
          <t>Chuyên Viên Mua Hàng quốc tế</t>
        </is>
      </c>
      <c r="D18587" t="inlineStr">
        <is>
          <t>TỔNG CÔNG TY CỔ PHẦN THƯƠNG MẠI XÂY DỰNG</t>
        </is>
      </c>
      <c r="E18587" t="inlineStr">
        <is>
          <t>Lương:18 Tr - 22 Tr VND</t>
        </is>
      </c>
      <c r="F18587" t="inlineStr">
        <is>
          <t>Hà Nội</t>
        </is>
      </c>
      <c r="G18587" t="inlineStr">
        <is>
          <t>04-04-2026</t>
        </is>
      </c>
      <c r="H18587" t="inlineStr">
        <is>
          <t>04/04/2026</t>
        </is>
      </c>
      <c r="I18587" t="inlineStr">
        <is>
          <t>17/03/2026</t>
        </is>
      </c>
      <c r="J18587" t="inlineStr">
        <is>
          <t>Thu mua / Vật tư, Xuất nhập khẩu, Biên phiên dịch</t>
        </is>
      </c>
      <c r="K18587" t="inlineStr">
        <is>
          <t>Trên 5 Năm</t>
        </is>
      </c>
      <c r="L18587" s="8">
        <f>HYPERLINK("https://careerviet.vn/vi/tim-viec-lam/chuyen-vien-mua-hang-quoc-te.35C675D5.html","Xem chi tiết")</f>
        <v/>
      </c>
    </row>
    <row r="18588">
      <c r="B18588" s="9" t="n">
        <v>18586</v>
      </c>
      <c r="C18588" s="10" t="inlineStr">
        <is>
          <t>CHUYÊN VIÊN SOCIAL MEDIA</t>
        </is>
      </c>
      <c r="D18588" s="10" t="inlineStr">
        <is>
          <t>Công ty TNHH Sản xuất Thương mại &amp; Dịch vụ Hoa Xinh</t>
        </is>
      </c>
      <c r="E18588" s="10" t="inlineStr">
        <is>
          <t>Lương:Cạnh tranh</t>
        </is>
      </c>
      <c r="F18588" s="10" t="inlineStr">
        <is>
          <t>Hồ Chí MinhBà Rịa - Vũng Tàu</t>
        </is>
      </c>
      <c r="G18588" s="10" t="inlineStr">
        <is>
          <t>04-04-2026</t>
        </is>
      </c>
      <c r="H18588" s="10" t="inlineStr">
        <is>
          <t>04/04/2026</t>
        </is>
      </c>
      <c r="I18588" s="10" t="inlineStr">
        <is>
          <t>17/03/2026</t>
        </is>
      </c>
      <c r="J18588" s="10" t="inlineStr">
        <is>
          <t>Tiếp thị / Marketing, Tiếp thị trực tuyến, Thương mại điện tử</t>
        </is>
      </c>
      <c r="K18588" s="10" t="inlineStr">
        <is>
          <t>2 - 5 Năm</t>
        </is>
      </c>
      <c r="L18588" s="11">
        <f>HYPERLINK("https://careerviet.vn/vi/tim-viec-lam/chuyen-vien-social-media.35C674F6.html","Xem chi tiết")</f>
        <v/>
      </c>
      <c r="M18588" s="10" t="n"/>
    </row>
    <row r="18589">
      <c r="B18589" s="7" t="n">
        <v>18587</v>
      </c>
      <c r="C18589" t="inlineStr">
        <is>
          <t>CÀ MAU - NHÂN VIÊN CƠ ĐIỆN</t>
        </is>
      </c>
      <c r="D18589" t="inlineStr">
        <is>
          <t>CÔNG TY CỔ PHẦN TẬP ĐOÀN DEKKO</t>
        </is>
      </c>
      <c r="E18589" t="inlineStr">
        <is>
          <t>Lương:7 Tr - 10 Tr VND</t>
        </is>
      </c>
      <c r="F18589" t="inlineStr">
        <is>
          <t>Cà Mau</t>
        </is>
      </c>
      <c r="G18589" t="inlineStr">
        <is>
          <t>04-04-2026</t>
        </is>
      </c>
      <c r="H18589" t="inlineStr">
        <is>
          <t>04/04/2026</t>
        </is>
      </c>
      <c r="I18589" t="inlineStr">
        <is>
          <t>17/03/2026</t>
        </is>
      </c>
      <c r="J18589" t="inlineStr">
        <is>
          <t>Điện / Điện tử / Điện lạnh / Điện công nghiệp</t>
        </is>
      </c>
      <c r="K18589" t="inlineStr">
        <is>
          <t>Chưa có kinh nghiệm</t>
        </is>
      </c>
      <c r="L18589" s="8">
        <f>HYPERLINK("https://careerviet.vn/vi/tim-viec-lam/ca-mau-nhan-vien-co-dien.35C6748D.html","Xem chi tiết")</f>
        <v/>
      </c>
    </row>
    <row r="18590">
      <c r="B18590" s="9" t="n">
        <v>18588</v>
      </c>
      <c r="C18590" s="10" t="inlineStr">
        <is>
          <t>Nhân viên thủ kho</t>
        </is>
      </c>
      <c r="D18590" s="10" t="inlineStr">
        <is>
          <t>Công ty Cổ phần TKMB</t>
        </is>
      </c>
      <c r="E18590" s="10" t="inlineStr">
        <is>
          <t>Lương:Cạnh tranh</t>
        </is>
      </c>
      <c r="F18590" s="10" t="inlineStr">
        <is>
          <t>Long An</t>
        </is>
      </c>
      <c r="G18590" s="10" t="inlineStr">
        <is>
          <t>04-04-2026</t>
        </is>
      </c>
      <c r="H18590" s="10" t="inlineStr">
        <is>
          <t>04/04/2026</t>
        </is>
      </c>
      <c r="I18590" s="10" t="inlineStr">
        <is>
          <t>17/03/2026</t>
        </is>
      </c>
      <c r="J18590" s="10" t="inlineStr">
        <is>
          <t>Vận chuyển / Giao nhận / Kho vận</t>
        </is>
      </c>
      <c r="K18590" s="10" t="inlineStr">
        <is>
          <t>1 - 2 Năm</t>
        </is>
      </c>
      <c r="L18590" s="11">
        <f>HYPERLINK("https://careerviet.vn/vi/tim-viec-lam/nhan-vien-thu-kho.35C6755C.html","Xem chi tiết")</f>
        <v/>
      </c>
      <c r="M18590" s="10" t="n"/>
    </row>
    <row r="18591">
      <c r="B18591" s="7" t="n">
        <v>18589</v>
      </c>
      <c r="C18591" t="inlineStr">
        <is>
          <t>Trưởng phòng Vận hành ứng dụng</t>
        </is>
      </c>
      <c r="D18591" t="inlineStr">
        <is>
          <t>LOTTE FINANCE VIETNAM</t>
        </is>
      </c>
      <c r="E18591" t="inlineStr">
        <is>
          <t>Lương:Cạnh tranh</t>
        </is>
      </c>
      <c r="F18591" t="inlineStr">
        <is>
          <t>Hà Nội</t>
        </is>
      </c>
      <c r="G18591" t="inlineStr">
        <is>
          <t>04-04-2026</t>
        </is>
      </c>
      <c r="H18591" t="inlineStr">
        <is>
          <t>04/04/2026</t>
        </is>
      </c>
      <c r="I18591" t="inlineStr">
        <is>
          <t>17/03/2026</t>
        </is>
      </c>
      <c r="J18591" t="inlineStr">
        <is>
          <t>CNTT - Phần cứng / Mạng, CNTT - Phần mềm</t>
        </is>
      </c>
      <c r="K18591" t="inlineStr">
        <is>
          <t>Trên 5 Năm</t>
        </is>
      </c>
      <c r="L18591" s="8">
        <f>HYPERLINK("https://careerviet.vn/vi/tim-viec-lam/truong-phong-van-hanh-ung-dung.35C675F2.html","Xem chi tiết")</f>
        <v/>
      </c>
    </row>
    <row r="18592">
      <c r="B18592" s="9" t="n">
        <v>18590</v>
      </c>
      <c r="C18592" s="10" t="inlineStr">
        <is>
          <t>SENIOR SALES - WASTEWATER TREAMENT</t>
        </is>
      </c>
      <c r="D18592" s="10" t="inlineStr">
        <is>
          <t>Công Ty Cổ Phần Hóa Chất Kỹ Thuật Kim Phong</t>
        </is>
      </c>
      <c r="E18592" s="10" t="inlineStr">
        <is>
          <t>Lương:Cạnh tranh</t>
        </is>
      </c>
      <c r="F18592" s="10" t="inlineStr">
        <is>
          <t>Hồ Chí Minh</t>
        </is>
      </c>
      <c r="G18592" s="10" t="inlineStr">
        <is>
          <t>04-04-2026</t>
        </is>
      </c>
      <c r="H18592" s="10" t="inlineStr">
        <is>
          <t>04/04/2026</t>
        </is>
      </c>
      <c r="I18592" s="10" t="inlineStr">
        <is>
          <t>17/03/2026</t>
        </is>
      </c>
      <c r="J18592" s="10" t="inlineStr">
        <is>
          <t>Bán hàng / Kinh doanh, Thương mại điện tử, Môi trường</t>
        </is>
      </c>
      <c r="K18592" s="10" t="inlineStr">
        <is>
          <t>1 - 2 Năm</t>
        </is>
      </c>
      <c r="L18592" s="11">
        <f>HYPERLINK("https://careerviet.vn/vi/tim-viec-lam/senior-sales-wastewater-treament.35C67525.html","Xem chi tiết")</f>
        <v/>
      </c>
      <c r="M18592" s="10" t="n"/>
    </row>
    <row r="18593">
      <c r="B18593" s="7" t="n">
        <v>18591</v>
      </c>
      <c r="C18593" t="inlineStr">
        <is>
          <t>Nhân viên Kho (Không yêu cầu kinh nghiệm)</t>
        </is>
      </c>
      <c r="D18593" t="inlineStr">
        <is>
          <t>CÔNG TY TNHH TRỐNG ĐỒNG VIỆT NAM</t>
        </is>
      </c>
      <c r="E18593" t="inlineStr">
        <is>
          <t>Lương:9 Tr - 10 Tr VND</t>
        </is>
      </c>
      <c r="F18593" t="inlineStr">
        <is>
          <t>Hà Nội</t>
        </is>
      </c>
      <c r="G18593" t="inlineStr">
        <is>
          <t>04-04-2026</t>
        </is>
      </c>
      <c r="H18593" t="inlineStr">
        <is>
          <t>04/04/2026</t>
        </is>
      </c>
      <c r="I18593" t="inlineStr">
        <is>
          <t>17/03/2026</t>
        </is>
      </c>
      <c r="J18593" t="inlineStr">
        <is>
          <t>Bán lẻ / Bán sỉ, Bán hàng / Kinh doanh, Kế toán / Kiểm toán</t>
        </is>
      </c>
      <c r="K18593" t="inlineStr">
        <is>
          <t>N/A</t>
        </is>
      </c>
      <c r="L18593" s="8">
        <f>HYPERLINK("https://careerviet.vn/vi/tim-viec-lam/nhan-vien-kho-khong-yeu-cau-kinh-nghiem.35C67470.html","Xem chi tiết")</f>
        <v/>
      </c>
    </row>
    <row r="18594">
      <c r="B18594" s="9" t="n">
        <v>18592</v>
      </c>
      <c r="C18594" s="10" t="inlineStr">
        <is>
          <t>Production Director</t>
        </is>
      </c>
      <c r="D18594" s="10" t="inlineStr">
        <is>
          <t>Công Ty TNHH SX Và TM Quân Đạt</t>
        </is>
      </c>
      <c r="E18594" s="10" t="inlineStr">
        <is>
          <t>Lương:Cạnh tranh</t>
        </is>
      </c>
      <c r="F18594" s="10" t="inlineStr">
        <is>
          <t>Bình Dương</t>
        </is>
      </c>
      <c r="G18594" s="10" t="inlineStr">
        <is>
          <t>04-04-2026</t>
        </is>
      </c>
      <c r="H18594" s="10" t="inlineStr">
        <is>
          <t>04/04/2026</t>
        </is>
      </c>
      <c r="I18594" s="10" t="inlineStr">
        <is>
          <t>17/03/2026</t>
        </is>
      </c>
      <c r="J18594" s="10" t="inlineStr">
        <is>
          <t>Cơ khí / Ô tô / Tự động hóa, Sản xuất / Vận hành sản xuất</t>
        </is>
      </c>
      <c r="K18594" s="10" t="inlineStr">
        <is>
          <t>10 - 15 Năm</t>
        </is>
      </c>
      <c r="L18594" s="11">
        <f>HYPERLINK("https://careerviet.vn/vi/tim-viec-lam/production-director.35C67500.html","Xem chi tiết")</f>
        <v/>
      </c>
      <c r="M18594" s="10" t="n"/>
    </row>
    <row r="18595">
      <c r="B18595" s="7" t="n">
        <v>18593</v>
      </c>
      <c r="C18595" t="inlineStr">
        <is>
          <t>Senior Operational Risk Officer</t>
        </is>
      </c>
      <c r="D18595" t="inlineStr">
        <is>
          <t>CÔNG TY TNHH BẢO HIỂM NHÂN THỌ MB AGEAS</t>
        </is>
      </c>
      <c r="E18595" t="inlineStr">
        <is>
          <t>Lương:Cạnh tranh</t>
        </is>
      </c>
      <c r="F18595" t="inlineStr">
        <is>
          <t>Hà Nội</t>
        </is>
      </c>
      <c r="G18595" t="inlineStr">
        <is>
          <t>04-04-2026</t>
        </is>
      </c>
      <c r="H18595" t="inlineStr">
        <is>
          <t>04/04/2026</t>
        </is>
      </c>
      <c r="I18595" t="inlineStr">
        <is>
          <t>17/03/2026</t>
        </is>
      </c>
      <c r="J18595" t="inlineStr">
        <is>
          <t>Bảo hiểm, Ngân hàng, Quản lý chất lượng (QA/QC)</t>
        </is>
      </c>
      <c r="K18595" t="inlineStr">
        <is>
          <t>Trên 5 Năm</t>
        </is>
      </c>
      <c r="L18595" s="8">
        <f>HYPERLINK("https://careerviet.vn/vi/tim-viec-lam/senior-operational-risk-officer.35C6751A.html","Xem chi tiết")</f>
        <v/>
      </c>
    </row>
    <row r="18596">
      <c r="B18596" s="9" t="n">
        <v>18594</v>
      </c>
      <c r="C18596" s="10" t="inlineStr">
        <is>
          <t>TRƯỞNG PHÒNG TÀI CHÍNH - KẾ TOÁN  [CỦ CHI]</t>
        </is>
      </c>
      <c r="D18596" s="10" t="inlineStr">
        <is>
          <t>CÔNG TY CP SAIGON AUTO SUPPORTING INDUSTRY</t>
        </is>
      </c>
      <c r="E18596" s="10" t="inlineStr">
        <is>
          <t>Lương:Cạnh tranh</t>
        </is>
      </c>
      <c r="F18596" s="10" t="inlineStr">
        <is>
          <t>Hồ Chí Minh</t>
        </is>
      </c>
      <c r="G18596" s="10" t="inlineStr">
        <is>
          <t>04-04-2026</t>
        </is>
      </c>
      <c r="H18596" s="10" t="inlineStr">
        <is>
          <t>04/04/2026</t>
        </is>
      </c>
      <c r="I18596" s="10" t="inlineStr">
        <is>
          <t>17/03/2026</t>
        </is>
      </c>
      <c r="J18596" s="10" t="inlineStr">
        <is>
          <t>Kế toán / Kiểm toán, Ngân hàng</t>
        </is>
      </c>
      <c r="K18596" s="10" t="inlineStr">
        <is>
          <t>5 - 20 Năm</t>
        </is>
      </c>
      <c r="L18596" s="11">
        <f>HYPERLINK("https://careerviet.vn/vi/tim-viec-lam/truong-phong-tai-chinh-ke-toan-cu-chi.35C67459.html","Xem chi tiết")</f>
        <v/>
      </c>
      <c r="M18596" s="10" t="n"/>
    </row>
    <row r="18597">
      <c r="B18597" s="7" t="n">
        <v>18595</v>
      </c>
      <c r="C18597" t="inlineStr">
        <is>
          <t>Trợ lý Giám đốc Kinh doanh</t>
        </is>
      </c>
      <c r="D18597" t="inlineStr">
        <is>
          <t>LOTTE FINANCE VIETNAM</t>
        </is>
      </c>
      <c r="E18597" t="inlineStr">
        <is>
          <t>Lương:Cạnh tranh</t>
        </is>
      </c>
      <c r="F18597" t="inlineStr">
        <is>
          <t>Hồ Chí Minh</t>
        </is>
      </c>
      <c r="G18597" t="inlineStr">
        <is>
          <t>04-04-2026</t>
        </is>
      </c>
      <c r="H18597" t="inlineStr">
        <is>
          <t>04/04/2026</t>
        </is>
      </c>
      <c r="I18597" t="inlineStr">
        <is>
          <t>17/03/2026</t>
        </is>
      </c>
      <c r="J18597" t="inlineStr">
        <is>
          <t>Ngân hàng, Nhân sự, Tài chính / Đầu tư</t>
        </is>
      </c>
      <c r="K18597" t="inlineStr">
        <is>
          <t>2 - 5 Năm</t>
        </is>
      </c>
      <c r="L18597" s="8">
        <f>HYPERLINK("https://careerviet.vn/vi/tim-viec-lam/tro-ly-giam-doc-kinh-doanh.35C674FA.html","Xem chi tiết")</f>
        <v/>
      </c>
    </row>
    <row r="18598">
      <c r="B18598" s="9" t="n">
        <v>18596</v>
      </c>
      <c r="C18598" s="10" t="inlineStr">
        <is>
          <t>Công nhân phòng cải tiến thiết bị</t>
        </is>
      </c>
      <c r="D18598" s="10" t="inlineStr">
        <is>
          <t>Công Ty TNHH POSCO - Việt Nam</t>
        </is>
      </c>
      <c r="E18598" s="10" t="inlineStr">
        <is>
          <t>Lương:8 Tr - 10 Tr VND</t>
        </is>
      </c>
      <c r="F18598" s="10" t="inlineStr">
        <is>
          <t>Bà Rịa - Vũng Tàu</t>
        </is>
      </c>
      <c r="G18598" s="10" t="inlineStr">
        <is>
          <t>04-04-2026</t>
        </is>
      </c>
      <c r="H18598" s="10" t="inlineStr">
        <is>
          <t>04/04/2026</t>
        </is>
      </c>
      <c r="I18598" s="10" t="inlineStr">
        <is>
          <t>17/03/2026</t>
        </is>
      </c>
      <c r="J18598" s="10" t="inlineStr">
        <is>
          <t>Cơ khí / Ô tô / Tự động hóa, Điện / Điện tử / Điện lạnh / Điện công nghiệp, Sản xuất / Vận hành sản xuất</t>
        </is>
      </c>
      <c r="K18598" s="10" t="inlineStr">
        <is>
          <t>1 - 3 Năm</t>
        </is>
      </c>
      <c r="L18598" s="11">
        <f>HYPERLINK("https://careerviet.vn/vi/tim-viec-lam/cong-nhan-phong-cai-tien-thiet-bi.35C67562.html","Xem chi tiết")</f>
        <v/>
      </c>
      <c r="M18598" s="10" t="n"/>
    </row>
    <row r="18599">
      <c r="B18599" s="7" t="n">
        <v>18597</v>
      </c>
      <c r="C18599" t="inlineStr">
        <is>
          <t>Cán Bộ Kinh Doanh - Khu vực Thanh Hóa, Nghệ An, Hà Tĩnh</t>
        </is>
      </c>
      <c r="D18599" t="inlineStr">
        <is>
          <t>Tổng Công ty Cổ phần Bảo hiểm Ngân hàng Đầu tư và Phát triển Việt Nam (BIC)</t>
        </is>
      </c>
      <c r="E18599" t="inlineStr">
        <is>
          <t>Lương:Cạnh tranh</t>
        </is>
      </c>
      <c r="F18599" t="inlineStr">
        <is>
          <t>Nghệ AnHà TĩnhThanh Hóa</t>
        </is>
      </c>
      <c r="G18599" t="inlineStr">
        <is>
          <t>04-04-2026</t>
        </is>
      </c>
      <c r="H18599" t="inlineStr">
        <is>
          <t>04/04/2026</t>
        </is>
      </c>
      <c r="I18599" t="inlineStr">
        <is>
          <t>17/03/2026</t>
        </is>
      </c>
      <c r="J18599" t="inlineStr">
        <is>
          <t>Bảo hiểm, Bán hàng / Kinh doanh, Ngân hàng</t>
        </is>
      </c>
      <c r="K18599" t="inlineStr">
        <is>
          <t>Chưa có kinh nghiệm</t>
        </is>
      </c>
      <c r="L18599" s="8">
        <f>HYPERLINK("https://careerviet.vn/vi/tim-viec-lam/can-bo-kinh-doanh-khu-vuc-thanh-hoa-nghe-an-ha-tinh.35C675F9.html","Xem chi tiết")</f>
        <v/>
      </c>
    </row>
    <row r="18600">
      <c r="B18600" s="9" t="n">
        <v>18598</v>
      </c>
      <c r="C18600" s="10" t="inlineStr">
        <is>
          <t>Chuyên viên Quản lý tài sản</t>
        </is>
      </c>
      <c r="D18600" s="10" t="inlineStr">
        <is>
          <t>LOTTE FINANCE VIETNAM</t>
        </is>
      </c>
      <c r="E18600" s="10" t="inlineStr">
        <is>
          <t>Lương:Cạnh tranh</t>
        </is>
      </c>
      <c r="F18600" s="10" t="inlineStr">
        <is>
          <t>Hà Nội</t>
        </is>
      </c>
      <c r="G18600" s="10" t="inlineStr">
        <is>
          <t>04-04-2026</t>
        </is>
      </c>
      <c r="H18600" s="10" t="inlineStr">
        <is>
          <t>04/04/2026</t>
        </is>
      </c>
      <c r="I18600" s="10" t="inlineStr">
        <is>
          <t>17/03/2026</t>
        </is>
      </c>
      <c r="J18600" s="10" t="inlineStr">
        <is>
          <t>Hành chính / Thư ký, Ngân hàng, Tài chính / Đầu tư</t>
        </is>
      </c>
      <c r="K18600" s="10" t="inlineStr">
        <is>
          <t>Trên 2 Năm</t>
        </is>
      </c>
      <c r="L18600" s="11">
        <f>HYPERLINK("https://careerviet.vn/vi/tim-viec-lam/chuyen-vien-quan-ly-tai-san.35C675F3.html","Xem chi tiết")</f>
        <v/>
      </c>
      <c r="M18600" s="10" t="n"/>
    </row>
    <row r="18601">
      <c r="B18601" s="7" t="n">
        <v>18599</v>
      </c>
      <c r="C18601" t="inlineStr">
        <is>
          <t>Nhân Viên Kiểm Nghiệm [KCN Long Thành - Đồng Nai]</t>
        </is>
      </c>
      <c r="D18601" t="inlineStr">
        <is>
          <t>Công ty Cổ Phần Tập Đoàn Thiên Long</t>
        </is>
      </c>
      <c r="E18601" t="inlineStr">
        <is>
          <t>Lương:8 Tr - 11 Tr VND</t>
        </is>
      </c>
      <c r="F18601" t="inlineStr">
        <is>
          <t>Đồng Nai</t>
        </is>
      </c>
      <c r="G18601" t="inlineStr">
        <is>
          <t>04-04-2026</t>
        </is>
      </c>
      <c r="H18601" t="inlineStr">
        <is>
          <t>04/04/2026</t>
        </is>
      </c>
      <c r="I18601" t="inlineStr">
        <is>
          <t>17/03/2026</t>
        </is>
      </c>
      <c r="J18601" t="inlineStr">
        <is>
          <t>Công nghệ sinh học, Hóa học</t>
        </is>
      </c>
      <c r="K18601" t="inlineStr">
        <is>
          <t>1 - 2 Năm</t>
        </is>
      </c>
      <c r="L18601" s="8">
        <f>HYPERLINK("https://careerviet.vn/vi/tim-viec-lam/nhan-vien-kiem-nghiem-kcn-long-thanh-dong-nai.35C675D2.html","Xem chi tiết")</f>
        <v/>
      </c>
    </row>
    <row r="18602">
      <c r="B18602" s="9" t="n">
        <v>18600</v>
      </c>
      <c r="C18602" s="10" t="inlineStr">
        <is>
          <t>Chuyên viên cao cấp Phát triển Sản phẩm số</t>
        </is>
      </c>
      <c r="D18602" s="10" t="inlineStr">
        <is>
          <t>Ngân hàng TMCP Phát triển TP.HCM (HDBank)</t>
        </is>
      </c>
      <c r="E18602" s="10" t="inlineStr">
        <is>
          <t>Lương:Cạnh tranh</t>
        </is>
      </c>
      <c r="F18602" s="10" t="inlineStr">
        <is>
          <t>Hồ Chí Minh</t>
        </is>
      </c>
      <c r="G18602" s="10" t="inlineStr">
        <is>
          <t>04-04-2026</t>
        </is>
      </c>
      <c r="H18602" s="10" t="inlineStr">
        <is>
          <t>04/04/2026</t>
        </is>
      </c>
      <c r="I18602" s="10" t="inlineStr">
        <is>
          <t>17/03/2026</t>
        </is>
      </c>
      <c r="J18602" s="10" t="inlineStr">
        <is>
          <t>CNTT - Phần mềm</t>
        </is>
      </c>
      <c r="K18602" s="10" t="inlineStr">
        <is>
          <t>Trên 1 Năm</t>
        </is>
      </c>
      <c r="L18602" s="11">
        <f>HYPERLINK("https://careerviet.vn/vi/tim-viec-lam/chuyen-vien-cao-cap-phat-trien-san-pham-so.35C6752A.html","Xem chi tiết")</f>
        <v/>
      </c>
      <c r="M18602" s="10" t="n"/>
    </row>
    <row r="18603">
      <c r="B18603" s="7" t="n">
        <v>18601</v>
      </c>
      <c r="C18603" t="inlineStr">
        <is>
          <t>CVCC kiểm soát và thúc đẩy thu giữ TSBĐ-TA184-ID561</t>
        </is>
      </c>
      <c r="D18603" t="inlineStr">
        <is>
          <t>Ngân Hàng TMCP Việt Nam Thịnh Vượng - VPBANK</t>
        </is>
      </c>
      <c r="E18603" t="inlineStr">
        <is>
          <t>Lương:20 Tr - 35 Tr VND</t>
        </is>
      </c>
      <c r="F18603" t="inlineStr">
        <is>
          <t>Hà Nội</t>
        </is>
      </c>
      <c r="G18603" t="inlineStr">
        <is>
          <t>29-03-2026</t>
        </is>
      </c>
      <c r="H18603" t="inlineStr">
        <is>
          <t>29/03/2026</t>
        </is>
      </c>
      <c r="I18603" t="inlineStr">
        <is>
          <t>17/03/2026</t>
        </is>
      </c>
      <c r="J18603" t="inlineStr">
        <is>
          <t>Luật / Pháp lý, Ngân hàng, Tài chính / Đầu tư</t>
        </is>
      </c>
      <c r="K18603" t="inlineStr">
        <is>
          <t>4 - 10 Năm</t>
        </is>
      </c>
      <c r="L18603" s="8">
        <f>HYPERLINK("https://careerviet.vn/vi/tim-viec-lam/cvcc-kiem-soat-va-thuc-day-thu-giu-tsbd-ta184-id561.35C641E0.html","Xem chi tiết")</f>
        <v/>
      </c>
    </row>
    <row r="18604">
      <c r="B18604" s="9" t="n">
        <v>18602</v>
      </c>
      <c r="C18604" s="10" t="inlineStr">
        <is>
          <t>Nhân viên điều dưỡng Hồ Chí Minh</t>
        </is>
      </c>
      <c r="D18604" s="10" t="inlineStr">
        <is>
          <t>Viện Thẩm mỹ y khoa Dr Hải Lê</t>
        </is>
      </c>
      <c r="E18604" s="10" t="inlineStr">
        <is>
          <t>Lương:10 Tr - 15 Tr VND</t>
        </is>
      </c>
      <c r="F18604" s="10" t="inlineStr">
        <is>
          <t>Hồ Chí Minh</t>
        </is>
      </c>
      <c r="G18604" s="10" t="inlineStr">
        <is>
          <t>29-03-2026</t>
        </is>
      </c>
      <c r="H18604" s="10" t="inlineStr">
        <is>
          <t>29/03/2026</t>
        </is>
      </c>
      <c r="I18604" s="10" t="inlineStr">
        <is>
          <t>17/03/2026</t>
        </is>
      </c>
      <c r="J18604" s="10" t="inlineStr">
        <is>
          <t>Y tế / Chăm sóc sức khỏe / Thẩm mỹ / Làm đẹp</t>
        </is>
      </c>
      <c r="K18604" s="10" t="inlineStr">
        <is>
          <t>2 - 5 Năm</t>
        </is>
      </c>
      <c r="L18604" s="11">
        <f>HYPERLINK("https://careerviet.vn/vi/tim-viec-lam/nhan-vien-dieu-duong-ho-chi-minh.35C641D9.html","Xem chi tiết")</f>
        <v/>
      </c>
      <c r="M18604" s="10" t="n"/>
    </row>
    <row r="18605">
      <c r="B18605" s="7" t="n">
        <v>18603</v>
      </c>
      <c r="C18605" t="inlineStr">
        <is>
          <t>Chuyên Viên/ Chuyên Viên Cao Cấp Pháp Chế &amp; Tuân Thủ</t>
        </is>
      </c>
      <c r="D18605" t="inlineStr">
        <is>
          <t>CÔNG TY CỔ PHẦN CHỨNG KHOÁN ASEAN</t>
        </is>
      </c>
      <c r="E18605" t="inlineStr">
        <is>
          <t>Lương:Cạnh tranh</t>
        </is>
      </c>
      <c r="F18605" t="inlineStr">
        <is>
          <t>Hà Nội</t>
        </is>
      </c>
      <c r="G18605" t="inlineStr">
        <is>
          <t>29-03-2026</t>
        </is>
      </c>
      <c r="H18605" t="inlineStr">
        <is>
          <t>29/03/2026</t>
        </is>
      </c>
      <c r="I18605" t="inlineStr">
        <is>
          <t>17/03/2026</t>
        </is>
      </c>
      <c r="J18605" t="inlineStr">
        <is>
          <t>Luật / Pháp lý, Chứng khoán, Tài chính / Đầu tư</t>
        </is>
      </c>
      <c r="K18605" t="inlineStr">
        <is>
          <t>Trên 3 Năm</t>
        </is>
      </c>
      <c r="L18605" s="8">
        <f>HYPERLINK("https://careerviet.vn/vi/tim-viec-lam/chuyen-vien-chuyen-vien-cao-cap-phap-che-tuan-thu.35C642B8.html","Xem chi tiết")</f>
        <v/>
      </c>
    </row>
    <row r="18606">
      <c r="B18606" s="9" t="n">
        <v>18604</v>
      </c>
      <c r="C18606" s="10" t="inlineStr">
        <is>
          <t>Phó phòng Hồ Sơ Thầu Hợp Đồng Dự Án</t>
        </is>
      </c>
      <c r="D18606" s="10" t="inlineStr">
        <is>
          <t>Công ty CP Đầu Tư TM và Phát Triển Công Nghệ FSI</t>
        </is>
      </c>
      <c r="E18606" s="10" t="inlineStr">
        <is>
          <t>Lương:15 Tr - 20 Tr VND</t>
        </is>
      </c>
      <c r="F18606" s="10" t="inlineStr">
        <is>
          <t>Hồ Chí Minh</t>
        </is>
      </c>
      <c r="G18606" s="10" t="inlineStr">
        <is>
          <t>29-03-2026</t>
        </is>
      </c>
      <c r="H18606" s="10" t="inlineStr">
        <is>
          <t>29/03/2026</t>
        </is>
      </c>
      <c r="I18606" s="10" t="inlineStr">
        <is>
          <t>17/03/2026</t>
        </is>
      </c>
      <c r="J18606" s="10" t="inlineStr">
        <is>
          <t>Luật / Pháp lý, CNTT - Phần mềm, CNTT - Phần cứng / Mạng</t>
        </is>
      </c>
      <c r="K18606" s="10" t="inlineStr">
        <is>
          <t>Trên 5 Năm</t>
        </is>
      </c>
      <c r="L18606" s="11">
        <f>HYPERLINK("https://careerviet.vn/vi/tim-viec-lam/pho-phong-ho-so-thau-hop-dong-du-an.35C66D66.html","Xem chi tiết")</f>
        <v/>
      </c>
      <c r="M18606" s="10" t="n"/>
    </row>
    <row r="18607">
      <c r="B18607" s="7" t="n">
        <v>18605</v>
      </c>
      <c r="C18607" t="inlineStr">
        <is>
          <t>Chuyên viên tài chính - Mạnh lập kế hoạch ngân sách</t>
        </is>
      </c>
      <c r="D18607" t="inlineStr">
        <is>
          <t>ADC PLASTIC,. JSC</t>
        </is>
      </c>
      <c r="E18607" t="inlineStr">
        <is>
          <t>Lương:Cạnh tranh</t>
        </is>
      </c>
      <c r="F18607" t="inlineStr">
        <is>
          <t>Hà Nội</t>
        </is>
      </c>
      <c r="G18607" t="inlineStr">
        <is>
          <t>29-03-2026</t>
        </is>
      </c>
      <c r="H18607" t="inlineStr">
        <is>
          <t>29/03/2026</t>
        </is>
      </c>
      <c r="I18607" t="inlineStr">
        <is>
          <t>17/03/2026</t>
        </is>
      </c>
      <c r="J18607" t="inlineStr">
        <is>
          <t>Kế toán / Kiểm toán, Ngân hàng, Tài chính / Đầu tư</t>
        </is>
      </c>
      <c r="K18607" t="inlineStr">
        <is>
          <t>7 - 20 Năm</t>
        </is>
      </c>
      <c r="L18607" s="8">
        <f>HYPERLINK("https://careerviet.vn/vi/tim-viec-lam/chuyen-vien-tai-chinh-manh-lap-ke-hoach-ngan-sach.35C64130.html","Xem chi tiết")</f>
        <v/>
      </c>
    </row>
    <row r="18608">
      <c r="B18608" s="9" t="n">
        <v>18606</v>
      </c>
      <c r="C18608" s="10" t="inlineStr">
        <is>
          <t>126281 - Passenger Sales Manager - Travel Agency</t>
        </is>
      </c>
      <c r="D18608" s="10" t="inlineStr">
        <is>
          <t>RGF HR Agent Vietnam Co., LTD</t>
        </is>
      </c>
      <c r="E18608" s="10" t="inlineStr">
        <is>
          <t>Lương:Cạnh tranh</t>
        </is>
      </c>
      <c r="F18608" s="10" t="inlineStr">
        <is>
          <t>Hồ Chí Minh</t>
        </is>
      </c>
      <c r="G18608" s="10" t="inlineStr">
        <is>
          <t>29-03-2026</t>
        </is>
      </c>
      <c r="H18608" s="10" t="inlineStr">
        <is>
          <t>29/03/2026</t>
        </is>
      </c>
      <c r="I18608" s="10" t="inlineStr">
        <is>
          <t>17/03/2026</t>
        </is>
      </c>
      <c r="J18608" s="10" t="inlineStr">
        <is>
          <t>Bán hàng / Kinh doanh, Du lịch</t>
        </is>
      </c>
      <c r="K18608" s="10" t="inlineStr">
        <is>
          <t>Trên 6 Năm</t>
        </is>
      </c>
      <c r="L18608" s="11">
        <f>HYPERLINK("https://careerviet.vn/vi/tim-viec-lam/126281-passenger-sales-manager-travel-agency.35C64199.html","Xem chi tiết")</f>
        <v/>
      </c>
      <c r="M18608" s="10" t="n"/>
    </row>
    <row r="18609">
      <c r="B18609" s="7" t="n">
        <v>18607</v>
      </c>
      <c r="C18609" t="inlineStr">
        <is>
          <t>Chuyên Viên Kiểm Soát Nội Bộ</t>
        </is>
      </c>
      <c r="D18609" t="inlineStr">
        <is>
          <t>CÔNG TY CỔ PHẦN CHỨNG KHOÁN ASEAN</t>
        </is>
      </c>
      <c r="E18609" t="inlineStr">
        <is>
          <t>Lương:Cạnh tranh</t>
        </is>
      </c>
      <c r="F18609" t="inlineStr">
        <is>
          <t>Hà Nội</t>
        </is>
      </c>
      <c r="G18609" t="inlineStr">
        <is>
          <t>29-03-2026</t>
        </is>
      </c>
      <c r="H18609" t="inlineStr">
        <is>
          <t>29/03/2026</t>
        </is>
      </c>
      <c r="I18609" t="inlineStr">
        <is>
          <t>17/03/2026</t>
        </is>
      </c>
      <c r="J18609" t="inlineStr">
        <is>
          <t>Luật / Pháp lý, Kế toán / Kiểm toán, Chứng khoán</t>
        </is>
      </c>
      <c r="K18609" t="inlineStr">
        <is>
          <t>Trên 2 Năm</t>
        </is>
      </c>
      <c r="L18609" s="8">
        <f>HYPERLINK("https://careerviet.vn/vi/tim-viec-lam/chuyen-vien-kiem-soat-noi-bo.35C642BA.html","Xem chi tiết")</f>
        <v/>
      </c>
    </row>
    <row r="18610">
      <c r="B18610" s="9" t="n">
        <v>18608</v>
      </c>
      <c r="C18610" s="10" t="inlineStr">
        <is>
          <t>Nhân viên đối soát số liệu</t>
        </is>
      </c>
      <c r="D18610" s="10" t="inlineStr">
        <is>
          <t>Tổng Công Ty Cổ Phần Bảo Hiểm Ngân Hàng TMCP Công Thương Việt Nam</t>
        </is>
      </c>
      <c r="E18610" s="10" t="inlineStr">
        <is>
          <t>Lương:Cạnh tranh</t>
        </is>
      </c>
      <c r="F18610" s="10" t="inlineStr">
        <is>
          <t>Hà Nội</t>
        </is>
      </c>
      <c r="G18610" s="10" t="inlineStr">
        <is>
          <t>29-03-2026</t>
        </is>
      </c>
      <c r="H18610" s="10" t="inlineStr">
        <is>
          <t>29/03/2026</t>
        </is>
      </c>
      <c r="I18610" s="10" t="inlineStr">
        <is>
          <t>17/03/2026</t>
        </is>
      </c>
      <c r="J18610" s="10" t="inlineStr">
        <is>
          <t>Bảo hiểm, Kế toán / Kiểm toán, Thống kê</t>
        </is>
      </c>
      <c r="K18610" s="10" t="inlineStr">
        <is>
          <t>1 - 2 Năm</t>
        </is>
      </c>
      <c r="L18610" s="11">
        <f>HYPERLINK("https://careerviet.vn/vi/tim-viec-lam/nhan-vien-doi-soat-so-lieu.35C66C49.html","Xem chi tiết")</f>
        <v/>
      </c>
      <c r="M18610" s="10" t="n"/>
    </row>
    <row r="18611">
      <c r="B18611" s="7" t="n">
        <v>18609</v>
      </c>
      <c r="C18611" t="inlineStr">
        <is>
          <t>Chuyên viên kinh doanh khu vực</t>
        </is>
      </c>
      <c r="D18611" t="inlineStr">
        <is>
          <t>Tập Đoàn Karofi Holding</t>
        </is>
      </c>
      <c r="E18611" t="inlineStr">
        <is>
          <t>Lương:24 Tr - 29 Tr VND</t>
        </is>
      </c>
      <c r="F18611" t="inlineStr">
        <is>
          <t>Hồ Chí MinhKV Tây NguyênKV Đông Nam Bộ</t>
        </is>
      </c>
      <c r="G18611" t="inlineStr">
        <is>
          <t>29-03-2026</t>
        </is>
      </c>
      <c r="H18611" t="inlineStr">
        <is>
          <t>29/03/2026</t>
        </is>
      </c>
      <c r="I18611" t="inlineStr">
        <is>
          <t>17/03/2026</t>
        </is>
      </c>
      <c r="J18611" t="inlineStr">
        <is>
          <t>Bán lẻ / Bán sỉ, Điện / Điện tử / Điện lạnh / Điện công nghiệp</t>
        </is>
      </c>
      <c r="K18611" t="inlineStr">
        <is>
          <t>Trên 2 Năm</t>
        </is>
      </c>
      <c r="L18611" s="8">
        <f>HYPERLINK("https://careerviet.vn/vi/tim-viec-lam/chuyen-vien-kinh-doanh-khu-vuc.35C6424A.html","Xem chi tiết")</f>
        <v/>
      </c>
    </row>
    <row r="18612">
      <c r="B18612" s="9" t="n">
        <v>18610</v>
      </c>
      <c r="C18612" s="10" t="inlineStr">
        <is>
          <t>Senior Business Intelligence (Collection) - Hà Nội - TA174</t>
        </is>
      </c>
      <c r="D18612" s="10" t="inlineStr">
        <is>
          <t>Ngân Hàng TMCP Việt Nam Thịnh Vượng - VPBANK</t>
        </is>
      </c>
      <c r="E18612" s="10" t="inlineStr">
        <is>
          <t>Lương:Cạnh tranh</t>
        </is>
      </c>
      <c r="F18612" s="10" t="inlineStr">
        <is>
          <t>Hà Nội</t>
        </is>
      </c>
      <c r="G18612" s="10" t="inlineStr">
        <is>
          <t>29-03-2026</t>
        </is>
      </c>
      <c r="H18612" s="10" t="inlineStr">
        <is>
          <t>29/03/2026</t>
        </is>
      </c>
      <c r="I18612" s="10" t="inlineStr">
        <is>
          <t>17/03/2026</t>
        </is>
      </c>
      <c r="J18612" s="10" t="inlineStr">
        <is>
          <t>Ngân hàng, Thống kê</t>
        </is>
      </c>
      <c r="K18612" s="10" t="inlineStr">
        <is>
          <t>3 - 5 Năm</t>
        </is>
      </c>
      <c r="L18612" s="11">
        <f>HYPERLINK("https://careerviet.vn/vi/tim-viec-lam/senior-business-intelligence-collection-ha-noi-ta174.35C66CA2.html","Xem chi tiết")</f>
        <v/>
      </c>
      <c r="M18612" s="10" t="n"/>
    </row>
    <row r="18613">
      <c r="B18613" s="7" t="n">
        <v>18611</v>
      </c>
      <c r="C18613" t="inlineStr">
        <is>
          <t>Chief Revenue Officer (CRO)</t>
        </is>
      </c>
      <c r="D18613" t="inlineStr">
        <is>
          <t>HQSOFT COMPANY LIMITED</t>
        </is>
      </c>
      <c r="E18613" t="inlineStr">
        <is>
          <t>Lương:Cạnh tranh</t>
        </is>
      </c>
      <c r="F18613" t="inlineStr">
        <is>
          <t>Hồ Chí Minh</t>
        </is>
      </c>
      <c r="G18613" t="inlineStr">
        <is>
          <t>29-03-2026</t>
        </is>
      </c>
      <c r="H18613" t="inlineStr">
        <is>
          <t>29/03/2026</t>
        </is>
      </c>
      <c r="I18613" t="inlineStr">
        <is>
          <t>17/03/2026</t>
        </is>
      </c>
      <c r="J18613" t="inlineStr">
        <is>
          <t>Quản lý điều hành, Bán hàng / Kinh doanh, Tài chính / Đầu tư</t>
        </is>
      </c>
      <c r="K18613" t="inlineStr">
        <is>
          <t>8 - 12 Năm</t>
        </is>
      </c>
      <c r="L18613" s="8">
        <f>HYPERLINK("https://careerviet.vn/vi/tim-viec-lam/chief-revenue-officer-cro.35C64210.html","Xem chi tiết")</f>
        <v/>
      </c>
    </row>
    <row r="18614">
      <c r="B18614" s="9" t="n">
        <v>18612</v>
      </c>
      <c r="C18614" s="10" t="inlineStr">
        <is>
          <t>Nhân viên Vận hành máy</t>
        </is>
      </c>
      <c r="D18614" s="10" t="inlineStr">
        <is>
          <t>Tập Đoàn Kim Tín</t>
        </is>
      </c>
      <c r="E18614" s="10" t="inlineStr">
        <is>
          <t>Lương:10 Tr - 15 Tr VND</t>
        </is>
      </c>
      <c r="F18614" s="10" t="inlineStr">
        <is>
          <t>Hưng Yên</t>
        </is>
      </c>
      <c r="G18614" s="10" t="inlineStr">
        <is>
          <t>29-03-2026</t>
        </is>
      </c>
      <c r="H18614" s="10" t="inlineStr">
        <is>
          <t>29/03/2026</t>
        </is>
      </c>
      <c r="I18614" s="10" t="inlineStr">
        <is>
          <t>17/03/2026</t>
        </is>
      </c>
      <c r="J18614" s="10" t="inlineStr">
        <is>
          <t>Cơ khí / Ô tô / Tự động hóa, Lao động phổ thông, Sản xuất / Vận hành sản xuất</t>
        </is>
      </c>
      <c r="K18614" s="10" t="inlineStr">
        <is>
          <t>Chưa có kinh nghiệm</t>
        </is>
      </c>
      <c r="L18614" s="11">
        <f>HYPERLINK("https://careerviet.vn/vi/tim-viec-lam/nhan-vien-van-hanh-may.35C66CDE.html","Xem chi tiết")</f>
        <v/>
      </c>
      <c r="M18614" s="10" t="n"/>
    </row>
    <row r="18615">
      <c r="B18615" s="7" t="n">
        <v>18613</v>
      </c>
      <c r="C18615" t="inlineStr">
        <is>
          <t>Nhân Viên Nữ Kho TMĐT ( Hậu Mãi)</t>
        </is>
      </c>
      <c r="D18615" t="inlineStr">
        <is>
          <t>JoyMall - Nhà Phân Phối Locknlock</t>
        </is>
      </c>
      <c r="E18615" t="inlineStr">
        <is>
          <t>Lương:6 Tr - 9 Tr VND</t>
        </is>
      </c>
      <c r="F18615" t="inlineStr">
        <is>
          <t>Hồ Chí Minh</t>
        </is>
      </c>
      <c r="G18615" t="inlineStr">
        <is>
          <t>29-03-2026</t>
        </is>
      </c>
      <c r="H18615" t="inlineStr">
        <is>
          <t>29/03/2026</t>
        </is>
      </c>
      <c r="I18615" t="inlineStr">
        <is>
          <t>17/03/2026</t>
        </is>
      </c>
      <c r="J18615" t="inlineStr">
        <is>
          <t>Vận chuyển / Giao nhận / Kho vận, Lao động phổ thông, Sản xuất / Vận hành sản xuất</t>
        </is>
      </c>
      <c r="K18615" t="inlineStr">
        <is>
          <t>Chưa có kinh nghiệm</t>
        </is>
      </c>
      <c r="L18615" s="8">
        <f>HYPERLINK("https://careerviet.vn/vi/tim-viec-lam/nhan-vien-nu-kho-tmdt-hau-mai.35C5D065.html","Xem chi tiết")</f>
        <v/>
      </c>
    </row>
    <row r="18616">
      <c r="B18616" s="9" t="n">
        <v>18614</v>
      </c>
      <c r="C18616" s="10" t="inlineStr">
        <is>
          <t>CTV Nội dung / Thiết kế - Pathway School</t>
        </is>
      </c>
      <c r="D18616" s="10" t="inlineStr">
        <is>
          <t>Hệ thống trường Pathway Tuệ Đức</t>
        </is>
      </c>
      <c r="E18616" s="10" t="inlineStr">
        <is>
          <t>Lương:Cạnh tranh</t>
        </is>
      </c>
      <c r="F18616" s="10" t="inlineStr">
        <is>
          <t>Hồ Chí Minh</t>
        </is>
      </c>
      <c r="G18616" s="10" t="inlineStr">
        <is>
          <t>29-03-2026</t>
        </is>
      </c>
      <c r="H18616" s="10" t="inlineStr">
        <is>
          <t>29/03/2026</t>
        </is>
      </c>
      <c r="I18616" s="10" t="inlineStr">
        <is>
          <t>17/03/2026</t>
        </is>
      </c>
      <c r="J18616" s="10" t="inlineStr">
        <is>
          <t>Giáo dục / Đào tạo</t>
        </is>
      </c>
      <c r="K18616" s="10" t="inlineStr">
        <is>
          <t>1 - 2 Năm</t>
        </is>
      </c>
      <c r="L18616" s="11">
        <f>HYPERLINK("https://careerviet.vn/vi/tim-viec-lam/ctv-noi-dung-thiet-ke-pathway-school.35C64278.html","Xem chi tiết")</f>
        <v/>
      </c>
      <c r="M18616" s="10" t="n"/>
    </row>
    <row r="18617">
      <c r="B18617" s="7" t="n">
        <v>18615</v>
      </c>
      <c r="C18617" t="inlineStr">
        <is>
          <t>Chuyên viên Cao cấp Nghiên cứu Thị trường</t>
        </is>
      </c>
      <c r="D18617" t="inlineStr">
        <is>
          <t>CÔNG TY CỔ PHẦN STELLAR</t>
        </is>
      </c>
      <c r="E18617" t="inlineStr">
        <is>
          <t>Lương:Cạnh tranh</t>
        </is>
      </c>
      <c r="F18617" t="inlineStr">
        <is>
          <t>Hà Nội</t>
        </is>
      </c>
      <c r="G18617" t="inlineStr">
        <is>
          <t>29-03-2026</t>
        </is>
      </c>
      <c r="H18617" t="inlineStr">
        <is>
          <t>29/03/2026</t>
        </is>
      </c>
      <c r="I18617" t="inlineStr">
        <is>
          <t>17/03/2026</t>
        </is>
      </c>
      <c r="J18617" t="inlineStr">
        <is>
          <t>Xây dựng, Bất động sản, Ngành khác</t>
        </is>
      </c>
      <c r="K18617" t="inlineStr">
        <is>
          <t>3 - 5 Năm</t>
        </is>
      </c>
      <c r="L18617" s="8">
        <f>HYPERLINK("https://careerviet.vn/vi/tim-viec-lam/chuyen-vien-cao-cap-nghien-cuu-thi-truong.35C66C4F.html","Xem chi tiết")</f>
        <v/>
      </c>
    </row>
    <row r="18618">
      <c r="B18618" s="9" t="n">
        <v>18616</v>
      </c>
      <c r="C18618" s="10" t="inlineStr">
        <is>
          <t>GIÁM SÁT KINH DOANH- KÊNH GT (HCM &amp; BÌNH DƯƠNG - NGÀNH FMCG)</t>
        </is>
      </c>
      <c r="D18618" s="10" t="inlineStr">
        <is>
          <t>Công Ty TNHH CJ Foods Việt Nam</t>
        </is>
      </c>
      <c r="E18618" s="10" t="inlineStr">
        <is>
          <t>Lương:Cạnh tranh</t>
        </is>
      </c>
      <c r="F18618" s="10" t="inlineStr">
        <is>
          <t>Hồ Chí Minh</t>
        </is>
      </c>
      <c r="G18618" s="10" t="inlineStr">
        <is>
          <t>29-03-2026</t>
        </is>
      </c>
      <c r="H18618" s="10" t="inlineStr">
        <is>
          <t>29/03/2026</t>
        </is>
      </c>
      <c r="I18618" s="10" t="inlineStr">
        <is>
          <t>17/03/2026</t>
        </is>
      </c>
      <c r="J18618" s="10" t="inlineStr">
        <is>
          <t>Bán lẻ / Bán sỉ, Bán hàng / Kinh doanh, Thực phẩm &amp; Đồ uống</t>
        </is>
      </c>
      <c r="K18618" s="10" t="inlineStr">
        <is>
          <t>3 - 5 Năm</t>
        </is>
      </c>
      <c r="L18618" s="11">
        <f>HYPERLINK("https://careerviet.vn/vi/tim-viec-lam/giam-sat-kinh-doanh-kenh-gt-hcm-binh-duong-nganh-fmcg.35C66DF6.html","Xem chi tiết")</f>
        <v/>
      </c>
      <c r="M18618" s="10" t="n"/>
    </row>
    <row r="18619">
      <c r="B18619" s="7" t="n">
        <v>18617</v>
      </c>
      <c r="C18619" t="inlineStr">
        <is>
          <t>Leasing Admin Executive</t>
        </is>
      </c>
      <c r="D18619" t="inlineStr">
        <is>
          <t>Trung tâm Thương mại SC VivoCity</t>
        </is>
      </c>
      <c r="E18619" t="inlineStr">
        <is>
          <t>Lương:Cạnh tranh</t>
        </is>
      </c>
      <c r="F18619" t="inlineStr">
        <is>
          <t>Hồ Chí Minh</t>
        </is>
      </c>
      <c r="G18619" t="inlineStr">
        <is>
          <t>29-03-2026</t>
        </is>
      </c>
      <c r="H18619" t="inlineStr">
        <is>
          <t>29/03/2026</t>
        </is>
      </c>
      <c r="I18619" t="inlineStr">
        <is>
          <t>17/03/2026</t>
        </is>
      </c>
      <c r="J18619" t="inlineStr">
        <is>
          <t>Bất động sản, Bán lẻ / Bán sỉ</t>
        </is>
      </c>
      <c r="K18619" t="inlineStr">
        <is>
          <t>1 - 3 Năm</t>
        </is>
      </c>
      <c r="L18619" s="8">
        <f>HYPERLINK("https://careerviet.vn/vi/tim-viec-lam/leasing-admin-executive.35C640C8.html","Xem chi tiết")</f>
        <v/>
      </c>
    </row>
    <row r="18620">
      <c r="B18620" s="9" t="n">
        <v>18618</v>
      </c>
      <c r="C18620" s="10" t="inlineStr">
        <is>
          <t>Chuyên viên Xây Dựng  (SL: 2) - Đi làm sau Tết</t>
        </is>
      </c>
      <c r="D18620" s="10" t="inlineStr">
        <is>
          <t>Pacific Corporation</t>
        </is>
      </c>
      <c r="E18620" s="10" t="inlineStr">
        <is>
          <t>Lương:Cạnh tranh</t>
        </is>
      </c>
      <c r="F18620" s="10" t="inlineStr">
        <is>
          <t>Hà NộiHồ Chí MinhSóc Trăng</t>
        </is>
      </c>
      <c r="G18620" s="10" t="inlineStr">
        <is>
          <t>29-03-2026</t>
        </is>
      </c>
      <c r="H18620" s="10" t="inlineStr">
        <is>
          <t>29/03/2026</t>
        </is>
      </c>
      <c r="I18620" s="10" t="inlineStr">
        <is>
          <t>17/03/2026</t>
        </is>
      </c>
      <c r="J18620" s="10" t="inlineStr">
        <is>
          <t>Xây dựng</t>
        </is>
      </c>
      <c r="K18620" s="10" t="inlineStr">
        <is>
          <t>3 - 5 Năm</t>
        </is>
      </c>
      <c r="L18620" s="11">
        <f>HYPERLINK("https://careerviet.vn/vi/tim-viec-lam/chuyen-vien-xay-dung-sl-2-di-lam-sau-tet.35C641E2.html","Xem chi tiết")</f>
        <v/>
      </c>
      <c r="M18620" s="10" t="n"/>
    </row>
    <row r="18621">
      <c r="B18621" s="7" t="n">
        <v>18619</v>
      </c>
      <c r="C18621" t="inlineStr">
        <is>
          <t>English Translator</t>
        </is>
      </c>
      <c r="D18621" t="inlineStr">
        <is>
          <t>CÔNG TY TNHH DOYLE PACIFIC VIETNAM</t>
        </is>
      </c>
      <c r="E18621" t="inlineStr">
        <is>
          <t>Lương:Cạnh tranh</t>
        </is>
      </c>
      <c r="F18621" t="inlineStr">
        <is>
          <t>Đồng Nai</t>
        </is>
      </c>
      <c r="G18621" t="inlineStr">
        <is>
          <t>29-03-2026</t>
        </is>
      </c>
      <c r="H18621" t="inlineStr">
        <is>
          <t>29/03/2026</t>
        </is>
      </c>
      <c r="I18621" t="inlineStr">
        <is>
          <t>17/03/2026</t>
        </is>
      </c>
      <c r="J18621" t="inlineStr">
        <is>
          <t>Biên phiên dịch, Hành chính / Thư ký, Nhân sự</t>
        </is>
      </c>
      <c r="K18621" t="inlineStr">
        <is>
          <t>Chưa có kinh nghiệm</t>
        </is>
      </c>
      <c r="L18621" s="8">
        <f>HYPERLINK("https://careerviet.vn/vi/tim-viec-lam/english-translator.35C66E0B.html","Xem chi tiết")</f>
        <v/>
      </c>
    </row>
    <row r="18622">
      <c r="B18622" s="9" t="n">
        <v>18620</v>
      </c>
      <c r="C18622" s="10" t="inlineStr">
        <is>
          <t>KẾ HOẠCH SẢN XUẤT - TIẾNG TRUNG</t>
        </is>
      </c>
      <c r="D18622" s="10" t="inlineStr">
        <is>
          <t>CÔNG TY TNHH TOPBAND SMART ĐỒNG NAI (VIỆT NAM)</t>
        </is>
      </c>
      <c r="E18622" s="10" t="inlineStr">
        <is>
          <t>Lương:10 Tr - 20 Tr VND</t>
        </is>
      </c>
      <c r="F18622" s="10" t="inlineStr">
        <is>
          <t>Đồng Nai</t>
        </is>
      </c>
      <c r="G18622" s="10" t="inlineStr">
        <is>
          <t>29-03-2026</t>
        </is>
      </c>
      <c r="H18622" s="10" t="inlineStr">
        <is>
          <t>29/03/2026</t>
        </is>
      </c>
      <c r="I18622" s="10" t="inlineStr">
        <is>
          <t>17/03/2026</t>
        </is>
      </c>
      <c r="J18622" s="10" t="inlineStr">
        <is>
          <t>Biên phiên dịch, Điện / Điện tử / Điện lạnh / Điện công nghiệp, Sản xuất / Vận hành sản xuất</t>
        </is>
      </c>
      <c r="K18622" s="10" t="inlineStr">
        <is>
          <t>1 - 2 Năm</t>
        </is>
      </c>
      <c r="L18622" s="11">
        <f>HYPERLINK("https://careerviet.vn/vi/tim-viec-lam/ke-hoach-san-xuat-tieng-trung.35C66DA3.html","Xem chi tiết")</f>
        <v/>
      </c>
      <c r="M18622" s="10" t="n"/>
    </row>
    <row r="18623">
      <c r="B18623" s="7" t="n">
        <v>18621</v>
      </c>
      <c r="C18623" t="inlineStr">
        <is>
          <t>Nhân viên Kinh doanh Khách đoàn</t>
        </is>
      </c>
      <c r="D18623" t="inlineStr">
        <is>
          <t>Công Ty Cổ Phần Du Lịch Vietravel</t>
        </is>
      </c>
      <c r="E18623" t="inlineStr">
        <is>
          <t>Lương:Cạnh tranh</t>
        </is>
      </c>
      <c r="F18623" t="inlineStr">
        <is>
          <t>Phú Yên</t>
        </is>
      </c>
      <c r="G18623" t="inlineStr">
        <is>
          <t>29-03-2026</t>
        </is>
      </c>
      <c r="H18623" t="inlineStr">
        <is>
          <t>29/03/2026</t>
        </is>
      </c>
      <c r="I18623" t="inlineStr">
        <is>
          <t>17/03/2026</t>
        </is>
      </c>
      <c r="J18623" t="inlineStr">
        <is>
          <t>Bán hàng / Kinh doanh, Du lịch, Tư vấn</t>
        </is>
      </c>
      <c r="K18623" t="inlineStr">
        <is>
          <t>Trên 1 Năm</t>
        </is>
      </c>
      <c r="L18623" s="8">
        <f>HYPERLINK("https://careerviet.vn/vi/tim-viec-lam/nhan-vien-kinh-doanh-khach-doan.35C64158.html","Xem chi tiết")</f>
        <v/>
      </c>
    </row>
    <row r="18624">
      <c r="B18624" s="9" t="n">
        <v>18622</v>
      </c>
      <c r="C18624" s="10" t="inlineStr">
        <is>
          <t>NHÂN VIÊN RẬP GIẤY GIÀY</t>
        </is>
      </c>
      <c r="D18624" s="10" t="inlineStr">
        <is>
          <t>CÔNG TY TNHH POUYUEN VIỆT NAM</t>
        </is>
      </c>
      <c r="E18624" s="10" t="inlineStr">
        <is>
          <t>Lương:7 Tr - 10 Tr VND</t>
        </is>
      </c>
      <c r="F18624" s="10" t="inlineStr">
        <is>
          <t>Hồ Chí Minh</t>
        </is>
      </c>
      <c r="G18624" s="10" t="inlineStr">
        <is>
          <t>29-03-2026</t>
        </is>
      </c>
      <c r="H18624" s="10" t="inlineStr">
        <is>
          <t>29/03/2026</t>
        </is>
      </c>
      <c r="I18624" s="10" t="inlineStr">
        <is>
          <t>17/03/2026</t>
        </is>
      </c>
      <c r="J18624" s="10" t="inlineStr">
        <is>
          <t>Dệt may / Da giày / Thời trang</t>
        </is>
      </c>
      <c r="K18624" s="10" t="inlineStr">
        <is>
          <t>Chưa có kinh nghiệm</t>
        </is>
      </c>
      <c r="L18624" s="11">
        <f>HYPERLINK("https://careerviet.vn/vi/tim-viec-lam/nhan-vien-rap-giay-giay.35C66C37.html","Xem chi tiết")</f>
        <v/>
      </c>
      <c r="M18624" s="10" t="n"/>
    </row>
    <row r="18625">
      <c r="B18625" s="7" t="n">
        <v>18623</v>
      </c>
      <c r="C18625" t="inlineStr">
        <is>
          <t>[Hà Nội] Kỹ Thuật Viên Spa (Thu nhập 10tr - 15tr/tháng)</t>
        </is>
      </c>
      <c r="D18625" t="inlineStr">
        <is>
          <t>Công ty cổ phần HaMo Holdings</t>
        </is>
      </c>
      <c r="E18625" t="inlineStr">
        <is>
          <t>Lương:10 Tr - 15 Tr VND</t>
        </is>
      </c>
      <c r="F18625" t="inlineStr">
        <is>
          <t>Hà Nội</t>
        </is>
      </c>
      <c r="G18625" t="inlineStr">
        <is>
          <t>29-03-2026</t>
        </is>
      </c>
      <c r="H18625" t="inlineStr">
        <is>
          <t>29/03/2026</t>
        </is>
      </c>
      <c r="I18625" t="inlineStr">
        <is>
          <t>17/03/2026</t>
        </is>
      </c>
      <c r="J18625" t="inlineStr">
        <is>
          <t>Y tế / Chăm sóc sức khỏe / Thẩm mỹ / Làm đẹp, Tư vấn, Dịch vụ khách hàng</t>
        </is>
      </c>
      <c r="K18625" t="inlineStr">
        <is>
          <t>2 - 3 Năm</t>
        </is>
      </c>
      <c r="L18625" s="8">
        <f>HYPERLINK("https://careerviet.vn/vi/tim-viec-lam/ha-noi-ky-thuat-vien-spa-thu-nhap-10tr-15tr-thang.35C640CF.html","Xem chi tiết")</f>
        <v/>
      </c>
    </row>
    <row r="18626">
      <c r="B18626" s="9" t="n">
        <v>18624</v>
      </c>
      <c r="C18626" s="10" t="inlineStr">
        <is>
          <t>Chuyên viên tư vấn trang trí tiệc cưới (Sale Decor)</t>
        </is>
      </c>
      <c r="D18626" s="10" t="inlineStr">
        <is>
          <t>CÔNG TY TNHH TRỐNG ĐỒNG VIỆT NAM</t>
        </is>
      </c>
      <c r="E18626" s="10" t="inlineStr">
        <is>
          <t>Lương:10 Tr - 15 Tr VND</t>
        </is>
      </c>
      <c r="F18626" s="10" t="inlineStr">
        <is>
          <t>Hà Nội</t>
        </is>
      </c>
      <c r="G18626" s="10" t="inlineStr">
        <is>
          <t>29-03-2026</t>
        </is>
      </c>
      <c r="H18626" s="10" t="inlineStr">
        <is>
          <t>29/03/2026</t>
        </is>
      </c>
      <c r="I18626" s="10" t="inlineStr">
        <is>
          <t>17/03/2026</t>
        </is>
      </c>
      <c r="J18626" s="10" t="inlineStr">
        <is>
          <t>Bán hàng / Kinh doanh, Nhà hàng / Khách sạn, Dệt may / Da giày / Thời trang</t>
        </is>
      </c>
      <c r="K18626" s="10" t="inlineStr">
        <is>
          <t>N/A</t>
        </is>
      </c>
      <c r="L18626" s="11">
        <f>HYPERLINK("https://careerviet.vn/vi/tim-viec-lam/chuyen-vien-tu-van-trang-tri-tiec-cuoi-sale-decor.35C6423B.html","Xem chi tiết")</f>
        <v/>
      </c>
      <c r="M18626" s="10" t="n"/>
    </row>
    <row r="18627">
      <c r="B18627" s="7" t="n">
        <v>18625</v>
      </c>
      <c r="C18627" t="inlineStr">
        <is>
          <t>Chuyên Viên Cao Cấp Quan Hệ Khách Hàng Ưu Tiên - Gia Lai, Đăk Lăk, Quảng Ngãi - ID1267</t>
        </is>
      </c>
      <c r="D18627" t="inlineStr">
        <is>
          <t>Ngân Hàng TMCP Việt Nam Thịnh Vượng - VPBANK</t>
        </is>
      </c>
      <c r="E18627" t="inlineStr">
        <is>
          <t>Lương:Cạnh tranh</t>
        </is>
      </c>
      <c r="F18627" t="inlineStr">
        <is>
          <t>Quảng NgãiGia LaiDak Lak</t>
        </is>
      </c>
      <c r="G18627" t="inlineStr">
        <is>
          <t>29-03-2026</t>
        </is>
      </c>
      <c r="H18627" t="inlineStr">
        <is>
          <t>29/03/2026</t>
        </is>
      </c>
      <c r="I18627" t="inlineStr">
        <is>
          <t>17/03/2026</t>
        </is>
      </c>
      <c r="J18627" t="inlineStr">
        <is>
          <t>Bán hàng / Kinh doanh, Ngân hàng</t>
        </is>
      </c>
      <c r="K18627" t="inlineStr">
        <is>
          <t>1 - 2 Năm</t>
        </is>
      </c>
      <c r="L18627" s="8">
        <f>HYPERLINK("https://careerviet.vn/vi/tim-viec-lam/chuyen-vien-cao-cap-quan-he-khach-hang-uu-tien-gia-lai-dak-lak-quang-ngai-id1267.35C66D5E.html","Xem chi tiết")</f>
        <v/>
      </c>
    </row>
    <row r="18628">
      <c r="B18628" s="9" t="n">
        <v>18626</v>
      </c>
      <c r="C18628" s="10" t="inlineStr">
        <is>
          <t>Nhân Viên IT (Công Nghệ Thông Tin)</t>
        </is>
      </c>
      <c r="D18628" s="10" t="inlineStr">
        <is>
          <t>Công ty cổ phần  vận tải đường sắt Việt Nam</t>
        </is>
      </c>
      <c r="E18628" s="10" t="inlineStr">
        <is>
          <t>Lương:10 Tr - 13 Tr VND</t>
        </is>
      </c>
      <c r="F18628" s="10" t="inlineStr">
        <is>
          <t>Hà Nội</t>
        </is>
      </c>
      <c r="G18628" s="10" t="inlineStr">
        <is>
          <t>29-03-2026</t>
        </is>
      </c>
      <c r="H18628" s="10" t="inlineStr">
        <is>
          <t>29/03/2026</t>
        </is>
      </c>
      <c r="I18628" s="10" t="inlineStr">
        <is>
          <t>17/03/2026</t>
        </is>
      </c>
      <c r="J18628" s="10" t="inlineStr">
        <is>
          <t>CNTT - Phần mềm, CNTT - Phần cứng / Mạng</t>
        </is>
      </c>
      <c r="K18628" s="10" t="inlineStr">
        <is>
          <t>Trên 1 Năm</t>
        </is>
      </c>
      <c r="L18628" s="11">
        <f>HYPERLINK("https://careerviet.vn/vi/tim-viec-lam/nhan-vien-it-cong-nghe-thong-tin.35C66CA0.html","Xem chi tiết")</f>
        <v/>
      </c>
      <c r="M18628" s="10" t="n"/>
    </row>
    <row r="18629">
      <c r="B18629" s="7" t="n">
        <v>18627</v>
      </c>
      <c r="C18629" t="inlineStr">
        <is>
          <t>GIÁM ĐỐC/TRƯỞNG PHÒNG KHÁCH HÀNG CÁ NHÂN (HÀ NỘI)</t>
        </is>
      </c>
      <c r="D18629" t="inlineStr">
        <is>
          <t>VDSC - Công ty CP Chứng khoán Rồng Việt</t>
        </is>
      </c>
      <c r="E18629" t="inlineStr">
        <is>
          <t>Lương:15 Tr - 25 Tr VND</t>
        </is>
      </c>
      <c r="F18629" t="inlineStr">
        <is>
          <t>Hà Nội</t>
        </is>
      </c>
      <c r="G18629" t="inlineStr">
        <is>
          <t>29-03-2026</t>
        </is>
      </c>
      <c r="H18629" t="inlineStr">
        <is>
          <t>29/03/2026</t>
        </is>
      </c>
      <c r="I18629" t="inlineStr">
        <is>
          <t>17/03/2026</t>
        </is>
      </c>
      <c r="J18629" t="inlineStr">
        <is>
          <t>Ngân hàng, Chứng khoán, Tài chính / Đầu tư</t>
        </is>
      </c>
      <c r="K18629" t="inlineStr">
        <is>
          <t>2 - 3 Năm</t>
        </is>
      </c>
      <c r="L18629" s="8">
        <f>HYPERLINK("https://careerviet.vn/vi/tim-viec-lam/giam-doc-truong-phong-khach-hang-ca-nhan-ha-noi.35C66D55.html","Xem chi tiết")</f>
        <v/>
      </c>
    </row>
    <row r="18630">
      <c r="B18630" s="9" t="n">
        <v>18628</v>
      </c>
      <c r="C18630" s="10" t="inlineStr">
        <is>
          <t>Chuyên viên Tư vấn tuyển sinh kiêm Marketing</t>
        </is>
      </c>
      <c r="D18630" s="10" t="inlineStr">
        <is>
          <t>Him Lam International School - Trường Quốc Tế Him Lam</t>
        </is>
      </c>
      <c r="E18630" s="10" t="inlineStr">
        <is>
          <t>Lương:Cạnh tranh</t>
        </is>
      </c>
      <c r="F18630" s="10" t="inlineStr">
        <is>
          <t>Bắc Ninh</t>
        </is>
      </c>
      <c r="G18630" s="10" t="inlineStr">
        <is>
          <t>29-03-2026</t>
        </is>
      </c>
      <c r="H18630" s="10" t="inlineStr">
        <is>
          <t>29/03/2026</t>
        </is>
      </c>
      <c r="I18630" s="10" t="inlineStr">
        <is>
          <t>17/03/2026</t>
        </is>
      </c>
      <c r="J18630" s="10" t="inlineStr">
        <is>
          <t>Bán hàng / Kinh doanh, Giáo dục / Đào tạo</t>
        </is>
      </c>
      <c r="K18630" s="10" t="inlineStr">
        <is>
          <t>Trên 1 Năm</t>
        </is>
      </c>
      <c r="L18630" s="11">
        <f>HYPERLINK("https://careerviet.vn/vi/tim-viec-lam/chuyen-vien-tu-van-tuyen-sinh-kiem-marketing.35C6407F.html","Xem chi tiết")</f>
        <v/>
      </c>
      <c r="M18630" s="10" t="n"/>
    </row>
    <row r="18631">
      <c r="B18631" s="7" t="n">
        <v>18629</v>
      </c>
      <c r="C18631" t="inlineStr">
        <is>
          <t>Nhân Viên Kinh Doanh</t>
        </is>
      </c>
      <c r="D18631" t="inlineStr">
        <is>
          <t>Công ty cổ phần  vận tải đường sắt Việt Nam</t>
        </is>
      </c>
      <c r="E18631" t="inlineStr">
        <is>
          <t>Lương:10 Tr - 15 Tr VND</t>
        </is>
      </c>
      <c r="F18631" t="inlineStr">
        <is>
          <t>Hà Nội</t>
        </is>
      </c>
      <c r="G18631" t="inlineStr">
        <is>
          <t>29-03-2026</t>
        </is>
      </c>
      <c r="H18631" t="inlineStr">
        <is>
          <t>29/03/2026</t>
        </is>
      </c>
      <c r="I18631" t="inlineStr">
        <is>
          <t>17/03/2026</t>
        </is>
      </c>
      <c r="J18631" t="inlineStr">
        <is>
          <t>Bán hàng / Kinh doanh, Tư vấn, Dịch vụ khách hàng</t>
        </is>
      </c>
      <c r="K18631" t="inlineStr">
        <is>
          <t>N/A</t>
        </is>
      </c>
      <c r="L18631" s="8">
        <f>HYPERLINK("https://careerviet.vn/vi/tim-viec-lam/nhan-vien-kinh-doanh.35C66C9B.html","Xem chi tiết")</f>
        <v/>
      </c>
    </row>
    <row r="18632">
      <c r="B18632" s="9" t="n">
        <v>18630</v>
      </c>
      <c r="C18632" s="10" t="inlineStr">
        <is>
          <t>Nhân Viên Pháp Chế</t>
        </is>
      </c>
      <c r="D18632" s="10" t="inlineStr">
        <is>
          <t>Công ty TNHH DYM Vietnam</t>
        </is>
      </c>
      <c r="E18632" s="10" t="inlineStr">
        <is>
          <t>Lương:11 Tr - 16 Tr VND</t>
        </is>
      </c>
      <c r="F18632" s="10" t="inlineStr">
        <is>
          <t>Hồ Chí Minh</t>
        </is>
      </c>
      <c r="G18632" s="10" t="inlineStr">
        <is>
          <t>28-03-2026</t>
        </is>
      </c>
      <c r="H18632" s="10" t="inlineStr">
        <is>
          <t>28/03/2026</t>
        </is>
      </c>
      <c r="I18632" s="10" t="inlineStr">
        <is>
          <t>17/03/2026</t>
        </is>
      </c>
      <c r="J18632" s="10" t="inlineStr">
        <is>
          <t>Luật / Pháp lý</t>
        </is>
      </c>
      <c r="K18632" s="10" t="inlineStr">
        <is>
          <t>1 - 2 Năm</t>
        </is>
      </c>
      <c r="L18632" s="11">
        <f>HYPERLINK("https://careerviet.vn/vi/tim-viec-lam/nhan-vien-phap-che.35C66CCB.html","Xem chi tiết")</f>
        <v/>
      </c>
      <c r="M18632" s="10" t="n"/>
    </row>
    <row r="18633">
      <c r="B18633" s="7" t="n">
        <v>18631</v>
      </c>
      <c r="C18633" t="inlineStr">
        <is>
          <t>Assistant Sales Manager | ISO certification &amp; Training (based in Hanoi)</t>
        </is>
      </c>
      <c r="D18633" t="inlineStr">
        <is>
          <t>TÜV SÜD Vietnam</t>
        </is>
      </c>
      <c r="E18633" t="inlineStr">
        <is>
          <t>Lương:Trên 25 Tr VND</t>
        </is>
      </c>
      <c r="F18633" t="inlineStr">
        <is>
          <t>Hà Nội</t>
        </is>
      </c>
      <c r="G18633" t="inlineStr">
        <is>
          <t>29-03-2026</t>
        </is>
      </c>
      <c r="H18633" t="inlineStr">
        <is>
          <t>29/03/2026</t>
        </is>
      </c>
      <c r="I18633" t="inlineStr">
        <is>
          <t>17/03/2026</t>
        </is>
      </c>
      <c r="J18633" t="inlineStr">
        <is>
          <t>Bán hàng / Kinh doanh, Dầu khí, Môi trường</t>
        </is>
      </c>
      <c r="K18633" t="inlineStr">
        <is>
          <t>5 - 8 Năm</t>
        </is>
      </c>
      <c r="L18633" s="8">
        <f>HYPERLINK("https://careerviet.vn/vi/tim-viec-lam/assistant-sales-manager-iso-certification-training-based-in-hanoi.35C66CF4.html","Xem chi tiết")</f>
        <v/>
      </c>
    </row>
    <row r="18634">
      <c r="B18634" s="9" t="n">
        <v>18632</v>
      </c>
      <c r="C18634" s="10" t="inlineStr">
        <is>
          <t>Sales Research Assistant</t>
        </is>
      </c>
      <c r="D18634" s="10" t="inlineStr">
        <is>
          <t>Cổ Phần Kết Nối Nhân Tài - Talentnet Corporation</t>
        </is>
      </c>
      <c r="E18634" s="10" t="inlineStr">
        <is>
          <t>Lương:Cạnh tranh</t>
        </is>
      </c>
      <c r="F18634" s="10" t="inlineStr">
        <is>
          <t>Hồ Chí Minh</t>
        </is>
      </c>
      <c r="G18634" s="10" t="inlineStr">
        <is>
          <t>29-03-2026</t>
        </is>
      </c>
      <c r="H18634" s="10" t="inlineStr">
        <is>
          <t>29/03/2026</t>
        </is>
      </c>
      <c r="I18634" s="10" t="inlineStr">
        <is>
          <t>17/03/2026</t>
        </is>
      </c>
      <c r="J18634" s="10" t="inlineStr">
        <is>
          <t>Bán hàng / Kinh doanh, Hành chính / Thư ký, Nhân sự</t>
        </is>
      </c>
      <c r="K18634" s="10" t="inlineStr">
        <is>
          <t>1 - 2 Năm</t>
        </is>
      </c>
      <c r="L18634" s="11">
        <f>HYPERLINK("https://careerviet.vn/vi/tim-viec-lam/sales-research-assistant.35C66CBA.html","Xem chi tiết")</f>
        <v/>
      </c>
      <c r="M18634" s="10" t="n"/>
    </row>
    <row r="18635">
      <c r="B18635" s="7" t="n">
        <v>18633</v>
      </c>
      <c r="C18635" t="inlineStr">
        <is>
          <t>Kỹ Sư HVAC</t>
        </is>
      </c>
      <c r="D18635" t="inlineStr">
        <is>
          <t>Công ty Cổ phần Thương mại và Đầu tư Hà Thành</t>
        </is>
      </c>
      <c r="E18635" t="inlineStr">
        <is>
          <t>Lương:18 Tr - 30 Tr VND</t>
        </is>
      </c>
      <c r="F18635" t="inlineStr">
        <is>
          <t>Hà Nội</t>
        </is>
      </c>
      <c r="G18635" t="inlineStr">
        <is>
          <t>29-03-2026</t>
        </is>
      </c>
      <c r="H18635" t="inlineStr">
        <is>
          <t>29/03/2026</t>
        </is>
      </c>
      <c r="I18635" t="inlineStr">
        <is>
          <t>17/03/2026</t>
        </is>
      </c>
      <c r="J18635" t="inlineStr">
        <is>
          <t>Điện / Điện tử / Điện lạnh / Điện công nghiệp, Kiến trúc, Xây dựng</t>
        </is>
      </c>
      <c r="K18635" t="inlineStr">
        <is>
          <t>2 - 3 Năm</t>
        </is>
      </c>
      <c r="L18635" s="8">
        <f>HYPERLINK("https://careerviet.vn/vi/tim-viec-lam/ky-su-hvac.35C6413E.html","Xem chi tiết")</f>
        <v/>
      </c>
    </row>
    <row r="18636">
      <c r="B18636" s="9" t="n">
        <v>18634</v>
      </c>
      <c r="C18636" s="10" t="inlineStr">
        <is>
          <t>Phó Phòng Marketing</t>
        </is>
      </c>
      <c r="D18636" s="10" t="inlineStr">
        <is>
          <t>Công Ty Tổ Chức Hội Nghị, Sự Kiện Và Du Lịch Quốc Tế Hòa Bình</t>
        </is>
      </c>
      <c r="E18636" s="10" t="inlineStr">
        <is>
          <t>Lương:20 Tr - 25 Tr VND</t>
        </is>
      </c>
      <c r="F18636" s="10" t="inlineStr">
        <is>
          <t>Hà Nội</t>
        </is>
      </c>
      <c r="G18636" s="10" t="inlineStr">
        <is>
          <t>29-03-2026</t>
        </is>
      </c>
      <c r="H18636" s="10" t="inlineStr">
        <is>
          <t>29/03/2026</t>
        </is>
      </c>
      <c r="I18636" s="10" t="inlineStr">
        <is>
          <t>17/03/2026</t>
        </is>
      </c>
      <c r="J18636" s="10" t="inlineStr">
        <is>
          <t>Du lịch</t>
        </is>
      </c>
      <c r="K18636" s="10" t="inlineStr">
        <is>
          <t>3 - 5 Năm</t>
        </is>
      </c>
      <c r="L18636" s="11">
        <f>HYPERLINK("https://careerviet.vn/vi/tim-viec-lam/pho-phong-marketing.35C6421A.html","Xem chi tiết")</f>
        <v/>
      </c>
      <c r="M18636" s="10" t="n"/>
    </row>
    <row r="18637">
      <c r="B18637" s="7" t="n">
        <v>18635</v>
      </c>
      <c r="C18637" t="inlineStr">
        <is>
          <t>Outsource Designer</t>
        </is>
      </c>
      <c r="D18637" t="inlineStr">
        <is>
          <t>Un-Available LTD Co.,</t>
        </is>
      </c>
      <c r="E18637" t="inlineStr">
        <is>
          <t>Lương:Lên đến 18 Tr VND</t>
        </is>
      </c>
      <c r="F18637" t="inlineStr">
        <is>
          <t>Hồ Chí Minh</t>
        </is>
      </c>
      <c r="G18637" t="inlineStr">
        <is>
          <t>29-03-2026</t>
        </is>
      </c>
      <c r="H18637" t="inlineStr">
        <is>
          <t>29/03/2026</t>
        </is>
      </c>
      <c r="I18637" t="inlineStr">
        <is>
          <t>17/03/2026</t>
        </is>
      </c>
      <c r="J18637" t="inlineStr">
        <is>
          <t>Mỹ thuật / Nghệ thuật / Thiết kế, Sản xuất / Vận hành sản xuất, Dệt may / Da giày / Thời trang</t>
        </is>
      </c>
      <c r="K18637" t="inlineStr">
        <is>
          <t>2 - 3 Năm</t>
        </is>
      </c>
      <c r="L18637" s="8">
        <f>HYPERLINK("https://careerviet.vn/vi/tim-viec-lam/outsource-designer.35C641C9.html","Xem chi tiết")</f>
        <v/>
      </c>
    </row>
    <row r="18638">
      <c r="B18638" s="9" t="n">
        <v>18636</v>
      </c>
      <c r="C18638" s="10" t="inlineStr">
        <is>
          <t>Trưởng nhóm Triển khai Kỹ thuật</t>
        </is>
      </c>
      <c r="D18638" s="10" t="inlineStr">
        <is>
          <t>CÔNG TY CỔ PHẦN THIẾT KẾ &amp; XÂY DỰNG BISCONS VIỆT NAM</t>
        </is>
      </c>
      <c r="E18638" s="10" t="inlineStr">
        <is>
          <t>Lương:25 Tr - 35 Tr VND</t>
        </is>
      </c>
      <c r="F18638" s="10" t="inlineStr">
        <is>
          <t>Hà Nội</t>
        </is>
      </c>
      <c r="G18638" s="10" t="inlineStr">
        <is>
          <t>29-03-2026</t>
        </is>
      </c>
      <c r="H18638" s="10" t="inlineStr">
        <is>
          <t>29/03/2026</t>
        </is>
      </c>
      <c r="I18638" s="10" t="inlineStr">
        <is>
          <t>17/03/2026</t>
        </is>
      </c>
      <c r="J18638" s="10" t="inlineStr">
        <is>
          <t>Kiến trúc, Xây dựng, Nội ngoại thất</t>
        </is>
      </c>
      <c r="K18638" s="10" t="inlineStr">
        <is>
          <t>3 - 5 Năm</t>
        </is>
      </c>
      <c r="L18638" s="11">
        <f>HYPERLINK("https://careerviet.vn/vi/tim-viec-lam/truong-nhom-trien-khai-ky-thuat.35C66DC8.html","Xem chi tiết")</f>
        <v/>
      </c>
      <c r="M18638" s="10" t="n"/>
    </row>
    <row r="18639">
      <c r="B18639" s="7" t="n">
        <v>18637</v>
      </c>
      <c r="C18639" t="inlineStr">
        <is>
          <t>Chuyên Viên Thiết Kế Đồ Họa</t>
        </is>
      </c>
      <c r="D18639" t="inlineStr">
        <is>
          <t>CÔNG TY CỔ PHẦN ĐẦU TƯ BẤT ĐỘNG SẢN TASECO</t>
        </is>
      </c>
      <c r="E18639" t="inlineStr">
        <is>
          <t>Lương:Cạnh tranh</t>
        </is>
      </c>
      <c r="F18639" t="inlineStr">
        <is>
          <t>Hà Nội</t>
        </is>
      </c>
      <c r="G18639" t="inlineStr">
        <is>
          <t>29-03-2026</t>
        </is>
      </c>
      <c r="H18639" t="inlineStr">
        <is>
          <t>29/03/2026</t>
        </is>
      </c>
      <c r="I18639" t="inlineStr">
        <is>
          <t>17/03/2026</t>
        </is>
      </c>
      <c r="J18639" t="inlineStr">
        <is>
          <t>Mỹ thuật / Nghệ thuật / Thiết kế</t>
        </is>
      </c>
      <c r="K18639" t="inlineStr">
        <is>
          <t>3 - 5 Năm</t>
        </is>
      </c>
      <c r="L18639" s="8">
        <f>HYPERLINK("https://careerviet.vn/vi/tim-viec-lam/chuyen-vien-thiet-ke-do-hoa.35C66DC7.html","Xem chi tiết")</f>
        <v/>
      </c>
    </row>
    <row r="18640">
      <c r="B18640" s="9" t="n">
        <v>18638</v>
      </c>
      <c r="C18640" s="10" t="inlineStr">
        <is>
          <t>Nhân viên kinh doanh phần mềm / Sale IT / Account Manager</t>
        </is>
      </c>
      <c r="D18640" s="10" t="inlineStr">
        <is>
          <t>Công ty CP Đầu Tư TM và Phát Triển Công Nghệ FSI</t>
        </is>
      </c>
      <c r="E18640" s="10" t="inlineStr">
        <is>
          <t>Lương:13 Tr - 20 Tr VND</t>
        </is>
      </c>
      <c r="F18640" s="10" t="inlineStr">
        <is>
          <t>Hồ Chí Minh</t>
        </is>
      </c>
      <c r="G18640" s="10" t="inlineStr">
        <is>
          <t>29-03-2026</t>
        </is>
      </c>
      <c r="H18640" s="10" t="inlineStr">
        <is>
          <t>29/03/2026</t>
        </is>
      </c>
      <c r="I18640" s="10" t="inlineStr">
        <is>
          <t>17/03/2026</t>
        </is>
      </c>
      <c r="J18640" s="10" t="inlineStr">
        <is>
          <t>CNTT - Phần mềm</t>
        </is>
      </c>
      <c r="K18640" s="10" t="inlineStr">
        <is>
          <t>2 - 10 Năm</t>
        </is>
      </c>
      <c r="L18640" s="11">
        <f>HYPERLINK("https://careerviet.vn/vi/tim-viec-lam/nhan-vien-kinh-doanh-phan-mem-sale-it-account-manager.35C66D7A.html","Xem chi tiết")</f>
        <v/>
      </c>
      <c r="M18640" s="10" t="n"/>
    </row>
    <row r="18641">
      <c r="B18641" s="7" t="n">
        <v>18639</v>
      </c>
      <c r="C18641" t="inlineStr">
        <is>
          <t>Nhân viên kế toán kho LV tại An Khánh Hoài Đức (cũ) TN 10-12 triệu</t>
        </is>
      </c>
      <c r="D18641" t="inlineStr">
        <is>
          <t>CÔNG TY CỔ PHẦN PHÁT TRIỂN CƠ ĐIỆN LẠNH HOÀNG ĐẠT</t>
        </is>
      </c>
      <c r="E18641" t="inlineStr">
        <is>
          <t>Lương:10 Tr - 12 Tr VND</t>
        </is>
      </c>
      <c r="F18641" t="inlineStr">
        <is>
          <t>Hà Nội</t>
        </is>
      </c>
      <c r="G18641" t="inlineStr">
        <is>
          <t>29-03-2026</t>
        </is>
      </c>
      <c r="H18641" t="inlineStr">
        <is>
          <t>29/03/2026</t>
        </is>
      </c>
      <c r="I18641" t="inlineStr">
        <is>
          <t>17/03/2026</t>
        </is>
      </c>
      <c r="J18641" t="inlineStr">
        <is>
          <t>Vận chuyển / Giao nhận / Kho vận, Kế toán / Kiểm toán</t>
        </is>
      </c>
      <c r="K18641" t="inlineStr">
        <is>
          <t>1 - 2 Năm</t>
        </is>
      </c>
      <c r="L18641" s="8">
        <f>HYPERLINK("https://careerviet.vn/vi/tim-viec-lam/nhan-vien-ke-toan-kho-lv-tai-an-khanh-hoai-duc-cu-tn-10-12-trieu.35C64271.html","Xem chi tiết")</f>
        <v/>
      </c>
    </row>
    <row r="18642">
      <c r="B18642" s="9" t="n">
        <v>18640</v>
      </c>
      <c r="C18642" s="10" t="inlineStr">
        <is>
          <t>Trưởng phòng kinh doanh (Lĩnh vực Du lịch)</t>
        </is>
      </c>
      <c r="D18642" s="10" t="inlineStr">
        <is>
          <t>CÔNG TY CỔ PHẦN TẬP ĐOÀN ONSEN FUJI</t>
        </is>
      </c>
      <c r="E18642" s="10" t="inlineStr">
        <is>
          <t>Lương:25 Tr - 30 Tr VND</t>
        </is>
      </c>
      <c r="F18642" s="10" t="inlineStr">
        <is>
          <t>Hà Nội</t>
        </is>
      </c>
      <c r="G18642" s="10" t="inlineStr">
        <is>
          <t>29-03-2026</t>
        </is>
      </c>
      <c r="H18642" s="10" t="inlineStr">
        <is>
          <t>29/03/2026</t>
        </is>
      </c>
      <c r="I18642" s="10" t="inlineStr">
        <is>
          <t>17/03/2026</t>
        </is>
      </c>
      <c r="J18642" s="10" t="inlineStr">
        <is>
          <t>Bán hàng / Kinh doanh, Du lịch, Ngành khác</t>
        </is>
      </c>
      <c r="K18642" s="10" t="inlineStr">
        <is>
          <t>3 - 5 Năm</t>
        </is>
      </c>
      <c r="L18642" s="11">
        <f>HYPERLINK("https://careerviet.vn/vi/tim-viec-lam/truong-phong-kinh-doanh-linh-vuc-du-lich.35C66D1D.html","Xem chi tiết")</f>
        <v/>
      </c>
      <c r="M18642" s="10" t="n"/>
    </row>
    <row r="18643">
      <c r="B18643" s="7" t="n">
        <v>18641</v>
      </c>
      <c r="C18643" t="inlineStr">
        <is>
          <t>MEDIA</t>
        </is>
      </c>
      <c r="D18643" t="inlineStr">
        <is>
          <t>Công ty TNHH Sản xuất Thương mại &amp; Dịch vụ Hoa Xinh</t>
        </is>
      </c>
      <c r="E18643" t="inlineStr">
        <is>
          <t>Lương:Cạnh tranh</t>
        </is>
      </c>
      <c r="F18643" t="inlineStr">
        <is>
          <t>Bà Rịa - Vũng Tàu</t>
        </is>
      </c>
      <c r="G18643" t="inlineStr">
        <is>
          <t>29-03-2026</t>
        </is>
      </c>
      <c r="H18643" t="inlineStr">
        <is>
          <t>29/03/2026</t>
        </is>
      </c>
      <c r="I18643" t="inlineStr">
        <is>
          <t>17/03/2026</t>
        </is>
      </c>
      <c r="J18643" t="inlineStr">
        <is>
          <t>Tiếp thị / Marketing, Tiếp thị trực tuyến, Thương mại điện tử</t>
        </is>
      </c>
      <c r="K18643" t="inlineStr">
        <is>
          <t>1 - 5 Năm</t>
        </is>
      </c>
      <c r="L18643" s="8">
        <f>HYPERLINK("https://careerviet.vn/vi/tim-viec-lam/media.35C6422F.html","Xem chi tiết")</f>
        <v/>
      </c>
    </row>
    <row r="18644">
      <c r="B18644" s="9" t="n">
        <v>18642</v>
      </c>
      <c r="C18644" s="10" t="inlineStr">
        <is>
          <t>Chuyên viên Hệ thống phát triển bền vững</t>
        </is>
      </c>
      <c r="D18644" s="10" t="inlineStr">
        <is>
          <t>Công ty CP Thành Thành Công - Biên Hòa</t>
        </is>
      </c>
      <c r="E18644" s="10" t="inlineStr">
        <is>
          <t>Lương:Cạnh tranh</t>
        </is>
      </c>
      <c r="F18644" s="10" t="inlineStr">
        <is>
          <t>Hồ Chí Minh</t>
        </is>
      </c>
      <c r="G18644" s="10" t="inlineStr">
        <is>
          <t>29-03-2026</t>
        </is>
      </c>
      <c r="H18644" s="10" t="inlineStr">
        <is>
          <t>29/03/2026</t>
        </is>
      </c>
      <c r="I18644" s="10" t="inlineStr">
        <is>
          <t>17/03/2026</t>
        </is>
      </c>
      <c r="J18644" s="10" t="inlineStr">
        <is>
          <t>An toàn lao động, Ngành khác, Môi trường</t>
        </is>
      </c>
      <c r="K18644" s="10" t="inlineStr">
        <is>
          <t>3 - 5 Năm</t>
        </is>
      </c>
      <c r="L18644" s="11">
        <f>HYPERLINK("https://careerviet.vn/vi/tim-viec-lam/chuyen-vien-he-thong-phat-trien-ben-vung.35C641DF.html","Xem chi tiết")</f>
        <v/>
      </c>
      <c r="M18644" s="10" t="n"/>
    </row>
    <row r="18645">
      <c r="B18645" s="7" t="n">
        <v>18643</v>
      </c>
      <c r="C18645" t="inlineStr">
        <is>
          <t>Kế Toán</t>
        </is>
      </c>
      <c r="D18645" t="inlineStr">
        <is>
          <t>CÔNG TY TNHH WAH FU PALACE</t>
        </is>
      </c>
      <c r="E18645" t="inlineStr">
        <is>
          <t>Lương:Trên 20 Tr VND</t>
        </is>
      </c>
      <c r="F18645" t="inlineStr">
        <is>
          <t>Hồ Chí Minh</t>
        </is>
      </c>
      <c r="G18645" t="inlineStr">
        <is>
          <t>29-03-2026</t>
        </is>
      </c>
      <c r="H18645" t="inlineStr">
        <is>
          <t>29/03/2026</t>
        </is>
      </c>
      <c r="I18645" t="inlineStr">
        <is>
          <t>17/03/2026</t>
        </is>
      </c>
      <c r="J18645" t="inlineStr">
        <is>
          <t>Nhà hàng / Khách sạn, Thực phẩm &amp; Đồ uống, Kế toán / Kiểm toán</t>
        </is>
      </c>
      <c r="K18645" t="inlineStr">
        <is>
          <t>Lên đến 5 Năm</t>
        </is>
      </c>
      <c r="L18645" s="8">
        <f>HYPERLINK("https://careerviet.vn/vi/tim-viec-lam/ke-toan.35C64227.html","Xem chi tiết")</f>
        <v/>
      </c>
    </row>
    <row r="18646">
      <c r="B18646" s="9" t="n">
        <v>18644</v>
      </c>
      <c r="C18646" s="10" t="inlineStr">
        <is>
          <t>Expert, Solution Development</t>
        </is>
      </c>
      <c r="D18646" s="10" t="inlineStr">
        <is>
          <t>NGÂN HÀNG TMCP KỸ THƯƠNG VIỆT NAM (TECHCOMBANK)</t>
        </is>
      </c>
      <c r="E18646" s="10" t="inlineStr">
        <is>
          <t>Lương:Cạnh tranh</t>
        </is>
      </c>
      <c r="F18646" s="10" t="inlineStr">
        <is>
          <t>Hà Nội</t>
        </is>
      </c>
      <c r="G18646" s="10" t="inlineStr">
        <is>
          <t>29-03-2026</t>
        </is>
      </c>
      <c r="H18646" s="10" t="inlineStr">
        <is>
          <t>29/03/2026</t>
        </is>
      </c>
      <c r="I18646" s="10" t="inlineStr">
        <is>
          <t>17/03/2026</t>
        </is>
      </c>
      <c r="J18646" s="10" t="inlineStr">
        <is>
          <t>Ngân hàng, CNTT - Phần mềm, CNTT - Phần cứng / Mạng</t>
        </is>
      </c>
      <c r="K18646" s="10" t="inlineStr">
        <is>
          <t>4 - 8 Năm</t>
        </is>
      </c>
      <c r="L18646" s="11">
        <f>HYPERLINK("https://careerviet.vn/vi/tim-viec-lam/expert-solution-development.35C66E05.html","Xem chi tiết")</f>
        <v/>
      </c>
      <c r="M18646" s="10" t="n"/>
    </row>
    <row r="18647">
      <c r="B18647" s="7" t="n">
        <v>18645</v>
      </c>
      <c r="C18647" t="inlineStr">
        <is>
          <t>Trưởng phòng kinh doanh khách hàng Private - TPHCM - TA110 - ID1667</t>
        </is>
      </c>
      <c r="D18647" t="inlineStr">
        <is>
          <t>Ngân Hàng TMCP Việt Nam Thịnh Vượng - VPBANK</t>
        </is>
      </c>
      <c r="E18647" t="inlineStr">
        <is>
          <t>Lương:Cạnh tranh</t>
        </is>
      </c>
      <c r="F18647" t="inlineStr">
        <is>
          <t>Hồ Chí Minh</t>
        </is>
      </c>
      <c r="G18647" t="inlineStr">
        <is>
          <t>29-03-2026</t>
        </is>
      </c>
      <c r="H18647" t="inlineStr">
        <is>
          <t>29/03/2026</t>
        </is>
      </c>
      <c r="I18647" t="inlineStr">
        <is>
          <t>17/03/2026</t>
        </is>
      </c>
      <c r="J18647" t="inlineStr">
        <is>
          <t>Bán hàng / Kinh doanh, Ngân hàng</t>
        </is>
      </c>
      <c r="K18647" t="inlineStr">
        <is>
          <t>9 - 10 Năm</t>
        </is>
      </c>
      <c r="L18647" s="8">
        <f>HYPERLINK("https://careerviet.vn/vi/tim-viec-lam/truong-phong-kinh-doanh-khach-hang-private-tphcm-ta110-id1667.35C66D7F.html","Xem chi tiết")</f>
        <v/>
      </c>
    </row>
    <row r="18648">
      <c r="B18648" s="9" t="n">
        <v>18646</v>
      </c>
      <c r="C18648" s="10" t="inlineStr">
        <is>
          <t>Nhân Viên Triển Khai Phần Mềm</t>
        </is>
      </c>
      <c r="D18648" s="10" t="inlineStr">
        <is>
          <t>LacViet Computing Corporation</t>
        </is>
      </c>
      <c r="E18648" s="10" t="inlineStr">
        <is>
          <t>Lương:Cạnh tranh</t>
        </is>
      </c>
      <c r="F18648" s="10" t="inlineStr">
        <is>
          <t>Hồ Chí Minh</t>
        </is>
      </c>
      <c r="G18648" s="10" t="inlineStr">
        <is>
          <t>29-03-2026</t>
        </is>
      </c>
      <c r="H18648" s="10" t="inlineStr">
        <is>
          <t>29/03/2026</t>
        </is>
      </c>
      <c r="I18648" s="10" t="inlineStr">
        <is>
          <t>17/03/2026</t>
        </is>
      </c>
      <c r="J18648" s="10" t="inlineStr">
        <is>
          <t>CNTT - Phần mềm, Tư vấn</t>
        </is>
      </c>
      <c r="K18648" s="10" t="inlineStr">
        <is>
          <t>1 - 3 Năm</t>
        </is>
      </c>
      <c r="L18648" s="11">
        <f>HYPERLINK("https://careerviet.vn/vi/tim-viec-lam/nhan-vien-trien-khai-phan-mem.35C64220.html","Xem chi tiết")</f>
        <v/>
      </c>
      <c r="M18648" s="10" t="n"/>
    </row>
    <row r="18649">
      <c r="B18649" s="7" t="n">
        <v>18647</v>
      </c>
      <c r="C18649" t="inlineStr">
        <is>
          <t>Nhân viên Kinh doanh (Sẽ được đào tạo nếu chưa có kinh nghiệm)</t>
        </is>
      </c>
      <c r="D18649" t="inlineStr">
        <is>
          <t>CÔNG TY TNHH KỸ THUẬT QUỐC TẾ VIỆT NHẬT</t>
        </is>
      </c>
      <c r="E18649" t="inlineStr">
        <is>
          <t>Lương:7 Tr - 15 Tr VND</t>
        </is>
      </c>
      <c r="F18649" t="inlineStr">
        <is>
          <t>Bình Dương</t>
        </is>
      </c>
      <c r="G18649" t="inlineStr">
        <is>
          <t>29-03-2026</t>
        </is>
      </c>
      <c r="H18649" t="inlineStr">
        <is>
          <t>29/03/2026</t>
        </is>
      </c>
      <c r="I18649" t="inlineStr">
        <is>
          <t>17/03/2026</t>
        </is>
      </c>
      <c r="J18649" t="inlineStr">
        <is>
          <t>Bán hàng / Kinh doanh, Bán Hàng Kỹ Thuật, Mới tốt nghiệp / Thực tập</t>
        </is>
      </c>
      <c r="K18649" t="inlineStr">
        <is>
          <t>N/A</t>
        </is>
      </c>
      <c r="L18649" s="8">
        <f>HYPERLINK("https://careerviet.vn/vi/tim-viec-lam/nhan-vien-kinh-doanh-se-duoc-dao-tao-neu-chua-co-kinh-nghiem.35C66D41.html","Xem chi tiết")</f>
        <v/>
      </c>
    </row>
    <row r="18650">
      <c r="B18650" s="9" t="n">
        <v>18648</v>
      </c>
      <c r="C18650" s="10" t="inlineStr">
        <is>
          <t>TikTok Commerce Operations Lead</t>
        </is>
      </c>
      <c r="D18650" s="10" t="inlineStr">
        <is>
          <t>Horizon Group Co., Ltd.</t>
        </is>
      </c>
      <c r="E18650" s="10" t="inlineStr">
        <is>
          <t>Lương:20 Tr - 30 Tr VND</t>
        </is>
      </c>
      <c r="F18650" s="10" t="inlineStr">
        <is>
          <t>Hồ Chí Minh</t>
        </is>
      </c>
      <c r="G18650" s="10" t="inlineStr">
        <is>
          <t>29-03-2026</t>
        </is>
      </c>
      <c r="H18650" s="10" t="inlineStr">
        <is>
          <t>29/03/2026</t>
        </is>
      </c>
      <c r="I18650" s="10" t="inlineStr">
        <is>
          <t>17/03/2026</t>
        </is>
      </c>
      <c r="J18650" s="10" t="inlineStr">
        <is>
          <t>Tiếp thị / Marketing, Thương mại điện tử</t>
        </is>
      </c>
      <c r="K18650" s="10" t="inlineStr">
        <is>
          <t>Trên 2 Năm</t>
        </is>
      </c>
      <c r="L18650" s="11">
        <f>HYPERLINK("https://careerviet.vn/vi/tim-viec-lam/tiktok-commerce-operations-lead.35C66DB9.html","Xem chi tiết")</f>
        <v/>
      </c>
      <c r="M18650" s="10" t="n"/>
    </row>
    <row r="18651">
      <c r="B18651" s="7" t="n">
        <v>18649</v>
      </c>
      <c r="C18651" t="inlineStr">
        <is>
          <t>Business Operation Specialist / Chuyên viên vận hành quản lý hệ thống</t>
        </is>
      </c>
      <c r="D18651" t="inlineStr">
        <is>
          <t>Công ty TNHH Phát triển Phú Mỹ Hưng</t>
        </is>
      </c>
      <c r="E18651" t="inlineStr">
        <is>
          <t>Lương:Cạnh tranh</t>
        </is>
      </c>
      <c r="F18651" t="inlineStr">
        <is>
          <t>Hồ Chí Minh</t>
        </is>
      </c>
      <c r="G18651" t="inlineStr">
        <is>
          <t>30-03-2026</t>
        </is>
      </c>
      <c r="H18651" t="inlineStr">
        <is>
          <t>30/03/2026</t>
        </is>
      </c>
      <c r="I18651" t="inlineStr">
        <is>
          <t>17/03/2026</t>
        </is>
      </c>
      <c r="J18651" t="inlineStr">
        <is>
          <t>Vận chuyển / Giao nhận / Kho vận, Sản xuất / Vận hành sản xuất, Bất động sản</t>
        </is>
      </c>
      <c r="K18651" t="inlineStr">
        <is>
          <t>3 - 5 Năm</t>
        </is>
      </c>
      <c r="L18651" s="8">
        <f>HYPERLINK("https://careerviet.vn/vi/tim-viec-lam/business-operation-specialist-chuyen-vien-van-hanh-quan-ly-he-thong.35C6439C.html","Xem chi tiết")</f>
        <v/>
      </c>
    </row>
    <row r="18652">
      <c r="B18652" s="9" t="n">
        <v>18650</v>
      </c>
      <c r="C18652" s="10" t="inlineStr">
        <is>
          <t>Trưởng phòng tuyển dụng - Hà Nội</t>
        </is>
      </c>
      <c r="D18652" s="10" t="inlineStr">
        <is>
          <t>CÔNG TY CỔ PHẦN GREEN SPEED</t>
        </is>
      </c>
      <c r="E18652" s="10" t="inlineStr">
        <is>
          <t>Lương:Cạnh tranh</t>
        </is>
      </c>
      <c r="F18652" s="10" t="inlineStr">
        <is>
          <t>Hà Nội</t>
        </is>
      </c>
      <c r="G18652" s="10" t="inlineStr">
        <is>
          <t>30-03-2026</t>
        </is>
      </c>
      <c r="H18652" s="10" t="inlineStr">
        <is>
          <t>30/03/2026</t>
        </is>
      </c>
      <c r="I18652" s="10" t="inlineStr">
        <is>
          <t>17/03/2026</t>
        </is>
      </c>
      <c r="J18652" s="10" t="inlineStr">
        <is>
          <t>Hành chính / Thư ký, Quản lý điều hành, Nhân sự</t>
        </is>
      </c>
      <c r="K18652" s="10" t="inlineStr">
        <is>
          <t>5 - 10 Năm</t>
        </is>
      </c>
      <c r="L18652" s="11">
        <f>HYPERLINK("https://careerviet.vn/vi/tim-viec-lam/truong-phong-tuyen-dung-ha-noi.35C66ECA.html","Xem chi tiết")</f>
        <v/>
      </c>
      <c r="M18652" s="10" t="n"/>
    </row>
    <row r="18653">
      <c r="B18653" s="7" t="n">
        <v>18651</v>
      </c>
      <c r="C18653" t="inlineStr">
        <is>
          <t>[PHENIKAA UNI] Tuyển dụng Nhân viên quản trị thiết bị - Phòng Hạ tầng thiết bị</t>
        </is>
      </c>
      <c r="D18653" t="inlineStr">
        <is>
          <t>ĐẠI HỌC PHENIKAA</t>
        </is>
      </c>
      <c r="E18653" t="inlineStr">
        <is>
          <t>Lương:Cạnh tranh</t>
        </is>
      </c>
      <c r="F18653" t="inlineStr">
        <is>
          <t>Hà Nội</t>
        </is>
      </c>
      <c r="G18653" t="inlineStr">
        <is>
          <t>29-03-2026</t>
        </is>
      </c>
      <c r="H18653" t="inlineStr">
        <is>
          <t>29/03/2026</t>
        </is>
      </c>
      <c r="I18653" t="inlineStr">
        <is>
          <t>17/03/2026</t>
        </is>
      </c>
      <c r="J18653" t="inlineStr">
        <is>
          <t>Giáo dục / Đào tạo</t>
        </is>
      </c>
      <c r="K18653" t="inlineStr">
        <is>
          <t>1 - 2 Năm</t>
        </is>
      </c>
      <c r="L18653" s="8">
        <f>HYPERLINK("https://careerviet.vn/vi/tim-viec-lam/phenikaa-uni-tuyen-dung-nhan-vien-quan-tri-thiet-bi-phong-ha-tang-thiet-bi.35C66CFE.html","Xem chi tiết")</f>
        <v/>
      </c>
    </row>
    <row r="18654">
      <c r="B18654" s="9" t="n">
        <v>18652</v>
      </c>
      <c r="C18654" s="10" t="inlineStr">
        <is>
          <t>Sales Support - Kho</t>
        </is>
      </c>
      <c r="D18654" s="10" t="inlineStr">
        <is>
          <t>CÔNG TY CỔ PHẦN GIẢI PHÁP GENE - GENE SOLUTIONS</t>
        </is>
      </c>
      <c r="E18654" s="10" t="inlineStr">
        <is>
          <t>Lương:Cạnh tranh</t>
        </is>
      </c>
      <c r="F18654" s="10" t="inlineStr">
        <is>
          <t>Hồ Chí Minh</t>
        </is>
      </c>
      <c r="G18654" s="10" t="inlineStr">
        <is>
          <t>30-03-2026</t>
        </is>
      </c>
      <c r="H18654" s="10" t="inlineStr">
        <is>
          <t>30/03/2026</t>
        </is>
      </c>
      <c r="I18654" s="10" t="inlineStr">
        <is>
          <t>17/03/2026</t>
        </is>
      </c>
      <c r="J18654" s="10" t="inlineStr">
        <is>
          <t>Bán hàng / Kinh doanh, Y tế / Chăm sóc sức khỏe / Thẩm mỹ / Làm đẹp, Hành chính / Thư ký</t>
        </is>
      </c>
      <c r="K18654" s="10" t="inlineStr">
        <is>
          <t>1 - 3 Năm</t>
        </is>
      </c>
      <c r="L18654" s="11">
        <f>HYPERLINK("https://careerviet.vn/vi/tim-viec-lam/sales-support-kho.35C6433C.html","Xem chi tiết")</f>
        <v/>
      </c>
      <c r="M18654" s="10" t="n"/>
    </row>
    <row r="18655">
      <c r="B18655" s="7" t="n">
        <v>18653</v>
      </c>
      <c r="C18655" t="inlineStr">
        <is>
          <t>Trưởng phòng marketing Ngành thời trang</t>
        </is>
      </c>
      <c r="D18655" t="inlineStr">
        <is>
          <t>Công Ty TNHH XNK Cầu Nối Việt</t>
        </is>
      </c>
      <c r="E18655" t="inlineStr">
        <is>
          <t>Lương:Cạnh tranh</t>
        </is>
      </c>
      <c r="F18655" t="inlineStr">
        <is>
          <t>Hà Nội</t>
        </is>
      </c>
      <c r="G18655" t="inlineStr">
        <is>
          <t>30-03-2026</t>
        </is>
      </c>
      <c r="H18655" t="inlineStr">
        <is>
          <t>30/03/2026</t>
        </is>
      </c>
      <c r="I18655" t="inlineStr">
        <is>
          <t>17/03/2026</t>
        </is>
      </c>
      <c r="J18655" t="inlineStr">
        <is>
          <t>Tiếp thị / Marketing, Dệt may / Da giày / Thời trang, Quản lý điều hành</t>
        </is>
      </c>
      <c r="K18655" t="inlineStr">
        <is>
          <t>3 - 10 Năm</t>
        </is>
      </c>
      <c r="L18655" s="8">
        <f>HYPERLINK("https://careerviet.vn/vi/tim-viec-lam/truong-phong-marketing-nganh-thoi-trang.35C66F31.html","Xem chi tiết")</f>
        <v/>
      </c>
    </row>
    <row r="18656">
      <c r="B18656" s="9" t="n">
        <v>18654</v>
      </c>
      <c r="C18656" s="10" t="inlineStr">
        <is>
          <t>Kế toán tổng hợp</t>
        </is>
      </c>
      <c r="D18656" s="10" t="inlineStr">
        <is>
          <t>Phuc Thang Fine Furniture</t>
        </is>
      </c>
      <c r="E18656" s="10" t="inlineStr">
        <is>
          <t>Lương:Cạnh tranh</t>
        </is>
      </c>
      <c r="F18656" s="10" t="inlineStr">
        <is>
          <t>Bình Dương</t>
        </is>
      </c>
      <c r="G18656" s="10" t="inlineStr">
        <is>
          <t>30-03-2026</t>
        </is>
      </c>
      <c r="H18656" s="10" t="inlineStr">
        <is>
          <t>30/03/2026</t>
        </is>
      </c>
      <c r="I18656" s="10" t="inlineStr">
        <is>
          <t>17/03/2026</t>
        </is>
      </c>
      <c r="J18656" s="10" t="inlineStr">
        <is>
          <t>Kế toán / Kiểm toán, Sản xuất / Vận hành sản xuất, Đồ gỗ</t>
        </is>
      </c>
      <c r="K18656" s="10" t="inlineStr">
        <is>
          <t>5 - 10 Năm</t>
        </is>
      </c>
      <c r="L18656" s="11">
        <f>HYPERLINK("https://careerviet.vn/vi/tim-viec-lam/ke-toan-tong-hop.35C66F2F.html","Xem chi tiết")</f>
        <v/>
      </c>
      <c r="M18656" s="10" t="n"/>
    </row>
    <row r="18657">
      <c r="B18657" s="7" t="n">
        <v>18655</v>
      </c>
      <c r="C18657" t="inlineStr">
        <is>
          <t>Trợ lý Phó TGĐ Khối Marketing - Truyền thông</t>
        </is>
      </c>
      <c r="D18657" t="inlineStr">
        <is>
          <t>Tập Đoàn Tân Á Đại Thành</t>
        </is>
      </c>
      <c r="E18657" t="inlineStr">
        <is>
          <t>Lương:Cạnh tranh</t>
        </is>
      </c>
      <c r="F18657" t="inlineStr">
        <is>
          <t>Hà Nội</t>
        </is>
      </c>
      <c r="G18657" t="inlineStr">
        <is>
          <t>29-03-2026</t>
        </is>
      </c>
      <c r="H18657" t="inlineStr">
        <is>
          <t>29/03/2026</t>
        </is>
      </c>
      <c r="I18657" t="inlineStr">
        <is>
          <t>17/03/2026</t>
        </is>
      </c>
      <c r="J18657" t="inlineStr">
        <is>
          <t>Tiếp thị / Marketing, Hành chính / Thư ký, Bất động sản</t>
        </is>
      </c>
      <c r="K18657" t="inlineStr">
        <is>
          <t>2 - 3 Năm</t>
        </is>
      </c>
      <c r="L18657" s="8">
        <f>HYPERLINK("https://careerviet.vn/vi/tim-viec-lam/tro-ly-pho-tgd-khoi-marketing-truyen-thong.35C641F6.html","Xem chi tiết")</f>
        <v/>
      </c>
    </row>
    <row r="18658">
      <c r="B18658" s="9" t="n">
        <v>18656</v>
      </c>
      <c r="C18658" s="10" t="inlineStr">
        <is>
          <t>KV Hà Nội - Giám đốc/Chuyên viên Quan hệ khách hàng Cá nhân</t>
        </is>
      </c>
      <c r="D18658" s="10" t="inlineStr">
        <is>
          <t>BVBank - Ngân hàng Bản Việt</t>
        </is>
      </c>
      <c r="E18658" s="10" t="inlineStr">
        <is>
          <t>Lương:Cạnh tranh</t>
        </is>
      </c>
      <c r="F18658" s="10" t="inlineStr">
        <is>
          <t>Hà Nội</t>
        </is>
      </c>
      <c r="G18658" s="10" t="inlineStr">
        <is>
          <t>30-03-2026</t>
        </is>
      </c>
      <c r="H18658" s="10" t="inlineStr">
        <is>
          <t>30/03/2026</t>
        </is>
      </c>
      <c r="I18658" s="10" t="inlineStr">
        <is>
          <t>17/03/2026</t>
        </is>
      </c>
      <c r="J18658" s="10" t="inlineStr">
        <is>
          <t>Ngân hàng, Tài chính / Đầu tư, Bảo hiểm</t>
        </is>
      </c>
      <c r="K18658" s="10" t="inlineStr">
        <is>
          <t>1 - 2 Năm</t>
        </is>
      </c>
      <c r="L18658" s="11">
        <f>HYPERLINK("https://careerviet.vn/vi/tim-viec-lam/kv-ha-noi-giam-doc-chuyen-vien-quan-he-khach-hang-ca-nhan.35C643A3.html","Xem chi tiết")</f>
        <v/>
      </c>
      <c r="M18658" s="10" t="n"/>
    </row>
    <row r="18659">
      <c r="B18659" s="7" t="n">
        <v>18657</v>
      </c>
      <c r="C18659" t="inlineStr">
        <is>
          <t>Giám Sát EHS/HSE</t>
        </is>
      </c>
      <c r="D18659" t="inlineStr">
        <is>
          <t>CÔNG TY TNHH FEDDY</t>
        </is>
      </c>
      <c r="E18659" t="inlineStr">
        <is>
          <t>Lương:15 Tr - 20 Tr VND</t>
        </is>
      </c>
      <c r="F18659" t="inlineStr">
        <is>
          <t>Đồng Nai</t>
        </is>
      </c>
      <c r="G18659" t="inlineStr">
        <is>
          <t>30-03-2026</t>
        </is>
      </c>
      <c r="H18659" t="inlineStr">
        <is>
          <t>30/03/2026</t>
        </is>
      </c>
      <c r="I18659" t="inlineStr">
        <is>
          <t>17/03/2026</t>
        </is>
      </c>
      <c r="J18659" t="inlineStr">
        <is>
          <t>Môi trường, Bảo trì / Sửa chữa, An toàn lao động</t>
        </is>
      </c>
      <c r="K18659" t="inlineStr">
        <is>
          <t>2 - 3 Năm</t>
        </is>
      </c>
      <c r="L18659" s="8">
        <f>HYPERLINK("https://careerviet.vn/vi/tim-viec-lam/giam-sat-ehs-hse.35C66E52.html","Xem chi tiết")</f>
        <v/>
      </c>
    </row>
    <row r="18660">
      <c r="B18660" s="9" t="n">
        <v>18658</v>
      </c>
      <c r="C18660" s="10" t="inlineStr">
        <is>
          <t>[PGDL An Phú] Chuyên viên/CVC/CVCC Quan hệ Khách hàng Cá nhân</t>
        </is>
      </c>
      <c r="D18660" s="10" t="inlineStr">
        <is>
          <t>Ngân hàng TMCP Lộc Phát Việt Nam (LPBank)</t>
        </is>
      </c>
      <c r="E18660" s="10" t="inlineStr">
        <is>
          <t>Lương:Cạnh tranh</t>
        </is>
      </c>
      <c r="F18660" s="10" t="inlineStr">
        <is>
          <t>Hồ Chí Minh</t>
        </is>
      </c>
      <c r="G18660" s="10" t="inlineStr">
        <is>
          <t>30-03-2026</t>
        </is>
      </c>
      <c r="H18660" s="10" t="inlineStr">
        <is>
          <t>30/03/2026</t>
        </is>
      </c>
      <c r="I18660" s="10" t="inlineStr">
        <is>
          <t>17/03/2026</t>
        </is>
      </c>
      <c r="J18660" s="10" t="inlineStr">
        <is>
          <t>Bán hàng / Kinh doanh, Kế toán / Kiểm toán, Ngân hàng</t>
        </is>
      </c>
      <c r="K18660" s="10" t="inlineStr">
        <is>
          <t>Trên 1 Năm</t>
        </is>
      </c>
      <c r="L18660" s="11">
        <f>HYPERLINK("https://careerviet.vn/vi/tim-viec-lam/pgdl-an-phu-chuyen-vien-cvc-cvcc-quan-he-khach-hang-ca-nhan.35C6438C.html","Xem chi tiết")</f>
        <v/>
      </c>
      <c r="M18660" s="10" t="n"/>
    </row>
    <row r="18661">
      <c r="B18661" s="7" t="n">
        <v>18659</v>
      </c>
      <c r="C18661" t="inlineStr">
        <is>
          <t>Kỹ sư shop drawing (chủ đầu tư)</t>
        </is>
      </c>
      <c r="D18661" t="inlineStr">
        <is>
          <t>Tập Đoàn Tân Á Đại Thành</t>
        </is>
      </c>
      <c r="E18661" t="inlineStr">
        <is>
          <t>Lương:Trên 25 Tr VND</t>
        </is>
      </c>
      <c r="F18661" t="inlineStr">
        <is>
          <t>Hà Nội</t>
        </is>
      </c>
      <c r="G18661" t="inlineStr">
        <is>
          <t>30-03-2026</t>
        </is>
      </c>
      <c r="H18661" t="inlineStr">
        <is>
          <t>30/03/2026</t>
        </is>
      </c>
      <c r="I18661" t="inlineStr">
        <is>
          <t>17/03/2026</t>
        </is>
      </c>
      <c r="J18661" t="inlineStr">
        <is>
          <t>Kiến trúc, Xây dựng, Bất động sản</t>
        </is>
      </c>
      <c r="K18661" t="inlineStr">
        <is>
          <t>Trên 5 Năm</t>
        </is>
      </c>
      <c r="L18661" s="8">
        <f>HYPERLINK("https://careerviet.vn/vi/tim-viec-lam/ky-su-shop-drawing-chu-dau-tu.35C66E20.html","Xem chi tiết")</f>
        <v/>
      </c>
    </row>
    <row r="18662">
      <c r="B18662" s="9" t="n">
        <v>18660</v>
      </c>
      <c r="C18662" s="10" t="inlineStr">
        <is>
          <t>Tổ trưởng Canh tác</t>
        </is>
      </c>
      <c r="D18662" s="10" t="inlineStr">
        <is>
          <t>Công ty CP Thành Thành Công - Biên Hòa</t>
        </is>
      </c>
      <c r="E18662" s="10" t="inlineStr">
        <is>
          <t>Lương:9 Tr - 11 Tr VND</t>
        </is>
      </c>
      <c r="F18662" s="10" t="inlineStr">
        <is>
          <t>Tây Ninh</t>
        </is>
      </c>
      <c r="G18662" s="10" t="inlineStr">
        <is>
          <t>30-03-2026</t>
        </is>
      </c>
      <c r="H18662" s="10" t="inlineStr">
        <is>
          <t>30/03/2026</t>
        </is>
      </c>
      <c r="I18662" s="10" t="inlineStr">
        <is>
          <t>17/03/2026</t>
        </is>
      </c>
      <c r="J18662" s="10" t="inlineStr">
        <is>
          <t>Nông nghiệp</t>
        </is>
      </c>
      <c r="K18662" s="10" t="inlineStr">
        <is>
          <t>1 - 2 Năm</t>
        </is>
      </c>
      <c r="L18662" s="11">
        <f>HYPERLINK("https://careerviet.vn/vi/tim-viec-lam/to-truong-canh-tac.35C66E42.html","Xem chi tiết")</f>
        <v/>
      </c>
      <c r="M18662" s="10" t="n"/>
    </row>
    <row r="18663">
      <c r="B18663" s="7" t="n">
        <v>18661</v>
      </c>
      <c r="C18663" t="inlineStr">
        <is>
          <t>MRO BUYER (Coupa)</t>
        </is>
      </c>
      <c r="D18663" t="inlineStr">
        <is>
          <t>Jabil Vietnam</t>
        </is>
      </c>
      <c r="E18663" t="inlineStr">
        <is>
          <t>Lương:Cạnh tranh</t>
        </is>
      </c>
      <c r="F18663" t="inlineStr">
        <is>
          <t>Hồ Chí Minh</t>
        </is>
      </c>
      <c r="G18663" t="inlineStr">
        <is>
          <t>30-03-2026</t>
        </is>
      </c>
      <c r="H18663" t="inlineStr">
        <is>
          <t>30/03/2026</t>
        </is>
      </c>
      <c r="I18663" t="inlineStr">
        <is>
          <t>17/03/2026</t>
        </is>
      </c>
      <c r="J18663" t="inlineStr">
        <is>
          <t>Ngành khác, Điện / Điện tử / Điện lạnh / Điện công nghiệp, Bán lẻ / Bán sỉ</t>
        </is>
      </c>
      <c r="K18663" t="inlineStr">
        <is>
          <t>2 - 5 Năm</t>
        </is>
      </c>
      <c r="L18663" s="8">
        <f>HYPERLINK("https://careerviet.vn/vi/tim-viec-lam/mro-buyer-coupa.35C66FAF.html","Xem chi tiết")</f>
        <v/>
      </c>
    </row>
    <row r="18664">
      <c r="B18664" s="9" t="n">
        <v>18662</v>
      </c>
      <c r="C18664" s="10" t="inlineStr">
        <is>
          <t>Account Manager</t>
        </is>
      </c>
      <c r="D18664" s="10" t="inlineStr">
        <is>
          <t>CÔNG TY TNHH GOLDNET</t>
        </is>
      </c>
      <c r="E18664" s="10" t="inlineStr">
        <is>
          <t>Lương:Cạnh tranh</t>
        </is>
      </c>
      <c r="F18664" s="10" t="inlineStr">
        <is>
          <t>Hồ Chí Minh</t>
        </is>
      </c>
      <c r="G18664" s="10" t="inlineStr">
        <is>
          <t>30-03-2026</t>
        </is>
      </c>
      <c r="H18664" s="10" t="inlineStr">
        <is>
          <t>30/03/2026</t>
        </is>
      </c>
      <c r="I18664" s="10" t="inlineStr">
        <is>
          <t>17/03/2026</t>
        </is>
      </c>
      <c r="J18664" s="10" t="inlineStr">
        <is>
          <t>Tiếp thị / Marketing, Bán hàng / Kinh doanh, Thương mại điện tử</t>
        </is>
      </c>
      <c r="K18664" s="10" t="inlineStr">
        <is>
          <t>2 - 3 Năm</t>
        </is>
      </c>
      <c r="L18664" s="11">
        <f>HYPERLINK("https://careerviet.vn/vi/tim-viec-lam/account-manager.35C66E7B.html","Xem chi tiết")</f>
        <v/>
      </c>
      <c r="M18664" s="10" t="n"/>
    </row>
    <row r="18665">
      <c r="B18665" s="7" t="n">
        <v>18663</v>
      </c>
      <c r="C18665" t="inlineStr">
        <is>
          <t>[GLOBALX-NOVASERVICE] Chuyên Viên Cao Cấp An Ninh An Toàn</t>
        </is>
      </c>
      <c r="D18665" t="inlineStr">
        <is>
          <t>GLOBAX - CÔNG TY CỔ PHẦN TRẢI NGHIỆM TOÀN CẦU</t>
        </is>
      </c>
      <c r="E18665" t="inlineStr">
        <is>
          <t>Lương:Cạnh tranh</t>
        </is>
      </c>
      <c r="F18665" t="inlineStr">
        <is>
          <t>Hồ Chí Minh</t>
        </is>
      </c>
      <c r="G18665" t="inlineStr">
        <is>
          <t>30-03-2026</t>
        </is>
      </c>
      <c r="H18665" t="inlineStr">
        <is>
          <t>30/03/2026</t>
        </is>
      </c>
      <c r="I18665" t="inlineStr">
        <is>
          <t>17/03/2026</t>
        </is>
      </c>
      <c r="J18665" t="inlineStr">
        <is>
          <t>Nhà hàng / Khách sạn</t>
        </is>
      </c>
      <c r="K18665" t="inlineStr">
        <is>
          <t>3 - 4 Năm</t>
        </is>
      </c>
      <c r="L18665" s="8">
        <f>HYPERLINK("https://careerviet.vn/vi/tim-viec-lam/globalx-novaservice-chuyen-vien-cao-cap-an-ninh-an-toan.35C64334.html","Xem chi tiết")</f>
        <v/>
      </c>
    </row>
    <row r="18666">
      <c r="B18666" s="9" t="n">
        <v>18664</v>
      </c>
      <c r="C18666" s="10" t="inlineStr">
        <is>
          <t>Chuyên viên Thiết kế - Kế hoạch</t>
        </is>
      </c>
      <c r="D18666" s="10" t="inlineStr">
        <is>
          <t>Công ty CP Thành Thành Công - Biên Hòa</t>
        </is>
      </c>
      <c r="E18666" s="10" t="inlineStr">
        <is>
          <t>Lương:Cạnh tranh</t>
        </is>
      </c>
      <c r="F18666" s="10" t="inlineStr">
        <is>
          <t>Tây Ninh</t>
        </is>
      </c>
      <c r="G18666" s="10" t="inlineStr">
        <is>
          <t>30-03-2026</t>
        </is>
      </c>
      <c r="H18666" s="10" t="inlineStr">
        <is>
          <t>30/03/2026</t>
        </is>
      </c>
      <c r="I18666" s="10" t="inlineStr">
        <is>
          <t>17/03/2026</t>
        </is>
      </c>
      <c r="J18666" s="10" t="inlineStr">
        <is>
          <t>An toàn lao động, Cơ khí / Ô tô / Tự động hóa</t>
        </is>
      </c>
      <c r="K18666" s="10" t="inlineStr">
        <is>
          <t>1 - 2 Năm</t>
        </is>
      </c>
      <c r="L18666" s="11">
        <f>HYPERLINK("https://careerviet.vn/vi/tim-viec-lam/chuyen-vien-thiet-ke-ke-hoach.35C66FB2.html","Xem chi tiết")</f>
        <v/>
      </c>
      <c r="M18666" s="10" t="n"/>
    </row>
    <row r="18667">
      <c r="B18667" s="7" t="n">
        <v>18665</v>
      </c>
      <c r="C18667" t="inlineStr">
        <is>
          <t>Sales Manager (Korean Speaking)</t>
        </is>
      </c>
      <c r="D18667" t="inlineStr">
        <is>
          <t>HR Vietnam’s ESS Client</t>
        </is>
      </c>
      <c r="E18667" t="inlineStr">
        <is>
          <t>Lương:Cạnh tranh</t>
        </is>
      </c>
      <c r="F18667" t="inlineStr">
        <is>
          <t>Hà Nội</t>
        </is>
      </c>
      <c r="G18667" t="inlineStr">
        <is>
          <t>30-03-2026</t>
        </is>
      </c>
      <c r="H18667" t="inlineStr">
        <is>
          <t>30/03/2026</t>
        </is>
      </c>
      <c r="I18667" t="inlineStr">
        <is>
          <t>17/03/2026</t>
        </is>
      </c>
      <c r="J18667" t="inlineStr">
        <is>
          <t>Điện / Điện tử / Điện lạnh / Điện công nghiệp, Cơ khí / Ô tô / Tự động hóa, Bán hàng / Kinh doanh</t>
        </is>
      </c>
      <c r="K18667" t="inlineStr">
        <is>
          <t>3 - 5 Năm</t>
        </is>
      </c>
      <c r="L18667" s="8">
        <f>HYPERLINK("https://careerviet.vn/vi/tim-viec-lam/sales-manager-korean-speaking.35C6433E.html","Xem chi tiết")</f>
        <v/>
      </c>
    </row>
    <row r="18668">
      <c r="B18668" s="9" t="n">
        <v>18666</v>
      </c>
      <c r="C18668" s="10" t="inlineStr">
        <is>
          <t>Senior Business Intelligence Specialist</t>
        </is>
      </c>
      <c r="D18668" s="10" t="inlineStr">
        <is>
          <t>UrBox - Công ty Cổ phần Tiếp Thị Số Tô Quà</t>
        </is>
      </c>
      <c r="E18668" s="10" t="inlineStr">
        <is>
          <t>Lương:Cạnh tranh</t>
        </is>
      </c>
      <c r="F18668" s="10" t="inlineStr">
        <is>
          <t>Hà Nội</t>
        </is>
      </c>
      <c r="G18668" s="10" t="inlineStr">
        <is>
          <t>30-03-2026</t>
        </is>
      </c>
      <c r="H18668" s="10" t="inlineStr">
        <is>
          <t>30/03/2026</t>
        </is>
      </c>
      <c r="I18668" s="10" t="inlineStr">
        <is>
          <t>17/03/2026</t>
        </is>
      </c>
      <c r="J18668" s="10" t="inlineStr">
        <is>
          <t>Ngành khác</t>
        </is>
      </c>
      <c r="K18668" s="10" t="inlineStr">
        <is>
          <t>3 - 6 Năm</t>
        </is>
      </c>
      <c r="L18668" s="11">
        <f>HYPERLINK("https://careerviet.vn/vi/tim-viec-lam/senior-business-intelligence-specialist.35C64433.html","Xem chi tiết")</f>
        <v/>
      </c>
      <c r="M18668" s="10" t="n"/>
    </row>
    <row r="18669">
      <c r="B18669" s="7" t="n">
        <v>18667</v>
      </c>
      <c r="C18669" t="inlineStr">
        <is>
          <t>Kỹ sư trắc đạc</t>
        </is>
      </c>
      <c r="D18669" t="inlineStr">
        <is>
          <t>TỔNG CÔNG TY CỔ PHẦN THƯƠNG MẠI XÂY DỰNG</t>
        </is>
      </c>
      <c r="E18669" t="inlineStr">
        <is>
          <t>Lương:17 Tr - 25 Tr VND</t>
        </is>
      </c>
      <c r="F18669" t="inlineStr">
        <is>
          <t>Hà Nội</t>
        </is>
      </c>
      <c r="G18669" t="inlineStr">
        <is>
          <t>30-03-2026</t>
        </is>
      </c>
      <c r="H18669" t="inlineStr">
        <is>
          <t>30/03/2026</t>
        </is>
      </c>
      <c r="I18669" t="inlineStr">
        <is>
          <t>17/03/2026</t>
        </is>
      </c>
      <c r="J18669" t="inlineStr">
        <is>
          <t>Trắc địa / Địa Chất, Xây dựng, Bất động sản</t>
        </is>
      </c>
      <c r="K18669" t="inlineStr">
        <is>
          <t>3 - 5 Năm</t>
        </is>
      </c>
      <c r="L18669" s="8">
        <f>HYPERLINK("https://careerviet.vn/vi/tim-viec-lam/ky-su-trac-dac.35C6430D.html","Xem chi tiết")</f>
        <v/>
      </c>
    </row>
    <row r="18670">
      <c r="B18670" s="9" t="n">
        <v>18668</v>
      </c>
      <c r="C18670" s="10" t="inlineStr">
        <is>
          <t>Kỹ sư triển khai phần mềm Tự động hóa</t>
        </is>
      </c>
      <c r="D18670" s="10" t="inlineStr">
        <is>
          <t>Bảo mật</t>
        </is>
      </c>
      <c r="E18670" s="10" t="inlineStr">
        <is>
          <t>Lương:15 Tr - 30 Tr VND</t>
        </is>
      </c>
      <c r="F18670" s="10" t="inlineStr">
        <is>
          <t>Hà Nội</t>
        </is>
      </c>
      <c r="G18670" s="10" t="inlineStr">
        <is>
          <t>30-03-2026</t>
        </is>
      </c>
      <c r="H18670" s="10" t="inlineStr">
        <is>
          <t>30/03/2026</t>
        </is>
      </c>
      <c r="I18670" s="10" t="inlineStr">
        <is>
          <t>17/03/2026</t>
        </is>
      </c>
      <c r="J18670" s="10" t="inlineStr">
        <is>
          <t>Cơ khí / Ô tô / Tự động hóa, Điện / Điện tử / Điện lạnh / Điện công nghiệp</t>
        </is>
      </c>
      <c r="K18670" s="10" t="inlineStr">
        <is>
          <t>1 - 2 Năm</t>
        </is>
      </c>
      <c r="L18670" s="11">
        <f>HYPERLINK("https://careerviet.vn/vi/tim-viec-lam/ky-su-trien-khai-phan-mem-tu-dong-hoa.35C66E25.html","Xem chi tiết")</f>
        <v/>
      </c>
      <c r="M18670" s="10" t="n"/>
    </row>
    <row r="18671">
      <c r="B18671" s="7" t="n">
        <v>18669</v>
      </c>
      <c r="C18671" t="inlineStr">
        <is>
          <t>Giám Đốc Vận Hành</t>
        </is>
      </c>
      <c r="D18671" t="inlineStr">
        <is>
          <t>Công ty TNHH Chế biến thực phẩm Đông Đô</t>
        </is>
      </c>
      <c r="E18671" t="inlineStr">
        <is>
          <t>Lương:Cạnh tranh</t>
        </is>
      </c>
      <c r="F18671" t="inlineStr">
        <is>
          <t>Hà Nội</t>
        </is>
      </c>
      <c r="G18671" t="inlineStr">
        <is>
          <t>30-03-2026</t>
        </is>
      </c>
      <c r="H18671" t="inlineStr">
        <is>
          <t>30/03/2026</t>
        </is>
      </c>
      <c r="I18671" t="inlineStr">
        <is>
          <t>17/03/2026</t>
        </is>
      </c>
      <c r="J18671" t="inlineStr">
        <is>
          <t>Bán hàng / Kinh doanh, Thực phẩm &amp; Đồ uống, Sản xuất / Vận hành sản xuất</t>
        </is>
      </c>
      <c r="K18671" t="inlineStr">
        <is>
          <t>3 - 5 Năm</t>
        </is>
      </c>
      <c r="L18671" s="8">
        <f>HYPERLINK("https://careerviet.vn/vi/tim-viec-lam/giam-doc-van-hanh.35C66E98.html","Xem chi tiết")</f>
        <v/>
      </c>
    </row>
    <row r="18672">
      <c r="B18672" s="9" t="n">
        <v>18670</v>
      </c>
      <c r="C18672" s="10" t="inlineStr">
        <is>
          <t>Chuyên viên Thẩm định giá - Bình Dương</t>
        </is>
      </c>
      <c r="D18672" s="10" t="inlineStr">
        <is>
          <t>CÔNG TY CỔ PHẦN CITICS</t>
        </is>
      </c>
      <c r="E18672" s="10" t="inlineStr">
        <is>
          <t>Lương:Cạnh tranh</t>
        </is>
      </c>
      <c r="F18672" s="10" t="inlineStr">
        <is>
          <t>Bình Dương</t>
        </is>
      </c>
      <c r="G18672" s="10" t="inlineStr">
        <is>
          <t>30-03-2026</t>
        </is>
      </c>
      <c r="H18672" s="10" t="inlineStr">
        <is>
          <t>30/03/2026</t>
        </is>
      </c>
      <c r="I18672" s="10" t="inlineStr">
        <is>
          <t>17/03/2026</t>
        </is>
      </c>
      <c r="J18672" s="10" t="inlineStr">
        <is>
          <t>Bất động sản</t>
        </is>
      </c>
      <c r="K18672" s="10" t="inlineStr">
        <is>
          <t>1 - 2 Năm</t>
        </is>
      </c>
      <c r="L18672" s="11">
        <f>HYPERLINK("https://careerviet.vn/vi/tim-viec-lam/chuyen-vien-tham-dinh-gia-binh-duong.35C66F49.html","Xem chi tiết")</f>
        <v/>
      </c>
      <c r="M18672" s="10" t="n"/>
    </row>
    <row r="18673">
      <c r="B18673" s="7" t="n">
        <v>18671</v>
      </c>
      <c r="C18673" t="inlineStr">
        <is>
          <t>Chuyên viên thu hồi nợ hiện trường Hải Phòng/Vĩnh Phúc/Bắc Ninh - TA140</t>
        </is>
      </c>
      <c r="D18673" t="inlineStr">
        <is>
          <t>Ngân Hàng TMCP Việt Nam Thịnh Vượng - VPBANK</t>
        </is>
      </c>
      <c r="E18673" t="inlineStr">
        <is>
          <t>Lương:Cạnh tranh</t>
        </is>
      </c>
      <c r="F18673" t="inlineStr">
        <is>
          <t>Hải PhòngBắc NinhVĩnh Phúc</t>
        </is>
      </c>
      <c r="G18673" t="inlineStr">
        <is>
          <t>30-03-2026</t>
        </is>
      </c>
      <c r="H18673" t="inlineStr">
        <is>
          <t>30/03/2026</t>
        </is>
      </c>
      <c r="I18673" t="inlineStr">
        <is>
          <t>17/03/2026</t>
        </is>
      </c>
      <c r="J18673" t="inlineStr">
        <is>
          <t>Luật / Pháp lý, Ngân hàng</t>
        </is>
      </c>
      <c r="K18673" t="inlineStr">
        <is>
          <t>N/A</t>
        </is>
      </c>
      <c r="L18673" s="8">
        <f>HYPERLINK("https://careerviet.vn/vi/tim-viec-lam/chuyen-vien-thu-hoi-no-hien-truong-hai-phong-vinh-phuc-bac-ninh-ta140.35C66E69.html","Xem chi tiết")</f>
        <v/>
      </c>
    </row>
    <row r="18674">
      <c r="B18674" s="9" t="n">
        <v>18672</v>
      </c>
      <c r="C18674" s="10" t="inlineStr">
        <is>
          <t>Chuyên viên tuyển dụng</t>
        </is>
      </c>
      <c r="D18674" s="10" t="inlineStr">
        <is>
          <t>VĂN PHÒNG ĐẠI DIỆN JACK TECHNOLOGY CO., LTD. TẠI THÀNH PHỐ HỒ CHÍ MINH</t>
        </is>
      </c>
      <c r="E18674" s="10" t="inlineStr">
        <is>
          <t>Lương:10 Tr - 20 Tr VND</t>
        </is>
      </c>
      <c r="F18674" s="10" t="inlineStr">
        <is>
          <t>Hồ Chí Minh</t>
        </is>
      </c>
      <c r="G18674" s="10" t="inlineStr">
        <is>
          <t>30-03-2026</t>
        </is>
      </c>
      <c r="H18674" s="10" t="inlineStr">
        <is>
          <t>30/03/2026</t>
        </is>
      </c>
      <c r="I18674" s="10" t="inlineStr">
        <is>
          <t>17/03/2026</t>
        </is>
      </c>
      <c r="J18674" s="10" t="inlineStr">
        <is>
          <t>Nhân sự, Sản xuất / Vận hành sản xuất, Dệt may / Da giày / Thời trang</t>
        </is>
      </c>
      <c r="K18674" s="10" t="inlineStr">
        <is>
          <t>5 - 7 Năm</t>
        </is>
      </c>
      <c r="L18674" s="11">
        <f>HYPERLINK("https://careerviet.vn/vi/tim-viec-lam/chuyen-vien-tuyen-dung.35C66F3F.html","Xem chi tiết")</f>
        <v/>
      </c>
      <c r="M18674" s="10" t="n"/>
    </row>
    <row r="18675">
      <c r="B18675" s="7" t="n">
        <v>18673</v>
      </c>
      <c r="C18675" t="inlineStr">
        <is>
          <t>Trưởng phòng Tổ chức Bảo mật và Quản lý Tuân thủ</t>
        </is>
      </c>
      <c r="D18675" t="inlineStr">
        <is>
          <t>Nova Service Group - Công ty Cổ phần Tập đoàn Nova Services</t>
        </is>
      </c>
      <c r="E18675" t="inlineStr">
        <is>
          <t>Lương:Cạnh tranh</t>
        </is>
      </c>
      <c r="F18675" t="inlineStr">
        <is>
          <t>Hồ Chí Minh</t>
        </is>
      </c>
      <c r="G18675" t="inlineStr">
        <is>
          <t>30-03-2026</t>
        </is>
      </c>
      <c r="H18675" t="inlineStr">
        <is>
          <t>30/03/2026</t>
        </is>
      </c>
      <c r="I18675" t="inlineStr">
        <is>
          <t>17/03/2026</t>
        </is>
      </c>
      <c r="J18675" t="inlineStr">
        <is>
          <t>CNTT - Phần mềm</t>
        </is>
      </c>
      <c r="K18675" t="inlineStr">
        <is>
          <t>7 - 10 Năm</t>
        </is>
      </c>
      <c r="L18675" s="8">
        <f>HYPERLINK("https://careerviet.vn/vi/tim-viec-lam/truong-phong-to-chuc-bao-mat-va-quan-ly-tuan-thu.35C63EF6.html","Xem chi tiết")</f>
        <v/>
      </c>
    </row>
    <row r="18676">
      <c r="B18676" s="9" t="n">
        <v>18674</v>
      </c>
      <c r="C18676" s="10" t="inlineStr">
        <is>
          <t>Chuyên viên phân tích tài chính Lương từ 25tr - 35tr/ tháng</t>
        </is>
      </c>
      <c r="D18676" s="10" t="inlineStr">
        <is>
          <t>Công ty CP Scots English Australia</t>
        </is>
      </c>
      <c r="E18676" s="10" t="inlineStr">
        <is>
          <t>Lương:25 Tr - 35 Tr VND</t>
        </is>
      </c>
      <c r="F18676" s="10" t="inlineStr">
        <is>
          <t>Hà Nội</t>
        </is>
      </c>
      <c r="G18676" s="10" t="inlineStr">
        <is>
          <t>Hôm nay</t>
        </is>
      </c>
      <c r="H18676" s="10" t="inlineStr">
        <is>
          <t>17/03/2026</t>
        </is>
      </c>
      <c r="I18676" s="10" t="inlineStr">
        <is>
          <t>17/03/2026</t>
        </is>
      </c>
      <c r="J18676" s="10" t="inlineStr">
        <is>
          <t>Kế toán / Kiểm toán, Ngân hàng, Tài chính / Đầu tư</t>
        </is>
      </c>
      <c r="K18676" s="10" t="inlineStr">
        <is>
          <t>2 - 5 Năm</t>
        </is>
      </c>
      <c r="L18676" s="11">
        <f>HYPERLINK("https://careerviet.vn/vi/tim-viec-lam/chuyen-vien-phan-tich-tai-chinh-luong-tu-25tr-35tr-thang.35C65D8B.html","Xem chi tiết")</f>
        <v/>
      </c>
      <c r="M18676" s="10" t="n"/>
    </row>
    <row r="18677">
      <c r="B18677" s="7" t="n">
        <v>18675</v>
      </c>
      <c r="C18677" t="inlineStr">
        <is>
          <t>WEBSITE DEVELOPER</t>
        </is>
      </c>
      <c r="D18677" t="inlineStr">
        <is>
          <t>CÔNG TY TNHH BRIGHT MARKETING</t>
        </is>
      </c>
      <c r="E18677" t="inlineStr">
        <is>
          <t>Lương:12 Tr - 15 Tr VND</t>
        </is>
      </c>
      <c r="F18677" t="inlineStr">
        <is>
          <t>Hồ Chí Minh</t>
        </is>
      </c>
      <c r="G18677" t="inlineStr">
        <is>
          <t>31-03-2026</t>
        </is>
      </c>
      <c r="H18677" t="inlineStr">
        <is>
          <t>31/03/2026</t>
        </is>
      </c>
      <c r="I18677" t="inlineStr">
        <is>
          <t>17/03/2026</t>
        </is>
      </c>
      <c r="J18677" t="inlineStr">
        <is>
          <t>CNTT - Phần cứng / Mạng, CNTT - Phần mềm</t>
        </is>
      </c>
      <c r="K18677" t="inlineStr">
        <is>
          <t>Trên 1 Năm</t>
        </is>
      </c>
      <c r="L18677" s="8">
        <f>HYPERLINK("https://careerviet.vn/vi/tim-viec-lam/website-developer.35C6A238.html","Xem chi tiết")</f>
        <v/>
      </c>
    </row>
    <row r="18678">
      <c r="B18678" s="9" t="n">
        <v>18676</v>
      </c>
      <c r="C18678" s="10" t="inlineStr">
        <is>
          <t>Marketing Specialist</t>
        </is>
      </c>
      <c r="D18678" s="10" t="inlineStr">
        <is>
          <t>Công ty TNHH Phát triển Phú Mỹ Hưng</t>
        </is>
      </c>
      <c r="E18678" s="10" t="inlineStr">
        <is>
          <t>Lương:Cạnh tranh</t>
        </is>
      </c>
      <c r="F18678" s="10" t="inlineStr">
        <is>
          <t>Hồ Chí Minh</t>
        </is>
      </c>
      <c r="G18678" s="10" t="inlineStr">
        <is>
          <t>1</t>
        </is>
      </c>
      <c r="H18678" s="10" t="inlineStr">
        <is>
          <t>18/03/2026</t>
        </is>
      </c>
      <c r="I18678" s="10" t="inlineStr">
        <is>
          <t>17/03/2026</t>
        </is>
      </c>
      <c r="J18678" s="10" t="inlineStr">
        <is>
          <t>Tiếp thị / Marketing</t>
        </is>
      </c>
      <c r="K18678" s="10" t="inlineStr">
        <is>
          <t>4 - 6 Năm</t>
        </is>
      </c>
      <c r="L18678" s="11">
        <f>HYPERLINK("https://careerviet.vn/vi/tim-viec-lam/marketing-specialist.35C632F7.html","Xem chi tiết")</f>
        <v/>
      </c>
      <c r="M18678" s="10" t="n"/>
    </row>
    <row r="18679">
      <c r="B18679" s="7" t="n">
        <v>18677</v>
      </c>
      <c r="C18679" t="inlineStr">
        <is>
          <t>Sales Admin</t>
        </is>
      </c>
      <c r="D18679" t="inlineStr">
        <is>
          <t>Công ty Cổ Phần Công nghiệp In &amp; Bao Bì Khang</t>
        </is>
      </c>
      <c r="E18679" t="inlineStr">
        <is>
          <t>Lương:12 Tr - 14 Tr VND</t>
        </is>
      </c>
      <c r="F18679" t="inlineStr">
        <is>
          <t>Hồ Chí Minh</t>
        </is>
      </c>
      <c r="G18679" t="inlineStr">
        <is>
          <t>31-03-2026</t>
        </is>
      </c>
      <c r="H18679" t="inlineStr">
        <is>
          <t>31/03/2026</t>
        </is>
      </c>
      <c r="I18679" t="inlineStr">
        <is>
          <t>17/03/2026</t>
        </is>
      </c>
      <c r="J18679" t="inlineStr">
        <is>
          <t>Bán hàng / Kinh doanh, Dịch vụ khách hàng, In ấn / Xuất bản</t>
        </is>
      </c>
      <c r="K18679" t="inlineStr">
        <is>
          <t>2 - 5 Năm</t>
        </is>
      </c>
      <c r="L18679" s="8">
        <f>HYPERLINK("https://careerviet.vn/vi/tim-viec-lam/sales-admin.35C6A11C.html","Xem chi tiết")</f>
        <v/>
      </c>
    </row>
    <row r="18680">
      <c r="B18680" s="9" t="n">
        <v>18678</v>
      </c>
      <c r="C18680" s="10" t="inlineStr">
        <is>
          <t>Chuyên viên Cao Cấp Đầu Tư</t>
        </is>
      </c>
      <c r="D18680" s="10" t="inlineStr">
        <is>
          <t>Công Ty TNHH Đầu Tư Địa Ốc Thành Phố (CityLand)</t>
        </is>
      </c>
      <c r="E18680" s="10" t="inlineStr">
        <is>
          <t>Lương:Cạnh tranh</t>
        </is>
      </c>
      <c r="F18680" s="10" t="inlineStr">
        <is>
          <t>Hồ Chí Minh</t>
        </is>
      </c>
      <c r="G18680" s="10" t="inlineStr">
        <is>
          <t>30-03-2026</t>
        </is>
      </c>
      <c r="H18680" s="10" t="inlineStr">
        <is>
          <t>30/03/2026</t>
        </is>
      </c>
      <c r="I18680" s="10" t="inlineStr">
        <is>
          <t>17/03/2026</t>
        </is>
      </c>
      <c r="J18680" s="10" t="inlineStr">
        <is>
          <t>Kiến trúc, Xây dựng, Bất động sản</t>
        </is>
      </c>
      <c r="K18680" s="10" t="inlineStr">
        <is>
          <t>10 - 20 Năm</t>
        </is>
      </c>
      <c r="L18680" s="11">
        <f>HYPERLINK("https://careerviet.vn/vi/tim-viec-lam/chuyen-vien-cao-cap-dau-tu.35C64324.html","Xem chi tiết")</f>
        <v/>
      </c>
      <c r="M18680" s="10" t="n"/>
    </row>
    <row r="18681">
      <c r="B18681" s="7" t="n">
        <v>18679</v>
      </c>
      <c r="C18681" t="inlineStr">
        <is>
          <t>Frontend developer</t>
        </is>
      </c>
      <c r="D18681" t="inlineStr">
        <is>
          <t>Công ty TNHH Hòa Kiến Nhân</t>
        </is>
      </c>
      <c r="E18681" t="inlineStr">
        <is>
          <t>Lương:10 Tr - 15 Tr VND</t>
        </is>
      </c>
      <c r="F18681" t="inlineStr">
        <is>
          <t>Hồ Chí Minh</t>
        </is>
      </c>
      <c r="G18681" t="inlineStr">
        <is>
          <t>31-03-2026</t>
        </is>
      </c>
      <c r="H18681" t="inlineStr">
        <is>
          <t>31/03/2026</t>
        </is>
      </c>
      <c r="I18681" t="inlineStr">
        <is>
          <t>17/03/2026</t>
        </is>
      </c>
      <c r="J18681" t="inlineStr">
        <is>
          <t>CNTT - Phần mềm, CNTT - Phần cứng / Mạng</t>
        </is>
      </c>
      <c r="K18681" t="inlineStr">
        <is>
          <t>1 - 3 Năm</t>
        </is>
      </c>
      <c r="L18681" s="8">
        <f>HYPERLINK("https://careerviet.vn/vi/tim-viec-lam/frontend-developer.35C6A1CA.html","Xem chi tiết")</f>
        <v/>
      </c>
    </row>
    <row r="18682">
      <c r="B18682" s="9" t="n">
        <v>18680</v>
      </c>
      <c r="C18682" s="10" t="inlineStr">
        <is>
          <t>Backend developer</t>
        </is>
      </c>
      <c r="D18682" s="10" t="inlineStr">
        <is>
          <t>Công ty TNHH Hòa Kiến Nhân</t>
        </is>
      </c>
      <c r="E18682" s="10" t="inlineStr">
        <is>
          <t>Lương:10 Tr - 16 Tr VND</t>
        </is>
      </c>
      <c r="F18682" s="10" t="inlineStr">
        <is>
          <t>Hồ Chí Minh</t>
        </is>
      </c>
      <c r="G18682" s="10" t="inlineStr">
        <is>
          <t>31-03-2026</t>
        </is>
      </c>
      <c r="H18682" s="10" t="inlineStr">
        <is>
          <t>31/03/2026</t>
        </is>
      </c>
      <c r="I18682" s="10" t="inlineStr">
        <is>
          <t>17/03/2026</t>
        </is>
      </c>
      <c r="J18682" s="10" t="inlineStr">
        <is>
          <t>CNTT - Phần mềm, CNTT - Phần cứng / Mạng</t>
        </is>
      </c>
      <c r="K18682" s="10" t="inlineStr">
        <is>
          <t>1 - 5 Năm</t>
        </is>
      </c>
      <c r="L18682" s="11">
        <f>HYPERLINK("https://careerviet.vn/vi/tim-viec-lam/backend-developer.35C6A1CC.html","Xem chi tiết")</f>
        <v/>
      </c>
      <c r="M18682" s="10" t="n"/>
    </row>
    <row r="18683">
      <c r="B18683" s="7" t="n">
        <v>18681</v>
      </c>
      <c r="C18683" t="inlineStr">
        <is>
          <t>Quản lý sản xuất</t>
        </is>
      </c>
      <c r="D18683" t="inlineStr">
        <is>
          <t>Công Ty TNHH Datafa</t>
        </is>
      </c>
      <c r="E18683" t="inlineStr">
        <is>
          <t>Lương:Cạnh tranh</t>
        </is>
      </c>
      <c r="F18683" t="inlineStr">
        <is>
          <t>Bình Dương</t>
        </is>
      </c>
      <c r="G18683" t="inlineStr">
        <is>
          <t>25-05-2026</t>
        </is>
      </c>
      <c r="H18683" t="inlineStr">
        <is>
          <t>25/05/2026</t>
        </is>
      </c>
      <c r="I18683" t="inlineStr">
        <is>
          <t>17/03/2026</t>
        </is>
      </c>
      <c r="J18683" t="inlineStr">
        <is>
          <t>Sản xuất / Vận hành sản xuất</t>
        </is>
      </c>
      <c r="K18683" t="inlineStr">
        <is>
          <t>Chưa có kinh nghiệm</t>
        </is>
      </c>
      <c r="L18683" s="8">
        <f>HYPERLINK("https://careerviet.vn/vi/tim-viec-lam/quan-ly-san-xuat.35C6977B.html","Xem chi tiết")</f>
        <v/>
      </c>
    </row>
    <row r="18684">
      <c r="B18684" s="9" t="n">
        <v>18682</v>
      </c>
      <c r="C18684" s="10" t="inlineStr">
        <is>
          <t>Chuyên viên Phát triển dự án</t>
        </is>
      </c>
      <c r="D18684" s="10" t="inlineStr">
        <is>
          <t>CÔNG TY CỔ PHẦN EUROWINDOW HOLDING</t>
        </is>
      </c>
      <c r="E18684" s="10" t="inlineStr">
        <is>
          <t>Lương:Cạnh tranh</t>
        </is>
      </c>
      <c r="F18684" s="10" t="inlineStr">
        <is>
          <t>Hà Nội</t>
        </is>
      </c>
      <c r="G18684" s="10" t="inlineStr">
        <is>
          <t>29-03-2026</t>
        </is>
      </c>
      <c r="H18684" s="10" t="inlineStr">
        <is>
          <t>29/03/2026</t>
        </is>
      </c>
      <c r="I18684" s="10" t="inlineStr">
        <is>
          <t>17/03/2026</t>
        </is>
      </c>
      <c r="J18684" s="10" t="inlineStr">
        <is>
          <t>Kiến trúc, Xây dựng, Bất động sản</t>
        </is>
      </c>
      <c r="K18684" s="10" t="inlineStr">
        <is>
          <t>5 - 10 Năm</t>
        </is>
      </c>
      <c r="L18684" s="11">
        <f>HYPERLINK("https://careerviet.vn/vi/tim-viec-lam/chuyen-vien-phat-trien-du-an.35C640BB.html","Xem chi tiết")</f>
        <v/>
      </c>
      <c r="M18684" s="10" t="n"/>
    </row>
    <row r="18685">
      <c r="B18685" s="7" t="n">
        <v>18683</v>
      </c>
      <c r="C18685" t="inlineStr">
        <is>
          <t>Trình Dược Viên OTC</t>
        </is>
      </c>
      <c r="D18685" t="inlineStr">
        <is>
          <t>CÔNG TY TNHH ROHTO-MENTHOLATUM (VIỆT NAM)</t>
        </is>
      </c>
      <c r="E18685" t="inlineStr">
        <is>
          <t>Lương:10 Tr - 18 Tr VND</t>
        </is>
      </c>
      <c r="F18685" t="inlineStr">
        <is>
          <t>Hải DươngĐồng Nai</t>
        </is>
      </c>
      <c r="G18685" t="inlineStr">
        <is>
          <t>29-03-2026</t>
        </is>
      </c>
      <c r="H18685" t="inlineStr">
        <is>
          <t>29/03/2026</t>
        </is>
      </c>
      <c r="I18685" t="inlineStr">
        <is>
          <t>17/03/2026</t>
        </is>
      </c>
      <c r="J18685" t="inlineStr">
        <is>
          <t>Bán hàng / Kinh doanh, Dược phẩm/ Hóa Mỹ Phẩm, Hàng gia dụng / Chăm sóc cá nhânBằng cấpTrung cấpĐộ tuổi18 - 38</t>
        </is>
      </c>
      <c r="K18685" t="inlineStr">
        <is>
          <t>N/A</t>
        </is>
      </c>
      <c r="L18685" s="8">
        <f>HYPERLINK("https://careerviet.vn/vi/tim-viec-lam/trinh-duoc-vien-otc.35C64168.html","Xem chi tiết")</f>
        <v/>
      </c>
    </row>
    <row r="18686">
      <c r="B18686" s="9" t="n">
        <v>18684</v>
      </c>
      <c r="C18686" s="10" t="inlineStr">
        <is>
          <t>Intern Sales Logistics</t>
        </is>
      </c>
      <c r="D18686" s="10" t="inlineStr">
        <is>
          <t>Vantage Logistics Corporation</t>
        </is>
      </c>
      <c r="E18686" s="10" t="inlineStr">
        <is>
          <t>Lương:Cạnh tranh</t>
        </is>
      </c>
      <c r="F18686" s="10" t="inlineStr">
        <is>
          <t>Hồ Chí Minh</t>
        </is>
      </c>
      <c r="G18686" s="10" t="inlineStr">
        <is>
          <t>28-03-2026</t>
        </is>
      </c>
      <c r="H18686" s="10" t="inlineStr">
        <is>
          <t>28/03/2026</t>
        </is>
      </c>
      <c r="I18686" s="10" t="inlineStr">
        <is>
          <t>17/03/2026</t>
        </is>
      </c>
      <c r="J18686" s="10" t="inlineStr">
        <is>
          <t>Bán hàng / Kinh doanh, Xuất nhập khẩu, Mới tốt nghiệp / Thực tập</t>
        </is>
      </c>
      <c r="K18686" s="10" t="inlineStr">
        <is>
          <t>N/A</t>
        </is>
      </c>
      <c r="L18686" s="11">
        <f>HYPERLINK("https://careerviet.vn/vi/tim-viec-lam/intern-sales-logistics.35C6A13B.html","Xem chi tiết")</f>
        <v/>
      </c>
      <c r="M18686" s="10" t="n"/>
    </row>
    <row r="18687">
      <c r="B18687" s="7" t="n">
        <v>18685</v>
      </c>
      <c r="C18687" t="inlineStr">
        <is>
          <t>Export Documentation Executive (Temp 12M)</t>
        </is>
      </c>
      <c r="D18687" t="inlineStr">
        <is>
          <t>CÔNG TY TNHH MSC VIỆT NAM</t>
        </is>
      </c>
      <c r="E18687" t="inlineStr">
        <is>
          <t>Lương:Cạnh tranh</t>
        </is>
      </c>
      <c r="F18687" t="inlineStr">
        <is>
          <t>Hồ Chí Minh</t>
        </is>
      </c>
      <c r="G18687" t="inlineStr">
        <is>
          <t>24-03-2026</t>
        </is>
      </c>
      <c r="H18687" t="inlineStr">
        <is>
          <t>24/03/2026</t>
        </is>
      </c>
      <c r="I18687" t="inlineStr">
        <is>
          <t>17/03/2026</t>
        </is>
      </c>
      <c r="J18687" t="inlineStr">
        <is>
          <t>Vận chuyển / Giao nhận / Kho vận, Xuất nhập khẩu, Ngành khác</t>
        </is>
      </c>
      <c r="K18687" t="inlineStr">
        <is>
          <t>1 - 2 Năm</t>
        </is>
      </c>
      <c r="L18687" s="8">
        <f>HYPERLINK("https://careerviet.vn/vi/tim-viec-lam/export-documentation-executive-temp-12m.35C6954B.html","Xem chi tiết")</f>
        <v/>
      </c>
    </row>
    <row r="18688">
      <c r="B18688" s="9" t="n">
        <v>18686</v>
      </c>
      <c r="C18688" s="10" t="inlineStr">
        <is>
          <t>Quản Lý Chuyên Môn nhà máy Đông Dược (Làm việc tại Củ Chi)</t>
        </is>
      </c>
      <c r="D18688" s="10" t="inlineStr">
        <is>
          <t>Công ty TNHH Bình Việt Đức (BIVID)</t>
        </is>
      </c>
      <c r="E18688" s="10" t="inlineStr">
        <is>
          <t>Lương:30 Tr - 45 Tr VND</t>
        </is>
      </c>
      <c r="F18688" s="10" t="inlineStr">
        <is>
          <t>Hồ Chí Minh</t>
        </is>
      </c>
      <c r="G18688" s="10" t="inlineStr">
        <is>
          <t>30-03-2026</t>
        </is>
      </c>
      <c r="H18688" s="10" t="inlineStr">
        <is>
          <t>30/03/2026</t>
        </is>
      </c>
      <c r="I18688" s="10" t="inlineStr">
        <is>
          <t>17/03/2026</t>
        </is>
      </c>
      <c r="J18688" s="10" t="inlineStr">
        <is>
          <t>Dược phẩm/ Hóa Mỹ Phẩm, Y tế / Chăm sóc sức khỏe / Thẩm mỹ / Làm đẹp, Sản xuất / Vận hành sản xuất</t>
        </is>
      </c>
      <c r="K18688" s="10" t="inlineStr">
        <is>
          <t>3 - 15 Năm</t>
        </is>
      </c>
      <c r="L18688" s="11">
        <f>HYPERLINK("https://careerviet.vn/vi/tim-viec-lam/quan-ly-chuyen-mon-nha-may-dong-duoc-lam-viec-tai-cu-chi.35C643E7.html","Xem chi tiết")</f>
        <v/>
      </c>
      <c r="M18688" s="10" t="n"/>
    </row>
    <row r="18689">
      <c r="B18689" s="7" t="n">
        <v>18687</v>
      </c>
      <c r="C18689" t="inlineStr">
        <is>
          <t>Business Analyst (BA) - Có kinh nghiệm phần mềm HIS y tế</t>
        </is>
      </c>
      <c r="D18689" t="inlineStr">
        <is>
          <t>BỆNH VIỆN ĐA KHOA PHƯƠNG ĐÔNG</t>
        </is>
      </c>
      <c r="E18689" t="inlineStr">
        <is>
          <t>Lương:10 Tr - 25 Tr VND</t>
        </is>
      </c>
      <c r="F18689" t="inlineStr">
        <is>
          <t>Hà Nội</t>
        </is>
      </c>
      <c r="G18689" t="inlineStr">
        <is>
          <t>29-03-2026</t>
        </is>
      </c>
      <c r="H18689" t="inlineStr">
        <is>
          <t>29/03/2026</t>
        </is>
      </c>
      <c r="I18689" t="inlineStr">
        <is>
          <t>17/03/2026</t>
        </is>
      </c>
      <c r="J18689" t="inlineStr">
        <is>
          <t>Y tế / Chăm sóc sức khỏe / Thẩm mỹ / Làm đẹp, CNTT - Phần mềm</t>
        </is>
      </c>
      <c r="K18689" t="inlineStr">
        <is>
          <t>N/A</t>
        </is>
      </c>
      <c r="L18689" s="8">
        <f>HYPERLINK("https://careerviet.vn/vi/tim-viec-lam/business-analyst-ba-co-kinh-nghiem-phan-mem-his-y-te.35C6425F.html","Xem chi tiết")</f>
        <v/>
      </c>
    </row>
    <row r="18690">
      <c r="B18690" s="9" t="n">
        <v>18688</v>
      </c>
      <c r="C18690" s="10" t="inlineStr">
        <is>
          <t>Chuyên Viên Quản Trị Hệ Thống</t>
        </is>
      </c>
      <c r="D18690" s="10" t="inlineStr">
        <is>
          <t>CÔNG TY CỔ PHẦN CÔNG NGHIỆP WELDCOM</t>
        </is>
      </c>
      <c r="E18690" s="10" t="inlineStr">
        <is>
          <t>Lương:15 Tr - 25 Tr VND</t>
        </is>
      </c>
      <c r="F18690" s="10" t="inlineStr">
        <is>
          <t>Hà Nội</t>
        </is>
      </c>
      <c r="G18690" s="10" t="inlineStr">
        <is>
          <t>29-03-2026</t>
        </is>
      </c>
      <c r="H18690" s="10" t="inlineStr">
        <is>
          <t>29/03/2026</t>
        </is>
      </c>
      <c r="I18690" s="10" t="inlineStr">
        <is>
          <t>17/03/2026</t>
        </is>
      </c>
      <c r="J18690" s="10" t="inlineStr">
        <is>
          <t>CNTT - Phần mềm, CNTT - Phần cứng / Mạng</t>
        </is>
      </c>
      <c r="K18690" s="10" t="inlineStr">
        <is>
          <t>1 - 3 Năm</t>
        </is>
      </c>
      <c r="L18690" s="11">
        <f>HYPERLINK("https://careerviet.vn/vi/tim-viec-lam/chuyen-vien-quan-tri-he-thong.35C641AD.html","Xem chi tiết")</f>
        <v/>
      </c>
      <c r="M18690" s="10" t="n"/>
    </row>
    <row r="18691">
      <c r="B18691" s="7" t="n">
        <v>18689</v>
      </c>
      <c r="C18691" t="inlineStr">
        <is>
          <t>Lập trình Java (Backend Developer)</t>
        </is>
      </c>
      <c r="D18691" t="inlineStr">
        <is>
          <t>CÔNG TY CỔ PHẦN CHỨNG KHOÁN ASEAN</t>
        </is>
      </c>
      <c r="E18691" t="inlineStr">
        <is>
          <t>Lương:Cạnh tranh</t>
        </is>
      </c>
      <c r="F18691" t="inlineStr">
        <is>
          <t>Hà Nội</t>
        </is>
      </c>
      <c r="G18691" t="inlineStr">
        <is>
          <t>29-03-2026</t>
        </is>
      </c>
      <c r="H18691" t="inlineStr">
        <is>
          <t>29/03/2026</t>
        </is>
      </c>
      <c r="I18691" t="inlineStr">
        <is>
          <t>17/03/2026</t>
        </is>
      </c>
      <c r="J18691" t="inlineStr">
        <is>
          <t>Ngân hàng, Chứng khoán, CNTT - Phần mềm</t>
        </is>
      </c>
      <c r="K18691" t="inlineStr">
        <is>
          <t>Trên 2 Năm</t>
        </is>
      </c>
      <c r="L18691" s="8">
        <f>HYPERLINK("https://careerviet.vn/vi/tim-viec-lam/lap-trinh-java-backend-developer.35C642B6.html","Xem chi tiết")</f>
        <v/>
      </c>
    </row>
    <row r="18692">
      <c r="B18692" s="9" t="n">
        <v>18690</v>
      </c>
      <c r="C18692" s="10" t="inlineStr">
        <is>
          <t>Giám Sát Sự Kiện (Event Supervisor)</t>
        </is>
      </c>
      <c r="D18692" s="10" t="inlineStr">
        <is>
          <t>CÔNG TY TNHH DB HOME</t>
        </is>
      </c>
      <c r="E18692" s="10" t="inlineStr">
        <is>
          <t>Lương:Cạnh tranh</t>
        </is>
      </c>
      <c r="F18692" s="10" t="inlineStr">
        <is>
          <t>Hưng Yên</t>
        </is>
      </c>
      <c r="G18692" s="10" t="inlineStr">
        <is>
          <t>29-03-2026</t>
        </is>
      </c>
      <c r="H18692" s="10" t="inlineStr">
        <is>
          <t>29/03/2026</t>
        </is>
      </c>
      <c r="I18692" s="10" t="inlineStr">
        <is>
          <t>17/03/2026</t>
        </is>
      </c>
      <c r="J18692" s="10" t="inlineStr">
        <is>
          <t>Tiếp thị / Marketing, Quản lý điều hành, Tổ chức sự kiện</t>
        </is>
      </c>
      <c r="K18692" s="10" t="inlineStr">
        <is>
          <t>Trên 2 Năm</t>
        </is>
      </c>
      <c r="L18692" s="11">
        <f>HYPERLINK("https://careerviet.vn/vi/tim-viec-lam/giam-sat-su-kien-event-supervisor.35C641F4.html","Xem chi tiết")</f>
        <v/>
      </c>
      <c r="M18692" s="10" t="n"/>
    </row>
    <row r="18693">
      <c r="B18693" s="7" t="n">
        <v>18691</v>
      </c>
      <c r="C18693" t="inlineStr">
        <is>
          <t>Đào Tạo &amp; Truyền Thông Nội Bộ</t>
        </is>
      </c>
      <c r="D18693" t="inlineStr">
        <is>
          <t>CÔNG TY CỔ PHẦN TẬP ĐOÀN THÀNH NAM</t>
        </is>
      </c>
      <c r="E18693" t="inlineStr">
        <is>
          <t>Lương:10 Tr - 15 Tr VND</t>
        </is>
      </c>
      <c r="F18693" t="inlineStr">
        <is>
          <t>Hà Nội</t>
        </is>
      </c>
      <c r="G18693" t="inlineStr">
        <is>
          <t>29-03-2026</t>
        </is>
      </c>
      <c r="H18693" t="inlineStr">
        <is>
          <t>29/03/2026</t>
        </is>
      </c>
      <c r="I18693" t="inlineStr">
        <is>
          <t>17/03/2026</t>
        </is>
      </c>
      <c r="J18693" t="inlineStr">
        <is>
          <t>Hành chính / Thư ký, Quản lý điều hành, Nhân sự</t>
        </is>
      </c>
      <c r="K18693" t="inlineStr">
        <is>
          <t>1 - 2 Năm</t>
        </is>
      </c>
      <c r="L18693" s="8">
        <f>HYPERLINK("https://careerviet.vn/vi/tim-viec-lam/dao-tao-truyen-thong-noi-bo.35C640AD.html","Xem chi tiết")</f>
        <v/>
      </c>
    </row>
    <row r="18694">
      <c r="B18694" s="9" t="n">
        <v>18692</v>
      </c>
      <c r="C18694" s="10" t="inlineStr">
        <is>
          <t>OPS ENGINEER</t>
        </is>
      </c>
      <c r="D18694" s="10" t="inlineStr">
        <is>
          <t>Công ty TNHH Sài Gòn Stec</t>
        </is>
      </c>
      <c r="E18694" s="10" t="inlineStr">
        <is>
          <t>Lương:15 Tr - 23 Tr VND</t>
        </is>
      </c>
      <c r="F18694" s="10" t="inlineStr">
        <is>
          <t>Bình Dương</t>
        </is>
      </c>
      <c r="G18694" s="10" t="inlineStr">
        <is>
          <t>29-03-2026</t>
        </is>
      </c>
      <c r="H18694" s="10" t="inlineStr">
        <is>
          <t>29/03/2026</t>
        </is>
      </c>
      <c r="I18694" s="10" t="inlineStr">
        <is>
          <t>17/03/2026</t>
        </is>
      </c>
      <c r="J18694" s="10" t="inlineStr">
        <is>
          <t>Cơ khí / Ô tô / Tự động hóa, Điện / Điện tử / Điện lạnh / Điện công nghiệp</t>
        </is>
      </c>
      <c r="K18694" s="10" t="inlineStr">
        <is>
          <t>1 - 3 Năm</t>
        </is>
      </c>
      <c r="L18694" s="11">
        <f>HYPERLINK("https://careerviet.vn/vi/tim-viec-lam/ops-engineer.35C6418B.html","Xem chi tiết")</f>
        <v/>
      </c>
      <c r="M18694" s="10" t="n"/>
    </row>
    <row r="18695">
      <c r="B18695" s="7" t="n">
        <v>18693</v>
      </c>
      <c r="C18695" t="inlineStr">
        <is>
          <t>Giám Sát An Toàn Lao Động</t>
        </is>
      </c>
      <c r="D18695" t="inlineStr">
        <is>
          <t>CÔNG TY TRÁCH NHIỆM HỮU HẠN R.P</t>
        </is>
      </c>
      <c r="E18695" t="inlineStr">
        <is>
          <t>Lương:Cạnh tranh</t>
        </is>
      </c>
      <c r="F18695" t="inlineStr">
        <is>
          <t>Hải Phòng</t>
        </is>
      </c>
      <c r="G18695" t="inlineStr">
        <is>
          <t>29-03-2026</t>
        </is>
      </c>
      <c r="H18695" t="inlineStr">
        <is>
          <t>29/03/2026</t>
        </is>
      </c>
      <c r="I18695" t="inlineStr">
        <is>
          <t>17/03/2026</t>
        </is>
      </c>
      <c r="J18695" t="inlineStr">
        <is>
          <t>Xây dựng, Quản lý điều hành, An toàn lao động</t>
        </is>
      </c>
      <c r="K18695" t="inlineStr">
        <is>
          <t>N/A</t>
        </is>
      </c>
      <c r="L18695" s="8">
        <f>HYPERLINK("https://careerviet.vn/vi/tim-viec-lam/giam-sat-an-toan-lao-dong.35C6418D.html","Xem chi tiết")</f>
        <v/>
      </c>
    </row>
    <row r="18696">
      <c r="B18696" s="9" t="n">
        <v>18694</v>
      </c>
      <c r="C18696" s="10" t="inlineStr">
        <is>
          <t>Tax Specialist</t>
        </is>
      </c>
      <c r="D18696" s="10" t="inlineStr">
        <is>
          <t>Vietnam Star Automobile</t>
        </is>
      </c>
      <c r="E18696" s="10" t="inlineStr">
        <is>
          <t>Lương:20 Tr - 25 Tr VND</t>
        </is>
      </c>
      <c r="F18696" s="10" t="inlineStr">
        <is>
          <t>Hồ Chí Minh</t>
        </is>
      </c>
      <c r="G18696" s="10" t="inlineStr">
        <is>
          <t>29-03-2026</t>
        </is>
      </c>
      <c r="H18696" s="10" t="inlineStr">
        <is>
          <t>29/03/2026</t>
        </is>
      </c>
      <c r="I18696" s="10" t="inlineStr">
        <is>
          <t>17/03/2026</t>
        </is>
      </c>
      <c r="J18696" s="10" t="inlineStr">
        <is>
          <t>Bán hàng / Kinh doanh, Dịch vụ khách hàng, Kế toán / Kiểm toán</t>
        </is>
      </c>
      <c r="K18696" s="10" t="inlineStr">
        <is>
          <t>3 - 5 Năm</t>
        </is>
      </c>
      <c r="L18696" s="11">
        <f>HYPERLINK("https://careerviet.vn/vi/tim-viec-lam/tax-specialist.35C6422D.html","Xem chi tiết")</f>
        <v/>
      </c>
      <c r="M18696" s="10" t="n"/>
    </row>
    <row r="18697">
      <c r="B18697" s="7" t="n">
        <v>18695</v>
      </c>
      <c r="C18697" t="inlineStr">
        <is>
          <t>Chuyên Viên Dịch Vụ Khách Hàng</t>
        </is>
      </c>
      <c r="D18697" t="inlineStr">
        <is>
          <t>CÔNG TY CỔ PHẦN CHỨNG KHOÁN ASEAN</t>
        </is>
      </c>
      <c r="E18697" t="inlineStr">
        <is>
          <t>Lương:Cạnh tranh</t>
        </is>
      </c>
      <c r="F18697" t="inlineStr">
        <is>
          <t>Hà Nội</t>
        </is>
      </c>
      <c r="G18697" t="inlineStr">
        <is>
          <t>29-03-2026</t>
        </is>
      </c>
      <c r="H18697" t="inlineStr">
        <is>
          <t>29/03/2026</t>
        </is>
      </c>
      <c r="I18697" t="inlineStr">
        <is>
          <t>17/03/2026</t>
        </is>
      </c>
      <c r="J18697" t="inlineStr">
        <is>
          <t>Dịch vụ khách hàng, Chứng khoán, Tài chính / Đầu tư</t>
        </is>
      </c>
      <c r="K18697" t="inlineStr">
        <is>
          <t>Trên 1 Năm</t>
        </is>
      </c>
      <c r="L18697" s="8">
        <f>HYPERLINK("https://careerviet.vn/vi/tim-viec-lam/chuyen-vien-dich-vu-khach-hang.35C642B5.html","Xem chi tiết")</f>
        <v/>
      </c>
    </row>
    <row r="18698">
      <c r="B18698" s="9" t="n">
        <v>18696</v>
      </c>
      <c r="C18698" s="10" t="inlineStr">
        <is>
          <t>Beauty Consultant (Japanese speaker)/Tư Vấn Viên Thẩm Mỹ Tiếng Nhật - Rohto Aohal Clinic</t>
        </is>
      </c>
      <c r="D18698" s="10" t="inlineStr">
        <is>
          <t>CÔNG TY TNHH ROHTO-MENTHOLATUM (VIỆT NAM)</t>
        </is>
      </c>
      <c r="E18698" s="10" t="inlineStr">
        <is>
          <t>Lương:10 Tr - 15 Tr VND</t>
        </is>
      </c>
      <c r="F18698" s="10" t="inlineStr">
        <is>
          <t>Hồ Chí Minh</t>
        </is>
      </c>
      <c r="G18698" s="10" t="inlineStr">
        <is>
          <t>29-03-2026</t>
        </is>
      </c>
      <c r="H18698" s="10" t="inlineStr">
        <is>
          <t>29/03/2026</t>
        </is>
      </c>
      <c r="I18698" s="10" t="inlineStr">
        <is>
          <t>17/03/2026</t>
        </is>
      </c>
      <c r="J18698" s="10" t="inlineStr">
        <is>
          <t>Y tế / Chăm sóc sức khỏe / Thẩm mỹ / Làm đẹp, Dịch vụ khách hàng, Biên phiên dịchBằng cấpTrung họcĐộ tuổiKhông giới hạn tuổi</t>
        </is>
      </c>
      <c r="K18698" s="10" t="inlineStr">
        <is>
          <t>N/A</t>
        </is>
      </c>
      <c r="L18698" s="11">
        <f>HYPERLINK("https://careerviet.vn/vi/tim-viec-lam/beauty-consultant-japanese-speaker-tu-van-vien-tham-my-tieng-nhat-rohto-aohal-clinic.35C64159.html","Xem chi tiết")</f>
        <v/>
      </c>
      <c r="M18698" s="10" t="n"/>
    </row>
    <row r="18699">
      <c r="B18699" s="7" t="n">
        <v>18697</v>
      </c>
      <c r="C18699" t="inlineStr">
        <is>
          <t>CTV Điều Phối Sân Bay và Điểm đậu đỗ</t>
        </is>
      </c>
      <c r="D18699" t="inlineStr">
        <is>
          <t>CÔNG TY CỔ PHẦN DI CHUYỂN VÀ THÔNG MINH GSM</t>
        </is>
      </c>
      <c r="E18699" t="inlineStr">
        <is>
          <t>Lương:10 Tr - 16 Tr VND</t>
        </is>
      </c>
      <c r="F18699" t="inlineStr">
        <is>
          <t>Hồ Chí MinhĐà NẵngKhánh Hòa</t>
        </is>
      </c>
      <c r="G18699" t="inlineStr">
        <is>
          <t>29-03-2026</t>
        </is>
      </c>
      <c r="H18699" t="inlineStr">
        <is>
          <t>29/03/2026</t>
        </is>
      </c>
      <c r="I18699" t="inlineStr">
        <is>
          <t>17/03/2026</t>
        </is>
      </c>
      <c r="J18699" t="inlineStr">
        <is>
          <t>Vận chuyển / Giao nhận / Kho vận, Lao động phổ thông, Mới tốt nghiệp / Thực tập</t>
        </is>
      </c>
      <c r="K18699" t="inlineStr">
        <is>
          <t>3 - 10 Năm</t>
        </is>
      </c>
      <c r="L18699" s="8">
        <f>HYPERLINK("https://careerviet.vn/vi/tim-viec-lam/ctv-dieu-phoi-san-bay-va-diem-dau-do.35C63FA1.html","Xem chi tiết")</f>
        <v/>
      </c>
    </row>
    <row r="18700">
      <c r="B18700" s="9" t="n">
        <v>18698</v>
      </c>
      <c r="C18700" s="10" t="inlineStr">
        <is>
          <t>Chuyên viên Kỹ thuật Kinh doanh (Làm việc tại Tây Ninh/Gia Lai))</t>
        </is>
      </c>
      <c r="D18700" s="10" t="inlineStr">
        <is>
          <t>Công ty CP Thành Thành Công - Biên Hòa</t>
        </is>
      </c>
      <c r="E18700" s="10" t="inlineStr">
        <is>
          <t>Lương:Cạnh tranh</t>
        </is>
      </c>
      <c r="F18700" s="10" t="inlineStr">
        <is>
          <t>Tây Ninh</t>
        </is>
      </c>
      <c r="G18700" s="10" t="inlineStr">
        <is>
          <t>30-03-2026</t>
        </is>
      </c>
      <c r="H18700" s="10" t="inlineStr">
        <is>
          <t>30/03/2026</t>
        </is>
      </c>
      <c r="I18700" s="10" t="inlineStr">
        <is>
          <t>17/03/2026</t>
        </is>
      </c>
      <c r="J18700" s="10" t="inlineStr">
        <is>
          <t>Bán hàng / Kinh doanh, Nông nghiệp</t>
        </is>
      </c>
      <c r="K18700" s="10" t="inlineStr">
        <is>
          <t>1 - 2 Năm</t>
        </is>
      </c>
      <c r="L18700" s="11">
        <f>HYPERLINK("https://careerviet.vn/vi/tim-viec-lam/chuyen-vien-ky-thuat-kinh-doanh-lam-viec-tai-tay-ninh-gia-lai.35C66E4E.html","Xem chi tiết")</f>
        <v/>
      </c>
      <c r="M18700" s="10" t="n"/>
    </row>
    <row r="18701">
      <c r="B18701" s="7" t="n">
        <v>18699</v>
      </c>
      <c r="C18701" t="inlineStr">
        <is>
          <t>[Dự án quốc tế] Giáo viên dạy chương trình khởi nghiệp ESB</t>
        </is>
      </c>
      <c r="D18701" t="inlineStr">
        <is>
          <t>Công ty CP IIG Việt Nam</t>
        </is>
      </c>
      <c r="E18701" t="inlineStr">
        <is>
          <t>Lương:Cạnh tranh</t>
        </is>
      </c>
      <c r="F18701" t="inlineStr">
        <is>
          <t>Hà Nội</t>
        </is>
      </c>
      <c r="G18701" t="inlineStr">
        <is>
          <t>29-03-2026</t>
        </is>
      </c>
      <c r="H18701" t="inlineStr">
        <is>
          <t>29/03/2026</t>
        </is>
      </c>
      <c r="I18701" t="inlineStr">
        <is>
          <t>17/03/2026</t>
        </is>
      </c>
      <c r="J18701" t="inlineStr">
        <is>
          <t>Tiếp thị / Marketing, Bán hàng / Kinh doanh, Giáo dục / Đào tạo</t>
        </is>
      </c>
      <c r="K18701" t="inlineStr">
        <is>
          <t>3 - 4 Năm</t>
        </is>
      </c>
      <c r="L18701" s="8">
        <f>HYPERLINK("https://careerviet.vn/vi/tim-viec-lam/du-an-quoc-te-giao-vien-day-chuong-trinh-khoi-nghiep-esb.35C64258.html","Xem chi tiết")</f>
        <v/>
      </c>
    </row>
    <row r="18702">
      <c r="B18702" s="9" t="n">
        <v>18700</v>
      </c>
      <c r="C18702" s="10" t="inlineStr">
        <is>
          <t>NHÂN VIÊN LIVESTREAM</t>
        </is>
      </c>
      <c r="D18702" s="10" t="inlineStr">
        <is>
          <t>CÔNG TY TNHH XUẤT NHẬP KHẨU RUTOP VIỆT NAM - Thương Hiệu Toptotoes</t>
        </is>
      </c>
      <c r="E18702" s="10" t="inlineStr">
        <is>
          <t>Lương:12 Tr - 20 Tr VND</t>
        </is>
      </c>
      <c r="F18702" s="10" t="inlineStr">
        <is>
          <t>Hồ Chí Minh</t>
        </is>
      </c>
      <c r="G18702" s="10" t="inlineStr">
        <is>
          <t>29-03-2026</t>
        </is>
      </c>
      <c r="H18702" s="10" t="inlineStr">
        <is>
          <t>29/03/2026</t>
        </is>
      </c>
      <c r="I18702" s="10" t="inlineStr">
        <is>
          <t>17/03/2026</t>
        </is>
      </c>
      <c r="J18702" s="10" t="inlineStr">
        <is>
          <t>Quảng cáo / Đối ngoại / Truyền Thông, Tiếp thị / Marketing, Dược phẩm/ Hóa Mỹ Phẩm</t>
        </is>
      </c>
      <c r="K18702" s="10" t="inlineStr">
        <is>
          <t>1 - 2 Năm</t>
        </is>
      </c>
      <c r="L18702" s="11">
        <f>HYPERLINK("https://careerviet.vn/vi/tim-viec-lam/nhan-vien-livestream.35C64273.html","Xem chi tiết")</f>
        <v/>
      </c>
      <c r="M18702" s="10" t="n"/>
    </row>
    <row r="18703">
      <c r="B18703" s="7" t="n">
        <v>18701</v>
      </c>
      <c r="C18703" t="inlineStr">
        <is>
          <t>Nhân Viên Tư Vấn Bán Hàng Sữa Dinh Dưỡng (Quận 12-Thu Nhập Ổn Định Từ 10 triệu/tháng - Nguồn Khách Hàng Có Sẵn, Làm Tại Văn Phòng)</t>
        </is>
      </c>
      <c r="D18703" t="inlineStr">
        <is>
          <t>Vietnam Concentrix Services Company Limited</t>
        </is>
      </c>
      <c r="E18703" t="inlineStr">
        <is>
          <t>Lương:7 Tr - 20 Tr VND</t>
        </is>
      </c>
      <c r="F18703" t="inlineStr">
        <is>
          <t>Hồ Chí Minh</t>
        </is>
      </c>
      <c r="G18703" t="inlineStr">
        <is>
          <t>29-03-2026</t>
        </is>
      </c>
      <c r="H18703" t="inlineStr">
        <is>
          <t>29/03/2026</t>
        </is>
      </c>
      <c r="I18703" t="inlineStr">
        <is>
          <t>17/03/2026</t>
        </is>
      </c>
      <c r="J18703" t="inlineStr">
        <is>
          <t>Bán hàng / Kinh doanh, Tiếp thị trực tuyến, Tư vấn</t>
        </is>
      </c>
      <c r="K18703" t="inlineStr">
        <is>
          <t>Chưa có kinh nghiệm</t>
        </is>
      </c>
      <c r="L18703" s="8">
        <f>HYPERLINK("https://careerviet.vn/vi/tim-viec-lam/nhan-vien-tu-van-ban-hang-sua-dinh-duong-quan-12-thu-nhap-on-dinh-tu-10-trieu-thang-nguon-khach-hang-co-san-lam-tai-van-phong.35C64197.html","Xem chi tiết")</f>
        <v/>
      </c>
    </row>
    <row r="18704">
      <c r="B18704" s="9" t="n">
        <v>18702</v>
      </c>
      <c r="C18704" s="10" t="inlineStr">
        <is>
          <t>Nhân Viên Quay Dựng/Media</t>
        </is>
      </c>
      <c r="D18704" s="10" t="inlineStr">
        <is>
          <t>HỆ THỐNG KÍNH MẮT ANNA</t>
        </is>
      </c>
      <c r="E18704" s="10" t="inlineStr">
        <is>
          <t>Lương:12 Tr - 16 Tr VND</t>
        </is>
      </c>
      <c r="F18704" s="10" t="inlineStr">
        <is>
          <t>Hà Nội</t>
        </is>
      </c>
      <c r="G18704" s="10" t="inlineStr">
        <is>
          <t>30-03-2026</t>
        </is>
      </c>
      <c r="H18704" s="10" t="inlineStr">
        <is>
          <t>30/03/2026</t>
        </is>
      </c>
      <c r="I18704" s="10" t="inlineStr">
        <is>
          <t>17/03/2026</t>
        </is>
      </c>
      <c r="J18704" s="10" t="inlineStr">
        <is>
          <t>Tiếp thị / Marketing</t>
        </is>
      </c>
      <c r="K18704" s="10" t="inlineStr">
        <is>
          <t>Trên 1 Năm</t>
        </is>
      </c>
      <c r="L18704" s="11">
        <f>HYPERLINK("https://careerviet.vn/vi/tim-viec-lam/nhan-vien-quay-dung-media.35C64400.html","Xem chi tiết")</f>
        <v/>
      </c>
      <c r="M18704" s="10" t="n"/>
    </row>
    <row r="18705">
      <c r="B18705" s="7" t="n">
        <v>18703</v>
      </c>
      <c r="C18705" t="inlineStr">
        <is>
          <t>Upholstery Production Supervisor</t>
        </is>
      </c>
      <c r="D18705" t="inlineStr">
        <is>
          <t>CÔNG TY TNHH WGR INDUSTRIES</t>
        </is>
      </c>
      <c r="E18705" t="inlineStr">
        <is>
          <t>Lương:Cạnh tranh</t>
        </is>
      </c>
      <c r="F18705" t="inlineStr">
        <is>
          <t>Bình Định</t>
        </is>
      </c>
      <c r="G18705" t="inlineStr">
        <is>
          <t>30-03-2026</t>
        </is>
      </c>
      <c r="H18705" t="inlineStr">
        <is>
          <t>30/03/2026</t>
        </is>
      </c>
      <c r="I18705" t="inlineStr">
        <is>
          <t>17/03/2026</t>
        </is>
      </c>
      <c r="J18705" t="inlineStr">
        <is>
          <t>Sản xuất / Vận hành sản xuất, Đồ gỗ, Nội ngoại thất</t>
        </is>
      </c>
      <c r="K18705" t="inlineStr">
        <is>
          <t>5 - 10 Năm</t>
        </is>
      </c>
      <c r="L18705" s="8">
        <f>HYPERLINK("https://careerviet.vn/vi/tim-viec-lam/upholstery-production-supervisor.35C63C86.html","Xem chi tiết")</f>
        <v/>
      </c>
    </row>
    <row r="18706">
      <c r="B18706" s="9" t="n">
        <v>18704</v>
      </c>
      <c r="C18706" s="10" t="inlineStr">
        <is>
          <t>Senior Treasury Accountant</t>
        </is>
      </c>
      <c r="D18706" s="10" t="inlineStr">
        <is>
          <t>Công ty TNHH Onpoint</t>
        </is>
      </c>
      <c r="E18706" s="10" t="inlineStr">
        <is>
          <t>Lương:Cạnh tranh</t>
        </is>
      </c>
      <c r="F18706" s="10" t="inlineStr">
        <is>
          <t>Hồ Chí Minh</t>
        </is>
      </c>
      <c r="G18706" s="10" t="inlineStr">
        <is>
          <t>30-03-2026</t>
        </is>
      </c>
      <c r="H18706" s="10" t="inlineStr">
        <is>
          <t>30/03/2026</t>
        </is>
      </c>
      <c r="I18706" s="10" t="inlineStr">
        <is>
          <t>17/03/2026</t>
        </is>
      </c>
      <c r="J18706" s="10" t="inlineStr">
        <is>
          <t>Kế toán / Kiểm toán, Ngân hàng, Tài chính / Đầu tư</t>
        </is>
      </c>
      <c r="K18706" s="10" t="inlineStr">
        <is>
          <t>Trên 4 Năm</t>
        </is>
      </c>
      <c r="L18706" s="11">
        <f>HYPERLINK("https://careerviet.vn/vi/tim-viec-lam/senior-treasury-accountant.35C6443A.html","Xem chi tiết")</f>
        <v/>
      </c>
      <c r="M18706" s="10" t="n"/>
    </row>
    <row r="18707">
      <c r="B18707" s="7" t="n">
        <v>18705</v>
      </c>
      <c r="C18707" t="inlineStr">
        <is>
          <t>Nhân Viên Kỹ Thuật Lắp Ráp Cơ Khí</t>
        </is>
      </c>
      <c r="D18707" t="inlineStr">
        <is>
          <t>CÔNG TY TNHH GIẢI PHÁP Y SINH ABT</t>
        </is>
      </c>
      <c r="E18707" t="inlineStr">
        <is>
          <t>Lương:Cạnh tranh</t>
        </is>
      </c>
      <c r="F18707" t="inlineStr">
        <is>
          <t>Tây Ninh</t>
        </is>
      </c>
      <c r="G18707" t="inlineStr">
        <is>
          <t>30-03-2026</t>
        </is>
      </c>
      <c r="H18707" t="inlineStr">
        <is>
          <t>30/03/2026</t>
        </is>
      </c>
      <c r="I18707" t="inlineStr">
        <is>
          <t>17/03/2026</t>
        </is>
      </c>
      <c r="J18707" t="inlineStr">
        <is>
          <t>Cơ khí / Ô tô / Tự động hóa, Bảo trì / Sửa chữa, Điện / Điện tử / Điện lạnh / Điện công nghiệp</t>
        </is>
      </c>
      <c r="K18707" t="inlineStr">
        <is>
          <t>N/A</t>
        </is>
      </c>
      <c r="L18707" s="8">
        <f>HYPERLINK("https://careerviet.vn/vi/tim-viec-lam/nhan-vien-ky-thuat-lap-rap-co-khi.35C66F97.html","Xem chi tiết")</f>
        <v/>
      </c>
    </row>
    <row r="18708">
      <c r="B18708" s="9" t="n">
        <v>18706</v>
      </c>
      <c r="C18708" s="10" t="inlineStr">
        <is>
          <t>Sales Admin</t>
        </is>
      </c>
      <c r="D18708" s="10" t="inlineStr">
        <is>
          <t>Công Ty TNHH Quốc Tế Anh Duy</t>
        </is>
      </c>
      <c r="E18708" s="10" t="inlineStr">
        <is>
          <t>Lương:Cạnh tranh</t>
        </is>
      </c>
      <c r="F18708" s="10" t="inlineStr">
        <is>
          <t>Hồ Chí Minh</t>
        </is>
      </c>
      <c r="G18708" s="10" t="inlineStr">
        <is>
          <t>30-03-2026</t>
        </is>
      </c>
      <c r="H18708" s="10" t="inlineStr">
        <is>
          <t>30/03/2026</t>
        </is>
      </c>
      <c r="I18708" s="10" t="inlineStr">
        <is>
          <t>17/03/2026</t>
        </is>
      </c>
      <c r="J18708" s="10" t="inlineStr">
        <is>
          <t>Bán hàng / Kinh doanh, Bán Hàng Kỹ Thuật</t>
        </is>
      </c>
      <c r="K18708" s="10" t="inlineStr">
        <is>
          <t>1 - 2 Năm</t>
        </is>
      </c>
      <c r="L18708" s="11">
        <f>HYPERLINK("https://careerviet.vn/vi/tim-viec-lam/sales-admin.35C66E47.html","Xem chi tiết")</f>
        <v/>
      </c>
      <c r="M18708" s="10" t="n"/>
    </row>
    <row r="18709">
      <c r="B18709" s="7" t="n">
        <v>18707</v>
      </c>
      <c r="C18709" t="inlineStr">
        <is>
          <t>Chuyên viên cao cấp Triển khai và Vận hành Ứng dụng</t>
        </is>
      </c>
      <c r="D18709" t="inlineStr">
        <is>
          <t>Nova Service Group - Công ty Cổ phần Tập đoàn Nova Services</t>
        </is>
      </c>
      <c r="E18709" t="inlineStr">
        <is>
          <t>Lương:Cạnh tranh</t>
        </is>
      </c>
      <c r="F18709" t="inlineStr">
        <is>
          <t>Hồ Chí Minh</t>
        </is>
      </c>
      <c r="G18709" t="inlineStr">
        <is>
          <t>30-03-2026</t>
        </is>
      </c>
      <c r="H18709" t="inlineStr">
        <is>
          <t>30/03/2026</t>
        </is>
      </c>
      <c r="I18709" t="inlineStr">
        <is>
          <t>17/03/2026</t>
        </is>
      </c>
      <c r="J18709" t="inlineStr">
        <is>
          <t>CNTT - Phần mềm, CNTT - Phần cứng / Mạng</t>
        </is>
      </c>
      <c r="K18709" t="inlineStr">
        <is>
          <t>4 - 6 Năm</t>
        </is>
      </c>
      <c r="L18709" s="8">
        <f>HYPERLINK("https://careerviet.vn/vi/tim-viec-lam/chuyen-vien-cao-cap-trien-khai-va-van-hanh-ung-dung.35C63C4C.html","Xem chi tiết")</f>
        <v/>
      </c>
    </row>
    <row r="18710">
      <c r="B18710" s="9" t="n">
        <v>18708</v>
      </c>
      <c r="C18710" s="10" t="inlineStr">
        <is>
          <t>KV Tây Nam Bộ - Giám đốc/Chuyên viên Quan hệ khách hàng Cá nhân</t>
        </is>
      </c>
      <c r="D18710" s="10" t="inlineStr">
        <is>
          <t>BVBank - Ngân hàng Bản Việt</t>
        </is>
      </c>
      <c r="E18710" s="10" t="inlineStr">
        <is>
          <t>Lương:Cạnh tranh</t>
        </is>
      </c>
      <c r="F18710" s="10" t="inlineStr">
        <is>
          <t>Đồng ThápAn GiangCần Thơ</t>
        </is>
      </c>
      <c r="G18710" s="10" t="inlineStr">
        <is>
          <t>30-03-2026</t>
        </is>
      </c>
      <c r="H18710" s="10" t="inlineStr">
        <is>
          <t>30/03/2026</t>
        </is>
      </c>
      <c r="I18710" s="10" t="inlineStr">
        <is>
          <t>17/03/2026</t>
        </is>
      </c>
      <c r="J18710" s="10" t="inlineStr">
        <is>
          <t>Ngân hàng, Tài chính / Đầu tư, Bán hàng / Kinh doanh</t>
        </is>
      </c>
      <c r="K18710" s="10" t="inlineStr">
        <is>
          <t>1 - 2 Năm</t>
        </is>
      </c>
      <c r="L18710" s="11">
        <f>HYPERLINK("https://careerviet.vn/vi/tim-viec-lam/kv-tay-nam-bo-giam-doc-chuyen-vien-quan-he-khach-hang-ca-nhan.35C643F7.html","Xem chi tiết")</f>
        <v/>
      </c>
      <c r="M18710" s="10" t="n"/>
    </row>
    <row r="18711">
      <c r="B18711" s="7" t="n">
        <v>18709</v>
      </c>
      <c r="C18711" t="inlineStr">
        <is>
          <t>Chuyên viên Kế toán</t>
        </is>
      </c>
      <c r="D18711" t="inlineStr">
        <is>
          <t>CÔNG TY TNHH TRỐNG ĐỒNG VIỆT NAM</t>
        </is>
      </c>
      <c r="E18711" t="inlineStr">
        <is>
          <t>Lương:12 Tr - 14 Tr VND</t>
        </is>
      </c>
      <c r="F18711" t="inlineStr">
        <is>
          <t>Hà Nội</t>
        </is>
      </c>
      <c r="G18711" t="inlineStr">
        <is>
          <t>30-03-2026</t>
        </is>
      </c>
      <c r="H18711" t="inlineStr">
        <is>
          <t>30/03/2026</t>
        </is>
      </c>
      <c r="I18711" t="inlineStr">
        <is>
          <t>17/03/2026</t>
        </is>
      </c>
      <c r="J18711" t="inlineStr">
        <is>
          <t>Kế toán / Kiểm toán</t>
        </is>
      </c>
      <c r="K18711" t="inlineStr">
        <is>
          <t>2 - 4 Năm</t>
        </is>
      </c>
      <c r="L18711" s="8">
        <f>HYPERLINK("https://careerviet.vn/vi/tim-viec-lam/chuyen-vien-ke-toan.35C66E3A.html","Xem chi tiết")</f>
        <v/>
      </c>
    </row>
    <row r="18712">
      <c r="B18712" s="9" t="n">
        <v>18710</v>
      </c>
      <c r="C18712" s="10" t="inlineStr">
        <is>
          <t>IT Application Developer</t>
        </is>
      </c>
      <c r="D18712" s="10" t="inlineStr">
        <is>
          <t>CÔNG TY CỔ PHẦN GIẢI PHÁP GENE - GENE SOLUTIONS</t>
        </is>
      </c>
      <c r="E18712" s="10" t="inlineStr">
        <is>
          <t>Lương:Cạnh tranh</t>
        </is>
      </c>
      <c r="F18712" s="10" t="inlineStr">
        <is>
          <t>Hồ Chí Minh</t>
        </is>
      </c>
      <c r="G18712" s="10" t="inlineStr">
        <is>
          <t>30-03-2026</t>
        </is>
      </c>
      <c r="H18712" s="10" t="inlineStr">
        <is>
          <t>30/03/2026</t>
        </is>
      </c>
      <c r="I18712" s="10" t="inlineStr">
        <is>
          <t>17/03/2026</t>
        </is>
      </c>
      <c r="J18712" s="10" t="inlineStr">
        <is>
          <t>Công nghệ sinh học, CNTT - Phần mềm</t>
        </is>
      </c>
      <c r="K18712" s="10" t="inlineStr">
        <is>
          <t>4 - 5 Năm</t>
        </is>
      </c>
      <c r="L18712" s="11">
        <f>HYPERLINK("https://careerviet.vn/vi/tim-viec-lam/it-application-developer.35C6446F.html","Xem chi tiết")</f>
        <v/>
      </c>
      <c r="M18712" s="10" t="n"/>
    </row>
    <row r="18713">
      <c r="B18713" s="7" t="n">
        <v>18711</v>
      </c>
      <c r="C18713" t="inlineStr">
        <is>
          <t>TRƯỞNG PHÒNG QUẢN LÝ SẢN XUẤT</t>
        </is>
      </c>
      <c r="D18713" t="inlineStr">
        <is>
          <t>Tập Đoàn Kim Tín</t>
        </is>
      </c>
      <c r="E18713" t="inlineStr">
        <is>
          <t>Lương:Cạnh tranh</t>
        </is>
      </c>
      <c r="F18713" t="inlineStr">
        <is>
          <t>Bình Phước</t>
        </is>
      </c>
      <c r="G18713" t="inlineStr">
        <is>
          <t>30-03-2026</t>
        </is>
      </c>
      <c r="H18713" t="inlineStr">
        <is>
          <t>30/03/2026</t>
        </is>
      </c>
      <c r="I18713" t="inlineStr">
        <is>
          <t>17/03/2026</t>
        </is>
      </c>
      <c r="J18713" t="inlineStr">
        <is>
          <t>Sản xuất / Vận hành sản xuất</t>
        </is>
      </c>
      <c r="K18713" t="inlineStr">
        <is>
          <t>3 - 5 Năm</t>
        </is>
      </c>
      <c r="L18713" s="8">
        <f>HYPERLINK("https://careerviet.vn/vi/tim-viec-lam/truong-phong-quan-ly-san-xuat.35C64346.html","Xem chi tiết")</f>
        <v/>
      </c>
    </row>
    <row r="18714">
      <c r="B18714" s="9" t="n">
        <v>18712</v>
      </c>
      <c r="C18714" s="10" t="inlineStr">
        <is>
          <t>CHUYÊN VIÊN THU HÚT NHÂN TÀI</t>
        </is>
      </c>
      <c r="D18714" s="10" t="inlineStr">
        <is>
          <t>CÔNG TY CỔ PHẦN CẢNG TÀU KHÁCH QUỐC TẾ TUẦN CHÂU</t>
        </is>
      </c>
      <c r="E18714" s="10" t="inlineStr">
        <is>
          <t>Lương:Cạnh tranh</t>
        </is>
      </c>
      <c r="F18714" s="10" t="inlineStr">
        <is>
          <t>Hà Nội</t>
        </is>
      </c>
      <c r="G18714" s="10" t="inlineStr">
        <is>
          <t>30-03-2026</t>
        </is>
      </c>
      <c r="H18714" s="10" t="inlineStr">
        <is>
          <t>30/03/2026</t>
        </is>
      </c>
      <c r="I18714" s="10" t="inlineStr">
        <is>
          <t>17/03/2026</t>
        </is>
      </c>
      <c r="J18714" s="10" t="inlineStr">
        <is>
          <t>Nhân sự</t>
        </is>
      </c>
      <c r="K18714" s="10" t="inlineStr">
        <is>
          <t>2 - 5 Năm</t>
        </is>
      </c>
      <c r="L18714" s="11">
        <f>HYPERLINK("https://careerviet.vn/vi/tim-viec-lam/chuyen-vien-thu-hut-nhan-tai.35C66EA1.html","Xem chi tiết")</f>
        <v/>
      </c>
      <c r="M18714" s="10" t="n"/>
    </row>
    <row r="18715">
      <c r="B18715" s="7" t="n">
        <v>18713</v>
      </c>
      <c r="C18715" t="inlineStr">
        <is>
          <t>Senior Customer service (Giao tiếp tốt tiếng Hoa)</t>
        </is>
      </c>
      <c r="D18715" t="inlineStr">
        <is>
          <t>Công Ty TNHH Nhãn Mác SMT (Việt Nam)</t>
        </is>
      </c>
      <c r="E18715" t="inlineStr">
        <is>
          <t>Lương:Cạnh tranh</t>
        </is>
      </c>
      <c r="F18715" t="inlineStr">
        <is>
          <t>Hồ Chí Minh</t>
        </is>
      </c>
      <c r="G18715" t="inlineStr">
        <is>
          <t>30-03-2026</t>
        </is>
      </c>
      <c r="H18715" t="inlineStr">
        <is>
          <t>30/03/2026</t>
        </is>
      </c>
      <c r="I18715" t="inlineStr">
        <is>
          <t>17/03/2026</t>
        </is>
      </c>
      <c r="J18715" t="inlineStr">
        <is>
          <t>Biên phiên dịch, Dịch vụ khách hàng, Bán hàng / Kinh doanh</t>
        </is>
      </c>
      <c r="K18715" t="inlineStr">
        <is>
          <t>2 - 5 Năm</t>
        </is>
      </c>
      <c r="L18715" s="8">
        <f>HYPERLINK("https://careerviet.vn/vi/tim-viec-lam/senior-customer-service-giao-tiep-tot-tieng-hoa.35C642C9.html","Xem chi tiết")</f>
        <v/>
      </c>
    </row>
    <row r="18716">
      <c r="B18716" s="9" t="n">
        <v>18714</v>
      </c>
      <c r="C18716" s="10" t="inlineStr">
        <is>
          <t>Phó Phòng Pháp Lý Dự Án</t>
        </is>
      </c>
      <c r="D18716" s="10" t="inlineStr">
        <is>
          <t>Công Ty TNHH Đầu Tư Địa Ốc Thành Phố (CityLand)</t>
        </is>
      </c>
      <c r="E18716" s="10" t="inlineStr">
        <is>
          <t>Lương:Cạnh tranh</t>
        </is>
      </c>
      <c r="F18716" s="10" t="inlineStr">
        <is>
          <t>Hồ Chí Minh</t>
        </is>
      </c>
      <c r="G18716" s="10" t="inlineStr">
        <is>
          <t>30-03-2026</t>
        </is>
      </c>
      <c r="H18716" s="10" t="inlineStr">
        <is>
          <t>30/03/2026</t>
        </is>
      </c>
      <c r="I18716" s="10" t="inlineStr">
        <is>
          <t>17/03/2026</t>
        </is>
      </c>
      <c r="J18716" s="10" t="inlineStr">
        <is>
          <t>Kiến trúc, Xây dựng, Bất động sản</t>
        </is>
      </c>
      <c r="K18716" s="10" t="inlineStr">
        <is>
          <t>10 - 20 Năm</t>
        </is>
      </c>
      <c r="L18716" s="11">
        <f>HYPERLINK("https://careerviet.vn/vi/tim-viec-lam/pho-phong-phap-ly-du-an.35C64394.html","Xem chi tiết")</f>
        <v/>
      </c>
      <c r="M18716" s="10" t="n"/>
    </row>
    <row r="18717">
      <c r="B18717" s="7" t="n">
        <v>18715</v>
      </c>
      <c r="C18717" t="inlineStr">
        <is>
          <t>Nhân Viên Thu Hồi Nợ Qua Điện Thoại_Nhóm B+</t>
        </is>
      </c>
      <c r="D18717" t="inlineStr">
        <is>
          <t>Công Ty Tài Chính TNHH Một Thành Viên Quốc Tế Việt Nam JACCS</t>
        </is>
      </c>
      <c r="E18717" t="inlineStr">
        <is>
          <t>Lương:8 Tr - 11 Tr VND</t>
        </is>
      </c>
      <c r="F18717" t="inlineStr">
        <is>
          <t>Hồ Chí Minh</t>
        </is>
      </c>
      <c r="G18717" t="inlineStr">
        <is>
          <t>30-03-2026</t>
        </is>
      </c>
      <c r="H18717" t="inlineStr">
        <is>
          <t>30/03/2026</t>
        </is>
      </c>
      <c r="I18717" t="inlineStr">
        <is>
          <t>17/03/2026</t>
        </is>
      </c>
      <c r="J18717" t="inlineStr">
        <is>
          <t>Luật / Pháp lý, Ngân hàng, Tài chính / Đầu tư</t>
        </is>
      </c>
      <c r="K18717" t="inlineStr">
        <is>
          <t>1 - 2 Năm</t>
        </is>
      </c>
      <c r="L18717" s="8">
        <f>HYPERLINK("https://careerviet.vn/vi/tim-viec-lam/nhan-vien-thu-hoi-no-qua-dien-thoai_nhom-b.35C66E5C.html","Xem chi tiết")</f>
        <v/>
      </c>
    </row>
    <row r="18718">
      <c r="B18718" s="9" t="n">
        <v>18716</v>
      </c>
      <c r="C18718" s="10" t="inlineStr">
        <is>
          <t>KỸ SƯ CHẤT LƯỢNG (QA-QC) - HCM, ĐỒNG NAI, VŨNG TÀU</t>
        </is>
      </c>
      <c r="D18718" s="10" t="inlineStr">
        <is>
          <t>CÔNG TY CỔ PHẦN FECON SOUTH</t>
        </is>
      </c>
      <c r="E18718" s="10" t="inlineStr">
        <is>
          <t>Lương:18 Tr - 27 Tr VND</t>
        </is>
      </c>
      <c r="F18718" s="10" t="inlineStr">
        <is>
          <t>Hồ Chí Minh</t>
        </is>
      </c>
      <c r="G18718" s="10" t="inlineStr">
        <is>
          <t>30-03-2026</t>
        </is>
      </c>
      <c r="H18718" s="10" t="inlineStr">
        <is>
          <t>30/03/2026</t>
        </is>
      </c>
      <c r="I18718" s="10" t="inlineStr">
        <is>
          <t>17/03/2026</t>
        </is>
      </c>
      <c r="J18718" s="10" t="inlineStr">
        <is>
          <t>Quản lý chất lượng (QA/QC), Xây dựng</t>
        </is>
      </c>
      <c r="K18718" s="10" t="inlineStr">
        <is>
          <t>2 - 10 Năm</t>
        </is>
      </c>
      <c r="L18718" s="11">
        <f>HYPERLINK("https://careerviet.vn/vi/tim-viec-lam/ky-su-chat-luong-qa-qc-hcm-dong-nai-vung-tau.35C66DA7.html","Xem chi tiết")</f>
        <v/>
      </c>
      <c r="M18718" s="10" t="n"/>
    </row>
    <row r="18719">
      <c r="B18719" s="7" t="n">
        <v>18717</v>
      </c>
      <c r="C18719" t="inlineStr">
        <is>
          <t>[Hà Nội] Trưởng nhóm Thu hút nhân tài</t>
        </is>
      </c>
      <c r="D18719" t="inlineStr">
        <is>
          <t>CÔNG TY CỔ PHẦN PHÊ LA</t>
        </is>
      </c>
      <c r="E18719" t="inlineStr">
        <is>
          <t>Lương:Cạnh tranh</t>
        </is>
      </c>
      <c r="F18719" t="inlineStr">
        <is>
          <t>Hà Nội</t>
        </is>
      </c>
      <c r="G18719" t="inlineStr">
        <is>
          <t>30-03-2026</t>
        </is>
      </c>
      <c r="H18719" t="inlineStr">
        <is>
          <t>30/03/2026</t>
        </is>
      </c>
      <c r="I18719" t="inlineStr">
        <is>
          <t>17/03/2026</t>
        </is>
      </c>
      <c r="J18719" t="inlineStr">
        <is>
          <t>Thực phẩm &amp; Đồ uống, Nhân sự, Nhà hàng / Khách sạn</t>
        </is>
      </c>
      <c r="K18719" t="inlineStr">
        <is>
          <t>2 - 4 Năm</t>
        </is>
      </c>
      <c r="L18719" s="8">
        <f>HYPERLINK("https://careerviet.vn/vi/tim-viec-lam/ha-noi-truong-nhom-thu-hut-nhan-tai.35C643B1.html","Xem chi tiết")</f>
        <v/>
      </c>
    </row>
    <row r="18720">
      <c r="B18720" s="9" t="n">
        <v>18718</v>
      </c>
      <c r="C18720" s="10" t="inlineStr">
        <is>
          <t>Nhân viên phân tích nghiệp vụ (Business Analyst)</t>
        </is>
      </c>
      <c r="D18720" s="10" t="inlineStr">
        <is>
          <t>CÔNG TY CỔ PHẦN PHÁT TRIỂN CÔNG NGHỆ TECHPRO</t>
        </is>
      </c>
      <c r="E18720" s="10" t="inlineStr">
        <is>
          <t>Lương:10 Tr - 13 Tr VND</t>
        </is>
      </c>
      <c r="F18720" s="10" t="inlineStr">
        <is>
          <t>Hồ Chí Minh</t>
        </is>
      </c>
      <c r="G18720" s="10" t="inlineStr">
        <is>
          <t>30-03-2026</t>
        </is>
      </c>
      <c r="H18720" s="10" t="inlineStr">
        <is>
          <t>30/03/2026</t>
        </is>
      </c>
      <c r="I18720" s="10" t="inlineStr">
        <is>
          <t>17/03/2026</t>
        </is>
      </c>
      <c r="J18720" s="10" t="inlineStr">
        <is>
          <t>CNTT - Phần mềm</t>
        </is>
      </c>
      <c r="K18720" s="10" t="inlineStr">
        <is>
          <t>Trên 1 Năm</t>
        </is>
      </c>
      <c r="L18720" s="11">
        <f>HYPERLINK("https://careerviet.vn/vi/tim-viec-lam/nhan-vien-phan-tich-nghiep-vu-business-analyst.35C66ED2.html","Xem chi tiết")</f>
        <v/>
      </c>
      <c r="M18720" s="10" t="n"/>
    </row>
    <row r="18721">
      <c r="B18721" s="7" t="n">
        <v>18719</v>
      </c>
      <c r="C18721" t="inlineStr">
        <is>
          <t>Kỹ Sư Kiểm Thử Thuộc Tính Xe Đạp Điện/ E-Scooter</t>
        </is>
      </c>
      <c r="D18721" t="inlineStr">
        <is>
          <t>Công ty Cổ phần Vietsol</t>
        </is>
      </c>
      <c r="E18721" t="inlineStr">
        <is>
          <t>Lương:Cạnh tranh</t>
        </is>
      </c>
      <c r="F18721" t="inlineStr">
        <is>
          <t>Hải PhòngHà Nội</t>
        </is>
      </c>
      <c r="G18721" t="inlineStr">
        <is>
          <t>30-03-2026</t>
        </is>
      </c>
      <c r="H18721" t="inlineStr">
        <is>
          <t>30/03/2026</t>
        </is>
      </c>
      <c r="I18721" t="inlineStr">
        <is>
          <t>17/03/2026</t>
        </is>
      </c>
      <c r="J18721" t="inlineStr">
        <is>
          <t>Cơ khí / Ô tô / Tự động hóa</t>
        </is>
      </c>
      <c r="K18721" t="inlineStr">
        <is>
          <t>1 - 2 Năm</t>
        </is>
      </c>
      <c r="L18721" s="8">
        <f>HYPERLINK("https://careerviet.vn/vi/tim-viec-lam/ky-su-kiem-thu-thuoc-tinh-xe-dap-dien-e-scooter.35C66F20.html","Xem chi tiết")</f>
        <v/>
      </c>
    </row>
    <row r="18722">
      <c r="B18722" s="9" t="n">
        <v>18720</v>
      </c>
      <c r="C18722" s="10" t="inlineStr">
        <is>
          <t>NHÂN VIÊN ADMIN NHẬP LIỆU – VPBANK ( QUẬN 1)</t>
        </is>
      </c>
      <c r="D18722" s="10" t="inlineStr">
        <is>
          <t>CÔNG TY TNHH TƯ VẤN DỊCH VỤ MTC GROUP</t>
        </is>
      </c>
      <c r="E18722" s="10" t="inlineStr">
        <is>
          <t>Lương:Trên 8 Tr VND</t>
        </is>
      </c>
      <c r="F18722" s="10" t="inlineStr">
        <is>
          <t>Hồ Chí Minh</t>
        </is>
      </c>
      <c r="G18722" s="10" t="inlineStr">
        <is>
          <t>30-03-2026</t>
        </is>
      </c>
      <c r="H18722" s="10" t="inlineStr">
        <is>
          <t>30/03/2026</t>
        </is>
      </c>
      <c r="I18722" s="10" t="inlineStr">
        <is>
          <t>17/03/2026</t>
        </is>
      </c>
      <c r="J18722" s="10" t="inlineStr">
        <is>
          <t>Bán lẻ / Bán sỉ, Bán hàng / Kinh doanh, Tiếp thị trực tuyến</t>
        </is>
      </c>
      <c r="K18722" s="10" t="inlineStr">
        <is>
          <t>Trên 1 Năm</t>
        </is>
      </c>
      <c r="L18722" s="11">
        <f>HYPERLINK("https://careerviet.vn/vi/tim-viec-lam/nhan-vien-admin-nhap-lieu-vpbank-quan-1.35C66E88.html","Xem chi tiết")</f>
        <v/>
      </c>
      <c r="M18722" s="10" t="n"/>
    </row>
    <row r="18723">
      <c r="B18723" s="7" t="n">
        <v>18721</v>
      </c>
      <c r="C18723" t="inlineStr">
        <is>
          <t>Kỹ Sư Kiểm Thử Linh Kiện Xe Đạp Điện/ E-Scooter</t>
        </is>
      </c>
      <c r="D18723" t="inlineStr">
        <is>
          <t>Công ty Cổ phần Vietsol</t>
        </is>
      </c>
      <c r="E18723" t="inlineStr">
        <is>
          <t>Lương:Cạnh tranh</t>
        </is>
      </c>
      <c r="F18723" t="inlineStr">
        <is>
          <t>Hải PhòngHà Nội</t>
        </is>
      </c>
      <c r="G18723" t="inlineStr">
        <is>
          <t>30-03-2026</t>
        </is>
      </c>
      <c r="H18723" t="inlineStr">
        <is>
          <t>30/03/2026</t>
        </is>
      </c>
      <c r="I18723" t="inlineStr">
        <is>
          <t>17/03/2026</t>
        </is>
      </c>
      <c r="J18723" t="inlineStr">
        <is>
          <t>Cơ khí / Ô tô / Tự động hóa</t>
        </is>
      </c>
      <c r="K18723" t="inlineStr">
        <is>
          <t>1 - 3 Năm</t>
        </is>
      </c>
      <c r="L18723" s="8">
        <f>HYPERLINK("https://careerviet.vn/vi/tim-viec-lam/ky-su-kiem-thu-linh-kien-xe-dap-dien-e-scooter.35C66F9E.html","Xem chi tiết")</f>
        <v/>
      </c>
    </row>
    <row r="18724">
      <c r="B18724" s="9" t="n">
        <v>18722</v>
      </c>
      <c r="C18724" s="10" t="inlineStr">
        <is>
          <t>Admin Support (HCMC - A.01)</t>
        </is>
      </c>
      <c r="D18724" s="10" t="inlineStr">
        <is>
          <t>TÜV Rheinland Vietnam</t>
        </is>
      </c>
      <c r="E18724" s="10" t="inlineStr">
        <is>
          <t>Lương:Cạnh tranh</t>
        </is>
      </c>
      <c r="F18724" s="10" t="inlineStr">
        <is>
          <t>Hồ Chí Minh</t>
        </is>
      </c>
      <c r="G18724" s="10" t="inlineStr">
        <is>
          <t>30-03-2026</t>
        </is>
      </c>
      <c r="H18724" s="10" t="inlineStr">
        <is>
          <t>30/03/2026</t>
        </is>
      </c>
      <c r="I18724" s="10" t="inlineStr">
        <is>
          <t>17/03/2026</t>
        </is>
      </c>
      <c r="J18724" s="10" t="inlineStr">
        <is>
          <t>Hành chính / Thư ký, Mới tốt nghiệp / Thực tập</t>
        </is>
      </c>
      <c r="K18724" s="10" t="inlineStr">
        <is>
          <t>Chưa có kinh nghiệm</t>
        </is>
      </c>
      <c r="L18724" s="11">
        <f>HYPERLINK("https://careerviet.vn/vi/tim-viec-lam/admin-support-hcmc-a-01.35C64364.html","Xem chi tiết")</f>
        <v/>
      </c>
      <c r="M18724" s="10" t="n"/>
    </row>
    <row r="18725">
      <c r="B18725" s="7" t="n">
        <v>18723</v>
      </c>
      <c r="C18725" t="inlineStr">
        <is>
          <t>KV Đông Nam Bộ - Giám đốc/Chuyên viên Quan hệ khách hàng Cá nhân</t>
        </is>
      </c>
      <c r="D18725" t="inlineStr">
        <is>
          <t>BVBank - Ngân hàng Bản Việt</t>
        </is>
      </c>
      <c r="E18725" t="inlineStr">
        <is>
          <t>Lương:Cạnh tranh</t>
        </is>
      </c>
      <c r="F18725" t="inlineStr">
        <is>
          <t>Bà Rịa - Vũng TàuBình DươngBình Thuận</t>
        </is>
      </c>
      <c r="G18725" t="inlineStr">
        <is>
          <t>30-03-2026</t>
        </is>
      </c>
      <c r="H18725" t="inlineStr">
        <is>
          <t>30/03/2026</t>
        </is>
      </c>
      <c r="I18725" t="inlineStr">
        <is>
          <t>17/03/2026</t>
        </is>
      </c>
      <c r="J18725" t="inlineStr">
        <is>
          <t>Ngân hàng, Tài chính / Đầu tư, Bán hàng / Kinh doanh</t>
        </is>
      </c>
      <c r="K18725" t="inlineStr">
        <is>
          <t>1 - 2 Năm</t>
        </is>
      </c>
      <c r="L18725" s="8">
        <f>HYPERLINK("https://careerviet.vn/vi/tim-viec-lam/kv-dong-nam-bo-giam-doc-chuyen-vien-quan-he-khach-hang-ca-nhan.35C643C4.html","Xem chi tiết")</f>
        <v/>
      </c>
    </row>
    <row r="18726">
      <c r="B18726" s="9" t="n">
        <v>18724</v>
      </c>
      <c r="C18726" s="10" t="inlineStr">
        <is>
          <t>Trưởng bộ phận Quản lý sản phẩm (Chủ đầu tư BĐS)</t>
        </is>
      </c>
      <c r="D18726" s="10" t="inlineStr">
        <is>
          <t>Công ty Cổ phần Tập đoàn KITA Group</t>
        </is>
      </c>
      <c r="E18726" s="10" t="inlineStr">
        <is>
          <t>Lương:25 Tr - 30 Tr VND</t>
        </is>
      </c>
      <c r="F18726" s="10" t="inlineStr">
        <is>
          <t>Hồ Chí Minh</t>
        </is>
      </c>
      <c r="G18726" s="10" t="inlineStr">
        <is>
          <t>30-03-2026</t>
        </is>
      </c>
      <c r="H18726" s="10" t="inlineStr">
        <is>
          <t>30/03/2026</t>
        </is>
      </c>
      <c r="I18726" s="10" t="inlineStr">
        <is>
          <t>17/03/2026</t>
        </is>
      </c>
      <c r="J18726" s="10" t="inlineStr">
        <is>
          <t>Bán hàng / Kinh doanh, Bất động sản, Dịch vụ khách hàng</t>
        </is>
      </c>
      <c r="K18726" s="10" t="inlineStr">
        <is>
          <t>2 - 5 Năm</t>
        </is>
      </c>
      <c r="L18726" s="11">
        <f>HYPERLINK("https://careerviet.vn/vi/tim-viec-lam/truong-bo-phan-quan-ly-san-pham-chu-dau-tu-bds.35C642F0.html","Xem chi tiết")</f>
        <v/>
      </c>
      <c r="M18726" s="10" t="n"/>
    </row>
    <row r="18727">
      <c r="B18727" s="7" t="n">
        <v>18725</v>
      </c>
      <c r="C18727" t="inlineStr">
        <is>
          <t>TRƯỞNG NHÓM TUYỂN DỤNG/ CHUYÊN VIÊN TUYỂN DỤNG</t>
        </is>
      </c>
      <c r="D18727" t="inlineStr">
        <is>
          <t>TỔNG CÔNG TY CỔ PHẦN THƯƠNG MẠI XÂY DỰNG</t>
        </is>
      </c>
      <c r="E18727" t="inlineStr">
        <is>
          <t>Lương:20 Tr - 40 Tr VND</t>
        </is>
      </c>
      <c r="F18727" t="inlineStr">
        <is>
          <t>Hà Nội</t>
        </is>
      </c>
      <c r="G18727" t="inlineStr">
        <is>
          <t>30-03-2026</t>
        </is>
      </c>
      <c r="H18727" t="inlineStr">
        <is>
          <t>30/03/2026</t>
        </is>
      </c>
      <c r="I18727" t="inlineStr">
        <is>
          <t>17/03/2026</t>
        </is>
      </c>
      <c r="J18727" t="inlineStr">
        <is>
          <t>Hành chính / Thư ký, Quản lý điều hành, Nhân sự</t>
        </is>
      </c>
      <c r="K18727" t="inlineStr">
        <is>
          <t>3 - 5 Năm</t>
        </is>
      </c>
      <c r="L18727" s="8">
        <f>HYPERLINK("https://careerviet.vn/vi/tim-viec-lam/truong-nhom-tuyen-dung-chuyen-vien-tuyen-dung.35C64349.html","Xem chi tiết")</f>
        <v/>
      </c>
    </row>
    <row r="18728">
      <c r="B18728" s="9" t="n">
        <v>18726</v>
      </c>
      <c r="C18728" s="10" t="inlineStr">
        <is>
          <t>Vận Hành Sàn Thương Mại Điện Tử</t>
        </is>
      </c>
      <c r="D18728" s="10" t="inlineStr">
        <is>
          <t>Công ty cổ phần Nu Việt Nam</t>
        </is>
      </c>
      <c r="E18728" s="10" t="inlineStr">
        <is>
          <t>Lương:11 Tr - 14 Tr VND</t>
        </is>
      </c>
      <c r="F18728" s="10" t="inlineStr">
        <is>
          <t>Hà Nội</t>
        </is>
      </c>
      <c r="G18728" s="10" t="inlineStr">
        <is>
          <t>30-03-2026</t>
        </is>
      </c>
      <c r="H18728" s="10" t="inlineStr">
        <is>
          <t>30/03/2026</t>
        </is>
      </c>
      <c r="I18728" s="10" t="inlineStr">
        <is>
          <t>17/03/2026</t>
        </is>
      </c>
      <c r="J18728" s="10" t="inlineStr">
        <is>
          <t>Bán hàng / Kinh doanh, Dệt may / Da giày / Thời trang, Thương mại điện tử</t>
        </is>
      </c>
      <c r="K18728" s="10" t="inlineStr">
        <is>
          <t>2 - 3 Năm</t>
        </is>
      </c>
      <c r="L18728" s="11">
        <f>HYPERLINK("https://careerviet.vn/vi/tim-viec-lam/van-hanh-san-thuong-mai-dien-tu.35C66E7C.html","Xem chi tiết")</f>
        <v/>
      </c>
      <c r="M18728" s="10" t="n"/>
    </row>
    <row r="18729">
      <c r="B18729" s="7" t="n">
        <v>18727</v>
      </c>
      <c r="C18729" t="inlineStr">
        <is>
          <t>Nhân viên Kỹ thuật (CIS/ONSITE)</t>
        </is>
      </c>
      <c r="D18729" t="inlineStr">
        <is>
          <t>LacViet Computing Corporation</t>
        </is>
      </c>
      <c r="E18729" t="inlineStr">
        <is>
          <t>Lương:9 Tr - 13 Tr VND</t>
        </is>
      </c>
      <c r="F18729" t="inlineStr">
        <is>
          <t>Hà Nội</t>
        </is>
      </c>
      <c r="G18729" t="inlineStr">
        <is>
          <t>30-03-2026</t>
        </is>
      </c>
      <c r="H18729" t="inlineStr">
        <is>
          <t>30/03/2026</t>
        </is>
      </c>
      <c r="I18729" t="inlineStr">
        <is>
          <t>17/03/2026</t>
        </is>
      </c>
      <c r="J18729" t="inlineStr">
        <is>
          <t>Bán Hàng Kỹ Thuật</t>
        </is>
      </c>
      <c r="K18729" t="inlineStr">
        <is>
          <t>1 - 2 Năm</t>
        </is>
      </c>
      <c r="L18729" s="8">
        <f>HYPERLINK("https://careerviet.vn/vi/tim-viec-lam/nhan-vien-ky-thuat-cis-onsite.35C66F53.html","Xem chi tiết")</f>
        <v/>
      </c>
    </row>
    <row r="18730">
      <c r="B18730" s="9" t="n">
        <v>18728</v>
      </c>
      <c r="C18730" s="10" t="inlineStr">
        <is>
          <t>Cộng Tác Viên Telemarketing</t>
        </is>
      </c>
      <c r="D18730" s="10" t="inlineStr">
        <is>
          <t>EUROFINS VIETNAM</t>
        </is>
      </c>
      <c r="E18730" s="10" t="inlineStr">
        <is>
          <t>Lương:Cạnh tranh</t>
        </is>
      </c>
      <c r="F18730" s="10" t="inlineStr">
        <is>
          <t>Hồ Chí Minh</t>
        </is>
      </c>
      <c r="G18730" s="10" t="inlineStr">
        <is>
          <t>30-03-2026</t>
        </is>
      </c>
      <c r="H18730" s="10" t="inlineStr">
        <is>
          <t>30/03/2026</t>
        </is>
      </c>
      <c r="I18730" s="10" t="inlineStr">
        <is>
          <t>17/03/2026</t>
        </is>
      </c>
      <c r="J18730" s="10" t="inlineStr">
        <is>
          <t>Tiếp thị / Marketing, Dịch vụ khách hàng, Mới tốt nghiệp / Thực tập</t>
        </is>
      </c>
      <c r="K18730" s="10" t="inlineStr">
        <is>
          <t>N/A</t>
        </is>
      </c>
      <c r="L18730" s="11">
        <f>HYPERLINK("https://careerviet.vn/vi/tim-viec-lam/cong-tac-vien-telemarketing.35C66E1B.html","Xem chi tiết")</f>
        <v/>
      </c>
      <c r="M18730" s="10" t="n"/>
    </row>
    <row r="18731">
      <c r="B18731" s="7" t="n">
        <v>18729</v>
      </c>
      <c r="C18731" t="inlineStr">
        <is>
          <t>NHÂN VIÊN KẾ HOẠCH SẢN XUẤT</t>
        </is>
      </c>
      <c r="D18731" t="inlineStr">
        <is>
          <t>Công Ty TNHH Nhựa Tân Lập Thành</t>
        </is>
      </c>
      <c r="E18731" t="inlineStr">
        <is>
          <t>Lương:10 Tr - 12 Tr VND</t>
        </is>
      </c>
      <c r="F18731" t="inlineStr">
        <is>
          <t>Hồ Chí Minh</t>
        </is>
      </c>
      <c r="G18731" t="inlineStr">
        <is>
          <t>30-03-2026</t>
        </is>
      </c>
      <c r="H18731" t="inlineStr">
        <is>
          <t>30/03/2026</t>
        </is>
      </c>
      <c r="I18731" t="inlineStr">
        <is>
          <t>17/03/2026</t>
        </is>
      </c>
      <c r="J18731" t="inlineStr">
        <is>
          <t>Sản xuất / Vận hành sản xuất, Thu mua / Vật tư, Thống kê</t>
        </is>
      </c>
      <c r="K18731" t="inlineStr">
        <is>
          <t>1 - 3 Năm</t>
        </is>
      </c>
      <c r="L18731" s="8">
        <f>HYPERLINK("https://careerviet.vn/vi/tim-viec-lam/nhan-vien-ke-hoach-san-xuat.35C66E19.html","Xem chi tiết")</f>
        <v/>
      </c>
    </row>
    <row r="18732">
      <c r="B18732" s="9" t="n">
        <v>18730</v>
      </c>
      <c r="C18732" s="10" t="inlineStr">
        <is>
          <t>Nhân viên dữ liệu Kho</t>
        </is>
      </c>
      <c r="D18732" s="10" t="inlineStr">
        <is>
          <t>CÔNG TY CỔ PHẦN CHẾ BIẾN THỰC PHẨM HOÀNG SƠN</t>
        </is>
      </c>
      <c r="E18732" s="10" t="inlineStr">
        <is>
          <t>Lương:9 Tr - 12 Tr VND</t>
        </is>
      </c>
      <c r="F18732" s="10" t="inlineStr">
        <is>
          <t>Bình Dương</t>
        </is>
      </c>
      <c r="G18732" s="10" t="inlineStr">
        <is>
          <t>30-03-2026</t>
        </is>
      </c>
      <c r="H18732" s="10" t="inlineStr">
        <is>
          <t>30/03/2026</t>
        </is>
      </c>
      <c r="I18732" s="10" t="inlineStr">
        <is>
          <t>17/03/2026</t>
        </is>
      </c>
      <c r="J18732" s="10" t="inlineStr">
        <is>
          <t>Vận chuyển / Giao nhận / Kho vận, Sản xuất / Vận hành sản xuất, Công nghệ thực phẩm / Dinh dưỡng</t>
        </is>
      </c>
      <c r="K18732" s="10" t="inlineStr">
        <is>
          <t>1 - 2 Năm</t>
        </is>
      </c>
      <c r="L18732" s="11">
        <f>HYPERLINK("https://careerviet.vn/vi/tim-viec-lam/nhan-vien-du-lieu-kho.35C66EE2.html","Xem chi tiết")</f>
        <v/>
      </c>
      <c r="M18732" s="10" t="n"/>
    </row>
    <row r="18733">
      <c r="B18733" s="7" t="n">
        <v>18731</v>
      </c>
      <c r="C18733" t="inlineStr">
        <is>
          <t>Talent Acquisition &amp; Employer Branding Lead</t>
        </is>
      </c>
      <c r="D18733" t="inlineStr">
        <is>
          <t>Công ty CP Thành Thành Công - Biên Hòa</t>
        </is>
      </c>
      <c r="E18733" t="inlineStr">
        <is>
          <t>Lương:Cạnh tranh</t>
        </is>
      </c>
      <c r="F18733" t="inlineStr">
        <is>
          <t>Hồ Chí Minh</t>
        </is>
      </c>
      <c r="G18733" t="inlineStr">
        <is>
          <t>30-03-2026</t>
        </is>
      </c>
      <c r="H18733" t="inlineStr">
        <is>
          <t>30/03/2026</t>
        </is>
      </c>
      <c r="I18733" t="inlineStr">
        <is>
          <t>17/03/2026</t>
        </is>
      </c>
      <c r="J18733" t="inlineStr">
        <is>
          <t>Nhân sự, Quản lý điều hành</t>
        </is>
      </c>
      <c r="K18733" t="inlineStr">
        <is>
          <t>Trên 5 Năm</t>
        </is>
      </c>
      <c r="L18733" s="8">
        <f>HYPERLINK("https://careerviet.vn/vi/tim-viec-lam/talent-acquisition-employer-branding-lead.35C66E54.html","Xem chi tiết")</f>
        <v/>
      </c>
    </row>
    <row r="18734">
      <c r="B18734" s="9" t="n">
        <v>18732</v>
      </c>
      <c r="C18734" s="10" t="inlineStr">
        <is>
          <t>E-Scooter Vehicle Test -Kỹ Sư Kiểm Thử Xe Đạp Điện</t>
        </is>
      </c>
      <c r="D18734" s="10" t="inlineStr">
        <is>
          <t>Công ty Cổ phần Vietsol</t>
        </is>
      </c>
      <c r="E18734" s="10" t="inlineStr">
        <is>
          <t>Lương:Cạnh tranh</t>
        </is>
      </c>
      <c r="F18734" s="10" t="inlineStr">
        <is>
          <t>Hải PhòngHà Nội</t>
        </is>
      </c>
      <c r="G18734" s="10" t="inlineStr">
        <is>
          <t>30-03-2026</t>
        </is>
      </c>
      <c r="H18734" s="10" t="inlineStr">
        <is>
          <t>30/03/2026</t>
        </is>
      </c>
      <c r="I18734" s="10" t="inlineStr">
        <is>
          <t>17/03/2026</t>
        </is>
      </c>
      <c r="J18734" s="10" t="inlineStr">
        <is>
          <t>Cơ khí / Ô tô / Tự động hóa, Bảo trì / Sửa chữa</t>
        </is>
      </c>
      <c r="K18734" s="10" t="inlineStr">
        <is>
          <t>1 - 2 Năm</t>
        </is>
      </c>
      <c r="L18734" s="11">
        <f>HYPERLINK("https://careerviet.vn/vi/tim-viec-lam/e-scooter-vehicle-test-ky-su-kiem-thu-xe-dap-dien.35C66F10.html","Xem chi tiết")</f>
        <v/>
      </c>
      <c r="M18734" s="10" t="n"/>
    </row>
    <row r="18735">
      <c r="B18735" s="7" t="n">
        <v>18733</v>
      </c>
      <c r="C18735" t="inlineStr">
        <is>
          <t>Phiên dịch viên tiếng Thái</t>
        </is>
      </c>
      <c r="D18735" t="inlineStr">
        <is>
          <t>CÔNG TY CỔ PHẦN THÁI VIỆT CORPORATION</t>
        </is>
      </c>
      <c r="E18735" t="inlineStr">
        <is>
          <t>Lương:13 Tr - 16 Tr VND</t>
        </is>
      </c>
      <c r="F18735" t="inlineStr">
        <is>
          <t>Tây Ninh</t>
        </is>
      </c>
      <c r="G18735" t="inlineStr">
        <is>
          <t>30-03-2026</t>
        </is>
      </c>
      <c r="H18735" t="inlineStr">
        <is>
          <t>30/03/2026</t>
        </is>
      </c>
      <c r="I18735" t="inlineStr">
        <is>
          <t>17/03/2026</t>
        </is>
      </c>
      <c r="J18735" t="inlineStr">
        <is>
          <t>Biên phiên dịch</t>
        </is>
      </c>
      <c r="K18735" t="inlineStr">
        <is>
          <t>N/A</t>
        </is>
      </c>
      <c r="L18735" s="8">
        <f>HYPERLINK("https://careerviet.vn/vi/tim-viec-lam/phien-dich-vien-tieng-thai.35C66F6A.html","Xem chi tiết")</f>
        <v/>
      </c>
    </row>
    <row r="18736">
      <c r="B18736" s="9" t="n">
        <v>18734</v>
      </c>
      <c r="C18736" s="10" t="inlineStr">
        <is>
          <t>Nhân Viên QC</t>
        </is>
      </c>
      <c r="D18736" s="10" t="inlineStr">
        <is>
          <t>CÔNG TY TNHH VINA BUHMWOO</t>
        </is>
      </c>
      <c r="E18736" s="10" t="inlineStr">
        <is>
          <t>Lương:Cạnh tranh</t>
        </is>
      </c>
      <c r="F18736" s="10" t="inlineStr">
        <is>
          <t>Đồng Nai</t>
        </is>
      </c>
      <c r="G18736" s="10" t="inlineStr">
        <is>
          <t>29-03-2026</t>
        </is>
      </c>
      <c r="H18736" s="10" t="inlineStr">
        <is>
          <t>29/03/2026</t>
        </is>
      </c>
      <c r="I18736" s="10" t="inlineStr">
        <is>
          <t>17/03/2026</t>
        </is>
      </c>
      <c r="J18736" s="10" t="inlineStr">
        <is>
          <t>Hóa học, Sản xuất / Vận hành sản xuất, Quản lý chất lượng (QA/QC)</t>
        </is>
      </c>
      <c r="K18736" s="10" t="inlineStr">
        <is>
          <t>Trên 1 Năm</t>
        </is>
      </c>
      <c r="L18736" s="11">
        <f>HYPERLINK("https://careerviet.vn/vi/tim-viec-lam/nhan-vien-qc.35C66EFA.html","Xem chi tiết")</f>
        <v/>
      </c>
      <c r="M18736" s="10" t="n"/>
    </row>
    <row r="18737">
      <c r="B18737" s="7" t="n">
        <v>18735</v>
      </c>
      <c r="C18737" t="inlineStr">
        <is>
          <t>KV Miền Trung - Giám đốc/Chuyên viên Quan hệ khách hàng Cá nhân</t>
        </is>
      </c>
      <c r="D18737" t="inlineStr">
        <is>
          <t>BVBank - Ngân hàng Bản Việt</t>
        </is>
      </c>
      <c r="E18737" t="inlineStr">
        <is>
          <t>Lương:Cạnh tranh</t>
        </is>
      </c>
      <c r="F18737" t="inlineStr">
        <is>
          <t>Bình ĐịnhĐà NẵngKhánh Hòa</t>
        </is>
      </c>
      <c r="G18737" t="inlineStr">
        <is>
          <t>30-03-2026</t>
        </is>
      </c>
      <c r="H18737" t="inlineStr">
        <is>
          <t>30/03/2026</t>
        </is>
      </c>
      <c r="I18737" t="inlineStr">
        <is>
          <t>17/03/2026</t>
        </is>
      </c>
      <c r="J18737" t="inlineStr">
        <is>
          <t>Ngân hàng, Tài chính / Đầu tư, Bán hàng / Kinh doanh</t>
        </is>
      </c>
      <c r="K18737" t="inlineStr">
        <is>
          <t>1 - 2 Năm</t>
        </is>
      </c>
      <c r="L18737" s="8">
        <f>HYPERLINK("https://careerviet.vn/vi/tim-viec-lam/kv-mien-trung-giam-doc-chuyen-vien-quan-he-khach-hang-ca-nhan.35C643C0.html","Xem chi tiết")</f>
        <v/>
      </c>
    </row>
    <row r="18738">
      <c r="B18738" s="9" t="n">
        <v>18736</v>
      </c>
      <c r="C18738" s="10" t="inlineStr">
        <is>
          <t>Tổng Quản lý Nhà hàng</t>
        </is>
      </c>
      <c r="D18738" s="10" t="inlineStr">
        <is>
          <t>CÔNG TY CỔ PHẦN F&amp;B AND ENTERTAINMENTS LUMIERE HOLDING</t>
        </is>
      </c>
      <c r="E18738" s="10" t="inlineStr">
        <is>
          <t>Lương:30 Tr - 40 Tr VND</t>
        </is>
      </c>
      <c r="F18738" s="10" t="inlineStr">
        <is>
          <t>Hồ Chí Minh</t>
        </is>
      </c>
      <c r="G18738" s="10" t="inlineStr">
        <is>
          <t>30-03-2026</t>
        </is>
      </c>
      <c r="H18738" s="10" t="inlineStr">
        <is>
          <t>30/03/2026</t>
        </is>
      </c>
      <c r="I18738" s="10" t="inlineStr">
        <is>
          <t>17/03/2026</t>
        </is>
      </c>
      <c r="J18738" s="10" t="inlineStr">
        <is>
          <t>Thực phẩm &amp; Đồ uống</t>
        </is>
      </c>
      <c r="K18738" s="10" t="inlineStr">
        <is>
          <t>3 - 5 Năm</t>
        </is>
      </c>
      <c r="L18738" s="11">
        <f>HYPERLINK("https://careerviet.vn/vi/tim-viec-lam/tong-quan-ly-nha-hang.35C66DF2.html","Xem chi tiết")</f>
        <v/>
      </c>
      <c r="M18738" s="10" t="n"/>
    </row>
    <row r="18739">
      <c r="B18739" s="7" t="n">
        <v>18737</v>
      </c>
      <c r="C18739" t="inlineStr">
        <is>
          <t>Giám sát bán hàng - Thanh Hóa</t>
        </is>
      </c>
      <c r="D18739" t="inlineStr">
        <is>
          <t>CÔNG TY CP BIA &amp; NGK HẠ LONG</t>
        </is>
      </c>
      <c r="E18739" t="inlineStr">
        <is>
          <t>Lương:17 Tr - 26 Tr VND</t>
        </is>
      </c>
      <c r="F18739" t="inlineStr">
        <is>
          <t>Thanh Hóa</t>
        </is>
      </c>
      <c r="G18739" t="inlineStr">
        <is>
          <t>30-03-2026</t>
        </is>
      </c>
      <c r="H18739" t="inlineStr">
        <is>
          <t>30/03/2026</t>
        </is>
      </c>
      <c r="I18739" t="inlineStr">
        <is>
          <t>17/03/2026</t>
        </is>
      </c>
      <c r="J18739" t="inlineStr">
        <is>
          <t>Bán lẻ / Bán sỉ</t>
        </is>
      </c>
      <c r="K18739" t="inlineStr">
        <is>
          <t>2 - 3 Năm</t>
        </is>
      </c>
      <c r="L18739" s="8">
        <f>HYPERLINK("https://careerviet.vn/vi/tim-viec-lam/giam-sat-ban-hang-thanh-hoa.35C6431E.html","Xem chi tiết")</f>
        <v/>
      </c>
    </row>
    <row r="18740">
      <c r="B18740" s="9" t="n">
        <v>18738</v>
      </c>
      <c r="C18740" s="10" t="inlineStr">
        <is>
          <t>KV Hà Nội - Giám đốc/Chuyên viên Quan hệ khách hàng Doanh nghiệp</t>
        </is>
      </c>
      <c r="D18740" s="10" t="inlineStr">
        <is>
          <t>BVBank - Ngân hàng Bản Việt</t>
        </is>
      </c>
      <c r="E18740" s="10" t="inlineStr">
        <is>
          <t>Lương:Cạnh tranh</t>
        </is>
      </c>
      <c r="F18740" s="10" t="inlineStr">
        <is>
          <t>Hà Nội</t>
        </is>
      </c>
      <c r="G18740" s="10" t="inlineStr">
        <is>
          <t>30-03-2026</t>
        </is>
      </c>
      <c r="H18740" s="10" t="inlineStr">
        <is>
          <t>30/03/2026</t>
        </is>
      </c>
      <c r="I18740" s="10" t="inlineStr">
        <is>
          <t>17/03/2026</t>
        </is>
      </c>
      <c r="J18740" s="10" t="inlineStr">
        <is>
          <t>Ngân hàng, Tài chính / Đầu tư, Bán hàng / Kinh doanh</t>
        </is>
      </c>
      <c r="K18740" s="10" t="inlineStr">
        <is>
          <t>1 - 2 Năm</t>
        </is>
      </c>
      <c r="L18740" s="11">
        <f>HYPERLINK("https://careerviet.vn/vi/tim-viec-lam/kv-ha-noi-giam-doc-chuyen-vien-quan-he-khach-hang-doanh-nghiep.35C643A4.html","Xem chi tiết")</f>
        <v/>
      </c>
      <c r="M18740" s="10" t="n"/>
    </row>
    <row r="18741">
      <c r="B18741" s="7" t="n">
        <v>18739</v>
      </c>
      <c r="C18741" t="inlineStr">
        <is>
          <t>Chuyên viên Quản lý sản phẩm (Chủ đầu tư BĐS, làm việc tại Q5)</t>
        </is>
      </c>
      <c r="D18741" t="inlineStr">
        <is>
          <t>Công ty Cổ phần Tập đoàn KITA Group</t>
        </is>
      </c>
      <c r="E18741" t="inlineStr">
        <is>
          <t>Lương:15 Tr - 20 Tr VND</t>
        </is>
      </c>
      <c r="F18741" t="inlineStr">
        <is>
          <t>Hồ Chí Minh</t>
        </is>
      </c>
      <c r="G18741" t="inlineStr">
        <is>
          <t>30-03-2026</t>
        </is>
      </c>
      <c r="H18741" t="inlineStr">
        <is>
          <t>30/03/2026</t>
        </is>
      </c>
      <c r="I18741" t="inlineStr">
        <is>
          <t>17/03/2026</t>
        </is>
      </c>
      <c r="J18741" t="inlineStr">
        <is>
          <t>Bán hàng / Kinh doanh, Bất động sản, Dịch vụ khách hàng</t>
        </is>
      </c>
      <c r="K18741" t="inlineStr">
        <is>
          <t>2 - 5 Năm</t>
        </is>
      </c>
      <c r="L18741" s="8">
        <f>HYPERLINK("https://careerviet.vn/vi/tim-viec-lam/chuyen-vien-quan-ly-san-pham-chu-dau-tu-bds-lam-viec-tai-q5.35C642F3.html","Xem chi tiết")</f>
        <v/>
      </c>
    </row>
    <row r="18742">
      <c r="B18742" s="9" t="n">
        <v>18740</v>
      </c>
      <c r="C18742" s="10" t="inlineStr">
        <is>
          <t>[Khu vực Đắk Lắk] - CV/CVC/Giám đốc Quan hệ Khách hàng cá nhân</t>
        </is>
      </c>
      <c r="D18742" s="10" t="inlineStr">
        <is>
          <t>Ngân hàng TMCP Lộc Phát Việt Nam (LPBank)</t>
        </is>
      </c>
      <c r="E18742" s="10" t="inlineStr">
        <is>
          <t>Lương:Cạnh tranh</t>
        </is>
      </c>
      <c r="F18742" s="10" t="inlineStr">
        <is>
          <t>Dak Lak</t>
        </is>
      </c>
      <c r="G18742" s="10" t="inlineStr">
        <is>
          <t>30-03-2026</t>
        </is>
      </c>
      <c r="H18742" s="10" t="inlineStr">
        <is>
          <t>30/03/2026</t>
        </is>
      </c>
      <c r="I18742" s="10" t="inlineStr">
        <is>
          <t>17/03/2026</t>
        </is>
      </c>
      <c r="J18742" s="10" t="inlineStr">
        <is>
          <t>Bán hàng / Kinh doanh, Kế toán / Kiểm toán, Ngân hàng</t>
        </is>
      </c>
      <c r="K18742" s="10" t="inlineStr">
        <is>
          <t>Trên 1 Năm</t>
        </is>
      </c>
      <c r="L18742" s="11">
        <f>HYPERLINK("https://careerviet.vn/vi/tim-viec-lam/khu-vuc-dak-lak-cv-cvc-giam-doc-quan-he-khach-hang-ca-nhan.35C66EA3.html","Xem chi tiết")</f>
        <v/>
      </c>
      <c r="M18742" s="10" t="n"/>
    </row>
    <row r="18743">
      <c r="B18743" s="7" t="n">
        <v>18741</v>
      </c>
      <c r="C18743" t="inlineStr">
        <is>
          <t>Nhân viên Kho (Làm việc tại Củ Chi)</t>
        </is>
      </c>
      <c r="D18743" t="inlineStr">
        <is>
          <t>Công ty Cổ phần Mỹ phẩm Quốc tế Thùy Dung</t>
        </is>
      </c>
      <c r="E18743" t="inlineStr">
        <is>
          <t>Lương:7 Tr - 10 Tr VND</t>
        </is>
      </c>
      <c r="F18743" t="inlineStr">
        <is>
          <t>Hồ Chí Minh</t>
        </is>
      </c>
      <c r="G18743" t="inlineStr">
        <is>
          <t>30-03-2026</t>
        </is>
      </c>
      <c r="H18743" t="inlineStr">
        <is>
          <t>30/03/2026</t>
        </is>
      </c>
      <c r="I18743" t="inlineStr">
        <is>
          <t>17/03/2026</t>
        </is>
      </c>
      <c r="J18743" t="inlineStr">
        <is>
          <t>Vận chuyển / Giao nhận / Kho vận</t>
        </is>
      </c>
      <c r="K18743" t="inlineStr">
        <is>
          <t>1 Năm</t>
        </is>
      </c>
      <c r="L18743" s="8">
        <f>HYPERLINK("https://careerviet.vn/vi/tim-viec-lam/nhan-vien-kho-lam-viec-tai-cu-chi.35C6437E.html","Xem chi tiết")</f>
        <v/>
      </c>
    </row>
    <row r="18744">
      <c r="B18744" s="9" t="n">
        <v>18742</v>
      </c>
      <c r="C18744" s="10" t="inlineStr">
        <is>
          <t>Tài xế Lái xe tải</t>
        </is>
      </c>
      <c r="D18744" s="10" t="inlineStr">
        <is>
          <t>Công Ty Cổ Phần Trang</t>
        </is>
      </c>
      <c r="E18744" s="10" t="inlineStr">
        <is>
          <t>Lương:Cạnh tranh</t>
        </is>
      </c>
      <c r="F18744" s="10" t="inlineStr">
        <is>
          <t>Hồ Chí Minh</t>
        </is>
      </c>
      <c r="G18744" s="10" t="inlineStr">
        <is>
          <t>30-03-2026</t>
        </is>
      </c>
      <c r="H18744" s="10" t="inlineStr">
        <is>
          <t>30/03/2026</t>
        </is>
      </c>
      <c r="I18744" s="10" t="inlineStr">
        <is>
          <t>17/03/2026</t>
        </is>
      </c>
      <c r="J18744" s="10" t="inlineStr">
        <is>
          <t>Vận chuyển / Giao nhận / Kho vận</t>
        </is>
      </c>
      <c r="K18744" s="10" t="inlineStr">
        <is>
          <t>1 - 2 Năm</t>
        </is>
      </c>
      <c r="L18744" s="11">
        <f>HYPERLINK("https://careerviet.vn/vi/tim-viec-lam/tai-xe-lai-xe-tai.35C66EDD.html","Xem chi tiết")</f>
        <v/>
      </c>
      <c r="M18744" s="10" t="n"/>
    </row>
    <row r="18745">
      <c r="B18745" s="7" t="n">
        <v>18743</v>
      </c>
      <c r="C18745" t="inlineStr">
        <is>
          <t>Chủ nhiệm dự án</t>
        </is>
      </c>
      <c r="D18745" t="inlineStr">
        <is>
          <t>HR Vietnam’s ESS Client</t>
        </is>
      </c>
      <c r="E18745" t="inlineStr">
        <is>
          <t>Lương:Cạnh tranh</t>
        </is>
      </c>
      <c r="F18745" t="inlineStr">
        <is>
          <t>Hà Nội</t>
        </is>
      </c>
      <c r="G18745" t="inlineStr">
        <is>
          <t>30-03-2026</t>
        </is>
      </c>
      <c r="H18745" t="inlineStr">
        <is>
          <t>30/03/2026</t>
        </is>
      </c>
      <c r="I18745" t="inlineStr">
        <is>
          <t>17/03/2026</t>
        </is>
      </c>
      <c r="J18745" t="inlineStr">
        <is>
          <t>Điện / Điện tử / Điện lạnh / Điện công nghiệp, Bán hàng / Kinh doanh</t>
        </is>
      </c>
      <c r="K18745" t="inlineStr">
        <is>
          <t>3 - 4 Năm</t>
        </is>
      </c>
      <c r="L18745" s="8">
        <f>HYPERLINK("https://careerviet.vn/vi/tim-viec-lam/chu-nhiem-du-an.35C66E75.html","Xem chi tiết")</f>
        <v/>
      </c>
    </row>
    <row r="18746">
      <c r="B18746" s="9" t="n">
        <v>18744</v>
      </c>
      <c r="C18746" s="10" t="inlineStr">
        <is>
          <t>[Hồ Chí Minh] Trợ Lý Quản Lý Rạp (Assistant Cinema Manager)</t>
        </is>
      </c>
      <c r="D18746" s="10" t="inlineStr">
        <is>
          <t>Beta Group</t>
        </is>
      </c>
      <c r="E18746" s="10" t="inlineStr">
        <is>
          <t>Lương:10 Tr - 14 Tr VND</t>
        </is>
      </c>
      <c r="F18746" s="10" t="inlineStr">
        <is>
          <t>Hồ Chí Minh</t>
        </is>
      </c>
      <c r="G18746" s="10" t="inlineStr">
        <is>
          <t>30-03-2026</t>
        </is>
      </c>
      <c r="H18746" s="10" t="inlineStr">
        <is>
          <t>30/03/2026</t>
        </is>
      </c>
      <c r="I18746" s="10" t="inlineStr">
        <is>
          <t>17/03/2026</t>
        </is>
      </c>
      <c r="J18746" s="10" t="inlineStr">
        <is>
          <t>Dịch vụ khách hàng, Nhà hàng / Khách sạn, Bán lẻ / Bán sỉ</t>
        </is>
      </c>
      <c r="K18746" s="10" t="inlineStr">
        <is>
          <t>3 - 5 Năm</t>
        </is>
      </c>
      <c r="L18746" s="11">
        <f>HYPERLINK("https://careerviet.vn/vi/tim-viec-lam/ho-chi-minh-tro-ly-quan-ly-rap-assistant-cinema-manager.35C64467.html","Xem chi tiết")</f>
        <v/>
      </c>
      <c r="M18746" s="10" t="n"/>
    </row>
    <row r="18747">
      <c r="B18747" s="7" t="n">
        <v>18745</v>
      </c>
      <c r="C18747" t="inlineStr">
        <is>
          <t>Trợ lý Giám đốc Khách hàng Doanh nghiệp</t>
        </is>
      </c>
      <c r="D18747" t="inlineStr">
        <is>
          <t>Ngân Hàng TMCP Việt Nam Thịnh Vượng - VPBANK</t>
        </is>
      </c>
      <c r="E18747" t="inlineStr">
        <is>
          <t>Lương:10 Tr - 25 Tr VND</t>
        </is>
      </c>
      <c r="F18747" t="inlineStr">
        <is>
          <t>Hà NộiHồ Chí Minh</t>
        </is>
      </c>
      <c r="G18747" t="inlineStr">
        <is>
          <t>30-03-2026</t>
        </is>
      </c>
      <c r="H18747" t="inlineStr">
        <is>
          <t>30/03/2026</t>
        </is>
      </c>
      <c r="I18747" t="inlineStr">
        <is>
          <t>17/03/2026</t>
        </is>
      </c>
      <c r="J18747" t="inlineStr">
        <is>
          <t>Ngân hàng, Tài chính / Đầu tư</t>
        </is>
      </c>
      <c r="K18747" t="inlineStr">
        <is>
          <t>1 - 10 Năm</t>
        </is>
      </c>
      <c r="L18747" s="8">
        <f>HYPERLINK("https://careerviet.vn/vi/tim-viec-lam/tro-ly-giam-doc-khach-hang-doanh-nghiep.35C66E65.html","Xem chi tiết")</f>
        <v/>
      </c>
    </row>
    <row r="18748">
      <c r="B18748" s="9" t="n">
        <v>18746</v>
      </c>
      <c r="C18748" s="10" t="inlineStr">
        <is>
          <t>Nhân viên Content Marketing</t>
        </is>
      </c>
      <c r="D18748" s="10" t="inlineStr">
        <is>
          <t>Công ty Cổ Phần Giáo Dục German Link</t>
        </is>
      </c>
      <c r="E18748" s="10" t="inlineStr">
        <is>
          <t>Lương:11 Tr - 13 Tr VND</t>
        </is>
      </c>
      <c r="F18748" s="10" t="inlineStr">
        <is>
          <t>Hà Nội</t>
        </is>
      </c>
      <c r="G18748" s="10" t="inlineStr">
        <is>
          <t>30-03-2026</t>
        </is>
      </c>
      <c r="H18748" s="10" t="inlineStr">
        <is>
          <t>30/03/2026</t>
        </is>
      </c>
      <c r="I18748" s="10" t="inlineStr">
        <is>
          <t>17/03/2026</t>
        </is>
      </c>
      <c r="J18748" s="10" t="inlineStr">
        <is>
          <t>Tiếp thị / Marketing, Thương mại điện tử, Giáo dục / Đào tạo</t>
        </is>
      </c>
      <c r="K18748" s="10" t="inlineStr">
        <is>
          <t>Lên đến 2 Năm</t>
        </is>
      </c>
      <c r="L18748" s="11">
        <f>HYPERLINK("https://careerviet.vn/vi/tim-viec-lam/nhan-vien-content-marketing.35C66E3F.html","Xem chi tiết")</f>
        <v/>
      </c>
      <c r="M18748" s="10" t="n"/>
    </row>
    <row r="18749">
      <c r="B18749" s="7" t="n">
        <v>18747</v>
      </c>
      <c r="C18749" t="inlineStr">
        <is>
          <t>PHÓ PHÒNG KINH DOANH (VẬT TƯ- BÁN HÀNG)</t>
        </is>
      </c>
      <c r="D18749" t="inlineStr">
        <is>
          <t>CÔNG TY CỔ PHẦN ĐẦU TƯ VÀ XÂY DỰNG BÌNH DƯƠNG ACC</t>
        </is>
      </c>
      <c r="E18749" t="inlineStr">
        <is>
          <t>Lương:15 Tr - 23 Tr VND</t>
        </is>
      </c>
      <c r="F18749" t="inlineStr">
        <is>
          <t>Bình Dương</t>
        </is>
      </c>
      <c r="G18749" t="inlineStr">
        <is>
          <t>30-03-2026</t>
        </is>
      </c>
      <c r="H18749" t="inlineStr">
        <is>
          <t>30/03/2026</t>
        </is>
      </c>
      <c r="I18749" t="inlineStr">
        <is>
          <t>17/03/2026</t>
        </is>
      </c>
      <c r="J18749" t="inlineStr">
        <is>
          <t>Bán hàng / Kinh doanh, Xây dựng, Thu mua / Vật tư</t>
        </is>
      </c>
      <c r="K18749" t="inlineStr">
        <is>
          <t>2 - 3 Năm</t>
        </is>
      </c>
      <c r="L18749" s="8">
        <f>HYPERLINK("https://careerviet.vn/vi/tim-viec-lam/pho-phong-kinh-doanh-vat-tu-ban-hang.35C64348.html","Xem chi tiết")</f>
        <v/>
      </c>
    </row>
    <row r="18750">
      <c r="B18750" s="9" t="n">
        <v>18748</v>
      </c>
      <c r="C18750" s="10" t="inlineStr">
        <is>
          <t>Marketability Engineer VDI</t>
        </is>
      </c>
      <c r="D18750" s="10" t="inlineStr">
        <is>
          <t>Công ty Cổ phần Vietsol</t>
        </is>
      </c>
      <c r="E18750" s="10" t="inlineStr">
        <is>
          <t>Lương:Cạnh tranh</t>
        </is>
      </c>
      <c r="F18750" s="10" t="inlineStr">
        <is>
          <t>Hà Nội</t>
        </is>
      </c>
      <c r="G18750" s="10" t="inlineStr">
        <is>
          <t>30-03-2026</t>
        </is>
      </c>
      <c r="H18750" s="10" t="inlineStr">
        <is>
          <t>30/03/2026</t>
        </is>
      </c>
      <c r="I18750" s="10" t="inlineStr">
        <is>
          <t>17/03/2026</t>
        </is>
      </c>
      <c r="J18750" s="10" t="inlineStr">
        <is>
          <t>Cơ khí / Ô tô / Tự động hóa</t>
        </is>
      </c>
      <c r="K18750" s="10" t="inlineStr">
        <is>
          <t>N/A</t>
        </is>
      </c>
      <c r="L18750" s="11">
        <f>HYPERLINK("https://careerviet.vn/vi/tim-viec-lam/marketability-engineer-vdi.35C66F07.html","Xem chi tiết")</f>
        <v/>
      </c>
      <c r="M18750" s="10" t="n"/>
    </row>
    <row r="18751">
      <c r="B18751" s="7" t="n">
        <v>18749</v>
      </c>
      <c r="C18751" t="inlineStr">
        <is>
          <t>Nhân Viên ISO</t>
        </is>
      </c>
      <c r="D18751" t="inlineStr">
        <is>
          <t>CÔNG TY TNHH GIẢI PHÁP Y SINH ABT</t>
        </is>
      </c>
      <c r="E18751" t="inlineStr">
        <is>
          <t>Lương:Cạnh tranh</t>
        </is>
      </c>
      <c r="F18751" t="inlineStr">
        <is>
          <t>Tây Ninh</t>
        </is>
      </c>
      <c r="G18751" t="inlineStr">
        <is>
          <t>30-03-2026</t>
        </is>
      </c>
      <c r="H18751" t="inlineStr">
        <is>
          <t>30/03/2026</t>
        </is>
      </c>
      <c r="I18751" t="inlineStr">
        <is>
          <t>17/03/2026</t>
        </is>
      </c>
      <c r="J18751" t="inlineStr">
        <is>
          <t>Hóa học, Quản lý chất lượng (QA/QC), Công nghệ sinh học</t>
        </is>
      </c>
      <c r="K18751" t="inlineStr">
        <is>
          <t>N/A</t>
        </is>
      </c>
      <c r="L18751" s="8">
        <f>HYPERLINK("https://careerviet.vn/vi/tim-viec-lam/nhan-vien-iso.35C66F99.html","Xem chi tiết")</f>
        <v/>
      </c>
    </row>
    <row r="18752">
      <c r="B18752" s="9" t="n">
        <v>18750</v>
      </c>
      <c r="C18752" s="10" t="inlineStr">
        <is>
          <t>CHUYÊN VIÊN DIGITAL MARKETING - FMCG</t>
        </is>
      </c>
      <c r="D18752" s="10" t="inlineStr">
        <is>
          <t>Công Ty Cổ Phần Phúc Sinh</t>
        </is>
      </c>
      <c r="E18752" s="10" t="inlineStr">
        <is>
          <t>Lương:Cạnh tranh</t>
        </is>
      </c>
      <c r="F18752" s="10" t="inlineStr">
        <is>
          <t>Hồ Chí Minh</t>
        </is>
      </c>
      <c r="G18752" s="10" t="inlineStr">
        <is>
          <t>30-03-2026</t>
        </is>
      </c>
      <c r="H18752" s="10" t="inlineStr">
        <is>
          <t>30/03/2026</t>
        </is>
      </c>
      <c r="I18752" s="10" t="inlineStr">
        <is>
          <t>17/03/2026</t>
        </is>
      </c>
      <c r="J18752" s="10" t="inlineStr">
        <is>
          <t>Bán lẻ / Bán sỉ, Tiếp thị trực tuyến, Tiếp thị / Marketing</t>
        </is>
      </c>
      <c r="K18752" s="10" t="inlineStr">
        <is>
          <t>3 - 5 Năm</t>
        </is>
      </c>
      <c r="L18752" s="11">
        <f>HYPERLINK("https://careerviet.vn/vi/tim-viec-lam/chuyen-vien-digital-marketing-fmcg.35C64448.html","Xem chi tiết")</f>
        <v/>
      </c>
      <c r="M18752" s="10" t="n"/>
    </row>
    <row r="18753">
      <c r="B18753" s="7" t="n">
        <v>18751</v>
      </c>
      <c r="C18753" t="inlineStr">
        <is>
          <t>Head of MEP (Residential)</t>
        </is>
      </c>
      <c r="D18753" t="inlineStr">
        <is>
          <t>Savills Vietnam</t>
        </is>
      </c>
      <c r="E18753" t="inlineStr">
        <is>
          <t>Lương:Cạnh tranh</t>
        </is>
      </c>
      <c r="F18753" t="inlineStr">
        <is>
          <t>Hồ Chí Minh</t>
        </is>
      </c>
      <c r="G18753" t="inlineStr">
        <is>
          <t>30-03-2026</t>
        </is>
      </c>
      <c r="H18753" t="inlineStr">
        <is>
          <t>30/03/2026</t>
        </is>
      </c>
      <c r="I18753" t="inlineStr">
        <is>
          <t>17/03/2026</t>
        </is>
      </c>
      <c r="J18753" t="inlineStr">
        <is>
          <t>Nhà hàng / Khách sạn, Điện / Điện tử / Điện lạnh / Điện công nghiệp, Bảo trì / Sửa chữa</t>
        </is>
      </c>
      <c r="K18753" t="inlineStr">
        <is>
          <t>10 - 15 Năm</t>
        </is>
      </c>
      <c r="L18753" s="8">
        <f>HYPERLINK("https://careerviet.vn/vi/tim-viec-lam/head-of-mep-residential.35C642EB.html","Xem chi tiết")</f>
        <v/>
      </c>
    </row>
    <row r="18754">
      <c r="B18754" s="9" t="n">
        <v>18752</v>
      </c>
      <c r="C18754" s="10" t="inlineStr">
        <is>
          <t>NHÂN VIÊN VĂN PHÒNG TIẾNG TRUNG</t>
        </is>
      </c>
      <c r="D18754" s="10" t="inlineStr">
        <is>
          <t>CÔNG TY TNHH CRYSTAL ELEGANCE TEXTILES VIỆT NAM</t>
        </is>
      </c>
      <c r="E18754" s="10" t="inlineStr">
        <is>
          <t>Lương:8 Tr - 14 Tr VND</t>
        </is>
      </c>
      <c r="F18754" s="10" t="inlineStr">
        <is>
          <t>Bình Dương</t>
        </is>
      </c>
      <c r="G18754" s="10" t="inlineStr">
        <is>
          <t>30-03-2026</t>
        </is>
      </c>
      <c r="H18754" s="10" t="inlineStr">
        <is>
          <t>30/03/2026</t>
        </is>
      </c>
      <c r="I18754" s="10" t="inlineStr">
        <is>
          <t>17/03/2026</t>
        </is>
      </c>
      <c r="J18754" s="10" t="inlineStr">
        <is>
          <t>Hành chính / Thư ký, Biên phiên dịch, Sản xuất / Vận hành sản xuất</t>
        </is>
      </c>
      <c r="K18754" s="10" t="inlineStr">
        <is>
          <t>N/A</t>
        </is>
      </c>
      <c r="L18754" s="11">
        <f>HYPERLINK("https://careerviet.vn/vi/tim-viec-lam/nhan-vien-van-phong-tieng-trung.35C66F17.html","Xem chi tiết")</f>
        <v/>
      </c>
      <c r="M18754" s="10" t="n"/>
    </row>
    <row r="18755">
      <c r="B18755" s="7" t="n">
        <v>18753</v>
      </c>
      <c r="C18755" t="inlineStr">
        <is>
          <t>Brand Manager (FMCG)</t>
        </is>
      </c>
      <c r="D18755" t="inlineStr">
        <is>
          <t>Công ty CP Thành Thành Công - Biên Hòa</t>
        </is>
      </c>
      <c r="E18755" t="inlineStr">
        <is>
          <t>Lương:Cạnh tranh</t>
        </is>
      </c>
      <c r="F18755" t="inlineStr">
        <is>
          <t>Hồ Chí Minh</t>
        </is>
      </c>
      <c r="G18755" t="inlineStr">
        <is>
          <t>30-03-2026</t>
        </is>
      </c>
      <c r="H18755" t="inlineStr">
        <is>
          <t>30/03/2026</t>
        </is>
      </c>
      <c r="I18755" t="inlineStr">
        <is>
          <t>17/03/2026</t>
        </is>
      </c>
      <c r="J18755" t="inlineStr">
        <is>
          <t>Quản lý điều hành</t>
        </is>
      </c>
      <c r="K18755" t="inlineStr">
        <is>
          <t>Trên 5 Năm</t>
        </is>
      </c>
      <c r="L18755" s="8">
        <f>HYPERLINK("https://careerviet.vn/vi/tim-viec-lam/brand-manager-fmcg.35C66E53.html","Xem chi tiết")</f>
        <v/>
      </c>
    </row>
    <row r="18756">
      <c r="B18756" s="9" t="n">
        <v>18754</v>
      </c>
      <c r="C18756" s="10" t="inlineStr">
        <is>
          <t>ASM - Giám Đốc Kinh Doanh Vùng Duyên Hải</t>
        </is>
      </c>
      <c r="D18756" s="10" t="inlineStr">
        <is>
          <t>CÔNG TY CP BIA &amp; NGK HẠ LONG</t>
        </is>
      </c>
      <c r="E18756" s="10" t="inlineStr">
        <is>
          <t>Lương:40 Tr - 60 Tr VND</t>
        </is>
      </c>
      <c r="F18756" s="10" t="inlineStr">
        <is>
          <t>KV Bắc Trung Bộ</t>
        </is>
      </c>
      <c r="G18756" s="10" t="inlineStr">
        <is>
          <t>30-03-2026</t>
        </is>
      </c>
      <c r="H18756" s="10" t="inlineStr">
        <is>
          <t>30/03/2026</t>
        </is>
      </c>
      <c r="I18756" s="10" t="inlineStr">
        <is>
          <t>17/03/2026</t>
        </is>
      </c>
      <c r="J18756" s="10" t="inlineStr">
        <is>
          <t>Bán lẻ / Bán sỉ</t>
        </is>
      </c>
      <c r="K18756" s="10" t="inlineStr">
        <is>
          <t>3 - 5 Năm</t>
        </is>
      </c>
      <c r="L18756" s="11">
        <f>HYPERLINK("https://careerviet.vn/vi/tim-viec-lam/asm-giam-doc-kinh-doanh-vung-duyen-hai.35C64316.html","Xem chi tiết")</f>
        <v/>
      </c>
      <c r="M18756" s="10" t="n"/>
    </row>
    <row r="18757">
      <c r="B18757" s="7" t="n">
        <v>18755</v>
      </c>
      <c r="C18757" t="inlineStr">
        <is>
          <t>Trưởng phòng hành chính nhân sự  (CĐT BĐS, Đà Nẵng)</t>
        </is>
      </c>
      <c r="D18757" t="inlineStr">
        <is>
          <t>Công ty Cổ phần Tập đoàn KITA Group</t>
        </is>
      </c>
      <c r="E18757" t="inlineStr">
        <is>
          <t>Lương:25 Tr - 30 Tr VND</t>
        </is>
      </c>
      <c r="F18757" t="inlineStr">
        <is>
          <t>Đà Nẵng</t>
        </is>
      </c>
      <c r="G18757" t="inlineStr">
        <is>
          <t>30-03-2026</t>
        </is>
      </c>
      <c r="H18757" t="inlineStr">
        <is>
          <t>30/03/2026</t>
        </is>
      </c>
      <c r="I18757" t="inlineStr">
        <is>
          <t>17/03/2026</t>
        </is>
      </c>
      <c r="J18757" t="inlineStr">
        <is>
          <t>Hành chính / Thư ký, Nhân sự, Bất động sản</t>
        </is>
      </c>
      <c r="K18757" t="inlineStr">
        <is>
          <t>5 - 8 Năm</t>
        </is>
      </c>
      <c r="L18757" s="8">
        <f>HYPERLINK("https://careerviet.vn/vi/tim-viec-lam/truong-phong-hanh-chinh-nhan-su-cdt-bds-da-nang.35C642E2.html","Xem chi tiết")</f>
        <v/>
      </c>
    </row>
    <row r="18758">
      <c r="B18758" s="9" t="n">
        <v>18756</v>
      </c>
      <c r="C18758" s="10" t="inlineStr">
        <is>
          <t>Trưởng Phòng Mua Hàng (Điện Tử, Tiếng Trung) làm việc tại Vũng Tàu</t>
        </is>
      </c>
      <c r="D18758" s="10" t="inlineStr">
        <is>
          <t>Headhunter HRchannels Group</t>
        </is>
      </c>
      <c r="E18758" s="10" t="inlineStr">
        <is>
          <t>Lương:1.000 - 1.100 USD</t>
        </is>
      </c>
      <c r="F18758" s="10" t="inlineStr">
        <is>
          <t>Bà Rịa - Vũng TàuĐồng NaiBình Dương</t>
        </is>
      </c>
      <c r="G18758" s="10" t="inlineStr">
        <is>
          <t>30-03-2026</t>
        </is>
      </c>
      <c r="H18758" s="10" t="inlineStr">
        <is>
          <t>30/03/2026</t>
        </is>
      </c>
      <c r="I18758" s="10" t="inlineStr">
        <is>
          <t>17/03/2026</t>
        </is>
      </c>
      <c r="J18758" s="10" t="inlineStr">
        <is>
          <t>Điện / Điện tử / Điện lạnh / Điện công nghiệp, Sản xuất / Vận hành sản xuất, Thu mua / Vật tư</t>
        </is>
      </c>
      <c r="K18758" s="10" t="inlineStr">
        <is>
          <t>1 - 3 Năm</t>
        </is>
      </c>
      <c r="L18758" s="11">
        <f>HYPERLINK("https://careerviet.vn/vi/tim-viec-lam/truong-phong-mua-hang-dien-tu-tieng-trung-lam-viec-tai-vung-tau.35C66F90.html","Xem chi tiết")</f>
        <v/>
      </c>
      <c r="M18758" s="10" t="n"/>
    </row>
    <row r="18759">
      <c r="B18759" s="7" t="n">
        <v>18757</v>
      </c>
      <c r="C18759" t="inlineStr">
        <is>
          <t>Senior AI Research Engineer (Computer Vision)</t>
        </is>
      </c>
      <c r="D18759" t="inlineStr">
        <is>
          <t>Công ty Trách nhiệm hữu hạn Thị giác Meta</t>
        </is>
      </c>
      <c r="E18759" t="inlineStr">
        <is>
          <t>Lương:Lên đến 2.000 USD</t>
        </is>
      </c>
      <c r="F18759" t="inlineStr">
        <is>
          <t>Hà Nội</t>
        </is>
      </c>
      <c r="G18759" t="inlineStr">
        <is>
          <t>30-03-2026</t>
        </is>
      </c>
      <c r="H18759" t="inlineStr">
        <is>
          <t>30/03/2026</t>
        </is>
      </c>
      <c r="I18759" t="inlineStr">
        <is>
          <t>17/03/2026</t>
        </is>
      </c>
      <c r="J18759" t="inlineStr">
        <is>
          <t>CNTT - Phần mềm</t>
        </is>
      </c>
      <c r="K18759" t="inlineStr">
        <is>
          <t>Trên 4 Năm</t>
        </is>
      </c>
      <c r="L18759" s="8">
        <f>HYPERLINK("https://careerviet.vn/vi/tim-viec-lam/senior-ai-research-engineer-computer-vision.35C66EF2.html","Xem chi tiết")</f>
        <v/>
      </c>
    </row>
    <row r="18760">
      <c r="B18760" s="9" t="n">
        <v>18758</v>
      </c>
      <c r="C18760" s="10" t="inlineStr">
        <is>
          <t>CHUYÊN VIÊN PHÂN TÍCH NGHIỆP VỤ</t>
        </is>
      </c>
      <c r="D18760" s="10" t="inlineStr">
        <is>
          <t>CÔNG TY CỔ PHẦN CẢNG TÀU KHÁCH QUỐC TẾ TUẦN CHÂU</t>
        </is>
      </c>
      <c r="E18760" s="10" t="inlineStr">
        <is>
          <t>Lương:Cạnh tranh</t>
        </is>
      </c>
      <c r="F18760" s="10" t="inlineStr">
        <is>
          <t>Hà Nội</t>
        </is>
      </c>
      <c r="G18760" s="10" t="inlineStr">
        <is>
          <t>30-03-2026</t>
        </is>
      </c>
      <c r="H18760" s="10" t="inlineStr">
        <is>
          <t>30/03/2026</t>
        </is>
      </c>
      <c r="I18760" s="10" t="inlineStr">
        <is>
          <t>17/03/2026</t>
        </is>
      </c>
      <c r="J18760" s="10" t="inlineStr">
        <is>
          <t>CNTT - Phần mềm</t>
        </is>
      </c>
      <c r="K18760" s="10" t="inlineStr">
        <is>
          <t>2 - 5 Năm</t>
        </is>
      </c>
      <c r="L18760" s="11">
        <f>HYPERLINK("https://careerviet.vn/vi/tim-viec-lam/chuyen-vien-phan-tich-nghiep-vu.35C64391.html","Xem chi tiết")</f>
        <v/>
      </c>
      <c r="M18760" s="10" t="n"/>
    </row>
    <row r="18761">
      <c r="B18761" s="7" t="n">
        <v>18759</v>
      </c>
      <c r="C18761" t="inlineStr">
        <is>
          <t>[PGDL Bình Tân] Trưởng nhóm Khách hàng Cá nhân</t>
        </is>
      </c>
      <c r="D18761" t="inlineStr">
        <is>
          <t>Ngân hàng TMCP Lộc Phát Việt Nam (LPBank)</t>
        </is>
      </c>
      <c r="E18761" t="inlineStr">
        <is>
          <t>Lương:Cạnh tranh</t>
        </is>
      </c>
      <c r="F18761" t="inlineStr">
        <is>
          <t>Hồ Chí Minh</t>
        </is>
      </c>
      <c r="G18761" t="inlineStr">
        <is>
          <t>30-03-2026</t>
        </is>
      </c>
      <c r="H18761" t="inlineStr">
        <is>
          <t>30/03/2026</t>
        </is>
      </c>
      <c r="I18761" t="inlineStr">
        <is>
          <t>17/03/2026</t>
        </is>
      </c>
      <c r="J18761" t="inlineStr">
        <is>
          <t>Bán hàng / Kinh doanh, Bất động sản, Kế toán / Kiểm toán</t>
        </is>
      </c>
      <c r="K18761" t="inlineStr">
        <is>
          <t>Trên 3 Năm</t>
        </is>
      </c>
      <c r="L18761" s="8">
        <f>HYPERLINK("https://careerviet.vn/vi/tim-viec-lam/pgdl-binh-tan-truong-nhom-khach-hang-ca-nhan.35C66E13.html","Xem chi tiết")</f>
        <v/>
      </c>
    </row>
    <row r="18762">
      <c r="B18762" s="9" t="n">
        <v>18760</v>
      </c>
      <c r="C18762" s="10" t="inlineStr">
        <is>
          <t>HÀNH CHÍNH NHÂN SỰ</t>
        </is>
      </c>
      <c r="D18762" s="10" t="inlineStr">
        <is>
          <t>CÔNG TY TNHH SX-TM-XD KYODO</t>
        </is>
      </c>
      <c r="E18762" s="10" t="inlineStr">
        <is>
          <t>Lương:8 Tr - 10 Tr VND</t>
        </is>
      </c>
      <c r="F18762" s="10" t="inlineStr">
        <is>
          <t>Hà Nội</t>
        </is>
      </c>
      <c r="G18762" s="10" t="inlineStr">
        <is>
          <t>30-03-2026</t>
        </is>
      </c>
      <c r="H18762" s="10" t="inlineStr">
        <is>
          <t>30/03/2026</t>
        </is>
      </c>
      <c r="I18762" s="10" t="inlineStr">
        <is>
          <t>17/03/2026</t>
        </is>
      </c>
      <c r="J18762" s="10" t="inlineStr">
        <is>
          <t>Hành chính / Thư ký, Nhân sự</t>
        </is>
      </c>
      <c r="K18762" s="10" t="inlineStr">
        <is>
          <t>Trên 1 Năm</t>
        </is>
      </c>
      <c r="L18762" s="11">
        <f>HYPERLINK("https://careerviet.vn/vi/tim-viec-lam/hanh-chinh-nhan-su.35C643DD.html","Xem chi tiết")</f>
        <v/>
      </c>
      <c r="M18762" s="10" t="n"/>
    </row>
    <row r="18763">
      <c r="B18763" s="7" t="n">
        <v>18761</v>
      </c>
      <c r="C18763" t="inlineStr">
        <is>
          <t>Social Compliance Officer (C&amp;B)</t>
        </is>
      </c>
      <c r="D18763" t="inlineStr">
        <is>
          <t>MOTIVES VIETNAM CORPORATION</t>
        </is>
      </c>
      <c r="E18763" t="inlineStr">
        <is>
          <t>Lương:Cạnh tranh</t>
        </is>
      </c>
      <c r="F18763" t="inlineStr">
        <is>
          <t>Hồ Chí Minh</t>
        </is>
      </c>
      <c r="G18763" t="inlineStr">
        <is>
          <t>30-03-2026</t>
        </is>
      </c>
      <c r="H18763" t="inlineStr">
        <is>
          <t>30/03/2026</t>
        </is>
      </c>
      <c r="I18763" t="inlineStr">
        <is>
          <t>17/03/2026</t>
        </is>
      </c>
      <c r="J18763" t="inlineStr">
        <is>
          <t>Nhân sự, Sản xuất / Vận hành sản xuất, An toàn lao động</t>
        </is>
      </c>
      <c r="K18763" t="inlineStr">
        <is>
          <t>Trên 2 Năm</t>
        </is>
      </c>
      <c r="L18763" s="8">
        <f>HYPERLINK("https://careerviet.vn/vi/tim-viec-lam/social-compliance-officer-c-b.35C64315.html","Xem chi tiết")</f>
        <v/>
      </c>
    </row>
    <row r="18764">
      <c r="B18764" s="9" t="n">
        <v>18762</v>
      </c>
      <c r="C18764" s="10" t="inlineStr">
        <is>
          <t>Nhân viên vận hành livestream</t>
        </is>
      </c>
      <c r="D18764" s="10" t="inlineStr">
        <is>
          <t>CÔNG TY TNHH WORTHFIND TRAVEL GOODS</t>
        </is>
      </c>
      <c r="E18764" s="10" t="inlineStr">
        <is>
          <t>Lương:10 Tr - 15 Tr VND</t>
        </is>
      </c>
      <c r="F18764" s="10" t="inlineStr">
        <is>
          <t>Hồ Chí Minh</t>
        </is>
      </c>
      <c r="G18764" s="10" t="inlineStr">
        <is>
          <t>30-03-2026</t>
        </is>
      </c>
      <c r="H18764" s="10" t="inlineStr">
        <is>
          <t>30/03/2026</t>
        </is>
      </c>
      <c r="I18764" s="10" t="inlineStr">
        <is>
          <t>17/03/2026</t>
        </is>
      </c>
      <c r="J18764" s="10" t="inlineStr">
        <is>
          <t>Tiếp thị trực tuyến, Thương mại điện tử, Quảng cáo / Đối ngoại / Truyền Thông</t>
        </is>
      </c>
      <c r="K18764" s="10" t="inlineStr">
        <is>
          <t>1 - 2 Năm</t>
        </is>
      </c>
      <c r="L18764" s="11">
        <f>HYPERLINK("https://careerviet.vn/vi/tim-viec-lam/nhan-vien-van-hanh-livestream.35C66E37.html","Xem chi tiết")</f>
        <v/>
      </c>
      <c r="M18764" s="10" t="n"/>
    </row>
    <row r="18765">
      <c r="B18765" s="7" t="n">
        <v>18763</v>
      </c>
      <c r="C18765" t="inlineStr">
        <is>
          <t>(Senior) Account Executive</t>
        </is>
      </c>
      <c r="D18765" t="inlineStr">
        <is>
          <t>CÔNG TY TNHH GOLDNET</t>
        </is>
      </c>
      <c r="E18765" t="inlineStr">
        <is>
          <t>Lương:Cạnh tranh</t>
        </is>
      </c>
      <c r="F18765" t="inlineStr">
        <is>
          <t>Hồ Chí Minh</t>
        </is>
      </c>
      <c r="G18765" t="inlineStr">
        <is>
          <t>30-03-2026</t>
        </is>
      </c>
      <c r="H18765" t="inlineStr">
        <is>
          <t>30/03/2026</t>
        </is>
      </c>
      <c r="I18765" t="inlineStr">
        <is>
          <t>17/03/2026</t>
        </is>
      </c>
      <c r="J18765" t="inlineStr">
        <is>
          <t>Tiếp thị / Marketing, Bán hàng / Kinh doanh, Thương mại điện tử</t>
        </is>
      </c>
      <c r="K18765" t="inlineStr">
        <is>
          <t>Trên 2 Năm</t>
        </is>
      </c>
      <c r="L18765" s="8">
        <f>HYPERLINK("https://careerviet.vn/vi/tim-viec-lam/senior-account-executive.35C66E81.html","Xem chi tiết")</f>
        <v/>
      </c>
    </row>
    <row r="18766">
      <c r="B18766" s="9" t="n">
        <v>18764</v>
      </c>
      <c r="C18766" s="10" t="inlineStr">
        <is>
          <t>Kiến trúc sư công trình ( Chủ đầu tư)</t>
        </is>
      </c>
      <c r="D18766" s="10" t="inlineStr">
        <is>
          <t>CÔNG TY CỔ PHẦN EUROWINDOW HOLDING</t>
        </is>
      </c>
      <c r="E18766" s="10" t="inlineStr">
        <is>
          <t>Lương:Cạnh tranh</t>
        </is>
      </c>
      <c r="F18766" s="10" t="inlineStr">
        <is>
          <t>Hà Nội</t>
        </is>
      </c>
      <c r="G18766" s="10" t="inlineStr">
        <is>
          <t>30-03-2026</t>
        </is>
      </c>
      <c r="H18766" s="10" t="inlineStr">
        <is>
          <t>30/03/2026</t>
        </is>
      </c>
      <c r="I18766" s="10" t="inlineStr">
        <is>
          <t>17/03/2026</t>
        </is>
      </c>
      <c r="J18766" s="10" t="inlineStr">
        <is>
          <t>Kiến trúc</t>
        </is>
      </c>
      <c r="K18766" s="10" t="inlineStr">
        <is>
          <t>7 - 15 Năm</t>
        </is>
      </c>
      <c r="L18766" s="11">
        <f>HYPERLINK("https://careerviet.vn/vi/tim-viec-lam/kien-truc-su-cong-trinh-chu-dau-tu.35C66F88.html","Xem chi tiết")</f>
        <v/>
      </c>
      <c r="M18766" s="10" t="n"/>
    </row>
    <row r="18767">
      <c r="B18767" s="7" t="n">
        <v>18765</v>
      </c>
      <c r="C18767" t="inlineStr">
        <is>
          <t>Cán bộ thu hồi nợ thực địa Hải Phòng - TA140</t>
        </is>
      </c>
      <c r="D18767" t="inlineStr">
        <is>
          <t>Ngân Hàng TMCP Việt Nam Thịnh Vượng - VPBANK</t>
        </is>
      </c>
      <c r="E18767" t="inlineStr">
        <is>
          <t>Lương:15 Tr - 50 Tr VND</t>
        </is>
      </c>
      <c r="F18767" t="inlineStr">
        <is>
          <t>Hải PhòngBắc NinhVĩnh Phúc</t>
        </is>
      </c>
      <c r="G18767" t="inlineStr">
        <is>
          <t>30-03-2026</t>
        </is>
      </c>
      <c r="H18767" t="inlineStr">
        <is>
          <t>30/03/2026</t>
        </is>
      </c>
      <c r="I18767" t="inlineStr">
        <is>
          <t>17/03/2026</t>
        </is>
      </c>
      <c r="J18767" t="inlineStr">
        <is>
          <t>Luật / Pháp lý, Ngân hàng, Dịch vụ khách hàng</t>
        </is>
      </c>
      <c r="K18767" t="inlineStr">
        <is>
          <t>N/A</t>
        </is>
      </c>
      <c r="L18767" s="8">
        <f>HYPERLINK("https://careerviet.vn/vi/tim-viec-lam/can-bo-thu-hoi-no-thuc-dia-hai-phong-ta140.35C66E71.html","Xem chi tiết")</f>
        <v/>
      </c>
    </row>
    <row r="18768">
      <c r="B18768" s="9" t="n">
        <v>18766</v>
      </c>
      <c r="C18768" s="10" t="inlineStr">
        <is>
          <t>Chuyên viên/ CVC/ CVCC Khách hàng cá nhân - Nghệ An</t>
        </is>
      </c>
      <c r="D18768" s="10" t="inlineStr">
        <is>
          <t>Ngân hàng Thương mại cổ phần Đông Nam Á (SeABank)</t>
        </is>
      </c>
      <c r="E18768" s="10" t="inlineStr">
        <is>
          <t>Lương:10 Tr - 20 Tr VND</t>
        </is>
      </c>
      <c r="F18768" s="10" t="inlineStr">
        <is>
          <t>Nghệ An</t>
        </is>
      </c>
      <c r="G18768" s="10" t="inlineStr">
        <is>
          <t>30-03-2026</t>
        </is>
      </c>
      <c r="H18768" s="10" t="inlineStr">
        <is>
          <t>30/03/2026</t>
        </is>
      </c>
      <c r="I18768" s="10" t="inlineStr">
        <is>
          <t>17/03/2026</t>
        </is>
      </c>
      <c r="J18768" s="10" t="inlineStr">
        <is>
          <t>Bán hàng / Kinh doanh, Ngân hàng</t>
        </is>
      </c>
      <c r="K18768" s="10" t="inlineStr">
        <is>
          <t>1 - 2 Năm</t>
        </is>
      </c>
      <c r="L18768" s="11">
        <f>HYPERLINK("https://careerviet.vn/vi/tim-viec-lam/chuyen-vien-cvc-cvcc-khach-hang-ca-nhan-nghe-an.35C66E1E.html","Xem chi tiết")</f>
        <v/>
      </c>
      <c r="M18768" s="10" t="n"/>
    </row>
    <row r="18769">
      <c r="B18769" s="7" t="n">
        <v>18767</v>
      </c>
      <c r="C18769" t="inlineStr">
        <is>
          <t>Giáo viên | Thực tập sinh Tiểu học - TP. Thủ Đức</t>
        </is>
      </c>
      <c r="D18769" t="inlineStr">
        <is>
          <t>Hệ thống trường Pathway Tuệ Đức</t>
        </is>
      </c>
      <c r="E18769" t="inlineStr">
        <is>
          <t>Lương:Cạnh tranh</t>
        </is>
      </c>
      <c r="F18769" t="inlineStr">
        <is>
          <t>Hồ Chí Minh</t>
        </is>
      </c>
      <c r="G18769" t="inlineStr">
        <is>
          <t>30-03-2026</t>
        </is>
      </c>
      <c r="H18769" t="inlineStr">
        <is>
          <t>30/03/2026</t>
        </is>
      </c>
      <c r="I18769" t="inlineStr">
        <is>
          <t>17/03/2026</t>
        </is>
      </c>
      <c r="J18769" t="inlineStr">
        <is>
          <t>Giáo dục / Đào tạo</t>
        </is>
      </c>
      <c r="K18769" t="inlineStr">
        <is>
          <t>1 - 2 Năm</t>
        </is>
      </c>
      <c r="L18769" s="8">
        <f>HYPERLINK("https://careerviet.vn/vi/tim-viec-lam/giao-vien-thuc-tap-sinh-tieu-hoc-tp-thu-duc.35C64468.html","Xem chi tiết")</f>
        <v/>
      </c>
    </row>
    <row r="18770">
      <c r="B18770" s="9" t="n">
        <v>18768</v>
      </c>
      <c r="C18770" s="10" t="inlineStr">
        <is>
          <t>CV Điều hành và Phân tích dữ liệu kinh doanh</t>
        </is>
      </c>
      <c r="D18770" s="10" t="inlineStr">
        <is>
          <t>Tổng Công ty Cổ phần Công trình Viettel</t>
        </is>
      </c>
      <c r="E18770" s="10" t="inlineStr">
        <is>
          <t>Lương:17 Tr - 20 Tr VND</t>
        </is>
      </c>
      <c r="F18770" s="10" t="inlineStr">
        <is>
          <t>Hà Nội</t>
        </is>
      </c>
      <c r="G18770" s="10" t="inlineStr">
        <is>
          <t>30-03-2026</t>
        </is>
      </c>
      <c r="H18770" s="10" t="inlineStr">
        <is>
          <t>30/03/2026</t>
        </is>
      </c>
      <c r="I18770" s="10" t="inlineStr">
        <is>
          <t>17/03/2026</t>
        </is>
      </c>
      <c r="J18770" s="10" t="inlineStr">
        <is>
          <t>Bán hàng / Kinh doanh, Thống kê, Tài chính / Đầu tư</t>
        </is>
      </c>
      <c r="K18770" s="10" t="inlineStr">
        <is>
          <t>2 - 3 Năm</t>
        </is>
      </c>
      <c r="L18770" s="11">
        <f>HYPERLINK("https://careerviet.vn/vi/tim-viec-lam/cv-dieu-hanh-va-phan-tich-du-lieu-kinh-doanh.35C6439D.html","Xem chi tiết")</f>
        <v/>
      </c>
      <c r="M18770" s="10" t="n"/>
    </row>
    <row r="18771">
      <c r="B18771" s="7" t="n">
        <v>18769</v>
      </c>
      <c r="C18771" t="inlineStr">
        <is>
          <t>NHÂN VIÊN QC - KIỂM SOÁT CHẤT LƯỢNG</t>
        </is>
      </c>
      <c r="D18771" t="inlineStr">
        <is>
          <t>CÔNG TY CỔ PHẦN CHẾ BIẾN THỰC PHẨM HOÀNG SƠN</t>
        </is>
      </c>
      <c r="E18771" t="inlineStr">
        <is>
          <t>Lương:10 Tr - 12 Tr VND</t>
        </is>
      </c>
      <c r="F18771" t="inlineStr">
        <is>
          <t>Bình Dương</t>
        </is>
      </c>
      <c r="G18771" t="inlineStr">
        <is>
          <t>30-03-2026</t>
        </is>
      </c>
      <c r="H18771" t="inlineStr">
        <is>
          <t>30/03/2026</t>
        </is>
      </c>
      <c r="I18771" t="inlineStr">
        <is>
          <t>17/03/2026</t>
        </is>
      </c>
      <c r="J18771" t="inlineStr">
        <is>
          <t>Thực phẩm &amp; Đồ uống, Công nghệ thực phẩm / Dinh dưỡng, Quản lý chất lượng (QA/QC)</t>
        </is>
      </c>
      <c r="K18771" t="inlineStr">
        <is>
          <t>1 - 2 Năm</t>
        </is>
      </c>
      <c r="L18771" s="8">
        <f>HYPERLINK("https://careerviet.vn/vi/tim-viec-lam/nhan-vien-qc-kiem-soat-chat-luong.35C66EE4.html","Xem chi tiết")</f>
        <v/>
      </c>
    </row>
    <row r="18772">
      <c r="B18772" s="9" t="n">
        <v>18770</v>
      </c>
      <c r="C18772" s="10" t="inlineStr">
        <is>
          <t>Senior Property Manager (Grade A Office)</t>
        </is>
      </c>
      <c r="D18772" s="10" t="inlineStr">
        <is>
          <t>Savills Vietnam</t>
        </is>
      </c>
      <c r="E18772" s="10" t="inlineStr">
        <is>
          <t>Lương:Cạnh tranh</t>
        </is>
      </c>
      <c r="F18772" s="10" t="inlineStr">
        <is>
          <t>Hồ Chí Minh</t>
        </is>
      </c>
      <c r="G18772" s="10" t="inlineStr">
        <is>
          <t>30-03-2026</t>
        </is>
      </c>
      <c r="H18772" s="10" t="inlineStr">
        <is>
          <t>30/03/2026</t>
        </is>
      </c>
      <c r="I18772" s="10" t="inlineStr">
        <is>
          <t>17/03/2026</t>
        </is>
      </c>
      <c r="J18772" s="10" t="inlineStr">
        <is>
          <t>Bảo trì / Sửa chữa, Hành chính / Thư ký, Quản lý điều hành</t>
        </is>
      </c>
      <c r="K18772" s="10" t="inlineStr">
        <is>
          <t>5 - 10 Năm</t>
        </is>
      </c>
      <c r="L18772" s="11">
        <f>HYPERLINK("https://careerviet.vn/vi/tim-viec-lam/senior-property-manager-grade-a-office.35C64331.html","Xem chi tiết")</f>
        <v/>
      </c>
      <c r="M18772" s="10" t="n"/>
    </row>
    <row r="18773">
      <c r="B18773" s="7" t="n">
        <v>18771</v>
      </c>
      <c r="C18773" t="inlineStr">
        <is>
          <t>KV Đông Nam Bộ - Giám đốc/Chuyên viên Dịch vụ Khách hàng</t>
        </is>
      </c>
      <c r="D18773" t="inlineStr">
        <is>
          <t>BVBank - Ngân hàng Bản Việt</t>
        </is>
      </c>
      <c r="E18773" t="inlineStr">
        <is>
          <t>Lương:Cạnh tranh</t>
        </is>
      </c>
      <c r="F18773" t="inlineStr">
        <is>
          <t>Bình DươngĐồng NaiBình Thuận</t>
        </is>
      </c>
      <c r="G18773" t="inlineStr">
        <is>
          <t>30-03-2026</t>
        </is>
      </c>
      <c r="H18773" t="inlineStr">
        <is>
          <t>30/03/2026</t>
        </is>
      </c>
      <c r="I18773" t="inlineStr">
        <is>
          <t>17/03/2026</t>
        </is>
      </c>
      <c r="J18773" t="inlineStr">
        <is>
          <t>Ngân hàng, Tài chính / Đầu tư, Bán hàng / Kinh doanh</t>
        </is>
      </c>
      <c r="K18773" t="inlineStr">
        <is>
          <t>1 - 2 Năm</t>
        </is>
      </c>
      <c r="L18773" s="8">
        <f>HYPERLINK("https://careerviet.vn/vi/tim-viec-lam/kv-dong-nam-bo-giam-doc-chuyen-vien-dich-vu-khach-hang.35C643C6.html","Xem chi tiết")</f>
        <v/>
      </c>
    </row>
    <row r="18774">
      <c r="B18774" s="9" t="n">
        <v>18772</v>
      </c>
      <c r="C18774" s="10" t="inlineStr">
        <is>
          <t>ACADEMIC SPECIALIST</t>
        </is>
      </c>
      <c r="D18774" s="10" t="inlineStr">
        <is>
          <t>Bitex (Nhà phân phối độc quyền máy tính Casio tại Việt Nam)</t>
        </is>
      </c>
      <c r="E18774" s="10" t="inlineStr">
        <is>
          <t>Lương:Cạnh tranh</t>
        </is>
      </c>
      <c r="F18774" s="10" t="inlineStr">
        <is>
          <t>Hồ Chí Minh</t>
        </is>
      </c>
      <c r="G18774" s="10" t="inlineStr">
        <is>
          <t>30-03-2026</t>
        </is>
      </c>
      <c r="H18774" s="10" t="inlineStr">
        <is>
          <t>30/03/2026</t>
        </is>
      </c>
      <c r="I18774" s="10" t="inlineStr">
        <is>
          <t>17/03/2026</t>
        </is>
      </c>
      <c r="J18774" s="10" t="inlineStr">
        <is>
          <t>Giáo dục / Đào tạo</t>
        </is>
      </c>
      <c r="K18774" s="10" t="inlineStr">
        <is>
          <t>1 - 2 Năm</t>
        </is>
      </c>
      <c r="L18774" s="11">
        <f>HYPERLINK("https://careerviet.vn/vi/tim-viec-lam/academic-specialist.35C64419.html","Xem chi tiết")</f>
        <v/>
      </c>
      <c r="M18774" s="10" t="n"/>
    </row>
    <row r="18775">
      <c r="B18775" s="7" t="n">
        <v>18773</v>
      </c>
      <c r="C18775" t="inlineStr">
        <is>
          <t>Market &amp; Category Research Specialist (FMCG)</t>
        </is>
      </c>
      <c r="D18775" t="inlineStr">
        <is>
          <t>Concung.com - Con Cung Joint Stock Company</t>
        </is>
      </c>
      <c r="E18775" t="inlineStr">
        <is>
          <t>Lương:Cạnh tranh</t>
        </is>
      </c>
      <c r="F18775" t="inlineStr">
        <is>
          <t>Hồ Chí Minh</t>
        </is>
      </c>
      <c r="G18775" t="inlineStr">
        <is>
          <t>30-03-2026</t>
        </is>
      </c>
      <c r="H18775" t="inlineStr">
        <is>
          <t>30/03/2026</t>
        </is>
      </c>
      <c r="I18775" t="inlineStr">
        <is>
          <t>17/03/2026</t>
        </is>
      </c>
      <c r="J18775" t="inlineStr">
        <is>
          <t>Bán lẻ / Bán sỉ, Hàng gia dụng / Chăm sóc cá nhân, Dược phẩm/ Hóa Mỹ Phẩm</t>
        </is>
      </c>
      <c r="K18775" t="inlineStr">
        <is>
          <t>Trên 3 Năm</t>
        </is>
      </c>
      <c r="L18775" s="8">
        <f>HYPERLINK("https://careerviet.vn/vi/tim-viec-lam/market-category-research-specialist-fmcg.35C66EBE.html","Xem chi tiết")</f>
        <v/>
      </c>
    </row>
    <row r="18776">
      <c r="B18776" s="9" t="n">
        <v>18774</v>
      </c>
      <c r="C18776" s="10" t="inlineStr">
        <is>
          <t>Nhân Viên Bán Hàng</t>
        </is>
      </c>
      <c r="D18776" s="10" t="inlineStr">
        <is>
          <t>CÔNG TY TNHH BEE CHENG HIANG VIỆT NAM</t>
        </is>
      </c>
      <c r="E18776" s="10" t="inlineStr">
        <is>
          <t>Lương:7 Tr - 8 Tr VND</t>
        </is>
      </c>
      <c r="F18776" s="10" t="inlineStr">
        <is>
          <t>Hồ Chí Minh</t>
        </is>
      </c>
      <c r="G18776" s="10" t="inlineStr">
        <is>
          <t>30-03-2026</t>
        </is>
      </c>
      <c r="H18776" s="10" t="inlineStr">
        <is>
          <t>30/03/2026</t>
        </is>
      </c>
      <c r="I18776" s="10" t="inlineStr">
        <is>
          <t>17/03/2026</t>
        </is>
      </c>
      <c r="J18776" s="10" t="inlineStr">
        <is>
          <t>Tiếp thị / Marketing, Bán hàng / Kinh doanh, Mới tốt nghiệp / Thực tập</t>
        </is>
      </c>
      <c r="K18776" s="10" t="inlineStr">
        <is>
          <t>N/A</t>
        </is>
      </c>
      <c r="L18776" s="11">
        <f>HYPERLINK("https://careerviet.vn/vi/tim-viec-lam/nhan-vien-ban-hang.35C642E8.html","Xem chi tiết")</f>
        <v/>
      </c>
      <c r="M18776" s="10" t="n"/>
    </row>
    <row r="18777">
      <c r="B18777" s="7" t="n">
        <v>18775</v>
      </c>
      <c r="C18777" t="inlineStr">
        <is>
          <t>IQC Engineer</t>
        </is>
      </c>
      <c r="D18777" t="inlineStr">
        <is>
          <t>Công ty TNHH Spartronics Việt Nam</t>
        </is>
      </c>
      <c r="E18777" t="inlineStr">
        <is>
          <t>Lương:Cạnh tranh</t>
        </is>
      </c>
      <c r="F18777" t="inlineStr">
        <is>
          <t>Bình Dương</t>
        </is>
      </c>
      <c r="G18777" t="inlineStr">
        <is>
          <t>30-03-2026</t>
        </is>
      </c>
      <c r="H18777" t="inlineStr">
        <is>
          <t>30/03/2026</t>
        </is>
      </c>
      <c r="I18777" t="inlineStr">
        <is>
          <t>17/03/2026</t>
        </is>
      </c>
      <c r="J18777" t="inlineStr">
        <is>
          <t>Điện / Điện tử / Điện lạnh / Điện công nghiệp, Quản lý chất lượng (QA/QC)</t>
        </is>
      </c>
      <c r="K18777" t="inlineStr">
        <is>
          <t>4 - 7 Năm</t>
        </is>
      </c>
      <c r="L18777" s="8">
        <f>HYPERLINK("https://careerviet.vn/vi/tim-viec-lam/iqc-engineer.35C66FAD.html","Xem chi tiết")</f>
        <v/>
      </c>
    </row>
    <row r="18778">
      <c r="B18778" s="9" t="n">
        <v>18776</v>
      </c>
      <c r="C18778" s="10" t="inlineStr">
        <is>
          <t>R&amp;D Software Design Engineer</t>
        </is>
      </c>
      <c r="D18778" s="10" t="inlineStr">
        <is>
          <t>HR Vietnam’s ESS Client</t>
        </is>
      </c>
      <c r="E18778" s="10" t="inlineStr">
        <is>
          <t>Lương:Cạnh tranh</t>
        </is>
      </c>
      <c r="F18778" s="10" t="inlineStr">
        <is>
          <t>Hưng Yên</t>
        </is>
      </c>
      <c r="G18778" s="10" t="inlineStr">
        <is>
          <t>30-03-2026</t>
        </is>
      </c>
      <c r="H18778" s="10" t="inlineStr">
        <is>
          <t>30/03/2026</t>
        </is>
      </c>
      <c r="I18778" s="10" t="inlineStr">
        <is>
          <t>17/03/2026</t>
        </is>
      </c>
      <c r="J18778" s="10" t="inlineStr">
        <is>
          <t>Điện / Điện tử / Điện lạnh / Điện công nghiệp, CNTT - Phần mềm, Cơ khí / Ô tô / Tự động hóa</t>
        </is>
      </c>
      <c r="K18778" s="10" t="inlineStr">
        <is>
          <t>1 - 2 Năm</t>
        </is>
      </c>
      <c r="L18778" s="11">
        <f>HYPERLINK("https://careerviet.vn/vi/tim-viec-lam/r-d-software-design-engineer.35C64367.html","Xem chi tiết")</f>
        <v/>
      </c>
      <c r="M18778" s="10" t="n"/>
    </row>
    <row r="18779">
      <c r="B18779" s="7" t="n">
        <v>18777</v>
      </c>
      <c r="C18779" t="inlineStr">
        <is>
          <t>Sales Leader</t>
        </is>
      </c>
      <c r="D18779" t="inlineStr">
        <is>
          <t>Công ty TNHH Airspeed Manufacturing Việt Nam</t>
        </is>
      </c>
      <c r="E18779" t="inlineStr">
        <is>
          <t>Lương:Cạnh tranh</t>
        </is>
      </c>
      <c r="F18779" t="inlineStr">
        <is>
          <t>Long An</t>
        </is>
      </c>
      <c r="G18779" t="inlineStr">
        <is>
          <t>30-03-2026</t>
        </is>
      </c>
      <c r="H18779" t="inlineStr">
        <is>
          <t>30/03/2026</t>
        </is>
      </c>
      <c r="I18779" t="inlineStr">
        <is>
          <t>17/03/2026</t>
        </is>
      </c>
      <c r="J18779" t="inlineStr">
        <is>
          <t>Bán hàng / Kinh doanh, Cơ khí / Ô tô / Tự động hóa, Điện / Điện tử / Điện lạnh / Điện công nghiệp</t>
        </is>
      </c>
      <c r="K18779" t="inlineStr">
        <is>
          <t>7 - 8 Năm</t>
        </is>
      </c>
      <c r="L18779" s="8">
        <f>HYPERLINK("https://careerviet.vn/vi/tim-viec-lam/sales-leader.35C66F13.html","Xem chi tiết")</f>
        <v/>
      </c>
    </row>
    <row r="18780">
      <c r="B18780" s="9" t="n">
        <v>18778</v>
      </c>
      <c r="C18780" s="10" t="inlineStr">
        <is>
          <t>Chuyên viên content marketing (chủ đầu tư BĐS)</t>
        </is>
      </c>
      <c r="D18780" s="10" t="inlineStr">
        <is>
          <t>Tập Đoàn Tân Á Đại Thành</t>
        </is>
      </c>
      <c r="E18780" s="10" t="inlineStr">
        <is>
          <t>Lương:Cạnh tranh</t>
        </is>
      </c>
      <c r="F18780" s="10" t="inlineStr">
        <is>
          <t>Hà Nội</t>
        </is>
      </c>
      <c r="G18780" s="10" t="inlineStr">
        <is>
          <t>30-03-2026</t>
        </is>
      </c>
      <c r="H18780" s="10" t="inlineStr">
        <is>
          <t>30/03/2026</t>
        </is>
      </c>
      <c r="I18780" s="10" t="inlineStr">
        <is>
          <t>17/03/2026</t>
        </is>
      </c>
      <c r="J18780" s="10" t="inlineStr">
        <is>
          <t>Tiếp thị / Marketing, Truyền hình / Báo chí / Biên tập</t>
        </is>
      </c>
      <c r="K18780" s="10" t="inlineStr">
        <is>
          <t>Trên 3 Năm</t>
        </is>
      </c>
      <c r="L18780" s="11">
        <f>HYPERLINK("https://careerviet.vn/vi/tim-viec-lam/chuyen-vien-content-marketing-chu-dau-tu-bds.35C643D4.html","Xem chi tiết")</f>
        <v/>
      </c>
      <c r="M18780" s="10" t="n"/>
    </row>
    <row r="18781">
      <c r="B18781" s="7" t="n">
        <v>18779</v>
      </c>
      <c r="C18781" t="inlineStr">
        <is>
          <t>Nhân Viên Kỹ Thuật Tòa Nhà</t>
        </is>
      </c>
      <c r="D18781" t="inlineStr">
        <is>
          <t>TỔNG CÔNG TY CỔ PHẦN THƯƠNG MẠI XÂY DỰNG</t>
        </is>
      </c>
      <c r="E18781" t="inlineStr">
        <is>
          <t>Lương:8,5 Tr - 11,5 Tr VND</t>
        </is>
      </c>
      <c r="F18781" t="inlineStr">
        <is>
          <t>Hà Nội</t>
        </is>
      </c>
      <c r="G18781" t="inlineStr">
        <is>
          <t>30-03-2026</t>
        </is>
      </c>
      <c r="H18781" t="inlineStr">
        <is>
          <t>30/03/2026</t>
        </is>
      </c>
      <c r="I18781" t="inlineStr">
        <is>
          <t>17/03/2026</t>
        </is>
      </c>
      <c r="J18781" t="inlineStr">
        <is>
          <t>Xây dựng, Điện / Điện tử / Điện lạnh / Điện công nghiệp, Bảo trì / Sửa chữa</t>
        </is>
      </c>
      <c r="K18781" t="inlineStr">
        <is>
          <t>Trên 1 Năm</t>
        </is>
      </c>
      <c r="L18781" s="8">
        <f>HYPERLINK("https://careerviet.vn/vi/tim-viec-lam/nhan-vien-ky-thuat-toa-nha.35C64371.html","Xem chi tiết")</f>
        <v/>
      </c>
    </row>
    <row r="18782">
      <c r="B18782" s="9" t="n">
        <v>18780</v>
      </c>
      <c r="C18782" s="10" t="inlineStr">
        <is>
          <t>CHUYÊN VIÊN NGHIÊN CỨU &amp; PHÁT TRIỂN SẢN PHẦM (ĐỒ UỐNG)</t>
        </is>
      </c>
      <c r="D18782" s="10" t="inlineStr">
        <is>
          <t>Công Ty Cổ Phần Phúc Sinh</t>
        </is>
      </c>
      <c r="E18782" s="10" t="inlineStr">
        <is>
          <t>Lương:Cạnh tranh</t>
        </is>
      </c>
      <c r="F18782" s="10" t="inlineStr">
        <is>
          <t>Hồ Chí Minh</t>
        </is>
      </c>
      <c r="G18782" s="10" t="inlineStr">
        <is>
          <t>30-03-2026</t>
        </is>
      </c>
      <c r="H18782" s="10" t="inlineStr">
        <is>
          <t>30/03/2026</t>
        </is>
      </c>
      <c r="I18782" s="10" t="inlineStr">
        <is>
          <t>17/03/2026</t>
        </is>
      </c>
      <c r="J18782" s="10" t="inlineStr">
        <is>
          <t>Công nghệ thực phẩm / Dinh dưỡng, Dịch vụ khách hàng, Thực phẩm &amp; Đồ uống</t>
        </is>
      </c>
      <c r="K18782" s="10" t="inlineStr">
        <is>
          <t>3 - 5 Năm</t>
        </is>
      </c>
      <c r="L18782" s="11">
        <f>HYPERLINK("https://careerviet.vn/vi/tim-viec-lam/chuyen-vien-nghien-cuu-phat-trien-san-pham-do-uong.35C64443.html","Xem chi tiết")</f>
        <v/>
      </c>
      <c r="M18782" s="10" t="n"/>
    </row>
    <row r="18783">
      <c r="B18783" s="7" t="n">
        <v>18781</v>
      </c>
      <c r="C18783" t="inlineStr">
        <is>
          <t>KV Hồ Chí Minh - Nhân viên Dịch vụ Khách hàng</t>
        </is>
      </c>
      <c r="D18783" t="inlineStr">
        <is>
          <t>BVBank - Ngân hàng Bản Việt</t>
        </is>
      </c>
      <c r="E18783" t="inlineStr">
        <is>
          <t>Lương:Cạnh tranh</t>
        </is>
      </c>
      <c r="F18783" t="inlineStr">
        <is>
          <t>Hồ Chí Minh</t>
        </is>
      </c>
      <c r="G18783" t="inlineStr">
        <is>
          <t>30-03-2026</t>
        </is>
      </c>
      <c r="H18783" t="inlineStr">
        <is>
          <t>30/03/2026</t>
        </is>
      </c>
      <c r="I18783" t="inlineStr">
        <is>
          <t>17/03/2026</t>
        </is>
      </c>
      <c r="J18783" t="inlineStr">
        <is>
          <t>Ngân hàng, Tài chính / Đầu tư, Bán hàng / Kinh doanh</t>
        </is>
      </c>
      <c r="K18783" t="inlineStr">
        <is>
          <t>N/A</t>
        </is>
      </c>
      <c r="L18783" s="8">
        <f>HYPERLINK("https://careerviet.vn/vi/tim-viec-lam/kv-ho-chi-minh-nhan-vien-dich-vu-khach-hang.35C643D8.html","Xem chi tiết")</f>
        <v/>
      </c>
    </row>
    <row r="18784">
      <c r="B18784" s="9" t="n">
        <v>18782</v>
      </c>
      <c r="C18784" s="10" t="inlineStr">
        <is>
          <t>Chuyên viên marketing (chủ đầu tư BĐS)</t>
        </is>
      </c>
      <c r="D18784" s="10" t="inlineStr">
        <is>
          <t>Tập Đoàn Tân Á Đại Thành</t>
        </is>
      </c>
      <c r="E18784" s="10" t="inlineStr">
        <is>
          <t>Lương:Cạnh tranh</t>
        </is>
      </c>
      <c r="F18784" s="10" t="inlineStr">
        <is>
          <t>Hà Nội</t>
        </is>
      </c>
      <c r="G18784" s="10" t="inlineStr">
        <is>
          <t>30-03-2026</t>
        </is>
      </c>
      <c r="H18784" s="10" t="inlineStr">
        <is>
          <t>30/03/2026</t>
        </is>
      </c>
      <c r="I18784" s="10" t="inlineStr">
        <is>
          <t>17/03/2026</t>
        </is>
      </c>
      <c r="J18784" s="10" t="inlineStr">
        <is>
          <t>Tiếp thị / Marketing, Truyền hình / Báo chí / Biên tập, Quảng cáo / Đối ngoại / Truyền Thông</t>
        </is>
      </c>
      <c r="K18784" s="10" t="inlineStr">
        <is>
          <t>2 - 3 Năm</t>
        </is>
      </c>
      <c r="L18784" s="11">
        <f>HYPERLINK("https://careerviet.vn/vi/tim-viec-lam/chuyen-vien-marketing-chu-dau-tu-bds.35C643DB.html","Xem chi tiết")</f>
        <v/>
      </c>
      <c r="M18784" s="10" t="n"/>
    </row>
    <row r="18785">
      <c r="B18785" s="7" t="n">
        <v>18783</v>
      </c>
      <c r="C18785" t="inlineStr">
        <is>
          <t>Assistant Customer Service Manager (Manufacturing)</t>
        </is>
      </c>
      <c r="D18785" t="inlineStr">
        <is>
          <t>Headhunter HRchannels Group</t>
        </is>
      </c>
      <c r="E18785" t="inlineStr">
        <is>
          <t>Lương:1.200 - 1.200 USD</t>
        </is>
      </c>
      <c r="F18785" t="inlineStr">
        <is>
          <t>Bình DươngHồ Chí MinhĐồng Nai</t>
        </is>
      </c>
      <c r="G18785" t="inlineStr">
        <is>
          <t>30-03-2026</t>
        </is>
      </c>
      <c r="H18785" t="inlineStr">
        <is>
          <t>30/03/2026</t>
        </is>
      </c>
      <c r="I18785" t="inlineStr">
        <is>
          <t>17/03/2026</t>
        </is>
      </c>
      <c r="J18785" t="inlineStr">
        <is>
          <t>Dịch vụ khách hàng, Sản xuất / Vận hành sản xuất, Tiếp thị / Marketing</t>
        </is>
      </c>
      <c r="K18785" t="inlineStr">
        <is>
          <t>3 - 5 Năm</t>
        </is>
      </c>
      <c r="L18785" s="8">
        <f>HYPERLINK("https://careerviet.vn/vi/tim-viec-lam/assistant-customer-service-manager-manufacturing.35C66F87.html","Xem chi tiết")</f>
        <v/>
      </c>
    </row>
    <row r="18786">
      <c r="B18786" s="9" t="n">
        <v>18784</v>
      </c>
      <c r="C18786" s="10" t="inlineStr">
        <is>
          <t>Lab Quality &amp; Administrative Coordinator</t>
        </is>
      </c>
      <c r="D18786" s="10" t="inlineStr">
        <is>
          <t>TÜV SÜD Vietnam</t>
        </is>
      </c>
      <c r="E18786" s="10" t="inlineStr">
        <is>
          <t>Lương:Cạnh tranh</t>
        </is>
      </c>
      <c r="F18786" s="10" t="inlineStr">
        <is>
          <t>Hồ Chí Minh</t>
        </is>
      </c>
      <c r="G18786" s="10" t="inlineStr">
        <is>
          <t>30-03-2026</t>
        </is>
      </c>
      <c r="H18786" s="10" t="inlineStr">
        <is>
          <t>30/03/2026</t>
        </is>
      </c>
      <c r="I18786" s="10" t="inlineStr">
        <is>
          <t>17/03/2026</t>
        </is>
      </c>
      <c r="J18786" s="10" t="inlineStr">
        <is>
          <t>Công nghệ sinh học, Công nghệ thực phẩm / Dinh dưỡng, Hóa học</t>
        </is>
      </c>
      <c r="K18786" s="10" t="inlineStr">
        <is>
          <t>2 - 4 Năm</t>
        </is>
      </c>
      <c r="L18786" s="11">
        <f>HYPERLINK("https://careerviet.vn/vi/tim-viec-lam/lab-quality-administrative-coordinator.35C66F16.html","Xem chi tiết")</f>
        <v/>
      </c>
      <c r="M18786" s="10" t="n"/>
    </row>
    <row r="18787">
      <c r="B18787" s="7" t="n">
        <v>18785</v>
      </c>
      <c r="C18787" t="inlineStr">
        <is>
          <t>Nhân viên chính thức trực Tổng đài nhà mạng Viettel Đà Nẵng Không bán hàng</t>
        </is>
      </c>
      <c r="D18787" t="inlineStr">
        <is>
          <t>BellSystem24-Việt Nam</t>
        </is>
      </c>
      <c r="E18787" t="inlineStr">
        <is>
          <t>Lương:5 Tr - 8 Tr VND</t>
        </is>
      </c>
      <c r="F18787" t="inlineStr">
        <is>
          <t>Đà Nẵng</t>
        </is>
      </c>
      <c r="G18787" t="inlineStr">
        <is>
          <t>30-03-2026</t>
        </is>
      </c>
      <c r="H18787" t="inlineStr">
        <is>
          <t>30/03/2026</t>
        </is>
      </c>
      <c r="I18787" t="inlineStr">
        <is>
          <t>17/03/2026</t>
        </is>
      </c>
      <c r="J18787" t="inlineStr">
        <is>
          <t>Tư vấn, Dịch vụ khách hàng, Lao động phổ thông</t>
        </is>
      </c>
      <c r="K18787" t="inlineStr">
        <is>
          <t>N/A</t>
        </is>
      </c>
      <c r="L18787" s="8">
        <f>HYPERLINK("https://careerviet.vn/vi/tim-viec-lam/nhan-vien-chinh-thuc-truc-tong-dai-nha-mang-viettel-da-nang-khong-ban-hang.35C64343.html","Xem chi tiết")</f>
        <v/>
      </c>
    </row>
    <row r="18788">
      <c r="B18788" s="9" t="n">
        <v>18786</v>
      </c>
      <c r="C18788" s="10" t="inlineStr">
        <is>
          <t>Trình dược viên ETC Huế, Đà Nẵng, Quảng Nam</t>
        </is>
      </c>
      <c r="D18788" s="10" t="inlineStr">
        <is>
          <t>CÔNG TY TNHH DƯỢC PHẨM ĐÔ THÀNH</t>
        </is>
      </c>
      <c r="E18788" s="10" t="inlineStr">
        <is>
          <t>Lương:6 Tr - 30 Tr VND</t>
        </is>
      </c>
      <c r="F18788" s="10" t="inlineStr">
        <is>
          <t>Thừa Thiên- HuếQuảng NamĐà Nẵng</t>
        </is>
      </c>
      <c r="G18788" s="10" t="inlineStr">
        <is>
          <t>30-03-2026</t>
        </is>
      </c>
      <c r="H18788" s="10" t="inlineStr">
        <is>
          <t>30/03/2026</t>
        </is>
      </c>
      <c r="I18788" s="10" t="inlineStr">
        <is>
          <t>17/03/2026</t>
        </is>
      </c>
      <c r="J18788" s="10" t="inlineStr">
        <is>
          <t>Bán hàng / Kinh doanh, Dược phẩm/ Hóa Mỹ Phẩm</t>
        </is>
      </c>
      <c r="K18788" s="10" t="inlineStr">
        <is>
          <t>Chưa có kinh nghiệm</t>
        </is>
      </c>
      <c r="L18788" s="11">
        <f>HYPERLINK("https://careerviet.vn/vi/tim-viec-lam/trinh-duoc-vien-etc-hue-da-nang-quang-nam.35C66E30.html","Xem chi tiết")</f>
        <v/>
      </c>
      <c r="M18788" s="10" t="n"/>
    </row>
    <row r="18789">
      <c r="B18789" s="7" t="n">
        <v>18787</v>
      </c>
      <c r="C18789" t="inlineStr">
        <is>
          <t>124490 - Tiếng Nhật - Trưởng nhóm Nhân sự - Ngành Điện tử</t>
        </is>
      </c>
      <c r="D18789" t="inlineStr">
        <is>
          <t>RGF HR Agent Vietnam Co., LTD</t>
        </is>
      </c>
      <c r="E18789" t="inlineStr">
        <is>
          <t>Lương:Cạnh tranh</t>
        </is>
      </c>
      <c r="F18789" t="inlineStr">
        <is>
          <t>Hồ Chí Minh</t>
        </is>
      </c>
      <c r="G18789" t="inlineStr">
        <is>
          <t>30-03-2026</t>
        </is>
      </c>
      <c r="H18789" t="inlineStr">
        <is>
          <t>30/03/2026</t>
        </is>
      </c>
      <c r="I18789" t="inlineStr">
        <is>
          <t>17/03/2026</t>
        </is>
      </c>
      <c r="J18789" t="inlineStr">
        <is>
          <t>Nhân sự, Điện / Điện tử / Điện lạnh / Điện công nghiệp</t>
        </is>
      </c>
      <c r="K18789" t="inlineStr">
        <is>
          <t>Trên 2 Năm</t>
        </is>
      </c>
      <c r="L18789" s="8">
        <f>HYPERLINK("https://careerviet.vn/vi/tim-viec-lam/124490-tieng-nhat-truong-nhom-nhan-su-nganh-dien-tu.35C63BA6.html","Xem chi tiết")</f>
        <v/>
      </c>
    </row>
    <row r="18790">
      <c r="B18790" s="9" t="n">
        <v>18788</v>
      </c>
      <c r="C18790" s="10" t="inlineStr">
        <is>
          <t>THƯ KÝ KỸ THUẬT/ SERVICE ADMIN</t>
        </is>
      </c>
      <c r="D18790" s="10" t="inlineStr">
        <is>
          <t>CÔNG TY CP THƯƠNG MẠI - DỊCH VỤ SAO NAM AN</t>
        </is>
      </c>
      <c r="E18790" s="10" t="inlineStr">
        <is>
          <t>Lương:12 Tr - 15 Tr VND</t>
        </is>
      </c>
      <c r="F18790" s="10" t="inlineStr">
        <is>
          <t>Hồ Chí Minh</t>
        </is>
      </c>
      <c r="G18790" s="10" t="inlineStr">
        <is>
          <t>30-03-2026</t>
        </is>
      </c>
      <c r="H18790" s="10" t="inlineStr">
        <is>
          <t>30/03/2026</t>
        </is>
      </c>
      <c r="I18790" s="10" t="inlineStr">
        <is>
          <t>17/03/2026</t>
        </is>
      </c>
      <c r="J18790" s="10" t="inlineStr">
        <is>
          <t>Hành chính / Thư ký, Điện / Điện tử / Điện lạnh / Điện công nghiệp, Bảo trì / Sửa chữa</t>
        </is>
      </c>
      <c r="K18790" s="10" t="inlineStr">
        <is>
          <t>Trên 1 Năm</t>
        </is>
      </c>
      <c r="L18790" s="11">
        <f>HYPERLINK("https://careerviet.vn/vi/tim-viec-lam/thu-ky-ky-thuat-service-admin.35C66F67.html","Xem chi tiết")</f>
        <v/>
      </c>
      <c r="M18790" s="10" t="n"/>
    </row>
    <row r="18791">
      <c r="B18791" s="7" t="n">
        <v>18789</v>
      </c>
      <c r="C18791" t="inlineStr">
        <is>
          <t>KV Tây Nguyên - Giám đốc/Chuyên viên Quan hệ khách hàng Doanh nghiệp</t>
        </is>
      </c>
      <c r="D18791" t="inlineStr">
        <is>
          <t>BVBank - Ngân hàng Bản Việt</t>
        </is>
      </c>
      <c r="E18791" t="inlineStr">
        <is>
          <t>Lương:Cạnh tranh</t>
        </is>
      </c>
      <c r="F18791" t="inlineStr">
        <is>
          <t>Lâm ĐồngDak NôngDak Lak</t>
        </is>
      </c>
      <c r="G18791" t="inlineStr">
        <is>
          <t>30-03-2026</t>
        </is>
      </c>
      <c r="H18791" t="inlineStr">
        <is>
          <t>30/03/2026</t>
        </is>
      </c>
      <c r="I18791" t="inlineStr">
        <is>
          <t>17/03/2026</t>
        </is>
      </c>
      <c r="J18791" t="inlineStr">
        <is>
          <t>Ngân hàng, Tài chính / Đầu tư, Bán hàng / Kinh doanh</t>
        </is>
      </c>
      <c r="K18791" t="inlineStr">
        <is>
          <t>1 - 2 Năm</t>
        </is>
      </c>
      <c r="L18791" s="8">
        <f>HYPERLINK("https://careerviet.vn/vi/tim-viec-lam/kv-tay-nguyen-giam-doc-chuyen-vien-quan-he-khach-hang-doanh-nghiep.35C643CD.html","Xem chi tiết")</f>
        <v/>
      </c>
    </row>
    <row r="18792">
      <c r="B18792" s="9" t="n">
        <v>18790</v>
      </c>
      <c r="C18792" s="10" t="inlineStr">
        <is>
          <t>Nhân Viên Hành Chính Nhân Sự</t>
        </is>
      </c>
      <c r="D18792" s="10" t="inlineStr">
        <is>
          <t>CÔNG TY CỔ PHẦN GANG THÉP HD MIỀN TRUNG</t>
        </is>
      </c>
      <c r="E18792" s="10" t="inlineStr">
        <is>
          <t>Lương:8 Tr - 10 Tr VND</t>
        </is>
      </c>
      <c r="F18792" s="10" t="inlineStr">
        <is>
          <t>Hồ Chí Minh</t>
        </is>
      </c>
      <c r="G18792" s="10" t="inlineStr">
        <is>
          <t>30-03-2026</t>
        </is>
      </c>
      <c r="H18792" s="10" t="inlineStr">
        <is>
          <t>30/03/2026</t>
        </is>
      </c>
      <c r="I18792" s="10" t="inlineStr">
        <is>
          <t>17/03/2026</t>
        </is>
      </c>
      <c r="J18792" s="10" t="inlineStr">
        <is>
          <t>Hành chính / Thư ký, Nhân sự, Quản lý điều hành</t>
        </is>
      </c>
      <c r="K18792" s="10" t="inlineStr">
        <is>
          <t>Trên 1 Năm</t>
        </is>
      </c>
      <c r="L18792" s="11">
        <f>HYPERLINK("https://careerviet.vn/vi/tim-viec-lam/nhan-vien-hanh-chinh-nhan-su.35C66E59.html","Xem chi tiết")</f>
        <v/>
      </c>
      <c r="M18792" s="10" t="n"/>
    </row>
    <row r="18793">
      <c r="B18793" s="7" t="n">
        <v>18791</v>
      </c>
      <c r="C18793" t="inlineStr">
        <is>
          <t>Quản Lý Dự Án Thẻ Tín Dụng</t>
        </is>
      </c>
      <c r="D18793" t="inlineStr">
        <is>
          <t>CÔNG TY TÀI CHÍNH TÍN DỤNG TIÊU DÙNG TNHH MTV AEON</t>
        </is>
      </c>
      <c r="E18793" t="inlineStr">
        <is>
          <t>Lương:Cạnh tranh</t>
        </is>
      </c>
      <c r="F18793" t="inlineStr">
        <is>
          <t>Hà Nội</t>
        </is>
      </c>
      <c r="G18793" t="inlineStr">
        <is>
          <t>30-03-2026</t>
        </is>
      </c>
      <c r="H18793" t="inlineStr">
        <is>
          <t>30/03/2026</t>
        </is>
      </c>
      <c r="I18793" t="inlineStr">
        <is>
          <t>17/03/2026</t>
        </is>
      </c>
      <c r="J18793" t="inlineStr">
        <is>
          <t>Bán hàng / Kinh doanh, Tài chính / Đầu tư</t>
        </is>
      </c>
      <c r="K18793" t="inlineStr">
        <is>
          <t>Trên 5 Năm</t>
        </is>
      </c>
      <c r="L18793" s="8">
        <f>HYPERLINK("https://careerviet.vn/vi/tim-viec-lam/quan-ly-du-an-the-tin-dung.35C66F26.html","Xem chi tiết")</f>
        <v/>
      </c>
    </row>
    <row r="18794">
      <c r="B18794" s="9" t="n">
        <v>18792</v>
      </c>
      <c r="C18794" s="10" t="inlineStr">
        <is>
          <t>Bếp Phó Nhà Hàng Nhật Bản</t>
        </is>
      </c>
      <c r="D18794" s="10" t="inlineStr">
        <is>
          <t>Headhunter HRchannels Group</t>
        </is>
      </c>
      <c r="E18794" s="10" t="inlineStr">
        <is>
          <t>Lương:900 - 900 USD</t>
        </is>
      </c>
      <c r="F18794" s="10" t="inlineStr">
        <is>
          <t>Hồ Chí MinhBình DươngĐồng Nai</t>
        </is>
      </c>
      <c r="G18794" s="10" t="inlineStr">
        <is>
          <t>30-03-2026</t>
        </is>
      </c>
      <c r="H18794" s="10" t="inlineStr">
        <is>
          <t>30/03/2026</t>
        </is>
      </c>
      <c r="I18794" s="10" t="inlineStr">
        <is>
          <t>17/03/2026</t>
        </is>
      </c>
      <c r="J18794" s="10" t="inlineStr">
        <is>
          <t>Thực phẩm &amp; Đồ uống, Nhà hàng / Khách sạn</t>
        </is>
      </c>
      <c r="K18794" s="10" t="inlineStr">
        <is>
          <t>1 - 3 Năm</t>
        </is>
      </c>
      <c r="L18794" s="11">
        <f>HYPERLINK("https://careerviet.vn/vi/tim-viec-lam/bep-pho-nha-hang-nhat-ban.35C66F8B.html","Xem chi tiết")</f>
        <v/>
      </c>
      <c r="M18794" s="10" t="n"/>
    </row>
    <row r="18795">
      <c r="B18795" s="7" t="n">
        <v>18793</v>
      </c>
      <c r="C18795" t="inlineStr">
        <is>
          <t>Nhân viên R&amp;D  thuốc Đông Dược/ TPCN ( làm việc  tại Củ Chi)</t>
        </is>
      </c>
      <c r="D18795" t="inlineStr">
        <is>
          <t>Công ty TNHH Bình Việt Đức (BIVID)</t>
        </is>
      </c>
      <c r="E18795" t="inlineStr">
        <is>
          <t>Lương:13 Tr - 25 Tr VND</t>
        </is>
      </c>
      <c r="F18795" t="inlineStr">
        <is>
          <t>Hồ Chí Minh</t>
        </is>
      </c>
      <c r="G18795" t="inlineStr">
        <is>
          <t>30-03-2026</t>
        </is>
      </c>
      <c r="H18795" t="inlineStr">
        <is>
          <t>30/03/2026</t>
        </is>
      </c>
      <c r="I18795" t="inlineStr">
        <is>
          <t>17/03/2026</t>
        </is>
      </c>
      <c r="J18795" t="inlineStr">
        <is>
          <t>Dược phẩm/ Hóa Mỹ Phẩm, Thực phẩm &amp; Đồ uống, Công nghệ thực phẩm / Dinh dưỡng</t>
        </is>
      </c>
      <c r="K18795" t="inlineStr">
        <is>
          <t>2 - 5 Năm</t>
        </is>
      </c>
      <c r="L18795" s="8">
        <f>HYPERLINK("https://careerviet.vn/vi/tim-viec-lam/nhan-vien-r-d-thuoc-dong-duoc-tpcn-lam-viec-tai-cu-chi.35C643EF.html","Xem chi tiết")</f>
        <v/>
      </c>
    </row>
    <row r="18796">
      <c r="B18796" s="9" t="n">
        <v>18794</v>
      </c>
      <c r="C18796" s="10" t="inlineStr">
        <is>
          <t>Trưởng phòng dịch vụ thuê ngoài nhân lực (Outsourcing)</t>
        </is>
      </c>
      <c r="D18796" s="10" t="inlineStr">
        <is>
          <t>Công ty TNHH Sản xuất Thương mại &amp; Dịch vụ Hoa Xinh</t>
        </is>
      </c>
      <c r="E18796" s="10" t="inlineStr">
        <is>
          <t>Lương:20 Tr - 40 Tr VND</t>
        </is>
      </c>
      <c r="F18796" s="10" t="inlineStr">
        <is>
          <t>Hồ Chí Minh</t>
        </is>
      </c>
      <c r="G18796" s="10" t="inlineStr">
        <is>
          <t>30-03-2026</t>
        </is>
      </c>
      <c r="H18796" s="10" t="inlineStr">
        <is>
          <t>30/03/2026</t>
        </is>
      </c>
      <c r="I18796" s="10" t="inlineStr">
        <is>
          <t>17/03/2026</t>
        </is>
      </c>
      <c r="J18796" s="10" t="inlineStr">
        <is>
          <t>Hành chính / Thư ký, Quản lý điều hành, Nhân sự</t>
        </is>
      </c>
      <c r="K18796" s="10" t="inlineStr">
        <is>
          <t>5 - 15 Năm</t>
        </is>
      </c>
      <c r="L18796" s="11">
        <f>HYPERLINK("https://careerviet.vn/vi/tim-viec-lam/truong-phong-dich-vu-thue-ngoai-nhan-luc-outsourcing.35C66EF4.html","Xem chi tiết")</f>
        <v/>
      </c>
      <c r="M18796" s="10" t="n"/>
    </row>
    <row r="18797">
      <c r="B18797" s="7" t="n">
        <v>18795</v>
      </c>
      <c r="C18797" t="inlineStr">
        <is>
          <t>Giám Sát Bán Hàng - Bình Dương Bình Phước</t>
        </is>
      </c>
      <c r="D18797" t="inlineStr">
        <is>
          <t>Công ty Cổ Phần Tập Đoàn Điện Quang</t>
        </is>
      </c>
      <c r="E18797" t="inlineStr">
        <is>
          <t>Lương:Cạnh tranh</t>
        </is>
      </c>
      <c r="F18797" t="inlineStr">
        <is>
          <t>Bình DươngBình Phước</t>
        </is>
      </c>
      <c r="G18797" t="inlineStr">
        <is>
          <t>30-03-2026</t>
        </is>
      </c>
      <c r="H18797" t="inlineStr">
        <is>
          <t>30/03/2026</t>
        </is>
      </c>
      <c r="I18797" t="inlineStr">
        <is>
          <t>17/03/2026</t>
        </is>
      </c>
      <c r="J18797" t="inlineStr">
        <is>
          <t>Bán lẻ / Bán sỉ, Bán hàng / Kinh doanh</t>
        </is>
      </c>
      <c r="K18797" t="inlineStr">
        <is>
          <t>2 - 3 Năm</t>
        </is>
      </c>
      <c r="L18797" s="8">
        <f>HYPERLINK("https://careerviet.vn/vi/tim-viec-lam/giam-sat-ban-hang-binh-duong-binh-phuoc.35C643D9.html","Xem chi tiết")</f>
        <v/>
      </c>
    </row>
    <row r="18798">
      <c r="B18798" s="9" t="n">
        <v>18796</v>
      </c>
      <c r="C18798" s="10" t="inlineStr">
        <is>
          <t>NHÂN VIÊN CHĂM SÓC KHÁCH HÀNG</t>
        </is>
      </c>
      <c r="D18798" s="10" t="inlineStr">
        <is>
          <t>Vascara Group</t>
        </is>
      </c>
      <c r="E18798" s="10" t="inlineStr">
        <is>
          <t>Lương:7 Tr - 9 Tr VND</t>
        </is>
      </c>
      <c r="F18798" s="10" t="inlineStr">
        <is>
          <t>Hồ Chí Minh</t>
        </is>
      </c>
      <c r="G18798" s="10" t="inlineStr">
        <is>
          <t>30-03-2026</t>
        </is>
      </c>
      <c r="H18798" s="10" t="inlineStr">
        <is>
          <t>30/03/2026</t>
        </is>
      </c>
      <c r="I18798" s="10" t="inlineStr">
        <is>
          <t>17/03/2026</t>
        </is>
      </c>
      <c r="J18798" s="10" t="inlineStr">
        <is>
          <t>Bán hàng / Kinh doanh, Tư vấn, Dịch vụ khách hàng</t>
        </is>
      </c>
      <c r="K18798" s="10" t="inlineStr">
        <is>
          <t>1 - 2 Năm</t>
        </is>
      </c>
      <c r="L18798" s="11">
        <f>HYPERLINK("https://careerviet.vn/vi/tim-viec-lam/nhan-vien-cham-soc-khach-hang.35C643D0.html","Xem chi tiết")</f>
        <v/>
      </c>
      <c r="M18798" s="10" t="n"/>
    </row>
    <row r="18799">
      <c r="B18799" s="7" t="n">
        <v>18797</v>
      </c>
      <c r="C18799" t="inlineStr">
        <is>
          <t>Biên Phiên dịch tiếng Nga (làm việc tại Hà Nội)</t>
        </is>
      </c>
      <c r="D18799" t="inlineStr">
        <is>
          <t>CÔNG TY TNHH CÔNG NGHỆ VIỆT</t>
        </is>
      </c>
      <c r="E18799" t="inlineStr">
        <is>
          <t>Lương:15 Tr - 20 Tr VND</t>
        </is>
      </c>
      <c r="F18799" t="inlineStr">
        <is>
          <t>Hà Nội</t>
        </is>
      </c>
      <c r="G18799" t="inlineStr">
        <is>
          <t>30-03-2026</t>
        </is>
      </c>
      <c r="H18799" t="inlineStr">
        <is>
          <t>30/03/2026</t>
        </is>
      </c>
      <c r="I18799" t="inlineStr">
        <is>
          <t>17/03/2026</t>
        </is>
      </c>
      <c r="J18799" t="inlineStr">
        <is>
          <t>Hành chính / Thư ký, Biên phiên dịch, Xây dựng</t>
        </is>
      </c>
      <c r="K18799" t="inlineStr">
        <is>
          <t>3 - 4 Năm</t>
        </is>
      </c>
      <c r="L18799" s="8">
        <f>HYPERLINK("https://careerviet.vn/vi/tim-viec-lam/bien-phien-dich-tieng-nga-lam-viec-tai-ha-noi.35C64374.html","Xem chi tiết")</f>
        <v/>
      </c>
    </row>
    <row r="18800">
      <c r="B18800" s="9" t="n">
        <v>18798</v>
      </c>
      <c r="C18800" s="10" t="inlineStr">
        <is>
          <t>Laboratory Data Entry Staff (Fresh Graduates – Chemistry / Textile / Materials Science)</t>
        </is>
      </c>
      <c r="D18800" s="10" t="inlineStr">
        <is>
          <t>TÜV SÜD Vietnam</t>
        </is>
      </c>
      <c r="E18800" s="10" t="inlineStr">
        <is>
          <t>Lương:Cạnh tranh</t>
        </is>
      </c>
      <c r="F18800" s="10" t="inlineStr">
        <is>
          <t>Hồ Chí Minh</t>
        </is>
      </c>
      <c r="G18800" s="10" t="inlineStr">
        <is>
          <t>29-03-2026</t>
        </is>
      </c>
      <c r="H18800" s="10" t="inlineStr">
        <is>
          <t>29/03/2026</t>
        </is>
      </c>
      <c r="I18800" s="10" t="inlineStr">
        <is>
          <t>17/03/2026</t>
        </is>
      </c>
      <c r="J18800" s="10" t="inlineStr">
        <is>
          <t>Hóa học, Dệt may / Da giày / Thời trang</t>
        </is>
      </c>
      <c r="K18800" s="10" t="inlineStr">
        <is>
          <t>N/A</t>
        </is>
      </c>
      <c r="L18800" s="11">
        <f>HYPERLINK("https://careerviet.vn/vi/tim-viec-lam/laboratory-data-entry-staff-fresh-graduates-chemistry-textile-materials-science.35C66D13.html","Xem chi tiết")</f>
        <v/>
      </c>
      <c r="M18800" s="10" t="n"/>
    </row>
    <row r="18801">
      <c r="B18801" s="7" t="n">
        <v>18799</v>
      </c>
      <c r="C18801" t="inlineStr">
        <is>
          <t>Sales Manager</t>
        </is>
      </c>
      <c r="D18801" t="inlineStr">
        <is>
          <t>HR Vietnam’s ESS Client</t>
        </is>
      </c>
      <c r="E18801" t="inlineStr">
        <is>
          <t>Lương:Cạnh tranh</t>
        </is>
      </c>
      <c r="F18801" t="inlineStr">
        <is>
          <t>Hồ Chí Minh</t>
        </is>
      </c>
      <c r="G18801" t="inlineStr">
        <is>
          <t>30-03-2026</t>
        </is>
      </c>
      <c r="H18801" t="inlineStr">
        <is>
          <t>30/03/2026</t>
        </is>
      </c>
      <c r="I18801" t="inlineStr">
        <is>
          <t>17/03/2026</t>
        </is>
      </c>
      <c r="J18801" t="inlineStr">
        <is>
          <t>Chăn nuôi / Thú y, Nông nghiệp, Bán hàng / Kinh doanh</t>
        </is>
      </c>
      <c r="K18801" t="inlineStr">
        <is>
          <t>5 - 15 Năm</t>
        </is>
      </c>
      <c r="L18801" s="8">
        <f>HYPERLINK("https://careerviet.vn/vi/tim-viec-lam/sales-manager.35C66F70.html","Xem chi tiết")</f>
        <v/>
      </c>
    </row>
    <row r="18802">
      <c r="B18802" s="9" t="n">
        <v>18800</v>
      </c>
      <c r="C18802" s="10" t="inlineStr">
        <is>
          <t>Nhân viên lái xe</t>
        </is>
      </c>
      <c r="D18802" s="10" t="inlineStr">
        <is>
          <t>CÔNG TY CỔ PHẦN SỞ GIAO DỊCH HÀNG HÓA VIỆT NAM TOÀN CẦU</t>
        </is>
      </c>
      <c r="E18802" s="10" t="inlineStr">
        <is>
          <t>Lương:13 Tr - 15 Tr VND</t>
        </is>
      </c>
      <c r="F18802" s="10" t="inlineStr">
        <is>
          <t>Hà Nội</t>
        </is>
      </c>
      <c r="G18802" s="10" t="inlineStr">
        <is>
          <t>29-03-2026</t>
        </is>
      </c>
      <c r="H18802" s="10" t="inlineStr">
        <is>
          <t>29/03/2026</t>
        </is>
      </c>
      <c r="I18802" s="10" t="inlineStr">
        <is>
          <t>17/03/2026</t>
        </is>
      </c>
      <c r="J18802" s="10" t="inlineStr">
        <is>
          <t>Tài chính / Đầu tư</t>
        </is>
      </c>
      <c r="K18802" s="10" t="inlineStr">
        <is>
          <t>Trên 2 Năm</t>
        </is>
      </c>
      <c r="L18802" s="11">
        <f>HYPERLINK("https://careerviet.vn/vi/tim-viec-lam/nhan-vien-lai-xe.35C6424B.html","Xem chi tiết")</f>
        <v/>
      </c>
      <c r="M18802" s="10" t="n"/>
    </row>
    <row r="18803">
      <c r="B18803" s="7" t="n">
        <v>18801</v>
      </c>
      <c r="C18803" t="inlineStr">
        <is>
          <t>Nhân Viên Kinh Doanh Kỹ Thuật / Executive-Technical Sales</t>
        </is>
      </c>
      <c r="D18803" t="inlineStr">
        <is>
          <t>Công Ty TNHH Interflour Việt Nam</t>
        </is>
      </c>
      <c r="E18803" t="inlineStr">
        <is>
          <t>Lương:Cạnh tranh</t>
        </is>
      </c>
      <c r="F18803" t="inlineStr">
        <is>
          <t>Cần ThơKhánh HòaLâm Đồng</t>
        </is>
      </c>
      <c r="G18803" t="inlineStr">
        <is>
          <t>29-03-2026</t>
        </is>
      </c>
      <c r="H18803" t="inlineStr">
        <is>
          <t>29/03/2026</t>
        </is>
      </c>
      <c r="I18803" t="inlineStr">
        <is>
          <t>17/03/2026</t>
        </is>
      </c>
      <c r="J18803" t="inlineStr">
        <is>
          <t>Bán hàng / Kinh doanh, Bán Hàng Kỹ Thuật, Tư vấn</t>
        </is>
      </c>
      <c r="K18803" t="inlineStr">
        <is>
          <t>Trên 2 Năm</t>
        </is>
      </c>
      <c r="L18803" s="8">
        <f>HYPERLINK("https://careerviet.vn/vi/tim-viec-lam/nhan-vien-kinh-doanh-ky-thuat-executive-technical-sales.35C641C8.html","Xem chi tiết")</f>
        <v/>
      </c>
    </row>
    <row r="18804">
      <c r="B18804" s="9" t="n">
        <v>18802</v>
      </c>
      <c r="C18804" s="10" t="inlineStr">
        <is>
          <t>Trưởng phòng kinh doanh (MAF) - Long An, Tây Ninh, Vĩnh Long - TA177 - ID1272</t>
        </is>
      </c>
      <c r="D18804" s="10" t="inlineStr">
        <is>
          <t>Ngân Hàng TMCP Việt Nam Thịnh Vượng - VPBANK</t>
        </is>
      </c>
      <c r="E18804" s="10" t="inlineStr">
        <is>
          <t>Lương:Cạnh tranh</t>
        </is>
      </c>
      <c r="F18804" s="10" t="inlineStr">
        <is>
          <t>Vĩnh LongLong AnTây Ninh</t>
        </is>
      </c>
      <c r="G18804" s="10" t="inlineStr">
        <is>
          <t>29-03-2026</t>
        </is>
      </c>
      <c r="H18804" s="10" t="inlineStr">
        <is>
          <t>29/03/2026</t>
        </is>
      </c>
      <c r="I18804" s="10" t="inlineStr">
        <is>
          <t>17/03/2026</t>
        </is>
      </c>
      <c r="J18804" s="10" t="inlineStr">
        <is>
          <t>Bán hàng / Kinh doanh, Ngân hàng</t>
        </is>
      </c>
      <c r="K18804" s="10" t="inlineStr">
        <is>
          <t>3 - 4 Năm</t>
        </is>
      </c>
      <c r="L18804" s="11">
        <f>HYPERLINK("https://careerviet.vn/vi/tim-viec-lam/truong-phong-kinh-doanh-maf-long-an-tay-ninh-vinh-long-ta177-id1272.35C66D73.html","Xem chi tiết")</f>
        <v/>
      </c>
      <c r="M18804" s="10" t="n"/>
    </row>
    <row r="18805">
      <c r="B18805" s="7" t="n">
        <v>18803</v>
      </c>
      <c r="C18805" t="inlineStr">
        <is>
          <t>Chuyên Viên Kinh Doanh Bất Động Sản</t>
        </is>
      </c>
      <c r="D18805" t="inlineStr">
        <is>
          <t>Công ty CP Tập Đoàn Khải Hoàn Land</t>
        </is>
      </c>
      <c r="E18805" t="inlineStr">
        <is>
          <t>Lương:30 Tr - 50 Tr VND</t>
        </is>
      </c>
      <c r="F18805" t="inlineStr">
        <is>
          <t>Hồ Chí Minh</t>
        </is>
      </c>
      <c r="G18805" t="inlineStr">
        <is>
          <t>29-03-2026</t>
        </is>
      </c>
      <c r="H18805" t="inlineStr">
        <is>
          <t>29/03/2026</t>
        </is>
      </c>
      <c r="I18805" t="inlineStr">
        <is>
          <t>17/03/2026</t>
        </is>
      </c>
      <c r="J18805" t="inlineStr">
        <is>
          <t>Bán hàng / Kinh doanh, Tư vấn, Bất động sản</t>
        </is>
      </c>
      <c r="K18805" t="inlineStr">
        <is>
          <t>N/A</t>
        </is>
      </c>
      <c r="L18805" s="8">
        <f>HYPERLINK("https://careerviet.vn/vi/tim-viec-lam/chuyen-vien-kinh-doanh-bat-dong-san.35C6408E.html","Xem chi tiết")</f>
        <v/>
      </c>
    </row>
    <row r="18806">
      <c r="B18806" s="9" t="n">
        <v>18804</v>
      </c>
      <c r="C18806" s="10" t="inlineStr">
        <is>
          <t>Graphic designer</t>
        </is>
      </c>
      <c r="D18806" s="10" t="inlineStr">
        <is>
          <t>HR Vietnam’s ESS Client</t>
        </is>
      </c>
      <c r="E18806" s="10" t="inlineStr">
        <is>
          <t>Lương:Cạnh tranh</t>
        </is>
      </c>
      <c r="F18806" s="10" t="inlineStr">
        <is>
          <t>Hà Nội</t>
        </is>
      </c>
      <c r="G18806" s="10" t="inlineStr">
        <is>
          <t>29-03-2026</t>
        </is>
      </c>
      <c r="H18806" s="10" t="inlineStr">
        <is>
          <t>29/03/2026</t>
        </is>
      </c>
      <c r="I18806" s="10" t="inlineStr">
        <is>
          <t>17/03/2026</t>
        </is>
      </c>
      <c r="J18806" s="10" t="inlineStr">
        <is>
          <t>Mỹ thuật / Nghệ thuật / Thiết kế, Quảng cáo / Đối ngoại / Truyền Thông</t>
        </is>
      </c>
      <c r="K18806" s="10" t="inlineStr">
        <is>
          <t>Trên 1 Năm</t>
        </is>
      </c>
      <c r="L18806" s="11">
        <f>HYPERLINK("https://careerviet.vn/vi/tim-viec-lam/graphic-designer.35C64280.html","Xem chi tiết")</f>
        <v/>
      </c>
      <c r="M18806" s="10" t="n"/>
    </row>
    <row r="18807">
      <c r="B18807" s="7" t="n">
        <v>18805</v>
      </c>
      <c r="C18807" t="inlineStr">
        <is>
          <t>General Accountant (Senior)</t>
        </is>
      </c>
      <c r="D18807" t="inlineStr">
        <is>
          <t>CÔNG TY CỔ PHẦN CITICS</t>
        </is>
      </c>
      <c r="E18807" t="inlineStr">
        <is>
          <t>Lương:15 Tr - 25 Tr VND</t>
        </is>
      </c>
      <c r="F18807" t="inlineStr">
        <is>
          <t>Hồ Chí Minh</t>
        </is>
      </c>
      <c r="G18807" t="inlineStr">
        <is>
          <t>30-03-2026</t>
        </is>
      </c>
      <c r="H18807" t="inlineStr">
        <is>
          <t>30/03/2026</t>
        </is>
      </c>
      <c r="I18807" t="inlineStr">
        <is>
          <t>17/03/2026</t>
        </is>
      </c>
      <c r="J18807" t="inlineStr">
        <is>
          <t>Kế toán / Kiểm toán, Ngân hàng, Tài chính / Đầu tư</t>
        </is>
      </c>
      <c r="K18807" t="inlineStr">
        <is>
          <t>4 - 5 Năm</t>
        </is>
      </c>
      <c r="L18807" s="8">
        <f>HYPERLINK("https://careerviet.vn/vi/tim-viec-lam/general-accountant-senior.35C66F7B.html","Xem chi tiết")</f>
        <v/>
      </c>
    </row>
    <row r="18808">
      <c r="B18808" s="9" t="n">
        <v>18806</v>
      </c>
      <c r="C18808" s="10" t="inlineStr">
        <is>
          <t>Inspector - Giám Định Viên Ngành Gỗ Và Đồ Chơi (Hardlines) - Quy Nhơn</t>
        </is>
      </c>
      <c r="D18808" s="10" t="inlineStr">
        <is>
          <t>TÜV SÜD Vietnam</t>
        </is>
      </c>
      <c r="E18808" s="10" t="inlineStr">
        <is>
          <t>Lương:Cạnh tranh</t>
        </is>
      </c>
      <c r="F18808" s="10" t="inlineStr">
        <is>
          <t>Hồ Chí Minh</t>
        </is>
      </c>
      <c r="G18808" s="10" t="inlineStr">
        <is>
          <t>29-03-2026</t>
        </is>
      </c>
      <c r="H18808" s="10" t="inlineStr">
        <is>
          <t>29/03/2026</t>
        </is>
      </c>
      <c r="I18808" s="10" t="inlineStr">
        <is>
          <t>17/03/2026</t>
        </is>
      </c>
      <c r="J18808" s="10" t="inlineStr">
        <is>
          <t>Sản xuất / Vận hành sản xuất, Dệt may / Da giày / Thời trang, Đồ gỗ</t>
        </is>
      </c>
      <c r="K18808" s="10" t="inlineStr">
        <is>
          <t>2 - 5 Năm</t>
        </is>
      </c>
      <c r="L18808" s="11">
        <f>HYPERLINK("https://careerviet.vn/vi/tim-viec-lam/inspector-giam-dinh-vien-nganh-go-va-do-choi-hardlines-quy-nhon.35C66D33.html","Xem chi tiết")</f>
        <v/>
      </c>
      <c r="M18808" s="10" t="n"/>
    </row>
    <row r="18809">
      <c r="B18809" s="7" t="n">
        <v>18807</v>
      </c>
      <c r="C18809" t="inlineStr">
        <is>
          <t>Kỹ sư Quản trị Cơ sở dữ liệu - DBA</t>
        </is>
      </c>
      <c r="D18809" t="inlineStr">
        <is>
          <t>Tổng Công ty Cổ phần Công trình Viettel</t>
        </is>
      </c>
      <c r="E18809" t="inlineStr">
        <is>
          <t>Lương:20 Tr - 35 Tr VND</t>
        </is>
      </c>
      <c r="F18809" t="inlineStr">
        <is>
          <t>Hà Nội</t>
        </is>
      </c>
      <c r="G18809" t="inlineStr">
        <is>
          <t>30-03-2026</t>
        </is>
      </c>
      <c r="H18809" t="inlineStr">
        <is>
          <t>30/03/2026</t>
        </is>
      </c>
      <c r="I18809" t="inlineStr">
        <is>
          <t>17/03/2026</t>
        </is>
      </c>
      <c r="J18809" t="inlineStr">
        <is>
          <t>CNTT - Phần cứng / Mạng, CNTT - Phần mềm</t>
        </is>
      </c>
      <c r="K18809" t="inlineStr">
        <is>
          <t>2 - 3 Năm</t>
        </is>
      </c>
      <c r="L18809" s="8">
        <f>HYPERLINK("https://careerviet.vn/vi/tim-viec-lam/ky-su-quan-tri-co-so-du-lieu-dba.35C64470.html","Xem chi tiết")</f>
        <v/>
      </c>
    </row>
    <row r="18810">
      <c r="B18810" s="9" t="n">
        <v>18808</v>
      </c>
      <c r="C18810" s="10" t="inlineStr">
        <is>
          <t>Showroom Sales &amp; Sales Administration Executive</t>
        </is>
      </c>
      <c r="D18810" s="10" t="inlineStr">
        <is>
          <t>Boncafé Vietnam</t>
        </is>
      </c>
      <c r="E18810" s="10" t="inlineStr">
        <is>
          <t>Lương:Cạnh tranh</t>
        </is>
      </c>
      <c r="F18810" s="10" t="inlineStr">
        <is>
          <t>Hồ Chí Minh</t>
        </is>
      </c>
      <c r="G18810" s="10" t="inlineStr">
        <is>
          <t>29-03-2026</t>
        </is>
      </c>
      <c r="H18810" s="10" t="inlineStr">
        <is>
          <t>29/03/2026</t>
        </is>
      </c>
      <c r="I18810" s="10" t="inlineStr">
        <is>
          <t>17/03/2026</t>
        </is>
      </c>
      <c r="J18810" s="10" t="inlineStr">
        <is>
          <t>Bán lẻ / Bán sỉ, Bán hàng / Kinh doanh, Hành chính / Thư ký</t>
        </is>
      </c>
      <c r="K18810" s="10" t="inlineStr">
        <is>
          <t>N/A</t>
        </is>
      </c>
      <c r="L18810" s="11">
        <f>HYPERLINK("https://careerviet.vn/vi/tim-viec-lam/showroom-sales-sales-administration-executive.35C66CD6.html","Xem chi tiết")</f>
        <v/>
      </c>
      <c r="M18810" s="10" t="n"/>
    </row>
    <row r="18811">
      <c r="B18811" s="7" t="n">
        <v>18809</v>
      </c>
      <c r="C18811" t="inlineStr">
        <is>
          <t>CHUYÊN VIÊN XUẤT NHẬP KHẨU TIẾNG TRUNG</t>
        </is>
      </c>
      <c r="D18811" t="inlineStr">
        <is>
          <t>CÔNG TY TNHH JASON FURNITURE VIỆT NAM  (KUKA HOME VIỆT NAM)</t>
        </is>
      </c>
      <c r="E18811" t="inlineStr">
        <is>
          <t>Lương:18 Tr - 30 Tr VND</t>
        </is>
      </c>
      <c r="F18811" t="inlineStr">
        <is>
          <t>Bình Phước</t>
        </is>
      </c>
      <c r="G18811" t="inlineStr">
        <is>
          <t>29-03-2026</t>
        </is>
      </c>
      <c r="H18811" t="inlineStr">
        <is>
          <t>29/03/2026</t>
        </is>
      </c>
      <c r="I18811" t="inlineStr">
        <is>
          <t>17/03/2026</t>
        </is>
      </c>
      <c r="J18811" t="inlineStr">
        <is>
          <t>Xuất nhập khẩu, Sản xuất / Vận hành sản xuất</t>
        </is>
      </c>
      <c r="K18811" t="inlineStr">
        <is>
          <t>2 - 12 Năm</t>
        </is>
      </c>
      <c r="L18811" s="8">
        <f>HYPERLINK("https://careerviet.vn/vi/tim-viec-lam/chuyen-vien-xuat-nhap-khau-tieng-trung.35C66C6F.html","Xem chi tiết")</f>
        <v/>
      </c>
    </row>
    <row r="18812">
      <c r="B18812" s="9" t="n">
        <v>18810</v>
      </c>
      <c r="C18812" s="10" t="inlineStr">
        <is>
          <t>[PHENIKAA UNI] Tuyển dụng Giảng viên trợ giảng Bộ môn Kỹ thuật xét nghiệm y học- Khoa Kỹ thuật Y học</t>
        </is>
      </c>
      <c r="D18812" s="10" t="inlineStr">
        <is>
          <t>ĐẠI HỌC PHENIKAA</t>
        </is>
      </c>
      <c r="E18812" s="10" t="inlineStr">
        <is>
          <t>Lương:Cạnh tranh</t>
        </is>
      </c>
      <c r="F18812" s="10" t="inlineStr">
        <is>
          <t>Hà Nội</t>
        </is>
      </c>
      <c r="G18812" s="10" t="inlineStr">
        <is>
          <t>29-03-2026</t>
        </is>
      </c>
      <c r="H18812" s="10" t="inlineStr">
        <is>
          <t>29/03/2026</t>
        </is>
      </c>
      <c r="I18812" s="10" t="inlineStr">
        <is>
          <t>17/03/2026</t>
        </is>
      </c>
      <c r="J18812" s="10" t="inlineStr">
        <is>
          <t>Giáo dục / Đào tạo</t>
        </is>
      </c>
      <c r="K18812" s="10" t="inlineStr">
        <is>
          <t>N/A</t>
        </is>
      </c>
      <c r="L18812" s="11">
        <f>HYPERLINK("https://careerviet.vn/vi/tim-viec-lam/phenikaa-uni-tuyen-dung-giang-vien-tro-giang-bo-mon-ky-thuat-xet-nghiem-y-hoc-khoa-ky-thuat-y-hoc.35C64088.html","Xem chi tiết")</f>
        <v/>
      </c>
      <c r="M18812" s="10" t="n"/>
    </row>
    <row r="18813">
      <c r="B18813" s="7" t="n">
        <v>18811</v>
      </c>
      <c r="C18813" t="inlineStr">
        <is>
          <t>Chuyên viên tuyển dụng</t>
        </is>
      </c>
      <c r="D18813" t="inlineStr">
        <is>
          <t>Công ty Cổ phần cơ khí xây dựng CPT Việt Nam</t>
        </is>
      </c>
      <c r="E18813" t="inlineStr">
        <is>
          <t>Lương:12 Tr - 20 Tr VND</t>
        </is>
      </c>
      <c r="F18813" t="inlineStr">
        <is>
          <t>Bắc Giang</t>
        </is>
      </c>
      <c r="G18813" t="inlineStr">
        <is>
          <t>29-03-2026</t>
        </is>
      </c>
      <c r="H18813" t="inlineStr">
        <is>
          <t>29/03/2026</t>
        </is>
      </c>
      <c r="I18813" t="inlineStr">
        <is>
          <t>17/03/2026</t>
        </is>
      </c>
      <c r="J18813" t="inlineStr">
        <is>
          <t>Nhân sự</t>
        </is>
      </c>
      <c r="K18813" t="inlineStr">
        <is>
          <t>1 - 2 Năm</t>
        </is>
      </c>
      <c r="L18813" s="8">
        <f>HYPERLINK("https://careerviet.vn/vi/tim-viec-lam/chuyen-vien-tuyen-dung.35C64228.html","Xem chi tiết")</f>
        <v/>
      </c>
    </row>
    <row r="18814">
      <c r="B18814" s="9" t="n">
        <v>18812</v>
      </c>
      <c r="C18814" s="10" t="inlineStr">
        <is>
          <t>Chuyên viên Kế Toán</t>
        </is>
      </c>
      <c r="D18814" s="10" t="inlineStr">
        <is>
          <t>Công ty CP Thành Thành Công - Biên Hòa</t>
        </is>
      </c>
      <c r="E18814" s="10" t="inlineStr">
        <is>
          <t>Lương:Cạnh tranh</t>
        </is>
      </c>
      <c r="F18814" s="10" t="inlineStr">
        <is>
          <t>Hồ Chí Minh</t>
        </is>
      </c>
      <c r="G18814" s="10" t="inlineStr">
        <is>
          <t>29-03-2026</t>
        </is>
      </c>
      <c r="H18814" s="10" t="inlineStr">
        <is>
          <t>29/03/2026</t>
        </is>
      </c>
      <c r="I18814" s="10" t="inlineStr">
        <is>
          <t>17/03/2026</t>
        </is>
      </c>
      <c r="J18814" s="10" t="inlineStr">
        <is>
          <t>Kế toán / Kiểm toán</t>
        </is>
      </c>
      <c r="K18814" s="10" t="inlineStr">
        <is>
          <t>2 - 3 Năm</t>
        </is>
      </c>
      <c r="L18814" s="11">
        <f>HYPERLINK("https://careerviet.vn/vi/tim-viec-lam/chuyen-vien-ke-toan.35C66CA3.html","Xem chi tiết")</f>
        <v/>
      </c>
      <c r="M18814" s="10" t="n"/>
    </row>
    <row r="18815">
      <c r="B18815" s="7" t="n">
        <v>18813</v>
      </c>
      <c r="C18815" t="inlineStr">
        <is>
          <t>Nhân Viên Pháp Chế Nội Bộ (Legal Executive)</t>
        </is>
      </c>
      <c r="D18815" t="inlineStr">
        <is>
          <t>CÔNG TY TNHH GOLDNET</t>
        </is>
      </c>
      <c r="E18815" t="inlineStr">
        <is>
          <t>Lương:Cạnh tranh</t>
        </is>
      </c>
      <c r="F18815" t="inlineStr">
        <is>
          <t>Hồ Chí Minh</t>
        </is>
      </c>
      <c r="G18815" t="inlineStr">
        <is>
          <t>29-03-2026</t>
        </is>
      </c>
      <c r="H18815" t="inlineStr">
        <is>
          <t>29/03/2026</t>
        </is>
      </c>
      <c r="I18815" t="inlineStr">
        <is>
          <t>17/03/2026</t>
        </is>
      </c>
      <c r="J18815" t="inlineStr">
        <is>
          <t>Luật / Pháp lý</t>
        </is>
      </c>
      <c r="K18815" t="inlineStr">
        <is>
          <t>1 - 2 Năm</t>
        </is>
      </c>
      <c r="L18815" s="8">
        <f>HYPERLINK("https://careerviet.vn/vi/tim-viec-lam/nhan-vien-phap-che-noi-bo-legal-executive.35C66D90.html","Xem chi tiết")</f>
        <v/>
      </c>
    </row>
    <row r="18816">
      <c r="B18816" s="9" t="n">
        <v>18814</v>
      </c>
      <c r="C18816" s="10" t="inlineStr">
        <is>
          <t>NHÂN VIÊN BẢO TRÌ TỰ ĐỘNG HÓA - CHI NHÁNH HỒ CHÍ MINH</t>
        </is>
      </c>
      <c r="D18816" s="10" t="inlineStr">
        <is>
          <t>CÔNG TY TNHH THỰC PHẨM FARINA  – CHI NHÁNH HỒ CHÍ MINH</t>
        </is>
      </c>
      <c r="E18816" s="10" t="inlineStr">
        <is>
          <t>Lương:Cạnh tranh</t>
        </is>
      </c>
      <c r="F18816" s="10" t="inlineStr">
        <is>
          <t>Bình Dương</t>
        </is>
      </c>
      <c r="G18816" s="10" t="inlineStr">
        <is>
          <t>29-03-2026</t>
        </is>
      </c>
      <c r="H18816" s="10" t="inlineStr">
        <is>
          <t>29/03/2026</t>
        </is>
      </c>
      <c r="I18816" s="10" t="inlineStr">
        <is>
          <t>17/03/2026</t>
        </is>
      </c>
      <c r="J18816" s="10" t="inlineStr">
        <is>
          <t>Bảo trì / Sửa chữa</t>
        </is>
      </c>
      <c r="K18816" s="10" t="inlineStr">
        <is>
          <t>1 - 2 Năm</t>
        </is>
      </c>
      <c r="L18816" s="11">
        <f>HYPERLINK("https://careerviet.vn/vi/tim-viec-lam/nhan-vien-bao-tri-tu-dong-hoa-chi-nhanh-ho-chi-minh.35C641B8.html","Xem chi tiết")</f>
        <v/>
      </c>
      <c r="M18816" s="10" t="n"/>
    </row>
    <row r="18817">
      <c r="B18817" s="7" t="n">
        <v>18815</v>
      </c>
      <c r="C18817" t="inlineStr">
        <is>
          <t>Nhân viên Kỹ thuật (Sơ đồ, định mức vải)</t>
        </is>
      </c>
      <c r="D18817" t="inlineStr">
        <is>
          <t>Công ty TNHH, Liên Doanh Vĩnh Hưng (TMI Việt Nam)</t>
        </is>
      </c>
      <c r="E18817" t="inlineStr">
        <is>
          <t>Lương:11 Tr - 15 Tr VND</t>
        </is>
      </c>
      <c r="F18817" t="inlineStr">
        <is>
          <t>Hồ Chí Minh</t>
        </is>
      </c>
      <c r="G18817" t="inlineStr">
        <is>
          <t>29-03-2026</t>
        </is>
      </c>
      <c r="H18817" t="inlineStr">
        <is>
          <t>29/03/2026</t>
        </is>
      </c>
      <c r="I18817" t="inlineStr">
        <is>
          <t>17/03/2026</t>
        </is>
      </c>
      <c r="J18817" t="inlineStr">
        <is>
          <t>Dệt may / Da giày / Thời trang</t>
        </is>
      </c>
      <c r="K18817" t="inlineStr">
        <is>
          <t>2 - 5 Năm</t>
        </is>
      </c>
      <c r="L18817" s="8">
        <f>HYPERLINK("https://careerviet.vn/vi/tim-viec-lam/nhan-vien-ky-thuat-so-do-dinh-muc-vai.35C66CBF.html","Xem chi tiết")</f>
        <v/>
      </c>
    </row>
    <row r="18818">
      <c r="B18818" s="9" t="n">
        <v>18816</v>
      </c>
      <c r="C18818" s="10" t="inlineStr">
        <is>
          <t>Admin Manager</t>
        </is>
      </c>
      <c r="D18818" s="10" t="inlineStr">
        <is>
          <t>UrBox - Công ty Cổ phần Tiếp Thị Số Tô Quà</t>
        </is>
      </c>
      <c r="E18818" s="10" t="inlineStr">
        <is>
          <t>Lương:Cạnh tranh</t>
        </is>
      </c>
      <c r="F18818" s="10" t="inlineStr">
        <is>
          <t>Hà Nội</t>
        </is>
      </c>
      <c r="G18818" s="10" t="inlineStr">
        <is>
          <t>29-03-2026</t>
        </is>
      </c>
      <c r="H18818" s="10" t="inlineStr">
        <is>
          <t>29/03/2026</t>
        </is>
      </c>
      <c r="I18818" s="10" t="inlineStr">
        <is>
          <t>17/03/2026</t>
        </is>
      </c>
      <c r="J18818" s="10" t="inlineStr">
        <is>
          <t>Hành chính / Thư ký, Nhân sự</t>
        </is>
      </c>
      <c r="K18818" s="10" t="inlineStr">
        <is>
          <t>4 - 5 Năm</t>
        </is>
      </c>
      <c r="L18818" s="11">
        <f>HYPERLINK("https://careerviet.vn/vi/tim-viec-lam/admin-manager.35C6413B.html","Xem chi tiết")</f>
        <v/>
      </c>
      <c r="M18818" s="10" t="n"/>
    </row>
    <row r="18819">
      <c r="B18819" s="7" t="n">
        <v>18817</v>
      </c>
      <c r="C18819" t="inlineStr">
        <is>
          <t>Chuyên viên Đào Tạo - Phát triển văn hóa</t>
        </is>
      </c>
      <c r="D18819" t="inlineStr">
        <is>
          <t>CÔNG TY CỔ PHẦN TẬP ĐOÀN ONSEN FUJI</t>
        </is>
      </c>
      <c r="E18819" t="inlineStr">
        <is>
          <t>Lương:12 Tr - 20 Tr VND</t>
        </is>
      </c>
      <c r="F18819" t="inlineStr">
        <is>
          <t>Hà Nội</t>
        </is>
      </c>
      <c r="G18819" t="inlineStr">
        <is>
          <t>29-03-2026</t>
        </is>
      </c>
      <c r="H18819" t="inlineStr">
        <is>
          <t>29/03/2026</t>
        </is>
      </c>
      <c r="I18819" t="inlineStr">
        <is>
          <t>17/03/2026</t>
        </is>
      </c>
      <c r="J18819" t="inlineStr">
        <is>
          <t>Giáo dục / Đào tạo, Quảng cáo / Đối ngoại / Truyền Thông, Tổ chức sự kiện</t>
        </is>
      </c>
      <c r="K18819" t="inlineStr">
        <is>
          <t>3 - 5 Năm</t>
        </is>
      </c>
      <c r="L18819" s="8">
        <f>HYPERLINK("https://careerviet.vn/vi/tim-viec-lam/chuyen-vien-dao-tao-phat-trien-van-hoa.35C66D17.html","Xem chi tiết")</f>
        <v/>
      </c>
    </row>
    <row r="18820">
      <c r="B18820" s="9" t="n">
        <v>18818</v>
      </c>
      <c r="C18820" s="10" t="inlineStr">
        <is>
          <t>CVCC/Chuyên gia Tư Vấn Tài Chính Doanh Nghiệp (IB)</t>
        </is>
      </c>
      <c r="D18820" s="10" t="inlineStr">
        <is>
          <t>CÔNG TY CỔ PHẦN CHỨNG KHOÁN ASEAN</t>
        </is>
      </c>
      <c r="E18820" s="10" t="inlineStr">
        <is>
          <t>Lương:Cạnh tranh</t>
        </is>
      </c>
      <c r="F18820" s="10" t="inlineStr">
        <is>
          <t>Hà Nội</t>
        </is>
      </c>
      <c r="G18820" s="10" t="inlineStr">
        <is>
          <t>29-03-2026</t>
        </is>
      </c>
      <c r="H18820" s="10" t="inlineStr">
        <is>
          <t>29/03/2026</t>
        </is>
      </c>
      <c r="I18820" s="10" t="inlineStr">
        <is>
          <t>17/03/2026</t>
        </is>
      </c>
      <c r="J18820" s="10" t="inlineStr">
        <is>
          <t>Ngân hàng, Chứng khoán, Tài chính / Đầu tư</t>
        </is>
      </c>
      <c r="K18820" s="10" t="inlineStr">
        <is>
          <t>Trên 3 Năm</t>
        </is>
      </c>
      <c r="L18820" s="11">
        <f>HYPERLINK("https://careerviet.vn/vi/tim-viec-lam/cvcc-chuyen-gia-tu-van-tai-chinh-doanh-nghiep-ib.35C642C0.html","Xem chi tiết")</f>
        <v/>
      </c>
      <c r="M18820" s="10" t="n"/>
    </row>
    <row r="18821">
      <c r="B18821" s="7" t="n">
        <v>18819</v>
      </c>
      <c r="C18821" t="inlineStr">
        <is>
          <t>THỢ ĐỒNG</t>
        </is>
      </c>
      <c r="D18821" t="inlineStr">
        <is>
          <t>Vietnam Star Automobile</t>
        </is>
      </c>
      <c r="E18821" t="inlineStr">
        <is>
          <t>Lương:8 Tr - 15 Tr VND</t>
        </is>
      </c>
      <c r="F18821" t="inlineStr">
        <is>
          <t>Bình Dương</t>
        </is>
      </c>
      <c r="G18821" t="inlineStr">
        <is>
          <t>29-03-2026</t>
        </is>
      </c>
      <c r="H18821" t="inlineStr">
        <is>
          <t>29/03/2026</t>
        </is>
      </c>
      <c r="I18821" t="inlineStr">
        <is>
          <t>17/03/2026</t>
        </is>
      </c>
      <c r="J18821" t="inlineStr">
        <is>
          <t>Lao động phổ thông, Cơ khí / Ô tô / Tự động hóa</t>
        </is>
      </c>
      <c r="K18821" t="inlineStr">
        <is>
          <t>2 - 3 Năm</t>
        </is>
      </c>
      <c r="L18821" s="8">
        <f>HYPERLINK("https://careerviet.vn/vi/tim-viec-lam/tho-dong.35C6425C.html","Xem chi tiết")</f>
        <v/>
      </c>
    </row>
    <row r="18822">
      <c r="B18822" s="9" t="n">
        <v>18820</v>
      </c>
      <c r="C18822" s="10" t="inlineStr">
        <is>
          <t>Bắc Kạn - Chuyên Viên Giám Sát Môi Trường</t>
        </is>
      </c>
      <c r="D18822" s="10" t="inlineStr">
        <is>
          <t>CÔNG TY CỔ PHẦN TẬP ĐOÀN ONSEN FUJI</t>
        </is>
      </c>
      <c r="E18822" s="10" t="inlineStr">
        <is>
          <t>Lương:10 Tr - 15 Tr VND</t>
        </is>
      </c>
      <c r="F18822" s="10" t="inlineStr">
        <is>
          <t>Bắc Cạn</t>
        </is>
      </c>
      <c r="G18822" s="10" t="inlineStr">
        <is>
          <t>29-03-2026</t>
        </is>
      </c>
      <c r="H18822" s="10" t="inlineStr">
        <is>
          <t>29/03/2026</t>
        </is>
      </c>
      <c r="I18822" s="10" t="inlineStr">
        <is>
          <t>17/03/2026</t>
        </is>
      </c>
      <c r="J18822" s="10" t="inlineStr">
        <is>
          <t>Quản lý điều hành, Môi trường, Ngành khác</t>
        </is>
      </c>
      <c r="K18822" s="10" t="inlineStr">
        <is>
          <t>2 - 3 Năm</t>
        </is>
      </c>
      <c r="L18822" s="11">
        <f>HYPERLINK("https://careerviet.vn/vi/tim-viec-lam/bac-kan-chuyen-vien-giam-sat-moi-truong.35C66D3A.html","Xem chi tiết")</f>
        <v/>
      </c>
      <c r="M18822" s="10" t="n"/>
    </row>
    <row r="18823">
      <c r="B18823" s="7" t="n">
        <v>18821</v>
      </c>
      <c r="C18823" t="inlineStr">
        <is>
          <t>Nhân Viên Marketing &amp; Phát Triển Kênh</t>
        </is>
      </c>
      <c r="D18823" t="inlineStr">
        <is>
          <t>Công ty Cổ phần Bkscitech</t>
        </is>
      </c>
      <c r="E18823" t="inlineStr">
        <is>
          <t>Lương:15 Tr - 30 Tr VND</t>
        </is>
      </c>
      <c r="F18823" t="inlineStr">
        <is>
          <t>Hà Nội</t>
        </is>
      </c>
      <c r="G18823" t="inlineStr">
        <is>
          <t>29-03-2026</t>
        </is>
      </c>
      <c r="H18823" t="inlineStr">
        <is>
          <t>29/03/2026</t>
        </is>
      </c>
      <c r="I18823" t="inlineStr">
        <is>
          <t>17/03/2026</t>
        </is>
      </c>
      <c r="J18823" t="inlineStr">
        <is>
          <t>CNTT - Phần mềm, Tiếp thị / Marketing, Quảng cáo / Đối ngoại / Truyền Thông</t>
        </is>
      </c>
      <c r="K18823" t="inlineStr">
        <is>
          <t>2 - 3 Năm</t>
        </is>
      </c>
      <c r="L18823" s="8">
        <f>HYPERLINK("https://careerviet.vn/vi/tim-viec-lam/nhan-vien-marketing-phat-trien-kenh.35C64146.html","Xem chi tiết")</f>
        <v/>
      </c>
    </row>
    <row r="18824">
      <c r="B18824" s="9" t="n">
        <v>18822</v>
      </c>
      <c r="C18824" s="10" t="inlineStr">
        <is>
          <t>Chuyên viên Bảo hiểm - [BAC A BANK - Khối Ngân hàng Bán lẻ]</t>
        </is>
      </c>
      <c r="D18824" s="10" t="inlineStr">
        <is>
          <t>Ngân Hàng Thương mại cổ phần Bắc Á- BAC A BANK</t>
        </is>
      </c>
      <c r="E18824" s="10" t="inlineStr">
        <is>
          <t>Lương:Cạnh tranh</t>
        </is>
      </c>
      <c r="F18824" s="10" t="inlineStr">
        <is>
          <t>Hà Nội</t>
        </is>
      </c>
      <c r="G18824" s="10" t="inlineStr">
        <is>
          <t>29-03-2026</t>
        </is>
      </c>
      <c r="H18824" s="10" t="inlineStr">
        <is>
          <t>29/03/2026</t>
        </is>
      </c>
      <c r="I18824" s="10" t="inlineStr">
        <is>
          <t>17/03/2026</t>
        </is>
      </c>
      <c r="J18824" s="10" t="inlineStr">
        <is>
          <t>Ngân hàng</t>
        </is>
      </c>
      <c r="K18824" s="10" t="inlineStr">
        <is>
          <t>3 - 5 Năm</t>
        </is>
      </c>
      <c r="L18824" s="11">
        <f>HYPERLINK("https://careerviet.vn/vi/tim-viec-lam/chuyen-vien-bao-hiem-bac-a-bank-khoi-ngan-hang-ban-le.35C66D39.html","Xem chi tiết")</f>
        <v/>
      </c>
      <c r="M18824" s="10" t="n"/>
    </row>
    <row r="18825">
      <c r="B18825" s="7" t="n">
        <v>18823</v>
      </c>
      <c r="C18825" t="inlineStr">
        <is>
          <t>TRƯỞNG NHÓM NHÂN SỰ (MẠNH TUYỂN DỤNG)</t>
        </is>
      </c>
      <c r="D18825" t="inlineStr">
        <is>
          <t>ADC PLASTIC,. JSC</t>
        </is>
      </c>
      <c r="E18825" t="inlineStr">
        <is>
          <t>Lương:16 Tr - 25 Tr VND</t>
        </is>
      </c>
      <c r="F18825" t="inlineStr">
        <is>
          <t>Hưng Yên</t>
        </is>
      </c>
      <c r="G18825" t="inlineStr">
        <is>
          <t>29-03-2026</t>
        </is>
      </c>
      <c r="H18825" t="inlineStr">
        <is>
          <t>29/03/2026</t>
        </is>
      </c>
      <c r="I18825" t="inlineStr">
        <is>
          <t>17/03/2026</t>
        </is>
      </c>
      <c r="J18825" t="inlineStr">
        <is>
          <t>Xuất nhập khẩu, Sản xuất / Vận hành sản xuất</t>
        </is>
      </c>
      <c r="K18825" t="inlineStr">
        <is>
          <t>5 - 15 Năm</t>
        </is>
      </c>
      <c r="L18825" s="8">
        <f>HYPERLINK("https://careerviet.vn/vi/tim-viec-lam/truong-nhom-nhan-su-manh-tuyen-dung.35C66DA9.html","Xem chi tiết")</f>
        <v/>
      </c>
    </row>
    <row r="18826">
      <c r="B18826" s="9" t="n">
        <v>18824</v>
      </c>
      <c r="C18826" s="10" t="inlineStr">
        <is>
          <t>Chuyên Viên Kết Cấu</t>
        </is>
      </c>
      <c r="D18826" s="10" t="inlineStr">
        <is>
          <t>CÔNG TY CỔ PHẦN ĐẦU TƯ  BẤT ĐỘNG SẢN NHẤT GIA</t>
        </is>
      </c>
      <c r="E18826" s="10" t="inlineStr">
        <is>
          <t>Lương:15 Tr - 25 Tr VND</t>
        </is>
      </c>
      <c r="F18826" s="10" t="inlineStr">
        <is>
          <t>Hồ Chí Minh</t>
        </is>
      </c>
      <c r="G18826" s="10" t="inlineStr">
        <is>
          <t>29-03-2026</t>
        </is>
      </c>
      <c r="H18826" s="10" t="inlineStr">
        <is>
          <t>29/03/2026</t>
        </is>
      </c>
      <c r="I18826" s="10" t="inlineStr">
        <is>
          <t>17/03/2026</t>
        </is>
      </c>
      <c r="J18826" s="10" t="inlineStr">
        <is>
          <t>Kiến trúc, Xây dựng, Cơ khí / Ô tô / Tự động hóa</t>
        </is>
      </c>
      <c r="K18826" s="10" t="inlineStr">
        <is>
          <t>3 - 5 Năm</t>
        </is>
      </c>
      <c r="L18826" s="11">
        <f>HYPERLINK("https://careerviet.vn/vi/tim-viec-lam/chuyen-vien-ket-cau.35C66C8D.html","Xem chi tiết")</f>
        <v/>
      </c>
      <c r="M18826" s="10" t="n"/>
    </row>
    <row r="18827">
      <c r="B18827" s="7" t="n">
        <v>18825</v>
      </c>
      <c r="C18827" t="inlineStr">
        <is>
          <t>Nhân viên số hóa</t>
        </is>
      </c>
      <c r="D18827" t="inlineStr">
        <is>
          <t>Công ty CP Đầu Tư TM và Phát Triển Công Nghệ FSI</t>
        </is>
      </c>
      <c r="E18827" t="inlineStr">
        <is>
          <t>Lương:5 Tr - 6 Tr VND</t>
        </is>
      </c>
      <c r="F18827" t="inlineStr">
        <is>
          <t>Đồng Nai</t>
        </is>
      </c>
      <c r="G18827" t="inlineStr">
        <is>
          <t>29-03-2026</t>
        </is>
      </c>
      <c r="H18827" t="inlineStr">
        <is>
          <t>29/03/2026</t>
        </is>
      </c>
      <c r="I18827" t="inlineStr">
        <is>
          <t>17/03/2026</t>
        </is>
      </c>
      <c r="J18827" t="inlineStr">
        <is>
          <t>Lao động phổ thông, Hành chính / Thư ký</t>
        </is>
      </c>
      <c r="K18827" t="inlineStr">
        <is>
          <t>N/A</t>
        </is>
      </c>
      <c r="L18827" s="8">
        <f>HYPERLINK("https://careerviet.vn/vi/tim-viec-lam/nhan-vien-so-hoa.35C66D98.html","Xem chi tiết")</f>
        <v/>
      </c>
    </row>
    <row r="18828">
      <c r="B18828" s="9" t="n">
        <v>18826</v>
      </c>
      <c r="C18828" s="10" t="inlineStr">
        <is>
          <t>Business Support Specialist</t>
        </is>
      </c>
      <c r="D18828" s="10" t="inlineStr">
        <is>
          <t>Cổ Phần Kết Nối Nhân Tài - Talentnet Corporation</t>
        </is>
      </c>
      <c r="E18828" s="10" t="inlineStr">
        <is>
          <t>Lương:Cạnh tranh</t>
        </is>
      </c>
      <c r="F18828" s="10" t="inlineStr">
        <is>
          <t>Hồ Chí Minh</t>
        </is>
      </c>
      <c r="G18828" s="10" t="inlineStr">
        <is>
          <t>29-03-2026</t>
        </is>
      </c>
      <c r="H18828" s="10" t="inlineStr">
        <is>
          <t>29/03/2026</t>
        </is>
      </c>
      <c r="I18828" s="10" t="inlineStr">
        <is>
          <t>17/03/2026</t>
        </is>
      </c>
      <c r="J18828" s="10" t="inlineStr">
        <is>
          <t>Bán hàng / Kinh doanh, Hành chính / Thư ký, Nhân sự</t>
        </is>
      </c>
      <c r="K18828" s="10" t="inlineStr">
        <is>
          <t>3 - 5 Năm</t>
        </is>
      </c>
      <c r="L18828" s="11">
        <f>HYPERLINK("https://careerviet.vn/vi/tim-viec-lam/business-support-specialist.35C66DB2.html","Xem chi tiết")</f>
        <v/>
      </c>
      <c r="M18828" s="10" t="n"/>
    </row>
    <row r="18829">
      <c r="B18829" s="7" t="n">
        <v>18827</v>
      </c>
      <c r="C18829" t="inlineStr">
        <is>
          <t>Thực tập sinh Kinh doanh Dự án / Sale B2B</t>
        </is>
      </c>
      <c r="D18829" t="inlineStr">
        <is>
          <t>Công ty CP Đầu Tư TM và Phát Triển Công Nghệ FSI</t>
        </is>
      </c>
      <c r="E18829" t="inlineStr">
        <is>
          <t>Lương:2 Tr - 5 Tr VND</t>
        </is>
      </c>
      <c r="F18829" t="inlineStr">
        <is>
          <t>Hồ Chí Minh</t>
        </is>
      </c>
      <c r="G18829" t="inlineStr">
        <is>
          <t>29-03-2026</t>
        </is>
      </c>
      <c r="H18829" t="inlineStr">
        <is>
          <t>29/03/2026</t>
        </is>
      </c>
      <c r="I18829" t="inlineStr">
        <is>
          <t>17/03/2026</t>
        </is>
      </c>
      <c r="J18829" t="inlineStr">
        <is>
          <t>Bán hàng / Kinh doanh</t>
        </is>
      </c>
      <c r="K18829" t="inlineStr">
        <is>
          <t>N/A</t>
        </is>
      </c>
      <c r="L18829" s="8">
        <f>HYPERLINK("https://careerviet.vn/vi/tim-viec-lam/thuc-tap-sinh-kinh-doanh-du-an-sale-b2b.35C66D77.html","Xem chi tiết")</f>
        <v/>
      </c>
    </row>
    <row r="18830">
      <c r="B18830" s="9" t="n">
        <v>18828</v>
      </c>
      <c r="C18830" s="10" t="inlineStr">
        <is>
          <t>Nhân viên lễ tân</t>
        </is>
      </c>
      <c r="D18830" s="10" t="inlineStr">
        <is>
          <t>TỔNG CÔNG TY CỔ PHẦN THƯƠNG MẠI XÂY DỰNG</t>
        </is>
      </c>
      <c r="E18830" s="10" t="inlineStr">
        <is>
          <t>Lương:8 Tr - 10 Tr VND</t>
        </is>
      </c>
      <c r="F18830" s="10" t="inlineStr">
        <is>
          <t>Hà Nội</t>
        </is>
      </c>
      <c r="G18830" s="10" t="inlineStr">
        <is>
          <t>29-03-2026</t>
        </is>
      </c>
      <c r="H18830" s="10" t="inlineStr">
        <is>
          <t>29/03/2026</t>
        </is>
      </c>
      <c r="I18830" s="10" t="inlineStr">
        <is>
          <t>17/03/2026</t>
        </is>
      </c>
      <c r="J18830" s="10" t="inlineStr">
        <is>
          <t>Hành chính / Thư ký</t>
        </is>
      </c>
      <c r="K18830" s="10" t="inlineStr">
        <is>
          <t>N/A</t>
        </is>
      </c>
      <c r="L18830" s="11">
        <f>HYPERLINK("https://careerviet.vn/vi/tim-viec-lam/nhan-vien-le-tan.35C63EEB.html","Xem chi tiết")</f>
        <v/>
      </c>
      <c r="M18830" s="10" t="n"/>
    </row>
    <row r="18831">
      <c r="B18831" s="7" t="n">
        <v>18829</v>
      </c>
      <c r="C18831" t="inlineStr">
        <is>
          <t>Kỹ sư Cơ khí - Nhà máy Nhiệt điện Long Phú, Sóc Trăng</t>
        </is>
      </c>
      <c r="D18831" t="inlineStr">
        <is>
          <t>Pacific Corporation</t>
        </is>
      </c>
      <c r="E18831" t="inlineStr">
        <is>
          <t>Lương:Cạnh tranh</t>
        </is>
      </c>
      <c r="F18831" t="inlineStr">
        <is>
          <t>Hà NộiHồ Chí MinhSóc Trăng</t>
        </is>
      </c>
      <c r="G18831" t="inlineStr">
        <is>
          <t>29-03-2026</t>
        </is>
      </c>
      <c r="H18831" t="inlineStr">
        <is>
          <t>29/03/2026</t>
        </is>
      </c>
      <c r="I18831" t="inlineStr">
        <is>
          <t>17/03/2026</t>
        </is>
      </c>
      <c r="J18831" t="inlineStr">
        <is>
          <t>Cơ khí / Ô tô / Tự động hóa, Xây dựng</t>
        </is>
      </c>
      <c r="K18831" t="inlineStr">
        <is>
          <t>3 - 5 Năm</t>
        </is>
      </c>
      <c r="L18831" s="8">
        <f>HYPERLINK("https://careerviet.vn/vi/tim-viec-lam/ky-su-co-khi-nha-may-nhiet-dien-long-phu-soc-trang.35C641F0.html","Xem chi tiết")</f>
        <v/>
      </c>
    </row>
    <row r="18832">
      <c r="B18832" s="9" t="n">
        <v>18830</v>
      </c>
      <c r="C18832" s="10" t="inlineStr">
        <is>
          <t>Senior Employer Branding</t>
        </is>
      </c>
      <c r="D18832" s="10" t="inlineStr">
        <is>
          <t>Công Ty Cổ Phần Phim Thiên Ngân (GALAXY STUDIO)</t>
        </is>
      </c>
      <c r="E18832" s="10" t="inlineStr">
        <is>
          <t>Lương:Cạnh tranh</t>
        </is>
      </c>
      <c r="F18832" s="10" t="inlineStr">
        <is>
          <t>Hồ Chí Minh</t>
        </is>
      </c>
      <c r="G18832" s="10" t="inlineStr">
        <is>
          <t>29-03-2026</t>
        </is>
      </c>
      <c r="H18832" s="10" t="inlineStr">
        <is>
          <t>29/03/2026</t>
        </is>
      </c>
      <c r="I18832" s="10" t="inlineStr">
        <is>
          <t>17/03/2026</t>
        </is>
      </c>
      <c r="J18832" s="10" t="inlineStr">
        <is>
          <t>Tiếp thị / Marketing, Nhân sự, Giải trí</t>
        </is>
      </c>
      <c r="K18832" s="10" t="inlineStr">
        <is>
          <t>3 - 4 Năm</t>
        </is>
      </c>
      <c r="L18832" s="11">
        <f>HYPERLINK("https://careerviet.vn/vi/tim-viec-lam/senior-employer-branding.35C64097.html","Xem chi tiết")</f>
        <v/>
      </c>
      <c r="M18832" s="10" t="n"/>
    </row>
    <row r="18833">
      <c r="B18833" s="7" t="n">
        <v>18831</v>
      </c>
      <c r="C18833" t="inlineStr">
        <is>
          <t>Nhân Viên Kinh Doanh (Ngành Phân Bón)</t>
        </is>
      </c>
      <c r="D18833" t="inlineStr">
        <is>
          <t>Công ty TNHH Sản xuất Thương mại &amp; Dịch vụ Hoa Xinh</t>
        </is>
      </c>
      <c r="E18833" t="inlineStr">
        <is>
          <t>Lương:Cạnh tranh</t>
        </is>
      </c>
      <c r="F18833" t="inlineStr">
        <is>
          <t>Hồ Chí Minh</t>
        </is>
      </c>
      <c r="G18833" t="inlineStr">
        <is>
          <t>29-03-2026</t>
        </is>
      </c>
      <c r="H18833" t="inlineStr">
        <is>
          <t>29/03/2026</t>
        </is>
      </c>
      <c r="I18833" t="inlineStr">
        <is>
          <t>17/03/2026</t>
        </is>
      </c>
      <c r="J18833" t="inlineStr">
        <is>
          <t>Bán hàng / Kinh doanh, Dịch vụ khách hàng, Nông nghiệp</t>
        </is>
      </c>
      <c r="K18833" t="inlineStr">
        <is>
          <t>Chưa có kinh nghiệm</t>
        </is>
      </c>
      <c r="L18833" s="8">
        <f>HYPERLINK("https://careerviet.vn/vi/tim-viec-lam/nhan-vien-kinh-doanh-nganh-phan-bon.35C66CA4.html","Xem chi tiết")</f>
        <v/>
      </c>
    </row>
    <row r="18834">
      <c r="B18834" s="9" t="n">
        <v>18832</v>
      </c>
      <c r="C18834" s="10" t="inlineStr">
        <is>
          <t>Sale Gov-Enterprise</t>
        </is>
      </c>
      <c r="D18834" s="10" t="inlineStr">
        <is>
          <t>CÔNG TY CỔ PHẨN TẬP ĐOÀN MK</t>
        </is>
      </c>
      <c r="E18834" s="10" t="inlineStr">
        <is>
          <t>Lương:Cạnh tranh</t>
        </is>
      </c>
      <c r="F18834" s="10" t="inlineStr">
        <is>
          <t>Hà Nội</t>
        </is>
      </c>
      <c r="G18834" s="10" t="inlineStr">
        <is>
          <t>29-03-2026</t>
        </is>
      </c>
      <c r="H18834" s="10" t="inlineStr">
        <is>
          <t>29/03/2026</t>
        </is>
      </c>
      <c r="I18834" s="10" t="inlineStr">
        <is>
          <t>17/03/2026</t>
        </is>
      </c>
      <c r="J18834" s="10" t="inlineStr">
        <is>
          <t>CNTT - Phần mềm, CNTT - Phần cứng / Mạng</t>
        </is>
      </c>
      <c r="K18834" s="10" t="inlineStr">
        <is>
          <t>2 - 5 Năm</t>
        </is>
      </c>
      <c r="L18834" s="11">
        <f>HYPERLINK("https://careerviet.vn/vi/tim-viec-lam/sale-gov-enterprise.35C66D48.html","Xem chi tiết")</f>
        <v/>
      </c>
      <c r="M18834" s="10" t="n"/>
    </row>
    <row r="18835">
      <c r="B18835" s="7" t="n">
        <v>18833</v>
      </c>
      <c r="C18835" t="inlineStr">
        <is>
          <t>Senior Data Engineer</t>
        </is>
      </c>
      <c r="D18835" t="inlineStr">
        <is>
          <t>CÔNG TY CỔ PHẦN MAC MARKETING</t>
        </is>
      </c>
      <c r="E18835" t="inlineStr">
        <is>
          <t>Lương:Cạnh tranh</t>
        </is>
      </c>
      <c r="F18835" t="inlineStr">
        <is>
          <t>Hồ Chí Minh</t>
        </is>
      </c>
      <c r="G18835" t="inlineStr">
        <is>
          <t>29-03-2026</t>
        </is>
      </c>
      <c r="H18835" t="inlineStr">
        <is>
          <t>29/03/2026</t>
        </is>
      </c>
      <c r="I18835" t="inlineStr">
        <is>
          <t>17/03/2026</t>
        </is>
      </c>
      <c r="J18835" t="inlineStr">
        <is>
          <t>CNTT - Phần mềm</t>
        </is>
      </c>
      <c r="K18835" t="inlineStr">
        <is>
          <t>3 - 4 Năm</t>
        </is>
      </c>
      <c r="L18835" s="8">
        <f>HYPERLINK("https://careerviet.vn/vi/tim-viec-lam/senior-data-engineer.35C66D4F.html","Xem chi tiết")</f>
        <v/>
      </c>
    </row>
    <row r="18836">
      <c r="B18836" s="9" t="n">
        <v>18834</v>
      </c>
      <c r="C18836" s="10" t="inlineStr">
        <is>
          <t>Trưởng Phòng Kinh Doanh</t>
        </is>
      </c>
      <c r="D18836" s="10" t="inlineStr">
        <is>
          <t>CÔNG TY CỔ PHẦN THƯƠNG MẠI DỊCH VỤ KỸ THUẬT CAO NAM PHÁT</t>
        </is>
      </c>
      <c r="E18836" s="10" t="inlineStr">
        <is>
          <t>Lương:18 Tr - 25 Tr VND</t>
        </is>
      </c>
      <c r="F18836" s="10" t="inlineStr">
        <is>
          <t>Hồ Chí Minh</t>
        </is>
      </c>
      <c r="G18836" s="10" t="inlineStr">
        <is>
          <t>29-03-2026</t>
        </is>
      </c>
      <c r="H18836" s="10" t="inlineStr">
        <is>
          <t>29/03/2026</t>
        </is>
      </c>
      <c r="I18836" s="10" t="inlineStr">
        <is>
          <t>17/03/2026</t>
        </is>
      </c>
      <c r="J18836" s="10" t="inlineStr">
        <is>
          <t>Bán hàng / Kinh doanh, Tư vấn, Quản lý điều hành</t>
        </is>
      </c>
      <c r="K18836" s="10" t="inlineStr">
        <is>
          <t>Trên 1 Năm</t>
        </is>
      </c>
      <c r="L18836" s="11">
        <f>HYPERLINK("https://careerviet.vn/vi/tim-viec-lam/truong-phong-kinh-doanh.35C66C97.html","Xem chi tiết")</f>
        <v/>
      </c>
      <c r="M18836" s="10" t="n"/>
    </row>
    <row r="18837">
      <c r="B18837" s="7" t="n">
        <v>18835</v>
      </c>
      <c r="C18837" t="inlineStr">
        <is>
          <t>Nhân Viên Chăm Sóc Khách Hàng (Admission Officer) - ILA Nguyễn Sơn</t>
        </is>
      </c>
      <c r="D18837" t="inlineStr">
        <is>
          <t>ILA Việt Nam</t>
        </is>
      </c>
      <c r="E18837" t="inlineStr">
        <is>
          <t>Lương:7,5 Tr - 10 Tr VND</t>
        </is>
      </c>
      <c r="F18837" t="inlineStr">
        <is>
          <t>Hồ Chí Minh</t>
        </is>
      </c>
      <c r="G18837" t="inlineStr">
        <is>
          <t>29-03-2026</t>
        </is>
      </c>
      <c r="H18837" t="inlineStr">
        <is>
          <t>29/03/2026</t>
        </is>
      </c>
      <c r="I18837" t="inlineStr">
        <is>
          <t>17/03/2026</t>
        </is>
      </c>
      <c r="J18837" t="inlineStr">
        <is>
          <t>Tư vấn, Dịch vụ khách hàng, Giáo dục / Đào tạo</t>
        </is>
      </c>
      <c r="K18837" t="inlineStr">
        <is>
          <t>1 - 2 Năm</t>
        </is>
      </c>
      <c r="L18837" s="8">
        <f>HYPERLINK("https://careerviet.vn/vi/tim-viec-lam/nhan-vien-cham-soc-khach-hang-admission-officer-ila-nguyen-son.35C641FA.html","Xem chi tiết")</f>
        <v/>
      </c>
    </row>
    <row r="18838">
      <c r="B18838" s="9" t="n">
        <v>18836</v>
      </c>
      <c r="C18838" s="10" t="inlineStr">
        <is>
          <t>[GLOBAL X] Chuyên Viên Cao Cấp Giám Sát Dự Án</t>
        </is>
      </c>
      <c r="D18838" s="10" t="inlineStr">
        <is>
          <t>Nova Service Group - Công ty Cổ phần Tập đoàn Nova Services</t>
        </is>
      </c>
      <c r="E18838" s="10" t="inlineStr">
        <is>
          <t>Lương:Cạnh tranh</t>
        </is>
      </c>
      <c r="F18838" s="10" t="inlineStr">
        <is>
          <t>Hồ Chí Minh</t>
        </is>
      </c>
      <c r="G18838" s="10" t="inlineStr">
        <is>
          <t>29-03-2026</t>
        </is>
      </c>
      <c r="H18838" s="10" t="inlineStr">
        <is>
          <t>29/03/2026</t>
        </is>
      </c>
      <c r="I18838" s="10" t="inlineStr">
        <is>
          <t>17/03/2026</t>
        </is>
      </c>
      <c r="J18838" s="10" t="inlineStr">
        <is>
          <t>Xây dựng</t>
        </is>
      </c>
      <c r="K18838" s="10" t="inlineStr">
        <is>
          <t>Lên đến 2 Năm</t>
        </is>
      </c>
      <c r="L18838" s="11">
        <f>HYPERLINK("https://careerviet.vn/vi/tim-viec-lam/global-x-chuyen-vien-cao-cap-giam-sat-du-an.35C66C95.html","Xem chi tiết")</f>
        <v/>
      </c>
      <c r="M18838" s="10" t="n"/>
    </row>
    <row r="18839">
      <c r="B18839" s="7" t="n">
        <v>18837</v>
      </c>
      <c r="C18839" t="inlineStr">
        <is>
          <t>Nhân viên đóng gói</t>
        </is>
      </c>
      <c r="D18839" t="inlineStr">
        <is>
          <t>Tập Đoàn Kim Tín</t>
        </is>
      </c>
      <c r="E18839" t="inlineStr">
        <is>
          <t>Lương:10 Tr - 15 Tr VND</t>
        </is>
      </c>
      <c r="F18839" t="inlineStr">
        <is>
          <t>Hưng Yên</t>
        </is>
      </c>
      <c r="G18839" t="inlineStr">
        <is>
          <t>29-03-2026</t>
        </is>
      </c>
      <c r="H18839" t="inlineStr">
        <is>
          <t>29/03/2026</t>
        </is>
      </c>
      <c r="I18839" t="inlineStr">
        <is>
          <t>17/03/2026</t>
        </is>
      </c>
      <c r="J18839" t="inlineStr">
        <is>
          <t>Cơ khí / Ô tô / Tự động hóa, Sản xuất / Vận hành sản xuất, Lao động phổ thông</t>
        </is>
      </c>
      <c r="K18839" t="inlineStr">
        <is>
          <t>Chưa có kinh nghiệm</t>
        </is>
      </c>
      <c r="L18839" s="8">
        <f>HYPERLINK("https://careerviet.vn/vi/tim-viec-lam/nhan-vien-dong-goi.35C66CC7.html","Xem chi tiết")</f>
        <v/>
      </c>
    </row>
    <row r="18840">
      <c r="B18840" s="9" t="n">
        <v>18838</v>
      </c>
      <c r="C18840" s="10" t="inlineStr">
        <is>
          <t>Chuyên viên Vật liệu kim loại (Material Engineer)</t>
        </is>
      </c>
      <c r="D18840" s="10" t="inlineStr">
        <is>
          <t>Công ty TNHH MTV Sen Vàng Việt Nam</t>
        </is>
      </c>
      <c r="E18840" s="10" t="inlineStr">
        <is>
          <t>Lương:10 Tr - 30 Tr VND</t>
        </is>
      </c>
      <c r="F18840" s="10" t="inlineStr">
        <is>
          <t>Hồ Chí Minh</t>
        </is>
      </c>
      <c r="G18840" s="10" t="inlineStr">
        <is>
          <t>29-03-2026</t>
        </is>
      </c>
      <c r="H18840" s="10" t="inlineStr">
        <is>
          <t>29/03/2026</t>
        </is>
      </c>
      <c r="I18840" s="10" t="inlineStr">
        <is>
          <t>17/03/2026</t>
        </is>
      </c>
      <c r="J18840" s="10" t="inlineStr">
        <is>
          <t>Cơ khí / Ô tô / Tự động hóa, Hóa học, Sản xuất / Vận hành sản xuất</t>
        </is>
      </c>
      <c r="K18840" s="10" t="inlineStr">
        <is>
          <t>1 - 5 Năm</t>
        </is>
      </c>
      <c r="L18840" s="11">
        <f>HYPERLINK("https://careerviet.vn/vi/tim-viec-lam/chuyen-vien-vat-lieu-kim-loai-material-engineer.35C66CDB.html","Xem chi tiết")</f>
        <v/>
      </c>
      <c r="M18840" s="10" t="n"/>
    </row>
    <row r="18841">
      <c r="B18841" s="7" t="n">
        <v>18839</v>
      </c>
      <c r="C18841" t="inlineStr">
        <is>
          <t>National Security &amp; Compliance Assistant Manager</t>
        </is>
      </c>
      <c r="D18841" t="inlineStr">
        <is>
          <t>Linfox Logistics Vietnam</t>
        </is>
      </c>
      <c r="E18841" t="inlineStr">
        <is>
          <t>Lương:Cạnh tranh</t>
        </is>
      </c>
      <c r="F18841" t="inlineStr">
        <is>
          <t>Hồ Chí Minh</t>
        </is>
      </c>
      <c r="G18841" t="inlineStr">
        <is>
          <t>29-03-2026</t>
        </is>
      </c>
      <c r="H18841" t="inlineStr">
        <is>
          <t>29/03/2026</t>
        </is>
      </c>
      <c r="I18841" t="inlineStr">
        <is>
          <t>17/03/2026</t>
        </is>
      </c>
      <c r="J18841" t="inlineStr">
        <is>
          <t>Vận chuyển / Giao nhận / Kho vận</t>
        </is>
      </c>
      <c r="K18841" t="inlineStr">
        <is>
          <t>2 - 3 Năm</t>
        </is>
      </c>
      <c r="L18841" s="8">
        <f>HYPERLINK("https://careerviet.vn/vi/tim-viec-lam/national-security-compliance-assistant-manager.35C6410E.html","Xem chi tiết")</f>
        <v/>
      </c>
    </row>
    <row r="18842">
      <c r="B18842" s="9" t="n">
        <v>18840</v>
      </c>
      <c r="C18842" s="10" t="inlineStr">
        <is>
          <t>Quản Đốc</t>
        </is>
      </c>
      <c r="D18842" s="10" t="inlineStr">
        <is>
          <t>CÔNG TY CỔ PHẦN DỊCH VỤ KỸ THUẬT AN PHÁT ĐẠT</t>
        </is>
      </c>
      <c r="E18842" s="10" t="inlineStr">
        <is>
          <t>Lương:Cạnh tranh</t>
        </is>
      </c>
      <c r="F18842" s="10" t="inlineStr">
        <is>
          <t>Hồ Chí Minh</t>
        </is>
      </c>
      <c r="G18842" s="10" t="inlineStr">
        <is>
          <t>29-03-2026</t>
        </is>
      </c>
      <c r="H18842" s="10" t="inlineStr">
        <is>
          <t>29/03/2026</t>
        </is>
      </c>
      <c r="I18842" s="10" t="inlineStr">
        <is>
          <t>17/03/2026</t>
        </is>
      </c>
      <c r="J18842" s="10" t="inlineStr">
        <is>
          <t>Cơ khí / Ô tô / Tự động hóa, Điện / Điện tử / Điện lạnh / Điện công nghiệp, Xây dựng</t>
        </is>
      </c>
      <c r="K18842" s="10" t="inlineStr">
        <is>
          <t>N/A</t>
        </is>
      </c>
      <c r="L18842" s="11">
        <f>HYPERLINK("https://careerviet.vn/vi/tim-viec-lam/quan-doc.35C63D9F.html","Xem chi tiết")</f>
        <v/>
      </c>
      <c r="M18842" s="10" t="n"/>
    </row>
    <row r="18843">
      <c r="B18843" s="7" t="n">
        <v>18841</v>
      </c>
      <c r="C18843" t="inlineStr">
        <is>
          <t>Kỹ sư thiết kế phần cứng</t>
        </is>
      </c>
      <c r="D18843" t="inlineStr">
        <is>
          <t>CÔNG TY CỔ PHẦN GREMSY</t>
        </is>
      </c>
      <c r="E18843" t="inlineStr">
        <is>
          <t>Lương:Cạnh tranh</t>
        </is>
      </c>
      <c r="F18843" t="inlineStr">
        <is>
          <t>Hồ Chí Minh</t>
        </is>
      </c>
      <c r="G18843" t="inlineStr">
        <is>
          <t>29-03-2026</t>
        </is>
      </c>
      <c r="H18843" t="inlineStr">
        <is>
          <t>29/03/2026</t>
        </is>
      </c>
      <c r="I18843" t="inlineStr">
        <is>
          <t>17/03/2026</t>
        </is>
      </c>
      <c r="J18843" t="inlineStr">
        <is>
          <t>Điện / Điện tử / Điện lạnh / Điện công nghiệp, CNTT - Phần cứng / Mạng</t>
        </is>
      </c>
      <c r="K18843" t="inlineStr">
        <is>
          <t>1 - 5 Năm</t>
        </is>
      </c>
      <c r="L18843" s="8">
        <f>HYPERLINK("https://careerviet.vn/vi/tim-viec-lam/ky-su-thiet-ke-phan-cung.35C62CC3.html","Xem chi tiết")</f>
        <v/>
      </c>
    </row>
    <row r="18844">
      <c r="B18844" s="9" t="n">
        <v>18842</v>
      </c>
      <c r="C18844" s="10" t="inlineStr">
        <is>
          <t>Kế toán trưởng nhà máy sản xuất</t>
        </is>
      </c>
      <c r="D18844" s="10" t="inlineStr">
        <is>
          <t>CÔNG TY TNHH BÊ TÔNG VÀ XÂY DỰNG MINH ĐỨC</t>
        </is>
      </c>
      <c r="E18844" s="10" t="inlineStr">
        <is>
          <t>Lương:20 Tr - 25 Tr VND</t>
        </is>
      </c>
      <c r="F18844" s="10" t="inlineStr">
        <is>
          <t>Hải Phòng</t>
        </is>
      </c>
      <c r="G18844" s="10" t="inlineStr">
        <is>
          <t>29-03-2026</t>
        </is>
      </c>
      <c r="H18844" s="10" t="inlineStr">
        <is>
          <t>29/03/2026</t>
        </is>
      </c>
      <c r="I18844" s="10" t="inlineStr">
        <is>
          <t>17/03/2026</t>
        </is>
      </c>
      <c r="J18844" s="10" t="inlineStr">
        <is>
          <t>Hành chính / Thư ký, Kế toán / Kiểm toán, Sản xuất / Vận hành sản xuất</t>
        </is>
      </c>
      <c r="K18844" s="10" t="inlineStr">
        <is>
          <t>Trên 5 Năm</t>
        </is>
      </c>
      <c r="L18844" s="11">
        <f>HYPERLINK("https://careerviet.vn/vi/tim-viec-lam/ke-toan-truong-nha-may-san-xuat.35C64241.html","Xem chi tiết")</f>
        <v/>
      </c>
      <c r="M18844" s="10" t="n"/>
    </row>
    <row r="18845">
      <c r="B18845" s="7" t="n">
        <v>18843</v>
      </c>
      <c r="C18845" t="inlineStr">
        <is>
          <t>Quản Lý Vận Hành Khách Sạn</t>
        </is>
      </c>
      <c r="D18845" t="inlineStr">
        <is>
          <t>CÔNG TY TNHH WAH FU PALACE</t>
        </is>
      </c>
      <c r="E18845" t="inlineStr">
        <is>
          <t>Lương:Cạnh tranh</t>
        </is>
      </c>
      <c r="F18845" t="inlineStr">
        <is>
          <t>Hồ Chí Minh</t>
        </is>
      </c>
      <c r="G18845" t="inlineStr">
        <is>
          <t>29-03-2026</t>
        </is>
      </c>
      <c r="H18845" t="inlineStr">
        <is>
          <t>29/03/2026</t>
        </is>
      </c>
      <c r="I18845" t="inlineStr">
        <is>
          <t>17/03/2026</t>
        </is>
      </c>
      <c r="J18845" t="inlineStr">
        <is>
          <t>Thực phẩm &amp; Đồ uống, Quản lý điều hành, Nhà hàng / Khách sạn</t>
        </is>
      </c>
      <c r="K18845" t="inlineStr">
        <is>
          <t>N/A</t>
        </is>
      </c>
      <c r="L18845" s="8">
        <f>HYPERLINK("https://careerviet.vn/vi/tim-viec-lam/quan-ly-van-hanh-khach-san.35C6422B.html","Xem chi tiết")</f>
        <v/>
      </c>
    </row>
    <row r="18846">
      <c r="B18846" s="9" t="n">
        <v>18844</v>
      </c>
      <c r="C18846" s="10" t="inlineStr">
        <is>
          <t>Thai English Teacher (Online - Part-Time)</t>
        </is>
      </c>
      <c r="D18846" s="10" t="inlineStr">
        <is>
          <t>Công ty TNHH Schola</t>
        </is>
      </c>
      <c r="E18846" s="10" t="inlineStr">
        <is>
          <t>Lương:8 Tr - 10 Tr VND</t>
        </is>
      </c>
      <c r="F18846" s="10" t="inlineStr">
        <is>
          <t>Khác</t>
        </is>
      </c>
      <c r="G18846" s="10" t="inlineStr">
        <is>
          <t>29-03-2026</t>
        </is>
      </c>
      <c r="H18846" s="10" t="inlineStr">
        <is>
          <t>29/03/2026</t>
        </is>
      </c>
      <c r="I18846" s="10" t="inlineStr">
        <is>
          <t>17/03/2026</t>
        </is>
      </c>
      <c r="J18846" s="10" t="inlineStr">
        <is>
          <t>Giáo dục / Đào tạo</t>
        </is>
      </c>
      <c r="K18846" s="10" t="inlineStr">
        <is>
          <t>Lên đến 1 Năm</t>
        </is>
      </c>
      <c r="L18846" s="11">
        <f>HYPERLINK("https://careerviet.vn/vi/tim-viec-lam/thai-english-teacher-online-part-time.35C64257.html","Xem chi tiết")</f>
        <v/>
      </c>
      <c r="M18846" s="10" t="n"/>
    </row>
    <row r="18847">
      <c r="B18847" s="7" t="n">
        <v>18845</v>
      </c>
      <c r="C18847" t="inlineStr">
        <is>
          <t>Giám sát Vệ sinh công nghiệp - Dầu Giây Đồng Nai</t>
        </is>
      </c>
      <c r="D18847" t="inlineStr">
        <is>
          <t>Công Ty Cổ Phần Dịch Vụ Nhà Sạch</t>
        </is>
      </c>
      <c r="E18847" t="inlineStr">
        <is>
          <t>Lương:8 Tr - 10 Tr VND</t>
        </is>
      </c>
      <c r="F18847" t="inlineStr">
        <is>
          <t>Đồng Nai</t>
        </is>
      </c>
      <c r="G18847" t="inlineStr">
        <is>
          <t>29-03-2026</t>
        </is>
      </c>
      <c r="H18847" t="inlineStr">
        <is>
          <t>29/03/2026</t>
        </is>
      </c>
      <c r="I18847" t="inlineStr">
        <is>
          <t>17/03/2026</t>
        </is>
      </c>
      <c r="J18847" t="inlineStr">
        <is>
          <t>Dịch vụ khách hàng, Ngành khác</t>
        </is>
      </c>
      <c r="K18847" t="inlineStr">
        <is>
          <t>2 - 3 Năm</t>
        </is>
      </c>
      <c r="L18847" s="8">
        <f>HYPERLINK("https://careerviet.vn/vi/tim-viec-lam/giam-sat-ve-sinh-cong-nghiep-dau-giay-dong-nai.35C640FB.html","Xem chi tiết")</f>
        <v/>
      </c>
    </row>
    <row r="18848">
      <c r="B18848" s="9" t="n">
        <v>18846</v>
      </c>
      <c r="C18848" s="10" t="inlineStr">
        <is>
          <t>Chuyên Viên Hỗ Trợ Cửa Hàng  (Dược Sĩ)</t>
        </is>
      </c>
      <c r="D18848" s="10" t="inlineStr">
        <is>
          <t>Công Ty CP Dược Phẩm Pharmacity</t>
        </is>
      </c>
      <c r="E18848" s="10" t="inlineStr">
        <is>
          <t>Lương:Cạnh tranh</t>
        </is>
      </c>
      <c r="F18848" s="10" t="inlineStr">
        <is>
          <t>Hồ Chí Minh</t>
        </is>
      </c>
      <c r="G18848" s="10" t="inlineStr">
        <is>
          <t>29-03-2026</t>
        </is>
      </c>
      <c r="H18848" s="10" t="inlineStr">
        <is>
          <t>29/03/2026</t>
        </is>
      </c>
      <c r="I18848" s="10" t="inlineStr">
        <is>
          <t>17/03/2026</t>
        </is>
      </c>
      <c r="J18848" s="10" t="inlineStr">
        <is>
          <t>Bán lẻ / Bán sỉ, Dược phẩm/ Hóa Mỹ Phẩm</t>
        </is>
      </c>
      <c r="K18848" s="10" t="inlineStr">
        <is>
          <t>1 - 2 Năm</t>
        </is>
      </c>
      <c r="L18848" s="11">
        <f>HYPERLINK("https://careerviet.vn/vi/tim-viec-lam/chuyen-vien-ho-tro-cua-hang-duoc-si.35C64256.html","Xem chi tiết")</f>
        <v/>
      </c>
      <c r="M18848" s="10" t="n"/>
    </row>
    <row r="18849">
      <c r="B18849" s="7" t="n">
        <v>18847</v>
      </c>
      <c r="C18849" t="inlineStr">
        <is>
          <t>Kế Toán Nội Bộ (Internal Accountant)</t>
        </is>
      </c>
      <c r="D18849" t="inlineStr">
        <is>
          <t>CÔNG TY TNHH GOLDNET</t>
        </is>
      </c>
      <c r="E18849" t="inlineStr">
        <is>
          <t>Lương:Cạnh tranh</t>
        </is>
      </c>
      <c r="F18849" t="inlineStr">
        <is>
          <t>Hồ Chí Minh</t>
        </is>
      </c>
      <c r="G18849" t="inlineStr">
        <is>
          <t>29-03-2026</t>
        </is>
      </c>
      <c r="H18849" t="inlineStr">
        <is>
          <t>29/03/2026</t>
        </is>
      </c>
      <c r="I18849" t="inlineStr">
        <is>
          <t>17/03/2026</t>
        </is>
      </c>
      <c r="J18849" t="inlineStr">
        <is>
          <t>Kế toán / Kiểm toán, Tài chính / Đầu tư</t>
        </is>
      </c>
      <c r="K18849" t="inlineStr">
        <is>
          <t>1 - 2 Năm</t>
        </is>
      </c>
      <c r="L18849" s="8">
        <f>HYPERLINK("https://careerviet.vn/vi/tim-viec-lam/ke-toan-noi-bo-internal-accountant.35C66D93.html","Xem chi tiết")</f>
        <v/>
      </c>
    </row>
    <row r="18850">
      <c r="B18850" s="9" t="n">
        <v>18848</v>
      </c>
      <c r="C18850" s="10" t="inlineStr">
        <is>
          <t>Quản lý dự án chỉnh lý</t>
        </is>
      </c>
      <c r="D18850" s="10" t="inlineStr">
        <is>
          <t>Công ty CP Đầu Tư TM và Phát Triển Công Nghệ FSI</t>
        </is>
      </c>
      <c r="E18850" s="10" t="inlineStr">
        <is>
          <t>Lương:9 Tr - 12 Tr VND</t>
        </is>
      </c>
      <c r="F18850" s="10" t="inlineStr">
        <is>
          <t>Hồ Chí Minh</t>
        </is>
      </c>
      <c r="G18850" s="10" t="inlineStr">
        <is>
          <t>29-03-2026</t>
        </is>
      </c>
      <c r="H18850" s="10" t="inlineStr">
        <is>
          <t>29/03/2026</t>
        </is>
      </c>
      <c r="I18850" s="10" t="inlineStr">
        <is>
          <t>17/03/2026</t>
        </is>
      </c>
      <c r="J18850" s="10" t="inlineStr">
        <is>
          <t>Luật / Pháp lý, Thư viện, CNTT - Phần mềm</t>
        </is>
      </c>
      <c r="K18850" s="10" t="inlineStr">
        <is>
          <t>Trên 1 Năm</t>
        </is>
      </c>
      <c r="L18850" s="11">
        <f>HYPERLINK("https://careerviet.vn/vi/tim-viec-lam/quan-ly-du-an-chinh-ly.35C66D89.html","Xem chi tiết")</f>
        <v/>
      </c>
      <c r="M18850" s="10" t="n"/>
    </row>
    <row r="18851">
      <c r="B18851" s="7" t="n">
        <v>18849</v>
      </c>
      <c r="C18851" t="inlineStr">
        <is>
          <t>HR &amp; Admin Intern (Bien Hoa, Dong Nai)</t>
        </is>
      </c>
      <c r="D18851" t="inlineStr">
        <is>
          <t>Công ty TNHH Olam Việt Nam</t>
        </is>
      </c>
      <c r="E18851" t="inlineStr">
        <is>
          <t>Lương:6 Tr - 8 Tr VND</t>
        </is>
      </c>
      <c r="F18851" t="inlineStr">
        <is>
          <t>Đồng Nai</t>
        </is>
      </c>
      <c r="G18851" t="inlineStr">
        <is>
          <t>29-03-2026</t>
        </is>
      </c>
      <c r="H18851" t="inlineStr">
        <is>
          <t>29/03/2026</t>
        </is>
      </c>
      <c r="I18851" t="inlineStr">
        <is>
          <t>17/03/2026</t>
        </is>
      </c>
      <c r="J18851" t="inlineStr">
        <is>
          <t>Hành chính / Thư ký, Quản lý điều hành, Nhân sự</t>
        </is>
      </c>
      <c r="K18851" t="inlineStr">
        <is>
          <t>N/A</t>
        </is>
      </c>
      <c r="L18851" s="8">
        <f>HYPERLINK("https://careerviet.vn/vi/tim-viec-lam/hr-admin-intern-bien-hoa-dong-nai.35C4C4B5.html","Xem chi tiết")</f>
        <v/>
      </c>
    </row>
    <row r="18852">
      <c r="B18852" s="9" t="n">
        <v>18850</v>
      </c>
      <c r="C18852" s="10" t="inlineStr">
        <is>
          <t>CHUYÊN VIÊN CAO CẤP QUẢN TRỊ RỦI RO &amp; TUÂN THỦ</t>
        </is>
      </c>
      <c r="D18852" s="10" t="inlineStr">
        <is>
          <t>CÔNG TY TNHH MTV CHẾ TÁC VÀ KINH DOANH TRANG SỨC PNJ</t>
        </is>
      </c>
      <c r="E18852" s="10" t="inlineStr">
        <is>
          <t>Lương:22 Tr - 25 Tr VND</t>
        </is>
      </c>
      <c r="F18852" s="10" t="inlineStr">
        <is>
          <t>Hồ Chí Minh</t>
        </is>
      </c>
      <c r="G18852" s="10" t="inlineStr">
        <is>
          <t>29-03-2026</t>
        </is>
      </c>
      <c r="H18852" s="10" t="inlineStr">
        <is>
          <t>29/03/2026</t>
        </is>
      </c>
      <c r="I18852" s="10" t="inlineStr">
        <is>
          <t>17/03/2026</t>
        </is>
      </c>
      <c r="J18852" s="10" t="inlineStr">
        <is>
          <t>Kế toán / Kiểm toán, Tài chính / Đầu tư, Sản xuất / Vận hành sản xuất</t>
        </is>
      </c>
      <c r="K18852" s="10" t="inlineStr">
        <is>
          <t>3 - 5 Năm</t>
        </is>
      </c>
      <c r="L18852" s="11">
        <f>HYPERLINK("https://careerviet.vn/vi/tim-viec-lam/chuyen-vien-cao-cap-quan-tri-rui-ro-tuan-thu.35C66CD7.html","Xem chi tiết")</f>
        <v/>
      </c>
      <c r="M18852" s="10" t="n"/>
    </row>
    <row r="18853">
      <c r="B18853" s="7" t="n">
        <v>18851</v>
      </c>
      <c r="C18853" t="inlineStr">
        <is>
          <t>Product Development Engineer (Furniture)</t>
        </is>
      </c>
      <c r="D18853" t="inlineStr">
        <is>
          <t>CÔNG TY TNHH SÀI GÒN WICKER</t>
        </is>
      </c>
      <c r="E18853" t="inlineStr">
        <is>
          <t>Lương:Cạnh tranh</t>
        </is>
      </c>
      <c r="F18853" t="inlineStr">
        <is>
          <t>Hồ Chí Minh</t>
        </is>
      </c>
      <c r="G18853" t="inlineStr">
        <is>
          <t>29-03-2026</t>
        </is>
      </c>
      <c r="H18853" t="inlineStr">
        <is>
          <t>29/03/2026</t>
        </is>
      </c>
      <c r="I18853" t="inlineStr">
        <is>
          <t>17/03/2026</t>
        </is>
      </c>
      <c r="J18853" t="inlineStr">
        <is>
          <t>Quản lý chất lượng (QA/QC), Kiến trúc, Nội ngoại thất</t>
        </is>
      </c>
      <c r="K18853" t="inlineStr">
        <is>
          <t>N/A</t>
        </is>
      </c>
      <c r="L18853" s="8">
        <f>HYPERLINK("https://careerviet.vn/vi/tim-viec-lam/product-development-engineer-furniture.35C66CAC.html","Xem chi tiết")</f>
        <v/>
      </c>
    </row>
    <row r="18854">
      <c r="B18854" s="9" t="n">
        <v>18852</v>
      </c>
      <c r="C18854" s="10" t="inlineStr">
        <is>
          <t>Quản lý - kinh doanh sỉ  (Miền Trung)</t>
        </is>
      </c>
      <c r="D18854" s="10" t="inlineStr">
        <is>
          <t>CÔNG TY TNHH MTV CHẾ TÁC VÀ KINH DOANH TRANG SỨC PNJ</t>
        </is>
      </c>
      <c r="E18854" s="10" t="inlineStr">
        <is>
          <t>Lương:Cạnh tranh</t>
        </is>
      </c>
      <c r="F18854" s="10" t="inlineStr">
        <is>
          <t>Đà Nẵng</t>
        </is>
      </c>
      <c r="G18854" s="10" t="inlineStr">
        <is>
          <t>29-03-2026</t>
        </is>
      </c>
      <c r="H18854" s="10" t="inlineStr">
        <is>
          <t>29/03/2026</t>
        </is>
      </c>
      <c r="I18854" s="10" t="inlineStr">
        <is>
          <t>17/03/2026</t>
        </is>
      </c>
      <c r="J18854" s="10" t="inlineStr">
        <is>
          <t>Bán lẻ / Bán sỉ, Bán hàng / Kinh doanh, Quản lý điều hành</t>
        </is>
      </c>
      <c r="K18854" s="10" t="inlineStr">
        <is>
          <t>Trên 5 Năm</t>
        </is>
      </c>
      <c r="L18854" s="11">
        <f>HYPERLINK("https://careerviet.vn/vi/tim-viec-lam/quan-ly-kinh-doanh-si-mien-trung.35C66DE0.html","Xem chi tiết")</f>
        <v/>
      </c>
      <c r="M18854" s="10" t="n"/>
    </row>
    <row r="18855">
      <c r="B18855" s="7" t="n">
        <v>18853</v>
      </c>
      <c r="C18855" t="inlineStr">
        <is>
          <t>Tax Lead</t>
        </is>
      </c>
      <c r="D18855" t="inlineStr">
        <is>
          <t>Công ty TNHH Onpoint</t>
        </is>
      </c>
      <c r="E18855" t="inlineStr">
        <is>
          <t>Lương:Cạnh tranh</t>
        </is>
      </c>
      <c r="F18855" t="inlineStr">
        <is>
          <t>Hồ Chí Minh</t>
        </is>
      </c>
      <c r="G18855" t="inlineStr">
        <is>
          <t>29-03-2026</t>
        </is>
      </c>
      <c r="H18855" t="inlineStr">
        <is>
          <t>29/03/2026</t>
        </is>
      </c>
      <c r="I18855" t="inlineStr">
        <is>
          <t>17/03/2026</t>
        </is>
      </c>
      <c r="J18855" t="inlineStr">
        <is>
          <t>Kế toán / Kiểm toán, Luật / Pháp lý, Tài chính / Đầu tư</t>
        </is>
      </c>
      <c r="K18855" t="inlineStr">
        <is>
          <t>N/A</t>
        </is>
      </c>
      <c r="L18855" s="8">
        <f>HYPERLINK("https://careerviet.vn/vi/tim-viec-lam/tax-lead.35C64201.html","Xem chi tiết")</f>
        <v/>
      </c>
    </row>
    <row r="18856">
      <c r="B18856" s="9" t="n">
        <v>18854</v>
      </c>
      <c r="C18856" s="10" t="inlineStr">
        <is>
          <t>Cán Bộ Kỹ Thuật Hiện Trường</t>
        </is>
      </c>
      <c r="D18856" s="10" t="inlineStr">
        <is>
          <t>CÔNG TY TNHH ĐẦU TƯ XÂY DỰNG PHÁT TRIỂN THÁI DƯƠNG</t>
        </is>
      </c>
      <c r="E18856" s="10" t="inlineStr">
        <is>
          <t>Lương:10 Tr - 20 Tr VND</t>
        </is>
      </c>
      <c r="F18856" s="10" t="inlineStr">
        <is>
          <t>Đồng NaiHồ Chí Minh</t>
        </is>
      </c>
      <c r="G18856" s="10" t="inlineStr">
        <is>
          <t>29-03-2026</t>
        </is>
      </c>
      <c r="H18856" s="10" t="inlineStr">
        <is>
          <t>29/03/2026</t>
        </is>
      </c>
      <c r="I18856" s="10" t="inlineStr">
        <is>
          <t>17/03/2026</t>
        </is>
      </c>
      <c r="J18856" s="10" t="inlineStr">
        <is>
          <t>Kiến trúc, Xây dựng, Nội ngoại thất</t>
        </is>
      </c>
      <c r="K18856" s="10" t="inlineStr">
        <is>
          <t>Trên 1 Năm</t>
        </is>
      </c>
      <c r="L18856" s="11">
        <f>HYPERLINK("https://careerviet.vn/vi/tim-viec-lam/can-bo-ky-thuat-hien-truong.35C6418C.html","Xem chi tiết")</f>
        <v/>
      </c>
      <c r="M18856" s="10" t="n"/>
    </row>
    <row r="18857">
      <c r="B18857" s="7" t="n">
        <v>18855</v>
      </c>
      <c r="C18857" t="inlineStr">
        <is>
          <t>Chuyên Viên Đấu Thầu</t>
        </is>
      </c>
      <c r="D18857" t="inlineStr">
        <is>
          <t>CÔNG TY CỔ PHẦN ĐẦU TƯ ĐÔNG BẮC LAND</t>
        </is>
      </c>
      <c r="E18857" t="inlineStr">
        <is>
          <t>Lương:Cạnh tranh</t>
        </is>
      </c>
      <c r="F18857" t="inlineStr">
        <is>
          <t>Hà Nội</t>
        </is>
      </c>
      <c r="G18857" t="inlineStr">
        <is>
          <t>29-03-2026</t>
        </is>
      </c>
      <c r="H18857" t="inlineStr">
        <is>
          <t>29/03/2026</t>
        </is>
      </c>
      <c r="I18857" t="inlineStr">
        <is>
          <t>17/03/2026</t>
        </is>
      </c>
      <c r="J18857" t="inlineStr">
        <is>
          <t>Xây dựng, Quản lý điều hành, Bất động sản</t>
        </is>
      </c>
      <c r="K18857" t="inlineStr">
        <is>
          <t>7 - 10 Năm</t>
        </is>
      </c>
      <c r="L18857" s="8">
        <f>HYPERLINK("https://careerviet.vn/vi/tim-viec-lam/chuyen-vien-dau-thau.35C65507.html","Xem chi tiết")</f>
        <v/>
      </c>
    </row>
    <row r="18858">
      <c r="B18858" s="9" t="n">
        <v>18856</v>
      </c>
      <c r="C18858" s="10" t="inlineStr">
        <is>
          <t>Lập trình viên Fullstack .net</t>
        </is>
      </c>
      <c r="D18858" s="10" t="inlineStr">
        <is>
          <t>CÔNG TY CỔ PHẦN CÔNG NGHIỆP WELDCOM</t>
        </is>
      </c>
      <c r="E18858" s="10" t="inlineStr">
        <is>
          <t>Lương:15 Tr - 25 Tr VND</t>
        </is>
      </c>
      <c r="F18858" s="10" t="inlineStr">
        <is>
          <t>Hà Nội</t>
        </is>
      </c>
      <c r="G18858" s="10" t="inlineStr">
        <is>
          <t>29-03-2026</t>
        </is>
      </c>
      <c r="H18858" s="10" t="inlineStr">
        <is>
          <t>29/03/2026</t>
        </is>
      </c>
      <c r="I18858" s="10" t="inlineStr">
        <is>
          <t>17/03/2026</t>
        </is>
      </c>
      <c r="J18858" s="10" t="inlineStr">
        <is>
          <t>CNTT - Phần mềm</t>
        </is>
      </c>
      <c r="K18858" s="10" t="inlineStr">
        <is>
          <t>1 - 3 Năm</t>
        </is>
      </c>
      <c r="L18858" s="11">
        <f>HYPERLINK("https://careerviet.vn/vi/tim-viec-lam/lap-trinh-vien-fullstack-net.35C66D9D.html","Xem chi tiết")</f>
        <v/>
      </c>
      <c r="M18858" s="10" t="n"/>
    </row>
    <row r="18859">
      <c r="B18859" s="7" t="n">
        <v>18857</v>
      </c>
      <c r="C18859" t="inlineStr">
        <is>
          <t>Kiến Trúc Sư</t>
        </is>
      </c>
      <c r="D18859" t="inlineStr">
        <is>
          <t>Công ty CP DV Tư Vấn PMI</t>
        </is>
      </c>
      <c r="E18859" t="inlineStr">
        <is>
          <t>Lương:Cạnh tranh</t>
        </is>
      </c>
      <c r="F18859" t="inlineStr">
        <is>
          <t>Hà NộiHồ Chí Minh</t>
        </is>
      </c>
      <c r="G18859" t="inlineStr">
        <is>
          <t>29-03-2026</t>
        </is>
      </c>
      <c r="H18859" t="inlineStr">
        <is>
          <t>29/03/2026</t>
        </is>
      </c>
      <c r="I18859" t="inlineStr">
        <is>
          <t>17/03/2026</t>
        </is>
      </c>
      <c r="J18859" t="inlineStr">
        <is>
          <t>Mỹ thuật / Nghệ thuật / Thiết kế, Kiến trúc, Xây dựng</t>
        </is>
      </c>
      <c r="K18859" t="inlineStr">
        <is>
          <t>3 - 5 Năm</t>
        </is>
      </c>
      <c r="L18859" s="8">
        <f>HYPERLINK("https://careerviet.vn/vi/tim-viec-lam/kien-truc-su.35C52AD6.html","Xem chi tiết")</f>
        <v/>
      </c>
    </row>
    <row r="18860">
      <c r="B18860" s="9" t="n">
        <v>18858</v>
      </c>
      <c r="C18860" s="10" t="inlineStr">
        <is>
          <t>Kế Toán Tổng Hợp Mảng Bệnh Viện</t>
        </is>
      </c>
      <c r="D18860" s="10" t="inlineStr">
        <is>
          <t>SCI Group</t>
        </is>
      </c>
      <c r="E18860" s="10" t="inlineStr">
        <is>
          <t>Lương:15 Tr - 17 Tr VND</t>
        </is>
      </c>
      <c r="F18860" s="10" t="inlineStr">
        <is>
          <t>Hà Nội</t>
        </is>
      </c>
      <c r="G18860" s="10" t="inlineStr">
        <is>
          <t>29-03-2026</t>
        </is>
      </c>
      <c r="H18860" s="10" t="inlineStr">
        <is>
          <t>29/03/2026</t>
        </is>
      </c>
      <c r="I18860" s="10" t="inlineStr">
        <is>
          <t>17/03/2026</t>
        </is>
      </c>
      <c r="J18860" s="10" t="inlineStr">
        <is>
          <t>Kế toán / Kiểm toán, Tài chính / Đầu tư</t>
        </is>
      </c>
      <c r="K18860" s="10" t="inlineStr">
        <is>
          <t>2 - 3 Năm</t>
        </is>
      </c>
      <c r="L18860" s="11">
        <f>HYPERLINK("https://careerviet.vn/vi/tim-viec-lam/ke-toan-tong-hop-mang-benh-vien.35C6410F.html","Xem chi tiết")</f>
        <v/>
      </c>
      <c r="M18860" s="10" t="n"/>
    </row>
    <row r="18861">
      <c r="B18861" s="7" t="n">
        <v>18859</v>
      </c>
      <c r="C18861" t="inlineStr">
        <is>
          <t>03 Thợ Đồng Sơn</t>
        </is>
      </c>
      <c r="D18861" t="inlineStr">
        <is>
          <t>Vietnam Star Automobile</t>
        </is>
      </c>
      <c r="E18861" t="inlineStr">
        <is>
          <t>Lương:Cạnh tranh</t>
        </is>
      </c>
      <c r="F18861" t="inlineStr">
        <is>
          <t>Hồ Chí Minh</t>
        </is>
      </c>
      <c r="G18861" t="inlineStr">
        <is>
          <t>29-03-2026</t>
        </is>
      </c>
      <c r="H18861" t="inlineStr">
        <is>
          <t>29/03/2026</t>
        </is>
      </c>
      <c r="I18861" t="inlineStr">
        <is>
          <t>17/03/2026</t>
        </is>
      </c>
      <c r="J18861" t="inlineStr">
        <is>
          <t>Lao động phổ thông, Cơ khí / Ô tô / Tự động hóa</t>
        </is>
      </c>
      <c r="K18861" t="inlineStr">
        <is>
          <t>2 - 3 Năm</t>
        </is>
      </c>
      <c r="L18861" s="8">
        <f>HYPERLINK("https://careerviet.vn/vi/tim-viec-lam/03-tho-dong-son.35C64251.html","Xem chi tiết")</f>
        <v/>
      </c>
    </row>
    <row r="18862">
      <c r="B18862" s="9" t="n">
        <v>18860</v>
      </c>
      <c r="C18862" s="10" t="inlineStr">
        <is>
          <t>CVC/CVCC/Chuyên Gia Phân Tích Ngành &amp; Doanh Nghiệp</t>
        </is>
      </c>
      <c r="D18862" s="10" t="inlineStr">
        <is>
          <t>CÔNG TY CỔ PHẦN CHỨNG KHOÁN ASEAN</t>
        </is>
      </c>
      <c r="E18862" s="10" t="inlineStr">
        <is>
          <t>Lương:Cạnh tranh</t>
        </is>
      </c>
      <c r="F18862" s="10" t="inlineStr">
        <is>
          <t>Hà Nội</t>
        </is>
      </c>
      <c r="G18862" s="10" t="inlineStr">
        <is>
          <t>29-03-2026</t>
        </is>
      </c>
      <c r="H18862" s="10" t="inlineStr">
        <is>
          <t>29/03/2026</t>
        </is>
      </c>
      <c r="I18862" s="10" t="inlineStr">
        <is>
          <t>17/03/2026</t>
        </is>
      </c>
      <c r="J18862" s="10" t="inlineStr">
        <is>
          <t>Ngân hàng, Chứng khoán, Tài chính / Đầu tư</t>
        </is>
      </c>
      <c r="K18862" s="10" t="inlineStr">
        <is>
          <t>Trên 5 Năm</t>
        </is>
      </c>
      <c r="L18862" s="11">
        <f>HYPERLINK("https://careerviet.vn/vi/tim-viec-lam/cvc-cvcc-chuyen-gia-phan-tich-nganh-doanh-nghiep.35C642BB.html","Xem chi tiết")</f>
        <v/>
      </c>
      <c r="M18862" s="10" t="n"/>
    </row>
    <row r="18863">
      <c r="B18863" s="7" t="n">
        <v>18861</v>
      </c>
      <c r="C18863" t="inlineStr">
        <is>
          <t>Nhân viên Kỹ thuật</t>
        </is>
      </c>
      <c r="D18863" t="inlineStr">
        <is>
          <t>Công Ty Cổ Phần Sản Xuất Nhựa Duy Tân</t>
        </is>
      </c>
      <c r="E18863" t="inlineStr">
        <is>
          <t>Lương:Cạnh tranh</t>
        </is>
      </c>
      <c r="F18863" t="inlineStr">
        <is>
          <t>Hồ Chí Minh</t>
        </is>
      </c>
      <c r="G18863" t="inlineStr">
        <is>
          <t>29-03-2026</t>
        </is>
      </c>
      <c r="H18863" t="inlineStr">
        <is>
          <t>29/03/2026</t>
        </is>
      </c>
      <c r="I18863" t="inlineStr">
        <is>
          <t>17/03/2026</t>
        </is>
      </c>
      <c r="J18863" t="inlineStr">
        <is>
          <t>Bảo trì / Sửa chữa, Cơ khí / Ô tô / Tự động hóa, Mới tốt nghiệp / Thực tập</t>
        </is>
      </c>
      <c r="K18863" t="inlineStr">
        <is>
          <t>N/A</t>
        </is>
      </c>
      <c r="L18863" s="8">
        <f>HYPERLINK("https://careerviet.vn/vi/tim-viec-lam/nhan-vien-ky-thuat.35C66D6C.html","Xem chi tiết")</f>
        <v/>
      </c>
    </row>
    <row r="18864">
      <c r="B18864" s="9" t="n">
        <v>18862</v>
      </c>
      <c r="C18864" s="10" t="inlineStr">
        <is>
          <t>TRƯỞNG PHÒNG XUẤT NHẬP KHẨU</t>
        </is>
      </c>
      <c r="D18864" s="10" t="inlineStr">
        <is>
          <t>DAEYOUNG ELECTRONICS VINA</t>
        </is>
      </c>
      <c r="E18864" s="10" t="inlineStr">
        <is>
          <t>Lương:Cạnh tranh</t>
        </is>
      </c>
      <c r="F18864" s="10" t="inlineStr">
        <is>
          <t>Hồ Chí Minh</t>
        </is>
      </c>
      <c r="G18864" s="10" t="inlineStr">
        <is>
          <t>29-03-2026</t>
        </is>
      </c>
      <c r="H18864" s="10" t="inlineStr">
        <is>
          <t>29/03/2026</t>
        </is>
      </c>
      <c r="I18864" s="10" t="inlineStr">
        <is>
          <t>17/03/2026</t>
        </is>
      </c>
      <c r="J18864" s="10" t="inlineStr">
        <is>
          <t>Điện / Điện tử / Điện lạnh / Điện công nghiệp, Xuất nhập khẩu, Sản xuất / Vận hành sản xuất</t>
        </is>
      </c>
      <c r="K18864" s="10" t="inlineStr">
        <is>
          <t>10 - 15 Năm</t>
        </is>
      </c>
      <c r="L18864" s="11">
        <f>HYPERLINK("https://careerviet.vn/vi/tim-viec-lam/truong-phong-xuat-nhap-khau.35C66BB1.html","Xem chi tiết")</f>
        <v/>
      </c>
      <c r="M18864" s="10" t="n"/>
    </row>
    <row r="18865">
      <c r="B18865" s="7" t="n">
        <v>18863</v>
      </c>
      <c r="C18865" t="inlineStr">
        <is>
          <t>Chuyên viên kinh doanh quốc tế</t>
        </is>
      </c>
      <c r="D18865" t="inlineStr">
        <is>
          <t>CÔNG TY CỔ PHẦN SẢN XUẤT &amp; XUẤT NHẬP KHẨU HAT+</t>
        </is>
      </c>
      <c r="E18865" t="inlineStr">
        <is>
          <t>Lương:15 Tr - 25 Tr VND</t>
        </is>
      </c>
      <c r="F18865" t="inlineStr">
        <is>
          <t>Hà Nội</t>
        </is>
      </c>
      <c r="G18865" t="inlineStr">
        <is>
          <t>29-03-2026</t>
        </is>
      </c>
      <c r="H18865" t="inlineStr">
        <is>
          <t>29/03/2026</t>
        </is>
      </c>
      <c r="I18865" t="inlineStr">
        <is>
          <t>17/03/2026</t>
        </is>
      </c>
      <c r="J18865" t="inlineStr">
        <is>
          <t>Bán lẻ / Bán sỉ, Thương mại điện tử, Dệt may / Da giày / Thời trang</t>
        </is>
      </c>
      <c r="K18865" t="inlineStr">
        <is>
          <t>1 - 3 Năm</t>
        </is>
      </c>
      <c r="L18865" s="8">
        <f>HYPERLINK("https://careerviet.vn/vi/tim-viec-lam/chuyen-vien-kinh-doanh-quoc-te.35C640C1.html","Xem chi tiết")</f>
        <v/>
      </c>
    </row>
    <row r="18866">
      <c r="B18866" s="9" t="n">
        <v>18864</v>
      </c>
      <c r="C18866" s="10" t="inlineStr">
        <is>
          <t>Senior Brand Accountant</t>
        </is>
      </c>
      <c r="D18866" s="10" t="inlineStr">
        <is>
          <t>Công ty TNHH Onpoint</t>
        </is>
      </c>
      <c r="E18866" s="10" t="inlineStr">
        <is>
          <t>Lương:Cạnh tranh</t>
        </is>
      </c>
      <c r="F18866" s="10" t="inlineStr">
        <is>
          <t>Hồ Chí Minh</t>
        </is>
      </c>
      <c r="G18866" s="10" t="inlineStr">
        <is>
          <t>29-03-2026</t>
        </is>
      </c>
      <c r="H18866" s="10" t="inlineStr">
        <is>
          <t>29/03/2026</t>
        </is>
      </c>
      <c r="I18866" s="10" t="inlineStr">
        <is>
          <t>17/03/2026</t>
        </is>
      </c>
      <c r="J18866" s="10" t="inlineStr">
        <is>
          <t>Tiếp thị / Marketing, Tiếp thị trực tuyến, Thương mại điện tử</t>
        </is>
      </c>
      <c r="K18866" s="10" t="inlineStr">
        <is>
          <t>1 - 5 Năm</t>
        </is>
      </c>
      <c r="L18866" s="11">
        <f>HYPERLINK("https://careerviet.vn/vi/tim-viec-lam/senior-brand-accountant.35C641FC.html","Xem chi tiết")</f>
        <v/>
      </c>
      <c r="M18866" s="10" t="n"/>
    </row>
    <row r="18867">
      <c r="B18867" s="7" t="n">
        <v>18865</v>
      </c>
      <c r="C18867" t="inlineStr">
        <is>
          <t>Nhân Viên Hành Chính Hậu Cần</t>
        </is>
      </c>
      <c r="D18867" t="inlineStr">
        <is>
          <t>CÔNG TY TNHH VICTORY INTERNATIONAL (VIỆT NAM)</t>
        </is>
      </c>
      <c r="E18867" t="inlineStr">
        <is>
          <t>Lương:15 Tr - 25 Tr VND</t>
        </is>
      </c>
      <c r="F18867" t="inlineStr">
        <is>
          <t>Long An</t>
        </is>
      </c>
      <c r="G18867" t="inlineStr">
        <is>
          <t>29-03-2026</t>
        </is>
      </c>
      <c r="H18867" t="inlineStr">
        <is>
          <t>29/03/2026</t>
        </is>
      </c>
      <c r="I18867" t="inlineStr">
        <is>
          <t>17/03/2026</t>
        </is>
      </c>
      <c r="J18867" t="inlineStr">
        <is>
          <t>Hành chính / Thư ký, Dệt may / Da giày / Thời trang</t>
        </is>
      </c>
      <c r="K18867" t="inlineStr">
        <is>
          <t>1 - 8 Năm</t>
        </is>
      </c>
      <c r="L18867" s="8">
        <f>HYPERLINK("https://careerviet.vn/vi/tim-viec-lam/nhan-vien-hanh-chinh-hau-can.35C66D59.html","Xem chi tiết")</f>
        <v/>
      </c>
    </row>
    <row r="18868">
      <c r="B18868" s="9" t="n">
        <v>18866</v>
      </c>
      <c r="C18868" s="10" t="inlineStr">
        <is>
          <t>CHUYÊN VIÊN TÀI CHÍNH (Chủ đầu tư BĐS)</t>
        </is>
      </c>
      <c r="D18868" s="10" t="inlineStr">
        <is>
          <t>CÔNG TY CỔ PHẦN ĐẦU TƯ BẤT ĐỘNG SẢN TOÀN CẦU</t>
        </is>
      </c>
      <c r="E18868" s="10" t="inlineStr">
        <is>
          <t>Lương:23 Tr - 28 Tr VND</t>
        </is>
      </c>
      <c r="F18868" s="10" t="inlineStr">
        <is>
          <t>Hà Nội</t>
        </is>
      </c>
      <c r="G18868" s="10" t="inlineStr">
        <is>
          <t>29-03-2026</t>
        </is>
      </c>
      <c r="H18868" s="10" t="inlineStr">
        <is>
          <t>29/03/2026</t>
        </is>
      </c>
      <c r="I18868" s="10" t="inlineStr">
        <is>
          <t>17/03/2026</t>
        </is>
      </c>
      <c r="J18868" s="10" t="inlineStr">
        <is>
          <t>Kế toán / Kiểm toán</t>
        </is>
      </c>
      <c r="K18868" s="10" t="inlineStr">
        <is>
          <t>5 - 7 Năm</t>
        </is>
      </c>
      <c r="L18868" s="11">
        <f>HYPERLINK("https://careerviet.vn/vi/tim-viec-lam/chuyen-vien-tai-chinh-chu-dau-tu-bds.35C66C54.html","Xem chi tiết")</f>
        <v/>
      </c>
      <c r="M18868" s="10" t="n"/>
    </row>
    <row r="18869">
      <c r="B18869" s="7" t="n">
        <v>18867</v>
      </c>
      <c r="C18869" t="inlineStr">
        <is>
          <t>Quản Lý Sản Xuất - TIẾNG TRUNG</t>
        </is>
      </c>
      <c r="D18869" t="inlineStr">
        <is>
          <t>CÔNG TY TNHH TOPBAND SMART ĐỒNG NAI (VIỆT NAM)</t>
        </is>
      </c>
      <c r="E18869" t="inlineStr">
        <is>
          <t>Lương:20 Tr - 30 Tr VND</t>
        </is>
      </c>
      <c r="F18869" t="inlineStr">
        <is>
          <t>Đồng Nai</t>
        </is>
      </c>
      <c r="G18869" t="inlineStr">
        <is>
          <t>29-03-2026</t>
        </is>
      </c>
      <c r="H18869" t="inlineStr">
        <is>
          <t>29/03/2026</t>
        </is>
      </c>
      <c r="I18869" t="inlineStr">
        <is>
          <t>17/03/2026</t>
        </is>
      </c>
      <c r="J18869" t="inlineStr">
        <is>
          <t>Biên phiên dịch, Điện / Điện tử / Điện lạnh / Điện công nghiệp, Sản xuất / Vận hành sản xuất</t>
        </is>
      </c>
      <c r="K18869" t="inlineStr">
        <is>
          <t>3 - 5 Năm</t>
        </is>
      </c>
      <c r="L18869" s="8">
        <f>HYPERLINK("https://careerviet.vn/vi/tim-viec-lam/quan-ly-san-xuat-tieng-trung.35C66C5E.html","Xem chi tiết")</f>
        <v/>
      </c>
    </row>
    <row r="18870">
      <c r="B18870" s="9" t="n">
        <v>18868</v>
      </c>
      <c r="C18870" s="10" t="inlineStr">
        <is>
          <t>Trưởng Phòng Kinh Doanh</t>
        </is>
      </c>
      <c r="D18870" s="10" t="inlineStr">
        <is>
          <t>Công ty TNHH Lốp Samson Việt Nam</t>
        </is>
      </c>
      <c r="E18870" s="10" t="inlineStr">
        <is>
          <t>Lương:50 Tr - 80 Tr VND</t>
        </is>
      </c>
      <c r="F18870" s="10" t="inlineStr">
        <is>
          <t>Hà Nội</t>
        </is>
      </c>
      <c r="G18870" s="10" t="inlineStr">
        <is>
          <t>29-03-2026</t>
        </is>
      </c>
      <c r="H18870" s="10" t="inlineStr">
        <is>
          <t>29/03/2026</t>
        </is>
      </c>
      <c r="I18870" s="10" t="inlineStr">
        <is>
          <t>17/03/2026</t>
        </is>
      </c>
      <c r="J18870" s="10" t="inlineStr">
        <is>
          <t>Bán hàng / Kinh doanh, Tư vấn, Quản lý điều hành</t>
        </is>
      </c>
      <c r="K18870" s="10" t="inlineStr">
        <is>
          <t>5 - 7 Năm</t>
        </is>
      </c>
      <c r="L18870" s="11">
        <f>HYPERLINK("https://careerviet.vn/vi/tim-viec-lam/truong-phong-kinh-doanh.35C64189.html","Xem chi tiết")</f>
        <v/>
      </c>
      <c r="M18870" s="10" t="n"/>
    </row>
    <row r="18871">
      <c r="B18871" s="7" t="n">
        <v>18869</v>
      </c>
      <c r="C18871" t="inlineStr">
        <is>
          <t>Bác Sĩ Phẫu Thuật Thẩm Mỹ  (Hà Nội)</t>
        </is>
      </c>
      <c r="D18871" t="inlineStr">
        <is>
          <t>Công ty cổ phần HaMo Holdings</t>
        </is>
      </c>
      <c r="E18871" t="inlineStr">
        <is>
          <t>Lương:Cạnh tranh</t>
        </is>
      </c>
      <c r="F18871" t="inlineStr">
        <is>
          <t>Hà Nội</t>
        </is>
      </c>
      <c r="G18871" t="inlineStr">
        <is>
          <t>29-03-2026</t>
        </is>
      </c>
      <c r="H18871" t="inlineStr">
        <is>
          <t>29/03/2026</t>
        </is>
      </c>
      <c r="I18871" t="inlineStr">
        <is>
          <t>17/03/2026</t>
        </is>
      </c>
      <c r="J18871" t="inlineStr">
        <is>
          <t>Y tế / Chăm sóc sức khỏe / Thẩm mỹ / Làm đẹp, Tư vấn, Dịch vụ khách hàng</t>
        </is>
      </c>
      <c r="K18871" t="inlineStr">
        <is>
          <t>3 - 5 Năm</t>
        </is>
      </c>
      <c r="L18871" s="8">
        <f>HYPERLINK("https://careerviet.vn/vi/tim-viec-lam/bac-si-phau-thuat-tham-my-ha-noi.35C64091.html","Xem chi tiết")</f>
        <v/>
      </c>
    </row>
    <row r="18872">
      <c r="B18872" s="9" t="n">
        <v>18870</v>
      </c>
      <c r="C18872" s="10" t="inlineStr">
        <is>
          <t>Senior Safety Officer (working in Hai Phong)</t>
        </is>
      </c>
      <c r="D18872" s="10" t="inlineStr">
        <is>
          <t>Công Ty TNHH Lear Việt Nam</t>
        </is>
      </c>
      <c r="E18872" s="10" t="inlineStr">
        <is>
          <t>Lương:Cạnh tranh</t>
        </is>
      </c>
      <c r="F18872" s="10" t="inlineStr">
        <is>
          <t>Hải Phòng</t>
        </is>
      </c>
      <c r="G18872" s="10" t="inlineStr">
        <is>
          <t>29-03-2026</t>
        </is>
      </c>
      <c r="H18872" s="10" t="inlineStr">
        <is>
          <t>29/03/2026</t>
        </is>
      </c>
      <c r="I18872" s="10" t="inlineStr">
        <is>
          <t>17/03/2026</t>
        </is>
      </c>
      <c r="J18872" s="10" t="inlineStr">
        <is>
          <t>Cơ khí / Ô tô / Tự động hóa, Điện / Điện tử / Điện lạnh / Điện công nghiệp, An toàn lao động</t>
        </is>
      </c>
      <c r="K18872" s="10" t="inlineStr">
        <is>
          <t>5 - 8 Năm</t>
        </is>
      </c>
      <c r="L18872" s="11">
        <f>HYPERLINK("https://careerviet.vn/vi/tim-viec-lam/senior-safety-officer-working-in-hai-phong.35C66D10.html","Xem chi tiết")</f>
        <v/>
      </c>
      <c r="M18872" s="10" t="n"/>
    </row>
    <row r="18873">
      <c r="B18873" s="7" t="n">
        <v>18871</v>
      </c>
      <c r="C18873" t="inlineStr">
        <is>
          <t>Nhân Viên Bán Hàng Thị Trường/ GT Sales Rep</t>
        </is>
      </c>
      <c r="D18873" t="inlineStr">
        <is>
          <t>CÔNG TY TNHH ROHTO-MENTHOLATUM (VIỆT NAM)</t>
        </is>
      </c>
      <c r="E18873" t="inlineStr">
        <is>
          <t>Lương:10 Tr - 17 Tr VND</t>
        </is>
      </c>
      <c r="F18873" t="inlineStr">
        <is>
          <t>Bình DươngQuảng NgãiHưng Yên</t>
        </is>
      </c>
      <c r="G18873" t="inlineStr">
        <is>
          <t>29-03-2026</t>
        </is>
      </c>
      <c r="H18873" t="inlineStr">
        <is>
          <t>29/03/2026</t>
        </is>
      </c>
      <c r="I18873" t="inlineStr">
        <is>
          <t>17/03/2026</t>
        </is>
      </c>
      <c r="J18873" t="inlineStr">
        <is>
          <t>Tiếp thị / Marketing, Bán hàng / Kinh doanh, Hàng gia dụng / Chăm sóc cá nhânBằng cấpTrung họcĐộ tuổi18 - 38</t>
        </is>
      </c>
      <c r="K18873" t="inlineStr">
        <is>
          <t>N/A</t>
        </is>
      </c>
      <c r="L18873" s="8">
        <f>HYPERLINK("https://careerviet.vn/vi/tim-viec-lam/nhan-vien-ban-hang-thi-truong-gt-sales-rep.35C6415C.html","Xem chi tiết")</f>
        <v/>
      </c>
    </row>
    <row r="18874">
      <c r="B18874" s="9" t="n">
        <v>18872</v>
      </c>
      <c r="C18874" s="10" t="inlineStr">
        <is>
          <t>NHÂN VIÊN VĂN PHÒNG BIẾT TIẾNG ANH HOẶC TIẾNG TRUNG</t>
        </is>
      </c>
      <c r="D18874" s="10" t="inlineStr">
        <is>
          <t>CÔNG TY TNHH POUYUEN VIỆT NAM</t>
        </is>
      </c>
      <c r="E18874" s="10" t="inlineStr">
        <is>
          <t>Lương:6 Tr - 9 Tr VND</t>
        </is>
      </c>
      <c r="F18874" s="10" t="inlineStr">
        <is>
          <t>Hồ Chí Minh</t>
        </is>
      </c>
      <c r="G18874" s="10" t="inlineStr">
        <is>
          <t>29-03-2026</t>
        </is>
      </c>
      <c r="H18874" s="10" t="inlineStr">
        <is>
          <t>29/03/2026</t>
        </is>
      </c>
      <c r="I18874" s="10" t="inlineStr">
        <is>
          <t>17/03/2026</t>
        </is>
      </c>
      <c r="J18874" s="10" t="inlineStr">
        <is>
          <t>Dệt may / Da giày / Thời trang</t>
        </is>
      </c>
      <c r="K18874" s="10" t="inlineStr">
        <is>
          <t>N/A</t>
        </is>
      </c>
      <c r="L18874" s="11">
        <f>HYPERLINK("https://careerviet.vn/vi/tim-viec-lam/nhan-vien-van-phong-biet-tieng-anh-hoac-tieng-trung.35C641D8.html","Xem chi tiết")</f>
        <v/>
      </c>
      <c r="M18874" s="10" t="n"/>
    </row>
    <row r="18875">
      <c r="B18875" s="7" t="n">
        <v>18873</v>
      </c>
      <c r="C18875" t="inlineStr">
        <is>
          <t>CHỦ QUẢN NHÂN SỰ TIẾNG TRUNG</t>
        </is>
      </c>
      <c r="D18875" t="inlineStr">
        <is>
          <t>CÔNG TY TNHH JASON FURNITURE VIỆT NAM  (KUKA HOME VIỆT NAM)</t>
        </is>
      </c>
      <c r="E18875" t="inlineStr">
        <is>
          <t>Lương:25 Tr - 40 Tr VND</t>
        </is>
      </c>
      <c r="F18875" t="inlineStr">
        <is>
          <t>Hồ Chí Minh</t>
        </is>
      </c>
      <c r="G18875" t="inlineStr">
        <is>
          <t>29-03-2026</t>
        </is>
      </c>
      <c r="H18875" t="inlineStr">
        <is>
          <t>29/03/2026</t>
        </is>
      </c>
      <c r="I18875" t="inlineStr">
        <is>
          <t>17/03/2026</t>
        </is>
      </c>
      <c r="J18875" t="inlineStr">
        <is>
          <t>Quản lý điều hành, Nhân sự</t>
        </is>
      </c>
      <c r="K18875" t="inlineStr">
        <is>
          <t>2 - 5 Năm</t>
        </is>
      </c>
      <c r="L18875" s="8">
        <f>HYPERLINK("https://careerviet.vn/vi/tim-viec-lam/chu-quan-nhan-su-tieng-trung.35C66C64.html","Xem chi tiết")</f>
        <v/>
      </c>
    </row>
    <row r="18876">
      <c r="B18876" s="9" t="n">
        <v>18874</v>
      </c>
      <c r="C18876" s="10" t="inlineStr">
        <is>
          <t>Chuyên viên Kiểm toán Nội bộ</t>
        </is>
      </c>
      <c r="D18876" s="10" t="inlineStr">
        <is>
          <t>Công Ty Cổ Phần Quốc Tế Sơn Hà</t>
        </is>
      </c>
      <c r="E18876" s="10" t="inlineStr">
        <is>
          <t>Lương:Cạnh tranh</t>
        </is>
      </c>
      <c r="F18876" s="10" t="inlineStr">
        <is>
          <t>Hà Nội</t>
        </is>
      </c>
      <c r="G18876" s="10" t="inlineStr">
        <is>
          <t>29-03-2026</t>
        </is>
      </c>
      <c r="H18876" s="10" t="inlineStr">
        <is>
          <t>29/03/2026</t>
        </is>
      </c>
      <c r="I18876" s="10" t="inlineStr">
        <is>
          <t>17/03/2026</t>
        </is>
      </c>
      <c r="J18876" s="10" t="inlineStr">
        <is>
          <t>Kế toán / Kiểm toán</t>
        </is>
      </c>
      <c r="K18876" s="10" t="inlineStr">
        <is>
          <t>Trên 3 Năm</t>
        </is>
      </c>
      <c r="L18876" s="11">
        <f>HYPERLINK("https://careerviet.vn/vi/tim-viec-lam/chuyen-vien-kiem-toan-noi-bo.35C66C83.html","Xem chi tiết")</f>
        <v/>
      </c>
      <c r="M18876" s="10" t="n"/>
    </row>
    <row r="18877">
      <c r="B18877" s="7" t="n">
        <v>18875</v>
      </c>
      <c r="C18877" t="inlineStr">
        <is>
          <t>TikTok Content Creator</t>
        </is>
      </c>
      <c r="D18877" t="inlineStr">
        <is>
          <t>CÔNG TY CỔ PHẦN CÔNG NGHIỆP WELDCOM</t>
        </is>
      </c>
      <c r="E18877" t="inlineStr">
        <is>
          <t>Lương:12 Tr - 15 Tr VND</t>
        </is>
      </c>
      <c r="F18877" t="inlineStr">
        <is>
          <t>Hà Nội</t>
        </is>
      </c>
      <c r="G18877" t="inlineStr">
        <is>
          <t>29-03-2026</t>
        </is>
      </c>
      <c r="H18877" t="inlineStr">
        <is>
          <t>29/03/2026</t>
        </is>
      </c>
      <c r="I18877" t="inlineStr">
        <is>
          <t>17/03/2026</t>
        </is>
      </c>
      <c r="J18877" t="inlineStr">
        <is>
          <t>Tiếp thị / Marketing, Truyền hình / Báo chí / Biên tập</t>
        </is>
      </c>
      <c r="K18877" t="inlineStr">
        <is>
          <t>1 - 3 Năm</t>
        </is>
      </c>
      <c r="L18877" s="8">
        <f>HYPERLINK("https://careerviet.vn/vi/tim-viec-lam/tiktok-content-creator.35C66CA7.html","Xem chi tiết")</f>
        <v/>
      </c>
    </row>
    <row r="18878">
      <c r="B18878" s="9" t="n">
        <v>18876</v>
      </c>
      <c r="C18878" s="10" t="inlineStr">
        <is>
          <t>CHUYÊN VIÊN KẾ TOÁN XÂY LẮP</t>
        </is>
      </c>
      <c r="D18878" s="10" t="inlineStr">
        <is>
          <t>Tổng công ty Xây dựng số 1 – CTCP</t>
        </is>
      </c>
      <c r="E18878" s="10" t="inlineStr">
        <is>
          <t>Lương:Cạnh tranh</t>
        </is>
      </c>
      <c r="F18878" s="10" t="inlineStr">
        <is>
          <t>Hồ Chí Minh</t>
        </is>
      </c>
      <c r="G18878" s="10" t="inlineStr">
        <is>
          <t>29-03-2026</t>
        </is>
      </c>
      <c r="H18878" s="10" t="inlineStr">
        <is>
          <t>29/03/2026</t>
        </is>
      </c>
      <c r="I18878" s="10" t="inlineStr">
        <is>
          <t>17/03/2026</t>
        </is>
      </c>
      <c r="J18878" s="10" t="inlineStr">
        <is>
          <t>Kế toán / Kiểm toán</t>
        </is>
      </c>
      <c r="K18878" s="10" t="inlineStr">
        <is>
          <t>3 - 5 Năm</t>
        </is>
      </c>
      <c r="L18878" s="11">
        <f>HYPERLINK("https://careerviet.vn/vi/tim-viec-lam/chuyen-vien-ke-toan-xay-lap.35C66C84.html","Xem chi tiết")</f>
        <v/>
      </c>
      <c r="M18878" s="10" t="n"/>
    </row>
    <row r="18879">
      <c r="B18879" s="7" t="n">
        <v>18877</v>
      </c>
      <c r="C18879" t="inlineStr">
        <is>
          <t>Trưởng Bộ Phận Sales Tour Outbound</t>
        </is>
      </c>
      <c r="D18879" t="inlineStr">
        <is>
          <t>Công Ty Tổ Chức Hội Nghị, Sự Kiện Và Du Lịch Quốc Tế Hòa Bình</t>
        </is>
      </c>
      <c r="E18879" t="inlineStr">
        <is>
          <t>Lương:15 Tr - 20 Tr VND</t>
        </is>
      </c>
      <c r="F18879" t="inlineStr">
        <is>
          <t>Hà Nội</t>
        </is>
      </c>
      <c r="G18879" t="inlineStr">
        <is>
          <t>29-03-2026</t>
        </is>
      </c>
      <c r="H18879" t="inlineStr">
        <is>
          <t>29/03/2026</t>
        </is>
      </c>
      <c r="I18879" t="inlineStr">
        <is>
          <t>17/03/2026</t>
        </is>
      </c>
      <c r="J18879" t="inlineStr">
        <is>
          <t>Du lịch</t>
        </is>
      </c>
      <c r="K18879" t="inlineStr">
        <is>
          <t>3 - 5 Năm</t>
        </is>
      </c>
      <c r="L18879" s="8">
        <f>HYPERLINK("https://careerviet.vn/vi/tim-viec-lam/truong-bo-phan-sales-tour-outbound.35C64200.html","Xem chi tiết")</f>
        <v/>
      </c>
    </row>
    <row r="18880">
      <c r="B18880" s="9" t="n">
        <v>18878</v>
      </c>
      <c r="C18880" s="10" t="inlineStr">
        <is>
          <t>Preventive Maintenance Engineer</t>
        </is>
      </c>
      <c r="D18880" s="10" t="inlineStr">
        <is>
          <t>CÔNG TY TNHH THANTAWAN INDUSTRY (VIỆT NAM)</t>
        </is>
      </c>
      <c r="E18880" s="10" t="inlineStr">
        <is>
          <t>Lương:Cạnh tranh</t>
        </is>
      </c>
      <c r="F18880" s="10" t="inlineStr">
        <is>
          <t>Tây NinhBình DươngĐồng Nai</t>
        </is>
      </c>
      <c r="G18880" s="10" t="inlineStr">
        <is>
          <t>29-03-2026</t>
        </is>
      </c>
      <c r="H18880" s="10" t="inlineStr">
        <is>
          <t>29/03/2026</t>
        </is>
      </c>
      <c r="I18880" s="10" t="inlineStr">
        <is>
          <t>17/03/2026</t>
        </is>
      </c>
      <c r="J18880" s="10" t="inlineStr">
        <is>
          <t>Cơ khí / Ô tô / Tự động hóa, Điện / Điện tử / Điện lạnh / Điện công nghiệp, Bảo trì / Sửa chữa</t>
        </is>
      </c>
      <c r="K18880" s="10" t="inlineStr">
        <is>
          <t>Trên 2 Năm</t>
        </is>
      </c>
      <c r="L18880" s="11">
        <f>HYPERLINK("https://careerviet.vn/vi/tim-viec-lam/preventive-maintenance-engineer.35C63DE5.html","Xem chi tiết")</f>
        <v/>
      </c>
      <c r="M18880" s="10" t="n"/>
    </row>
    <row r="18881">
      <c r="B18881" s="7" t="n">
        <v>18879</v>
      </c>
      <c r="C18881" t="inlineStr">
        <is>
          <t>Chuyên viên nhân sự (Mạnh tiền lương &amp; phúc lợi)</t>
        </is>
      </c>
      <c r="D18881" t="inlineStr">
        <is>
          <t>Công ty TNHH sân golf Palm Sông Bé</t>
        </is>
      </c>
      <c r="E18881" t="inlineStr">
        <is>
          <t>Lương:12 Tr - 15 Tr VND</t>
        </is>
      </c>
      <c r="F18881" t="inlineStr">
        <is>
          <t>Bình Dương</t>
        </is>
      </c>
      <c r="G18881" t="inlineStr">
        <is>
          <t>29-03-2026</t>
        </is>
      </c>
      <c r="H18881" t="inlineStr">
        <is>
          <t>29/03/2026</t>
        </is>
      </c>
      <c r="I18881" t="inlineStr">
        <is>
          <t>17/03/2026</t>
        </is>
      </c>
      <c r="J18881" t="inlineStr">
        <is>
          <t>Nhân sự, Kế toán / Kiểm toán, Nhà hàng / Khách sạn</t>
        </is>
      </c>
      <c r="K18881" t="inlineStr">
        <is>
          <t>3 - 5 Năm</t>
        </is>
      </c>
      <c r="L18881" s="8">
        <f>HYPERLINK("https://careerviet.vn/vi/tim-viec-lam/chuyen-vien-nhan-su-manh-tien-luong-phuc-loi.35C66D0E.html","Xem chi tiết")</f>
        <v/>
      </c>
    </row>
    <row r="18882">
      <c r="B18882" s="9" t="n">
        <v>18880</v>
      </c>
      <c r="C18882" s="10" t="inlineStr">
        <is>
          <t>Chuyên Viên Kinh Doanh Mảng Điện</t>
        </is>
      </c>
      <c r="D18882" s="10" t="inlineStr">
        <is>
          <t>CÔNG TY TNHH SURMAN VIỆT NAM</t>
        </is>
      </c>
      <c r="E18882" s="10" t="inlineStr">
        <is>
          <t>Lương:Trên 20 Tr VND</t>
        </is>
      </c>
      <c r="F18882" s="10" t="inlineStr">
        <is>
          <t>Đồng Nai</t>
        </is>
      </c>
      <c r="G18882" s="10" t="inlineStr">
        <is>
          <t>29-03-2026</t>
        </is>
      </c>
      <c r="H18882" s="10" t="inlineStr">
        <is>
          <t>29/03/2026</t>
        </is>
      </c>
      <c r="I18882" s="10" t="inlineStr">
        <is>
          <t>17/03/2026</t>
        </is>
      </c>
      <c r="J18882" s="10" t="inlineStr">
        <is>
          <t>Bán hàng / Kinh doanh, Bán Hàng Kỹ Thuật, Điện / Điện tử / Điện lạnh / Điện công nghiệp</t>
        </is>
      </c>
      <c r="K18882" s="10" t="inlineStr">
        <is>
          <t>Trên 2 Năm</t>
        </is>
      </c>
      <c r="L18882" s="11">
        <f>HYPERLINK("https://careerviet.vn/vi/tim-viec-lam/chuyen-vien-kinh-doanh-mang-dien.35C66D5D.html","Xem chi tiết")</f>
        <v/>
      </c>
      <c r="M18882" s="10" t="n"/>
    </row>
    <row r="18883">
      <c r="B18883" s="7" t="n">
        <v>18881</v>
      </c>
      <c r="C18883" t="inlineStr">
        <is>
          <t>Chuyên viên Logistics</t>
        </is>
      </c>
      <c r="D18883" t="inlineStr">
        <is>
          <t>CÔNG TY CỔ PHẦN TẬP ĐOÀN THÀNH NAM</t>
        </is>
      </c>
      <c r="E18883" t="inlineStr">
        <is>
          <t>Lương:11 Tr - 16 Tr VND</t>
        </is>
      </c>
      <c r="F18883" t="inlineStr">
        <is>
          <t>Hà Nội</t>
        </is>
      </c>
      <c r="G18883" t="inlineStr">
        <is>
          <t>29-03-2026</t>
        </is>
      </c>
      <c r="H18883" t="inlineStr">
        <is>
          <t>29/03/2026</t>
        </is>
      </c>
      <c r="I18883" t="inlineStr">
        <is>
          <t>17/03/2026</t>
        </is>
      </c>
      <c r="J18883" t="inlineStr">
        <is>
          <t>Xuất nhập khẩu</t>
        </is>
      </c>
      <c r="K18883" t="inlineStr">
        <is>
          <t>Lên đến 2 Năm</t>
        </is>
      </c>
      <c r="L18883" s="8">
        <f>HYPERLINK("https://careerviet.vn/vi/tim-viec-lam/chuyen-vien-logistics.35C6415D.html","Xem chi tiết")</f>
        <v/>
      </c>
    </row>
    <row r="18884">
      <c r="B18884" s="9" t="n">
        <v>18882</v>
      </c>
      <c r="C18884" s="10" t="inlineStr">
        <is>
          <t>CMP Supervisor</t>
        </is>
      </c>
      <c r="D18884" s="10" t="inlineStr">
        <is>
          <t>Un-Available LTD Co.,</t>
        </is>
      </c>
      <c r="E18884" s="10" t="inlineStr">
        <is>
          <t>Lương:Cạnh tranh</t>
        </is>
      </c>
      <c r="F18884" s="10" t="inlineStr">
        <is>
          <t>Hồ Chí Minh</t>
        </is>
      </c>
      <c r="G18884" s="10" t="inlineStr">
        <is>
          <t>29-03-2026</t>
        </is>
      </c>
      <c r="H18884" s="10" t="inlineStr">
        <is>
          <t>29/03/2026</t>
        </is>
      </c>
      <c r="I18884" s="10" t="inlineStr">
        <is>
          <t>17/03/2026</t>
        </is>
      </c>
      <c r="J18884" s="10" t="inlineStr">
        <is>
          <t>Sản xuất / Vận hành sản xuất, Dệt may / Da giày / Thời trang</t>
        </is>
      </c>
      <c r="K18884" s="10" t="inlineStr">
        <is>
          <t>3 - 5 Năm</t>
        </is>
      </c>
      <c r="L18884" s="11">
        <f>HYPERLINK("https://careerviet.vn/vi/tim-viec-lam/cmp-supervisor.35C641CC.html","Xem chi tiết")</f>
        <v/>
      </c>
      <c r="M18884" s="10" t="n"/>
    </row>
    <row r="18885">
      <c r="B18885" s="7" t="n">
        <v>18883</v>
      </c>
      <c r="C18885" t="inlineStr">
        <is>
          <t>Giao dịch viên - KV Tây Nam Bộ</t>
        </is>
      </c>
      <c r="D18885" t="inlineStr">
        <is>
          <t>Ngân hàng TMCP Phát triển TP.HCM (HDBank)</t>
        </is>
      </c>
      <c r="E18885" t="inlineStr">
        <is>
          <t>Lương:Trên 9,3 Tr VND</t>
        </is>
      </c>
      <c r="F18885" t="inlineStr">
        <is>
          <t>Đồng ThápSóc TrăngCà Mau</t>
        </is>
      </c>
      <c r="G18885" t="inlineStr">
        <is>
          <t>29-03-2026</t>
        </is>
      </c>
      <c r="H18885" t="inlineStr">
        <is>
          <t>29/03/2026</t>
        </is>
      </c>
      <c r="I18885" t="inlineStr">
        <is>
          <t>17/03/2026</t>
        </is>
      </c>
      <c r="J18885" t="inlineStr">
        <is>
          <t>Ngân hàng</t>
        </is>
      </c>
      <c r="K18885" t="inlineStr">
        <is>
          <t>N/A</t>
        </is>
      </c>
      <c r="L18885" s="8">
        <f>HYPERLINK("https://careerviet.vn/vi/tim-viec-lam/giao-dich-vien-kv-tay-nam-bo.35C66CB5.html","Xem chi tiết")</f>
        <v/>
      </c>
    </row>
    <row r="18886">
      <c r="B18886" s="9" t="n">
        <v>18884</v>
      </c>
      <c r="C18886" s="10" t="inlineStr">
        <is>
          <t>Nhân Viên Sale Admin (Ưu tiên có Kinh nghiệm Sale Online/ CSKH - Đi làm ngay hoặc sau tết)</t>
        </is>
      </c>
      <c r="D18886" s="10" t="inlineStr">
        <is>
          <t>Công Ty Cổ Phần Xuất Nhập Khẩu Thương Mại Đài Linh</t>
        </is>
      </c>
      <c r="E18886" s="10" t="inlineStr">
        <is>
          <t>Lương:12 Tr - 15 Tr VND</t>
        </is>
      </c>
      <c r="F18886" s="10" t="inlineStr">
        <is>
          <t>Hà Nội</t>
        </is>
      </c>
      <c r="G18886" s="10" t="inlineStr">
        <is>
          <t>29-03-2026</t>
        </is>
      </c>
      <c r="H18886" s="10" t="inlineStr">
        <is>
          <t>29/03/2026</t>
        </is>
      </c>
      <c r="I18886" s="10" t="inlineStr">
        <is>
          <t>17/03/2026</t>
        </is>
      </c>
      <c r="J18886" s="10" t="inlineStr">
        <is>
          <t>Bán hàng / Kinh doanh, Dược phẩm/ Hóa Mỹ Phẩm, Hành chính / Thư ký</t>
        </is>
      </c>
      <c r="K18886" s="10" t="inlineStr">
        <is>
          <t>N/A</t>
        </is>
      </c>
      <c r="L18886" s="11">
        <f>HYPERLINK("https://careerviet.vn/vi/tim-viec-lam/nhan-vien-sale-admin-uu-tien-co-kinh-nghiem-sale-online-cskh-di-lam-ngay-hoac-sau-tet.35C66C7D.html","Xem chi tiết")</f>
        <v/>
      </c>
      <c r="M18886" s="10" t="n"/>
    </row>
    <row r="18887">
      <c r="B18887" s="7" t="n">
        <v>18885</v>
      </c>
      <c r="C18887" t="inlineStr">
        <is>
          <t>Senior Business Intelligence (SME) - Hà Nội - TA174</t>
        </is>
      </c>
      <c r="D18887" t="inlineStr">
        <is>
          <t>Ngân Hàng TMCP Việt Nam Thịnh Vượng - VPBANK</t>
        </is>
      </c>
      <c r="E18887" t="inlineStr">
        <is>
          <t>Lương:20 Tr - 40 Tr VND</t>
        </is>
      </c>
      <c r="F18887" t="inlineStr">
        <is>
          <t>Hà Nội</t>
        </is>
      </c>
      <c r="G18887" t="inlineStr">
        <is>
          <t>29-03-2026</t>
        </is>
      </c>
      <c r="H18887" t="inlineStr">
        <is>
          <t>29/03/2026</t>
        </is>
      </c>
      <c r="I18887" t="inlineStr">
        <is>
          <t>17/03/2026</t>
        </is>
      </c>
      <c r="J18887" t="inlineStr">
        <is>
          <t>Ngân hàng, Thống kê</t>
        </is>
      </c>
      <c r="K18887" t="inlineStr">
        <is>
          <t>5 - 10 Năm</t>
        </is>
      </c>
      <c r="L18887" s="8">
        <f>HYPERLINK("https://careerviet.vn/vi/tim-viec-lam/senior-business-intelligence-sme-ha-noi-ta174.35C66CA6.html","Xem chi tiết")</f>
        <v/>
      </c>
    </row>
    <row r="18888">
      <c r="B18888" s="9" t="n">
        <v>18886</v>
      </c>
      <c r="C18888" s="10" t="inlineStr">
        <is>
          <t>Customer Service Executive (Chinese or English Speaking)</t>
        </is>
      </c>
      <c r="D18888" s="10" t="inlineStr">
        <is>
          <t>Công Ty TNHH SML Việt Nam</t>
        </is>
      </c>
      <c r="E18888" s="10" t="inlineStr">
        <is>
          <t>Lương:Cạnh tranh</t>
        </is>
      </c>
      <c r="F18888" s="10" t="inlineStr">
        <is>
          <t>Bình Dương</t>
        </is>
      </c>
      <c r="G18888" s="10" t="inlineStr">
        <is>
          <t>29-03-2026</t>
        </is>
      </c>
      <c r="H18888" s="10" t="inlineStr">
        <is>
          <t>29/03/2026</t>
        </is>
      </c>
      <c r="I18888" s="10" t="inlineStr">
        <is>
          <t>17/03/2026</t>
        </is>
      </c>
      <c r="J18888" s="10" t="inlineStr">
        <is>
          <t>Dệt may / Da giày / Thời trang, In ấn / Xuất bản, Dịch vụ khách hàng</t>
        </is>
      </c>
      <c r="K18888" s="10" t="inlineStr">
        <is>
          <t>1 - 5 Năm</t>
        </is>
      </c>
      <c r="L18888" s="11">
        <f>HYPERLINK("https://careerviet.vn/vi/tim-viec-lam/customer-service-executive-chinese-or-english-speaking.35C6408B.html","Xem chi tiết")</f>
        <v/>
      </c>
      <c r="M18888" s="10" t="n"/>
    </row>
    <row r="18889">
      <c r="B18889" s="7" t="n">
        <v>18887</v>
      </c>
      <c r="C18889" t="inlineStr">
        <is>
          <t>Nhân viên kế toán (Kế toán chi phí)</t>
        </is>
      </c>
      <c r="D18889" t="inlineStr">
        <is>
          <t>Công ty Cổ Phần Thực Phẩm Vĩnh Tân</t>
        </is>
      </c>
      <c r="E18889" t="inlineStr">
        <is>
          <t>Lương:8 Tr - 10 Tr VND</t>
        </is>
      </c>
      <c r="F18889" t="inlineStr">
        <is>
          <t>Hồ Chí Minh</t>
        </is>
      </c>
      <c r="G18889" t="inlineStr">
        <is>
          <t>29-03-2026</t>
        </is>
      </c>
      <c r="H18889" t="inlineStr">
        <is>
          <t>29/03/2026</t>
        </is>
      </c>
      <c r="I18889" t="inlineStr">
        <is>
          <t>17/03/2026</t>
        </is>
      </c>
      <c r="J18889" t="inlineStr">
        <is>
          <t>Kế toán / Kiểm toán, Chăn nuôi / Thú y</t>
        </is>
      </c>
      <c r="K18889" t="inlineStr">
        <is>
          <t>N/A</t>
        </is>
      </c>
      <c r="L18889" s="8">
        <f>HYPERLINK("https://careerviet.vn/vi/tim-viec-lam/nhan-vien-ke-toan-ke-toan-chi-phi.35C66CC3.html","Xem chi tiết")</f>
        <v/>
      </c>
    </row>
    <row r="18890">
      <c r="B18890" s="9" t="n">
        <v>18888</v>
      </c>
      <c r="C18890" s="10" t="inlineStr">
        <is>
          <t>Technical Engineer</t>
        </is>
      </c>
      <c r="D18890" s="10" t="inlineStr">
        <is>
          <t>Công ty TNHH ChargePlus VietNam</t>
        </is>
      </c>
      <c r="E18890" s="10" t="inlineStr">
        <is>
          <t>Lương:18 Tr - 22 Tr VND</t>
        </is>
      </c>
      <c r="F18890" s="10" t="inlineStr">
        <is>
          <t>Hà Nội</t>
        </is>
      </c>
      <c r="G18890" s="10" t="inlineStr">
        <is>
          <t>29-03-2026</t>
        </is>
      </c>
      <c r="H18890" s="10" t="inlineStr">
        <is>
          <t>29/03/2026</t>
        </is>
      </c>
      <c r="I18890" s="10" t="inlineStr">
        <is>
          <t>17/03/2026</t>
        </is>
      </c>
      <c r="J18890" s="10" t="inlineStr">
        <is>
          <t>Điện / Điện tử / Điện lạnh / Điện công nghiệp</t>
        </is>
      </c>
      <c r="K18890" s="10" t="inlineStr">
        <is>
          <t>2 - 5 Năm</t>
        </is>
      </c>
      <c r="L18890" s="11">
        <f>HYPERLINK("https://careerviet.vn/vi/tim-viec-lam/technical-engineer.35C66C3A.html","Xem chi tiết")</f>
        <v/>
      </c>
      <c r="M18890" s="10" t="n"/>
    </row>
    <row r="18891">
      <c r="B18891" s="7" t="n">
        <v>18889</v>
      </c>
      <c r="C18891" t="inlineStr">
        <is>
          <t>Chỉ huy trưởng công trình xây dựng</t>
        </is>
      </c>
      <c r="D18891" t="inlineStr">
        <is>
          <t>CÔNG TY CỔ PHẦN XÂY DỰNG VÀ THIẾT KẾ BẮC TRUNG NAM</t>
        </is>
      </c>
      <c r="E18891" t="inlineStr">
        <is>
          <t>Lương:20 Tr - 27 Tr VND</t>
        </is>
      </c>
      <c r="F18891" t="inlineStr">
        <is>
          <t>Hồ Chí Minh</t>
        </is>
      </c>
      <c r="G18891" t="inlineStr">
        <is>
          <t>29-03-2026</t>
        </is>
      </c>
      <c r="H18891" t="inlineStr">
        <is>
          <t>29/03/2026</t>
        </is>
      </c>
      <c r="I18891" t="inlineStr">
        <is>
          <t>17/03/2026</t>
        </is>
      </c>
      <c r="J18891" t="inlineStr">
        <is>
          <t>Kiến trúc, Xây dựng</t>
        </is>
      </c>
      <c r="K18891" t="inlineStr">
        <is>
          <t>2 - 5 Năm</t>
        </is>
      </c>
      <c r="L18891" s="8">
        <f>HYPERLINK("https://careerviet.vn/vi/tim-viec-lam/chi-huy-truong-cong-trinh-xay-dung.35C640A0.html","Xem chi tiết")</f>
        <v/>
      </c>
    </row>
    <row r="18892">
      <c r="B18892" s="9" t="n">
        <v>18890</v>
      </c>
      <c r="C18892" s="10" t="inlineStr">
        <is>
          <t>Quản lý phòng Kỹ thuật (Hồ Chí Minh)</t>
        </is>
      </c>
      <c r="D18892" s="10" t="inlineStr">
        <is>
          <t>Công ty TNHH Vạn Niên</t>
        </is>
      </c>
      <c r="E18892" s="10" t="inlineStr">
        <is>
          <t>Lương:25 Tr - 30 Tr VND</t>
        </is>
      </c>
      <c r="F18892" s="10" t="inlineStr">
        <is>
          <t>Hà Nội</t>
        </is>
      </c>
      <c r="G18892" s="10" t="inlineStr">
        <is>
          <t>29-03-2026</t>
        </is>
      </c>
      <c r="H18892" s="10" t="inlineStr">
        <is>
          <t>29/03/2026</t>
        </is>
      </c>
      <c r="I18892" s="10" t="inlineStr">
        <is>
          <t>17/03/2026</t>
        </is>
      </c>
      <c r="J18892" s="10" t="inlineStr">
        <is>
          <t>Bán Hàng Kỹ Thuật, Y tế / Chăm sóc sức khỏe / Thẩm mỹ / Làm đẹp, Bảo trì / Sửa chữa</t>
        </is>
      </c>
      <c r="K18892" s="10" t="inlineStr">
        <is>
          <t>Trên 5 Năm</t>
        </is>
      </c>
      <c r="L18892" s="11">
        <f>HYPERLINK("https://careerviet.vn/vi/tim-viec-lam/quan-ly-phong-ky-thuat-ho-chi-minh.35C66D35.html","Xem chi tiết")</f>
        <v/>
      </c>
      <c r="M18892" s="10" t="n"/>
    </row>
    <row r="18893">
      <c r="B18893" s="7" t="n">
        <v>18891</v>
      </c>
      <c r="C18893" t="inlineStr">
        <is>
          <t>Nhân Viên Kỹ Thuật Vận Hành Máy Ép Nhựa</t>
        </is>
      </c>
      <c r="D18893" t="inlineStr">
        <is>
          <t>Công ty Cổ Phần Tập Đoàn Thiên Long</t>
        </is>
      </c>
      <c r="E18893" t="inlineStr">
        <is>
          <t>Lương:12 Tr - 14 Tr VND</t>
        </is>
      </c>
      <c r="F18893" t="inlineStr">
        <is>
          <t>Hồ Chí Minh</t>
        </is>
      </c>
      <c r="G18893" t="inlineStr">
        <is>
          <t>29-03-2026</t>
        </is>
      </c>
      <c r="H18893" t="inlineStr">
        <is>
          <t>29/03/2026</t>
        </is>
      </c>
      <c r="I18893" t="inlineStr">
        <is>
          <t>17/03/2026</t>
        </is>
      </c>
      <c r="J18893" t="inlineStr">
        <is>
          <t>Cơ khí / Ô tô / Tự động hóa</t>
        </is>
      </c>
      <c r="K18893" t="inlineStr">
        <is>
          <t>1 - 2 Năm</t>
        </is>
      </c>
      <c r="L18893" s="8">
        <f>HYPERLINK("https://careerviet.vn/vi/tim-viec-lam/nhan-vien-ky-thuat-van-hanh-may-ep-nhua.35C66CEE.html","Xem chi tiết")</f>
        <v/>
      </c>
    </row>
    <row r="18894">
      <c r="B18894" s="9" t="n">
        <v>18892</v>
      </c>
      <c r="C18894" s="10" t="inlineStr">
        <is>
          <t>[Nova Wellness] Chuyên viên Tiền khai trương</t>
        </is>
      </c>
      <c r="D18894" s="10" t="inlineStr">
        <is>
          <t>Nova Service Group - Công ty Cổ phần Tập đoàn Nova Services</t>
        </is>
      </c>
      <c r="E18894" s="10" t="inlineStr">
        <is>
          <t>Lương:Cạnh tranh</t>
        </is>
      </c>
      <c r="F18894" s="10" t="inlineStr">
        <is>
          <t>Hồ Chí Minh</t>
        </is>
      </c>
      <c r="G18894" s="10" t="inlineStr">
        <is>
          <t>29-03-2026</t>
        </is>
      </c>
      <c r="H18894" s="10" t="inlineStr">
        <is>
          <t>29/03/2026</t>
        </is>
      </c>
      <c r="I18894" s="10" t="inlineStr">
        <is>
          <t>17/03/2026</t>
        </is>
      </c>
      <c r="J18894" s="10" t="inlineStr">
        <is>
          <t>Tiếp thị / Marketing, Y tế / Chăm sóc sức khỏe / Thẩm mỹ / Làm đẹp, Tổ chức sự kiện</t>
        </is>
      </c>
      <c r="K18894" s="10" t="inlineStr">
        <is>
          <t>3 - 5 Năm</t>
        </is>
      </c>
      <c r="L18894" s="11">
        <f>HYPERLINK("https://careerviet.vn/vi/tim-viec-lam/nova-wellness-chuyen-vien-tien-khai-truong.35C66C80.html","Xem chi tiết")</f>
        <v/>
      </c>
      <c r="M18894" s="10" t="n"/>
    </row>
    <row r="18895">
      <c r="B18895" s="7" t="n">
        <v>18893</v>
      </c>
      <c r="C18895" t="inlineStr">
        <is>
          <t>[Hà Nội] TƯ VẤN VIÊN TƯ VẤN ĐẦU TƯ  (hoa hồng hấp dẫn)</t>
        </is>
      </c>
      <c r="D18895" t="inlineStr">
        <is>
          <t>VDSC - Công ty CP Chứng khoán Rồng Việt</t>
        </is>
      </c>
      <c r="E18895" t="inlineStr">
        <is>
          <t>Lương:Cạnh tranh</t>
        </is>
      </c>
      <c r="F18895" t="inlineStr">
        <is>
          <t>Hà Nội</t>
        </is>
      </c>
      <c r="G18895" t="inlineStr">
        <is>
          <t>29-03-2026</t>
        </is>
      </c>
      <c r="H18895" t="inlineStr">
        <is>
          <t>29/03/2026</t>
        </is>
      </c>
      <c r="I18895" t="inlineStr">
        <is>
          <t>17/03/2026</t>
        </is>
      </c>
      <c r="J18895" t="inlineStr">
        <is>
          <t>Bảo hiểm, Chứng khoán, Tài chính / Đầu tư</t>
        </is>
      </c>
      <c r="K18895" t="inlineStr">
        <is>
          <t>N/A</t>
        </is>
      </c>
      <c r="L18895" s="8">
        <f>HYPERLINK("https://careerviet.vn/vi/tim-viec-lam/ha-noi-tu-van-vien-tu-van-dau-tu-hoa-hong-hap-dan.35C66D26.html","Xem chi tiết")</f>
        <v/>
      </c>
    </row>
    <row r="18896">
      <c r="B18896" s="9" t="n">
        <v>18894</v>
      </c>
      <c r="C18896" s="10" t="inlineStr">
        <is>
          <t>Chuyên Viên Phát Triển Mặt Bằng</t>
        </is>
      </c>
      <c r="D18896" s="10" t="inlineStr">
        <is>
          <t>Highlands Coffee</t>
        </is>
      </c>
      <c r="E18896" s="10" t="inlineStr">
        <is>
          <t>Lương:Cạnh tranh</t>
        </is>
      </c>
      <c r="F18896" s="10" t="inlineStr">
        <is>
          <t>Hồ Chí Minh</t>
        </is>
      </c>
      <c r="G18896" s="10" t="inlineStr">
        <is>
          <t>29-03-2026</t>
        </is>
      </c>
      <c r="H18896" s="10" t="inlineStr">
        <is>
          <t>29/03/2026</t>
        </is>
      </c>
      <c r="I18896" s="10" t="inlineStr">
        <is>
          <t>17/03/2026</t>
        </is>
      </c>
      <c r="J18896" s="10" t="inlineStr">
        <is>
          <t>Thực phẩm &amp; Đồ uống, Bất động sản, Bán hàng / Kinh doanh</t>
        </is>
      </c>
      <c r="K18896" s="10" t="inlineStr">
        <is>
          <t>Trên 2 Năm</t>
        </is>
      </c>
      <c r="L18896" s="11">
        <f>HYPERLINK("https://careerviet.vn/vi/tim-viec-lam/chuyen-vien-phat-trien-mat-bang.35C66CFB.html","Xem chi tiết")</f>
        <v/>
      </c>
      <c r="M18896" s="10" t="n"/>
    </row>
    <row r="18897">
      <c r="B18897" s="7" t="n">
        <v>18895</v>
      </c>
      <c r="C18897" t="inlineStr">
        <is>
          <t>Nhân Viên Lái Xe cho Giám Đốc</t>
        </is>
      </c>
      <c r="D18897" t="inlineStr">
        <is>
          <t>CÔNG TY CỔ PHẦN VẬN TẢI VÀ XÂY DỰNG CÔNG TRÌNH FTC</t>
        </is>
      </c>
      <c r="E18897" t="inlineStr">
        <is>
          <t>Lương:12 Tr - 15 Tr VND</t>
        </is>
      </c>
      <c r="F18897" t="inlineStr">
        <is>
          <t>Hà Nội</t>
        </is>
      </c>
      <c r="G18897" t="inlineStr">
        <is>
          <t>29-03-2026</t>
        </is>
      </c>
      <c r="H18897" t="inlineStr">
        <is>
          <t>29/03/2026</t>
        </is>
      </c>
      <c r="I18897" t="inlineStr">
        <is>
          <t>17/03/2026</t>
        </is>
      </c>
      <c r="J18897" t="inlineStr">
        <is>
          <t>Ngành khác, Lao động phổ thông, Hành chính / Thư ký</t>
        </is>
      </c>
      <c r="K18897" t="inlineStr">
        <is>
          <t>Lên đến 5 Năm</t>
        </is>
      </c>
      <c r="L18897" s="8">
        <f>HYPERLINK("https://careerviet.vn/vi/tim-viec-lam/nhan-vien-lai-xe-cho-giam-doc.35C63930.html","Xem chi tiết")</f>
        <v/>
      </c>
    </row>
    <row r="18898">
      <c r="B18898" s="9" t="n">
        <v>18896</v>
      </c>
      <c r="C18898" s="10" t="inlineStr">
        <is>
          <t>Trưởng Phòng Bảo Trì Kỹ Thuật</t>
        </is>
      </c>
      <c r="D18898" s="10" t="inlineStr">
        <is>
          <t>CÔNG TY CỔ PHẦN GIẢI PHÁP  NAM VIỆT GROUP</t>
        </is>
      </c>
      <c r="E18898" s="10" t="inlineStr">
        <is>
          <t>Lương:Cạnh tranh</t>
        </is>
      </c>
      <c r="F18898" s="10" t="inlineStr">
        <is>
          <t>Hồ Chí Minh</t>
        </is>
      </c>
      <c r="G18898" s="10" t="inlineStr">
        <is>
          <t>29-03-2026</t>
        </is>
      </c>
      <c r="H18898" s="10" t="inlineStr">
        <is>
          <t>29/03/2026</t>
        </is>
      </c>
      <c r="I18898" s="10" t="inlineStr">
        <is>
          <t>17/03/2026</t>
        </is>
      </c>
      <c r="J18898" s="10" t="inlineStr">
        <is>
          <t>Điện / Điện tử / Điện lạnh / Điện công nghiệp, Cơ khí / Ô tô / Tự động hóa, Bảo trì / Sửa chữa</t>
        </is>
      </c>
      <c r="K18898" s="10" t="inlineStr">
        <is>
          <t>3 - 5 Năm</t>
        </is>
      </c>
      <c r="L18898" s="11">
        <f>HYPERLINK("https://careerviet.vn/vi/tim-viec-lam/truong-phong-bao-tri-ky-thuat.35C6411B.html","Xem chi tiết")</f>
        <v/>
      </c>
      <c r="M18898" s="10" t="n"/>
    </row>
    <row r="18899">
      <c r="B18899" s="7" t="n">
        <v>18897</v>
      </c>
      <c r="C18899" t="inlineStr">
        <is>
          <t>Thư ký Thầu</t>
        </is>
      </c>
      <c r="D18899" t="inlineStr">
        <is>
          <t>CÔNG TY CP HÀ YẾN</t>
        </is>
      </c>
      <c r="E18899" t="inlineStr">
        <is>
          <t>Lương:10 Tr - 12 Tr VND</t>
        </is>
      </c>
      <c r="F18899" t="inlineStr">
        <is>
          <t>Hồ Chí Minh</t>
        </is>
      </c>
      <c r="G18899" t="inlineStr">
        <is>
          <t>29-03-2026</t>
        </is>
      </c>
      <c r="H18899" t="inlineStr">
        <is>
          <t>29/03/2026</t>
        </is>
      </c>
      <c r="I18899" t="inlineStr">
        <is>
          <t>17/03/2026</t>
        </is>
      </c>
      <c r="J18899" t="inlineStr">
        <is>
          <t>Bán hàng / Kinh doanh, Biên phiên dịch, Hành chính / Thư ký</t>
        </is>
      </c>
      <c r="K18899" t="inlineStr">
        <is>
          <t>1 - 2 Năm</t>
        </is>
      </c>
      <c r="L18899" s="8">
        <f>HYPERLINK("https://careerviet.vn/vi/tim-viec-lam/thu-ky-thau.35C66C5F.html","Xem chi tiết")</f>
        <v/>
      </c>
    </row>
    <row r="18900">
      <c r="B18900" s="9" t="n">
        <v>18898</v>
      </c>
      <c r="C18900" s="10" t="inlineStr">
        <is>
          <t>Chuyên Viên Chính Cung Ứng Dịch Vụ Vàng - Hà Nội - TA125 - ID975</t>
        </is>
      </c>
      <c r="D18900" s="10" t="inlineStr">
        <is>
          <t>Ngân Hàng TMCP Việt Nam Thịnh Vượng - VPBANK</t>
        </is>
      </c>
      <c r="E18900" s="10" t="inlineStr">
        <is>
          <t>Lương:15 Tr - 25 Tr VND</t>
        </is>
      </c>
      <c r="F18900" s="10" t="inlineStr">
        <is>
          <t>Hà Nội</t>
        </is>
      </c>
      <c r="G18900" s="10" t="inlineStr">
        <is>
          <t>29-03-2026</t>
        </is>
      </c>
      <c r="H18900" s="10" t="inlineStr">
        <is>
          <t>29/03/2026</t>
        </is>
      </c>
      <c r="I18900" s="10" t="inlineStr">
        <is>
          <t>17/03/2026</t>
        </is>
      </c>
      <c r="J18900" s="10" t="inlineStr">
        <is>
          <t>Vận chuyển / Giao nhận / Kho vận</t>
        </is>
      </c>
      <c r="K18900" s="10" t="inlineStr">
        <is>
          <t>2 - 4 Năm</t>
        </is>
      </c>
      <c r="L18900" s="11">
        <f>HYPERLINK("https://careerviet.vn/vi/tim-viec-lam/chuyen-vien-chinh-cung-ung-dich-vu-vang-ha-noi-ta125-id975.35C63F76.html","Xem chi tiết")</f>
        <v/>
      </c>
      <c r="M18900" s="10" t="n"/>
    </row>
    <row r="18901">
      <c r="B18901" s="7" t="n">
        <v>18899</v>
      </c>
      <c r="C18901" t="inlineStr">
        <is>
          <t>NHÂN VIÊN CHĂM SÓC KHÁCH HÀNG SAU VAY TẠI PHAN THIẾT - BÌNH THUẬN</t>
        </is>
      </c>
      <c r="D18901" t="inlineStr">
        <is>
          <t>Công Ty TNHH Call Center Việt Nam</t>
        </is>
      </c>
      <c r="E18901" t="inlineStr">
        <is>
          <t>Lương:9 Tr - 25 Tr VND</t>
        </is>
      </c>
      <c r="F18901" t="inlineStr">
        <is>
          <t>Bình Thuận</t>
        </is>
      </c>
      <c r="G18901" t="inlineStr">
        <is>
          <t>28-03-2026</t>
        </is>
      </c>
      <c r="H18901" t="inlineStr">
        <is>
          <t>28/03/2026</t>
        </is>
      </c>
      <c r="I18901" t="inlineStr">
        <is>
          <t>17/03/2026</t>
        </is>
      </c>
      <c r="J18901" t="inlineStr">
        <is>
          <t>Tư vấn, Dịch vụ khách hàng, Luật / Pháp lý</t>
        </is>
      </c>
      <c r="K18901" t="inlineStr">
        <is>
          <t>Chưa có kinh nghiệm</t>
        </is>
      </c>
      <c r="L18901" s="8">
        <f>HYPERLINK("https://careerviet.vn/vi/tim-viec-lam/nhan-vien-cham-soc-khach-hang-sau-vay-tai-phan-thiet-binh-thuan.35C66AE2.html","Xem chi tiết")</f>
        <v/>
      </c>
    </row>
    <row r="18902">
      <c r="B18902" s="9" t="n">
        <v>18900</v>
      </c>
      <c r="C18902" s="10" t="inlineStr">
        <is>
          <t>Quản lý kinh doanh khu vực (ASM)</t>
        </is>
      </c>
      <c r="D18902" s="10" t="inlineStr">
        <is>
          <t>CÔNG TY CỔ PHẦN TẬP ĐOÀN GIOVANNI VIỆT NAM</t>
        </is>
      </c>
      <c r="E18902" s="10" t="inlineStr">
        <is>
          <t>Lương:18 Tr - 25 Tr VND</t>
        </is>
      </c>
      <c r="F18902" s="10" t="inlineStr">
        <is>
          <t>Hà Nội</t>
        </is>
      </c>
      <c r="G18902" s="10" t="inlineStr">
        <is>
          <t>28-03-2026</t>
        </is>
      </c>
      <c r="H18902" s="10" t="inlineStr">
        <is>
          <t>28/03/2026</t>
        </is>
      </c>
      <c r="I18902" s="10" t="inlineStr">
        <is>
          <t>17/03/2026</t>
        </is>
      </c>
      <c r="J18902" s="10" t="inlineStr">
        <is>
          <t>Bán hàng / Kinh doanh, Tư vấn, Dệt may / Da giày / Thời trang</t>
        </is>
      </c>
      <c r="K18902" s="10" t="inlineStr">
        <is>
          <t>5 - 6 Năm</t>
        </is>
      </c>
      <c r="L18902" s="11">
        <f>HYPERLINK("https://careerviet.vn/vi/tim-viec-lam/quan-ly-kinh-doanh-khu-vuc-asm.35C66A5D.html","Xem chi tiết")</f>
        <v/>
      </c>
      <c r="M18902" s="10" t="n"/>
    </row>
    <row r="18903">
      <c r="B18903" s="7" t="n">
        <v>18901</v>
      </c>
      <c r="C18903" t="inlineStr">
        <is>
          <t>Chuyên viên Phân tích Tài chính FP&amp;A</t>
        </is>
      </c>
      <c r="D18903" t="inlineStr">
        <is>
          <t>Công Ty Cổ Phần Cơ Khí Xây Dựng Thương Mại Đại Dũng</t>
        </is>
      </c>
      <c r="E18903" t="inlineStr">
        <is>
          <t>Lương:Cạnh tranh</t>
        </is>
      </c>
      <c r="F18903" t="inlineStr">
        <is>
          <t>Hồ Chí Minh</t>
        </is>
      </c>
      <c r="G18903" t="inlineStr">
        <is>
          <t>28-03-2026</t>
        </is>
      </c>
      <c r="H18903" t="inlineStr">
        <is>
          <t>28/03/2026</t>
        </is>
      </c>
      <c r="I18903" t="inlineStr">
        <is>
          <t>17/03/2026</t>
        </is>
      </c>
      <c r="J18903" t="inlineStr">
        <is>
          <t>Tài chính / Đầu tư, Sản xuất / Vận hành sản xuất, Xây dựng</t>
        </is>
      </c>
      <c r="K18903" t="inlineStr">
        <is>
          <t>2 - 5 Năm</t>
        </is>
      </c>
      <c r="L18903" s="8">
        <f>HYPERLINK("https://careerviet.vn/vi/tim-viec-lam/chuyen-vien-phan-tich-tai-chinh-fp-a.35C66BB6.html","Xem chi tiết")</f>
        <v/>
      </c>
    </row>
    <row r="18904">
      <c r="B18904" s="9" t="n">
        <v>18902</v>
      </c>
      <c r="C18904" s="10" t="inlineStr">
        <is>
          <t>Chuyên Viên Kế Toán Tổng Hợp</t>
        </is>
      </c>
      <c r="D18904" s="10" t="inlineStr">
        <is>
          <t>Công ty TNHH Thực Phẩm &amp; TMDV Lê Gia</t>
        </is>
      </c>
      <c r="E18904" s="10" t="inlineStr">
        <is>
          <t>Lương:15 Tr - 20 Tr VND</t>
        </is>
      </c>
      <c r="F18904" s="10" t="inlineStr">
        <is>
          <t>Hà Nội</t>
        </is>
      </c>
      <c r="G18904" s="10" t="inlineStr">
        <is>
          <t>28-03-2026</t>
        </is>
      </c>
      <c r="H18904" s="10" t="inlineStr">
        <is>
          <t>28/03/2026</t>
        </is>
      </c>
      <c r="I18904" s="10" t="inlineStr">
        <is>
          <t>17/03/2026</t>
        </is>
      </c>
      <c r="J18904" s="10" t="inlineStr">
        <is>
          <t>Kế toán / Kiểm toán, Thực phẩm &amp; Đồ uống</t>
        </is>
      </c>
      <c r="K18904" s="10" t="inlineStr">
        <is>
          <t>Trên 3 Năm</t>
        </is>
      </c>
      <c r="L18904" s="11">
        <f>HYPERLINK("https://careerviet.vn/vi/tim-viec-lam/chuyen-vien-ke-toan-tong-hop.35C668E4.html","Xem chi tiết")</f>
        <v/>
      </c>
      <c r="M18904" s="10" t="n"/>
    </row>
    <row r="18905">
      <c r="B18905" s="7" t="n">
        <v>18903</v>
      </c>
      <c r="C18905" t="inlineStr">
        <is>
          <t>Chuyên viên cao cấp phát triển kinh doanh Agent Banking</t>
        </is>
      </c>
      <c r="D18905" t="inlineStr">
        <is>
          <t>Ngân hàng TMCP Phát triển TP.HCM (HDBank)</t>
        </is>
      </c>
      <c r="E18905" t="inlineStr">
        <is>
          <t>Lương:Cạnh tranh</t>
        </is>
      </c>
      <c r="F18905" t="inlineStr">
        <is>
          <t>Hồ Chí Minh</t>
        </is>
      </c>
      <c r="G18905" t="inlineStr">
        <is>
          <t>28-03-2026</t>
        </is>
      </c>
      <c r="H18905" t="inlineStr">
        <is>
          <t>28/03/2026</t>
        </is>
      </c>
      <c r="I18905" t="inlineStr">
        <is>
          <t>17/03/2026</t>
        </is>
      </c>
      <c r="J18905" t="inlineStr">
        <is>
          <t>Ngân hàng</t>
        </is>
      </c>
      <c r="K18905" t="inlineStr">
        <is>
          <t>Trên 2 Năm</t>
        </is>
      </c>
      <c r="L18905" s="8">
        <f>HYPERLINK("https://careerviet.vn/vi/tim-viec-lam/chuyen-vien-cao-cap-phat-trien-kinh-doanh-agent-banking.35C66A5C.html","Xem chi tiết")</f>
        <v/>
      </c>
    </row>
    <row r="18906">
      <c r="B18906" s="9" t="n">
        <v>18904</v>
      </c>
      <c r="C18906" s="10" t="inlineStr">
        <is>
          <t>Chuyên Viên Phát Triển Kinh Doanh Chứng Khoán Cơ Sở</t>
        </is>
      </c>
      <c r="D18906" s="10" t="inlineStr">
        <is>
          <t>Công ty Cổ phần Chứng khoán DNSE</t>
        </is>
      </c>
      <c r="E18906" s="10" t="inlineStr">
        <is>
          <t>Lương:Cạnh tranh</t>
        </is>
      </c>
      <c r="F18906" s="10" t="inlineStr">
        <is>
          <t>Hà Nội</t>
        </is>
      </c>
      <c r="G18906" s="10" t="inlineStr">
        <is>
          <t>28-03-2026</t>
        </is>
      </c>
      <c r="H18906" s="10" t="inlineStr">
        <is>
          <t>28/03/2026</t>
        </is>
      </c>
      <c r="I18906" s="10" t="inlineStr">
        <is>
          <t>17/03/2026</t>
        </is>
      </c>
      <c r="J18906" s="10" t="inlineStr">
        <is>
          <t>Bán hàng / Kinh doanh, Tài chính / Đầu tư, Chứng khoán</t>
        </is>
      </c>
      <c r="K18906" s="10" t="inlineStr">
        <is>
          <t>Trên 1 Năm</t>
        </is>
      </c>
      <c r="L18906" s="11">
        <f>HYPERLINK("https://careerviet.vn/vi/tim-viec-lam/chuyen-vien-phat-trien-kinh-doanh-chung-khoan-co-so.35C66C18.html","Xem chi tiết")</f>
        <v/>
      </c>
      <c r="M18906" s="10" t="n"/>
    </row>
    <row r="18907">
      <c r="B18907" s="7" t="n">
        <v>18905</v>
      </c>
      <c r="C18907" t="inlineStr">
        <is>
          <t>Thực tập sinh tuyển dụng</t>
        </is>
      </c>
      <c r="D18907" t="inlineStr">
        <is>
          <t>Công Ty Cổ Phần Thiết Kế Và Xây Dựng Giza Việt Nam</t>
        </is>
      </c>
      <c r="E18907" t="inlineStr">
        <is>
          <t>Lương:Cạnh tranh</t>
        </is>
      </c>
      <c r="F18907" t="inlineStr">
        <is>
          <t>Hà Nội</t>
        </is>
      </c>
      <c r="G18907" t="inlineStr">
        <is>
          <t>28-03-2026</t>
        </is>
      </c>
      <c r="H18907" t="inlineStr">
        <is>
          <t>28/03/2026</t>
        </is>
      </c>
      <c r="I18907" t="inlineStr">
        <is>
          <t>17/03/2026</t>
        </is>
      </c>
      <c r="J18907" t="inlineStr">
        <is>
          <t>Hành chính / Thư ký, Nhân sự</t>
        </is>
      </c>
      <c r="K18907" t="inlineStr">
        <is>
          <t>N/A</t>
        </is>
      </c>
      <c r="L18907" s="8">
        <f>HYPERLINK("https://careerviet.vn/vi/tim-viec-lam/thuc-tap-sinh-tuyen-dung.35C66AD4.html","Xem chi tiết")</f>
        <v/>
      </c>
    </row>
    <row r="18908">
      <c r="B18908" s="9" t="n">
        <v>18906</v>
      </c>
      <c r="C18908" s="10" t="inlineStr">
        <is>
          <t>TẬP SỰ TƯ VẤN ĐẦU TƯ CHỨNG KHOÁN (HCM)</t>
        </is>
      </c>
      <c r="D18908" s="10" t="inlineStr">
        <is>
          <t>VDSC - Công ty CP Chứng khoán Rồng Việt</t>
        </is>
      </c>
      <c r="E18908" s="10" t="inlineStr">
        <is>
          <t>Lương:3 Tr - 5 Tr VND</t>
        </is>
      </c>
      <c r="F18908" s="10" t="inlineStr">
        <is>
          <t>Hồ Chí Minh</t>
        </is>
      </c>
      <c r="G18908" s="10" t="inlineStr">
        <is>
          <t>29-03-2026</t>
        </is>
      </c>
      <c r="H18908" s="10" t="inlineStr">
        <is>
          <t>29/03/2026</t>
        </is>
      </c>
      <c r="I18908" s="10" t="inlineStr">
        <is>
          <t>17/03/2026</t>
        </is>
      </c>
      <c r="J18908" s="10" t="inlineStr">
        <is>
          <t>Ngân hàng, Chứng khoán, Tài chính / Đầu tư</t>
        </is>
      </c>
      <c r="K18908" s="10" t="inlineStr">
        <is>
          <t>N/A</t>
        </is>
      </c>
      <c r="L18908" s="11">
        <f>HYPERLINK("https://careerviet.vn/vi/tim-viec-lam/tap-su-tu-van-dau-tu-chung-khoan-hcm.35C66D60.html","Xem chi tiết")</f>
        <v/>
      </c>
      <c r="M18908" s="10" t="n"/>
    </row>
    <row r="18909">
      <c r="B18909" s="7" t="n">
        <v>18907</v>
      </c>
      <c r="C18909" t="inlineStr">
        <is>
          <t>NHÂN VIÊN GIAO NHẬN PHỤ TÙNG</t>
        </is>
      </c>
      <c r="D18909" t="inlineStr">
        <is>
          <t>Vietnam Star Automobile</t>
        </is>
      </c>
      <c r="E18909" t="inlineStr">
        <is>
          <t>Lương:8 Tr - 15 Tr VND</t>
        </is>
      </c>
      <c r="F18909" t="inlineStr">
        <is>
          <t>Hồ Chí Minh</t>
        </is>
      </c>
      <c r="G18909" t="inlineStr">
        <is>
          <t>29-03-2026</t>
        </is>
      </c>
      <c r="H18909" t="inlineStr">
        <is>
          <t>29/03/2026</t>
        </is>
      </c>
      <c r="I18909" t="inlineStr">
        <is>
          <t>17/03/2026</t>
        </is>
      </c>
      <c r="J18909" t="inlineStr">
        <is>
          <t>Vận chuyển / Giao nhận / Kho vận, Cơ khí / Ô tô / Tự động hóa</t>
        </is>
      </c>
      <c r="K18909" t="inlineStr">
        <is>
          <t>2 - 3 Năm</t>
        </is>
      </c>
      <c r="L18909" s="8">
        <f>HYPERLINK("https://careerviet.vn/vi/tim-viec-lam/nhan-vien-giao-nhan-phu-tung.35C64272.html","Xem chi tiết")</f>
        <v/>
      </c>
    </row>
    <row r="18910">
      <c r="B18910" s="9" t="n">
        <v>18908</v>
      </c>
      <c r="C18910" s="10" t="inlineStr">
        <is>
          <t>Chuyên viên C&amp;B</t>
        </is>
      </c>
      <c r="D18910" s="10" t="inlineStr">
        <is>
          <t>Công ty Cổ phần Nha khoa quốc tế Sing</t>
        </is>
      </c>
      <c r="E18910" s="10" t="inlineStr">
        <is>
          <t>Lương:13 Tr - 16 Tr VND</t>
        </is>
      </c>
      <c r="F18910" s="10" t="inlineStr">
        <is>
          <t>Hà Nội</t>
        </is>
      </c>
      <c r="G18910" s="10" t="inlineStr">
        <is>
          <t>28-03-2026</t>
        </is>
      </c>
      <c r="H18910" s="10" t="inlineStr">
        <is>
          <t>28/03/2026</t>
        </is>
      </c>
      <c r="I18910" s="10" t="inlineStr">
        <is>
          <t>17/03/2026</t>
        </is>
      </c>
      <c r="J18910" s="10" t="inlineStr">
        <is>
          <t>Hành chính / Thư ký, Nhân sự, Kế toán / Kiểm toán</t>
        </is>
      </c>
      <c r="K18910" s="10" t="inlineStr">
        <is>
          <t>2 - 5 Năm</t>
        </is>
      </c>
      <c r="L18910" s="11">
        <f>HYPERLINK("https://careerviet.vn/vi/tim-viec-lam/chuyen-vien-c-b.35C66BE2.html","Xem chi tiết")</f>
        <v/>
      </c>
      <c r="M18910" s="10" t="n"/>
    </row>
    <row r="18911">
      <c r="B18911" s="7" t="n">
        <v>18909</v>
      </c>
      <c r="C18911" t="inlineStr">
        <is>
          <t>Kỹ thuật viên ép thổi nhựa sản xuất</t>
        </is>
      </c>
      <c r="D18911" t="inlineStr">
        <is>
          <t>Công ty Cổ Phần Thảo Mộc Xanh Long An</t>
        </is>
      </c>
      <c r="E18911" t="inlineStr">
        <is>
          <t>Lương:Cạnh tranh</t>
        </is>
      </c>
      <c r="F18911" t="inlineStr">
        <is>
          <t>Long An</t>
        </is>
      </c>
      <c r="G18911" t="inlineStr">
        <is>
          <t>28-03-2026</t>
        </is>
      </c>
      <c r="H18911" t="inlineStr">
        <is>
          <t>28/03/2026</t>
        </is>
      </c>
      <c r="I18911" t="inlineStr">
        <is>
          <t>17/03/2026</t>
        </is>
      </c>
      <c r="J18911" t="inlineStr">
        <is>
          <t>Cơ khí / Ô tô / Tự động hóa, Sản xuất / Vận hành sản xuất, Điện / Điện tử / Điện lạnh / Điện công nghiệp</t>
        </is>
      </c>
      <c r="K18911" t="inlineStr">
        <is>
          <t>4 - 5 Năm</t>
        </is>
      </c>
      <c r="L18911" s="8">
        <f>HYPERLINK("https://careerviet.vn/vi/tim-viec-lam/ky-thuat-vien-ep-thoi-nhua-san-xuat.35C66C2C.html","Xem chi tiết")</f>
        <v/>
      </c>
    </row>
    <row r="18912">
      <c r="B18912" s="9" t="n">
        <v>18910</v>
      </c>
      <c r="C18912" s="10" t="inlineStr">
        <is>
          <t>QLRR_Chuyên Viên Cao Cấp QLRR Thị Trường</t>
        </is>
      </c>
      <c r="D18912" s="10" t="inlineStr">
        <is>
          <t>Ngân hàng TMCP Phát triển TP.HCM (HDBank)</t>
        </is>
      </c>
      <c r="E18912" s="10" t="inlineStr">
        <is>
          <t>Lương:Cạnh tranh</t>
        </is>
      </c>
      <c r="F18912" s="10" t="inlineStr">
        <is>
          <t>Hồ Chí Minh</t>
        </is>
      </c>
      <c r="G18912" s="10" t="inlineStr">
        <is>
          <t>28-03-2026</t>
        </is>
      </c>
      <c r="H18912" s="10" t="inlineStr">
        <is>
          <t>28/03/2026</t>
        </is>
      </c>
      <c r="I18912" s="10" t="inlineStr">
        <is>
          <t>17/03/2026</t>
        </is>
      </c>
      <c r="J18912" s="10" t="inlineStr">
        <is>
          <t>Luật / Pháp lý, Kế toán / Kiểm toán, Ngân hàng</t>
        </is>
      </c>
      <c r="K18912" s="10" t="inlineStr">
        <is>
          <t>3 - 4 Năm</t>
        </is>
      </c>
      <c r="L18912" s="11">
        <f>HYPERLINK("https://careerviet.vn/vi/tim-viec-lam/qlrr_chuyen-vien-cao-cap-qlrr-thi-truong.35C66B45.html","Xem chi tiết")</f>
        <v/>
      </c>
      <c r="M18912" s="10" t="n"/>
    </row>
    <row r="18913">
      <c r="B18913" s="7" t="n">
        <v>18911</v>
      </c>
      <c r="C18913" t="inlineStr">
        <is>
          <t>Nhân viên phát triển sản phẩm – Mảng Cơ khí</t>
        </is>
      </c>
      <c r="D18913" t="inlineStr">
        <is>
          <t>CÔNG TY CP HÀ YẾN</t>
        </is>
      </c>
      <c r="E18913" t="inlineStr">
        <is>
          <t>Lương:Cạnh tranh</t>
        </is>
      </c>
      <c r="F18913" t="inlineStr">
        <is>
          <t>Hà Nội</t>
        </is>
      </c>
      <c r="G18913" t="inlineStr">
        <is>
          <t>28-03-2026</t>
        </is>
      </c>
      <c r="H18913" t="inlineStr">
        <is>
          <t>28/03/2026</t>
        </is>
      </c>
      <c r="I18913" t="inlineStr">
        <is>
          <t>17/03/2026</t>
        </is>
      </c>
      <c r="J18913" t="inlineStr">
        <is>
          <t>Cơ khí / Ô tô / Tự động hóa</t>
        </is>
      </c>
      <c r="K18913" t="inlineStr">
        <is>
          <t>2 - 3 Năm</t>
        </is>
      </c>
      <c r="L18913" s="8">
        <f>HYPERLINK("https://careerviet.vn/vi/tim-viec-lam/nhan-vien-phat-trien-san-pham-mang-co-khi.35C66B98.html","Xem chi tiết")</f>
        <v/>
      </c>
    </row>
    <row r="18914">
      <c r="B18914" s="9" t="n">
        <v>18912</v>
      </c>
      <c r="C18914" s="10" t="inlineStr">
        <is>
          <t>Junior CloudOps / SysOps Unix &amp; Linux</t>
        </is>
      </c>
      <c r="D18914" s="10" t="inlineStr">
        <is>
          <t>Teamwork Vietnam Ltd</t>
        </is>
      </c>
      <c r="E18914" s="10" t="inlineStr">
        <is>
          <t>Lương:14 Tr - 25 Tr VND</t>
        </is>
      </c>
      <c r="F18914" s="10" t="inlineStr">
        <is>
          <t>Hồ Chí Minh</t>
        </is>
      </c>
      <c r="G18914" s="10" t="inlineStr">
        <is>
          <t>28-03-2026</t>
        </is>
      </c>
      <c r="H18914" s="10" t="inlineStr">
        <is>
          <t>28/03/2026</t>
        </is>
      </c>
      <c r="I18914" s="10" t="inlineStr">
        <is>
          <t>17/03/2026</t>
        </is>
      </c>
      <c r="J18914" s="10" t="inlineStr">
        <is>
          <t>CNTT - Phần cứng / Mạng</t>
        </is>
      </c>
      <c r="K18914" s="10" t="inlineStr">
        <is>
          <t>Chưa có kinh nghiệm</t>
        </is>
      </c>
      <c r="L18914" s="11">
        <f>HYPERLINK("https://careerviet.vn/vi/tim-viec-lam/junior-cloudops-sysops-unix-linux.35C66B62.html","Xem chi tiết")</f>
        <v/>
      </c>
      <c r="M18914" s="10" t="n"/>
    </row>
    <row r="18915">
      <c r="B18915" s="7" t="n">
        <v>18913</v>
      </c>
      <c r="C18915" t="inlineStr">
        <is>
          <t>[HO]-AUTO LOAN PRODUCT MANAGER</t>
        </is>
      </c>
      <c r="D18915" t="inlineStr">
        <is>
          <t>Shinhan Bank Vietnam</t>
        </is>
      </c>
      <c r="E18915" t="inlineStr">
        <is>
          <t>Lương:Cạnh tranh</t>
        </is>
      </c>
      <c r="F18915" t="inlineStr">
        <is>
          <t>Hồ Chí Minh</t>
        </is>
      </c>
      <c r="G18915" t="inlineStr">
        <is>
          <t>28-03-2026</t>
        </is>
      </c>
      <c r="H18915" t="inlineStr">
        <is>
          <t>28/03/2026</t>
        </is>
      </c>
      <c r="I18915" t="inlineStr">
        <is>
          <t>17/03/2026</t>
        </is>
      </c>
      <c r="J18915" t="inlineStr">
        <is>
          <t>Ngân hàng</t>
        </is>
      </c>
      <c r="K18915" t="inlineStr">
        <is>
          <t>Trên 5 Năm</t>
        </is>
      </c>
      <c r="L18915" s="8">
        <f>HYPERLINK("https://careerviet.vn/vi/tim-viec-lam/ho-auto-loan-product-manager.35C66B3B.html","Xem chi tiết")</f>
        <v/>
      </c>
    </row>
    <row r="18916">
      <c r="B18916" s="9" t="n">
        <v>18914</v>
      </c>
      <c r="C18916" s="10" t="inlineStr">
        <is>
          <t>Animator (Học Viện Bò và Gấu)</t>
        </is>
      </c>
      <c r="D18916" s="10" t="inlineStr">
        <is>
          <t>Công ty Cổ phần Chứng khoán DNSE</t>
        </is>
      </c>
      <c r="E18916" s="10" t="inlineStr">
        <is>
          <t>Lương:Cạnh tranh</t>
        </is>
      </c>
      <c r="F18916" s="10" t="inlineStr">
        <is>
          <t>Hà Nội</t>
        </is>
      </c>
      <c r="G18916" s="10" t="inlineStr">
        <is>
          <t>28-03-2026</t>
        </is>
      </c>
      <c r="H18916" s="10" t="inlineStr">
        <is>
          <t>28/03/2026</t>
        </is>
      </c>
      <c r="I18916" s="10" t="inlineStr">
        <is>
          <t>17/03/2026</t>
        </is>
      </c>
      <c r="J18916" s="10" t="inlineStr">
        <is>
          <t>Tiếp thị / Marketing, Truyền hình / Báo chí / Biên tập, Quảng cáo / Đối ngoại / Truyền Thông</t>
        </is>
      </c>
      <c r="K18916" s="10" t="inlineStr">
        <is>
          <t>N/A</t>
        </is>
      </c>
      <c r="L18916" s="11">
        <f>HYPERLINK("https://careerviet.vn/vi/tim-viec-lam/animator-hoc-vien-bo-va-gau.35C66C10.html","Xem chi tiết")</f>
        <v/>
      </c>
      <c r="M18916" s="10" t="n"/>
    </row>
    <row r="18917">
      <c r="B18917" s="7" t="n">
        <v>18915</v>
      </c>
      <c r="C18917" t="inlineStr">
        <is>
          <t>NHÂN VIÊN QA (CƠ KHÍ TỰ ĐỘNG HÓA)</t>
        </is>
      </c>
      <c r="D18917" t="inlineStr">
        <is>
          <t>CÔNG TY CỔ PHẦN TẬP ĐOÀN CÔNG NGHỆ IDEA</t>
        </is>
      </c>
      <c r="E18917" t="inlineStr">
        <is>
          <t>Lương:8 Tr - 15 Tr VND</t>
        </is>
      </c>
      <c r="F18917" t="inlineStr">
        <is>
          <t>Hồ Chí Minh</t>
        </is>
      </c>
      <c r="G18917" t="inlineStr">
        <is>
          <t>28-03-2026</t>
        </is>
      </c>
      <c r="H18917" t="inlineStr">
        <is>
          <t>28/03/2026</t>
        </is>
      </c>
      <c r="I18917" t="inlineStr">
        <is>
          <t>17/03/2026</t>
        </is>
      </c>
      <c r="J18917" t="inlineStr">
        <is>
          <t>Cơ khí / Ô tô / Tự động hóa, Điện / Điện tử / Điện lạnh / Điện công nghiệp, Quản lý chất lượng (QA/QC)</t>
        </is>
      </c>
      <c r="K18917" t="inlineStr">
        <is>
          <t>1 - 5 Năm</t>
        </is>
      </c>
      <c r="L18917" s="8">
        <f>HYPERLINK("https://careerviet.vn/vi/tim-viec-lam/nhan-vien-qa-co-khi-tu-dong-hoa.35C66B2D.html","Xem chi tiết")</f>
        <v/>
      </c>
    </row>
    <row r="18918">
      <c r="B18918" s="9" t="n">
        <v>18916</v>
      </c>
      <c r="C18918" s="10" t="inlineStr">
        <is>
          <t>[VSIP2] Nhân Viên Hiệu Suất / Productivity Staff</t>
        </is>
      </c>
      <c r="D18918" s="10" t="inlineStr">
        <is>
          <t>Công Ty TNHH Apparel Far Eastern (Việt Nam)</t>
        </is>
      </c>
      <c r="E18918" s="10" t="inlineStr">
        <is>
          <t>Lương:12 Tr - 14 Tr VND</t>
        </is>
      </c>
      <c r="F18918" s="10" t="inlineStr">
        <is>
          <t>Bình Dương</t>
        </is>
      </c>
      <c r="G18918" s="10" t="inlineStr">
        <is>
          <t>28-03-2026</t>
        </is>
      </c>
      <c r="H18918" s="10" t="inlineStr">
        <is>
          <t>28/03/2026</t>
        </is>
      </c>
      <c r="I18918" s="10" t="inlineStr">
        <is>
          <t>17/03/2026</t>
        </is>
      </c>
      <c r="J18918" s="10" t="inlineStr">
        <is>
          <t>Dệt may / Da giày / Thời trang, Kế toán / Kiểm toán, Sản xuất / Vận hành sản xuất</t>
        </is>
      </c>
      <c r="K18918" s="10" t="inlineStr">
        <is>
          <t>1 - 3 Năm</t>
        </is>
      </c>
      <c r="L18918" s="11">
        <f>HYPERLINK("https://careerviet.vn/vi/tim-viec-lam/vsip2-nhan-vien-hieu-suat-productivity-staff.35C66AE5.html","Xem chi tiết")</f>
        <v/>
      </c>
      <c r="M18918" s="10" t="n"/>
    </row>
    <row r="18919">
      <c r="B18919" s="7" t="n">
        <v>18917</v>
      </c>
      <c r="C18919" t="inlineStr">
        <is>
          <t>QLRR_Chuyên Viên Cao Cấp Quản Lý Rủi Ro Thanh Khoản</t>
        </is>
      </c>
      <c r="D18919" t="inlineStr">
        <is>
          <t>Ngân hàng TMCP Phát triển TP.HCM (HDBank)</t>
        </is>
      </c>
      <c r="E18919" t="inlineStr">
        <is>
          <t>Lương:Cạnh tranh</t>
        </is>
      </c>
      <c r="F18919" t="inlineStr">
        <is>
          <t>Hồ Chí Minh</t>
        </is>
      </c>
      <c r="G18919" t="inlineStr">
        <is>
          <t>28-03-2026</t>
        </is>
      </c>
      <c r="H18919" t="inlineStr">
        <is>
          <t>28/03/2026</t>
        </is>
      </c>
      <c r="I18919" t="inlineStr">
        <is>
          <t>17/03/2026</t>
        </is>
      </c>
      <c r="J18919" t="inlineStr">
        <is>
          <t>Ngân hàng, Bảo hiểm, Tài chính / Đầu tư</t>
        </is>
      </c>
      <c r="K18919" t="inlineStr">
        <is>
          <t>3 - 4 Năm</t>
        </is>
      </c>
      <c r="L18919" s="8">
        <f>HYPERLINK("https://careerviet.vn/vi/tim-viec-lam/qlrr_chuyen-vien-cao-cap-quan-ly-rui-ro-thanh-khoan.35C66B3D.html","Xem chi tiết")</f>
        <v/>
      </c>
    </row>
    <row r="18920">
      <c r="B18920" s="9" t="n">
        <v>18918</v>
      </c>
      <c r="C18920" s="10" t="inlineStr">
        <is>
          <t>Trưởng nhóm đào tạo &amp; tuyển dụng nội bộ (tiếng Nhật N2)</t>
        </is>
      </c>
      <c r="D18920" s="10" t="inlineStr">
        <is>
          <t>Công Ty TNHH ONE-VALUE Việt Nam</t>
        </is>
      </c>
      <c r="E18920" s="10" t="inlineStr">
        <is>
          <t>Lương:10 Tr - 30 Tr VND</t>
        </is>
      </c>
      <c r="F18920" s="10" t="inlineStr">
        <is>
          <t>Hà Nội</t>
        </is>
      </c>
      <c r="G18920" s="10" t="inlineStr">
        <is>
          <t>28-03-2026</t>
        </is>
      </c>
      <c r="H18920" s="10" t="inlineStr">
        <is>
          <t>28/03/2026</t>
        </is>
      </c>
      <c r="I18920" s="10" t="inlineStr">
        <is>
          <t>17/03/2026</t>
        </is>
      </c>
      <c r="J18920" s="10" t="inlineStr">
        <is>
          <t>Giáo dục / Đào tạo, Hành chính / Thư ký</t>
        </is>
      </c>
      <c r="K18920" s="10" t="inlineStr">
        <is>
          <t>3 - 5 Năm</t>
        </is>
      </c>
      <c r="L18920" s="11">
        <f>HYPERLINK("https://careerviet.vn/vi/tim-viec-lam/truong-nhom-dao-tao-tuyen-dung-noi-bo-tieng-nhat-n2.35C66A63.html","Xem chi tiết")</f>
        <v/>
      </c>
      <c r="M18920" s="10" t="n"/>
    </row>
    <row r="18921">
      <c r="B18921" s="7" t="n">
        <v>18919</v>
      </c>
      <c r="C18921" t="inlineStr">
        <is>
          <t>Kỹ sư An Toàn Thông Tin</t>
        </is>
      </c>
      <c r="D18921" t="inlineStr">
        <is>
          <t>CÔNG TY CỔ PHẨN TẬP ĐOÀN MK</t>
        </is>
      </c>
      <c r="E18921" t="inlineStr">
        <is>
          <t>Lương:Cạnh tranh</t>
        </is>
      </c>
      <c r="F18921" t="inlineStr">
        <is>
          <t>Hà Nội</t>
        </is>
      </c>
      <c r="G18921" t="inlineStr">
        <is>
          <t>28-03-2026</t>
        </is>
      </c>
      <c r="H18921" t="inlineStr">
        <is>
          <t>28/03/2026</t>
        </is>
      </c>
      <c r="I18921" t="inlineStr">
        <is>
          <t>17/03/2026</t>
        </is>
      </c>
      <c r="J18921" t="inlineStr">
        <is>
          <t>CNTT - Phần mềm, CNTT - Phần cứng / Mạng</t>
        </is>
      </c>
      <c r="K18921" t="inlineStr">
        <is>
          <t>2 - 5 Năm</t>
        </is>
      </c>
      <c r="L18921" s="8">
        <f>HYPERLINK("https://careerviet.vn/vi/tim-viec-lam/ky-su-an-toan-thong-tin.35C66AF7.html","Xem chi tiết")</f>
        <v/>
      </c>
    </row>
    <row r="18922">
      <c r="B18922" s="9" t="n">
        <v>18920</v>
      </c>
      <c r="C18922" s="10" t="inlineStr">
        <is>
          <t>TRƯỞNG NHÓM QUẢN TRỊ HIỆU SUẤT NHÂN SỰ</t>
        </is>
      </c>
      <c r="D18922" s="10" t="inlineStr">
        <is>
          <t>Bảo mật</t>
        </is>
      </c>
      <c r="E18922" s="10" t="inlineStr">
        <is>
          <t>Lương:40 Tr - 45 Tr VND</t>
        </is>
      </c>
      <c r="F18922" s="10" t="inlineStr">
        <is>
          <t>Hà Nội</t>
        </is>
      </c>
      <c r="G18922" s="10" t="inlineStr">
        <is>
          <t>28-03-2026</t>
        </is>
      </c>
      <c r="H18922" s="10" t="inlineStr">
        <is>
          <t>28/03/2026</t>
        </is>
      </c>
      <c r="I18922" s="10" t="inlineStr">
        <is>
          <t>17/03/2026</t>
        </is>
      </c>
      <c r="J18922" s="10" t="inlineStr">
        <is>
          <t>Nhân sự</t>
        </is>
      </c>
      <c r="K18922" s="10" t="inlineStr">
        <is>
          <t>5 - 10 Năm</t>
        </is>
      </c>
      <c r="L18922" s="11">
        <f>HYPERLINK("https://careerviet.vn/vi/tim-viec-lam/truong-nhom-quan-tri-hieu-suat-nhan-su.35C66BD6.html","Xem chi tiết")</f>
        <v/>
      </c>
      <c r="M18922" s="10" t="n"/>
    </row>
    <row r="18923">
      <c r="B18923" s="7" t="n">
        <v>18921</v>
      </c>
      <c r="C18923" t="inlineStr">
        <is>
          <t>Nhân viên hành chánh tổng hợp</t>
        </is>
      </c>
      <c r="D18923" t="inlineStr">
        <is>
          <t>Công ty Cổ Phần Thảo Mộc Xanh</t>
        </is>
      </c>
      <c r="E18923" t="inlineStr">
        <is>
          <t>Lương:Cạnh tranh</t>
        </is>
      </c>
      <c r="F18923" t="inlineStr">
        <is>
          <t>Hồ Chí Minh</t>
        </is>
      </c>
      <c r="G18923" t="inlineStr">
        <is>
          <t>28-03-2026</t>
        </is>
      </c>
      <c r="H18923" t="inlineStr">
        <is>
          <t>28/03/2026</t>
        </is>
      </c>
      <c r="I18923" t="inlineStr">
        <is>
          <t>17/03/2026</t>
        </is>
      </c>
      <c r="J18923" t="inlineStr">
        <is>
          <t>Hành chính / Thư ký, Quản lý điều hành, Ngành khác</t>
        </is>
      </c>
      <c r="K18923" t="inlineStr">
        <is>
          <t>Trên 2 Năm</t>
        </is>
      </c>
      <c r="L18923" s="8">
        <f>HYPERLINK("https://careerviet.vn/vi/tim-viec-lam/nhan-vien-hanh-chanh-tong-hop.35C66C2D.html","Xem chi tiết")</f>
        <v/>
      </c>
    </row>
    <row r="18924">
      <c r="B18924" s="9" t="n">
        <v>18922</v>
      </c>
      <c r="C18924" s="10" t="inlineStr">
        <is>
          <t>HRBP Executive - Chuyên Viên Đối Tác Nhân Sự</t>
        </is>
      </c>
      <c r="D18924" s="10" t="inlineStr">
        <is>
          <t>Công Ty Tài Chính Mirae Asset (Việt Nam)</t>
        </is>
      </c>
      <c r="E18924" s="10" t="inlineStr">
        <is>
          <t>Lương:Cạnh tranh</t>
        </is>
      </c>
      <c r="F18924" s="10" t="inlineStr">
        <is>
          <t>Hồ Chí Minh</t>
        </is>
      </c>
      <c r="G18924" s="10" t="inlineStr">
        <is>
          <t>28-03-2026</t>
        </is>
      </c>
      <c r="H18924" s="10" t="inlineStr">
        <is>
          <t>28/03/2026</t>
        </is>
      </c>
      <c r="I18924" s="10" t="inlineStr">
        <is>
          <t>17/03/2026</t>
        </is>
      </c>
      <c r="J18924" s="10" t="inlineStr">
        <is>
          <t>Tài chính / Đầu tư, Ngân hàng, Nhân sự</t>
        </is>
      </c>
      <c r="K18924" s="10" t="inlineStr">
        <is>
          <t>Trên 3 Năm</t>
        </is>
      </c>
      <c r="L18924" s="11">
        <f>HYPERLINK("https://careerviet.vn/vi/tim-viec-lam/hrbp-executive-chuyen-vien-doi-tac-nhan-su.35C66BC8.html","Xem chi tiết")</f>
        <v/>
      </c>
      <c r="M18924" s="10" t="n"/>
    </row>
    <row r="18925">
      <c r="B18925" s="7" t="n">
        <v>18923</v>
      </c>
      <c r="C18925" t="inlineStr">
        <is>
          <t>[HO]- PROJECT HOUSING LOAN DEVELOPMENT MANAGER</t>
        </is>
      </c>
      <c r="D18925" t="inlineStr">
        <is>
          <t>Shinhan Bank Vietnam</t>
        </is>
      </c>
      <c r="E18925" t="inlineStr">
        <is>
          <t>Lương:Cạnh tranh</t>
        </is>
      </c>
      <c r="F18925" t="inlineStr">
        <is>
          <t>Hồ Chí Minh</t>
        </is>
      </c>
      <c r="G18925" t="inlineStr">
        <is>
          <t>28-03-2026</t>
        </is>
      </c>
      <c r="H18925" t="inlineStr">
        <is>
          <t>28/03/2026</t>
        </is>
      </c>
      <c r="I18925" t="inlineStr">
        <is>
          <t>17/03/2026</t>
        </is>
      </c>
      <c r="J18925" t="inlineStr">
        <is>
          <t>Ngân hàng</t>
        </is>
      </c>
      <c r="K18925" t="inlineStr">
        <is>
          <t>Trên 5 Năm</t>
        </is>
      </c>
      <c r="L18925" s="8">
        <f>HYPERLINK("https://careerviet.vn/vi/tim-viec-lam/ho-project-housing-loan-development-manager.35C66AA4.html","Xem chi tiết")</f>
        <v/>
      </c>
    </row>
    <row r="18926">
      <c r="B18926" s="9" t="n">
        <v>18924</v>
      </c>
      <c r="C18926" s="10" t="inlineStr">
        <is>
          <t>OneOps consultant - French speaking</t>
        </is>
      </c>
      <c r="D18926" s="10" t="inlineStr">
        <is>
          <t>Teamwork Vietnam Ltd</t>
        </is>
      </c>
      <c r="E18926" s="10" t="inlineStr">
        <is>
          <t>Lương:11 Tr - 16 Tr VND</t>
        </is>
      </c>
      <c r="F18926" s="10" t="inlineStr">
        <is>
          <t>Hồ Chí Minh</t>
        </is>
      </c>
      <c r="G18926" s="10" t="inlineStr">
        <is>
          <t>28-03-2026</t>
        </is>
      </c>
      <c r="H18926" s="10" t="inlineStr">
        <is>
          <t>28/03/2026</t>
        </is>
      </c>
      <c r="I18926" s="10" t="inlineStr">
        <is>
          <t>17/03/2026</t>
        </is>
      </c>
      <c r="J18926" s="10" t="inlineStr">
        <is>
          <t>CNTT - Phần mềm, CNTT - Phần cứng / Mạng</t>
        </is>
      </c>
      <c r="K18926" s="10" t="inlineStr">
        <is>
          <t>N/A</t>
        </is>
      </c>
      <c r="L18926" s="11">
        <f>HYPERLINK("https://careerviet.vn/vi/tim-viec-lam/oneops-consultant-french-speaking.35C66B68.html","Xem chi tiết")</f>
        <v/>
      </c>
      <c r="M18926" s="10" t="n"/>
    </row>
    <row r="18927">
      <c r="B18927" s="7" t="n">
        <v>18925</v>
      </c>
      <c r="C18927" t="inlineStr">
        <is>
          <t>Tuyển Lái Xe Công Trình</t>
        </is>
      </c>
      <c r="D18927" t="inlineStr">
        <is>
          <t>CÔNG TY CỔ PHẦN THỊNH CƯỜNG</t>
        </is>
      </c>
      <c r="E18927" t="inlineStr">
        <is>
          <t>Lương:23 Tr - 30 Tr VND</t>
        </is>
      </c>
      <c r="F18927" t="inlineStr">
        <is>
          <t>Kiên Giang</t>
        </is>
      </c>
      <c r="G18927" t="inlineStr">
        <is>
          <t>28-03-2026</t>
        </is>
      </c>
      <c r="H18927" t="inlineStr">
        <is>
          <t>28/03/2026</t>
        </is>
      </c>
      <c r="I18927" t="inlineStr">
        <is>
          <t>17/03/2026</t>
        </is>
      </c>
      <c r="J18927" t="inlineStr">
        <is>
          <t>Vận chuyển / Giao nhận / Kho vận, Lao động phổ thông</t>
        </is>
      </c>
      <c r="K18927" t="inlineStr">
        <is>
          <t>3 - 5 Năm</t>
        </is>
      </c>
      <c r="L18927" s="8">
        <f>HYPERLINK("https://careerviet.vn/vi/tim-viec-lam/tuyen-lai-xe-cong-trinh.35C66AA6.html","Xem chi tiết")</f>
        <v/>
      </c>
    </row>
    <row r="18928">
      <c r="B18928" s="9" t="n">
        <v>18926</v>
      </c>
      <c r="C18928" s="10" t="inlineStr">
        <is>
          <t>Thủ Kho Thành Kiêm Điều Vận</t>
        </is>
      </c>
      <c r="D18928" s="10" t="inlineStr">
        <is>
          <t>CÔNG TY TNHH THỰC PHẨM CUỘC SỐNG</t>
        </is>
      </c>
      <c r="E18928" s="10" t="inlineStr">
        <is>
          <t>Lương:12 Tr - 15 Tr VND</t>
        </is>
      </c>
      <c r="F18928" s="10" t="inlineStr">
        <is>
          <t>Hà Nội</t>
        </is>
      </c>
      <c r="G18928" s="10" t="inlineStr">
        <is>
          <t>28-03-2026</t>
        </is>
      </c>
      <c r="H18928" s="10" t="inlineStr">
        <is>
          <t>28/03/2026</t>
        </is>
      </c>
      <c r="I18928" s="10" t="inlineStr">
        <is>
          <t>17/03/2026</t>
        </is>
      </c>
      <c r="J18928" s="10" t="inlineStr">
        <is>
          <t>Vận chuyển / Giao nhận / Kho vận, Hành chính / Thư ký, Kế toán / Kiểm toán</t>
        </is>
      </c>
      <c r="K18928" s="10" t="inlineStr">
        <is>
          <t>Trên 1 Năm</t>
        </is>
      </c>
      <c r="L18928" s="11">
        <f>HYPERLINK("https://careerviet.vn/vi/tim-viec-lam/thu-kho-thanh-kiem-dieu-van.35C66B87.html","Xem chi tiết")</f>
        <v/>
      </c>
      <c r="M18928" s="10" t="n"/>
    </row>
    <row r="18929">
      <c r="B18929" s="7" t="n">
        <v>18927</v>
      </c>
      <c r="C18929" t="inlineStr">
        <is>
          <t>Trưởng Phòng Kế Toán (Ngành May Mặc)</t>
        </is>
      </c>
      <c r="D18929" t="inlineStr">
        <is>
          <t>Bảo mật</t>
        </is>
      </c>
      <c r="E18929" t="inlineStr">
        <is>
          <t>Lương:35 Tr - 40 Tr VND</t>
        </is>
      </c>
      <c r="F18929" t="inlineStr">
        <is>
          <t>Hà Nội</t>
        </is>
      </c>
      <c r="G18929" t="inlineStr">
        <is>
          <t>28-03-2026</t>
        </is>
      </c>
      <c r="H18929" t="inlineStr">
        <is>
          <t>28/03/2026</t>
        </is>
      </c>
      <c r="I18929" t="inlineStr">
        <is>
          <t>17/03/2026</t>
        </is>
      </c>
      <c r="J18929" t="inlineStr">
        <is>
          <t>Bán lẻ / Bán sỉ, Kế toán / Kiểm toán, Dệt may / Da giày / Thời trang</t>
        </is>
      </c>
      <c r="K18929" t="inlineStr">
        <is>
          <t>Trên 5 Năm</t>
        </is>
      </c>
      <c r="L18929" s="8">
        <f>HYPERLINK("https://careerviet.vn/vi/tim-viec-lam/truong-phong-ke-toan-nganh-may-mac.35C669FF.html","Xem chi tiết")</f>
        <v/>
      </c>
    </row>
    <row r="18930">
      <c r="B18930" s="9" t="n">
        <v>18928</v>
      </c>
      <c r="C18930" s="10" t="inlineStr">
        <is>
          <t>Trưởng phòng phụ trách Bàn giao và Cung ứng</t>
        </is>
      </c>
      <c r="D18930" s="10" t="inlineStr">
        <is>
          <t>Công Ty Cổ Phần Tập Đoàn Đầu Tư Địa Ốc No Va</t>
        </is>
      </c>
      <c r="E18930" s="10" t="inlineStr">
        <is>
          <t>Lương:Cạnh tranh</t>
        </is>
      </c>
      <c r="F18930" s="10" t="inlineStr">
        <is>
          <t>Hồ Chí Minh</t>
        </is>
      </c>
      <c r="G18930" s="10" t="inlineStr">
        <is>
          <t>28-03-2026</t>
        </is>
      </c>
      <c r="H18930" s="10" t="inlineStr">
        <is>
          <t>28/03/2026</t>
        </is>
      </c>
      <c r="I18930" s="10" t="inlineStr">
        <is>
          <t>17/03/2026</t>
        </is>
      </c>
      <c r="J18930" s="10" t="inlineStr">
        <is>
          <t>Bảo trì / Sửa chữa, Xây dựng, Bất động sản</t>
        </is>
      </c>
      <c r="K18930" s="10" t="inlineStr">
        <is>
          <t>5 - 8 Năm</t>
        </is>
      </c>
      <c r="L18930" s="11">
        <f>HYPERLINK("https://careerviet.vn/vi/tim-viec-lam/truong-phong-phu-trach-ban-giao-va-cung-ung.35C66B78.html","Xem chi tiết")</f>
        <v/>
      </c>
      <c r="M18930" s="10" t="n"/>
    </row>
    <row r="18931">
      <c r="B18931" s="7" t="n">
        <v>18929</v>
      </c>
      <c r="C18931" t="inlineStr">
        <is>
          <t>Facility&amp; Maintenance Technician / Kỹ Thuật Viên Bảo Trì</t>
        </is>
      </c>
      <c r="D18931" t="inlineStr">
        <is>
          <t>CÔNG TY TNHH ASHTON FURNITURE CONSOLIDATION</t>
        </is>
      </c>
      <c r="E18931" t="inlineStr">
        <is>
          <t>Lương:9 Tr - 15 Tr VND</t>
        </is>
      </c>
      <c r="F18931" t="inlineStr">
        <is>
          <t>Bà Rịa - Vũng Tàu</t>
        </is>
      </c>
      <c r="G18931" t="inlineStr">
        <is>
          <t>28-03-2026</t>
        </is>
      </c>
      <c r="H18931" t="inlineStr">
        <is>
          <t>28/03/2026</t>
        </is>
      </c>
      <c r="I18931" t="inlineStr">
        <is>
          <t>17/03/2026</t>
        </is>
      </c>
      <c r="J18931" t="inlineStr">
        <is>
          <t>Vận chuyển / Giao nhận / Kho vận</t>
        </is>
      </c>
      <c r="K18931" t="inlineStr">
        <is>
          <t>1 - 5 Năm</t>
        </is>
      </c>
      <c r="L18931" s="8">
        <f>HYPERLINK("https://careerviet.vn/vi/tim-viec-lam/facility-maintenance-technician-ky-thuat-vien-bao-tri.35C66B67.html","Xem chi tiết")</f>
        <v/>
      </c>
    </row>
    <row r="18932">
      <c r="B18932" s="9" t="n">
        <v>18930</v>
      </c>
      <c r="C18932" s="10" t="inlineStr">
        <is>
          <t>[DĨ AN] Giám Sát Rạp Chiếu Phim</t>
        </is>
      </c>
      <c r="D18932" s="10" t="inlineStr">
        <is>
          <t>CÔNG TY TNHH LOTTECINEMA VIỆT NAM</t>
        </is>
      </c>
      <c r="E18932" s="10" t="inlineStr">
        <is>
          <t>Lương:8 Tr - 10 Tr VND</t>
        </is>
      </c>
      <c r="F18932" s="10" t="inlineStr">
        <is>
          <t>Bình Dương</t>
        </is>
      </c>
      <c r="G18932" s="10" t="inlineStr">
        <is>
          <t>28-03-2026</t>
        </is>
      </c>
      <c r="H18932" s="10" t="inlineStr">
        <is>
          <t>28/03/2026</t>
        </is>
      </c>
      <c r="I18932" s="10" t="inlineStr">
        <is>
          <t>17/03/2026</t>
        </is>
      </c>
      <c r="J18932" s="10" t="inlineStr">
        <is>
          <t>Dịch vụ khách hàng, Nhà hàng / Khách sạn, Giải trí</t>
        </is>
      </c>
      <c r="K18932" s="10" t="inlineStr">
        <is>
          <t>N/A</t>
        </is>
      </c>
      <c r="L18932" s="11">
        <f>HYPERLINK("https://careerviet.vn/vi/tim-viec-lam/di-an-giam-sat-rap-chieu-phim.35C66C01.html","Xem chi tiết")</f>
        <v/>
      </c>
      <c r="M18932" s="10" t="n"/>
    </row>
    <row r="18933">
      <c r="B18933" s="7" t="n">
        <v>18931</v>
      </c>
      <c r="C18933" t="inlineStr">
        <is>
          <t>Power System Supervisor (Giám sát bảo trì hệ thống điện)</t>
        </is>
      </c>
      <c r="D18933" t="inlineStr">
        <is>
          <t>CÔNG TY TNHH MILLENNIUM FURNITURE</t>
        </is>
      </c>
      <c r="E18933" t="inlineStr">
        <is>
          <t>Lương:Cạnh tranh</t>
        </is>
      </c>
      <c r="F18933" t="inlineStr">
        <is>
          <t>Quảng Ngãi</t>
        </is>
      </c>
      <c r="G18933" t="inlineStr">
        <is>
          <t>28-03-2026</t>
        </is>
      </c>
      <c r="H18933" t="inlineStr">
        <is>
          <t>28/03/2026</t>
        </is>
      </c>
      <c r="I18933" t="inlineStr">
        <is>
          <t>17/03/2026</t>
        </is>
      </c>
      <c r="J18933" t="inlineStr">
        <is>
          <t>Điện / Điện tử / Điện lạnh / Điện công nghiệp</t>
        </is>
      </c>
      <c r="K18933" t="inlineStr">
        <is>
          <t>Trên 5 Năm</t>
        </is>
      </c>
      <c r="L18933" s="8">
        <f>HYPERLINK("https://careerviet.vn/vi/tim-viec-lam/power-system-supervisor-giam-sat-bao-tri-he-thong-dien.35C66B3E.html","Xem chi tiết")</f>
        <v/>
      </c>
    </row>
    <row r="18934">
      <c r="B18934" s="9" t="n">
        <v>18932</v>
      </c>
      <c r="C18934" s="10" t="inlineStr">
        <is>
          <t>Bình Phước - Chuyên viên Quan hệ Khách hàng cá nhân</t>
        </is>
      </c>
      <c r="D18934" s="10" t="inlineStr">
        <is>
          <t>Ngân hàng TMCP Lộc Phát Việt Nam (LPBank)</t>
        </is>
      </c>
      <c r="E18934" s="10" t="inlineStr">
        <is>
          <t>Lương:Cạnh tranh</t>
        </is>
      </c>
      <c r="F18934" s="10" t="inlineStr">
        <is>
          <t>Bình Phước</t>
        </is>
      </c>
      <c r="G18934" s="10" t="inlineStr">
        <is>
          <t>28-03-2026</t>
        </is>
      </c>
      <c r="H18934" s="10" t="inlineStr">
        <is>
          <t>28/03/2026</t>
        </is>
      </c>
      <c r="I18934" s="10" t="inlineStr">
        <is>
          <t>17/03/2026</t>
        </is>
      </c>
      <c r="J18934" s="10" t="inlineStr">
        <is>
          <t>Bán hàng / Kinh doanh, Kế toán / Kiểm toán, Ngân hàng</t>
        </is>
      </c>
      <c r="K18934" s="10" t="inlineStr">
        <is>
          <t>N/A</t>
        </is>
      </c>
      <c r="L18934" s="11">
        <f>HYPERLINK("https://careerviet.vn/vi/tim-viec-lam/binh-phuoc-chuyen-vien-quan-he-khach-hang-ca-nhan.35C66AB8.html","Xem chi tiết")</f>
        <v/>
      </c>
      <c r="M18934" s="10" t="n"/>
    </row>
    <row r="18935">
      <c r="B18935" s="7" t="n">
        <v>18933</v>
      </c>
      <c r="C18935" t="inlineStr">
        <is>
          <t>HO - Khối TT&amp;QTTC - CVCC/Chuyên gia Quản trị tài chính KHDN</t>
        </is>
      </c>
      <c r="D18935" t="inlineStr">
        <is>
          <t>Ngân hàng TMCP Lộc Phát Việt Nam (LPBank)</t>
        </is>
      </c>
      <c r="E18935" t="inlineStr">
        <is>
          <t>Lương:Cạnh tranh</t>
        </is>
      </c>
      <c r="F18935" t="inlineStr">
        <is>
          <t>Hà Nội</t>
        </is>
      </c>
      <c r="G18935" t="inlineStr">
        <is>
          <t>28-03-2026</t>
        </is>
      </c>
      <c r="H18935" t="inlineStr">
        <is>
          <t>28/03/2026</t>
        </is>
      </c>
      <c r="I18935" t="inlineStr">
        <is>
          <t>17/03/2026</t>
        </is>
      </c>
      <c r="J18935" t="inlineStr">
        <is>
          <t>Kế toán / Kiểm toán, Ngân hàng, Tài chính / Đầu tư</t>
        </is>
      </c>
      <c r="K18935" t="inlineStr">
        <is>
          <t>4 - 10 Năm</t>
        </is>
      </c>
      <c r="L18935" s="8">
        <f>HYPERLINK("https://careerviet.vn/vi/tim-viec-lam/ho-khoi-tt-qttc-cvcc-chuyen-gia-quan-tri-tai-chinh-khdn.35C66A60.html","Xem chi tiết")</f>
        <v/>
      </c>
    </row>
    <row r="18936">
      <c r="B18936" s="9" t="n">
        <v>18934</v>
      </c>
      <c r="C18936" s="10" t="inlineStr">
        <is>
          <t>TRÌNH DƯỢC VIÊN KHU VỰC LÂM ĐỒNG</t>
        </is>
      </c>
      <c r="D18936" s="10" t="inlineStr">
        <is>
          <t>CÔNG TY CỔ PHẦN DƯỢC PHẨM REVO</t>
        </is>
      </c>
      <c r="E18936" s="10" t="inlineStr">
        <is>
          <t>Lương:Cạnh tranh</t>
        </is>
      </c>
      <c r="F18936" s="10" t="inlineStr">
        <is>
          <t>Lâm Đồng</t>
        </is>
      </c>
      <c r="G18936" s="10" t="inlineStr">
        <is>
          <t>28-03-2026</t>
        </is>
      </c>
      <c r="H18936" s="10" t="inlineStr">
        <is>
          <t>28/03/2026</t>
        </is>
      </c>
      <c r="I18936" s="10" t="inlineStr">
        <is>
          <t>17/03/2026</t>
        </is>
      </c>
      <c r="J18936" s="10" t="inlineStr">
        <is>
          <t>Bán hàng / Kinh doanh, Dược phẩm/ Hóa Mỹ Phẩm, Tư vấn</t>
        </is>
      </c>
      <c r="K18936" s="10" t="inlineStr">
        <is>
          <t>Trên 1 Năm</t>
        </is>
      </c>
      <c r="L18936" s="11">
        <f>HYPERLINK("https://careerviet.vn/vi/tim-viec-lam/trinh-duoc-vien-khu-vuc-lam-dong.35C66B8B.html","Xem chi tiết")</f>
        <v/>
      </c>
      <c r="M18936" s="10" t="n"/>
    </row>
    <row r="18937">
      <c r="B18937" s="7" t="n">
        <v>18935</v>
      </c>
      <c r="C18937" t="inlineStr">
        <is>
          <t>Cylinder Warehouse Keeper (Nhân viên Kiểm Trục in)</t>
        </is>
      </c>
      <c r="D18937" t="inlineStr">
        <is>
          <t>Huhtamaki (Vietnam) Ltd.</t>
        </is>
      </c>
      <c r="E18937" t="inlineStr">
        <is>
          <t>Lương:8 Tr - 15 Tr VND</t>
        </is>
      </c>
      <c r="F18937" t="inlineStr">
        <is>
          <t>Bình Dương</t>
        </is>
      </c>
      <c r="G18937" t="inlineStr">
        <is>
          <t>28-03-2026</t>
        </is>
      </c>
      <c r="H18937" t="inlineStr">
        <is>
          <t>28/03/2026</t>
        </is>
      </c>
      <c r="I18937" t="inlineStr">
        <is>
          <t>17/03/2026</t>
        </is>
      </c>
      <c r="J18937" t="inlineStr">
        <is>
          <t>Vận chuyển / Giao nhận / Kho vận, Lao động phổ thông, Dệt may / Da giày / Thời trang</t>
        </is>
      </c>
      <c r="K18937" t="inlineStr">
        <is>
          <t>Chưa có kinh nghiệm</t>
        </is>
      </c>
      <c r="L18937" s="8">
        <f>HYPERLINK("https://careerviet.vn/vi/tim-viec-lam/cylinder-warehouse-keeper-nhan-vien-kiem-truc-in.35C66A6B.html","Xem chi tiết")</f>
        <v/>
      </c>
    </row>
    <row r="18938">
      <c r="B18938" s="9" t="n">
        <v>18936</v>
      </c>
      <c r="C18938" s="10" t="inlineStr">
        <is>
          <t>[HO HCM]  Chuyên gia Phòng Bán sản phẩm Thị trường tài chính</t>
        </is>
      </c>
      <c r="D18938" s="10" t="inlineStr">
        <is>
          <t>Ngân hàng TMCP Lộc Phát Việt Nam (LPBank)</t>
        </is>
      </c>
      <c r="E18938" s="10" t="inlineStr">
        <is>
          <t>Lương:Cạnh tranh</t>
        </is>
      </c>
      <c r="F18938" s="10" t="inlineStr">
        <is>
          <t>Hồ Chí Minh</t>
        </is>
      </c>
      <c r="G18938" s="10" t="inlineStr">
        <is>
          <t>28-03-2026</t>
        </is>
      </c>
      <c r="H18938" s="10" t="inlineStr">
        <is>
          <t>28/03/2026</t>
        </is>
      </c>
      <c r="I18938" s="10" t="inlineStr">
        <is>
          <t>17/03/2026</t>
        </is>
      </c>
      <c r="J18938" s="10" t="inlineStr">
        <is>
          <t>Bán hàng / Kinh doanh, Kế toán / Kiểm toán, Ngân hàng</t>
        </is>
      </c>
      <c r="K18938" s="10" t="inlineStr">
        <is>
          <t>Trên 5 Năm</t>
        </is>
      </c>
      <c r="L18938" s="11">
        <f>HYPERLINK("https://careerviet.vn/vi/tim-viec-lam/ho-hcm-chuyen-gia-phong-ban-san-pham-thi-truong-tai-chinh.35C66BBE.html","Xem chi tiết")</f>
        <v/>
      </c>
      <c r="M18938" s="10" t="n"/>
    </row>
    <row r="18939">
      <c r="B18939" s="7" t="n">
        <v>18937</v>
      </c>
      <c r="C18939" t="inlineStr">
        <is>
          <t>NHÂN VIÊN NHẬP LIỆU</t>
        </is>
      </c>
      <c r="D18939" t="inlineStr">
        <is>
          <t>CÔNG TY TNHH CRYSTAL ELEGANCE TEXTILES VIỆT NAM</t>
        </is>
      </c>
      <c r="E18939" t="inlineStr">
        <is>
          <t>Lương:7 Tr - 9 Tr VND</t>
        </is>
      </c>
      <c r="F18939" t="inlineStr">
        <is>
          <t>Bình Dương</t>
        </is>
      </c>
      <c r="G18939" t="inlineStr">
        <is>
          <t>28-03-2026</t>
        </is>
      </c>
      <c r="H18939" t="inlineStr">
        <is>
          <t>28/03/2026</t>
        </is>
      </c>
      <c r="I18939" t="inlineStr">
        <is>
          <t>17/03/2026</t>
        </is>
      </c>
      <c r="J18939" t="inlineStr">
        <is>
          <t>Thống kê, Sản xuất / Vận hành sản xuất, Dệt may / Da giày / Thời trang</t>
        </is>
      </c>
      <c r="K18939" t="inlineStr">
        <is>
          <t>N/A</t>
        </is>
      </c>
      <c r="L18939" s="8">
        <f>HYPERLINK("https://careerviet.vn/vi/tim-viec-lam/nhan-vien-nhap-lieu.35C66B9B.html","Xem chi tiết")</f>
        <v/>
      </c>
    </row>
    <row r="18940">
      <c r="B18940" s="9" t="n">
        <v>18938</v>
      </c>
      <c r="C18940" s="10" t="inlineStr">
        <is>
          <t>Talent Acquisition</t>
        </is>
      </c>
      <c r="D18940" s="10" t="inlineStr">
        <is>
          <t>Công ty cổ phần Nu Việt Nam</t>
        </is>
      </c>
      <c r="E18940" s="10" t="inlineStr">
        <is>
          <t>Lương:Cạnh tranh</t>
        </is>
      </c>
      <c r="F18940" s="10" t="inlineStr">
        <is>
          <t>Hà Nội</t>
        </is>
      </c>
      <c r="G18940" s="10" t="inlineStr">
        <is>
          <t>28-03-2026</t>
        </is>
      </c>
      <c r="H18940" s="10" t="inlineStr">
        <is>
          <t>28/03/2026</t>
        </is>
      </c>
      <c r="I18940" s="10" t="inlineStr">
        <is>
          <t>17/03/2026</t>
        </is>
      </c>
      <c r="J18940" s="10" t="inlineStr">
        <is>
          <t>Hành chính / Thư ký, Nhân sự, Dệt may / Da giày / Thời trang</t>
        </is>
      </c>
      <c r="K18940" s="10" t="inlineStr">
        <is>
          <t>Trên 3 Năm</t>
        </is>
      </c>
      <c r="L18940" s="11">
        <f>HYPERLINK("https://careerviet.vn/vi/tim-viec-lam/talent-acquisition.35C66882.html","Xem chi tiết")</f>
        <v/>
      </c>
      <c r="M18940" s="10" t="n"/>
    </row>
    <row r="18941">
      <c r="B18941" s="7" t="n">
        <v>18939</v>
      </c>
      <c r="C18941" t="inlineStr">
        <is>
          <t>Chuyên viên/ Chuyên viên cao cấp SEO</t>
        </is>
      </c>
      <c r="D18941" t="inlineStr">
        <is>
          <t>CÔNG TY CỔ PHẦN CHỨNG KHOÁN ASEAN</t>
        </is>
      </c>
      <c r="E18941" t="inlineStr">
        <is>
          <t>Lương:Cạnh tranh</t>
        </is>
      </c>
      <c r="F18941" t="inlineStr">
        <is>
          <t>Hà Nội</t>
        </is>
      </c>
      <c r="G18941" t="inlineStr">
        <is>
          <t>28-03-2026</t>
        </is>
      </c>
      <c r="H18941" t="inlineStr">
        <is>
          <t>28/03/2026</t>
        </is>
      </c>
      <c r="I18941" t="inlineStr">
        <is>
          <t>17/03/2026</t>
        </is>
      </c>
      <c r="J18941" t="inlineStr">
        <is>
          <t>Tiếp thị / Marketing, Chứng khoán, Ngân hàng</t>
        </is>
      </c>
      <c r="K18941" t="inlineStr">
        <is>
          <t>Trên 3 Năm</t>
        </is>
      </c>
      <c r="L18941" s="8">
        <f>HYPERLINK("https://careerviet.vn/vi/tim-viec-lam/chuyen-vien-chuyen-vien-cao-cap-seo.35C66939.html","Xem chi tiết")</f>
        <v/>
      </c>
    </row>
    <row r="18942">
      <c r="B18942" s="9" t="n">
        <v>18940</v>
      </c>
      <c r="C18942" s="10" t="inlineStr">
        <is>
          <t>Chuyên viên Vận hành thẻ</t>
        </is>
      </c>
      <c r="D18942" s="10" t="inlineStr">
        <is>
          <t>LOTTE FINANCE VIETNAM</t>
        </is>
      </c>
      <c r="E18942" s="10" t="inlineStr">
        <is>
          <t>Lương:Cạnh tranh</t>
        </is>
      </c>
      <c r="F18942" s="10" t="inlineStr">
        <is>
          <t>Hà Nội</t>
        </is>
      </c>
      <c r="G18942" s="10" t="inlineStr">
        <is>
          <t>28-03-2026</t>
        </is>
      </c>
      <c r="H18942" s="10" t="inlineStr">
        <is>
          <t>28/03/2026</t>
        </is>
      </c>
      <c r="I18942" s="10" t="inlineStr">
        <is>
          <t>17/03/2026</t>
        </is>
      </c>
      <c r="J18942" s="10" t="inlineStr">
        <is>
          <t>Chứng khoán, Ngân hàng, Tài chính / Đầu tư</t>
        </is>
      </c>
      <c r="K18942" s="10" t="inlineStr">
        <is>
          <t>Trên 1 Năm</t>
        </is>
      </c>
      <c r="L18942" s="11">
        <f>HYPERLINK("https://careerviet.vn/vi/tim-viec-lam/chuyen-vien-van-hanh-the.35C66AFA.html","Xem chi tiết")</f>
        <v/>
      </c>
      <c r="M18942" s="10" t="n"/>
    </row>
    <row r="18943">
      <c r="B18943" s="7" t="n">
        <v>18941</v>
      </c>
      <c r="C18943" t="inlineStr">
        <is>
          <t>kinh doanh</t>
        </is>
      </c>
      <c r="D18943" t="inlineStr">
        <is>
          <t>Công ty Cổ Phần Thảo Mộc Xanh</t>
        </is>
      </c>
      <c r="E18943" t="inlineStr">
        <is>
          <t>Lương:Cạnh tranh</t>
        </is>
      </c>
      <c r="F18943" t="inlineStr">
        <is>
          <t>Hồ Chí Minh</t>
        </is>
      </c>
      <c r="G18943" t="inlineStr">
        <is>
          <t>28-03-2026</t>
        </is>
      </c>
      <c r="H18943" t="inlineStr">
        <is>
          <t>28/03/2026</t>
        </is>
      </c>
      <c r="I18943" t="inlineStr">
        <is>
          <t>17/03/2026</t>
        </is>
      </c>
      <c r="J18943" t="inlineStr">
        <is>
          <t>Tiếp thị / Marketing, Bán lẻ / Bán sỉ, Bán hàng / Kinh doanh</t>
        </is>
      </c>
      <c r="K18943" t="inlineStr">
        <is>
          <t>N/A</t>
        </is>
      </c>
      <c r="L18943" s="8">
        <f>HYPERLINK("https://careerviet.vn/vi/tim-viec-lam/kinh-doanh.35C66C2E.html","Xem chi tiết")</f>
        <v/>
      </c>
    </row>
    <row r="18944">
      <c r="B18944" s="9" t="n">
        <v>18942</v>
      </c>
      <c r="C18944" s="10" t="inlineStr">
        <is>
          <t>Trưởng nhóm Kỹ thuật</t>
        </is>
      </c>
      <c r="D18944" s="10" t="inlineStr">
        <is>
          <t>CÔNG TY CỔ PHẦN THIẾT KẾ &amp; XÂY DỰNG BISCONS VIỆT NAM</t>
        </is>
      </c>
      <c r="E18944" s="10" t="inlineStr">
        <is>
          <t>Lương:20 Tr - 25 Tr VND</t>
        </is>
      </c>
      <c r="F18944" s="10" t="inlineStr">
        <is>
          <t>Hồ Chí Minh</t>
        </is>
      </c>
      <c r="G18944" s="10" t="inlineStr">
        <is>
          <t>29-03-2026</t>
        </is>
      </c>
      <c r="H18944" s="10" t="inlineStr">
        <is>
          <t>29/03/2026</t>
        </is>
      </c>
      <c r="I18944" s="10" t="inlineStr">
        <is>
          <t>17/03/2026</t>
        </is>
      </c>
      <c r="J18944" s="10" t="inlineStr">
        <is>
          <t>Kiến trúc, Xây dựng, Nội ngoại thất</t>
        </is>
      </c>
      <c r="K18944" s="10" t="inlineStr">
        <is>
          <t>3 - 5 Năm</t>
        </is>
      </c>
      <c r="L18944" s="11">
        <f>HYPERLINK("https://careerviet.vn/vi/tim-viec-lam/truong-nhom-ky-thuat.35C66DC9.html","Xem chi tiết")</f>
        <v/>
      </c>
      <c r="M18944" s="10" t="n"/>
    </row>
    <row r="18945">
      <c r="B18945" s="7" t="n">
        <v>18943</v>
      </c>
      <c r="C18945" t="inlineStr">
        <is>
          <t>Nhân viên tài chính</t>
        </is>
      </c>
      <c r="D18945" t="inlineStr">
        <is>
          <t>Công ty Cổ Phần Thực Phẩm Vĩnh Tân</t>
        </is>
      </c>
      <c r="E18945" t="inlineStr">
        <is>
          <t>Lương:8 Tr - 10 Tr VND</t>
        </is>
      </c>
      <c r="F18945" t="inlineStr">
        <is>
          <t>Hồ Chí Minh</t>
        </is>
      </c>
      <c r="G18945" t="inlineStr">
        <is>
          <t>28-03-2026</t>
        </is>
      </c>
      <c r="H18945" t="inlineStr">
        <is>
          <t>28/03/2026</t>
        </is>
      </c>
      <c r="I18945" t="inlineStr">
        <is>
          <t>17/03/2026</t>
        </is>
      </c>
      <c r="J18945" t="inlineStr">
        <is>
          <t>Kế toán / Kiểm toán, Tài chính / Đầu tư</t>
        </is>
      </c>
      <c r="K18945" t="inlineStr">
        <is>
          <t>1 - 3 Năm</t>
        </is>
      </c>
      <c r="L18945" s="8">
        <f>HYPERLINK("https://careerviet.vn/vi/tim-viec-lam/nhan-vien-tai-chinh.35C66B40.html","Xem chi tiết")</f>
        <v/>
      </c>
    </row>
    <row r="18946">
      <c r="B18946" s="9" t="n">
        <v>18944</v>
      </c>
      <c r="C18946" s="10" t="inlineStr">
        <is>
          <t>NHÂN VIÊN CHĂM SÓC KHÁCH HÀNG SAU VAY TẠI ĐÀ NẴNG</t>
        </is>
      </c>
      <c r="D18946" s="10" t="inlineStr">
        <is>
          <t>Công Ty TNHH Call Center Việt Nam</t>
        </is>
      </c>
      <c r="E18946" s="10" t="inlineStr">
        <is>
          <t>Lương:9 Tr - 25 Tr VND</t>
        </is>
      </c>
      <c r="F18946" s="10" t="inlineStr">
        <is>
          <t>Đà Nẵng</t>
        </is>
      </c>
      <c r="G18946" s="10" t="inlineStr">
        <is>
          <t>28-03-2026</t>
        </is>
      </c>
      <c r="H18946" s="10" t="inlineStr">
        <is>
          <t>28/03/2026</t>
        </is>
      </c>
      <c r="I18946" s="10" t="inlineStr">
        <is>
          <t>17/03/2026</t>
        </is>
      </c>
      <c r="J18946" s="10" t="inlineStr">
        <is>
          <t>Tư vấn, Dịch vụ khách hàng, Luật / Pháp lý</t>
        </is>
      </c>
      <c r="K18946" s="10" t="inlineStr">
        <is>
          <t>Chưa có kinh nghiệm</t>
        </is>
      </c>
      <c r="L18946" s="11">
        <f>HYPERLINK("https://careerviet.vn/vi/tim-viec-lam/nhan-vien-cham-soc-khach-hang-sau-vay-tai-da-nang.35C66AE6.html","Xem chi tiết")</f>
        <v/>
      </c>
      <c r="M18946" s="10" t="n"/>
    </row>
    <row r="18947">
      <c r="B18947" s="7" t="n">
        <v>18945</v>
      </c>
      <c r="C18947" t="inlineStr">
        <is>
          <t>Giám Sát Xây Dựng</t>
        </is>
      </c>
      <c r="D18947" t="inlineStr">
        <is>
          <t>Công ty Cổ phần Đầu tư Xây dựng Ricons</t>
        </is>
      </c>
      <c r="E18947" t="inlineStr">
        <is>
          <t>Lương:Cạnh tranh</t>
        </is>
      </c>
      <c r="F18947" t="inlineStr">
        <is>
          <t>Hà NộiHồ Chí Minh</t>
        </is>
      </c>
      <c r="G18947" t="inlineStr">
        <is>
          <t>29-03-2026</t>
        </is>
      </c>
      <c r="H18947" t="inlineStr">
        <is>
          <t>29/03/2026</t>
        </is>
      </c>
      <c r="I18947" t="inlineStr">
        <is>
          <t>17/03/2026</t>
        </is>
      </c>
      <c r="J18947" t="inlineStr">
        <is>
          <t>Kiến trúc, Xây dựng</t>
        </is>
      </c>
      <c r="K18947" t="inlineStr">
        <is>
          <t>N/A</t>
        </is>
      </c>
      <c r="L18947" s="8">
        <f>HYPERLINK("https://careerviet.vn/vi/tim-viec-lam/giam-sat-xay-dung.35C640EA.html","Xem chi tiết")</f>
        <v/>
      </c>
    </row>
    <row r="18948">
      <c r="B18948" s="9" t="n">
        <v>18946</v>
      </c>
      <c r="C18948" s="10" t="inlineStr">
        <is>
          <t>Nhân viên chính thức trực Tổng đài nhà mạng Viettel Đà Nẵng</t>
        </is>
      </c>
      <c r="D18948" s="10" t="inlineStr">
        <is>
          <t>BellSystem24-Việt Nam</t>
        </is>
      </c>
      <c r="E18948" s="10" t="inlineStr">
        <is>
          <t>Lương:5 Tr - 8 Tr VND</t>
        </is>
      </c>
      <c r="F18948" s="10" t="inlineStr">
        <is>
          <t>Đà Nẵng</t>
        </is>
      </c>
      <c r="G18948" s="10" t="inlineStr">
        <is>
          <t>28-03-2026</t>
        </is>
      </c>
      <c r="H18948" s="10" t="inlineStr">
        <is>
          <t>28/03/2026</t>
        </is>
      </c>
      <c r="I18948" s="10" t="inlineStr">
        <is>
          <t>17/03/2026</t>
        </is>
      </c>
      <c r="J18948" s="10" t="inlineStr">
        <is>
          <t>Tư vấn, Dịch vụ khách hàng, Lao động phổ thông</t>
        </is>
      </c>
      <c r="K18948" s="10" t="inlineStr">
        <is>
          <t>N/A</t>
        </is>
      </c>
      <c r="L18948" s="11">
        <f>HYPERLINK("https://careerviet.vn/vi/tim-viec-lam/nhan-vien-chinh-thuc-truc-tong-dai-nha-mang-viettel-da-nang.35C66A9F.html","Xem chi tiết")</f>
        <v/>
      </c>
      <c r="M18948" s="10" t="n"/>
    </row>
    <row r="18949">
      <c r="B18949" s="7" t="n">
        <v>18947</v>
      </c>
      <c r="C18949" t="inlineStr">
        <is>
          <t>Kỹ Sư Shopdrawing Q1</t>
        </is>
      </c>
      <c r="D18949" t="inlineStr">
        <is>
          <t>Công Ty CP Xây Dựng Số 1 (COFICO)</t>
        </is>
      </c>
      <c r="E18949" t="inlineStr">
        <is>
          <t>Lương:15 Tr - 25 Tr VND</t>
        </is>
      </c>
      <c r="F18949" t="inlineStr">
        <is>
          <t>Hồ Chí Minh</t>
        </is>
      </c>
      <c r="G18949" t="inlineStr">
        <is>
          <t>28-03-2026</t>
        </is>
      </c>
      <c r="H18949" t="inlineStr">
        <is>
          <t>28/03/2026</t>
        </is>
      </c>
      <c r="I18949" t="inlineStr">
        <is>
          <t>17/03/2026</t>
        </is>
      </c>
      <c r="J18949" t="inlineStr">
        <is>
          <t>Xây dựng</t>
        </is>
      </c>
      <c r="K18949" t="inlineStr">
        <is>
          <t>3 - 5 Năm</t>
        </is>
      </c>
      <c r="L18949" s="8">
        <f>HYPERLINK("https://careerviet.vn/vi/tim-viec-lam/ky-su-shopdrawing-q1.35C66C13.html","Xem chi tiết")</f>
        <v/>
      </c>
    </row>
    <row r="18950">
      <c r="B18950" s="9" t="n">
        <v>18948</v>
      </c>
      <c r="C18950" s="10" t="inlineStr">
        <is>
          <t>Kỹ sư CNTT</t>
        </is>
      </c>
      <c r="D18950" s="10" t="inlineStr">
        <is>
          <t>thanhchi Ltd</t>
        </is>
      </c>
      <c r="E18950" s="10" t="inlineStr">
        <is>
          <t>Lương:5 Tr - 10 Tr VND</t>
        </is>
      </c>
      <c r="F18950" s="10" t="inlineStr">
        <is>
          <t>Hà Nội</t>
        </is>
      </c>
      <c r="G18950" s="10" t="inlineStr">
        <is>
          <t>28-03-2026</t>
        </is>
      </c>
      <c r="H18950" s="10" t="inlineStr">
        <is>
          <t>28/03/2026</t>
        </is>
      </c>
      <c r="I18950" s="10" t="inlineStr">
        <is>
          <t>17/03/2026</t>
        </is>
      </c>
      <c r="J18950" s="10" t="inlineStr">
        <is>
          <t>CNTT - Phần mềm, CNTT - Phần cứng / Mạng</t>
        </is>
      </c>
      <c r="K18950" s="10" t="inlineStr">
        <is>
          <t>N/A</t>
        </is>
      </c>
      <c r="L18950" s="11">
        <f>HYPERLINK("https://careerviet.vn/vi/tim-viec-lam/ky-su-cntt.35C66BA3.html","Xem chi tiết")</f>
        <v/>
      </c>
      <c r="M18950" s="10" t="n"/>
    </row>
    <row r="18951">
      <c r="B18951" s="7" t="n">
        <v>18949</v>
      </c>
      <c r="C18951" t="inlineStr">
        <is>
          <t>Ecommerce Sales &amp; Operation Supervisor</t>
        </is>
      </c>
      <c r="D18951" t="inlineStr">
        <is>
          <t>Công Ty Cổ Phần Thời Trang &amp; Mỹ Phẩm Duy Anh (DAFC)</t>
        </is>
      </c>
      <c r="E18951" t="inlineStr">
        <is>
          <t>Lương:Cạnh tranh</t>
        </is>
      </c>
      <c r="F18951" t="inlineStr">
        <is>
          <t>Hồ Chí Minh</t>
        </is>
      </c>
      <c r="G18951" t="inlineStr">
        <is>
          <t>28-03-2026</t>
        </is>
      </c>
      <c r="H18951" t="inlineStr">
        <is>
          <t>28/03/2026</t>
        </is>
      </c>
      <c r="I18951" t="inlineStr">
        <is>
          <t>17/03/2026</t>
        </is>
      </c>
      <c r="J18951" t="inlineStr">
        <is>
          <t>Tiếp thị trực tuyến, Thương mại điện tử, Dệt may / Da giày / Thời trang</t>
        </is>
      </c>
      <c r="K18951" t="inlineStr">
        <is>
          <t>Trên 2 Năm</t>
        </is>
      </c>
      <c r="L18951" s="8">
        <f>HYPERLINK("https://careerviet.vn/vi/tim-viec-lam/ecommerce-sales-operation-supervisor.35C66B9C.html","Xem chi tiết")</f>
        <v/>
      </c>
    </row>
    <row r="18952">
      <c r="B18952" s="9" t="n">
        <v>18950</v>
      </c>
      <c r="C18952" s="10" t="inlineStr">
        <is>
          <t>QC Manager</t>
        </is>
      </c>
      <c r="D18952" s="10" t="inlineStr">
        <is>
          <t>Công Ty Cổ Phần Sinh Hóa Quốc Tế</t>
        </is>
      </c>
      <c r="E18952" s="10" t="inlineStr">
        <is>
          <t>Lương:35 Tr - 50 Tr VND</t>
        </is>
      </c>
      <c r="F18952" s="10" t="inlineStr">
        <is>
          <t>Bình Dương</t>
        </is>
      </c>
      <c r="G18952" s="10" t="inlineStr">
        <is>
          <t>28-03-2026</t>
        </is>
      </c>
      <c r="H18952" s="10" t="inlineStr">
        <is>
          <t>28/03/2026</t>
        </is>
      </c>
      <c r="I18952" s="10" t="inlineStr">
        <is>
          <t>17/03/2026</t>
        </is>
      </c>
      <c r="J18952" s="10" t="inlineStr">
        <is>
          <t>Hóa học, Sản xuất / Vận hành sản xuất, Quản lý chất lượng (QA/QC)</t>
        </is>
      </c>
      <c r="K18952" s="10" t="inlineStr">
        <is>
          <t>5 - 8 Năm</t>
        </is>
      </c>
      <c r="L18952" s="11">
        <f>HYPERLINK("https://careerviet.vn/vi/tim-viec-lam/qc-manager.35C66BEC.html","Xem chi tiết")</f>
        <v/>
      </c>
      <c r="M18952" s="10" t="n"/>
    </row>
    <row r="18953">
      <c r="B18953" s="7" t="n">
        <v>18951</v>
      </c>
      <c r="C18953" t="inlineStr">
        <is>
          <t>CHUYÊN VIÊN MUA HÀNG [CƠ KHÍ -  CỦ CHI]</t>
        </is>
      </c>
      <c r="D18953" t="inlineStr">
        <is>
          <t>CÔNG TY CP SAIGON AUTO SUPPORTING INDUSTRY</t>
        </is>
      </c>
      <c r="E18953" t="inlineStr">
        <is>
          <t>Lương:Cạnh tranh</t>
        </is>
      </c>
      <c r="F18953" t="inlineStr">
        <is>
          <t>Hồ Chí Minh</t>
        </is>
      </c>
      <c r="G18953" t="inlineStr">
        <is>
          <t>28-03-2026</t>
        </is>
      </c>
      <c r="H18953" t="inlineStr">
        <is>
          <t>28/03/2026</t>
        </is>
      </c>
      <c r="I18953" t="inlineStr">
        <is>
          <t>17/03/2026</t>
        </is>
      </c>
      <c r="J18953" t="inlineStr">
        <is>
          <t>Cơ khí / Ô tô / Tự động hóa, Thu mua / Vật tư, Bán Hàng Kỹ Thuật</t>
        </is>
      </c>
      <c r="K18953" t="inlineStr">
        <is>
          <t>2 - 5 Năm</t>
        </is>
      </c>
      <c r="L18953" s="8">
        <f>HYPERLINK("https://careerviet.vn/vi/tim-viec-lam/chuyen-vien-mua-hang-co-khi-cu-chi.35C66B75.html","Xem chi tiết")</f>
        <v/>
      </c>
    </row>
    <row r="18954">
      <c r="B18954" s="9" t="n">
        <v>18952</v>
      </c>
      <c r="C18954" s="10" t="inlineStr">
        <is>
          <t>Chuyên Viên Cao Cấp Quan Hệ Khách Hàng Ưu Tiên - TP.HCM, Đà Nẵng, Huế - ID1267</t>
        </is>
      </c>
      <c r="D18954" s="10" t="inlineStr">
        <is>
          <t>Ngân Hàng TMCP Việt Nam Thịnh Vượng - VPBANK</t>
        </is>
      </c>
      <c r="E18954" s="10" t="inlineStr">
        <is>
          <t>Lương:Cạnh tranh</t>
        </is>
      </c>
      <c r="F18954" s="10" t="inlineStr">
        <is>
          <t>Hồ Chí MinhĐà NẵngThừa Thiên- Huế</t>
        </is>
      </c>
      <c r="G18954" s="10" t="inlineStr">
        <is>
          <t>29-03-2026</t>
        </is>
      </c>
      <c r="H18954" s="10" t="inlineStr">
        <is>
          <t>29/03/2026</t>
        </is>
      </c>
      <c r="I18954" s="10" t="inlineStr">
        <is>
          <t>17/03/2026</t>
        </is>
      </c>
      <c r="J18954" s="10" t="inlineStr">
        <is>
          <t>Bán hàng / Kinh doanh, Ngân hàng</t>
        </is>
      </c>
      <c r="K18954" s="10" t="inlineStr">
        <is>
          <t>1 - 2 Năm</t>
        </is>
      </c>
      <c r="L18954" s="11">
        <f>HYPERLINK("https://careerviet.vn/vi/tim-viec-lam/chuyen-vien-cao-cap-quan-he-khach-hang-uu-tien-tp-hcm-da-nang-hue-id1267.35C66D61.html","Xem chi tiết")</f>
        <v/>
      </c>
      <c r="M18954" s="10" t="n"/>
    </row>
    <row r="18955">
      <c r="B18955" s="7" t="n">
        <v>18953</v>
      </c>
      <c r="C18955" t="inlineStr">
        <is>
          <t>Chuyên viên Chính Content Marketing</t>
        </is>
      </c>
      <c r="D18955" t="inlineStr">
        <is>
          <t>CÔNG TY CỔ PHẦN CHỨNG KHOÁN ASEAN</t>
        </is>
      </c>
      <c r="E18955" t="inlineStr">
        <is>
          <t>Lương:Cạnh tranh</t>
        </is>
      </c>
      <c r="F18955" t="inlineStr">
        <is>
          <t>Hà Nội</t>
        </is>
      </c>
      <c r="G18955" t="inlineStr">
        <is>
          <t>29-03-2026</t>
        </is>
      </c>
      <c r="H18955" t="inlineStr">
        <is>
          <t>29/03/2026</t>
        </is>
      </c>
      <c r="I18955" t="inlineStr">
        <is>
          <t>17/03/2026</t>
        </is>
      </c>
      <c r="J18955" t="inlineStr">
        <is>
          <t>Tiếp thị / Marketing, Truyền hình / Báo chí / Biên tập, Quảng cáo / Đối ngoại / Truyền Thông</t>
        </is>
      </c>
      <c r="K18955" t="inlineStr">
        <is>
          <t>Trên 2 Năm</t>
        </is>
      </c>
      <c r="L18955" s="8">
        <f>HYPERLINK("https://careerviet.vn/vi/tim-viec-lam/chuyen-vien-chinh-content-marketing.35C642BF.html","Xem chi tiết")</f>
        <v/>
      </c>
    </row>
    <row r="18956">
      <c r="B18956" s="9" t="n">
        <v>18954</v>
      </c>
      <c r="C18956" s="10" t="inlineStr">
        <is>
          <t>Trưởng phòng chọn thầu  (Chủ đầu tư BĐS)</t>
        </is>
      </c>
      <c r="D18956" s="10" t="inlineStr">
        <is>
          <t>Công Ty CP Đầu Tư IMG</t>
        </is>
      </c>
      <c r="E18956" s="10" t="inlineStr">
        <is>
          <t>Lương:35 Tr - 45 Tr VND</t>
        </is>
      </c>
      <c r="F18956" s="10" t="inlineStr">
        <is>
          <t>Hồ Chí Minh</t>
        </is>
      </c>
      <c r="G18956" s="10" t="inlineStr">
        <is>
          <t>29-03-2026</t>
        </is>
      </c>
      <c r="H18956" s="10" t="inlineStr">
        <is>
          <t>29/03/2026</t>
        </is>
      </c>
      <c r="I18956" s="10" t="inlineStr">
        <is>
          <t>17/03/2026</t>
        </is>
      </c>
      <c r="J18956" s="10" t="inlineStr">
        <is>
          <t>Xây dựng, Bất động sản</t>
        </is>
      </c>
      <c r="K18956" s="10" t="inlineStr">
        <is>
          <t>5 - 10 Năm</t>
        </is>
      </c>
      <c r="L18956" s="11">
        <f>HYPERLINK("https://careerviet.vn/vi/tim-viec-lam/truong-phong-chon-thau-chu-dau-tu-bds.35C64127.html","Xem chi tiết")</f>
        <v/>
      </c>
      <c r="M18956" s="10" t="n"/>
    </row>
    <row r="18957">
      <c r="B18957" s="7" t="n">
        <v>18955</v>
      </c>
      <c r="C18957" t="inlineStr">
        <is>
          <t>Chuyên Viên QS (Mảng MEP)</t>
        </is>
      </c>
      <c r="D18957" t="inlineStr">
        <is>
          <t>CÔNG TY CỔ PHẦN TẬP ĐOÀN ONSEN FUJI</t>
        </is>
      </c>
      <c r="E18957" t="inlineStr">
        <is>
          <t>Lương:23 Tr - 27 Tr VND</t>
        </is>
      </c>
      <c r="F18957" t="inlineStr">
        <is>
          <t>Hà Nội</t>
        </is>
      </c>
      <c r="G18957" t="inlineStr">
        <is>
          <t>28-03-2026</t>
        </is>
      </c>
      <c r="H18957" t="inlineStr">
        <is>
          <t>28/03/2026</t>
        </is>
      </c>
      <c r="I18957" t="inlineStr">
        <is>
          <t>17/03/2026</t>
        </is>
      </c>
      <c r="J18957" t="inlineStr">
        <is>
          <t>Điện / Điện tử / Điện lạnh / Điện công nghiệp, Xây dựng, Bất động sản</t>
        </is>
      </c>
      <c r="K18957" t="inlineStr">
        <is>
          <t>Trên 10 Năm</t>
        </is>
      </c>
      <c r="L18957" s="8">
        <f>HYPERLINK("https://careerviet.vn/vi/tim-viec-lam/chuyen-vien-qs-mang-mep.35C66B9A.html","Xem chi tiết")</f>
        <v/>
      </c>
    </row>
    <row r="18958">
      <c r="B18958" s="9" t="n">
        <v>18956</v>
      </c>
      <c r="C18958" s="10" t="inlineStr">
        <is>
          <t>Trình dược viên (TPCN/dược phẩm)</t>
        </is>
      </c>
      <c r="D18958" s="10" t="inlineStr">
        <is>
          <t>Công ty cổ phần HaMo Holdings</t>
        </is>
      </c>
      <c r="E18958" s="10" t="inlineStr">
        <is>
          <t>Lương:Trên 15 Tr VND</t>
        </is>
      </c>
      <c r="F18958" s="10" t="inlineStr">
        <is>
          <t>Hồ Chí Minh</t>
        </is>
      </c>
      <c r="G18958" s="10" t="inlineStr">
        <is>
          <t>29-03-2026</t>
        </is>
      </c>
      <c r="H18958" s="10" t="inlineStr">
        <is>
          <t>29/03/2026</t>
        </is>
      </c>
      <c r="I18958" s="10" t="inlineStr">
        <is>
          <t>17/03/2026</t>
        </is>
      </c>
      <c r="J18958" s="10" t="inlineStr">
        <is>
          <t>Dược phẩm/ Hóa Mỹ Phẩm, Y tế / Chăm sóc sức khỏe / Thẩm mỹ / Làm đẹp</t>
        </is>
      </c>
      <c r="K18958" s="10" t="inlineStr">
        <is>
          <t>Trên 1 Năm</t>
        </is>
      </c>
      <c r="L18958" s="11">
        <f>HYPERLINK("https://careerviet.vn/vi/tim-viec-lam/trinh-duoc-vien-tpcn-duoc-pham.35C64295.html","Xem chi tiết")</f>
        <v/>
      </c>
      <c r="M18958" s="10" t="n"/>
    </row>
    <row r="18959">
      <c r="B18959" s="7" t="n">
        <v>18957</v>
      </c>
      <c r="C18959" t="inlineStr">
        <is>
          <t>Nhân viên vận hành sàn TMĐT</t>
        </is>
      </c>
      <c r="D18959" t="inlineStr">
        <is>
          <t>Công ty CP Toshiko Việt Nam</t>
        </is>
      </c>
      <c r="E18959" t="inlineStr">
        <is>
          <t>Lương:8 Tr - 15 Tr VND</t>
        </is>
      </c>
      <c r="F18959" t="inlineStr">
        <is>
          <t>Hà Nội</t>
        </is>
      </c>
      <c r="G18959" t="inlineStr">
        <is>
          <t>29-03-2026</t>
        </is>
      </c>
      <c r="H18959" t="inlineStr">
        <is>
          <t>29/03/2026</t>
        </is>
      </c>
      <c r="I18959" t="inlineStr">
        <is>
          <t>17/03/2026</t>
        </is>
      </c>
      <c r="J18959" t="inlineStr">
        <is>
          <t>Tiếp thị / Marketing, Truyền hình / Báo chí / Biên tập, Quảng cáo / Đối ngoại / Truyền Thông</t>
        </is>
      </c>
      <c r="K18959" t="inlineStr">
        <is>
          <t>Trên 1 Năm</t>
        </is>
      </c>
      <c r="L18959" s="8">
        <f>HYPERLINK("https://careerviet.vn/vi/tim-viec-lam/nhan-vien-van-hanh-san-tmdt.35C66CD4.html","Xem chi tiết")</f>
        <v/>
      </c>
    </row>
    <row r="18960">
      <c r="B18960" s="9" t="n">
        <v>18958</v>
      </c>
      <c r="C18960" s="10" t="inlineStr">
        <is>
          <t>Nhân viên Sale Admin</t>
        </is>
      </c>
      <c r="D18960" s="10" t="inlineStr">
        <is>
          <t>CÔNG TY CỔ PHẦN TRANG THIẾT BỊ Y TẾ ĐỨC TÍN</t>
        </is>
      </c>
      <c r="E18960" s="10" t="inlineStr">
        <is>
          <t>Lương:8 Tr - 11 Tr VND</t>
        </is>
      </c>
      <c r="F18960" s="10" t="inlineStr">
        <is>
          <t>Hà Nội</t>
        </is>
      </c>
      <c r="G18960" s="10" t="inlineStr">
        <is>
          <t>28-03-2026</t>
        </is>
      </c>
      <c r="H18960" s="10" t="inlineStr">
        <is>
          <t>28/03/2026</t>
        </is>
      </c>
      <c r="I18960" s="10" t="inlineStr">
        <is>
          <t>17/03/2026</t>
        </is>
      </c>
      <c r="J18960" s="10" t="inlineStr">
        <is>
          <t>Y tế / Chăm sóc sức khỏe / Thẩm mỹ / Làm đẹp</t>
        </is>
      </c>
      <c r="K18960" s="10" t="inlineStr">
        <is>
          <t>N/A</t>
        </is>
      </c>
      <c r="L18960" s="11">
        <f>HYPERLINK("https://careerviet.vn/vi/tim-viec-lam/nhan-vien-sale-admin.35C64071.html","Xem chi tiết")</f>
        <v/>
      </c>
      <c r="M18960" s="10" t="n"/>
    </row>
    <row r="18961">
      <c r="B18961" s="7" t="n">
        <v>18959</v>
      </c>
      <c r="C18961" t="inlineStr">
        <is>
          <t>[GẤP] Hà Nội - Phó Giám Đốc Phòng Khám 5 sao</t>
        </is>
      </c>
      <c r="D18961" t="inlineStr">
        <is>
          <t>CareerViet's client</t>
        </is>
      </c>
      <c r="E18961" t="inlineStr">
        <is>
          <t>Lương:30 Tr - 50 Tr VND</t>
        </is>
      </c>
      <c r="F18961" t="inlineStr">
        <is>
          <t>Hà Nội</t>
        </is>
      </c>
      <c r="G18961" t="inlineStr">
        <is>
          <t>29-03-2026</t>
        </is>
      </c>
      <c r="H18961" t="inlineStr">
        <is>
          <t>29/03/2026</t>
        </is>
      </c>
      <c r="I18961" t="inlineStr">
        <is>
          <t>17/03/2026</t>
        </is>
      </c>
      <c r="J18961" t="inlineStr">
        <is>
          <t>Bán hàng / Kinh doanh, Y tế / Chăm sóc sức khỏe / Thẩm mỹ / Làm đẹp, Quản lý điều hành</t>
        </is>
      </c>
      <c r="K18961" t="inlineStr">
        <is>
          <t>3 - 5 Năm</t>
        </is>
      </c>
      <c r="L18961" s="8">
        <f>HYPERLINK("https://careerviet.vn/vi/tim-viec-lam/gap-ha-noi-pho-giam-doc-phong-kham-5-sao.35C641AA.html","Xem chi tiết")</f>
        <v/>
      </c>
    </row>
    <row r="18962">
      <c r="B18962" s="9" t="n">
        <v>18960</v>
      </c>
      <c r="C18962" s="10" t="inlineStr">
        <is>
          <t>Trưởng phòng Đấu thầu</t>
        </is>
      </c>
      <c r="D18962" s="10" t="inlineStr">
        <is>
          <t>Công ty Cổ phần công nghệ và đầu tư INTECH</t>
        </is>
      </c>
      <c r="E18962" s="10" t="inlineStr">
        <is>
          <t>Lương:30 Tr - 40 Tr VND</t>
        </is>
      </c>
      <c r="F18962" s="10" t="inlineStr">
        <is>
          <t>Hà Nội</t>
        </is>
      </c>
      <c r="G18962" s="10" t="inlineStr">
        <is>
          <t>29-03-2026</t>
        </is>
      </c>
      <c r="H18962" s="10" t="inlineStr">
        <is>
          <t>29/03/2026</t>
        </is>
      </c>
      <c r="I18962" s="10" t="inlineStr">
        <is>
          <t>17/03/2026</t>
        </is>
      </c>
      <c r="J18962" s="10" t="inlineStr">
        <is>
          <t>Xây dựng, Kiến trúc</t>
        </is>
      </c>
      <c r="K18962" s="10" t="inlineStr">
        <is>
          <t>2 - 3 Năm</t>
        </is>
      </c>
      <c r="L18962" s="11">
        <f>HYPERLINK("https://careerviet.vn/vi/tim-viec-lam/truong-phong-dau-thau.35C640B5.html","Xem chi tiết")</f>
        <v/>
      </c>
      <c r="M18962" s="10" t="n"/>
    </row>
    <row r="18963">
      <c r="B18963" s="7" t="n">
        <v>18961</v>
      </c>
      <c r="C18963" t="inlineStr">
        <is>
          <t>Nhân viên nuôi trồng thủy sản</t>
        </is>
      </c>
      <c r="D18963" t="inlineStr">
        <is>
          <t>Công ty TNHH ADC</t>
        </is>
      </c>
      <c r="E18963" t="inlineStr">
        <is>
          <t>Lương:Cạnh tranh</t>
        </is>
      </c>
      <c r="F18963" t="inlineStr">
        <is>
          <t>Cần Thơ</t>
        </is>
      </c>
      <c r="G18963" t="inlineStr">
        <is>
          <t>29-03-2026</t>
        </is>
      </c>
      <c r="H18963" t="inlineStr">
        <is>
          <t>29/03/2026</t>
        </is>
      </c>
      <c r="I18963" t="inlineStr">
        <is>
          <t>17/03/2026</t>
        </is>
      </c>
      <c r="J18963" t="inlineStr">
        <is>
          <t>Thủy sản / Hải sản</t>
        </is>
      </c>
      <c r="K18963" t="inlineStr">
        <is>
          <t>N/A</t>
        </is>
      </c>
      <c r="L18963" s="8">
        <f>HYPERLINK("https://careerviet.vn/vi/tim-viec-lam/nhan-vien-nuoi-trong-thuy-san.35C66C43.html","Xem chi tiết")</f>
        <v/>
      </c>
    </row>
    <row r="18964">
      <c r="B18964" s="9" t="n">
        <v>18962</v>
      </c>
      <c r="C18964" s="10" t="inlineStr">
        <is>
          <t>Kỹ Sư Kết Cấu</t>
        </is>
      </c>
      <c r="D18964" s="10" t="inlineStr">
        <is>
          <t>CÔNG TY CỔ PHẨN ỨNG DỤNG VÀ CHUYỂN GIAO CÔNG NGHỆ XÂY DỰNG (CJSC)</t>
        </is>
      </c>
      <c r="E18964" s="10" t="inlineStr">
        <is>
          <t>Lương:17 Tr - 25 Tr VND</t>
        </is>
      </c>
      <c r="F18964" s="10" t="inlineStr">
        <is>
          <t>Hà Nội</t>
        </is>
      </c>
      <c r="G18964" s="10" t="inlineStr">
        <is>
          <t>29-03-2026</t>
        </is>
      </c>
      <c r="H18964" s="10" t="inlineStr">
        <is>
          <t>29/03/2026</t>
        </is>
      </c>
      <c r="I18964" s="10" t="inlineStr">
        <is>
          <t>17/03/2026</t>
        </is>
      </c>
      <c r="J18964" s="10" t="inlineStr">
        <is>
          <t>Xây dựng, Kiến trúc</t>
        </is>
      </c>
      <c r="K18964" s="10" t="inlineStr">
        <is>
          <t>Trên 3 Năm</t>
        </is>
      </c>
      <c r="L18964" s="11">
        <f>HYPERLINK("https://careerviet.vn/vi/tim-viec-lam/ky-su-ket-cau.35C66D25.html","Xem chi tiết")</f>
        <v/>
      </c>
      <c r="M18964" s="10" t="n"/>
    </row>
    <row r="18965">
      <c r="B18965" s="7" t="n">
        <v>18963</v>
      </c>
      <c r="C18965" t="inlineStr">
        <is>
          <t>Sales Admin (Night Shift)</t>
        </is>
      </c>
      <c r="D18965" t="inlineStr">
        <is>
          <t>CÔNG TY CỔ PHẦN MAC MARKETING</t>
        </is>
      </c>
      <c r="E18965" t="inlineStr">
        <is>
          <t>Lương:12 Tr - 20 Tr VND</t>
        </is>
      </c>
      <c r="F18965" t="inlineStr">
        <is>
          <t>Hồ Chí Minh</t>
        </is>
      </c>
      <c r="G18965" t="inlineStr">
        <is>
          <t>29-03-2026</t>
        </is>
      </c>
      <c r="H18965" t="inlineStr">
        <is>
          <t>29/03/2026</t>
        </is>
      </c>
      <c r="I18965" t="inlineStr">
        <is>
          <t>17/03/2026</t>
        </is>
      </c>
      <c r="J18965" t="inlineStr">
        <is>
          <t>Tiếp thị / Marketing, Bán hàng / Kinh doanh, Quảng cáo / Đối ngoại / Truyền Thông</t>
        </is>
      </c>
      <c r="K18965" t="inlineStr">
        <is>
          <t>1 - 3 Năm</t>
        </is>
      </c>
      <c r="L18965" s="8">
        <f>HYPERLINK("https://careerviet.vn/vi/tim-viec-lam/sales-admin-night-shift.35C664B7.html","Xem chi tiết")</f>
        <v/>
      </c>
    </row>
    <row r="18966">
      <c r="B18966" s="9" t="n">
        <v>18964</v>
      </c>
      <c r="C18966" s="10" t="inlineStr">
        <is>
          <t>TRƯỞNG NHÓM THIẾT KẾ ĐỒ HỌA</t>
        </is>
      </c>
      <c r="D18966" s="10" t="inlineStr">
        <is>
          <t>ADC PLASTIC,. JSC</t>
        </is>
      </c>
      <c r="E18966" s="10" t="inlineStr">
        <is>
          <t>Lương:18 Tr - 25 Tr VND</t>
        </is>
      </c>
      <c r="F18966" s="10" t="inlineStr">
        <is>
          <t>Hà Nội</t>
        </is>
      </c>
      <c r="G18966" s="10" t="inlineStr">
        <is>
          <t>29-03-2026</t>
        </is>
      </c>
      <c r="H18966" s="10" t="inlineStr">
        <is>
          <t>29/03/2026</t>
        </is>
      </c>
      <c r="I18966" s="10" t="inlineStr">
        <is>
          <t>17/03/2026</t>
        </is>
      </c>
      <c r="J18966" s="10" t="inlineStr">
        <is>
          <t>Tiếp thị / Marketing</t>
        </is>
      </c>
      <c r="K18966" s="10" t="inlineStr">
        <is>
          <t>5 - 15 Năm</t>
        </is>
      </c>
      <c r="L18966" s="11">
        <f>HYPERLINK("https://careerviet.vn/vi/tim-viec-lam/truong-nhom-thiet-ke-do-hoa.35C66D88.html","Xem chi tiết")</f>
        <v/>
      </c>
      <c r="M18966" s="10" t="n"/>
    </row>
    <row r="18967">
      <c r="B18967" s="7" t="n">
        <v>18965</v>
      </c>
      <c r="C18967" t="inlineStr">
        <is>
          <t>GIÁM ĐỐC/TRƯỞNG PHÒNG KHÁCH HÀNG CÁ NHÂN (HCM)</t>
        </is>
      </c>
      <c r="D18967" t="inlineStr">
        <is>
          <t>VDSC - Công ty CP Chứng khoán Rồng Việt</t>
        </is>
      </c>
      <c r="E18967" t="inlineStr">
        <is>
          <t>Lương:15 Tr - 25 Tr VND</t>
        </is>
      </c>
      <c r="F18967" t="inlineStr">
        <is>
          <t>Hồ Chí Minh</t>
        </is>
      </c>
      <c r="G18967" t="inlineStr">
        <is>
          <t>29-03-2026</t>
        </is>
      </c>
      <c r="H18967" t="inlineStr">
        <is>
          <t>29/03/2026</t>
        </is>
      </c>
      <c r="I18967" t="inlineStr">
        <is>
          <t>17/03/2026</t>
        </is>
      </c>
      <c r="J18967" t="inlineStr">
        <is>
          <t>Ngân hàng, Chứng khoán, Tài chính / Đầu tư</t>
        </is>
      </c>
      <c r="K18967" t="inlineStr">
        <is>
          <t>2 - 3 Năm</t>
        </is>
      </c>
      <c r="L18967" s="8">
        <f>HYPERLINK("https://careerviet.vn/vi/tim-viec-lam/giam-doc-truong-phong-khach-hang-ca-nhan-hcm.35C66D6A.html","Xem chi tiết")</f>
        <v/>
      </c>
    </row>
    <row r="18968">
      <c r="B18968" s="9" t="n">
        <v>18966</v>
      </c>
      <c r="C18968" s="10" t="inlineStr">
        <is>
          <t>IT Executive (Microsoft 365)</t>
        </is>
      </c>
      <c r="D18968" s="10" t="inlineStr">
        <is>
          <t>Công ty Easia Travel</t>
        </is>
      </c>
      <c r="E18968" s="10" t="inlineStr">
        <is>
          <t>Lương:Cạnh tranh</t>
        </is>
      </c>
      <c r="F18968" s="10" t="inlineStr">
        <is>
          <t>Hà Nội</t>
        </is>
      </c>
      <c r="G18968" s="10" t="inlineStr">
        <is>
          <t>29-03-2026</t>
        </is>
      </c>
      <c r="H18968" s="10" t="inlineStr">
        <is>
          <t>29/03/2026</t>
        </is>
      </c>
      <c r="I18968" s="10" t="inlineStr">
        <is>
          <t>17/03/2026</t>
        </is>
      </c>
      <c r="J18968" s="10" t="inlineStr">
        <is>
          <t>CNTT - Phần mềm, CNTT - Phần cứng / Mạng</t>
        </is>
      </c>
      <c r="K18968" s="10" t="inlineStr">
        <is>
          <t>1 - 2 Năm</t>
        </is>
      </c>
      <c r="L18968" s="11">
        <f>HYPERLINK("https://careerviet.vn/vi/tim-viec-lam/it-executive-microsoft-365.35C640DB.html","Xem chi tiết")</f>
        <v/>
      </c>
      <c r="M18968" s="10" t="n"/>
    </row>
    <row r="18969">
      <c r="B18969" s="7" t="n">
        <v>18967</v>
      </c>
      <c r="C18969" t="inlineStr">
        <is>
          <t>Chuyên viên Account Digital Marketing - Hà Nội</t>
        </is>
      </c>
      <c r="D18969" t="inlineStr">
        <is>
          <t>Công ty Cổ Phần Tập Đoàn Bizman</t>
        </is>
      </c>
      <c r="E18969" t="inlineStr">
        <is>
          <t>Lương:12 Tr - 15 Tr VND</t>
        </is>
      </c>
      <c r="F18969" t="inlineStr">
        <is>
          <t>Hà Nội</t>
        </is>
      </c>
      <c r="G18969" t="inlineStr">
        <is>
          <t>29-03-2026</t>
        </is>
      </c>
      <c r="H18969" t="inlineStr">
        <is>
          <t>29/03/2026</t>
        </is>
      </c>
      <c r="I18969" t="inlineStr">
        <is>
          <t>17/03/2026</t>
        </is>
      </c>
      <c r="J18969" t="inlineStr">
        <is>
          <t>Tiếp thị / Marketing, Bán hàng / Kinh doanh, Quảng cáo / Đối ngoại / Truyền Thông</t>
        </is>
      </c>
      <c r="K18969" t="inlineStr">
        <is>
          <t>1 - 2 Năm</t>
        </is>
      </c>
      <c r="L18969" s="8">
        <f>HYPERLINK("https://careerviet.vn/vi/tim-viec-lam/chuyen-vien-account-digital-marketing-ha-noi.35C66D0A.html","Xem chi tiết")</f>
        <v/>
      </c>
    </row>
    <row r="18970">
      <c r="B18970" s="9" t="n">
        <v>18968</v>
      </c>
      <c r="C18970" s="10" t="inlineStr">
        <is>
          <t>Procurement Specialist</t>
        </is>
      </c>
      <c r="D18970" s="10" t="inlineStr">
        <is>
          <t>TÜV SÜD Vietnam</t>
        </is>
      </c>
      <c r="E18970" s="10" t="inlineStr">
        <is>
          <t>Lương:Cạnh tranh</t>
        </is>
      </c>
      <c r="F18970" s="10" t="inlineStr">
        <is>
          <t>Hồ Chí Minh</t>
        </is>
      </c>
      <c r="G18970" s="10" t="inlineStr">
        <is>
          <t>29-03-2026</t>
        </is>
      </c>
      <c r="H18970" s="10" t="inlineStr">
        <is>
          <t>29/03/2026</t>
        </is>
      </c>
      <c r="I18970" s="10" t="inlineStr">
        <is>
          <t>17/03/2026</t>
        </is>
      </c>
      <c r="J18970" s="10" t="inlineStr">
        <is>
          <t>Bán hàng / Kinh doanh, Thu mua / Vật tư, Kế toán / Kiểm toán</t>
        </is>
      </c>
      <c r="K18970" s="10" t="inlineStr">
        <is>
          <t>3 - 5 Năm</t>
        </is>
      </c>
      <c r="L18970" s="11">
        <f>HYPERLINK("https://careerviet.vn/vi/tim-viec-lam/procurement-specialist.35C66CF7.html","Xem chi tiết")</f>
        <v/>
      </c>
      <c r="M18970" s="10" t="n"/>
    </row>
    <row r="18971">
      <c r="B18971" s="7" t="n">
        <v>18969</v>
      </c>
      <c r="C18971" t="inlineStr">
        <is>
          <t>Giám đốc vùng khách hàng cá nhân - RB - MSB - 1O280</t>
        </is>
      </c>
      <c r="D18971" t="inlineStr">
        <is>
          <t>Ngân hàng Thương mại Cổ phần Hàng Hải Việt Nam (MSB)</t>
        </is>
      </c>
      <c r="E18971" t="inlineStr">
        <is>
          <t>Lương:Cạnh tranh</t>
        </is>
      </c>
      <c r="F18971" t="inlineStr">
        <is>
          <t>Cần Thơ</t>
        </is>
      </c>
      <c r="G18971" t="inlineStr">
        <is>
          <t>29-03-2026</t>
        </is>
      </c>
      <c r="H18971" t="inlineStr">
        <is>
          <t>29/03/2026</t>
        </is>
      </c>
      <c r="I18971" t="inlineStr">
        <is>
          <t>17/03/2026</t>
        </is>
      </c>
      <c r="J18971" t="inlineStr">
        <is>
          <t>Ngân hàng</t>
        </is>
      </c>
      <c r="K18971" t="inlineStr">
        <is>
          <t>Trên 7 Năm</t>
        </is>
      </c>
      <c r="L18971" s="8">
        <f>HYPERLINK("https://careerviet.vn/vi/tim-viec-lam/giam-doc-vung-khach-hang-ca-nhan-rb-msb-1o280.35C641FE.html","Xem chi tiết")</f>
        <v/>
      </c>
    </row>
    <row r="18972">
      <c r="B18972" s="9" t="n">
        <v>18970</v>
      </c>
      <c r="C18972" s="10" t="inlineStr">
        <is>
          <t>NHÂN VIÊN BẢO TRÌ UTILITY - CHI NHÁNH HỒ CHÍ MINH</t>
        </is>
      </c>
      <c r="D18972" s="10" t="inlineStr">
        <is>
          <t>CÔNG TY TNHH THỰC PHẨM FARINA  – CHI NHÁNH HỒ CHÍ MINH</t>
        </is>
      </c>
      <c r="E18972" s="10" t="inlineStr">
        <is>
          <t>Lương:Cạnh tranh</t>
        </is>
      </c>
      <c r="F18972" s="10" t="inlineStr">
        <is>
          <t>Bình Dương</t>
        </is>
      </c>
      <c r="G18972" s="10" t="inlineStr">
        <is>
          <t>29-03-2026</t>
        </is>
      </c>
      <c r="H18972" s="10" t="inlineStr">
        <is>
          <t>29/03/2026</t>
        </is>
      </c>
      <c r="I18972" s="10" t="inlineStr">
        <is>
          <t>17/03/2026</t>
        </is>
      </c>
      <c r="J18972" s="10" t="inlineStr">
        <is>
          <t>Bảo trì / Sửa chữa</t>
        </is>
      </c>
      <c r="K18972" s="10" t="inlineStr">
        <is>
          <t>N/A</t>
        </is>
      </c>
      <c r="L18972" s="11">
        <f>HYPERLINK("https://careerviet.vn/vi/tim-viec-lam/nhan-vien-bao-tri-utility-chi-nhanh-ho-chi-minh.35C641BD.html","Xem chi tiết")</f>
        <v/>
      </c>
      <c r="M18972" s="10" t="n"/>
    </row>
    <row r="18973">
      <c r="B18973" s="7" t="n">
        <v>18971</v>
      </c>
      <c r="C18973" t="inlineStr">
        <is>
          <t>Kỹ thuật viên / Kỹ sư Tự động hóa – Bảo trì máy may</t>
        </is>
      </c>
      <c r="D18973" t="inlineStr">
        <is>
          <t>CÔNG TY TNHH POUYUEN VIỆT NAM</t>
        </is>
      </c>
      <c r="E18973" t="inlineStr">
        <is>
          <t>Lương:8 Tr - 12 Tr VND</t>
        </is>
      </c>
      <c r="F18973" t="inlineStr">
        <is>
          <t>Hồ Chí Minh</t>
        </is>
      </c>
      <c r="G18973" t="inlineStr">
        <is>
          <t>29-03-2026</t>
        </is>
      </c>
      <c r="H18973" t="inlineStr">
        <is>
          <t>29/03/2026</t>
        </is>
      </c>
      <c r="I18973" t="inlineStr">
        <is>
          <t>17/03/2026</t>
        </is>
      </c>
      <c r="J18973" t="inlineStr">
        <is>
          <t>Dệt may / Da giày / Thời trang</t>
        </is>
      </c>
      <c r="K18973" t="inlineStr">
        <is>
          <t>Chưa có kinh nghiệm</t>
        </is>
      </c>
      <c r="L18973" s="8">
        <f>HYPERLINK("https://careerviet.vn/vi/tim-viec-lam/ky-thuat-vien-ky-su-tu-dong-hoa-bao-tri-may-may.35C66C36.html","Xem chi tiết")</f>
        <v/>
      </c>
    </row>
    <row r="18974">
      <c r="B18974" s="9" t="n">
        <v>18972</v>
      </c>
      <c r="C18974" s="10" t="inlineStr">
        <is>
          <t>Key Account Manager - MT Channel</t>
        </is>
      </c>
      <c r="D18974" s="10" t="inlineStr">
        <is>
          <t>Công Ty TNHH CJ Foods Việt Nam</t>
        </is>
      </c>
      <c r="E18974" s="10" t="inlineStr">
        <is>
          <t>Lương:Cạnh tranh</t>
        </is>
      </c>
      <c r="F18974" s="10" t="inlineStr">
        <is>
          <t>Hồ Chí Minh</t>
        </is>
      </c>
      <c r="G18974" s="10" t="inlineStr">
        <is>
          <t>29-03-2026</t>
        </is>
      </c>
      <c r="H18974" s="10" t="inlineStr">
        <is>
          <t>29/03/2026</t>
        </is>
      </c>
      <c r="I18974" s="10" t="inlineStr">
        <is>
          <t>17/03/2026</t>
        </is>
      </c>
      <c r="J18974" s="10" t="inlineStr">
        <is>
          <t>Bán lẻ / Bán sỉ, Bán hàng / Kinh doanh, Thực phẩm &amp; Đồ uống</t>
        </is>
      </c>
      <c r="K18974" s="10" t="inlineStr">
        <is>
          <t>N/A</t>
        </is>
      </c>
      <c r="L18974" s="11">
        <f>HYPERLINK("https://careerviet.vn/vi/tim-viec-lam/key-account-manager-mt-channel.35C66C7F.html","Xem chi tiết")</f>
        <v/>
      </c>
      <c r="M18974" s="10" t="n"/>
    </row>
    <row r="18975">
      <c r="B18975" s="7" t="n">
        <v>18973</v>
      </c>
      <c r="C18975" t="inlineStr">
        <is>
          <t>Chuyên Viên Xử lý tín dụng SME - Hà Nội - TA125 - ID744</t>
        </is>
      </c>
      <c r="D18975" t="inlineStr">
        <is>
          <t>Ngân Hàng TMCP Việt Nam Thịnh Vượng - VPBANK</t>
        </is>
      </c>
      <c r="E18975" t="inlineStr">
        <is>
          <t>Lương:10 Tr - 15 Tr VND</t>
        </is>
      </c>
      <c r="F18975" t="inlineStr">
        <is>
          <t>Hà Nội</t>
        </is>
      </c>
      <c r="G18975" t="inlineStr">
        <is>
          <t>29-03-2026</t>
        </is>
      </c>
      <c r="H18975" t="inlineStr">
        <is>
          <t>29/03/2026</t>
        </is>
      </c>
      <c r="I18975" t="inlineStr">
        <is>
          <t>17/03/2026</t>
        </is>
      </c>
      <c r="J18975" t="inlineStr">
        <is>
          <t>Ngân hàng, Tài chính / Đầu tư</t>
        </is>
      </c>
      <c r="K18975" t="inlineStr">
        <is>
          <t>1 - 2 Năm</t>
        </is>
      </c>
      <c r="L18975" s="8">
        <f>HYPERLINK("https://careerviet.vn/vi/tim-viec-lam/chuyen-vien-xu-ly-tin-dung-sme-ha-noi-ta125-id744.35C63F80.html","Xem chi tiết")</f>
        <v/>
      </c>
    </row>
    <row r="18976">
      <c r="B18976" s="9" t="n">
        <v>18974</v>
      </c>
      <c r="C18976" s="10" t="inlineStr">
        <is>
          <t>Nhân viên Thương mại Điện tử</t>
        </is>
      </c>
      <c r="D18976" s="10" t="inlineStr">
        <is>
          <t>Công ty Cổ Phần Tập Đoàn Điện Quang</t>
        </is>
      </c>
      <c r="E18976" s="10" t="inlineStr">
        <is>
          <t>Lương:Cạnh tranh</t>
        </is>
      </c>
      <c r="F18976" s="10" t="inlineStr">
        <is>
          <t>Hồ Chí Minh</t>
        </is>
      </c>
      <c r="G18976" s="10" t="inlineStr">
        <is>
          <t>29-03-2026</t>
        </is>
      </c>
      <c r="H18976" s="10" t="inlineStr">
        <is>
          <t>29/03/2026</t>
        </is>
      </c>
      <c r="I18976" s="10" t="inlineStr">
        <is>
          <t>17/03/2026</t>
        </is>
      </c>
      <c r="J18976" s="10" t="inlineStr">
        <is>
          <t>Bán hàng / Kinh doanh, Tiếp thị / Marketing, Tiếp thị trực tuyến</t>
        </is>
      </c>
      <c r="K18976" s="10" t="inlineStr">
        <is>
          <t>1 - 2 Năm</t>
        </is>
      </c>
      <c r="L18976" s="11">
        <f>HYPERLINK("https://careerviet.vn/vi/tim-viec-lam/nhan-vien-thuong-mai-dien-tu.35C64223.html","Xem chi tiết")</f>
        <v/>
      </c>
      <c r="M18976" s="10" t="n"/>
    </row>
    <row r="18977">
      <c r="B18977" s="7" t="n">
        <v>18975</v>
      </c>
      <c r="C18977" t="inlineStr">
        <is>
          <t>Chuyên viên hành chính - quản lí đội xe</t>
        </is>
      </c>
      <c r="D18977" t="inlineStr">
        <is>
          <t>Công Ty Cổ Phần Tập Đoàn Đầu Tư Địa Ốc No Va</t>
        </is>
      </c>
      <c r="E18977" t="inlineStr">
        <is>
          <t>Lương:Cạnh tranh</t>
        </is>
      </c>
      <c r="F18977" t="inlineStr">
        <is>
          <t>Hồ Chí Minh</t>
        </is>
      </c>
      <c r="G18977" t="inlineStr">
        <is>
          <t>29-03-2026</t>
        </is>
      </c>
      <c r="H18977" t="inlineStr">
        <is>
          <t>29/03/2026</t>
        </is>
      </c>
      <c r="I18977" t="inlineStr">
        <is>
          <t>17/03/2026</t>
        </is>
      </c>
      <c r="J18977" t="inlineStr">
        <is>
          <t>Hành chính / Thư ký, Quản lý điều hành</t>
        </is>
      </c>
      <c r="K18977" t="inlineStr">
        <is>
          <t>5 - 8 Năm</t>
        </is>
      </c>
      <c r="L18977" s="8">
        <f>HYPERLINK("https://careerviet.vn/vi/tim-viec-lam/chuyen-vien-hanh-chinh-quan-li-doi-xe.35C66C93.html","Xem chi tiết")</f>
        <v/>
      </c>
    </row>
    <row r="18978">
      <c r="B18978" s="9" t="n">
        <v>18976</v>
      </c>
      <c r="C18978" s="10" t="inlineStr">
        <is>
          <t>Senior Laboratory Technician – Food Testing Laboratory</t>
        </is>
      </c>
      <c r="D18978" s="10" t="inlineStr">
        <is>
          <t>TÜV SÜD Vietnam</t>
        </is>
      </c>
      <c r="E18978" s="10" t="inlineStr">
        <is>
          <t>Lương:Cạnh tranh</t>
        </is>
      </c>
      <c r="F18978" s="10" t="inlineStr">
        <is>
          <t>Hồ Chí Minh</t>
        </is>
      </c>
      <c r="G18978" s="10" t="inlineStr">
        <is>
          <t>29-03-2026</t>
        </is>
      </c>
      <c r="H18978" s="10" t="inlineStr">
        <is>
          <t>29/03/2026</t>
        </is>
      </c>
      <c r="I18978" s="10" t="inlineStr">
        <is>
          <t>17/03/2026</t>
        </is>
      </c>
      <c r="J18978" s="10" t="inlineStr">
        <is>
          <t>Quản lý chất lượng (QA/QC), Công nghệ thực phẩm / Dinh dưỡng, Hóa học</t>
        </is>
      </c>
      <c r="K18978" s="10" t="inlineStr">
        <is>
          <t>4 - 6 Năm</t>
        </is>
      </c>
      <c r="L18978" s="11">
        <f>HYPERLINK("https://careerviet.vn/vi/tim-viec-lam/senior-laboratory-technician-food-testing-laboratory.35C66D09.html","Xem chi tiết")</f>
        <v/>
      </c>
      <c r="M18978" s="10" t="n"/>
    </row>
    <row r="18979">
      <c r="B18979" s="7" t="n">
        <v>18977</v>
      </c>
      <c r="C18979" t="inlineStr">
        <is>
          <t>Sales B2B</t>
        </is>
      </c>
      <c r="D18979" t="inlineStr">
        <is>
          <t>CÔNG TY TNHH THƯƠNG MẠI DATONG (VIỆT NAM)</t>
        </is>
      </c>
      <c r="E18979" t="inlineStr">
        <is>
          <t>Lương:Cạnh tranh</t>
        </is>
      </c>
      <c r="F18979" t="inlineStr">
        <is>
          <t>Hồ Chí Minh</t>
        </is>
      </c>
      <c r="G18979" t="inlineStr">
        <is>
          <t>29-03-2026</t>
        </is>
      </c>
      <c r="H18979" t="inlineStr">
        <is>
          <t>29/03/2026</t>
        </is>
      </c>
      <c r="I18979" t="inlineStr">
        <is>
          <t>17/03/2026</t>
        </is>
      </c>
      <c r="J18979" t="inlineStr">
        <is>
          <t>Bán hàng / Kinh doanh, Tư vấn, Dệt may / Da giày / Thời trang</t>
        </is>
      </c>
      <c r="K18979" t="inlineStr">
        <is>
          <t>Trên 2 Năm</t>
        </is>
      </c>
      <c r="L18979" s="8">
        <f>HYPERLINK("https://careerviet.vn/vi/tim-viec-lam/sales-b2b.35C63DFB.html","Xem chi tiết")</f>
        <v/>
      </c>
    </row>
    <row r="18980">
      <c r="B18980" s="9" t="n">
        <v>18978</v>
      </c>
      <c r="C18980" s="10" t="inlineStr">
        <is>
          <t>126354 - General Manager - Medical Equipment</t>
        </is>
      </c>
      <c r="D18980" s="10" t="inlineStr">
        <is>
          <t>RGF HR Agent Vietnam Co., LTD</t>
        </is>
      </c>
      <c r="E18980" s="10" t="inlineStr">
        <is>
          <t>Lương:Cạnh tranh</t>
        </is>
      </c>
      <c r="F18980" s="10" t="inlineStr">
        <is>
          <t>Hồ Chí Minh</t>
        </is>
      </c>
      <c r="G18980" s="10" t="inlineStr">
        <is>
          <t>29-03-2026</t>
        </is>
      </c>
      <c r="H18980" s="10" t="inlineStr">
        <is>
          <t>29/03/2026</t>
        </is>
      </c>
      <c r="I18980" s="10" t="inlineStr">
        <is>
          <t>17/03/2026</t>
        </is>
      </c>
      <c r="J18980" s="10" t="inlineStr">
        <is>
          <t>Y tế / Chăm sóc sức khỏe / Thẩm mỹ / Làm đẹp</t>
        </is>
      </c>
      <c r="K18980" s="10" t="inlineStr">
        <is>
          <t>Trên 10 Năm</t>
        </is>
      </c>
      <c r="L18980" s="11">
        <f>HYPERLINK("https://careerviet.vn/vi/tim-viec-lam/126354-general-manager-medical-equipment.35C641B3.html","Xem chi tiết")</f>
        <v/>
      </c>
      <c r="M18980" s="10" t="n"/>
    </row>
    <row r="18981">
      <c r="B18981" s="7" t="n">
        <v>18979</v>
      </c>
      <c r="C18981" t="inlineStr">
        <is>
          <t>Chuyên Viên/ CVCC Phân Tích Vĩ mô &amp; Thị trường</t>
        </is>
      </c>
      <c r="D18981" t="inlineStr">
        <is>
          <t>CÔNG TY CỔ PHẦN CHỨNG KHOÁN ASEAN</t>
        </is>
      </c>
      <c r="E18981" t="inlineStr">
        <is>
          <t>Lương:Cạnh tranh</t>
        </is>
      </c>
      <c r="F18981" t="inlineStr">
        <is>
          <t>Hà Nội</t>
        </is>
      </c>
      <c r="G18981" t="inlineStr">
        <is>
          <t>29-03-2026</t>
        </is>
      </c>
      <c r="H18981" t="inlineStr">
        <is>
          <t>29/03/2026</t>
        </is>
      </c>
      <c r="I18981" t="inlineStr">
        <is>
          <t>17/03/2026</t>
        </is>
      </c>
      <c r="J18981" t="inlineStr">
        <is>
          <t>Chứng khoán, Tài chính / Đầu tư, Ngân hàng</t>
        </is>
      </c>
      <c r="K18981" t="inlineStr">
        <is>
          <t>Trên 4 Năm</t>
        </is>
      </c>
      <c r="L18981" s="8">
        <f>HYPERLINK("https://careerviet.vn/vi/tim-viec-lam/chuyen-vien-cvcc-phan-tich-vi-mo-thi-truong.35C642BD.html","Xem chi tiết")</f>
        <v/>
      </c>
    </row>
    <row r="18982">
      <c r="B18982" s="9" t="n">
        <v>18980</v>
      </c>
      <c r="C18982" s="10" t="inlineStr">
        <is>
          <t>Kế toán tổng hợp</t>
        </is>
      </c>
      <c r="D18982" s="10" t="inlineStr">
        <is>
          <t>Công ty CP Đầu Tư TM và Phát Triển Công Nghệ FSI</t>
        </is>
      </c>
      <c r="E18982" s="10" t="inlineStr">
        <is>
          <t>Lương:15 Tr - 25 Tr VND</t>
        </is>
      </c>
      <c r="F18982" s="10" t="inlineStr">
        <is>
          <t>Hồ Chí Minh</t>
        </is>
      </c>
      <c r="G18982" s="10" t="inlineStr">
        <is>
          <t>29-03-2026</t>
        </is>
      </c>
      <c r="H18982" s="10" t="inlineStr">
        <is>
          <t>29/03/2026</t>
        </is>
      </c>
      <c r="I18982" s="10" t="inlineStr">
        <is>
          <t>17/03/2026</t>
        </is>
      </c>
      <c r="J18982" s="10" t="inlineStr">
        <is>
          <t>Kế toán / Kiểm toán</t>
        </is>
      </c>
      <c r="K18982" s="10" t="inlineStr">
        <is>
          <t>3 - 10 Năm</t>
        </is>
      </c>
      <c r="L18982" s="11">
        <f>HYPERLINK("https://careerviet.vn/vi/tim-viec-lam/ke-toan-tong-hop.35C66D52.html","Xem chi tiết")</f>
        <v/>
      </c>
      <c r="M18982" s="10" t="n"/>
    </row>
    <row r="18983">
      <c r="B18983" s="7" t="n">
        <v>18981</v>
      </c>
      <c r="C18983" t="inlineStr">
        <is>
          <t>Quản lý cao cấp - Khách hàng và bán sỉ</t>
        </is>
      </c>
      <c r="D18983" t="inlineStr">
        <is>
          <t>CÔNG TY TNHH MTV CHẾ TÁC VÀ KINH DOANH TRANG SỨC PNJ</t>
        </is>
      </c>
      <c r="E18983" t="inlineStr">
        <is>
          <t>Lương:Cạnh tranh</t>
        </is>
      </c>
      <c r="F18983" t="inlineStr">
        <is>
          <t>Hồ Chí Minh</t>
        </is>
      </c>
      <c r="G18983" t="inlineStr">
        <is>
          <t>29-03-2026</t>
        </is>
      </c>
      <c r="H18983" t="inlineStr">
        <is>
          <t>29/03/2026</t>
        </is>
      </c>
      <c r="I18983" t="inlineStr">
        <is>
          <t>17/03/2026</t>
        </is>
      </c>
      <c r="J18983" t="inlineStr">
        <is>
          <t>Bán lẻ / Bán sỉ, Bán hàng / Kinh doanh, Tiếp thị / Marketing</t>
        </is>
      </c>
      <c r="K18983" t="inlineStr">
        <is>
          <t>Lên đến 10 Năm</t>
        </is>
      </c>
      <c r="L18983" s="8">
        <f>HYPERLINK("https://careerviet.vn/vi/tim-viec-lam/quan-ly-cao-cap-khach-hang-va-ban-si.35C66DE3.html","Xem chi tiết")</f>
        <v/>
      </c>
    </row>
    <row r="18984">
      <c r="B18984" s="9" t="n">
        <v>18982</v>
      </c>
      <c r="C18984" s="10" t="inlineStr">
        <is>
          <t>Nhân viên CSKH Logistics chuyên tuyến Mỹ  ( biết tiếng Trung)</t>
        </is>
      </c>
      <c r="D18984" s="10" t="inlineStr">
        <is>
          <t>CÔNG TY TNHH VIỆT NAM MAXWIDE LOGISTICS</t>
        </is>
      </c>
      <c r="E18984" s="10" t="inlineStr">
        <is>
          <t>Lương:10 Tr - 20 Tr VND</t>
        </is>
      </c>
      <c r="F18984" s="10" t="inlineStr">
        <is>
          <t>Hồ Chí Minh</t>
        </is>
      </c>
      <c r="G18984" s="10" t="inlineStr">
        <is>
          <t>29-03-2026</t>
        </is>
      </c>
      <c r="H18984" s="10" t="inlineStr">
        <is>
          <t>29/03/2026</t>
        </is>
      </c>
      <c r="I18984" s="10" t="inlineStr">
        <is>
          <t>17/03/2026</t>
        </is>
      </c>
      <c r="J18984" s="10" t="inlineStr">
        <is>
          <t>Bán hàng / Kinh doanh, Vận chuyển / Giao nhận / Kho vận, Xuất nhập khẩu</t>
        </is>
      </c>
      <c r="K18984" s="10" t="inlineStr">
        <is>
          <t>1 - 3 Năm</t>
        </is>
      </c>
      <c r="L18984" s="11">
        <f>HYPERLINK("https://careerviet.vn/vi/tim-viec-lam/nhan-vien-cskh-logistics-chuyen-tuyen-my-biet-tieng-trung.35C640AB.html","Xem chi tiết")</f>
        <v/>
      </c>
      <c r="M18984" s="10" t="n"/>
    </row>
    <row r="18985">
      <c r="B18985" s="7" t="n">
        <v>18983</v>
      </c>
      <c r="C18985" t="inlineStr">
        <is>
          <t>Nhân Viên Kế Toán</t>
        </is>
      </c>
      <c r="D18985" t="inlineStr">
        <is>
          <t>Công Ty TNHH Bao Bì Nhật Bản (VN)</t>
        </is>
      </c>
      <c r="E18985" t="inlineStr">
        <is>
          <t>Lương:Cạnh tranh</t>
        </is>
      </c>
      <c r="F18985" t="inlineStr">
        <is>
          <t>Hồ Chí Minh</t>
        </is>
      </c>
      <c r="G18985" t="inlineStr">
        <is>
          <t>29-03-2026</t>
        </is>
      </c>
      <c r="H18985" t="inlineStr">
        <is>
          <t>29/03/2026</t>
        </is>
      </c>
      <c r="I18985" t="inlineStr">
        <is>
          <t>17/03/2026</t>
        </is>
      </c>
      <c r="J18985" t="inlineStr">
        <is>
          <t>Luật / Pháp lý, Kế toán / Kiểm toán, Tài chính / Đầu tư</t>
        </is>
      </c>
      <c r="K18985" t="inlineStr">
        <is>
          <t>Lên đến 1 Năm</t>
        </is>
      </c>
      <c r="L18985" s="8">
        <f>HYPERLINK("https://careerviet.vn/vi/tim-viec-lam/nhan-vien-ke-toan.35C66DEE.html","Xem chi tiết")</f>
        <v/>
      </c>
    </row>
    <row r="18986">
      <c r="B18986" s="9" t="n">
        <v>18984</v>
      </c>
      <c r="C18986" s="10" t="inlineStr">
        <is>
          <t>Marketing Support (Night Shift)</t>
        </is>
      </c>
      <c r="D18986" s="10" t="inlineStr">
        <is>
          <t>CÔNG TY CỔ PHẦN MAC MARKETING</t>
        </is>
      </c>
      <c r="E18986" s="10" t="inlineStr">
        <is>
          <t>Lương:12 Tr - 15 Tr VND</t>
        </is>
      </c>
      <c r="F18986" s="10" t="inlineStr">
        <is>
          <t>Hồ Chí Minh</t>
        </is>
      </c>
      <c r="G18986" s="10" t="inlineStr">
        <is>
          <t>29-03-2026</t>
        </is>
      </c>
      <c r="H18986" s="10" t="inlineStr">
        <is>
          <t>29/03/2026</t>
        </is>
      </c>
      <c r="I18986" s="10" t="inlineStr">
        <is>
          <t>17/03/2026</t>
        </is>
      </c>
      <c r="J18986" s="10" t="inlineStr">
        <is>
          <t>Tiếp thị / Marketing</t>
        </is>
      </c>
      <c r="K18986" s="10" t="inlineStr">
        <is>
          <t>1 - 2 Năm</t>
        </is>
      </c>
      <c r="L18986" s="11">
        <f>HYPERLINK("https://careerviet.vn/vi/tim-viec-lam/marketing-support-night-shift.35C66D2D.html","Xem chi tiết")</f>
        <v/>
      </c>
      <c r="M18986" s="10" t="n"/>
    </row>
    <row r="18987">
      <c r="B18987" s="7" t="n">
        <v>18985</v>
      </c>
      <c r="C18987" t="inlineStr">
        <is>
          <t>BÌNH DƯƠNG - NHÂN VIÊN RD</t>
        </is>
      </c>
      <c r="D18987" t="inlineStr">
        <is>
          <t>CÔNG TY TNHH SX TM CN NHỰA Á CHÂU</t>
        </is>
      </c>
      <c r="E18987" t="inlineStr">
        <is>
          <t>Lương:9 Tr - 12 Tr VND</t>
        </is>
      </c>
      <c r="F18987" t="inlineStr">
        <is>
          <t>Bình Dương</t>
        </is>
      </c>
      <c r="G18987" t="inlineStr">
        <is>
          <t>29-03-2026</t>
        </is>
      </c>
      <c r="H18987" t="inlineStr">
        <is>
          <t>29/03/2026</t>
        </is>
      </c>
      <c r="I18987" t="inlineStr">
        <is>
          <t>17/03/2026</t>
        </is>
      </c>
      <c r="J18987" t="inlineStr">
        <is>
          <t>Hóa học, Sản xuất / Vận hành sản xuất</t>
        </is>
      </c>
      <c r="K18987" t="inlineStr">
        <is>
          <t>1 - 2 Năm</t>
        </is>
      </c>
      <c r="L18987" s="8">
        <f>HYPERLINK("https://careerviet.vn/vi/tim-viec-lam/binh-duong-nhan-vien-rd.35C64185.html","Xem chi tiết")</f>
        <v/>
      </c>
    </row>
    <row r="18988">
      <c r="B18988" s="9" t="n">
        <v>18986</v>
      </c>
      <c r="C18988" s="10" t="inlineStr">
        <is>
          <t>Nhân Viên Pha Chế Quán Cafe - Không Yêu Cầu Kinh Nghiệm</t>
        </is>
      </c>
      <c r="D18988" s="10" t="inlineStr">
        <is>
          <t>Công ty TNHH Sản xuất Thương mại &amp; Dịch vụ Hoa Xinh</t>
        </is>
      </c>
      <c r="E18988" s="10" t="inlineStr">
        <is>
          <t>Lương:8 Tr - 9 Tr VND</t>
        </is>
      </c>
      <c r="F18988" s="10" t="inlineStr">
        <is>
          <t>Hồ Chí MinhBà Rịa - Vũng Tàu</t>
        </is>
      </c>
      <c r="G18988" s="10" t="inlineStr">
        <is>
          <t>29-03-2026</t>
        </is>
      </c>
      <c r="H18988" s="10" t="inlineStr">
        <is>
          <t>29/03/2026</t>
        </is>
      </c>
      <c r="I18988" s="10" t="inlineStr">
        <is>
          <t>17/03/2026</t>
        </is>
      </c>
      <c r="J18988" s="10" t="inlineStr">
        <is>
          <t>Lao động phổ thông, Thực phẩm &amp; Đồ uống, Nhà hàng / Khách sạn</t>
        </is>
      </c>
      <c r="K18988" s="10" t="inlineStr">
        <is>
          <t>N/A</t>
        </is>
      </c>
      <c r="L18988" s="11">
        <f>HYPERLINK("https://careerviet.vn/vi/tim-viec-lam/nhan-vien-pha-che-quan-cafe-khong-yeu-cau-kinh-nghiem.35C66CB0.html","Xem chi tiết")</f>
        <v/>
      </c>
      <c r="M18988" s="10" t="n"/>
    </row>
    <row r="18989">
      <c r="B18989" s="7" t="n">
        <v>18987</v>
      </c>
      <c r="C18989" t="inlineStr">
        <is>
          <t>Chuyên Viên Vận Hành Hệ Thống Công Nghệ Thông Tin</t>
        </is>
      </c>
      <c r="D18989" t="inlineStr">
        <is>
          <t>CÔNG TY CỔ PHẦN CHỨNG KHOÁN ASEAN</t>
        </is>
      </c>
      <c r="E18989" t="inlineStr">
        <is>
          <t>Lương:Cạnh tranh</t>
        </is>
      </c>
      <c r="F18989" t="inlineStr">
        <is>
          <t>Hà Nội</t>
        </is>
      </c>
      <c r="G18989" t="inlineStr">
        <is>
          <t>29-03-2026</t>
        </is>
      </c>
      <c r="H18989" t="inlineStr">
        <is>
          <t>29/03/2026</t>
        </is>
      </c>
      <c r="I18989" t="inlineStr">
        <is>
          <t>17/03/2026</t>
        </is>
      </c>
      <c r="J18989" t="inlineStr">
        <is>
          <t>Ngân hàng, Chứng khoán, CNTT - Phần cứng / Mạng</t>
        </is>
      </c>
      <c r="K18989" t="inlineStr">
        <is>
          <t>Trên 3 Năm</t>
        </is>
      </c>
      <c r="L18989" s="8">
        <f>HYPERLINK("https://careerviet.vn/vi/tim-viec-lam/chuyen-vien-van-hanh-he-thong-cong-nghe-thong-tin.35C642B9.html","Xem chi tiết")</f>
        <v/>
      </c>
    </row>
    <row r="18990">
      <c r="B18990" s="9" t="n">
        <v>18988</v>
      </c>
      <c r="C18990" s="10" t="inlineStr">
        <is>
          <t>Merchandiser (Open For Fresher)</t>
        </is>
      </c>
      <c r="D18990" s="10" t="inlineStr">
        <is>
          <t>Concung.com - Con Cung Joint Stock Company</t>
        </is>
      </c>
      <c r="E18990" s="10" t="inlineStr">
        <is>
          <t>Lương:Cạnh tranh</t>
        </is>
      </c>
      <c r="F18990" s="10" t="inlineStr">
        <is>
          <t>Hồ Chí Minh</t>
        </is>
      </c>
      <c r="G18990" s="10" t="inlineStr">
        <is>
          <t>29-03-2026</t>
        </is>
      </c>
      <c r="H18990" s="10" t="inlineStr">
        <is>
          <t>29/03/2026</t>
        </is>
      </c>
      <c r="I18990" s="10" t="inlineStr">
        <is>
          <t>17/03/2026</t>
        </is>
      </c>
      <c r="J18990" s="10" t="inlineStr">
        <is>
          <t>Bán lẻ / Bán sỉ, Tiếp thị / Marketing, Hàng gia dụng / Chăm sóc cá nhân</t>
        </is>
      </c>
      <c r="K18990" s="10" t="inlineStr">
        <is>
          <t>1 - 2 Năm</t>
        </is>
      </c>
      <c r="L18990" s="11">
        <f>HYPERLINK("https://careerviet.vn/vi/tim-viec-lam/merchandiser-open-for-fresher.35C66D58.html","Xem chi tiết")</f>
        <v/>
      </c>
      <c r="M18990" s="10" t="n"/>
    </row>
    <row r="18991">
      <c r="B18991" s="7" t="n">
        <v>18989</v>
      </c>
      <c r="C18991" t="inlineStr">
        <is>
          <t>QUẢN LÝ BỘ PHẬN PHÁP CHẾ</t>
        </is>
      </c>
      <c r="D18991" t="inlineStr">
        <is>
          <t>Tổng công ty Xây dựng số 1 – CTCP</t>
        </is>
      </c>
      <c r="E18991" t="inlineStr">
        <is>
          <t>Lương:Cạnh tranh</t>
        </is>
      </c>
      <c r="F18991" t="inlineStr">
        <is>
          <t>Hồ Chí Minh</t>
        </is>
      </c>
      <c r="G18991" t="inlineStr">
        <is>
          <t>29-03-2026</t>
        </is>
      </c>
      <c r="H18991" t="inlineStr">
        <is>
          <t>29/03/2026</t>
        </is>
      </c>
      <c r="I18991" t="inlineStr">
        <is>
          <t>17/03/2026</t>
        </is>
      </c>
      <c r="J18991" t="inlineStr">
        <is>
          <t>Luật / Pháp lý</t>
        </is>
      </c>
      <c r="K18991" t="inlineStr">
        <is>
          <t>Trên 10 Năm</t>
        </is>
      </c>
      <c r="L18991" s="8">
        <f>HYPERLINK("https://careerviet.vn/vi/tim-viec-lam/quan-ly-bo-phan-phap-che.35C66C40.html","Xem chi tiết")</f>
        <v/>
      </c>
    </row>
    <row r="18992">
      <c r="B18992" s="9" t="n">
        <v>18990</v>
      </c>
      <c r="C18992" s="10" t="inlineStr">
        <is>
          <t>Trưởng Phòng Cao Cấp Kinh Doanh Khách Hàng Ưu Tiên - ID1302</t>
        </is>
      </c>
      <c r="D18992" s="10" t="inlineStr">
        <is>
          <t>Ngân Hàng TMCP Việt Nam Thịnh Vượng - VPBANK</t>
        </is>
      </c>
      <c r="E18992" s="10" t="inlineStr">
        <is>
          <t>Lương:Cạnh tranh</t>
        </is>
      </c>
      <c r="F18992" s="10" t="inlineStr">
        <is>
          <t>Hồ Chí MinhĐà Nẵng</t>
        </is>
      </c>
      <c r="G18992" s="10" t="inlineStr">
        <is>
          <t>29-03-2026</t>
        </is>
      </c>
      <c r="H18992" s="10" t="inlineStr">
        <is>
          <t>29/03/2026</t>
        </is>
      </c>
      <c r="I18992" s="10" t="inlineStr">
        <is>
          <t>17/03/2026</t>
        </is>
      </c>
      <c r="J18992" s="10" t="inlineStr">
        <is>
          <t>Bán hàng / Kinh doanh, Ngân hàng</t>
        </is>
      </c>
      <c r="K18992" s="10" t="inlineStr">
        <is>
          <t>4 - 5 Năm</t>
        </is>
      </c>
      <c r="L18992" s="11">
        <f>HYPERLINK("https://careerviet.vn/vi/tim-viec-lam/truong-phong-cao-cap-kinh-doanh-khach-hang-uu-tien-id1302.35C66D54.html","Xem chi tiết")</f>
        <v/>
      </c>
      <c r="M18992" s="10" t="n"/>
    </row>
    <row r="18993">
      <c r="B18993" s="7" t="n">
        <v>18991</v>
      </c>
      <c r="C18993" t="inlineStr">
        <is>
          <t>Data Governance Expert - Hà Nội - TA105</t>
        </is>
      </c>
      <c r="D18993" t="inlineStr">
        <is>
          <t>Ngân Hàng TMCP Việt Nam Thịnh Vượng - VPBANK</t>
        </is>
      </c>
      <c r="E18993" t="inlineStr">
        <is>
          <t>Lương:50 Tr - 70 Tr VND</t>
        </is>
      </c>
      <c r="F18993" t="inlineStr">
        <is>
          <t>Hà Nội</t>
        </is>
      </c>
      <c r="G18993" t="inlineStr">
        <is>
          <t>29-03-2026</t>
        </is>
      </c>
      <c r="H18993" t="inlineStr">
        <is>
          <t>29/03/2026</t>
        </is>
      </c>
      <c r="I18993" t="inlineStr">
        <is>
          <t>17/03/2026</t>
        </is>
      </c>
      <c r="J18993" t="inlineStr">
        <is>
          <t>Ngân hàng, Thống kê, CNTT - Phần mềm</t>
        </is>
      </c>
      <c r="K18993" t="inlineStr">
        <is>
          <t>5 - 8 Năm</t>
        </is>
      </c>
      <c r="L18993" s="8">
        <f>HYPERLINK("https://careerviet.vn/vi/tim-viec-lam/data-governance-expert-ha-noi-ta105.35C66CAE.html","Xem chi tiết")</f>
        <v/>
      </c>
    </row>
    <row r="18994">
      <c r="B18994" s="9" t="n">
        <v>18992</v>
      </c>
      <c r="C18994" s="10" t="inlineStr">
        <is>
          <t>EQUIPMENT MECHANICAL DESIGN ENGINEER</t>
        </is>
      </c>
      <c r="D18994" s="10" t="inlineStr">
        <is>
          <t>Công ty TNHH Sài Gòn Stec</t>
        </is>
      </c>
      <c r="E18994" s="10" t="inlineStr">
        <is>
          <t>Lương:15 Tr - 23 Tr VND</t>
        </is>
      </c>
      <c r="F18994" s="10" t="inlineStr">
        <is>
          <t>Bình Dương</t>
        </is>
      </c>
      <c r="G18994" s="10" t="inlineStr">
        <is>
          <t>29-03-2026</t>
        </is>
      </c>
      <c r="H18994" s="10" t="inlineStr">
        <is>
          <t>29/03/2026</t>
        </is>
      </c>
      <c r="I18994" s="10" t="inlineStr">
        <is>
          <t>17/03/2026</t>
        </is>
      </c>
      <c r="J18994" s="10" t="inlineStr">
        <is>
          <t>Cơ khí / Ô tô / Tự động hóa, Điện / Điện tử / Điện lạnh / Điện công nghiệp, Bảo trì / Sửa chữa</t>
        </is>
      </c>
      <c r="K18994" s="10" t="inlineStr">
        <is>
          <t>2 - 5 Năm</t>
        </is>
      </c>
      <c r="L18994" s="11">
        <f>HYPERLINK("https://careerviet.vn/vi/tim-viec-lam/equipment-mechanical-design-engineer.35C64145.html","Xem chi tiết")</f>
        <v/>
      </c>
      <c r="M18994" s="10" t="n"/>
    </row>
    <row r="18995">
      <c r="B18995" s="7" t="n">
        <v>18993</v>
      </c>
      <c r="C18995" t="inlineStr">
        <is>
          <t>Nhân viên Trải giấy và vận hành máy</t>
        </is>
      </c>
      <c r="D18995" t="inlineStr">
        <is>
          <t>Tập Đoàn Kim Tín</t>
        </is>
      </c>
      <c r="E18995" t="inlineStr">
        <is>
          <t>Lương:10 Tr - 15 Tr VND</t>
        </is>
      </c>
      <c r="F18995" t="inlineStr">
        <is>
          <t>Hưng Yên</t>
        </is>
      </c>
      <c r="G18995" t="inlineStr">
        <is>
          <t>29-03-2026</t>
        </is>
      </c>
      <c r="H18995" t="inlineStr">
        <is>
          <t>29/03/2026</t>
        </is>
      </c>
      <c r="I18995" t="inlineStr">
        <is>
          <t>17/03/2026</t>
        </is>
      </c>
      <c r="J18995" t="inlineStr">
        <is>
          <t>Cơ khí / Ô tô / Tự động hóa, Lao động phổ thông, Sản xuất / Vận hành sản xuất</t>
        </is>
      </c>
      <c r="K18995" t="inlineStr">
        <is>
          <t>Chưa có kinh nghiệm</t>
        </is>
      </c>
      <c r="L18995" s="8">
        <f>HYPERLINK("https://careerviet.vn/vi/tim-viec-lam/nhan-vien-trai-giay-va-van-hanh-may.35C66CD9.html","Xem chi tiết")</f>
        <v/>
      </c>
    </row>
    <row r="18996">
      <c r="B18996" s="9" t="n">
        <v>18994</v>
      </c>
      <c r="C18996" s="10" t="inlineStr">
        <is>
          <t>Chuyên viên Chăm sóc Trải nghiệm Khách hàng SPC (Tiếng Trung)</t>
        </is>
      </c>
      <c r="D18996" s="10" t="inlineStr">
        <is>
          <t>Him Lam International School - Trường Quốc Tế Him Lam</t>
        </is>
      </c>
      <c r="E18996" s="10" t="inlineStr">
        <is>
          <t>Lương:Cạnh tranh</t>
        </is>
      </c>
      <c r="F18996" s="10" t="inlineStr">
        <is>
          <t>Bắc Ninh</t>
        </is>
      </c>
      <c r="G18996" s="10" t="inlineStr">
        <is>
          <t>29-03-2026</t>
        </is>
      </c>
      <c r="H18996" s="10" t="inlineStr">
        <is>
          <t>29/03/2026</t>
        </is>
      </c>
      <c r="I18996" s="10" t="inlineStr">
        <is>
          <t>17/03/2026</t>
        </is>
      </c>
      <c r="J18996" s="10" t="inlineStr">
        <is>
          <t>Dịch vụ khách hàng, Giáo dục / Đào tạo</t>
        </is>
      </c>
      <c r="K18996" s="10" t="inlineStr">
        <is>
          <t>Trên 2 Năm</t>
        </is>
      </c>
      <c r="L18996" s="11">
        <f>HYPERLINK("https://careerviet.vn/vi/tim-viec-lam/chuyen-vien-cham-soc-trai-nghiem-khach-hang-spc-tieng-trung.35C6408C.html","Xem chi tiết")</f>
        <v/>
      </c>
      <c r="M18996" s="10" t="n"/>
    </row>
    <row r="18997">
      <c r="B18997" s="7" t="n">
        <v>18995</v>
      </c>
      <c r="C18997" t="inlineStr">
        <is>
          <t>Tuyển Nhân Viên Nam Kho TMĐT</t>
        </is>
      </c>
      <c r="D18997" t="inlineStr">
        <is>
          <t>JoyMall - Nhà Phân Phối Locknlock</t>
        </is>
      </c>
      <c r="E18997" t="inlineStr">
        <is>
          <t>Lương:7 Tr - 9 Tr VND</t>
        </is>
      </c>
      <c r="F18997" t="inlineStr">
        <is>
          <t>Hồ Chí Minh</t>
        </is>
      </c>
      <c r="G18997" t="inlineStr">
        <is>
          <t>29-03-2026</t>
        </is>
      </c>
      <c r="H18997" t="inlineStr">
        <is>
          <t>29/03/2026</t>
        </is>
      </c>
      <c r="I18997" t="inlineStr">
        <is>
          <t>17/03/2026</t>
        </is>
      </c>
      <c r="J18997" t="inlineStr">
        <is>
          <t>Vận chuyển / Giao nhận / Kho vận, Lao động phổ thông, Sản xuất / Vận hành sản xuất</t>
        </is>
      </c>
      <c r="K18997" t="inlineStr">
        <is>
          <t>N/A</t>
        </is>
      </c>
      <c r="L18997" s="8">
        <f>HYPERLINK("https://careerviet.vn/vi/tim-viec-lam/tuyen-nhan-vien-nam-kho-tmdt.35C6413D.html","Xem chi tiết")</f>
        <v/>
      </c>
    </row>
    <row r="18998">
      <c r="B18998" s="9" t="n">
        <v>18996</v>
      </c>
      <c r="C18998" s="10" t="inlineStr">
        <is>
          <t>Chuyên Viên Pháp Chế Đầu Tư</t>
        </is>
      </c>
      <c r="D18998" s="10" t="inlineStr">
        <is>
          <t>CÔNG TY CỔ PHẦN TẬP ĐOÀN PC1</t>
        </is>
      </c>
      <c r="E18998" s="10" t="inlineStr">
        <is>
          <t>Lương:Cạnh tranh</t>
        </is>
      </c>
      <c r="F18998" s="10" t="inlineStr">
        <is>
          <t>Hà Nội</t>
        </is>
      </c>
      <c r="G18998" s="10" t="inlineStr">
        <is>
          <t>29-03-2026</t>
        </is>
      </c>
      <c r="H18998" s="10" t="inlineStr">
        <is>
          <t>29/03/2026</t>
        </is>
      </c>
      <c r="I18998" s="10" t="inlineStr">
        <is>
          <t>17/03/2026</t>
        </is>
      </c>
      <c r="J18998" s="10" t="inlineStr">
        <is>
          <t>Luật / Pháp lý, Kế toán / Kiểm toán, Tài chính / Đầu tư</t>
        </is>
      </c>
      <c r="K18998" s="10" t="inlineStr">
        <is>
          <t>Trên 3 Năm</t>
        </is>
      </c>
      <c r="L18998" s="11">
        <f>HYPERLINK("https://careerviet.vn/vi/tim-viec-lam/chuyen-vien-phap-che-dau-tu.35C66D91.html","Xem chi tiết")</f>
        <v/>
      </c>
      <c r="M18998" s="10" t="n"/>
    </row>
    <row r="18999">
      <c r="B18999" s="7" t="n">
        <v>18997</v>
      </c>
      <c r="C18999" t="inlineStr">
        <is>
          <t>THỢ SƠN Ô TÔ</t>
        </is>
      </c>
      <c r="D18999" t="inlineStr">
        <is>
          <t>Vietnam Star Automobile</t>
        </is>
      </c>
      <c r="E18999" t="inlineStr">
        <is>
          <t>Lương:8 Tr - 15 Tr VND</t>
        </is>
      </c>
      <c r="F18999" t="inlineStr">
        <is>
          <t>Bình Dương</t>
        </is>
      </c>
      <c r="G18999" t="inlineStr">
        <is>
          <t>29-03-2026</t>
        </is>
      </c>
      <c r="H18999" t="inlineStr">
        <is>
          <t>29/03/2026</t>
        </is>
      </c>
      <c r="I18999" t="inlineStr">
        <is>
          <t>17/03/2026</t>
        </is>
      </c>
      <c r="J18999" t="inlineStr">
        <is>
          <t>Bán lẻ / Bán sỉ, Lao động phổ thông, Cơ khí / Ô tô / Tự động hóa</t>
        </is>
      </c>
      <c r="K18999" t="inlineStr">
        <is>
          <t>2 - 3 Năm</t>
        </is>
      </c>
      <c r="L18999" s="8">
        <f>HYPERLINK("https://careerviet.vn/vi/tim-viec-lam/tho-son-o-to.35C6426A.html","Xem chi tiết")</f>
        <v/>
      </c>
    </row>
    <row r="19000">
      <c r="B19000" s="9" t="n">
        <v>18998</v>
      </c>
      <c r="C19000" s="10" t="inlineStr">
        <is>
          <t>Kế toán thủ quỹ ngân hàng</t>
        </is>
      </c>
      <c r="D19000" s="10" t="inlineStr">
        <is>
          <t>Công ty CP Toshiko Việt Nam</t>
        </is>
      </c>
      <c r="E19000" s="10" t="inlineStr">
        <is>
          <t>Lương:10 Tr - 12 Tr VND</t>
        </is>
      </c>
      <c r="F19000" s="10" t="inlineStr">
        <is>
          <t>Hà Nội</t>
        </is>
      </c>
      <c r="G19000" s="10" t="inlineStr">
        <is>
          <t>29-03-2026</t>
        </is>
      </c>
      <c r="H19000" s="10" t="inlineStr">
        <is>
          <t>29/03/2026</t>
        </is>
      </c>
      <c r="I19000" s="10" t="inlineStr">
        <is>
          <t>17/03/2026</t>
        </is>
      </c>
      <c r="J19000" s="10" t="inlineStr">
        <is>
          <t>Kế toán / Kiểm toán, Ngân hàng</t>
        </is>
      </c>
      <c r="K19000" s="10" t="inlineStr">
        <is>
          <t>1 - 2 Năm</t>
        </is>
      </c>
      <c r="L19000" s="11">
        <f>HYPERLINK("https://careerviet.vn/vi/tim-viec-lam/ke-toan-thu-quy-ngan-hang.35C66CD1.html","Xem chi tiết")</f>
        <v/>
      </c>
      <c r="M19000" s="10" t="n"/>
    </row>
    <row r="19001">
      <c r="B19001" s="7" t="n">
        <v>18999</v>
      </c>
      <c r="C19001" t="inlineStr">
        <is>
          <t>Giám sát HSE (Quảng Ngãi)</t>
        </is>
      </c>
      <c r="D19001" t="inlineStr">
        <is>
          <t>Công Ty Cổ Phần Tập Đoàn TH</t>
        </is>
      </c>
      <c r="E19001" t="inlineStr">
        <is>
          <t>Lương:Cạnh tranh</t>
        </is>
      </c>
      <c r="F19001" t="inlineStr">
        <is>
          <t>Kon Tum</t>
        </is>
      </c>
      <c r="G19001" t="inlineStr">
        <is>
          <t>29-03-2026</t>
        </is>
      </c>
      <c r="H19001" t="inlineStr">
        <is>
          <t>29/03/2026</t>
        </is>
      </c>
      <c r="I19001" t="inlineStr">
        <is>
          <t>17/03/2026</t>
        </is>
      </c>
      <c r="J19001" t="inlineStr">
        <is>
          <t>Môi trường, An toàn lao động</t>
        </is>
      </c>
      <c r="K19001" t="inlineStr">
        <is>
          <t>2 - 3 Năm</t>
        </is>
      </c>
      <c r="L19001" s="8">
        <f>HYPERLINK("https://careerviet.vn/vi/tim-viec-lam/giam-sat-hse-quang-ngai.35C66DF9.html","Xem chi tiết")</f>
        <v/>
      </c>
    </row>
    <row r="19002">
      <c r="B19002" s="9" t="n">
        <v>19000</v>
      </c>
      <c r="C19002" s="10" t="inlineStr">
        <is>
          <t>Quản lý Thi công</t>
        </is>
      </c>
      <c r="D19002" s="10" t="inlineStr">
        <is>
          <t>CÔNG TY CỔ PHẦN THIẾT KẾ &amp; XÂY DỰNG BISCONS VIỆT NAM</t>
        </is>
      </c>
      <c r="E19002" s="10" t="inlineStr">
        <is>
          <t>Lương:17 Tr - 23 Tr VND</t>
        </is>
      </c>
      <c r="F19002" s="10" t="inlineStr">
        <is>
          <t>Hồ Chí MinhHà Nội</t>
        </is>
      </c>
      <c r="G19002" s="10" t="inlineStr">
        <is>
          <t>29-03-2026</t>
        </is>
      </c>
      <c r="H19002" s="10" t="inlineStr">
        <is>
          <t>29/03/2026</t>
        </is>
      </c>
      <c r="I19002" s="10" t="inlineStr">
        <is>
          <t>17/03/2026</t>
        </is>
      </c>
      <c r="J19002" s="10" t="inlineStr">
        <is>
          <t>Kiến trúc, Xây dựng, Nội ngoại thất</t>
        </is>
      </c>
      <c r="K19002" s="10" t="inlineStr">
        <is>
          <t>2 - 5 Năm</t>
        </is>
      </c>
      <c r="L19002" s="11">
        <f>HYPERLINK("https://careerviet.vn/vi/tim-viec-lam/quan-ly-thi-cong.35C66DCA.html","Xem chi tiết")</f>
        <v/>
      </c>
      <c r="M19002" s="10" t="n"/>
    </row>
    <row r="19003">
      <c r="B19003" s="7" t="n">
        <v>19001</v>
      </c>
      <c r="C19003" t="inlineStr">
        <is>
          <t>Nhân Viên QA</t>
        </is>
      </c>
      <c r="D19003" t="inlineStr">
        <is>
          <t>CÔNG TY CỔ PHẦN CÔNG NGHIỆP HỖ TRỢ TOMECO</t>
        </is>
      </c>
      <c r="E19003" t="inlineStr">
        <is>
          <t>Lương:14 Tr - 18 Tr VND</t>
        </is>
      </c>
      <c r="F19003" t="inlineStr">
        <is>
          <t>Hà Nội</t>
        </is>
      </c>
      <c r="G19003" t="inlineStr">
        <is>
          <t>29-03-2026</t>
        </is>
      </c>
      <c r="H19003" t="inlineStr">
        <is>
          <t>29/03/2026</t>
        </is>
      </c>
      <c r="I19003" t="inlineStr">
        <is>
          <t>17/03/2026</t>
        </is>
      </c>
      <c r="J19003" t="inlineStr">
        <is>
          <t>Quản lý chất lượng (QA/QC), Cơ khí / Ô tô / Tự động hóa, Sản xuất / Vận hành sản xuất</t>
        </is>
      </c>
      <c r="K19003" t="inlineStr">
        <is>
          <t>Trên 3 Năm</t>
        </is>
      </c>
      <c r="L19003" s="8">
        <f>HYPERLINK("https://careerviet.vn/vi/tim-viec-lam/nhan-vien-qa.35C66D53.html","Xem chi tiết")</f>
        <v/>
      </c>
    </row>
    <row r="19004">
      <c r="B19004" s="9" t="n">
        <v>19002</v>
      </c>
      <c r="C19004" s="10" t="inlineStr">
        <is>
          <t>Kế toán hàng hóa</t>
        </is>
      </c>
      <c r="D19004" s="10" t="inlineStr">
        <is>
          <t>Công ty TNHH Vạn Niên</t>
        </is>
      </c>
      <c r="E19004" s="10" t="inlineStr">
        <is>
          <t>Lương:11 Tr - 15 Tr VND</t>
        </is>
      </c>
      <c r="F19004" s="10" t="inlineStr">
        <is>
          <t>Hà Nội</t>
        </is>
      </c>
      <c r="G19004" s="10" t="inlineStr">
        <is>
          <t>29-03-2026</t>
        </is>
      </c>
      <c r="H19004" s="10" t="inlineStr">
        <is>
          <t>29/03/2026</t>
        </is>
      </c>
      <c r="I19004" s="10" t="inlineStr">
        <is>
          <t>17/03/2026</t>
        </is>
      </c>
      <c r="J19004" s="10" t="inlineStr">
        <is>
          <t>Dược phẩm/ Hóa Mỹ Phẩm, Y tế / Chăm sóc sức khỏe / Thẩm mỹ / Làm đẹp, Kế toán / Kiểm toán</t>
        </is>
      </c>
      <c r="K19004" s="10" t="inlineStr">
        <is>
          <t>2 - 3 Năm</t>
        </is>
      </c>
      <c r="L19004" s="11">
        <f>HYPERLINK("https://careerviet.vn/vi/tim-viec-lam/ke-toan-hang-hoa.35C641EC.html","Xem chi tiết")</f>
        <v/>
      </c>
      <c r="M19004" s="10" t="n"/>
    </row>
    <row r="19005">
      <c r="B19005" s="7" t="n">
        <v>19003</v>
      </c>
      <c r="C19005" t="inlineStr">
        <is>
          <t>Chuyên Viên Pháp Chế Nội Bộ</t>
        </is>
      </c>
      <c r="D19005" t="inlineStr">
        <is>
          <t>CÔNG TY CỔ PHẦN TẬP ĐOÀN PC1</t>
        </is>
      </c>
      <c r="E19005" t="inlineStr">
        <is>
          <t>Lương:Cạnh tranh</t>
        </is>
      </c>
      <c r="F19005" t="inlineStr">
        <is>
          <t>Hà Nội</t>
        </is>
      </c>
      <c r="G19005" t="inlineStr">
        <is>
          <t>29-03-2026</t>
        </is>
      </c>
      <c r="H19005" t="inlineStr">
        <is>
          <t>29/03/2026</t>
        </is>
      </c>
      <c r="I19005" t="inlineStr">
        <is>
          <t>17/03/2026</t>
        </is>
      </c>
      <c r="J19005" t="inlineStr">
        <is>
          <t>Luật / Pháp lý, Kế toán / Kiểm toán, Tài chính / Đầu tư</t>
        </is>
      </c>
      <c r="K19005" t="inlineStr">
        <is>
          <t>Trên 3 Năm</t>
        </is>
      </c>
      <c r="L19005" s="8">
        <f>HYPERLINK("https://careerviet.vn/vi/tim-viec-lam/chuyen-vien-phap-che-noi-bo.35C66D8F.html","Xem chi tiết")</f>
        <v/>
      </c>
    </row>
    <row r="19006">
      <c r="B19006" s="9" t="n">
        <v>19004</v>
      </c>
      <c r="C19006" s="10" t="inlineStr">
        <is>
          <t>Chuyên Viên Kiến Trúc</t>
        </is>
      </c>
      <c r="D19006" s="10" t="inlineStr">
        <is>
          <t>CÔNG TY CỔ PHẦN ĐẦU TƯ  BẤT ĐỘNG SẢN NHẤT GIA</t>
        </is>
      </c>
      <c r="E19006" s="10" t="inlineStr">
        <is>
          <t>Lương:15 Tr - 25 Tr VND</t>
        </is>
      </c>
      <c r="F19006" s="10" t="inlineStr">
        <is>
          <t>Hồ Chí Minh</t>
        </is>
      </c>
      <c r="G19006" s="10" t="inlineStr">
        <is>
          <t>29-03-2026</t>
        </is>
      </c>
      <c r="H19006" s="10" t="inlineStr">
        <is>
          <t>29/03/2026</t>
        </is>
      </c>
      <c r="I19006" s="10" t="inlineStr">
        <is>
          <t>17/03/2026</t>
        </is>
      </c>
      <c r="J19006" s="10" t="inlineStr">
        <is>
          <t>Kiến trúc, Xây dựng, Mỹ thuật / Nghệ thuật / Thiết kế</t>
        </is>
      </c>
      <c r="K19006" s="10" t="inlineStr">
        <is>
          <t>3 - 5 Năm</t>
        </is>
      </c>
      <c r="L19006" s="11">
        <f>HYPERLINK("https://careerviet.vn/vi/tim-viec-lam/chuyen-vien-kien-truc.35C66C8A.html","Xem chi tiết")</f>
        <v/>
      </c>
      <c r="M19006" s="10" t="n"/>
    </row>
    <row r="19007">
      <c r="B19007" s="7" t="n">
        <v>19005</v>
      </c>
      <c r="C19007" t="inlineStr">
        <is>
          <t>[Hà Nội] Quản Lý Phòng Khám</t>
        </is>
      </c>
      <c r="D19007" t="inlineStr">
        <is>
          <t>CareerViet's client</t>
        </is>
      </c>
      <c r="E19007" t="inlineStr">
        <is>
          <t>Lương:25 Tr - 50 Tr VND</t>
        </is>
      </c>
      <c r="F19007" t="inlineStr">
        <is>
          <t>Hà Nội</t>
        </is>
      </c>
      <c r="G19007" t="inlineStr">
        <is>
          <t>29-03-2026</t>
        </is>
      </c>
      <c r="H19007" t="inlineStr">
        <is>
          <t>29/03/2026</t>
        </is>
      </c>
      <c r="I19007" t="inlineStr">
        <is>
          <t>17/03/2026</t>
        </is>
      </c>
      <c r="J19007" t="inlineStr">
        <is>
          <t>Bán hàng / Kinh doanh, Y tế / Chăm sóc sức khỏe / Thẩm mỹ / Làm đẹp, Quản lý điều hành</t>
        </is>
      </c>
      <c r="K19007" t="inlineStr">
        <is>
          <t>3 - 5 Năm</t>
        </is>
      </c>
      <c r="L19007" s="8">
        <f>HYPERLINK("https://careerviet.vn/vi/tim-viec-lam/ha-noi-quan-ly-phong-kham.35C641AF.html","Xem chi tiết")</f>
        <v/>
      </c>
    </row>
    <row r="19008">
      <c r="B19008" s="9" t="n">
        <v>19006</v>
      </c>
      <c r="C19008" s="10" t="inlineStr">
        <is>
          <t>LIVESTREAM OPERATION LEADER</t>
        </is>
      </c>
      <c r="D19008" s="10" t="inlineStr">
        <is>
          <t>CÔNG TY TNHH ECOAE LỘC PHÁT</t>
        </is>
      </c>
      <c r="E19008" s="10" t="inlineStr">
        <is>
          <t>Lương:20 Tr - 25 Tr VND</t>
        </is>
      </c>
      <c r="F19008" s="10" t="inlineStr">
        <is>
          <t>Hồ Chí Minh</t>
        </is>
      </c>
      <c r="G19008" s="10" t="inlineStr">
        <is>
          <t>29-03-2026</t>
        </is>
      </c>
      <c r="H19008" s="10" t="inlineStr">
        <is>
          <t>29/03/2026</t>
        </is>
      </c>
      <c r="I19008" s="10" t="inlineStr">
        <is>
          <t>17/03/2026</t>
        </is>
      </c>
      <c r="J19008" s="10" t="inlineStr">
        <is>
          <t>Thương mại điện tử</t>
        </is>
      </c>
      <c r="K19008" s="10" t="inlineStr">
        <is>
          <t>2 - 3 Năm</t>
        </is>
      </c>
      <c r="L19008" s="11">
        <f>HYPERLINK("https://careerviet.vn/vi/tim-viec-lam/livestream-operation-leader.35C64249.html","Xem chi tiết")</f>
        <v/>
      </c>
      <c r="M19008" s="10" t="n"/>
    </row>
    <row r="19009">
      <c r="B19009" s="7" t="n">
        <v>19007</v>
      </c>
      <c r="C19009" t="inlineStr">
        <is>
          <t>Trưởng bộ phận Content</t>
        </is>
      </c>
      <c r="D19009" t="inlineStr">
        <is>
          <t>CÔNG TY CỔ PHẦN TẬP ĐOÀN ONSEN FUJI</t>
        </is>
      </c>
      <c r="E19009" t="inlineStr">
        <is>
          <t>Lương:30 Tr - 50 Tr VND</t>
        </is>
      </c>
      <c r="F19009" t="inlineStr">
        <is>
          <t>Hà Nội</t>
        </is>
      </c>
      <c r="G19009" t="inlineStr">
        <is>
          <t>29-03-2026</t>
        </is>
      </c>
      <c r="H19009" t="inlineStr">
        <is>
          <t>29/03/2026</t>
        </is>
      </c>
      <c r="I19009" t="inlineStr">
        <is>
          <t>17/03/2026</t>
        </is>
      </c>
      <c r="J19009" t="inlineStr">
        <is>
          <t>Tiếp thị / Marketing, Bất động sản</t>
        </is>
      </c>
      <c r="K19009" t="inlineStr">
        <is>
          <t>3 - 5 Năm</t>
        </is>
      </c>
      <c r="L19009" s="8">
        <f>HYPERLINK("https://careerviet.vn/vi/tim-viec-lam/truong-bo-phan-content.35C66D1B.html","Xem chi tiết")</f>
        <v/>
      </c>
    </row>
    <row r="19010">
      <c r="B19010" s="9" t="n">
        <v>19008</v>
      </c>
      <c r="C19010" s="10" t="inlineStr">
        <is>
          <t>Kế toán thuế</t>
        </is>
      </c>
      <c r="D19010" s="10" t="inlineStr">
        <is>
          <t>CÔNG TY CỔ PHẦN VẬT LIỆU VĨNH TÂN</t>
        </is>
      </c>
      <c r="E19010" s="10" t="inlineStr">
        <is>
          <t>Lương:12 Tr - 16 Tr VND</t>
        </is>
      </c>
      <c r="F19010" s="10" t="inlineStr">
        <is>
          <t>Hà Nội</t>
        </is>
      </c>
      <c r="G19010" s="10" t="inlineStr">
        <is>
          <t>29-03-2026</t>
        </is>
      </c>
      <c r="H19010" s="10" t="inlineStr">
        <is>
          <t>29/03/2026</t>
        </is>
      </c>
      <c r="I19010" s="10" t="inlineStr">
        <is>
          <t>17/03/2026</t>
        </is>
      </c>
      <c r="J19010" s="10" t="inlineStr">
        <is>
          <t>Kế toán / Kiểm toán</t>
        </is>
      </c>
      <c r="K19010" s="10" t="inlineStr">
        <is>
          <t>Trên 3 Năm</t>
        </is>
      </c>
      <c r="L19010" s="11">
        <f>HYPERLINK("https://careerviet.vn/vi/tim-viec-lam/ke-toan-thue.35C66C92.html","Xem chi tiết")</f>
        <v/>
      </c>
      <c r="M19010" s="10" t="n"/>
    </row>
    <row r="19011">
      <c r="B19011" s="7" t="n">
        <v>19009</v>
      </c>
      <c r="C19011" t="inlineStr">
        <is>
          <t>Business Development Representative</t>
        </is>
      </c>
      <c r="D19011" t="inlineStr">
        <is>
          <t>CÔNG TY TNHH THƯƠNG MẠI DỊCH VỤ MAGNOLIA VIỆT NAM</t>
        </is>
      </c>
      <c r="E19011" t="inlineStr">
        <is>
          <t>Lương:12 Tr - 25 Tr VND</t>
        </is>
      </c>
      <c r="F19011" t="inlineStr">
        <is>
          <t>Hồ Chí MinhKhánh HòaHà Nội</t>
        </is>
      </c>
      <c r="G19011" t="inlineStr">
        <is>
          <t>29-03-2026</t>
        </is>
      </c>
      <c r="H19011" t="inlineStr">
        <is>
          <t>29/03/2026</t>
        </is>
      </c>
      <c r="I19011" t="inlineStr">
        <is>
          <t>17/03/2026</t>
        </is>
      </c>
      <c r="J19011" t="inlineStr">
        <is>
          <t>Tiếp thị / Marketing, Bán hàng / Kinh doanh, Thực phẩm &amp; Đồ uống</t>
        </is>
      </c>
      <c r="K19011" t="inlineStr">
        <is>
          <t>2 - 5 Năm</t>
        </is>
      </c>
      <c r="L19011" s="8">
        <f>HYPERLINK("https://careerviet.vn/vi/tim-viec-lam/business-development-representative.35C63FAD.html","Xem chi tiết")</f>
        <v/>
      </c>
    </row>
    <row r="19012">
      <c r="B19012" s="9" t="n">
        <v>19010</v>
      </c>
      <c r="C19012" s="10" t="inlineStr">
        <is>
          <t>EQUIPMENT ELECTRICAL DESIGN ENGINEER</t>
        </is>
      </c>
      <c r="D19012" s="10" t="inlineStr">
        <is>
          <t>Công ty TNHH Sài Gòn Stec</t>
        </is>
      </c>
      <c r="E19012" s="10" t="inlineStr">
        <is>
          <t>Lương:15 Tr - 23 Tr VND</t>
        </is>
      </c>
      <c r="F19012" s="10" t="inlineStr">
        <is>
          <t>Bình Dương</t>
        </is>
      </c>
      <c r="G19012" s="10" t="inlineStr">
        <is>
          <t>29-03-2026</t>
        </is>
      </c>
      <c r="H19012" s="10" t="inlineStr">
        <is>
          <t>29/03/2026</t>
        </is>
      </c>
      <c r="I19012" s="10" t="inlineStr">
        <is>
          <t>17/03/2026</t>
        </is>
      </c>
      <c r="J19012" s="10" t="inlineStr">
        <is>
          <t>Cơ khí / Ô tô / Tự động hóa, Điện / Điện tử / Điện lạnh / Điện công nghiệp, Bảo trì / Sửa chữa</t>
        </is>
      </c>
      <c r="K19012" s="10" t="inlineStr">
        <is>
          <t>2 - 5 Năm</t>
        </is>
      </c>
      <c r="L19012" s="11">
        <f>HYPERLINK("https://careerviet.vn/vi/tim-viec-lam/equipment-electrical-design-engineer.35C64151.html","Xem chi tiết")</f>
        <v/>
      </c>
      <c r="M19012" s="10" t="n"/>
    </row>
    <row r="19013">
      <c r="B19013" s="7" t="n">
        <v>19011</v>
      </c>
      <c r="C19013" t="inlineStr">
        <is>
          <t>KỸ SƯ THIẾT KẾ KẾT CẤU</t>
        </is>
      </c>
      <c r="D19013" t="inlineStr">
        <is>
          <t>Công Ty TNHH Sản Xuất Kinh Doanh Hai Thành</t>
        </is>
      </c>
      <c r="E19013" t="inlineStr">
        <is>
          <t>Lương:18 Tr - 20 Tr VND</t>
        </is>
      </c>
      <c r="F19013" t="inlineStr">
        <is>
          <t>Hồ Chí Minh</t>
        </is>
      </c>
      <c r="G19013" t="inlineStr">
        <is>
          <t>29-03-2026</t>
        </is>
      </c>
      <c r="H19013" t="inlineStr">
        <is>
          <t>29/03/2026</t>
        </is>
      </c>
      <c r="I19013" t="inlineStr">
        <is>
          <t>17/03/2026</t>
        </is>
      </c>
      <c r="J19013" t="inlineStr">
        <is>
          <t>Xây dựng, Kiến trúc, Bất động sản</t>
        </is>
      </c>
      <c r="K19013" t="inlineStr">
        <is>
          <t>3 - 5 Năm</t>
        </is>
      </c>
      <c r="L19013" s="8">
        <f>HYPERLINK("https://careerviet.vn/vi/tim-viec-lam/ky-su-thiet-ke-ket-cau.35C640C9.html","Xem chi tiết")</f>
        <v/>
      </c>
    </row>
    <row r="19014">
      <c r="B19014" s="9" t="n">
        <v>19012</v>
      </c>
      <c r="C19014" s="10" t="inlineStr">
        <is>
          <t>Nhân viên Hành chính Lễ tân</t>
        </is>
      </c>
      <c r="D19014" s="10" t="inlineStr">
        <is>
          <t>PVInvest - Công Ty Cổ Phần Đầu Tư và Kinh doanh Bất Động Sản Phương Việt</t>
        </is>
      </c>
      <c r="E19014" s="10" t="inlineStr">
        <is>
          <t>Lương:13 Tr - 16 Tr VND</t>
        </is>
      </c>
      <c r="F19014" s="10" t="inlineStr">
        <is>
          <t>Hồ Chí Minh</t>
        </is>
      </c>
      <c r="G19014" s="10" t="inlineStr">
        <is>
          <t>31-03-2026</t>
        </is>
      </c>
      <c r="H19014" s="10" t="inlineStr">
        <is>
          <t>31/03/2026</t>
        </is>
      </c>
      <c r="I19014" s="10" t="inlineStr">
        <is>
          <t>17/03/2026</t>
        </is>
      </c>
      <c r="J19014" s="10" t="inlineStr">
        <is>
          <t>Hành chính / Thư ký, Bất động sản, Nhân sự</t>
        </is>
      </c>
      <c r="K19014" s="10" t="inlineStr">
        <is>
          <t>3 - 7 Năm</t>
        </is>
      </c>
      <c r="L19014" s="11">
        <f>HYPERLINK("https://careerviet.vn/vi/tim-viec-lam/nhan-vien-hanh-chinh-le-tan.35C6A0D1.html","Xem chi tiết")</f>
        <v/>
      </c>
      <c r="M19014" s="10" t="n"/>
    </row>
    <row r="19015">
      <c r="B19015" s="7" t="n">
        <v>19013</v>
      </c>
      <c r="C19015" t="inlineStr">
        <is>
          <t>Sales specialist - B2B</t>
        </is>
      </c>
      <c r="D19015" t="inlineStr">
        <is>
          <t>HR Vietnam’s ESS Client</t>
        </is>
      </c>
      <c r="E19015" t="inlineStr">
        <is>
          <t>Lương:Cạnh tranh</t>
        </is>
      </c>
      <c r="F19015" t="inlineStr">
        <is>
          <t>Hà Nội</t>
        </is>
      </c>
      <c r="G19015" t="inlineStr">
        <is>
          <t>29-03-2026</t>
        </is>
      </c>
      <c r="H19015" t="inlineStr">
        <is>
          <t>29/03/2026</t>
        </is>
      </c>
      <c r="I19015" t="inlineStr">
        <is>
          <t>17/03/2026</t>
        </is>
      </c>
      <c r="J19015" t="inlineStr">
        <is>
          <t>Tiếp thị / Marketing, Bán lẻ / Bán sỉ, Bán hàng / Kinh doanh</t>
        </is>
      </c>
      <c r="K19015" t="inlineStr">
        <is>
          <t>Trên 1 Năm</t>
        </is>
      </c>
      <c r="L19015" s="8">
        <f>HYPERLINK("https://careerviet.vn/vi/tim-viec-lam/sales-specialist-b2b.35C64275.html","Xem chi tiết")</f>
        <v/>
      </c>
    </row>
    <row r="19016">
      <c r="B19016" s="9" t="n">
        <v>19014</v>
      </c>
      <c r="C19016" s="10" t="inlineStr">
        <is>
          <t>QUẢN LÝ SÀN THƯƠNG MẠI ĐIỆN TỬ</t>
        </is>
      </c>
      <c r="D19016" s="10" t="inlineStr">
        <is>
          <t>CÔNG TY CỔ PHẦN TẬP ĐOÀN KALPEN</t>
        </is>
      </c>
      <c r="E19016" s="10" t="inlineStr">
        <is>
          <t>Lương:10 Tr - 15 Tr VND</t>
        </is>
      </c>
      <c r="F19016" s="10" t="inlineStr">
        <is>
          <t>Hà Nội</t>
        </is>
      </c>
      <c r="G19016" s="10" t="inlineStr">
        <is>
          <t>29-03-2026</t>
        </is>
      </c>
      <c r="H19016" s="10" t="inlineStr">
        <is>
          <t>29/03/2026</t>
        </is>
      </c>
      <c r="I19016" s="10" t="inlineStr">
        <is>
          <t>17/03/2026</t>
        </is>
      </c>
      <c r="J19016" s="10" t="inlineStr">
        <is>
          <t>Bán lẻ / Bán sỉ, Bán hàng / Kinh doanh, Thương mại điện tử</t>
        </is>
      </c>
      <c r="K19016" s="10" t="inlineStr">
        <is>
          <t>1 - 2 Năm</t>
        </is>
      </c>
      <c r="L19016" s="11">
        <f>HYPERLINK("https://careerviet.vn/vi/tim-viec-lam/quan-ly-san-thuong-mai-dien-tu.35C66DAA.html","Xem chi tiết")</f>
        <v/>
      </c>
      <c r="M19016" s="10" t="n"/>
    </row>
    <row r="19017">
      <c r="B19017" s="7" t="n">
        <v>19015</v>
      </c>
      <c r="C19017" t="inlineStr">
        <is>
          <t>Nhân Viên Bán Hàng/ PG (Siêu Thị/ Chuỗi Mỹ Phẩm/ Cửa hàng tiện lợi)</t>
        </is>
      </c>
      <c r="D19017" t="inlineStr">
        <is>
          <t>CÔNG TY TNHH ROHTO-MENTHOLATUM (VIỆT NAM)</t>
        </is>
      </c>
      <c r="E19017" t="inlineStr">
        <is>
          <t>Lương:8 Tr - 12 Tr VND</t>
        </is>
      </c>
      <c r="F19017" t="inlineStr">
        <is>
          <t>Hồ Chí MinhHưng YênKiên Giang</t>
        </is>
      </c>
      <c r="G19017" t="inlineStr">
        <is>
          <t>29-03-2026</t>
        </is>
      </c>
      <c r="H19017" t="inlineStr">
        <is>
          <t>29/03/2026</t>
        </is>
      </c>
      <c r="I19017" t="inlineStr">
        <is>
          <t>17/03/2026</t>
        </is>
      </c>
      <c r="J19017" t="inlineStr">
        <is>
          <t>Tiếp thị / Marketing, Bán hàng / Kinh doanh, Hàng gia dụng / Chăm sóc cá nhânBằng cấpTrung họcĐộ tuổiKhông giới hạn tuổi</t>
        </is>
      </c>
      <c r="K19017" t="inlineStr">
        <is>
          <t>N/A</t>
        </is>
      </c>
      <c r="L19017" s="8">
        <f>HYPERLINK("https://careerviet.vn/vi/tim-viec-lam/nhan-vien-ban-hang-pg-sieu-thi-chuoi-my-pham-cua-hang-tien-loi.35C64164.html","Xem chi tiết")</f>
        <v/>
      </c>
    </row>
    <row r="19018">
      <c r="B19018" s="9" t="n">
        <v>19016</v>
      </c>
      <c r="C19018" s="10" t="inlineStr">
        <is>
          <t>[Phenikaa Uni] Nhân viên Phát triển hoạt động trải nghiệm sinh viên - Viện Đào tạo quốc tế</t>
        </is>
      </c>
      <c r="D19018" s="10" t="inlineStr">
        <is>
          <t>ĐẠI HỌC PHENIKAA</t>
        </is>
      </c>
      <c r="E19018" s="10" t="inlineStr">
        <is>
          <t>Lương:Cạnh tranh</t>
        </is>
      </c>
      <c r="F19018" s="10" t="inlineStr">
        <is>
          <t>Hà Nội</t>
        </is>
      </c>
      <c r="G19018" s="10" t="inlineStr">
        <is>
          <t>29-03-2026</t>
        </is>
      </c>
      <c r="H19018" s="10" t="inlineStr">
        <is>
          <t>29/03/2026</t>
        </is>
      </c>
      <c r="I19018" s="10" t="inlineStr">
        <is>
          <t>17/03/2026</t>
        </is>
      </c>
      <c r="J19018" s="10" t="inlineStr">
        <is>
          <t>Giáo dục / Đào tạo, Phi chính phủ / Phi lợi nhuận, Quản lý điều hành</t>
        </is>
      </c>
      <c r="K19018" s="10" t="inlineStr">
        <is>
          <t>1 - 3 Năm</t>
        </is>
      </c>
      <c r="L19018" s="11">
        <f>HYPERLINK("https://careerviet.vn/vi/tim-viec-lam/phenikaa-uni-nhan-vien-phat-trien-hoat-dong-trai-nghiem-sinh-vien-vien-dao-tao-quoc-te.35C66D02.html","Xem chi tiết")</f>
        <v/>
      </c>
      <c r="M19018" s="10" t="n"/>
    </row>
    <row r="19019">
      <c r="B19019" s="7" t="n">
        <v>19017</v>
      </c>
      <c r="C19019" t="inlineStr">
        <is>
          <t>Nhân Viên Tư vấn sản phẩm Showroom</t>
        </is>
      </c>
      <c r="D19019" t="inlineStr">
        <is>
          <t>Tập Đoàn Karofi Holding</t>
        </is>
      </c>
      <c r="E19019" t="inlineStr">
        <is>
          <t>Lương:7 Tr - 11 Tr VND</t>
        </is>
      </c>
      <c r="F19019" t="inlineStr">
        <is>
          <t>Hồ Chí Minh</t>
        </is>
      </c>
      <c r="G19019" t="inlineStr">
        <is>
          <t>29-03-2026</t>
        </is>
      </c>
      <c r="H19019" t="inlineStr">
        <is>
          <t>29/03/2026</t>
        </is>
      </c>
      <c r="I19019" t="inlineStr">
        <is>
          <t>17/03/2026</t>
        </is>
      </c>
      <c r="J19019" t="inlineStr">
        <is>
          <t>Bán lẻ / Bán sỉ, Bán hàng / Kinh doanh, Tiếp thị / Marketing</t>
        </is>
      </c>
      <c r="K19019" t="inlineStr">
        <is>
          <t>Lên đến 1 Năm</t>
        </is>
      </c>
      <c r="L19019" s="8">
        <f>HYPERLINK("https://careerviet.vn/vi/tim-viec-lam/nhan-vien-tu-van-san-pham-showroom.35C64135.html","Xem chi tiết")</f>
        <v/>
      </c>
    </row>
    <row r="19020">
      <c r="B19020" s="9" t="n">
        <v>19018</v>
      </c>
      <c r="C19020" s="10" t="inlineStr">
        <is>
          <t>Trade Marketing</t>
        </is>
      </c>
      <c r="D19020" s="10" t="inlineStr">
        <is>
          <t>CHI NHÁNH CT CP TẬP ĐOÀN SUNHOUSE TẠI TPHCM</t>
        </is>
      </c>
      <c r="E19020" s="10" t="inlineStr">
        <is>
          <t>Lương:10 Tr - 15 Tr VND</t>
        </is>
      </c>
      <c r="F19020" s="10" t="inlineStr">
        <is>
          <t>Hồ Chí Minh</t>
        </is>
      </c>
      <c r="G19020" s="10" t="inlineStr">
        <is>
          <t>31-03-2026</t>
        </is>
      </c>
      <c r="H19020" s="10" t="inlineStr">
        <is>
          <t>31/03/2026</t>
        </is>
      </c>
      <c r="I19020" s="10" t="inlineStr">
        <is>
          <t>17/03/2026</t>
        </is>
      </c>
      <c r="J19020" s="10" t="inlineStr">
        <is>
          <t>Tiếp thị / Marketing, Bán lẻ / Bán sỉ, Quảng cáo / Đối ngoại / Truyền Thông</t>
        </is>
      </c>
      <c r="K19020" s="10" t="inlineStr">
        <is>
          <t>1 - 3 Năm</t>
        </is>
      </c>
      <c r="L19020" s="11">
        <f>HYPERLINK("https://careerviet.vn/vi/tim-viec-lam/trade-marketing.35C6A040.html","Xem chi tiết")</f>
        <v/>
      </c>
      <c r="M19020" s="10" t="n"/>
    </row>
    <row r="19021">
      <c r="B19021" s="7" t="n">
        <v>19019</v>
      </c>
      <c r="C19021" t="inlineStr">
        <is>
          <t>Nhân viên Hành chính - Lễ tân</t>
        </is>
      </c>
      <c r="D19021" t="inlineStr">
        <is>
          <t>Công Ty Cổ Phần Eurowindow</t>
        </is>
      </c>
      <c r="E19021" t="inlineStr">
        <is>
          <t>Lương:Cạnh tranh</t>
        </is>
      </c>
      <c r="F19021" t="inlineStr">
        <is>
          <t>Hồ Chí Minh</t>
        </is>
      </c>
      <c r="G19021" t="inlineStr">
        <is>
          <t>29-03-2026</t>
        </is>
      </c>
      <c r="H19021" t="inlineStr">
        <is>
          <t>29/03/2026</t>
        </is>
      </c>
      <c r="I19021" t="inlineStr">
        <is>
          <t>17/03/2026</t>
        </is>
      </c>
      <c r="J19021" t="inlineStr">
        <is>
          <t>Hành chính / Thư ký, Nhân sự</t>
        </is>
      </c>
      <c r="K19021" t="inlineStr">
        <is>
          <t>Lên đến 1 Năm</t>
        </is>
      </c>
      <c r="L19021" s="8">
        <f>HYPERLINK("https://careerviet.vn/vi/tim-viec-lam/nhan-vien-hanh-chinh-le-tan.35C6A0A1.html","Xem chi tiết")</f>
        <v/>
      </c>
    </row>
    <row r="19022">
      <c r="B19022" s="9" t="n">
        <v>19020</v>
      </c>
      <c r="C19022" s="10" t="inlineStr">
        <is>
          <t>TRƯỞNG PHÒNG HÀNH CHÍNH – NHÂN SỰ</t>
        </is>
      </c>
      <c r="D19022" s="10" t="inlineStr">
        <is>
          <t>CÔNG TY CỔ PHẦN DEWOO VIỆT NAM</t>
        </is>
      </c>
      <c r="E19022" s="10" t="inlineStr">
        <is>
          <t>Lương:Cạnh tranh</t>
        </is>
      </c>
      <c r="F19022" s="10" t="inlineStr">
        <is>
          <t>Bình Dương</t>
        </is>
      </c>
      <c r="G19022" s="10" t="inlineStr">
        <is>
          <t>27-03-2026</t>
        </is>
      </c>
      <c r="H19022" s="10" t="inlineStr">
        <is>
          <t>27/03/2026</t>
        </is>
      </c>
      <c r="I19022" s="10" t="inlineStr">
        <is>
          <t>17/03/2026</t>
        </is>
      </c>
      <c r="J19022" s="10" t="inlineStr">
        <is>
          <t>Sản xuất / Vận hành sản xuất, Nhân sự, Hành chính / Thư ký</t>
        </is>
      </c>
      <c r="K19022" s="10" t="inlineStr">
        <is>
          <t>2 - 5 Năm</t>
        </is>
      </c>
      <c r="L19022" s="11">
        <f>HYPERLINK("https://careerviet.vn/vi/tim-viec-lam/truong-phong-hanh-chinh-nhan-su.35C6A041.html","Xem chi tiết")</f>
        <v/>
      </c>
      <c r="M19022" s="10" t="n"/>
    </row>
    <row r="19023">
      <c r="B19023" s="7" t="n">
        <v>19021</v>
      </c>
      <c r="C19023" t="inlineStr">
        <is>
          <t>THƯ KÝ TỔNG GIÁM ĐỐC - NHẬN VIỆC SAU TẾT</t>
        </is>
      </c>
      <c r="D19023" t="inlineStr">
        <is>
          <t>CÔNG TY CỔ PHẦN THỰC PHẨM FRESCO</t>
        </is>
      </c>
      <c r="E19023" t="inlineStr">
        <is>
          <t>Lương:15 Tr - 20 Tr VND</t>
        </is>
      </c>
      <c r="F19023" t="inlineStr">
        <is>
          <t>Hồ Chí Minh</t>
        </is>
      </c>
      <c r="G19023" t="inlineStr">
        <is>
          <t>6</t>
        </is>
      </c>
      <c r="H19023" t="inlineStr">
        <is>
          <t>23/03/2026</t>
        </is>
      </c>
      <c r="I19023" t="inlineStr">
        <is>
          <t>17/03/2026</t>
        </is>
      </c>
      <c r="J19023" t="inlineStr">
        <is>
          <t>Luật / Pháp lý, Thực phẩm &amp; Đồ uống, Hành chính / Thư ký</t>
        </is>
      </c>
      <c r="K19023" t="inlineStr">
        <is>
          <t>N/A</t>
        </is>
      </c>
      <c r="L19023" s="8">
        <f>HYPERLINK("https://careerviet.vn/vi/tim-viec-lam/thu-ky-tong-giam-doc-nhan-viec-sau-tet.35C664A3.html","Xem chi tiết")</f>
        <v/>
      </c>
    </row>
    <row r="19024">
      <c r="B19024" s="9" t="n">
        <v>19022</v>
      </c>
      <c r="C19024" s="10" t="inlineStr">
        <is>
          <t>Thư ký kinh doanh kênh GT</t>
        </is>
      </c>
      <c r="D19024" s="10" t="inlineStr">
        <is>
          <t>CHI NHÁNH CT CP TẬP ĐOÀN SUNHOUSE TẠI TPHCM</t>
        </is>
      </c>
      <c r="E19024" s="10" t="inlineStr">
        <is>
          <t>Lương:12 Tr - 15 Tr VND</t>
        </is>
      </c>
      <c r="F19024" s="10" t="inlineStr">
        <is>
          <t>Hồ Chí Minh</t>
        </is>
      </c>
      <c r="G19024" s="10" t="inlineStr">
        <is>
          <t>31-03-2026</t>
        </is>
      </c>
      <c r="H19024" s="10" t="inlineStr">
        <is>
          <t>31/03/2026</t>
        </is>
      </c>
      <c r="I19024" s="10" t="inlineStr">
        <is>
          <t>17/03/2026</t>
        </is>
      </c>
      <c r="J19024" s="10" t="inlineStr">
        <is>
          <t>Bán hàng / Kinh doanh, Hành chính / Thư ký, Kế toán / Kiểm toán</t>
        </is>
      </c>
      <c r="K19024" s="10" t="inlineStr">
        <is>
          <t>1 - 2 Năm</t>
        </is>
      </c>
      <c r="L19024" s="11">
        <f>HYPERLINK("https://careerviet.vn/vi/tim-viec-lam/thu-ky-kinh-doanh-kenh-gt.35C69EFF.html","Xem chi tiết")</f>
        <v/>
      </c>
      <c r="M19024" s="10" t="n"/>
    </row>
    <row r="19025">
      <c r="B19025" s="7" t="n">
        <v>19023</v>
      </c>
      <c r="C19025" t="inlineStr">
        <is>
          <t>Nhân Viên Kỹ Thuật Thiết Bị Hóa – Sinh</t>
        </is>
      </c>
      <c r="D19025" t="inlineStr">
        <is>
          <t>CÔNG TY TNHH THIẾT BỊ GIÁO DỤC TẦM NHÌN MỚI</t>
        </is>
      </c>
      <c r="E19025" t="inlineStr">
        <is>
          <t>Lương:10 Tr - 20 Tr VND</t>
        </is>
      </c>
      <c r="F19025" t="inlineStr">
        <is>
          <t>Hồ Chí Minh</t>
        </is>
      </c>
      <c r="G19025" t="inlineStr">
        <is>
          <t>03-04-2026</t>
        </is>
      </c>
      <c r="H19025" t="inlineStr">
        <is>
          <t>03/04/2026</t>
        </is>
      </c>
      <c r="I19025" t="inlineStr">
        <is>
          <t>17/03/2026</t>
        </is>
      </c>
      <c r="J19025" t="inlineStr">
        <is>
          <t>Hóa học, Bảo trì / Sửa chữa, Công nghệ sinh học</t>
        </is>
      </c>
      <c r="K19025" t="inlineStr">
        <is>
          <t>N/A</t>
        </is>
      </c>
      <c r="L19025" s="8">
        <f>HYPERLINK("https://careerviet.vn/vi/tim-viec-lam/nhan-vien-ky-thuat-thiet-bi-hoa-sinh.35C69FF5.html","Xem chi tiết")</f>
        <v/>
      </c>
    </row>
    <row r="19026">
      <c r="B19026" s="9" t="n">
        <v>19024</v>
      </c>
      <c r="C19026" s="10" t="inlineStr">
        <is>
          <t>Kỹ Sư Thiết Bị</t>
        </is>
      </c>
      <c r="D19026" s="10" t="inlineStr">
        <is>
          <t>CÔNG TY TNHH RYDER INDUSTRIES VIỆT NAM</t>
        </is>
      </c>
      <c r="E19026" s="10" t="inlineStr">
        <is>
          <t>Lương:30 Tr - 40 Tr VND</t>
        </is>
      </c>
      <c r="F19026" s="10" t="inlineStr">
        <is>
          <t>Đồng Nai</t>
        </is>
      </c>
      <c r="G19026" s="10" t="inlineStr">
        <is>
          <t>27-03-2026</t>
        </is>
      </c>
      <c r="H19026" s="10" t="inlineStr">
        <is>
          <t>27/03/2026</t>
        </is>
      </c>
      <c r="I19026" s="10" t="inlineStr">
        <is>
          <t>17/03/2026</t>
        </is>
      </c>
      <c r="J19026" s="10" t="inlineStr">
        <is>
          <t>Sản xuất / Vận hành sản xuất, Cơ khí / Ô tô / Tự động hóa, Điện / Điện tử / Điện lạnh / Điện công nghiệp</t>
        </is>
      </c>
      <c r="K19026" s="10" t="inlineStr">
        <is>
          <t>Trên 5 Năm</t>
        </is>
      </c>
      <c r="L19026" s="11">
        <f>HYPERLINK("https://careerviet.vn/vi/tim-viec-lam/ky-su-thiet-bi.35C69E2B.html","Xem chi tiết")</f>
        <v/>
      </c>
      <c r="M19026" s="10" t="n"/>
    </row>
    <row r="19027">
      <c r="B19027" s="7" t="n">
        <v>19025</v>
      </c>
      <c r="C19027" t="inlineStr">
        <is>
          <t>HCM_Giao dịch viên</t>
        </is>
      </c>
      <c r="D19027" t="inlineStr">
        <is>
          <t>Ngân hàng TMCP Phát triển TP.HCM (HDBank)</t>
        </is>
      </c>
      <c r="E19027" t="inlineStr">
        <is>
          <t>Lương:Cạnh tranh</t>
        </is>
      </c>
      <c r="F19027" t="inlineStr">
        <is>
          <t>Hồ Chí Minh</t>
        </is>
      </c>
      <c r="G19027" t="inlineStr">
        <is>
          <t>31-03-2026</t>
        </is>
      </c>
      <c r="H19027" t="inlineStr">
        <is>
          <t>31/03/2026</t>
        </is>
      </c>
      <c r="I19027" t="inlineStr">
        <is>
          <t>17/03/2026</t>
        </is>
      </c>
      <c r="J19027" t="inlineStr">
        <is>
          <t>Kế toán / Kiểm toán, Ngân hàng, Tài chính / Đầu tư</t>
        </is>
      </c>
      <c r="K19027" t="inlineStr">
        <is>
          <t>1 - 2 Năm</t>
        </is>
      </c>
      <c r="L19027" s="8">
        <f>HYPERLINK("https://careerviet.vn/vi/tim-viec-lam/hcm_giao-dich-vien.35C6A02D.html","Xem chi tiết")</f>
        <v/>
      </c>
    </row>
    <row r="19028">
      <c r="B19028" s="9" t="n">
        <v>19026</v>
      </c>
      <c r="C19028" s="10" t="inlineStr">
        <is>
          <t>Receptionist cum Admin Officer (Fresh Graduate)</t>
        </is>
      </c>
      <c r="D19028" s="10" t="inlineStr">
        <is>
          <t>CÔNG TY TNHH ROHTO-MENTHOLATUM (VIỆT NAM)</t>
        </is>
      </c>
      <c r="E19028" s="10" t="inlineStr">
        <is>
          <t>Lương:Cạnh tranh</t>
        </is>
      </c>
      <c r="F19028" s="10" t="inlineStr">
        <is>
          <t>Hồ Chí Minh</t>
        </is>
      </c>
      <c r="G19028" s="10" t="inlineStr">
        <is>
          <t>27-03-2026</t>
        </is>
      </c>
      <c r="H19028" s="10" t="inlineStr">
        <is>
          <t>27/03/2026</t>
        </is>
      </c>
      <c r="I19028" s="10" t="inlineStr">
        <is>
          <t>17/03/2026</t>
        </is>
      </c>
      <c r="J19028" s="10" t="inlineStr">
        <is>
          <t>Hành chính / Thư ký</t>
        </is>
      </c>
      <c r="K19028" s="10" t="inlineStr">
        <is>
          <t>Chưa có kinh nghiệm</t>
        </is>
      </c>
      <c r="L19028" s="11">
        <f>HYPERLINK("https://careerviet.vn/vi/tim-viec-lam/receptionist-cum-admin-officer-fresh-graduate.35C69E82.html","Xem chi tiết")</f>
        <v/>
      </c>
      <c r="M19028" s="10" t="n"/>
    </row>
    <row r="19029">
      <c r="B19029" s="7" t="n">
        <v>19027</v>
      </c>
      <c r="C19029" t="inlineStr">
        <is>
          <t>Nhân Viên Thu Mua Và Cung Ứng Vật Tư Xây Dựng</t>
        </is>
      </c>
      <c r="D19029" t="inlineStr">
        <is>
          <t>Huy Thuoc Construction Ltd.,</t>
        </is>
      </c>
      <c r="E19029" t="inlineStr">
        <is>
          <t>Lương:12 Tr - 20 Tr VND</t>
        </is>
      </c>
      <c r="F19029" t="inlineStr">
        <is>
          <t>Hồ Chí Minh</t>
        </is>
      </c>
      <c r="G19029" t="inlineStr">
        <is>
          <t>27-03-2026</t>
        </is>
      </c>
      <c r="H19029" t="inlineStr">
        <is>
          <t>27/03/2026</t>
        </is>
      </c>
      <c r="I19029" t="inlineStr">
        <is>
          <t>17/03/2026</t>
        </is>
      </c>
      <c r="J19029" t="inlineStr">
        <is>
          <t>Thu mua / Vật tư, Xây dựng, Nội ngoại thất</t>
        </is>
      </c>
      <c r="K19029" t="inlineStr">
        <is>
          <t>N/A</t>
        </is>
      </c>
      <c r="L19029" s="8">
        <f>HYPERLINK("https://careerviet.vn/vi/tim-viec-lam/nhan-vien-thu-mua-va-cung-ung-vat-tu-xay-dung.35C69D9B.html","Xem chi tiết")</f>
        <v/>
      </c>
    </row>
    <row r="19030">
      <c r="B19030" s="9" t="n">
        <v>19028</v>
      </c>
      <c r="C19030" s="10" t="inlineStr">
        <is>
          <t>Oversea Purchasing Intern</t>
        </is>
      </c>
      <c r="D19030" s="10" t="inlineStr">
        <is>
          <t>Concung.com - Con Cung Joint Stock Company</t>
        </is>
      </c>
      <c r="E19030" s="10" t="inlineStr">
        <is>
          <t>Lương:3 Tr - 4 Tr VND</t>
        </is>
      </c>
      <c r="F19030" s="10" t="inlineStr">
        <is>
          <t>Hồ Chí Minh</t>
        </is>
      </c>
      <c r="G19030" s="10" t="inlineStr">
        <is>
          <t>31-03-2026</t>
        </is>
      </c>
      <c r="H19030" s="10" t="inlineStr">
        <is>
          <t>31/03/2026</t>
        </is>
      </c>
      <c r="I19030" s="10" t="inlineStr">
        <is>
          <t>17/03/2026</t>
        </is>
      </c>
      <c r="J19030" s="10" t="inlineStr">
        <is>
          <t>Thu mua / Vật tư</t>
        </is>
      </c>
      <c r="K19030" s="10" t="inlineStr">
        <is>
          <t>N/A</t>
        </is>
      </c>
      <c r="L19030" s="11">
        <f>HYPERLINK("https://careerviet.vn/vi/tim-viec-lam/oversea-purchasing-intern.35C69F02.html","Xem chi tiết")</f>
        <v/>
      </c>
      <c r="M19030" s="10" t="n"/>
    </row>
    <row r="19031">
      <c r="B19031" s="7" t="n">
        <v>19029</v>
      </c>
      <c r="C19031" t="inlineStr">
        <is>
          <t>Trưởng phòng Hành chính</t>
        </is>
      </c>
      <c r="D19031" t="inlineStr">
        <is>
          <t>Công ty Cổ phần Chứng khoán DNSE</t>
        </is>
      </c>
      <c r="E19031" t="inlineStr">
        <is>
          <t>Lương:Cạnh tranh</t>
        </is>
      </c>
      <c r="F19031" t="inlineStr">
        <is>
          <t>Hà Nội</t>
        </is>
      </c>
      <c r="G19031" t="inlineStr">
        <is>
          <t>28-03-2026</t>
        </is>
      </c>
      <c r="H19031" t="inlineStr">
        <is>
          <t>28/03/2026</t>
        </is>
      </c>
      <c r="I19031" t="inlineStr">
        <is>
          <t>17/03/2026</t>
        </is>
      </c>
      <c r="J19031" t="inlineStr">
        <is>
          <t>Hành chính / Thư ký, Quản lý điều hành, Nhân sự</t>
        </is>
      </c>
      <c r="K19031" t="inlineStr">
        <is>
          <t>Trên 5 Năm</t>
        </is>
      </c>
      <c r="L19031" s="8">
        <f>HYPERLINK("https://careerviet.vn/vi/tim-viec-lam/truong-phong-hanh-chinh.35C66C0A.html","Xem chi tiết")</f>
        <v/>
      </c>
    </row>
    <row r="19032">
      <c r="B19032" s="9" t="n">
        <v>19030</v>
      </c>
      <c r="C19032" s="10" t="inlineStr">
        <is>
          <t>[Hà Nội] - Giao dịch viên Khách hàng Cao cấp - Khối Ngân hàng Cá nhân</t>
        </is>
      </c>
      <c r="D19032" s="10" t="inlineStr">
        <is>
          <t>Ngân Hàng TMCP Tiên Phong (TPBank)</t>
        </is>
      </c>
      <c r="E19032" s="10" t="inlineStr">
        <is>
          <t>Lương:Cạnh tranh</t>
        </is>
      </c>
      <c r="F19032" s="10" t="inlineStr">
        <is>
          <t>Hà Nội</t>
        </is>
      </c>
      <c r="G19032" s="10" t="inlineStr">
        <is>
          <t>28-03-2026</t>
        </is>
      </c>
      <c r="H19032" s="10" t="inlineStr">
        <is>
          <t>28/03/2026</t>
        </is>
      </c>
      <c r="I19032" s="10" t="inlineStr">
        <is>
          <t>17/03/2026</t>
        </is>
      </c>
      <c r="J19032" s="10" t="inlineStr">
        <is>
          <t>Ngân hàng, Dịch vụ khách hàng</t>
        </is>
      </c>
      <c r="K19032" s="10" t="inlineStr">
        <is>
          <t>1 - 3 Năm</t>
        </is>
      </c>
      <c r="L19032" s="11">
        <f>HYPERLINK("https://careerviet.vn/vi/tim-viec-lam/ha-noi-giao-dich-vien-khach-hang-cao-cap-khoi-ngan-hang-ca-nhan.35C66B8F.html","Xem chi tiết")</f>
        <v/>
      </c>
      <c r="M19032" s="10" t="n"/>
    </row>
    <row r="19033">
      <c r="B19033" s="7" t="n">
        <v>19031</v>
      </c>
      <c r="C19033" t="inlineStr">
        <is>
          <t>NHÂN VIÊN THỦ KHO - CHI NHÁNH HỒ CHÍ MINH</t>
        </is>
      </c>
      <c r="D19033" t="inlineStr">
        <is>
          <t>CÔNG TY TNHH THỰC PHẨM FARINA  – CHI NHÁNH HỒ CHÍ MINH</t>
        </is>
      </c>
      <c r="E19033" t="inlineStr">
        <is>
          <t>Lương:Cạnh tranh</t>
        </is>
      </c>
      <c r="F19033" t="inlineStr">
        <is>
          <t>Bình Dương</t>
        </is>
      </c>
      <c r="G19033" t="inlineStr">
        <is>
          <t>28-03-2026</t>
        </is>
      </c>
      <c r="H19033" t="inlineStr">
        <is>
          <t>28/03/2026</t>
        </is>
      </c>
      <c r="I19033" t="inlineStr">
        <is>
          <t>17/03/2026</t>
        </is>
      </c>
      <c r="J19033" t="inlineStr">
        <is>
          <t>Vận chuyển / Giao nhận / Kho vận</t>
        </is>
      </c>
      <c r="K19033" t="inlineStr">
        <is>
          <t>1 - 3 Năm</t>
        </is>
      </c>
      <c r="L19033" s="8">
        <f>HYPERLINK("https://careerviet.vn/vi/tim-viec-lam/nhan-vien-thu-kho-chi-nhanh-ho-chi-minh.35C66B34.html","Xem chi tiết")</f>
        <v/>
      </c>
    </row>
    <row r="19034">
      <c r="B19034" s="9" t="n">
        <v>19032</v>
      </c>
      <c r="C19034" s="10" t="inlineStr">
        <is>
          <t>Trợ lý giám đốc điều hành</t>
        </is>
      </c>
      <c r="D19034" s="10" t="inlineStr">
        <is>
          <t>CÔNG TY TNHH NÔNG SẢN QUỐC TẾ ĐỨC VINH</t>
        </is>
      </c>
      <c r="E19034" s="10" t="inlineStr">
        <is>
          <t>Lương:Cạnh tranh</t>
        </is>
      </c>
      <c r="F19034" s="10" t="inlineStr">
        <is>
          <t>Long An</t>
        </is>
      </c>
      <c r="G19034" s="10" t="inlineStr">
        <is>
          <t>28-03-2026</t>
        </is>
      </c>
      <c r="H19034" s="10" t="inlineStr">
        <is>
          <t>28/03/2026</t>
        </is>
      </c>
      <c r="I19034" s="10" t="inlineStr">
        <is>
          <t>17/03/2026</t>
        </is>
      </c>
      <c r="J19034" s="10" t="inlineStr">
        <is>
          <t>Hành chính / Thư ký, Quản lý điều hành</t>
        </is>
      </c>
      <c r="K19034" s="10" t="inlineStr">
        <is>
          <t>3 - 5 Năm</t>
        </is>
      </c>
      <c r="L19034" s="11">
        <f>HYPERLINK("https://careerviet.vn/vi/tim-viec-lam/tro-ly-giam-doc-dieu-hanh.35C66B4C.html","Xem chi tiết")</f>
        <v/>
      </c>
      <c r="M19034" s="10" t="n"/>
    </row>
    <row r="19035">
      <c r="B19035" s="7" t="n">
        <v>19033</v>
      </c>
      <c r="C19035" t="inlineStr">
        <is>
          <t>Marketing Leader - Trưởng nhóm Marketing</t>
        </is>
      </c>
      <c r="D19035" t="inlineStr">
        <is>
          <t>Công ty Cổ phần Đầu tư Ngôi sao Châu á</t>
        </is>
      </c>
      <c r="E19035" t="inlineStr">
        <is>
          <t>Lương:18 Tr - 20 Tr VND</t>
        </is>
      </c>
      <c r="F19035" t="inlineStr">
        <is>
          <t>Hà Nội</t>
        </is>
      </c>
      <c r="G19035" t="inlineStr">
        <is>
          <t>28-03-2026</t>
        </is>
      </c>
      <c r="H19035" t="inlineStr">
        <is>
          <t>28/03/2026</t>
        </is>
      </c>
      <c r="I19035" t="inlineStr">
        <is>
          <t>17/03/2026</t>
        </is>
      </c>
      <c r="J19035" t="inlineStr">
        <is>
          <t>Tiếp thị / Marketing</t>
        </is>
      </c>
      <c r="K19035" t="inlineStr">
        <is>
          <t>3 - 5 Năm</t>
        </is>
      </c>
      <c r="L19035" s="8">
        <f>HYPERLINK("https://careerviet.vn/vi/tim-viec-lam/marketing-leader-truong-nhom-marketing.35C66B43.html","Xem chi tiết")</f>
        <v/>
      </c>
    </row>
    <row r="19036">
      <c r="B19036" s="9" t="n">
        <v>19034</v>
      </c>
      <c r="C19036" s="10" t="inlineStr">
        <is>
          <t>C&amp;B Executive</t>
        </is>
      </c>
      <c r="D19036" s="10" t="inlineStr">
        <is>
          <t>CÔNG TY TNHH ROHTO-MENTHOLATUM (VIỆT NAM)</t>
        </is>
      </c>
      <c r="E19036" s="10" t="inlineStr">
        <is>
          <t>Lương:Cạnh tranh</t>
        </is>
      </c>
      <c r="F19036" s="10" t="inlineStr">
        <is>
          <t>Hồ Chí Minh</t>
        </is>
      </c>
      <c r="G19036" s="10" t="inlineStr">
        <is>
          <t>27-03-2026</t>
        </is>
      </c>
      <c r="H19036" s="10" t="inlineStr">
        <is>
          <t>27/03/2026</t>
        </is>
      </c>
      <c r="I19036" s="10" t="inlineStr">
        <is>
          <t>17/03/2026</t>
        </is>
      </c>
      <c r="J19036" s="10" t="inlineStr">
        <is>
          <t>Sản xuất / Vận hành sản xuất, Dược phẩm/ Hóa Mỹ Phẩm</t>
        </is>
      </c>
      <c r="K19036" s="10" t="inlineStr">
        <is>
          <t>N/A</t>
        </is>
      </c>
      <c r="L19036" s="11">
        <f>HYPERLINK("https://careerviet.vn/vi/tim-viec-lam/c-b-executive.35C69E6E.html","Xem chi tiết")</f>
        <v/>
      </c>
      <c r="M19036" s="10" t="n"/>
    </row>
    <row r="19037">
      <c r="B19037" s="7" t="n">
        <v>19035</v>
      </c>
      <c r="C19037" t="inlineStr">
        <is>
          <t>Chuyên viên QS ( xây dựng)</t>
        </is>
      </c>
      <c r="D19037" t="inlineStr">
        <is>
          <t>CÔNG TY CỔ PHẦN TẬP ĐOÀN ONSEN FUJI</t>
        </is>
      </c>
      <c r="E19037" t="inlineStr">
        <is>
          <t>Lương:20 Tr - 28 Tr VND</t>
        </is>
      </c>
      <c r="F19037" t="inlineStr">
        <is>
          <t>Hà Nội</t>
        </is>
      </c>
      <c r="G19037" t="inlineStr">
        <is>
          <t>28-03-2026</t>
        </is>
      </c>
      <c r="H19037" t="inlineStr">
        <is>
          <t>28/03/2026</t>
        </is>
      </c>
      <c r="I19037" t="inlineStr">
        <is>
          <t>17/03/2026</t>
        </is>
      </c>
      <c r="J19037" t="inlineStr">
        <is>
          <t>Xây dựng, Bất động sản, Ngành khác</t>
        </is>
      </c>
      <c r="K19037" t="inlineStr">
        <is>
          <t>2 - 3 Năm</t>
        </is>
      </c>
      <c r="L19037" s="8">
        <f>HYPERLINK("https://careerviet.vn/vi/tim-viec-lam/chuyen-vien-qs-xay-dung.35C66B91.html","Xem chi tiết")</f>
        <v/>
      </c>
    </row>
    <row r="19038">
      <c r="B19038" s="9" t="n">
        <v>19036</v>
      </c>
      <c r="C19038" s="10" t="inlineStr">
        <is>
          <t>TRƯỞNG PHÒNG SẢN XUẤT (ngành in ấn - bao bì)</t>
        </is>
      </c>
      <c r="D19038" s="10" t="inlineStr">
        <is>
          <t>CÔNG TY TNHH IN BAO BÌ TOÀN PHÁT</t>
        </is>
      </c>
      <c r="E19038" s="10" t="inlineStr">
        <is>
          <t>Lương:Cạnh tranh</t>
        </is>
      </c>
      <c r="F19038" s="10" t="inlineStr">
        <is>
          <t>Hồ Chí Minh</t>
        </is>
      </c>
      <c r="G19038" s="10" t="inlineStr">
        <is>
          <t>28-03-2026</t>
        </is>
      </c>
      <c r="H19038" s="10" t="inlineStr">
        <is>
          <t>28/03/2026</t>
        </is>
      </c>
      <c r="I19038" s="10" t="inlineStr">
        <is>
          <t>17/03/2026</t>
        </is>
      </c>
      <c r="J19038" s="10" t="inlineStr">
        <is>
          <t>Sản xuất / Vận hành sản xuất, In ấn / Xuất bản, Quản lý chất lượng (QA/QC)</t>
        </is>
      </c>
      <c r="K19038" s="10" t="inlineStr">
        <is>
          <t>3 - 5 Năm</t>
        </is>
      </c>
      <c r="L19038" s="11">
        <f>HYPERLINK("https://careerviet.vn/vi/tim-viec-lam/truong-phong-san-xuat-nganh-in-an-bao-bi.35C66B08.html","Xem chi tiết")</f>
        <v/>
      </c>
      <c r="M19038" s="10" t="n"/>
    </row>
    <row r="19039">
      <c r="B19039" s="7" t="n">
        <v>19037</v>
      </c>
      <c r="C19039" t="inlineStr">
        <is>
          <t>HR Manager (Trưởng Phòng Nhân Sự)</t>
        </is>
      </c>
      <c r="D19039" t="inlineStr">
        <is>
          <t>CÔNG TY TNHH MILLENNIUM FURNITURE</t>
        </is>
      </c>
      <c r="E19039" t="inlineStr">
        <is>
          <t>Lương:Cạnh tranh</t>
        </is>
      </c>
      <c r="F19039" t="inlineStr">
        <is>
          <t>Quảng Ngãi</t>
        </is>
      </c>
      <c r="G19039" t="inlineStr">
        <is>
          <t>28-03-2026</t>
        </is>
      </c>
      <c r="H19039" t="inlineStr">
        <is>
          <t>28/03/2026</t>
        </is>
      </c>
      <c r="I19039" t="inlineStr">
        <is>
          <t>17/03/2026</t>
        </is>
      </c>
      <c r="J19039" t="inlineStr">
        <is>
          <t>Nhân sự</t>
        </is>
      </c>
      <c r="K19039" t="inlineStr">
        <is>
          <t>Trên 8 Năm</t>
        </is>
      </c>
      <c r="L19039" s="8">
        <f>HYPERLINK("https://careerviet.vn/vi/tim-viec-lam/hr-manager-truong-phong-nhan-su.35C66B53.html","Xem chi tiết")</f>
        <v/>
      </c>
    </row>
    <row r="19040">
      <c r="B19040" s="9" t="n">
        <v>19038</v>
      </c>
      <c r="C19040" s="10" t="inlineStr">
        <is>
          <t>Quản lý nhà hàng Panda chef</t>
        </is>
      </c>
      <c r="D19040" s="10" t="inlineStr">
        <is>
          <t>CÔNG TY TNHH PHÁT TRIỂN ĐỒ UỐNG AN VIỆT SÔNG HỒNG</t>
        </is>
      </c>
      <c r="E19040" s="10" t="inlineStr">
        <is>
          <t>Lương:18 Tr - 25 Tr VND</t>
        </is>
      </c>
      <c r="F19040" s="10" t="inlineStr">
        <is>
          <t>Hà Nội</t>
        </is>
      </c>
      <c r="G19040" s="10" t="inlineStr">
        <is>
          <t>28-03-2026</t>
        </is>
      </c>
      <c r="H19040" s="10" t="inlineStr">
        <is>
          <t>28/03/2026</t>
        </is>
      </c>
      <c r="I19040" s="10" t="inlineStr">
        <is>
          <t>17/03/2026</t>
        </is>
      </c>
      <c r="J19040" s="10" t="inlineStr">
        <is>
          <t>Nhà hàng / Khách sạn</t>
        </is>
      </c>
      <c r="K19040" s="10" t="inlineStr">
        <is>
          <t>1 - 2 Năm</t>
        </is>
      </c>
      <c r="L19040" s="11">
        <f>HYPERLINK("https://careerviet.vn/vi/tim-viec-lam/quan-ly-nha-hang-panda-chef.35C66B5E.html","Xem chi tiết")</f>
        <v/>
      </c>
      <c r="M19040" s="10" t="n"/>
    </row>
    <row r="19041">
      <c r="B19041" s="7" t="n">
        <v>19039</v>
      </c>
      <c r="C19041" t="inlineStr">
        <is>
          <t>Giám đốc điều hành – Công ty con (Massko)</t>
        </is>
      </c>
      <c r="D19041" t="inlineStr">
        <is>
          <t>Công ty Cổ phần Masscom Việt Nam</t>
        </is>
      </c>
      <c r="E19041" t="inlineStr">
        <is>
          <t>Lương:Cạnh tranh</t>
        </is>
      </c>
      <c r="F19041" t="inlineStr">
        <is>
          <t>Hà Nội</t>
        </is>
      </c>
      <c r="G19041" t="inlineStr">
        <is>
          <t>28-03-2026</t>
        </is>
      </c>
      <c r="H19041" t="inlineStr">
        <is>
          <t>28/03/2026</t>
        </is>
      </c>
      <c r="I19041" t="inlineStr">
        <is>
          <t>17/03/2026</t>
        </is>
      </c>
      <c r="J19041" t="inlineStr">
        <is>
          <t>Bán hàng / Kinh doanh, Thương mại điện tử, Quản lý điều hành</t>
        </is>
      </c>
      <c r="K19041" t="inlineStr">
        <is>
          <t>5 - 10 Năm</t>
        </is>
      </c>
      <c r="L19041" s="8">
        <f>HYPERLINK("https://careerviet.vn/vi/tim-viec-lam/giam-doc-dieu-hanh-cong-ty-con-massko.35C66AB1.html","Xem chi tiết")</f>
        <v/>
      </c>
    </row>
    <row r="19042">
      <c r="B19042" s="9" t="n">
        <v>19040</v>
      </c>
      <c r="C19042" s="10" t="inlineStr">
        <is>
          <t>Trưởng vận hành máy LÀM TÚI  (Machine Leader)</t>
        </is>
      </c>
      <c r="D19042" s="10" t="inlineStr">
        <is>
          <t>Huhtamaki (Vietnam) Ltd.</t>
        </is>
      </c>
      <c r="E19042" s="10" t="inlineStr">
        <is>
          <t>Lương:8 Tr - 15 Tr VND</t>
        </is>
      </c>
      <c r="F19042" s="10" t="inlineStr">
        <is>
          <t>Bình Dương</t>
        </is>
      </c>
      <c r="G19042" s="10" t="inlineStr">
        <is>
          <t>28-03-2026</t>
        </is>
      </c>
      <c r="H19042" s="10" t="inlineStr">
        <is>
          <t>28/03/2026</t>
        </is>
      </c>
      <c r="I19042" s="10" t="inlineStr">
        <is>
          <t>17/03/2026</t>
        </is>
      </c>
      <c r="J19042" s="10" t="inlineStr">
        <is>
          <t>Cơ khí / Ô tô / Tự động hóa, Điện / Điện tử / Điện lạnh / Điện công nghiệp, Sản xuất / Vận hành sản xuất</t>
        </is>
      </c>
      <c r="K19042" s="10" t="inlineStr">
        <is>
          <t>1 - 3 Năm</t>
        </is>
      </c>
      <c r="L19042" s="11">
        <f>HYPERLINK("https://careerviet.vn/vi/tim-viec-lam/truong-van-hanh-may-lam-tui-machine-leader.35C66A79.html","Xem chi tiết")</f>
        <v/>
      </c>
      <c r="M19042" s="10" t="n"/>
    </row>
    <row r="19043">
      <c r="B19043" s="7" t="n">
        <v>19041</v>
      </c>
      <c r="C19043" t="inlineStr">
        <is>
          <t>Senior Investment Associate</t>
        </is>
      </c>
      <c r="D19043" t="inlineStr">
        <is>
          <t>Bảo mật</t>
        </is>
      </c>
      <c r="E19043" t="inlineStr">
        <is>
          <t>Lương:Cạnh tranh</t>
        </is>
      </c>
      <c r="F19043" t="inlineStr">
        <is>
          <t>Hồ Chí Minh</t>
        </is>
      </c>
      <c r="G19043" t="inlineStr">
        <is>
          <t>28-03-2026</t>
        </is>
      </c>
      <c r="H19043" t="inlineStr">
        <is>
          <t>28/03/2026</t>
        </is>
      </c>
      <c r="I19043" t="inlineStr">
        <is>
          <t>17/03/2026</t>
        </is>
      </c>
      <c r="J19043" t="inlineStr">
        <is>
          <t>Tài chính / Đầu tư</t>
        </is>
      </c>
      <c r="K19043" t="inlineStr">
        <is>
          <t>3 - 5 Năm</t>
        </is>
      </c>
      <c r="L19043" s="8">
        <f>HYPERLINK("https://careerviet.vn/vi/tim-viec-lam/senior-investment-associate.35C66B3A.html","Xem chi tiết")</f>
        <v/>
      </c>
    </row>
    <row r="19044">
      <c r="B19044" s="9" t="n">
        <v>19042</v>
      </c>
      <c r="C19044" s="10" t="inlineStr">
        <is>
          <t>Chuyên Gia Quản Lý Dự Án</t>
        </is>
      </c>
      <c r="D19044" s="10" t="inlineStr">
        <is>
          <t>Công Ty Cổ Phần Tập Đoàn Đầu Tư Địa Ốc No Va</t>
        </is>
      </c>
      <c r="E19044" s="10" t="inlineStr">
        <is>
          <t>Lương:Cạnh tranh</t>
        </is>
      </c>
      <c r="F19044" s="10" t="inlineStr">
        <is>
          <t>Hồ Chí Minh</t>
        </is>
      </c>
      <c r="G19044" s="10" t="inlineStr">
        <is>
          <t>28-03-2026</t>
        </is>
      </c>
      <c r="H19044" s="10" t="inlineStr">
        <is>
          <t>28/03/2026</t>
        </is>
      </c>
      <c r="I19044" s="10" t="inlineStr">
        <is>
          <t>17/03/2026</t>
        </is>
      </c>
      <c r="J19044" s="10" t="inlineStr">
        <is>
          <t>Bất động sản</t>
        </is>
      </c>
      <c r="K19044" s="10" t="inlineStr">
        <is>
          <t>7 - 10 Năm</t>
        </is>
      </c>
      <c r="L19044" s="11">
        <f>HYPERLINK("https://careerviet.vn/vi/tim-viec-lam/chuyen-gia-quan-ly-du-an.35C66C17.html","Xem chi tiết")</f>
        <v/>
      </c>
      <c r="M19044" s="10" t="n"/>
    </row>
    <row r="19045">
      <c r="B19045" s="7" t="n">
        <v>19043</v>
      </c>
      <c r="C19045" t="inlineStr">
        <is>
          <t>Chuyên Viên Cao Cấp - Thị Trường Vốn</t>
        </is>
      </c>
      <c r="D19045" t="inlineStr">
        <is>
          <t>Công ty Cổ phần Chứng khoán DNSE</t>
        </is>
      </c>
      <c r="E19045" t="inlineStr">
        <is>
          <t>Lương:Cạnh tranh</t>
        </is>
      </c>
      <c r="F19045" t="inlineStr">
        <is>
          <t>Hà Nội</t>
        </is>
      </c>
      <c r="G19045" t="inlineStr">
        <is>
          <t>28-03-2026</t>
        </is>
      </c>
      <c r="H19045" t="inlineStr">
        <is>
          <t>28/03/2026</t>
        </is>
      </c>
      <c r="I19045" t="inlineStr">
        <is>
          <t>17/03/2026</t>
        </is>
      </c>
      <c r="J19045" t="inlineStr">
        <is>
          <t>Bán hàng / Kinh doanh, Chứng khoán, Tài chính / Đầu tư</t>
        </is>
      </c>
      <c r="K19045" t="inlineStr">
        <is>
          <t>Trên 3 Năm</t>
        </is>
      </c>
      <c r="L19045" s="8">
        <f>HYPERLINK("https://careerviet.vn/vi/tim-viec-lam/chuyen-vien-cao-cap-thi-truong-von.35C66C0D.html","Xem chi tiết")</f>
        <v/>
      </c>
    </row>
    <row r="19046">
      <c r="B19046" s="9" t="n">
        <v>19044</v>
      </c>
      <c r="C19046" s="10" t="inlineStr">
        <is>
          <t>Chuyên Viên Kiểm Thử Phần Mềm (Tester)</t>
        </is>
      </c>
      <c r="D19046" s="10" t="inlineStr">
        <is>
          <t>CÔNG TY CỔ PHẦN CHỨNG KHOÁN ASEAN</t>
        </is>
      </c>
      <c r="E19046" s="10" t="inlineStr">
        <is>
          <t>Lương:Cạnh tranh</t>
        </is>
      </c>
      <c r="F19046" s="10" t="inlineStr">
        <is>
          <t>Hà Nội</t>
        </is>
      </c>
      <c r="G19046" s="10" t="inlineStr">
        <is>
          <t>28-03-2026</t>
        </is>
      </c>
      <c r="H19046" s="10" t="inlineStr">
        <is>
          <t>28/03/2026</t>
        </is>
      </c>
      <c r="I19046" s="10" t="inlineStr">
        <is>
          <t>17/03/2026</t>
        </is>
      </c>
      <c r="J19046" s="10" t="inlineStr">
        <is>
          <t>Chứng khoán, CNTT - Phần mềm, Tài chính / Đầu tư</t>
        </is>
      </c>
      <c r="K19046" s="10" t="inlineStr">
        <is>
          <t>Trên 1 Năm</t>
        </is>
      </c>
      <c r="L19046" s="11">
        <f>HYPERLINK("https://careerviet.vn/vi/tim-viec-lam/chuyen-vien-kiem-thu-phan-mem-tester.35C66904.html","Xem chi tiết")</f>
        <v/>
      </c>
      <c r="M19046" s="10" t="n"/>
    </row>
    <row r="19047">
      <c r="B19047" s="7" t="n">
        <v>19045</v>
      </c>
      <c r="C19047" t="inlineStr">
        <is>
          <t>Chuyên Viên Giám Sát Rủi Ro (Risk Control) - Biết Tiếng Trung</t>
        </is>
      </c>
      <c r="D19047" t="inlineStr">
        <is>
          <t>CÔNG TY TNHH YIMI J&amp;T CARGO TRANSPORTATION</t>
        </is>
      </c>
      <c r="E19047" t="inlineStr">
        <is>
          <t>Lương:15 Tr - 20 Tr VND</t>
        </is>
      </c>
      <c r="F19047" t="inlineStr">
        <is>
          <t>Hồ Chí MinhHà Nội</t>
        </is>
      </c>
      <c r="G19047" t="inlineStr">
        <is>
          <t>28-03-2026</t>
        </is>
      </c>
      <c r="H19047" t="inlineStr">
        <is>
          <t>28/03/2026</t>
        </is>
      </c>
      <c r="I19047" t="inlineStr">
        <is>
          <t>17/03/2026</t>
        </is>
      </c>
      <c r="J19047" t="inlineStr">
        <is>
          <t>Sản xuất / Vận hành sản xuất</t>
        </is>
      </c>
      <c r="K19047" t="inlineStr">
        <is>
          <t>1 - 2 Năm</t>
        </is>
      </c>
      <c r="L19047" s="8">
        <f>HYPERLINK("https://careerviet.vn/vi/tim-viec-lam/chuyen-vien-giam-sat-rui-ro-risk-control-biet-tieng-trung.35C66C25.html","Xem chi tiết")</f>
        <v/>
      </c>
    </row>
    <row r="19048">
      <c r="B19048" s="9" t="n">
        <v>19046</v>
      </c>
      <c r="C19048" s="10" t="inlineStr">
        <is>
          <t>[CITIGYM] Chuyên Viên Tư Vấn Thẻ Hội Viên</t>
        </is>
      </c>
      <c r="D19048" s="10" t="inlineStr">
        <is>
          <t>Nova Service Group - Công ty Cổ phần Tập đoàn Nova Services</t>
        </is>
      </c>
      <c r="E19048" s="10" t="inlineStr">
        <is>
          <t>Lương:15 Tr - 35 Tr VND</t>
        </is>
      </c>
      <c r="F19048" s="10" t="inlineStr">
        <is>
          <t>Hồ Chí Minh</t>
        </is>
      </c>
      <c r="G19048" s="10" t="inlineStr">
        <is>
          <t>28-03-2026</t>
        </is>
      </c>
      <c r="H19048" s="10" t="inlineStr">
        <is>
          <t>28/03/2026</t>
        </is>
      </c>
      <c r="I19048" s="10" t="inlineStr">
        <is>
          <t>17/03/2026</t>
        </is>
      </c>
      <c r="J19048" s="10" t="inlineStr">
        <is>
          <t>Bán hàng / Kinh doanh, Bảo hiểm, Y tế / Chăm sóc sức khỏe / Thẩm mỹ / Làm đẹp</t>
        </is>
      </c>
      <c r="K19048" s="10" t="inlineStr">
        <is>
          <t>1 - 3 Năm</t>
        </is>
      </c>
      <c r="L19048" s="11">
        <f>HYPERLINK("https://careerviet.vn/vi/tim-viec-lam/citigym-chuyen-vien-tu-van-the-hoi-vien.35C66AAE.html","Xem chi tiết")</f>
        <v/>
      </c>
      <c r="M19048" s="10" t="n"/>
    </row>
    <row r="19049">
      <c r="B19049" s="7" t="n">
        <v>19047</v>
      </c>
      <c r="C19049" t="inlineStr">
        <is>
          <t>Giám Đốc Hành Chính - Nhân sự</t>
        </is>
      </c>
      <c r="D19049" t="inlineStr">
        <is>
          <t>Công Ty Cổ phần Xây Dựng Thương Mại Du Lịch Hồng Ngọc Hà</t>
        </is>
      </c>
      <c r="E19049" t="inlineStr">
        <is>
          <t>Lương:Cạnh tranh</t>
        </is>
      </c>
      <c r="F19049" t="inlineStr">
        <is>
          <t>Hồ Chí Minh</t>
        </is>
      </c>
      <c r="G19049" t="inlineStr">
        <is>
          <t>27-03-2026</t>
        </is>
      </c>
      <c r="H19049" t="inlineStr">
        <is>
          <t>27/03/2026</t>
        </is>
      </c>
      <c r="I19049" t="inlineStr">
        <is>
          <t>17/03/2026</t>
        </is>
      </c>
      <c r="J19049" t="inlineStr">
        <is>
          <t>Hành chính / Thư ký, Quản lý điều hành, Nhân sự</t>
        </is>
      </c>
      <c r="K19049" t="inlineStr">
        <is>
          <t>5 - 7 Năm</t>
        </is>
      </c>
      <c r="L19049" s="8">
        <f>HYPERLINK("https://careerviet.vn/vi/tim-viec-lam/giam-doc-hanh-chinh-nhan-su.35C69DA7.html","Xem chi tiết")</f>
        <v/>
      </c>
    </row>
    <row r="19050">
      <c r="B19050" s="9" t="n">
        <v>19048</v>
      </c>
      <c r="C19050" s="10" t="inlineStr">
        <is>
          <t>Chuyên Viên Chính Quản Lý Đại Lý</t>
        </is>
      </c>
      <c r="D19050" s="10" t="inlineStr">
        <is>
          <t>CÔNG TY CỔ PHẦN PHÁT TRIỂN BẤT ĐỘNG SẢN VĂN PHÚ</t>
        </is>
      </c>
      <c r="E19050" s="10" t="inlineStr">
        <is>
          <t>Lương:Cạnh tranh</t>
        </is>
      </c>
      <c r="F19050" s="10" t="inlineStr">
        <is>
          <t>Hà Nội</t>
        </is>
      </c>
      <c r="G19050" s="10" t="inlineStr">
        <is>
          <t>28-03-2026</t>
        </is>
      </c>
      <c r="H19050" s="10" t="inlineStr">
        <is>
          <t>28/03/2026</t>
        </is>
      </c>
      <c r="I19050" s="10" t="inlineStr">
        <is>
          <t>17/03/2026</t>
        </is>
      </c>
      <c r="J19050" s="10" t="inlineStr">
        <is>
          <t>Bán hàng / Kinh doanh, Bất động sản, Kiến trúc</t>
        </is>
      </c>
      <c r="K19050" s="10" t="inlineStr">
        <is>
          <t>7 - 10 Năm</t>
        </is>
      </c>
      <c r="L19050" s="11">
        <f>HYPERLINK("https://careerviet.vn/vi/tim-viec-lam/chuyen-vien-chinh-quan-ly-dai-ly.35C66B5A.html","Xem chi tiết")</f>
        <v/>
      </c>
      <c r="M19050" s="10" t="n"/>
    </row>
    <row r="19051">
      <c r="B19051" s="7" t="n">
        <v>19049</v>
      </c>
      <c r="C19051" t="inlineStr">
        <is>
          <t>Nhân viên bảo trì cơ điện sản xuất</t>
        </is>
      </c>
      <c r="D19051" t="inlineStr">
        <is>
          <t>Công ty Cổ Phần Thảo Mộc Xanh Long An</t>
        </is>
      </c>
      <c r="E19051" t="inlineStr">
        <is>
          <t>Lương:Cạnh tranh</t>
        </is>
      </c>
      <c r="F19051" t="inlineStr">
        <is>
          <t>Long An</t>
        </is>
      </c>
      <c r="G19051" t="inlineStr">
        <is>
          <t>28-03-2026</t>
        </is>
      </c>
      <c r="H19051" t="inlineStr">
        <is>
          <t>28/03/2026</t>
        </is>
      </c>
      <c r="I19051" t="inlineStr">
        <is>
          <t>17/03/2026</t>
        </is>
      </c>
      <c r="J19051" t="inlineStr">
        <is>
          <t>Cơ khí / Ô tô / Tự động hóa, Bảo trì / Sửa chữa, Điện / Điện tử / Điện lạnh / Điện công nghiệp</t>
        </is>
      </c>
      <c r="K19051" t="inlineStr">
        <is>
          <t>Trên 2 Năm</t>
        </is>
      </c>
      <c r="L19051" s="8">
        <f>HYPERLINK("https://careerviet.vn/vi/tim-viec-lam/nhan-vien-bao-tri-co-dien-san-xuat.35C66C2A.html","Xem chi tiết")</f>
        <v/>
      </c>
    </row>
    <row r="19052">
      <c r="B19052" s="9" t="n">
        <v>19050</v>
      </c>
      <c r="C19052" s="10" t="inlineStr">
        <is>
          <t>Nhân viên kế hoạch sản xuất (tiếng Trung)</t>
        </is>
      </c>
      <c r="D19052" s="10" t="inlineStr">
        <is>
          <t>CÔNG TY TNHH QISDA VIỆT NAM</t>
        </is>
      </c>
      <c r="E19052" s="10" t="inlineStr">
        <is>
          <t>Lương:10 Tr - 18 Tr VND</t>
        </is>
      </c>
      <c r="F19052" s="10" t="inlineStr">
        <is>
          <t>Hà Nam</t>
        </is>
      </c>
      <c r="G19052" s="10" t="inlineStr">
        <is>
          <t>03-04-2026</t>
        </is>
      </c>
      <c r="H19052" s="10" t="inlineStr">
        <is>
          <t>03/04/2026</t>
        </is>
      </c>
      <c r="I19052" s="10" t="inlineStr">
        <is>
          <t>17/03/2026</t>
        </is>
      </c>
      <c r="J19052" s="10" t="inlineStr">
        <is>
          <t>Thu mua / Vật tư</t>
        </is>
      </c>
      <c r="K19052" s="10" t="inlineStr">
        <is>
          <t>1 - 5 Năm</t>
        </is>
      </c>
      <c r="L19052" s="11">
        <f>HYPERLINK("https://careerviet.vn/vi/tim-viec-lam/nhan-vien-ke-hoach-san-xuat-tieng-trung.35C647DF.html","Xem chi tiết")</f>
        <v/>
      </c>
      <c r="M19052" s="10" t="n"/>
    </row>
    <row r="19053">
      <c r="B19053" s="7" t="n">
        <v>19051</v>
      </c>
      <c r="C19053" t="inlineStr">
        <is>
          <t>Mass Recruiter</t>
        </is>
      </c>
      <c r="D19053" t="inlineStr">
        <is>
          <t>CREASIA</t>
        </is>
      </c>
      <c r="E19053" t="inlineStr">
        <is>
          <t>Lương:Cạnh tranh</t>
        </is>
      </c>
      <c r="F19053" t="inlineStr">
        <is>
          <t>Hồ Chí Minh</t>
        </is>
      </c>
      <c r="G19053" t="inlineStr">
        <is>
          <t>03-04-2026</t>
        </is>
      </c>
      <c r="H19053" t="inlineStr">
        <is>
          <t>03/04/2026</t>
        </is>
      </c>
      <c r="I19053" t="inlineStr">
        <is>
          <t>17/03/2026</t>
        </is>
      </c>
      <c r="J19053" t="inlineStr">
        <is>
          <t>Tiếp thị / Marketing, Dịch vụ khách hàng, Nhân sự</t>
        </is>
      </c>
      <c r="K19053" t="inlineStr">
        <is>
          <t>3 - 5 Năm</t>
        </is>
      </c>
      <c r="L19053" s="8">
        <f>HYPERLINK("https://careerviet.vn/vi/tim-viec-lam/mass-recruiter.35C673EB.html","Xem chi tiết")</f>
        <v/>
      </c>
    </row>
    <row r="19054">
      <c r="B19054" s="9" t="n">
        <v>19052</v>
      </c>
      <c r="C19054" s="10" t="inlineStr">
        <is>
          <t>NHÂN VIÊN KỸ THUẬT KHÚC XẠ ( Optician)  - c2 eyewear</t>
        </is>
      </c>
      <c r="D19054" s="10" t="inlineStr">
        <is>
          <t>Công ty TNHH Sản xuất Thương mại &amp; Dịch vụ Hoa Xinh</t>
        </is>
      </c>
      <c r="E19054" s="10" t="inlineStr">
        <is>
          <t>Lương:17 Tr - 25 Tr VND</t>
        </is>
      </c>
      <c r="F19054" s="10" t="inlineStr">
        <is>
          <t>Hà Nội</t>
        </is>
      </c>
      <c r="G19054" s="10" t="inlineStr">
        <is>
          <t>28-03-2026</t>
        </is>
      </c>
      <c r="H19054" s="10" t="inlineStr">
        <is>
          <t>28/03/2026</t>
        </is>
      </c>
      <c r="I19054" s="10" t="inlineStr">
        <is>
          <t>17/03/2026</t>
        </is>
      </c>
      <c r="J19054" s="10" t="inlineStr">
        <is>
          <t>Y tế / Chăm sóc sức khỏe / Thẩm mỹ / Làm đẹp, Bán lẻ / Bán sỉ, Bán hàng / Kinh doanh</t>
        </is>
      </c>
      <c r="K19054" s="10" t="inlineStr">
        <is>
          <t>2 - 5 Năm</t>
        </is>
      </c>
      <c r="L19054" s="11">
        <f>HYPERLINK("https://careerviet.vn/vi/tim-viec-lam/nhan-vien-ky-thuat-khuc-xa-optician-c2-eyewear.35C66BDF.html","Xem chi tiết")</f>
        <v/>
      </c>
      <c r="M19054" s="10" t="n"/>
    </row>
    <row r="19055">
      <c r="B19055" s="7" t="n">
        <v>19053</v>
      </c>
      <c r="C19055" t="inlineStr">
        <is>
          <t>[Suối Tiên] Trưởng Bộ Phận Sales Thị Trường Quốc Tế</t>
        </is>
      </c>
      <c r="D19055" t="inlineStr">
        <is>
          <t>CÔNG TY CỔ PHẦN VĂN HÓA DU LỊCH SUỐI TIÊN</t>
        </is>
      </c>
      <c r="E19055" t="inlineStr">
        <is>
          <t>Lương:Cạnh tranh</t>
        </is>
      </c>
      <c r="F19055" t="inlineStr">
        <is>
          <t>Hồ Chí Minh</t>
        </is>
      </c>
      <c r="G19055" t="inlineStr">
        <is>
          <t>03-04-2026</t>
        </is>
      </c>
      <c r="H19055" t="inlineStr">
        <is>
          <t>03/04/2026</t>
        </is>
      </c>
      <c r="I19055" t="inlineStr">
        <is>
          <t>17/03/2026</t>
        </is>
      </c>
      <c r="J19055" t="inlineStr">
        <is>
          <t>Dịch vụ khách hàng, Nhà hàng / Khách sạn</t>
        </is>
      </c>
      <c r="K19055" t="inlineStr">
        <is>
          <t>3 - 5 Năm</t>
        </is>
      </c>
      <c r="L19055" s="8">
        <f>HYPERLINK("https://careerviet.vn/vi/tim-viec-lam/suoi-tien-truong-bo-phan-sales-thi-truong-quoc-te.35C647DA.html","Xem chi tiết")</f>
        <v/>
      </c>
    </row>
    <row r="19056">
      <c r="B19056" s="9" t="n">
        <v>19054</v>
      </c>
      <c r="C19056" s="10" t="inlineStr">
        <is>
          <t>PMC staff ( Nhân viên kế hoạch)</t>
        </is>
      </c>
      <c r="D19056" s="10" t="inlineStr">
        <is>
          <t>Công Ty TNHH SML Trims &amp; Packaging Việt Nam</t>
        </is>
      </c>
      <c r="E19056" s="10" t="inlineStr">
        <is>
          <t>Lương:Cạnh tranh</t>
        </is>
      </c>
      <c r="F19056" s="10" t="inlineStr">
        <is>
          <t>Hưng Yên</t>
        </is>
      </c>
      <c r="G19056" s="10" t="inlineStr">
        <is>
          <t>03-04-2026</t>
        </is>
      </c>
      <c r="H19056" s="10" t="inlineStr">
        <is>
          <t>03/04/2026</t>
        </is>
      </c>
      <c r="I19056" s="10" t="inlineStr">
        <is>
          <t>17/03/2026</t>
        </is>
      </c>
      <c r="J19056" s="10" t="inlineStr">
        <is>
          <t>Điện / Điện tử / Điện lạnh / Điện công nghiệp, Sản xuất / Vận hành sản xuất, Dệt may / Da giày / Thời trang</t>
        </is>
      </c>
      <c r="K19056" s="10" t="inlineStr">
        <is>
          <t>Trên 1 Năm</t>
        </is>
      </c>
      <c r="L19056" s="11">
        <f>HYPERLINK("https://careerviet.vn/vi/tim-viec-lam/pmc-staff-nhan-vien-ke-hoach.35C6474C.html","Xem chi tiết")</f>
        <v/>
      </c>
      <c r="M19056" s="10" t="n"/>
    </row>
    <row r="19057">
      <c r="B19057" s="7" t="n">
        <v>19055</v>
      </c>
      <c r="C19057" t="inlineStr">
        <is>
          <t>Chuyên viên Giải phóng mặt bằng (Up to 28 triệu)</t>
        </is>
      </c>
      <c r="D19057" t="inlineStr">
        <is>
          <t>TỔNG CÔNG TY CỔ PHẦN THƯƠNG MẠI XÂY DỰNG</t>
        </is>
      </c>
      <c r="E19057" t="inlineStr">
        <is>
          <t>Lương:19 Tr - 28 Tr VND</t>
        </is>
      </c>
      <c r="F19057" t="inlineStr">
        <is>
          <t>Hà NộiHưng Yên</t>
        </is>
      </c>
      <c r="G19057" t="inlineStr">
        <is>
          <t>13-04-2026</t>
        </is>
      </c>
      <c r="H19057" t="inlineStr">
        <is>
          <t>13/04/2026</t>
        </is>
      </c>
      <c r="I19057" t="inlineStr">
        <is>
          <t>17/03/2026</t>
        </is>
      </c>
      <c r="J19057" t="inlineStr">
        <is>
          <t>Xây dựng, Bất động sản, Luật / Pháp lý</t>
        </is>
      </c>
      <c r="K19057" t="inlineStr">
        <is>
          <t>Trên 3 Năm</t>
        </is>
      </c>
      <c r="L19057" s="8">
        <f>HYPERLINK("https://careerviet.vn/vi/tim-viec-lam/chuyen-vien-giai-phong-mat-bang-up-to-28-trieu.35C6734C.html","Xem chi tiết")</f>
        <v/>
      </c>
    </row>
    <row r="19058">
      <c r="B19058" s="9" t="n">
        <v>19056</v>
      </c>
      <c r="C19058" s="10" t="inlineStr">
        <is>
          <t>Phụ Trách Kế Toán</t>
        </is>
      </c>
      <c r="D19058" s="10" t="inlineStr">
        <is>
          <t>Công ty cổ phần Thiết bị Metech</t>
        </is>
      </c>
      <c r="E19058" s="10" t="inlineStr">
        <is>
          <t>Lương:Cạnh tranh</t>
        </is>
      </c>
      <c r="F19058" s="10" t="inlineStr">
        <is>
          <t>Hà Nội</t>
        </is>
      </c>
      <c r="G19058" s="10" t="inlineStr">
        <is>
          <t>03-04-2026</t>
        </is>
      </c>
      <c r="H19058" s="10" t="inlineStr">
        <is>
          <t>03/04/2026</t>
        </is>
      </c>
      <c r="I19058" s="10" t="inlineStr">
        <is>
          <t>17/03/2026</t>
        </is>
      </c>
      <c r="J19058" s="10" t="inlineStr">
        <is>
          <t>Tài chính / Đầu tư, Luật / Pháp lý, Kế toán / Kiểm toán</t>
        </is>
      </c>
      <c r="K19058" s="10" t="inlineStr">
        <is>
          <t>Trên 3 Năm</t>
        </is>
      </c>
      <c r="L19058" s="11">
        <f>HYPERLINK("https://careerviet.vn/vi/tim-viec-lam/phu-trach-ke-toan.35C6729B.html","Xem chi tiết")</f>
        <v/>
      </c>
      <c r="M19058" s="10" t="n"/>
    </row>
    <row r="19059">
      <c r="B19059" s="7" t="n">
        <v>19057</v>
      </c>
      <c r="C19059" t="inlineStr">
        <is>
          <t>Chuyên Viên/ Chuyên Viên Cao Cấp/ Chuyên Gia Quản Trị Nhân Sự (iLead Governance - IG)</t>
        </is>
      </c>
      <c r="D19059" t="inlineStr">
        <is>
          <t>Công Ty CP Chứng Khoán VNDIRECT</t>
        </is>
      </c>
      <c r="E19059" t="inlineStr">
        <is>
          <t>Lương:Cạnh tranh</t>
        </is>
      </c>
      <c r="F19059" t="inlineStr">
        <is>
          <t>Hà Nội</t>
        </is>
      </c>
      <c r="G19059" t="inlineStr">
        <is>
          <t>03-04-2026</t>
        </is>
      </c>
      <c r="H19059" t="inlineStr">
        <is>
          <t>03/04/2026</t>
        </is>
      </c>
      <c r="I19059" t="inlineStr">
        <is>
          <t>17/03/2026</t>
        </is>
      </c>
      <c r="J19059" t="inlineStr">
        <is>
          <t>Luật / Pháp lý, Chứng khoán, Nhân sự</t>
        </is>
      </c>
      <c r="K19059" t="inlineStr">
        <is>
          <t>Trên 5 Năm</t>
        </is>
      </c>
      <c r="L19059" s="8">
        <f>HYPERLINK("https://careerviet.vn/vi/tim-viec-lam/chuyen-vien-chuyen-vien-cao-cap-chuyen-gia-quan-tri-nhan-su-ilead-governance-ig.35C67237.html","Xem chi tiết")</f>
        <v/>
      </c>
    </row>
    <row r="19060">
      <c r="B19060" s="9" t="n">
        <v>19058</v>
      </c>
      <c r="C19060" s="10" t="inlineStr">
        <is>
          <t>Chuyên viên kế hoạch sản xuất- xuất hàng (SC)</t>
        </is>
      </c>
      <c r="D19060" s="10" t="inlineStr">
        <is>
          <t>CÔNG TY TNHH QISDA VIỆT NAM</t>
        </is>
      </c>
      <c r="E19060" s="10" t="inlineStr">
        <is>
          <t>Lương:12 Tr - 25 Tr VND</t>
        </is>
      </c>
      <c r="F19060" s="10" t="inlineStr">
        <is>
          <t>Hà Nam</t>
        </is>
      </c>
      <c r="G19060" s="10" t="inlineStr">
        <is>
          <t>03-04-2026</t>
        </is>
      </c>
      <c r="H19060" s="10" t="inlineStr">
        <is>
          <t>03/04/2026</t>
        </is>
      </c>
      <c r="I19060" s="10" t="inlineStr">
        <is>
          <t>17/03/2026</t>
        </is>
      </c>
      <c r="J19060" s="10" t="inlineStr">
        <is>
          <t>Sản xuất / Vận hành sản xuất</t>
        </is>
      </c>
      <c r="K19060" s="10" t="inlineStr">
        <is>
          <t>1 - 3 Năm</t>
        </is>
      </c>
      <c r="L19060" s="11">
        <f>HYPERLINK("https://careerviet.vn/vi/tim-viec-lam/chuyen-vien-ke-hoach-san-xuat-xuat-hang-sc.35C647D5.html","Xem chi tiết")</f>
        <v/>
      </c>
      <c r="M19060" s="10" t="n"/>
    </row>
    <row r="19061">
      <c r="B19061" s="7" t="n">
        <v>19059</v>
      </c>
      <c r="C19061" t="inlineStr">
        <is>
          <t>[Nova Hotels &amp; Resorts World] Trưởng phòng Tổ chức Quản lý Kế  hoạch Marketing và Sự kiện</t>
        </is>
      </c>
      <c r="D19061" t="inlineStr">
        <is>
          <t>Nova Service Group - Công ty Cổ phần Tập đoàn Nova Services</t>
        </is>
      </c>
      <c r="E19061" t="inlineStr">
        <is>
          <t>Lương:Cạnh tranh</t>
        </is>
      </c>
      <c r="F19061" t="inlineStr">
        <is>
          <t>Hồ Chí Minh</t>
        </is>
      </c>
      <c r="G19061" t="inlineStr">
        <is>
          <t>03-04-2026</t>
        </is>
      </c>
      <c r="H19061" t="inlineStr">
        <is>
          <t>03/04/2026</t>
        </is>
      </c>
      <c r="I19061" t="inlineStr">
        <is>
          <t>17/03/2026</t>
        </is>
      </c>
      <c r="J19061" t="inlineStr">
        <is>
          <t>Tiếp thị / Marketing, Nhà hàng / Khách sạn, Tổ chức sự kiện</t>
        </is>
      </c>
      <c r="K19061" t="inlineStr">
        <is>
          <t>5 - 6 Năm</t>
        </is>
      </c>
      <c r="L19061" s="8">
        <f>HYPERLINK("https://careerviet.vn/vi/tim-viec-lam/nova-hotels-resorts-world-truong-phong-to-chuc-quan-ly-ke-hoach-marketing-va-su-kien.35C672DF.html","Xem chi tiết")</f>
        <v/>
      </c>
    </row>
    <row r="19062">
      <c r="B19062" s="9" t="n">
        <v>19060</v>
      </c>
      <c r="C19062" s="10" t="inlineStr">
        <is>
          <t>[Văn phòng Công ty] Chuyên viên Hành chính - Lễ tân (Hải Phòng)</t>
        </is>
      </c>
      <c r="D19062" s="10" t="inlineStr">
        <is>
          <t>CÔNG TY TNHH BẢO HIỂM NHÂN THỌ MB AGEAS</t>
        </is>
      </c>
      <c r="E19062" s="10" t="inlineStr">
        <is>
          <t>Lương:Cạnh tranh</t>
        </is>
      </c>
      <c r="F19062" s="10" t="inlineStr">
        <is>
          <t>Hải Phòng</t>
        </is>
      </c>
      <c r="G19062" s="10" t="inlineStr">
        <is>
          <t>03-04-2026</t>
        </is>
      </c>
      <c r="H19062" s="10" t="inlineStr">
        <is>
          <t>03/04/2026</t>
        </is>
      </c>
      <c r="I19062" s="10" t="inlineStr">
        <is>
          <t>17/03/2026</t>
        </is>
      </c>
      <c r="J19062" s="10" t="inlineStr">
        <is>
          <t>Bảo hiểm, Hành chính / Thư ký</t>
        </is>
      </c>
      <c r="K19062" s="10" t="inlineStr">
        <is>
          <t>Trên 3 Năm</t>
        </is>
      </c>
      <c r="L19062" s="11">
        <f>HYPERLINK("https://careerviet.vn/vi/tim-viec-lam/van-phong-cong-ty-chuyen-vien-hanh-chinh-le-tan-hai-phong.35C673FD.html","Xem chi tiết")</f>
        <v/>
      </c>
      <c r="M19062" s="10" t="n"/>
    </row>
    <row r="19063">
      <c r="B19063" s="7" t="n">
        <v>19061</v>
      </c>
      <c r="C19063" t="inlineStr">
        <is>
          <t>Chuyên Viên Kế Toán Phải Thu</t>
        </is>
      </c>
      <c r="D19063" t="inlineStr">
        <is>
          <t>Công Ty Hoàng An Nhiên</t>
        </is>
      </c>
      <c r="E19063" t="inlineStr">
        <is>
          <t>Lương:Cạnh tranh</t>
        </is>
      </c>
      <c r="F19063" t="inlineStr">
        <is>
          <t>Hồ Chí Minh</t>
        </is>
      </c>
      <c r="G19063" t="inlineStr">
        <is>
          <t>03-04-2026</t>
        </is>
      </c>
      <c r="H19063" t="inlineStr">
        <is>
          <t>03/04/2026</t>
        </is>
      </c>
      <c r="I19063" t="inlineStr">
        <is>
          <t>17/03/2026</t>
        </is>
      </c>
      <c r="J19063" t="inlineStr">
        <is>
          <t>Kế toán / Kiểm toán, Thực phẩm &amp; Đồ uống</t>
        </is>
      </c>
      <c r="K19063" t="inlineStr">
        <is>
          <t>1 - 3 Năm</t>
        </is>
      </c>
      <c r="L19063" s="8">
        <f>HYPERLINK("https://careerviet.vn/vi/tim-viec-lam/chuyen-vien-ke-toan-phai-thu.35C6730E.html","Xem chi tiết")</f>
        <v/>
      </c>
    </row>
    <row r="19064">
      <c r="B19064" s="9" t="n">
        <v>19062</v>
      </c>
      <c r="C19064" s="10" t="inlineStr">
        <is>
          <t>Chuyên viên pháp chế (tiếng Trung)</t>
        </is>
      </c>
      <c r="D19064" s="10" t="inlineStr">
        <is>
          <t>CÔNG TY TNHH QISDA VIỆT NAM</t>
        </is>
      </c>
      <c r="E19064" s="10" t="inlineStr">
        <is>
          <t>Lương:Cạnh tranh</t>
        </is>
      </c>
      <c r="F19064" s="10" t="inlineStr">
        <is>
          <t>Hà Nam</t>
        </is>
      </c>
      <c r="G19064" s="10" t="inlineStr">
        <is>
          <t>03-04-2026</t>
        </is>
      </c>
      <c r="H19064" s="10" t="inlineStr">
        <is>
          <t>03/04/2026</t>
        </is>
      </c>
      <c r="I19064" s="10" t="inlineStr">
        <is>
          <t>17/03/2026</t>
        </is>
      </c>
      <c r="J19064" s="10" t="inlineStr">
        <is>
          <t>Luật / Pháp lý</t>
        </is>
      </c>
      <c r="K19064" s="10" t="inlineStr">
        <is>
          <t>2 - 5 Năm</t>
        </is>
      </c>
      <c r="L19064" s="11">
        <f>HYPERLINK("https://careerviet.vn/vi/tim-viec-lam/chuyen-vien-phap-che-tieng-trung.35C647BC.html","Xem chi tiết")</f>
        <v/>
      </c>
      <c r="M19064" s="10" t="n"/>
    </row>
    <row r="19065">
      <c r="B19065" s="7" t="n">
        <v>19063</v>
      </c>
      <c r="C19065" t="inlineStr">
        <is>
          <t>Chuyên Viên Kinh Doanh Dự Án Gia Công May Mặc, Đồ Thể Thao</t>
        </is>
      </c>
      <c r="D19065" t="inlineStr">
        <is>
          <t>CÔNG TY CỔ PHẦN MIDOMAX VIỆT NAM</t>
        </is>
      </c>
      <c r="E19065" t="inlineStr">
        <is>
          <t>Lương:10 Tr - 25 Tr VND</t>
        </is>
      </c>
      <c r="F19065" t="inlineStr">
        <is>
          <t>Hà NộiHồ Chí Minh</t>
        </is>
      </c>
      <c r="G19065" t="inlineStr">
        <is>
          <t>03-04-2026</t>
        </is>
      </c>
      <c r="H19065" t="inlineStr">
        <is>
          <t>03/04/2026</t>
        </is>
      </c>
      <c r="I19065" t="inlineStr">
        <is>
          <t>17/03/2026</t>
        </is>
      </c>
      <c r="J19065" t="inlineStr">
        <is>
          <t>Bán hàng / Kinh doanh, Dệt may / Da giày / Thời trang</t>
        </is>
      </c>
      <c r="K19065" t="inlineStr">
        <is>
          <t>3 - 5 Năm</t>
        </is>
      </c>
      <c r="L19065" s="8">
        <f>HYPERLINK("https://careerviet.vn/vi/tim-viec-lam/chuyen-vien-kinh-doanh-du-an-gia-cong-may-mac-do-the-thao.35C67297.html","Xem chi tiết")</f>
        <v/>
      </c>
    </row>
    <row r="19066">
      <c r="B19066" s="9" t="n">
        <v>19064</v>
      </c>
      <c r="C19066" s="10" t="inlineStr">
        <is>
          <t>CVC/CVCC Bán sản phẩm cho vay - KV Thanh Hóa - TA 189</t>
        </is>
      </c>
      <c r="D19066" s="10" t="inlineStr">
        <is>
          <t>Ngân Hàng TMCP Việt Nam Thịnh Vượng - VPBANK</t>
        </is>
      </c>
      <c r="E19066" s="10" t="inlineStr">
        <is>
          <t>Lương:20 Tr - 30 Tr VND</t>
        </is>
      </c>
      <c r="F19066" s="10" t="inlineStr">
        <is>
          <t>Thanh Hóa</t>
        </is>
      </c>
      <c r="G19066" s="10" t="inlineStr">
        <is>
          <t>03-04-2026</t>
        </is>
      </c>
      <c r="H19066" s="10" t="inlineStr">
        <is>
          <t>03/04/2026</t>
        </is>
      </c>
      <c r="I19066" s="10" t="inlineStr">
        <is>
          <t>17/03/2026</t>
        </is>
      </c>
      <c r="J19066" s="10" t="inlineStr">
        <is>
          <t>Ngân hàng</t>
        </is>
      </c>
      <c r="K19066" s="10" t="inlineStr">
        <is>
          <t>Trên 2 Năm</t>
        </is>
      </c>
      <c r="L19066" s="11">
        <f>HYPERLINK("https://careerviet.vn/vi/tim-viec-lam/cvc-cvcc-ban-san-pham-cho-vay-kv-thanh-hoa-ta-189.35C6737B.html","Xem chi tiết")</f>
        <v/>
      </c>
      <c r="M19066" s="10" t="n"/>
    </row>
    <row r="19067">
      <c r="B19067" s="7" t="n">
        <v>19065</v>
      </c>
      <c r="C19067" t="inlineStr">
        <is>
          <t>Penetration Testing Engineer (mobile)</t>
        </is>
      </c>
      <c r="D19067" t="inlineStr">
        <is>
          <t>Công ty TNHH Viettel - CHT</t>
        </is>
      </c>
      <c r="E19067" t="inlineStr">
        <is>
          <t>Lương:Cạnh tranh</t>
        </is>
      </c>
      <c r="F19067" t="inlineStr">
        <is>
          <t>Hà Nội</t>
        </is>
      </c>
      <c r="G19067" t="inlineStr">
        <is>
          <t>03-04-2026</t>
        </is>
      </c>
      <c r="H19067" t="inlineStr">
        <is>
          <t>03/04/2026</t>
        </is>
      </c>
      <c r="I19067" t="inlineStr">
        <is>
          <t>17/03/2026</t>
        </is>
      </c>
      <c r="J19067" t="inlineStr">
        <is>
          <t>CNTT - Phần mềm, CNTT - Phần cứng / Mạng</t>
        </is>
      </c>
      <c r="K19067" t="inlineStr">
        <is>
          <t>Trên 2 Năm</t>
        </is>
      </c>
      <c r="L19067" s="8">
        <f>HYPERLINK("https://careerviet.vn/vi/tim-viec-lam/penetration-testing-engineer-mobile.35C647ED.html","Xem chi tiết")</f>
        <v/>
      </c>
    </row>
    <row r="19068">
      <c r="B19068" s="9" t="n">
        <v>19066</v>
      </c>
      <c r="C19068" s="10" t="inlineStr">
        <is>
          <t>Chuyên viên Hệ thống phát triển bền vững</t>
        </is>
      </c>
      <c r="D19068" s="10" t="inlineStr">
        <is>
          <t>Công ty CP Thành Thành Công - Biên Hòa</t>
        </is>
      </c>
      <c r="E19068" s="10" t="inlineStr">
        <is>
          <t>Lương:Cạnh tranh</t>
        </is>
      </c>
      <c r="F19068" s="10" t="inlineStr">
        <is>
          <t>Hồ Chí Minh</t>
        </is>
      </c>
      <c r="G19068" s="10" t="inlineStr">
        <is>
          <t>03-04-2026</t>
        </is>
      </c>
      <c r="H19068" s="10" t="inlineStr">
        <is>
          <t>03/04/2026</t>
        </is>
      </c>
      <c r="I19068" s="10" t="inlineStr">
        <is>
          <t>17/03/2026</t>
        </is>
      </c>
      <c r="J19068" s="10" t="inlineStr">
        <is>
          <t>An toàn lao động, Ngành khác, Môi trường</t>
        </is>
      </c>
      <c r="K19068" s="10" t="inlineStr">
        <is>
          <t>3 - 5 Năm</t>
        </is>
      </c>
      <c r="L19068" s="11">
        <f>HYPERLINK("https://careerviet.vn/vi/tim-viec-lam/chuyen-vien-he-thong-phat-trien-ben-vung.35C6724A.html","Xem chi tiết")</f>
        <v/>
      </c>
      <c r="M19068" s="10" t="n"/>
    </row>
    <row r="19069">
      <c r="B19069" s="7" t="n">
        <v>19067</v>
      </c>
      <c r="C19069" t="inlineStr">
        <is>
          <t>Tender Administrator - Quản Trị Viên Đấu Thầu</t>
        </is>
      </c>
      <c r="D19069" t="inlineStr">
        <is>
          <t>CÔNG TY TNHH DƯỢC PHẨM VÀ TRANG THIẾT BỊ Y TẾ HD</t>
        </is>
      </c>
      <c r="E19069" t="inlineStr">
        <is>
          <t>Lương:Cạnh tranh</t>
        </is>
      </c>
      <c r="F19069" t="inlineStr">
        <is>
          <t>Hồ Chí Minh</t>
        </is>
      </c>
      <c r="G19069" t="inlineStr">
        <is>
          <t>03-04-2026</t>
        </is>
      </c>
      <c r="H19069" t="inlineStr">
        <is>
          <t>03/04/2026</t>
        </is>
      </c>
      <c r="I19069" t="inlineStr">
        <is>
          <t>17/03/2026</t>
        </is>
      </c>
      <c r="J19069" t="inlineStr">
        <is>
          <t>Dược phẩm/ Hóa Mỹ Phẩm, Y tế / Chăm sóc sức khỏe / Thẩm mỹ / Làm đẹp, Luật / Pháp lý</t>
        </is>
      </c>
      <c r="K19069" t="inlineStr">
        <is>
          <t>3 - 7 Năm</t>
        </is>
      </c>
      <c r="L19069" s="8">
        <f>HYPERLINK("https://careerviet.vn/vi/tim-viec-lam/tender-administrator-quan-tri-vien-dau-thau.35C67355.html","Xem chi tiết")</f>
        <v/>
      </c>
    </row>
    <row r="19070">
      <c r="B19070" s="9" t="n">
        <v>19068</v>
      </c>
      <c r="C19070" s="10" t="inlineStr">
        <is>
          <t>Quản Lý Chi Nhánh / Branch Manager - Hà Nội</t>
        </is>
      </c>
      <c r="D19070" s="10" t="inlineStr">
        <is>
          <t>PPP Laser Clinic Viet Nam</t>
        </is>
      </c>
      <c r="E19070" s="10" t="inlineStr">
        <is>
          <t>Lương:30 Tr - 50 Tr VND</t>
        </is>
      </c>
      <c r="F19070" s="10" t="inlineStr">
        <is>
          <t>Hà Nội</t>
        </is>
      </c>
      <c r="G19070" s="10" t="inlineStr">
        <is>
          <t>03-04-2026</t>
        </is>
      </c>
      <c r="H19070" s="10" t="inlineStr">
        <is>
          <t>03/04/2026</t>
        </is>
      </c>
      <c r="I19070" s="10" t="inlineStr">
        <is>
          <t>17/03/2026</t>
        </is>
      </c>
      <c r="J19070" s="10" t="inlineStr">
        <is>
          <t>Y tế / Chăm sóc sức khỏe / Thẩm mỹ / Làm đẹp, Ngân hàng, Bán hàng / Kinh doanh</t>
        </is>
      </c>
      <c r="K19070" s="10" t="inlineStr">
        <is>
          <t>4 - 8 Năm</t>
        </is>
      </c>
      <c r="L19070" s="11">
        <f>HYPERLINK("https://careerviet.vn/vi/tim-viec-lam/quan-ly-chi-nhanh-branch-manager-ha-noi.35C67363.html","Xem chi tiết")</f>
        <v/>
      </c>
      <c r="M19070" s="10" t="n"/>
    </row>
    <row r="19071">
      <c r="B19071" s="7" t="n">
        <v>19069</v>
      </c>
      <c r="C19071" t="inlineStr">
        <is>
          <t>[Nova Service] - Chuyên viên cao cấp Tổ chức Kiểm toán Kế toán nội bộ</t>
        </is>
      </c>
      <c r="D19071" t="inlineStr">
        <is>
          <t>Nova Service Group - Công ty Cổ phần Tập đoàn Nova Services</t>
        </is>
      </c>
      <c r="E19071" t="inlineStr">
        <is>
          <t>Lương:Cạnh tranh</t>
        </is>
      </c>
      <c r="F19071" t="inlineStr">
        <is>
          <t>Hồ Chí Minh</t>
        </is>
      </c>
      <c r="G19071" t="inlineStr">
        <is>
          <t>03-04-2026</t>
        </is>
      </c>
      <c r="H19071" t="inlineStr">
        <is>
          <t>03/04/2026</t>
        </is>
      </c>
      <c r="I19071" t="inlineStr">
        <is>
          <t>17/03/2026</t>
        </is>
      </c>
      <c r="J19071" t="inlineStr">
        <is>
          <t>Kế toán / Kiểm toán</t>
        </is>
      </c>
      <c r="K19071" t="inlineStr">
        <is>
          <t>5 - 10 Năm</t>
        </is>
      </c>
      <c r="L19071" s="8">
        <f>HYPERLINK("https://careerviet.vn/vi/tim-viec-lam/nova-service-chuyen-vien-cao-cap-to-chuc-kiem-toan-ke-toan-noi-bo.35C67283.html","Xem chi tiết")</f>
        <v/>
      </c>
    </row>
    <row r="19072">
      <c r="B19072" s="9" t="n">
        <v>19070</v>
      </c>
      <c r="C19072" s="10" t="inlineStr">
        <is>
          <t>THƯ KÝ VĂN PHÒNG (KHỐI TÀI CHÍNH)</t>
        </is>
      </c>
      <c r="D19072" s="10" t="inlineStr">
        <is>
          <t>Tổng công ty Xây dựng số 1 – CTCP</t>
        </is>
      </c>
      <c r="E19072" s="10" t="inlineStr">
        <is>
          <t>Lương:Cạnh tranh</t>
        </is>
      </c>
      <c r="F19072" s="10" t="inlineStr">
        <is>
          <t>Hồ Chí Minh</t>
        </is>
      </c>
      <c r="G19072" s="10" t="inlineStr">
        <is>
          <t>03-04-2026</t>
        </is>
      </c>
      <c r="H19072" s="10" t="inlineStr">
        <is>
          <t>03/04/2026</t>
        </is>
      </c>
      <c r="I19072" s="10" t="inlineStr">
        <is>
          <t>17/03/2026</t>
        </is>
      </c>
      <c r="J19072" s="10" t="inlineStr">
        <is>
          <t>Hành chính / Thư ký</t>
        </is>
      </c>
      <c r="K19072" s="10" t="inlineStr">
        <is>
          <t>Trên 1 Năm</t>
        </is>
      </c>
      <c r="L19072" s="11">
        <f>HYPERLINK("https://careerviet.vn/vi/tim-viec-lam/thu-ky-van-phong-khoi-tai-chinh.35C673AC.html","Xem chi tiết")</f>
        <v/>
      </c>
      <c r="M19072" s="10" t="n"/>
    </row>
    <row r="19073">
      <c r="B19073" s="7" t="n">
        <v>19071</v>
      </c>
      <c r="C19073" t="inlineStr">
        <is>
          <t>Tư Vấn Viên Sản Phẩm Giáo Dục (Telesales)</t>
        </is>
      </c>
      <c r="D19073" t="inlineStr">
        <is>
          <t>Công ty CP IIG Việt Nam</t>
        </is>
      </c>
      <c r="E19073" t="inlineStr">
        <is>
          <t>Lương:20 Tr - 25 Tr VND</t>
        </is>
      </c>
      <c r="F19073" t="inlineStr">
        <is>
          <t>Hà Nội</t>
        </is>
      </c>
      <c r="G19073" t="inlineStr">
        <is>
          <t>03-04-2026</t>
        </is>
      </c>
      <c r="H19073" t="inlineStr">
        <is>
          <t>03/04/2026</t>
        </is>
      </c>
      <c r="I19073" t="inlineStr">
        <is>
          <t>17/03/2026</t>
        </is>
      </c>
      <c r="J19073" t="inlineStr">
        <is>
          <t>Tiếp thị / Marketing, Bán hàng / Kinh doanh, Giáo dục / Đào tạo</t>
        </is>
      </c>
      <c r="K19073" t="inlineStr">
        <is>
          <t>2 - 4 Năm</t>
        </is>
      </c>
      <c r="L19073" s="8">
        <f>HYPERLINK("https://careerviet.vn/vi/tim-viec-lam/tu-van-vien-san-pham-giao-duc-telesales.35C672D6.html","Xem chi tiết")</f>
        <v/>
      </c>
    </row>
    <row r="19074">
      <c r="B19074" s="9" t="n">
        <v>19072</v>
      </c>
      <c r="C19074" s="10" t="inlineStr">
        <is>
          <t>Store Manager – Luxury Retail (New Store Opening)</t>
        </is>
      </c>
      <c r="D19074" s="10" t="inlineStr">
        <is>
          <t>Công Ty Avanti - Group</t>
        </is>
      </c>
      <c r="E19074" s="10" t="inlineStr">
        <is>
          <t>Lương:Cạnh tranh</t>
        </is>
      </c>
      <c r="F19074" s="10" t="inlineStr">
        <is>
          <t>Hồ Chí MinhKhánh HòaHà Nội</t>
        </is>
      </c>
      <c r="G19074" s="10" t="inlineStr">
        <is>
          <t>03-04-2026</t>
        </is>
      </c>
      <c r="H19074" s="10" t="inlineStr">
        <is>
          <t>03/04/2026</t>
        </is>
      </c>
      <c r="I19074" s="10" t="inlineStr">
        <is>
          <t>17/03/2026</t>
        </is>
      </c>
      <c r="J19074" s="10" t="inlineStr">
        <is>
          <t>Bán hàng / Kinh doanh, Bán lẻ / Bán sỉ, Nhà hàng / Khách sạn</t>
        </is>
      </c>
      <c r="K19074" s="10" t="inlineStr">
        <is>
          <t>5 - 10 Năm</t>
        </is>
      </c>
      <c r="L19074" s="11">
        <f>HYPERLINK("https://careerviet.vn/vi/tim-viec-lam/store-manager-luxury-retail-new-store-opening.35C67392.html","Xem chi tiết")</f>
        <v/>
      </c>
      <c r="M19074" s="10" t="n"/>
    </row>
    <row r="19075">
      <c r="B19075" s="7" t="n">
        <v>19073</v>
      </c>
      <c r="C19075" t="inlineStr">
        <is>
          <t>Sales Logistics</t>
        </is>
      </c>
      <c r="D19075" t="inlineStr">
        <is>
          <t>CÔNG TY CỔ PHẦN VIỆT TOẢN</t>
        </is>
      </c>
      <c r="E19075" t="inlineStr">
        <is>
          <t>Lương:Cạnh tranh</t>
        </is>
      </c>
      <c r="F19075" t="inlineStr">
        <is>
          <t>Hồ Chí Minh</t>
        </is>
      </c>
      <c r="G19075" t="inlineStr">
        <is>
          <t>03-04-2026</t>
        </is>
      </c>
      <c r="H19075" t="inlineStr">
        <is>
          <t>03/04/2026</t>
        </is>
      </c>
      <c r="I19075" t="inlineStr">
        <is>
          <t>17/03/2026</t>
        </is>
      </c>
      <c r="J19075" t="inlineStr">
        <is>
          <t>Bán hàng / Kinh doanh, Vận chuyển / Giao nhận / Kho vận, Xuất nhập khẩu</t>
        </is>
      </c>
      <c r="K19075" t="inlineStr">
        <is>
          <t>1 - 2 Năm</t>
        </is>
      </c>
      <c r="L19075" s="8">
        <f>HYPERLINK("https://careerviet.vn/vi/tim-viec-lam/sales-logistics.35C6730B.html","Xem chi tiết")</f>
        <v/>
      </c>
    </row>
    <row r="19076">
      <c r="B19076" s="9" t="n">
        <v>19074</v>
      </c>
      <c r="C19076" s="10" t="inlineStr">
        <is>
          <t>Quản Đốc Sơn ( Làm tại Nhà máy Sofa)</t>
        </is>
      </c>
      <c r="D19076" s="10" t="inlineStr">
        <is>
          <t>Công Ty CP Tập Đoàn Kỹ Nghệ Gỗ Trường Thành</t>
        </is>
      </c>
      <c r="E19076" s="10" t="inlineStr">
        <is>
          <t>Lương:25 Tr - 35 Tr VND</t>
        </is>
      </c>
      <c r="F19076" s="10" t="inlineStr">
        <is>
          <t>Bình Dương</t>
        </is>
      </c>
      <c r="G19076" s="10" t="inlineStr">
        <is>
          <t>03-04-2026</t>
        </is>
      </c>
      <c r="H19076" s="10" t="inlineStr">
        <is>
          <t>03/04/2026</t>
        </is>
      </c>
      <c r="I19076" s="10" t="inlineStr">
        <is>
          <t>17/03/2026</t>
        </is>
      </c>
      <c r="J19076" s="10" t="inlineStr">
        <is>
          <t>Đồ gỗ, Nội ngoại thất</t>
        </is>
      </c>
      <c r="K19076" s="10" t="inlineStr">
        <is>
          <t>5 - 7 Năm</t>
        </is>
      </c>
      <c r="L19076" s="11">
        <f>HYPERLINK("https://careerviet.vn/vi/tim-viec-lam/quan-doc-son-lam-tai-nha-may-sofa.35C67255.html","Xem chi tiết")</f>
        <v/>
      </c>
      <c r="M19076" s="10" t="n"/>
    </row>
    <row r="19077">
      <c r="B19077" s="7" t="n">
        <v>19075</v>
      </c>
      <c r="C19077" t="inlineStr">
        <is>
          <t>Chuyên viên Merchandise</t>
        </is>
      </c>
      <c r="D19077" t="inlineStr">
        <is>
          <t>Công ty Cổ phần Thời Trang YODY</t>
        </is>
      </c>
      <c r="E19077" t="inlineStr">
        <is>
          <t>Lương:Cạnh tranh</t>
        </is>
      </c>
      <c r="F19077" t="inlineStr">
        <is>
          <t>Hà NộiHải Dương</t>
        </is>
      </c>
      <c r="G19077" t="inlineStr">
        <is>
          <t>03-04-2026</t>
        </is>
      </c>
      <c r="H19077" t="inlineStr">
        <is>
          <t>03/04/2026</t>
        </is>
      </c>
      <c r="I19077" t="inlineStr">
        <is>
          <t>17/03/2026</t>
        </is>
      </c>
      <c r="J19077" t="inlineStr">
        <is>
          <t>Dệt may / Da giày / Thời trang</t>
        </is>
      </c>
      <c r="K19077" t="inlineStr">
        <is>
          <t>1 - 2 Năm</t>
        </is>
      </c>
      <c r="L19077" s="8">
        <f>HYPERLINK("https://careerviet.vn/vi/tim-viec-lam/chuyen-vien-merchandise.35C6727E.html","Xem chi tiết")</f>
        <v/>
      </c>
    </row>
    <row r="19078">
      <c r="B19078" s="9" t="n">
        <v>19076</v>
      </c>
      <c r="C19078" s="10" t="inlineStr">
        <is>
          <t>SENIOR DIGITAL PERFORMANCE EXECUTIVE</t>
        </is>
      </c>
      <c r="D19078" s="10" t="inlineStr">
        <is>
          <t>Công ty TNHH Sản xuất Thương mại &amp; Dịch vụ Hoa Xinh</t>
        </is>
      </c>
      <c r="E19078" s="10" t="inlineStr">
        <is>
          <t>Lương:Cạnh tranh</t>
        </is>
      </c>
      <c r="F19078" s="10" t="inlineStr">
        <is>
          <t>Hồ Chí Minh</t>
        </is>
      </c>
      <c r="G19078" s="10" t="inlineStr">
        <is>
          <t>03-04-2026</t>
        </is>
      </c>
      <c r="H19078" s="10" t="inlineStr">
        <is>
          <t>03/04/2026</t>
        </is>
      </c>
      <c r="I19078" s="10" t="inlineStr">
        <is>
          <t>17/03/2026</t>
        </is>
      </c>
      <c r="J19078" s="10" t="inlineStr">
        <is>
          <t>Tiếp thị / Marketing, Tiếp thị trực tuyến, Thương mại điện tử</t>
        </is>
      </c>
      <c r="K19078" s="10" t="inlineStr">
        <is>
          <t>3 - 5 Năm</t>
        </is>
      </c>
      <c r="L19078" s="11">
        <f>HYPERLINK("https://careerviet.vn/vi/tim-viec-lam/senior-digital-performance-executive.35C67366.html","Xem chi tiết")</f>
        <v/>
      </c>
      <c r="M19078" s="10" t="n"/>
    </row>
    <row r="19079">
      <c r="B19079" s="7" t="n">
        <v>19077</v>
      </c>
      <c r="C19079" t="inlineStr">
        <is>
          <t>[Nova Hotels &amp; Resorts World] Phó Giám đốc Ban Kinh doanh</t>
        </is>
      </c>
      <c r="D19079" t="inlineStr">
        <is>
          <t>Nova Service Group - Công ty Cổ phần Tập đoàn Nova Services</t>
        </is>
      </c>
      <c r="E19079" t="inlineStr">
        <is>
          <t>Lương:Cạnh tranh</t>
        </is>
      </c>
      <c r="F19079" t="inlineStr">
        <is>
          <t>Hồ Chí Minh</t>
        </is>
      </c>
      <c r="G19079" t="inlineStr">
        <is>
          <t>03-04-2026</t>
        </is>
      </c>
      <c r="H19079" t="inlineStr">
        <is>
          <t>03/04/2026</t>
        </is>
      </c>
      <c r="I19079" t="inlineStr">
        <is>
          <t>17/03/2026</t>
        </is>
      </c>
      <c r="J19079" t="inlineStr">
        <is>
          <t>Nhà hàng / Khách sạn, Sản xuất / Vận hành sản xuất, Quản lý điều hành</t>
        </is>
      </c>
      <c r="K19079" t="inlineStr">
        <is>
          <t>10 - 11 Năm</t>
        </is>
      </c>
      <c r="L19079" s="8">
        <f>HYPERLINK("https://careerviet.vn/vi/tim-viec-lam/nova-hotels-resorts-world-pho-giam-doc-ban-kinh-doanh.35C67337.html","Xem chi tiết")</f>
        <v/>
      </c>
    </row>
    <row r="19080">
      <c r="B19080" s="9" t="n">
        <v>19078</v>
      </c>
      <c r="C19080" s="10" t="inlineStr">
        <is>
          <t>Trưởng nhóm Livestream Tik Tok</t>
        </is>
      </c>
      <c r="D19080" s="10" t="inlineStr">
        <is>
          <t>CÔNG TY TNHH PHÁT TRIỂN DELI VIỆT NAM</t>
        </is>
      </c>
      <c r="E19080" s="10" t="inlineStr">
        <is>
          <t>Lương:16 Tr - 25 Tr VND</t>
        </is>
      </c>
      <c r="F19080" s="10" t="inlineStr">
        <is>
          <t>Hà Nội</t>
        </is>
      </c>
      <c r="G19080" s="10" t="inlineStr">
        <is>
          <t>03-04-2026</t>
        </is>
      </c>
      <c r="H19080" s="10" t="inlineStr">
        <is>
          <t>03/04/2026</t>
        </is>
      </c>
      <c r="I19080" s="10" t="inlineStr">
        <is>
          <t>17/03/2026</t>
        </is>
      </c>
      <c r="J19080" s="10" t="inlineStr">
        <is>
          <t>Tiếp thị / Marketing, Thương mại điện tử</t>
        </is>
      </c>
      <c r="K19080" s="10" t="inlineStr">
        <is>
          <t>2 - 3 Năm</t>
        </is>
      </c>
      <c r="L19080" s="11">
        <f>HYPERLINK("https://careerviet.vn/vi/tim-viec-lam/truong-nhom-livestream-tik-tok.35C64764.html","Xem chi tiết")</f>
        <v/>
      </c>
      <c r="M19080" s="10" t="n"/>
    </row>
    <row r="19081">
      <c r="B19081" s="7" t="n">
        <v>19079</v>
      </c>
      <c r="C19081" t="inlineStr">
        <is>
          <t>Công nhân vận hành/bảo trì (điện, cơ khí, hóa,…)</t>
        </is>
      </c>
      <c r="D19081" t="inlineStr">
        <is>
          <t>Công Ty TNHH POSCO - Việt Nam</t>
        </is>
      </c>
      <c r="E19081" t="inlineStr">
        <is>
          <t>Lương:8 Tr - 15 Tr VND</t>
        </is>
      </c>
      <c r="F19081" t="inlineStr">
        <is>
          <t>Bà Rịa - Vũng Tàu</t>
        </is>
      </c>
      <c r="G19081" t="inlineStr">
        <is>
          <t>03-04-2026</t>
        </is>
      </c>
      <c r="H19081" t="inlineStr">
        <is>
          <t>03/04/2026</t>
        </is>
      </c>
      <c r="I19081" t="inlineStr">
        <is>
          <t>17/03/2026</t>
        </is>
      </c>
      <c r="J19081" t="inlineStr">
        <is>
          <t>Cơ khí / Ô tô / Tự động hóa, Điện / Điện tử / Điện lạnh / Điện công nghiệp</t>
        </is>
      </c>
      <c r="K19081" t="inlineStr">
        <is>
          <t>1 - 3 Năm</t>
        </is>
      </c>
      <c r="L19081" s="8">
        <f>HYPERLINK("https://careerviet.vn/vi/tim-viec-lam/cong-nhan-van-hanh-bao-tri-dien-co-khi-hoa.35C67379.html","Xem chi tiết")</f>
        <v/>
      </c>
    </row>
    <row r="19082">
      <c r="B19082" s="9" t="n">
        <v>19080</v>
      </c>
      <c r="C19082" s="10" t="inlineStr">
        <is>
          <t>IT support (có kinh nghiệm về Lark)</t>
        </is>
      </c>
      <c r="D19082" s="10" t="inlineStr">
        <is>
          <t>CÔNG TY TNHH THƯƠNG MẠI VÀ DỊCH VỤ OZOVN</t>
        </is>
      </c>
      <c r="E19082" s="10" t="inlineStr">
        <is>
          <t>Lương:12 Tr - 15 Tr VND</t>
        </is>
      </c>
      <c r="F19082" s="10" t="inlineStr">
        <is>
          <t>Hà Nội</t>
        </is>
      </c>
      <c r="G19082" s="10" t="inlineStr">
        <is>
          <t>03-04-2026</t>
        </is>
      </c>
      <c r="H19082" s="10" t="inlineStr">
        <is>
          <t>03/04/2026</t>
        </is>
      </c>
      <c r="I19082" s="10" t="inlineStr">
        <is>
          <t>17/03/2026</t>
        </is>
      </c>
      <c r="J19082" s="10" t="inlineStr">
        <is>
          <t>CNTT - Phần mềm, CNTT - Phần cứng / Mạng</t>
        </is>
      </c>
      <c r="K19082" s="10" t="inlineStr">
        <is>
          <t>N/A</t>
        </is>
      </c>
      <c r="L19082" s="11">
        <f>HYPERLINK("https://careerviet.vn/vi/tim-viec-lam/it-support-co-kinh-nghiem-ve-lark.35C67288.html","Xem chi tiết")</f>
        <v/>
      </c>
      <c r="M19082" s="10" t="n"/>
    </row>
    <row r="19083">
      <c r="B19083" s="7" t="n">
        <v>19081</v>
      </c>
      <c r="C19083" t="inlineStr">
        <is>
          <t>[HCM] Thực tập sinh Marketing (có trợ cấp)</t>
        </is>
      </c>
      <c r="D19083" t="inlineStr">
        <is>
          <t>CÔNG TY CỔ PHẦN GIAO DỊCH HÀNG HÓA ĐÔNG NAM Á</t>
        </is>
      </c>
      <c r="E19083" t="inlineStr">
        <is>
          <t>Lương:2 Tr - 3 Tr VND</t>
        </is>
      </c>
      <c r="F19083" t="inlineStr">
        <is>
          <t>Hồ Chí Minh</t>
        </is>
      </c>
      <c r="G19083" t="inlineStr">
        <is>
          <t>03-04-2026</t>
        </is>
      </c>
      <c r="H19083" t="inlineStr">
        <is>
          <t>03/04/2026</t>
        </is>
      </c>
      <c r="I19083" t="inlineStr">
        <is>
          <t>17/03/2026</t>
        </is>
      </c>
      <c r="J19083" t="inlineStr">
        <is>
          <t>Tài chính / Đầu tư</t>
        </is>
      </c>
      <c r="K19083" t="inlineStr">
        <is>
          <t>N/A</t>
        </is>
      </c>
      <c r="L19083" s="8">
        <f>HYPERLINK("https://careerviet.vn/vi/tim-viec-lam/hcm-thuc-tap-sinh-marketing-co-tro-cap.35C6733F.html","Xem chi tiết")</f>
        <v/>
      </c>
    </row>
    <row r="19084">
      <c r="B19084" s="9" t="n">
        <v>19082</v>
      </c>
      <c r="C19084" s="10" t="inlineStr">
        <is>
          <t>Kỹ sư  Quản lý  Chất lượng</t>
        </is>
      </c>
      <c r="D19084" s="10" t="inlineStr">
        <is>
          <t>Công Ty TNHH POSCO - Việt Nam</t>
        </is>
      </c>
      <c r="E19084" s="10" t="inlineStr">
        <is>
          <t>Lương:13 Tr - 20 Tr VND</t>
        </is>
      </c>
      <c r="F19084" s="10" t="inlineStr">
        <is>
          <t>Bà Rịa - Vũng Tàu</t>
        </is>
      </c>
      <c r="G19084" s="10" t="inlineStr">
        <is>
          <t>03-04-2026</t>
        </is>
      </c>
      <c r="H19084" s="10" t="inlineStr">
        <is>
          <t>03/04/2026</t>
        </is>
      </c>
      <c r="I19084" s="10" t="inlineStr">
        <is>
          <t>17/03/2026</t>
        </is>
      </c>
      <c r="J19084" s="10" t="inlineStr">
        <is>
          <t>Cơ khí / Ô tô / Tự động hóa, Điện / Điện tử / Điện lạnh / Điện công nghiệp</t>
        </is>
      </c>
      <c r="K19084" s="10" t="inlineStr">
        <is>
          <t>1 - 3 Năm</t>
        </is>
      </c>
      <c r="L19084" s="11">
        <f>HYPERLINK("https://careerviet.vn/vi/tim-viec-lam/ky-su-quan-ly-chat-luong.35C67368.html","Xem chi tiết")</f>
        <v/>
      </c>
      <c r="M19084" s="10" t="n"/>
    </row>
    <row r="19085">
      <c r="B19085" s="7" t="n">
        <v>19083</v>
      </c>
      <c r="C19085" t="inlineStr">
        <is>
          <t>Shop Drawing</t>
        </is>
      </c>
      <c r="D19085" t="inlineStr">
        <is>
          <t>CÔNG TY CỔ PHẦN MEGABUILD</t>
        </is>
      </c>
      <c r="E19085" t="inlineStr">
        <is>
          <t>Lương:Cạnh tranh</t>
        </is>
      </c>
      <c r="F19085" t="inlineStr">
        <is>
          <t>Hồ Chí Minh</t>
        </is>
      </c>
      <c r="G19085" t="inlineStr">
        <is>
          <t>03-04-2026</t>
        </is>
      </c>
      <c r="H19085" t="inlineStr">
        <is>
          <t>03/04/2026</t>
        </is>
      </c>
      <c r="I19085" t="inlineStr">
        <is>
          <t>17/03/2026</t>
        </is>
      </c>
      <c r="J19085" t="inlineStr">
        <is>
          <t>Kiến trúc, Xây dựng</t>
        </is>
      </c>
      <c r="K19085" t="inlineStr">
        <is>
          <t>Trên 1 Năm</t>
        </is>
      </c>
      <c r="L19085" s="8">
        <f>HYPERLINK("https://careerviet.vn/vi/tim-viec-lam/shop-drawing.35C671ED.html","Xem chi tiết")</f>
        <v/>
      </c>
    </row>
    <row r="19086">
      <c r="B19086" s="9" t="n">
        <v>19084</v>
      </c>
      <c r="C19086" s="10" t="inlineStr">
        <is>
          <t>Nhân Viên Kinh Doanh (đi làm ngay hoặc sau Tết AL)</t>
        </is>
      </c>
      <c r="D19086" s="10" t="inlineStr">
        <is>
          <t>CIG SCI-TECH COMPANY LIMITED</t>
        </is>
      </c>
      <c r="E19086" s="10" t="inlineStr">
        <is>
          <t>Lương:12 Tr - 20 Tr VND</t>
        </is>
      </c>
      <c r="F19086" s="10" t="inlineStr">
        <is>
          <t>Hà NộiHồ Chí Minh</t>
        </is>
      </c>
      <c r="G19086" s="10" t="inlineStr">
        <is>
          <t>03-04-2026</t>
        </is>
      </c>
      <c r="H19086" s="10" t="inlineStr">
        <is>
          <t>03/04/2026</t>
        </is>
      </c>
      <c r="I19086" s="10" t="inlineStr">
        <is>
          <t>17/03/2026</t>
        </is>
      </c>
      <c r="J19086" s="10" t="inlineStr">
        <is>
          <t>Bán hàng / Kinh doanh, Tư vấn, Biên phiên dịch</t>
        </is>
      </c>
      <c r="K19086" s="10" t="inlineStr">
        <is>
          <t>Trên 3 Năm</t>
        </is>
      </c>
      <c r="L19086" s="11">
        <f>HYPERLINK("https://careerviet.vn/vi/tim-viec-lam/nhan-vien-kinh-doanh-di-lam-ngay-hoac-sau-tet-al.35C6733C.html","Xem chi tiết")</f>
        <v/>
      </c>
      <c r="M19086" s="10" t="n"/>
    </row>
    <row r="19087">
      <c r="B19087" s="7" t="n">
        <v>19085</v>
      </c>
      <c r="C19087" t="inlineStr">
        <is>
          <t>Purchasing Officer</t>
        </is>
      </c>
      <c r="D19087" t="inlineStr">
        <is>
          <t>CÔNG TY TNHH THANTAWAN INDUSTRY (VIỆT NAM)</t>
        </is>
      </c>
      <c r="E19087" t="inlineStr">
        <is>
          <t>Lương:Cạnh tranh</t>
        </is>
      </c>
      <c r="F19087" t="inlineStr">
        <is>
          <t>Tây NinhBình DươngĐồng Nai</t>
        </is>
      </c>
      <c r="G19087" t="inlineStr">
        <is>
          <t>03-04-2026</t>
        </is>
      </c>
      <c r="H19087" t="inlineStr">
        <is>
          <t>03/04/2026</t>
        </is>
      </c>
      <c r="I19087" t="inlineStr">
        <is>
          <t>17/03/2026</t>
        </is>
      </c>
      <c r="J19087" t="inlineStr">
        <is>
          <t>Hành chính / Thư ký, Thu mua / Vật tư, Bán lẻ / Bán sỉ</t>
        </is>
      </c>
      <c r="K19087" t="inlineStr">
        <is>
          <t>Trên 1 Năm</t>
        </is>
      </c>
      <c r="L19087" s="8">
        <f>HYPERLINK("https://careerviet.vn/vi/tim-viec-lam/purchasing-officer.35C6727F.html","Xem chi tiết")</f>
        <v/>
      </c>
    </row>
    <row r="19088">
      <c r="B19088" s="9" t="n">
        <v>19086</v>
      </c>
      <c r="C19088" s="10" t="inlineStr">
        <is>
          <t>Chuyên viên phân tích nghiệp vụ (IT Business Analyst)</t>
        </is>
      </c>
      <c r="D19088" s="10" t="inlineStr">
        <is>
          <t>Công ty CP IIG Việt Nam</t>
        </is>
      </c>
      <c r="E19088" s="10" t="inlineStr">
        <is>
          <t>Lương:20 Tr - 25 Tr VND</t>
        </is>
      </c>
      <c r="F19088" s="10" t="inlineStr">
        <is>
          <t>Hà Nội</t>
        </is>
      </c>
      <c r="G19088" s="10" t="inlineStr">
        <is>
          <t>03-04-2026</t>
        </is>
      </c>
      <c r="H19088" s="10" t="inlineStr">
        <is>
          <t>03/04/2026</t>
        </is>
      </c>
      <c r="I19088" s="10" t="inlineStr">
        <is>
          <t>17/03/2026</t>
        </is>
      </c>
      <c r="J19088" s="10" t="inlineStr">
        <is>
          <t>Giáo dục / Đào tạo, Ngân hàng, CNTT - Phần mềm</t>
        </is>
      </c>
      <c r="K19088" s="10" t="inlineStr">
        <is>
          <t>3 - 4 Năm</t>
        </is>
      </c>
      <c r="L19088" s="11">
        <f>HYPERLINK("https://careerviet.vn/vi/tim-viec-lam/chuyen-vien-phan-tich-nghiep-vu-it-business-analyst.35C673B7.html","Xem chi tiết")</f>
        <v/>
      </c>
      <c r="M19088" s="10" t="n"/>
    </row>
    <row r="19089">
      <c r="B19089" s="7" t="n">
        <v>19087</v>
      </c>
      <c r="C19089" t="inlineStr">
        <is>
          <t>Nhân Viên An Toàn Lao Động</t>
        </is>
      </c>
      <c r="D19089" t="inlineStr">
        <is>
          <t>Công Ty TNHH INOAC Viet Nam</t>
        </is>
      </c>
      <c r="E19089" t="inlineStr">
        <is>
          <t>Lương:Cạnh tranh</t>
        </is>
      </c>
      <c r="F19089" t="inlineStr">
        <is>
          <t>Hà Nội</t>
        </is>
      </c>
      <c r="G19089" t="inlineStr">
        <is>
          <t>03-04-2026</t>
        </is>
      </c>
      <c r="H19089" t="inlineStr">
        <is>
          <t>03/04/2026</t>
        </is>
      </c>
      <c r="I19089" t="inlineStr">
        <is>
          <t>17/03/2026</t>
        </is>
      </c>
      <c r="J19089" t="inlineStr">
        <is>
          <t>Môi trường, Hóa học, An toàn lao động</t>
        </is>
      </c>
      <c r="K19089" t="inlineStr">
        <is>
          <t>1 - 5 Năm</t>
        </is>
      </c>
      <c r="L19089" s="8">
        <f>HYPERLINK("https://careerviet.vn/vi/tim-viec-lam/nhan-vien-an-toan-lao-dong.35C6727A.html","Xem chi tiết")</f>
        <v/>
      </c>
    </row>
    <row r="19090">
      <c r="B19090" s="9" t="n">
        <v>19088</v>
      </c>
      <c r="C19090" s="10" t="inlineStr">
        <is>
          <t>Trợ Lý Ban Điều Hành</t>
        </is>
      </c>
      <c r="D19090" s="10" t="inlineStr">
        <is>
          <t>CÔNG TY CỔ PHẦN THƯƠNG MẠI ĐIỆN MÁY HOA NAM</t>
        </is>
      </c>
      <c r="E19090" s="10" t="inlineStr">
        <is>
          <t>Lương:Trên 20 Tr VND</t>
        </is>
      </c>
      <c r="F19090" s="10" t="inlineStr">
        <is>
          <t>Hà Nội</t>
        </is>
      </c>
      <c r="G19090" s="10" t="inlineStr">
        <is>
          <t>03-04-2026</t>
        </is>
      </c>
      <c r="H19090" s="10" t="inlineStr">
        <is>
          <t>03/04/2026</t>
        </is>
      </c>
      <c r="I19090" s="10" t="inlineStr">
        <is>
          <t>17/03/2026</t>
        </is>
      </c>
      <c r="J19090" s="10" t="inlineStr">
        <is>
          <t>Hành chính / Thư ký, Quản lý điều hành, Nhân sự</t>
        </is>
      </c>
      <c r="K19090" s="10" t="inlineStr">
        <is>
          <t>Trên 3 Năm</t>
        </is>
      </c>
      <c r="L19090" s="11">
        <f>HYPERLINK("https://careerviet.vn/vi/tim-viec-lam/tro-ly-ban-dieu-hanh.35C67383.html","Xem chi tiết")</f>
        <v/>
      </c>
      <c r="M19090" s="10" t="n"/>
    </row>
    <row r="19091">
      <c r="B19091" s="7" t="n">
        <v>19089</v>
      </c>
      <c r="C19091" t="inlineStr">
        <is>
          <t>Nhân Viên Chăm Sóc Khách Hàng Thương Hiệu Thời Trang Nhật Bản - Tiếng Anh &amp; Tiếng Việt – Không Yêu Cầu Kinh Nghiệm</t>
        </is>
      </c>
      <c r="D19091" t="inlineStr">
        <is>
          <t>CÔNG TY CỔ PHẦN ALTIUS LINK VIỆT NAM</t>
        </is>
      </c>
      <c r="E19091" t="inlineStr">
        <is>
          <t>Lương:9 Tr - 12,4 Tr VND</t>
        </is>
      </c>
      <c r="F19091" t="inlineStr">
        <is>
          <t>Hồ Chí Minh</t>
        </is>
      </c>
      <c r="G19091" t="inlineStr">
        <is>
          <t>03-04-2026</t>
        </is>
      </c>
      <c r="H19091" t="inlineStr">
        <is>
          <t>03/04/2026</t>
        </is>
      </c>
      <c r="I19091" t="inlineStr">
        <is>
          <t>17/03/2026</t>
        </is>
      </c>
      <c r="J19091" t="inlineStr">
        <is>
          <t>Tiếp thị trực tuyến, Tư vấn, Dịch vụ khách hàng</t>
        </is>
      </c>
      <c r="K19091" t="inlineStr">
        <is>
          <t>N/A</t>
        </is>
      </c>
      <c r="L19091" s="8">
        <f>HYPERLINK("https://careerviet.vn/vi/tim-viec-lam/nhan-vien-cham-soc-khach-hang-thuong-hieu-thoi-trang-nhat-ban-tieng-anh-tieng-viet-khong-yeu-cau-kinh-nghiem.35C6477B.html","Xem chi tiết")</f>
        <v/>
      </c>
    </row>
    <row r="19092">
      <c r="B19092" s="9" t="n">
        <v>19090</v>
      </c>
      <c r="C19092" s="10" t="inlineStr">
        <is>
          <t>Nhân Viên Tư Vấn Bán Hàng Qua Điện Thoại</t>
        </is>
      </c>
      <c r="D19092" s="10" t="inlineStr">
        <is>
          <t>Công Ty Tài Chính Mirae Asset (Việt Nam)</t>
        </is>
      </c>
      <c r="E19092" s="10" t="inlineStr">
        <is>
          <t>Lương:Cạnh tranh</t>
        </is>
      </c>
      <c r="F19092" s="10" t="inlineStr">
        <is>
          <t>Hồ Chí Minh</t>
        </is>
      </c>
      <c r="G19092" s="10" t="inlineStr">
        <is>
          <t>03-04-2026</t>
        </is>
      </c>
      <c r="H19092" s="10" t="inlineStr">
        <is>
          <t>03/04/2026</t>
        </is>
      </c>
      <c r="I19092" s="10" t="inlineStr">
        <is>
          <t>17/03/2026</t>
        </is>
      </c>
      <c r="J19092" s="10" t="inlineStr">
        <is>
          <t>Bảo hiểm, Bất động sản, Bán hàng / Kinh doanh</t>
        </is>
      </c>
      <c r="K19092" s="10" t="inlineStr">
        <is>
          <t>N/A</t>
        </is>
      </c>
      <c r="L19092" s="11">
        <f>HYPERLINK("https://careerviet.vn/vi/tim-viec-lam/nhan-vien-tu-van-ban-hang-qua-dien-thoai.35C67309.html","Xem chi tiết")</f>
        <v/>
      </c>
      <c r="M19092" s="10" t="n"/>
    </row>
    <row r="19093">
      <c r="B19093" s="7" t="n">
        <v>19091</v>
      </c>
      <c r="C19093" t="inlineStr">
        <is>
          <t>Trưởng Nhóm Bộ Phận Lễ Tân (Customer Service Supervisor)</t>
        </is>
      </c>
      <c r="D19093" t="inlineStr">
        <is>
          <t>Savills Vietnam</t>
        </is>
      </c>
      <c r="E19093" t="inlineStr">
        <is>
          <t>Lương:Cạnh tranh</t>
        </is>
      </c>
      <c r="F19093" t="inlineStr">
        <is>
          <t>Hồ Chí Minh</t>
        </is>
      </c>
      <c r="G19093" t="inlineStr">
        <is>
          <t>03-04-2026</t>
        </is>
      </c>
      <c r="H19093" t="inlineStr">
        <is>
          <t>03/04/2026</t>
        </is>
      </c>
      <c r="I19093" t="inlineStr">
        <is>
          <t>17/03/2026</t>
        </is>
      </c>
      <c r="J19093" t="inlineStr">
        <is>
          <t>Nhà hàng / Khách sạn, Dịch vụ khách hàng, Ngành khác</t>
        </is>
      </c>
      <c r="K19093" t="inlineStr">
        <is>
          <t>1 - 2 Năm</t>
        </is>
      </c>
      <c r="L19093" s="8">
        <f>HYPERLINK("https://careerviet.vn/vi/tim-viec-lam/truong-nhom-bo-phan-le-tan-customer-service-supervisor.35C66D05.html","Xem chi tiết")</f>
        <v/>
      </c>
    </row>
    <row r="19094">
      <c r="B19094" s="9" t="n">
        <v>19092</v>
      </c>
      <c r="C19094" s="10" t="inlineStr">
        <is>
          <t>Kế toán kiêm thủ kho - thu nhập lên đến 15tr/tháng - Đi làm ngay</t>
        </is>
      </c>
      <c r="D19094" s="10" t="inlineStr">
        <is>
          <t>Công ty Cổ phần thực phẩm và đồ uống Barett</t>
        </is>
      </c>
      <c r="E19094" s="10" t="inlineStr">
        <is>
          <t>Lương:13 Tr - 15 Tr VND</t>
        </is>
      </c>
      <c r="F19094" s="10" t="inlineStr">
        <is>
          <t>Đà Nẵng</t>
        </is>
      </c>
      <c r="G19094" s="10" t="inlineStr">
        <is>
          <t>03-04-2026</t>
        </is>
      </c>
      <c r="H19094" s="10" t="inlineStr">
        <is>
          <t>03/04/2026</t>
        </is>
      </c>
      <c r="I19094" s="10" t="inlineStr">
        <is>
          <t>17/03/2026</t>
        </is>
      </c>
      <c r="J19094" s="10" t="inlineStr">
        <is>
          <t>Vận chuyển / Giao nhận / Kho vận, Kế toán / Kiểm toán, Bất động sản</t>
        </is>
      </c>
      <c r="K19094" s="10" t="inlineStr">
        <is>
          <t>3 - 5 Năm</t>
        </is>
      </c>
      <c r="L19094" s="11">
        <f>HYPERLINK("https://careerviet.vn/vi/tim-viec-lam/ke-toan-kiem-thu-kho-thu-nhap-len-den-15tr-thang-di-lam-ngay.35C64786.html","Xem chi tiết")</f>
        <v/>
      </c>
      <c r="M19094" s="10" t="n"/>
    </row>
    <row r="19095">
      <c r="B19095" s="7" t="n">
        <v>19093</v>
      </c>
      <c r="C19095" t="inlineStr">
        <is>
          <t>Admin kho - Thu nhập lên đến 14 triệu/tháng</t>
        </is>
      </c>
      <c r="D19095" t="inlineStr">
        <is>
          <t>Công ty Cổ phần thực phẩm và đồ uống Barett</t>
        </is>
      </c>
      <c r="E19095" t="inlineStr">
        <is>
          <t>Lương:10 Tr - 14 Tr VND</t>
        </is>
      </c>
      <c r="F19095" t="inlineStr">
        <is>
          <t>Hưng Yên</t>
        </is>
      </c>
      <c r="G19095" t="inlineStr">
        <is>
          <t>03-04-2026</t>
        </is>
      </c>
      <c r="H19095" t="inlineStr">
        <is>
          <t>03/04/2026</t>
        </is>
      </c>
      <c r="I19095" t="inlineStr">
        <is>
          <t>17/03/2026</t>
        </is>
      </c>
      <c r="J19095" t="inlineStr">
        <is>
          <t>Vận chuyển / Giao nhận / Kho vận, Thực phẩm &amp; Đồ uống</t>
        </is>
      </c>
      <c r="K19095" t="inlineStr">
        <is>
          <t>2 - 3 Năm</t>
        </is>
      </c>
      <c r="L19095" s="8">
        <f>HYPERLINK("https://careerviet.vn/vi/tim-viec-lam/admin-kho-thu-nhap-len-den-14-trieu-thang.35C6478C.html","Xem chi tiết")</f>
        <v/>
      </c>
    </row>
    <row r="19096">
      <c r="B19096" s="9" t="n">
        <v>19094</v>
      </c>
      <c r="C19096" s="10" t="inlineStr">
        <is>
          <t>Trợ lý Ban lãnh đạo phụ trách mảng Vận hành</t>
        </is>
      </c>
      <c r="D19096" s="10" t="inlineStr">
        <is>
          <t>Công ty CP IIG Việt Nam</t>
        </is>
      </c>
      <c r="E19096" s="10" t="inlineStr">
        <is>
          <t>Lương:Cạnh tranh</t>
        </is>
      </c>
      <c r="F19096" s="10" t="inlineStr">
        <is>
          <t>Hà Nội</t>
        </is>
      </c>
      <c r="G19096" s="10" t="inlineStr">
        <is>
          <t>03-04-2026</t>
        </is>
      </c>
      <c r="H19096" s="10" t="inlineStr">
        <is>
          <t>03/04/2026</t>
        </is>
      </c>
      <c r="I19096" s="10" t="inlineStr">
        <is>
          <t>17/03/2026</t>
        </is>
      </c>
      <c r="J19096" s="10" t="inlineStr">
        <is>
          <t>Giáo dục / Đào tạo, Hành chính / Thư ký, Ngân hàng</t>
        </is>
      </c>
      <c r="K19096" s="10" t="inlineStr">
        <is>
          <t>3 - 5 Năm</t>
        </is>
      </c>
      <c r="L19096" s="11">
        <f>HYPERLINK("https://careerviet.vn/vi/tim-viec-lam/tro-ly-ban-lanh-dao-phu-trach-mang-van-hanh.35C6729D.html","Xem chi tiết")</f>
        <v/>
      </c>
      <c r="M19096" s="10" t="n"/>
    </row>
    <row r="19097">
      <c r="B19097" s="7" t="n">
        <v>19095</v>
      </c>
      <c r="C19097" t="inlineStr">
        <is>
          <t>Thủ kho - Thu nhập từ 10 - 13tr/tháng (nhận việc sau tết)</t>
        </is>
      </c>
      <c r="D19097" t="inlineStr">
        <is>
          <t>Công ty Cổ phần thực phẩm và đồ uống Barett</t>
        </is>
      </c>
      <c r="E19097" t="inlineStr">
        <is>
          <t>Lương:10 Tr - 13 Tr VND</t>
        </is>
      </c>
      <c r="F19097" t="inlineStr">
        <is>
          <t>Hưng Yên</t>
        </is>
      </c>
      <c r="G19097" t="inlineStr">
        <is>
          <t>03-04-2026</t>
        </is>
      </c>
      <c r="H19097" t="inlineStr">
        <is>
          <t>03/04/2026</t>
        </is>
      </c>
      <c r="I19097" t="inlineStr">
        <is>
          <t>17/03/2026</t>
        </is>
      </c>
      <c r="J19097" t="inlineStr">
        <is>
          <t>Vận chuyển / Giao nhận / Kho vận</t>
        </is>
      </c>
      <c r="K19097" t="inlineStr">
        <is>
          <t>1 - 3 Năm</t>
        </is>
      </c>
      <c r="L19097" s="8">
        <f>HYPERLINK("https://careerviet.vn/vi/tim-viec-lam/thu-kho-thu-nhap-tu-10-13tr-thang-nhan-viec-sau-tet.35C6478D.html","Xem chi tiết")</f>
        <v/>
      </c>
    </row>
    <row r="19098">
      <c r="B19098" s="9" t="n">
        <v>19096</v>
      </c>
      <c r="C19098" s="10" t="inlineStr">
        <is>
          <t>Nhân Viên Phục Vụ Full Time/ Part Time</t>
        </is>
      </c>
      <c r="D19098" s="10" t="inlineStr">
        <is>
          <t>Công ty TNHH Sản xuất Thương mại &amp; Dịch vụ Hoa Xinh</t>
        </is>
      </c>
      <c r="E19098" s="10" t="inlineStr">
        <is>
          <t>Lương:8 Tr - 10 Tr VND</t>
        </is>
      </c>
      <c r="F19098" s="10" t="inlineStr">
        <is>
          <t>Bà Rịa - Vũng Tàu</t>
        </is>
      </c>
      <c r="G19098" s="10" t="inlineStr">
        <is>
          <t>03-04-2026</t>
        </is>
      </c>
      <c r="H19098" s="10" t="inlineStr">
        <is>
          <t>03/04/2026</t>
        </is>
      </c>
      <c r="I19098" s="10" t="inlineStr">
        <is>
          <t>17/03/2026</t>
        </is>
      </c>
      <c r="J19098" s="10" t="inlineStr">
        <is>
          <t>Thực phẩm &amp; Đồ uống, Nhà hàng / Khách sạn, Mới tốt nghiệp / Thực tập</t>
        </is>
      </c>
      <c r="K19098" s="10" t="inlineStr">
        <is>
          <t>N/A</t>
        </is>
      </c>
      <c r="L19098" s="11">
        <f>HYPERLINK("https://careerviet.vn/vi/tim-viec-lam/nhan-vien-phuc-vu-full-time-part-time.35C6730A.html","Xem chi tiết")</f>
        <v/>
      </c>
      <c r="M19098" s="10" t="n"/>
    </row>
    <row r="19099">
      <c r="B19099" s="7" t="n">
        <v>19097</v>
      </c>
      <c r="C19099" t="inlineStr">
        <is>
          <t>[Nova Hotels &amp; Resorts World] Trưởng phòng Tổ chức Quản lý và Sản xuất Nội dung</t>
        </is>
      </c>
      <c r="D19099" t="inlineStr">
        <is>
          <t>Nova Service Group - Công ty Cổ phần Tập đoàn Nova Services</t>
        </is>
      </c>
      <c r="E19099" t="inlineStr">
        <is>
          <t>Lương:Cạnh tranh</t>
        </is>
      </c>
      <c r="F19099" t="inlineStr">
        <is>
          <t>Hồ Chí Minh</t>
        </is>
      </c>
      <c r="G19099" t="inlineStr">
        <is>
          <t>03-04-2026</t>
        </is>
      </c>
      <c r="H19099" t="inlineStr">
        <is>
          <t>03/04/2026</t>
        </is>
      </c>
      <c r="I19099" t="inlineStr">
        <is>
          <t>17/03/2026</t>
        </is>
      </c>
      <c r="J19099" t="inlineStr">
        <is>
          <t>Tiếp thị / Marketing, Nhà hàng / Khách sạn, Tổ chức sự kiện</t>
        </is>
      </c>
      <c r="K19099" t="inlineStr">
        <is>
          <t>7 - 8 Năm</t>
        </is>
      </c>
      <c r="L19099" s="8">
        <f>HYPERLINK("https://careerviet.vn/vi/tim-viec-lam/nova-hotels-resorts-world-truong-phong-to-chuc-quan-ly-va-san-xuat-noi-dung.35C672A0.html","Xem chi tiết")</f>
        <v/>
      </c>
    </row>
    <row r="19100">
      <c r="B19100" s="9" t="n">
        <v>19098</v>
      </c>
      <c r="C19100" s="10" t="inlineStr">
        <is>
          <t>Lập trình Angular (Frontend Developer)</t>
        </is>
      </c>
      <c r="D19100" s="10" t="inlineStr">
        <is>
          <t>CÔNG TY CỔ PHẦN CHỨNG KHOÁN ASEAN</t>
        </is>
      </c>
      <c r="E19100" s="10" t="inlineStr">
        <is>
          <t>Lương:Cạnh tranh</t>
        </is>
      </c>
      <c r="F19100" s="10" t="inlineStr">
        <is>
          <t>Hà Nội</t>
        </is>
      </c>
      <c r="G19100" s="10" t="inlineStr">
        <is>
          <t>29-03-2026</t>
        </is>
      </c>
      <c r="H19100" s="10" t="inlineStr">
        <is>
          <t>29/03/2026</t>
        </is>
      </c>
      <c r="I19100" s="10" t="inlineStr">
        <is>
          <t>17/03/2026</t>
        </is>
      </c>
      <c r="J19100" s="10" t="inlineStr">
        <is>
          <t>Ngân hàng, Chứng khoán, CNTT - Phần mềm</t>
        </is>
      </c>
      <c r="K19100" s="10" t="inlineStr">
        <is>
          <t>Trên 2 Năm</t>
        </is>
      </c>
      <c r="L19100" s="11">
        <f>HYPERLINK("https://careerviet.vn/vi/tim-viec-lam/lap-trinh-angular-frontend-developer.35C642B7.html","Xem chi tiết")</f>
        <v/>
      </c>
      <c r="M19100" s="10" t="n"/>
    </row>
    <row r="19101">
      <c r="B19101" s="7" t="n">
        <v>19099</v>
      </c>
      <c r="C19101" t="inlineStr">
        <is>
          <t>Kế toán trưởng</t>
        </is>
      </c>
      <c r="D19101" t="inlineStr">
        <is>
          <t>CÔNG TY CỔ PHẦN THỊNH CƯỜNG</t>
        </is>
      </c>
      <c r="E19101" t="inlineStr">
        <is>
          <t>Lương:20 Tr - 30 Tr VND</t>
        </is>
      </c>
      <c r="F19101" t="inlineStr">
        <is>
          <t>Hà Nội</t>
        </is>
      </c>
      <c r="G19101" t="inlineStr">
        <is>
          <t>03-04-2026</t>
        </is>
      </c>
      <c r="H19101" t="inlineStr">
        <is>
          <t>03/04/2026</t>
        </is>
      </c>
      <c r="I19101" t="inlineStr">
        <is>
          <t>17/03/2026</t>
        </is>
      </c>
      <c r="J19101" t="inlineStr">
        <is>
          <t>Kế toán / Kiểm toán</t>
        </is>
      </c>
      <c r="K19101" t="inlineStr">
        <is>
          <t>3 - 5 Năm</t>
        </is>
      </c>
      <c r="L19101" s="8">
        <f>HYPERLINK("https://careerviet.vn/vi/tim-viec-lam/ke-toan-truong.35C6476C.html","Xem chi tiết")</f>
        <v/>
      </c>
    </row>
    <row r="19102">
      <c r="B19102" s="9" t="n">
        <v>19100</v>
      </c>
      <c r="C19102" s="10" t="inlineStr">
        <is>
          <t>Trưởng phòng kinh doanh B2B (Express - Logistics)</t>
        </is>
      </c>
      <c r="D19102" s="10" t="inlineStr">
        <is>
          <t>Công Ty Cổ Phần Hai Bốn Bảy</t>
        </is>
      </c>
      <c r="E19102" s="10" t="inlineStr">
        <is>
          <t>Lương:35 Tr - 50 Tr VND</t>
        </is>
      </c>
      <c r="F19102" s="10" t="inlineStr">
        <is>
          <t>Hà NộiBắc NinhDak Lak</t>
        </is>
      </c>
      <c r="G19102" s="10" t="inlineStr">
        <is>
          <t>29-03-2026</t>
        </is>
      </c>
      <c r="H19102" s="10" t="inlineStr">
        <is>
          <t>29/03/2026</t>
        </is>
      </c>
      <c r="I19102" s="10" t="inlineStr">
        <is>
          <t>17/03/2026</t>
        </is>
      </c>
      <c r="J19102" s="10" t="inlineStr">
        <is>
          <t>Bán hàng / Kinh doanh, Bưu chính viễn thông, Vận chuyển / Giao nhận / Kho vận</t>
        </is>
      </c>
      <c r="K19102" s="10" t="inlineStr">
        <is>
          <t>2 - 5 Năm</t>
        </is>
      </c>
      <c r="L19102" s="11">
        <f>HYPERLINK("https://careerviet.vn/vi/tim-viec-lam/truong-phong-kinh-doanh-b2b-express-logistics.35C66C6E.html","Xem chi tiết")</f>
        <v/>
      </c>
      <c r="M19102" s="10" t="n"/>
    </row>
    <row r="19103">
      <c r="B19103" s="7" t="n">
        <v>19101</v>
      </c>
      <c r="C19103" t="inlineStr">
        <is>
          <t>Kỹ Sư QS</t>
        </is>
      </c>
      <c r="D19103" t="inlineStr">
        <is>
          <t>Công ty TNHH MTV Trí Nhân</t>
        </is>
      </c>
      <c r="E19103" t="inlineStr">
        <is>
          <t>Lương:Cạnh tranh</t>
        </is>
      </c>
      <c r="F19103" t="inlineStr">
        <is>
          <t>Quảng BìnhLạng Sơn</t>
        </is>
      </c>
      <c r="G19103" t="inlineStr">
        <is>
          <t>29-03-2026</t>
        </is>
      </c>
      <c r="H19103" t="inlineStr">
        <is>
          <t>29/03/2026</t>
        </is>
      </c>
      <c r="I19103" t="inlineStr">
        <is>
          <t>17/03/2026</t>
        </is>
      </c>
      <c r="J19103" t="inlineStr">
        <is>
          <t>Kiến trúc, Xây dựng</t>
        </is>
      </c>
      <c r="K19103" t="inlineStr">
        <is>
          <t>1 - 2 Năm</t>
        </is>
      </c>
      <c r="L19103" s="8">
        <f>HYPERLINK("https://careerviet.vn/vi/tim-viec-lam/ky-su-qs.35C64283.html","Xem chi tiết")</f>
        <v/>
      </c>
    </row>
    <row r="19104">
      <c r="B19104" s="9" t="n">
        <v>19102</v>
      </c>
      <c r="C19104" s="10" t="inlineStr">
        <is>
          <t>Trưởng Phòng Điều Hành Sự Kiện</t>
        </is>
      </c>
      <c r="D19104" s="10" t="inlineStr">
        <is>
          <t>Công Ty Tổ Chức Hội Nghị, Sự Kiện Và Du Lịch Quốc Tế Hòa Bình</t>
        </is>
      </c>
      <c r="E19104" s="10" t="inlineStr">
        <is>
          <t>Lương:25 Tr - 30 Tr VND</t>
        </is>
      </c>
      <c r="F19104" s="10" t="inlineStr">
        <is>
          <t>Hà Nội</t>
        </is>
      </c>
      <c r="G19104" s="10" t="inlineStr">
        <is>
          <t>29-03-2026</t>
        </is>
      </c>
      <c r="H19104" s="10" t="inlineStr">
        <is>
          <t>29/03/2026</t>
        </is>
      </c>
      <c r="I19104" s="10" t="inlineStr">
        <is>
          <t>17/03/2026</t>
        </is>
      </c>
      <c r="J19104" s="10" t="inlineStr">
        <is>
          <t>Du lịch</t>
        </is>
      </c>
      <c r="K19104" s="10" t="inlineStr">
        <is>
          <t>3 - 5 Năm</t>
        </is>
      </c>
      <c r="L19104" s="11">
        <f>HYPERLINK("https://careerviet.vn/vi/tim-viec-lam/truong-phong-dieu-hanh-su-kien.35C6421F.html","Xem chi tiết")</f>
        <v/>
      </c>
      <c r="M19104" s="10" t="n"/>
    </row>
    <row r="19105">
      <c r="B19105" s="7" t="n">
        <v>19103</v>
      </c>
      <c r="C19105" t="inlineStr">
        <is>
          <t>Trưởng Bộ Phận Sales Tour Inbound</t>
        </is>
      </c>
      <c r="D19105" t="inlineStr">
        <is>
          <t>Công Ty Tổ Chức Hội Nghị, Sự Kiện Và Du Lịch Quốc Tế Hòa Bình</t>
        </is>
      </c>
      <c r="E19105" t="inlineStr">
        <is>
          <t>Lương:15 Tr - 20 Tr VND</t>
        </is>
      </c>
      <c r="F19105" t="inlineStr">
        <is>
          <t>Hà Nội</t>
        </is>
      </c>
      <c r="G19105" t="inlineStr">
        <is>
          <t>29-03-2026</t>
        </is>
      </c>
      <c r="H19105" t="inlineStr">
        <is>
          <t>29/03/2026</t>
        </is>
      </c>
      <c r="I19105" t="inlineStr">
        <is>
          <t>17/03/2026</t>
        </is>
      </c>
      <c r="J19105" t="inlineStr">
        <is>
          <t>Du lịch</t>
        </is>
      </c>
      <c r="K19105" t="inlineStr">
        <is>
          <t>3 - 5 Năm</t>
        </is>
      </c>
      <c r="L19105" s="8">
        <f>HYPERLINK("https://careerviet.vn/vi/tim-viec-lam/truong-bo-phan-sales-tour-inbound.35C64209.html","Xem chi tiết")</f>
        <v/>
      </c>
    </row>
    <row r="19106">
      <c r="B19106" s="9" t="n">
        <v>19104</v>
      </c>
      <c r="C19106" s="10" t="inlineStr">
        <is>
          <t>Chuyên Viên Hành Chính - Tiếng Trung</t>
        </is>
      </c>
      <c r="D19106" s="10" t="inlineStr">
        <is>
          <t>CÔNG TY TNHH YIMI J&amp;T CARGO TRANSPORTATION</t>
        </is>
      </c>
      <c r="E19106" s="10" t="inlineStr">
        <is>
          <t>Lương:15 Tr - 20 Tr VND</t>
        </is>
      </c>
      <c r="F19106" s="10" t="inlineStr">
        <is>
          <t>Hồ Chí Minh</t>
        </is>
      </c>
      <c r="G19106" s="10" t="inlineStr">
        <is>
          <t>29-03-2026</t>
        </is>
      </c>
      <c r="H19106" s="10" t="inlineStr">
        <is>
          <t>29/03/2026</t>
        </is>
      </c>
      <c r="I19106" s="10" t="inlineStr">
        <is>
          <t>17/03/2026</t>
        </is>
      </c>
      <c r="J19106" s="10" t="inlineStr">
        <is>
          <t>Hành chính / Thư ký</t>
        </is>
      </c>
      <c r="K19106" s="10" t="inlineStr">
        <is>
          <t>1 - 3 Năm</t>
        </is>
      </c>
      <c r="L19106" s="11">
        <f>HYPERLINK("https://careerviet.vn/vi/tim-viec-lam/chuyen-vien-hanh-chinh-tieng-trung.35C66C6D.html","Xem chi tiết")</f>
        <v/>
      </c>
      <c r="M19106" s="10" t="n"/>
    </row>
    <row r="19107">
      <c r="B19107" s="7" t="n">
        <v>19105</v>
      </c>
      <c r="C19107" t="inlineStr">
        <is>
          <t>Iron Casting Simulation &amp; Mold Design Leader</t>
        </is>
      </c>
      <c r="D19107" t="inlineStr">
        <is>
          <t>HR Vietnam’s ESS Client</t>
        </is>
      </c>
      <c r="E19107" t="inlineStr">
        <is>
          <t>Lương:Cạnh tranh</t>
        </is>
      </c>
      <c r="F19107" t="inlineStr">
        <is>
          <t>Long An</t>
        </is>
      </c>
      <c r="G19107" t="inlineStr">
        <is>
          <t>03-04-2026</t>
        </is>
      </c>
      <c r="H19107" t="inlineStr">
        <is>
          <t>03/04/2026</t>
        </is>
      </c>
      <c r="I19107" t="inlineStr">
        <is>
          <t>17/03/2026</t>
        </is>
      </c>
      <c r="J19107" t="inlineStr">
        <is>
          <t>Khoáng sản, Sản xuất / Vận hành sản xuất</t>
        </is>
      </c>
      <c r="K19107" t="inlineStr">
        <is>
          <t>Trên 5 Năm</t>
        </is>
      </c>
      <c r="L19107" s="8">
        <f>HYPERLINK("https://careerviet.vn/vi/tim-viec-lam/iron-casting-simulation-mold-design-leader.35C67260.html","Xem chi tiết")</f>
        <v/>
      </c>
    </row>
    <row r="19108">
      <c r="B19108" s="9" t="n">
        <v>19106</v>
      </c>
      <c r="C19108" s="10" t="inlineStr">
        <is>
          <t>Giáo viên Mầm non - TP. HCM</t>
        </is>
      </c>
      <c r="D19108" s="10" t="inlineStr">
        <is>
          <t>Bảo mật</t>
        </is>
      </c>
      <c r="E19108" s="10" t="inlineStr">
        <is>
          <t>Lương:Cạnh tranh</t>
        </is>
      </c>
      <c r="F19108" s="10" t="inlineStr">
        <is>
          <t>Hồ Chí Minh</t>
        </is>
      </c>
      <c r="G19108" s="10" t="inlineStr">
        <is>
          <t>29-03-2026</t>
        </is>
      </c>
      <c r="H19108" s="10" t="inlineStr">
        <is>
          <t>29/03/2026</t>
        </is>
      </c>
      <c r="I19108" s="10" t="inlineStr">
        <is>
          <t>17/03/2026</t>
        </is>
      </c>
      <c r="J19108" s="10" t="inlineStr">
        <is>
          <t>Giáo dục / Đào tạo</t>
        </is>
      </c>
      <c r="K19108" s="10" t="inlineStr">
        <is>
          <t>1 - 2 Năm</t>
        </is>
      </c>
      <c r="L19108" s="11">
        <f>HYPERLINK("https://careerviet.vn/vi/tim-viec-lam/giao-vien-mam-non-tp-hcm.35C64180.html","Xem chi tiết")</f>
        <v/>
      </c>
      <c r="M19108" s="10" t="n"/>
    </row>
    <row r="19109">
      <c r="B19109" s="7" t="n">
        <v>19107</v>
      </c>
      <c r="C19109" t="inlineStr">
        <is>
          <t>Nhân viên thu mua vật tư (tiếng Trung )</t>
        </is>
      </c>
      <c r="D19109" t="inlineStr">
        <is>
          <t>CÔNG TY TNHH QISDA VIỆT NAM</t>
        </is>
      </c>
      <c r="E19109" t="inlineStr">
        <is>
          <t>Lương:12 Tr - 18 Tr VND</t>
        </is>
      </c>
      <c r="F19109" t="inlineStr">
        <is>
          <t>Hà Nam</t>
        </is>
      </c>
      <c r="G19109" t="inlineStr">
        <is>
          <t>03-04-2026</t>
        </is>
      </c>
      <c r="H19109" t="inlineStr">
        <is>
          <t>03/04/2026</t>
        </is>
      </c>
      <c r="I19109" t="inlineStr">
        <is>
          <t>17/03/2026</t>
        </is>
      </c>
      <c r="J19109" t="inlineStr">
        <is>
          <t>Thu mua / Vật tư</t>
        </is>
      </c>
      <c r="K19109" t="inlineStr">
        <is>
          <t>1 - 2 Năm</t>
        </is>
      </c>
      <c r="L19109" s="8">
        <f>HYPERLINK("https://careerviet.vn/vi/tim-viec-lam/nhan-vien-thu-mua-vat-tu-tieng-trung.35C647DC.html","Xem chi tiết")</f>
        <v/>
      </c>
    </row>
    <row r="19110">
      <c r="B19110" s="9" t="n">
        <v>19108</v>
      </c>
      <c r="C19110" s="10" t="inlineStr">
        <is>
          <t>Chuyên Viên Kinh Doanh</t>
        </is>
      </c>
      <c r="D19110" s="10" t="inlineStr">
        <is>
          <t>CÔNG TY TNHH SURMAN VIỆT NAM</t>
        </is>
      </c>
      <c r="E19110" s="10" t="inlineStr">
        <is>
          <t>Lương:Trên 20 Tr VND</t>
        </is>
      </c>
      <c r="F19110" s="10" t="inlineStr">
        <is>
          <t>Đồng Nai</t>
        </is>
      </c>
      <c r="G19110" s="10" t="inlineStr">
        <is>
          <t>29-03-2026</t>
        </is>
      </c>
      <c r="H19110" s="10" t="inlineStr">
        <is>
          <t>29/03/2026</t>
        </is>
      </c>
      <c r="I19110" s="10" t="inlineStr">
        <is>
          <t>17/03/2026</t>
        </is>
      </c>
      <c r="J19110" s="10" t="inlineStr">
        <is>
          <t>Bán hàng / Kinh doanh, Bán Hàng Kỹ Thuật, Điện / Điện tử / Điện lạnh / Điện công nghiệp</t>
        </is>
      </c>
      <c r="K19110" s="10" t="inlineStr">
        <is>
          <t>Trên 2 Năm</t>
        </is>
      </c>
      <c r="L19110" s="11">
        <f>HYPERLINK("https://careerviet.vn/vi/tim-viec-lam/chuyen-vien-kinh-doanh.35C66D5C.html","Xem chi tiết")</f>
        <v/>
      </c>
      <c r="M19110" s="10" t="n"/>
    </row>
    <row r="19111">
      <c r="B19111" s="7" t="n">
        <v>19109</v>
      </c>
      <c r="C19111" t="inlineStr">
        <is>
          <t>Trưởng Nhóm Bán Hàng Kênh GT / GT Team Leader (Bắc Ninh, Bắc Giang, Thái Nguyên, Cao Bằng, Bắc Kạn)</t>
        </is>
      </c>
      <c r="D19111" t="inlineStr">
        <is>
          <t>CÔNG TY TNHH ROHTO-MENTHOLATUM (VIỆT NAM)</t>
        </is>
      </c>
      <c r="E19111" t="inlineStr">
        <is>
          <t>Lương:Cạnh tranh</t>
        </is>
      </c>
      <c r="F19111" t="inlineStr">
        <is>
          <t>Cao BằngBắc NinhBắc Giang</t>
        </is>
      </c>
      <c r="G19111" t="inlineStr">
        <is>
          <t>29-03-2026</t>
        </is>
      </c>
      <c r="H19111" t="inlineStr">
        <is>
          <t>29/03/2026</t>
        </is>
      </c>
      <c r="I19111" t="inlineStr">
        <is>
          <t>17/03/2026</t>
        </is>
      </c>
      <c r="J19111" t="inlineStr">
        <is>
          <t>Bán hàng / Kinh doanh, Dược phẩm/ Hóa Mỹ Phẩm, Hàng gia dụng / Chăm sóc cá nhânBằng cấpCao đẳngĐộ tuổiKhông giới hạn tuổi</t>
        </is>
      </c>
      <c r="K19111" t="inlineStr">
        <is>
          <t>N/A</t>
        </is>
      </c>
      <c r="L19111" s="8">
        <f>HYPERLINK("https://careerviet.vn/vi/tim-viec-lam/truong-nhom-ban-hang-kenh-gt-gt-team-leader-bac-ninh-bac-giang-thai-nguyen-cao-bang-bac-kan.35C6416E.html","Xem chi tiết")</f>
        <v/>
      </c>
    </row>
    <row r="19112">
      <c r="B19112" s="9" t="n">
        <v>19110</v>
      </c>
      <c r="C19112" s="10" t="inlineStr">
        <is>
          <t>120893 - Korean Speaking - General Affairs cum Secretary -Trading</t>
        </is>
      </c>
      <c r="D19112" s="10" t="inlineStr">
        <is>
          <t>RGF HR Agent Vietnam Co., LTD</t>
        </is>
      </c>
      <c r="E19112" s="10" t="inlineStr">
        <is>
          <t>Lương:Cạnh tranh</t>
        </is>
      </c>
      <c r="F19112" s="10" t="inlineStr">
        <is>
          <t>Hồ Chí Minh</t>
        </is>
      </c>
      <c r="G19112" s="10" t="inlineStr">
        <is>
          <t>29-03-2026</t>
        </is>
      </c>
      <c r="H19112" s="10" t="inlineStr">
        <is>
          <t>29/03/2026</t>
        </is>
      </c>
      <c r="I19112" s="10" t="inlineStr">
        <is>
          <t>17/03/2026</t>
        </is>
      </c>
      <c r="J19112" s="10" t="inlineStr">
        <is>
          <t>Hành chính / Thư ký</t>
        </is>
      </c>
      <c r="K19112" s="10" t="inlineStr">
        <is>
          <t>Trên 2 Năm</t>
        </is>
      </c>
      <c r="L19112" s="11">
        <f>HYPERLINK("https://careerviet.vn/vi/tim-viec-lam/120893-korean-speaking-general-affairs-cum-secretary-trading.35C641BA.html","Xem chi tiết")</f>
        <v/>
      </c>
      <c r="M19112" s="10" t="n"/>
    </row>
    <row r="19113">
      <c r="B19113" s="7" t="n">
        <v>19111</v>
      </c>
      <c r="C19113" t="inlineStr">
        <is>
          <t>3D Designer</t>
        </is>
      </c>
      <c r="D19113" t="inlineStr">
        <is>
          <t>CÔNG TY TNHH GOLDNET</t>
        </is>
      </c>
      <c r="E19113" t="inlineStr">
        <is>
          <t>Lương:Cạnh tranh</t>
        </is>
      </c>
      <c r="F19113" t="inlineStr">
        <is>
          <t>Hồ Chí Minh</t>
        </is>
      </c>
      <c r="G19113" t="inlineStr">
        <is>
          <t>29-03-2026</t>
        </is>
      </c>
      <c r="H19113" t="inlineStr">
        <is>
          <t>29/03/2026</t>
        </is>
      </c>
      <c r="I19113" t="inlineStr">
        <is>
          <t>17/03/2026</t>
        </is>
      </c>
      <c r="J19113" t="inlineStr">
        <is>
          <t>Tiếp thị / Marketing, Mỹ thuật / Nghệ thuật / Thiết kế</t>
        </is>
      </c>
      <c r="K19113" t="inlineStr">
        <is>
          <t>1 - 2 Năm</t>
        </is>
      </c>
      <c r="L19113" s="8">
        <f>HYPERLINK("https://careerviet.vn/vi/tim-viec-lam/3d-designer.35C66DCD.html","Xem chi tiết")</f>
        <v/>
      </c>
    </row>
    <row r="19114">
      <c r="B19114" s="9" t="n">
        <v>19112</v>
      </c>
      <c r="C19114" s="10" t="inlineStr">
        <is>
          <t>Furniture Merchandiser</t>
        </is>
      </c>
      <c r="D19114" s="10" t="inlineStr">
        <is>
          <t>CÔNG TY TNHH SÀI GÒN WICKER</t>
        </is>
      </c>
      <c r="E19114" s="10" t="inlineStr">
        <is>
          <t>Lương:Cạnh tranh</t>
        </is>
      </c>
      <c r="F19114" s="10" t="inlineStr">
        <is>
          <t>Hồ Chí Minh</t>
        </is>
      </c>
      <c r="G19114" s="10" t="inlineStr">
        <is>
          <t>29-03-2026</t>
        </is>
      </c>
      <c r="H19114" s="10" t="inlineStr">
        <is>
          <t>29/03/2026</t>
        </is>
      </c>
      <c r="I19114" s="10" t="inlineStr">
        <is>
          <t>17/03/2026</t>
        </is>
      </c>
      <c r="J19114" s="10" t="inlineStr">
        <is>
          <t>Xuất nhập khẩu, Thu mua / Vật tư, Nội ngoại thất</t>
        </is>
      </c>
      <c r="K19114" s="10" t="inlineStr">
        <is>
          <t>Trên 1 Năm</t>
        </is>
      </c>
      <c r="L19114" s="11">
        <f>HYPERLINK("https://careerviet.vn/vi/tim-viec-lam/furniture-merchandiser.35C6673A.html","Xem chi tiết")</f>
        <v/>
      </c>
      <c r="M19114" s="10" t="n"/>
    </row>
    <row r="19115">
      <c r="B19115" s="7" t="n">
        <v>19113</v>
      </c>
      <c r="C19115" t="inlineStr">
        <is>
          <t>Điều Dưỡng/ Hộ Sinh / Y Sĩ Lấy Máu Tại Chi Nhánh (Quận Tân Bình)</t>
        </is>
      </c>
      <c r="D19115" t="inlineStr">
        <is>
          <t>DIAG</t>
        </is>
      </c>
      <c r="E19115" t="inlineStr">
        <is>
          <t>Lương:11 Tr - 15 Tr VND</t>
        </is>
      </c>
      <c r="F19115" t="inlineStr">
        <is>
          <t>Hồ Chí Minh</t>
        </is>
      </c>
      <c r="G19115" t="inlineStr">
        <is>
          <t>29-03-2026</t>
        </is>
      </c>
      <c r="H19115" t="inlineStr">
        <is>
          <t>29/03/2026</t>
        </is>
      </c>
      <c r="I19115" t="inlineStr">
        <is>
          <t>17/03/2026</t>
        </is>
      </c>
      <c r="J19115" t="inlineStr">
        <is>
          <t>Dược phẩm/ Hóa Mỹ Phẩm, Y tế / Chăm sóc sức khỏe / Thẩm mỹ / Làm đẹp, Dịch vụ khách hàng</t>
        </is>
      </c>
      <c r="K19115" t="inlineStr">
        <is>
          <t>Lên đến 1 Năm</t>
        </is>
      </c>
      <c r="L19115" s="8">
        <f>HYPERLINK("https://careerviet.vn/vi/tim-viec-lam/dieu-duong-ho-sinh-y-si-lay-mau-tai-chi-nhanh-quan-tan-binh.35C66D12.html","Xem chi tiết")</f>
        <v/>
      </c>
    </row>
    <row r="19116">
      <c r="B19116" s="9" t="n">
        <v>19114</v>
      </c>
      <c r="C19116" s="10" t="inlineStr">
        <is>
          <t>Trưởng phòng Dịch vụ khách hàng - TP.HCM, Long An (Đức Hòa) - TA177 - ID1231</t>
        </is>
      </c>
      <c r="D19116" s="10" t="inlineStr">
        <is>
          <t>Ngân Hàng TMCP Việt Nam Thịnh Vượng - VPBANK</t>
        </is>
      </c>
      <c r="E19116" s="10" t="inlineStr">
        <is>
          <t>Lương:Cạnh tranh</t>
        </is>
      </c>
      <c r="F19116" s="10" t="inlineStr">
        <is>
          <t>Long AnHồ Chí Minh</t>
        </is>
      </c>
      <c r="G19116" s="10" t="inlineStr">
        <is>
          <t>29-03-2026</t>
        </is>
      </c>
      <c r="H19116" s="10" t="inlineStr">
        <is>
          <t>29/03/2026</t>
        </is>
      </c>
      <c r="I19116" s="10" t="inlineStr">
        <is>
          <t>17/03/2026</t>
        </is>
      </c>
      <c r="J19116" s="10" t="inlineStr">
        <is>
          <t>Bán hàng / Kinh doanh, Ngân hàng</t>
        </is>
      </c>
      <c r="K19116" s="10" t="inlineStr">
        <is>
          <t>5 - 6 Năm</t>
        </is>
      </c>
      <c r="L19116" s="11">
        <f>HYPERLINK("https://careerviet.vn/vi/tim-viec-lam/truong-phong-dich-vu-khach-hang-tp-hcm-long-an-duc-hoa-ta177-id1231.35C66D78.html","Xem chi tiết")</f>
        <v/>
      </c>
      <c r="M19116" s="10" t="n"/>
    </row>
    <row r="19117">
      <c r="B19117" s="7" t="n">
        <v>19115</v>
      </c>
      <c r="C19117" t="inlineStr">
        <is>
          <t>Nhân viên HCNS kiêm Kế toán nội bộ biết Tiếng Quảng Đông (Có xe đưa đón)</t>
        </is>
      </c>
      <c r="D19117" t="inlineStr">
        <is>
          <t>CÔNG TY TNHH PHỤ KIỆN MAY MẶC ADEPT</t>
        </is>
      </c>
      <c r="E19117" t="inlineStr">
        <is>
          <t>Lương:Cạnh tranh</t>
        </is>
      </c>
      <c r="F19117" t="inlineStr">
        <is>
          <t>Long AnHồ Chí Minh</t>
        </is>
      </c>
      <c r="G19117" t="inlineStr">
        <is>
          <t>31-12-2026</t>
        </is>
      </c>
      <c r="H19117" t="inlineStr">
        <is>
          <t>31/12/2026</t>
        </is>
      </c>
      <c r="I19117" t="inlineStr">
        <is>
          <t>17/03/2026</t>
        </is>
      </c>
      <c r="J19117" t="inlineStr">
        <is>
          <t>Hành chính / Thư ký, Biên phiên dịch, Kế toán / Kiểm toán</t>
        </is>
      </c>
      <c r="K19117" t="inlineStr">
        <is>
          <t>1 - 3 Năm</t>
        </is>
      </c>
      <c r="L19117" s="8">
        <f>HYPERLINK("https://careerviet.vn/vi/tim-viec-lam/nhan-vien-hcns-kiem-ke-toan-noi-bo-biet-tieng-quang-dong-co-xe-dua-don.35C64144.html","Xem chi tiết")</f>
        <v/>
      </c>
    </row>
    <row r="19118">
      <c r="B19118" s="9" t="n">
        <v>19116</v>
      </c>
      <c r="C19118" s="10" t="inlineStr">
        <is>
          <t>Trưởng nhóm chăm sóc khách hàng  (F&amp;B)</t>
        </is>
      </c>
      <c r="D19118" s="10" t="inlineStr">
        <is>
          <t>ONE GROUP</t>
        </is>
      </c>
      <c r="E19118" s="10" t="inlineStr">
        <is>
          <t>Lương:10 Tr - 15 Tr VND</t>
        </is>
      </c>
      <c r="F19118" s="10" t="inlineStr">
        <is>
          <t>Hồ Chí Minh</t>
        </is>
      </c>
      <c r="G19118" s="10" t="inlineStr">
        <is>
          <t>29-03-2026</t>
        </is>
      </c>
      <c r="H19118" s="10" t="inlineStr">
        <is>
          <t>29/03/2026</t>
        </is>
      </c>
      <c r="I19118" s="10" t="inlineStr">
        <is>
          <t>17/03/2026</t>
        </is>
      </c>
      <c r="J19118" s="10" t="inlineStr">
        <is>
          <t>Dịch vụ khách hàng, Thực phẩm &amp; Đồ uống, Nhà hàng / Khách sạn</t>
        </is>
      </c>
      <c r="K19118" s="10" t="inlineStr">
        <is>
          <t>1 - 2 Năm</t>
        </is>
      </c>
      <c r="L19118" s="11">
        <f>HYPERLINK("https://careerviet.vn/vi/tim-viec-lam/truong-nhom-cham-soc-khach-hang-f-b.35C66C7B.html","Xem chi tiết")</f>
        <v/>
      </c>
      <c r="M19118" s="10" t="n"/>
    </row>
    <row r="19119">
      <c r="B19119" s="7" t="n">
        <v>19117</v>
      </c>
      <c r="C19119" t="inlineStr">
        <is>
          <t>Nhân Viên Thiết Kế (Design Graphic)</t>
        </is>
      </c>
      <c r="D19119" t="inlineStr">
        <is>
          <t>CÔNG TY CỔ PHẦN THE NEW DISTRICT</t>
        </is>
      </c>
      <c r="E19119" t="inlineStr">
        <is>
          <t>Lương:10 Tr - 15 Tr VND</t>
        </is>
      </c>
      <c r="F19119" t="inlineStr">
        <is>
          <t>Hồ Chí Minh</t>
        </is>
      </c>
      <c r="G19119" t="inlineStr">
        <is>
          <t>29-03-2026</t>
        </is>
      </c>
      <c r="H19119" t="inlineStr">
        <is>
          <t>29/03/2026</t>
        </is>
      </c>
      <c r="I19119" t="inlineStr">
        <is>
          <t>17/03/2026</t>
        </is>
      </c>
      <c r="J19119" t="inlineStr">
        <is>
          <t>Tiếp thị / Marketing, Mỹ thuật / Nghệ thuật / Thiết kế, Quảng cáo / Đối ngoại / Truyền Thông</t>
        </is>
      </c>
      <c r="K19119" t="inlineStr">
        <is>
          <t>1 - 3 Năm</t>
        </is>
      </c>
      <c r="L19119" s="8">
        <f>HYPERLINK("https://careerviet.vn/vi/tim-viec-lam/nhan-vien-thiet-ke-design-graphic.35C66CB1.html","Xem chi tiết")</f>
        <v/>
      </c>
    </row>
    <row r="19120">
      <c r="B19120" s="9" t="n">
        <v>19118</v>
      </c>
      <c r="C19120" s="10" t="inlineStr">
        <is>
          <t>Điều Dưỡng Trưởng Chi Nhánh (Trưởng tua - Chi nhánh Tân Bình)</t>
        </is>
      </c>
      <c r="D19120" s="10" t="inlineStr">
        <is>
          <t>DIAG</t>
        </is>
      </c>
      <c r="E19120" s="10" t="inlineStr">
        <is>
          <t>Lương:20 Tr - 24 Tr VND</t>
        </is>
      </c>
      <c r="F19120" s="10" t="inlineStr">
        <is>
          <t>Hồ Chí Minh</t>
        </is>
      </c>
      <c r="G19120" s="10" t="inlineStr">
        <is>
          <t>29-03-2026</t>
        </is>
      </c>
      <c r="H19120" s="10" t="inlineStr">
        <is>
          <t>29/03/2026</t>
        </is>
      </c>
      <c r="I19120" s="10" t="inlineStr">
        <is>
          <t>17/03/2026</t>
        </is>
      </c>
      <c r="J19120" s="10" t="inlineStr">
        <is>
          <t>Y tế / Chăm sóc sức khỏe / Thẩm mỹ / Làm đẹp, Tư vấn, Dịch vụ khách hàng</t>
        </is>
      </c>
      <c r="K19120" s="10" t="inlineStr">
        <is>
          <t>3 - 6 Năm</t>
        </is>
      </c>
      <c r="L19120" s="11">
        <f>HYPERLINK("https://careerviet.vn/vi/tim-viec-lam/dieu-duong-truong-chi-nhanh-truong-tua-chi-nhanh-tan-binh.35C66BC3.html","Xem chi tiết")</f>
        <v/>
      </c>
      <c r="M19120" s="10" t="n"/>
    </row>
    <row r="19121">
      <c r="B19121" s="7" t="n">
        <v>19119</v>
      </c>
      <c r="C19121" t="inlineStr">
        <is>
          <t>Kế toán Kho</t>
        </is>
      </c>
      <c r="D19121" t="inlineStr">
        <is>
          <t>Công ty TNHH Chế biên thực phẩm Olam Việt Nam</t>
        </is>
      </c>
      <c r="E19121" t="inlineStr">
        <is>
          <t>Lương:Cạnh tranh</t>
        </is>
      </c>
      <c r="F19121" t="inlineStr">
        <is>
          <t>Đồng Nai</t>
        </is>
      </c>
      <c r="G19121" t="inlineStr">
        <is>
          <t>29-03-2026</t>
        </is>
      </c>
      <c r="H19121" t="inlineStr">
        <is>
          <t>29/03/2026</t>
        </is>
      </c>
      <c r="I19121" t="inlineStr">
        <is>
          <t>17/03/2026</t>
        </is>
      </c>
      <c r="J19121" t="inlineStr">
        <is>
          <t>Nhân sự, Kế toán / Kiểm toán, Tài chính / Đầu tư</t>
        </is>
      </c>
      <c r="K19121" t="inlineStr">
        <is>
          <t>Trên 1 Năm</t>
        </is>
      </c>
      <c r="L19121" s="8">
        <f>HYPERLINK("https://careerviet.vn/vi/tim-viec-lam/ke-toan-kho.35C66C85.html","Xem chi tiết")</f>
        <v/>
      </c>
    </row>
    <row r="19122">
      <c r="B19122" s="9" t="n">
        <v>19120</v>
      </c>
      <c r="C19122" s="10" t="inlineStr">
        <is>
          <t>Điều Dưỡng Viên</t>
        </is>
      </c>
      <c r="D19122" s="10" t="inlineStr">
        <is>
          <t>Công ty TNHH Bệnh Viện Gia An 115</t>
        </is>
      </c>
      <c r="E19122" s="10" t="inlineStr">
        <is>
          <t>Lương:13 Tr - 15 Tr VND</t>
        </is>
      </c>
      <c r="F19122" s="10" t="inlineStr">
        <is>
          <t>Hồ Chí Minh</t>
        </is>
      </c>
      <c r="G19122" s="10" t="inlineStr">
        <is>
          <t>29-03-2026</t>
        </is>
      </c>
      <c r="H19122" s="10" t="inlineStr">
        <is>
          <t>29/03/2026</t>
        </is>
      </c>
      <c r="I19122" s="10" t="inlineStr">
        <is>
          <t>17/03/2026</t>
        </is>
      </c>
      <c r="J19122" s="10" t="inlineStr">
        <is>
          <t>Y tế / Chăm sóc sức khỏe / Thẩm mỹ / Làm đẹp</t>
        </is>
      </c>
      <c r="K19122" s="10" t="inlineStr">
        <is>
          <t>3 - 5 Năm</t>
        </is>
      </c>
      <c r="L19122" s="11">
        <f>HYPERLINK("https://careerviet.vn/vi/tim-viec-lam/dieu-duong-vien.35C66DBE.html","Xem chi tiết")</f>
        <v/>
      </c>
      <c r="M19122" s="10" t="n"/>
    </row>
    <row r="19123">
      <c r="B19123" s="7" t="n">
        <v>19121</v>
      </c>
      <c r="C19123" t="inlineStr">
        <is>
          <t>KẾ TOÁN TỔNG HỢP</t>
        </is>
      </c>
      <c r="D19123" t="inlineStr">
        <is>
          <t>Công ty TNHH MTV Bao bì quốc tế</t>
        </is>
      </c>
      <c r="E19123" t="inlineStr">
        <is>
          <t>Lương:14 Tr - 18 Tr VND</t>
        </is>
      </c>
      <c r="F19123" t="inlineStr">
        <is>
          <t>Hà Nội</t>
        </is>
      </c>
      <c r="G19123" t="inlineStr">
        <is>
          <t>29-03-2026</t>
        </is>
      </c>
      <c r="H19123" t="inlineStr">
        <is>
          <t>29/03/2026</t>
        </is>
      </c>
      <c r="I19123" t="inlineStr">
        <is>
          <t>17/03/2026</t>
        </is>
      </c>
      <c r="J19123" t="inlineStr">
        <is>
          <t>Kế toán / Kiểm toán, Ngân hàng, Sản xuất / Vận hành sản xuất</t>
        </is>
      </c>
      <c r="K19123" t="inlineStr">
        <is>
          <t>5 - 10 Năm</t>
        </is>
      </c>
      <c r="L19123" s="8">
        <f>HYPERLINK("https://careerviet.vn/vi/tim-viec-lam/ke-toan-tong-hop.35C6411E.html","Xem chi tiết")</f>
        <v/>
      </c>
    </row>
    <row r="19124">
      <c r="B19124" s="9" t="n">
        <v>19122</v>
      </c>
      <c r="C19124" s="10" t="inlineStr">
        <is>
          <t>Kỹ Sư Giám Sát PCCC</t>
        </is>
      </c>
      <c r="D19124" s="10" t="inlineStr">
        <is>
          <t>Công ty Cổ phần Thương mại và Đầu tư Hà Thành</t>
        </is>
      </c>
      <c r="E19124" s="10" t="inlineStr">
        <is>
          <t>Lương:18 Tr - 30 Tr VND</t>
        </is>
      </c>
      <c r="F19124" s="10" t="inlineStr">
        <is>
          <t>Hà Nội</t>
        </is>
      </c>
      <c r="G19124" s="10" t="inlineStr">
        <is>
          <t>29-03-2026</t>
        </is>
      </c>
      <c r="H19124" s="10" t="inlineStr">
        <is>
          <t>29/03/2026</t>
        </is>
      </c>
      <c r="I19124" s="10" t="inlineStr">
        <is>
          <t>17/03/2026</t>
        </is>
      </c>
      <c r="J19124" s="10" t="inlineStr">
        <is>
          <t>Điện / Điện tử / Điện lạnh / Điện công nghiệp, Kiến trúc, Xây dựng</t>
        </is>
      </c>
      <c r="K19124" s="10" t="inlineStr">
        <is>
          <t>1 - 3 Năm</t>
        </is>
      </c>
      <c r="L19124" s="11">
        <f>HYPERLINK("https://careerviet.vn/vi/tim-viec-lam/ky-su-giam-sat-pccc.35C6414B.html","Xem chi tiết")</f>
        <v/>
      </c>
      <c r="M19124" s="10" t="n"/>
    </row>
    <row r="19125">
      <c r="B19125" s="7" t="n">
        <v>19123</v>
      </c>
      <c r="C19125" t="inlineStr">
        <is>
          <t>Giáo viên Tiếng Anh Trung học - Tân Binh | Quận 12 - Pathway School</t>
        </is>
      </c>
      <c r="D19125" t="inlineStr">
        <is>
          <t>Hệ thống trường Pathway Tuệ Đức</t>
        </is>
      </c>
      <c r="E19125" t="inlineStr">
        <is>
          <t>Lương:Cạnh tranh</t>
        </is>
      </c>
      <c r="F19125" t="inlineStr">
        <is>
          <t>Hồ Chí Minh</t>
        </is>
      </c>
      <c r="G19125" t="inlineStr">
        <is>
          <t>29-03-2026</t>
        </is>
      </c>
      <c r="H19125" t="inlineStr">
        <is>
          <t>29/03/2026</t>
        </is>
      </c>
      <c r="I19125" t="inlineStr">
        <is>
          <t>17/03/2026</t>
        </is>
      </c>
      <c r="J19125" t="inlineStr">
        <is>
          <t>Giáo dục / Đào tạo</t>
        </is>
      </c>
      <c r="K19125" t="inlineStr">
        <is>
          <t>1 - 2 Năm</t>
        </is>
      </c>
      <c r="L19125" s="8">
        <f>HYPERLINK("https://careerviet.vn/vi/tim-viec-lam/giao-vien-tieng-anh-trung-hoc-tan-binh-quan-12-pathway-school.35C66B80.html","Xem chi tiết")</f>
        <v/>
      </c>
    </row>
    <row r="19126">
      <c r="B19126" s="9" t="n">
        <v>19124</v>
      </c>
      <c r="C19126" s="10" t="inlineStr">
        <is>
          <t>Nhân Viên Kỹ Thuật Quản Lý Tài Sản</t>
        </is>
      </c>
      <c r="D19126" s="10" t="inlineStr">
        <is>
          <t>CÔNG TY CỔ PHẦN NĂNG LƯỢNG XANH ON ENERGY</t>
        </is>
      </c>
      <c r="E19126" s="10" t="inlineStr">
        <is>
          <t>Lương:12 Tr - 16 Tr VND</t>
        </is>
      </c>
      <c r="F19126" s="10" t="inlineStr">
        <is>
          <t>Đồng Nai</t>
        </is>
      </c>
      <c r="G19126" s="10" t="inlineStr">
        <is>
          <t>29-03-2026</t>
        </is>
      </c>
      <c r="H19126" s="10" t="inlineStr">
        <is>
          <t>29/03/2026</t>
        </is>
      </c>
      <c r="I19126" s="10" t="inlineStr">
        <is>
          <t>17/03/2026</t>
        </is>
      </c>
      <c r="J19126" s="10" t="inlineStr">
        <is>
          <t>Điện / Điện tử / Điện lạnh / Điện công nghiệp, Bảo trì / Sửa chữa</t>
        </is>
      </c>
      <c r="K19126" s="10" t="inlineStr">
        <is>
          <t>N/A</t>
        </is>
      </c>
      <c r="L19126" s="11">
        <f>HYPERLINK("https://careerviet.vn/vi/tim-viec-lam/nhan-vien-ky-thuat-quan-ly-tai-san.35C64254.html","Xem chi tiết")</f>
        <v/>
      </c>
      <c r="M19126" s="10" t="n"/>
    </row>
    <row r="19127">
      <c r="B19127" s="7" t="n">
        <v>19125</v>
      </c>
      <c r="C19127" t="inlineStr">
        <is>
          <t>Điều hành Dịch Vụ - Công Ty Du Lịch</t>
        </is>
      </c>
      <c r="D19127" t="inlineStr">
        <is>
          <t>Vietspace Travel Services</t>
        </is>
      </c>
      <c r="E19127" t="inlineStr">
        <is>
          <t>Lương:Cạnh tranh</t>
        </is>
      </c>
      <c r="F19127" t="inlineStr">
        <is>
          <t>Hồ Chí Minh</t>
        </is>
      </c>
      <c r="G19127" t="inlineStr">
        <is>
          <t>29-03-2026</t>
        </is>
      </c>
      <c r="H19127" t="inlineStr">
        <is>
          <t>29/03/2026</t>
        </is>
      </c>
      <c r="I19127" t="inlineStr">
        <is>
          <t>17/03/2026</t>
        </is>
      </c>
      <c r="J19127" t="inlineStr">
        <is>
          <t>Dịch vụ khách hàng, Du lịch, Nhà hàng / Khách sạn</t>
        </is>
      </c>
      <c r="K19127" t="inlineStr">
        <is>
          <t>2 - 3 Năm</t>
        </is>
      </c>
      <c r="L19127" s="8">
        <f>HYPERLINK("https://careerviet.vn/vi/tim-viec-lam/dieu-hanh-dich-vu-cong-ty-du-lich.35C640E9.html","Xem chi tiết")</f>
        <v/>
      </c>
    </row>
    <row r="19128">
      <c r="B19128" s="9" t="n">
        <v>19126</v>
      </c>
      <c r="C19128" s="10" t="inlineStr">
        <is>
          <t>Nhân Viên Tư Vấn Tại Văn Phòng - Thu Nhập Từ 10 - 15 Triệu Tháng - Nguồn Khách Hàng Có Sẵn</t>
        </is>
      </c>
      <c r="D19128" s="10" t="inlineStr">
        <is>
          <t>Vietnam Concentrix Services Company Limited</t>
        </is>
      </c>
      <c r="E19128" s="10" t="inlineStr">
        <is>
          <t>Lương:10 Tr - 15 Tr VND</t>
        </is>
      </c>
      <c r="F19128" s="10" t="inlineStr">
        <is>
          <t>Hồ Chí Minh</t>
        </is>
      </c>
      <c r="G19128" s="10" t="inlineStr">
        <is>
          <t>29-03-2026</t>
        </is>
      </c>
      <c r="H19128" s="10" t="inlineStr">
        <is>
          <t>29/03/2026</t>
        </is>
      </c>
      <c r="I19128" s="10" t="inlineStr">
        <is>
          <t>17/03/2026</t>
        </is>
      </c>
      <c r="J19128" s="10" t="inlineStr">
        <is>
          <t>Bán hàng / Kinh doanh</t>
        </is>
      </c>
      <c r="K19128" s="10" t="inlineStr">
        <is>
          <t>Chưa có kinh nghiệm</t>
        </is>
      </c>
      <c r="L19128" s="11">
        <f>HYPERLINK("https://careerviet.vn/vi/tim-viec-lam/nhan-vien-tu-van-tai-van-phong-thu-nhap-tu-10-15-trieu-thang-nguon-khach-hang-co-san.35C6419C.html","Xem chi tiết")</f>
        <v/>
      </c>
      <c r="M19128" s="10" t="n"/>
    </row>
    <row r="19129">
      <c r="B19129" s="7" t="n">
        <v>19127</v>
      </c>
      <c r="C19129" t="inlineStr">
        <is>
          <t>OPERATION EXECUTIVE – BỘ PHẬN DỊCH VỤ KỸ THUẬT</t>
        </is>
      </c>
      <c r="D19129" t="inlineStr">
        <is>
          <t>CÔNG TY TNHH TM DV KT TOÀN ẤN</t>
        </is>
      </c>
      <c r="E19129" t="inlineStr">
        <is>
          <t>Lương:12 Tr - 13 Tr VND</t>
        </is>
      </c>
      <c r="F19129" t="inlineStr">
        <is>
          <t>Hồ Chí Minh</t>
        </is>
      </c>
      <c r="G19129" t="inlineStr">
        <is>
          <t>29-03-2026</t>
        </is>
      </c>
      <c r="H19129" t="inlineStr">
        <is>
          <t>29/03/2026</t>
        </is>
      </c>
      <c r="I19129" t="inlineStr">
        <is>
          <t>17/03/2026</t>
        </is>
      </c>
      <c r="J19129" t="inlineStr">
        <is>
          <t>Bán hàng / Kinh doanh, Dịch vụ khách hàng, Hành chính / Thư ký</t>
        </is>
      </c>
      <c r="K19129" t="inlineStr">
        <is>
          <t>1 - 2 Năm</t>
        </is>
      </c>
      <c r="L19129" s="8">
        <f>HYPERLINK("https://careerviet.vn/vi/tim-viec-lam/operation-executive-bo-phan-dich-vu-ky-thuat.35C64078.html","Xem chi tiết")</f>
        <v/>
      </c>
    </row>
    <row r="19130">
      <c r="B19130" s="9" t="n">
        <v>19128</v>
      </c>
      <c r="C19130" s="10" t="inlineStr">
        <is>
          <t>GIÁM ĐỐC/TRƯỞNG PHÒNG KHÁCH HÀNG CÁ NHÂN (CẦN THƠ)</t>
        </is>
      </c>
      <c r="D19130" s="10" t="inlineStr">
        <is>
          <t>VDSC - Công ty CP Chứng khoán Rồng Việt</t>
        </is>
      </c>
      <c r="E19130" s="10" t="inlineStr">
        <is>
          <t>Lương:15 Tr - 25 Tr VND</t>
        </is>
      </c>
      <c r="F19130" s="10" t="inlineStr">
        <is>
          <t>Cần Thơ</t>
        </is>
      </c>
      <c r="G19130" s="10" t="inlineStr">
        <is>
          <t>29-03-2026</t>
        </is>
      </c>
      <c r="H19130" s="10" t="inlineStr">
        <is>
          <t>29/03/2026</t>
        </is>
      </c>
      <c r="I19130" s="10" t="inlineStr">
        <is>
          <t>17/03/2026</t>
        </is>
      </c>
      <c r="J19130" s="10" t="inlineStr">
        <is>
          <t>Ngân hàng, Chứng khoán, Tài chính / Đầu tư</t>
        </is>
      </c>
      <c r="K19130" s="10" t="inlineStr">
        <is>
          <t>2 - 3 Năm</t>
        </is>
      </c>
      <c r="L19130" s="11">
        <f>HYPERLINK("https://careerviet.vn/vi/tim-viec-lam/giam-doc-truong-phong-khach-hang-ca-nhan-can-tho.35C66D72.html","Xem chi tiết")</f>
        <v/>
      </c>
      <c r="M19130" s="10" t="n"/>
    </row>
    <row r="19131">
      <c r="B19131" s="7" t="n">
        <v>19129</v>
      </c>
      <c r="C19131" t="inlineStr">
        <is>
          <t>Giám Đốc Chi Nhánh - ID1026</t>
        </is>
      </c>
      <c r="D19131" t="inlineStr">
        <is>
          <t>Ngân Hàng TMCP Việt Nam Thịnh Vượng - VPBANK</t>
        </is>
      </c>
      <c r="E19131" t="inlineStr">
        <is>
          <t>Lương:Cạnh tranh</t>
        </is>
      </c>
      <c r="F19131" t="inlineStr">
        <is>
          <t>Hồ Chí Minh</t>
        </is>
      </c>
      <c r="G19131" t="inlineStr">
        <is>
          <t>29-03-2026</t>
        </is>
      </c>
      <c r="H19131" t="inlineStr">
        <is>
          <t>29/03/2026</t>
        </is>
      </c>
      <c r="I19131" t="inlineStr">
        <is>
          <t>17/03/2026</t>
        </is>
      </c>
      <c r="J19131" t="inlineStr">
        <is>
          <t>Bán hàng / Kinh doanh, Ngân hàng</t>
        </is>
      </c>
      <c r="K19131" t="inlineStr">
        <is>
          <t>5 - 6 Năm</t>
        </is>
      </c>
      <c r="L19131" s="8">
        <f>HYPERLINK("https://careerviet.vn/vi/tim-viec-lam/giam-doc-chi-nhanh-id1026.35C66D6F.html","Xem chi tiết")</f>
        <v/>
      </c>
    </row>
    <row r="19132">
      <c r="B19132" s="9" t="n">
        <v>19130</v>
      </c>
      <c r="C19132" s="10" t="inlineStr">
        <is>
          <t>Trưởng Nhóm Vận Hành (Operation Team Lead)</t>
        </is>
      </c>
      <c r="D19132" s="10" t="inlineStr">
        <is>
          <t>CÔNG TY TNHH GOLDNET</t>
        </is>
      </c>
      <c r="E19132" s="10" t="inlineStr">
        <is>
          <t>Lương:Cạnh tranh</t>
        </is>
      </c>
      <c r="F19132" s="10" t="inlineStr">
        <is>
          <t>Hồ Chí Minh</t>
        </is>
      </c>
      <c r="G19132" s="10" t="inlineStr">
        <is>
          <t>29-03-2026</t>
        </is>
      </c>
      <c r="H19132" s="10" t="inlineStr">
        <is>
          <t>29/03/2026</t>
        </is>
      </c>
      <c r="I19132" s="10" t="inlineStr">
        <is>
          <t>17/03/2026</t>
        </is>
      </c>
      <c r="J19132" s="10" t="inlineStr">
        <is>
          <t>Tiếp thị / Marketing, Thương mại điện tử</t>
        </is>
      </c>
      <c r="K19132" s="10" t="inlineStr">
        <is>
          <t>3 - 5 Năm</t>
        </is>
      </c>
      <c r="L19132" s="11">
        <f>HYPERLINK("https://careerviet.vn/vi/tim-viec-lam/truong-nhom-van-hanh-operation-team-lead.35C66D9B.html","Xem chi tiết")</f>
        <v/>
      </c>
      <c r="M19132" s="10" t="n"/>
    </row>
    <row r="19133">
      <c r="B19133" s="7" t="n">
        <v>19131</v>
      </c>
      <c r="C19133" t="inlineStr">
        <is>
          <t>Quản lý cao cấp - ERP (IT)</t>
        </is>
      </c>
      <c r="D19133" t="inlineStr">
        <is>
          <t>CÔNG TY TNHH MTV CHẾ TÁC VÀ KINH DOANH TRANG SỨC PNJ</t>
        </is>
      </c>
      <c r="E19133" t="inlineStr">
        <is>
          <t>Lương:Cạnh tranh</t>
        </is>
      </c>
      <c r="F19133" t="inlineStr">
        <is>
          <t>Hồ Chí Minh</t>
        </is>
      </c>
      <c r="G19133" t="inlineStr">
        <is>
          <t>29-03-2026</t>
        </is>
      </c>
      <c r="H19133" t="inlineStr">
        <is>
          <t>29/03/2026</t>
        </is>
      </c>
      <c r="I19133" t="inlineStr">
        <is>
          <t>17/03/2026</t>
        </is>
      </c>
      <c r="J19133" t="inlineStr">
        <is>
          <t>Quản lý điều hành, CNTT - Phần mềm, Sản xuất / Vận hành sản xuất</t>
        </is>
      </c>
      <c r="K19133" t="inlineStr">
        <is>
          <t>10 - 12 Năm</t>
        </is>
      </c>
      <c r="L19133" s="8">
        <f>HYPERLINK("https://careerviet.vn/vi/tim-viec-lam/quan-ly-cao-cap-erp-it.35C66DDE.html","Xem chi tiết")</f>
        <v/>
      </c>
    </row>
    <row r="19134">
      <c r="B19134" s="9" t="n">
        <v>19132</v>
      </c>
      <c r="C19134" s="10" t="inlineStr">
        <is>
          <t>Junior Lab Engineer – Electrical &amp; Electronic Testing</t>
        </is>
      </c>
      <c r="D19134" s="10" t="inlineStr">
        <is>
          <t>TÜV SÜD Vietnam</t>
        </is>
      </c>
      <c r="E19134" s="10" t="inlineStr">
        <is>
          <t>Lương:Cạnh tranh</t>
        </is>
      </c>
      <c r="F19134" s="10" t="inlineStr">
        <is>
          <t>Hồ Chí Minh</t>
        </is>
      </c>
      <c r="G19134" s="10" t="inlineStr">
        <is>
          <t>29-03-2026</t>
        </is>
      </c>
      <c r="H19134" s="10" t="inlineStr">
        <is>
          <t>29/03/2026</t>
        </is>
      </c>
      <c r="I19134" s="10" t="inlineStr">
        <is>
          <t>17/03/2026</t>
        </is>
      </c>
      <c r="J19134" s="10" t="inlineStr">
        <is>
          <t>Điện / Điện tử / Điện lạnh / Điện công nghiệp, Quản lý chất lượng (QA/QC)</t>
        </is>
      </c>
      <c r="K19134" s="10" t="inlineStr">
        <is>
          <t>1 - 3 Năm</t>
        </is>
      </c>
      <c r="L19134" s="11">
        <f>HYPERLINK("https://careerviet.vn/vi/tim-viec-lam/junior-lab-engineer-electrical-electronic-testing.35C66CF5.html","Xem chi tiết")</f>
        <v/>
      </c>
      <c r="M19134" s="10" t="n"/>
    </row>
    <row r="19135">
      <c r="B19135" s="7" t="n">
        <v>19133</v>
      </c>
      <c r="C19135" t="inlineStr">
        <is>
          <t>Chuyên Viên Tổ Chức Sự Kiện Kiêm Admin (Event Executive)</t>
        </is>
      </c>
      <c r="D19135" t="inlineStr">
        <is>
          <t>CÔNG TY TNHH DB HOME</t>
        </is>
      </c>
      <c r="E19135" t="inlineStr">
        <is>
          <t>Lương:Cạnh tranh</t>
        </is>
      </c>
      <c r="F19135" t="inlineStr">
        <is>
          <t>Hưng Yên</t>
        </is>
      </c>
      <c r="G19135" t="inlineStr">
        <is>
          <t>29-03-2026</t>
        </is>
      </c>
      <c r="H19135" t="inlineStr">
        <is>
          <t>29/03/2026</t>
        </is>
      </c>
      <c r="I19135" t="inlineStr">
        <is>
          <t>17/03/2026</t>
        </is>
      </c>
      <c r="J19135" t="inlineStr">
        <is>
          <t>Tiếp thị / Marketing, Tổ chức sự kiện, Hành chính / Thư ký</t>
        </is>
      </c>
      <c r="K19135" t="inlineStr">
        <is>
          <t>Trên 1 Năm</t>
        </is>
      </c>
      <c r="L19135" s="8">
        <f>HYPERLINK("https://careerviet.vn/vi/tim-viec-lam/chuyen-vien-to-chuc-su-kien-kiem-admin-event-executive.35C641F8.html","Xem chi tiết")</f>
        <v/>
      </c>
    </row>
    <row r="19136">
      <c r="B19136" s="9" t="n">
        <v>19134</v>
      </c>
      <c r="C19136" s="10" t="inlineStr">
        <is>
          <t>Quản lý dự án Cơ điện</t>
        </is>
      </c>
      <c r="D19136" s="10" t="inlineStr">
        <is>
          <t>Công ty Cổ phần công nghệ và đầu tư INTECH</t>
        </is>
      </c>
      <c r="E19136" s="10" t="inlineStr">
        <is>
          <t>Lương:20 Tr - 30 Tr VND</t>
        </is>
      </c>
      <c r="F19136" s="10" t="inlineStr">
        <is>
          <t>Hà Nội</t>
        </is>
      </c>
      <c r="G19136" s="10" t="inlineStr">
        <is>
          <t>29-03-2026</t>
        </is>
      </c>
      <c r="H19136" s="10" t="inlineStr">
        <is>
          <t>29/03/2026</t>
        </is>
      </c>
      <c r="I19136" s="10" t="inlineStr">
        <is>
          <t>17/03/2026</t>
        </is>
      </c>
      <c r="J19136" s="10" t="inlineStr">
        <is>
          <t>Điện / Điện tử / Điện lạnh / Điện công nghiệp, Cơ khí / Ô tô / Tự động hóa</t>
        </is>
      </c>
      <c r="K19136" s="10" t="inlineStr">
        <is>
          <t>2 - 3 Năm</t>
        </is>
      </c>
      <c r="L19136" s="11">
        <f>HYPERLINK("https://careerviet.vn/vi/tim-viec-lam/quan-ly-du-an-co-dien.35C640BC.html","Xem chi tiết")</f>
        <v/>
      </c>
      <c r="M19136" s="10" t="n"/>
    </row>
    <row r="19137">
      <c r="B19137" s="7" t="n">
        <v>19135</v>
      </c>
      <c r="C19137" t="inlineStr">
        <is>
          <t>Business Analyst</t>
        </is>
      </c>
      <c r="D19137" t="inlineStr">
        <is>
          <t>Công ty Cổ phần Vietsol</t>
        </is>
      </c>
      <c r="E19137" t="inlineStr">
        <is>
          <t>Lương:Cạnh tranh</t>
        </is>
      </c>
      <c r="F19137" t="inlineStr">
        <is>
          <t>Hà Nội</t>
        </is>
      </c>
      <c r="G19137" t="inlineStr">
        <is>
          <t>29-03-2026</t>
        </is>
      </c>
      <c r="H19137" t="inlineStr">
        <is>
          <t>29/03/2026</t>
        </is>
      </c>
      <c r="I19137" t="inlineStr">
        <is>
          <t>17/03/2026</t>
        </is>
      </c>
      <c r="J19137" t="inlineStr">
        <is>
          <t>CNTT - Phần mềm, CNTT - Phần cứng / Mạng, Mỹ thuật / Nghệ thuật / Thiết kế</t>
        </is>
      </c>
      <c r="K19137" t="inlineStr">
        <is>
          <t>Trên 3 Năm</t>
        </is>
      </c>
      <c r="L19137" s="8">
        <f>HYPERLINK("https://careerviet.vn/vi/tim-viec-lam/business-analyst.35C66DE8.html","Xem chi tiết")</f>
        <v/>
      </c>
    </row>
    <row r="19138">
      <c r="B19138" s="9" t="n">
        <v>19136</v>
      </c>
      <c r="C19138" s="10" t="inlineStr">
        <is>
          <t>Chuyên viên Cao cấp QS - Đấu thầu  (Thành thạo tiếng anh)</t>
        </is>
      </c>
      <c r="D19138" s="10" t="inlineStr">
        <is>
          <t>Pacific Corporation</t>
        </is>
      </c>
      <c r="E19138" s="10" t="inlineStr">
        <is>
          <t>Lương:Cạnh tranh</t>
        </is>
      </c>
      <c r="F19138" s="10" t="inlineStr">
        <is>
          <t>Hà Nội</t>
        </is>
      </c>
      <c r="G19138" s="10" t="inlineStr">
        <is>
          <t>29-03-2026</t>
        </is>
      </c>
      <c r="H19138" s="10" t="inlineStr">
        <is>
          <t>29/03/2026</t>
        </is>
      </c>
      <c r="I19138" s="10" t="inlineStr">
        <is>
          <t>17/03/2026</t>
        </is>
      </c>
      <c r="J19138" s="10" t="inlineStr">
        <is>
          <t>Xây dựng, Kiến trúc, Bất động sản</t>
        </is>
      </c>
      <c r="K19138" s="10" t="inlineStr">
        <is>
          <t>Trên 5 Năm</t>
        </is>
      </c>
      <c r="L19138" s="11">
        <f>HYPERLINK("https://careerviet.vn/vi/tim-viec-lam/chuyen-vien-cao-cap-qs-dau-thau-thanh-thao-tieng-anh.35C641BE.html","Xem chi tiết")</f>
        <v/>
      </c>
      <c r="M19138" s="10" t="n"/>
    </row>
    <row r="19139">
      <c r="B19139" s="7" t="n">
        <v>19137</v>
      </c>
      <c r="C19139" t="inlineStr">
        <is>
          <t>Transport coordinator &amp; Customer Service</t>
        </is>
      </c>
      <c r="D19139" t="inlineStr">
        <is>
          <t>Linfox Logistics Vietnam</t>
        </is>
      </c>
      <c r="E19139" t="inlineStr">
        <is>
          <t>Lương:Cạnh tranh</t>
        </is>
      </c>
      <c r="F19139" t="inlineStr">
        <is>
          <t>Bắc Ninh</t>
        </is>
      </c>
      <c r="G19139" t="inlineStr">
        <is>
          <t>29-03-2026</t>
        </is>
      </c>
      <c r="H19139" t="inlineStr">
        <is>
          <t>29/03/2026</t>
        </is>
      </c>
      <c r="I19139" t="inlineStr">
        <is>
          <t>17/03/2026</t>
        </is>
      </c>
      <c r="J19139" t="inlineStr">
        <is>
          <t>Vận chuyển / Giao nhận / Kho vận</t>
        </is>
      </c>
      <c r="K19139" t="inlineStr">
        <is>
          <t>1 - 2 Năm</t>
        </is>
      </c>
      <c r="L19139" s="8">
        <f>HYPERLINK("https://careerviet.vn/vi/tim-viec-lam/transport-coordinator-customer-service.35C640B3.html","Xem chi tiết")</f>
        <v/>
      </c>
    </row>
    <row r="19140">
      <c r="B19140" s="9" t="n">
        <v>19138</v>
      </c>
      <c r="C19140" s="10" t="inlineStr">
        <is>
          <t>(Senior) Sales Executive - Cyber Security &amp; Certifications</t>
        </is>
      </c>
      <c r="D19140" s="10" t="inlineStr">
        <is>
          <t>TÜV SÜD Vietnam</t>
        </is>
      </c>
      <c r="E19140" s="10" t="inlineStr">
        <is>
          <t>Lương:17 Tr - 25 Tr VND</t>
        </is>
      </c>
      <c r="F19140" s="10" t="inlineStr">
        <is>
          <t>Hà Nội</t>
        </is>
      </c>
      <c r="G19140" s="10" t="inlineStr">
        <is>
          <t>29-03-2026</t>
        </is>
      </c>
      <c r="H19140" s="10" t="inlineStr">
        <is>
          <t>29/03/2026</t>
        </is>
      </c>
      <c r="I19140" s="10" t="inlineStr">
        <is>
          <t>17/03/2026</t>
        </is>
      </c>
      <c r="J19140" s="10" t="inlineStr">
        <is>
          <t>Bán hàng / Kinh doanh, Dầu khí, Môi trường</t>
        </is>
      </c>
      <c r="K19140" s="10" t="inlineStr">
        <is>
          <t>2 - 5 Năm</t>
        </is>
      </c>
      <c r="L19140" s="11">
        <f>HYPERLINK("https://careerviet.vn/vi/tim-viec-lam/senior-sales-executive-cyber-security-certifications.35C66CED.html","Xem chi tiết")</f>
        <v/>
      </c>
      <c r="M19140" s="10" t="n"/>
    </row>
    <row r="19141">
      <c r="B19141" s="7" t="n">
        <v>19139</v>
      </c>
      <c r="C19141" t="inlineStr">
        <is>
          <t>Chuyên viên HSE</t>
        </is>
      </c>
      <c r="D19141" t="inlineStr">
        <is>
          <t>TỔNG CÔNG TY CỔ PHẦN THƯƠNG MẠI XÂY DỰNG</t>
        </is>
      </c>
      <c r="E19141" t="inlineStr">
        <is>
          <t>Lương:17 Tr - 25 Tr VND</t>
        </is>
      </c>
      <c r="F19141" t="inlineStr">
        <is>
          <t>Hà Nội</t>
        </is>
      </c>
      <c r="G19141" t="inlineStr">
        <is>
          <t>29-03-2026</t>
        </is>
      </c>
      <c r="H19141" t="inlineStr">
        <is>
          <t>29/03/2026</t>
        </is>
      </c>
      <c r="I19141" t="inlineStr">
        <is>
          <t>17/03/2026</t>
        </is>
      </c>
      <c r="J19141" t="inlineStr">
        <is>
          <t>An toàn lao động, Xây dựng, Bất động sản</t>
        </is>
      </c>
      <c r="K19141" t="inlineStr">
        <is>
          <t>3 - 5 Năm</t>
        </is>
      </c>
      <c r="L19141" s="8">
        <f>HYPERLINK("https://careerviet.vn/vi/tim-viec-lam/chuyen-vien-hse.35C6417E.html","Xem chi tiết")</f>
        <v/>
      </c>
    </row>
    <row r="19142">
      <c r="B19142" s="9" t="n">
        <v>19140</v>
      </c>
      <c r="C19142" s="10" t="inlineStr">
        <is>
          <t>CHUYÊN GIA TƯ VẤN CHIẾN LƯỢC THỊ TRƯỜNG</t>
        </is>
      </c>
      <c r="D19142" s="10" t="inlineStr">
        <is>
          <t>VDSC - Công ty CP Chứng khoán Rồng Việt</t>
        </is>
      </c>
      <c r="E19142" s="10" t="inlineStr">
        <is>
          <t>Lương:12 Tr - 20 Tr VND</t>
        </is>
      </c>
      <c r="F19142" s="10" t="inlineStr">
        <is>
          <t>Hồ Chí Minh</t>
        </is>
      </c>
      <c r="G19142" s="10" t="inlineStr">
        <is>
          <t>29-03-2026</t>
        </is>
      </c>
      <c r="H19142" s="10" t="inlineStr">
        <is>
          <t>29/03/2026</t>
        </is>
      </c>
      <c r="I19142" s="10" t="inlineStr">
        <is>
          <t>17/03/2026</t>
        </is>
      </c>
      <c r="J19142" s="10" t="inlineStr">
        <is>
          <t>Ngân hàng, Chứng khoán, Tài chính / Đầu tư</t>
        </is>
      </c>
      <c r="K19142" s="10" t="inlineStr">
        <is>
          <t>2 - 3 Năm</t>
        </is>
      </c>
      <c r="L19142" s="11">
        <f>HYPERLINK("https://careerviet.vn/vi/tim-viec-lam/chuyen-gia-tu-van-chien-luoc-thi-truong.35C66D16.html","Xem chi tiết")</f>
        <v/>
      </c>
      <c r="M19142" s="10" t="n"/>
    </row>
    <row r="19143">
      <c r="B19143" s="7" t="n">
        <v>19141</v>
      </c>
      <c r="C19143" t="inlineStr">
        <is>
          <t>ASM kênh Nhà thuốc Quản lý địa bàn TP.HCM và các tỉnh miền Đông - miền Tây (Ngành hàng mỹ phẩm, hóa phẩm)</t>
        </is>
      </c>
      <c r="D19143" t="inlineStr">
        <is>
          <t>Công Ty Cổ Phần Xuất Nhập Khẩu Thương Mại Đài Linh</t>
        </is>
      </c>
      <c r="E19143" t="inlineStr">
        <is>
          <t>Lương:40 Tr - 55 Tr VND</t>
        </is>
      </c>
      <c r="F19143" t="inlineStr">
        <is>
          <t>Hồ Chí Minh</t>
        </is>
      </c>
      <c r="G19143" t="inlineStr">
        <is>
          <t>29-03-2026</t>
        </is>
      </c>
      <c r="H19143" t="inlineStr">
        <is>
          <t>29/03/2026</t>
        </is>
      </c>
      <c r="I19143" t="inlineStr">
        <is>
          <t>17/03/2026</t>
        </is>
      </c>
      <c r="J19143" t="inlineStr">
        <is>
          <t>Bán hàng / Kinh doanh, Dược phẩm/ Hóa Mỹ Phẩm, Y tế / Chăm sóc sức khỏe / Thẩm mỹ / Làm đẹp</t>
        </is>
      </c>
      <c r="K19143" t="inlineStr">
        <is>
          <t>3 - 5 Năm</t>
        </is>
      </c>
      <c r="L19143" s="8">
        <f>HYPERLINK("https://careerviet.vn/vi/tim-viec-lam/asm-kenh-nha-thuoc-quan-ly-dia-ban-tp-hcm-va-cac-tinh-mien-dong-mien-tay-nganh-hang-my-pham-hoa-pham.35C66DC6.html","Xem chi tiết")</f>
        <v/>
      </c>
    </row>
    <row r="19144">
      <c r="B19144" s="9" t="n">
        <v>19142</v>
      </c>
      <c r="C19144" s="10" t="inlineStr">
        <is>
          <t>Tư vấn Giải pháp Phần mềm</t>
        </is>
      </c>
      <c r="D19144" s="10" t="inlineStr">
        <is>
          <t>Công ty CP Đầu Tư TM và Phát Triển Công Nghệ FSI</t>
        </is>
      </c>
      <c r="E19144" s="10" t="inlineStr">
        <is>
          <t>Lương:16 Tr - 25 Tr VND</t>
        </is>
      </c>
      <c r="F19144" s="10" t="inlineStr">
        <is>
          <t>Hồ Chí Minh</t>
        </is>
      </c>
      <c r="G19144" s="10" t="inlineStr">
        <is>
          <t>29-03-2026</t>
        </is>
      </c>
      <c r="H19144" s="10" t="inlineStr">
        <is>
          <t>29/03/2026</t>
        </is>
      </c>
      <c r="I19144" s="10" t="inlineStr">
        <is>
          <t>17/03/2026</t>
        </is>
      </c>
      <c r="J19144" s="10" t="inlineStr">
        <is>
          <t>Tư vấn, CNTT - Phần mềm, CNTT - Phần cứng / Mạng</t>
        </is>
      </c>
      <c r="K19144" s="10" t="inlineStr">
        <is>
          <t>5 - 7 Năm</t>
        </is>
      </c>
      <c r="L19144" s="11">
        <f>HYPERLINK("https://careerviet.vn/vi/tim-viec-lam/tu-van-giai-phap-phan-mem.35C66D7E.html","Xem chi tiết")</f>
        <v/>
      </c>
      <c r="M19144" s="10" t="n"/>
    </row>
    <row r="19145">
      <c r="B19145" s="7" t="n">
        <v>19143</v>
      </c>
      <c r="C19145" t="inlineStr">
        <is>
          <t>Nhân viên Kinh doanh Khách đoàn</t>
        </is>
      </c>
      <c r="D19145" t="inlineStr">
        <is>
          <t>Công Ty Cổ Phần Du Lịch Vietravel</t>
        </is>
      </c>
      <c r="E19145" t="inlineStr">
        <is>
          <t>Lương:Cạnh tranh</t>
        </is>
      </c>
      <c r="F19145" t="inlineStr">
        <is>
          <t>Dak Lak</t>
        </is>
      </c>
      <c r="G19145" t="inlineStr">
        <is>
          <t>29-03-2026</t>
        </is>
      </c>
      <c r="H19145" t="inlineStr">
        <is>
          <t>29/03/2026</t>
        </is>
      </c>
      <c r="I19145" t="inlineStr">
        <is>
          <t>17/03/2026</t>
        </is>
      </c>
      <c r="J19145" t="inlineStr">
        <is>
          <t>Bán hàng / Kinh doanh, Du lịch, Dịch vụ khách hàng</t>
        </is>
      </c>
      <c r="K19145" t="inlineStr">
        <is>
          <t>1 - 2 Năm</t>
        </is>
      </c>
      <c r="L19145" s="8">
        <f>HYPERLINK("https://careerviet.vn/vi/tim-viec-lam/nhan-vien-kinh-doanh-khach-doan.35C64134.html","Xem chi tiết")</f>
        <v/>
      </c>
    </row>
    <row r="19146">
      <c r="B19146" s="9" t="n">
        <v>19144</v>
      </c>
      <c r="C19146" s="10" t="inlineStr">
        <is>
          <t>Preschool Principal - Hiệu Trưởng Trường Mầm Non</t>
        </is>
      </c>
      <c r="D19146" s="10" t="inlineStr">
        <is>
          <t>Busy Bees Vietnam - Công ty Cổ Phần Giáo Dục và Giải Trí Trẻ Thơ</t>
        </is>
      </c>
      <c r="E19146" s="10" t="inlineStr">
        <is>
          <t>Lương:Cạnh tranh</t>
        </is>
      </c>
      <c r="F19146" s="10" t="inlineStr">
        <is>
          <t>Hồ Chí Minh</t>
        </is>
      </c>
      <c r="G19146" s="10" t="inlineStr">
        <is>
          <t>29-03-2026</t>
        </is>
      </c>
      <c r="H19146" s="10" t="inlineStr">
        <is>
          <t>29/03/2026</t>
        </is>
      </c>
      <c r="I19146" s="10" t="inlineStr">
        <is>
          <t>17/03/2026</t>
        </is>
      </c>
      <c r="J19146" s="10" t="inlineStr">
        <is>
          <t>Giáo dục / Đào tạo</t>
        </is>
      </c>
      <c r="K19146" s="10" t="inlineStr">
        <is>
          <t>2 - 5 Năm</t>
        </is>
      </c>
      <c r="L19146" s="11">
        <f>HYPERLINK("https://careerviet.vn/vi/tim-viec-lam/preschool-principal-hieu-truong-truong-mam-non.35C64270.html","Xem chi tiết")</f>
        <v/>
      </c>
      <c r="M19146" s="10" t="n"/>
    </row>
    <row r="19147">
      <c r="B19147" s="7" t="n">
        <v>19145</v>
      </c>
      <c r="C19147" t="inlineStr">
        <is>
          <t>Sea Operation Staff</t>
        </is>
      </c>
      <c r="D19147" t="inlineStr">
        <is>
          <t>CÔNG TY TNHH HYUNDAI GLOVIS VIỆT NAM</t>
        </is>
      </c>
      <c r="E19147" t="inlineStr">
        <is>
          <t>Lương:Cạnh tranh</t>
        </is>
      </c>
      <c r="F19147" t="inlineStr">
        <is>
          <t>Hà Nội</t>
        </is>
      </c>
      <c r="G19147" t="inlineStr">
        <is>
          <t>29-03-2026</t>
        </is>
      </c>
      <c r="H19147" t="inlineStr">
        <is>
          <t>29/03/2026</t>
        </is>
      </c>
      <c r="I19147" t="inlineStr">
        <is>
          <t>17/03/2026</t>
        </is>
      </c>
      <c r="J19147" t="inlineStr">
        <is>
          <t>Hàng hải, Vận chuyển / Giao nhận / Kho vận, Xuất nhập khẩu</t>
        </is>
      </c>
      <c r="K19147" t="inlineStr">
        <is>
          <t>Trên 3 Năm</t>
        </is>
      </c>
      <c r="L19147" s="8">
        <f>HYPERLINK("https://careerviet.vn/vi/tim-viec-lam/sea-operation-staff.35C641E3.html","Xem chi tiết")</f>
        <v/>
      </c>
    </row>
    <row r="19148">
      <c r="B19148" s="9" t="n">
        <v>19146</v>
      </c>
      <c r="C19148" s="10" t="inlineStr">
        <is>
          <t>[GLOBAL X] Trưởng Phòng Phụ Trách Quản Lý Dự Án</t>
        </is>
      </c>
      <c r="D19148" s="10" t="inlineStr">
        <is>
          <t>Nova Service Group - Công ty Cổ phần Tập đoàn Nova Services</t>
        </is>
      </c>
      <c r="E19148" s="10" t="inlineStr">
        <is>
          <t>Lương:Cạnh tranh</t>
        </is>
      </c>
      <c r="F19148" s="10" t="inlineStr">
        <is>
          <t>Hồ Chí Minh</t>
        </is>
      </c>
      <c r="G19148" s="10" t="inlineStr">
        <is>
          <t>29-03-2026</t>
        </is>
      </c>
      <c r="H19148" s="10" t="inlineStr">
        <is>
          <t>29/03/2026</t>
        </is>
      </c>
      <c r="I19148" s="10" t="inlineStr">
        <is>
          <t>17/03/2026</t>
        </is>
      </c>
      <c r="J19148" s="10" t="inlineStr">
        <is>
          <t>Xây dựng</t>
        </is>
      </c>
      <c r="K19148" s="10" t="inlineStr">
        <is>
          <t>2 - 3 Năm</t>
        </is>
      </c>
      <c r="L19148" s="11">
        <f>HYPERLINK("https://careerviet.vn/vi/tim-viec-lam/global-x-truong-phong-phu-trach-quan-ly-du-an.35C66C91.html","Xem chi tiết")</f>
        <v/>
      </c>
      <c r="M19148" s="10" t="n"/>
    </row>
    <row r="19149">
      <c r="B19149" s="7" t="n">
        <v>19147</v>
      </c>
      <c r="C19149" t="inlineStr">
        <is>
          <t>Trưởng phòng kế hoạch và Kho vận</t>
        </is>
      </c>
      <c r="D19149" t="inlineStr">
        <is>
          <t>Công Ty TNHH XNK Phát Triển Đông Dương</t>
        </is>
      </c>
      <c r="E19149" t="inlineStr">
        <is>
          <t>Lương:30 Tr - 45 Tr VND</t>
        </is>
      </c>
      <c r="F19149" t="inlineStr">
        <is>
          <t>Hồ Chí MinhLong An</t>
        </is>
      </c>
      <c r="G19149" t="inlineStr">
        <is>
          <t>31-03-2026</t>
        </is>
      </c>
      <c r="H19149" t="inlineStr">
        <is>
          <t>31/03/2026</t>
        </is>
      </c>
      <c r="I19149" t="inlineStr">
        <is>
          <t>17/03/2026</t>
        </is>
      </c>
      <c r="J19149" t="inlineStr">
        <is>
          <t>Vận chuyển / Giao nhận / Kho vận, Bán lẻ / Bán sỉ, Điện / Điện tử / Điện lạnh / Điện công nghiệp</t>
        </is>
      </c>
      <c r="K19149" t="inlineStr">
        <is>
          <t>3 - 5 Năm</t>
        </is>
      </c>
      <c r="L19149" s="8">
        <f>HYPERLINK("https://careerviet.vn/vi/tim-viec-lam/truong-phong-ke-hoach-va-kho-van.35C69C90.html","Xem chi tiết")</f>
        <v/>
      </c>
    </row>
    <row r="19150">
      <c r="B19150" s="9" t="n">
        <v>19148</v>
      </c>
      <c r="C19150" s="10" t="inlineStr">
        <is>
          <t>Senior Project Sales - Ha Noi (Electrical)</t>
        </is>
      </c>
      <c r="D19150" s="10" t="inlineStr">
        <is>
          <t>Sunlight Electrical (Vietnam) Co., Ltd.</t>
        </is>
      </c>
      <c r="E19150" s="10" t="inlineStr">
        <is>
          <t>Lương:28 Tr - 42 Tr VND</t>
        </is>
      </c>
      <c r="F19150" s="10" t="inlineStr">
        <is>
          <t>Hà Nội</t>
        </is>
      </c>
      <c r="G19150" s="10" t="inlineStr">
        <is>
          <t>28-03-2026</t>
        </is>
      </c>
      <c r="H19150" s="10" t="inlineStr">
        <is>
          <t>28/03/2026</t>
        </is>
      </c>
      <c r="I19150" s="10" t="inlineStr">
        <is>
          <t>17/03/2026</t>
        </is>
      </c>
      <c r="J19150" s="10" t="inlineStr">
        <is>
          <t>Bán hàng / Kinh doanh, Điện / Điện tử / Điện lạnh / Điện công nghiệp</t>
        </is>
      </c>
      <c r="K19150" s="10" t="inlineStr">
        <is>
          <t>4 - 12 Năm</t>
        </is>
      </c>
      <c r="L19150" s="11">
        <f>HYPERLINK("https://careerviet.vn/vi/tim-viec-lam/senior-project-sales-ha-noi-electrical.35C66B16.html","Xem chi tiết")</f>
        <v/>
      </c>
      <c r="M19150" s="10" t="n"/>
    </row>
    <row r="19151">
      <c r="B19151" s="7" t="n">
        <v>19149</v>
      </c>
      <c r="C19151" t="inlineStr">
        <is>
          <t>Kế toán trưởng</t>
        </is>
      </c>
      <c r="D19151" t="inlineStr">
        <is>
          <t>CÔNG TY CỔ PHẦN TẬP ĐOÀN DAT</t>
        </is>
      </c>
      <c r="E19151" t="inlineStr">
        <is>
          <t>Lương:30 Tr - 40 Tr VND</t>
        </is>
      </c>
      <c r="F19151" t="inlineStr">
        <is>
          <t>Hồ Chí Minh</t>
        </is>
      </c>
      <c r="G19151" t="inlineStr">
        <is>
          <t>28-03-2026</t>
        </is>
      </c>
      <c r="H19151" t="inlineStr">
        <is>
          <t>28/03/2026</t>
        </is>
      </c>
      <c r="I19151" t="inlineStr">
        <is>
          <t>17/03/2026</t>
        </is>
      </c>
      <c r="J19151" t="inlineStr">
        <is>
          <t>Kế toán / Kiểm toán, Tài chính / Đầu tư</t>
        </is>
      </c>
      <c r="K19151" t="inlineStr">
        <is>
          <t>3 - 5 Năm</t>
        </is>
      </c>
      <c r="L19151" s="8">
        <f>HYPERLINK("https://careerviet.vn/vi/tim-viec-lam/ke-toan-truong.35C66BFF.html","Xem chi tiết")</f>
        <v/>
      </c>
    </row>
    <row r="19152">
      <c r="B19152" s="9" t="n">
        <v>19150</v>
      </c>
      <c r="C19152" s="10" t="inlineStr">
        <is>
          <t>TRƯỞNG NHÓM TUYỂN DỤNG - ĐÀO TẠO</t>
        </is>
      </c>
      <c r="D19152" s="10" t="inlineStr">
        <is>
          <t>CÔNG TY TNHH SẢN XUẤT TẬP ĐOÀN ĐẠI VIỆT</t>
        </is>
      </c>
      <c r="E19152" s="10" t="inlineStr">
        <is>
          <t>Lương:Cạnh tranh</t>
        </is>
      </c>
      <c r="F19152" s="10" t="inlineStr">
        <is>
          <t>Hồ Chí Minh</t>
        </is>
      </c>
      <c r="G19152" s="10" t="inlineStr">
        <is>
          <t>5</t>
        </is>
      </c>
      <c r="H19152" s="10" t="inlineStr">
        <is>
          <t>22/03/2026</t>
        </is>
      </c>
      <c r="I19152" s="10" t="inlineStr">
        <is>
          <t>17/03/2026</t>
        </is>
      </c>
      <c r="J19152" s="10" t="inlineStr">
        <is>
          <t>Sản xuất / Vận hành sản xuất, Nhân sự</t>
        </is>
      </c>
      <c r="K19152" s="10" t="inlineStr">
        <is>
          <t>3 - 5 Năm</t>
        </is>
      </c>
      <c r="L19152" s="11">
        <f>HYPERLINK("https://careerviet.vn/vi/tim-viec-lam/truong-nhom-tuyen-dung-dao-tao.35C69CB4.html","Xem chi tiết")</f>
        <v/>
      </c>
      <c r="M19152" s="10" t="n"/>
    </row>
    <row r="19153">
      <c r="B19153" s="7" t="n">
        <v>19151</v>
      </c>
      <c r="C19153" t="inlineStr">
        <is>
          <t>Giám đốc Quan hệ khách hàng Private - TPHCM - TA110 - ID1428</t>
        </is>
      </c>
      <c r="D19153" t="inlineStr">
        <is>
          <t>Ngân Hàng TMCP Việt Nam Thịnh Vượng - VPBANK</t>
        </is>
      </c>
      <c r="E19153" t="inlineStr">
        <is>
          <t>Lương:Cạnh tranh</t>
        </is>
      </c>
      <c r="F19153" t="inlineStr">
        <is>
          <t>Hồ Chí Minh</t>
        </is>
      </c>
      <c r="G19153" t="inlineStr">
        <is>
          <t>29-03-2026</t>
        </is>
      </c>
      <c r="H19153" t="inlineStr">
        <is>
          <t>29/03/2026</t>
        </is>
      </c>
      <c r="I19153" t="inlineStr">
        <is>
          <t>17/03/2026</t>
        </is>
      </c>
      <c r="J19153" t="inlineStr">
        <is>
          <t>Bán hàng / Kinh doanh, Ngân hàng</t>
        </is>
      </c>
      <c r="K19153" t="inlineStr">
        <is>
          <t>3 - 5 Năm</t>
        </is>
      </c>
      <c r="L19153" s="8">
        <f>HYPERLINK("https://careerviet.vn/vi/tim-viec-lam/giam-doc-quan-he-khach-hang-private-tphcm-ta110-id1428.35C66D7D.html","Xem chi tiết")</f>
        <v/>
      </c>
    </row>
    <row r="19154">
      <c r="B19154" s="9" t="n">
        <v>19152</v>
      </c>
      <c r="C19154" s="10" t="inlineStr">
        <is>
          <t>Nhân viên Vận hành đơn Thương mại điện tử</t>
        </is>
      </c>
      <c r="D19154" s="10" t="inlineStr">
        <is>
          <t>Cty CP Kỹ Nghệ Thực Phẩm Việt Nam - VIFON</t>
        </is>
      </c>
      <c r="E19154" s="10" t="inlineStr">
        <is>
          <t>Lương:12 Tr - 14 Tr VND</t>
        </is>
      </c>
      <c r="F19154" s="10" t="inlineStr">
        <is>
          <t>Hồ Chí Minh</t>
        </is>
      </c>
      <c r="G19154" s="10" t="inlineStr">
        <is>
          <t>31-03-2026</t>
        </is>
      </c>
      <c r="H19154" s="10" t="inlineStr">
        <is>
          <t>31/03/2026</t>
        </is>
      </c>
      <c r="I19154" s="10" t="inlineStr">
        <is>
          <t>17/03/2026</t>
        </is>
      </c>
      <c r="J19154" s="10" t="inlineStr">
        <is>
          <t>Tiếp thị / Marketing</t>
        </is>
      </c>
      <c r="K19154" s="10" t="inlineStr">
        <is>
          <t>1 - 2 Năm</t>
        </is>
      </c>
      <c r="L19154" s="11">
        <f>HYPERLINK("https://careerviet.vn/vi/tim-viec-lam/nhan-vien-van-hanh-don-thuong-mai-dien-tu.35C69C63.html","Xem chi tiết")</f>
        <v/>
      </c>
      <c r="M19154" s="10" t="n"/>
    </row>
    <row r="19155">
      <c r="B19155" s="7" t="n">
        <v>19153</v>
      </c>
      <c r="C19155" t="inlineStr">
        <is>
          <t>CVC/ CVCC Xử lý tín dụng SME miền Bắc - Hà Nội - TA125 - ID1676</t>
        </is>
      </c>
      <c r="D19155" t="inlineStr">
        <is>
          <t>Ngân Hàng TMCP Việt Nam Thịnh Vượng - VPBANK</t>
        </is>
      </c>
      <c r="E19155" t="inlineStr">
        <is>
          <t>Lương:Cạnh tranh</t>
        </is>
      </c>
      <c r="F19155" t="inlineStr">
        <is>
          <t>Hà Nội</t>
        </is>
      </c>
      <c r="G19155" t="inlineStr">
        <is>
          <t>29-03-2026</t>
        </is>
      </c>
      <c r="H19155" t="inlineStr">
        <is>
          <t>29/03/2026</t>
        </is>
      </c>
      <c r="I19155" t="inlineStr">
        <is>
          <t>17/03/2026</t>
        </is>
      </c>
      <c r="J19155" t="inlineStr">
        <is>
          <t>Ngân hàng, Tài chính / Đầu tư</t>
        </is>
      </c>
      <c r="K19155" t="inlineStr">
        <is>
          <t>Chưa có kinh nghiệm</t>
        </is>
      </c>
      <c r="L19155" s="8">
        <f>HYPERLINK("https://careerviet.vn/vi/tim-viec-lam/cvc-cvcc-xu-ly-tin-dung-sme-mien-bac-ha-noi-ta125-id1676.35C66C0B.html","Xem chi tiết")</f>
        <v/>
      </c>
    </row>
    <row r="19156">
      <c r="B19156" s="9" t="n">
        <v>19154</v>
      </c>
      <c r="C19156" s="10" t="inlineStr">
        <is>
          <t>NHÂN VIÊN CHỨNG TỪ KHAI BÁO HẢI QUAN</t>
        </is>
      </c>
      <c r="D19156" s="10" t="inlineStr">
        <is>
          <t>Công Ty Cổ Phần Vận Tải Và Dịch Vụ Hàng Hải (TRA-SAS)</t>
        </is>
      </c>
      <c r="E19156" s="10" t="inlineStr">
        <is>
          <t>Lương:12 Tr - 16 Tr VND</t>
        </is>
      </c>
      <c r="F19156" s="10" t="inlineStr">
        <is>
          <t>Hồ Chí Minh</t>
        </is>
      </c>
      <c r="G19156" s="10" t="inlineStr">
        <is>
          <t>31-03-2026</t>
        </is>
      </c>
      <c r="H19156" s="10" t="inlineStr">
        <is>
          <t>31/03/2026</t>
        </is>
      </c>
      <c r="I19156" s="10" t="inlineStr">
        <is>
          <t>17/03/2026</t>
        </is>
      </c>
      <c r="J19156" s="10" t="inlineStr">
        <is>
          <t>Bán hàng / Kinh doanh, Vận chuyển / Giao nhận / Kho vận, Xuất nhập khẩu</t>
        </is>
      </c>
      <c r="K19156" s="10" t="inlineStr">
        <is>
          <t>1 - 3 Năm</t>
        </is>
      </c>
      <c r="L19156" s="11">
        <f>HYPERLINK("https://careerviet.vn/vi/tim-viec-lam/nhan-vien-chung-tu-khai-bao-hai-quan.35C69BD2.html","Xem chi tiết")</f>
        <v/>
      </c>
      <c r="M19156" s="10" t="n"/>
    </row>
    <row r="19157">
      <c r="B19157" s="7" t="n">
        <v>19155</v>
      </c>
      <c r="C19157" t="inlineStr">
        <is>
          <t>Nhân viên kho nguyên vật liệu</t>
        </is>
      </c>
      <c r="D19157" t="inlineStr">
        <is>
          <t>Công Ty TNHH Ortholite Việt Nam</t>
        </is>
      </c>
      <c r="E19157" t="inlineStr">
        <is>
          <t>Lương:Cạnh tranh</t>
        </is>
      </c>
      <c r="F19157" t="inlineStr">
        <is>
          <t>Bình Dương</t>
        </is>
      </c>
      <c r="G19157" t="inlineStr">
        <is>
          <t>29-03-2026</t>
        </is>
      </c>
      <c r="H19157" t="inlineStr">
        <is>
          <t>29/03/2026</t>
        </is>
      </c>
      <c r="I19157" t="inlineStr">
        <is>
          <t>17/03/2026</t>
        </is>
      </c>
      <c r="J19157" t="inlineStr">
        <is>
          <t>Dệt may / Da giày / Thời trang, Hành chính / Thư ký, Sản xuất / Vận hành sản xuất</t>
        </is>
      </c>
      <c r="K19157" t="inlineStr">
        <is>
          <t>2 - 3 Năm</t>
        </is>
      </c>
      <c r="L19157" s="8">
        <f>HYPERLINK("https://careerviet.vn/vi/tim-viec-lam/nhan-vien-kho-nguyen-vat-lieu.35C66D8E.html","Xem chi tiết")</f>
        <v/>
      </c>
    </row>
    <row r="19158">
      <c r="B19158" s="9" t="n">
        <v>19156</v>
      </c>
      <c r="C19158" s="10" t="inlineStr">
        <is>
          <t>Senior HRBP Manager</t>
        </is>
      </c>
      <c r="D19158" s="10" t="inlineStr">
        <is>
          <t>Công Ty Cổ Phần GreenFeed Việt Nam</t>
        </is>
      </c>
      <c r="E19158" s="10" t="inlineStr">
        <is>
          <t>Lương:Cạnh tranh</t>
        </is>
      </c>
      <c r="F19158" s="10" t="inlineStr">
        <is>
          <t>Hồ Chí Minh</t>
        </is>
      </c>
      <c r="G19158" s="10" t="inlineStr">
        <is>
          <t>28-03-2026</t>
        </is>
      </c>
      <c r="H19158" s="10" t="inlineStr">
        <is>
          <t>28/03/2026</t>
        </is>
      </c>
      <c r="I19158" s="10" t="inlineStr">
        <is>
          <t>17/03/2026</t>
        </is>
      </c>
      <c r="J19158" s="10" t="inlineStr">
        <is>
          <t>Nhân sự</t>
        </is>
      </c>
      <c r="K19158" s="10" t="inlineStr">
        <is>
          <t>5 - 10 Năm</t>
        </is>
      </c>
      <c r="L19158" s="11">
        <f>HYPERLINK("https://careerviet.vn/vi/tim-viec-lam/senior-hrbp-manager.35C69C61.html","Xem chi tiết")</f>
        <v/>
      </c>
      <c r="M19158" s="10" t="n"/>
    </row>
    <row r="19159">
      <c r="B19159" s="7" t="n">
        <v>19157</v>
      </c>
      <c r="C19159" t="inlineStr">
        <is>
          <t>CHUYÊN VIÊN XUẤT NHÂP KHẨU</t>
        </is>
      </c>
      <c r="D19159" t="inlineStr">
        <is>
          <t>CÔNG TY TNHH BILLION VIETNAM HOLDING</t>
        </is>
      </c>
      <c r="E19159" t="inlineStr">
        <is>
          <t>Lương:12 Tr - 18 Tr VND</t>
        </is>
      </c>
      <c r="F19159" t="inlineStr">
        <is>
          <t>Hồ Chí Minh</t>
        </is>
      </c>
      <c r="G19159" t="inlineStr">
        <is>
          <t>31-03-2026</t>
        </is>
      </c>
      <c r="H19159" t="inlineStr">
        <is>
          <t>31/03/2026</t>
        </is>
      </c>
      <c r="I19159" t="inlineStr">
        <is>
          <t>17/03/2026</t>
        </is>
      </c>
      <c r="J19159" t="inlineStr">
        <is>
          <t>Xuất nhập khẩu</t>
        </is>
      </c>
      <c r="K19159" t="inlineStr">
        <is>
          <t>2 - 5 Năm</t>
        </is>
      </c>
      <c r="L19159" s="8">
        <f>HYPERLINK("https://careerviet.vn/vi/tim-viec-lam/chuyen-vien-xuat-nhap-khau.35C69BF0.html","Xem chi tiết")</f>
        <v/>
      </c>
    </row>
    <row r="19160">
      <c r="B19160" s="9" t="n">
        <v>19158</v>
      </c>
      <c r="C19160" s="10" t="inlineStr">
        <is>
          <t>HCM_Trade Marketing Senior Executive</t>
        </is>
      </c>
      <c r="D19160" s="10" t="inlineStr">
        <is>
          <t>BOSTON PHARMA - Công Ty CP Dược Phẩm Boston Việt Nam</t>
        </is>
      </c>
      <c r="E19160" s="10" t="inlineStr">
        <is>
          <t>Lương:Cạnh tranh</t>
        </is>
      </c>
      <c r="F19160" s="10" t="inlineStr">
        <is>
          <t>Hồ Chí Minh</t>
        </is>
      </c>
      <c r="G19160" s="10" t="inlineStr">
        <is>
          <t>26-03-2026</t>
        </is>
      </c>
      <c r="H19160" s="10" t="inlineStr">
        <is>
          <t>26/03/2026</t>
        </is>
      </c>
      <c r="I19160" s="10" t="inlineStr">
        <is>
          <t>17/03/2026</t>
        </is>
      </c>
      <c r="J19160" s="10" t="inlineStr">
        <is>
          <t>Tiếp thị / Marketing, Bán hàng / Kinh doanh, Quảng cáo / Đối ngoại / Truyền Thông</t>
        </is>
      </c>
      <c r="K19160" s="10" t="inlineStr">
        <is>
          <t>3 - 5 Năm</t>
        </is>
      </c>
      <c r="L19160" s="11">
        <f>HYPERLINK("https://careerviet.vn/vi/tim-viec-lam/hcm_trade-marketing-senior-executive.35C69C6E.html","Xem chi tiết")</f>
        <v/>
      </c>
      <c r="M19160" s="10" t="n"/>
    </row>
    <row r="19161">
      <c r="B19161" s="7" t="n">
        <v>19159</v>
      </c>
      <c r="C19161" t="inlineStr">
        <is>
          <t>Giám đốc vận hành</t>
        </is>
      </c>
      <c r="D19161" t="inlineStr">
        <is>
          <t>CÔNG TY CP TẬP ĐOÀN VIỆT HỒNG</t>
        </is>
      </c>
      <c r="E19161" t="inlineStr">
        <is>
          <t>Lương:Cạnh tranh</t>
        </is>
      </c>
      <c r="F19161" t="inlineStr">
        <is>
          <t>Hồ Chí Minh</t>
        </is>
      </c>
      <c r="G19161" t="inlineStr">
        <is>
          <t>26-02-2026</t>
        </is>
      </c>
      <c r="H19161" t="inlineStr">
        <is>
          <t>10/03/2026</t>
        </is>
      </c>
      <c r="I19161" t="inlineStr">
        <is>
          <t>17/03/2026</t>
        </is>
      </c>
      <c r="J19161" t="inlineStr">
        <is>
          <t>Bán lẻ / Bán sỉ, Điện / Điện tử / Điện lạnh / Điện công nghiệp, Thương mại điện tử</t>
        </is>
      </c>
      <c r="K19161" t="inlineStr">
        <is>
          <t>8 - 10 Năm</t>
        </is>
      </c>
      <c r="L19161" s="8">
        <f>HYPERLINK("https://careerviet.vn/vi/tim-viec-lam/giam-doc-van-hanh.35C69BEC.html","Xem chi tiết")</f>
        <v/>
      </c>
    </row>
    <row r="19162">
      <c r="B19162" s="9" t="n">
        <v>19160</v>
      </c>
      <c r="C19162" s="10" t="inlineStr">
        <is>
          <t>Trưởng Phòng Khách Hàng Cá Nhân - ID1304</t>
        </is>
      </c>
      <c r="D19162" s="10" t="inlineStr">
        <is>
          <t>Ngân Hàng TMCP Việt Nam Thịnh Vượng - VPBANK</t>
        </is>
      </c>
      <c r="E19162" s="10" t="inlineStr">
        <is>
          <t>Lương:Cạnh tranh</t>
        </is>
      </c>
      <c r="F19162" s="10" t="inlineStr">
        <is>
          <t>Hồ Chí MinhĐà NẵngQuảng Nam</t>
        </is>
      </c>
      <c r="G19162" s="10" t="inlineStr">
        <is>
          <t>29-03-2026</t>
        </is>
      </c>
      <c r="H19162" s="10" t="inlineStr">
        <is>
          <t>29/03/2026</t>
        </is>
      </c>
      <c r="I19162" s="10" t="inlineStr">
        <is>
          <t>17/03/2026</t>
        </is>
      </c>
      <c r="J19162" s="10" t="inlineStr">
        <is>
          <t>Bán hàng / Kinh doanh, Ngân hàng</t>
        </is>
      </c>
      <c r="K19162" s="10" t="inlineStr">
        <is>
          <t>4 - 5 Năm</t>
        </is>
      </c>
      <c r="L19162" s="11">
        <f>HYPERLINK("https://careerviet.vn/vi/tim-viec-lam/truong-phong-khach-hang-ca-nhan-id1304.35C66D56.html","Xem chi tiết")</f>
        <v/>
      </c>
      <c r="M19162" s="10" t="n"/>
    </row>
    <row r="19163">
      <c r="B19163" s="7" t="n">
        <v>19161</v>
      </c>
      <c r="C19163" t="inlineStr">
        <is>
          <t>Sales Admin</t>
        </is>
      </c>
      <c r="D19163" t="inlineStr">
        <is>
          <t>CÔNG TY TNHH KỸ THUẬT CÔNG NGHỆ SP</t>
        </is>
      </c>
      <c r="E19163" t="inlineStr">
        <is>
          <t>Lương:7 Tr - 8 Tr VND</t>
        </is>
      </c>
      <c r="F19163" t="inlineStr">
        <is>
          <t>Hồ Chí Minh</t>
        </is>
      </c>
      <c r="G19163" t="inlineStr">
        <is>
          <t>Hôm nay</t>
        </is>
      </c>
      <c r="H19163" t="inlineStr">
        <is>
          <t>17/03/2026</t>
        </is>
      </c>
      <c r="I19163" t="inlineStr">
        <is>
          <t>17/03/2026</t>
        </is>
      </c>
      <c r="J19163" t="inlineStr">
        <is>
          <t>Hành chính / Thư ký, Điện / Điện tử / Điện lạnh / Điện công nghiệp, Thu mua / Vật tư</t>
        </is>
      </c>
      <c r="K19163" t="inlineStr">
        <is>
          <t>N/A</t>
        </is>
      </c>
      <c r="L19163" s="8">
        <f>HYPERLINK("https://careerviet.vn/vi/tim-viec-lam/sales-admin.35C63170.html","Xem chi tiết")</f>
        <v/>
      </c>
    </row>
    <row r="19164">
      <c r="B19164" s="9" t="n">
        <v>19162</v>
      </c>
      <c r="C19164" s="10" t="inlineStr">
        <is>
          <t>Chuyên Viên Thu Mua</t>
        </is>
      </c>
      <c r="D19164" s="10" t="inlineStr">
        <is>
          <t>CÔNG TY TNHH THƯƠNG MẠI LÝ PHONG</t>
        </is>
      </c>
      <c r="E19164" s="10" t="inlineStr">
        <is>
          <t>Lương:Cạnh tranh</t>
        </is>
      </c>
      <c r="F19164" s="10" t="inlineStr">
        <is>
          <t>Hồ Chí Minh</t>
        </is>
      </c>
      <c r="G19164" s="10" t="inlineStr">
        <is>
          <t>26-03-2026</t>
        </is>
      </c>
      <c r="H19164" s="10" t="inlineStr">
        <is>
          <t>26/03/2026</t>
        </is>
      </c>
      <c r="I19164" s="10" t="inlineStr">
        <is>
          <t>17/03/2026</t>
        </is>
      </c>
      <c r="J19164" s="10" t="inlineStr">
        <is>
          <t>Kế toán / Kiểm toán, Thu mua / Vật tư, Tài chính / Đầu tư</t>
        </is>
      </c>
      <c r="K19164" s="10" t="inlineStr">
        <is>
          <t>Trên 1 Năm</t>
        </is>
      </c>
      <c r="L19164" s="11">
        <f>HYPERLINK("https://careerviet.vn/vi/tim-viec-lam/chuyen-vien-thu-mua.35C69AA2.html","Xem chi tiết")</f>
        <v/>
      </c>
      <c r="M19164" s="10" t="n"/>
    </row>
    <row r="19165">
      <c r="B19165" s="7" t="n">
        <v>19163</v>
      </c>
      <c r="C19165" t="inlineStr">
        <is>
          <t>Nhân Viên Admin</t>
        </is>
      </c>
      <c r="D19165" t="inlineStr">
        <is>
          <t>Công Ty Cổ Phần Đầu Tư Xây Dựng Bcons</t>
        </is>
      </c>
      <c r="E19165" t="inlineStr">
        <is>
          <t>Lương:Cạnh tranh</t>
        </is>
      </c>
      <c r="F19165" t="inlineStr">
        <is>
          <t>Hồ Chí Minh</t>
        </is>
      </c>
      <c r="G19165" t="inlineStr">
        <is>
          <t>25-03-2026</t>
        </is>
      </c>
      <c r="H19165" t="inlineStr">
        <is>
          <t>25/03/2026</t>
        </is>
      </c>
      <c r="I19165" t="inlineStr">
        <is>
          <t>17/03/2026</t>
        </is>
      </c>
      <c r="J19165" t="inlineStr">
        <is>
          <t>Bán hàng / Kinh doanh, Hành chính / Thư ký, Xây dựng</t>
        </is>
      </c>
      <c r="K19165" t="inlineStr">
        <is>
          <t>N/A</t>
        </is>
      </c>
      <c r="L19165" s="8">
        <f>HYPERLINK("https://careerviet.vn/vi/tim-viec-lam/nhan-vien-admin.35C69CE7.html","Xem chi tiết")</f>
        <v/>
      </c>
    </row>
    <row r="19166">
      <c r="B19166" s="9" t="n">
        <v>19164</v>
      </c>
      <c r="C19166" s="10" t="inlineStr">
        <is>
          <t>GRAPHIC DESIGNER - NHÂN VIÊN THIẾT KẾ ĐỒ HOẠ</t>
        </is>
      </c>
      <c r="D19166" s="10" t="inlineStr">
        <is>
          <t>CÔNG TY TNHH POLY STUDIO &amp; ACADEMY</t>
        </is>
      </c>
      <c r="E19166" s="10" t="inlineStr">
        <is>
          <t>Lương:10 Tr - 15 Tr VND</t>
        </is>
      </c>
      <c r="F19166" s="10" t="inlineStr">
        <is>
          <t>Hồ Chí Minh</t>
        </is>
      </c>
      <c r="G19166" s="10" t="inlineStr">
        <is>
          <t>30-04-2026</t>
        </is>
      </c>
      <c r="H19166" s="10" t="inlineStr">
        <is>
          <t>30/04/2026</t>
        </is>
      </c>
      <c r="I19166" s="10" t="inlineStr">
        <is>
          <t>17/03/2026</t>
        </is>
      </c>
      <c r="J19166" s="10" t="inlineStr">
        <is>
          <t>Tiếp thị / Marketing, Y tế / Chăm sóc sức khỏe / Thẩm mỹ / Làm đẹp, Mỹ thuật / Nghệ thuật / Thiết kế</t>
        </is>
      </c>
      <c r="K19166" s="10" t="inlineStr">
        <is>
          <t>1 - 2 Năm</t>
        </is>
      </c>
      <c r="L19166" s="11">
        <f>HYPERLINK("https://careerviet.vn/vi/tim-viec-lam/graphic-designer-nhan-vien-thiet-ke-do-hoa.35C69B7A.html","Xem chi tiết")</f>
        <v/>
      </c>
      <c r="M19166" s="10" t="n"/>
    </row>
    <row r="19167">
      <c r="B19167" s="7" t="n">
        <v>19165</v>
      </c>
      <c r="C19167" t="inlineStr">
        <is>
          <t>Chuyên viên nhân sự</t>
        </is>
      </c>
      <c r="D19167" t="inlineStr">
        <is>
          <t>CÔNG TY TNHH BILLION VIETNAM HOLDING</t>
        </is>
      </c>
      <c r="E19167" t="inlineStr">
        <is>
          <t>Lương:12 Tr - 18 Tr VND</t>
        </is>
      </c>
      <c r="F19167" t="inlineStr">
        <is>
          <t>Hồ Chí Minh</t>
        </is>
      </c>
      <c r="G19167" t="inlineStr">
        <is>
          <t>31-03-2026</t>
        </is>
      </c>
      <c r="H19167" t="inlineStr">
        <is>
          <t>31/03/2026</t>
        </is>
      </c>
      <c r="I19167" t="inlineStr">
        <is>
          <t>17/03/2026</t>
        </is>
      </c>
      <c r="J19167" t="inlineStr">
        <is>
          <t>Bán lẻ / Bán sỉ, Nhân sự, Sản xuất / Vận hành sản xuất</t>
        </is>
      </c>
      <c r="K19167" t="inlineStr">
        <is>
          <t>3 - 5 Năm</t>
        </is>
      </c>
      <c r="L19167" s="8">
        <f>HYPERLINK("https://careerviet.vn/vi/tim-viec-lam/chuyen-vien-nhan-su.35C69ACF.html","Xem chi tiết")</f>
        <v/>
      </c>
    </row>
    <row r="19168">
      <c r="B19168" s="9" t="n">
        <v>19166</v>
      </c>
      <c r="C19168" s="10" t="inlineStr">
        <is>
          <t>Nhân viên Sale Admin</t>
        </is>
      </c>
      <c r="D19168" s="10" t="inlineStr">
        <is>
          <t>CT CP Tập Đoàn Thái Tuấn</t>
        </is>
      </c>
      <c r="E19168" s="10" t="inlineStr">
        <is>
          <t>Lương:Cạnh tranh</t>
        </is>
      </c>
      <c r="F19168" s="10" t="inlineStr">
        <is>
          <t>Hồ Chí Minh</t>
        </is>
      </c>
      <c r="G19168" s="10" t="inlineStr">
        <is>
          <t>26-03-2026</t>
        </is>
      </c>
      <c r="H19168" s="10" t="inlineStr">
        <is>
          <t>26/03/2026</t>
        </is>
      </c>
      <c r="I19168" s="10" t="inlineStr">
        <is>
          <t>17/03/2026</t>
        </is>
      </c>
      <c r="J19168" s="10" t="inlineStr">
        <is>
          <t>Bán hàng / Kinh doanh, Dịch vụ khách hàng, Hành chính / Thư ký</t>
        </is>
      </c>
      <c r="K19168" s="10" t="inlineStr">
        <is>
          <t>1 - 2 Năm</t>
        </is>
      </c>
      <c r="L19168" s="11">
        <f>HYPERLINK("https://careerviet.vn/vi/tim-viec-lam/nhan-vien-sale-admin.35C69ADB.html","Xem chi tiết")</f>
        <v/>
      </c>
      <c r="M19168" s="10" t="n"/>
    </row>
    <row r="19169">
      <c r="B19169" s="7" t="n">
        <v>19167</v>
      </c>
      <c r="C19169" t="inlineStr">
        <is>
          <t>BAF - Nhân viên/Chuyên viên mua hàng</t>
        </is>
      </c>
      <c r="D19169" t="inlineStr">
        <is>
          <t>Công ty Cổ phần Nông nghiệp BAF Việt Nam</t>
        </is>
      </c>
      <c r="E19169" t="inlineStr">
        <is>
          <t>Lương:Cạnh tranh</t>
        </is>
      </c>
      <c r="F19169" t="inlineStr">
        <is>
          <t>Hồ Chí Minh</t>
        </is>
      </c>
      <c r="G19169" t="inlineStr">
        <is>
          <t>26-03-2026</t>
        </is>
      </c>
      <c r="H19169" t="inlineStr">
        <is>
          <t>26/03/2026</t>
        </is>
      </c>
      <c r="I19169" t="inlineStr">
        <is>
          <t>17/03/2026</t>
        </is>
      </c>
      <c r="J19169" t="inlineStr">
        <is>
          <t>Thu mua / Vật tư, Thực phẩm &amp; Đồ uống, Chăn nuôi / Thú y</t>
        </is>
      </c>
      <c r="K19169" t="inlineStr">
        <is>
          <t>1 - 5 Năm</t>
        </is>
      </c>
      <c r="L19169" s="8">
        <f>HYPERLINK("https://careerviet.vn/vi/tim-viec-lam/baf-nhan-vien-chuyen-vien-mua-hang.35C69A51.html","Xem chi tiết")</f>
        <v/>
      </c>
    </row>
    <row r="19170">
      <c r="B19170" s="9" t="n">
        <v>19168</v>
      </c>
      <c r="C19170" s="10" t="inlineStr">
        <is>
          <t>Automation Engineer/ Kỹ sư tự động hóa</t>
        </is>
      </c>
      <c r="D19170" s="10" t="inlineStr">
        <is>
          <t>CÔNG TY TNHH KỸ THUẬT CÔNG NGHỆ SP</t>
        </is>
      </c>
      <c r="E19170" s="10" t="inlineStr">
        <is>
          <t>Lương:10 Tr - 20 Tr VND</t>
        </is>
      </c>
      <c r="F19170" s="10" t="inlineStr">
        <is>
          <t>Hồ Chí Minh</t>
        </is>
      </c>
      <c r="G19170" s="10" t="inlineStr">
        <is>
          <t>3</t>
        </is>
      </c>
      <c r="H19170" s="10" t="inlineStr">
        <is>
          <t>20/03/2026</t>
        </is>
      </c>
      <c r="I19170" s="10" t="inlineStr">
        <is>
          <t>17/03/2026</t>
        </is>
      </c>
      <c r="J19170" s="10" t="inlineStr">
        <is>
          <t>Cơ khí / Ô tô / Tự động hóa, Hóa học, Điện / Điện tử / Điện lạnh / Điện công nghiệp</t>
        </is>
      </c>
      <c r="K19170" s="10" t="inlineStr">
        <is>
          <t>Trên 1 Năm</t>
        </is>
      </c>
      <c r="L19170" s="11">
        <f>HYPERLINK("https://careerviet.vn/vi/tim-viec-lam/automation-engineer-ky-su-tu-dong-hoa.35C65E75.html","Xem chi tiết")</f>
        <v/>
      </c>
      <c r="M19170" s="10" t="n"/>
    </row>
    <row r="19171">
      <c r="B19171" s="7" t="n">
        <v>19169</v>
      </c>
      <c r="C19171" t="inlineStr">
        <is>
          <t>Chuyên viên IT Infrastructure</t>
        </is>
      </c>
      <c r="D19171" t="inlineStr">
        <is>
          <t>CÔNG TY CỔ PHẦN MIDOMAX VIỆT NAM</t>
        </is>
      </c>
      <c r="E19171" t="inlineStr">
        <is>
          <t>Lương:15 Tr - 20 Tr VND</t>
        </is>
      </c>
      <c r="F19171" t="inlineStr">
        <is>
          <t>Hồ Chí Minh</t>
        </is>
      </c>
      <c r="G19171" t="inlineStr">
        <is>
          <t>31-03-2026</t>
        </is>
      </c>
      <c r="H19171" t="inlineStr">
        <is>
          <t>31/03/2026</t>
        </is>
      </c>
      <c r="I19171" t="inlineStr">
        <is>
          <t>17/03/2026</t>
        </is>
      </c>
      <c r="J19171" t="inlineStr">
        <is>
          <t>CNTT - Phần mềm, Bán lẻ / Bán sỉ, Thương mại điện tử</t>
        </is>
      </c>
      <c r="K19171" t="inlineStr">
        <is>
          <t>1 - 3 Năm</t>
        </is>
      </c>
      <c r="L19171" s="8">
        <f>HYPERLINK("https://careerviet.vn/vi/tim-viec-lam/chuyen-vien-it-infrastructure.35C69AB0.html","Xem chi tiết")</f>
        <v/>
      </c>
    </row>
    <row r="19172">
      <c r="B19172" s="9" t="n">
        <v>19170</v>
      </c>
      <c r="C19172" s="10" t="inlineStr">
        <is>
          <t>Giám đốc Tài chính - Kế toán</t>
        </is>
      </c>
      <c r="D19172" s="10" t="inlineStr">
        <is>
          <t>Công Ty TNHH XNK Phát Triển Đông Dương</t>
        </is>
      </c>
      <c r="E19172" s="10" t="inlineStr">
        <is>
          <t>Lương:Cạnh tranh</t>
        </is>
      </c>
      <c r="F19172" s="10" t="inlineStr">
        <is>
          <t>Hồ Chí Minh</t>
        </is>
      </c>
      <c r="G19172" s="10" t="inlineStr">
        <is>
          <t>27-03-2026</t>
        </is>
      </c>
      <c r="H19172" s="10" t="inlineStr">
        <is>
          <t>27/03/2026</t>
        </is>
      </c>
      <c r="I19172" s="10" t="inlineStr">
        <is>
          <t>17/03/2026</t>
        </is>
      </c>
      <c r="J19172" s="10" t="inlineStr">
        <is>
          <t>Bán lẻ / Bán sỉ, Kế toán / Kiểm toán, Sản xuất / Vận hành sản xuất</t>
        </is>
      </c>
      <c r="K19172" s="10" t="inlineStr">
        <is>
          <t>7 - 10 Năm</t>
        </is>
      </c>
      <c r="L19172" s="11">
        <f>HYPERLINK("https://careerviet.vn/vi/tim-viec-lam/giam-doc-tai-chinh-ke-toan.35C69A2D.html","Xem chi tiết")</f>
        <v/>
      </c>
      <c r="M19172" s="10" t="n"/>
    </row>
    <row r="19173">
      <c r="B19173" s="7" t="n">
        <v>19171</v>
      </c>
      <c r="C19173" t="inlineStr">
        <is>
          <t>Nhân viên lễ tân văn phòng</t>
        </is>
      </c>
      <c r="D19173" t="inlineStr">
        <is>
          <t>Công ty TNHH ADC</t>
        </is>
      </c>
      <c r="E19173" t="inlineStr">
        <is>
          <t>Lương:8 Tr - 10 Tr VND</t>
        </is>
      </c>
      <c r="F19173" t="inlineStr">
        <is>
          <t>Hồ Chí Minh</t>
        </is>
      </c>
      <c r="G19173" t="inlineStr">
        <is>
          <t>28-03-2026</t>
        </is>
      </c>
      <c r="H19173" t="inlineStr">
        <is>
          <t>28/03/2026</t>
        </is>
      </c>
      <c r="I19173" t="inlineStr">
        <is>
          <t>17/03/2026</t>
        </is>
      </c>
      <c r="J19173" t="inlineStr">
        <is>
          <t>Hành chính / Thư ký, Nhân sự, Nhà hàng / Khách sạn</t>
        </is>
      </c>
      <c r="K19173" t="inlineStr">
        <is>
          <t>1 - 2 Năm</t>
        </is>
      </c>
      <c r="L19173" s="8">
        <f>HYPERLINK("https://careerviet.vn/vi/tim-viec-lam/nhan-vien-le-tan-van-phong.35C69A8A.html","Xem chi tiết")</f>
        <v/>
      </c>
    </row>
    <row r="19174">
      <c r="B19174" s="9" t="n">
        <v>19172</v>
      </c>
      <c r="C19174" s="10" t="inlineStr">
        <is>
          <t>Sales Phân Phối (Ngành hàng Âm Thanh/Điện Tử)</t>
        </is>
      </c>
      <c r="D19174" s="10" t="inlineStr">
        <is>
          <t>Công Ty TNHH Phúc Giang</t>
        </is>
      </c>
      <c r="E19174" s="10" t="inlineStr">
        <is>
          <t>Lương:13 Tr - 15 Tr VND</t>
        </is>
      </c>
      <c r="F19174" s="10" t="inlineStr">
        <is>
          <t>Hồ Chí Minh</t>
        </is>
      </c>
      <c r="G19174" s="10" t="inlineStr">
        <is>
          <t>31-03-2026</t>
        </is>
      </c>
      <c r="H19174" s="10" t="inlineStr">
        <is>
          <t>31/03/2026</t>
        </is>
      </c>
      <c r="I19174" s="10" t="inlineStr">
        <is>
          <t>17/03/2026</t>
        </is>
      </c>
      <c r="J19174" s="10" t="inlineStr">
        <is>
          <t>Bán lẻ / Bán sỉ, Bán hàng / Kinh doanh</t>
        </is>
      </c>
      <c r="K19174" s="10" t="inlineStr">
        <is>
          <t>2 - 4 Năm</t>
        </is>
      </c>
      <c r="L19174" s="11">
        <f>HYPERLINK("https://careerviet.vn/vi/tim-viec-lam/sales-phan-phoi-nganh-hang-am-thanh-dien-tu.35C6375C.html","Xem chi tiết")</f>
        <v/>
      </c>
      <c r="M19174" s="10" t="n"/>
    </row>
    <row r="19175">
      <c r="B19175" s="7" t="n">
        <v>19173</v>
      </c>
      <c r="C19175" t="inlineStr">
        <is>
          <t>Senior EHS Engineer</t>
        </is>
      </c>
      <c r="D19175" t="inlineStr">
        <is>
          <t>Jabil Vietnam</t>
        </is>
      </c>
      <c r="E19175" t="inlineStr">
        <is>
          <t>Lương:Cạnh tranh</t>
        </is>
      </c>
      <c r="F19175" t="inlineStr">
        <is>
          <t>Hồ Chí Minh</t>
        </is>
      </c>
      <c r="G19175" t="inlineStr">
        <is>
          <t>27-04-2026</t>
        </is>
      </c>
      <c r="H19175" t="inlineStr">
        <is>
          <t>27/04/2026</t>
        </is>
      </c>
      <c r="I19175" t="inlineStr">
        <is>
          <t>17/03/2026</t>
        </is>
      </c>
      <c r="J19175" t="inlineStr">
        <is>
          <t>Môi trường, An toàn lao động</t>
        </is>
      </c>
      <c r="K19175" t="inlineStr">
        <is>
          <t>4 - 8 Năm</t>
        </is>
      </c>
      <c r="L19175" s="8">
        <f>HYPERLINK("https://careerviet.vn/vi/tim-viec-lam/senior-ehs-engineer.35C69A00.html","Xem chi tiết")</f>
        <v/>
      </c>
    </row>
    <row r="19176">
      <c r="B19176" s="9" t="n">
        <v>19174</v>
      </c>
      <c r="C19176" s="10" t="inlineStr">
        <is>
          <t>Nhân Viên Chứng Từ Xuất Nhập Khẩu</t>
        </is>
      </c>
      <c r="D19176" s="10" t="inlineStr">
        <is>
          <t>Vantage Logistics Corporation</t>
        </is>
      </c>
      <c r="E19176" s="10" t="inlineStr">
        <is>
          <t>Lương:Cạnh tranh</t>
        </is>
      </c>
      <c r="F19176" s="10" t="inlineStr">
        <is>
          <t>Bình Định</t>
        </is>
      </c>
      <c r="G19176" s="10" t="inlineStr">
        <is>
          <t>26-03-2026</t>
        </is>
      </c>
      <c r="H19176" s="10" t="inlineStr">
        <is>
          <t>26/03/2026</t>
        </is>
      </c>
      <c r="I19176" s="10" t="inlineStr">
        <is>
          <t>17/03/2026</t>
        </is>
      </c>
      <c r="J19176" s="10" t="inlineStr">
        <is>
          <t>Vận chuyển / Giao nhận / Kho vận, Xuất nhập khẩu</t>
        </is>
      </c>
      <c r="K19176" s="10" t="inlineStr">
        <is>
          <t>1 - 2 Năm</t>
        </is>
      </c>
      <c r="L19176" s="11">
        <f>HYPERLINK("https://careerviet.vn/vi/tim-viec-lam/nhan-vien-chung-tu-xuat-nhap-khau.35C69AF6.html","Xem chi tiết")</f>
        <v/>
      </c>
      <c r="M19176" s="10" t="n"/>
    </row>
    <row r="19177">
      <c r="B19177" s="7" t="n">
        <v>19175</v>
      </c>
      <c r="C19177" t="inlineStr">
        <is>
          <t>Nhân viên mua hàng dự án</t>
        </is>
      </c>
      <c r="D19177" t="inlineStr">
        <is>
          <t>Cty CP Kỹ Nghệ Thực Phẩm Việt Nam - VIFON</t>
        </is>
      </c>
      <c r="E19177" t="inlineStr">
        <is>
          <t>Lương:Cạnh tranh</t>
        </is>
      </c>
      <c r="F19177" t="inlineStr">
        <is>
          <t>Hồ Chí Minh</t>
        </is>
      </c>
      <c r="G19177" t="inlineStr">
        <is>
          <t>31-03-2026</t>
        </is>
      </c>
      <c r="H19177" t="inlineStr">
        <is>
          <t>31/03/2026</t>
        </is>
      </c>
      <c r="I19177" t="inlineStr">
        <is>
          <t>17/03/2026</t>
        </is>
      </c>
      <c r="J19177" t="inlineStr">
        <is>
          <t>Sản xuất / Vận hành sản xuất, Thu mua / Vật tư, Bán lẻ / Bán sỉ</t>
        </is>
      </c>
      <c r="K19177" t="inlineStr">
        <is>
          <t>1 - 2 Năm</t>
        </is>
      </c>
      <c r="L19177" s="8">
        <f>HYPERLINK("https://careerviet.vn/vi/tim-viec-lam/nhan-vien-mua-hang-du-an.35C69917.html","Xem chi tiết")</f>
        <v/>
      </c>
    </row>
    <row r="19178">
      <c r="B19178" s="9" t="n">
        <v>19176</v>
      </c>
      <c r="C19178" s="10" t="inlineStr">
        <is>
          <t>ĐIỀU PHỐI VẬN CHUYỂN &amp; QUẢN LÝ HÀNG HOÁ</t>
        </is>
      </c>
      <c r="D19178" s="10" t="inlineStr">
        <is>
          <t>CÔNG TY CỔ PHẦN HÙNG CƯỜNG PHARMA</t>
        </is>
      </c>
      <c r="E19178" s="10" t="inlineStr">
        <is>
          <t>Lương:Cạnh tranh</t>
        </is>
      </c>
      <c r="F19178" s="10" t="inlineStr">
        <is>
          <t>Hồ Chí Minh</t>
        </is>
      </c>
      <c r="G19178" s="10" t="inlineStr">
        <is>
          <t>26-03-2026</t>
        </is>
      </c>
      <c r="H19178" s="10" t="inlineStr">
        <is>
          <t>26/03/2026</t>
        </is>
      </c>
      <c r="I19178" s="10" t="inlineStr">
        <is>
          <t>17/03/2026</t>
        </is>
      </c>
      <c r="J19178" s="10" t="inlineStr">
        <is>
          <t>Vận chuyển / Giao nhận / Kho vận, Quản lý điều hành, Ngành khác</t>
        </is>
      </c>
      <c r="K19178" s="10" t="inlineStr">
        <is>
          <t>2 - 4 Năm</t>
        </is>
      </c>
      <c r="L19178" s="11">
        <f>HYPERLINK("https://careerviet.vn/vi/tim-viec-lam/dieu-phoi-van-chuyen-quan-ly-hang-hoa.35C6999F.html","Xem chi tiết")</f>
        <v/>
      </c>
      <c r="M19178" s="10" t="n"/>
    </row>
    <row r="19179">
      <c r="B19179" s="7" t="n">
        <v>19177</v>
      </c>
      <c r="C19179" t="inlineStr">
        <is>
          <t>Technical Leader/ Trưởng Phòng Lập Trình</t>
        </is>
      </c>
      <c r="D19179" t="inlineStr">
        <is>
          <t>CÔNG TY CỔ PHẦN CHỨNG KHOÁN ASEAN</t>
        </is>
      </c>
      <c r="E19179" t="inlineStr">
        <is>
          <t>Lương:Cạnh tranh</t>
        </is>
      </c>
      <c r="F19179" t="inlineStr">
        <is>
          <t>Hà Nội</t>
        </is>
      </c>
      <c r="G19179" t="inlineStr">
        <is>
          <t>27-03-2026</t>
        </is>
      </c>
      <c r="H19179" t="inlineStr">
        <is>
          <t>27/03/2026</t>
        </is>
      </c>
      <c r="I19179" t="inlineStr">
        <is>
          <t>17/03/2026</t>
        </is>
      </c>
      <c r="J19179" t="inlineStr">
        <is>
          <t>Chứng khoán, Tài chính / Đầu tư, CNTT - Phần mềm</t>
        </is>
      </c>
      <c r="K19179" t="inlineStr">
        <is>
          <t>Trên 4 Năm</t>
        </is>
      </c>
      <c r="L19179" s="8">
        <f>HYPERLINK("https://careerviet.vn/vi/tim-viec-lam/technical-leader-truong-phong-lap-trinh.35C66930.html","Xem chi tiết")</f>
        <v/>
      </c>
    </row>
    <row r="19180">
      <c r="B19180" s="9" t="n">
        <v>19178</v>
      </c>
      <c r="C19180" s="10" t="inlineStr">
        <is>
          <t>HCM - Chuyên Viên Kinh Doanh B2B</t>
        </is>
      </c>
      <c r="D19180" s="10" t="inlineStr">
        <is>
          <t>Công ty CP IIG Việt Nam</t>
        </is>
      </c>
      <c r="E19180" s="10" t="inlineStr">
        <is>
          <t>Lương:10 Tr - 15 Tr VND</t>
        </is>
      </c>
      <c r="F19180" s="10" t="inlineStr">
        <is>
          <t>Hồ Chí Minh</t>
        </is>
      </c>
      <c r="G19180" s="10" t="inlineStr">
        <is>
          <t>27-03-2026</t>
        </is>
      </c>
      <c r="H19180" s="10" t="inlineStr">
        <is>
          <t>27/03/2026</t>
        </is>
      </c>
      <c r="I19180" s="10" t="inlineStr">
        <is>
          <t>17/03/2026</t>
        </is>
      </c>
      <c r="J19180" s="10" t="inlineStr">
        <is>
          <t>Bán hàng / Kinh doanh, Dịch vụ khách hàng, Giáo dục / Đào tạo</t>
        </is>
      </c>
      <c r="K19180" s="10" t="inlineStr">
        <is>
          <t>Lên đến 3 Năm</t>
        </is>
      </c>
      <c r="L19180" s="11">
        <f>HYPERLINK("https://careerviet.vn/vi/tim-viec-lam/hcm-chuyen-vien-kinh-doanh-b2b.35C669CA.html","Xem chi tiết")</f>
        <v/>
      </c>
      <c r="M19180" s="10" t="n"/>
    </row>
    <row r="19181">
      <c r="B19181" s="7" t="n">
        <v>19179</v>
      </c>
      <c r="C19181" t="inlineStr">
        <is>
          <t>Financial Planning Staff (Fresh Graduate)</t>
        </is>
      </c>
      <c r="D19181" t="inlineStr">
        <is>
          <t>Daikin Air Conditioning (Vietnam) Joint Stock Company</t>
        </is>
      </c>
      <c r="E19181" t="inlineStr">
        <is>
          <t>Lương:Cạnh tranh</t>
        </is>
      </c>
      <c r="F19181" t="inlineStr">
        <is>
          <t>Hồ Chí Minh</t>
        </is>
      </c>
      <c r="G19181" t="inlineStr">
        <is>
          <t>28-03-2026</t>
        </is>
      </c>
      <c r="H19181" t="inlineStr">
        <is>
          <t>28/03/2026</t>
        </is>
      </c>
      <c r="I19181" t="inlineStr">
        <is>
          <t>17/03/2026</t>
        </is>
      </c>
      <c r="J19181" t="inlineStr">
        <is>
          <t>Kế toán / Kiểm toán, Tài chính / Đầu tư</t>
        </is>
      </c>
      <c r="K19181" t="inlineStr">
        <is>
          <t>N/A</t>
        </is>
      </c>
      <c r="L19181" s="8">
        <f>HYPERLINK("https://careerviet.vn/vi/tim-viec-lam/financial-planning-staff-fresh-graduate.35C698D1.html","Xem chi tiết")</f>
        <v/>
      </c>
    </row>
    <row r="19182">
      <c r="B19182" s="9" t="n">
        <v>19180</v>
      </c>
      <c r="C19182" s="10" t="inlineStr">
        <is>
          <t>Graphic Designer</t>
        </is>
      </c>
      <c r="D19182" s="10" t="inlineStr">
        <is>
          <t>Công Ty TNHH Hoa Viên Bình An</t>
        </is>
      </c>
      <c r="E19182" s="10" t="inlineStr">
        <is>
          <t>Lương:Cạnh tranh</t>
        </is>
      </c>
      <c r="F19182" s="10" t="inlineStr">
        <is>
          <t>Hồ Chí Minh</t>
        </is>
      </c>
      <c r="G19182" s="10" t="inlineStr">
        <is>
          <t>31-03-2026</t>
        </is>
      </c>
      <c r="H19182" s="10" t="inlineStr">
        <is>
          <t>31/03/2026</t>
        </is>
      </c>
      <c r="I19182" s="10" t="inlineStr">
        <is>
          <t>17/03/2026</t>
        </is>
      </c>
      <c r="J19182" s="10" t="inlineStr">
        <is>
          <t>Mỹ thuật / Nghệ thuật / Thiết kế, Tiếp thị / Marketing</t>
        </is>
      </c>
      <c r="K19182" s="10" t="inlineStr">
        <is>
          <t>1 - 3 Năm</t>
        </is>
      </c>
      <c r="L19182" s="11">
        <f>HYPERLINK("https://careerviet.vn/vi/tim-viec-lam/graphic-designer.35C698DE.html","Xem chi tiết")</f>
        <v/>
      </c>
      <c r="M19182" s="10" t="n"/>
    </row>
    <row r="19183">
      <c r="B19183" s="7" t="n">
        <v>19181</v>
      </c>
      <c r="C19183" t="inlineStr">
        <is>
          <t>Nhân viên Hành chính &amp; Nhân sự</t>
        </is>
      </c>
      <c r="D19183" t="inlineStr">
        <is>
          <t>Công ty Cổ phần Transimex Logisitcs</t>
        </is>
      </c>
      <c r="E19183" t="inlineStr">
        <is>
          <t>Lương:11 Tr - 14 Tr VND</t>
        </is>
      </c>
      <c r="F19183" t="inlineStr">
        <is>
          <t>Hồ Chí Minh</t>
        </is>
      </c>
      <c r="G19183" t="inlineStr">
        <is>
          <t>26-03-2026</t>
        </is>
      </c>
      <c r="H19183" t="inlineStr">
        <is>
          <t>26/03/2026</t>
        </is>
      </c>
      <c r="I19183" t="inlineStr">
        <is>
          <t>17/03/2026</t>
        </is>
      </c>
      <c r="J19183" t="inlineStr">
        <is>
          <t>Vận chuyển / Giao nhận / Kho vận, Hành chính / Thư ký, Nhân sự</t>
        </is>
      </c>
      <c r="K19183" t="inlineStr">
        <is>
          <t>1 - 5 Năm</t>
        </is>
      </c>
      <c r="L19183" s="8">
        <f>HYPERLINK("https://careerviet.vn/vi/tim-viec-lam/nhan-vien-hanh-chinh-nhan-su.35C698CE.html","Xem chi tiết")</f>
        <v/>
      </c>
    </row>
    <row r="19184">
      <c r="B19184" s="9" t="n">
        <v>19182</v>
      </c>
      <c r="C19184" s="10" t="inlineStr">
        <is>
          <t>Nhân Viên Kinh Doanh/Sales Logistics (Forwarder) _Kinh Nghiệm Từ 1 Năm</t>
        </is>
      </c>
      <c r="D19184" s="10" t="inlineStr">
        <is>
          <t>SEAHORSE SHIPPING CORPORATION</t>
        </is>
      </c>
      <c r="E19184" s="10" t="inlineStr">
        <is>
          <t>Lương:Cạnh tranh</t>
        </is>
      </c>
      <c r="F19184" s="10" t="inlineStr">
        <is>
          <t>Hồ Chí Minh</t>
        </is>
      </c>
      <c r="G19184" s="10" t="inlineStr">
        <is>
          <t>27-03-2026</t>
        </is>
      </c>
      <c r="H19184" s="10" t="inlineStr">
        <is>
          <t>27/03/2026</t>
        </is>
      </c>
      <c r="I19184" s="10" t="inlineStr">
        <is>
          <t>17/03/2026</t>
        </is>
      </c>
      <c r="J19184" s="10" t="inlineStr">
        <is>
          <t>Bán hàng / Kinh doanh, Hàng hải, Xuất nhập khẩu</t>
        </is>
      </c>
      <c r="K19184" s="10" t="inlineStr">
        <is>
          <t>N/A</t>
        </is>
      </c>
      <c r="L19184" s="11">
        <f>HYPERLINK("https://careerviet.vn/vi/tim-viec-lam/nhan-vien-kinh-doanh-sales-logistics-forwarder-_kinh-nghiem-tu-1-nam.35C66938.html","Xem chi tiết")</f>
        <v/>
      </c>
      <c r="M19184" s="10" t="n"/>
    </row>
    <row r="19185">
      <c r="B19185" s="7" t="n">
        <v>19183</v>
      </c>
      <c r="C19185" t="inlineStr">
        <is>
          <t>Giám Sát Bán Hàng kênh GT (Ứng Hoà, Mỹ Đức, Thanh Oai)</t>
        </is>
      </c>
      <c r="D19185" t="inlineStr">
        <is>
          <t>CÔNG TY CỔ PHẦN MORINAGA NUTRITIONAL FOODS VIỆT NAM</t>
        </is>
      </c>
      <c r="E19185" t="inlineStr">
        <is>
          <t>Lương:12 Tr - 22 Tr VND</t>
        </is>
      </c>
      <c r="F19185" t="inlineStr">
        <is>
          <t>Hà Nội</t>
        </is>
      </c>
      <c r="G19185" t="inlineStr">
        <is>
          <t>27-03-2026</t>
        </is>
      </c>
      <c r="H19185" t="inlineStr">
        <is>
          <t>27/03/2026</t>
        </is>
      </c>
      <c r="I19185" t="inlineStr">
        <is>
          <t>17/03/2026</t>
        </is>
      </c>
      <c r="J19185" t="inlineStr">
        <is>
          <t>Bán lẻ / Bán sỉ, Bán hàng / Kinh doanh, Quản lý điều hành</t>
        </is>
      </c>
      <c r="K19185" t="inlineStr">
        <is>
          <t>2 - 5 Năm</t>
        </is>
      </c>
      <c r="L19185" s="8">
        <f>HYPERLINK("https://careerviet.vn/vi/tim-viec-lam/giam-sat-ban-hang-kenh-gt-ung-hoa-my-duc-thanh-oai.35C669C0.html","Xem chi tiết")</f>
        <v/>
      </c>
    </row>
    <row r="19186">
      <c r="B19186" s="9" t="n">
        <v>19184</v>
      </c>
      <c r="C19186" s="10" t="inlineStr">
        <is>
          <t>IT Helpdesk</t>
        </is>
      </c>
      <c r="D19186" s="10" t="inlineStr">
        <is>
          <t>CÔNG TY CỔ PHẦN MIDOMAX VIỆT NAM</t>
        </is>
      </c>
      <c r="E19186" s="10" t="inlineStr">
        <is>
          <t>Lương:13 Tr - 15 Tr VND</t>
        </is>
      </c>
      <c r="F19186" s="10" t="inlineStr">
        <is>
          <t>Hồ Chí Minh</t>
        </is>
      </c>
      <c r="G19186" s="10" t="inlineStr">
        <is>
          <t>31-03-2026</t>
        </is>
      </c>
      <c r="H19186" s="10" t="inlineStr">
        <is>
          <t>31/03/2026</t>
        </is>
      </c>
      <c r="I19186" s="10" t="inlineStr">
        <is>
          <t>17/03/2026</t>
        </is>
      </c>
      <c r="J19186" s="10" t="inlineStr">
        <is>
          <t>CNTT - Phần cứng / Mạng, Bán lẻ / Bán sỉ, Thương mại điện tử</t>
        </is>
      </c>
      <c r="K19186" s="10" t="inlineStr">
        <is>
          <t>1 - 3 Năm</t>
        </is>
      </c>
      <c r="L19186" s="11">
        <f>HYPERLINK("https://careerviet.vn/vi/tim-viec-lam/it-helpdesk.35C69A94.html","Xem chi tiết")</f>
        <v/>
      </c>
      <c r="M19186" s="10" t="n"/>
    </row>
    <row r="19187">
      <c r="B19187" s="7" t="n">
        <v>19185</v>
      </c>
      <c r="C19187" t="inlineStr">
        <is>
          <t>Chuyên Viên Quy Trình Tuân Thủ (ISO)</t>
        </is>
      </c>
      <c r="D19187" t="inlineStr">
        <is>
          <t>Công Ty Cổ Phần TEECOM</t>
        </is>
      </c>
      <c r="E19187" t="inlineStr">
        <is>
          <t>Lương:Cạnh tranh</t>
        </is>
      </c>
      <c r="F19187" t="inlineStr">
        <is>
          <t>Hồ Chí Minh</t>
        </is>
      </c>
      <c r="G19187" t="inlineStr">
        <is>
          <t>27-03-2026</t>
        </is>
      </c>
      <c r="H19187" t="inlineStr">
        <is>
          <t>27/03/2026</t>
        </is>
      </c>
      <c r="I19187" t="inlineStr">
        <is>
          <t>17/03/2026</t>
        </is>
      </c>
      <c r="J19187" t="inlineStr">
        <is>
          <t>Tiếp thị / Marketing, Tiếp thị trực tuyến, Thương mại điện tử</t>
        </is>
      </c>
      <c r="K19187" t="inlineStr">
        <is>
          <t>3 - 5 Năm</t>
        </is>
      </c>
      <c r="L19187" s="8">
        <f>HYPERLINK("https://careerviet.vn/vi/tim-viec-lam/chuyen-vien-quy-trinh-tuan-thu-iso.35C66A3A.html","Xem chi tiết")</f>
        <v/>
      </c>
    </row>
    <row r="19188">
      <c r="B19188" s="9" t="n">
        <v>19186</v>
      </c>
      <c r="C19188" s="10" t="inlineStr">
        <is>
          <t>QA Chief (English &amp; Japanese)</t>
        </is>
      </c>
      <c r="D19188" s="10" t="inlineStr">
        <is>
          <t>Headhunter HRchannels Group</t>
        </is>
      </c>
      <c r="E19188" s="10" t="inlineStr">
        <is>
          <t>Lương:35 Tr - 45 Tr VND</t>
        </is>
      </c>
      <c r="F19188" s="10" t="inlineStr">
        <is>
          <t>Hồ Chí MinhBình DươngĐồng Nai</t>
        </is>
      </c>
      <c r="G19188" s="10" t="inlineStr">
        <is>
          <t>27-03-2026</t>
        </is>
      </c>
      <c r="H19188" s="10" t="inlineStr">
        <is>
          <t>27/03/2026</t>
        </is>
      </c>
      <c r="I19188" s="10" t="inlineStr">
        <is>
          <t>17/03/2026</t>
        </is>
      </c>
      <c r="J19188" s="10" t="inlineStr">
        <is>
          <t>Quản lý chất lượng (QA/QC), Sản xuất / Vận hành sản xuất, Cơ khí / Ô tô / Tự động hóa</t>
        </is>
      </c>
      <c r="K19188" s="10" t="inlineStr">
        <is>
          <t>3 - 5 Năm</t>
        </is>
      </c>
      <c r="L19188" s="11">
        <f>HYPERLINK("https://careerviet.vn/vi/tim-viec-lam/qa-chief-english-japanese.35C66A49.html","Xem chi tiết")</f>
        <v/>
      </c>
      <c r="M19188" s="10" t="n"/>
    </row>
    <row r="19189">
      <c r="B19189" s="7" t="n">
        <v>19187</v>
      </c>
      <c r="C19189" t="inlineStr">
        <is>
          <t>CVCC Kế hoạch và Quản trị hiệu quả - Hà Nội - TA161</t>
        </is>
      </c>
      <c r="D19189" t="inlineStr">
        <is>
          <t>Ngân Hàng TMCP Việt Nam Thịnh Vượng - VPBANK</t>
        </is>
      </c>
      <c r="E19189" t="inlineStr">
        <is>
          <t>Lương:Cạnh tranh</t>
        </is>
      </c>
      <c r="F19189" t="inlineStr">
        <is>
          <t>Hà Nội</t>
        </is>
      </c>
      <c r="G19189" t="inlineStr">
        <is>
          <t>27-03-2026</t>
        </is>
      </c>
      <c r="H19189" t="inlineStr">
        <is>
          <t>27/03/2026</t>
        </is>
      </c>
      <c r="I19189" t="inlineStr">
        <is>
          <t>17/03/2026</t>
        </is>
      </c>
      <c r="J19189" t="inlineStr">
        <is>
          <t>Ngân hàng, Bảo hiểm</t>
        </is>
      </c>
      <c r="K19189" t="inlineStr">
        <is>
          <t>2 - 3 Năm</t>
        </is>
      </c>
      <c r="L19189" s="8">
        <f>HYPERLINK("https://careerviet.vn/vi/tim-viec-lam/cvcc-ke-hoach-va-quan-tri-hieu-qua-ha-noi-ta161.35C660DE.html","Xem chi tiết")</f>
        <v/>
      </c>
    </row>
    <row r="19190">
      <c r="B19190" s="9" t="n">
        <v>19188</v>
      </c>
      <c r="C19190" s="10" t="inlineStr">
        <is>
          <t>Kế toán trưởng</t>
        </is>
      </c>
      <c r="D19190" s="10" t="inlineStr">
        <is>
          <t>CÔNG TY TNHH NÔNG SẢN QUỐC TẾ ĐỨC VINH</t>
        </is>
      </c>
      <c r="E19190" s="10" t="inlineStr">
        <is>
          <t>Lương:Cạnh tranh</t>
        </is>
      </c>
      <c r="F19190" s="10" t="inlineStr">
        <is>
          <t>Long An</t>
        </is>
      </c>
      <c r="G19190" s="10" t="inlineStr">
        <is>
          <t>27-03-2026</t>
        </is>
      </c>
      <c r="H19190" s="10" t="inlineStr">
        <is>
          <t>27/03/2026</t>
        </is>
      </c>
      <c r="I19190" s="10" t="inlineStr">
        <is>
          <t>17/03/2026</t>
        </is>
      </c>
      <c r="J19190" s="10" t="inlineStr">
        <is>
          <t>Kế toán / Kiểm toán</t>
        </is>
      </c>
      <c r="K19190" s="10" t="inlineStr">
        <is>
          <t>5 - 8 Năm</t>
        </is>
      </c>
      <c r="L19190" s="11">
        <f>HYPERLINK("https://careerviet.vn/vi/tim-viec-lam/ke-toan-truong.35C668D8.html","Xem chi tiết")</f>
        <v/>
      </c>
      <c r="M19190" s="10" t="n"/>
    </row>
    <row r="19191">
      <c r="B19191" s="7" t="n">
        <v>19189</v>
      </c>
      <c r="C19191" t="inlineStr">
        <is>
          <t>AI Engineer</t>
        </is>
      </c>
      <c r="D19191" t="inlineStr">
        <is>
          <t>Công ty Cổ phần CANIFA</t>
        </is>
      </c>
      <c r="E19191" t="inlineStr">
        <is>
          <t>Lương:16 Tr - 35 Tr VND</t>
        </is>
      </c>
      <c r="F19191" t="inlineStr">
        <is>
          <t>Hà Nội</t>
        </is>
      </c>
      <c r="G19191" t="inlineStr">
        <is>
          <t>27-03-2026</t>
        </is>
      </c>
      <c r="H19191" t="inlineStr">
        <is>
          <t>27/03/2026</t>
        </is>
      </c>
      <c r="I19191" t="inlineStr">
        <is>
          <t>17/03/2026</t>
        </is>
      </c>
      <c r="J19191" t="inlineStr">
        <is>
          <t>CNTT - Phần mềm</t>
        </is>
      </c>
      <c r="K19191" t="inlineStr">
        <is>
          <t>1 - 3 Năm</t>
        </is>
      </c>
      <c r="L19191" s="8">
        <f>HYPERLINK("https://careerviet.vn/vi/tim-viec-lam/ai-engineer.35C66909.html","Xem chi tiết")</f>
        <v/>
      </c>
    </row>
    <row r="19192">
      <c r="B19192" s="9" t="n">
        <v>19190</v>
      </c>
      <c r="C19192" s="10" t="inlineStr">
        <is>
          <t>Giám đốc Chi nhánh - [BAC A BANK - Chi nhánh Đồng Tháp]</t>
        </is>
      </c>
      <c r="D19192" s="10" t="inlineStr">
        <is>
          <t>Ngân Hàng Thương mại cổ phần Bắc Á- BAC A BANK</t>
        </is>
      </c>
      <c r="E19192" s="10" t="inlineStr">
        <is>
          <t>Lương:Cạnh tranh</t>
        </is>
      </c>
      <c r="F19192" s="10" t="inlineStr">
        <is>
          <t>Đồng Tháp</t>
        </is>
      </c>
      <c r="G19192" s="10" t="inlineStr">
        <is>
          <t>27-03-2026</t>
        </is>
      </c>
      <c r="H19192" s="10" t="inlineStr">
        <is>
          <t>27/03/2026</t>
        </is>
      </c>
      <c r="I19192" s="10" t="inlineStr">
        <is>
          <t>17/03/2026</t>
        </is>
      </c>
      <c r="J19192" s="10" t="inlineStr">
        <is>
          <t>Ngân hàng, Quản lý điều hành</t>
        </is>
      </c>
      <c r="K19192" s="10" t="inlineStr">
        <is>
          <t>6 - 8 Năm</t>
        </is>
      </c>
      <c r="L19192" s="11">
        <f>HYPERLINK("https://careerviet.vn/vi/tim-viec-lam/giam-doc-chi-nhanh-bac-a-bank-chi-nhanh-dong-thap.35C669E8.html","Xem chi tiết")</f>
        <v/>
      </c>
      <c r="M19192" s="10" t="n"/>
    </row>
    <row r="19193">
      <c r="B19193" s="7" t="n">
        <v>19191</v>
      </c>
      <c r="C19193" t="inlineStr">
        <is>
          <t>Senior Officer, Claims Handling (Techcom Life)</t>
        </is>
      </c>
      <c r="D19193" t="inlineStr">
        <is>
          <t>NGÂN HÀNG TMCP KỸ THƯƠNG VIỆT NAM (TECHCOMBANK)</t>
        </is>
      </c>
      <c r="E19193" t="inlineStr">
        <is>
          <t>Lương:Cạnh tranh</t>
        </is>
      </c>
      <c r="F19193" t="inlineStr">
        <is>
          <t>Hà Nội</t>
        </is>
      </c>
      <c r="G19193" t="inlineStr">
        <is>
          <t>27-03-2026</t>
        </is>
      </c>
      <c r="H19193" t="inlineStr">
        <is>
          <t>27/03/2026</t>
        </is>
      </c>
      <c r="I19193" t="inlineStr">
        <is>
          <t>17/03/2026</t>
        </is>
      </c>
      <c r="J19193" t="inlineStr">
        <is>
          <t>Ngân hàng, Bảo hiểm, Tài chính / Đầu tư</t>
        </is>
      </c>
      <c r="K19193" t="inlineStr">
        <is>
          <t>Trên 5 Năm</t>
        </is>
      </c>
      <c r="L19193" s="8">
        <f>HYPERLINK("https://careerviet.vn/vi/tim-viec-lam/senior-officer-claims-handling-techcom-life.35C66A3D.html","Xem chi tiết")</f>
        <v/>
      </c>
    </row>
    <row r="19194">
      <c r="B19194" s="9" t="n">
        <v>19192</v>
      </c>
      <c r="C19194" s="10" t="inlineStr">
        <is>
          <t>CVCC Tuân thủ mảng Bảo hiểm - Hà Nội - TA161</t>
        </is>
      </c>
      <c r="D19194" s="10" t="inlineStr">
        <is>
          <t>Ngân Hàng TMCP Việt Nam Thịnh Vượng - VPBANK</t>
        </is>
      </c>
      <c r="E19194" s="10" t="inlineStr">
        <is>
          <t>Lương:20 Tr - 40 Tr VND</t>
        </is>
      </c>
      <c r="F19194" s="10" t="inlineStr">
        <is>
          <t>Hà Nội</t>
        </is>
      </c>
      <c r="G19194" s="10" t="inlineStr">
        <is>
          <t>27-03-2026</t>
        </is>
      </c>
      <c r="H19194" s="10" t="inlineStr">
        <is>
          <t>27/03/2026</t>
        </is>
      </c>
      <c r="I19194" s="10" t="inlineStr">
        <is>
          <t>17/03/2026</t>
        </is>
      </c>
      <c r="J19194" s="10" t="inlineStr">
        <is>
          <t>Ngân hàng, Bảo hiểm</t>
        </is>
      </c>
      <c r="K19194" s="10" t="inlineStr">
        <is>
          <t>2 - 3 Năm</t>
        </is>
      </c>
      <c r="L19194" s="11">
        <f>HYPERLINK("https://careerviet.vn/vi/tim-viec-lam/cvcc-tuan-thu-mang-bao-hiem-ha-noi-ta161.35C660DD.html","Xem chi tiết")</f>
        <v/>
      </c>
      <c r="M19194" s="10" t="n"/>
    </row>
    <row r="19195">
      <c r="B19195" s="7" t="n">
        <v>19193</v>
      </c>
      <c r="C19195" t="inlineStr">
        <is>
          <t>Chuyên viên Chính Content Marketing</t>
        </is>
      </c>
      <c r="D19195" t="inlineStr">
        <is>
          <t>CÔNG TY CỔ PHẦN CHỨNG KHOÁN ASEAN</t>
        </is>
      </c>
      <c r="E19195" t="inlineStr">
        <is>
          <t>Lương:Cạnh tranh</t>
        </is>
      </c>
      <c r="F19195" t="inlineStr">
        <is>
          <t>Hà Nội</t>
        </is>
      </c>
      <c r="G19195" t="inlineStr">
        <is>
          <t>27-03-2026</t>
        </is>
      </c>
      <c r="H19195" t="inlineStr">
        <is>
          <t>27/03/2026</t>
        </is>
      </c>
      <c r="I19195" t="inlineStr">
        <is>
          <t>17/03/2026</t>
        </is>
      </c>
      <c r="J19195" t="inlineStr">
        <is>
          <t>Tiếp thị / Marketing, Truyền hình / Báo chí / Biên tập, Quảng cáo / Đối ngoại / Truyền Thông</t>
        </is>
      </c>
      <c r="K19195" t="inlineStr">
        <is>
          <t>Trên 2 Năm</t>
        </is>
      </c>
      <c r="L19195" s="8">
        <f>HYPERLINK("https://careerviet.vn/vi/tim-viec-lam/chuyen-vien-chinh-content-marketing.35C66927.html","Xem chi tiết")</f>
        <v/>
      </c>
    </row>
    <row r="19196">
      <c r="B19196" s="9" t="n">
        <v>19194</v>
      </c>
      <c r="C19196" s="10" t="inlineStr">
        <is>
          <t>Nhân viên kế toán giá thành</t>
        </is>
      </c>
      <c r="D19196" s="10" t="inlineStr">
        <is>
          <t>CÔNG TY CỔ PHẦN SAIGON INDOCHINE CRUISE</t>
        </is>
      </c>
      <c r="E19196" s="10" t="inlineStr">
        <is>
          <t>Lương:Cạnh tranh</t>
        </is>
      </c>
      <c r="F19196" s="10" t="inlineStr">
        <is>
          <t>Hồ Chí Minh</t>
        </is>
      </c>
      <c r="G19196" s="10" t="inlineStr">
        <is>
          <t>27-03-2026</t>
        </is>
      </c>
      <c r="H19196" s="10" t="inlineStr">
        <is>
          <t>27/03/2026</t>
        </is>
      </c>
      <c r="I19196" s="10" t="inlineStr">
        <is>
          <t>17/03/2026</t>
        </is>
      </c>
      <c r="J19196" s="10" t="inlineStr">
        <is>
          <t>Kế toán / Kiểm toán, Nhà hàng / Khách sạn</t>
        </is>
      </c>
      <c r="K19196" s="10" t="inlineStr">
        <is>
          <t>1 - 3 Năm</t>
        </is>
      </c>
      <c r="L19196" s="11">
        <f>HYPERLINK("https://careerviet.vn/vi/tim-viec-lam/nhan-vien-ke-toan-gia-thanh.35C66880.html","Xem chi tiết")</f>
        <v/>
      </c>
      <c r="M19196" s="10" t="n"/>
    </row>
    <row r="19197">
      <c r="B19197" s="7" t="n">
        <v>19195</v>
      </c>
      <c r="C19197" t="inlineStr">
        <is>
          <t>NHÂN VIÊN TƯ VẤN BÁN HÀNG FULL TIME  - C2 EYEWEAR</t>
        </is>
      </c>
      <c r="D19197" t="inlineStr">
        <is>
          <t>Bảo mật</t>
        </is>
      </c>
      <c r="E19197" t="inlineStr">
        <is>
          <t>Lương:10 Tr - 15 Tr VND</t>
        </is>
      </c>
      <c r="F19197" t="inlineStr">
        <is>
          <t>Hà Nội</t>
        </is>
      </c>
      <c r="G19197" t="inlineStr">
        <is>
          <t>27-03-2026</t>
        </is>
      </c>
      <c r="H19197" t="inlineStr">
        <is>
          <t>27/03/2026</t>
        </is>
      </c>
      <c r="I19197" t="inlineStr">
        <is>
          <t>17/03/2026</t>
        </is>
      </c>
      <c r="J19197" t="inlineStr">
        <is>
          <t>Bán lẻ / Bán sỉ, Bán hàng / Kinh doanh, Dệt may / Da giày / Thời trang</t>
        </is>
      </c>
      <c r="K19197" t="inlineStr">
        <is>
          <t>N/A</t>
        </is>
      </c>
      <c r="L19197" s="8">
        <f>HYPERLINK("https://careerviet.vn/vi/tim-viec-lam/nhan-vien-tu-van-ban-hang-full-time-c2-eyewear.35C6689C.html","Xem chi tiết")</f>
        <v/>
      </c>
    </row>
    <row r="19198">
      <c r="B19198" s="9" t="n">
        <v>19196</v>
      </c>
      <c r="C19198" s="10" t="inlineStr">
        <is>
          <t>Nhân viên HSE</t>
        </is>
      </c>
      <c r="D19198" s="10" t="inlineStr">
        <is>
          <t>CÔNG TY TNHH NS MILLENNIUM VIỆT NAM</t>
        </is>
      </c>
      <c r="E19198" s="10" t="inlineStr">
        <is>
          <t>Lương:9 Tr - 15 Tr VND</t>
        </is>
      </c>
      <c r="F19198" s="10" t="inlineStr">
        <is>
          <t>Bình Dương</t>
        </is>
      </c>
      <c r="G19198" s="10" t="inlineStr">
        <is>
          <t>29-03-2026</t>
        </is>
      </c>
      <c r="H19198" s="10" t="inlineStr">
        <is>
          <t>29/03/2026</t>
        </is>
      </c>
      <c r="I19198" s="10" t="inlineStr">
        <is>
          <t>17/03/2026</t>
        </is>
      </c>
      <c r="J19198" s="10" t="inlineStr">
        <is>
          <t>Môi trường, An toàn lao động, Sản xuất / Vận hành sản xuất</t>
        </is>
      </c>
      <c r="K19198" s="10" t="inlineStr">
        <is>
          <t>1 - 3 Năm</t>
        </is>
      </c>
      <c r="L19198" s="11">
        <f>HYPERLINK("https://careerviet.vn/vi/tim-viec-lam/nhan-vien-hse.35C66C38.html","Xem chi tiết")</f>
        <v/>
      </c>
      <c r="M19198" s="10" t="n"/>
    </row>
    <row r="19199">
      <c r="B19199" s="7" t="n">
        <v>19197</v>
      </c>
      <c r="C19199" t="inlineStr">
        <is>
          <t>Trưởng Phòng Đấu Thầu</t>
        </is>
      </c>
      <c r="D19199" t="inlineStr">
        <is>
          <t>Công Ty Cổ Phần Kiến Trúc Tư Vấn Quản Lý Đông Dương</t>
        </is>
      </c>
      <c r="E19199" t="inlineStr">
        <is>
          <t>Lương:Cạnh tranh</t>
        </is>
      </c>
      <c r="F19199" t="inlineStr">
        <is>
          <t>Hồ Chí Minh</t>
        </is>
      </c>
      <c r="G19199" t="inlineStr">
        <is>
          <t>27-03-2026</t>
        </is>
      </c>
      <c r="H19199" t="inlineStr">
        <is>
          <t>27/03/2026</t>
        </is>
      </c>
      <c r="I19199" t="inlineStr">
        <is>
          <t>17/03/2026</t>
        </is>
      </c>
      <c r="J19199" t="inlineStr">
        <is>
          <t>Xây dựng, Bất động sản</t>
        </is>
      </c>
      <c r="K19199" t="inlineStr">
        <is>
          <t>10 - 20 Năm</t>
        </is>
      </c>
      <c r="L19199" s="8">
        <f>HYPERLINK("https://careerviet.vn/vi/tim-viec-lam/truong-phong-dau-thau.35C668EB.html","Xem chi tiết")</f>
        <v/>
      </c>
    </row>
    <row r="19200">
      <c r="B19200" s="9" t="n">
        <v>19198</v>
      </c>
      <c r="C19200" s="10" t="inlineStr">
        <is>
          <t>Nhân viên bán hàng tại showroom</t>
        </is>
      </c>
      <c r="D19200" s="10" t="inlineStr">
        <is>
          <t>Công ty TNHH iMotorbike World</t>
        </is>
      </c>
      <c r="E19200" s="10" t="inlineStr">
        <is>
          <t>Lương:Cạnh tranh</t>
        </is>
      </c>
      <c r="F19200" s="10" t="inlineStr">
        <is>
          <t>Hồ Chí MinhHà Nội</t>
        </is>
      </c>
      <c r="G19200" s="10" t="inlineStr">
        <is>
          <t>29-03-2026</t>
        </is>
      </c>
      <c r="H19200" s="10" t="inlineStr">
        <is>
          <t>29/03/2026</t>
        </is>
      </c>
      <c r="I19200" s="10" t="inlineStr">
        <is>
          <t>17/03/2026</t>
        </is>
      </c>
      <c r="J19200" s="10" t="inlineStr">
        <is>
          <t>Bán lẻ / Bán sỉ, Dịch vụ khách hàng</t>
        </is>
      </c>
      <c r="K19200" s="10" t="inlineStr">
        <is>
          <t>0 - 0 Năm</t>
        </is>
      </c>
      <c r="L19200" s="11">
        <f>HYPERLINK("https://careerviet.vn/vi/tim-viec-lam/nhan-vien-ban-hang-tai-showroom.35C666C4.html","Xem chi tiết")</f>
        <v/>
      </c>
      <c r="M19200" s="10" t="n"/>
    </row>
    <row r="19201">
      <c r="B19201" s="7" t="n">
        <v>19199</v>
      </c>
      <c r="C19201" t="inlineStr">
        <is>
          <t>C&amp;B Staff</t>
        </is>
      </c>
      <c r="D19201" t="inlineStr">
        <is>
          <t>Công ty TNHH, Liên Doanh Vĩnh Hưng (TMI Việt Nam)</t>
        </is>
      </c>
      <c r="E19201" t="inlineStr">
        <is>
          <t>Lương:10 Tr - 11 Tr VND</t>
        </is>
      </c>
      <c r="F19201" t="inlineStr">
        <is>
          <t>Hồ Chí Minh</t>
        </is>
      </c>
      <c r="G19201" t="inlineStr">
        <is>
          <t>29-03-2026</t>
        </is>
      </c>
      <c r="H19201" t="inlineStr">
        <is>
          <t>29/03/2026</t>
        </is>
      </c>
      <c r="I19201" t="inlineStr">
        <is>
          <t>17/03/2026</t>
        </is>
      </c>
      <c r="J19201" t="inlineStr">
        <is>
          <t>Hành chính / Thư ký, Nhân sự, Kế toán / Kiểm toán</t>
        </is>
      </c>
      <c r="K19201" t="inlineStr">
        <is>
          <t>1 - 5 Năm</t>
        </is>
      </c>
      <c r="L19201" s="8">
        <f>HYPERLINK("https://careerviet.vn/vi/tim-viec-lam/c-b-staff.35C641EF.html","Xem chi tiết")</f>
        <v/>
      </c>
    </row>
    <row r="19202">
      <c r="B19202" s="9" t="n">
        <v>19200</v>
      </c>
      <c r="C19202" s="10" t="inlineStr">
        <is>
          <t>Assistant Brand Manager (Infant Formula)</t>
        </is>
      </c>
      <c r="D19202" s="10" t="inlineStr">
        <is>
          <t>Công ty Cổ phần Sữa VitaDairy Việt Nam</t>
        </is>
      </c>
      <c r="E19202" s="10" t="inlineStr">
        <is>
          <t>Lương:Cạnh tranh</t>
        </is>
      </c>
      <c r="F19202" s="10" t="inlineStr">
        <is>
          <t>Hồ Chí Minh</t>
        </is>
      </c>
      <c r="G19202" s="10" t="inlineStr">
        <is>
          <t>26-03-2026</t>
        </is>
      </c>
      <c r="H19202" s="10" t="inlineStr">
        <is>
          <t>26/03/2026</t>
        </is>
      </c>
      <c r="I19202" s="10" t="inlineStr">
        <is>
          <t>17/03/2026</t>
        </is>
      </c>
      <c r="J19202" s="10" t="inlineStr">
        <is>
          <t>Tiếp thị / Marketing, Tiếp thị trực tuyến, Thương mại điện tử</t>
        </is>
      </c>
      <c r="K19202" s="10" t="inlineStr">
        <is>
          <t>2 - 3 Năm</t>
        </is>
      </c>
      <c r="L19202" s="11">
        <f>HYPERLINK("https://careerviet.vn/vi/tim-viec-lam/assistant-brand-manager-infant-formula.35C698F0.html","Xem chi tiết")</f>
        <v/>
      </c>
      <c r="M19202" s="10" t="n"/>
    </row>
    <row r="19203">
      <c r="B19203" s="7" t="n">
        <v>19201</v>
      </c>
      <c r="C19203" t="inlineStr">
        <is>
          <t>HO - Chuyên viên/Chuyên viên chính/Chuyên viên cao cấp Quản lý dữ liệu tài chính (MIS)</t>
        </is>
      </c>
      <c r="D19203" t="inlineStr">
        <is>
          <t>Ngân hàng TMCP Lộc Phát Việt Nam (LPBank)</t>
        </is>
      </c>
      <c r="E19203" t="inlineStr">
        <is>
          <t>Lương:Cạnh tranh</t>
        </is>
      </c>
      <c r="F19203" t="inlineStr">
        <is>
          <t>Hà Nội</t>
        </is>
      </c>
      <c r="G19203" t="inlineStr">
        <is>
          <t>27-03-2026</t>
        </is>
      </c>
      <c r="H19203" t="inlineStr">
        <is>
          <t>27/03/2026</t>
        </is>
      </c>
      <c r="I19203" t="inlineStr">
        <is>
          <t>17/03/2026</t>
        </is>
      </c>
      <c r="J19203" t="inlineStr">
        <is>
          <t>CNTT - Phần mềm, Kế toán / Kiểm toán, Ngân hàng</t>
        </is>
      </c>
      <c r="K19203" t="inlineStr">
        <is>
          <t>Trên 1 Năm</t>
        </is>
      </c>
      <c r="L19203" s="8">
        <f>HYPERLINK("https://careerviet.vn/vi/tim-viec-lam/ho-chuyen-vien-chuyen-vien-chinh-chuyen-vien-cao-cap-quan-ly-du-lieu-tai-chinh-mis.35C66946.html","Xem chi tiết")</f>
        <v/>
      </c>
    </row>
    <row r="19204">
      <c r="B19204" s="9" t="n">
        <v>19202</v>
      </c>
      <c r="C19204" s="10" t="inlineStr">
        <is>
          <t>Chuyên Viên Pháp Chế (Sở hữu trí tuệ)</t>
        </is>
      </c>
      <c r="D19204" s="10" t="inlineStr">
        <is>
          <t>Công Ty Cổ Phần TEECOM</t>
        </is>
      </c>
      <c r="E19204" s="10" t="inlineStr">
        <is>
          <t>Lương:Cạnh tranh</t>
        </is>
      </c>
      <c r="F19204" s="10" t="inlineStr">
        <is>
          <t>Hồ Chí Minh</t>
        </is>
      </c>
      <c r="G19204" s="10" t="inlineStr">
        <is>
          <t>29-03-2026</t>
        </is>
      </c>
      <c r="H19204" s="10" t="inlineStr">
        <is>
          <t>29/03/2026</t>
        </is>
      </c>
      <c r="I19204" s="10" t="inlineStr">
        <is>
          <t>17/03/2026</t>
        </is>
      </c>
      <c r="J19204" s="10" t="inlineStr">
        <is>
          <t>Tiếp thị trực tuyến, Thương mại điện tử, Luật / Pháp lý</t>
        </is>
      </c>
      <c r="K19204" s="10" t="inlineStr">
        <is>
          <t>3 - 4 Năm</t>
        </is>
      </c>
      <c r="L19204" s="11">
        <f>HYPERLINK("https://careerviet.vn/vi/tim-viec-lam/chuyen-vien-phap-che-so-huu-tri-tue.35C66D9F.html","Xem chi tiết")</f>
        <v/>
      </c>
      <c r="M19204" s="10" t="n"/>
    </row>
    <row r="19205">
      <c r="B19205" s="7" t="n">
        <v>19203</v>
      </c>
      <c r="C19205" t="inlineStr">
        <is>
          <t>Chuyên Viên Vận Hành Hệ Thống Công Nghệ Thông Tin</t>
        </is>
      </c>
      <c r="D19205" t="inlineStr">
        <is>
          <t>CÔNG TY CỔ PHẦN CHỨNG KHOÁN ASEAN</t>
        </is>
      </c>
      <c r="E19205" t="inlineStr">
        <is>
          <t>Lương:Cạnh tranh</t>
        </is>
      </c>
      <c r="F19205" t="inlineStr">
        <is>
          <t>Hà Nội</t>
        </is>
      </c>
      <c r="G19205" t="inlineStr">
        <is>
          <t>27-03-2026</t>
        </is>
      </c>
      <c r="H19205" t="inlineStr">
        <is>
          <t>27/03/2026</t>
        </is>
      </c>
      <c r="I19205" t="inlineStr">
        <is>
          <t>17/03/2026</t>
        </is>
      </c>
      <c r="J19205" t="inlineStr">
        <is>
          <t>Ngân hàng, Chứng khoán, CNTT - Phần cứng / Mạng</t>
        </is>
      </c>
      <c r="K19205" t="inlineStr">
        <is>
          <t>Trên 3 Năm</t>
        </is>
      </c>
      <c r="L19205" s="8">
        <f>HYPERLINK("https://careerviet.vn/vi/tim-viec-lam/chuyen-vien-van-hanh-he-thong-cong-nghe-thong-tin.35C6691C.html","Xem chi tiết")</f>
        <v/>
      </c>
    </row>
    <row r="19206">
      <c r="B19206" s="9" t="n">
        <v>19204</v>
      </c>
      <c r="C19206" s="10" t="inlineStr">
        <is>
          <t>Maintenance supervisor</t>
        </is>
      </c>
      <c r="D19206" s="10" t="inlineStr">
        <is>
          <t>Công ty TNHH Olam Việt Nam</t>
        </is>
      </c>
      <c r="E19206" s="10" t="inlineStr">
        <is>
          <t>Lương:Cạnh tranh</t>
        </is>
      </c>
      <c r="F19206" s="10" t="inlineStr">
        <is>
          <t>Đồng Nai</t>
        </is>
      </c>
      <c r="G19206" s="10" t="inlineStr">
        <is>
          <t>27-03-2026</t>
        </is>
      </c>
      <c r="H19206" s="10" t="inlineStr">
        <is>
          <t>27/03/2026</t>
        </is>
      </c>
      <c r="I19206" s="10" t="inlineStr">
        <is>
          <t>17/03/2026</t>
        </is>
      </c>
      <c r="J19206" s="10" t="inlineStr">
        <is>
          <t>Bảo trì / Sửa chữa</t>
        </is>
      </c>
      <c r="K19206" s="10" t="inlineStr">
        <is>
          <t>2 - 4 Năm</t>
        </is>
      </c>
      <c r="L19206" s="11">
        <f>HYPERLINK("https://careerviet.vn/vi/tim-viec-lam/maintenance-supervisor.35C6687E.html","Xem chi tiết")</f>
        <v/>
      </c>
      <c r="M19206" s="10" t="n"/>
    </row>
    <row r="19207">
      <c r="B19207" s="7" t="n">
        <v>19205</v>
      </c>
      <c r="C19207" t="inlineStr">
        <is>
          <t>Nhân viên mua hàng</t>
        </is>
      </c>
      <c r="D19207" t="inlineStr">
        <is>
          <t>CÔNG TY TNHH ĐẦU TƯ ITS</t>
        </is>
      </c>
      <c r="E19207" t="inlineStr">
        <is>
          <t>Lương:9 Tr - 12 Tr VND</t>
        </is>
      </c>
      <c r="F19207" t="inlineStr">
        <is>
          <t>Hồ Chí Minh</t>
        </is>
      </c>
      <c r="G19207" t="inlineStr">
        <is>
          <t>29-03-2026</t>
        </is>
      </c>
      <c r="H19207" t="inlineStr">
        <is>
          <t>29/03/2026</t>
        </is>
      </c>
      <c r="I19207" t="inlineStr">
        <is>
          <t>17/03/2026</t>
        </is>
      </c>
      <c r="J19207" t="inlineStr">
        <is>
          <t>Thu mua / Vật tư, Môi trường, Cơ khí / Ô tô / Tự động hóa</t>
        </is>
      </c>
      <c r="K19207" t="inlineStr">
        <is>
          <t>1 - 3 Năm</t>
        </is>
      </c>
      <c r="L19207" s="8">
        <f>HYPERLINK("https://careerviet.vn/vi/tim-viec-lam/nhan-vien-mua-hang.35C66CF9.html","Xem chi tiết")</f>
        <v/>
      </c>
    </row>
    <row r="19208">
      <c r="B19208" s="9" t="n">
        <v>19206</v>
      </c>
      <c r="C19208" s="10" t="inlineStr">
        <is>
          <t>Cameraman &amp; Editor Executive</t>
        </is>
      </c>
      <c r="D19208" s="10" t="inlineStr">
        <is>
          <t>CÔNG TY TNHH GOLDNET</t>
        </is>
      </c>
      <c r="E19208" s="10" t="inlineStr">
        <is>
          <t>Lương:Cạnh tranh</t>
        </is>
      </c>
      <c r="F19208" s="10" t="inlineStr">
        <is>
          <t>Hồ Chí Minh</t>
        </is>
      </c>
      <c r="G19208" s="10" t="inlineStr">
        <is>
          <t>29-03-2026</t>
        </is>
      </c>
      <c r="H19208" s="10" t="inlineStr">
        <is>
          <t>29/03/2026</t>
        </is>
      </c>
      <c r="I19208" s="10" t="inlineStr">
        <is>
          <t>17/03/2026</t>
        </is>
      </c>
      <c r="J19208" s="10" t="inlineStr">
        <is>
          <t>Tiếp thị / Marketing, Quảng cáo / Đối ngoại / Truyền Thông</t>
        </is>
      </c>
      <c r="K19208" s="10" t="inlineStr">
        <is>
          <t>1 - 2 Năm</t>
        </is>
      </c>
      <c r="L19208" s="11">
        <f>HYPERLINK("https://careerviet.vn/vi/tim-viec-lam/cameraman-editor-executive.35C66DD8.html","Xem chi tiết")</f>
        <v/>
      </c>
      <c r="M19208" s="10" t="n"/>
    </row>
    <row r="19209">
      <c r="B19209" s="7" t="n">
        <v>19207</v>
      </c>
      <c r="C19209" t="inlineStr">
        <is>
          <t>Nhân viên kỹ thuật bảo trì (Biết lái ô tô/bằng B2)</t>
        </is>
      </c>
      <c r="D19209" t="inlineStr">
        <is>
          <t>Công ty TNHH Máy Chính Xác AMC</t>
        </is>
      </c>
      <c r="E19209" t="inlineStr">
        <is>
          <t>Lương:12 Tr - 17 Tr VND</t>
        </is>
      </c>
      <c r="F19209" t="inlineStr">
        <is>
          <t>Hà NộiHồ Chí Minh</t>
        </is>
      </c>
      <c r="G19209" t="inlineStr">
        <is>
          <t>29-03-2026</t>
        </is>
      </c>
      <c r="H19209" t="inlineStr">
        <is>
          <t>29/03/2026</t>
        </is>
      </c>
      <c r="I19209" t="inlineStr">
        <is>
          <t>17/03/2026</t>
        </is>
      </c>
      <c r="J19209" t="inlineStr">
        <is>
          <t>Cơ khí / Ô tô / Tự động hóa, Điện / Điện tử / Điện lạnh / Điện công nghiệp, Bảo trì / Sửa chữa</t>
        </is>
      </c>
      <c r="K19209" t="inlineStr">
        <is>
          <t>1 - 15 Năm</t>
        </is>
      </c>
      <c r="L19209" s="8">
        <f>HYPERLINK("https://careerviet.vn/vi/tim-viec-lam/nhan-vien-ky-thuat-bao-tri-biet-lai-o-to-bang-b2.35C66D85.html","Xem chi tiết")</f>
        <v/>
      </c>
    </row>
    <row r="19210">
      <c r="B19210" s="9" t="n">
        <v>19208</v>
      </c>
      <c r="C19210" s="10" t="inlineStr">
        <is>
          <t>Giám Đốc Điều Hành (COO/CEO)</t>
        </is>
      </c>
      <c r="D19210" s="10" t="inlineStr">
        <is>
          <t>Công ty cổ phần HaMo Holdings</t>
        </is>
      </c>
      <c r="E19210" s="10" t="inlineStr">
        <is>
          <t>Lương:Cạnh tranh</t>
        </is>
      </c>
      <c r="F19210" s="10" t="inlineStr">
        <is>
          <t>Hồ Chí Minh</t>
        </is>
      </c>
      <c r="G19210" s="10" t="inlineStr">
        <is>
          <t>29-03-2026</t>
        </is>
      </c>
      <c r="H19210" s="10" t="inlineStr">
        <is>
          <t>29/03/2026</t>
        </is>
      </c>
      <c r="I19210" s="10" t="inlineStr">
        <is>
          <t>17/03/2026</t>
        </is>
      </c>
      <c r="J19210" s="10" t="inlineStr">
        <is>
          <t>Y tế / Chăm sóc sức khỏe / Thẩm mỹ / Làm đẹp, Dịch vụ khách hàng, Quản lý điều hành</t>
        </is>
      </c>
      <c r="K19210" s="10" t="inlineStr">
        <is>
          <t>7 - 10 Năm</t>
        </is>
      </c>
      <c r="L19210" s="11">
        <f>HYPERLINK("https://careerviet.vn/vi/tim-viec-lam/giam-doc-dieu-hanh-coo-ceo.35C64093.html","Xem chi tiết")</f>
        <v/>
      </c>
      <c r="M19210" s="10" t="n"/>
    </row>
    <row r="19211">
      <c r="B19211" s="7" t="n">
        <v>19209</v>
      </c>
      <c r="C19211" t="inlineStr">
        <is>
          <t>HCM - Ecommerce Operation Coordinator</t>
        </is>
      </c>
      <c r="D19211" t="inlineStr">
        <is>
          <t>CÔNG TY CỔ PHẦN MAISON RETAIL MANAGEMENT INTERNATIONAL</t>
        </is>
      </c>
      <c r="E19211" t="inlineStr">
        <is>
          <t>Lương:8 Tr - 10 Tr VND</t>
        </is>
      </c>
      <c r="F19211" t="inlineStr">
        <is>
          <t>Hồ Chí Minh</t>
        </is>
      </c>
      <c r="G19211" t="inlineStr">
        <is>
          <t>29-03-2026</t>
        </is>
      </c>
      <c r="H19211" t="inlineStr">
        <is>
          <t>29/03/2026</t>
        </is>
      </c>
      <c r="I19211" t="inlineStr">
        <is>
          <t>17/03/2026</t>
        </is>
      </c>
      <c r="J19211" t="inlineStr">
        <is>
          <t>Thương mại điện tử</t>
        </is>
      </c>
      <c r="K19211" t="inlineStr">
        <is>
          <t>1 - 2 Năm</t>
        </is>
      </c>
      <c r="L19211" s="8">
        <f>HYPERLINK("https://careerviet.vn/vi/tim-viec-lam/hcm-ecommerce-operation-coordinator.35C66CAD.html","Xem chi tiết")</f>
        <v/>
      </c>
    </row>
    <row r="19212">
      <c r="B19212" s="9" t="n">
        <v>19210</v>
      </c>
      <c r="C19212" s="10" t="inlineStr">
        <is>
          <t>Content Creator Executive</t>
        </is>
      </c>
      <c r="D19212" s="10" t="inlineStr">
        <is>
          <t>CÔNG TY TNHH GOLDNET</t>
        </is>
      </c>
      <c r="E19212" s="10" t="inlineStr">
        <is>
          <t>Lương:Cạnh tranh</t>
        </is>
      </c>
      <c r="F19212" s="10" t="inlineStr">
        <is>
          <t>Hồ Chí Minh</t>
        </is>
      </c>
      <c r="G19212" s="10" t="inlineStr">
        <is>
          <t>29-03-2026</t>
        </is>
      </c>
      <c r="H19212" s="10" t="inlineStr">
        <is>
          <t>29/03/2026</t>
        </is>
      </c>
      <c r="I19212" s="10" t="inlineStr">
        <is>
          <t>17/03/2026</t>
        </is>
      </c>
      <c r="J19212" s="10" t="inlineStr">
        <is>
          <t>Tiếp thị / Marketing, Quảng cáo / Đối ngoại / Truyền Thông</t>
        </is>
      </c>
      <c r="K19212" s="10" t="inlineStr">
        <is>
          <t>Trên 1 Năm</t>
        </is>
      </c>
      <c r="L19212" s="11">
        <f>HYPERLINK("https://careerviet.vn/vi/tim-viec-lam/content-creator-executive.35C66DDC.html","Xem chi tiết")</f>
        <v/>
      </c>
      <c r="M19212" s="10" t="n"/>
    </row>
    <row r="19213">
      <c r="B19213" s="7" t="n">
        <v>19211</v>
      </c>
      <c r="C19213" t="inlineStr">
        <is>
          <t>TRƯỞNG BỘ PHẬN SÁNG TẠO NỘI DUNG</t>
        </is>
      </c>
      <c r="D19213" t="inlineStr">
        <is>
          <t>Công Ty Cổ Phần Tập Đoàn Bất Động Sản Thắng Lợi</t>
        </is>
      </c>
      <c r="E19213" t="inlineStr">
        <is>
          <t>Lương:Cạnh tranh</t>
        </is>
      </c>
      <c r="F19213" t="inlineStr">
        <is>
          <t>Hồ Chí Minh</t>
        </is>
      </c>
      <c r="G19213" t="inlineStr">
        <is>
          <t>29-03-2026</t>
        </is>
      </c>
      <c r="H19213" t="inlineStr">
        <is>
          <t>29/03/2026</t>
        </is>
      </c>
      <c r="I19213" t="inlineStr">
        <is>
          <t>17/03/2026</t>
        </is>
      </c>
      <c r="J19213" t="inlineStr">
        <is>
          <t>Tiếp thị / Marketing, Tiếp thị trực tuyến, Bất động sản</t>
        </is>
      </c>
      <c r="K19213" t="inlineStr">
        <is>
          <t>2 - 5 Năm</t>
        </is>
      </c>
      <c r="L19213" s="8">
        <f>HYPERLINK("https://careerviet.vn/vi/tim-viec-lam/truong-bo-phan-sang-tao-noi-dung.35C640DC.html","Xem chi tiết")</f>
        <v/>
      </c>
    </row>
    <row r="19214">
      <c r="B19214" s="9" t="n">
        <v>19212</v>
      </c>
      <c r="C19214" s="10" t="inlineStr">
        <is>
          <t>Kế Toán Tổng Hợp</t>
        </is>
      </c>
      <c r="D19214" s="10" t="inlineStr">
        <is>
          <t>CÔNG TY CỔ PHẦN ĐẦU TƯ  BẤT ĐỘNG SẢN NHẤT GIA</t>
        </is>
      </c>
      <c r="E19214" s="10" t="inlineStr">
        <is>
          <t>Lương:20 Tr - 25 Tr VND</t>
        </is>
      </c>
      <c r="F19214" s="10" t="inlineStr">
        <is>
          <t>Hồ Chí Minh</t>
        </is>
      </c>
      <c r="G19214" s="10" t="inlineStr">
        <is>
          <t>29-03-2026</t>
        </is>
      </c>
      <c r="H19214" s="10" t="inlineStr">
        <is>
          <t>29/03/2026</t>
        </is>
      </c>
      <c r="I19214" s="10" t="inlineStr">
        <is>
          <t>17/03/2026</t>
        </is>
      </c>
      <c r="J19214" s="10" t="inlineStr">
        <is>
          <t>Kế toán / Kiểm toán, Tài chính / Đầu tư, Thống kê</t>
        </is>
      </c>
      <c r="K19214" s="10" t="inlineStr">
        <is>
          <t>Trên 5 Năm</t>
        </is>
      </c>
      <c r="L19214" s="11">
        <f>HYPERLINK("https://careerviet.vn/vi/tim-viec-lam/ke-toan-tong-hop.35C66C90.html","Xem chi tiết")</f>
        <v/>
      </c>
      <c r="M19214" s="10" t="n"/>
    </row>
    <row r="19215">
      <c r="B19215" s="7" t="n">
        <v>19213</v>
      </c>
      <c r="C19215" t="inlineStr">
        <is>
          <t>Trợ lý/Điều phối viên Dự án</t>
        </is>
      </c>
      <c r="D19215" t="inlineStr">
        <is>
          <t>Tập Đoàn Karofi Holding</t>
        </is>
      </c>
      <c r="E19215" t="inlineStr">
        <is>
          <t>Lương:Cạnh tranh</t>
        </is>
      </c>
      <c r="F19215" t="inlineStr">
        <is>
          <t>Hà Nội</t>
        </is>
      </c>
      <c r="G19215" t="inlineStr">
        <is>
          <t>29-03-2026</t>
        </is>
      </c>
      <c r="H19215" t="inlineStr">
        <is>
          <t>29/03/2026</t>
        </is>
      </c>
      <c r="I19215" t="inlineStr">
        <is>
          <t>17/03/2026</t>
        </is>
      </c>
      <c r="J19215" t="inlineStr">
        <is>
          <t>Hành chính / Thư ký</t>
        </is>
      </c>
      <c r="K19215" t="inlineStr">
        <is>
          <t>Trên 1 Năm</t>
        </is>
      </c>
      <c r="L19215" s="8">
        <f>HYPERLINK("https://careerviet.vn/vi/tim-viec-lam/tro-ly-dieu-phoi-vien-du-an.35C641DB.html","Xem chi tiết")</f>
        <v/>
      </c>
    </row>
    <row r="19216">
      <c r="B19216" s="9" t="n">
        <v>19214</v>
      </c>
      <c r="C19216" s="10" t="inlineStr">
        <is>
          <t>Trưởng / Phó Phòng Tuyển Dụng</t>
        </is>
      </c>
      <c r="D19216" s="10" t="inlineStr">
        <is>
          <t>Công Ty TNHH Đầu Tư Địa Ốc Thành Phố (CityLand)</t>
        </is>
      </c>
      <c r="E19216" s="10" t="inlineStr">
        <is>
          <t>Lương:Cạnh tranh</t>
        </is>
      </c>
      <c r="F19216" s="10" t="inlineStr">
        <is>
          <t>Hồ Chí Minh</t>
        </is>
      </c>
      <c r="G19216" s="10" t="inlineStr">
        <is>
          <t>29-03-2026</t>
        </is>
      </c>
      <c r="H19216" s="10" t="inlineStr">
        <is>
          <t>29/03/2026</t>
        </is>
      </c>
      <c r="I19216" s="10" t="inlineStr">
        <is>
          <t>17/03/2026</t>
        </is>
      </c>
      <c r="J19216" s="10" t="inlineStr">
        <is>
          <t>Kiến trúc, Xây dựng, Bất động sản</t>
        </is>
      </c>
      <c r="K19216" s="10" t="inlineStr">
        <is>
          <t>10 - 20 Năm</t>
        </is>
      </c>
      <c r="L19216" s="11">
        <f>HYPERLINK("https://careerviet.vn/vi/tim-viec-lam/truong-pho-phong-tuyen-dung.35C640A3.html","Xem chi tiết")</f>
        <v/>
      </c>
      <c r="M19216" s="10" t="n"/>
    </row>
    <row r="19217">
      <c r="B19217" s="7" t="n">
        <v>19215</v>
      </c>
      <c r="C19217" t="inlineStr">
        <is>
          <t>Chuyên Viên Kế Toán Quản Trị &amp; Ngân Sách</t>
        </is>
      </c>
      <c r="D19217" t="inlineStr">
        <is>
          <t>CÔNG TY CỔ PHẦN CHỨNG KHOÁN ASEAN</t>
        </is>
      </c>
      <c r="E19217" t="inlineStr">
        <is>
          <t>Lương:Cạnh tranh</t>
        </is>
      </c>
      <c r="F19217" t="inlineStr">
        <is>
          <t>Hà Nội</t>
        </is>
      </c>
      <c r="G19217" t="inlineStr">
        <is>
          <t>29-03-2026</t>
        </is>
      </c>
      <c r="H19217" t="inlineStr">
        <is>
          <t>29/03/2026</t>
        </is>
      </c>
      <c r="I19217" t="inlineStr">
        <is>
          <t>17/03/2026</t>
        </is>
      </c>
      <c r="J19217" t="inlineStr">
        <is>
          <t>Kế toán / Kiểm toán, Chứng khoán, Tài chính / Đầu tư</t>
        </is>
      </c>
      <c r="K19217" t="inlineStr">
        <is>
          <t>Trên 2 Năm</t>
        </is>
      </c>
      <c r="L19217" s="8">
        <f>HYPERLINK("https://careerviet.vn/vi/tim-viec-lam/chuyen-vien-ke-toan-quan-tri-ngan-sach.35C642BE.html","Xem chi tiết")</f>
        <v/>
      </c>
    </row>
    <row r="19218">
      <c r="B19218" s="9" t="n">
        <v>19216</v>
      </c>
      <c r="C19218" s="10" t="inlineStr">
        <is>
          <t>Trưởng nhóm Giám sát cơ điện</t>
        </is>
      </c>
      <c r="D19218" s="10" t="inlineStr">
        <is>
          <t>Công Ty Cổ Phần Xây Dựng CDC</t>
        </is>
      </c>
      <c r="E19218" s="10" t="inlineStr">
        <is>
          <t>Lương:15 Tr - 25 Tr VND</t>
        </is>
      </c>
      <c r="F19218" s="10" t="inlineStr">
        <is>
          <t>Đà NẵngBình Dương</t>
        </is>
      </c>
      <c r="G19218" s="10" t="inlineStr">
        <is>
          <t>29-03-2026</t>
        </is>
      </c>
      <c r="H19218" s="10" t="inlineStr">
        <is>
          <t>29/03/2026</t>
        </is>
      </c>
      <c r="I19218" s="10" t="inlineStr">
        <is>
          <t>17/03/2026</t>
        </is>
      </c>
      <c r="J19218" s="10" t="inlineStr">
        <is>
          <t>Xây dựng</t>
        </is>
      </c>
      <c r="K19218" s="10" t="inlineStr">
        <is>
          <t>7 - 10 Năm</t>
        </is>
      </c>
      <c r="L19218" s="11">
        <f>HYPERLINK("https://careerviet.vn/vi/tim-viec-lam/truong-nhom-giam-sat-co-dien.35C64173.html","Xem chi tiết")</f>
        <v/>
      </c>
      <c r="M19218" s="10" t="n"/>
    </row>
    <row r="19219">
      <c r="B19219" s="7" t="n">
        <v>19217</v>
      </c>
      <c r="C19219" t="inlineStr">
        <is>
          <t>Kỹ sư an toàn (Dự án cơ khí) - thu nhập 25 - 30 triệu</t>
        </is>
      </c>
      <c r="D19219" t="inlineStr">
        <is>
          <t>CÔNG TY CỔ PHẦN CÔNG NGHIỆP WELDCOM</t>
        </is>
      </c>
      <c r="E19219" t="inlineStr">
        <is>
          <t>Lương:25 Tr - 30 Tr VND</t>
        </is>
      </c>
      <c r="F19219" t="inlineStr">
        <is>
          <t>Hà Nội</t>
        </is>
      </c>
      <c r="G19219" t="inlineStr">
        <is>
          <t>29-03-2026</t>
        </is>
      </c>
      <c r="H19219" t="inlineStr">
        <is>
          <t>29/03/2026</t>
        </is>
      </c>
      <c r="I19219" t="inlineStr">
        <is>
          <t>17/03/2026</t>
        </is>
      </c>
      <c r="J19219" t="inlineStr">
        <is>
          <t>Cơ khí / Ô tô / Tự động hóa, An toàn lao động</t>
        </is>
      </c>
      <c r="K19219" t="inlineStr">
        <is>
          <t>2 - 3 Năm</t>
        </is>
      </c>
      <c r="L19219" s="8">
        <f>HYPERLINK("https://careerviet.vn/vi/tim-viec-lam/ky-su-an-toan-du-an-co-khi-thu-nhap-25-30-trieu.35C6426C.html","Xem chi tiết")</f>
        <v/>
      </c>
    </row>
    <row r="19220">
      <c r="B19220" s="9" t="n">
        <v>19218</v>
      </c>
      <c r="C19220" s="10" t="inlineStr">
        <is>
          <t>Senior Officer, Payment Accounting</t>
        </is>
      </c>
      <c r="D19220" s="10" t="inlineStr">
        <is>
          <t>NGÂN HÀNG TMCP KỸ THƯƠNG VIỆT NAM (TECHCOMBANK)</t>
        </is>
      </c>
      <c r="E19220" s="10" t="inlineStr">
        <is>
          <t>Lương:Cạnh tranh</t>
        </is>
      </c>
      <c r="F19220" s="10" t="inlineStr">
        <is>
          <t>Hà Nội</t>
        </is>
      </c>
      <c r="G19220" s="10" t="inlineStr">
        <is>
          <t>29-03-2026</t>
        </is>
      </c>
      <c r="H19220" s="10" t="inlineStr">
        <is>
          <t>29/03/2026</t>
        </is>
      </c>
      <c r="I19220" s="10" t="inlineStr">
        <is>
          <t>17/03/2026</t>
        </is>
      </c>
      <c r="J19220" s="10" t="inlineStr">
        <is>
          <t>Ngân hàng, Tài chính / Đầu tư, Kế toán / Kiểm toán</t>
        </is>
      </c>
      <c r="K19220" s="10" t="inlineStr">
        <is>
          <t>Trên 4 Năm</t>
        </is>
      </c>
      <c r="L19220" s="11">
        <f>HYPERLINK("https://careerviet.vn/vi/tim-viec-lam/senior-officer-payment-accounting.35C66E04.html","Xem chi tiết")</f>
        <v/>
      </c>
      <c r="M19220" s="10" t="n"/>
    </row>
    <row r="19221">
      <c r="B19221" s="7" t="n">
        <v>19219</v>
      </c>
      <c r="C19221" t="inlineStr">
        <is>
          <t>Quản Lý Thiết Kế</t>
        </is>
      </c>
      <c r="D19221" t="inlineStr">
        <is>
          <t>CÔNG TY CỔ PHẦN TẬP ĐOÀN PC1</t>
        </is>
      </c>
      <c r="E19221" t="inlineStr">
        <is>
          <t>Lương:Cạnh tranh</t>
        </is>
      </c>
      <c r="F19221" t="inlineStr">
        <is>
          <t>Hà Nội</t>
        </is>
      </c>
      <c r="G19221" t="inlineStr">
        <is>
          <t>29-03-2026</t>
        </is>
      </c>
      <c r="H19221" t="inlineStr">
        <is>
          <t>29/03/2026</t>
        </is>
      </c>
      <c r="I19221" t="inlineStr">
        <is>
          <t>17/03/2026</t>
        </is>
      </c>
      <c r="J19221" t="inlineStr">
        <is>
          <t>Mỹ thuật / Nghệ thuật / Thiết kế, Quản lý điều hành, Điện / Điện tử / Điện lạnh / Điện công nghiệp</t>
        </is>
      </c>
      <c r="K19221" t="inlineStr">
        <is>
          <t>Trên 10 Năm</t>
        </is>
      </c>
      <c r="L19221" s="8">
        <f>HYPERLINK("https://careerviet.vn/vi/tim-viec-lam/quan-ly-thiet-ke.35C640E2.html","Xem chi tiết")</f>
        <v/>
      </c>
    </row>
    <row r="19222">
      <c r="B19222" s="9" t="n">
        <v>19220</v>
      </c>
      <c r="C19222" s="10" t="inlineStr">
        <is>
          <t>Trưởng Bộ Phận Sales Nội Địa</t>
        </is>
      </c>
      <c r="D19222" s="10" t="inlineStr">
        <is>
          <t>Công Ty Tổ Chức Hội Nghị, Sự Kiện Và Du Lịch Quốc Tế Hòa Bình</t>
        </is>
      </c>
      <c r="E19222" s="10" t="inlineStr">
        <is>
          <t>Lương:15 Tr - 20 Tr VND</t>
        </is>
      </c>
      <c r="F19222" s="10" t="inlineStr">
        <is>
          <t>Hà Nội</t>
        </is>
      </c>
      <c r="G19222" s="10" t="inlineStr">
        <is>
          <t>29-03-2026</t>
        </is>
      </c>
      <c r="H19222" s="10" t="inlineStr">
        <is>
          <t>29/03/2026</t>
        </is>
      </c>
      <c r="I19222" s="10" t="inlineStr">
        <is>
          <t>17/03/2026</t>
        </is>
      </c>
      <c r="J19222" s="10" t="inlineStr">
        <is>
          <t>Du lịch</t>
        </is>
      </c>
      <c r="K19222" s="10" t="inlineStr">
        <is>
          <t>3 - 5 Năm</t>
        </is>
      </c>
      <c r="L19222" s="11">
        <f>HYPERLINK("https://careerviet.vn/vi/tim-viec-lam/truong-bo-phan-sales-noi-dia.35C64217.html","Xem chi tiết")</f>
        <v/>
      </c>
      <c r="M19222" s="10" t="n"/>
    </row>
    <row r="19223">
      <c r="B19223" s="7" t="n">
        <v>19221</v>
      </c>
      <c r="C19223" t="inlineStr">
        <is>
          <t>Report Reviewer for Inspection Services (6-month contract)</t>
        </is>
      </c>
      <c r="D19223" t="inlineStr">
        <is>
          <t>TÜV SÜD Vietnam</t>
        </is>
      </c>
      <c r="E19223" t="inlineStr">
        <is>
          <t>Lương:Cạnh tranh</t>
        </is>
      </c>
      <c r="F19223" t="inlineStr">
        <is>
          <t>Hồ Chí Minh</t>
        </is>
      </c>
      <c r="G19223" t="inlineStr">
        <is>
          <t>29-03-2026</t>
        </is>
      </c>
      <c r="H19223" t="inlineStr">
        <is>
          <t>29/03/2026</t>
        </is>
      </c>
      <c r="I19223" t="inlineStr">
        <is>
          <t>17/03/2026</t>
        </is>
      </c>
      <c r="J19223" t="inlineStr">
        <is>
          <t>Đồ gỗ, Quản lý chất lượng (QA/QC), Dệt may / Da giày / Thời trang</t>
        </is>
      </c>
      <c r="K19223" t="inlineStr">
        <is>
          <t>2 - 4 Năm</t>
        </is>
      </c>
      <c r="L19223" s="8">
        <f>HYPERLINK("https://careerviet.vn/vi/tim-viec-lam/report-reviewer-for-inspection-services-6-month-contract.35C66CF0.html","Xem chi tiết")</f>
        <v/>
      </c>
    </row>
    <row r="19224">
      <c r="B19224" s="9" t="n">
        <v>19222</v>
      </c>
      <c r="C19224" s="10" t="inlineStr">
        <is>
          <t>Nhân Viên Tư Vấn Sản Phẩm tại Điện máy Chợ lớn Tân Cảng - Bình Thạnh</t>
        </is>
      </c>
      <c r="D19224" s="10" t="inlineStr">
        <is>
          <t>Tập Đoàn Karofi Holding</t>
        </is>
      </c>
      <c r="E19224" s="10" t="inlineStr">
        <is>
          <t>Lương:8 Tr - 15 Tr VND</t>
        </is>
      </c>
      <c r="F19224" s="10" t="inlineStr">
        <is>
          <t>Hồ Chí Minh</t>
        </is>
      </c>
      <c r="G19224" s="10" t="inlineStr">
        <is>
          <t>29-03-2026</t>
        </is>
      </c>
      <c r="H19224" s="10" t="inlineStr">
        <is>
          <t>29/03/2026</t>
        </is>
      </c>
      <c r="I19224" s="10" t="inlineStr">
        <is>
          <t>17/03/2026</t>
        </is>
      </c>
      <c r="J19224" s="10" t="inlineStr">
        <is>
          <t>Bán lẻ / Bán sỉ, Bán hàng / Kinh doanh, Dịch vụ khách hàng</t>
        </is>
      </c>
      <c r="K19224" s="10" t="inlineStr">
        <is>
          <t>Lên đến 1 Năm</t>
        </is>
      </c>
      <c r="L19224" s="11">
        <f>HYPERLINK("https://careerviet.vn/vi/tim-viec-lam/nhan-vien-tu-van-san-pham-tai-dien-may-cho-lon-tan-cang-binh-thanh.35C64096.html","Xem chi tiết")</f>
        <v/>
      </c>
      <c r="M19224" s="10" t="n"/>
    </row>
    <row r="19225">
      <c r="B19225" s="7" t="n">
        <v>19223</v>
      </c>
      <c r="C19225" t="inlineStr">
        <is>
          <t>Nhân Viên QC Nội thất gỗ Indoor/Outdoor</t>
        </is>
      </c>
      <c r="D19225" t="inlineStr">
        <is>
          <t>CÔNG TY TNHH SÀI GÒN WICKER</t>
        </is>
      </c>
      <c r="E19225" t="inlineStr">
        <is>
          <t>Lương:Cạnh tranh</t>
        </is>
      </c>
      <c r="F19225" t="inlineStr">
        <is>
          <t>Hồ Chí Minh</t>
        </is>
      </c>
      <c r="G19225" t="inlineStr">
        <is>
          <t>29-03-2026</t>
        </is>
      </c>
      <c r="H19225" t="inlineStr">
        <is>
          <t>29/03/2026</t>
        </is>
      </c>
      <c r="I19225" t="inlineStr">
        <is>
          <t>17/03/2026</t>
        </is>
      </c>
      <c r="J19225" t="inlineStr">
        <is>
          <t>Đồ gỗ, Quản lý chất lượng (QA/QC), Nội ngoại thất</t>
        </is>
      </c>
      <c r="K19225" t="inlineStr">
        <is>
          <t>Trên 2 Năm</t>
        </is>
      </c>
      <c r="L19225" s="8">
        <f>HYPERLINK("https://careerviet.vn/vi/tim-viec-lam/nhan-vien-qc-noi-that-go-indoor-outdoor.35C66CB2.html","Xem chi tiết")</f>
        <v/>
      </c>
    </row>
    <row r="19226">
      <c r="B19226" s="9" t="n">
        <v>19224</v>
      </c>
      <c r="C19226" s="10" t="inlineStr">
        <is>
          <t>Nhân Viên Telesale Mảng Thẩm Mỹ</t>
        </is>
      </c>
      <c r="D19226" s="10" t="inlineStr">
        <is>
          <t>Công ty cổ phần HaMo Holdings</t>
        </is>
      </c>
      <c r="E19226" s="10" t="inlineStr">
        <is>
          <t>Lương:15 Tr - 25 Tr VND</t>
        </is>
      </c>
      <c r="F19226" s="10" t="inlineStr">
        <is>
          <t>Hồ Chí Minh</t>
        </is>
      </c>
      <c r="G19226" s="10" t="inlineStr">
        <is>
          <t>29-03-2026</t>
        </is>
      </c>
      <c r="H19226" s="10" t="inlineStr">
        <is>
          <t>29/03/2026</t>
        </is>
      </c>
      <c r="I19226" s="10" t="inlineStr">
        <is>
          <t>17/03/2026</t>
        </is>
      </c>
      <c r="J19226" s="10" t="inlineStr">
        <is>
          <t>Tiếp thị / Marketing, Bán hàng / Kinh doanh, Y tế / Chăm sóc sức khỏe / Thẩm mỹ / Làm đẹp</t>
        </is>
      </c>
      <c r="K19226" s="10" t="inlineStr">
        <is>
          <t>Trên 1 Năm</t>
        </is>
      </c>
      <c r="L19226" s="11">
        <f>HYPERLINK("https://careerviet.vn/vi/tim-viec-lam/nhan-vien-telesale-mang-tham-my.35C64090.html","Xem chi tiết")</f>
        <v/>
      </c>
      <c r="M19226" s="10" t="n"/>
    </row>
    <row r="19227">
      <c r="B19227" s="7" t="n">
        <v>19225</v>
      </c>
      <c r="C19227" t="inlineStr">
        <is>
          <t>Senior Sales Executive (Hardline Testing Services)</t>
        </is>
      </c>
      <c r="D19227" t="inlineStr">
        <is>
          <t>TÜV SÜD Vietnam</t>
        </is>
      </c>
      <c r="E19227" t="inlineStr">
        <is>
          <t>Lương:Cạnh tranh</t>
        </is>
      </c>
      <c r="F19227" t="inlineStr">
        <is>
          <t>Hồ Chí MinhHà Nội</t>
        </is>
      </c>
      <c r="G19227" t="inlineStr">
        <is>
          <t>29-03-2026</t>
        </is>
      </c>
      <c r="H19227" t="inlineStr">
        <is>
          <t>29/03/2026</t>
        </is>
      </c>
      <c r="I19227" t="inlineStr">
        <is>
          <t>17/03/2026</t>
        </is>
      </c>
      <c r="J19227" t="inlineStr">
        <is>
          <t>Bán hàng / Kinh doanh, Nội ngoại thất, Đồ gỗ</t>
        </is>
      </c>
      <c r="K19227" t="inlineStr">
        <is>
          <t>3 - 5 Năm</t>
        </is>
      </c>
      <c r="L19227" s="8">
        <f>HYPERLINK("https://careerviet.vn/vi/tim-viec-lam/senior-sales-executive-hardline-testing-services.35C66D34.html","Xem chi tiết")</f>
        <v/>
      </c>
    </row>
    <row r="19228">
      <c r="B19228" s="9" t="n">
        <v>19226</v>
      </c>
      <c r="C19228" s="10" t="inlineStr">
        <is>
          <t>126398 - Training &amp; Recruitment Team Manager (HR dept) - Electronics</t>
        </is>
      </c>
      <c r="D19228" s="10" t="inlineStr">
        <is>
          <t>RGF HR Agent Vietnam Co., LTD</t>
        </is>
      </c>
      <c r="E19228" s="10" t="inlineStr">
        <is>
          <t>Lương:Cạnh tranh</t>
        </is>
      </c>
      <c r="F19228" s="10" t="inlineStr">
        <is>
          <t>Bình Dương</t>
        </is>
      </c>
      <c r="G19228" s="10" t="inlineStr">
        <is>
          <t>29-03-2026</t>
        </is>
      </c>
      <c r="H19228" s="10" t="inlineStr">
        <is>
          <t>29/03/2026</t>
        </is>
      </c>
      <c r="I19228" s="10" t="inlineStr">
        <is>
          <t>17/03/2026</t>
        </is>
      </c>
      <c r="J19228" s="10" t="inlineStr">
        <is>
          <t>Điện / Điện tử / Điện lạnh / Điện công nghiệp</t>
        </is>
      </c>
      <c r="K19228" s="10" t="inlineStr">
        <is>
          <t>Trên 5 Năm</t>
        </is>
      </c>
      <c r="L19228" s="11">
        <f>HYPERLINK("https://careerviet.vn/vi/tim-viec-lam/126398-training-recruitment-team-manager-hr-dept-electronics.35C641C3.html","Xem chi tiết")</f>
        <v/>
      </c>
      <c r="M19228" s="10" t="n"/>
    </row>
    <row r="19229">
      <c r="B19229" s="7" t="n">
        <v>19227</v>
      </c>
      <c r="C19229" t="inlineStr">
        <is>
          <t>Kỹ Sư Thiết Kế Cảnh Quan</t>
        </is>
      </c>
      <c r="D19229" t="inlineStr">
        <is>
          <t>Công Ty TNHH J.G</t>
        </is>
      </c>
      <c r="E19229" t="inlineStr">
        <is>
          <t>Lương:Cạnh tranh</t>
        </is>
      </c>
      <c r="F19229" t="inlineStr">
        <is>
          <t>Hồ Chí Minh</t>
        </is>
      </c>
      <c r="G19229" t="inlineStr">
        <is>
          <t>29-03-2026</t>
        </is>
      </c>
      <c r="H19229" t="inlineStr">
        <is>
          <t>29/03/2026</t>
        </is>
      </c>
      <c r="I19229" t="inlineStr">
        <is>
          <t>17/03/2026</t>
        </is>
      </c>
      <c r="J19229" t="inlineStr">
        <is>
          <t>Kiến trúc, Xây dựng, Mỹ thuật / Nghệ thuật / Thiết kế</t>
        </is>
      </c>
      <c r="K19229" t="inlineStr">
        <is>
          <t>thực tế.Thưởng: Thưởng theo tiến độ hoàn thành dự án và hiệu quả công việc.</t>
        </is>
      </c>
      <c r="L19229" s="8">
        <f>HYPERLINK("https://careerviet.vn/vi/tim-viec-lam/ky-su-thiet-ke-canh-quan.35C6426B.html","Xem chi tiết")</f>
        <v/>
      </c>
    </row>
    <row r="19230">
      <c r="B19230" s="9" t="n">
        <v>19228</v>
      </c>
      <c r="C19230" s="10" t="inlineStr">
        <is>
          <t>Chuyên Viên Kiểm Thử Phần Mềm (Tester)</t>
        </is>
      </c>
      <c r="D19230" s="10" t="inlineStr">
        <is>
          <t>CÔNG TY CỔ PHẦN CHỨNG KHOÁN ASEAN</t>
        </is>
      </c>
      <c r="E19230" s="10" t="inlineStr">
        <is>
          <t>Lương:Cạnh tranh</t>
        </is>
      </c>
      <c r="F19230" s="10" t="inlineStr">
        <is>
          <t>Hà Nội</t>
        </is>
      </c>
      <c r="G19230" s="10" t="inlineStr">
        <is>
          <t>29-03-2026</t>
        </is>
      </c>
      <c r="H19230" s="10" t="inlineStr">
        <is>
          <t>29/03/2026</t>
        </is>
      </c>
      <c r="I19230" s="10" t="inlineStr">
        <is>
          <t>17/03/2026</t>
        </is>
      </c>
      <c r="J19230" s="10" t="inlineStr">
        <is>
          <t>Chứng khoán, CNTT - Phần mềm, Tài chính / Đầu tư</t>
        </is>
      </c>
      <c r="K19230" s="10" t="inlineStr">
        <is>
          <t>Trên 1 Năm</t>
        </is>
      </c>
      <c r="L19230" s="11">
        <f>HYPERLINK("https://careerviet.vn/vi/tim-viec-lam/chuyen-vien-kiem-thu-phan-mem-tester.35C642B3.html","Xem chi tiết")</f>
        <v/>
      </c>
      <c r="M19230" s="10" t="n"/>
    </row>
    <row r="19231">
      <c r="B19231" s="7" t="n">
        <v>19229</v>
      </c>
      <c r="C19231" t="inlineStr">
        <is>
          <t>Chuyên Viên/ CVCC Nhân Sự Tổng Hợp</t>
        </is>
      </c>
      <c r="D19231" t="inlineStr">
        <is>
          <t>CÔNG TY CỔ PHẦN CHỨNG KHOÁN ASEAN</t>
        </is>
      </c>
      <c r="E19231" t="inlineStr">
        <is>
          <t>Lương:Cạnh tranh</t>
        </is>
      </c>
      <c r="F19231" t="inlineStr">
        <is>
          <t>Hà Nội</t>
        </is>
      </c>
      <c r="G19231" t="inlineStr">
        <is>
          <t>29-03-2026</t>
        </is>
      </c>
      <c r="H19231" t="inlineStr">
        <is>
          <t>29/03/2026</t>
        </is>
      </c>
      <c r="I19231" t="inlineStr">
        <is>
          <t>17/03/2026</t>
        </is>
      </c>
      <c r="J19231" t="inlineStr">
        <is>
          <t>Luật / Pháp lý, Nhân sự, Tài chính / Đầu tư</t>
        </is>
      </c>
      <c r="K19231" t="inlineStr">
        <is>
          <t>Trên 3 Năm</t>
        </is>
      </c>
      <c r="L19231" s="8">
        <f>HYPERLINK("https://careerviet.vn/vi/tim-viec-lam/chuyen-vien-cvcc-nhan-su-tong-hop.35C642BC.html","Xem chi tiết")</f>
        <v/>
      </c>
    </row>
    <row r="19232">
      <c r="B19232" s="9" t="n">
        <v>19230</v>
      </c>
      <c r="C19232" s="10" t="inlineStr">
        <is>
          <t>[Hotel HN] EXECUTIVE CHEF (KHÁCH SẠN THÀNH CÔNG)</t>
        </is>
      </c>
      <c r="D19232" s="10" t="inlineStr">
        <is>
          <t>Công ty Cổ phần Tập đoàn Minh Anh</t>
        </is>
      </c>
      <c r="E19232" s="10" t="inlineStr">
        <is>
          <t>Lương:Cạnh tranh</t>
        </is>
      </c>
      <c r="F19232" s="10" t="inlineStr">
        <is>
          <t>Hà Nội</t>
        </is>
      </c>
      <c r="G19232" s="10" t="inlineStr">
        <is>
          <t>29-03-2026</t>
        </is>
      </c>
      <c r="H19232" s="10" t="inlineStr">
        <is>
          <t>29/03/2026</t>
        </is>
      </c>
      <c r="I19232" s="10" t="inlineStr">
        <is>
          <t>17/03/2026</t>
        </is>
      </c>
      <c r="J19232" s="10" t="inlineStr">
        <is>
          <t>Nhà hàng / Khách sạn, Du lịch, Công nghệ thực phẩm / Dinh dưỡng</t>
        </is>
      </c>
      <c r="K19232" s="10" t="inlineStr">
        <is>
          <t>5 - 10 Năm</t>
        </is>
      </c>
      <c r="L19232" s="11">
        <f>HYPERLINK("https://careerviet.vn/vi/tim-viec-lam/hotel-hn-executive-chef-khach-san-thanh-cong.35C66D27.html","Xem chi tiết")</f>
        <v/>
      </c>
      <c r="M19232" s="10" t="n"/>
    </row>
    <row r="19233">
      <c r="B19233" s="7" t="n">
        <v>19231</v>
      </c>
      <c r="C19233" t="inlineStr">
        <is>
          <t>Project Coordinator – Electrical &amp; Electronic Testing (RoHS/REACH)</t>
        </is>
      </c>
      <c r="D19233" t="inlineStr">
        <is>
          <t>TÜV SÜD Vietnam</t>
        </is>
      </c>
      <c r="E19233" t="inlineStr">
        <is>
          <t>Lương:Cạnh tranh</t>
        </is>
      </c>
      <c r="F19233" t="inlineStr">
        <is>
          <t>Hồ Chí Minh</t>
        </is>
      </c>
      <c r="G19233" t="inlineStr">
        <is>
          <t>29-03-2026</t>
        </is>
      </c>
      <c r="H19233" t="inlineStr">
        <is>
          <t>29/03/2026</t>
        </is>
      </c>
      <c r="I19233" t="inlineStr">
        <is>
          <t>17/03/2026</t>
        </is>
      </c>
      <c r="J19233" t="inlineStr">
        <is>
          <t>Điện / Điện tử / Điện lạnh / Điện công nghiệp, Quản lý chất lượng (QA/QC)</t>
        </is>
      </c>
      <c r="K19233" t="inlineStr">
        <is>
          <t>2 - 3 Năm</t>
        </is>
      </c>
      <c r="L19233" s="8">
        <f>HYPERLINK("https://careerviet.vn/vi/tim-viec-lam/project-coordinator-electrical-electronic-testing-rohs-reach.35C66D15.html","Xem chi tiết")</f>
        <v/>
      </c>
    </row>
    <row r="19234">
      <c r="B19234" s="9" t="n">
        <v>19232</v>
      </c>
      <c r="C19234" s="10" t="inlineStr">
        <is>
          <t>Data Engineer</t>
        </is>
      </c>
      <c r="D19234" s="10" t="inlineStr">
        <is>
          <t>Wanek Furniture</t>
        </is>
      </c>
      <c r="E19234" s="10" t="inlineStr">
        <is>
          <t>Lương:Cạnh tranh</t>
        </is>
      </c>
      <c r="F19234" s="10" t="inlineStr">
        <is>
          <t>Bình Dương</t>
        </is>
      </c>
      <c r="G19234" s="10" t="inlineStr">
        <is>
          <t>29-03-2026</t>
        </is>
      </c>
      <c r="H19234" s="10" t="inlineStr">
        <is>
          <t>29/03/2026</t>
        </is>
      </c>
      <c r="I19234" s="10" t="inlineStr">
        <is>
          <t>17/03/2026</t>
        </is>
      </c>
      <c r="J19234" s="10" t="inlineStr">
        <is>
          <t>CNTT - Phần mềm, Sản xuất / Vận hành sản xuất, Đồ gỗ</t>
        </is>
      </c>
      <c r="K19234" s="10" t="inlineStr">
        <is>
          <t>N/A</t>
        </is>
      </c>
      <c r="L19234" s="11">
        <f>HYPERLINK("https://careerviet.vn/vi/tim-viec-lam/data-engineer.35C66D74.html","Xem chi tiết")</f>
        <v/>
      </c>
      <c r="M19234" s="10" t="n"/>
    </row>
    <row r="19235">
      <c r="B19235" s="7" t="n">
        <v>19233</v>
      </c>
      <c r="C19235" t="inlineStr">
        <is>
          <t>[Miền Trung] Nhân viên kỹ thuật thủy sản – Khu vực Quảng Bình, Quảng Trị, Huế</t>
        </is>
      </c>
      <c r="D19235" t="inlineStr">
        <is>
          <t>Công Ty TNHH CJ Vina Agri</t>
        </is>
      </c>
      <c r="E19235" t="inlineStr">
        <is>
          <t>Lương:Cạnh tranh</t>
        </is>
      </c>
      <c r="F19235" t="inlineStr">
        <is>
          <t>Quảng Trị</t>
        </is>
      </c>
      <c r="G19235" t="inlineStr">
        <is>
          <t>29-03-2026</t>
        </is>
      </c>
      <c r="H19235" t="inlineStr">
        <is>
          <t>29/03/2026</t>
        </is>
      </c>
      <c r="I19235" t="inlineStr">
        <is>
          <t>17/03/2026</t>
        </is>
      </c>
      <c r="J19235" t="inlineStr">
        <is>
          <t>Thủy sản / Hải sản</t>
        </is>
      </c>
      <c r="K19235" t="inlineStr">
        <is>
          <t>2 - 3 Năm</t>
        </is>
      </c>
      <c r="L19235" s="8">
        <f>HYPERLINK("https://careerviet.vn/vi/tim-viec-lam/mien-trung-nhan-vien-ky-thuat-thuy-san-khu-vuc-quang-binh-quang-tri-hue.35C64152.html","Xem chi tiết")</f>
        <v/>
      </c>
    </row>
    <row r="19236">
      <c r="B19236" s="9" t="n">
        <v>19234</v>
      </c>
      <c r="C19236" s="10" t="inlineStr">
        <is>
          <t>Chuyên viên Tuyển dụng</t>
        </is>
      </c>
      <c r="D19236" s="10" t="inlineStr">
        <is>
          <t>Tập Đoàn Karofi Holding</t>
        </is>
      </c>
      <c r="E19236" s="10" t="inlineStr">
        <is>
          <t>Lương:10 Tr - 25 Tr VND</t>
        </is>
      </c>
      <c r="F19236" s="10" t="inlineStr">
        <is>
          <t>Hà Nội</t>
        </is>
      </c>
      <c r="G19236" s="10" t="inlineStr">
        <is>
          <t>29-03-2026</t>
        </is>
      </c>
      <c r="H19236" s="10" t="inlineStr">
        <is>
          <t>29/03/2026</t>
        </is>
      </c>
      <c r="I19236" s="10" t="inlineStr">
        <is>
          <t>17/03/2026</t>
        </is>
      </c>
      <c r="J19236" s="10" t="inlineStr">
        <is>
          <t>Nhân sự</t>
        </is>
      </c>
      <c r="K19236" s="10" t="inlineStr">
        <is>
          <t>2 - 5 Năm</t>
        </is>
      </c>
      <c r="L19236" s="11">
        <f>HYPERLINK("https://careerviet.vn/vi/tim-viec-lam/chuyen-vien-tuyen-dung.35C64104.html","Xem chi tiết")</f>
        <v/>
      </c>
      <c r="M19236" s="10" t="n"/>
    </row>
    <row r="19237">
      <c r="B19237" s="7" t="n">
        <v>19235</v>
      </c>
      <c r="C19237" t="inlineStr">
        <is>
          <t>Lab Technician – Colorfastness (Textile &amp; Garment Testing)</t>
        </is>
      </c>
      <c r="D19237" t="inlineStr">
        <is>
          <t>TÜV SÜD Vietnam</t>
        </is>
      </c>
      <c r="E19237" t="inlineStr">
        <is>
          <t>Lương:Cạnh tranh</t>
        </is>
      </c>
      <c r="F19237" t="inlineStr">
        <is>
          <t>Hồ Chí Minh</t>
        </is>
      </c>
      <c r="G19237" t="inlineStr">
        <is>
          <t>29-03-2026</t>
        </is>
      </c>
      <c r="H19237" t="inlineStr">
        <is>
          <t>29/03/2026</t>
        </is>
      </c>
      <c r="I19237" t="inlineStr">
        <is>
          <t>17/03/2026</t>
        </is>
      </c>
      <c r="J19237" t="inlineStr">
        <is>
          <t>Dệt may / Da giày / Thời trang, Quản lý chất lượng (QA/QC)</t>
        </is>
      </c>
      <c r="K19237" t="inlineStr">
        <is>
          <t>1 - 3 Năm</t>
        </is>
      </c>
      <c r="L19237" s="8">
        <f>HYPERLINK("https://careerviet.vn/vi/tim-viec-lam/lab-technician-colorfastness-textile-garment-testing.35C66D14.html","Xem chi tiết")</f>
        <v/>
      </c>
    </row>
    <row r="19238">
      <c r="B19238" s="9" t="n">
        <v>19236</v>
      </c>
      <c r="C19238" s="10" t="inlineStr">
        <is>
          <t>[PHENIKAA UNI] Tuyển dụng Giảng viên Bộ môn Kỹ thuật xét nghiệm y học- Khoa Kỹ thuật Y học</t>
        </is>
      </c>
      <c r="D19238" s="10" t="inlineStr">
        <is>
          <t>ĐẠI HỌC PHENIKAA</t>
        </is>
      </c>
      <c r="E19238" s="10" t="inlineStr">
        <is>
          <t>Lương:Cạnh tranh</t>
        </is>
      </c>
      <c r="F19238" s="10" t="inlineStr">
        <is>
          <t>Hà Nội</t>
        </is>
      </c>
      <c r="G19238" s="10" t="inlineStr">
        <is>
          <t>29-03-2026</t>
        </is>
      </c>
      <c r="H19238" s="10" t="inlineStr">
        <is>
          <t>29/03/2026</t>
        </is>
      </c>
      <c r="I19238" s="10" t="inlineStr">
        <is>
          <t>17/03/2026</t>
        </is>
      </c>
      <c r="J19238" s="10" t="inlineStr">
        <is>
          <t>Giáo dục / Đào tạo</t>
        </is>
      </c>
      <c r="K19238" s="10" t="inlineStr">
        <is>
          <t>1 - 2 Năm</t>
        </is>
      </c>
      <c r="L19238" s="11">
        <f>HYPERLINK("https://careerviet.vn/vi/tim-viec-lam/phenikaa-uni-tuyen-dung-giang-vien-bo-mon-ky-thuat-xet-nghiem-y-hoc-khoa-ky-thuat-y-hoc.35C64080.html","Xem chi tiết")</f>
        <v/>
      </c>
      <c r="M19238" s="10" t="n"/>
    </row>
    <row r="19239">
      <c r="B19239" s="7" t="n">
        <v>19237</v>
      </c>
      <c r="C19239" t="inlineStr">
        <is>
          <t>Officer - Technician (Nhân viên Kỹ thuật CLB Thể thao Celadon)</t>
        </is>
      </c>
      <c r="D19239" t="inlineStr">
        <is>
          <t>Công ty Cổ phần Gamuda Land (HCMC)</t>
        </is>
      </c>
      <c r="E19239" t="inlineStr">
        <is>
          <t>Lương:Cạnh tranh</t>
        </is>
      </c>
      <c r="F19239" t="inlineStr">
        <is>
          <t>Hồ Chí Minh</t>
        </is>
      </c>
      <c r="G19239" t="inlineStr">
        <is>
          <t>29-03-2026</t>
        </is>
      </c>
      <c r="H19239" t="inlineStr">
        <is>
          <t>29/03/2026</t>
        </is>
      </c>
      <c r="I19239" t="inlineStr">
        <is>
          <t>17/03/2026</t>
        </is>
      </c>
      <c r="J19239" t="inlineStr">
        <is>
          <t>Điện / Điện tử / Điện lạnh / Điện công nghiệp, Bảo trì / Sửa chữa, Xây dựng</t>
        </is>
      </c>
      <c r="K19239" t="inlineStr">
        <is>
          <t>1 - 3 Năm</t>
        </is>
      </c>
      <c r="L19239" s="8">
        <f>HYPERLINK("https://careerviet.vn/vi/tim-viec-lam/officer-technician-nhan-vien-ky-thuat-clb-the-thao-celadon.35C64DA6.html","Xem chi tiết")</f>
        <v/>
      </c>
    </row>
    <row r="19240">
      <c r="B19240" s="9" t="n">
        <v>19238</v>
      </c>
      <c r="C19240" s="10" t="inlineStr">
        <is>
          <t>Nhân Viên Pha Chế Quán Cafe (Barista)</t>
        </is>
      </c>
      <c r="D19240" s="10" t="inlineStr">
        <is>
          <t>Công ty TNHH Sản xuất Thương mại &amp; Dịch vụ Hoa Xinh</t>
        </is>
      </c>
      <c r="E19240" s="10" t="inlineStr">
        <is>
          <t>Lương:7 Tr - 8 Tr VND</t>
        </is>
      </c>
      <c r="F19240" s="10" t="inlineStr">
        <is>
          <t>Hồ Chí MinhBà Rịa - Vũng Tàu</t>
        </is>
      </c>
      <c r="G19240" s="10" t="inlineStr">
        <is>
          <t>29-03-2026</t>
        </is>
      </c>
      <c r="H19240" s="10" t="inlineStr">
        <is>
          <t>29/03/2026</t>
        </is>
      </c>
      <c r="I19240" s="10" t="inlineStr">
        <is>
          <t>17/03/2026</t>
        </is>
      </c>
      <c r="J19240" s="10" t="inlineStr">
        <is>
          <t>Lao động phổ thông, Thực phẩm &amp; Đồ uống, Nhà hàng / Khách sạn</t>
        </is>
      </c>
      <c r="K19240" s="10" t="inlineStr">
        <is>
          <t>1 - 2 Năm</t>
        </is>
      </c>
      <c r="L19240" s="11">
        <f>HYPERLINK("https://careerviet.vn/vi/tim-viec-lam/nhan-vien-pha-che-quan-cafe-barista.35C64255.html","Xem chi tiết")</f>
        <v/>
      </c>
      <c r="M19240" s="10" t="n"/>
    </row>
    <row r="19241">
      <c r="B19241" s="7" t="n">
        <v>19239</v>
      </c>
      <c r="C19241" t="inlineStr">
        <is>
          <t>Business Development Representative – Construction Testing &amp; Certification</t>
        </is>
      </c>
      <c r="D19241" t="inlineStr">
        <is>
          <t>TÜV SÜD Vietnam</t>
        </is>
      </c>
      <c r="E19241" t="inlineStr">
        <is>
          <t>Lương:Cạnh tranh</t>
        </is>
      </c>
      <c r="F19241" t="inlineStr">
        <is>
          <t>Hồ Chí Minh</t>
        </is>
      </c>
      <c r="G19241" t="inlineStr">
        <is>
          <t>29-03-2026</t>
        </is>
      </c>
      <c r="H19241" t="inlineStr">
        <is>
          <t>29/03/2026</t>
        </is>
      </c>
      <c r="I19241" t="inlineStr">
        <is>
          <t>17/03/2026</t>
        </is>
      </c>
      <c r="J19241" t="inlineStr">
        <is>
          <t>Bán hàng / Kinh doanh, Xây dựng, Bất động sản</t>
        </is>
      </c>
      <c r="K19241" t="inlineStr">
        <is>
          <t>3 - 6 Năm</t>
        </is>
      </c>
      <c r="L19241" s="8">
        <f>HYPERLINK("https://careerviet.vn/vi/tim-viec-lam/business-development-representative-construction-testing-certification.35C66CF1.html","Xem chi tiết")</f>
        <v/>
      </c>
    </row>
    <row r="19242">
      <c r="B19242" s="9" t="n">
        <v>19240</v>
      </c>
      <c r="C19242" s="10" t="inlineStr">
        <is>
          <t>Chuyên gia – Xi mạ</t>
        </is>
      </c>
      <c r="D19242" s="10" t="inlineStr">
        <is>
          <t>CÔNG TY TNHH MTV CHẾ TÁC VÀ KINH DOANH TRANG SỨC PNJ</t>
        </is>
      </c>
      <c r="E19242" s="10" t="inlineStr">
        <is>
          <t>Lương:Cạnh tranh</t>
        </is>
      </c>
      <c r="F19242" s="10" t="inlineStr">
        <is>
          <t>Hồ Chí Minh</t>
        </is>
      </c>
      <c r="G19242" s="10" t="inlineStr">
        <is>
          <t>29-03-2026</t>
        </is>
      </c>
      <c r="H19242" s="10" t="inlineStr">
        <is>
          <t>29/03/2026</t>
        </is>
      </c>
      <c r="I19242" s="10" t="inlineStr">
        <is>
          <t>17/03/2026</t>
        </is>
      </c>
      <c r="J19242" s="10" t="inlineStr">
        <is>
          <t>Hóa học, Sản xuất / Vận hành sản xuất</t>
        </is>
      </c>
      <c r="K19242" s="10" t="inlineStr">
        <is>
          <t>5 - 10 Năm</t>
        </is>
      </c>
      <c r="L19242" s="11">
        <f>HYPERLINK("https://careerviet.vn/vi/tim-viec-lam/chuyen-gia-xi-ma.35C66DE7.html","Xem chi tiết")</f>
        <v/>
      </c>
      <c r="M19242" s="10" t="n"/>
    </row>
    <row r="19243">
      <c r="B19243" s="7" t="n">
        <v>19241</v>
      </c>
      <c r="C19243" t="inlineStr">
        <is>
          <t>Technical Support Engineer</t>
        </is>
      </c>
      <c r="D19243" t="inlineStr">
        <is>
          <t>CÔNG TY CỔ PHẦN GREMSY</t>
        </is>
      </c>
      <c r="E19243" t="inlineStr">
        <is>
          <t>Lương:Cạnh tranh</t>
        </is>
      </c>
      <c r="F19243" t="inlineStr">
        <is>
          <t>Hồ Chí Minh</t>
        </is>
      </c>
      <c r="G19243" t="inlineStr">
        <is>
          <t>29-03-2026</t>
        </is>
      </c>
      <c r="H19243" t="inlineStr">
        <is>
          <t>29/03/2026</t>
        </is>
      </c>
      <c r="I19243" t="inlineStr">
        <is>
          <t>17/03/2026</t>
        </is>
      </c>
      <c r="J19243" t="inlineStr">
        <is>
          <t>Cơ khí / Ô tô / Tự động hóa, CNTT - Phần mềm, CNTT - Phần cứng / Mạng</t>
        </is>
      </c>
      <c r="K19243" t="inlineStr">
        <is>
          <t>1 - 3 Năm</t>
        </is>
      </c>
      <c r="L19243" s="8">
        <f>HYPERLINK("https://careerviet.vn/vi/tim-viec-lam/technical-support-engineer.35C63F89.html","Xem chi tiết")</f>
        <v/>
      </c>
    </row>
    <row r="19244">
      <c r="B19244" s="9" t="n">
        <v>19242</v>
      </c>
      <c r="C19244" s="10" t="inlineStr">
        <is>
          <t>Laboratory Technician (Testing Laboratory - Electrical &amp; Electronic)</t>
        </is>
      </c>
      <c r="D19244" s="10" t="inlineStr">
        <is>
          <t>TÜV SÜD Vietnam</t>
        </is>
      </c>
      <c r="E19244" s="10" t="inlineStr">
        <is>
          <t>Lương:Cạnh tranh</t>
        </is>
      </c>
      <c r="F19244" s="10" t="inlineStr">
        <is>
          <t>Hồ Chí Minh</t>
        </is>
      </c>
      <c r="G19244" s="10" t="inlineStr">
        <is>
          <t>29-03-2026</t>
        </is>
      </c>
      <c r="H19244" s="10" t="inlineStr">
        <is>
          <t>29/03/2026</t>
        </is>
      </c>
      <c r="I19244" s="10" t="inlineStr">
        <is>
          <t>17/03/2026</t>
        </is>
      </c>
      <c r="J19244" s="10" t="inlineStr">
        <is>
          <t>Điện / Điện tử / Điện lạnh / Điện công nghiệp, Quản lý chất lượng (QA/QC)</t>
        </is>
      </c>
      <c r="K19244" s="10" t="inlineStr">
        <is>
          <t>1 - 3 Năm</t>
        </is>
      </c>
      <c r="L19244" s="11">
        <f>HYPERLINK("https://careerviet.vn/vi/tim-viec-lam/laboratory-technician-testing-laboratory-electrical-electronic.35C66D2A.html","Xem chi tiết")</f>
        <v/>
      </c>
      <c r="M19244" s="10" t="n"/>
    </row>
    <row r="19245">
      <c r="B19245" s="7" t="n">
        <v>19243</v>
      </c>
      <c r="C19245" t="inlineStr">
        <is>
          <t>Chuyên viên C&amp;B</t>
        </is>
      </c>
      <c r="D19245" t="inlineStr">
        <is>
          <t>Công Ty Cổ Phần Đầu Tư Sản Xuất Thương Mại Đại Thành</t>
        </is>
      </c>
      <c r="E19245" t="inlineStr">
        <is>
          <t>Lương:11 Tr - 12 Tr VND</t>
        </is>
      </c>
      <c r="F19245" t="inlineStr">
        <is>
          <t>Long An</t>
        </is>
      </c>
      <c r="G19245" t="inlineStr">
        <is>
          <t>29-03-2026</t>
        </is>
      </c>
      <c r="H19245" t="inlineStr">
        <is>
          <t>29/03/2026</t>
        </is>
      </c>
      <c r="I19245" t="inlineStr">
        <is>
          <t>17/03/2026</t>
        </is>
      </c>
      <c r="J19245" t="inlineStr">
        <is>
          <t>Nhân sự</t>
        </is>
      </c>
      <c r="K19245" t="inlineStr">
        <is>
          <t>1 - 2 Năm</t>
        </is>
      </c>
      <c r="L19245" s="8">
        <f>HYPERLINK("https://careerviet.vn/vi/tim-viec-lam/chuyen-vien-c-b.35C66D5A.html","Xem chi tiết")</f>
        <v/>
      </c>
    </row>
    <row r="19246">
      <c r="B19246" s="9" t="n">
        <v>19244</v>
      </c>
      <c r="C19246" s="10" t="inlineStr">
        <is>
          <t>Chuyên viên tuyển dụng</t>
        </is>
      </c>
      <c r="D19246" s="10" t="inlineStr">
        <is>
          <t>CÔNG TY TNHH ĐẦU TƯ ITS</t>
        </is>
      </c>
      <c r="E19246" s="10" t="inlineStr">
        <is>
          <t>Lương:9 Tr - 14 Tr VND</t>
        </is>
      </c>
      <c r="F19246" s="10" t="inlineStr">
        <is>
          <t>Hồ Chí Minh</t>
        </is>
      </c>
      <c r="G19246" s="10" t="inlineStr">
        <is>
          <t>29-03-2026</t>
        </is>
      </c>
      <c r="H19246" s="10" t="inlineStr">
        <is>
          <t>29/03/2026</t>
        </is>
      </c>
      <c r="I19246" s="10" t="inlineStr">
        <is>
          <t>17/03/2026</t>
        </is>
      </c>
      <c r="J19246" s="10" t="inlineStr">
        <is>
          <t>Nhân sự</t>
        </is>
      </c>
      <c r="K19246" s="10" t="inlineStr">
        <is>
          <t>1 - 3 Năm</t>
        </is>
      </c>
      <c r="L19246" s="11">
        <f>HYPERLINK("https://careerviet.vn/vi/tim-viec-lam/chuyen-vien-tuyen-dung.35C66CFF.html","Xem chi tiết")</f>
        <v/>
      </c>
      <c r="M19246" s="10" t="n"/>
    </row>
    <row r="19247">
      <c r="B19247" s="7" t="n">
        <v>19245</v>
      </c>
      <c r="C19247" t="inlineStr">
        <is>
          <t>Thủ kho</t>
        </is>
      </c>
      <c r="D19247" t="inlineStr">
        <is>
          <t>Công Ty Cổ Phần Xây Dựng CDC</t>
        </is>
      </c>
      <c r="E19247" t="inlineStr">
        <is>
          <t>Lương:Cạnh tranh</t>
        </is>
      </c>
      <c r="F19247" t="inlineStr">
        <is>
          <t>Quảng Ninh</t>
        </is>
      </c>
      <c r="G19247" t="inlineStr">
        <is>
          <t>29-03-2026</t>
        </is>
      </c>
      <c r="H19247" t="inlineStr">
        <is>
          <t>29/03/2026</t>
        </is>
      </c>
      <c r="I19247" t="inlineStr">
        <is>
          <t>17/03/2026</t>
        </is>
      </c>
      <c r="J19247" t="inlineStr">
        <is>
          <t>Xây dựng</t>
        </is>
      </c>
      <c r="K19247" t="inlineStr">
        <is>
          <t>1 - 3 Năm</t>
        </is>
      </c>
      <c r="L19247" s="8">
        <f>HYPERLINK("https://careerviet.vn/vi/tim-viec-lam/thu-kho.35C6418E.html","Xem chi tiết")</f>
        <v/>
      </c>
    </row>
    <row r="19248">
      <c r="B19248" s="9" t="n">
        <v>19246</v>
      </c>
      <c r="C19248" s="10" t="inlineStr">
        <is>
          <t>NHÂN VIÊN KẾ TOÁN KÍCH HOẠT THẺ XE - NGUYỄN TRÃI, HÀ NỘI</t>
        </is>
      </c>
      <c r="D19248" s="10" t="inlineStr">
        <is>
          <t>Hoàng Huy Group</t>
        </is>
      </c>
      <c r="E19248" s="10" t="inlineStr">
        <is>
          <t>Lương:9 Tr - 11 Tr VND</t>
        </is>
      </c>
      <c r="F19248" s="10" t="inlineStr">
        <is>
          <t>Hà Nội</t>
        </is>
      </c>
      <c r="G19248" s="10" t="inlineStr">
        <is>
          <t>29-03-2026</t>
        </is>
      </c>
      <c r="H19248" s="10" t="inlineStr">
        <is>
          <t>29/03/2026</t>
        </is>
      </c>
      <c r="I19248" s="10" t="inlineStr">
        <is>
          <t>17/03/2026</t>
        </is>
      </c>
      <c r="J19248" s="10" t="inlineStr">
        <is>
          <t>Kế toán / Kiểm toán</t>
        </is>
      </c>
      <c r="K19248" s="10" t="inlineStr">
        <is>
          <t>1 - 2 Năm</t>
        </is>
      </c>
      <c r="L19248" s="11">
        <f>HYPERLINK("https://careerviet.vn/vi/tim-viec-lam/nhan-vien-ke-toan-kich-hoat-the-xe-nguyen-trai-ha-noi.35C641F9.html","Xem chi tiết")</f>
        <v/>
      </c>
      <c r="M19248" s="10" t="n"/>
    </row>
    <row r="19249">
      <c r="B19249" s="7" t="n">
        <v>19247</v>
      </c>
      <c r="C19249" t="inlineStr">
        <is>
          <t>Production Planning Officer/ Nhân Viên Lập Kế Hoạch Sản Xuất</t>
        </is>
      </c>
      <c r="D19249" t="inlineStr">
        <is>
          <t>CÔNG TY TNHH THANTAWAN INDUSTRY (VIỆT NAM)</t>
        </is>
      </c>
      <c r="E19249" t="inlineStr">
        <is>
          <t>Lương:Cạnh tranh</t>
        </is>
      </c>
      <c r="F19249" t="inlineStr">
        <is>
          <t>Tây NinhBình DươngĐồng Nai</t>
        </is>
      </c>
      <c r="G19249" t="inlineStr">
        <is>
          <t>28-03-2026</t>
        </is>
      </c>
      <c r="H19249" t="inlineStr">
        <is>
          <t>28/03/2026</t>
        </is>
      </c>
      <c r="I19249" t="inlineStr">
        <is>
          <t>17/03/2026</t>
        </is>
      </c>
      <c r="J19249" t="inlineStr">
        <is>
          <t>Sản xuất / Vận hành sản xuất, Thống kê, Thu mua / Vật tư</t>
        </is>
      </c>
      <c r="K19249" t="inlineStr">
        <is>
          <t>Trên 1 Năm</t>
        </is>
      </c>
      <c r="L19249" s="8">
        <f>HYPERLINK("https://careerviet.vn/vi/tim-viec-lam/production-planning-officer-nhan-vien-lap-ke-hoach-san-xuat.35C663B7.html","Xem chi tiết")</f>
        <v/>
      </c>
    </row>
    <row r="19250">
      <c r="B19250" s="9" t="n">
        <v>19248</v>
      </c>
      <c r="C19250" s="10" t="inlineStr">
        <is>
          <t>Product Engineer (Sofa 3D Frame)</t>
        </is>
      </c>
      <c r="D19250" s="10" t="inlineStr">
        <is>
          <t>Wanek Furniture</t>
        </is>
      </c>
      <c r="E19250" s="10" t="inlineStr">
        <is>
          <t>Lương:Cạnh tranh</t>
        </is>
      </c>
      <c r="F19250" s="10" t="inlineStr">
        <is>
          <t>Bình Dương</t>
        </is>
      </c>
      <c r="G19250" s="10" t="inlineStr">
        <is>
          <t>28-03-2026</t>
        </is>
      </c>
      <c r="H19250" s="10" t="inlineStr">
        <is>
          <t>28/03/2026</t>
        </is>
      </c>
      <c r="I19250" s="10" t="inlineStr">
        <is>
          <t>17/03/2026</t>
        </is>
      </c>
      <c r="J19250" s="10" t="inlineStr">
        <is>
          <t>Sản xuất / Vận hành sản xuất, Nội ngoại thất, Mỹ thuật / Nghệ thuật / Thiết kế</t>
        </is>
      </c>
      <c r="K19250" s="10" t="inlineStr">
        <is>
          <t>1 - 3 Năm</t>
        </is>
      </c>
      <c r="L19250" s="11">
        <f>HYPERLINK("https://careerviet.vn/vi/tim-viec-lam/product-engineer-sofa-3d-frame.35C66AD9.html","Xem chi tiết")</f>
        <v/>
      </c>
      <c r="M19250" s="10" t="n"/>
    </row>
    <row r="19251">
      <c r="B19251" s="7" t="n">
        <v>19249</v>
      </c>
      <c r="C19251" t="inlineStr">
        <is>
          <t>Thư ký dự án Cơ điện</t>
        </is>
      </c>
      <c r="D19251" t="inlineStr">
        <is>
          <t>Công Ty Cổ Phần Xây Dựng CDC</t>
        </is>
      </c>
      <c r="E19251" t="inlineStr">
        <is>
          <t>Lương:10 Tr - 13 Tr VND</t>
        </is>
      </c>
      <c r="F19251" t="inlineStr">
        <is>
          <t>Bình DươngĐà Nẵng</t>
        </is>
      </c>
      <c r="G19251" t="inlineStr">
        <is>
          <t>29-03-2026</t>
        </is>
      </c>
      <c r="H19251" t="inlineStr">
        <is>
          <t>29/03/2026</t>
        </is>
      </c>
      <c r="I19251" t="inlineStr">
        <is>
          <t>17/03/2026</t>
        </is>
      </c>
      <c r="J19251" t="inlineStr">
        <is>
          <t>Xây dựng</t>
        </is>
      </c>
      <c r="K19251" t="inlineStr">
        <is>
          <t>1 - 2 Năm</t>
        </is>
      </c>
      <c r="L19251" s="8">
        <f>HYPERLINK("https://careerviet.vn/vi/tim-viec-lam/thu-ky-du-an-co-dien.35C64170.html","Xem chi tiết")</f>
        <v/>
      </c>
    </row>
    <row r="19252">
      <c r="B19252" s="9" t="n">
        <v>19250</v>
      </c>
      <c r="C19252" s="10" t="inlineStr">
        <is>
          <t>Nhân viên bán hàng Bảo Lộc - Lâm Đồng</t>
        </is>
      </c>
      <c r="D19252" s="10" t="inlineStr">
        <is>
          <t>Công ty CP Toshiko Việt Nam</t>
        </is>
      </c>
      <c r="E19252" s="10" t="inlineStr">
        <is>
          <t>Lương:10 Tr - 15 Tr VND</t>
        </is>
      </c>
      <c r="F19252" s="10" t="inlineStr">
        <is>
          <t>Lâm Đồng</t>
        </is>
      </c>
      <c r="G19252" s="10" t="inlineStr">
        <is>
          <t>28-03-2026</t>
        </is>
      </c>
      <c r="H19252" s="10" t="inlineStr">
        <is>
          <t>28/03/2026</t>
        </is>
      </c>
      <c r="I19252" s="10" t="inlineStr">
        <is>
          <t>17/03/2026</t>
        </is>
      </c>
      <c r="J19252" s="10" t="inlineStr">
        <is>
          <t>Bán lẻ / Bán sỉ, Bán hàng / Kinh doanh, Tư vấn</t>
        </is>
      </c>
      <c r="K19252" s="10" t="inlineStr">
        <is>
          <t>1 - 2 Năm</t>
        </is>
      </c>
      <c r="L19252" s="11">
        <f>HYPERLINK("https://careerviet.vn/vi/tim-viec-lam/nhan-vien-ban-hang-bao-loc-lam-dong.35C64061.html","Xem chi tiết")</f>
        <v/>
      </c>
      <c r="M19252" s="10" t="n"/>
    </row>
    <row r="19253">
      <c r="B19253" s="7" t="n">
        <v>19251</v>
      </c>
      <c r="C19253" t="inlineStr">
        <is>
          <t>CHỦ QUẢN XƯỞNG NHẬN VIỆC NGAY</t>
        </is>
      </c>
      <c r="D19253" t="inlineStr">
        <is>
          <t>CÔNG TY TNHH ĐIỆN KHÍ QUỐC QUANG (VIỆT NAM)</t>
        </is>
      </c>
      <c r="E19253" t="inlineStr">
        <is>
          <t>Lương:Cạnh tranh</t>
        </is>
      </c>
      <c r="F19253" t="inlineStr">
        <is>
          <t>Quảng NamĐà Nẵng</t>
        </is>
      </c>
      <c r="G19253" t="inlineStr">
        <is>
          <t>28-03-2026</t>
        </is>
      </c>
      <c r="H19253" t="inlineStr">
        <is>
          <t>28/03/2026</t>
        </is>
      </c>
      <c r="I19253" t="inlineStr">
        <is>
          <t>17/03/2026</t>
        </is>
      </c>
      <c r="J19253" t="inlineStr">
        <is>
          <t>Quản lý điều hành, Sản xuất / Vận hành sản xuất</t>
        </is>
      </c>
      <c r="K19253" t="inlineStr">
        <is>
          <t>3 - 5 Năm</t>
        </is>
      </c>
      <c r="L19253" s="8">
        <f>HYPERLINK("https://careerviet.vn/vi/tim-viec-lam/chu-quan-xuong-nhan-viec-ngay.35C66A8B.html","Xem chi tiết")</f>
        <v/>
      </c>
    </row>
    <row r="19254">
      <c r="B19254" s="9" t="n">
        <v>19252</v>
      </c>
      <c r="C19254" s="10" t="inlineStr">
        <is>
          <t>Nhân viên quản lý kho vận (khu vực Miền Nam)</t>
        </is>
      </c>
      <c r="D19254" s="10" t="inlineStr">
        <is>
          <t>CÔNG TY TNHH DAESANG VIỆT NAM</t>
        </is>
      </c>
      <c r="E19254" s="10" t="inlineStr">
        <is>
          <t>Lương:10 Tr - 12 Tr VND</t>
        </is>
      </c>
      <c r="F19254" s="10" t="inlineStr">
        <is>
          <t>Hồ Chí Minh</t>
        </is>
      </c>
      <c r="G19254" s="10" t="inlineStr">
        <is>
          <t>28-03-2026</t>
        </is>
      </c>
      <c r="H19254" s="10" t="inlineStr">
        <is>
          <t>28/03/2026</t>
        </is>
      </c>
      <c r="I19254" s="10" t="inlineStr">
        <is>
          <t>17/03/2026</t>
        </is>
      </c>
      <c r="J19254" s="10" t="inlineStr">
        <is>
          <t>Vận chuyển / Giao nhận / Kho vận, Thực phẩm &amp; Đồ uống, Quản lý điều hành</t>
        </is>
      </c>
      <c r="K19254" s="10" t="inlineStr">
        <is>
          <t>2 - 3 Năm</t>
        </is>
      </c>
      <c r="L19254" s="11">
        <f>HYPERLINK("https://careerviet.vn/vi/tim-viec-lam/nhan-vien-quan-ly-kho-van-khu-vuc-mien-nam.35C66BAB.html","Xem chi tiết")</f>
        <v/>
      </c>
      <c r="M19254" s="10" t="n"/>
    </row>
    <row r="19255">
      <c r="B19255" s="7" t="n">
        <v>19253</v>
      </c>
      <c r="C19255" t="inlineStr">
        <is>
          <t>Assistant Brand Manager - Male Grooming</t>
        </is>
      </c>
      <c r="D19255" t="inlineStr">
        <is>
          <t>Marico South East Asia Corporation</t>
        </is>
      </c>
      <c r="E19255" t="inlineStr">
        <is>
          <t>Lương:Cạnh tranh</t>
        </is>
      </c>
      <c r="F19255" t="inlineStr">
        <is>
          <t>Hồ Chí Minh</t>
        </is>
      </c>
      <c r="G19255" t="inlineStr">
        <is>
          <t>28-03-2026</t>
        </is>
      </c>
      <c r="H19255" t="inlineStr">
        <is>
          <t>28/03/2026</t>
        </is>
      </c>
      <c r="I19255" t="inlineStr">
        <is>
          <t>17/03/2026</t>
        </is>
      </c>
      <c r="J19255" t="inlineStr">
        <is>
          <t>Tiếp thị / Marketing</t>
        </is>
      </c>
      <c r="K19255" t="inlineStr">
        <is>
          <t>Trên 2 Năm</t>
        </is>
      </c>
      <c r="L19255" s="8">
        <f>HYPERLINK("https://careerviet.vn/vi/tim-viec-lam/assistant-brand-manager-male-grooming.35C66BA8.html","Xem chi tiết")</f>
        <v/>
      </c>
    </row>
    <row r="19256">
      <c r="B19256" s="9" t="n">
        <v>19254</v>
      </c>
      <c r="C19256" s="10" t="inlineStr">
        <is>
          <t>Artist (Học Viện Bò và Gấu)</t>
        </is>
      </c>
      <c r="D19256" s="10" t="inlineStr">
        <is>
          <t>Công ty Cổ phần Chứng khoán DNSE</t>
        </is>
      </c>
      <c r="E19256" s="10" t="inlineStr">
        <is>
          <t>Lương:Cạnh tranh</t>
        </is>
      </c>
      <c r="F19256" s="10" t="inlineStr">
        <is>
          <t>Hà Nội</t>
        </is>
      </c>
      <c r="G19256" s="10" t="inlineStr">
        <is>
          <t>28-03-2026</t>
        </is>
      </c>
      <c r="H19256" s="10" t="inlineStr">
        <is>
          <t>28/03/2026</t>
        </is>
      </c>
      <c r="I19256" s="10" t="inlineStr">
        <is>
          <t>17/03/2026</t>
        </is>
      </c>
      <c r="J19256" s="10" t="inlineStr">
        <is>
          <t>Quảng cáo / Đối ngoại / Truyền Thông, CNTT - Phần mềm, Mỹ thuật / Nghệ thuật / Thiết kế</t>
        </is>
      </c>
      <c r="K19256" s="10" t="inlineStr">
        <is>
          <t>Trên 2 Năm</t>
        </is>
      </c>
      <c r="L19256" s="11">
        <f>HYPERLINK("https://careerviet.vn/vi/tim-viec-lam/artist-hoc-vien-bo-va-gau.35C66C14.html","Xem chi tiết")</f>
        <v/>
      </c>
      <c r="M19256" s="10" t="n"/>
    </row>
    <row r="19257">
      <c r="B19257" s="7" t="n">
        <v>19255</v>
      </c>
      <c r="C19257" t="inlineStr">
        <is>
          <t>Typist</t>
        </is>
      </c>
      <c r="D19257" t="inlineStr">
        <is>
          <t>TÜV SÜD Vietnam</t>
        </is>
      </c>
      <c r="E19257" t="inlineStr">
        <is>
          <t>Lương:Cạnh tranh</t>
        </is>
      </c>
      <c r="F19257" t="inlineStr">
        <is>
          <t>Hồ Chí Minh</t>
        </is>
      </c>
      <c r="G19257" t="inlineStr">
        <is>
          <t>29-03-2026</t>
        </is>
      </c>
      <c r="H19257" t="inlineStr">
        <is>
          <t>29/03/2026</t>
        </is>
      </c>
      <c r="I19257" t="inlineStr">
        <is>
          <t>17/03/2026</t>
        </is>
      </c>
      <c r="J19257" t="inlineStr">
        <is>
          <t>Hóa học, Dệt may / Da giày / Thời trang, Ngành khác</t>
        </is>
      </c>
      <c r="K19257" t="inlineStr">
        <is>
          <t>N/A</t>
        </is>
      </c>
      <c r="L19257" s="8">
        <f>HYPERLINK("https://careerviet.vn/vi/tim-viec-lam/typist.35C66D28.html","Xem chi tiết")</f>
        <v/>
      </c>
    </row>
    <row r="19258">
      <c r="B19258" s="9" t="n">
        <v>19256</v>
      </c>
      <c r="C19258" s="10" t="inlineStr">
        <is>
          <t>Nhân viên Kinh doanh Khách lẻ thuộc Văn phòng Đăng ký Du lịch Tuy Hòa</t>
        </is>
      </c>
      <c r="D19258" s="10" t="inlineStr">
        <is>
          <t>Công Ty Cổ Phần Du Lịch Vietravel</t>
        </is>
      </c>
      <c r="E19258" s="10" t="inlineStr">
        <is>
          <t>Lương:Cạnh tranh</t>
        </is>
      </c>
      <c r="F19258" s="10" t="inlineStr">
        <is>
          <t>Phú Yên</t>
        </is>
      </c>
      <c r="G19258" s="10" t="inlineStr">
        <is>
          <t>29-03-2026</t>
        </is>
      </c>
      <c r="H19258" s="10" t="inlineStr">
        <is>
          <t>29/03/2026</t>
        </is>
      </c>
      <c r="I19258" s="10" t="inlineStr">
        <is>
          <t>17/03/2026</t>
        </is>
      </c>
      <c r="J19258" s="10" t="inlineStr">
        <is>
          <t>Bán hàng / Kinh doanh, Du lịch, Dịch vụ khách hàng</t>
        </is>
      </c>
      <c r="K19258" s="10" t="inlineStr">
        <is>
          <t>Trên 1 Năm</t>
        </is>
      </c>
      <c r="L19258" s="11">
        <f>HYPERLINK("https://careerviet.vn/vi/tim-viec-lam/nhan-vien-kinh-doanh-khach-le-thuoc-van-phong-dang-ky-du-lich-tuy-hoa.35C64154.html","Xem chi tiết")</f>
        <v/>
      </c>
      <c r="M19258" s="10" t="n"/>
    </row>
    <row r="19259">
      <c r="B19259" s="7" t="n">
        <v>19257</v>
      </c>
      <c r="C19259" t="inlineStr">
        <is>
          <t>KỸ SƯ BẢO TRÌ (TỰ ĐỘNG HÓA) - Đi ca 12 tiếng - Nhơn Trạch</t>
        </is>
      </c>
      <c r="D19259" t="inlineStr">
        <is>
          <t>Summit Polymers Vietnam Co Ltd.</t>
        </is>
      </c>
      <c r="E19259" t="inlineStr">
        <is>
          <t>Lương:Cạnh tranh</t>
        </is>
      </c>
      <c r="F19259" t="inlineStr">
        <is>
          <t>Đồng Nai</t>
        </is>
      </c>
      <c r="G19259" t="inlineStr">
        <is>
          <t>28-03-2026</t>
        </is>
      </c>
      <c r="H19259" t="inlineStr">
        <is>
          <t>28/03/2026</t>
        </is>
      </c>
      <c r="I19259" t="inlineStr">
        <is>
          <t>17/03/2026</t>
        </is>
      </c>
      <c r="J19259" t="inlineStr">
        <is>
          <t>Cơ khí / Ô tô / Tự động hóa, Sản xuất / Vận hành sản xuất</t>
        </is>
      </c>
      <c r="K19259" t="inlineStr">
        <is>
          <t>3 - 4 Năm</t>
        </is>
      </c>
      <c r="L19259" s="8">
        <f>HYPERLINK("https://careerviet.vn/vi/tim-viec-lam/ky-su-bao-tri-tu-dong-hoa-di-ca-12-tieng-nhon-trach.35C66BCB.html","Xem chi tiết")</f>
        <v/>
      </c>
    </row>
    <row r="19260">
      <c r="B19260" s="9" t="n">
        <v>19258</v>
      </c>
      <c r="C19260" s="10" t="inlineStr">
        <is>
          <t>Service Engineer/ Electrical Engineer (Fluent in English)</t>
        </is>
      </c>
      <c r="D19260" s="10" t="inlineStr">
        <is>
          <t>Sunlight Electrical (Vietnam) Co., Ltd.</t>
        </is>
      </c>
      <c r="E19260" s="10" t="inlineStr">
        <is>
          <t>Lương:12 Tr - 20 Tr VND</t>
        </is>
      </c>
      <c r="F19260" s="10" t="inlineStr">
        <is>
          <t>Bình Dương</t>
        </is>
      </c>
      <c r="G19260" s="10" t="inlineStr">
        <is>
          <t>29-03-2026</t>
        </is>
      </c>
      <c r="H19260" s="10" t="inlineStr">
        <is>
          <t>29/03/2026</t>
        </is>
      </c>
      <c r="I19260" s="10" t="inlineStr">
        <is>
          <t>17/03/2026</t>
        </is>
      </c>
      <c r="J19260" s="10" t="inlineStr">
        <is>
          <t>Dịch vụ khách hàng, Điện / Điện tử / Điện lạnh / Điện công nghiệp</t>
        </is>
      </c>
      <c r="K19260" s="10" t="inlineStr">
        <is>
          <t>2 - 5 Năm</t>
        </is>
      </c>
      <c r="L19260" s="11">
        <f>HYPERLINK("https://careerviet.vn/vi/tim-viec-lam/service-engineer-electrical-engineer-fluent-in-english.35C66DBF.html","Xem chi tiết")</f>
        <v/>
      </c>
      <c r="M19260" s="10" t="n"/>
    </row>
    <row r="19261">
      <c r="B19261" s="7" t="n">
        <v>19259</v>
      </c>
      <c r="C19261" t="inlineStr">
        <is>
          <t>Chuyên viên IT Help Desk</t>
        </is>
      </c>
      <c r="D19261" t="inlineStr">
        <is>
          <t>CÔNG TY CỔ PHẦN PHÁT TRIỂN BẤT ĐỘNG SẢN VĂN PHÚ</t>
        </is>
      </c>
      <c r="E19261" t="inlineStr">
        <is>
          <t>Lương:Cạnh tranh</t>
        </is>
      </c>
      <c r="F19261" t="inlineStr">
        <is>
          <t>Hà Nội</t>
        </is>
      </c>
      <c r="G19261" t="inlineStr">
        <is>
          <t>28-03-2026</t>
        </is>
      </c>
      <c r="H19261" t="inlineStr">
        <is>
          <t>28/03/2026</t>
        </is>
      </c>
      <c r="I19261" t="inlineStr">
        <is>
          <t>17/03/2026</t>
        </is>
      </c>
      <c r="J19261" t="inlineStr">
        <is>
          <t>Bất động sản, CNTT - Phần cứng / Mạng</t>
        </is>
      </c>
      <c r="K19261" t="inlineStr">
        <is>
          <t>1 - 2 Năm</t>
        </is>
      </c>
      <c r="L19261" s="8">
        <f>HYPERLINK("https://careerviet.vn/vi/tim-viec-lam/chuyen-vien-it-help-desk.35C66AEE.html","Xem chi tiết")</f>
        <v/>
      </c>
    </row>
    <row r="19262">
      <c r="B19262" s="9" t="n">
        <v>19260</v>
      </c>
      <c r="C19262" s="10" t="inlineStr">
        <is>
          <t>Quản Lý An Toàn - Sức Khỏe - Môi Trường (SEA)</t>
        </is>
      </c>
      <c r="D19262" s="10" t="inlineStr">
        <is>
          <t>CÔNG TY TNHH HWASEUNG VINA</t>
        </is>
      </c>
      <c r="E19262" s="10" t="inlineStr">
        <is>
          <t>Lương:Cạnh tranh</t>
        </is>
      </c>
      <c r="F19262" s="10" t="inlineStr">
        <is>
          <t>Đồng NaiBà Rịa - Vũng Tàu</t>
        </is>
      </c>
      <c r="G19262" s="10" t="inlineStr">
        <is>
          <t>28-03-2026</t>
        </is>
      </c>
      <c r="H19262" s="10" t="inlineStr">
        <is>
          <t>28/03/2026</t>
        </is>
      </c>
      <c r="I19262" s="10" t="inlineStr">
        <is>
          <t>17/03/2026</t>
        </is>
      </c>
      <c r="J19262" s="10" t="inlineStr">
        <is>
          <t>Môi trường, An toàn lao động, Dệt may / Da giày / Thời trang</t>
        </is>
      </c>
      <c r="K19262" s="10" t="inlineStr">
        <is>
          <t>2 - 10 Năm</t>
        </is>
      </c>
      <c r="L19262" s="11">
        <f>HYPERLINK("https://careerviet.vn/vi/tim-viec-lam/quan-ly-an-toan-suc-khoe-moi-truong-sea.35C66AAF.html","Xem chi tiết")</f>
        <v/>
      </c>
      <c r="M19262" s="10" t="n"/>
    </row>
    <row r="19263">
      <c r="B19263" s="7" t="n">
        <v>19261</v>
      </c>
      <c r="C19263" t="inlineStr">
        <is>
          <t>Thủ Kho tại Long Biên</t>
        </is>
      </c>
      <c r="D19263" t="inlineStr">
        <is>
          <t>CÔNG TY CỔ PHẦN CÔNG NGHIỆP WELDCOM</t>
        </is>
      </c>
      <c r="E19263" t="inlineStr">
        <is>
          <t>Lương:13 Tr - 17 Tr VND</t>
        </is>
      </c>
      <c r="F19263" t="inlineStr">
        <is>
          <t>Hà Nội</t>
        </is>
      </c>
      <c r="G19263" t="inlineStr">
        <is>
          <t>28-03-2026</t>
        </is>
      </c>
      <c r="H19263" t="inlineStr">
        <is>
          <t>28/03/2026</t>
        </is>
      </c>
      <c r="I19263" t="inlineStr">
        <is>
          <t>17/03/2026</t>
        </is>
      </c>
      <c r="J19263" t="inlineStr">
        <is>
          <t>Kế toán / Kiểm toán, Vận chuyển / Giao nhận / Kho vận</t>
        </is>
      </c>
      <c r="K19263" t="inlineStr">
        <is>
          <t>1 - 3 Năm</t>
        </is>
      </c>
      <c r="L19263" s="8">
        <f>HYPERLINK("https://careerviet.vn/vi/tim-viec-lam/thu-kho-tai-long-bien.35C66B32.html","Xem chi tiết")</f>
        <v/>
      </c>
    </row>
    <row r="19264">
      <c r="B19264" s="9" t="n">
        <v>19262</v>
      </c>
      <c r="C19264" s="10" t="inlineStr">
        <is>
          <t>Key Account Manager</t>
        </is>
      </c>
      <c r="D19264" s="10" t="inlineStr">
        <is>
          <t>Công ty TNHH Mayora Việt Nam</t>
        </is>
      </c>
      <c r="E19264" s="10" t="inlineStr">
        <is>
          <t>Lương:Cạnh tranh</t>
        </is>
      </c>
      <c r="F19264" s="10" t="inlineStr">
        <is>
          <t>Hồ Chí Minh</t>
        </is>
      </c>
      <c r="G19264" s="10" t="inlineStr">
        <is>
          <t>28-03-2026</t>
        </is>
      </c>
      <c r="H19264" s="10" t="inlineStr">
        <is>
          <t>28/03/2026</t>
        </is>
      </c>
      <c r="I19264" s="10" t="inlineStr">
        <is>
          <t>17/03/2026</t>
        </is>
      </c>
      <c r="J19264" s="10" t="inlineStr">
        <is>
          <t>Tiếp thị / Marketing, Bán lẻ / Bán sỉ, Bán hàng / Kinh doanh</t>
        </is>
      </c>
      <c r="K19264" s="10" t="inlineStr">
        <is>
          <t>2 - 4 Năm</t>
        </is>
      </c>
      <c r="L19264" s="11">
        <f>HYPERLINK("https://careerviet.vn/vi/tim-viec-lam/key-account-manager.35C66A86.html","Xem chi tiết")</f>
        <v/>
      </c>
      <c r="M19264" s="10" t="n"/>
    </row>
    <row r="19265">
      <c r="B19265" s="7" t="n">
        <v>19263</v>
      </c>
      <c r="C19265" t="inlineStr">
        <is>
          <t>Nhân Viên Bán Hàng Thanh Khê - Đà Nẵng</t>
        </is>
      </c>
      <c r="D19265" t="inlineStr">
        <is>
          <t>Công ty CP Toshiko Việt Nam</t>
        </is>
      </c>
      <c r="E19265" t="inlineStr">
        <is>
          <t>Lương:10 Tr - 15 Tr VND</t>
        </is>
      </c>
      <c r="F19265" t="inlineStr">
        <is>
          <t>Đà Nẵng</t>
        </is>
      </c>
      <c r="G19265" t="inlineStr">
        <is>
          <t>28-03-2026</t>
        </is>
      </c>
      <c r="H19265" t="inlineStr">
        <is>
          <t>28/03/2026</t>
        </is>
      </c>
      <c r="I19265" t="inlineStr">
        <is>
          <t>17/03/2026</t>
        </is>
      </c>
      <c r="J19265" t="inlineStr">
        <is>
          <t>Bán lẻ / Bán sỉ, Bán hàng / Kinh doanh, Tư vấn</t>
        </is>
      </c>
      <c r="K19265" t="inlineStr">
        <is>
          <t>1 - 2 Năm</t>
        </is>
      </c>
      <c r="L19265" s="8">
        <f>HYPERLINK("https://careerviet.vn/vi/tim-viec-lam/nhan-vien-ban-hang-thanh-khe-da-nang.35C6405E.html","Xem chi tiết")</f>
        <v/>
      </c>
    </row>
    <row r="19266">
      <c r="B19266" s="9" t="n">
        <v>19264</v>
      </c>
      <c r="C19266" s="10" t="inlineStr">
        <is>
          <t>Nhân Viên Bán Hàng Biên Hòa - Đồng Nai</t>
        </is>
      </c>
      <c r="D19266" s="10" t="inlineStr">
        <is>
          <t>Công ty CP Toshiko Việt Nam</t>
        </is>
      </c>
      <c r="E19266" s="10" t="inlineStr">
        <is>
          <t>Lương:10 Tr - 15 Tr VND</t>
        </is>
      </c>
      <c r="F19266" s="10" t="inlineStr">
        <is>
          <t>Đồng Nai</t>
        </is>
      </c>
      <c r="G19266" s="10" t="inlineStr">
        <is>
          <t>28-03-2026</t>
        </is>
      </c>
      <c r="H19266" s="10" t="inlineStr">
        <is>
          <t>28/03/2026</t>
        </is>
      </c>
      <c r="I19266" s="10" t="inlineStr">
        <is>
          <t>17/03/2026</t>
        </is>
      </c>
      <c r="J19266" s="10" t="inlineStr">
        <is>
          <t>Bán lẻ / Bán sỉ, Bán hàng / Kinh doanh, Tư vấn</t>
        </is>
      </c>
      <c r="K19266" s="10" t="inlineStr">
        <is>
          <t>1 - 2 Năm</t>
        </is>
      </c>
      <c r="L19266" s="11">
        <f>HYPERLINK("https://careerviet.vn/vi/tim-viec-lam/nhan-vien-ban-hang-bien-hoa-dong-nai.35C6405F.html","Xem chi tiết")</f>
        <v/>
      </c>
      <c r="M19266" s="10" t="n"/>
    </row>
    <row r="19267">
      <c r="B19267" s="7" t="n">
        <v>19265</v>
      </c>
      <c r="C19267" t="inlineStr">
        <is>
          <t>[DA NANG] WAREHOUSE &amp; LOGISTIC SUPERVISOR</t>
        </is>
      </c>
      <c r="D19267" t="inlineStr">
        <is>
          <t>Classic Fine Foods</t>
        </is>
      </c>
      <c r="E19267" t="inlineStr">
        <is>
          <t>Lương:Cạnh tranh</t>
        </is>
      </c>
      <c r="F19267" t="inlineStr">
        <is>
          <t>Đà Nẵng</t>
        </is>
      </c>
      <c r="G19267" t="inlineStr">
        <is>
          <t>28-03-2026</t>
        </is>
      </c>
      <c r="H19267" t="inlineStr">
        <is>
          <t>28/03/2026</t>
        </is>
      </c>
      <c r="I19267" t="inlineStr">
        <is>
          <t>17/03/2026</t>
        </is>
      </c>
      <c r="J19267" t="inlineStr">
        <is>
          <t>Vận chuyển / Giao nhận / Kho vận</t>
        </is>
      </c>
      <c r="K19267" t="inlineStr">
        <is>
          <t>Trên 3 Năm</t>
        </is>
      </c>
      <c r="L19267" s="8">
        <f>HYPERLINK("https://careerviet.vn/vi/tim-viec-lam/da-nang-warehouse-logistic-supervisor.35C66AF8.html","Xem chi tiết")</f>
        <v/>
      </c>
    </row>
    <row r="19268">
      <c r="B19268" s="9" t="n">
        <v>19266</v>
      </c>
      <c r="C19268" s="10" t="inlineStr">
        <is>
          <t>KỸ THUẬT VIÊN QC-CƠ KHÍ [CỦ CHI]</t>
        </is>
      </c>
      <c r="D19268" s="10" t="inlineStr">
        <is>
          <t>CÔNG TY CP SAIGON AUTO SUPPORTING INDUSTRY</t>
        </is>
      </c>
      <c r="E19268" s="10" t="inlineStr">
        <is>
          <t>Lương:Cạnh tranh</t>
        </is>
      </c>
      <c r="F19268" s="10" t="inlineStr">
        <is>
          <t>Hồ Chí Minh</t>
        </is>
      </c>
      <c r="G19268" s="10" t="inlineStr">
        <is>
          <t>28-03-2026</t>
        </is>
      </c>
      <c r="H19268" s="10" t="inlineStr">
        <is>
          <t>28/03/2026</t>
        </is>
      </c>
      <c r="I19268" s="10" t="inlineStr">
        <is>
          <t>17/03/2026</t>
        </is>
      </c>
      <c r="J19268" s="10" t="inlineStr">
        <is>
          <t>Cơ khí / Ô tô / Tự động hóa, Quản lý chất lượng (QA/QC)</t>
        </is>
      </c>
      <c r="K19268" s="10" t="inlineStr">
        <is>
          <t>N/A</t>
        </is>
      </c>
      <c r="L19268" s="11">
        <f>HYPERLINK("https://careerviet.vn/vi/tim-viec-lam/ky-thuat-vien-qc-co-khi-cu-chi.35C66BBA.html","Xem chi tiết")</f>
        <v/>
      </c>
      <c r="M19268" s="10" t="n"/>
    </row>
    <row r="19269">
      <c r="B19269" s="7" t="n">
        <v>19267</v>
      </c>
      <c r="C19269" t="inlineStr">
        <is>
          <t>Nhân viên cung ứng ( lương lên tới 15 triệu)</t>
        </is>
      </c>
      <c r="D19269" t="inlineStr">
        <is>
          <t>Công ty Vàng Bạc Đá Qúy Bảo Tín Minh Châu</t>
        </is>
      </c>
      <c r="E19269" t="inlineStr">
        <is>
          <t>Lương:12 Tr - 15 Tr VND</t>
        </is>
      </c>
      <c r="F19269" t="inlineStr">
        <is>
          <t>Hà Nội</t>
        </is>
      </c>
      <c r="G19269" t="inlineStr">
        <is>
          <t>28-03-2026</t>
        </is>
      </c>
      <c r="H19269" t="inlineStr">
        <is>
          <t>28/03/2026</t>
        </is>
      </c>
      <c r="I19269" t="inlineStr">
        <is>
          <t>17/03/2026</t>
        </is>
      </c>
      <c r="J19269" t="inlineStr">
        <is>
          <t>Bán lẻ / Bán sỉ, Hành chính / Thư ký</t>
        </is>
      </c>
      <c r="K19269" t="inlineStr">
        <is>
          <t>2 - 5 Năm</t>
        </is>
      </c>
      <c r="L19269" s="8">
        <f>HYPERLINK("https://careerviet.vn/vi/tim-viec-lam/nhan-vien-cung-ung-luong-len-toi-15-trieu.35C64058.html","Xem chi tiết")</f>
        <v/>
      </c>
    </row>
    <row r="19270">
      <c r="B19270" s="9" t="n">
        <v>19268</v>
      </c>
      <c r="C19270" s="10" t="inlineStr">
        <is>
          <t>Nhân viên kinh doanh thị trường</t>
        </is>
      </c>
      <c r="D19270" s="10" t="inlineStr">
        <is>
          <t>Công ty Cổ phần VPP Hồng Hà chi nhánh miền Nam</t>
        </is>
      </c>
      <c r="E19270" s="10" t="inlineStr">
        <is>
          <t>Lương:8 Tr - 13 Tr VND</t>
        </is>
      </c>
      <c r="F19270" s="10" t="inlineStr">
        <is>
          <t>Hồ Chí Minh</t>
        </is>
      </c>
      <c r="G19270" s="10" t="inlineStr">
        <is>
          <t>28-03-2026</t>
        </is>
      </c>
      <c r="H19270" s="10" t="inlineStr">
        <is>
          <t>28/03/2026</t>
        </is>
      </c>
      <c r="I19270" s="10" t="inlineStr">
        <is>
          <t>17/03/2026</t>
        </is>
      </c>
      <c r="J19270" s="10" t="inlineStr">
        <is>
          <t>Bán hàng / Kinh doanh, Tư vấn, Dịch vụ khách hàng</t>
        </is>
      </c>
      <c r="K19270" s="10" t="inlineStr">
        <is>
          <t>Trên 1 Năm</t>
        </is>
      </c>
      <c r="L19270" s="11">
        <f>HYPERLINK("https://careerviet.vn/vi/tim-viec-lam/nhan-vien-kinh-doanh-thi-truong.35C66B77.html","Xem chi tiết")</f>
        <v/>
      </c>
      <c r="M19270" s="10" t="n"/>
    </row>
    <row r="19271">
      <c r="B19271" s="7" t="n">
        <v>19269</v>
      </c>
      <c r="C19271" t="inlineStr">
        <is>
          <t>Bếp Trưởng Panda chef</t>
        </is>
      </c>
      <c r="D19271" t="inlineStr">
        <is>
          <t>CÔNG TY TNHH PHÁT TRIỂN ĐỒ UỐNG AN VIỆT SÔNG HỒNG</t>
        </is>
      </c>
      <c r="E19271" t="inlineStr">
        <is>
          <t>Lương:18 Tr - 25 Tr VND</t>
        </is>
      </c>
      <c r="F19271" t="inlineStr">
        <is>
          <t>Hà Nội</t>
        </is>
      </c>
      <c r="G19271" t="inlineStr">
        <is>
          <t>28-03-2026</t>
        </is>
      </c>
      <c r="H19271" t="inlineStr">
        <is>
          <t>28/03/2026</t>
        </is>
      </c>
      <c r="I19271" t="inlineStr">
        <is>
          <t>17/03/2026</t>
        </is>
      </c>
      <c r="J19271" t="inlineStr">
        <is>
          <t>Nhà hàng / Khách sạn</t>
        </is>
      </c>
      <c r="K19271" t="inlineStr">
        <is>
          <t>2 - 3 Năm</t>
        </is>
      </c>
      <c r="L19271" s="8">
        <f>HYPERLINK("https://careerviet.vn/vi/tim-viec-lam/bep-truong-panda-chef.35C66B59.html","Xem chi tiết")</f>
        <v/>
      </c>
    </row>
    <row r="19272">
      <c r="B19272" s="9" t="n">
        <v>19270</v>
      </c>
      <c r="C19272" s="10" t="inlineStr">
        <is>
          <t>Quản lý Khách hàng Doanh nghiệp Lớn</t>
        </is>
      </c>
      <c r="D19272" s="10" t="inlineStr">
        <is>
          <t>Ngân Hàng TMCP Quốc Tế Việt Nam</t>
        </is>
      </c>
      <c r="E19272" s="10" t="inlineStr">
        <is>
          <t>Lương:Cạnh tranh</t>
        </is>
      </c>
      <c r="F19272" s="10" t="inlineStr">
        <is>
          <t>Hồ Chí MinhĐồng NaiCần Thơ</t>
        </is>
      </c>
      <c r="G19272" s="10" t="inlineStr">
        <is>
          <t>28-03-2026</t>
        </is>
      </c>
      <c r="H19272" s="10" t="inlineStr">
        <is>
          <t>28/03/2026</t>
        </is>
      </c>
      <c r="I19272" s="10" t="inlineStr">
        <is>
          <t>17/03/2026</t>
        </is>
      </c>
      <c r="J19272" s="10" t="inlineStr">
        <is>
          <t>Bán hàng / Kinh doanh</t>
        </is>
      </c>
      <c r="K19272" s="10" t="inlineStr">
        <is>
          <t>1 - 5 Năm</t>
        </is>
      </c>
      <c r="L19272" s="11">
        <f>HYPERLINK("https://careerviet.vn/vi/tim-viec-lam/quan-ly-khach-hang-doanh-nghiep-lon.35C66C27.html","Xem chi tiết")</f>
        <v/>
      </c>
      <c r="M19272" s="10" t="n"/>
    </row>
    <row r="19273">
      <c r="B19273" s="7" t="n">
        <v>19271</v>
      </c>
      <c r="C19273" t="inlineStr">
        <is>
          <t>Chuyên viên tuyển dụng và dịch vụ khách hàng (tiếng Nhật N2)</t>
        </is>
      </c>
      <c r="D19273" t="inlineStr">
        <is>
          <t>Công Ty TNHH ONE-VALUE Việt Nam</t>
        </is>
      </c>
      <c r="E19273" t="inlineStr">
        <is>
          <t>Lương:10 Tr - 25 Tr VND</t>
        </is>
      </c>
      <c r="F19273" t="inlineStr">
        <is>
          <t>Hà Nội</t>
        </is>
      </c>
      <c r="G19273" t="inlineStr">
        <is>
          <t>28-03-2026</t>
        </is>
      </c>
      <c r="H19273" t="inlineStr">
        <is>
          <t>28/03/2026</t>
        </is>
      </c>
      <c r="I19273" t="inlineStr">
        <is>
          <t>17/03/2026</t>
        </is>
      </c>
      <c r="J19273" t="inlineStr">
        <is>
          <t>Hành chính / Thư ký</t>
        </is>
      </c>
      <c r="K19273" t="inlineStr">
        <is>
          <t>Chưa có kinh nghiệm</t>
        </is>
      </c>
      <c r="L19273" s="8">
        <f>HYPERLINK("https://careerviet.vn/vi/tim-viec-lam/chuyen-vien-tuyen-dung-va-dich-vu-khach-hang-tieng-nhat-n2.35C66A91.html","Xem chi tiết")</f>
        <v/>
      </c>
    </row>
    <row r="19274">
      <c r="B19274" s="9" t="n">
        <v>19272</v>
      </c>
      <c r="C19274" s="10" t="inlineStr">
        <is>
          <t>Lâm Đồng - Chuyên viên Quan hệ Khách hàng cá nhân</t>
        </is>
      </c>
      <c r="D19274" s="10" t="inlineStr">
        <is>
          <t>Ngân hàng TMCP Lộc Phát Việt Nam (LPBank)</t>
        </is>
      </c>
      <c r="E19274" s="10" t="inlineStr">
        <is>
          <t>Lương:Cạnh tranh</t>
        </is>
      </c>
      <c r="F19274" s="10" t="inlineStr">
        <is>
          <t>Lâm Đồng</t>
        </is>
      </c>
      <c r="G19274" s="10" t="inlineStr">
        <is>
          <t>28-03-2026</t>
        </is>
      </c>
      <c r="H19274" s="10" t="inlineStr">
        <is>
          <t>28/03/2026</t>
        </is>
      </c>
      <c r="I19274" s="10" t="inlineStr">
        <is>
          <t>17/03/2026</t>
        </is>
      </c>
      <c r="J19274" s="10" t="inlineStr">
        <is>
          <t>Bán hàng / Kinh doanh, Kế toán / Kiểm toán, Ngân hàng</t>
        </is>
      </c>
      <c r="K19274" s="10" t="inlineStr">
        <is>
          <t>N/A</t>
        </is>
      </c>
      <c r="L19274" s="11">
        <f>HYPERLINK("https://careerviet.vn/vi/tim-viec-lam/lam-dong-chuyen-vien-quan-he-khach-hang-ca-nhan.35C66AB6.html","Xem chi tiết")</f>
        <v/>
      </c>
      <c r="M19274" s="10" t="n"/>
    </row>
    <row r="19275">
      <c r="B19275" s="7" t="n">
        <v>19273</v>
      </c>
      <c r="C19275" t="inlineStr">
        <is>
          <t>International Sales Specialist B2B</t>
        </is>
      </c>
      <c r="D19275" t="inlineStr">
        <is>
          <t>Công Ty TNHH TurnKey FBA</t>
        </is>
      </c>
      <c r="E19275" t="inlineStr">
        <is>
          <t>Lương:20 Tr - 40 Tr VND</t>
        </is>
      </c>
      <c r="F19275" t="inlineStr">
        <is>
          <t>Hà Nội</t>
        </is>
      </c>
      <c r="G19275" t="inlineStr">
        <is>
          <t>28-03-2026</t>
        </is>
      </c>
      <c r="H19275" t="inlineStr">
        <is>
          <t>28/03/2026</t>
        </is>
      </c>
      <c r="I19275" t="inlineStr">
        <is>
          <t>17/03/2026</t>
        </is>
      </c>
      <c r="J19275" t="inlineStr">
        <is>
          <t>Bán lẻ / Bán sỉ, Bán hàng / Kinh doanh, Thương mại điện tử</t>
        </is>
      </c>
      <c r="K19275" t="inlineStr">
        <is>
          <t>2 - 5 Năm</t>
        </is>
      </c>
      <c r="L19275" s="8">
        <f>HYPERLINK("https://careerviet.vn/vi/tim-viec-lam/international-sales-specialist-b2b.35C66B03.html","Xem chi tiết")</f>
        <v/>
      </c>
    </row>
    <row r="19276">
      <c r="B19276" s="9" t="n">
        <v>19274</v>
      </c>
      <c r="C19276" s="10" t="inlineStr">
        <is>
          <t>[Đồng Nai] Chuyên Viên Tư Vấn Tài Chính - Kênh Liên Doanh Ngân Hàng BIDV</t>
        </is>
      </c>
      <c r="D19276" s="10" t="inlineStr">
        <is>
          <t>Công Ty TNHH Bảo Hiểm Nhân Thọ BIDV MetLife</t>
        </is>
      </c>
      <c r="E19276" s="10" t="inlineStr">
        <is>
          <t>Lương:Cạnh tranh</t>
        </is>
      </c>
      <c r="F19276" s="10" t="inlineStr">
        <is>
          <t>Đồng Nai</t>
        </is>
      </c>
      <c r="G19276" s="10" t="inlineStr">
        <is>
          <t>28-03-2026</t>
        </is>
      </c>
      <c r="H19276" s="10" t="inlineStr">
        <is>
          <t>28/03/2026</t>
        </is>
      </c>
      <c r="I19276" s="10" t="inlineStr">
        <is>
          <t>17/03/2026</t>
        </is>
      </c>
      <c r="J19276" s="10" t="inlineStr">
        <is>
          <t>Tư vấn, Ngân hàng, Bán hàng / Kinh doanh</t>
        </is>
      </c>
      <c r="K19276" s="10" t="inlineStr">
        <is>
          <t>1 - 3 Năm</t>
        </is>
      </c>
      <c r="L19276" s="11">
        <f>HYPERLINK("https://careerviet.vn/vi/tim-viec-lam/dong-nai-chuyen-vien-tu-van-tai-chinh-kenh-lien-doanh-ngan-hang-bidv.35C66B8D.html","Xem chi tiết")</f>
        <v/>
      </c>
      <c r="M19276" s="10" t="n"/>
    </row>
    <row r="19277">
      <c r="B19277" s="7" t="n">
        <v>19275</v>
      </c>
      <c r="C19277" t="inlineStr">
        <is>
          <t>Giao dịch viên - Quảng Ngãi &amp; Gia Lai (Bình Định cũ)</t>
        </is>
      </c>
      <c r="D19277" t="inlineStr">
        <is>
          <t>Ngân hàng TMCP Phát triển TP.HCM (HDBank)</t>
        </is>
      </c>
      <c r="E19277" t="inlineStr">
        <is>
          <t>Lương:Cạnh tranh</t>
        </is>
      </c>
      <c r="F19277" t="inlineStr">
        <is>
          <t>Bình ĐịnhQuảng Ngãi</t>
        </is>
      </c>
      <c r="G19277" t="inlineStr">
        <is>
          <t>28-03-2026</t>
        </is>
      </c>
      <c r="H19277" t="inlineStr">
        <is>
          <t>28/03/2026</t>
        </is>
      </c>
      <c r="I19277" t="inlineStr">
        <is>
          <t>17/03/2026</t>
        </is>
      </c>
      <c r="J19277" t="inlineStr">
        <is>
          <t>Kế toán / Kiểm toán, Ngân hàng, Tài chính / Đầu tư</t>
        </is>
      </c>
      <c r="K19277" t="inlineStr">
        <is>
          <t>Trên 1 Năm</t>
        </is>
      </c>
      <c r="L19277" s="8">
        <f>HYPERLINK("https://careerviet.vn/vi/tim-viec-lam/giao-dich-vien-quang-ngai-gia-lai-binh-dinh-cu.35C66B0E.html","Xem chi tiết")</f>
        <v/>
      </c>
    </row>
    <row r="19278">
      <c r="B19278" s="9" t="n">
        <v>19276</v>
      </c>
      <c r="C19278" s="10" t="inlineStr">
        <is>
          <t>CHUYÊN VIÊN KẾ TOÁN</t>
        </is>
      </c>
      <c r="D19278" s="10" t="inlineStr">
        <is>
          <t>PTSC Offshore Services (POS)</t>
        </is>
      </c>
      <c r="E19278" s="10" t="inlineStr">
        <is>
          <t>Lương:Cạnh tranh</t>
        </is>
      </c>
      <c r="F19278" s="10" t="inlineStr">
        <is>
          <t>Bà Rịa - Vũng Tàu</t>
        </is>
      </c>
      <c r="G19278" s="10" t="inlineStr">
        <is>
          <t>28-03-2026</t>
        </is>
      </c>
      <c r="H19278" s="10" t="inlineStr">
        <is>
          <t>28/03/2026</t>
        </is>
      </c>
      <c r="I19278" s="10" t="inlineStr">
        <is>
          <t>17/03/2026</t>
        </is>
      </c>
      <c r="J19278" s="10" t="inlineStr">
        <is>
          <t>Kế toán / Kiểm toán</t>
        </is>
      </c>
      <c r="K19278" s="10" t="inlineStr">
        <is>
          <t>Lên đến 2 Năm</t>
        </is>
      </c>
      <c r="L19278" s="11">
        <f>HYPERLINK("https://careerviet.vn/vi/tim-viec-lam/chuyen-vien-ke-toan.35C66A51.html","Xem chi tiết")</f>
        <v/>
      </c>
      <c r="M19278" s="10" t="n"/>
    </row>
    <row r="19279">
      <c r="B19279" s="7" t="n">
        <v>19277</v>
      </c>
      <c r="C19279" t="inlineStr">
        <is>
          <t>Manufacturing Project Assistant Manager</t>
        </is>
      </c>
      <c r="D19279" t="inlineStr">
        <is>
          <t>CÔNG TY TNHH MILLENNIUM FURNITURE</t>
        </is>
      </c>
      <c r="E19279" t="inlineStr">
        <is>
          <t>Lương:Cạnh tranh</t>
        </is>
      </c>
      <c r="F19279" t="inlineStr">
        <is>
          <t>Quảng Ngãi</t>
        </is>
      </c>
      <c r="G19279" t="inlineStr">
        <is>
          <t>28-03-2026</t>
        </is>
      </c>
      <c r="H19279" t="inlineStr">
        <is>
          <t>28/03/2026</t>
        </is>
      </c>
      <c r="I19279" t="inlineStr">
        <is>
          <t>17/03/2026</t>
        </is>
      </c>
      <c r="J19279" t="inlineStr">
        <is>
          <t>Cơ khí / Ô tô / Tự động hóa</t>
        </is>
      </c>
      <c r="K19279" t="inlineStr">
        <is>
          <t>Trên 5 Năm</t>
        </is>
      </c>
      <c r="L19279" s="8">
        <f>HYPERLINK("https://careerviet.vn/vi/tim-viec-lam/manufacturing-project-assistant-manager.35C66B4E.html","Xem chi tiết")</f>
        <v/>
      </c>
    </row>
    <row r="19280">
      <c r="B19280" s="9" t="n">
        <v>19278</v>
      </c>
      <c r="C19280" s="10" t="inlineStr">
        <is>
          <t>Security Operations (SecOps/SOC)</t>
        </is>
      </c>
      <c r="D19280" s="10" t="inlineStr">
        <is>
          <t>CÔNG TY CỔ PHẨN TẬP ĐOÀN MK</t>
        </is>
      </c>
      <c r="E19280" s="10" t="inlineStr">
        <is>
          <t>Lương:Cạnh tranh</t>
        </is>
      </c>
      <c r="F19280" s="10" t="inlineStr">
        <is>
          <t>Hà Nội</t>
        </is>
      </c>
      <c r="G19280" s="10" t="inlineStr">
        <is>
          <t>28-03-2026</t>
        </is>
      </c>
      <c r="H19280" s="10" t="inlineStr">
        <is>
          <t>28/03/2026</t>
        </is>
      </c>
      <c r="I19280" s="10" t="inlineStr">
        <is>
          <t>17/03/2026</t>
        </is>
      </c>
      <c r="J19280" s="10" t="inlineStr">
        <is>
          <t>CNTT - Phần mềm</t>
        </is>
      </c>
      <c r="K19280" s="10" t="inlineStr">
        <is>
          <t>2 - 5 Năm</t>
        </is>
      </c>
      <c r="L19280" s="11">
        <f>HYPERLINK("https://careerviet.vn/vi/tim-viec-lam/security-operations-secops-soc.35C66AF2.html","Xem chi tiết")</f>
        <v/>
      </c>
      <c r="M19280" s="10" t="n"/>
    </row>
    <row r="19281">
      <c r="B19281" s="7" t="n">
        <v>19279</v>
      </c>
      <c r="C19281" t="inlineStr">
        <is>
          <t>Data Governance Manager</t>
        </is>
      </c>
      <c r="D19281" t="inlineStr">
        <is>
          <t>LOTTE FINANCE VIETNAM</t>
        </is>
      </c>
      <c r="E19281" t="inlineStr">
        <is>
          <t>Lương:Cạnh tranh</t>
        </is>
      </c>
      <c r="F19281" t="inlineStr">
        <is>
          <t>Hà Nội</t>
        </is>
      </c>
      <c r="G19281" t="inlineStr">
        <is>
          <t>28-03-2026</t>
        </is>
      </c>
      <c r="H19281" t="inlineStr">
        <is>
          <t>28/03/2026</t>
        </is>
      </c>
      <c r="I19281" t="inlineStr">
        <is>
          <t>17/03/2026</t>
        </is>
      </c>
      <c r="J19281" t="inlineStr">
        <is>
          <t>CNTT - Phần mềm</t>
        </is>
      </c>
      <c r="K19281" t="inlineStr">
        <is>
          <t>Trên 5 Năm</t>
        </is>
      </c>
      <c r="L19281" s="8">
        <f>HYPERLINK("https://careerviet.vn/vi/tim-viec-lam/data-governance-manager.35C66BFD.html","Xem chi tiết")</f>
        <v/>
      </c>
    </row>
    <row r="19282">
      <c r="B19282" s="9" t="n">
        <v>19280</v>
      </c>
      <c r="C19282" s="10" t="inlineStr">
        <is>
          <t>Pattern Maker (Nhân Viên Thiết Kế Rập)</t>
        </is>
      </c>
      <c r="D19282" s="10" t="inlineStr">
        <is>
          <t>CÔNG TY TNHH ELITE APPARATECH</t>
        </is>
      </c>
      <c r="E19282" s="10" t="inlineStr">
        <is>
          <t>Lương:Cạnh tranh</t>
        </is>
      </c>
      <c r="F19282" s="10" t="inlineStr">
        <is>
          <t>Đồng Nai</t>
        </is>
      </c>
      <c r="G19282" s="10" t="inlineStr">
        <is>
          <t>28-03-2026</t>
        </is>
      </c>
      <c r="H19282" s="10" t="inlineStr">
        <is>
          <t>28/03/2026</t>
        </is>
      </c>
      <c r="I19282" s="10" t="inlineStr">
        <is>
          <t>17/03/2026</t>
        </is>
      </c>
      <c r="J19282" s="10" t="inlineStr">
        <is>
          <t>Dệt may / Da giày / Thời trang</t>
        </is>
      </c>
      <c r="K19282" s="10" t="inlineStr">
        <is>
          <t>1 - 2 Năm</t>
        </is>
      </c>
      <c r="L19282" s="11">
        <f>HYPERLINK("https://careerviet.vn/vi/tim-viec-lam/pattern-maker-nhan-vien-thiet-ke-rap.35C66A9D.html","Xem chi tiết")</f>
        <v/>
      </c>
      <c r="M19282" s="10" t="n"/>
    </row>
    <row r="19283">
      <c r="B19283" s="7" t="n">
        <v>19281</v>
      </c>
      <c r="C19283" t="inlineStr">
        <is>
          <t>Nhân Viên Quản Lý Thiết Bị</t>
        </is>
      </c>
      <c r="D19283" t="inlineStr">
        <is>
          <t>CÔNG TY TNHH GIẢI PHÁP TỐT - GFT</t>
        </is>
      </c>
      <c r="E19283" t="inlineStr">
        <is>
          <t>Lương:9 Tr - 13 Tr VND</t>
        </is>
      </c>
      <c r="F19283" t="inlineStr">
        <is>
          <t>Hồ Chí Minh</t>
        </is>
      </c>
      <c r="G19283" t="inlineStr">
        <is>
          <t>28-03-2026</t>
        </is>
      </c>
      <c r="H19283" t="inlineStr">
        <is>
          <t>28/03/2026</t>
        </is>
      </c>
      <c r="I19283" t="inlineStr">
        <is>
          <t>17/03/2026</t>
        </is>
      </c>
      <c r="J19283" t="inlineStr">
        <is>
          <t>CNTT - Phần mềm, CNTT - Phần cứng / Mạng, Thu mua / Vật tư</t>
        </is>
      </c>
      <c r="K19283" t="inlineStr">
        <is>
          <t>Trên 1 Năm</t>
        </is>
      </c>
      <c r="L19283" s="8">
        <f>HYPERLINK("https://careerviet.vn/vi/tim-viec-lam/nhan-vien-quan-ly-thiet-bi.35C66B81.html","Xem chi tiết")</f>
        <v/>
      </c>
    </row>
    <row r="19284">
      <c r="B19284" s="9" t="n">
        <v>19282</v>
      </c>
      <c r="C19284" s="10" t="inlineStr">
        <is>
          <t>Kỹ sư Cơ khí tại Công ty Mía đường Thành Thành Công Biên Hoà  (Dự án Campuchia)</t>
        </is>
      </c>
      <c r="D19284" s="10" t="inlineStr">
        <is>
          <t>Công ty CP Thành Thành Công - Biên Hòa</t>
        </is>
      </c>
      <c r="E19284" s="10" t="inlineStr">
        <is>
          <t>Lương:10 Tr - 15 Tr VND</t>
        </is>
      </c>
      <c r="F19284" s="10" t="inlineStr">
        <is>
          <t>Kratie</t>
        </is>
      </c>
      <c r="G19284" s="10" t="inlineStr">
        <is>
          <t>28-03-2026</t>
        </is>
      </c>
      <c r="H19284" s="10" t="inlineStr">
        <is>
          <t>28/03/2026</t>
        </is>
      </c>
      <c r="I19284" s="10" t="inlineStr">
        <is>
          <t>17/03/2026</t>
        </is>
      </c>
      <c r="J19284" s="10" t="inlineStr">
        <is>
          <t>Bảo trì / Sửa chữa, Cơ khí / Ô tô / Tự động hóa, Sản xuất / Vận hành sản xuất</t>
        </is>
      </c>
      <c r="K19284" s="10" t="inlineStr">
        <is>
          <t>1 - 2 Năm</t>
        </is>
      </c>
      <c r="L19284" s="11">
        <f>HYPERLINK("https://careerviet.vn/vi/tim-viec-lam/ky-su-co-khi-tai-cong-ty-mia-duong-thanh-thanh-cong-bien-hoa-du-an-campuchia.35C66A5B.html","Xem chi tiết")</f>
        <v/>
      </c>
      <c r="M19284" s="10" t="n"/>
    </row>
    <row r="19285">
      <c r="B19285" s="7" t="n">
        <v>19283</v>
      </c>
      <c r="C19285" t="inlineStr">
        <is>
          <t>Trợ Lý Chuyển Đổi Số</t>
        </is>
      </c>
      <c r="D19285" t="inlineStr">
        <is>
          <t>Nova Service Group - Công ty Cổ phần Tập đoàn Nova Services</t>
        </is>
      </c>
      <c r="E19285" t="inlineStr">
        <is>
          <t>Lương:Cạnh tranh</t>
        </is>
      </c>
      <c r="F19285" t="inlineStr">
        <is>
          <t>Hồ Chí Minh</t>
        </is>
      </c>
      <c r="G19285" t="inlineStr">
        <is>
          <t>28-03-2026</t>
        </is>
      </c>
      <c r="H19285" t="inlineStr">
        <is>
          <t>28/03/2026</t>
        </is>
      </c>
      <c r="I19285" t="inlineStr">
        <is>
          <t>17/03/2026</t>
        </is>
      </c>
      <c r="J19285" t="inlineStr">
        <is>
          <t>Nhân sự, CNTT - Phần mềm</t>
        </is>
      </c>
      <c r="K19285" t="inlineStr">
        <is>
          <t>Chưa có kinh nghiệm</t>
        </is>
      </c>
      <c r="L19285" s="8">
        <f>HYPERLINK("https://careerviet.vn/vi/tim-viec-lam/tro-ly-chuyen-doi-so.35C66C1E.html","Xem chi tiết")</f>
        <v/>
      </c>
    </row>
    <row r="19286">
      <c r="B19286" s="9" t="n">
        <v>19284</v>
      </c>
      <c r="C19286" s="10" t="inlineStr">
        <is>
          <t>Củ Chi Tân Phú Trung -  Chuyên Viên IT</t>
        </is>
      </c>
      <c r="D19286" s="10" t="inlineStr">
        <is>
          <t>Công Ty Cổ Phần Vacxin Việt Nam</t>
        </is>
      </c>
      <c r="E19286" s="10" t="inlineStr">
        <is>
          <t>Lương:Cạnh tranh</t>
        </is>
      </c>
      <c r="F19286" s="10" t="inlineStr">
        <is>
          <t>Hồ Chí Minh</t>
        </is>
      </c>
      <c r="G19286" s="10" t="inlineStr">
        <is>
          <t>28-03-2026</t>
        </is>
      </c>
      <c r="H19286" s="10" t="inlineStr">
        <is>
          <t>28/03/2026</t>
        </is>
      </c>
      <c r="I19286" s="10" t="inlineStr">
        <is>
          <t>17/03/2026</t>
        </is>
      </c>
      <c r="J19286" s="10" t="inlineStr">
        <is>
          <t>CNTT - Phần mềm, CNTT - Phần cứng / Mạng</t>
        </is>
      </c>
      <c r="K19286" s="10" t="inlineStr">
        <is>
          <t>2 - 5 Năm</t>
        </is>
      </c>
      <c r="L19286" s="11">
        <f>HYPERLINK("https://careerviet.vn/vi/tim-viec-lam/cu-chi-tan-phu-trung-chuyen-vien-it.35C66AA5.html","Xem chi tiết")</f>
        <v/>
      </c>
      <c r="M19286" s="10" t="n"/>
    </row>
    <row r="19287">
      <c r="B19287" s="7" t="n">
        <v>19285</v>
      </c>
      <c r="C19287" t="inlineStr">
        <is>
          <t>NSG- Chuyên viên tuyển dụng</t>
        </is>
      </c>
      <c r="D19287" t="inlineStr">
        <is>
          <t>Nova Service Group - Công ty Cổ phần Tập đoàn Nova Services</t>
        </is>
      </c>
      <c r="E19287" t="inlineStr">
        <is>
          <t>Lương:15 Tr - 30 Tr VND</t>
        </is>
      </c>
      <c r="F19287" t="inlineStr">
        <is>
          <t>Hồ Chí Minh</t>
        </is>
      </c>
      <c r="G19287" t="inlineStr">
        <is>
          <t>28-03-2026</t>
        </is>
      </c>
      <c r="H19287" t="inlineStr">
        <is>
          <t>28/03/2026</t>
        </is>
      </c>
      <c r="I19287" t="inlineStr">
        <is>
          <t>17/03/2026</t>
        </is>
      </c>
      <c r="J19287" t="inlineStr">
        <is>
          <t>Nhân sự</t>
        </is>
      </c>
      <c r="K19287" t="inlineStr">
        <is>
          <t>5 - 10 Năm</t>
        </is>
      </c>
      <c r="L19287" s="8">
        <f>HYPERLINK("https://careerviet.vn/vi/tim-viec-lam/nsg-chuyen-vien-tuyen-dung.35C66ACB.html","Xem chi tiết")</f>
        <v/>
      </c>
    </row>
    <row r="19288">
      <c r="B19288" s="9" t="n">
        <v>19286</v>
      </c>
      <c r="C19288" s="10" t="inlineStr">
        <is>
          <t>Bình Thuận - Chuyên viên Quan hệ Khách hàng cá nhân</t>
        </is>
      </c>
      <c r="D19288" s="10" t="inlineStr">
        <is>
          <t>Ngân hàng TMCP Lộc Phát Việt Nam (LPBank)</t>
        </is>
      </c>
      <c r="E19288" s="10" t="inlineStr">
        <is>
          <t>Lương:Cạnh tranh</t>
        </is>
      </c>
      <c r="F19288" s="10" t="inlineStr">
        <is>
          <t>Bình Thuận</t>
        </is>
      </c>
      <c r="G19288" s="10" t="inlineStr">
        <is>
          <t>28-03-2026</t>
        </is>
      </c>
      <c r="H19288" s="10" t="inlineStr">
        <is>
          <t>28/03/2026</t>
        </is>
      </c>
      <c r="I19288" s="10" t="inlineStr">
        <is>
          <t>17/03/2026</t>
        </is>
      </c>
      <c r="J19288" s="10" t="inlineStr">
        <is>
          <t>Bán hàng / Kinh doanh, Kế toán / Kiểm toán, Ngân hàng</t>
        </is>
      </c>
      <c r="K19288" s="10" t="inlineStr">
        <is>
          <t>N/A</t>
        </is>
      </c>
      <c r="L19288" s="11">
        <f>HYPERLINK("https://careerviet.vn/vi/tim-viec-lam/binh-thuan-chuyen-vien-quan-he-khach-hang-ca-nhan.35C66AB3.html","Xem chi tiết")</f>
        <v/>
      </c>
      <c r="M19288" s="10" t="n"/>
    </row>
    <row r="19289">
      <c r="B19289" s="7" t="n">
        <v>19287</v>
      </c>
      <c r="C19289" t="inlineStr">
        <is>
          <t>Chuyên viên Pháp chế &amp; Tuân thủ Fintech</t>
        </is>
      </c>
      <c r="D19289" t="inlineStr">
        <is>
          <t>CÔNG TY TNHH THƯƠNG MẠI DỊCH VỤ TINI OFFICE</t>
        </is>
      </c>
      <c r="E19289" t="inlineStr">
        <is>
          <t>Lương:Cạnh tranh</t>
        </is>
      </c>
      <c r="F19289" t="inlineStr">
        <is>
          <t>Hồ Chí Minh</t>
        </is>
      </c>
      <c r="G19289" t="inlineStr">
        <is>
          <t>28-03-2026</t>
        </is>
      </c>
      <c r="H19289" t="inlineStr">
        <is>
          <t>28/03/2026</t>
        </is>
      </c>
      <c r="I19289" t="inlineStr">
        <is>
          <t>17/03/2026</t>
        </is>
      </c>
      <c r="J19289" t="inlineStr">
        <is>
          <t>Luật / Pháp lý</t>
        </is>
      </c>
      <c r="K19289" t="inlineStr">
        <is>
          <t>3 - 5 Năm</t>
        </is>
      </c>
      <c r="L19289" s="8">
        <f>HYPERLINK("https://careerviet.vn/vi/tim-viec-lam/chuyen-vien-phap-che-tuan-thu-fintech.35C66A7A.html","Xem chi tiết")</f>
        <v/>
      </c>
    </row>
    <row r="19290">
      <c r="B19290" s="9" t="n">
        <v>19288</v>
      </c>
      <c r="C19290" s="10" t="inlineStr">
        <is>
          <t>Trưởng phòng Quản lý bán hàng và Chăm sóc khách hàng</t>
        </is>
      </c>
      <c r="D19290" s="10" t="inlineStr">
        <is>
          <t>Công ty Cổ phần TM-SX-DV Gia Thịnh Phát</t>
        </is>
      </c>
      <c r="E19290" s="10" t="inlineStr">
        <is>
          <t>Lương:20 Tr - 25 Tr VND</t>
        </is>
      </c>
      <c r="F19290" s="10" t="inlineStr">
        <is>
          <t>Hồ Chí Minh</t>
        </is>
      </c>
      <c r="G19290" s="10" t="inlineStr">
        <is>
          <t>28-03-2026</t>
        </is>
      </c>
      <c r="H19290" s="10" t="inlineStr">
        <is>
          <t>28/03/2026</t>
        </is>
      </c>
      <c r="I19290" s="10" t="inlineStr">
        <is>
          <t>17/03/2026</t>
        </is>
      </c>
      <c r="J19290" s="10" t="inlineStr">
        <is>
          <t>Bán lẻ / Bán sỉ, Dịch vụ khách hàng, Công nghệ thực phẩm / Dinh dưỡng</t>
        </is>
      </c>
      <c r="K19290" s="10" t="inlineStr">
        <is>
          <t>2 - 5 Năm</t>
        </is>
      </c>
      <c r="L19290" s="11">
        <f>HYPERLINK("https://careerviet.vn/vi/tim-viec-lam/truong-phong-quan-ly-ban-hang-va-cham-soc-khach-hang.35C66B79.html","Xem chi tiết")</f>
        <v/>
      </c>
      <c r="M19290" s="10" t="n"/>
    </row>
    <row r="19291">
      <c r="B19291" s="7" t="n">
        <v>19289</v>
      </c>
      <c r="C19291" t="inlineStr">
        <is>
          <t>Tuyển Nhân viên Chăm sóc khách hàng</t>
        </is>
      </c>
      <c r="D19291" t="inlineStr">
        <is>
          <t>Viện Thẩm mỹ y khoa Dr Hải Lê</t>
        </is>
      </c>
      <c r="E19291" t="inlineStr">
        <is>
          <t>Lương:8 Tr - 15 Tr VND</t>
        </is>
      </c>
      <c r="F19291" t="inlineStr">
        <is>
          <t>Hà Nội</t>
        </is>
      </c>
      <c r="G19291" t="inlineStr">
        <is>
          <t>28-03-2026</t>
        </is>
      </c>
      <c r="H19291" t="inlineStr">
        <is>
          <t>28/03/2026</t>
        </is>
      </c>
      <c r="I19291" t="inlineStr">
        <is>
          <t>17/03/2026</t>
        </is>
      </c>
      <c r="J19291" t="inlineStr">
        <is>
          <t>Y tế / Chăm sóc sức khỏe / Thẩm mỹ / Làm đẹp, Tư vấn, Dịch vụ khách hàng</t>
        </is>
      </c>
      <c r="K19291" t="inlineStr">
        <is>
          <t>1 - 2 Năm</t>
        </is>
      </c>
      <c r="L19291" s="8">
        <f>HYPERLINK("https://careerviet.vn/vi/tim-viec-lam/tuyen-nhan-vien-cham-soc-khach-hang.35C66AA1.html","Xem chi tiết")</f>
        <v/>
      </c>
    </row>
    <row r="19292">
      <c r="B19292" s="9" t="n">
        <v>19290</v>
      </c>
      <c r="C19292" s="10" t="inlineStr">
        <is>
          <t>KHỐI CNTT&amp;NHĐT_CHUYÊN VIÊN HỖ TRỢ KỸ THUẬT</t>
        </is>
      </c>
      <c r="D19292" s="10" t="inlineStr">
        <is>
          <t>Ngân hàng TMCP Phát triển TP.HCM (HDBank)</t>
        </is>
      </c>
      <c r="E19292" s="10" t="inlineStr">
        <is>
          <t>Lương:Cạnh tranh</t>
        </is>
      </c>
      <c r="F19292" s="10" t="inlineStr">
        <is>
          <t>Hồ Chí Minh</t>
        </is>
      </c>
      <c r="G19292" s="10" t="inlineStr">
        <is>
          <t>28-03-2026</t>
        </is>
      </c>
      <c r="H19292" s="10" t="inlineStr">
        <is>
          <t>28/03/2026</t>
        </is>
      </c>
      <c r="I19292" s="10" t="inlineStr">
        <is>
          <t>17/03/2026</t>
        </is>
      </c>
      <c r="J19292" s="10" t="inlineStr">
        <is>
          <t>Ngân hàng, Tài chính / Đầu tư</t>
        </is>
      </c>
      <c r="K19292" s="10" t="inlineStr">
        <is>
          <t>1 - 2 Năm</t>
        </is>
      </c>
      <c r="L19292" s="11">
        <f>HYPERLINK("https://careerviet.vn/vi/tim-viec-lam/khoi-cntt-nhdt_chuyen-vien-ho-tro-ky-thuat.35C66BCC.html","Xem chi tiết")</f>
        <v/>
      </c>
      <c r="M19292" s="10" t="n"/>
    </row>
    <row r="19293">
      <c r="B19293" s="7" t="n">
        <v>19291</v>
      </c>
      <c r="C19293" t="inlineStr">
        <is>
          <t>NHÂN VIÊN KẾ HOẠCH SẢN XUẤT - [CỦ CHI]</t>
        </is>
      </c>
      <c r="D19293" t="inlineStr">
        <is>
          <t>CÔNG TY CP SAIGON AUTO SUPPORTING INDUSTRY</t>
        </is>
      </c>
      <c r="E19293" t="inlineStr">
        <is>
          <t>Lương:Cạnh tranh</t>
        </is>
      </c>
      <c r="F19293" t="inlineStr">
        <is>
          <t>Hồ Chí Minh</t>
        </is>
      </c>
      <c r="G19293" t="inlineStr">
        <is>
          <t>28-03-2026</t>
        </is>
      </c>
      <c r="H19293" t="inlineStr">
        <is>
          <t>28/03/2026</t>
        </is>
      </c>
      <c r="I19293" t="inlineStr">
        <is>
          <t>17/03/2026</t>
        </is>
      </c>
      <c r="J19293" t="inlineStr">
        <is>
          <t>Cơ khí / Ô tô / Tự động hóa, Sản xuất / Vận hành sản xuất, Mới tốt nghiệp / Thực tập</t>
        </is>
      </c>
      <c r="K19293" t="inlineStr">
        <is>
          <t>N/A</t>
        </is>
      </c>
      <c r="L19293" s="8">
        <f>HYPERLINK("https://careerviet.vn/vi/tim-viec-lam/nhan-vien-ke-hoach-san-xuat-cu-chi.35C66BA7.html","Xem chi tiết")</f>
        <v/>
      </c>
    </row>
    <row r="19294">
      <c r="B19294" s="9" t="n">
        <v>19292</v>
      </c>
      <c r="C19294" s="10" t="inlineStr">
        <is>
          <t>Kỹ Sư Cấp Thoát Nước _ PCCC</t>
        </is>
      </c>
      <c r="D19294" s="10" t="inlineStr">
        <is>
          <t>Công Ty Cổ Phần Thiết Kế Và Xây Dựng Giza Việt Nam</t>
        </is>
      </c>
      <c r="E19294" s="10" t="inlineStr">
        <is>
          <t>Lương:16 Tr - 25 Tr VND</t>
        </is>
      </c>
      <c r="F19294" s="10" t="inlineStr">
        <is>
          <t>Hà Nội</t>
        </is>
      </c>
      <c r="G19294" s="10" t="inlineStr">
        <is>
          <t>27-03-2026</t>
        </is>
      </c>
      <c r="H19294" s="10" t="inlineStr">
        <is>
          <t>27/03/2026</t>
        </is>
      </c>
      <c r="I19294" s="10" t="inlineStr">
        <is>
          <t>17/03/2026</t>
        </is>
      </c>
      <c r="J19294" s="10" t="inlineStr">
        <is>
          <t>Xây dựng</t>
        </is>
      </c>
      <c r="K19294" s="10" t="inlineStr">
        <is>
          <t>1 - 3 Năm</t>
        </is>
      </c>
      <c r="L19294" s="11">
        <f>HYPERLINK("https://careerviet.vn/vi/tim-viec-lam/ky-su-cap-thoat-nuoc-_-pccc.35C669A8.html","Xem chi tiết")</f>
        <v/>
      </c>
      <c r="M19294" s="10" t="n"/>
    </row>
    <row r="19295">
      <c r="B19295" s="7" t="n">
        <v>19293</v>
      </c>
      <c r="C19295" t="inlineStr">
        <is>
          <t>Giáo viên Mầm non - Pathway School</t>
        </is>
      </c>
      <c r="D19295" t="inlineStr">
        <is>
          <t>Hệ thống trường Pathway Tuệ Đức</t>
        </is>
      </c>
      <c r="E19295" t="inlineStr">
        <is>
          <t>Lương:Cạnh tranh</t>
        </is>
      </c>
      <c r="F19295" t="inlineStr">
        <is>
          <t>Hồ Chí Minh</t>
        </is>
      </c>
      <c r="G19295" t="inlineStr">
        <is>
          <t>28-03-2026</t>
        </is>
      </c>
      <c r="H19295" t="inlineStr">
        <is>
          <t>28/03/2026</t>
        </is>
      </c>
      <c r="I19295" t="inlineStr">
        <is>
          <t>17/03/2026</t>
        </is>
      </c>
      <c r="J19295" t="inlineStr">
        <is>
          <t>Giáo dục / Đào tạo</t>
        </is>
      </c>
      <c r="K19295" t="inlineStr">
        <is>
          <t>1 - 2 Năm</t>
        </is>
      </c>
      <c r="L19295" s="8">
        <f>HYPERLINK("https://careerviet.vn/vi/tim-viec-lam/giao-vien-mam-non-pathway-school.35C64067.html","Xem chi tiết")</f>
        <v/>
      </c>
    </row>
    <row r="19296">
      <c r="B19296" s="9" t="n">
        <v>19294</v>
      </c>
      <c r="C19296" s="10" t="inlineStr">
        <is>
          <t>NHÂN VIÊN KẾ TOÁN KÍCH HOẠT THẺ XE - HÀ NỘI</t>
        </is>
      </c>
      <c r="D19296" s="10" t="inlineStr">
        <is>
          <t>Hoàng Huy Group</t>
        </is>
      </c>
      <c r="E19296" s="10" t="inlineStr">
        <is>
          <t>Lương:9 Tr - 11 Tr VND</t>
        </is>
      </c>
      <c r="F19296" s="10" t="inlineStr">
        <is>
          <t>Hà Nội</t>
        </is>
      </c>
      <c r="G19296" s="10" t="inlineStr">
        <is>
          <t>28-03-2026</t>
        </is>
      </c>
      <c r="H19296" s="10" t="inlineStr">
        <is>
          <t>28/03/2026</t>
        </is>
      </c>
      <c r="I19296" s="10" t="inlineStr">
        <is>
          <t>17/03/2026</t>
        </is>
      </c>
      <c r="J19296" s="10" t="inlineStr">
        <is>
          <t>Kế toán / Kiểm toán</t>
        </is>
      </c>
      <c r="K19296" s="10" t="inlineStr">
        <is>
          <t>1 - 2 Năm</t>
        </is>
      </c>
      <c r="L19296" s="11">
        <f>HYPERLINK("https://careerviet.vn/vi/tim-viec-lam/nhan-vien-ke-toan-kich-hoat-the-xe-ha-noi.35C66C11.html","Xem chi tiết")</f>
        <v/>
      </c>
      <c r="M19296" s="10" t="n"/>
    </row>
    <row r="19297">
      <c r="B19297" s="7" t="n">
        <v>19295</v>
      </c>
      <c r="C19297" t="inlineStr">
        <is>
          <t>IT Engineer SAP Basis SysAdmin</t>
        </is>
      </c>
      <c r="D19297" t="inlineStr">
        <is>
          <t>Teamwork Vietnam Ltd</t>
        </is>
      </c>
      <c r="E19297" t="inlineStr">
        <is>
          <t>Lương:Cạnh tranh</t>
        </is>
      </c>
      <c r="F19297" t="inlineStr">
        <is>
          <t>Hồ Chí Minh</t>
        </is>
      </c>
      <c r="G19297" t="inlineStr">
        <is>
          <t>28-03-2026</t>
        </is>
      </c>
      <c r="H19297" t="inlineStr">
        <is>
          <t>28/03/2026</t>
        </is>
      </c>
      <c r="I19297" t="inlineStr">
        <is>
          <t>17/03/2026</t>
        </is>
      </c>
      <c r="J19297" t="inlineStr">
        <is>
          <t>CNTT - Phần mềm, CNTT - Phần cứng / Mạng</t>
        </is>
      </c>
      <c r="K19297" t="inlineStr">
        <is>
          <t>N/A</t>
        </is>
      </c>
      <c r="L19297" s="8">
        <f>HYPERLINK("https://careerviet.vn/vi/tim-viec-lam/it-engineer-sap-basis-sysadmin.35C66C30.html","Xem chi tiết")</f>
        <v/>
      </c>
    </row>
    <row r="19298">
      <c r="B19298" s="9" t="n">
        <v>19296</v>
      </c>
      <c r="C19298" s="10" t="inlineStr">
        <is>
          <t>LẬP TRÌNH GAME - GAME DEVELOPERS</t>
        </is>
      </c>
      <c r="D19298" s="10" t="inlineStr">
        <is>
          <t>Koei Tecmo Software Vietnam</t>
        </is>
      </c>
      <c r="E19298" s="10" t="inlineStr">
        <is>
          <t>Lương:Cạnh tranh</t>
        </is>
      </c>
      <c r="F19298" s="10" t="inlineStr">
        <is>
          <t>Hà Nội</t>
        </is>
      </c>
      <c r="G19298" s="10" t="inlineStr">
        <is>
          <t>28-03-2026</t>
        </is>
      </c>
      <c r="H19298" s="10" t="inlineStr">
        <is>
          <t>28/03/2026</t>
        </is>
      </c>
      <c r="I19298" s="10" t="inlineStr">
        <is>
          <t>17/03/2026</t>
        </is>
      </c>
      <c r="J19298" s="10" t="inlineStr">
        <is>
          <t>Bưu chính viễn thông, CNTT - Phần cứng / Mạng, Biên phiên dịch</t>
        </is>
      </c>
      <c r="K19298" s="10" t="inlineStr">
        <is>
          <t>Chưa có kinh nghiệm</t>
        </is>
      </c>
      <c r="L19298" s="11">
        <f>HYPERLINK("https://careerviet.vn/vi/tim-viec-lam/lap-trinh-game-game-developers.35C66B84.html","Xem chi tiết")</f>
        <v/>
      </c>
      <c r="M19298" s="10" t="n"/>
    </row>
    <row r="19299">
      <c r="B19299" s="7" t="n">
        <v>19297</v>
      </c>
      <c r="C19299" t="inlineStr">
        <is>
          <t>SENIOR DIGITAL PERFORMANCE EXECUTIVE</t>
        </is>
      </c>
      <c r="D19299" t="inlineStr">
        <is>
          <t>Công ty TNHH Sản xuất Thương mại &amp; Dịch vụ Hoa Xinh</t>
        </is>
      </c>
      <c r="E19299" t="inlineStr">
        <is>
          <t>Lương:Cạnh tranh</t>
        </is>
      </c>
      <c r="F19299" t="inlineStr">
        <is>
          <t>Hồ Chí Minh</t>
        </is>
      </c>
      <c r="G19299" t="inlineStr">
        <is>
          <t>28-03-2026</t>
        </is>
      </c>
      <c r="H19299" t="inlineStr">
        <is>
          <t>28/03/2026</t>
        </is>
      </c>
      <c r="I19299" t="inlineStr">
        <is>
          <t>17/03/2026</t>
        </is>
      </c>
      <c r="J19299" t="inlineStr">
        <is>
          <t>Tiếp thị / Marketing, Tiếp thị trực tuyến, Thương mại điện tử</t>
        </is>
      </c>
      <c r="K19299" t="inlineStr">
        <is>
          <t>1 - 5 Năm</t>
        </is>
      </c>
      <c r="L19299" s="8">
        <f>HYPERLINK("https://careerviet.vn/vi/tim-viec-lam/senior-digital-performance-executive.35C66ABA.html","Xem chi tiết")</f>
        <v/>
      </c>
    </row>
    <row r="19300">
      <c r="B19300" s="9" t="n">
        <v>19298</v>
      </c>
      <c r="C19300" s="10" t="inlineStr">
        <is>
          <t>Nhân viên Marketing</t>
        </is>
      </c>
      <c r="D19300" s="10" t="inlineStr">
        <is>
          <t>CÔNG TY TNHH NÔNG SẢN QUỐC TẾ ĐỨC VINH</t>
        </is>
      </c>
      <c r="E19300" s="10" t="inlineStr">
        <is>
          <t>Lương:Cạnh tranh</t>
        </is>
      </c>
      <c r="F19300" s="10" t="inlineStr">
        <is>
          <t>Long An</t>
        </is>
      </c>
      <c r="G19300" s="10" t="inlineStr">
        <is>
          <t>28-03-2026</t>
        </is>
      </c>
      <c r="H19300" s="10" t="inlineStr">
        <is>
          <t>28/03/2026</t>
        </is>
      </c>
      <c r="I19300" s="10" t="inlineStr">
        <is>
          <t>17/03/2026</t>
        </is>
      </c>
      <c r="J19300" s="10" t="inlineStr">
        <is>
          <t>Tiếp thị / Marketing, Bán hàng / Kinh doanh</t>
        </is>
      </c>
      <c r="K19300" s="10" t="inlineStr">
        <is>
          <t>1 - 2 Năm</t>
        </is>
      </c>
      <c r="L19300" s="11">
        <f>HYPERLINK("https://careerviet.vn/vi/tim-viec-lam/nhan-vien-marketing.35C66B64.html","Xem chi tiết")</f>
        <v/>
      </c>
      <c r="M19300" s="10" t="n"/>
    </row>
    <row r="19301">
      <c r="B19301" s="7" t="n">
        <v>19299</v>
      </c>
      <c r="C19301" t="inlineStr">
        <is>
          <t>CVCC Tuân thủ mảng Bảo hiểm - Hà Nội - TA161</t>
        </is>
      </c>
      <c r="D19301" t="inlineStr">
        <is>
          <t>Ngân Hàng TMCP Việt Nam Thịnh Vượng - VPBANK</t>
        </is>
      </c>
      <c r="E19301" t="inlineStr">
        <is>
          <t>Lương:20 Tr - 50 Tr VND</t>
        </is>
      </c>
      <c r="F19301" t="inlineStr">
        <is>
          <t>Hà Nội</t>
        </is>
      </c>
      <c r="G19301" t="inlineStr">
        <is>
          <t>27-03-2026</t>
        </is>
      </c>
      <c r="H19301" t="inlineStr">
        <is>
          <t>27/03/2026</t>
        </is>
      </c>
      <c r="I19301" t="inlineStr">
        <is>
          <t>17/03/2026</t>
        </is>
      </c>
      <c r="J19301" t="inlineStr">
        <is>
          <t>Ngân hàng, Bảo hiểm</t>
        </is>
      </c>
      <c r="K19301" t="inlineStr">
        <is>
          <t>Trên 3 Năm</t>
        </is>
      </c>
      <c r="L19301" s="8">
        <f>HYPERLINK("https://careerviet.vn/vi/tim-viec-lam/cvcc-tuan-thu-mang-bao-hiem-ha-noi-ta161.35C668BE.html","Xem chi tiết")</f>
        <v/>
      </c>
    </row>
    <row r="19302">
      <c r="B19302" s="9" t="n">
        <v>19300</v>
      </c>
      <c r="C19302" s="10" t="inlineStr">
        <is>
          <t>Kế toán tổng hợp</t>
        </is>
      </c>
      <c r="D19302" s="10" t="inlineStr">
        <is>
          <t>Công Ty Cổ Phần Thiết Kế Và Xây Dựng Giza Việt Nam</t>
        </is>
      </c>
      <c r="E19302" s="10" t="inlineStr">
        <is>
          <t>Lương:Cạnh tranh</t>
        </is>
      </c>
      <c r="F19302" s="10" t="inlineStr">
        <is>
          <t>Hà Nội</t>
        </is>
      </c>
      <c r="G19302" s="10" t="inlineStr">
        <is>
          <t>27-03-2026</t>
        </is>
      </c>
      <c r="H19302" s="10" t="inlineStr">
        <is>
          <t>27/03/2026</t>
        </is>
      </c>
      <c r="I19302" s="10" t="inlineStr">
        <is>
          <t>17/03/2026</t>
        </is>
      </c>
      <c r="J19302" s="10" t="inlineStr">
        <is>
          <t>Kế toán / Kiểm toán, Tài chính / Đầu tư</t>
        </is>
      </c>
      <c r="K19302" s="10" t="inlineStr">
        <is>
          <t>3 - 5 Năm</t>
        </is>
      </c>
      <c r="L19302" s="11">
        <f>HYPERLINK("https://careerviet.vn/vi/tim-viec-lam/ke-toan-tong-hop.35C669AC.html","Xem chi tiết")</f>
        <v/>
      </c>
      <c r="M19302" s="10" t="n"/>
    </row>
    <row r="19303">
      <c r="B19303" s="7" t="n">
        <v>19301</v>
      </c>
      <c r="C19303" t="inlineStr">
        <is>
          <t>Kỹ sư sản xuất</t>
        </is>
      </c>
      <c r="D19303" t="inlineStr">
        <is>
          <t>CÔNG TY CỔ PHẦN BAO BÌ BIÊN HÒA</t>
        </is>
      </c>
      <c r="E19303" t="inlineStr">
        <is>
          <t>Lương:15 Tr - 20 Tr VND</t>
        </is>
      </c>
      <c r="F19303" t="inlineStr">
        <is>
          <t>Đồng NaiBình Dương</t>
        </is>
      </c>
      <c r="G19303" t="inlineStr">
        <is>
          <t>27-03-2026</t>
        </is>
      </c>
      <c r="H19303" t="inlineStr">
        <is>
          <t>27/03/2026</t>
        </is>
      </c>
      <c r="I19303" t="inlineStr">
        <is>
          <t>17/03/2026</t>
        </is>
      </c>
      <c r="J19303" t="inlineStr">
        <is>
          <t>Cơ khí / Ô tô / Tự động hóa, Điện / Điện tử / Điện lạnh / Điện công nghiệp, Sản xuất / Vận hành sản xuất</t>
        </is>
      </c>
      <c r="K19303" t="inlineStr">
        <is>
          <t>2 - 3 Năm</t>
        </is>
      </c>
      <c r="L19303" s="8">
        <f>HYPERLINK("https://careerviet.vn/vi/tim-viec-lam/ky-su-san-xuat.35C66914.html","Xem chi tiết")</f>
        <v/>
      </c>
    </row>
    <row r="19304">
      <c r="B19304" s="9" t="n">
        <v>19302</v>
      </c>
      <c r="C19304" s="10" t="inlineStr">
        <is>
          <t>Chuyên viên Lập trình Python-ODoo</t>
        </is>
      </c>
      <c r="D19304" s="10" t="inlineStr">
        <is>
          <t>Công ty Cổ phần CANIFA</t>
        </is>
      </c>
      <c r="E19304" s="10" t="inlineStr">
        <is>
          <t>Lương:16 Tr - 30 Tr VND</t>
        </is>
      </c>
      <c r="F19304" s="10" t="inlineStr">
        <is>
          <t>Hà Nội</t>
        </is>
      </c>
      <c r="G19304" s="10" t="inlineStr">
        <is>
          <t>27-03-2026</t>
        </is>
      </c>
      <c r="H19304" s="10" t="inlineStr">
        <is>
          <t>27/03/2026</t>
        </is>
      </c>
      <c r="I19304" s="10" t="inlineStr">
        <is>
          <t>17/03/2026</t>
        </is>
      </c>
      <c r="J19304" s="10" t="inlineStr">
        <is>
          <t>CNTT - Phần mềm</t>
        </is>
      </c>
      <c r="K19304" s="10" t="inlineStr">
        <is>
          <t>2 - 5 Năm</t>
        </is>
      </c>
      <c r="L19304" s="11">
        <f>HYPERLINK("https://careerviet.vn/vi/tim-viec-lam/chuyen-vien-lap-trinh-python-odoo.35C66A36.html","Xem chi tiết")</f>
        <v/>
      </c>
      <c r="M19304" s="10" t="n"/>
    </row>
    <row r="19305">
      <c r="B19305" s="7" t="n">
        <v>19303</v>
      </c>
      <c r="C19305" t="inlineStr">
        <is>
          <t>Nhân viên CSKH Dự án Viettel - Có thể nhận việc sau tết AL - Hỗ trợ dấu mộc thực tập</t>
        </is>
      </c>
      <c r="D19305" t="inlineStr">
        <is>
          <t>BellSystem24-Việt Nam</t>
        </is>
      </c>
      <c r="E19305" t="inlineStr">
        <is>
          <t>Lương:6,5 Tr - 9 Tr VND</t>
        </is>
      </c>
      <c r="F19305" t="inlineStr">
        <is>
          <t>Hà Nội</t>
        </is>
      </c>
      <c r="G19305" t="inlineStr">
        <is>
          <t>27-03-2026</t>
        </is>
      </c>
      <c r="H19305" t="inlineStr">
        <is>
          <t>27/03/2026</t>
        </is>
      </c>
      <c r="I19305" t="inlineStr">
        <is>
          <t>17/03/2026</t>
        </is>
      </c>
      <c r="J19305" t="inlineStr">
        <is>
          <t>Mới tốt nghiệp / Thực tập, Bán hàng / Kinh doanh, Dịch vụ khách hàng</t>
        </is>
      </c>
      <c r="K19305" t="inlineStr">
        <is>
          <t>N/A</t>
        </is>
      </c>
      <c r="L19305" s="8">
        <f>HYPERLINK("https://careerviet.vn/vi/tim-viec-lam/nhan-vien-cskh-du-an-viettel-co-the-nhan-viec-sau-tet-al-ho-tro-dau-moc-thuc-tap.35C669FC.html","Xem chi tiết")</f>
        <v/>
      </c>
    </row>
    <row r="19306">
      <c r="B19306" s="9" t="n">
        <v>19304</v>
      </c>
      <c r="C19306" s="10" t="inlineStr">
        <is>
          <t>Chuyên Viên Chính Điều Tra Và Phòng Chống Gian Lận - TA184-ID868</t>
        </is>
      </c>
      <c r="D19306" s="10" t="inlineStr">
        <is>
          <t>Ngân Hàng TMCP Việt Nam Thịnh Vượng - VPBANK</t>
        </is>
      </c>
      <c r="E19306" s="10" t="inlineStr">
        <is>
          <t>Lương:Cạnh tranh</t>
        </is>
      </c>
      <c r="F19306" s="10" t="inlineStr">
        <is>
          <t>Hồ Chí Minh</t>
        </is>
      </c>
      <c r="G19306" s="10" t="inlineStr">
        <is>
          <t>28-03-2026</t>
        </is>
      </c>
      <c r="H19306" s="10" t="inlineStr">
        <is>
          <t>28/03/2026</t>
        </is>
      </c>
      <c r="I19306" s="10" t="inlineStr">
        <is>
          <t>17/03/2026</t>
        </is>
      </c>
      <c r="J19306" s="10" t="inlineStr">
        <is>
          <t>Luật / Pháp lý, Ngân hàng, Tài chính / Đầu tư</t>
        </is>
      </c>
      <c r="K19306" s="10" t="inlineStr">
        <is>
          <t>3 - 8 Năm</t>
        </is>
      </c>
      <c r="L19306" s="11">
        <f>HYPERLINK("https://careerviet.vn/vi/tim-viec-lam/chuyen-vien-chinh-dieu-tra-va-phong-chong-gian-lan-ta184-id868.35C641E1.html","Xem chi tiết")</f>
        <v/>
      </c>
      <c r="M19306" s="10" t="n"/>
    </row>
    <row r="19307">
      <c r="B19307" s="7" t="n">
        <v>19305</v>
      </c>
      <c r="C19307" t="inlineStr">
        <is>
          <t>[Hotel HN] Kế Toán Trưởng (Hospitality)</t>
        </is>
      </c>
      <c r="D19307" t="inlineStr">
        <is>
          <t>Công ty Cổ phần Tập đoàn Minh Anh</t>
        </is>
      </c>
      <c r="E19307" t="inlineStr">
        <is>
          <t>Lương:Cạnh tranh</t>
        </is>
      </c>
      <c r="F19307" t="inlineStr">
        <is>
          <t>Hà Nội</t>
        </is>
      </c>
      <c r="G19307" t="inlineStr">
        <is>
          <t>27-03-2026</t>
        </is>
      </c>
      <c r="H19307" t="inlineStr">
        <is>
          <t>27/03/2026</t>
        </is>
      </c>
      <c r="I19307" t="inlineStr">
        <is>
          <t>17/03/2026</t>
        </is>
      </c>
      <c r="J19307" t="inlineStr">
        <is>
          <t>Dịch vụ khách hàng, Kế toán / Kiểm toán, Nhà hàng / Khách sạn</t>
        </is>
      </c>
      <c r="K19307" t="inlineStr">
        <is>
          <t>5 - 10 Năm</t>
        </is>
      </c>
      <c r="L19307" s="8">
        <f>HYPERLINK("https://careerviet.vn/vi/tim-viec-lam/hotel-hn-ke-toan-truong-hospitality.35C66906.html","Xem chi tiết")</f>
        <v/>
      </c>
    </row>
    <row r="19308">
      <c r="B19308" s="9" t="n">
        <v>19306</v>
      </c>
      <c r="C19308" s="10" t="inlineStr">
        <is>
          <t>Nhân Viên Chăm Sóc Khách Hàng Trước Bán</t>
        </is>
      </c>
      <c r="D19308" s="10" t="inlineStr">
        <is>
          <t>Công ty Cổ phần Govi Việt Nam</t>
        </is>
      </c>
      <c r="E19308" s="10" t="inlineStr">
        <is>
          <t>Lương:13 Tr - 15 Tr VND</t>
        </is>
      </c>
      <c r="F19308" s="10" t="inlineStr">
        <is>
          <t>Hà Nội</t>
        </is>
      </c>
      <c r="G19308" s="10" t="inlineStr">
        <is>
          <t>27-03-2026</t>
        </is>
      </c>
      <c r="H19308" s="10" t="inlineStr">
        <is>
          <t>27/03/2026</t>
        </is>
      </c>
      <c r="I19308" s="10" t="inlineStr">
        <is>
          <t>17/03/2026</t>
        </is>
      </c>
      <c r="J19308" s="10" t="inlineStr">
        <is>
          <t>Bán hàng / Kinh doanh, Tư vấn, Tiếp thị / Marketing</t>
        </is>
      </c>
      <c r="K19308" s="10" t="inlineStr">
        <is>
          <t>Trên 1 Năm</t>
        </is>
      </c>
      <c r="L19308" s="11">
        <f>HYPERLINK("https://careerviet.vn/vi/tim-viec-lam/nhan-vien-cham-soc-khach-hang-truoc-ban.35C66017.html","Xem chi tiết")</f>
        <v/>
      </c>
      <c r="M19308" s="10" t="n"/>
    </row>
    <row r="19309">
      <c r="B19309" s="7" t="n">
        <v>19307</v>
      </c>
      <c r="C19309" t="inlineStr">
        <is>
          <t>Nhân Viên Pháp Chế Dự Án</t>
        </is>
      </c>
      <c r="D19309" t="inlineStr">
        <is>
          <t>CÔNG TY CỔ PHẦN GANG THÉP HD MIỀN TRUNG</t>
        </is>
      </c>
      <c r="E19309" t="inlineStr">
        <is>
          <t>Lương:9 Tr - 12 Tr VND</t>
        </is>
      </c>
      <c r="F19309" t="inlineStr">
        <is>
          <t>Hồ Chí Minh</t>
        </is>
      </c>
      <c r="G19309" t="inlineStr">
        <is>
          <t>27-03-2026</t>
        </is>
      </c>
      <c r="H19309" t="inlineStr">
        <is>
          <t>27/03/2026</t>
        </is>
      </c>
      <c r="I19309" t="inlineStr">
        <is>
          <t>17/03/2026</t>
        </is>
      </c>
      <c r="J19309" t="inlineStr">
        <is>
          <t>Xây dựng, Tài chính / Đầu tư, Luật / Pháp lý</t>
        </is>
      </c>
      <c r="K19309" t="inlineStr">
        <is>
          <t>1 - 2 Năm</t>
        </is>
      </c>
      <c r="L19309" s="8">
        <f>HYPERLINK("https://careerviet.vn/vi/tim-viec-lam/nhan-vien-phap-che-du-an.35C6696E.html","Xem chi tiết")</f>
        <v/>
      </c>
    </row>
    <row r="19310">
      <c r="B19310" s="9" t="n">
        <v>19308</v>
      </c>
      <c r="C19310" s="10" t="inlineStr">
        <is>
          <t>Trưởng phòng Điện - Tự động hóa</t>
        </is>
      </c>
      <c r="D19310" s="10" t="inlineStr">
        <is>
          <t>Công ty Cổ phần công nghệ và đầu tư INTECH</t>
        </is>
      </c>
      <c r="E19310" s="10" t="inlineStr">
        <is>
          <t>Lương:30 Tr - 35 Tr VND</t>
        </is>
      </c>
      <c r="F19310" s="10" t="inlineStr">
        <is>
          <t>Hà Nội</t>
        </is>
      </c>
      <c r="G19310" s="10" t="inlineStr">
        <is>
          <t>27-03-2026</t>
        </is>
      </c>
      <c r="H19310" s="10" t="inlineStr">
        <is>
          <t>27/03/2026</t>
        </is>
      </c>
      <c r="I19310" s="10" t="inlineStr">
        <is>
          <t>17/03/2026</t>
        </is>
      </c>
      <c r="J19310" s="10" t="inlineStr">
        <is>
          <t>Cơ khí / Ô tô / Tự động hóa, Điện / Điện tử / Điện lạnh / Điện công nghiệp</t>
        </is>
      </c>
      <c r="K19310" s="10" t="inlineStr">
        <is>
          <t>2 - 3 Năm</t>
        </is>
      </c>
      <c r="L19310" s="11">
        <f>HYPERLINK("https://careerviet.vn/vi/tim-viec-lam/truong-phong-dien-tu-dong-hoa.35C668ED.html","Xem chi tiết")</f>
        <v/>
      </c>
      <c r="M19310" s="10" t="n"/>
    </row>
    <row r="19311">
      <c r="B19311" s="7" t="n">
        <v>19309</v>
      </c>
      <c r="C19311" t="inlineStr">
        <is>
          <t>QFS Technician</t>
        </is>
      </c>
      <c r="D19311" t="inlineStr">
        <is>
          <t>Công ty TNHH Olam Việt Nam</t>
        </is>
      </c>
      <c r="E19311" t="inlineStr">
        <is>
          <t>Lương:7 Tr - 10 Tr VND</t>
        </is>
      </c>
      <c r="F19311" t="inlineStr">
        <is>
          <t>Đồng Nai</t>
        </is>
      </c>
      <c r="G19311" t="inlineStr">
        <is>
          <t>27-03-2026</t>
        </is>
      </c>
      <c r="H19311" t="inlineStr">
        <is>
          <t>27/03/2026</t>
        </is>
      </c>
      <c r="I19311" t="inlineStr">
        <is>
          <t>17/03/2026</t>
        </is>
      </c>
      <c r="J19311" t="inlineStr">
        <is>
          <t>Quản lý chất lượng (QA/QC)</t>
        </is>
      </c>
      <c r="K19311" t="inlineStr">
        <is>
          <t>Chưa có kinh nghiệm</t>
        </is>
      </c>
      <c r="L19311" s="8">
        <f>HYPERLINK("https://careerviet.vn/vi/tim-viec-lam/qfs-technician.35C66875.html","Xem chi tiết")</f>
        <v/>
      </c>
    </row>
    <row r="19312">
      <c r="B19312" s="9" t="n">
        <v>19310</v>
      </c>
      <c r="C19312" s="10" t="inlineStr">
        <is>
          <t>Chuyên Viên Cải Tiến Và Số Hóa Quy Trình Nghiệp Vụ (Business Process Manager)</t>
        </is>
      </c>
      <c r="D19312" s="10" t="inlineStr">
        <is>
          <t>CÔNG TY CỔ PHẦN CHỨNG KHOÁN ASEAN</t>
        </is>
      </c>
      <c r="E19312" s="10" t="inlineStr">
        <is>
          <t>Lương:Cạnh tranh</t>
        </is>
      </c>
      <c r="F19312" s="10" t="inlineStr">
        <is>
          <t>Hà Nội</t>
        </is>
      </c>
      <c r="G19312" s="10" t="inlineStr">
        <is>
          <t>27-03-2026</t>
        </is>
      </c>
      <c r="H19312" s="10" t="inlineStr">
        <is>
          <t>27/03/2026</t>
        </is>
      </c>
      <c r="I19312" s="10" t="inlineStr">
        <is>
          <t>17/03/2026</t>
        </is>
      </c>
      <c r="J19312" s="10" t="inlineStr">
        <is>
          <t>Bán hàng / Kinh doanh, Quản lý điều hành, Chứng khoán</t>
        </is>
      </c>
      <c r="K19312" s="10" t="inlineStr">
        <is>
          <t>Trên 3 Năm</t>
        </is>
      </c>
      <c r="L19312" s="11">
        <f>HYPERLINK("https://careerviet.vn/vi/tim-viec-lam/chuyen-vien-cai-tien-va-so-hoa-quy-trinh-nghiep-vu-business-process-manager.35C66937.html","Xem chi tiết")</f>
        <v/>
      </c>
      <c r="M19312" s="10" t="n"/>
    </row>
    <row r="19313">
      <c r="B19313" s="7" t="n">
        <v>19311</v>
      </c>
      <c r="C19313" t="inlineStr">
        <is>
          <t>Tuyển dụng tổ trưởng kho</t>
        </is>
      </c>
      <c r="D19313" t="inlineStr">
        <is>
          <t>Công ty TNHH Amphenol Technology Vietnam (Xưởng 3)</t>
        </is>
      </c>
      <c r="E19313" t="inlineStr">
        <is>
          <t>Lương:Cạnh tranh</t>
        </is>
      </c>
      <c r="F19313" t="inlineStr">
        <is>
          <t>Long An</t>
        </is>
      </c>
      <c r="G19313" t="inlineStr">
        <is>
          <t>28-03-2026</t>
        </is>
      </c>
      <c r="H19313" t="inlineStr">
        <is>
          <t>28/03/2026</t>
        </is>
      </c>
      <c r="I19313" t="inlineStr">
        <is>
          <t>17/03/2026</t>
        </is>
      </c>
      <c r="J19313" t="inlineStr">
        <is>
          <t>Vận chuyển / Giao nhận / Kho vận, Sản xuất / Vận hành sản xuất</t>
        </is>
      </c>
      <c r="K19313" t="inlineStr">
        <is>
          <t>1 - 3 Năm</t>
        </is>
      </c>
      <c r="L19313" s="8">
        <f>HYPERLINK("https://careerviet.vn/vi/tim-viec-lam/tuyen-dung-to-truong-kho.35C66B28.html","Xem chi tiết")</f>
        <v/>
      </c>
    </row>
    <row r="19314">
      <c r="B19314" s="9" t="n">
        <v>19312</v>
      </c>
      <c r="C19314" s="10" t="inlineStr">
        <is>
          <t>Nhân viên giao hàng bằng xe máy (Dĩ An - Bình Dương)</t>
        </is>
      </c>
      <c r="D19314" s="10" t="inlineStr">
        <is>
          <t>Công Ty Cổ Phần Hai Bốn Bảy</t>
        </is>
      </c>
      <c r="E19314" s="10" t="inlineStr">
        <is>
          <t>Lương:12 Tr - 20 Tr VND</t>
        </is>
      </c>
      <c r="F19314" s="10" t="inlineStr">
        <is>
          <t>Bình Dương</t>
        </is>
      </c>
      <c r="G19314" s="10" t="inlineStr">
        <is>
          <t>27-03-2026</t>
        </is>
      </c>
      <c r="H19314" s="10" t="inlineStr">
        <is>
          <t>27/03/2026</t>
        </is>
      </c>
      <c r="I19314" s="10" t="inlineStr">
        <is>
          <t>17/03/2026</t>
        </is>
      </c>
      <c r="J19314" s="10" t="inlineStr">
        <is>
          <t>Vận chuyển / Giao nhận / Kho vận</t>
        </is>
      </c>
      <c r="K19314" s="10" t="inlineStr">
        <is>
          <t>Chưa có kinh nghiệm</t>
        </is>
      </c>
      <c r="L19314" s="11">
        <f>HYPERLINK("https://careerviet.vn/vi/tim-viec-lam/nhan-vien-giao-hang-bang-xe-may-di-an-binh-duong.35C66933.html","Xem chi tiết")</f>
        <v/>
      </c>
      <c r="M19314" s="10" t="n"/>
    </row>
    <row r="19315">
      <c r="B19315" s="7" t="n">
        <v>19313</v>
      </c>
      <c r="C19315" t="inlineStr">
        <is>
          <t>Kế Toán Tổng Hợp</t>
        </is>
      </c>
      <c r="D19315" t="inlineStr">
        <is>
          <t>Công ty CP DRH Holdings</t>
        </is>
      </c>
      <c r="E19315" t="inlineStr">
        <is>
          <t>Lương:10 Tr - 17 Tr VND</t>
        </is>
      </c>
      <c r="F19315" t="inlineStr">
        <is>
          <t>Hồ Chí Minh</t>
        </is>
      </c>
      <c r="G19315" t="inlineStr">
        <is>
          <t>27-03-2026</t>
        </is>
      </c>
      <c r="H19315" t="inlineStr">
        <is>
          <t>27/03/2026</t>
        </is>
      </c>
      <c r="I19315" t="inlineStr">
        <is>
          <t>17/03/2026</t>
        </is>
      </c>
      <c r="J19315" t="inlineStr">
        <is>
          <t>Kế toán / Kiểm toán, Tài chính / Đầu tư, Bất động sản</t>
        </is>
      </c>
      <c r="K19315" t="inlineStr">
        <is>
          <t>Trên 3 Năm</t>
        </is>
      </c>
      <c r="L19315" s="8">
        <f>HYPERLINK("https://careerviet.vn/vi/tim-viec-lam/ke-toan-tong-hop.35C66A14.html","Xem chi tiết")</f>
        <v/>
      </c>
    </row>
    <row r="19316">
      <c r="B19316" s="9" t="n">
        <v>19314</v>
      </c>
      <c r="C19316" s="10" t="inlineStr">
        <is>
          <t>Kỹ Sư Tự Động Hóa</t>
        </is>
      </c>
      <c r="D19316" s="10" t="inlineStr">
        <is>
          <t>Công ty TNHH Nesta</t>
        </is>
      </c>
      <c r="E19316" s="10" t="inlineStr">
        <is>
          <t>Lương:Trên 30 Tr VND</t>
        </is>
      </c>
      <c r="F19316" s="10" t="inlineStr">
        <is>
          <t>Hưng Yên</t>
        </is>
      </c>
      <c r="G19316" s="10" t="inlineStr">
        <is>
          <t>27-03-2026</t>
        </is>
      </c>
      <c r="H19316" s="10" t="inlineStr">
        <is>
          <t>27/03/2026</t>
        </is>
      </c>
      <c r="I19316" s="10" t="inlineStr">
        <is>
          <t>17/03/2026</t>
        </is>
      </c>
      <c r="J19316" s="10" t="inlineStr">
        <is>
          <t>Cơ khí / Ô tô / Tự động hóa, Điện / Điện tử / Điện lạnh / Điện công nghiệp, Sản xuất / Vận hành sản xuất</t>
        </is>
      </c>
      <c r="K19316" s="10" t="inlineStr">
        <is>
          <t>3 - 5 Năm</t>
        </is>
      </c>
      <c r="L19316" s="11">
        <f>HYPERLINK("https://careerviet.vn/vi/tim-viec-lam/ky-su-tu-dong-hoa.35C66A09.html","Xem chi tiết")</f>
        <v/>
      </c>
      <c r="M19316" s="10" t="n"/>
    </row>
    <row r="19317">
      <c r="B19317" s="7" t="n">
        <v>19315</v>
      </c>
      <c r="C19317" t="inlineStr">
        <is>
          <t>KẾ TOÁN TỔNG HỢP - QUẢN TRỊ NỘI BỘ</t>
        </is>
      </c>
      <c r="D19317" t="inlineStr">
        <is>
          <t>Công Ty TNHH Hiệp Long</t>
        </is>
      </c>
      <c r="E19317" t="inlineStr">
        <is>
          <t>Lương:17 Tr - 22 Tr VND</t>
        </is>
      </c>
      <c r="F19317" t="inlineStr">
        <is>
          <t>Bình Dương</t>
        </is>
      </c>
      <c r="G19317" t="inlineStr">
        <is>
          <t>27-03-2026</t>
        </is>
      </c>
      <c r="H19317" t="inlineStr">
        <is>
          <t>27/03/2026</t>
        </is>
      </c>
      <c r="I19317" t="inlineStr">
        <is>
          <t>17/03/2026</t>
        </is>
      </c>
      <c r="J19317" t="inlineStr">
        <is>
          <t>Kế toán / Kiểm toán</t>
        </is>
      </c>
      <c r="K19317" t="inlineStr">
        <is>
          <t>Lên đến 2 Năm</t>
        </is>
      </c>
      <c r="L19317" s="8">
        <f>HYPERLINK("https://careerviet.vn/vi/tim-viec-lam/ke-toan-tong-hop-quan-tri-noi-bo.35C668EE.html","Xem chi tiết")</f>
        <v/>
      </c>
    </row>
    <row r="19318">
      <c r="B19318" s="9" t="n">
        <v>19316</v>
      </c>
      <c r="C19318" s="10" t="inlineStr">
        <is>
          <t>Nhân viên Kinh doanh</t>
        </is>
      </c>
      <c r="D19318" s="10" t="inlineStr">
        <is>
          <t>Công Ty TNHH Red Bull (Việt Nam)</t>
        </is>
      </c>
      <c r="E19318" s="10" t="inlineStr">
        <is>
          <t>Lương:Cạnh tranh</t>
        </is>
      </c>
      <c r="F19318" s="10" t="inlineStr">
        <is>
          <t>Hồ Chí MinhBình DươngĐồng Nai</t>
        </is>
      </c>
      <c r="G19318" s="10" t="inlineStr">
        <is>
          <t>27-03-2026</t>
        </is>
      </c>
      <c r="H19318" s="10" t="inlineStr">
        <is>
          <t>27/03/2026</t>
        </is>
      </c>
      <c r="I19318" s="10" t="inlineStr">
        <is>
          <t>17/03/2026</t>
        </is>
      </c>
      <c r="J19318" s="10" t="inlineStr">
        <is>
          <t>Bán lẻ / Bán sỉ, Bán hàng / Kinh doanh, Hàng gia dụng / Chăm sóc cá nhân</t>
        </is>
      </c>
      <c r="K19318" s="10" t="inlineStr">
        <is>
          <t>Trên 1 Năm</t>
        </is>
      </c>
      <c r="L19318" s="11">
        <f>HYPERLINK("https://careerviet.vn/vi/tim-viec-lam/nhan-vien-kinh-doanh.35C66919.html","Xem chi tiết")</f>
        <v/>
      </c>
      <c r="M19318" s="10" t="n"/>
    </row>
    <row r="19319">
      <c r="B19319" s="7" t="n">
        <v>19317</v>
      </c>
      <c r="C19319" t="inlineStr">
        <is>
          <t>Nhân Viên Content Marketing</t>
        </is>
      </c>
      <c r="D19319" t="inlineStr">
        <is>
          <t>JoyMall - Nhà Phân Phối Locknlock</t>
        </is>
      </c>
      <c r="E19319" t="inlineStr">
        <is>
          <t>Lương:7 Tr - 12 Tr VND</t>
        </is>
      </c>
      <c r="F19319" t="inlineStr">
        <is>
          <t>Hồ Chí Minh</t>
        </is>
      </c>
      <c r="G19319" t="inlineStr">
        <is>
          <t>27-03-2026</t>
        </is>
      </c>
      <c r="H19319" t="inlineStr">
        <is>
          <t>27/03/2026</t>
        </is>
      </c>
      <c r="I19319" t="inlineStr">
        <is>
          <t>17/03/2026</t>
        </is>
      </c>
      <c r="J19319" t="inlineStr">
        <is>
          <t>Tiếp thị / Marketing, Truyền hình / Báo chí / Biên tập, Quảng cáo / Đối ngoại / Truyền Thông</t>
        </is>
      </c>
      <c r="K19319" t="inlineStr">
        <is>
          <t>Lên đến 1 Năm</t>
        </is>
      </c>
      <c r="L19319" s="8">
        <f>HYPERLINK("https://careerviet.vn/vi/tim-viec-lam/nhan-vien-content-marketing.35C66958.html","Xem chi tiết")</f>
        <v/>
      </c>
    </row>
    <row r="19320">
      <c r="B19320" s="9" t="n">
        <v>19318</v>
      </c>
      <c r="C19320" s="10" t="inlineStr">
        <is>
          <t>Quản Lý Kinh Doanh (Làm Việc Tại HCM)</t>
        </is>
      </c>
      <c r="D19320" s="10" t="inlineStr">
        <is>
          <t>StudyLink Company</t>
        </is>
      </c>
      <c r="E19320" s="10" t="inlineStr">
        <is>
          <t>Lương:Cạnh tranh</t>
        </is>
      </c>
      <c r="F19320" s="10" t="inlineStr">
        <is>
          <t>Hồ Chí Minh</t>
        </is>
      </c>
      <c r="G19320" s="10" t="inlineStr">
        <is>
          <t>27-03-2026</t>
        </is>
      </c>
      <c r="H19320" s="10" t="inlineStr">
        <is>
          <t>27/03/2026</t>
        </is>
      </c>
      <c r="I19320" s="10" t="inlineStr">
        <is>
          <t>17/03/2026</t>
        </is>
      </c>
      <c r="J19320" s="10" t="inlineStr">
        <is>
          <t>Bán hàng / Kinh doanh, Giáo dục / Đào tạo, Quản lý điều hành</t>
        </is>
      </c>
      <c r="K19320" s="10" t="inlineStr">
        <is>
          <t>Trên 3 Năm</t>
        </is>
      </c>
      <c r="L19320" s="11">
        <f>HYPERLINK("https://careerviet.vn/vi/tim-viec-lam/quan-ly-kinh-doanh-lam-viec-tai-hcm.35C668C1.html","Xem chi tiết")</f>
        <v/>
      </c>
      <c r="M19320" s="10" t="n"/>
    </row>
    <row r="19321">
      <c r="B19321" s="7" t="n">
        <v>19319</v>
      </c>
      <c r="C19321" t="inlineStr">
        <is>
          <t>Chủ trì Thiết kế điện</t>
        </is>
      </c>
      <c r="D19321" t="inlineStr">
        <is>
          <t>Công Ty Cổ Phần Thiết Kế Và Xây Dựng Giza Việt Nam</t>
        </is>
      </c>
      <c r="E19321" t="inlineStr">
        <is>
          <t>Lương:Cạnh tranh</t>
        </is>
      </c>
      <c r="F19321" t="inlineStr">
        <is>
          <t>Hà Nội</t>
        </is>
      </c>
      <c r="G19321" t="inlineStr">
        <is>
          <t>27-03-2026</t>
        </is>
      </c>
      <c r="H19321" t="inlineStr">
        <is>
          <t>27/03/2026</t>
        </is>
      </c>
      <c r="I19321" t="inlineStr">
        <is>
          <t>17/03/2026</t>
        </is>
      </c>
      <c r="J19321" t="inlineStr">
        <is>
          <t>Điện / Điện tử / Điện lạnh / Điện công nghiệp, Xây dựng</t>
        </is>
      </c>
      <c r="K19321" t="inlineStr">
        <is>
          <t>3 - 5 Năm</t>
        </is>
      </c>
      <c r="L19321" s="8">
        <f>HYPERLINK("https://careerviet.vn/vi/tim-viec-lam/chu-tri-thiet-ke-dien.35C6697A.html","Xem chi tiết")</f>
        <v/>
      </c>
    </row>
    <row r="19322">
      <c r="B19322" s="9" t="n">
        <v>19320</v>
      </c>
      <c r="C19322" s="10" t="inlineStr">
        <is>
          <t>CVCC Tuân thủ mảng Bảo hiểm - Hà Nội - TA161</t>
        </is>
      </c>
      <c r="D19322" s="10" t="inlineStr">
        <is>
          <t>Ngân Hàng TMCP Việt Nam Thịnh Vượng - VPBANK</t>
        </is>
      </c>
      <c r="E19322" s="10" t="inlineStr">
        <is>
          <t>Lương:30 Tr - 50 Tr VND</t>
        </is>
      </c>
      <c r="F19322" s="10" t="inlineStr">
        <is>
          <t>Hà Nội</t>
        </is>
      </c>
      <c r="G19322" s="10" t="inlineStr">
        <is>
          <t>27-03-2026</t>
        </is>
      </c>
      <c r="H19322" s="10" t="inlineStr">
        <is>
          <t>27/03/2026</t>
        </is>
      </c>
      <c r="I19322" s="10" t="inlineStr">
        <is>
          <t>17/03/2026</t>
        </is>
      </c>
      <c r="J19322" s="10" t="inlineStr">
        <is>
          <t>Ngân hàng, Bảo hiểm</t>
        </is>
      </c>
      <c r="K19322" s="10" t="inlineStr">
        <is>
          <t>2 - 3 Năm</t>
        </is>
      </c>
      <c r="L19322" s="11">
        <f>HYPERLINK("https://careerviet.vn/vi/tim-viec-lam/cvcc-tuan-thu-mang-bao-hiem-ha-noi-ta161.35C668C4.html","Xem chi tiết")</f>
        <v/>
      </c>
      <c r="M19322" s="10" t="n"/>
    </row>
    <row r="19323">
      <c r="B19323" s="7" t="n">
        <v>19321</v>
      </c>
      <c r="C19323" t="inlineStr">
        <is>
          <t>Trưởng Nhóm Nội Dung &amp; Chiến Lược Sáng Tạo</t>
        </is>
      </c>
      <c r="D19323" t="inlineStr">
        <is>
          <t>JoyMall - Nhà Phân Phối Locknlock</t>
        </is>
      </c>
      <c r="E19323" t="inlineStr">
        <is>
          <t>Lương:12 Tr - 20 Tr VND</t>
        </is>
      </c>
      <c r="F19323" t="inlineStr">
        <is>
          <t>Hồ Chí Minh</t>
        </is>
      </c>
      <c r="G19323" t="inlineStr">
        <is>
          <t>27-03-2026</t>
        </is>
      </c>
      <c r="H19323" t="inlineStr">
        <is>
          <t>27/03/2026</t>
        </is>
      </c>
      <c r="I19323" t="inlineStr">
        <is>
          <t>17/03/2026</t>
        </is>
      </c>
      <c r="J19323" t="inlineStr">
        <is>
          <t>Truyền hình / Báo chí / Biên tập, Tiếp thị / Marketing, Quảng cáo / Đối ngoại / Truyền Thông</t>
        </is>
      </c>
      <c r="K19323" t="inlineStr">
        <is>
          <t>Lên đến 1 Năm</t>
        </is>
      </c>
      <c r="L19323" s="8">
        <f>HYPERLINK("https://careerviet.vn/vi/tim-viec-lam/truong-nhom-noi-dung-chien-luoc-sang-tao.35C66944.html","Xem chi tiết")</f>
        <v/>
      </c>
    </row>
    <row r="19324">
      <c r="B19324" s="9" t="n">
        <v>19322</v>
      </c>
      <c r="C19324" s="10" t="inlineStr">
        <is>
          <t>Lễ Tân Văn Phòng Bán Hàng (Phụ Trách Thủ Tục và CSKH)</t>
        </is>
      </c>
      <c r="D19324" s="10" t="inlineStr">
        <is>
          <t>CÔNG TY CỔ PHẦN PHÁT TRIỂN BẤT ĐỘNG SẢN VĂN PHÚ</t>
        </is>
      </c>
      <c r="E19324" s="10" t="inlineStr">
        <is>
          <t>Lương:Cạnh tranh</t>
        </is>
      </c>
      <c r="F19324" s="10" t="inlineStr">
        <is>
          <t>Hồ Chí Minh</t>
        </is>
      </c>
      <c r="G19324" s="10" t="inlineStr">
        <is>
          <t>27-03-2026</t>
        </is>
      </c>
      <c r="H19324" s="10" t="inlineStr">
        <is>
          <t>27/03/2026</t>
        </is>
      </c>
      <c r="I19324" s="10" t="inlineStr">
        <is>
          <t>17/03/2026</t>
        </is>
      </c>
      <c r="J19324" s="10" t="inlineStr">
        <is>
          <t>Bất động sản, Dịch vụ khách hàng</t>
        </is>
      </c>
      <c r="K19324" s="10" t="inlineStr">
        <is>
          <t>1 - 2 Năm</t>
        </is>
      </c>
      <c r="L19324" s="11">
        <f>HYPERLINK("https://careerviet.vn/vi/tim-viec-lam/le-tan-van-phong-ban-hang-phu-trach-thu-tuc-va-cskh.35C66A2D.html","Xem chi tiết")</f>
        <v/>
      </c>
      <c r="M19324" s="10" t="n"/>
    </row>
    <row r="19325">
      <c r="B19325" s="7" t="n">
        <v>19323</v>
      </c>
      <c r="C19325" t="inlineStr">
        <is>
          <t>KẾ TOÁN TRƯỞNG (CHIEF ACCOUNTANT)</t>
        </is>
      </c>
      <c r="D19325" t="inlineStr">
        <is>
          <t>HR Vietnam’s ESS Client</t>
        </is>
      </c>
      <c r="E19325" t="inlineStr">
        <is>
          <t>Lương:Cạnh tranh</t>
        </is>
      </c>
      <c r="F19325" t="inlineStr">
        <is>
          <t>Hồ Chí Minh</t>
        </is>
      </c>
      <c r="G19325" t="inlineStr">
        <is>
          <t>27-03-2026</t>
        </is>
      </c>
      <c r="H19325" t="inlineStr">
        <is>
          <t>27/03/2026</t>
        </is>
      </c>
      <c r="I19325" t="inlineStr">
        <is>
          <t>17/03/2026</t>
        </is>
      </c>
      <c r="J19325" t="inlineStr">
        <is>
          <t>Kế toán / Kiểm toán</t>
        </is>
      </c>
      <c r="K19325" t="inlineStr">
        <is>
          <t>7 - 15 Năm</t>
        </is>
      </c>
      <c r="L19325" s="8">
        <f>HYPERLINK("https://careerviet.vn/vi/tim-viec-lam/ke-toan-truong-chief-accountant.35C66899.html","Xem chi tiết")</f>
        <v/>
      </c>
    </row>
    <row r="19326">
      <c r="B19326" s="9" t="n">
        <v>19324</v>
      </c>
      <c r="C19326" s="10" t="inlineStr">
        <is>
          <t>Chuyên Viên Phân Tích Nghiệp Vụ (Business Analyst)</t>
        </is>
      </c>
      <c r="D19326" s="10" t="inlineStr">
        <is>
          <t>CÔNG TY CỔ PHẦN CHỨNG KHOÁN ASEAN</t>
        </is>
      </c>
      <c r="E19326" s="10" t="inlineStr">
        <is>
          <t>Lương:Cạnh tranh</t>
        </is>
      </c>
      <c r="F19326" s="10" t="inlineStr">
        <is>
          <t>Hà Nội</t>
        </is>
      </c>
      <c r="G19326" s="10" t="inlineStr">
        <is>
          <t>27-03-2026</t>
        </is>
      </c>
      <c r="H19326" s="10" t="inlineStr">
        <is>
          <t>27/03/2026</t>
        </is>
      </c>
      <c r="I19326" s="10" t="inlineStr">
        <is>
          <t>17/03/2026</t>
        </is>
      </c>
      <c r="J19326" s="10" t="inlineStr">
        <is>
          <t>Chứng khoán, Tài chính / Đầu tư, CNTT - Phần mềm</t>
        </is>
      </c>
      <c r="K19326" s="10" t="inlineStr">
        <is>
          <t>Trên 2 Năm</t>
        </is>
      </c>
      <c r="L19326" s="11">
        <f>HYPERLINK("https://careerviet.vn/vi/tim-viec-lam/chuyen-vien-phan-tich-nghiep-vu-business-analyst.35C668FB.html","Xem chi tiết")</f>
        <v/>
      </c>
      <c r="M19326" s="10" t="n"/>
    </row>
    <row r="19327">
      <c r="B19327" s="7" t="n">
        <v>19325</v>
      </c>
      <c r="C19327" t="inlineStr">
        <is>
          <t>[Nova Hotels &amp; Resorts World] Quản lý Quan hệ Khách hàng (Kênh B2B)</t>
        </is>
      </c>
      <c r="D19327" t="inlineStr">
        <is>
          <t>Nova Service Group - Công ty Cổ phần Tập đoàn Nova Services</t>
        </is>
      </c>
      <c r="E19327" t="inlineStr">
        <is>
          <t>Lương:Cạnh tranh</t>
        </is>
      </c>
      <c r="F19327" t="inlineStr">
        <is>
          <t>Hồ Chí Minh</t>
        </is>
      </c>
      <c r="G19327" t="inlineStr">
        <is>
          <t>27-03-2026</t>
        </is>
      </c>
      <c r="H19327" t="inlineStr">
        <is>
          <t>27/03/2026</t>
        </is>
      </c>
      <c r="I19327" t="inlineStr">
        <is>
          <t>17/03/2026</t>
        </is>
      </c>
      <c r="J19327" t="inlineStr">
        <is>
          <t>Bán hàng / Kinh doanh, Nhà hàng / Khách sạn, Du lịch</t>
        </is>
      </c>
      <c r="K19327" t="inlineStr">
        <is>
          <t>3 - 5 Năm</t>
        </is>
      </c>
      <c r="L19327" s="8">
        <f>HYPERLINK("https://careerviet.vn/vi/tim-viec-lam/nova-hotels-resorts-world-quan-ly-quan-he-khach-hang-kenh-b2b.35C6698B.html","Xem chi tiết")</f>
        <v/>
      </c>
    </row>
    <row r="19328">
      <c r="B19328" s="9" t="n">
        <v>19326</v>
      </c>
      <c r="C19328" s="10" t="inlineStr">
        <is>
          <t>Kỹ sư Chăm sóc khách hàng - CS Engineer</t>
        </is>
      </c>
      <c r="D19328" s="10" t="inlineStr">
        <is>
          <t>CÔNG TY TNHH ELECTRONIC TRIPOD VIỆT NAM (BIÊN HÒA)</t>
        </is>
      </c>
      <c r="E19328" s="10" t="inlineStr">
        <is>
          <t>Lương:Cạnh tranh</t>
        </is>
      </c>
      <c r="F19328" s="10" t="inlineStr">
        <is>
          <t>Đồng Nai</t>
        </is>
      </c>
      <c r="G19328" s="10" t="inlineStr">
        <is>
          <t>27-03-2026</t>
        </is>
      </c>
      <c r="H19328" s="10" t="inlineStr">
        <is>
          <t>27/03/2026</t>
        </is>
      </c>
      <c r="I19328" s="10" t="inlineStr">
        <is>
          <t>17/03/2026</t>
        </is>
      </c>
      <c r="J19328" s="10" t="inlineStr">
        <is>
          <t>Dịch vụ khách hàng, Sản xuất / Vận hành sản xuất</t>
        </is>
      </c>
      <c r="K19328" s="10" t="inlineStr">
        <is>
          <t>Lên đến 1 Năm</t>
        </is>
      </c>
      <c r="L19328" s="11">
        <f>HYPERLINK("https://careerviet.vn/vi/tim-viec-lam/ky-su-cham-soc-khach-hang-cs-engineer.35C668FF.html","Xem chi tiết")</f>
        <v/>
      </c>
      <c r="M19328" s="10" t="n"/>
    </row>
    <row r="19329">
      <c r="B19329" s="7" t="n">
        <v>19327</v>
      </c>
      <c r="C19329" t="inlineStr">
        <is>
          <t>Assistant to Chief Accountant</t>
        </is>
      </c>
      <c r="D19329" t="inlineStr">
        <is>
          <t>Công Ty TNHH Red Bull (Việt Nam)</t>
        </is>
      </c>
      <c r="E19329" t="inlineStr">
        <is>
          <t>Lương:Cạnh tranh</t>
        </is>
      </c>
      <c r="F19329" t="inlineStr">
        <is>
          <t>Hồ Chí MinhBình DươngĐồng Nai</t>
        </is>
      </c>
      <c r="G19329" t="inlineStr">
        <is>
          <t>27-03-2026</t>
        </is>
      </c>
      <c r="H19329" t="inlineStr">
        <is>
          <t>27/03/2026</t>
        </is>
      </c>
      <c r="I19329" t="inlineStr">
        <is>
          <t>17/03/2026</t>
        </is>
      </c>
      <c r="J19329" t="inlineStr">
        <is>
          <t>Kế toán / Kiểm toán, Tài chính / Đầu tư</t>
        </is>
      </c>
      <c r="K19329" t="inlineStr">
        <is>
          <t>Trên 3 Năm</t>
        </is>
      </c>
      <c r="L19329" s="8">
        <f>HYPERLINK("https://careerviet.vn/vi/tim-viec-lam/assistant-to-chief-accountant.35C6691A.html","Xem chi tiết")</f>
        <v/>
      </c>
    </row>
    <row r="19330">
      <c r="B19330" s="9" t="n">
        <v>19328</v>
      </c>
      <c r="C19330" s="10" t="inlineStr">
        <is>
          <t>Chuyên viên Quản lý xây dựng dự án</t>
        </is>
      </c>
      <c r="D19330" s="10" t="inlineStr">
        <is>
          <t>Công ty Cổ phần Đầu tư Xây dựng HUD Kiên Giang</t>
        </is>
      </c>
      <c r="E19330" s="10" t="inlineStr">
        <is>
          <t>Lương:10 Tr - 18 Tr VND</t>
        </is>
      </c>
      <c r="F19330" s="10" t="inlineStr">
        <is>
          <t>Kiên Giang</t>
        </is>
      </c>
      <c r="G19330" s="10" t="inlineStr">
        <is>
          <t>27-03-2026</t>
        </is>
      </c>
      <c r="H19330" s="10" t="inlineStr">
        <is>
          <t>27/03/2026</t>
        </is>
      </c>
      <c r="I19330" s="10" t="inlineStr">
        <is>
          <t>17/03/2026</t>
        </is>
      </c>
      <c r="J19330" s="10" t="inlineStr">
        <is>
          <t>Xây dựng</t>
        </is>
      </c>
      <c r="K19330" s="10" t="inlineStr">
        <is>
          <t>Lên đến 3 Năm</t>
        </is>
      </c>
      <c r="L19330" s="11">
        <f>HYPERLINK("https://careerviet.vn/vi/tim-viec-lam/chuyen-vien-quan-ly-xay-dung-du-an.35C63FE5.html","Xem chi tiết")</f>
        <v/>
      </c>
      <c r="M19330" s="10" t="n"/>
    </row>
    <row r="19331">
      <c r="B19331" s="7" t="n">
        <v>19329</v>
      </c>
      <c r="C19331" t="inlineStr">
        <is>
          <t>Trưởng Nhóm Bán Hàng Trực Tiếp - Bình Dương - TA181</t>
        </is>
      </c>
      <c r="D19331" t="inlineStr">
        <is>
          <t>Ngân Hàng TMCP Việt Nam Thịnh Vượng - VPBANK</t>
        </is>
      </c>
      <c r="E19331" t="inlineStr">
        <is>
          <t>Lương:20 Tr - 50 Tr VND</t>
        </is>
      </c>
      <c r="F19331" t="inlineStr">
        <is>
          <t>Bình Dương</t>
        </is>
      </c>
      <c r="G19331" t="inlineStr">
        <is>
          <t>27-03-2026</t>
        </is>
      </c>
      <c r="H19331" t="inlineStr">
        <is>
          <t>27/03/2026</t>
        </is>
      </c>
      <c r="I19331" t="inlineStr">
        <is>
          <t>17/03/2026</t>
        </is>
      </c>
      <c r="J19331" t="inlineStr">
        <is>
          <t>Bán hàng / Kinh doanh, Ngân hàng</t>
        </is>
      </c>
      <c r="K19331" t="inlineStr">
        <is>
          <t>Trên 2 Năm</t>
        </is>
      </c>
      <c r="L19331" s="8">
        <f>HYPERLINK("https://careerviet.vn/vi/tim-viec-lam/truong-nhom-ban-hang-truc-tiep-binh-duong-ta181.35C669E2.html","Xem chi tiết")</f>
        <v/>
      </c>
    </row>
    <row r="19332">
      <c r="B19332" s="9" t="n">
        <v>19330</v>
      </c>
      <c r="C19332" s="10" t="inlineStr">
        <is>
          <t>Supervisor Inbound Ecommerce</t>
        </is>
      </c>
      <c r="D19332" s="10" t="inlineStr">
        <is>
          <t>CÔNG TY CỔ PHẦN ALTIUS LINK VIỆT NAM</t>
        </is>
      </c>
      <c r="E19332" s="10" t="inlineStr">
        <is>
          <t>Lương:12 Tr - 16 Tr VND</t>
        </is>
      </c>
      <c r="F19332" s="10" t="inlineStr">
        <is>
          <t>Hồ Chí Minh</t>
        </is>
      </c>
      <c r="G19332" s="10" t="inlineStr">
        <is>
          <t>27-03-2026</t>
        </is>
      </c>
      <c r="H19332" s="10" t="inlineStr">
        <is>
          <t>27/03/2026</t>
        </is>
      </c>
      <c r="I19332" s="10" t="inlineStr">
        <is>
          <t>17/03/2026</t>
        </is>
      </c>
      <c r="J19332" s="10" t="inlineStr">
        <is>
          <t>Tiếp thị / Marketing, Tiếp thị trực tuyến, Tư vấn</t>
        </is>
      </c>
      <c r="K19332" s="10" t="inlineStr">
        <is>
          <t>1 - 2 Năm</t>
        </is>
      </c>
      <c r="L19332" s="11">
        <f>HYPERLINK("https://careerviet.vn/vi/tim-viec-lam/supervisor-inbound-ecommerce.35C63FDD.html","Xem chi tiết")</f>
        <v/>
      </c>
      <c r="M19332" s="10" t="n"/>
    </row>
    <row r="19333">
      <c r="B19333" s="7" t="n">
        <v>19331</v>
      </c>
      <c r="C19333" t="inlineStr">
        <is>
          <t>CVCC Xử lý than phiền - TT247 - Hà Nội - TA161</t>
        </is>
      </c>
      <c r="D19333" t="inlineStr">
        <is>
          <t>Ngân Hàng TMCP Việt Nam Thịnh Vượng - VPBANK</t>
        </is>
      </c>
      <c r="E19333" t="inlineStr">
        <is>
          <t>Lương:Cạnh tranh</t>
        </is>
      </c>
      <c r="F19333" t="inlineStr">
        <is>
          <t>Hà Nội</t>
        </is>
      </c>
      <c r="G19333" t="inlineStr">
        <is>
          <t>27-03-2026</t>
        </is>
      </c>
      <c r="H19333" t="inlineStr">
        <is>
          <t>27/03/2026</t>
        </is>
      </c>
      <c r="I19333" t="inlineStr">
        <is>
          <t>17/03/2026</t>
        </is>
      </c>
      <c r="J19333" t="inlineStr">
        <is>
          <t>Ngân hàng</t>
        </is>
      </c>
      <c r="K19333" t="inlineStr">
        <is>
          <t>2 - 3 Năm</t>
        </is>
      </c>
      <c r="L19333" s="8">
        <f>HYPERLINK("https://careerviet.vn/vi/tim-viec-lam/cvcc-xu-ly-than-phien-tt247-ha-noi-ta161.35C660D7.html","Xem chi tiết")</f>
        <v/>
      </c>
    </row>
    <row r="19334">
      <c r="B19334" s="9" t="n">
        <v>19332</v>
      </c>
      <c r="C19334" s="10" t="inlineStr">
        <is>
          <t>Nhân viên hỗ trợ người dùng ERP</t>
        </is>
      </c>
      <c r="D19334" s="10" t="inlineStr">
        <is>
          <t>Công ty Cổ phần CANIFA</t>
        </is>
      </c>
      <c r="E19334" s="10" t="inlineStr">
        <is>
          <t>Lương:10 Tr - 16 Tr VND</t>
        </is>
      </c>
      <c r="F19334" s="10" t="inlineStr">
        <is>
          <t>Hà Nội</t>
        </is>
      </c>
      <c r="G19334" s="10" t="inlineStr">
        <is>
          <t>27-03-2026</t>
        </is>
      </c>
      <c r="H19334" s="10" t="inlineStr">
        <is>
          <t>27/03/2026</t>
        </is>
      </c>
      <c r="I19334" s="10" t="inlineStr">
        <is>
          <t>17/03/2026</t>
        </is>
      </c>
      <c r="J19334" s="10" t="inlineStr">
        <is>
          <t>CNTT - Phần mềm</t>
        </is>
      </c>
      <c r="K19334" s="10" t="inlineStr">
        <is>
          <t>1 - 3 Năm</t>
        </is>
      </c>
      <c r="L19334" s="11">
        <f>HYPERLINK("https://careerviet.vn/vi/tim-viec-lam/nhan-vien-ho-tro-nguoi-dung-erp.35C66A30.html","Xem chi tiết")</f>
        <v/>
      </c>
      <c r="M19334" s="10" t="n"/>
    </row>
    <row r="19335">
      <c r="B19335" s="7" t="n">
        <v>19333</v>
      </c>
      <c r="C19335" t="inlineStr">
        <is>
          <t>Sales Engineer</t>
        </is>
      </c>
      <c r="D19335" t="inlineStr">
        <is>
          <t>CÔNG TY TNHH AZBIL VIỆT NAM</t>
        </is>
      </c>
      <c r="E19335" t="inlineStr">
        <is>
          <t>Lương:Cạnh tranh</t>
        </is>
      </c>
      <c r="F19335" t="inlineStr">
        <is>
          <t>Hồ Chí Minh</t>
        </is>
      </c>
      <c r="G19335" t="inlineStr">
        <is>
          <t>27-03-2026</t>
        </is>
      </c>
      <c r="H19335" t="inlineStr">
        <is>
          <t>27/03/2026</t>
        </is>
      </c>
      <c r="I19335" t="inlineStr">
        <is>
          <t>17/03/2026</t>
        </is>
      </c>
      <c r="J19335" t="inlineStr">
        <is>
          <t>Bán hàng / Kinh doanh, Bán Hàng Kỹ Thuật, Tư vấn</t>
        </is>
      </c>
      <c r="K19335" t="inlineStr">
        <is>
          <t>Trên 1 Năm</t>
        </is>
      </c>
      <c r="L19335" s="8">
        <f>HYPERLINK("https://careerviet.vn/vi/tim-viec-lam/sales-engineer.35C668FC.html","Xem chi tiết")</f>
        <v/>
      </c>
    </row>
    <row r="19336">
      <c r="B19336" s="9" t="n">
        <v>19334</v>
      </c>
      <c r="C19336" s="10" t="inlineStr">
        <is>
          <t>Nhân viên Lập trình Python-ODoo</t>
        </is>
      </c>
      <c r="D19336" s="10" t="inlineStr">
        <is>
          <t>Công ty Cổ phần CANIFA</t>
        </is>
      </c>
      <c r="E19336" s="10" t="inlineStr">
        <is>
          <t>Lương:12 Tr - 20 Tr VND</t>
        </is>
      </c>
      <c r="F19336" s="10" t="inlineStr">
        <is>
          <t>Hà Nội</t>
        </is>
      </c>
      <c r="G19336" s="10" t="inlineStr">
        <is>
          <t>27-03-2026</t>
        </is>
      </c>
      <c r="H19336" s="10" t="inlineStr">
        <is>
          <t>27/03/2026</t>
        </is>
      </c>
      <c r="I19336" s="10" t="inlineStr">
        <is>
          <t>17/03/2026</t>
        </is>
      </c>
      <c r="J19336" s="10" t="inlineStr">
        <is>
          <t>CNTT - Phần mềm</t>
        </is>
      </c>
      <c r="K19336" s="10" t="inlineStr">
        <is>
          <t>1 - 2 Năm</t>
        </is>
      </c>
      <c r="L19336" s="11">
        <f>HYPERLINK("https://careerviet.vn/vi/tim-viec-lam/nhan-vien-lap-trinh-python-odoo.35C66A33.html","Xem chi tiết")</f>
        <v/>
      </c>
      <c r="M19336" s="10" t="n"/>
    </row>
    <row r="19337">
      <c r="B19337" s="7" t="n">
        <v>19335</v>
      </c>
      <c r="C19337" t="inlineStr">
        <is>
          <t>Nhân viên Kinh doanh cho công ty thương mại lớn của Nhật</t>
        </is>
      </c>
      <c r="D19337" t="inlineStr">
        <is>
          <t>Công ty TNHH AOBA Việt Nam</t>
        </is>
      </c>
      <c r="E19337" t="inlineStr">
        <is>
          <t>Lương:Cạnh tranh</t>
        </is>
      </c>
      <c r="F19337" t="inlineStr">
        <is>
          <t>Quảng Ninh</t>
        </is>
      </c>
      <c r="G19337" t="inlineStr">
        <is>
          <t>27-03-2026</t>
        </is>
      </c>
      <c r="H19337" t="inlineStr">
        <is>
          <t>27/03/2026</t>
        </is>
      </c>
      <c r="I19337" t="inlineStr">
        <is>
          <t>17/03/2026</t>
        </is>
      </c>
      <c r="J19337" t="inlineStr">
        <is>
          <t>Bán hàng / Kinh doanh, Dệt may / Da giày / Thời trang</t>
        </is>
      </c>
      <c r="K19337" t="inlineStr">
        <is>
          <t>Chưa có kinh nghiệm</t>
        </is>
      </c>
      <c r="L19337" s="8">
        <f>HYPERLINK("https://careerviet.vn/vi/tim-viec-lam/nhan-vien-kinh-doanh-cho-cong-ty-thuong-mai-lon-cua-nhat.35C669F0.html","Xem chi tiết")</f>
        <v/>
      </c>
    </row>
    <row r="19338">
      <c r="B19338" s="9" t="n">
        <v>19336</v>
      </c>
      <c r="C19338" s="10" t="inlineStr">
        <is>
          <t>Trưởng Bộ Phận Ẩm Thực</t>
        </is>
      </c>
      <c r="D19338" s="10" t="inlineStr">
        <is>
          <t>CÔNG TY CỔ PHẦN TẬP ĐOÀN ONSEN FUJI</t>
        </is>
      </c>
      <c r="E19338" s="10" t="inlineStr">
        <is>
          <t>Lương:40 Tr - 50 Tr VND</t>
        </is>
      </c>
      <c r="F19338" s="10" t="inlineStr">
        <is>
          <t>Phú Thọ</t>
        </is>
      </c>
      <c r="G19338" s="10" t="inlineStr">
        <is>
          <t>27-03-2026</t>
        </is>
      </c>
      <c r="H19338" s="10" t="inlineStr">
        <is>
          <t>27/03/2026</t>
        </is>
      </c>
      <c r="I19338" s="10" t="inlineStr">
        <is>
          <t>17/03/2026</t>
        </is>
      </c>
      <c r="J19338" s="10" t="inlineStr">
        <is>
          <t>Nhà hàng / Khách sạn</t>
        </is>
      </c>
      <c r="K19338" s="10" t="inlineStr">
        <is>
          <t>3 - 5 Năm</t>
        </is>
      </c>
      <c r="L19338" s="11">
        <f>HYPERLINK("https://careerviet.vn/vi/tim-viec-lam/truong-bo-phan-am-thuc.35C669B7.html","Xem chi tiết")</f>
        <v/>
      </c>
      <c r="M19338" s="10" t="n"/>
    </row>
    <row r="19339">
      <c r="B19339" s="7" t="n">
        <v>19337</v>
      </c>
      <c r="C19339" t="inlineStr">
        <is>
          <t>Thực Tập Sinh Kinh Doanh Số (Digital Business Intern)</t>
        </is>
      </c>
      <c r="D19339" t="inlineStr">
        <is>
          <t>CÔNG TY CỔ PHẦN CHỨNG KHOÁN ASEAN</t>
        </is>
      </c>
      <c r="E19339" t="inlineStr">
        <is>
          <t>Lương:Cạnh tranh</t>
        </is>
      </c>
      <c r="F19339" t="inlineStr">
        <is>
          <t>Hà Nội</t>
        </is>
      </c>
      <c r="G19339" t="inlineStr">
        <is>
          <t>27-03-2026</t>
        </is>
      </c>
      <c r="H19339" t="inlineStr">
        <is>
          <t>27/03/2026</t>
        </is>
      </c>
      <c r="I19339" t="inlineStr">
        <is>
          <t>17/03/2026</t>
        </is>
      </c>
      <c r="J19339" t="inlineStr">
        <is>
          <t>Tiếp thị / Marketing, Bán hàng / Kinh doanh, Tài chính / Đầu tư</t>
        </is>
      </c>
      <c r="K19339" t="inlineStr">
        <is>
          <t>N/A</t>
        </is>
      </c>
      <c r="L19339" s="8">
        <f>HYPERLINK("https://careerviet.vn/vi/tim-viec-lam/thuc-tap-sinh-kinh-doanh-so-digital-business-intern.35C6693C.html","Xem chi tiết")</f>
        <v/>
      </c>
    </row>
    <row r="19340">
      <c r="B19340" s="9" t="n">
        <v>19338</v>
      </c>
      <c r="C19340" s="10" t="inlineStr">
        <is>
          <t>Kế toán hàng hóa</t>
        </is>
      </c>
      <c r="D19340" s="10" t="inlineStr">
        <is>
          <t>Tập Đoàn Kim Tín</t>
        </is>
      </c>
      <c r="E19340" s="10" t="inlineStr">
        <is>
          <t>Lương:Cạnh tranh</t>
        </is>
      </c>
      <c r="F19340" s="10" t="inlineStr">
        <is>
          <t>Hồ Chí Minh</t>
        </is>
      </c>
      <c r="G19340" s="10" t="inlineStr">
        <is>
          <t>27-03-2026</t>
        </is>
      </c>
      <c r="H19340" s="10" t="inlineStr">
        <is>
          <t>27/03/2026</t>
        </is>
      </c>
      <c r="I19340" s="10" t="inlineStr">
        <is>
          <t>17/03/2026</t>
        </is>
      </c>
      <c r="J19340" s="10" t="inlineStr">
        <is>
          <t>Kế toán / Kiểm toán, Mới tốt nghiệp / Thực tập</t>
        </is>
      </c>
      <c r="K19340" s="10" t="inlineStr">
        <is>
          <t>1 - 3 Năm</t>
        </is>
      </c>
      <c r="L19340" s="11">
        <f>HYPERLINK("https://careerviet.vn/vi/tim-viec-lam/ke-toan-hang-hoa.35C668C9.html","Xem chi tiết")</f>
        <v/>
      </c>
      <c r="M19340" s="10" t="n"/>
    </row>
    <row r="19341">
      <c r="B19341" s="7" t="n">
        <v>19339</v>
      </c>
      <c r="C19341" t="inlineStr">
        <is>
          <t>Nhân Viên Mua Hàng Nhập Khẩu</t>
        </is>
      </c>
      <c r="D19341" t="inlineStr">
        <is>
          <t>Công ty Cổ Phần Tập Đoàn Điện Quang</t>
        </is>
      </c>
      <c r="E19341" t="inlineStr">
        <is>
          <t>Lương:Cạnh tranh</t>
        </is>
      </c>
      <c r="F19341" t="inlineStr">
        <is>
          <t>Hồ Chí Minh</t>
        </is>
      </c>
      <c r="G19341" t="inlineStr">
        <is>
          <t>27-03-2026</t>
        </is>
      </c>
      <c r="H19341" t="inlineStr">
        <is>
          <t>27/03/2026</t>
        </is>
      </c>
      <c r="I19341" t="inlineStr">
        <is>
          <t>17/03/2026</t>
        </is>
      </c>
      <c r="J19341" t="inlineStr">
        <is>
          <t>Kế toán / Kiểm toán, Thu mua / Vật tư, Xuất nhập khẩu</t>
        </is>
      </c>
      <c r="K19341" t="inlineStr">
        <is>
          <t>1 - 2 Năm</t>
        </is>
      </c>
      <c r="L19341" s="8">
        <f>HYPERLINK("https://careerviet.vn/vi/tim-viec-lam/nhan-vien-mua-hang-nhap-khau.35C66910.html","Xem chi tiết")</f>
        <v/>
      </c>
    </row>
    <row r="19342">
      <c r="B19342" s="9" t="n">
        <v>19340</v>
      </c>
      <c r="C19342" s="10" t="inlineStr">
        <is>
          <t>Chuyên viên Tuyển dụng</t>
        </is>
      </c>
      <c r="D19342" s="10" t="inlineStr">
        <is>
          <t>Tập Đoàn Kim Tín</t>
        </is>
      </c>
      <c r="E19342" s="10" t="inlineStr">
        <is>
          <t>Lương:Cạnh tranh</t>
        </is>
      </c>
      <c r="F19342" s="10" t="inlineStr">
        <is>
          <t>Hồ Chí Minh</t>
        </is>
      </c>
      <c r="G19342" s="10" t="inlineStr">
        <is>
          <t>27-03-2026</t>
        </is>
      </c>
      <c r="H19342" s="10" t="inlineStr">
        <is>
          <t>27/03/2026</t>
        </is>
      </c>
      <c r="I19342" s="10" t="inlineStr">
        <is>
          <t>17/03/2026</t>
        </is>
      </c>
      <c r="J19342" s="10" t="inlineStr">
        <is>
          <t>Nhân sự</t>
        </is>
      </c>
      <c r="K19342" s="10" t="inlineStr">
        <is>
          <t>1 - 5 Năm</t>
        </is>
      </c>
      <c r="L19342" s="11">
        <f>HYPERLINK("https://careerviet.vn/vi/tim-viec-lam/chuyen-vien-tuyen-dung.35C66862.html","Xem chi tiết")</f>
        <v/>
      </c>
      <c r="M19342" s="10" t="n"/>
    </row>
    <row r="19343">
      <c r="B19343" s="7" t="n">
        <v>19341</v>
      </c>
      <c r="C19343" t="inlineStr">
        <is>
          <t>Expert, Underwriting (Techcom Life)</t>
        </is>
      </c>
      <c r="D19343" t="inlineStr">
        <is>
          <t>NGÂN HÀNG TMCP KỸ THƯƠNG VIỆT NAM (TECHCOMBANK)</t>
        </is>
      </c>
      <c r="E19343" t="inlineStr">
        <is>
          <t>Lương:Cạnh tranh</t>
        </is>
      </c>
      <c r="F19343" t="inlineStr">
        <is>
          <t>Hà Nội</t>
        </is>
      </c>
      <c r="G19343" t="inlineStr">
        <is>
          <t>27-03-2026</t>
        </is>
      </c>
      <c r="H19343" t="inlineStr">
        <is>
          <t>27/03/2026</t>
        </is>
      </c>
      <c r="I19343" t="inlineStr">
        <is>
          <t>17/03/2026</t>
        </is>
      </c>
      <c r="J19343" t="inlineStr">
        <is>
          <t>Ngân hàng, Bảo hiểm, Tài chính / Đầu tư</t>
        </is>
      </c>
      <c r="K19343" t="inlineStr">
        <is>
          <t>Trên 8 Năm</t>
        </is>
      </c>
      <c r="L19343" s="8">
        <f>HYPERLINK("https://careerviet.vn/vi/tim-viec-lam/expert-underwriting-techcom-life.35C66A3B.html","Xem chi tiết")</f>
        <v/>
      </c>
    </row>
    <row r="19344">
      <c r="B19344" s="9" t="n">
        <v>19342</v>
      </c>
      <c r="C19344" s="10" t="inlineStr">
        <is>
          <t>Chuyên Viên Marketing</t>
        </is>
      </c>
      <c r="D19344" s="10" t="inlineStr">
        <is>
          <t>CÔNG TY TNHH DƯỢC PHẨM ĐÔNG ĐÔ</t>
        </is>
      </c>
      <c r="E19344" s="10" t="inlineStr">
        <is>
          <t>Lương:Cạnh tranh</t>
        </is>
      </c>
      <c r="F19344" s="10" t="inlineStr">
        <is>
          <t>Hà Nội</t>
        </is>
      </c>
      <c r="G19344" s="10" t="inlineStr">
        <is>
          <t>27-03-2026</t>
        </is>
      </c>
      <c r="H19344" s="10" t="inlineStr">
        <is>
          <t>27/03/2026</t>
        </is>
      </c>
      <c r="I19344" s="10" t="inlineStr">
        <is>
          <t>17/03/2026</t>
        </is>
      </c>
      <c r="J19344" s="10" t="inlineStr">
        <is>
          <t>Tiếp thị / Marketing, Quảng cáo / Đối ngoại / Truyền Thông, Truyền hình / Báo chí / Biên tập</t>
        </is>
      </c>
      <c r="K19344" s="10" t="inlineStr">
        <is>
          <t>N/A</t>
        </is>
      </c>
      <c r="L19344" s="11">
        <f>HYPERLINK("https://careerviet.vn/vi/tim-viec-lam/chuyen-vien-marketing.35C669B2.html","Xem chi tiết")</f>
        <v/>
      </c>
      <c r="M19344" s="10" t="n"/>
    </row>
    <row r="19345">
      <c r="B19345" s="7" t="n">
        <v>19343</v>
      </c>
      <c r="C19345" t="inlineStr">
        <is>
          <t>TỔ TRƯỞNG LẮP (KẾT CẤU) - FITTING TEAM LEADER</t>
        </is>
      </c>
      <c r="D19345" t="inlineStr">
        <is>
          <t>PEB STEEL BUILDINGS CO., LTD.</t>
        </is>
      </c>
      <c r="E19345" t="inlineStr">
        <is>
          <t>Lương:Cạnh tranh</t>
        </is>
      </c>
      <c r="F19345" t="inlineStr">
        <is>
          <t>Bà Rịa - Vũng Tàu</t>
        </is>
      </c>
      <c r="G19345" t="inlineStr">
        <is>
          <t>27-03-2026</t>
        </is>
      </c>
      <c r="H19345" t="inlineStr">
        <is>
          <t>27/03/2026</t>
        </is>
      </c>
      <c r="I19345" t="inlineStr">
        <is>
          <t>17/03/2026</t>
        </is>
      </c>
      <c r="J19345" t="inlineStr">
        <is>
          <t>Sản xuất / Vận hành sản xuất</t>
        </is>
      </c>
      <c r="K19345" t="inlineStr">
        <is>
          <t>1 - 3 Năm</t>
        </is>
      </c>
      <c r="L19345" s="8">
        <f>HYPERLINK("https://careerviet.vn/vi/tim-viec-lam/to-truong-lap-ket-cau-fitting-team-leader.35C668BB.html","Xem chi tiết")</f>
        <v/>
      </c>
    </row>
    <row r="19346">
      <c r="B19346" s="9" t="n">
        <v>19344</v>
      </c>
      <c r="C19346" s="10" t="inlineStr">
        <is>
          <t>Giám Sát Nội Thất</t>
        </is>
      </c>
      <c r="D19346" s="10" t="inlineStr">
        <is>
          <t>Công ty TNHH Kiến tạo và Kiệt tác ( Work &amp; Wondes)</t>
        </is>
      </c>
      <c r="E19346" s="10" t="inlineStr">
        <is>
          <t>Lương:15 Tr - 18 Tr VND</t>
        </is>
      </c>
      <c r="F19346" s="10" t="inlineStr">
        <is>
          <t>Hà Nội</t>
        </is>
      </c>
      <c r="G19346" s="10" t="inlineStr">
        <is>
          <t>27-03-2026</t>
        </is>
      </c>
      <c r="H19346" s="10" t="inlineStr">
        <is>
          <t>27/03/2026</t>
        </is>
      </c>
      <c r="I19346" s="10" t="inlineStr">
        <is>
          <t>17/03/2026</t>
        </is>
      </c>
      <c r="J19346" s="10" t="inlineStr">
        <is>
          <t>Kiến trúc, Xây dựng, Nội ngoại thất</t>
        </is>
      </c>
      <c r="K19346" s="10" t="inlineStr">
        <is>
          <t>Trên 2 Năm</t>
        </is>
      </c>
      <c r="L19346" s="11">
        <f>HYPERLINK("https://careerviet.vn/vi/tim-viec-lam/giam-sat-noi-that.35C6697B.html","Xem chi tiết")</f>
        <v/>
      </c>
      <c r="M19346" s="10" t="n"/>
    </row>
    <row r="19347">
      <c r="B19347" s="7" t="n">
        <v>19345</v>
      </c>
      <c r="C19347" t="inlineStr">
        <is>
          <t>Chuyên viên Cao cấp Chính sách rủi ro tín dụng</t>
        </is>
      </c>
      <c r="D19347" t="inlineStr">
        <is>
          <t>BVBank - Ngân hàng Bản Việt</t>
        </is>
      </c>
      <c r="E19347" t="inlineStr">
        <is>
          <t>Lương:Cạnh tranh</t>
        </is>
      </c>
      <c r="F19347" t="inlineStr">
        <is>
          <t>Hồ Chí Minh</t>
        </is>
      </c>
      <c r="G19347" t="inlineStr">
        <is>
          <t>27-03-2026</t>
        </is>
      </c>
      <c r="H19347" t="inlineStr">
        <is>
          <t>27/03/2026</t>
        </is>
      </c>
      <c r="I19347" t="inlineStr">
        <is>
          <t>17/03/2026</t>
        </is>
      </c>
      <c r="J19347" t="inlineStr">
        <is>
          <t>Ngân hàng, Tài chính / Đầu tư, Luật / Pháp lý</t>
        </is>
      </c>
      <c r="K19347" t="inlineStr">
        <is>
          <t>4 - 5 Năm</t>
        </is>
      </c>
      <c r="L19347" s="8">
        <f>HYPERLINK("https://careerviet.vn/vi/tim-viec-lam/chuyen-vien-cao-cap-chinh-sach-rui-ro-tin-dung.35C6685A.html","Xem chi tiết")</f>
        <v/>
      </c>
    </row>
    <row r="19348">
      <c r="B19348" s="9" t="n">
        <v>19346</v>
      </c>
      <c r="C19348" s="10" t="inlineStr">
        <is>
          <t>Tổ Trưởng Hàn tự động (KẾT CẤU) /Team Leader-Autowelding</t>
        </is>
      </c>
      <c r="D19348" s="10" t="inlineStr">
        <is>
          <t>PEB STEEL BUILDINGS CO., LTD.</t>
        </is>
      </c>
      <c r="E19348" s="10" t="inlineStr">
        <is>
          <t>Lương:Cạnh tranh</t>
        </is>
      </c>
      <c r="F19348" s="10" t="inlineStr">
        <is>
          <t>Bà Rịa - Vũng Tàu</t>
        </is>
      </c>
      <c r="G19348" s="10" t="inlineStr">
        <is>
          <t>27-03-2026</t>
        </is>
      </c>
      <c r="H19348" s="10" t="inlineStr">
        <is>
          <t>27/03/2026</t>
        </is>
      </c>
      <c r="I19348" s="10" t="inlineStr">
        <is>
          <t>17/03/2026</t>
        </is>
      </c>
      <c r="J19348" s="10" t="inlineStr">
        <is>
          <t>Cơ khí / Ô tô / Tự động hóa, Sản xuất / Vận hành sản xuất</t>
        </is>
      </c>
      <c r="K19348" s="10" t="inlineStr">
        <is>
          <t>2 - 5 Năm</t>
        </is>
      </c>
      <c r="L19348" s="11">
        <f>HYPERLINK("https://careerviet.vn/vi/tim-viec-lam/to-truong-han-tu-dong-ket-cau-team-leader-autowelding.35C668FE.html","Xem chi tiết")</f>
        <v/>
      </c>
      <c r="M19348" s="10" t="n"/>
    </row>
    <row r="19349">
      <c r="B19349" s="7" t="n">
        <v>19347</v>
      </c>
      <c r="C19349" t="inlineStr">
        <is>
          <t>Chuyên Viên Quảng Cáo/ Advertising Excutive (Google Ads, Facebook Ads, TikTok Ads)</t>
        </is>
      </c>
      <c r="D19349" t="inlineStr">
        <is>
          <t>CÔNG TY TNHH B.PURE VIỆT NAM</t>
        </is>
      </c>
      <c r="E19349" t="inlineStr">
        <is>
          <t>Lương:10 Tr - 13 Tr VND</t>
        </is>
      </c>
      <c r="F19349" t="inlineStr">
        <is>
          <t>Hà Nội</t>
        </is>
      </c>
      <c r="G19349" t="inlineStr">
        <is>
          <t>27-03-2026</t>
        </is>
      </c>
      <c r="H19349" t="inlineStr">
        <is>
          <t>27/03/2026</t>
        </is>
      </c>
      <c r="I19349" t="inlineStr">
        <is>
          <t>17/03/2026</t>
        </is>
      </c>
      <c r="J19349" t="inlineStr">
        <is>
          <t>Tiếp thị / Marketing, Truyền hình / Báo chí / Biên tập, Quảng cáo / Đối ngoại / Truyền Thông</t>
        </is>
      </c>
      <c r="K19349" t="inlineStr">
        <is>
          <t>Trên 2 Năm</t>
        </is>
      </c>
      <c r="L19349" s="8">
        <f>HYPERLINK("https://careerviet.vn/vi/tim-viec-lam/chuyen-vien-quang-cao-advertising-excutive-google-ads-facebook-ads-tiktok-ads.35C66A1B.html","Xem chi tiết")</f>
        <v/>
      </c>
    </row>
    <row r="19350">
      <c r="B19350" s="9" t="n">
        <v>19348</v>
      </c>
      <c r="C19350" s="10" t="inlineStr">
        <is>
          <t>Senior Sales Engineer cho công ty cung cấp vòng bi hàng đầu thế giới</t>
        </is>
      </c>
      <c r="D19350" s="10" t="inlineStr">
        <is>
          <t>Công ty TNHH AOBA Việt Nam</t>
        </is>
      </c>
      <c r="E19350" s="10" t="inlineStr">
        <is>
          <t>Lương:Cạnh tranh</t>
        </is>
      </c>
      <c r="F19350" s="10" t="inlineStr">
        <is>
          <t>Hà Nội</t>
        </is>
      </c>
      <c r="G19350" s="10" t="inlineStr">
        <is>
          <t>27-03-2026</t>
        </is>
      </c>
      <c r="H19350" s="10" t="inlineStr">
        <is>
          <t>27/03/2026</t>
        </is>
      </c>
      <c r="I19350" s="10" t="inlineStr">
        <is>
          <t>17/03/2026</t>
        </is>
      </c>
      <c r="J19350" s="10" t="inlineStr">
        <is>
          <t>Bán hàng / Kinh doanh</t>
        </is>
      </c>
      <c r="K19350" s="10" t="inlineStr">
        <is>
          <t>3 - 10 Năm</t>
        </is>
      </c>
      <c r="L19350" s="11">
        <f>HYPERLINK("https://careerviet.vn/vi/tim-viec-lam/senior-sales-engineer-cho-cong-ty-cung-cap-vong-bi-hang-dau-the-gioi.35C669CD.html","Xem chi tiết")</f>
        <v/>
      </c>
      <c r="M19350" s="10" t="n"/>
    </row>
    <row r="19351">
      <c r="B19351" s="7" t="n">
        <v>19349</v>
      </c>
      <c r="C19351" t="inlineStr">
        <is>
          <t>Chuyên viên Cung ứng</t>
        </is>
      </c>
      <c r="D19351" t="inlineStr">
        <is>
          <t>Công Ty Cổ Phần VictoryCons</t>
        </is>
      </c>
      <c r="E19351" t="inlineStr">
        <is>
          <t>Lương:Cạnh tranh</t>
        </is>
      </c>
      <c r="F19351" t="inlineStr">
        <is>
          <t>Hồ Chí Minh</t>
        </is>
      </c>
      <c r="G19351" t="inlineStr">
        <is>
          <t>27-03-2026</t>
        </is>
      </c>
      <c r="H19351" t="inlineStr">
        <is>
          <t>27/03/2026</t>
        </is>
      </c>
      <c r="I19351" t="inlineStr">
        <is>
          <t>17/03/2026</t>
        </is>
      </c>
      <c r="J19351" t="inlineStr">
        <is>
          <t>Kiến trúc, Bất động sản, Xây dựng</t>
        </is>
      </c>
      <c r="K19351" t="inlineStr">
        <is>
          <t>1 - 5 Năm</t>
        </is>
      </c>
      <c r="L19351" s="8">
        <f>HYPERLINK("https://careerviet.vn/vi/tim-viec-lam/chuyen-vien-cung-ung.35C63FF0.html","Xem chi tiết")</f>
        <v/>
      </c>
    </row>
    <row r="19352">
      <c r="B19352" s="9" t="n">
        <v>19350</v>
      </c>
      <c r="C19352" s="10" t="inlineStr">
        <is>
          <t>Chuyên viên Dịch vụ Khách hàng - BVBank Di Linh - KV Tây Nguyên</t>
        </is>
      </c>
      <c r="D19352" s="10" t="inlineStr">
        <is>
          <t>BVBank - Ngân hàng Bản Việt</t>
        </is>
      </c>
      <c r="E19352" s="10" t="inlineStr">
        <is>
          <t>Lương:Cạnh tranh</t>
        </is>
      </c>
      <c r="F19352" s="10" t="inlineStr">
        <is>
          <t>Lâm Đồng</t>
        </is>
      </c>
      <c r="G19352" s="10" t="inlineStr">
        <is>
          <t>28-03-2026</t>
        </is>
      </c>
      <c r="H19352" s="10" t="inlineStr">
        <is>
          <t>28/03/2026</t>
        </is>
      </c>
      <c r="I19352" s="10" t="inlineStr">
        <is>
          <t>17/03/2026</t>
        </is>
      </c>
      <c r="J19352" s="10" t="inlineStr">
        <is>
          <t>Ngân hàng, Tài chính / Đầu tư, Bán hàng / Kinh doanh</t>
        </is>
      </c>
      <c r="K19352" s="10" t="inlineStr">
        <is>
          <t>1 - 2 Năm</t>
        </is>
      </c>
      <c r="L19352" s="11">
        <f>HYPERLINK("https://careerviet.vn/vi/tim-viec-lam/chuyen-vien-dich-vu-khach-hang-bvbank-di-linh-kv-tay-nguyen.35C66A90.html","Xem chi tiết")</f>
        <v/>
      </c>
      <c r="M19352" s="10" t="n"/>
    </row>
    <row r="19353">
      <c r="B19353" s="7" t="n">
        <v>19351</v>
      </c>
      <c r="C19353" t="inlineStr">
        <is>
          <t>Nhân viên kỹ thuật bảo trì</t>
        </is>
      </c>
      <c r="D19353" t="inlineStr">
        <is>
          <t>Công ty TNHH Amphenol Technology Vietnam (Xưởng 3)</t>
        </is>
      </c>
      <c r="E19353" t="inlineStr">
        <is>
          <t>Lương:Cạnh tranh</t>
        </is>
      </c>
      <c r="F19353" t="inlineStr">
        <is>
          <t>Long An</t>
        </is>
      </c>
      <c r="G19353" t="inlineStr">
        <is>
          <t>28-03-2026</t>
        </is>
      </c>
      <c r="H19353" t="inlineStr">
        <is>
          <t>28/03/2026</t>
        </is>
      </c>
      <c r="I19353" t="inlineStr">
        <is>
          <t>17/03/2026</t>
        </is>
      </c>
      <c r="J19353" t="inlineStr">
        <is>
          <t>Điện / Điện tử / Điện lạnh / Điện công nghiệp, Bảo trì / Sửa chữa, Cơ khí / Ô tô / Tự động hóa</t>
        </is>
      </c>
      <c r="K19353" t="inlineStr">
        <is>
          <t>1 - 2 Năm</t>
        </is>
      </c>
      <c r="L19353" s="8">
        <f>HYPERLINK("https://careerviet.vn/vi/tim-viec-lam/nhan-vien-ky-thuat-bao-tri.35C66A57.html","Xem chi tiết")</f>
        <v/>
      </c>
    </row>
    <row r="19354">
      <c r="B19354" s="9" t="n">
        <v>19352</v>
      </c>
      <c r="C19354" s="10" t="inlineStr">
        <is>
          <t>GIÁM SÁT BẢO TRÌ</t>
        </is>
      </c>
      <c r="D19354" s="10" t="inlineStr">
        <is>
          <t>Công ty TNHH Chế biến Thực phẩm Olam Việt Nam</t>
        </is>
      </c>
      <c r="E19354" s="10" t="inlineStr">
        <is>
          <t>Lương:Cạnh tranh</t>
        </is>
      </c>
      <c r="F19354" s="10" t="inlineStr">
        <is>
          <t>Đồng Nai</t>
        </is>
      </c>
      <c r="G19354" s="10" t="inlineStr">
        <is>
          <t>27-03-2026</t>
        </is>
      </c>
      <c r="H19354" s="10" t="inlineStr">
        <is>
          <t>27/03/2026</t>
        </is>
      </c>
      <c r="I19354" s="10" t="inlineStr">
        <is>
          <t>17/03/2026</t>
        </is>
      </c>
      <c r="J19354" s="10" t="inlineStr">
        <is>
          <t>Cơ khí / Ô tô / Tự động hóa, Điện / Điện tử / Điện lạnh / Điện công nghiệp, Bảo trì / Sửa chữa</t>
        </is>
      </c>
      <c r="K19354" s="10" t="inlineStr">
        <is>
          <t>2 - 5 Năm</t>
        </is>
      </c>
      <c r="L19354" s="11">
        <f>HYPERLINK("https://careerviet.vn/vi/tim-viec-lam/giam-sat-bao-tri.35C668BD.html","Xem chi tiết")</f>
        <v/>
      </c>
      <c r="M19354" s="10" t="n"/>
    </row>
    <row r="19355">
      <c r="B19355" s="7" t="n">
        <v>19353</v>
      </c>
      <c r="C19355" t="inlineStr">
        <is>
          <t>[ĐÀ NẴNG - HỘI AN] NHÂN VIÊN KINH DOANH</t>
        </is>
      </c>
      <c r="D19355" t="inlineStr">
        <is>
          <t>Công ty TNHH SAPPORO Vietnam</t>
        </is>
      </c>
      <c r="E19355" t="inlineStr">
        <is>
          <t>Lương:Cạnh tranh</t>
        </is>
      </c>
      <c r="F19355" t="inlineStr">
        <is>
          <t>Đà NẵngQuảng Nam</t>
        </is>
      </c>
      <c r="G19355" t="inlineStr">
        <is>
          <t>28-03-2026</t>
        </is>
      </c>
      <c r="H19355" t="inlineStr">
        <is>
          <t>28/03/2026</t>
        </is>
      </c>
      <c r="I19355" t="inlineStr">
        <is>
          <t>17/03/2026</t>
        </is>
      </c>
      <c r="J19355" t="inlineStr">
        <is>
          <t>Tiếp thị / Marketing, Bán lẻ / Bán sỉ, Bán hàng / Kinh doanh</t>
        </is>
      </c>
      <c r="K19355" t="inlineStr">
        <is>
          <t>Trên 1 Năm</t>
        </is>
      </c>
      <c r="L19355" s="8">
        <f>HYPERLINK("https://careerviet.vn/vi/tim-viec-lam/da-nang-hoi-an-nhan-vien-kinh-doanh.35C66B6C.html","Xem chi tiết")</f>
        <v/>
      </c>
    </row>
    <row r="19356">
      <c r="B19356" s="9" t="n">
        <v>19354</v>
      </c>
      <c r="C19356" s="10" t="inlineStr">
        <is>
          <t>KỸ THUẬT SẢN XUẤT [CỦ CHI]</t>
        </is>
      </c>
      <c r="D19356" s="10" t="inlineStr">
        <is>
          <t>CÔNG TY CP SAIGON AUTO SUPPORTING INDUSTRY</t>
        </is>
      </c>
      <c r="E19356" s="10" t="inlineStr">
        <is>
          <t>Lương:Cạnh tranh</t>
        </is>
      </c>
      <c r="F19356" s="10" t="inlineStr">
        <is>
          <t>Hồ Chí Minh</t>
        </is>
      </c>
      <c r="G19356" s="10" t="inlineStr">
        <is>
          <t>28-03-2026</t>
        </is>
      </c>
      <c r="H19356" s="10" t="inlineStr">
        <is>
          <t>28/03/2026</t>
        </is>
      </c>
      <c r="I19356" s="10" t="inlineStr">
        <is>
          <t>17/03/2026</t>
        </is>
      </c>
      <c r="J19356" s="10" t="inlineStr">
        <is>
          <t>Cơ khí / Ô tô / Tự động hóa, Sản xuất / Vận hành sản xuất, Quản lý chất lượng (QA/QC)</t>
        </is>
      </c>
      <c r="K19356" s="10" t="inlineStr">
        <is>
          <t>N/A</t>
        </is>
      </c>
      <c r="L19356" s="11">
        <f>HYPERLINK("https://careerviet.vn/vi/tim-viec-lam/ky-thuat-san-xuat-cu-chi.35C66BBC.html","Xem chi tiết")</f>
        <v/>
      </c>
      <c r="M19356" s="10" t="n"/>
    </row>
    <row r="19357">
      <c r="B19357" s="7" t="n">
        <v>19355</v>
      </c>
      <c r="C19357" t="inlineStr">
        <is>
          <t>Sale Support</t>
        </is>
      </c>
      <c r="D19357" t="inlineStr">
        <is>
          <t>CÔNG TY TNHH SESPRO VIỆT NAM</t>
        </is>
      </c>
      <c r="E19357" t="inlineStr">
        <is>
          <t>Lương:9 Tr - 11 Tr VND</t>
        </is>
      </c>
      <c r="F19357" t="inlineStr">
        <is>
          <t>Hồ Chí Minh</t>
        </is>
      </c>
      <c r="G19357" t="inlineStr">
        <is>
          <t>28-03-2026</t>
        </is>
      </c>
      <c r="H19357" t="inlineStr">
        <is>
          <t>28/03/2026</t>
        </is>
      </c>
      <c r="I19357" t="inlineStr">
        <is>
          <t>17/03/2026</t>
        </is>
      </c>
      <c r="J19357" t="inlineStr">
        <is>
          <t>Bán hàng / Kinh doanh, Hành chính / Thư ký, Bán lẻ / Bán sỉ</t>
        </is>
      </c>
      <c r="K19357" t="inlineStr">
        <is>
          <t>1 - 2 Năm</t>
        </is>
      </c>
      <c r="L19357" s="8">
        <f>HYPERLINK("https://careerviet.vn/vi/tim-viec-lam/sale-support.35C66C24.html","Xem chi tiết")</f>
        <v/>
      </c>
    </row>
    <row r="19358">
      <c r="B19358" s="9" t="n">
        <v>19356</v>
      </c>
      <c r="C19358" s="10" t="inlineStr">
        <is>
          <t>Nhân Viên Chăm Sóc Khách Hàng (N2 Tiếng Nhật)</t>
        </is>
      </c>
      <c r="D19358" s="10" t="inlineStr">
        <is>
          <t>Công ty TNHH Yamato Logistics Việt Nam</t>
        </is>
      </c>
      <c r="E19358" s="10" t="inlineStr">
        <is>
          <t>Lương:15 Tr - 20 Tr VND</t>
        </is>
      </c>
      <c r="F19358" s="10" t="inlineStr">
        <is>
          <t>Hồ Chí Minh</t>
        </is>
      </c>
      <c r="G19358" s="10" t="inlineStr">
        <is>
          <t>28-03-2026</t>
        </is>
      </c>
      <c r="H19358" s="10" t="inlineStr">
        <is>
          <t>28/03/2026</t>
        </is>
      </c>
      <c r="I19358" s="10" t="inlineStr">
        <is>
          <t>17/03/2026</t>
        </is>
      </c>
      <c r="J19358" s="10" t="inlineStr">
        <is>
          <t>Dịch vụ khách hàng, Vận chuyển / Giao nhận / Kho vận</t>
        </is>
      </c>
      <c r="K19358" s="10" t="inlineStr">
        <is>
          <t>Trên 3 Năm</t>
        </is>
      </c>
      <c r="L19358" s="11">
        <f>HYPERLINK("https://careerviet.vn/vi/tim-viec-lam/nhan-vien-cham-soc-khach-hang-n2-tieng-nhat.35C66B37.html","Xem chi tiết")</f>
        <v/>
      </c>
      <c r="M19358" s="10" t="n"/>
    </row>
    <row r="19359">
      <c r="B19359" s="7" t="n">
        <v>19357</v>
      </c>
      <c r="C19359" t="inlineStr">
        <is>
          <t>Nhân Viên Kế Hoạch Mua Hàng (Nhân việc sau Tết)</t>
        </is>
      </c>
      <c r="D19359" t="inlineStr">
        <is>
          <t>Công Ty Cổ Phần Đầu Tư Và Phát Triển Nhựa Gỗ Châu Âu</t>
        </is>
      </c>
      <c r="E19359" t="inlineStr">
        <is>
          <t>Lương:14 Tr - 16 Tr VND</t>
        </is>
      </c>
      <c r="F19359" t="inlineStr">
        <is>
          <t>Hà Nội</t>
        </is>
      </c>
      <c r="G19359" t="inlineStr">
        <is>
          <t>28-03-2026</t>
        </is>
      </c>
      <c r="H19359" t="inlineStr">
        <is>
          <t>28/03/2026</t>
        </is>
      </c>
      <c r="I19359" t="inlineStr">
        <is>
          <t>17/03/2026</t>
        </is>
      </c>
      <c r="J19359" t="inlineStr">
        <is>
          <t>Quản lý điều hành, Sản xuất / Vận hành sản xuất, Thu mua / Vật tư</t>
        </is>
      </c>
      <c r="K19359" t="inlineStr">
        <is>
          <t>1 - 2 Năm</t>
        </is>
      </c>
      <c r="L19359" s="8">
        <f>HYPERLINK("https://careerviet.vn/vi/tim-viec-lam/nhan-vien-ke-hoach-mua-hang-nhan-viec-sau-tet.35C66A7E.html","Xem chi tiết")</f>
        <v/>
      </c>
    </row>
    <row r="19360">
      <c r="B19360" s="9" t="n">
        <v>19358</v>
      </c>
      <c r="C19360" s="10" t="inlineStr">
        <is>
          <t>Production Supervisor</t>
        </is>
      </c>
      <c r="D19360" s="10" t="inlineStr">
        <is>
          <t>Jabil Vietnam</t>
        </is>
      </c>
      <c r="E19360" s="10" t="inlineStr">
        <is>
          <t>Lương:Cạnh tranh</t>
        </is>
      </c>
      <c r="F19360" s="10" t="inlineStr">
        <is>
          <t>Hồ Chí Minh</t>
        </is>
      </c>
      <c r="G19360" s="10" t="inlineStr">
        <is>
          <t>28-03-2026</t>
        </is>
      </c>
      <c r="H19360" s="10" t="inlineStr">
        <is>
          <t>28/03/2026</t>
        </is>
      </c>
      <c r="I19360" s="10" t="inlineStr">
        <is>
          <t>17/03/2026</t>
        </is>
      </c>
      <c r="J19360" s="10" t="inlineStr">
        <is>
          <t>Điện / Điện tử / Điện lạnh / Điện công nghiệp, Sản xuất / Vận hành sản xuất</t>
        </is>
      </c>
      <c r="K19360" s="10" t="inlineStr">
        <is>
          <t>3 - 6 Năm</t>
        </is>
      </c>
      <c r="L19360" s="11">
        <f>HYPERLINK("https://careerviet.vn/vi/tim-viec-lam/production-supervisor.35C66A6A.html","Xem chi tiết")</f>
        <v/>
      </c>
      <c r="M19360" s="10" t="n"/>
    </row>
    <row r="19361">
      <c r="B19361" s="7" t="n">
        <v>19359</v>
      </c>
      <c r="C19361" t="inlineStr">
        <is>
          <t>Kế toán nội bộ (Tiếng Trung)</t>
        </is>
      </c>
      <c r="D19361" t="inlineStr">
        <is>
          <t>CÔNG TY TNHH UWINFLY VIETNAM INDUSTRIES</t>
        </is>
      </c>
      <c r="E19361" t="inlineStr">
        <is>
          <t>Lương:17 Tr - 22 Tr VND</t>
        </is>
      </c>
      <c r="F19361" t="inlineStr">
        <is>
          <t>Hồ Chí Minh</t>
        </is>
      </c>
      <c r="G19361" t="inlineStr">
        <is>
          <t>28-03-2026</t>
        </is>
      </c>
      <c r="H19361" t="inlineStr">
        <is>
          <t>28/03/2026</t>
        </is>
      </c>
      <c r="I19361" t="inlineStr">
        <is>
          <t>17/03/2026</t>
        </is>
      </c>
      <c r="J19361" t="inlineStr">
        <is>
          <t>Kế toán / Kiểm toán, Ngân hàng, Tài chính / Đầu tư</t>
        </is>
      </c>
      <c r="K19361" t="inlineStr">
        <is>
          <t>Chưa có kinh nghiệm</t>
        </is>
      </c>
      <c r="L19361" s="8">
        <f>HYPERLINK("https://careerviet.vn/vi/tim-viec-lam/ke-toan-noi-bo-tieng-trung.35C66A62.html","Xem chi tiết")</f>
        <v/>
      </c>
    </row>
    <row r="19362">
      <c r="B19362" s="9" t="n">
        <v>19360</v>
      </c>
      <c r="C19362" s="10" t="inlineStr">
        <is>
          <t>Sales (Medical Supplies, Equipment, Pharmaceuticals)</t>
        </is>
      </c>
      <c r="D19362" s="10" t="inlineStr">
        <is>
          <t>Công ty Cổ phần Thương mại Cổng Vàng</t>
        </is>
      </c>
      <c r="E19362" s="10" t="inlineStr">
        <is>
          <t>Lương:Cạnh tranh</t>
        </is>
      </c>
      <c r="F19362" s="10" t="inlineStr">
        <is>
          <t>Hà NộiHải Phòng</t>
        </is>
      </c>
      <c r="G19362" s="10" t="inlineStr">
        <is>
          <t>28-03-2026</t>
        </is>
      </c>
      <c r="H19362" s="10" t="inlineStr">
        <is>
          <t>28/03/2026</t>
        </is>
      </c>
      <c r="I19362" s="10" t="inlineStr">
        <is>
          <t>17/03/2026</t>
        </is>
      </c>
      <c r="J19362" s="10" t="inlineStr">
        <is>
          <t>Y tế / Chăm sóc sức khỏe / Thẩm mỹ / Làm đẹp, Dược phẩm/ Hóa Mỹ Phẩm, Bán hàng / Kinh doanh</t>
        </is>
      </c>
      <c r="K19362" s="10" t="inlineStr">
        <is>
          <t>Trên 3 Năm</t>
        </is>
      </c>
      <c r="L19362" s="11">
        <f>HYPERLINK("https://careerviet.vn/vi/tim-viec-lam/sales-medical-supplies-equipment-pharmaceuticals.35C66931.html","Xem chi tiết")</f>
        <v/>
      </c>
      <c r="M19362" s="10" t="n"/>
    </row>
    <row r="19363">
      <c r="B19363" s="7" t="n">
        <v>19361</v>
      </c>
      <c r="C19363" t="inlineStr">
        <is>
          <t>NHÂN VIÊN KẾ TOÁN NỘI BỘ</t>
        </is>
      </c>
      <c r="D19363" t="inlineStr">
        <is>
          <t>Công Ty TNHH Thương Mại K&amp;K Toàn Cầu</t>
        </is>
      </c>
      <c r="E19363" t="inlineStr">
        <is>
          <t>Lương:8 Tr - 10 Tr VND</t>
        </is>
      </c>
      <c r="F19363" t="inlineStr">
        <is>
          <t>Đà Nẵng</t>
        </is>
      </c>
      <c r="G19363" t="inlineStr">
        <is>
          <t>28-03-2026</t>
        </is>
      </c>
      <c r="H19363" t="inlineStr">
        <is>
          <t>28/03/2026</t>
        </is>
      </c>
      <c r="I19363" t="inlineStr">
        <is>
          <t>17/03/2026</t>
        </is>
      </c>
      <c r="J19363" t="inlineStr">
        <is>
          <t>Kế toán / Kiểm toán</t>
        </is>
      </c>
      <c r="K19363" t="inlineStr">
        <is>
          <t>1 - 2 Năm</t>
        </is>
      </c>
      <c r="L19363" s="8">
        <f>HYPERLINK("https://careerviet.vn/vi/tim-viec-lam/nhan-vien-ke-toan-noi-bo.35C66B49.html","Xem chi tiết")</f>
        <v/>
      </c>
    </row>
    <row r="19364">
      <c r="B19364" s="9" t="n">
        <v>19362</v>
      </c>
      <c r="C19364" s="10" t="inlineStr">
        <is>
          <t>Chuyên Viên Thủ Tục Và Chăm Sóc Khách Hàng</t>
        </is>
      </c>
      <c r="D19364" s="10" t="inlineStr">
        <is>
          <t>CÔNG TY CỔ PHẦN EUROWINDOW HOLDING</t>
        </is>
      </c>
      <c r="E19364" s="10" t="inlineStr">
        <is>
          <t>Lương:Cạnh tranh</t>
        </is>
      </c>
      <c r="F19364" s="10" t="inlineStr">
        <is>
          <t>Hà Nội</t>
        </is>
      </c>
      <c r="G19364" s="10" t="inlineStr">
        <is>
          <t>28-03-2026</t>
        </is>
      </c>
      <c r="H19364" s="10" t="inlineStr">
        <is>
          <t>28/03/2026</t>
        </is>
      </c>
      <c r="I19364" s="10" t="inlineStr">
        <is>
          <t>17/03/2026</t>
        </is>
      </c>
      <c r="J19364" s="10" t="inlineStr">
        <is>
          <t>Hành chính / Thư ký, Bất động sản</t>
        </is>
      </c>
      <c r="K19364" s="10" t="inlineStr">
        <is>
          <t>1 - 3 Năm</t>
        </is>
      </c>
      <c r="L19364" s="11">
        <f>HYPERLINK("https://careerviet.vn/vi/tim-viec-lam/chuyen-vien-thu-tuc-va-cham-soc-khach-hang.35C66BB0.html","Xem chi tiết")</f>
        <v/>
      </c>
      <c r="M19364" s="10" t="n"/>
    </row>
    <row r="19365">
      <c r="B19365" s="7" t="n">
        <v>19363</v>
      </c>
      <c r="C19365" t="inlineStr">
        <is>
          <t>Nhân Viên Thiết Kế Đồ Họa</t>
        </is>
      </c>
      <c r="D19365" t="inlineStr">
        <is>
          <t>Oishi - Công Ty TNHH Công Nghiệp Thực Phẩm Liwayway Sài Gòn</t>
        </is>
      </c>
      <c r="E19365" t="inlineStr">
        <is>
          <t>Lương:10,5 Tr - 13,5 Tr VND</t>
        </is>
      </c>
      <c r="F19365" t="inlineStr">
        <is>
          <t>Hồ Chí Minh</t>
        </is>
      </c>
      <c r="G19365" t="inlineStr">
        <is>
          <t>28-03-2026</t>
        </is>
      </c>
      <c r="H19365" t="inlineStr">
        <is>
          <t>28/03/2026</t>
        </is>
      </c>
      <c r="I19365" t="inlineStr">
        <is>
          <t>17/03/2026</t>
        </is>
      </c>
      <c r="J19365" t="inlineStr">
        <is>
          <t>Tiếp thị / Marketing, Thực phẩm &amp; Đồ uống, Mỹ thuật / Nghệ thuật / Thiết kế</t>
        </is>
      </c>
      <c r="K19365" t="inlineStr">
        <is>
          <t>1 - 3 NămĐịa điểm</t>
        </is>
      </c>
      <c r="L19365" s="8">
        <f>HYPERLINK("https://careerviet.vn/vi/tim-viec-lam/nhan-vien-thiet-ke-do-hoa.35C66AE9.html","Xem chi tiết")</f>
        <v/>
      </c>
    </row>
    <row r="19366">
      <c r="B19366" s="9" t="n">
        <v>19364</v>
      </c>
      <c r="C19366" s="10" t="inlineStr">
        <is>
          <t>Nhân Viên Chăm Sóc Khách Hàng</t>
        </is>
      </c>
      <c r="D19366" s="10" t="inlineStr">
        <is>
          <t>Công ty TNHH Triệu Hổ</t>
        </is>
      </c>
      <c r="E19366" s="10" t="inlineStr">
        <is>
          <t>Lương:7 Tr - 12 Tr VND</t>
        </is>
      </c>
      <c r="F19366" s="10" t="inlineStr">
        <is>
          <t>Đà Nẵng</t>
        </is>
      </c>
      <c r="G19366" s="10" t="inlineStr">
        <is>
          <t>28-03-2026</t>
        </is>
      </c>
      <c r="H19366" s="10" t="inlineStr">
        <is>
          <t>28/03/2026</t>
        </is>
      </c>
      <c r="I19366" s="10" t="inlineStr">
        <is>
          <t>17/03/2026</t>
        </is>
      </c>
      <c r="J19366" s="10" t="inlineStr">
        <is>
          <t>Bán hàng / Kinh doanh, Tư vấn, Dịch vụ khách hàng</t>
        </is>
      </c>
      <c r="K19366" s="10" t="inlineStr">
        <is>
          <t>N/A</t>
        </is>
      </c>
      <c r="L19366" s="11">
        <f>HYPERLINK("https://careerviet.vn/vi/tim-viec-lam/nhan-vien-cham-soc-khach-hang.35C66B29.html","Xem chi tiết")</f>
        <v/>
      </c>
      <c r="M19366" s="10" t="n"/>
    </row>
    <row r="19367">
      <c r="B19367" s="7" t="n">
        <v>19365</v>
      </c>
      <c r="C19367" t="inlineStr">
        <is>
          <t>Thực tập sinh phòng thí nghiệm Thực phẩm</t>
        </is>
      </c>
      <c r="D19367" t="inlineStr">
        <is>
          <t>TÜV SÜD Vietnam</t>
        </is>
      </c>
      <c r="E19367" t="inlineStr">
        <is>
          <t>Lương:Trên 2 Tr VND</t>
        </is>
      </c>
      <c r="F19367" t="inlineStr">
        <is>
          <t>Hồ Chí Minh</t>
        </is>
      </c>
      <c r="G19367" t="inlineStr">
        <is>
          <t>28-03-2026</t>
        </is>
      </c>
      <c r="H19367" t="inlineStr">
        <is>
          <t>28/03/2026</t>
        </is>
      </c>
      <c r="I19367" t="inlineStr">
        <is>
          <t>17/03/2026</t>
        </is>
      </c>
      <c r="J19367" t="inlineStr">
        <is>
          <t>Thực phẩm &amp; Đồ uống, Mới tốt nghiệp / Thực tập</t>
        </is>
      </c>
      <c r="K19367" t="inlineStr">
        <is>
          <t>N/A</t>
        </is>
      </c>
      <c r="L19367" s="8">
        <f>HYPERLINK("https://careerviet.vn/vi/tim-viec-lam/thuc-tap-sinh-phong-thi-nghiem-thuc-pham.35C66B4B.html","Xem chi tiết")</f>
        <v/>
      </c>
    </row>
    <row r="19368">
      <c r="B19368" s="9" t="n">
        <v>19366</v>
      </c>
      <c r="C19368" s="10" t="inlineStr">
        <is>
          <t>SENIOR TECHNICAL SALES EXECUTIVE</t>
        </is>
      </c>
      <c r="D19368" s="10" t="inlineStr">
        <is>
          <t>Công Ty Cổ Phần TEKCOM</t>
        </is>
      </c>
      <c r="E19368" s="10" t="inlineStr">
        <is>
          <t>Lương:Cạnh tranh</t>
        </is>
      </c>
      <c r="F19368" s="10" t="inlineStr">
        <is>
          <t>Bình Dương</t>
        </is>
      </c>
      <c r="G19368" s="10" t="inlineStr">
        <is>
          <t>28-03-2026</t>
        </is>
      </c>
      <c r="H19368" s="10" t="inlineStr">
        <is>
          <t>28/03/2026</t>
        </is>
      </c>
      <c r="I19368" s="10" t="inlineStr">
        <is>
          <t>17/03/2026</t>
        </is>
      </c>
      <c r="J19368" s="10" t="inlineStr">
        <is>
          <t>Bán hàng / Kinh doanh, Bán Hàng Kỹ Thuật, Đồ gỗ</t>
        </is>
      </c>
      <c r="K19368" s="10" t="inlineStr">
        <is>
          <t>2 - 5 Năm</t>
        </is>
      </c>
      <c r="L19368" s="11">
        <f>HYPERLINK("https://careerviet.vn/vi/tim-viec-lam/senior-technical-sales-executive.35C66C31.html","Xem chi tiết")</f>
        <v/>
      </c>
      <c r="M19368" s="10" t="n"/>
    </row>
    <row r="19369">
      <c r="B19369" s="7" t="n">
        <v>19367</v>
      </c>
      <c r="C19369" t="inlineStr">
        <is>
          <t>( Hà Nội) Kỹ Sư Bảo Trì Điện Lạnh - Chấp nhận sinh viên mới ra trường</t>
        </is>
      </c>
      <c r="D19369" t="inlineStr">
        <is>
          <t>CLIMAVENETA CHAT UNION REFRIGERATION EQUIPMENT - CÔNG TY TNHH THIẾT BỊ ĐIỆN LẠNH CLIMAVENETA CHAT UNION VIỆT NAM</t>
        </is>
      </c>
      <c r="E19369" t="inlineStr">
        <is>
          <t>Lương:Cạnh tranh</t>
        </is>
      </c>
      <c r="F19369" t="inlineStr">
        <is>
          <t>Hà Nội</t>
        </is>
      </c>
      <c r="G19369" t="inlineStr">
        <is>
          <t>28-03-2026</t>
        </is>
      </c>
      <c r="H19369" t="inlineStr">
        <is>
          <t>28/03/2026</t>
        </is>
      </c>
      <c r="I19369" t="inlineStr">
        <is>
          <t>17/03/2026</t>
        </is>
      </c>
      <c r="J19369" t="inlineStr">
        <is>
          <t>Điện / Điện tử / Điện lạnh / Điện công nghiệp</t>
        </is>
      </c>
      <c r="K19369" t="inlineStr">
        <is>
          <t>N/A</t>
        </is>
      </c>
      <c r="L19369" s="8">
        <f>HYPERLINK("https://careerviet.vn/vi/tim-viec-lam/ha-noi-ky-su-bao-tri-dien-lanh-chap-nhan-sinh-vien-moi-ra-truong.35C66BBB.html","Xem chi tiết")</f>
        <v/>
      </c>
    </row>
    <row r="19370">
      <c r="B19370" s="9" t="n">
        <v>19368</v>
      </c>
      <c r="C19370" s="10" t="inlineStr">
        <is>
          <t>Trưởng Bộ phận Vật tư (Mua hàng)</t>
        </is>
      </c>
      <c r="D19370" s="10" t="inlineStr">
        <is>
          <t>CÔNG TY CỔ PHẦN TẬP ĐOÀN DAT</t>
        </is>
      </c>
      <c r="E19370" s="10" t="inlineStr">
        <is>
          <t>Lương:30 Tr - 35 Tr VND</t>
        </is>
      </c>
      <c r="F19370" s="10" t="inlineStr">
        <is>
          <t>Hồ Chí Minh</t>
        </is>
      </c>
      <c r="G19370" s="10" t="inlineStr">
        <is>
          <t>28-03-2026</t>
        </is>
      </c>
      <c r="H19370" s="10" t="inlineStr">
        <is>
          <t>28/03/2026</t>
        </is>
      </c>
      <c r="I19370" s="10" t="inlineStr">
        <is>
          <t>17/03/2026</t>
        </is>
      </c>
      <c r="J19370" s="10" t="inlineStr">
        <is>
          <t>Xuất nhập khẩu, Thu mua / Vật tư</t>
        </is>
      </c>
      <c r="K19370" s="10" t="inlineStr">
        <is>
          <t>7 - 10 Năm</t>
        </is>
      </c>
      <c r="L19370" s="11">
        <f>HYPERLINK("https://careerviet.vn/vi/tim-viec-lam/truong-bo-phan-vat-tu-mua-hang.35C66B27.html","Xem chi tiết")</f>
        <v/>
      </c>
      <c r="M19370" s="10" t="n"/>
    </row>
    <row r="19371">
      <c r="B19371" s="7" t="n">
        <v>19369</v>
      </c>
      <c r="C19371" t="inlineStr">
        <is>
          <t>Nhân viên kinh doanh</t>
        </is>
      </c>
      <c r="D19371" t="inlineStr">
        <is>
          <t>CÔNG TY TNHH IN BAO BÌ TOÀN PHÁT</t>
        </is>
      </c>
      <c r="E19371" t="inlineStr">
        <is>
          <t>Lương:Cạnh tranh</t>
        </is>
      </c>
      <c r="F19371" t="inlineStr">
        <is>
          <t>Hồ Chí Minh</t>
        </is>
      </c>
      <c r="G19371" t="inlineStr">
        <is>
          <t>28-03-2026</t>
        </is>
      </c>
      <c r="H19371" t="inlineStr">
        <is>
          <t>28/03/2026</t>
        </is>
      </c>
      <c r="I19371" t="inlineStr">
        <is>
          <t>17/03/2026</t>
        </is>
      </c>
      <c r="J19371" t="inlineStr">
        <is>
          <t>Tiếp thị / Marketing, Bán hàng / Kinh doanh, In ấn / Xuất bản</t>
        </is>
      </c>
      <c r="K19371" t="inlineStr">
        <is>
          <t>1 - 2 Năm</t>
        </is>
      </c>
      <c r="L19371" s="8">
        <f>HYPERLINK("https://careerviet.vn/vi/tim-viec-lam/nhan-vien-kinh-doanh.35C66B01.html","Xem chi tiết")</f>
        <v/>
      </c>
    </row>
    <row r="19372">
      <c r="B19372" s="9" t="n">
        <v>19370</v>
      </c>
      <c r="C19372" s="10" t="inlineStr">
        <is>
          <t>Nhân viên kinh doanh</t>
        </is>
      </c>
      <c r="D19372" s="10" t="inlineStr">
        <is>
          <t>CÔNG TY TNHH NÔNG SẢN QUỐC TẾ ĐỨC VINH</t>
        </is>
      </c>
      <c r="E19372" s="10" t="inlineStr">
        <is>
          <t>Lương:Cạnh tranh</t>
        </is>
      </c>
      <c r="F19372" s="10" t="inlineStr">
        <is>
          <t>Long An</t>
        </is>
      </c>
      <c r="G19372" s="10" t="inlineStr">
        <is>
          <t>28-03-2026</t>
        </is>
      </c>
      <c r="H19372" s="10" t="inlineStr">
        <is>
          <t>28/03/2026</t>
        </is>
      </c>
      <c r="I19372" s="10" t="inlineStr">
        <is>
          <t>17/03/2026</t>
        </is>
      </c>
      <c r="J19372" s="10" t="inlineStr">
        <is>
          <t>Bán hàng / Kinh doanh, Tiếp thị trực tuyến, Thương mại điện tử</t>
        </is>
      </c>
      <c r="K19372" s="10" t="inlineStr">
        <is>
          <t>1 - 2 Năm</t>
        </is>
      </c>
      <c r="L19372" s="11">
        <f>HYPERLINK("https://careerviet.vn/vi/tim-viec-lam/nhan-vien-kinh-doanh.35C66B6E.html","Xem chi tiết")</f>
        <v/>
      </c>
      <c r="M19372" s="10" t="n"/>
    </row>
    <row r="19373">
      <c r="B19373" s="7" t="n">
        <v>19371</v>
      </c>
      <c r="C19373" t="inlineStr">
        <is>
          <t>Reporting Specialist (HighJump UTA Tester) / Chuyên viên báo cáo</t>
        </is>
      </c>
      <c r="D19373" t="inlineStr">
        <is>
          <t>CÔNG TY TNHH ASHTON FURNITURE CONSOLIDATION</t>
        </is>
      </c>
      <c r="E19373" t="inlineStr">
        <is>
          <t>Lương:Cạnh tranh</t>
        </is>
      </c>
      <c r="F19373" t="inlineStr">
        <is>
          <t>Bà Rịa - Vũng Tàu</t>
        </is>
      </c>
      <c r="G19373" t="inlineStr">
        <is>
          <t>28-03-2026</t>
        </is>
      </c>
      <c r="H19373" t="inlineStr">
        <is>
          <t>28/03/2026</t>
        </is>
      </c>
      <c r="I19373" t="inlineStr">
        <is>
          <t>17/03/2026</t>
        </is>
      </c>
      <c r="J19373" t="inlineStr">
        <is>
          <t>Vận chuyển / Giao nhận / Kho vận</t>
        </is>
      </c>
      <c r="K19373" t="inlineStr">
        <is>
          <t>N/A</t>
        </is>
      </c>
      <c r="L19373" s="8">
        <f>HYPERLINK("https://careerviet.vn/vi/tim-viec-lam/reporting-specialist-highjump-uta-tester-chuyen-vien-bao-cao.35C66B7A.html","Xem chi tiết")</f>
        <v/>
      </c>
    </row>
    <row r="19374">
      <c r="B19374" s="9" t="n">
        <v>19372</v>
      </c>
      <c r="C19374" s="10" t="inlineStr">
        <is>
          <t>Chuyên Viên Thiết Kế Cửa Hàng</t>
        </is>
      </c>
      <c r="D19374" s="10" t="inlineStr">
        <is>
          <t>Công ty Cổ phần Thời Trang YODY</t>
        </is>
      </c>
      <c r="E19374" s="10" t="inlineStr">
        <is>
          <t>Lương:15 Tr - 25 Tr VND</t>
        </is>
      </c>
      <c r="F19374" s="10" t="inlineStr">
        <is>
          <t>Hà NộiĐà Nẵng</t>
        </is>
      </c>
      <c r="G19374" s="10" t="inlineStr">
        <is>
          <t>28-03-2026</t>
        </is>
      </c>
      <c r="H19374" s="10" t="inlineStr">
        <is>
          <t>28/03/2026</t>
        </is>
      </c>
      <c r="I19374" s="10" t="inlineStr">
        <is>
          <t>17/03/2026</t>
        </is>
      </c>
      <c r="J19374" s="10" t="inlineStr">
        <is>
          <t>Kiến trúc</t>
        </is>
      </c>
      <c r="K19374" s="10" t="inlineStr">
        <is>
          <t>1 - 2 Năm</t>
        </is>
      </c>
      <c r="L19374" s="11">
        <f>HYPERLINK("https://careerviet.vn/vi/tim-viec-lam/chuyen-vien-thiet-ke-cua-hang.35C66B7C.html","Xem chi tiết")</f>
        <v/>
      </c>
      <c r="M19374" s="10" t="n"/>
    </row>
    <row r="19375">
      <c r="B19375" s="7" t="n">
        <v>19373</v>
      </c>
      <c r="C19375" t="inlineStr">
        <is>
          <t>Nhân viên vận hành E-commerce (Shopee, Tiktok, ...)</t>
        </is>
      </c>
      <c r="D19375" t="inlineStr">
        <is>
          <t>Công ty TNHH SX-TM-DV Qui Phúc</t>
        </is>
      </c>
      <c r="E19375" t="inlineStr">
        <is>
          <t>Lương:12 Tr - 18 Tr VND</t>
        </is>
      </c>
      <c r="F19375" t="inlineStr">
        <is>
          <t>Hồ Chí Minh</t>
        </is>
      </c>
      <c r="G19375" t="inlineStr">
        <is>
          <t>28-03-2026</t>
        </is>
      </c>
      <c r="H19375" t="inlineStr">
        <is>
          <t>28/03/2026</t>
        </is>
      </c>
      <c r="I19375" t="inlineStr">
        <is>
          <t>17/03/2026</t>
        </is>
      </c>
      <c r="J19375" t="inlineStr">
        <is>
          <t>Tiếp thị / Marketing, Thương mại điện tử</t>
        </is>
      </c>
      <c r="K19375" t="inlineStr">
        <is>
          <t>2 - 3 Năm</t>
        </is>
      </c>
      <c r="L19375" s="8">
        <f>HYPERLINK("https://careerviet.vn/vi/tim-viec-lam/nhan-vien-van-hanh-e-commerce-shopee-tiktok.35C66B46.html","Xem chi tiết")</f>
        <v/>
      </c>
    </row>
    <row r="19376">
      <c r="B19376" s="9" t="n">
        <v>19374</v>
      </c>
      <c r="C19376" s="10" t="inlineStr">
        <is>
          <t>Nhân viên tư vấn bán hàng - Hoài Đức</t>
        </is>
      </c>
      <c r="D19376" s="10" t="inlineStr">
        <is>
          <t>Công ty CP Toshiko Việt Nam</t>
        </is>
      </c>
      <c r="E19376" s="10" t="inlineStr">
        <is>
          <t>Lương:12 Tr - 20 Tr VND</t>
        </is>
      </c>
      <c r="F19376" s="10" t="inlineStr">
        <is>
          <t>Hà Nội</t>
        </is>
      </c>
      <c r="G19376" s="10" t="inlineStr">
        <is>
          <t>28-03-2026</t>
        </is>
      </c>
      <c r="H19376" s="10" t="inlineStr">
        <is>
          <t>28/03/2026</t>
        </is>
      </c>
      <c r="I19376" s="10" t="inlineStr">
        <is>
          <t>17/03/2026</t>
        </is>
      </c>
      <c r="J19376" s="10" t="inlineStr">
        <is>
          <t>Tiếp thị / Marketing, Bán lẻ / Bán sỉ, Bán hàng / Kinh doanh</t>
        </is>
      </c>
      <c r="K19376" s="10" t="inlineStr">
        <is>
          <t>2 - 3 Năm</t>
        </is>
      </c>
      <c r="L19376" s="11">
        <f>HYPERLINK("https://careerviet.vn/vi/tim-viec-lam/nhan-vien-tu-van-ban-hang-hoai-duc.35C66B7D.html","Xem chi tiết")</f>
        <v/>
      </c>
      <c r="M19376" s="10" t="n"/>
    </row>
    <row r="19377">
      <c r="B19377" s="7" t="n">
        <v>19375</v>
      </c>
      <c r="C19377" t="inlineStr">
        <is>
          <t>TELESALES THẨM MỸ THU NHẬP CAO - ĐI LÀM NGAY</t>
        </is>
      </c>
      <c r="D19377" t="inlineStr">
        <is>
          <t>THẨM MỸ VIỆN DR DOHYUN</t>
        </is>
      </c>
      <c r="E19377" t="inlineStr">
        <is>
          <t>Lương:15 Tr - 30 Tr VND</t>
        </is>
      </c>
      <c r="F19377" t="inlineStr">
        <is>
          <t>Hồ Chí Minh</t>
        </is>
      </c>
      <c r="G19377" t="inlineStr">
        <is>
          <t>28-03-2026</t>
        </is>
      </c>
      <c r="H19377" t="inlineStr">
        <is>
          <t>28/03/2026</t>
        </is>
      </c>
      <c r="I19377" t="inlineStr">
        <is>
          <t>17/03/2026</t>
        </is>
      </c>
      <c r="J19377" t="inlineStr">
        <is>
          <t>Bán hàng / Kinh doanh, Dược phẩm/ Hóa Mỹ Phẩm, Y tế / Chăm sóc sức khỏe / Thẩm mỹ / Làm đẹp</t>
        </is>
      </c>
      <c r="K19377" t="inlineStr">
        <is>
          <t>1 - 8 Năm</t>
        </is>
      </c>
      <c r="L19377" s="8">
        <f>HYPERLINK("https://careerviet.vn/vi/tim-viec-lam/telesales-tham-my-thu-nhap-cao-di-lam-ngay.35C6365D.html","Xem chi tiết")</f>
        <v/>
      </c>
    </row>
    <row r="19378">
      <c r="B19378" s="9" t="n">
        <v>19376</v>
      </c>
      <c r="C19378" s="10" t="inlineStr">
        <is>
          <t>Nhân viên bán hàng - Long An</t>
        </is>
      </c>
      <c r="D19378" s="10" t="inlineStr">
        <is>
          <t>Công ty CP Toshiko Việt Nam</t>
        </is>
      </c>
      <c r="E19378" s="10" t="inlineStr">
        <is>
          <t>Lương:10 Tr - 15 Tr VND</t>
        </is>
      </c>
      <c r="F19378" s="10" t="inlineStr">
        <is>
          <t>Long An</t>
        </is>
      </c>
      <c r="G19378" s="10" t="inlineStr">
        <is>
          <t>28-03-2026</t>
        </is>
      </c>
      <c r="H19378" s="10" t="inlineStr">
        <is>
          <t>28/03/2026</t>
        </is>
      </c>
      <c r="I19378" s="10" t="inlineStr">
        <is>
          <t>17/03/2026</t>
        </is>
      </c>
      <c r="J19378" s="10" t="inlineStr">
        <is>
          <t>Bán lẻ / Bán sỉ, Bán hàng / Kinh doanh, Tư vấn</t>
        </is>
      </c>
      <c r="K19378" s="10" t="inlineStr">
        <is>
          <t>1 - 2 Năm</t>
        </is>
      </c>
      <c r="L19378" s="11">
        <f>HYPERLINK("https://careerviet.vn/vi/tim-viec-lam/nhan-vien-ban-hang-long-an.35C66B1E.html","Xem chi tiết")</f>
        <v/>
      </c>
      <c r="M19378" s="10" t="n"/>
    </row>
    <row r="19379">
      <c r="B19379" s="7" t="n">
        <v>19377</v>
      </c>
      <c r="C19379" t="inlineStr">
        <is>
          <t>NHÂN VIÊN THIẾT KẾ ĐỒ HỌA</t>
        </is>
      </c>
      <c r="D19379" t="inlineStr">
        <is>
          <t>Công ty TNHH SX-TM-DV Qui Phúc</t>
        </is>
      </c>
      <c r="E19379" t="inlineStr">
        <is>
          <t>Lương:13 Tr - 15 Tr VND</t>
        </is>
      </c>
      <c r="F19379" t="inlineStr">
        <is>
          <t>Hồ Chí Minh</t>
        </is>
      </c>
      <c r="G19379" t="inlineStr">
        <is>
          <t>28-03-2026</t>
        </is>
      </c>
      <c r="H19379" t="inlineStr">
        <is>
          <t>28/03/2026</t>
        </is>
      </c>
      <c r="I19379" t="inlineStr">
        <is>
          <t>17/03/2026</t>
        </is>
      </c>
      <c r="J19379" t="inlineStr">
        <is>
          <t>Tiếp thị / Marketing, Mỹ thuật / Nghệ thuật / Thiết kế, Quảng cáo / Đối ngoại / Truyền Thông</t>
        </is>
      </c>
      <c r="K19379" t="inlineStr">
        <is>
          <t>2 - 3 Năm</t>
        </is>
      </c>
      <c r="L19379" s="8">
        <f>HYPERLINK("https://careerviet.vn/vi/tim-viec-lam/nhan-vien-thiet-ke-do-hoa.35C66B39.html","Xem chi tiết")</f>
        <v/>
      </c>
    </row>
    <row r="19380">
      <c r="B19380" s="9" t="n">
        <v>19378</v>
      </c>
      <c r="C19380" s="10" t="inlineStr">
        <is>
          <t>Nhân Viên Đăng Ký Sản Phẩm (RA)</t>
        </is>
      </c>
      <c r="D19380" s="10" t="inlineStr">
        <is>
          <t>Công ty TNHH Thiết bị y tế Phương Đông</t>
        </is>
      </c>
      <c r="E19380" s="10" t="inlineStr">
        <is>
          <t>Lương:Cạnh tranh</t>
        </is>
      </c>
      <c r="F19380" s="10" t="inlineStr">
        <is>
          <t>Hà Nội</t>
        </is>
      </c>
      <c r="G19380" s="10" t="inlineStr">
        <is>
          <t>28-03-2026</t>
        </is>
      </c>
      <c r="H19380" s="10" t="inlineStr">
        <is>
          <t>28/03/2026</t>
        </is>
      </c>
      <c r="I19380" s="10" t="inlineStr">
        <is>
          <t>17/03/2026</t>
        </is>
      </c>
      <c r="J19380" s="10" t="inlineStr">
        <is>
          <t>Y tế / Chăm sóc sức khỏe / Thẩm mỹ / Làm đẹp</t>
        </is>
      </c>
      <c r="K19380" s="10" t="inlineStr">
        <is>
          <t>1 - 3 Năm</t>
        </is>
      </c>
      <c r="L19380" s="11">
        <f>HYPERLINK("https://careerviet.vn/vi/tim-viec-lam/nhan-vien-dang-ky-san-pham-ra.35C66B0B.html","Xem chi tiết")</f>
        <v/>
      </c>
      <c r="M19380" s="10" t="n"/>
    </row>
    <row r="19381">
      <c r="B19381" s="7" t="n">
        <v>19379</v>
      </c>
      <c r="C19381" t="inlineStr">
        <is>
          <t>CHUYÊN VIÊN MUA HÀNG THƯƠNG MẠI KIÊM CHỨNG TỪ</t>
        </is>
      </c>
      <c r="D19381" t="inlineStr">
        <is>
          <t>Công ty Cổ phần Inmatech</t>
        </is>
      </c>
      <c r="E19381" t="inlineStr">
        <is>
          <t>Lương:12 Tr - 20 Tr VND</t>
        </is>
      </c>
      <c r="F19381" t="inlineStr">
        <is>
          <t>Hồ Chí MinhHải Phòng</t>
        </is>
      </c>
      <c r="G19381" t="inlineStr">
        <is>
          <t>28-03-2026</t>
        </is>
      </c>
      <c r="H19381" t="inlineStr">
        <is>
          <t>28/03/2026</t>
        </is>
      </c>
      <c r="I19381" t="inlineStr">
        <is>
          <t>17/03/2026</t>
        </is>
      </c>
      <c r="J19381" t="inlineStr">
        <is>
          <t>Thu mua / Vật tư, Xuất nhập khẩu, Vận chuyển / Giao nhận / Kho vận</t>
        </is>
      </c>
      <c r="K19381" t="inlineStr">
        <is>
          <t>2 - 5 Năm</t>
        </is>
      </c>
      <c r="L19381" s="8">
        <f>HYPERLINK("https://careerviet.vn/vi/tim-viec-lam/chuyen-vien-mua-hang-thuong-mai-kiem-chung-tu.35C66A5F.html","Xem chi tiết")</f>
        <v/>
      </c>
    </row>
    <row r="19382">
      <c r="B19382" s="9" t="n">
        <v>19380</v>
      </c>
      <c r="C19382" s="10" t="inlineStr">
        <is>
          <t>Trưởng/ Phó Ban Quản Lý Dự Án - Hải Phòng</t>
        </is>
      </c>
      <c r="D19382" s="10" t="inlineStr">
        <is>
          <t>Hoàng Huy Group</t>
        </is>
      </c>
      <c r="E19382" s="10" t="inlineStr">
        <is>
          <t>Lương:35 Tr - 35 Tr VND</t>
        </is>
      </c>
      <c r="F19382" s="10" t="inlineStr">
        <is>
          <t>Hải Phòng</t>
        </is>
      </c>
      <c r="G19382" s="10" t="inlineStr">
        <is>
          <t>28-03-2026</t>
        </is>
      </c>
      <c r="H19382" s="10" t="inlineStr">
        <is>
          <t>28/03/2026</t>
        </is>
      </c>
      <c r="I19382" s="10" t="inlineStr">
        <is>
          <t>17/03/2026</t>
        </is>
      </c>
      <c r="J19382" s="10" t="inlineStr">
        <is>
          <t>Quản lý điều hành, Kiến trúc, Xây dựng</t>
        </is>
      </c>
      <c r="K19382" s="10" t="inlineStr">
        <is>
          <t>5 - 10 Năm</t>
        </is>
      </c>
      <c r="L19382" s="11">
        <f>HYPERLINK("https://careerviet.vn/vi/tim-viec-lam/truong-pho-ban-quan-ly-du-an-hai-phong.35C66C16.html","Xem chi tiết")</f>
        <v/>
      </c>
      <c r="M19382" s="10" t="n"/>
    </row>
    <row r="19383">
      <c r="B19383" s="7" t="n">
        <v>19381</v>
      </c>
      <c r="C19383" t="inlineStr">
        <is>
          <t>Corporate Travel Specialist</t>
        </is>
      </c>
      <c r="D19383" t="inlineStr">
        <is>
          <t>Wanek Furniture</t>
        </is>
      </c>
      <c r="E19383" t="inlineStr">
        <is>
          <t>Lương:Cạnh tranh</t>
        </is>
      </c>
      <c r="F19383" t="inlineStr">
        <is>
          <t>Bình Dương</t>
        </is>
      </c>
      <c r="G19383" t="inlineStr">
        <is>
          <t>28-03-2026</t>
        </is>
      </c>
      <c r="H19383" t="inlineStr">
        <is>
          <t>28/03/2026</t>
        </is>
      </c>
      <c r="I19383" t="inlineStr">
        <is>
          <t>17/03/2026</t>
        </is>
      </c>
      <c r="J19383" t="inlineStr">
        <is>
          <t>Hành chính / Thư ký, Sản xuất / Vận hành sản xuất, Nội ngoại thất</t>
        </is>
      </c>
      <c r="K19383" t="inlineStr">
        <is>
          <t>1 - 2 Năm</t>
        </is>
      </c>
      <c r="L19383" s="8">
        <f>HYPERLINK("https://careerviet.vn/vi/tim-viec-lam/corporate-travel-specialist.35C66A66.html","Xem chi tiết")</f>
        <v/>
      </c>
    </row>
    <row r="19384">
      <c r="B19384" s="9" t="n">
        <v>19382</v>
      </c>
      <c r="C19384" s="10" t="inlineStr">
        <is>
          <t>Kế toán Tài chính Thuế Campuchia</t>
        </is>
      </c>
      <c r="D19384" s="10" t="inlineStr">
        <is>
          <t>Công ty CP Thành Thành Công - Biên Hòa</t>
        </is>
      </c>
      <c r="E19384" s="10" t="inlineStr">
        <is>
          <t>Lương:Cạnh tranh</t>
        </is>
      </c>
      <c r="F19384" s="10" t="inlineStr">
        <is>
          <t>Kratie</t>
        </is>
      </c>
      <c r="G19384" s="10" t="inlineStr">
        <is>
          <t>28-03-2026</t>
        </is>
      </c>
      <c r="H19384" s="10" t="inlineStr">
        <is>
          <t>28/03/2026</t>
        </is>
      </c>
      <c r="I19384" s="10" t="inlineStr">
        <is>
          <t>17/03/2026</t>
        </is>
      </c>
      <c r="J19384" s="10" t="inlineStr">
        <is>
          <t>Công nghệ thực phẩm / Dinh dưỡng, Kế toán / Kiểm toán, Nông nghiệp</t>
        </is>
      </c>
      <c r="K19384" s="10" t="inlineStr">
        <is>
          <t>1 - 2 Năm</t>
        </is>
      </c>
      <c r="L19384" s="11">
        <f>HYPERLINK("https://careerviet.vn/vi/tim-viec-lam/ke-toan-tai-chinh-thue-campuchia.35C66A59.html","Xem chi tiết")</f>
        <v/>
      </c>
      <c r="M19384" s="10" t="n"/>
    </row>
    <row r="19385">
      <c r="B19385" s="7" t="n">
        <v>19383</v>
      </c>
      <c r="C19385" t="inlineStr">
        <is>
          <t>CHUYÊN VIÊN PHÂN TÍCH NGHIỆP VỤ (BA)</t>
        </is>
      </c>
      <c r="D19385" t="inlineStr">
        <is>
          <t>Tổng Công Ty Cổ Phần Bảo Hiểm Ngân Hàng TMCP Công Thương Việt Nam</t>
        </is>
      </c>
      <c r="E19385" t="inlineStr">
        <is>
          <t>Lương:Cạnh tranh</t>
        </is>
      </c>
      <c r="F19385" t="inlineStr">
        <is>
          <t>Hà Nội</t>
        </is>
      </c>
      <c r="G19385" t="inlineStr">
        <is>
          <t>28-03-2026</t>
        </is>
      </c>
      <c r="H19385" t="inlineStr">
        <is>
          <t>28/03/2026</t>
        </is>
      </c>
      <c r="I19385" t="inlineStr">
        <is>
          <t>17/03/2026</t>
        </is>
      </c>
      <c r="J19385" t="inlineStr">
        <is>
          <t>Bảo hiểm, CNTT - Phần mềm, Ngân hàng</t>
        </is>
      </c>
      <c r="K19385" t="inlineStr">
        <is>
          <t>3 - 7 Năm</t>
        </is>
      </c>
      <c r="L19385" s="8">
        <f>HYPERLINK("https://careerviet.vn/vi/tim-viec-lam/chuyen-vien-phan-tich-nghiep-vu-ba.35C66C1A.html","Xem chi tiết")</f>
        <v/>
      </c>
    </row>
    <row r="19386">
      <c r="B19386" s="9" t="n">
        <v>19384</v>
      </c>
      <c r="C19386" s="10" t="inlineStr">
        <is>
          <t>ĐẦU BẾP SUSHI</t>
        </is>
      </c>
      <c r="D19386" s="10" t="inlineStr">
        <is>
          <t>Công Ty TNHH Thương Mại K&amp;K Toàn Cầu</t>
        </is>
      </c>
      <c r="E19386" s="10" t="inlineStr">
        <is>
          <t>Lương:12 Tr - 15 Tr VND</t>
        </is>
      </c>
      <c r="F19386" s="10" t="inlineStr">
        <is>
          <t>Hà Nội</t>
        </is>
      </c>
      <c r="G19386" s="10" t="inlineStr">
        <is>
          <t>28-03-2026</t>
        </is>
      </c>
      <c r="H19386" s="10" t="inlineStr">
        <is>
          <t>28/03/2026</t>
        </is>
      </c>
      <c r="I19386" s="10" t="inlineStr">
        <is>
          <t>17/03/2026</t>
        </is>
      </c>
      <c r="J19386" s="10" t="inlineStr">
        <is>
          <t>Thực phẩm &amp; Đồ uống, Nhà hàng / Khách sạn</t>
        </is>
      </c>
      <c r="K19386" s="10" t="inlineStr">
        <is>
          <t>1 - 2 Năm</t>
        </is>
      </c>
      <c r="L19386" s="11">
        <f>HYPERLINK("https://careerviet.vn/vi/tim-viec-lam/dau-bep-sushi.35C66B21.html","Xem chi tiết")</f>
        <v/>
      </c>
      <c r="M19386" s="10" t="n"/>
    </row>
    <row r="19387">
      <c r="B19387" s="7" t="n">
        <v>19385</v>
      </c>
      <c r="C19387" t="inlineStr">
        <is>
          <t>Kế Toán Trưởng (Sản Xuất, Tiếng Trung, làm việc tại Hà Nam)</t>
        </is>
      </c>
      <c r="D19387" t="inlineStr">
        <is>
          <t>Headhunter HRchannels Group</t>
        </is>
      </c>
      <c r="E19387" t="inlineStr">
        <is>
          <t>Lương:30 Tr - 35 Tr VND</t>
        </is>
      </c>
      <c r="F19387" t="inlineStr">
        <is>
          <t>Hà NamHà NộiNinh Bình</t>
        </is>
      </c>
      <c r="G19387" t="inlineStr">
        <is>
          <t>28-03-2026</t>
        </is>
      </c>
      <c r="H19387" t="inlineStr">
        <is>
          <t>28/03/2026</t>
        </is>
      </c>
      <c r="I19387" t="inlineStr">
        <is>
          <t>17/03/2026</t>
        </is>
      </c>
      <c r="J19387" t="inlineStr">
        <is>
          <t>Kế toán / Kiểm toán, Sản xuất / Vận hành sản xuất, Tài chính / Đầu tư</t>
        </is>
      </c>
      <c r="K19387" t="inlineStr">
        <is>
          <t>3 - 5 Năm</t>
        </is>
      </c>
      <c r="L19387" s="8">
        <f>HYPERLINK("https://careerviet.vn/vi/tim-viec-lam/ke-toan-truong-san-xuat-tieng-trung-lam-viec-tai-ha-nam.35C66A53.html","Xem chi tiết")</f>
        <v/>
      </c>
    </row>
    <row r="19388">
      <c r="B19388" s="9" t="n">
        <v>19386</v>
      </c>
      <c r="C19388" s="10" t="inlineStr">
        <is>
          <t>Nhân viên phát triển sản phẩm – Mảng Điện tử</t>
        </is>
      </c>
      <c r="D19388" s="10" t="inlineStr">
        <is>
          <t>CÔNG TY CP HÀ YẾN</t>
        </is>
      </c>
      <c r="E19388" s="10" t="inlineStr">
        <is>
          <t>Lương:Cạnh tranh</t>
        </is>
      </c>
      <c r="F19388" s="10" t="inlineStr">
        <is>
          <t>Hà Nội</t>
        </is>
      </c>
      <c r="G19388" s="10" t="inlineStr">
        <is>
          <t>28-03-2026</t>
        </is>
      </c>
      <c r="H19388" s="10" t="inlineStr">
        <is>
          <t>28/03/2026</t>
        </is>
      </c>
      <c r="I19388" s="10" t="inlineStr">
        <is>
          <t>17/03/2026</t>
        </is>
      </c>
      <c r="J19388" s="10" t="inlineStr">
        <is>
          <t>Cơ khí / Ô tô / Tự động hóa, Điện / Điện tử / Điện lạnh / Điện công nghiệp</t>
        </is>
      </c>
      <c r="K19388" s="10" t="inlineStr">
        <is>
          <t>1 - 2 Năm</t>
        </is>
      </c>
      <c r="L19388" s="11">
        <f>HYPERLINK("https://careerviet.vn/vi/tim-viec-lam/nhan-vien-phat-trien-san-pham-mang-dien-tu.35C66B92.html","Xem chi tiết")</f>
        <v/>
      </c>
      <c r="M19388" s="10" t="n"/>
    </row>
    <row r="19389">
      <c r="B19389" s="7" t="n">
        <v>19387</v>
      </c>
      <c r="C19389" t="inlineStr">
        <is>
          <t>[GLOBAL X] Chuyên Viên Kế Toán Doanh Thu/ Kế Toán Bán Hàng</t>
        </is>
      </c>
      <c r="D19389" t="inlineStr">
        <is>
          <t>Nova Service Group - Công ty Cổ phần Tập đoàn Nova Services</t>
        </is>
      </c>
      <c r="E19389" t="inlineStr">
        <is>
          <t>Lương:Cạnh tranh</t>
        </is>
      </c>
      <c r="F19389" t="inlineStr">
        <is>
          <t>Hồ Chí Minh</t>
        </is>
      </c>
      <c r="G19389" t="inlineStr">
        <is>
          <t>28-03-2026</t>
        </is>
      </c>
      <c r="H19389" t="inlineStr">
        <is>
          <t>28/03/2026</t>
        </is>
      </c>
      <c r="I19389" t="inlineStr">
        <is>
          <t>17/03/2026</t>
        </is>
      </c>
      <c r="J19389" t="inlineStr">
        <is>
          <t>Kế toán / Kiểm toán</t>
        </is>
      </c>
      <c r="K19389" t="inlineStr">
        <is>
          <t>1 - 3 Năm</t>
        </is>
      </c>
      <c r="L19389" s="8">
        <f>HYPERLINK("https://careerviet.vn/vi/tim-viec-lam/global-x-chuyen-vien-ke-toan-doanh-thu-ke-toan-ban-hang.35C64066.html","Xem chi tiết")</f>
        <v/>
      </c>
    </row>
    <row r="19390">
      <c r="B19390" s="9" t="n">
        <v>19388</v>
      </c>
      <c r="C19390" s="10" t="inlineStr">
        <is>
          <t>Nhân Viên Kinh Doanh VLXD Đà Nẵng Thu Nhập Cao</t>
        </is>
      </c>
      <c r="D19390" s="10" t="inlineStr">
        <is>
          <t>Công ty TNHH Triệu Hổ</t>
        </is>
      </c>
      <c r="E19390" s="10" t="inlineStr">
        <is>
          <t>Lương:10 Tr - 50 Tr VND</t>
        </is>
      </c>
      <c r="F19390" s="10" t="inlineStr">
        <is>
          <t>Đà Nẵng</t>
        </is>
      </c>
      <c r="G19390" s="10" t="inlineStr">
        <is>
          <t>28-03-2026</t>
        </is>
      </c>
      <c r="H19390" s="10" t="inlineStr">
        <is>
          <t>28/03/2026</t>
        </is>
      </c>
      <c r="I19390" s="10" t="inlineStr">
        <is>
          <t>17/03/2026</t>
        </is>
      </c>
      <c r="J19390" s="10" t="inlineStr">
        <is>
          <t>Bán hàng / Kinh doanh, Dịch vụ khách hàng, Bán lẻ / Bán sỉ</t>
        </is>
      </c>
      <c r="K19390" s="10" t="inlineStr">
        <is>
          <t>N/A</t>
        </is>
      </c>
      <c r="L19390" s="11">
        <f>HYPERLINK("https://careerviet.vn/vi/tim-viec-lam/nhan-vien-kinh-doanh-vlxd-da-nang-thu-nhap-cao.35C66B2B.html","Xem chi tiết")</f>
        <v/>
      </c>
      <c r="M19390" s="10" t="n"/>
    </row>
    <row r="19391">
      <c r="B19391" s="7" t="n">
        <v>19389</v>
      </c>
      <c r="C19391" t="inlineStr">
        <is>
          <t>TUYỂN DỤNG BÁC SĨ DA LIỄU/THẨM MỸ ĐÀ NẴNG/NHA TRANG - ĐI LÀM NGAY</t>
        </is>
      </c>
      <c r="D19391" t="inlineStr">
        <is>
          <t>THẨM MỸ VIỆN DR DOHYUN</t>
        </is>
      </c>
      <c r="E19391" t="inlineStr">
        <is>
          <t>Lương:25 Tr - 55 Tr VND</t>
        </is>
      </c>
      <c r="F19391" t="inlineStr">
        <is>
          <t>Đà NẵngKhánh Hòa</t>
        </is>
      </c>
      <c r="G19391" t="inlineStr">
        <is>
          <t>28-03-2026</t>
        </is>
      </c>
      <c r="H19391" t="inlineStr">
        <is>
          <t>28/03/2026</t>
        </is>
      </c>
      <c r="I19391" t="inlineStr">
        <is>
          <t>17/03/2026</t>
        </is>
      </c>
      <c r="J19391" t="inlineStr">
        <is>
          <t>Dược phẩm/ Hóa Mỹ Phẩm, Y tế / Chăm sóc sức khỏe / Thẩm mỹ / Làm đẹp, Hàng gia dụng / Chăm sóc cá nhân</t>
        </is>
      </c>
      <c r="K19391" t="inlineStr">
        <is>
          <t>3 - 10 Năm</t>
        </is>
      </c>
      <c r="L19391" s="8">
        <f>HYPERLINK("https://careerviet.vn/vi/tim-viec-lam/tuyen-dung-bac-si-da-lieu-tham-my-da-nang-nha-trang-di-lam-ngay.35C65A47.html","Xem chi tiết")</f>
        <v/>
      </c>
    </row>
    <row r="19392">
      <c r="B19392" s="9" t="n">
        <v>19390</v>
      </c>
      <c r="C19392" s="10" t="inlineStr">
        <is>
          <t>Facility &amp; Maintenance Supervisor / Giám Sát Bảo Trì</t>
        </is>
      </c>
      <c r="D19392" s="10" t="inlineStr">
        <is>
          <t>CÔNG TY TNHH ASHTON FURNITURE CONSOLIDATION</t>
        </is>
      </c>
      <c r="E19392" s="10" t="inlineStr">
        <is>
          <t>Lương:26 Tr - 30 Tr VND</t>
        </is>
      </c>
      <c r="F19392" s="10" t="inlineStr">
        <is>
          <t>Bà Rịa - Vũng Tàu</t>
        </is>
      </c>
      <c r="G19392" s="10" t="inlineStr">
        <is>
          <t>28-03-2026</t>
        </is>
      </c>
      <c r="H19392" s="10" t="inlineStr">
        <is>
          <t>28/03/2026</t>
        </is>
      </c>
      <c r="I19392" s="10" t="inlineStr">
        <is>
          <t>17/03/2026</t>
        </is>
      </c>
      <c r="J19392" s="10" t="inlineStr">
        <is>
          <t>Vận chuyển / Giao nhận / Kho vận</t>
        </is>
      </c>
      <c r="K19392" s="10" t="inlineStr">
        <is>
          <t>2 - 5 Năm</t>
        </is>
      </c>
      <c r="L19392" s="11">
        <f>HYPERLINK("https://careerviet.vn/vi/tim-viec-lam/facility-maintenance-supervisor-giam-sat-bao-tri.35C66B5B.html","Xem chi tiết")</f>
        <v/>
      </c>
      <c r="M19392" s="10" t="n"/>
    </row>
    <row r="19393">
      <c r="B19393" s="7" t="n">
        <v>19391</v>
      </c>
      <c r="C19393" t="inlineStr">
        <is>
          <t>Chuyên viên Nhân sự - nhận việc sau tết</t>
        </is>
      </c>
      <c r="D19393" t="inlineStr">
        <is>
          <t>Công ty Cổ phần CANIFA</t>
        </is>
      </c>
      <c r="E19393" t="inlineStr">
        <is>
          <t>Lương:15 Tr - 18 Tr VND</t>
        </is>
      </c>
      <c r="F19393" t="inlineStr">
        <is>
          <t>Hà Nội</t>
        </is>
      </c>
      <c r="G19393" t="inlineStr">
        <is>
          <t>28-03-2026</t>
        </is>
      </c>
      <c r="H19393" t="inlineStr">
        <is>
          <t>28/03/2026</t>
        </is>
      </c>
      <c r="I19393" t="inlineStr">
        <is>
          <t>17/03/2026</t>
        </is>
      </c>
      <c r="J19393" t="inlineStr">
        <is>
          <t>Nhân sự</t>
        </is>
      </c>
      <c r="K19393" t="inlineStr">
        <is>
          <t>2 - 5 Năm</t>
        </is>
      </c>
      <c r="L19393" s="8">
        <f>HYPERLINK("https://careerviet.vn/vi/tim-viec-lam/chuyen-vien-nhan-su-nhan-viec-sau-tet.35C66B69.html","Xem chi tiết")</f>
        <v/>
      </c>
    </row>
    <row r="19394">
      <c r="B19394" s="9" t="n">
        <v>19392</v>
      </c>
      <c r="C19394" s="10" t="inlineStr">
        <is>
          <t>TRỢ LÝ KOL / KOC (MANAGER LEVEL)</t>
        </is>
      </c>
      <c r="D19394" s="10" t="inlineStr">
        <is>
          <t>Công Ty Cổ Phần Tập Đoàn Đầu Tư Địa Ốc No Va</t>
        </is>
      </c>
      <c r="E19394" s="10" t="inlineStr">
        <is>
          <t>Lương:Cạnh tranh</t>
        </is>
      </c>
      <c r="F19394" s="10" t="inlineStr">
        <is>
          <t>Hồ Chí Minh</t>
        </is>
      </c>
      <c r="G19394" s="10" t="inlineStr">
        <is>
          <t>28-03-2026</t>
        </is>
      </c>
      <c r="H19394" s="10" t="inlineStr">
        <is>
          <t>28/03/2026</t>
        </is>
      </c>
      <c r="I19394" s="10" t="inlineStr">
        <is>
          <t>17/03/2026</t>
        </is>
      </c>
      <c r="J19394" s="10" t="inlineStr">
        <is>
          <t>Tiếp thị / Marketing, Giải trí</t>
        </is>
      </c>
      <c r="K19394" s="10" t="inlineStr">
        <is>
          <t>3 - 7 Năm</t>
        </is>
      </c>
      <c r="L19394" s="11">
        <f>HYPERLINK("https://careerviet.vn/vi/tim-viec-lam/tro-ly-kol-koc-manager-level.35C66B4A.html","Xem chi tiết")</f>
        <v/>
      </c>
      <c r="M19394" s="10" t="n"/>
    </row>
    <row r="19395">
      <c r="B19395" s="7" t="n">
        <v>19393</v>
      </c>
      <c r="C19395" t="inlineStr">
        <is>
          <t>Trade Marketing Admin - MT (6-Month Contractor)</t>
        </is>
      </c>
      <c r="D19395" t="inlineStr">
        <is>
          <t>Marico South East Asia Corporation</t>
        </is>
      </c>
      <c r="E19395" t="inlineStr">
        <is>
          <t>Lương:Cạnh tranh</t>
        </is>
      </c>
      <c r="F19395" t="inlineStr">
        <is>
          <t>Hồ Chí Minh</t>
        </is>
      </c>
      <c r="G19395" t="inlineStr">
        <is>
          <t>27-03-2026</t>
        </is>
      </c>
      <c r="H19395" t="inlineStr">
        <is>
          <t>27/03/2026</t>
        </is>
      </c>
      <c r="I19395" t="inlineStr">
        <is>
          <t>17/03/2026</t>
        </is>
      </c>
      <c r="J19395" t="inlineStr">
        <is>
          <t>Bán hàng / Kinh doanh</t>
        </is>
      </c>
      <c r="K19395" t="inlineStr">
        <is>
          <t>1 - 3 Năm</t>
        </is>
      </c>
      <c r="L19395" s="8">
        <f>HYPERLINK("https://careerviet.vn/vi/tim-viec-lam/trade-marketing-admin-mt-6-month-contractor.35C66A42.html","Xem chi tiết")</f>
        <v/>
      </c>
    </row>
    <row r="19396">
      <c r="B19396" s="9" t="n">
        <v>19394</v>
      </c>
      <c r="C19396" s="10" t="inlineStr">
        <is>
          <t>Head of Sales (GT and HORECA channel)</t>
        </is>
      </c>
      <c r="D19396" s="10" t="inlineStr">
        <is>
          <t>CÔNG TY CỔ PHẦN THƯƠNG MẠI DỊCH VỤ SẢN XUẤT HƯƠNG THỦY</t>
        </is>
      </c>
      <c r="E19396" s="10" t="inlineStr">
        <is>
          <t>Lương:Cạnh tranh</t>
        </is>
      </c>
      <c r="F19396" s="10" t="inlineStr">
        <is>
          <t>Hồ Chí Minh</t>
        </is>
      </c>
      <c r="G19396" s="10" t="inlineStr">
        <is>
          <t>28-03-2026</t>
        </is>
      </c>
      <c r="H19396" s="10" t="inlineStr">
        <is>
          <t>28/03/2026</t>
        </is>
      </c>
      <c r="I19396" s="10" t="inlineStr">
        <is>
          <t>17/03/2026</t>
        </is>
      </c>
      <c r="J19396" s="10" t="inlineStr">
        <is>
          <t>Tiếp thị / Marketing, Bán lẻ / Bán sỉ, Bán hàng / Kinh doanh</t>
        </is>
      </c>
      <c r="K19396" s="10" t="inlineStr">
        <is>
          <t>15 - 20 Năm</t>
        </is>
      </c>
      <c r="L19396" s="11">
        <f>HYPERLINK("https://careerviet.vn/vi/tim-viec-lam/head-of-sales-gt-and-horeca-channel.35C66B86.html","Xem chi tiết")</f>
        <v/>
      </c>
      <c r="M19396" s="10" t="n"/>
    </row>
    <row r="19397">
      <c r="B19397" s="7" t="n">
        <v>19395</v>
      </c>
      <c r="C19397" t="inlineStr">
        <is>
          <t>Accountant II (Temp 9 months)</t>
        </is>
      </c>
      <c r="D19397" t="inlineStr">
        <is>
          <t>Sonion Vietnam</t>
        </is>
      </c>
      <c r="E19397" t="inlineStr">
        <is>
          <t>Lương:Cạnh tranh</t>
        </is>
      </c>
      <c r="F19397" t="inlineStr">
        <is>
          <t>Hồ Chí Minh</t>
        </is>
      </c>
      <c r="G19397" t="inlineStr">
        <is>
          <t>28-03-2026</t>
        </is>
      </c>
      <c r="H19397" t="inlineStr">
        <is>
          <t>28/03/2026</t>
        </is>
      </c>
      <c r="I19397" t="inlineStr">
        <is>
          <t>17/03/2026</t>
        </is>
      </c>
      <c r="J19397" t="inlineStr">
        <is>
          <t>Kế toán / Kiểm toán</t>
        </is>
      </c>
      <c r="K19397" t="inlineStr">
        <is>
          <t>3 - 5 Năm</t>
        </is>
      </c>
      <c r="L19397" s="8">
        <f>HYPERLINK("https://careerviet.vn/vi/tim-viec-lam/accountant-ii-temp-9-months.35C66BDB.html","Xem chi tiết")</f>
        <v/>
      </c>
    </row>
    <row r="19398">
      <c r="B19398" s="9" t="n">
        <v>19396</v>
      </c>
      <c r="C19398" s="10" t="inlineStr">
        <is>
          <t>Chuyên Viên Quản Lý Thủ Tục ( Làm Việc Tại HCM)</t>
        </is>
      </c>
      <c r="D19398" s="10" t="inlineStr">
        <is>
          <t>CÔNG TY CỔ PHẦN PHÁT TRIỂN BẤT ĐỘNG SẢN VĂN PHÚ</t>
        </is>
      </c>
      <c r="E19398" s="10" t="inlineStr">
        <is>
          <t>Lương:Cạnh tranh</t>
        </is>
      </c>
      <c r="F19398" s="10" t="inlineStr">
        <is>
          <t>Hồ Chí Minh</t>
        </is>
      </c>
      <c r="G19398" s="10" t="inlineStr">
        <is>
          <t>28-03-2026</t>
        </is>
      </c>
      <c r="H19398" s="10" t="inlineStr">
        <is>
          <t>28/03/2026</t>
        </is>
      </c>
      <c r="I19398" s="10" t="inlineStr">
        <is>
          <t>17/03/2026</t>
        </is>
      </c>
      <c r="J19398" s="10" t="inlineStr">
        <is>
          <t>Bất động sản, Dịch vụ khách hàng</t>
        </is>
      </c>
      <c r="K19398" s="10" t="inlineStr">
        <is>
          <t>1 - 2 Năm</t>
        </is>
      </c>
      <c r="L19398" s="11">
        <f>HYPERLINK("https://careerviet.vn/vi/tim-viec-lam/chuyen-vien-quan-ly-thu-tuc-lam-viec-tai-hcm.35C66C22.html","Xem chi tiết")</f>
        <v/>
      </c>
      <c r="M19398" s="10" t="n"/>
    </row>
    <row r="19399">
      <c r="B19399" s="7" t="n">
        <v>19397</v>
      </c>
      <c r="C19399" t="inlineStr">
        <is>
          <t>NHÂN VIÊN KỸ THUẬT/ VẬN HÀNH MÁY CNC</t>
        </is>
      </c>
      <c r="D19399" t="inlineStr">
        <is>
          <t>CÔNG TY TNHH MTV CHẾ TÁC VÀ KINH DOANH TRANG SỨC PNJ</t>
        </is>
      </c>
      <c r="E19399" t="inlineStr">
        <is>
          <t>Lương:7,5 Tr - 9 Tr VND</t>
        </is>
      </c>
      <c r="F19399" t="inlineStr">
        <is>
          <t>Long An</t>
        </is>
      </c>
      <c r="G19399" t="inlineStr">
        <is>
          <t>28-03-2026</t>
        </is>
      </c>
      <c r="H19399" t="inlineStr">
        <is>
          <t>28/03/2026</t>
        </is>
      </c>
      <c r="I19399" t="inlineStr">
        <is>
          <t>17/03/2026</t>
        </is>
      </c>
      <c r="J19399" t="inlineStr">
        <is>
          <t>Cơ khí / Ô tô / Tự động hóa, Sản xuất / Vận hành sản xuất</t>
        </is>
      </c>
      <c r="K19399" t="inlineStr">
        <is>
          <t>1 - 2 Năm</t>
        </is>
      </c>
      <c r="L19399" s="8">
        <f>HYPERLINK("https://careerviet.vn/vi/tim-viec-lam/nhan-vien-ky-thuat-van-hanh-may-cnc.35C66AFC.html","Xem chi tiết")</f>
        <v/>
      </c>
    </row>
    <row r="19400">
      <c r="B19400" s="9" t="n">
        <v>19398</v>
      </c>
      <c r="C19400" s="10" t="inlineStr">
        <is>
          <t>Đồng Nai - Chuyên viên Quan hệ Khách hàng cá nhân</t>
        </is>
      </c>
      <c r="D19400" s="10" t="inlineStr">
        <is>
          <t>Ngân hàng TMCP Lộc Phát Việt Nam (LPBank)</t>
        </is>
      </c>
      <c r="E19400" s="10" t="inlineStr">
        <is>
          <t>Lương:Cạnh tranh</t>
        </is>
      </c>
      <c r="F19400" s="10" t="inlineStr">
        <is>
          <t>Đồng Nai</t>
        </is>
      </c>
      <c r="G19400" s="10" t="inlineStr">
        <is>
          <t>28-03-2026</t>
        </is>
      </c>
      <c r="H19400" s="10" t="inlineStr">
        <is>
          <t>28/03/2026</t>
        </is>
      </c>
      <c r="I19400" s="10" t="inlineStr">
        <is>
          <t>17/03/2026</t>
        </is>
      </c>
      <c r="J19400" s="10" t="inlineStr">
        <is>
          <t>Bán hàng / Kinh doanh, Kế toán / Kiểm toán, Ngân hàng</t>
        </is>
      </c>
      <c r="K19400" s="10" t="inlineStr">
        <is>
          <t>N/A</t>
        </is>
      </c>
      <c r="L19400" s="11">
        <f>HYPERLINK("https://careerviet.vn/vi/tim-viec-lam/dong-nai-chuyen-vien-quan-he-khach-hang-ca-nhan.35C66AB5.html","Xem chi tiết")</f>
        <v/>
      </c>
      <c r="M19400" s="10" t="n"/>
    </row>
    <row r="19401">
      <c r="B19401" s="7" t="n">
        <v>19399</v>
      </c>
      <c r="C19401" t="inlineStr">
        <is>
          <t>Sourcing Staff</t>
        </is>
      </c>
      <c r="D19401" t="inlineStr">
        <is>
          <t>Công ty TNHH Airspeed Manufacturing Việt Nam</t>
        </is>
      </c>
      <c r="E19401" t="inlineStr">
        <is>
          <t>Lương:Cạnh tranh</t>
        </is>
      </c>
      <c r="F19401" t="inlineStr">
        <is>
          <t>Long An</t>
        </is>
      </c>
      <c r="G19401" t="inlineStr">
        <is>
          <t>28-03-2026</t>
        </is>
      </c>
      <c r="H19401" t="inlineStr">
        <is>
          <t>28/03/2026</t>
        </is>
      </c>
      <c r="I19401" t="inlineStr">
        <is>
          <t>17/03/2026</t>
        </is>
      </c>
      <c r="J19401" t="inlineStr">
        <is>
          <t>Thu mua / Vật tư, Cơ khí / Ô tô / Tự động hóa, Điện / Điện tử / Điện lạnh / Điện công nghiệp</t>
        </is>
      </c>
      <c r="K19401" t="inlineStr">
        <is>
          <t>2 - 3 Năm</t>
        </is>
      </c>
      <c r="L19401" s="8">
        <f>HYPERLINK("https://careerviet.vn/vi/tim-viec-lam/sourcing-staff.35C66B50.html","Xem chi tiết")</f>
        <v/>
      </c>
    </row>
    <row r="19402">
      <c r="B19402" s="9" t="n">
        <v>19400</v>
      </c>
      <c r="C19402" s="10" t="inlineStr">
        <is>
          <t>Nhân viên lái xe (tài xế bằng D)</t>
        </is>
      </c>
      <c r="D19402" s="10" t="inlineStr">
        <is>
          <t>CÔNG TY CỔ PHẦN NƯỚC KHOÁNG KHÁNH HÒA</t>
        </is>
      </c>
      <c r="E19402" s="10" t="inlineStr">
        <is>
          <t>Lương:Cạnh tranh</t>
        </is>
      </c>
      <c r="F19402" s="10" t="inlineStr">
        <is>
          <t>Khánh Hòa</t>
        </is>
      </c>
      <c r="G19402" s="10" t="inlineStr">
        <is>
          <t>28-03-2026</t>
        </is>
      </c>
      <c r="H19402" s="10" t="inlineStr">
        <is>
          <t>28/03/2026</t>
        </is>
      </c>
      <c r="I19402" s="10" t="inlineStr">
        <is>
          <t>17/03/2026</t>
        </is>
      </c>
      <c r="J19402" s="10" t="inlineStr">
        <is>
          <t>Bán hàng / Kinh doanh, Vận chuyển / Giao nhận / Kho vận, Nhân sự</t>
        </is>
      </c>
      <c r="K19402" s="10" t="inlineStr">
        <is>
          <t>1 - 3 Năm</t>
        </is>
      </c>
      <c r="L19402" s="11">
        <f>HYPERLINK("https://careerviet.vn/vi/tim-viec-lam/nhan-vien-lai-xe-tai-xe-bang-d.35C66B18.html","Xem chi tiết")</f>
        <v/>
      </c>
      <c r="M19402" s="10" t="n"/>
    </row>
    <row r="19403">
      <c r="B19403" s="7" t="n">
        <v>19401</v>
      </c>
      <c r="C19403" t="inlineStr">
        <is>
          <t>Nhân Viên Tư Vấn Sản Phẩm Điện máy xanh tại Vũng Tàu</t>
        </is>
      </c>
      <c r="D19403" t="inlineStr">
        <is>
          <t>Tập Đoàn Karofi Holding</t>
        </is>
      </c>
      <c r="E19403" t="inlineStr">
        <is>
          <t>Lương:8 Tr - 15 Tr VND</t>
        </is>
      </c>
      <c r="F19403" t="inlineStr">
        <is>
          <t>Đồng Nai</t>
        </is>
      </c>
      <c r="G19403" t="inlineStr">
        <is>
          <t>27-03-2026</t>
        </is>
      </c>
      <c r="H19403" t="inlineStr">
        <is>
          <t>27/03/2026</t>
        </is>
      </c>
      <c r="I19403" t="inlineStr">
        <is>
          <t>17/03/2026</t>
        </is>
      </c>
      <c r="J19403" t="inlineStr">
        <is>
          <t>Bán hàng / Kinh doanh, Dịch vụ khách hàng, Hàng gia dụng / Chăm sóc cá nhân</t>
        </is>
      </c>
      <c r="K19403" t="inlineStr">
        <is>
          <t>Lên đến 1 Năm</t>
        </is>
      </c>
      <c r="L19403" s="8">
        <f>HYPERLINK("https://careerviet.vn/vi/tim-viec-lam/nhan-vien-tu-van-san-pham-dien-may-xanh-tai-vung-tau.35C63FEB.html","Xem chi tiết")</f>
        <v/>
      </c>
    </row>
    <row r="19404">
      <c r="B19404" s="9" t="n">
        <v>19402</v>
      </c>
      <c r="C19404" s="10" t="inlineStr">
        <is>
          <t>Trưởng Phòng Quản Lý Dự Án Marketing</t>
        </is>
      </c>
      <c r="D19404" s="10" t="inlineStr">
        <is>
          <t>CÔNG TY CỔ PHẦN PHÁT TRIỂN BẤT ĐỘNG SẢN VĂN PHÚ</t>
        </is>
      </c>
      <c r="E19404" s="10" t="inlineStr">
        <is>
          <t>Lương:Cạnh tranh</t>
        </is>
      </c>
      <c r="F19404" s="10" t="inlineStr">
        <is>
          <t>Hà Nội</t>
        </is>
      </c>
      <c r="G19404" s="10" t="inlineStr">
        <is>
          <t>28-03-2026</t>
        </is>
      </c>
      <c r="H19404" s="10" t="inlineStr">
        <is>
          <t>28/03/2026</t>
        </is>
      </c>
      <c r="I19404" s="10" t="inlineStr">
        <is>
          <t>17/03/2026</t>
        </is>
      </c>
      <c r="J19404" s="10" t="inlineStr">
        <is>
          <t>Bất động sản, Quảng cáo / Đối ngoại / Truyền Thông</t>
        </is>
      </c>
      <c r="K19404" s="10" t="inlineStr">
        <is>
          <t>5 - 8 Năm</t>
        </is>
      </c>
      <c r="L19404" s="11">
        <f>HYPERLINK("https://careerviet.vn/vi/tim-viec-lam/truong-phong-quan-ly-du-an-marketing.35C66C1F.html","Xem chi tiết")</f>
        <v/>
      </c>
      <c r="M19404" s="10" t="n"/>
    </row>
    <row r="19405">
      <c r="B19405" s="7" t="n">
        <v>19403</v>
      </c>
      <c r="C19405" t="inlineStr">
        <is>
          <t>Chuyên Viên Chính/Chuyên Viên Cao Cấp Quan Hệ Khách Hàng Ưu Tiên - Ninh Bình - TA181</t>
        </is>
      </c>
      <c r="D19405" t="inlineStr">
        <is>
          <t>Ngân Hàng TMCP Việt Nam Thịnh Vượng - VPBANK</t>
        </is>
      </c>
      <c r="E19405" t="inlineStr">
        <is>
          <t>Lương:20 Tr - 50 Tr VND</t>
        </is>
      </c>
      <c r="F19405" t="inlineStr">
        <is>
          <t>Ninh Bình</t>
        </is>
      </c>
      <c r="G19405" t="inlineStr">
        <is>
          <t>27-03-2026</t>
        </is>
      </c>
      <c r="H19405" t="inlineStr">
        <is>
          <t>27/03/2026</t>
        </is>
      </c>
      <c r="I19405" t="inlineStr">
        <is>
          <t>17/03/2026</t>
        </is>
      </c>
      <c r="J19405" t="inlineStr">
        <is>
          <t>Ngân hàng, Dịch vụ khách hàng</t>
        </is>
      </c>
      <c r="K19405" t="inlineStr">
        <is>
          <t>Trên 2 Năm</t>
        </is>
      </c>
      <c r="L19405" s="8">
        <f>HYPERLINK("https://careerviet.vn/vi/tim-viec-lam/chuyen-vien-chinh-chuyen-vien-cao-cap-quan-he-khach-hang-uu-tien-ninh-binh-ta181.35C669E3.html","Xem chi tiết")</f>
        <v/>
      </c>
    </row>
    <row r="19406">
      <c r="B19406" s="9" t="n">
        <v>19404</v>
      </c>
      <c r="C19406" s="10" t="inlineStr">
        <is>
          <t>Phó Tổng Giám Đốc</t>
        </is>
      </c>
      <c r="D19406" s="10" t="inlineStr">
        <is>
          <t>CÔNG TY CỔ PHẦN CHỨNG KHOÁN ASEAN</t>
        </is>
      </c>
      <c r="E19406" s="10" t="inlineStr">
        <is>
          <t>Lương:Cạnh tranh</t>
        </is>
      </c>
      <c r="F19406" s="10" t="inlineStr">
        <is>
          <t>Hà NộiHồ Chí Minh</t>
        </is>
      </c>
      <c r="G19406" s="10" t="inlineStr">
        <is>
          <t>27-03-2026</t>
        </is>
      </c>
      <c r="H19406" s="10" t="inlineStr">
        <is>
          <t>27/03/2026</t>
        </is>
      </c>
      <c r="I19406" s="10" t="inlineStr">
        <is>
          <t>17/03/2026</t>
        </is>
      </c>
      <c r="J19406" s="10" t="inlineStr">
        <is>
          <t>Ngân hàng, Chứng khoán, Tài chính / Đầu tư</t>
        </is>
      </c>
      <c r="K19406" s="10" t="inlineStr">
        <is>
          <t>Trên 7 Năm</t>
        </is>
      </c>
      <c r="L19406" s="11">
        <f>HYPERLINK("https://careerviet.vn/vi/tim-viec-lam/pho-tong-giam-doc.35C66936.html","Xem chi tiết")</f>
        <v/>
      </c>
      <c r="M19406" s="10" t="n"/>
    </row>
    <row r="19407">
      <c r="B19407" s="7" t="n">
        <v>19405</v>
      </c>
      <c r="C19407" t="inlineStr">
        <is>
          <t>[Ba Vì] Giám đốc Dịch vụ khách hàng</t>
        </is>
      </c>
      <c r="D19407" t="inlineStr">
        <is>
          <t>Ngân hàng TMCP Lộc Phát Việt Nam (LPBank)</t>
        </is>
      </c>
      <c r="E19407" t="inlineStr">
        <is>
          <t>Lương:Cạnh tranh</t>
        </is>
      </c>
      <c r="F19407" t="inlineStr">
        <is>
          <t>Hà Nội</t>
        </is>
      </c>
      <c r="G19407" t="inlineStr">
        <is>
          <t>27-03-2026</t>
        </is>
      </c>
      <c r="H19407" t="inlineStr">
        <is>
          <t>27/03/2026</t>
        </is>
      </c>
      <c r="I19407" t="inlineStr">
        <is>
          <t>17/03/2026</t>
        </is>
      </c>
      <c r="J19407" t="inlineStr">
        <is>
          <t>Dịch vụ khách hàng, Kế toán / Kiểm toán, Ngân hàng</t>
        </is>
      </c>
      <c r="K19407" t="inlineStr">
        <is>
          <t>Trên 5 Năm</t>
        </is>
      </c>
      <c r="L19407" s="8">
        <f>HYPERLINK("https://careerviet.vn/vi/tim-viec-lam/ba-vi-giam-doc-dich-vu-khach-hang.35C66989.html","Xem chi tiết")</f>
        <v/>
      </c>
    </row>
    <row r="19408">
      <c r="B19408" s="9" t="n">
        <v>19406</v>
      </c>
      <c r="C19408" s="10" t="inlineStr">
        <is>
          <t>Chuyên viên phát triển quan hệ khách hàng tiếng Trung</t>
        </is>
      </c>
      <c r="D19408" s="10" t="inlineStr">
        <is>
          <t>Công Ty Cổ Phần Thiết Kế Và Xây Dựng Giza Việt Nam</t>
        </is>
      </c>
      <c r="E19408" s="10" t="inlineStr">
        <is>
          <t>Lương:15 Tr - 20 Tr VND</t>
        </is>
      </c>
      <c r="F19408" s="10" t="inlineStr">
        <is>
          <t>Hà Nội</t>
        </is>
      </c>
      <c r="G19408" s="10" t="inlineStr">
        <is>
          <t>27-03-2026</t>
        </is>
      </c>
      <c r="H19408" s="10" t="inlineStr">
        <is>
          <t>27/03/2026</t>
        </is>
      </c>
      <c r="I19408" s="10" t="inlineStr">
        <is>
          <t>17/03/2026</t>
        </is>
      </c>
      <c r="J19408" s="10" t="inlineStr">
        <is>
          <t>Bán hàng / Kinh doanh, Biên phiên dịch, Quảng cáo / Đối ngoại / Truyền Thông</t>
        </is>
      </c>
      <c r="K19408" s="10" t="inlineStr">
        <is>
          <t>N/A</t>
        </is>
      </c>
      <c r="L19408" s="11">
        <f>HYPERLINK("https://careerviet.vn/vi/tim-viec-lam/chuyen-vien-phat-trien-quan-he-khach-hang-tieng-trung.35C66959.html","Xem chi tiết")</f>
        <v/>
      </c>
      <c r="M19408" s="10" t="n"/>
    </row>
    <row r="19409">
      <c r="B19409" s="7" t="n">
        <v>19407</v>
      </c>
      <c r="C19409" t="inlineStr">
        <is>
          <t>Chuyên Viên Graphic Designer</t>
        </is>
      </c>
      <c r="D19409" t="inlineStr">
        <is>
          <t>Beta Group</t>
        </is>
      </c>
      <c r="E19409" t="inlineStr">
        <is>
          <t>Lương:10 Tr - 15 Tr VND</t>
        </is>
      </c>
      <c r="F19409" t="inlineStr">
        <is>
          <t>Hồ Chí Minh</t>
        </is>
      </c>
      <c r="G19409" t="inlineStr">
        <is>
          <t>27-03-2026</t>
        </is>
      </c>
      <c r="H19409" t="inlineStr">
        <is>
          <t>27/03/2026</t>
        </is>
      </c>
      <c r="I19409" t="inlineStr">
        <is>
          <t>17/03/2026</t>
        </is>
      </c>
      <c r="J19409" t="inlineStr">
        <is>
          <t>Mỹ thuật / Nghệ thuật / Thiết kế</t>
        </is>
      </c>
      <c r="K19409" t="inlineStr">
        <is>
          <t>2 - 3 Năm</t>
        </is>
      </c>
      <c r="L19409" s="8">
        <f>HYPERLINK("https://careerviet.vn/vi/tim-viec-lam/chuyen-vien-graphic-designer.35C6693F.html","Xem chi tiết")</f>
        <v/>
      </c>
    </row>
    <row r="19410">
      <c r="B19410" s="9" t="n">
        <v>19408</v>
      </c>
      <c r="C19410" s="10" t="inlineStr">
        <is>
          <t>Kỹ thuật bảo trì -  Mảng xây dựng</t>
        </is>
      </c>
      <c r="D19410" s="10" t="inlineStr">
        <is>
          <t>CÔNG TY TNHH SODEXO VIỆT NAM</t>
        </is>
      </c>
      <c r="E19410" s="10" t="inlineStr">
        <is>
          <t>Lương:10 Tr - 18 Tr VND</t>
        </is>
      </c>
      <c r="F19410" s="10" t="inlineStr">
        <is>
          <t>Bình Dương</t>
        </is>
      </c>
      <c r="G19410" s="10" t="inlineStr">
        <is>
          <t>27-03-2026</t>
        </is>
      </c>
      <c r="H19410" s="10" t="inlineStr">
        <is>
          <t>27/03/2026</t>
        </is>
      </c>
      <c r="I19410" s="10" t="inlineStr">
        <is>
          <t>17/03/2026</t>
        </is>
      </c>
      <c r="J19410" s="10" t="inlineStr">
        <is>
          <t>Bảo trì / Sửa chữa, Xây dựng, Nội ngoại thất</t>
        </is>
      </c>
      <c r="K19410" s="10" t="inlineStr">
        <is>
          <t>N/A</t>
        </is>
      </c>
      <c r="L19410" s="11">
        <f>HYPERLINK("https://careerviet.vn/vi/tim-viec-lam/ky-thuat-bao-tri-mang-xay-dung.35C66918.html","Xem chi tiết")</f>
        <v/>
      </c>
      <c r="M19410" s="10" t="n"/>
    </row>
    <row r="19411">
      <c r="B19411" s="7" t="n">
        <v>19409</v>
      </c>
      <c r="C19411" t="inlineStr">
        <is>
          <t>Nhân viên hành chính dự án</t>
        </is>
      </c>
      <c r="D19411" t="inlineStr">
        <is>
          <t>Công ty TNHH Nesta</t>
        </is>
      </c>
      <c r="E19411" t="inlineStr">
        <is>
          <t>Lương:8 Tr - 10 Tr VND</t>
        </is>
      </c>
      <c r="F19411" t="inlineStr">
        <is>
          <t>Hà NộiLào Cai</t>
        </is>
      </c>
      <c r="G19411" t="inlineStr">
        <is>
          <t>27-03-2026</t>
        </is>
      </c>
      <c r="H19411" t="inlineStr">
        <is>
          <t>27/03/2026</t>
        </is>
      </c>
      <c r="I19411" t="inlineStr">
        <is>
          <t>17/03/2026</t>
        </is>
      </c>
      <c r="J19411" t="inlineStr">
        <is>
          <t>Hành chính / Thư ký, Kiến trúc, Nội ngoại thất</t>
        </is>
      </c>
      <c r="K19411" t="inlineStr">
        <is>
          <t>Chưa có kinh nghiệm</t>
        </is>
      </c>
      <c r="L19411" s="8">
        <f>HYPERLINK("https://careerviet.vn/vi/tim-viec-lam/nhan-vien-hanh-chinh-du-an.35C63FF2.html","Xem chi tiết")</f>
        <v/>
      </c>
    </row>
    <row r="19412">
      <c r="B19412" s="9" t="n">
        <v>19410</v>
      </c>
      <c r="C19412" s="10" t="inlineStr">
        <is>
          <t>Senior Operations Manager</t>
        </is>
      </c>
      <c r="D19412" s="10" t="inlineStr">
        <is>
          <t>Food Retail</t>
        </is>
      </c>
      <c r="E19412" s="10" t="inlineStr">
        <is>
          <t>Lương:Cạnh tranh</t>
        </is>
      </c>
      <c r="F19412" s="10" t="inlineStr">
        <is>
          <t>Hồ Chí Minh</t>
        </is>
      </c>
      <c r="G19412" s="10" t="inlineStr">
        <is>
          <t>27-03-2026</t>
        </is>
      </c>
      <c r="H19412" s="10" t="inlineStr">
        <is>
          <t>27/03/2026</t>
        </is>
      </c>
      <c r="I19412" s="10" t="inlineStr">
        <is>
          <t>17/03/2026</t>
        </is>
      </c>
      <c r="J19412" s="10" t="inlineStr">
        <is>
          <t>Bán lẻ / Bán sỉ, Tiếp thị trực tuyến, Thương mại điện tử</t>
        </is>
      </c>
      <c r="K19412" s="10" t="inlineStr">
        <is>
          <t>4 - 6 Năm</t>
        </is>
      </c>
      <c r="L19412" s="11">
        <f>HYPERLINK("https://careerviet.vn/vi/tim-viec-lam/senior-operations-manager.35C66A31.html","Xem chi tiết")</f>
        <v/>
      </c>
      <c r="M19412" s="10" t="n"/>
    </row>
    <row r="19413">
      <c r="B19413" s="7" t="n">
        <v>19411</v>
      </c>
      <c r="C19413" t="inlineStr">
        <is>
          <t>[English] IT Customer Support Specialist</t>
        </is>
      </c>
      <c r="D19413" t="inlineStr">
        <is>
          <t>Laidon Vietnam</t>
        </is>
      </c>
      <c r="E19413" t="inlineStr">
        <is>
          <t>Lương:Cạnh tranh</t>
        </is>
      </c>
      <c r="F19413" t="inlineStr">
        <is>
          <t>Hồ Chí Minh</t>
        </is>
      </c>
      <c r="G19413" t="inlineStr">
        <is>
          <t>27-03-2026</t>
        </is>
      </c>
      <c r="H19413" t="inlineStr">
        <is>
          <t>27/03/2026</t>
        </is>
      </c>
      <c r="I19413" t="inlineStr">
        <is>
          <t>17/03/2026</t>
        </is>
      </c>
      <c r="J19413" t="inlineStr">
        <is>
          <t>CNTT - Phần mềm</t>
        </is>
      </c>
      <c r="K19413" t="inlineStr">
        <is>
          <t>Trên 2 Năm</t>
        </is>
      </c>
      <c r="L19413" s="8">
        <f>HYPERLINK("https://careerviet.vn/vi/tim-viec-lam/english-it-customer-support-specialist.35C66A39.html","Xem chi tiết")</f>
        <v/>
      </c>
    </row>
    <row r="19414">
      <c r="B19414" s="9" t="n">
        <v>19412</v>
      </c>
      <c r="C19414" s="10" t="inlineStr">
        <is>
          <t>Technical Production Supervisor</t>
        </is>
      </c>
      <c r="D19414" s="10" t="inlineStr">
        <is>
          <t>DYNAPLAST PACKAGING (VIETNAM)  CO., LTD</t>
        </is>
      </c>
      <c r="E19414" s="10" t="inlineStr">
        <is>
          <t>Lương:Cạnh tranh</t>
        </is>
      </c>
      <c r="F19414" s="10" t="inlineStr">
        <is>
          <t>Bình Dương</t>
        </is>
      </c>
      <c r="G19414" s="10" t="inlineStr">
        <is>
          <t>27-03-2026</t>
        </is>
      </c>
      <c r="H19414" s="10" t="inlineStr">
        <is>
          <t>27/03/2026</t>
        </is>
      </c>
      <c r="I19414" s="10" t="inlineStr">
        <is>
          <t>17/03/2026</t>
        </is>
      </c>
      <c r="J19414" s="10" t="inlineStr">
        <is>
          <t>Quản lý điều hành, Cơ khí / Ô tô / Tự động hóa, Điện / Điện tử / Điện lạnh / Điện công nghiệp</t>
        </is>
      </c>
      <c r="K19414" s="10" t="inlineStr">
        <is>
          <t>3 - 5 Năm</t>
        </is>
      </c>
      <c r="L19414" s="11">
        <f>HYPERLINK("https://careerviet.vn/vi/tim-viec-lam/technical-production-supervisor.35C66A12.html","Xem chi tiết")</f>
        <v/>
      </c>
      <c r="M19414" s="10" t="n"/>
    </row>
    <row r="19415">
      <c r="B19415" s="7" t="n">
        <v>19413</v>
      </c>
      <c r="C19415" t="inlineStr">
        <is>
          <t>NHÂN VIÊN THIẾT KẾ ĐỒ GỖ</t>
        </is>
      </c>
      <c r="D19415" t="inlineStr">
        <is>
          <t>Công Ty TNHH Hiệp Long</t>
        </is>
      </c>
      <c r="E19415" t="inlineStr">
        <is>
          <t>Lương:Cạnh tranh</t>
        </is>
      </c>
      <c r="F19415" t="inlineStr">
        <is>
          <t>Bình Dương</t>
        </is>
      </c>
      <c r="G19415" t="inlineStr">
        <is>
          <t>27-03-2026</t>
        </is>
      </c>
      <c r="H19415" t="inlineStr">
        <is>
          <t>27/03/2026</t>
        </is>
      </c>
      <c r="I19415" t="inlineStr">
        <is>
          <t>17/03/2026</t>
        </is>
      </c>
      <c r="J19415" t="inlineStr">
        <is>
          <t>Mỹ thuật / Nghệ thuật / Thiết kế, Sản xuất / Vận hành sản xuất, Đồ gỗ</t>
        </is>
      </c>
      <c r="K19415" t="inlineStr">
        <is>
          <t>Lên đến 1 Năm</t>
        </is>
      </c>
      <c r="L19415" s="8">
        <f>HYPERLINK("https://careerviet.vn/vi/tim-viec-lam/nhan-vien-thiet-ke-do-go.35C668EF.html","Xem chi tiết")</f>
        <v/>
      </c>
    </row>
    <row r="19416">
      <c r="B19416" s="9" t="n">
        <v>19414</v>
      </c>
      <c r="C19416" s="10" t="inlineStr">
        <is>
          <t>Sales Engineer – Building Automation</t>
        </is>
      </c>
      <c r="D19416" s="10" t="inlineStr">
        <is>
          <t>CÔNG TY TNHH AZBIL VIỆT NAM</t>
        </is>
      </c>
      <c r="E19416" s="10" t="inlineStr">
        <is>
          <t>Lương:Cạnh tranh</t>
        </is>
      </c>
      <c r="F19416" s="10" t="inlineStr">
        <is>
          <t>Hồ Chí Minh</t>
        </is>
      </c>
      <c r="G19416" s="10" t="inlineStr">
        <is>
          <t>27-03-2026</t>
        </is>
      </c>
      <c r="H19416" s="10" t="inlineStr">
        <is>
          <t>27/03/2026</t>
        </is>
      </c>
      <c r="I19416" s="10" t="inlineStr">
        <is>
          <t>17/03/2026</t>
        </is>
      </c>
      <c r="J19416" s="10" t="inlineStr">
        <is>
          <t>Bán hàng / Kinh doanh, Bán Hàng Kỹ Thuật, Tư vấn</t>
        </is>
      </c>
      <c r="K19416" s="10" t="inlineStr">
        <is>
          <t>1 - 3 Năm</t>
        </is>
      </c>
      <c r="L19416" s="11">
        <f>HYPERLINK("https://careerviet.vn/vi/tim-viec-lam/sales-engineer-building-automation.35C668F6.html","Xem chi tiết")</f>
        <v/>
      </c>
      <c r="M19416" s="10" t="n"/>
    </row>
    <row r="19417">
      <c r="B19417" s="7" t="n">
        <v>19415</v>
      </c>
      <c r="C19417" t="inlineStr">
        <is>
          <t>Product Development staff</t>
        </is>
      </c>
      <c r="D19417" t="inlineStr">
        <is>
          <t>Fuji Seal Việt Nam</t>
        </is>
      </c>
      <c r="E19417" t="inlineStr">
        <is>
          <t>Lương:16 Tr - 18 Tr VND</t>
        </is>
      </c>
      <c r="F19417" t="inlineStr">
        <is>
          <t>Bình Dương</t>
        </is>
      </c>
      <c r="G19417" t="inlineStr">
        <is>
          <t>27-03-2026</t>
        </is>
      </c>
      <c r="H19417" t="inlineStr">
        <is>
          <t>27/03/2026</t>
        </is>
      </c>
      <c r="I19417" t="inlineStr">
        <is>
          <t>17/03/2026</t>
        </is>
      </c>
      <c r="J19417" t="inlineStr">
        <is>
          <t>Mỹ thuật / Nghệ thuật / Thiết kế, Sản xuất / Vận hành sản xuất, In ấn / Xuất bản</t>
        </is>
      </c>
      <c r="K19417" t="inlineStr">
        <is>
          <t>3 - 5 Năm</t>
        </is>
      </c>
      <c r="L19417" s="8">
        <f>HYPERLINK("https://careerviet.vn/vi/tim-viec-lam/product-development-staff.35C52636.html","Xem chi tiết")</f>
        <v/>
      </c>
    </row>
    <row r="19418">
      <c r="B19418" s="9" t="n">
        <v>19416</v>
      </c>
      <c r="C19418" s="10" t="inlineStr">
        <is>
          <t>NHÂN VIÊN QS/QC MEP</t>
        </is>
      </c>
      <c r="D19418" s="10" t="inlineStr">
        <is>
          <t>Công Ty TNHH Nội Thất Thái Việt</t>
        </is>
      </c>
      <c r="E19418" s="10" t="inlineStr">
        <is>
          <t>Lương:10 Tr - 16 Tr VND</t>
        </is>
      </c>
      <c r="F19418" s="10" t="inlineStr">
        <is>
          <t>Hồ Chí Minh</t>
        </is>
      </c>
      <c r="G19418" s="10" t="inlineStr">
        <is>
          <t>27-03-2026</t>
        </is>
      </c>
      <c r="H19418" s="10" t="inlineStr">
        <is>
          <t>27/03/2026</t>
        </is>
      </c>
      <c r="I19418" s="10" t="inlineStr">
        <is>
          <t>17/03/2026</t>
        </is>
      </c>
      <c r="J19418" s="10" t="inlineStr">
        <is>
          <t>Xây dựng, Nội ngoại thất</t>
        </is>
      </c>
      <c r="K19418" s="10" t="inlineStr">
        <is>
          <t>1 - 2 Năm</t>
        </is>
      </c>
      <c r="L19418" s="11">
        <f>HYPERLINK("https://careerviet.vn/vi/tim-viec-lam/nhan-vien-qs-qc-mep.35C64034.html","Xem chi tiết")</f>
        <v/>
      </c>
      <c r="M19418" s="10" t="n"/>
    </row>
    <row r="19419">
      <c r="B19419" s="7" t="n">
        <v>19417</v>
      </c>
      <c r="C19419" t="inlineStr">
        <is>
          <t>Nhân viên QS - QC Nội thất - Xây Dựng Hoàn Thiện</t>
        </is>
      </c>
      <c r="D19419" t="inlineStr">
        <is>
          <t>Công Ty TNHH Nội Thất Thái Việt</t>
        </is>
      </c>
      <c r="E19419" t="inlineStr">
        <is>
          <t>Lương:10 Tr - 16 Tr VND</t>
        </is>
      </c>
      <c r="F19419" t="inlineStr">
        <is>
          <t>Hồ Chí Minh</t>
        </is>
      </c>
      <c r="G19419" t="inlineStr">
        <is>
          <t>26-03-2026</t>
        </is>
      </c>
      <c r="H19419" t="inlineStr">
        <is>
          <t>26/03/2026</t>
        </is>
      </c>
      <c r="I19419" t="inlineStr">
        <is>
          <t>17/03/2026</t>
        </is>
      </c>
      <c r="J19419" t="inlineStr">
        <is>
          <t>Xây dựng, Nội ngoại thất</t>
        </is>
      </c>
      <c r="K19419" t="inlineStr">
        <is>
          <t>1 - 2 Năm</t>
        </is>
      </c>
      <c r="L19419" s="8">
        <f>HYPERLINK("https://careerviet.vn/vi/tim-viec-lam/nhan-vien-qs-qc-noi-that-xay-dung-hoan-thien.35C64036.html","Xem chi tiết")</f>
        <v/>
      </c>
    </row>
    <row r="19420">
      <c r="B19420" s="9" t="n">
        <v>19418</v>
      </c>
      <c r="C19420" s="10" t="inlineStr">
        <is>
          <t>Nhân Viên Điều Phối Buồng Phòng</t>
        </is>
      </c>
      <c r="D19420" s="10" t="inlineStr">
        <is>
          <t>CÔNG TY CỔ PHẦN TẬP ĐOÀN ONSEN FUJI</t>
        </is>
      </c>
      <c r="E19420" s="10" t="inlineStr">
        <is>
          <t>Lương:7 Tr - 9 Tr VND</t>
        </is>
      </c>
      <c r="F19420" s="10" t="inlineStr">
        <is>
          <t>Phú Thọ</t>
        </is>
      </c>
      <c r="G19420" s="10" t="inlineStr">
        <is>
          <t>27-03-2026</t>
        </is>
      </c>
      <c r="H19420" s="10" t="inlineStr">
        <is>
          <t>27/03/2026</t>
        </is>
      </c>
      <c r="I19420" s="10" t="inlineStr">
        <is>
          <t>17/03/2026</t>
        </is>
      </c>
      <c r="J19420" s="10" t="inlineStr">
        <is>
          <t>Nhà hàng / Khách sạn</t>
        </is>
      </c>
      <c r="K19420" s="10" t="inlineStr">
        <is>
          <t>Chưa có kinh nghiệm</t>
        </is>
      </c>
      <c r="L19420" s="11">
        <f>HYPERLINK("https://careerviet.vn/vi/tim-viec-lam/nhan-vien-dieu-phoi-buong-phong.35C669C1.html","Xem chi tiết")</f>
        <v/>
      </c>
      <c r="M19420" s="10" t="n"/>
    </row>
    <row r="19421">
      <c r="B19421" s="7" t="n">
        <v>19419</v>
      </c>
      <c r="C19421" t="inlineStr">
        <is>
          <t>Trưởng phòng Quản lý thi công</t>
        </is>
      </c>
      <c r="D19421" t="inlineStr">
        <is>
          <t>Công ty Cổ phần công nghệ và đầu tư INTECH</t>
        </is>
      </c>
      <c r="E19421" t="inlineStr">
        <is>
          <t>Lương:30 Tr - 40 Tr VND</t>
        </is>
      </c>
      <c r="F19421" t="inlineStr">
        <is>
          <t>Hà Nội</t>
        </is>
      </c>
      <c r="G19421" t="inlineStr">
        <is>
          <t>27-03-2026</t>
        </is>
      </c>
      <c r="H19421" t="inlineStr">
        <is>
          <t>27/03/2026</t>
        </is>
      </c>
      <c r="I19421" t="inlineStr">
        <is>
          <t>17/03/2026</t>
        </is>
      </c>
      <c r="J19421" t="inlineStr">
        <is>
          <t>Xây dựng</t>
        </is>
      </c>
      <c r="K19421" t="inlineStr">
        <is>
          <t>2 - 3 Năm</t>
        </is>
      </c>
      <c r="L19421" s="8">
        <f>HYPERLINK("https://careerviet.vn/vi/tim-viec-lam/truong-phong-quan-ly-thi-cong.35C668DB.html","Xem chi tiết")</f>
        <v/>
      </c>
    </row>
    <row r="19422">
      <c r="B19422" s="9" t="n">
        <v>19420</v>
      </c>
      <c r="C19422" s="10" t="inlineStr">
        <is>
          <t>Marketing Executive</t>
        </is>
      </c>
      <c r="D19422" s="10" t="inlineStr">
        <is>
          <t>CÔNG TY TNHH BULSAN GROUP</t>
        </is>
      </c>
      <c r="E19422" s="10" t="inlineStr">
        <is>
          <t>Lương:9 Tr - 12 Tr VND</t>
        </is>
      </c>
      <c r="F19422" s="10" t="inlineStr">
        <is>
          <t>Hồ Chí Minh</t>
        </is>
      </c>
      <c r="G19422" s="10" t="inlineStr">
        <is>
          <t>27-03-2026</t>
        </is>
      </c>
      <c r="H19422" s="10" t="inlineStr">
        <is>
          <t>27/03/2026</t>
        </is>
      </c>
      <c r="I19422" s="10" t="inlineStr">
        <is>
          <t>17/03/2026</t>
        </is>
      </c>
      <c r="J19422" s="10" t="inlineStr">
        <is>
          <t>Tiếp thị / Marketing, Bán lẻ / Bán sỉ, Hàng gia dụng / Chăm sóc cá nhân</t>
        </is>
      </c>
      <c r="K19422" s="10" t="inlineStr">
        <is>
          <t>1 - 3 Năm</t>
        </is>
      </c>
      <c r="L19422" s="11">
        <f>HYPERLINK("https://careerviet.vn/vi/tim-viec-lam/marketing-executive.35C66A37.html","Xem chi tiết")</f>
        <v/>
      </c>
      <c r="M19422" s="10" t="n"/>
    </row>
    <row r="19423">
      <c r="B19423" s="7" t="n">
        <v>19421</v>
      </c>
      <c r="C19423" t="inlineStr">
        <is>
          <t>TRƯỞNG PHÒNG KINH DOANH SỐ</t>
        </is>
      </c>
      <c r="D19423" t="inlineStr">
        <is>
          <t>CÔNG TY CỔ PHẦN CHỨNG KHOÁN ASEAN</t>
        </is>
      </c>
      <c r="E19423" t="inlineStr">
        <is>
          <t>Lương:Cạnh tranh</t>
        </is>
      </c>
      <c r="F19423" t="inlineStr">
        <is>
          <t>Hà Nội</t>
        </is>
      </c>
      <c r="G19423" t="inlineStr">
        <is>
          <t>27-03-2026</t>
        </is>
      </c>
      <c r="H19423" t="inlineStr">
        <is>
          <t>27/03/2026</t>
        </is>
      </c>
      <c r="I19423" t="inlineStr">
        <is>
          <t>17/03/2026</t>
        </is>
      </c>
      <c r="J19423" t="inlineStr">
        <is>
          <t>Bán hàng / Kinh doanh, Tài chính / Đầu tư, Chứng khoán</t>
        </is>
      </c>
      <c r="K19423" t="inlineStr">
        <is>
          <t>Trên 5 Năm</t>
        </is>
      </c>
      <c r="L19423" s="8">
        <f>HYPERLINK("https://careerviet.vn/vi/tim-viec-lam/truong-phong-kinh-doanh-so.35C6692E.html","Xem chi tiết")</f>
        <v/>
      </c>
    </row>
    <row r="19424">
      <c r="B19424" s="9" t="n">
        <v>19422</v>
      </c>
      <c r="C19424" s="10" t="inlineStr">
        <is>
          <t>Chuyên viên kế toán thanh toán</t>
        </is>
      </c>
      <c r="D19424" s="10" t="inlineStr">
        <is>
          <t>BỆNH VIỆN ĐA KHOA PHƯƠNG ĐÔNG</t>
        </is>
      </c>
      <c r="E19424" s="10" t="inlineStr">
        <is>
          <t>Lương:10 Tr - 15 Tr VND</t>
        </is>
      </c>
      <c r="F19424" s="10" t="inlineStr">
        <is>
          <t>Hà Nội</t>
        </is>
      </c>
      <c r="G19424" s="10" t="inlineStr">
        <is>
          <t>27-03-2026</t>
        </is>
      </c>
      <c r="H19424" s="10" t="inlineStr">
        <is>
          <t>27/03/2026</t>
        </is>
      </c>
      <c r="I19424" s="10" t="inlineStr">
        <is>
          <t>17/03/2026</t>
        </is>
      </c>
      <c r="J19424" s="10" t="inlineStr">
        <is>
          <t>Kế toán / Kiểm toán</t>
        </is>
      </c>
      <c r="K19424" s="10" t="inlineStr">
        <is>
          <t>1 - 3 Năm</t>
        </is>
      </c>
      <c r="L19424" s="11">
        <f>HYPERLINK("https://careerviet.vn/vi/tim-viec-lam/chuyen-vien-ke-toan-thanh-toan.35C64049.html","Xem chi tiết")</f>
        <v/>
      </c>
      <c r="M19424" s="10" t="n"/>
    </row>
    <row r="19425">
      <c r="B19425" s="7" t="n">
        <v>19423</v>
      </c>
      <c r="C19425" t="inlineStr">
        <is>
          <t>Chuyên Viên Quản Lý Marketing Dự Án</t>
        </is>
      </c>
      <c r="D19425" t="inlineStr">
        <is>
          <t>CÔNG TY CỔ PHẦN PHÁT TRIỂN BẤT ĐỘNG SẢN VĂN PHÚ</t>
        </is>
      </c>
      <c r="E19425" t="inlineStr">
        <is>
          <t>Lương:Cạnh tranh</t>
        </is>
      </c>
      <c r="F19425" t="inlineStr">
        <is>
          <t>Hồ Chí Minh</t>
        </is>
      </c>
      <c r="G19425" t="inlineStr">
        <is>
          <t>27-03-2026</t>
        </is>
      </c>
      <c r="H19425" t="inlineStr">
        <is>
          <t>27/03/2026</t>
        </is>
      </c>
      <c r="I19425" t="inlineStr">
        <is>
          <t>17/03/2026</t>
        </is>
      </c>
      <c r="J19425" t="inlineStr">
        <is>
          <t>Bất động sản, Quảng cáo / Đối ngoại / Truyền Thông</t>
        </is>
      </c>
      <c r="K19425" t="inlineStr">
        <is>
          <t>2 - 3 Năm</t>
        </is>
      </c>
      <c r="L19425" s="8">
        <f>HYPERLINK("https://careerviet.vn/vi/tim-viec-lam/chuyen-vien-quan-ly-marketing-du-an.35C66863.html","Xem chi tiết")</f>
        <v/>
      </c>
    </row>
    <row r="19426">
      <c r="B19426" s="9" t="n">
        <v>19424</v>
      </c>
      <c r="C19426" s="10" t="inlineStr">
        <is>
          <t>Giám Sát An Toàn (HSE Supervisor)</t>
        </is>
      </c>
      <c r="D19426" s="10" t="inlineStr">
        <is>
          <t>Công Ty Cổ Phần Xây Dựng Central</t>
        </is>
      </c>
      <c r="E19426" s="10" t="inlineStr">
        <is>
          <t>Lương:15 Tr - 25 Tr VND</t>
        </is>
      </c>
      <c r="F19426" s="10" t="inlineStr">
        <is>
          <t>Hồ Chí MinhHà Nội</t>
        </is>
      </c>
      <c r="G19426" s="10" t="inlineStr">
        <is>
          <t>27-03-2026</t>
        </is>
      </c>
      <c r="H19426" s="10" t="inlineStr">
        <is>
          <t>27/03/2026</t>
        </is>
      </c>
      <c r="I19426" s="10" t="inlineStr">
        <is>
          <t>17/03/2026</t>
        </is>
      </c>
      <c r="J19426" s="10" t="inlineStr">
        <is>
          <t>Điện / Điện tử / Điện lạnh / Điện công nghiệp, An toàn lao động, Xây dựng</t>
        </is>
      </c>
      <c r="K19426" s="10" t="inlineStr">
        <is>
          <t>1 - 10 Năm</t>
        </is>
      </c>
      <c r="L19426" s="11">
        <f>HYPERLINK("https://careerviet.vn/vi/tim-viec-lam/giam-sat-an-toan-hse-supervisor.35C66A00.html","Xem chi tiết")</f>
        <v/>
      </c>
      <c r="M19426" s="10" t="n"/>
    </row>
    <row r="19427">
      <c r="B19427" s="7" t="n">
        <v>19425</v>
      </c>
      <c r="C19427" t="inlineStr">
        <is>
          <t>Nhân viên Media Marketing</t>
        </is>
      </c>
      <c r="D19427" t="inlineStr">
        <is>
          <t>Công ty TNHH TMDV &amp; Kỹ Thuật Đức Phát</t>
        </is>
      </c>
      <c r="E19427" t="inlineStr">
        <is>
          <t>Lương:12 Tr - 18 Tr VND</t>
        </is>
      </c>
      <c r="F19427" t="inlineStr">
        <is>
          <t>Hà Nội</t>
        </is>
      </c>
      <c r="G19427" t="inlineStr">
        <is>
          <t>27-03-2026</t>
        </is>
      </c>
      <c r="H19427" t="inlineStr">
        <is>
          <t>27/03/2026</t>
        </is>
      </c>
      <c r="I19427" t="inlineStr">
        <is>
          <t>17/03/2026</t>
        </is>
      </c>
      <c r="J19427" t="inlineStr">
        <is>
          <t>Tiếp thị / Marketing</t>
        </is>
      </c>
      <c r="K19427" t="inlineStr">
        <is>
          <t>1 - 2 Năm</t>
        </is>
      </c>
      <c r="L19427" s="8">
        <f>HYPERLINK("https://careerviet.vn/vi/tim-viec-lam/nhan-vien-media-marketing.35C6688B.html","Xem chi tiết")</f>
        <v/>
      </c>
    </row>
    <row r="19428">
      <c r="B19428" s="9" t="n">
        <v>19426</v>
      </c>
      <c r="C19428" s="10" t="inlineStr">
        <is>
          <t>Trưởng nhóm kiểm soát hoạt động kinh doanh</t>
        </is>
      </c>
      <c r="D19428" s="10" t="inlineStr">
        <is>
          <t>CÔNG TY CỔ PHẦN MORINAGA NUTRITIONAL FOODS VIỆT NAM</t>
        </is>
      </c>
      <c r="E19428" s="10" t="inlineStr">
        <is>
          <t>Lương:20 Tr - 30 Tr VND</t>
        </is>
      </c>
      <c r="F19428" s="10" t="inlineStr">
        <is>
          <t>Hà Nội</t>
        </is>
      </c>
      <c r="G19428" s="10" t="inlineStr">
        <is>
          <t>27-03-2026</t>
        </is>
      </c>
      <c r="H19428" s="10" t="inlineStr">
        <is>
          <t>27/03/2026</t>
        </is>
      </c>
      <c r="I19428" s="10" t="inlineStr">
        <is>
          <t>17/03/2026</t>
        </is>
      </c>
      <c r="J19428" s="10" t="inlineStr">
        <is>
          <t>Bán lẻ / Bán sỉ, Bán hàng / Kinh doanh</t>
        </is>
      </c>
      <c r="K19428" s="10" t="inlineStr">
        <is>
          <t>3 - 10 Năm</t>
        </is>
      </c>
      <c r="L19428" s="11">
        <f>HYPERLINK("https://careerviet.vn/vi/tim-viec-lam/truong-nhom-kiem-soat-hoat-dong-kinh-doanh.35C669BD.html","Xem chi tiết")</f>
        <v/>
      </c>
      <c r="M19428" s="10" t="n"/>
    </row>
    <row r="19429">
      <c r="B19429" s="7" t="n">
        <v>19427</v>
      </c>
      <c r="C19429" t="inlineStr">
        <is>
          <t>System Engineer</t>
        </is>
      </c>
      <c r="D19429" t="inlineStr">
        <is>
          <t>CÔNG TY TNHH AZBIL VIỆT NAM</t>
        </is>
      </c>
      <c r="E19429" t="inlineStr">
        <is>
          <t>Lương:Cạnh tranh</t>
        </is>
      </c>
      <c r="F19429" t="inlineStr">
        <is>
          <t>Hồ Chí Minh</t>
        </is>
      </c>
      <c r="G19429" t="inlineStr">
        <is>
          <t>27-03-2026</t>
        </is>
      </c>
      <c r="H19429" t="inlineStr">
        <is>
          <t>27/03/2026</t>
        </is>
      </c>
      <c r="I19429" t="inlineStr">
        <is>
          <t>17/03/2026</t>
        </is>
      </c>
      <c r="J19429" t="inlineStr">
        <is>
          <t>CNTT - Phần mềm, Cơ khí / Ô tô / Tự động hóa, Điện / Điện tử / Điện lạnh / Điện công nghiệp</t>
        </is>
      </c>
      <c r="K19429" t="inlineStr">
        <is>
          <t>N/A</t>
        </is>
      </c>
      <c r="L19429" s="8">
        <f>HYPERLINK("https://careerviet.vn/vi/tim-viec-lam/system-engineer.35C66900.html","Xem chi tiết")</f>
        <v/>
      </c>
    </row>
    <row r="19430">
      <c r="B19430" s="9" t="n">
        <v>19428</v>
      </c>
      <c r="C19430" s="10" t="inlineStr">
        <is>
          <t>HCM - Thực Tập Sinh Marketing</t>
        </is>
      </c>
      <c r="D19430" s="10" t="inlineStr">
        <is>
          <t>Công ty TNHH Thiên Thủy Mộc</t>
        </is>
      </c>
      <c r="E19430" s="10" t="inlineStr">
        <is>
          <t>Lương:3 Tr - 4 Tr VND</t>
        </is>
      </c>
      <c r="F19430" s="10" t="inlineStr">
        <is>
          <t>Hồ Chí Minh</t>
        </is>
      </c>
      <c r="G19430" s="10" t="inlineStr">
        <is>
          <t>26-03-2026</t>
        </is>
      </c>
      <c r="H19430" s="10" t="inlineStr">
        <is>
          <t>26/03/2026</t>
        </is>
      </c>
      <c r="I19430" s="10" t="inlineStr">
        <is>
          <t>17/03/2026</t>
        </is>
      </c>
      <c r="J19430" s="10" t="inlineStr">
        <is>
          <t>Tiếp thị / Marketing, Mới tốt nghiệp / Thực tập</t>
        </is>
      </c>
      <c r="K19430" s="10" t="inlineStr">
        <is>
          <t>N/A</t>
        </is>
      </c>
      <c r="L19430" s="11">
        <f>HYPERLINK("https://careerviet.vn/vi/tim-viec-lam/hcm-thuc-tap-sinh-marketing.35C69876.html","Xem chi tiết")</f>
        <v/>
      </c>
      <c r="M19430" s="10" t="n"/>
    </row>
    <row r="19431">
      <c r="B19431" s="7" t="n">
        <v>19429</v>
      </c>
      <c r="C19431" t="inlineStr">
        <is>
          <t>Commercial Legal Executive</t>
        </is>
      </c>
      <c r="D19431" t="inlineStr">
        <is>
          <t>Concung.com - Con Cung Joint Stock Company</t>
        </is>
      </c>
      <c r="E19431" t="inlineStr">
        <is>
          <t>Lương:Cạnh tranh</t>
        </is>
      </c>
      <c r="F19431" t="inlineStr">
        <is>
          <t>Hồ Chí Minh</t>
        </is>
      </c>
      <c r="G19431" t="inlineStr">
        <is>
          <t>31-03-2026</t>
        </is>
      </c>
      <c r="H19431" t="inlineStr">
        <is>
          <t>31/03/2026</t>
        </is>
      </c>
      <c r="I19431" t="inlineStr">
        <is>
          <t>17/03/2026</t>
        </is>
      </c>
      <c r="J19431" t="inlineStr">
        <is>
          <t>Bán lẻ / Bán sỉ, Luật / Pháp lý</t>
        </is>
      </c>
      <c r="K19431" t="inlineStr">
        <is>
          <t>2 - 3 Năm</t>
        </is>
      </c>
      <c r="L19431" s="8">
        <f>HYPERLINK("https://careerviet.vn/vi/tim-viec-lam/commercial-legal-executive.35C6986A.html","Xem chi tiết")</f>
        <v/>
      </c>
    </row>
    <row r="19432">
      <c r="B19432" s="9" t="n">
        <v>19430</v>
      </c>
      <c r="C19432" s="10" t="inlineStr">
        <is>
          <t>Trưởng nhóm Quản lý nhà cung cấp</t>
        </is>
      </c>
      <c r="D19432" s="10" t="inlineStr">
        <is>
          <t>Công ty Cổ phần Thời Trang YODY</t>
        </is>
      </c>
      <c r="E19432" s="10" t="inlineStr">
        <is>
          <t>Lương:Cạnh tranh</t>
        </is>
      </c>
      <c r="F19432" s="10" t="inlineStr">
        <is>
          <t>Hà NộiHải Dương</t>
        </is>
      </c>
      <c r="G19432" s="10" t="inlineStr">
        <is>
          <t>27-03-2026</t>
        </is>
      </c>
      <c r="H19432" s="10" t="inlineStr">
        <is>
          <t>27/03/2026</t>
        </is>
      </c>
      <c r="I19432" s="10" t="inlineStr">
        <is>
          <t>17/03/2026</t>
        </is>
      </c>
      <c r="J19432" s="10" t="inlineStr">
        <is>
          <t>Dệt may / Da giày / Thời trang</t>
        </is>
      </c>
      <c r="K19432" s="10" t="inlineStr">
        <is>
          <t>Trên 3 Năm</t>
        </is>
      </c>
      <c r="L19432" s="11">
        <f>HYPERLINK("https://careerviet.vn/vi/tim-viec-lam/truong-nhom-quan-ly-nha-cung-cap.35C668DF.html","Xem chi tiết")</f>
        <v/>
      </c>
      <c r="M19432" s="10" t="n"/>
    </row>
    <row r="19433">
      <c r="B19433" s="7" t="n">
        <v>19431</v>
      </c>
      <c r="C19433" t="inlineStr">
        <is>
          <t>Chuyên Viên Tài Chính (Profit &amp; Pricing Analyst)</t>
        </is>
      </c>
      <c r="D19433" t="inlineStr">
        <is>
          <t>Công ty Cổ Phần PMAC</t>
        </is>
      </c>
      <c r="E19433" t="inlineStr">
        <is>
          <t>Lương:15 Tr - 25 Tr VND</t>
        </is>
      </c>
      <c r="F19433" t="inlineStr">
        <is>
          <t>Hồ Chí Minh</t>
        </is>
      </c>
      <c r="G19433" t="inlineStr">
        <is>
          <t>26-03-2026</t>
        </is>
      </c>
      <c r="H19433" t="inlineStr">
        <is>
          <t>26/03/2026</t>
        </is>
      </c>
      <c r="I19433" t="inlineStr">
        <is>
          <t>17/03/2026</t>
        </is>
      </c>
      <c r="J19433" t="inlineStr">
        <is>
          <t>Tài chính / Đầu tư, Kế toán / Kiểm toán, Thống kê</t>
        </is>
      </c>
      <c r="K19433" t="inlineStr">
        <is>
          <t>2 - 5 Năm</t>
        </is>
      </c>
      <c r="L19433" s="8">
        <f>HYPERLINK("https://careerviet.vn/vi/tim-viec-lam/chuyen-vien-tai-chinh-profit-pricing-analyst.35C698BC.html","Xem chi tiết")</f>
        <v/>
      </c>
    </row>
    <row r="19434">
      <c r="B19434" s="9" t="n">
        <v>19432</v>
      </c>
      <c r="C19434" s="10" t="inlineStr">
        <is>
          <t>[REMOTE] Graphic Designer</t>
        </is>
      </c>
      <c r="D19434" s="10" t="inlineStr">
        <is>
          <t>PICKDI</t>
        </is>
      </c>
      <c r="E19434" s="10" t="inlineStr">
        <is>
          <t>Lương:22 Tr - 24 Tr VND</t>
        </is>
      </c>
      <c r="F19434" s="10" t="inlineStr">
        <is>
          <t>Hà NộiHồ Chí MinhĐà Nẵng</t>
        </is>
      </c>
      <c r="G19434" s="10" t="inlineStr">
        <is>
          <t>3</t>
        </is>
      </c>
      <c r="H19434" s="10" t="inlineStr">
        <is>
          <t>20/03/2026</t>
        </is>
      </c>
      <c r="I19434" s="10" t="inlineStr">
        <is>
          <t>17/03/2026</t>
        </is>
      </c>
      <c r="J19434" s="10" t="inlineStr">
        <is>
          <t>Mỹ thuật / Nghệ thuật / Thiết kế, Quảng cáo / Đối ngoại / Truyền Thông, Truyền hình / Báo chí / Biên tập</t>
        </is>
      </c>
      <c r="K19434" s="10" t="inlineStr">
        <is>
          <t>Trên 2 Năm</t>
        </is>
      </c>
      <c r="L19434" s="11">
        <f>HYPERLINK("https://careerviet.vn/vi/tim-viec-lam/remote-graphic-designer.35C69628.html","Xem chi tiết")</f>
        <v/>
      </c>
      <c r="M19434" s="10" t="n"/>
    </row>
    <row r="19435">
      <c r="B19435" s="7" t="n">
        <v>19433</v>
      </c>
      <c r="C19435" t="inlineStr">
        <is>
          <t>HCM - Senior Event Marketing</t>
        </is>
      </c>
      <c r="D19435" t="inlineStr">
        <is>
          <t>Công ty TNHH Thiên Thủy Mộc</t>
        </is>
      </c>
      <c r="E19435" t="inlineStr">
        <is>
          <t>Lương:15 Tr - 20 Tr VND</t>
        </is>
      </c>
      <c r="F19435" t="inlineStr">
        <is>
          <t>Hồ Chí Minh</t>
        </is>
      </c>
      <c r="G19435" t="inlineStr">
        <is>
          <t>26-03-2026</t>
        </is>
      </c>
      <c r="H19435" t="inlineStr">
        <is>
          <t>26/03/2026</t>
        </is>
      </c>
      <c r="I19435" t="inlineStr">
        <is>
          <t>17/03/2026</t>
        </is>
      </c>
      <c r="J19435" t="inlineStr">
        <is>
          <t>Tiếp thị / Marketing, Tổ chức sự kiện</t>
        </is>
      </c>
      <c r="K19435" t="inlineStr">
        <is>
          <t>2 - 3 Năm</t>
        </is>
      </c>
      <c r="L19435" s="8">
        <f>HYPERLINK("https://careerviet.vn/vi/tim-viec-lam/hcm-senior-event-marketing.35C69852.html","Xem chi tiết")</f>
        <v/>
      </c>
    </row>
    <row r="19436">
      <c r="B19436" s="9" t="n">
        <v>19434</v>
      </c>
      <c r="C19436" s="10" t="inlineStr">
        <is>
          <t>Legal Executive</t>
        </is>
      </c>
      <c r="D19436" s="10" t="inlineStr">
        <is>
          <t>Concung.com - Con Cung Joint Stock Company</t>
        </is>
      </c>
      <c r="E19436" s="10" t="inlineStr">
        <is>
          <t>Lương:Cạnh tranh</t>
        </is>
      </c>
      <c r="F19436" s="10" t="inlineStr">
        <is>
          <t>Hồ Chí Minh</t>
        </is>
      </c>
      <c r="G19436" s="10" t="inlineStr">
        <is>
          <t>25-03-2026</t>
        </is>
      </c>
      <c r="H19436" s="10" t="inlineStr">
        <is>
          <t>25/03/2026</t>
        </is>
      </c>
      <c r="I19436" s="10" t="inlineStr">
        <is>
          <t>17/03/2026</t>
        </is>
      </c>
      <c r="J19436" s="10" t="inlineStr">
        <is>
          <t>Bán lẻ / Bán sỉ, Luật / Pháp lý</t>
        </is>
      </c>
      <c r="K19436" s="10" t="inlineStr">
        <is>
          <t>N/A</t>
        </is>
      </c>
      <c r="L19436" s="11">
        <f>HYPERLINK("https://careerviet.vn/vi/tim-viec-lam/legal-executive.35C69858.html","Xem chi tiết")</f>
        <v/>
      </c>
      <c r="M19436" s="10" t="n"/>
    </row>
    <row r="19437">
      <c r="B19437" s="7" t="n">
        <v>19435</v>
      </c>
      <c r="C19437" t="inlineStr">
        <is>
          <t>Nhân viên điều phối Logistics</t>
        </is>
      </c>
      <c r="D19437" t="inlineStr">
        <is>
          <t>Công Ty Cổ Phần GreenFeed Việt Nam</t>
        </is>
      </c>
      <c r="E19437" t="inlineStr">
        <is>
          <t>Lương:Cạnh tranh</t>
        </is>
      </c>
      <c r="F19437" t="inlineStr">
        <is>
          <t>Hồ Chí Minh</t>
        </is>
      </c>
      <c r="G19437" t="inlineStr">
        <is>
          <t>27-03-2026</t>
        </is>
      </c>
      <c r="H19437" t="inlineStr">
        <is>
          <t>27/03/2026</t>
        </is>
      </c>
      <c r="I19437" t="inlineStr">
        <is>
          <t>17/03/2026</t>
        </is>
      </c>
      <c r="J19437" t="inlineStr">
        <is>
          <t>Thực phẩm &amp; Đồ uống, Vận chuyển / Giao nhận / Kho vận</t>
        </is>
      </c>
      <c r="K19437" t="inlineStr">
        <is>
          <t>1 - 2 Năm</t>
        </is>
      </c>
      <c r="L19437" s="8">
        <f>HYPERLINK("https://careerviet.vn/vi/tim-viec-lam/nhan-vien-dieu-phoi-logistics.35C69829.html","Xem chi tiết")</f>
        <v/>
      </c>
    </row>
    <row r="19438">
      <c r="B19438" s="9" t="n">
        <v>19436</v>
      </c>
      <c r="C19438" s="10" t="inlineStr">
        <is>
          <t>Thực Tập Sinh Thiết kế Đồ họa (Design Intern)</t>
        </is>
      </c>
      <c r="D19438" s="10" t="inlineStr">
        <is>
          <t>CÔNG TY CỔ PHẦN MAC MARKETING</t>
        </is>
      </c>
      <c r="E19438" s="10" t="inlineStr">
        <is>
          <t>Lương:Cạnh tranh</t>
        </is>
      </c>
      <c r="F19438" s="10" t="inlineStr">
        <is>
          <t>Hồ Chí Minh</t>
        </is>
      </c>
      <c r="G19438" s="10" t="inlineStr">
        <is>
          <t>25-02-2026</t>
        </is>
      </c>
      <c r="H19438" s="10" t="inlineStr">
        <is>
          <t>15/03/2026</t>
        </is>
      </c>
      <c r="I19438" s="10" t="inlineStr">
        <is>
          <t>17/03/2026</t>
        </is>
      </c>
      <c r="J19438" s="10" t="inlineStr">
        <is>
          <t>Tiếp thị / Marketing, Quảng cáo / Đối ngoại / Truyền Thông, Mỹ thuật / Nghệ thuật / Thiết kế</t>
        </is>
      </c>
      <c r="K19438" s="10" t="inlineStr">
        <is>
          <t>N/A</t>
        </is>
      </c>
      <c r="L19438" s="11">
        <f>HYPERLINK("https://careerviet.vn/vi/tim-viec-lam/thuc-tap-sinh-thiet-ke-do-hoa-design-intern.35C697A5.html","Xem chi tiết")</f>
        <v/>
      </c>
      <c r="M19438" s="10" t="n"/>
    </row>
    <row r="19439">
      <c r="B19439" s="7" t="n">
        <v>19437</v>
      </c>
      <c r="C19439" t="inlineStr">
        <is>
          <t>Fullstack Developer (NodeJs)</t>
        </is>
      </c>
      <c r="D19439" t="inlineStr">
        <is>
          <t>Công Ty TNHH Tập Đoàn Rita Võ</t>
        </is>
      </c>
      <c r="E19439" t="inlineStr">
        <is>
          <t>Lương:Cạnh tranh</t>
        </is>
      </c>
      <c r="F19439" t="inlineStr">
        <is>
          <t>Hồ Chí Minh</t>
        </is>
      </c>
      <c r="G19439" t="inlineStr">
        <is>
          <t>25-03-2026</t>
        </is>
      </c>
      <c r="H19439" t="inlineStr">
        <is>
          <t>25/03/2026</t>
        </is>
      </c>
      <c r="I19439" t="inlineStr">
        <is>
          <t>17/03/2026</t>
        </is>
      </c>
      <c r="J19439" t="inlineStr">
        <is>
          <t>CNTT - Phần mềm</t>
        </is>
      </c>
      <c r="K19439" t="inlineStr">
        <is>
          <t>3 - 6 Năm</t>
        </is>
      </c>
      <c r="L19439" s="8">
        <f>HYPERLINK("https://careerviet.vn/vi/tim-viec-lam/fullstack-developer-nodejs.35C69811.html","Xem chi tiết")</f>
        <v/>
      </c>
    </row>
    <row r="19440">
      <c r="B19440" s="9" t="n">
        <v>19438</v>
      </c>
      <c r="C19440" s="10" t="inlineStr">
        <is>
          <t>Kế toán trưởng (Làm Việc Tại Tiền Giang)</t>
        </is>
      </c>
      <c r="D19440" s="10" t="inlineStr">
        <is>
          <t>CÔNG TY CỔ PHẦN NHỰA TÁI CHẾ DUY TÂN</t>
        </is>
      </c>
      <c r="E19440" s="10" t="inlineStr">
        <is>
          <t>Lương:20 Tr - 30 Tr VND</t>
        </is>
      </c>
      <c r="F19440" s="10" t="inlineStr">
        <is>
          <t>Tiền Giang</t>
        </is>
      </c>
      <c r="G19440" s="10" t="inlineStr">
        <is>
          <t>25-02-2026</t>
        </is>
      </c>
      <c r="H19440" s="10" t="inlineStr">
        <is>
          <t>28/02/2026</t>
        </is>
      </c>
      <c r="I19440" s="10" t="inlineStr">
        <is>
          <t>17/03/2026</t>
        </is>
      </c>
      <c r="J19440" s="10" t="inlineStr">
        <is>
          <t>Kế toán / Kiểm toán, Tài chính / Đầu tư, Ngành khác</t>
        </is>
      </c>
      <c r="K19440" s="10" t="inlineStr">
        <is>
          <t>2 - 5 Năm</t>
        </is>
      </c>
      <c r="L19440" s="11">
        <f>HYPERLINK("https://careerviet.vn/vi/tim-viec-lam/ke-toan-truong-lam-viec-tai-tien-giang.35C68BCF.html","Xem chi tiết")</f>
        <v/>
      </c>
      <c r="M19440" s="10" t="n"/>
    </row>
    <row r="19441">
      <c r="B19441" s="7" t="n">
        <v>19439</v>
      </c>
      <c r="C19441" t="inlineStr">
        <is>
          <t>Nhân viên nhãn hàng (Brand Marketing Executive)</t>
        </is>
      </c>
      <c r="D19441" t="inlineStr">
        <is>
          <t>Cty CP Kỹ Nghệ Thực Phẩm Việt Nam - VIFON</t>
        </is>
      </c>
      <c r="E19441" t="inlineStr">
        <is>
          <t>Lương:16 Tr - 20 Tr VND</t>
        </is>
      </c>
      <c r="F19441" t="inlineStr">
        <is>
          <t>Hồ Chí Minh</t>
        </is>
      </c>
      <c r="G19441" t="inlineStr">
        <is>
          <t>30-04-2026</t>
        </is>
      </c>
      <c r="H19441" t="inlineStr">
        <is>
          <t>30/04/2026</t>
        </is>
      </c>
      <c r="I19441" t="inlineStr">
        <is>
          <t>17/03/2026</t>
        </is>
      </c>
      <c r="J19441" t="inlineStr">
        <is>
          <t>Tiếp thị / Marketing</t>
        </is>
      </c>
      <c r="K19441" t="inlineStr">
        <is>
          <t>1 - 2 Năm</t>
        </is>
      </c>
      <c r="L19441" s="8">
        <f>HYPERLINK("https://careerviet.vn/vi/tim-viec-lam/nhan-vien-nhan-hang-brand-marketing-executive.35C697A8.html","Xem chi tiết")</f>
        <v/>
      </c>
    </row>
    <row r="19442">
      <c r="B19442" s="9" t="n">
        <v>19440</v>
      </c>
      <c r="C19442" s="10" t="inlineStr">
        <is>
          <t>SALES ADMIN</t>
        </is>
      </c>
      <c r="D19442" s="10" t="inlineStr">
        <is>
          <t>CÔNG TY TNHH TENTAMUS VIỆT NAM</t>
        </is>
      </c>
      <c r="E19442" s="10" t="inlineStr">
        <is>
          <t>Lương:Cạnh tranh</t>
        </is>
      </c>
      <c r="F19442" s="10" t="inlineStr">
        <is>
          <t>Hồ Chí Minh</t>
        </is>
      </c>
      <c r="G19442" s="10" t="inlineStr">
        <is>
          <t>31-03-2026</t>
        </is>
      </c>
      <c r="H19442" s="10" t="inlineStr">
        <is>
          <t>31/03/2026</t>
        </is>
      </c>
      <c r="I19442" s="10" t="inlineStr">
        <is>
          <t>17/03/2026</t>
        </is>
      </c>
      <c r="J19442" s="10" t="inlineStr">
        <is>
          <t>Dịch vụ khách hàng, Công nghệ thực phẩm / Dinh dưỡng, Hóa học</t>
        </is>
      </c>
      <c r="K19442" s="10" t="inlineStr">
        <is>
          <t>Chưa có kinh nghiệm</t>
        </is>
      </c>
      <c r="L19442" s="11">
        <f>HYPERLINK("https://careerviet.vn/vi/tim-viec-lam/sales-admin.35C68E05.html","Xem chi tiết")</f>
        <v/>
      </c>
      <c r="M19442" s="10" t="n"/>
    </row>
    <row r="19443">
      <c r="B19443" s="7" t="n">
        <v>19441</v>
      </c>
      <c r="C19443" t="inlineStr">
        <is>
          <t>Site HSE Coordinator</t>
        </is>
      </c>
      <c r="D19443" t="inlineStr">
        <is>
          <t>Công ty TNHH Kimberly Clark Việt Nam</t>
        </is>
      </c>
      <c r="E19443" t="inlineStr">
        <is>
          <t>Lương:25 Tr - 30 Tr VND</t>
        </is>
      </c>
      <c r="F19443" t="inlineStr">
        <is>
          <t>Bình Dương</t>
        </is>
      </c>
      <c r="G19443" t="inlineStr">
        <is>
          <t>5</t>
        </is>
      </c>
      <c r="H19443" t="inlineStr">
        <is>
          <t>22/03/2026</t>
        </is>
      </c>
      <c r="I19443" t="inlineStr">
        <is>
          <t>17/03/2026</t>
        </is>
      </c>
      <c r="J19443" t="inlineStr">
        <is>
          <t>Môi trường, An toàn lao động, Xây dựng</t>
        </is>
      </c>
      <c r="K19443" t="inlineStr">
        <is>
          <t>1 - 5 Năm</t>
        </is>
      </c>
      <c r="L19443" s="8">
        <f>HYPERLINK("https://careerviet.vn/vi/tim-viec-lam/site-hse-coordinator.35C696A0.html","Xem chi tiết")</f>
        <v/>
      </c>
    </row>
    <row r="19444">
      <c r="B19444" s="9" t="n">
        <v>19442</v>
      </c>
      <c r="C19444" s="10" t="inlineStr">
        <is>
          <t>Thư ký tổng hợp</t>
        </is>
      </c>
      <c r="D19444" s="10" t="inlineStr">
        <is>
          <t>Nova Service Group - Công ty Cổ phần Tập đoàn Nova Services</t>
        </is>
      </c>
      <c r="E19444" s="10" t="inlineStr">
        <is>
          <t>Lương:18 Tr - 30 Tr VND</t>
        </is>
      </c>
      <c r="F19444" s="10" t="inlineStr">
        <is>
          <t>Hồ Chí Minh</t>
        </is>
      </c>
      <c r="G19444" s="10" t="inlineStr">
        <is>
          <t>31-03-2026</t>
        </is>
      </c>
      <c r="H19444" s="10" t="inlineStr">
        <is>
          <t>31/03/2026</t>
        </is>
      </c>
      <c r="I19444" s="10" t="inlineStr">
        <is>
          <t>17/03/2026</t>
        </is>
      </c>
      <c r="J19444" s="10" t="inlineStr">
        <is>
          <t>Hành chính / Thư ký</t>
        </is>
      </c>
      <c r="K19444" s="10" t="inlineStr">
        <is>
          <t>2 - 10 Năm</t>
        </is>
      </c>
      <c r="L19444" s="11">
        <f>HYPERLINK("https://careerviet.vn/vi/tim-viec-lam/thu-ky-tong-hop.35C69755.html","Xem chi tiết")</f>
        <v/>
      </c>
      <c r="M19444" s="10" t="n"/>
    </row>
    <row r="19445">
      <c r="B19445" s="7" t="n">
        <v>19443</v>
      </c>
      <c r="C19445" t="inlineStr">
        <is>
          <t>CHUYÊN VIÊN QA</t>
        </is>
      </c>
      <c r="D19445" t="inlineStr">
        <is>
          <t>CÔNG TY CỔ PHẦN THỰC PHẨM FRESCO</t>
        </is>
      </c>
      <c r="E19445" t="inlineStr">
        <is>
          <t>Lương:15 Tr - 18 Tr VND</t>
        </is>
      </c>
      <c r="F19445" t="inlineStr">
        <is>
          <t>Hồ Chí Minh</t>
        </is>
      </c>
      <c r="G19445" t="inlineStr">
        <is>
          <t>24-03-2026</t>
        </is>
      </c>
      <c r="H19445" t="inlineStr">
        <is>
          <t>24/03/2026</t>
        </is>
      </c>
      <c r="I19445" t="inlineStr">
        <is>
          <t>17/03/2026</t>
        </is>
      </c>
      <c r="J19445" t="inlineStr">
        <is>
          <t>Thực phẩm &amp; Đồ uống, Nhà hàng / Khách sạn, Công nghệ thực phẩm / Dinh dưỡng</t>
        </is>
      </c>
      <c r="K19445" t="inlineStr">
        <is>
          <t>3 - 4 Năm</t>
        </is>
      </c>
      <c r="L19445" s="8">
        <f>HYPERLINK("https://careerviet.vn/vi/tim-viec-lam/chuyen-vien-qa.35C69677.html","Xem chi tiết")</f>
        <v/>
      </c>
    </row>
    <row r="19446">
      <c r="B19446" s="9" t="n">
        <v>19444</v>
      </c>
      <c r="C19446" s="10" t="inlineStr">
        <is>
          <t>Chuyên viên Pháp chế</t>
        </is>
      </c>
      <c r="D19446" s="10" t="inlineStr">
        <is>
          <t>Công Ty Cổ Phần Tập Đoàn Sunshine</t>
        </is>
      </c>
      <c r="E19446" s="10" t="inlineStr">
        <is>
          <t>Lương:15 Tr - 30 Tr VND</t>
        </is>
      </c>
      <c r="F19446" s="10" t="inlineStr">
        <is>
          <t>Hồ Chí Minh</t>
        </is>
      </c>
      <c r="G19446" s="10" t="inlineStr">
        <is>
          <t>31-03-2026</t>
        </is>
      </c>
      <c r="H19446" s="10" t="inlineStr">
        <is>
          <t>31/03/2026</t>
        </is>
      </c>
      <c r="I19446" s="10" t="inlineStr">
        <is>
          <t>17/03/2026</t>
        </is>
      </c>
      <c r="J19446" s="10" t="inlineStr">
        <is>
          <t>Luật / Pháp lý, Bất động sản</t>
        </is>
      </c>
      <c r="K19446" s="10" t="inlineStr">
        <is>
          <t>2 - 5 Năm</t>
        </is>
      </c>
      <c r="L19446" s="11">
        <f>HYPERLINK("https://careerviet.vn/vi/tim-viec-lam/chuyen-vien-phap-che.35C69776.html","Xem chi tiết")</f>
        <v/>
      </c>
      <c r="M19446" s="10" t="n"/>
    </row>
    <row r="19447">
      <c r="B19447" s="7" t="n">
        <v>19445</v>
      </c>
      <c r="C19447" t="inlineStr">
        <is>
          <t>Nhân viên IT</t>
        </is>
      </c>
      <c r="D19447" t="inlineStr">
        <is>
          <t>Công Ty Cổ Phần Đầu Tư K&amp;G Việt Nam</t>
        </is>
      </c>
      <c r="E19447" t="inlineStr">
        <is>
          <t>Lương:10 Tr - 12 Tr VND</t>
        </is>
      </c>
      <c r="F19447" t="inlineStr">
        <is>
          <t>Hồ Chí Minh</t>
        </is>
      </c>
      <c r="G19447" t="inlineStr">
        <is>
          <t>31-03-2026</t>
        </is>
      </c>
      <c r="H19447" t="inlineStr">
        <is>
          <t>31/03/2026</t>
        </is>
      </c>
      <c r="I19447" t="inlineStr">
        <is>
          <t>17/03/2026</t>
        </is>
      </c>
      <c r="J19447" t="inlineStr">
        <is>
          <t>CNTT - Phần mềm, CNTT - Phần cứng / Mạng</t>
        </is>
      </c>
      <c r="K19447" t="inlineStr">
        <is>
          <t>1 - 2 Năm</t>
        </is>
      </c>
      <c r="L19447" s="8">
        <f>HYPERLINK("https://careerviet.vn/vi/tim-viec-lam/nhan-vien-it.35C69678.html","Xem chi tiết")</f>
        <v/>
      </c>
    </row>
    <row r="19448">
      <c r="B19448" s="9" t="n">
        <v>19446</v>
      </c>
      <c r="C19448" s="10" t="inlineStr">
        <is>
          <t>Nhân viên môi trường</t>
        </is>
      </c>
      <c r="D19448" s="10" t="inlineStr">
        <is>
          <t>CÔNG TY CỔ PHẦN NHỰA BÌNH MINH</t>
        </is>
      </c>
      <c r="E19448" s="10" t="inlineStr">
        <is>
          <t>Lương:11 Tr - 15 Tr VND</t>
        </is>
      </c>
      <c r="F19448" s="10" t="inlineStr">
        <is>
          <t>Hồ Chí Minh</t>
        </is>
      </c>
      <c r="G19448" s="10" t="inlineStr">
        <is>
          <t>26-03-2026</t>
        </is>
      </c>
      <c r="H19448" s="10" t="inlineStr">
        <is>
          <t>26/03/2026</t>
        </is>
      </c>
      <c r="I19448" s="10" t="inlineStr">
        <is>
          <t>17/03/2026</t>
        </is>
      </c>
      <c r="J19448" s="10" t="inlineStr">
        <is>
          <t>Môi trường</t>
        </is>
      </c>
      <c r="K19448" s="10" t="inlineStr">
        <is>
          <t>1 - 2 Năm</t>
        </is>
      </c>
      <c r="L19448" s="11">
        <f>HYPERLINK("https://careerviet.vn/vi/tim-viec-lam/nhan-vien-moi-truong.35C69668.html","Xem chi tiết")</f>
        <v/>
      </c>
      <c r="M19448" s="10" t="n"/>
    </row>
    <row r="19449">
      <c r="B19449" s="7" t="n">
        <v>19447</v>
      </c>
      <c r="C19449" t="inlineStr">
        <is>
          <t>Chuyên viên Nhân sự tổng hợp</t>
        </is>
      </c>
      <c r="D19449" t="inlineStr">
        <is>
          <t>Công ty Cổ phần Express Thành Đạt</t>
        </is>
      </c>
      <c r="E19449" t="inlineStr">
        <is>
          <t>Lương:15 Tr - 20 Tr VND</t>
        </is>
      </c>
      <c r="F19449" t="inlineStr">
        <is>
          <t>Hà Nội</t>
        </is>
      </c>
      <c r="G19449" t="inlineStr">
        <is>
          <t>27-03-2026</t>
        </is>
      </c>
      <c r="H19449" t="inlineStr">
        <is>
          <t>27/03/2026</t>
        </is>
      </c>
      <c r="I19449" t="inlineStr">
        <is>
          <t>17/03/2026</t>
        </is>
      </c>
      <c r="J19449" t="inlineStr">
        <is>
          <t>Vận chuyển / Giao nhận / Kho vận, Quản lý điều hành, Nhân sự</t>
        </is>
      </c>
      <c r="K19449" t="inlineStr">
        <is>
          <t>1 - 3 Năm</t>
        </is>
      </c>
      <c r="L19449" s="8">
        <f>HYPERLINK("https://careerviet.vn/vi/tim-viec-lam/chuyen-vien-nhan-su-tong-hop.35C663FD.html","Xem chi tiết")</f>
        <v/>
      </c>
    </row>
    <row r="19450">
      <c r="B19450" s="9" t="n">
        <v>19448</v>
      </c>
      <c r="C19450" s="10" t="inlineStr">
        <is>
          <t>CVCC Đào tạo và phát triển_TA184_ID1316</t>
        </is>
      </c>
      <c r="D19450" s="10" t="inlineStr">
        <is>
          <t>Ngân Hàng TMCP Việt Nam Thịnh Vượng - VPBANK</t>
        </is>
      </c>
      <c r="E19450" s="10" t="inlineStr">
        <is>
          <t>Lương:Cạnh tranh</t>
        </is>
      </c>
      <c r="F19450" s="10" t="inlineStr">
        <is>
          <t>Hà Nội</t>
        </is>
      </c>
      <c r="G19450" s="10" t="inlineStr">
        <is>
          <t>27-03-2026</t>
        </is>
      </c>
      <c r="H19450" s="10" t="inlineStr">
        <is>
          <t>27/03/2026</t>
        </is>
      </c>
      <c r="I19450" s="10" t="inlineStr">
        <is>
          <t>17/03/2026</t>
        </is>
      </c>
      <c r="J19450" s="10" t="inlineStr">
        <is>
          <t>Giáo dục / Đào tạo, Ngân hàng, Tài chính / Đầu tư</t>
        </is>
      </c>
      <c r="K19450" s="10" t="inlineStr">
        <is>
          <t>5 - 10 Năm</t>
        </is>
      </c>
      <c r="L19450" s="11">
        <f>HYPERLINK("https://careerviet.vn/vi/tim-viec-lam/cvcc-dao-tao-va-phat-trien_ta184_id1316.35C66897.html","Xem chi tiết")</f>
        <v/>
      </c>
      <c r="M19450" s="10" t="n"/>
    </row>
    <row r="19451">
      <c r="B19451" s="7" t="n">
        <v>19449</v>
      </c>
      <c r="C19451" t="inlineStr">
        <is>
          <t>Office Administrator</t>
        </is>
      </c>
      <c r="D19451" t="inlineStr">
        <is>
          <t>Kichietsu Bussan Co., Ltd. - Ho Chi Minh City Office</t>
        </is>
      </c>
      <c r="E19451" t="inlineStr">
        <is>
          <t>Lương:Cạnh tranh</t>
        </is>
      </c>
      <c r="F19451" t="inlineStr">
        <is>
          <t>Hồ Chí Minh</t>
        </is>
      </c>
      <c r="G19451" t="inlineStr">
        <is>
          <t>30-03-2026</t>
        </is>
      </c>
      <c r="H19451" t="inlineStr">
        <is>
          <t>30/03/2026</t>
        </is>
      </c>
      <c r="I19451" t="inlineStr">
        <is>
          <t>17/03/2026</t>
        </is>
      </c>
      <c r="J19451" t="inlineStr">
        <is>
          <t>Hành chính / Thư ký, Quản lý điều hành, Kế toán / Kiểm toán</t>
        </is>
      </c>
      <c r="K19451" t="inlineStr">
        <is>
          <t>1 - 10 Năm</t>
        </is>
      </c>
      <c r="L19451" s="8">
        <f>HYPERLINK("https://careerviet.vn/vi/tim-viec-lam/office-administrator.35C69669.html","Xem chi tiết")</f>
        <v/>
      </c>
    </row>
    <row r="19452">
      <c r="B19452" s="9" t="n">
        <v>19450</v>
      </c>
      <c r="C19452" s="10" t="inlineStr">
        <is>
          <t>Chuyên viên dự toán/CCM</t>
        </is>
      </c>
      <c r="D19452" s="10" t="inlineStr">
        <is>
          <t>Công Ty Cổ Phần VictoryCons</t>
        </is>
      </c>
      <c r="E19452" s="10" t="inlineStr">
        <is>
          <t>Lương:Cạnh tranh</t>
        </is>
      </c>
      <c r="F19452" s="10" t="inlineStr">
        <is>
          <t>Hồ Chí Minh</t>
        </is>
      </c>
      <c r="G19452" s="10" t="inlineStr">
        <is>
          <t>26-03-2026</t>
        </is>
      </c>
      <c r="H19452" s="10" t="inlineStr">
        <is>
          <t>26/03/2026</t>
        </is>
      </c>
      <c r="I19452" s="10" t="inlineStr">
        <is>
          <t>17/03/2026</t>
        </is>
      </c>
      <c r="J19452" s="10" t="inlineStr">
        <is>
          <t>Kiến trúc, Xây dựng, Bất động sản</t>
        </is>
      </c>
      <c r="K19452" s="10" t="inlineStr">
        <is>
          <t>1 - 5 Năm</t>
        </is>
      </c>
      <c r="L19452" s="11">
        <f>HYPERLINK("https://careerviet.vn/vi/tim-viec-lam/chuyen-vien-du-toan-ccm.35C63E77.html","Xem chi tiết")</f>
        <v/>
      </c>
      <c r="M19452" s="10" t="n"/>
    </row>
    <row r="19453">
      <c r="B19453" s="7" t="n">
        <v>19451</v>
      </c>
      <c r="C19453" t="inlineStr">
        <is>
          <t>Chuyên viên nhân sự</t>
        </is>
      </c>
      <c r="D19453" t="inlineStr">
        <is>
          <t>Tập Đoàn Tân Á Đại Thành</t>
        </is>
      </c>
      <c r="E19453" t="inlineStr">
        <is>
          <t>Lương:9 Tr - 11 Tr VND</t>
        </is>
      </c>
      <c r="F19453" t="inlineStr">
        <is>
          <t>Hồ Chí Minh</t>
        </is>
      </c>
      <c r="G19453" t="inlineStr">
        <is>
          <t>24-03-2026</t>
        </is>
      </c>
      <c r="H19453" t="inlineStr">
        <is>
          <t>24/03/2026</t>
        </is>
      </c>
      <c r="I19453" t="inlineStr">
        <is>
          <t>17/03/2026</t>
        </is>
      </c>
      <c r="J19453" t="inlineStr">
        <is>
          <t>Hành chính / Thư ký, Nhân sự</t>
        </is>
      </c>
      <c r="K19453" t="inlineStr">
        <is>
          <t>1 - 3 Năm</t>
        </is>
      </c>
      <c r="L19453" s="8">
        <f>HYPERLINK("https://careerviet.vn/vi/tim-viec-lam/chuyen-vien-nhan-su.35C69683.html","Xem chi tiết")</f>
        <v/>
      </c>
    </row>
    <row r="19454">
      <c r="B19454" s="9" t="n">
        <v>19452</v>
      </c>
      <c r="C19454" s="10" t="inlineStr">
        <is>
          <t>Admin Kinh doanh</t>
        </is>
      </c>
      <c r="D19454" s="10" t="inlineStr">
        <is>
          <t>Công ty TNHH Minh Hương P.N.D (thương hiệu thời trang mặc nhà cao cấp Sunfly)</t>
        </is>
      </c>
      <c r="E19454" s="10" t="inlineStr">
        <is>
          <t>Lương:Cạnh tranh</t>
        </is>
      </c>
      <c r="F19454" s="10" t="inlineStr">
        <is>
          <t>Hà Nội</t>
        </is>
      </c>
      <c r="G19454" s="10" t="inlineStr">
        <is>
          <t>27-03-2026</t>
        </is>
      </c>
      <c r="H19454" s="10" t="inlineStr">
        <is>
          <t>27/03/2026</t>
        </is>
      </c>
      <c r="I19454" s="10" t="inlineStr">
        <is>
          <t>17/03/2026</t>
        </is>
      </c>
      <c r="J19454" s="10" t="inlineStr">
        <is>
          <t>Bán lẻ / Bán sỉ, Bán hàng / Kinh doanh, Dệt may / Da giày / Thời trang</t>
        </is>
      </c>
      <c r="K19454" s="10" t="inlineStr">
        <is>
          <t>1 - 2 Năm</t>
        </is>
      </c>
      <c r="L19454" s="11">
        <f>HYPERLINK("https://careerviet.vn/vi/tim-viec-lam/admin-kinh-doanh.35C6698D.html","Xem chi tiết")</f>
        <v/>
      </c>
      <c r="M19454" s="10" t="n"/>
    </row>
    <row r="19455">
      <c r="B19455" s="7" t="n">
        <v>19453</v>
      </c>
      <c r="C19455" t="inlineStr">
        <is>
          <t>Nhân viên Tuyển dụng - Đào tạo</t>
        </is>
      </c>
      <c r="D19455" t="inlineStr">
        <is>
          <t>Công Ty TNHH Nhựa Tân Lập Thành</t>
        </is>
      </c>
      <c r="E19455" t="inlineStr">
        <is>
          <t>Lương:11 Tr - 14 Tr VND</t>
        </is>
      </c>
      <c r="F19455" t="inlineStr">
        <is>
          <t>Hồ Chí Minh</t>
        </is>
      </c>
      <c r="G19455" t="inlineStr">
        <is>
          <t>27-03-2026</t>
        </is>
      </c>
      <c r="H19455" t="inlineStr">
        <is>
          <t>27/03/2026</t>
        </is>
      </c>
      <c r="I19455" t="inlineStr">
        <is>
          <t>17/03/2026</t>
        </is>
      </c>
      <c r="J19455" t="inlineStr">
        <is>
          <t>Nhân sự, Hành chính / Thư ký, Giáo dục / Đào tạo</t>
        </is>
      </c>
      <c r="K19455" t="inlineStr">
        <is>
          <t>3 - 20 Năm</t>
        </is>
      </c>
      <c r="L19455" s="8">
        <f>HYPERLINK("https://careerviet.vn/vi/tim-viec-lam/nhan-vien-tuyen-dung-dao-tao.35C669DC.html","Xem chi tiết")</f>
        <v/>
      </c>
    </row>
    <row r="19456">
      <c r="B19456" s="9" t="n">
        <v>19454</v>
      </c>
      <c r="C19456" s="10" t="inlineStr">
        <is>
          <t>PG &amp; PB (FMCG)</t>
        </is>
      </c>
      <c r="D19456" s="10" t="inlineStr">
        <is>
          <t>CÔNG TY TNHH ZEUS TECHNOLOGY</t>
        </is>
      </c>
      <c r="E19456" s="10" t="inlineStr">
        <is>
          <t>Lương:Cạnh tranh</t>
        </is>
      </c>
      <c r="F19456" s="10" t="inlineStr">
        <is>
          <t>Hồ Chí Minh</t>
        </is>
      </c>
      <c r="G19456" s="10" t="inlineStr">
        <is>
          <t>27-03-2026</t>
        </is>
      </c>
      <c r="H19456" s="10" t="inlineStr">
        <is>
          <t>27/03/2026</t>
        </is>
      </c>
      <c r="I19456" s="10" t="inlineStr">
        <is>
          <t>17/03/2026</t>
        </is>
      </c>
      <c r="J19456" s="10" t="inlineStr">
        <is>
          <t>Bán hàng / Kinh doanh, Tư vấn, Thực phẩm &amp; Đồ uống</t>
        </is>
      </c>
      <c r="K19456" s="10" t="inlineStr">
        <is>
          <t>Chưa có kinh nghiệm</t>
        </is>
      </c>
      <c r="L19456" s="11">
        <f>HYPERLINK("https://careerviet.vn/vi/tim-viec-lam/pg-pb-fmcg.35C63FE3.html","Xem chi tiết")</f>
        <v/>
      </c>
      <c r="M19456" s="10" t="n"/>
    </row>
    <row r="19457">
      <c r="B19457" s="7" t="n">
        <v>19455</v>
      </c>
      <c r="C19457" t="inlineStr">
        <is>
          <t>Lập trình Angular (Frontend Developer)</t>
        </is>
      </c>
      <c r="D19457" t="inlineStr">
        <is>
          <t>CÔNG TY CỔ PHẦN CHỨNG KHOÁN ASEAN</t>
        </is>
      </c>
      <c r="E19457" t="inlineStr">
        <is>
          <t>Lương:Cạnh tranh</t>
        </is>
      </c>
      <c r="F19457" t="inlineStr">
        <is>
          <t>Hà Nội</t>
        </is>
      </c>
      <c r="G19457" t="inlineStr">
        <is>
          <t>27-03-2026</t>
        </is>
      </c>
      <c r="H19457" t="inlineStr">
        <is>
          <t>27/03/2026</t>
        </is>
      </c>
      <c r="I19457" t="inlineStr">
        <is>
          <t>17/03/2026</t>
        </is>
      </c>
      <c r="J19457" t="inlineStr">
        <is>
          <t>Ngân hàng, Chứng khoán, CNTT - Phần mềm</t>
        </is>
      </c>
      <c r="K19457" t="inlineStr">
        <is>
          <t>Trên 2 Năm</t>
        </is>
      </c>
      <c r="L19457" s="8">
        <f>HYPERLINK("https://careerviet.vn/vi/tim-viec-lam/lap-trinh-angular-frontend-developer.35C668E7.html","Xem chi tiết")</f>
        <v/>
      </c>
    </row>
    <row r="19458">
      <c r="B19458" s="9" t="n">
        <v>19456</v>
      </c>
      <c r="C19458" s="10" t="inlineStr">
        <is>
          <t>Leader Tuyển dụng</t>
        </is>
      </c>
      <c r="D19458" s="10" t="inlineStr">
        <is>
          <t>CÔNG TY TNHH BBQ VIỆT NAM</t>
        </is>
      </c>
      <c r="E19458" s="10" t="inlineStr">
        <is>
          <t>Lương:15 Tr - 20 Tr VND</t>
        </is>
      </c>
      <c r="F19458" s="10" t="inlineStr">
        <is>
          <t>Hà Nội</t>
        </is>
      </c>
      <c r="G19458" s="10" t="inlineStr">
        <is>
          <t>27-03-2026</t>
        </is>
      </c>
      <c r="H19458" s="10" t="inlineStr">
        <is>
          <t>27/03/2026</t>
        </is>
      </c>
      <c r="I19458" s="10" t="inlineStr">
        <is>
          <t>17/03/2026</t>
        </is>
      </c>
      <c r="J19458" s="10" t="inlineStr">
        <is>
          <t>Thực phẩm &amp; Đồ uống, Nhân sự, Nhà hàng / Khách sạn</t>
        </is>
      </c>
      <c r="K19458" s="10" t="inlineStr">
        <is>
          <t>Trên 2 Năm</t>
        </is>
      </c>
      <c r="L19458" s="11">
        <f>HYPERLINK("https://careerviet.vn/vi/tim-viec-lam/leader-tuyen-dung.35C37340.html","Xem chi tiết")</f>
        <v/>
      </c>
      <c r="M19458" s="10" t="n"/>
    </row>
    <row r="19459">
      <c r="B19459" s="7" t="n">
        <v>19457</v>
      </c>
      <c r="C19459" t="inlineStr">
        <is>
          <t>Trưởng/ Phó phòng An Toàn thông tin</t>
        </is>
      </c>
      <c r="D19459" t="inlineStr">
        <is>
          <t>CÔNG TY CỔ PHẦN CHỨNG KHOÁN ASEAN</t>
        </is>
      </c>
      <c r="E19459" t="inlineStr">
        <is>
          <t>Lương:Cạnh tranh</t>
        </is>
      </c>
      <c r="F19459" t="inlineStr">
        <is>
          <t>Hà Nội</t>
        </is>
      </c>
      <c r="G19459" t="inlineStr">
        <is>
          <t>27-03-2026</t>
        </is>
      </c>
      <c r="H19459" t="inlineStr">
        <is>
          <t>27/03/2026</t>
        </is>
      </c>
      <c r="I19459" t="inlineStr">
        <is>
          <t>17/03/2026</t>
        </is>
      </c>
      <c r="J19459" t="inlineStr">
        <is>
          <t>Chứng khoán, CNTT - Phần mềm, CNTT - Phần cứng / Mạng</t>
        </is>
      </c>
      <c r="K19459" t="inlineStr">
        <is>
          <t>5 - 10 Năm</t>
        </is>
      </c>
      <c r="L19459" s="8">
        <f>HYPERLINK("https://careerviet.vn/vi/tim-viec-lam/truong-pho-phong-an-toan-thong-tin.35C66961.html","Xem chi tiết")</f>
        <v/>
      </c>
    </row>
    <row r="19460">
      <c r="B19460" s="9" t="n">
        <v>19458</v>
      </c>
      <c r="C19460" s="10" t="inlineStr">
        <is>
          <t>Kỹ sư Dự toán Cơ điện</t>
        </is>
      </c>
      <c r="D19460" s="10" t="inlineStr">
        <is>
          <t>Công Ty Cổ Phần Thiết Kế Và Xây Dựng Giza Việt Nam</t>
        </is>
      </c>
      <c r="E19460" s="10" t="inlineStr">
        <is>
          <t>Lương:Cạnh tranh</t>
        </is>
      </c>
      <c r="F19460" s="10" t="inlineStr">
        <is>
          <t>Hà Nội</t>
        </is>
      </c>
      <c r="G19460" s="10" t="inlineStr">
        <is>
          <t>27-03-2026</t>
        </is>
      </c>
      <c r="H19460" s="10" t="inlineStr">
        <is>
          <t>27/03/2026</t>
        </is>
      </c>
      <c r="I19460" s="10" t="inlineStr">
        <is>
          <t>17/03/2026</t>
        </is>
      </c>
      <c r="J19460" s="10" t="inlineStr">
        <is>
          <t>Điện / Điện tử / Điện lạnh / Điện công nghiệp, Xây dựng</t>
        </is>
      </c>
      <c r="K19460" s="10" t="inlineStr">
        <is>
          <t>2 - 3 Năm</t>
        </is>
      </c>
      <c r="L19460" s="11">
        <f>HYPERLINK("https://careerviet.vn/vi/tim-viec-lam/ky-su-du-toan-co-dien.35C5DE7D.html","Xem chi tiết")</f>
        <v/>
      </c>
      <c r="M19460" s="10" t="n"/>
    </row>
    <row r="19461">
      <c r="B19461" s="7" t="n">
        <v>19459</v>
      </c>
      <c r="C19461" t="inlineStr">
        <is>
          <t>NHÂN VIÊN THU MUA</t>
        </is>
      </c>
      <c r="D19461" t="inlineStr">
        <is>
          <t>Công ty TNHH Olam Việt Nam</t>
        </is>
      </c>
      <c r="E19461" t="inlineStr">
        <is>
          <t>Lương:Cạnh tranh</t>
        </is>
      </c>
      <c r="F19461" t="inlineStr">
        <is>
          <t>Đồng Nai</t>
        </is>
      </c>
      <c r="G19461" t="inlineStr">
        <is>
          <t>31-03-2026</t>
        </is>
      </c>
      <c r="H19461" t="inlineStr">
        <is>
          <t>31/03/2026</t>
        </is>
      </c>
      <c r="I19461" t="inlineStr">
        <is>
          <t>17/03/2026</t>
        </is>
      </c>
      <c r="J19461" t="inlineStr">
        <is>
          <t>Vận chuyển / Giao nhận / Kho vận, Sản xuất / Vận hành sản xuất, Thu mua / Vật tư</t>
        </is>
      </c>
      <c r="K19461" t="inlineStr">
        <is>
          <t>Trên 2 Năm</t>
        </is>
      </c>
      <c r="L19461" s="8">
        <f>HYPERLINK("https://careerviet.vn/vi/tim-viec-lam/nhan-vien-thu-mua.35C695F3.html","Xem chi tiết")</f>
        <v/>
      </c>
    </row>
    <row r="19462">
      <c r="B19462" s="9" t="n">
        <v>19460</v>
      </c>
      <c r="C19462" s="10" t="inlineStr">
        <is>
          <t>Chuyên Viên Dịch Vụ Khách Hàng</t>
        </is>
      </c>
      <c r="D19462" s="10" t="inlineStr">
        <is>
          <t>CÔNG TY CỔ PHẦN CHỨNG KHOÁN ASEAN</t>
        </is>
      </c>
      <c r="E19462" s="10" t="inlineStr">
        <is>
          <t>Lương:Cạnh tranh</t>
        </is>
      </c>
      <c r="F19462" s="10" t="inlineStr">
        <is>
          <t>Hà Nội</t>
        </is>
      </c>
      <c r="G19462" s="10" t="inlineStr">
        <is>
          <t>27-03-2026</t>
        </is>
      </c>
      <c r="H19462" s="10" t="inlineStr">
        <is>
          <t>27/03/2026</t>
        </is>
      </c>
      <c r="I19462" s="10" t="inlineStr">
        <is>
          <t>17/03/2026</t>
        </is>
      </c>
      <c r="J19462" s="10" t="inlineStr">
        <is>
          <t>Dịch vụ khách hàng, Chứng khoán, Tài chính / Đầu tư</t>
        </is>
      </c>
      <c r="K19462" s="10" t="inlineStr">
        <is>
          <t>Trên 1 Năm</t>
        </is>
      </c>
      <c r="L19462" s="11">
        <f>HYPERLINK("https://careerviet.vn/vi/tim-viec-lam/chuyen-vien-dich-vu-khach-hang.35C668F2.html","Xem chi tiết")</f>
        <v/>
      </c>
      <c r="M19462" s="10" t="n"/>
    </row>
    <row r="19463">
      <c r="B19463" s="7" t="n">
        <v>19461</v>
      </c>
      <c r="C19463" t="inlineStr">
        <is>
          <t>Quản Lý Phòng Marketing/Marketing Manager (Lương Từ 25 Triệu + Hoa  Hồng Dự Án)</t>
        </is>
      </c>
      <c r="D19463" t="inlineStr">
        <is>
          <t>Công Ty Cổ Phần Dịch Vụ Địa Ốc MGV</t>
        </is>
      </c>
      <c r="E19463" t="inlineStr">
        <is>
          <t>Lương:Trên 25 Tr VND</t>
        </is>
      </c>
      <c r="F19463" t="inlineStr">
        <is>
          <t>Hồ Chí Minh</t>
        </is>
      </c>
      <c r="G19463" t="inlineStr">
        <is>
          <t>31-03-2026</t>
        </is>
      </c>
      <c r="H19463" t="inlineStr">
        <is>
          <t>31/03/2026</t>
        </is>
      </c>
      <c r="I19463" t="inlineStr">
        <is>
          <t>17/03/2026</t>
        </is>
      </c>
      <c r="J19463" t="inlineStr">
        <is>
          <t>Tiếp thị / Marketing, Quảng cáo / Đối ngoại / Truyền Thông, Bất động sản</t>
        </is>
      </c>
      <c r="K19463" t="inlineStr">
        <is>
          <t>Trên 2 Năm</t>
        </is>
      </c>
      <c r="L19463" s="8">
        <f>HYPERLINK("https://careerviet.vn/vi/tim-viec-lam/quan-ly-phong-marketing-marketing-manager-luong-tu-25-trieu-hoa-hong-du-an.35C66A06.html","Xem chi tiết")</f>
        <v/>
      </c>
    </row>
    <row r="19464">
      <c r="B19464" s="9" t="n">
        <v>19462</v>
      </c>
      <c r="C19464" s="10" t="inlineStr">
        <is>
          <t>Chuyên Viên/ Chuyên Viên Cao Cấp Pháp Chế &amp; Tuân Thủ</t>
        </is>
      </c>
      <c r="D19464" s="10" t="inlineStr">
        <is>
          <t>CÔNG TY CỔ PHẦN CHỨNG KHOÁN ASEAN</t>
        </is>
      </c>
      <c r="E19464" s="10" t="inlineStr">
        <is>
          <t>Lương:Cạnh tranh</t>
        </is>
      </c>
      <c r="F19464" s="10" t="inlineStr">
        <is>
          <t>Hà Nội</t>
        </is>
      </c>
      <c r="G19464" s="10" t="inlineStr">
        <is>
          <t>27-03-2026</t>
        </is>
      </c>
      <c r="H19464" s="10" t="inlineStr">
        <is>
          <t>27/03/2026</t>
        </is>
      </c>
      <c r="I19464" s="10" t="inlineStr">
        <is>
          <t>17/03/2026</t>
        </is>
      </c>
      <c r="J19464" s="10" t="inlineStr">
        <is>
          <t>Luật / Pháp lý, Chứng khoán, Tài chính / Đầu tư</t>
        </is>
      </c>
      <c r="K19464" s="10" t="inlineStr">
        <is>
          <t>Trên 3 Năm</t>
        </is>
      </c>
      <c r="L19464" s="11">
        <f>HYPERLINK("https://careerviet.vn/vi/tim-viec-lam/chuyen-vien-chuyen-vien-cao-cap-phap-che-tuan-thu.35C66935.html","Xem chi tiết")</f>
        <v/>
      </c>
      <c r="M19464" s="10" t="n"/>
    </row>
    <row r="19465">
      <c r="B19465" s="7" t="n">
        <v>19463</v>
      </c>
      <c r="C19465" t="inlineStr">
        <is>
          <t>Nhân viên kế toán tổng hợp - Hồ Chí Minh - Thu nhập 16.000.000 - 20.000.000</t>
        </is>
      </c>
      <c r="D19465" t="inlineStr">
        <is>
          <t>Công ty TNHH Dược Hunmed</t>
        </is>
      </c>
      <c r="E19465" t="inlineStr">
        <is>
          <t>Lương:16 Tr - 20 Tr VND</t>
        </is>
      </c>
      <c r="F19465" t="inlineStr">
        <is>
          <t>Hồ Chí Minh</t>
        </is>
      </c>
      <c r="G19465" t="inlineStr">
        <is>
          <t>27-03-2026</t>
        </is>
      </c>
      <c r="H19465" t="inlineStr">
        <is>
          <t>27/03/2026</t>
        </is>
      </c>
      <c r="I19465" t="inlineStr">
        <is>
          <t>17/03/2026</t>
        </is>
      </c>
      <c r="J19465" t="inlineStr">
        <is>
          <t>Kế toán / Kiểm toán, Ngân hàng</t>
        </is>
      </c>
      <c r="K19465" t="inlineStr">
        <is>
          <t>4 - 5 Năm</t>
        </is>
      </c>
      <c r="L19465" s="8">
        <f>HYPERLINK("https://careerviet.vn/vi/tim-viec-lam/nhan-vien-ke-toan-tong-hop-ho-chi-minh-thu-nhap-16-000-000-20-000-000.35C66868.html","Xem chi tiết")</f>
        <v/>
      </c>
    </row>
    <row r="19466">
      <c r="B19466" s="9" t="n">
        <v>19464</v>
      </c>
      <c r="C19466" s="10" t="inlineStr">
        <is>
          <t>Trưởng phòng HCNS</t>
        </is>
      </c>
      <c r="D19466" s="10" t="inlineStr">
        <is>
          <t>Viện nghiên cứu Da và giày - Dodavi</t>
        </is>
      </c>
      <c r="E19466" s="10" t="inlineStr">
        <is>
          <t>Lương:Cạnh tranh</t>
        </is>
      </c>
      <c r="F19466" s="10" t="inlineStr">
        <is>
          <t>Hà Nội</t>
        </is>
      </c>
      <c r="G19466" s="10" t="inlineStr">
        <is>
          <t>27-03-2026</t>
        </is>
      </c>
      <c r="H19466" s="10" t="inlineStr">
        <is>
          <t>27/03/2026</t>
        </is>
      </c>
      <c r="I19466" s="10" t="inlineStr">
        <is>
          <t>17/03/2026</t>
        </is>
      </c>
      <c r="J19466" s="10" t="inlineStr">
        <is>
          <t>Bán lẻ / Bán sỉ, Bán hàng / Kinh doanh, Nhân sự</t>
        </is>
      </c>
      <c r="K19466" s="10" t="inlineStr">
        <is>
          <t>3 - 5 Năm</t>
        </is>
      </c>
      <c r="L19466" s="11">
        <f>HYPERLINK("https://careerviet.vn/vi/tim-viec-lam/truong-phong-hcns.35C66A17.html","Xem chi tiết")</f>
        <v/>
      </c>
      <c r="M19466" s="10" t="n"/>
    </row>
    <row r="19467">
      <c r="B19467" s="7" t="n">
        <v>19465</v>
      </c>
      <c r="C19467" t="inlineStr">
        <is>
          <t>Kế toán giá thành</t>
        </is>
      </c>
      <c r="D19467" t="inlineStr">
        <is>
          <t>Công Ty Cổ Phần Thiết Kế Và Xây Dựng Giza Việt Nam</t>
        </is>
      </c>
      <c r="E19467" t="inlineStr">
        <is>
          <t>Lương:13 Tr - 18 Tr VND</t>
        </is>
      </c>
      <c r="F19467" t="inlineStr">
        <is>
          <t>Hà Nội</t>
        </is>
      </c>
      <c r="G19467" t="inlineStr">
        <is>
          <t>27-03-2026</t>
        </is>
      </c>
      <c r="H19467" t="inlineStr">
        <is>
          <t>27/03/2026</t>
        </is>
      </c>
      <c r="I19467" t="inlineStr">
        <is>
          <t>17/03/2026</t>
        </is>
      </c>
      <c r="J19467" t="inlineStr">
        <is>
          <t>Kế toán / Kiểm toán, Xây dựng</t>
        </is>
      </c>
      <c r="K19467" t="inlineStr">
        <is>
          <t>1 - 3 Năm</t>
        </is>
      </c>
      <c r="L19467" s="8">
        <f>HYPERLINK("https://careerviet.vn/vi/tim-viec-lam/ke-toan-gia-thanh.35C669C6.html","Xem chi tiết")</f>
        <v/>
      </c>
    </row>
    <row r="19468">
      <c r="B19468" s="9" t="n">
        <v>19466</v>
      </c>
      <c r="C19468" s="10" t="inlineStr">
        <is>
          <t>Nhân viên Bảo Trì</t>
        </is>
      </c>
      <c r="D19468" s="10" t="inlineStr">
        <is>
          <t>CÔNG TY TNHH NS MILLENNIUM VIỆT NAM</t>
        </is>
      </c>
      <c r="E19468" s="10" t="inlineStr">
        <is>
          <t>Lương:7 Tr - 15 Tr VND</t>
        </is>
      </c>
      <c r="F19468" s="10" t="inlineStr">
        <is>
          <t>Bình Dương</t>
        </is>
      </c>
      <c r="G19468" s="10" t="inlineStr">
        <is>
          <t>27-03-2026</t>
        </is>
      </c>
      <c r="H19468" s="10" t="inlineStr">
        <is>
          <t>27/03/2026</t>
        </is>
      </c>
      <c r="I19468" s="10" t="inlineStr">
        <is>
          <t>17/03/2026</t>
        </is>
      </c>
      <c r="J19468" s="10" t="inlineStr">
        <is>
          <t>Cơ khí / Ô tô / Tự động hóa, Điện / Điện tử / Điện lạnh / Điện công nghiệp, Bảo trì / Sửa chữa</t>
        </is>
      </c>
      <c r="K19468" s="10" t="inlineStr">
        <is>
          <t>Chưa có kinh nghiệm</t>
        </is>
      </c>
      <c r="L19468" s="11">
        <f>HYPERLINK("https://careerviet.vn/vi/tim-viec-lam/nhan-vien-bao-tri.35C668A5.html","Xem chi tiết")</f>
        <v/>
      </c>
      <c r="M19468" s="10" t="n"/>
    </row>
    <row r="19469">
      <c r="B19469" s="7" t="n">
        <v>19467</v>
      </c>
      <c r="C19469" t="inlineStr">
        <is>
          <t>Kỹ sư QS tại dự án</t>
        </is>
      </c>
      <c r="D19469" t="inlineStr">
        <is>
          <t>CÔNG TY CỔ PHẦN IDC ĐÔNG DƯƠNG</t>
        </is>
      </c>
      <c r="E19469" t="inlineStr">
        <is>
          <t>Lương:21 Tr - 25 Tr VND</t>
        </is>
      </c>
      <c r="F19469" t="inlineStr">
        <is>
          <t>Hà NộiHồ Chí MinhHưng Yên</t>
        </is>
      </c>
      <c r="G19469" t="inlineStr">
        <is>
          <t>27-03-2026</t>
        </is>
      </c>
      <c r="H19469" t="inlineStr">
        <is>
          <t>27/03/2026</t>
        </is>
      </c>
      <c r="I19469" t="inlineStr">
        <is>
          <t>17/03/2026</t>
        </is>
      </c>
      <c r="J19469" t="inlineStr">
        <is>
          <t>Quản lý chất lượng (QA/QC), Kiến trúc, Xây dựng</t>
        </is>
      </c>
      <c r="K19469" t="inlineStr">
        <is>
          <t>3 - 5 Năm</t>
        </is>
      </c>
      <c r="L19469" s="8">
        <f>HYPERLINK("https://careerviet.vn/vi/tim-viec-lam/ky-su-qs-tai-du-an.35C669DA.html","Xem chi tiết")</f>
        <v/>
      </c>
    </row>
    <row r="19470">
      <c r="B19470" s="9" t="n">
        <v>19468</v>
      </c>
      <c r="C19470" s="10" t="inlineStr">
        <is>
          <t>Social Executive</t>
        </is>
      </c>
      <c r="D19470" s="10" t="inlineStr">
        <is>
          <t>Beta Group</t>
        </is>
      </c>
      <c r="E19470" s="10" t="inlineStr">
        <is>
          <t>Lương:Cạnh tranh</t>
        </is>
      </c>
      <c r="F19470" s="10" t="inlineStr">
        <is>
          <t>Hồ Chí Minh</t>
        </is>
      </c>
      <c r="G19470" s="10" t="inlineStr">
        <is>
          <t>27-03-2026</t>
        </is>
      </c>
      <c r="H19470" s="10" t="inlineStr">
        <is>
          <t>27/03/2026</t>
        </is>
      </c>
      <c r="I19470" s="10" t="inlineStr">
        <is>
          <t>17/03/2026</t>
        </is>
      </c>
      <c r="J19470" s="10" t="inlineStr">
        <is>
          <t>Tiếp thị / Marketing</t>
        </is>
      </c>
      <c r="K19470" s="10" t="inlineStr">
        <is>
          <t>2 - 3 Năm</t>
        </is>
      </c>
      <c r="L19470" s="11">
        <f>HYPERLINK("https://careerviet.vn/vi/tim-viec-lam/social-executive.35C6687F.html","Xem chi tiết")</f>
        <v/>
      </c>
      <c r="M19470" s="10" t="n"/>
    </row>
    <row r="19471">
      <c r="B19471" s="7" t="n">
        <v>19469</v>
      </c>
      <c r="C19471" t="inlineStr">
        <is>
          <t>Shooting Production Executive</t>
        </is>
      </c>
      <c r="D19471" t="inlineStr">
        <is>
          <t>Vascara Group</t>
        </is>
      </c>
      <c r="E19471" t="inlineStr">
        <is>
          <t>Lương:Cạnh tranh</t>
        </is>
      </c>
      <c r="F19471" t="inlineStr">
        <is>
          <t>Hồ Chí Minh</t>
        </is>
      </c>
      <c r="G19471" t="inlineStr">
        <is>
          <t>27-03-2026</t>
        </is>
      </c>
      <c r="H19471" t="inlineStr">
        <is>
          <t>27/03/2026</t>
        </is>
      </c>
      <c r="I19471" t="inlineStr">
        <is>
          <t>17/03/2026</t>
        </is>
      </c>
      <c r="J19471" t="inlineStr">
        <is>
          <t>Quảng cáo / Đối ngoại / Truyền Thông, Dệt may / Da giày / Thời trang, Tiếp thị trực tuyến</t>
        </is>
      </c>
      <c r="K19471" t="inlineStr">
        <is>
          <t>1 - 2 Năm</t>
        </is>
      </c>
      <c r="L19471" s="8">
        <f>HYPERLINK("https://careerviet.vn/vi/tim-viec-lam/shooting-production-executive.35C668B0.html","Xem chi tiết")</f>
        <v/>
      </c>
    </row>
    <row r="19472">
      <c r="B19472" s="9" t="n">
        <v>19470</v>
      </c>
      <c r="C19472" s="10" t="inlineStr">
        <is>
          <t>Chuyên Viên FACEBOOK ADS/DIGITAL MARKETING - Phỏng Vấn Trước Tết, Đi Làm Sau Tết</t>
        </is>
      </c>
      <c r="D19472" s="10" t="inlineStr">
        <is>
          <t>CÔNG TY CỔ PHẦN GIẢI PHÁP CƠ KHÍ VNTECH</t>
        </is>
      </c>
      <c r="E19472" s="10" t="inlineStr">
        <is>
          <t>Lương:10 Tr - 15 Tr VND</t>
        </is>
      </c>
      <c r="F19472" s="10" t="inlineStr">
        <is>
          <t>Hà Nội</t>
        </is>
      </c>
      <c r="G19472" s="10" t="inlineStr">
        <is>
          <t>27-03-2026</t>
        </is>
      </c>
      <c r="H19472" s="10" t="inlineStr">
        <is>
          <t>27/03/2026</t>
        </is>
      </c>
      <c r="I19472" s="10" t="inlineStr">
        <is>
          <t>17/03/2026</t>
        </is>
      </c>
      <c r="J19472" s="10" t="inlineStr">
        <is>
          <t>Tiếp thị / Marketing, Cơ khí / Ô tô / Tự động hóa, Mỹ thuật / Nghệ thuật / Thiết kế</t>
        </is>
      </c>
      <c r="K19472" s="10" t="inlineStr">
        <is>
          <t>2 - 5 Năm</t>
        </is>
      </c>
      <c r="L19472" s="11">
        <f>HYPERLINK("https://careerviet.vn/vi/tim-viec-lam/chuyen-vien-facebook-ads-digital-marketing-phong-van-truoc-tet-di-lam-sau-tet.35C64053.html","Xem chi tiết")</f>
        <v/>
      </c>
      <c r="M19472" s="10" t="n"/>
    </row>
    <row r="19473">
      <c r="B19473" s="7" t="n">
        <v>19471</v>
      </c>
      <c r="C19473" t="inlineStr">
        <is>
          <t>NHÂN VIÊN SALE &amp; MARKETING</t>
        </is>
      </c>
      <c r="D19473" t="inlineStr">
        <is>
          <t>Công Ty TNHH J.G</t>
        </is>
      </c>
      <c r="E19473" t="inlineStr">
        <is>
          <t>Lương:Cạnh tranh</t>
        </is>
      </c>
      <c r="F19473" t="inlineStr">
        <is>
          <t>Hồ Chí Minh</t>
        </is>
      </c>
      <c r="G19473" t="inlineStr">
        <is>
          <t>27-03-2026</t>
        </is>
      </c>
      <c r="H19473" t="inlineStr">
        <is>
          <t>27/03/2026</t>
        </is>
      </c>
      <c r="I19473" t="inlineStr">
        <is>
          <t>17/03/2026</t>
        </is>
      </c>
      <c r="J19473" t="inlineStr">
        <is>
          <t>Tiếp thị / Marketing, Bán hàng / Kinh doanh, Dịch vụ khách hàng</t>
        </is>
      </c>
      <c r="K19473" t="inlineStr">
        <is>
          <t>N/A</t>
        </is>
      </c>
      <c r="L19473" s="8">
        <f>HYPERLINK("https://careerviet.vn/vi/tim-viec-lam/nhan-vien-sale-marketing.35C64032.html","Xem chi tiết")</f>
        <v/>
      </c>
    </row>
    <row r="19474">
      <c r="B19474" s="9" t="n">
        <v>19472</v>
      </c>
      <c r="C19474" s="10" t="inlineStr">
        <is>
          <t>Chuyên viên/ CVCC/ Chuyên Gia Ngân Hàng Đầu Tư</t>
        </is>
      </c>
      <c r="D19474" s="10" t="inlineStr">
        <is>
          <t>CÔNG TY CỔ PHẦN CHỨNG KHOÁN ASEAN</t>
        </is>
      </c>
      <c r="E19474" s="10" t="inlineStr">
        <is>
          <t>Lương:Cạnh tranh</t>
        </is>
      </c>
      <c r="F19474" s="10" t="inlineStr">
        <is>
          <t>Hà Nội</t>
        </is>
      </c>
      <c r="G19474" s="10" t="inlineStr">
        <is>
          <t>27-03-2026</t>
        </is>
      </c>
      <c r="H19474" s="10" t="inlineStr">
        <is>
          <t>27/03/2026</t>
        </is>
      </c>
      <c r="I19474" s="10" t="inlineStr">
        <is>
          <t>17/03/2026</t>
        </is>
      </c>
      <c r="J19474" s="10" t="inlineStr">
        <is>
          <t>Ngân hàng, Chứng khoán, Tài chính / Đầu tư</t>
        </is>
      </c>
      <c r="K19474" s="10" t="inlineStr">
        <is>
          <t>Trên 3 Năm</t>
        </is>
      </c>
      <c r="L19474" s="11">
        <f>HYPERLINK("https://careerviet.vn/vi/tim-viec-lam/chuyen-vien-cvcc-chuyen-gia-ngan-hang-dau-tu.35C6696C.html","Xem chi tiết")</f>
        <v/>
      </c>
      <c r="M19474" s="10" t="n"/>
    </row>
    <row r="19475">
      <c r="B19475" s="7" t="n">
        <v>19473</v>
      </c>
      <c r="C19475" t="inlineStr">
        <is>
          <t>Export Sales - Durian</t>
        </is>
      </c>
      <c r="D19475" t="inlineStr">
        <is>
          <t>Công ty cổ phần Nafoods Group</t>
        </is>
      </c>
      <c r="E19475" t="inlineStr">
        <is>
          <t>Lương:Cạnh tranh</t>
        </is>
      </c>
      <c r="F19475" t="inlineStr">
        <is>
          <t>Hồ Chí Minh</t>
        </is>
      </c>
      <c r="G19475" t="inlineStr">
        <is>
          <t>27-03-2026</t>
        </is>
      </c>
      <c r="H19475" t="inlineStr">
        <is>
          <t>27/03/2026</t>
        </is>
      </c>
      <c r="I19475" t="inlineStr">
        <is>
          <t>17/03/2026</t>
        </is>
      </c>
      <c r="J19475" t="inlineStr">
        <is>
          <t>Bán hàng / Kinh doanh, Thực phẩm &amp; Đồ uống, Xuất nhập khẩu</t>
        </is>
      </c>
      <c r="K19475" t="inlineStr">
        <is>
          <t>2 - 3 Năm</t>
        </is>
      </c>
      <c r="L19475" s="8">
        <f>HYPERLINK("https://careerviet.vn/vi/tim-viec-lam/export-sales-durian.35C64007.html","Xem chi tiết")</f>
        <v/>
      </c>
    </row>
    <row r="19476">
      <c r="B19476" s="9" t="n">
        <v>19474</v>
      </c>
      <c r="C19476" s="10" t="inlineStr">
        <is>
          <t>Trưởng phòng kinh doanh</t>
        </is>
      </c>
      <c r="D19476" s="10" t="inlineStr">
        <is>
          <t>Công Ty Cổ Phần Dịch Vụ Nhà Sạch</t>
        </is>
      </c>
      <c r="E19476" s="10" t="inlineStr">
        <is>
          <t>Lương:40 Tr - 45 Tr VND</t>
        </is>
      </c>
      <c r="F19476" s="10" t="inlineStr">
        <is>
          <t>Hồ Chí Minh</t>
        </is>
      </c>
      <c r="G19476" s="10" t="inlineStr">
        <is>
          <t>27-03-2026</t>
        </is>
      </c>
      <c r="H19476" s="10" t="inlineStr">
        <is>
          <t>27/03/2026</t>
        </is>
      </c>
      <c r="I19476" s="10" t="inlineStr">
        <is>
          <t>17/03/2026</t>
        </is>
      </c>
      <c r="J19476" s="10" t="inlineStr">
        <is>
          <t>Tiếp thị / Marketing, Bán hàng / Kinh doanh, An Ninh / Bảo Vệ</t>
        </is>
      </c>
      <c r="K19476" s="10" t="inlineStr">
        <is>
          <t>8 - 9 Năm</t>
        </is>
      </c>
      <c r="L19476" s="11">
        <f>HYPERLINK("https://careerviet.vn/vi/tim-viec-lam/truong-phong-kinh-doanh.35C63FEE.html","Xem chi tiết")</f>
        <v/>
      </c>
      <c r="M19476" s="10" t="n"/>
    </row>
    <row r="19477">
      <c r="B19477" s="7" t="n">
        <v>19475</v>
      </c>
      <c r="C19477" t="inlineStr">
        <is>
          <t>TRỢ LÝ KHU VỰC BIẾT TIẾNG TRUNG</t>
        </is>
      </c>
      <c r="D19477" t="inlineStr">
        <is>
          <t>CÔNG TY TNHH YIMI J&amp;T CARGO TRANSPORTATION</t>
        </is>
      </c>
      <c r="E19477" t="inlineStr">
        <is>
          <t>Lương:18 Tr - 25 Tr VND</t>
        </is>
      </c>
      <c r="F19477" t="inlineStr">
        <is>
          <t>Hồ Chí MinhBắc NinhLong An</t>
        </is>
      </c>
      <c r="G19477" t="inlineStr">
        <is>
          <t>27-03-2026</t>
        </is>
      </c>
      <c r="H19477" t="inlineStr">
        <is>
          <t>27/03/2026</t>
        </is>
      </c>
      <c r="I19477" t="inlineStr">
        <is>
          <t>17/03/2026</t>
        </is>
      </c>
      <c r="J19477" t="inlineStr">
        <is>
          <t>Biên phiên dịch, Hành chính / Thư ký</t>
        </is>
      </c>
      <c r="K19477" t="inlineStr">
        <is>
          <t>1 - 3 Năm</t>
        </is>
      </c>
      <c r="L19477" s="8">
        <f>HYPERLINK("https://careerviet.vn/vi/tim-viec-lam/tro-ly-khu-vuc-biet-tieng-trung.35C66915.html","Xem chi tiết")</f>
        <v/>
      </c>
    </row>
    <row r="19478">
      <c r="B19478" s="9" t="n">
        <v>19476</v>
      </c>
      <c r="C19478" s="10" t="inlineStr">
        <is>
          <t>Finance &amp; Accounting Staff</t>
        </is>
      </c>
      <c r="D19478" s="10" t="inlineStr">
        <is>
          <t>Công Ty TNHH Red Bull (Việt Nam)</t>
        </is>
      </c>
      <c r="E19478" s="10" t="inlineStr">
        <is>
          <t>Lương:Cạnh tranh</t>
        </is>
      </c>
      <c r="F19478" s="10" t="inlineStr">
        <is>
          <t>Hồ Chí MinhBình DươngĐồng Nai</t>
        </is>
      </c>
      <c r="G19478" s="10" t="inlineStr">
        <is>
          <t>27-03-2026</t>
        </is>
      </c>
      <c r="H19478" s="10" t="inlineStr">
        <is>
          <t>27/03/2026</t>
        </is>
      </c>
      <c r="I19478" s="10" t="inlineStr">
        <is>
          <t>17/03/2026</t>
        </is>
      </c>
      <c r="J19478" s="10" t="inlineStr">
        <is>
          <t>Kế toán / Kiểm toán</t>
        </is>
      </c>
      <c r="K19478" s="10" t="inlineStr">
        <is>
          <t>Trên 1 Năm</t>
        </is>
      </c>
      <c r="L19478" s="11">
        <f>HYPERLINK("https://careerviet.vn/vi/tim-viec-lam/finance-accounting-staff.35C6691B.html","Xem chi tiết")</f>
        <v/>
      </c>
      <c r="M19478" s="10" t="n"/>
    </row>
    <row r="19479">
      <c r="B19479" s="7" t="n">
        <v>19477</v>
      </c>
      <c r="C19479" t="inlineStr">
        <is>
          <t>Chuyên viên Cao cấp Tổ chức Cung ứng - Máy móc, kỹ thuật, IT</t>
        </is>
      </c>
      <c r="D19479" t="inlineStr">
        <is>
          <t>Nova Service Group - Công ty Cổ phần Tập đoàn Nova Services</t>
        </is>
      </c>
      <c r="E19479" t="inlineStr">
        <is>
          <t>Lương:Cạnh tranh</t>
        </is>
      </c>
      <c r="F19479" t="inlineStr">
        <is>
          <t>Hồ Chí Minh</t>
        </is>
      </c>
      <c r="G19479" t="inlineStr">
        <is>
          <t>27-03-2026</t>
        </is>
      </c>
      <c r="H19479" t="inlineStr">
        <is>
          <t>27/03/2026</t>
        </is>
      </c>
      <c r="I19479" t="inlineStr">
        <is>
          <t>17/03/2026</t>
        </is>
      </c>
      <c r="J19479" t="inlineStr">
        <is>
          <t>Bảo trì / Sửa chữa, CNTT - Phần mềm, Thu mua / Vật tư</t>
        </is>
      </c>
      <c r="K19479" t="inlineStr">
        <is>
          <t>3 - 5 Năm</t>
        </is>
      </c>
      <c r="L19479" s="8">
        <f>HYPERLINK("https://careerviet.vn/vi/tim-viec-lam/chuyen-vien-cao-cap-to-chuc-cung-ung-may-moc-ky-thuat-it.35C669F5.html","Xem chi tiết")</f>
        <v/>
      </c>
    </row>
    <row r="19480">
      <c r="B19480" s="9" t="n">
        <v>19478</v>
      </c>
      <c r="C19480" s="10" t="inlineStr">
        <is>
          <t>Call Center Leader</t>
        </is>
      </c>
      <c r="D19480" s="10" t="inlineStr">
        <is>
          <t>Công ty Cổ phần Sữa VitaDairy Việt Nam</t>
        </is>
      </c>
      <c r="E19480" s="10" t="inlineStr">
        <is>
          <t>Lương:Cạnh tranh</t>
        </is>
      </c>
      <c r="F19480" s="10" t="inlineStr">
        <is>
          <t>Hồ Chí Minh</t>
        </is>
      </c>
      <c r="G19480" s="10" t="inlineStr">
        <is>
          <t>27-03-2026</t>
        </is>
      </c>
      <c r="H19480" s="10" t="inlineStr">
        <is>
          <t>27/03/2026</t>
        </is>
      </c>
      <c r="I19480" s="10" t="inlineStr">
        <is>
          <t>17/03/2026</t>
        </is>
      </c>
      <c r="J19480" s="10" t="inlineStr">
        <is>
          <t>Tiếp thị / Marketing, Y tế / Chăm sóc sức khỏe / Thẩm mỹ / Làm đẹp, Dịch vụ khách hàng</t>
        </is>
      </c>
      <c r="K19480" s="10" t="inlineStr">
        <is>
          <t>Trên 3 Năm</t>
        </is>
      </c>
      <c r="L19480" s="11">
        <f>HYPERLINK("https://careerviet.vn/vi/tim-viec-lam/call-center-leader.35C668FD.html","Xem chi tiết")</f>
        <v/>
      </c>
      <c r="M19480" s="10" t="n"/>
    </row>
    <row r="19481">
      <c r="B19481" s="7" t="n">
        <v>19479</v>
      </c>
      <c r="C19481" t="inlineStr">
        <is>
          <t>E&amp;I Engineer</t>
        </is>
      </c>
      <c r="D19481" t="inlineStr">
        <is>
          <t>PTSC Offshore Services (POS)</t>
        </is>
      </c>
      <c r="E19481" t="inlineStr">
        <is>
          <t>Lương:Cạnh tranh</t>
        </is>
      </c>
      <c r="F19481" t="inlineStr">
        <is>
          <t>Bà Rịa - Vũng Tàu</t>
        </is>
      </c>
      <c r="G19481" t="inlineStr">
        <is>
          <t>27-03-2026</t>
        </is>
      </c>
      <c r="H19481" t="inlineStr">
        <is>
          <t>27/03/2026</t>
        </is>
      </c>
      <c r="I19481" t="inlineStr">
        <is>
          <t>17/03/2026</t>
        </is>
      </c>
      <c r="J19481" t="inlineStr">
        <is>
          <t>Dầu khí, Điện / Điện tử / Điện lạnh / Điện công nghiệp, Xây dựng</t>
        </is>
      </c>
      <c r="K19481" t="inlineStr">
        <is>
          <t>Trên 3 Năm</t>
        </is>
      </c>
      <c r="L19481" s="8">
        <f>HYPERLINK("https://careerviet.vn/vi/tim-viec-lam/e-i-engineer.35C6400D.html","Xem chi tiết")</f>
        <v/>
      </c>
    </row>
    <row r="19482">
      <c r="B19482" s="9" t="n">
        <v>19480</v>
      </c>
      <c r="C19482" s="10" t="inlineStr">
        <is>
          <t>KỸ THUẬT VIÊN PHỤC HỒI CHỨC NĂNG/ VẬT LÝ TRỊ LIỆU</t>
        </is>
      </c>
      <c r="D19482" s="10" t="inlineStr">
        <is>
          <t>CÔNG TY CỔ PHẦN AGENTA2Z</t>
        </is>
      </c>
      <c r="E19482" s="10" t="inlineStr">
        <is>
          <t>Lương:Trên 16 Tr VND</t>
        </is>
      </c>
      <c r="F19482" s="10" t="inlineStr">
        <is>
          <t>Hồ Chí Minh</t>
        </is>
      </c>
      <c r="G19482" s="10" t="inlineStr">
        <is>
          <t>27-03-2026</t>
        </is>
      </c>
      <c r="H19482" s="10" t="inlineStr">
        <is>
          <t>27/03/2026</t>
        </is>
      </c>
      <c r="I19482" s="10" t="inlineStr">
        <is>
          <t>17/03/2026</t>
        </is>
      </c>
      <c r="J19482" s="10" t="inlineStr">
        <is>
          <t>Y tế / Chăm sóc sức khỏe / Thẩm mỹ / Làm đẹp</t>
        </is>
      </c>
      <c r="K19482" s="10" t="inlineStr">
        <is>
          <t>Chưa có kinh nghiệm</t>
        </is>
      </c>
      <c r="L19482" s="11">
        <f>HYPERLINK("https://careerviet.vn/vi/tim-viec-lam/ky-thuat-vien-phuc-hoi-chuc-nang-vat-ly-tri-lieu.35C64047.html","Xem chi tiết")</f>
        <v/>
      </c>
      <c r="M19482" s="10" t="n"/>
    </row>
    <row r="19483">
      <c r="B19483" s="7" t="n">
        <v>19481</v>
      </c>
      <c r="C19483" t="inlineStr">
        <is>
          <t>Procurement Executive</t>
        </is>
      </c>
      <c r="D19483" t="inlineStr">
        <is>
          <t>CÔNG TY CỔ PHẦN GREMSY</t>
        </is>
      </c>
      <c r="E19483" t="inlineStr">
        <is>
          <t>Lương:Cạnh tranh</t>
        </is>
      </c>
      <c r="F19483" t="inlineStr">
        <is>
          <t>Hồ Chí Minh</t>
        </is>
      </c>
      <c r="G19483" t="inlineStr">
        <is>
          <t>27-03-2026</t>
        </is>
      </c>
      <c r="H19483" t="inlineStr">
        <is>
          <t>27/03/2026</t>
        </is>
      </c>
      <c r="I19483" t="inlineStr">
        <is>
          <t>17/03/2026</t>
        </is>
      </c>
      <c r="J19483" t="inlineStr">
        <is>
          <t>Thu mua / Vật tư</t>
        </is>
      </c>
      <c r="K19483" t="inlineStr">
        <is>
          <t>1 - 3 Năm</t>
        </is>
      </c>
      <c r="L19483" s="8">
        <f>HYPERLINK("https://careerviet.vn/vi/tim-viec-lam/procurement-executive.35C66860.html","Xem chi tiết")</f>
        <v/>
      </c>
    </row>
    <row r="19484">
      <c r="B19484" s="9" t="n">
        <v>19482</v>
      </c>
      <c r="C19484" s="10" t="inlineStr">
        <is>
          <t>Structural Engineer</t>
        </is>
      </c>
      <c r="D19484" s="10" t="inlineStr">
        <is>
          <t>PTSC Offshore Services (POS)</t>
        </is>
      </c>
      <c r="E19484" s="10" t="inlineStr">
        <is>
          <t>Lương:Cạnh tranh</t>
        </is>
      </c>
      <c r="F19484" s="10" t="inlineStr">
        <is>
          <t>Bà Rịa - Vũng Tàu</t>
        </is>
      </c>
      <c r="G19484" s="10" t="inlineStr">
        <is>
          <t>27-03-2026</t>
        </is>
      </c>
      <c r="H19484" s="10" t="inlineStr">
        <is>
          <t>27/03/2026</t>
        </is>
      </c>
      <c r="I19484" s="10" t="inlineStr">
        <is>
          <t>17/03/2026</t>
        </is>
      </c>
      <c r="J19484" s="10" t="inlineStr">
        <is>
          <t>Dầu khí, Kiến trúc, Xây dựng</t>
        </is>
      </c>
      <c r="K19484" s="10" t="inlineStr">
        <is>
          <t>Trên 3 Năm</t>
        </is>
      </c>
      <c r="L19484" s="11">
        <f>HYPERLINK("https://careerviet.vn/vi/tim-viec-lam/structural-engineer.35C64009.html","Xem chi tiết")</f>
        <v/>
      </c>
      <c r="M19484" s="10" t="n"/>
    </row>
    <row r="19485">
      <c r="B19485" s="7" t="n">
        <v>19483</v>
      </c>
      <c r="C19485" t="inlineStr">
        <is>
          <t>Nhân Viên Livestrem Part - Time Hàng Gia Dụng</t>
        </is>
      </c>
      <c r="D19485" t="inlineStr">
        <is>
          <t>JoyMall - Nhà Phân Phối Locknlock</t>
        </is>
      </c>
      <c r="E19485" t="inlineStr">
        <is>
          <t>Lương:5 Tr - 7 Tr VND</t>
        </is>
      </c>
      <c r="F19485" t="inlineStr">
        <is>
          <t>Hồ Chí Minh</t>
        </is>
      </c>
      <c r="G19485" t="inlineStr">
        <is>
          <t>27-03-2026</t>
        </is>
      </c>
      <c r="H19485" t="inlineStr">
        <is>
          <t>27/03/2026</t>
        </is>
      </c>
      <c r="I19485" t="inlineStr">
        <is>
          <t>17/03/2026</t>
        </is>
      </c>
      <c r="J19485" t="inlineStr">
        <is>
          <t>Tiếp thị / Marketing, Bán hàng / Kinh doanh</t>
        </is>
      </c>
      <c r="K19485" t="inlineStr">
        <is>
          <t>Trên 1 Năm</t>
        </is>
      </c>
      <c r="L19485" s="8">
        <f>HYPERLINK("https://careerviet.vn/vi/tim-viec-lam/nhan-vien-livestrem-part-time-hang-gia-dung.35C6695A.html","Xem chi tiết")</f>
        <v/>
      </c>
    </row>
    <row r="19486">
      <c r="B19486" s="9" t="n">
        <v>19484</v>
      </c>
      <c r="C19486" s="10" t="inlineStr">
        <is>
          <t>Kế toán thuế</t>
        </is>
      </c>
      <c r="D19486" s="10" t="inlineStr">
        <is>
          <t>Công ty Di Động Việt</t>
        </is>
      </c>
      <c r="E19486" s="10" t="inlineStr">
        <is>
          <t>Lương:12 Tr - 14 Tr VND</t>
        </is>
      </c>
      <c r="F19486" s="10" t="inlineStr">
        <is>
          <t>Hồ Chí Minh</t>
        </is>
      </c>
      <c r="G19486" s="10" t="inlineStr">
        <is>
          <t>27-03-2026</t>
        </is>
      </c>
      <c r="H19486" s="10" t="inlineStr">
        <is>
          <t>27/03/2026</t>
        </is>
      </c>
      <c r="I19486" s="10" t="inlineStr">
        <is>
          <t>17/03/2026</t>
        </is>
      </c>
      <c r="J19486" s="10" t="inlineStr">
        <is>
          <t>Bán lẻ / Bán sỉ, Kế toán / Kiểm toán</t>
        </is>
      </c>
      <c r="K19486" s="10" t="inlineStr">
        <is>
          <t>1 - 3 Năm</t>
        </is>
      </c>
      <c r="L19486" s="11">
        <f>HYPERLINK("https://careerviet.vn/vi/tim-viec-lam/ke-toan-thue.35C66869.html","Xem chi tiết")</f>
        <v/>
      </c>
      <c r="M19486" s="10" t="n"/>
    </row>
    <row r="19487">
      <c r="B19487" s="7" t="n">
        <v>19485</v>
      </c>
      <c r="C19487" t="inlineStr">
        <is>
          <t>Sales Administrator</t>
        </is>
      </c>
      <c r="D19487" t="inlineStr">
        <is>
          <t>CÔNG TY TNHH NTPM (VIỆT NAM)</t>
        </is>
      </c>
      <c r="E19487" t="inlineStr">
        <is>
          <t>Lương:Cạnh tranh</t>
        </is>
      </c>
      <c r="F19487" t="inlineStr">
        <is>
          <t>Bình Dương</t>
        </is>
      </c>
      <c r="G19487" t="inlineStr">
        <is>
          <t>27-03-2026</t>
        </is>
      </c>
      <c r="H19487" t="inlineStr">
        <is>
          <t>27/03/2026</t>
        </is>
      </c>
      <c r="I19487" t="inlineStr">
        <is>
          <t>17/03/2026</t>
        </is>
      </c>
      <c r="J19487" t="inlineStr">
        <is>
          <t>Tiếp thị / Marketing, Bán hàng / Kinh doanh, Dịch vụ khách hàng</t>
        </is>
      </c>
      <c r="K19487" t="inlineStr">
        <is>
          <t>Trên 1 Năm</t>
        </is>
      </c>
      <c r="L19487" s="8">
        <f>HYPERLINK("https://careerviet.vn/vi/tim-viec-lam/sales-administrator.35C668B3.html","Xem chi tiết")</f>
        <v/>
      </c>
    </row>
    <row r="19488">
      <c r="B19488" s="9" t="n">
        <v>19486</v>
      </c>
      <c r="C19488" s="10" t="inlineStr">
        <is>
          <t>Trưởng Phòng Dự Toán</t>
        </is>
      </c>
      <c r="D19488" s="10" t="inlineStr">
        <is>
          <t>Công Ty Cổ Phần Kiến Trúc Tư Vấn Quản Lý Đông Dương</t>
        </is>
      </c>
      <c r="E19488" s="10" t="inlineStr">
        <is>
          <t>Lương:Cạnh tranh</t>
        </is>
      </c>
      <c r="F19488" s="10" t="inlineStr">
        <is>
          <t>Hồ Chí Minh</t>
        </is>
      </c>
      <c r="G19488" s="10" t="inlineStr">
        <is>
          <t>27-03-2026</t>
        </is>
      </c>
      <c r="H19488" s="10" t="inlineStr">
        <is>
          <t>27/03/2026</t>
        </is>
      </c>
      <c r="I19488" s="10" t="inlineStr">
        <is>
          <t>17/03/2026</t>
        </is>
      </c>
      <c r="J19488" s="10" t="inlineStr">
        <is>
          <t>Xây dựng, Bất động sản</t>
        </is>
      </c>
      <c r="K19488" s="10" t="inlineStr">
        <is>
          <t>10 - 20 Năm</t>
        </is>
      </c>
      <c r="L19488" s="11">
        <f>HYPERLINK("https://careerviet.vn/vi/tim-viec-lam/truong-phong-du-toan.35C66949.html","Xem chi tiết")</f>
        <v/>
      </c>
      <c r="M19488" s="10" t="n"/>
    </row>
    <row r="19489">
      <c r="B19489" s="7" t="n">
        <v>19487</v>
      </c>
      <c r="C19489" t="inlineStr">
        <is>
          <t>Assistant Brand Manager (ABM)</t>
        </is>
      </c>
      <c r="D19489" t="inlineStr">
        <is>
          <t>CÔNG TY TNHH B.PURE VIỆT NAM</t>
        </is>
      </c>
      <c r="E19489" t="inlineStr">
        <is>
          <t>Lương:15 Tr - 18 Tr VND</t>
        </is>
      </c>
      <c r="F19489" t="inlineStr">
        <is>
          <t>Hà Nội</t>
        </is>
      </c>
      <c r="G19489" t="inlineStr">
        <is>
          <t>27-03-2026</t>
        </is>
      </c>
      <c r="H19489" t="inlineStr">
        <is>
          <t>27/03/2026</t>
        </is>
      </c>
      <c r="I19489" t="inlineStr">
        <is>
          <t>17/03/2026</t>
        </is>
      </c>
      <c r="J19489" t="inlineStr">
        <is>
          <t>Hành chính / Thư ký, Tiếp thị / Marketing, Quản lý điều hành</t>
        </is>
      </c>
      <c r="K19489" t="inlineStr">
        <is>
          <t>Trên 2 Năm</t>
        </is>
      </c>
      <c r="L19489" s="8">
        <f>HYPERLINK("https://careerviet.vn/vi/tim-viec-lam/assistant-brand-manager-abm.35C66A1A.html","Xem chi tiết")</f>
        <v/>
      </c>
    </row>
    <row r="19490">
      <c r="B19490" s="9" t="n">
        <v>19488</v>
      </c>
      <c r="C19490" s="10" t="inlineStr">
        <is>
          <t>Factory Digitalization Manager</t>
        </is>
      </c>
      <c r="D19490" s="10" t="inlineStr">
        <is>
          <t>Công ty TNHH Nesta</t>
        </is>
      </c>
      <c r="E19490" s="10" t="inlineStr">
        <is>
          <t>Lương:Trên 50 Tr VND</t>
        </is>
      </c>
      <c r="F19490" s="10" t="inlineStr">
        <is>
          <t>Hưng Yên</t>
        </is>
      </c>
      <c r="G19490" s="10" t="inlineStr">
        <is>
          <t>27-03-2026</t>
        </is>
      </c>
      <c r="H19490" s="10" t="inlineStr">
        <is>
          <t>27/03/2026</t>
        </is>
      </c>
      <c r="I19490" s="10" t="inlineStr">
        <is>
          <t>17/03/2026</t>
        </is>
      </c>
      <c r="J19490" s="10" t="inlineStr">
        <is>
          <t>Cơ khí / Ô tô / Tự động hóa, CNTT - Phần mềm, Sản xuất / Vận hành sản xuất</t>
        </is>
      </c>
      <c r="K19490" s="10" t="inlineStr">
        <is>
          <t>3 - 5 Năm</t>
        </is>
      </c>
      <c r="L19490" s="11">
        <f>HYPERLINK("https://careerviet.vn/vi/tim-viec-lam/factory-digitalization-manager.35C66972.html","Xem chi tiết")</f>
        <v/>
      </c>
      <c r="M19490" s="10" t="n"/>
    </row>
    <row r="19491">
      <c r="B19491" s="7" t="n">
        <v>19489</v>
      </c>
      <c r="C19491" t="inlineStr">
        <is>
          <t>(Vũng Tàu) Trưởng nhóm Kinh doanh trực tiếp</t>
        </is>
      </c>
      <c r="D19491" t="inlineStr">
        <is>
          <t>LOTTE FINANCE VIETNAM</t>
        </is>
      </c>
      <c r="E19491" t="inlineStr">
        <is>
          <t>Lương:Cạnh tranh</t>
        </is>
      </c>
      <c r="F19491" t="inlineStr">
        <is>
          <t>Bà Rịa - Vũng Tàu</t>
        </is>
      </c>
      <c r="G19491" t="inlineStr">
        <is>
          <t>27-03-2026</t>
        </is>
      </c>
      <c r="H19491" t="inlineStr">
        <is>
          <t>27/03/2026</t>
        </is>
      </c>
      <c r="I19491" t="inlineStr">
        <is>
          <t>17/03/2026</t>
        </is>
      </c>
      <c r="J19491" t="inlineStr">
        <is>
          <t>Bán hàng / Kinh doanh</t>
        </is>
      </c>
      <c r="K19491" t="inlineStr">
        <is>
          <t>2 - 4 Năm</t>
        </is>
      </c>
      <c r="L19491" s="8">
        <f>HYPERLINK("https://careerviet.vn/vi/tim-viec-lam/vung-tau-truong-nhom-kinh-doanh-truc-tiep.35C66A40.html","Xem chi tiết")</f>
        <v/>
      </c>
    </row>
    <row r="19492">
      <c r="B19492" s="9" t="n">
        <v>19490</v>
      </c>
      <c r="C19492" s="10" t="inlineStr">
        <is>
          <t>Đại diện kinh doanh (kênh quán nhậu)</t>
        </is>
      </c>
      <c r="D19492" s="10" t="inlineStr">
        <is>
          <t>Anheuser-Busch InBev (AB InBev)</t>
        </is>
      </c>
      <c r="E19492" s="10" t="inlineStr">
        <is>
          <t>Lương:10 Tr - 17 Tr VND</t>
        </is>
      </c>
      <c r="F19492" s="10" t="inlineStr">
        <is>
          <t>Hồ Chí MinhHà NộiBình Dương</t>
        </is>
      </c>
      <c r="G19492" s="10" t="inlineStr">
        <is>
          <t>27-03-2026</t>
        </is>
      </c>
      <c r="H19492" s="10" t="inlineStr">
        <is>
          <t>27/03/2026</t>
        </is>
      </c>
      <c r="I19492" s="10" t="inlineStr">
        <is>
          <t>17/03/2026</t>
        </is>
      </c>
      <c r="J19492" s="10" t="inlineStr">
        <is>
          <t>Bán lẻ / Bán sỉ, Bán hàng / Kinh doanh, Thực phẩm &amp; Đồ uống</t>
        </is>
      </c>
      <c r="K19492" s="10" t="inlineStr">
        <is>
          <t>Trên 1 Năm</t>
        </is>
      </c>
      <c r="L19492" s="11">
        <f>HYPERLINK("https://careerviet.vn/vi/tim-viec-lam/dai-dien-kinh-doanh-kenh-quan-nhau.35C668C3.html","Xem chi tiết")</f>
        <v/>
      </c>
      <c r="M19492" s="10" t="n"/>
    </row>
    <row r="19493">
      <c r="B19493" s="7" t="n">
        <v>19491</v>
      </c>
      <c r="C19493" t="inlineStr">
        <is>
          <t>Nhân Viên Tư Vấn Tuyển Sinh</t>
        </is>
      </c>
      <c r="D19493" t="inlineStr">
        <is>
          <t>CÔNG TY CỔ PHẦN CÔNG NGHỆ PREP</t>
        </is>
      </c>
      <c r="E19493" t="inlineStr">
        <is>
          <t>Lương:18 Tr - 30 Tr VND</t>
        </is>
      </c>
      <c r="F19493" t="inlineStr">
        <is>
          <t>Hà Nội</t>
        </is>
      </c>
      <c r="G19493" t="inlineStr">
        <is>
          <t>27-03-2026</t>
        </is>
      </c>
      <c r="H19493" t="inlineStr">
        <is>
          <t>27/03/2026</t>
        </is>
      </c>
      <c r="I19493" t="inlineStr">
        <is>
          <t>17/03/2026</t>
        </is>
      </c>
      <c r="J19493" t="inlineStr">
        <is>
          <t>Tư vấn, Giáo dục / Đào tạo, Bán hàng / Kinh doanh</t>
        </is>
      </c>
      <c r="K19493" t="inlineStr">
        <is>
          <t>Lên đến 1 Năm</t>
        </is>
      </c>
      <c r="L19493" s="8">
        <f>HYPERLINK("https://careerviet.vn/vi/tim-viec-lam/nhan-vien-tu-van-tuyen-sinh.35C66A2F.html","Xem chi tiết")</f>
        <v/>
      </c>
    </row>
    <row r="19494">
      <c r="B19494" s="9" t="n">
        <v>19492</v>
      </c>
      <c r="C19494" s="10" t="inlineStr">
        <is>
          <t>Trưởng nhóm Media</t>
        </is>
      </c>
      <c r="D19494" s="10" t="inlineStr">
        <is>
          <t>HỆ THỐNG KÍNH MẮT ANNA</t>
        </is>
      </c>
      <c r="E19494" s="10" t="inlineStr">
        <is>
          <t>Lương:15 Tr - 18 Tr VND</t>
        </is>
      </c>
      <c r="F19494" s="10" t="inlineStr">
        <is>
          <t>Hà Nội</t>
        </is>
      </c>
      <c r="G19494" s="10" t="inlineStr">
        <is>
          <t>27-03-2026</t>
        </is>
      </c>
      <c r="H19494" s="10" t="inlineStr">
        <is>
          <t>27/03/2026</t>
        </is>
      </c>
      <c r="I19494" s="10" t="inlineStr">
        <is>
          <t>17/03/2026</t>
        </is>
      </c>
      <c r="J19494" s="10" t="inlineStr">
        <is>
          <t>Tiếp thị / Marketing</t>
        </is>
      </c>
      <c r="K19494" s="10" t="inlineStr">
        <is>
          <t>Trên 2 Năm</t>
        </is>
      </c>
      <c r="L19494" s="11">
        <f>HYPERLINK("https://careerviet.vn/vi/tim-viec-lam/truong-nhom-media.35C66896.html","Xem chi tiết")</f>
        <v/>
      </c>
      <c r="M19494" s="10" t="n"/>
    </row>
    <row r="19495">
      <c r="B19495" s="7" t="n">
        <v>19493</v>
      </c>
      <c r="C19495" t="inlineStr">
        <is>
          <t>Nhân Viên Digital Marketing</t>
        </is>
      </c>
      <c r="D19495" t="inlineStr">
        <is>
          <t>CÔNG TY TNHH DƯỢC PHẨM ĐÔNG ĐÔ</t>
        </is>
      </c>
      <c r="E19495" t="inlineStr">
        <is>
          <t>Lương:10 Tr - 15 Tr VND</t>
        </is>
      </c>
      <c r="F19495" t="inlineStr">
        <is>
          <t>Hà Nội</t>
        </is>
      </c>
      <c r="G19495" t="inlineStr">
        <is>
          <t>27-03-2026</t>
        </is>
      </c>
      <c r="H19495" t="inlineStr">
        <is>
          <t>27/03/2026</t>
        </is>
      </c>
      <c r="I19495" t="inlineStr">
        <is>
          <t>17/03/2026</t>
        </is>
      </c>
      <c r="J19495" t="inlineStr">
        <is>
          <t>Tiếp thị / Marketing, Quảng cáo / Đối ngoại / Truyền Thông, Truyền hình / Báo chí / Biên tập</t>
        </is>
      </c>
      <c r="K19495" t="inlineStr">
        <is>
          <t>Trên 1 Năm</t>
        </is>
      </c>
      <c r="L19495" s="8">
        <f>HYPERLINK("https://careerviet.vn/vi/tim-viec-lam/nhan-vien-digital-marketing.35C669AE.html","Xem chi tiết")</f>
        <v/>
      </c>
    </row>
    <row r="19496">
      <c r="B19496" s="9" t="n">
        <v>19494</v>
      </c>
      <c r="C19496" s="10" t="inlineStr">
        <is>
          <t>Senior Officer, Underwriting (Techcom Life)</t>
        </is>
      </c>
      <c r="D19496" s="10" t="inlineStr">
        <is>
          <t>NGÂN HÀNG TMCP KỸ THƯƠNG VIỆT NAM (TECHCOMBANK)</t>
        </is>
      </c>
      <c r="E19496" s="10" t="inlineStr">
        <is>
          <t>Lương:Cạnh tranh</t>
        </is>
      </c>
      <c r="F19496" s="10" t="inlineStr">
        <is>
          <t>Hà Nội</t>
        </is>
      </c>
      <c r="G19496" s="10" t="inlineStr">
        <is>
          <t>27-03-2026</t>
        </is>
      </c>
      <c r="H19496" s="10" t="inlineStr">
        <is>
          <t>27/03/2026</t>
        </is>
      </c>
      <c r="I19496" s="10" t="inlineStr">
        <is>
          <t>17/03/2026</t>
        </is>
      </c>
      <c r="J19496" s="10" t="inlineStr">
        <is>
          <t>Ngân hàng, Bảo hiểm, Tài chính / Đầu tư</t>
        </is>
      </c>
      <c r="K19496" s="10" t="inlineStr">
        <is>
          <t>Trên 5 Năm</t>
        </is>
      </c>
      <c r="L19496" s="11">
        <f>HYPERLINK("https://careerviet.vn/vi/tim-viec-lam/senior-officer-underwriting-techcom-life.35C66A3F.html","Xem chi tiết")</f>
        <v/>
      </c>
      <c r="M19496" s="10" t="n"/>
    </row>
    <row r="19497">
      <c r="B19497" s="7" t="n">
        <v>19495</v>
      </c>
      <c r="C19497" t="inlineStr">
        <is>
          <t>TỔ TRƯỞNG KHO DỮ LIỆU (kế toán Kho)</t>
        </is>
      </c>
      <c r="D19497" t="inlineStr">
        <is>
          <t>CÔNG TY CỔ PHẦN CHẾ BIẾN THỰC PHẨM HOÀNG SƠN</t>
        </is>
      </c>
      <c r="E19497" t="inlineStr">
        <is>
          <t>Lương:12 Tr - 15 Tr VND</t>
        </is>
      </c>
      <c r="F19497" t="inlineStr">
        <is>
          <t>Bình Dương</t>
        </is>
      </c>
      <c r="G19497" t="inlineStr">
        <is>
          <t>27-03-2026</t>
        </is>
      </c>
      <c r="H19497" t="inlineStr">
        <is>
          <t>27/03/2026</t>
        </is>
      </c>
      <c r="I19497" t="inlineStr">
        <is>
          <t>17/03/2026</t>
        </is>
      </c>
      <c r="J19497" t="inlineStr">
        <is>
          <t>Vận chuyển / Giao nhận / Kho vận, Sản xuất / Vận hành sản xuất, Công nghệ thực phẩm / Dinh dưỡng</t>
        </is>
      </c>
      <c r="K19497" t="inlineStr">
        <is>
          <t>1 - 2 Năm</t>
        </is>
      </c>
      <c r="L19497" s="8">
        <f>HYPERLINK("https://careerviet.vn/vi/tim-viec-lam/to-truong-kho-du-lieu-ke-toan-kho.35C668D0.html","Xem chi tiết")</f>
        <v/>
      </c>
    </row>
    <row r="19498">
      <c r="B19498" s="9" t="n">
        <v>19496</v>
      </c>
      <c r="C19498" s="10" t="inlineStr">
        <is>
          <t>[Phú Quốc] - Kỹ Sư/ Kỹ Thuật Viên Dịch Vụ Sửa Chữa Điều Hòa Không Khí</t>
        </is>
      </c>
      <c r="D19498" s="10" t="inlineStr">
        <is>
          <t>Daikin Air Conditioning (Vietnam) Joint Stock Company</t>
        </is>
      </c>
      <c r="E19498" s="10" t="inlineStr">
        <is>
          <t>Lương:Cạnh tranh</t>
        </is>
      </c>
      <c r="F19498" s="10" t="inlineStr">
        <is>
          <t>Kiên GiangAn Giang</t>
        </is>
      </c>
      <c r="G19498" s="10" t="inlineStr">
        <is>
          <t>27-03-2026</t>
        </is>
      </c>
      <c r="H19498" s="10" t="inlineStr">
        <is>
          <t>27/03/2026</t>
        </is>
      </c>
      <c r="I19498" s="10" t="inlineStr">
        <is>
          <t>17/03/2026</t>
        </is>
      </c>
      <c r="J19498" s="10" t="inlineStr">
        <is>
          <t>Điện / Điện tử / Điện lạnh / Điện công nghiệp</t>
        </is>
      </c>
      <c r="K19498" s="10" t="inlineStr">
        <is>
          <t>1 - 2 Năm</t>
        </is>
      </c>
      <c r="L19498" s="11">
        <f>HYPERLINK("https://careerviet.vn/vi/tim-viec-lam/phu-quoc-ky-su-ky-thuat-vien-dich-vu-sua-chua-dieu-hoa-khong-khi.35C669BC.html","Xem chi tiết")</f>
        <v/>
      </c>
      <c r="M19498" s="10" t="n"/>
    </row>
    <row r="19499">
      <c r="B19499" s="7" t="n">
        <v>19497</v>
      </c>
      <c r="C19499" t="inlineStr">
        <is>
          <t>Trưởng phòng Ngân Hàng Đầu Tư (IB)</t>
        </is>
      </c>
      <c r="D19499" t="inlineStr">
        <is>
          <t>CÔNG TY CỔ PHẦN CHỨNG KHOÁN ASEAN</t>
        </is>
      </c>
      <c r="E19499" t="inlineStr">
        <is>
          <t>Lương:Cạnh tranh</t>
        </is>
      </c>
      <c r="F19499" t="inlineStr">
        <is>
          <t>Hà Nội</t>
        </is>
      </c>
      <c r="G19499" t="inlineStr">
        <is>
          <t>27-03-2026</t>
        </is>
      </c>
      <c r="H19499" t="inlineStr">
        <is>
          <t>27/03/2026</t>
        </is>
      </c>
      <c r="I19499" t="inlineStr">
        <is>
          <t>17/03/2026</t>
        </is>
      </c>
      <c r="J19499" t="inlineStr">
        <is>
          <t>Ngân hàng, Chứng khoán, Tài chính / Đầu tư</t>
        </is>
      </c>
      <c r="K19499" t="inlineStr">
        <is>
          <t>Trên 3 Năm</t>
        </is>
      </c>
      <c r="L19499" s="8">
        <f>HYPERLINK("https://careerviet.vn/vi/tim-viec-lam/truong-phong-ngan-hang-dau-tu-ib.35C6692D.html","Xem chi tiết")</f>
        <v/>
      </c>
    </row>
    <row r="19500">
      <c r="B19500" s="9" t="n">
        <v>19498</v>
      </c>
      <c r="C19500" s="10" t="inlineStr">
        <is>
          <t>Nhân viên Thu mua - Xuất nhập khẩu</t>
        </is>
      </c>
      <c r="D19500" s="10" t="inlineStr">
        <is>
          <t>Công Ty TNHH Tokuyama Việt Nam</t>
        </is>
      </c>
      <c r="E19500" s="10" t="inlineStr">
        <is>
          <t>Lương:Cạnh tranh</t>
        </is>
      </c>
      <c r="F19500" s="10" t="inlineStr">
        <is>
          <t>Bà Rịa - Vũng Tàu</t>
        </is>
      </c>
      <c r="G19500" s="10" t="inlineStr">
        <is>
          <t>31-03-2026</t>
        </is>
      </c>
      <c r="H19500" s="10" t="inlineStr">
        <is>
          <t>31/03/2026</t>
        </is>
      </c>
      <c r="I19500" s="10" t="inlineStr">
        <is>
          <t>17/03/2026</t>
        </is>
      </c>
      <c r="J19500" s="10" t="inlineStr">
        <is>
          <t>Thu mua / Vật tư</t>
        </is>
      </c>
      <c r="K19500" s="10" t="inlineStr">
        <is>
          <t>Trên 2 Năm</t>
        </is>
      </c>
      <c r="L19500" s="11">
        <f>HYPERLINK("https://careerviet.vn/vi/tim-viec-lam/nhan-vien-thu-mua-xuat-nhap-khau.35C695FE.html","Xem chi tiết")</f>
        <v/>
      </c>
      <c r="M19500" s="10" t="n"/>
    </row>
    <row r="19501">
      <c r="B19501" s="7" t="n">
        <v>19499</v>
      </c>
      <c r="C19501" t="inlineStr">
        <is>
          <t>TRƯỞNG BAN HÀNH CHÍNH NHÂN SỰ</t>
        </is>
      </c>
      <c r="D19501" t="inlineStr">
        <is>
          <t>CÔNG TY TNHH TẬP ĐOÀN ĐỊNH AN</t>
        </is>
      </c>
      <c r="E19501" t="inlineStr">
        <is>
          <t>Lương:30 Tr - 40 Tr VND</t>
        </is>
      </c>
      <c r="F19501" t="inlineStr">
        <is>
          <t>Hà Nội</t>
        </is>
      </c>
      <c r="G19501" t="inlineStr">
        <is>
          <t>25-03-2026</t>
        </is>
      </c>
      <c r="H19501" t="inlineStr">
        <is>
          <t>25/03/2026</t>
        </is>
      </c>
      <c r="I19501" t="inlineStr">
        <is>
          <t>17/03/2026</t>
        </is>
      </c>
      <c r="J19501" t="inlineStr">
        <is>
          <t>Nhân sự, Kế toán / Kiểm toán, Hành chính / Thư ký</t>
        </is>
      </c>
      <c r="K19501" t="inlineStr">
        <is>
          <t>Trên 3 Năm</t>
        </is>
      </c>
      <c r="L19501" s="8">
        <f>HYPERLINK("https://careerviet.vn/vi/tim-viec-lam/truong-ban-hanh-chinh-nhan-su.35C0D073.html","Xem chi tiết")</f>
        <v/>
      </c>
    </row>
    <row r="19502">
      <c r="B19502" s="9" t="n">
        <v>19500</v>
      </c>
      <c r="C19502" s="10" t="inlineStr">
        <is>
          <t>Chuyên viên QS Công trình</t>
        </is>
      </c>
      <c r="D19502" s="10" t="inlineStr">
        <is>
          <t>Công Ty Cổ Phần VictoryCons</t>
        </is>
      </c>
      <c r="E19502" s="10" t="inlineStr">
        <is>
          <t>Lương:Cạnh tranh</t>
        </is>
      </c>
      <c r="F19502" s="10" t="inlineStr">
        <is>
          <t>Đồng Nai</t>
        </is>
      </c>
      <c r="G19502" s="10" t="inlineStr">
        <is>
          <t>6</t>
        </is>
      </c>
      <c r="H19502" s="10" t="inlineStr">
        <is>
          <t>23/03/2026</t>
        </is>
      </c>
      <c r="I19502" s="10" t="inlineStr">
        <is>
          <t>17/03/2026</t>
        </is>
      </c>
      <c r="J19502" s="10" t="inlineStr">
        <is>
          <t>Kiến trúc, Xây dựng, Bất động sản</t>
        </is>
      </c>
      <c r="K19502" s="10" t="inlineStr">
        <is>
          <t>1 - 5 Năm</t>
        </is>
      </c>
      <c r="L19502" s="11">
        <f>HYPERLINK("https://careerviet.vn/vi/tim-viec-lam/chuyen-vien-qs-cong-trinh.35C63A7D.html","Xem chi tiết")</f>
        <v/>
      </c>
      <c r="M19502" s="10" t="n"/>
    </row>
    <row r="19503">
      <c r="B19503" s="7" t="n">
        <v>19501</v>
      </c>
      <c r="C19503" t="inlineStr">
        <is>
          <t>TRADE MARKETING INTERN</t>
        </is>
      </c>
      <c r="D19503" t="inlineStr">
        <is>
          <t>CÔNG TY TNHH ĐẦU TƯ XNK TÍN VIỆT</t>
        </is>
      </c>
      <c r="E19503" t="inlineStr">
        <is>
          <t>Lương:Cạnh tranh</t>
        </is>
      </c>
      <c r="F19503" t="inlineStr">
        <is>
          <t>Hồ Chí Minh</t>
        </is>
      </c>
      <c r="G19503" t="inlineStr">
        <is>
          <t>31-03-2026</t>
        </is>
      </c>
      <c r="H19503" t="inlineStr">
        <is>
          <t>31/03/2026</t>
        </is>
      </c>
      <c r="I19503" t="inlineStr">
        <is>
          <t>17/03/2026</t>
        </is>
      </c>
      <c r="J19503" t="inlineStr">
        <is>
          <t>Tiếp thị / Marketing, Dược phẩm/ Hóa Mỹ Phẩm, Bán lẻ / Bán sỉ</t>
        </is>
      </c>
      <c r="K19503" t="inlineStr">
        <is>
          <t>Lên đến 1 Năm</t>
        </is>
      </c>
      <c r="L19503" s="8">
        <f>HYPERLINK("https://careerviet.vn/vi/tim-viec-lam/trade-marketing-intern.35C69560.html","Xem chi tiết")</f>
        <v/>
      </c>
    </row>
    <row r="19504">
      <c r="B19504" s="9" t="n">
        <v>19502</v>
      </c>
      <c r="C19504" s="10" t="inlineStr">
        <is>
          <t>Dược sĩ/ Pharmacist</t>
        </is>
      </c>
      <c r="D19504" s="10" t="inlineStr">
        <is>
          <t>American International Hospital (AIH)</t>
        </is>
      </c>
      <c r="E19504" s="10" t="inlineStr">
        <is>
          <t>Lương:13 Tr - 16 Tr VND</t>
        </is>
      </c>
      <c r="F19504" s="10" t="inlineStr">
        <is>
          <t>Hồ Chí Minh</t>
        </is>
      </c>
      <c r="G19504" s="10" t="inlineStr">
        <is>
          <t>31-03-2026</t>
        </is>
      </c>
      <c r="H19504" s="10" t="inlineStr">
        <is>
          <t>31/03/2026</t>
        </is>
      </c>
      <c r="I19504" s="10" t="inlineStr">
        <is>
          <t>17/03/2026</t>
        </is>
      </c>
      <c r="J19504" s="10" t="inlineStr">
        <is>
          <t>Dược phẩm/ Hóa Mỹ Phẩm, Y tế / Chăm sóc sức khỏe / Thẩm mỹ / Làm đẹp</t>
        </is>
      </c>
      <c r="K19504" s="10" t="inlineStr">
        <is>
          <t>1 - 10 Năm</t>
        </is>
      </c>
      <c r="L19504" s="11">
        <f>HYPERLINK("https://careerviet.vn/vi/tim-viec-lam/duoc-si-pharmacist.35C6953C.html","Xem chi tiết")</f>
        <v/>
      </c>
      <c r="M19504" s="10" t="n"/>
    </row>
    <row r="19505">
      <c r="B19505" s="7" t="n">
        <v>19503</v>
      </c>
      <c r="C19505" t="inlineStr">
        <is>
          <t>Chuyên Viên Kiểm Soát Nội Bộ</t>
        </is>
      </c>
      <c r="D19505" t="inlineStr">
        <is>
          <t>CÔNG TY CỔ PHẦN CHỨNG KHOÁN ASEAN</t>
        </is>
      </c>
      <c r="E19505" t="inlineStr">
        <is>
          <t>Lương:Cạnh tranh</t>
        </is>
      </c>
      <c r="F19505" t="inlineStr">
        <is>
          <t>Hà Nội</t>
        </is>
      </c>
      <c r="G19505" t="inlineStr">
        <is>
          <t>27-03-2026</t>
        </is>
      </c>
      <c r="H19505" t="inlineStr">
        <is>
          <t>27/03/2026</t>
        </is>
      </c>
      <c r="I19505" t="inlineStr">
        <is>
          <t>17/03/2026</t>
        </is>
      </c>
      <c r="J19505" t="inlineStr">
        <is>
          <t>Luật / Pháp lý, Kế toán / Kiểm toán, Chứng khoán</t>
        </is>
      </c>
      <c r="K19505" t="inlineStr">
        <is>
          <t>Trên 2 Năm</t>
        </is>
      </c>
      <c r="L19505" s="8">
        <f>HYPERLINK("https://careerviet.vn/vi/tim-viec-lam/chuyen-vien-kiem-soat-noi-bo.35C6691D.html","Xem chi tiết")</f>
        <v/>
      </c>
    </row>
    <row r="19506">
      <c r="B19506" s="9" t="n">
        <v>19504</v>
      </c>
      <c r="C19506" s="10" t="inlineStr">
        <is>
          <t>Kỹ sư QS</t>
        </is>
      </c>
      <c r="D19506" s="10" t="inlineStr">
        <is>
          <t>Công Ty CP Xây Dựng Số 1 (COFICO)</t>
        </is>
      </c>
      <c r="E19506" s="10" t="inlineStr">
        <is>
          <t>Lương:18 Tr - 23 Tr VND</t>
        </is>
      </c>
      <c r="F19506" s="10" t="inlineStr">
        <is>
          <t>Hồ Chí Minh</t>
        </is>
      </c>
      <c r="G19506" s="10" t="inlineStr">
        <is>
          <t>27-03-2026</t>
        </is>
      </c>
      <c r="H19506" s="10" t="inlineStr">
        <is>
          <t>27/03/2026</t>
        </is>
      </c>
      <c r="I19506" s="10" t="inlineStr">
        <is>
          <t>17/03/2026</t>
        </is>
      </c>
      <c r="J19506" s="10" t="inlineStr">
        <is>
          <t>Kiến trúc, Xây dựng</t>
        </is>
      </c>
      <c r="K19506" s="10" t="inlineStr">
        <is>
          <t>3 - 5 Năm</t>
        </is>
      </c>
      <c r="L19506" s="11">
        <f>HYPERLINK("https://careerviet.vn/vi/tim-viec-lam/ky-su-qs.35C668F8.html","Xem chi tiết")</f>
        <v/>
      </c>
      <c r="M19506" s="10" t="n"/>
    </row>
    <row r="19507">
      <c r="B19507" s="7" t="n">
        <v>19505</v>
      </c>
      <c r="C19507" t="inlineStr">
        <is>
          <t>Trưởng Phòng Marketing / Marketing Manager</t>
        </is>
      </c>
      <c r="D19507" t="inlineStr">
        <is>
          <t>Công ty Cổ Phần Tập Đoàn Điện Quang</t>
        </is>
      </c>
      <c r="E19507" t="inlineStr">
        <is>
          <t>Lương:Cạnh tranh</t>
        </is>
      </c>
      <c r="F19507" t="inlineStr">
        <is>
          <t>Hồ Chí Minh</t>
        </is>
      </c>
      <c r="G19507" t="inlineStr">
        <is>
          <t>27-03-2026</t>
        </is>
      </c>
      <c r="H19507" t="inlineStr">
        <is>
          <t>27/03/2026</t>
        </is>
      </c>
      <c r="I19507" t="inlineStr">
        <is>
          <t>17/03/2026</t>
        </is>
      </c>
      <c r="J19507" t="inlineStr">
        <is>
          <t>Tiếp thị / Marketing</t>
        </is>
      </c>
      <c r="K19507" t="inlineStr">
        <is>
          <t>Trên 5 Năm</t>
        </is>
      </c>
      <c r="L19507" s="8">
        <f>HYPERLINK("https://careerviet.vn/vi/tim-viec-lam/truong-phong-marketing-marketing-manager.35C6956F.html","Xem chi tiết")</f>
        <v/>
      </c>
    </row>
    <row r="19508">
      <c r="B19508" s="9" t="n">
        <v>19506</v>
      </c>
      <c r="C19508" s="10" t="inlineStr">
        <is>
          <t>Giám Đốc Dự Án</t>
        </is>
      </c>
      <c r="D19508" s="10" t="inlineStr">
        <is>
          <t>CÔNG TY CỔ PHẦN AN PHA KIM (UA FACADE)</t>
        </is>
      </c>
      <c r="E19508" s="10" t="inlineStr">
        <is>
          <t>Lương:Cạnh tranh</t>
        </is>
      </c>
      <c r="F19508" s="10" t="inlineStr">
        <is>
          <t>Hồ Chí Minh</t>
        </is>
      </c>
      <c r="G19508" s="10" t="inlineStr">
        <is>
          <t>31-03-2026</t>
        </is>
      </c>
      <c r="H19508" s="10" t="inlineStr">
        <is>
          <t>31/03/2026</t>
        </is>
      </c>
      <c r="I19508" s="10" t="inlineStr">
        <is>
          <t>17/03/2026</t>
        </is>
      </c>
      <c r="J19508" s="10" t="inlineStr">
        <is>
          <t>Xây dựng, Nội ngoại thất, Kiến trúc</t>
        </is>
      </c>
      <c r="K19508" s="10" t="inlineStr">
        <is>
          <t>8 - 10 Năm</t>
        </is>
      </c>
      <c r="L19508" s="11">
        <f>HYPERLINK("https://careerviet.vn/vi/tim-viec-lam/giam-doc-du-an.35C69507.html","Xem chi tiết")</f>
        <v/>
      </c>
      <c r="M19508" s="10" t="n"/>
    </row>
    <row r="19509">
      <c r="B19509" s="7" t="n">
        <v>19507</v>
      </c>
      <c r="C19509" t="inlineStr">
        <is>
          <t>Chuyên viên hành chính nhân sự tổng hợp</t>
        </is>
      </c>
      <c r="D19509" t="inlineStr">
        <is>
          <t>Công Ty TNHH Nha Khoa My Auris</t>
        </is>
      </c>
      <c r="E19509" t="inlineStr">
        <is>
          <t>Lương:15 Tr - 20 Tr VND</t>
        </is>
      </c>
      <c r="F19509" t="inlineStr">
        <is>
          <t>Hồ Chí Minh</t>
        </is>
      </c>
      <c r="G19509" t="inlineStr">
        <is>
          <t>25-03-2026</t>
        </is>
      </c>
      <c r="H19509" t="inlineStr">
        <is>
          <t>25/03/2026</t>
        </is>
      </c>
      <c r="I19509" t="inlineStr">
        <is>
          <t>17/03/2026</t>
        </is>
      </c>
      <c r="J19509" t="inlineStr">
        <is>
          <t>Dược phẩm/ Hóa Mỹ Phẩm, Y tế / Chăm sóc sức khỏe / Thẩm mỹ / Làm đẹp, Luật / Pháp lý</t>
        </is>
      </c>
      <c r="K19509" t="inlineStr">
        <is>
          <t>Trên 5 Năm</t>
        </is>
      </c>
      <c r="L19509" s="8">
        <f>HYPERLINK("https://careerviet.vn/vi/tim-viec-lam/chuyen-vien-hanh-chinh-nhan-su-tong-hop.35C6949A.html","Xem chi tiết")</f>
        <v/>
      </c>
    </row>
    <row r="19510">
      <c r="B19510" s="9" t="n">
        <v>19508</v>
      </c>
      <c r="C19510" s="10" t="inlineStr">
        <is>
          <t>Nhân viên Sale Admin</t>
        </is>
      </c>
      <c r="D19510" s="10" t="inlineStr">
        <is>
          <t>CÔNG TY CỔ PHẦN CÔNG NGHỆ FOXAI</t>
        </is>
      </c>
      <c r="E19510" s="10" t="inlineStr">
        <is>
          <t>Lương:12 Tr - 16 Tr VND</t>
        </is>
      </c>
      <c r="F19510" s="10" t="inlineStr">
        <is>
          <t>Hà Nội</t>
        </is>
      </c>
      <c r="G19510" s="10" t="inlineStr">
        <is>
          <t>31-03-2026</t>
        </is>
      </c>
      <c r="H19510" s="10" t="inlineStr">
        <is>
          <t>31/03/2026</t>
        </is>
      </c>
      <c r="I19510" s="10" t="inlineStr">
        <is>
          <t>17/03/2026</t>
        </is>
      </c>
      <c r="J19510" s="10" t="inlineStr">
        <is>
          <t>Tiếp thị / Marketing, Bán hàng / Kinh doanh, Hành chính / Thư ký</t>
        </is>
      </c>
      <c r="K19510" s="10" t="inlineStr">
        <is>
          <t>Trên 2 Năm</t>
        </is>
      </c>
      <c r="L19510" s="11">
        <f>HYPERLINK("https://careerviet.vn/vi/tim-viec-lam/nhan-vien-sale-admin.35C695BD.html","Xem chi tiết")</f>
        <v/>
      </c>
      <c r="M19510" s="10" t="n"/>
    </row>
    <row r="19511">
      <c r="B19511" s="7" t="n">
        <v>19509</v>
      </c>
      <c r="C19511" t="inlineStr">
        <is>
          <t>Công Nhân Pha Lóc Giết Mổ</t>
        </is>
      </c>
      <c r="D19511" t="inlineStr">
        <is>
          <t>CÔNG TY TNHH FEDDY</t>
        </is>
      </c>
      <c r="E19511" t="inlineStr">
        <is>
          <t>Lương:7 Tr - 8 Tr VND</t>
        </is>
      </c>
      <c r="F19511" t="inlineStr">
        <is>
          <t>Đồng Nai</t>
        </is>
      </c>
      <c r="G19511" t="inlineStr">
        <is>
          <t>27-03-2026</t>
        </is>
      </c>
      <c r="H19511" t="inlineStr">
        <is>
          <t>27/03/2026</t>
        </is>
      </c>
      <c r="I19511" t="inlineStr">
        <is>
          <t>17/03/2026</t>
        </is>
      </c>
      <c r="J19511" t="inlineStr">
        <is>
          <t>Lao động phổ thông, Sản xuất / Vận hành sản xuất</t>
        </is>
      </c>
      <c r="K19511" t="inlineStr">
        <is>
          <t>N/A</t>
        </is>
      </c>
      <c r="L19511" s="8">
        <f>HYPERLINK("https://careerviet.vn/vi/tim-viec-lam/cong-nhan-pha-loc-giet-mo.35C66920.html","Xem chi tiết")</f>
        <v/>
      </c>
    </row>
    <row r="19512">
      <c r="B19512" s="9" t="n">
        <v>19510</v>
      </c>
      <c r="C19512" s="10" t="inlineStr">
        <is>
          <t>Chuyên viên Hành chính</t>
        </is>
      </c>
      <c r="D19512" s="10" t="inlineStr">
        <is>
          <t>CÔNG TY CỔ PHẦN ONEFIN VIỆT NAM</t>
        </is>
      </c>
      <c r="E19512" s="10" t="inlineStr">
        <is>
          <t>Lương:10 Tr - 15 Tr VND</t>
        </is>
      </c>
      <c r="F19512" s="10" t="inlineStr">
        <is>
          <t>Hồ Chí Minh</t>
        </is>
      </c>
      <c r="G19512" s="10" t="inlineStr">
        <is>
          <t>25-03-2026</t>
        </is>
      </c>
      <c r="H19512" s="10" t="inlineStr">
        <is>
          <t>25/03/2026</t>
        </is>
      </c>
      <c r="I19512" s="10" t="inlineStr">
        <is>
          <t>17/03/2026</t>
        </is>
      </c>
      <c r="J19512" s="10" t="inlineStr">
        <is>
          <t>Hành chính / Thư ký, Nhân sự, Quản lý điều hành</t>
        </is>
      </c>
      <c r="K19512" s="10" t="inlineStr">
        <is>
          <t>1 - 3 Năm</t>
        </is>
      </c>
      <c r="L19512" s="11">
        <f>HYPERLINK("https://careerviet.vn/vi/tim-viec-lam/chuyen-vien-hanh-chinh.35C694E8.html","Xem chi tiết")</f>
        <v/>
      </c>
      <c r="M19512" s="10" t="n"/>
    </row>
    <row r="19513">
      <c r="B19513" s="7" t="n">
        <v>19511</v>
      </c>
      <c r="C19513" t="inlineStr">
        <is>
          <t>Trưởng phòng tổng kho và vận tải</t>
        </is>
      </c>
      <c r="D19513" t="inlineStr">
        <is>
          <t>CÔNG TY TNHH DỆT LIÊN CHÂU</t>
        </is>
      </c>
      <c r="E19513" t="inlineStr">
        <is>
          <t>Lương:Cạnh tranh</t>
        </is>
      </c>
      <c r="F19513" t="inlineStr">
        <is>
          <t>Bình Dương</t>
        </is>
      </c>
      <c r="G19513" t="inlineStr">
        <is>
          <t>31-03-2026</t>
        </is>
      </c>
      <c r="H19513" t="inlineStr">
        <is>
          <t>31/03/2026</t>
        </is>
      </c>
      <c r="I19513" t="inlineStr">
        <is>
          <t>17/03/2026</t>
        </is>
      </c>
      <c r="J19513" t="inlineStr">
        <is>
          <t>Vận chuyển / Giao nhận / Kho vận, Sản xuất / Vận hành sản xuất, Dệt may / Da giày / Thời trang</t>
        </is>
      </c>
      <c r="K19513" t="inlineStr">
        <is>
          <t>3 - 5 Năm</t>
        </is>
      </c>
      <c r="L19513" s="8">
        <f>HYPERLINK("https://careerviet.vn/vi/tim-viec-lam/truong-phong-tong-kho-va-van-tai.35C68FAE.html","Xem chi tiết")</f>
        <v/>
      </c>
    </row>
    <row r="19514">
      <c r="B19514" s="9" t="n">
        <v>19512</v>
      </c>
      <c r="C19514" s="10" t="inlineStr">
        <is>
          <t>Quản lý kho</t>
        </is>
      </c>
      <c r="D19514" s="10" t="inlineStr">
        <is>
          <t>Công ty cổ phần văn phòng phẩm Hồng Hà</t>
        </is>
      </c>
      <c r="E19514" s="10" t="inlineStr">
        <is>
          <t>Lương:15 Tr - 20 Tr VND</t>
        </is>
      </c>
      <c r="F19514" s="10" t="inlineStr">
        <is>
          <t>Hồ Chí Minh</t>
        </is>
      </c>
      <c r="G19514" s="10" t="inlineStr">
        <is>
          <t>25-02-2026</t>
        </is>
      </c>
      <c r="H19514" s="10" t="inlineStr">
        <is>
          <t>09/03/2026</t>
        </is>
      </c>
      <c r="I19514" s="10" t="inlineStr">
        <is>
          <t>17/03/2026</t>
        </is>
      </c>
      <c r="J19514" s="10" t="inlineStr">
        <is>
          <t>Vận chuyển / Giao nhận / Kho vận, Tài chính / Đầu tư, Kế toán / Kiểm toán</t>
        </is>
      </c>
      <c r="K19514" s="10" t="inlineStr">
        <is>
          <t>2 - 3 Năm</t>
        </is>
      </c>
      <c r="L19514" s="11">
        <f>HYPERLINK("https://careerviet.vn/vi/tim-viec-lam/quan-ly-kho.35C690DD.html","Xem chi tiết")</f>
        <v/>
      </c>
      <c r="M19514" s="10" t="n"/>
    </row>
    <row r="19515">
      <c r="B19515" s="7" t="n">
        <v>19513</v>
      </c>
      <c r="C19515" t="inlineStr">
        <is>
          <t>Thực tập sinh nhân sự</t>
        </is>
      </c>
      <c r="D19515" t="inlineStr">
        <is>
          <t>CÔNG TY CỔ PHẦN ĐẦU TƯ MINH HƯNG</t>
        </is>
      </c>
      <c r="E19515" t="inlineStr">
        <is>
          <t>Lương:1 Tr - 3 Tr VND</t>
        </is>
      </c>
      <c r="F19515" t="inlineStr">
        <is>
          <t>Hà Nội</t>
        </is>
      </c>
      <c r="G19515" t="inlineStr">
        <is>
          <t>26-03-2026</t>
        </is>
      </c>
      <c r="H19515" t="inlineStr">
        <is>
          <t>26/03/2026</t>
        </is>
      </c>
      <c r="I19515" t="inlineStr">
        <is>
          <t>17/03/2026</t>
        </is>
      </c>
      <c r="J19515" t="inlineStr">
        <is>
          <t>Hành chính / Thư ký, Nhân sự, Mới tốt nghiệp / Thực tập</t>
        </is>
      </c>
      <c r="K19515" t="inlineStr">
        <is>
          <t>N/A</t>
        </is>
      </c>
      <c r="L19515" s="8">
        <f>HYPERLINK("https://careerviet.vn/vi/tim-viec-lam/thuc-tap-sinh-nhan-su.35C63F0F.html","Xem chi tiết")</f>
        <v/>
      </c>
    </row>
    <row r="19516">
      <c r="B19516" s="9" t="n">
        <v>19514</v>
      </c>
      <c r="C19516" s="10" t="inlineStr">
        <is>
          <t>Nhân Viên Thu Mua</t>
        </is>
      </c>
      <c r="D19516" s="10" t="inlineStr">
        <is>
          <t>LIXIL Global Manufacturing Vietnam</t>
        </is>
      </c>
      <c r="E19516" s="10" t="inlineStr">
        <is>
          <t>Lương:Cạnh tranh</t>
        </is>
      </c>
      <c r="F19516" s="10" t="inlineStr">
        <is>
          <t>Đồng Nai</t>
        </is>
      </c>
      <c r="G19516" s="10" t="inlineStr">
        <is>
          <t>25-03-2026</t>
        </is>
      </c>
      <c r="H19516" s="10" t="inlineStr">
        <is>
          <t>25/03/2026</t>
        </is>
      </c>
      <c r="I19516" s="10" t="inlineStr">
        <is>
          <t>17/03/2026</t>
        </is>
      </c>
      <c r="J19516" s="10" t="inlineStr">
        <is>
          <t>Thu mua / Vật tư</t>
        </is>
      </c>
      <c r="K19516" s="10" t="inlineStr">
        <is>
          <t>1 - 2 Năm</t>
        </is>
      </c>
      <c r="L19516" s="11">
        <f>HYPERLINK("https://careerviet.vn/vi/tim-viec-lam/nhan-vien-thu-mua.35C68CF1.html","Xem chi tiết")</f>
        <v/>
      </c>
      <c r="M19516" s="10" t="n"/>
    </row>
    <row r="19517">
      <c r="B19517" s="7" t="n">
        <v>19515</v>
      </c>
      <c r="C19517" t="inlineStr">
        <is>
          <t>Nhân Viên Kế Hoạch Sản Xuất</t>
        </is>
      </c>
      <c r="D19517" t="inlineStr">
        <is>
          <t>LIXIL Global Manufacturing Vietnam</t>
        </is>
      </c>
      <c r="E19517" t="inlineStr">
        <is>
          <t>Lương:Cạnh tranh</t>
        </is>
      </c>
      <c r="F19517" t="inlineStr">
        <is>
          <t>Đồng Nai</t>
        </is>
      </c>
      <c r="G19517" t="inlineStr">
        <is>
          <t>25-03-2026</t>
        </is>
      </c>
      <c r="H19517" t="inlineStr">
        <is>
          <t>25/03/2026</t>
        </is>
      </c>
      <c r="I19517" t="inlineStr">
        <is>
          <t>17/03/2026</t>
        </is>
      </c>
      <c r="J19517" t="inlineStr">
        <is>
          <t>Sản xuất / Vận hành sản xuất</t>
        </is>
      </c>
      <c r="K19517" t="inlineStr">
        <is>
          <t>1 - 2 Năm</t>
        </is>
      </c>
      <c r="L19517" s="8">
        <f>HYPERLINK("https://careerviet.vn/vi/tim-viec-lam/nhan-vien-ke-hoach-san-xuat.35C69484.html","Xem chi tiết")</f>
        <v/>
      </c>
    </row>
    <row r="19518">
      <c r="B19518" s="9" t="n">
        <v>19516</v>
      </c>
      <c r="C19518" s="10" t="inlineStr">
        <is>
          <t>Giám Đốc Điều Hành (COO/CEO)</t>
        </is>
      </c>
      <c r="D19518" s="10" t="inlineStr">
        <is>
          <t>Công ty cổ phần HaMo Holdings</t>
        </is>
      </c>
      <c r="E19518" s="10" t="inlineStr">
        <is>
          <t>Lương:Cạnh tranh</t>
        </is>
      </c>
      <c r="F19518" s="10" t="inlineStr">
        <is>
          <t>Hồ Chí Minh</t>
        </is>
      </c>
      <c r="G19518" s="10" t="inlineStr">
        <is>
          <t>26-03-2026</t>
        </is>
      </c>
      <c r="H19518" s="10" t="inlineStr">
        <is>
          <t>26/03/2026</t>
        </is>
      </c>
      <c r="I19518" s="10" t="inlineStr">
        <is>
          <t>17/03/2026</t>
        </is>
      </c>
      <c r="J19518" s="10" t="inlineStr">
        <is>
          <t>Y tế / Chăm sóc sức khỏe / Thẩm mỹ / Làm đẹp, Dịch vụ khách hàng, Quản lý điều hành</t>
        </is>
      </c>
      <c r="K19518" s="10" t="inlineStr">
        <is>
          <t>7 - 10 Năm</t>
        </is>
      </c>
      <c r="L19518" s="11">
        <f>HYPERLINK("https://careerviet.vn/vi/tim-viec-lam/giam-doc-dieu-hanh-coo-ceo.35C63F29.html","Xem chi tiết")</f>
        <v/>
      </c>
      <c r="M19518" s="10" t="n"/>
    </row>
    <row r="19519">
      <c r="B19519" s="7" t="n">
        <v>19517</v>
      </c>
      <c r="C19519" t="inlineStr">
        <is>
          <t>CN Xuân Mai - Chuyên viên/CVC/CVCC Quan hệ Khách hàng Cá nhân</t>
        </is>
      </c>
      <c r="D19519" t="inlineStr">
        <is>
          <t>Ngân hàng TMCP Lộc Phát Việt Nam (LPBank)</t>
        </is>
      </c>
      <c r="E19519" t="inlineStr">
        <is>
          <t>Lương:Cạnh tranh</t>
        </is>
      </c>
      <c r="F19519" t="inlineStr">
        <is>
          <t>Hà Nội</t>
        </is>
      </c>
      <c r="G19519" t="inlineStr">
        <is>
          <t>26-03-2026</t>
        </is>
      </c>
      <c r="H19519" t="inlineStr">
        <is>
          <t>26/03/2026</t>
        </is>
      </c>
      <c r="I19519" t="inlineStr">
        <is>
          <t>17/03/2026</t>
        </is>
      </c>
      <c r="J19519" t="inlineStr">
        <is>
          <t>Bán hàng / Kinh doanh, Kế toán / Kiểm toán, Ngân hàng</t>
        </is>
      </c>
      <c r="K19519" t="inlineStr">
        <is>
          <t>Trên 1 Năm</t>
        </is>
      </c>
      <c r="L19519" s="8">
        <f>HYPERLINK("https://careerviet.vn/vi/tim-viec-lam/cn-xuan-mai-chuyen-vien-cvc-cvcc-quan-he-khach-hang-ca-nhan.35C63E81.html","Xem chi tiết")</f>
        <v/>
      </c>
    </row>
    <row r="19520">
      <c r="B19520" s="9" t="n">
        <v>19518</v>
      </c>
      <c r="C19520" s="10" t="inlineStr">
        <is>
          <t>Operations Automation Control System Engineer</t>
        </is>
      </c>
      <c r="D19520" s="10" t="inlineStr">
        <is>
          <t>Sonion Vietnam</t>
        </is>
      </c>
      <c r="E19520" s="10" t="inlineStr">
        <is>
          <t>Lương:Cạnh tranh</t>
        </is>
      </c>
      <c r="F19520" s="10" t="inlineStr">
        <is>
          <t>Hồ Chí Minh</t>
        </is>
      </c>
      <c r="G19520" s="10" t="inlineStr">
        <is>
          <t>31-03-2026</t>
        </is>
      </c>
      <c r="H19520" s="10" t="inlineStr">
        <is>
          <t>31/03/2026</t>
        </is>
      </c>
      <c r="I19520" s="10" t="inlineStr">
        <is>
          <t>17/03/2026</t>
        </is>
      </c>
      <c r="J19520" s="10" t="inlineStr">
        <is>
          <t>Điện / Điện tử / Điện lạnh / Điện công nghiệp, Cơ khí / Ô tô / Tự động hóa</t>
        </is>
      </c>
      <c r="K19520" s="10" t="inlineStr">
        <is>
          <t>1 - 3 Năm</t>
        </is>
      </c>
      <c r="L19520" s="11">
        <f>HYPERLINK("https://careerviet.vn/vi/tim-viec-lam/operations-automation-control-system-engineer.35C69473.html","Xem chi tiết")</f>
        <v/>
      </c>
      <c r="M19520" s="10" t="n"/>
    </row>
    <row r="19521">
      <c r="B19521" s="7" t="n">
        <v>19519</v>
      </c>
      <c r="C19521" t="inlineStr">
        <is>
          <t>Nhân viên chính thức trực Tổng đài nhà mạng Viettel Đà Nẵng Hôm nay</t>
        </is>
      </c>
      <c r="D19521" t="inlineStr">
        <is>
          <t>BellSystem24-Việt Nam</t>
        </is>
      </c>
      <c r="E19521" t="inlineStr">
        <is>
          <t>Lương:5 Tr - 8 Tr VND</t>
        </is>
      </c>
      <c r="F19521" t="inlineStr">
        <is>
          <t>Đà Nẵng</t>
        </is>
      </c>
      <c r="G19521" t="inlineStr">
        <is>
          <t>26-03-2026</t>
        </is>
      </c>
      <c r="H19521" t="inlineStr">
        <is>
          <t>26/03/2026</t>
        </is>
      </c>
      <c r="I19521" t="inlineStr">
        <is>
          <t>17/03/2026</t>
        </is>
      </c>
      <c r="J19521" t="inlineStr">
        <is>
          <t>Tư vấn, Dịch vụ khách hàng, Lao động phổ thông</t>
        </is>
      </c>
      <c r="K19521" t="inlineStr">
        <is>
          <t>N/A</t>
        </is>
      </c>
      <c r="L19521" s="8">
        <f>HYPERLINK("https://careerviet.vn/vi/tim-viec-lam/nhan-vien-chinh-thuc-truc-tong-dai-nha-mang-viettel-da-nang-hom-nay.35C63E6F.html","Xem chi tiết")</f>
        <v/>
      </c>
    </row>
    <row r="19522">
      <c r="B19522" s="9" t="n">
        <v>19520</v>
      </c>
      <c r="C19522" s="10" t="inlineStr">
        <is>
          <t>KẾ TOÁN TỔNG HỢP</t>
        </is>
      </c>
      <c r="D19522" s="10" t="inlineStr">
        <is>
          <t>Công Ty Cổ Phần Tập Đoàn Toàn Cầu Xanh</t>
        </is>
      </c>
      <c r="E19522" s="10" t="inlineStr">
        <is>
          <t>Lương:18 Tr - 25 Tr VND</t>
        </is>
      </c>
      <c r="F19522" s="10" t="inlineStr">
        <is>
          <t>Hồ Chí Minh</t>
        </is>
      </c>
      <c r="G19522" s="10" t="inlineStr">
        <is>
          <t>26-03-2026</t>
        </is>
      </c>
      <c r="H19522" s="10" t="inlineStr">
        <is>
          <t>26/03/2026</t>
        </is>
      </c>
      <c r="I19522" s="10" t="inlineStr">
        <is>
          <t>17/03/2026</t>
        </is>
      </c>
      <c r="J19522" s="10" t="inlineStr">
        <is>
          <t>Kế toán / Kiểm toán, Tài chính / Đầu tư, Bất động sản</t>
        </is>
      </c>
      <c r="K19522" s="10" t="inlineStr">
        <is>
          <t>Trên 3 Năm</t>
        </is>
      </c>
      <c r="L19522" s="11">
        <f>HYPERLINK("https://careerviet.vn/vi/tim-viec-lam/ke-toan-tong-hop.35C63ED1.html","Xem chi tiết")</f>
        <v/>
      </c>
      <c r="M19522" s="10" t="n"/>
    </row>
    <row r="19523">
      <c r="B19523" s="7" t="n">
        <v>19521</v>
      </c>
      <c r="C19523" t="inlineStr">
        <is>
          <t>Tư vấn bán hàng - Quận Hà Đông</t>
        </is>
      </c>
      <c r="D19523" t="inlineStr">
        <is>
          <t>Công ty CP Toshiko Việt Nam</t>
        </is>
      </c>
      <c r="E19523" t="inlineStr">
        <is>
          <t>Lương:12 Tr - 20 Tr VND</t>
        </is>
      </c>
      <c r="F19523" t="inlineStr">
        <is>
          <t>Hà Nội</t>
        </is>
      </c>
      <c r="G19523" t="inlineStr">
        <is>
          <t>26-03-2026</t>
        </is>
      </c>
      <c r="H19523" t="inlineStr">
        <is>
          <t>26/03/2026</t>
        </is>
      </c>
      <c r="I19523" t="inlineStr">
        <is>
          <t>17/03/2026</t>
        </is>
      </c>
      <c r="J19523" t="inlineStr">
        <is>
          <t>Bán lẻ / Bán sỉ, Bán hàng / Kinh doanh, Tư vấn</t>
        </is>
      </c>
      <c r="K19523" t="inlineStr">
        <is>
          <t>1 - 2 Năm</t>
        </is>
      </c>
      <c r="L19523" s="8">
        <f>HYPERLINK("https://careerviet.vn/vi/tim-viec-lam/tu-van-ban-hang-quan-ha-dong.35C63EC6.html","Xem chi tiết")</f>
        <v/>
      </c>
    </row>
    <row r="19524">
      <c r="B19524" s="9" t="n">
        <v>19522</v>
      </c>
      <c r="C19524" s="10" t="inlineStr">
        <is>
          <t>Trợ lý kinh doanh ( Account Manager)</t>
        </is>
      </c>
      <c r="D19524" s="10" t="inlineStr">
        <is>
          <t>NETNAM CORP.</t>
        </is>
      </c>
      <c r="E19524" s="10" t="inlineStr">
        <is>
          <t>Lương:10 Tr - 15 Tr VND</t>
        </is>
      </c>
      <c r="F19524" s="10" t="inlineStr">
        <is>
          <t>Hồ Chí Minh</t>
        </is>
      </c>
      <c r="G19524" s="10" t="inlineStr">
        <is>
          <t>31-03-2026</t>
        </is>
      </c>
      <c r="H19524" s="10" t="inlineStr">
        <is>
          <t>31/03/2026</t>
        </is>
      </c>
      <c r="I19524" s="10" t="inlineStr">
        <is>
          <t>17/03/2026</t>
        </is>
      </c>
      <c r="J19524" s="10" t="inlineStr">
        <is>
          <t>Bán hàng / Kinh doanh</t>
        </is>
      </c>
      <c r="K19524" s="10" t="inlineStr">
        <is>
          <t>1 - 2 Năm</t>
        </is>
      </c>
      <c r="L19524" s="11">
        <f>HYPERLINK("https://careerviet.vn/vi/tim-viec-lam/tro-ly-kinh-doanh-account-manager.35C6923B.html","Xem chi tiết")</f>
        <v/>
      </c>
      <c r="M19524" s="10" t="n"/>
    </row>
    <row r="19525">
      <c r="B19525" s="7" t="n">
        <v>19523</v>
      </c>
      <c r="C19525" t="inlineStr">
        <is>
          <t>Customer Service Staff</t>
        </is>
      </c>
      <c r="D19525" t="inlineStr">
        <is>
          <t>Công Ty TNHH Công Nghiệp Kolon Bình Dương</t>
        </is>
      </c>
      <c r="E19525" t="inlineStr">
        <is>
          <t>Lương:9 Tr - 11 Tr VND</t>
        </is>
      </c>
      <c r="F19525" t="inlineStr">
        <is>
          <t>Bình Dương</t>
        </is>
      </c>
      <c r="G19525" t="inlineStr">
        <is>
          <t>26-03-2026</t>
        </is>
      </c>
      <c r="H19525" t="inlineStr">
        <is>
          <t>26/03/2026</t>
        </is>
      </c>
      <c r="I19525" t="inlineStr">
        <is>
          <t>17/03/2026</t>
        </is>
      </c>
      <c r="J19525" t="inlineStr">
        <is>
          <t>Tiếp thị / Marketing, Vận chuyển / Giao nhận / Kho vận</t>
        </is>
      </c>
      <c r="K19525" t="inlineStr">
        <is>
          <t>1 - 2 Năm</t>
        </is>
      </c>
      <c r="L19525" s="8">
        <f>HYPERLINK("https://careerviet.vn/vi/tim-viec-lam/customer-service-staff.35C63F09.html","Xem chi tiết")</f>
        <v/>
      </c>
    </row>
    <row r="19526">
      <c r="B19526" s="9" t="n">
        <v>19524</v>
      </c>
      <c r="C19526" s="10" t="inlineStr">
        <is>
          <t>KV Nội thành Hà Nội - Chuyên viên/CVC/CVCC Quan hệ Khách hàng Doanh nghiệp</t>
        </is>
      </c>
      <c r="D19526" s="10" t="inlineStr">
        <is>
          <t>Ngân hàng TMCP Lộc Phát Việt Nam (LPBank)</t>
        </is>
      </c>
      <c r="E19526" s="10" t="inlineStr">
        <is>
          <t>Lương:Cạnh tranh</t>
        </is>
      </c>
      <c r="F19526" s="10" t="inlineStr">
        <is>
          <t>Hà Nội</t>
        </is>
      </c>
      <c r="G19526" s="10" t="inlineStr">
        <is>
          <t>26-03-2026</t>
        </is>
      </c>
      <c r="H19526" s="10" t="inlineStr">
        <is>
          <t>26/03/2026</t>
        </is>
      </c>
      <c r="I19526" s="10" t="inlineStr">
        <is>
          <t>17/03/2026</t>
        </is>
      </c>
      <c r="J19526" s="10" t="inlineStr">
        <is>
          <t>Bán hàng / Kinh doanh, Bất động sản, Bảo hiểm</t>
        </is>
      </c>
      <c r="K19526" s="10" t="inlineStr">
        <is>
          <t>Trên 1 Năm</t>
        </is>
      </c>
      <c r="L19526" s="11">
        <f>HYPERLINK("https://careerviet.vn/vi/tim-viec-lam/kv-noi-thanh-ha-noi-chuyen-vien-cvc-cvcc-quan-he-khach-hang-doanh-nghiep.35C63E8E.html","Xem chi tiết")</f>
        <v/>
      </c>
      <c r="M19526" s="10" t="n"/>
    </row>
    <row r="19527">
      <c r="B19527" s="7" t="n">
        <v>19525</v>
      </c>
      <c r="C19527" t="inlineStr">
        <is>
          <t>Medical Representative</t>
        </is>
      </c>
      <c r="D19527" t="inlineStr">
        <is>
          <t>PeopleWise Vietnam</t>
        </is>
      </c>
      <c r="E19527" t="inlineStr">
        <is>
          <t>Lương:20 Tr - 25 Tr VND</t>
        </is>
      </c>
      <c r="F19527" t="inlineStr">
        <is>
          <t>Hồ Chí Minh</t>
        </is>
      </c>
      <c r="G19527" t="inlineStr">
        <is>
          <t>26-03-2026</t>
        </is>
      </c>
      <c r="H19527" t="inlineStr">
        <is>
          <t>26/03/2026</t>
        </is>
      </c>
      <c r="I19527" t="inlineStr">
        <is>
          <t>17/03/2026</t>
        </is>
      </c>
      <c r="J19527" t="inlineStr">
        <is>
          <t>Bán hàng / Kinh doanh, Dược phẩm/ Hóa Mỹ Phẩm, Y tế / Chăm sóc sức khỏe / Thẩm mỹ / Làm đẹp</t>
        </is>
      </c>
      <c r="K19527" t="inlineStr">
        <is>
          <t>3 - 5 Năm</t>
        </is>
      </c>
      <c r="L19527" s="8">
        <f>HYPERLINK("https://careerviet.vn/vi/tim-viec-lam/medical-representative.35C63ECA.html","Xem chi tiết")</f>
        <v/>
      </c>
    </row>
    <row r="19528">
      <c r="B19528" s="9" t="n">
        <v>19526</v>
      </c>
      <c r="C19528" s="10" t="inlineStr">
        <is>
          <t>Chuyên Viên Kiểm Soát Nội Bộ</t>
        </is>
      </c>
      <c r="D19528" s="10" t="inlineStr">
        <is>
          <t>CÔNG TY CỔ PHẦN TẬP ĐOÀN ONSEN FUJI</t>
        </is>
      </c>
      <c r="E19528" s="10" t="inlineStr">
        <is>
          <t>Lương:20 Tr - 30 Tr VND</t>
        </is>
      </c>
      <c r="F19528" s="10" t="inlineStr">
        <is>
          <t>Hà Nội</t>
        </is>
      </c>
      <c r="G19528" s="10" t="inlineStr">
        <is>
          <t>26-03-2026</t>
        </is>
      </c>
      <c r="H19528" s="10" t="inlineStr">
        <is>
          <t>26/03/2026</t>
        </is>
      </c>
      <c r="I19528" s="10" t="inlineStr">
        <is>
          <t>17/03/2026</t>
        </is>
      </c>
      <c r="J19528" s="10" t="inlineStr">
        <is>
          <t>Kế toán / Kiểm toán, Xây dựng, Bất động sản</t>
        </is>
      </c>
      <c r="K19528" s="10" t="inlineStr">
        <is>
          <t>5 - 7 Năm</t>
        </is>
      </c>
      <c r="L19528" s="11">
        <f>HYPERLINK("https://careerviet.vn/vi/tim-viec-lam/chuyen-vien-kiem-soat-noi-bo.35C63F81.html","Xem chi tiết")</f>
        <v/>
      </c>
      <c r="M19528" s="10" t="n"/>
    </row>
    <row r="19529">
      <c r="B19529" s="7" t="n">
        <v>19527</v>
      </c>
      <c r="C19529" t="inlineStr">
        <is>
          <t>Giáo Viên Giáo dục Thể chất</t>
        </is>
      </c>
      <c r="D19529" t="inlineStr">
        <is>
          <t>Công ty CP Giáo dục Quốc tế Việt Úc</t>
        </is>
      </c>
      <c r="E19529" t="inlineStr">
        <is>
          <t>Lương:Cạnh tranh</t>
        </is>
      </c>
      <c r="F19529" t="inlineStr">
        <is>
          <t>Hồ Chí Minh</t>
        </is>
      </c>
      <c r="G19529" t="inlineStr">
        <is>
          <t>26-03-2026</t>
        </is>
      </c>
      <c r="H19529" t="inlineStr">
        <is>
          <t>26/03/2026</t>
        </is>
      </c>
      <c r="I19529" t="inlineStr">
        <is>
          <t>17/03/2026</t>
        </is>
      </c>
      <c r="J19529" t="inlineStr">
        <is>
          <t>Giáo dục / Đào tạo</t>
        </is>
      </c>
      <c r="K19529" t="inlineStr">
        <is>
          <t>1 - 3 Năm</t>
        </is>
      </c>
      <c r="L19529" s="8">
        <f>HYPERLINK("https://careerviet.vn/vi/tim-viec-lam/giao-vien-giao-duc-the-chat.35C63F62.html","Xem chi tiết")</f>
        <v/>
      </c>
    </row>
    <row r="19530">
      <c r="B19530" s="9" t="n">
        <v>19528</v>
      </c>
      <c r="C19530" s="10" t="inlineStr">
        <is>
          <t>Bác Sĩ Phẫu Thuật Thẩm Mỹ  (Hà Nội)</t>
        </is>
      </c>
      <c r="D19530" s="10" t="inlineStr">
        <is>
          <t>Công ty cổ phần HaMo Holdings</t>
        </is>
      </c>
      <c r="E19530" s="10" t="inlineStr">
        <is>
          <t>Lương:Cạnh tranh</t>
        </is>
      </c>
      <c r="F19530" s="10" t="inlineStr">
        <is>
          <t>Hà Nội</t>
        </is>
      </c>
      <c r="G19530" s="10" t="inlineStr">
        <is>
          <t>26-03-2026</t>
        </is>
      </c>
      <c r="H19530" s="10" t="inlineStr">
        <is>
          <t>26/03/2026</t>
        </is>
      </c>
      <c r="I19530" s="10" t="inlineStr">
        <is>
          <t>17/03/2026</t>
        </is>
      </c>
      <c r="J19530" s="10" t="inlineStr">
        <is>
          <t>Y tế / Chăm sóc sức khỏe / Thẩm mỹ / Làm đẹp, Tư vấn, Dịch vụ khách hàng</t>
        </is>
      </c>
      <c r="K19530" s="10" t="inlineStr">
        <is>
          <t>3 - 5 Năm</t>
        </is>
      </c>
      <c r="L19530" s="11">
        <f>HYPERLINK("https://careerviet.vn/vi/tim-viec-lam/bac-si-phau-thuat-tham-my-ha-noi.35C63F2A.html","Xem chi tiết")</f>
        <v/>
      </c>
      <c r="M19530" s="10" t="n"/>
    </row>
    <row r="19531">
      <c r="B19531" s="7" t="n">
        <v>19529</v>
      </c>
      <c r="C19531" t="inlineStr">
        <is>
          <t>Kế toán thanh toán/tổng hợp</t>
        </is>
      </c>
      <c r="D19531" t="inlineStr">
        <is>
          <t>Công ty cổ phần Xây dựng Công trình IPC</t>
        </is>
      </c>
      <c r="E19531" t="inlineStr">
        <is>
          <t>Lương:14 Tr - 18 Tr VND</t>
        </is>
      </c>
      <c r="F19531" t="inlineStr">
        <is>
          <t>Hà Nội</t>
        </is>
      </c>
      <c r="G19531" t="inlineStr">
        <is>
          <t>26-03-2026</t>
        </is>
      </c>
      <c r="H19531" t="inlineStr">
        <is>
          <t>26/03/2026</t>
        </is>
      </c>
      <c r="I19531" t="inlineStr">
        <is>
          <t>17/03/2026</t>
        </is>
      </c>
      <c r="J19531" t="inlineStr">
        <is>
          <t>Kế toán / Kiểm toán, Tài chính / Đầu tư</t>
        </is>
      </c>
      <c r="K19531" t="inlineStr">
        <is>
          <t>Trên 2 Năm</t>
        </is>
      </c>
      <c r="L19531" s="8">
        <f>HYPERLINK("https://careerviet.vn/vi/tim-viec-lam/ke-toan-thanh-toan-tong-hop.35C63EC7.html","Xem chi tiết")</f>
        <v/>
      </c>
    </row>
    <row r="19532">
      <c r="B19532" s="9" t="n">
        <v>19530</v>
      </c>
      <c r="C19532" s="10" t="inlineStr">
        <is>
          <t>Nhân viên Lái xe chuyên gia</t>
        </is>
      </c>
      <c r="D19532" s="10" t="inlineStr">
        <is>
          <t>Công ty TNHH, Liên Doanh Vĩnh Hưng (TMI Việt Nam)</t>
        </is>
      </c>
      <c r="E19532" s="10" t="inlineStr">
        <is>
          <t>Lương:11 Tr - 15 Tr VND</t>
        </is>
      </c>
      <c r="F19532" s="10" t="inlineStr">
        <is>
          <t>Hồ Chí Minh</t>
        </is>
      </c>
      <c r="G19532" s="10" t="inlineStr">
        <is>
          <t>26-03-2026</t>
        </is>
      </c>
      <c r="H19532" s="10" t="inlineStr">
        <is>
          <t>26/03/2026</t>
        </is>
      </c>
      <c r="I19532" s="10" t="inlineStr">
        <is>
          <t>17/03/2026</t>
        </is>
      </c>
      <c r="J19532" s="10" t="inlineStr">
        <is>
          <t>Vận chuyển / Giao nhận / Kho vận</t>
        </is>
      </c>
      <c r="K19532" s="10" t="inlineStr">
        <is>
          <t>2 - 10 Năm</t>
        </is>
      </c>
      <c r="L19532" s="11">
        <f>HYPERLINK("https://careerviet.vn/vi/tim-viec-lam/nhan-vien-lai-xe-chuyen-gia.35C63F99.html","Xem chi tiết")</f>
        <v/>
      </c>
      <c r="M19532" s="10" t="n"/>
    </row>
    <row r="19533">
      <c r="B19533" s="7" t="n">
        <v>19531</v>
      </c>
      <c r="C19533" t="inlineStr">
        <is>
          <t>Giám đốc QHKH Doanh nghiệp</t>
        </is>
      </c>
      <c r="D19533" t="inlineStr">
        <is>
          <t>Ngân Hàng TMCP Việt Nam Thịnh Vượng - VPBANK</t>
        </is>
      </c>
      <c r="E19533" t="inlineStr">
        <is>
          <t>Lương:25 Tr - 50 Tr VND</t>
        </is>
      </c>
      <c r="F19533" t="inlineStr">
        <is>
          <t>Hồ Chí MinhHà Nội</t>
        </is>
      </c>
      <c r="G19533" t="inlineStr">
        <is>
          <t>26-03-2026</t>
        </is>
      </c>
      <c r="H19533" t="inlineStr">
        <is>
          <t>26/03/2026</t>
        </is>
      </c>
      <c r="I19533" t="inlineStr">
        <is>
          <t>17/03/2026</t>
        </is>
      </c>
      <c r="J19533" t="inlineStr">
        <is>
          <t>Ngân hàng</t>
        </is>
      </c>
      <c r="K19533" t="inlineStr">
        <is>
          <t>3 - 10 Năm</t>
        </is>
      </c>
      <c r="L19533" s="8">
        <f>HYPERLINK("https://careerviet.vn/vi/tim-viec-lam/giam-doc-qhkh-doanh-nghiep.35C63EFD.html","Xem chi tiết")</f>
        <v/>
      </c>
    </row>
    <row r="19534">
      <c r="B19534" s="9" t="n">
        <v>19532</v>
      </c>
      <c r="C19534" s="10" t="inlineStr">
        <is>
          <t>Kỹ thuật viên an ninh</t>
        </is>
      </c>
      <c r="D19534" s="10" t="inlineStr">
        <is>
          <t>Fushan Technology Vietnam</t>
        </is>
      </c>
      <c r="E19534" s="10" t="inlineStr">
        <is>
          <t>Lương:6 Tr - 12 Tr VND</t>
        </is>
      </c>
      <c r="F19534" s="10" t="inlineStr">
        <is>
          <t>Bắc Ninh</t>
        </is>
      </c>
      <c r="G19534" s="10" t="inlineStr">
        <is>
          <t>26-03-2026</t>
        </is>
      </c>
      <c r="H19534" s="10" t="inlineStr">
        <is>
          <t>26/03/2026</t>
        </is>
      </c>
      <c r="I19534" s="10" t="inlineStr">
        <is>
          <t>17/03/2026</t>
        </is>
      </c>
      <c r="J19534" s="10" t="inlineStr">
        <is>
          <t>Sản xuất / Vận hành sản xuất</t>
        </is>
      </c>
      <c r="K19534" s="10" t="inlineStr">
        <is>
          <t>N/A</t>
        </is>
      </c>
      <c r="L19534" s="11">
        <f>HYPERLINK("https://careerviet.vn/vi/tim-viec-lam/ky-thuat-vien-an-ninh.35C63EFC.html","Xem chi tiết")</f>
        <v/>
      </c>
      <c r="M19534" s="10" t="n"/>
    </row>
    <row r="19535">
      <c r="B19535" s="7" t="n">
        <v>19533</v>
      </c>
      <c r="C19535" t="inlineStr">
        <is>
          <t>[Bảo Lộc] - Chuyên viên Thẩm định giá</t>
        </is>
      </c>
      <c r="D19535" t="inlineStr">
        <is>
          <t>Ngân hàng TMCP Lộc Phát Việt Nam (LPBank)</t>
        </is>
      </c>
      <c r="E19535" t="inlineStr">
        <is>
          <t>Lương:Cạnh tranh</t>
        </is>
      </c>
      <c r="F19535" t="inlineStr">
        <is>
          <t>Lâm Đồng</t>
        </is>
      </c>
      <c r="G19535" t="inlineStr">
        <is>
          <t>26-03-2026</t>
        </is>
      </c>
      <c r="H19535" t="inlineStr">
        <is>
          <t>26/03/2026</t>
        </is>
      </c>
      <c r="I19535" t="inlineStr">
        <is>
          <t>17/03/2026</t>
        </is>
      </c>
      <c r="J19535" t="inlineStr">
        <is>
          <t>Luật / Pháp lý, Ngân hàng</t>
        </is>
      </c>
      <c r="K19535" t="inlineStr">
        <is>
          <t>1 - 3 Năm</t>
        </is>
      </c>
      <c r="L19535" s="8">
        <f>HYPERLINK("https://careerviet.vn/vi/tim-viec-lam/bao-loc-chuyen-vien-tham-dinh-gia.35C63F72.html","Xem chi tiết")</f>
        <v/>
      </c>
    </row>
    <row r="19536">
      <c r="B19536" s="9" t="n">
        <v>19534</v>
      </c>
      <c r="C19536" s="10" t="inlineStr">
        <is>
          <t>Academic Coach  - Cố Vấn Học Tập</t>
        </is>
      </c>
      <c r="D19536" s="10" t="inlineStr">
        <is>
          <t>Wall Street English</t>
        </is>
      </c>
      <c r="E19536" s="10" t="inlineStr">
        <is>
          <t>Lương:10 Tr - 12 Tr VND</t>
        </is>
      </c>
      <c r="F19536" s="10" t="inlineStr">
        <is>
          <t>Hồ Chí Minh</t>
        </is>
      </c>
      <c r="G19536" s="10" t="inlineStr">
        <is>
          <t>26-03-2026</t>
        </is>
      </c>
      <c r="H19536" s="10" t="inlineStr">
        <is>
          <t>26/03/2026</t>
        </is>
      </c>
      <c r="I19536" s="10" t="inlineStr">
        <is>
          <t>17/03/2026</t>
        </is>
      </c>
      <c r="J19536" s="10" t="inlineStr">
        <is>
          <t>Tư vấn, Dịch vụ khách hàng, Giáo dục / Đào tạo</t>
        </is>
      </c>
      <c r="K19536" s="10" t="inlineStr">
        <is>
          <t>2 - 3 Năm</t>
        </is>
      </c>
      <c r="L19536" s="11">
        <f>HYPERLINK("https://careerviet.vn/vi/tim-viec-lam/academic-coach-co-van-hoc-tap.35C63FBA.html","Xem chi tiết")</f>
        <v/>
      </c>
      <c r="M19536" s="10" t="n"/>
    </row>
    <row r="19537">
      <c r="B19537" s="7" t="n">
        <v>19535</v>
      </c>
      <c r="C19537" t="inlineStr">
        <is>
          <t>KỸ THUẬT BIM</t>
        </is>
      </c>
      <c r="D19537" t="inlineStr">
        <is>
          <t>Tổng công ty Xây dựng số 1 – CTCP</t>
        </is>
      </c>
      <c r="E19537" t="inlineStr">
        <is>
          <t>Lương:Cạnh tranh</t>
        </is>
      </c>
      <c r="F19537" t="inlineStr">
        <is>
          <t>Hồ Chí Minh</t>
        </is>
      </c>
      <c r="G19537" t="inlineStr">
        <is>
          <t>26-03-2026</t>
        </is>
      </c>
      <c r="H19537" t="inlineStr">
        <is>
          <t>26/03/2026</t>
        </is>
      </c>
      <c r="I19537" t="inlineStr">
        <is>
          <t>17/03/2026</t>
        </is>
      </c>
      <c r="J19537" t="inlineStr">
        <is>
          <t>Kiến trúc, Xây dựng</t>
        </is>
      </c>
      <c r="K19537" t="inlineStr">
        <is>
          <t>Chưa có kinh nghiệm</t>
        </is>
      </c>
      <c r="L19537" s="8">
        <f>HYPERLINK("https://careerviet.vn/vi/tim-viec-lam/ky-thuat-bim.35C63F8E.html","Xem chi tiết")</f>
        <v/>
      </c>
    </row>
    <row r="19538">
      <c r="B19538" s="9" t="n">
        <v>19536</v>
      </c>
      <c r="C19538" s="10" t="inlineStr">
        <is>
          <t>Urgent - ACP sales engineering - Kĩ sư sales dự án điều hòa - Đi làm sau tết</t>
        </is>
      </c>
      <c r="D19538" s="10" t="inlineStr">
        <is>
          <t>Mitsubishi Electric Vietnam</t>
        </is>
      </c>
      <c r="E19538" s="10" t="inlineStr">
        <is>
          <t>Lương:Cạnh tranh</t>
        </is>
      </c>
      <c r="F19538" s="10" t="inlineStr">
        <is>
          <t>Hà Nội</t>
        </is>
      </c>
      <c r="G19538" s="10" t="inlineStr">
        <is>
          <t>26-03-2026</t>
        </is>
      </c>
      <c r="H19538" s="10" t="inlineStr">
        <is>
          <t>26/03/2026</t>
        </is>
      </c>
      <c r="I19538" s="10" t="inlineStr">
        <is>
          <t>17/03/2026</t>
        </is>
      </c>
      <c r="J19538" s="10" t="inlineStr">
        <is>
          <t>Bán Hàng Kỹ Thuật</t>
        </is>
      </c>
      <c r="K19538" s="10" t="inlineStr">
        <is>
          <t>1 - 2 Năm</t>
        </is>
      </c>
      <c r="L19538" s="11">
        <f>HYPERLINK("https://careerviet.vn/vi/tim-viec-lam/urgent-acp-sales-engineering-ki-su-sales-du-an-dieu-hoa-di-lam-sau-tet.35C63ED2.html","Xem chi tiết")</f>
        <v/>
      </c>
      <c r="M19538" s="10" t="n"/>
    </row>
    <row r="19539">
      <c r="B19539" s="7" t="n">
        <v>19537</v>
      </c>
      <c r="C19539" t="inlineStr">
        <is>
          <t>Kỹ Sư Giám Sát</t>
        </is>
      </c>
      <c r="D19539" t="inlineStr">
        <is>
          <t>CÔNG TY TNHH THIẾT KẾ XÂY DỰNG TRƯỜNG SINH</t>
        </is>
      </c>
      <c r="E19539" t="inlineStr">
        <is>
          <t>Lương:8 Tr - 15 Tr VND</t>
        </is>
      </c>
      <c r="F19539" t="inlineStr">
        <is>
          <t>Đồng Nai</t>
        </is>
      </c>
      <c r="G19539" t="inlineStr">
        <is>
          <t>25-03-2026</t>
        </is>
      </c>
      <c r="H19539" t="inlineStr">
        <is>
          <t>25/03/2026</t>
        </is>
      </c>
      <c r="I19539" t="inlineStr">
        <is>
          <t>17/03/2026</t>
        </is>
      </c>
      <c r="J19539" t="inlineStr">
        <is>
          <t>Kiến trúc, Xây dựng, Quản lý điều hành</t>
        </is>
      </c>
      <c r="K19539" t="inlineStr">
        <is>
          <t>Trên 1 Năm</t>
        </is>
      </c>
      <c r="L19539" s="8">
        <f>HYPERLINK("https://careerviet.vn/vi/tim-viec-lam/ky-su-giam-sat.35C63B85.html","Xem chi tiết")</f>
        <v/>
      </c>
    </row>
    <row r="19540">
      <c r="B19540" s="9" t="n">
        <v>19538</v>
      </c>
      <c r="C19540" s="10" t="inlineStr">
        <is>
          <t>ODOO INTEGRATOR</t>
        </is>
      </c>
      <c r="D19540" s="10" t="inlineStr">
        <is>
          <t>Tổng công ty Xây dựng số 1 – CTCP</t>
        </is>
      </c>
      <c r="E19540" s="10" t="inlineStr">
        <is>
          <t>Lương:Cạnh tranh</t>
        </is>
      </c>
      <c r="F19540" s="10" t="inlineStr">
        <is>
          <t>Hồ Chí Minh</t>
        </is>
      </c>
      <c r="G19540" s="10" t="inlineStr">
        <is>
          <t>26-03-2026</t>
        </is>
      </c>
      <c r="H19540" s="10" t="inlineStr">
        <is>
          <t>26/03/2026</t>
        </is>
      </c>
      <c r="I19540" s="10" t="inlineStr">
        <is>
          <t>17/03/2026</t>
        </is>
      </c>
      <c r="J19540" s="10" t="inlineStr">
        <is>
          <t>CNTT - Phần mềm</t>
        </is>
      </c>
      <c r="K19540" s="10" t="inlineStr">
        <is>
          <t>2 - 5 Năm</t>
        </is>
      </c>
      <c r="L19540" s="11">
        <f>HYPERLINK("https://careerviet.vn/vi/tim-viec-lam/odoo-integrator.35C63F97.html","Xem chi tiết")</f>
        <v/>
      </c>
      <c r="M19540" s="10" t="n"/>
    </row>
    <row r="19541">
      <c r="B19541" s="7" t="n">
        <v>19539</v>
      </c>
      <c r="C19541" t="inlineStr">
        <is>
          <t>Trợ Lý CEO Về Thị Trường Trung Quốc</t>
        </is>
      </c>
      <c r="D19541" t="inlineStr">
        <is>
          <t>CÔNG TY CỔ PHẦN UNIK XANH</t>
        </is>
      </c>
      <c r="E19541" t="inlineStr">
        <is>
          <t>Lương:17 Tr - 25 Tr VND</t>
        </is>
      </c>
      <c r="F19541" t="inlineStr">
        <is>
          <t>Hà Nội</t>
        </is>
      </c>
      <c r="G19541" t="inlineStr">
        <is>
          <t>26-03-2026</t>
        </is>
      </c>
      <c r="H19541" t="inlineStr">
        <is>
          <t>26/03/2026</t>
        </is>
      </c>
      <c r="I19541" t="inlineStr">
        <is>
          <t>17/03/2026</t>
        </is>
      </c>
      <c r="J19541" t="inlineStr">
        <is>
          <t>Hành chính / Thư ký, Biên phiên dịch, Vận chuyển / Giao nhận / Kho vận</t>
        </is>
      </c>
      <c r="K19541" t="inlineStr">
        <is>
          <t>N/A</t>
        </is>
      </c>
      <c r="L19541" s="8">
        <f>HYPERLINK("https://careerviet.vn/vi/tim-viec-lam/tro-ly-ceo-ve-thi-truong-trung-quoc.35C63F5B.html","Xem chi tiết")</f>
        <v/>
      </c>
    </row>
    <row r="19542">
      <c r="B19542" s="9" t="n">
        <v>19540</v>
      </c>
      <c r="C19542" s="10" t="inlineStr">
        <is>
          <t>NHÂN VIÊN DỰ TOÁN NỘI THẤT - TENDER EXECUTIVE</t>
        </is>
      </c>
      <c r="D19542" s="10" t="inlineStr">
        <is>
          <t>Công Ty TNHH Xây Dựng và Nội Thất Cao Cấp Alliance</t>
        </is>
      </c>
      <c r="E19542" s="10" t="inlineStr">
        <is>
          <t>Lương:Cạnh tranh</t>
        </is>
      </c>
      <c r="F19542" s="10" t="inlineStr">
        <is>
          <t>Hồ Chí Minh</t>
        </is>
      </c>
      <c r="G19542" s="10" t="inlineStr">
        <is>
          <t>26-03-2026</t>
        </is>
      </c>
      <c r="H19542" s="10" t="inlineStr">
        <is>
          <t>26/03/2026</t>
        </is>
      </c>
      <c r="I19542" s="10" t="inlineStr">
        <is>
          <t>17/03/2026</t>
        </is>
      </c>
      <c r="J19542" s="10" t="inlineStr">
        <is>
          <t>Kiến trúc, Xây dựng, Nội ngoại thất</t>
        </is>
      </c>
      <c r="K19542" s="10" t="inlineStr">
        <is>
          <t>Trên 3 Năm</t>
        </is>
      </c>
      <c r="L19542" s="11">
        <f>HYPERLINK("https://careerviet.vn/vi/tim-viec-lam/nhan-vien-du-toan-noi-that-tender-executive.35C63F01.html","Xem chi tiết")</f>
        <v/>
      </c>
      <c r="M19542" s="10" t="n"/>
    </row>
    <row r="19543">
      <c r="B19543" s="7" t="n">
        <v>19541</v>
      </c>
      <c r="C19543" t="inlineStr">
        <is>
          <t>QA Engineer</t>
        </is>
      </c>
      <c r="D19543" t="inlineStr">
        <is>
          <t>Brand Packaging Joint Stock Company</t>
        </is>
      </c>
      <c r="E19543" t="inlineStr">
        <is>
          <t>Lương:Cạnh tranh</t>
        </is>
      </c>
      <c r="F19543" t="inlineStr">
        <is>
          <t>Bình Dương</t>
        </is>
      </c>
      <c r="G19543" t="inlineStr">
        <is>
          <t>26-03-2026</t>
        </is>
      </c>
      <c r="H19543" t="inlineStr">
        <is>
          <t>26/03/2026</t>
        </is>
      </c>
      <c r="I19543" t="inlineStr">
        <is>
          <t>17/03/2026</t>
        </is>
      </c>
      <c r="J19543" t="inlineStr">
        <is>
          <t>Sản xuất / Vận hành sản xuất, Hóa học, Quản lý chất lượng (QA/QC)</t>
        </is>
      </c>
      <c r="K19543" t="inlineStr">
        <is>
          <t>3 - 5 Năm</t>
        </is>
      </c>
      <c r="L19543" s="8">
        <f>HYPERLINK("https://careerviet.vn/vi/tim-viec-lam/qa-engineer.35C63EDF.html","Xem chi tiết")</f>
        <v/>
      </c>
    </row>
    <row r="19544">
      <c r="B19544" s="9" t="n">
        <v>19542</v>
      </c>
      <c r="C19544" s="10" t="inlineStr">
        <is>
          <t>Kế toán thanh toán</t>
        </is>
      </c>
      <c r="D19544" s="10" t="inlineStr">
        <is>
          <t>Bảo mật</t>
        </is>
      </c>
      <c r="E19544" s="10" t="inlineStr">
        <is>
          <t>Lương:12 Tr - 15 Tr VND</t>
        </is>
      </c>
      <c r="F19544" s="10" t="inlineStr">
        <is>
          <t>Hà Nội</t>
        </is>
      </c>
      <c r="G19544" s="10" t="inlineStr">
        <is>
          <t>26-03-2026</t>
        </is>
      </c>
      <c r="H19544" s="10" t="inlineStr">
        <is>
          <t>26/03/2026</t>
        </is>
      </c>
      <c r="I19544" s="10" t="inlineStr">
        <is>
          <t>17/03/2026</t>
        </is>
      </c>
      <c r="J19544" s="10" t="inlineStr">
        <is>
          <t>Kế toán / Kiểm toán</t>
        </is>
      </c>
      <c r="K19544" s="10" t="inlineStr">
        <is>
          <t>1 - 5 Năm</t>
        </is>
      </c>
      <c r="L19544" s="11">
        <f>HYPERLINK("https://careerviet.vn/vi/tim-viec-lam/ke-toan-thanh-toan.35C63ED4.html","Xem chi tiết")</f>
        <v/>
      </c>
      <c r="M19544" s="10" t="n"/>
    </row>
    <row r="19545">
      <c r="B19545" s="7" t="n">
        <v>19543</v>
      </c>
      <c r="C19545" t="inlineStr">
        <is>
          <t>Nhân Viên Telesales – Tư Vấn Sức Khỏe</t>
        </is>
      </c>
      <c r="D19545" t="inlineStr">
        <is>
          <t>Công ty cổ phần Jadovie</t>
        </is>
      </c>
      <c r="E19545" t="inlineStr">
        <is>
          <t>Lương:12 Tr - 15 Tr VND</t>
        </is>
      </c>
      <c r="F19545" t="inlineStr">
        <is>
          <t>Hồ Chí Minh</t>
        </is>
      </c>
      <c r="G19545" t="inlineStr">
        <is>
          <t>26-03-2026</t>
        </is>
      </c>
      <c r="H19545" t="inlineStr">
        <is>
          <t>26/03/2026</t>
        </is>
      </c>
      <c r="I19545" t="inlineStr">
        <is>
          <t>17/03/2026</t>
        </is>
      </c>
      <c r="J19545" t="inlineStr">
        <is>
          <t>Y tế / Chăm sóc sức khỏe / Thẩm mỹ / Làm đẹp, Tư vấn, Bán hàng / Kinh doanh</t>
        </is>
      </c>
      <c r="K19545" t="inlineStr">
        <is>
          <t>N/A</t>
        </is>
      </c>
      <c r="L19545" s="8">
        <f>HYPERLINK("https://careerviet.vn/vi/tim-viec-lam/nhan-vien-telesales-tu-van-suc-khoe.35C63F65.html","Xem chi tiết")</f>
        <v/>
      </c>
    </row>
    <row r="19546">
      <c r="B19546" s="9" t="n">
        <v>19544</v>
      </c>
      <c r="C19546" s="10" t="inlineStr">
        <is>
          <t>KỸ SƯ IOT</t>
        </is>
      </c>
      <c r="D19546" s="10" t="inlineStr">
        <is>
          <t>Tổng công ty Xây dựng số 1 – CTCP</t>
        </is>
      </c>
      <c r="E19546" s="10" t="inlineStr">
        <is>
          <t>Lương:Cạnh tranh</t>
        </is>
      </c>
      <c r="F19546" s="10" t="inlineStr">
        <is>
          <t>Hồ Chí Minh</t>
        </is>
      </c>
      <c r="G19546" s="10" t="inlineStr">
        <is>
          <t>26-03-2026</t>
        </is>
      </c>
      <c r="H19546" s="10" t="inlineStr">
        <is>
          <t>26/03/2026</t>
        </is>
      </c>
      <c r="I19546" s="10" t="inlineStr">
        <is>
          <t>17/03/2026</t>
        </is>
      </c>
      <c r="J19546" s="10" t="inlineStr">
        <is>
          <t>Điện / Điện tử / Điện lạnh / Điện công nghiệp</t>
        </is>
      </c>
      <c r="K19546" s="10" t="inlineStr">
        <is>
          <t>2 - 5 Năm</t>
        </is>
      </c>
      <c r="L19546" s="11">
        <f>HYPERLINK("https://careerviet.vn/vi/tim-viec-lam/ky-su-iot.35C63F83.html","Xem chi tiết")</f>
        <v/>
      </c>
      <c r="M19546" s="10" t="n"/>
    </row>
    <row r="19547">
      <c r="B19547" s="7" t="n">
        <v>19545</v>
      </c>
      <c r="C19547" t="inlineStr">
        <is>
          <t>Nhân Viên Kỹ Thuật Sản Xuất</t>
        </is>
      </c>
      <c r="D19547" t="inlineStr">
        <is>
          <t>Công ty TNHH SX-TM-DV Qui Phúc</t>
        </is>
      </c>
      <c r="E19547" t="inlineStr">
        <is>
          <t>Lương:12 Tr - 15 Tr VND</t>
        </is>
      </c>
      <c r="F19547" t="inlineStr">
        <is>
          <t>Hồ Chí Minh</t>
        </is>
      </c>
      <c r="G19547" t="inlineStr">
        <is>
          <t>26-03-2026</t>
        </is>
      </c>
      <c r="H19547" t="inlineStr">
        <is>
          <t>26/03/2026</t>
        </is>
      </c>
      <c r="I19547" t="inlineStr">
        <is>
          <t>17/03/2026</t>
        </is>
      </c>
      <c r="J19547" t="inlineStr">
        <is>
          <t>Cơ khí / Ô tô / Tự động hóa, Bảo trì / Sửa chữa, Sản xuất / Vận hành sản xuất</t>
        </is>
      </c>
      <c r="K19547" t="inlineStr">
        <is>
          <t>1 - 2 Năm</t>
        </is>
      </c>
      <c r="L19547" s="8">
        <f>HYPERLINK("https://careerviet.vn/vi/tim-viec-lam/nhan-vien-ky-thuat-san-xuat.35C63F9C.html","Xem chi tiết")</f>
        <v/>
      </c>
    </row>
    <row r="19548">
      <c r="B19548" s="9" t="n">
        <v>19546</v>
      </c>
      <c r="C19548" s="10" t="inlineStr">
        <is>
          <t>Sales Manager – Automation Solutions</t>
        </is>
      </c>
      <c r="D19548" s="10" t="inlineStr">
        <is>
          <t>CÔNG TY CỔ PHẦN TẬP ĐOÀN DAT</t>
        </is>
      </c>
      <c r="E19548" s="10" t="inlineStr">
        <is>
          <t>Lương:30 Tr - 50 Tr VND</t>
        </is>
      </c>
      <c r="F19548" s="10" t="inlineStr">
        <is>
          <t>Hồ Chí Minh</t>
        </is>
      </c>
      <c r="G19548" s="10" t="inlineStr">
        <is>
          <t>26-03-2026</t>
        </is>
      </c>
      <c r="H19548" s="10" t="inlineStr">
        <is>
          <t>26/03/2026</t>
        </is>
      </c>
      <c r="I19548" s="10" t="inlineStr">
        <is>
          <t>17/03/2026</t>
        </is>
      </c>
      <c r="J19548" s="10" t="inlineStr">
        <is>
          <t>Bán hàng / Kinh doanh, Bán Hàng Kỹ Thuật, Cơ khí / Ô tô / Tự động hóa</t>
        </is>
      </c>
      <c r="K19548" s="10" t="inlineStr">
        <is>
          <t>7 - 10 Năm</t>
        </is>
      </c>
      <c r="L19548" s="11">
        <f>HYPERLINK("https://careerviet.vn/vi/tim-viec-lam/sales-manager-automation-solutions.35C63EB3.html","Xem chi tiết")</f>
        <v/>
      </c>
      <c r="M19548" s="10" t="n"/>
    </row>
    <row r="19549">
      <c r="B19549" s="7" t="n">
        <v>19547</v>
      </c>
      <c r="C19549" t="inlineStr">
        <is>
          <t>Warehouse Supervisor_Chinese Speaking</t>
        </is>
      </c>
      <c r="D19549" t="inlineStr">
        <is>
          <t>PeopleWise Vietnam</t>
        </is>
      </c>
      <c r="E19549" t="inlineStr">
        <is>
          <t>Lương:Cạnh tranh</t>
        </is>
      </c>
      <c r="F19549" t="inlineStr">
        <is>
          <t>Bình Dương</t>
        </is>
      </c>
      <c r="G19549" t="inlineStr">
        <is>
          <t>26-03-2026</t>
        </is>
      </c>
      <c r="H19549" t="inlineStr">
        <is>
          <t>26/03/2026</t>
        </is>
      </c>
      <c r="I19549" t="inlineStr">
        <is>
          <t>17/03/2026</t>
        </is>
      </c>
      <c r="J19549" t="inlineStr">
        <is>
          <t>Vận chuyển / Giao nhận / Kho vận, Sản xuất / Vận hành sản xuất, Dệt may / Da giày / Thời trang</t>
        </is>
      </c>
      <c r="K19549" t="inlineStr">
        <is>
          <t>3 - 5 Năm</t>
        </is>
      </c>
      <c r="L19549" s="8">
        <f>HYPERLINK("https://careerviet.vn/vi/tim-viec-lam/warehouse-supervisor_chinese-speaking.35C63F1E.html","Xem chi tiết")</f>
        <v/>
      </c>
    </row>
    <row r="19550">
      <c r="B19550" s="9" t="n">
        <v>19548</v>
      </c>
      <c r="C19550" s="10" t="inlineStr">
        <is>
          <t>Nhân Viên Bán Hàng Sim thẻ Làm Tại Sân Bay Tân Sơn Nhất</t>
        </is>
      </c>
      <c r="D19550" s="10" t="inlineStr">
        <is>
          <t>Công ty Cổ phần Đầu tư Thương mại Kỹ thuật A&amp;T Việt Nam</t>
        </is>
      </c>
      <c r="E19550" s="10" t="inlineStr">
        <is>
          <t>Lương:7 Tr - 12 Tr VND</t>
        </is>
      </c>
      <c r="F19550" s="10" t="inlineStr">
        <is>
          <t>Hồ Chí Minh</t>
        </is>
      </c>
      <c r="G19550" s="10" t="inlineStr">
        <is>
          <t>26-03-2026</t>
        </is>
      </c>
      <c r="H19550" s="10" t="inlineStr">
        <is>
          <t>26/03/2026</t>
        </is>
      </c>
      <c r="I19550" s="10" t="inlineStr">
        <is>
          <t>17/03/2026</t>
        </is>
      </c>
      <c r="J19550" s="10" t="inlineStr">
        <is>
          <t>Tiếp thị / Marketing, Bán lẻ / Bán sỉ, Bán hàng / Kinh doanh</t>
        </is>
      </c>
      <c r="K19550" s="10" t="inlineStr">
        <is>
          <t>1 - 2 Năm</t>
        </is>
      </c>
      <c r="L19550" s="11">
        <f>HYPERLINK("https://careerviet.vn/vi/tim-viec-lam/nhan-vien-ban-hang-sim-the-lam-tai-san-bay-tan-son-nhat.35C63F4E.html","Xem chi tiết")</f>
        <v/>
      </c>
      <c r="M19550" s="10" t="n"/>
    </row>
    <row r="19551">
      <c r="B19551" s="7" t="n">
        <v>19549</v>
      </c>
      <c r="C19551" t="inlineStr">
        <is>
          <t>Chuyên viên kinh doanh thị trường xi măng</t>
        </is>
      </c>
      <c r="D19551" t="inlineStr">
        <is>
          <t>Công ty Cổ phần Thương mại Kim San</t>
        </is>
      </c>
      <c r="E19551" t="inlineStr">
        <is>
          <t>Lương:10 Tr - 17 Tr VND</t>
        </is>
      </c>
      <c r="F19551" t="inlineStr">
        <is>
          <t>Thanh HóaQuảng Bình</t>
        </is>
      </c>
      <c r="G19551" t="inlineStr">
        <is>
          <t>26-03-2026</t>
        </is>
      </c>
      <c r="H19551" t="inlineStr">
        <is>
          <t>26/03/2026</t>
        </is>
      </c>
      <c r="I19551" t="inlineStr">
        <is>
          <t>17/03/2026</t>
        </is>
      </c>
      <c r="J19551" t="inlineStr">
        <is>
          <t>Bán lẻ / Bán sỉ, Bán hàng / Kinh doanh, Xây dựng</t>
        </is>
      </c>
      <c r="K19551" t="inlineStr">
        <is>
          <t>1 - 10 Năm</t>
        </is>
      </c>
      <c r="L19551" s="8">
        <f>HYPERLINK("https://careerviet.vn/vi/tim-viec-lam/chuyen-vien-kinh-doanh-thi-truong-xi-mang.35C63F13.html","Xem chi tiết")</f>
        <v/>
      </c>
    </row>
    <row r="19552">
      <c r="B19552" s="9" t="n">
        <v>19550</v>
      </c>
      <c r="C19552" s="10" t="inlineStr">
        <is>
          <t>QS Manager</t>
        </is>
      </c>
      <c r="D19552" s="10" t="inlineStr">
        <is>
          <t>Công Ty CP Xây Dựng Số 1 (COFICO)</t>
        </is>
      </c>
      <c r="E19552" s="10" t="inlineStr">
        <is>
          <t>Lương:25 Tr - 30 Tr VND</t>
        </is>
      </c>
      <c r="F19552" s="10" t="inlineStr">
        <is>
          <t>Hồ Chí Minh</t>
        </is>
      </c>
      <c r="G19552" s="10" t="inlineStr">
        <is>
          <t>27-03-2026</t>
        </is>
      </c>
      <c r="H19552" s="10" t="inlineStr">
        <is>
          <t>27/03/2026</t>
        </is>
      </c>
      <c r="I19552" s="10" t="inlineStr">
        <is>
          <t>17/03/2026</t>
        </is>
      </c>
      <c r="J19552" s="10" t="inlineStr">
        <is>
          <t>Kiến trúc, Xây dựng</t>
        </is>
      </c>
      <c r="K19552" s="10" t="inlineStr">
        <is>
          <t>5 - 10 Năm</t>
        </is>
      </c>
      <c r="L19552" s="11">
        <f>HYPERLINK("https://careerviet.vn/vi/tim-viec-lam/qs-manager.35C669BB.html","Xem chi tiết")</f>
        <v/>
      </c>
      <c r="M19552" s="10" t="n"/>
    </row>
    <row r="19553">
      <c r="B19553" s="7" t="n">
        <v>19551</v>
      </c>
      <c r="C19553" t="inlineStr">
        <is>
          <t>Giám sát thi công</t>
        </is>
      </c>
      <c r="D19553" t="inlineStr">
        <is>
          <t>Công Ty CP Xây Dựng Số 1 (COFICO)</t>
        </is>
      </c>
      <c r="E19553" t="inlineStr">
        <is>
          <t>Lương:15 Tr - 20 Tr VND</t>
        </is>
      </c>
      <c r="F19553" t="inlineStr">
        <is>
          <t>Hồ Chí Minh</t>
        </is>
      </c>
      <c r="G19553" t="inlineStr">
        <is>
          <t>27-03-2026</t>
        </is>
      </c>
      <c r="H19553" t="inlineStr">
        <is>
          <t>27/03/2026</t>
        </is>
      </c>
      <c r="I19553" t="inlineStr">
        <is>
          <t>17/03/2026</t>
        </is>
      </c>
      <c r="J19553" t="inlineStr">
        <is>
          <t>Kiến trúc, Xây dựng</t>
        </is>
      </c>
      <c r="K19553" t="inlineStr">
        <is>
          <t>1 - 5 Năm</t>
        </is>
      </c>
      <c r="L19553" s="8">
        <f>HYPERLINK("https://careerviet.vn/vi/tim-viec-lam/giam-sat-thi-cong.35C668F0.html","Xem chi tiết")</f>
        <v/>
      </c>
    </row>
    <row r="19554">
      <c r="B19554" s="9" t="n">
        <v>19552</v>
      </c>
      <c r="C19554" s="10" t="inlineStr">
        <is>
          <t>Nhân viên sale online</t>
        </is>
      </c>
      <c r="D19554" s="10" t="inlineStr">
        <is>
          <t>Công ty TNHH Minh Hương P.N.D (thương hiệu thời trang mặc nhà cao cấp Sunfly)</t>
        </is>
      </c>
      <c r="E19554" s="10" t="inlineStr">
        <is>
          <t>Lương:10 Tr - 15 Tr VND</t>
        </is>
      </c>
      <c r="F19554" s="10" t="inlineStr">
        <is>
          <t>Hà Nội</t>
        </is>
      </c>
      <c r="G19554" s="10" t="inlineStr">
        <is>
          <t>27-03-2026</t>
        </is>
      </c>
      <c r="H19554" s="10" t="inlineStr">
        <is>
          <t>27/03/2026</t>
        </is>
      </c>
      <c r="I19554" s="10" t="inlineStr">
        <is>
          <t>17/03/2026</t>
        </is>
      </c>
      <c r="J19554" s="10" t="inlineStr">
        <is>
          <t>Tiếp thị / Marketing, Bán hàng / Kinh doanh, Dệt may / Da giày / Thời trang</t>
        </is>
      </c>
      <c r="K19554" s="10" t="inlineStr">
        <is>
          <t>1 - 2 Năm</t>
        </is>
      </c>
      <c r="L19554" s="11">
        <f>HYPERLINK("https://careerviet.vn/vi/tim-viec-lam/nhan-vien-sale-online.35C668CB.html","Xem chi tiết")</f>
        <v/>
      </c>
      <c r="M19554" s="10" t="n"/>
    </row>
    <row r="19555">
      <c r="B19555" s="7" t="n">
        <v>19553</v>
      </c>
      <c r="C19555" t="inlineStr">
        <is>
          <t>Nhân viên giao nhận tại Thủ Đức lương lên đến 17 triệu  (Thu nhập hấp dẫn)</t>
        </is>
      </c>
      <c r="D19555" t="inlineStr">
        <is>
          <t>Công Ty Cổ Phần Hai Bốn Bảy</t>
        </is>
      </c>
      <c r="E19555" t="inlineStr">
        <is>
          <t>Lương:10 Tr - 17 Tr VND</t>
        </is>
      </c>
      <c r="F19555" t="inlineStr">
        <is>
          <t>Hồ Chí Minh</t>
        </is>
      </c>
      <c r="G19555" t="inlineStr">
        <is>
          <t>26-03-2026</t>
        </is>
      </c>
      <c r="H19555" t="inlineStr">
        <is>
          <t>26/03/2026</t>
        </is>
      </c>
      <c r="I19555" t="inlineStr">
        <is>
          <t>17/03/2026</t>
        </is>
      </c>
      <c r="J19555" t="inlineStr">
        <is>
          <t>Vận chuyển / Giao nhận / Kho vận</t>
        </is>
      </c>
      <c r="K19555" t="inlineStr">
        <is>
          <t>N/A</t>
        </is>
      </c>
      <c r="L19555" s="8">
        <f>HYPERLINK("https://careerviet.vn/vi/tim-viec-lam/nhan-vien-giao-nhan-tai-thu-duc-luong-len-den-17-trieu-thu-nhap-hap-dan.35C63EF9.html","Xem chi tiết")</f>
        <v/>
      </c>
    </row>
    <row r="19556">
      <c r="B19556" s="9" t="n">
        <v>19554</v>
      </c>
      <c r="C19556" s="10" t="inlineStr">
        <is>
          <t>Chuyên viên C&amp;B</t>
        </is>
      </c>
      <c r="D19556" s="10" t="inlineStr">
        <is>
          <t>Công Ty Cổ Phần Đông Tây Land</t>
        </is>
      </c>
      <c r="E19556" s="10" t="inlineStr">
        <is>
          <t>Lương:13 Tr - 16 Tr VND</t>
        </is>
      </c>
      <c r="F19556" s="10" t="inlineStr">
        <is>
          <t>Hồ Chí Minh</t>
        </is>
      </c>
      <c r="G19556" s="10" t="inlineStr">
        <is>
          <t>31-03-2026</t>
        </is>
      </c>
      <c r="H19556" s="10" t="inlineStr">
        <is>
          <t>31/03/2026</t>
        </is>
      </c>
      <c r="I19556" s="10" t="inlineStr">
        <is>
          <t>17/03/2026</t>
        </is>
      </c>
      <c r="J19556" s="10" t="inlineStr">
        <is>
          <t>Nhân sự, Luật / Pháp lý, Bất động sản</t>
        </is>
      </c>
      <c r="K19556" s="10" t="inlineStr">
        <is>
          <t>2 - 3 Năm</t>
        </is>
      </c>
      <c r="L19556" s="11">
        <f>HYPERLINK("https://careerviet.vn/vi/tim-viec-lam/chuyen-vien-c-b.35C66A16.html","Xem chi tiết")</f>
        <v/>
      </c>
      <c r="M19556" s="10" t="n"/>
    </row>
    <row r="19557">
      <c r="B19557" s="7" t="n">
        <v>19555</v>
      </c>
      <c r="C19557" t="inlineStr">
        <is>
          <t>Recruitment &amp; Learning Development Specialist</t>
        </is>
      </c>
      <c r="D19557" t="inlineStr">
        <is>
          <t>CÔNG TY TNHH EVOLUTION ENTERPRISES</t>
        </is>
      </c>
      <c r="E19557" t="inlineStr">
        <is>
          <t>Lương:14 Tr - 16 Tr VND</t>
        </is>
      </c>
      <c r="F19557" t="inlineStr">
        <is>
          <t>Hồ Chí Minh</t>
        </is>
      </c>
      <c r="G19557" t="inlineStr">
        <is>
          <t>27-03-2026</t>
        </is>
      </c>
      <c r="H19557" t="inlineStr">
        <is>
          <t>27/03/2026</t>
        </is>
      </c>
      <c r="I19557" t="inlineStr">
        <is>
          <t>17/03/2026</t>
        </is>
      </c>
      <c r="J19557" t="inlineStr">
        <is>
          <t>Nhân sự</t>
        </is>
      </c>
      <c r="K19557" t="inlineStr">
        <is>
          <t>2 - 5 Năm</t>
        </is>
      </c>
      <c r="L19557" s="8">
        <f>HYPERLINK("https://careerviet.vn/vi/tim-viec-lam/recruitment-learning-development-specialist.35C66912.html","Xem chi tiết")</f>
        <v/>
      </c>
    </row>
    <row r="19558">
      <c r="B19558" s="9" t="n">
        <v>19556</v>
      </c>
      <c r="C19558" s="10" t="inlineStr">
        <is>
          <t>KỸ SƯ GIẢI PHÁP (PRE-SALES)</t>
        </is>
      </c>
      <c r="D19558" s="10" t="inlineStr">
        <is>
          <t>CÔNG TY CP THƯƠNG MẠI - DỊCH VỤ SAO NAM AN</t>
        </is>
      </c>
      <c r="E19558" s="10" t="inlineStr">
        <is>
          <t>Lương:14 Tr - 20 Tr VND</t>
        </is>
      </c>
      <c r="F19558" s="10" t="inlineStr">
        <is>
          <t>Hồ Chí Minh</t>
        </is>
      </c>
      <c r="G19558" s="10" t="inlineStr">
        <is>
          <t>27-03-2026</t>
        </is>
      </c>
      <c r="H19558" s="10" t="inlineStr">
        <is>
          <t>27/03/2026</t>
        </is>
      </c>
      <c r="I19558" s="10" t="inlineStr">
        <is>
          <t>17/03/2026</t>
        </is>
      </c>
      <c r="J19558" s="10" t="inlineStr">
        <is>
          <t>Bán hàng / Kinh doanh, Điện / Điện tử / Điện lạnh / Điện công nghiệp, CNTT - Phần mềm</t>
        </is>
      </c>
      <c r="K19558" s="10" t="inlineStr">
        <is>
          <t>1 - 2 Năm</t>
        </is>
      </c>
      <c r="L19558" s="11">
        <f>HYPERLINK("https://careerviet.vn/vi/tim-viec-lam/ky-su-giai-phap-pre-sales.35C669EC.html","Xem chi tiết")</f>
        <v/>
      </c>
      <c r="M19558" s="10" t="n"/>
    </row>
    <row r="19559">
      <c r="B19559" s="7" t="n">
        <v>19557</v>
      </c>
      <c r="C19559" t="inlineStr">
        <is>
          <t>Nhân viên Hành chánh Marketing</t>
        </is>
      </c>
      <c r="D19559" t="inlineStr">
        <is>
          <t>Công Ty TNHH Perfect Companion Việt Nam</t>
        </is>
      </c>
      <c r="E19559" t="inlineStr">
        <is>
          <t>Lương:Cạnh tranh</t>
        </is>
      </c>
      <c r="F19559" t="inlineStr">
        <is>
          <t>Hà Nội</t>
        </is>
      </c>
      <c r="G19559" t="inlineStr">
        <is>
          <t>27-03-2026</t>
        </is>
      </c>
      <c r="H19559" t="inlineStr">
        <is>
          <t>27/03/2026</t>
        </is>
      </c>
      <c r="I19559" t="inlineStr">
        <is>
          <t>17/03/2026</t>
        </is>
      </c>
      <c r="J19559" t="inlineStr">
        <is>
          <t>Tiếp thị / Marketing, Hành chính / Thư ký, Ngành khác</t>
        </is>
      </c>
      <c r="K19559" t="inlineStr">
        <is>
          <t>Lên đến 1 Năm</t>
        </is>
      </c>
      <c r="L19559" s="8">
        <f>HYPERLINK("https://careerviet.vn/vi/tim-viec-lam/nhan-vien-hanh-chanh-marketing.35C66A28.html","Xem chi tiết")</f>
        <v/>
      </c>
    </row>
    <row r="19560">
      <c r="B19560" s="9" t="n">
        <v>19558</v>
      </c>
      <c r="C19560" s="10" t="inlineStr">
        <is>
          <t>Nhân viên bán hàng</t>
        </is>
      </c>
      <c r="D19560" s="10" t="inlineStr">
        <is>
          <t>HỆ THỐNG KÍNH MẮT ANNA</t>
        </is>
      </c>
      <c r="E19560" s="10" t="inlineStr">
        <is>
          <t>Lương:10 Tr - 15 Tr VND</t>
        </is>
      </c>
      <c r="F19560" s="10" t="inlineStr">
        <is>
          <t>Hải PhòngHà NộiHải Dương</t>
        </is>
      </c>
      <c r="G19560" s="10" t="inlineStr">
        <is>
          <t>27-03-2026</t>
        </is>
      </c>
      <c r="H19560" s="10" t="inlineStr">
        <is>
          <t>27/03/2026</t>
        </is>
      </c>
      <c r="I19560" s="10" t="inlineStr">
        <is>
          <t>17/03/2026</t>
        </is>
      </c>
      <c r="J19560" s="10" t="inlineStr">
        <is>
          <t>Bán lẻ / Bán sỉ, Bán hàng / Kinh doanh, Tư vấn</t>
        </is>
      </c>
      <c r="K19560" s="10" t="inlineStr">
        <is>
          <t>Chưa có kinh nghiệm</t>
        </is>
      </c>
      <c r="L19560" s="11">
        <f>HYPERLINK("https://careerviet.vn/vi/tim-viec-lam/nhan-vien-ban-hang.35C668EC.html","Xem chi tiết")</f>
        <v/>
      </c>
      <c r="M19560" s="10" t="n"/>
    </row>
    <row r="19561">
      <c r="B19561" s="7" t="n">
        <v>19559</v>
      </c>
      <c r="C19561" t="inlineStr">
        <is>
          <t>Nhân Viên Tuyển Dụng</t>
        </is>
      </c>
      <c r="D19561" t="inlineStr">
        <is>
          <t>Tổng Công ty Đối Tác Chân Thật</t>
        </is>
      </c>
      <c r="E19561" t="inlineStr">
        <is>
          <t>Lương:10 Tr - 15 Tr VND</t>
        </is>
      </c>
      <c r="F19561" t="inlineStr">
        <is>
          <t>Hồ Chí Minh</t>
        </is>
      </c>
      <c r="G19561" t="inlineStr">
        <is>
          <t>27-03-2026</t>
        </is>
      </c>
      <c r="H19561" t="inlineStr">
        <is>
          <t>27/03/2026</t>
        </is>
      </c>
      <c r="I19561" t="inlineStr">
        <is>
          <t>17/03/2026</t>
        </is>
      </c>
      <c r="J19561" t="inlineStr">
        <is>
          <t>Hành chính / Thư ký, Nhân sự, Xuất nhập khẩu</t>
        </is>
      </c>
      <c r="K19561" t="inlineStr">
        <is>
          <t>1 - 5 Năm</t>
        </is>
      </c>
      <c r="L19561" s="8">
        <f>HYPERLINK("https://careerviet.vn/vi/tim-viec-lam/nhan-vien-tuyen-dung.35C669A6.html","Xem chi tiết")</f>
        <v/>
      </c>
    </row>
    <row r="19562">
      <c r="B19562" s="9" t="n">
        <v>19560</v>
      </c>
      <c r="C19562" s="10" t="inlineStr">
        <is>
          <t>Chuyên viên Thiết kế đồ họa</t>
        </is>
      </c>
      <c r="D19562" s="10" t="inlineStr">
        <is>
          <t>Công ty Cổ phần CANIFA</t>
        </is>
      </c>
      <c r="E19562" s="10" t="inlineStr">
        <is>
          <t>Lương:16 Tr - 23 Tr VND</t>
        </is>
      </c>
      <c r="F19562" s="10" t="inlineStr">
        <is>
          <t>Hà Nội</t>
        </is>
      </c>
      <c r="G19562" s="10" t="inlineStr">
        <is>
          <t>27-03-2026</t>
        </is>
      </c>
      <c r="H19562" s="10" t="inlineStr">
        <is>
          <t>27/03/2026</t>
        </is>
      </c>
      <c r="I19562" s="10" t="inlineStr">
        <is>
          <t>17/03/2026</t>
        </is>
      </c>
      <c r="J19562" s="10" t="inlineStr">
        <is>
          <t>Mỹ thuật / Nghệ thuật / Thiết kế, Dệt may / Da giày / Thời trang, Quảng cáo / Đối ngoại / Truyền Thông</t>
        </is>
      </c>
      <c r="K19562" s="10" t="inlineStr">
        <is>
          <t>3 - 5 Năm</t>
        </is>
      </c>
      <c r="L19562" s="11">
        <f>HYPERLINK("https://careerviet.vn/vi/tim-viec-lam/chuyen-vien-thiet-ke-do-hoa.35C66A2C.html","Xem chi tiết")</f>
        <v/>
      </c>
      <c r="M19562" s="10" t="n"/>
    </row>
    <row r="19563">
      <c r="B19563" s="7" t="n">
        <v>19561</v>
      </c>
      <c r="C19563" t="inlineStr">
        <is>
          <t>CHUYÊN VIÊN KIỂM TOÁN NỘI BỘ - HÓC MÔN</t>
        </is>
      </c>
      <c r="D19563" t="inlineStr">
        <is>
          <t>CÔNG TY CỔ PHẦN THỰC PHẨM FRESCO</t>
        </is>
      </c>
      <c r="E19563" t="inlineStr">
        <is>
          <t>Lương:18 Tr - 25 Tr VND</t>
        </is>
      </c>
      <c r="F19563" t="inlineStr">
        <is>
          <t>Hồ Chí Minh</t>
        </is>
      </c>
      <c r="G19563" t="inlineStr">
        <is>
          <t>27-03-2026</t>
        </is>
      </c>
      <c r="H19563" t="inlineStr">
        <is>
          <t>27/03/2026</t>
        </is>
      </c>
      <c r="I19563" t="inlineStr">
        <is>
          <t>17/03/2026</t>
        </is>
      </c>
      <c r="J19563" t="inlineStr">
        <is>
          <t>Luật / Pháp lý, Thực phẩm &amp; Đồ uống, Kế toán / Kiểm toán</t>
        </is>
      </c>
      <c r="K19563" t="inlineStr">
        <is>
          <t>2 - 4 Năm</t>
        </is>
      </c>
      <c r="L19563" s="8">
        <f>HYPERLINK("https://careerviet.vn/vi/tim-viec-lam/chuyen-vien-kiem-toan-noi-bo-hoc-mon.35C66911.html","Xem chi tiết")</f>
        <v/>
      </c>
    </row>
    <row r="19564">
      <c r="B19564" s="9" t="n">
        <v>19562</v>
      </c>
      <c r="C19564" s="10" t="inlineStr">
        <is>
          <t>Trợ Lý Kinh Doanh</t>
        </is>
      </c>
      <c r="D19564" s="10" t="inlineStr">
        <is>
          <t>CÔNG TY CỔ PHẦN GIẢI PHÁP CƠ KHÍ VNTECH</t>
        </is>
      </c>
      <c r="E19564" s="10" t="inlineStr">
        <is>
          <t>Lương:11 Tr - 14 Tr VND</t>
        </is>
      </c>
      <c r="F19564" s="10" t="inlineStr">
        <is>
          <t>Bình Dương</t>
        </is>
      </c>
      <c r="G19564" s="10" t="inlineStr">
        <is>
          <t>26-03-2026</t>
        </is>
      </c>
      <c r="H19564" s="10" t="inlineStr">
        <is>
          <t>26/03/2026</t>
        </is>
      </c>
      <c r="I19564" s="10" t="inlineStr">
        <is>
          <t>17/03/2026</t>
        </is>
      </c>
      <c r="J19564" s="10" t="inlineStr">
        <is>
          <t>Bán hàng / Kinh doanh, Kế toán / Kiểm toán</t>
        </is>
      </c>
      <c r="K19564" s="10" t="inlineStr">
        <is>
          <t>N/A</t>
        </is>
      </c>
      <c r="L19564" s="11">
        <f>HYPERLINK("https://careerviet.vn/vi/tim-viec-lam/tro-ly-kinh-doanh.35C6404F.html","Xem chi tiết")</f>
        <v/>
      </c>
      <c r="M19564" s="10" t="n"/>
    </row>
    <row r="19565">
      <c r="B19565" s="7" t="n">
        <v>19563</v>
      </c>
      <c r="C19565" t="inlineStr">
        <is>
          <t>CVC/CVCC/Chuyên Gia Phân Tích Ngành &amp; Doanh Nghiệp</t>
        </is>
      </c>
      <c r="D19565" t="inlineStr">
        <is>
          <t>CÔNG TY CỔ PHẦN CHỨNG KHOÁN ASEAN</t>
        </is>
      </c>
      <c r="E19565" t="inlineStr">
        <is>
          <t>Lương:Cạnh tranh</t>
        </is>
      </c>
      <c r="F19565" t="inlineStr">
        <is>
          <t>Hà Nội</t>
        </is>
      </c>
      <c r="G19565" t="inlineStr">
        <is>
          <t>27-03-2026</t>
        </is>
      </c>
      <c r="H19565" t="inlineStr">
        <is>
          <t>27/03/2026</t>
        </is>
      </c>
      <c r="I19565" t="inlineStr">
        <is>
          <t>17/03/2026</t>
        </is>
      </c>
      <c r="J19565" t="inlineStr">
        <is>
          <t>Ngân hàng, Chứng khoán, Tài chính / Đầu tư</t>
        </is>
      </c>
      <c r="K19565" t="inlineStr">
        <is>
          <t>Trên 5 Năm</t>
        </is>
      </c>
      <c r="L19565" s="8">
        <f>HYPERLINK("https://careerviet.vn/vi/tim-viec-lam/cvc-cvcc-chuyen-gia-phan-tich-nganh-doanh-nghiep.35C6690E.html","Xem chi tiết")</f>
        <v/>
      </c>
    </row>
    <row r="19566">
      <c r="B19566" s="9" t="n">
        <v>19564</v>
      </c>
      <c r="C19566" s="10" t="inlineStr">
        <is>
          <t>TRADE MKT SENIOR SUPERVISOR - MT</t>
        </is>
      </c>
      <c r="D19566" s="10" t="inlineStr">
        <is>
          <t>Marico South East Asia Corporation</t>
        </is>
      </c>
      <c r="E19566" s="10" t="inlineStr">
        <is>
          <t>Lương:Cạnh tranh</t>
        </is>
      </c>
      <c r="F19566" s="10" t="inlineStr">
        <is>
          <t>Hồ Chí Minh</t>
        </is>
      </c>
      <c r="G19566" s="10" t="inlineStr">
        <is>
          <t>27-03-2026</t>
        </is>
      </c>
      <c r="H19566" s="10" t="inlineStr">
        <is>
          <t>27/03/2026</t>
        </is>
      </c>
      <c r="I19566" s="10" t="inlineStr">
        <is>
          <t>17/03/2026</t>
        </is>
      </c>
      <c r="J19566" s="10" t="inlineStr">
        <is>
          <t>Bán hàng / Kinh doanh</t>
        </is>
      </c>
      <c r="K19566" s="10" t="inlineStr">
        <is>
          <t>Trên 2 Năm</t>
        </is>
      </c>
      <c r="L19566" s="11">
        <f>HYPERLINK("https://careerviet.vn/vi/tim-viec-lam/trade-mkt-senior-supervisor-mt.35C66A44.html","Xem chi tiết")</f>
        <v/>
      </c>
      <c r="M19566" s="10" t="n"/>
    </row>
    <row r="19567">
      <c r="B19567" s="7" t="n">
        <v>19565</v>
      </c>
      <c r="C19567" t="inlineStr">
        <is>
          <t>[TUYỂN GẤP] GIÁM SÁT THI CÔNG NỘI THẤT - LÀM VIỆC TẠI NINH THUẬN</t>
        </is>
      </c>
      <c r="D19567" t="inlineStr">
        <is>
          <t>CÔNG TY CỔ PHẦN SẢN XUẤT THƯƠNG MẠI XÂY DỰNG TRANG TRÍ NỘI THẤT G.S VIỆT NAM</t>
        </is>
      </c>
      <c r="E19567" t="inlineStr">
        <is>
          <t>Lương:Trên 15 Tr VND</t>
        </is>
      </c>
      <c r="F19567" t="inlineStr">
        <is>
          <t>Hồ Chí Minh</t>
        </is>
      </c>
      <c r="G19567" t="inlineStr">
        <is>
          <t>27-03-2026</t>
        </is>
      </c>
      <c r="H19567" t="inlineStr">
        <is>
          <t>27/03/2026</t>
        </is>
      </c>
      <c r="I19567" t="inlineStr">
        <is>
          <t>17/03/2026</t>
        </is>
      </c>
      <c r="J19567" t="inlineStr">
        <is>
          <t>Kiến trúc, Xây dựng, Nội ngoại thất</t>
        </is>
      </c>
      <c r="K19567" t="inlineStr">
        <is>
          <t>Trên 3 Năm</t>
        </is>
      </c>
      <c r="L19567" s="8">
        <f>HYPERLINK("https://careerviet.vn/vi/tim-viec-lam/tuyen-gap-giam-sat-thi-cong-noi-that-lam-viec-tai-ninh-thuan.35C668B9.html","Xem chi tiết")</f>
        <v/>
      </c>
    </row>
    <row r="19568">
      <c r="B19568" s="9" t="n">
        <v>19566</v>
      </c>
      <c r="C19568" s="10" t="inlineStr">
        <is>
          <t>Equipment Control/ LOG staff - Nhân viên quản lý thiết bị (Hai Phong office)</t>
        </is>
      </c>
      <c r="D19568" s="10" t="inlineStr">
        <is>
          <t>CÔNG TY TNHH YANG MING SHIPPING (VIỆT NAM)</t>
        </is>
      </c>
      <c r="E19568" s="10" t="inlineStr">
        <is>
          <t>Lương:7,5 Tr - 10 Tr VND</t>
        </is>
      </c>
      <c r="F19568" s="10" t="inlineStr">
        <is>
          <t>Hải Phòng</t>
        </is>
      </c>
      <c r="G19568" s="10" t="inlineStr">
        <is>
          <t>27-03-2026</t>
        </is>
      </c>
      <c r="H19568" s="10" t="inlineStr">
        <is>
          <t>27/03/2026</t>
        </is>
      </c>
      <c r="I19568" s="10" t="inlineStr">
        <is>
          <t>17/03/2026</t>
        </is>
      </c>
      <c r="J19568" s="10" t="inlineStr">
        <is>
          <t>Vận chuyển / Giao nhận / Kho vận, Hàng hải, Xuất nhập khẩu</t>
        </is>
      </c>
      <c r="K19568" s="10" t="inlineStr">
        <is>
          <t>N/A</t>
        </is>
      </c>
      <c r="L19568" s="11">
        <f>HYPERLINK("https://careerviet.vn/vi/tim-viec-lam/equipment-control-log-staff-nhan-vien-quan-ly-thiet-bi-hai-phong-office.35C665BC.html","Xem chi tiết")</f>
        <v/>
      </c>
      <c r="M19568" s="10" t="n"/>
    </row>
    <row r="19569">
      <c r="B19569" s="7" t="n">
        <v>19567</v>
      </c>
      <c r="C19569" t="inlineStr">
        <is>
          <t>Video Editor</t>
        </is>
      </c>
      <c r="D19569" t="inlineStr">
        <is>
          <t>Beta Group</t>
        </is>
      </c>
      <c r="E19569" t="inlineStr">
        <is>
          <t>Lương:10 Tr - 17 Tr VND</t>
        </is>
      </c>
      <c r="F19569" t="inlineStr">
        <is>
          <t>Hồ Chí MinhHà Nội</t>
        </is>
      </c>
      <c r="G19569" t="inlineStr">
        <is>
          <t>27-03-2026</t>
        </is>
      </c>
      <c r="H19569" t="inlineStr">
        <is>
          <t>27/03/2026</t>
        </is>
      </c>
      <c r="I19569" t="inlineStr">
        <is>
          <t>17/03/2026</t>
        </is>
      </c>
      <c r="J19569" t="inlineStr">
        <is>
          <t>Tiếp thị / Marketing, Giải trí, Quảng cáo / Đối ngoại / Truyền Thông</t>
        </is>
      </c>
      <c r="K19569" t="inlineStr">
        <is>
          <t>1 - 3 Năm</t>
        </is>
      </c>
      <c r="L19569" s="8">
        <f>HYPERLINK("https://careerviet.vn/vi/tim-viec-lam/video-editor.35C6693E.html","Xem chi tiết")</f>
        <v/>
      </c>
    </row>
    <row r="19570">
      <c r="B19570" s="9" t="n">
        <v>19568</v>
      </c>
      <c r="C19570" s="10" t="inlineStr">
        <is>
          <t>[NOVA CONSUMER] Kế Toán Tổng hợp (Giá thành)</t>
        </is>
      </c>
      <c r="D19570" s="10" t="inlineStr">
        <is>
          <t>Công ty CP Thực Phẩm Xuxifarm</t>
        </is>
      </c>
      <c r="E19570" s="10" t="inlineStr">
        <is>
          <t>Lương:25 Tr - 30 Tr VND</t>
        </is>
      </c>
      <c r="F19570" s="10" t="inlineStr">
        <is>
          <t>Hồ Chí Minh</t>
        </is>
      </c>
      <c r="G19570" s="10" t="inlineStr">
        <is>
          <t>27-03-2026</t>
        </is>
      </c>
      <c r="H19570" s="10" t="inlineStr">
        <is>
          <t>27/03/2026</t>
        </is>
      </c>
      <c r="I19570" s="10" t="inlineStr">
        <is>
          <t>17/03/2026</t>
        </is>
      </c>
      <c r="J19570" s="10" t="inlineStr">
        <is>
          <t>Kế toán / Kiểm toán</t>
        </is>
      </c>
      <c r="K19570" s="10" t="inlineStr">
        <is>
          <t>3 - 5 Năm</t>
        </is>
      </c>
      <c r="L19570" s="11">
        <f>HYPERLINK("https://careerviet.vn/vi/tim-viec-lam/nova-consumer-ke-toan-tong-hop-gia-thanh.35C64020.html","Xem chi tiết")</f>
        <v/>
      </c>
      <c r="M19570" s="10" t="n"/>
    </row>
    <row r="19571">
      <c r="B19571" s="7" t="n">
        <v>19569</v>
      </c>
      <c r="C19571" t="inlineStr">
        <is>
          <t>Design Leader</t>
        </is>
      </c>
      <c r="D19571" t="inlineStr">
        <is>
          <t>CÔNG TY TNHH THƯƠNG MẠI QUẢNG CÁO BIGCAMP</t>
        </is>
      </c>
      <c r="E19571" t="inlineStr">
        <is>
          <t>Lương:Cạnh tranh</t>
        </is>
      </c>
      <c r="F19571" t="inlineStr">
        <is>
          <t>Hồ Chí Minh</t>
        </is>
      </c>
      <c r="G19571" t="inlineStr">
        <is>
          <t>27-03-2026</t>
        </is>
      </c>
      <c r="H19571" t="inlineStr">
        <is>
          <t>27/03/2026</t>
        </is>
      </c>
      <c r="I19571" t="inlineStr">
        <is>
          <t>17/03/2026</t>
        </is>
      </c>
      <c r="J19571" t="inlineStr">
        <is>
          <t>Tiếp thị / Marketing, Mỹ thuật / Nghệ thuật / Thiết kế</t>
        </is>
      </c>
      <c r="K19571" t="inlineStr">
        <is>
          <t>3 - 5 Năm</t>
        </is>
      </c>
      <c r="L19571" s="8">
        <f>HYPERLINK("https://careerviet.vn/vi/tim-viec-lam/design-leader.35C66997.html","Xem chi tiết")</f>
        <v/>
      </c>
    </row>
    <row r="19572">
      <c r="B19572" s="9" t="n">
        <v>19570</v>
      </c>
      <c r="C19572" s="10" t="inlineStr">
        <is>
          <t>Giám Đốc Kinh Doanh Kênh GT (RSM Miền Bắc/ Miền Nam)</t>
        </is>
      </c>
      <c r="D19572" s="10" t="inlineStr">
        <is>
          <t>Tập Đoàn Karofi Holding</t>
        </is>
      </c>
      <c r="E19572" s="10" t="inlineStr">
        <is>
          <t>Lương:2.500 - 4.000 USD</t>
        </is>
      </c>
      <c r="F19572" s="10" t="inlineStr">
        <is>
          <t>Hồ Chí Minh</t>
        </is>
      </c>
      <c r="G19572" s="10" t="inlineStr">
        <is>
          <t>27-03-2026</t>
        </is>
      </c>
      <c r="H19572" s="10" t="inlineStr">
        <is>
          <t>27/03/2026</t>
        </is>
      </c>
      <c r="I19572" s="10" t="inlineStr">
        <is>
          <t>17/03/2026</t>
        </is>
      </c>
      <c r="J19572" s="10" t="inlineStr">
        <is>
          <t>Bán lẻ / Bán sỉ, Bán hàng / Kinh doanh</t>
        </is>
      </c>
      <c r="K19572" s="10" t="inlineStr">
        <is>
          <t>Trên 5 Năm</t>
        </is>
      </c>
      <c r="L19572" s="11">
        <f>HYPERLINK("https://careerviet.vn/vi/tim-viec-lam/giam-doc-kinh-doanh-kenh-gt-rsm-mien-bac-mien-nam.35C6404E.html","Xem chi tiết")</f>
        <v/>
      </c>
      <c r="M19572" s="10" t="n"/>
    </row>
    <row r="19573">
      <c r="B19573" s="7" t="n">
        <v>19571</v>
      </c>
      <c r="C19573" t="inlineStr">
        <is>
          <t>Thư ký Ban Tổng Giám đốc (Nữ, sinh năm 1993, 1996, 2000)</t>
        </is>
      </c>
      <c r="D19573" t="inlineStr">
        <is>
          <t>Tổng Công ty Cổ phần Bảo hiểm Ngân hàng Đầu tư và Phát triển Việt Nam (BIC)</t>
        </is>
      </c>
      <c r="E19573" t="inlineStr">
        <is>
          <t>Lương:Cạnh tranh</t>
        </is>
      </c>
      <c r="F19573" t="inlineStr">
        <is>
          <t>Hà Nội</t>
        </is>
      </c>
      <c r="G19573" t="inlineStr">
        <is>
          <t>27-03-2026</t>
        </is>
      </c>
      <c r="H19573" t="inlineStr">
        <is>
          <t>27/03/2026</t>
        </is>
      </c>
      <c r="I19573" t="inlineStr">
        <is>
          <t>17/03/2026</t>
        </is>
      </c>
      <c r="J19573" t="inlineStr">
        <is>
          <t>Bảo hiểm, Hành chính / Thư ký, Tài chính / Đầu tư</t>
        </is>
      </c>
      <c r="K19573" t="inlineStr">
        <is>
          <t>3 - 5 Năm</t>
        </is>
      </c>
      <c r="L19573" s="8">
        <f>HYPERLINK("https://careerviet.vn/vi/tim-viec-lam/thu-ky-ban-tong-giam-doc-nu-sinh-nam-1993-1996-2000.35C6688D.html","Xem chi tiết")</f>
        <v/>
      </c>
    </row>
    <row r="19574">
      <c r="B19574" s="9" t="n">
        <v>19572</v>
      </c>
      <c r="C19574" s="10" t="inlineStr">
        <is>
          <t>Trưởng Bưu Cục Biên Hòa - Đồng Nai</t>
        </is>
      </c>
      <c r="D19574" s="10" t="inlineStr">
        <is>
          <t>Công Ty Cổ Phần Hai Bốn Bảy</t>
        </is>
      </c>
      <c r="E19574" s="10" t="inlineStr">
        <is>
          <t>Lương:15 Tr - 25 Tr VND</t>
        </is>
      </c>
      <c r="F19574" s="10" t="inlineStr">
        <is>
          <t>Đồng Nai</t>
        </is>
      </c>
      <c r="G19574" s="10" t="inlineStr">
        <is>
          <t>27-03-2026</t>
        </is>
      </c>
      <c r="H19574" s="10" t="inlineStr">
        <is>
          <t>27/03/2026</t>
        </is>
      </c>
      <c r="I19574" s="10" t="inlineStr">
        <is>
          <t>17/03/2026</t>
        </is>
      </c>
      <c r="J19574" s="10" t="inlineStr">
        <is>
          <t>Vận chuyển / Giao nhận / Kho vận</t>
        </is>
      </c>
      <c r="K19574" s="10" t="inlineStr">
        <is>
          <t>1 - 2 Năm</t>
        </is>
      </c>
      <c r="L19574" s="11">
        <f>HYPERLINK("https://careerviet.vn/vi/tim-viec-lam/truong-buu-cuc-bien-hoa-dong-nai.35C66A3E.html","Xem chi tiết")</f>
        <v/>
      </c>
      <c r="M19574" s="10" t="n"/>
    </row>
    <row r="19575">
      <c r="B19575" s="7" t="n">
        <v>19573</v>
      </c>
      <c r="C19575" t="inlineStr">
        <is>
          <t>Media SMB &amp; Project Execution Executive</t>
        </is>
      </c>
      <c r="D19575" t="inlineStr">
        <is>
          <t>Công ty TNHH Onpoint</t>
        </is>
      </c>
      <c r="E19575" t="inlineStr">
        <is>
          <t>Lương:Cạnh tranh</t>
        </is>
      </c>
      <c r="F19575" t="inlineStr">
        <is>
          <t>Hồ Chí Minh</t>
        </is>
      </c>
      <c r="G19575" t="inlineStr">
        <is>
          <t>27-03-2026</t>
        </is>
      </c>
      <c r="H19575" t="inlineStr">
        <is>
          <t>27/03/2026</t>
        </is>
      </c>
      <c r="I19575" t="inlineStr">
        <is>
          <t>17/03/2026</t>
        </is>
      </c>
      <c r="J19575" t="inlineStr">
        <is>
          <t>Tiếp thị / Marketing, Thương mại điện tử, Quản lý điều hành</t>
        </is>
      </c>
      <c r="K19575" t="inlineStr">
        <is>
          <t>1 - 3 Năm</t>
        </is>
      </c>
      <c r="L19575" s="8">
        <f>HYPERLINK("https://careerviet.vn/vi/tim-viec-lam/media-smb-project-execution-executive.35C668E8.html","Xem chi tiết")</f>
        <v/>
      </c>
    </row>
    <row r="19576">
      <c r="B19576" s="9" t="n">
        <v>19574</v>
      </c>
      <c r="C19576" s="10" t="inlineStr">
        <is>
          <t>[Nova Hotels &amp; Resorts World] Quản lý Quan hệ Khách hàng Cao cấp (Kênh TA)</t>
        </is>
      </c>
      <c r="D19576" s="10" t="inlineStr">
        <is>
          <t>Nova Service Group - Công ty Cổ phần Tập đoàn Nova Services</t>
        </is>
      </c>
      <c r="E19576" s="10" t="inlineStr">
        <is>
          <t>Lương:Cạnh tranh</t>
        </is>
      </c>
      <c r="F19576" s="10" t="inlineStr">
        <is>
          <t>Hồ Chí Minh</t>
        </is>
      </c>
      <c r="G19576" s="10" t="inlineStr">
        <is>
          <t>27-03-2026</t>
        </is>
      </c>
      <c r="H19576" s="10" t="inlineStr">
        <is>
          <t>27/03/2026</t>
        </is>
      </c>
      <c r="I19576" s="10" t="inlineStr">
        <is>
          <t>17/03/2026</t>
        </is>
      </c>
      <c r="J19576" s="10" t="inlineStr">
        <is>
          <t>Bán hàng / Kinh doanh, Nhà hàng / Khách sạn, Du lịch</t>
        </is>
      </c>
      <c r="K19576" s="10" t="inlineStr">
        <is>
          <t>2 - 3 Năm</t>
        </is>
      </c>
      <c r="L19576" s="11">
        <f>HYPERLINK("https://careerviet.vn/vi/tim-viec-lam/nova-hotels-resorts-world-quan-ly-quan-he-khach-hang-cao-cap-kenh-ta.35C66977.html","Xem chi tiết")</f>
        <v/>
      </c>
      <c r="M19576" s="10" t="n"/>
    </row>
    <row r="19577">
      <c r="B19577" s="7" t="n">
        <v>19575</v>
      </c>
      <c r="C19577" t="inlineStr">
        <is>
          <t>Kế Toán Nhập Liệu</t>
        </is>
      </c>
      <c r="D19577" t="inlineStr">
        <is>
          <t>CÔNG TY TNHH DƯỢC PHẨM ĐÔNG ĐÔ</t>
        </is>
      </c>
      <c r="E19577" t="inlineStr">
        <is>
          <t>Lương:Trên 10 Tr VND</t>
        </is>
      </c>
      <c r="F19577" t="inlineStr">
        <is>
          <t>Hà Nội</t>
        </is>
      </c>
      <c r="G19577" t="inlineStr">
        <is>
          <t>27-03-2026</t>
        </is>
      </c>
      <c r="H19577" t="inlineStr">
        <is>
          <t>27/03/2026</t>
        </is>
      </c>
      <c r="I19577" t="inlineStr">
        <is>
          <t>17/03/2026</t>
        </is>
      </c>
      <c r="J19577" t="inlineStr">
        <is>
          <t>Kế toán / Kiểm toán, Hành chính / Thư ký, Tài chính / Đầu tư</t>
        </is>
      </c>
      <c r="K19577" t="inlineStr">
        <is>
          <t>N/A</t>
        </is>
      </c>
      <c r="L19577" s="8">
        <f>HYPERLINK("https://careerviet.vn/vi/tim-viec-lam/ke-toan-nhap-lieu.35C669B9.html","Xem chi tiết")</f>
        <v/>
      </c>
    </row>
    <row r="19578">
      <c r="B19578" s="9" t="n">
        <v>19576</v>
      </c>
      <c r="C19578" s="10" t="inlineStr">
        <is>
          <t>Chuyên Viên/ CVCC Nhân Sự Tổng Hợp</t>
        </is>
      </c>
      <c r="D19578" s="10" t="inlineStr">
        <is>
          <t>CÔNG TY CỔ PHẦN CHỨNG KHOÁN ASEAN</t>
        </is>
      </c>
      <c r="E19578" s="10" t="inlineStr">
        <is>
          <t>Lương:Cạnh tranh</t>
        </is>
      </c>
      <c r="F19578" s="10" t="inlineStr">
        <is>
          <t>Hà Nội</t>
        </is>
      </c>
      <c r="G19578" s="10" t="inlineStr">
        <is>
          <t>27-03-2026</t>
        </is>
      </c>
      <c r="H19578" s="10" t="inlineStr">
        <is>
          <t>27/03/2026</t>
        </is>
      </c>
      <c r="I19578" s="10" t="inlineStr">
        <is>
          <t>17/03/2026</t>
        </is>
      </c>
      <c r="J19578" s="10" t="inlineStr">
        <is>
          <t>Luật / Pháp lý, Nhân sự, Tài chính / Đầu tư</t>
        </is>
      </c>
      <c r="K19578" s="10" t="inlineStr">
        <is>
          <t>Trên 3 Năm</t>
        </is>
      </c>
      <c r="L19578" s="11">
        <f>HYPERLINK("https://careerviet.vn/vi/tim-viec-lam/chuyen-vien-cvcc-nhan-su-tong-hop.35C66925.html","Xem chi tiết")</f>
        <v/>
      </c>
      <c r="M19578" s="10" t="n"/>
    </row>
    <row r="19579">
      <c r="B19579" s="7" t="n">
        <v>19577</v>
      </c>
      <c r="C19579" t="inlineStr">
        <is>
          <t>Trợ Lý Sản Xuất (Tiếng Trung)</t>
        </is>
      </c>
      <c r="D19579" t="inlineStr">
        <is>
          <t>Headhunter HRchannels Group</t>
        </is>
      </c>
      <c r="E19579" t="inlineStr">
        <is>
          <t>Lương:18 Tr - 20 Tr VND</t>
        </is>
      </c>
      <c r="F19579" t="inlineStr">
        <is>
          <t>Hải DươngHưng YênBắc Ninh</t>
        </is>
      </c>
      <c r="G19579" t="inlineStr">
        <is>
          <t>27-03-2026</t>
        </is>
      </c>
      <c r="H19579" t="inlineStr">
        <is>
          <t>27/03/2026</t>
        </is>
      </c>
      <c r="I19579" t="inlineStr">
        <is>
          <t>17/03/2026</t>
        </is>
      </c>
      <c r="J19579" t="inlineStr">
        <is>
          <t>Hành chính / Thư ký, Sản xuất / Vận hành sản xuất</t>
        </is>
      </c>
      <c r="K19579" t="inlineStr">
        <is>
          <t>1 - 2 Năm</t>
        </is>
      </c>
      <c r="L19579" s="8">
        <f>HYPERLINK("https://careerviet.vn/vi/tim-viec-lam/tro-ly-san-xuat-tieng-trung.35C64033.html","Xem chi tiết")</f>
        <v/>
      </c>
    </row>
    <row r="19580">
      <c r="B19580" s="9" t="n">
        <v>19578</v>
      </c>
      <c r="C19580" s="10" t="inlineStr">
        <is>
          <t>Chuyên Viên/ CVCC Phân Tích Vĩ mô &amp; Thị trường</t>
        </is>
      </c>
      <c r="D19580" s="10" t="inlineStr">
        <is>
          <t>CÔNG TY CỔ PHẦN CHỨNG KHOÁN ASEAN</t>
        </is>
      </c>
      <c r="E19580" s="10" t="inlineStr">
        <is>
          <t>Lương:Cạnh tranh</t>
        </is>
      </c>
      <c r="F19580" s="10" t="inlineStr">
        <is>
          <t>Hà Nội</t>
        </is>
      </c>
      <c r="G19580" s="10" t="inlineStr">
        <is>
          <t>27-03-2026</t>
        </is>
      </c>
      <c r="H19580" s="10" t="inlineStr">
        <is>
          <t>27/03/2026</t>
        </is>
      </c>
      <c r="I19580" s="10" t="inlineStr">
        <is>
          <t>17/03/2026</t>
        </is>
      </c>
      <c r="J19580" s="10" t="inlineStr">
        <is>
          <t>Chứng khoán, Tài chính / Đầu tư, Ngân hàng</t>
        </is>
      </c>
      <c r="K19580" s="10" t="inlineStr">
        <is>
          <t>Trên 4 Năm</t>
        </is>
      </c>
      <c r="L19580" s="11">
        <f>HYPERLINK("https://careerviet.vn/vi/tim-viec-lam/chuyen-vien-cvcc-phan-tich-vi-mo-thi-truong.35C6695D.html","Xem chi tiết")</f>
        <v/>
      </c>
      <c r="M19580" s="10" t="n"/>
    </row>
    <row r="19581">
      <c r="B19581" s="7" t="n">
        <v>19579</v>
      </c>
      <c r="C19581" t="inlineStr">
        <is>
          <t>Expert, Policy Services (Techcom Life)</t>
        </is>
      </c>
      <c r="D19581" t="inlineStr">
        <is>
          <t>NGÂN HÀNG TMCP KỸ THƯƠNG VIỆT NAM (TECHCOMBANK)</t>
        </is>
      </c>
      <c r="E19581" t="inlineStr">
        <is>
          <t>Lương:Cạnh tranh</t>
        </is>
      </c>
      <c r="F19581" t="inlineStr">
        <is>
          <t>Hà Nội</t>
        </is>
      </c>
      <c r="G19581" t="inlineStr">
        <is>
          <t>27-03-2026</t>
        </is>
      </c>
      <c r="H19581" t="inlineStr">
        <is>
          <t>27/03/2026</t>
        </is>
      </c>
      <c r="I19581" t="inlineStr">
        <is>
          <t>17/03/2026</t>
        </is>
      </c>
      <c r="J19581" t="inlineStr">
        <is>
          <t>Ngân hàng, Bảo hiểm, Luật / Pháp lý</t>
        </is>
      </c>
      <c r="K19581" t="inlineStr">
        <is>
          <t>Trên 8 Năm</t>
        </is>
      </c>
      <c r="L19581" s="8">
        <f>HYPERLINK("https://careerviet.vn/vi/tim-viec-lam/expert-policy-services-techcom-life.35C66A3C.html","Xem chi tiết")</f>
        <v/>
      </c>
    </row>
    <row r="19582">
      <c r="B19582" s="9" t="n">
        <v>19580</v>
      </c>
      <c r="C19582" s="10" t="inlineStr">
        <is>
          <t>Nhân viên Thiết kế bao bì in Offset</t>
        </is>
      </c>
      <c r="D19582" s="10" t="inlineStr">
        <is>
          <t>Công ty Cổ Phần Công nghiệp In &amp; Bao Bì Khang</t>
        </is>
      </c>
      <c r="E19582" s="10" t="inlineStr">
        <is>
          <t>Lương:14 Tr - 16 Tr VND</t>
        </is>
      </c>
      <c r="F19582" s="10" t="inlineStr">
        <is>
          <t>Hồ Chí Minh</t>
        </is>
      </c>
      <c r="G19582" s="10" t="inlineStr">
        <is>
          <t>27-03-2026</t>
        </is>
      </c>
      <c r="H19582" s="10" t="inlineStr">
        <is>
          <t>27/03/2026</t>
        </is>
      </c>
      <c r="I19582" s="10" t="inlineStr">
        <is>
          <t>17/03/2026</t>
        </is>
      </c>
      <c r="J19582" s="10" t="inlineStr">
        <is>
          <t>Mỹ thuật / Nghệ thuật / Thiết kế, In ấn / Xuất bản</t>
        </is>
      </c>
      <c r="K19582" s="10" t="inlineStr">
        <is>
          <t>2 - 5 Năm</t>
        </is>
      </c>
      <c r="L19582" s="11">
        <f>HYPERLINK("https://careerviet.vn/vi/tim-viec-lam/nhan-vien-thiet-ke-bao-bi-in-offset.35B9B03A.html","Xem chi tiết")</f>
        <v/>
      </c>
      <c r="M19582" s="10" t="n"/>
    </row>
    <row r="19583">
      <c r="B19583" s="7" t="n">
        <v>19581</v>
      </c>
      <c r="C19583" t="inlineStr">
        <is>
          <t>Nhân Viên Thiết Kế</t>
        </is>
      </c>
      <c r="D19583" t="inlineStr">
        <is>
          <t>CÔNG TY TNHH DƯỢC PHẨM ĐÔNG ĐÔ</t>
        </is>
      </c>
      <c r="E19583" t="inlineStr">
        <is>
          <t>Lương:10 Tr - 15 Tr VND</t>
        </is>
      </c>
      <c r="F19583" t="inlineStr">
        <is>
          <t>Hà Nội</t>
        </is>
      </c>
      <c r="G19583" t="inlineStr">
        <is>
          <t>27-03-2026</t>
        </is>
      </c>
      <c r="H19583" t="inlineStr">
        <is>
          <t>27/03/2026</t>
        </is>
      </c>
      <c r="I19583" t="inlineStr">
        <is>
          <t>17/03/2026</t>
        </is>
      </c>
      <c r="J19583" t="inlineStr">
        <is>
          <t>Mỹ thuật / Nghệ thuật / Thiết kế, Tiếp thị / Marketing, Quảng cáo / Đối ngoại / Truyền Thông</t>
        </is>
      </c>
      <c r="K19583" t="inlineStr">
        <is>
          <t>Trên 1 Năm</t>
        </is>
      </c>
      <c r="L19583" s="8">
        <f>HYPERLINK("https://careerviet.vn/vi/tim-viec-lam/nhan-vien-thiet-ke.35C669A0.html","Xem chi tiết")</f>
        <v/>
      </c>
    </row>
    <row r="19584">
      <c r="B19584" s="9" t="n">
        <v>19582</v>
      </c>
      <c r="C19584" s="10" t="inlineStr">
        <is>
          <t>GIÁM ĐỐC KHU VỰC NGÀNH HÀNG ĐIỆN MÁY (Khu vực Tây Nguyên/Miền Tây) - Tuyển gấp</t>
        </is>
      </c>
      <c r="D19584" s="10" t="inlineStr">
        <is>
          <t>CÔNG TY TNHH SẢN XUẤT TẬP ĐOÀN ĐẠI VIỆT</t>
        </is>
      </c>
      <c r="E19584" s="10" t="inlineStr">
        <is>
          <t>Lương:20 Tr - 50 Tr VND</t>
        </is>
      </c>
      <c r="F19584" s="10" t="inlineStr">
        <is>
          <t>Tiền GiangGia Lai</t>
        </is>
      </c>
      <c r="G19584" s="10" t="inlineStr">
        <is>
          <t>27-03-2026</t>
        </is>
      </c>
      <c r="H19584" s="10" t="inlineStr">
        <is>
          <t>27/03/2026</t>
        </is>
      </c>
      <c r="I19584" s="10" t="inlineStr">
        <is>
          <t>17/03/2026</t>
        </is>
      </c>
      <c r="J19584" s="10" t="inlineStr">
        <is>
          <t>Bán hàng / Kinh doanh, Bán Hàng Kỹ Thuật, Điện / Điện tử / Điện lạnh / Điện công nghiệp</t>
        </is>
      </c>
      <c r="K19584" s="10" t="inlineStr">
        <is>
          <t>3 - 5 Năm</t>
        </is>
      </c>
      <c r="L19584" s="11">
        <f>HYPERLINK("https://careerviet.vn/vi/tim-viec-lam/giam-doc-khu-vuc-nganh-hang-dien-may-khu-vuc-tay-nguyen-mien-tay-tuyen-gap.35C64011.html","Xem chi tiết")</f>
        <v/>
      </c>
      <c r="M19584" s="10" t="n"/>
    </row>
    <row r="19585">
      <c r="B19585" s="7" t="n">
        <v>19583</v>
      </c>
      <c r="C19585" t="inlineStr">
        <is>
          <t>Kỹ sư Quy trình - Process Engineer</t>
        </is>
      </c>
      <c r="D19585" t="inlineStr">
        <is>
          <t>CÔNG TY TNHH ELECTRONIC TRIPOD VIỆT NAM (BIÊN HÒA)</t>
        </is>
      </c>
      <c r="E19585" t="inlineStr">
        <is>
          <t>Lương:Cạnh tranh</t>
        </is>
      </c>
      <c r="F19585" t="inlineStr">
        <is>
          <t>Đồng Nai</t>
        </is>
      </c>
      <c r="G19585" t="inlineStr">
        <is>
          <t>27-03-2026</t>
        </is>
      </c>
      <c r="H19585" t="inlineStr">
        <is>
          <t>27/03/2026</t>
        </is>
      </c>
      <c r="I19585" t="inlineStr">
        <is>
          <t>17/03/2026</t>
        </is>
      </c>
      <c r="J19585" t="inlineStr">
        <is>
          <t>Hóa học, Điện / Điện tử / Điện lạnh / Điện công nghiệp, Sản xuất / Vận hành sản xuất</t>
        </is>
      </c>
      <c r="K19585" t="inlineStr">
        <is>
          <t>N/A</t>
        </is>
      </c>
      <c r="L19585" s="8">
        <f>HYPERLINK("https://careerviet.vn/vi/tim-viec-lam/ky-su-quy-trinh-process-engineer.35C6692C.html","Xem chi tiết")</f>
        <v/>
      </c>
    </row>
    <row r="19586">
      <c r="B19586" s="9" t="n">
        <v>19584</v>
      </c>
      <c r="C19586" s="10" t="inlineStr">
        <is>
          <t>Giám sát sản xuất - HSE [Long Hậu - Long An]</t>
        </is>
      </c>
      <c r="D19586" s="10" t="inlineStr">
        <is>
          <t>CÔNG TY CỔ PHẦN GREEN SPEED</t>
        </is>
      </c>
      <c r="E19586" s="10" t="inlineStr">
        <is>
          <t>Lương:13 Tr - 14,5 Tr VND</t>
        </is>
      </c>
      <c r="F19586" s="10" t="inlineStr">
        <is>
          <t>Long An</t>
        </is>
      </c>
      <c r="G19586" s="10" t="inlineStr">
        <is>
          <t>27-03-2026</t>
        </is>
      </c>
      <c r="H19586" s="10" t="inlineStr">
        <is>
          <t>27/03/2026</t>
        </is>
      </c>
      <c r="I19586" s="10" t="inlineStr">
        <is>
          <t>17/03/2026</t>
        </is>
      </c>
      <c r="J19586" s="10" t="inlineStr">
        <is>
          <t>Sản xuất / Vận hành sản xuất</t>
        </is>
      </c>
      <c r="K19586" s="10" t="inlineStr">
        <is>
          <t>1 - 2 Năm</t>
        </is>
      </c>
      <c r="L19586" s="11">
        <f>HYPERLINK("https://careerviet.vn/vi/tim-viec-lam/giam-sat-san-xuat-hse-long-hau-long-an.35C668F1.html","Xem chi tiết")</f>
        <v/>
      </c>
      <c r="M19586" s="10" t="n"/>
    </row>
    <row r="19587">
      <c r="B19587" s="7" t="n">
        <v>19585</v>
      </c>
      <c r="C19587" t="inlineStr">
        <is>
          <t>Kỹ Sư Thiết Kế Điện (14-20tr)</t>
        </is>
      </c>
      <c r="D19587" t="inlineStr">
        <is>
          <t>Công Ty Cổ Phần Thiết Kế Và Xây Dựng Giza Việt Nam</t>
        </is>
      </c>
      <c r="E19587" t="inlineStr">
        <is>
          <t>Lương:18 Tr - 22 Tr VND</t>
        </is>
      </c>
      <c r="F19587" t="inlineStr">
        <is>
          <t>Hà Nội</t>
        </is>
      </c>
      <c r="G19587" t="inlineStr">
        <is>
          <t>27-03-2026</t>
        </is>
      </c>
      <c r="H19587" t="inlineStr">
        <is>
          <t>27/03/2026</t>
        </is>
      </c>
      <c r="I19587" t="inlineStr">
        <is>
          <t>17/03/2026</t>
        </is>
      </c>
      <c r="J19587" t="inlineStr">
        <is>
          <t>Xây dựng, Điện / Điện tử / Điện lạnh / Điện công nghiệp, Mỹ thuật / Nghệ thuật / Thiết kế</t>
        </is>
      </c>
      <c r="K19587" t="inlineStr">
        <is>
          <t>1 - 3 Năm</t>
        </is>
      </c>
      <c r="L19587" s="8">
        <f>HYPERLINK("https://careerviet.vn/vi/tim-viec-lam/ky-su-thiet-ke-dien-14-20tr.35C669C3.html","Xem chi tiết")</f>
        <v/>
      </c>
    </row>
    <row r="19588">
      <c r="B19588" s="9" t="n">
        <v>19586</v>
      </c>
      <c r="C19588" s="10" t="inlineStr">
        <is>
          <t>Trưởng Nhóm Bán Hàng Trực Tiếp - Đồng Nai - TA181</t>
        </is>
      </c>
      <c r="D19588" s="10" t="inlineStr">
        <is>
          <t>Ngân Hàng TMCP Việt Nam Thịnh Vượng - VPBANK</t>
        </is>
      </c>
      <c r="E19588" s="10" t="inlineStr">
        <is>
          <t>Lương:20 Tr - 50 Tr VND</t>
        </is>
      </c>
      <c r="F19588" s="10" t="inlineStr">
        <is>
          <t>Đồng Nai</t>
        </is>
      </c>
      <c r="G19588" s="10" t="inlineStr">
        <is>
          <t>27-03-2026</t>
        </is>
      </c>
      <c r="H19588" s="10" t="inlineStr">
        <is>
          <t>27/03/2026</t>
        </is>
      </c>
      <c r="I19588" s="10" t="inlineStr">
        <is>
          <t>17/03/2026</t>
        </is>
      </c>
      <c r="J19588" s="10" t="inlineStr">
        <is>
          <t>Bán hàng / Kinh doanh, Ngân hàng</t>
        </is>
      </c>
      <c r="K19588" s="10" t="inlineStr">
        <is>
          <t>Trên 2 Năm</t>
        </is>
      </c>
      <c r="L19588" s="11">
        <f>HYPERLINK("https://careerviet.vn/vi/tim-viec-lam/truong-nhom-ban-hang-truc-tiep-dong-nai-ta181.35C669DE.html","Xem chi tiết")</f>
        <v/>
      </c>
      <c r="M19588" s="10" t="n"/>
    </row>
    <row r="19589">
      <c r="B19589" s="7" t="n">
        <v>19587</v>
      </c>
      <c r="C19589" t="inlineStr">
        <is>
          <t>BUSINESS DEVELOPMENT MANAGER</t>
        </is>
      </c>
      <c r="D19589" t="inlineStr">
        <is>
          <t>HR Vietnam’s ESS Client</t>
        </is>
      </c>
      <c r="E19589" t="inlineStr">
        <is>
          <t>Lương:40 Tr - 50 Tr VND</t>
        </is>
      </c>
      <c r="F19589" t="inlineStr">
        <is>
          <t>Hồ Chí Minh</t>
        </is>
      </c>
      <c r="G19589" t="inlineStr">
        <is>
          <t>27-03-2026</t>
        </is>
      </c>
      <c r="H19589" t="inlineStr">
        <is>
          <t>27/03/2026</t>
        </is>
      </c>
      <c r="I19589" t="inlineStr">
        <is>
          <t>17/03/2026</t>
        </is>
      </c>
      <c r="J19589" t="inlineStr">
        <is>
          <t>Quảng cáo / Đối ngoại / Truyền Thông, Tiếp thị trực tuyến, Bán hàng / Kinh doanh</t>
        </is>
      </c>
      <c r="K19589" t="inlineStr">
        <is>
          <t>5 - 10 Năm</t>
        </is>
      </c>
      <c r="L19589" s="8">
        <f>HYPERLINK("https://careerviet.vn/vi/tim-viec-lam/business-development-manager.35C66926.html","Xem chi tiết")</f>
        <v/>
      </c>
    </row>
    <row r="19590">
      <c r="B19590" s="9" t="n">
        <v>19588</v>
      </c>
      <c r="C19590" s="10" t="inlineStr">
        <is>
          <t>Tổ trưởng sản xuất</t>
        </is>
      </c>
      <c r="D19590" s="10" t="inlineStr">
        <is>
          <t>CÔNG TY CP HÀ YẾN</t>
        </is>
      </c>
      <c r="E19590" s="10" t="inlineStr">
        <is>
          <t>Lương:Cạnh tranh</t>
        </is>
      </c>
      <c r="F19590" s="10" t="inlineStr">
        <is>
          <t>Hưng Yên</t>
        </is>
      </c>
      <c r="G19590" s="10" t="inlineStr">
        <is>
          <t>27-03-2026</t>
        </is>
      </c>
      <c r="H19590" s="10" t="inlineStr">
        <is>
          <t>27/03/2026</t>
        </is>
      </c>
      <c r="I19590" s="10" t="inlineStr">
        <is>
          <t>17/03/2026</t>
        </is>
      </c>
      <c r="J19590" s="10" t="inlineStr">
        <is>
          <t>Cơ khí / Ô tô / Tự động hóa</t>
        </is>
      </c>
      <c r="K19590" s="10" t="inlineStr">
        <is>
          <t>2 - 3 Năm</t>
        </is>
      </c>
      <c r="L19590" s="11">
        <f>HYPERLINK("https://careerviet.vn/vi/tim-viec-lam/to-truong-san-xuat.35C668D2.html","Xem chi tiết")</f>
        <v/>
      </c>
      <c r="M19590" s="10" t="n"/>
    </row>
    <row r="19591">
      <c r="B19591" s="7" t="n">
        <v>19589</v>
      </c>
      <c r="C19591" t="inlineStr">
        <is>
          <t>HCM - Quản Lý Spa (Ít Nhất 1 Năm Kinh Nghiệm)</t>
        </is>
      </c>
      <c r="D19591" t="inlineStr">
        <is>
          <t>Công ty TNHH Thiên Thủy Mộc</t>
        </is>
      </c>
      <c r="E19591" t="inlineStr">
        <is>
          <t>Lương:15 Tr - 40 Tr VND</t>
        </is>
      </c>
      <c r="F19591" t="inlineStr">
        <is>
          <t>Hồ Chí Minh</t>
        </is>
      </c>
      <c r="G19591" t="inlineStr">
        <is>
          <t>27-03-2026</t>
        </is>
      </c>
      <c r="H19591" t="inlineStr">
        <is>
          <t>27/03/2026</t>
        </is>
      </c>
      <c r="I19591" t="inlineStr">
        <is>
          <t>17/03/2026</t>
        </is>
      </c>
      <c r="J19591" t="inlineStr">
        <is>
          <t>Y tế / Chăm sóc sức khỏe / Thẩm mỹ / Làm đẹp</t>
        </is>
      </c>
      <c r="K19591" t="inlineStr">
        <is>
          <t>N/A</t>
        </is>
      </c>
      <c r="L19591" s="8">
        <f>HYPERLINK("https://careerviet.vn/vi/tim-viec-lam/hcm-quan-ly-spa-it-nhat-1-nam-kinh-nghiem.35C66999.html","Xem chi tiết")</f>
        <v/>
      </c>
    </row>
    <row r="19592">
      <c r="B19592" s="9" t="n">
        <v>19590</v>
      </c>
      <c r="C19592" s="10" t="inlineStr">
        <is>
          <t>Lập trình Java (Backend Developer)</t>
        </is>
      </c>
      <c r="D19592" s="10" t="inlineStr">
        <is>
          <t>CÔNG TY CỔ PHẦN CHỨNG KHOÁN ASEAN</t>
        </is>
      </c>
      <c r="E19592" s="10" t="inlineStr">
        <is>
          <t>Lương:Cạnh tranh</t>
        </is>
      </c>
      <c r="F19592" s="10" t="inlineStr">
        <is>
          <t>Hà Nội</t>
        </is>
      </c>
      <c r="G19592" s="10" t="inlineStr">
        <is>
          <t>27-03-2026</t>
        </is>
      </c>
      <c r="H19592" s="10" t="inlineStr">
        <is>
          <t>27/03/2026</t>
        </is>
      </c>
      <c r="I19592" s="10" t="inlineStr">
        <is>
          <t>17/03/2026</t>
        </is>
      </c>
      <c r="J19592" s="10" t="inlineStr">
        <is>
          <t>Ngân hàng, Chứng khoán, CNTT - Phần mềm</t>
        </is>
      </c>
      <c r="K19592" s="10" t="inlineStr">
        <is>
          <t>Trên 2 Năm</t>
        </is>
      </c>
      <c r="L19592" s="11">
        <f>HYPERLINK("https://careerviet.vn/vi/tim-viec-lam/lap-trinh-java-backend-developer.35C6690D.html","Xem chi tiết")</f>
        <v/>
      </c>
      <c r="M19592" s="10" t="n"/>
    </row>
    <row r="19593">
      <c r="B19593" s="7" t="n">
        <v>19591</v>
      </c>
      <c r="C19593" t="inlineStr">
        <is>
          <t>Nhân Viên Kế Toán Công Nợ</t>
        </is>
      </c>
      <c r="D19593" t="inlineStr">
        <is>
          <t>Tập Đoàn Tân Á Đại Thành</t>
        </is>
      </c>
      <c r="E19593" t="inlineStr">
        <is>
          <t>Lương:7 Tr - 7,5 Tr VND</t>
        </is>
      </c>
      <c r="F19593" t="inlineStr">
        <is>
          <t>Đồng Nai</t>
        </is>
      </c>
      <c r="G19593" t="inlineStr">
        <is>
          <t>27-03-2026</t>
        </is>
      </c>
      <c r="H19593" t="inlineStr">
        <is>
          <t>27/03/2026</t>
        </is>
      </c>
      <c r="I19593" t="inlineStr">
        <is>
          <t>17/03/2026</t>
        </is>
      </c>
      <c r="J19593" t="inlineStr">
        <is>
          <t>Kế toán / Kiểm toán</t>
        </is>
      </c>
      <c r="K19593" t="inlineStr">
        <is>
          <t>1 - 2 Năm</t>
        </is>
      </c>
      <c r="L19593" s="8">
        <f>HYPERLINK("https://careerviet.vn/vi/tim-viec-lam/nhan-vien-ke-toan-cong-no.35C63FDC.html","Xem chi tiết")</f>
        <v/>
      </c>
    </row>
    <row r="19594">
      <c r="B19594" s="9" t="n">
        <v>19592</v>
      </c>
      <c r="C19594" s="10" t="inlineStr">
        <is>
          <t>Kiểm toán viên</t>
        </is>
      </c>
      <c r="D19594" s="10" t="inlineStr">
        <is>
          <t>Công ty Cổ phần Tây An</t>
        </is>
      </c>
      <c r="E19594" s="10" t="inlineStr">
        <is>
          <t>Lương:15 Tr - 20 Tr VND</t>
        </is>
      </c>
      <c r="F19594" s="10" t="inlineStr">
        <is>
          <t>Nghệ An</t>
        </is>
      </c>
      <c r="G19594" s="10" t="inlineStr">
        <is>
          <t>27-03-2026</t>
        </is>
      </c>
      <c r="H19594" s="10" t="inlineStr">
        <is>
          <t>27/03/2026</t>
        </is>
      </c>
      <c r="I19594" s="10" t="inlineStr">
        <is>
          <t>17/03/2026</t>
        </is>
      </c>
      <c r="J19594" s="10" t="inlineStr">
        <is>
          <t>Kế toán / Kiểm toán</t>
        </is>
      </c>
      <c r="K19594" s="10" t="inlineStr">
        <is>
          <t>5 - 7 Năm</t>
        </is>
      </c>
      <c r="L19594" s="11">
        <f>HYPERLINK("https://careerviet.vn/vi/tim-viec-lam/kiem-toan-vien.35C66857.html","Xem chi tiết")</f>
        <v/>
      </c>
      <c r="M19594" s="10" t="n"/>
    </row>
    <row r="19595">
      <c r="B19595" s="7" t="n">
        <v>19593</v>
      </c>
      <c r="C19595" t="inlineStr">
        <is>
          <t>Internal Auditor (HCM)</t>
        </is>
      </c>
      <c r="D19595" t="inlineStr">
        <is>
          <t>Công Ty TNHH Sunjin Vina</t>
        </is>
      </c>
      <c r="E19595" t="inlineStr">
        <is>
          <t>Lương:15 Tr - 20 Tr VND</t>
        </is>
      </c>
      <c r="F19595" t="inlineStr">
        <is>
          <t>Hồ Chí Minh</t>
        </is>
      </c>
      <c r="G19595" t="inlineStr">
        <is>
          <t>26-03-2026</t>
        </is>
      </c>
      <c r="H19595" t="inlineStr">
        <is>
          <t>26/03/2026</t>
        </is>
      </c>
      <c r="I19595" t="inlineStr">
        <is>
          <t>17/03/2026</t>
        </is>
      </c>
      <c r="J19595" t="inlineStr">
        <is>
          <t>Hành chính / Thư ký, Nhân sự, Kế toán / Kiểm toán</t>
        </is>
      </c>
      <c r="K19595" t="inlineStr">
        <is>
          <t>2 - 3 Năm</t>
        </is>
      </c>
      <c r="L19595" s="8">
        <f>HYPERLINK("https://careerviet.vn/vi/tim-viec-lam/internal-auditor-hcm.35C63FFB.html","Xem chi tiết")</f>
        <v/>
      </c>
    </row>
    <row r="19596">
      <c r="B19596" s="9" t="n">
        <v>19594</v>
      </c>
      <c r="C19596" s="10" t="inlineStr">
        <is>
          <t>Nhân viên Appsheet Developer</t>
        </is>
      </c>
      <c r="D19596" s="10" t="inlineStr">
        <is>
          <t>CÔNG TY TNHH TƯ VẤN KIẾN TRÚC TLI HÀ NỘI</t>
        </is>
      </c>
      <c r="E19596" s="10" t="inlineStr">
        <is>
          <t>Lương:10 Tr - 13 Tr VND</t>
        </is>
      </c>
      <c r="F19596" s="10" t="inlineStr">
        <is>
          <t>Hà Nội</t>
        </is>
      </c>
      <c r="G19596" s="10" t="inlineStr">
        <is>
          <t>27-03-2026</t>
        </is>
      </c>
      <c r="H19596" s="10" t="inlineStr">
        <is>
          <t>27/03/2026</t>
        </is>
      </c>
      <c r="I19596" s="10" t="inlineStr">
        <is>
          <t>17/03/2026</t>
        </is>
      </c>
      <c r="J19596" s="10" t="inlineStr">
        <is>
          <t>Đồ gỗ, Kiến trúc, Nội ngoại thất</t>
        </is>
      </c>
      <c r="K19596" s="10" t="inlineStr">
        <is>
          <t>1 - 2 Năm</t>
        </is>
      </c>
      <c r="L19596" s="11">
        <f>HYPERLINK("https://careerviet.vn/vi/tim-viec-lam/nhan-vien-appsheet-developer.35C66A0B.html","Xem chi tiết")</f>
        <v/>
      </c>
      <c r="M19596" s="10" t="n"/>
    </row>
    <row r="19597">
      <c r="B19597" s="7" t="n">
        <v>19595</v>
      </c>
      <c r="C19597" t="inlineStr">
        <is>
          <t>Talent Acquisition Manager</t>
        </is>
      </c>
      <c r="D19597" t="inlineStr">
        <is>
          <t>Tổng Công ty Đối Tác Chân Thật</t>
        </is>
      </c>
      <c r="E19597" t="inlineStr">
        <is>
          <t>Lương:20 Tr - 25 Tr VND</t>
        </is>
      </c>
      <c r="F19597" t="inlineStr">
        <is>
          <t>Hồ Chí Minh</t>
        </is>
      </c>
      <c r="G19597" t="inlineStr">
        <is>
          <t>27-03-2026</t>
        </is>
      </c>
      <c r="H19597" t="inlineStr">
        <is>
          <t>27/03/2026</t>
        </is>
      </c>
      <c r="I19597" t="inlineStr">
        <is>
          <t>17/03/2026</t>
        </is>
      </c>
      <c r="J19597" t="inlineStr">
        <is>
          <t>Hành chính / Thư ký, Nhân sự, Xuất nhập khẩu</t>
        </is>
      </c>
      <c r="K19597" t="inlineStr">
        <is>
          <t>3 - 5 Năm</t>
        </is>
      </c>
      <c r="L19597" s="8">
        <f>HYPERLINK("https://careerviet.vn/vi/tim-viec-lam/talent-acquisition-manager.35C669A2.html","Xem chi tiết")</f>
        <v/>
      </c>
    </row>
    <row r="19598">
      <c r="B19598" s="9" t="n">
        <v>19596</v>
      </c>
      <c r="C19598" s="10" t="inlineStr">
        <is>
          <t>KẾ TOÁN TRƯỞNG</t>
        </is>
      </c>
      <c r="D19598" s="10" t="inlineStr">
        <is>
          <t>Công ty TNHH Kiến tạo và Kiệt tác ( Work &amp; Wondes)</t>
        </is>
      </c>
      <c r="E19598" s="10" t="inlineStr">
        <is>
          <t>Lương:18 Tr - 25 Tr VND</t>
        </is>
      </c>
      <c r="F19598" s="10" t="inlineStr">
        <is>
          <t>Hà Nội</t>
        </is>
      </c>
      <c r="G19598" s="10" t="inlineStr">
        <is>
          <t>26-03-2026</t>
        </is>
      </c>
      <c r="H19598" s="10" t="inlineStr">
        <is>
          <t>26/03/2026</t>
        </is>
      </c>
      <c r="I19598" s="10" t="inlineStr">
        <is>
          <t>17/03/2026</t>
        </is>
      </c>
      <c r="J19598" s="10" t="inlineStr">
        <is>
          <t>Tài chính / Đầu tư, Luật / Pháp lý, Kế toán / Kiểm toán</t>
        </is>
      </c>
      <c r="K19598" s="10" t="inlineStr">
        <is>
          <t>Trên 3 Năm</t>
        </is>
      </c>
      <c r="L19598" s="11">
        <f>HYPERLINK("https://careerviet.vn/vi/tim-viec-lam/ke-toan-truong.35C6697D.html","Xem chi tiết")</f>
        <v/>
      </c>
      <c r="M19598" s="10" t="n"/>
    </row>
    <row r="19599">
      <c r="B19599" s="7" t="n">
        <v>19597</v>
      </c>
      <c r="C19599" t="inlineStr">
        <is>
          <t>Kế Toán Tổng Hợp</t>
        </is>
      </c>
      <c r="D19599" t="inlineStr">
        <is>
          <t>Công ty TNHH Cơ Khí Xây Dựng Du Lịch Bách Tùng</t>
        </is>
      </c>
      <c r="E19599" t="inlineStr">
        <is>
          <t>Lương:15 Tr - 25 Tr VND</t>
        </is>
      </c>
      <c r="F19599" t="inlineStr">
        <is>
          <t>Bình DươngHồ Chí Minh</t>
        </is>
      </c>
      <c r="G19599" t="inlineStr">
        <is>
          <t>27-03-2026</t>
        </is>
      </c>
      <c r="H19599" t="inlineStr">
        <is>
          <t>27/03/2026</t>
        </is>
      </c>
      <c r="I19599" t="inlineStr">
        <is>
          <t>17/03/2026</t>
        </is>
      </c>
      <c r="J19599" t="inlineStr">
        <is>
          <t>Kế toán / Kiểm toán, Thống kê, Tài chính / Đầu tư</t>
        </is>
      </c>
      <c r="K19599" t="inlineStr">
        <is>
          <t>Trên 3 Năm</t>
        </is>
      </c>
      <c r="L19599" s="8">
        <f>HYPERLINK("https://careerviet.vn/vi/tim-viec-lam/ke-toan-tong-hop.35C66A0D.html","Xem chi tiết")</f>
        <v/>
      </c>
    </row>
    <row r="19600">
      <c r="B19600" s="9" t="n">
        <v>19598</v>
      </c>
      <c r="C19600" s="10" t="inlineStr">
        <is>
          <t>Tổ trưởng sản xuất</t>
        </is>
      </c>
      <c r="D19600" s="10" t="inlineStr">
        <is>
          <t>CÔNG TY TNHH CÀ PHÊ TRÀ PHƯƠNG VY</t>
        </is>
      </c>
      <c r="E19600" s="10" t="inlineStr">
        <is>
          <t>Lương:Cạnh tranh</t>
        </is>
      </c>
      <c r="F19600" s="10" t="inlineStr">
        <is>
          <t>Bình Dương</t>
        </is>
      </c>
      <c r="G19600" s="10" t="inlineStr">
        <is>
          <t>27-03-2026</t>
        </is>
      </c>
      <c r="H19600" s="10" t="inlineStr">
        <is>
          <t>27/03/2026</t>
        </is>
      </c>
      <c r="I19600" s="10" t="inlineStr">
        <is>
          <t>17/03/2026</t>
        </is>
      </c>
      <c r="J19600" s="10" t="inlineStr">
        <is>
          <t>Công nghệ thực phẩm / Dinh dưỡng</t>
        </is>
      </c>
      <c r="K19600" s="10" t="inlineStr">
        <is>
          <t>1 - 2 Năm</t>
        </is>
      </c>
      <c r="L19600" s="11">
        <f>HYPERLINK("https://careerviet.vn/vi/tim-viec-lam/to-truong-san-xuat.35C66966.html","Xem chi tiết")</f>
        <v/>
      </c>
      <c r="M19600" s="10" t="n"/>
    </row>
    <row r="19601">
      <c r="B19601" s="7" t="n">
        <v>19599</v>
      </c>
      <c r="C19601" t="inlineStr">
        <is>
          <t>Trưởng phòng kỹ thuật</t>
        </is>
      </c>
      <c r="D19601" t="inlineStr">
        <is>
          <t>CÔNG TY CP TẬP ĐOÀN VIỆT HỒNG</t>
        </is>
      </c>
      <c r="E19601" t="inlineStr">
        <is>
          <t>Lương:25 Tr - 40 Tr VND</t>
        </is>
      </c>
      <c r="F19601" t="inlineStr">
        <is>
          <t>Bà Rịa - Vũng TàuHồ Chí Minh</t>
        </is>
      </c>
      <c r="G19601" t="inlineStr">
        <is>
          <t>27-03-2026</t>
        </is>
      </c>
      <c r="H19601" t="inlineStr">
        <is>
          <t>27/03/2026</t>
        </is>
      </c>
      <c r="I19601" t="inlineStr">
        <is>
          <t>17/03/2026</t>
        </is>
      </c>
      <c r="J19601" t="inlineStr">
        <is>
          <t>Nội ngoại thất</t>
        </is>
      </c>
      <c r="K19601" t="inlineStr">
        <is>
          <t>3 - 5 Năm</t>
        </is>
      </c>
      <c r="L19601" s="8">
        <f>HYPERLINK("https://careerviet.vn/vi/tim-viec-lam/truong-phong-ky-thuat.35C63FD3.html","Xem chi tiết")</f>
        <v/>
      </c>
    </row>
    <row r="19602">
      <c r="B19602" s="9" t="n">
        <v>19600</v>
      </c>
      <c r="C19602" s="10" t="inlineStr">
        <is>
          <t>CEO Assistant</t>
        </is>
      </c>
      <c r="D19602" s="10" t="inlineStr">
        <is>
          <t>Công Ty Cổ Phần TEECOM</t>
        </is>
      </c>
      <c r="E19602" s="10" t="inlineStr">
        <is>
          <t>Lương:Cạnh tranh</t>
        </is>
      </c>
      <c r="F19602" s="10" t="inlineStr">
        <is>
          <t>Hồ Chí Minh</t>
        </is>
      </c>
      <c r="G19602" s="10" t="inlineStr">
        <is>
          <t>25-03-2026</t>
        </is>
      </c>
      <c r="H19602" s="10" t="inlineStr">
        <is>
          <t>25/03/2026</t>
        </is>
      </c>
      <c r="I19602" s="10" t="inlineStr">
        <is>
          <t>17/03/2026</t>
        </is>
      </c>
      <c r="J19602" s="10" t="inlineStr">
        <is>
          <t>Tiếp thị trực tuyến, Thương mại điện tử, Quản lý điều hành</t>
        </is>
      </c>
      <c r="K19602" s="10" t="inlineStr">
        <is>
          <t>5 - 7 Năm</t>
        </is>
      </c>
      <c r="L19602" s="11">
        <f>HYPERLINK("https://careerviet.vn/vi/tim-viec-lam/ceo-assistant.35C63E27.html","Xem chi tiết")</f>
        <v/>
      </c>
      <c r="M19602" s="10" t="n"/>
    </row>
    <row r="19603">
      <c r="B19603" s="7" t="n">
        <v>19601</v>
      </c>
      <c r="C19603" t="inlineStr">
        <is>
          <t>Tư Vấn Viên</t>
        </is>
      </c>
      <c r="D19603" t="inlineStr">
        <is>
          <t>CÔNG TY TNHH TẬP ĐOÀN GTG</t>
        </is>
      </c>
      <c r="E19603" t="inlineStr">
        <is>
          <t>Lương:50 Tr - 150 Tr VND</t>
        </is>
      </c>
      <c r="F19603" t="inlineStr">
        <is>
          <t>Hà Nội</t>
        </is>
      </c>
      <c r="G19603" t="inlineStr">
        <is>
          <t>25-03-2026</t>
        </is>
      </c>
      <c r="H19603" t="inlineStr">
        <is>
          <t>25/03/2026</t>
        </is>
      </c>
      <c r="I19603" t="inlineStr">
        <is>
          <t>17/03/2026</t>
        </is>
      </c>
      <c r="J19603" t="inlineStr">
        <is>
          <t>Bán hàng / Kinh doanh, Tư vấn, Dịch vụ khách hàng</t>
        </is>
      </c>
      <c r="K19603" t="inlineStr">
        <is>
          <t>Trên 1 Năm</t>
        </is>
      </c>
      <c r="L19603" s="8">
        <f>HYPERLINK("https://careerviet.vn/vi/tim-viec-lam/tu-van-vien.35C63DA9.html","Xem chi tiết")</f>
        <v/>
      </c>
    </row>
    <row r="19604">
      <c r="B19604" s="9" t="n">
        <v>19602</v>
      </c>
      <c r="C19604" s="10" t="inlineStr">
        <is>
          <t>Chuyên viên Phát triển năng lực</t>
        </is>
      </c>
      <c r="D19604" s="10" t="inlineStr">
        <is>
          <t>Ngân hàng TMCP Đại Chúng Việt Nam - PVcomBank</t>
        </is>
      </c>
      <c r="E19604" s="10" t="inlineStr">
        <is>
          <t>Lương:Cạnh tranh</t>
        </is>
      </c>
      <c r="F19604" s="10" t="inlineStr">
        <is>
          <t>Hà Nội</t>
        </is>
      </c>
      <c r="G19604" s="10" t="inlineStr">
        <is>
          <t>25-03-2026</t>
        </is>
      </c>
      <c r="H19604" s="10" t="inlineStr">
        <is>
          <t>25/03/2026</t>
        </is>
      </c>
      <c r="I19604" s="10" t="inlineStr">
        <is>
          <t>17/03/2026</t>
        </is>
      </c>
      <c r="J19604" s="10" t="inlineStr">
        <is>
          <t>Nhân sự, Ngân hàng</t>
        </is>
      </c>
      <c r="K19604" s="10" t="inlineStr">
        <is>
          <t>1 - 2 Năm</t>
        </is>
      </c>
      <c r="L19604" s="11">
        <f>HYPERLINK("https://careerviet.vn/vi/tim-viec-lam/chuyen-vien-phat-trien-nang-luc.35C63CC4.html","Xem chi tiết")</f>
        <v/>
      </c>
      <c r="M19604" s="10" t="n"/>
    </row>
    <row r="19605">
      <c r="B19605" s="7" t="n">
        <v>19603</v>
      </c>
      <c r="C19605" t="inlineStr">
        <is>
          <t>CVC Kiểm soát sau vay - Hà Nội - TA162</t>
        </is>
      </c>
      <c r="D19605" t="inlineStr">
        <is>
          <t>Ngân Hàng TMCP Việt Nam Thịnh Vượng - VPBANK</t>
        </is>
      </c>
      <c r="E19605" t="inlineStr">
        <is>
          <t>Lương:Cạnh tranh</t>
        </is>
      </c>
      <c r="F19605" t="inlineStr">
        <is>
          <t>Hà Nội</t>
        </is>
      </c>
      <c r="G19605" t="inlineStr">
        <is>
          <t>27-03-2026</t>
        </is>
      </c>
      <c r="H19605" t="inlineStr">
        <is>
          <t>27/03/2026</t>
        </is>
      </c>
      <c r="I19605" t="inlineStr">
        <is>
          <t>17/03/2026</t>
        </is>
      </c>
      <c r="J19605" t="inlineStr">
        <is>
          <t>Ngân hàng</t>
        </is>
      </c>
      <c r="K19605" t="inlineStr">
        <is>
          <t>2 - 3 Năm</t>
        </is>
      </c>
      <c r="L19605" s="8">
        <f>HYPERLINK("https://careerviet.vn/vi/tim-viec-lam/cvc-kiem-soat-sau-vay-ha-noi-ta162.35C668DD.html","Xem chi tiết")</f>
        <v/>
      </c>
    </row>
    <row r="19606">
      <c r="B19606" s="9" t="n">
        <v>19604</v>
      </c>
      <c r="C19606" s="10" t="inlineStr">
        <is>
          <t>Technician (Furniture)</t>
        </is>
      </c>
      <c r="D19606" s="10" t="inlineStr">
        <is>
          <t>CÔNG TY CP TẬP ĐOÀN VIỆT HỒNG</t>
        </is>
      </c>
      <c r="E19606" s="10" t="inlineStr">
        <is>
          <t>Lương:18 Tr - 22 Tr VND</t>
        </is>
      </c>
      <c r="F19606" s="10" t="inlineStr">
        <is>
          <t>Hồ Chí Minh</t>
        </is>
      </c>
      <c r="G19606" s="10" t="inlineStr">
        <is>
          <t>25-03-2026</t>
        </is>
      </c>
      <c r="H19606" s="10" t="inlineStr">
        <is>
          <t>25/03/2026</t>
        </is>
      </c>
      <c r="I19606" s="10" t="inlineStr">
        <is>
          <t>17/03/2026</t>
        </is>
      </c>
      <c r="J19606" s="10" t="inlineStr">
        <is>
          <t>Đồ gỗ, Nội ngoại thất</t>
        </is>
      </c>
      <c r="K19606" s="10" t="inlineStr">
        <is>
          <t>1 - 3 Năm</t>
        </is>
      </c>
      <c r="L19606" s="11">
        <f>HYPERLINK("https://careerviet.vn/vi/tim-viec-lam/technician-furniture.35C63E1A.html","Xem chi tiết")</f>
        <v/>
      </c>
      <c r="M19606" s="10" t="n"/>
    </row>
    <row r="19607">
      <c r="B19607" s="7" t="n">
        <v>19605</v>
      </c>
      <c r="C19607" t="inlineStr">
        <is>
          <t>Chuyên Viên Chính Quản Trị Và Kiểm Định Vàng - Hà Nội - TA162</t>
        </is>
      </c>
      <c r="D19607" t="inlineStr">
        <is>
          <t>Ngân Hàng TMCP Việt Nam Thịnh Vượng - VPBANK</t>
        </is>
      </c>
      <c r="E19607" t="inlineStr">
        <is>
          <t>Lương:Cạnh tranh</t>
        </is>
      </c>
      <c r="F19607" t="inlineStr">
        <is>
          <t>Hà Nội</t>
        </is>
      </c>
      <c r="G19607" t="inlineStr">
        <is>
          <t>25-03-2026</t>
        </is>
      </c>
      <c r="H19607" t="inlineStr">
        <is>
          <t>25/03/2026</t>
        </is>
      </c>
      <c r="I19607" t="inlineStr">
        <is>
          <t>17/03/2026</t>
        </is>
      </c>
      <c r="J19607" t="inlineStr">
        <is>
          <t>Ngân hàng, Cơ khí / Ô tô / Tự động hóa</t>
        </is>
      </c>
      <c r="K19607" t="inlineStr">
        <is>
          <t>2 - 3 Năm</t>
        </is>
      </c>
      <c r="L19607" s="8">
        <f>HYPERLINK("https://careerviet.vn/vi/tim-viec-lam/chuyen-vien-chinh-quan-tri-va-kiem-dinh-vang-ha-noi-ta162.35C63E52.html","Xem chi tiết")</f>
        <v/>
      </c>
    </row>
    <row r="19608">
      <c r="B19608" s="9" t="n">
        <v>19606</v>
      </c>
      <c r="C19608" s="10" t="inlineStr">
        <is>
          <t>NHÂN VIÊN PHÁT TRIỂN KINH DOANH</t>
        </is>
      </c>
      <c r="D19608" s="10" t="inlineStr">
        <is>
          <t>S.F. EXPRESS LTD.</t>
        </is>
      </c>
      <c r="E19608" s="10" t="inlineStr">
        <is>
          <t>Lương:Cạnh tranh</t>
        </is>
      </c>
      <c r="F19608" s="10" t="inlineStr">
        <is>
          <t>Hà NộiHồ Chí Minh</t>
        </is>
      </c>
      <c r="G19608" s="10" t="inlineStr">
        <is>
          <t>25-03-2026</t>
        </is>
      </c>
      <c r="H19608" s="10" t="inlineStr">
        <is>
          <t>25/03/2026</t>
        </is>
      </c>
      <c r="I19608" s="10" t="inlineStr">
        <is>
          <t>17/03/2026</t>
        </is>
      </c>
      <c r="J19608" s="10" t="inlineStr">
        <is>
          <t>Tiếp thị / Marketing, Bán hàng / Kinh doanh, Tài chính / Đầu tư</t>
        </is>
      </c>
      <c r="K19608" s="10" t="inlineStr">
        <is>
          <t>3 - 15 Năm</t>
        </is>
      </c>
      <c r="L19608" s="11">
        <f>HYPERLINK("https://careerviet.vn/vi/tim-viec-lam/nhan-vien-phat-trien-kinh-doanh.35C63E23.html","Xem chi tiết")</f>
        <v/>
      </c>
      <c r="M19608" s="10" t="n"/>
    </row>
    <row r="19609">
      <c r="B19609" s="7" t="n">
        <v>19607</v>
      </c>
      <c r="C19609" t="inlineStr">
        <is>
          <t>Giám sát vệ sinh công nghiệp</t>
        </is>
      </c>
      <c r="D19609" t="inlineStr">
        <is>
          <t>Công Ty Cổ Phần Dịch Vụ Nhà Sạch</t>
        </is>
      </c>
      <c r="E19609" t="inlineStr">
        <is>
          <t>Lương:8 Tr - 9 Tr VND</t>
        </is>
      </c>
      <c r="F19609" t="inlineStr">
        <is>
          <t>Hồ Chí Minh</t>
        </is>
      </c>
      <c r="G19609" t="inlineStr">
        <is>
          <t>25-03-2026</t>
        </is>
      </c>
      <c r="H19609" t="inlineStr">
        <is>
          <t>25/03/2026</t>
        </is>
      </c>
      <c r="I19609" t="inlineStr">
        <is>
          <t>17/03/2026</t>
        </is>
      </c>
      <c r="J19609" t="inlineStr">
        <is>
          <t>Bán hàng / Kinh doanh, Dịch vụ khách hàng, Nhà hàng / Khách sạn</t>
        </is>
      </c>
      <c r="K19609" t="inlineStr">
        <is>
          <t>N/A</t>
        </is>
      </c>
      <c r="L19609" s="8">
        <f>HYPERLINK("https://careerviet.vn/vi/tim-viec-lam/giam-sat-ve-sinh-cong-nghiep.35C63CF9.html","Xem chi tiết")</f>
        <v/>
      </c>
    </row>
    <row r="19610">
      <c r="B19610" s="9" t="n">
        <v>19608</v>
      </c>
      <c r="C19610" s="10" t="inlineStr">
        <is>
          <t>Quản Trị Viên Kỹ Thuật  Chất lượng ( Sản Phẩm )</t>
        </is>
      </c>
      <c r="D19610" s="10" t="inlineStr">
        <is>
          <t>CÔNG TY TNHH ACTR</t>
        </is>
      </c>
      <c r="E19610" s="10" t="inlineStr">
        <is>
          <t>Lương:10,8 Tr - 15,5 Tr VND</t>
        </is>
      </c>
      <c r="F19610" s="10" t="inlineStr">
        <is>
          <t>Tây Ninh</t>
        </is>
      </c>
      <c r="G19610" s="10" t="inlineStr">
        <is>
          <t>25-03-2026</t>
        </is>
      </c>
      <c r="H19610" s="10" t="inlineStr">
        <is>
          <t>25/03/2026</t>
        </is>
      </c>
      <c r="I19610" s="10" t="inlineStr">
        <is>
          <t>17/03/2026</t>
        </is>
      </c>
      <c r="J19610" s="10" t="inlineStr">
        <is>
          <t>Mới tốt nghiệp / Thực tập, Cơ khí / Ô tô / Tự động hóa, Quản lý chất lượng (QA/QC)</t>
        </is>
      </c>
      <c r="K19610" s="10" t="inlineStr">
        <is>
          <t>N/A</t>
        </is>
      </c>
      <c r="L19610" s="11">
        <f>HYPERLINK("https://careerviet.vn/vi/tim-viec-lam/quan-tri-vien-ky-thuat-chat-luong-san-pham.35C639AA.html","Xem chi tiết")</f>
        <v/>
      </c>
      <c r="M19610" s="10" t="n"/>
    </row>
    <row r="19611">
      <c r="B19611" s="7" t="n">
        <v>19609</v>
      </c>
      <c r="C19611" t="inlineStr">
        <is>
          <t>Kỹ sư môi trường (Vận hành Hệ thống tái chế phế liệu)</t>
        </is>
      </c>
      <c r="D19611" t="inlineStr">
        <is>
          <t>CÔNG TY TNHH ELECTRONIC TRIPOD VIỆT NAM (CHÂU ĐỨC)</t>
        </is>
      </c>
      <c r="E19611" t="inlineStr">
        <is>
          <t>Lương:Cạnh tranh</t>
        </is>
      </c>
      <c r="F19611" t="inlineStr">
        <is>
          <t>Bà Rịa - Vũng Tàu</t>
        </is>
      </c>
      <c r="G19611" t="inlineStr">
        <is>
          <t>25-03-2026</t>
        </is>
      </c>
      <c r="H19611" t="inlineStr">
        <is>
          <t>25/03/2026</t>
        </is>
      </c>
      <c r="I19611" t="inlineStr">
        <is>
          <t>17/03/2026</t>
        </is>
      </c>
      <c r="J19611" t="inlineStr">
        <is>
          <t>Môi trường, Hóa học, Điện / Điện tử / Điện lạnh / Điện công nghiệp</t>
        </is>
      </c>
      <c r="K19611" t="inlineStr">
        <is>
          <t>1 - 2 Năm</t>
        </is>
      </c>
      <c r="L19611" s="8">
        <f>HYPERLINK("https://careerviet.vn/vi/tim-viec-lam/ky-su-moi-truong-van-hanh-he-thong-tai-che-phe-lieu.35C63D02.html","Xem chi tiết")</f>
        <v/>
      </c>
    </row>
    <row r="19612">
      <c r="B19612" s="9" t="n">
        <v>19610</v>
      </c>
      <c r="C19612" s="10" t="inlineStr">
        <is>
          <t>Chuyên viên đấu thầu (Bidding Specialist)</t>
        </is>
      </c>
      <c r="D19612" s="10" t="inlineStr">
        <is>
          <t>PTSC Offshore Services (POS)</t>
        </is>
      </c>
      <c r="E19612" s="10" t="inlineStr">
        <is>
          <t>Lương:Cạnh tranh</t>
        </is>
      </c>
      <c r="F19612" s="10" t="inlineStr">
        <is>
          <t>Bà Rịa - Vũng Tàu</t>
        </is>
      </c>
      <c r="G19612" s="10" t="inlineStr">
        <is>
          <t>25-03-2026</t>
        </is>
      </c>
      <c r="H19612" s="10" t="inlineStr">
        <is>
          <t>25/03/2026</t>
        </is>
      </c>
      <c r="I19612" s="10" t="inlineStr">
        <is>
          <t>17/03/2026</t>
        </is>
      </c>
      <c r="J19612" s="10" t="inlineStr">
        <is>
          <t>Dầu khí, Tài chính / Đầu tư, Thu mua / Vật tư</t>
        </is>
      </c>
      <c r="K19612" s="10" t="inlineStr">
        <is>
          <t>2 - 15 Năm</t>
        </is>
      </c>
      <c r="L19612" s="11">
        <f>HYPERLINK("https://careerviet.vn/vi/tim-viec-lam/chuyen-vien-dau-thau-bidding-specialist.35C6680E.html","Xem chi tiết")</f>
        <v/>
      </c>
      <c r="M19612" s="10" t="n"/>
    </row>
    <row r="19613">
      <c r="B19613" s="7" t="n">
        <v>19611</v>
      </c>
      <c r="C19613" t="inlineStr">
        <is>
          <t>Java Developer</t>
        </is>
      </c>
      <c r="D19613" t="inlineStr">
        <is>
          <t>GTEL ICT</t>
        </is>
      </c>
      <c r="E19613" t="inlineStr">
        <is>
          <t>Lương:Cạnh tranh</t>
        </is>
      </c>
      <c r="F19613" t="inlineStr">
        <is>
          <t>Hà Nội</t>
        </is>
      </c>
      <c r="G19613" t="inlineStr">
        <is>
          <t>25-03-2026</t>
        </is>
      </c>
      <c r="H19613" t="inlineStr">
        <is>
          <t>25/03/2026</t>
        </is>
      </c>
      <c r="I19613" t="inlineStr">
        <is>
          <t>17/03/2026</t>
        </is>
      </c>
      <c r="J19613" t="inlineStr">
        <is>
          <t>CNTT - Phần mềm, CNTT - Phần cứng / Mạng</t>
        </is>
      </c>
      <c r="K19613" t="inlineStr">
        <is>
          <t>Trên 3 Năm</t>
        </is>
      </c>
      <c r="L19613" s="8">
        <f>HYPERLINK("https://careerviet.vn/vi/tim-viec-lam/java-developer.35C66837.html","Xem chi tiết")</f>
        <v/>
      </c>
    </row>
    <row r="19614">
      <c r="B19614" s="9" t="n">
        <v>19612</v>
      </c>
      <c r="C19614" s="10" t="inlineStr">
        <is>
          <t>Import - Export Liquidation Specialist</t>
        </is>
      </c>
      <c r="D19614" s="10" t="inlineStr">
        <is>
          <t>Headhunter HRchannels Group</t>
        </is>
      </c>
      <c r="E19614" s="10" t="inlineStr">
        <is>
          <t>Lương:1.150 - 1.150 USD</t>
        </is>
      </c>
      <c r="F19614" s="10" t="inlineStr">
        <is>
          <t>Hà NộiBắc NinhHồ Chí Minh</t>
        </is>
      </c>
      <c r="G19614" s="10" t="inlineStr">
        <is>
          <t>25-03-2026</t>
        </is>
      </c>
      <c r="H19614" s="10" t="inlineStr">
        <is>
          <t>25/03/2026</t>
        </is>
      </c>
      <c r="I19614" s="10" t="inlineStr">
        <is>
          <t>17/03/2026</t>
        </is>
      </c>
      <c r="J19614" s="10" t="inlineStr">
        <is>
          <t>Vận chuyển / Giao nhận / Kho vận, Xuất nhập khẩu, Thu mua / Vật tư</t>
        </is>
      </c>
      <c r="K19614" s="10" t="inlineStr">
        <is>
          <t>3 - 5 Năm</t>
        </is>
      </c>
      <c r="L19614" s="11">
        <f>HYPERLINK("https://careerviet.vn/vi/tim-viec-lam/import-export-liquidation-specialist.35C63CAE.html","Xem chi tiết")</f>
        <v/>
      </c>
      <c r="M19614" s="10" t="n"/>
    </row>
    <row r="19615">
      <c r="B19615" s="7" t="n">
        <v>19613</v>
      </c>
      <c r="C19615" t="inlineStr">
        <is>
          <t>Development Testing Center Assistant Supervisor</t>
        </is>
      </c>
      <c r="D19615" t="inlineStr">
        <is>
          <t>Công ty TNHH framas Korea Vina</t>
        </is>
      </c>
      <c r="E19615" t="inlineStr">
        <is>
          <t>Lương:Cạnh tranh</t>
        </is>
      </c>
      <c r="F19615" t="inlineStr">
        <is>
          <t>Đồng Nai</t>
        </is>
      </c>
      <c r="G19615" t="inlineStr">
        <is>
          <t>25-03-2026</t>
        </is>
      </c>
      <c r="H19615" t="inlineStr">
        <is>
          <t>25/03/2026</t>
        </is>
      </c>
      <c r="I19615" t="inlineStr">
        <is>
          <t>17/03/2026</t>
        </is>
      </c>
      <c r="J19615" t="inlineStr">
        <is>
          <t>Cơ khí / Ô tô / Tự động hóa, Sản xuất / Vận hành sản xuất, Dệt may / Da giày / Thời trang</t>
        </is>
      </c>
      <c r="K19615" t="inlineStr">
        <is>
          <t>3 - 5 Năm</t>
        </is>
      </c>
      <c r="L19615" s="8">
        <f>HYPERLINK("https://careerviet.vn/vi/tim-viec-lam/development-testing-center-assistant-supervisor.35C667F1.html","Xem chi tiết")</f>
        <v/>
      </c>
    </row>
    <row r="19616">
      <c r="B19616" s="9" t="n">
        <v>19614</v>
      </c>
      <c r="C19616" s="10" t="inlineStr">
        <is>
          <t>Nhân viên Bán Hàng Thời Trang (Sales Associate)</t>
        </is>
      </c>
      <c r="D19616" s="10" t="inlineStr">
        <is>
          <t>CÔNG TY TNHH SEMIR INTERNATIONAL VIỆT NAM</t>
        </is>
      </c>
      <c r="E19616" s="10" t="inlineStr">
        <is>
          <t>Lương:Cạnh tranh</t>
        </is>
      </c>
      <c r="F19616" s="10" t="inlineStr">
        <is>
          <t>Hà NộiHồ Chí Minh</t>
        </is>
      </c>
      <c r="G19616" s="10" t="inlineStr">
        <is>
          <t>25-03-2026</t>
        </is>
      </c>
      <c r="H19616" s="10" t="inlineStr">
        <is>
          <t>25/03/2026</t>
        </is>
      </c>
      <c r="I19616" s="10" t="inlineStr">
        <is>
          <t>17/03/2026</t>
        </is>
      </c>
      <c r="J19616" s="10" t="inlineStr">
        <is>
          <t>Bán hàng / Kinh doanh, Bán lẻ / Bán sỉ</t>
        </is>
      </c>
      <c r="K19616" s="10" t="inlineStr">
        <is>
          <t>1 - 5 Năm</t>
        </is>
      </c>
      <c r="L19616" s="11">
        <f>HYPERLINK("https://careerviet.vn/vi/tim-viec-lam/nhan-vien-ban-hang-thoi-trang-sales-associate.35C6682B.html","Xem chi tiết")</f>
        <v/>
      </c>
      <c r="M19616" s="10" t="n"/>
    </row>
    <row r="19617">
      <c r="B19617" s="7" t="n">
        <v>19615</v>
      </c>
      <c r="C19617" t="inlineStr">
        <is>
          <t>Chuyên viên mua hàng</t>
        </is>
      </c>
      <c r="D19617" t="inlineStr">
        <is>
          <t>Công ty Cổ phần TKMB</t>
        </is>
      </c>
      <c r="E19617" t="inlineStr">
        <is>
          <t>Lương:Cạnh tranh</t>
        </is>
      </c>
      <c r="F19617" t="inlineStr">
        <is>
          <t>Long An</t>
        </is>
      </c>
      <c r="G19617" t="inlineStr">
        <is>
          <t>25-03-2026</t>
        </is>
      </c>
      <c r="H19617" t="inlineStr">
        <is>
          <t>25/03/2026</t>
        </is>
      </c>
      <c r="I19617" t="inlineStr">
        <is>
          <t>17/03/2026</t>
        </is>
      </c>
      <c r="J19617" t="inlineStr">
        <is>
          <t>Thu mua / Vật tư</t>
        </is>
      </c>
      <c r="K19617" t="inlineStr">
        <is>
          <t>1 - 2 Năm</t>
        </is>
      </c>
      <c r="L19617" s="8">
        <f>HYPERLINK("https://careerviet.vn/vi/tim-viec-lam/chuyen-vien-mua-hang.35C6683A.html","Xem chi tiết")</f>
        <v/>
      </c>
    </row>
    <row r="19618">
      <c r="B19618" s="9" t="n">
        <v>19616</v>
      </c>
      <c r="C19618" s="10" t="inlineStr">
        <is>
          <t>HRBP Manager</t>
        </is>
      </c>
      <c r="D19618" s="10" t="inlineStr">
        <is>
          <t>VINFAST TRADING AND PRODUCTION JSC</t>
        </is>
      </c>
      <c r="E19618" s="10" t="inlineStr">
        <is>
          <t>Lương:Cạnh tranh</t>
        </is>
      </c>
      <c r="F19618" s="10" t="inlineStr">
        <is>
          <t>Hà TĩnhNghệ An</t>
        </is>
      </c>
      <c r="G19618" s="10" t="inlineStr">
        <is>
          <t>25-03-2026</t>
        </is>
      </c>
      <c r="H19618" s="10" t="inlineStr">
        <is>
          <t>25/03/2026</t>
        </is>
      </c>
      <c r="I19618" s="10" t="inlineStr">
        <is>
          <t>17/03/2026</t>
        </is>
      </c>
      <c r="J19618" s="10" t="inlineStr">
        <is>
          <t>Nhân sự</t>
        </is>
      </c>
      <c r="K19618" s="10" t="inlineStr">
        <is>
          <t>5 - 7 Năm</t>
        </is>
      </c>
      <c r="L19618" s="11">
        <f>HYPERLINK("https://careerviet.vn/vi/tim-viec-lam/hrbp-manager.35C63DAA.html","Xem chi tiết")</f>
        <v/>
      </c>
      <c r="M19618" s="10" t="n"/>
    </row>
    <row r="19619">
      <c r="B19619" s="7" t="n">
        <v>19617</v>
      </c>
      <c r="C19619" t="inlineStr">
        <is>
          <t>Chủ quản sản xuất tiếng Trung</t>
        </is>
      </c>
      <c r="D19619" t="inlineStr">
        <is>
          <t>Công ty TNHH Midea Consumer Electric Vietnam</t>
        </is>
      </c>
      <c r="E19619" t="inlineStr">
        <is>
          <t>Lương:Cạnh tranh</t>
        </is>
      </c>
      <c r="F19619" t="inlineStr">
        <is>
          <t>Bình Dương</t>
        </is>
      </c>
      <c r="G19619" t="inlineStr">
        <is>
          <t>25-03-2026</t>
        </is>
      </c>
      <c r="H19619" t="inlineStr">
        <is>
          <t>25/03/2026</t>
        </is>
      </c>
      <c r="I19619" t="inlineStr">
        <is>
          <t>17/03/2026</t>
        </is>
      </c>
      <c r="J19619" t="inlineStr">
        <is>
          <t>Sản xuất / Vận hành sản xuất</t>
        </is>
      </c>
      <c r="K19619" t="inlineStr">
        <is>
          <t>2 - 3 Năm</t>
        </is>
      </c>
      <c r="L19619" s="8">
        <f>HYPERLINK("https://careerviet.vn/vi/tim-viec-lam/chu-quan-san-xuat-tieng-trung.35C667EF.html","Xem chi tiết")</f>
        <v/>
      </c>
    </row>
    <row r="19620">
      <c r="B19620" s="9" t="n">
        <v>19618</v>
      </c>
      <c r="C19620" s="10" t="inlineStr">
        <is>
          <t>Nhân viên chính thức trực Tổng đài nhà mạng Viettel Đà Nẵng Không bán hàng</t>
        </is>
      </c>
      <c r="D19620" s="10" t="inlineStr">
        <is>
          <t>BellSystem24-Việt Nam</t>
        </is>
      </c>
      <c r="E19620" s="10" t="inlineStr">
        <is>
          <t>Lương:5 Tr - 8 Tr VND</t>
        </is>
      </c>
      <c r="F19620" s="10" t="inlineStr">
        <is>
          <t>Đà Nẵng</t>
        </is>
      </c>
      <c r="G19620" s="10" t="inlineStr">
        <is>
          <t>25-03-2026</t>
        </is>
      </c>
      <c r="H19620" s="10" t="inlineStr">
        <is>
          <t>25/03/2026</t>
        </is>
      </c>
      <c r="I19620" s="10" t="inlineStr">
        <is>
          <t>17/03/2026</t>
        </is>
      </c>
      <c r="J19620" s="10" t="inlineStr">
        <is>
          <t>Tư vấn, Dịch vụ khách hàng, Lao động phổ thông</t>
        </is>
      </c>
      <c r="K19620" s="10" t="inlineStr">
        <is>
          <t>N/A</t>
        </is>
      </c>
      <c r="L19620" s="11">
        <f>HYPERLINK("https://careerviet.vn/vi/tim-viec-lam/nhan-vien-chinh-thuc-truc-tong-dai-nha-mang-viettel-da-nang-khong-ban-hang.35C63D60.html","Xem chi tiết")</f>
        <v/>
      </c>
      <c r="M19620" s="10" t="n"/>
    </row>
    <row r="19621">
      <c r="B19621" s="7" t="n">
        <v>19619</v>
      </c>
      <c r="C19621" t="inlineStr">
        <is>
          <t>CHUYÊN VIÊN TRIỂN KHAI DỰ ÁN</t>
        </is>
      </c>
      <c r="D19621" t="inlineStr">
        <is>
          <t>Công Ty Cổ Phần Thương Mại Truyền Thông Tốc Độ (SpeedPos Vietnam)</t>
        </is>
      </c>
      <c r="E19621" t="inlineStr">
        <is>
          <t>Lương:8 Tr - 13 Tr VND</t>
        </is>
      </c>
      <c r="F19621" t="inlineStr">
        <is>
          <t>Hồ Chí Minh</t>
        </is>
      </c>
      <c r="G19621" t="inlineStr">
        <is>
          <t>25-03-2026</t>
        </is>
      </c>
      <c r="H19621" t="inlineStr">
        <is>
          <t>25/03/2026</t>
        </is>
      </c>
      <c r="I19621" t="inlineStr">
        <is>
          <t>17/03/2026</t>
        </is>
      </c>
      <c r="J19621" t="inlineStr">
        <is>
          <t>Bảo trì / Sửa chữa, CNTT - Phần cứng / Mạng, CNTT - Phần mềm</t>
        </is>
      </c>
      <c r="K19621" t="inlineStr">
        <is>
          <t>1 - 2 Năm</t>
        </is>
      </c>
      <c r="L19621" s="8">
        <f>HYPERLINK("https://careerviet.vn/vi/tim-viec-lam/chuyen-vien-trien-khai-du-an.35C63B6E.html","Xem chi tiết")</f>
        <v/>
      </c>
    </row>
    <row r="19622">
      <c r="B19622" s="9" t="n">
        <v>19620</v>
      </c>
      <c r="C19622" s="10" t="inlineStr">
        <is>
          <t>Electrical Engineer</t>
        </is>
      </c>
      <c r="D19622" s="10" t="inlineStr">
        <is>
          <t>Công ty TNHH Sài Gòn Stec</t>
        </is>
      </c>
      <c r="E19622" s="10" t="inlineStr">
        <is>
          <t>Lương:15 Tr - 23 Tr VND</t>
        </is>
      </c>
      <c r="F19622" s="10" t="inlineStr">
        <is>
          <t>Bình Dương</t>
        </is>
      </c>
      <c r="G19622" s="10" t="inlineStr">
        <is>
          <t>25-03-2026</t>
        </is>
      </c>
      <c r="H19622" s="10" t="inlineStr">
        <is>
          <t>25/03/2026</t>
        </is>
      </c>
      <c r="I19622" s="10" t="inlineStr">
        <is>
          <t>17/03/2026</t>
        </is>
      </c>
      <c r="J19622" s="10" t="inlineStr">
        <is>
          <t>Điện / Điện tử / Điện lạnh / Điện công nghiệp</t>
        </is>
      </c>
      <c r="K19622" s="10" t="inlineStr">
        <is>
          <t>1 - 3 Năm</t>
        </is>
      </c>
      <c r="L19622" s="11">
        <f>HYPERLINK("https://careerviet.vn/vi/tim-viec-lam/electrical-engineer.35C63C8B.html","Xem chi tiết")</f>
        <v/>
      </c>
      <c r="M19622" s="10" t="n"/>
    </row>
    <row r="19623">
      <c r="B19623" s="7" t="n">
        <v>19621</v>
      </c>
      <c r="C19623" t="inlineStr">
        <is>
          <t>CVCCLập kế hoạch Đào Tạo &amp; Phát Triển (Mảng Dữ Liệu Và Dự Án ) - TA184 - ID570</t>
        </is>
      </c>
      <c r="D19623" t="inlineStr">
        <is>
          <t>Ngân Hàng TMCP Việt Nam Thịnh Vượng - VPBANK</t>
        </is>
      </c>
      <c r="E19623" t="inlineStr">
        <is>
          <t>Lương:Cạnh tranh</t>
        </is>
      </c>
      <c r="F19623" t="inlineStr">
        <is>
          <t>Hà Nội</t>
        </is>
      </c>
      <c r="G19623" t="inlineStr">
        <is>
          <t>25-03-2026</t>
        </is>
      </c>
      <c r="H19623" t="inlineStr">
        <is>
          <t>25/03/2026</t>
        </is>
      </c>
      <c r="I19623" t="inlineStr">
        <is>
          <t>17/03/2026</t>
        </is>
      </c>
      <c r="J19623" t="inlineStr">
        <is>
          <t>CNTT - Phần mềm, Ngân hàng, Tài chính / Đầu tư</t>
        </is>
      </c>
      <c r="K19623" t="inlineStr">
        <is>
          <t>Trên 3 Năm</t>
        </is>
      </c>
      <c r="L19623" s="8">
        <f>HYPERLINK("https://careerviet.vn/vi/tim-viec-lam/cvcclap-ke-hoach-dao-tao-phat-trien-mang-du-lieu-va-du-an-ta184-id570.35C63E3F.html","Xem chi tiết")</f>
        <v/>
      </c>
    </row>
    <row r="19624">
      <c r="B19624" s="9" t="n">
        <v>19622</v>
      </c>
      <c r="C19624" s="10" t="inlineStr">
        <is>
          <t>Host Livestream Quận 2 (Nữ,Full-time)</t>
        </is>
      </c>
      <c r="D19624" s="10" t="inlineStr">
        <is>
          <t>Công ty TNHH Sản xuất Thương mại &amp; Dịch vụ Hoa Xinh</t>
        </is>
      </c>
      <c r="E19624" s="10" t="inlineStr">
        <is>
          <t>Lương:10 Tr - 15 Tr VND</t>
        </is>
      </c>
      <c r="F19624" s="10" t="inlineStr">
        <is>
          <t>Hồ Chí Minh</t>
        </is>
      </c>
      <c r="G19624" s="10" t="inlineStr">
        <is>
          <t>25-03-2026</t>
        </is>
      </c>
      <c r="H19624" s="10" t="inlineStr">
        <is>
          <t>25/03/2026</t>
        </is>
      </c>
      <c r="I19624" s="10" t="inlineStr">
        <is>
          <t>17/03/2026</t>
        </is>
      </c>
      <c r="J19624" s="10" t="inlineStr">
        <is>
          <t>Tiếp thị / Marketing, Tiếp thị trực tuyến, Thương mại điện tử</t>
        </is>
      </c>
      <c r="K19624" s="10" t="inlineStr">
        <is>
          <t>3 - 10 Năm</t>
        </is>
      </c>
      <c r="L19624" s="11">
        <f>HYPERLINK("https://careerviet.vn/vi/tim-viec-lam/host-livestream-quan-2-nu-full-time.35C66820.html","Xem chi tiết")</f>
        <v/>
      </c>
      <c r="M19624" s="10" t="n"/>
    </row>
    <row r="19625">
      <c r="B19625" s="7" t="n">
        <v>19623</v>
      </c>
      <c r="C19625" t="inlineStr">
        <is>
          <t>Sales Admin</t>
        </is>
      </c>
      <c r="D19625" t="inlineStr">
        <is>
          <t>Công Ty Cổ Phần Đông Tây Land</t>
        </is>
      </c>
      <c r="E19625" t="inlineStr">
        <is>
          <t>Lương:10 Tr - 12 Tr VND</t>
        </is>
      </c>
      <c r="F19625" t="inlineStr">
        <is>
          <t>Hồ Chí Minh</t>
        </is>
      </c>
      <c r="G19625" t="inlineStr">
        <is>
          <t>25-03-2026</t>
        </is>
      </c>
      <c r="H19625" t="inlineStr">
        <is>
          <t>25/03/2026</t>
        </is>
      </c>
      <c r="I19625" t="inlineStr">
        <is>
          <t>17/03/2026</t>
        </is>
      </c>
      <c r="J19625" t="inlineStr">
        <is>
          <t>Hành chính / Thư ký, Bất động sản</t>
        </is>
      </c>
      <c r="K19625" t="inlineStr">
        <is>
          <t>1 - 2 Năm</t>
        </is>
      </c>
      <c r="L19625" s="8">
        <f>HYPERLINK("https://careerviet.vn/vi/tim-viec-lam/sales-admin.35C667F3.html","Xem chi tiết")</f>
        <v/>
      </c>
    </row>
    <row r="19626">
      <c r="B19626" s="9" t="n">
        <v>19624</v>
      </c>
      <c r="C19626" s="10" t="inlineStr">
        <is>
          <t>Chuyên viên Phát triển Khách hàng – Horeca</t>
        </is>
      </c>
      <c r="D19626" s="10" t="inlineStr">
        <is>
          <t>Food Retail</t>
        </is>
      </c>
      <c r="E19626" s="10" t="inlineStr">
        <is>
          <t>Lương:Cạnh tranh</t>
        </is>
      </c>
      <c r="F19626" s="10" t="inlineStr">
        <is>
          <t>Khánh Hòa</t>
        </is>
      </c>
      <c r="G19626" s="10" t="inlineStr">
        <is>
          <t>25-03-2026</t>
        </is>
      </c>
      <c r="H19626" s="10" t="inlineStr">
        <is>
          <t>25/03/2026</t>
        </is>
      </c>
      <c r="I19626" s="10" t="inlineStr">
        <is>
          <t>17/03/2026</t>
        </is>
      </c>
      <c r="J19626" s="10" t="inlineStr">
        <is>
          <t>Bán lẻ / Bán sỉ, Bán hàng / Kinh doanh</t>
        </is>
      </c>
      <c r="K19626" s="10" t="inlineStr">
        <is>
          <t>1 - 2 Năm</t>
        </is>
      </c>
      <c r="L19626" s="11">
        <f>HYPERLINK("https://careerviet.vn/vi/tim-viec-lam/chuyen-vien-phat-trien-khach-hang-horeca.35C63D27.html","Xem chi tiết")</f>
        <v/>
      </c>
      <c r="M19626" s="10" t="n"/>
    </row>
    <row r="19627">
      <c r="B19627" s="7" t="n">
        <v>19625</v>
      </c>
      <c r="C19627" t="inlineStr">
        <is>
          <t>Chuyên viên Kế hoạch</t>
        </is>
      </c>
      <c r="D19627" t="inlineStr">
        <is>
          <t>Công ty đầu tư T&amp;L Việt Nam</t>
        </is>
      </c>
      <c r="E19627" t="inlineStr">
        <is>
          <t>Lương:12 Tr - 18 Tr VND</t>
        </is>
      </c>
      <c r="F19627" t="inlineStr">
        <is>
          <t>Hà Nội</t>
        </is>
      </c>
      <c r="G19627" t="inlineStr">
        <is>
          <t>25-03-2026</t>
        </is>
      </c>
      <c r="H19627" t="inlineStr">
        <is>
          <t>25/03/2026</t>
        </is>
      </c>
      <c r="I19627" t="inlineStr">
        <is>
          <t>17/03/2026</t>
        </is>
      </c>
      <c r="J19627" t="inlineStr">
        <is>
          <t>Dệt may / Da giày / Thời trang, Kế toán / Kiểm toán, Thống kê</t>
        </is>
      </c>
      <c r="K19627" t="inlineStr">
        <is>
          <t>2 - 3 Năm</t>
        </is>
      </c>
      <c r="L19627" s="8">
        <f>HYPERLINK("https://careerviet.vn/vi/tim-viec-lam/chuyen-vien-ke-hoach.35C66809.html","Xem chi tiết")</f>
        <v/>
      </c>
    </row>
    <row r="19628">
      <c r="B19628" s="9" t="n">
        <v>19626</v>
      </c>
      <c r="C19628" s="10" t="inlineStr">
        <is>
          <t>Kỹ thuật viên/ Test &amp; Debug Technician</t>
        </is>
      </c>
      <c r="D19628" s="10" t="inlineStr">
        <is>
          <t>TNHH Sài Gòn Fabrication (Fab-9) Vietnam</t>
        </is>
      </c>
      <c r="E19628" s="10" t="inlineStr">
        <is>
          <t>Lương:8 Tr - 11 Tr VND</t>
        </is>
      </c>
      <c r="F19628" s="10" t="inlineStr">
        <is>
          <t>Bình Dương</t>
        </is>
      </c>
      <c r="G19628" s="10" t="inlineStr">
        <is>
          <t>25-03-2026</t>
        </is>
      </c>
      <c r="H19628" s="10" t="inlineStr">
        <is>
          <t>25/03/2026</t>
        </is>
      </c>
      <c r="I19628" s="10" t="inlineStr">
        <is>
          <t>17/03/2026</t>
        </is>
      </c>
      <c r="J19628" s="10" t="inlineStr">
        <is>
          <t>Điện / Điện tử / Điện lạnh / Điện công nghiệp</t>
        </is>
      </c>
      <c r="K19628" s="10" t="inlineStr">
        <is>
          <t>Chưa có kinh nghiệm</t>
        </is>
      </c>
      <c r="L19628" s="11">
        <f>HYPERLINK("https://careerviet.vn/vi/tim-viec-lam/ky-thuat-vien-test-debug-technician.35C63D0D.html","Xem chi tiết")</f>
        <v/>
      </c>
      <c r="M19628" s="10" t="n"/>
    </row>
    <row r="19629">
      <c r="B19629" s="7" t="n">
        <v>19627</v>
      </c>
      <c r="C19629" t="inlineStr">
        <is>
          <t>Kế toán công nợ</t>
        </is>
      </c>
      <c r="D19629" t="inlineStr">
        <is>
          <t>Công ty Cổ phần Tập đoàn KITA Group</t>
        </is>
      </c>
      <c r="E19629" t="inlineStr">
        <is>
          <t>Lương:15 Tr - 18 Tr VND</t>
        </is>
      </c>
      <c r="F19629" t="inlineStr">
        <is>
          <t>Hồ Chí Minh</t>
        </is>
      </c>
      <c r="G19629" t="inlineStr">
        <is>
          <t>25-03-2026</t>
        </is>
      </c>
      <c r="H19629" t="inlineStr">
        <is>
          <t>25/03/2026</t>
        </is>
      </c>
      <c r="I19629" t="inlineStr">
        <is>
          <t>17/03/2026</t>
        </is>
      </c>
      <c r="J19629" t="inlineStr">
        <is>
          <t>Kế toán / Kiểm toán, Bất động sản, Ngân hàng</t>
        </is>
      </c>
      <c r="K19629" t="inlineStr">
        <is>
          <t>2 - 5 Năm</t>
        </is>
      </c>
      <c r="L19629" s="8">
        <f>HYPERLINK("https://careerviet.vn/vi/tim-viec-lam/ke-toan-cong-no.35C63D76.html","Xem chi tiết")</f>
        <v/>
      </c>
    </row>
    <row r="19630">
      <c r="B19630" s="9" t="n">
        <v>19628</v>
      </c>
      <c r="C19630" s="10" t="inlineStr">
        <is>
          <t>Nhân Viên Kinh Doanh Giao Hàng Tận Nhà - Trà Vinh</t>
        </is>
      </c>
      <c r="D19630" s="10" t="inlineStr">
        <is>
          <t>Cty TNHH Yakult Việt Nam</t>
        </is>
      </c>
      <c r="E19630" s="10" t="inlineStr">
        <is>
          <t>Lương:11 Tr - 15 Tr VND</t>
        </is>
      </c>
      <c r="F19630" s="10" t="inlineStr">
        <is>
          <t>Trà Vinh</t>
        </is>
      </c>
      <c r="G19630" s="10" t="inlineStr">
        <is>
          <t>25-03-2026</t>
        </is>
      </c>
      <c r="H19630" s="10" t="inlineStr">
        <is>
          <t>25/03/2026</t>
        </is>
      </c>
      <c r="I19630" s="10" t="inlineStr">
        <is>
          <t>17/03/2026</t>
        </is>
      </c>
      <c r="J19630" s="10" t="inlineStr">
        <is>
          <t>Bán hàng / Kinh doanh, Dịch vụ khách hàng, Lao động phổ thông</t>
        </is>
      </c>
      <c r="K19630" s="10" t="inlineStr">
        <is>
          <t>N/A</t>
        </is>
      </c>
      <c r="L19630" s="11">
        <f>HYPERLINK("https://careerviet.vn/vi/tim-viec-lam/nhan-vien-kinh-doanh-giao-hang-tan-nha-tra-vinh.35C65C68.html","Xem chi tiết")</f>
        <v/>
      </c>
      <c r="M19630" s="10" t="n"/>
    </row>
    <row r="19631">
      <c r="B19631" s="7" t="n">
        <v>19629</v>
      </c>
      <c r="C19631" t="inlineStr">
        <is>
          <t>Nhân viên phục vụ nhà hàng</t>
        </is>
      </c>
      <c r="D19631" t="inlineStr">
        <is>
          <t>Duc Vuong Group</t>
        </is>
      </c>
      <c r="E19631" t="inlineStr">
        <is>
          <t>Lương:6,5 Tr - 7 Tr VND</t>
        </is>
      </c>
      <c r="F19631" t="inlineStr">
        <is>
          <t>Hồ Chí Minh</t>
        </is>
      </c>
      <c r="G19631" t="inlineStr">
        <is>
          <t>25-03-2026</t>
        </is>
      </c>
      <c r="H19631" t="inlineStr">
        <is>
          <t>25/03/2026</t>
        </is>
      </c>
      <c r="I19631" t="inlineStr">
        <is>
          <t>17/03/2026</t>
        </is>
      </c>
      <c r="J19631" t="inlineStr">
        <is>
          <t>Nhà hàng / Khách sạn</t>
        </is>
      </c>
      <c r="K19631" t="inlineStr">
        <is>
          <t>N/A</t>
        </is>
      </c>
      <c r="L19631" s="8">
        <f>HYPERLINK("https://careerviet.vn/vi/tim-viec-lam/nhan-vien-phuc-vu-nha-hang.35C66813.html","Xem chi tiết")</f>
        <v/>
      </c>
    </row>
    <row r="19632">
      <c r="B19632" s="9" t="n">
        <v>19630</v>
      </c>
      <c r="C19632" s="10" t="inlineStr">
        <is>
          <t>Nhân Viên Kỹ Thuật Sản Xuất</t>
        </is>
      </c>
      <c r="D19632" s="10" t="inlineStr">
        <is>
          <t>CÔNG TY TNHH NITTO DENSEN KOGYO VIỆT NAM</t>
        </is>
      </c>
      <c r="E19632" s="10" t="inlineStr">
        <is>
          <t>Lương:11 Tr - 12 Tr VND</t>
        </is>
      </c>
      <c r="F19632" s="10" t="inlineStr">
        <is>
          <t>Đồng Nai</t>
        </is>
      </c>
      <c r="G19632" s="10" t="inlineStr">
        <is>
          <t>25-03-2026</t>
        </is>
      </c>
      <c r="H19632" s="10" t="inlineStr">
        <is>
          <t>25/03/2026</t>
        </is>
      </c>
      <c r="I19632" s="10" t="inlineStr">
        <is>
          <t>17/03/2026</t>
        </is>
      </c>
      <c r="J19632" s="10" t="inlineStr">
        <is>
          <t>Cơ khí / Ô tô / Tự động hóa, Điện / Điện tử / Điện lạnh / Điện công nghiệp, Sản xuất / Vận hành sản xuất</t>
        </is>
      </c>
      <c r="K19632" s="10" t="inlineStr">
        <is>
          <t>N/A</t>
        </is>
      </c>
      <c r="L19632" s="11">
        <f>HYPERLINK("https://careerviet.vn/vi/tim-viec-lam/nhan-vien-ky-thuat-san-xuat.35C63DAF.html","Xem chi tiết")</f>
        <v/>
      </c>
      <c r="M19632" s="10" t="n"/>
    </row>
    <row r="19633">
      <c r="B19633" s="7" t="n">
        <v>19631</v>
      </c>
      <c r="C19633" t="inlineStr">
        <is>
          <t>Nhân viên Kế Toán tiếng Trung</t>
        </is>
      </c>
      <c r="D19633" t="inlineStr">
        <is>
          <t>Công ty TNHH Midea Consumer Electric Vietnam</t>
        </is>
      </c>
      <c r="E19633" t="inlineStr">
        <is>
          <t>Lương:Cạnh tranh</t>
        </is>
      </c>
      <c r="F19633" t="inlineStr">
        <is>
          <t>Bình Dương</t>
        </is>
      </c>
      <c r="G19633" t="inlineStr">
        <is>
          <t>25-03-2026</t>
        </is>
      </c>
      <c r="H19633" t="inlineStr">
        <is>
          <t>25/03/2026</t>
        </is>
      </c>
      <c r="I19633" t="inlineStr">
        <is>
          <t>17/03/2026</t>
        </is>
      </c>
      <c r="J19633" t="inlineStr">
        <is>
          <t>Kế toán / Kiểm toán</t>
        </is>
      </c>
      <c r="K19633" t="inlineStr">
        <is>
          <t>2 - 3 Năm</t>
        </is>
      </c>
      <c r="L19633" s="8">
        <f>HYPERLINK("https://careerviet.vn/vi/tim-viec-lam/nhan-vien-ke-toan-tieng-trung.35C667ED.html","Xem chi tiết")</f>
        <v/>
      </c>
    </row>
    <row r="19634">
      <c r="B19634" s="9" t="n">
        <v>19632</v>
      </c>
      <c r="C19634" s="10" t="inlineStr">
        <is>
          <t>Giám đốc Phòng Kế hoạch Kinh doanh Trả Góp</t>
        </is>
      </c>
      <c r="D19634" s="10" t="inlineStr">
        <is>
          <t>LOTTE FINANCE VIETNAM</t>
        </is>
      </c>
      <c r="E19634" s="10" t="inlineStr">
        <is>
          <t>Lương:Cạnh tranh</t>
        </is>
      </c>
      <c r="F19634" s="10" t="inlineStr">
        <is>
          <t>Hồ Chí MinhHà Nội</t>
        </is>
      </c>
      <c r="G19634" s="10" t="inlineStr">
        <is>
          <t>25-03-2026</t>
        </is>
      </c>
      <c r="H19634" s="10" t="inlineStr">
        <is>
          <t>25/03/2026</t>
        </is>
      </c>
      <c r="I19634" s="10" t="inlineStr">
        <is>
          <t>17/03/2026</t>
        </is>
      </c>
      <c r="J19634" s="10" t="inlineStr">
        <is>
          <t>Ngân hàng, Tài chính / Đầu tư</t>
        </is>
      </c>
      <c r="K19634" s="10" t="inlineStr">
        <is>
          <t>Trên 5 Năm</t>
        </is>
      </c>
      <c r="L19634" s="11">
        <f>HYPERLINK("https://careerviet.vn/vi/tim-viec-lam/giam-doc-phong-ke-hoach-kinh-doanh-tra-gop.35C63E0C.html","Xem chi tiết")</f>
        <v/>
      </c>
      <c r="M19634" s="10" t="n"/>
    </row>
    <row r="19635">
      <c r="B19635" s="7" t="n">
        <v>19633</v>
      </c>
      <c r="C19635" t="inlineStr">
        <is>
          <t>Chuyên viên Chuyển đổi số</t>
        </is>
      </c>
      <c r="D19635" t="inlineStr">
        <is>
          <t>Công ty Cổ phần Đầu tư Xậy dựng HUD Kiên Giang</t>
        </is>
      </c>
      <c r="E19635" t="inlineStr">
        <is>
          <t>Lương:10 Tr - 15 Tr VND</t>
        </is>
      </c>
      <c r="F19635" t="inlineStr">
        <is>
          <t>Kiên Giang</t>
        </is>
      </c>
      <c r="G19635" t="inlineStr">
        <is>
          <t>25-03-2026</t>
        </is>
      </c>
      <c r="H19635" t="inlineStr">
        <is>
          <t>25/03/2026</t>
        </is>
      </c>
      <c r="I19635" t="inlineStr">
        <is>
          <t>17/03/2026</t>
        </is>
      </c>
      <c r="J19635" t="inlineStr">
        <is>
          <t>CNTT - Phần mềm, CNTT - Phần cứng / Mạng, Quảng cáo / Đối ngoại / Truyền Thông</t>
        </is>
      </c>
      <c r="K19635" t="inlineStr">
        <is>
          <t>2 - 3 Năm</t>
        </is>
      </c>
      <c r="L19635" s="8">
        <f>HYPERLINK("https://careerviet.vn/vi/tim-viec-lam/chuyen-vien-chuyen-doi-so.35C63C97.html","Xem chi tiết")</f>
        <v/>
      </c>
    </row>
    <row r="19636">
      <c r="B19636" s="9" t="n">
        <v>19634</v>
      </c>
      <c r="C19636" s="10" t="inlineStr">
        <is>
          <t>HCM - Senior Designer E-com (Yaman)</t>
        </is>
      </c>
      <c r="D19636" s="10" t="inlineStr">
        <is>
          <t>Công ty TNHH Thiên Thủy Mộc</t>
        </is>
      </c>
      <c r="E19636" s="10" t="inlineStr">
        <is>
          <t>Lương:15 Tr - 17 Tr VND</t>
        </is>
      </c>
      <c r="F19636" s="10" t="inlineStr">
        <is>
          <t>Hồ Chí Minh</t>
        </is>
      </c>
      <c r="G19636" s="10" t="inlineStr">
        <is>
          <t>25-03-2026</t>
        </is>
      </c>
      <c r="H19636" s="10" t="inlineStr">
        <is>
          <t>25/03/2026</t>
        </is>
      </c>
      <c r="I19636" s="10" t="inlineStr">
        <is>
          <t>17/03/2026</t>
        </is>
      </c>
      <c r="J19636" s="10" t="inlineStr">
        <is>
          <t>Tiếp thị / Marketing, Mỹ thuật / Nghệ thuật / Thiết kế</t>
        </is>
      </c>
      <c r="K19636" s="10" t="inlineStr">
        <is>
          <t>3 - 5 Năm</t>
        </is>
      </c>
      <c r="L19636" s="11">
        <f>HYPERLINK("https://careerviet.vn/vi/tim-viec-lam/hcm-senior-designer-e-com-yaman.35C63D44.html","Xem chi tiết")</f>
        <v/>
      </c>
      <c r="M19636" s="10" t="n"/>
    </row>
    <row r="19637">
      <c r="B19637" s="7" t="n">
        <v>19635</v>
      </c>
      <c r="C19637" t="inlineStr">
        <is>
          <t>Kế toán trưởng (công ty thành viên)</t>
        </is>
      </c>
      <c r="D19637" t="inlineStr">
        <is>
          <t>Công Ty Cổ Phần Tân Vĩnh Cửu (Tavico group)</t>
        </is>
      </c>
      <c r="E19637" t="inlineStr">
        <is>
          <t>Lương:Cạnh tranh</t>
        </is>
      </c>
      <c r="F19637" t="inlineStr">
        <is>
          <t>Đồng Nai</t>
        </is>
      </c>
      <c r="G19637" t="inlineStr">
        <is>
          <t>25-03-2026</t>
        </is>
      </c>
      <c r="H19637" t="inlineStr">
        <is>
          <t>25/03/2026</t>
        </is>
      </c>
      <c r="I19637" t="inlineStr">
        <is>
          <t>17/03/2026</t>
        </is>
      </c>
      <c r="J19637" t="inlineStr">
        <is>
          <t>Kế toán / Kiểm toán, Tài chính / Đầu tư</t>
        </is>
      </c>
      <c r="K19637" t="inlineStr">
        <is>
          <t>5 - 7 Năm</t>
        </is>
      </c>
      <c r="L19637" s="8">
        <f>HYPERLINK("https://careerviet.vn/vi/tim-viec-lam/ke-toan-truong-cong-ty-thanh-vien.35C66838.html","Xem chi tiết")</f>
        <v/>
      </c>
    </row>
    <row r="19638">
      <c r="B19638" s="9" t="n">
        <v>19636</v>
      </c>
      <c r="C19638" s="10" t="inlineStr">
        <is>
          <t>CHUYÊN VIÊN ESG &amp; HSE</t>
        </is>
      </c>
      <c r="D19638" s="10" t="inlineStr">
        <is>
          <t>Công Ty Cổ Phần Tân Vĩnh Cửu (Tavico group)</t>
        </is>
      </c>
      <c r="E19638" s="10" t="inlineStr">
        <is>
          <t>Lương:Cạnh tranh</t>
        </is>
      </c>
      <c r="F19638" s="10" t="inlineStr">
        <is>
          <t>Đồng Nai</t>
        </is>
      </c>
      <c r="G19638" s="10" t="inlineStr">
        <is>
          <t>25-03-2026</t>
        </is>
      </c>
      <c r="H19638" s="10" t="inlineStr">
        <is>
          <t>25/03/2026</t>
        </is>
      </c>
      <c r="I19638" s="10" t="inlineStr">
        <is>
          <t>17/03/2026</t>
        </is>
      </c>
      <c r="J19638" s="10" t="inlineStr">
        <is>
          <t>Môi trường, An toàn lao động, Ngành khác</t>
        </is>
      </c>
      <c r="K19638" s="10" t="inlineStr">
        <is>
          <t>3 - 5 Năm</t>
        </is>
      </c>
      <c r="L19638" s="11">
        <f>HYPERLINK("https://careerviet.vn/vi/tim-viec-lam/chuyen-vien-esg-hse.35C66836.html","Xem chi tiết")</f>
        <v/>
      </c>
      <c r="M19638" s="10" t="n"/>
    </row>
    <row r="19639">
      <c r="B19639" s="7" t="n">
        <v>19637</v>
      </c>
      <c r="C19639" t="inlineStr">
        <is>
          <t>Chuyên viên thiết kế</t>
        </is>
      </c>
      <c r="D19639" t="inlineStr">
        <is>
          <t>Công Ty Cổ Phần Dịch Vụ, Thương Mại Và Đầu Tư Sao Thủy</t>
        </is>
      </c>
      <c r="E19639" t="inlineStr">
        <is>
          <t>Lương:Cạnh tranh</t>
        </is>
      </c>
      <c r="F19639" t="inlineStr">
        <is>
          <t>Hà Nội</t>
        </is>
      </c>
      <c r="G19639" t="inlineStr">
        <is>
          <t>25-03-2026</t>
        </is>
      </c>
      <c r="H19639" t="inlineStr">
        <is>
          <t>25/03/2026</t>
        </is>
      </c>
      <c r="I19639" t="inlineStr">
        <is>
          <t>17/03/2026</t>
        </is>
      </c>
      <c r="J19639" t="inlineStr">
        <is>
          <t>Kiến trúc</t>
        </is>
      </c>
      <c r="K19639" t="inlineStr">
        <is>
          <t>Trên 3 Năm</t>
        </is>
      </c>
      <c r="L19639" s="8">
        <f>HYPERLINK("https://careerviet.vn/vi/tim-viec-lam/chuyen-vien-thiet-ke.35C667E1.html","Xem chi tiết")</f>
        <v/>
      </c>
    </row>
    <row r="19640">
      <c r="B19640" s="9" t="n">
        <v>19638</v>
      </c>
      <c r="C19640" s="10" t="inlineStr">
        <is>
          <t>Nhân viên Thẩm định kinh doanh (mảng xây dựng)</t>
        </is>
      </c>
      <c r="D19640" s="10" t="inlineStr">
        <is>
          <t>Tổng Công ty Cổ phần Công trình Viettel</t>
        </is>
      </c>
      <c r="E19640" s="10" t="inlineStr">
        <is>
          <t>Lương:18 Tr - 20 Tr VND</t>
        </is>
      </c>
      <c r="F19640" s="10" t="inlineStr">
        <is>
          <t>Hà Nội</t>
        </is>
      </c>
      <c r="G19640" s="10" t="inlineStr">
        <is>
          <t>25-03-2026</t>
        </is>
      </c>
      <c r="H19640" s="10" t="inlineStr">
        <is>
          <t>25/03/2026</t>
        </is>
      </c>
      <c r="I19640" s="10" t="inlineStr">
        <is>
          <t>17/03/2026</t>
        </is>
      </c>
      <c r="J19640" s="10" t="inlineStr">
        <is>
          <t>Luật / Pháp lý, Kế toán / Kiểm toán, Xây dựng</t>
        </is>
      </c>
      <c r="K19640" s="10" t="inlineStr">
        <is>
          <t>2 - 4 Năm</t>
        </is>
      </c>
      <c r="L19640" s="11">
        <f>HYPERLINK("https://careerviet.vn/vi/tim-viec-lam/nhan-vien-tham-dinh-kinh-doanh-mang-xay-dung.35C63E14.html","Xem chi tiết")</f>
        <v/>
      </c>
      <c r="M19640" s="10" t="n"/>
    </row>
    <row r="19641">
      <c r="B19641" s="7" t="n">
        <v>19639</v>
      </c>
      <c r="C19641" t="inlineStr">
        <is>
          <t>Chuyên Viên Giám Sát Xây Dựng</t>
        </is>
      </c>
      <c r="D19641" t="inlineStr">
        <is>
          <t>Công Ty Cổ Phần Dịch Vụ, Thương Mại Và Đầu Tư Sao Thủy</t>
        </is>
      </c>
      <c r="E19641" t="inlineStr">
        <is>
          <t>Lương:Cạnh tranh</t>
        </is>
      </c>
      <c r="F19641" t="inlineStr">
        <is>
          <t>Hà Nội</t>
        </is>
      </c>
      <c r="G19641" t="inlineStr">
        <is>
          <t>25-03-2026</t>
        </is>
      </c>
      <c r="H19641" t="inlineStr">
        <is>
          <t>25/03/2026</t>
        </is>
      </c>
      <c r="I19641" t="inlineStr">
        <is>
          <t>17/03/2026</t>
        </is>
      </c>
      <c r="J19641" t="inlineStr">
        <is>
          <t>Kiến trúc, Xây dựng</t>
        </is>
      </c>
      <c r="K19641" t="inlineStr">
        <is>
          <t>3 - 5 Năm</t>
        </is>
      </c>
      <c r="L19641" s="8">
        <f>HYPERLINK("https://careerviet.vn/vi/tim-viec-lam/chuyen-vien-giam-sat-xay-dung.35C667E3.html","Xem chi tiết")</f>
        <v/>
      </c>
    </row>
    <row r="19642">
      <c r="B19642" s="9" t="n">
        <v>19640</v>
      </c>
      <c r="C19642" s="10" t="inlineStr">
        <is>
          <t>Chủ Trì Thiết Kế Kết Cấu/ Structural Design Manager</t>
        </is>
      </c>
      <c r="D19642" s="10" t="inlineStr">
        <is>
          <t>CÔNG TY CỔ PHẦN TẬP ĐOÀN ĐẦU TƯ I.P.A</t>
        </is>
      </c>
      <c r="E19642" s="10" t="inlineStr">
        <is>
          <t>Lương:30 Tr - 40 Tr VND</t>
        </is>
      </c>
      <c r="F19642" s="10" t="inlineStr">
        <is>
          <t>Hà Nội</t>
        </is>
      </c>
      <c r="G19642" s="10" t="inlineStr">
        <is>
          <t>25-03-2026</t>
        </is>
      </c>
      <c r="H19642" s="10" t="inlineStr">
        <is>
          <t>25/03/2026</t>
        </is>
      </c>
      <c r="I19642" s="10" t="inlineStr">
        <is>
          <t>17/03/2026</t>
        </is>
      </c>
      <c r="J19642" s="10" t="inlineStr">
        <is>
          <t>Kiến trúc, Xây dựng, Bất động sản</t>
        </is>
      </c>
      <c r="K19642" s="10" t="inlineStr">
        <is>
          <t>Trên 5 Năm</t>
        </is>
      </c>
      <c r="L19642" s="11">
        <f>HYPERLINK("https://careerviet.vn/vi/tim-viec-lam/chu-tri-thiet-ke-ket-cau-structural-design-manager.35C63D85.html","Xem chi tiết")</f>
        <v/>
      </c>
      <c r="M19642" s="10" t="n"/>
    </row>
    <row r="19643">
      <c r="B19643" s="7" t="n">
        <v>19641</v>
      </c>
      <c r="C19643" t="inlineStr">
        <is>
          <t>Sales staff mảng may mặc biết tiếng Nhật</t>
        </is>
      </c>
      <c r="D19643" t="inlineStr">
        <is>
          <t>Công ty TNHH AOBA Việt Nam</t>
        </is>
      </c>
      <c r="E19643" t="inlineStr">
        <is>
          <t>Lương:Cạnh tranh</t>
        </is>
      </c>
      <c r="F19643" t="inlineStr">
        <is>
          <t>Hà Nội</t>
        </is>
      </c>
      <c r="G19643" t="inlineStr">
        <is>
          <t>25-03-2026</t>
        </is>
      </c>
      <c r="H19643" t="inlineStr">
        <is>
          <t>25/03/2026</t>
        </is>
      </c>
      <c r="I19643" t="inlineStr">
        <is>
          <t>17/03/2026</t>
        </is>
      </c>
      <c r="J19643" t="inlineStr">
        <is>
          <t>Bán hàng / Kinh doanh</t>
        </is>
      </c>
      <c r="K19643" t="inlineStr">
        <is>
          <t>N/A</t>
        </is>
      </c>
      <c r="L19643" s="8">
        <f>HYPERLINK("https://careerviet.vn/vi/tim-viec-lam/sales-staff-mang-may-mac-biet-tieng-nhat.35C63E05.html","Xem chi tiết")</f>
        <v/>
      </c>
    </row>
    <row r="19644">
      <c r="B19644" s="9" t="n">
        <v>19642</v>
      </c>
      <c r="C19644" s="10" t="inlineStr">
        <is>
          <t>Lập trình viên (.net)</t>
        </is>
      </c>
      <c r="D19644" s="10" t="inlineStr">
        <is>
          <t>Tổng Công ty Cổ phần Bảo hiểm Ngân hàng Đầu tư và Phát triển Việt Nam (BIC)</t>
        </is>
      </c>
      <c r="E19644" s="10" t="inlineStr">
        <is>
          <t>Lương:20 Tr - 40 Tr VND</t>
        </is>
      </c>
      <c r="F19644" s="10" t="inlineStr">
        <is>
          <t>Hà Nội</t>
        </is>
      </c>
      <c r="G19644" s="10" t="inlineStr">
        <is>
          <t>25-03-2026</t>
        </is>
      </c>
      <c r="H19644" s="10" t="inlineStr">
        <is>
          <t>25/03/2026</t>
        </is>
      </c>
      <c r="I19644" s="10" t="inlineStr">
        <is>
          <t>17/03/2026</t>
        </is>
      </c>
      <c r="J19644" s="10" t="inlineStr">
        <is>
          <t>Bảo hiểm, CNTT - Phần mềm</t>
        </is>
      </c>
      <c r="K19644" s="10" t="inlineStr">
        <is>
          <t>1 - 3 Năm</t>
        </is>
      </c>
      <c r="L19644" s="11">
        <f>HYPERLINK("https://careerviet.vn/vi/tim-viec-lam/lap-trinh-vien-net.35C66807.html","Xem chi tiết")</f>
        <v/>
      </c>
      <c r="M19644" s="10" t="n"/>
    </row>
    <row r="19645">
      <c r="B19645" s="7" t="n">
        <v>19643</v>
      </c>
      <c r="C19645" t="inlineStr">
        <is>
          <t>Nhân viên media</t>
        </is>
      </c>
      <c r="D19645" t="inlineStr">
        <is>
          <t>CHI NHÁNH CÔNG TY TNHH LẨU BÒ TƯƠI 100 ĐỘ C</t>
        </is>
      </c>
      <c r="E19645" t="inlineStr">
        <is>
          <t>Lương:12 Tr - 15 Tr VND</t>
        </is>
      </c>
      <c r="F19645" t="inlineStr">
        <is>
          <t>Hồ Chí Minh</t>
        </is>
      </c>
      <c r="G19645" t="inlineStr">
        <is>
          <t>25-03-2026</t>
        </is>
      </c>
      <c r="H19645" t="inlineStr">
        <is>
          <t>25/03/2026</t>
        </is>
      </c>
      <c r="I19645" t="inlineStr">
        <is>
          <t>17/03/2026</t>
        </is>
      </c>
      <c r="J19645" t="inlineStr">
        <is>
          <t>Tiếp thị / Marketing</t>
        </is>
      </c>
      <c r="K19645" t="inlineStr">
        <is>
          <t>1 - 2 Năm</t>
        </is>
      </c>
      <c r="L19645" s="8">
        <f>HYPERLINK("https://careerviet.vn/vi/tim-viec-lam/nhan-vien-media.35C61757.html","Xem chi tiết")</f>
        <v/>
      </c>
    </row>
    <row r="19646">
      <c r="B19646" s="9" t="n">
        <v>19644</v>
      </c>
      <c r="C19646" s="10" t="inlineStr">
        <is>
          <t>Nhân viên digital marketing</t>
        </is>
      </c>
      <c r="D19646" s="10" t="inlineStr">
        <is>
          <t>Đức Vượng Hotel</t>
        </is>
      </c>
      <c r="E19646" s="10" t="inlineStr">
        <is>
          <t>Lương:7 Tr - 9 Tr VND</t>
        </is>
      </c>
      <c r="F19646" s="10" t="inlineStr">
        <is>
          <t>Hồ Chí Minh</t>
        </is>
      </c>
      <c r="G19646" s="10" t="inlineStr">
        <is>
          <t>25-03-2026</t>
        </is>
      </c>
      <c r="H19646" s="10" t="inlineStr">
        <is>
          <t>25/03/2026</t>
        </is>
      </c>
      <c r="I19646" s="10" t="inlineStr">
        <is>
          <t>17/03/2026</t>
        </is>
      </c>
      <c r="J19646" s="10" t="inlineStr">
        <is>
          <t>Tiếp thị / Marketing</t>
        </is>
      </c>
      <c r="K19646" s="10" t="inlineStr">
        <is>
          <t>Lên đến 1 Năm</t>
        </is>
      </c>
      <c r="L19646" s="11">
        <f>HYPERLINK("https://careerviet.vn/vi/tim-viec-lam/nhan-vien-digital-marketing.35C66816.html","Xem chi tiết")</f>
        <v/>
      </c>
      <c r="M19646" s="10" t="n"/>
    </row>
    <row r="19647">
      <c r="B19647" s="7" t="n">
        <v>19645</v>
      </c>
      <c r="C19647" t="inlineStr">
        <is>
          <t>Nhân viên phiên dịch tiếng Trung</t>
        </is>
      </c>
      <c r="D19647" t="inlineStr">
        <is>
          <t>CÔNG TY TNHH VIN GEM</t>
        </is>
      </c>
      <c r="E19647" t="inlineStr">
        <is>
          <t>Lương:Cạnh tranh</t>
        </is>
      </c>
      <c r="F19647" t="inlineStr">
        <is>
          <t>Ninh Bình</t>
        </is>
      </c>
      <c r="G19647" t="inlineStr">
        <is>
          <t>11-04-2026</t>
        </is>
      </c>
      <c r="H19647" t="inlineStr">
        <is>
          <t>11/04/2026</t>
        </is>
      </c>
      <c r="I19647" t="inlineStr">
        <is>
          <t>17/03/2026</t>
        </is>
      </c>
      <c r="J19647" t="inlineStr">
        <is>
          <t>Hành chính / Thư ký, Biên phiên dịch, Môi trường</t>
        </is>
      </c>
      <c r="K19647" t="inlineStr">
        <is>
          <t>Trên 1 Năm</t>
        </is>
      </c>
      <c r="L19647" s="8">
        <f>HYPERLINK("https://careerviet.vn/vi/tim-viec-lam/nhan-vien-phien-dich-tieng-trung.35C665D8.html","Xem chi tiết")</f>
        <v/>
      </c>
    </row>
    <row r="19648">
      <c r="B19648" s="9" t="n">
        <v>19646</v>
      </c>
      <c r="C19648" s="10" t="inlineStr">
        <is>
          <t>Kỹ sư Kiểm soát Chất lượng</t>
        </is>
      </c>
      <c r="D19648" s="10" t="inlineStr">
        <is>
          <t>VINFAST TRADING AND PRODUCTION JSC</t>
        </is>
      </c>
      <c r="E19648" s="10" t="inlineStr">
        <is>
          <t>Lương:Cạnh tranh</t>
        </is>
      </c>
      <c r="F19648" s="10" t="inlineStr">
        <is>
          <t>Hà TĩnhNghệ An</t>
        </is>
      </c>
      <c r="G19648" s="10" t="inlineStr">
        <is>
          <t>25-03-2026</t>
        </is>
      </c>
      <c r="H19648" s="10" t="inlineStr">
        <is>
          <t>25/03/2026</t>
        </is>
      </c>
      <c r="I19648" s="10" t="inlineStr">
        <is>
          <t>17/03/2026</t>
        </is>
      </c>
      <c r="J19648" s="10" t="inlineStr">
        <is>
          <t>Cơ khí / Ô tô / Tự động hóa, Quản lý chất lượng (QA/QC), Sản xuất / Vận hành sản xuất</t>
        </is>
      </c>
      <c r="K19648" s="10" t="inlineStr">
        <is>
          <t>1 - 3 Năm</t>
        </is>
      </c>
      <c r="L19648" s="11">
        <f>HYPERLINK("https://careerviet.vn/vi/tim-viec-lam/ky-su-kiem-soat-chat-luong.35C63DB0.html","Xem chi tiết")</f>
        <v/>
      </c>
      <c r="M19648" s="10" t="n"/>
    </row>
    <row r="19649">
      <c r="B19649" s="7" t="n">
        <v>19647</v>
      </c>
      <c r="C19649" t="inlineStr">
        <is>
          <t>KỸ SƯ QS</t>
        </is>
      </c>
      <c r="D19649" t="inlineStr">
        <is>
          <t>TỔNG CÔNG TY CỔ PHẦN THƯƠNG MẠI XÂY DỰNG</t>
        </is>
      </c>
      <c r="E19649" t="inlineStr">
        <is>
          <t>Lương:17 Tr - 25 Tr VND</t>
        </is>
      </c>
      <c r="F19649" t="inlineStr">
        <is>
          <t>Hà Nội</t>
        </is>
      </c>
      <c r="G19649" t="inlineStr">
        <is>
          <t>25-03-2026</t>
        </is>
      </c>
      <c r="H19649" t="inlineStr">
        <is>
          <t>25/03/2026</t>
        </is>
      </c>
      <c r="I19649" t="inlineStr">
        <is>
          <t>17/03/2026</t>
        </is>
      </c>
      <c r="J19649" t="inlineStr">
        <is>
          <t>Quản lý chất lượng (QA/QC), Xây dựng, Bất động sản</t>
        </is>
      </c>
      <c r="K19649" t="inlineStr">
        <is>
          <t>Trên 1 Năm</t>
        </is>
      </c>
      <c r="L19649" s="8">
        <f>HYPERLINK("https://careerviet.vn/vi/tim-viec-lam/ky-su-qs.35C63DD0.html","Xem chi tiết")</f>
        <v/>
      </c>
    </row>
    <row r="19650">
      <c r="B19650" s="9" t="n">
        <v>19648</v>
      </c>
      <c r="C19650" s="10" t="inlineStr">
        <is>
          <t>Giám đốc Phát triển Kinh doanh (Digital Twin - Bản Sao Số)</t>
        </is>
      </c>
      <c r="D19650" s="10" t="inlineStr">
        <is>
          <t>Tập Đoàn CT Group Việt Nam</t>
        </is>
      </c>
      <c r="E19650" s="10" t="inlineStr">
        <is>
          <t>Lương:Cạnh tranh</t>
        </is>
      </c>
      <c r="F19650" s="10" t="inlineStr">
        <is>
          <t>Hồ Chí Minh</t>
        </is>
      </c>
      <c r="G19650" s="10" t="inlineStr">
        <is>
          <t>25-03-2026</t>
        </is>
      </c>
      <c r="H19650" s="10" t="inlineStr">
        <is>
          <t>25/03/2026</t>
        </is>
      </c>
      <c r="I19650" s="10" t="inlineStr">
        <is>
          <t>17/03/2026</t>
        </is>
      </c>
      <c r="J19650" s="10" t="inlineStr">
        <is>
          <t>Bán hàng / Kinh doanh, Tư vấn, CNTT - Phần mềm</t>
        </is>
      </c>
      <c r="K19650" s="10" t="inlineStr">
        <is>
          <t>5 - 10 Năm</t>
        </is>
      </c>
      <c r="L19650" s="11">
        <f>HYPERLINK("https://careerviet.vn/vi/tim-viec-lam/giam-doc-phat-trien-kinh-doanh-digital-twin-ban-sao-so.35C63D24.html","Xem chi tiết")</f>
        <v/>
      </c>
      <c r="M19650" s="10" t="n"/>
    </row>
    <row r="19651">
      <c r="B19651" s="7" t="n">
        <v>19649</v>
      </c>
      <c r="C19651" t="inlineStr">
        <is>
          <t>CHUYÊN VIÊN RND GIA VỊ &amp; XỐT</t>
        </is>
      </c>
      <c r="D19651" t="inlineStr">
        <is>
          <t>CÔNG TY CỔ PHẦN NGUYÊN LIỆU MQ</t>
        </is>
      </c>
      <c r="E19651" t="inlineStr">
        <is>
          <t>Lương:15 Tr - 25 Tr VND</t>
        </is>
      </c>
      <c r="F19651" t="inlineStr">
        <is>
          <t>Hồ Chí MinhBình DươngKV Đông Nam Bộ</t>
        </is>
      </c>
      <c r="G19651" t="inlineStr">
        <is>
          <t>31-03-2026</t>
        </is>
      </c>
      <c r="H19651" t="inlineStr">
        <is>
          <t>31/03/2026</t>
        </is>
      </c>
      <c r="I19651" t="inlineStr">
        <is>
          <t>17/03/2026</t>
        </is>
      </c>
      <c r="J19651" t="inlineStr">
        <is>
          <t>Dược phẩm/ Hóa Mỹ Phẩm, Thực phẩm &amp; Đồ uống, Công nghệ thực phẩm / Dinh dưỡng</t>
        </is>
      </c>
      <c r="K19651" t="inlineStr">
        <is>
          <t>3 - 5 Năm</t>
        </is>
      </c>
      <c r="L19651" s="8">
        <f>HYPERLINK("https://careerviet.vn/vi/tim-viec-lam/chuyen-vien-rnd-gia-vi-xot.35C68F4E.html","Xem chi tiết")</f>
        <v/>
      </c>
    </row>
    <row r="19652">
      <c r="B19652" s="9" t="n">
        <v>19650</v>
      </c>
      <c r="C19652" s="10" t="inlineStr">
        <is>
          <t>Chuyên viên Điều phối &amp; hệ thống hàng hóa</t>
        </is>
      </c>
      <c r="D19652" s="10" t="inlineStr">
        <is>
          <t>CÔNG TY CỔ PHẦN VUA NỆM</t>
        </is>
      </c>
      <c r="E19652" s="10" t="inlineStr">
        <is>
          <t>Lương:15 Tr - 17 Tr VND</t>
        </is>
      </c>
      <c r="F19652" s="10" t="inlineStr">
        <is>
          <t>Hà Nội</t>
        </is>
      </c>
      <c r="G19652" s="10" t="inlineStr">
        <is>
          <t>25-03-2026</t>
        </is>
      </c>
      <c r="H19652" s="10" t="inlineStr">
        <is>
          <t>25/03/2026</t>
        </is>
      </c>
      <c r="I19652" s="10" t="inlineStr">
        <is>
          <t>17/03/2026</t>
        </is>
      </c>
      <c r="J19652" s="10" t="inlineStr">
        <is>
          <t>Bán lẻ / Bán sỉ, Xuất nhập khẩu, Thu mua / Vật tư</t>
        </is>
      </c>
      <c r="K19652" s="10" t="inlineStr">
        <is>
          <t>2 - 3 Năm</t>
        </is>
      </c>
      <c r="L19652" s="11">
        <f>HYPERLINK("https://careerviet.vn/vi/tim-viec-lam/chuyen-vien-dieu-phoi-he-thong-hang-hoa.35C63C98.html","Xem chi tiết")</f>
        <v/>
      </c>
      <c r="M19652" s="10" t="n"/>
    </row>
    <row r="19653">
      <c r="B19653" s="7" t="n">
        <v>19651</v>
      </c>
      <c r="C19653" t="inlineStr">
        <is>
          <t>QUẢN LÝ KHU VỰC CÀ MAU</t>
        </is>
      </c>
      <c r="D19653" t="inlineStr">
        <is>
          <t>Công Ty TNHH BEST Logistics Technology (Việt Nam)</t>
        </is>
      </c>
      <c r="E19653" t="inlineStr">
        <is>
          <t>Lương:20 Tr - 30 Tr VND</t>
        </is>
      </c>
      <c r="F19653" t="inlineStr">
        <is>
          <t>Cà Mau</t>
        </is>
      </c>
      <c r="G19653" t="inlineStr">
        <is>
          <t>25-03-2026</t>
        </is>
      </c>
      <c r="H19653" t="inlineStr">
        <is>
          <t>25/03/2026</t>
        </is>
      </c>
      <c r="I19653" t="inlineStr">
        <is>
          <t>17/03/2026</t>
        </is>
      </c>
      <c r="J19653" t="inlineStr">
        <is>
          <t>Thương mại điện tử, Bưu chính viễn thông</t>
        </is>
      </c>
      <c r="K19653" t="inlineStr">
        <is>
          <t>2 - 7 Năm</t>
        </is>
      </c>
      <c r="L19653" s="8">
        <f>HYPERLINK("https://careerviet.vn/vi/tim-viec-lam/quan-ly-khu-vuc-ca-mau.35C66827.html","Xem chi tiết")</f>
        <v/>
      </c>
    </row>
    <row r="19654">
      <c r="B19654" s="9" t="n">
        <v>19652</v>
      </c>
      <c r="C19654" s="10" t="inlineStr">
        <is>
          <t>Kỹ sư Giám sát xây dựng hiện trường (Nhà thầu xây dựng)</t>
        </is>
      </c>
      <c r="D19654" s="10" t="inlineStr">
        <is>
          <t>CÔNG TY CỔ PHẦN IFF HOLDINGS</t>
        </is>
      </c>
      <c r="E19654" s="10" t="inlineStr">
        <is>
          <t>Lương:Cạnh tranh</t>
        </is>
      </c>
      <c r="F19654" s="10" t="inlineStr">
        <is>
          <t>Hồ Chí Minh</t>
        </is>
      </c>
      <c r="G19654" s="10" t="inlineStr">
        <is>
          <t>25-03-2026</t>
        </is>
      </c>
      <c r="H19654" s="10" t="inlineStr">
        <is>
          <t>25/03/2026</t>
        </is>
      </c>
      <c r="I19654" s="10" t="inlineStr">
        <is>
          <t>17/03/2026</t>
        </is>
      </c>
      <c r="J19654" s="10" t="inlineStr">
        <is>
          <t>Xây dựng, Bất động sản</t>
        </is>
      </c>
      <c r="K19654" s="10" t="inlineStr">
        <is>
          <t>3 - 5 Năm</t>
        </is>
      </c>
      <c r="L19654" s="11">
        <f>HYPERLINK("https://careerviet.vn/vi/tim-viec-lam/ky-su-giam-sat-xay-dung-hien-truong-nha-thau-xay-dung.35C63CC7.html","Xem chi tiết")</f>
        <v/>
      </c>
      <c r="M19654" s="10" t="n"/>
    </row>
    <row r="19655">
      <c r="B19655" s="7" t="n">
        <v>19653</v>
      </c>
      <c r="C19655" t="inlineStr">
        <is>
          <t>THỰC TẬP SINH KẾ TOÁN (QUẬN 7, HCM)</t>
        </is>
      </c>
      <c r="D19655" t="inlineStr">
        <is>
          <t>CÔNG TY CỔ PHẦN TẬP ĐOÀN XUẤT - NHẬP KHẨU TRÁI CÂY CHÁNH THU</t>
        </is>
      </c>
      <c r="E19655" t="inlineStr">
        <is>
          <t>Lương:1 Tr - 1 Tr VND</t>
        </is>
      </c>
      <c r="F19655" t="inlineStr">
        <is>
          <t>Hồ Chí Minh</t>
        </is>
      </c>
      <c r="G19655" t="inlineStr">
        <is>
          <t>25-03-2026</t>
        </is>
      </c>
      <c r="H19655" t="inlineStr">
        <is>
          <t>25/03/2026</t>
        </is>
      </c>
      <c r="I19655" t="inlineStr">
        <is>
          <t>17/03/2026</t>
        </is>
      </c>
      <c r="J19655" t="inlineStr">
        <is>
          <t>Kế toán / Kiểm toán, Xuất nhập khẩu, Sản xuất / Vận hành sản xuất</t>
        </is>
      </c>
      <c r="K19655" t="inlineStr">
        <is>
          <t>N/A</t>
        </is>
      </c>
      <c r="L19655" s="8">
        <f>HYPERLINK("https://careerviet.vn/vi/tim-viec-lam/thuc-tap-sinh-ke-toan-quan-7-hcm.35C63DB2.html","Xem chi tiết")</f>
        <v/>
      </c>
    </row>
    <row r="19656">
      <c r="B19656" s="9" t="n">
        <v>19654</v>
      </c>
      <c r="C19656" s="10" t="inlineStr">
        <is>
          <t>Chuyên viên phát triển dự án</t>
        </is>
      </c>
      <c r="D19656" s="10" t="inlineStr">
        <is>
          <t>CÔNG TY CỔ PHẦN TẬP ĐOÀN ONSEN FUJI</t>
        </is>
      </c>
      <c r="E19656" s="10" t="inlineStr">
        <is>
          <t>Lương:20 Tr - 30 Tr VND</t>
        </is>
      </c>
      <c r="F19656" s="10" t="inlineStr">
        <is>
          <t>Hà Nội</t>
        </is>
      </c>
      <c r="G19656" s="10" t="inlineStr">
        <is>
          <t>25-03-2026</t>
        </is>
      </c>
      <c r="H19656" s="10" t="inlineStr">
        <is>
          <t>25/03/2026</t>
        </is>
      </c>
      <c r="I19656" s="10" t="inlineStr">
        <is>
          <t>17/03/2026</t>
        </is>
      </c>
      <c r="J19656" s="10" t="inlineStr">
        <is>
          <t>Xây dựng, Bất động sản, Ngành khác</t>
        </is>
      </c>
      <c r="K19656" s="10" t="inlineStr">
        <is>
          <t>5 - 10 Năm</t>
        </is>
      </c>
      <c r="L19656" s="11">
        <f>HYPERLINK("https://careerviet.vn/vi/tim-viec-lam/chuyen-vien-phat-trien-du-an.35C63D5F.html","Xem chi tiết")</f>
        <v/>
      </c>
      <c r="M19656" s="10" t="n"/>
    </row>
    <row r="19657">
      <c r="B19657" s="7" t="n">
        <v>19655</v>
      </c>
      <c r="C19657" t="inlineStr">
        <is>
          <t>GIÁM SÁT MUA HÀNG (PURCHASING SUPERVISOR)</t>
        </is>
      </c>
      <c r="D19657" t="inlineStr">
        <is>
          <t>Công ty Cổ phần TKMB</t>
        </is>
      </c>
      <c r="E19657" t="inlineStr">
        <is>
          <t>Lương:Cạnh tranh</t>
        </is>
      </c>
      <c r="F19657" t="inlineStr">
        <is>
          <t>Long An</t>
        </is>
      </c>
      <c r="G19657" t="inlineStr">
        <is>
          <t>25-03-2026</t>
        </is>
      </c>
      <c r="H19657" t="inlineStr">
        <is>
          <t>25/03/2026</t>
        </is>
      </c>
      <c r="I19657" t="inlineStr">
        <is>
          <t>17/03/2026</t>
        </is>
      </c>
      <c r="J19657" t="inlineStr">
        <is>
          <t>Xuất nhập khẩu, Sản xuất / Vận hành sản xuất, Thu mua / Vật tư</t>
        </is>
      </c>
      <c r="K19657" t="inlineStr">
        <is>
          <t>2 - 6 Năm</t>
        </is>
      </c>
      <c r="L19657" s="8">
        <f>HYPERLINK("https://careerviet.vn/vi/tim-viec-lam/giam-sat-mua-hang-purchasing-supervisor.35C63DC8.html","Xem chi tiết")</f>
        <v/>
      </c>
    </row>
    <row r="19658">
      <c r="B19658" s="9" t="n">
        <v>19656</v>
      </c>
      <c r="C19658" s="10" t="inlineStr">
        <is>
          <t>QC Group Leader</t>
        </is>
      </c>
      <c r="D19658" s="10" t="inlineStr">
        <is>
          <t>VINFAST TRADING AND PRODUCTION JSC</t>
        </is>
      </c>
      <c r="E19658" s="10" t="inlineStr">
        <is>
          <t>Lương:Cạnh tranh</t>
        </is>
      </c>
      <c r="F19658" s="10" t="inlineStr">
        <is>
          <t>Hà TĩnhNghệ An</t>
        </is>
      </c>
      <c r="G19658" s="10" t="inlineStr">
        <is>
          <t>25-03-2026</t>
        </is>
      </c>
      <c r="H19658" s="10" t="inlineStr">
        <is>
          <t>25/03/2026</t>
        </is>
      </c>
      <c r="I19658" s="10" t="inlineStr">
        <is>
          <t>17/03/2026</t>
        </is>
      </c>
      <c r="J19658" s="10" t="inlineStr">
        <is>
          <t>Quản lý chất lượng (QA/QC)</t>
        </is>
      </c>
      <c r="K19658" s="10" t="inlineStr">
        <is>
          <t>5 - 7 Năm</t>
        </is>
      </c>
      <c r="L19658" s="11">
        <f>HYPERLINK("https://careerviet.vn/vi/tim-viec-lam/qc-group-leader.35C63DA6.html","Xem chi tiết")</f>
        <v/>
      </c>
      <c r="M19658" s="10" t="n"/>
    </row>
    <row r="19659">
      <c r="B19659" s="7" t="n">
        <v>19657</v>
      </c>
      <c r="C19659" t="inlineStr">
        <is>
          <t>Senior ERP Executive</t>
        </is>
      </c>
      <c r="D19659" t="inlineStr">
        <is>
          <t>CÔNG TY TNHH THIỀN</t>
        </is>
      </c>
      <c r="E19659" t="inlineStr">
        <is>
          <t>Lương:Cạnh tranh</t>
        </is>
      </c>
      <c r="F19659" t="inlineStr">
        <is>
          <t>Hồ Chí Minh</t>
        </is>
      </c>
      <c r="G19659" t="inlineStr">
        <is>
          <t>25-03-2026</t>
        </is>
      </c>
      <c r="H19659" t="inlineStr">
        <is>
          <t>25/03/2026</t>
        </is>
      </c>
      <c r="I19659" t="inlineStr">
        <is>
          <t>17/03/2026</t>
        </is>
      </c>
      <c r="J19659" t="inlineStr">
        <is>
          <t>CNTT - Phần mềm</t>
        </is>
      </c>
      <c r="K19659" t="inlineStr">
        <is>
          <t>3 - 5 Năm</t>
        </is>
      </c>
      <c r="L19659" s="8">
        <f>HYPERLINK("https://careerviet.vn/vi/tim-viec-lam/senior-erp-executive.35C63DB9.html","Xem chi tiết")</f>
        <v/>
      </c>
    </row>
    <row r="19660">
      <c r="B19660" s="9" t="n">
        <v>19658</v>
      </c>
      <c r="C19660" s="10" t="inlineStr">
        <is>
          <t>Thủ kho thành phẩm (Làm việc tại Tây Ninh)</t>
        </is>
      </c>
      <c r="D19660" s="10" t="inlineStr">
        <is>
          <t>Công ty CP Thành Thành Công - Biên Hòa</t>
        </is>
      </c>
      <c r="E19660" s="10" t="inlineStr">
        <is>
          <t>Lương:11 Tr - 14 Tr VND</t>
        </is>
      </c>
      <c r="F19660" s="10" t="inlineStr">
        <is>
          <t>Tây Ninh</t>
        </is>
      </c>
      <c r="G19660" s="10" t="inlineStr">
        <is>
          <t>25-03-2026</t>
        </is>
      </c>
      <c r="H19660" s="10" t="inlineStr">
        <is>
          <t>25/03/2026</t>
        </is>
      </c>
      <c r="I19660" s="10" t="inlineStr">
        <is>
          <t>17/03/2026</t>
        </is>
      </c>
      <c r="J19660" s="10" t="inlineStr">
        <is>
          <t>Bán lẻ / Bán sỉ, Cơ khí / Ô tô / Tự động hóa, Hành chính / Thư ký</t>
        </is>
      </c>
      <c r="K19660" s="10" t="inlineStr">
        <is>
          <t>1 - 2 Năm</t>
        </is>
      </c>
      <c r="L19660" s="11">
        <f>HYPERLINK("https://careerviet.vn/vi/tim-viec-lam/thu-kho-thanh-pham-lam-viec-tai-tay-ninh.35C63CAD.html","Xem chi tiết")</f>
        <v/>
      </c>
      <c r="M19660" s="10" t="n"/>
    </row>
    <row r="19661">
      <c r="B19661" s="7" t="n">
        <v>19659</v>
      </c>
      <c r="C19661" t="inlineStr">
        <is>
          <t>NHÂN VIÊN AN TOÀN KHO</t>
        </is>
      </c>
      <c r="D19661" t="inlineStr">
        <is>
          <t>S.F. EXPRESS LTD.</t>
        </is>
      </c>
      <c r="E19661" t="inlineStr">
        <is>
          <t>Lương:Cạnh tranh</t>
        </is>
      </c>
      <c r="F19661" t="inlineStr">
        <is>
          <t>Bắc Ninh</t>
        </is>
      </c>
      <c r="G19661" t="inlineStr">
        <is>
          <t>25-03-2026</t>
        </is>
      </c>
      <c r="H19661" t="inlineStr">
        <is>
          <t>25/03/2026</t>
        </is>
      </c>
      <c r="I19661" t="inlineStr">
        <is>
          <t>17/03/2026</t>
        </is>
      </c>
      <c r="J19661" t="inlineStr">
        <is>
          <t>Vận chuyển / Giao nhận / Kho vận, An toàn lao động</t>
        </is>
      </c>
      <c r="K19661" t="inlineStr">
        <is>
          <t>2 - 15 Năm</t>
        </is>
      </c>
      <c r="L19661" s="8">
        <f>HYPERLINK("https://careerviet.vn/vi/tim-viec-lam/nhan-vien-an-toan-kho.35C63E16.html","Xem chi tiết")</f>
        <v/>
      </c>
    </row>
    <row r="19662">
      <c r="B19662" s="9" t="n">
        <v>19660</v>
      </c>
      <c r="C19662" s="10" t="inlineStr">
        <is>
          <t>HMK TUYỂN GẤP NHÂN VIÊN BÁN HÀNG TÂN PHÚ</t>
        </is>
      </c>
      <c r="D19662" s="10" t="inlineStr">
        <is>
          <t>HMK Eyewear</t>
        </is>
      </c>
      <c r="E19662" s="10" t="inlineStr">
        <is>
          <t>Lương:8 Tr - 15 Tr VND</t>
        </is>
      </c>
      <c r="F19662" s="10" t="inlineStr">
        <is>
          <t>Hồ Chí Minh</t>
        </is>
      </c>
      <c r="G19662" s="10" t="inlineStr">
        <is>
          <t>25-03-2026</t>
        </is>
      </c>
      <c r="H19662" s="10" t="inlineStr">
        <is>
          <t>25/03/2026</t>
        </is>
      </c>
      <c r="I19662" s="10" t="inlineStr">
        <is>
          <t>17/03/2026</t>
        </is>
      </c>
      <c r="J19662" s="10" t="inlineStr">
        <is>
          <t>Tiếp thị / Marketing, Bán lẻ / Bán sỉ, Bán hàng / Kinh doanh</t>
        </is>
      </c>
      <c r="K19662" s="10" t="inlineStr">
        <is>
          <t>Chưa có kinh nghiệm</t>
        </is>
      </c>
      <c r="L19662" s="11">
        <f>HYPERLINK("https://careerviet.vn/vi/tim-viec-lam/hmk-tuyen-gap-nhan-vien-ban-hang-tan-phu.35C63BB5.html","Xem chi tiết")</f>
        <v/>
      </c>
      <c r="M19662" s="10" t="n"/>
    </row>
    <row r="19663">
      <c r="B19663" s="7" t="n">
        <v>19661</v>
      </c>
      <c r="C19663" t="inlineStr">
        <is>
          <t>Quản Lý Kho (Tiếng Trung)</t>
        </is>
      </c>
      <c r="D19663" t="inlineStr">
        <is>
          <t>CÔNG TY TNHH THỜI TRANG SÀI GÒN XUÂN HOÀ</t>
        </is>
      </c>
      <c r="E19663" t="inlineStr">
        <is>
          <t>Lương:Cạnh tranh</t>
        </is>
      </c>
      <c r="F19663" t="inlineStr">
        <is>
          <t>Hồ Chí Minh</t>
        </is>
      </c>
      <c r="G19663" t="inlineStr">
        <is>
          <t>25-03-2026</t>
        </is>
      </c>
      <c r="H19663" t="inlineStr">
        <is>
          <t>25/03/2026</t>
        </is>
      </c>
      <c r="I19663" t="inlineStr">
        <is>
          <t>17/03/2026</t>
        </is>
      </c>
      <c r="J19663" t="inlineStr">
        <is>
          <t>Vận chuyển / Giao nhận / Kho vận, Quản lý điều hành, Dệt may / Da giày / Thời trang</t>
        </is>
      </c>
      <c r="K19663" t="inlineStr">
        <is>
          <t>Trên 3 Năm</t>
        </is>
      </c>
      <c r="L19663" s="8">
        <f>HYPERLINK("https://careerviet.vn/vi/tim-viec-lam/quan-ly-kho-tieng-trung.35C63D94.html","Xem chi tiết")</f>
        <v/>
      </c>
    </row>
    <row r="19664">
      <c r="B19664" s="9" t="n">
        <v>19662</v>
      </c>
      <c r="C19664" s="10" t="inlineStr">
        <is>
          <t>Head Of SAT Program</t>
        </is>
      </c>
      <c r="D19664" s="10" t="inlineStr">
        <is>
          <t>Công ty cổ phần SIMPACE Việt Nam</t>
        </is>
      </c>
      <c r="E19664" s="10" t="inlineStr">
        <is>
          <t>Lương:40 Tr - 50 Tr VND</t>
        </is>
      </c>
      <c r="F19664" s="10" t="inlineStr">
        <is>
          <t>Hà Nội</t>
        </is>
      </c>
      <c r="G19664" s="10" t="inlineStr">
        <is>
          <t>25-03-2026</t>
        </is>
      </c>
      <c r="H19664" s="10" t="inlineStr">
        <is>
          <t>25/03/2026</t>
        </is>
      </c>
      <c r="I19664" s="10" t="inlineStr">
        <is>
          <t>17/03/2026</t>
        </is>
      </c>
      <c r="J19664" s="10" t="inlineStr">
        <is>
          <t>Giáo dục / Đào tạo</t>
        </is>
      </c>
      <c r="K19664" s="10" t="inlineStr">
        <is>
          <t>3 - 5 Năm</t>
        </is>
      </c>
      <c r="L19664" s="11">
        <f>HYPERLINK("https://careerviet.vn/vi/tim-viec-lam/head-of-sat-program.35C63CAA.html","Xem chi tiết")</f>
        <v/>
      </c>
      <c r="M19664" s="10" t="n"/>
    </row>
    <row r="19665">
      <c r="B19665" s="7" t="n">
        <v>19663</v>
      </c>
      <c r="C19665" t="inlineStr">
        <is>
          <t>Kỹ sư triển khai bản vẽ kỹ thuật</t>
        </is>
      </c>
      <c r="D19665" t="inlineStr">
        <is>
          <t>CÔNG TY TNHH KIẾN TRÚC - NỘI THẤT NAM ANH</t>
        </is>
      </c>
      <c r="E19665" t="inlineStr">
        <is>
          <t>Lương:Cạnh tranh</t>
        </is>
      </c>
      <c r="F19665" t="inlineStr">
        <is>
          <t>Hà Nội</t>
        </is>
      </c>
      <c r="G19665" t="inlineStr">
        <is>
          <t>25-03-2026</t>
        </is>
      </c>
      <c r="H19665" t="inlineStr">
        <is>
          <t>25/03/2026</t>
        </is>
      </c>
      <c r="I19665" t="inlineStr">
        <is>
          <t>17/03/2026</t>
        </is>
      </c>
      <c r="J19665" t="inlineStr">
        <is>
          <t>Mỹ thuật / Nghệ thuật / Thiết kế, Xây dựng, Nội ngoại thất</t>
        </is>
      </c>
      <c r="K19665" t="inlineStr">
        <is>
          <t>3 - 5 Năm</t>
        </is>
      </c>
      <c r="L19665" s="8">
        <f>HYPERLINK("https://careerviet.vn/vi/tim-viec-lam/ky-su-trien-khai-ban-ve-ky-thuat.35C63CDC.html","Xem chi tiết")</f>
        <v/>
      </c>
    </row>
    <row r="19666">
      <c r="B19666" s="9" t="n">
        <v>19664</v>
      </c>
      <c r="C19666" s="10" t="inlineStr">
        <is>
          <t>Đà Nẵng - Nhân viên kinh doanh trả góp ô tô</t>
        </is>
      </c>
      <c r="D19666" s="10" t="inlineStr">
        <is>
          <t>LOTTE FINANCE VIETNAM</t>
        </is>
      </c>
      <c r="E19666" s="10" t="inlineStr">
        <is>
          <t>Lương:7 Tr - 12 Tr VND</t>
        </is>
      </c>
      <c r="F19666" s="10" t="inlineStr">
        <is>
          <t>Đà Nẵng</t>
        </is>
      </c>
      <c r="G19666" s="10" t="inlineStr">
        <is>
          <t>25-03-2026</t>
        </is>
      </c>
      <c r="H19666" s="10" t="inlineStr">
        <is>
          <t>25/03/2026</t>
        </is>
      </c>
      <c r="I19666" s="10" t="inlineStr">
        <is>
          <t>17/03/2026</t>
        </is>
      </c>
      <c r="J19666" s="10" t="inlineStr">
        <is>
          <t>Bán hàng / Kinh doanh, Chứng khoán, Ngân hàng</t>
        </is>
      </c>
      <c r="K19666" s="10" t="inlineStr">
        <is>
          <t>1 - 2 Năm</t>
        </is>
      </c>
      <c r="L19666" s="11">
        <f>HYPERLINK("https://careerviet.vn/vi/tim-viec-lam/da-nang-nhan-vien-kinh-doanh-tra-gop-o-to.35C63C7B.html","Xem chi tiết")</f>
        <v/>
      </c>
      <c r="M19666" s="10" t="n"/>
    </row>
    <row r="19667">
      <c r="B19667" s="7" t="n">
        <v>19665</v>
      </c>
      <c r="C19667" t="inlineStr">
        <is>
          <t>Chuyên viên Điều phối Kế hoạch dự án</t>
        </is>
      </c>
      <c r="D19667" t="inlineStr">
        <is>
          <t>BIM Group</t>
        </is>
      </c>
      <c r="E19667" t="inlineStr">
        <is>
          <t>Lương:Cạnh tranh</t>
        </is>
      </c>
      <c r="F19667" t="inlineStr">
        <is>
          <t>Hà Nội</t>
        </is>
      </c>
      <c r="G19667" t="inlineStr">
        <is>
          <t>25-03-2026</t>
        </is>
      </c>
      <c r="H19667" t="inlineStr">
        <is>
          <t>25/03/2026</t>
        </is>
      </c>
      <c r="I19667" t="inlineStr">
        <is>
          <t>17/03/2026</t>
        </is>
      </c>
      <c r="J19667" t="inlineStr">
        <is>
          <t>Xây dựng, Bất động sản</t>
        </is>
      </c>
      <c r="K19667" t="inlineStr">
        <is>
          <t>3 - 5 Năm</t>
        </is>
      </c>
      <c r="L19667" s="8">
        <f>HYPERLINK("https://careerviet.vn/vi/tim-viec-lam/chuyen-vien-dieu-phoi-ke-hoach-du-an.35C63E08.html","Xem chi tiết")</f>
        <v/>
      </c>
    </row>
    <row r="19668">
      <c r="B19668" s="9" t="n">
        <v>19666</v>
      </c>
      <c r="C19668" s="10" t="inlineStr">
        <is>
          <t>Chuyên Viên Quản Trị Và Kiểm Định Vàng - Hà Nội - TA162</t>
        </is>
      </c>
      <c r="D19668" s="10" t="inlineStr">
        <is>
          <t>Ngân Hàng TMCP Việt Nam Thịnh Vượng - VPBANK</t>
        </is>
      </c>
      <c r="E19668" s="10" t="inlineStr">
        <is>
          <t>Lương:500 - 700 USD</t>
        </is>
      </c>
      <c r="F19668" s="10" t="inlineStr">
        <is>
          <t>Hà Nội</t>
        </is>
      </c>
      <c r="G19668" s="10" t="inlineStr">
        <is>
          <t>25-03-2026</t>
        </is>
      </c>
      <c r="H19668" s="10" t="inlineStr">
        <is>
          <t>25/03/2026</t>
        </is>
      </c>
      <c r="I19668" s="10" t="inlineStr">
        <is>
          <t>17/03/2026</t>
        </is>
      </c>
      <c r="J19668" s="10" t="inlineStr">
        <is>
          <t>Cơ khí / Ô tô / Tự động hóa, Ngành khác</t>
        </is>
      </c>
      <c r="K19668" s="10" t="inlineStr">
        <is>
          <t>1 - 2 Năm</t>
        </is>
      </c>
      <c r="L19668" s="11">
        <f>HYPERLINK("https://careerviet.vn/vi/tim-viec-lam/chuyen-vien-quan-tri-va-kiem-dinh-vang-ha-noi-ta162.35C63E58.html","Xem chi tiết")</f>
        <v/>
      </c>
      <c r="M19668" s="10" t="n"/>
    </row>
    <row r="19669">
      <c r="B19669" s="7" t="n">
        <v>19667</v>
      </c>
      <c r="C19669" t="inlineStr">
        <is>
          <t>Chuyên Viên Tài Chính</t>
        </is>
      </c>
      <c r="D19669" t="inlineStr">
        <is>
          <t>CÔNG TY CỔ PHẦN TẬP ĐOÀN ONSEN FUJI</t>
        </is>
      </c>
      <c r="E19669" t="inlineStr">
        <is>
          <t>Lương:20 Tr - 30 Tr VND</t>
        </is>
      </c>
      <c r="F19669" t="inlineStr">
        <is>
          <t>Hà Nội</t>
        </is>
      </c>
      <c r="G19669" t="inlineStr">
        <is>
          <t>25-03-2026</t>
        </is>
      </c>
      <c r="H19669" t="inlineStr">
        <is>
          <t>25/03/2026</t>
        </is>
      </c>
      <c r="I19669" t="inlineStr">
        <is>
          <t>17/03/2026</t>
        </is>
      </c>
      <c r="J19669" t="inlineStr">
        <is>
          <t>Ngân hàng, Tài chính / Đầu tư, Bất động sản</t>
        </is>
      </c>
      <c r="K19669" t="inlineStr">
        <is>
          <t>5 - 7 Năm</t>
        </is>
      </c>
      <c r="L19669" s="8">
        <f>HYPERLINK("https://careerviet.vn/vi/tim-viec-lam/chuyen-vien-tai-chinh.35C63D58.html","Xem chi tiết")</f>
        <v/>
      </c>
    </row>
    <row r="19670">
      <c r="B19670" s="9" t="n">
        <v>19668</v>
      </c>
      <c r="C19670" s="10" t="inlineStr">
        <is>
          <t>NHÂN VIÊN CONTENT MARKETING</t>
        </is>
      </c>
      <c r="D19670" s="10" t="inlineStr">
        <is>
          <t>Công Ty Cổ Phần Đầu Tư Bất Động Sản Phúc Thịnh</t>
        </is>
      </c>
      <c r="E19670" s="10" t="inlineStr">
        <is>
          <t>Lương:8 Tr - 10 Tr VND</t>
        </is>
      </c>
      <c r="F19670" s="10" t="inlineStr">
        <is>
          <t>Hồ Chí Minh</t>
        </is>
      </c>
      <c r="G19670" s="10" t="inlineStr">
        <is>
          <t>25-03-2026</t>
        </is>
      </c>
      <c r="H19670" s="10" t="inlineStr">
        <is>
          <t>25/03/2026</t>
        </is>
      </c>
      <c r="I19670" s="10" t="inlineStr">
        <is>
          <t>17/03/2026</t>
        </is>
      </c>
      <c r="J19670" s="10" t="inlineStr">
        <is>
          <t>Tiếp thị / Marketing, Bất động sản</t>
        </is>
      </c>
      <c r="K19670" s="10" t="inlineStr">
        <is>
          <t>Lên đến 1 Năm</t>
        </is>
      </c>
      <c r="L19670" s="11">
        <f>HYPERLINK("https://careerviet.vn/vi/tim-viec-lam/nhan-vien-content-marketing.35C63C7E.html","Xem chi tiết")</f>
        <v/>
      </c>
      <c r="M19670" s="10" t="n"/>
    </row>
    <row r="19671">
      <c r="B19671" s="7" t="n">
        <v>19669</v>
      </c>
      <c r="C19671" t="inlineStr">
        <is>
          <t>Nhân viên kế toán</t>
        </is>
      </c>
      <c r="D19671" t="inlineStr">
        <is>
          <t>Công ty Cổ phần Nhôm Việt Dũng</t>
        </is>
      </c>
      <c r="E19671" t="inlineStr">
        <is>
          <t>Lương:10 Tr - 12 Tr VND</t>
        </is>
      </c>
      <c r="F19671" t="inlineStr">
        <is>
          <t>Hà Nội</t>
        </is>
      </c>
      <c r="G19671" t="inlineStr">
        <is>
          <t>25-03-2026</t>
        </is>
      </c>
      <c r="H19671" t="inlineStr">
        <is>
          <t>25/03/2026</t>
        </is>
      </c>
      <c r="I19671" t="inlineStr">
        <is>
          <t>17/03/2026</t>
        </is>
      </c>
      <c r="J19671" t="inlineStr">
        <is>
          <t>Kế toán / Kiểm toán, Ngân hàng, Tài chính / Đầu tư</t>
        </is>
      </c>
      <c r="K19671" t="inlineStr">
        <is>
          <t>2 - 4 Năm</t>
        </is>
      </c>
      <c r="L19671" s="8">
        <f>HYPERLINK("https://careerviet.vn/vi/tim-viec-lam/nhan-vien-ke-toan.35C63E07.html","Xem chi tiết")</f>
        <v/>
      </c>
    </row>
    <row r="19672">
      <c r="B19672" s="9" t="n">
        <v>19670</v>
      </c>
      <c r="C19672" s="10" t="inlineStr">
        <is>
          <t>Chuyên Viên Marketing – Ngành Bất Động Sản</t>
        </is>
      </c>
      <c r="D19672" s="10" t="inlineStr">
        <is>
          <t>CTY TNHH WHISKYCOGNAC</t>
        </is>
      </c>
      <c r="E19672" s="10" t="inlineStr">
        <is>
          <t>Lương:20 Tr - 25 Tr VND</t>
        </is>
      </c>
      <c r="F19672" s="10" t="inlineStr">
        <is>
          <t>Hồ Chí Minh</t>
        </is>
      </c>
      <c r="G19672" s="10" t="inlineStr">
        <is>
          <t>25-03-2026</t>
        </is>
      </c>
      <c r="H19672" s="10" t="inlineStr">
        <is>
          <t>25/03/2026</t>
        </is>
      </c>
      <c r="I19672" s="10" t="inlineStr">
        <is>
          <t>17/03/2026</t>
        </is>
      </c>
      <c r="J19672" s="10" t="inlineStr">
        <is>
          <t>Tiếp thị / Marketing, Tiếp thị trực tuyến, Quảng cáo / Đối ngoại / Truyền Thông</t>
        </is>
      </c>
      <c r="K19672" s="10" t="inlineStr">
        <is>
          <t>Trên 3 Năm</t>
        </is>
      </c>
      <c r="L19672" s="11">
        <f>HYPERLINK("https://careerviet.vn/vi/tim-viec-lam/chuyen-vien-marketing-nganh-bat-dong-san.35C63C8D.html","Xem chi tiết")</f>
        <v/>
      </c>
      <c r="M19672" s="10" t="n"/>
    </row>
    <row r="19673">
      <c r="B19673" s="7" t="n">
        <v>19671</v>
      </c>
      <c r="C19673" t="inlineStr">
        <is>
          <t>TRƯỞNG PHÒNG IN CHUYỂN NHIỆT</t>
        </is>
      </c>
      <c r="D19673" t="inlineStr">
        <is>
          <t>Công ty TNHH Baller Headwear Việt Nam</t>
        </is>
      </c>
      <c r="E19673" t="inlineStr">
        <is>
          <t>Lương:20 Tr - 30 Tr VND</t>
        </is>
      </c>
      <c r="F19673" t="inlineStr">
        <is>
          <t>Đà Nẵng</t>
        </is>
      </c>
      <c r="G19673" t="inlineStr">
        <is>
          <t>25-03-2026</t>
        </is>
      </c>
      <c r="H19673" t="inlineStr">
        <is>
          <t>25/03/2026</t>
        </is>
      </c>
      <c r="I19673" t="inlineStr">
        <is>
          <t>17/03/2026</t>
        </is>
      </c>
      <c r="J19673" t="inlineStr">
        <is>
          <t>Dệt may / Da giày / Thời trang</t>
        </is>
      </c>
      <c r="K19673" t="inlineStr">
        <is>
          <t>3 - 5 Năm</t>
        </is>
      </c>
      <c r="L19673" s="8">
        <f>HYPERLINK("https://careerviet.vn/vi/tim-viec-lam/truong-phong-in-chuyen-nhiet.35C63E12.html","Xem chi tiết")</f>
        <v/>
      </c>
    </row>
    <row r="19674">
      <c r="B19674" s="9" t="n">
        <v>19672</v>
      </c>
      <c r="C19674" s="10" t="inlineStr">
        <is>
          <t>Giám sát Kinh doanh khu vực kênh MT</t>
        </is>
      </c>
      <c r="D19674" s="10" t="inlineStr">
        <is>
          <t>Tập Đoàn Tân Á Đại Thành</t>
        </is>
      </c>
      <c r="E19674" s="10" t="inlineStr">
        <is>
          <t>Lương:17 Tr - 28 Tr VND</t>
        </is>
      </c>
      <c r="F19674" s="10" t="inlineStr">
        <is>
          <t>Hồ Chí Minh</t>
        </is>
      </c>
      <c r="G19674" s="10" t="inlineStr">
        <is>
          <t>25-03-2026</t>
        </is>
      </c>
      <c r="H19674" s="10" t="inlineStr">
        <is>
          <t>25/03/2026</t>
        </is>
      </c>
      <c r="I19674" s="10" t="inlineStr">
        <is>
          <t>17/03/2026</t>
        </is>
      </c>
      <c r="J19674" s="10" t="inlineStr">
        <is>
          <t>Tiếp thị / Marketing, Bán lẻ / Bán sỉ, Bán hàng / Kinh doanh</t>
        </is>
      </c>
      <c r="K19674" s="10" t="inlineStr">
        <is>
          <t>1 - 3 Năm</t>
        </is>
      </c>
      <c r="L19674" s="11">
        <f>HYPERLINK("https://careerviet.vn/vi/tim-viec-lam/giam-sat-kinh-doanh-khu-vuc-kenh-mt.35C63CE5.html","Xem chi tiết")</f>
        <v/>
      </c>
      <c r="M19674" s="10" t="n"/>
    </row>
    <row r="19675">
      <c r="B19675" s="7" t="n">
        <v>19673</v>
      </c>
      <c r="C19675" t="inlineStr">
        <is>
          <t>Chuyên viên pháp chế</t>
        </is>
      </c>
      <c r="D19675" t="inlineStr">
        <is>
          <t>Công ty cổ phần Tập đoàn Trường Thành Việt Nam</t>
        </is>
      </c>
      <c r="E19675" t="inlineStr">
        <is>
          <t>Lương:15 Tr - 20 Tr VND</t>
        </is>
      </c>
      <c r="F19675" t="inlineStr">
        <is>
          <t>Hà Nội</t>
        </is>
      </c>
      <c r="G19675" t="inlineStr">
        <is>
          <t>25-03-2026</t>
        </is>
      </c>
      <c r="H19675" t="inlineStr">
        <is>
          <t>25/03/2026</t>
        </is>
      </c>
      <c r="I19675" t="inlineStr">
        <is>
          <t>17/03/2026</t>
        </is>
      </c>
      <c r="J19675" t="inlineStr">
        <is>
          <t>Luật / Pháp lý</t>
        </is>
      </c>
      <c r="K19675" t="inlineStr">
        <is>
          <t>3 - 5 Năm</t>
        </is>
      </c>
      <c r="L19675" s="8">
        <f>HYPERLINK("https://careerviet.vn/vi/tim-viec-lam/chuyen-vien-phap-che.35C63D14.html","Xem chi tiết")</f>
        <v/>
      </c>
    </row>
    <row r="19676">
      <c r="B19676" s="9" t="n">
        <v>19674</v>
      </c>
      <c r="C19676" s="10" t="inlineStr">
        <is>
          <t>nhân viên chăm sóc khách hàng qua điện thoại</t>
        </is>
      </c>
      <c r="D19676" s="10" t="inlineStr">
        <is>
          <t>CÔNG TY TNHH THẨM MỸ QUỐC TẾ LINH ANH</t>
        </is>
      </c>
      <c r="E19676" s="10" t="inlineStr">
        <is>
          <t>Lương:15 Tr - 30 Tr VND</t>
        </is>
      </c>
      <c r="F19676" s="10" t="inlineStr">
        <is>
          <t>Đồng Nai</t>
        </is>
      </c>
      <c r="G19676" s="10" t="inlineStr">
        <is>
          <t>25-03-2026</t>
        </is>
      </c>
      <c r="H19676" s="10" t="inlineStr">
        <is>
          <t>25/03/2026</t>
        </is>
      </c>
      <c r="I19676" s="10" t="inlineStr">
        <is>
          <t>17/03/2026</t>
        </is>
      </c>
      <c r="J19676" s="10" t="inlineStr">
        <is>
          <t>Y tế / Chăm sóc sức khỏe / Thẩm mỹ / Làm đẹp</t>
        </is>
      </c>
      <c r="K19676" s="10" t="inlineStr">
        <is>
          <t>Trên 1 Năm</t>
        </is>
      </c>
      <c r="L19676" s="11">
        <f>HYPERLINK("https://careerviet.vn/vi/tim-viec-lam/nhan-vien-cham-soc-khach-hang-qua-dien-thoai.35C63A7B.html","Xem chi tiết")</f>
        <v/>
      </c>
      <c r="M19676" s="10" t="n"/>
    </row>
    <row r="19677">
      <c r="B19677" s="7" t="n">
        <v>19675</v>
      </c>
      <c r="C19677" t="inlineStr">
        <is>
          <t>Nhân Viên Kỹ Thuật</t>
        </is>
      </c>
      <c r="D19677" t="inlineStr">
        <is>
          <t>Công ty cổ phần công nghệ đánh bóng kim loại Leka</t>
        </is>
      </c>
      <c r="E19677" t="inlineStr">
        <is>
          <t>Lương:12 Tr - 18 Tr VND</t>
        </is>
      </c>
      <c r="F19677" t="inlineStr">
        <is>
          <t>Hà Nội</t>
        </is>
      </c>
      <c r="G19677" t="inlineStr">
        <is>
          <t>25-03-2026</t>
        </is>
      </c>
      <c r="H19677" t="inlineStr">
        <is>
          <t>25/03/2026</t>
        </is>
      </c>
      <c r="I19677" t="inlineStr">
        <is>
          <t>17/03/2026</t>
        </is>
      </c>
      <c r="J19677" t="inlineStr">
        <is>
          <t>Cơ khí / Ô tô / Tự động hóa, Bảo trì / Sửa chữa, Điện / Điện tử / Điện lạnh / Điện công nghiệp</t>
        </is>
      </c>
      <c r="K19677" t="inlineStr">
        <is>
          <t>Trên 1 Năm</t>
        </is>
      </c>
      <c r="L19677" s="8">
        <f>HYPERLINK("https://careerviet.vn/vi/tim-viec-lam/nhan-vien-ky-thuat.35C63C09.html","Xem chi tiết")</f>
        <v/>
      </c>
    </row>
    <row r="19678">
      <c r="B19678" s="9" t="n">
        <v>19676</v>
      </c>
      <c r="C19678" s="10" t="inlineStr">
        <is>
          <t>[Nova Hotels &amp; Resorts World] Kế Toán Thanh Toán - Phải Trả</t>
        </is>
      </c>
      <c r="D19678" s="10" t="inlineStr">
        <is>
          <t>Nova Service Group - Công ty Cổ phần Tập đoàn Nova Services</t>
        </is>
      </c>
      <c r="E19678" s="10" t="inlineStr">
        <is>
          <t>Lương:Cạnh tranh</t>
        </is>
      </c>
      <c r="F19678" s="10" t="inlineStr">
        <is>
          <t>Hồ Chí Minh</t>
        </is>
      </c>
      <c r="G19678" s="10" t="inlineStr">
        <is>
          <t>25-03-2026</t>
        </is>
      </c>
      <c r="H19678" s="10" t="inlineStr">
        <is>
          <t>25/03/2026</t>
        </is>
      </c>
      <c r="I19678" s="10" t="inlineStr">
        <is>
          <t>17/03/2026</t>
        </is>
      </c>
      <c r="J19678" s="10" t="inlineStr">
        <is>
          <t>Nhà hàng / Khách sạn, Du lịch</t>
        </is>
      </c>
      <c r="K19678" s="10" t="inlineStr">
        <is>
          <t>3 - 5 Năm</t>
        </is>
      </c>
      <c r="L19678" s="11">
        <f>HYPERLINK("https://careerviet.vn/vi/tim-viec-lam/nova-hotels-resorts-world-ke-toan-thanh-toan-phai-tra.35C63CCC.html","Xem chi tiết")</f>
        <v/>
      </c>
      <c r="M19678" s="10" t="n"/>
    </row>
    <row r="19679">
      <c r="B19679" s="7" t="n">
        <v>19677</v>
      </c>
      <c r="C19679" t="inlineStr">
        <is>
          <t>Nhân Viên Xuất Nhập Khẩu</t>
        </is>
      </c>
      <c r="D19679" t="inlineStr">
        <is>
          <t>Công ty cổ phần công nghệ đánh bóng kim loại Leka</t>
        </is>
      </c>
      <c r="E19679" t="inlineStr">
        <is>
          <t>Lương:13 Tr - 15 Tr VND</t>
        </is>
      </c>
      <c r="F19679" t="inlineStr">
        <is>
          <t>Hà Nội</t>
        </is>
      </c>
      <c r="G19679" t="inlineStr">
        <is>
          <t>25-03-2026</t>
        </is>
      </c>
      <c r="H19679" t="inlineStr">
        <is>
          <t>25/03/2026</t>
        </is>
      </c>
      <c r="I19679" t="inlineStr">
        <is>
          <t>17/03/2026</t>
        </is>
      </c>
      <c r="J19679" t="inlineStr">
        <is>
          <t>Vận chuyển / Giao nhận / Kho vận, Xuất nhập khẩu, Hàng hải</t>
        </is>
      </c>
      <c r="K19679" t="inlineStr">
        <is>
          <t>Trên 1 Năm</t>
        </is>
      </c>
      <c r="L19679" s="8">
        <f>HYPERLINK("https://careerviet.vn/vi/tim-viec-lam/nhan-vien-xuat-nhap-khau.35C63C14.html","Xem chi tiết")</f>
        <v/>
      </c>
    </row>
    <row r="19680">
      <c r="B19680" s="9" t="n">
        <v>19678</v>
      </c>
      <c r="C19680" s="10" t="inlineStr">
        <is>
          <t>Phó Chánh Văn Phòng Hội Đồng Sáng Lập</t>
        </is>
      </c>
      <c r="D19680" s="10" t="inlineStr">
        <is>
          <t>CÔNG TY CỔ PHẦN TẬP ĐOÀN ONSEN FUJI</t>
        </is>
      </c>
      <c r="E19680" s="10" t="inlineStr">
        <is>
          <t>Lương:30 Tr - 50 Tr VND</t>
        </is>
      </c>
      <c r="F19680" s="10" t="inlineStr">
        <is>
          <t>Hà Nội</t>
        </is>
      </c>
      <c r="G19680" s="10" t="inlineStr">
        <is>
          <t>25-03-2026</t>
        </is>
      </c>
      <c r="H19680" s="10" t="inlineStr">
        <is>
          <t>25/03/2026</t>
        </is>
      </c>
      <c r="I19680" s="10" t="inlineStr">
        <is>
          <t>17/03/2026</t>
        </is>
      </c>
      <c r="J19680" s="10" t="inlineStr">
        <is>
          <t>Xây dựng, Bất động sản</t>
        </is>
      </c>
      <c r="K19680" s="10" t="inlineStr">
        <is>
          <t>7 - 10 Năm</t>
        </is>
      </c>
      <c r="L19680" s="11">
        <f>HYPERLINK("https://careerviet.vn/vi/tim-viec-lam/pho-chanh-van-phong-hoi-dong-sang-lap.35C63D53.html","Xem chi tiết")</f>
        <v/>
      </c>
      <c r="M19680" s="10" t="n"/>
    </row>
    <row r="19681">
      <c r="B19681" s="7" t="n">
        <v>19679</v>
      </c>
      <c r="C19681" t="inlineStr">
        <is>
          <t>Metal Production Manager</t>
        </is>
      </c>
      <c r="D19681" t="inlineStr">
        <is>
          <t>CÔNG TY TNHH WGR INDUSTRIES</t>
        </is>
      </c>
      <c r="E19681" t="inlineStr">
        <is>
          <t>Lương:Cạnh tranh</t>
        </is>
      </c>
      <c r="F19681" t="inlineStr">
        <is>
          <t>Bình Định</t>
        </is>
      </c>
      <c r="G19681" t="inlineStr">
        <is>
          <t>25-03-2026</t>
        </is>
      </c>
      <c r="H19681" t="inlineStr">
        <is>
          <t>25/03/2026</t>
        </is>
      </c>
      <c r="I19681" t="inlineStr">
        <is>
          <t>17/03/2026</t>
        </is>
      </c>
      <c r="J19681" t="inlineStr">
        <is>
          <t>Sản xuất / Vận hành sản xuất, Đồ gỗ, Nội ngoại thất</t>
        </is>
      </c>
      <c r="K19681" t="inlineStr">
        <is>
          <t>5 - 10 Năm</t>
        </is>
      </c>
      <c r="L19681" s="8">
        <f>HYPERLINK("https://careerviet.vn/vi/tim-viec-lam/metal-production-manager.35C63C81.html","Xem chi tiết")</f>
        <v/>
      </c>
    </row>
    <row r="19682">
      <c r="B19682" s="9" t="n">
        <v>19680</v>
      </c>
      <c r="C19682" s="10" t="inlineStr">
        <is>
          <t>Kiến trúc sư thiết kế (chủ đầu tư)</t>
        </is>
      </c>
      <c r="D19682" s="10" t="inlineStr">
        <is>
          <t>Tập Đoàn Tân Á Đại Thành</t>
        </is>
      </c>
      <c r="E19682" s="10" t="inlineStr">
        <is>
          <t>Lương:Cạnh tranh</t>
        </is>
      </c>
      <c r="F19682" s="10" t="inlineStr">
        <is>
          <t>Hà Nội</t>
        </is>
      </c>
      <c r="G19682" s="10" t="inlineStr">
        <is>
          <t>25-03-2026</t>
        </is>
      </c>
      <c r="H19682" s="10" t="inlineStr">
        <is>
          <t>25/03/2026</t>
        </is>
      </c>
      <c r="I19682" s="10" t="inlineStr">
        <is>
          <t>17/03/2026</t>
        </is>
      </c>
      <c r="J19682" s="10" t="inlineStr">
        <is>
          <t>Kiến trúc, Xây dựng, Bất động sản</t>
        </is>
      </c>
      <c r="K19682" s="10" t="inlineStr">
        <is>
          <t>Trên 3 Năm</t>
        </is>
      </c>
      <c r="L19682" s="11">
        <f>HYPERLINK("https://careerviet.vn/vi/tim-viec-lam/kien-truc-su-thiet-ke-chu-dau-tu.35C63DF2.html","Xem chi tiết")</f>
        <v/>
      </c>
      <c r="M19682" s="10" t="n"/>
    </row>
    <row r="19683">
      <c r="B19683" s="7" t="n">
        <v>19681</v>
      </c>
      <c r="C19683" t="inlineStr">
        <is>
          <t>Nhân Viên Telesales</t>
        </is>
      </c>
      <c r="D19683" t="inlineStr">
        <is>
          <t>CÔNG TY TNHH TẬP ĐOÀN GTG</t>
        </is>
      </c>
      <c r="E19683" t="inlineStr">
        <is>
          <t>Lương:20 Tr - 40 Tr VND</t>
        </is>
      </c>
      <c r="F19683" t="inlineStr">
        <is>
          <t>Hà Nội</t>
        </is>
      </c>
      <c r="G19683" t="inlineStr">
        <is>
          <t>25-03-2026</t>
        </is>
      </c>
      <c r="H19683" t="inlineStr">
        <is>
          <t>25/03/2026</t>
        </is>
      </c>
      <c r="I19683" t="inlineStr">
        <is>
          <t>17/03/2026</t>
        </is>
      </c>
      <c r="J19683" t="inlineStr">
        <is>
          <t>Bán lẻ / Bán sỉ, Bán hàng / Kinh doanh, Tiếp thị trực tuyến</t>
        </is>
      </c>
      <c r="K19683" t="inlineStr">
        <is>
          <t>Trên 1 Năm</t>
        </is>
      </c>
      <c r="L19683" s="8">
        <f>HYPERLINK("https://careerviet.vn/vi/tim-viec-lam/nhan-vien-telesales.35C63DA2.html","Xem chi tiết")</f>
        <v/>
      </c>
    </row>
    <row r="19684">
      <c r="B19684" s="9" t="n">
        <v>19682</v>
      </c>
      <c r="C19684" s="10" t="inlineStr">
        <is>
          <t>Giám Đốc Xây Dựng/Giám Đốc Ban Quản Lý Các Dự Án</t>
        </is>
      </c>
      <c r="D19684" s="10" t="inlineStr">
        <is>
          <t>CÔNG TY CỔ PHẦN TẬP ĐOÀN ONSEN FUJI</t>
        </is>
      </c>
      <c r="E19684" s="10" t="inlineStr">
        <is>
          <t>Lương:Cạnh tranh</t>
        </is>
      </c>
      <c r="F19684" s="10" t="inlineStr">
        <is>
          <t>Hà Nội</t>
        </is>
      </c>
      <c r="G19684" s="10" t="inlineStr">
        <is>
          <t>25-03-2026</t>
        </is>
      </c>
      <c r="H19684" s="10" t="inlineStr">
        <is>
          <t>25/03/2026</t>
        </is>
      </c>
      <c r="I19684" s="10" t="inlineStr">
        <is>
          <t>17/03/2026</t>
        </is>
      </c>
      <c r="J19684" s="10" t="inlineStr">
        <is>
          <t>Luật / Pháp lý, Xây dựng, Bất động sản</t>
        </is>
      </c>
      <c r="K19684" s="10" t="inlineStr">
        <is>
          <t>15 - 20 Năm</t>
        </is>
      </c>
      <c r="L19684" s="11">
        <f>HYPERLINK("https://careerviet.vn/vi/tim-viec-lam/giam-doc-xay-dung-giam-doc-ban-quan-ly-cac-du-an.35C63D4B.html","Xem chi tiết")</f>
        <v/>
      </c>
      <c r="M19684" s="10" t="n"/>
    </row>
    <row r="19685">
      <c r="B19685" s="7" t="n">
        <v>19683</v>
      </c>
      <c r="C19685" t="inlineStr">
        <is>
          <t>Kế toán tổng hợp</t>
        </is>
      </c>
      <c r="D19685" t="inlineStr">
        <is>
          <t>CÔNG TY CỔ PHẦN GIẢI PHÁP THANH TOÁN VIỆT TÍN</t>
        </is>
      </c>
      <c r="E19685" t="inlineStr">
        <is>
          <t>Lương:15 Tr - 20 Tr VND</t>
        </is>
      </c>
      <c r="F19685" t="inlineStr">
        <is>
          <t>Hồ Chí Minh</t>
        </is>
      </c>
      <c r="G19685" t="inlineStr">
        <is>
          <t>25-03-2026</t>
        </is>
      </c>
      <c r="H19685" t="inlineStr">
        <is>
          <t>25/03/2026</t>
        </is>
      </c>
      <c r="I19685" t="inlineStr">
        <is>
          <t>17/03/2026</t>
        </is>
      </c>
      <c r="J19685" t="inlineStr">
        <is>
          <t>Kế toán / Kiểm toán</t>
        </is>
      </c>
      <c r="K19685" t="inlineStr">
        <is>
          <t>Trên 2 Năm</t>
        </is>
      </c>
      <c r="L19685" s="8">
        <f>HYPERLINK("https://careerviet.vn/vi/tim-viec-lam/ke-toan-tong-hop.35C63CF3.html","Xem chi tiết")</f>
        <v/>
      </c>
    </row>
    <row r="19686">
      <c r="B19686" s="9" t="n">
        <v>19684</v>
      </c>
      <c r="C19686" s="10" t="inlineStr">
        <is>
          <t>Purchasing and Sales Documentation Staff</t>
        </is>
      </c>
      <c r="D19686" s="10" t="inlineStr">
        <is>
          <t>CÔNG TY TNHH TECLON</t>
        </is>
      </c>
      <c r="E19686" s="10" t="inlineStr">
        <is>
          <t>Lương:Cạnh tranh</t>
        </is>
      </c>
      <c r="F19686" s="10" t="inlineStr">
        <is>
          <t>Bình Dương</t>
        </is>
      </c>
      <c r="G19686" s="10" t="inlineStr">
        <is>
          <t>25-03-2026</t>
        </is>
      </c>
      <c r="H19686" s="10" t="inlineStr">
        <is>
          <t>25/03/2026</t>
        </is>
      </c>
      <c r="I19686" s="10" t="inlineStr">
        <is>
          <t>17/03/2026</t>
        </is>
      </c>
      <c r="J19686" s="10" t="inlineStr">
        <is>
          <t>Bán hàng / Kinh doanh, Xuất nhập khẩu, Thu mua / Vật tư</t>
        </is>
      </c>
      <c r="K19686" s="10" t="inlineStr">
        <is>
          <t>N/A</t>
        </is>
      </c>
      <c r="L19686" s="11">
        <f>HYPERLINK("https://careerviet.vn/vi/tim-viec-lam/purchasing-and-sales-documentation-staff.35C63D34.html","Xem chi tiết")</f>
        <v/>
      </c>
      <c r="M19686" s="10" t="n"/>
    </row>
    <row r="19687">
      <c r="B19687" s="7" t="n">
        <v>19685</v>
      </c>
      <c r="C19687" t="inlineStr">
        <is>
          <t>Nhân viên Kinh doanh ngành ống nhựa</t>
        </is>
      </c>
      <c r="D19687" t="inlineStr">
        <is>
          <t>Tập Đoàn Tân Á Đại Thành</t>
        </is>
      </c>
      <c r="E19687" t="inlineStr">
        <is>
          <t>Lương:10 Tr - 20 Tr VND</t>
        </is>
      </c>
      <c r="F19687" t="inlineStr">
        <is>
          <t>Hải Dương</t>
        </is>
      </c>
      <c r="G19687" t="inlineStr">
        <is>
          <t>25-03-2026</t>
        </is>
      </c>
      <c r="H19687" t="inlineStr">
        <is>
          <t>25/03/2026</t>
        </is>
      </c>
      <c r="I19687" t="inlineStr">
        <is>
          <t>17/03/2026</t>
        </is>
      </c>
      <c r="J19687" t="inlineStr">
        <is>
          <t>Bán hàng / Kinh doanh, Xây dựng, Ngành khác</t>
        </is>
      </c>
      <c r="K19687" t="inlineStr">
        <is>
          <t>1 - 2 Năm</t>
        </is>
      </c>
      <c r="L19687" s="8">
        <f>HYPERLINK("https://careerviet.vn/vi/tim-viec-lam/nhan-vien-kinh-doanh-nganh-ong-nhua.35C56AF2.html","Xem chi tiết")</f>
        <v/>
      </c>
    </row>
    <row r="19688">
      <c r="B19688" s="9" t="n">
        <v>19686</v>
      </c>
      <c r="C19688" s="10" t="inlineStr">
        <is>
          <t>Kế Toán Cửa Hàng</t>
        </is>
      </c>
      <c r="D19688" s="10" t="inlineStr">
        <is>
          <t>CÔNG TY CỔ PHẦN ĐẦU TƯ VÀNG PHÚ QUÝ</t>
        </is>
      </c>
      <c r="E19688" s="10" t="inlineStr">
        <is>
          <t>Lương:Cạnh tranh</t>
        </is>
      </c>
      <c r="F19688" s="10" t="inlineStr">
        <is>
          <t>Hà Nội</t>
        </is>
      </c>
      <c r="G19688" s="10" t="inlineStr">
        <is>
          <t>25-03-2026</t>
        </is>
      </c>
      <c r="H19688" s="10" t="inlineStr">
        <is>
          <t>25/03/2026</t>
        </is>
      </c>
      <c r="I19688" s="10" t="inlineStr">
        <is>
          <t>17/03/2026</t>
        </is>
      </c>
      <c r="J19688" s="10" t="inlineStr">
        <is>
          <t>Kế toán / Kiểm toán, Luật / Pháp lý, Tài chính / Đầu tư</t>
        </is>
      </c>
      <c r="K19688" s="10" t="inlineStr">
        <is>
          <t>Trên 2 Năm</t>
        </is>
      </c>
      <c r="L19688" s="11">
        <f>HYPERLINK("https://careerviet.vn/vi/tim-viec-lam/ke-toan-cua-hang.35C63C9C.html","Xem chi tiết")</f>
        <v/>
      </c>
      <c r="M19688" s="10" t="n"/>
    </row>
    <row r="19689">
      <c r="B19689" s="7" t="n">
        <v>19687</v>
      </c>
      <c r="C19689" t="inlineStr">
        <is>
          <t>Nhân Viên Kỹ Thuật Cây Xanh (làm tại Phú Quốc)</t>
        </is>
      </c>
      <c r="D19689" t="inlineStr">
        <is>
          <t>Tập Đoàn Tân Á Đại Thành</t>
        </is>
      </c>
      <c r="E19689" t="inlineStr">
        <is>
          <t>Lương:16 Tr - 17 Tr VND</t>
        </is>
      </c>
      <c r="F19689" t="inlineStr">
        <is>
          <t>Kiên GiangHà NộiHồ Chí Minh</t>
        </is>
      </c>
      <c r="G19689" t="inlineStr">
        <is>
          <t>25-03-2026</t>
        </is>
      </c>
      <c r="H19689" t="inlineStr">
        <is>
          <t>25/03/2026</t>
        </is>
      </c>
      <c r="I19689" t="inlineStr">
        <is>
          <t>17/03/2026</t>
        </is>
      </c>
      <c r="J19689" t="inlineStr">
        <is>
          <t>Nông nghiệp, Lâm Nghiệp, Xây dựng</t>
        </is>
      </c>
      <c r="K19689" t="inlineStr">
        <is>
          <t>Trên 2 Năm</t>
        </is>
      </c>
      <c r="L19689" s="8">
        <f>HYPERLINK("https://careerviet.vn/vi/tim-viec-lam/nhan-vien-ky-thuat-cay-xanh-lam-tai-phu-quoc.35C63C7C.html","Xem chi tiết")</f>
        <v/>
      </c>
    </row>
    <row r="19690">
      <c r="B19690" s="9" t="n">
        <v>19688</v>
      </c>
      <c r="C19690" s="10" t="inlineStr">
        <is>
          <t>Quản lý Phát triển Sản phẩm - Phun Xăm thẩm mỹ</t>
        </is>
      </c>
      <c r="D19690" s="10" t="inlineStr">
        <is>
          <t>CareerViet's client</t>
        </is>
      </c>
      <c r="E19690" s="10" t="inlineStr">
        <is>
          <t>Lương:50 Tr - 100 Tr VND</t>
        </is>
      </c>
      <c r="F19690" s="10" t="inlineStr">
        <is>
          <t>Hồ Chí Minh</t>
        </is>
      </c>
      <c r="G19690" s="10" t="inlineStr">
        <is>
          <t>25-03-2026</t>
        </is>
      </c>
      <c r="H19690" s="10" t="inlineStr">
        <is>
          <t>25/03/2026</t>
        </is>
      </c>
      <c r="I19690" s="10" t="inlineStr">
        <is>
          <t>17/03/2026</t>
        </is>
      </c>
      <c r="J19690" s="10" t="inlineStr">
        <is>
          <t>Bán hàng / Kinh doanh, Y tế / Chăm sóc sức khỏe / Thẩm mỹ / Làm đẹp</t>
        </is>
      </c>
      <c r="K19690" s="10" t="inlineStr">
        <is>
          <t>5 - 10 Năm</t>
        </is>
      </c>
      <c r="L19690" s="11">
        <f>HYPERLINK("https://careerviet.vn/vi/tim-viec-lam/quan-ly-phat-trien-san-pham-phun-xam-tham-my.35C63C68.html","Xem chi tiết")</f>
        <v/>
      </c>
      <c r="M19690" s="10" t="n"/>
    </row>
    <row r="19691">
      <c r="B19691" s="7" t="n">
        <v>19689</v>
      </c>
      <c r="C19691" t="inlineStr">
        <is>
          <t>Nhân Viên Vận Hành Sàn Thương Mại</t>
        </is>
      </c>
      <c r="D19691" t="inlineStr">
        <is>
          <t>CÔNG TY TNHH HEBE STYLE</t>
        </is>
      </c>
      <c r="E19691" t="inlineStr">
        <is>
          <t>Lương:8 Tr - 12 Tr VND</t>
        </is>
      </c>
      <c r="F19691" t="inlineStr">
        <is>
          <t>Hồ Chí Minh</t>
        </is>
      </c>
      <c r="G19691" t="inlineStr">
        <is>
          <t>24-03-2026</t>
        </is>
      </c>
      <c r="H19691" t="inlineStr">
        <is>
          <t>24/03/2026</t>
        </is>
      </c>
      <c r="I19691" t="inlineStr">
        <is>
          <t>17/03/2026</t>
        </is>
      </c>
      <c r="J19691" t="inlineStr">
        <is>
          <t>Thương mại điện tử, Bán lẻ / Bán sỉ, Dược phẩm/ Hóa Mỹ Phẩm</t>
        </is>
      </c>
      <c r="K19691" t="inlineStr">
        <is>
          <t>Trên 1 Năm</t>
        </is>
      </c>
      <c r="L19691" s="8">
        <f>HYPERLINK("https://careerviet.vn/vi/tim-viec-lam/nhan-vien-van-hanh-san-thuong-mai.35C63E06.html","Xem chi tiết")</f>
        <v/>
      </c>
    </row>
    <row r="19692">
      <c r="B19692" s="9" t="n">
        <v>19690</v>
      </c>
      <c r="C19692" s="10" t="inlineStr">
        <is>
          <t>Pre-Costing and Pricing Manager</t>
        </is>
      </c>
      <c r="D19692" s="10" t="inlineStr">
        <is>
          <t>Huhtamaki (Vietnam) Ltd.</t>
        </is>
      </c>
      <c r="E19692" s="10" t="inlineStr">
        <is>
          <t>Lương:Cạnh tranh</t>
        </is>
      </c>
      <c r="F19692" s="10" t="inlineStr">
        <is>
          <t>Bình Dương</t>
        </is>
      </c>
      <c r="G19692" s="10" t="inlineStr">
        <is>
          <t>25-03-2026</t>
        </is>
      </c>
      <c r="H19692" s="10" t="inlineStr">
        <is>
          <t>25/03/2026</t>
        </is>
      </c>
      <c r="I19692" s="10" t="inlineStr">
        <is>
          <t>17/03/2026</t>
        </is>
      </c>
      <c r="J19692" s="10" t="inlineStr">
        <is>
          <t>Bán hàng / Kinh doanh, Kế toán / Kiểm toán, Sản xuất / Vận hành sản xuất</t>
        </is>
      </c>
      <c r="K19692" s="10" t="inlineStr">
        <is>
          <t>3 - 5 Năm</t>
        </is>
      </c>
      <c r="L19692" s="11">
        <f>HYPERLINK("https://careerviet.vn/vi/tim-viec-lam/pre-costing-and-pricing-manager.35C63D9A.html","Xem chi tiết")</f>
        <v/>
      </c>
      <c r="M19692" s="10" t="n"/>
    </row>
    <row r="19693">
      <c r="B19693" s="7" t="n">
        <v>19691</v>
      </c>
      <c r="C19693" t="inlineStr">
        <is>
          <t>Nhân Viên Kế Toán Dịch Vụ - Quận 2</t>
        </is>
      </c>
      <c r="D19693" t="inlineStr">
        <is>
          <t>Công ty TNHH Sản xuất Thương mại &amp; Dịch vụ Hoa Xinh</t>
        </is>
      </c>
      <c r="E19693" t="inlineStr">
        <is>
          <t>Lương:15 Tr - 20 Tr VND</t>
        </is>
      </c>
      <c r="F19693" t="inlineStr">
        <is>
          <t>Hồ Chí Minh</t>
        </is>
      </c>
      <c r="G19693" t="inlineStr">
        <is>
          <t>25-03-2026</t>
        </is>
      </c>
      <c r="H19693" t="inlineStr">
        <is>
          <t>25/03/2026</t>
        </is>
      </c>
      <c r="I19693" t="inlineStr">
        <is>
          <t>17/03/2026</t>
        </is>
      </c>
      <c r="J19693" t="inlineStr">
        <is>
          <t>Kế toán / Kiểm toán, Ngân hàng</t>
        </is>
      </c>
      <c r="K19693" t="inlineStr">
        <is>
          <t>1 - 5 Năm</t>
        </is>
      </c>
      <c r="L19693" s="8">
        <f>HYPERLINK("https://careerviet.vn/vi/tim-viec-lam/nhan-vien-ke-toan-dich-vu-quan-2.35C63CB2.html","Xem chi tiết")</f>
        <v/>
      </c>
    </row>
    <row r="19694">
      <c r="B19694" s="9" t="n">
        <v>19692</v>
      </c>
      <c r="C19694" s="10" t="inlineStr">
        <is>
          <t>Nhân Viên Hành Chính</t>
        </is>
      </c>
      <c r="D19694" s="10" t="inlineStr">
        <is>
          <t>CÔNG TY TNHH HOA CACTUS</t>
        </is>
      </c>
      <c r="E19694" s="10" t="inlineStr">
        <is>
          <t>Lương:8 Tr - 12 Tr VND</t>
        </is>
      </c>
      <c r="F19694" s="10" t="inlineStr">
        <is>
          <t>Long An</t>
        </is>
      </c>
      <c r="G19694" s="10" t="inlineStr">
        <is>
          <t>25-03-2026</t>
        </is>
      </c>
      <c r="H19694" s="10" t="inlineStr">
        <is>
          <t>25/03/2026</t>
        </is>
      </c>
      <c r="I19694" s="10" t="inlineStr">
        <is>
          <t>17/03/2026</t>
        </is>
      </c>
      <c r="J19694" s="10" t="inlineStr">
        <is>
          <t>Hành chính / Thư ký, Sản xuất / Vận hành sản xuất</t>
        </is>
      </c>
      <c r="K19694" s="10" t="inlineStr">
        <is>
          <t>Trên 1 Năm</t>
        </is>
      </c>
      <c r="L19694" s="11">
        <f>HYPERLINK("https://careerviet.vn/vi/tim-viec-lam/nhan-vien-hanh-chinh.35C63CB1.html","Xem chi tiết")</f>
        <v/>
      </c>
      <c r="M19694" s="10" t="n"/>
    </row>
    <row r="19695">
      <c r="B19695" s="7" t="n">
        <v>19693</v>
      </c>
      <c r="C19695" t="inlineStr">
        <is>
          <t>[TÂN AN LONG AN] TRƯỞNG TRUNG TÂM TIÊM CHỦNG</t>
        </is>
      </c>
      <c r="D19695" t="inlineStr">
        <is>
          <t>Công Ty Cổ Phần Vacxin Việt Nam</t>
        </is>
      </c>
      <c r="E19695" t="inlineStr">
        <is>
          <t>Lương:Cạnh tranh</t>
        </is>
      </c>
      <c r="F19695" t="inlineStr">
        <is>
          <t>Long An</t>
        </is>
      </c>
      <c r="G19695" t="inlineStr">
        <is>
          <t>25-03-2026</t>
        </is>
      </c>
      <c r="H19695" t="inlineStr">
        <is>
          <t>25/03/2026</t>
        </is>
      </c>
      <c r="I19695" t="inlineStr">
        <is>
          <t>17/03/2026</t>
        </is>
      </c>
      <c r="J19695" t="inlineStr">
        <is>
          <t>Tiếp thị / Marketing, Bán lẻ / Bán sỉ, Bán hàng / Kinh doanh</t>
        </is>
      </c>
      <c r="K19695" t="inlineStr">
        <is>
          <t>3 - 5 Năm</t>
        </is>
      </c>
      <c r="L19695" s="8">
        <f>HYPERLINK("https://careerviet.vn/vi/tim-viec-lam/tan-an-long-an-truong-trung-tam-tiem-chung.35C63DDB.html","Xem chi tiết")</f>
        <v/>
      </c>
    </row>
    <row r="19696">
      <c r="B19696" s="9" t="n">
        <v>19694</v>
      </c>
      <c r="C19696" s="10" t="inlineStr">
        <is>
          <t>[Nova Hotels &amp; Resorts World] Kế Toán Tổng Hợp</t>
        </is>
      </c>
      <c r="D19696" s="10" t="inlineStr">
        <is>
          <t>Nova Service Group - Công ty Cổ phần Tập đoàn Nova Services</t>
        </is>
      </c>
      <c r="E19696" s="10" t="inlineStr">
        <is>
          <t>Lương:Cạnh tranh</t>
        </is>
      </c>
      <c r="F19696" s="10" t="inlineStr">
        <is>
          <t>Hồ Chí Minh</t>
        </is>
      </c>
      <c r="G19696" s="10" t="inlineStr">
        <is>
          <t>25-03-2026</t>
        </is>
      </c>
      <c r="H19696" s="10" t="inlineStr">
        <is>
          <t>25/03/2026</t>
        </is>
      </c>
      <c r="I19696" s="10" t="inlineStr">
        <is>
          <t>17/03/2026</t>
        </is>
      </c>
      <c r="J19696" s="10" t="inlineStr">
        <is>
          <t>Nhà hàng / Khách sạn, Du lịch</t>
        </is>
      </c>
      <c r="K19696" s="10" t="inlineStr">
        <is>
          <t>3 - 5 Năm</t>
        </is>
      </c>
      <c r="L19696" s="11">
        <f>HYPERLINK("https://careerviet.vn/vi/tim-viec-lam/nova-hotels-resorts-world-ke-toan-tong-hop.35C63BFC.html","Xem chi tiết")</f>
        <v/>
      </c>
      <c r="M19696" s="10" t="n"/>
    </row>
    <row r="19697">
      <c r="B19697" s="7" t="n">
        <v>19695</v>
      </c>
      <c r="C19697" t="inlineStr">
        <is>
          <t>KỸ SƯ THIẾT KẾ 2D (NỘI THẤT)</t>
        </is>
      </c>
      <c r="D19697" t="inlineStr">
        <is>
          <t>CÔNG TY CỔ PHẦN VẬT LIỆU VĨNH TÂN</t>
        </is>
      </c>
      <c r="E19697" t="inlineStr">
        <is>
          <t>Lương:Lên đến 25 Tr VND</t>
        </is>
      </c>
      <c r="F19697" t="inlineStr">
        <is>
          <t>Bắc Ninh</t>
        </is>
      </c>
      <c r="G19697" t="inlineStr">
        <is>
          <t>25-03-2026</t>
        </is>
      </c>
      <c r="H19697" t="inlineStr">
        <is>
          <t>25/03/2026</t>
        </is>
      </c>
      <c r="I19697" t="inlineStr">
        <is>
          <t>17/03/2026</t>
        </is>
      </c>
      <c r="J19697" t="inlineStr">
        <is>
          <t>Mỹ thuật / Nghệ thuật / Thiết kế, Nội ngoại thất</t>
        </is>
      </c>
      <c r="K19697" t="inlineStr">
        <is>
          <t>Trên 1 Năm</t>
        </is>
      </c>
      <c r="L19697" s="8">
        <f>HYPERLINK("https://careerviet.vn/vi/tim-viec-lam/ky-su-thiet-ke-2d-noi-that.35C63D97.html","Xem chi tiết")</f>
        <v/>
      </c>
    </row>
    <row r="19698">
      <c r="B19698" s="9" t="n">
        <v>19696</v>
      </c>
      <c r="C19698" s="10" t="inlineStr">
        <is>
          <t>Giám đốc chi nhánh  (Lai Vung - Đồng Tháp)</t>
        </is>
      </c>
      <c r="D19698" s="10" t="inlineStr">
        <is>
          <t>CÔNG TY TNHH ĐẦU TƯ ITS</t>
        </is>
      </c>
      <c r="E19698" s="10" t="inlineStr">
        <is>
          <t>Lương:22 Tr - 30 Tr VND</t>
        </is>
      </c>
      <c r="F19698" s="10" t="inlineStr">
        <is>
          <t>Đồng Tháp</t>
        </is>
      </c>
      <c r="G19698" s="10" t="inlineStr">
        <is>
          <t>26-03-2026</t>
        </is>
      </c>
      <c r="H19698" s="10" t="inlineStr">
        <is>
          <t>26/03/2026</t>
        </is>
      </c>
      <c r="I19698" s="10" t="inlineStr">
        <is>
          <t>17/03/2026</t>
        </is>
      </c>
      <c r="J19698" s="10" t="inlineStr">
        <is>
          <t>Ngân hàng, Cơ khí / Ô tô / Tự động hóa, Sản xuất / Vận hành sản xuất</t>
        </is>
      </c>
      <c r="K19698" s="10" t="inlineStr">
        <is>
          <t>4 - 10 Năm</t>
        </is>
      </c>
      <c r="L19698" s="11">
        <f>HYPERLINK("https://careerviet.vn/vi/tim-viec-lam/giam-doc-chi-nhanh-lai-vung-dong-thap.35C63FBF.html","Xem chi tiết")</f>
        <v/>
      </c>
      <c r="M19698" s="10" t="n"/>
    </row>
    <row r="19699">
      <c r="B19699" s="7" t="n">
        <v>19697</v>
      </c>
      <c r="C19699" t="inlineStr">
        <is>
          <t>[Phong Phú] Nhân Viên Hành Chính Kiêm CSKH - 6 tháng</t>
        </is>
      </c>
      <c r="D19699" t="inlineStr">
        <is>
          <t>Công Ty Cổ Phần Vacxin Việt Nam</t>
        </is>
      </c>
      <c r="E19699" t="inlineStr">
        <is>
          <t>Lương:Cạnh tranh</t>
        </is>
      </c>
      <c r="F19699" t="inlineStr">
        <is>
          <t>Hồ Chí Minh</t>
        </is>
      </c>
      <c r="G19699" t="inlineStr">
        <is>
          <t>25-03-2026</t>
        </is>
      </c>
      <c r="H19699" t="inlineStr">
        <is>
          <t>25/03/2026</t>
        </is>
      </c>
      <c r="I19699" t="inlineStr">
        <is>
          <t>17/03/2026</t>
        </is>
      </c>
      <c r="J19699" t="inlineStr">
        <is>
          <t>Dịch vụ khách hàng, Hành chính / Thư ký, Kế toán / Kiểm toán</t>
        </is>
      </c>
      <c r="K19699" t="inlineStr">
        <is>
          <t>1 - 3 Năm</t>
        </is>
      </c>
      <c r="L19699" s="8">
        <f>HYPERLINK("https://careerviet.vn/vi/tim-viec-lam/phong-phu-nhan-vien-hanh-chinh-kiem-cskh-6-thang.35C63DDA.html","Xem chi tiết")</f>
        <v/>
      </c>
    </row>
    <row r="19700">
      <c r="B19700" s="9" t="n">
        <v>19698</v>
      </c>
      <c r="C19700" s="10" t="inlineStr">
        <is>
          <t>Chuyên Viên Nhân Sự - Phụ Trách Tuyển Dụng Đào Tạo</t>
        </is>
      </c>
      <c r="D19700" s="10" t="inlineStr">
        <is>
          <t>CÔNG TY TNHH VĨNH CARA DIAMOND JEWELRY</t>
        </is>
      </c>
      <c r="E19700" s="10" t="inlineStr">
        <is>
          <t>Lương:13 Tr - 16 Tr VND</t>
        </is>
      </c>
      <c r="F19700" s="10" t="inlineStr">
        <is>
          <t>Hồ Chí Minh</t>
        </is>
      </c>
      <c r="G19700" s="10" t="inlineStr">
        <is>
          <t>25-03-2026</t>
        </is>
      </c>
      <c r="H19700" s="10" t="inlineStr">
        <is>
          <t>25/03/2026</t>
        </is>
      </c>
      <c r="I19700" s="10" t="inlineStr">
        <is>
          <t>17/03/2026</t>
        </is>
      </c>
      <c r="J19700" s="10" t="inlineStr">
        <is>
          <t>Bán lẻ / Bán sỉ, Giáo dục / Đào tạo, Nhân sự</t>
        </is>
      </c>
      <c r="K19700" s="10" t="inlineStr">
        <is>
          <t>3 - 7 Năm</t>
        </is>
      </c>
      <c r="L19700" s="11">
        <f>HYPERLINK("https://careerviet.vn/vi/tim-viec-lam/chuyen-vien-nhan-su-phu-trach-tuyen-dung-dao-tao.35C63E5C.html","Xem chi tiết")</f>
        <v/>
      </c>
      <c r="M19700" s="10" t="n"/>
    </row>
    <row r="19701">
      <c r="B19701" s="7" t="n">
        <v>19699</v>
      </c>
      <c r="C19701" t="inlineStr">
        <is>
          <t>Nhân viên QC</t>
        </is>
      </c>
      <c r="D19701" t="inlineStr">
        <is>
          <t>CÔNG TY TNHH THƯƠNG MẠI QUỐC TẾ VALENCY VIỆT NAM</t>
        </is>
      </c>
      <c r="E19701" t="inlineStr">
        <is>
          <t>Lương:8 Tr - 10 Tr VND</t>
        </is>
      </c>
      <c r="F19701" t="inlineStr">
        <is>
          <t>Hồ Chí Minh</t>
        </is>
      </c>
      <c r="G19701" t="inlineStr">
        <is>
          <t>25-03-2026</t>
        </is>
      </c>
      <c r="H19701" t="inlineStr">
        <is>
          <t>25/03/2026</t>
        </is>
      </c>
      <c r="I19701" t="inlineStr">
        <is>
          <t>17/03/2026</t>
        </is>
      </c>
      <c r="J19701" t="inlineStr">
        <is>
          <t>Quản lý chất lượng (QA/QC)</t>
        </is>
      </c>
      <c r="K19701" t="inlineStr">
        <is>
          <t>1 - 3 Năm</t>
        </is>
      </c>
      <c r="L19701" s="8">
        <f>HYPERLINK("https://careerviet.vn/vi/tim-viec-lam/nhan-vien-qc.35C63C7A.html","Xem chi tiết")</f>
        <v/>
      </c>
    </row>
    <row r="19702">
      <c r="B19702" s="9" t="n">
        <v>19700</v>
      </c>
      <c r="C19702" s="10" t="inlineStr">
        <is>
          <t>TRƯỞNG PHÒNG DỰ ÁN – KẾ TOÁN/THUẾ</t>
        </is>
      </c>
      <c r="D19702" s="10" t="inlineStr">
        <is>
          <t>CÔNG TY TNHH VAR ECOM</t>
        </is>
      </c>
      <c r="E19702" s="10" t="inlineStr">
        <is>
          <t>Lương:25 Tr - 35 Tr VND</t>
        </is>
      </c>
      <c r="F19702" s="10" t="inlineStr">
        <is>
          <t>Hồ Chí Minh</t>
        </is>
      </c>
      <c r="G19702" s="10" t="inlineStr">
        <is>
          <t>25-03-2026</t>
        </is>
      </c>
      <c r="H19702" s="10" t="inlineStr">
        <is>
          <t>25/03/2026</t>
        </is>
      </c>
      <c r="I19702" s="10" t="inlineStr">
        <is>
          <t>17/03/2026</t>
        </is>
      </c>
      <c r="J19702" s="10" t="inlineStr">
        <is>
          <t>Dịch vụ khách hàng, Luật / Pháp lý, Kế toán / Kiểm toán</t>
        </is>
      </c>
      <c r="K19702" s="10" t="inlineStr">
        <is>
          <t>Trên 3 Năm</t>
        </is>
      </c>
      <c r="L19702" s="11">
        <f>HYPERLINK("https://careerviet.vn/vi/tim-viec-lam/truong-phong-du-an-ke-toan-thue.35C63D82.html","Xem chi tiết")</f>
        <v/>
      </c>
      <c r="M19702" s="10" t="n"/>
    </row>
    <row r="19703">
      <c r="B19703" s="7" t="n">
        <v>19701</v>
      </c>
      <c r="C19703" t="inlineStr">
        <is>
          <t>[Hà Nội] Nhân viên Kế toán quản trị - ERP</t>
        </is>
      </c>
      <c r="D19703" t="inlineStr">
        <is>
          <t>CÔNG TY TNHH DAESANG VIỆT NAM</t>
        </is>
      </c>
      <c r="E19703" t="inlineStr">
        <is>
          <t>Lương:Cạnh tranh</t>
        </is>
      </c>
      <c r="F19703" t="inlineStr">
        <is>
          <t>Hà Nội</t>
        </is>
      </c>
      <c r="G19703" t="inlineStr">
        <is>
          <t>26-03-2026</t>
        </is>
      </c>
      <c r="H19703" t="inlineStr">
        <is>
          <t>26/03/2026</t>
        </is>
      </c>
      <c r="I19703" t="inlineStr">
        <is>
          <t>17/03/2026</t>
        </is>
      </c>
      <c r="J19703" t="inlineStr">
        <is>
          <t>Quản lý điều hành, Kế toán / Kiểm toán, Tài chính / Đầu tư</t>
        </is>
      </c>
      <c r="K19703" t="inlineStr">
        <is>
          <t>3 - 5 Năm</t>
        </is>
      </c>
      <c r="L19703" s="8">
        <f>HYPERLINK("https://careerviet.vn/vi/tim-viec-lam/ha-noi-nhan-vien-ke-toan-quan-tri-erp.35C63FAE.html","Xem chi tiết")</f>
        <v/>
      </c>
    </row>
    <row r="19704">
      <c r="B19704" s="9" t="n">
        <v>19702</v>
      </c>
      <c r="C19704" s="10" t="inlineStr">
        <is>
          <t>[Hà Nội] Kế toán quầy (Không yêu cầu kinh nghiệm)</t>
        </is>
      </c>
      <c r="D19704" s="10" t="inlineStr">
        <is>
          <t>Công ty cổ phần HaMo Holdings</t>
        </is>
      </c>
      <c r="E19704" s="10" t="inlineStr">
        <is>
          <t>Lương:10 Tr - 12 Tr VND</t>
        </is>
      </c>
      <c r="F19704" s="10" t="inlineStr">
        <is>
          <t>Hà Nội</t>
        </is>
      </c>
      <c r="G19704" s="10" t="inlineStr">
        <is>
          <t>26-03-2026</t>
        </is>
      </c>
      <c r="H19704" s="10" t="inlineStr">
        <is>
          <t>26/03/2026</t>
        </is>
      </c>
      <c r="I19704" s="10" t="inlineStr">
        <is>
          <t>17/03/2026</t>
        </is>
      </c>
      <c r="J19704" s="10" t="inlineStr">
        <is>
          <t>Dược phẩm/ Hóa Mỹ Phẩm, Y tế / Chăm sóc sức khỏe / Thẩm mỹ / Làm đẹp, Kế toán / Kiểm toán</t>
        </is>
      </c>
      <c r="K19704" s="10" t="inlineStr">
        <is>
          <t>N/A</t>
        </is>
      </c>
      <c r="L19704" s="11">
        <f>HYPERLINK("https://careerviet.vn/vi/tim-viec-lam/ha-noi-ke-toan-quay-khong-yeu-cau-kinh-nghiem.35C63FA7.html","Xem chi tiết")</f>
        <v/>
      </c>
      <c r="M19704" s="10" t="n"/>
    </row>
    <row r="19705">
      <c r="B19705" s="7" t="n">
        <v>19703</v>
      </c>
      <c r="C19705" t="inlineStr">
        <is>
          <t>Trưởng Ban Kế Toán</t>
        </is>
      </c>
      <c r="D19705" t="inlineStr">
        <is>
          <t>CÔNG TY CỔ PHẦN DƯỢC LIỆU VIỆT NAM (VIETMEC)</t>
        </is>
      </c>
      <c r="E19705" t="inlineStr">
        <is>
          <t>Lương:35 Tr - 50 Tr VND</t>
        </is>
      </c>
      <c r="F19705" t="inlineStr">
        <is>
          <t>Hồ Chí MinhHà Nội</t>
        </is>
      </c>
      <c r="G19705" t="inlineStr">
        <is>
          <t>26-03-2026</t>
        </is>
      </c>
      <c r="H19705" t="inlineStr">
        <is>
          <t>26/03/2026</t>
        </is>
      </c>
      <c r="I19705" t="inlineStr">
        <is>
          <t>17/03/2026</t>
        </is>
      </c>
      <c r="J19705" t="inlineStr">
        <is>
          <t>Kế toán / Kiểm toán, Ngân hàng, Tài chính / Đầu tư</t>
        </is>
      </c>
      <c r="K19705" t="inlineStr">
        <is>
          <t>5 - 10 Năm</t>
        </is>
      </c>
      <c r="L19705" s="8">
        <f>HYPERLINK("https://careerviet.vn/vi/tim-viec-lam/truong-ban-ke-toan.35C63F3D.html","Xem chi tiết")</f>
        <v/>
      </c>
    </row>
    <row r="19706">
      <c r="B19706" s="9" t="n">
        <v>19704</v>
      </c>
      <c r="C19706" s="10" t="inlineStr">
        <is>
          <t>[Ba Vì] Quản lý bảo hiểm (Banca Manager - BM)</t>
        </is>
      </c>
      <c r="D19706" s="10" t="inlineStr">
        <is>
          <t>Ngân hàng TMCP Lộc Phát Việt Nam (LPBank)</t>
        </is>
      </c>
      <c r="E19706" s="10" t="inlineStr">
        <is>
          <t>Lương:Cạnh tranh</t>
        </is>
      </c>
      <c r="F19706" s="10" t="inlineStr">
        <is>
          <t>Hà Nội</t>
        </is>
      </c>
      <c r="G19706" s="10" t="inlineStr">
        <is>
          <t>26-03-2026</t>
        </is>
      </c>
      <c r="H19706" s="10" t="inlineStr">
        <is>
          <t>26/03/2026</t>
        </is>
      </c>
      <c r="I19706" s="10" t="inlineStr">
        <is>
          <t>17/03/2026</t>
        </is>
      </c>
      <c r="J19706" s="10" t="inlineStr">
        <is>
          <t>Bán hàng / Kinh doanh, Bất động sản, Bảo hiểm</t>
        </is>
      </c>
      <c r="K19706" s="10" t="inlineStr">
        <is>
          <t>Trên 3 Năm</t>
        </is>
      </c>
      <c r="L19706" s="11">
        <f>HYPERLINK("https://careerviet.vn/vi/tim-viec-lam/ba-vi-quan-ly-bao-hiem-banca-manager-bm.35C63F4D.html","Xem chi tiết")</f>
        <v/>
      </c>
      <c r="M19706" s="10" t="n"/>
    </row>
    <row r="19707">
      <c r="B19707" s="7" t="n">
        <v>19705</v>
      </c>
      <c r="C19707" t="inlineStr">
        <is>
          <t>Nhân viên kinh doanh bất động sản</t>
        </is>
      </c>
      <c r="D19707" t="inlineStr">
        <is>
          <t>CÔNG TY CỔ PHẦN ĐẦU TƯ MINH HƯNG</t>
        </is>
      </c>
      <c r="E19707" t="inlineStr">
        <is>
          <t>Lương:30 Tr - 100 Tr VND</t>
        </is>
      </c>
      <c r="F19707" t="inlineStr">
        <is>
          <t>Hà NộiHải Phòng</t>
        </is>
      </c>
      <c r="G19707" t="inlineStr">
        <is>
          <t>26-03-2026</t>
        </is>
      </c>
      <c r="H19707" t="inlineStr">
        <is>
          <t>26/03/2026</t>
        </is>
      </c>
      <c r="I19707" t="inlineStr">
        <is>
          <t>17/03/2026</t>
        </is>
      </c>
      <c r="J19707" t="inlineStr">
        <is>
          <t>Tiếp thị / Marketing, Bán hàng / Kinh doanh, Bất động sản</t>
        </is>
      </c>
      <c r="K19707" t="inlineStr">
        <is>
          <t>Chưa có kinh nghiệm</t>
        </is>
      </c>
      <c r="L19707" s="8">
        <f>HYPERLINK("https://careerviet.vn/vi/tim-viec-lam/nhan-vien-kinh-doanh-bat-dong-san.35C63E97.html","Xem chi tiết")</f>
        <v/>
      </c>
    </row>
    <row r="19708">
      <c r="B19708" s="9" t="n">
        <v>19706</v>
      </c>
      <c r="C19708" s="10" t="inlineStr">
        <is>
          <t>Kỹ Sư Thiết Kế Khuôn Dập</t>
        </is>
      </c>
      <c r="D19708" s="10" t="inlineStr">
        <is>
          <t>CX Technology VN</t>
        </is>
      </c>
      <c r="E19708" s="10" t="inlineStr">
        <is>
          <t>Lương:9 Tr - 15 Tr VND</t>
        </is>
      </c>
      <c r="F19708" s="10" t="inlineStr">
        <is>
          <t>Hồ Chí Minh</t>
        </is>
      </c>
      <c r="G19708" s="10" t="inlineStr">
        <is>
          <t>25-03-2026</t>
        </is>
      </c>
      <c r="H19708" s="10" t="inlineStr">
        <is>
          <t>25/03/2026</t>
        </is>
      </c>
      <c r="I19708" s="10" t="inlineStr">
        <is>
          <t>17/03/2026</t>
        </is>
      </c>
      <c r="J19708" s="10" t="inlineStr">
        <is>
          <t>Cơ khí / Ô tô / Tự động hóa, Sản xuất / Vận hành sản xuất</t>
        </is>
      </c>
      <c r="K19708" s="10" t="inlineStr">
        <is>
          <t>N/A</t>
        </is>
      </c>
      <c r="L19708" s="11">
        <f>HYPERLINK("https://careerviet.vn/vi/tim-viec-lam/ky-su-thiet-ke-khuon-dap.35C63DBF.html","Xem chi tiết")</f>
        <v/>
      </c>
      <c r="M19708" s="10" t="n"/>
    </row>
    <row r="19709">
      <c r="B19709" s="7" t="n">
        <v>19707</v>
      </c>
      <c r="C19709" t="inlineStr">
        <is>
          <t>VIDEO EDITOR</t>
        </is>
      </c>
      <c r="D19709" t="inlineStr">
        <is>
          <t>Công ty TNHH Kinh doanh và Dịch vụ Bất động sản Realhomes</t>
        </is>
      </c>
      <c r="E19709" t="inlineStr">
        <is>
          <t>Lương:10 Tr - 15 Tr VND</t>
        </is>
      </c>
      <c r="F19709" t="inlineStr">
        <is>
          <t>Hà Nội</t>
        </is>
      </c>
      <c r="G19709" t="inlineStr">
        <is>
          <t>26-03-2026</t>
        </is>
      </c>
      <c r="H19709" t="inlineStr">
        <is>
          <t>26/03/2026</t>
        </is>
      </c>
      <c r="I19709" t="inlineStr">
        <is>
          <t>17/03/2026</t>
        </is>
      </c>
      <c r="J19709" t="inlineStr">
        <is>
          <t>Tiếp thị / Marketing, Bất động sản, Y tế / Chăm sóc sức khỏe / Thẩm mỹ / Làm đẹp</t>
        </is>
      </c>
      <c r="K19709" t="inlineStr">
        <is>
          <t>Lên đến 1 Năm</t>
        </is>
      </c>
      <c r="L19709" s="8">
        <f>HYPERLINK("https://careerviet.vn/vi/tim-viec-lam/video-editor.35C63E94.html","Xem chi tiết")</f>
        <v/>
      </c>
    </row>
    <row r="19710">
      <c r="B19710" s="9" t="n">
        <v>19708</v>
      </c>
      <c r="C19710" s="10" t="inlineStr">
        <is>
          <t>Chuyên Viên Xuất Khẩu Tiếng Anh (ưu tiên nữ)</t>
        </is>
      </c>
      <c r="D19710" s="10" t="inlineStr">
        <is>
          <t>CÔNG TY CỔ PHẦN THỰC PHẨM HỮU NGHỊ</t>
        </is>
      </c>
      <c r="E19710" s="10" t="inlineStr">
        <is>
          <t>Lương:800 - 1.000 USD</t>
        </is>
      </c>
      <c r="F19710" s="10" t="inlineStr">
        <is>
          <t>Hà Nội</t>
        </is>
      </c>
      <c r="G19710" s="10" t="inlineStr">
        <is>
          <t>26-03-2026</t>
        </is>
      </c>
      <c r="H19710" s="10" t="inlineStr">
        <is>
          <t>26/03/2026</t>
        </is>
      </c>
      <c r="I19710" s="10" t="inlineStr">
        <is>
          <t>17/03/2026</t>
        </is>
      </c>
      <c r="J19710" s="10" t="inlineStr">
        <is>
          <t>Bán hàng / Kinh doanh, Xuất nhập khẩu</t>
        </is>
      </c>
      <c r="K19710" s="10" t="inlineStr">
        <is>
          <t>1 - 2 Năm</t>
        </is>
      </c>
      <c r="L19710" s="11">
        <f>HYPERLINK("https://careerviet.vn/vi/tim-viec-lam/chuyen-vien-xuat-khau-tieng-anh-uu-tien-nu.35C63F8C.html","Xem chi tiết")</f>
        <v/>
      </c>
      <c r="M19710" s="10" t="n"/>
    </row>
    <row r="19711">
      <c r="B19711" s="7" t="n">
        <v>19709</v>
      </c>
      <c r="C19711" t="inlineStr">
        <is>
          <t>Nhân Viên Hành Chính Tổng Hợp</t>
        </is>
      </c>
      <c r="D19711" t="inlineStr">
        <is>
          <t>CÔNG TY CỔ PHẦN TẬP ĐOÀN THÀNH NAM</t>
        </is>
      </c>
      <c r="E19711" t="inlineStr">
        <is>
          <t>Lương:10 Tr - 15 Tr VND</t>
        </is>
      </c>
      <c r="F19711" t="inlineStr">
        <is>
          <t>Hà Nội</t>
        </is>
      </c>
      <c r="G19711" t="inlineStr">
        <is>
          <t>26-03-2026</t>
        </is>
      </c>
      <c r="H19711" t="inlineStr">
        <is>
          <t>26/03/2026</t>
        </is>
      </c>
      <c r="I19711" t="inlineStr">
        <is>
          <t>17/03/2026</t>
        </is>
      </c>
      <c r="J19711" t="inlineStr">
        <is>
          <t>Hành chính / Thư ký, Nhân sự</t>
        </is>
      </c>
      <c r="K19711" t="inlineStr">
        <is>
          <t>Trên 2 Năm</t>
        </is>
      </c>
      <c r="L19711" s="8">
        <f>HYPERLINK("https://careerviet.vn/vi/tim-viec-lam/nhan-vien-hanh-chinh-tong-hop.35C63E7D.html","Xem chi tiết")</f>
        <v/>
      </c>
    </row>
    <row r="19712">
      <c r="B19712" s="9" t="n">
        <v>19710</v>
      </c>
      <c r="C19712" s="10" t="inlineStr">
        <is>
          <t>Chuyên viên thiết kế MEP - nước HN</t>
        </is>
      </c>
      <c r="D19712" s="10" t="inlineStr">
        <is>
          <t>Công Ty TNHH Đầu Tư Địa Ốc Thành Phố (CityLand)</t>
        </is>
      </c>
      <c r="E19712" s="10" t="inlineStr">
        <is>
          <t>Lương:Cạnh tranh</t>
        </is>
      </c>
      <c r="F19712" s="10" t="inlineStr">
        <is>
          <t>Hà Nội</t>
        </is>
      </c>
      <c r="G19712" s="10" t="inlineStr">
        <is>
          <t>26-03-2026</t>
        </is>
      </c>
      <c r="H19712" s="10" t="inlineStr">
        <is>
          <t>26/03/2026</t>
        </is>
      </c>
      <c r="I19712" s="10" t="inlineStr">
        <is>
          <t>17/03/2026</t>
        </is>
      </c>
      <c r="J19712" s="10" t="inlineStr">
        <is>
          <t>Kiến trúc, Xây dựng, Bất động sản</t>
        </is>
      </c>
      <c r="K19712" s="10" t="inlineStr">
        <is>
          <t>10 - 20 Năm</t>
        </is>
      </c>
      <c r="L19712" s="11">
        <f>HYPERLINK("https://careerviet.vn/vi/tim-viec-lam/chuyen-vien-thiet-ke-mep-nuoc-hn.35C63F1A.html","Xem chi tiết")</f>
        <v/>
      </c>
      <c r="M19712" s="10" t="n"/>
    </row>
    <row r="19713">
      <c r="B19713" s="7" t="n">
        <v>19711</v>
      </c>
      <c r="C19713" t="inlineStr">
        <is>
          <t>CV/CVC Kiểm soát tuân thủ - Khối Quản trị rủi ro &amp; Tuân thủ</t>
        </is>
      </c>
      <c r="D19713" t="inlineStr">
        <is>
          <t>Tổng Công ty Cổ phần Bảo hiểm Quân đội (MIC)</t>
        </is>
      </c>
      <c r="E19713" t="inlineStr">
        <is>
          <t>Lương:Cạnh tranh</t>
        </is>
      </c>
      <c r="F19713" t="inlineStr">
        <is>
          <t>Hà Nội</t>
        </is>
      </c>
      <c r="G19713" t="inlineStr">
        <is>
          <t>26-03-2026</t>
        </is>
      </c>
      <c r="H19713" t="inlineStr">
        <is>
          <t>26/03/2026</t>
        </is>
      </c>
      <c r="I19713" t="inlineStr">
        <is>
          <t>17/03/2026</t>
        </is>
      </c>
      <c r="J19713" t="inlineStr">
        <is>
          <t>Bảo hiểm, Luật / Pháp lý, Ngân hàng</t>
        </is>
      </c>
      <c r="K19713" t="inlineStr">
        <is>
          <t>2 - 5 Năm</t>
        </is>
      </c>
      <c r="L19713" s="8">
        <f>HYPERLINK("https://careerviet.vn/vi/tim-viec-lam/cv-cvc-kiem-soat-tuan-thu-khoi-quan-tri-rui-ro-tuan-thu.35C63E9A.html","Xem chi tiết")</f>
        <v/>
      </c>
    </row>
    <row r="19714">
      <c r="B19714" s="9" t="n">
        <v>19712</v>
      </c>
      <c r="C19714" s="10" t="inlineStr">
        <is>
          <t>Chuyên Viên Nghiên Cứu &amp; Phân Tích Đầu Tư | Investment Research Analyst</t>
        </is>
      </c>
      <c r="D19714" s="10" t="inlineStr">
        <is>
          <t>CÔNG TY CỔ PHẦN CHỨNG KHOÁN HD</t>
        </is>
      </c>
      <c r="E19714" s="10" t="inlineStr">
        <is>
          <t>Lương:Cạnh tranh</t>
        </is>
      </c>
      <c r="F19714" s="10" t="inlineStr">
        <is>
          <t>Hồ Chí Minh</t>
        </is>
      </c>
      <c r="G19714" s="10" t="inlineStr">
        <is>
          <t>26-03-2026</t>
        </is>
      </c>
      <c r="H19714" s="10" t="inlineStr">
        <is>
          <t>26/03/2026</t>
        </is>
      </c>
      <c r="I19714" s="10" t="inlineStr">
        <is>
          <t>17/03/2026</t>
        </is>
      </c>
      <c r="J19714" s="10" t="inlineStr">
        <is>
          <t>Chứng khoán, Thống kê, Tiếp thị / Marketing</t>
        </is>
      </c>
      <c r="K19714" s="10" t="inlineStr">
        <is>
          <t>2 - 5 Năm</t>
        </is>
      </c>
      <c r="L19714" s="11">
        <f>HYPERLINK("https://careerviet.vn/vi/tim-viec-lam/chuyen-vien-nghien-cuu-phan-tich-dau-tu-investment-research-analyst.35C63FBD.html","Xem chi tiết")</f>
        <v/>
      </c>
      <c r="M19714" s="10" t="n"/>
    </row>
    <row r="19715">
      <c r="B19715" s="7" t="n">
        <v>19713</v>
      </c>
      <c r="C19715" t="inlineStr">
        <is>
          <t>CN Thường Tín - Chuyên viên/CVC/CVCC Quan hệ Khách hàng Cá nhân</t>
        </is>
      </c>
      <c r="D19715" t="inlineStr">
        <is>
          <t>Ngân hàng TMCP Lộc Phát Việt Nam (LPBank)</t>
        </is>
      </c>
      <c r="E19715" t="inlineStr">
        <is>
          <t>Lương:Cạnh tranh</t>
        </is>
      </c>
      <c r="F19715" t="inlineStr">
        <is>
          <t>Hà Nội</t>
        </is>
      </c>
      <c r="G19715" t="inlineStr">
        <is>
          <t>26-03-2026</t>
        </is>
      </c>
      <c r="H19715" t="inlineStr">
        <is>
          <t>26/03/2026</t>
        </is>
      </c>
      <c r="I19715" t="inlineStr">
        <is>
          <t>17/03/2026</t>
        </is>
      </c>
      <c r="J19715" t="inlineStr">
        <is>
          <t>Bán hàng / Kinh doanh, Kế toán / Kiểm toán, Ngân hàng</t>
        </is>
      </c>
      <c r="K19715" t="inlineStr">
        <is>
          <t>Trên 1 Năm</t>
        </is>
      </c>
      <c r="L19715" s="8">
        <f>HYPERLINK("https://careerviet.vn/vi/tim-viec-lam/cn-thuong-tin-chuyen-vien-cvc-cvcc-quan-he-khach-hang-ca-nhan.35C63E88.html","Xem chi tiết")</f>
        <v/>
      </c>
    </row>
    <row r="19716">
      <c r="B19716" s="9" t="n">
        <v>19714</v>
      </c>
      <c r="C19716" s="10" t="inlineStr">
        <is>
          <t>Chuyên Viên Kinh Doanh B2C</t>
        </is>
      </c>
      <c r="D19716" s="10" t="inlineStr">
        <is>
          <t>CÔNG TY CỔ PHẦN DI CHUYỂN VÀ THÔNG MINH GSM</t>
        </is>
      </c>
      <c r="E19716" s="10" t="inlineStr">
        <is>
          <t>Lương:Cạnh tranh</t>
        </is>
      </c>
      <c r="F19716" s="10" t="inlineStr">
        <is>
          <t>Hồ Chí Minh</t>
        </is>
      </c>
      <c r="G19716" s="10" t="inlineStr">
        <is>
          <t>26-03-2026</t>
        </is>
      </c>
      <c r="H19716" s="10" t="inlineStr">
        <is>
          <t>26/03/2026</t>
        </is>
      </c>
      <c r="I19716" s="10" t="inlineStr">
        <is>
          <t>17/03/2026</t>
        </is>
      </c>
      <c r="J19716" s="10" t="inlineStr">
        <is>
          <t>Bán hàng / Kinh doanh, Cơ khí / Ô tô / Tự động hóa, Tiếp thị trực tuyến</t>
        </is>
      </c>
      <c r="K19716" s="10" t="inlineStr">
        <is>
          <t>Trên 1 Năm</t>
        </is>
      </c>
      <c r="L19716" s="11">
        <f>HYPERLINK("https://careerviet.vn/vi/tim-viec-lam/chuyen-vien-kinh-doanh-b2c.35C63F6D.html","Xem chi tiết")</f>
        <v/>
      </c>
      <c r="M19716" s="10" t="n"/>
    </row>
    <row r="19717">
      <c r="B19717" s="7" t="n">
        <v>19715</v>
      </c>
      <c r="C19717" t="inlineStr">
        <is>
          <t>CN Ba Vì - Chuyên viên/CVC/CVCC Quan hệ Khách hàng Cá nhân</t>
        </is>
      </c>
      <c r="D19717" t="inlineStr">
        <is>
          <t>Ngân hàng TMCP Lộc Phát Việt Nam (LPBank)</t>
        </is>
      </c>
      <c r="E19717" t="inlineStr">
        <is>
          <t>Lương:Cạnh tranh</t>
        </is>
      </c>
      <c r="F19717" t="inlineStr">
        <is>
          <t>Hà Nội</t>
        </is>
      </c>
      <c r="G19717" t="inlineStr">
        <is>
          <t>26-03-2026</t>
        </is>
      </c>
      <c r="H19717" t="inlineStr">
        <is>
          <t>26/03/2026</t>
        </is>
      </c>
      <c r="I19717" t="inlineStr">
        <is>
          <t>17/03/2026</t>
        </is>
      </c>
      <c r="J19717" t="inlineStr">
        <is>
          <t>Bán hàng / Kinh doanh, Kế toán / Kiểm toán, Ngân hàng</t>
        </is>
      </c>
      <c r="K19717" t="inlineStr">
        <is>
          <t>Trên 1 Năm</t>
        </is>
      </c>
      <c r="L19717" s="8">
        <f>HYPERLINK("https://careerviet.vn/vi/tim-viec-lam/cn-ba-vi-chuyen-vien-cvc-cvcc-quan-he-khach-hang-ca-nhan.35C63E80.html","Xem chi tiết")</f>
        <v/>
      </c>
    </row>
    <row r="19718">
      <c r="B19718" s="9" t="n">
        <v>19716</v>
      </c>
      <c r="C19718" s="10" t="inlineStr">
        <is>
          <t>HCM - Senior Content Creator (Facial Bar)</t>
        </is>
      </c>
      <c r="D19718" s="10" t="inlineStr">
        <is>
          <t>Công ty TNHH Thiên Thủy Mộc</t>
        </is>
      </c>
      <c r="E19718" s="10" t="inlineStr">
        <is>
          <t>Lương:15 Tr - 17 Tr VND</t>
        </is>
      </c>
      <c r="F19718" s="10" t="inlineStr">
        <is>
          <t>Hồ Chí Minh</t>
        </is>
      </c>
      <c r="G19718" s="10" t="inlineStr">
        <is>
          <t>26-03-2026</t>
        </is>
      </c>
      <c r="H19718" s="10" t="inlineStr">
        <is>
          <t>26/03/2026</t>
        </is>
      </c>
      <c r="I19718" s="10" t="inlineStr">
        <is>
          <t>17/03/2026</t>
        </is>
      </c>
      <c r="J19718" s="10" t="inlineStr">
        <is>
          <t>Tiếp thị / Marketing, Quảng cáo / Đối ngoại / Truyền Thông</t>
        </is>
      </c>
      <c r="K19718" s="10" t="inlineStr">
        <is>
          <t>2 - 4 Năm</t>
        </is>
      </c>
      <c r="L19718" s="11">
        <f>HYPERLINK("https://careerviet.vn/vi/tim-viec-lam/hcm-senior-content-creator-facial-bar.35C63F18.html","Xem chi tiết")</f>
        <v/>
      </c>
      <c r="M19718" s="10" t="n"/>
    </row>
    <row r="19719">
      <c r="B19719" s="7" t="n">
        <v>19717</v>
      </c>
      <c r="C19719" t="inlineStr">
        <is>
          <t>[Thái Nguyên] Chuyên viên/CVC/CVCC Quan hệ Khách hàng Cá nhân</t>
        </is>
      </c>
      <c r="D19719" t="inlineStr">
        <is>
          <t>Ngân hàng TMCP Lộc Phát Việt Nam (LPBank)</t>
        </is>
      </c>
      <c r="E19719" t="inlineStr">
        <is>
          <t>Lương:Cạnh tranh</t>
        </is>
      </c>
      <c r="F19719" t="inlineStr">
        <is>
          <t>Thái Nguyên</t>
        </is>
      </c>
      <c r="G19719" t="inlineStr">
        <is>
          <t>26-03-2026</t>
        </is>
      </c>
      <c r="H19719" t="inlineStr">
        <is>
          <t>26/03/2026</t>
        </is>
      </c>
      <c r="I19719" t="inlineStr">
        <is>
          <t>17/03/2026</t>
        </is>
      </c>
      <c r="J19719" t="inlineStr">
        <is>
          <t>Bán hàng / Kinh doanh, Kế toán / Kiểm toán, Ngân hàng</t>
        </is>
      </c>
      <c r="K19719" t="inlineStr">
        <is>
          <t>Trên 1 Năm</t>
        </is>
      </c>
      <c r="L19719" s="8">
        <f>HYPERLINK("https://careerviet.vn/vi/tim-viec-lam/thai-nguyen-chuyen-vien-cvc-cvcc-quan-he-khach-hang-ca-nhan.35C63E9F.html","Xem chi tiết")</f>
        <v/>
      </c>
    </row>
    <row r="19720">
      <c r="B19720" s="9" t="n">
        <v>19718</v>
      </c>
      <c r="C19720" s="10" t="inlineStr">
        <is>
          <t>[Hà Nội] CVCC Hành chính quản trị (phụ trách công tác Đảng, Đoàn)</t>
        </is>
      </c>
      <c r="D19720" s="10" t="inlineStr">
        <is>
          <t>Ngân hàng TMCP Lộc Phát Việt Nam (LPBank)</t>
        </is>
      </c>
      <c r="E19720" s="10" t="inlineStr">
        <is>
          <t>Lương:Cạnh tranh</t>
        </is>
      </c>
      <c r="F19720" s="10" t="inlineStr">
        <is>
          <t>Hà Nội</t>
        </is>
      </c>
      <c r="G19720" s="10" t="inlineStr">
        <is>
          <t>26-03-2026</t>
        </is>
      </c>
      <c r="H19720" s="10" t="inlineStr">
        <is>
          <t>26/03/2026</t>
        </is>
      </c>
      <c r="I19720" s="10" t="inlineStr">
        <is>
          <t>17/03/2026</t>
        </is>
      </c>
      <c r="J19720" s="10" t="inlineStr">
        <is>
          <t>CNTT - Phần mềm, Hành chính / Thư ký, Luật / Pháp lý</t>
        </is>
      </c>
      <c r="K19720" s="10" t="inlineStr">
        <is>
          <t>Trên 3 Năm</t>
        </is>
      </c>
      <c r="L19720" s="11">
        <f>HYPERLINK("https://careerviet.vn/vi/tim-viec-lam/ha-noi-cvcc-hanh-chinh-quan-tri-phu-trach-cong-tac-dang-doan.35C63F48.html","Xem chi tiết")</f>
        <v/>
      </c>
      <c r="M19720" s="10" t="n"/>
    </row>
    <row r="19721">
      <c r="B19721" s="7" t="n">
        <v>19719</v>
      </c>
      <c r="C19721" t="inlineStr">
        <is>
          <t>[Thái Nguyên] Chuyên viên/CVC/CVCC Quan hệ Khách hàng Doanh nghiệp</t>
        </is>
      </c>
      <c r="D19721" t="inlineStr">
        <is>
          <t>Ngân hàng TMCP Lộc Phát Việt Nam (LPBank)</t>
        </is>
      </c>
      <c r="E19721" t="inlineStr">
        <is>
          <t>Lương:Cạnh tranh</t>
        </is>
      </c>
      <c r="F19721" t="inlineStr">
        <is>
          <t>Thái Nguyên</t>
        </is>
      </c>
      <c r="G19721" t="inlineStr">
        <is>
          <t>26-03-2026</t>
        </is>
      </c>
      <c r="H19721" t="inlineStr">
        <is>
          <t>26/03/2026</t>
        </is>
      </c>
      <c r="I19721" t="inlineStr">
        <is>
          <t>17/03/2026</t>
        </is>
      </c>
      <c r="J19721" t="inlineStr">
        <is>
          <t>Bán hàng / Kinh doanh, Bất động sản, Bảo hiểm</t>
        </is>
      </c>
      <c r="K19721" t="inlineStr">
        <is>
          <t>Trên 1 Năm</t>
        </is>
      </c>
      <c r="L19721" s="8">
        <f>HYPERLINK("https://careerviet.vn/vi/tim-viec-lam/thai-nguyen-chuyen-vien-cvc-cvcc-quan-he-khach-hang-doanh-nghiep.35C63E9B.html","Xem chi tiết")</f>
        <v/>
      </c>
    </row>
    <row r="19722">
      <c r="B19722" s="9" t="n">
        <v>19720</v>
      </c>
      <c r="C19722" s="10" t="inlineStr">
        <is>
          <t>Finance Business Partner</t>
        </is>
      </c>
      <c r="D19722" s="10" t="inlineStr">
        <is>
          <t>Wall Street English</t>
        </is>
      </c>
      <c r="E19722" s="10" t="inlineStr">
        <is>
          <t>Lương:Cạnh tranh</t>
        </is>
      </c>
      <c r="F19722" s="10" t="inlineStr">
        <is>
          <t>Hồ Chí Minh</t>
        </is>
      </c>
      <c r="G19722" s="10" t="inlineStr">
        <is>
          <t>26-03-2026</t>
        </is>
      </c>
      <c r="H19722" s="10" t="inlineStr">
        <is>
          <t>26/03/2026</t>
        </is>
      </c>
      <c r="I19722" s="10" t="inlineStr">
        <is>
          <t>17/03/2026</t>
        </is>
      </c>
      <c r="J19722" s="10" t="inlineStr">
        <is>
          <t>Giáo dục / Đào tạo, Kế toán / Kiểm toán, Tài chính / Đầu tư</t>
        </is>
      </c>
      <c r="K19722" s="10" t="inlineStr">
        <is>
          <t>4 - 6 Năm</t>
        </is>
      </c>
      <c r="L19722" s="11">
        <f>HYPERLINK("https://careerviet.vn/vi/tim-viec-lam/finance-business-partner.35C63FBB.html","Xem chi tiết")</f>
        <v/>
      </c>
      <c r="M19722" s="10" t="n"/>
    </row>
    <row r="19723">
      <c r="B19723" s="7" t="n">
        <v>19721</v>
      </c>
      <c r="C19723" t="inlineStr">
        <is>
          <t>English Teacher For Kids</t>
        </is>
      </c>
      <c r="D19723" t="inlineStr">
        <is>
          <t>CareerViet's client</t>
        </is>
      </c>
      <c r="E19723" t="inlineStr">
        <is>
          <t>Lương:8 Tr - 13 Tr VND</t>
        </is>
      </c>
      <c r="F19723" t="inlineStr">
        <is>
          <t>Hồ Chí Minh</t>
        </is>
      </c>
      <c r="G19723" t="inlineStr">
        <is>
          <t>26-03-2026</t>
        </is>
      </c>
      <c r="H19723" t="inlineStr">
        <is>
          <t>26/03/2026</t>
        </is>
      </c>
      <c r="I19723" t="inlineStr">
        <is>
          <t>17/03/2026</t>
        </is>
      </c>
      <c r="J19723" t="inlineStr">
        <is>
          <t>Giáo dục / Đào tạo, Biên phiên dịch, Ngành khác</t>
        </is>
      </c>
      <c r="K19723" t="inlineStr">
        <is>
          <t>1 - 2 Năm</t>
        </is>
      </c>
      <c r="L19723" s="8">
        <f>HYPERLINK("https://careerviet.vn/vi/tim-viec-lam/english-teacher-for-kids.35C63FB9.html","Xem chi tiết")</f>
        <v/>
      </c>
    </row>
    <row r="19724">
      <c r="B19724" s="9" t="n">
        <v>19722</v>
      </c>
      <c r="C19724" s="10" t="inlineStr">
        <is>
          <t>Kiến Trúc Sư_Đi làm ngay hoặc sau tết</t>
        </is>
      </c>
      <c r="D19724" s="10" t="inlineStr">
        <is>
          <t>CÔNG TY CỔ PHẨN ỨNG DỤNG VÀ CHUYỂN GIAO CÔNG NGHỆ XÂY DỰNG (CJSC)</t>
        </is>
      </c>
      <c r="E19724" s="10" t="inlineStr">
        <is>
          <t>Lương:16 Tr - 22 Tr VND</t>
        </is>
      </c>
      <c r="F19724" s="10" t="inlineStr">
        <is>
          <t>Hà Nội</t>
        </is>
      </c>
      <c r="G19724" s="10" t="inlineStr">
        <is>
          <t>26-03-2026</t>
        </is>
      </c>
      <c r="H19724" s="10" t="inlineStr">
        <is>
          <t>26/03/2026</t>
        </is>
      </c>
      <c r="I19724" s="10" t="inlineStr">
        <is>
          <t>17/03/2026</t>
        </is>
      </c>
      <c r="J19724" s="10" t="inlineStr">
        <is>
          <t>Kiến trúc, Xây dựng</t>
        </is>
      </c>
      <c r="K19724" s="10" t="inlineStr">
        <is>
          <t>Trên 3 Năm</t>
        </is>
      </c>
      <c r="L19724" s="11">
        <f>HYPERLINK("https://careerviet.vn/vi/tim-viec-lam/kien-truc-su_di-lam-ngay-hoac-sau-tet.35C63F33.html","Xem chi tiết")</f>
        <v/>
      </c>
      <c r="M19724" s="10" t="n"/>
    </row>
    <row r="19725">
      <c r="B19725" s="7" t="n">
        <v>19723</v>
      </c>
      <c r="C19725" t="inlineStr">
        <is>
          <t>Khu vực nội thành Hà Nội - CV/CVC/CVCC Quan hệ KHCN Priority</t>
        </is>
      </c>
      <c r="D19725" t="inlineStr">
        <is>
          <t>Ngân hàng TMCP Lộc Phát Việt Nam (LPBank)</t>
        </is>
      </c>
      <c r="E19725" t="inlineStr">
        <is>
          <t>Lương:Cạnh tranh</t>
        </is>
      </c>
      <c r="F19725" t="inlineStr">
        <is>
          <t>Hà Nội</t>
        </is>
      </c>
      <c r="G19725" t="inlineStr">
        <is>
          <t>26-03-2026</t>
        </is>
      </c>
      <c r="H19725" t="inlineStr">
        <is>
          <t>26/03/2026</t>
        </is>
      </c>
      <c r="I19725" t="inlineStr">
        <is>
          <t>17/03/2026</t>
        </is>
      </c>
      <c r="J19725" t="inlineStr">
        <is>
          <t>Bán hàng / Kinh doanh, Bất động sản, Bảo hiểm</t>
        </is>
      </c>
      <c r="K19725" t="inlineStr">
        <is>
          <t>Trên 1 Năm</t>
        </is>
      </c>
      <c r="L19725" s="8">
        <f>HYPERLINK("https://careerviet.vn/vi/tim-viec-lam/khu-vuc-noi-thanh-ha-noi-cv-cvc-cvcc-quan-he-khcn-priority.35C63E85.html","Xem chi tiết")</f>
        <v/>
      </c>
    </row>
    <row r="19726">
      <c r="B19726" s="9" t="n">
        <v>19724</v>
      </c>
      <c r="C19726" s="10" t="inlineStr">
        <is>
          <t>Nhân viên Kinh doanh - Khu vực Nghệ An</t>
        </is>
      </c>
      <c r="D19726" s="10" t="inlineStr">
        <is>
          <t>CÔNG TY TNHH BILLION VIETNAM HOLDING</t>
        </is>
      </c>
      <c r="E19726" s="10" t="inlineStr">
        <is>
          <t>Lương:7 Tr - 25 Tr VND</t>
        </is>
      </c>
      <c r="F19726" s="10" t="inlineStr">
        <is>
          <t>Nghệ An</t>
        </is>
      </c>
      <c r="G19726" s="10" t="inlineStr">
        <is>
          <t>26-03-2026</t>
        </is>
      </c>
      <c r="H19726" s="10" t="inlineStr">
        <is>
          <t>26/03/2026</t>
        </is>
      </c>
      <c r="I19726" s="10" t="inlineStr">
        <is>
          <t>17/03/2026</t>
        </is>
      </c>
      <c r="J19726" s="10" t="inlineStr">
        <is>
          <t>Bán lẻ / Bán sỉ, Bán hàng / Kinh doanh, Tiếp thị trực tuyến</t>
        </is>
      </c>
      <c r="K19726" s="10" t="inlineStr">
        <is>
          <t>1 - 3 Năm</t>
        </is>
      </c>
      <c r="L19726" s="11">
        <f>HYPERLINK("https://careerviet.vn/vi/tim-viec-lam/nhan-vien-kinh-doanh-khu-vuc-nghe-an.35C63E72.html","Xem chi tiết")</f>
        <v/>
      </c>
      <c r="M19726" s="10" t="n"/>
    </row>
    <row r="19727">
      <c r="B19727" s="7" t="n">
        <v>19725</v>
      </c>
      <c r="C19727" t="inlineStr">
        <is>
          <t>Industrial Engineering Leader</t>
        </is>
      </c>
      <c r="D19727" t="inlineStr">
        <is>
          <t>Công ty TNHH Spartronics Việt Nam</t>
        </is>
      </c>
      <c r="E19727" t="inlineStr">
        <is>
          <t>Lương:Cạnh tranh</t>
        </is>
      </c>
      <c r="F19727" t="inlineStr">
        <is>
          <t>Bình Dương</t>
        </is>
      </c>
      <c r="G19727" t="inlineStr">
        <is>
          <t>26-03-2026</t>
        </is>
      </c>
      <c r="H19727" t="inlineStr">
        <is>
          <t>26/03/2026</t>
        </is>
      </c>
      <c r="I19727" t="inlineStr">
        <is>
          <t>17/03/2026</t>
        </is>
      </c>
      <c r="J19727" t="inlineStr">
        <is>
          <t>Điện / Điện tử / Điện lạnh / Điện công nghiệp, Sản xuất / Vận hành sản xuất</t>
        </is>
      </c>
      <c r="K19727" t="inlineStr">
        <is>
          <t>5 - 10 Năm</t>
        </is>
      </c>
      <c r="L19727" s="8">
        <f>HYPERLINK("https://careerviet.vn/vi/tim-viec-lam/industrial-engineering-leader.35C63EB0.html","Xem chi tiết")</f>
        <v/>
      </c>
    </row>
    <row r="19728">
      <c r="B19728" s="9" t="n">
        <v>19726</v>
      </c>
      <c r="C19728" s="10" t="inlineStr">
        <is>
          <t>Quản lý vùng (ASM - Thị trường Bắc Ninh, Bắc Giang) - Cơ hội cho SS muốn lên ASM</t>
        </is>
      </c>
      <c r="D19728" s="10" t="inlineStr">
        <is>
          <t>Công ty Cổ phần thực phẩm và đồ uống Barett</t>
        </is>
      </c>
      <c r="E19728" s="10" t="inlineStr">
        <is>
          <t>Lương:26 Tr - 32 Tr VND</t>
        </is>
      </c>
      <c r="F19728" s="10" t="inlineStr">
        <is>
          <t>Bắc Ninh</t>
        </is>
      </c>
      <c r="G19728" s="10" t="inlineStr">
        <is>
          <t>26-03-2026</t>
        </is>
      </c>
      <c r="H19728" s="10" t="inlineStr">
        <is>
          <t>26/03/2026</t>
        </is>
      </c>
      <c r="I19728" s="10" t="inlineStr">
        <is>
          <t>17/03/2026</t>
        </is>
      </c>
      <c r="J19728" s="10" t="inlineStr">
        <is>
          <t>Tiếp thị / Marketing, Bán hàng / Kinh doanh, Tiếp thị trực tuyến</t>
        </is>
      </c>
      <c r="K19728" s="10" t="inlineStr">
        <is>
          <t>3 - 5 Năm</t>
        </is>
      </c>
      <c r="L19728" s="11">
        <f>HYPERLINK("https://careerviet.vn/vi/tim-viec-lam/quan-ly-vung-asm-thi-truong-bac-ninh-bac-giang-co-hoi-cho-ss-muon-len-asm.35C63EE9.html","Xem chi tiết")</f>
        <v/>
      </c>
      <c r="M19728" s="10" t="n"/>
    </row>
    <row r="19729">
      <c r="B19729" s="7" t="n">
        <v>19727</v>
      </c>
      <c r="C19729" t="inlineStr">
        <is>
          <t>CN Đông Anh - Chuyên viên/CVC/CVCC Quan hệ Khách hàng Cá nhân</t>
        </is>
      </c>
      <c r="D19729" t="inlineStr">
        <is>
          <t>Ngân hàng TMCP Lộc Phát Việt Nam (LPBank)</t>
        </is>
      </c>
      <c r="E19729" t="inlineStr">
        <is>
          <t>Lương:Cạnh tranh</t>
        </is>
      </c>
      <c r="F19729" t="inlineStr">
        <is>
          <t>Hà Nội</t>
        </is>
      </c>
      <c r="G19729" t="inlineStr">
        <is>
          <t>26-03-2026</t>
        </is>
      </c>
      <c r="H19729" t="inlineStr">
        <is>
          <t>26/03/2026</t>
        </is>
      </c>
      <c r="I19729" t="inlineStr">
        <is>
          <t>17/03/2026</t>
        </is>
      </c>
      <c r="J19729" t="inlineStr">
        <is>
          <t>Bán hàng / Kinh doanh, Kế toán / Kiểm toán, Ngân hàng</t>
        </is>
      </c>
      <c r="K19729" t="inlineStr">
        <is>
          <t>Trên 1 Năm</t>
        </is>
      </c>
      <c r="L19729" s="8">
        <f>HYPERLINK("https://careerviet.vn/vi/tim-viec-lam/cn-dong-anh-chuyen-vien-cvc-cvcc-quan-he-khach-hang-ca-nhan.35C63E86.html","Xem chi tiết")</f>
        <v/>
      </c>
    </row>
    <row r="19730">
      <c r="B19730" s="9" t="n">
        <v>19728</v>
      </c>
      <c r="C19730" s="10" t="inlineStr">
        <is>
          <t>Nhân viên theo dõi đơn hàng</t>
        </is>
      </c>
      <c r="D19730" s="10" t="inlineStr">
        <is>
          <t>S.F. EXPRESS LTD.</t>
        </is>
      </c>
      <c r="E19730" s="10" t="inlineStr">
        <is>
          <t>Lương:15 Tr - 20 Tr VND</t>
        </is>
      </c>
      <c r="F19730" s="10" t="inlineStr">
        <is>
          <t>Bắc Ninh</t>
        </is>
      </c>
      <c r="G19730" s="10" t="inlineStr">
        <is>
          <t>26-03-2026</t>
        </is>
      </c>
      <c r="H19730" s="10" t="inlineStr">
        <is>
          <t>26/03/2026</t>
        </is>
      </c>
      <c r="I19730" s="10" t="inlineStr">
        <is>
          <t>17/03/2026</t>
        </is>
      </c>
      <c r="J19730" s="10" t="inlineStr">
        <is>
          <t>Vận chuyển / Giao nhận / Kho vận, Xuất nhập khẩu</t>
        </is>
      </c>
      <c r="K19730" s="10" t="inlineStr">
        <is>
          <t>Chưa có kinh nghiệm</t>
        </is>
      </c>
      <c r="L19730" s="11">
        <f>HYPERLINK("https://careerviet.vn/vi/tim-viec-lam/nhan-vien-theo-doi-don-hang.35C63F44.html","Xem chi tiết")</f>
        <v/>
      </c>
      <c r="M19730" s="10" t="n"/>
    </row>
    <row r="19731">
      <c r="B19731" s="7" t="n">
        <v>19729</v>
      </c>
      <c r="C19731" t="inlineStr">
        <is>
          <t>CN Gia Lâm - Chuyên viên/CVC/CVCC Quan hệ Khách hàng Cá nhân</t>
        </is>
      </c>
      <c r="D19731" t="inlineStr">
        <is>
          <t>Ngân hàng TMCP Lộc Phát Việt Nam (LPBank)</t>
        </is>
      </c>
      <c r="E19731" t="inlineStr">
        <is>
          <t>Lương:Cạnh tranh</t>
        </is>
      </c>
      <c r="F19731" t="inlineStr">
        <is>
          <t>Hà Nội</t>
        </is>
      </c>
      <c r="G19731" t="inlineStr">
        <is>
          <t>26-03-2026</t>
        </is>
      </c>
      <c r="H19731" t="inlineStr">
        <is>
          <t>26/03/2026</t>
        </is>
      </c>
      <c r="I19731" t="inlineStr">
        <is>
          <t>17/03/2026</t>
        </is>
      </c>
      <c r="J19731" t="inlineStr">
        <is>
          <t>Bán hàng / Kinh doanh, Kế toán / Kiểm toán, Ngân hàng</t>
        </is>
      </c>
      <c r="K19731" t="inlineStr">
        <is>
          <t>Trên 1 Năm</t>
        </is>
      </c>
      <c r="L19731" s="8">
        <f>HYPERLINK("https://careerviet.vn/vi/tim-viec-lam/cn-gia-lam-chuyen-vien-cvc-cvcc-quan-he-khach-hang-ca-nhan.35C63E7E.html","Xem chi tiết")</f>
        <v/>
      </c>
    </row>
    <row r="19732">
      <c r="B19732" s="9" t="n">
        <v>19730</v>
      </c>
      <c r="C19732" s="10" t="inlineStr">
        <is>
          <t>Nhân Viên Kinh Doanh</t>
        </is>
      </c>
      <c r="D19732" s="10" t="inlineStr">
        <is>
          <t>CÔNG TY TNHH FOUR SEASONS VINA</t>
        </is>
      </c>
      <c r="E19732" s="10" t="inlineStr">
        <is>
          <t>Lương:Cạnh tranh</t>
        </is>
      </c>
      <c r="F19732" s="10" t="inlineStr">
        <is>
          <t>Hồ Chí Minh</t>
        </is>
      </c>
      <c r="G19732" s="10" t="inlineStr">
        <is>
          <t>26-03-2026</t>
        </is>
      </c>
      <c r="H19732" s="10" t="inlineStr">
        <is>
          <t>26/03/2026</t>
        </is>
      </c>
      <c r="I19732" s="10" t="inlineStr">
        <is>
          <t>17/03/2026</t>
        </is>
      </c>
      <c r="J19732" s="10" t="inlineStr">
        <is>
          <t>Tiếp thị / Marketing, Bán hàng / Kinh doanh, Tư vấn</t>
        </is>
      </c>
      <c r="K19732" s="10" t="inlineStr">
        <is>
          <t>N/A</t>
        </is>
      </c>
      <c r="L19732" s="11">
        <f>HYPERLINK("https://careerviet.vn/vi/tim-viec-lam/nhan-vien-kinh-doanh.35C63ECE.html","Xem chi tiết")</f>
        <v/>
      </c>
      <c r="M19732" s="10" t="n"/>
    </row>
    <row r="19733">
      <c r="B19733" s="7" t="n">
        <v>19731</v>
      </c>
      <c r="C19733" t="inlineStr">
        <is>
          <t>KỸ SƯ GIẢI PHÁP CÔNG NGHỆ (Microsoft Azure)</t>
        </is>
      </c>
      <c r="D19733" t="inlineStr">
        <is>
          <t>Tổng công ty Xây dựng số 1 – CTCP</t>
        </is>
      </c>
      <c r="E19733" t="inlineStr">
        <is>
          <t>Lương:Cạnh tranh</t>
        </is>
      </c>
      <c r="F19733" t="inlineStr">
        <is>
          <t>Hồ Chí Minh</t>
        </is>
      </c>
      <c r="G19733" t="inlineStr">
        <is>
          <t>26-03-2026</t>
        </is>
      </c>
      <c r="H19733" t="inlineStr">
        <is>
          <t>26/03/2026</t>
        </is>
      </c>
      <c r="I19733" t="inlineStr">
        <is>
          <t>17/03/2026</t>
        </is>
      </c>
      <c r="J19733" t="inlineStr">
        <is>
          <t>CNTT - Phần cứng / Mạng</t>
        </is>
      </c>
      <c r="K19733" t="inlineStr">
        <is>
          <t>3 - 5 Năm</t>
        </is>
      </c>
      <c r="L19733" s="8">
        <f>HYPERLINK("https://careerviet.vn/vi/tim-viec-lam/ky-su-giai-phap-cong-nghe-microsoft-azure.35C63F54.html","Xem chi tiết")</f>
        <v/>
      </c>
    </row>
    <row r="19734">
      <c r="B19734" s="9" t="n">
        <v>19732</v>
      </c>
      <c r="C19734" s="10" t="inlineStr">
        <is>
          <t>Quản lý vùng (ASM) - Khu vực Ninh Bình, Nam Định, Thái Bình</t>
        </is>
      </c>
      <c r="D19734" s="10" t="inlineStr">
        <is>
          <t>Công ty Cổ phần thực phẩm và đồ uống Barett</t>
        </is>
      </c>
      <c r="E19734" s="10" t="inlineStr">
        <is>
          <t>Lương:26 Tr - 32 Tr VND</t>
        </is>
      </c>
      <c r="F19734" s="10" t="inlineStr">
        <is>
          <t>Ninh Bình</t>
        </is>
      </c>
      <c r="G19734" s="10" t="inlineStr">
        <is>
          <t>26-03-2026</t>
        </is>
      </c>
      <c r="H19734" s="10" t="inlineStr">
        <is>
          <t>26/03/2026</t>
        </is>
      </c>
      <c r="I19734" s="10" t="inlineStr">
        <is>
          <t>17/03/2026</t>
        </is>
      </c>
      <c r="J19734" s="10" t="inlineStr">
        <is>
          <t>Bán hàng / Kinh doanh, Tiếp thị trực tuyến, Quản lý điều hành</t>
        </is>
      </c>
      <c r="K19734" s="10" t="inlineStr">
        <is>
          <t>3 - 5 Năm</t>
        </is>
      </c>
      <c r="L19734" s="11">
        <f>HYPERLINK("https://careerviet.vn/vi/tim-viec-lam/quan-ly-vung-asm-khu-vuc-ninh-binh-nam-dinh-thai-binh.35C63EE0.html","Xem chi tiết")</f>
        <v/>
      </c>
      <c r="M19734" s="10" t="n"/>
    </row>
    <row r="19735">
      <c r="B19735" s="7" t="n">
        <v>19733</v>
      </c>
      <c r="C19735" t="inlineStr">
        <is>
          <t>Giám Sát Vận Hành</t>
        </is>
      </c>
      <c r="D19735" t="inlineStr">
        <is>
          <t>CÔNG TY CỔ PHẦN DI CHUYỂN VÀ THÔNG MINH GSM</t>
        </is>
      </c>
      <c r="E19735" t="inlineStr">
        <is>
          <t>Lương:15 Tr - 23 Tr VND</t>
        </is>
      </c>
      <c r="F19735" t="inlineStr">
        <is>
          <t>Bình Phước</t>
        </is>
      </c>
      <c r="G19735" t="inlineStr">
        <is>
          <t>26-03-2026</t>
        </is>
      </c>
      <c r="H19735" t="inlineStr">
        <is>
          <t>26/03/2026</t>
        </is>
      </c>
      <c r="I19735" t="inlineStr">
        <is>
          <t>17/03/2026</t>
        </is>
      </c>
      <c r="J19735" t="inlineStr">
        <is>
          <t>Vận chuyển / Giao nhận / Kho vận, Quản lý điều hành, Cơ khí / Ô tô / Tự động hóa</t>
        </is>
      </c>
      <c r="K19735" t="inlineStr">
        <is>
          <t>3 - 10 Năm</t>
        </is>
      </c>
      <c r="L19735" s="8">
        <f>HYPERLINK("https://careerviet.vn/vi/tim-viec-lam/giam-sat-van-hanh.35C63F9A.html","Xem chi tiết")</f>
        <v/>
      </c>
    </row>
    <row r="19736">
      <c r="B19736" s="9" t="n">
        <v>19734</v>
      </c>
      <c r="C19736" s="10" t="inlineStr">
        <is>
          <t>Sales Tour Inbound Tiếng Anh</t>
        </is>
      </c>
      <c r="D19736" s="10" t="inlineStr">
        <is>
          <t>Vietnam Tourist</t>
        </is>
      </c>
      <c r="E19736" s="10" t="inlineStr">
        <is>
          <t>Lương:10 Tr - 20 Tr VND</t>
        </is>
      </c>
      <c r="F19736" s="10" t="inlineStr">
        <is>
          <t>Hà Nội</t>
        </is>
      </c>
      <c r="G19736" s="10" t="inlineStr">
        <is>
          <t>26-03-2026</t>
        </is>
      </c>
      <c r="H19736" s="10" t="inlineStr">
        <is>
          <t>26/03/2026</t>
        </is>
      </c>
      <c r="I19736" s="10" t="inlineStr">
        <is>
          <t>17/03/2026</t>
        </is>
      </c>
      <c r="J19736" s="10" t="inlineStr">
        <is>
          <t>Du lịch</t>
        </is>
      </c>
      <c r="K19736" s="10" t="inlineStr">
        <is>
          <t>Trên 1 Năm</t>
        </is>
      </c>
      <c r="L19736" s="11">
        <f>HYPERLINK("https://careerviet.vn/vi/tim-viec-lam/sales-tour-inbound-tieng-anh.35C63ED5.html","Xem chi tiết")</f>
        <v/>
      </c>
      <c r="M19736" s="10" t="n"/>
    </row>
    <row r="19737">
      <c r="B19737" s="7" t="n">
        <v>19735</v>
      </c>
      <c r="C19737" t="inlineStr">
        <is>
          <t>Lễ tân kiêm sales admin</t>
        </is>
      </c>
      <c r="D19737" t="inlineStr">
        <is>
          <t>Bảo mật</t>
        </is>
      </c>
      <c r="E19737" t="inlineStr">
        <is>
          <t>Lương:8 Tr - 10 Tr VND</t>
        </is>
      </c>
      <c r="F19737" t="inlineStr">
        <is>
          <t>Long An</t>
        </is>
      </c>
      <c r="G19737" t="inlineStr">
        <is>
          <t>26-03-2026</t>
        </is>
      </c>
      <c r="H19737" t="inlineStr">
        <is>
          <t>26/03/2026</t>
        </is>
      </c>
      <c r="I19737" t="inlineStr">
        <is>
          <t>17/03/2026</t>
        </is>
      </c>
      <c r="J19737" t="inlineStr">
        <is>
          <t>Bất động sản</t>
        </is>
      </c>
      <c r="K19737" t="inlineStr">
        <is>
          <t>1 - 2 Năm</t>
        </is>
      </c>
      <c r="L19737" s="8">
        <f>HYPERLINK("https://careerviet.vn/vi/tim-viec-lam/le-tan-kiem-sales-admin.35C63641.html","Xem chi tiết")</f>
        <v/>
      </c>
    </row>
    <row r="19738">
      <c r="B19738" s="9" t="n">
        <v>19736</v>
      </c>
      <c r="C19738" s="10" t="inlineStr">
        <is>
          <t>Lập trình viên PHP (PM Quản lý nhân sự)</t>
        </is>
      </c>
      <c r="D19738" s="10" t="inlineStr">
        <is>
          <t>Tổng Công ty Cổ phần Bảo hiểm Ngân hàng Đầu tư và Phát triển Việt Nam (BIC)</t>
        </is>
      </c>
      <c r="E19738" s="10" t="inlineStr">
        <is>
          <t>Lương:20 Tr - 40 Tr VND</t>
        </is>
      </c>
      <c r="F19738" s="10" t="inlineStr">
        <is>
          <t>Hà Nội</t>
        </is>
      </c>
      <c r="G19738" s="10" t="inlineStr">
        <is>
          <t>26-03-2026</t>
        </is>
      </c>
      <c r="H19738" s="10" t="inlineStr">
        <is>
          <t>26/03/2026</t>
        </is>
      </c>
      <c r="I19738" s="10" t="inlineStr">
        <is>
          <t>17/03/2026</t>
        </is>
      </c>
      <c r="J19738" s="10" t="inlineStr">
        <is>
          <t>Bảo hiểm, CNTT - Phần mềm</t>
        </is>
      </c>
      <c r="K19738" s="10" t="inlineStr">
        <is>
          <t>1 - 3 Năm</t>
        </is>
      </c>
      <c r="L19738" s="11">
        <f>HYPERLINK("https://careerviet.vn/vi/tim-viec-lam/lap-trinh-vien-php-pm-quan-ly-nhan-su.35C6684E.html","Xem chi tiết")</f>
        <v/>
      </c>
      <c r="M19738" s="10" t="n"/>
    </row>
    <row r="19739">
      <c r="B19739" s="7" t="n">
        <v>19737</v>
      </c>
      <c r="C19739" t="inlineStr">
        <is>
          <t>CHUYÊN VIÊN AI</t>
        </is>
      </c>
      <c r="D19739" t="inlineStr">
        <is>
          <t>Tổng công ty Xây dựng số 1 – CTCP</t>
        </is>
      </c>
      <c r="E19739" t="inlineStr">
        <is>
          <t>Lương:Cạnh tranh</t>
        </is>
      </c>
      <c r="F19739" t="inlineStr">
        <is>
          <t>Hồ Chí Minh</t>
        </is>
      </c>
      <c r="G19739" t="inlineStr">
        <is>
          <t>26-03-2026</t>
        </is>
      </c>
      <c r="H19739" t="inlineStr">
        <is>
          <t>26/03/2026</t>
        </is>
      </c>
      <c r="I19739" t="inlineStr">
        <is>
          <t>17/03/2026</t>
        </is>
      </c>
      <c r="J19739" t="inlineStr">
        <is>
          <t>CNTT - Phần mềm</t>
        </is>
      </c>
      <c r="K19739" t="inlineStr">
        <is>
          <t>3 - 5 Năm</t>
        </is>
      </c>
      <c r="L19739" s="8">
        <f>HYPERLINK("https://careerviet.vn/vi/tim-viec-lam/chuyen-vien-ai.35C63F5C.html","Xem chi tiết")</f>
        <v/>
      </c>
    </row>
    <row r="19740">
      <c r="B19740" s="9" t="n">
        <v>19738</v>
      </c>
      <c r="C19740" s="10" t="inlineStr">
        <is>
          <t>Chuyên Viên Tìm Kiếm và Phát Triển Mặt Bằng (Sơn La)</t>
        </is>
      </c>
      <c r="D19740" s="10" t="inlineStr">
        <is>
          <t>Concung.com - Con Cung Joint Stock Company</t>
        </is>
      </c>
      <c r="E19740" s="10" t="inlineStr">
        <is>
          <t>Lương:25 Tr - 30 Tr VND</t>
        </is>
      </c>
      <c r="F19740" s="10" t="inlineStr">
        <is>
          <t>Sơn La</t>
        </is>
      </c>
      <c r="G19740" s="10" t="inlineStr">
        <is>
          <t>26-03-2026</t>
        </is>
      </c>
      <c r="H19740" s="10" t="inlineStr">
        <is>
          <t>26/03/2026</t>
        </is>
      </c>
      <c r="I19740" s="10" t="inlineStr">
        <is>
          <t>17/03/2026</t>
        </is>
      </c>
      <c r="J19740" s="10" t="inlineStr">
        <is>
          <t>Bán hàng / Kinh doanh, Bất động sản, Bán lẻ / Bán sỉ</t>
        </is>
      </c>
      <c r="K19740" s="10" t="inlineStr">
        <is>
          <t>N/A</t>
        </is>
      </c>
      <c r="L19740" s="11">
        <f>HYPERLINK("https://careerviet.vn/vi/tim-viec-lam/chuyen-vien-tim-kiem-va-phat-trien-mat-bang-son-la.35C63FC0.html","Xem chi tiết")</f>
        <v/>
      </c>
      <c r="M19740" s="10" t="n"/>
    </row>
    <row r="19741">
      <c r="B19741" s="7" t="n">
        <v>19739</v>
      </c>
      <c r="C19741" t="inlineStr">
        <is>
          <t>THỦ KHO</t>
        </is>
      </c>
      <c r="D19741" t="inlineStr">
        <is>
          <t>CÔNG TY CỔ PHẦN THƯƠNG MẠI SATORI</t>
        </is>
      </c>
      <c r="E19741" t="inlineStr">
        <is>
          <t>Lương:9 Tr - 11 Tr VND</t>
        </is>
      </c>
      <c r="F19741" t="inlineStr">
        <is>
          <t>Long An</t>
        </is>
      </c>
      <c r="G19741" t="inlineStr">
        <is>
          <t>26-03-2026</t>
        </is>
      </c>
      <c r="H19741" t="inlineStr">
        <is>
          <t>26/03/2026</t>
        </is>
      </c>
      <c r="I19741" t="inlineStr">
        <is>
          <t>17/03/2026</t>
        </is>
      </c>
      <c r="J19741" t="inlineStr">
        <is>
          <t>Bán hàng / Kinh doanh, Thực phẩm &amp; Đồ uống</t>
        </is>
      </c>
      <c r="K19741" t="inlineStr">
        <is>
          <t>2 - 3 Năm</t>
        </is>
      </c>
      <c r="L19741" s="8">
        <f>HYPERLINK("https://careerviet.vn/vi/tim-viec-lam/thu-kho.35C63EE2.html","Xem chi tiết")</f>
        <v/>
      </c>
    </row>
    <row r="19742">
      <c r="B19742" s="9" t="n">
        <v>19740</v>
      </c>
      <c r="C19742" s="10" t="inlineStr">
        <is>
          <t>Finance Specialist</t>
        </is>
      </c>
      <c r="D19742" s="10" t="inlineStr">
        <is>
          <t>Công Ty TNHH CJ Foods Việt Nam</t>
        </is>
      </c>
      <c r="E19742" s="10" t="inlineStr">
        <is>
          <t>Lương:Cạnh tranh</t>
        </is>
      </c>
      <c r="F19742" s="10" t="inlineStr">
        <is>
          <t>Hồ Chí Minh</t>
        </is>
      </c>
      <c r="G19742" s="10" t="inlineStr">
        <is>
          <t>24-02-2026</t>
        </is>
      </c>
      <c r="H19742" s="10" t="inlineStr">
        <is>
          <t>28/02/2026</t>
        </is>
      </c>
      <c r="I19742" s="10" t="inlineStr">
        <is>
          <t>17/03/2026</t>
        </is>
      </c>
      <c r="J19742" s="10" t="inlineStr">
        <is>
          <t>Thực phẩm &amp; Đồ uống, Hàng gia dụng / Chăm sóc cá nhân, Tài chính / Đầu tư</t>
        </is>
      </c>
      <c r="K19742" s="10" t="inlineStr">
        <is>
          <t>3 - 5 Năm</t>
        </is>
      </c>
      <c r="L19742" s="11">
        <f>HYPERLINK("https://careerviet.vn/vi/tim-viec-lam/finance-specialist.35C69450.html","Xem chi tiết")</f>
        <v/>
      </c>
      <c r="M19742" s="10" t="n"/>
    </row>
    <row r="19743">
      <c r="B19743" s="7" t="n">
        <v>19741</v>
      </c>
      <c r="C19743" t="inlineStr">
        <is>
          <t>Odoo Developer</t>
        </is>
      </c>
      <c r="D19743" t="inlineStr">
        <is>
          <t>CÔNG TY TNHH CÔNG NGHỆ B2B</t>
        </is>
      </c>
      <c r="E19743" t="inlineStr">
        <is>
          <t>Lương:Cạnh tranh</t>
        </is>
      </c>
      <c r="F19743" t="inlineStr">
        <is>
          <t>Hồ Chí Minh</t>
        </is>
      </c>
      <c r="G19743" t="inlineStr">
        <is>
          <t>30-05-2026</t>
        </is>
      </c>
      <c r="H19743" t="inlineStr">
        <is>
          <t>30/05/2026</t>
        </is>
      </c>
      <c r="I19743" t="inlineStr">
        <is>
          <t>17/03/2026</t>
        </is>
      </c>
      <c r="J19743" t="inlineStr">
        <is>
          <t>CNTT - Phần mềm</t>
        </is>
      </c>
      <c r="K19743" t="inlineStr">
        <is>
          <t>2 - 5 Năm</t>
        </is>
      </c>
      <c r="L19743" s="8">
        <f>HYPERLINK("https://careerviet.vn/vi/tim-viec-lam/odoo-developer.35C66851.html","Xem chi tiết")</f>
        <v/>
      </c>
    </row>
    <row r="19744">
      <c r="B19744" s="9" t="n">
        <v>19742</v>
      </c>
      <c r="C19744" s="10" t="inlineStr">
        <is>
          <t>NHÂN VIÊN THU MUA</t>
        </is>
      </c>
      <c r="D19744" s="10" t="inlineStr">
        <is>
          <t>CÔNG TY CỔ PHẦN THƯƠNG MẠI VÀ DỊCH VỤ HAKICO</t>
        </is>
      </c>
      <c r="E19744" s="10" t="inlineStr">
        <is>
          <t>Lương:Cạnh tranh</t>
        </is>
      </c>
      <c r="F19744" s="10" t="inlineStr">
        <is>
          <t>Hồ Chí Minh</t>
        </is>
      </c>
      <c r="G19744" s="10" t="inlineStr">
        <is>
          <t>6</t>
        </is>
      </c>
      <c r="H19744" s="10" t="inlineStr">
        <is>
          <t>23/03/2026</t>
        </is>
      </c>
      <c r="I19744" s="10" t="inlineStr">
        <is>
          <t>17/03/2026</t>
        </is>
      </c>
      <c r="J19744" s="10" t="inlineStr">
        <is>
          <t>Thu mua / Vật tư, Xuất nhập khẩu, Thực phẩm &amp; Đồ uống</t>
        </is>
      </c>
      <c r="K19744" s="10" t="inlineStr">
        <is>
          <t>Trên 1 Năm</t>
        </is>
      </c>
      <c r="L19744" s="11">
        <f>HYPERLINK("https://careerviet.vn/vi/tim-viec-lam/nhan-vien-thu-mua.35C693E3.html","Xem chi tiết")</f>
        <v/>
      </c>
      <c r="M19744" s="10" t="n"/>
    </row>
    <row r="19745">
      <c r="B19745" s="7" t="n">
        <v>19743</v>
      </c>
      <c r="C19745" t="inlineStr">
        <is>
          <t>Kỹ Thuật SMT</t>
        </is>
      </c>
      <c r="D19745" t="inlineStr">
        <is>
          <t>Công ty TNHH ELENTEC HCM VINA</t>
        </is>
      </c>
      <c r="E19745" t="inlineStr">
        <is>
          <t>Lương:Trên 12 Tr VND</t>
        </is>
      </c>
      <c r="F19745" t="inlineStr">
        <is>
          <t>Đồng Nai</t>
        </is>
      </c>
      <c r="G19745" t="inlineStr">
        <is>
          <t>26-03-2026</t>
        </is>
      </c>
      <c r="H19745" t="inlineStr">
        <is>
          <t>26/03/2026</t>
        </is>
      </c>
      <c r="I19745" t="inlineStr">
        <is>
          <t>17/03/2026</t>
        </is>
      </c>
      <c r="J19745" t="inlineStr">
        <is>
          <t>Cơ khí / Ô tô / Tự động hóa, Điện / Điện tử / Điện lạnh / Điện công nghiệp</t>
        </is>
      </c>
      <c r="K19745" t="inlineStr">
        <is>
          <t>1 - 5 Năm</t>
        </is>
      </c>
      <c r="L19745" s="8">
        <f>HYPERLINK("https://careerviet.vn/vi/tim-viec-lam/ky-thuat-smt.35C63EE8.html","Xem chi tiết")</f>
        <v/>
      </c>
    </row>
    <row r="19746">
      <c r="B19746" s="9" t="n">
        <v>19744</v>
      </c>
      <c r="C19746" s="10" t="inlineStr">
        <is>
          <t>HCM - Operation Manager (Retail)</t>
        </is>
      </c>
      <c r="D19746" s="10" t="inlineStr">
        <is>
          <t>CÔNG TY CỔ PHẦN MAISON RETAIL MANAGEMENT INTERNATIONAL</t>
        </is>
      </c>
      <c r="E19746" s="10" t="inlineStr">
        <is>
          <t>Lương:30 Tr - 40 Tr VND</t>
        </is>
      </c>
      <c r="F19746" s="10" t="inlineStr">
        <is>
          <t>Hồ Chí Minh</t>
        </is>
      </c>
      <c r="G19746" s="10" t="inlineStr">
        <is>
          <t>24-03-2026</t>
        </is>
      </c>
      <c r="H19746" s="10" t="inlineStr">
        <is>
          <t>24/03/2026</t>
        </is>
      </c>
      <c r="I19746" s="10" t="inlineStr">
        <is>
          <t>17/03/2026</t>
        </is>
      </c>
      <c r="J19746" s="10" t="inlineStr">
        <is>
          <t>Bán lẻ / Bán sỉ, Quản lý điều hành, Dệt may / Da giày / Thời trang</t>
        </is>
      </c>
      <c r="K19746" s="10" t="inlineStr">
        <is>
          <t>3 - 5 Năm</t>
        </is>
      </c>
      <c r="L19746" s="11">
        <f>HYPERLINK("https://careerviet.vn/vi/tim-viec-lam/hcm-operation-manager-retail.35C693F8.html","Xem chi tiết")</f>
        <v/>
      </c>
      <c r="M19746" s="10" t="n"/>
    </row>
    <row r="19747">
      <c r="B19747" s="7" t="n">
        <v>19745</v>
      </c>
      <c r="C19747" t="inlineStr">
        <is>
          <t>SALES ADMIN (BỆNH VIỆN MẮT QT DND SÀI GÒN) - đi làm ngay</t>
        </is>
      </c>
      <c r="D19747" t="inlineStr">
        <is>
          <t>CÔNG TY TNHH ĐẦU TƯ Y TẾ QUỐC TẾ DND – SÀI GÒN</t>
        </is>
      </c>
      <c r="E19747" t="inlineStr">
        <is>
          <t>Lương:10 Tr - 13 Tr VND</t>
        </is>
      </c>
      <c r="F19747" t="inlineStr">
        <is>
          <t>Hồ Chí Minh</t>
        </is>
      </c>
      <c r="G19747" t="inlineStr">
        <is>
          <t>31-03-2026</t>
        </is>
      </c>
      <c r="H19747" t="inlineStr">
        <is>
          <t>31/03/2026</t>
        </is>
      </c>
      <c r="I19747" t="inlineStr">
        <is>
          <t>17/03/2026</t>
        </is>
      </c>
      <c r="J19747" t="inlineStr">
        <is>
          <t>Bán hàng / Kinh doanh, Y tế / Chăm sóc sức khỏe / Thẩm mỹ / Làm đẹp, Dịch vụ khách hàng</t>
        </is>
      </c>
      <c r="K19747" t="inlineStr">
        <is>
          <t>Trên 2 Năm</t>
        </is>
      </c>
      <c r="L19747" s="8">
        <f>HYPERLINK("https://careerviet.vn/vi/tim-viec-lam/sales-admin-benh-vien-mat-qt-dnd-sai-gon-di-lam-ngay.35C693A8.html","Xem chi tiết")</f>
        <v/>
      </c>
    </row>
    <row r="19748">
      <c r="B19748" s="9" t="n">
        <v>19746</v>
      </c>
      <c r="C19748" s="10" t="inlineStr">
        <is>
          <t>KỸ SƯ QA/QC TẠI HỒ CHÍ MINH</t>
        </is>
      </c>
      <c r="D19748" s="10" t="inlineStr">
        <is>
          <t>CÔNG TY TNHH SX XD TM ĐẠI Á CHÂU</t>
        </is>
      </c>
      <c r="E19748" s="10" t="inlineStr">
        <is>
          <t>Lương:16 Tr - 22 Tr VND</t>
        </is>
      </c>
      <c r="F19748" s="10" t="inlineStr">
        <is>
          <t>Hồ Chí Minh</t>
        </is>
      </c>
      <c r="G19748" s="10" t="inlineStr">
        <is>
          <t>26-03-2026</t>
        </is>
      </c>
      <c r="H19748" s="10" t="inlineStr">
        <is>
          <t>26/03/2026</t>
        </is>
      </c>
      <c r="I19748" s="10" t="inlineStr">
        <is>
          <t>17/03/2026</t>
        </is>
      </c>
      <c r="J19748" s="10" t="inlineStr">
        <is>
          <t>Quản lý chất lượng (QA/QC), Kiến trúc, Xây dựng</t>
        </is>
      </c>
      <c r="K19748" s="10" t="inlineStr">
        <is>
          <t>Trên 3 Năm</t>
        </is>
      </c>
      <c r="L19748" s="11">
        <f>HYPERLINK("https://careerviet.vn/vi/tim-viec-lam/ky-su-qa-qc-tai-ho-chi-minh.35C63E9C.html","Xem chi tiết")</f>
        <v/>
      </c>
      <c r="M19748" s="10" t="n"/>
    </row>
    <row r="19749">
      <c r="B19749" s="7" t="n">
        <v>19747</v>
      </c>
      <c r="C19749" t="inlineStr">
        <is>
          <t>Nhân viên kế toán công nợ</t>
        </is>
      </c>
      <c r="D19749" t="inlineStr">
        <is>
          <t>BỆNH VIỆN ĐA KHOA PHƯƠNG ĐÔNG</t>
        </is>
      </c>
      <c r="E19749" t="inlineStr">
        <is>
          <t>Lương:9 Tr - 12 Tr VND</t>
        </is>
      </c>
      <c r="F19749" t="inlineStr">
        <is>
          <t>Hà Nội</t>
        </is>
      </c>
      <c r="G19749" t="inlineStr">
        <is>
          <t>26-03-2026</t>
        </is>
      </c>
      <c r="H19749" t="inlineStr">
        <is>
          <t>26/03/2026</t>
        </is>
      </c>
      <c r="I19749" t="inlineStr">
        <is>
          <t>17/03/2026</t>
        </is>
      </c>
      <c r="J19749" t="inlineStr">
        <is>
          <t>Kế toán / Kiểm toán</t>
        </is>
      </c>
      <c r="K19749" t="inlineStr">
        <is>
          <t>1 - 3 Năm</t>
        </is>
      </c>
      <c r="L19749" s="8">
        <f>HYPERLINK("https://careerviet.vn/vi/tim-viec-lam/nhan-vien-ke-toan-cong-no.35C63E6B.html","Xem chi tiết")</f>
        <v/>
      </c>
    </row>
    <row r="19750">
      <c r="B19750" s="9" t="n">
        <v>19748</v>
      </c>
      <c r="C19750" s="10" t="inlineStr">
        <is>
          <t>Trưởng nhóm Nhân sự (Thế mạnh Tuyển dụng)</t>
        </is>
      </c>
      <c r="D19750" s="10" t="inlineStr">
        <is>
          <t>Công ty Cổ phần CANIFA</t>
        </is>
      </c>
      <c r="E19750" s="10" t="inlineStr">
        <is>
          <t>Lương:25 Tr - 35 Tr VND</t>
        </is>
      </c>
      <c r="F19750" s="10" t="inlineStr">
        <is>
          <t>Hồ Chí Minh</t>
        </is>
      </c>
      <c r="G19750" s="10" t="inlineStr">
        <is>
          <t>31-03-2026</t>
        </is>
      </c>
      <c r="H19750" s="10" t="inlineStr">
        <is>
          <t>31/03/2026</t>
        </is>
      </c>
      <c r="I19750" s="10" t="inlineStr">
        <is>
          <t>17/03/2026</t>
        </is>
      </c>
      <c r="J19750" s="10" t="inlineStr">
        <is>
          <t>Bán lẻ / Bán sỉ, Nhân sự</t>
        </is>
      </c>
      <c r="K19750" s="10" t="inlineStr">
        <is>
          <t>5 - 10 Năm</t>
        </is>
      </c>
      <c r="L19750" s="11">
        <f>HYPERLINK("https://careerviet.vn/vi/tim-viec-lam/truong-nhom-nhan-su-the-manh-tuyen-dung.35C693D6.html","Xem chi tiết")</f>
        <v/>
      </c>
      <c r="M19750" s="10" t="n"/>
    </row>
    <row r="19751">
      <c r="B19751" s="7" t="n">
        <v>19749</v>
      </c>
      <c r="C19751" t="inlineStr">
        <is>
          <t>CN Sơn Tây - Chuyên viên/CVC/CVCC Quan hệ Khách hàng Cá nhân</t>
        </is>
      </c>
      <c r="D19751" t="inlineStr">
        <is>
          <t>Ngân hàng TMCP Lộc Phát Việt Nam (LPBank)</t>
        </is>
      </c>
      <c r="E19751" t="inlineStr">
        <is>
          <t>Lương:Cạnh tranh</t>
        </is>
      </c>
      <c r="F19751" t="inlineStr">
        <is>
          <t>Hà Nội</t>
        </is>
      </c>
      <c r="G19751" t="inlineStr">
        <is>
          <t>26-03-2026</t>
        </is>
      </c>
      <c r="H19751" t="inlineStr">
        <is>
          <t>26/03/2026</t>
        </is>
      </c>
      <c r="I19751" t="inlineStr">
        <is>
          <t>17/03/2026</t>
        </is>
      </c>
      <c r="J19751" t="inlineStr">
        <is>
          <t>Bán hàng / Kinh doanh, Kế toán / Kiểm toán, Ngân hàng</t>
        </is>
      </c>
      <c r="K19751" t="inlineStr">
        <is>
          <t>Trên 1 Năm</t>
        </is>
      </c>
      <c r="L19751" s="8">
        <f>HYPERLINK("https://careerviet.vn/vi/tim-viec-lam/cn-son-tay-chuyen-vien-cvc-cvcc-quan-he-khach-hang-ca-nhan.35C63E8B.html","Xem chi tiết")</f>
        <v/>
      </c>
    </row>
    <row r="19752">
      <c r="B19752" s="9" t="n">
        <v>19750</v>
      </c>
      <c r="C19752" s="10" t="inlineStr">
        <is>
          <t>CHUYÊN VIÊN HÀNH CHÍNH- NHÂN SỰ- CÓ KINH NGHIỆM</t>
        </is>
      </c>
      <c r="D19752" s="10" t="inlineStr">
        <is>
          <t>CÔNG TY TNHH AUSTAR PHARMA VIỆT NAM</t>
        </is>
      </c>
      <c r="E19752" s="10" t="inlineStr">
        <is>
          <t>Lương:Cạnh tranh</t>
        </is>
      </c>
      <c r="F19752" s="10" t="inlineStr">
        <is>
          <t>Hồ Chí Minh</t>
        </is>
      </c>
      <c r="G19752" s="10" t="inlineStr">
        <is>
          <t>30-06-2026</t>
        </is>
      </c>
      <c r="H19752" s="10" t="inlineStr">
        <is>
          <t>30/06/2026</t>
        </is>
      </c>
      <c r="I19752" s="10" t="inlineStr">
        <is>
          <t>17/03/2026</t>
        </is>
      </c>
      <c r="J19752" s="10" t="inlineStr">
        <is>
          <t>Giáo dục / Đào tạo, Hành chính / Thư ký, Nhân sự</t>
        </is>
      </c>
      <c r="K19752" s="10" t="inlineStr">
        <is>
          <t>N/A</t>
        </is>
      </c>
      <c r="L19752" s="11">
        <f>HYPERLINK("https://careerviet.vn/vi/tim-viec-lam/chuyen-vien-hanh-chinh-nhan-su-co-kinh-nghiem.35C692C9.html","Xem chi tiết")</f>
        <v/>
      </c>
      <c r="M19752" s="10" t="n"/>
    </row>
    <row r="19753">
      <c r="B19753" s="7" t="n">
        <v>19751</v>
      </c>
      <c r="C19753" t="inlineStr">
        <is>
          <t>Recruitment &amp; Employer Branding Specialist</t>
        </is>
      </c>
      <c r="D19753" t="inlineStr">
        <is>
          <t>Concung.com - Con Cung Joint Stock Company</t>
        </is>
      </c>
      <c r="E19753" t="inlineStr">
        <is>
          <t>Lương:Cạnh tranh</t>
        </is>
      </c>
      <c r="F19753" t="inlineStr">
        <is>
          <t>Hồ Chí Minh</t>
        </is>
      </c>
      <c r="G19753" t="inlineStr">
        <is>
          <t>31-03-2026</t>
        </is>
      </c>
      <c r="H19753" t="inlineStr">
        <is>
          <t>31/03/2026</t>
        </is>
      </c>
      <c r="I19753" t="inlineStr">
        <is>
          <t>17/03/2026</t>
        </is>
      </c>
      <c r="J19753" t="inlineStr">
        <is>
          <t>Bán lẻ / Bán sỉ, Hành chính / Thư ký, Nhân sự</t>
        </is>
      </c>
      <c r="K19753" t="inlineStr">
        <is>
          <t>1 - 2 Năm</t>
        </is>
      </c>
      <c r="L19753" s="8">
        <f>HYPERLINK("https://careerviet.vn/vi/tim-viec-lam/recruitment-employer-branding-specialist.35C6930C.html","Xem chi tiết")</f>
        <v/>
      </c>
    </row>
    <row r="19754">
      <c r="B19754" s="9" t="n">
        <v>19752</v>
      </c>
      <c r="C19754" s="10" t="inlineStr">
        <is>
          <t>Admin Specialist</t>
        </is>
      </c>
      <c r="D19754" s="10" t="inlineStr">
        <is>
          <t>Công ty CP Thành Thành Công - Biên Hòa</t>
        </is>
      </c>
      <c r="E19754" s="10" t="inlineStr">
        <is>
          <t>Lương:Cạnh tranh</t>
        </is>
      </c>
      <c r="F19754" s="10" t="inlineStr">
        <is>
          <t>Hồ Chí Minh</t>
        </is>
      </c>
      <c r="G19754" s="10" t="inlineStr">
        <is>
          <t>26-03-2026</t>
        </is>
      </c>
      <c r="H19754" s="10" t="inlineStr">
        <is>
          <t>26/03/2026</t>
        </is>
      </c>
      <c r="I19754" s="10" t="inlineStr">
        <is>
          <t>17/03/2026</t>
        </is>
      </c>
      <c r="J19754" s="10" t="inlineStr">
        <is>
          <t>Hành chính / Thư ký</t>
        </is>
      </c>
      <c r="K19754" s="10" t="inlineStr">
        <is>
          <t>2 - 3 Năm</t>
        </is>
      </c>
      <c r="L19754" s="11">
        <f>HYPERLINK("https://careerviet.vn/vi/tim-viec-lam/admin-specialist.35C691E1.html","Xem chi tiết")</f>
        <v/>
      </c>
      <c r="M19754" s="10" t="n"/>
    </row>
    <row r="19755">
      <c r="B19755" s="7" t="n">
        <v>19753</v>
      </c>
      <c r="C19755" t="inlineStr">
        <is>
          <t>Trưởng phòng IT</t>
        </is>
      </c>
      <c r="D19755" t="inlineStr">
        <is>
          <t>Công Ty Cổ Phần Đầu Tư Xây Dựng Bcons</t>
        </is>
      </c>
      <c r="E19755" t="inlineStr">
        <is>
          <t>Lương:Cạnh tranh</t>
        </is>
      </c>
      <c r="F19755" t="inlineStr">
        <is>
          <t>Hồ Chí Minh</t>
        </is>
      </c>
      <c r="G19755" t="inlineStr">
        <is>
          <t>26-03-2026</t>
        </is>
      </c>
      <c r="H19755" t="inlineStr">
        <is>
          <t>26/03/2026</t>
        </is>
      </c>
      <c r="I19755" t="inlineStr">
        <is>
          <t>17/03/2026</t>
        </is>
      </c>
      <c r="J19755" t="inlineStr">
        <is>
          <t>CNTT - Phần mềm</t>
        </is>
      </c>
      <c r="K19755" t="inlineStr">
        <is>
          <t>4 - 5 Năm</t>
        </is>
      </c>
      <c r="L19755" s="8">
        <f>HYPERLINK("https://careerviet.vn/vi/tim-viec-lam/truong-phong-it.35C691BF.html","Xem chi tiết")</f>
        <v/>
      </c>
    </row>
    <row r="19756">
      <c r="B19756" s="9" t="n">
        <v>19754</v>
      </c>
      <c r="C19756" s="10" t="inlineStr">
        <is>
          <t>Phó Giám Đốc Marketing</t>
        </is>
      </c>
      <c r="D19756" s="10" t="inlineStr">
        <is>
          <t>Công ty Cổ Phần Tập Đoàn Điện Quang</t>
        </is>
      </c>
      <c r="E19756" s="10" t="inlineStr">
        <is>
          <t>Lương:Cạnh tranh</t>
        </is>
      </c>
      <c r="F19756" s="10" t="inlineStr">
        <is>
          <t>Hồ Chí Minh</t>
        </is>
      </c>
      <c r="G19756" s="10" t="inlineStr">
        <is>
          <t>26-03-2026</t>
        </is>
      </c>
      <c r="H19756" s="10" t="inlineStr">
        <is>
          <t>26/03/2026</t>
        </is>
      </c>
      <c r="I19756" s="10" t="inlineStr">
        <is>
          <t>17/03/2026</t>
        </is>
      </c>
      <c r="J19756" s="10" t="inlineStr">
        <is>
          <t>Tiếp thị / Marketing</t>
        </is>
      </c>
      <c r="K19756" s="10" t="inlineStr">
        <is>
          <t>5 - 10 Năm</t>
        </is>
      </c>
      <c r="L19756" s="11">
        <f>HYPERLINK("https://careerviet.vn/vi/tim-viec-lam/pho-giam-doc-marketing.35C69281.html","Xem chi tiết")</f>
        <v/>
      </c>
      <c r="M19756" s="10" t="n"/>
    </row>
    <row r="19757">
      <c r="B19757" s="7" t="n">
        <v>19755</v>
      </c>
      <c r="C19757" t="inlineStr">
        <is>
          <t>NHÂN VIÊN ADMIN</t>
        </is>
      </c>
      <c r="D19757" t="inlineStr">
        <is>
          <t>CÔNG TY TNHH NEXVISION METROLOGY VIỆT NAM</t>
        </is>
      </c>
      <c r="E19757" t="inlineStr">
        <is>
          <t>Lương:Cạnh tranh</t>
        </is>
      </c>
      <c r="F19757" t="inlineStr">
        <is>
          <t>Hồ Chí Minh</t>
        </is>
      </c>
      <c r="G19757" t="inlineStr">
        <is>
          <t>26-03-2026</t>
        </is>
      </c>
      <c r="H19757" t="inlineStr">
        <is>
          <t>26/03/2026</t>
        </is>
      </c>
      <c r="I19757" t="inlineStr">
        <is>
          <t>17/03/2026</t>
        </is>
      </c>
      <c r="J19757" t="inlineStr">
        <is>
          <t>Hành chính / Thư ký, Nhân sự, Kế toán / Kiểm toán</t>
        </is>
      </c>
      <c r="K19757" t="inlineStr">
        <is>
          <t>Lên đến 1 Năm</t>
        </is>
      </c>
      <c r="L19757" s="8">
        <f>HYPERLINK("https://careerviet.vn/vi/tim-viec-lam/nhan-vien-admin.35C69246.html","Xem chi tiết")</f>
        <v/>
      </c>
    </row>
    <row r="19758">
      <c r="B19758" s="9" t="n">
        <v>19756</v>
      </c>
      <c r="C19758" s="10" t="inlineStr">
        <is>
          <t>QA ACTD Analyst - Nhân viên QA phụ trách hồ sơ đăng ký (Work Location: VSIP 2 - Binh Duong)</t>
        </is>
      </c>
      <c r="D19758" s="10" t="inlineStr">
        <is>
          <t>Công ty TNHH United International Pharma</t>
        </is>
      </c>
      <c r="E19758" s="10" t="inlineStr">
        <is>
          <t>Lương:Cạnh tranh</t>
        </is>
      </c>
      <c r="F19758" s="10" t="inlineStr">
        <is>
          <t>Bình Dương</t>
        </is>
      </c>
      <c r="G19758" s="10" t="inlineStr">
        <is>
          <t>6</t>
        </is>
      </c>
      <c r="H19758" s="10" t="inlineStr">
        <is>
          <t>23/03/2026</t>
        </is>
      </c>
      <c r="I19758" s="10" t="inlineStr">
        <is>
          <t>17/03/2026</t>
        </is>
      </c>
      <c r="J19758" s="10" t="inlineStr">
        <is>
          <t>Hóa học, Dược phẩm/ Hóa Mỹ Phẩm, Quản lý chất lượng (QA/QC)</t>
        </is>
      </c>
      <c r="K19758" s="10" t="inlineStr">
        <is>
          <t>N/A</t>
        </is>
      </c>
      <c r="L19758" s="11">
        <f>HYPERLINK("https://careerviet.vn/vi/tim-viec-lam/qa-actd-analyst-nhan-vien-qa-phu-trach-ho-so-dang-ky-work-location-vsip-2-binh-duong.35C691B4.html","Xem chi tiết")</f>
        <v/>
      </c>
      <c r="M19758" s="10" t="n"/>
    </row>
    <row r="19759">
      <c r="B19759" s="7" t="n">
        <v>19757</v>
      </c>
      <c r="C19759" t="inlineStr">
        <is>
          <t>Sales Admin</t>
        </is>
      </c>
      <c r="D19759" t="inlineStr">
        <is>
          <t>NETNAM CORP.</t>
        </is>
      </c>
      <c r="E19759" t="inlineStr">
        <is>
          <t>Lương:10 Tr - 15 Tr VND</t>
        </is>
      </c>
      <c r="F19759" t="inlineStr">
        <is>
          <t>Hồ Chí Minh</t>
        </is>
      </c>
      <c r="G19759" t="inlineStr">
        <is>
          <t>31-03-2026</t>
        </is>
      </c>
      <c r="H19759" t="inlineStr">
        <is>
          <t>31/03/2026</t>
        </is>
      </c>
      <c r="I19759" t="inlineStr">
        <is>
          <t>17/03/2026</t>
        </is>
      </c>
      <c r="J19759" t="inlineStr">
        <is>
          <t>Bán hàng / Kinh doanh</t>
        </is>
      </c>
      <c r="K19759" t="inlineStr">
        <is>
          <t>2 - 3 Năm</t>
        </is>
      </c>
      <c r="L19759" s="8">
        <f>HYPERLINK("https://careerviet.vn/vi/tim-viec-lam/sales-admin.35C6921E.html","Xem chi tiết")</f>
        <v/>
      </c>
    </row>
    <row r="19760">
      <c r="B19760" s="9" t="n">
        <v>19758</v>
      </c>
      <c r="C19760" s="10" t="inlineStr">
        <is>
          <t>Sales Executive Staff - HOCHIMINH Office (Chinese Speaking)</t>
        </is>
      </c>
      <c r="D19760" s="10" t="inlineStr">
        <is>
          <t>EVERGREEN SHIPPING AGENCY (VIETNAM) CO., LTD</t>
        </is>
      </c>
      <c r="E19760" s="10" t="inlineStr">
        <is>
          <t>Lương:Cạnh tranh</t>
        </is>
      </c>
      <c r="F19760" s="10" t="inlineStr">
        <is>
          <t>Hồ Chí Minh</t>
        </is>
      </c>
      <c r="G19760" s="10" t="inlineStr">
        <is>
          <t>25-03-2026</t>
        </is>
      </c>
      <c r="H19760" s="10" t="inlineStr">
        <is>
          <t>25/03/2026</t>
        </is>
      </c>
      <c r="I19760" s="10" t="inlineStr">
        <is>
          <t>17/03/2026</t>
        </is>
      </c>
      <c r="J19760" s="10" t="inlineStr">
        <is>
          <t>Vận chuyển / Giao nhận / Kho vận, Xuất nhập khẩu, Bán hàng / Kinh doanh</t>
        </is>
      </c>
      <c r="K19760" s="10" t="inlineStr">
        <is>
          <t>N/A</t>
        </is>
      </c>
      <c r="L19760" s="11">
        <f>HYPERLINK("https://careerviet.vn/vi/tim-viec-lam/sales-executive-staff-hochiminh-office-chinese-speaking.35C54672.html","Xem chi tiết")</f>
        <v/>
      </c>
      <c r="M19760" s="10" t="n"/>
    </row>
    <row r="19761">
      <c r="B19761" s="7" t="n">
        <v>19759</v>
      </c>
      <c r="C19761" t="inlineStr">
        <is>
          <t>Social Content Marketing</t>
        </is>
      </c>
      <c r="D19761" t="inlineStr">
        <is>
          <t>CÔNG TY CỔ PHẦN THE NEW DISTRICT</t>
        </is>
      </c>
      <c r="E19761" t="inlineStr">
        <is>
          <t>Lương:14 Tr - 17 Tr VND</t>
        </is>
      </c>
      <c r="F19761" t="inlineStr">
        <is>
          <t>Hồ Chí Minh</t>
        </is>
      </c>
      <c r="G19761" t="inlineStr">
        <is>
          <t>31-03-2026</t>
        </is>
      </c>
      <c r="H19761" t="inlineStr">
        <is>
          <t>31/03/2026</t>
        </is>
      </c>
      <c r="I19761" t="inlineStr">
        <is>
          <t>17/03/2026</t>
        </is>
      </c>
      <c r="J19761" t="inlineStr">
        <is>
          <t>Tiếp thị / Marketing, Quảng cáo / Đối ngoại / Truyền Thông, Truyền hình / Báo chí / Biên tập</t>
        </is>
      </c>
      <c r="K19761" t="inlineStr">
        <is>
          <t>3 - 5 Năm</t>
        </is>
      </c>
      <c r="L19761" s="8">
        <f>HYPERLINK("https://careerviet.vn/vi/tim-viec-lam/social-content-marketing.35C69296.html","Xem chi tiết")</f>
        <v/>
      </c>
    </row>
    <row r="19762">
      <c r="B19762" s="9" t="n">
        <v>19760</v>
      </c>
      <c r="C19762" s="10" t="inlineStr">
        <is>
          <t>Nhân sự Hành chính</t>
        </is>
      </c>
      <c r="D19762" s="10" t="inlineStr">
        <is>
          <t>CÔNG TY CỔ PHẦN DỊCH VỤ CIRCO</t>
        </is>
      </c>
      <c r="E19762" s="10" t="inlineStr">
        <is>
          <t>Lương:10 Tr - 13 Tr VND</t>
        </is>
      </c>
      <c r="F19762" s="10" t="inlineStr">
        <is>
          <t>Hồ Chí Minh</t>
        </is>
      </c>
      <c r="G19762" s="10" t="inlineStr">
        <is>
          <t>24-03-2026</t>
        </is>
      </c>
      <c r="H19762" s="10" t="inlineStr">
        <is>
          <t>24/03/2026</t>
        </is>
      </c>
      <c r="I19762" s="10" t="inlineStr">
        <is>
          <t>17/03/2026</t>
        </is>
      </c>
      <c r="J19762" s="10" t="inlineStr">
        <is>
          <t>Hành chính / Thư ký, Nhân sự, Kế toán / Kiểm toán</t>
        </is>
      </c>
      <c r="K19762" s="10" t="inlineStr">
        <is>
          <t>1 - 2 Năm</t>
        </is>
      </c>
      <c r="L19762" s="11">
        <f>HYPERLINK("https://careerviet.vn/vi/tim-viec-lam/nhan-su-hanh-chinh.35C692F6.html","Xem chi tiết")</f>
        <v/>
      </c>
      <c r="M19762" s="10" t="n"/>
    </row>
    <row r="19763">
      <c r="B19763" s="7" t="n">
        <v>19761</v>
      </c>
      <c r="C19763" t="inlineStr">
        <is>
          <t>Nhân viên lễ tân (tòa nhà văn phòng Coworking)</t>
        </is>
      </c>
      <c r="D19763" t="inlineStr">
        <is>
          <t>CÔNG TY CỔ PHẦN SEREPOK</t>
        </is>
      </c>
      <c r="E19763" t="inlineStr">
        <is>
          <t>Lương:Cạnh tranh</t>
        </is>
      </c>
      <c r="F19763" t="inlineStr">
        <is>
          <t>Hồ Chí Minh</t>
        </is>
      </c>
      <c r="G19763" t="inlineStr">
        <is>
          <t>30-04-2026</t>
        </is>
      </c>
      <c r="H19763" t="inlineStr">
        <is>
          <t>30/04/2026</t>
        </is>
      </c>
      <c r="I19763" t="inlineStr">
        <is>
          <t>17/03/2026</t>
        </is>
      </c>
      <c r="J19763" t="inlineStr">
        <is>
          <t>Dịch vụ khách hàng, Hành chính / Thư ký, Nhà hàng / Khách sạn</t>
        </is>
      </c>
      <c r="K19763" t="inlineStr">
        <is>
          <t>1 - 2 Năm</t>
        </is>
      </c>
      <c r="L19763" s="8">
        <f>HYPERLINK("https://careerviet.vn/vi/tim-viec-lam/nhan-vien-le-tan-toa-nha-van-phong-coworking.35C69073.html","Xem chi tiết")</f>
        <v/>
      </c>
    </row>
    <row r="19764">
      <c r="B19764" s="9" t="n">
        <v>19762</v>
      </c>
      <c r="C19764" s="10" t="inlineStr">
        <is>
          <t>Trade Marketing Senior Executive</t>
        </is>
      </c>
      <c r="D19764" s="10" t="inlineStr">
        <is>
          <t>Công ty TNHH GS25 Vietnam</t>
        </is>
      </c>
      <c r="E19764" s="10" t="inlineStr">
        <is>
          <t>Lương:Cạnh tranh</t>
        </is>
      </c>
      <c r="F19764" s="10" t="inlineStr">
        <is>
          <t>Hà Nội</t>
        </is>
      </c>
      <c r="G19764" s="10" t="inlineStr">
        <is>
          <t>31-03-2026</t>
        </is>
      </c>
      <c r="H19764" s="10" t="inlineStr">
        <is>
          <t>31/03/2026</t>
        </is>
      </c>
      <c r="I19764" s="10" t="inlineStr">
        <is>
          <t>17/03/2026</t>
        </is>
      </c>
      <c r="J19764" s="10" t="inlineStr">
        <is>
          <t>Bán lẻ / Bán sỉ, Tiếp thị / Marketing, Thực phẩm &amp; Đồ uống</t>
        </is>
      </c>
      <c r="K19764" s="10" t="inlineStr">
        <is>
          <t>3 - 5 Năm</t>
        </is>
      </c>
      <c r="L19764" s="11">
        <f>HYPERLINK("https://careerviet.vn/vi/tim-viec-lam/trade-marketing-senior-executive.35C69129.html","Xem chi tiết")</f>
        <v/>
      </c>
      <c r="M19764" s="10" t="n"/>
    </row>
    <row r="19765">
      <c r="B19765" s="7" t="n">
        <v>19763</v>
      </c>
      <c r="C19765" t="inlineStr">
        <is>
          <t>Purchasing Intern</t>
        </is>
      </c>
      <c r="D19765" t="inlineStr">
        <is>
          <t>Concung.com - Con Cung Joint Stock Company</t>
        </is>
      </c>
      <c r="E19765" t="inlineStr">
        <is>
          <t>Lương:3 Tr - 4 Tr VND</t>
        </is>
      </c>
      <c r="F19765" t="inlineStr">
        <is>
          <t>Hồ Chí Minh</t>
        </is>
      </c>
      <c r="G19765" t="inlineStr">
        <is>
          <t>30-03-2026</t>
        </is>
      </c>
      <c r="H19765" t="inlineStr">
        <is>
          <t>30/03/2026</t>
        </is>
      </c>
      <c r="I19765" t="inlineStr">
        <is>
          <t>17/03/2026</t>
        </is>
      </c>
      <c r="J19765" t="inlineStr">
        <is>
          <t>Vận chuyển / Giao nhận / Kho vận, Xuất nhập khẩu, Thu mua / Vật tư</t>
        </is>
      </c>
      <c r="K19765" t="inlineStr">
        <is>
          <t>N/A</t>
        </is>
      </c>
      <c r="L19765" s="8">
        <f>HYPERLINK("https://careerviet.vn/vi/tim-viec-lam/purchasing-intern.35C69060.html","Xem chi tiết")</f>
        <v/>
      </c>
    </row>
    <row r="19766">
      <c r="B19766" s="9" t="n">
        <v>19764</v>
      </c>
      <c r="C19766" s="10" t="inlineStr">
        <is>
          <t>Nhân viên Pháp chế</t>
        </is>
      </c>
      <c r="D19766" s="10" t="inlineStr">
        <is>
          <t>Công Ty Cổ Phần Gỗ An Cường</t>
        </is>
      </c>
      <c r="E19766" s="10" t="inlineStr">
        <is>
          <t>Lương:16 Tr - 20 Tr VND</t>
        </is>
      </c>
      <c r="F19766" s="10" t="inlineStr">
        <is>
          <t>Hồ Chí Minh</t>
        </is>
      </c>
      <c r="G19766" s="10" t="inlineStr">
        <is>
          <t>24-03-2026</t>
        </is>
      </c>
      <c r="H19766" s="10" t="inlineStr">
        <is>
          <t>24/03/2026</t>
        </is>
      </c>
      <c r="I19766" s="10" t="inlineStr">
        <is>
          <t>17/03/2026</t>
        </is>
      </c>
      <c r="J19766" s="10" t="inlineStr">
        <is>
          <t>Luật / Pháp lý, Hành chính / Thư ký, Nhân sự</t>
        </is>
      </c>
      <c r="K19766" s="10" t="inlineStr">
        <is>
          <t>4 - 5 Năm</t>
        </is>
      </c>
      <c r="L19766" s="11">
        <f>HYPERLINK("https://careerviet.vn/vi/tim-viec-lam/nhan-vien-phap-che.35C691A3.html","Xem chi tiết")</f>
        <v/>
      </c>
      <c r="M19766" s="10" t="n"/>
    </row>
    <row r="19767">
      <c r="B19767" s="7" t="n">
        <v>19765</v>
      </c>
      <c r="C19767" t="inlineStr">
        <is>
          <t>Admin Officer</t>
        </is>
      </c>
      <c r="D19767" t="inlineStr">
        <is>
          <t>Công Ty Avanti - Group</t>
        </is>
      </c>
      <c r="E19767" t="inlineStr">
        <is>
          <t>Lương:Cạnh tranh</t>
        </is>
      </c>
      <c r="F19767" t="inlineStr">
        <is>
          <t>Hồ Chí Minh</t>
        </is>
      </c>
      <c r="G19767" t="inlineStr">
        <is>
          <t>24-03-2026</t>
        </is>
      </c>
      <c r="H19767" t="inlineStr">
        <is>
          <t>24/03/2026</t>
        </is>
      </c>
      <c r="I19767" t="inlineStr">
        <is>
          <t>17/03/2026</t>
        </is>
      </c>
      <c r="J19767" t="inlineStr">
        <is>
          <t>Hành chính / Thư ký</t>
        </is>
      </c>
      <c r="K19767" t="inlineStr">
        <is>
          <t>3 - 5 Năm</t>
        </is>
      </c>
      <c r="L19767" s="8">
        <f>HYPERLINK("https://careerviet.vn/vi/tim-viec-lam/admin-officer.35C6902D.html","Xem chi tiết")</f>
        <v/>
      </c>
    </row>
    <row r="19768">
      <c r="B19768" s="9" t="n">
        <v>19766</v>
      </c>
      <c r="C19768" s="10" t="inlineStr">
        <is>
          <t>CHUYÊN VIÊN TRUYỀN THÔNG NỘI BỘ</t>
        </is>
      </c>
      <c r="D19768" s="10" t="inlineStr">
        <is>
          <t>CÔNG TY CỔ PHẦN ẨM THỰC SAO PHƯƠNG NAM GROUP</t>
        </is>
      </c>
      <c r="E19768" s="10" t="inlineStr">
        <is>
          <t>Lương:13 Tr - 15 Tr VND</t>
        </is>
      </c>
      <c r="F19768" s="10" t="inlineStr">
        <is>
          <t>Hồ Chí Minh</t>
        </is>
      </c>
      <c r="G19768" s="10" t="inlineStr">
        <is>
          <t>31-03-2026</t>
        </is>
      </c>
      <c r="H19768" s="10" t="inlineStr">
        <is>
          <t>31/03/2026</t>
        </is>
      </c>
      <c r="I19768" s="10" t="inlineStr">
        <is>
          <t>17/03/2026</t>
        </is>
      </c>
      <c r="J19768" s="10" t="inlineStr">
        <is>
          <t>Tiếp thị / Marketing, Nhân sự, Quảng cáo / Đối ngoại / Truyền Thông</t>
        </is>
      </c>
      <c r="K19768" s="10" t="inlineStr">
        <is>
          <t>3 - 5 Năm</t>
        </is>
      </c>
      <c r="L19768" s="11">
        <f>HYPERLINK("https://careerviet.vn/vi/tim-viec-lam/chuyen-vien-truyen-thong-noi-bo.35C68FC1.html","Xem chi tiết")</f>
        <v/>
      </c>
      <c r="M19768" s="10" t="n"/>
    </row>
    <row r="19769">
      <c r="B19769" s="7" t="n">
        <v>19767</v>
      </c>
      <c r="C19769" t="inlineStr">
        <is>
          <t>Chuyên viên QA (Ngành F&amp;B)</t>
        </is>
      </c>
      <c r="D19769" t="inlineStr">
        <is>
          <t>CÔNG TY CỔ PHẦN ẨM THỰC SAO PHƯƠNG NAM GROUP</t>
        </is>
      </c>
      <c r="E19769" t="inlineStr">
        <is>
          <t>Lương:15 Tr - 19 Tr VND</t>
        </is>
      </c>
      <c r="F19769" t="inlineStr">
        <is>
          <t>Hồ Chí Minh</t>
        </is>
      </c>
      <c r="G19769" t="inlineStr">
        <is>
          <t>24-02-2026</t>
        </is>
      </c>
      <c r="H19769" t="inlineStr">
        <is>
          <t>28/02/2026</t>
        </is>
      </c>
      <c r="I19769" t="inlineStr">
        <is>
          <t>17/03/2026</t>
        </is>
      </c>
      <c r="J19769" t="inlineStr">
        <is>
          <t>Nhà hàng / Khách sạn, Công nghệ sinh học, Quản lý chất lượng (QA/QC)</t>
        </is>
      </c>
      <c r="K19769" t="inlineStr">
        <is>
          <t>3 - 5 Năm</t>
        </is>
      </c>
      <c r="L19769" s="8">
        <f>HYPERLINK("https://careerviet.vn/vi/tim-viec-lam/chuyen-vien-qa-nganh-f-b.35C68FC3.html","Xem chi tiết")</f>
        <v/>
      </c>
    </row>
    <row r="19770">
      <c r="B19770" s="9" t="n">
        <v>19768</v>
      </c>
      <c r="C19770" s="10" t="inlineStr">
        <is>
          <t>Purchasing Specialist</t>
        </is>
      </c>
      <c r="D19770" s="10" t="inlineStr">
        <is>
          <t>Công ty TNHH United International Pharma</t>
        </is>
      </c>
      <c r="E19770" s="10" t="inlineStr">
        <is>
          <t>Lương:Cạnh tranh</t>
        </is>
      </c>
      <c r="F19770" s="10" t="inlineStr">
        <is>
          <t>Hồ Chí Minh</t>
        </is>
      </c>
      <c r="G19770" s="10" t="inlineStr">
        <is>
          <t>6</t>
        </is>
      </c>
      <c r="H19770" s="10" t="inlineStr">
        <is>
          <t>23/03/2026</t>
        </is>
      </c>
      <c r="I19770" s="10" t="inlineStr">
        <is>
          <t>17/03/2026</t>
        </is>
      </c>
      <c r="J19770" s="10" t="inlineStr">
        <is>
          <t>Dược phẩm/ Hóa Mỹ Phẩm, Y tế / Chăm sóc sức khỏe / Thẩm mỹ / Làm đẹp, Thu mua / Vật tư</t>
        </is>
      </c>
      <c r="K19770" s="10" t="inlineStr">
        <is>
          <t>3 - 5 Năm</t>
        </is>
      </c>
      <c r="L19770" s="11">
        <f>HYPERLINK("https://careerviet.vn/vi/tim-viec-lam/purchasing-specialist.35C691AE.html","Xem chi tiết")</f>
        <v/>
      </c>
      <c r="M19770" s="10" t="n"/>
    </row>
    <row r="19771">
      <c r="B19771" s="7" t="n">
        <v>19769</v>
      </c>
      <c r="C19771" t="inlineStr">
        <is>
          <t>Chuyên viên quản lý vật tư thiết bị (Material Controller)</t>
        </is>
      </c>
      <c r="D19771" t="inlineStr">
        <is>
          <t>PTSC Offshore Services (POS)</t>
        </is>
      </c>
      <c r="E19771" t="inlineStr">
        <is>
          <t>Lương:Cạnh tranh</t>
        </is>
      </c>
      <c r="F19771" t="inlineStr">
        <is>
          <t>Bà Rịa - Vũng Tàu</t>
        </is>
      </c>
      <c r="G19771" t="inlineStr">
        <is>
          <t>24-03-2026</t>
        </is>
      </c>
      <c r="H19771" t="inlineStr">
        <is>
          <t>24/03/2026</t>
        </is>
      </c>
      <c r="I19771" t="inlineStr">
        <is>
          <t>17/03/2026</t>
        </is>
      </c>
      <c r="J19771" t="inlineStr">
        <is>
          <t>Vận chuyển / Giao nhận / Kho vận, Dầu khí, Thu mua / Vật tư</t>
        </is>
      </c>
      <c r="K19771" t="inlineStr">
        <is>
          <t>Trên 2 Năm</t>
        </is>
      </c>
      <c r="L19771" s="8">
        <f>HYPERLINK("https://careerviet.vn/vi/tim-viec-lam/chuyen-vien-quan-ly-vat-tu-thiet-bi-material-controller.35C68FB3.html","Xem chi tiết")</f>
        <v/>
      </c>
    </row>
    <row r="19772">
      <c r="B19772" s="9" t="n">
        <v>19770</v>
      </c>
      <c r="C19772" s="10" t="inlineStr">
        <is>
          <t>[CITIGYM] Chuyên viên Hành chính</t>
        </is>
      </c>
      <c r="D19772" s="10" t="inlineStr">
        <is>
          <t>Nova Service Group - Công ty Cổ phần Tập đoàn Nova Services</t>
        </is>
      </c>
      <c r="E19772" s="10" t="inlineStr">
        <is>
          <t>Lương:12 Tr - 15 Tr VND</t>
        </is>
      </c>
      <c r="F19772" s="10" t="inlineStr">
        <is>
          <t>Hồ Chí Minh</t>
        </is>
      </c>
      <c r="G19772" s="10" t="inlineStr">
        <is>
          <t>31-03-2026</t>
        </is>
      </c>
      <c r="H19772" s="10" t="inlineStr">
        <is>
          <t>31/03/2026</t>
        </is>
      </c>
      <c r="I19772" s="10" t="inlineStr">
        <is>
          <t>17/03/2026</t>
        </is>
      </c>
      <c r="J19772" s="10" t="inlineStr">
        <is>
          <t>Nhân sự</t>
        </is>
      </c>
      <c r="K19772" s="10" t="inlineStr">
        <is>
          <t>1 - 2 Năm</t>
        </is>
      </c>
      <c r="L19772" s="11">
        <f>HYPERLINK("https://careerviet.vn/vi/tim-viec-lam/citigym-chuyen-vien-hanh-chinh.35C68FB2.html","Xem chi tiết")</f>
        <v/>
      </c>
      <c r="M19772" s="10" t="n"/>
    </row>
    <row r="19773">
      <c r="B19773" s="7" t="n">
        <v>19771</v>
      </c>
      <c r="C19773" t="inlineStr">
        <is>
          <t>Purchasing Executive</t>
        </is>
      </c>
      <c r="D19773" t="inlineStr">
        <is>
          <t>nanoHome</t>
        </is>
      </c>
      <c r="E19773" t="inlineStr">
        <is>
          <t>Lương:Cạnh tranh</t>
        </is>
      </c>
      <c r="F19773" t="inlineStr">
        <is>
          <t>Hồ Chí Minh</t>
        </is>
      </c>
      <c r="G19773" t="inlineStr">
        <is>
          <t>24-03-2026</t>
        </is>
      </c>
      <c r="H19773" t="inlineStr">
        <is>
          <t>24/03/2026</t>
        </is>
      </c>
      <c r="I19773" t="inlineStr">
        <is>
          <t>17/03/2026</t>
        </is>
      </c>
      <c r="J19773" t="inlineStr">
        <is>
          <t>Thu mua / Vật tư, Nội ngoại thất, Kiến trúc</t>
        </is>
      </c>
      <c r="K19773" t="inlineStr">
        <is>
          <t>1 - 8 Năm</t>
        </is>
      </c>
      <c r="L19773" s="8">
        <f>HYPERLINK("https://careerviet.vn/vi/tim-viec-lam/purchasing-executive.35C690B3.html","Xem chi tiết")</f>
        <v/>
      </c>
    </row>
    <row r="19774">
      <c r="B19774" s="9" t="n">
        <v>19772</v>
      </c>
      <c r="C19774" s="10" t="inlineStr">
        <is>
          <t>Trưởng phòng Công nghệ thông tin (Chủ đầu tư BĐS) Đi làm ngay</t>
        </is>
      </c>
      <c r="D19774" s="10" t="inlineStr">
        <is>
          <t>Công Ty CP Đầu Tư IMG</t>
        </is>
      </c>
      <c r="E19774" s="10" t="inlineStr">
        <is>
          <t>Lương:35 Tr - 40 Tr VND</t>
        </is>
      </c>
      <c r="F19774" s="10" t="inlineStr">
        <is>
          <t>Hồ Chí Minh</t>
        </is>
      </c>
      <c r="G19774" s="10" t="inlineStr">
        <is>
          <t>24-02-2026</t>
        </is>
      </c>
      <c r="H19774" s="10" t="inlineStr">
        <is>
          <t>15/03/2026</t>
        </is>
      </c>
      <c r="I19774" s="10" t="inlineStr">
        <is>
          <t>17/03/2026</t>
        </is>
      </c>
      <c r="J19774" s="10" t="inlineStr">
        <is>
          <t>Bất động sản, CNTT - Phần mềm, CNTT - Phần cứng / Mạng</t>
        </is>
      </c>
      <c r="K19774" s="10" t="inlineStr">
        <is>
          <t>10 - 15 Năm</t>
        </is>
      </c>
      <c r="L19774" s="11">
        <f>HYPERLINK("https://careerviet.vn/vi/tim-viec-lam/truong-phong-cong-nghe-thong-tin-chu-dau-tu-bds-di-lam-ngay.35C68FA5.html","Xem chi tiết")</f>
        <v/>
      </c>
      <c r="M19774" s="10" t="n"/>
    </row>
    <row r="19775">
      <c r="B19775" s="7" t="n">
        <v>19773</v>
      </c>
      <c r="C19775" t="inlineStr">
        <is>
          <t>TỔ TRƯỞNG BẢO TRÌ</t>
        </is>
      </c>
      <c r="D19775" t="inlineStr">
        <is>
          <t>CÔNG TY TNHH THƯƠNG MẠI QUỐC TẾ VALENCY VIỆT NAM</t>
        </is>
      </c>
      <c r="E19775" t="inlineStr">
        <is>
          <t>Lương:10 Tr - 25 Tr VND</t>
        </is>
      </c>
      <c r="F19775" t="inlineStr">
        <is>
          <t>Hồ Chí Minh</t>
        </is>
      </c>
      <c r="G19775" t="inlineStr">
        <is>
          <t>25-03-2026</t>
        </is>
      </c>
      <c r="H19775" t="inlineStr">
        <is>
          <t>25/03/2026</t>
        </is>
      </c>
      <c r="I19775" t="inlineStr">
        <is>
          <t>17/03/2026</t>
        </is>
      </c>
      <c r="J19775" t="inlineStr">
        <is>
          <t>Bảo trì / Sửa chữa</t>
        </is>
      </c>
      <c r="K19775" t="inlineStr">
        <is>
          <t>1 - 10 Năm</t>
        </is>
      </c>
      <c r="L19775" s="8">
        <f>HYPERLINK("https://careerviet.vn/vi/tim-viec-lam/to-truong-bao-tri.35C63C6C.html","Xem chi tiết")</f>
        <v/>
      </c>
    </row>
    <row r="19776">
      <c r="B19776" s="9" t="n">
        <v>19774</v>
      </c>
      <c r="C19776" s="10" t="inlineStr">
        <is>
          <t>Nhân viên HCNS tổng hợp</t>
        </is>
      </c>
      <c r="D19776" s="10" t="inlineStr">
        <is>
          <t>CÔNG TY TNHH BLUE ELATION</t>
        </is>
      </c>
      <c r="E19776" s="10" t="inlineStr">
        <is>
          <t>Lương:16 Tr - 20 Tr VND</t>
        </is>
      </c>
      <c r="F19776" s="10" t="inlineStr">
        <is>
          <t>Hồ Chí Minh</t>
        </is>
      </c>
      <c r="G19776" s="10" t="inlineStr">
        <is>
          <t>31-03-2026</t>
        </is>
      </c>
      <c r="H19776" s="10" t="inlineStr">
        <is>
          <t>31/03/2026</t>
        </is>
      </c>
      <c r="I19776" s="10" t="inlineStr">
        <is>
          <t>17/03/2026</t>
        </is>
      </c>
      <c r="J19776" s="10" t="inlineStr">
        <is>
          <t>Nhân sự</t>
        </is>
      </c>
      <c r="K19776" s="10" t="inlineStr">
        <is>
          <t>1 - 3 Năm</t>
        </is>
      </c>
      <c r="L19776" s="11">
        <f>HYPERLINK("https://careerviet.vn/vi/tim-viec-lam/nhan-vien-hcns-tong-hop.35C68FCD.html","Xem chi tiết")</f>
        <v/>
      </c>
      <c r="M19776" s="10" t="n"/>
    </row>
    <row r="19777">
      <c r="B19777" s="7" t="n">
        <v>19775</v>
      </c>
      <c r="C19777" t="inlineStr">
        <is>
          <t>Nhân viên Văn Thư</t>
        </is>
      </c>
      <c r="D19777" t="inlineStr">
        <is>
          <t>Công Ty Cổ Phần Tập Đoàn Sunshine</t>
        </is>
      </c>
      <c r="E19777" t="inlineStr">
        <is>
          <t>Lương:10 Tr - 15 Tr VND</t>
        </is>
      </c>
      <c r="F19777" t="inlineStr">
        <is>
          <t>Hồ Chí Minh</t>
        </is>
      </c>
      <c r="G19777" t="inlineStr">
        <is>
          <t>31-03-2026</t>
        </is>
      </c>
      <c r="H19777" t="inlineStr">
        <is>
          <t>31/03/2026</t>
        </is>
      </c>
      <c r="I19777" t="inlineStr">
        <is>
          <t>17/03/2026</t>
        </is>
      </c>
      <c r="J19777" t="inlineStr">
        <is>
          <t>Hành chính / Thư ký, Nhân sự</t>
        </is>
      </c>
      <c r="K19777" t="inlineStr">
        <is>
          <t>Trên 2 Năm</t>
        </is>
      </c>
      <c r="L19777" s="8">
        <f>HYPERLINK("https://careerviet.vn/vi/tim-viec-lam/nhan-vien-van-thu.35C68FE9.html","Xem chi tiết")</f>
        <v/>
      </c>
    </row>
    <row r="19778">
      <c r="B19778" s="9" t="n">
        <v>19776</v>
      </c>
      <c r="C19778" s="10" t="inlineStr">
        <is>
          <t>Procurement Manager (Quản Lý Thu Mua)</t>
        </is>
      </c>
      <c r="D19778" s="10" t="inlineStr">
        <is>
          <t>Blue Sky Corporation</t>
        </is>
      </c>
      <c r="E19778" s="10" t="inlineStr">
        <is>
          <t>Lương:Cạnh tranh</t>
        </is>
      </c>
      <c r="F19778" s="10" t="inlineStr">
        <is>
          <t>Hồ Chí Minh</t>
        </is>
      </c>
      <c r="G19778" s="10" t="inlineStr">
        <is>
          <t>6</t>
        </is>
      </c>
      <c r="H19778" s="10" t="inlineStr">
        <is>
          <t>23/03/2026</t>
        </is>
      </c>
      <c r="I19778" s="10" t="inlineStr">
        <is>
          <t>17/03/2026</t>
        </is>
      </c>
      <c r="J19778" s="10" t="inlineStr">
        <is>
          <t>Tổ chức sự kiện, Quảng cáo / Đối ngoại / Truyền Thông, Tiếp thị / Marketing</t>
        </is>
      </c>
      <c r="K19778" s="10" t="inlineStr">
        <is>
          <t>3 - 5 Năm</t>
        </is>
      </c>
      <c r="L19778" s="11">
        <f>HYPERLINK("https://careerviet.vn/vi/tim-viec-lam/procurement-manager-quan-ly-thu-mua.35C690FC.html","Xem chi tiết")</f>
        <v/>
      </c>
      <c r="M19778" s="10" t="n"/>
    </row>
    <row r="19779">
      <c r="B19779" s="7" t="n">
        <v>19777</v>
      </c>
      <c r="C19779" t="inlineStr">
        <is>
          <t>Nhân viên Thiết kế Đồ họa/ Graphic Designer</t>
        </is>
      </c>
      <c r="D19779" t="inlineStr">
        <is>
          <t>CÔNG TY CỔ PHẦN THƯƠNG MẠI &amp; DỊCH VỤ VIỆT CAN</t>
        </is>
      </c>
      <c r="E19779" t="inlineStr">
        <is>
          <t>Lương:10 Tr - 15 Tr VND</t>
        </is>
      </c>
      <c r="F19779" t="inlineStr">
        <is>
          <t>Hồ Chí Minh</t>
        </is>
      </c>
      <c r="G19779" t="inlineStr">
        <is>
          <t>31-03-2026</t>
        </is>
      </c>
      <c r="H19779" t="inlineStr">
        <is>
          <t>31/03/2026</t>
        </is>
      </c>
      <c r="I19779" t="inlineStr">
        <is>
          <t>17/03/2026</t>
        </is>
      </c>
      <c r="J19779" t="inlineStr">
        <is>
          <t>Y tế / Chăm sóc sức khỏe / Thẩm mỹ / Làm đẹp, Mỹ thuật / Nghệ thuật / Thiết kế</t>
        </is>
      </c>
      <c r="K19779" t="inlineStr">
        <is>
          <t>2 - 3 Năm</t>
        </is>
      </c>
      <c r="L19779" s="8">
        <f>HYPERLINK("https://careerviet.vn/vi/tim-viec-lam/nhan-vien-thiet-ke-do-hoa-graphic-designer.35C68FA9.html","Xem chi tiết")</f>
        <v/>
      </c>
    </row>
    <row r="19780">
      <c r="B19780" s="9" t="n">
        <v>19778</v>
      </c>
      <c r="C19780" s="10" t="inlineStr">
        <is>
          <t>Chuyên Viên Quản Trị Giao Dịch (Bất động sản)</t>
        </is>
      </c>
      <c r="D19780" s="10" t="inlineStr">
        <is>
          <t>BIM Group</t>
        </is>
      </c>
      <c r="E19780" s="10" t="inlineStr">
        <is>
          <t>Lương:Cạnh tranh</t>
        </is>
      </c>
      <c r="F19780" s="10" t="inlineStr">
        <is>
          <t>Hà Nội</t>
        </is>
      </c>
      <c r="G19780" s="10" t="inlineStr">
        <is>
          <t>25-03-2026</t>
        </is>
      </c>
      <c r="H19780" s="10" t="inlineStr">
        <is>
          <t>25/03/2026</t>
        </is>
      </c>
      <c r="I19780" s="10" t="inlineStr">
        <is>
          <t>17/03/2026</t>
        </is>
      </c>
      <c r="J19780" s="10" t="inlineStr">
        <is>
          <t>Bất động sản</t>
        </is>
      </c>
      <c r="K19780" s="10" t="inlineStr">
        <is>
          <t>Trên 3 Năm</t>
        </is>
      </c>
      <c r="L19780" s="11">
        <f>HYPERLINK("https://careerviet.vn/vi/tim-viec-lam/chuyen-vien-quan-tri-giao-dich-bat-dong-san.35C63E15.html","Xem chi tiết")</f>
        <v/>
      </c>
      <c r="M19780" s="10" t="n"/>
    </row>
    <row r="19781">
      <c r="B19781" s="7" t="n">
        <v>19779</v>
      </c>
      <c r="C19781" t="inlineStr">
        <is>
          <t>Giám sát HSE</t>
        </is>
      </c>
      <c r="D19781" t="inlineStr">
        <is>
          <t>CÔNG TY CỔ PHẦN KỸ THUẬT CÔNG NGHỆ SÀI GÒN - TECHGEL</t>
        </is>
      </c>
      <c r="E19781" t="inlineStr">
        <is>
          <t>Lương:Cạnh tranh</t>
        </is>
      </c>
      <c r="F19781" t="inlineStr">
        <is>
          <t>Quảng TrịBắc Ninh</t>
        </is>
      </c>
      <c r="G19781" t="inlineStr">
        <is>
          <t>25-03-2026</t>
        </is>
      </c>
      <c r="H19781" t="inlineStr">
        <is>
          <t>25/03/2026</t>
        </is>
      </c>
      <c r="I19781" t="inlineStr">
        <is>
          <t>17/03/2026</t>
        </is>
      </c>
      <c r="J19781" t="inlineStr">
        <is>
          <t>Điện / Điện tử / Điện lạnh / Điện công nghiệp, An toàn lao động, Xây dựng</t>
        </is>
      </c>
      <c r="K19781" t="inlineStr">
        <is>
          <t>Trên 2 Năm</t>
        </is>
      </c>
      <c r="L19781" s="8">
        <f>HYPERLINK("https://careerviet.vn/vi/tim-viec-lam/giam-sat-hse.35C63D28.html","Xem chi tiết")</f>
        <v/>
      </c>
    </row>
    <row r="19782">
      <c r="B19782" s="9" t="n">
        <v>19780</v>
      </c>
      <c r="C19782" s="10" t="inlineStr">
        <is>
          <t>Nhân Viên Tư Vấn Sản Phẩm Điện máy xanh tại Đồng Nai</t>
        </is>
      </c>
      <c r="D19782" s="10" t="inlineStr">
        <is>
          <t>Tập Đoàn Karofi Holding</t>
        </is>
      </c>
      <c r="E19782" s="10" t="inlineStr">
        <is>
          <t>Lương:8 Tr - 15 Tr VND</t>
        </is>
      </c>
      <c r="F19782" s="10" t="inlineStr">
        <is>
          <t>Đồng Nai</t>
        </is>
      </c>
      <c r="G19782" s="10" t="inlineStr">
        <is>
          <t>25-03-2026</t>
        </is>
      </c>
      <c r="H19782" s="10" t="inlineStr">
        <is>
          <t>25/03/2026</t>
        </is>
      </c>
      <c r="I19782" s="10" t="inlineStr">
        <is>
          <t>17/03/2026</t>
        </is>
      </c>
      <c r="J19782" s="10" t="inlineStr">
        <is>
          <t>Bán hàng / Kinh doanh, Dịch vụ khách hàng, Hàng gia dụng / Chăm sóc cá nhân</t>
        </is>
      </c>
      <c r="K19782" s="10" t="inlineStr">
        <is>
          <t>Lên đến 1 Năm</t>
        </is>
      </c>
      <c r="L19782" s="11">
        <f>HYPERLINK("https://careerviet.vn/vi/tim-viec-lam/nhan-vien-tu-van-san-pham-dien-may-xanh-tai-dong-nai.35C63DD8.html","Xem chi tiết")</f>
        <v/>
      </c>
      <c r="M19782" s="10" t="n"/>
    </row>
    <row r="19783">
      <c r="B19783" s="7" t="n">
        <v>19781</v>
      </c>
      <c r="C19783" t="inlineStr">
        <is>
          <t>Project Manager</t>
        </is>
      </c>
      <c r="D19783" t="inlineStr">
        <is>
          <t>Công ty Cổ phần Mỹ phẩm Quốc tế Thùy Dung</t>
        </is>
      </c>
      <c r="E19783" t="inlineStr">
        <is>
          <t>Lương:25 Tr - 32 Tr VND</t>
        </is>
      </c>
      <c r="F19783" t="inlineStr">
        <is>
          <t>Hà Nội</t>
        </is>
      </c>
      <c r="G19783" t="inlineStr">
        <is>
          <t>25-03-2026</t>
        </is>
      </c>
      <c r="H19783" t="inlineStr">
        <is>
          <t>25/03/2026</t>
        </is>
      </c>
      <c r="I19783" t="inlineStr">
        <is>
          <t>17/03/2026</t>
        </is>
      </c>
      <c r="J19783" t="inlineStr">
        <is>
          <t>Bán hàng / Kinh doanh, CNTT - Phần mềm, Quản lý điều hành</t>
        </is>
      </c>
      <c r="K19783" t="inlineStr">
        <is>
          <t>Trên 3 Năm</t>
        </is>
      </c>
      <c r="L19783" s="8">
        <f>HYPERLINK("https://careerviet.vn/vi/tim-viec-lam/project-manager.35C63C99.html","Xem chi tiết")</f>
        <v/>
      </c>
    </row>
    <row r="19784">
      <c r="B19784" s="9" t="n">
        <v>19782</v>
      </c>
      <c r="C19784" s="10" t="inlineStr">
        <is>
          <t>KEY ACCOUNT SPECIALIST</t>
        </is>
      </c>
      <c r="D19784" s="10" t="inlineStr">
        <is>
          <t>Công Ty TNHH BEST Logistics Technology (Việt Nam)</t>
        </is>
      </c>
      <c r="E19784" s="10" t="inlineStr">
        <is>
          <t>Lương:12 Tr - 18 Tr VND</t>
        </is>
      </c>
      <c r="F19784" s="10" t="inlineStr">
        <is>
          <t>Hồ Chí Minh</t>
        </is>
      </c>
      <c r="G19784" s="10" t="inlineStr">
        <is>
          <t>25-03-2026</t>
        </is>
      </c>
      <c r="H19784" s="10" t="inlineStr">
        <is>
          <t>25/03/2026</t>
        </is>
      </c>
      <c r="I19784" s="10" t="inlineStr">
        <is>
          <t>17/03/2026</t>
        </is>
      </c>
      <c r="J19784" s="10" t="inlineStr">
        <is>
          <t>Thương mại điện tử, Dịch vụ khách hàng, Vận chuyển / Giao nhận / Kho vận</t>
        </is>
      </c>
      <c r="K19784" s="10" t="inlineStr">
        <is>
          <t>1 - 5 Năm</t>
        </is>
      </c>
      <c r="L19784" s="11">
        <f>HYPERLINK("https://careerviet.vn/vi/tim-viec-lam/key-account-specialist.35C63D0A.html","Xem chi tiết")</f>
        <v/>
      </c>
      <c r="M19784" s="10" t="n"/>
    </row>
    <row r="19785">
      <c r="B19785" s="7" t="n">
        <v>19783</v>
      </c>
      <c r="C19785" t="inlineStr">
        <is>
          <t>Nhân viên vận hành máy</t>
        </is>
      </c>
      <c r="D19785" t="inlineStr">
        <is>
          <t>CÔNG TY TNHH TECLON</t>
        </is>
      </c>
      <c r="E19785" t="inlineStr">
        <is>
          <t>Lương:Cạnh tranh</t>
        </is>
      </c>
      <c r="F19785" t="inlineStr">
        <is>
          <t>Bình Dương</t>
        </is>
      </c>
      <c r="G19785" t="inlineStr">
        <is>
          <t>25-03-2026</t>
        </is>
      </c>
      <c r="H19785" t="inlineStr">
        <is>
          <t>25/03/2026</t>
        </is>
      </c>
      <c r="I19785" t="inlineStr">
        <is>
          <t>17/03/2026</t>
        </is>
      </c>
      <c r="J19785" t="inlineStr">
        <is>
          <t>Cơ khí / Ô tô / Tự động hóa, Điện / Điện tử / Điện lạnh / Điện công nghiệp, Sản xuất / Vận hành sản xuất</t>
        </is>
      </c>
      <c r="K19785" t="inlineStr">
        <is>
          <t>N/A</t>
        </is>
      </c>
      <c r="L19785" s="8">
        <f>HYPERLINK("https://careerviet.vn/vi/tim-viec-lam/nhan-vien-van-hanh-may.35C63D3B.html","Xem chi tiết")</f>
        <v/>
      </c>
    </row>
    <row r="19786">
      <c r="B19786" s="9" t="n">
        <v>19784</v>
      </c>
      <c r="C19786" s="10" t="inlineStr">
        <is>
          <t>KSV Tổng đài chăm sóc khách hàng 24/7</t>
        </is>
      </c>
      <c r="D19786" s="10" t="inlineStr">
        <is>
          <t>Ngân hàng TMCP Lộc Phát Việt Nam (LPBank)</t>
        </is>
      </c>
      <c r="E19786" s="10" t="inlineStr">
        <is>
          <t>Lương:Cạnh tranh</t>
        </is>
      </c>
      <c r="F19786" s="10" t="inlineStr">
        <is>
          <t>Hà Nội</t>
        </is>
      </c>
      <c r="G19786" s="10" t="inlineStr">
        <is>
          <t>25-03-2026</t>
        </is>
      </c>
      <c r="H19786" s="10" t="inlineStr">
        <is>
          <t>25/03/2026</t>
        </is>
      </c>
      <c r="I19786" s="10" t="inlineStr">
        <is>
          <t>17/03/2026</t>
        </is>
      </c>
      <c r="J19786" s="10" t="inlineStr">
        <is>
          <t>Ngân hàng</t>
        </is>
      </c>
      <c r="K19786" s="10" t="inlineStr">
        <is>
          <t>Trên 5 Năm</t>
        </is>
      </c>
      <c r="L19786" s="11">
        <f>HYPERLINK("https://careerviet.vn/vi/tim-viec-lam/ksv-tong-dai-cham-soc-khach-hang-24-7.35C63D7F.html","Xem chi tiết")</f>
        <v/>
      </c>
      <c r="M19786" s="10" t="n"/>
    </row>
    <row r="19787">
      <c r="B19787" s="7" t="n">
        <v>19785</v>
      </c>
      <c r="C19787" t="inlineStr">
        <is>
          <t>Nhân Viên Kinh Doanh</t>
        </is>
      </c>
      <c r="D19787" t="inlineStr">
        <is>
          <t>CÔNG TY CỔ PHẦN GIẢI PHÁP CÔNG NGHỆ HCTECH</t>
        </is>
      </c>
      <c r="E19787" t="inlineStr">
        <is>
          <t>Lương:Cạnh tranh</t>
        </is>
      </c>
      <c r="F19787" t="inlineStr">
        <is>
          <t>Bình DươngHà NộiĐà Nẵng</t>
        </is>
      </c>
      <c r="G19787" t="inlineStr">
        <is>
          <t>25-03-2026</t>
        </is>
      </c>
      <c r="H19787" t="inlineStr">
        <is>
          <t>25/03/2026</t>
        </is>
      </c>
      <c r="I19787" t="inlineStr">
        <is>
          <t>17/03/2026</t>
        </is>
      </c>
      <c r="J19787" t="inlineStr">
        <is>
          <t>Bán hàng / Kinh doanh, CNTT - Phần cứng / Mạng, Bán Hàng Kỹ Thuật</t>
        </is>
      </c>
      <c r="K19787" t="inlineStr">
        <is>
          <t>Trên 1 Năm</t>
        </is>
      </c>
      <c r="L19787" s="8">
        <f>HYPERLINK("https://careerviet.vn/vi/tim-viec-lam/nhan-vien-kinh-doanh.35C63D0F.html","Xem chi tiết")</f>
        <v/>
      </c>
    </row>
    <row r="19788">
      <c r="B19788" s="9" t="n">
        <v>19786</v>
      </c>
      <c r="C19788" s="10" t="inlineStr">
        <is>
          <t>Nhân viên môi trường</t>
        </is>
      </c>
      <c r="D19788" s="10" t="inlineStr">
        <is>
          <t>CÔNG TY TNHH VIN GEM</t>
        </is>
      </c>
      <c r="E19788" s="10" t="inlineStr">
        <is>
          <t>Lương:Cạnh tranh</t>
        </is>
      </c>
      <c r="F19788" s="10" t="inlineStr">
        <is>
          <t>Ninh Bình</t>
        </is>
      </c>
      <c r="G19788" s="10" t="inlineStr">
        <is>
          <t>11-04-2026</t>
        </is>
      </c>
      <c r="H19788" s="10" t="inlineStr">
        <is>
          <t>11/04/2026</t>
        </is>
      </c>
      <c r="I19788" s="10" t="inlineStr">
        <is>
          <t>17/03/2026</t>
        </is>
      </c>
      <c r="J19788" s="10" t="inlineStr">
        <is>
          <t>Hóa học, An toàn lao động, Môi trường</t>
        </is>
      </c>
      <c r="K19788" s="10" t="inlineStr">
        <is>
          <t>1 - 2 Năm</t>
        </is>
      </c>
      <c r="L19788" s="11">
        <f>HYPERLINK("https://careerviet.vn/vi/tim-viec-lam/nhan-vien-moi-truong.35C63C6A.html","Xem chi tiết")</f>
        <v/>
      </c>
      <c r="M19788" s="10" t="n"/>
    </row>
    <row r="19789">
      <c r="B19789" s="7" t="n">
        <v>19787</v>
      </c>
      <c r="C19789" t="inlineStr">
        <is>
          <t>[CITIGYM] Chuyên viên Cao cấp Tổ chức Đào tạo</t>
        </is>
      </c>
      <c r="D19789" t="inlineStr">
        <is>
          <t>Nova Service Group - Công ty Cổ phần Tập đoàn Nova Services</t>
        </is>
      </c>
      <c r="E19789" t="inlineStr">
        <is>
          <t>Lương:Cạnh tranh</t>
        </is>
      </c>
      <c r="F19789" t="inlineStr">
        <is>
          <t>Hồ Chí Minh</t>
        </is>
      </c>
      <c r="G19789" t="inlineStr">
        <is>
          <t>25-03-2026</t>
        </is>
      </c>
      <c r="H19789" t="inlineStr">
        <is>
          <t>25/03/2026</t>
        </is>
      </c>
      <c r="I19789" t="inlineStr">
        <is>
          <t>17/03/2026</t>
        </is>
      </c>
      <c r="J19789" t="inlineStr">
        <is>
          <t>Bán hàng / Kinh doanh, Nhân sự, Giáo dục / Đào tạo</t>
        </is>
      </c>
      <c r="K19789" t="inlineStr">
        <is>
          <t>2 - 3 Năm</t>
        </is>
      </c>
      <c r="L19789" s="8">
        <f>HYPERLINK("https://careerviet.vn/vi/tim-viec-lam/citigym-chuyen-vien-cao-cap-to-chuc-dao-tao.35C63D86.html","Xem chi tiết")</f>
        <v/>
      </c>
    </row>
    <row r="19790">
      <c r="B19790" s="9" t="n">
        <v>19788</v>
      </c>
      <c r="C19790" s="10" t="inlineStr">
        <is>
          <t>Kỹ sư giám sát xây dựng</t>
        </is>
      </c>
      <c r="D19790" s="10" t="inlineStr">
        <is>
          <t>Công ty TNHH tư vấn công trình xây dựng KCIS</t>
        </is>
      </c>
      <c r="E19790" s="10" t="inlineStr">
        <is>
          <t>Lương:15 Tr - 20 Tr VND</t>
        </is>
      </c>
      <c r="F19790" s="10" t="inlineStr">
        <is>
          <t>Bà Rịa - Vũng Tàu</t>
        </is>
      </c>
      <c r="G19790" s="10" t="inlineStr">
        <is>
          <t>25-03-2026</t>
        </is>
      </c>
      <c r="H19790" s="10" t="inlineStr">
        <is>
          <t>25/03/2026</t>
        </is>
      </c>
      <c r="I19790" s="10" t="inlineStr">
        <is>
          <t>17/03/2026</t>
        </is>
      </c>
      <c r="J19790" s="10" t="inlineStr">
        <is>
          <t>Xây dựng</t>
        </is>
      </c>
      <c r="K19790" s="10" t="inlineStr">
        <is>
          <t>Lên đến 1 Năm</t>
        </is>
      </c>
      <c r="L19790" s="11">
        <f>HYPERLINK("https://careerviet.vn/vi/tim-viec-lam/ky-su-giam-sat-xay-dung.35C63DB7.html","Xem chi tiết")</f>
        <v/>
      </c>
      <c r="M19790" s="10" t="n"/>
    </row>
    <row r="19791">
      <c r="B19791" s="7" t="n">
        <v>19789</v>
      </c>
      <c r="C19791" t="inlineStr">
        <is>
          <t>Nhân viên Hành chính (Phòng thí nghiệm) - Lab Admin</t>
        </is>
      </c>
      <c r="D19791" t="inlineStr">
        <is>
          <t>CÔNG TY TNHH ELECTRONIC TRIPOD VIỆT NAM (CHÂU ĐỨC)</t>
        </is>
      </c>
      <c r="E19791" t="inlineStr">
        <is>
          <t>Lương:Cạnh tranh</t>
        </is>
      </c>
      <c r="F19791" t="inlineStr">
        <is>
          <t>Bà Rịa - Vũng Tàu</t>
        </is>
      </c>
      <c r="G19791" t="inlineStr">
        <is>
          <t>25-03-2026</t>
        </is>
      </c>
      <c r="H19791" t="inlineStr">
        <is>
          <t>25/03/2026</t>
        </is>
      </c>
      <c r="I19791" t="inlineStr">
        <is>
          <t>17/03/2026</t>
        </is>
      </c>
      <c r="J19791" t="inlineStr">
        <is>
          <t>Hóa học, Điện / Điện tử / Điện lạnh / Điện công nghiệp, Môi trường</t>
        </is>
      </c>
      <c r="K19791" t="inlineStr">
        <is>
          <t>1 - 2 Năm</t>
        </is>
      </c>
      <c r="L19791" s="8">
        <f>HYPERLINK("https://careerviet.vn/vi/tim-viec-lam/nhan-vien-hanh-chinh-phong-thi-nghiem-lab-admin.35C63CFA.html","Xem chi tiết")</f>
        <v/>
      </c>
    </row>
    <row r="19792">
      <c r="B19792" s="9" t="n">
        <v>19790</v>
      </c>
      <c r="C19792" s="10" t="inlineStr">
        <is>
          <t>Nhân Viên Kiểm Thử Phần Mềm - Senior Software Tester/QC</t>
        </is>
      </c>
      <c r="D19792" s="10" t="inlineStr">
        <is>
          <t>Công ty Cố phần giải pháp công nghệ ITE</t>
        </is>
      </c>
      <c r="E19792" s="10" t="inlineStr">
        <is>
          <t>Lương:18 Tr - 23 Tr VND</t>
        </is>
      </c>
      <c r="F19792" s="10" t="inlineStr">
        <is>
          <t>Hà Nội</t>
        </is>
      </c>
      <c r="G19792" s="10" t="inlineStr">
        <is>
          <t>25-03-2026</t>
        </is>
      </c>
      <c r="H19792" s="10" t="inlineStr">
        <is>
          <t>25/03/2026</t>
        </is>
      </c>
      <c r="I19792" s="10" t="inlineStr">
        <is>
          <t>17/03/2026</t>
        </is>
      </c>
      <c r="J19792" s="10" t="inlineStr">
        <is>
          <t>Ngân hàng, CNTT - Phần mềm, Quản lý chất lượng (QA/QC)</t>
        </is>
      </c>
      <c r="K19792" s="10" t="inlineStr">
        <is>
          <t>3 - 4 Năm</t>
        </is>
      </c>
      <c r="L19792" s="11">
        <f>HYPERLINK("https://careerviet.vn/vi/tim-viec-lam/nhan-vien-kiem-thu-phan-mem-senior-software-tester-qc.35C63A16.html","Xem chi tiết")</f>
        <v/>
      </c>
      <c r="M19792" s="10" t="n"/>
    </row>
    <row r="19793">
      <c r="B19793" s="7" t="n">
        <v>19791</v>
      </c>
      <c r="C19793" t="inlineStr">
        <is>
          <t>[ Hà Nội] Nhân viên Telesales</t>
        </is>
      </c>
      <c r="D19793" t="inlineStr">
        <is>
          <t>Công ty cổ phần HaMo Holdings</t>
        </is>
      </c>
      <c r="E19793" t="inlineStr">
        <is>
          <t>Lương:15 Tr - 40 Tr VND</t>
        </is>
      </c>
      <c r="F19793" t="inlineStr">
        <is>
          <t>Hà Nội</t>
        </is>
      </c>
      <c r="G19793" t="inlineStr">
        <is>
          <t>25-03-2026</t>
        </is>
      </c>
      <c r="H19793" t="inlineStr">
        <is>
          <t>25/03/2026</t>
        </is>
      </c>
      <c r="I19793" t="inlineStr">
        <is>
          <t>17/03/2026</t>
        </is>
      </c>
      <c r="J19793" t="inlineStr">
        <is>
          <t>Y tế / Chăm sóc sức khỏe / Thẩm mỹ / Làm đẹp</t>
        </is>
      </c>
      <c r="K19793" t="inlineStr">
        <is>
          <t>1 - 2 Năm</t>
        </is>
      </c>
      <c r="L19793" s="8">
        <f>HYPERLINK("https://careerviet.vn/vi/tim-viec-lam/ha-noi-nhan-vien-telesales.35C63DFC.html","Xem chi tiết")</f>
        <v/>
      </c>
    </row>
    <row r="19794">
      <c r="B19794" s="9" t="n">
        <v>19792</v>
      </c>
      <c r="C19794" s="10" t="inlineStr">
        <is>
          <t>Kế toán tài sản (Phú Thọ)</t>
        </is>
      </c>
      <c r="D19794" s="10" t="inlineStr">
        <is>
          <t>CÔNG TY CỔ PHẦN TẬP ĐOÀN ONSEN FUJI</t>
        </is>
      </c>
      <c r="E19794" s="10" t="inlineStr">
        <is>
          <t>Lương:10 Tr - 12 Tr VND</t>
        </is>
      </c>
      <c r="F19794" s="10" t="inlineStr">
        <is>
          <t>Phú Thọ</t>
        </is>
      </c>
      <c r="G19794" s="10" t="inlineStr">
        <is>
          <t>25-03-2026</t>
        </is>
      </c>
      <c r="H19794" s="10" t="inlineStr">
        <is>
          <t>25/03/2026</t>
        </is>
      </c>
      <c r="I19794" s="10" t="inlineStr">
        <is>
          <t>17/03/2026</t>
        </is>
      </c>
      <c r="J19794" s="10" t="inlineStr">
        <is>
          <t>Kế toán / Kiểm toán</t>
        </is>
      </c>
      <c r="K19794" s="10" t="inlineStr">
        <is>
          <t>1 - 3 Năm</t>
        </is>
      </c>
      <c r="L19794" s="11">
        <f>HYPERLINK("https://careerviet.vn/vi/tim-viec-lam/ke-toan-tai-san-phu-tho.35C63D29.html","Xem chi tiết")</f>
        <v/>
      </c>
      <c r="M19794" s="10" t="n"/>
    </row>
    <row r="19795">
      <c r="B19795" s="7" t="n">
        <v>19793</v>
      </c>
      <c r="C19795" t="inlineStr">
        <is>
          <t>Kế toán tổng hợp kiêm kế toán thuế</t>
        </is>
      </c>
      <c r="D19795" t="inlineStr">
        <is>
          <t>CÔNG TY TNHH WIND SUPPLY CHAIN ONE (VIỆT NAM)</t>
        </is>
      </c>
      <c r="E19795" t="inlineStr">
        <is>
          <t>Lương:28 Tr - 38 Tr VND</t>
        </is>
      </c>
      <c r="F19795" t="inlineStr">
        <is>
          <t>Hồ Chí Minh</t>
        </is>
      </c>
      <c r="G19795" t="inlineStr">
        <is>
          <t>25-03-2026</t>
        </is>
      </c>
      <c r="H19795" t="inlineStr">
        <is>
          <t>25/03/2026</t>
        </is>
      </c>
      <c r="I19795" t="inlineStr">
        <is>
          <t>17/03/2026</t>
        </is>
      </c>
      <c r="J19795" t="inlineStr">
        <is>
          <t>Kế toán / Kiểm toán</t>
        </is>
      </c>
      <c r="K19795" t="inlineStr">
        <is>
          <t>4 - 8 Năm</t>
        </is>
      </c>
      <c r="L19795" s="8">
        <f>HYPERLINK("https://careerviet.vn/vi/tim-viec-lam/ke-toan-tong-hop-kiem-ke-toan-thue.35C63D65.html","Xem chi tiết")</f>
        <v/>
      </c>
    </row>
    <row r="19796">
      <c r="B19796" s="9" t="n">
        <v>19794</v>
      </c>
      <c r="C19796" s="10" t="inlineStr">
        <is>
          <t>Trưởng nhóm an toàn</t>
        </is>
      </c>
      <c r="D19796" s="10" t="inlineStr">
        <is>
          <t>Công Ty Cổ Phần Xây Dựng CDC</t>
        </is>
      </c>
      <c r="E19796" s="10" t="inlineStr">
        <is>
          <t>Lương:Cạnh tranh</t>
        </is>
      </c>
      <c r="F19796" s="10" t="inlineStr">
        <is>
          <t>Bình DươngNghệ AnThừa Thiên- Huế</t>
        </is>
      </c>
      <c r="G19796" s="10" t="inlineStr">
        <is>
          <t>31-03-2026</t>
        </is>
      </c>
      <c r="H19796" s="10" t="inlineStr">
        <is>
          <t>31/03/2026</t>
        </is>
      </c>
      <c r="I19796" s="10" t="inlineStr">
        <is>
          <t>17/03/2026</t>
        </is>
      </c>
      <c r="J19796" s="10" t="inlineStr">
        <is>
          <t>Xây dựng</t>
        </is>
      </c>
      <c r="K19796" s="10" t="inlineStr">
        <is>
          <t>5 - 7 Năm</t>
        </is>
      </c>
      <c r="L19796" s="11">
        <f>HYPERLINK("https://careerviet.vn/vi/tim-viec-lam/truong-nhom-an-toan.35C63D2A.html","Xem chi tiết")</f>
        <v/>
      </c>
      <c r="M19796" s="10" t="n"/>
    </row>
    <row r="19797">
      <c r="B19797" s="7" t="n">
        <v>19795</v>
      </c>
      <c r="C19797" t="inlineStr">
        <is>
          <t>Kỹ Sư QA/QC (Xây dựng)</t>
        </is>
      </c>
      <c r="D19797" t="inlineStr">
        <is>
          <t>CÔNG TY CỔ PHẦN VĨNH QUANG</t>
        </is>
      </c>
      <c r="E19797" t="inlineStr">
        <is>
          <t>Lương:Cạnh tranh</t>
        </is>
      </c>
      <c r="F19797" t="inlineStr">
        <is>
          <t>Hồ Chí MinhBình Dương</t>
        </is>
      </c>
      <c r="G19797" t="inlineStr">
        <is>
          <t>25-03-2026</t>
        </is>
      </c>
      <c r="H19797" t="inlineStr">
        <is>
          <t>25/03/2026</t>
        </is>
      </c>
      <c r="I19797" t="inlineStr">
        <is>
          <t>17/03/2026</t>
        </is>
      </c>
      <c r="J19797" t="inlineStr">
        <is>
          <t>Quản lý chất lượng (QA/QC), Kiến trúc, Xây dựng</t>
        </is>
      </c>
      <c r="K19797" t="inlineStr">
        <is>
          <t>2 - 5 Năm</t>
        </is>
      </c>
      <c r="L19797" s="8">
        <f>HYPERLINK("https://careerviet.vn/vi/tim-viec-lam/ky-su-qa-qc-xay-dung.35C63E31.html","Xem chi tiết")</f>
        <v/>
      </c>
    </row>
    <row r="19798">
      <c r="B19798" s="9" t="n">
        <v>19796</v>
      </c>
      <c r="C19798" s="10" t="inlineStr">
        <is>
          <t>Trợ Lý Giám Đốc Kinh Doanh BĐS</t>
        </is>
      </c>
      <c r="D19798" s="10" t="inlineStr">
        <is>
          <t>CÔNG TY CỔ PHẦN TẬP ĐOÀN ONSEN FUJI</t>
        </is>
      </c>
      <c r="E19798" s="10" t="inlineStr">
        <is>
          <t>Lương:20 Tr - 22 Tr VND</t>
        </is>
      </c>
      <c r="F19798" s="10" t="inlineStr">
        <is>
          <t>Hà Nội</t>
        </is>
      </c>
      <c r="G19798" s="10" t="inlineStr">
        <is>
          <t>25-03-2026</t>
        </is>
      </c>
      <c r="H19798" s="10" t="inlineStr">
        <is>
          <t>25/03/2026</t>
        </is>
      </c>
      <c r="I19798" s="10" t="inlineStr">
        <is>
          <t>17/03/2026</t>
        </is>
      </c>
      <c r="J19798" s="10" t="inlineStr">
        <is>
          <t>Bán hàng / Kinh doanh, Tư vấn, Bất động sản</t>
        </is>
      </c>
      <c r="K19798" s="10" t="inlineStr">
        <is>
          <t>2 - 3 Năm</t>
        </is>
      </c>
      <c r="L19798" s="11">
        <f>HYPERLINK("https://careerviet.vn/vi/tim-viec-lam/tro-ly-giam-doc-kinh-doanh-bds.35C63D64.html","Xem chi tiết")</f>
        <v/>
      </c>
      <c r="M19798" s="10" t="n"/>
    </row>
    <row r="19799">
      <c r="B19799" s="7" t="n">
        <v>19797</v>
      </c>
      <c r="C19799" t="inlineStr">
        <is>
          <t>Giám Đốc Dự Án</t>
        </is>
      </c>
      <c r="D19799" t="inlineStr">
        <is>
          <t>CÔNG TY CỔ PHẦN TẬP ĐOÀN WON GROUP</t>
        </is>
      </c>
      <c r="E19799" t="inlineStr">
        <is>
          <t>Lương:Trên 15 Tr VND</t>
        </is>
      </c>
      <c r="F19799" t="inlineStr">
        <is>
          <t>Hà Nội</t>
        </is>
      </c>
      <c r="G19799" t="inlineStr">
        <is>
          <t>25-03-2026</t>
        </is>
      </c>
      <c r="H19799" t="inlineStr">
        <is>
          <t>25/03/2026</t>
        </is>
      </c>
      <c r="I19799" t="inlineStr">
        <is>
          <t>17/03/2026</t>
        </is>
      </c>
      <c r="J19799" t="inlineStr">
        <is>
          <t>Kiến trúc, Xây dựng, Bất động sản</t>
        </is>
      </c>
      <c r="K19799" t="inlineStr">
        <is>
          <t>Trên 1 Năm</t>
        </is>
      </c>
      <c r="L19799" s="8">
        <f>HYPERLINK("https://careerviet.vn/vi/tim-viec-lam/giam-doc-du-an.35C63DD9.html","Xem chi tiết")</f>
        <v/>
      </c>
    </row>
    <row r="19800">
      <c r="B19800" s="9" t="n">
        <v>19798</v>
      </c>
      <c r="C19800" s="10" t="inlineStr">
        <is>
          <t>Planning Staff</t>
        </is>
      </c>
      <c r="D19800" s="10" t="inlineStr">
        <is>
          <t>Công ty TNHH Olam Việt Nam</t>
        </is>
      </c>
      <c r="E19800" s="10" t="inlineStr">
        <is>
          <t>Lương:Cạnh tranh</t>
        </is>
      </c>
      <c r="F19800" s="10" t="inlineStr">
        <is>
          <t>Đồng Nai</t>
        </is>
      </c>
      <c r="G19800" s="10" t="inlineStr">
        <is>
          <t>24-03-2026</t>
        </is>
      </c>
      <c r="H19800" s="10" t="inlineStr">
        <is>
          <t>24/03/2026</t>
        </is>
      </c>
      <c r="I19800" s="10" t="inlineStr">
        <is>
          <t>17/03/2026</t>
        </is>
      </c>
      <c r="J19800" s="10" t="inlineStr">
        <is>
          <t>Xuất nhập khẩu, Sản xuất / Vận hành sản xuất, Công nghệ thực phẩm / Dinh dưỡng</t>
        </is>
      </c>
      <c r="K19800" s="10" t="inlineStr">
        <is>
          <t>2 - 3 Năm</t>
        </is>
      </c>
      <c r="L19800" s="11">
        <f>HYPERLINK("https://careerviet.vn/vi/tim-viec-lam/planning-staff.35C63794.html","Xem chi tiết")</f>
        <v/>
      </c>
      <c r="M19800" s="10" t="n"/>
    </row>
    <row r="19801">
      <c r="B19801" s="7" t="n">
        <v>19799</v>
      </c>
      <c r="C19801" t="inlineStr">
        <is>
          <t>NHÂN VIÊN QC CHUYỀN - CHI NHÁNH HỒ CHÍ MINH</t>
        </is>
      </c>
      <c r="D19801" t="inlineStr">
        <is>
          <t>CÔNG TY TNHH THỰC PHẨM FARINA_CHI NHÁNH HỒ CHÍ MINH</t>
        </is>
      </c>
      <c r="E19801" t="inlineStr">
        <is>
          <t>Lương:Cạnh tranh</t>
        </is>
      </c>
      <c r="F19801" t="inlineStr">
        <is>
          <t>Bình Dương</t>
        </is>
      </c>
      <c r="G19801" t="inlineStr">
        <is>
          <t>25-03-2026</t>
        </is>
      </c>
      <c r="H19801" t="inlineStr">
        <is>
          <t>25/03/2026</t>
        </is>
      </c>
      <c r="I19801" t="inlineStr">
        <is>
          <t>17/03/2026</t>
        </is>
      </c>
      <c r="J19801" t="inlineStr">
        <is>
          <t>Công nghệ thực phẩm / Dinh dưỡng</t>
        </is>
      </c>
      <c r="K19801" t="inlineStr">
        <is>
          <t>Lên đến 1 Năm</t>
        </is>
      </c>
      <c r="L19801" s="8">
        <f>HYPERLINK("https://careerviet.vn/vi/tim-viec-lam/nhan-vien-qc-chuyen-chi-nhanh-ho-chi-minh.35C63DA0.html","Xem chi tiết")</f>
        <v/>
      </c>
    </row>
    <row r="19802">
      <c r="B19802" s="9" t="n">
        <v>19800</v>
      </c>
      <c r="C19802" s="10" t="inlineStr">
        <is>
          <t>HVAC Supervisor</t>
        </is>
      </c>
      <c r="D19802" s="10" t="inlineStr">
        <is>
          <t>CÔNG TY TNHH THIỀN</t>
        </is>
      </c>
      <c r="E19802" s="10" t="inlineStr">
        <is>
          <t>Lương:Cạnh tranh</t>
        </is>
      </c>
      <c r="F19802" s="10" t="inlineStr">
        <is>
          <t>Hà Nội</t>
        </is>
      </c>
      <c r="G19802" s="10" t="inlineStr">
        <is>
          <t>24-03-2026</t>
        </is>
      </c>
      <c r="H19802" s="10" t="inlineStr">
        <is>
          <t>24/03/2026</t>
        </is>
      </c>
      <c r="I19802" s="10" t="inlineStr">
        <is>
          <t>17/03/2026</t>
        </is>
      </c>
      <c r="J19802" s="10" t="inlineStr">
        <is>
          <t>Điện / Điện tử / Điện lạnh / Điện công nghiệp, Bảo trì / Sửa chữa</t>
        </is>
      </c>
      <c r="K19802" s="10" t="inlineStr">
        <is>
          <t>3 - 5 Năm</t>
        </is>
      </c>
      <c r="L19802" s="11">
        <f>HYPERLINK("https://careerviet.vn/vi/tim-viec-lam/hvac-supervisor.35C63B65.html","Xem chi tiết")</f>
        <v/>
      </c>
      <c r="M19802" s="10" t="n"/>
    </row>
    <row r="19803">
      <c r="B19803" s="7" t="n">
        <v>19801</v>
      </c>
      <c r="C19803" t="inlineStr">
        <is>
          <t>Production Planning Supervisor</t>
        </is>
      </c>
      <c r="D19803" t="inlineStr">
        <is>
          <t>Công ty TNHH Olam Việt Nam</t>
        </is>
      </c>
      <c r="E19803" t="inlineStr">
        <is>
          <t>Lương:15 Tr - 20 Tr VND</t>
        </is>
      </c>
      <c r="F19803" t="inlineStr">
        <is>
          <t>Đồng Nai</t>
        </is>
      </c>
      <c r="G19803" t="inlineStr">
        <is>
          <t>24-03-2026</t>
        </is>
      </c>
      <c r="H19803" t="inlineStr">
        <is>
          <t>24/03/2026</t>
        </is>
      </c>
      <c r="I19803" t="inlineStr">
        <is>
          <t>17/03/2026</t>
        </is>
      </c>
      <c r="J19803" t="inlineStr">
        <is>
          <t>Sản xuất / Vận hành sản xuất, Công nghệ thực phẩm / Dinh dưỡng, Thực phẩm &amp; Đồ uống</t>
        </is>
      </c>
      <c r="K19803" t="inlineStr">
        <is>
          <t>Trên 3 Năm</t>
        </is>
      </c>
      <c r="L19803" s="8">
        <f>HYPERLINK("https://careerviet.vn/vi/tim-viec-lam/production-planning-supervisor.35C6378D.html","Xem chi tiết")</f>
        <v/>
      </c>
    </row>
    <row r="19804">
      <c r="B19804" s="9" t="n">
        <v>19802</v>
      </c>
      <c r="C19804" s="10" t="inlineStr">
        <is>
          <t>Chỉ huy phó cơ điện</t>
        </is>
      </c>
      <c r="D19804" s="10" t="inlineStr">
        <is>
          <t>Công Ty Cổ Phần Xây Dựng CDC</t>
        </is>
      </c>
      <c r="E19804" s="10" t="inlineStr">
        <is>
          <t>Lương:25 Tr - 30 Tr VND</t>
        </is>
      </c>
      <c r="F19804" s="10" t="inlineStr">
        <is>
          <t>Bình Dương</t>
        </is>
      </c>
      <c r="G19804" s="10" t="inlineStr">
        <is>
          <t>28-03-2026</t>
        </is>
      </c>
      <c r="H19804" s="10" t="inlineStr">
        <is>
          <t>28/03/2026</t>
        </is>
      </c>
      <c r="I19804" s="10" t="inlineStr">
        <is>
          <t>17/03/2026</t>
        </is>
      </c>
      <c r="J19804" s="10" t="inlineStr">
        <is>
          <t>Xây dựng</t>
        </is>
      </c>
      <c r="K19804" s="10" t="inlineStr">
        <is>
          <t>5 - 7 Năm</t>
        </is>
      </c>
      <c r="L19804" s="11">
        <f>HYPERLINK("https://careerviet.vn/vi/tim-viec-lam/chi-huy-pho-co-dien.35C63D05.html","Xem chi tiết")</f>
        <v/>
      </c>
      <c r="M19804" s="10" t="n"/>
    </row>
    <row r="19805">
      <c r="B19805" s="7" t="n">
        <v>19803</v>
      </c>
      <c r="C19805" t="inlineStr">
        <is>
          <t>Nhân viên Phân tích nghiệp vụ</t>
        </is>
      </c>
      <c r="D19805" t="inlineStr">
        <is>
          <t>Công ty Cổ phần CANIFA</t>
        </is>
      </c>
      <c r="E19805" t="inlineStr">
        <is>
          <t>Lương:12 Tr - 20 Tr VND</t>
        </is>
      </c>
      <c r="F19805" t="inlineStr">
        <is>
          <t>Hà Nội</t>
        </is>
      </c>
      <c r="G19805" t="inlineStr">
        <is>
          <t>24-03-2026</t>
        </is>
      </c>
      <c r="H19805" t="inlineStr">
        <is>
          <t>24/03/2026</t>
        </is>
      </c>
      <c r="I19805" t="inlineStr">
        <is>
          <t>17/03/2026</t>
        </is>
      </c>
      <c r="J19805" t="inlineStr">
        <is>
          <t>CNTT - Phần mềm, Tài chính / Đầu tư, Kế toán / Kiểm toán</t>
        </is>
      </c>
      <c r="K19805" t="inlineStr">
        <is>
          <t>1 - 3 Năm</t>
        </is>
      </c>
      <c r="L19805" s="8">
        <f>HYPERLINK("https://careerviet.vn/vi/tim-viec-lam/nhan-vien-phan-tich-nghiep-vu.35C63C3E.html","Xem chi tiết")</f>
        <v/>
      </c>
    </row>
    <row r="19806">
      <c r="B19806" s="9" t="n">
        <v>19804</v>
      </c>
      <c r="C19806" s="10" t="inlineStr">
        <is>
          <t>Phát triển Đối tác Bất động sản</t>
        </is>
      </c>
      <c r="D19806" s="10" t="inlineStr">
        <is>
          <t>Ngân hàng TMCP Lộc Phát Việt Nam (LPBank)</t>
        </is>
      </c>
      <c r="E19806" s="10" t="inlineStr">
        <is>
          <t>Lương:Cạnh tranh</t>
        </is>
      </c>
      <c r="F19806" s="10" t="inlineStr">
        <is>
          <t>Hà Nội</t>
        </is>
      </c>
      <c r="G19806" s="10" t="inlineStr">
        <is>
          <t>24-03-2026</t>
        </is>
      </c>
      <c r="H19806" s="10" t="inlineStr">
        <is>
          <t>24/03/2026</t>
        </is>
      </c>
      <c r="I19806" s="10" t="inlineStr">
        <is>
          <t>17/03/2026</t>
        </is>
      </c>
      <c r="J19806" s="10" t="inlineStr">
        <is>
          <t>Bất động sản, Ngân hàng</t>
        </is>
      </c>
      <c r="K19806" s="10" t="inlineStr">
        <is>
          <t>Trên 2 Năm</t>
        </is>
      </c>
      <c r="L19806" s="11">
        <f>HYPERLINK("https://careerviet.vn/vi/tim-viec-lam/phat-trien-doi-tac-bat-dong-san.35C63C13.html","Xem chi tiết")</f>
        <v/>
      </c>
      <c r="M19806" s="10" t="n"/>
    </row>
    <row r="19807">
      <c r="B19807" s="7" t="n">
        <v>19805</v>
      </c>
      <c r="C19807" t="inlineStr">
        <is>
          <t>Trợ lý Kinh doanh</t>
        </is>
      </c>
      <c r="D19807" t="inlineStr">
        <is>
          <t>CÔNG TY CỔ PHẦN CÔNG NGHIỆP WELDCOM</t>
        </is>
      </c>
      <c r="E19807" t="inlineStr">
        <is>
          <t>Lương:12 Tr - 17 Tr VND</t>
        </is>
      </c>
      <c r="F19807" t="inlineStr">
        <is>
          <t>Hà Nội</t>
        </is>
      </c>
      <c r="G19807" t="inlineStr">
        <is>
          <t>24-03-2026</t>
        </is>
      </c>
      <c r="H19807" t="inlineStr">
        <is>
          <t>24/03/2026</t>
        </is>
      </c>
      <c r="I19807" t="inlineStr">
        <is>
          <t>17/03/2026</t>
        </is>
      </c>
      <c r="J19807" t="inlineStr">
        <is>
          <t>Dịch vụ khách hàng, Hành chính / Thư ký, Biên phiên dịch</t>
        </is>
      </c>
      <c r="K19807" t="inlineStr">
        <is>
          <t>1 - 3 Năm</t>
        </is>
      </c>
      <c r="L19807" s="8">
        <f>HYPERLINK("https://careerviet.vn/vi/tim-viec-lam/tro-ly-kinh-doanh.35C63C0B.html","Xem chi tiết")</f>
        <v/>
      </c>
    </row>
    <row r="19808">
      <c r="B19808" s="9" t="n">
        <v>19806</v>
      </c>
      <c r="C19808" s="10" t="inlineStr">
        <is>
          <t>Chuyên Viên Đào Tạo Bán Hàng Qua Điện Thoại - Sales Training Executive</t>
        </is>
      </c>
      <c r="D19808" s="10" t="inlineStr">
        <is>
          <t>Công Ty Tài Chính Mirae Asset (Việt Nam)</t>
        </is>
      </c>
      <c r="E19808" s="10" t="inlineStr">
        <is>
          <t>Lương:Cạnh tranh</t>
        </is>
      </c>
      <c r="F19808" s="10" t="inlineStr">
        <is>
          <t>Hồ Chí Minh</t>
        </is>
      </c>
      <c r="G19808" s="10" t="inlineStr">
        <is>
          <t>25-03-2026</t>
        </is>
      </c>
      <c r="H19808" s="10" t="inlineStr">
        <is>
          <t>25/03/2026</t>
        </is>
      </c>
      <c r="I19808" s="10" t="inlineStr">
        <is>
          <t>17/03/2026</t>
        </is>
      </c>
      <c r="J19808" s="10" t="inlineStr">
        <is>
          <t>Bán hàng / Kinh doanh, Tài chính / Đầu tư, Giáo dục / Đào tạo</t>
        </is>
      </c>
      <c r="K19808" s="10" t="inlineStr">
        <is>
          <t>2 - 5 Năm</t>
        </is>
      </c>
      <c r="L19808" s="11">
        <f>HYPERLINK("https://careerviet.vn/vi/tim-viec-lam/chuyen-vien-dao-tao-ban-hang-qua-dien-thoai-sales-training-executive.35C63D2B.html","Xem chi tiết")</f>
        <v/>
      </c>
      <c r="M19808" s="10" t="n"/>
    </row>
    <row r="19809">
      <c r="B19809" s="7" t="n">
        <v>19807</v>
      </c>
      <c r="C19809" t="inlineStr">
        <is>
          <t>Nhân Viên Mua Hàng (Tiếng Trung)</t>
        </is>
      </c>
      <c r="D19809" t="inlineStr">
        <is>
          <t>Tập Đoàn An Phát Holdings</t>
        </is>
      </c>
      <c r="E19809" t="inlineStr">
        <is>
          <t>Lương:9 Tr - 12 Tr VND</t>
        </is>
      </c>
      <c r="F19809" t="inlineStr">
        <is>
          <t>Hải Dương</t>
        </is>
      </c>
      <c r="G19809" t="inlineStr">
        <is>
          <t>24-03-2026</t>
        </is>
      </c>
      <c r="H19809" t="inlineStr">
        <is>
          <t>24/03/2026</t>
        </is>
      </c>
      <c r="I19809" t="inlineStr">
        <is>
          <t>17/03/2026</t>
        </is>
      </c>
      <c r="J19809" t="inlineStr">
        <is>
          <t>Thu mua / Vật tư</t>
        </is>
      </c>
      <c r="K19809" t="inlineStr">
        <is>
          <t>N/A</t>
        </is>
      </c>
      <c r="L19809" s="8">
        <f>HYPERLINK("https://careerviet.vn/vi/tim-viec-lam/nhan-vien-mua-hang-tieng-trung.35C66769.html","Xem chi tiết")</f>
        <v/>
      </c>
    </row>
    <row r="19810">
      <c r="B19810" s="9" t="n">
        <v>19808</v>
      </c>
      <c r="C19810" s="10" t="inlineStr">
        <is>
          <t>TRƯỞNG PHÒNG LOGISTICS QUỐC TẾ</t>
        </is>
      </c>
      <c r="D19810" s="10" t="inlineStr">
        <is>
          <t>S.F. EXPRESS LTD.</t>
        </is>
      </c>
      <c r="E19810" s="10" t="inlineStr">
        <is>
          <t>Lương:30 Tr - 60 Tr VND</t>
        </is>
      </c>
      <c r="F19810" s="10" t="inlineStr">
        <is>
          <t>Hà Nội</t>
        </is>
      </c>
      <c r="G19810" s="10" t="inlineStr">
        <is>
          <t>24-03-2026</t>
        </is>
      </c>
      <c r="H19810" s="10" t="inlineStr">
        <is>
          <t>24/03/2026</t>
        </is>
      </c>
      <c r="I19810" s="10" t="inlineStr">
        <is>
          <t>17/03/2026</t>
        </is>
      </c>
      <c r="J19810" s="10" t="inlineStr">
        <is>
          <t>Vận chuyển / Giao nhận / Kho vận</t>
        </is>
      </c>
      <c r="K19810" s="10" t="inlineStr">
        <is>
          <t>3 - 15 Năm</t>
        </is>
      </c>
      <c r="L19810" s="11">
        <f>HYPERLINK("https://careerviet.vn/vi/tim-viec-lam/truong-phong-logistics-quoc-te.35C666DA.html","Xem chi tiết")</f>
        <v/>
      </c>
      <c r="M19810" s="10" t="n"/>
    </row>
    <row r="19811">
      <c r="B19811" s="7" t="n">
        <v>19809</v>
      </c>
      <c r="C19811" t="inlineStr">
        <is>
          <t>Expert, Retail &amp; Small Business Banking Risk Policy and Strategy</t>
        </is>
      </c>
      <c r="D19811" t="inlineStr">
        <is>
          <t>NGÂN HÀNG TMCP KỸ THƯƠNG VIỆT NAM (TECHCOMBANK)</t>
        </is>
      </c>
      <c r="E19811" t="inlineStr">
        <is>
          <t>Lương:Cạnh tranh</t>
        </is>
      </c>
      <c r="F19811" t="inlineStr">
        <is>
          <t>Hà Nội</t>
        </is>
      </c>
      <c r="G19811" t="inlineStr">
        <is>
          <t>24-03-2026</t>
        </is>
      </c>
      <c r="H19811" t="inlineStr">
        <is>
          <t>24/03/2026</t>
        </is>
      </c>
      <c r="I19811" t="inlineStr">
        <is>
          <t>17/03/2026</t>
        </is>
      </c>
      <c r="J19811" t="inlineStr">
        <is>
          <t>Bán hàng / Kinh doanh, Ngân hàng, Tài chính / Đầu tư</t>
        </is>
      </c>
      <c r="K19811" t="inlineStr">
        <is>
          <t>Trên 5 Năm</t>
        </is>
      </c>
      <c r="L19811" s="8">
        <f>HYPERLINK("https://careerviet.vn/vi/tim-viec-lam/expert-retail-small-business-banking-risk-policy-and-strategy.35C63BD8.html","Xem chi tiết")</f>
        <v/>
      </c>
    </row>
    <row r="19812">
      <c r="B19812" s="9" t="n">
        <v>19810</v>
      </c>
      <c r="C19812" s="10" t="inlineStr">
        <is>
          <t>Department Assistant (Trợ lý cửa hàng KKV SC Vivo City)</t>
        </is>
      </c>
      <c r="D19812" s="10" t="inlineStr">
        <is>
          <t>KK Vietnam</t>
        </is>
      </c>
      <c r="E19812" s="10" t="inlineStr">
        <is>
          <t>Lương:11 Tr - 14 Tr VND</t>
        </is>
      </c>
      <c r="F19812" s="10" t="inlineStr">
        <is>
          <t>Hồ Chí Minh</t>
        </is>
      </c>
      <c r="G19812" s="10" t="inlineStr">
        <is>
          <t>24-03-2026</t>
        </is>
      </c>
      <c r="H19812" s="10" t="inlineStr">
        <is>
          <t>24/03/2026</t>
        </is>
      </c>
      <c r="I19812" s="10" t="inlineStr">
        <is>
          <t>17/03/2026</t>
        </is>
      </c>
      <c r="J19812" s="10" t="inlineStr">
        <is>
          <t>Bán lẻ / Bán sỉ, Bán hàng / Kinh doanh</t>
        </is>
      </c>
      <c r="K19812" s="10" t="inlineStr">
        <is>
          <t>1 - 3 Năm</t>
        </is>
      </c>
      <c r="L19812" s="11">
        <f>HYPERLINK("https://careerviet.vn/vi/tim-viec-lam/department-assistant-tro-ly-cua-hang-kkv-sc-vivo-city.35C63B83.html","Xem chi tiết")</f>
        <v/>
      </c>
      <c r="M19812" s="10" t="n"/>
    </row>
    <row r="19813">
      <c r="B19813" s="7" t="n">
        <v>19811</v>
      </c>
      <c r="C19813" t="inlineStr">
        <is>
          <t>CHUYÊN VIÊN TÀI CHÍNH NGUỒN VỐN</t>
        </is>
      </c>
      <c r="D19813" t="inlineStr">
        <is>
          <t>CÔNG TY CỔ PHẦN DƯỢC LIỆU VIỆT NAM (VIETMEC)</t>
        </is>
      </c>
      <c r="E19813" t="inlineStr">
        <is>
          <t>Lương:18 Tr - 25 Tr VND</t>
        </is>
      </c>
      <c r="F19813" t="inlineStr">
        <is>
          <t>Hà Nội</t>
        </is>
      </c>
      <c r="G19813" t="inlineStr">
        <is>
          <t>24-03-2026</t>
        </is>
      </c>
      <c r="H19813" t="inlineStr">
        <is>
          <t>24/03/2026</t>
        </is>
      </c>
      <c r="I19813" t="inlineStr">
        <is>
          <t>17/03/2026</t>
        </is>
      </c>
      <c r="J19813" t="inlineStr">
        <is>
          <t>Kế toán / Kiểm toán, Ngân hàng, Tài chính / Đầu tư</t>
        </is>
      </c>
      <c r="K19813" t="inlineStr">
        <is>
          <t>2 - 5 Năm</t>
        </is>
      </c>
      <c r="L19813" s="8">
        <f>HYPERLINK("https://careerviet.vn/vi/tim-viec-lam/chuyen-vien-tai-chinh-nguon-von.35C63BC8.html","Xem chi tiết")</f>
        <v/>
      </c>
    </row>
    <row r="19814">
      <c r="B19814" s="9" t="n">
        <v>19812</v>
      </c>
      <c r="C19814" s="10" t="inlineStr">
        <is>
          <t>Tổ trưởng quản lý chất lượng</t>
        </is>
      </c>
      <c r="D19814" s="10" t="inlineStr">
        <is>
          <t>Fushan Technology Vietnam</t>
        </is>
      </c>
      <c r="E19814" s="10" t="inlineStr">
        <is>
          <t>Lương:Cạnh tranh</t>
        </is>
      </c>
      <c r="F19814" s="10" t="inlineStr">
        <is>
          <t>Bắc Ninh</t>
        </is>
      </c>
      <c r="G19814" s="10" t="inlineStr">
        <is>
          <t>24-03-2026</t>
        </is>
      </c>
      <c r="H19814" s="10" t="inlineStr">
        <is>
          <t>24/03/2026</t>
        </is>
      </c>
      <c r="I19814" s="10" t="inlineStr">
        <is>
          <t>17/03/2026</t>
        </is>
      </c>
      <c r="J19814" s="10" t="inlineStr">
        <is>
          <t>Sản xuất / Vận hành sản xuất</t>
        </is>
      </c>
      <c r="K19814" s="10" t="inlineStr">
        <is>
          <t>Trên 2 Năm</t>
        </is>
      </c>
      <c r="L19814" s="11">
        <f>HYPERLINK("https://careerviet.vn/vi/tim-viec-lam/to-truong-quan-ly-chat-luong.35C63AF1.html","Xem chi tiết")</f>
        <v/>
      </c>
      <c r="M19814" s="10" t="n"/>
    </row>
    <row r="19815">
      <c r="B19815" s="7" t="n">
        <v>19813</v>
      </c>
      <c r="C19815" t="inlineStr">
        <is>
          <t>Chuyên viên kinh doanh sàn Amazon</t>
        </is>
      </c>
      <c r="D19815" t="inlineStr">
        <is>
          <t>CÔNG TY CỔ PHẦN SẢN XUẤT &amp; XUẤT NHẬP KHẨU HAT+</t>
        </is>
      </c>
      <c r="E19815" t="inlineStr">
        <is>
          <t>Lương:15 Tr - 20 Tr VND</t>
        </is>
      </c>
      <c r="F19815" t="inlineStr">
        <is>
          <t>Hà Nội</t>
        </is>
      </c>
      <c r="G19815" t="inlineStr">
        <is>
          <t>24-03-2026</t>
        </is>
      </c>
      <c r="H19815" t="inlineStr">
        <is>
          <t>24/03/2026</t>
        </is>
      </c>
      <c r="I19815" t="inlineStr">
        <is>
          <t>17/03/2026</t>
        </is>
      </c>
      <c r="J19815" t="inlineStr">
        <is>
          <t>Bán hàng / Kinh doanh, Tiếp thị trực tuyến, Dệt may / Da giày / Thời trang</t>
        </is>
      </c>
      <c r="K19815" t="inlineStr">
        <is>
          <t>1 - 2 Năm</t>
        </is>
      </c>
      <c r="L19815" s="8">
        <f>HYPERLINK("https://careerviet.vn/vi/tim-viec-lam/chuyen-vien-kinh-doanh-san-amazon.35C6679A.html","Xem chi tiết")</f>
        <v/>
      </c>
    </row>
    <row r="19816">
      <c r="B19816" s="9" t="n">
        <v>19814</v>
      </c>
      <c r="C19816" s="10" t="inlineStr">
        <is>
          <t>126333 - Phó Phòng Nhân Sự - Ngành Sản Xuất</t>
        </is>
      </c>
      <c r="D19816" s="10" t="inlineStr">
        <is>
          <t>RGF HR Agent Vietnam Co., LTD</t>
        </is>
      </c>
      <c r="E19816" s="10" t="inlineStr">
        <is>
          <t>Lương:Lên đến 27 Tr VND</t>
        </is>
      </c>
      <c r="F19816" s="10" t="inlineStr">
        <is>
          <t>Hồ Chí Minh</t>
        </is>
      </c>
      <c r="G19816" s="10" t="inlineStr">
        <is>
          <t>24-03-2026</t>
        </is>
      </c>
      <c r="H19816" s="10" t="inlineStr">
        <is>
          <t>24/03/2026</t>
        </is>
      </c>
      <c r="I19816" s="10" t="inlineStr">
        <is>
          <t>17/03/2026</t>
        </is>
      </c>
      <c r="J19816" s="10" t="inlineStr">
        <is>
          <t>Sản xuất / Vận hành sản xuất, Nhân sự</t>
        </is>
      </c>
      <c r="K19816" s="10" t="inlineStr">
        <is>
          <t>Trên 5 Năm</t>
        </is>
      </c>
      <c r="L19816" s="11">
        <f>HYPERLINK("https://careerviet.vn/vi/tim-viec-lam/126333-pho-phong-nhan-su-nganh-san-xuat.35C63BA0.html","Xem chi tiết")</f>
        <v/>
      </c>
      <c r="M19816" s="10" t="n"/>
    </row>
    <row r="19817">
      <c r="B19817" s="7" t="n">
        <v>19815</v>
      </c>
      <c r="C19817" t="inlineStr">
        <is>
          <t>Kế Toán Văn Phòng</t>
        </is>
      </c>
      <c r="D19817" t="inlineStr">
        <is>
          <t>Công Ty TNHH Sản Xuất Keo Dán Thuận Nguyên</t>
        </is>
      </c>
      <c r="E19817" t="inlineStr">
        <is>
          <t>Lương:Cạnh tranh</t>
        </is>
      </c>
      <c r="F19817" t="inlineStr">
        <is>
          <t>Hà Nội</t>
        </is>
      </c>
      <c r="G19817" t="inlineStr">
        <is>
          <t>24-03-2026</t>
        </is>
      </c>
      <c r="H19817" t="inlineStr">
        <is>
          <t>24/03/2026</t>
        </is>
      </c>
      <c r="I19817" t="inlineStr">
        <is>
          <t>17/03/2026</t>
        </is>
      </c>
      <c r="J19817" t="inlineStr">
        <is>
          <t>Kế toán / Kiểm toán</t>
        </is>
      </c>
      <c r="K19817" t="inlineStr">
        <is>
          <t>Trên 2 Năm</t>
        </is>
      </c>
      <c r="L19817" s="8">
        <f>HYPERLINK("https://careerviet.vn/vi/tim-viec-lam/ke-toan-van-phong.35C6664C.html","Xem chi tiết")</f>
        <v/>
      </c>
    </row>
    <row r="19818">
      <c r="B19818" s="9" t="n">
        <v>19816</v>
      </c>
      <c r="C19818" s="10" t="inlineStr">
        <is>
          <t>[Khu Vực Hồ Chí Minh] - Giám đốc Quản lý Quan hệ Khách hàng cá nhân Ưu tiên (Priority)</t>
        </is>
      </c>
      <c r="D19818" s="10" t="inlineStr">
        <is>
          <t>Ngân hàng TMCP Lộc Phát Việt Nam (LPBank)</t>
        </is>
      </c>
      <c r="E19818" s="10" t="inlineStr">
        <is>
          <t>Lương:Cạnh tranh</t>
        </is>
      </c>
      <c r="F19818" s="10" t="inlineStr">
        <is>
          <t>Hồ Chí Minh</t>
        </is>
      </c>
      <c r="G19818" s="10" t="inlineStr">
        <is>
          <t>24-03-2026</t>
        </is>
      </c>
      <c r="H19818" s="10" t="inlineStr">
        <is>
          <t>24/03/2026</t>
        </is>
      </c>
      <c r="I19818" s="10" t="inlineStr">
        <is>
          <t>17/03/2026</t>
        </is>
      </c>
      <c r="J19818" s="10" t="inlineStr">
        <is>
          <t>Bán hàng / Kinh doanh, Bất động sản, Bảo hiểm</t>
        </is>
      </c>
      <c r="K19818" s="10" t="inlineStr">
        <is>
          <t>Trên 3 Năm</t>
        </is>
      </c>
      <c r="L19818" s="11">
        <f>HYPERLINK("https://careerviet.vn/vi/tim-viec-lam/khu-vuc-ho-chi-minh-giam-doc-quan-ly-quan-he-khach-hang-ca-nhan-uu-tien-priority.35C66652.html","Xem chi tiết")</f>
        <v/>
      </c>
      <c r="M19818" s="10" t="n"/>
    </row>
    <row r="19819">
      <c r="B19819" s="7" t="n">
        <v>19817</v>
      </c>
      <c r="C19819" t="inlineStr">
        <is>
          <t>Supersonic Welding - Kỹ thuật viên Hàn siêu âm</t>
        </is>
      </c>
      <c r="D19819" t="inlineStr">
        <is>
          <t>Bảo mật</t>
        </is>
      </c>
      <c r="E19819" t="inlineStr">
        <is>
          <t>Lương:Cạnh tranh</t>
        </is>
      </c>
      <c r="F19819" t="inlineStr">
        <is>
          <t>Hồ Chí Minh</t>
        </is>
      </c>
      <c r="G19819" t="inlineStr">
        <is>
          <t>24-03-2026</t>
        </is>
      </c>
      <c r="H19819" t="inlineStr">
        <is>
          <t>24/03/2026</t>
        </is>
      </c>
      <c r="I19819" t="inlineStr">
        <is>
          <t>17/03/2026</t>
        </is>
      </c>
      <c r="J19819" t="inlineStr">
        <is>
          <t>Hóa học, Điện / Điện tử / Điện lạnh / Điện công nghiệp, Bảo trì / Sửa chữa</t>
        </is>
      </c>
      <c r="K19819" t="inlineStr">
        <is>
          <t>2 - 5 Năm</t>
        </is>
      </c>
      <c r="L19819" s="8">
        <f>HYPERLINK("https://careerviet.vn/vi/tim-viec-lam/supersonic-welding-ky-thuat-vien-han-sieu-am.35C63B1B.html","Xem chi tiết")</f>
        <v/>
      </c>
    </row>
    <row r="19820">
      <c r="B19820" s="9" t="n">
        <v>19818</v>
      </c>
      <c r="C19820" s="10" t="inlineStr">
        <is>
          <t>Quản đốc nhà máy (Gạo)</t>
        </is>
      </c>
      <c r="D19820" s="10" t="inlineStr">
        <is>
          <t>Công ty CP Thành Thành Công - Biên Hòa</t>
        </is>
      </c>
      <c r="E19820" s="10" t="inlineStr">
        <is>
          <t>Lương:Cạnh tranh</t>
        </is>
      </c>
      <c r="F19820" s="10" t="inlineStr">
        <is>
          <t>Tây Ninh</t>
        </is>
      </c>
      <c r="G19820" s="10" t="inlineStr">
        <is>
          <t>24-03-2026</t>
        </is>
      </c>
      <c r="H19820" s="10" t="inlineStr">
        <is>
          <t>24/03/2026</t>
        </is>
      </c>
      <c r="I19820" s="10" t="inlineStr">
        <is>
          <t>17/03/2026</t>
        </is>
      </c>
      <c r="J19820" s="10" t="inlineStr">
        <is>
          <t>Quản lý điều hành</t>
        </is>
      </c>
      <c r="K19820" s="10" t="inlineStr">
        <is>
          <t>Trên 7 Năm</t>
        </is>
      </c>
      <c r="L19820" s="11">
        <f>HYPERLINK("https://careerviet.vn/vi/tim-viec-lam/quan-doc-nha-may-gao.35C66670.html","Xem chi tiết")</f>
        <v/>
      </c>
      <c r="M19820" s="10" t="n"/>
    </row>
    <row r="19821">
      <c r="B19821" s="7" t="n">
        <v>19819</v>
      </c>
      <c r="C19821" t="inlineStr">
        <is>
          <t>Kế Toán Thuế</t>
        </is>
      </c>
      <c r="D19821" t="inlineStr">
        <is>
          <t>CÔNG TY TNHH THIẾT BỊ PHỤ TÙNG NÔNG NGHIỆP TRẦN MINH</t>
        </is>
      </c>
      <c r="E19821" t="inlineStr">
        <is>
          <t>Lương:13 Tr - 17 Tr VND</t>
        </is>
      </c>
      <c r="F19821" t="inlineStr">
        <is>
          <t>Hồ Chí Minh</t>
        </is>
      </c>
      <c r="G19821" t="inlineStr">
        <is>
          <t>24-03-2026</t>
        </is>
      </c>
      <c r="H19821" t="inlineStr">
        <is>
          <t>24/03/2026</t>
        </is>
      </c>
      <c r="I19821" t="inlineStr">
        <is>
          <t>17/03/2026</t>
        </is>
      </c>
      <c r="J19821" t="inlineStr">
        <is>
          <t>Luật / Pháp lý, Kế toán / Kiểm toán, Tài chính / Đầu tư</t>
        </is>
      </c>
      <c r="K19821" t="inlineStr">
        <is>
          <t>Trên 1 Năm</t>
        </is>
      </c>
      <c r="L19821" s="8">
        <f>HYPERLINK("https://careerviet.vn/vi/tim-viec-lam/ke-toan-thue.35C66628.html","Xem chi tiết")</f>
        <v/>
      </c>
    </row>
    <row r="19822">
      <c r="B19822" s="9" t="n">
        <v>19820</v>
      </c>
      <c r="C19822" s="10" t="inlineStr">
        <is>
          <t>Nhân viên trạm cân - Thuận An</t>
        </is>
      </c>
      <c r="D19822" s="10" t="inlineStr">
        <is>
          <t>CÔNG TY TNHH TM DV XỬ LÝ MÔI TRƯỜNG VIỆT KHẢI</t>
        </is>
      </c>
      <c r="E19822" s="10" t="inlineStr">
        <is>
          <t>Lương:8 Tr - 10 Tr VND</t>
        </is>
      </c>
      <c r="F19822" s="10" t="inlineStr">
        <is>
          <t>Bình Dương</t>
        </is>
      </c>
      <c r="G19822" s="10" t="inlineStr">
        <is>
          <t>24-03-2026</t>
        </is>
      </c>
      <c r="H19822" s="10" t="inlineStr">
        <is>
          <t>24/03/2026</t>
        </is>
      </c>
      <c r="I19822" s="10" t="inlineStr">
        <is>
          <t>17/03/2026</t>
        </is>
      </c>
      <c r="J19822" s="10" t="inlineStr">
        <is>
          <t>Vận chuyển / Giao nhận / Kho vận, Kế toán / Kiểm toán, Thống kê</t>
        </is>
      </c>
      <c r="K19822" s="10" t="inlineStr">
        <is>
          <t>N/A</t>
        </is>
      </c>
      <c r="L19822" s="11">
        <f>HYPERLINK("https://careerviet.vn/vi/tim-viec-lam/nhan-vien-tram-can-thuan-an.35C667D3.html","Xem chi tiết")</f>
        <v/>
      </c>
      <c r="M19822" s="10" t="n"/>
    </row>
    <row r="19823">
      <c r="B19823" s="7" t="n">
        <v>19821</v>
      </c>
      <c r="C19823" t="inlineStr">
        <is>
          <t>CVCC Phân khúc &amp; Trải nghiệm Khách hàng</t>
        </is>
      </c>
      <c r="D19823" t="inlineStr">
        <is>
          <t>Ngân hàng TMCP Lộc Phát Việt Nam (LPBank)</t>
        </is>
      </c>
      <c r="E19823" t="inlineStr">
        <is>
          <t>Lương:Cạnh tranh</t>
        </is>
      </c>
      <c r="F19823" t="inlineStr">
        <is>
          <t>Hà Nội</t>
        </is>
      </c>
      <c r="G19823" t="inlineStr">
        <is>
          <t>24-03-2026</t>
        </is>
      </c>
      <c r="H19823" t="inlineStr">
        <is>
          <t>24/03/2026</t>
        </is>
      </c>
      <c r="I19823" t="inlineStr">
        <is>
          <t>17/03/2026</t>
        </is>
      </c>
      <c r="J19823" t="inlineStr">
        <is>
          <t>Ngân hàng</t>
        </is>
      </c>
      <c r="K19823" t="inlineStr">
        <is>
          <t>Trên 3 Năm</t>
        </is>
      </c>
      <c r="L19823" s="8">
        <f>HYPERLINK("https://careerviet.vn/vi/tim-viec-lam/cvcc-phan-khuc-trai-nghiem-khach-hang.35C63C2D.html","Xem chi tiết")</f>
        <v/>
      </c>
    </row>
    <row r="19824">
      <c r="B19824" s="9" t="n">
        <v>19822</v>
      </c>
      <c r="C19824" s="10" t="inlineStr">
        <is>
          <t>Lái xe giao hàng (Delivery Driver)</t>
        </is>
      </c>
      <c r="D19824" s="10" t="inlineStr">
        <is>
          <t>Công Ty TNHH Sản Xuất Keo Dán Thuận Nguyên</t>
        </is>
      </c>
      <c r="E19824" s="10" t="inlineStr">
        <is>
          <t>Lương:Cạnh tranh</t>
        </is>
      </c>
      <c r="F19824" s="10" t="inlineStr">
        <is>
          <t>Hưng Yên</t>
        </is>
      </c>
      <c r="G19824" s="10" t="inlineStr">
        <is>
          <t>24-03-2026</t>
        </is>
      </c>
      <c r="H19824" s="10" t="inlineStr">
        <is>
          <t>24/03/2026</t>
        </is>
      </c>
      <c r="I19824" s="10" t="inlineStr">
        <is>
          <t>17/03/2026</t>
        </is>
      </c>
      <c r="J19824" s="10" t="inlineStr">
        <is>
          <t>Vận chuyển / Giao nhận / Kho vận</t>
        </is>
      </c>
      <c r="K19824" s="10" t="inlineStr">
        <is>
          <t>Trên 1 Năm</t>
        </is>
      </c>
      <c r="L19824" s="11">
        <f>HYPERLINK("https://careerviet.vn/vi/tim-viec-lam/lai-xe-giao-hang-delivery-driver.35C66655.html","Xem chi tiết")</f>
        <v/>
      </c>
      <c r="M19824" s="10" t="n"/>
    </row>
    <row r="19825">
      <c r="B19825" s="7" t="n">
        <v>19823</v>
      </c>
      <c r="C19825" t="inlineStr">
        <is>
          <t>Medical Equipment Technician</t>
        </is>
      </c>
      <c r="D19825" t="inlineStr">
        <is>
          <t>Công ty TNHH Vạn Niên</t>
        </is>
      </c>
      <c r="E19825" t="inlineStr">
        <is>
          <t>Lương:14 Tr - 18 Tr VND</t>
        </is>
      </c>
      <c r="F19825" t="inlineStr">
        <is>
          <t>Hồ Chí Minh</t>
        </is>
      </c>
      <c r="G19825" t="inlineStr">
        <is>
          <t>24-03-2026</t>
        </is>
      </c>
      <c r="H19825" t="inlineStr">
        <is>
          <t>24/03/2026</t>
        </is>
      </c>
      <c r="I19825" t="inlineStr">
        <is>
          <t>17/03/2026</t>
        </is>
      </c>
      <c r="J19825" t="inlineStr">
        <is>
          <t>Y tế / Chăm sóc sức khỏe / Thẩm mỹ / Làm đẹp, Công nghệ sinh học, Bán Hàng Kỹ Thuật</t>
        </is>
      </c>
      <c r="K19825" t="inlineStr">
        <is>
          <t>3 - 5 Năm</t>
        </is>
      </c>
      <c r="L19825" s="8">
        <f>HYPERLINK("https://careerviet.vn/vi/tim-viec-lam/medical-equipment-technician.35C666ED.html","Xem chi tiết")</f>
        <v/>
      </c>
    </row>
    <row r="19826">
      <c r="B19826" s="9" t="n">
        <v>19824</v>
      </c>
      <c r="C19826" s="10" t="inlineStr">
        <is>
          <t>Production Engineer (PE)</t>
        </is>
      </c>
      <c r="D19826" s="10" t="inlineStr">
        <is>
          <t>CÔNG TY TNHH AMPHENOL TECHNOLOGY VIỆT NAM (AFOV)</t>
        </is>
      </c>
      <c r="E19826" s="10" t="inlineStr">
        <is>
          <t>Lương:Cạnh tranh</t>
        </is>
      </c>
      <c r="F19826" s="10" t="inlineStr">
        <is>
          <t>Long An</t>
        </is>
      </c>
      <c r="G19826" s="10" t="inlineStr">
        <is>
          <t>24-03-2026</t>
        </is>
      </c>
      <c r="H19826" s="10" t="inlineStr">
        <is>
          <t>24/03/2026</t>
        </is>
      </c>
      <c r="I19826" s="10" t="inlineStr">
        <is>
          <t>17/03/2026</t>
        </is>
      </c>
      <c r="J19826" s="10" t="inlineStr">
        <is>
          <t>Cơ khí / Ô tô / Tự động hóa, Bảo trì / Sửa chữa, Sản xuất / Vận hành sản xuất</t>
        </is>
      </c>
      <c r="K19826" s="10" t="inlineStr">
        <is>
          <t>1 Năm</t>
        </is>
      </c>
      <c r="L19826" s="11">
        <f>HYPERLINK("https://careerviet.vn/vi/tim-viec-lam/production-engineer-pe.35C63B25.html","Xem chi tiết")</f>
        <v/>
      </c>
      <c r="M19826" s="10" t="n"/>
    </row>
    <row r="19827">
      <c r="B19827" s="7" t="n">
        <v>19825</v>
      </c>
      <c r="C19827" t="inlineStr">
        <is>
          <t>Giám đốc Kinh doanh Toàn quốc Kênh MT - Ngành Điện Máy Gia Dụng, Thiết Bị Nhà Bếp</t>
        </is>
      </c>
      <c r="D19827" t="inlineStr">
        <is>
          <t>Tập Đoàn Karofi Holding</t>
        </is>
      </c>
      <c r="E19827" t="inlineStr">
        <is>
          <t>Lương:3.000 - 5.000 USD</t>
        </is>
      </c>
      <c r="F19827" t="inlineStr">
        <is>
          <t>Hồ Chí MinhHà Nội</t>
        </is>
      </c>
      <c r="G19827" t="inlineStr">
        <is>
          <t>24-03-2026</t>
        </is>
      </c>
      <c r="H19827" t="inlineStr">
        <is>
          <t>24/03/2026</t>
        </is>
      </c>
      <c r="I19827" t="inlineStr">
        <is>
          <t>17/03/2026</t>
        </is>
      </c>
      <c r="J19827" t="inlineStr">
        <is>
          <t>Bán lẻ / Bán sỉ, Bán hàng / Kinh doanh, Hàng gia dụng / Chăm sóc cá nhân</t>
        </is>
      </c>
      <c r="K19827" t="inlineStr">
        <is>
          <t>Trên 5 Năm</t>
        </is>
      </c>
      <c r="L19827" s="8">
        <f>HYPERLINK("https://careerviet.vn/vi/tim-viec-lam/giam-doc-kinh-doanh-toan-quoc-kenh-mt-nganh-dien-may-gia-dung-thiet-bi-nha-bep.35C63B7E.html","Xem chi tiết")</f>
        <v/>
      </c>
    </row>
    <row r="19828">
      <c r="B19828" s="9" t="n">
        <v>19826</v>
      </c>
      <c r="C19828" s="10" t="inlineStr">
        <is>
          <t>Trưởng Bộ Phận Hệ Thống Chính Sách – Có Thể Ra Tết Đi Làm</t>
        </is>
      </c>
      <c r="D19828" s="10" t="inlineStr">
        <is>
          <t>CÔNG TY CỔ PHẦN UNIK XANH</t>
        </is>
      </c>
      <c r="E19828" s="10" t="inlineStr">
        <is>
          <t>Lương:Cạnh tranh</t>
        </is>
      </c>
      <c r="F19828" s="10" t="inlineStr">
        <is>
          <t>Hà Nội</t>
        </is>
      </c>
      <c r="G19828" s="10" t="inlineStr">
        <is>
          <t>24-03-2026</t>
        </is>
      </c>
      <c r="H19828" s="10" t="inlineStr">
        <is>
          <t>24/03/2026</t>
        </is>
      </c>
      <c r="I19828" s="10" t="inlineStr">
        <is>
          <t>17/03/2026</t>
        </is>
      </c>
      <c r="J19828" s="10" t="inlineStr">
        <is>
          <t>Hành chính / Thư ký, Nhân sự, Quản lý điều hành</t>
        </is>
      </c>
      <c r="K19828" s="10" t="inlineStr">
        <is>
          <t>Trên 5 Năm</t>
        </is>
      </c>
      <c r="L19828" s="11">
        <f>HYPERLINK("https://careerviet.vn/vi/tim-viec-lam/truong-bo-phan-he-thong-chinh-sach-co-the-ra-tet-di-lam.35C63B70.html","Xem chi tiết")</f>
        <v/>
      </c>
      <c r="M19828" s="10" t="n"/>
    </row>
    <row r="19829">
      <c r="B19829" s="7" t="n">
        <v>19827</v>
      </c>
      <c r="C19829" t="inlineStr">
        <is>
          <t>IVD Field Service Engineer</t>
        </is>
      </c>
      <c r="D19829" t="inlineStr">
        <is>
          <t>Công ty TNHH Vạn Niên</t>
        </is>
      </c>
      <c r="E19829" t="inlineStr">
        <is>
          <t>Lương:14 Tr - 18 Tr VND</t>
        </is>
      </c>
      <c r="F19829" t="inlineStr">
        <is>
          <t>Hồ Chí Minh</t>
        </is>
      </c>
      <c r="G19829" t="inlineStr">
        <is>
          <t>24-03-2026</t>
        </is>
      </c>
      <c r="H19829" t="inlineStr">
        <is>
          <t>24/03/2026</t>
        </is>
      </c>
      <c r="I19829" t="inlineStr">
        <is>
          <t>17/03/2026</t>
        </is>
      </c>
      <c r="J19829" t="inlineStr">
        <is>
          <t>Y tế / Chăm sóc sức khỏe / Thẩm mỹ / Làm đẹp, Công nghệ sinh học, Bán Hàng Kỹ Thuật</t>
        </is>
      </c>
      <c r="K19829" t="inlineStr">
        <is>
          <t>3 - 5 Năm</t>
        </is>
      </c>
      <c r="L19829" s="8">
        <f>HYPERLINK("https://careerviet.vn/vi/tim-viec-lam/ivd-field-service-engineer.35C666F0.html","Xem chi tiết")</f>
        <v/>
      </c>
    </row>
    <row r="19830">
      <c r="B19830" s="9" t="n">
        <v>19828</v>
      </c>
      <c r="C19830" s="10" t="inlineStr">
        <is>
          <t>Bác sĩ thẩm mỹ Nội khoa - Trẻ hóa</t>
        </is>
      </c>
      <c r="D19830" s="10" t="inlineStr">
        <is>
          <t>CÔNG TY TNHH THẨM MỸ QUỐC TẾ LINH ANH</t>
        </is>
      </c>
      <c r="E19830" s="10" t="inlineStr">
        <is>
          <t>Lương:80 Tr - 200 Tr VND</t>
        </is>
      </c>
      <c r="F19830" s="10" t="inlineStr">
        <is>
          <t>Hồ Chí Minh</t>
        </is>
      </c>
      <c r="G19830" s="10" t="inlineStr">
        <is>
          <t>31-03-2026</t>
        </is>
      </c>
      <c r="H19830" s="10" t="inlineStr">
        <is>
          <t>31/03/2026</t>
        </is>
      </c>
      <c r="I19830" s="10" t="inlineStr">
        <is>
          <t>17/03/2026</t>
        </is>
      </c>
      <c r="J19830" s="10" t="inlineStr">
        <is>
          <t>Dược phẩm/ Hóa Mỹ Phẩm, Y tế / Chăm sóc sức khỏe / Thẩm mỹ / Làm đẹp</t>
        </is>
      </c>
      <c r="K19830" s="10" t="inlineStr">
        <is>
          <t>2 - 5 Năm</t>
        </is>
      </c>
      <c r="L19830" s="11">
        <f>HYPERLINK("https://careerviet.vn/vi/tim-viec-lam/bac-si-tham-my-noi-khoa-tre-hoa.35C63BB6.html","Xem chi tiết")</f>
        <v/>
      </c>
      <c r="M19830" s="10" t="n"/>
    </row>
    <row r="19831">
      <c r="B19831" s="7" t="n">
        <v>19829</v>
      </c>
      <c r="C19831" t="inlineStr">
        <is>
          <t>Nhân viên Content TikTok</t>
        </is>
      </c>
      <c r="D19831" t="inlineStr">
        <is>
          <t>Công ty Cổ Phần Giáo Dục German Link</t>
        </is>
      </c>
      <c r="E19831" t="inlineStr">
        <is>
          <t>Lương:10 Tr - 12 Tr VND</t>
        </is>
      </c>
      <c r="F19831" t="inlineStr">
        <is>
          <t>Hà Nội</t>
        </is>
      </c>
      <c r="G19831" t="inlineStr">
        <is>
          <t>24-03-2026</t>
        </is>
      </c>
      <c r="H19831" t="inlineStr">
        <is>
          <t>24/03/2026</t>
        </is>
      </c>
      <c r="I19831" t="inlineStr">
        <is>
          <t>17/03/2026</t>
        </is>
      </c>
      <c r="J19831" t="inlineStr">
        <is>
          <t>Tiếp thị / Marketing, Giáo dục / Đào tạo, Quảng cáo / Đối ngoại / Truyền Thông</t>
        </is>
      </c>
      <c r="K19831" t="inlineStr">
        <is>
          <t>Lên đến 1 Năm</t>
        </is>
      </c>
      <c r="L19831" s="8">
        <f>HYPERLINK("https://careerviet.vn/vi/tim-viec-lam/nhan-vien-content-tiktok.35C66762.html","Xem chi tiết")</f>
        <v/>
      </c>
    </row>
    <row r="19832">
      <c r="B19832" s="9" t="n">
        <v>19830</v>
      </c>
      <c r="C19832" s="10" t="inlineStr">
        <is>
          <t>Nhân viên trạm cân - Bắc Tân Uyên</t>
        </is>
      </c>
      <c r="D19832" s="10" t="inlineStr">
        <is>
          <t>CÔNG TY TNHH TM DV XỬ LÝ MÔI TRƯỜNG VIỆT KHẢI</t>
        </is>
      </c>
      <c r="E19832" s="10" t="inlineStr">
        <is>
          <t>Lương:8 Tr - 10 Tr VND</t>
        </is>
      </c>
      <c r="F19832" s="10" t="inlineStr">
        <is>
          <t>Bình Dương</t>
        </is>
      </c>
      <c r="G19832" s="10" t="inlineStr">
        <is>
          <t>24-03-2026</t>
        </is>
      </c>
      <c r="H19832" s="10" t="inlineStr">
        <is>
          <t>24/03/2026</t>
        </is>
      </c>
      <c r="I19832" s="10" t="inlineStr">
        <is>
          <t>17/03/2026</t>
        </is>
      </c>
      <c r="J19832" s="10" t="inlineStr">
        <is>
          <t>Vận chuyển / Giao nhận / Kho vận, Kế toán / Kiểm toán, Thống kê</t>
        </is>
      </c>
      <c r="K19832" s="10" t="inlineStr">
        <is>
          <t>N/A</t>
        </is>
      </c>
      <c r="L19832" s="11">
        <f>HYPERLINK("https://careerviet.vn/vi/tim-viec-lam/nhan-vien-tram-can-bac-tan-uyen.35C667D1.html","Xem chi tiết")</f>
        <v/>
      </c>
      <c r="M19832" s="10" t="n"/>
    </row>
    <row r="19833">
      <c r="B19833" s="7" t="n">
        <v>19831</v>
      </c>
      <c r="C19833" t="inlineStr">
        <is>
          <t>Senior Manager, Retail &amp; Small Business Banking Risk Management</t>
        </is>
      </c>
      <c r="D19833" t="inlineStr">
        <is>
          <t>NGÂN HÀNG TMCP KỸ THƯƠNG VIỆT NAM (TECHCOMBANK)</t>
        </is>
      </c>
      <c r="E19833" t="inlineStr">
        <is>
          <t>Lương:Cạnh tranh</t>
        </is>
      </c>
      <c r="F19833" t="inlineStr">
        <is>
          <t>Hà Nội</t>
        </is>
      </c>
      <c r="G19833" t="inlineStr">
        <is>
          <t>24-03-2026</t>
        </is>
      </c>
      <c r="H19833" t="inlineStr">
        <is>
          <t>24/03/2026</t>
        </is>
      </c>
      <c r="I19833" t="inlineStr">
        <is>
          <t>17/03/2026</t>
        </is>
      </c>
      <c r="J19833" t="inlineStr">
        <is>
          <t>Bán hàng / Kinh doanh, Ngân hàng, Tài chính / Đầu tư</t>
        </is>
      </c>
      <c r="K19833" t="inlineStr">
        <is>
          <t>Trên 5 Năm</t>
        </is>
      </c>
      <c r="L19833" s="8">
        <f>HYPERLINK("https://careerviet.vn/vi/tim-viec-lam/senior-manager-retail-small-business-banking-risk-management.35C63BEB.html","Xem chi tiết")</f>
        <v/>
      </c>
    </row>
    <row r="19834">
      <c r="B19834" s="9" t="n">
        <v>19832</v>
      </c>
      <c r="C19834" s="10" t="inlineStr">
        <is>
          <t>Giám đốc Phòng Khách hàng doanh nghiệp - Hồ Chí Minh &amp; Đồng Nai</t>
        </is>
      </c>
      <c r="D19834" s="10" t="inlineStr">
        <is>
          <t>Ngân hàng TMCP Việt Á – VietABank</t>
        </is>
      </c>
      <c r="E19834" s="10" t="inlineStr">
        <is>
          <t>Lương:Cạnh tranh</t>
        </is>
      </c>
      <c r="F19834" s="10" t="inlineStr">
        <is>
          <t>Đồng NaiHồ Chí Minh</t>
        </is>
      </c>
      <c r="G19834" s="10" t="inlineStr">
        <is>
          <t>24-03-2026</t>
        </is>
      </c>
      <c r="H19834" s="10" t="inlineStr">
        <is>
          <t>24/03/2026</t>
        </is>
      </c>
      <c r="I19834" s="10" t="inlineStr">
        <is>
          <t>17/03/2026</t>
        </is>
      </c>
      <c r="J19834" s="10" t="inlineStr">
        <is>
          <t>Ngân hàng, Tài chính / Đầu tư</t>
        </is>
      </c>
      <c r="K19834" s="10" t="inlineStr">
        <is>
          <t>1 - 3 Năm</t>
        </is>
      </c>
      <c r="L19834" s="11">
        <f>HYPERLINK("https://careerviet.vn/vi/tim-viec-lam/giam-doc-phong-khach-hang-doanh-nghiep-ho-chi-minh-dong-nai.35C66706.html","Xem chi tiết")</f>
        <v/>
      </c>
      <c r="M19834" s="10" t="n"/>
    </row>
    <row r="19835">
      <c r="B19835" s="7" t="n">
        <v>19833</v>
      </c>
      <c r="C19835" t="inlineStr">
        <is>
          <t>Nhân Viên/Chuyên Viên Thu Hồi Nợ Trực Tiếp - Toàn Quốc - TA080</t>
        </is>
      </c>
      <c r="D19835" t="inlineStr">
        <is>
          <t>Ngân Hàng TMCP Việt Nam Thịnh Vượng - VPBANK</t>
        </is>
      </c>
      <c r="E19835" t="inlineStr">
        <is>
          <t>Lương:Cạnh tranh</t>
        </is>
      </c>
      <c r="F19835" t="inlineStr">
        <is>
          <t>Hồ Chí MinhBình PhướcBình Định</t>
        </is>
      </c>
      <c r="G19835" t="inlineStr">
        <is>
          <t>24-03-2026</t>
        </is>
      </c>
      <c r="H19835" t="inlineStr">
        <is>
          <t>24/03/2026</t>
        </is>
      </c>
      <c r="I19835" t="inlineStr">
        <is>
          <t>17/03/2026</t>
        </is>
      </c>
      <c r="J19835" t="inlineStr">
        <is>
          <t>Bán hàng / Kinh doanh, Luật / Pháp lý, Ngân hàng</t>
        </is>
      </c>
      <c r="K19835" t="inlineStr">
        <is>
          <t>N/A</t>
        </is>
      </c>
      <c r="L19835" s="8">
        <f>HYPERLINK("https://careerviet.vn/vi/tim-viec-lam/nhan-vien-chuyen-vien-thu-hoi-no-truc-tiep-toan-quoc-ta080.35C66474.html","Xem chi tiết")</f>
        <v/>
      </c>
    </row>
    <row r="19836">
      <c r="B19836" s="9" t="n">
        <v>19834</v>
      </c>
      <c r="C19836" s="10" t="inlineStr">
        <is>
          <t>Sea Freight Executive (Export Document)</t>
        </is>
      </c>
      <c r="D19836" s="10" t="inlineStr">
        <is>
          <t>ITL Freight Management</t>
        </is>
      </c>
      <c r="E19836" s="10" t="inlineStr">
        <is>
          <t>Lương:Cạnh tranh</t>
        </is>
      </c>
      <c r="F19836" s="10" t="inlineStr">
        <is>
          <t>Hồ Chí Minh</t>
        </is>
      </c>
      <c r="G19836" s="10" t="inlineStr">
        <is>
          <t>24-03-2026</t>
        </is>
      </c>
      <c r="H19836" s="10" t="inlineStr">
        <is>
          <t>24/03/2026</t>
        </is>
      </c>
      <c r="I19836" s="10" t="inlineStr">
        <is>
          <t>17/03/2026</t>
        </is>
      </c>
      <c r="J19836" s="10" t="inlineStr">
        <is>
          <t>Vận chuyển / Giao nhận / Kho vận</t>
        </is>
      </c>
      <c r="K19836" s="10" t="inlineStr">
        <is>
          <t>1 - 2 Năm</t>
        </is>
      </c>
      <c r="L19836" s="11">
        <f>HYPERLINK("https://careerviet.vn/vi/tim-viec-lam/sea-freight-executive-export-document.35C6663B.html","Xem chi tiết")</f>
        <v/>
      </c>
      <c r="M19836" s="10" t="n"/>
    </row>
    <row r="19837">
      <c r="B19837" s="7" t="n">
        <v>19835</v>
      </c>
      <c r="C19837" t="inlineStr">
        <is>
          <t>Nhân Viên Thiết Kế_GRAPHIC DESIGNER_Tại Hà Nội</t>
        </is>
      </c>
      <c r="D19837" t="inlineStr">
        <is>
          <t>Công ty TNHH Dược Hunmed</t>
        </is>
      </c>
      <c r="E19837" t="inlineStr">
        <is>
          <t>Lương:13 Tr - 15 Tr VND</t>
        </is>
      </c>
      <c r="F19837" t="inlineStr">
        <is>
          <t>Hà Nội</t>
        </is>
      </c>
      <c r="G19837" t="inlineStr">
        <is>
          <t>24-03-2026</t>
        </is>
      </c>
      <c r="H19837" t="inlineStr">
        <is>
          <t>24/03/2026</t>
        </is>
      </c>
      <c r="I19837" t="inlineStr">
        <is>
          <t>17/03/2026</t>
        </is>
      </c>
      <c r="J19837" t="inlineStr">
        <is>
          <t>Y tế / Chăm sóc sức khỏe / Thẩm mỹ / Làm đẹp, Mỹ thuật / Nghệ thuật / Thiết kế</t>
        </is>
      </c>
      <c r="K19837" t="inlineStr">
        <is>
          <t>2 - 3 Năm</t>
        </is>
      </c>
      <c r="L19837" s="8">
        <f>HYPERLINK("https://careerviet.vn/vi/tim-viec-lam/nhan-vien-thiet-ke_graphic-designer_tai-ha-noi.35C63BDB.html","Xem chi tiết")</f>
        <v/>
      </c>
    </row>
    <row r="19838">
      <c r="B19838" s="9" t="n">
        <v>19836</v>
      </c>
      <c r="C19838" s="10" t="inlineStr">
        <is>
          <t>Transport Network Manager - Warehousing Solutions</t>
        </is>
      </c>
      <c r="D19838" s="10" t="inlineStr">
        <is>
          <t>RHENUS LOGISTICS LTD,.</t>
        </is>
      </c>
      <c r="E19838" s="10" t="inlineStr">
        <is>
          <t>Lương:Cạnh tranh</t>
        </is>
      </c>
      <c r="F19838" s="10" t="inlineStr">
        <is>
          <t>Bình Dương</t>
        </is>
      </c>
      <c r="G19838" s="10" t="inlineStr">
        <is>
          <t>24-03-2026</t>
        </is>
      </c>
      <c r="H19838" s="10" t="inlineStr">
        <is>
          <t>24/03/2026</t>
        </is>
      </c>
      <c r="I19838" s="10" t="inlineStr">
        <is>
          <t>17/03/2026</t>
        </is>
      </c>
      <c r="J19838" s="10" t="inlineStr">
        <is>
          <t>Vận chuyển / Giao nhận / Kho vận</t>
        </is>
      </c>
      <c r="K19838" s="10" t="inlineStr">
        <is>
          <t>5 - 9 Năm</t>
        </is>
      </c>
      <c r="L19838" s="11">
        <f>HYPERLINK("https://careerviet.vn/vi/tim-viec-lam/transport-network-manager-warehousing-solutions.35C667B5.html","Xem chi tiết")</f>
        <v/>
      </c>
      <c r="M19838" s="10" t="n"/>
    </row>
    <row r="19839">
      <c r="B19839" s="7" t="n">
        <v>19837</v>
      </c>
      <c r="C19839" t="inlineStr">
        <is>
          <t>Key Account Manager (KAM) - Ngành Điện Máy Gia Dụng, Thiết Bị Nhà Bếp</t>
        </is>
      </c>
      <c r="D19839" t="inlineStr">
        <is>
          <t>Tập Đoàn Karofi Holding</t>
        </is>
      </c>
      <c r="E19839" t="inlineStr">
        <is>
          <t>Lương:1.500 - 2.300 USD</t>
        </is>
      </c>
      <c r="F19839" t="inlineStr">
        <is>
          <t>Hà NộiHồ Chí Minh</t>
        </is>
      </c>
      <c r="G19839" t="inlineStr">
        <is>
          <t>24-03-2026</t>
        </is>
      </c>
      <c r="H19839" t="inlineStr">
        <is>
          <t>24/03/2026</t>
        </is>
      </c>
      <c r="I19839" t="inlineStr">
        <is>
          <t>17/03/2026</t>
        </is>
      </c>
      <c r="J19839" t="inlineStr">
        <is>
          <t>Bán lẻ / Bán sỉ, Bán hàng / Kinh doanh, Hàng gia dụng / Chăm sóc cá nhân</t>
        </is>
      </c>
      <c r="K19839" t="inlineStr">
        <is>
          <t>Trên 5 Năm</t>
        </is>
      </c>
      <c r="L19839" s="8">
        <f>HYPERLINK("https://careerviet.vn/vi/tim-viec-lam/key-account-manager-kam-nganh-dien-may-gia-dung-thiet-bi-nha-bep.35C63B82.html","Xem chi tiết")</f>
        <v/>
      </c>
    </row>
    <row r="19840">
      <c r="B19840" s="9" t="n">
        <v>19838</v>
      </c>
      <c r="C19840" s="10" t="inlineStr">
        <is>
          <t>CHUYÊN VIÊN DIGITAL PERFORMANCE</t>
        </is>
      </c>
      <c r="D19840" s="10" t="inlineStr">
        <is>
          <t>Công ty TNHH Sản xuất Thương mại &amp; Dịch vụ Hoa Xinh</t>
        </is>
      </c>
      <c r="E19840" s="10" t="inlineStr">
        <is>
          <t>Lương:15 Tr - 25 Tr VND</t>
        </is>
      </c>
      <c r="F19840" s="10" t="inlineStr">
        <is>
          <t>Hồ Chí Minh</t>
        </is>
      </c>
      <c r="G19840" s="10" t="inlineStr">
        <is>
          <t>24-03-2026</t>
        </is>
      </c>
      <c r="H19840" s="10" t="inlineStr">
        <is>
          <t>24/03/2026</t>
        </is>
      </c>
      <c r="I19840" s="10" t="inlineStr">
        <is>
          <t>17/03/2026</t>
        </is>
      </c>
      <c r="J19840" s="10" t="inlineStr">
        <is>
          <t>Tiếp thị / Marketing, Tiếp thị trực tuyến, Thương mại điện tử</t>
        </is>
      </c>
      <c r="K19840" s="10" t="inlineStr">
        <is>
          <t>1 - 5 Năm</t>
        </is>
      </c>
      <c r="L19840" s="11">
        <f>HYPERLINK("https://careerviet.vn/vi/tim-viec-lam/chuyen-vien-digital-performance.35C63C16.html","Xem chi tiết")</f>
        <v/>
      </c>
      <c r="M19840" s="10" t="n"/>
    </row>
    <row r="19841">
      <c r="B19841" s="7" t="n">
        <v>19839</v>
      </c>
      <c r="C19841" t="inlineStr">
        <is>
          <t>Thực tập sinh kỹ sư điện điện tử</t>
        </is>
      </c>
      <c r="D19841" t="inlineStr">
        <is>
          <t>Công Ty TNHH Detmold Packaging Vietnam</t>
        </is>
      </c>
      <c r="E19841" t="inlineStr">
        <is>
          <t>Lương:Cạnh tranh</t>
        </is>
      </c>
      <c r="F19841" t="inlineStr">
        <is>
          <t>Bình Dương</t>
        </is>
      </c>
      <c r="G19841" t="inlineStr">
        <is>
          <t>24-03-2026</t>
        </is>
      </c>
      <c r="H19841" t="inlineStr">
        <is>
          <t>24/03/2026</t>
        </is>
      </c>
      <c r="I19841" t="inlineStr">
        <is>
          <t>17/03/2026</t>
        </is>
      </c>
      <c r="J19841" t="inlineStr">
        <is>
          <t>Sản xuất / Vận hành sản xuất</t>
        </is>
      </c>
      <c r="K19841" t="inlineStr">
        <is>
          <t>N/A</t>
        </is>
      </c>
      <c r="L19841" s="8">
        <f>HYPERLINK("https://careerviet.vn/vi/tim-viec-lam/thuc-tap-sinh-ky-su-dien-dien-tu.35C63B60.html","Xem chi tiết")</f>
        <v/>
      </c>
    </row>
    <row r="19842">
      <c r="B19842" s="9" t="n">
        <v>19840</v>
      </c>
      <c r="C19842" s="10" t="inlineStr">
        <is>
          <t>Chuyên Viên Nghiên Cứu Định Hướng Đầu Tư</t>
        </is>
      </c>
      <c r="D19842" s="10" t="inlineStr">
        <is>
          <t>CÔNG TY CỔ PHẦN PHÁT TRIỂN BẤT ĐỘNG SẢN VĂN PHÚ</t>
        </is>
      </c>
      <c r="E19842" s="10" t="inlineStr">
        <is>
          <t>Lương:Cạnh tranh</t>
        </is>
      </c>
      <c r="F19842" s="10" t="inlineStr">
        <is>
          <t>Hà Nội</t>
        </is>
      </c>
      <c r="G19842" s="10" t="inlineStr">
        <is>
          <t>24-03-2026</t>
        </is>
      </c>
      <c r="H19842" s="10" t="inlineStr">
        <is>
          <t>24/03/2026</t>
        </is>
      </c>
      <c r="I19842" s="10" t="inlineStr">
        <is>
          <t>17/03/2026</t>
        </is>
      </c>
      <c r="J19842" s="10" t="inlineStr">
        <is>
          <t>Bất động sản, Tài chính / Đầu tư</t>
        </is>
      </c>
      <c r="K19842" s="10" t="inlineStr">
        <is>
          <t>Trên 3 Năm</t>
        </is>
      </c>
      <c r="L19842" s="11">
        <f>HYPERLINK("https://careerviet.vn/vi/tim-viec-lam/chuyen-vien-nghien-cuu-dinh-huong-dau-tu.35C667BD.html","Xem chi tiết")</f>
        <v/>
      </c>
      <c r="M19842" s="10" t="n"/>
    </row>
    <row r="19843">
      <c r="B19843" s="7" t="n">
        <v>19841</v>
      </c>
      <c r="C19843" t="inlineStr">
        <is>
          <t>Nhân viên phân tích dữ liệu</t>
        </is>
      </c>
      <c r="D19843" t="inlineStr">
        <is>
          <t>BỆNH VIỆN ĐA KHOA PHƯƠNG ĐÔNG</t>
        </is>
      </c>
      <c r="E19843" t="inlineStr">
        <is>
          <t>Lương:9 Tr - 15 Tr VND</t>
        </is>
      </c>
      <c r="F19843" t="inlineStr">
        <is>
          <t>Hà Nội</t>
        </is>
      </c>
      <c r="G19843" t="inlineStr">
        <is>
          <t>24-03-2026</t>
        </is>
      </c>
      <c r="H19843" t="inlineStr">
        <is>
          <t>24/03/2026</t>
        </is>
      </c>
      <c r="I19843" t="inlineStr">
        <is>
          <t>17/03/2026</t>
        </is>
      </c>
      <c r="J19843" t="inlineStr">
        <is>
          <t>Tiếp thị / Marketing</t>
        </is>
      </c>
      <c r="K19843" t="inlineStr">
        <is>
          <t>1 - 3 Năm</t>
        </is>
      </c>
      <c r="L19843" s="8">
        <f>HYPERLINK("https://careerviet.vn/vi/tim-viec-lam/nhan-vien-phan-tich-du-lieu.35C63AF9.html","Xem chi tiết")</f>
        <v/>
      </c>
    </row>
    <row r="19844">
      <c r="B19844" s="9" t="n">
        <v>19842</v>
      </c>
      <c r="C19844" s="10" t="inlineStr">
        <is>
          <t>Java Developer (Mid-level/Senior/Expert)</t>
        </is>
      </c>
      <c r="D19844" s="10" t="inlineStr">
        <is>
          <t>Ngân hàng TMCP Đại Chúng Việt Nam - PVcomBank</t>
        </is>
      </c>
      <c r="E19844" s="10" t="inlineStr">
        <is>
          <t>Lương:Cạnh tranh</t>
        </is>
      </c>
      <c r="F19844" s="10" t="inlineStr">
        <is>
          <t>Hà Nội</t>
        </is>
      </c>
      <c r="G19844" s="10" t="inlineStr">
        <is>
          <t>24-03-2026</t>
        </is>
      </c>
      <c r="H19844" s="10" t="inlineStr">
        <is>
          <t>24/03/2026</t>
        </is>
      </c>
      <c r="I19844" s="10" t="inlineStr">
        <is>
          <t>17/03/2026</t>
        </is>
      </c>
      <c r="J19844" s="10" t="inlineStr">
        <is>
          <t>CNTT - Phần cứng / Mạng, CNTT - Phần mềm, Ngân hàng</t>
        </is>
      </c>
      <c r="K19844" s="10" t="inlineStr">
        <is>
          <t>1 - 5 Năm</t>
        </is>
      </c>
      <c r="L19844" s="11">
        <f>HYPERLINK("https://careerviet.vn/vi/tim-viec-lam/java-developer-mid-level-senior-expert.35C66740.html","Xem chi tiết")</f>
        <v/>
      </c>
      <c r="M19844" s="10" t="n"/>
    </row>
    <row r="19845">
      <c r="B19845" s="7" t="n">
        <v>19843</v>
      </c>
      <c r="C19845" t="inlineStr">
        <is>
          <t>Chuyên Viên Truyền Thông</t>
        </is>
      </c>
      <c r="D19845" t="inlineStr">
        <is>
          <t>Công Ty Cổ Phần Đầu Tư K&amp;G Việt Nam</t>
        </is>
      </c>
      <c r="E19845" t="inlineStr">
        <is>
          <t>Lương:13 Tr - 16 Tr VND</t>
        </is>
      </c>
      <c r="F19845" t="inlineStr">
        <is>
          <t>Hồ Chí Minh</t>
        </is>
      </c>
      <c r="G19845" t="inlineStr">
        <is>
          <t>24-03-2026</t>
        </is>
      </c>
      <c r="H19845" t="inlineStr">
        <is>
          <t>24/03/2026</t>
        </is>
      </c>
      <c r="I19845" t="inlineStr">
        <is>
          <t>17/03/2026</t>
        </is>
      </c>
      <c r="J19845" t="inlineStr">
        <is>
          <t>Tiếp thị / Marketing, Tiếp thị trực tuyến</t>
        </is>
      </c>
      <c r="K19845" t="inlineStr">
        <is>
          <t>2 - 3 Năm</t>
        </is>
      </c>
      <c r="L19845" s="8">
        <f>HYPERLINK("https://careerviet.vn/vi/tim-viec-lam/chuyen-vien-truyen-thong.35C66668.html","Xem chi tiết")</f>
        <v/>
      </c>
    </row>
    <row r="19846">
      <c r="B19846" s="9" t="n">
        <v>19844</v>
      </c>
      <c r="C19846" s="10" t="inlineStr">
        <is>
          <t>Kế toán tiền lương</t>
        </is>
      </c>
      <c r="D19846" s="10" t="inlineStr">
        <is>
          <t>Công ty Cổ phần Địa chất và Khoáng sản - Vinacomin</t>
        </is>
      </c>
      <c r="E19846" s="10" t="inlineStr">
        <is>
          <t>Lương:Trên 15 Tr VND</t>
        </is>
      </c>
      <c r="F19846" s="10" t="inlineStr">
        <is>
          <t>Hồ Chí Minh</t>
        </is>
      </c>
      <c r="G19846" s="10" t="inlineStr">
        <is>
          <t>24-03-2026</t>
        </is>
      </c>
      <c r="H19846" s="10" t="inlineStr">
        <is>
          <t>24/03/2026</t>
        </is>
      </c>
      <c r="I19846" s="10" t="inlineStr">
        <is>
          <t>17/03/2026</t>
        </is>
      </c>
      <c r="J19846" s="10" t="inlineStr">
        <is>
          <t>Kế toán / Kiểm toán</t>
        </is>
      </c>
      <c r="K19846" s="10" t="inlineStr">
        <is>
          <t>2 - 10 Năm</t>
        </is>
      </c>
      <c r="L19846" s="11">
        <f>HYPERLINK("https://careerviet.vn/vi/tim-viec-lam/ke-toan-tien-luong.35C63AE7.html","Xem chi tiết")</f>
        <v/>
      </c>
      <c r="M19846" s="10" t="n"/>
    </row>
    <row r="19847">
      <c r="B19847" s="7" t="n">
        <v>19845</v>
      </c>
      <c r="C19847" t="inlineStr">
        <is>
          <t>Nhân viên kinh doanh</t>
        </is>
      </c>
      <c r="D19847" t="inlineStr">
        <is>
          <t>CÔNG TY CỔ PHẦN THIẾT BỊ ĐIỆN VINSHINE</t>
        </is>
      </c>
      <c r="E19847" t="inlineStr">
        <is>
          <t>Lương:10 Tr - 20 Tr VND</t>
        </is>
      </c>
      <c r="F19847" t="inlineStr">
        <is>
          <t>Hải Phòng</t>
        </is>
      </c>
      <c r="G19847" t="inlineStr">
        <is>
          <t>24-03-2026</t>
        </is>
      </c>
      <c r="H19847" t="inlineStr">
        <is>
          <t>24/03/2026</t>
        </is>
      </c>
      <c r="I19847" t="inlineStr">
        <is>
          <t>17/03/2026</t>
        </is>
      </c>
      <c r="J19847" t="inlineStr">
        <is>
          <t>Tiếp thị / Marketing, Bán lẻ / Bán sỉ, Bán hàng / Kinh doanh</t>
        </is>
      </c>
      <c r="K19847" t="inlineStr">
        <is>
          <t>N/A</t>
        </is>
      </c>
      <c r="L19847" s="8">
        <f>HYPERLINK("https://careerviet.vn/vi/tim-viec-lam/nhan-vien-kinh-doanh.35C666F1.html","Xem chi tiết")</f>
        <v/>
      </c>
    </row>
    <row r="19848">
      <c r="B19848" s="9" t="n">
        <v>19846</v>
      </c>
      <c r="C19848" s="10" t="inlineStr">
        <is>
          <t>Kế toán tổng hợp</t>
        </is>
      </c>
      <c r="D19848" s="10" t="inlineStr">
        <is>
          <t>CÔNG TY CỔ PHẦN DƯỢC LIỆU VIỆT NAM (VIETMEC)</t>
        </is>
      </c>
      <c r="E19848" s="10" t="inlineStr">
        <is>
          <t>Lương:15 Tr - 20 Tr VND</t>
        </is>
      </c>
      <c r="F19848" s="10" t="inlineStr">
        <is>
          <t>Hồ Chí MinhĐồng ThápHà Nội</t>
        </is>
      </c>
      <c r="G19848" s="10" t="inlineStr">
        <is>
          <t>24-03-2026</t>
        </is>
      </c>
      <c r="H19848" s="10" t="inlineStr">
        <is>
          <t>24/03/2026</t>
        </is>
      </c>
      <c r="I19848" s="10" t="inlineStr">
        <is>
          <t>17/03/2026</t>
        </is>
      </c>
      <c r="J19848" s="10" t="inlineStr">
        <is>
          <t>Kế toán / Kiểm toán, Ngân hàng, Tài chính / Đầu tư</t>
        </is>
      </c>
      <c r="K19848" s="10" t="inlineStr">
        <is>
          <t>3 - 5 Năm</t>
        </is>
      </c>
      <c r="L19848" s="11">
        <f>HYPERLINK("https://careerviet.vn/vi/tim-viec-lam/ke-toan-tong-hop.35C63BBD.html","Xem chi tiết")</f>
        <v/>
      </c>
      <c r="M19848" s="10" t="n"/>
    </row>
    <row r="19849">
      <c r="B19849" s="7" t="n">
        <v>19847</v>
      </c>
      <c r="C19849" t="inlineStr">
        <is>
          <t>Kế Toán Trưởng (Chủ Đầu Tư BĐS)</t>
        </is>
      </c>
      <c r="D19849" t="inlineStr">
        <is>
          <t>Tập Đoàn Tân Á Đại Thành</t>
        </is>
      </c>
      <c r="E19849" t="inlineStr">
        <is>
          <t>Lương:Trên 40 Tr VND</t>
        </is>
      </c>
      <c r="F19849" t="inlineStr">
        <is>
          <t>Hà Nội</t>
        </is>
      </c>
      <c r="G19849" t="inlineStr">
        <is>
          <t>24-03-2026</t>
        </is>
      </c>
      <c r="H19849" t="inlineStr">
        <is>
          <t>24/03/2026</t>
        </is>
      </c>
      <c r="I19849" t="inlineStr">
        <is>
          <t>17/03/2026</t>
        </is>
      </c>
      <c r="J19849" t="inlineStr">
        <is>
          <t>Kế toán / Kiểm toán, Ngân hàng, Tài chính / Đầu tư</t>
        </is>
      </c>
      <c r="K19849" t="inlineStr">
        <is>
          <t>Trên 5 Năm</t>
        </is>
      </c>
      <c r="L19849" s="8">
        <f>HYPERLINK("https://careerviet.vn/vi/tim-viec-lam/ke-toan-truong-chu-dau-tu-bds.35C666EC.html","Xem chi tiết")</f>
        <v/>
      </c>
    </row>
    <row r="19850">
      <c r="B19850" s="9" t="n">
        <v>19848</v>
      </c>
      <c r="C19850" s="10" t="inlineStr">
        <is>
          <t>Chuyên Viên Dịch Vụ Khách Hàng Khu Vực Miền Nam (CS) - Tiếng Trung - J&amp;T Cargo</t>
        </is>
      </c>
      <c r="D19850" s="10" t="inlineStr">
        <is>
          <t>CÔNG TY TNHH YIMI J&amp;T CARGO TRANSPORTATION</t>
        </is>
      </c>
      <c r="E19850" s="10" t="inlineStr">
        <is>
          <t>Lương:15 Tr - 20 Tr VND</t>
        </is>
      </c>
      <c r="F19850" s="10" t="inlineStr">
        <is>
          <t>Hồ Chí Minh</t>
        </is>
      </c>
      <c r="G19850" s="10" t="inlineStr">
        <is>
          <t>25-03-2026</t>
        </is>
      </c>
      <c r="H19850" s="10" t="inlineStr">
        <is>
          <t>25/03/2026</t>
        </is>
      </c>
      <c r="I19850" s="10" t="inlineStr">
        <is>
          <t>17/03/2026</t>
        </is>
      </c>
      <c r="J19850" s="10" t="inlineStr">
        <is>
          <t>Dịch vụ khách hàng, Vận chuyển / Giao nhận / Kho vận</t>
        </is>
      </c>
      <c r="K19850" s="10" t="inlineStr">
        <is>
          <t>1 - 3 Năm</t>
        </is>
      </c>
      <c r="L19850" s="11">
        <f>HYPERLINK("https://careerviet.vn/vi/tim-viec-lam/chuyen-vien-dich-vu-khach-hang-khu-vuc-mien-nam-cs-tieng-trung-j-t-cargo.35C63E0E.html","Xem chi tiết")</f>
        <v/>
      </c>
      <c r="M19850" s="10" t="n"/>
    </row>
    <row r="19851">
      <c r="B19851" s="7" t="n">
        <v>19849</v>
      </c>
      <c r="C19851" t="inlineStr">
        <is>
          <t>Chuyên viên tài chính nguồn vốn</t>
        </is>
      </c>
      <c r="D19851" t="inlineStr">
        <is>
          <t>Bảo mật</t>
        </is>
      </c>
      <c r="E19851" t="inlineStr">
        <is>
          <t>Lương:30 Tr - 38 Tr VND</t>
        </is>
      </c>
      <c r="F19851" t="inlineStr">
        <is>
          <t>Hà Nội</t>
        </is>
      </c>
      <c r="G19851" t="inlineStr">
        <is>
          <t>24-03-2026</t>
        </is>
      </c>
      <c r="H19851" t="inlineStr">
        <is>
          <t>24/03/2026</t>
        </is>
      </c>
      <c r="I19851" t="inlineStr">
        <is>
          <t>17/03/2026</t>
        </is>
      </c>
      <c r="J19851" t="inlineStr">
        <is>
          <t>Ngân hàng, Tài chính / Đầu tư</t>
        </is>
      </c>
      <c r="K19851" t="inlineStr">
        <is>
          <t>5 - 10 Năm</t>
        </is>
      </c>
      <c r="L19851" s="8">
        <f>HYPERLINK("https://careerviet.vn/vi/tim-viec-lam/chuyen-vien-tai-chinh-nguon-von.35C63B5D.html","Xem chi tiết")</f>
        <v/>
      </c>
    </row>
    <row r="19852">
      <c r="B19852" s="9" t="n">
        <v>19850</v>
      </c>
      <c r="C19852" s="10" t="inlineStr">
        <is>
          <t>Bắc Kạn - Chuyên viên quản lý hạ tầng</t>
        </is>
      </c>
      <c r="D19852" s="10" t="inlineStr">
        <is>
          <t>CÔNG TY CỔ PHẦN TẬP ĐOÀN ONSEN FUJI</t>
        </is>
      </c>
      <c r="E19852" s="10" t="inlineStr">
        <is>
          <t>Lương:10 Tr - 20 Tr VND</t>
        </is>
      </c>
      <c r="F19852" s="10" t="inlineStr">
        <is>
          <t>Bắc Cạn</t>
        </is>
      </c>
      <c r="G19852" s="10" t="inlineStr">
        <is>
          <t>24-03-2026</t>
        </is>
      </c>
      <c r="H19852" s="10" t="inlineStr">
        <is>
          <t>24/03/2026</t>
        </is>
      </c>
      <c r="I19852" s="10" t="inlineStr">
        <is>
          <t>17/03/2026</t>
        </is>
      </c>
      <c r="J19852" s="10" t="inlineStr">
        <is>
          <t>Xây dựng, Ngành khác, Thủy lợi</t>
        </is>
      </c>
      <c r="K19852" s="10" t="inlineStr">
        <is>
          <t>Trên 3 Năm</t>
        </is>
      </c>
      <c r="L19852" s="11">
        <f>HYPERLINK("https://careerviet.vn/vi/tim-viec-lam/bac-kan-chuyen-vien-quan-ly-ha-tang.35C66765.html","Xem chi tiết")</f>
        <v/>
      </c>
      <c r="M19852" s="10" t="n"/>
    </row>
    <row r="19853">
      <c r="B19853" s="7" t="n">
        <v>19851</v>
      </c>
      <c r="C19853" t="inlineStr">
        <is>
          <t>[Sameri] Kế toán tổng hợp</t>
        </is>
      </c>
      <c r="D19853" t="inlineStr">
        <is>
          <t>Công ty Cổ phần Tập đoàn Minh Anh</t>
        </is>
      </c>
      <c r="E19853" t="inlineStr">
        <is>
          <t>Lương:Cạnh tranh</t>
        </is>
      </c>
      <c r="F19853" t="inlineStr">
        <is>
          <t>Thanh Hóa</t>
        </is>
      </c>
      <c r="G19853" t="inlineStr">
        <is>
          <t>25-03-2026</t>
        </is>
      </c>
      <c r="H19853" t="inlineStr">
        <is>
          <t>25/03/2026</t>
        </is>
      </c>
      <c r="I19853" t="inlineStr">
        <is>
          <t>17/03/2026</t>
        </is>
      </c>
      <c r="J19853" t="inlineStr">
        <is>
          <t>Kế toán / Kiểm toán, Ngân hàng, Dệt may / Da giày / Thời trang</t>
        </is>
      </c>
      <c r="K19853" t="inlineStr">
        <is>
          <t>2 - 3 Năm</t>
        </is>
      </c>
      <c r="L19853" s="8">
        <f>HYPERLINK("https://careerviet.vn/vi/tim-viec-lam/sameri-ke-toan-tong-hop.35C63CBE.html","Xem chi tiết")</f>
        <v/>
      </c>
    </row>
    <row r="19854">
      <c r="B19854" s="9" t="n">
        <v>19852</v>
      </c>
      <c r="C19854" s="10" t="inlineStr">
        <is>
          <t>Nhân viên kiểm nghiệm chất lượng nước</t>
        </is>
      </c>
      <c r="D19854" s="10" t="inlineStr">
        <is>
          <t>CÔNG TY TNHH ELECTRONIC TRIPOD VIỆT NAM (CHÂU ĐỨC)</t>
        </is>
      </c>
      <c r="E19854" s="10" t="inlineStr">
        <is>
          <t>Lương:Cạnh tranh</t>
        </is>
      </c>
      <c r="F19854" s="10" t="inlineStr">
        <is>
          <t>Bà Rịa - Vũng Tàu</t>
        </is>
      </c>
      <c r="G19854" s="10" t="inlineStr">
        <is>
          <t>25-03-2026</t>
        </is>
      </c>
      <c r="H19854" s="10" t="inlineStr">
        <is>
          <t>25/03/2026</t>
        </is>
      </c>
      <c r="I19854" s="10" t="inlineStr">
        <is>
          <t>17/03/2026</t>
        </is>
      </c>
      <c r="J19854" s="10" t="inlineStr">
        <is>
          <t>Môi trường, Hóa học, Quản lý chất lượng (QA/QC)</t>
        </is>
      </c>
      <c r="K19854" s="10" t="inlineStr">
        <is>
          <t>N/A</t>
        </is>
      </c>
      <c r="L19854" s="11">
        <f>HYPERLINK("https://careerviet.vn/vi/tim-viec-lam/nhan-vien-kiem-nghiem-chat-luong-nuoc.35C63CFE.html","Xem chi tiết")</f>
        <v/>
      </c>
      <c r="M19854" s="10" t="n"/>
    </row>
    <row r="19855">
      <c r="B19855" s="7" t="n">
        <v>19853</v>
      </c>
      <c r="C19855" t="inlineStr">
        <is>
          <t>Graphic Designer</t>
        </is>
      </c>
      <c r="D19855" t="inlineStr">
        <is>
          <t>HR Vietnam’s ESS Client</t>
        </is>
      </c>
      <c r="E19855" t="inlineStr">
        <is>
          <t>Lương:12 Tr - 15 Tr VND</t>
        </is>
      </c>
      <c r="F19855" t="inlineStr">
        <is>
          <t>Hà Nội</t>
        </is>
      </c>
      <c r="G19855" t="inlineStr">
        <is>
          <t>25-03-2026</t>
        </is>
      </c>
      <c r="H19855" t="inlineStr">
        <is>
          <t>25/03/2026</t>
        </is>
      </c>
      <c r="I19855" t="inlineStr">
        <is>
          <t>17/03/2026</t>
        </is>
      </c>
      <c r="J19855" t="inlineStr">
        <is>
          <t>Mỹ thuật / Nghệ thuật / Thiết kế</t>
        </is>
      </c>
      <c r="K19855" t="inlineStr">
        <is>
          <t>1 - 2 Năm</t>
        </is>
      </c>
      <c r="L19855" s="8">
        <f>HYPERLINK("https://careerviet.vn/vi/tim-viec-lam/graphic-designer.35C63DBD.html","Xem chi tiết")</f>
        <v/>
      </c>
    </row>
    <row r="19856">
      <c r="B19856" s="9" t="n">
        <v>19854</v>
      </c>
      <c r="C19856" s="10" t="inlineStr">
        <is>
          <t>Retail Operation Executive</t>
        </is>
      </c>
      <c r="D19856" s="10" t="inlineStr">
        <is>
          <t>Tập Đoàn Karofi Holding</t>
        </is>
      </c>
      <c r="E19856" s="10" t="inlineStr">
        <is>
          <t>Lương:Cạnh tranh</t>
        </is>
      </c>
      <c r="F19856" s="10" t="inlineStr">
        <is>
          <t>Hà Nội</t>
        </is>
      </c>
      <c r="G19856" s="10" t="inlineStr">
        <is>
          <t>24-03-2026</t>
        </is>
      </c>
      <c r="H19856" s="10" t="inlineStr">
        <is>
          <t>24/03/2026</t>
        </is>
      </c>
      <c r="I19856" s="10" t="inlineStr">
        <is>
          <t>17/03/2026</t>
        </is>
      </c>
      <c r="J19856" s="10" t="inlineStr">
        <is>
          <t>Bán lẻ / Bán sỉ, Hàng gia dụng / Chăm sóc cá nhân, Điện / Điện tử / Điện lạnh / Điện công nghiệp</t>
        </is>
      </c>
      <c r="K19856" s="10" t="inlineStr">
        <is>
          <t>1 - 3 Năm</t>
        </is>
      </c>
      <c r="L19856" s="11">
        <f>HYPERLINK("https://careerviet.vn/vi/tim-viec-lam/retail-operation-executive.35C63C03.html","Xem chi tiết")</f>
        <v/>
      </c>
      <c r="M19856" s="10" t="n"/>
    </row>
    <row r="19857">
      <c r="B19857" s="7" t="n">
        <v>19855</v>
      </c>
      <c r="C19857" t="inlineStr">
        <is>
          <t>Nhân viên kế toán thanh toán</t>
        </is>
      </c>
      <c r="D19857" t="inlineStr">
        <is>
          <t>CÔNG TY CỔ PHẦN SAIGON INDOCHINE CRUISE</t>
        </is>
      </c>
      <c r="E19857" t="inlineStr">
        <is>
          <t>Lương:Cạnh tranh</t>
        </is>
      </c>
      <c r="F19857" t="inlineStr">
        <is>
          <t>Hồ Chí Minh</t>
        </is>
      </c>
      <c r="G19857" t="inlineStr">
        <is>
          <t>25-03-2026</t>
        </is>
      </c>
      <c r="H19857" t="inlineStr">
        <is>
          <t>25/03/2026</t>
        </is>
      </c>
      <c r="I19857" t="inlineStr">
        <is>
          <t>17/03/2026</t>
        </is>
      </c>
      <c r="J19857" t="inlineStr">
        <is>
          <t>Kế toán / Kiểm toán, Tài chính / Đầu tư, Nhà hàng / Khách sạn</t>
        </is>
      </c>
      <c r="K19857" t="inlineStr">
        <is>
          <t>2 - 3 Năm</t>
        </is>
      </c>
      <c r="L19857" s="8">
        <f>HYPERLINK("https://careerviet.vn/vi/tim-viec-lam/nhan-vien-ke-toan-thanh-toan.35C63CC8.html","Xem chi tiết")</f>
        <v/>
      </c>
    </row>
    <row r="19858">
      <c r="B19858" s="9" t="n">
        <v>19856</v>
      </c>
      <c r="C19858" s="10" t="inlineStr">
        <is>
          <t>[MAP] Merchandiser Fob Garment</t>
        </is>
      </c>
      <c r="D19858" s="10" t="inlineStr">
        <is>
          <t>Công ty Cổ phần Tập đoàn Minh Anh</t>
        </is>
      </c>
      <c r="E19858" s="10" t="inlineStr">
        <is>
          <t>Lương:Cạnh tranh</t>
        </is>
      </c>
      <c r="F19858" s="10" t="inlineStr">
        <is>
          <t>Hà Nội</t>
        </is>
      </c>
      <c r="G19858" s="10" t="inlineStr">
        <is>
          <t>25-03-2026</t>
        </is>
      </c>
      <c r="H19858" s="10" t="inlineStr">
        <is>
          <t>25/03/2026</t>
        </is>
      </c>
      <c r="I19858" s="10" t="inlineStr">
        <is>
          <t>17/03/2026</t>
        </is>
      </c>
      <c r="J19858" s="10" t="inlineStr">
        <is>
          <t>Dệt may / Da giày / Thời trang, Sản xuất / Vận hành sản xuất, Thu mua / Vật tư</t>
        </is>
      </c>
      <c r="K19858" s="10" t="inlineStr">
        <is>
          <t>2 - 10 Năm</t>
        </is>
      </c>
      <c r="L19858" s="11">
        <f>HYPERLINK("https://careerviet.vn/vi/tim-viec-lam/map-merchandiser-fob-garment.35C63CFC.html","Xem chi tiết")</f>
        <v/>
      </c>
      <c r="M19858" s="10" t="n"/>
    </row>
    <row r="19859">
      <c r="B19859" s="7" t="n">
        <v>19857</v>
      </c>
      <c r="C19859" t="inlineStr">
        <is>
          <t>Admin Specialist (For Strategy Office)</t>
        </is>
      </c>
      <c r="D19859" t="inlineStr">
        <is>
          <t>Công Ty CP Dược Phẩm Pharmacity</t>
        </is>
      </c>
      <c r="E19859" t="inlineStr">
        <is>
          <t>Lương:Cạnh tranh</t>
        </is>
      </c>
      <c r="F19859" t="inlineStr">
        <is>
          <t>Hồ Chí Minh</t>
        </is>
      </c>
      <c r="G19859" t="inlineStr">
        <is>
          <t>25-03-2026</t>
        </is>
      </c>
      <c r="H19859" t="inlineStr">
        <is>
          <t>25/03/2026</t>
        </is>
      </c>
      <c r="I19859" t="inlineStr">
        <is>
          <t>17/03/2026</t>
        </is>
      </c>
      <c r="J19859" t="inlineStr">
        <is>
          <t>Hành chính / Thư ký</t>
        </is>
      </c>
      <c r="K19859" t="inlineStr">
        <is>
          <t>2 - 3 Năm</t>
        </is>
      </c>
      <c r="L19859" s="8">
        <f>HYPERLINK("https://careerviet.vn/vi/tim-viec-lam/admin-specialist-for-strategy-office.35C63DD1.html","Xem chi tiết")</f>
        <v/>
      </c>
    </row>
    <row r="19860">
      <c r="B19860" s="9" t="n">
        <v>19858</v>
      </c>
      <c r="C19860" s="10" t="inlineStr">
        <is>
          <t>Chỉ Huy Phó Văn Phòng</t>
        </is>
      </c>
      <c r="D19860" s="10" t="inlineStr">
        <is>
          <t>Công Ty Cổ Phần Xây Dựng CDC</t>
        </is>
      </c>
      <c r="E19860" s="10" t="inlineStr">
        <is>
          <t>Lương:25 Tr - 35 Tr VND</t>
        </is>
      </c>
      <c r="F19860" s="10" t="inlineStr">
        <is>
          <t>Hồ Chí MinhNghệ AnHưng Yên</t>
        </is>
      </c>
      <c r="G19860" s="10" t="inlineStr">
        <is>
          <t>28-03-2026</t>
        </is>
      </c>
      <c r="H19860" s="10" t="inlineStr">
        <is>
          <t>28/03/2026</t>
        </is>
      </c>
      <c r="I19860" s="10" t="inlineStr">
        <is>
          <t>17/03/2026</t>
        </is>
      </c>
      <c r="J19860" s="10" t="inlineStr">
        <is>
          <t>Xây dựng</t>
        </is>
      </c>
      <c r="K19860" s="10" t="inlineStr">
        <is>
          <t>3 - 5 Năm</t>
        </is>
      </c>
      <c r="L19860" s="11">
        <f>HYPERLINK("https://careerviet.vn/vi/tim-viec-lam/chi-huy-pho-van-phong.35C63CE8.html","Xem chi tiết")</f>
        <v/>
      </c>
      <c r="M19860" s="10" t="n"/>
    </row>
    <row r="19861">
      <c r="B19861" s="7" t="n">
        <v>19859</v>
      </c>
      <c r="C19861" t="inlineStr">
        <is>
          <t>[Hà Nội] Nhân viên Lái xe - Hỗ trợ nếm thử</t>
        </is>
      </c>
      <c r="D19861" t="inlineStr">
        <is>
          <t>CÔNG TY TNHH DAESANG VIỆT NAM</t>
        </is>
      </c>
      <c r="E19861" t="inlineStr">
        <is>
          <t>Lương:Cạnh tranh</t>
        </is>
      </c>
      <c r="F19861" t="inlineStr">
        <is>
          <t>Hà Nội</t>
        </is>
      </c>
      <c r="G19861" t="inlineStr">
        <is>
          <t>25-03-2026</t>
        </is>
      </c>
      <c r="H19861" t="inlineStr">
        <is>
          <t>25/03/2026</t>
        </is>
      </c>
      <c r="I19861" t="inlineStr">
        <is>
          <t>17/03/2026</t>
        </is>
      </c>
      <c r="J19861" t="inlineStr">
        <is>
          <t>Bán hàng / Kinh doanh, Vận chuyển / Giao nhận / Kho vận</t>
        </is>
      </c>
      <c r="K19861" t="inlineStr">
        <is>
          <t>2 - 3 Năm</t>
        </is>
      </c>
      <c r="L19861" s="8">
        <f>HYPERLINK("https://careerviet.vn/vi/tim-viec-lam/ha-noi-nhan-vien-lai-xe-ho-tro-nem-thu.35C63E3B.html","Xem chi tiết")</f>
        <v/>
      </c>
    </row>
    <row r="19862">
      <c r="B19862" s="9" t="n">
        <v>19860</v>
      </c>
      <c r="C19862" s="10" t="inlineStr">
        <is>
          <t>GIÁM SÁT CÔNG TRƯỜNG</t>
        </is>
      </c>
      <c r="D19862" s="10" t="inlineStr">
        <is>
          <t>CÔNG TY TNHH SX-TM-XD KYODO</t>
        </is>
      </c>
      <c r="E19862" s="10" t="inlineStr">
        <is>
          <t>Lương:15 Tr - 25 Tr VND</t>
        </is>
      </c>
      <c r="F19862" s="10" t="inlineStr">
        <is>
          <t>Hồ Chí Minh</t>
        </is>
      </c>
      <c r="G19862" s="10" t="inlineStr">
        <is>
          <t>25-03-2026</t>
        </is>
      </c>
      <c r="H19862" s="10" t="inlineStr">
        <is>
          <t>25/03/2026</t>
        </is>
      </c>
      <c r="I19862" s="10" t="inlineStr">
        <is>
          <t>17/03/2026</t>
        </is>
      </c>
      <c r="J19862" s="10" t="inlineStr">
        <is>
          <t>Điện / Điện tử / Điện lạnh / Điện công nghiệp, Xây dựng</t>
        </is>
      </c>
      <c r="K19862" s="10" t="inlineStr">
        <is>
          <t>2 - 5 Năm</t>
        </is>
      </c>
      <c r="L19862" s="11">
        <f>HYPERLINK("https://careerviet.vn/vi/tim-viec-lam/giam-sat-cong-truong.35C63DFE.html","Xem chi tiết")</f>
        <v/>
      </c>
      <c r="M19862" s="10" t="n"/>
    </row>
    <row r="19863">
      <c r="B19863" s="7" t="n">
        <v>19861</v>
      </c>
      <c r="C19863" t="inlineStr">
        <is>
          <t>Thủ Kho</t>
        </is>
      </c>
      <c r="D19863" t="inlineStr">
        <is>
          <t>Công ty cổ phần công nghệ đánh bóng kim loại Leka</t>
        </is>
      </c>
      <c r="E19863" t="inlineStr">
        <is>
          <t>Lương:11 Tr - 15 Tr VND</t>
        </is>
      </c>
      <c r="F19863" t="inlineStr">
        <is>
          <t>Hà Nội</t>
        </is>
      </c>
      <c r="G19863" t="inlineStr">
        <is>
          <t>25-03-2026</t>
        </is>
      </c>
      <c r="H19863" t="inlineStr">
        <is>
          <t>25/03/2026</t>
        </is>
      </c>
      <c r="I19863" t="inlineStr">
        <is>
          <t>17/03/2026</t>
        </is>
      </c>
      <c r="J19863" t="inlineStr">
        <is>
          <t>Quản lý điều hành, Vận chuyển / Giao nhận / Kho vận</t>
        </is>
      </c>
      <c r="K19863" t="inlineStr">
        <is>
          <t>N/A</t>
        </is>
      </c>
      <c r="L19863" s="8">
        <f>HYPERLINK("https://careerviet.vn/vi/tim-viec-lam/thu-kho.35C63C0F.html","Xem chi tiết")</f>
        <v/>
      </c>
    </row>
    <row r="19864">
      <c r="B19864" s="9" t="n">
        <v>19862</v>
      </c>
      <c r="C19864" s="10" t="inlineStr">
        <is>
          <t>TỔ TRƯỞNG TỔ MÁY BẮN MÀU</t>
        </is>
      </c>
      <c r="D19864" s="10" t="inlineStr">
        <is>
          <t>CÔNG TY TNHH THƯƠNG MẠI QUỐC TẾ VALENCY VIỆT NAM</t>
        </is>
      </c>
      <c r="E19864" s="10" t="inlineStr">
        <is>
          <t>Lương:10 Tr - 15 Tr VND</t>
        </is>
      </c>
      <c r="F19864" s="10" t="inlineStr">
        <is>
          <t>Hồ Chí Minh</t>
        </is>
      </c>
      <c r="G19864" s="10" t="inlineStr">
        <is>
          <t>25-03-2026</t>
        </is>
      </c>
      <c r="H19864" s="10" t="inlineStr">
        <is>
          <t>25/03/2026</t>
        </is>
      </c>
      <c r="I19864" s="10" t="inlineStr">
        <is>
          <t>17/03/2026</t>
        </is>
      </c>
      <c r="J19864" s="10" t="inlineStr">
        <is>
          <t>Sản xuất / Vận hành sản xuất</t>
        </is>
      </c>
      <c r="K19864" s="10" t="inlineStr">
        <is>
          <t>1 - 10 Năm</t>
        </is>
      </c>
      <c r="L19864" s="11">
        <f>HYPERLINK("https://careerviet.vn/vi/tim-viec-lam/to-truong-to-may-ban-mau.35C63C6B.html","Xem chi tiết")</f>
        <v/>
      </c>
      <c r="M19864" s="10" t="n"/>
    </row>
    <row r="19865">
      <c r="B19865" s="7" t="n">
        <v>19863</v>
      </c>
      <c r="C19865" t="inlineStr">
        <is>
          <t>Cán bộ kỹ thuật cơ điện</t>
        </is>
      </c>
      <c r="D19865" t="inlineStr">
        <is>
          <t>Công Ty Cổ Phần Xây Dựng CDC</t>
        </is>
      </c>
      <c r="E19865" t="inlineStr">
        <is>
          <t>Lương:Cạnh tranh</t>
        </is>
      </c>
      <c r="F19865" t="inlineStr">
        <is>
          <t>Nghệ AnHồ Chí MinhĐà Nẵng</t>
        </is>
      </c>
      <c r="G19865" t="inlineStr">
        <is>
          <t>25-03-2026</t>
        </is>
      </c>
      <c r="H19865" t="inlineStr">
        <is>
          <t>25/03/2026</t>
        </is>
      </c>
      <c r="I19865" t="inlineStr">
        <is>
          <t>17/03/2026</t>
        </is>
      </c>
      <c r="J19865" t="inlineStr">
        <is>
          <t>Xây dựng</t>
        </is>
      </c>
      <c r="K19865" t="inlineStr">
        <is>
          <t>1 - 3 Năm</t>
        </is>
      </c>
      <c r="L19865" s="8">
        <f>HYPERLINK("https://careerviet.vn/vi/tim-viec-lam/can-bo-ky-thuat-co-dien.35C63D23.html","Xem chi tiết")</f>
        <v/>
      </c>
    </row>
    <row r="19866">
      <c r="B19866" s="9" t="n">
        <v>19864</v>
      </c>
      <c r="C19866" s="10" t="inlineStr">
        <is>
          <t>Thanh Tra Xây Dựng</t>
        </is>
      </c>
      <c r="D19866" s="10" t="inlineStr">
        <is>
          <t>Công ty Cổ phần Tập đoàn C.E.O</t>
        </is>
      </c>
      <c r="E19866" s="10" t="inlineStr">
        <is>
          <t>Lương:Cạnh tranh</t>
        </is>
      </c>
      <c r="F19866" s="10" t="inlineStr">
        <is>
          <t>Hà Nội</t>
        </is>
      </c>
      <c r="G19866" s="10" t="inlineStr">
        <is>
          <t>25-03-2026</t>
        </is>
      </c>
      <c r="H19866" s="10" t="inlineStr">
        <is>
          <t>25/03/2026</t>
        </is>
      </c>
      <c r="I19866" s="10" t="inlineStr">
        <is>
          <t>17/03/2026</t>
        </is>
      </c>
      <c r="J19866" s="10" t="inlineStr">
        <is>
          <t>Kiến trúc, Xây dựng, Ngành khác</t>
        </is>
      </c>
      <c r="K19866" s="10" t="inlineStr">
        <is>
          <t>Trên 5 Năm</t>
        </is>
      </c>
      <c r="L19866" s="11">
        <f>HYPERLINK("https://careerviet.vn/vi/tim-viec-lam/thanh-tra-xay-dung.35C63DEF.html","Xem chi tiết")</f>
        <v/>
      </c>
      <c r="M19866" s="10" t="n"/>
    </row>
    <row r="19867">
      <c r="B19867" s="7" t="n">
        <v>19865</v>
      </c>
      <c r="C19867" t="inlineStr">
        <is>
          <t>Chuyên Viên Kiểm Thử phần mềm - Tester</t>
        </is>
      </c>
      <c r="D19867" t="inlineStr">
        <is>
          <t>Tổng Công ty Cổ phần Công trình Viettel</t>
        </is>
      </c>
      <c r="E19867" t="inlineStr">
        <is>
          <t>Lương:18 Tr - 20 Tr VND</t>
        </is>
      </c>
      <c r="F19867" t="inlineStr">
        <is>
          <t>Hà Nội</t>
        </is>
      </c>
      <c r="G19867" t="inlineStr">
        <is>
          <t>25-03-2026</t>
        </is>
      </c>
      <c r="H19867" t="inlineStr">
        <is>
          <t>25/03/2026</t>
        </is>
      </c>
      <c r="I19867" t="inlineStr">
        <is>
          <t>17/03/2026</t>
        </is>
      </c>
      <c r="J19867" t="inlineStr">
        <is>
          <t>CNTT - Phần cứng / Mạng, CNTT - Phần mềm</t>
        </is>
      </c>
      <c r="K19867" t="inlineStr">
        <is>
          <t>2 - 3 Năm</t>
        </is>
      </c>
      <c r="L19867" s="8">
        <f>HYPERLINK("https://careerviet.vn/vi/tim-viec-lam/chuyen-vien-kiem-thu-phan-mem-tester.35C63C6E.html","Xem chi tiết")</f>
        <v/>
      </c>
    </row>
    <row r="19868">
      <c r="B19868" s="9" t="n">
        <v>19866</v>
      </c>
      <c r="C19868" s="10" t="inlineStr">
        <is>
          <t>Chuyên viên tuyển dụng đào tạo</t>
        </is>
      </c>
      <c r="D19868" s="10" t="inlineStr">
        <is>
          <t>Công ty Cổ phần Đầu tư Xậy dựng HUD Kiên Giang</t>
        </is>
      </c>
      <c r="E19868" s="10" t="inlineStr">
        <is>
          <t>Lương:10 Tr - 15 Tr VND</t>
        </is>
      </c>
      <c r="F19868" s="10" t="inlineStr">
        <is>
          <t>Kiên Giang</t>
        </is>
      </c>
      <c r="G19868" s="10" t="inlineStr">
        <is>
          <t>25-03-2026</t>
        </is>
      </c>
      <c r="H19868" s="10" t="inlineStr">
        <is>
          <t>25/03/2026</t>
        </is>
      </c>
      <c r="I19868" s="10" t="inlineStr">
        <is>
          <t>17/03/2026</t>
        </is>
      </c>
      <c r="J19868" s="10" t="inlineStr">
        <is>
          <t>Giáo dục / Đào tạo, Nhân sự</t>
        </is>
      </c>
      <c r="K19868" s="10" t="inlineStr">
        <is>
          <t>2 - 3 Năm</t>
        </is>
      </c>
      <c r="L19868" s="11">
        <f>HYPERLINK("https://careerviet.vn/vi/tim-viec-lam/chuyen-vien-tuyen-dung-dao-tao.35C63C7D.html","Xem chi tiết")</f>
        <v/>
      </c>
      <c r="M19868" s="10" t="n"/>
    </row>
    <row r="19869">
      <c r="B19869" s="7" t="n">
        <v>19867</v>
      </c>
      <c r="C19869" t="inlineStr">
        <is>
          <t>Nhân Viên Kỹ Thuật (Bảo Trì / Bảo Dưỡng Kho Xưởng)</t>
        </is>
      </c>
      <c r="D19869" t="inlineStr">
        <is>
          <t>CÔNG TY CỔ PHẦN VĨNH QUANG</t>
        </is>
      </c>
      <c r="E19869" t="inlineStr">
        <is>
          <t>Lương:Cạnh tranh</t>
        </is>
      </c>
      <c r="F19869" t="inlineStr">
        <is>
          <t>Hồ Chí Minh</t>
        </is>
      </c>
      <c r="G19869" t="inlineStr">
        <is>
          <t>25-03-2026</t>
        </is>
      </c>
      <c r="H19869" t="inlineStr">
        <is>
          <t>25/03/2026</t>
        </is>
      </c>
      <c r="I19869" t="inlineStr">
        <is>
          <t>17/03/2026</t>
        </is>
      </c>
      <c r="J19869" t="inlineStr">
        <is>
          <t>Điện / Điện tử / Điện lạnh / Điện công nghiệp, Bảo trì / Sửa chữa, Xây dựng</t>
        </is>
      </c>
      <c r="K19869" t="inlineStr">
        <is>
          <t>1 - 3 Năm</t>
        </is>
      </c>
      <c r="L19869" s="8">
        <f>HYPERLINK("https://careerviet.vn/vi/tim-viec-lam/nhan-vien-ky-thuat-bao-tri-bao-duong-kho-xuong.35C63E32.html","Xem chi tiết")</f>
        <v/>
      </c>
    </row>
    <row r="19870">
      <c r="B19870" s="9" t="n">
        <v>19868</v>
      </c>
      <c r="C19870" s="10" t="inlineStr">
        <is>
          <t>Nhân viên Kinh doanh Khách đoàn, khối Du lịch Nước ngoài</t>
        </is>
      </c>
      <c r="D19870" s="10" t="inlineStr">
        <is>
          <t>Công Ty TNHH MTV Dịch Vụ Lữ Hành Saigontourist</t>
        </is>
      </c>
      <c r="E19870" s="10" t="inlineStr">
        <is>
          <t>Lương:Cạnh tranh</t>
        </is>
      </c>
      <c r="F19870" s="10" t="inlineStr">
        <is>
          <t>Hồ Chí Minh</t>
        </is>
      </c>
      <c r="G19870" s="10" t="inlineStr">
        <is>
          <t>25-03-2026</t>
        </is>
      </c>
      <c r="H19870" s="10" t="inlineStr">
        <is>
          <t>25/03/2026</t>
        </is>
      </c>
      <c r="I19870" s="10" t="inlineStr">
        <is>
          <t>17/03/2026</t>
        </is>
      </c>
      <c r="J19870" s="10" t="inlineStr">
        <is>
          <t>Bán hàng / Kinh doanh, Du lịch</t>
        </is>
      </c>
      <c r="K19870" s="10" t="inlineStr">
        <is>
          <t>N/A</t>
        </is>
      </c>
      <c r="L19870" s="11">
        <f>HYPERLINK("https://careerviet.vn/vi/tim-viec-lam/nhan-vien-kinh-doanh-khach-doan-khoi-du-lich-nuoc-ngoai.35C63D47.html","Xem chi tiết")</f>
        <v/>
      </c>
      <c r="M19870" s="10" t="n"/>
    </row>
    <row r="19871">
      <c r="B19871" s="7" t="n">
        <v>19869</v>
      </c>
      <c r="C19871" t="inlineStr">
        <is>
          <t>Nhân Viên Bán Hàng</t>
        </is>
      </c>
      <c r="D19871" t="inlineStr">
        <is>
          <t>CÔNG TY CỔ PHẦN ĐẦU TƯ VÀNG PHÚ QUÝ</t>
        </is>
      </c>
      <c r="E19871" t="inlineStr">
        <is>
          <t>Lương:Trên 10 Tr VND</t>
        </is>
      </c>
      <c r="F19871" t="inlineStr">
        <is>
          <t>Hà Nội</t>
        </is>
      </c>
      <c r="G19871" t="inlineStr">
        <is>
          <t>25-03-2026</t>
        </is>
      </c>
      <c r="H19871" t="inlineStr">
        <is>
          <t>25/03/2026</t>
        </is>
      </c>
      <c r="I19871" t="inlineStr">
        <is>
          <t>17/03/2026</t>
        </is>
      </c>
      <c r="J19871" t="inlineStr">
        <is>
          <t>Bán hàng / Kinh doanh, Tư vấn, Dệt may / Da giày / Thời trang</t>
        </is>
      </c>
      <c r="K19871" t="inlineStr">
        <is>
          <t>N/A</t>
        </is>
      </c>
      <c r="L19871" s="8">
        <f>HYPERLINK("https://careerviet.vn/vi/tim-viec-lam/nhan-vien-ban-hang.35C63C9B.html","Xem chi tiết")</f>
        <v/>
      </c>
    </row>
    <row r="19872">
      <c r="B19872" s="9" t="n">
        <v>19870</v>
      </c>
      <c r="C19872" s="10" t="inlineStr">
        <is>
          <t>Kỹ sư giám sát xây dựng</t>
        </is>
      </c>
      <c r="D19872" s="10" t="inlineStr">
        <is>
          <t>Công ty TNHH tư vấn công trình xây dựng KCIS</t>
        </is>
      </c>
      <c r="E19872" s="10" t="inlineStr">
        <is>
          <t>Lương:15 Tr - 20 Tr VND</t>
        </is>
      </c>
      <c r="F19872" s="10" t="inlineStr">
        <is>
          <t>Hà Nam</t>
        </is>
      </c>
      <c r="G19872" s="10" t="inlineStr">
        <is>
          <t>25-03-2026</t>
        </is>
      </c>
      <c r="H19872" s="10" t="inlineStr">
        <is>
          <t>25/03/2026</t>
        </is>
      </c>
      <c r="I19872" s="10" t="inlineStr">
        <is>
          <t>17/03/2026</t>
        </is>
      </c>
      <c r="J19872" s="10" t="inlineStr">
        <is>
          <t>Xây dựng</t>
        </is>
      </c>
      <c r="K19872" s="10" t="inlineStr">
        <is>
          <t>Lên đến 1 Năm</t>
        </is>
      </c>
      <c r="L19872" s="11">
        <f>HYPERLINK("https://careerviet.vn/vi/tim-viec-lam/ky-su-giam-sat-xay-dung.35C63DAD.html","Xem chi tiết")</f>
        <v/>
      </c>
      <c r="M19872" s="10" t="n"/>
    </row>
    <row r="19873">
      <c r="B19873" s="7" t="n">
        <v>19871</v>
      </c>
      <c r="C19873" t="inlineStr">
        <is>
          <t>Phó giám đốc Phát Triển Dự Án</t>
        </is>
      </c>
      <c r="D19873" t="inlineStr">
        <is>
          <t>VINHOMES - Tập đoàn Vingroup</t>
        </is>
      </c>
      <c r="E19873" t="inlineStr">
        <is>
          <t>Lương:Cạnh tranh</t>
        </is>
      </c>
      <c r="F19873" t="inlineStr">
        <is>
          <t>Hà Nội</t>
        </is>
      </c>
      <c r="G19873" t="inlineStr">
        <is>
          <t>25-03-2026</t>
        </is>
      </c>
      <c r="H19873" t="inlineStr">
        <is>
          <t>25/03/2026</t>
        </is>
      </c>
      <c r="I19873" t="inlineStr">
        <is>
          <t>17/03/2026</t>
        </is>
      </c>
      <c r="J19873" t="inlineStr">
        <is>
          <t>Bất động sản</t>
        </is>
      </c>
      <c r="K19873" t="inlineStr">
        <is>
          <t>5 - 20 Năm</t>
        </is>
      </c>
      <c r="L19873" s="8">
        <f>HYPERLINK("https://careerviet.vn/vi/tim-viec-lam/pho-giam-doc-phat-trien-du-an.35C63D3A.html","Xem chi tiết")</f>
        <v/>
      </c>
    </row>
    <row r="19874">
      <c r="B19874" s="9" t="n">
        <v>19872</v>
      </c>
      <c r="C19874" s="10" t="inlineStr">
        <is>
          <t>Chuyên viên kiểm soát nội bộ</t>
        </is>
      </c>
      <c r="D19874" s="10" t="inlineStr">
        <is>
          <t>Công ty Cổ phần Đầu tư Xậy dựng HUD Kiên Giang</t>
        </is>
      </c>
      <c r="E19874" s="10" t="inlineStr">
        <is>
          <t>Lương:10 Tr - 15 Tr VND</t>
        </is>
      </c>
      <c r="F19874" s="10" t="inlineStr">
        <is>
          <t>Kiên Giang</t>
        </is>
      </c>
      <c r="G19874" s="10" t="inlineStr">
        <is>
          <t>25-03-2026</t>
        </is>
      </c>
      <c r="H19874" s="10" t="inlineStr">
        <is>
          <t>25/03/2026</t>
        </is>
      </c>
      <c r="I19874" s="10" t="inlineStr">
        <is>
          <t>17/03/2026</t>
        </is>
      </c>
      <c r="J19874" s="10" t="inlineStr">
        <is>
          <t>Luật / Pháp lý, Kế toán / Kiểm toán</t>
        </is>
      </c>
      <c r="K19874" s="10" t="inlineStr">
        <is>
          <t>2 - 3 Năm</t>
        </is>
      </c>
      <c r="L19874" s="11">
        <f>HYPERLINK("https://careerviet.vn/vi/tim-viec-lam/chuyen-vien-kiem-soat-noi-bo.35C63C74.html","Xem chi tiết")</f>
        <v/>
      </c>
      <c r="M19874" s="10" t="n"/>
    </row>
    <row r="19875">
      <c r="B19875" s="7" t="n">
        <v>19873</v>
      </c>
      <c r="C19875" t="inlineStr">
        <is>
          <t>Nhân viên QA</t>
        </is>
      </c>
      <c r="D19875" t="inlineStr">
        <is>
          <t>Công Ty Cổ Phần Trang</t>
        </is>
      </c>
      <c r="E19875" t="inlineStr">
        <is>
          <t>Lương:Cạnh tranh</t>
        </is>
      </c>
      <c r="F19875" t="inlineStr">
        <is>
          <t>Hồ Chí Minh</t>
        </is>
      </c>
      <c r="G19875" t="inlineStr">
        <is>
          <t>25-03-2026</t>
        </is>
      </c>
      <c r="H19875" t="inlineStr">
        <is>
          <t>25/03/2026</t>
        </is>
      </c>
      <c r="I19875" t="inlineStr">
        <is>
          <t>17/03/2026</t>
        </is>
      </c>
      <c r="J19875" t="inlineStr">
        <is>
          <t>Công nghệ thực phẩm / Dinh dưỡng</t>
        </is>
      </c>
      <c r="K19875" t="inlineStr">
        <is>
          <t>1 - 3 Năm</t>
        </is>
      </c>
      <c r="L19875" s="8">
        <f>HYPERLINK("https://careerviet.vn/vi/tim-viec-lam/nhan-vien-qa.35C63CED.html","Xem chi tiết")</f>
        <v/>
      </c>
    </row>
    <row r="19876">
      <c r="B19876" s="9" t="n">
        <v>19874</v>
      </c>
      <c r="C19876" s="10" t="inlineStr">
        <is>
          <t>Nhân viên Mua hàng Purchasing Staff (Tăng định biên - Ưu tiên Nam)</t>
        </is>
      </c>
      <c r="D19876" s="10" t="inlineStr">
        <is>
          <t>Công ty TNHH MTV Sen Vàng Việt Nam</t>
        </is>
      </c>
      <c r="E19876" s="10" t="inlineStr">
        <is>
          <t>Lương:15 Tr - 20 Tr VND</t>
        </is>
      </c>
      <c r="F19876" s="10" t="inlineStr">
        <is>
          <t>Hồ Chí Minh</t>
        </is>
      </c>
      <c r="G19876" s="10" t="inlineStr">
        <is>
          <t>25-03-2026</t>
        </is>
      </c>
      <c r="H19876" s="10" t="inlineStr">
        <is>
          <t>25/03/2026</t>
        </is>
      </c>
      <c r="I19876" s="10" t="inlineStr">
        <is>
          <t>17/03/2026</t>
        </is>
      </c>
      <c r="J19876" s="10" t="inlineStr">
        <is>
          <t>Bán Hàng Kỹ Thuật, Sản xuất / Vận hành sản xuất, Thu mua / Vật tư</t>
        </is>
      </c>
      <c r="K19876" s="10" t="inlineStr">
        <is>
          <t>3 - 5 Năm</t>
        </is>
      </c>
      <c r="L19876" s="11">
        <f>HYPERLINK("https://careerviet.vn/vi/tim-viec-lam/nhan-vien-mua-hang-purchasing-staff-tang-dinh-bien-uu-tien-nam.35C63D80.html","Xem chi tiết")</f>
        <v/>
      </c>
      <c r="M19876" s="10" t="n"/>
    </row>
    <row r="19877">
      <c r="B19877" s="7" t="n">
        <v>19875</v>
      </c>
      <c r="C19877" t="inlineStr">
        <is>
          <t>Chỉ huy trưởng cơ điện</t>
        </is>
      </c>
      <c r="D19877" t="inlineStr">
        <is>
          <t>Công Ty Cổ Phần Xây Dựng CDC</t>
        </is>
      </c>
      <c r="E19877" t="inlineStr">
        <is>
          <t>Lương:Cạnh tranh</t>
        </is>
      </c>
      <c r="F19877" t="inlineStr">
        <is>
          <t>Hồ Chí MinhNghệ An</t>
        </is>
      </c>
      <c r="G19877" t="inlineStr">
        <is>
          <t>25-03-2026</t>
        </is>
      </c>
      <c r="H19877" t="inlineStr">
        <is>
          <t>25/03/2026</t>
        </is>
      </c>
      <c r="I19877" t="inlineStr">
        <is>
          <t>17/03/2026</t>
        </is>
      </c>
      <c r="J19877" t="inlineStr">
        <is>
          <t>Xây dựng</t>
        </is>
      </c>
      <c r="K19877" t="inlineStr">
        <is>
          <t>5 - 7 Năm</t>
        </is>
      </c>
      <c r="L19877" s="8">
        <f>HYPERLINK("https://careerviet.vn/vi/tim-viec-lam/chi-huy-truong-co-dien.35C63D1B.html","Xem chi tiết")</f>
        <v/>
      </c>
    </row>
    <row r="19878">
      <c r="B19878" s="9" t="n">
        <v>19876</v>
      </c>
      <c r="C19878" s="10" t="inlineStr">
        <is>
          <t>Kỹ Thuật lập trình vận hành máy phay CNC/ phay cơ</t>
        </is>
      </c>
      <c r="D19878" s="10" t="inlineStr">
        <is>
          <t>CÔNG TY CỔ PHẦN CÔNG NGHIỆP WELDCOM</t>
        </is>
      </c>
      <c r="E19878" s="10" t="inlineStr">
        <is>
          <t>Lương:13 Tr - 17 Tr VND</t>
        </is>
      </c>
      <c r="F19878" s="10" t="inlineStr">
        <is>
          <t>Hưng Yên</t>
        </is>
      </c>
      <c r="G19878" s="10" t="inlineStr">
        <is>
          <t>25-03-2026</t>
        </is>
      </c>
      <c r="H19878" s="10" t="inlineStr">
        <is>
          <t>25/03/2026</t>
        </is>
      </c>
      <c r="I19878" s="10" t="inlineStr">
        <is>
          <t>17/03/2026</t>
        </is>
      </c>
      <c r="J19878" s="10" t="inlineStr">
        <is>
          <t>Cơ khí / Ô tô / Tự động hóa, Bảo trì / Sửa chữa, Điện / Điện tử / Điện lạnh / Điện công nghiệp</t>
        </is>
      </c>
      <c r="K19878" s="10" t="inlineStr">
        <is>
          <t>1 - 2 Năm</t>
        </is>
      </c>
      <c r="L19878" s="11">
        <f>HYPERLINK("https://careerviet.vn/vi/tim-viec-lam/ky-thuat-lap-trinh-van-hanh-may-phay-cnc-phay-co.35C63D8A.html","Xem chi tiết")</f>
        <v/>
      </c>
      <c r="M19878" s="10" t="n"/>
    </row>
    <row r="19879">
      <c r="B19879" s="7" t="n">
        <v>19877</v>
      </c>
      <c r="C19879" t="inlineStr">
        <is>
          <t>Trưởng phòng kinh doanh</t>
        </is>
      </c>
      <c r="D19879" t="inlineStr">
        <is>
          <t>Công ty Cổ phần Đầu tư Xậy dựng HUD Kiên Giang</t>
        </is>
      </c>
      <c r="E19879" t="inlineStr">
        <is>
          <t>Lương:25 Tr - 50 Tr VND</t>
        </is>
      </c>
      <c r="F19879" t="inlineStr">
        <is>
          <t>Kiên Giang</t>
        </is>
      </c>
      <c r="G19879" t="inlineStr">
        <is>
          <t>25-03-2026</t>
        </is>
      </c>
      <c r="H19879" t="inlineStr">
        <is>
          <t>25/03/2026</t>
        </is>
      </c>
      <c r="I19879" t="inlineStr">
        <is>
          <t>17/03/2026</t>
        </is>
      </c>
      <c r="J19879" t="inlineStr">
        <is>
          <t>Tiếp thị / Marketing, Bán hàng / Kinh doanh, Quản lý điều hành</t>
        </is>
      </c>
      <c r="K19879" t="inlineStr">
        <is>
          <t>2 - 3 Năm</t>
        </is>
      </c>
      <c r="L19879" s="8">
        <f>HYPERLINK("https://careerviet.vn/vi/tim-viec-lam/truong-phong-kinh-doanh.35C63D26.html","Xem chi tiết")</f>
        <v/>
      </c>
    </row>
    <row r="19880">
      <c r="B19880" s="9" t="n">
        <v>19878</v>
      </c>
      <c r="C19880" s="10" t="inlineStr">
        <is>
          <t>Giám Sát Tư Vấn Tuyển Sinh / Sales Supervisor (Biên Hòa)</t>
        </is>
      </c>
      <c r="D19880" s="10" t="inlineStr">
        <is>
          <t>Cổ Phần Quốc Tế Anh Văn Hội Việt Mỹ (VUS)</t>
        </is>
      </c>
      <c r="E19880" s="10" t="inlineStr">
        <is>
          <t>Lương:Cạnh tranh</t>
        </is>
      </c>
      <c r="F19880" s="10" t="inlineStr">
        <is>
          <t>Đồng Nai</t>
        </is>
      </c>
      <c r="G19880" s="10" t="inlineStr">
        <is>
          <t>25-03-2026</t>
        </is>
      </c>
      <c r="H19880" s="10" t="inlineStr">
        <is>
          <t>25/03/2026</t>
        </is>
      </c>
      <c r="I19880" s="10" t="inlineStr">
        <is>
          <t>17/03/2026</t>
        </is>
      </c>
      <c r="J19880" s="10" t="inlineStr">
        <is>
          <t>Bán lẻ / Bán sỉ, Bán hàng / Kinh doanh, Tư vấn</t>
        </is>
      </c>
      <c r="K19880" s="10" t="inlineStr">
        <is>
          <t>2 - 3 Năm</t>
        </is>
      </c>
      <c r="L19880" s="11">
        <f>HYPERLINK("https://careerviet.vn/vi/tim-viec-lam/giam-sat-tu-van-tuyen-sinh-sales-supervisor-bien-hoa.35C63E1B.html","Xem chi tiết")</f>
        <v/>
      </c>
      <c r="M19880" s="10" t="n"/>
    </row>
    <row r="19881">
      <c r="B19881" s="7" t="n">
        <v>19879</v>
      </c>
      <c r="C19881" t="inlineStr">
        <is>
          <t>Phó Phòng Marketing – Trade Marketing (Ngành hàng tiêu dùng giá trị cao / bền)</t>
        </is>
      </c>
      <c r="D19881" t="inlineStr">
        <is>
          <t>Công ty TNHH Sản xuất, lắp ráp Tuấn Nghĩa</t>
        </is>
      </c>
      <c r="E19881" t="inlineStr">
        <is>
          <t>Lương:20 Tr - 25 Tr VND</t>
        </is>
      </c>
      <c r="F19881" t="inlineStr">
        <is>
          <t>Hà Nội</t>
        </is>
      </c>
      <c r="G19881" t="inlineStr">
        <is>
          <t>25-03-2026</t>
        </is>
      </c>
      <c r="H19881" t="inlineStr">
        <is>
          <t>25/03/2026</t>
        </is>
      </c>
      <c r="I19881" t="inlineStr">
        <is>
          <t>17/03/2026</t>
        </is>
      </c>
      <c r="J19881" t="inlineStr">
        <is>
          <t>Tiếp thị / Marketing, Cơ khí / Ô tô / Tự động hóa, Điện / Điện tử / Điện lạnh / Điện công nghiệp</t>
        </is>
      </c>
      <c r="K19881" t="inlineStr">
        <is>
          <t>Trên 3 Năm</t>
        </is>
      </c>
      <c r="L19881" s="8">
        <f>HYPERLINK("https://careerviet.vn/vi/tim-viec-lam/pho-phong-marketing-trade-marketing-nganh-hang-tieu-dung-gia-tri-cao-ben.35C63D8C.html","Xem chi tiết")</f>
        <v/>
      </c>
    </row>
    <row r="19882">
      <c r="B19882" s="9" t="n">
        <v>19880</v>
      </c>
      <c r="C19882" s="10" t="inlineStr">
        <is>
          <t>Chuyên viên Shopdrawing</t>
        </is>
      </c>
      <c r="D19882" s="10" t="inlineStr">
        <is>
          <t>Công Ty Cổ Phần VictoryCons</t>
        </is>
      </c>
      <c r="E19882" s="10" t="inlineStr">
        <is>
          <t>Lương:Cạnh tranh</t>
        </is>
      </c>
      <c r="F19882" s="10" t="inlineStr">
        <is>
          <t>Đà NẵngĐồng Nai</t>
        </is>
      </c>
      <c r="G19882" s="10" t="inlineStr">
        <is>
          <t>25-03-2026</t>
        </is>
      </c>
      <c r="H19882" s="10" t="inlineStr">
        <is>
          <t>25/03/2026</t>
        </is>
      </c>
      <c r="I19882" s="10" t="inlineStr">
        <is>
          <t>17/03/2026</t>
        </is>
      </c>
      <c r="J19882" s="10" t="inlineStr">
        <is>
          <t>Kiến trúc, Xây dựng, Bất động sản</t>
        </is>
      </c>
      <c r="K19882" s="10" t="inlineStr">
        <is>
          <t>1 - 5 Năm</t>
        </is>
      </c>
      <c r="L19882" s="11">
        <f>HYPERLINK("https://careerviet.vn/vi/tim-viec-lam/chuyen-vien-shopdrawing.35C63C88.html","Xem chi tiết")</f>
        <v/>
      </c>
      <c r="M19882" s="10" t="n"/>
    </row>
    <row r="19883">
      <c r="B19883" s="7" t="n">
        <v>19881</v>
      </c>
      <c r="C19883" t="inlineStr">
        <is>
          <t>Nhân viên Quản lý kho chất thải - Waste Storage Controller</t>
        </is>
      </c>
      <c r="D19883" t="inlineStr">
        <is>
          <t>CÔNG TY TNHH ELECTRONIC TRIPOD VIỆT NAM (CHÂU ĐỨC)</t>
        </is>
      </c>
      <c r="E19883" t="inlineStr">
        <is>
          <t>Lương:Cạnh tranh</t>
        </is>
      </c>
      <c r="F19883" t="inlineStr">
        <is>
          <t>Bà Rịa - Vũng Tàu</t>
        </is>
      </c>
      <c r="G19883" t="inlineStr">
        <is>
          <t>25-03-2026</t>
        </is>
      </c>
      <c r="H19883" t="inlineStr">
        <is>
          <t>25/03/2026</t>
        </is>
      </c>
      <c r="I19883" t="inlineStr">
        <is>
          <t>17/03/2026</t>
        </is>
      </c>
      <c r="J19883" t="inlineStr">
        <is>
          <t>Môi trường, Hóa học, Vận chuyển / Giao nhận / Kho vận</t>
        </is>
      </c>
      <c r="K19883" t="inlineStr">
        <is>
          <t>1 - 2 Năm</t>
        </is>
      </c>
      <c r="L19883" s="8">
        <f>HYPERLINK("https://careerviet.vn/vi/tim-viec-lam/nhan-vien-quan-ly-kho-chat-thai-waste-storage-controller.35C63D08.html","Xem chi tiết")</f>
        <v/>
      </c>
    </row>
    <row r="19884">
      <c r="B19884" s="9" t="n">
        <v>19882</v>
      </c>
      <c r="C19884" s="10" t="inlineStr">
        <is>
          <t>Cán bộ QA/QC Cơ điện</t>
        </is>
      </c>
      <c r="D19884" s="10" t="inlineStr">
        <is>
          <t>Công Ty Cổ Phần Xây Dựng CDC</t>
        </is>
      </c>
      <c r="E19884" s="10" t="inlineStr">
        <is>
          <t>Lương:15 Tr - 20 Tr VND</t>
        </is>
      </c>
      <c r="F19884" s="10" t="inlineStr">
        <is>
          <t>Hồ Chí MinhĐà NẵngNghệ An</t>
        </is>
      </c>
      <c r="G19884" s="10" t="inlineStr">
        <is>
          <t>25-03-2026</t>
        </is>
      </c>
      <c r="H19884" s="10" t="inlineStr">
        <is>
          <t>25/03/2026</t>
        </is>
      </c>
      <c r="I19884" s="10" t="inlineStr">
        <is>
          <t>17/03/2026</t>
        </is>
      </c>
      <c r="J19884" s="10" t="inlineStr">
        <is>
          <t>Xây dựng</t>
        </is>
      </c>
      <c r="K19884" s="10" t="inlineStr">
        <is>
          <t>1 - 5 Năm</t>
        </is>
      </c>
      <c r="L19884" s="11">
        <f>HYPERLINK("https://careerviet.vn/vi/tim-viec-lam/can-bo-qa-qc-co-dien.35C63D0E.html","Xem chi tiết")</f>
        <v/>
      </c>
      <c r="M19884" s="10" t="n"/>
    </row>
    <row r="19885">
      <c r="B19885" s="7" t="n">
        <v>19883</v>
      </c>
      <c r="C19885" t="inlineStr">
        <is>
          <t>Chuyên viên ISO</t>
        </is>
      </c>
      <c r="D19885" t="inlineStr">
        <is>
          <t>VINFAST TRADING AND PRODUCTION JSC</t>
        </is>
      </c>
      <c r="E19885" t="inlineStr">
        <is>
          <t>Lương:Cạnh tranh</t>
        </is>
      </c>
      <c r="F19885" t="inlineStr">
        <is>
          <t>Hà TĩnhNghệ An</t>
        </is>
      </c>
      <c r="G19885" t="inlineStr">
        <is>
          <t>25-03-2026</t>
        </is>
      </c>
      <c r="H19885" t="inlineStr">
        <is>
          <t>25/03/2026</t>
        </is>
      </c>
      <c r="I19885" t="inlineStr">
        <is>
          <t>17/03/2026</t>
        </is>
      </c>
      <c r="J19885" t="inlineStr">
        <is>
          <t>Sản xuất / Vận hành sản xuất, An toàn lao động, Quản lý chất lượng (QA/QC)</t>
        </is>
      </c>
      <c r="K19885" t="inlineStr">
        <is>
          <t>1 - 3 Năm</t>
        </is>
      </c>
      <c r="L19885" s="8">
        <f>HYPERLINK("https://careerviet.vn/vi/tim-viec-lam/chuyen-vien-iso.35C63DA8.html","Xem chi tiết")</f>
        <v/>
      </c>
    </row>
    <row r="19886">
      <c r="B19886" s="9" t="n">
        <v>19884</v>
      </c>
      <c r="C19886" s="10" t="inlineStr">
        <is>
          <t>NHÂN VIÊN CHỨNG TỪ XUẤT NHẬP KHẨU (TIẾNG TRUNG)</t>
        </is>
      </c>
      <c r="D19886" s="10" t="inlineStr">
        <is>
          <t>CÔNG TY TNHH QUẢN LÝ CHUỖI CUNG ỨNG QUỐC TẾ GIA HOA VIỆT NAM</t>
        </is>
      </c>
      <c r="E19886" s="10" t="inlineStr">
        <is>
          <t>Lương:Trên 13 Tr VND</t>
        </is>
      </c>
      <c r="F19886" s="10" t="inlineStr">
        <is>
          <t>Hồ Chí Minh</t>
        </is>
      </c>
      <c r="G19886" s="10" t="inlineStr">
        <is>
          <t>25-03-2026</t>
        </is>
      </c>
      <c r="H19886" s="10" t="inlineStr">
        <is>
          <t>25/03/2026</t>
        </is>
      </c>
      <c r="I19886" s="10" t="inlineStr">
        <is>
          <t>17/03/2026</t>
        </is>
      </c>
      <c r="J19886" s="10" t="inlineStr">
        <is>
          <t>Vận chuyển / Giao nhận / Kho vận, Xuất nhập khẩu</t>
        </is>
      </c>
      <c r="K19886" s="10" t="inlineStr">
        <is>
          <t>1 - 5 Năm</t>
        </is>
      </c>
      <c r="L19886" s="11">
        <f>HYPERLINK("https://careerviet.vn/vi/tim-viec-lam/nhan-vien-chung-tu-xuat-nhap-khau-tieng-trung.35C63DE0.html","Xem chi tiết")</f>
        <v/>
      </c>
      <c r="M19886" s="10" t="n"/>
    </row>
    <row r="19887">
      <c r="B19887" s="7" t="n">
        <v>19885</v>
      </c>
      <c r="C19887" t="inlineStr">
        <is>
          <t>Chuyên Viên Phát Triển Dự Án</t>
        </is>
      </c>
      <c r="D19887" t="inlineStr">
        <is>
          <t>Công ty Cổ phần Tập đoàn C.E.O</t>
        </is>
      </c>
      <c r="E19887" t="inlineStr">
        <is>
          <t>Lương:Cạnh tranh</t>
        </is>
      </c>
      <c r="F19887" t="inlineStr">
        <is>
          <t>Hà Nội</t>
        </is>
      </c>
      <c r="G19887" t="inlineStr">
        <is>
          <t>25-03-2026</t>
        </is>
      </c>
      <c r="H19887" t="inlineStr">
        <is>
          <t>25/03/2026</t>
        </is>
      </c>
      <c r="I19887" t="inlineStr">
        <is>
          <t>17/03/2026</t>
        </is>
      </c>
      <c r="J19887" t="inlineStr">
        <is>
          <t>Kiến trúc, Xây dựng, Ngành khác</t>
        </is>
      </c>
      <c r="K19887" t="inlineStr">
        <is>
          <t>Trên 4 Năm</t>
        </is>
      </c>
      <c r="L19887" s="8">
        <f>HYPERLINK("https://careerviet.vn/vi/tim-viec-lam/chuyen-vien-phat-trien-du-an.35C63DF6.html","Xem chi tiết")</f>
        <v/>
      </c>
    </row>
    <row r="19888">
      <c r="B19888" s="9" t="n">
        <v>19886</v>
      </c>
      <c r="C19888" s="10" t="inlineStr">
        <is>
          <t>HRBP - Chinese Speaking - Salary Up to 50Mil</t>
        </is>
      </c>
      <c r="D19888" s="10" t="inlineStr">
        <is>
          <t>CÔNG TY TNHH CÔNG NGHỆ HUAWEI VIỆT NAM</t>
        </is>
      </c>
      <c r="E19888" s="10" t="inlineStr">
        <is>
          <t>Lương:20 Tr - 50 Tr VND</t>
        </is>
      </c>
      <c r="F19888" s="10" t="inlineStr">
        <is>
          <t>Hà Nội</t>
        </is>
      </c>
      <c r="G19888" s="10" t="inlineStr">
        <is>
          <t>25-03-2026</t>
        </is>
      </c>
      <c r="H19888" s="10" t="inlineStr">
        <is>
          <t>25/03/2026</t>
        </is>
      </c>
      <c r="I19888" s="10" t="inlineStr">
        <is>
          <t>17/03/2026</t>
        </is>
      </c>
      <c r="J19888" s="10" t="inlineStr">
        <is>
          <t>Nhân sự, Biên phiên dịch</t>
        </is>
      </c>
      <c r="K19888" s="10" t="inlineStr">
        <is>
          <t>3 - 10 Năm</t>
        </is>
      </c>
      <c r="L19888" s="11">
        <f>HYPERLINK("https://careerviet.vn/vi/tim-viec-lam/hrbp-chinese-speaking-salary-up-to-50mil.35C63CF4.html","Xem chi tiết")</f>
        <v/>
      </c>
      <c r="M19888" s="10" t="n"/>
    </row>
    <row r="19889">
      <c r="B19889" s="7" t="n">
        <v>19887</v>
      </c>
      <c r="C19889" t="inlineStr">
        <is>
          <t>Chuyên Viên Kinh Tế Xây Dựng</t>
        </is>
      </c>
      <c r="D19889" t="inlineStr">
        <is>
          <t>Công ty Cổ phần Tập đoàn C.E.O</t>
        </is>
      </c>
      <c r="E19889" t="inlineStr">
        <is>
          <t>Lương:Cạnh tranh</t>
        </is>
      </c>
      <c r="F19889" t="inlineStr">
        <is>
          <t>Hà Nội</t>
        </is>
      </c>
      <c r="G19889" t="inlineStr">
        <is>
          <t>25-03-2026</t>
        </is>
      </c>
      <c r="H19889" t="inlineStr">
        <is>
          <t>25/03/2026</t>
        </is>
      </c>
      <c r="I19889" t="inlineStr">
        <is>
          <t>17/03/2026</t>
        </is>
      </c>
      <c r="J19889" t="inlineStr">
        <is>
          <t>Bán hàng / Kinh doanh, Kiến trúc, Xây dựng</t>
        </is>
      </c>
      <c r="K19889" t="inlineStr">
        <is>
          <t>Trên 3 Năm</t>
        </is>
      </c>
      <c r="L19889" s="8">
        <f>HYPERLINK("https://careerviet.vn/vi/tim-viec-lam/chuyen-vien-kinh-te-xay-dung.35C63DEE.html","Xem chi tiết")</f>
        <v/>
      </c>
    </row>
    <row r="19890">
      <c r="B19890" s="9" t="n">
        <v>19888</v>
      </c>
      <c r="C19890" s="10" t="inlineStr">
        <is>
          <t>[TUYỂN DỤNG] FRESHER SALE LOGISTICS (TIẾNG TRUNG) – THU NHẬP KHÔNG GIỚI HẠN</t>
        </is>
      </c>
      <c r="D19890" s="10" t="inlineStr">
        <is>
          <t>CÔNG TY TNHH QUẢN LÝ CHUỖI CUNG ỨNG QUỐC TẾ GIA HOA VIỆT NAM</t>
        </is>
      </c>
      <c r="E19890" s="10" t="inlineStr">
        <is>
          <t>Lương:Lên đến 20 Tr VND</t>
        </is>
      </c>
      <c r="F19890" s="10" t="inlineStr">
        <is>
          <t>Hồ Chí Minh</t>
        </is>
      </c>
      <c r="G19890" s="10" t="inlineStr">
        <is>
          <t>25-03-2026</t>
        </is>
      </c>
      <c r="H19890" s="10" t="inlineStr">
        <is>
          <t>25/03/2026</t>
        </is>
      </c>
      <c r="I19890" s="10" t="inlineStr">
        <is>
          <t>17/03/2026</t>
        </is>
      </c>
      <c r="J19890" s="10" t="inlineStr">
        <is>
          <t>Bán hàng / Kinh doanh, Vận chuyển / Giao nhận / Kho vận, Xuất nhập khẩu</t>
        </is>
      </c>
      <c r="K19890" s="10" t="inlineStr">
        <is>
          <t>N/A</t>
        </is>
      </c>
      <c r="L19890" s="11">
        <f>HYPERLINK("https://careerviet.vn/vi/tim-viec-lam/tuyen-dung-fresher-sale-logistics-tieng-trung-thu-nhap-khong-gioi-han.35C63DDF.html","Xem chi tiết")</f>
        <v/>
      </c>
      <c r="M19890" s="10" t="n"/>
    </row>
    <row r="19891">
      <c r="B19891" s="7" t="n">
        <v>19889</v>
      </c>
      <c r="C19891" t="inlineStr">
        <is>
          <t>Nhân viên thiết kế nội thất (Sinh viên tốt nghiệp chuyên ngành thiết kế)</t>
        </is>
      </c>
      <c r="D19891" t="inlineStr">
        <is>
          <t>CÔNG TY TNHH CÔNG NGHỆ AUGROUP VIỆT NAM</t>
        </is>
      </c>
      <c r="E19891" t="inlineStr">
        <is>
          <t>Lương:13 Tr - 18 Tr VND</t>
        </is>
      </c>
      <c r="F19891" t="inlineStr">
        <is>
          <t>Bình Dương</t>
        </is>
      </c>
      <c r="G19891" t="inlineStr">
        <is>
          <t>25-03-2026</t>
        </is>
      </c>
      <c r="H19891" t="inlineStr">
        <is>
          <t>25/03/2026</t>
        </is>
      </c>
      <c r="I19891" t="inlineStr">
        <is>
          <t>17/03/2026</t>
        </is>
      </c>
      <c r="J19891" t="inlineStr">
        <is>
          <t>Mỹ thuật / Nghệ thuật / Thiết kế, Nội ngoại thất</t>
        </is>
      </c>
      <c r="K19891" t="inlineStr">
        <is>
          <t>N/A</t>
        </is>
      </c>
      <c r="L19891" s="8">
        <f>HYPERLINK("https://careerviet.vn/vi/tim-viec-lam/nhan-vien-thiet-ke-noi-that-sinh-vien-tot-nghiep-chuyen-nganh-thiet-ke.35C63DC9.html","Xem chi tiết")</f>
        <v/>
      </c>
    </row>
    <row r="19892">
      <c r="B19892" s="9" t="n">
        <v>19890</v>
      </c>
      <c r="C19892" s="10" t="inlineStr">
        <is>
          <t>HMK TUYỂN GẤP NHÂN VIÊN BÁN HÀNG ĐÀ LẠT</t>
        </is>
      </c>
      <c r="D19892" s="10" t="inlineStr">
        <is>
          <t>HMK Eyewear</t>
        </is>
      </c>
      <c r="E19892" s="10" t="inlineStr">
        <is>
          <t>Lương:8 Tr - 15 Tr VND</t>
        </is>
      </c>
      <c r="F19892" s="10" t="inlineStr">
        <is>
          <t>Lâm Đồng</t>
        </is>
      </c>
      <c r="G19892" s="10" t="inlineStr">
        <is>
          <t>25-03-2026</t>
        </is>
      </c>
      <c r="H19892" s="10" t="inlineStr">
        <is>
          <t>25/03/2026</t>
        </is>
      </c>
      <c r="I19892" s="10" t="inlineStr">
        <is>
          <t>17/03/2026</t>
        </is>
      </c>
      <c r="J19892" s="10" t="inlineStr">
        <is>
          <t>Tiếp thị / Marketing, Bán lẻ / Bán sỉ, Bán hàng / Kinh doanh</t>
        </is>
      </c>
      <c r="K19892" s="10" t="inlineStr">
        <is>
          <t>Chưa có kinh nghiệm</t>
        </is>
      </c>
      <c r="L19892" s="11">
        <f>HYPERLINK("https://careerviet.vn/vi/tim-viec-lam/hmk-tuyen-gap-nhan-vien-ban-hang-da-lat.35C63BB8.html","Xem chi tiết")</f>
        <v/>
      </c>
      <c r="M19892" s="10" t="n"/>
    </row>
    <row r="19893">
      <c r="B19893" s="7" t="n">
        <v>19891</v>
      </c>
      <c r="C19893" t="inlineStr">
        <is>
          <t>Cán bộ Shopdrawing Cơ điện</t>
        </is>
      </c>
      <c r="D19893" t="inlineStr">
        <is>
          <t>Công Ty Cổ Phần Xây Dựng CDC</t>
        </is>
      </c>
      <c r="E19893" t="inlineStr">
        <is>
          <t>Lương:18 Tr - 25 Tr VND</t>
        </is>
      </c>
      <c r="F19893" t="inlineStr">
        <is>
          <t>Đà NẵngHồ Chí MinhNghệ An</t>
        </is>
      </c>
      <c r="G19893" t="inlineStr">
        <is>
          <t>28-04-2026</t>
        </is>
      </c>
      <c r="H19893" t="inlineStr">
        <is>
          <t>28/04/2026</t>
        </is>
      </c>
      <c r="I19893" t="inlineStr">
        <is>
          <t>17/03/2026</t>
        </is>
      </c>
      <c r="J19893" t="inlineStr">
        <is>
          <t>Xây dựng</t>
        </is>
      </c>
      <c r="K19893" t="inlineStr">
        <is>
          <t>5 - 10 Năm</t>
        </is>
      </c>
      <c r="L19893" s="8">
        <f>HYPERLINK("https://careerviet.vn/vi/tim-viec-lam/can-bo-shopdrawing-co-dien.35C63CF5.html","Xem chi tiết")</f>
        <v/>
      </c>
    </row>
    <row r="19894">
      <c r="B19894" s="9" t="n">
        <v>19892</v>
      </c>
      <c r="C19894" s="10" t="inlineStr">
        <is>
          <t>Creative Content Manager</t>
        </is>
      </c>
      <c r="D19894" s="10" t="inlineStr">
        <is>
          <t>HMK Eyewear</t>
        </is>
      </c>
      <c r="E19894" s="10" t="inlineStr">
        <is>
          <t>Lương:Cạnh tranh</t>
        </is>
      </c>
      <c r="F19894" s="10" t="inlineStr">
        <is>
          <t>Hồ Chí Minh</t>
        </is>
      </c>
      <c r="G19894" s="10" t="inlineStr">
        <is>
          <t>25-03-2026</t>
        </is>
      </c>
      <c r="H19894" s="10" t="inlineStr">
        <is>
          <t>25/03/2026</t>
        </is>
      </c>
      <c r="I19894" s="10" t="inlineStr">
        <is>
          <t>17/03/2026</t>
        </is>
      </c>
      <c r="J19894" s="10" t="inlineStr">
        <is>
          <t>Tiếp thị / Marketing, Quảng cáo / Đối ngoại / Truyền Thông, Truyền hình / Báo chí / Biên tập</t>
        </is>
      </c>
      <c r="K19894" s="10" t="inlineStr">
        <is>
          <t>2 - 5 Năm</t>
        </is>
      </c>
      <c r="L19894" s="11">
        <f>HYPERLINK("https://careerviet.vn/vi/tim-viec-lam/creative-content-manager.35C63CE1.html","Xem chi tiết")</f>
        <v/>
      </c>
      <c r="M19894" s="10" t="n"/>
    </row>
    <row r="19895">
      <c r="B19895" s="7" t="n">
        <v>19893</v>
      </c>
      <c r="C19895" t="inlineStr">
        <is>
          <t>Nhân Viên Bảo Trì Điện Cửa Hàng - Sóc Trăng/Bạc Liêu/Cà Mau/Trà Vinh</t>
        </is>
      </c>
      <c r="D19895" t="inlineStr">
        <is>
          <t>Công Ty CP Dược Phẩm Pharmacity</t>
        </is>
      </c>
      <c r="E19895" t="inlineStr">
        <is>
          <t>Lương:Cạnh tranh</t>
        </is>
      </c>
      <c r="F19895" t="inlineStr">
        <is>
          <t>Sóc Trăng</t>
        </is>
      </c>
      <c r="G19895" t="inlineStr">
        <is>
          <t>25-03-2026</t>
        </is>
      </c>
      <c r="H19895" t="inlineStr">
        <is>
          <t>25/03/2026</t>
        </is>
      </c>
      <c r="I19895" t="inlineStr">
        <is>
          <t>17/03/2026</t>
        </is>
      </c>
      <c r="J19895" t="inlineStr">
        <is>
          <t>Điện / Điện tử / Điện lạnh / Điện công nghiệp, Bảo trì / Sửa chữa</t>
        </is>
      </c>
      <c r="K19895" t="inlineStr">
        <is>
          <t>1 - 2 Năm</t>
        </is>
      </c>
      <c r="L19895" s="8">
        <f>HYPERLINK("https://careerviet.vn/vi/tim-viec-lam/nhan-vien-bao-tri-dien-cua-hang-soc-trang-bac-lieu-ca-mau-tra-vinh.35C63CC5.html","Xem chi tiết")</f>
        <v/>
      </c>
    </row>
    <row r="19896">
      <c r="B19896" s="9" t="n">
        <v>19894</v>
      </c>
      <c r="C19896" s="10" t="inlineStr">
        <is>
          <t>DATA ANALYST/ NHÂN VIÊN PHÂN TÍCH DỮ LIỆU</t>
        </is>
      </c>
      <c r="D19896" s="10" t="inlineStr">
        <is>
          <t>Công ty TNHH Olam Việt Nam</t>
        </is>
      </c>
      <c r="E19896" s="10" t="inlineStr">
        <is>
          <t>Lương:Cạnh tranh</t>
        </is>
      </c>
      <c r="F19896" s="10" t="inlineStr">
        <is>
          <t>Bình Định</t>
        </is>
      </c>
      <c r="G19896" s="10" t="inlineStr">
        <is>
          <t>25-03-2026</t>
        </is>
      </c>
      <c r="H19896" s="10" t="inlineStr">
        <is>
          <t>25/03/2026</t>
        </is>
      </c>
      <c r="I19896" s="10" t="inlineStr">
        <is>
          <t>17/03/2026</t>
        </is>
      </c>
      <c r="J19896" s="10" t="inlineStr">
        <is>
          <t>Thực phẩm &amp; Đồ uống, Nông nghiệp, Công nghệ thực phẩm / Dinh dưỡng</t>
        </is>
      </c>
      <c r="K19896" s="10" t="inlineStr">
        <is>
          <t>1 - 2 Năm</t>
        </is>
      </c>
      <c r="L19896" s="11">
        <f>HYPERLINK("https://careerviet.vn/vi/tim-viec-lam/data-analyst-nhan-vien-phan-tich-du-lieu.35C63D8E.html","Xem chi tiết")</f>
        <v/>
      </c>
      <c r="M19896" s="10" t="n"/>
    </row>
    <row r="19897">
      <c r="B19897" s="7" t="n">
        <v>19895</v>
      </c>
      <c r="C19897" t="inlineStr">
        <is>
          <t>[sameri] KẾ TOÁN DOANH THU - KHO</t>
        </is>
      </c>
      <c r="D19897" t="inlineStr">
        <is>
          <t>Công ty Cổ phần Tập đoàn Minh Anh</t>
        </is>
      </c>
      <c r="E19897" t="inlineStr">
        <is>
          <t>Lương:Cạnh tranh</t>
        </is>
      </c>
      <c r="F19897" t="inlineStr">
        <is>
          <t>Thanh Hóa</t>
        </is>
      </c>
      <c r="G19897" t="inlineStr">
        <is>
          <t>25-03-2026</t>
        </is>
      </c>
      <c r="H19897" t="inlineStr">
        <is>
          <t>25/03/2026</t>
        </is>
      </c>
      <c r="I19897" t="inlineStr">
        <is>
          <t>17/03/2026</t>
        </is>
      </c>
      <c r="J19897" t="inlineStr">
        <is>
          <t>Kế toán / Kiểm toán, Ngân hàng, Dệt may / Da giày / Thời trang</t>
        </is>
      </c>
      <c r="K19897" t="inlineStr">
        <is>
          <t>1 - 3 Năm</t>
        </is>
      </c>
      <c r="L19897" s="8">
        <f>HYPERLINK("https://careerviet.vn/vi/tim-viec-lam/sameri-ke-toan-doanh-thu-kho.35C63CC0.html","Xem chi tiết")</f>
        <v/>
      </c>
    </row>
    <row r="19898">
      <c r="B19898" s="9" t="n">
        <v>19896</v>
      </c>
      <c r="C19898" s="10" t="inlineStr">
        <is>
          <t>Nhân viên Tư vấn Thẩm mỹ viện - Đà Nẵng</t>
        </is>
      </c>
      <c r="D19898" s="10" t="inlineStr">
        <is>
          <t>CÔNG TY TNHH THẨM MỸ QUỐC TẾ LINH ANH</t>
        </is>
      </c>
      <c r="E19898" s="10" t="inlineStr">
        <is>
          <t>Lương:20 Tr - 40 Tr VND</t>
        </is>
      </c>
      <c r="F19898" s="10" t="inlineStr">
        <is>
          <t>Đà Nẵng</t>
        </is>
      </c>
      <c r="G19898" s="10" t="inlineStr">
        <is>
          <t>25-03-2026</t>
        </is>
      </c>
      <c r="H19898" s="10" t="inlineStr">
        <is>
          <t>25/03/2026</t>
        </is>
      </c>
      <c r="I19898" s="10" t="inlineStr">
        <is>
          <t>17/03/2026</t>
        </is>
      </c>
      <c r="J19898" s="10" t="inlineStr">
        <is>
          <t>Tiếp thị / Marketing, Y tế / Chăm sóc sức khỏe / Thẩm mỹ / Làm đẹp, Tư vấn</t>
        </is>
      </c>
      <c r="K19898" s="10" t="inlineStr">
        <is>
          <t>1 - 2 Năm</t>
        </is>
      </c>
      <c r="L19898" s="11">
        <f>HYPERLINK("https://careerviet.vn/vi/tim-viec-lam/nhan-vien-tu-van-tham-my-vien-da-nang.35C63D96.html","Xem chi tiết")</f>
        <v/>
      </c>
      <c r="M19898" s="10" t="n"/>
    </row>
    <row r="19899">
      <c r="B19899" s="7" t="n">
        <v>19897</v>
      </c>
      <c r="C19899" t="inlineStr">
        <is>
          <t>Kỹ thuật sửa khuôn</t>
        </is>
      </c>
      <c r="D19899" t="inlineStr">
        <is>
          <t>Công ty TNHH ELENTEC HCM VINA</t>
        </is>
      </c>
      <c r="E19899" t="inlineStr">
        <is>
          <t>Lương:Trên 13 Tr VND</t>
        </is>
      </c>
      <c r="F19899" t="inlineStr">
        <is>
          <t>Đồng Nai</t>
        </is>
      </c>
      <c r="G19899" t="inlineStr">
        <is>
          <t>25-03-2026</t>
        </is>
      </c>
      <c r="H19899" t="inlineStr">
        <is>
          <t>25/03/2026</t>
        </is>
      </c>
      <c r="I19899" t="inlineStr">
        <is>
          <t>17/03/2026</t>
        </is>
      </c>
      <c r="J19899" t="inlineStr">
        <is>
          <t>Sản xuất / Vận hành sản xuất, Điện / Điện tử / Điện lạnh / Điện công nghiệp, Ngành khác</t>
        </is>
      </c>
      <c r="K19899" t="inlineStr">
        <is>
          <t>Trên 1 Năm</t>
        </is>
      </c>
      <c r="L19899" s="8">
        <f>HYPERLINK("https://careerviet.vn/vi/tim-viec-lam/ky-thuat-sua-khuon.35C63C6F.html","Xem chi tiết")</f>
        <v/>
      </c>
    </row>
    <row r="19900">
      <c r="B19900" s="9" t="n">
        <v>19898</v>
      </c>
      <c r="C19900" s="10" t="inlineStr">
        <is>
          <t>Nhân viên bảo lãnh bảo hiểm</t>
        </is>
      </c>
      <c r="D19900" s="10" t="inlineStr">
        <is>
          <t>CÔNG TY TNHH ĐẦU TƯ Y TẾ QUỐC TẾ DND – SÀI GÒN</t>
        </is>
      </c>
      <c r="E19900" s="10" t="inlineStr">
        <is>
          <t>Lương:10 Tr - 15 Tr VND</t>
        </is>
      </c>
      <c r="F19900" s="10" t="inlineStr">
        <is>
          <t>Hà Nội</t>
        </is>
      </c>
      <c r="G19900" s="10" t="inlineStr">
        <is>
          <t>25-03-2026</t>
        </is>
      </c>
      <c r="H19900" s="10" t="inlineStr">
        <is>
          <t>25/03/2026</t>
        </is>
      </c>
      <c r="I19900" s="10" t="inlineStr">
        <is>
          <t>17/03/2026</t>
        </is>
      </c>
      <c r="J19900" s="10" t="inlineStr">
        <is>
          <t>Y tế / Chăm sóc sức khỏe / Thẩm mỹ / Làm đẹp, Tư vấn, Bảo hiểm</t>
        </is>
      </c>
      <c r="K19900" s="10" t="inlineStr">
        <is>
          <t>N/A</t>
        </is>
      </c>
      <c r="L19900" s="11">
        <f>HYPERLINK("https://careerviet.vn/vi/tim-viec-lam/nhan-vien-bao-lanh-bao-hiem.35C63C76.html","Xem chi tiết")</f>
        <v/>
      </c>
      <c r="M19900" s="10" t="n"/>
    </row>
    <row r="19901">
      <c r="B19901" s="7" t="n">
        <v>19899</v>
      </c>
      <c r="C19901" t="inlineStr">
        <is>
          <t>NHÂN VIÊN NHÂN SỰ  (HR EXECUTIVE)</t>
        </is>
      </c>
      <c r="D19901" t="inlineStr">
        <is>
          <t>CÔNG TY CỔ PHẦN NGUYÊN LIỆU MQ</t>
        </is>
      </c>
      <c r="E19901" t="inlineStr">
        <is>
          <t>Lương:10 Tr - 15 Tr VND</t>
        </is>
      </c>
      <c r="F19901" t="inlineStr">
        <is>
          <t>Hồ Chí MinhĐồng NaiBình Dương</t>
        </is>
      </c>
      <c r="G19901" t="inlineStr">
        <is>
          <t>31-03-2026</t>
        </is>
      </c>
      <c r="H19901" t="inlineStr">
        <is>
          <t>31/03/2026</t>
        </is>
      </c>
      <c r="I19901" t="inlineStr">
        <is>
          <t>17/03/2026</t>
        </is>
      </c>
      <c r="J19901" t="inlineStr">
        <is>
          <t>Thực phẩm &amp; Đồ uống, Hành chính / Thư ký, Nhân sự</t>
        </is>
      </c>
      <c r="K19901" t="inlineStr">
        <is>
          <t>2 - 4 Năm</t>
        </is>
      </c>
      <c r="L19901" s="8">
        <f>HYPERLINK("https://careerviet.vn/vi/tim-viec-lam/nhan-vien-nhan-su-hr-executive.35C68F18.html","Xem chi tiết")</f>
        <v/>
      </c>
    </row>
    <row r="19902">
      <c r="B19902" s="9" t="n">
        <v>19900</v>
      </c>
      <c r="C19902" s="10" t="inlineStr">
        <is>
          <t>THƯ KÝ KINH DOANH (SALES ADMIN)</t>
        </is>
      </c>
      <c r="D19902" s="10" t="inlineStr">
        <is>
          <t>CÔNG TY CỔ PHẦN NGUYÊN LIỆU MQ</t>
        </is>
      </c>
      <c r="E19902" s="10" t="inlineStr">
        <is>
          <t>Lương:10 Tr - 15 Tr VND</t>
        </is>
      </c>
      <c r="F19902" s="10" t="inlineStr">
        <is>
          <t>Hồ Chí MinhBình DươngKV Đông Nam Bộ</t>
        </is>
      </c>
      <c r="G19902" s="10" t="inlineStr">
        <is>
          <t>31-03-2026</t>
        </is>
      </c>
      <c r="H19902" s="10" t="inlineStr">
        <is>
          <t>31/03/2026</t>
        </is>
      </c>
      <c r="I19902" s="10" t="inlineStr">
        <is>
          <t>17/03/2026</t>
        </is>
      </c>
      <c r="J19902" s="10" t="inlineStr">
        <is>
          <t>Bán hàng / Kinh doanh, Dịch vụ khách hàng, Hành chính / Thư ký</t>
        </is>
      </c>
      <c r="K19902" s="10" t="inlineStr">
        <is>
          <t>1 - 3 Năm</t>
        </is>
      </c>
      <c r="L19902" s="11">
        <f>HYPERLINK("https://careerviet.vn/vi/tim-viec-lam/thu-ky-kinh-doanh-sales-admin.35C68F42.html","Xem chi tiết")</f>
        <v/>
      </c>
      <c r="M19902" s="10" t="n"/>
    </row>
    <row r="19903">
      <c r="B19903" s="7" t="n">
        <v>19901</v>
      </c>
      <c r="C19903" t="inlineStr">
        <is>
          <t>Content Leader/Trưởng Nhóm Nội Dung</t>
        </is>
      </c>
      <c r="D19903" t="inlineStr">
        <is>
          <t>CÔNG TY CỔ PHẦN THE NEW DISTRICT</t>
        </is>
      </c>
      <c r="E19903" t="inlineStr">
        <is>
          <t>Lương:Cạnh tranh</t>
        </is>
      </c>
      <c r="F19903" t="inlineStr">
        <is>
          <t>Hồ Chí Minh</t>
        </is>
      </c>
      <c r="G19903" t="inlineStr">
        <is>
          <t>25-03-2026</t>
        </is>
      </c>
      <c r="H19903" t="inlineStr">
        <is>
          <t>25/03/2026</t>
        </is>
      </c>
      <c r="I19903" t="inlineStr">
        <is>
          <t>17/03/2026</t>
        </is>
      </c>
      <c r="J19903" t="inlineStr">
        <is>
          <t>Tiếp thị / Marketing, Tiếp thị trực tuyến, Dịch vụ khách hàng</t>
        </is>
      </c>
      <c r="K19903" t="inlineStr">
        <is>
          <t>2 - 5 Năm</t>
        </is>
      </c>
      <c r="L19903" s="8">
        <f>HYPERLINK("https://careerviet.vn/vi/tim-viec-lam/content-leader-truong-nhom-noi-dung.35C63D36.html","Xem chi tiết")</f>
        <v/>
      </c>
    </row>
    <row r="19904">
      <c r="B19904" s="9" t="n">
        <v>19902</v>
      </c>
      <c r="C19904" s="10" t="inlineStr">
        <is>
          <t>NHÂN VIÊN KẾ HOẠCH SẢN XUẤT/PRODUCTION PLANNER</t>
        </is>
      </c>
      <c r="D19904" s="10" t="inlineStr">
        <is>
          <t>CÔNG TY TNHH FUJIKURA CONEC VIỆT NAM</t>
        </is>
      </c>
      <c r="E19904" s="10" t="inlineStr">
        <is>
          <t>Lương:11 Tr - 13 Tr VND</t>
        </is>
      </c>
      <c r="F19904" s="10" t="inlineStr">
        <is>
          <t>Bình Dương</t>
        </is>
      </c>
      <c r="G19904" s="10" t="inlineStr">
        <is>
          <t>5</t>
        </is>
      </c>
      <c r="H19904" s="10" t="inlineStr">
        <is>
          <t>22/03/2026</t>
        </is>
      </c>
      <c r="I19904" s="10" t="inlineStr">
        <is>
          <t>17/03/2026</t>
        </is>
      </c>
      <c r="J19904" s="10" t="inlineStr">
        <is>
          <t>Xuất nhập khẩu, Sản xuất / Vận hành sản xuất, Thu mua / Vật tư</t>
        </is>
      </c>
      <c r="K19904" s="10" t="inlineStr">
        <is>
          <t>3 - 6 Năm</t>
        </is>
      </c>
      <c r="L19904" s="11">
        <f>HYPERLINK("https://careerviet.vn/vi/tim-viec-lam/nhan-vien-ke-hoach-san-xuat-production-planner.35C68F0A.html","Xem chi tiết")</f>
        <v/>
      </c>
      <c r="M19904" s="10" t="n"/>
    </row>
    <row r="19905">
      <c r="B19905" s="7" t="n">
        <v>19903</v>
      </c>
      <c r="C19905" t="inlineStr">
        <is>
          <t>PHÓ PHÒNG KỸ THUẬT SẢN XUẤT</t>
        </is>
      </c>
      <c r="D19905" t="inlineStr">
        <is>
          <t>CÔNG TY TNHH NITTO DENSEN KOGYO VIỆT NAM</t>
        </is>
      </c>
      <c r="E19905" t="inlineStr">
        <is>
          <t>Lương:19 Tr - 21 Tr VND</t>
        </is>
      </c>
      <c r="F19905" t="inlineStr">
        <is>
          <t>Đồng Nai</t>
        </is>
      </c>
      <c r="G19905" t="inlineStr">
        <is>
          <t>25-03-2026</t>
        </is>
      </c>
      <c r="H19905" t="inlineStr">
        <is>
          <t>25/03/2026</t>
        </is>
      </c>
      <c r="I19905" t="inlineStr">
        <is>
          <t>17/03/2026</t>
        </is>
      </c>
      <c r="J19905" t="inlineStr">
        <is>
          <t>Cơ khí / Ô tô / Tự động hóa, Bảo trì / Sửa chữa, Sản xuất / Vận hành sản xuất</t>
        </is>
      </c>
      <c r="K19905" t="inlineStr">
        <is>
          <t>3 - 5 Năm</t>
        </is>
      </c>
      <c r="L19905" s="8">
        <f>HYPERLINK("https://careerviet.vn/vi/tim-viec-lam/pho-phong-ky-thuat-san-xuat.35C63DC0.html","Xem chi tiết")</f>
        <v/>
      </c>
    </row>
    <row r="19906">
      <c r="B19906" s="9" t="n">
        <v>19904</v>
      </c>
      <c r="C19906" s="10" t="inlineStr">
        <is>
          <t>Chuyên Viên Tuyển Dụng | Recruitment Officer (Tiếng Anh/Trung)</t>
        </is>
      </c>
      <c r="D19906" s="10" t="inlineStr">
        <is>
          <t>Headhunter HRchannels Group</t>
        </is>
      </c>
      <c r="E19906" s="10" t="inlineStr">
        <is>
          <t>Lương:500 - 1.000 USD</t>
        </is>
      </c>
      <c r="F19906" s="10" t="inlineStr">
        <is>
          <t>Hà Nội</t>
        </is>
      </c>
      <c r="G19906" s="10" t="inlineStr">
        <is>
          <t>24-03-2026</t>
        </is>
      </c>
      <c r="H19906" s="10" t="inlineStr">
        <is>
          <t>24/03/2026</t>
        </is>
      </c>
      <c r="I19906" s="10" t="inlineStr">
        <is>
          <t>17/03/2026</t>
        </is>
      </c>
      <c r="J19906" s="10" t="inlineStr">
        <is>
          <t>Hành chính / Thư ký, Bán hàng / Kinh doanh, Nhân sự</t>
        </is>
      </c>
      <c r="K19906" s="10" t="inlineStr">
        <is>
          <t>1 - 5 Năm</t>
        </is>
      </c>
      <c r="L19906" s="11">
        <f>HYPERLINK("https://careerviet.vn/vi/tim-viec-lam/chuyen-vien-tuyen-dung-recruitment-officer-tieng-anh-trung.35C63B66.html","Xem chi tiết")</f>
        <v/>
      </c>
      <c r="M19906" s="10" t="n"/>
    </row>
    <row r="19907">
      <c r="B19907" s="7" t="n">
        <v>19905</v>
      </c>
      <c r="C19907" t="inlineStr">
        <is>
          <t>Recruitment Specialist (English Speaking)</t>
        </is>
      </c>
      <c r="D19907" t="inlineStr">
        <is>
          <t>Headhunter HRchannels Group</t>
        </is>
      </c>
      <c r="E19907" t="inlineStr">
        <is>
          <t>Lương:500 - 1.000 USD</t>
        </is>
      </c>
      <c r="F19907" t="inlineStr">
        <is>
          <t>Hà Nội</t>
        </is>
      </c>
      <c r="G19907" t="inlineStr">
        <is>
          <t>24-03-2026</t>
        </is>
      </c>
      <c r="H19907" t="inlineStr">
        <is>
          <t>24/03/2026</t>
        </is>
      </c>
      <c r="I19907" t="inlineStr">
        <is>
          <t>17/03/2026</t>
        </is>
      </c>
      <c r="J19907" t="inlineStr">
        <is>
          <t>Nhân sự, Hành chính / Thư ký</t>
        </is>
      </c>
      <c r="K19907" t="inlineStr">
        <is>
          <t>1 - 5 Năm</t>
        </is>
      </c>
      <c r="L19907" s="8">
        <f>HYPERLINK("https://careerviet.vn/vi/tim-viec-lam/recruitment-specialist-english-speaking.35C63B5E.html","Xem chi tiết")</f>
        <v/>
      </c>
    </row>
    <row r="19908">
      <c r="B19908" s="9" t="n">
        <v>19906</v>
      </c>
      <c r="C19908" s="10" t="inlineStr">
        <is>
          <t>Nhân Viên Thu Mua</t>
        </is>
      </c>
      <c r="D19908" s="10" t="inlineStr">
        <is>
          <t>CÔNG TY TNHH CHEMTROVINA</t>
        </is>
      </c>
      <c r="E19908" s="10" t="inlineStr">
        <is>
          <t>Lương:Cạnh tranh</t>
        </is>
      </c>
      <c r="F19908" s="10" t="inlineStr">
        <is>
          <t>Đồng Nai</t>
        </is>
      </c>
      <c r="G19908" s="10" t="inlineStr">
        <is>
          <t>5</t>
        </is>
      </c>
      <c r="H19908" s="10" t="inlineStr">
        <is>
          <t>22/03/2026</t>
        </is>
      </c>
      <c r="I19908" s="10" t="inlineStr">
        <is>
          <t>17/03/2026</t>
        </is>
      </c>
      <c r="J19908" s="10" t="inlineStr">
        <is>
          <t>Thống kê, Thu mua / Vật tư, Hành chính / Thư ký</t>
        </is>
      </c>
      <c r="K19908" s="10" t="inlineStr">
        <is>
          <t>N/A</t>
        </is>
      </c>
      <c r="L19908" s="11">
        <f>HYPERLINK("https://careerviet.vn/vi/tim-viec-lam/nhan-vien-thu-mua.35C68E45.html","Xem chi tiết")</f>
        <v/>
      </c>
      <c r="M19908" s="10" t="n"/>
    </row>
    <row r="19909">
      <c r="B19909" s="7" t="n">
        <v>19907</v>
      </c>
      <c r="C19909" t="inlineStr">
        <is>
          <t>NHÂN VIÊN LAB (LAB EXECUTIVE)</t>
        </is>
      </c>
      <c r="D19909" t="inlineStr">
        <is>
          <t>CÔNG TY CỔ PHẦN NGUYÊN LIỆU MQ</t>
        </is>
      </c>
      <c r="E19909" t="inlineStr">
        <is>
          <t>Lương:10 Tr - 15 Tr VND</t>
        </is>
      </c>
      <c r="F19909" t="inlineStr">
        <is>
          <t>Hồ Chí MinhBình DươngKV Đông Nam Bộ</t>
        </is>
      </c>
      <c r="G19909" t="inlineStr">
        <is>
          <t>31-03-2026</t>
        </is>
      </c>
      <c r="H19909" t="inlineStr">
        <is>
          <t>31/03/2026</t>
        </is>
      </c>
      <c r="I19909" t="inlineStr">
        <is>
          <t>17/03/2026</t>
        </is>
      </c>
      <c r="J19909" t="inlineStr">
        <is>
          <t>Thực phẩm &amp; Đồ uống, Công nghệ thực phẩm / Dinh dưỡng, Hóa học</t>
        </is>
      </c>
      <c r="K19909" t="inlineStr">
        <is>
          <t>1 - 2 Năm</t>
        </is>
      </c>
      <c r="L19909" s="8">
        <f>HYPERLINK("https://careerviet.vn/vi/tim-viec-lam/nhan-vien-lab-lab-executive.35C68F3E.html","Xem chi tiết")</f>
        <v/>
      </c>
    </row>
    <row r="19910">
      <c r="B19910" s="9" t="n">
        <v>19908</v>
      </c>
      <c r="C19910" s="10" t="inlineStr">
        <is>
          <t>Accountant: AR/AP and Treasury</t>
        </is>
      </c>
      <c r="D19910" s="10" t="inlineStr">
        <is>
          <t>Samsung Electronics HCMC CE Complex Co., Ltd</t>
        </is>
      </c>
      <c r="E19910" s="10" t="inlineStr">
        <is>
          <t>Lương:Cạnh tranh</t>
        </is>
      </c>
      <c r="F19910" s="10" t="inlineStr">
        <is>
          <t>Hồ Chí Minh</t>
        </is>
      </c>
      <c r="G19910" s="10" t="inlineStr">
        <is>
          <t>31-03-2026</t>
        </is>
      </c>
      <c r="H19910" s="10" t="inlineStr">
        <is>
          <t>31/03/2026</t>
        </is>
      </c>
      <c r="I19910" s="10" t="inlineStr">
        <is>
          <t>17/03/2026</t>
        </is>
      </c>
      <c r="J19910" s="10" t="inlineStr">
        <is>
          <t>Kế toán / Kiểm toán, Ngân hàng, Tài chính / Đầu tư</t>
        </is>
      </c>
      <c r="K19910" s="10" t="inlineStr">
        <is>
          <t>1 - 3 Năm</t>
        </is>
      </c>
      <c r="L19910" s="11">
        <f>HYPERLINK("https://careerviet.vn/vi/tim-viec-lam/accountant-ar-ap-and-treasury.35C68ED7.html","Xem chi tiết")</f>
        <v/>
      </c>
      <c r="M19910" s="10" t="n"/>
    </row>
    <row r="19911">
      <c r="B19911" s="7" t="n">
        <v>19909</v>
      </c>
      <c r="C19911" t="inlineStr">
        <is>
          <t>Nhân Viên Hành Chính Nhân Sự HCM</t>
        </is>
      </c>
      <c r="D19911" t="inlineStr">
        <is>
          <t>Công ty TNHH Thực Phẩm Sạch Thương Mại T&amp;P</t>
        </is>
      </c>
      <c r="E19911" t="inlineStr">
        <is>
          <t>Lương:8 Tr - 10 Tr VND</t>
        </is>
      </c>
      <c r="F19911" t="inlineStr">
        <is>
          <t>Hồ Chí Minh</t>
        </is>
      </c>
      <c r="G19911" t="inlineStr">
        <is>
          <t>31-03-2026</t>
        </is>
      </c>
      <c r="H19911" t="inlineStr">
        <is>
          <t>31/03/2026</t>
        </is>
      </c>
      <c r="I19911" t="inlineStr">
        <is>
          <t>17/03/2026</t>
        </is>
      </c>
      <c r="J19911" t="inlineStr">
        <is>
          <t>Hành chính / Thư ký, Nhân sự</t>
        </is>
      </c>
      <c r="K19911" t="inlineStr">
        <is>
          <t>N/A</t>
        </is>
      </c>
      <c r="L19911" s="8">
        <f>HYPERLINK("https://careerviet.vn/vi/tim-viec-lam/nhan-vien-hanh-chinh-nhan-su-hcm.35C68E16.html","Xem chi tiết")</f>
        <v/>
      </c>
    </row>
    <row r="19912">
      <c r="B19912" s="9" t="n">
        <v>19910</v>
      </c>
      <c r="C19912" s="10" t="inlineStr">
        <is>
          <t>[HCM] Chuyên viên Sale Admin</t>
        </is>
      </c>
      <c r="D19912" s="10" t="inlineStr">
        <is>
          <t>CÔNG TY CỔ PHẦN CASPER VIỆT NAM</t>
        </is>
      </c>
      <c r="E19912" s="10" t="inlineStr">
        <is>
          <t>Lương:10 Tr - 14 Tr VND</t>
        </is>
      </c>
      <c r="F19912" s="10" t="inlineStr">
        <is>
          <t>Hồ Chí Minh</t>
        </is>
      </c>
      <c r="G19912" s="10" t="inlineStr">
        <is>
          <t>3</t>
        </is>
      </c>
      <c r="H19912" s="10" t="inlineStr">
        <is>
          <t>20/03/2026</t>
        </is>
      </c>
      <c r="I19912" s="10" t="inlineStr">
        <is>
          <t>17/03/2026</t>
        </is>
      </c>
      <c r="J19912" s="10" t="inlineStr">
        <is>
          <t>Bán hàng / Kinh doanh, Hành chính / Thư ký, Điện / Điện tử / Điện lạnh / Điện công nghiệp</t>
        </is>
      </c>
      <c r="K19912" s="10" t="inlineStr">
        <is>
          <t>2 - 3 Năm</t>
        </is>
      </c>
      <c r="L19912" s="11">
        <f>HYPERLINK("https://careerviet.vn/vi/tim-viec-lam/hcm-chuyen-vien-sale-admin.35C68E25.html","Xem chi tiết")</f>
        <v/>
      </c>
      <c r="M19912" s="10" t="n"/>
    </row>
    <row r="19913">
      <c r="B19913" s="7" t="n">
        <v>19911</v>
      </c>
      <c r="C19913" t="inlineStr">
        <is>
          <t>Chuyên viên Nhân sự</t>
        </is>
      </c>
      <c r="D19913" t="inlineStr">
        <is>
          <t>Công Ty Cổ Phần Giáo Dục Thành Thành Công (IGC Group)</t>
        </is>
      </c>
      <c r="E19913" t="inlineStr">
        <is>
          <t>Lương:13 Tr - 15 Tr VND</t>
        </is>
      </c>
      <c r="F19913" t="inlineStr">
        <is>
          <t>Bình Dương</t>
        </is>
      </c>
      <c r="G19913" t="inlineStr">
        <is>
          <t>1</t>
        </is>
      </c>
      <c r="H19913" t="inlineStr">
        <is>
          <t>18/03/2026</t>
        </is>
      </c>
      <c r="I19913" t="inlineStr">
        <is>
          <t>17/03/2026</t>
        </is>
      </c>
      <c r="J19913" t="inlineStr">
        <is>
          <t>Giáo dục / Đào tạo, Nhân sự, Kế toán / Kiểm toán</t>
        </is>
      </c>
      <c r="K19913" t="inlineStr">
        <is>
          <t>3 - 5 Năm</t>
        </is>
      </c>
      <c r="L19913" s="8">
        <f>HYPERLINK("https://careerviet.vn/vi/tim-viec-lam/chuyen-vien-nhan-su.35C68DC6.html","Xem chi tiết")</f>
        <v/>
      </c>
    </row>
    <row r="19914">
      <c r="B19914" s="9" t="n">
        <v>19912</v>
      </c>
      <c r="C19914" s="10" t="inlineStr">
        <is>
          <t>NHÂN VIÊN HÀNH CHÍNH (QUẬN 7 - HCM)</t>
        </is>
      </c>
      <c r="D19914" s="10" t="inlineStr">
        <is>
          <t>CÔNG TY CỔ PHẦN TẬP ĐOÀN XUẤT - NHẬP KHẨU TRÁI CÂY CHÁNH THU</t>
        </is>
      </c>
      <c r="E19914" s="10" t="inlineStr">
        <is>
          <t>Lương:Cạnh tranh</t>
        </is>
      </c>
      <c r="F19914" s="10" t="inlineStr">
        <is>
          <t>Hồ Chí Minh</t>
        </is>
      </c>
      <c r="G19914" s="10" t="inlineStr">
        <is>
          <t>6</t>
        </is>
      </c>
      <c r="H19914" s="10" t="inlineStr">
        <is>
          <t>23/03/2026</t>
        </is>
      </c>
      <c r="I19914" s="10" t="inlineStr">
        <is>
          <t>17/03/2026</t>
        </is>
      </c>
      <c r="J19914" s="10" t="inlineStr">
        <is>
          <t>Hành chính / Thư ký, Nhân sự, Sản xuất / Vận hành sản xuất</t>
        </is>
      </c>
      <c r="K19914" s="10" t="inlineStr">
        <is>
          <t>1 - 2 Năm</t>
        </is>
      </c>
      <c r="L19914" s="11">
        <f>HYPERLINK("https://careerviet.vn/vi/tim-viec-lam/nhan-vien-hanh-chinh-quan-7-hcm.35C68E40.html","Xem chi tiết")</f>
        <v/>
      </c>
      <c r="M19914" s="10" t="n"/>
    </row>
    <row r="19915">
      <c r="B19915" s="7" t="n">
        <v>19913</v>
      </c>
      <c r="C19915" t="inlineStr">
        <is>
          <t>Chuyên viên IT Security</t>
        </is>
      </c>
      <c r="D19915" t="inlineStr">
        <is>
          <t>Công ty cổ phần Nafoods Group</t>
        </is>
      </c>
      <c r="E19915" t="inlineStr">
        <is>
          <t>Lương:Cạnh tranh</t>
        </is>
      </c>
      <c r="F19915" t="inlineStr">
        <is>
          <t>Hồ Chí Minh</t>
        </is>
      </c>
      <c r="G19915" t="inlineStr">
        <is>
          <t>31-03-2026</t>
        </is>
      </c>
      <c r="H19915" t="inlineStr">
        <is>
          <t>31/03/2026</t>
        </is>
      </c>
      <c r="I19915" t="inlineStr">
        <is>
          <t>17/03/2026</t>
        </is>
      </c>
      <c r="J19915" t="inlineStr">
        <is>
          <t>CNTT - Phần mềm, CNTT - Phần cứng / Mạng</t>
        </is>
      </c>
      <c r="K19915" t="inlineStr">
        <is>
          <t>Trên 2 Năm</t>
        </is>
      </c>
      <c r="L19915" s="8">
        <f>HYPERLINK("https://careerviet.vn/vi/tim-viec-lam/chuyen-vien-it-security.35C68DEA.html","Xem chi tiết")</f>
        <v/>
      </c>
    </row>
    <row r="19916">
      <c r="B19916" s="9" t="n">
        <v>19914</v>
      </c>
      <c r="C19916" s="10" t="inlineStr">
        <is>
          <t>[Hải Dương] Nhân viên Quản lý hàng khuyến mại - Nhân viên Kho</t>
        </is>
      </c>
      <c r="D19916" s="10" t="inlineStr">
        <is>
          <t>CÔNG TY TNHH DAESANG VIỆT NAM</t>
        </is>
      </c>
      <c r="E19916" s="10" t="inlineStr">
        <is>
          <t>Lương:9 Tr - 11 Tr VND</t>
        </is>
      </c>
      <c r="F19916" s="10" t="inlineStr">
        <is>
          <t>Hải Dương</t>
        </is>
      </c>
      <c r="G19916" s="10" t="inlineStr">
        <is>
          <t>23-02-2026</t>
        </is>
      </c>
      <c r="H19916" s="10" t="inlineStr">
        <is>
          <t>06/03/2026</t>
        </is>
      </c>
      <c r="I19916" s="10" t="inlineStr">
        <is>
          <t>17/03/2026</t>
        </is>
      </c>
      <c r="J19916" s="10" t="inlineStr">
        <is>
          <t>Vận chuyển / Giao nhận / Kho vận</t>
        </is>
      </c>
      <c r="K19916" s="10" t="inlineStr">
        <is>
          <t>1 - 2 Năm</t>
        </is>
      </c>
      <c r="L19916" s="11">
        <f>HYPERLINK("https://careerviet.vn/vi/tim-viec-lam/hai-duong-nhan-vien-quan-ly-hang-khuyen-mai-nhan-vien-kho.35C68D85.html","Xem chi tiết")</f>
        <v/>
      </c>
      <c r="M19916" s="10" t="n"/>
    </row>
    <row r="19917">
      <c r="B19917" s="7" t="n">
        <v>19915</v>
      </c>
      <c r="C19917" t="inlineStr">
        <is>
          <t>Chuyên viên R&amp;D</t>
        </is>
      </c>
      <c r="D19917" t="inlineStr">
        <is>
          <t>CÔNG TY TNHH MĂMMY VIỆT NAM</t>
        </is>
      </c>
      <c r="E19917" t="inlineStr">
        <is>
          <t>Lương:10 Tr - 15 Tr VND</t>
        </is>
      </c>
      <c r="F19917" t="inlineStr">
        <is>
          <t>Hồ Chí Minh</t>
        </is>
      </c>
      <c r="G19917" t="inlineStr">
        <is>
          <t>6</t>
        </is>
      </c>
      <c r="H19917" t="inlineStr">
        <is>
          <t>23/03/2026</t>
        </is>
      </c>
      <c r="I19917" t="inlineStr">
        <is>
          <t>17/03/2026</t>
        </is>
      </c>
      <c r="J19917" t="inlineStr">
        <is>
          <t>Thực phẩm &amp; Đồ uống, Công nghệ thực phẩm / Dinh dưỡng</t>
        </is>
      </c>
      <c r="K19917" t="inlineStr">
        <is>
          <t>1 - 2 Năm</t>
        </is>
      </c>
      <c r="L19917" s="8">
        <f>HYPERLINK("https://careerviet.vn/vi/tim-viec-lam/chuyen-vien-r-d.35C68D82.html","Xem chi tiết")</f>
        <v/>
      </c>
    </row>
    <row r="19918">
      <c r="B19918" s="9" t="n">
        <v>19916</v>
      </c>
      <c r="C19918" s="10" t="inlineStr">
        <is>
          <t>Chuyên viên ERP - Chuyển Đổi Số</t>
        </is>
      </c>
      <c r="D19918" s="10" t="inlineStr">
        <is>
          <t>Công Ty Cổ Phần Xây Dựng Phước Thành</t>
        </is>
      </c>
      <c r="E19918" s="10" t="inlineStr">
        <is>
          <t>Lương:Cạnh tranh</t>
        </is>
      </c>
      <c r="F19918" s="10" t="inlineStr">
        <is>
          <t>Hồ Chí Minh</t>
        </is>
      </c>
      <c r="G19918" s="10" t="inlineStr">
        <is>
          <t>31-03-2026</t>
        </is>
      </c>
      <c r="H19918" s="10" t="inlineStr">
        <is>
          <t>31/03/2026</t>
        </is>
      </c>
      <c r="I19918" s="10" t="inlineStr">
        <is>
          <t>17/03/2026</t>
        </is>
      </c>
      <c r="J19918" s="10" t="inlineStr">
        <is>
          <t>Kế toán / Kiểm toán, CNTT - Phần mềm</t>
        </is>
      </c>
      <c r="K19918" s="10" t="inlineStr">
        <is>
          <t>1 - 3 Năm</t>
        </is>
      </c>
      <c r="L19918" s="11">
        <f>HYPERLINK("https://careerviet.vn/vi/tim-viec-lam/chuyen-vien-erp-chuyen-doi-so.35C68D5E.html","Xem chi tiết")</f>
        <v/>
      </c>
      <c r="M19918" s="10" t="n"/>
    </row>
    <row r="19919">
      <c r="B19919" s="7" t="n">
        <v>19917</v>
      </c>
      <c r="C19919" t="inlineStr">
        <is>
          <t>Merchandiser</t>
        </is>
      </c>
      <c r="D19919" t="inlineStr">
        <is>
          <t>Công Ty TNHH Apparel Far Eastern (Việt Nam)</t>
        </is>
      </c>
      <c r="E19919" t="inlineStr">
        <is>
          <t>Lương:12 Tr - 22 Tr VND</t>
        </is>
      </c>
      <c r="F19919" t="inlineStr">
        <is>
          <t>Bình Dương</t>
        </is>
      </c>
      <c r="G19919" t="inlineStr">
        <is>
          <t>31-03-2026</t>
        </is>
      </c>
      <c r="H19919" t="inlineStr">
        <is>
          <t>31/03/2026</t>
        </is>
      </c>
      <c r="I19919" t="inlineStr">
        <is>
          <t>17/03/2026</t>
        </is>
      </c>
      <c r="J19919" t="inlineStr">
        <is>
          <t>Dệt may / Da giày / Thời trang, Thu mua / Vật tư, Biên phiên dịch</t>
        </is>
      </c>
      <c r="K19919" t="inlineStr">
        <is>
          <t>1 - 10 Năm</t>
        </is>
      </c>
      <c r="L19919" s="8">
        <f>HYPERLINK("https://careerviet.vn/vi/tim-viec-lam/merchandiser.35C68DCF.html","Xem chi tiết")</f>
        <v/>
      </c>
    </row>
    <row r="19920">
      <c r="B19920" s="9" t="n">
        <v>19918</v>
      </c>
      <c r="C19920" s="10" t="inlineStr">
        <is>
          <t>Pháp Lý Dự Án</t>
        </is>
      </c>
      <c r="D19920" s="10" t="inlineStr">
        <is>
          <t>Công Ty Cổ Phần Xây Dựng Phước Thành</t>
        </is>
      </c>
      <c r="E19920" s="10" t="inlineStr">
        <is>
          <t>Lương:16 Tr - 22 Tr VND</t>
        </is>
      </c>
      <c r="F19920" s="10" t="inlineStr">
        <is>
          <t>Hồ Chí Minh</t>
        </is>
      </c>
      <c r="G19920" s="10" t="inlineStr">
        <is>
          <t>31-03-2026</t>
        </is>
      </c>
      <c r="H19920" s="10" t="inlineStr">
        <is>
          <t>31/03/2026</t>
        </is>
      </c>
      <c r="I19920" s="10" t="inlineStr">
        <is>
          <t>17/03/2026</t>
        </is>
      </c>
      <c r="J19920" s="10" t="inlineStr">
        <is>
          <t>Luật / Pháp lý, Xây dựng</t>
        </is>
      </c>
      <c r="K19920" s="10" t="inlineStr">
        <is>
          <t>1 - 2 Năm</t>
        </is>
      </c>
      <c r="L19920" s="11">
        <f>HYPERLINK("https://careerviet.vn/vi/tim-viec-lam/phap-ly-du-an.35C68D63.html","Xem chi tiết")</f>
        <v/>
      </c>
      <c r="M19920" s="10" t="n"/>
    </row>
    <row r="19921">
      <c r="B19921" s="7" t="n">
        <v>19919</v>
      </c>
      <c r="C19921" t="inlineStr">
        <is>
          <t>Giám Sát Sản Xuất</t>
        </is>
      </c>
      <c r="D19921" t="inlineStr">
        <is>
          <t>Công ty Cổ phần Đầu tư Asia Dragon</t>
        </is>
      </c>
      <c r="E19921" t="inlineStr">
        <is>
          <t>Lương:25 Tr - 40 Tr VND</t>
        </is>
      </c>
      <c r="F19921" t="inlineStr">
        <is>
          <t>Hồ Chí Minh</t>
        </is>
      </c>
      <c r="G19921" t="inlineStr">
        <is>
          <t>6</t>
        </is>
      </c>
      <c r="H19921" t="inlineStr">
        <is>
          <t>23/03/2026</t>
        </is>
      </c>
      <c r="I19921" t="inlineStr">
        <is>
          <t>17/03/2026</t>
        </is>
      </c>
      <c r="J19921" t="inlineStr">
        <is>
          <t>Sản xuất / Vận hành sản xuất, Quản lý chất lượng (QA/QC)</t>
        </is>
      </c>
      <c r="K19921" t="inlineStr">
        <is>
          <t>3 - 5 Năm</t>
        </is>
      </c>
      <c r="L19921" s="8">
        <f>HYPERLINK("https://careerviet.vn/vi/tim-viec-lam/giam-sat-san-xuat.35C68D6B.html","Xem chi tiết")</f>
        <v/>
      </c>
    </row>
    <row r="19922">
      <c r="B19922" s="9" t="n">
        <v>19920</v>
      </c>
      <c r="C19922" s="10" t="inlineStr">
        <is>
          <t>Nhân viên QA - Bộ phận Hóa lý</t>
        </is>
      </c>
      <c r="D19922" s="10" t="inlineStr">
        <is>
          <t>CÔNG TY TNHH TENTAMUS VIỆT NAM</t>
        </is>
      </c>
      <c r="E19922" s="10" t="inlineStr">
        <is>
          <t>Lương:Cạnh tranh</t>
        </is>
      </c>
      <c r="F19922" s="10" t="inlineStr">
        <is>
          <t>Hồ Chí Minh</t>
        </is>
      </c>
      <c r="G19922" s="10" t="inlineStr">
        <is>
          <t>25-03-2026</t>
        </is>
      </c>
      <c r="H19922" s="10" t="inlineStr">
        <is>
          <t>25/03/2026</t>
        </is>
      </c>
      <c r="I19922" s="10" t="inlineStr">
        <is>
          <t>17/03/2026</t>
        </is>
      </c>
      <c r="J19922" s="10" t="inlineStr">
        <is>
          <t>Hóa học, Công nghệ thực phẩm / Dinh dưỡng</t>
        </is>
      </c>
      <c r="K19922" s="10" t="inlineStr">
        <is>
          <t>Lên đến 1 Năm</t>
        </is>
      </c>
      <c r="L19922" s="11">
        <f>HYPERLINK("https://careerviet.vn/vi/tim-viec-lam/nhan-vien-qa-bo-phan-hoa-ly.35C68E21.html","Xem chi tiết")</f>
        <v/>
      </c>
      <c r="M19922" s="10" t="n"/>
    </row>
    <row r="19923">
      <c r="B19923" s="7" t="n">
        <v>19921</v>
      </c>
      <c r="C19923" t="inlineStr">
        <is>
          <t>Nhân Viên Tuyển Dụng - Khối Back Office</t>
        </is>
      </c>
      <c r="D19923" t="inlineStr">
        <is>
          <t>CÔNG TY CỔ PHẦN GREEN SPEED</t>
        </is>
      </c>
      <c r="E19923" t="inlineStr">
        <is>
          <t>Lương:9 Tr - 12 Tr VND</t>
        </is>
      </c>
      <c r="F19923" t="inlineStr">
        <is>
          <t>Bình Dương</t>
        </is>
      </c>
      <c r="G19923" t="inlineStr">
        <is>
          <t>6</t>
        </is>
      </c>
      <c r="H19923" t="inlineStr">
        <is>
          <t>23/03/2026</t>
        </is>
      </c>
      <c r="I19923" t="inlineStr">
        <is>
          <t>17/03/2026</t>
        </is>
      </c>
      <c r="J19923" t="inlineStr">
        <is>
          <t>Nhân sự, Sản xuất / Vận hành sản xuất, Hành chính / Thư ký</t>
        </is>
      </c>
      <c r="K19923" t="inlineStr">
        <is>
          <t>1 - 2 Năm</t>
        </is>
      </c>
      <c r="L19923" s="8">
        <f>HYPERLINK("https://careerviet.vn/vi/tim-viec-lam/nhan-vien-tuyen-dung-khoi-back-office.35C68DCA.html","Xem chi tiết")</f>
        <v/>
      </c>
    </row>
    <row r="19924">
      <c r="B19924" s="9" t="n">
        <v>19922</v>
      </c>
      <c r="C19924" s="10" t="inlineStr">
        <is>
          <t>NHÂN VIÊN NHÂN SỰ</t>
        </is>
      </c>
      <c r="D19924" s="10" t="inlineStr">
        <is>
          <t>CÔNG TY TNHH INZI VINA</t>
        </is>
      </c>
      <c r="E19924" s="10" t="inlineStr">
        <is>
          <t>Lương:Cạnh tranh</t>
        </is>
      </c>
      <c r="F19924" s="10" t="inlineStr">
        <is>
          <t>Đồng Nai</t>
        </is>
      </c>
      <c r="G19924" s="10" t="inlineStr">
        <is>
          <t>31-03-2026</t>
        </is>
      </c>
      <c r="H19924" s="10" t="inlineStr">
        <is>
          <t>31/03/2026</t>
        </is>
      </c>
      <c r="I19924" s="10" t="inlineStr">
        <is>
          <t>17/03/2026</t>
        </is>
      </c>
      <c r="J19924" s="10" t="inlineStr">
        <is>
          <t>Hành chính / Thư ký, Nhân sự, Kế toán / Kiểm toán</t>
        </is>
      </c>
      <c r="K19924" s="10" t="inlineStr">
        <is>
          <t>2 - 5 Năm</t>
        </is>
      </c>
      <c r="L19924" s="11">
        <f>HYPERLINK("https://careerviet.vn/vi/tim-viec-lam/nhan-vien-nhan-su.35C68DC5.html","Xem chi tiết")</f>
        <v/>
      </c>
      <c r="M19924" s="10" t="n"/>
    </row>
    <row r="19925">
      <c r="B19925" s="7" t="n">
        <v>19923</v>
      </c>
      <c r="C19925" t="inlineStr">
        <is>
          <t>Quản Lý Kho</t>
        </is>
      </c>
      <c r="D19925" t="inlineStr">
        <is>
          <t>CÔNG TY TNHH THE SQUARE VINA</t>
        </is>
      </c>
      <c r="E19925" t="inlineStr">
        <is>
          <t>Lương:15 Tr - 18 Tr VND</t>
        </is>
      </c>
      <c r="F19925" t="inlineStr">
        <is>
          <t>Bà Rịa - Vũng Tàu</t>
        </is>
      </c>
      <c r="G19925" t="inlineStr">
        <is>
          <t>23-02-2026</t>
        </is>
      </c>
      <c r="H19925" t="inlineStr">
        <is>
          <t>23/02/2026</t>
        </is>
      </c>
      <c r="I19925" t="inlineStr">
        <is>
          <t>17/03/2026</t>
        </is>
      </c>
      <c r="J19925" t="inlineStr">
        <is>
          <t>Vận chuyển / Giao nhận / Kho vận, Sản xuất / Vận hành sản xuất</t>
        </is>
      </c>
      <c r="K19925" t="inlineStr">
        <is>
          <t>Trên 2 Năm</t>
        </is>
      </c>
      <c r="L19925" s="8">
        <f>HYPERLINK("https://careerviet.vn/vi/tim-viec-lam/quan-ly-kho.35C68D05.html","Xem chi tiết")</f>
        <v/>
      </c>
    </row>
    <row r="19926">
      <c r="B19926" s="9" t="n">
        <v>19924</v>
      </c>
      <c r="C19926" s="10" t="inlineStr">
        <is>
          <t>Nhân viên Tuyển dụng - Đào tạo</t>
        </is>
      </c>
      <c r="D19926" s="10" t="inlineStr">
        <is>
          <t>CHI NHÁNH CT CP TẬP ĐOÀN SUNHOUSE TẠI TPHCM</t>
        </is>
      </c>
      <c r="E19926" s="10" t="inlineStr">
        <is>
          <t>Lương:13 Tr - 15 Tr VND</t>
        </is>
      </c>
      <c r="F19926" s="10" t="inlineStr">
        <is>
          <t>Hồ Chí Minh</t>
        </is>
      </c>
      <c r="G19926" s="10" t="inlineStr">
        <is>
          <t>31-03-2026</t>
        </is>
      </c>
      <c r="H19926" s="10" t="inlineStr">
        <is>
          <t>31/03/2026</t>
        </is>
      </c>
      <c r="I19926" s="10" t="inlineStr">
        <is>
          <t>17/03/2026</t>
        </is>
      </c>
      <c r="J19926" s="10" t="inlineStr">
        <is>
          <t>Nhân sự, Bán lẻ / Bán sỉ, Hành chính / Thư ký</t>
        </is>
      </c>
      <c r="K19926" s="10" t="inlineStr">
        <is>
          <t>2 - 3 Năm</t>
        </is>
      </c>
      <c r="L19926" s="11">
        <f>HYPERLINK("https://careerviet.vn/vi/tim-viec-lam/nhan-vien-tuyen-dung-dao-tao.35C68DCC.html","Xem chi tiết")</f>
        <v/>
      </c>
      <c r="M19926" s="10" t="n"/>
    </row>
    <row r="19927">
      <c r="B19927" s="7" t="n">
        <v>19925</v>
      </c>
      <c r="C19927" t="inlineStr">
        <is>
          <t>Lập trình Web (Web Developer)</t>
        </is>
      </c>
      <c r="D19927" t="inlineStr">
        <is>
          <t>Công ty TNHH Greystone Data Systems Việt Nam</t>
        </is>
      </c>
      <c r="E19927" t="inlineStr">
        <is>
          <t>Lương:12 Tr - 30 Tr VND</t>
        </is>
      </c>
      <c r="F19927" t="inlineStr">
        <is>
          <t>Hồ Chí Minh</t>
        </is>
      </c>
      <c r="G19927" t="inlineStr">
        <is>
          <t>23-02-2026</t>
        </is>
      </c>
      <c r="H19927" t="inlineStr">
        <is>
          <t>25/02/2026</t>
        </is>
      </c>
      <c r="I19927" t="inlineStr">
        <is>
          <t>17/03/2026</t>
        </is>
      </c>
      <c r="J19927" t="inlineStr">
        <is>
          <t>CNTT - Phần mềm, Điện / Điện tử / Điện lạnh / Điện công nghiệp, Mỹ thuật / Nghệ thuật / Thiết kế</t>
        </is>
      </c>
      <c r="K19927" t="inlineStr">
        <is>
          <t>1 - 3 Năm</t>
        </is>
      </c>
      <c r="L19927" s="8">
        <f>HYPERLINK("https://careerviet.vn/vi/tim-viec-lam/lap-trinh-web-web-developer.35C68D55.html","Xem chi tiết")</f>
        <v/>
      </c>
    </row>
    <row r="19928">
      <c r="B19928" s="9" t="n">
        <v>19926</v>
      </c>
      <c r="C19928" s="10" t="inlineStr">
        <is>
          <t>Product Research Staff - Office-based</t>
        </is>
      </c>
      <c r="D19928" s="10" t="inlineStr">
        <is>
          <t>CÔNG TY TNHH MỘT THÀNH VIÊN VITOX</t>
        </is>
      </c>
      <c r="E19928" s="10" t="inlineStr">
        <is>
          <t>Lương:Cạnh tranh</t>
        </is>
      </c>
      <c r="F19928" s="10" t="inlineStr">
        <is>
          <t>Hồ Chí Minh</t>
        </is>
      </c>
      <c r="G19928" s="10" t="inlineStr">
        <is>
          <t>31-03-2026</t>
        </is>
      </c>
      <c r="H19928" s="10" t="inlineStr">
        <is>
          <t>31/03/2026</t>
        </is>
      </c>
      <c r="I19928" s="10" t="inlineStr">
        <is>
          <t>17/03/2026</t>
        </is>
      </c>
      <c r="J19928" s="10" t="inlineStr">
        <is>
          <t>Công nghệ thực phẩm / Dinh dưỡng, Hóa học</t>
        </is>
      </c>
      <c r="K19928" s="10" t="inlineStr">
        <is>
          <t>Lên đến 1 Năm</t>
        </is>
      </c>
      <c r="L19928" s="11">
        <f>HYPERLINK("https://careerviet.vn/vi/tim-viec-lam/product-research-staff-office-based.35C68CF7.html","Xem chi tiết")</f>
        <v/>
      </c>
      <c r="M19928" s="10" t="n"/>
    </row>
    <row r="19929">
      <c r="B19929" s="7" t="n">
        <v>19927</v>
      </c>
      <c r="C19929" t="inlineStr">
        <is>
          <t>Accounting Manager – Viet Huong Industrial Park</t>
        </is>
      </c>
      <c r="D19929" t="inlineStr">
        <is>
          <t>CÔNG TY TNHH TRIMCO GROUP (VIỆT NAM)</t>
        </is>
      </c>
      <c r="E19929" t="inlineStr">
        <is>
          <t>Lương:Cạnh tranh</t>
        </is>
      </c>
      <c r="F19929" t="inlineStr">
        <is>
          <t>Bình Dương</t>
        </is>
      </c>
      <c r="G19929" t="inlineStr">
        <is>
          <t>1</t>
        </is>
      </c>
      <c r="H19929" t="inlineStr">
        <is>
          <t>18/03/2026</t>
        </is>
      </c>
      <c r="I19929" t="inlineStr">
        <is>
          <t>17/03/2026</t>
        </is>
      </c>
      <c r="J19929" t="inlineStr">
        <is>
          <t>Kế toán / Kiểm toán</t>
        </is>
      </c>
      <c r="K19929" t="inlineStr">
        <is>
          <t>5 - 10 Năm</t>
        </is>
      </c>
      <c r="L19929" s="8">
        <f>HYPERLINK("https://careerviet.vn/vi/tim-viec-lam/accounting-manager-viet-huong-industrial-park.35C68BAA.html","Xem chi tiết")</f>
        <v/>
      </c>
    </row>
    <row r="19930">
      <c r="B19930" s="9" t="n">
        <v>19928</v>
      </c>
      <c r="C19930" s="10" t="inlineStr">
        <is>
          <t>Chief Engineer</t>
        </is>
      </c>
      <c r="D19930" s="10" t="inlineStr">
        <is>
          <t>Bảo mật</t>
        </is>
      </c>
      <c r="E19930" s="10" t="inlineStr">
        <is>
          <t>Lương:25 Tr - 35 Tr VND</t>
        </is>
      </c>
      <c r="F19930" s="10" t="inlineStr">
        <is>
          <t>Hồ Chí Minh</t>
        </is>
      </c>
      <c r="G19930" s="10" t="inlineStr">
        <is>
          <t>23-02-2026</t>
        </is>
      </c>
      <c r="H19930" s="10" t="inlineStr">
        <is>
          <t>14/03/2026</t>
        </is>
      </c>
      <c r="I19930" s="10" t="inlineStr">
        <is>
          <t>17/03/2026</t>
        </is>
      </c>
      <c r="J19930" s="10" t="inlineStr">
        <is>
          <t>Điện / Điện tử / Điện lạnh / Điện công nghiệp, Bảo trì / Sửa chữa, Cơ khí / Ô tô / Tự động hóa</t>
        </is>
      </c>
      <c r="K19930" s="10" t="inlineStr">
        <is>
          <t>Chưa có kinh nghiệm</t>
        </is>
      </c>
      <c r="L19930" s="11">
        <f>HYPERLINK("https://careerviet.vn/vi/tim-viec-lam/chief-engineer.35C68B82.html","Xem chi tiết")</f>
        <v/>
      </c>
      <c r="M19930" s="10" t="n"/>
    </row>
    <row r="19931">
      <c r="B19931" s="7" t="n">
        <v>19929</v>
      </c>
      <c r="C19931" t="inlineStr">
        <is>
          <t>Senior Accountant / Accounting Supervisor - Viet Huong Industrial Park</t>
        </is>
      </c>
      <c r="D19931" t="inlineStr">
        <is>
          <t>CÔNG TY TNHH TRIMCO GROUP (VIỆT NAM)</t>
        </is>
      </c>
      <c r="E19931" t="inlineStr">
        <is>
          <t>Lương:Cạnh tranh</t>
        </is>
      </c>
      <c r="F19931" t="inlineStr">
        <is>
          <t>Bình Dương</t>
        </is>
      </c>
      <c r="G19931" t="inlineStr">
        <is>
          <t>1</t>
        </is>
      </c>
      <c r="H19931" t="inlineStr">
        <is>
          <t>18/03/2026</t>
        </is>
      </c>
      <c r="I19931" t="inlineStr">
        <is>
          <t>17/03/2026</t>
        </is>
      </c>
      <c r="J19931" t="inlineStr">
        <is>
          <t>Kế toán / Kiểm toán</t>
        </is>
      </c>
      <c r="K19931" t="inlineStr">
        <is>
          <t>Chưa có kinh nghiệm</t>
        </is>
      </c>
      <c r="L19931" s="8">
        <f>HYPERLINK("https://careerviet.vn/vi/tim-viec-lam/senior-accountant-accounting-supervisor-viet-huong-industrial-park.35C68BAB.html","Xem chi tiết")</f>
        <v/>
      </c>
    </row>
    <row r="19932">
      <c r="B19932" s="9" t="n">
        <v>19930</v>
      </c>
      <c r="C19932" s="10" t="inlineStr">
        <is>
          <t>126312 - Sales Staff - Trading</t>
        </is>
      </c>
      <c r="D19932" s="10" t="inlineStr">
        <is>
          <t>RGF HR Agent Vietnam Co., LTD</t>
        </is>
      </c>
      <c r="E19932" s="10" t="inlineStr">
        <is>
          <t>Lương:Lên đến 36 Tr VND</t>
        </is>
      </c>
      <c r="F19932" s="10" t="inlineStr">
        <is>
          <t>Hồ Chí Minh</t>
        </is>
      </c>
      <c r="G19932" s="10" t="inlineStr">
        <is>
          <t>24-03-2026</t>
        </is>
      </c>
      <c r="H19932" s="10" t="inlineStr">
        <is>
          <t>24/03/2026</t>
        </is>
      </c>
      <c r="I19932" s="10" t="inlineStr">
        <is>
          <t>17/03/2026</t>
        </is>
      </c>
      <c r="J19932" s="10" t="inlineStr">
        <is>
          <t>Bán hàng / Kinh doanh</t>
        </is>
      </c>
      <c r="K19932" s="10" t="inlineStr">
        <is>
          <t>Trên 4 Năm</t>
        </is>
      </c>
      <c r="L19932" s="11">
        <f>HYPERLINK("https://careerviet.vn/vi/tim-viec-lam/126312-sales-staff-trading.35C63BA4.html","Xem chi tiết")</f>
        <v/>
      </c>
      <c r="M19932" s="10" t="n"/>
    </row>
    <row r="19933">
      <c r="B19933" s="7" t="n">
        <v>19931</v>
      </c>
      <c r="C19933" t="inlineStr">
        <is>
          <t>KỸ SƯ THIẾT KẾ  (MÁY - CƠ KHÍ)</t>
        </is>
      </c>
      <c r="D19933" t="inlineStr">
        <is>
          <t>Công ty TNHH Một thành viên Cơ khí SA BE CO</t>
        </is>
      </c>
      <c r="E19933" t="inlineStr">
        <is>
          <t>Lương:Cạnh tranh</t>
        </is>
      </c>
      <c r="F19933" t="inlineStr">
        <is>
          <t>Hồ Chí Minh</t>
        </is>
      </c>
      <c r="G19933" t="inlineStr">
        <is>
          <t>27-03-2026</t>
        </is>
      </c>
      <c r="H19933" t="inlineStr">
        <is>
          <t>27/03/2026</t>
        </is>
      </c>
      <c r="I19933" t="inlineStr">
        <is>
          <t>17/03/2026</t>
        </is>
      </c>
      <c r="J19933" t="inlineStr">
        <is>
          <t>Thực phẩm &amp; Đồ uống, Cơ khí / Ô tô / Tự động hóa, Mỹ thuật / Nghệ thuật / Thiết kế</t>
        </is>
      </c>
      <c r="K19933" t="inlineStr">
        <is>
          <t>3 - 5 Năm</t>
        </is>
      </c>
      <c r="L19933" s="8">
        <f>HYPERLINK("https://careerviet.vn/vi/tim-viec-lam/ky-su-thiet-ke-may-co-khi.35C62F4B.html","Xem chi tiết")</f>
        <v/>
      </c>
    </row>
    <row r="19934">
      <c r="B19934" s="9" t="n">
        <v>19932</v>
      </c>
      <c r="C19934" s="10" t="inlineStr">
        <is>
          <t>Dược sĩ tư vấn</t>
        </is>
      </c>
      <c r="D19934" s="10" t="inlineStr">
        <is>
          <t>BỆNH VIỆN ĐA KHOA PHƯƠNG NAM</t>
        </is>
      </c>
      <c r="E19934" s="10" t="inlineStr">
        <is>
          <t>Lương:Cạnh tranh</t>
        </is>
      </c>
      <c r="F19934" s="10" t="inlineStr">
        <is>
          <t>Hồ Chí Minh</t>
        </is>
      </c>
      <c r="G19934" s="10" t="inlineStr">
        <is>
          <t>23-02-2026</t>
        </is>
      </c>
      <c r="H19934" s="10" t="inlineStr">
        <is>
          <t>14/03/2026</t>
        </is>
      </c>
      <c r="I19934" s="10" t="inlineStr">
        <is>
          <t>17/03/2026</t>
        </is>
      </c>
      <c r="J19934" s="10" t="inlineStr">
        <is>
          <t>Dược phẩm/ Hóa Mỹ Phẩm, Y tế / Chăm sóc sức khỏe / Thẩm mỹ / Làm đẹp</t>
        </is>
      </c>
      <c r="K19934" s="10" t="inlineStr">
        <is>
          <t>1 - 3 Năm</t>
        </is>
      </c>
      <c r="L19934" s="11">
        <f>HYPERLINK("https://careerviet.vn/vi/tim-viec-lam/duoc-si-tu-van.35C68D33.html","Xem chi tiết")</f>
        <v/>
      </c>
      <c r="M19934" s="10" t="n"/>
    </row>
    <row r="19935">
      <c r="B19935" s="7" t="n">
        <v>19933</v>
      </c>
      <c r="C19935" t="inlineStr">
        <is>
          <t>[HCM] Chuyên viên Kế toán</t>
        </is>
      </c>
      <c r="D19935" t="inlineStr">
        <is>
          <t>Công ty cổ phần HaMo Holdings</t>
        </is>
      </c>
      <c r="E19935" t="inlineStr">
        <is>
          <t>Lương:Cạnh tranh</t>
        </is>
      </c>
      <c r="F19935" t="inlineStr">
        <is>
          <t>Hồ Chí Minh</t>
        </is>
      </c>
      <c r="G19935" t="inlineStr">
        <is>
          <t>24-03-2026</t>
        </is>
      </c>
      <c r="H19935" t="inlineStr">
        <is>
          <t>24/03/2026</t>
        </is>
      </c>
      <c r="I19935" t="inlineStr">
        <is>
          <t>17/03/2026</t>
        </is>
      </c>
      <c r="J19935" t="inlineStr">
        <is>
          <t>Dược phẩm/ Hóa Mỹ Phẩm, Y tế / Chăm sóc sức khỏe / Thẩm mỹ / Làm đẹp, Kế toán / Kiểm toán</t>
        </is>
      </c>
      <c r="K19935" t="inlineStr">
        <is>
          <t>Trên 2 Năm</t>
        </is>
      </c>
      <c r="L19935" s="8">
        <f>HYPERLINK("https://careerviet.vn/vi/tim-viec-lam/hcm-chuyen-vien-ke-toan.35C63BCB.html","Xem chi tiết")</f>
        <v/>
      </c>
    </row>
    <row r="19936">
      <c r="B19936" s="9" t="n">
        <v>19934</v>
      </c>
      <c r="C19936" s="10" t="inlineStr">
        <is>
          <t>Phó giám đốc nhà máy-Thanh Hóa</t>
        </is>
      </c>
      <c r="D19936" s="10" t="inlineStr">
        <is>
          <t>Công Ty Cổ Phần Thép Việt Xô Hà Nội</t>
        </is>
      </c>
      <c r="E19936" s="10" t="inlineStr">
        <is>
          <t>Lương:Cạnh tranh</t>
        </is>
      </c>
      <c r="F19936" s="10" t="inlineStr">
        <is>
          <t>Thanh Hóa</t>
        </is>
      </c>
      <c r="G19936" s="10" t="inlineStr">
        <is>
          <t>24-03-2026</t>
        </is>
      </c>
      <c r="H19936" s="10" t="inlineStr">
        <is>
          <t>24/03/2026</t>
        </is>
      </c>
      <c r="I19936" s="10" t="inlineStr">
        <is>
          <t>17/03/2026</t>
        </is>
      </c>
      <c r="J19936" s="10" t="inlineStr">
        <is>
          <t>Sản xuất / Vận hành sản xuất</t>
        </is>
      </c>
      <c r="K19936" s="10" t="inlineStr">
        <is>
          <t>2 - 3 Năm</t>
        </is>
      </c>
      <c r="L19936" s="11">
        <f>HYPERLINK("https://careerviet.vn/vi/tim-viec-lam/pho-giam-doc-nha-may-thanh-hoa.35C63BFF.html","Xem chi tiết")</f>
        <v/>
      </c>
      <c r="M19936" s="10" t="n"/>
    </row>
    <row r="19937">
      <c r="B19937" s="7" t="n">
        <v>19935</v>
      </c>
      <c r="C19937" t="inlineStr">
        <is>
          <t>Kỹ Sư Kiểm Tra Chức Năng Sản Phẩm EFEM</t>
        </is>
      </c>
      <c r="D19937" t="inlineStr">
        <is>
          <t>CÔNG TY TNHH TEXON VIETNAM</t>
        </is>
      </c>
      <c r="E19937" t="inlineStr">
        <is>
          <t>Lương:Cạnh tranh</t>
        </is>
      </c>
      <c r="F19937" t="inlineStr">
        <is>
          <t>Bắc Ninh</t>
        </is>
      </c>
      <c r="G19937" t="inlineStr">
        <is>
          <t>24-03-2026</t>
        </is>
      </c>
      <c r="H19937" t="inlineStr">
        <is>
          <t>24/03/2026</t>
        </is>
      </c>
      <c r="I19937" t="inlineStr">
        <is>
          <t>17/03/2026</t>
        </is>
      </c>
      <c r="J19937" t="inlineStr">
        <is>
          <t>Cơ khí / Ô tô / Tự động hóa, Điện / Điện tử / Điện lạnh / Điện công nghiệp, Sản xuất / Vận hành sản xuất</t>
        </is>
      </c>
      <c r="K19937" t="inlineStr">
        <is>
          <t>N/A</t>
        </is>
      </c>
      <c r="L19937" s="8">
        <f>HYPERLINK("https://careerviet.vn/vi/tim-viec-lam/ky-su-kiem-tra-chuc-nang-san-pham-efem.35C63C3A.html","Xem chi tiết")</f>
        <v/>
      </c>
    </row>
    <row r="19938">
      <c r="B19938" s="9" t="n">
        <v>19936</v>
      </c>
      <c r="C19938" s="10" t="inlineStr">
        <is>
          <t>Lễ Tân Phòng Khám (Hà Nội)</t>
        </is>
      </c>
      <c r="D19938" s="10" t="inlineStr">
        <is>
          <t>Công ty cổ phần HaMo Holdings</t>
        </is>
      </c>
      <c r="E19938" s="10" t="inlineStr">
        <is>
          <t>Lương:8 Tr - 12 Tr VND</t>
        </is>
      </c>
      <c r="F19938" s="10" t="inlineStr">
        <is>
          <t>Hà Nội</t>
        </is>
      </c>
      <c r="G19938" s="10" t="inlineStr">
        <is>
          <t>24-03-2026</t>
        </is>
      </c>
      <c r="H19938" s="10" t="inlineStr">
        <is>
          <t>24/03/2026</t>
        </is>
      </c>
      <c r="I19938" s="10" t="inlineStr">
        <is>
          <t>17/03/2026</t>
        </is>
      </c>
      <c r="J19938" s="10" t="inlineStr">
        <is>
          <t>Y tế / Chăm sóc sức khỏe / Thẩm mỹ / Làm đẹp, Bán lẻ / Bán sỉ, Bán hàng / Kinh doanh</t>
        </is>
      </c>
      <c r="K19938" s="10" t="inlineStr">
        <is>
          <t>1 - 2 Năm</t>
        </is>
      </c>
      <c r="L19938" s="11">
        <f>HYPERLINK("https://careerviet.vn/vi/tim-viec-lam/le-tan-phong-kham-ha-noi.35C63C57.html","Xem chi tiết")</f>
        <v/>
      </c>
      <c r="M19938" s="10" t="n"/>
    </row>
    <row r="19939">
      <c r="B19939" s="7" t="n">
        <v>19937</v>
      </c>
      <c r="C19939" t="inlineStr">
        <is>
          <t>Nhân viên hành chính (NS) - CN. Huế (CN25.321)</t>
        </is>
      </c>
      <c r="D19939" t="inlineStr">
        <is>
          <t>Ngân Hàng TMCP Quân Đội</t>
        </is>
      </c>
      <c r="E19939" t="inlineStr">
        <is>
          <t>Lương:Cạnh tranh</t>
        </is>
      </c>
      <c r="F19939" t="inlineStr">
        <is>
          <t>Thừa Thiên- Huế</t>
        </is>
      </c>
      <c r="G19939" t="inlineStr">
        <is>
          <t>24-03-2026</t>
        </is>
      </c>
      <c r="H19939" t="inlineStr">
        <is>
          <t>24/03/2026</t>
        </is>
      </c>
      <c r="I19939" t="inlineStr">
        <is>
          <t>17/03/2026</t>
        </is>
      </c>
      <c r="J19939" t="inlineStr">
        <is>
          <t>Ngân hàng, Hành chính / Thư ký, Nhân sự</t>
        </is>
      </c>
      <c r="K19939" t="inlineStr">
        <is>
          <t>Trên 3 Năm</t>
        </is>
      </c>
      <c r="L19939" s="8">
        <f>HYPERLINK("https://careerviet.vn/vi/tim-viec-lam/nhan-vien-hanh-chinh-ns-cn-hue-cn25-321.35C63C50.html","Xem chi tiết")</f>
        <v/>
      </c>
    </row>
    <row r="19940">
      <c r="B19940" s="9" t="n">
        <v>19938</v>
      </c>
      <c r="C19940" s="10" t="inlineStr">
        <is>
          <t>Kỹ sư giám sát</t>
        </is>
      </c>
      <c r="D19940" s="10" t="inlineStr">
        <is>
          <t>Công Ty Cổ Phần Đức Mạnh</t>
        </is>
      </c>
      <c r="E19940" s="10" t="inlineStr">
        <is>
          <t>Lương:Cạnh tranh</t>
        </is>
      </c>
      <c r="F19940" s="10" t="inlineStr">
        <is>
          <t>Đà Nẵng</t>
        </is>
      </c>
      <c r="G19940" s="10" t="inlineStr">
        <is>
          <t>24-03-2026</t>
        </is>
      </c>
      <c r="H19940" s="10" t="inlineStr">
        <is>
          <t>24/03/2026</t>
        </is>
      </c>
      <c r="I19940" s="10" t="inlineStr">
        <is>
          <t>17/03/2026</t>
        </is>
      </c>
      <c r="J19940" s="10" t="inlineStr">
        <is>
          <t>Xây dựng</t>
        </is>
      </c>
      <c r="K19940" s="10" t="inlineStr">
        <is>
          <t>Chưa có kinh nghiệm</t>
        </is>
      </c>
      <c r="L19940" s="11">
        <f>HYPERLINK("https://careerviet.vn/vi/tim-viec-lam/ky-su-giam-sat.35C63C41.html","Xem chi tiết")</f>
        <v/>
      </c>
      <c r="M19940" s="10" t="n"/>
    </row>
    <row r="19941">
      <c r="B19941" s="7" t="n">
        <v>19939</v>
      </c>
      <c r="C19941" t="inlineStr">
        <is>
          <t>Chuyên viên Kế hoạch Cung ứng</t>
        </is>
      </c>
      <c r="D19941" t="inlineStr">
        <is>
          <t>CÔNG TY CỔ PHẦN ĐẠI THUẬN</t>
        </is>
      </c>
      <c r="E19941" t="inlineStr">
        <is>
          <t>Lương:Cạnh tranh</t>
        </is>
      </c>
      <c r="F19941" t="inlineStr">
        <is>
          <t>Hồ Chí Minh</t>
        </is>
      </c>
      <c r="G19941" t="inlineStr">
        <is>
          <t>24-03-2026</t>
        </is>
      </c>
      <c r="H19941" t="inlineStr">
        <is>
          <t>24/03/2026</t>
        </is>
      </c>
      <c r="I19941" t="inlineStr">
        <is>
          <t>17/03/2026</t>
        </is>
      </c>
      <c r="J19941" t="inlineStr">
        <is>
          <t>Bán hàng / Kinh doanh, Thực phẩm &amp; Đồ uống, Kế toán / Kiểm toán</t>
        </is>
      </c>
      <c r="K19941" t="inlineStr">
        <is>
          <t>Trên 2 Năm</t>
        </is>
      </c>
      <c r="L19941" s="8">
        <f>HYPERLINK("https://careerviet.vn/vi/tim-viec-lam/chuyen-vien-ke-hoach-cung-ung.35C63C55.html","Xem chi tiết")</f>
        <v/>
      </c>
    </row>
    <row r="19942">
      <c r="B19942" s="9" t="n">
        <v>19940</v>
      </c>
      <c r="C19942" s="10" t="inlineStr">
        <is>
          <t>ERP Developer D365 FnO</t>
        </is>
      </c>
      <c r="D19942" s="10" t="inlineStr">
        <is>
          <t>ILA Việt Nam</t>
        </is>
      </c>
      <c r="E19942" s="10" t="inlineStr">
        <is>
          <t>Lương:Cạnh tranh</t>
        </is>
      </c>
      <c r="F19942" s="10" t="inlineStr">
        <is>
          <t>Hồ Chí Minh</t>
        </is>
      </c>
      <c r="G19942" s="10" t="inlineStr">
        <is>
          <t>24-03-2026</t>
        </is>
      </c>
      <c r="H19942" s="10" t="inlineStr">
        <is>
          <t>24/03/2026</t>
        </is>
      </c>
      <c r="I19942" s="10" t="inlineStr">
        <is>
          <t>17/03/2026</t>
        </is>
      </c>
      <c r="J19942" s="10" t="inlineStr">
        <is>
          <t>Giáo dục / Đào tạo, Kế toán / Kiểm toán, CNTT - Phần mềm</t>
        </is>
      </c>
      <c r="K19942" s="10" t="inlineStr">
        <is>
          <t>3 - 5 Năm</t>
        </is>
      </c>
      <c r="L19942" s="11">
        <f>HYPERLINK("https://careerviet.vn/vi/tim-viec-lam/erp-developer-d365-fno.35C63BFB.html","Xem chi tiết")</f>
        <v/>
      </c>
      <c r="M19942" s="10" t="n"/>
    </row>
    <row r="19943">
      <c r="B19943" s="7" t="n">
        <v>19941</v>
      </c>
      <c r="C19943" t="inlineStr">
        <is>
          <t>Chuyên viên Pháp lý Môi Trường</t>
        </is>
      </c>
      <c r="D19943" t="inlineStr">
        <is>
          <t>CÔNG TY TNHH HWASEUNG VINA</t>
        </is>
      </c>
      <c r="E19943" t="inlineStr">
        <is>
          <t>Lương:10 Tr - 25 Tr VND</t>
        </is>
      </c>
      <c r="F19943" t="inlineStr">
        <is>
          <t>Đồng NaiHồ Chí Minh</t>
        </is>
      </c>
      <c r="G19943" t="inlineStr">
        <is>
          <t>24-03-2026</t>
        </is>
      </c>
      <c r="H19943" t="inlineStr">
        <is>
          <t>24/03/2026</t>
        </is>
      </c>
      <c r="I19943" t="inlineStr">
        <is>
          <t>17/03/2026</t>
        </is>
      </c>
      <c r="J19943" t="inlineStr">
        <is>
          <t>Môi trường, An toàn lao động, Luật / Pháp lý</t>
        </is>
      </c>
      <c r="K19943" t="inlineStr">
        <is>
          <t>2 - 10 Năm</t>
        </is>
      </c>
      <c r="L19943" s="8">
        <f>HYPERLINK("https://careerviet.vn/vi/tim-viec-lam/chuyen-vien-phap-ly-moi-truong.35C63B9F.html","Xem chi tiết")</f>
        <v/>
      </c>
    </row>
    <row r="19944">
      <c r="B19944" s="9" t="n">
        <v>19942</v>
      </c>
      <c r="C19944" s="10" t="inlineStr">
        <is>
          <t>TÀI XẾ XE TẢI (8T)</t>
        </is>
      </c>
      <c r="D19944" s="10" t="inlineStr">
        <is>
          <t>DAEYOUNG ELECTRONICS VINA</t>
        </is>
      </c>
      <c r="E19944" s="10" t="inlineStr">
        <is>
          <t>Lương:8 Tr - 12 Tr VND</t>
        </is>
      </c>
      <c r="F19944" s="10" t="inlineStr">
        <is>
          <t>Hồ Chí Minh</t>
        </is>
      </c>
      <c r="G19944" s="10" t="inlineStr">
        <is>
          <t>24-03-2026</t>
        </is>
      </c>
      <c r="H19944" s="10" t="inlineStr">
        <is>
          <t>24/03/2026</t>
        </is>
      </c>
      <c r="I19944" s="10" t="inlineStr">
        <is>
          <t>17/03/2026</t>
        </is>
      </c>
      <c r="J19944" s="10" t="inlineStr">
        <is>
          <t>Vận chuyển / Giao nhận / Kho vận, Lao động phổ thông, Ngành khác</t>
        </is>
      </c>
      <c r="K19944" s="10" t="inlineStr">
        <is>
          <t>1 - 2 Năm</t>
        </is>
      </c>
      <c r="L19944" s="11">
        <f>HYPERLINK("https://careerviet.vn/vi/tim-viec-lam/tai-xe-xe-tai-8t.35C63B97.html","Xem chi tiết")</f>
        <v/>
      </c>
      <c r="M19944" s="10" t="n"/>
    </row>
    <row r="19945">
      <c r="B19945" s="7" t="n">
        <v>19943</v>
      </c>
      <c r="C19945" t="inlineStr">
        <is>
          <t>[Hà Nội] Bác Sĩ Nội fulltime (Thu nhập cạnh tranh)</t>
        </is>
      </c>
      <c r="D19945" t="inlineStr">
        <is>
          <t>CareerViet's client</t>
        </is>
      </c>
      <c r="E19945" t="inlineStr">
        <is>
          <t>Lương:Cạnh tranh</t>
        </is>
      </c>
      <c r="F19945" t="inlineStr">
        <is>
          <t>Hà Nội</t>
        </is>
      </c>
      <c r="G19945" t="inlineStr">
        <is>
          <t>24-03-2026</t>
        </is>
      </c>
      <c r="H19945" t="inlineStr">
        <is>
          <t>24/03/2026</t>
        </is>
      </c>
      <c r="I19945" t="inlineStr">
        <is>
          <t>17/03/2026</t>
        </is>
      </c>
      <c r="J19945" t="inlineStr">
        <is>
          <t>Dược phẩm/ Hóa Mỹ Phẩm, Y tế / Chăm sóc sức khỏe / Thẩm mỹ / Làm đẹp, Tư vấn</t>
        </is>
      </c>
      <c r="K19945" t="inlineStr">
        <is>
          <t>10 - 15 Năm</t>
        </is>
      </c>
      <c r="L19945" s="8">
        <f>HYPERLINK("https://careerviet.vn/vi/tim-viec-lam/ha-noi-bac-si-noi-fulltime-thu-nhap-canh-tranh.35C63B7B.html","Xem chi tiết")</f>
        <v/>
      </c>
    </row>
    <row r="19946">
      <c r="B19946" s="9" t="n">
        <v>19944</v>
      </c>
      <c r="C19946" s="10" t="inlineStr">
        <is>
          <t>Chuyên Viên Quản Lý Thiết Kế Giao Thông - San Nền</t>
        </is>
      </c>
      <c r="D19946" s="10" t="inlineStr">
        <is>
          <t>CÔNG TY CỔ PHẦN ĐẦU TƯ THIÊN ÂN</t>
        </is>
      </c>
      <c r="E19946" s="10" t="inlineStr">
        <is>
          <t>Lương:Lên đến 25 Tr VND</t>
        </is>
      </c>
      <c r="F19946" s="10" t="inlineStr">
        <is>
          <t>Hà Nội</t>
        </is>
      </c>
      <c r="G19946" s="10" t="inlineStr">
        <is>
          <t>24-03-2026</t>
        </is>
      </c>
      <c r="H19946" s="10" t="inlineStr">
        <is>
          <t>24/03/2026</t>
        </is>
      </c>
      <c r="I19946" s="10" t="inlineStr">
        <is>
          <t>17/03/2026</t>
        </is>
      </c>
      <c r="J19946" s="10" t="inlineStr">
        <is>
          <t>Mỹ thuật / Nghệ thuật / Thiết kế, Xây dựng, Bất động sản</t>
        </is>
      </c>
      <c r="K19946" s="10" t="inlineStr">
        <is>
          <t>Trên 3 Năm</t>
        </is>
      </c>
      <c r="L19946" s="11">
        <f>HYPERLINK("https://careerviet.vn/vi/tim-viec-lam/chuyen-vien-quan-ly-thiet-ke-giao-thong-san-nen.35C63B5B.html","Xem chi tiết")</f>
        <v/>
      </c>
      <c r="M19946" s="10" t="n"/>
    </row>
    <row r="19947">
      <c r="B19947" s="7" t="n">
        <v>19945</v>
      </c>
      <c r="C19947" t="inlineStr">
        <is>
          <t>Nhân viên chính thức trực Tổng đài nhà mạng Viettel Đà Nẵng</t>
        </is>
      </c>
      <c r="D19947" t="inlineStr">
        <is>
          <t>BellSystem24-Việt Nam</t>
        </is>
      </c>
      <c r="E19947" t="inlineStr">
        <is>
          <t>Lương:5 Tr - 8 Tr VND</t>
        </is>
      </c>
      <c r="F19947" t="inlineStr">
        <is>
          <t>Đà Nẵng</t>
        </is>
      </c>
      <c r="G19947" t="inlineStr">
        <is>
          <t>24-03-2026</t>
        </is>
      </c>
      <c r="H19947" t="inlineStr">
        <is>
          <t>24/03/2026</t>
        </is>
      </c>
      <c r="I19947" t="inlineStr">
        <is>
          <t>17/03/2026</t>
        </is>
      </c>
      <c r="J19947" t="inlineStr">
        <is>
          <t>Tư vấn, Dịch vụ khách hàng, Lao động phổ thông</t>
        </is>
      </c>
      <c r="K19947" t="inlineStr">
        <is>
          <t>N/A</t>
        </is>
      </c>
      <c r="L19947" s="8">
        <f>HYPERLINK("https://careerviet.vn/vi/tim-viec-lam/nhan-vien-chinh-thuc-truc-tong-dai-nha-mang-viettel-da-nang.35C63B26.html","Xem chi tiết")</f>
        <v/>
      </c>
    </row>
    <row r="19948">
      <c r="B19948" s="9" t="n">
        <v>19946</v>
      </c>
      <c r="C19948" s="10" t="inlineStr">
        <is>
          <t>TRƯỞNG PHÒNG KẾ HOẠCH</t>
        </is>
      </c>
      <c r="D19948" s="10" t="inlineStr">
        <is>
          <t>Công Ty CP SXTM Thiết Kế Bình Minh</t>
        </is>
      </c>
      <c r="E19948" s="10" t="inlineStr">
        <is>
          <t>Lương:25 Tr - 30 Tr VND</t>
        </is>
      </c>
      <c r="F19948" s="10" t="inlineStr">
        <is>
          <t>Hồ Chí Minh</t>
        </is>
      </c>
      <c r="G19948" s="10" t="inlineStr">
        <is>
          <t>24-03-2026</t>
        </is>
      </c>
      <c r="H19948" s="10" t="inlineStr">
        <is>
          <t>24/03/2026</t>
        </is>
      </c>
      <c r="I19948" s="10" t="inlineStr">
        <is>
          <t>17/03/2026</t>
        </is>
      </c>
      <c r="J19948" s="10" t="inlineStr">
        <is>
          <t>Sản xuất / Vận hành sản xuất, Đồ gỗ, Nội ngoại thất</t>
        </is>
      </c>
      <c r="K19948" s="10" t="inlineStr">
        <is>
          <t>3 - 5 Năm</t>
        </is>
      </c>
      <c r="L19948" s="11">
        <f>HYPERLINK("https://careerviet.vn/vi/tim-viec-lam/truong-phong-ke-hoach.35C63B4C.html","Xem chi tiết")</f>
        <v/>
      </c>
      <c r="M19948" s="10" t="n"/>
    </row>
    <row r="19949">
      <c r="B19949" s="7" t="n">
        <v>19947</v>
      </c>
      <c r="C19949" t="inlineStr">
        <is>
          <t>Điều phối viên Tuyển dụng</t>
        </is>
      </c>
      <c r="D19949" t="inlineStr">
        <is>
          <t>Fushan Technology Vietnam</t>
        </is>
      </c>
      <c r="E19949" t="inlineStr">
        <is>
          <t>Lương:Cạnh tranh</t>
        </is>
      </c>
      <c r="F19949" t="inlineStr">
        <is>
          <t>Bắc Ninh</t>
        </is>
      </c>
      <c r="G19949" t="inlineStr">
        <is>
          <t>24-03-2026</t>
        </is>
      </c>
      <c r="H19949" t="inlineStr">
        <is>
          <t>24/03/2026</t>
        </is>
      </c>
      <c r="I19949" t="inlineStr">
        <is>
          <t>17/03/2026</t>
        </is>
      </c>
      <c r="J19949" t="inlineStr">
        <is>
          <t>Hành chính / Thư ký</t>
        </is>
      </c>
      <c r="K19949" t="inlineStr">
        <is>
          <t>Trên 1 Năm</t>
        </is>
      </c>
      <c r="L19949" s="8">
        <f>HYPERLINK("https://careerviet.vn/vi/tim-viec-lam/dieu-phoi-vien-tuyen-dung.35C63B15.html","Xem chi tiết")</f>
        <v/>
      </c>
    </row>
    <row r="19950">
      <c r="B19950" s="9" t="n">
        <v>19948</v>
      </c>
      <c r="C19950" s="10" t="inlineStr">
        <is>
          <t>Phó Phòng Kế hoạch tổng hợp (Làm việc tại Chi nhánh Campuchia)</t>
        </is>
      </c>
      <c r="D19950" s="10" t="inlineStr">
        <is>
          <t>Tổng Công ty Cổ phần Công trình Viettel</t>
        </is>
      </c>
      <c r="E19950" s="10" t="inlineStr">
        <is>
          <t>Lương:1.000 - 1.500 USD</t>
        </is>
      </c>
      <c r="F19950" s="10" t="inlineStr">
        <is>
          <t>Phnompenh</t>
        </is>
      </c>
      <c r="G19950" s="10" t="inlineStr">
        <is>
          <t>24-03-2026</t>
        </is>
      </c>
      <c r="H19950" s="10" t="inlineStr">
        <is>
          <t>24/03/2026</t>
        </is>
      </c>
      <c r="I19950" s="10" t="inlineStr">
        <is>
          <t>17/03/2026</t>
        </is>
      </c>
      <c r="J19950" s="10" t="inlineStr">
        <is>
          <t>Luật / Pháp lý, Kế toán / Kiểm toán</t>
        </is>
      </c>
      <c r="K19950" s="10" t="inlineStr">
        <is>
          <t>3 - 5 Năm</t>
        </is>
      </c>
      <c r="L19950" s="11">
        <f>HYPERLINK("https://careerviet.vn/vi/tim-viec-lam/pho-phong-ke-hoach-tong-hop-lam-viec-tai-chi-nhanh-campuchia.35C63C4A.html","Xem chi tiết")</f>
        <v/>
      </c>
      <c r="M19950" s="10" t="n"/>
    </row>
    <row r="19951">
      <c r="B19951" s="7" t="n">
        <v>19949</v>
      </c>
      <c r="C19951" t="inlineStr">
        <is>
          <t>Kế Toán Trưởng</t>
        </is>
      </c>
      <c r="D19951" t="inlineStr">
        <is>
          <t>Công Ty Cổ Phần Tập Đoàn Trần Anh Long An</t>
        </is>
      </c>
      <c r="E19951" t="inlineStr">
        <is>
          <t>Lương:Cạnh tranh</t>
        </is>
      </c>
      <c r="F19951" t="inlineStr">
        <is>
          <t>Long An</t>
        </is>
      </c>
      <c r="G19951" t="inlineStr">
        <is>
          <t>24-03-2026</t>
        </is>
      </c>
      <c r="H19951" t="inlineStr">
        <is>
          <t>24/03/2026</t>
        </is>
      </c>
      <c r="I19951" t="inlineStr">
        <is>
          <t>17/03/2026</t>
        </is>
      </c>
      <c r="J19951" t="inlineStr">
        <is>
          <t>Quản lý điều hành, Kế toán / Kiểm toán, Tài chính / Đầu tư</t>
        </is>
      </c>
      <c r="K19951" t="inlineStr">
        <is>
          <t>Trên 3 Năm</t>
        </is>
      </c>
      <c r="L19951" s="8">
        <f>HYPERLINK("https://careerviet.vn/vi/tim-viec-lam/ke-toan-truong.35C6678D.html","Xem chi tiết")</f>
        <v/>
      </c>
    </row>
    <row r="19952">
      <c r="B19952" s="9" t="n">
        <v>19950</v>
      </c>
      <c r="C19952" s="10" t="inlineStr">
        <is>
          <t>Chuyên viên Vận hành Nền tảng tín dụng - K.CNTT</t>
        </is>
      </c>
      <c r="D19952" s="10" t="inlineStr">
        <is>
          <t>Ngân hàng TMCP Đại Chúng Việt Nam - PVcomBank</t>
        </is>
      </c>
      <c r="E19952" s="10" t="inlineStr">
        <is>
          <t>Lương:Cạnh tranh</t>
        </is>
      </c>
      <c r="F19952" s="10" t="inlineStr">
        <is>
          <t>Hà Nội</t>
        </is>
      </c>
      <c r="G19952" s="10" t="inlineStr">
        <is>
          <t>24-03-2026</t>
        </is>
      </c>
      <c r="H19952" s="10" t="inlineStr">
        <is>
          <t>24/03/2026</t>
        </is>
      </c>
      <c r="I19952" s="10" t="inlineStr">
        <is>
          <t>17/03/2026</t>
        </is>
      </c>
      <c r="J19952" s="10" t="inlineStr">
        <is>
          <t>CNTT - Phần cứng / Mạng, CNTT - Phần mềm, Ngân hàng</t>
        </is>
      </c>
      <c r="K19952" s="10" t="inlineStr">
        <is>
          <t>Trên 1 Năm</t>
        </is>
      </c>
      <c r="L19952" s="11">
        <f>HYPERLINK("https://careerviet.vn/vi/tim-viec-lam/chuyen-vien-van-hanh-nen-tang-tin-dung-k-cntt.35C66743.html","Xem chi tiết")</f>
        <v/>
      </c>
      <c r="M19952" s="10" t="n"/>
    </row>
    <row r="19953">
      <c r="B19953" s="7" t="n">
        <v>19951</v>
      </c>
      <c r="C19953" t="inlineStr">
        <is>
          <t>Graphic Designer</t>
        </is>
      </c>
      <c r="D19953" t="inlineStr">
        <is>
          <t>Công ty Cổ phần CANIFA</t>
        </is>
      </c>
      <c r="E19953" t="inlineStr">
        <is>
          <t>Lương:16 Tr - 23 Tr VND</t>
        </is>
      </c>
      <c r="F19953" t="inlineStr">
        <is>
          <t>Hà Nội</t>
        </is>
      </c>
      <c r="G19953" t="inlineStr">
        <is>
          <t>24-03-2026</t>
        </is>
      </c>
      <c r="H19953" t="inlineStr">
        <is>
          <t>24/03/2026</t>
        </is>
      </c>
      <c r="I19953" t="inlineStr">
        <is>
          <t>17/03/2026</t>
        </is>
      </c>
      <c r="J19953" t="inlineStr">
        <is>
          <t>Mỹ thuật / Nghệ thuật / Thiết kế, Dệt may / Da giày / Thời trang, Quảng cáo / Đối ngoại / Truyền Thông</t>
        </is>
      </c>
      <c r="K19953" t="inlineStr">
        <is>
          <t>3 - 5 Năm</t>
        </is>
      </c>
      <c r="L19953" s="8">
        <f>HYPERLINK("https://careerviet.vn/vi/tim-viec-lam/graphic-designer.35C63C23.html","Xem chi tiết")</f>
        <v/>
      </c>
    </row>
    <row r="19954">
      <c r="B19954" s="9" t="n">
        <v>19952</v>
      </c>
      <c r="C19954" s="10" t="inlineStr">
        <is>
          <t>Cộng tác viên Phòng Xử lý tín dụng KHCN - Hồ Chí Minh - TA162</t>
        </is>
      </c>
      <c r="D19954" s="10" t="inlineStr">
        <is>
          <t>Ngân Hàng TMCP Việt Nam Thịnh Vượng - VPBANK</t>
        </is>
      </c>
      <c r="E19954" s="10" t="inlineStr">
        <is>
          <t>Lương:6 Tr - 6 Tr VND</t>
        </is>
      </c>
      <c r="F19954" s="10" t="inlineStr">
        <is>
          <t>Hồ Chí Minh</t>
        </is>
      </c>
      <c r="G19954" s="10" t="inlineStr">
        <is>
          <t>24-03-2026</t>
        </is>
      </c>
      <c r="H19954" s="10" t="inlineStr">
        <is>
          <t>24/03/2026</t>
        </is>
      </c>
      <c r="I19954" s="10" t="inlineStr">
        <is>
          <t>17/03/2026</t>
        </is>
      </c>
      <c r="J19954" s="10" t="inlineStr">
        <is>
          <t>Ngân hàng</t>
        </is>
      </c>
      <c r="K19954" s="10" t="inlineStr">
        <is>
          <t>Chưa có kinh nghiệm</t>
        </is>
      </c>
      <c r="L19954" s="11">
        <f>HYPERLINK("https://careerviet.vn/vi/tim-viec-lam/cong-tac-vien-phong-xu-ly-tin-dung-khcn-ho-chi-minh-ta162.35C63C5F.html","Xem chi tiết")</f>
        <v/>
      </c>
      <c r="M19954" s="10" t="n"/>
    </row>
    <row r="19955">
      <c r="B19955" s="7" t="n">
        <v>19953</v>
      </c>
      <c r="C19955" t="inlineStr">
        <is>
          <t>Manufacturing Engineer - Kỹ sư sản xuất</t>
        </is>
      </c>
      <c r="D19955" t="inlineStr">
        <is>
          <t>Công ty TNHH Amphenol Technology Vietnam (Xưởng 3)</t>
        </is>
      </c>
      <c r="E19955" t="inlineStr">
        <is>
          <t>Lương:Cạnh tranh</t>
        </is>
      </c>
      <c r="F19955" t="inlineStr">
        <is>
          <t>Long An</t>
        </is>
      </c>
      <c r="G19955" t="inlineStr">
        <is>
          <t>24-03-2026</t>
        </is>
      </c>
      <c r="H19955" t="inlineStr">
        <is>
          <t>24/03/2026</t>
        </is>
      </c>
      <c r="I19955" t="inlineStr">
        <is>
          <t>17/03/2026</t>
        </is>
      </c>
      <c r="J19955" t="inlineStr">
        <is>
          <t>Cơ khí / Ô tô / Tự động hóa, Điện / Điện tử / Điện lạnh / Điện công nghiệp, Sản xuất / Vận hành sản xuất</t>
        </is>
      </c>
      <c r="K19955" t="inlineStr">
        <is>
          <t>2 - 3 Năm</t>
        </is>
      </c>
      <c r="L19955" s="8">
        <f>HYPERLINK("https://careerviet.vn/vi/tim-viec-lam/manufacturing-engineer-ky-su-san-xuat.35C66705.html","Xem chi tiết")</f>
        <v/>
      </c>
    </row>
    <row r="19956">
      <c r="B19956" s="9" t="n">
        <v>19954</v>
      </c>
      <c r="C19956" s="10" t="inlineStr">
        <is>
          <t>Nhân Viên Hồ Sơ Thầu Hợp Đồng - Dự Án</t>
        </is>
      </c>
      <c r="D19956" s="10" t="inlineStr">
        <is>
          <t>Công ty CP Đầu Tư TM và Phát Triển Công Nghệ FSI</t>
        </is>
      </c>
      <c r="E19956" s="10" t="inlineStr">
        <is>
          <t>Lương:10 Tr - 15 Tr VND</t>
        </is>
      </c>
      <c r="F19956" s="10" t="inlineStr">
        <is>
          <t>Hồ Chí Minh</t>
        </is>
      </c>
      <c r="G19956" s="10" t="inlineStr">
        <is>
          <t>24-03-2026</t>
        </is>
      </c>
      <c r="H19956" s="10" t="inlineStr">
        <is>
          <t>24/03/2026</t>
        </is>
      </c>
      <c r="I19956" s="10" t="inlineStr">
        <is>
          <t>17/03/2026</t>
        </is>
      </c>
      <c r="J19956" s="10" t="inlineStr">
        <is>
          <t>Luật / Pháp lý</t>
        </is>
      </c>
      <c r="K19956" s="10" t="inlineStr">
        <is>
          <t>1 - 3 Năm</t>
        </is>
      </c>
      <c r="L19956" s="11">
        <f>HYPERLINK("https://careerviet.vn/vi/tim-viec-lam/nhan-vien-ho-so-thau-hop-dong-du-an.35C66681.html","Xem chi tiết")</f>
        <v/>
      </c>
      <c r="M19956" s="10" t="n"/>
    </row>
    <row r="19957">
      <c r="B19957" s="7" t="n">
        <v>19955</v>
      </c>
      <c r="C19957" t="inlineStr">
        <is>
          <t>Nhân viên chứng từ xuất nhập khẩu</t>
        </is>
      </c>
      <c r="D19957" t="inlineStr">
        <is>
          <t>CÔNG TY TNHH VIỆT NAM MAXWIDE LOGISTICS</t>
        </is>
      </c>
      <c r="E19957" t="inlineStr">
        <is>
          <t>Lương:10 Tr - 20 Tr VND</t>
        </is>
      </c>
      <c r="F19957" t="inlineStr">
        <is>
          <t>Hồ Chí Minh</t>
        </is>
      </c>
      <c r="G19957" t="inlineStr">
        <is>
          <t>24-03-2026</t>
        </is>
      </c>
      <c r="H19957" t="inlineStr">
        <is>
          <t>24/03/2026</t>
        </is>
      </c>
      <c r="I19957" t="inlineStr">
        <is>
          <t>17/03/2026</t>
        </is>
      </c>
      <c r="J19957" t="inlineStr">
        <is>
          <t>Vận chuyển / Giao nhận / Kho vận, Xuất nhập khẩu, Ngành khác</t>
        </is>
      </c>
      <c r="K19957" t="inlineStr">
        <is>
          <t>1 - 3 Năm</t>
        </is>
      </c>
      <c r="L19957" s="8">
        <f>HYPERLINK("https://careerviet.vn/vi/tim-viec-lam/nhan-vien-chung-tu-xuat-nhap-khau.35C666F8.html","Xem chi tiết")</f>
        <v/>
      </c>
    </row>
    <row r="19958">
      <c r="B19958" s="9" t="n">
        <v>19956</v>
      </c>
      <c r="C19958" s="10" t="inlineStr">
        <is>
          <t>Production Specialist (Garment, Working in Hung Yen)</t>
        </is>
      </c>
      <c r="D19958" s="10" t="inlineStr">
        <is>
          <t>Headhunter HRchannels Group</t>
        </is>
      </c>
      <c r="E19958" s="10" t="inlineStr">
        <is>
          <t>Lương:22 Tr - 25 Tr VND</t>
        </is>
      </c>
      <c r="F19958" s="10" t="inlineStr">
        <is>
          <t>Hưng YênHà NộiHà Nam</t>
        </is>
      </c>
      <c r="G19958" s="10" t="inlineStr">
        <is>
          <t>24-03-2026</t>
        </is>
      </c>
      <c r="H19958" s="10" t="inlineStr">
        <is>
          <t>24/03/2026</t>
        </is>
      </c>
      <c r="I19958" s="10" t="inlineStr">
        <is>
          <t>17/03/2026</t>
        </is>
      </c>
      <c r="J19958" s="10" t="inlineStr">
        <is>
          <t>Sản xuất / Vận hành sản xuất, Dệt may / Da giày / Thời trang</t>
        </is>
      </c>
      <c r="K19958" s="10" t="inlineStr">
        <is>
          <t>3 - 5 Năm</t>
        </is>
      </c>
      <c r="L19958" s="11">
        <f>HYPERLINK("https://careerviet.vn/vi/tim-viec-lam/production-specialist-garment-working-in-hung-yen.35C63BC5.html","Xem chi tiết")</f>
        <v/>
      </c>
      <c r="M19958" s="10" t="n"/>
    </row>
    <row r="19959">
      <c r="B19959" s="7" t="n">
        <v>19957</v>
      </c>
      <c r="C19959" t="inlineStr">
        <is>
          <t>Nhân viên Phát triển mặt bằng</t>
        </is>
      </c>
      <c r="D19959" t="inlineStr">
        <is>
          <t>Công ty TNHH GS25 Vietnam</t>
        </is>
      </c>
      <c r="E19959" t="inlineStr">
        <is>
          <t>Lương:Cạnh tranh</t>
        </is>
      </c>
      <c r="F19959" t="inlineStr">
        <is>
          <t>Hồ Chí Minh</t>
        </is>
      </c>
      <c r="G19959" t="inlineStr">
        <is>
          <t>24-03-2026</t>
        </is>
      </c>
      <c r="H19959" t="inlineStr">
        <is>
          <t>24/03/2026</t>
        </is>
      </c>
      <c r="I19959" t="inlineStr">
        <is>
          <t>17/03/2026</t>
        </is>
      </c>
      <c r="J19959" t="inlineStr">
        <is>
          <t>Bán lẻ / Bán sỉ</t>
        </is>
      </c>
      <c r="K19959" t="inlineStr">
        <is>
          <t>1 - 5 Năm</t>
        </is>
      </c>
      <c r="L19959" s="8">
        <f>HYPERLINK("https://careerviet.vn/vi/tim-viec-lam/nhan-vien-phat-trien-mat-bang.35C6667D.html","Xem chi tiết")</f>
        <v/>
      </c>
    </row>
    <row r="19960">
      <c r="B19960" s="9" t="n">
        <v>19958</v>
      </c>
      <c r="C19960" s="10" t="inlineStr">
        <is>
          <t>Kỹ thuật viên chất lượng</t>
        </is>
      </c>
      <c r="D19960" s="10" t="inlineStr">
        <is>
          <t>Fushan Technology Vietnam</t>
        </is>
      </c>
      <c r="E19960" s="10" t="inlineStr">
        <is>
          <t>Lương:Cạnh tranh</t>
        </is>
      </c>
      <c r="F19960" s="10" t="inlineStr">
        <is>
          <t>Bắc Ninh</t>
        </is>
      </c>
      <c r="G19960" s="10" t="inlineStr">
        <is>
          <t>24-03-2026</t>
        </is>
      </c>
      <c r="H19960" s="10" t="inlineStr">
        <is>
          <t>24/03/2026</t>
        </is>
      </c>
      <c r="I19960" s="10" t="inlineStr">
        <is>
          <t>17/03/2026</t>
        </is>
      </c>
      <c r="J19960" s="10" t="inlineStr">
        <is>
          <t>Quản lý chất lượng (QA/QC)</t>
        </is>
      </c>
      <c r="K19960" s="10" t="inlineStr">
        <is>
          <t>N/A</t>
        </is>
      </c>
      <c r="L19960" s="11">
        <f>HYPERLINK("https://careerviet.vn/vi/tim-viec-lam/ky-thuat-vien-chat-luong.35C63B01.html","Xem chi tiết")</f>
        <v/>
      </c>
      <c r="M19960" s="10" t="n"/>
    </row>
    <row r="19961">
      <c r="B19961" s="7" t="n">
        <v>19959</v>
      </c>
      <c r="C19961" t="inlineStr">
        <is>
          <t>QC Tiếng Trung</t>
        </is>
      </c>
      <c r="D19961" t="inlineStr">
        <is>
          <t>CÔNG TY TNHH JOB HOUSE</t>
        </is>
      </c>
      <c r="E19961" t="inlineStr">
        <is>
          <t>Lương:700 - 1.000 USD</t>
        </is>
      </c>
      <c r="F19961" t="inlineStr">
        <is>
          <t>Hà NộiHà Nam</t>
        </is>
      </c>
      <c r="G19961" t="inlineStr">
        <is>
          <t>24-03-2026</t>
        </is>
      </c>
      <c r="H19961" t="inlineStr">
        <is>
          <t>24/03/2026</t>
        </is>
      </c>
      <c r="I19961" t="inlineStr">
        <is>
          <t>17/03/2026</t>
        </is>
      </c>
      <c r="J19961" t="inlineStr">
        <is>
          <t>Sản xuất / Vận hành sản xuất, Quản lý chất lượng (QA/QC)</t>
        </is>
      </c>
      <c r="K19961" t="inlineStr">
        <is>
          <t>2 - 4 Năm</t>
        </is>
      </c>
      <c r="L19961" s="8">
        <f>HYPERLINK("https://careerviet.vn/vi/tim-viec-lam/qc-tieng-trung.35C6671D.html","Xem chi tiết")</f>
        <v/>
      </c>
    </row>
    <row r="19962">
      <c r="B19962" s="9" t="n">
        <v>19960</v>
      </c>
      <c r="C19962" s="10" t="inlineStr">
        <is>
          <t>Trưởng Phòng Xử Lý Nợ (Mảng Field + Pháp Lý) - Hà Nội, Khu Vực Miền Bắc  - TA080</t>
        </is>
      </c>
      <c r="D19962" s="10" t="inlineStr">
        <is>
          <t>Ngân Hàng TMCP Việt Nam Thịnh Vượng - VPBANK</t>
        </is>
      </c>
      <c r="E19962" s="10" t="inlineStr">
        <is>
          <t>Lương:Cạnh tranh</t>
        </is>
      </c>
      <c r="F19962" s="10" t="inlineStr">
        <is>
          <t>KV Bắc Trung BộHà Nội</t>
        </is>
      </c>
      <c r="G19962" s="10" t="inlineStr">
        <is>
          <t>24-03-2026</t>
        </is>
      </c>
      <c r="H19962" s="10" t="inlineStr">
        <is>
          <t>24/03/2026</t>
        </is>
      </c>
      <c r="I19962" s="10" t="inlineStr">
        <is>
          <t>17/03/2026</t>
        </is>
      </c>
      <c r="J19962" s="10" t="inlineStr">
        <is>
          <t>Luật / Pháp lý, Ngân hàng, Quản lý chất lượng (QA/QC)</t>
        </is>
      </c>
      <c r="K19962" s="10" t="inlineStr">
        <is>
          <t>3 - 5 Năm</t>
        </is>
      </c>
      <c r="L19962" s="11">
        <f>HYPERLINK("https://careerviet.vn/vi/tim-viec-lam/truong-phong-xu-ly-no-mang-field-phap-ly-ha-noi-khu-vuc-mien-bac-ta080.35C66477.html","Xem chi tiết")</f>
        <v/>
      </c>
      <c r="M19962" s="10" t="n"/>
    </row>
    <row r="19963">
      <c r="B19963" s="7" t="n">
        <v>19961</v>
      </c>
      <c r="C19963" t="inlineStr">
        <is>
          <t>CHUYÊN VIÊN KIỂM SOÁT NỘI BỘ (MEP)</t>
        </is>
      </c>
      <c r="D19963" t="inlineStr">
        <is>
          <t>CÔNG TY CỔ PHẦN ĐẦU TƯ ĐỊA ỐC VẠN PHÚC</t>
        </is>
      </c>
      <c r="E19963" t="inlineStr">
        <is>
          <t>Lương:Cạnh tranh</t>
        </is>
      </c>
      <c r="F19963" t="inlineStr">
        <is>
          <t>Hồ Chí Minh</t>
        </is>
      </c>
      <c r="G19963" t="inlineStr">
        <is>
          <t>24-03-2026</t>
        </is>
      </c>
      <c r="H19963" t="inlineStr">
        <is>
          <t>24/03/2026</t>
        </is>
      </c>
      <c r="I19963" t="inlineStr">
        <is>
          <t>17/03/2026</t>
        </is>
      </c>
      <c r="J19963" t="inlineStr">
        <is>
          <t>Bất động sản, Kế toán / Kiểm toán, Quản lý chất lượng (QA/QC)</t>
        </is>
      </c>
      <c r="K19963" t="inlineStr">
        <is>
          <t>2 - 10 Năm</t>
        </is>
      </c>
      <c r="L19963" s="8">
        <f>HYPERLINK("https://careerviet.vn/vi/tim-viec-lam/chuyen-vien-kiem-soat-noi-bo-mep.35C6671B.html","Xem chi tiết")</f>
        <v/>
      </c>
    </row>
    <row r="19964">
      <c r="B19964" s="9" t="n">
        <v>19962</v>
      </c>
      <c r="C19964" s="10" t="inlineStr">
        <is>
          <t>Chuyên Viên Lập Kế Hoạch Truyền Thông</t>
        </is>
      </c>
      <c r="D19964" s="10" t="inlineStr">
        <is>
          <t>Công Ty Cổ Phần Tập Đoàn Việt Ba</t>
        </is>
      </c>
      <c r="E19964" s="10" t="inlineStr">
        <is>
          <t>Lương:Cạnh tranh</t>
        </is>
      </c>
      <c r="F19964" s="10" t="inlineStr">
        <is>
          <t>Hồ Chí Minh</t>
        </is>
      </c>
      <c r="G19964" s="10" t="inlineStr">
        <is>
          <t>24-03-2026</t>
        </is>
      </c>
      <c r="H19964" s="10" t="inlineStr">
        <is>
          <t>24/03/2026</t>
        </is>
      </c>
      <c r="I19964" s="10" t="inlineStr">
        <is>
          <t>17/03/2026</t>
        </is>
      </c>
      <c r="J19964" s="10" t="inlineStr">
        <is>
          <t>Tiếp thị / Marketing, Tiếp thị trực tuyến, Quảng cáo / Đối ngoại / Truyền Thông</t>
        </is>
      </c>
      <c r="K19964" s="10" t="inlineStr">
        <is>
          <t>2 - 3 Năm</t>
        </is>
      </c>
      <c r="L19964" s="11">
        <f>HYPERLINK("https://careerviet.vn/vi/tim-viec-lam/chuyen-vien-lap-ke-hoach-truyen-thong.35C63BE0.html","Xem chi tiết")</f>
        <v/>
      </c>
      <c r="M19964" s="10" t="n"/>
    </row>
    <row r="19965">
      <c r="B19965" s="7" t="n">
        <v>19963</v>
      </c>
      <c r="C19965" t="inlineStr">
        <is>
          <t>Nhân viên HCNS Tổng hợp ( làm việc tại Hưng Yên)</t>
        </is>
      </c>
      <c r="D19965" t="inlineStr">
        <is>
          <t>CÔNG TY TNHH KIẾN TRÚC - NỘI THẤT NAM ANH</t>
        </is>
      </c>
      <c r="E19965" t="inlineStr">
        <is>
          <t>Lương:15 Tr - 20 Tr VND</t>
        </is>
      </c>
      <c r="F19965" t="inlineStr">
        <is>
          <t>Hưng Yên</t>
        </is>
      </c>
      <c r="G19965" t="inlineStr">
        <is>
          <t>24-03-2026</t>
        </is>
      </c>
      <c r="H19965" t="inlineStr">
        <is>
          <t>24/03/2026</t>
        </is>
      </c>
      <c r="I19965" t="inlineStr">
        <is>
          <t>17/03/2026</t>
        </is>
      </c>
      <c r="J19965" t="inlineStr">
        <is>
          <t>Nhân sự, Sản xuất / Vận hành sản xuất, Nội ngoại thất</t>
        </is>
      </c>
      <c r="K19965" t="inlineStr">
        <is>
          <t>2 - 3 Năm</t>
        </is>
      </c>
      <c r="L19965" s="8">
        <f>HYPERLINK("https://careerviet.vn/vi/tim-viec-lam/nhan-vien-hcns-tong-hop-lam-viec-tai-hung-yen.35C63B43.html","Xem chi tiết")</f>
        <v/>
      </c>
    </row>
    <row r="19966">
      <c r="B19966" s="9" t="n">
        <v>19964</v>
      </c>
      <c r="C19966" s="10" t="inlineStr">
        <is>
          <t>Kỹ sư thiết kế Cơ điện ME ((Điện - HVAC - Cấp thoát nước - PCCC)</t>
        </is>
      </c>
      <c r="D19966" s="10" t="inlineStr">
        <is>
          <t>Tổng Công ty Cổ phần Công trình Viettel</t>
        </is>
      </c>
      <c r="E19966" s="10" t="inlineStr">
        <is>
          <t>Lương:18 Tr - 25 Tr VND</t>
        </is>
      </c>
      <c r="F19966" s="10" t="inlineStr">
        <is>
          <t>Hà Nội</t>
        </is>
      </c>
      <c r="G19966" s="10" t="inlineStr">
        <is>
          <t>24-03-2026</t>
        </is>
      </c>
      <c r="H19966" s="10" t="inlineStr">
        <is>
          <t>24/03/2026</t>
        </is>
      </c>
      <c r="I19966" s="10" t="inlineStr">
        <is>
          <t>17/03/2026</t>
        </is>
      </c>
      <c r="J19966" s="10" t="inlineStr">
        <is>
          <t>Mỹ thuật / Nghệ thuật / Thiết kế, Xây dựng, Điện / Điện tử / Điện lạnh / Điện công nghiệp</t>
        </is>
      </c>
      <c r="K19966" s="10" t="inlineStr">
        <is>
          <t>2 - 4 Năm</t>
        </is>
      </c>
      <c r="L19966" s="11">
        <f>HYPERLINK("https://careerviet.vn/vi/tim-viec-lam/ky-su-thiet-ke-co-dien-me-dien-hvac-cap-thoat-nuoc-pccc.35C63B40.html","Xem chi tiết")</f>
        <v/>
      </c>
      <c r="M19966" s="10" t="n"/>
    </row>
    <row r="19967">
      <c r="B19967" s="7" t="n">
        <v>19965</v>
      </c>
      <c r="C19967" t="inlineStr">
        <is>
          <t>Nhân Viên Điều Hành - Thiết Kế Tour</t>
        </is>
      </c>
      <c r="D19967" t="inlineStr">
        <is>
          <t>Công Ty CP Đầu Tư Thương Mại Dịch Vụ Du Lịch Tuổi Trẻ Việt</t>
        </is>
      </c>
      <c r="E19967" t="inlineStr">
        <is>
          <t>Lương:Trên 10 Tr VND</t>
        </is>
      </c>
      <c r="F19967" t="inlineStr">
        <is>
          <t>Hồ Chí Minh</t>
        </is>
      </c>
      <c r="G19967" t="inlineStr">
        <is>
          <t>24-03-2026</t>
        </is>
      </c>
      <c r="H19967" t="inlineStr">
        <is>
          <t>24/03/2026</t>
        </is>
      </c>
      <c r="I19967" t="inlineStr">
        <is>
          <t>17/03/2026</t>
        </is>
      </c>
      <c r="J19967" t="inlineStr">
        <is>
          <t>Du lịch, Mỹ thuật / Nghệ thuật / Thiết kế, Dịch vụ khách hàng</t>
        </is>
      </c>
      <c r="K19967" t="inlineStr">
        <is>
          <t>Trên 1 Năm</t>
        </is>
      </c>
      <c r="L19967" s="8">
        <f>HYPERLINK("https://careerviet.vn/vi/tim-viec-lam/nhan-vien-dieu-hanh-thiet-ke-tour.35C5E2A4.html","Xem chi tiết")</f>
        <v/>
      </c>
    </row>
    <row r="19968">
      <c r="B19968" s="9" t="n">
        <v>19966</v>
      </c>
      <c r="C19968" s="10" t="inlineStr">
        <is>
          <t>Film Distribution Coordinator</t>
        </is>
      </c>
      <c r="D19968" s="10" t="inlineStr">
        <is>
          <t>CÔNG TY TNHH SKYLINE MEDIA</t>
        </is>
      </c>
      <c r="E19968" s="10" t="inlineStr">
        <is>
          <t>Lương:Cạnh tranh</t>
        </is>
      </c>
      <c r="F19968" s="10" t="inlineStr">
        <is>
          <t>Hồ Chí Minh</t>
        </is>
      </c>
      <c r="G19968" s="10" t="inlineStr">
        <is>
          <t>24-03-2026</t>
        </is>
      </c>
      <c r="H19968" s="10" t="inlineStr">
        <is>
          <t>24/03/2026</t>
        </is>
      </c>
      <c r="I19968" s="10" t="inlineStr">
        <is>
          <t>17/03/2026</t>
        </is>
      </c>
      <c r="J19968" s="10" t="inlineStr">
        <is>
          <t>Bán hàng / Kinh doanh, Hành chính / Thư ký, Quảng cáo / Đối ngoại / Truyền Thông</t>
        </is>
      </c>
      <c r="K19968" s="10" t="inlineStr">
        <is>
          <t>1 - 2 Năm</t>
        </is>
      </c>
      <c r="L19968" s="11">
        <f>HYPERLINK("https://careerviet.vn/vi/tim-viec-lam/film-distribution-coordinator.35C63B68.html","Xem chi tiết")</f>
        <v/>
      </c>
      <c r="M19968" s="10" t="n"/>
    </row>
    <row r="19969">
      <c r="B19969" s="7" t="n">
        <v>19967</v>
      </c>
      <c r="C19969" t="inlineStr">
        <is>
          <t>SYSTEMS &amp; MEDIA DESIGNER</t>
        </is>
      </c>
      <c r="D19969" t="inlineStr">
        <is>
          <t>CÔNG TY TNHH MỘT THÀNH VIÊN LÝ GIA VIÊN</t>
        </is>
      </c>
      <c r="E19969" t="inlineStr">
        <is>
          <t>Lương:15 Tr - 20 Tr VND</t>
        </is>
      </c>
      <c r="F19969" t="inlineStr">
        <is>
          <t>Hồ Chí Minh</t>
        </is>
      </c>
      <c r="G19969" t="inlineStr">
        <is>
          <t>24-03-2026</t>
        </is>
      </c>
      <c r="H19969" t="inlineStr">
        <is>
          <t>24/03/2026</t>
        </is>
      </c>
      <c r="I19969" t="inlineStr">
        <is>
          <t>17/03/2026</t>
        </is>
      </c>
      <c r="J19969" t="inlineStr">
        <is>
          <t>Tiếp thị / Marketing, Mỹ thuật / Nghệ thuật / Thiết kế, Quảng cáo / Đối ngoại / Truyền Thông</t>
        </is>
      </c>
      <c r="K19969" t="inlineStr">
        <is>
          <t>2 - 4 Năm</t>
        </is>
      </c>
      <c r="L19969" s="8">
        <f>HYPERLINK("https://careerviet.vn/vi/tim-viec-lam/systems-media-designer.35C6676D.html","Xem chi tiết")</f>
        <v/>
      </c>
    </row>
    <row r="19970">
      <c r="B19970" s="9" t="n">
        <v>19968</v>
      </c>
      <c r="C19970" s="10" t="inlineStr">
        <is>
          <t>Trưởng Nhóm Sản Xuất Biển Quảng Cáo ( Đi Làm Ngay)</t>
        </is>
      </c>
      <c r="D19970" s="10" t="inlineStr">
        <is>
          <t>Cty TNHH Quảng Cáo &amp; Truyền Thông Trí Việt</t>
        </is>
      </c>
      <c r="E19970" s="10" t="inlineStr">
        <is>
          <t>Lương:18 Tr - 25 Tr VND</t>
        </is>
      </c>
      <c r="F19970" s="10" t="inlineStr">
        <is>
          <t>Hà Nội</t>
        </is>
      </c>
      <c r="G19970" s="10" t="inlineStr">
        <is>
          <t>24-03-2026</t>
        </is>
      </c>
      <c r="H19970" s="10" t="inlineStr">
        <is>
          <t>24/03/2026</t>
        </is>
      </c>
      <c r="I19970" s="10" t="inlineStr">
        <is>
          <t>17/03/2026</t>
        </is>
      </c>
      <c r="J19970" s="10" t="inlineStr">
        <is>
          <t>Xây dựng, Nội ngoại thất, Ngành khác</t>
        </is>
      </c>
      <c r="K19970" s="10" t="inlineStr">
        <is>
          <t>Trên 2 Năm</t>
        </is>
      </c>
      <c r="L19970" s="11">
        <f>HYPERLINK("https://careerviet.vn/vi/tim-viec-lam/truong-nhom-san-xuat-bien-quang-cao-di-lam-ngay.35C63BA5.html","Xem chi tiết")</f>
        <v/>
      </c>
      <c r="M19970" s="10" t="n"/>
    </row>
    <row r="19971">
      <c r="B19971" s="7" t="n">
        <v>19969</v>
      </c>
      <c r="C19971" t="inlineStr">
        <is>
          <t>[Hóc Môn] Admin kiêm CSKH 6 tháng</t>
        </is>
      </c>
      <c r="D19971" t="inlineStr">
        <is>
          <t>Công Ty Cổ Phần Vacxin Việt Nam</t>
        </is>
      </c>
      <c r="E19971" t="inlineStr">
        <is>
          <t>Lương:Cạnh tranh</t>
        </is>
      </c>
      <c r="F19971" t="inlineStr">
        <is>
          <t>Hồ Chí Minh</t>
        </is>
      </c>
      <c r="G19971" t="inlineStr">
        <is>
          <t>24-03-2026</t>
        </is>
      </c>
      <c r="H19971" t="inlineStr">
        <is>
          <t>24/03/2026</t>
        </is>
      </c>
      <c r="I19971" t="inlineStr">
        <is>
          <t>17/03/2026</t>
        </is>
      </c>
      <c r="J19971" t="inlineStr">
        <is>
          <t>Dịch vụ khách hàng, Hành chính / Thư ký, Kế toán / Kiểm toán</t>
        </is>
      </c>
      <c r="K19971" t="inlineStr">
        <is>
          <t>1 - 3 Năm</t>
        </is>
      </c>
      <c r="L19971" s="8">
        <f>HYPERLINK("https://careerviet.vn/vi/tim-viec-lam/hoc-mon-admin-kiem-cskh-6-thang.35C63BE9.html","Xem chi tiết")</f>
        <v/>
      </c>
    </row>
    <row r="19972">
      <c r="B19972" s="9" t="n">
        <v>19970</v>
      </c>
      <c r="C19972" s="10" t="inlineStr">
        <is>
          <t>[Khu Vực Hồ Chí Minh] - CV/CVC/CVCC Quan hệ Khách hàng Doanh nghiệp</t>
        </is>
      </c>
      <c r="D19972" s="10" t="inlineStr">
        <is>
          <t>Ngân hàng TMCP Lộc Phát Việt Nam (LPBank)</t>
        </is>
      </c>
      <c r="E19972" s="10" t="inlineStr">
        <is>
          <t>Lương:Cạnh tranh</t>
        </is>
      </c>
      <c r="F19972" s="10" t="inlineStr">
        <is>
          <t>Hồ Chí Minh</t>
        </is>
      </c>
      <c r="G19972" s="10" t="inlineStr">
        <is>
          <t>24-03-2026</t>
        </is>
      </c>
      <c r="H19972" s="10" t="inlineStr">
        <is>
          <t>24/03/2026</t>
        </is>
      </c>
      <c r="I19972" s="10" t="inlineStr">
        <is>
          <t>17/03/2026</t>
        </is>
      </c>
      <c r="J19972" s="10" t="inlineStr">
        <is>
          <t>Bán hàng / Kinh doanh, Bất động sản, Bảo hiểm</t>
        </is>
      </c>
      <c r="K19972" s="10" t="inlineStr">
        <is>
          <t>Trên 1 Năm</t>
        </is>
      </c>
      <c r="L19972" s="11">
        <f>HYPERLINK("https://careerviet.vn/vi/tim-viec-lam/khu-vuc-ho-chi-minh-cv-cvc-cvcc-quan-he-khach-hang-doanh-nghiep.35C66660.html","Xem chi tiết")</f>
        <v/>
      </c>
      <c r="M19972" s="10" t="n"/>
    </row>
    <row r="19973">
      <c r="B19973" s="7" t="n">
        <v>19971</v>
      </c>
      <c r="C19973" t="inlineStr">
        <is>
          <t>Assistant Manager, Treasury Sales</t>
        </is>
      </c>
      <c r="D19973" t="inlineStr">
        <is>
          <t>HR Vietnam’s ESS Client</t>
        </is>
      </c>
      <c r="E19973" t="inlineStr">
        <is>
          <t>Lương:Cạnh tranh</t>
        </is>
      </c>
      <c r="F19973" t="inlineStr">
        <is>
          <t>Hồ Chí Minh</t>
        </is>
      </c>
      <c r="G19973" t="inlineStr">
        <is>
          <t>24-03-2026</t>
        </is>
      </c>
      <c r="H19973" t="inlineStr">
        <is>
          <t>24/03/2026</t>
        </is>
      </c>
      <c r="I19973" t="inlineStr">
        <is>
          <t>17/03/2026</t>
        </is>
      </c>
      <c r="J19973" t="inlineStr">
        <is>
          <t>Ngân hàng, Tài chính / Đầu tư</t>
        </is>
      </c>
      <c r="K19973" t="inlineStr">
        <is>
          <t>Trên 2 Năm</t>
        </is>
      </c>
      <c r="L19973" s="8">
        <f>HYPERLINK("https://careerviet.vn/vi/tim-viec-lam/assistant-manager-treasury-sales.35C667D9.html","Xem chi tiết")</f>
        <v/>
      </c>
    </row>
    <row r="19974">
      <c r="B19974" s="9" t="n">
        <v>19972</v>
      </c>
      <c r="C19974" s="10" t="inlineStr">
        <is>
          <t>Quản lý Kinh doanh Kênh Bệnh viện (Trong Thầu) – Miền Tây</t>
        </is>
      </c>
      <c r="D19974" s="10" t="inlineStr">
        <is>
          <t>Công ty TNHH Bình Việt Đức (BIVID)</t>
        </is>
      </c>
      <c r="E19974" s="10" t="inlineStr">
        <is>
          <t>Lương:30 Tr - 35 Tr VND</t>
        </is>
      </c>
      <c r="F19974" s="10" t="inlineStr">
        <is>
          <t>Cần Thơ</t>
        </is>
      </c>
      <c r="G19974" s="10" t="inlineStr">
        <is>
          <t>24-03-2026</t>
        </is>
      </c>
      <c r="H19974" s="10" t="inlineStr">
        <is>
          <t>24/03/2026</t>
        </is>
      </c>
      <c r="I19974" s="10" t="inlineStr">
        <is>
          <t>17/03/2026</t>
        </is>
      </c>
      <c r="J19974" s="10" t="inlineStr">
        <is>
          <t>Bán hàng / Kinh doanh, Dược phẩm/ Hóa Mỹ Phẩm, Y tế / Chăm sóc sức khỏe / Thẩm mỹ / Làm đẹp</t>
        </is>
      </c>
      <c r="K19974" s="10" t="inlineStr">
        <is>
          <t>3 - 5 Năm</t>
        </is>
      </c>
      <c r="L19974" s="11">
        <f>HYPERLINK("https://careerviet.vn/vi/tim-viec-lam/quan-ly-kinh-doanh-kenh-benh-vien-trong-thau-mien-tay.35C63BF5.html","Xem chi tiết")</f>
        <v/>
      </c>
      <c r="M19974" s="10" t="n"/>
    </row>
    <row r="19975">
      <c r="B19975" s="7" t="n">
        <v>19973</v>
      </c>
      <c r="C19975" t="inlineStr">
        <is>
          <t>Chuyên Viên Tư Vấn Tài Chính Trực Tuyến (Telesale)</t>
        </is>
      </c>
      <c r="D19975" t="inlineStr">
        <is>
          <t>NGÂN HÀNG TMCP KỸ THƯƠNG VIỆT NAM (TECHCOMBANK)</t>
        </is>
      </c>
      <c r="E19975" t="inlineStr">
        <is>
          <t>Lương:Trên 10 Tr VND</t>
        </is>
      </c>
      <c r="F19975" t="inlineStr">
        <is>
          <t>Hồ Chí Minh</t>
        </is>
      </c>
      <c r="G19975" t="inlineStr">
        <is>
          <t>24-03-2026</t>
        </is>
      </c>
      <c r="H19975" t="inlineStr">
        <is>
          <t>24/03/2026</t>
        </is>
      </c>
      <c r="I19975" t="inlineStr">
        <is>
          <t>17/03/2026</t>
        </is>
      </c>
      <c r="J19975" t="inlineStr">
        <is>
          <t>Bán hàng / Kinh doanh, Ngân hàng, Tư vấn</t>
        </is>
      </c>
      <c r="K19975" t="inlineStr">
        <is>
          <t>N/A</t>
        </is>
      </c>
      <c r="L19975" s="8">
        <f>HYPERLINK("https://careerviet.vn/vi/tim-viec-lam/chuyen-vien-tu-van-tai-chinh-truc-tuyen-telesale.35C63BBE.html","Xem chi tiết")</f>
        <v/>
      </c>
    </row>
    <row r="19976">
      <c r="B19976" s="9" t="n">
        <v>19974</v>
      </c>
      <c r="C19976" s="10" t="inlineStr">
        <is>
          <t>[QUINCE] Hostess</t>
        </is>
      </c>
      <c r="D19976" s="10" t="inlineStr">
        <is>
          <t>Viet Thai International</t>
        </is>
      </c>
      <c r="E19976" s="10" t="inlineStr">
        <is>
          <t>Lương:Cạnh tranh</t>
        </is>
      </c>
      <c r="F19976" s="10" t="inlineStr">
        <is>
          <t>Hồ Chí Minh</t>
        </is>
      </c>
      <c r="G19976" s="10" t="inlineStr">
        <is>
          <t>24-03-2026</t>
        </is>
      </c>
      <c r="H19976" s="10" t="inlineStr">
        <is>
          <t>24/03/2026</t>
        </is>
      </c>
      <c r="I19976" s="10" t="inlineStr">
        <is>
          <t>17/03/2026</t>
        </is>
      </c>
      <c r="J19976" s="10" t="inlineStr">
        <is>
          <t>Biên phiên dịch, Nhà hàng / Khách sạn, Mới tốt nghiệp / Thực tập</t>
        </is>
      </c>
      <c r="K19976" s="10" t="inlineStr">
        <is>
          <t>1 - 2 Năm</t>
        </is>
      </c>
      <c r="L19976" s="11">
        <f>HYPERLINK("https://careerviet.vn/vi/tim-viec-lam/quince-hostess.35C63B84.html","Xem chi tiết")</f>
        <v/>
      </c>
      <c r="M19976" s="10" t="n"/>
    </row>
    <row r="19977">
      <c r="B19977" s="7" t="n">
        <v>19975</v>
      </c>
      <c r="C19977" t="inlineStr">
        <is>
          <t>TRƯỞNG NHÓM THẨM ĐỊNH GIÁ</t>
        </is>
      </c>
      <c r="D19977" t="inlineStr">
        <is>
          <t>CÔNG TY CỔ PHẦN ĐẦU TƯ ĐỊA ỐC VẠN PHÚC</t>
        </is>
      </c>
      <c r="E19977" t="inlineStr">
        <is>
          <t>Lương:Cạnh tranh</t>
        </is>
      </c>
      <c r="F19977" t="inlineStr">
        <is>
          <t>Hồ Chí Minh</t>
        </is>
      </c>
      <c r="G19977" t="inlineStr">
        <is>
          <t>24-03-2026</t>
        </is>
      </c>
      <c r="H19977" t="inlineStr">
        <is>
          <t>24/03/2026</t>
        </is>
      </c>
      <c r="I19977" t="inlineStr">
        <is>
          <t>17/03/2026</t>
        </is>
      </c>
      <c r="J19977" t="inlineStr">
        <is>
          <t>Bất động sản, Kế toán / Kiểm toán, Quản lý chất lượng (QA/QC)</t>
        </is>
      </c>
      <c r="K19977" t="inlineStr">
        <is>
          <t>2 - 10 Năm</t>
        </is>
      </c>
      <c r="L19977" s="8">
        <f>HYPERLINK("https://careerviet.vn/vi/tim-viec-lam/truong-nhom-tham-dinh-gia.35C66716.html","Xem chi tiết")</f>
        <v/>
      </c>
    </row>
    <row r="19978">
      <c r="B19978" s="9" t="n">
        <v>19976</v>
      </c>
      <c r="C19978" s="10" t="inlineStr">
        <is>
          <t>[THANH HÓA] Chuyên viên Nhân sự (HR Division Leader)</t>
        </is>
      </c>
      <c r="D19978" s="10" t="inlineStr">
        <is>
          <t>Công Ty TNHH Aeon Việt Nam</t>
        </is>
      </c>
      <c r="E19978" s="10" t="inlineStr">
        <is>
          <t>Lương:Cạnh tranh</t>
        </is>
      </c>
      <c r="F19978" s="10" t="inlineStr">
        <is>
          <t>Thanh Hóa</t>
        </is>
      </c>
      <c r="G19978" s="10" t="inlineStr">
        <is>
          <t>24-03-2026</t>
        </is>
      </c>
      <c r="H19978" s="10" t="inlineStr">
        <is>
          <t>24/03/2026</t>
        </is>
      </c>
      <c r="I19978" s="10" t="inlineStr">
        <is>
          <t>17/03/2026</t>
        </is>
      </c>
      <c r="J19978" s="10" t="inlineStr">
        <is>
          <t>Nhân sự</t>
        </is>
      </c>
      <c r="K19978" s="10" t="inlineStr">
        <is>
          <t>3 - 5 Năm</t>
        </is>
      </c>
      <c r="L19978" s="11">
        <f>HYPERLINK("https://careerviet.vn/vi/tim-viec-lam/thanh-hoa-chuyen-vien-nhan-su-hr-division-leader.35C63B87.html","Xem chi tiết")</f>
        <v/>
      </c>
      <c r="M19978" s="10" t="n"/>
    </row>
    <row r="19979">
      <c r="B19979" s="7" t="n">
        <v>19977</v>
      </c>
      <c r="C19979" t="inlineStr">
        <is>
          <t>Nhân viên ISO</t>
        </is>
      </c>
      <c r="D19979" t="inlineStr">
        <is>
          <t>Tập Đoàn Kim Tín</t>
        </is>
      </c>
      <c r="E19979" t="inlineStr">
        <is>
          <t>Lương:Cạnh tranh</t>
        </is>
      </c>
      <c r="F19979" t="inlineStr">
        <is>
          <t>Hồ Chí Minh</t>
        </is>
      </c>
      <c r="G19979" t="inlineStr">
        <is>
          <t>24-03-2026</t>
        </is>
      </c>
      <c r="H19979" t="inlineStr">
        <is>
          <t>24/03/2026</t>
        </is>
      </c>
      <c r="I19979" t="inlineStr">
        <is>
          <t>17/03/2026</t>
        </is>
      </c>
      <c r="J19979" t="inlineStr">
        <is>
          <t>Quản lý chất lượng (QA/QC)</t>
        </is>
      </c>
      <c r="K19979" t="inlineStr">
        <is>
          <t>2 - 3 Năm</t>
        </is>
      </c>
      <c r="L19979" s="8">
        <f>HYPERLINK("https://careerviet.vn/vi/tim-viec-lam/nhan-vien-iso.35C6677D.html","Xem chi tiết")</f>
        <v/>
      </c>
    </row>
    <row r="19980">
      <c r="B19980" s="9" t="n">
        <v>19978</v>
      </c>
      <c r="C19980" s="10" t="inlineStr">
        <is>
          <t>KTV/Điều Dưỡng/ Hộ Sinh / Y Sĩ Lấy Máu Tại Chi Nhánh (Dĩ An) - Hợp đồng 6 tháng</t>
        </is>
      </c>
      <c r="D19980" s="10" t="inlineStr">
        <is>
          <t>DIAG</t>
        </is>
      </c>
      <c r="E19980" s="10" t="inlineStr">
        <is>
          <t>Lương:11 Tr - 15 Tr VND</t>
        </is>
      </c>
      <c r="F19980" s="10" t="inlineStr">
        <is>
          <t>Bình Dương</t>
        </is>
      </c>
      <c r="G19980" s="10" t="inlineStr">
        <is>
          <t>24-03-2026</t>
        </is>
      </c>
      <c r="H19980" s="10" t="inlineStr">
        <is>
          <t>24/03/2026</t>
        </is>
      </c>
      <c r="I19980" s="10" t="inlineStr">
        <is>
          <t>17/03/2026</t>
        </is>
      </c>
      <c r="J19980" s="10" t="inlineStr">
        <is>
          <t>Dược phẩm/ Hóa Mỹ Phẩm, Y tế / Chăm sóc sức khỏe / Thẩm mỹ / Làm đẹp, Dịch vụ khách hàng</t>
        </is>
      </c>
      <c r="K19980" s="10" t="inlineStr">
        <is>
          <t>Lên đến 1 Năm</t>
        </is>
      </c>
      <c r="L19980" s="11">
        <f>HYPERLINK("https://careerviet.vn/vi/tim-viec-lam/ktv-dieu-duong-ho-sinh-y-si-lay-mau-tai-chi-nhanh-di-an-hop-dong-6-thang.35C666CD.html","Xem chi tiết")</f>
        <v/>
      </c>
      <c r="M19980" s="10" t="n"/>
    </row>
    <row r="19981">
      <c r="B19981" s="7" t="n">
        <v>19979</v>
      </c>
      <c r="C19981" t="inlineStr">
        <is>
          <t>Chuyên viên Thu hồi nợ hiện trường - Gia Lai - TA079</t>
        </is>
      </c>
      <c r="D19981" t="inlineStr">
        <is>
          <t>Ngân Hàng TMCP Việt Nam Thịnh Vượng - VPBANK</t>
        </is>
      </c>
      <c r="E19981" t="inlineStr">
        <is>
          <t>Lương:13 Tr - 20 Tr VND</t>
        </is>
      </c>
      <c r="F19981" t="inlineStr">
        <is>
          <t>Gia Lai</t>
        </is>
      </c>
      <c r="G19981" t="inlineStr">
        <is>
          <t>24-03-2026</t>
        </is>
      </c>
      <c r="H19981" t="inlineStr">
        <is>
          <t>24/03/2026</t>
        </is>
      </c>
      <c r="I19981" t="inlineStr">
        <is>
          <t>17/03/2026</t>
        </is>
      </c>
      <c r="J19981" t="inlineStr">
        <is>
          <t>Ngân hàng</t>
        </is>
      </c>
      <c r="K19981" t="inlineStr">
        <is>
          <t>N/A</t>
        </is>
      </c>
      <c r="L19981" s="8">
        <f>HYPERLINK("https://careerviet.vn/vi/tim-viec-lam/chuyen-vien-thu-hoi-no-hien-truong-gia-lai-ta079.35C66720.html","Xem chi tiết")</f>
        <v/>
      </c>
    </row>
    <row r="19982">
      <c r="B19982" s="9" t="n">
        <v>19980</v>
      </c>
      <c r="C19982" s="10" t="inlineStr">
        <is>
          <t>NHÂN  VIÊN THIẾT KẾ NỘI THẤT</t>
        </is>
      </c>
      <c r="D19982" s="10" t="inlineStr">
        <is>
          <t>Công Ty TNHH Thương Mại K&amp;K Toàn Cầu</t>
        </is>
      </c>
      <c r="E19982" s="10" t="inlineStr">
        <is>
          <t>Lương:14 Tr - 20 Tr VND</t>
        </is>
      </c>
      <c r="F19982" s="10" t="inlineStr">
        <is>
          <t>Hà Nội</t>
        </is>
      </c>
      <c r="G19982" s="10" t="inlineStr">
        <is>
          <t>24-03-2026</t>
        </is>
      </c>
      <c r="H19982" s="10" t="inlineStr">
        <is>
          <t>24/03/2026</t>
        </is>
      </c>
      <c r="I19982" s="10" t="inlineStr">
        <is>
          <t>17/03/2026</t>
        </is>
      </c>
      <c r="J19982" s="10" t="inlineStr">
        <is>
          <t>Mỹ thuật / Nghệ thuật / Thiết kế, Kiến trúc, Nội ngoại thất</t>
        </is>
      </c>
      <c r="K19982" s="10" t="inlineStr">
        <is>
          <t>1 - 3 Năm</t>
        </is>
      </c>
      <c r="L19982" s="11">
        <f>HYPERLINK("https://careerviet.vn/vi/tim-viec-lam/nhan-vien-thiet-ke-noi-that.35C6667F.html","Xem chi tiết")</f>
        <v/>
      </c>
      <c r="M19982" s="10" t="n"/>
    </row>
    <row r="19983">
      <c r="B19983" s="7" t="n">
        <v>19981</v>
      </c>
      <c r="C19983" t="inlineStr">
        <is>
          <t>[Nam Định] Giám đốc Dịch vụ khách hàng</t>
        </is>
      </c>
      <c r="D19983" t="inlineStr">
        <is>
          <t>Ngân hàng TMCP Lộc Phát Việt Nam (LPBank)</t>
        </is>
      </c>
      <c r="E19983" t="inlineStr">
        <is>
          <t>Lương:Cạnh tranh</t>
        </is>
      </c>
      <c r="F19983" t="inlineStr">
        <is>
          <t>Nam Định</t>
        </is>
      </c>
      <c r="G19983" t="inlineStr">
        <is>
          <t>24-03-2026</t>
        </is>
      </c>
      <c r="H19983" t="inlineStr">
        <is>
          <t>24/03/2026</t>
        </is>
      </c>
      <c r="I19983" t="inlineStr">
        <is>
          <t>17/03/2026</t>
        </is>
      </c>
      <c r="J19983" t="inlineStr">
        <is>
          <t>Dịch vụ khách hàng, Kế toán / Kiểm toán, Ngân hàng</t>
        </is>
      </c>
      <c r="K19983" t="inlineStr">
        <is>
          <t>Trên 5 Năm</t>
        </is>
      </c>
      <c r="L19983" s="8">
        <f>HYPERLINK("https://careerviet.vn/vi/tim-viec-lam/nam-dinh-giam-doc-dich-vu-khach-hang.35C666AE.html","Xem chi tiết")</f>
        <v/>
      </c>
    </row>
    <row r="19984">
      <c r="B19984" s="9" t="n">
        <v>19982</v>
      </c>
      <c r="C19984" s="10" t="inlineStr">
        <is>
          <t>KẾ TOÁN KHO - GIÁ THÀNH</t>
        </is>
      </c>
      <c r="D19984" s="10" t="inlineStr">
        <is>
          <t>EUROFINS VIETNAM</t>
        </is>
      </c>
      <c r="E19984" s="10" t="inlineStr">
        <is>
          <t>Lương:Cạnh tranh</t>
        </is>
      </c>
      <c r="F19984" s="10" t="inlineStr">
        <is>
          <t>Hà Nội</t>
        </is>
      </c>
      <c r="G19984" s="10" t="inlineStr">
        <is>
          <t>24-03-2026</t>
        </is>
      </c>
      <c r="H19984" s="10" t="inlineStr">
        <is>
          <t>24/03/2026</t>
        </is>
      </c>
      <c r="I19984" s="10" t="inlineStr">
        <is>
          <t>17/03/2026</t>
        </is>
      </c>
      <c r="J19984" s="10" t="inlineStr">
        <is>
          <t>Vận chuyển / Giao nhận / Kho vận, Kế toán / Kiểm toán</t>
        </is>
      </c>
      <c r="K19984" s="10" t="inlineStr">
        <is>
          <t>3 - 4 Năm</t>
        </is>
      </c>
      <c r="L19984" s="11">
        <f>HYPERLINK("https://careerviet.vn/vi/tim-viec-lam/ke-toan-kho-gia-thanh.35C667AA.html","Xem chi tiết")</f>
        <v/>
      </c>
      <c r="M19984" s="10" t="n"/>
    </row>
    <row r="19985">
      <c r="B19985" s="7" t="n">
        <v>19983</v>
      </c>
      <c r="C19985" t="inlineStr">
        <is>
          <t>Kỹ thuật viên ép thổi nhựa sản xuất</t>
        </is>
      </c>
      <c r="D19985" t="inlineStr">
        <is>
          <t>Công ty Cổ Phần Thảo Mộc Xanh long an</t>
        </is>
      </c>
      <c r="E19985" t="inlineStr">
        <is>
          <t>Lương:Cạnh tranh</t>
        </is>
      </c>
      <c r="F19985" t="inlineStr">
        <is>
          <t>Long An</t>
        </is>
      </c>
      <c r="G19985" t="inlineStr">
        <is>
          <t>24-03-2026</t>
        </is>
      </c>
      <c r="H19985" t="inlineStr">
        <is>
          <t>24/03/2026</t>
        </is>
      </c>
      <c r="I19985" t="inlineStr">
        <is>
          <t>17/03/2026</t>
        </is>
      </c>
      <c r="J19985" t="inlineStr">
        <is>
          <t>Cơ khí / Ô tô / Tự động hóa, Sản xuất / Vận hành sản xuất, Điện / Điện tử / Điện lạnh / Điện công nghiệp</t>
        </is>
      </c>
      <c r="K19985" t="inlineStr">
        <is>
          <t>4 - 5 Năm</t>
        </is>
      </c>
      <c r="L19985" s="8">
        <f>HYPERLINK("https://careerviet.vn/vi/tim-viec-lam/ky-thuat-vien-ep-thoi-nhua-san-xuat.35C6678C.html","Xem chi tiết")</f>
        <v/>
      </c>
    </row>
    <row r="19986">
      <c r="B19986" s="9" t="n">
        <v>19984</v>
      </c>
      <c r="C19986" s="10" t="inlineStr">
        <is>
          <t>Dược Sĩ Tư Vấn Đặt Hàng</t>
        </is>
      </c>
      <c r="D19986" s="10" t="inlineStr">
        <is>
          <t>Công Ty CP Dược Phẩm Pharmacity</t>
        </is>
      </c>
      <c r="E19986" s="10" t="inlineStr">
        <is>
          <t>Lương:Cạnh tranh</t>
        </is>
      </c>
      <c r="F19986" s="10" t="inlineStr">
        <is>
          <t>Hồ Chí Minh</t>
        </is>
      </c>
      <c r="G19986" s="10" t="inlineStr">
        <is>
          <t>24-03-2026</t>
        </is>
      </c>
      <c r="H19986" s="10" t="inlineStr">
        <is>
          <t>24/03/2026</t>
        </is>
      </c>
      <c r="I19986" s="10" t="inlineStr">
        <is>
          <t>17/03/2026</t>
        </is>
      </c>
      <c r="J19986" s="10" t="inlineStr">
        <is>
          <t>Bán lẻ / Bán sỉ, Thương mại điện tử, Dược phẩm/ Hóa Mỹ Phẩm</t>
        </is>
      </c>
      <c r="K19986" s="10" t="inlineStr">
        <is>
          <t>1 - 2 Năm</t>
        </is>
      </c>
      <c r="L19986" s="11">
        <f>HYPERLINK("https://careerviet.vn/vi/tim-viec-lam/duoc-si-tu-van-dat-hang.35C63B6F.html","Xem chi tiết")</f>
        <v/>
      </c>
      <c r="M19986" s="10" t="n"/>
    </row>
    <row r="19987">
      <c r="B19987" s="7" t="n">
        <v>19985</v>
      </c>
      <c r="C19987" t="inlineStr">
        <is>
          <t>Nhân viên bảo trì cơ điện sản xuất</t>
        </is>
      </c>
      <c r="D19987" t="inlineStr">
        <is>
          <t>Công ty Cổ Phần Thảo Mộc Xanh Long An</t>
        </is>
      </c>
      <c r="E19987" t="inlineStr">
        <is>
          <t>Lương:Cạnh tranh</t>
        </is>
      </c>
      <c r="F19987" t="inlineStr">
        <is>
          <t>Long An</t>
        </is>
      </c>
      <c r="G19987" t="inlineStr">
        <is>
          <t>24-03-2026</t>
        </is>
      </c>
      <c r="H19987" t="inlineStr">
        <is>
          <t>24/03/2026</t>
        </is>
      </c>
      <c r="I19987" t="inlineStr">
        <is>
          <t>17/03/2026</t>
        </is>
      </c>
      <c r="J19987" t="inlineStr">
        <is>
          <t>Cơ khí / Ô tô / Tự động hóa, Bảo trì / Sửa chữa, Điện / Điện tử / Điện lạnh / Điện công nghiệp</t>
        </is>
      </c>
      <c r="K19987" t="inlineStr">
        <is>
          <t>Trên 2 Năm</t>
        </is>
      </c>
      <c r="L19987" s="8">
        <f>HYPERLINK("https://careerviet.vn/vi/tim-viec-lam/nhan-vien-bao-tri-co-dien-san-xuat.35C66786.html","Xem chi tiết")</f>
        <v/>
      </c>
    </row>
    <row r="19988">
      <c r="B19988" s="9" t="n">
        <v>19986</v>
      </c>
      <c r="C19988" s="10" t="inlineStr">
        <is>
          <t>Hà Nội Và Hưng Yên- Nhân Viên Kinh Doanh Giao Hàng Tận Nhà</t>
        </is>
      </c>
      <c r="D19988" s="10" t="inlineStr">
        <is>
          <t>Cty TNHH Yakult Việt Nam</t>
        </is>
      </c>
      <c r="E19988" s="10" t="inlineStr">
        <is>
          <t>Lương:10 Tr - 15 Tr VND</t>
        </is>
      </c>
      <c r="F19988" s="10" t="inlineStr">
        <is>
          <t>Hà NộiHưng Yên</t>
        </is>
      </c>
      <c r="G19988" s="10" t="inlineStr">
        <is>
          <t>24-03-2026</t>
        </is>
      </c>
      <c r="H19988" s="10" t="inlineStr">
        <is>
          <t>24/03/2026</t>
        </is>
      </c>
      <c r="I19988" s="10" t="inlineStr">
        <is>
          <t>17/03/2026</t>
        </is>
      </c>
      <c r="J19988" s="10" t="inlineStr">
        <is>
          <t>Bán hàng / Kinh doanh</t>
        </is>
      </c>
      <c r="K19988" s="10" t="inlineStr">
        <is>
          <t>N/A</t>
        </is>
      </c>
      <c r="L19988" s="11">
        <f>HYPERLINK("https://careerviet.vn/vi/tim-viec-lam/ha-noi-va-hung-yen-nhan-vien-kinh-doanh-giao-hang-tan-nha.35C655E6.html","Xem chi tiết")</f>
        <v/>
      </c>
      <c r="M19988" s="10" t="n"/>
    </row>
    <row r="19989">
      <c r="B19989" s="7" t="n">
        <v>19987</v>
      </c>
      <c r="C19989" t="inlineStr">
        <is>
          <t>Trưởng phòng Pháp lý Xử lý nợ  (mảng Thi hành án) - HCM, Mekong - TA079</t>
        </is>
      </c>
      <c r="D19989" t="inlineStr">
        <is>
          <t>Ngân Hàng TMCP Việt Nam Thịnh Vượng - VPBANK</t>
        </is>
      </c>
      <c r="E19989" t="inlineStr">
        <is>
          <t>Lương:Cạnh tranh</t>
        </is>
      </c>
      <c r="F19989" t="inlineStr">
        <is>
          <t>Hồ Chí MinhCần ThơKV Nam Trung Bộ</t>
        </is>
      </c>
      <c r="G19989" t="inlineStr">
        <is>
          <t>24-03-2026</t>
        </is>
      </c>
      <c r="H19989" t="inlineStr">
        <is>
          <t>24/03/2026</t>
        </is>
      </c>
      <c r="I19989" t="inlineStr">
        <is>
          <t>17/03/2026</t>
        </is>
      </c>
      <c r="J19989" t="inlineStr">
        <is>
          <t>Luật / Pháp lý, Ngân hàng, Tài chính / Đầu tư</t>
        </is>
      </c>
      <c r="K19989" t="inlineStr">
        <is>
          <t>3 - 5 Năm</t>
        </is>
      </c>
      <c r="L19989" s="8">
        <f>HYPERLINK("https://careerviet.vn/vi/tim-viec-lam/truong-phong-phap-ly-xu-ly-no-mang-thi-hanh-an-hcm-mekong-ta079.35C66741.html","Xem chi tiết")</f>
        <v/>
      </c>
    </row>
    <row r="19990">
      <c r="B19990" s="9" t="n">
        <v>19988</v>
      </c>
      <c r="C19990" s="10" t="inlineStr">
        <is>
          <t>Kinh doanh dự án thiết bị điện công nghiệp</t>
        </is>
      </c>
      <c r="D19990" s="10" t="inlineStr">
        <is>
          <t>CÔNG TY TNHH PHÁT TRIỂN KỸ THUẬT VIỆT NAM</t>
        </is>
      </c>
      <c r="E19990" s="10" t="inlineStr">
        <is>
          <t>Lương:Cạnh tranh</t>
        </is>
      </c>
      <c r="F19990" s="10" t="inlineStr">
        <is>
          <t>Hà Nội</t>
        </is>
      </c>
      <c r="G19990" s="10" t="inlineStr">
        <is>
          <t>24-03-2026</t>
        </is>
      </c>
      <c r="H19990" s="10" t="inlineStr">
        <is>
          <t>24/03/2026</t>
        </is>
      </c>
      <c r="I19990" s="10" t="inlineStr">
        <is>
          <t>17/03/2026</t>
        </is>
      </c>
      <c r="J19990" s="10" t="inlineStr">
        <is>
          <t>Bán hàng / Kinh doanh, Tư vấn, Điện / Điện tử / Điện lạnh / Điện công nghiệp</t>
        </is>
      </c>
      <c r="K19990" s="10" t="inlineStr">
        <is>
          <t>N/A</t>
        </is>
      </c>
      <c r="L19990" s="11">
        <f>HYPERLINK("https://careerviet.vn/vi/tim-viec-lam/kinh-doanh-du-an-thiet-bi-dien-cong-nghiep.35C6675C.html","Xem chi tiết")</f>
        <v/>
      </c>
      <c r="M19990" s="10" t="n"/>
    </row>
    <row r="19991">
      <c r="B19991" s="7" t="n">
        <v>19989</v>
      </c>
      <c r="C19991" t="inlineStr">
        <is>
          <t>Phó Giám đốc tài chính</t>
        </is>
      </c>
      <c r="D19991" t="inlineStr">
        <is>
          <t>Công ty đầu tư T&amp;L Việt Nam</t>
        </is>
      </c>
      <c r="E19991" t="inlineStr">
        <is>
          <t>Lương:40 Tr - 50 Tr VND</t>
        </is>
      </c>
      <c r="F19991" t="inlineStr">
        <is>
          <t>Hà Nội</t>
        </is>
      </c>
      <c r="G19991" t="inlineStr">
        <is>
          <t>24-03-2026</t>
        </is>
      </c>
      <c r="H19991" t="inlineStr">
        <is>
          <t>24/03/2026</t>
        </is>
      </c>
      <c r="I19991" t="inlineStr">
        <is>
          <t>17/03/2026</t>
        </is>
      </c>
      <c r="J19991" t="inlineStr">
        <is>
          <t>Bán lẻ / Bán sỉ, Dệt may / Da giày / Thời trang, Kế toán / Kiểm toán</t>
        </is>
      </c>
      <c r="K19991" t="inlineStr">
        <is>
          <t>5 - 6 Năm</t>
        </is>
      </c>
      <c r="L19991" s="8">
        <f>HYPERLINK("https://careerviet.vn/vi/tim-viec-lam/pho-giam-doc-tai-chinh.35C666B7.html","Xem chi tiết")</f>
        <v/>
      </c>
    </row>
    <row r="19992">
      <c r="B19992" s="9" t="n">
        <v>19990</v>
      </c>
      <c r="C19992" s="10" t="inlineStr">
        <is>
          <t>IT GRC Specialist</t>
        </is>
      </c>
      <c r="D19992" s="10" t="inlineStr">
        <is>
          <t>Công Ty CP Dược Phẩm Pharmacity</t>
        </is>
      </c>
      <c r="E19992" s="10" t="inlineStr">
        <is>
          <t>Lương:Cạnh tranh</t>
        </is>
      </c>
      <c r="F19992" s="10" t="inlineStr">
        <is>
          <t>Hồ Chí Minh</t>
        </is>
      </c>
      <c r="G19992" s="10" t="inlineStr">
        <is>
          <t>24-03-2026</t>
        </is>
      </c>
      <c r="H19992" s="10" t="inlineStr">
        <is>
          <t>24/03/2026</t>
        </is>
      </c>
      <c r="I19992" s="10" t="inlineStr">
        <is>
          <t>17/03/2026</t>
        </is>
      </c>
      <c r="J19992" s="10" t="inlineStr">
        <is>
          <t>CNTT - Phần mềm</t>
        </is>
      </c>
      <c r="K19992" s="10" t="inlineStr">
        <is>
          <t>1 - 3 Năm</t>
        </is>
      </c>
      <c r="L19992" s="11">
        <f>HYPERLINK("https://careerviet.vn/vi/tim-viec-lam/it-grc-specialist.35C666A6.html","Xem chi tiết")</f>
        <v/>
      </c>
      <c r="M19992" s="10" t="n"/>
    </row>
    <row r="19993">
      <c r="B19993" s="7" t="n">
        <v>19991</v>
      </c>
      <c r="C19993" t="inlineStr">
        <is>
          <t>[HN] Thực tập sinh Tài chính (có phụ cấp)</t>
        </is>
      </c>
      <c r="D19993" t="inlineStr">
        <is>
          <t>CÔNG TY CỔ PHẦN GIAO DỊCH HÀNG HÓA ĐÔNG NAM Á</t>
        </is>
      </c>
      <c r="E19993" t="inlineStr">
        <is>
          <t>Lương:2 Tr - 3 Tr VND</t>
        </is>
      </c>
      <c r="F19993" t="inlineStr">
        <is>
          <t>Hà Nội</t>
        </is>
      </c>
      <c r="G19993" t="inlineStr">
        <is>
          <t>24-03-2026</t>
        </is>
      </c>
      <c r="H19993" t="inlineStr">
        <is>
          <t>24/03/2026</t>
        </is>
      </c>
      <c r="I19993" t="inlineStr">
        <is>
          <t>17/03/2026</t>
        </is>
      </c>
      <c r="J19993" t="inlineStr">
        <is>
          <t>Tài chính / Đầu tư</t>
        </is>
      </c>
      <c r="K19993" t="inlineStr">
        <is>
          <t>N/A</t>
        </is>
      </c>
      <c r="L19993" s="8">
        <f>HYPERLINK("https://careerviet.vn/vi/tim-viec-lam/hn-thuc-tap-sinh-tai-chinh-co-phu-cap.35C667A4.html","Xem chi tiết")</f>
        <v/>
      </c>
    </row>
    <row r="19994">
      <c r="B19994" s="9" t="n">
        <v>19992</v>
      </c>
      <c r="C19994" s="10" t="inlineStr">
        <is>
          <t>Video Editor Kiêm Quay Dựng/ Media Creator</t>
        </is>
      </c>
      <c r="D19994" s="10" t="inlineStr">
        <is>
          <t>HỘ KINH DOANH MONO TALK</t>
        </is>
      </c>
      <c r="E19994" s="10" t="inlineStr">
        <is>
          <t>Lương:Cạnh tranh</t>
        </is>
      </c>
      <c r="F19994" s="10" t="inlineStr">
        <is>
          <t>Hà Nội</t>
        </is>
      </c>
      <c r="G19994" s="10" t="inlineStr">
        <is>
          <t>24-03-2026</t>
        </is>
      </c>
      <c r="H19994" s="10" t="inlineStr">
        <is>
          <t>24/03/2026</t>
        </is>
      </c>
      <c r="I19994" s="10" t="inlineStr">
        <is>
          <t>17/03/2026</t>
        </is>
      </c>
      <c r="J19994" s="10" t="inlineStr">
        <is>
          <t>Tiếp thị / Marketing, Truyền hình / Báo chí / Biên tập, Quảng cáo / Đối ngoại / Truyền Thông</t>
        </is>
      </c>
      <c r="K19994" s="10" t="inlineStr">
        <is>
          <t>Chưa có kinh nghiệm</t>
        </is>
      </c>
      <c r="L19994" s="11">
        <f>HYPERLINK("https://careerviet.vn/vi/tim-viec-lam/video-editor-kiem-quay-dung-media-creator.35C66707.html","Xem chi tiết")</f>
        <v/>
      </c>
      <c r="M19994" s="10" t="n"/>
    </row>
    <row r="19995">
      <c r="B19995" s="7" t="n">
        <v>19993</v>
      </c>
      <c r="C19995" t="inlineStr">
        <is>
          <t>ILO Preschool Tân Định - Giáo viên mầm non</t>
        </is>
      </c>
      <c r="D19995" t="inlineStr">
        <is>
          <t>ILA Việt Nam</t>
        </is>
      </c>
      <c r="E19995" t="inlineStr">
        <is>
          <t>Lương:Cạnh tranh</t>
        </is>
      </c>
      <c r="F19995" t="inlineStr">
        <is>
          <t>Hồ Chí Minh</t>
        </is>
      </c>
      <c r="G19995" t="inlineStr">
        <is>
          <t>24-03-2026</t>
        </is>
      </c>
      <c r="H19995" t="inlineStr">
        <is>
          <t>24/03/2026</t>
        </is>
      </c>
      <c r="I19995" t="inlineStr">
        <is>
          <t>17/03/2026</t>
        </is>
      </c>
      <c r="J19995" t="inlineStr">
        <is>
          <t>Giáo dục / Đào tạo</t>
        </is>
      </c>
      <c r="K19995" t="inlineStr">
        <is>
          <t>1 - 5 Năm</t>
        </is>
      </c>
      <c r="L19995" s="8">
        <f>HYPERLINK("https://careerviet.vn/vi/tim-viec-lam/ilo-preschool-tan-dinh-giao-vien-mam-non.35C66688.html","Xem chi tiết")</f>
        <v/>
      </c>
    </row>
    <row r="19996">
      <c r="B19996" s="9" t="n">
        <v>19994</v>
      </c>
      <c r="C19996" s="10" t="inlineStr">
        <is>
          <t>[KCN Tân Kim - Cần Giuộc] Nhân viên Xử lý đơn hàng</t>
        </is>
      </c>
      <c r="D19996" s="10" t="inlineStr">
        <is>
          <t>Công Ty Cổ Phần Y Tế Việt Tiến</t>
        </is>
      </c>
      <c r="E19996" s="10" t="inlineStr">
        <is>
          <t>Lương:Cạnh tranh</t>
        </is>
      </c>
      <c r="F19996" s="10" t="inlineStr">
        <is>
          <t>Long An</t>
        </is>
      </c>
      <c r="G19996" s="10" t="inlineStr">
        <is>
          <t>6</t>
        </is>
      </c>
      <c r="H19996" s="10" t="inlineStr">
        <is>
          <t>23/03/2026</t>
        </is>
      </c>
      <c r="I19996" s="10" t="inlineStr">
        <is>
          <t>17/03/2026</t>
        </is>
      </c>
      <c r="J19996" s="10" t="inlineStr">
        <is>
          <t>Bán hàng / Kinh doanh, Ngành khác, Vận chuyển / Giao nhận / Kho vận</t>
        </is>
      </c>
      <c r="K19996" s="10" t="inlineStr">
        <is>
          <t>Trên 1 Năm</t>
        </is>
      </c>
      <c r="L19996" s="11">
        <f>HYPERLINK("https://careerviet.vn/vi/tim-viec-lam/kcn-tan-kim-can-giuoc-nhan-vien-xu-ly-don-hang.35C66442.html","Xem chi tiết")</f>
        <v/>
      </c>
      <c r="M19996" s="10" t="n"/>
    </row>
    <row r="19997">
      <c r="B19997" s="7" t="n">
        <v>19995</v>
      </c>
      <c r="C19997" t="inlineStr">
        <is>
          <t>Trợ lý vận hành (Tiếng Trung)</t>
        </is>
      </c>
      <c r="D19997" t="inlineStr">
        <is>
          <t>Công Ty TNHH Công Nghiệp Gin Hung Việt Nam</t>
        </is>
      </c>
      <c r="E19997" t="inlineStr">
        <is>
          <t>Lương:10 Tr - 12 Tr VND</t>
        </is>
      </c>
      <c r="F19997" t="inlineStr">
        <is>
          <t>Hồ Chí Minh</t>
        </is>
      </c>
      <c r="G19997" t="inlineStr">
        <is>
          <t>24-03-2026</t>
        </is>
      </c>
      <c r="H19997" t="inlineStr">
        <is>
          <t>24/03/2026</t>
        </is>
      </c>
      <c r="I19997" t="inlineStr">
        <is>
          <t>17/03/2026</t>
        </is>
      </c>
      <c r="J19997" t="inlineStr">
        <is>
          <t>Thương mại điện tử, Điện / Điện tử / Điện lạnh / Điện công nghiệp</t>
        </is>
      </c>
      <c r="K19997" t="inlineStr">
        <is>
          <t>N/A</t>
        </is>
      </c>
      <c r="L19997" s="8">
        <f>HYPERLINK("https://careerviet.vn/vi/tim-viec-lam/tro-ly-van-hanh-tieng-trung.35C63C44.html","Xem chi tiết")</f>
        <v/>
      </c>
    </row>
    <row r="19998">
      <c r="B19998" s="9" t="n">
        <v>19996</v>
      </c>
      <c r="C19998" s="10" t="inlineStr">
        <is>
          <t>[Tân Bình] CV/CVC/CVCC Quan hệ KHCN Priority</t>
        </is>
      </c>
      <c r="D19998" s="10" t="inlineStr">
        <is>
          <t>Ngân hàng TMCP Lộc Phát Việt Nam (LPBank)</t>
        </is>
      </c>
      <c r="E19998" s="10" t="inlineStr">
        <is>
          <t>Lương:Cạnh tranh</t>
        </is>
      </c>
      <c r="F19998" s="10" t="inlineStr">
        <is>
          <t>Hồ Chí Minh</t>
        </is>
      </c>
      <c r="G19998" s="10" t="inlineStr">
        <is>
          <t>24-03-2026</t>
        </is>
      </c>
      <c r="H19998" s="10" t="inlineStr">
        <is>
          <t>24/03/2026</t>
        </is>
      </c>
      <c r="I19998" s="10" t="inlineStr">
        <is>
          <t>17/03/2026</t>
        </is>
      </c>
      <c r="J19998" s="10" t="inlineStr">
        <is>
          <t>Bán hàng / Kinh doanh, Bất động sản, Bảo hiểm</t>
        </is>
      </c>
      <c r="K19998" s="10" t="inlineStr">
        <is>
          <t>Trên 1 Năm</t>
        </is>
      </c>
      <c r="L19998" s="11">
        <f>HYPERLINK("https://careerviet.vn/vi/tim-viec-lam/tan-binh-cv-cvc-cvcc-quan-he-khcn-priority.35C6664B.html","Xem chi tiết")</f>
        <v/>
      </c>
      <c r="M19998" s="10" t="n"/>
    </row>
    <row r="19999">
      <c r="B19999" s="7" t="n">
        <v>19997</v>
      </c>
      <c r="C19999" t="inlineStr">
        <is>
          <t>Nhân viên Digital Marketing (kinh nghiệm Bất động sản)</t>
        </is>
      </c>
      <c r="D19999" t="inlineStr">
        <is>
          <t>CÔNG TY CỔ PHẦN EUROWINDOW HOLDING</t>
        </is>
      </c>
      <c r="E19999" t="inlineStr">
        <is>
          <t>Lương:Cạnh tranh</t>
        </is>
      </c>
      <c r="F19999" t="inlineStr">
        <is>
          <t>Hà Nội</t>
        </is>
      </c>
      <c r="G19999" t="inlineStr">
        <is>
          <t>6</t>
        </is>
      </c>
      <c r="H19999" t="inlineStr">
        <is>
          <t>23/03/2026</t>
        </is>
      </c>
      <c r="I19999" t="inlineStr">
        <is>
          <t>17/03/2026</t>
        </is>
      </c>
      <c r="J19999" t="inlineStr">
        <is>
          <t>Tiếp thị / Marketing</t>
        </is>
      </c>
      <c r="K19999" t="inlineStr">
        <is>
          <t>N/A</t>
        </is>
      </c>
      <c r="L19999" s="8">
        <f>HYPERLINK("https://careerviet.vn/vi/tim-viec-lam/nhan-vien-digital-marketing-kinh-nghiem-bat-dong-san.35C639C7.html","Xem chi tiết")</f>
        <v/>
      </c>
    </row>
    <row r="20000">
      <c r="B20000" s="9" t="n">
        <v>19998</v>
      </c>
      <c r="C20000" s="10" t="inlineStr">
        <is>
          <t>[TT KHDN Thủ Đức] - CV/CVC/CVCC Quan hệ Khách hàng Doanh nghiệp</t>
        </is>
      </c>
      <c r="D20000" s="10" t="inlineStr">
        <is>
          <t>Ngân hàng TMCP Lộc Phát Việt Nam (LPBank)</t>
        </is>
      </c>
      <c r="E20000" s="10" t="inlineStr">
        <is>
          <t>Lương:Cạnh tranh</t>
        </is>
      </c>
      <c r="F20000" s="10" t="inlineStr">
        <is>
          <t>Hồ Chí Minh</t>
        </is>
      </c>
      <c r="G20000" s="10" t="inlineStr">
        <is>
          <t>24-03-2026</t>
        </is>
      </c>
      <c r="H20000" s="10" t="inlineStr">
        <is>
          <t>24/03/2026</t>
        </is>
      </c>
      <c r="I20000" s="10" t="inlineStr">
        <is>
          <t>17/03/2026</t>
        </is>
      </c>
      <c r="J20000" s="10" t="inlineStr">
        <is>
          <t>Bán hàng / Kinh doanh, Bất động sản, Bảo hiểm</t>
        </is>
      </c>
      <c r="K20000" s="10" t="inlineStr">
        <is>
          <t>Trên 1 Năm</t>
        </is>
      </c>
      <c r="L20000" s="11">
        <f>HYPERLINK("https://careerviet.vn/vi/tim-viec-lam/tt-khdn-thu-duc-cv-cvc-cvcc-quan-he-khach-hang-doanh-nghiep.35C6665E.html","Xem chi tiết")</f>
        <v/>
      </c>
      <c r="M20000" s="10" t="n"/>
    </row>
    <row r="20001">
      <c r="B20001" s="7" t="n">
        <v>19999</v>
      </c>
      <c r="C20001" t="inlineStr">
        <is>
          <t>Chuyên Viên Kế Toán Tiếng Trung (Làm việc tại Vũng Tàu/Long An)</t>
        </is>
      </c>
      <c r="D20001" t="inlineStr">
        <is>
          <t>Headhunter HRchannels Group</t>
        </is>
      </c>
      <c r="E20001" t="inlineStr">
        <is>
          <t>Lương:1.000 - 1.200 USD</t>
        </is>
      </c>
      <c r="F20001" t="inlineStr">
        <is>
          <t>Long AnBình DươngHồ Chí Minh</t>
        </is>
      </c>
      <c r="G20001" t="inlineStr">
        <is>
          <t>24-03-2026</t>
        </is>
      </c>
      <c r="H20001" t="inlineStr">
        <is>
          <t>24/03/2026</t>
        </is>
      </c>
      <c r="I20001" t="inlineStr">
        <is>
          <t>17/03/2026</t>
        </is>
      </c>
      <c r="J20001" t="inlineStr">
        <is>
          <t>Kế toán / Kiểm toán, Sản xuất / Vận hành sản xuất</t>
        </is>
      </c>
      <c r="K20001" t="inlineStr">
        <is>
          <t>1 - 3 Năm</t>
        </is>
      </c>
      <c r="L20001" s="8">
        <f>HYPERLINK("https://careerviet.vn/vi/tim-viec-lam/chuyen-vien-ke-toan-tieng-trung-lam-viec-tai-vung-tau-long-an.35C66692.html","Xem chi tiết")</f>
        <v/>
      </c>
    </row>
    <row r="20002">
      <c r="B20002" s="9" t="n">
        <v>20000</v>
      </c>
      <c r="C20002" s="10" t="inlineStr">
        <is>
          <t>Chuyên viên mua hàng (mảng nông sản)</t>
        </is>
      </c>
      <c r="D20002" s="10" t="inlineStr">
        <is>
          <t>Công ty cổ phần Nafoods Group</t>
        </is>
      </c>
      <c r="E20002" s="10" t="inlineStr">
        <is>
          <t>Lương:Cạnh tranh</t>
        </is>
      </c>
      <c r="F20002" s="10" t="inlineStr">
        <is>
          <t>Hồ Chí Minh</t>
        </is>
      </c>
      <c r="G20002" s="10" t="inlineStr">
        <is>
          <t>6</t>
        </is>
      </c>
      <c r="H20002" s="10" t="inlineStr">
        <is>
          <t>23/03/2026</t>
        </is>
      </c>
      <c r="I20002" s="10" t="inlineStr">
        <is>
          <t>17/03/2026</t>
        </is>
      </c>
      <c r="J20002" s="10" t="inlineStr">
        <is>
          <t>Vận chuyển / Giao nhận / Kho vận, Nông nghiệp, Thu mua / Vật tư</t>
        </is>
      </c>
      <c r="K20002" s="10" t="inlineStr">
        <is>
          <t>2 - 5 Năm</t>
        </is>
      </c>
      <c r="L20002" s="11">
        <f>HYPERLINK("https://careerviet.vn/vi/tim-viec-lam/chuyen-vien-mua-hang-mang-nong-san.35C63A18.html","Xem chi tiết")</f>
        <v/>
      </c>
      <c r="M20002" s="10" t="n"/>
    </row>
    <row r="20003">
      <c r="B20003" s="7" t="n">
        <v>20001</v>
      </c>
      <c r="C20003" t="inlineStr">
        <is>
          <t>[Hai Duong] Talent Acquisition Officer</t>
        </is>
      </c>
      <c r="D20003" t="inlineStr">
        <is>
          <t>Công Ty TNHH Aeon Việt Nam</t>
        </is>
      </c>
      <c r="E20003" t="inlineStr">
        <is>
          <t>Lương:Cạnh tranh</t>
        </is>
      </c>
      <c r="F20003" t="inlineStr">
        <is>
          <t>Hải Dương</t>
        </is>
      </c>
      <c r="G20003" t="inlineStr">
        <is>
          <t>24-03-2026</t>
        </is>
      </c>
      <c r="H20003" t="inlineStr">
        <is>
          <t>24/03/2026</t>
        </is>
      </c>
      <c r="I20003" t="inlineStr">
        <is>
          <t>17/03/2026</t>
        </is>
      </c>
      <c r="J20003" t="inlineStr">
        <is>
          <t>Bán lẻ / Bán sỉ, Nhân sự</t>
        </is>
      </c>
      <c r="K20003" t="inlineStr">
        <is>
          <t>1 - 3 Năm</t>
        </is>
      </c>
      <c r="L20003" s="8">
        <f>HYPERLINK("https://careerviet.vn/vi/tim-viec-lam/hai-duong-talent-acquisition-officer.35C63AF3.html","Xem chi tiết")</f>
        <v/>
      </c>
    </row>
    <row r="20004">
      <c r="B20004" s="9" t="n">
        <v>20002</v>
      </c>
      <c r="C20004" s="10" t="inlineStr">
        <is>
          <t>[Hà Nội] Category Management Part Leader</t>
        </is>
      </c>
      <c r="D20004" s="10" t="inlineStr">
        <is>
          <t>CÔNG TY TNHH DAESANG VIỆT NAM</t>
        </is>
      </c>
      <c r="E20004" s="10" t="inlineStr">
        <is>
          <t>Lương:Cạnh tranh</t>
        </is>
      </c>
      <c r="F20004" s="10" t="inlineStr">
        <is>
          <t>Hà Nội</t>
        </is>
      </c>
      <c r="G20004" s="10" t="inlineStr">
        <is>
          <t>24-03-2026</t>
        </is>
      </c>
      <c r="H20004" s="10" t="inlineStr">
        <is>
          <t>24/03/2026</t>
        </is>
      </c>
      <c r="I20004" s="10" t="inlineStr">
        <is>
          <t>17/03/2026</t>
        </is>
      </c>
      <c r="J20004" s="10" t="inlineStr">
        <is>
          <t>Tiếp thị / Marketing</t>
        </is>
      </c>
      <c r="K20004" s="10" t="inlineStr">
        <is>
          <t>5 - 10 Năm</t>
        </is>
      </c>
      <c r="L20004" s="11">
        <f>HYPERLINK("https://careerviet.vn/vi/tim-viec-lam/ha-noi-category-management-part-leader.35C63B19.html","Xem chi tiết")</f>
        <v/>
      </c>
      <c r="M20004" s="10" t="n"/>
    </row>
    <row r="20005">
      <c r="B20005" s="7" t="n">
        <v>20003</v>
      </c>
      <c r="C20005" t="inlineStr">
        <is>
          <t>Quản lý cửa hàng</t>
        </is>
      </c>
      <c r="D20005" t="inlineStr">
        <is>
          <t>Công Ty TNHH TM Huỳnh Thành</t>
        </is>
      </c>
      <c r="E20005" t="inlineStr">
        <is>
          <t>Lương:15 Tr - 25 Tr VND</t>
        </is>
      </c>
      <c r="F20005" t="inlineStr">
        <is>
          <t>Tiền Giang</t>
        </is>
      </c>
      <c r="G20005" t="inlineStr">
        <is>
          <t>6</t>
        </is>
      </c>
      <c r="H20005" t="inlineStr">
        <is>
          <t>23/03/2026</t>
        </is>
      </c>
      <c r="I20005" t="inlineStr">
        <is>
          <t>17/03/2026</t>
        </is>
      </c>
      <c r="J20005" t="inlineStr">
        <is>
          <t>Bán lẻ / Bán sỉ, Bán hàng / Kinh doanh</t>
        </is>
      </c>
      <c r="K20005" t="inlineStr">
        <is>
          <t>2 - 3 Năm</t>
        </is>
      </c>
      <c r="L20005" s="8">
        <f>HYPERLINK("https://careerviet.vn/vi/tim-viec-lam/quan-ly-cua-hang.35C6647A.html","Xem chi tiết")</f>
        <v/>
      </c>
    </row>
    <row r="20006">
      <c r="B20006" s="9" t="n">
        <v>20004</v>
      </c>
      <c r="C20006" s="10" t="inlineStr">
        <is>
          <t>Chuyên viên tư vấn bán hàng</t>
        </is>
      </c>
      <c r="D20006" s="10" t="inlineStr">
        <is>
          <t>Công ty CP Toshiko Việt Nam</t>
        </is>
      </c>
      <c r="E20006" s="10" t="inlineStr">
        <is>
          <t>Lương:12 Tr - 20 Tr VND</t>
        </is>
      </c>
      <c r="F20006" s="10" t="inlineStr">
        <is>
          <t>Hà Nội</t>
        </is>
      </c>
      <c r="G20006" s="10" t="inlineStr">
        <is>
          <t>6</t>
        </is>
      </c>
      <c r="H20006" s="10" t="inlineStr">
        <is>
          <t>23/03/2026</t>
        </is>
      </c>
      <c r="I20006" s="10" t="inlineStr">
        <is>
          <t>17/03/2026</t>
        </is>
      </c>
      <c r="J20006" s="10" t="inlineStr">
        <is>
          <t>Tiếp thị / Marketing, Bán lẻ / Bán sỉ, Bán hàng / Kinh doanh</t>
        </is>
      </c>
      <c r="K20006" s="10" t="inlineStr">
        <is>
          <t>2 - 3 Năm</t>
        </is>
      </c>
      <c r="L20006" s="11">
        <f>HYPERLINK("https://careerviet.vn/vi/tim-viec-lam/chuyen-vien-tu-van-ban-hang.35C66577.html","Xem chi tiết")</f>
        <v/>
      </c>
      <c r="M20006" s="10" t="n"/>
    </row>
    <row r="20007">
      <c r="B20007" s="7" t="n">
        <v>20005</v>
      </c>
      <c r="C20007" t="inlineStr">
        <is>
          <t>CHUYÊN VIÊN SÁNG TẠO &amp; PHÁT TRIỂN THỨC UỐNG</t>
        </is>
      </c>
      <c r="D20007" t="inlineStr">
        <is>
          <t>IDOCEAN Co.,ltd</t>
        </is>
      </c>
      <c r="E20007" t="inlineStr">
        <is>
          <t>Lương:Cạnh tranh</t>
        </is>
      </c>
      <c r="F20007" t="inlineStr">
        <is>
          <t>Đà NẵngHồ Chí Minh</t>
        </is>
      </c>
      <c r="G20007" t="inlineStr">
        <is>
          <t>6</t>
        </is>
      </c>
      <c r="H20007" t="inlineStr">
        <is>
          <t>23/03/2026</t>
        </is>
      </c>
      <c r="I20007" t="inlineStr">
        <is>
          <t>17/03/2026</t>
        </is>
      </c>
      <c r="J20007" t="inlineStr">
        <is>
          <t>Bán hàng / Kinh doanh, Thực phẩm &amp; Đồ uống, Nhà hàng / Khách sạn</t>
        </is>
      </c>
      <c r="K20007" t="inlineStr">
        <is>
          <t>3 - 5 Năm</t>
        </is>
      </c>
      <c r="L20007" s="8">
        <f>HYPERLINK("https://careerviet.vn/vi/tim-viec-lam/chuyen-vien-sang-tao-phat-trien-thuc-uong.35C63931.html","Xem chi tiết")</f>
        <v/>
      </c>
    </row>
    <row r="20008">
      <c r="B20008" s="9" t="n">
        <v>20006</v>
      </c>
      <c r="C20008" s="10" t="inlineStr">
        <is>
          <t>Deputy Sales Manager (Sea Freight)</t>
        </is>
      </c>
      <c r="D20008" s="10" t="inlineStr">
        <is>
          <t>Headhunter HRchannels Group</t>
        </is>
      </c>
      <c r="E20008" s="10" t="inlineStr">
        <is>
          <t>Lương:25 Tr - 40 Tr VND</t>
        </is>
      </c>
      <c r="F20008" s="10" t="inlineStr">
        <is>
          <t>Hồ Chí MinhBình DươngĐồng Nai</t>
        </is>
      </c>
      <c r="G20008" s="10" t="inlineStr">
        <is>
          <t>24-03-2026</t>
        </is>
      </c>
      <c r="H20008" s="10" t="inlineStr">
        <is>
          <t>24/03/2026</t>
        </is>
      </c>
      <c r="I20008" s="10" t="inlineStr">
        <is>
          <t>17/03/2026</t>
        </is>
      </c>
      <c r="J20008" s="10" t="inlineStr">
        <is>
          <t>Bán hàng / Kinh doanh, Vận chuyển / Giao nhận / Kho vận</t>
        </is>
      </c>
      <c r="K20008" s="10" t="inlineStr">
        <is>
          <t>3 - 7 Năm</t>
        </is>
      </c>
      <c r="L20008" s="11">
        <f>HYPERLINK("https://careerviet.vn/vi/tim-viec-lam/deputy-sales-manager-sea-freight.35C63BF3.html","Xem chi tiết")</f>
        <v/>
      </c>
      <c r="M20008" s="10" t="n"/>
    </row>
    <row r="20009">
      <c r="B20009" s="7" t="n">
        <v>20007</v>
      </c>
      <c r="C20009" t="inlineStr">
        <is>
          <t>Nhân viên Lễ tân – Hành chính</t>
        </is>
      </c>
      <c r="D20009" t="inlineStr">
        <is>
          <t>Bee-Next - Công ty CP TM DV Vùng Trời Thông Tin</t>
        </is>
      </c>
      <c r="E20009" t="inlineStr">
        <is>
          <t>Lương:10 Tr - 12 Tr VND</t>
        </is>
      </c>
      <c r="F20009" t="inlineStr">
        <is>
          <t>Hồ Chí Minh</t>
        </is>
      </c>
      <c r="G20009" t="inlineStr">
        <is>
          <t>6</t>
        </is>
      </c>
      <c r="H20009" t="inlineStr">
        <is>
          <t>23/03/2026</t>
        </is>
      </c>
      <c r="I20009" t="inlineStr">
        <is>
          <t>17/03/2026</t>
        </is>
      </c>
      <c r="J20009" t="inlineStr">
        <is>
          <t>Hành chính / Thư ký, Nhân sự</t>
        </is>
      </c>
      <c r="K20009" t="inlineStr">
        <is>
          <t>1 - 2 Năm</t>
        </is>
      </c>
      <c r="L20009" s="8">
        <f>HYPERLINK("https://careerviet.vn/vi/tim-viec-lam/nhan-vien-le-tan-hanh-chinh.35C665A0.html","Xem chi tiết")</f>
        <v/>
      </c>
    </row>
    <row r="20010">
      <c r="B20010" s="9" t="n">
        <v>20008</v>
      </c>
      <c r="C20010" s="10" t="inlineStr">
        <is>
          <t>Nhân viên Sale Admin</t>
        </is>
      </c>
      <c r="D20010" s="10" t="inlineStr">
        <is>
          <t>CÔNG TY TNHH NS MILLENNIUM VIỆT NAM</t>
        </is>
      </c>
      <c r="E20010" s="10" t="inlineStr">
        <is>
          <t>Lương:10 Tr - 15 Tr VND</t>
        </is>
      </c>
      <c r="F20010" s="10" t="inlineStr">
        <is>
          <t>Bình Dương</t>
        </is>
      </c>
      <c r="G20010" s="10" t="inlineStr">
        <is>
          <t>6</t>
        </is>
      </c>
      <c r="H20010" s="10" t="inlineStr">
        <is>
          <t>23/03/2026</t>
        </is>
      </c>
      <c r="I20010" s="10" t="inlineStr">
        <is>
          <t>17/03/2026</t>
        </is>
      </c>
      <c r="J20010" s="10" t="inlineStr">
        <is>
          <t>Tiếp thị / Marketing, Bán hàng / Kinh doanh, Hành chính / Thư ký</t>
        </is>
      </c>
      <c r="K20010" s="10" t="inlineStr">
        <is>
          <t>N/A</t>
        </is>
      </c>
      <c r="L20010" s="11">
        <f>HYPERLINK("https://careerviet.vn/vi/tim-viec-lam/nhan-vien-sale-admin.35C638C8.html","Xem chi tiết")</f>
        <v/>
      </c>
      <c r="M20010" s="10" t="n"/>
    </row>
    <row r="20011">
      <c r="B20011" s="7" t="n">
        <v>20009</v>
      </c>
      <c r="C20011" t="inlineStr">
        <is>
          <t>PIPING SUPERVISOR - GIÁM SÁT THI CÔNG ĐƯỜNG ỐNG</t>
        </is>
      </c>
      <c r="D20011" t="inlineStr">
        <is>
          <t>PTSC Offshore Services (POS)</t>
        </is>
      </c>
      <c r="E20011" t="inlineStr">
        <is>
          <t>Lương:Cạnh tranh</t>
        </is>
      </c>
      <c r="F20011" t="inlineStr">
        <is>
          <t>Bà Rịa - Vũng Tàu</t>
        </is>
      </c>
      <c r="G20011" t="inlineStr">
        <is>
          <t>6</t>
        </is>
      </c>
      <c r="H20011" t="inlineStr">
        <is>
          <t>23/03/2026</t>
        </is>
      </c>
      <c r="I20011" t="inlineStr">
        <is>
          <t>17/03/2026</t>
        </is>
      </c>
      <c r="J20011" t="inlineStr">
        <is>
          <t>Dầu khí</t>
        </is>
      </c>
      <c r="K20011" t="inlineStr">
        <is>
          <t>Lên đến 3 Năm</t>
        </is>
      </c>
      <c r="L20011" s="8">
        <f>HYPERLINK("https://careerviet.vn/vi/tim-viec-lam/piping-supervisor-giam-sat-thi-cong-duong-ong.35C66562.html","Xem chi tiết")</f>
        <v/>
      </c>
    </row>
    <row r="20012">
      <c r="B20012" s="9" t="n">
        <v>20010</v>
      </c>
      <c r="C20012" s="10" t="inlineStr">
        <is>
          <t>CHUYÊN VIÊN NHÂN SỰ</t>
        </is>
      </c>
      <c r="D20012" s="10" t="inlineStr">
        <is>
          <t>Công ty Cổ phần Đầu tư Dừa Bến Tre</t>
        </is>
      </c>
      <c r="E20012" s="10" t="inlineStr">
        <is>
          <t>Lương:Cạnh tranh</t>
        </is>
      </c>
      <c r="F20012" s="10" t="inlineStr">
        <is>
          <t>Bến Tre</t>
        </is>
      </c>
      <c r="G20012" s="10" t="inlineStr">
        <is>
          <t>31-03-2026</t>
        </is>
      </c>
      <c r="H20012" s="10" t="inlineStr">
        <is>
          <t>31/03/2026</t>
        </is>
      </c>
      <c r="I20012" s="10" t="inlineStr">
        <is>
          <t>17/03/2026</t>
        </is>
      </c>
      <c r="J20012" s="10" t="inlineStr">
        <is>
          <t>Luật / Pháp lý, Hành chính / Thư ký, Nhân sự</t>
        </is>
      </c>
      <c r="K20012" s="10" t="inlineStr">
        <is>
          <t>5 - 6 Năm</t>
        </is>
      </c>
      <c r="L20012" s="11">
        <f>HYPERLINK("https://careerviet.vn/vi/tim-viec-lam/chuyen-vien-nhan-su.35C664B8.html","Xem chi tiết")</f>
        <v/>
      </c>
      <c r="M20012" s="10" t="n"/>
    </row>
    <row r="20013">
      <c r="B20013" s="7" t="n">
        <v>20011</v>
      </c>
      <c r="C20013" t="inlineStr">
        <is>
          <t>Phụ bếp (Prep Cook)</t>
        </is>
      </c>
      <c r="D20013" t="inlineStr">
        <is>
          <t>Công Ty Hoàng An Nhiên</t>
        </is>
      </c>
      <c r="E20013" t="inlineStr">
        <is>
          <t>Lương:7,5 Tr - 8 Tr VND</t>
        </is>
      </c>
      <c r="F20013" t="inlineStr">
        <is>
          <t>Hà Nội</t>
        </is>
      </c>
      <c r="G20013" t="inlineStr">
        <is>
          <t>6</t>
        </is>
      </c>
      <c r="H20013" t="inlineStr">
        <is>
          <t>23/03/2026</t>
        </is>
      </c>
      <c r="I20013" t="inlineStr">
        <is>
          <t>17/03/2026</t>
        </is>
      </c>
      <c r="J20013" t="inlineStr">
        <is>
          <t>Nhà hàng / Khách sạn</t>
        </is>
      </c>
      <c r="K20013" t="inlineStr">
        <is>
          <t>1 - 2 Năm</t>
        </is>
      </c>
      <c r="L20013" s="8">
        <f>HYPERLINK("https://careerviet.vn/vi/tim-viec-lam/phu-bep-prep-cook.35C639DE.html","Xem chi tiết")</f>
        <v/>
      </c>
    </row>
    <row r="20014">
      <c r="B20014" s="9" t="n">
        <v>20012</v>
      </c>
      <c r="C20014" s="10" t="inlineStr">
        <is>
          <t>Nhân viên kinh doanh thiết bị</t>
        </is>
      </c>
      <c r="D20014" s="10" t="inlineStr">
        <is>
          <t>Công ty TNHH Cobi One</t>
        </is>
      </c>
      <c r="E20014" s="10" t="inlineStr">
        <is>
          <t>Lương:15 Tr - 30 Tr VND</t>
        </is>
      </c>
      <c r="F20014" s="10" t="inlineStr">
        <is>
          <t>Tây Ninh</t>
        </is>
      </c>
      <c r="G20014" s="10" t="inlineStr">
        <is>
          <t>6</t>
        </is>
      </c>
      <c r="H20014" s="10" t="inlineStr">
        <is>
          <t>23/03/2026</t>
        </is>
      </c>
      <c r="I20014" s="10" t="inlineStr">
        <is>
          <t>17/03/2026</t>
        </is>
      </c>
      <c r="J20014" s="10" t="inlineStr">
        <is>
          <t>Bán lẻ / Bán sỉ, Bán hàng / Kinh doanh, Bán Hàng Kỹ Thuật</t>
        </is>
      </c>
      <c r="K20014" s="10" t="inlineStr">
        <is>
          <t>3 - 5 Năm</t>
        </is>
      </c>
      <c r="L20014" s="11">
        <f>HYPERLINK("https://careerviet.vn/vi/tim-viec-lam/nhan-vien-kinh-doanh-thiet-bi.35C638DD.html","Xem chi tiết")</f>
        <v/>
      </c>
      <c r="M20014" s="10" t="n"/>
    </row>
    <row r="20015">
      <c r="B20015" s="7" t="n">
        <v>20013</v>
      </c>
      <c r="C20015" t="inlineStr">
        <is>
          <t>Bác Sĩ Phẫu Thuật Thẩm Mỹ  (Hà Nội)</t>
        </is>
      </c>
      <c r="D20015" t="inlineStr">
        <is>
          <t>Công ty cổ phần HaMo Holdings</t>
        </is>
      </c>
      <c r="E20015" t="inlineStr">
        <is>
          <t>Lương:Cạnh tranh</t>
        </is>
      </c>
      <c r="F20015" t="inlineStr">
        <is>
          <t>Hà Nội</t>
        </is>
      </c>
      <c r="G20015" t="inlineStr">
        <is>
          <t>6</t>
        </is>
      </c>
      <c r="H20015" t="inlineStr">
        <is>
          <t>23/03/2026</t>
        </is>
      </c>
      <c r="I20015" t="inlineStr">
        <is>
          <t>17/03/2026</t>
        </is>
      </c>
      <c r="J20015" t="inlineStr">
        <is>
          <t>Y tế / Chăm sóc sức khỏe / Thẩm mỹ / Làm đẹp, Tư vấn, Dịch vụ khách hàng</t>
        </is>
      </c>
      <c r="K20015" t="inlineStr">
        <is>
          <t>3 - 5 Năm</t>
        </is>
      </c>
      <c r="L20015" s="8">
        <f>HYPERLINK("https://careerviet.vn/vi/tim-viec-lam/bac-si-phau-thuat-tham-my-ha-noi.35C63964.html","Xem chi tiết")</f>
        <v/>
      </c>
    </row>
    <row r="20016">
      <c r="B20016" s="9" t="n">
        <v>20014</v>
      </c>
      <c r="C20016" s="10" t="inlineStr">
        <is>
          <t>Trưởng nhóm Sale Admin</t>
        </is>
      </c>
      <c r="D20016" s="10" t="inlineStr">
        <is>
          <t>Công Ty Cổ Phần Panel Việt</t>
        </is>
      </c>
      <c r="E20016" s="10" t="inlineStr">
        <is>
          <t>Lương:12 Tr - 20 Tr VND</t>
        </is>
      </c>
      <c r="F20016" s="10" t="inlineStr">
        <is>
          <t>Hà Nội</t>
        </is>
      </c>
      <c r="G20016" s="10" t="inlineStr">
        <is>
          <t>6</t>
        </is>
      </c>
      <c r="H20016" s="10" t="inlineStr">
        <is>
          <t>23/03/2026</t>
        </is>
      </c>
      <c r="I20016" s="10" t="inlineStr">
        <is>
          <t>17/03/2026</t>
        </is>
      </c>
      <c r="J20016" s="10" t="inlineStr">
        <is>
          <t>Bán hàng / Kinh doanh, Sản xuất / Vận hành sản xuất</t>
        </is>
      </c>
      <c r="K20016" s="10" t="inlineStr">
        <is>
          <t>1 - 2 Năm</t>
        </is>
      </c>
      <c r="L20016" s="11">
        <f>HYPERLINK("https://careerviet.vn/vi/tim-viec-lam/truong-nhom-sale-admin.35C63988.html","Xem chi tiết")</f>
        <v/>
      </c>
      <c r="M20016" s="10" t="n"/>
    </row>
    <row r="20017">
      <c r="B20017" s="7" t="n">
        <v>20015</v>
      </c>
      <c r="C20017" t="inlineStr">
        <is>
          <t>Kế toán trưởng công ty Bất động sản là Chủ Đầu tư</t>
        </is>
      </c>
      <c r="D20017" t="inlineStr">
        <is>
          <t>Công Ty CP Đầu Tư Địa Ốc Khang An</t>
        </is>
      </c>
      <c r="E20017" t="inlineStr">
        <is>
          <t>Lương:30 Tr - 70 Tr VND</t>
        </is>
      </c>
      <c r="F20017" t="inlineStr">
        <is>
          <t>Hồ Chí Minh</t>
        </is>
      </c>
      <c r="G20017" t="inlineStr">
        <is>
          <t>31-03-2026</t>
        </is>
      </c>
      <c r="H20017" t="inlineStr">
        <is>
          <t>31/03/2026</t>
        </is>
      </c>
      <c r="I20017" t="inlineStr">
        <is>
          <t>17/03/2026</t>
        </is>
      </c>
      <c r="J20017" t="inlineStr">
        <is>
          <t>Xây dựng, Bất động sản, Kiến trúc</t>
        </is>
      </c>
      <c r="K20017" t="inlineStr">
        <is>
          <t>3 - 8 Năm</t>
        </is>
      </c>
      <c r="L20017" s="8">
        <f>HYPERLINK("https://careerviet.vn/vi/tim-viec-lam/ke-toan-truong-cong-ty-bat-dong-san-la-chu-dau-tu.35C63A1C.html","Xem chi tiết")</f>
        <v/>
      </c>
    </row>
    <row r="20018">
      <c r="B20018" s="9" t="n">
        <v>20016</v>
      </c>
      <c r="C20018" s="10" t="inlineStr">
        <is>
          <t>HCM - Merchandise Planning Executive (Brand Max&amp;Co, Weekend Max Mara) - Nhân viên quản lý kế hoạch hàng hóa</t>
        </is>
      </c>
      <c r="D20018" s="10" t="inlineStr">
        <is>
          <t>CÔNG TY CỔ PHẦN MAISON RETAIL MANAGEMENT INTERNATIONAL</t>
        </is>
      </c>
      <c r="E20018" s="10" t="inlineStr">
        <is>
          <t>Lương:Cạnh tranh</t>
        </is>
      </c>
      <c r="F20018" s="10" t="inlineStr">
        <is>
          <t>Hồ Chí Minh</t>
        </is>
      </c>
      <c r="G20018" s="10" t="inlineStr">
        <is>
          <t>6</t>
        </is>
      </c>
      <c r="H20018" s="10" t="inlineStr">
        <is>
          <t>23/03/2026</t>
        </is>
      </c>
      <c r="I20018" s="10" t="inlineStr">
        <is>
          <t>17/03/2026</t>
        </is>
      </c>
      <c r="J20018" s="10" t="inlineStr">
        <is>
          <t>Bán hàng / Kinh doanh, Kế toán / Kiểm toán</t>
        </is>
      </c>
      <c r="K20018" s="10" t="inlineStr">
        <is>
          <t>1 - 2 Năm</t>
        </is>
      </c>
      <c r="L20018" s="11">
        <f>HYPERLINK("https://careerviet.vn/vi/tim-viec-lam/hcm-merchandise-planning-executive-brand-max-co-weekend-max-mara-nhan-vien-quan-ly-ke-hoach-hang-hoa.35C63A1B.html","Xem chi tiết")</f>
        <v/>
      </c>
      <c r="M20018" s="10" t="n"/>
    </row>
    <row r="20019">
      <c r="B20019" s="7" t="n">
        <v>20017</v>
      </c>
      <c r="C20019" t="inlineStr">
        <is>
          <t>Chuyên viên Kinh Doanh Dự Án Dây Cáp Điện</t>
        </is>
      </c>
      <c r="D20019" t="inlineStr">
        <is>
          <t>Công Ty Cổ Phần Dây Cáp Điện DAPHACO</t>
        </is>
      </c>
      <c r="E20019" t="inlineStr">
        <is>
          <t>Lương:20 Tr - 30 Tr VND</t>
        </is>
      </c>
      <c r="F20019" t="inlineStr">
        <is>
          <t>Hồ Chí Minh</t>
        </is>
      </c>
      <c r="G20019" t="inlineStr">
        <is>
          <t>6</t>
        </is>
      </c>
      <c r="H20019" t="inlineStr">
        <is>
          <t>23/03/2026</t>
        </is>
      </c>
      <c r="I20019" t="inlineStr">
        <is>
          <t>17/03/2026</t>
        </is>
      </c>
      <c r="J20019" t="inlineStr">
        <is>
          <t>Bán hàng / Kinh doanh, Điện / Điện tử / Điện lạnh / Điện công nghiệp, Sản xuất / Vận hành sản xuất</t>
        </is>
      </c>
      <c r="K20019" t="inlineStr">
        <is>
          <t>2 - 5 Năm</t>
        </is>
      </c>
      <c r="L20019" s="8">
        <f>HYPERLINK("https://careerviet.vn/vi/tim-viec-lam/chuyen-vien-kinh-doanh-du-an-day-cap-dien.35C63A2A.html","Xem chi tiết")</f>
        <v/>
      </c>
    </row>
    <row r="20020">
      <c r="B20020" s="9" t="n">
        <v>20018</v>
      </c>
      <c r="C20020" s="10" t="inlineStr">
        <is>
          <t>CHUYÊN VIÊN KIỂM SOÁT TUÂN THỦ VẬN HÀNH</t>
        </is>
      </c>
      <c r="D20020" s="10" t="inlineStr">
        <is>
          <t>CÔNG TY CỔ PHẦN CẢNG TÀU KHÁCH QUỐC TẾ TUẦN CHÂU</t>
        </is>
      </c>
      <c r="E20020" s="10" t="inlineStr">
        <is>
          <t>Lương:Cạnh tranh</t>
        </is>
      </c>
      <c r="F20020" s="10" t="inlineStr">
        <is>
          <t>Quảng Ninh</t>
        </is>
      </c>
      <c r="G20020" s="10" t="inlineStr">
        <is>
          <t>6</t>
        </is>
      </c>
      <c r="H20020" s="10" t="inlineStr">
        <is>
          <t>23/03/2026</t>
        </is>
      </c>
      <c r="I20020" s="10" t="inlineStr">
        <is>
          <t>17/03/2026</t>
        </is>
      </c>
      <c r="J20020" s="10" t="inlineStr">
        <is>
          <t>Du lịch, Dịch vụ khách hàng, Kế toán / Kiểm toán</t>
        </is>
      </c>
      <c r="K20020" s="10" t="inlineStr">
        <is>
          <t>2 - 5 Năm</t>
        </is>
      </c>
      <c r="L20020" s="11">
        <f>HYPERLINK("https://careerviet.vn/vi/tim-viec-lam/chuyen-vien-kiem-soat-tuan-thu-van-hanh.35C638D7.html","Xem chi tiết")</f>
        <v/>
      </c>
      <c r="M20020" s="10" t="n"/>
    </row>
    <row r="20021">
      <c r="B20021" s="7" t="n">
        <v>20019</v>
      </c>
      <c r="C20021" t="inlineStr">
        <is>
          <t>Nhân viên điều hành thi công dự án Solar Farm, năng lượng mặt trời</t>
        </is>
      </c>
      <c r="D20021" t="inlineStr">
        <is>
          <t>Tổng Công ty Cổ phần Công trình Viettel</t>
        </is>
      </c>
      <c r="E20021" t="inlineStr">
        <is>
          <t>Lương:25 Tr - 35 Tr VND</t>
        </is>
      </c>
      <c r="F20021" t="inlineStr">
        <is>
          <t>Hồ Chí MinhHà Nội</t>
        </is>
      </c>
      <c r="G20021" t="inlineStr">
        <is>
          <t>6</t>
        </is>
      </c>
      <c r="H20021" t="inlineStr">
        <is>
          <t>23/03/2026</t>
        </is>
      </c>
      <c r="I20021" t="inlineStr">
        <is>
          <t>17/03/2026</t>
        </is>
      </c>
      <c r="J20021" t="inlineStr">
        <is>
          <t>Cơ khí / Ô tô / Tự động hóa, Mỹ thuật / Nghệ thuật / Thiết kế, Điện / Điện tử / Điện lạnh / Điện công nghiệp</t>
        </is>
      </c>
      <c r="K20021" t="inlineStr">
        <is>
          <t>3 - 5 Năm</t>
        </is>
      </c>
      <c r="L20021" s="8">
        <f>HYPERLINK("https://careerviet.vn/vi/tim-viec-lam/nhan-vien-dieu-hanh-thi-cong-du-an-solar-farm-nang-luong-mat-troi.35C63A56.html","Xem chi tiết")</f>
        <v/>
      </c>
    </row>
    <row r="20022">
      <c r="B20022" s="9" t="n">
        <v>20020</v>
      </c>
      <c r="C20022" s="10" t="inlineStr">
        <is>
          <t>Head of Credit Risk</t>
        </is>
      </c>
      <c r="D20022" s="10" t="inlineStr">
        <is>
          <t>Công Ty Tài Chính Mirae Asset (Việt Nam)</t>
        </is>
      </c>
      <c r="E20022" s="10" t="inlineStr">
        <is>
          <t>Lương:Cạnh tranh</t>
        </is>
      </c>
      <c r="F20022" s="10" t="inlineStr">
        <is>
          <t>Hồ Chí Minh</t>
        </is>
      </c>
      <c r="G20022" s="10" t="inlineStr">
        <is>
          <t>6</t>
        </is>
      </c>
      <c r="H20022" s="10" t="inlineStr">
        <is>
          <t>23/03/2026</t>
        </is>
      </c>
      <c r="I20022" s="10" t="inlineStr">
        <is>
          <t>17/03/2026</t>
        </is>
      </c>
      <c r="J20022" s="10" t="inlineStr">
        <is>
          <t>Quản lý chất lượng (QA/QC)</t>
        </is>
      </c>
      <c r="K20022" s="10" t="inlineStr">
        <is>
          <t>7 - 10 Năm</t>
        </is>
      </c>
      <c r="L20022" s="11">
        <f>HYPERLINK("https://careerviet.vn/vi/tim-viec-lam/head-of-credit-risk.35C66595.html","Xem chi tiết")</f>
        <v/>
      </c>
      <c r="M20022" s="10" t="n"/>
    </row>
    <row r="20023">
      <c r="B20023" s="7" t="n">
        <v>20021</v>
      </c>
      <c r="C20023" t="inlineStr">
        <is>
          <t>Nhân viên điều vận</t>
        </is>
      </c>
      <c r="D20023" t="inlineStr">
        <is>
          <t>Công Ty Cổ Phần Panel Việt</t>
        </is>
      </c>
      <c r="E20023" t="inlineStr">
        <is>
          <t>Lương:13 Tr - 17 Tr VND</t>
        </is>
      </c>
      <c r="F20023" t="inlineStr">
        <is>
          <t>Đồng Nai</t>
        </is>
      </c>
      <c r="G20023" t="inlineStr">
        <is>
          <t>6</t>
        </is>
      </c>
      <c r="H20023" t="inlineStr">
        <is>
          <t>23/03/2026</t>
        </is>
      </c>
      <c r="I20023" t="inlineStr">
        <is>
          <t>17/03/2026</t>
        </is>
      </c>
      <c r="J20023" t="inlineStr">
        <is>
          <t>Vận chuyển / Giao nhận / Kho vận, Sản xuất / Vận hành sản xuất</t>
        </is>
      </c>
      <c r="K20023" t="inlineStr">
        <is>
          <t>1 - 2 Năm</t>
        </is>
      </c>
      <c r="L20023" s="8">
        <f>HYPERLINK("https://careerviet.vn/vi/tim-viec-lam/nhan-vien-dieu-van.35C63973.html","Xem chi tiết")</f>
        <v/>
      </c>
    </row>
    <row r="20024">
      <c r="B20024" s="9" t="n">
        <v>20022</v>
      </c>
      <c r="C20024" s="10" t="inlineStr">
        <is>
          <t>Kỹ Sư Bảo Hành Máy CNC (Không Yêu Cầu Kinh Nghiệm) - Bắc Ninh</t>
        </is>
      </c>
      <c r="D20024" s="10" t="inlineStr">
        <is>
          <t>CÔNG TY TNHH HWACHEON MACHINE TOOL VIỆT NAM</t>
        </is>
      </c>
      <c r="E20024" s="10" t="inlineStr">
        <is>
          <t>Lương:9 Tr - 20 Tr VND</t>
        </is>
      </c>
      <c r="F20024" s="10" t="inlineStr">
        <is>
          <t>Bắc Ninh</t>
        </is>
      </c>
      <c r="G20024" s="10" t="inlineStr">
        <is>
          <t>6</t>
        </is>
      </c>
      <c r="H20024" s="10" t="inlineStr">
        <is>
          <t>23/03/2026</t>
        </is>
      </c>
      <c r="I20024" s="10" t="inlineStr">
        <is>
          <t>17/03/2026</t>
        </is>
      </c>
      <c r="J20024" s="10" t="inlineStr">
        <is>
          <t>Cơ khí / Ô tô / Tự động hóa, Mới tốt nghiệp / Thực tập, Bảo trì / Sửa chữa</t>
        </is>
      </c>
      <c r="K20024" s="10" t="inlineStr">
        <is>
          <t>N/A</t>
        </is>
      </c>
      <c r="L20024" s="11">
        <f>HYPERLINK("https://careerviet.vn/vi/tim-viec-lam/ky-su-bao-hanh-may-cnc-khong-yeu-cau-kinh-nghiem-bac-ninh.35C662D8.html","Xem chi tiết")</f>
        <v/>
      </c>
      <c r="M20024" s="10" t="n"/>
    </row>
    <row r="20025">
      <c r="B20025" s="7" t="n">
        <v>20023</v>
      </c>
      <c r="C20025" t="inlineStr">
        <is>
          <t>Purchasing Officer</t>
        </is>
      </c>
      <c r="D20025" t="inlineStr">
        <is>
          <t>Brand Packaging Joint Stock Company</t>
        </is>
      </c>
      <c r="E20025" t="inlineStr">
        <is>
          <t>Lương:Cạnh tranh</t>
        </is>
      </c>
      <c r="F20025" t="inlineStr">
        <is>
          <t>Bình Dương</t>
        </is>
      </c>
      <c r="G20025" t="inlineStr">
        <is>
          <t>6</t>
        </is>
      </c>
      <c r="H20025" t="inlineStr">
        <is>
          <t>23/03/2026</t>
        </is>
      </c>
      <c r="I20025" t="inlineStr">
        <is>
          <t>17/03/2026</t>
        </is>
      </c>
      <c r="J20025" t="inlineStr">
        <is>
          <t>Vận chuyển / Giao nhận / Kho vận, Xuất nhập khẩu, Thu mua / Vật tư</t>
        </is>
      </c>
      <c r="K20025" t="inlineStr">
        <is>
          <t>1 - 2 Năm</t>
        </is>
      </c>
      <c r="L20025" s="8">
        <f>HYPERLINK("https://careerviet.vn/vi/tim-viec-lam/purchasing-officer.35C66580.html","Xem chi tiết")</f>
        <v/>
      </c>
    </row>
    <row r="20026">
      <c r="B20026" s="9" t="n">
        <v>20024</v>
      </c>
      <c r="C20026" s="10" t="inlineStr">
        <is>
          <t>Nhân viên chất lượng (Biết tiếng hàn)</t>
        </is>
      </c>
      <c r="D20026" s="10" t="inlineStr">
        <is>
          <t>Công ty TNHH Yura Corporation Vina</t>
        </is>
      </c>
      <c r="E20026" s="10" t="inlineStr">
        <is>
          <t>Lương:30 Tr - 35 Tr VND</t>
        </is>
      </c>
      <c r="F20026" s="10" t="inlineStr">
        <is>
          <t>Hưng Yên</t>
        </is>
      </c>
      <c r="G20026" s="10" t="inlineStr">
        <is>
          <t>6</t>
        </is>
      </c>
      <c r="H20026" s="10" t="inlineStr">
        <is>
          <t>23/03/2026</t>
        </is>
      </c>
      <c r="I20026" s="10" t="inlineStr">
        <is>
          <t>17/03/2026</t>
        </is>
      </c>
      <c r="J20026" s="10" t="inlineStr">
        <is>
          <t>Quản lý chất lượng (QA/QC)</t>
        </is>
      </c>
      <c r="K20026" s="10" t="inlineStr">
        <is>
          <t>5 - 10 Năm</t>
        </is>
      </c>
      <c r="L20026" s="11">
        <f>HYPERLINK("https://careerviet.vn/vi/tim-viec-lam/nhan-vien-chat-luong-biet-tieng-han.35C639A8.html","Xem chi tiết")</f>
        <v/>
      </c>
      <c r="M20026" s="10" t="n"/>
    </row>
    <row r="20027">
      <c r="B20027" s="7" t="n">
        <v>20025</v>
      </c>
      <c r="C20027" t="inlineStr">
        <is>
          <t>Chuyên viên R &amp; D</t>
        </is>
      </c>
      <c r="D20027" t="inlineStr">
        <is>
          <t>CÔNG TY CỔ PHẦN  KTG ELECTRIC</t>
        </is>
      </c>
      <c r="E20027" t="inlineStr">
        <is>
          <t>Lương:13 Tr - 15 Tr VND</t>
        </is>
      </c>
      <c r="F20027" t="inlineStr">
        <is>
          <t>Đồng Nai</t>
        </is>
      </c>
      <c r="G20027" t="inlineStr">
        <is>
          <t>6</t>
        </is>
      </c>
      <c r="H20027" t="inlineStr">
        <is>
          <t>23/03/2026</t>
        </is>
      </c>
      <c r="I20027" t="inlineStr">
        <is>
          <t>17/03/2026</t>
        </is>
      </c>
      <c r="J20027" t="inlineStr">
        <is>
          <t>Hóa học</t>
        </is>
      </c>
      <c r="K20027" t="inlineStr">
        <is>
          <t>2 - 3 Năm</t>
        </is>
      </c>
      <c r="L20027" s="8">
        <f>HYPERLINK("https://careerviet.vn/vi/tim-viec-lam/chuyen-vien-r-d.35C638C2.html","Xem chi tiết")</f>
        <v/>
      </c>
    </row>
    <row r="20028">
      <c r="B20028" s="9" t="n">
        <v>20026</v>
      </c>
      <c r="C20028" s="10" t="inlineStr">
        <is>
          <t>Nhân viên HSE</t>
        </is>
      </c>
      <c r="D20028" s="10" t="inlineStr">
        <is>
          <t>CÔNG TY CỔ PHẦN PICONS VIỆT NAM</t>
        </is>
      </c>
      <c r="E20028" s="10" t="inlineStr">
        <is>
          <t>Lương:18 Tr - 24 Tr VND</t>
        </is>
      </c>
      <c r="F20028" s="10" t="inlineStr">
        <is>
          <t>Thái Bình</t>
        </is>
      </c>
      <c r="G20028" s="10" t="inlineStr">
        <is>
          <t>6</t>
        </is>
      </c>
      <c r="H20028" s="10" t="inlineStr">
        <is>
          <t>23/03/2026</t>
        </is>
      </c>
      <c r="I20028" s="10" t="inlineStr">
        <is>
          <t>17/03/2026</t>
        </is>
      </c>
      <c r="J20028" s="10" t="inlineStr">
        <is>
          <t>An toàn lao động, Kiến trúc, Xây dựng</t>
        </is>
      </c>
      <c r="K20028" s="10" t="inlineStr">
        <is>
          <t>Trên 3 Năm</t>
        </is>
      </c>
      <c r="L20028" s="11">
        <f>HYPERLINK("https://careerviet.vn/vi/tim-viec-lam/nhan-vien-hse.35C63A81.html","Xem chi tiết")</f>
        <v/>
      </c>
      <c r="M20028" s="10" t="n"/>
    </row>
    <row r="20029">
      <c r="B20029" s="7" t="n">
        <v>20027</v>
      </c>
      <c r="C20029" t="inlineStr">
        <is>
          <t>Trưởng Nhóm Tuyển Dụng</t>
        </is>
      </c>
      <c r="D20029" t="inlineStr">
        <is>
          <t>CÔNG TY CỔ PHẦN THIẾT BỊ CÔNG NGHIỆP GEIC</t>
        </is>
      </c>
      <c r="E20029" t="inlineStr">
        <is>
          <t>Lương:Cạnh tranh</t>
        </is>
      </c>
      <c r="F20029" t="inlineStr">
        <is>
          <t>Hà Nội</t>
        </is>
      </c>
      <c r="G20029" t="inlineStr">
        <is>
          <t>6</t>
        </is>
      </c>
      <c r="H20029" t="inlineStr">
        <is>
          <t>23/03/2026</t>
        </is>
      </c>
      <c r="I20029" t="inlineStr">
        <is>
          <t>17/03/2026</t>
        </is>
      </c>
      <c r="J20029" t="inlineStr">
        <is>
          <t>Quản lý điều hành, Hành chính / Thư ký, Nhân sự</t>
        </is>
      </c>
      <c r="K20029" t="inlineStr">
        <is>
          <t>Trên 5 Năm</t>
        </is>
      </c>
      <c r="L20029" s="8">
        <f>HYPERLINK("https://careerviet.vn/vi/tim-viec-lam/truong-nhom-tuyen-dung.35C6393E.html","Xem chi tiết")</f>
        <v/>
      </c>
    </row>
    <row r="20030">
      <c r="B20030" s="9" t="n">
        <v>20028</v>
      </c>
      <c r="C20030" s="10" t="inlineStr">
        <is>
          <t>Kỹ sư thiết kế kết cấu công trình (Không yêu cầu kinh nghiệm)</t>
        </is>
      </c>
      <c r="D20030" s="10" t="inlineStr">
        <is>
          <t>Công ty Cổ phần Xây dựng CPT Việt Nam</t>
        </is>
      </c>
      <c r="E20030" s="10" t="inlineStr">
        <is>
          <t>Lương:Cạnh tranh</t>
        </is>
      </c>
      <c r="F20030" s="10" t="inlineStr">
        <is>
          <t>Hà Nội</t>
        </is>
      </c>
      <c r="G20030" s="10" t="inlineStr">
        <is>
          <t>6</t>
        </is>
      </c>
      <c r="H20030" s="10" t="inlineStr">
        <is>
          <t>23/03/2026</t>
        </is>
      </c>
      <c r="I20030" s="10" t="inlineStr">
        <is>
          <t>17/03/2026</t>
        </is>
      </c>
      <c r="J20030" s="10" t="inlineStr">
        <is>
          <t>Mỹ thuật / Nghệ thuật / Thiết kế, Xây dựng, Kiến trúc</t>
        </is>
      </c>
      <c r="K20030" s="10" t="inlineStr">
        <is>
          <t>N/A</t>
        </is>
      </c>
      <c r="L20030" s="11">
        <f>HYPERLINK("https://careerviet.vn/vi/tim-viec-lam/ky-su-thiet-ke-ket-cau-cong-trinh-khong-yeu-cau-kinh-nghiem.35C665B2.html","Xem chi tiết")</f>
        <v/>
      </c>
      <c r="M20030" s="10" t="n"/>
    </row>
    <row r="20031">
      <c r="B20031" s="7" t="n">
        <v>20029</v>
      </c>
      <c r="C20031" t="inlineStr">
        <is>
          <t>[ PHENIKAA GROUP] KỸ SƯ GIÁM SÁT CƠ ĐIỆN</t>
        </is>
      </c>
      <c r="D20031" t="inlineStr">
        <is>
          <t>ĐẠI HỌC PHENIKAA</t>
        </is>
      </c>
      <c r="E20031" t="inlineStr">
        <is>
          <t>Lương:15 Tr - 22 Tr VND</t>
        </is>
      </c>
      <c r="F20031" t="inlineStr">
        <is>
          <t>Hà Nội</t>
        </is>
      </c>
      <c r="G20031" t="inlineStr">
        <is>
          <t>6</t>
        </is>
      </c>
      <c r="H20031" t="inlineStr">
        <is>
          <t>23/03/2026</t>
        </is>
      </c>
      <c r="I20031" t="inlineStr">
        <is>
          <t>17/03/2026</t>
        </is>
      </c>
      <c r="J20031" t="inlineStr">
        <is>
          <t>Cơ khí / Ô tô / Tự động hóa, Điện / Điện tử / Điện lạnh / Điện công nghiệp, Xây dựng</t>
        </is>
      </c>
      <c r="K20031" t="inlineStr">
        <is>
          <t>2 - 3 Năm</t>
        </is>
      </c>
      <c r="L20031" s="8">
        <f>HYPERLINK("https://careerviet.vn/vi/tim-viec-lam/phenikaa-group-ky-su-giam-sat-co-dien.35C638FE.html","Xem chi tiết")</f>
        <v/>
      </c>
    </row>
    <row r="20032">
      <c r="B20032" s="9" t="n">
        <v>20030</v>
      </c>
      <c r="C20032" s="10" t="inlineStr">
        <is>
          <t>Quality &amp; Risk Manager</t>
        </is>
      </c>
      <c r="D20032" s="10" t="inlineStr">
        <is>
          <t>CÔNG TY CỔ PHẦN CITICS</t>
        </is>
      </c>
      <c r="E20032" s="10" t="inlineStr">
        <is>
          <t>Lương:20 Tr - 30 Tr VND</t>
        </is>
      </c>
      <c r="F20032" s="10" t="inlineStr">
        <is>
          <t>Hồ Chí Minh</t>
        </is>
      </c>
      <c r="G20032" s="10" t="inlineStr">
        <is>
          <t>6</t>
        </is>
      </c>
      <c r="H20032" s="10" t="inlineStr">
        <is>
          <t>23/03/2026</t>
        </is>
      </c>
      <c r="I20032" s="10" t="inlineStr">
        <is>
          <t>17/03/2026</t>
        </is>
      </c>
      <c r="J20032" s="10" t="inlineStr">
        <is>
          <t>Ngân hàng, Bất động sản</t>
        </is>
      </c>
      <c r="K20032" s="10" t="inlineStr">
        <is>
          <t>Chưa có kinh nghiệm</t>
        </is>
      </c>
      <c r="L20032" s="11">
        <f>HYPERLINK("https://careerviet.vn/vi/tim-viec-lam/quality-risk-manager.35C66629.html","Xem chi tiết")</f>
        <v/>
      </c>
      <c r="M20032" s="10" t="n"/>
    </row>
    <row r="20033">
      <c r="B20033" s="7" t="n">
        <v>20031</v>
      </c>
      <c r="C20033" t="inlineStr">
        <is>
          <t>Kỹ sư Thiết kế điện gió</t>
        </is>
      </c>
      <c r="D20033" t="inlineStr">
        <is>
          <t>Tổng Công ty Cổ phần Công trình Viettel</t>
        </is>
      </c>
      <c r="E20033" t="inlineStr">
        <is>
          <t>Lương:20 Tr - 25 Tr VND</t>
        </is>
      </c>
      <c r="F20033" t="inlineStr">
        <is>
          <t>Hà Nội</t>
        </is>
      </c>
      <c r="G20033" t="inlineStr">
        <is>
          <t>6</t>
        </is>
      </c>
      <c r="H20033" t="inlineStr">
        <is>
          <t>23/03/2026</t>
        </is>
      </c>
      <c r="I20033" t="inlineStr">
        <is>
          <t>17/03/2026</t>
        </is>
      </c>
      <c r="J20033" t="inlineStr">
        <is>
          <t>Kiến trúc, Điện / Điện tử / Điện lạnh / Điện công nghiệp</t>
        </is>
      </c>
      <c r="K20033" t="inlineStr">
        <is>
          <t>2 - 3 Năm</t>
        </is>
      </c>
      <c r="L20033" s="8">
        <f>HYPERLINK("https://careerviet.vn/vi/tim-viec-lam/ky-su-thiet-ke-dien-gio.35C63A4B.html","Xem chi tiết")</f>
        <v/>
      </c>
    </row>
    <row r="20034">
      <c r="B20034" s="9" t="n">
        <v>20032</v>
      </c>
      <c r="C20034" s="10" t="inlineStr">
        <is>
          <t>Chuyên viên Quản lý chất lượng</t>
        </is>
      </c>
      <c r="D20034" s="10" t="inlineStr">
        <is>
          <t>CÔNG TY CỔ PHẨN ỨNG DỤNG VÀ CHUYỂN GIAO CÔNG NGHỆ XÂY DỰNG (CJSC)</t>
        </is>
      </c>
      <c r="E20034" s="10" t="inlineStr">
        <is>
          <t>Lương:20 Tr - 25 Tr VND</t>
        </is>
      </c>
      <c r="F20034" s="10" t="inlineStr">
        <is>
          <t>Hà Nội</t>
        </is>
      </c>
      <c r="G20034" s="10" t="inlineStr">
        <is>
          <t>6</t>
        </is>
      </c>
      <c r="H20034" s="10" t="inlineStr">
        <is>
          <t>23/03/2026</t>
        </is>
      </c>
      <c r="I20034" s="10" t="inlineStr">
        <is>
          <t>17/03/2026</t>
        </is>
      </c>
      <c r="J20034" s="10" t="inlineStr">
        <is>
          <t>Xây dựng, Quản lý chất lượng (QA/QC)</t>
        </is>
      </c>
      <c r="K20034" s="10" t="inlineStr">
        <is>
          <t>5 - 10 Năm</t>
        </is>
      </c>
      <c r="L20034" s="11">
        <f>HYPERLINK("https://careerviet.vn/vi/tim-viec-lam/chuyen-vien-quan-ly-chat-luong.35C63963.html","Xem chi tiết")</f>
        <v/>
      </c>
      <c r="M20034" s="10" t="n"/>
    </row>
    <row r="20035">
      <c r="B20035" s="7" t="n">
        <v>20033</v>
      </c>
      <c r="C20035" t="inlineStr">
        <is>
          <t>Nhân viên Kiểm soát nội bộ - TP.HCM</t>
        </is>
      </c>
      <c r="D20035" t="inlineStr">
        <is>
          <t>Cty TNHH Yakult Việt Nam</t>
        </is>
      </c>
      <c r="E20035" t="inlineStr">
        <is>
          <t>Lương:10 Tr - 14 Tr VND</t>
        </is>
      </c>
      <c r="F20035" t="inlineStr">
        <is>
          <t>Hồ Chí Minh</t>
        </is>
      </c>
      <c r="G20035" t="inlineStr">
        <is>
          <t>6</t>
        </is>
      </c>
      <c r="H20035" t="inlineStr">
        <is>
          <t>23/03/2026</t>
        </is>
      </c>
      <c r="I20035" t="inlineStr">
        <is>
          <t>17/03/2026</t>
        </is>
      </c>
      <c r="J20035" t="inlineStr">
        <is>
          <t>Hành chính / Thư ký, Quản lý điều hành, Kế toán / Kiểm toán</t>
        </is>
      </c>
      <c r="K20035" t="inlineStr">
        <is>
          <t>Trên 1 Năm</t>
        </is>
      </c>
      <c r="L20035" s="8">
        <f>HYPERLINK("https://careerviet.vn/vi/tim-viec-lam/nhan-vien-kiem-soat-noi-bo-tp-hcm.35C639E4.html","Xem chi tiết")</f>
        <v/>
      </c>
    </row>
    <row r="20036">
      <c r="B20036" s="9" t="n">
        <v>20034</v>
      </c>
      <c r="C20036" s="10" t="inlineStr">
        <is>
          <t>Kế Toán Tổng Hợp</t>
        </is>
      </c>
      <c r="D20036" s="10" t="inlineStr">
        <is>
          <t>CÔNG TY TRÁCH NHIỆM HỮU HẠN TÂN HỒ TÚ</t>
        </is>
      </c>
      <c r="E20036" s="10" t="inlineStr">
        <is>
          <t>Lương:Trên 15 Tr VND</t>
        </is>
      </c>
      <c r="F20036" s="10" t="inlineStr">
        <is>
          <t>Bình Dương</t>
        </is>
      </c>
      <c r="G20036" s="10" t="inlineStr">
        <is>
          <t>6</t>
        </is>
      </c>
      <c r="H20036" s="10" t="inlineStr">
        <is>
          <t>23/03/2026</t>
        </is>
      </c>
      <c r="I20036" s="10" t="inlineStr">
        <is>
          <t>17/03/2026</t>
        </is>
      </c>
      <c r="J20036" s="10" t="inlineStr">
        <is>
          <t>Luật / Pháp lý, Kế toán / Kiểm toán, Tài chính / Đầu tư</t>
        </is>
      </c>
      <c r="K20036" s="10" t="inlineStr">
        <is>
          <t>Trên 2 Năm</t>
        </is>
      </c>
      <c r="L20036" s="11">
        <f>HYPERLINK("https://careerviet.vn/vi/tim-viec-lam/ke-toan-tong-hop.35C63A50.html","Xem chi tiết")</f>
        <v/>
      </c>
      <c r="M20036" s="10" t="n"/>
    </row>
    <row r="20037">
      <c r="B20037" s="7" t="n">
        <v>20035</v>
      </c>
      <c r="C20037" t="inlineStr">
        <is>
          <t>TRƯỞNG PHÒNG KỸ THUẬT MAY</t>
        </is>
      </c>
      <c r="D20037" t="inlineStr">
        <is>
          <t>Công ty TNHH Công Nghệ May Mặc Spectre An Giang Việt Nam</t>
        </is>
      </c>
      <c r="E20037" t="inlineStr">
        <is>
          <t>Lương:1.500 - 2.000 USD</t>
        </is>
      </c>
      <c r="F20037" t="inlineStr">
        <is>
          <t>An Giang</t>
        </is>
      </c>
      <c r="G20037" t="inlineStr">
        <is>
          <t>6</t>
        </is>
      </c>
      <c r="H20037" t="inlineStr">
        <is>
          <t>23/03/2026</t>
        </is>
      </c>
      <c r="I20037" t="inlineStr">
        <is>
          <t>17/03/2026</t>
        </is>
      </c>
      <c r="J20037" t="inlineStr">
        <is>
          <t>Dệt may / Da giày / Thời trang</t>
        </is>
      </c>
      <c r="K20037" t="inlineStr">
        <is>
          <t>5 - 10 Năm</t>
        </is>
      </c>
      <c r="L20037" s="8">
        <f>HYPERLINK("https://careerviet.vn/vi/tim-viec-lam/truong-phong-ky-thuat-may.35C63A5B.html","Xem chi tiết")</f>
        <v/>
      </c>
    </row>
    <row r="20038">
      <c r="B20038" s="9" t="n">
        <v>20036</v>
      </c>
      <c r="C20038" s="10" t="inlineStr">
        <is>
          <t>Bếp phó quầy Delica siêu thị</t>
        </is>
      </c>
      <c r="D20038" s="10" t="inlineStr">
        <is>
          <t>TỔNG CÔNG TY CỔ PHẦN THƯƠNG MẠI XÂY DỰNG</t>
        </is>
      </c>
      <c r="E20038" s="10" t="inlineStr">
        <is>
          <t>Lương:10 Tr - 15 Tr VND</t>
        </is>
      </c>
      <c r="F20038" s="10" t="inlineStr">
        <is>
          <t>Hà Nội</t>
        </is>
      </c>
      <c r="G20038" s="10" t="inlineStr">
        <is>
          <t>6</t>
        </is>
      </c>
      <c r="H20038" s="10" t="inlineStr">
        <is>
          <t>23/03/2026</t>
        </is>
      </c>
      <c r="I20038" s="10" t="inlineStr">
        <is>
          <t>17/03/2026</t>
        </is>
      </c>
      <c r="J20038" s="10" t="inlineStr">
        <is>
          <t>Bán lẻ / Bán sỉ</t>
        </is>
      </c>
      <c r="K20038" s="10" t="inlineStr">
        <is>
          <t>Trên 1 Năm</t>
        </is>
      </c>
      <c r="L20038" s="11">
        <f>HYPERLINK("https://careerviet.vn/vi/tim-viec-lam/bep-pho-quay-delica-sieu-thi.35C665F4.html","Xem chi tiết")</f>
        <v/>
      </c>
      <c r="M20038" s="10" t="n"/>
    </row>
    <row r="20039">
      <c r="B20039" s="7" t="n">
        <v>20037</v>
      </c>
      <c r="C20039" t="inlineStr">
        <is>
          <t>Thư ký Chủ tịch</t>
        </is>
      </c>
      <c r="D20039" t="inlineStr">
        <is>
          <t>TỔNG CÔNG TY CỔ PHẦN THƯƠNG MẠI XÂY DỰNG</t>
        </is>
      </c>
      <c r="E20039" t="inlineStr">
        <is>
          <t>Lương:Cạnh tranh</t>
        </is>
      </c>
      <c r="F20039" t="inlineStr">
        <is>
          <t>Hà Nội</t>
        </is>
      </c>
      <c r="G20039" t="inlineStr">
        <is>
          <t>6</t>
        </is>
      </c>
      <c r="H20039" t="inlineStr">
        <is>
          <t>23/03/2026</t>
        </is>
      </c>
      <c r="I20039" t="inlineStr">
        <is>
          <t>17/03/2026</t>
        </is>
      </c>
      <c r="J20039" t="inlineStr">
        <is>
          <t>Hành chính / Thư ký, Biên phiên dịch</t>
        </is>
      </c>
      <c r="K20039" t="inlineStr">
        <is>
          <t>Trên 3 Năm</t>
        </is>
      </c>
      <c r="L20039" s="8">
        <f>HYPERLINK("https://careerviet.vn/vi/tim-viec-lam/thu-ky-chu-tich.35C665F3.html","Xem chi tiết")</f>
        <v/>
      </c>
    </row>
    <row r="20040">
      <c r="B20040" s="9" t="n">
        <v>20038</v>
      </c>
      <c r="C20040" s="10" t="inlineStr">
        <is>
          <t>Giám Sát Tư Vấn Tuyển Sinh (Relationship Supervisor)_Quận 6, Nhà Bè</t>
        </is>
      </c>
      <c r="D20040" s="10" t="inlineStr">
        <is>
          <t>ILA Việt Nam</t>
        </is>
      </c>
      <c r="E20040" s="10" t="inlineStr">
        <is>
          <t>Lương:Cạnh tranh</t>
        </is>
      </c>
      <c r="F20040" s="10" t="inlineStr">
        <is>
          <t>Hồ Chí Minh</t>
        </is>
      </c>
      <c r="G20040" s="10" t="inlineStr">
        <is>
          <t>6</t>
        </is>
      </c>
      <c r="H20040" s="10" t="inlineStr">
        <is>
          <t>23/03/2026</t>
        </is>
      </c>
      <c r="I20040" s="10" t="inlineStr">
        <is>
          <t>17/03/2026</t>
        </is>
      </c>
      <c r="J20040" s="10" t="inlineStr">
        <is>
          <t>Bán hàng / Kinh doanh, Giáo dục / Đào tạo, Quản lý điều hành</t>
        </is>
      </c>
      <c r="K20040" s="10" t="inlineStr">
        <is>
          <t>2 - 3 Năm</t>
        </is>
      </c>
      <c r="L20040" s="11">
        <f>HYPERLINK("https://careerviet.vn/vi/tim-viec-lam/giam-sat-tu-van-tuyen-sinh-relationship-supervisor-_quan-6-nha-be.35C664CD.html","Xem chi tiết")</f>
        <v/>
      </c>
      <c r="M20040" s="10" t="n"/>
    </row>
    <row r="20041">
      <c r="B20041" s="7" t="n">
        <v>20039</v>
      </c>
      <c r="C20041" t="inlineStr">
        <is>
          <t>Trưởng phòng Quản lý dự án</t>
        </is>
      </c>
      <c r="D20041" t="inlineStr">
        <is>
          <t>CÔNG TY CỔ PHẦN VẬT LIỆU VĨNH TÂN</t>
        </is>
      </c>
      <c r="E20041" t="inlineStr">
        <is>
          <t>Lương:30 Tr - 50 Tr VND</t>
        </is>
      </c>
      <c r="F20041" t="inlineStr">
        <is>
          <t>Hà Nội</t>
        </is>
      </c>
      <c r="G20041" t="inlineStr">
        <is>
          <t>6</t>
        </is>
      </c>
      <c r="H20041" t="inlineStr">
        <is>
          <t>23/03/2026</t>
        </is>
      </c>
      <c r="I20041" t="inlineStr">
        <is>
          <t>17/03/2026</t>
        </is>
      </c>
      <c r="J20041" t="inlineStr">
        <is>
          <t>Quản lý điều hành, Xây dựng, Bất động sản</t>
        </is>
      </c>
      <c r="K20041" t="inlineStr">
        <is>
          <t>5 - 7 Năm</t>
        </is>
      </c>
      <c r="L20041" s="8">
        <f>HYPERLINK("https://careerviet.vn/vi/tim-viec-lam/truong-phong-quan-ly-du-an.35C63984.html","Xem chi tiết")</f>
        <v/>
      </c>
    </row>
    <row r="20042">
      <c r="B20042" s="9" t="n">
        <v>20040</v>
      </c>
      <c r="C20042" s="10" t="inlineStr">
        <is>
          <t>Giám Sát Thi Công Nội Thất</t>
        </is>
      </c>
      <c r="D20042" s="10" t="inlineStr">
        <is>
          <t>Công Ty TNHH Nội Thất Thái Việt</t>
        </is>
      </c>
      <c r="E20042" s="10" t="inlineStr">
        <is>
          <t>Lương:10 Tr - 17 Tr VND</t>
        </is>
      </c>
      <c r="F20042" s="10" t="inlineStr">
        <is>
          <t>Hồ Chí Minh</t>
        </is>
      </c>
      <c r="G20042" s="10" t="inlineStr">
        <is>
          <t>6</t>
        </is>
      </c>
      <c r="H20042" s="10" t="inlineStr">
        <is>
          <t>23/03/2026</t>
        </is>
      </c>
      <c r="I20042" s="10" t="inlineStr">
        <is>
          <t>17/03/2026</t>
        </is>
      </c>
      <c r="J20042" s="10" t="inlineStr">
        <is>
          <t>Kiến trúc, Xây dựng, Nội ngoại thất</t>
        </is>
      </c>
      <c r="K20042" s="10" t="inlineStr">
        <is>
          <t>Trên 2 Năm</t>
        </is>
      </c>
      <c r="L20042" s="11">
        <f>HYPERLINK("https://careerviet.vn/vi/tim-viec-lam/giam-sat-thi-cong-noi-that.35C63A9E.html","Xem chi tiết")</f>
        <v/>
      </c>
      <c r="M20042" s="10" t="n"/>
    </row>
    <row r="20043">
      <c r="B20043" s="7" t="n">
        <v>20041</v>
      </c>
      <c r="C20043" t="inlineStr">
        <is>
          <t>Sale Kỹ Thuật</t>
        </is>
      </c>
      <c r="D20043" t="inlineStr">
        <is>
          <t>CÔNG TY CỔ PHẦN XÂY DỰNG THƯƠNG MẠI VÀ KỸ THUẬT HỢP NHẤT</t>
        </is>
      </c>
      <c r="E20043" t="inlineStr">
        <is>
          <t>Lương:Cạnh tranh</t>
        </is>
      </c>
      <c r="F20043" t="inlineStr">
        <is>
          <t>Hà Nội</t>
        </is>
      </c>
      <c r="G20043" t="inlineStr">
        <is>
          <t>6</t>
        </is>
      </c>
      <c r="H20043" t="inlineStr">
        <is>
          <t>23/03/2026</t>
        </is>
      </c>
      <c r="I20043" t="inlineStr">
        <is>
          <t>17/03/2026</t>
        </is>
      </c>
      <c r="J20043" t="inlineStr">
        <is>
          <t>Bán hàng / Kinh doanh, Bán Hàng Kỹ Thuật, Cơ khí / Ô tô / Tự động hóa</t>
        </is>
      </c>
      <c r="K20043" t="inlineStr">
        <is>
          <t>N/A</t>
        </is>
      </c>
      <c r="L20043" s="8">
        <f>HYPERLINK("https://careerviet.vn/vi/tim-viec-lam/sale-ky-thuat.35C63A0B.html","Xem chi tiết")</f>
        <v/>
      </c>
    </row>
    <row r="20044">
      <c r="B20044" s="9" t="n">
        <v>20042</v>
      </c>
      <c r="C20044" s="10" t="inlineStr">
        <is>
          <t>NHÂN VIÊN KỸ THUẬT (VẬN HÀNH LÒ HƠI)</t>
        </is>
      </c>
      <c r="D20044" s="10" t="inlineStr">
        <is>
          <t>CÔNG TY TNHH CRYSTAL ELEGANCE TEXTILES VIỆT NAM</t>
        </is>
      </c>
      <c r="E20044" s="10" t="inlineStr">
        <is>
          <t>Lương:8 Tr - 12 Tr VND</t>
        </is>
      </c>
      <c r="F20044" s="10" t="inlineStr">
        <is>
          <t>Bình Dương</t>
        </is>
      </c>
      <c r="G20044" s="10" t="inlineStr">
        <is>
          <t>6</t>
        </is>
      </c>
      <c r="H20044" s="10" t="inlineStr">
        <is>
          <t>23/03/2026</t>
        </is>
      </c>
      <c r="I20044" s="10" t="inlineStr">
        <is>
          <t>17/03/2026</t>
        </is>
      </c>
      <c r="J20044" s="10" t="inlineStr">
        <is>
          <t>Cơ khí / Ô tô / Tự động hóa, Điện / Điện tử / Điện lạnh / Điện công nghiệp, Sản xuất / Vận hành sản xuất</t>
        </is>
      </c>
      <c r="K20044" s="10" t="inlineStr">
        <is>
          <t>N/A</t>
        </is>
      </c>
      <c r="L20044" s="11">
        <f>HYPERLINK("https://careerviet.vn/vi/tim-viec-lam/nhan-vien-ky-thuat-van-hanh-lo-hoi.35C66575.html","Xem chi tiết")</f>
        <v/>
      </c>
      <c r="M20044" s="10" t="n"/>
    </row>
    <row r="20045">
      <c r="B20045" s="7" t="n">
        <v>20043</v>
      </c>
      <c r="C20045" t="inlineStr">
        <is>
          <t>Bác sĩ phụ trách chuyên môn Phòng khám Da liễu Trị liệu</t>
        </is>
      </c>
      <c r="D20045" t="inlineStr">
        <is>
          <t>Medigo Software</t>
        </is>
      </c>
      <c r="E20045" t="inlineStr">
        <is>
          <t>Lương:20 Tr - 50 Tr VND</t>
        </is>
      </c>
      <c r="F20045" t="inlineStr">
        <is>
          <t>Hồ Chí Minh</t>
        </is>
      </c>
      <c r="G20045" t="inlineStr">
        <is>
          <t>6</t>
        </is>
      </c>
      <c r="H20045" t="inlineStr">
        <is>
          <t>23/03/2026</t>
        </is>
      </c>
      <c r="I20045" t="inlineStr">
        <is>
          <t>17/03/2026</t>
        </is>
      </c>
      <c r="J20045" t="inlineStr">
        <is>
          <t>Dược phẩm/ Hóa Mỹ Phẩm, Y tế / Chăm sóc sức khỏe / Thẩm mỹ / Làm đẹp</t>
        </is>
      </c>
      <c r="K20045" t="inlineStr">
        <is>
          <t>3 - 30 Năm</t>
        </is>
      </c>
      <c r="L20045" s="8">
        <f>HYPERLINK("https://careerviet.vn/vi/tim-viec-lam/bac-si-phu-trach-chuyen-mon-phong-kham-da-lieu-tri-lieu.35C664E5.html","Xem chi tiết")</f>
        <v/>
      </c>
    </row>
    <row r="20046">
      <c r="B20046" s="9" t="n">
        <v>20044</v>
      </c>
      <c r="C20046" s="10" t="inlineStr">
        <is>
          <t>Assistant Brand Manager - FMCG</t>
        </is>
      </c>
      <c r="D20046" s="10" t="inlineStr">
        <is>
          <t>CÔNG TY CỔ PHẦN GREEN SPEED</t>
        </is>
      </c>
      <c r="E20046" s="10" t="inlineStr">
        <is>
          <t>Lương:Cạnh tranh</t>
        </is>
      </c>
      <c r="F20046" s="10" t="inlineStr">
        <is>
          <t>Hồ Chí Minh</t>
        </is>
      </c>
      <c r="G20046" s="10" t="inlineStr">
        <is>
          <t>6</t>
        </is>
      </c>
      <c r="H20046" s="10" t="inlineStr">
        <is>
          <t>23/03/2026</t>
        </is>
      </c>
      <c r="I20046" s="10" t="inlineStr">
        <is>
          <t>17/03/2026</t>
        </is>
      </c>
      <c r="J20046" s="10" t="inlineStr">
        <is>
          <t>Tiếp thị / Marketing, Dược phẩm/ Hóa Mỹ Phẩm, Quảng cáo / Đối ngoại / Truyền Thông</t>
        </is>
      </c>
      <c r="K20046" s="10" t="inlineStr">
        <is>
          <t>5 - 10 Năm</t>
        </is>
      </c>
      <c r="L20046" s="11">
        <f>HYPERLINK("https://careerviet.vn/vi/tim-viec-lam/assistant-brand-manager-fmcg.35C665D3.html","Xem chi tiết")</f>
        <v/>
      </c>
      <c r="M20046" s="10" t="n"/>
    </row>
    <row r="20047">
      <c r="B20047" s="7" t="n">
        <v>20045</v>
      </c>
      <c r="C20047" t="inlineStr">
        <is>
          <t>[Hà Nội] Giám Sát Bán Hàng Online / Key Account Supervisor (E-Commerce - FMCG)</t>
        </is>
      </c>
      <c r="D20047" t="inlineStr">
        <is>
          <t>Công Ty Cổ Phần Diana Unicharm</t>
        </is>
      </c>
      <c r="E20047" t="inlineStr">
        <is>
          <t>Lương:800 - 1.100 USD</t>
        </is>
      </c>
      <c r="F20047" t="inlineStr">
        <is>
          <t>Hà Nội</t>
        </is>
      </c>
      <c r="G20047" t="inlineStr">
        <is>
          <t>6</t>
        </is>
      </c>
      <c r="H20047" t="inlineStr">
        <is>
          <t>23/03/2026</t>
        </is>
      </c>
      <c r="I20047" t="inlineStr">
        <is>
          <t>17/03/2026</t>
        </is>
      </c>
      <c r="J20047" t="inlineStr">
        <is>
          <t>Bán hàng / Kinh doanh, Tiếp thị trực tuyến, Thương mại điện tử</t>
        </is>
      </c>
      <c r="K20047" t="inlineStr">
        <is>
          <t>2 - 5 Năm</t>
        </is>
      </c>
      <c r="L20047" s="8">
        <f>HYPERLINK("https://careerviet.vn/vi/tim-viec-lam/ha-noi-giam-sat-ban-hang-online-key-account-supervisor-e-commerce-fmcg.35C6397F.html","Xem chi tiết")</f>
        <v/>
      </c>
    </row>
    <row r="20048">
      <c r="B20048" s="9" t="n">
        <v>20046</v>
      </c>
      <c r="C20048" s="10" t="inlineStr">
        <is>
          <t>CVCC MARKETING (SENIOR MARKETING SPECIALIST) - NHẬN VIỆC SAU TẾT</t>
        </is>
      </c>
      <c r="D20048" s="10" t="inlineStr">
        <is>
          <t>CÔNG TY CỔ PHẦN CẢNG TÀU KHÁCH QUỐC TẾ TUẦN CHÂU</t>
        </is>
      </c>
      <c r="E20048" s="10" t="inlineStr">
        <is>
          <t>Lương:Cạnh tranh</t>
        </is>
      </c>
      <c r="F20048" s="10" t="inlineStr">
        <is>
          <t>Hà Nội</t>
        </is>
      </c>
      <c r="G20048" s="10" t="inlineStr">
        <is>
          <t>6</t>
        </is>
      </c>
      <c r="H20048" s="10" t="inlineStr">
        <is>
          <t>23/03/2026</t>
        </is>
      </c>
      <c r="I20048" s="10" t="inlineStr">
        <is>
          <t>17/03/2026</t>
        </is>
      </c>
      <c r="J20048" s="10" t="inlineStr">
        <is>
          <t>Du lịch, Quảng cáo / Đối ngoại / Truyền Thông, Truyền hình / Báo chí / Biên tập</t>
        </is>
      </c>
      <c r="K20048" s="10" t="inlineStr">
        <is>
          <t>5 - 7 Năm</t>
        </is>
      </c>
      <c r="L20048" s="11">
        <f>HYPERLINK("https://careerviet.vn/vi/tim-viec-lam/cvcc-marketing-senior-marketing-specialist-nhan-viec-sau-tet.35C638D0.html","Xem chi tiết")</f>
        <v/>
      </c>
      <c r="M20048" s="10" t="n"/>
    </row>
    <row r="20049">
      <c r="B20049" s="7" t="n">
        <v>20047</v>
      </c>
      <c r="C20049" t="inlineStr">
        <is>
          <t>Nhân viên Tư vấn Thẩm mỹ viện -  Biên Hòa</t>
        </is>
      </c>
      <c r="D20049" t="inlineStr">
        <is>
          <t>CÔNG TY TNHH THẨM MỸ QUỐC TẾ LINH ANH</t>
        </is>
      </c>
      <c r="E20049" t="inlineStr">
        <is>
          <t>Lương:20 Tr - 40 Tr VND</t>
        </is>
      </c>
      <c r="F20049" t="inlineStr">
        <is>
          <t>Đồng Nai</t>
        </is>
      </c>
      <c r="G20049" t="inlineStr">
        <is>
          <t>6</t>
        </is>
      </c>
      <c r="H20049" t="inlineStr">
        <is>
          <t>23/03/2026</t>
        </is>
      </c>
      <c r="I20049" t="inlineStr">
        <is>
          <t>17/03/2026</t>
        </is>
      </c>
      <c r="J20049" t="inlineStr">
        <is>
          <t>Tiếp thị / Marketing, Y tế / Chăm sóc sức khỏe / Thẩm mỹ / Làm đẹp, Tư vấn</t>
        </is>
      </c>
      <c r="K20049" t="inlineStr">
        <is>
          <t>1 - 2 Năm</t>
        </is>
      </c>
      <c r="L20049" s="8">
        <f>HYPERLINK("https://careerviet.vn/vi/tim-viec-lam/nhan-vien-tu-van-tham-my-vien-bien-hoa.35C6393B.html","Xem chi tiết")</f>
        <v/>
      </c>
    </row>
    <row r="20050">
      <c r="B20050" s="9" t="n">
        <v>20048</v>
      </c>
      <c r="C20050" s="10" t="inlineStr">
        <is>
          <t>Field sales executive (Đồng Nai)</t>
        </is>
      </c>
      <c r="D20050" s="10" t="inlineStr">
        <is>
          <t>S.F. EXPRESS LTD.</t>
        </is>
      </c>
      <c r="E20050" s="10" t="inlineStr">
        <is>
          <t>Lương:15 Tr - 60 Tr VND</t>
        </is>
      </c>
      <c r="F20050" s="10" t="inlineStr">
        <is>
          <t>Đồng Nai</t>
        </is>
      </c>
      <c r="G20050" s="10" t="inlineStr">
        <is>
          <t>6</t>
        </is>
      </c>
      <c r="H20050" s="10" t="inlineStr">
        <is>
          <t>23/03/2026</t>
        </is>
      </c>
      <c r="I20050" s="10" t="inlineStr">
        <is>
          <t>17/03/2026</t>
        </is>
      </c>
      <c r="J20050" s="10" t="inlineStr">
        <is>
          <t>Bán hàng / Kinh doanh, Vận chuyển / Giao nhận / Kho vận, Xuất nhập khẩu</t>
        </is>
      </c>
      <c r="K20050" s="10" t="inlineStr">
        <is>
          <t>1 - 2 Năm</t>
        </is>
      </c>
      <c r="L20050" s="11">
        <f>HYPERLINK("https://careerviet.vn/vi/tim-viec-lam/field-sales-executive-dong-nai.35C639D3.html","Xem chi tiết")</f>
        <v/>
      </c>
      <c r="M20050" s="10" t="n"/>
    </row>
    <row r="20051">
      <c r="B20051" s="7" t="n">
        <v>20049</v>
      </c>
      <c r="C20051" t="inlineStr">
        <is>
          <t>Chuyên viên kinh doanh</t>
        </is>
      </c>
      <c r="D20051" t="inlineStr">
        <is>
          <t>CÔNG TY CỔ PHẦN GIẢI PHÁP THANH TOÁN VIỆT TÍN</t>
        </is>
      </c>
      <c r="E20051" t="inlineStr">
        <is>
          <t>Lương:Cạnh tranh</t>
        </is>
      </c>
      <c r="F20051" t="inlineStr">
        <is>
          <t>Hồ Chí Minh</t>
        </is>
      </c>
      <c r="G20051" t="inlineStr">
        <is>
          <t>6</t>
        </is>
      </c>
      <c r="H20051" t="inlineStr">
        <is>
          <t>23/03/2026</t>
        </is>
      </c>
      <c r="I20051" t="inlineStr">
        <is>
          <t>17/03/2026</t>
        </is>
      </c>
      <c r="J20051" t="inlineStr">
        <is>
          <t>Bán lẻ / Bán sỉ, Giáo dục / Đào tạo, Nhà hàng / Khách sạn</t>
        </is>
      </c>
      <c r="K20051" t="inlineStr">
        <is>
          <t>Trên 1 Năm</t>
        </is>
      </c>
      <c r="L20051" s="8">
        <f>HYPERLINK("https://careerviet.vn/vi/tim-viec-lam/chuyen-vien-kinh-doanh.35C63A68.html","Xem chi tiết")</f>
        <v/>
      </c>
    </row>
    <row r="20052">
      <c r="B20052" s="9" t="n">
        <v>20050</v>
      </c>
      <c r="C20052" s="10" t="inlineStr">
        <is>
          <t>Nhân viên kỹ thuật (Biết tiếng Hàn quốc)</t>
        </is>
      </c>
      <c r="D20052" s="10" t="inlineStr">
        <is>
          <t>Công ty TNHH Yura Corporation Vina</t>
        </is>
      </c>
      <c r="E20052" s="10" t="inlineStr">
        <is>
          <t>Lương:30 Tr - 35 Tr VND</t>
        </is>
      </c>
      <c r="F20052" s="10" t="inlineStr">
        <is>
          <t>Hưng Yên</t>
        </is>
      </c>
      <c r="G20052" s="10" t="inlineStr">
        <is>
          <t>6</t>
        </is>
      </c>
      <c r="H20052" s="10" t="inlineStr">
        <is>
          <t>23/03/2026</t>
        </is>
      </c>
      <c r="I20052" s="10" t="inlineStr">
        <is>
          <t>17/03/2026</t>
        </is>
      </c>
      <c r="J20052" s="10" t="inlineStr">
        <is>
          <t>Cơ khí / Ô tô / Tự động hóa, Bảo trì / Sửa chữa</t>
        </is>
      </c>
      <c r="K20052" s="10" t="inlineStr">
        <is>
          <t>5 - 10 Năm</t>
        </is>
      </c>
      <c r="L20052" s="11">
        <f>HYPERLINK("https://careerviet.vn/vi/tim-viec-lam/nhan-vien-ky-thuat-biet-tieng-han-quoc.35C639A7.html","Xem chi tiết")</f>
        <v/>
      </c>
      <c r="M20052" s="10" t="n"/>
    </row>
    <row r="20053">
      <c r="B20053" s="7" t="n">
        <v>20051</v>
      </c>
      <c r="C20053" t="inlineStr">
        <is>
          <t>Chuyên Viên Vẽ Minh Họa - Sách Giải Trí (style hài hước)</t>
        </is>
      </c>
      <c r="D20053" t="inlineStr">
        <is>
          <t>Công Ty Cổ Phần TEECOM</t>
        </is>
      </c>
      <c r="E20053" t="inlineStr">
        <is>
          <t>Lương:12 Tr - 20 Tr VND</t>
        </is>
      </c>
      <c r="F20053" t="inlineStr">
        <is>
          <t>Hồ Chí Minh</t>
        </is>
      </c>
      <c r="G20053" t="inlineStr">
        <is>
          <t>6</t>
        </is>
      </c>
      <c r="H20053" t="inlineStr">
        <is>
          <t>23/03/2026</t>
        </is>
      </c>
      <c r="I20053" t="inlineStr">
        <is>
          <t>17/03/2026</t>
        </is>
      </c>
      <c r="J20053" t="inlineStr">
        <is>
          <t>Tiếp thị / Marketing, Tiếp thị trực tuyến, Thương mại điện tử</t>
        </is>
      </c>
      <c r="K20053" t="inlineStr">
        <is>
          <t>3 - 5 Năm</t>
        </is>
      </c>
      <c r="L20053" s="8">
        <f>HYPERLINK("https://careerviet.vn/vi/tim-viec-lam/chuyen-vien-ve-minh-hoa-sach-giai-tri-style-hai-huoc.35C664B4.html","Xem chi tiết")</f>
        <v/>
      </c>
    </row>
    <row r="20054">
      <c r="B20054" s="9" t="n">
        <v>20052</v>
      </c>
      <c r="C20054" s="10" t="inlineStr">
        <is>
          <t>Senior Customer Service Executive</t>
        </is>
      </c>
      <c r="D20054" s="10" t="inlineStr">
        <is>
          <t>Nexgen Packaging Vietnam Ltd</t>
        </is>
      </c>
      <c r="E20054" s="10" t="inlineStr">
        <is>
          <t>Lương:Cạnh tranh</t>
        </is>
      </c>
      <c r="F20054" s="10" t="inlineStr">
        <is>
          <t>Bình Dương</t>
        </is>
      </c>
      <c r="G20054" s="10" t="inlineStr">
        <is>
          <t>6</t>
        </is>
      </c>
      <c r="H20054" s="10" t="inlineStr">
        <is>
          <t>23/03/2026</t>
        </is>
      </c>
      <c r="I20054" s="10" t="inlineStr">
        <is>
          <t>17/03/2026</t>
        </is>
      </c>
      <c r="J20054" s="10" t="inlineStr">
        <is>
          <t>Dịch vụ khách hàng, Dệt may / Da giày / Thời trang, In ấn / Xuất bản</t>
        </is>
      </c>
      <c r="K20054" s="10" t="inlineStr">
        <is>
          <t>1 - 3 Năm</t>
        </is>
      </c>
      <c r="L20054" s="11">
        <f>HYPERLINK("https://careerviet.vn/vi/tim-viec-lam/senior-customer-service-executive.35C6649F.html","Xem chi tiết")</f>
        <v/>
      </c>
      <c r="M20054" s="10" t="n"/>
    </row>
    <row r="20055">
      <c r="B20055" s="7" t="n">
        <v>20053</v>
      </c>
      <c r="C20055" t="inlineStr">
        <is>
          <t>[Cần Thơ] Chuyên viên thử nghiệm lâm sàng</t>
        </is>
      </c>
      <c r="D20055" t="inlineStr">
        <is>
          <t>The University of Sydney Vietnam Institute</t>
        </is>
      </c>
      <c r="E20055" t="inlineStr">
        <is>
          <t>Lương:Cạnh tranh</t>
        </is>
      </c>
      <c r="F20055" t="inlineStr">
        <is>
          <t>Cần Thơ</t>
        </is>
      </c>
      <c r="G20055" t="inlineStr">
        <is>
          <t>6</t>
        </is>
      </c>
      <c r="H20055" t="inlineStr">
        <is>
          <t>23/03/2026</t>
        </is>
      </c>
      <c r="I20055" t="inlineStr">
        <is>
          <t>17/03/2026</t>
        </is>
      </c>
      <c r="J20055" t="inlineStr">
        <is>
          <t>Y tế / Chăm sóc sức khỏe / Thẩm mỹ / Làm đẹp</t>
        </is>
      </c>
      <c r="K20055" t="inlineStr">
        <is>
          <t>1 - 3 Năm</t>
        </is>
      </c>
      <c r="L20055" s="8">
        <f>HYPERLINK("https://careerviet.vn/vi/tim-viec-lam/can-tho-chuyen-vien-thu-nghiem-lam-sang.35C66573.html","Xem chi tiết")</f>
        <v/>
      </c>
    </row>
    <row r="20056">
      <c r="B20056" s="9" t="n">
        <v>20054</v>
      </c>
      <c r="C20056" s="10" t="inlineStr">
        <is>
          <t>Giám đốc Phòng Quan hệ Khách hàng cá nhân - KV Hà Nội</t>
        </is>
      </c>
      <c r="D20056" s="10" t="inlineStr">
        <is>
          <t>BVBank - Ngân hàng Bản Việt</t>
        </is>
      </c>
      <c r="E20056" s="10" t="inlineStr">
        <is>
          <t>Lương:Cạnh tranh</t>
        </is>
      </c>
      <c r="F20056" s="10" t="inlineStr">
        <is>
          <t>Hà Nội</t>
        </is>
      </c>
      <c r="G20056" s="10" t="inlineStr">
        <is>
          <t>6</t>
        </is>
      </c>
      <c r="H20056" s="10" t="inlineStr">
        <is>
          <t>23/03/2026</t>
        </is>
      </c>
      <c r="I20056" s="10" t="inlineStr">
        <is>
          <t>17/03/2026</t>
        </is>
      </c>
      <c r="J20056" s="10" t="inlineStr">
        <is>
          <t>Ngân hàng, Tài chính / Đầu tư, Bán hàng / Kinh doanh</t>
        </is>
      </c>
      <c r="K20056" s="10" t="inlineStr">
        <is>
          <t>3 - 4 Năm</t>
        </is>
      </c>
      <c r="L20056" s="11">
        <f>HYPERLINK("https://careerviet.vn/vi/tim-viec-lam/giam-doc-phong-quan-he-khach-hang-ca-nhan-kv-ha-noi.35C643F6.html","Xem chi tiết")</f>
        <v/>
      </c>
      <c r="M20056" s="10" t="n"/>
    </row>
    <row r="20057">
      <c r="B20057" s="7" t="n">
        <v>20055</v>
      </c>
      <c r="C20057" t="inlineStr">
        <is>
          <t>Nhân viên chất lượng</t>
        </is>
      </c>
      <c r="D20057" t="inlineStr">
        <is>
          <t>Công ty TNHH Yura Corporation Vina</t>
        </is>
      </c>
      <c r="E20057" t="inlineStr">
        <is>
          <t>Lương:Cạnh tranh</t>
        </is>
      </c>
      <c r="F20057" t="inlineStr">
        <is>
          <t>Hưng Yên</t>
        </is>
      </c>
      <c r="G20057" t="inlineStr">
        <is>
          <t>6</t>
        </is>
      </c>
      <c r="H20057" t="inlineStr">
        <is>
          <t>23/03/2026</t>
        </is>
      </c>
      <c r="I20057" t="inlineStr">
        <is>
          <t>17/03/2026</t>
        </is>
      </c>
      <c r="J20057" t="inlineStr">
        <is>
          <t>Quản lý chất lượng (QA/QC)</t>
        </is>
      </c>
      <c r="K20057" t="inlineStr">
        <is>
          <t>3 - 5 Năm</t>
        </is>
      </c>
      <c r="L20057" s="8">
        <f>HYPERLINK("https://careerviet.vn/vi/tim-viec-lam/nhan-vien-chat-luong.35C639A9.html","Xem chi tiết")</f>
        <v/>
      </c>
    </row>
    <row r="20058">
      <c r="B20058" s="9" t="n">
        <v>20056</v>
      </c>
      <c r="C20058" s="10" t="inlineStr">
        <is>
          <t>Nhân Viên Tư Vấn Sản Phẩm tại Nguyễn Kim Kiên Giang</t>
        </is>
      </c>
      <c r="D20058" s="10" t="inlineStr">
        <is>
          <t>Tập Đoàn Karofi Holding</t>
        </is>
      </c>
      <c r="E20058" s="10" t="inlineStr">
        <is>
          <t>Lương:8 Tr - 15 Tr VND</t>
        </is>
      </c>
      <c r="F20058" s="10" t="inlineStr">
        <is>
          <t>Kiên Giang</t>
        </is>
      </c>
      <c r="G20058" s="10" t="inlineStr">
        <is>
          <t>6</t>
        </is>
      </c>
      <c r="H20058" s="10" t="inlineStr">
        <is>
          <t>23/03/2026</t>
        </is>
      </c>
      <c r="I20058" s="10" t="inlineStr">
        <is>
          <t>17/03/2026</t>
        </is>
      </c>
      <c r="J20058" s="10" t="inlineStr">
        <is>
          <t>Bán lẻ / Bán sỉ, Bán hàng / Kinh doanh, Dịch vụ khách hàng</t>
        </is>
      </c>
      <c r="K20058" s="10" t="inlineStr">
        <is>
          <t>Lên đến 1 Năm</t>
        </is>
      </c>
      <c r="L20058" s="11">
        <f>HYPERLINK("https://careerviet.vn/vi/tim-viec-lam/nhan-vien-tu-van-san-pham-tai-nguyen-kim-kien-giang.35C639FB.html","Xem chi tiết")</f>
        <v/>
      </c>
      <c r="M20058" s="10" t="n"/>
    </row>
    <row r="20059">
      <c r="B20059" s="7" t="n">
        <v>20057</v>
      </c>
      <c r="C20059" t="inlineStr">
        <is>
          <t>Nhân Viên Telesales</t>
        </is>
      </c>
      <c r="D20059" t="inlineStr">
        <is>
          <t>CÔNG TY CỔ PHẦN THƯƠNG MẠI ĐIỆN MÁY HOA NAM</t>
        </is>
      </c>
      <c r="E20059" t="inlineStr">
        <is>
          <t>Lương:Trên 13 Tr VND</t>
        </is>
      </c>
      <c r="F20059" t="inlineStr">
        <is>
          <t>Hà Nội</t>
        </is>
      </c>
      <c r="G20059" t="inlineStr">
        <is>
          <t>6</t>
        </is>
      </c>
      <c r="H20059" t="inlineStr">
        <is>
          <t>23/03/2026</t>
        </is>
      </c>
      <c r="I20059" t="inlineStr">
        <is>
          <t>17/03/2026</t>
        </is>
      </c>
      <c r="J20059" t="inlineStr">
        <is>
          <t>Điện / Điện tử / Điện lạnh / Điện công nghiệp, Dịch vụ khách hàng, Bán hàng / Kinh doanh</t>
        </is>
      </c>
      <c r="K20059" t="inlineStr">
        <is>
          <t>Trên 2 Năm</t>
        </is>
      </c>
      <c r="L20059" s="8">
        <f>HYPERLINK("https://careerviet.vn/vi/tim-viec-lam/nhan-vien-telesales.35C6660A.html","Xem chi tiết")</f>
        <v/>
      </c>
    </row>
    <row r="20060">
      <c r="B20060" s="9" t="n">
        <v>20058</v>
      </c>
      <c r="C20060" s="10" t="inlineStr">
        <is>
          <t>Nhân Viên Xuất Nhập Khẩu</t>
        </is>
      </c>
      <c r="D20060" s="10" t="inlineStr">
        <is>
          <t>PPCO</t>
        </is>
      </c>
      <c r="E20060" s="10" t="inlineStr">
        <is>
          <t>Lương:Cạnh tranh</t>
        </is>
      </c>
      <c r="F20060" s="10" t="inlineStr">
        <is>
          <t>Hồ Chí Minh</t>
        </is>
      </c>
      <c r="G20060" s="10" t="inlineStr">
        <is>
          <t>6</t>
        </is>
      </c>
      <c r="H20060" s="10" t="inlineStr">
        <is>
          <t>23/03/2026</t>
        </is>
      </c>
      <c r="I20060" s="10" t="inlineStr">
        <is>
          <t>17/03/2026</t>
        </is>
      </c>
      <c r="J20060" s="10" t="inlineStr">
        <is>
          <t>Vận chuyển / Giao nhận / Kho vận, Hành chính / Thư ký, Xuất nhập khẩu</t>
        </is>
      </c>
      <c r="K20060" s="10" t="inlineStr">
        <is>
          <t>Trên 2 Năm</t>
        </is>
      </c>
      <c r="L20060" s="11">
        <f>HYPERLINK("https://careerviet.vn/vi/tim-viec-lam/nhan-vien-xuat-nhap-khau.35C665C3.html","Xem chi tiết")</f>
        <v/>
      </c>
      <c r="M20060" s="10" t="n"/>
    </row>
    <row r="20061">
      <c r="B20061" s="7" t="n">
        <v>20059</v>
      </c>
      <c r="C20061" t="inlineStr">
        <is>
          <t>GIÁM SÁT CÔNG TRÌNH</t>
        </is>
      </c>
      <c r="D20061" t="inlineStr">
        <is>
          <t>CÔNG TY CỔ PHẦN RIVIERA</t>
        </is>
      </c>
      <c r="E20061" t="inlineStr">
        <is>
          <t>Lương:700 - 1.200 USD</t>
        </is>
      </c>
      <c r="F20061" t="inlineStr">
        <is>
          <t>Hồ Chí Minh</t>
        </is>
      </c>
      <c r="G20061" t="inlineStr">
        <is>
          <t>6</t>
        </is>
      </c>
      <c r="H20061" t="inlineStr">
        <is>
          <t>23/03/2026</t>
        </is>
      </c>
      <c r="I20061" t="inlineStr">
        <is>
          <t>17/03/2026</t>
        </is>
      </c>
      <c r="J20061" t="inlineStr">
        <is>
          <t>Dịch vụ khách hàng, Bảo trì / Sửa chữa, Bất động sản</t>
        </is>
      </c>
      <c r="K20061" t="inlineStr">
        <is>
          <t>2 - 3 Năm</t>
        </is>
      </c>
      <c r="L20061" s="8">
        <f>HYPERLINK("https://careerviet.vn/vi/tim-viec-lam/giam-sat-cong-trinh.35C638DB.html","Xem chi tiết")</f>
        <v/>
      </c>
    </row>
    <row r="20062">
      <c r="B20062" s="9" t="n">
        <v>20060</v>
      </c>
      <c r="C20062" s="10" t="inlineStr">
        <is>
          <t>TRƯỞNG PHÒNG THƯƠNG MẠI (Sales Admin &amp; Purchasing)</t>
        </is>
      </c>
      <c r="D20062" s="10" t="inlineStr">
        <is>
          <t>Công ty Cổ phần Inmatech</t>
        </is>
      </c>
      <c r="E20062" s="10" t="inlineStr">
        <is>
          <t>Lương:20 Tr - 40 Tr VND</t>
        </is>
      </c>
      <c r="F20062" s="10" t="inlineStr">
        <is>
          <t>Hồ Chí MinhHải PhòngHà Nội</t>
        </is>
      </c>
      <c r="G20062" s="10" t="inlineStr">
        <is>
          <t>6</t>
        </is>
      </c>
      <c r="H20062" s="10" t="inlineStr">
        <is>
          <t>23/03/2026</t>
        </is>
      </c>
      <c r="I20062" s="10" t="inlineStr">
        <is>
          <t>17/03/2026</t>
        </is>
      </c>
      <c r="J20062" s="10" t="inlineStr">
        <is>
          <t>Bán hàng / Kinh doanh, Thu mua / Vật tư, Xuất nhập khẩu</t>
        </is>
      </c>
      <c r="K20062" s="10" t="inlineStr">
        <is>
          <t>3 - 5 Năm</t>
        </is>
      </c>
      <c r="L20062" s="11">
        <f>HYPERLINK("https://careerviet.vn/vi/tim-viec-lam/truong-phong-thuong-mai-sales-admin-purchasing.35C6660E.html","Xem chi tiết")</f>
        <v/>
      </c>
      <c r="M20062" s="10" t="n"/>
    </row>
    <row r="20063">
      <c r="B20063" s="7" t="n">
        <v>20061</v>
      </c>
      <c r="C20063" t="inlineStr">
        <is>
          <t>Chuyên viên pháp chế</t>
        </is>
      </c>
      <c r="D20063" t="inlineStr">
        <is>
          <t>Quickpack Vietnam Limited</t>
        </is>
      </c>
      <c r="E20063" t="inlineStr">
        <is>
          <t>Lương:20 Tr - 25 Tr VND</t>
        </is>
      </c>
      <c r="F20063" t="inlineStr">
        <is>
          <t>Long An</t>
        </is>
      </c>
      <c r="G20063" t="inlineStr">
        <is>
          <t>6</t>
        </is>
      </c>
      <c r="H20063" t="inlineStr">
        <is>
          <t>23/03/2026</t>
        </is>
      </c>
      <c r="I20063" t="inlineStr">
        <is>
          <t>17/03/2026</t>
        </is>
      </c>
      <c r="J20063" t="inlineStr">
        <is>
          <t>Sản xuất / Vận hành sản xuất, Hành chính / Thư ký, Luật / Pháp lý</t>
        </is>
      </c>
      <c r="K20063" t="inlineStr">
        <is>
          <t>2 - 3 Năm</t>
        </is>
      </c>
      <c r="L20063" s="8">
        <f>HYPERLINK("https://careerviet.vn/vi/tim-viec-lam/chuyen-vien-phap-che.35C63AC7.html","Xem chi tiết")</f>
        <v/>
      </c>
    </row>
    <row r="20064">
      <c r="B20064" s="9" t="n">
        <v>20062</v>
      </c>
      <c r="C20064" s="10" t="inlineStr">
        <is>
          <t>Chuyên viên thiết kế đồ hoạ</t>
        </is>
      </c>
      <c r="D20064" s="10" t="inlineStr">
        <is>
          <t>D1 Concepts Corporation</t>
        </is>
      </c>
      <c r="E20064" s="10" t="inlineStr">
        <is>
          <t>Lương:10 Tr - 15 Tr VND</t>
        </is>
      </c>
      <c r="F20064" s="10" t="inlineStr">
        <is>
          <t>Hồ Chí Minh</t>
        </is>
      </c>
      <c r="G20064" s="10" t="inlineStr">
        <is>
          <t>6</t>
        </is>
      </c>
      <c r="H20064" s="10" t="inlineStr">
        <is>
          <t>23/03/2026</t>
        </is>
      </c>
      <c r="I20064" s="10" t="inlineStr">
        <is>
          <t>17/03/2026</t>
        </is>
      </c>
      <c r="J20064" s="10" t="inlineStr">
        <is>
          <t>Thực phẩm &amp; Đồ uống</t>
        </is>
      </c>
      <c r="K20064" s="10" t="inlineStr">
        <is>
          <t>1 - 2 Năm</t>
        </is>
      </c>
      <c r="L20064" s="11">
        <f>HYPERLINK("https://careerviet.vn/vi/tim-viec-lam/chuyen-vien-thiet-ke-do-hoa.35C6398B.html","Xem chi tiết")</f>
        <v/>
      </c>
      <c r="M20064" s="10" t="n"/>
    </row>
    <row r="20065">
      <c r="B20065" s="7" t="n">
        <v>20063</v>
      </c>
      <c r="C20065" t="inlineStr">
        <is>
          <t>Operation Staff (Air Freight)</t>
        </is>
      </c>
      <c r="D20065" t="inlineStr">
        <is>
          <t>HR Vietnam’s ESS Client</t>
        </is>
      </c>
      <c r="E20065" t="inlineStr">
        <is>
          <t>Lương:12 Tr - 22 Tr VND</t>
        </is>
      </c>
      <c r="F20065" t="inlineStr">
        <is>
          <t>Hồ Chí Minh</t>
        </is>
      </c>
      <c r="G20065" t="inlineStr">
        <is>
          <t>6</t>
        </is>
      </c>
      <c r="H20065" t="inlineStr">
        <is>
          <t>23/03/2026</t>
        </is>
      </c>
      <c r="I20065" t="inlineStr">
        <is>
          <t>17/03/2026</t>
        </is>
      </c>
      <c r="J20065" t="inlineStr">
        <is>
          <t>Vận chuyển / Giao nhận / Kho vận</t>
        </is>
      </c>
      <c r="K20065" t="inlineStr">
        <is>
          <t>2 - 5 Năm</t>
        </is>
      </c>
      <c r="L20065" s="8">
        <f>HYPERLINK("https://careerviet.vn/vi/tim-viec-lam/operation-staff-air-freight.35C6655E.html","Xem chi tiết")</f>
        <v/>
      </c>
    </row>
    <row r="20066">
      <c r="B20066" s="9" t="n">
        <v>20064</v>
      </c>
      <c r="C20066" s="10" t="inlineStr">
        <is>
          <t>E-Commerce Planning</t>
        </is>
      </c>
      <c r="D20066" s="10" t="inlineStr">
        <is>
          <t>CÔNG TY TNHH MTV THƯƠNG MẠI DỊCH VỤ BLUE OCEAN- THẾ GIỚI SKINFOOD</t>
        </is>
      </c>
      <c r="E20066" s="10" t="inlineStr">
        <is>
          <t>Lương:Cạnh tranh</t>
        </is>
      </c>
      <c r="F20066" s="10" t="inlineStr">
        <is>
          <t>Hồ Chí Minh</t>
        </is>
      </c>
      <c r="G20066" s="10" t="inlineStr">
        <is>
          <t>6</t>
        </is>
      </c>
      <c r="H20066" s="10" t="inlineStr">
        <is>
          <t>23/03/2026</t>
        </is>
      </c>
      <c r="I20066" s="10" t="inlineStr">
        <is>
          <t>17/03/2026</t>
        </is>
      </c>
      <c r="J20066" s="10" t="inlineStr">
        <is>
          <t>Bán lẻ / Bán sỉ, Tiếp thị trực tuyến, Thương mại điện tử</t>
        </is>
      </c>
      <c r="K20066" s="10" t="inlineStr">
        <is>
          <t>2 - 5 Năm</t>
        </is>
      </c>
      <c r="L20066" s="11">
        <f>HYPERLINK("https://careerviet.vn/vi/tim-viec-lam/e-commerce-planning.35C638FC.html","Xem chi tiết")</f>
        <v/>
      </c>
      <c r="M20066" s="10" t="n"/>
    </row>
    <row r="20067">
      <c r="B20067" s="7" t="n">
        <v>20065</v>
      </c>
      <c r="C20067" t="inlineStr">
        <is>
          <t>ĐI LÀM SAU TẾT - Nhân viên kinh doanh Đắk Nông (13-20 tr)</t>
        </is>
      </c>
      <c r="D20067" t="inlineStr">
        <is>
          <t>CÔNG TY CỔ PHẦN TẬP ĐOÀN DEKKO</t>
        </is>
      </c>
      <c r="E20067" t="inlineStr">
        <is>
          <t>Lương:13 Tr - 30 Tr VND</t>
        </is>
      </c>
      <c r="F20067" t="inlineStr">
        <is>
          <t>Dak Nông</t>
        </is>
      </c>
      <c r="G20067" t="inlineStr">
        <is>
          <t>6</t>
        </is>
      </c>
      <c r="H20067" t="inlineStr">
        <is>
          <t>23/03/2026</t>
        </is>
      </c>
      <c r="I20067" t="inlineStr">
        <is>
          <t>17/03/2026</t>
        </is>
      </c>
      <c r="J20067" t="inlineStr">
        <is>
          <t>Bán hàng / Kinh doanh</t>
        </is>
      </c>
      <c r="K20067" t="inlineStr">
        <is>
          <t>N/A</t>
        </is>
      </c>
      <c r="L20067" s="8">
        <f>HYPERLINK("https://careerviet.vn/vi/tim-viec-lam/di-lam-sau-tet-nhan-vien-kinh-doanh-dak-nong-13-20-tr.35C66515.html","Xem chi tiết")</f>
        <v/>
      </c>
    </row>
    <row r="20068">
      <c r="B20068" s="9" t="n">
        <v>20066</v>
      </c>
      <c r="C20068" s="10" t="inlineStr">
        <is>
          <t>[Đồng Nai] Dealer Development Staff - Chuyên viên Kế hoạch &amp; Chiến lược</t>
        </is>
      </c>
      <c r="D20068" s="10" t="inlineStr">
        <is>
          <t>Công Ty TNHH Sunjin Vina</t>
        </is>
      </c>
      <c r="E20068" s="10" t="inlineStr">
        <is>
          <t>Lương:Cạnh tranh</t>
        </is>
      </c>
      <c r="F20068" s="10" t="inlineStr">
        <is>
          <t>Đồng Nai</t>
        </is>
      </c>
      <c r="G20068" s="10" t="inlineStr">
        <is>
          <t>6</t>
        </is>
      </c>
      <c r="H20068" s="10" t="inlineStr">
        <is>
          <t>23/03/2026</t>
        </is>
      </c>
      <c r="I20068" s="10" t="inlineStr">
        <is>
          <t>17/03/2026</t>
        </is>
      </c>
      <c r="J20068" s="10" t="inlineStr">
        <is>
          <t>Tiếp thị / Marketing, Tiếp thị trực tuyến</t>
        </is>
      </c>
      <c r="K20068" s="10" t="inlineStr">
        <is>
          <t>N/A</t>
        </is>
      </c>
      <c r="L20068" s="11">
        <f>HYPERLINK("https://careerviet.vn/vi/tim-viec-lam/dong-nai-dealer-development-staff-chuyen-vien-ke-hoach-chien-luoc.35C663F6.html","Xem chi tiết")</f>
        <v/>
      </c>
      <c r="M20068" s="10" t="n"/>
    </row>
    <row r="20069">
      <c r="B20069" s="7" t="n">
        <v>20067</v>
      </c>
      <c r="C20069" t="inlineStr">
        <is>
          <t>Kỹ Sư Thi Công Công Trình Hạ Tầng Kỹ Thuật</t>
        </is>
      </c>
      <c r="D20069" t="inlineStr">
        <is>
          <t>CÔNG TY CỔ PHẦN KỸ THUẬT XÂY DỰNG AN TÍN</t>
        </is>
      </c>
      <c r="E20069" t="inlineStr">
        <is>
          <t>Lương:15 Tr - 22 Tr VND</t>
        </is>
      </c>
      <c r="F20069" t="inlineStr">
        <is>
          <t>Nghệ An</t>
        </is>
      </c>
      <c r="G20069" t="inlineStr">
        <is>
          <t>6</t>
        </is>
      </c>
      <c r="H20069" t="inlineStr">
        <is>
          <t>22/03/2026</t>
        </is>
      </c>
      <c r="I20069" t="inlineStr">
        <is>
          <t>17/03/2026</t>
        </is>
      </c>
      <c r="J20069" t="inlineStr">
        <is>
          <t>Xây dựng</t>
        </is>
      </c>
      <c r="K20069" t="inlineStr">
        <is>
          <t>0 - 0 Năm</t>
        </is>
      </c>
      <c r="L20069" s="8">
        <f>HYPERLINK("https://careerviet.vn/vi/tim-viec-lam/ky-su-thi-cong-cong-trinh-ha-tang-ky-thuat.35C63A95.html","Xem chi tiết")</f>
        <v/>
      </c>
    </row>
    <row r="20070">
      <c r="B20070" s="9" t="n">
        <v>20068</v>
      </c>
      <c r="C20070" s="10" t="inlineStr">
        <is>
          <t>Thư ký Chủ tịch</t>
        </is>
      </c>
      <c r="D20070" s="10" t="inlineStr">
        <is>
          <t>TỔNG CÔNG TY CỔ PHẦN THƯƠNG MẠI XÂY DỰNG</t>
        </is>
      </c>
      <c r="E20070" s="10" t="inlineStr">
        <is>
          <t>Lương:Cạnh tranh</t>
        </is>
      </c>
      <c r="F20070" s="10" t="inlineStr">
        <is>
          <t>Hà Nội</t>
        </is>
      </c>
      <c r="G20070" s="10" t="inlineStr">
        <is>
          <t>6</t>
        </is>
      </c>
      <c r="H20070" s="10" t="inlineStr">
        <is>
          <t>23/03/2026</t>
        </is>
      </c>
      <c r="I20070" s="10" t="inlineStr">
        <is>
          <t>17/03/2026</t>
        </is>
      </c>
      <c r="J20070" s="10" t="inlineStr">
        <is>
          <t>Hành chính / Thư ký, Biên phiên dịch</t>
        </is>
      </c>
      <c r="K20070" s="10" t="inlineStr">
        <is>
          <t>Trên 3 Năm</t>
        </is>
      </c>
      <c r="L20070" s="11">
        <f>HYPERLINK("https://careerviet.vn/vi/tim-viec-lam/thu-ky-chu-tich.35C665F0.html","Xem chi tiết")</f>
        <v/>
      </c>
      <c r="M20070" s="10" t="n"/>
    </row>
    <row r="20071">
      <c r="B20071" s="7" t="n">
        <v>20069</v>
      </c>
      <c r="C20071" t="inlineStr">
        <is>
          <t>Cán bộ kỹ thuật thi công công trình</t>
        </is>
      </c>
      <c r="D20071" t="inlineStr">
        <is>
          <t>Công ty Cổ phần Tây An</t>
        </is>
      </c>
      <c r="E20071" t="inlineStr">
        <is>
          <t>Lương:20 Tr - 25 Tr VND</t>
        </is>
      </c>
      <c r="F20071" t="inlineStr">
        <is>
          <t>Nghệ An</t>
        </is>
      </c>
      <c r="G20071" t="inlineStr">
        <is>
          <t>6</t>
        </is>
      </c>
      <c r="H20071" t="inlineStr">
        <is>
          <t>23/03/2026</t>
        </is>
      </c>
      <c r="I20071" t="inlineStr">
        <is>
          <t>17/03/2026</t>
        </is>
      </c>
      <c r="J20071" t="inlineStr">
        <is>
          <t>Xây dựng, Bất động sản, Kiến trúc</t>
        </is>
      </c>
      <c r="K20071" t="inlineStr">
        <is>
          <t>1 - 2 Năm</t>
        </is>
      </c>
      <c r="L20071" s="8">
        <f>HYPERLINK("https://careerviet.vn/vi/tim-viec-lam/can-bo-ky-thuat-thi-cong-cong-trinh.35C664E9.html","Xem chi tiết")</f>
        <v/>
      </c>
    </row>
    <row r="20072">
      <c r="B20072" s="9" t="n">
        <v>20070</v>
      </c>
      <c r="C20072" s="10" t="inlineStr">
        <is>
          <t>Nhân Viên Tư Vấn Sản Phẩm PG PB Điện Máy Xanh tại TX Hương Thủy, Thừa Thiên Huế</t>
        </is>
      </c>
      <c r="D20072" s="10" t="inlineStr">
        <is>
          <t>Tập Đoàn Karofi Holding</t>
        </is>
      </c>
      <c r="E20072" s="10" t="inlineStr">
        <is>
          <t>Lương:8 Tr - 15 Tr VND</t>
        </is>
      </c>
      <c r="F20072" s="10" t="inlineStr">
        <is>
          <t>Thừa Thiên- Huế</t>
        </is>
      </c>
      <c r="G20072" s="10" t="inlineStr">
        <is>
          <t>6</t>
        </is>
      </c>
      <c r="H20072" s="10" t="inlineStr">
        <is>
          <t>23/03/2026</t>
        </is>
      </c>
      <c r="I20072" s="10" t="inlineStr">
        <is>
          <t>17/03/2026</t>
        </is>
      </c>
      <c r="J20072" s="10" t="inlineStr">
        <is>
          <t>Bán hàng / Kinh doanh, Hàng gia dụng / Chăm sóc cá nhân, Điện / Điện tử / Điện lạnh / Điện công nghiệp</t>
        </is>
      </c>
      <c r="K20072" s="10" t="inlineStr">
        <is>
          <t>1 - 2 Năm</t>
        </is>
      </c>
      <c r="L20072" s="11">
        <f>HYPERLINK("https://careerviet.vn/vi/tim-viec-lam/nhan-vien-tu-van-san-pham-pg-pb-dien-may-xanh-tai-tx-huong-thuy-thua-thien-hue.35C639A0.html","Xem chi tiết")</f>
        <v/>
      </c>
      <c r="M20072" s="10" t="n"/>
    </row>
    <row r="20073">
      <c r="B20073" s="7" t="n">
        <v>20071</v>
      </c>
      <c r="C20073" t="inlineStr">
        <is>
          <t>Manufacturing Excellence Excecutive (Denim Production Focus)</t>
        </is>
      </c>
      <c r="D20073" t="inlineStr">
        <is>
          <t>CÔNG TY TNHH EVOLUTION ENTERPRISES</t>
        </is>
      </c>
      <c r="E20073" t="inlineStr">
        <is>
          <t>Lương:Cạnh tranh</t>
        </is>
      </c>
      <c r="F20073" t="inlineStr">
        <is>
          <t>Hồ Chí Minh</t>
        </is>
      </c>
      <c r="G20073" t="inlineStr">
        <is>
          <t>6</t>
        </is>
      </c>
      <c r="H20073" t="inlineStr">
        <is>
          <t>23/03/2026</t>
        </is>
      </c>
      <c r="I20073" t="inlineStr">
        <is>
          <t>17/03/2026</t>
        </is>
      </c>
      <c r="J20073" t="inlineStr">
        <is>
          <t>Dệt may / Da giày / Thời trang</t>
        </is>
      </c>
      <c r="K20073" t="inlineStr">
        <is>
          <t>1 - 3 Năm</t>
        </is>
      </c>
      <c r="L20073" s="8">
        <f>HYPERLINK("https://careerviet.vn/vi/tim-viec-lam/manufacturing-excellence-excecutive-denim-production-focus.35C638C4.html","Xem chi tiết")</f>
        <v/>
      </c>
    </row>
    <row r="20074">
      <c r="B20074" s="9" t="n">
        <v>20072</v>
      </c>
      <c r="C20074" s="10" t="inlineStr">
        <is>
          <t>Bác sĩ phụ trách chuyên môn Phòng khám Nội thần kinh</t>
        </is>
      </c>
      <c r="D20074" s="10" t="inlineStr">
        <is>
          <t>Medigo Software</t>
        </is>
      </c>
      <c r="E20074" s="10" t="inlineStr">
        <is>
          <t>Lương:15 Tr - 40 Tr VND</t>
        </is>
      </c>
      <c r="F20074" s="10" t="inlineStr">
        <is>
          <t>Hồ Chí Minh</t>
        </is>
      </c>
      <c r="G20074" s="10" t="inlineStr">
        <is>
          <t>6</t>
        </is>
      </c>
      <c r="H20074" s="10" t="inlineStr">
        <is>
          <t>23/03/2026</t>
        </is>
      </c>
      <c r="I20074" s="10" t="inlineStr">
        <is>
          <t>17/03/2026</t>
        </is>
      </c>
      <c r="J20074" s="10" t="inlineStr">
        <is>
          <t>Dược phẩm/ Hóa Mỹ Phẩm, Y tế / Chăm sóc sức khỏe / Thẩm mỹ / Làm đẹp</t>
        </is>
      </c>
      <c r="K20074" s="10" t="inlineStr">
        <is>
          <t>3 - 30 Năm</t>
        </is>
      </c>
      <c r="L20074" s="11">
        <f>HYPERLINK("https://careerviet.vn/vi/tim-viec-lam/bac-si-phu-trach-chuyen-mon-phong-kham-noi-than-kinh.35C664D4.html","Xem chi tiết")</f>
        <v/>
      </c>
      <c r="M20074" s="10" t="n"/>
    </row>
    <row r="20075">
      <c r="B20075" s="7" t="n">
        <v>20073</v>
      </c>
      <c r="C20075" t="inlineStr">
        <is>
          <t>NHÂN VIÊN KHO DƯỢC HỖ TRỢ CỤM LÂM ĐỒNG</t>
        </is>
      </c>
      <c r="D20075" t="inlineStr">
        <is>
          <t>Công Ty Cổ Phần Vacxin Việt Nam</t>
        </is>
      </c>
      <c r="E20075" t="inlineStr">
        <is>
          <t>Lương:7 Tr - 9 Tr VND</t>
        </is>
      </c>
      <c r="F20075" t="inlineStr">
        <is>
          <t>Lâm Đồng</t>
        </is>
      </c>
      <c r="G20075" t="inlineStr">
        <is>
          <t>6</t>
        </is>
      </c>
      <c r="H20075" t="inlineStr">
        <is>
          <t>23/03/2026</t>
        </is>
      </c>
      <c r="I20075" t="inlineStr">
        <is>
          <t>17/03/2026</t>
        </is>
      </c>
      <c r="J20075" t="inlineStr">
        <is>
          <t>Dược phẩm/ Hóa Mỹ Phẩm, Y tế / Chăm sóc sức khỏe / Thẩm mỹ / Làm đẹp, Vận chuyển / Giao nhận / Kho vận</t>
        </is>
      </c>
      <c r="K20075" t="inlineStr">
        <is>
          <t>N/A</t>
        </is>
      </c>
      <c r="L20075" s="8">
        <f>HYPERLINK("https://careerviet.vn/vi/tim-viec-lam/nhan-vien-kho-duoc-ho-tro-cum-lam-dong.35C63969.html","Xem chi tiết")</f>
        <v/>
      </c>
    </row>
    <row r="20076">
      <c r="B20076" s="9" t="n">
        <v>20074</v>
      </c>
      <c r="C20076" s="10" t="inlineStr">
        <is>
          <t>Kỹ sư dự toán</t>
        </is>
      </c>
      <c r="D20076" s="10" t="inlineStr">
        <is>
          <t>CÔNG TY TNHH TƯ VẤN VÀ CÔNG NGHỆ XÂY DỰNG HOÀNG PHÁT</t>
        </is>
      </c>
      <c r="E20076" s="10" t="inlineStr">
        <is>
          <t>Lương:15 Tr - 25 Tr VND</t>
        </is>
      </c>
      <c r="F20076" s="10" t="inlineStr">
        <is>
          <t>Hà Nội</t>
        </is>
      </c>
      <c r="G20076" s="10" t="inlineStr">
        <is>
          <t>6</t>
        </is>
      </c>
      <c r="H20076" s="10" t="inlineStr">
        <is>
          <t>23/03/2026</t>
        </is>
      </c>
      <c r="I20076" s="10" t="inlineStr">
        <is>
          <t>17/03/2026</t>
        </is>
      </c>
      <c r="J20076" s="10" t="inlineStr">
        <is>
          <t>Tài chính / Đầu tư, Kiến trúc, Xây dựng</t>
        </is>
      </c>
      <c r="K20076" s="10" t="inlineStr">
        <is>
          <t>Lên đến 3 Năm</t>
        </is>
      </c>
      <c r="L20076" s="11">
        <f>HYPERLINK("https://careerviet.vn/vi/tim-viec-lam/ky-su-du-toan.35C63A61.html","Xem chi tiết")</f>
        <v/>
      </c>
      <c r="M20076" s="10" t="n"/>
    </row>
    <row r="20077">
      <c r="B20077" s="7" t="n">
        <v>20075</v>
      </c>
      <c r="C20077" t="inlineStr">
        <is>
          <t>Chuyên Viên Quan Hệ Khách Hàng - [BAC A BANK - Chi nhánh Bắc Ninh/Lạng Sơn/Thanh Hoá]</t>
        </is>
      </c>
      <c r="D20077" t="inlineStr">
        <is>
          <t>Ngân Hàng Thương mại cổ phần Bắc Á- BAC A BANK</t>
        </is>
      </c>
      <c r="E20077" t="inlineStr">
        <is>
          <t>Lương:Cạnh tranh</t>
        </is>
      </c>
      <c r="F20077" t="inlineStr">
        <is>
          <t>Bắc NinhThanh HóaLạng Sơn</t>
        </is>
      </c>
      <c r="G20077" t="inlineStr">
        <is>
          <t>6</t>
        </is>
      </c>
      <c r="H20077" t="inlineStr">
        <is>
          <t>23/03/2026</t>
        </is>
      </c>
      <c r="I20077" t="inlineStr">
        <is>
          <t>17/03/2026</t>
        </is>
      </c>
      <c r="J20077" t="inlineStr">
        <is>
          <t>Mới tốt nghiệp / Thực tập, Ngân hàng</t>
        </is>
      </c>
      <c r="K20077" t="inlineStr">
        <is>
          <t>1 - 3 Năm</t>
        </is>
      </c>
      <c r="L20077" s="8">
        <f>HYPERLINK("https://careerviet.vn/vi/tim-viec-lam/chuyen-vien-quan-he-khach-hang-bac-a-bank-chi-nhanh-bac-ninh-lang-son-thanh-hoa.35C63A40.html","Xem chi tiết")</f>
        <v/>
      </c>
    </row>
    <row r="20078">
      <c r="B20078" s="9" t="n">
        <v>20076</v>
      </c>
      <c r="C20078" s="10" t="inlineStr">
        <is>
          <t>HUẤN LUYỆN VIÊN CÁ HEO/HẢI CẨU</t>
        </is>
      </c>
      <c r="D20078" s="10" t="inlineStr">
        <is>
          <t>CÔNG TY CỔ PHẦN CẢNG TÀU KHÁCH QUỐC TẾ TUẦN CHÂU</t>
        </is>
      </c>
      <c r="E20078" s="10" t="inlineStr">
        <is>
          <t>Lương:Cạnh tranh</t>
        </is>
      </c>
      <c r="F20078" s="10" t="inlineStr">
        <is>
          <t>Quảng NamQuảng Ninh</t>
        </is>
      </c>
      <c r="G20078" s="10" t="inlineStr">
        <is>
          <t>6</t>
        </is>
      </c>
      <c r="H20078" s="10" t="inlineStr">
        <is>
          <t>23/03/2026</t>
        </is>
      </c>
      <c r="I20078" s="10" t="inlineStr">
        <is>
          <t>17/03/2026</t>
        </is>
      </c>
      <c r="J20078" s="10" t="inlineStr">
        <is>
          <t>Dịch vụ khách hàng, Ngành khác</t>
        </is>
      </c>
      <c r="K20078" s="10" t="inlineStr">
        <is>
          <t>Chưa có kinh nghiệm</t>
        </is>
      </c>
      <c r="L20078" s="11">
        <f>HYPERLINK("https://careerviet.vn/vi/tim-viec-lam/huan-luyen-vien-ca-heo-hai-cau.35C638E1.html","Xem chi tiết")</f>
        <v/>
      </c>
      <c r="M20078" s="10" t="n"/>
    </row>
    <row r="20079">
      <c r="B20079" s="7" t="n">
        <v>20077</v>
      </c>
      <c r="C20079" t="inlineStr">
        <is>
          <t>Chuyên viên Cơ điện ME</t>
        </is>
      </c>
      <c r="D20079" t="inlineStr">
        <is>
          <t>Công ty Cổ phần CANIFA</t>
        </is>
      </c>
      <c r="E20079" t="inlineStr">
        <is>
          <t>Lương:15 Tr - 25 Tr VND</t>
        </is>
      </c>
      <c r="F20079" t="inlineStr">
        <is>
          <t>Hà Nội</t>
        </is>
      </c>
      <c r="G20079" t="inlineStr">
        <is>
          <t>6</t>
        </is>
      </c>
      <c r="H20079" t="inlineStr">
        <is>
          <t>23/03/2026</t>
        </is>
      </c>
      <c r="I20079" t="inlineStr">
        <is>
          <t>17/03/2026</t>
        </is>
      </c>
      <c r="J20079" t="inlineStr">
        <is>
          <t>Điện / Điện tử / Điện lạnh / Điện công nghiệp, Xây dựng, Nội ngoại thất</t>
        </is>
      </c>
      <c r="K20079" t="inlineStr">
        <is>
          <t>3 - 7 Năm</t>
        </is>
      </c>
      <c r="L20079" s="8">
        <f>HYPERLINK("https://careerviet.vn/vi/tim-viec-lam/chuyen-vien-co-dien-me.35C66620.html","Xem chi tiết")</f>
        <v/>
      </c>
    </row>
    <row r="20080">
      <c r="B20080" s="9" t="n">
        <v>20078</v>
      </c>
      <c r="C20080" s="10" t="inlineStr">
        <is>
          <t>Compliance Specialist</t>
        </is>
      </c>
      <c r="D20080" s="10" t="inlineStr">
        <is>
          <t>UrBox - Công ty Cổ phần Tiếp Thị Số Tô Quà</t>
        </is>
      </c>
      <c r="E20080" s="10" t="inlineStr">
        <is>
          <t>Lương:Cạnh tranh</t>
        </is>
      </c>
      <c r="F20080" s="10" t="inlineStr">
        <is>
          <t>Hồ Chí Minh</t>
        </is>
      </c>
      <c r="G20080" s="10" t="inlineStr">
        <is>
          <t>6</t>
        </is>
      </c>
      <c r="H20080" s="10" t="inlineStr">
        <is>
          <t>23/03/2026</t>
        </is>
      </c>
      <c r="I20080" s="10" t="inlineStr">
        <is>
          <t>17/03/2026</t>
        </is>
      </c>
      <c r="J20080" s="10" t="inlineStr">
        <is>
          <t>Bán hàng / Kinh doanh, Luật / Pháp lý, Tài chính / Đầu tư</t>
        </is>
      </c>
      <c r="K20080" s="10" t="inlineStr">
        <is>
          <t>1 - 2 Năm</t>
        </is>
      </c>
      <c r="L20080" s="11">
        <f>HYPERLINK("https://careerviet.vn/vi/tim-viec-lam/compliance-specialist.35C66582.html","Xem chi tiết")</f>
        <v/>
      </c>
      <c r="M20080" s="10" t="n"/>
    </row>
    <row r="20081">
      <c r="B20081" s="7" t="n">
        <v>20079</v>
      </c>
      <c r="C20081" t="inlineStr">
        <is>
          <t>QFS Assistant Supervisor</t>
        </is>
      </c>
      <c r="D20081" t="inlineStr">
        <is>
          <t>Công ty TNHH Olam Việt Nam</t>
        </is>
      </c>
      <c r="E20081" t="inlineStr">
        <is>
          <t>Lương:Cạnh tranh</t>
        </is>
      </c>
      <c r="F20081" t="inlineStr">
        <is>
          <t>Đồng Nai</t>
        </is>
      </c>
      <c r="G20081" t="inlineStr">
        <is>
          <t>6</t>
        </is>
      </c>
      <c r="H20081" t="inlineStr">
        <is>
          <t>23/03/2026</t>
        </is>
      </c>
      <c r="I20081" t="inlineStr">
        <is>
          <t>17/03/2026</t>
        </is>
      </c>
      <c r="J20081" t="inlineStr">
        <is>
          <t>Sản xuất / Vận hành sản xuất</t>
        </is>
      </c>
      <c r="K20081" t="inlineStr">
        <is>
          <t>1 - 2 Năm</t>
        </is>
      </c>
      <c r="L20081" s="8">
        <f>HYPERLINK("https://careerviet.vn/vi/tim-viec-lam/qfs-assistant-supervisor.35C66484.html","Xem chi tiết")</f>
        <v/>
      </c>
    </row>
    <row r="20082">
      <c r="B20082" s="9" t="n">
        <v>20080</v>
      </c>
      <c r="C20082" s="10" t="inlineStr">
        <is>
          <t>Kỹ thuật viên pha màu, mực In (có xe đưa rước)</t>
        </is>
      </c>
      <c r="D20082" s="10" t="inlineStr">
        <is>
          <t>Công Ty TNHH Nhãn Mác SMT (Việt Nam)</t>
        </is>
      </c>
      <c r="E20082" s="10" t="inlineStr">
        <is>
          <t>Lương:Cạnh tranh</t>
        </is>
      </c>
      <c r="F20082" s="10" t="inlineStr">
        <is>
          <t>Hồ Chí Minh</t>
        </is>
      </c>
      <c r="G20082" s="10" t="inlineStr">
        <is>
          <t>6</t>
        </is>
      </c>
      <c r="H20082" s="10" t="inlineStr">
        <is>
          <t>23/03/2026</t>
        </is>
      </c>
      <c r="I20082" s="10" t="inlineStr">
        <is>
          <t>17/03/2026</t>
        </is>
      </c>
      <c r="J20082" s="10" t="inlineStr">
        <is>
          <t>Hóa học, Dệt may / Da giày / Thời trang, In ấn / Xuất bản</t>
        </is>
      </c>
      <c r="K20082" s="10" t="inlineStr">
        <is>
          <t>1 - 5 Năm</t>
        </is>
      </c>
      <c r="L20082" s="11">
        <f>HYPERLINK("https://careerviet.vn/vi/tim-viec-lam/ky-thuat-vien-pha-mau-muc-in-co-xe-dua-ruoc.35C63A10.html","Xem chi tiết")</f>
        <v/>
      </c>
      <c r="M20082" s="10" t="n"/>
    </row>
    <row r="20083">
      <c r="B20083" s="7" t="n">
        <v>20081</v>
      </c>
      <c r="C20083" t="inlineStr">
        <is>
          <t>Senior Java Developer - Phát triển MES/ERP (Open Source)</t>
        </is>
      </c>
      <c r="D20083" t="inlineStr">
        <is>
          <t>CÔNG TY TNHH KỸ THUẬT CÔNG NGHỆ NHẤT TINH</t>
        </is>
      </c>
      <c r="E20083" t="inlineStr">
        <is>
          <t>Lương:10 Tr - 20 Tr VND</t>
        </is>
      </c>
      <c r="F20083" t="inlineStr">
        <is>
          <t>Hồ Chí Minh</t>
        </is>
      </c>
      <c r="G20083" t="inlineStr">
        <is>
          <t>6</t>
        </is>
      </c>
      <c r="H20083" t="inlineStr">
        <is>
          <t>23/03/2026</t>
        </is>
      </c>
      <c r="I20083" t="inlineStr">
        <is>
          <t>17/03/2026</t>
        </is>
      </c>
      <c r="J20083" t="inlineStr">
        <is>
          <t>CNTT - Phần mềm, CNTT - Phần cứng / Mạng</t>
        </is>
      </c>
      <c r="K20083" t="inlineStr">
        <is>
          <t>1 - 5 Năm</t>
        </is>
      </c>
      <c r="L20083" s="8">
        <f>HYPERLINK("https://careerviet.vn/vi/tim-viec-lam/senior-java-developer-phat-trien-mes-erp-open-source.35C63922.html","Xem chi tiết")</f>
        <v/>
      </c>
    </row>
    <row r="20084">
      <c r="B20084" s="9" t="n">
        <v>20082</v>
      </c>
      <c r="C20084" s="10" t="inlineStr">
        <is>
          <t>[LẠNG SƠN] KỸ SƯ THIẾT KẾ KIẾN TRÚC &amp; SHOPDRAWING</t>
        </is>
      </c>
      <c r="D20084" s="10" t="inlineStr">
        <is>
          <t>Tổng công ty Xây dựng số 1 – CTCP</t>
        </is>
      </c>
      <c r="E20084" s="10" t="inlineStr">
        <is>
          <t>Lương:Cạnh tranh</t>
        </is>
      </c>
      <c r="F20084" s="10" t="inlineStr">
        <is>
          <t>Lạng Sơn</t>
        </is>
      </c>
      <c r="G20084" s="10" t="inlineStr">
        <is>
          <t>6</t>
        </is>
      </c>
      <c r="H20084" s="10" t="inlineStr">
        <is>
          <t>23/03/2026</t>
        </is>
      </c>
      <c r="I20084" s="10" t="inlineStr">
        <is>
          <t>17/03/2026</t>
        </is>
      </c>
      <c r="J20084" s="10" t="inlineStr">
        <is>
          <t>Xây dựng</t>
        </is>
      </c>
      <c r="K20084" s="10" t="inlineStr">
        <is>
          <t>Trên 3 Năm</t>
        </is>
      </c>
      <c r="L20084" s="11">
        <f>HYPERLINK("https://careerviet.vn/vi/tim-viec-lam/lang-son-ky-su-thiet-ke-kien-truc-shopdrawing.35C63939.html","Xem chi tiết")</f>
        <v/>
      </c>
      <c r="M20084" s="10" t="n"/>
    </row>
    <row r="20085">
      <c r="B20085" s="7" t="n">
        <v>20083</v>
      </c>
      <c r="C20085" t="inlineStr">
        <is>
          <t>Chuyên viên tuyển dụng đào tạo</t>
        </is>
      </c>
      <c r="D20085" t="inlineStr">
        <is>
          <t>CÔNG TY CỔ PHẦN ĐẦU TƯ BẤT ĐỘNG SẢN TASECO</t>
        </is>
      </c>
      <c r="E20085" t="inlineStr">
        <is>
          <t>Lương:Cạnh tranh</t>
        </is>
      </c>
      <c r="F20085" t="inlineStr">
        <is>
          <t>Hà Nội</t>
        </is>
      </c>
      <c r="G20085" t="inlineStr">
        <is>
          <t>6</t>
        </is>
      </c>
      <c r="H20085" t="inlineStr">
        <is>
          <t>23/03/2026</t>
        </is>
      </c>
      <c r="I20085" t="inlineStr">
        <is>
          <t>17/03/2026</t>
        </is>
      </c>
      <c r="J20085" t="inlineStr">
        <is>
          <t>Giáo dục / Đào tạo, Hành chính / Thư ký, Nhân sự</t>
        </is>
      </c>
      <c r="K20085" t="inlineStr">
        <is>
          <t>1 - 2 Năm</t>
        </is>
      </c>
      <c r="L20085" s="8">
        <f>HYPERLINK("https://careerviet.vn/vi/tim-viec-lam/chuyen-vien-tuyen-dung-dao-tao.35C63ABA.html","Xem chi tiết")</f>
        <v/>
      </c>
    </row>
    <row r="20086">
      <c r="B20086" s="9" t="n">
        <v>20084</v>
      </c>
      <c r="C20086" s="10" t="inlineStr">
        <is>
          <t>Phó Giám đốc PGD phụ trách vận hành PGD Từ Sơn - [BAC A BANK - Chi nhánh Bắc Ninh]</t>
        </is>
      </c>
      <c r="D20086" s="10" t="inlineStr">
        <is>
          <t>Ngân Hàng Thương mại cổ phần Bắc Á- BAC A BANK</t>
        </is>
      </c>
      <c r="E20086" s="10" t="inlineStr">
        <is>
          <t>Lương:Cạnh tranh</t>
        </is>
      </c>
      <c r="F20086" s="10" t="inlineStr">
        <is>
          <t>Bắc Ninh</t>
        </is>
      </c>
      <c r="G20086" s="10" t="inlineStr">
        <is>
          <t>6</t>
        </is>
      </c>
      <c r="H20086" s="10" t="inlineStr">
        <is>
          <t>23/03/2026</t>
        </is>
      </c>
      <c r="I20086" s="10" t="inlineStr">
        <is>
          <t>17/03/2026</t>
        </is>
      </c>
      <c r="J20086" s="10" t="inlineStr">
        <is>
          <t>Ngân hàng</t>
        </is>
      </c>
      <c r="K20086" s="10" t="inlineStr">
        <is>
          <t>3 - 5 Năm</t>
        </is>
      </c>
      <c r="L20086" s="11">
        <f>HYPERLINK("https://careerviet.vn/vi/tim-viec-lam/pho-giam-doc-pgd-phu-trach-van-hanh-pgd-tu-son-bac-a-bank-chi-nhanh-bac-ninh.35C6645A.html","Xem chi tiết")</f>
        <v/>
      </c>
      <c r="M20086" s="10" t="n"/>
    </row>
    <row r="20087">
      <c r="B20087" s="7" t="n">
        <v>20085</v>
      </c>
      <c r="C20087" t="inlineStr">
        <is>
          <t>Nhân viên IT triển khai phần mềm</t>
        </is>
      </c>
      <c r="D20087" t="inlineStr">
        <is>
          <t>Viện Thẩm mỹ y khoa Dr Hải Lê</t>
        </is>
      </c>
      <c r="E20087" t="inlineStr">
        <is>
          <t>Lương:10 Tr - 15 Tr VND</t>
        </is>
      </c>
      <c r="F20087" t="inlineStr">
        <is>
          <t>Hà Nội</t>
        </is>
      </c>
      <c r="G20087" t="inlineStr">
        <is>
          <t>6</t>
        </is>
      </c>
      <c r="H20087" t="inlineStr">
        <is>
          <t>23/03/2026</t>
        </is>
      </c>
      <c r="I20087" t="inlineStr">
        <is>
          <t>17/03/2026</t>
        </is>
      </c>
      <c r="J20087" t="inlineStr">
        <is>
          <t>Bảo trì / Sửa chữa, CNTT - Phần mềm, CNTT - Phần cứng / Mạng</t>
        </is>
      </c>
      <c r="K20087" t="inlineStr">
        <is>
          <t>1 - 3 Năm</t>
        </is>
      </c>
      <c r="L20087" s="8">
        <f>HYPERLINK("https://careerviet.vn/vi/tim-viec-lam/nhan-vien-it-trien-khai-phan-mem.35C6391A.html","Xem chi tiết")</f>
        <v/>
      </c>
    </row>
    <row r="20088">
      <c r="B20088" s="9" t="n">
        <v>20086</v>
      </c>
      <c r="C20088" s="10" t="inlineStr">
        <is>
          <t>Chuyên viên Quản lý nghiệp vụ Tài sản Kỹ thuật</t>
        </is>
      </c>
      <c r="D20088" s="10" t="inlineStr">
        <is>
          <t>Tổng Công Ty Cổ Phần Bảo Hiểm Ngân Hàng TMCP Công Thương Việt Nam</t>
        </is>
      </c>
      <c r="E20088" s="10" t="inlineStr">
        <is>
          <t>Lương:Cạnh tranh</t>
        </is>
      </c>
      <c r="F20088" s="10" t="inlineStr">
        <is>
          <t>Hà Nội</t>
        </is>
      </c>
      <c r="G20088" s="10" t="inlineStr">
        <is>
          <t>6</t>
        </is>
      </c>
      <c r="H20088" s="10" t="inlineStr">
        <is>
          <t>23/03/2026</t>
        </is>
      </c>
      <c r="I20088" s="10" t="inlineStr">
        <is>
          <t>17/03/2026</t>
        </is>
      </c>
      <c r="J20088" s="10" t="inlineStr">
        <is>
          <t>Bảo hiểm, Ngành khác, Quản lý chất lượng (QA/QC)</t>
        </is>
      </c>
      <c r="K20088" s="10" t="inlineStr">
        <is>
          <t>2 - 5 Năm</t>
        </is>
      </c>
      <c r="L20088" s="11">
        <f>HYPERLINK("https://careerviet.vn/vi/tim-viec-lam/chuyen-vien-quan-ly-nghiep-vu-tai-san-ky-thuat.35C664D5.html","Xem chi tiết")</f>
        <v/>
      </c>
      <c r="M20088" s="10" t="n"/>
    </row>
    <row r="20089">
      <c r="B20089" s="7" t="n">
        <v>20087</v>
      </c>
      <c r="C20089" t="inlineStr">
        <is>
          <t>Chuyên viên Local Store Marketing</t>
        </is>
      </c>
      <c r="D20089" t="inlineStr">
        <is>
          <t>Công ty Cổ phần CANIFA</t>
        </is>
      </c>
      <c r="E20089" t="inlineStr">
        <is>
          <t>Lương:15 Tr - 23 Tr VND</t>
        </is>
      </c>
      <c r="F20089" t="inlineStr">
        <is>
          <t>Hồ Chí Minh</t>
        </is>
      </c>
      <c r="G20089" t="inlineStr">
        <is>
          <t>6</t>
        </is>
      </c>
      <c r="H20089" t="inlineStr">
        <is>
          <t>23/03/2026</t>
        </is>
      </c>
      <c r="I20089" t="inlineStr">
        <is>
          <t>17/03/2026</t>
        </is>
      </c>
      <c r="J20089" t="inlineStr">
        <is>
          <t>Tiếp thị / Marketing, Bán lẻ / Bán sỉ, Quảng cáo / Đối ngoại / Truyền Thông</t>
        </is>
      </c>
      <c r="K20089" t="inlineStr">
        <is>
          <t>3 - 5 Năm</t>
        </is>
      </c>
      <c r="L20089" s="8">
        <f>HYPERLINK("https://careerviet.vn/vi/tim-viec-lam/chuyen-vien-local-store-marketing.35C66627.html","Xem chi tiết")</f>
        <v/>
      </c>
    </row>
    <row r="20090">
      <c r="B20090" s="9" t="n">
        <v>20088</v>
      </c>
      <c r="C20090" s="10" t="inlineStr">
        <is>
          <t>Nhân viên QA</t>
        </is>
      </c>
      <c r="D20090" s="10" t="inlineStr">
        <is>
          <t>Công Ty TNHH Dệt Tah Tong Việt Nam</t>
        </is>
      </c>
      <c r="E20090" s="10" t="inlineStr">
        <is>
          <t>Lương:Cạnh tranh</t>
        </is>
      </c>
      <c r="F20090" s="10" t="inlineStr">
        <is>
          <t>Tây Ninh</t>
        </is>
      </c>
      <c r="G20090" s="10" t="inlineStr">
        <is>
          <t>6</t>
        </is>
      </c>
      <c r="H20090" s="10" t="inlineStr">
        <is>
          <t>23/03/2026</t>
        </is>
      </c>
      <c r="I20090" s="10" t="inlineStr">
        <is>
          <t>17/03/2026</t>
        </is>
      </c>
      <c r="J20090" s="10" t="inlineStr">
        <is>
          <t>Dệt may / Da giày / Thời trang</t>
        </is>
      </c>
      <c r="K20090" s="10" t="inlineStr">
        <is>
          <t>2 - 3 Năm</t>
        </is>
      </c>
      <c r="L20090" s="11">
        <f>HYPERLINK("https://careerviet.vn/vi/tim-viec-lam/nhan-vien-qa.35C63983.html","Xem chi tiết")</f>
        <v/>
      </c>
      <c r="M20090" s="10" t="n"/>
    </row>
    <row r="20091">
      <c r="B20091" s="7" t="n">
        <v>20089</v>
      </c>
      <c r="C20091" t="inlineStr">
        <is>
          <t>Nhân Viên Lễ Tân (Beer Club)</t>
        </is>
      </c>
      <c r="D20091" t="inlineStr">
        <is>
          <t>Công Ty Hoàng An Nhiên</t>
        </is>
      </c>
      <c r="E20091" t="inlineStr">
        <is>
          <t>Lương:8 Tr - 9,5 Tr VND</t>
        </is>
      </c>
      <c r="F20091" t="inlineStr">
        <is>
          <t>Hà Nội</t>
        </is>
      </c>
      <c r="G20091" t="inlineStr">
        <is>
          <t>6</t>
        </is>
      </c>
      <c r="H20091" t="inlineStr">
        <is>
          <t>23/03/2026</t>
        </is>
      </c>
      <c r="I20091" t="inlineStr">
        <is>
          <t>17/03/2026</t>
        </is>
      </c>
      <c r="J20091" t="inlineStr">
        <is>
          <t>Nhà hàng / Khách sạn</t>
        </is>
      </c>
      <c r="K20091" t="inlineStr">
        <is>
          <t>Lên đến 1 Năm</t>
        </is>
      </c>
      <c r="L20091" s="8">
        <f>HYPERLINK("https://careerviet.vn/vi/tim-viec-lam/nhan-vien-le-tan-beer-club.35C63998.html","Xem chi tiết")</f>
        <v/>
      </c>
    </row>
    <row r="20092">
      <c r="B20092" s="9" t="n">
        <v>20090</v>
      </c>
      <c r="C20092" s="10" t="inlineStr">
        <is>
          <t>Chuyên gia Dịch vụ pháp lý về Nguồn vốn, ngoại hối và Ngân hàng giao dịch</t>
        </is>
      </c>
      <c r="D20092" s="10" t="inlineStr">
        <is>
          <t>Ngân Hàng TMCP Quốc Tế Việt Nam</t>
        </is>
      </c>
      <c r="E20092" s="10" t="inlineStr">
        <is>
          <t>Lương:Cạnh tranh</t>
        </is>
      </c>
      <c r="F20092" s="10" t="inlineStr">
        <is>
          <t>Hà Nội</t>
        </is>
      </c>
      <c r="G20092" s="10" t="inlineStr">
        <is>
          <t>6</t>
        </is>
      </c>
      <c r="H20092" s="10" t="inlineStr">
        <is>
          <t>23/03/2026</t>
        </is>
      </c>
      <c r="I20092" s="10" t="inlineStr">
        <is>
          <t>17/03/2026</t>
        </is>
      </c>
      <c r="J20092" s="10" t="inlineStr">
        <is>
          <t>Luật / Pháp lý, Ngân hàng</t>
        </is>
      </c>
      <c r="K20092" s="10" t="inlineStr">
        <is>
          <t>1 - 5 Năm</t>
        </is>
      </c>
      <c r="L20092" s="11">
        <f>HYPERLINK("https://careerviet.vn/vi/tim-viec-lam/chuyen-gia-dich-vu-phap-ly-ve-nguon-von-ngoai-hoi-va-ngan-hang-giao-dich.35C665B5.html","Xem chi tiết")</f>
        <v/>
      </c>
      <c r="M20092" s="10" t="n"/>
    </row>
    <row r="20093">
      <c r="B20093" s="7" t="n">
        <v>20091</v>
      </c>
      <c r="C20093" t="inlineStr">
        <is>
          <t>Chuyên viên nhân sự mạnh tuyển dụng - Tại Hà Nội</t>
        </is>
      </c>
      <c r="D20093" t="inlineStr">
        <is>
          <t>Công Ty Cổ Phần Panel Việt</t>
        </is>
      </c>
      <c r="E20093" t="inlineStr">
        <is>
          <t>Lương:10 Tr - 12 Tr VND</t>
        </is>
      </c>
      <c r="F20093" t="inlineStr">
        <is>
          <t>Hà Nội</t>
        </is>
      </c>
      <c r="G20093" t="inlineStr">
        <is>
          <t>6</t>
        </is>
      </c>
      <c r="H20093" t="inlineStr">
        <is>
          <t>23/03/2026</t>
        </is>
      </c>
      <c r="I20093" t="inlineStr">
        <is>
          <t>17/03/2026</t>
        </is>
      </c>
      <c r="J20093" t="inlineStr">
        <is>
          <t>Hành chính / Thư ký, Nhân sự</t>
        </is>
      </c>
      <c r="K20093" t="inlineStr">
        <is>
          <t>1 - 2 Năm</t>
        </is>
      </c>
      <c r="L20093" s="8">
        <f>HYPERLINK("https://careerviet.vn/vi/tim-viec-lam/chuyen-vien-nhan-su-manh-tuyen-dung-tai-ha-noi.35C6397A.html","Xem chi tiết")</f>
        <v/>
      </c>
    </row>
    <row r="20094">
      <c r="B20094" s="9" t="n">
        <v>20092</v>
      </c>
      <c r="C20094" s="10" t="inlineStr">
        <is>
          <t>Kỹ sư cơ khí (Chuyên về Công nghệ Hàn)</t>
        </is>
      </c>
      <c r="D20094" s="10" t="inlineStr">
        <is>
          <t>CÔNG TY CỔ PHẦN CÔNG NGHIỆP WELDCOM</t>
        </is>
      </c>
      <c r="E20094" s="10" t="inlineStr">
        <is>
          <t>Lương:17 Tr - 30 Tr VND</t>
        </is>
      </c>
      <c r="F20094" s="10" t="inlineStr">
        <is>
          <t>Bình DươngHồ Chí Minh</t>
        </is>
      </c>
      <c r="G20094" s="10" t="inlineStr">
        <is>
          <t>6</t>
        </is>
      </c>
      <c r="H20094" s="10" t="inlineStr">
        <is>
          <t>23/03/2026</t>
        </is>
      </c>
      <c r="I20094" s="10" t="inlineStr">
        <is>
          <t>17/03/2026</t>
        </is>
      </c>
      <c r="J20094" s="10" t="inlineStr">
        <is>
          <t>Cơ khí / Ô tô / Tự động hóa, Sản xuất / Vận hành sản xuất</t>
        </is>
      </c>
      <c r="K20094" s="10" t="inlineStr">
        <is>
          <t>3 - 5 Năm</t>
        </is>
      </c>
      <c r="L20094" s="11">
        <f>HYPERLINK("https://careerviet.vn/vi/tim-viec-lam/ky-su-co-khi-chuyen-ve-cong-nghe-han.35C6657D.html","Xem chi tiết")</f>
        <v/>
      </c>
      <c r="M20094" s="10" t="n"/>
    </row>
    <row r="20095">
      <c r="B20095" s="7" t="n">
        <v>20093</v>
      </c>
      <c r="C20095" t="inlineStr">
        <is>
          <t>[Hà Nội] Giao dịch viên (Không yêu cầu kinh nghiệm)</t>
        </is>
      </c>
      <c r="D20095" t="inlineStr">
        <is>
          <t>Ngân Hàng TMCP Tiên Phong (TPBank)</t>
        </is>
      </c>
      <c r="E20095" t="inlineStr">
        <is>
          <t>Lương:10 Tr - 14 Tr VND</t>
        </is>
      </c>
      <c r="F20095" t="inlineStr">
        <is>
          <t>Hà Nội</t>
        </is>
      </c>
      <c r="G20095" t="inlineStr">
        <is>
          <t>6</t>
        </is>
      </c>
      <c r="H20095" t="inlineStr">
        <is>
          <t>23/03/2026</t>
        </is>
      </c>
      <c r="I20095" t="inlineStr">
        <is>
          <t>17/03/2026</t>
        </is>
      </c>
      <c r="J20095" t="inlineStr">
        <is>
          <t>Ngân hàng, Tài chính / Đầu tư, Bán hàng / Kinh doanh</t>
        </is>
      </c>
      <c r="K20095" t="inlineStr">
        <is>
          <t>N/A</t>
        </is>
      </c>
      <c r="L20095" s="8">
        <f>HYPERLINK("https://careerviet.vn/vi/tim-viec-lam/ha-noi-giao-dich-vien-khong-yeu-cau-kinh-nghiem.35C66500.html","Xem chi tiết")</f>
        <v/>
      </c>
    </row>
    <row r="20096">
      <c r="B20096" s="9" t="n">
        <v>20094</v>
      </c>
      <c r="C20096" s="10" t="inlineStr">
        <is>
          <t>GIÁM SÁT BÁN HÀNG KÊNH SIÊU THỊ KHU VỰC MIỀN TRUNG</t>
        </is>
      </c>
      <c r="D20096" s="10" t="inlineStr">
        <is>
          <t>Công ty TNHH Chế biến thực phẩm Đông Đô</t>
        </is>
      </c>
      <c r="E20096" s="10" t="inlineStr">
        <is>
          <t>Lương:18 Tr - 22 Tr VND</t>
        </is>
      </c>
      <c r="F20096" s="10" t="inlineStr">
        <is>
          <t>Khánh Hòa</t>
        </is>
      </c>
      <c r="G20096" s="10" t="inlineStr">
        <is>
          <t>24-03-2026</t>
        </is>
      </c>
      <c r="H20096" s="10" t="inlineStr">
        <is>
          <t>24/03/2026</t>
        </is>
      </c>
      <c r="I20096" s="10" t="inlineStr">
        <is>
          <t>17/03/2026</t>
        </is>
      </c>
      <c r="J20096" s="10" t="inlineStr">
        <is>
          <t>Bán lẻ / Bán sỉ, Bán hàng / Kinh doanh, Thực phẩm &amp; Đồ uống</t>
        </is>
      </c>
      <c r="K20096" s="10" t="inlineStr">
        <is>
          <t>2 - 3 Năm</t>
        </is>
      </c>
      <c r="L20096" s="11">
        <f>HYPERLINK("https://careerviet.vn/vi/tim-viec-lam/giam-sat-ban-hang-kenh-sieu-thi-khu-vuc-mien-trung.35C63B30.html","Xem chi tiết")</f>
        <v/>
      </c>
      <c r="M20096" s="10" t="n"/>
    </row>
    <row r="20097">
      <c r="B20097" s="7" t="n">
        <v>20095</v>
      </c>
      <c r="C20097" t="inlineStr">
        <is>
          <t>Giáo Viên Tiếng Anh Ca Tối Trung Tâm Anh Ngữ (Part-Time -Tân Phú)</t>
        </is>
      </c>
      <c r="D20097" t="inlineStr">
        <is>
          <t>TRƯỜNG QUỐC TẾ BLUE RIDGE / BLUE RIDGE INTERNATIONAL SCHOOL (BRIS)</t>
        </is>
      </c>
      <c r="E20097" t="inlineStr">
        <is>
          <t>Lương:Cạnh tranh</t>
        </is>
      </c>
      <c r="F20097" t="inlineStr">
        <is>
          <t>Hồ Chí Minh</t>
        </is>
      </c>
      <c r="G20097" t="inlineStr">
        <is>
          <t>6</t>
        </is>
      </c>
      <c r="H20097" t="inlineStr">
        <is>
          <t>23/03/2026</t>
        </is>
      </c>
      <c r="I20097" t="inlineStr">
        <is>
          <t>17/03/2026</t>
        </is>
      </c>
      <c r="J20097" t="inlineStr">
        <is>
          <t>Giáo dục / Đào tạo</t>
        </is>
      </c>
      <c r="K20097" t="inlineStr">
        <is>
          <t>Trên 1 Năm</t>
        </is>
      </c>
      <c r="L20097" s="8">
        <f>HYPERLINK("https://careerviet.vn/vi/tim-viec-lam/giao-vien-tieng-anh-ca-toi-trung-tam-anh-ngu-part-time-tan-phu.35C66441.html","Xem chi tiết")</f>
        <v/>
      </c>
    </row>
    <row r="20098">
      <c r="B20098" s="9" t="n">
        <v>20096</v>
      </c>
      <c r="C20098" s="10" t="inlineStr">
        <is>
          <t>NHÂN VIÊN KHO DƯỢC HỖ TRỢ CỤM BÌNH PHƯỚC</t>
        </is>
      </c>
      <c r="D20098" s="10" t="inlineStr">
        <is>
          <t>Công Ty Cổ Phần Vacxin Việt Nam</t>
        </is>
      </c>
      <c r="E20098" s="10" t="inlineStr">
        <is>
          <t>Lương:7 Tr - 9 Tr VND</t>
        </is>
      </c>
      <c r="F20098" s="10" t="inlineStr">
        <is>
          <t>Bình Phước</t>
        </is>
      </c>
      <c r="G20098" s="10" t="inlineStr">
        <is>
          <t>6</t>
        </is>
      </c>
      <c r="H20098" s="10" t="inlineStr">
        <is>
          <t>23/03/2026</t>
        </is>
      </c>
      <c r="I20098" s="10" t="inlineStr">
        <is>
          <t>17/03/2026</t>
        </is>
      </c>
      <c r="J20098" s="10" t="inlineStr">
        <is>
          <t>Dược phẩm/ Hóa Mỹ Phẩm, Y tế / Chăm sóc sức khỏe / Thẩm mỹ / Làm đẹp, Vận chuyển / Giao nhận / Kho vận</t>
        </is>
      </c>
      <c r="K20098" s="10" t="inlineStr">
        <is>
          <t>N/A</t>
        </is>
      </c>
      <c r="L20098" s="11">
        <f>HYPERLINK("https://careerviet.vn/vi/tim-viec-lam/nhan-vien-kho-duoc-ho-tro-cum-binh-phuoc.35C63968.html","Xem chi tiết")</f>
        <v/>
      </c>
      <c r="M20098" s="10" t="n"/>
    </row>
    <row r="20099">
      <c r="B20099" s="7" t="n">
        <v>20097</v>
      </c>
      <c r="C20099" t="inlineStr">
        <is>
          <t>TUYỂN GẤP NHÂN VIÊN KỸ THUẬT TÒA NHÀ</t>
        </is>
      </c>
      <c r="D20099" t="inlineStr">
        <is>
          <t>Công Ty Cổ Phần Quản Lý Bất Động Sản Nam Sài Gòn</t>
        </is>
      </c>
      <c r="E20099" t="inlineStr">
        <is>
          <t>Lương:7 Tr - 13 Tr VND</t>
        </is>
      </c>
      <c r="F20099" t="inlineStr">
        <is>
          <t>Hồ Chí Minh</t>
        </is>
      </c>
      <c r="G20099" t="inlineStr">
        <is>
          <t>24-03-2026</t>
        </is>
      </c>
      <c r="H20099" t="inlineStr">
        <is>
          <t>24/03/2026</t>
        </is>
      </c>
      <c r="I20099" t="inlineStr">
        <is>
          <t>17/03/2026</t>
        </is>
      </c>
      <c r="J20099" t="inlineStr">
        <is>
          <t>Điện / Điện tử / Điện lạnh / Điện công nghiệp, Bảo trì / Sửa chữa, Mới tốt nghiệp / Thực tập</t>
        </is>
      </c>
      <c r="K20099" t="inlineStr">
        <is>
          <t>N/A</t>
        </is>
      </c>
      <c r="L20099" s="8">
        <f>HYPERLINK("https://careerviet.vn/vi/tim-viec-lam/tuyen-gap-nhan-vien-ky-thuat-toa-nha.35C63B0D.html","Xem chi tiết")</f>
        <v/>
      </c>
    </row>
    <row r="20100">
      <c r="B20100" s="9" t="n">
        <v>20098</v>
      </c>
      <c r="C20100" s="10" t="inlineStr">
        <is>
          <t>Trưởng phòng Thu hồi nợ hiện trường (Nợ muộn - Mekong) - TA079</t>
        </is>
      </c>
      <c r="D20100" s="10" t="inlineStr">
        <is>
          <t>Ngân Hàng TMCP Việt Nam Thịnh Vượng - VPBANK</t>
        </is>
      </c>
      <c r="E20100" s="10" t="inlineStr">
        <is>
          <t>Lương:Cạnh tranh</t>
        </is>
      </c>
      <c r="F20100" s="10" t="inlineStr">
        <is>
          <t>Hồ Chí MinhAn GiangKV Nam Trung Bộ</t>
        </is>
      </c>
      <c r="G20100" s="10" t="inlineStr">
        <is>
          <t>24-03-2026</t>
        </is>
      </c>
      <c r="H20100" s="10" t="inlineStr">
        <is>
          <t>24/03/2026</t>
        </is>
      </c>
      <c r="I20100" s="10" t="inlineStr">
        <is>
          <t>17/03/2026</t>
        </is>
      </c>
      <c r="J20100" s="10" t="inlineStr">
        <is>
          <t>Luật / Pháp lý, Ngân hàng, Tài chính / Đầu tư</t>
        </is>
      </c>
      <c r="K20100" s="10" t="inlineStr">
        <is>
          <t>3 - 5 Năm</t>
        </is>
      </c>
      <c r="L20100" s="11">
        <f>HYPERLINK("https://careerviet.vn/vi/tim-viec-lam/truong-phong-thu-hoi-no-hien-truong-no-muon-mekong-ta079.35C66763.html","Xem chi tiết")</f>
        <v/>
      </c>
      <c r="M20100" s="10" t="n"/>
    </row>
    <row r="20101">
      <c r="B20101" s="7" t="n">
        <v>20099</v>
      </c>
      <c r="C20101" t="inlineStr">
        <is>
          <t>Export Sale Executive</t>
        </is>
      </c>
      <c r="D20101" t="inlineStr">
        <is>
          <t>Công ty Cổ phần Thực phẩm TANISA</t>
        </is>
      </c>
      <c r="E20101" t="inlineStr">
        <is>
          <t>Lương:10 Tr - 20 Tr VND</t>
        </is>
      </c>
      <c r="F20101" t="inlineStr">
        <is>
          <t>Hồ Chí Minh</t>
        </is>
      </c>
      <c r="G20101" t="inlineStr">
        <is>
          <t>6</t>
        </is>
      </c>
      <c r="H20101" t="inlineStr">
        <is>
          <t>23/03/2026</t>
        </is>
      </c>
      <c r="I20101" t="inlineStr">
        <is>
          <t>17/03/2026</t>
        </is>
      </c>
      <c r="J20101" t="inlineStr">
        <is>
          <t>Thực phẩm &amp; Đồ uống, Xuất nhập khẩu</t>
        </is>
      </c>
      <c r="K20101" t="inlineStr">
        <is>
          <t>1 - 2 Năm</t>
        </is>
      </c>
      <c r="L20101" s="8">
        <f>HYPERLINK("https://careerviet.vn/vi/tim-viec-lam/export-sale-executive.35C639BF.html","Xem chi tiết")</f>
        <v/>
      </c>
    </row>
    <row r="20102">
      <c r="B20102" s="9" t="n">
        <v>20100</v>
      </c>
      <c r="C20102" s="10" t="inlineStr">
        <is>
          <t>Nhân Viên Kinh Doanh Máy Công Cụ (Thành Thạo Tiếng Anh)</t>
        </is>
      </c>
      <c r="D20102" s="10" t="inlineStr">
        <is>
          <t>CÔNG TY TNHH HWACHEON MACHINE TOOL VIỆT NAM</t>
        </is>
      </c>
      <c r="E20102" s="10" t="inlineStr">
        <is>
          <t>Lương:9 Tr - 20 Tr VND</t>
        </is>
      </c>
      <c r="F20102" s="10" t="inlineStr">
        <is>
          <t>Hồ Chí MinhBắc Ninh</t>
        </is>
      </c>
      <c r="G20102" s="10" t="inlineStr">
        <is>
          <t>6</t>
        </is>
      </c>
      <c r="H20102" s="10" t="inlineStr">
        <is>
          <t>23/03/2026</t>
        </is>
      </c>
      <c r="I20102" s="10" t="inlineStr">
        <is>
          <t>17/03/2026</t>
        </is>
      </c>
      <c r="J20102" s="10" t="inlineStr">
        <is>
          <t>Bán Hàng Kỹ Thuật, Cơ khí / Ô tô / Tự động hóa, Bán hàng / Kinh doanh</t>
        </is>
      </c>
      <c r="K20102" s="10" t="inlineStr">
        <is>
          <t>Chưa có kinh nghiệm</t>
        </is>
      </c>
      <c r="L20102" s="11">
        <f>HYPERLINK("https://careerviet.vn/vi/tim-viec-lam/nhan-vien-kinh-doanh-may-cong-cu-thanh-thao-tieng-anh.35C662DA.html","Xem chi tiết")</f>
        <v/>
      </c>
      <c r="M20102" s="10" t="n"/>
    </row>
    <row r="20103">
      <c r="B20103" s="7" t="n">
        <v>20101</v>
      </c>
      <c r="C20103" t="inlineStr">
        <is>
          <t>Chuyên viên - Phòng Giám sát giao dịch và Quản lý rủi ro - Risk Management - Khối Vận hành (HO25.533)</t>
        </is>
      </c>
      <c r="D20103" t="inlineStr">
        <is>
          <t>Ngân Hàng TMCP Quân Đội</t>
        </is>
      </c>
      <c r="E20103" t="inlineStr">
        <is>
          <t>Lương:Cạnh tranh</t>
        </is>
      </c>
      <c r="F20103" t="inlineStr">
        <is>
          <t>Hà Nội</t>
        </is>
      </c>
      <c r="G20103" t="inlineStr">
        <is>
          <t>24-03-2026</t>
        </is>
      </c>
      <c r="H20103" t="inlineStr">
        <is>
          <t>24/03/2026</t>
        </is>
      </c>
      <c r="I20103" t="inlineStr">
        <is>
          <t>17/03/2026</t>
        </is>
      </c>
      <c r="J20103" t="inlineStr">
        <is>
          <t>Kế toán / Kiểm toán, Ngân hàng, Tài chính / Đầu tư</t>
        </is>
      </c>
      <c r="K20103" t="inlineStr">
        <is>
          <t>1 - 2 Năm</t>
        </is>
      </c>
      <c r="L20103" s="8">
        <f>HYPERLINK("https://careerviet.vn/vi/tim-viec-lam/chuyen-vien-phong-giam-sat-giao-dich-va-quan-ly-rui-ro-risk-management-khoi-van-hanh-ho25-533.35C63C46.html","Xem chi tiết")</f>
        <v/>
      </c>
    </row>
    <row r="20104">
      <c r="B20104" s="9" t="n">
        <v>20102</v>
      </c>
      <c r="C20104" s="10" t="inlineStr">
        <is>
          <t>Nhân Viên Tư vấn Bán Hàng</t>
        </is>
      </c>
      <c r="D20104" s="10" t="inlineStr">
        <is>
          <t>IDOCEAN Co.,ltd</t>
        </is>
      </c>
      <c r="E20104" s="10" t="inlineStr">
        <is>
          <t>Lương:6,5 Tr - 7,5 Tr VND</t>
        </is>
      </c>
      <c r="F20104" s="10" t="inlineStr">
        <is>
          <t>Hồ Chí Minh</t>
        </is>
      </c>
      <c r="G20104" s="10" t="inlineStr">
        <is>
          <t>6</t>
        </is>
      </c>
      <c r="H20104" s="10" t="inlineStr">
        <is>
          <t>23/03/2026</t>
        </is>
      </c>
      <c r="I20104" s="10" t="inlineStr">
        <is>
          <t>17/03/2026</t>
        </is>
      </c>
      <c r="J20104" s="10" t="inlineStr">
        <is>
          <t>Bán lẻ / Bán sỉ, Bán hàng / Kinh doanh, Thương mại điện tử</t>
        </is>
      </c>
      <c r="K20104" s="10" t="inlineStr">
        <is>
          <t>2 - 3 Năm</t>
        </is>
      </c>
      <c r="L20104" s="11">
        <f>HYPERLINK("https://careerviet.vn/vi/tim-viec-lam/nhan-vien-tu-van-ban-hang.35C6398F.html","Xem chi tiết")</f>
        <v/>
      </c>
      <c r="M20104" s="10" t="n"/>
    </row>
    <row r="20105">
      <c r="B20105" s="7" t="n">
        <v>20103</v>
      </c>
      <c r="C20105" t="inlineStr">
        <is>
          <t>Chuyên Viên Tuyển Dụng (Mass - Nhà Máy)</t>
        </is>
      </c>
      <c r="D20105" t="inlineStr">
        <is>
          <t>Công ty TNHH MTV Sen Vàng Việt Nam</t>
        </is>
      </c>
      <c r="E20105" t="inlineStr">
        <is>
          <t>Lương:14 Tr - 18 Tr VND</t>
        </is>
      </c>
      <c r="F20105" t="inlineStr">
        <is>
          <t>Hồ Chí Minh</t>
        </is>
      </c>
      <c r="G20105" t="inlineStr">
        <is>
          <t>24-03-2026</t>
        </is>
      </c>
      <c r="H20105" t="inlineStr">
        <is>
          <t>24/03/2026</t>
        </is>
      </c>
      <c r="I20105" t="inlineStr">
        <is>
          <t>17/03/2026</t>
        </is>
      </c>
      <c r="J20105" t="inlineStr">
        <is>
          <t>Nhân sự</t>
        </is>
      </c>
      <c r="K20105" t="inlineStr">
        <is>
          <t>3 - 5 Năm</t>
        </is>
      </c>
      <c r="L20105" s="8">
        <f>HYPERLINK("https://careerviet.vn/vi/tim-viec-lam/chuyen-vien-tuyen-dung-mass-nha-may.35C666BC.html","Xem chi tiết")</f>
        <v/>
      </c>
    </row>
    <row r="20106">
      <c r="B20106" s="9" t="n">
        <v>20104</v>
      </c>
      <c r="C20106" s="10" t="inlineStr">
        <is>
          <t>Hà Nội (Hà Đông)- Nhân viên kinh doanh Ban giao dịch và Đàm phán</t>
        </is>
      </c>
      <c r="D20106" s="10" t="inlineStr">
        <is>
          <t>Cty TNHH Yakult Việt Nam</t>
        </is>
      </c>
      <c r="E20106" s="10" t="inlineStr">
        <is>
          <t>Lương:10 Tr - 19 Tr VND</t>
        </is>
      </c>
      <c r="F20106" s="10" t="inlineStr">
        <is>
          <t>Hà Nội</t>
        </is>
      </c>
      <c r="G20106" s="10" t="inlineStr">
        <is>
          <t>24-03-2026</t>
        </is>
      </c>
      <c r="H20106" s="10" t="inlineStr">
        <is>
          <t>24/03/2026</t>
        </is>
      </c>
      <c r="I20106" s="10" t="inlineStr">
        <is>
          <t>17/03/2026</t>
        </is>
      </c>
      <c r="J20106" s="10" t="inlineStr">
        <is>
          <t>Bán hàng / Kinh doanh</t>
        </is>
      </c>
      <c r="K20106" s="10" t="inlineStr">
        <is>
          <t>1 - 2 Năm</t>
        </is>
      </c>
      <c r="L20106" s="11">
        <f>HYPERLINK("https://careerviet.vn/vi/tim-viec-lam/ha-noi-ha-dong-nhan-vien-kinh-doanh-ban-giao-dich-va-dam-phan.35C65608.html","Xem chi tiết")</f>
        <v/>
      </c>
      <c r="M20106" s="10" t="n"/>
    </row>
    <row r="20107">
      <c r="B20107" s="7" t="n">
        <v>20105</v>
      </c>
      <c r="C20107" t="inlineStr">
        <is>
          <t>Expert, Retail &amp; Small Business Banking Credit Risk Underwriting</t>
        </is>
      </c>
      <c r="D20107" t="inlineStr">
        <is>
          <t>NGÂN HÀNG TMCP KỸ THƯƠNG VIỆT NAM (TECHCOMBANK)</t>
        </is>
      </c>
      <c r="E20107" t="inlineStr">
        <is>
          <t>Lương:Cạnh tranh</t>
        </is>
      </c>
      <c r="F20107" t="inlineStr">
        <is>
          <t>Hà Nội</t>
        </is>
      </c>
      <c r="G20107" t="inlineStr">
        <is>
          <t>24-03-2026</t>
        </is>
      </c>
      <c r="H20107" t="inlineStr">
        <is>
          <t>24/03/2026</t>
        </is>
      </c>
      <c r="I20107" t="inlineStr">
        <is>
          <t>17/03/2026</t>
        </is>
      </c>
      <c r="J20107" t="inlineStr">
        <is>
          <t>Bán hàng / Kinh doanh, Ngân hàng, Tài chính / Đầu tư</t>
        </is>
      </c>
      <c r="K20107" t="inlineStr">
        <is>
          <t>Trên 6 Năm</t>
        </is>
      </c>
      <c r="L20107" s="8">
        <f>HYPERLINK("https://careerviet.vn/vi/tim-viec-lam/expert-retail-small-business-banking-credit-risk-underwriting.35C63BD3.html","Xem chi tiết")</f>
        <v/>
      </c>
    </row>
    <row r="20108">
      <c r="B20108" s="9" t="n">
        <v>20106</v>
      </c>
      <c r="C20108" s="10" t="inlineStr">
        <is>
          <t>Nhân viên hỗ trợ kinh doanh phòng thiết bị điện Công nghiệp</t>
        </is>
      </c>
      <c r="D20108" s="10" t="inlineStr">
        <is>
          <t>CÔNG TY TNHH PHÁT TRIỂN KỸ THUẬT VIỆT NAM</t>
        </is>
      </c>
      <c r="E20108" s="10" t="inlineStr">
        <is>
          <t>Lương:Trên 10 Tr VND</t>
        </is>
      </c>
      <c r="F20108" s="10" t="inlineStr">
        <is>
          <t>Hà Nội</t>
        </is>
      </c>
      <c r="G20108" s="10" t="inlineStr">
        <is>
          <t>24-03-2026</t>
        </is>
      </c>
      <c r="H20108" s="10" t="inlineStr">
        <is>
          <t>24/03/2026</t>
        </is>
      </c>
      <c r="I20108" s="10" t="inlineStr">
        <is>
          <t>17/03/2026</t>
        </is>
      </c>
      <c r="J20108" s="10" t="inlineStr">
        <is>
          <t>Bán hàng / Kinh doanh, Bán Hàng Kỹ Thuật, Điện / Điện tử / Điện lạnh / Điện công nghiệp</t>
        </is>
      </c>
      <c r="K20108" s="10" t="inlineStr">
        <is>
          <t>Trên 3 Năm</t>
        </is>
      </c>
      <c r="L20108" s="11">
        <f>HYPERLINK("https://careerviet.vn/vi/tim-viec-lam/nhan-vien-ho-tro-kinh-doanh-phong-thiet-bi-dien-cong-nghiep.35C6674A.html","Xem chi tiết")</f>
        <v/>
      </c>
      <c r="M20108" s="10" t="n"/>
    </row>
    <row r="20109">
      <c r="B20109" s="7" t="n">
        <v>20107</v>
      </c>
      <c r="C20109" t="inlineStr">
        <is>
          <t>Chuyên Viên Quan Hệ Khách Hàng - [BAC A BANK - Chi nhánh Hòa Bình/Hải Dương/Thái Nguyên/Thái Bình]</t>
        </is>
      </c>
      <c r="D20109" t="inlineStr">
        <is>
          <t>Ngân Hàng Thương mại cổ phần Bắc Á- BAC A BANK</t>
        </is>
      </c>
      <c r="E20109" t="inlineStr">
        <is>
          <t>Lương:Cạnh tranh</t>
        </is>
      </c>
      <c r="F20109" t="inlineStr">
        <is>
          <t>Hòa BìnhThái NguyênVĩnh Phúc</t>
        </is>
      </c>
      <c r="G20109" t="inlineStr">
        <is>
          <t>6</t>
        </is>
      </c>
      <c r="H20109" t="inlineStr">
        <is>
          <t>23/03/2026</t>
        </is>
      </c>
      <c r="I20109" t="inlineStr">
        <is>
          <t>17/03/2026</t>
        </is>
      </c>
      <c r="J20109" t="inlineStr">
        <is>
          <t>Mới tốt nghiệp / Thực tập, Ngân hàng</t>
        </is>
      </c>
      <c r="K20109" t="inlineStr">
        <is>
          <t>Chưa có kinh nghiệm</t>
        </is>
      </c>
      <c r="L20109" s="8">
        <f>HYPERLINK("https://careerviet.vn/vi/tim-viec-lam/chuyen-vien-quan-he-khach-hang-bac-a-bank-chi-nhanh-hoa-binh-hai-duong-thai-nguyen-thai-binh.35C63A3F.html","Xem chi tiết")</f>
        <v/>
      </c>
    </row>
    <row r="20110">
      <c r="B20110" s="9" t="n">
        <v>20108</v>
      </c>
      <c r="C20110" s="10" t="inlineStr">
        <is>
          <t>Kỹ Sư QS</t>
        </is>
      </c>
      <c r="D20110" s="10" t="inlineStr">
        <is>
          <t>CÔNG TY TNHH SX XD TM ĐẠI Á CHÂU</t>
        </is>
      </c>
      <c r="E20110" s="10" t="inlineStr">
        <is>
          <t>Lương:12 Tr - 16 Tr VND</t>
        </is>
      </c>
      <c r="F20110" s="10" t="inlineStr">
        <is>
          <t>Hồ Chí Minh</t>
        </is>
      </c>
      <c r="G20110" s="10" t="inlineStr">
        <is>
          <t>6</t>
        </is>
      </c>
      <c r="H20110" s="10" t="inlineStr">
        <is>
          <t>23/03/2026</t>
        </is>
      </c>
      <c r="I20110" s="10" t="inlineStr">
        <is>
          <t>17/03/2026</t>
        </is>
      </c>
      <c r="J20110" s="10" t="inlineStr">
        <is>
          <t>Kiến trúc, Xây dựng, Quản lý chất lượng (QA/QC)</t>
        </is>
      </c>
      <c r="K20110" s="10" t="inlineStr">
        <is>
          <t>1 - 2 Năm</t>
        </is>
      </c>
      <c r="L20110" s="11">
        <f>HYPERLINK("https://careerviet.vn/vi/tim-viec-lam/ky-su-qs.35C639C9.html","Xem chi tiết")</f>
        <v/>
      </c>
      <c r="M20110" s="10" t="n"/>
    </row>
    <row r="20111">
      <c r="B20111" s="7" t="n">
        <v>20109</v>
      </c>
      <c r="C20111" t="inlineStr">
        <is>
          <t>[Khu vực HCM] - CV/CVC/CVCC Quan hệ Khách hàng Cá nhân</t>
        </is>
      </c>
      <c r="D20111" t="inlineStr">
        <is>
          <t>Ngân hàng TMCP Lộc Phát Việt Nam (LPBank)</t>
        </is>
      </c>
      <c r="E20111" t="inlineStr">
        <is>
          <t>Lương:Cạnh tranh</t>
        </is>
      </c>
      <c r="F20111" t="inlineStr">
        <is>
          <t>Hồ Chí Minh</t>
        </is>
      </c>
      <c r="G20111" t="inlineStr">
        <is>
          <t>24-03-2026</t>
        </is>
      </c>
      <c r="H20111" t="inlineStr">
        <is>
          <t>24/03/2026</t>
        </is>
      </c>
      <c r="I20111" t="inlineStr">
        <is>
          <t>17/03/2026</t>
        </is>
      </c>
      <c r="J20111" t="inlineStr">
        <is>
          <t>Bán hàng / Kinh doanh, Kế toán / Kiểm toán, Ngân hàng</t>
        </is>
      </c>
      <c r="K20111" t="inlineStr">
        <is>
          <t>N/A</t>
        </is>
      </c>
      <c r="L20111" s="8">
        <f>HYPERLINK("https://careerviet.vn/vi/tim-viec-lam/khu-vuc-hcm-cv-cvc-cvcc-quan-he-khach-hang-ca-nhan.35C66650.html","Xem chi tiết")</f>
        <v/>
      </c>
    </row>
    <row r="20112">
      <c r="B20112" s="9" t="n">
        <v>20110</v>
      </c>
      <c r="C20112" s="10" t="inlineStr">
        <is>
          <t>Kinh doanh dự án điện thông minh</t>
        </is>
      </c>
      <c r="D20112" s="10" t="inlineStr">
        <is>
          <t>CÔNG TY TNHH PHÁT TRIỂN KỸ THUẬT VIỆT NAM</t>
        </is>
      </c>
      <c r="E20112" s="10" t="inlineStr">
        <is>
          <t>Lương:15 Tr - 30 Tr VND</t>
        </is>
      </c>
      <c r="F20112" s="10" t="inlineStr">
        <is>
          <t>Hà Nội</t>
        </is>
      </c>
      <c r="G20112" s="10" t="inlineStr">
        <is>
          <t>24-03-2026</t>
        </is>
      </c>
      <c r="H20112" s="10" t="inlineStr">
        <is>
          <t>24/03/2026</t>
        </is>
      </c>
      <c r="I20112" s="10" t="inlineStr">
        <is>
          <t>17/03/2026</t>
        </is>
      </c>
      <c r="J20112" s="10" t="inlineStr">
        <is>
          <t>Bán hàng / Kinh doanh, Tư vấn</t>
        </is>
      </c>
      <c r="K20112" s="10" t="inlineStr">
        <is>
          <t>Trên 3 Năm</t>
        </is>
      </c>
      <c r="L20112" s="11">
        <f>HYPERLINK("https://careerviet.vn/vi/tim-viec-lam/kinh-doanh-du-an-dien-thong-minh.35C66751.html","Xem chi tiết")</f>
        <v/>
      </c>
      <c r="M20112" s="10" t="n"/>
    </row>
    <row r="20113">
      <c r="B20113" s="7" t="n">
        <v>20111</v>
      </c>
      <c r="C20113" t="inlineStr">
        <is>
          <t>Trưởng nhóm Kế toán Thuế</t>
        </is>
      </c>
      <c r="D20113" t="inlineStr">
        <is>
          <t>Công ty TNHH Vạn Niên</t>
        </is>
      </c>
      <c r="E20113" t="inlineStr">
        <is>
          <t>Lương:14 Tr - 20 Tr VND</t>
        </is>
      </c>
      <c r="F20113" t="inlineStr">
        <is>
          <t>Hà Nội</t>
        </is>
      </c>
      <c r="G20113" t="inlineStr">
        <is>
          <t>24-03-2026</t>
        </is>
      </c>
      <c r="H20113" t="inlineStr">
        <is>
          <t>24/03/2026</t>
        </is>
      </c>
      <c r="I20113" t="inlineStr">
        <is>
          <t>17/03/2026</t>
        </is>
      </c>
      <c r="J20113" t="inlineStr">
        <is>
          <t>Kế toán / Kiểm toán, Ngân hàng, Tài chính / Đầu tư</t>
        </is>
      </c>
      <c r="K20113" t="inlineStr">
        <is>
          <t>5 - 10 Năm</t>
        </is>
      </c>
      <c r="L20113" s="8">
        <f>HYPERLINK("https://careerviet.vn/vi/tim-viec-lam/truong-nhom-ke-toan-thue.35C66726.html","Xem chi tiết")</f>
        <v/>
      </c>
    </row>
    <row r="20114">
      <c r="B20114" s="9" t="n">
        <v>20112</v>
      </c>
      <c r="C20114" s="10" t="inlineStr">
        <is>
          <t>Trưởng Bộ Phận Thu Hồi Nợ Hiện Trường - Hồ Chí Minh, Bình Định, Khánh Hòa, An Giang - TA080</t>
        </is>
      </c>
      <c r="D20114" s="10" t="inlineStr">
        <is>
          <t>Ngân Hàng TMCP Việt Nam Thịnh Vượng - VPBANK</t>
        </is>
      </c>
      <c r="E20114" s="10" t="inlineStr">
        <is>
          <t>Lương:Cạnh tranh</t>
        </is>
      </c>
      <c r="F20114" s="10" t="inlineStr">
        <is>
          <t>Hồ Chí MinhKhánh HòaBình Định</t>
        </is>
      </c>
      <c r="G20114" s="10" t="inlineStr">
        <is>
          <t>24-03-2026</t>
        </is>
      </c>
      <c r="H20114" s="10" t="inlineStr">
        <is>
          <t>24/03/2026</t>
        </is>
      </c>
      <c r="I20114" s="10" t="inlineStr">
        <is>
          <t>17/03/2026</t>
        </is>
      </c>
      <c r="J20114" s="10" t="inlineStr">
        <is>
          <t>Luật / Pháp lý, Ngân hàng, Quản lý chất lượng (QA/QC)</t>
        </is>
      </c>
      <c r="K20114" s="10" t="inlineStr">
        <is>
          <t>3 - 4 Năm</t>
        </is>
      </c>
      <c r="L20114" s="11">
        <f>HYPERLINK("https://careerviet.vn/vi/tim-viec-lam/truong-bo-phan-thu-hoi-no-hien-truong-ho-chi-minh-binh-dinh-khanh-hoa-an-giang-ta080.35C66488.html","Xem chi tiết")</f>
        <v/>
      </c>
      <c r="M20114" s="10" t="n"/>
    </row>
    <row r="20115">
      <c r="B20115" s="7" t="n">
        <v>20113</v>
      </c>
      <c r="C20115" t="inlineStr">
        <is>
          <t>Bắc Kạn - Nhân viên vận hành trạm xử lý nước thải</t>
        </is>
      </c>
      <c r="D20115" t="inlineStr">
        <is>
          <t>CÔNG TY CỔ PHẦN TẬP ĐOÀN ONSEN FUJI</t>
        </is>
      </c>
      <c r="E20115" t="inlineStr">
        <is>
          <t>Lương:8 Tr - 15 Tr VND</t>
        </is>
      </c>
      <c r="F20115" t="inlineStr">
        <is>
          <t>Bắc Cạn</t>
        </is>
      </c>
      <c r="G20115" t="inlineStr">
        <is>
          <t>24-03-2026</t>
        </is>
      </c>
      <c r="H20115" t="inlineStr">
        <is>
          <t>24/03/2026</t>
        </is>
      </c>
      <c r="I20115" t="inlineStr">
        <is>
          <t>17/03/2026</t>
        </is>
      </c>
      <c r="J20115" t="inlineStr">
        <is>
          <t>Môi trường, Cơ khí / Ô tô / Tự động hóa, Điện / Điện tử / Điện lạnh / Điện công nghiệp</t>
        </is>
      </c>
      <c r="K20115" t="inlineStr">
        <is>
          <t>1 - 2 Năm</t>
        </is>
      </c>
      <c r="L20115" s="8">
        <f>HYPERLINK("https://careerviet.vn/vi/tim-viec-lam/bac-kan-nhan-vien-van-hanh-tram-xu-ly-nuoc-thai.35C6676F.html","Xem chi tiết")</f>
        <v/>
      </c>
    </row>
    <row r="20116">
      <c r="B20116" s="9" t="n">
        <v>20114</v>
      </c>
      <c r="C20116" s="10" t="inlineStr">
        <is>
          <t>NHÂN VIÊN KẾ TOÁN THỜI VỤ 7 THÁNG (THU NHẬP 8-9 TR)</t>
        </is>
      </c>
      <c r="D20116" s="10" t="inlineStr">
        <is>
          <t>Công Ty Cổ Phần Quốc Tế Sơn Hà</t>
        </is>
      </c>
      <c r="E20116" s="10" t="inlineStr">
        <is>
          <t>Lương:8 Tr - 9 Tr VND</t>
        </is>
      </c>
      <c r="F20116" s="10" t="inlineStr">
        <is>
          <t>Nghệ An</t>
        </is>
      </c>
      <c r="G20116" s="10" t="inlineStr">
        <is>
          <t>24-03-2026</t>
        </is>
      </c>
      <c r="H20116" s="10" t="inlineStr">
        <is>
          <t>24/03/2026</t>
        </is>
      </c>
      <c r="I20116" s="10" t="inlineStr">
        <is>
          <t>17/03/2026</t>
        </is>
      </c>
      <c r="J20116" s="10" t="inlineStr">
        <is>
          <t>Kế toán / Kiểm toán</t>
        </is>
      </c>
      <c r="K20116" s="10" t="inlineStr">
        <is>
          <t>Trên 2 Năm</t>
        </is>
      </c>
      <c r="L20116" s="11">
        <f>HYPERLINK("https://careerviet.vn/vi/tim-viec-lam/nhan-vien-ke-toan-thoi-vu-7-thang-thu-nhap-8-9-tr.35C6679B.html","Xem chi tiết")</f>
        <v/>
      </c>
      <c r="M20116" s="10" t="n"/>
    </row>
    <row r="20117">
      <c r="B20117" s="7" t="n">
        <v>20115</v>
      </c>
      <c r="C20117" t="inlineStr">
        <is>
          <t>Sales Admin</t>
        </is>
      </c>
      <c r="D20117" t="inlineStr">
        <is>
          <t>CÔNG TY CỔ PHẦN NƯỚC KHOÁNG KHÁNH HÒA</t>
        </is>
      </c>
      <c r="E20117" t="inlineStr">
        <is>
          <t>Lương:7 Tr - 8 Tr VND</t>
        </is>
      </c>
      <c r="F20117" t="inlineStr">
        <is>
          <t>Khánh Hòa</t>
        </is>
      </c>
      <c r="G20117" t="inlineStr">
        <is>
          <t>24-03-2026</t>
        </is>
      </c>
      <c r="H20117" t="inlineStr">
        <is>
          <t>24/03/2026</t>
        </is>
      </c>
      <c r="I20117" t="inlineStr">
        <is>
          <t>17/03/2026</t>
        </is>
      </c>
      <c r="J20117" t="inlineStr">
        <is>
          <t>Bán hàng / Kinh doanh</t>
        </is>
      </c>
      <c r="K20117" t="inlineStr">
        <is>
          <t>1 - 5 Năm</t>
        </is>
      </c>
      <c r="L20117" s="8">
        <f>HYPERLINK("https://careerviet.vn/vi/tim-viec-lam/sales-admin.35C63AD4.html","Xem chi tiết")</f>
        <v/>
      </c>
    </row>
    <row r="20118">
      <c r="B20118" s="9" t="n">
        <v>20116</v>
      </c>
      <c r="C20118" s="10" t="inlineStr">
        <is>
          <t>Giám Sát Cửa Hàng F&amp;B</t>
        </is>
      </c>
      <c r="D20118" s="10" t="inlineStr">
        <is>
          <t>Công ty TNHH Sản xuất Thương mại &amp; Dịch vụ Hoa Xinh</t>
        </is>
      </c>
      <c r="E20118" s="10" t="inlineStr">
        <is>
          <t>Lương:10 Tr - 20 Tr VND</t>
        </is>
      </c>
      <c r="F20118" s="10" t="inlineStr">
        <is>
          <t>Bà Rịa - Vũng Tàu</t>
        </is>
      </c>
      <c r="G20118" s="10" t="inlineStr">
        <is>
          <t>24-03-2026</t>
        </is>
      </c>
      <c r="H20118" s="10" t="inlineStr">
        <is>
          <t>24/03/2026</t>
        </is>
      </c>
      <c r="I20118" s="10" t="inlineStr">
        <is>
          <t>17/03/2026</t>
        </is>
      </c>
      <c r="J20118" s="10" t="inlineStr">
        <is>
          <t>Thực phẩm &amp; Đồ uống, Nhà hàng / Khách sạn, Bán lẻ / Bán sỉ</t>
        </is>
      </c>
      <c r="K20118" s="10" t="inlineStr">
        <is>
          <t>1 - 5 Năm</t>
        </is>
      </c>
      <c r="L20118" s="11">
        <f>HYPERLINK("https://careerviet.vn/vi/tim-viec-lam/giam-sat-cua-hang-f-b.35C63B34.html","Xem chi tiết")</f>
        <v/>
      </c>
      <c r="M20118" s="10" t="n"/>
    </row>
    <row r="20119">
      <c r="B20119" s="7" t="n">
        <v>20117</v>
      </c>
      <c r="C20119" t="inlineStr">
        <is>
          <t>NHÂN VIÊN KỸ THUẬT (BP TEST)</t>
        </is>
      </c>
      <c r="D20119" t="inlineStr">
        <is>
          <t>Công ty TNHH Sài Gòn Stec</t>
        </is>
      </c>
      <c r="E20119" t="inlineStr">
        <is>
          <t>Lương:8 Tr - 12 Tr VND</t>
        </is>
      </c>
      <c r="F20119" t="inlineStr">
        <is>
          <t>Bình Dương</t>
        </is>
      </c>
      <c r="G20119" t="inlineStr">
        <is>
          <t>24-03-2026</t>
        </is>
      </c>
      <c r="H20119" t="inlineStr">
        <is>
          <t>24/03/2026</t>
        </is>
      </c>
      <c r="I20119" t="inlineStr">
        <is>
          <t>17/03/2026</t>
        </is>
      </c>
      <c r="J20119" t="inlineStr">
        <is>
          <t>Cơ khí / Ô tô / Tự động hóa, Điện / Điện tử / Điện lạnh / Điện công nghiệp, Bảo trì / Sửa chữa</t>
        </is>
      </c>
      <c r="K20119" t="inlineStr">
        <is>
          <t>N/A</t>
        </is>
      </c>
      <c r="L20119" s="8">
        <f>HYPERLINK("https://careerviet.vn/vi/tim-viec-lam/nhan-vien-ky-thuat-bp-test.35C63C08.html","Xem chi tiết")</f>
        <v/>
      </c>
    </row>
    <row r="20120">
      <c r="B20120" s="9" t="n">
        <v>20118</v>
      </c>
      <c r="C20120" s="10" t="inlineStr">
        <is>
          <t>NHÂN VIÊN KỸ THUẬT</t>
        </is>
      </c>
      <c r="D20120" s="10" t="inlineStr">
        <is>
          <t>CÔNG TY TNHH ĐÚC BÌNH ĐƯỜNG</t>
        </is>
      </c>
      <c r="E20120" s="10" t="inlineStr">
        <is>
          <t>Lương:Trên 10 Tr VND</t>
        </is>
      </c>
      <c r="F20120" s="10" t="inlineStr">
        <is>
          <t>Bình Dương</t>
        </is>
      </c>
      <c r="G20120" s="10" t="inlineStr">
        <is>
          <t>24-03-2026</t>
        </is>
      </c>
      <c r="H20120" s="10" t="inlineStr">
        <is>
          <t>24/03/2026</t>
        </is>
      </c>
      <c r="I20120" s="10" t="inlineStr">
        <is>
          <t>17/03/2026</t>
        </is>
      </c>
      <c r="J20120" s="10" t="inlineStr">
        <is>
          <t>Hàng hải, Cơ khí / Ô tô / Tự động hóa, Bảo trì / Sửa chữa</t>
        </is>
      </c>
      <c r="K20120" s="10" t="inlineStr">
        <is>
          <t>1 - 5 Năm</t>
        </is>
      </c>
      <c r="L20120" s="11">
        <f>HYPERLINK("https://careerviet.vn/vi/tim-viec-lam/nhan-vien-ky-thuat.35C6629E.html","Xem chi tiết")</f>
        <v/>
      </c>
      <c r="M20120" s="10" t="n"/>
    </row>
    <row r="20121">
      <c r="B20121" s="7" t="n">
        <v>20119</v>
      </c>
      <c r="C20121" t="inlineStr">
        <is>
          <t>Trưởng phòng Pháp lý Xử lý nợ  (mảng Thi hành án) -Hà Nội, Nghệ An, Thanh Hóa, Nam Định  - TA079</t>
        </is>
      </c>
      <c r="D20121" t="inlineStr">
        <is>
          <t>Ngân Hàng TMCP Việt Nam Thịnh Vượng - VPBANK</t>
        </is>
      </c>
      <c r="E20121" t="inlineStr">
        <is>
          <t>Lương:Cạnh tranh</t>
        </is>
      </c>
      <c r="F20121" t="inlineStr">
        <is>
          <t>Hà NộiKV Bắc Trung BộThanh Hóa</t>
        </is>
      </c>
      <c r="G20121" t="inlineStr">
        <is>
          <t>24-03-2026</t>
        </is>
      </c>
      <c r="H20121" t="inlineStr">
        <is>
          <t>24/03/2026</t>
        </is>
      </c>
      <c r="I20121" t="inlineStr">
        <is>
          <t>17/03/2026</t>
        </is>
      </c>
      <c r="J20121" t="inlineStr">
        <is>
          <t>Luật / Pháp lý, Ngân hàng, Tài chính / Đầu tư</t>
        </is>
      </c>
      <c r="K20121" t="inlineStr">
        <is>
          <t>3 - 5 Năm</t>
        </is>
      </c>
      <c r="L20121" s="8">
        <f>HYPERLINK("https://careerviet.vn/vi/tim-viec-lam/truong-phong-phap-ly-xu-ly-no-mang-thi-hanh-an-ha-noi-nghe-an-thanh-hoa-nam-dinh-ta079.35C66753.html","Xem chi tiết")</f>
        <v/>
      </c>
    </row>
    <row r="20122">
      <c r="B20122" s="9" t="n">
        <v>20120</v>
      </c>
      <c r="C20122" s="10" t="inlineStr">
        <is>
          <t>Chuyên viên Khách hàng Cá nhân - CN. Sóc Trăng (CN25.322)</t>
        </is>
      </c>
      <c r="D20122" s="10" t="inlineStr">
        <is>
          <t>Ngân Hàng TMCP Quân Đội</t>
        </is>
      </c>
      <c r="E20122" s="10" t="inlineStr">
        <is>
          <t>Lương:Cạnh tranh</t>
        </is>
      </c>
      <c r="F20122" s="10" t="inlineStr">
        <is>
          <t>Sóc Trăng</t>
        </is>
      </c>
      <c r="G20122" s="10" t="inlineStr">
        <is>
          <t>24-03-2026</t>
        </is>
      </c>
      <c r="H20122" s="10" t="inlineStr">
        <is>
          <t>24/03/2026</t>
        </is>
      </c>
      <c r="I20122" s="10" t="inlineStr">
        <is>
          <t>17/03/2026</t>
        </is>
      </c>
      <c r="J20122" s="10" t="inlineStr">
        <is>
          <t>Ngân hàng, Tư vấn, Bán hàng / Kinh doanh</t>
        </is>
      </c>
      <c r="K20122" s="10" t="inlineStr">
        <is>
          <t>N/A</t>
        </is>
      </c>
      <c r="L20122" s="11">
        <f>HYPERLINK("https://careerviet.vn/vi/tim-viec-lam/chuyen-vien-khach-hang-ca-nhan-cn-soc-trang-cn25-322.35C63C52.html","Xem chi tiết")</f>
        <v/>
      </c>
      <c r="M20122" s="10" t="n"/>
    </row>
    <row r="20123">
      <c r="B20123" s="7" t="n">
        <v>20121</v>
      </c>
      <c r="C20123" t="inlineStr">
        <is>
          <t>Nhân Viên Thu Hồi Nợ Hiện Trường - Đông Nam Bộ - TA080</t>
        </is>
      </c>
      <c r="D20123" t="inlineStr">
        <is>
          <t>Ngân Hàng TMCP Việt Nam Thịnh Vượng - VPBANK</t>
        </is>
      </c>
      <c r="E20123" t="inlineStr">
        <is>
          <t>Lương:15 Tr - 30 Tr VND</t>
        </is>
      </c>
      <c r="F20123" t="inlineStr">
        <is>
          <t>Hồ Chí MinhBình DươngBình Phước</t>
        </is>
      </c>
      <c r="G20123" t="inlineStr">
        <is>
          <t>24-03-2026</t>
        </is>
      </c>
      <c r="H20123" t="inlineStr">
        <is>
          <t>24/03/2026</t>
        </is>
      </c>
      <c r="I20123" t="inlineStr">
        <is>
          <t>17/03/2026</t>
        </is>
      </c>
      <c r="J20123" t="inlineStr">
        <is>
          <t>Bán hàng / Kinh doanh, Ngân hàng, Tài chính / Đầu tư</t>
        </is>
      </c>
      <c r="K20123" t="inlineStr">
        <is>
          <t>Chưa có kinh nghiệm</t>
        </is>
      </c>
      <c r="L20123" s="8">
        <f>HYPERLINK("https://careerviet.vn/vi/tim-viec-lam/nhan-vien-thu-hoi-no-hien-truong-dong-nam-bo-ta080.35C66435.html","Xem chi tiết")</f>
        <v/>
      </c>
    </row>
    <row r="20124">
      <c r="B20124" s="9" t="n">
        <v>20122</v>
      </c>
      <c r="C20124" s="10" t="inlineStr">
        <is>
          <t>Chuyên Viên Kinh Doanh (Kênh Bảo Hiểm)</t>
        </is>
      </c>
      <c r="D20124" s="10" t="inlineStr">
        <is>
          <t>Công ty cổ phần Dripcare Global Holding</t>
        </is>
      </c>
      <c r="E20124" s="10" t="inlineStr">
        <is>
          <t>Lương:Cạnh tranh</t>
        </is>
      </c>
      <c r="F20124" s="10" t="inlineStr">
        <is>
          <t>Hà Nội</t>
        </is>
      </c>
      <c r="G20124" s="10" t="inlineStr">
        <is>
          <t>24-03-2026</t>
        </is>
      </c>
      <c r="H20124" s="10" t="inlineStr">
        <is>
          <t>24/03/2026</t>
        </is>
      </c>
      <c r="I20124" s="10" t="inlineStr">
        <is>
          <t>17/03/2026</t>
        </is>
      </c>
      <c r="J20124" s="10" t="inlineStr">
        <is>
          <t>Y tế / Chăm sóc sức khỏe / Thẩm mỹ / Làm đẹp, Bảo hiểm</t>
        </is>
      </c>
      <c r="K20124" s="10" t="inlineStr">
        <is>
          <t>2 - 3 Năm</t>
        </is>
      </c>
      <c r="L20124" s="11">
        <f>HYPERLINK("https://careerviet.vn/vi/tim-viec-lam/chuyen-vien-kinh-doanh-kenh-bao-hiem.35C63B81.html","Xem chi tiết")</f>
        <v/>
      </c>
      <c r="M20124" s="10" t="n"/>
    </row>
    <row r="20125">
      <c r="B20125" s="7" t="n">
        <v>20123</v>
      </c>
      <c r="C20125" t="inlineStr">
        <is>
          <t>Trưởng phòng thiết kế thời trang tại Hà Nội - Thu nhập upto 30tr+++</t>
        </is>
      </c>
      <c r="D20125" t="inlineStr">
        <is>
          <t>Công ty TNHH Minh Hương P.N.D (thương hiệu thời trang mặc nhà cao cấp Sunfly)</t>
        </is>
      </c>
      <c r="E20125" t="inlineStr">
        <is>
          <t>Lương:20 Tr - 30 Tr VND</t>
        </is>
      </c>
      <c r="F20125" t="inlineStr">
        <is>
          <t>Hà Nội</t>
        </is>
      </c>
      <c r="G20125" t="inlineStr">
        <is>
          <t>24-03-2026</t>
        </is>
      </c>
      <c r="H20125" t="inlineStr">
        <is>
          <t>24/03/2026</t>
        </is>
      </c>
      <c r="I20125" t="inlineStr">
        <is>
          <t>17/03/2026</t>
        </is>
      </c>
      <c r="J20125" t="inlineStr">
        <is>
          <t>Mỹ thuật / Nghệ thuật / Thiết kế, Dệt may / Da giày / Thời trang, Ngành khác</t>
        </is>
      </c>
      <c r="K20125" t="inlineStr">
        <is>
          <t>2 - 4 Năm</t>
        </is>
      </c>
      <c r="L20125" s="8">
        <f>HYPERLINK("https://careerviet.vn/vi/tim-viec-lam/truong-phong-thiet-ke-thoi-trang-tai-ha-noi-thu-nhap-upto-30tr.35C6670C.html","Xem chi tiết")</f>
        <v/>
      </c>
    </row>
    <row r="20126">
      <c r="B20126" s="9" t="n">
        <v>20124</v>
      </c>
      <c r="C20126" s="10" t="inlineStr">
        <is>
          <t>Nhân viên QC tiếng trung</t>
        </is>
      </c>
      <c r="D20126" s="10" t="inlineStr">
        <is>
          <t>CÔNG TY TNHH EON INDUSTRY VIỆT NAM</t>
        </is>
      </c>
      <c r="E20126" s="10" t="inlineStr">
        <is>
          <t>Lương:Cạnh tranh</t>
        </is>
      </c>
      <c r="F20126" s="10" t="inlineStr">
        <is>
          <t>Thừa Thiên- Huế</t>
        </is>
      </c>
      <c r="G20126" s="10" t="inlineStr">
        <is>
          <t>24-03-2026</t>
        </is>
      </c>
      <c r="H20126" s="10" t="inlineStr">
        <is>
          <t>24/03/2026</t>
        </is>
      </c>
      <c r="I20126" s="10" t="inlineStr">
        <is>
          <t>17/03/2026</t>
        </is>
      </c>
      <c r="J20126" s="10" t="inlineStr">
        <is>
          <t>Biên phiên dịch, Quản lý chất lượng (QA/QC), Ngành khác</t>
        </is>
      </c>
      <c r="K20126" s="10" t="inlineStr">
        <is>
          <t>1 - 5 Năm</t>
        </is>
      </c>
      <c r="L20126" s="11">
        <f>HYPERLINK("https://careerviet.vn/vi/tim-viec-lam/nhan-vien-qc-tieng-trung.35C63B3B.html","Xem chi tiết")</f>
        <v/>
      </c>
      <c r="M20126" s="10" t="n"/>
    </row>
    <row r="20127">
      <c r="B20127" s="7" t="n">
        <v>20125</v>
      </c>
      <c r="C20127" t="inlineStr">
        <is>
          <t>Chuyên viên kinh doanh hệ thống đèn hiệu sân bay</t>
        </is>
      </c>
      <c r="D20127" t="inlineStr">
        <is>
          <t>CÔNG TY TNHH PHÁT TRIỂN KỸ THUẬT VIỆT NAM</t>
        </is>
      </c>
      <c r="E20127" t="inlineStr">
        <is>
          <t>Lương:15 Tr - 25 Tr VND</t>
        </is>
      </c>
      <c r="F20127" t="inlineStr">
        <is>
          <t>Hà Nội</t>
        </is>
      </c>
      <c r="G20127" t="inlineStr">
        <is>
          <t>24-03-2026</t>
        </is>
      </c>
      <c r="H20127" t="inlineStr">
        <is>
          <t>24/03/2026</t>
        </is>
      </c>
      <c r="I20127" t="inlineStr">
        <is>
          <t>17/03/2026</t>
        </is>
      </c>
      <c r="J20127" t="inlineStr">
        <is>
          <t>Bán hàng / Kinh doanh, Tư vấn, Điện / Điện tử / Điện lạnh / Điện công nghiệp</t>
        </is>
      </c>
      <c r="K20127" t="inlineStr">
        <is>
          <t>Trên 2 Năm</t>
        </is>
      </c>
      <c r="L20127" s="8">
        <f>HYPERLINK("https://careerviet.vn/vi/tim-viec-lam/chuyen-vien-kinh-doanh-he-thong-den-hieu-san-bay.35C66760.html","Xem chi tiết")</f>
        <v/>
      </c>
    </row>
    <row r="20128">
      <c r="B20128" s="9" t="n">
        <v>20126</v>
      </c>
      <c r="C20128" s="10" t="inlineStr">
        <is>
          <t>Giám sát bán hàng - khu vực Thái Bình</t>
        </is>
      </c>
      <c r="D20128" s="10" t="inlineStr">
        <is>
          <t>Wipro Consumer Care Vietnam</t>
        </is>
      </c>
      <c r="E20128" s="10" t="inlineStr">
        <is>
          <t>Lương:Cạnh tranh</t>
        </is>
      </c>
      <c r="F20128" s="10" t="inlineStr">
        <is>
          <t>Thái Bình</t>
        </is>
      </c>
      <c r="G20128" s="10" t="inlineStr">
        <is>
          <t>24-03-2026</t>
        </is>
      </c>
      <c r="H20128" s="10" t="inlineStr">
        <is>
          <t>24/03/2026</t>
        </is>
      </c>
      <c r="I20128" s="10" t="inlineStr">
        <is>
          <t>17/03/2026</t>
        </is>
      </c>
      <c r="J20128" s="10" t="inlineStr">
        <is>
          <t>Bán hàng / Kinh doanh</t>
        </is>
      </c>
      <c r="K20128" s="10" t="inlineStr">
        <is>
          <t>Chưa có kinh nghiệm</t>
        </is>
      </c>
      <c r="L20128" s="11">
        <f>HYPERLINK("https://careerviet.vn/vi/tim-viec-lam/giam-sat-ban-hang-khu-vuc-thai-binh.35C63BBF.html","Xem chi tiết")</f>
        <v/>
      </c>
      <c r="M20128" s="10" t="n"/>
    </row>
    <row r="20129">
      <c r="B20129" s="7" t="n">
        <v>20127</v>
      </c>
      <c r="C20129" t="inlineStr">
        <is>
          <t>[Hà Nội] Chuyên Viên Graphic Designer</t>
        </is>
      </c>
      <c r="D20129" t="inlineStr">
        <is>
          <t>Beta Group</t>
        </is>
      </c>
      <c r="E20129" t="inlineStr">
        <is>
          <t>Lương:12 Tr - 20 Tr VND</t>
        </is>
      </c>
      <c r="F20129" t="inlineStr">
        <is>
          <t>Hà Nội</t>
        </is>
      </c>
      <c r="G20129" t="inlineStr">
        <is>
          <t>24-03-2026</t>
        </is>
      </c>
      <c r="H20129" t="inlineStr">
        <is>
          <t>24/03/2026</t>
        </is>
      </c>
      <c r="I20129" t="inlineStr">
        <is>
          <t>17/03/2026</t>
        </is>
      </c>
      <c r="J20129" t="inlineStr">
        <is>
          <t>Mỹ thuật / Nghệ thuật / Thiết kế</t>
        </is>
      </c>
      <c r="K20129" t="inlineStr">
        <is>
          <t>3 - 5 Năm</t>
        </is>
      </c>
      <c r="L20129" s="8">
        <f>HYPERLINK("https://careerviet.vn/vi/tim-viec-lam/ha-noi-chuyen-vien-graphic-designer.35C666D9.html","Xem chi tiết")</f>
        <v/>
      </c>
    </row>
    <row r="20130">
      <c r="B20130" s="9" t="n">
        <v>20128</v>
      </c>
      <c r="C20130" s="10" t="inlineStr">
        <is>
          <t>Planner</t>
        </is>
      </c>
      <c r="D20130" s="10" t="inlineStr">
        <is>
          <t>Jabil Vietnam</t>
        </is>
      </c>
      <c r="E20130" s="10" t="inlineStr">
        <is>
          <t>Lương:Cạnh tranh</t>
        </is>
      </c>
      <c r="F20130" s="10" t="inlineStr">
        <is>
          <t>Hồ Chí Minh</t>
        </is>
      </c>
      <c r="G20130" s="10" t="inlineStr">
        <is>
          <t>24-03-2026</t>
        </is>
      </c>
      <c r="H20130" s="10" t="inlineStr">
        <is>
          <t>24/03/2026</t>
        </is>
      </c>
      <c r="I20130" s="10" t="inlineStr">
        <is>
          <t>17/03/2026</t>
        </is>
      </c>
      <c r="J20130" s="10" t="inlineStr">
        <is>
          <t>Cơ khí / Ô tô / Tự động hóa, Điện / Điện tử / Điện lạnh / Điện công nghiệp, Sản xuất / Vận hành sản xuất</t>
        </is>
      </c>
      <c r="K20130" s="10" t="inlineStr">
        <is>
          <t>2 - 5 Năm</t>
        </is>
      </c>
      <c r="L20130" s="11">
        <f>HYPERLINK("https://careerviet.vn/vi/tim-viec-lam/planner.35C6676E.html","Xem chi tiết")</f>
        <v/>
      </c>
      <c r="M20130" s="10" t="n"/>
    </row>
    <row r="20131">
      <c r="B20131" s="7" t="n">
        <v>20129</v>
      </c>
      <c r="C20131" t="inlineStr">
        <is>
          <t>Nhân Viên Thu Hồi Nợ Hiện Trường - Hòa Bình, Ninh Bình, Nghệ An, Thanh Hóa - TA080</t>
        </is>
      </c>
      <c r="D20131" t="inlineStr">
        <is>
          <t>Ngân Hàng TMCP Việt Nam Thịnh Vượng - VPBANK</t>
        </is>
      </c>
      <c r="E20131" t="inlineStr">
        <is>
          <t>Lương:15 Tr - 30 Tr VND</t>
        </is>
      </c>
      <c r="F20131" t="inlineStr">
        <is>
          <t>Ninh BìnhNghệ AnThanh Hóa</t>
        </is>
      </c>
      <c r="G20131" t="inlineStr">
        <is>
          <t>24-03-2026</t>
        </is>
      </c>
      <c r="H20131" t="inlineStr">
        <is>
          <t>24/03/2026</t>
        </is>
      </c>
      <c r="I20131" t="inlineStr">
        <is>
          <t>17/03/2026</t>
        </is>
      </c>
      <c r="J20131" t="inlineStr">
        <is>
          <t>Bán hàng / Kinh doanh, Ngân hàng, Tài chính / Đầu tư</t>
        </is>
      </c>
      <c r="K20131" t="inlineStr">
        <is>
          <t>Chưa có kinh nghiệm</t>
        </is>
      </c>
      <c r="L20131" s="8">
        <f>HYPERLINK("https://careerviet.vn/vi/tim-viec-lam/nhan-vien-thu-hoi-no-hien-truong-hoa-binh-ninh-binh-nghe-an-thanh-hoa-ta080.35C66436.html","Xem chi tiết")</f>
        <v/>
      </c>
    </row>
    <row r="20132">
      <c r="B20132" s="9" t="n">
        <v>20130</v>
      </c>
      <c r="C20132" s="10" t="inlineStr">
        <is>
          <t>Chuyên viên Kiểm soát Chất lượng Gạo (KCS)</t>
        </is>
      </c>
      <c r="D20132" s="10" t="inlineStr">
        <is>
          <t>Công ty CP Thành Thành Công - Biên Hòa</t>
        </is>
      </c>
      <c r="E20132" s="10" t="inlineStr">
        <is>
          <t>Lương:Cạnh tranh</t>
        </is>
      </c>
      <c r="F20132" s="10" t="inlineStr">
        <is>
          <t>Tây Ninh</t>
        </is>
      </c>
      <c r="G20132" s="10" t="inlineStr">
        <is>
          <t>24-03-2026</t>
        </is>
      </c>
      <c r="H20132" s="10" t="inlineStr">
        <is>
          <t>24/03/2026</t>
        </is>
      </c>
      <c r="I20132" s="10" t="inlineStr">
        <is>
          <t>17/03/2026</t>
        </is>
      </c>
      <c r="J20132" s="10" t="inlineStr">
        <is>
          <t>Quản lý chất lượng (QA/QC)</t>
        </is>
      </c>
      <c r="K20132" s="10" t="inlineStr">
        <is>
          <t>Trên 1 Năm</t>
        </is>
      </c>
      <c r="L20132" s="11">
        <f>HYPERLINK("https://careerviet.vn/vi/tim-viec-lam/chuyen-vien-kiem-soat-chat-luong-gao-kcs.35C66645.html","Xem chi tiết")</f>
        <v/>
      </c>
      <c r="M20132" s="10" t="n"/>
    </row>
    <row r="20133">
      <c r="B20133" s="7" t="n">
        <v>20131</v>
      </c>
      <c r="C20133" t="inlineStr">
        <is>
          <t>NHÂN VIÊN NỘI DUNG &amp; LIVESTREAM VÀ BÁN HÀNG TIKTOK SHOP</t>
        </is>
      </c>
      <c r="D20133" t="inlineStr">
        <is>
          <t>Công ty CP ThienHa Corp</t>
        </is>
      </c>
      <c r="E20133" t="inlineStr">
        <is>
          <t>Lương:8 Tr - 20 Tr VND</t>
        </is>
      </c>
      <c r="F20133" t="inlineStr">
        <is>
          <t>Hà Nội</t>
        </is>
      </c>
      <c r="G20133" t="inlineStr">
        <is>
          <t>24-03-2026</t>
        </is>
      </c>
      <c r="H20133" t="inlineStr">
        <is>
          <t>24/03/2026</t>
        </is>
      </c>
      <c r="I20133" t="inlineStr">
        <is>
          <t>17/03/2026</t>
        </is>
      </c>
      <c r="J20133" t="inlineStr">
        <is>
          <t>Tiếp thị / Marketing, Thương mại điện tử</t>
        </is>
      </c>
      <c r="K20133" t="inlineStr">
        <is>
          <t>Trên 1 Năm</t>
        </is>
      </c>
      <c r="L20133" s="8">
        <f>HYPERLINK("https://careerviet.vn/vi/tim-viec-lam/nhan-vien-noi-dung-livestream-va-ban-hang-tiktok-shop.35C66698.html","Xem chi tiết")</f>
        <v/>
      </c>
    </row>
    <row r="20134">
      <c r="B20134" s="9" t="n">
        <v>20132</v>
      </c>
      <c r="C20134" s="10" t="inlineStr">
        <is>
          <t>Thực tập sinh Bán trú (Dinh dưỡng)  trường học - Pathway School</t>
        </is>
      </c>
      <c r="D20134" s="10" t="inlineStr">
        <is>
          <t>Hệ thống trường Pathway Tuệ Đức</t>
        </is>
      </c>
      <c r="E20134" s="10" t="inlineStr">
        <is>
          <t>Lương:3 Tr - 3,5 Tr VND</t>
        </is>
      </c>
      <c r="F20134" s="10" t="inlineStr">
        <is>
          <t>Hồ Chí Minh</t>
        </is>
      </c>
      <c r="G20134" s="10" t="inlineStr">
        <is>
          <t>24-03-2026</t>
        </is>
      </c>
      <c r="H20134" s="10" t="inlineStr">
        <is>
          <t>24/03/2026</t>
        </is>
      </c>
      <c r="I20134" s="10" t="inlineStr">
        <is>
          <t>17/03/2026</t>
        </is>
      </c>
      <c r="J20134" s="10" t="inlineStr">
        <is>
          <t>Giáo dục / Đào tạo, Mới tốt nghiệp / Thực tập, Công nghệ thực phẩm / Dinh dưỡng</t>
        </is>
      </c>
      <c r="K20134" s="10" t="inlineStr">
        <is>
          <t>N/A</t>
        </is>
      </c>
      <c r="L20134" s="11">
        <f>HYPERLINK("https://careerviet.vn/vi/tim-viec-lam/thuc-tap-sinh-ban-tru-dinh-duong-truong-hoc-pathway-school.35C63B55.html","Xem chi tiết")</f>
        <v/>
      </c>
      <c r="M20134" s="10" t="n"/>
    </row>
    <row r="20135">
      <c r="B20135" s="7" t="n">
        <v>20133</v>
      </c>
      <c r="C20135" t="inlineStr">
        <is>
          <t>Beneunder Nhân viên bán hàng Full-time Vincom Metropolis</t>
        </is>
      </c>
      <c r="D20135" t="inlineStr">
        <is>
          <t>CÔNG TY TNHH WIND SUPPLY CHAIN ONE (VIỆT NAM)</t>
        </is>
      </c>
      <c r="E20135" t="inlineStr">
        <is>
          <t>Lương:8 Tr - 9,5 Tr VND</t>
        </is>
      </c>
      <c r="F20135" t="inlineStr">
        <is>
          <t>Hà Nội</t>
        </is>
      </c>
      <c r="G20135" t="inlineStr">
        <is>
          <t>24-03-2026</t>
        </is>
      </c>
      <c r="H20135" t="inlineStr">
        <is>
          <t>24/03/2026</t>
        </is>
      </c>
      <c r="I20135" t="inlineStr">
        <is>
          <t>17/03/2026</t>
        </is>
      </c>
      <c r="J20135" t="inlineStr">
        <is>
          <t>Bán lẻ / Bán sỉ, Tư vấn, Dịch vụ khách hàng</t>
        </is>
      </c>
      <c r="K20135" t="inlineStr">
        <is>
          <t>N/A</t>
        </is>
      </c>
      <c r="L20135" s="8">
        <f>HYPERLINK("https://careerviet.vn/vi/tim-viec-lam/beneunder-nhan-vien-ban-hang-full-time-vincom-metropolis.35C63B0C.html","Xem chi tiết")</f>
        <v/>
      </c>
    </row>
    <row r="20136">
      <c r="B20136" s="9" t="n">
        <v>20134</v>
      </c>
      <c r="C20136" s="10" t="inlineStr">
        <is>
          <t>Merchandiser (Product Developer Chinese Brand)</t>
        </is>
      </c>
      <c r="D20136" s="10" t="inlineStr">
        <is>
          <t>Công ty TNHH, Liên Doanh Vĩnh Hưng (TMI Việt Nam)</t>
        </is>
      </c>
      <c r="E20136" s="10" t="inlineStr">
        <is>
          <t>Lương:14 Tr - 18 Tr VND</t>
        </is>
      </c>
      <c r="F20136" s="10" t="inlineStr">
        <is>
          <t>Hồ Chí Minh</t>
        </is>
      </c>
      <c r="G20136" s="10" t="inlineStr">
        <is>
          <t>24-03-2026</t>
        </is>
      </c>
      <c r="H20136" s="10" t="inlineStr">
        <is>
          <t>24/03/2026</t>
        </is>
      </c>
      <c r="I20136" s="10" t="inlineStr">
        <is>
          <t>17/03/2026</t>
        </is>
      </c>
      <c r="J20136" s="10" t="inlineStr">
        <is>
          <t>Biên phiên dịch, Dệt may / Da giày / Thời trang, Thu mua / Vật tư</t>
        </is>
      </c>
      <c r="K20136" s="10" t="inlineStr">
        <is>
          <t>Lên đến 5 Năm</t>
        </is>
      </c>
      <c r="L20136" s="11">
        <f>HYPERLINK("https://careerviet.vn/vi/tim-viec-lam/merchandiser-product-developer-chinese-brand.35C6677F.html","Xem chi tiết")</f>
        <v/>
      </c>
      <c r="M20136" s="10" t="n"/>
    </row>
    <row r="20137">
      <c r="B20137" s="7" t="n">
        <v>20135</v>
      </c>
      <c r="C20137" t="inlineStr">
        <is>
          <t>Kế Toán Tổng Hợp</t>
        </is>
      </c>
      <c r="D20137" t="inlineStr">
        <is>
          <t>CÔNG TY TNHH ĐẦU TƯ THƯƠNG MẠI DỊCH VỤ THIÊN BÌNH</t>
        </is>
      </c>
      <c r="E20137" t="inlineStr">
        <is>
          <t>Lương:Cạnh tranh</t>
        </is>
      </c>
      <c r="F20137" t="inlineStr">
        <is>
          <t>Hồ Chí Minh</t>
        </is>
      </c>
      <c r="G20137" t="inlineStr">
        <is>
          <t>23-03-2026</t>
        </is>
      </c>
      <c r="H20137" t="inlineStr">
        <is>
          <t>23/03/2026</t>
        </is>
      </c>
      <c r="I20137" t="inlineStr">
        <is>
          <t>17/03/2026</t>
        </is>
      </c>
      <c r="J20137" t="inlineStr">
        <is>
          <t>Tài chính / Đầu tư, Luật / Pháp lý, Kế toán / Kiểm toán</t>
        </is>
      </c>
      <c r="K20137" t="inlineStr">
        <is>
          <t>Trên 3 Năm</t>
        </is>
      </c>
      <c r="L20137" s="8">
        <f>HYPERLINK("https://careerviet.vn/vi/tim-viec-lam/ke-toan-tong-hop.35C6675D.html","Xem chi tiết")</f>
        <v/>
      </c>
    </row>
    <row r="20138">
      <c r="B20138" s="9" t="n">
        <v>20136</v>
      </c>
      <c r="C20138" s="10" t="inlineStr">
        <is>
          <t>Trưởng Phòng Quản Trị Nhân Sự Hành Chính</t>
        </is>
      </c>
      <c r="D20138" s="10" t="inlineStr">
        <is>
          <t>Công ty Cổ phần Công nghiệp &amp; Đầu tư An Phát</t>
        </is>
      </c>
      <c r="E20138" s="10" t="inlineStr">
        <is>
          <t>Lương:30 Tr - 40 Tr VND</t>
        </is>
      </c>
      <c r="F20138" s="10" t="inlineStr">
        <is>
          <t>Hà Nội</t>
        </is>
      </c>
      <c r="G20138" s="10" t="inlineStr">
        <is>
          <t>24-03-2026</t>
        </is>
      </c>
      <c r="H20138" s="10" t="inlineStr">
        <is>
          <t>24/03/2026</t>
        </is>
      </c>
      <c r="I20138" s="10" t="inlineStr">
        <is>
          <t>17/03/2026</t>
        </is>
      </c>
      <c r="J20138" s="10" t="inlineStr">
        <is>
          <t>Hành chính / Thư ký, Nhân sự, Quản lý điều hành</t>
        </is>
      </c>
      <c r="K20138" s="10" t="inlineStr">
        <is>
          <t>3 - 6 Năm</t>
        </is>
      </c>
      <c r="L20138" s="11">
        <f>HYPERLINK("https://careerviet.vn/vi/tim-viec-lam/truong-phong-quan-tri-nhan-su-hanh-chinh.35C666E7.html","Xem chi tiết")</f>
        <v/>
      </c>
      <c r="M20138" s="10" t="n"/>
    </row>
    <row r="20139">
      <c r="B20139" s="7" t="n">
        <v>20137</v>
      </c>
      <c r="C20139" t="inlineStr">
        <is>
          <t>NHÂN VIÊN KỸ THUẬT BẢO HÀNH MIỀN BẮC</t>
        </is>
      </c>
      <c r="D20139" t="inlineStr">
        <is>
          <t>CÔNG TY TNHH SẢN XUẤT TẬP ĐOÀN ĐẠI VIỆT</t>
        </is>
      </c>
      <c r="E20139" t="inlineStr">
        <is>
          <t>Lương:Cạnh tranh</t>
        </is>
      </c>
      <c r="F20139" t="inlineStr">
        <is>
          <t>Hải Dương</t>
        </is>
      </c>
      <c r="G20139" t="inlineStr">
        <is>
          <t>24-03-2026</t>
        </is>
      </c>
      <c r="H20139" t="inlineStr">
        <is>
          <t>24/03/2026</t>
        </is>
      </c>
      <c r="I20139" t="inlineStr">
        <is>
          <t>17/03/2026</t>
        </is>
      </c>
      <c r="J20139" t="inlineStr">
        <is>
          <t>Cơ khí / Ô tô / Tự động hóa, Điện / Điện tử / Điện lạnh / Điện công nghiệp</t>
        </is>
      </c>
      <c r="K20139" t="inlineStr">
        <is>
          <t>Lên đến 1 Năm</t>
        </is>
      </c>
      <c r="L20139" s="8">
        <f>HYPERLINK("https://careerviet.vn/vi/tim-viec-lam/nhan-vien-ky-thuat-bao-hanh-mien-bac.35C666A5.html","Xem chi tiết")</f>
        <v/>
      </c>
    </row>
    <row r="20140">
      <c r="B20140" s="9" t="n">
        <v>20138</v>
      </c>
      <c r="C20140" s="10" t="inlineStr">
        <is>
          <t>Giám sát bán hàng kênh GT-khu vực Nha Trang, Ninh Hòa</t>
        </is>
      </c>
      <c r="D20140" s="10" t="inlineStr">
        <is>
          <t>Công ty Cổ Phần Hóa Mỹ Phẩm Mỹ Hảo</t>
        </is>
      </c>
      <c r="E20140" s="10" t="inlineStr">
        <is>
          <t>Lương:12 Tr - 18 Tr VND</t>
        </is>
      </c>
      <c r="F20140" s="10" t="inlineStr">
        <is>
          <t>Khánh Hòa</t>
        </is>
      </c>
      <c r="G20140" s="10" t="inlineStr">
        <is>
          <t>24-03-2026</t>
        </is>
      </c>
      <c r="H20140" s="10" t="inlineStr">
        <is>
          <t>24/03/2026</t>
        </is>
      </c>
      <c r="I20140" s="10" t="inlineStr">
        <is>
          <t>17/03/2026</t>
        </is>
      </c>
      <c r="J20140" s="10" t="inlineStr">
        <is>
          <t>Bán lẻ / Bán sỉ, Bán hàng / Kinh doanh, Hàng gia dụng / Chăm sóc cá nhân</t>
        </is>
      </c>
      <c r="K20140" s="10" t="inlineStr">
        <is>
          <t>Lên đến 2 Năm</t>
        </is>
      </c>
      <c r="L20140" s="11">
        <f>HYPERLINK("https://careerviet.vn/vi/tim-viec-lam/giam-sat-ban-hang-kenh-gt-khu-vuc-nha-trang-ninh-hoa.35C66713.html","Xem chi tiết")</f>
        <v/>
      </c>
      <c r="M20140" s="10" t="n"/>
    </row>
    <row r="20141">
      <c r="B20141" s="7" t="n">
        <v>20139</v>
      </c>
      <c r="C20141" t="inlineStr">
        <is>
          <t>Nhân Viên Livestream Part - Time</t>
        </is>
      </c>
      <c r="D20141" t="inlineStr">
        <is>
          <t>JoyMall - Nhà Phân Phối Locknlock</t>
        </is>
      </c>
      <c r="E20141" t="inlineStr">
        <is>
          <t>Lương:5 Tr - 7 Tr VND</t>
        </is>
      </c>
      <c r="F20141" t="inlineStr">
        <is>
          <t>Hồ Chí Minh</t>
        </is>
      </c>
      <c r="G20141" t="inlineStr">
        <is>
          <t>24-03-2026</t>
        </is>
      </c>
      <c r="H20141" t="inlineStr">
        <is>
          <t>24/03/2026</t>
        </is>
      </c>
      <c r="I20141" t="inlineStr">
        <is>
          <t>17/03/2026</t>
        </is>
      </c>
      <c r="J20141" t="inlineStr">
        <is>
          <t>Tiếp thị / Marketing, Bán hàng / Kinh doanh, Thương mại điện tử</t>
        </is>
      </c>
      <c r="K20141" t="inlineStr">
        <is>
          <t>Lên đến 1 Năm</t>
        </is>
      </c>
      <c r="L20141" s="8">
        <f>HYPERLINK("https://careerviet.vn/vi/tim-viec-lam/nhan-vien-livestream-part-time.35C666D1.html","Xem chi tiết")</f>
        <v/>
      </c>
    </row>
    <row r="20142">
      <c r="B20142" s="9" t="n">
        <v>20140</v>
      </c>
      <c r="C20142" s="10" t="inlineStr">
        <is>
          <t>Nhân Viên Thiết Kế MEP</t>
        </is>
      </c>
      <c r="D20142" s="10" t="inlineStr">
        <is>
          <t>Công Ty TNHH Nội Thất Thái Việt</t>
        </is>
      </c>
      <c r="E20142" s="10" t="inlineStr">
        <is>
          <t>Lương:15 Tr - 20 Tr VND</t>
        </is>
      </c>
      <c r="F20142" s="10" t="inlineStr">
        <is>
          <t>Hồ Chí Minh</t>
        </is>
      </c>
      <c r="G20142" s="10" t="inlineStr">
        <is>
          <t>23-03-2026</t>
        </is>
      </c>
      <c r="H20142" s="10" t="inlineStr">
        <is>
          <t>23/03/2026</t>
        </is>
      </c>
      <c r="I20142" s="10" t="inlineStr">
        <is>
          <t>17/03/2026</t>
        </is>
      </c>
      <c r="J20142" s="10" t="inlineStr">
        <is>
          <t>Nội ngoại thất, Xây dựng, Kiến trúc</t>
        </is>
      </c>
      <c r="K20142" s="10" t="inlineStr">
        <is>
          <t>Trên 2 Năm</t>
        </is>
      </c>
      <c r="L20142" s="11">
        <f>HYPERLINK("https://careerviet.vn/vi/tim-viec-lam/nhan-vien-thiet-ke-mep.35C63B3F.html","Xem chi tiết")</f>
        <v/>
      </c>
      <c r="M20142" s="10" t="n"/>
    </row>
    <row r="20143">
      <c r="B20143" s="7" t="n">
        <v>20141</v>
      </c>
      <c r="C20143" t="inlineStr">
        <is>
          <t>Nhân Viên Marketing (Mobile App/Game)</t>
        </is>
      </c>
      <c r="D20143" t="inlineStr">
        <is>
          <t>CÔNG TY TNHH FOXSCORE</t>
        </is>
      </c>
      <c r="E20143" t="inlineStr">
        <is>
          <t>Lương:Trên 20 Tr VND</t>
        </is>
      </c>
      <c r="F20143" t="inlineStr">
        <is>
          <t>Hồ Chí Minh</t>
        </is>
      </c>
      <c r="G20143" t="inlineStr">
        <is>
          <t>24-03-2026</t>
        </is>
      </c>
      <c r="H20143" t="inlineStr">
        <is>
          <t>24/03/2026</t>
        </is>
      </c>
      <c r="I20143" t="inlineStr">
        <is>
          <t>17/03/2026</t>
        </is>
      </c>
      <c r="J20143" t="inlineStr">
        <is>
          <t>Tiếp thị / Marketing, Giải trí, Quảng cáo / Đối ngoại / Truyền Thông</t>
        </is>
      </c>
      <c r="K20143" t="inlineStr">
        <is>
          <t>3 - 5 Năm</t>
        </is>
      </c>
      <c r="L20143" s="8">
        <f>HYPERLINK("https://careerviet.vn/vi/tim-viec-lam/nhan-vien-marketing-mobile-app-game.35C666F6.html","Xem chi tiết")</f>
        <v/>
      </c>
    </row>
    <row r="20144">
      <c r="B20144" s="9" t="n">
        <v>20142</v>
      </c>
      <c r="C20144" s="10" t="inlineStr">
        <is>
          <t>Chuyên viên chăm sóc khách hàng</t>
        </is>
      </c>
      <c r="D20144" s="10" t="inlineStr">
        <is>
          <t>FASTCARE - CÔNG TY CP TM DV NHT</t>
        </is>
      </c>
      <c r="E20144" s="10" t="inlineStr">
        <is>
          <t>Lương:10 Tr - 15 Tr VND</t>
        </is>
      </c>
      <c r="F20144" s="10" t="inlineStr">
        <is>
          <t>Hồ Chí Minh</t>
        </is>
      </c>
      <c r="G20144" s="10" t="inlineStr">
        <is>
          <t>24-03-2026</t>
        </is>
      </c>
      <c r="H20144" s="10" t="inlineStr">
        <is>
          <t>24/03/2026</t>
        </is>
      </c>
      <c r="I20144" s="10" t="inlineStr">
        <is>
          <t>17/03/2026</t>
        </is>
      </c>
      <c r="J20144" s="10" t="inlineStr">
        <is>
          <t>Bán lẻ / Bán sỉ</t>
        </is>
      </c>
      <c r="K20144" s="10" t="inlineStr">
        <is>
          <t>Chưa có kinh nghiệm</t>
        </is>
      </c>
      <c r="L20144" s="11">
        <f>HYPERLINK("https://careerviet.vn/vi/tim-viec-lam/chuyen-vien-cham-soc-khach-hang.35C63B8E.html","Xem chi tiết")</f>
        <v/>
      </c>
      <c r="M20144" s="10" t="n"/>
    </row>
    <row r="20145">
      <c r="B20145" s="7" t="n">
        <v>20143</v>
      </c>
      <c r="C20145" t="inlineStr">
        <is>
          <t>Chuyên Viên Tài Chính</t>
        </is>
      </c>
      <c r="D20145" t="inlineStr">
        <is>
          <t>Công Ty Cổ Phần Tập Đoàn Trần Anh Long An</t>
        </is>
      </c>
      <c r="E20145" t="inlineStr">
        <is>
          <t>Lương:Cạnh tranh</t>
        </is>
      </c>
      <c r="F20145" t="inlineStr">
        <is>
          <t>Long An</t>
        </is>
      </c>
      <c r="G20145" t="inlineStr">
        <is>
          <t>24-03-2026</t>
        </is>
      </c>
      <c r="H20145" t="inlineStr">
        <is>
          <t>24/03/2026</t>
        </is>
      </c>
      <c r="I20145" t="inlineStr">
        <is>
          <t>17/03/2026</t>
        </is>
      </c>
      <c r="J20145" t="inlineStr">
        <is>
          <t>Kế toán / Kiểm toán, Tài chính / Đầu tư, Luật / Pháp lý</t>
        </is>
      </c>
      <c r="K20145" t="inlineStr">
        <is>
          <t>2 - 4 Năm</t>
        </is>
      </c>
      <c r="L20145" s="8">
        <f>HYPERLINK("https://careerviet.vn/vi/tim-viec-lam/chuyen-vien-tai-chinh.35C66791.html","Xem chi tiết")</f>
        <v/>
      </c>
    </row>
    <row r="20146">
      <c r="B20146" s="9" t="n">
        <v>20144</v>
      </c>
      <c r="C20146" s="10" t="inlineStr">
        <is>
          <t>Key Account Executive (KAE) - Ngành Điện Máy Gia Dụng, Thiết Bị Nhà Bếp</t>
        </is>
      </c>
      <c r="D20146" s="10" t="inlineStr">
        <is>
          <t>Tập Đoàn Karofi Holding</t>
        </is>
      </c>
      <c r="E20146" s="10" t="inlineStr">
        <is>
          <t>Lương:1.000 - 1.500 USD</t>
        </is>
      </c>
      <c r="F20146" s="10" t="inlineStr">
        <is>
          <t>Hà NộiHồ Chí Minh</t>
        </is>
      </c>
      <c r="G20146" s="10" t="inlineStr">
        <is>
          <t>24-03-2026</t>
        </is>
      </c>
      <c r="H20146" s="10" t="inlineStr">
        <is>
          <t>24/03/2026</t>
        </is>
      </c>
      <c r="I20146" s="10" t="inlineStr">
        <is>
          <t>17/03/2026</t>
        </is>
      </c>
      <c r="J20146" s="10" t="inlineStr">
        <is>
          <t>Bán lẻ / Bán sỉ, Bán hàng / Kinh doanh, Hàng gia dụng / Chăm sóc cá nhân</t>
        </is>
      </c>
      <c r="K20146" s="10" t="inlineStr">
        <is>
          <t>Trên 3 Năm</t>
        </is>
      </c>
      <c r="L20146" s="11">
        <f>HYPERLINK("https://careerviet.vn/vi/tim-viec-lam/key-account-executive-kae-nganh-dien-may-gia-dung-thiet-bi-nha-bep.35C63B9A.html","Xem chi tiết")</f>
        <v/>
      </c>
      <c r="M20146" s="10" t="n"/>
    </row>
    <row r="20147">
      <c r="B20147" s="7" t="n">
        <v>20145</v>
      </c>
      <c r="C20147" t="inlineStr">
        <is>
          <t>Nhân Viên Xuất Nhập Khẩu</t>
        </is>
      </c>
      <c r="D20147" t="inlineStr">
        <is>
          <t>Công ty Cổ Phần Tập Đoàn Điện Quang</t>
        </is>
      </c>
      <c r="E20147" t="inlineStr">
        <is>
          <t>Lương:Cạnh tranh</t>
        </is>
      </c>
      <c r="F20147" t="inlineStr">
        <is>
          <t>Hồ Chí Minh</t>
        </is>
      </c>
      <c r="G20147" t="inlineStr">
        <is>
          <t>24-03-2026</t>
        </is>
      </c>
      <c r="H20147" t="inlineStr">
        <is>
          <t>24/03/2026</t>
        </is>
      </c>
      <c r="I20147" t="inlineStr">
        <is>
          <t>17/03/2026</t>
        </is>
      </c>
      <c r="J20147" t="inlineStr">
        <is>
          <t>Kế toán / Kiểm toán, Thu mua / Vật tư, Xuất nhập khẩu</t>
        </is>
      </c>
      <c r="K20147" t="inlineStr">
        <is>
          <t>N/A</t>
        </is>
      </c>
      <c r="L20147" s="8">
        <f>HYPERLINK("https://careerviet.vn/vi/tim-viec-lam/nhan-vien-xuat-nhap-khau.35C666DF.html","Xem chi tiết")</f>
        <v/>
      </c>
    </row>
    <row r="20148">
      <c r="B20148" s="9" t="n">
        <v>20146</v>
      </c>
      <c r="C20148" s="10" t="inlineStr">
        <is>
          <t>Điều phối viên Kho vận</t>
        </is>
      </c>
      <c r="D20148" s="10" t="inlineStr">
        <is>
          <t>Fushan Technology Vietnam</t>
        </is>
      </c>
      <c r="E20148" s="10" t="inlineStr">
        <is>
          <t>Lương:Cạnh tranh</t>
        </is>
      </c>
      <c r="F20148" s="10" t="inlineStr">
        <is>
          <t>Bắc Ninh</t>
        </is>
      </c>
      <c r="G20148" s="10" t="inlineStr">
        <is>
          <t>24-03-2026</t>
        </is>
      </c>
      <c r="H20148" s="10" t="inlineStr">
        <is>
          <t>24/03/2026</t>
        </is>
      </c>
      <c r="I20148" s="10" t="inlineStr">
        <is>
          <t>17/03/2026</t>
        </is>
      </c>
      <c r="J20148" s="10" t="inlineStr">
        <is>
          <t>Sản xuất / Vận hành sản xuất</t>
        </is>
      </c>
      <c r="K20148" s="10" t="inlineStr">
        <is>
          <t>N/A</t>
        </is>
      </c>
      <c r="L20148" s="11">
        <f>HYPERLINK("https://careerviet.vn/vi/tim-viec-lam/dieu-phoi-vien-kho-van.35C63B0E.html","Xem chi tiết")</f>
        <v/>
      </c>
      <c r="M20148" s="10" t="n"/>
    </row>
    <row r="20149">
      <c r="B20149" s="7" t="n">
        <v>20147</v>
      </c>
      <c r="C20149" t="inlineStr">
        <is>
          <t>Chuyên Viên Kinh Doanh</t>
        </is>
      </c>
      <c r="D20149" t="inlineStr">
        <is>
          <t>Tổng công ty Xây dựng số 1 – CTCP</t>
        </is>
      </c>
      <c r="E20149" t="inlineStr">
        <is>
          <t>Lương:Cạnh tranh</t>
        </is>
      </c>
      <c r="F20149" t="inlineStr">
        <is>
          <t>Hồ Chí Minh</t>
        </is>
      </c>
      <c r="G20149" t="inlineStr">
        <is>
          <t>24-03-2026</t>
        </is>
      </c>
      <c r="H20149" t="inlineStr">
        <is>
          <t>24/03/2026</t>
        </is>
      </c>
      <c r="I20149" t="inlineStr">
        <is>
          <t>17/03/2026</t>
        </is>
      </c>
      <c r="J20149" t="inlineStr">
        <is>
          <t>Bán hàng / Kinh doanh, Thu mua / Vật tư</t>
        </is>
      </c>
      <c r="K20149" t="inlineStr">
        <is>
          <t>2 - 3 Năm</t>
        </is>
      </c>
      <c r="L20149" s="8">
        <f>HYPERLINK("https://careerviet.vn/vi/tim-viec-lam/chuyen-vien-kinh-doanh.35C63B7D.html","Xem chi tiết")</f>
        <v/>
      </c>
    </row>
    <row r="20150">
      <c r="B20150" s="9" t="n">
        <v>20148</v>
      </c>
      <c r="C20150" s="10" t="inlineStr">
        <is>
          <t>Chuyên viên kinh doanh giải pháp smarthome</t>
        </is>
      </c>
      <c r="D20150" s="10" t="inlineStr">
        <is>
          <t>CÔNG TY TNHH PHÁT TRIỂN KỸ THUẬT VIỆT NAM</t>
        </is>
      </c>
      <c r="E20150" s="10" t="inlineStr">
        <is>
          <t>Lương:12 Tr - 30 Tr VND</t>
        </is>
      </c>
      <c r="F20150" s="10" t="inlineStr">
        <is>
          <t>Hà NộiHồ Chí Minh</t>
        </is>
      </c>
      <c r="G20150" s="10" t="inlineStr">
        <is>
          <t>24-03-2026</t>
        </is>
      </c>
      <c r="H20150" s="10" t="inlineStr">
        <is>
          <t>24/03/2026</t>
        </is>
      </c>
      <c r="I20150" s="10" t="inlineStr">
        <is>
          <t>17/03/2026</t>
        </is>
      </c>
      <c r="J20150" s="10" t="inlineStr">
        <is>
          <t>Bán hàng / Kinh doanh, Tư vấn, Điện / Điện tử / Điện lạnh / Điện công nghiệp</t>
        </is>
      </c>
      <c r="K20150" s="10" t="inlineStr">
        <is>
          <t>Trên 2 Năm</t>
        </is>
      </c>
      <c r="L20150" s="11">
        <f>HYPERLINK("https://careerviet.vn/vi/tim-viec-lam/chuyen-vien-kinh-doanh-giai-phap-smarthome.35C66756.html","Xem chi tiết")</f>
        <v/>
      </c>
      <c r="M20150" s="10" t="n"/>
    </row>
    <row r="20151">
      <c r="B20151" s="7" t="n">
        <v>20149</v>
      </c>
      <c r="C20151" t="inlineStr">
        <is>
          <t>Nhân Viên Marketing Thương Mại Điện Tử</t>
        </is>
      </c>
      <c r="D20151" t="inlineStr">
        <is>
          <t>JoyMall - Nhà Phân Phối Locknlock</t>
        </is>
      </c>
      <c r="E20151" t="inlineStr">
        <is>
          <t>Lương:7 Tr - 12 Tr VND</t>
        </is>
      </c>
      <c r="F20151" t="inlineStr">
        <is>
          <t>Hồ Chí Minh</t>
        </is>
      </c>
      <c r="G20151" t="inlineStr">
        <is>
          <t>24-03-2026</t>
        </is>
      </c>
      <c r="H20151" t="inlineStr">
        <is>
          <t>24/03/2026</t>
        </is>
      </c>
      <c r="I20151" t="inlineStr">
        <is>
          <t>17/03/2026</t>
        </is>
      </c>
      <c r="J20151" t="inlineStr">
        <is>
          <t>Tiếp thị / Marketing, Thương mại điện tử, Quảng cáo / Đối ngoại / Truyền Thông</t>
        </is>
      </c>
      <c r="K20151" t="inlineStr">
        <is>
          <t>Chưa có kinh nghiệm</t>
        </is>
      </c>
      <c r="L20151" s="8">
        <f>HYPERLINK("https://careerviet.vn/vi/tim-viec-lam/nhan-vien-marketing-thuong-mai-dien-tu.35C66683.html","Xem chi tiết")</f>
        <v/>
      </c>
    </row>
    <row r="20152">
      <c r="B20152" s="9" t="n">
        <v>20150</v>
      </c>
      <c r="C20152" s="10" t="inlineStr">
        <is>
          <t>Thực Tập Sinh Tuyển Dụng (Recruitment Intern)</t>
        </is>
      </c>
      <c r="D20152" s="10" t="inlineStr">
        <is>
          <t>Headhunter HRchannels Group</t>
        </is>
      </c>
      <c r="E20152" s="10" t="inlineStr">
        <is>
          <t>Lương:Cạnh tranh</t>
        </is>
      </c>
      <c r="F20152" s="10" t="inlineStr">
        <is>
          <t>Hà Nội</t>
        </is>
      </c>
      <c r="G20152" s="10" t="inlineStr">
        <is>
          <t>24-03-2026</t>
        </is>
      </c>
      <c r="H20152" s="10" t="inlineStr">
        <is>
          <t>24/03/2026</t>
        </is>
      </c>
      <c r="I20152" s="10" t="inlineStr">
        <is>
          <t>17/03/2026</t>
        </is>
      </c>
      <c r="J20152" s="10" t="inlineStr">
        <is>
          <t>Nhân sự, Mới tốt nghiệp / Thực tập, Luật / Pháp lý</t>
        </is>
      </c>
      <c r="K20152" s="10" t="inlineStr">
        <is>
          <t>N/A</t>
        </is>
      </c>
      <c r="L20152" s="11">
        <f>HYPERLINK("https://careerviet.vn/vi/tim-viec-lam/thuc-tap-sinh-tuyen-dung-recruitment-intern.35C63B6B.html","Xem chi tiết")</f>
        <v/>
      </c>
      <c r="M20152" s="10" t="n"/>
    </row>
    <row r="20153">
      <c r="B20153" s="7" t="n">
        <v>20151</v>
      </c>
      <c r="C20153" t="inlineStr">
        <is>
          <t>COST CONTROLLER SPECIALIST</t>
        </is>
      </c>
      <c r="D20153" t="inlineStr">
        <is>
          <t>CÔNG TY TNHH MỘT THÀNH VIÊN LÝ GIA VIÊN</t>
        </is>
      </c>
      <c r="E20153" t="inlineStr">
        <is>
          <t>Lương:12 Tr - 18 Tr VND</t>
        </is>
      </c>
      <c r="F20153" t="inlineStr">
        <is>
          <t>Hồ Chí Minh</t>
        </is>
      </c>
      <c r="G20153" t="inlineStr">
        <is>
          <t>24-03-2026</t>
        </is>
      </c>
      <c r="H20153" t="inlineStr">
        <is>
          <t>24/03/2026</t>
        </is>
      </c>
      <c r="I20153" t="inlineStr">
        <is>
          <t>17/03/2026</t>
        </is>
      </c>
      <c r="J20153" t="inlineStr">
        <is>
          <t>Kế toán / Kiểm toán, Tài chính / Đầu tư, Thống kê</t>
        </is>
      </c>
      <c r="K20153" t="inlineStr">
        <is>
          <t>3 - 5 Năm</t>
        </is>
      </c>
      <c r="L20153" s="8">
        <f>HYPERLINK("https://careerviet.vn/vi/tim-viec-lam/cost-controller-specialist.35C66747.html","Xem chi tiết")</f>
        <v/>
      </c>
    </row>
    <row r="20154">
      <c r="B20154" s="9" t="n">
        <v>20152</v>
      </c>
      <c r="C20154" s="10" t="inlineStr">
        <is>
          <t>Tiktok Executive/ Tiktok Creator  (Chấp nhận sau Tết đi làm)</t>
        </is>
      </c>
      <c r="D20154" s="10" t="inlineStr">
        <is>
          <t>HỘ KINH DOANH MONO TALK</t>
        </is>
      </c>
      <c r="E20154" s="10" t="inlineStr">
        <is>
          <t>Lương:Cạnh tranh</t>
        </is>
      </c>
      <c r="F20154" s="10" t="inlineStr">
        <is>
          <t>Hà Nội</t>
        </is>
      </c>
      <c r="G20154" s="10" t="inlineStr">
        <is>
          <t>24-03-2026</t>
        </is>
      </c>
      <c r="H20154" s="10" t="inlineStr">
        <is>
          <t>24/03/2026</t>
        </is>
      </c>
      <c r="I20154" s="10" t="inlineStr">
        <is>
          <t>17/03/2026</t>
        </is>
      </c>
      <c r="J20154" s="10" t="inlineStr">
        <is>
          <t>Tiếp thị / Marketing, Truyền hình / Báo chí / Biên tập, Quảng cáo / Đối ngoại / Truyền Thông</t>
        </is>
      </c>
      <c r="K20154" s="10" t="inlineStr">
        <is>
          <t>1 - 3 Năm</t>
        </is>
      </c>
      <c r="L20154" s="11">
        <f>HYPERLINK("https://careerviet.vn/vi/tim-viec-lam/tiktok-executive-tiktok-creator-chap-nhan-sau-tet-di-lam.35C666E8.html","Xem chi tiết")</f>
        <v/>
      </c>
      <c r="M20154" s="10" t="n"/>
    </row>
    <row r="20155">
      <c r="B20155" s="7" t="n">
        <v>20153</v>
      </c>
      <c r="C20155" t="inlineStr">
        <is>
          <t>LÁI XE BẰNG B2</t>
        </is>
      </c>
      <c r="D20155" t="inlineStr">
        <is>
          <t>CÔNG TY TNHH PHÁT TRIỂN KỸ THUẬT VIỆT NAM</t>
        </is>
      </c>
      <c r="E20155" t="inlineStr">
        <is>
          <t>Lương:14 Tr - 15 Tr VND</t>
        </is>
      </c>
      <c r="F20155" t="inlineStr">
        <is>
          <t>Hồ Chí Minh</t>
        </is>
      </c>
      <c r="G20155" t="inlineStr">
        <is>
          <t>24-03-2026</t>
        </is>
      </c>
      <c r="H20155" t="inlineStr">
        <is>
          <t>24/03/2026</t>
        </is>
      </c>
      <c r="I20155" t="inlineStr">
        <is>
          <t>17/03/2026</t>
        </is>
      </c>
      <c r="J20155" t="inlineStr">
        <is>
          <t>Vận chuyển / Giao nhận / Kho vận, Lao động phổ thông</t>
        </is>
      </c>
      <c r="K20155" t="inlineStr">
        <is>
          <t>Chưa có kinh nghiệm</t>
        </is>
      </c>
      <c r="L20155" s="8">
        <f>HYPERLINK("https://careerviet.vn/vi/tim-viec-lam/lai-xe-bang-b2.35C66744.html","Xem chi tiết")</f>
        <v/>
      </c>
    </row>
    <row r="20156">
      <c r="B20156" s="9" t="n">
        <v>20154</v>
      </c>
      <c r="C20156" s="10" t="inlineStr">
        <is>
          <t>KẾ TOÁN TRƯỞNG - HÀ NỘI</t>
        </is>
      </c>
      <c r="D20156" s="10" t="inlineStr">
        <is>
          <t>Công ty cổ phần UNESFA</t>
        </is>
      </c>
      <c r="E20156" s="10" t="inlineStr">
        <is>
          <t>Lương:15 Tr - 20 Tr VND</t>
        </is>
      </c>
      <c r="F20156" s="10" t="inlineStr">
        <is>
          <t>Hà Nội</t>
        </is>
      </c>
      <c r="G20156" s="10" t="inlineStr">
        <is>
          <t>24-03-2026</t>
        </is>
      </c>
      <c r="H20156" s="10" t="inlineStr">
        <is>
          <t>24/03/2026</t>
        </is>
      </c>
      <c r="I20156" s="10" t="inlineStr">
        <is>
          <t>17/03/2026</t>
        </is>
      </c>
      <c r="J20156" s="10" t="inlineStr">
        <is>
          <t>Kế toán / Kiểm toán, Ngân hàng, Tài chính / Đầu tư</t>
        </is>
      </c>
      <c r="K20156" s="10" t="inlineStr">
        <is>
          <t>5 - 7 Năm</t>
        </is>
      </c>
      <c r="L20156" s="11">
        <f>HYPERLINK("https://careerviet.vn/vi/tim-viec-lam/ke-toan-truong-ha-noi.35C63BCA.html","Xem chi tiết")</f>
        <v/>
      </c>
      <c r="M20156" s="10" t="n"/>
    </row>
    <row r="20157">
      <c r="B20157" s="7" t="n">
        <v>20155</v>
      </c>
      <c r="C20157" t="inlineStr">
        <is>
          <t>Nhân viên môi trường - Bắc Tân Uyên</t>
        </is>
      </c>
      <c r="D20157" t="inlineStr">
        <is>
          <t>CÔNG TY TNHH TM DV XỬ LÝ MÔI TRƯỜNG VIỆT KHẢI</t>
        </is>
      </c>
      <c r="E20157" t="inlineStr">
        <is>
          <t>Lương:15 Tr - 18 Tr VND</t>
        </is>
      </c>
      <c r="F20157" t="inlineStr">
        <is>
          <t>Bình Dương</t>
        </is>
      </c>
      <c r="G20157" t="inlineStr">
        <is>
          <t>24-03-2026</t>
        </is>
      </c>
      <c r="H20157" t="inlineStr">
        <is>
          <t>24/03/2026</t>
        </is>
      </c>
      <c r="I20157" t="inlineStr">
        <is>
          <t>17/03/2026</t>
        </is>
      </c>
      <c r="J20157" t="inlineStr">
        <is>
          <t>Môi trường, Hóa học, Ngành khác</t>
        </is>
      </c>
      <c r="K20157" t="inlineStr">
        <is>
          <t>1 - 2 Năm</t>
        </is>
      </c>
      <c r="L20157" s="8">
        <f>HYPERLINK("https://careerviet.vn/vi/tim-viec-lam/nhan-vien-moi-truong-bac-tan-uyen.35C667D4.html","Xem chi tiết")</f>
        <v/>
      </c>
    </row>
    <row r="20158">
      <c r="B20158" s="9" t="n">
        <v>20156</v>
      </c>
      <c r="C20158" s="10" t="inlineStr">
        <is>
          <t>IE Engineer</t>
        </is>
      </c>
      <c r="D20158" s="10" t="inlineStr">
        <is>
          <t>Jabil Vietnam</t>
        </is>
      </c>
      <c r="E20158" s="10" t="inlineStr">
        <is>
          <t>Lương:Cạnh tranh</t>
        </is>
      </c>
      <c r="F20158" s="10" t="inlineStr">
        <is>
          <t>Hồ Chí Minh</t>
        </is>
      </c>
      <c r="G20158" s="10" t="inlineStr">
        <is>
          <t>24-03-2026</t>
        </is>
      </c>
      <c r="H20158" s="10" t="inlineStr">
        <is>
          <t>24/03/2026</t>
        </is>
      </c>
      <c r="I20158" s="10" t="inlineStr">
        <is>
          <t>17/03/2026</t>
        </is>
      </c>
      <c r="J20158" s="10" t="inlineStr">
        <is>
          <t>Điện / Điện tử / Điện lạnh / Điện công nghiệp, Sản xuất / Vận hành sản xuất, Quản lý điều hành</t>
        </is>
      </c>
      <c r="K20158" s="10" t="inlineStr">
        <is>
          <t>2 - 5 Năm</t>
        </is>
      </c>
      <c r="L20158" s="11">
        <f>HYPERLINK("https://careerviet.vn/vi/tim-viec-lam/ie-engineer.35C66793.html","Xem chi tiết")</f>
        <v/>
      </c>
      <c r="M20158" s="10" t="n"/>
    </row>
    <row r="20159">
      <c r="B20159" s="7" t="n">
        <v>20157</v>
      </c>
      <c r="C20159" t="inlineStr">
        <is>
          <t>Kỹ Thuật Viên Bảo Trì Máy SMT</t>
        </is>
      </c>
      <c r="D20159" t="inlineStr">
        <is>
          <t>Jabil Vietnam</t>
        </is>
      </c>
      <c r="E20159" t="inlineStr">
        <is>
          <t>Lương:Cạnh tranh</t>
        </is>
      </c>
      <c r="F20159" t="inlineStr">
        <is>
          <t>Hồ Chí Minh</t>
        </is>
      </c>
      <c r="G20159" t="inlineStr">
        <is>
          <t>24-03-2026</t>
        </is>
      </c>
      <c r="H20159" t="inlineStr">
        <is>
          <t>24/03/2026</t>
        </is>
      </c>
      <c r="I20159" t="inlineStr">
        <is>
          <t>17/03/2026</t>
        </is>
      </c>
      <c r="J20159" t="inlineStr">
        <is>
          <t>Điện / Điện tử / Điện lạnh / Điện công nghiệp</t>
        </is>
      </c>
      <c r="K20159" t="inlineStr">
        <is>
          <t>1 - 3 Năm</t>
        </is>
      </c>
      <c r="L20159" s="8">
        <f>HYPERLINK("https://careerviet.vn/vi/tim-viec-lam/ky-thuat-vien-bao-tri-may-smt.35C66795.html","Xem chi tiết")</f>
        <v/>
      </c>
    </row>
    <row r="20160">
      <c r="B20160" s="9" t="n">
        <v>20158</v>
      </c>
      <c r="C20160" s="10" t="inlineStr">
        <is>
          <t>[KHÁNH HÒA] Chuyên Viên Tiếp Thị - Marketing Executive</t>
        </is>
      </c>
      <c r="D20160" s="10" t="inlineStr">
        <is>
          <t>Coca-Cola Beverages Vietnam</t>
        </is>
      </c>
      <c r="E20160" s="10" t="inlineStr">
        <is>
          <t>Lương:Cạnh tranh</t>
        </is>
      </c>
      <c r="F20160" s="10" t="inlineStr">
        <is>
          <t>Khánh Hòa</t>
        </is>
      </c>
      <c r="G20160" s="10" t="inlineStr">
        <is>
          <t>24-03-2026</t>
        </is>
      </c>
      <c r="H20160" s="10" t="inlineStr">
        <is>
          <t>24/03/2026</t>
        </is>
      </c>
      <c r="I20160" s="10" t="inlineStr">
        <is>
          <t>17/03/2026</t>
        </is>
      </c>
      <c r="J20160" s="10" t="inlineStr">
        <is>
          <t>Thực phẩm &amp; Đồ uống, Tiếp thị / Marketing</t>
        </is>
      </c>
      <c r="K20160" s="10" t="inlineStr">
        <is>
          <t>1 - 10 Năm</t>
        </is>
      </c>
      <c r="L20160" s="11">
        <f>HYPERLINK("https://careerviet.vn/vi/tim-viec-lam/khanh-hoa-chuyen-vien-tiep-thi-marketing-executive.35C6668B.html","Xem chi tiết")</f>
        <v/>
      </c>
      <c r="M20160" s="10" t="n"/>
    </row>
    <row r="20161">
      <c r="B20161" s="7" t="n">
        <v>20159</v>
      </c>
      <c r="C20161" t="inlineStr">
        <is>
          <t>Nhân Viên Sales Logistic - xuất nhập khẩu  ( join sau Tết )</t>
        </is>
      </c>
      <c r="D20161" t="inlineStr">
        <is>
          <t>CÔNG TY TNHH VIỆT NAM MAXWIDE LOGISTICS</t>
        </is>
      </c>
      <c r="E20161" t="inlineStr">
        <is>
          <t>Lương:10 Tr - 15 Tr VND</t>
        </is>
      </c>
      <c r="F20161" t="inlineStr">
        <is>
          <t>Hồ Chí Minh</t>
        </is>
      </c>
      <c r="G20161" t="inlineStr">
        <is>
          <t>24-03-2026</t>
        </is>
      </c>
      <c r="H20161" t="inlineStr">
        <is>
          <t>24/03/2026</t>
        </is>
      </c>
      <c r="I20161" t="inlineStr">
        <is>
          <t>17/03/2026</t>
        </is>
      </c>
      <c r="J20161" t="inlineStr">
        <is>
          <t>Bán hàng / Kinh doanh, Vận chuyển / Giao nhận / Kho vận, Hành chính / Thư ký</t>
        </is>
      </c>
      <c r="K20161" t="inlineStr">
        <is>
          <t>1 - 3 Năm</t>
        </is>
      </c>
      <c r="L20161" s="8">
        <f>HYPERLINK("https://careerviet.vn/vi/tim-viec-lam/nhan-vien-sales-logistic-xuat-nhap-khau-join-sau-tet.35C666F9.html","Xem chi tiết")</f>
        <v/>
      </c>
    </row>
    <row r="20162">
      <c r="B20162" s="9" t="n">
        <v>20160</v>
      </c>
      <c r="C20162" s="10" t="inlineStr">
        <is>
          <t>Nhân viên vận hành máy</t>
        </is>
      </c>
      <c r="D20162" s="10" t="inlineStr">
        <is>
          <t>Công ty TNHH Olam Việt Nam</t>
        </is>
      </c>
      <c r="E20162" s="10" t="inlineStr">
        <is>
          <t>Lương:Cạnh tranh</t>
        </is>
      </c>
      <c r="F20162" s="10" t="inlineStr">
        <is>
          <t>Đồng Nai</t>
        </is>
      </c>
      <c r="G20162" s="10" t="inlineStr">
        <is>
          <t>24-03-2026</t>
        </is>
      </c>
      <c r="H20162" s="10" t="inlineStr">
        <is>
          <t>24/03/2026</t>
        </is>
      </c>
      <c r="I20162" s="10" t="inlineStr">
        <is>
          <t>17/03/2026</t>
        </is>
      </c>
      <c r="J20162" s="10" t="inlineStr">
        <is>
          <t>Sản xuất / Vận hành sản xuất</t>
        </is>
      </c>
      <c r="K20162" s="10" t="inlineStr">
        <is>
          <t>Chưa có kinh nghiệm</t>
        </is>
      </c>
      <c r="L20162" s="11">
        <f>HYPERLINK("https://careerviet.vn/vi/tim-viec-lam/nhan-vien-van-hanh-may.35C63B44.html","Xem chi tiết")</f>
        <v/>
      </c>
      <c r="M20162" s="10" t="n"/>
    </row>
    <row r="20163">
      <c r="B20163" s="7" t="n">
        <v>20161</v>
      </c>
      <c r="C20163" t="inlineStr">
        <is>
          <t>Trưởng Phòng Pháp Chế &amp; Kiểm Soát Nội Bộ</t>
        </is>
      </c>
      <c r="D20163" t="inlineStr">
        <is>
          <t>Công Ty Cổ Phần Tập Đoàn Điểm Nhấn (DN Group)</t>
        </is>
      </c>
      <c r="E20163" t="inlineStr">
        <is>
          <t>Lương:Cạnh tranh</t>
        </is>
      </c>
      <c r="F20163" t="inlineStr">
        <is>
          <t>Hồ Chí Minh</t>
        </is>
      </c>
      <c r="G20163" t="inlineStr">
        <is>
          <t>24-03-2026</t>
        </is>
      </c>
      <c r="H20163" t="inlineStr">
        <is>
          <t>24/03/2026</t>
        </is>
      </c>
      <c r="I20163" t="inlineStr">
        <is>
          <t>17/03/2026</t>
        </is>
      </c>
      <c r="J20163" t="inlineStr">
        <is>
          <t>Y tế / Chăm sóc sức khỏe / Thẩm mỹ / Làm đẹp, Luật / Pháp lý, Ngành khác</t>
        </is>
      </c>
      <c r="K20163" t="inlineStr">
        <is>
          <t>3 - 5 Năm</t>
        </is>
      </c>
      <c r="L20163" s="8">
        <f>HYPERLINK("https://careerviet.vn/vi/tim-viec-lam/truong-phong-phap-che-kiem-soat-noi-bo.35C666FE.html","Xem chi tiết")</f>
        <v/>
      </c>
    </row>
    <row r="20164">
      <c r="B20164" s="9" t="n">
        <v>20162</v>
      </c>
      <c r="C20164" s="10" t="inlineStr">
        <is>
          <t>[Quảng Bình - Quảng Trị - Huế] Chuyên Viên Tư Vấn Bảo Hiểm - Kênh Liên Doanh Ngân Hàng BIDV</t>
        </is>
      </c>
      <c r="D20164" s="10" t="inlineStr">
        <is>
          <t>Công Ty TNHH Bảo Hiểm Nhân Thọ BIDV MetLife</t>
        </is>
      </c>
      <c r="E20164" s="10" t="inlineStr">
        <is>
          <t>Lương:Cạnh tranh</t>
        </is>
      </c>
      <c r="F20164" s="10" t="inlineStr">
        <is>
          <t>Quảng BìnhThừa Thiên- HuếQuảng Trị</t>
        </is>
      </c>
      <c r="G20164" s="10" t="inlineStr">
        <is>
          <t>24-03-2026</t>
        </is>
      </c>
      <c r="H20164" s="10" t="inlineStr">
        <is>
          <t>24/03/2026</t>
        </is>
      </c>
      <c r="I20164" s="10" t="inlineStr">
        <is>
          <t>17/03/2026</t>
        </is>
      </c>
      <c r="J20164" s="10" t="inlineStr">
        <is>
          <t>Ngân hàng, Bán hàng / Kinh doanh, Bảo hiểm</t>
        </is>
      </c>
      <c r="K20164" s="10" t="inlineStr">
        <is>
          <t>Trên 1 Năm</t>
        </is>
      </c>
      <c r="L20164" s="11">
        <f>HYPERLINK("https://careerviet.vn/vi/tim-viec-lam/quang-binh-quang-tri-hue-chuyen-vien-tu-van-bao-hiem-kenh-lien-doanh-ngan-hang-bidv.35C63B28.html","Xem chi tiết")</f>
        <v/>
      </c>
      <c r="M20164" s="10" t="n"/>
    </row>
    <row r="20165">
      <c r="B20165" s="7" t="n">
        <v>20163</v>
      </c>
      <c r="C20165" t="inlineStr">
        <is>
          <t>Nhân viên ISO - Bắc Tân Uyên</t>
        </is>
      </c>
      <c r="D20165" t="inlineStr">
        <is>
          <t>CÔNG TY TNHH TM DV XỬ LÝ MÔI TRƯỜNG VIỆT KHẢI</t>
        </is>
      </c>
      <c r="E20165" t="inlineStr">
        <is>
          <t>Lương:10 Tr - 18 Tr VND</t>
        </is>
      </c>
      <c r="F20165" t="inlineStr">
        <is>
          <t>Bình Dương</t>
        </is>
      </c>
      <c r="G20165" t="inlineStr">
        <is>
          <t>24-03-2026</t>
        </is>
      </c>
      <c r="H20165" t="inlineStr">
        <is>
          <t>24/03/2026</t>
        </is>
      </c>
      <c r="I20165" t="inlineStr">
        <is>
          <t>17/03/2026</t>
        </is>
      </c>
      <c r="J20165" t="inlineStr">
        <is>
          <t>Tư vấn, Môi trường, Quản lý chất lượng (QA/QC)</t>
        </is>
      </c>
      <c r="K20165" t="inlineStr">
        <is>
          <t>1 - 3 Năm</t>
        </is>
      </c>
      <c r="L20165" s="8">
        <f>HYPERLINK("https://careerviet.vn/vi/tim-viec-lam/nhan-vien-iso-bac-tan-uyen.35C667D2.html","Xem chi tiết")</f>
        <v/>
      </c>
    </row>
    <row r="20166">
      <c r="B20166" s="9" t="n">
        <v>20164</v>
      </c>
      <c r="C20166" s="10" t="inlineStr">
        <is>
          <t>Phó Giám đốc phòng An Ninh</t>
        </is>
      </c>
      <c r="D20166" s="10" t="inlineStr">
        <is>
          <t>Nova Service Group - Công ty Cổ phần Tập đoàn Nova Services</t>
        </is>
      </c>
      <c r="E20166" s="10" t="inlineStr">
        <is>
          <t>Lương:Cạnh tranh</t>
        </is>
      </c>
      <c r="F20166" s="10" t="inlineStr">
        <is>
          <t>Hồ Chí Minh</t>
        </is>
      </c>
      <c r="G20166" s="10" t="inlineStr">
        <is>
          <t>24-03-2026</t>
        </is>
      </c>
      <c r="H20166" s="10" t="inlineStr">
        <is>
          <t>24/03/2026</t>
        </is>
      </c>
      <c r="I20166" s="10" t="inlineStr">
        <is>
          <t>17/03/2026</t>
        </is>
      </c>
      <c r="J20166" s="10" t="inlineStr">
        <is>
          <t>Luật / Pháp lý, An Ninh / Bảo Vệ, Tài chính / Đầu tư</t>
        </is>
      </c>
      <c r="K20166" s="10" t="inlineStr">
        <is>
          <t>8 - 10 Năm</t>
        </is>
      </c>
      <c r="L20166" s="11">
        <f>HYPERLINK("https://careerviet.vn/vi/tim-viec-lam/pho-giam-doc-phong-an-ninh.35C63C10.html","Xem chi tiết")</f>
        <v/>
      </c>
      <c r="M20166" s="10" t="n"/>
    </row>
    <row r="20167">
      <c r="B20167" s="7" t="n">
        <v>20165</v>
      </c>
      <c r="C20167" t="inlineStr">
        <is>
          <t>Trưởng phòng ISO</t>
        </is>
      </c>
      <c r="D20167" t="inlineStr">
        <is>
          <t>Tập Đoàn CT Group Việt Nam</t>
        </is>
      </c>
      <c r="E20167" t="inlineStr">
        <is>
          <t>Lương:Cạnh tranh</t>
        </is>
      </c>
      <c r="F20167" t="inlineStr">
        <is>
          <t>Hồ Chí Minh</t>
        </is>
      </c>
      <c r="G20167" t="inlineStr">
        <is>
          <t>24-03-2026</t>
        </is>
      </c>
      <c r="H20167" t="inlineStr">
        <is>
          <t>24/03/2026</t>
        </is>
      </c>
      <c r="I20167" t="inlineStr">
        <is>
          <t>17/03/2026</t>
        </is>
      </c>
      <c r="J20167" t="inlineStr">
        <is>
          <t>Nhân sự, Quản lý chất lượng (QA/QC), Ngành khác</t>
        </is>
      </c>
      <c r="K20167" t="inlineStr">
        <is>
          <t>5 - 10 Năm</t>
        </is>
      </c>
      <c r="L20167" s="8">
        <f>HYPERLINK("https://careerviet.vn/vi/tim-viec-lam/truong-phong-iso.35C6664D.html","Xem chi tiết")</f>
        <v/>
      </c>
    </row>
    <row r="20168">
      <c r="B20168" s="9" t="n">
        <v>20166</v>
      </c>
      <c r="C20168" s="10" t="inlineStr">
        <is>
          <t>[Nova Service Group] Chuyên viên cao cấp Phát triển Tổ chức</t>
        </is>
      </c>
      <c r="D20168" s="10" t="inlineStr">
        <is>
          <t>Nova Service Group - Công ty Cổ phần Tập đoàn Nova Services</t>
        </is>
      </c>
      <c r="E20168" s="10" t="inlineStr">
        <is>
          <t>Lương:Cạnh tranh</t>
        </is>
      </c>
      <c r="F20168" s="10" t="inlineStr">
        <is>
          <t>Hồ Chí Minh</t>
        </is>
      </c>
      <c r="G20168" s="10" t="inlineStr">
        <is>
          <t>24-03-2026</t>
        </is>
      </c>
      <c r="H20168" s="10" t="inlineStr">
        <is>
          <t>24/03/2026</t>
        </is>
      </c>
      <c r="I20168" s="10" t="inlineStr">
        <is>
          <t>17/03/2026</t>
        </is>
      </c>
      <c r="J20168" s="10" t="inlineStr">
        <is>
          <t>Nhân sự</t>
        </is>
      </c>
      <c r="K20168" s="10" t="inlineStr">
        <is>
          <t>5 - 7 Năm</t>
        </is>
      </c>
      <c r="L20168" s="11">
        <f>HYPERLINK("https://careerviet.vn/vi/tim-viec-lam/nova-service-group-chuyen-vien-cao-cap-phat-trien-to-chuc.35C667AE.html","Xem chi tiết")</f>
        <v/>
      </c>
      <c r="M20168" s="10" t="n"/>
    </row>
    <row r="20169">
      <c r="B20169" s="7" t="n">
        <v>20167</v>
      </c>
      <c r="C20169" t="inlineStr">
        <is>
          <t>Chuyên viên Hành chính Nhân sự kiêm Trợ lý Tổng Giám đốc</t>
        </is>
      </c>
      <c r="D20169" t="inlineStr">
        <is>
          <t>Tập Đoàn Tân Á Đại Thành</t>
        </is>
      </c>
      <c r="E20169" t="inlineStr">
        <is>
          <t>Lương:15 Tr - 23 Tr VND</t>
        </is>
      </c>
      <c r="F20169" t="inlineStr">
        <is>
          <t>Hà Nội</t>
        </is>
      </c>
      <c r="G20169" t="inlineStr">
        <is>
          <t>24-03-2026</t>
        </is>
      </c>
      <c r="H20169" t="inlineStr">
        <is>
          <t>24/03/2026</t>
        </is>
      </c>
      <c r="I20169" t="inlineStr">
        <is>
          <t>17/03/2026</t>
        </is>
      </c>
      <c r="J20169" t="inlineStr">
        <is>
          <t>Hành chính / Thư ký, Nhân sự, Sản xuất / Vận hành sản xuất</t>
        </is>
      </c>
      <c r="K20169" t="inlineStr">
        <is>
          <t>Trên 2 Năm</t>
        </is>
      </c>
      <c r="L20169" s="8">
        <f>HYPERLINK("https://careerviet.vn/vi/tim-viec-lam/chuyen-vien-hanh-chinh-nhan-su-kiem-tro-ly-tong-giam-doc.35C63C0E.html","Xem chi tiết")</f>
        <v/>
      </c>
    </row>
    <row r="20170">
      <c r="B20170" s="9" t="n">
        <v>20168</v>
      </c>
      <c r="C20170" s="10" t="inlineStr">
        <is>
          <t>Giáo viên Tiếng Anh Tiểu học - Thỉnh giảng 8 tháng - Thay thế thai sản</t>
        </is>
      </c>
      <c r="D20170" s="10" t="inlineStr">
        <is>
          <t>Hệ thống trường Pathway Tuệ Đức</t>
        </is>
      </c>
      <c r="E20170" s="10" t="inlineStr">
        <is>
          <t>Lương:Cạnh tranh</t>
        </is>
      </c>
      <c r="F20170" s="10" t="inlineStr">
        <is>
          <t>Hồ Chí Minh</t>
        </is>
      </c>
      <c r="G20170" s="10" t="inlineStr">
        <is>
          <t>24-03-2026</t>
        </is>
      </c>
      <c r="H20170" s="10" t="inlineStr">
        <is>
          <t>24/03/2026</t>
        </is>
      </c>
      <c r="I20170" s="10" t="inlineStr">
        <is>
          <t>17/03/2026</t>
        </is>
      </c>
      <c r="J20170" s="10" t="inlineStr">
        <is>
          <t>Giáo dục / Đào tạo</t>
        </is>
      </c>
      <c r="K20170" s="10" t="inlineStr">
        <is>
          <t>1 - 5 Năm</t>
        </is>
      </c>
      <c r="L20170" s="11">
        <f>HYPERLINK("https://careerviet.vn/vi/tim-viec-lam/giao-vien-tieng-anh-tieu-hoc-thinh-giang-8-thang-thay-the-thai-san.35C66685.html","Xem chi tiết")</f>
        <v/>
      </c>
      <c r="M20170" s="10" t="n"/>
    </row>
    <row r="20171">
      <c r="B20171" s="7" t="n">
        <v>20169</v>
      </c>
      <c r="C20171" t="inlineStr">
        <is>
          <t>Phát triển sản phẩm tài khoản thanh toán</t>
        </is>
      </c>
      <c r="D20171" t="inlineStr">
        <is>
          <t>Ngân hàng TMCP Lộc Phát Việt Nam (LPBank)</t>
        </is>
      </c>
      <c r="E20171" t="inlineStr">
        <is>
          <t>Lương:Cạnh tranh</t>
        </is>
      </c>
      <c r="F20171" t="inlineStr">
        <is>
          <t>Hà Nội</t>
        </is>
      </c>
      <c r="G20171" t="inlineStr">
        <is>
          <t>24-03-2026</t>
        </is>
      </c>
      <c r="H20171" t="inlineStr">
        <is>
          <t>24/03/2026</t>
        </is>
      </c>
      <c r="I20171" t="inlineStr">
        <is>
          <t>17/03/2026</t>
        </is>
      </c>
      <c r="J20171" t="inlineStr">
        <is>
          <t>Ngân hàng</t>
        </is>
      </c>
      <c r="K20171" t="inlineStr">
        <is>
          <t>Trên 1 Năm</t>
        </is>
      </c>
      <c r="L20171" s="8">
        <f>HYPERLINK("https://careerviet.vn/vi/tim-viec-lam/phat-trien-san-pham-tai-khoan-thanh-toan.35C63C20.html","Xem chi tiết")</f>
        <v/>
      </c>
    </row>
    <row r="20172">
      <c r="B20172" s="9" t="n">
        <v>20170</v>
      </c>
      <c r="C20172" s="10" t="inlineStr">
        <is>
          <t>BUYER</t>
        </is>
      </c>
      <c r="D20172" s="10" t="inlineStr">
        <is>
          <t>Jabil Vietnam</t>
        </is>
      </c>
      <c r="E20172" s="10" t="inlineStr">
        <is>
          <t>Lương:Cạnh tranh</t>
        </is>
      </c>
      <c r="F20172" s="10" t="inlineStr">
        <is>
          <t>Hồ Chí Minh</t>
        </is>
      </c>
      <c r="G20172" s="10" t="inlineStr">
        <is>
          <t>24-03-2026</t>
        </is>
      </c>
      <c r="H20172" s="10" t="inlineStr">
        <is>
          <t>24/03/2026</t>
        </is>
      </c>
      <c r="I20172" s="10" t="inlineStr">
        <is>
          <t>17/03/2026</t>
        </is>
      </c>
      <c r="J20172" s="10" t="inlineStr">
        <is>
          <t>Điện / Điện tử / Điện lạnh / Điện công nghiệp, Sản xuất / Vận hành sản xuất, Thu mua / Vật tư</t>
        </is>
      </c>
      <c r="K20172" s="10" t="inlineStr">
        <is>
          <t>2 - 5 Năm</t>
        </is>
      </c>
      <c r="L20172" s="11">
        <f>HYPERLINK("https://careerviet.vn/vi/tim-viec-lam/buyer.35C66771.html","Xem chi tiết")</f>
        <v/>
      </c>
      <c r="M20172" s="10" t="n"/>
    </row>
    <row r="20173">
      <c r="B20173" s="7" t="n">
        <v>20171</v>
      </c>
      <c r="C20173" t="inlineStr">
        <is>
          <t>Quality Control - Nhân viên Kiểm soát Chất lượng</t>
        </is>
      </c>
      <c r="D20173" t="inlineStr">
        <is>
          <t>Bảo mật</t>
        </is>
      </c>
      <c r="E20173" t="inlineStr">
        <is>
          <t>Lương:Cạnh tranh</t>
        </is>
      </c>
      <c r="F20173" t="inlineStr">
        <is>
          <t>Hồ Chí MinhTây NinhĐồng Tháp</t>
        </is>
      </c>
      <c r="G20173" t="inlineStr">
        <is>
          <t>24-03-2026</t>
        </is>
      </c>
      <c r="H20173" t="inlineStr">
        <is>
          <t>24/03/2026</t>
        </is>
      </c>
      <c r="I20173" t="inlineStr">
        <is>
          <t>17/03/2026</t>
        </is>
      </c>
      <c r="J20173" t="inlineStr">
        <is>
          <t>Quản lý chất lượng (QA/QC)</t>
        </is>
      </c>
      <c r="K20173" t="inlineStr">
        <is>
          <t>1 - 5 Năm</t>
        </is>
      </c>
      <c r="L20173" s="8">
        <f>HYPERLINK("https://careerviet.vn/vi/tim-viec-lam/quality-control-nhan-vien-kiem-soat-chat-luong.35C63AF8.html","Xem chi tiết")</f>
        <v/>
      </c>
    </row>
    <row r="20174">
      <c r="B20174" s="9" t="n">
        <v>20172</v>
      </c>
      <c r="C20174" s="10" t="inlineStr">
        <is>
          <t>Senior Expert, Retail &amp; Small Business Banking Credit Risk Approval</t>
        </is>
      </c>
      <c r="D20174" s="10" t="inlineStr">
        <is>
          <t>NGÂN HÀNG TMCP KỸ THƯƠNG VIỆT NAM (TECHCOMBANK)</t>
        </is>
      </c>
      <c r="E20174" s="10" t="inlineStr">
        <is>
          <t>Lương:Cạnh tranh</t>
        </is>
      </c>
      <c r="F20174" s="10" t="inlineStr">
        <is>
          <t>Hà Nội</t>
        </is>
      </c>
      <c r="G20174" s="10" t="inlineStr">
        <is>
          <t>24-03-2026</t>
        </is>
      </c>
      <c r="H20174" s="10" t="inlineStr">
        <is>
          <t>24/03/2026</t>
        </is>
      </c>
      <c r="I20174" s="10" t="inlineStr">
        <is>
          <t>17/03/2026</t>
        </is>
      </c>
      <c r="J20174" s="10" t="inlineStr">
        <is>
          <t>Bán hàng / Kinh doanh, Ngân hàng, Tài chính / Đầu tư</t>
        </is>
      </c>
      <c r="K20174" s="10" t="inlineStr">
        <is>
          <t>Trên 10 Năm</t>
        </is>
      </c>
      <c r="L20174" s="11">
        <f>HYPERLINK("https://careerviet.vn/vi/tim-viec-lam/senior-expert-retail-small-business-banking-credit-risk-approval.35C63BE6.html","Xem chi tiết")</f>
        <v/>
      </c>
      <c r="M20174" s="10" t="n"/>
    </row>
    <row r="20175">
      <c r="B20175" s="7" t="n">
        <v>20173</v>
      </c>
      <c r="C20175" t="inlineStr">
        <is>
          <t>Nhân viên Kinh doanh Khách đoàn</t>
        </is>
      </c>
      <c r="D20175" t="inlineStr">
        <is>
          <t>Công Ty Cổ Phần Du Lịch Vietravel</t>
        </is>
      </c>
      <c r="E20175" t="inlineStr">
        <is>
          <t>Lương:Cạnh tranh</t>
        </is>
      </c>
      <c r="F20175" t="inlineStr">
        <is>
          <t>Quảng Ngãi</t>
        </is>
      </c>
      <c r="G20175" t="inlineStr">
        <is>
          <t>24-03-2026</t>
        </is>
      </c>
      <c r="H20175" t="inlineStr">
        <is>
          <t>24/03/2026</t>
        </is>
      </c>
      <c r="I20175" t="inlineStr">
        <is>
          <t>17/03/2026</t>
        </is>
      </c>
      <c r="J20175" t="inlineStr">
        <is>
          <t>Bán hàng / Kinh doanh, Bán lẻ / Bán sỉ, Du lịch</t>
        </is>
      </c>
      <c r="K20175" t="inlineStr">
        <is>
          <t>Trên 1 Năm</t>
        </is>
      </c>
      <c r="L20175" s="8">
        <f>HYPERLINK("https://careerviet.vn/vi/tim-viec-lam/nhan-vien-kinh-doanh-khach-doan.35C63BD6.html","Xem chi tiết")</f>
        <v/>
      </c>
    </row>
    <row r="20176">
      <c r="B20176" s="9" t="n">
        <v>20174</v>
      </c>
      <c r="C20176" s="10" t="inlineStr">
        <is>
          <t>Phát triển sản phẩm tiết kiệm và đầu tư</t>
        </is>
      </c>
      <c r="D20176" s="10" t="inlineStr">
        <is>
          <t>Ngân hàng TMCP Lộc Phát Việt Nam (LPBank)</t>
        </is>
      </c>
      <c r="E20176" s="10" t="inlineStr">
        <is>
          <t>Lương:Cạnh tranh</t>
        </is>
      </c>
      <c r="F20176" s="10" t="inlineStr">
        <is>
          <t>Hà Nội</t>
        </is>
      </c>
      <c r="G20176" s="10" t="inlineStr">
        <is>
          <t>24-03-2026</t>
        </is>
      </c>
      <c r="H20176" s="10" t="inlineStr">
        <is>
          <t>24/03/2026</t>
        </is>
      </c>
      <c r="I20176" s="10" t="inlineStr">
        <is>
          <t>17/03/2026</t>
        </is>
      </c>
      <c r="J20176" s="10" t="inlineStr">
        <is>
          <t>Ngân hàng, Tài chính / Đầu tư</t>
        </is>
      </c>
      <c r="K20176" s="10" t="inlineStr">
        <is>
          <t>Trên 5 Năm</t>
        </is>
      </c>
      <c r="L20176" s="11">
        <f>HYPERLINK("https://careerviet.vn/vi/tim-viec-lam/phat-trien-san-pham-tiet-kiem-va-dau-tu.35C63C11.html","Xem chi tiết")</f>
        <v/>
      </c>
      <c r="M20176" s="10" t="n"/>
    </row>
    <row r="20177">
      <c r="B20177" s="7" t="n">
        <v>20175</v>
      </c>
      <c r="C20177" t="inlineStr">
        <is>
          <t>TUYỂN TRỢ LÝ - PHIÊN DỊCH TIẾNG TRUNG</t>
        </is>
      </c>
      <c r="D20177" t="inlineStr">
        <is>
          <t>CÔNG TY TNHH FOXSCORE</t>
        </is>
      </c>
      <c r="E20177" t="inlineStr">
        <is>
          <t>Lương:18 Tr - 20 Tr VND</t>
        </is>
      </c>
      <c r="F20177" t="inlineStr">
        <is>
          <t>Hồ Chí Minh</t>
        </is>
      </c>
      <c r="G20177" t="inlineStr">
        <is>
          <t>24-03-2026</t>
        </is>
      </c>
      <c r="H20177" t="inlineStr">
        <is>
          <t>24/03/2026</t>
        </is>
      </c>
      <c r="I20177" t="inlineStr">
        <is>
          <t>17/03/2026</t>
        </is>
      </c>
      <c r="J20177" t="inlineStr">
        <is>
          <t>Hành chính / Thư ký, Biên phiên dịch</t>
        </is>
      </c>
      <c r="K20177" t="inlineStr">
        <is>
          <t>Chưa có kinh nghiệm</t>
        </is>
      </c>
      <c r="L20177" s="8">
        <f>HYPERLINK("https://careerviet.vn/vi/tim-viec-lam/tuyen-tro-ly-phien-dich-tieng-trung.35C666F2.html","Xem chi tiết")</f>
        <v/>
      </c>
    </row>
    <row r="20178">
      <c r="B20178" s="9" t="n">
        <v>20176</v>
      </c>
      <c r="C20178" s="10" t="inlineStr">
        <is>
          <t>KẾ TOÁN TRƯỞNG F&amp;B</t>
        </is>
      </c>
      <c r="D20178" s="10" t="inlineStr">
        <is>
          <t>Công Ty TNHH Dịch Vụ TL</t>
        </is>
      </c>
      <c r="E20178" s="10" t="inlineStr">
        <is>
          <t>Lương:Cạnh tranh</t>
        </is>
      </c>
      <c r="F20178" s="10" t="inlineStr">
        <is>
          <t>Hồ Chí Minh</t>
        </is>
      </c>
      <c r="G20178" s="10" t="inlineStr">
        <is>
          <t>24-03-2026</t>
        </is>
      </c>
      <c r="H20178" s="10" t="inlineStr">
        <is>
          <t>24/03/2026</t>
        </is>
      </c>
      <c r="I20178" s="10" t="inlineStr">
        <is>
          <t>17/03/2026</t>
        </is>
      </c>
      <c r="J20178" s="10" t="inlineStr">
        <is>
          <t>Kế toán / Kiểm toán, Nhà hàng / Khách sạn</t>
        </is>
      </c>
      <c r="K20178" s="10" t="inlineStr">
        <is>
          <t>3 - 5 Năm</t>
        </is>
      </c>
      <c r="L20178" s="11">
        <f>HYPERLINK("https://careerviet.vn/vi/tim-viec-lam/ke-toan-truong-f-b.35C6678F.html","Xem chi tiết")</f>
        <v/>
      </c>
      <c r="M20178" s="10" t="n"/>
    </row>
    <row r="20179">
      <c r="B20179" s="7" t="n">
        <v>20177</v>
      </c>
      <c r="C20179" t="inlineStr">
        <is>
          <t>AI Engineer</t>
        </is>
      </c>
      <c r="D20179" t="inlineStr">
        <is>
          <t>Công ty Cổ phần CANIFA</t>
        </is>
      </c>
      <c r="E20179" t="inlineStr">
        <is>
          <t>Lương:16 Tr - 35 Tr VND</t>
        </is>
      </c>
      <c r="F20179" t="inlineStr">
        <is>
          <t>Hà Nội</t>
        </is>
      </c>
      <c r="G20179" t="inlineStr">
        <is>
          <t>24-03-2026</t>
        </is>
      </c>
      <c r="H20179" t="inlineStr">
        <is>
          <t>24/03/2026</t>
        </is>
      </c>
      <c r="I20179" t="inlineStr">
        <is>
          <t>17/03/2026</t>
        </is>
      </c>
      <c r="J20179" t="inlineStr">
        <is>
          <t>CNTT - Phần mềm</t>
        </is>
      </c>
      <c r="K20179" t="inlineStr">
        <is>
          <t>1 - 3 Năm</t>
        </is>
      </c>
      <c r="L20179" s="8">
        <f>HYPERLINK("https://careerviet.vn/vi/tim-viec-lam/ai-engineer.35C63C1B.html","Xem chi tiết")</f>
        <v/>
      </c>
    </row>
    <row r="20180">
      <c r="B20180" s="9" t="n">
        <v>20178</v>
      </c>
      <c r="C20180" s="10" t="inlineStr">
        <is>
          <t>Senior Production Manager</t>
        </is>
      </c>
      <c r="D20180" s="10" t="inlineStr">
        <is>
          <t>CÔNG TY TNHH THE SQUARE VINA</t>
        </is>
      </c>
      <c r="E20180" s="10" t="inlineStr">
        <is>
          <t>Lương:30 Tr - 50 Tr VND</t>
        </is>
      </c>
      <c r="F20180" s="10" t="inlineStr">
        <is>
          <t>Bà Rịa - Vũng Tàu</t>
        </is>
      </c>
      <c r="G20180" s="10" t="inlineStr">
        <is>
          <t>24-03-2026</t>
        </is>
      </c>
      <c r="H20180" s="10" t="inlineStr">
        <is>
          <t>24/03/2026</t>
        </is>
      </c>
      <c r="I20180" s="10" t="inlineStr">
        <is>
          <t>17/03/2026</t>
        </is>
      </c>
      <c r="J20180" s="10" t="inlineStr">
        <is>
          <t>Quản lý điều hành, Sản xuất / Vận hành sản xuất, Xây dựng</t>
        </is>
      </c>
      <c r="K20180" s="10" t="inlineStr">
        <is>
          <t>10 - 15 Năm</t>
        </is>
      </c>
      <c r="L20180" s="11">
        <f>HYPERLINK("https://careerviet.vn/vi/tim-viec-lam/senior-production-manager.35C666CF.html","Xem chi tiết")</f>
        <v/>
      </c>
      <c r="M20180" s="10" t="n"/>
    </row>
    <row r="20181">
      <c r="B20181" s="7" t="n">
        <v>20179</v>
      </c>
      <c r="C20181" t="inlineStr">
        <is>
          <t>Nhân Viên Bán Hàng Quận 7</t>
        </is>
      </c>
      <c r="D20181" t="inlineStr">
        <is>
          <t>CÔNG TY CỔ PHẦN VUA NỆM</t>
        </is>
      </c>
      <c r="E20181" t="inlineStr">
        <is>
          <t>Lương:8 Tr - 12 Tr VND</t>
        </is>
      </c>
      <c r="F20181" t="inlineStr">
        <is>
          <t>Hồ Chí Minh</t>
        </is>
      </c>
      <c r="G20181" t="inlineStr">
        <is>
          <t>24-03-2026</t>
        </is>
      </c>
      <c r="H20181" t="inlineStr">
        <is>
          <t>24/03/2026</t>
        </is>
      </c>
      <c r="I20181" t="inlineStr">
        <is>
          <t>17/03/2026</t>
        </is>
      </c>
      <c r="J20181" t="inlineStr">
        <is>
          <t>Bán lẻ / Bán sỉ, Bán hàng / Kinh doanh, Tư vấn</t>
        </is>
      </c>
      <c r="K20181" t="inlineStr">
        <is>
          <t>1 - 2 Năm</t>
        </is>
      </c>
      <c r="L20181" s="8">
        <f>HYPERLINK("https://careerviet.vn/vi/tim-viec-lam/nhan-vien-ban-hang-quan-7.35C63BB2.html","Xem chi tiết")</f>
        <v/>
      </c>
    </row>
    <row r="20182">
      <c r="B20182" s="9" t="n">
        <v>20180</v>
      </c>
      <c r="C20182" s="10" t="inlineStr">
        <is>
          <t>Cộng tác viên Phòng Kiểm soát rủi ro lưu trữ chứng từ &amp; vận hành số - Hà Nội/Hồ Chí Minh - TA162</t>
        </is>
      </c>
      <c r="D20182" s="10" t="inlineStr">
        <is>
          <t>Ngân Hàng TMCP Việt Nam Thịnh Vượng - VPBANK</t>
        </is>
      </c>
      <c r="E20182" s="10" t="inlineStr">
        <is>
          <t>Lương:6 Tr - 6 Tr VND</t>
        </is>
      </c>
      <c r="F20182" s="10" t="inlineStr">
        <is>
          <t>Hồ Chí Minh</t>
        </is>
      </c>
      <c r="G20182" s="10" t="inlineStr">
        <is>
          <t>24-03-2026</t>
        </is>
      </c>
      <c r="H20182" s="10" t="inlineStr">
        <is>
          <t>24/03/2026</t>
        </is>
      </c>
      <c r="I20182" s="10" t="inlineStr">
        <is>
          <t>17/03/2026</t>
        </is>
      </c>
      <c r="J20182" s="10" t="inlineStr">
        <is>
          <t>Ngân hàng</t>
        </is>
      </c>
      <c r="K20182" s="10" t="inlineStr">
        <is>
          <t>N/A</t>
        </is>
      </c>
      <c r="L20182" s="11">
        <f>HYPERLINK("https://careerviet.vn/vi/tim-viec-lam/cong-tac-vien-phong-kiem-soat-rui-ro-luu-tru-chung-tu-van-hanh-so-ha-noi-ho-chi-minh-ta162.35C62226.html","Xem chi tiết")</f>
        <v/>
      </c>
      <c r="M20182" s="10" t="n"/>
    </row>
    <row r="20183">
      <c r="B20183" s="7" t="n">
        <v>20181</v>
      </c>
      <c r="C20183" t="inlineStr">
        <is>
          <t>Trưởng Bộ Phận SMT (Tiếng Trung)</t>
        </is>
      </c>
      <c r="D20183" t="inlineStr">
        <is>
          <t>Headhunter HRchannels Group</t>
        </is>
      </c>
      <c r="E20183" t="inlineStr">
        <is>
          <t>Lương:1.000 - 1.500 USD</t>
        </is>
      </c>
      <c r="F20183" t="inlineStr">
        <is>
          <t>Bắc GiangBắc NinhĐồng Nai</t>
        </is>
      </c>
      <c r="G20183" t="inlineStr">
        <is>
          <t>24-03-2026</t>
        </is>
      </c>
      <c r="H20183" t="inlineStr">
        <is>
          <t>24/03/2026</t>
        </is>
      </c>
      <c r="I20183" t="inlineStr">
        <is>
          <t>17/03/2026</t>
        </is>
      </c>
      <c r="J20183" t="inlineStr">
        <is>
          <t>Điện / Điện tử / Điện lạnh / Điện công nghiệp, Sản xuất / Vận hành sản xuất, Bảo trì / Sửa chữa</t>
        </is>
      </c>
      <c r="K20183" t="inlineStr">
        <is>
          <t>Trên 3 Năm</t>
        </is>
      </c>
      <c r="L20183" s="8">
        <f>HYPERLINK("https://careerviet.vn/vi/tim-viec-lam/truong-bo-phan-smt-tieng-trung.35C66641.html","Xem chi tiết")</f>
        <v/>
      </c>
    </row>
    <row r="20184">
      <c r="B20184" s="9" t="n">
        <v>20182</v>
      </c>
      <c r="C20184" s="10" t="inlineStr">
        <is>
          <t>Supply Chain Manager</t>
        </is>
      </c>
      <c r="D20184" s="10" t="inlineStr">
        <is>
          <t>CÔNG TY TNHH GIP GROUP</t>
        </is>
      </c>
      <c r="E20184" s="10" t="inlineStr">
        <is>
          <t>Lương:45 Tr - 60 Tr VND</t>
        </is>
      </c>
      <c r="F20184" s="10" t="inlineStr">
        <is>
          <t>Hà Nội</t>
        </is>
      </c>
      <c r="G20184" s="10" t="inlineStr">
        <is>
          <t>24-03-2026</t>
        </is>
      </c>
      <c r="H20184" s="10" t="inlineStr">
        <is>
          <t>24/03/2026</t>
        </is>
      </c>
      <c r="I20184" s="10" t="inlineStr">
        <is>
          <t>17/03/2026</t>
        </is>
      </c>
      <c r="J20184" s="10" t="inlineStr">
        <is>
          <t>Thương mại điện tử, Vận chuyển / Giao nhận / Kho vận, Quản lý điều hành</t>
        </is>
      </c>
      <c r="K20184" s="10" t="inlineStr">
        <is>
          <t>3 - 5 Năm</t>
        </is>
      </c>
      <c r="L20184" s="11">
        <f>HYPERLINK("https://careerviet.vn/vi/tim-viec-lam/supply-chain-manager.35C66742.html","Xem chi tiết")</f>
        <v/>
      </c>
      <c r="M20184" s="10" t="n"/>
    </row>
    <row r="20185">
      <c r="B20185" s="7" t="n">
        <v>20183</v>
      </c>
      <c r="C20185" t="inlineStr">
        <is>
          <t>Company Admin/ Quản Trị Viên Công Ty</t>
        </is>
      </c>
      <c r="D20185" t="inlineStr">
        <is>
          <t>Công ty TNHH AKT Việt Nam</t>
        </is>
      </c>
      <c r="E20185" t="inlineStr">
        <is>
          <t>Lương:Cạnh tranh</t>
        </is>
      </c>
      <c r="F20185" t="inlineStr">
        <is>
          <t>Hồ Chí Minh</t>
        </is>
      </c>
      <c r="G20185" t="inlineStr">
        <is>
          <t>24-03-2026</t>
        </is>
      </c>
      <c r="H20185" t="inlineStr">
        <is>
          <t>24/03/2026</t>
        </is>
      </c>
      <c r="I20185" t="inlineStr">
        <is>
          <t>17/03/2026</t>
        </is>
      </c>
      <c r="J20185" t="inlineStr">
        <is>
          <t>Dịch vụ khách hàng, Hành chính / Thư ký, Nhân sự</t>
        </is>
      </c>
      <c r="K20185" t="inlineStr">
        <is>
          <t>N/A</t>
        </is>
      </c>
      <c r="L20185" s="8">
        <f>HYPERLINK("https://careerviet.vn/vi/tim-viec-lam/company-admin-quan-tri-vien-cong-ty.35C666CA.html","Xem chi tiết")</f>
        <v/>
      </c>
    </row>
    <row r="20186">
      <c r="B20186" s="9" t="n">
        <v>20184</v>
      </c>
      <c r="C20186" s="10" t="inlineStr">
        <is>
          <t>Kế toán Tổng hợp (Xây dựng)</t>
        </is>
      </c>
      <c r="D20186" s="10" t="inlineStr">
        <is>
          <t>Công ty TNHH Thiên Thủy Mộc</t>
        </is>
      </c>
      <c r="E20186" s="10" t="inlineStr">
        <is>
          <t>Lương:15 Tr - 21 Tr VND</t>
        </is>
      </c>
      <c r="F20186" s="10" t="inlineStr">
        <is>
          <t>Hà Nội</t>
        </is>
      </c>
      <c r="G20186" s="10" t="inlineStr">
        <is>
          <t>24-03-2026</t>
        </is>
      </c>
      <c r="H20186" s="10" t="inlineStr">
        <is>
          <t>24/03/2026</t>
        </is>
      </c>
      <c r="I20186" s="10" t="inlineStr">
        <is>
          <t>17/03/2026</t>
        </is>
      </c>
      <c r="J20186" s="10" t="inlineStr">
        <is>
          <t>Kế toán / Kiểm toán</t>
        </is>
      </c>
      <c r="K20186" s="10" t="inlineStr">
        <is>
          <t>3 - 5 Năm</t>
        </is>
      </c>
      <c r="L20186" s="11">
        <f>HYPERLINK("https://careerviet.vn/vi/tim-viec-lam/ke-toan-tong-hop-xay-dung.35C666B4.html","Xem chi tiết")</f>
        <v/>
      </c>
      <c r="M20186" s="10" t="n"/>
    </row>
    <row r="20187">
      <c r="B20187" s="7" t="n">
        <v>20185</v>
      </c>
      <c r="C20187" t="inlineStr">
        <is>
          <t>Chuyên Viên Graphic Designer</t>
        </is>
      </c>
      <c r="D20187" t="inlineStr">
        <is>
          <t>Beta Group</t>
        </is>
      </c>
      <c r="E20187" t="inlineStr">
        <is>
          <t>Lương:12 Tr - 18 Tr VND</t>
        </is>
      </c>
      <c r="F20187" t="inlineStr">
        <is>
          <t>Hồ Chí Minh</t>
        </is>
      </c>
      <c r="G20187" t="inlineStr">
        <is>
          <t>24-03-2026</t>
        </is>
      </c>
      <c r="H20187" t="inlineStr">
        <is>
          <t>24/03/2026</t>
        </is>
      </c>
      <c r="I20187" t="inlineStr">
        <is>
          <t>17/03/2026</t>
        </is>
      </c>
      <c r="J20187" t="inlineStr">
        <is>
          <t>Mỹ thuật / Nghệ thuật / Thiết kế</t>
        </is>
      </c>
      <c r="K20187" t="inlineStr">
        <is>
          <t>3 - 5 Năm</t>
        </is>
      </c>
      <c r="L20187" s="8">
        <f>HYPERLINK("https://careerviet.vn/vi/tim-viec-lam/chuyen-vien-graphic-designer.35C666D8.html","Xem chi tiết")</f>
        <v/>
      </c>
    </row>
    <row r="20188">
      <c r="B20188" s="9" t="n">
        <v>20186</v>
      </c>
      <c r="C20188" s="10" t="inlineStr">
        <is>
          <t>Nhân viên Sale Tour Outbound</t>
        </is>
      </c>
      <c r="D20188" s="10" t="inlineStr">
        <is>
          <t>Công Ty Tổ Chức Hội Nghị, Sự Kiện Và Du Lịch Quốc Tế Hòa Bình</t>
        </is>
      </c>
      <c r="E20188" s="10" t="inlineStr">
        <is>
          <t>Lương:Cạnh tranh</t>
        </is>
      </c>
      <c r="F20188" s="10" t="inlineStr">
        <is>
          <t>Hồ Chí Minh</t>
        </is>
      </c>
      <c r="G20188" s="10" t="inlineStr">
        <is>
          <t>24-03-2026</t>
        </is>
      </c>
      <c r="H20188" s="10" t="inlineStr">
        <is>
          <t>24/03/2026</t>
        </is>
      </c>
      <c r="I20188" s="10" t="inlineStr">
        <is>
          <t>17/03/2026</t>
        </is>
      </c>
      <c r="J20188" s="10" t="inlineStr">
        <is>
          <t>Bán hàng / Kinh doanh, Dịch vụ khách hàng, Du lịch</t>
        </is>
      </c>
      <c r="K20188" s="10" t="inlineStr">
        <is>
          <t>2 - 3 Năm</t>
        </is>
      </c>
      <c r="L20188" s="11">
        <f>HYPERLINK("https://careerviet.vn/vi/tim-viec-lam/nhan-vien-sale-tour-outbound.35C63BA1.html","Xem chi tiết")</f>
        <v/>
      </c>
      <c r="M20188" s="10" t="n"/>
    </row>
    <row r="20189">
      <c r="B20189" s="7" t="n">
        <v>20187</v>
      </c>
      <c r="C20189" t="inlineStr">
        <is>
          <t>SALES ADMIN</t>
        </is>
      </c>
      <c r="D20189" t="inlineStr">
        <is>
          <t>CÔNG TY TNHH MỘT THÀNH VIÊN LÝ GIA VIÊN</t>
        </is>
      </c>
      <c r="E20189" t="inlineStr">
        <is>
          <t>Lương:9 Tr - 10 Tr VND</t>
        </is>
      </c>
      <c r="F20189" t="inlineStr">
        <is>
          <t>Hồ Chí Minh</t>
        </is>
      </c>
      <c r="G20189" t="inlineStr">
        <is>
          <t>24-03-2026</t>
        </is>
      </c>
      <c r="H20189" t="inlineStr">
        <is>
          <t>24/03/2026</t>
        </is>
      </c>
      <c r="I20189" t="inlineStr">
        <is>
          <t>17/03/2026</t>
        </is>
      </c>
      <c r="J20189" t="inlineStr">
        <is>
          <t>Bán lẻ / Bán sỉ, Bán hàng / Kinh doanh, Thương mại điện tử</t>
        </is>
      </c>
      <c r="K20189" t="inlineStr">
        <is>
          <t>2 - 4 Năm</t>
        </is>
      </c>
      <c r="L20189" s="8">
        <f>HYPERLINK("https://careerviet.vn/vi/tim-viec-lam/sales-admin.35C6673C.html","Xem chi tiết")</f>
        <v/>
      </c>
    </row>
    <row r="20190">
      <c r="B20190" s="9" t="n">
        <v>20188</v>
      </c>
      <c r="C20190" s="10" t="inlineStr">
        <is>
          <t>[Sóc Sơn, Hà Nội] Nhân Viên Bán Hàng/Kinh Doanh Kênh Truyền Thống (GT) - Đi Làm Ngay</t>
        </is>
      </c>
      <c r="D20190" s="10" t="inlineStr">
        <is>
          <t>Coca-Cola Beverages Vietnam</t>
        </is>
      </c>
      <c r="E20190" s="10" t="inlineStr">
        <is>
          <t>Lương:Cạnh tranh</t>
        </is>
      </c>
      <c r="F20190" s="10" t="inlineStr">
        <is>
          <t>Hà Nội</t>
        </is>
      </c>
      <c r="G20190" s="10" t="inlineStr">
        <is>
          <t>24-03-2026</t>
        </is>
      </c>
      <c r="H20190" s="10" t="inlineStr">
        <is>
          <t>24/03/2026</t>
        </is>
      </c>
      <c r="I20190" s="10" t="inlineStr">
        <is>
          <t>17/03/2026</t>
        </is>
      </c>
      <c r="J20190" s="10" t="inlineStr">
        <is>
          <t>Bán hàng / Kinh doanh, Thực phẩm &amp; Đồ uống</t>
        </is>
      </c>
      <c r="K20190" s="10" t="inlineStr">
        <is>
          <t>1 - 3 Năm</t>
        </is>
      </c>
      <c r="L20190" s="11">
        <f>HYPERLINK("https://careerviet.vn/vi/tim-viec-lam/soc-son-ha-noi-nhan-vien-ban-hang-kinh-doanh-kenh-truyen-thong-gt-di-lam-ngay.35C666C0.html","Xem chi tiết")</f>
        <v/>
      </c>
      <c r="M20190" s="10" t="n"/>
    </row>
    <row r="20191">
      <c r="B20191" s="7" t="n">
        <v>20189</v>
      </c>
      <c r="C20191" t="inlineStr">
        <is>
          <t>Kỹ sư nước</t>
        </is>
      </c>
      <c r="D20191" t="inlineStr">
        <is>
          <t>Công Ty Cổ Phần Tập Đoàn Bất Động Sản Thắng Lợi</t>
        </is>
      </c>
      <c r="E20191" t="inlineStr">
        <is>
          <t>Lương:Cạnh tranh</t>
        </is>
      </c>
      <c r="F20191" t="inlineStr">
        <is>
          <t>Long An</t>
        </is>
      </c>
      <c r="G20191" t="inlineStr">
        <is>
          <t>24-03-2026</t>
        </is>
      </c>
      <c r="H20191" t="inlineStr">
        <is>
          <t>24/03/2026</t>
        </is>
      </c>
      <c r="I20191" t="inlineStr">
        <is>
          <t>17/03/2026</t>
        </is>
      </c>
      <c r="J20191" t="inlineStr">
        <is>
          <t>Điện / Điện tử / Điện lạnh / Điện công nghiệp, Xây dựng, Bất động sản</t>
        </is>
      </c>
      <c r="K20191" t="inlineStr">
        <is>
          <t>3 - 5 Năm</t>
        </is>
      </c>
      <c r="L20191" s="8">
        <f>HYPERLINK("https://careerviet.vn/vi/tim-viec-lam/ky-su-nuoc.35C63AE9.html","Xem chi tiết")</f>
        <v/>
      </c>
    </row>
    <row r="20192">
      <c r="B20192" s="9" t="n">
        <v>20190</v>
      </c>
      <c r="C20192" s="10" t="inlineStr">
        <is>
          <t>Trade Marketing Activity Manager</t>
        </is>
      </c>
      <c r="D20192" s="10" t="inlineStr">
        <is>
          <t>Công Ty TNHH CJ Foods Việt Nam</t>
        </is>
      </c>
      <c r="E20192" s="10" t="inlineStr">
        <is>
          <t>Lương:Cạnh tranh</t>
        </is>
      </c>
      <c r="F20192" s="10" t="inlineStr">
        <is>
          <t>Hồ Chí Minh</t>
        </is>
      </c>
      <c r="G20192" s="10" t="inlineStr">
        <is>
          <t>24-03-2026</t>
        </is>
      </c>
      <c r="H20192" s="10" t="inlineStr">
        <is>
          <t>24/03/2026</t>
        </is>
      </c>
      <c r="I20192" s="10" t="inlineStr">
        <is>
          <t>17/03/2026</t>
        </is>
      </c>
      <c r="J20192" s="10" t="inlineStr">
        <is>
          <t>Tiếp thị / Marketing, Tiếp thị trực tuyến, Thực phẩm &amp; Đồ uống</t>
        </is>
      </c>
      <c r="K20192" s="10" t="inlineStr">
        <is>
          <t>N/A</t>
        </is>
      </c>
      <c r="L20192" s="11">
        <f>HYPERLINK("https://careerviet.vn/vi/tim-viec-lam/trade-marketing-activity-manager.35C666B3.html","Xem chi tiết")</f>
        <v/>
      </c>
      <c r="M20192" s="10" t="n"/>
    </row>
    <row r="20193">
      <c r="B20193" s="7" t="n">
        <v>20191</v>
      </c>
      <c r="C20193" t="inlineStr">
        <is>
          <t>Kỹ Sư Lắp Ráp</t>
        </is>
      </c>
      <c r="D20193" t="inlineStr">
        <is>
          <t>CÔNG TY TNHH TEXON VIETNAM</t>
        </is>
      </c>
      <c r="E20193" t="inlineStr">
        <is>
          <t>Lương:Cạnh tranh</t>
        </is>
      </c>
      <c r="F20193" t="inlineStr">
        <is>
          <t>Bắc Ninh</t>
        </is>
      </c>
      <c r="G20193" t="inlineStr">
        <is>
          <t>24-03-2026</t>
        </is>
      </c>
      <c r="H20193" t="inlineStr">
        <is>
          <t>24/03/2026</t>
        </is>
      </c>
      <c r="I20193" t="inlineStr">
        <is>
          <t>17/03/2026</t>
        </is>
      </c>
      <c r="J20193" t="inlineStr">
        <is>
          <t>Cơ khí / Ô tô / Tự động hóa, Điện / Điện tử / Điện lạnh / Điện công nghiệp, Sản xuất / Vận hành sản xuất</t>
        </is>
      </c>
      <c r="K20193" t="inlineStr">
        <is>
          <t>N/A</t>
        </is>
      </c>
      <c r="L20193" s="8">
        <f>HYPERLINK("https://careerviet.vn/vi/tim-viec-lam/ky-su-lap-rap.35C63C42.html","Xem chi tiết")</f>
        <v/>
      </c>
    </row>
    <row r="20194">
      <c r="B20194" s="9" t="n">
        <v>20192</v>
      </c>
      <c r="C20194" s="10" t="inlineStr">
        <is>
          <t>Nhân viên hành chánh tổng hợp</t>
        </is>
      </c>
      <c r="D20194" s="10" t="inlineStr">
        <is>
          <t>Công ty Cổ Phần Thảo Mộc Xanh</t>
        </is>
      </c>
      <c r="E20194" s="10" t="inlineStr">
        <is>
          <t>Lương:Cạnh tranh</t>
        </is>
      </c>
      <c r="F20194" s="10" t="inlineStr">
        <is>
          <t>Hồ Chí Minh</t>
        </is>
      </c>
      <c r="G20194" s="10" t="inlineStr">
        <is>
          <t>24-03-2026</t>
        </is>
      </c>
      <c r="H20194" s="10" t="inlineStr">
        <is>
          <t>24/03/2026</t>
        </is>
      </c>
      <c r="I20194" s="10" t="inlineStr">
        <is>
          <t>17/03/2026</t>
        </is>
      </c>
      <c r="J20194" s="10" t="inlineStr">
        <is>
          <t>Hành chính / Thư ký, Quản lý điều hành, Ngành khác</t>
        </is>
      </c>
      <c r="K20194" s="10" t="inlineStr">
        <is>
          <t>Trên 2 Năm</t>
        </is>
      </c>
      <c r="L20194" s="11">
        <f>HYPERLINK("https://careerviet.vn/vi/tim-viec-lam/nhan-vien-hanh-chanh-tong-hop.35C6678A.html","Xem chi tiết")</f>
        <v/>
      </c>
      <c r="M20194" s="10" t="n"/>
    </row>
    <row r="20195">
      <c r="B20195" s="7" t="n">
        <v>20193</v>
      </c>
      <c r="C20195" t="inlineStr">
        <is>
          <t>Nhân viên LiveStream</t>
        </is>
      </c>
      <c r="D20195" t="inlineStr">
        <is>
          <t>Công ty Cổ phần Mediamart Việt Nam</t>
        </is>
      </c>
      <c r="E20195" t="inlineStr">
        <is>
          <t>Lương:15 Tr - 20 Tr VND</t>
        </is>
      </c>
      <c r="F20195" t="inlineStr">
        <is>
          <t>Hà Nội</t>
        </is>
      </c>
      <c r="G20195" t="inlineStr">
        <is>
          <t>24-03-2026</t>
        </is>
      </c>
      <c r="H20195" t="inlineStr">
        <is>
          <t>24/03/2026</t>
        </is>
      </c>
      <c r="I20195" t="inlineStr">
        <is>
          <t>17/03/2026</t>
        </is>
      </c>
      <c r="J20195" t="inlineStr">
        <is>
          <t>Bán lẻ / Bán sỉ, Tiếp thị trực tuyến, Thương mại điện tử</t>
        </is>
      </c>
      <c r="K20195" t="inlineStr">
        <is>
          <t>Lên đến 1 Năm</t>
        </is>
      </c>
      <c r="L20195" s="8">
        <f>HYPERLINK("https://careerviet.vn/vi/tim-viec-lam/nhan-vien-livestream.35C63BB1.html","Xem chi tiết")</f>
        <v/>
      </c>
    </row>
    <row r="20196">
      <c r="B20196" s="9" t="n">
        <v>20194</v>
      </c>
      <c r="C20196" s="10" t="inlineStr">
        <is>
          <t>Chuyên viên kỹ thuật (TBYT) - IVD</t>
        </is>
      </c>
      <c r="D20196" s="10" t="inlineStr">
        <is>
          <t>Công ty TNHH Vạn Niên</t>
        </is>
      </c>
      <c r="E20196" s="10" t="inlineStr">
        <is>
          <t>Lương:14 Tr - 20 Tr VND</t>
        </is>
      </c>
      <c r="F20196" s="10" t="inlineStr">
        <is>
          <t>Hồ Chí Minh</t>
        </is>
      </c>
      <c r="G20196" s="10" t="inlineStr">
        <is>
          <t>24-03-2026</t>
        </is>
      </c>
      <c r="H20196" s="10" t="inlineStr">
        <is>
          <t>24/03/2026</t>
        </is>
      </c>
      <c r="I20196" s="10" t="inlineStr">
        <is>
          <t>17/03/2026</t>
        </is>
      </c>
      <c r="J20196" s="10" t="inlineStr">
        <is>
          <t>Y tế / Chăm sóc sức khỏe / Thẩm mỹ / Làm đẹp, Công nghệ sinh học, Bán Hàng Kỹ Thuật</t>
        </is>
      </c>
      <c r="K20196" s="10" t="inlineStr">
        <is>
          <t>3 - 5 Năm</t>
        </is>
      </c>
      <c r="L20196" s="11">
        <f>HYPERLINK("https://careerviet.vn/vi/tim-viec-lam/chuyen-vien-ky-thuat-tbyt-ivd.35C666CB.html","Xem chi tiết")</f>
        <v/>
      </c>
      <c r="M20196" s="10" t="n"/>
    </row>
    <row r="20197">
      <c r="B20197" s="7" t="n">
        <v>20195</v>
      </c>
      <c r="C20197" t="inlineStr">
        <is>
          <t>Chuyên viên cao cấp Digital Marketing</t>
        </is>
      </c>
      <c r="D20197" t="inlineStr">
        <is>
          <t>Ngân hàng Thương mại cổ phần Đông Nam Á (SeABank)</t>
        </is>
      </c>
      <c r="E20197" t="inlineStr">
        <is>
          <t>Lương:Cạnh tranh</t>
        </is>
      </c>
      <c r="F20197" t="inlineStr">
        <is>
          <t>Hà Nội</t>
        </is>
      </c>
      <c r="G20197" t="inlineStr">
        <is>
          <t>24-03-2026</t>
        </is>
      </c>
      <c r="H20197" t="inlineStr">
        <is>
          <t>24/03/2026</t>
        </is>
      </c>
      <c r="I20197" t="inlineStr">
        <is>
          <t>17/03/2026</t>
        </is>
      </c>
      <c r="J20197" t="inlineStr">
        <is>
          <t>Tiếp thị / Marketing, Ngân hàng</t>
        </is>
      </c>
      <c r="K20197" t="inlineStr">
        <is>
          <t>3 - 5 Năm</t>
        </is>
      </c>
      <c r="L20197" s="8">
        <f>HYPERLINK("https://careerviet.vn/vi/tim-viec-lam/chuyen-vien-cao-cap-digital-marketing.35C63BEA.html","Xem chi tiết")</f>
        <v/>
      </c>
    </row>
    <row r="20198">
      <c r="B20198" s="9" t="n">
        <v>20196</v>
      </c>
      <c r="C20198" s="10" t="inlineStr">
        <is>
          <t>KẾ TOÁN TRƯỞNG</t>
        </is>
      </c>
      <c r="D20198" s="10" t="inlineStr">
        <is>
          <t>CareerViet's client</t>
        </is>
      </c>
      <c r="E20198" s="10" t="inlineStr">
        <is>
          <t>Lương:Cạnh tranh</t>
        </is>
      </c>
      <c r="F20198" s="10" t="inlineStr">
        <is>
          <t>Hồ Chí Minh</t>
        </is>
      </c>
      <c r="G20198" s="10" t="inlineStr">
        <is>
          <t>24-03-2026</t>
        </is>
      </c>
      <c r="H20198" s="10" t="inlineStr">
        <is>
          <t>24/03/2026</t>
        </is>
      </c>
      <c r="I20198" s="10" t="inlineStr">
        <is>
          <t>17/03/2026</t>
        </is>
      </c>
      <c r="J20198" s="10" t="inlineStr">
        <is>
          <t>Kế toán / Kiểm toán</t>
        </is>
      </c>
      <c r="K20198" s="10" t="inlineStr">
        <is>
          <t>3 - 5 Năm</t>
        </is>
      </c>
      <c r="L20198" s="11">
        <f>HYPERLINK("https://careerviet.vn/vi/tim-viec-lam/ke-toan-truong.35C667BE.html","Xem chi tiết")</f>
        <v/>
      </c>
      <c r="M20198" s="10" t="n"/>
    </row>
    <row r="20199">
      <c r="B20199" s="7" t="n">
        <v>20197</v>
      </c>
      <c r="C20199" t="inlineStr">
        <is>
          <t>Expert, Collateral Management</t>
        </is>
      </c>
      <c r="D20199" t="inlineStr">
        <is>
          <t>NGÂN HÀNG TMCP KỸ THƯƠNG VIỆT NAM (TECHCOMBANK)</t>
        </is>
      </c>
      <c r="E20199" t="inlineStr">
        <is>
          <t>Lương:Cạnh tranh</t>
        </is>
      </c>
      <c r="F20199" t="inlineStr">
        <is>
          <t>Hà Nội</t>
        </is>
      </c>
      <c r="G20199" t="inlineStr">
        <is>
          <t>24-03-2026</t>
        </is>
      </c>
      <c r="H20199" t="inlineStr">
        <is>
          <t>24/03/2026</t>
        </is>
      </c>
      <c r="I20199" t="inlineStr">
        <is>
          <t>17/03/2026</t>
        </is>
      </c>
      <c r="J20199" t="inlineStr">
        <is>
          <t>Bán hàng / Kinh doanh, Ngân hàng, Tài chính / Đầu tư</t>
        </is>
      </c>
      <c r="K20199" t="inlineStr">
        <is>
          <t>Trên 5 Năm</t>
        </is>
      </c>
      <c r="L20199" s="8">
        <f>HYPERLINK("https://careerviet.vn/vi/tim-viec-lam/expert-collateral-management.35C63BCE.html","Xem chi tiết")</f>
        <v/>
      </c>
    </row>
    <row r="20200">
      <c r="B20200" s="9" t="n">
        <v>20198</v>
      </c>
      <c r="C20200" s="10" t="inlineStr">
        <is>
          <t>Chuyên viên cao cấp Trải nghiệm Ngân hàng số</t>
        </is>
      </c>
      <c r="D20200" s="10" t="inlineStr">
        <is>
          <t>Ngân hàng Thương mại cổ phần Đông Nam Á (SeABank)</t>
        </is>
      </c>
      <c r="E20200" s="10" t="inlineStr">
        <is>
          <t>Lương:Cạnh tranh</t>
        </is>
      </c>
      <c r="F20200" s="10" t="inlineStr">
        <is>
          <t>Hà Nội</t>
        </is>
      </c>
      <c r="G20200" s="10" t="inlineStr">
        <is>
          <t>24-03-2026</t>
        </is>
      </c>
      <c r="H20200" s="10" t="inlineStr">
        <is>
          <t>24/03/2026</t>
        </is>
      </c>
      <c r="I20200" s="10" t="inlineStr">
        <is>
          <t>17/03/2026</t>
        </is>
      </c>
      <c r="J20200" s="10" t="inlineStr">
        <is>
          <t>Ngân hàng</t>
        </is>
      </c>
      <c r="K20200" s="10" t="inlineStr">
        <is>
          <t>2 - 4 Năm</t>
        </is>
      </c>
      <c r="L20200" s="11">
        <f>HYPERLINK("https://careerviet.vn/vi/tim-viec-lam/chuyen-vien-cao-cap-trai-nghiem-ngan-hang-so.35C63BCF.html","Xem chi tiết")</f>
        <v/>
      </c>
      <c r="M20200" s="10" t="n"/>
    </row>
    <row r="20201">
      <c r="B20201" s="7" t="n">
        <v>20199</v>
      </c>
      <c r="C20201" t="inlineStr">
        <is>
          <t>Nhân Viên Kinh Doanh</t>
        </is>
      </c>
      <c r="D20201" t="inlineStr">
        <is>
          <t>Công Ty TNHH Thương Mại Và Dịch Vụ Nguyễn Huy</t>
        </is>
      </c>
      <c r="E20201" t="inlineStr">
        <is>
          <t>Lương:20 Tr - 25 Tr VND</t>
        </is>
      </c>
      <c r="F20201" t="inlineStr">
        <is>
          <t>Hồ Chí Minh</t>
        </is>
      </c>
      <c r="G20201" t="inlineStr">
        <is>
          <t>6</t>
        </is>
      </c>
      <c r="H20201" t="inlineStr">
        <is>
          <t>23/03/2026</t>
        </is>
      </c>
      <c r="I20201" t="inlineStr">
        <is>
          <t>17/03/2026</t>
        </is>
      </c>
      <c r="J20201" t="inlineStr">
        <is>
          <t>Điện / Điện tử / Điện lạnh / Điện công nghiệp, Tư vấn, Bán hàng / Kinh doanh</t>
        </is>
      </c>
      <c r="K20201" t="inlineStr">
        <is>
          <t>Trên 2 Năm</t>
        </is>
      </c>
      <c r="L20201" s="8">
        <f>HYPERLINK("https://careerviet.vn/vi/tim-viec-lam/nhan-vien-kinh-doanh.35C6393A.html","Xem chi tiết")</f>
        <v/>
      </c>
    </row>
    <row r="20202">
      <c r="B20202" s="9" t="n">
        <v>20200</v>
      </c>
      <c r="C20202" s="10" t="inlineStr">
        <is>
          <t>Embedded Engineer/ Kỹ Sư Lập Trình Nhúng</t>
        </is>
      </c>
      <c r="D20202" s="10" t="inlineStr">
        <is>
          <t>CÔNG TY TNHH THANG MÁY VGSI</t>
        </is>
      </c>
      <c r="E20202" s="10" t="inlineStr">
        <is>
          <t>Lương:Cạnh tranh</t>
        </is>
      </c>
      <c r="F20202" s="10" t="inlineStr">
        <is>
          <t>Đồng Nai</t>
        </is>
      </c>
      <c r="G20202" s="10" t="inlineStr">
        <is>
          <t>6</t>
        </is>
      </c>
      <c r="H20202" s="10" t="inlineStr">
        <is>
          <t>22/03/2026</t>
        </is>
      </c>
      <c r="I20202" s="10" t="inlineStr">
        <is>
          <t>17/03/2026</t>
        </is>
      </c>
      <c r="J20202" s="10" t="inlineStr">
        <is>
          <t>Cơ khí / Ô tô / Tự động hóa, Điện / Điện tử / Điện lạnh / Điện công nghiệp, CNTT - Phần cứng / Mạng</t>
        </is>
      </c>
      <c r="K20202" s="10" t="inlineStr">
        <is>
          <t>Trên 2 Năm</t>
        </is>
      </c>
      <c r="L20202" s="11">
        <f>HYPERLINK("https://careerviet.vn/vi/tim-viec-lam/embedded-engineer-ky-su-lap-trinh-nhung.35C63A9D.html","Xem chi tiết")</f>
        <v/>
      </c>
      <c r="M20202" s="10" t="n"/>
    </row>
    <row r="20203">
      <c r="B20203" s="7" t="n">
        <v>20201</v>
      </c>
      <c r="C20203" t="inlineStr">
        <is>
          <t>CVC/CVCC Phân Tích Nghiệp Vụ (Business Analyst)</t>
        </is>
      </c>
      <c r="D20203" t="inlineStr">
        <is>
          <t>CÔNG TY CỔ PHẦN CHỨNG KHOÁN ASEAN</t>
        </is>
      </c>
      <c r="E20203" t="inlineStr">
        <is>
          <t>Lương:Cạnh tranh</t>
        </is>
      </c>
      <c r="F20203" t="inlineStr">
        <is>
          <t>Hà Nội</t>
        </is>
      </c>
      <c r="G20203" t="inlineStr">
        <is>
          <t>6</t>
        </is>
      </c>
      <c r="H20203" t="inlineStr">
        <is>
          <t>23/03/2026</t>
        </is>
      </c>
      <c r="I20203" t="inlineStr">
        <is>
          <t>17/03/2026</t>
        </is>
      </c>
      <c r="J20203" t="inlineStr">
        <is>
          <t>Chứng khoán, Tài chính / Đầu tư, CNTT - Phần mềm</t>
        </is>
      </c>
      <c r="K20203" t="inlineStr">
        <is>
          <t>Trên 2 Năm</t>
        </is>
      </c>
      <c r="L20203" s="8">
        <f>HYPERLINK("https://careerviet.vn/vi/tim-viec-lam/cvc-cvcc-phan-tich-nghiep-vu-business-analyst.35C63AC6.html","Xem chi tiết")</f>
        <v/>
      </c>
    </row>
    <row r="20204">
      <c r="B20204" s="9" t="n">
        <v>20202</v>
      </c>
      <c r="C20204" s="10" t="inlineStr">
        <is>
          <t>Lâm Đồng - Chuyên viên Quan hệ Khách hàng cá nhân</t>
        </is>
      </c>
      <c r="D20204" s="10" t="inlineStr">
        <is>
          <t>Ngân hàng TMCP Lộc Phát Việt Nam (LPBank)</t>
        </is>
      </c>
      <c r="E20204" s="10" t="inlineStr">
        <is>
          <t>Lương:Cạnh tranh</t>
        </is>
      </c>
      <c r="F20204" s="10" t="inlineStr">
        <is>
          <t>Lâm Đồng</t>
        </is>
      </c>
      <c r="G20204" s="10" t="inlineStr">
        <is>
          <t>6</t>
        </is>
      </c>
      <c r="H20204" s="10" t="inlineStr">
        <is>
          <t>23/03/2026</t>
        </is>
      </c>
      <c r="I20204" s="10" t="inlineStr">
        <is>
          <t>17/03/2026</t>
        </is>
      </c>
      <c r="J20204" s="10" t="inlineStr">
        <is>
          <t>Bán hàng / Kinh doanh, Kế toán / Kiểm toán, Ngân hàng</t>
        </is>
      </c>
      <c r="K20204" s="10" t="inlineStr">
        <is>
          <t>N/A</t>
        </is>
      </c>
      <c r="L20204" s="11">
        <f>HYPERLINK("https://careerviet.vn/vi/tim-viec-lam/lam-dong-chuyen-vien-quan-he-khach-hang-ca-nhan.35C63A83.html","Xem chi tiết")</f>
        <v/>
      </c>
      <c r="M20204" s="10" t="n"/>
    </row>
    <row r="20205">
      <c r="B20205" s="7" t="n">
        <v>20203</v>
      </c>
      <c r="C20205" t="inlineStr">
        <is>
          <t>Kế Toán Tổng Hợp (Thời vụ 6 tháng)</t>
        </is>
      </c>
      <c r="D20205" t="inlineStr">
        <is>
          <t>Công Ty Hoàng An Nhiên</t>
        </is>
      </c>
      <c r="E20205" t="inlineStr">
        <is>
          <t>Lương:Cạnh tranh</t>
        </is>
      </c>
      <c r="F20205" t="inlineStr">
        <is>
          <t>Hồ Chí Minh</t>
        </is>
      </c>
      <c r="G20205" t="inlineStr">
        <is>
          <t>6</t>
        </is>
      </c>
      <c r="H20205" t="inlineStr">
        <is>
          <t>23/03/2026</t>
        </is>
      </c>
      <c r="I20205" t="inlineStr">
        <is>
          <t>17/03/2026</t>
        </is>
      </c>
      <c r="J20205" t="inlineStr">
        <is>
          <t>Thực phẩm &amp; Đồ uống, Kế toán / Kiểm toán</t>
        </is>
      </c>
      <c r="K20205" t="inlineStr">
        <is>
          <t>3 - 5 Năm</t>
        </is>
      </c>
      <c r="L20205" s="8">
        <f>HYPERLINK("https://careerviet.vn/vi/tim-viec-lam/ke-toan-tong-hop-thoi-vu-6-thang.35C639BA.html","Xem chi tiết")</f>
        <v/>
      </c>
    </row>
    <row r="20206">
      <c r="B20206" s="9" t="n">
        <v>20204</v>
      </c>
      <c r="C20206" s="10" t="inlineStr">
        <is>
          <t>Data Analyst</t>
        </is>
      </c>
      <c r="D20206" s="10" t="inlineStr">
        <is>
          <t>Công Ty Tài Chính Mirae Asset (Việt Nam)</t>
        </is>
      </c>
      <c r="E20206" s="10" t="inlineStr">
        <is>
          <t>Lương:Cạnh tranh</t>
        </is>
      </c>
      <c r="F20206" s="10" t="inlineStr">
        <is>
          <t>Hồ Chí Minh</t>
        </is>
      </c>
      <c r="G20206" s="10" t="inlineStr">
        <is>
          <t>6</t>
        </is>
      </c>
      <c r="H20206" s="10" t="inlineStr">
        <is>
          <t>23/03/2026</t>
        </is>
      </c>
      <c r="I20206" s="10" t="inlineStr">
        <is>
          <t>17/03/2026</t>
        </is>
      </c>
      <c r="J20206" s="10" t="inlineStr">
        <is>
          <t>CNTT - Phần mềm, Tài chính / Đầu tư, Ngân hàng</t>
        </is>
      </c>
      <c r="K20206" s="10" t="inlineStr">
        <is>
          <t>2 - 5 Năm</t>
        </is>
      </c>
      <c r="L20206" s="11">
        <f>HYPERLINK("https://careerviet.vn/vi/tim-viec-lam/data-analyst.35C66599.html","Xem chi tiết")</f>
        <v/>
      </c>
      <c r="M20206" s="10" t="n"/>
    </row>
    <row r="20207">
      <c r="B20207" s="7" t="n">
        <v>20205</v>
      </c>
      <c r="C20207" t="inlineStr">
        <is>
          <t>CE Staff</t>
        </is>
      </c>
      <c r="D20207" t="inlineStr">
        <is>
          <t>CÔNG TY TNHH TEXON VIETNAM</t>
        </is>
      </c>
      <c r="E20207" t="inlineStr">
        <is>
          <t>Lương:Cạnh tranh</t>
        </is>
      </c>
      <c r="F20207" t="inlineStr">
        <is>
          <t>Bắc Ninh</t>
        </is>
      </c>
      <c r="G20207" t="inlineStr">
        <is>
          <t>24-03-2026</t>
        </is>
      </c>
      <c r="H20207" t="inlineStr">
        <is>
          <t>24/03/2026</t>
        </is>
      </c>
      <c r="I20207" t="inlineStr">
        <is>
          <t>17/03/2026</t>
        </is>
      </c>
      <c r="J20207" t="inlineStr">
        <is>
          <t>Cơ khí / Ô tô / Tự động hóa, Điện / Điện tử / Điện lạnh / Điện công nghiệp, Sản xuất / Vận hành sản xuất</t>
        </is>
      </c>
      <c r="K20207" t="inlineStr">
        <is>
          <t>1 - 5 Năm</t>
        </is>
      </c>
      <c r="L20207" s="8">
        <f>HYPERLINK("https://careerviet.vn/vi/tim-viec-lam/ce-staff.35C63C40.html","Xem chi tiết")</f>
        <v/>
      </c>
    </row>
    <row r="20208">
      <c r="B20208" s="9" t="n">
        <v>20206</v>
      </c>
      <c r="C20208" s="10" t="inlineStr">
        <is>
          <t>NHÂN VIÊN KHO DƯỢC HỖ TRỢ CỤM BÀ RỊA</t>
        </is>
      </c>
      <c r="D20208" s="10" t="inlineStr">
        <is>
          <t>Công Ty Cổ Phần Vacxin Việt Nam</t>
        </is>
      </c>
      <c r="E20208" s="10" t="inlineStr">
        <is>
          <t>Lương:7 Tr - 9 Tr VND</t>
        </is>
      </c>
      <c r="F20208" s="10" t="inlineStr">
        <is>
          <t>Bà Rịa - Vũng Tàu</t>
        </is>
      </c>
      <c r="G20208" s="10" t="inlineStr">
        <is>
          <t>6</t>
        </is>
      </c>
      <c r="H20208" s="10" t="inlineStr">
        <is>
          <t>23/03/2026</t>
        </is>
      </c>
      <c r="I20208" s="10" t="inlineStr">
        <is>
          <t>17/03/2026</t>
        </is>
      </c>
      <c r="J20208" s="10" t="inlineStr">
        <is>
          <t>Dược phẩm/ Hóa Mỹ Phẩm, Y tế / Chăm sóc sức khỏe / Thẩm mỹ / Làm đẹp, Vận chuyển / Giao nhận / Kho vận</t>
        </is>
      </c>
      <c r="K20208" s="10" t="inlineStr">
        <is>
          <t>N/A</t>
        </is>
      </c>
      <c r="L20208" s="11">
        <f>HYPERLINK("https://careerviet.vn/vi/tim-viec-lam/nhan-vien-kho-duoc-ho-tro-cum-ba-ria.35C63979.html","Xem chi tiết")</f>
        <v/>
      </c>
      <c r="M20208" s="10" t="n"/>
    </row>
    <row r="20209">
      <c r="B20209" s="7" t="n">
        <v>20207</v>
      </c>
      <c r="C20209" t="inlineStr">
        <is>
          <t>Nhân viên sale online-Hà Nội</t>
        </is>
      </c>
      <c r="D20209" t="inlineStr">
        <is>
          <t>Công Ty Cổ Phần Thép Việt Xô Hà Nội</t>
        </is>
      </c>
      <c r="E20209" t="inlineStr">
        <is>
          <t>Lương:9 Tr - 15 Tr VND</t>
        </is>
      </c>
      <c r="F20209" t="inlineStr">
        <is>
          <t>Hà Nội</t>
        </is>
      </c>
      <c r="G20209" t="inlineStr">
        <is>
          <t>24-03-2026</t>
        </is>
      </c>
      <c r="H20209" t="inlineStr">
        <is>
          <t>24/03/2026</t>
        </is>
      </c>
      <c r="I20209" t="inlineStr">
        <is>
          <t>17/03/2026</t>
        </is>
      </c>
      <c r="J20209" t="inlineStr">
        <is>
          <t>Tiếp thị / Marketing, Bán hàng / Kinh doanh, Tiếp thị trực tuyến</t>
        </is>
      </c>
      <c r="K20209" t="inlineStr">
        <is>
          <t>N/A</t>
        </is>
      </c>
      <c r="L20209" s="8">
        <f>HYPERLINK("https://careerviet.vn/vi/tim-viec-lam/nhan-vien-sale-online-ha-noi.35C66684.html","Xem chi tiết")</f>
        <v/>
      </c>
    </row>
    <row r="20210">
      <c r="B20210" s="9" t="n">
        <v>20208</v>
      </c>
      <c r="C20210" s="10" t="inlineStr">
        <is>
          <t>NHÂN VIÊN KHO DƯỢC HỖ TRỢ CỤM ĐỒNG NAI</t>
        </is>
      </c>
      <c r="D20210" s="10" t="inlineStr">
        <is>
          <t>Công Ty Cổ Phần Vacxin Việt Nam</t>
        </is>
      </c>
      <c r="E20210" s="10" t="inlineStr">
        <is>
          <t>Lương:7 Tr - 9 Tr VND</t>
        </is>
      </c>
      <c r="F20210" s="10" t="inlineStr">
        <is>
          <t>KV Đông Nam Bộ</t>
        </is>
      </c>
      <c r="G20210" s="10" t="inlineStr">
        <is>
          <t>6</t>
        </is>
      </c>
      <c r="H20210" s="10" t="inlineStr">
        <is>
          <t>23/03/2026</t>
        </is>
      </c>
      <c r="I20210" s="10" t="inlineStr">
        <is>
          <t>17/03/2026</t>
        </is>
      </c>
      <c r="J20210" s="10" t="inlineStr">
        <is>
          <t>Dược phẩm/ Hóa Mỹ Phẩm, Y tế / Chăm sóc sức khỏe / Thẩm mỹ / Làm đẹp, Vận chuyển / Giao nhận / Kho vận</t>
        </is>
      </c>
      <c r="K20210" s="10" t="inlineStr">
        <is>
          <t>N/A</t>
        </is>
      </c>
      <c r="L20210" s="11">
        <f>HYPERLINK("https://careerviet.vn/vi/tim-viec-lam/nhan-vien-kho-duoc-ho-tro-cum-dong-nai.35C6397B.html","Xem chi tiết")</f>
        <v/>
      </c>
      <c r="M20210" s="10" t="n"/>
    </row>
    <row r="20211">
      <c r="B20211" s="7" t="n">
        <v>20209</v>
      </c>
      <c r="C20211" t="inlineStr">
        <is>
          <t>A&amp;P (Assistant) Manager</t>
        </is>
      </c>
      <c r="D20211" t="inlineStr">
        <is>
          <t>Trung tâm Thương mại SC VivoCity</t>
        </is>
      </c>
      <c r="E20211" t="inlineStr">
        <is>
          <t>Lương:700 - 1.300 USD</t>
        </is>
      </c>
      <c r="F20211" t="inlineStr">
        <is>
          <t>Hồ Chí Minh</t>
        </is>
      </c>
      <c r="G20211" t="inlineStr">
        <is>
          <t>6</t>
        </is>
      </c>
      <c r="H20211" t="inlineStr">
        <is>
          <t>23/03/2026</t>
        </is>
      </c>
      <c r="I20211" t="inlineStr">
        <is>
          <t>17/03/2026</t>
        </is>
      </c>
      <c r="J20211" t="inlineStr">
        <is>
          <t>Tiếp thị / Marketing, Quảng cáo / Đối ngoại / Truyền Thông, Tổ chức sự kiện</t>
        </is>
      </c>
      <c r="K20211" t="inlineStr">
        <is>
          <t>Lên đến 5 Năm</t>
        </is>
      </c>
      <c r="L20211" s="8">
        <f>HYPERLINK("https://careerviet.vn/vi/tim-viec-lam/a-p-assistant-manager.35C6646A.html","Xem chi tiết")</f>
        <v/>
      </c>
    </row>
    <row r="20212">
      <c r="B20212" s="9" t="n">
        <v>20210</v>
      </c>
      <c r="C20212" s="10" t="inlineStr">
        <is>
          <t>Production Supervisor (Củ Chi)</t>
        </is>
      </c>
      <c r="D20212" s="10" t="inlineStr">
        <is>
          <t>Techtronic Industries Vietnam Manufacturing Company Limited</t>
        </is>
      </c>
      <c r="E20212" s="10" t="inlineStr">
        <is>
          <t>Lương:Cạnh tranh</t>
        </is>
      </c>
      <c r="F20212" s="10" t="inlineStr">
        <is>
          <t>Hồ Chí Minh</t>
        </is>
      </c>
      <c r="G20212" s="10" t="inlineStr">
        <is>
          <t>6</t>
        </is>
      </c>
      <c r="H20212" s="10" t="inlineStr">
        <is>
          <t>23/03/2026</t>
        </is>
      </c>
      <c r="I20212" s="10" t="inlineStr">
        <is>
          <t>17/03/2026</t>
        </is>
      </c>
      <c r="J20212" s="10" t="inlineStr">
        <is>
          <t>Sản xuất / Vận hành sản xuất, Điện / Điện tử / Điện lạnh / Điện công nghiệpBằng cấpĐại họcĐộ tuổiKhông giới hạn tuổi</t>
        </is>
      </c>
      <c r="K20212" s="10" t="inlineStr">
        <is>
          <t>N/A</t>
        </is>
      </c>
      <c r="L20212" s="11">
        <f>HYPERLINK("https://careerviet.vn/vi/tim-viec-lam/production-supervisor-cu-chi.35C664F9.html","Xem chi tiết")</f>
        <v/>
      </c>
      <c r="M20212" s="10" t="n"/>
    </row>
    <row r="20213">
      <c r="B20213" s="7" t="n">
        <v>20211</v>
      </c>
      <c r="C20213" t="inlineStr">
        <is>
          <t>Chuyên viên tài chính đầu tư</t>
        </is>
      </c>
      <c r="D20213" t="inlineStr">
        <is>
          <t>Công ty Cổ phần Đầu tư Xậy dựng HUD Kiên Giang</t>
        </is>
      </c>
      <c r="E20213" t="inlineStr">
        <is>
          <t>Lương:20 Tr - 25 Tr VND</t>
        </is>
      </c>
      <c r="F20213" t="inlineStr">
        <is>
          <t>Kiên Giang</t>
        </is>
      </c>
      <c r="G20213" t="inlineStr">
        <is>
          <t>6</t>
        </is>
      </c>
      <c r="H20213" t="inlineStr">
        <is>
          <t>23/03/2026</t>
        </is>
      </c>
      <c r="I20213" t="inlineStr">
        <is>
          <t>17/03/2026</t>
        </is>
      </c>
      <c r="J20213" t="inlineStr">
        <is>
          <t>Kế toán / Kiểm toán, Tài chính / Đầu tư</t>
        </is>
      </c>
      <c r="K20213" t="inlineStr">
        <is>
          <t>2 - 3 Năm</t>
        </is>
      </c>
      <c r="L20213" s="8">
        <f>HYPERLINK("https://careerviet.vn/vi/tim-viec-lam/chuyen-vien-tai-chinh-dau-tu.35C63A93.html","Xem chi tiết")</f>
        <v/>
      </c>
    </row>
    <row r="20214">
      <c r="B20214" s="9" t="n">
        <v>20212</v>
      </c>
      <c r="C20214" s="10" t="inlineStr">
        <is>
          <t>Chuyên Gia Tuân Thủ / Specialist Of Compliance</t>
        </is>
      </c>
      <c r="D20214" s="10" t="inlineStr">
        <is>
          <t>CÔNG TY TÀI CHÍNH TÍN DỤNG TIÊU DÙNG TNHH MTV AEON</t>
        </is>
      </c>
      <c r="E20214" s="10" t="inlineStr">
        <is>
          <t>Lương:Cạnh tranh</t>
        </is>
      </c>
      <c r="F20214" s="10" t="inlineStr">
        <is>
          <t>Hà Nội</t>
        </is>
      </c>
      <c r="G20214" s="10" t="inlineStr">
        <is>
          <t>6</t>
        </is>
      </c>
      <c r="H20214" s="10" t="inlineStr">
        <is>
          <t>23/03/2026</t>
        </is>
      </c>
      <c r="I20214" s="10" t="inlineStr">
        <is>
          <t>17/03/2026</t>
        </is>
      </c>
      <c r="J20214" s="10" t="inlineStr">
        <is>
          <t>Luật / Pháp lý</t>
        </is>
      </c>
      <c r="K20214" s="10" t="inlineStr">
        <is>
          <t>3 - 5 Năm</t>
        </is>
      </c>
      <c r="L20214" s="11">
        <f>HYPERLINK("https://careerviet.vn/vi/tim-viec-lam/chuyen-gia-tuan-thu-specialist-of-compliance.35C665FC.html","Xem chi tiết")</f>
        <v/>
      </c>
      <c r="M20214" s="10" t="n"/>
    </row>
    <row r="20215">
      <c r="B20215" s="7" t="n">
        <v>20213</v>
      </c>
      <c r="C20215" t="inlineStr">
        <is>
          <t>NHÂN VIÊN KHO DƯỢC HỖ TRỢ CỤM HÓC MÔN</t>
        </is>
      </c>
      <c r="D20215" t="inlineStr">
        <is>
          <t>Công Ty Cổ Phần Vacxin Việt Nam</t>
        </is>
      </c>
      <c r="E20215" t="inlineStr">
        <is>
          <t>Lương:7 Tr - 9 Tr VND</t>
        </is>
      </c>
      <c r="F20215" t="inlineStr">
        <is>
          <t>Hồ Chí Minh</t>
        </is>
      </c>
      <c r="G20215" t="inlineStr">
        <is>
          <t>6</t>
        </is>
      </c>
      <c r="H20215" t="inlineStr">
        <is>
          <t>23/03/2026</t>
        </is>
      </c>
      <c r="I20215" t="inlineStr">
        <is>
          <t>17/03/2026</t>
        </is>
      </c>
      <c r="J20215" t="inlineStr">
        <is>
          <t>Dược phẩm/ Hóa Mỹ Phẩm, Y tế / Chăm sóc sức khỏe / Thẩm mỹ / Làm đẹp, Vận chuyển / Giao nhận / Kho vận</t>
        </is>
      </c>
      <c r="K20215" t="inlineStr">
        <is>
          <t>N/A</t>
        </is>
      </c>
      <c r="L20215" s="8">
        <f>HYPERLINK("https://careerviet.vn/vi/tim-viec-lam/nhan-vien-kho-duoc-ho-tro-cum-hoc-mon.35C63965.html","Xem chi tiết")</f>
        <v/>
      </c>
    </row>
    <row r="20216">
      <c r="B20216" s="9" t="n">
        <v>20214</v>
      </c>
      <c r="C20216" s="10" t="inlineStr">
        <is>
          <t>Marketing Executive – Trade &amp; Event</t>
        </is>
      </c>
      <c r="D20216" s="10" t="inlineStr">
        <is>
          <t>Trung tâm Thương mại SC VivoCity</t>
        </is>
      </c>
      <c r="E20216" s="10" t="inlineStr">
        <is>
          <t>Lương:Trên 18 Tr VND</t>
        </is>
      </c>
      <c r="F20216" s="10" t="inlineStr">
        <is>
          <t>Hồ Chí Minh</t>
        </is>
      </c>
      <c r="G20216" s="10" t="inlineStr">
        <is>
          <t>6</t>
        </is>
      </c>
      <c r="H20216" s="10" t="inlineStr">
        <is>
          <t>23/03/2026</t>
        </is>
      </c>
      <c r="I20216" s="10" t="inlineStr">
        <is>
          <t>17/03/2026</t>
        </is>
      </c>
      <c r="J20216" s="10" t="inlineStr">
        <is>
          <t>Tiếp thị / Marketing, Bán lẻ / Bán sỉ, Tổ chức sự kiện</t>
        </is>
      </c>
      <c r="K20216" s="10" t="inlineStr">
        <is>
          <t>4 - 5 Năm</t>
        </is>
      </c>
      <c r="L20216" s="11">
        <f>HYPERLINK("https://careerviet.vn/vi/tim-viec-lam/marketing-executive-trade-event.35C6645F.html","Xem chi tiết")</f>
        <v/>
      </c>
      <c r="M20216" s="10" t="n"/>
    </row>
    <row r="20217">
      <c r="B20217" s="7" t="n">
        <v>20215</v>
      </c>
      <c r="C20217" t="inlineStr">
        <is>
          <t>Planning staff</t>
        </is>
      </c>
      <c r="D20217" t="inlineStr">
        <is>
          <t>CÔNG TY TNHH EVOLUTION ENTERPRISES</t>
        </is>
      </c>
      <c r="E20217" t="inlineStr">
        <is>
          <t>Lương:12 Tr - 14 Tr VND</t>
        </is>
      </c>
      <c r="F20217" t="inlineStr">
        <is>
          <t>Hồ Chí Minh</t>
        </is>
      </c>
      <c r="G20217" t="inlineStr">
        <is>
          <t>6</t>
        </is>
      </c>
      <c r="H20217" t="inlineStr">
        <is>
          <t>23/03/2026</t>
        </is>
      </c>
      <c r="I20217" t="inlineStr">
        <is>
          <t>17/03/2026</t>
        </is>
      </c>
      <c r="J20217" t="inlineStr">
        <is>
          <t>Sản xuất / Vận hành sản xuất, Dệt may / Da giày / Thời trang</t>
        </is>
      </c>
      <c r="K20217" t="inlineStr">
        <is>
          <t>2 - 5 Năm</t>
        </is>
      </c>
      <c r="L20217" s="8">
        <f>HYPERLINK("https://careerviet.vn/vi/tim-viec-lam/planning-staff.35C665A2.html","Xem chi tiết")</f>
        <v/>
      </c>
    </row>
    <row r="20218">
      <c r="B20218" s="9" t="n">
        <v>20216</v>
      </c>
      <c r="C20218" s="10" t="inlineStr">
        <is>
          <t>Nhân Viên Kinh Doanh Thị Trường Khu Vực Quận 9, Thủ Đức HCM</t>
        </is>
      </c>
      <c r="D20218" s="10" t="inlineStr">
        <is>
          <t>Công ty TNHH Chế biến thực phẩm Đông Đô</t>
        </is>
      </c>
      <c r="E20218" s="10" t="inlineStr">
        <is>
          <t>Lương:12 Tr - 15 Tr VND</t>
        </is>
      </c>
      <c r="F20218" s="10" t="inlineStr">
        <is>
          <t>Hồ Chí Minh</t>
        </is>
      </c>
      <c r="G20218" s="10" t="inlineStr">
        <is>
          <t>6</t>
        </is>
      </c>
      <c r="H20218" s="10" t="inlineStr">
        <is>
          <t>23/03/2026</t>
        </is>
      </c>
      <c r="I20218" s="10" t="inlineStr">
        <is>
          <t>17/03/2026</t>
        </is>
      </c>
      <c r="J20218" s="10" t="inlineStr">
        <is>
          <t>Bán lẻ / Bán sỉ, Bán hàng / Kinh doanh, Thực phẩm &amp; Đồ uống</t>
        </is>
      </c>
      <c r="K20218" s="10" t="inlineStr">
        <is>
          <t>1 - 2 Năm</t>
        </is>
      </c>
      <c r="L20218" s="11">
        <f>HYPERLINK("https://careerviet.vn/vi/tim-viec-lam/nhan-vien-kinh-doanh-thi-truong-khu-vuc-quan-9-thu-duc-hcm.35C63A8E.html","Xem chi tiết")</f>
        <v/>
      </c>
      <c r="M20218" s="10" t="n"/>
    </row>
    <row r="20219">
      <c r="B20219" s="7" t="n">
        <v>20217</v>
      </c>
      <c r="C20219" t="inlineStr">
        <is>
          <t>Senior Software Architect</t>
        </is>
      </c>
      <c r="D20219" t="inlineStr">
        <is>
          <t>Công ty TNHH MTV Sen Vàng Việt Nam</t>
        </is>
      </c>
      <c r="E20219" t="inlineStr">
        <is>
          <t>Lương:Cạnh tranh</t>
        </is>
      </c>
      <c r="F20219" t="inlineStr">
        <is>
          <t>Hồ Chí Minh</t>
        </is>
      </c>
      <c r="G20219" t="inlineStr">
        <is>
          <t>6</t>
        </is>
      </c>
      <c r="H20219" t="inlineStr">
        <is>
          <t>23/03/2026</t>
        </is>
      </c>
      <c r="I20219" t="inlineStr">
        <is>
          <t>17/03/2026</t>
        </is>
      </c>
      <c r="J20219" t="inlineStr">
        <is>
          <t>CNTT - Phần mềm</t>
        </is>
      </c>
      <c r="K20219" t="inlineStr">
        <is>
          <t>Trên 5 Năm</t>
        </is>
      </c>
      <c r="L20219" s="8">
        <f>HYPERLINK("https://careerviet.vn/vi/tim-viec-lam/senior-software-architect.35C63A78.html","Xem chi tiết")</f>
        <v/>
      </c>
    </row>
    <row r="20220">
      <c r="B20220" s="9" t="n">
        <v>20218</v>
      </c>
      <c r="C20220" s="10" t="inlineStr">
        <is>
          <t>Admin Officer (Legal background - English speaking)</t>
        </is>
      </c>
      <c r="D20220" s="10" t="inlineStr">
        <is>
          <t>CareerViet's client</t>
        </is>
      </c>
      <c r="E20220" s="10" t="inlineStr">
        <is>
          <t>Lương:10 Tr - 12 Tr VND</t>
        </is>
      </c>
      <c r="F20220" s="10" t="inlineStr">
        <is>
          <t>Hồ Chí Minh</t>
        </is>
      </c>
      <c r="G20220" s="10" t="inlineStr">
        <is>
          <t>6</t>
        </is>
      </c>
      <c r="H20220" s="10" t="inlineStr">
        <is>
          <t>23/03/2026</t>
        </is>
      </c>
      <c r="I20220" s="10" t="inlineStr">
        <is>
          <t>17/03/2026</t>
        </is>
      </c>
      <c r="J20220" s="10" t="inlineStr">
        <is>
          <t>Luật / Pháp lý, Hành chính / Thư ký, Mới tốt nghiệp / Thực tập</t>
        </is>
      </c>
      <c r="K20220" s="10" t="inlineStr">
        <is>
          <t>1 - 3 Năm</t>
        </is>
      </c>
      <c r="L20220" s="11">
        <f>HYPERLINK("https://careerviet.vn/vi/tim-viec-lam/admin-officer-legal-background-english-speaking.35C664D3.html","Xem chi tiết")</f>
        <v/>
      </c>
      <c r="M20220" s="10" t="n"/>
    </row>
    <row r="20221">
      <c r="B20221" s="7" t="n">
        <v>20219</v>
      </c>
      <c r="C20221" t="inlineStr">
        <is>
          <t>Team leader - Industrial paper domestic sales</t>
        </is>
      </c>
      <c r="D20221" t="inlineStr">
        <is>
          <t>Công ty Cổ Phần Giấy Sài Gòn - SAIGON PAPER CORPORATION</t>
        </is>
      </c>
      <c r="E20221" t="inlineStr">
        <is>
          <t>Lương:Cạnh tranh</t>
        </is>
      </c>
      <c r="F20221" t="inlineStr">
        <is>
          <t>Hồ Chí Minh</t>
        </is>
      </c>
      <c r="G20221" t="inlineStr">
        <is>
          <t>6</t>
        </is>
      </c>
      <c r="H20221" t="inlineStr">
        <is>
          <t>23/03/2026</t>
        </is>
      </c>
      <c r="I20221" t="inlineStr">
        <is>
          <t>17/03/2026</t>
        </is>
      </c>
      <c r="J20221" t="inlineStr">
        <is>
          <t>Bán hàng / Kinh doanh</t>
        </is>
      </c>
      <c r="K20221" t="inlineStr">
        <is>
          <t>2 - 5 Năm</t>
        </is>
      </c>
      <c r="L20221" s="8">
        <f>HYPERLINK("https://careerviet.vn/vi/tim-viec-lam/team-leader-industrial-paper-domestic-sales.35C6659F.html","Xem chi tiết")</f>
        <v/>
      </c>
    </row>
    <row r="20222">
      <c r="B20222" s="9" t="n">
        <v>20220</v>
      </c>
      <c r="C20222" s="10" t="inlineStr">
        <is>
          <t>Chuyên viên tuyển dụng cao cấp</t>
        </is>
      </c>
      <c r="D20222" s="10" t="inlineStr">
        <is>
          <t>CÔNG TY CỔ PHẦN ẨM THỰC SAO PHƯƠNG NAM GROUP</t>
        </is>
      </c>
      <c r="E20222" s="10" t="inlineStr">
        <is>
          <t>Lương:15 Tr - 18 Tr VND</t>
        </is>
      </c>
      <c r="F20222" s="10" t="inlineStr">
        <is>
          <t>Hồ Chí Minh</t>
        </is>
      </c>
      <c r="G20222" s="10" t="inlineStr">
        <is>
          <t>6</t>
        </is>
      </c>
      <c r="H20222" s="10" t="inlineStr">
        <is>
          <t>22/03/2026</t>
        </is>
      </c>
      <c r="I20222" s="10" t="inlineStr">
        <is>
          <t>17/03/2026</t>
        </is>
      </c>
      <c r="J20222" s="10" t="inlineStr">
        <is>
          <t>Nhà hàng / Khách sạn, Nhân sự</t>
        </is>
      </c>
      <c r="K20222" s="10" t="inlineStr">
        <is>
          <t>5 - 7 Năm</t>
        </is>
      </c>
      <c r="L20222" s="11">
        <f>HYPERLINK("https://careerviet.vn/vi/tim-viec-lam/chuyen-vien-tuyen-dung-cao-cap.35C665D5.html","Xem chi tiết")</f>
        <v/>
      </c>
      <c r="M20222" s="10" t="n"/>
    </row>
    <row r="20223">
      <c r="B20223" s="7" t="n">
        <v>20221</v>
      </c>
      <c r="C20223" t="inlineStr">
        <is>
          <t>Nhân Viên Kinh Doanh</t>
        </is>
      </c>
      <c r="D20223" t="inlineStr">
        <is>
          <t>CÔNG TY CỔ PHẦN XÂY DỰNG THƯƠNG MẠI VÀ KỸ THUẬT HỢP NHẤT</t>
        </is>
      </c>
      <c r="E20223" t="inlineStr">
        <is>
          <t>Lương:Cạnh tranh</t>
        </is>
      </c>
      <c r="F20223" t="inlineStr">
        <is>
          <t>Hà Nội</t>
        </is>
      </c>
      <c r="G20223" t="inlineStr">
        <is>
          <t>6</t>
        </is>
      </c>
      <c r="H20223" t="inlineStr">
        <is>
          <t>23/03/2026</t>
        </is>
      </c>
      <c r="I20223" t="inlineStr">
        <is>
          <t>17/03/2026</t>
        </is>
      </c>
      <c r="J20223" t="inlineStr">
        <is>
          <t>Bán lẻ / Bán sỉ, Bán hàng / Kinh doanh, Bán Hàng Kỹ Thuật</t>
        </is>
      </c>
      <c r="K20223" t="inlineStr">
        <is>
          <t>N/A</t>
        </is>
      </c>
      <c r="L20223" s="8">
        <f>HYPERLINK("https://careerviet.vn/vi/tim-viec-lam/nhan-vien-kinh-doanh.35C63A0E.html","Xem chi tiết")</f>
        <v/>
      </c>
    </row>
    <row r="20224">
      <c r="B20224" s="9" t="n">
        <v>20222</v>
      </c>
      <c r="C20224" s="10" t="inlineStr">
        <is>
          <t>Trưởng Phòng Dịch vụ khách hàng - Đức Hòa - TA177</t>
        </is>
      </c>
      <c r="D20224" s="10" t="inlineStr">
        <is>
          <t>Ngân Hàng TMCP Việt Nam Thịnh Vượng - VPBANK</t>
        </is>
      </c>
      <c r="E20224" s="10" t="inlineStr">
        <is>
          <t>Lương:20 Tr - 25 Tr VND</t>
        </is>
      </c>
      <c r="F20224" s="10" t="inlineStr">
        <is>
          <t>Tây Ninh</t>
        </is>
      </c>
      <c r="G20224" s="10" t="inlineStr">
        <is>
          <t>6</t>
        </is>
      </c>
      <c r="H20224" s="10" t="inlineStr">
        <is>
          <t>23/03/2026</t>
        </is>
      </c>
      <c r="I20224" s="10" t="inlineStr">
        <is>
          <t>17/03/2026</t>
        </is>
      </c>
      <c r="J20224" s="10" t="inlineStr">
        <is>
          <t>Ngân hàng</t>
        </is>
      </c>
      <c r="K20224" s="10" t="inlineStr">
        <is>
          <t>3 - 5 Năm</t>
        </is>
      </c>
      <c r="L20224" s="11">
        <f>HYPERLINK("https://careerviet.vn/vi/tim-viec-lam/truong-phong-dich-vu-khach-hang-duc-hoa-ta177.35C664AC.html","Xem chi tiết")</f>
        <v/>
      </c>
      <c r="M20224" s="10" t="n"/>
    </row>
    <row r="20225">
      <c r="B20225" s="7" t="n">
        <v>20223</v>
      </c>
      <c r="C20225" t="inlineStr">
        <is>
          <t>CHUYÊN VIÊN/QUẢN LÝ KẾ TOÁN THUẾ/ THU CHI/ TỔNG HỢP</t>
        </is>
      </c>
      <c r="D20225" t="inlineStr">
        <is>
          <t>CÔNG TY TNHH YIMI J&amp;T CARGO TRANSPORTATION</t>
        </is>
      </c>
      <c r="E20225" t="inlineStr">
        <is>
          <t>Lương:18 Tr - 25 Tr VND</t>
        </is>
      </c>
      <c r="F20225" t="inlineStr">
        <is>
          <t>Hồ Chí Minh</t>
        </is>
      </c>
      <c r="G20225" t="inlineStr">
        <is>
          <t>6</t>
        </is>
      </c>
      <c r="H20225" t="inlineStr">
        <is>
          <t>23/03/2026</t>
        </is>
      </c>
      <c r="I20225" t="inlineStr">
        <is>
          <t>17/03/2026</t>
        </is>
      </c>
      <c r="J20225" t="inlineStr">
        <is>
          <t>Kế toán / Kiểm toán, Vận chuyển / Giao nhận / Kho vận</t>
        </is>
      </c>
      <c r="K20225" t="inlineStr">
        <is>
          <t>6 - 8 Năm</t>
        </is>
      </c>
      <c r="L20225" s="8">
        <f>HYPERLINK("https://careerviet.vn/vi/tim-viec-lam/chuyen-vien-quan-ly-ke-toan-thue-thu-chi-tong-hop.35C663AD.html","Xem chi tiết")</f>
        <v/>
      </c>
    </row>
    <row r="20226">
      <c r="B20226" s="9" t="n">
        <v>20224</v>
      </c>
      <c r="C20226" s="10" t="inlineStr">
        <is>
          <t>Kỹ Sư Hiện Trường</t>
        </is>
      </c>
      <c r="D20226" s="10" t="inlineStr">
        <is>
          <t>CÔNG TY CỔ PHẦN PICONS VIỆT NAM</t>
        </is>
      </c>
      <c r="E20226" s="10" t="inlineStr">
        <is>
          <t>Lương:16 Tr - 23 Tr VND</t>
        </is>
      </c>
      <c r="F20226" s="10" t="inlineStr">
        <is>
          <t>Hà NamThái Bình</t>
        </is>
      </c>
      <c r="G20226" s="10" t="inlineStr">
        <is>
          <t>6</t>
        </is>
      </c>
      <c r="H20226" s="10" t="inlineStr">
        <is>
          <t>23/03/2026</t>
        </is>
      </c>
      <c r="I20226" s="10" t="inlineStr">
        <is>
          <t>17/03/2026</t>
        </is>
      </c>
      <c r="J20226" s="10" t="inlineStr">
        <is>
          <t>Kiến trúc, Xây dựng</t>
        </is>
      </c>
      <c r="K20226" s="10" t="inlineStr">
        <is>
          <t>Trên 1 Năm</t>
        </is>
      </c>
      <c r="L20226" s="11">
        <f>HYPERLINK("https://careerviet.vn/vi/tim-viec-lam/ky-su-hien-truong.35C63A8C.html","Xem chi tiết")</f>
        <v/>
      </c>
      <c r="M20226" s="10" t="n"/>
    </row>
    <row r="20227">
      <c r="B20227" s="7" t="n">
        <v>20225</v>
      </c>
      <c r="C20227" t="inlineStr">
        <is>
          <t>Nhân Viên Kế Toán_Mảng Báo Cáo Ngân Hàng Nhà Nước</t>
        </is>
      </c>
      <c r="D20227" t="inlineStr">
        <is>
          <t>Công Ty Tài Chính TNHH Một Thành Viên Quốc Tế Việt Nam JACCS</t>
        </is>
      </c>
      <c r="E20227" t="inlineStr">
        <is>
          <t>Lương:12 Tr - 15 Tr VND</t>
        </is>
      </c>
      <c r="F20227" t="inlineStr">
        <is>
          <t>Hồ Chí Minh</t>
        </is>
      </c>
      <c r="G20227" t="inlineStr">
        <is>
          <t>6</t>
        </is>
      </c>
      <c r="H20227" t="inlineStr">
        <is>
          <t>23/03/2026</t>
        </is>
      </c>
      <c r="I20227" t="inlineStr">
        <is>
          <t>17/03/2026</t>
        </is>
      </c>
      <c r="J20227" t="inlineStr">
        <is>
          <t>Ngân hàng, Tài chính / Đầu tư, Kế toán / Kiểm toán</t>
        </is>
      </c>
      <c r="K20227" t="inlineStr">
        <is>
          <t>2 - 3 Năm</t>
        </is>
      </c>
      <c r="L20227" s="8">
        <f>HYPERLINK("https://careerviet.vn/vi/tim-viec-lam/nhan-vien-ke-toan_mang-bao-cao-ngan-hang-nha-nuoc.35C6654E.html","Xem chi tiết")</f>
        <v/>
      </c>
    </row>
    <row r="20228">
      <c r="B20228" s="9" t="n">
        <v>20226</v>
      </c>
      <c r="C20228" s="10" t="inlineStr">
        <is>
          <t>Giao dịch viên - Hải Phòng, Quảng Ninh, Hải Dương</t>
        </is>
      </c>
      <c r="D20228" s="10" t="inlineStr">
        <is>
          <t>Ngân Hàng TMCP Quốc Tế Việt Nam</t>
        </is>
      </c>
      <c r="E20228" s="10" t="inlineStr">
        <is>
          <t>Lương:Cạnh tranh</t>
        </is>
      </c>
      <c r="F20228" s="10" t="inlineStr">
        <is>
          <t>Quảng NinhHải PhòngHải Dương</t>
        </is>
      </c>
      <c r="G20228" s="10" t="inlineStr">
        <is>
          <t>6</t>
        </is>
      </c>
      <c r="H20228" s="10" t="inlineStr">
        <is>
          <t>23/03/2026</t>
        </is>
      </c>
      <c r="I20228" s="10" t="inlineStr">
        <is>
          <t>17/03/2026</t>
        </is>
      </c>
      <c r="J20228" s="10" t="inlineStr">
        <is>
          <t>Dịch vụ khách hàng, Kế toán / Kiểm toán, Ngân hàng</t>
        </is>
      </c>
      <c r="K20228" s="10" t="inlineStr">
        <is>
          <t>Trên 1 Năm</t>
        </is>
      </c>
      <c r="L20228" s="11">
        <f>HYPERLINK("https://careerviet.vn/vi/tim-viec-lam/giao-dich-vien-hai-phong-quang-ninh-hai-duong.35C6651B.html","Xem chi tiết")</f>
        <v/>
      </c>
      <c r="M20228" s="10" t="n"/>
    </row>
    <row r="20229">
      <c r="B20229" s="7" t="n">
        <v>20227</v>
      </c>
      <c r="C20229" t="inlineStr">
        <is>
          <t>Kỹ sư dự án tự động hóa</t>
        </is>
      </c>
      <c r="D20229" t="inlineStr">
        <is>
          <t>CÔNG TY TNHH CÔNG NGHỆ VŨ LÊ</t>
        </is>
      </c>
      <c r="E20229" t="inlineStr">
        <is>
          <t>Lương:Cạnh tranh</t>
        </is>
      </c>
      <c r="F20229" t="inlineStr">
        <is>
          <t>Hồ Chí Minh</t>
        </is>
      </c>
      <c r="G20229" t="inlineStr">
        <is>
          <t>6</t>
        </is>
      </c>
      <c r="H20229" t="inlineStr">
        <is>
          <t>23/03/2026</t>
        </is>
      </c>
      <c r="I20229" t="inlineStr">
        <is>
          <t>17/03/2026</t>
        </is>
      </c>
      <c r="J20229" t="inlineStr">
        <is>
          <t>Điện / Điện tử / Điện lạnh / Điện công nghiệp</t>
        </is>
      </c>
      <c r="K20229" t="inlineStr">
        <is>
          <t>2 - 3 Năm</t>
        </is>
      </c>
      <c r="L20229" s="8">
        <f>HYPERLINK("https://careerviet.vn/vi/tim-viec-lam/ky-su-du-an-tu-dong-hoa.35C6658C.html","Xem chi tiết")</f>
        <v/>
      </c>
    </row>
    <row r="20230">
      <c r="B20230" s="9" t="n">
        <v>20228</v>
      </c>
      <c r="C20230" s="10" t="inlineStr">
        <is>
          <t>Thư Ký Công Trường (Site Secretary)</t>
        </is>
      </c>
      <c r="D20230" s="10" t="inlineStr">
        <is>
          <t>CÔNG TY TNHH MTV BCA - THĂNG LONG</t>
        </is>
      </c>
      <c r="E20230" s="10" t="inlineStr">
        <is>
          <t>Lương:12 Tr - 17 Tr VND</t>
        </is>
      </c>
      <c r="F20230" s="10" t="inlineStr">
        <is>
          <t>Sóc TrăngLạng SơnHồ Chí Minh</t>
        </is>
      </c>
      <c r="G20230" s="10" t="inlineStr">
        <is>
          <t>6</t>
        </is>
      </c>
      <c r="H20230" s="10" t="inlineStr">
        <is>
          <t>23/03/2026</t>
        </is>
      </c>
      <c r="I20230" s="10" t="inlineStr">
        <is>
          <t>17/03/2026</t>
        </is>
      </c>
      <c r="J20230" s="10" t="inlineStr">
        <is>
          <t>Hành chính / Thư ký, Nhân sự, Xây dựng</t>
        </is>
      </c>
      <c r="K20230" s="10" t="inlineStr">
        <is>
          <t>1 - 2 Năm</t>
        </is>
      </c>
      <c r="L20230" s="11">
        <f>HYPERLINK("https://careerviet.vn/vi/tim-viec-lam/thu-ky-cong-truong-site-secretary.35C637A0.html","Xem chi tiết")</f>
        <v/>
      </c>
      <c r="M20230" s="10" t="n"/>
    </row>
    <row r="20231">
      <c r="B20231" s="7" t="n">
        <v>20229</v>
      </c>
      <c r="C20231" t="inlineStr">
        <is>
          <t>NHÂN VIÊN KHO DƯỢC HỖ TRỢ CỤM QUẢNG NGÃI - BÌNH ĐỊNH</t>
        </is>
      </c>
      <c r="D20231" t="inlineStr">
        <is>
          <t>Công Ty Cổ Phần Vacxin Việt Nam</t>
        </is>
      </c>
      <c r="E20231" t="inlineStr">
        <is>
          <t>Lương:7 Tr - 9 Tr VND</t>
        </is>
      </c>
      <c r="F20231" t="inlineStr">
        <is>
          <t>KV Nam Trung Bộ</t>
        </is>
      </c>
      <c r="G20231" t="inlineStr">
        <is>
          <t>6</t>
        </is>
      </c>
      <c r="H20231" t="inlineStr">
        <is>
          <t>23/03/2026</t>
        </is>
      </c>
      <c r="I20231" t="inlineStr">
        <is>
          <t>17/03/2026</t>
        </is>
      </c>
      <c r="J20231" t="inlineStr">
        <is>
          <t>Dược phẩm/ Hóa Mỹ Phẩm, Y tế / Chăm sóc sức khỏe / Thẩm mỹ / Làm đẹp, Vận chuyển / Giao nhận / Kho vận</t>
        </is>
      </c>
      <c r="K20231" t="inlineStr">
        <is>
          <t>N/A</t>
        </is>
      </c>
      <c r="L20231" s="8">
        <f>HYPERLINK("https://careerviet.vn/vi/tim-viec-lam/nhan-vien-kho-duoc-ho-tro-cum-quang-ngai-binh-dinh.35C63987.html","Xem chi tiết")</f>
        <v/>
      </c>
    </row>
    <row r="20232">
      <c r="B20232" s="9" t="n">
        <v>20230</v>
      </c>
      <c r="C20232" s="10" t="inlineStr">
        <is>
          <t>Nhân Viên Hệ Thống Quy Trình Và Chuyển Đổi Số</t>
        </is>
      </c>
      <c r="D20232" s="10" t="inlineStr">
        <is>
          <t>Tập Đoàn Kim Tín</t>
        </is>
      </c>
      <c r="E20232" s="10" t="inlineStr">
        <is>
          <t>Lương:Cạnh tranh</t>
        </is>
      </c>
      <c r="F20232" s="10" t="inlineStr">
        <is>
          <t>Hồ Chí Minh</t>
        </is>
      </c>
      <c r="G20232" s="10" t="inlineStr">
        <is>
          <t>6</t>
        </is>
      </c>
      <c r="H20232" s="10" t="inlineStr">
        <is>
          <t>23/03/2026</t>
        </is>
      </c>
      <c r="I20232" s="10" t="inlineStr">
        <is>
          <t>17/03/2026</t>
        </is>
      </c>
      <c r="J20232" s="10" t="inlineStr">
        <is>
          <t>Quản lý chất lượng (QA/QC), Sản xuất / Vận hành sản xuất</t>
        </is>
      </c>
      <c r="K20232" s="10" t="inlineStr">
        <is>
          <t>2 - 5 Năm</t>
        </is>
      </c>
      <c r="L20232" s="11">
        <f>HYPERLINK("https://careerviet.vn/vi/tim-viec-lam/nhan-vien-he-thong-quy-trinh-va-chuyen-doi-so.35C63958.html","Xem chi tiết")</f>
        <v/>
      </c>
      <c r="M20232" s="10" t="n"/>
    </row>
    <row r="20233">
      <c r="B20233" s="7" t="n">
        <v>20231</v>
      </c>
      <c r="C20233" t="inlineStr">
        <is>
          <t>[Hà Nội] Chuyên viên/Chuyên viên chính thẩm định KHDN SME</t>
        </is>
      </c>
      <c r="D20233" t="inlineStr">
        <is>
          <t>Ngân hàng TMCP Lộc Phát Việt Nam (LPBank)</t>
        </is>
      </c>
      <c r="E20233" t="inlineStr">
        <is>
          <t>Lương:Cạnh tranh</t>
        </is>
      </c>
      <c r="F20233" t="inlineStr">
        <is>
          <t>Hà Nội</t>
        </is>
      </c>
      <c r="G20233" t="inlineStr">
        <is>
          <t>6</t>
        </is>
      </c>
      <c r="H20233" t="inlineStr">
        <is>
          <t>23/03/2026</t>
        </is>
      </c>
      <c r="I20233" t="inlineStr">
        <is>
          <t>17/03/2026</t>
        </is>
      </c>
      <c r="J20233" t="inlineStr">
        <is>
          <t>Bán hàng / Kinh doanh, Bất động sản, Bảo hiểm</t>
        </is>
      </c>
      <c r="K20233" t="inlineStr">
        <is>
          <t>1 - 3 Năm</t>
        </is>
      </c>
      <c r="L20233" s="8">
        <f>HYPERLINK("https://careerviet.vn/vi/tim-viec-lam/ha-noi-chuyen-vien-chuyen-vien-chinh-tham-dinh-khdn-sme.35C6392E.html","Xem chi tiết")</f>
        <v/>
      </c>
    </row>
    <row r="20234">
      <c r="B20234" s="9" t="n">
        <v>20232</v>
      </c>
      <c r="C20234" s="10" t="inlineStr">
        <is>
          <t>Kiến trúc sư  (Chủ đầu tư)</t>
        </is>
      </c>
      <c r="D20234" s="10" t="inlineStr">
        <is>
          <t>Công ty Cổ phần Đầu tư Thương mại Kỹ thuật A&amp;T Việt Nam</t>
        </is>
      </c>
      <c r="E20234" s="10" t="inlineStr">
        <is>
          <t>Lương:Cạnh tranh</t>
        </is>
      </c>
      <c r="F20234" s="10" t="inlineStr">
        <is>
          <t>Hà Nội</t>
        </is>
      </c>
      <c r="G20234" s="10" t="inlineStr">
        <is>
          <t>6</t>
        </is>
      </c>
      <c r="H20234" s="10" t="inlineStr">
        <is>
          <t>23/03/2026</t>
        </is>
      </c>
      <c r="I20234" s="10" t="inlineStr">
        <is>
          <t>17/03/2026</t>
        </is>
      </c>
      <c r="J20234" s="10" t="inlineStr">
        <is>
          <t>Kiến trúc, Xây dựng, Bất động sản</t>
        </is>
      </c>
      <c r="K20234" s="10" t="inlineStr">
        <is>
          <t>5 - 10 Năm</t>
        </is>
      </c>
      <c r="L20234" s="11">
        <f>HYPERLINK("https://careerviet.vn/vi/tim-viec-lam/kien-truc-su-chu-dau-tu.35C63A2F.html","Xem chi tiết")</f>
        <v/>
      </c>
      <c r="M20234" s="10" t="n"/>
    </row>
    <row r="20235">
      <c r="B20235" s="7" t="n">
        <v>20233</v>
      </c>
      <c r="C20235" t="inlineStr">
        <is>
          <t>[KHU VỰC MIỀN NAM] – CHUYÊN VIÊN QUAN HỆ KHÁCH HÀNG CÁ NHÂN – RETAIL RELATIONSHIP MANAGER</t>
        </is>
      </c>
      <c r="D20235" t="inlineStr">
        <is>
          <t>Shinhan Bank Vietnam</t>
        </is>
      </c>
      <c r="E20235" t="inlineStr">
        <is>
          <t>Lương:Cạnh tranh</t>
        </is>
      </c>
      <c r="F20235" t="inlineStr">
        <is>
          <t>Hồ Chí MinhBình DươngĐồng Nai</t>
        </is>
      </c>
      <c r="G20235" t="inlineStr">
        <is>
          <t>6</t>
        </is>
      </c>
      <c r="H20235" t="inlineStr">
        <is>
          <t>23/03/2026</t>
        </is>
      </c>
      <c r="I20235" t="inlineStr">
        <is>
          <t>17/03/2026</t>
        </is>
      </c>
      <c r="J20235" t="inlineStr">
        <is>
          <t>Kế toán / Kiểm toán, Ngân hàng, Dịch vụ khách hàng</t>
        </is>
      </c>
      <c r="K20235" t="inlineStr">
        <is>
          <t>Trên 2 Năm</t>
        </is>
      </c>
      <c r="L20235" s="8">
        <f>HYPERLINK("https://careerviet.vn/vi/tim-viec-lam/khu-vuc-mien-nam-chuyen-vien-quan-he-khach-hang-ca-nhan-retail-relationship-manager.35C638CA.html","Xem chi tiết")</f>
        <v/>
      </c>
    </row>
    <row r="20236">
      <c r="B20236" s="9" t="n">
        <v>20234</v>
      </c>
      <c r="C20236" s="10" t="inlineStr">
        <is>
          <t>Trưởng Phòng Tổ Chức Hành Chính</t>
        </is>
      </c>
      <c r="D20236" s="10" t="inlineStr">
        <is>
          <t>Công ty CP Thương Mại Việt Hồng</t>
        </is>
      </c>
      <c r="E20236" s="10" t="inlineStr">
        <is>
          <t>Lương:18 Tr - 25 Tr VND</t>
        </is>
      </c>
      <c r="F20236" s="10" t="inlineStr">
        <is>
          <t>Hà Nội</t>
        </is>
      </c>
      <c r="G20236" s="10" t="inlineStr">
        <is>
          <t>6</t>
        </is>
      </c>
      <c r="H20236" s="10" t="inlineStr">
        <is>
          <t>23/03/2026</t>
        </is>
      </c>
      <c r="I20236" s="10" t="inlineStr">
        <is>
          <t>17/03/2026</t>
        </is>
      </c>
      <c r="J20236" s="10" t="inlineStr">
        <is>
          <t>Hành chính / Thư ký, Quản lý điều hành, Nhân sự</t>
        </is>
      </c>
      <c r="K20236" s="10" t="inlineStr">
        <is>
          <t>3 - 5 Năm</t>
        </is>
      </c>
      <c r="L20236" s="11">
        <f>HYPERLINK("https://careerviet.vn/vi/tim-viec-lam/truong-phong-to-chuc-hanh-chinh.35C63A42.html","Xem chi tiết")</f>
        <v/>
      </c>
      <c r="M20236" s="10" t="n"/>
    </row>
    <row r="20237">
      <c r="B20237" s="7" t="n">
        <v>20235</v>
      </c>
      <c r="C20237" t="inlineStr">
        <is>
          <t>Trưởng Phòng Dịch Vụ Khách Hàng - CN Trung Kính - TA126</t>
        </is>
      </c>
      <c r="D20237" t="inlineStr">
        <is>
          <t>Ngân Hàng TMCP Việt Nam Thịnh Vượng - VPBANK</t>
        </is>
      </c>
      <c r="E20237" t="inlineStr">
        <is>
          <t>Lương:20 Tr - 50 Tr VND</t>
        </is>
      </c>
      <c r="F20237" t="inlineStr">
        <is>
          <t>Hà Nội</t>
        </is>
      </c>
      <c r="G20237" t="inlineStr">
        <is>
          <t>6</t>
        </is>
      </c>
      <c r="H20237" t="inlineStr">
        <is>
          <t>23/03/2026</t>
        </is>
      </c>
      <c r="I20237" t="inlineStr">
        <is>
          <t>17/03/2026</t>
        </is>
      </c>
      <c r="J20237" t="inlineStr">
        <is>
          <t>Dịch vụ khách hàng, Ngân hàng</t>
        </is>
      </c>
      <c r="K20237" t="inlineStr">
        <is>
          <t>Trên 3 Năm</t>
        </is>
      </c>
      <c r="L20237" s="8">
        <f>HYPERLINK("https://careerviet.vn/vi/tim-viec-lam/truong-phong-dich-vu-khach-hang-cn-trung-kinh-ta126.35C66623.html","Xem chi tiết")</f>
        <v/>
      </c>
    </row>
    <row r="20238">
      <c r="B20238" s="9" t="n">
        <v>20236</v>
      </c>
      <c r="C20238" s="10" t="inlineStr">
        <is>
          <t>NHÂN VIÊN KHO DƯỢC HỖ TRỢ CỤM AN GIANG - KIÊN GIANG - ĐỒNG THÁP</t>
        </is>
      </c>
      <c r="D20238" s="10" t="inlineStr">
        <is>
          <t>Công Ty Cổ Phần Vacxin Việt Nam</t>
        </is>
      </c>
      <c r="E20238" s="10" t="inlineStr">
        <is>
          <t>Lương:7 Tr - 9 Tr VND</t>
        </is>
      </c>
      <c r="F20238" s="10" t="inlineStr">
        <is>
          <t>An Giang</t>
        </is>
      </c>
      <c r="G20238" s="10" t="inlineStr">
        <is>
          <t>6</t>
        </is>
      </c>
      <c r="H20238" s="10" t="inlineStr">
        <is>
          <t>23/03/2026</t>
        </is>
      </c>
      <c r="I20238" s="10" t="inlineStr">
        <is>
          <t>17/03/2026</t>
        </is>
      </c>
      <c r="J20238" s="10" t="inlineStr">
        <is>
          <t>Dược phẩm/ Hóa Mỹ Phẩm, Y tế / Chăm sóc sức khỏe / Thẩm mỹ / Làm đẹp, Vận chuyển / Giao nhận / Kho vận</t>
        </is>
      </c>
      <c r="K20238" s="10" t="inlineStr">
        <is>
          <t>N/A</t>
        </is>
      </c>
      <c r="L20238" s="11">
        <f>HYPERLINK("https://careerviet.vn/vi/tim-viec-lam/nhan-vien-kho-duoc-ho-tro-cum-an-giang-kien-giang-dong-thap.35C63972.html","Xem chi tiết")</f>
        <v/>
      </c>
      <c r="M20238" s="10" t="n"/>
    </row>
    <row r="20239">
      <c r="B20239" s="7" t="n">
        <v>20237</v>
      </c>
      <c r="C20239" t="inlineStr">
        <is>
          <t>Nhân Viên Bếp (Làm Việc Tại Cảng Hàng Không Quốc Tế Tân Sơn Nhất)</t>
        </is>
      </c>
      <c r="D20239" t="inlineStr">
        <is>
          <t>CÔNG TY CỔ PHẦN DỊCH VỤ HÀNG KHÔNG TASECO SÀI GÒN</t>
        </is>
      </c>
      <c r="E20239" t="inlineStr">
        <is>
          <t>Lương:10 Tr - 14 Tr VND</t>
        </is>
      </c>
      <c r="F20239" t="inlineStr">
        <is>
          <t>Hồ Chí Minh</t>
        </is>
      </c>
      <c r="G20239" t="inlineStr">
        <is>
          <t>6</t>
        </is>
      </c>
      <c r="H20239" t="inlineStr">
        <is>
          <t>23/03/2026</t>
        </is>
      </c>
      <c r="I20239" t="inlineStr">
        <is>
          <t>17/03/2026</t>
        </is>
      </c>
      <c r="J20239" t="inlineStr">
        <is>
          <t>Thực phẩm &amp; Đồ uống, Nhà hàng / Khách sạn, Hàng không</t>
        </is>
      </c>
      <c r="K20239" t="inlineStr">
        <is>
          <t>Trên 1 Năm</t>
        </is>
      </c>
      <c r="L20239" s="8">
        <f>HYPERLINK("https://careerviet.vn/vi/tim-viec-lam/nhan-vien-bep-lam-viec-tai-cang-hang-khong-quoc-te-tan-son-nhat.35C639F4.html","Xem chi tiết")</f>
        <v/>
      </c>
    </row>
    <row r="20240">
      <c r="B20240" s="9" t="n">
        <v>20238</v>
      </c>
      <c r="C20240" s="10" t="inlineStr">
        <is>
          <t>Phụ Bếp (Làm Việc Tại Cảng Hàng Không Quốc Tế Tân Sơn Nhất)</t>
        </is>
      </c>
      <c r="D20240" s="10" t="inlineStr">
        <is>
          <t>CÔNG TY CỔ PHẦN DỊCH VỤ HÀNG KHÔNG TASECO SÀI GÒN</t>
        </is>
      </c>
      <c r="E20240" s="10" t="inlineStr">
        <is>
          <t>Lương:8 Tr - 11 Tr VND</t>
        </is>
      </c>
      <c r="F20240" s="10" t="inlineStr">
        <is>
          <t>Hồ Chí Minh</t>
        </is>
      </c>
      <c r="G20240" s="10" t="inlineStr">
        <is>
          <t>6</t>
        </is>
      </c>
      <c r="H20240" s="10" t="inlineStr">
        <is>
          <t>23/03/2026</t>
        </is>
      </c>
      <c r="I20240" s="10" t="inlineStr">
        <is>
          <t>17/03/2026</t>
        </is>
      </c>
      <c r="J20240" s="10" t="inlineStr">
        <is>
          <t>Thực phẩm &amp; Đồ uống, Nhà hàng / Khách sạn, Hàng không</t>
        </is>
      </c>
      <c r="K20240" s="10" t="inlineStr">
        <is>
          <t>Trên 1 Năm</t>
        </is>
      </c>
      <c r="L20240" s="11">
        <f>HYPERLINK("https://careerviet.vn/vi/tim-viec-lam/phu-bep-lam-viec-tai-cang-hang-khong-quoc-te-tan-son-nhat.35C639EF.html","Xem chi tiết")</f>
        <v/>
      </c>
      <c r="M20240" s="10" t="n"/>
    </row>
    <row r="20241">
      <c r="B20241" s="7" t="n">
        <v>20239</v>
      </c>
      <c r="C20241" t="inlineStr">
        <is>
          <t>Nhân viên hành chính nhân sự</t>
        </is>
      </c>
      <c r="D20241" t="inlineStr">
        <is>
          <t>CÔNG TY CỔ PHẦN VẬT LIỆU VĨNH TÂN</t>
        </is>
      </c>
      <c r="E20241" t="inlineStr">
        <is>
          <t>Lương:9 Tr - 13 Tr VND</t>
        </is>
      </c>
      <c r="F20241" t="inlineStr">
        <is>
          <t>Bắc Ninh</t>
        </is>
      </c>
      <c r="G20241" t="inlineStr">
        <is>
          <t>6</t>
        </is>
      </c>
      <c r="H20241" t="inlineStr">
        <is>
          <t>23/03/2026</t>
        </is>
      </c>
      <c r="I20241" t="inlineStr">
        <is>
          <t>17/03/2026</t>
        </is>
      </c>
      <c r="J20241" t="inlineStr">
        <is>
          <t>Luật / Pháp lý, Hành chính / Thư ký, Nhân sự</t>
        </is>
      </c>
      <c r="K20241" t="inlineStr">
        <is>
          <t>Trên 1 Năm</t>
        </is>
      </c>
      <c r="L20241" s="8">
        <f>HYPERLINK("https://careerviet.vn/vi/tim-viec-lam/nhan-vien-hanh-chinh-nhan-su.35C6644C.html","Xem chi tiết")</f>
        <v/>
      </c>
    </row>
    <row r="20242">
      <c r="B20242" s="9" t="n">
        <v>20240</v>
      </c>
      <c r="C20242" s="10" t="inlineStr">
        <is>
          <t>Trưởng phòng Phát triển khách hàng TSC</t>
        </is>
      </c>
      <c r="D20242" s="10" t="inlineStr">
        <is>
          <t>Công ty TNHH Chứng khoán Ngân hàng TMCP Ngoại thương Việt Nam (VCBS - Vietcombank Securities)</t>
        </is>
      </c>
      <c r="E20242" s="10" t="inlineStr">
        <is>
          <t>Lương:Cạnh tranh</t>
        </is>
      </c>
      <c r="F20242" s="10" t="inlineStr">
        <is>
          <t>Hà Nội</t>
        </is>
      </c>
      <c r="G20242" s="10" t="inlineStr">
        <is>
          <t>6</t>
        </is>
      </c>
      <c r="H20242" s="10" t="inlineStr">
        <is>
          <t>23/03/2026</t>
        </is>
      </c>
      <c r="I20242" s="10" t="inlineStr">
        <is>
          <t>17/03/2026</t>
        </is>
      </c>
      <c r="J20242" s="10" t="inlineStr">
        <is>
          <t>Chứng khoán</t>
        </is>
      </c>
      <c r="K20242" s="10" t="inlineStr">
        <is>
          <t>Trên 5 Năm</t>
        </is>
      </c>
      <c r="L20242" s="11">
        <f>HYPERLINK("https://careerviet.vn/vi/tim-viec-lam/truong-phong-phat-trien-khach-hang-tsc.35C665AF.html","Xem chi tiết")</f>
        <v/>
      </c>
      <c r="M20242" s="10" t="n"/>
    </row>
    <row r="20243">
      <c r="B20243" s="7" t="n">
        <v>20241</v>
      </c>
      <c r="C20243" t="inlineStr">
        <is>
          <t>126283 - Japanese Speaking - Accountant cum GA - Robotics</t>
        </is>
      </c>
      <c r="D20243" t="inlineStr">
        <is>
          <t>RGF HR Agent Vietnam Co., LTD</t>
        </is>
      </c>
      <c r="E20243" t="inlineStr">
        <is>
          <t>Lương:25 Tr - 30 Tr VND</t>
        </is>
      </c>
      <c r="F20243" t="inlineStr">
        <is>
          <t>Hồ Chí Minh</t>
        </is>
      </c>
      <c r="G20243" t="inlineStr">
        <is>
          <t>6</t>
        </is>
      </c>
      <c r="H20243" t="inlineStr">
        <is>
          <t>23/03/2026</t>
        </is>
      </c>
      <c r="I20243" t="inlineStr">
        <is>
          <t>17/03/2026</t>
        </is>
      </c>
      <c r="J20243" t="inlineStr">
        <is>
          <t>Cơ khí / Ô tô / Tự động hóa, Sản xuất / Vận hành sản xuất</t>
        </is>
      </c>
      <c r="K20243" t="inlineStr">
        <is>
          <t>Trên 3 Năm</t>
        </is>
      </c>
      <c r="L20243" s="8">
        <f>HYPERLINK("https://careerviet.vn/vi/tim-viec-lam/126283-japanese-speaking-accountant-cum-ga-robotics.35C639DD.html","Xem chi tiết")</f>
        <v/>
      </c>
    </row>
    <row r="20244">
      <c r="B20244" s="9" t="n">
        <v>20242</v>
      </c>
      <c r="C20244" s="10" t="inlineStr">
        <is>
          <t>Chuyên viên Quan hệ Khách hàng &amp; Partnership (Droppii Channel)</t>
        </is>
      </c>
      <c r="D20244" s="10" t="inlineStr">
        <is>
          <t>CÔNG TY TNHH BULSAN GROUP</t>
        </is>
      </c>
      <c r="E20244" s="10" t="inlineStr">
        <is>
          <t>Lương:9 Tr - 12 Tr VND</t>
        </is>
      </c>
      <c r="F20244" s="10" t="inlineStr">
        <is>
          <t>Hồ Chí Minh</t>
        </is>
      </c>
      <c r="G20244" s="10" t="inlineStr">
        <is>
          <t>6</t>
        </is>
      </c>
      <c r="H20244" s="10" t="inlineStr">
        <is>
          <t>23/03/2026</t>
        </is>
      </c>
      <c r="I20244" s="10" t="inlineStr">
        <is>
          <t>17/03/2026</t>
        </is>
      </c>
      <c r="J20244" s="10" t="inlineStr">
        <is>
          <t>Tiếp thị / Marketing, Dược phẩm/ Hóa Mỹ Phẩm, Ngành khác</t>
        </is>
      </c>
      <c r="K20244" s="10" t="inlineStr">
        <is>
          <t>1 - 2 Năm</t>
        </is>
      </c>
      <c r="L20244" s="11">
        <f>HYPERLINK("https://careerviet.vn/vi/tim-viec-lam/chuyen-vien-quan-he-khach-hang-partnership-droppii-channel.35C664FB.html","Xem chi tiết")</f>
        <v/>
      </c>
      <c r="M20244" s="10" t="n"/>
    </row>
    <row r="20245">
      <c r="B20245" s="7" t="n">
        <v>20243</v>
      </c>
      <c r="C20245" t="inlineStr">
        <is>
          <t>Listing Growth Manager</t>
        </is>
      </c>
      <c r="D20245" t="inlineStr">
        <is>
          <t>CÔNG TY CỔ PHẦN CITICS</t>
        </is>
      </c>
      <c r="E20245" t="inlineStr">
        <is>
          <t>Lương:20 Tr - 30 Tr VND</t>
        </is>
      </c>
      <c r="F20245" t="inlineStr">
        <is>
          <t>Hồ Chí Minh</t>
        </is>
      </c>
      <c r="G20245" t="inlineStr">
        <is>
          <t>6</t>
        </is>
      </c>
      <c r="H20245" t="inlineStr">
        <is>
          <t>23/03/2026</t>
        </is>
      </c>
      <c r="I20245" t="inlineStr">
        <is>
          <t>17/03/2026</t>
        </is>
      </c>
      <c r="J20245" t="inlineStr">
        <is>
          <t>Ngân hàng, Bất động sản</t>
        </is>
      </c>
      <c r="K20245" t="inlineStr">
        <is>
          <t>Chưa có kinh nghiệm</t>
        </is>
      </c>
      <c r="L20245" s="8">
        <f>HYPERLINK("https://careerviet.vn/vi/tim-viec-lam/listing-growth-manager.35C6662C.html","Xem chi tiết")</f>
        <v/>
      </c>
    </row>
    <row r="20246">
      <c r="B20246" s="9" t="n">
        <v>20244</v>
      </c>
      <c r="C20246" s="10" t="inlineStr">
        <is>
          <t>Quản Lý MEP công trường</t>
        </is>
      </c>
      <c r="D20246" s="10" t="inlineStr">
        <is>
          <t>CÔNG TY CỔ PHẦN TẬP ĐOÀN XÂY DỰNG HÒA BÌNH</t>
        </is>
      </c>
      <c r="E20246" s="10" t="inlineStr">
        <is>
          <t>Lương:17 Tr - 25 Tr VND</t>
        </is>
      </c>
      <c r="F20246" s="10" t="inlineStr">
        <is>
          <t>Bình ĐịnhKiên GiangLong An</t>
        </is>
      </c>
      <c r="G20246" s="10" t="inlineStr">
        <is>
          <t>6</t>
        </is>
      </c>
      <c r="H20246" s="10" t="inlineStr">
        <is>
          <t>23/03/2026</t>
        </is>
      </c>
      <c r="I20246" s="10" t="inlineStr">
        <is>
          <t>17/03/2026</t>
        </is>
      </c>
      <c r="J20246" s="10" t="inlineStr">
        <is>
          <t>Điện / Điện tử / Điện lạnh / Điện công nghiệp</t>
        </is>
      </c>
      <c r="K20246" s="10" t="inlineStr">
        <is>
          <t>2 - 5 Năm</t>
        </is>
      </c>
      <c r="L20246" s="11">
        <f>HYPERLINK("https://careerviet.vn/vi/tim-viec-lam/quan-ly-mep-cong-truong.35C638CE.html","Xem chi tiết")</f>
        <v/>
      </c>
      <c r="M20246" s="10" t="n"/>
    </row>
    <row r="20247">
      <c r="B20247" s="7" t="n">
        <v>20245</v>
      </c>
      <c r="C20247" t="inlineStr">
        <is>
          <t>Giám sát bán hàng kênh Siêu Thị - khu vực Hồ Chí Minh</t>
        </is>
      </c>
      <c r="D20247" t="inlineStr">
        <is>
          <t>Công ty Cổ Phần Hóa Mỹ Phẩm Mỹ Hảo</t>
        </is>
      </c>
      <c r="E20247" t="inlineStr">
        <is>
          <t>Lương:12 Tr - 18 Tr VND</t>
        </is>
      </c>
      <c r="F20247" t="inlineStr">
        <is>
          <t>Hồ Chí Minh</t>
        </is>
      </c>
      <c r="G20247" t="inlineStr">
        <is>
          <t>6</t>
        </is>
      </c>
      <c r="H20247" t="inlineStr">
        <is>
          <t>23/03/2026</t>
        </is>
      </c>
      <c r="I20247" t="inlineStr">
        <is>
          <t>17/03/2026</t>
        </is>
      </c>
      <c r="J20247" t="inlineStr">
        <is>
          <t>Bán lẻ / Bán sỉ, Bán hàng / Kinh doanh, Hàng gia dụng / Chăm sóc cá nhân</t>
        </is>
      </c>
      <c r="K20247" t="inlineStr">
        <is>
          <t>Lên đến 2 Năm</t>
        </is>
      </c>
      <c r="L20247" s="8">
        <f>HYPERLINK("https://careerviet.vn/vi/tim-viec-lam/giam-sat-ban-hang-kenh-sieu-thi-khu-vuc-ho-chi-minh.35C66590.html","Xem chi tiết")</f>
        <v/>
      </c>
    </row>
    <row r="20248">
      <c r="B20248" s="9" t="n">
        <v>20246</v>
      </c>
      <c r="C20248" s="10" t="inlineStr">
        <is>
          <t>Bình Phước - Chuyên viên Quan hệ Khách hàng cá nhân</t>
        </is>
      </c>
      <c r="D20248" s="10" t="inlineStr">
        <is>
          <t>Ngân hàng TMCP Lộc Phát Việt Nam (LPBank)</t>
        </is>
      </c>
      <c r="E20248" s="10" t="inlineStr">
        <is>
          <t>Lương:Cạnh tranh</t>
        </is>
      </c>
      <c r="F20248" s="10" t="inlineStr">
        <is>
          <t>Bình Phước</t>
        </is>
      </c>
      <c r="G20248" s="10" t="inlineStr">
        <is>
          <t>6</t>
        </is>
      </c>
      <c r="H20248" s="10" t="inlineStr">
        <is>
          <t>23/03/2026</t>
        </is>
      </c>
      <c r="I20248" s="10" t="inlineStr">
        <is>
          <t>17/03/2026</t>
        </is>
      </c>
      <c r="J20248" s="10" t="inlineStr">
        <is>
          <t>Bán hàng / Kinh doanh, Kế toán / Kiểm toán, Ngân hàng</t>
        </is>
      </c>
      <c r="K20248" s="10" t="inlineStr">
        <is>
          <t>N/A</t>
        </is>
      </c>
      <c r="L20248" s="11">
        <f>HYPERLINK("https://careerviet.vn/vi/tim-viec-lam/binh-phuoc-chuyen-vien-quan-he-khach-hang-ca-nhan.35C63A80.html","Xem chi tiết")</f>
        <v/>
      </c>
      <c r="M20248" s="10" t="n"/>
    </row>
    <row r="20249">
      <c r="B20249" s="7" t="n">
        <v>20247</v>
      </c>
      <c r="C20249" t="inlineStr">
        <is>
          <t>Chuyên viên Đào tạo &amp; Truyền thông nội bộ</t>
        </is>
      </c>
      <c r="D20249" t="inlineStr">
        <is>
          <t>CÔNG TY TNHH TRỐNG ĐỒNG VIỆT NAM</t>
        </is>
      </c>
      <c r="E20249" t="inlineStr">
        <is>
          <t>Lương:10 Tr - 15 Tr VND</t>
        </is>
      </c>
      <c r="F20249" t="inlineStr">
        <is>
          <t>Hà Nội</t>
        </is>
      </c>
      <c r="G20249" t="inlineStr">
        <is>
          <t>6</t>
        </is>
      </c>
      <c r="H20249" t="inlineStr">
        <is>
          <t>23/03/2026</t>
        </is>
      </c>
      <c r="I20249" t="inlineStr">
        <is>
          <t>17/03/2026</t>
        </is>
      </c>
      <c r="J20249" t="inlineStr">
        <is>
          <t>Nhà hàng / Khách sạn</t>
        </is>
      </c>
      <c r="K20249" t="inlineStr">
        <is>
          <t>1 - 2 Năm</t>
        </is>
      </c>
      <c r="L20249" s="8">
        <f>HYPERLINK("https://careerviet.vn/vi/tim-viec-lam/chuyen-vien-dao-tao-truyen-thong-noi-bo.35C665A5.html","Xem chi tiết")</f>
        <v/>
      </c>
    </row>
    <row r="20250">
      <c r="B20250" s="9" t="n">
        <v>20248</v>
      </c>
      <c r="C20250" s="10" t="inlineStr">
        <is>
          <t>CHUYÊN VIÊN XÂY DỰNG &amp; QUẢN LÝ VẬN HÀNH HỆ THỐNG QUY TRÌNH (CHUYÊN VIÊN ISO)</t>
        </is>
      </c>
      <c r="D20250" s="10" t="inlineStr">
        <is>
          <t>Công ty Cổ phần Tây An</t>
        </is>
      </c>
      <c r="E20250" s="10" t="inlineStr">
        <is>
          <t>Lương:12 Tr - 17 Tr VND</t>
        </is>
      </c>
      <c r="F20250" s="10" t="inlineStr">
        <is>
          <t>Nghệ An</t>
        </is>
      </c>
      <c r="G20250" s="10" t="inlineStr">
        <is>
          <t>6</t>
        </is>
      </c>
      <c r="H20250" s="10" t="inlineStr">
        <is>
          <t>23/03/2026</t>
        </is>
      </c>
      <c r="I20250" s="10" t="inlineStr">
        <is>
          <t>17/03/2026</t>
        </is>
      </c>
      <c r="J20250" s="10" t="inlineStr">
        <is>
          <t>Xây dựng</t>
        </is>
      </c>
      <c r="K20250" s="10" t="inlineStr">
        <is>
          <t>3 - 5 Năm</t>
        </is>
      </c>
      <c r="L20250" s="11">
        <f>HYPERLINK("https://careerviet.vn/vi/tim-viec-lam/chuyen-vien-xay-dung-quan-ly-van-hanh-he-thong-quy-trinh-chuyen-vien-iso.35C664F2.html","Xem chi tiết")</f>
        <v/>
      </c>
      <c r="M20250" s="10" t="n"/>
    </row>
    <row r="20251">
      <c r="B20251" s="7" t="n">
        <v>20249</v>
      </c>
      <c r="C20251" t="inlineStr">
        <is>
          <t>NHÂN VIÊN Y TẾ</t>
        </is>
      </c>
      <c r="D20251" t="inlineStr">
        <is>
          <t>Công ty Cổ Phần Giấy Sài Gòn - SAIGON PAPER CORPORATION</t>
        </is>
      </c>
      <c r="E20251" t="inlineStr">
        <is>
          <t>Lương:Cạnh tranh</t>
        </is>
      </c>
      <c r="F20251" t="inlineStr">
        <is>
          <t>Bà Rịa - Vũng Tàu</t>
        </is>
      </c>
      <c r="G20251" t="inlineStr">
        <is>
          <t>6</t>
        </is>
      </c>
      <c r="H20251" t="inlineStr">
        <is>
          <t>23/03/2026</t>
        </is>
      </c>
      <c r="I20251" t="inlineStr">
        <is>
          <t>17/03/2026</t>
        </is>
      </c>
      <c r="J20251" t="inlineStr">
        <is>
          <t>Y tế / Chăm sóc sức khỏe / Thẩm mỹ / Làm đẹp</t>
        </is>
      </c>
      <c r="K20251" t="inlineStr">
        <is>
          <t>1 - 2 Năm</t>
        </is>
      </c>
      <c r="L20251" s="8">
        <f>HYPERLINK("https://careerviet.vn/vi/tim-viec-lam/nhan-vien-y-te.35C66588.html","Xem chi tiết")</f>
        <v/>
      </c>
    </row>
    <row r="20252">
      <c r="B20252" s="9" t="n">
        <v>20250</v>
      </c>
      <c r="C20252" s="10" t="inlineStr">
        <is>
          <t>NHÂN VIÊN KHO DƯỢC HỖ TRỢ CỤM BẾN TRE</t>
        </is>
      </c>
      <c r="D20252" s="10" t="inlineStr">
        <is>
          <t>Công Ty Cổ Phần Vacxin Việt Nam</t>
        </is>
      </c>
      <c r="E20252" s="10" t="inlineStr">
        <is>
          <t>Lương:7 Tr - 9 Tr VND</t>
        </is>
      </c>
      <c r="F20252" s="10" t="inlineStr">
        <is>
          <t>Bến Tre</t>
        </is>
      </c>
      <c r="G20252" s="10" t="inlineStr">
        <is>
          <t>6</t>
        </is>
      </c>
      <c r="H20252" s="10" t="inlineStr">
        <is>
          <t>23/03/2026</t>
        </is>
      </c>
      <c r="I20252" s="10" t="inlineStr">
        <is>
          <t>17/03/2026</t>
        </is>
      </c>
      <c r="J20252" s="10" t="inlineStr">
        <is>
          <t>Dược phẩm/ Hóa Mỹ Phẩm, Y tế / Chăm sóc sức khỏe / Thẩm mỹ / Làm đẹp, Vận chuyển / Giao nhận / Kho vận</t>
        </is>
      </c>
      <c r="K20252" s="10" t="inlineStr">
        <is>
          <t>N/A</t>
        </is>
      </c>
      <c r="L20252" s="11">
        <f>HYPERLINK("https://careerviet.vn/vi/tim-viec-lam/nhan-vien-kho-duoc-ho-tro-cum-ben-tre.35C6396A.html","Xem chi tiết")</f>
        <v/>
      </c>
      <c r="M20252" s="10" t="n"/>
    </row>
    <row r="20253">
      <c r="B20253" s="7" t="n">
        <v>20251</v>
      </c>
      <c r="C20253" t="inlineStr">
        <is>
          <t>Dược sĩ bán hàng - Thành phố Buôn Ma Thuột</t>
        </is>
      </c>
      <c r="D20253" t="inlineStr">
        <is>
          <t>Công Ty CP Dược Phẩm Pharmacity</t>
        </is>
      </c>
      <c r="E20253" t="inlineStr">
        <is>
          <t>Lương:8 Tr - 12 Tr VND</t>
        </is>
      </c>
      <c r="F20253" t="inlineStr">
        <is>
          <t>Dak Lak</t>
        </is>
      </c>
      <c r="G20253" t="inlineStr">
        <is>
          <t>6</t>
        </is>
      </c>
      <c r="H20253" t="inlineStr">
        <is>
          <t>23/03/2026</t>
        </is>
      </c>
      <c r="I20253" t="inlineStr">
        <is>
          <t>17/03/2026</t>
        </is>
      </c>
      <c r="J20253" t="inlineStr">
        <is>
          <t>Dược phẩm/ Hóa Mỹ Phẩm</t>
        </is>
      </c>
      <c r="K20253" t="inlineStr">
        <is>
          <t>N/A</t>
        </is>
      </c>
      <c r="L20253" s="8">
        <f>HYPERLINK("https://careerviet.vn/vi/tim-viec-lam/duoc-si-ban-hang-thanh-pho-buon-ma-thuot.35C66611.html","Xem chi tiết")</f>
        <v/>
      </c>
    </row>
    <row r="20254">
      <c r="B20254" s="9" t="n">
        <v>20252</v>
      </c>
      <c r="C20254" s="10" t="inlineStr">
        <is>
          <t>Bình Thuận - Chuyên viên Quan hệ Khách hàng cá nhân</t>
        </is>
      </c>
      <c r="D20254" s="10" t="inlineStr">
        <is>
          <t>Ngân hàng TMCP Lộc Phát Việt Nam (LPBank)</t>
        </is>
      </c>
      <c r="E20254" s="10" t="inlineStr">
        <is>
          <t>Lương:Cạnh tranh</t>
        </is>
      </c>
      <c r="F20254" s="10" t="inlineStr">
        <is>
          <t>Bình Thuận</t>
        </is>
      </c>
      <c r="G20254" s="10" t="inlineStr">
        <is>
          <t>6</t>
        </is>
      </c>
      <c r="H20254" s="10" t="inlineStr">
        <is>
          <t>23/03/2026</t>
        </is>
      </c>
      <c r="I20254" s="10" t="inlineStr">
        <is>
          <t>17/03/2026</t>
        </is>
      </c>
      <c r="J20254" s="10" t="inlineStr">
        <is>
          <t>Bán hàng / Kinh doanh, Kế toán / Kiểm toán, Ngân hàng</t>
        </is>
      </c>
      <c r="K20254" s="10" t="inlineStr">
        <is>
          <t>N/A</t>
        </is>
      </c>
      <c r="L20254" s="11">
        <f>HYPERLINK("https://careerviet.vn/vi/tim-viec-lam/binh-thuan-chuyen-vien-quan-he-khach-hang-ca-nhan.35C63A91.html","Xem chi tiết")</f>
        <v/>
      </c>
      <c r="M20254" s="10" t="n"/>
    </row>
    <row r="20255">
      <c r="B20255" s="7" t="n">
        <v>20253</v>
      </c>
      <c r="C20255" t="inlineStr">
        <is>
          <t>Giao Dịch Viên - Bình Dương</t>
        </is>
      </c>
      <c r="D20255" t="inlineStr">
        <is>
          <t>Ngân hàng TMCP Việt Á – VietABank</t>
        </is>
      </c>
      <c r="E20255" t="inlineStr">
        <is>
          <t>Lương:7 Tr - 12 Tr VND</t>
        </is>
      </c>
      <c r="F20255" t="inlineStr">
        <is>
          <t>Bình Dương</t>
        </is>
      </c>
      <c r="G20255" t="inlineStr">
        <is>
          <t>6</t>
        </is>
      </c>
      <c r="H20255" t="inlineStr">
        <is>
          <t>23/03/2026</t>
        </is>
      </c>
      <c r="I20255" t="inlineStr">
        <is>
          <t>17/03/2026</t>
        </is>
      </c>
      <c r="J20255" t="inlineStr">
        <is>
          <t>Dịch vụ khách hàng, Ngân hàng, Tài chính / Đầu tư</t>
        </is>
      </c>
      <c r="K20255" t="inlineStr">
        <is>
          <t>Chưa có kinh nghiệm</t>
        </is>
      </c>
      <c r="L20255" s="8">
        <f>HYPERLINK("https://careerviet.vn/vi/tim-viec-lam/giao-dich-vien-binh-duong.35C664FF.html","Xem chi tiết")</f>
        <v/>
      </c>
    </row>
    <row r="20256">
      <c r="B20256" s="9" t="n">
        <v>20254</v>
      </c>
      <c r="C20256" s="10" t="inlineStr">
        <is>
          <t>Sales Consultant (Chuyên Viên Tư Vấn Phát Triển Năng Lực Tổ Chức)</t>
        </is>
      </c>
      <c r="D20256" s="10" t="inlineStr">
        <is>
          <t>Dale Carnegie Việt Nam</t>
        </is>
      </c>
      <c r="E20256" s="10" t="inlineStr">
        <is>
          <t>Lương:Cạnh tranh</t>
        </is>
      </c>
      <c r="F20256" s="10" t="inlineStr">
        <is>
          <t>Hồ Chí Minh</t>
        </is>
      </c>
      <c r="G20256" s="10" t="inlineStr">
        <is>
          <t>6</t>
        </is>
      </c>
      <c r="H20256" s="10" t="inlineStr">
        <is>
          <t>23/03/2026</t>
        </is>
      </c>
      <c r="I20256" s="10" t="inlineStr">
        <is>
          <t>17/03/2026</t>
        </is>
      </c>
      <c r="J20256" s="10" t="inlineStr">
        <is>
          <t>Tư vấn, Giáo dục / Đào tạo, Bán hàng / Kinh doanh</t>
        </is>
      </c>
      <c r="K20256" s="10" t="inlineStr">
        <is>
          <t>3 - 5 Năm</t>
        </is>
      </c>
      <c r="L20256" s="11">
        <f>HYPERLINK("https://careerviet.vn/vi/tim-viec-lam/sales-consultant-chuyen-vien-tu-van-phat-trien-nang-luc-to-chuc.35C665D2.html","Xem chi tiết")</f>
        <v/>
      </c>
      <c r="M20256" s="10" t="n"/>
    </row>
    <row r="20257">
      <c r="B20257" s="7" t="n">
        <v>20255</v>
      </c>
      <c r="C20257" t="inlineStr">
        <is>
          <t>Nhân Viên Tư Vấn Sản Phẩm tại Điện Máy Chợ Lớn Cai Lậy - Tiền Giang</t>
        </is>
      </c>
      <c r="D20257" t="inlineStr">
        <is>
          <t>Tập Đoàn Karofi Holding</t>
        </is>
      </c>
      <c r="E20257" t="inlineStr">
        <is>
          <t>Lương:8 Tr - 15 Tr VND</t>
        </is>
      </c>
      <c r="F20257" t="inlineStr">
        <is>
          <t>Tiền Giang</t>
        </is>
      </c>
      <c r="G20257" t="inlineStr">
        <is>
          <t>6</t>
        </is>
      </c>
      <c r="H20257" t="inlineStr">
        <is>
          <t>23/03/2026</t>
        </is>
      </c>
      <c r="I20257" t="inlineStr">
        <is>
          <t>17/03/2026</t>
        </is>
      </c>
      <c r="J20257" t="inlineStr">
        <is>
          <t>Bán lẻ / Bán sỉ, Bán hàng / Kinh doanh, Dịch vụ khách hàng</t>
        </is>
      </c>
      <c r="K20257" t="inlineStr">
        <is>
          <t>Lên đến 1 Năm</t>
        </is>
      </c>
      <c r="L20257" s="8">
        <f>HYPERLINK("https://careerviet.vn/vi/tim-viec-lam/nhan-vien-tu-van-san-pham-tai-dien-may-cho-lon-cai-lay-tien-giang.35C63A94.html","Xem chi tiết")</f>
        <v/>
      </c>
    </row>
    <row r="20258">
      <c r="B20258" s="9" t="n">
        <v>20256</v>
      </c>
      <c r="C20258" s="10" t="inlineStr">
        <is>
          <t>Nhân viên trắc địa</t>
        </is>
      </c>
      <c r="D20258" s="10" t="inlineStr">
        <is>
          <t>CÔNG TY CỔ PHẦN PICONS VIỆT NAM</t>
        </is>
      </c>
      <c r="E20258" s="10" t="inlineStr">
        <is>
          <t>Lương:16 Tr - 22 Tr VND</t>
        </is>
      </c>
      <c r="F20258" s="10" t="inlineStr">
        <is>
          <t>Thái Bình</t>
        </is>
      </c>
      <c r="G20258" s="10" t="inlineStr">
        <is>
          <t>6</t>
        </is>
      </c>
      <c r="H20258" s="10" t="inlineStr">
        <is>
          <t>23/03/2026</t>
        </is>
      </c>
      <c r="I20258" s="10" t="inlineStr">
        <is>
          <t>17/03/2026</t>
        </is>
      </c>
      <c r="J20258" s="10" t="inlineStr">
        <is>
          <t>Môi trường, Kiến trúc, Xây dựng</t>
        </is>
      </c>
      <c r="K20258" s="10" t="inlineStr">
        <is>
          <t>Trên 2 Năm</t>
        </is>
      </c>
      <c r="L20258" s="11">
        <f>HYPERLINK("https://careerviet.vn/vi/tim-viec-lam/nhan-vien-trac-dia.35C63A8F.html","Xem chi tiết")</f>
        <v/>
      </c>
      <c r="M20258" s="10" t="n"/>
    </row>
    <row r="20259">
      <c r="B20259" s="7" t="n">
        <v>20257</v>
      </c>
      <c r="C20259" t="inlineStr">
        <is>
          <t>PURCHASING SPECIALIST [Tiếng Trung]</t>
        </is>
      </c>
      <c r="D20259" t="inlineStr">
        <is>
          <t>CÔNG TY TNHH CRYSTAL ELEGANCE TEXTILES VIỆT NAM</t>
        </is>
      </c>
      <c r="E20259" t="inlineStr">
        <is>
          <t>Lương:Cạnh tranh</t>
        </is>
      </c>
      <c r="F20259" t="inlineStr">
        <is>
          <t>Bình Dương</t>
        </is>
      </c>
      <c r="G20259" t="inlineStr">
        <is>
          <t>6</t>
        </is>
      </c>
      <c r="H20259" t="inlineStr">
        <is>
          <t>23/03/2026</t>
        </is>
      </c>
      <c r="I20259" t="inlineStr">
        <is>
          <t>17/03/2026</t>
        </is>
      </c>
      <c r="J20259" t="inlineStr">
        <is>
          <t>Sản xuất / Vận hành sản xuất, Dệt may / Da giày / Thời trang, Thu mua / Vật tư</t>
        </is>
      </c>
      <c r="K20259" t="inlineStr">
        <is>
          <t>1 - 5 Năm</t>
        </is>
      </c>
      <c r="L20259" s="8">
        <f>HYPERLINK("https://careerviet.vn/vi/tim-viec-lam/purchasing-specialist-tieng-trung.35C66551.html","Xem chi tiết")</f>
        <v/>
      </c>
    </row>
    <row r="20260">
      <c r="B20260" s="9" t="n">
        <v>20258</v>
      </c>
      <c r="C20260" s="10" t="inlineStr">
        <is>
          <t>Kỹ Sư Quản Lý Chất Lượng (QA/QC)</t>
        </is>
      </c>
      <c r="D20260" s="10" t="inlineStr">
        <is>
          <t>CÔNG TY CỔ PHẦN PICONS VIỆT NAM</t>
        </is>
      </c>
      <c r="E20260" s="10" t="inlineStr">
        <is>
          <t>Lương:16 Tr - 23 Tr VND</t>
        </is>
      </c>
      <c r="F20260" s="10" t="inlineStr">
        <is>
          <t>Thái Bình</t>
        </is>
      </c>
      <c r="G20260" s="10" t="inlineStr">
        <is>
          <t>6</t>
        </is>
      </c>
      <c r="H20260" s="10" t="inlineStr">
        <is>
          <t>23/03/2026</t>
        </is>
      </c>
      <c r="I20260" s="10" t="inlineStr">
        <is>
          <t>17/03/2026</t>
        </is>
      </c>
      <c r="J20260" s="10" t="inlineStr">
        <is>
          <t>Quản lý chất lượng (QA/QC), Kiến trúc, Xây dựng</t>
        </is>
      </c>
      <c r="K20260" s="10" t="inlineStr">
        <is>
          <t>2 - 3 Năm</t>
        </is>
      </c>
      <c r="L20260" s="11">
        <f>HYPERLINK("https://careerviet.vn/vi/tim-viec-lam/ky-su-quan-ly-chat-luong-qa-qc.35C63A87.html","Xem chi tiết")</f>
        <v/>
      </c>
      <c r="M20260" s="10" t="n"/>
    </row>
    <row r="20261">
      <c r="B20261" s="7" t="n">
        <v>20259</v>
      </c>
      <c r="C20261" t="inlineStr">
        <is>
          <t>Kỹ Sư QS</t>
        </is>
      </c>
      <c r="D20261" t="inlineStr">
        <is>
          <t>CÔNG TY TNHH XÂY DỰNG VÀ THƯƠNG MẠI HP HÀ NỘI</t>
        </is>
      </c>
      <c r="E20261" t="inlineStr">
        <is>
          <t>Lương:15 Tr - 20 Tr VND</t>
        </is>
      </c>
      <c r="F20261" t="inlineStr">
        <is>
          <t>Hà Nội</t>
        </is>
      </c>
      <c r="G20261" t="inlineStr">
        <is>
          <t>6</t>
        </is>
      </c>
      <c r="H20261" t="inlineStr">
        <is>
          <t>23/03/2026</t>
        </is>
      </c>
      <c r="I20261" t="inlineStr">
        <is>
          <t>17/03/2026</t>
        </is>
      </c>
      <c r="J20261" t="inlineStr">
        <is>
          <t>Quản lý điều hành, Xây dựng, Tài chính / Đầu tư</t>
        </is>
      </c>
      <c r="K20261" t="inlineStr">
        <is>
          <t>Trên 1 Năm</t>
        </is>
      </c>
      <c r="L20261" s="8">
        <f>HYPERLINK("https://careerviet.vn/vi/tim-viec-lam/ky-su-qs.35C63956.html","Xem chi tiết")</f>
        <v/>
      </c>
    </row>
    <row r="20262">
      <c r="B20262" s="9" t="n">
        <v>20260</v>
      </c>
      <c r="C20262" s="10" t="inlineStr">
        <is>
          <t>Customs Officer</t>
        </is>
      </c>
      <c r="D20262" s="10" t="inlineStr">
        <is>
          <t>Công ty TNHH Olam Việt Nam</t>
        </is>
      </c>
      <c r="E20262" s="10" t="inlineStr">
        <is>
          <t>Lương:Cạnh tranh</t>
        </is>
      </c>
      <c r="F20262" s="10" t="inlineStr">
        <is>
          <t>Đồng Nai</t>
        </is>
      </c>
      <c r="G20262" s="10" t="inlineStr">
        <is>
          <t>6</t>
        </is>
      </c>
      <c r="H20262" s="10" t="inlineStr">
        <is>
          <t>23/03/2026</t>
        </is>
      </c>
      <c r="I20262" s="10" t="inlineStr">
        <is>
          <t>17/03/2026</t>
        </is>
      </c>
      <c r="J20262" s="10" t="inlineStr">
        <is>
          <t>Vận chuyển / Giao nhận / Kho vận, Hàng hải, Công nghệ thực phẩm / Dinh dưỡng</t>
        </is>
      </c>
      <c r="K20262" s="10" t="inlineStr">
        <is>
          <t>1 - 3 Năm</t>
        </is>
      </c>
      <c r="L20262" s="11">
        <f>HYPERLINK("https://careerviet.vn/vi/tim-viec-lam/customs-officer.35C6647B.html","Xem chi tiết")</f>
        <v/>
      </c>
      <c r="M20262" s="10" t="n"/>
    </row>
    <row r="20263">
      <c r="B20263" s="7" t="n">
        <v>20261</v>
      </c>
      <c r="C20263" t="inlineStr">
        <is>
          <t>Chuyên viên pháp lý dự án _ Phú Quốc</t>
        </is>
      </c>
      <c r="D20263" t="inlineStr">
        <is>
          <t>Công Ty TNHH Đầu Tư Địa Ốc Thành Phố (CityLand)</t>
        </is>
      </c>
      <c r="E20263" t="inlineStr">
        <is>
          <t>Lương:15 Tr - 25 Tr VND</t>
        </is>
      </c>
      <c r="F20263" t="inlineStr">
        <is>
          <t>Kiên Giang</t>
        </is>
      </c>
      <c r="G20263" t="inlineStr">
        <is>
          <t>6</t>
        </is>
      </c>
      <c r="H20263" t="inlineStr">
        <is>
          <t>23/03/2026</t>
        </is>
      </c>
      <c r="I20263" t="inlineStr">
        <is>
          <t>17/03/2026</t>
        </is>
      </c>
      <c r="J20263" t="inlineStr">
        <is>
          <t>Kiến trúc, Xây dựng, Bất động sản</t>
        </is>
      </c>
      <c r="K20263" t="inlineStr">
        <is>
          <t>5 - 15 Năm</t>
        </is>
      </c>
      <c r="L20263" s="8">
        <f>HYPERLINK("https://careerviet.vn/vi/tim-viec-lam/chuyen-vien-phap-ly-du-an-_-phu-quoc.35C63A48.html","Xem chi tiết")</f>
        <v/>
      </c>
    </row>
    <row r="20264">
      <c r="B20264" s="9" t="n">
        <v>20262</v>
      </c>
      <c r="C20264" s="10" t="inlineStr">
        <is>
          <t>Nhân Viên Tư Vấn Viettel – Không Yêu Cầu Kinh Nghiệm – Được Hướng Dẫn Chi Tiết _ [G1]</t>
        </is>
      </c>
      <c r="D20264" s="10" t="inlineStr">
        <is>
          <t>BellSystem24-Việt Nam</t>
        </is>
      </c>
      <c r="E20264" s="10" t="inlineStr">
        <is>
          <t>Lương:8 Tr - 15 Tr VND</t>
        </is>
      </c>
      <c r="F20264" s="10" t="inlineStr">
        <is>
          <t>Hồ Chí Minh</t>
        </is>
      </c>
      <c r="G20264" s="10" t="inlineStr">
        <is>
          <t>6</t>
        </is>
      </c>
      <c r="H20264" s="10" t="inlineStr">
        <is>
          <t>23/03/2026</t>
        </is>
      </c>
      <c r="I20264" s="10" t="inlineStr">
        <is>
          <t>17/03/2026</t>
        </is>
      </c>
      <c r="J20264" s="10" t="inlineStr">
        <is>
          <t>Bưu chính viễn thông, Dịch vụ khách hàng, Tư vấn</t>
        </is>
      </c>
      <c r="K20264" s="10" t="inlineStr">
        <is>
          <t>N/A</t>
        </is>
      </c>
      <c r="L20264" s="11">
        <f>HYPERLINK("https://careerviet.vn/vi/tim-viec-lam/nhan-vien-tu-van-viettel-khong-yeu-cau-kinh-nghiem-duoc-huong-dan-chi-tiet-_-g1.35C63A13.html","Xem chi tiết")</f>
        <v/>
      </c>
      <c r="M20264" s="10" t="n"/>
    </row>
    <row r="20265">
      <c r="B20265" s="7" t="n">
        <v>20263</v>
      </c>
      <c r="C20265" t="inlineStr">
        <is>
          <t>Đồng Nai - Chuyên viên Quan hệ Khách hàng cá nhân</t>
        </is>
      </c>
      <c r="D20265" t="inlineStr">
        <is>
          <t>Ngân hàng TMCP Lộc Phát Việt Nam (LPBank)</t>
        </is>
      </c>
      <c r="E20265" t="inlineStr">
        <is>
          <t>Lương:Cạnh tranh</t>
        </is>
      </c>
      <c r="F20265" t="inlineStr">
        <is>
          <t>Đồng Nai</t>
        </is>
      </c>
      <c r="G20265" t="inlineStr">
        <is>
          <t>6</t>
        </is>
      </c>
      <c r="H20265" t="inlineStr">
        <is>
          <t>23/03/2026</t>
        </is>
      </c>
      <c r="I20265" t="inlineStr">
        <is>
          <t>17/03/2026</t>
        </is>
      </c>
      <c r="J20265" t="inlineStr">
        <is>
          <t>Bán hàng / Kinh doanh, Kế toán / Kiểm toán, Ngân hàng</t>
        </is>
      </c>
      <c r="K20265" t="inlineStr">
        <is>
          <t>N/A</t>
        </is>
      </c>
      <c r="L20265" s="8">
        <f>HYPERLINK("https://careerviet.vn/vi/tim-viec-lam/dong-nai-chuyen-vien-quan-he-khach-hang-ca-nhan.35C63A88.html","Xem chi tiết")</f>
        <v/>
      </c>
    </row>
    <row r="20266">
      <c r="B20266" s="9" t="n">
        <v>20264</v>
      </c>
      <c r="C20266" s="10" t="inlineStr">
        <is>
          <t>Chuyên viên Đầu tư phát triển dự án</t>
        </is>
      </c>
      <c r="D20266" s="10" t="inlineStr">
        <is>
          <t>Công ty cổ phần Tập đoàn Trường Thành Việt Nam</t>
        </is>
      </c>
      <c r="E20266" s="10" t="inlineStr">
        <is>
          <t>Lương:18 Tr - 23 Tr VND</t>
        </is>
      </c>
      <c r="F20266" s="10" t="inlineStr">
        <is>
          <t>Hà Nội</t>
        </is>
      </c>
      <c r="G20266" s="10" t="inlineStr">
        <is>
          <t>6</t>
        </is>
      </c>
      <c r="H20266" s="10" t="inlineStr">
        <is>
          <t>23/03/2026</t>
        </is>
      </c>
      <c r="I20266" s="10" t="inlineStr">
        <is>
          <t>17/03/2026</t>
        </is>
      </c>
      <c r="J20266" s="10" t="inlineStr">
        <is>
          <t>Xây dựng</t>
        </is>
      </c>
      <c r="K20266" s="10" t="inlineStr">
        <is>
          <t>4 - 6 Năm</t>
        </is>
      </c>
      <c r="L20266" s="11">
        <f>HYPERLINK("https://careerviet.vn/vi/tim-viec-lam/chuyen-vien-dau-tu-phat-trien-du-an.35C665E8.html","Xem chi tiết")</f>
        <v/>
      </c>
      <c r="M20266" s="10" t="n"/>
    </row>
    <row r="20267">
      <c r="B20267" s="7" t="n">
        <v>20265</v>
      </c>
      <c r="C20267" t="inlineStr">
        <is>
          <t>NHÂN VIÊN XUẤT NHẬP KHẨU – MUA HÀNG QUỐC TẾ &amp; NỘI ĐỊA</t>
        </is>
      </c>
      <c r="D20267" t="inlineStr">
        <is>
          <t>Công Ty TNHH XNK Cầu Nối Việt</t>
        </is>
      </c>
      <c r="E20267" t="inlineStr">
        <is>
          <t>Lương:11 Tr - 13 Tr VND</t>
        </is>
      </c>
      <c r="F20267" t="inlineStr">
        <is>
          <t>Hà Nội</t>
        </is>
      </c>
      <c r="G20267" t="inlineStr">
        <is>
          <t>6</t>
        </is>
      </c>
      <c r="H20267" t="inlineStr">
        <is>
          <t>23/03/2026</t>
        </is>
      </c>
      <c r="I20267" t="inlineStr">
        <is>
          <t>17/03/2026</t>
        </is>
      </c>
      <c r="J20267" t="inlineStr">
        <is>
          <t>Xuất nhập khẩu, Thu mua / Vật tư</t>
        </is>
      </c>
      <c r="K20267" t="inlineStr">
        <is>
          <t>1 - 5 Năm</t>
        </is>
      </c>
      <c r="L20267" s="8">
        <f>HYPERLINK("https://careerviet.vn/vi/tim-viec-lam/nhan-vien-xuat-nhap-khau-mua-hang-quoc-te-noi-dia.35C63A3C.html","Xem chi tiết")</f>
        <v/>
      </c>
    </row>
    <row r="20268">
      <c r="B20268" s="9" t="n">
        <v>20266</v>
      </c>
      <c r="C20268" s="10" t="inlineStr">
        <is>
          <t>Campaign Admin</t>
        </is>
      </c>
      <c r="D20268" s="10" t="inlineStr">
        <is>
          <t>CÔNG TY TNHH SOCIAL BELLA VIỆT NAM</t>
        </is>
      </c>
      <c r="E20268" s="10" t="inlineStr">
        <is>
          <t>Lương:Cạnh tranh</t>
        </is>
      </c>
      <c r="F20268" s="10" t="inlineStr">
        <is>
          <t>Hồ Chí Minh</t>
        </is>
      </c>
      <c r="G20268" s="10" t="inlineStr">
        <is>
          <t>6</t>
        </is>
      </c>
      <c r="H20268" s="10" t="inlineStr">
        <is>
          <t>23/03/2026</t>
        </is>
      </c>
      <c r="I20268" s="10" t="inlineStr">
        <is>
          <t>17/03/2026</t>
        </is>
      </c>
      <c r="J20268" s="10" t="inlineStr">
        <is>
          <t>Tiếp thị / Marketing, Bán lẻ / Bán sỉ, Hành chính / Thư ký</t>
        </is>
      </c>
      <c r="K20268" s="10" t="inlineStr">
        <is>
          <t>1 - 2 Năm</t>
        </is>
      </c>
      <c r="L20268" s="11">
        <f>HYPERLINK("https://careerviet.vn/vi/tim-viec-lam/campaign-admin.35C665CE.html","Xem chi tiết")</f>
        <v/>
      </c>
      <c r="M20268" s="10" t="n"/>
    </row>
    <row r="20269">
      <c r="B20269" s="7" t="n">
        <v>20267</v>
      </c>
      <c r="C20269" t="inlineStr">
        <is>
          <t>Senior Media Executive</t>
        </is>
      </c>
      <c r="D20269" t="inlineStr">
        <is>
          <t>Công ty TNHH Onpoint</t>
        </is>
      </c>
      <c r="E20269" t="inlineStr">
        <is>
          <t>Lương:Cạnh tranh</t>
        </is>
      </c>
      <c r="F20269" t="inlineStr">
        <is>
          <t>Hồ Chí Minh</t>
        </is>
      </c>
      <c r="G20269" t="inlineStr">
        <is>
          <t>6</t>
        </is>
      </c>
      <c r="H20269" t="inlineStr">
        <is>
          <t>23/03/2026</t>
        </is>
      </c>
      <c r="I20269" t="inlineStr">
        <is>
          <t>17/03/2026</t>
        </is>
      </c>
      <c r="J20269" t="inlineStr">
        <is>
          <t>Tiếp thị / Marketing, Tiếp thị trực tuyến, Thương mại điện tử</t>
        </is>
      </c>
      <c r="K20269" t="inlineStr">
        <is>
          <t>3 - 5 Năm</t>
        </is>
      </c>
      <c r="L20269" s="8">
        <f>HYPERLINK("https://careerviet.vn/vi/tim-viec-lam/senior-media-executive.35C63980.html","Xem chi tiết")</f>
        <v/>
      </c>
    </row>
    <row r="20270">
      <c r="B20270" s="9" t="n">
        <v>20268</v>
      </c>
      <c r="C20270" s="10" t="inlineStr">
        <is>
          <t>KỸ SƯ CƠ KHÍ (LAI VUNG - ĐỒNG THÁP)</t>
        </is>
      </c>
      <c r="D20270" s="10" t="inlineStr">
        <is>
          <t>CÔNG TY TNHH ĐẦU TƯ ITS</t>
        </is>
      </c>
      <c r="E20270" s="10" t="inlineStr">
        <is>
          <t>Lương:Cạnh tranh</t>
        </is>
      </c>
      <c r="F20270" s="10" t="inlineStr">
        <is>
          <t>Đồng Tháp</t>
        </is>
      </c>
      <c r="G20270" s="10" t="inlineStr">
        <is>
          <t>6</t>
        </is>
      </c>
      <c r="H20270" s="10" t="inlineStr">
        <is>
          <t>23/03/2026</t>
        </is>
      </c>
      <c r="I20270" s="10" t="inlineStr">
        <is>
          <t>17/03/2026</t>
        </is>
      </c>
      <c r="J20270" s="10" t="inlineStr">
        <is>
          <t>Cơ khí / Ô tô / Tự động hóa</t>
        </is>
      </c>
      <c r="K20270" s="10" t="inlineStr">
        <is>
          <t>Trên 2 Năm</t>
        </is>
      </c>
      <c r="L20270" s="11">
        <f>HYPERLINK("https://careerviet.vn/vi/tim-viec-lam/ky-su-co-khi-lai-vung-dong-thap.35C665EF.html","Xem chi tiết")</f>
        <v/>
      </c>
      <c r="M20270" s="10" t="n"/>
    </row>
    <row r="20271">
      <c r="B20271" s="7" t="n">
        <v>20269</v>
      </c>
      <c r="C20271" t="inlineStr">
        <is>
          <t>Kiểm toán viên chính - (Ưu tiên Nam)</t>
        </is>
      </c>
      <c r="D20271" t="inlineStr">
        <is>
          <t>Ngân hàng TMCP Đại Chúng Việt Nam - PVcomBank</t>
        </is>
      </c>
      <c r="E20271" t="inlineStr">
        <is>
          <t>Lương:Cạnh tranh</t>
        </is>
      </c>
      <c r="F20271" t="inlineStr">
        <is>
          <t>Hà Nội</t>
        </is>
      </c>
      <c r="G20271" t="inlineStr">
        <is>
          <t>6</t>
        </is>
      </c>
      <c r="H20271" t="inlineStr">
        <is>
          <t>23/03/2026</t>
        </is>
      </c>
      <c r="I20271" t="inlineStr">
        <is>
          <t>17/03/2026</t>
        </is>
      </c>
      <c r="J20271" t="inlineStr">
        <is>
          <t>Ngân hàng</t>
        </is>
      </c>
      <c r="K20271" t="inlineStr">
        <is>
          <t>2 - 3 Năm</t>
        </is>
      </c>
      <c r="L20271" s="8">
        <f>HYPERLINK("https://careerviet.vn/vi/tim-viec-lam/kiem-toan-vien-chinh-uu-tien-nam.35C639FC.html","Xem chi tiết")</f>
        <v/>
      </c>
    </row>
    <row r="20272">
      <c r="B20272" s="9" t="n">
        <v>20270</v>
      </c>
      <c r="C20272" s="10" t="inlineStr">
        <is>
          <t>Chuyên viên chăm sóc khách hàng</t>
        </is>
      </c>
      <c r="D20272" s="10" t="inlineStr">
        <is>
          <t>Công Ty TNHH Công Nghiệp Gin Hung Việt Nam</t>
        </is>
      </c>
      <c r="E20272" s="10" t="inlineStr">
        <is>
          <t>Lương:10 Tr - 12 Tr VND</t>
        </is>
      </c>
      <c r="F20272" s="10" t="inlineStr">
        <is>
          <t>Hồ Chí Minh</t>
        </is>
      </c>
      <c r="G20272" s="10" t="inlineStr">
        <is>
          <t>6</t>
        </is>
      </c>
      <c r="H20272" s="10" t="inlineStr">
        <is>
          <t>23/03/2026</t>
        </is>
      </c>
      <c r="I20272" s="10" t="inlineStr">
        <is>
          <t>17/03/2026</t>
        </is>
      </c>
      <c r="J20272" s="10" t="inlineStr">
        <is>
          <t>Thương mại điện tử, Điện / Điện tử / Điện lạnh / Điện công nghiệp</t>
        </is>
      </c>
      <c r="K20272" s="10" t="inlineStr">
        <is>
          <t>Lên đến 1 Năm</t>
        </is>
      </c>
      <c r="L20272" s="11">
        <f>HYPERLINK("https://careerviet.vn/vi/tim-viec-lam/chuyen-vien-cham-soc-khach-hang.35C63AB3.html","Xem chi tiết")</f>
        <v/>
      </c>
      <c r="M20272" s="10" t="n"/>
    </row>
    <row r="20273">
      <c r="B20273" s="7" t="n">
        <v>20271</v>
      </c>
      <c r="C20273" t="inlineStr">
        <is>
          <t>Chuyên Viên Nhân Sự C&amp;B</t>
        </is>
      </c>
      <c r="D20273" t="inlineStr">
        <is>
          <t>Công Ty Cổ Phần Thiết Kế Và Xây Dựng Giza Việt Nam</t>
        </is>
      </c>
      <c r="E20273" t="inlineStr">
        <is>
          <t>Lương:Cạnh tranh</t>
        </is>
      </c>
      <c r="F20273" t="inlineStr">
        <is>
          <t>Hà Nội</t>
        </is>
      </c>
      <c r="G20273" t="inlineStr">
        <is>
          <t>6</t>
        </is>
      </c>
      <c r="H20273" t="inlineStr">
        <is>
          <t>23/03/2026</t>
        </is>
      </c>
      <c r="I20273" t="inlineStr">
        <is>
          <t>17/03/2026</t>
        </is>
      </c>
      <c r="J20273" t="inlineStr">
        <is>
          <t>Hành chính / Thư ký, Nhân sự, Kế toán / Kiểm toán</t>
        </is>
      </c>
      <c r="K20273" t="inlineStr">
        <is>
          <t>2 - 5 Năm</t>
        </is>
      </c>
      <c r="L20273" s="8">
        <f>HYPERLINK("https://careerviet.vn/vi/tim-viec-lam/chuyen-vien-nhan-su-c-b.35C63920.html","Xem chi tiết")</f>
        <v/>
      </c>
    </row>
    <row r="20274">
      <c r="B20274" s="9" t="n">
        <v>20272</v>
      </c>
      <c r="C20274" s="10" t="inlineStr">
        <is>
          <t>Nhân Viên Lễ Tân</t>
        </is>
      </c>
      <c r="D20274" s="10" t="inlineStr">
        <is>
          <t>Tập Đoàn Kim Tín</t>
        </is>
      </c>
      <c r="E20274" s="10" t="inlineStr">
        <is>
          <t>Lương:Cạnh tranh</t>
        </is>
      </c>
      <c r="F20274" s="10" t="inlineStr">
        <is>
          <t>Hồ Chí Minh</t>
        </is>
      </c>
      <c r="G20274" s="10" t="inlineStr">
        <is>
          <t>6</t>
        </is>
      </c>
      <c r="H20274" s="10" t="inlineStr">
        <is>
          <t>23/03/2026</t>
        </is>
      </c>
      <c r="I20274" s="10" t="inlineStr">
        <is>
          <t>17/03/2026</t>
        </is>
      </c>
      <c r="J20274" s="10" t="inlineStr">
        <is>
          <t>Bán hàng / Kinh doanh, Bán lẻ / Bán sỉ, Nội ngoại thất</t>
        </is>
      </c>
      <c r="K20274" s="10" t="inlineStr">
        <is>
          <t>1 - 2 Năm</t>
        </is>
      </c>
      <c r="L20274" s="11">
        <f>HYPERLINK("https://careerviet.vn/vi/tim-viec-lam/nhan-vien-le-tan.35C63A1E.html","Xem chi tiết")</f>
        <v/>
      </c>
      <c r="M20274" s="10" t="n"/>
    </row>
    <row r="20275">
      <c r="B20275" s="7" t="n">
        <v>20273</v>
      </c>
      <c r="C20275" t="inlineStr">
        <is>
          <t>Lập trình viên FrontEnd</t>
        </is>
      </c>
      <c r="D20275" t="inlineStr">
        <is>
          <t>Công ty Cổ phần Masscom Việt Nam</t>
        </is>
      </c>
      <c r="E20275" t="inlineStr">
        <is>
          <t>Lương:15 Tr - 20 Tr VND</t>
        </is>
      </c>
      <c r="F20275" t="inlineStr">
        <is>
          <t>Hà Nội</t>
        </is>
      </c>
      <c r="G20275" t="inlineStr">
        <is>
          <t>6</t>
        </is>
      </c>
      <c r="H20275" t="inlineStr">
        <is>
          <t>23/03/2026</t>
        </is>
      </c>
      <c r="I20275" t="inlineStr">
        <is>
          <t>17/03/2026</t>
        </is>
      </c>
      <c r="J20275" t="inlineStr">
        <is>
          <t>CNTT - Phần mềm, CNTT - Phần cứng / Mạng</t>
        </is>
      </c>
      <c r="K20275" t="inlineStr">
        <is>
          <t>2 - 3 Năm</t>
        </is>
      </c>
      <c r="L20275" s="8">
        <f>HYPERLINK("https://careerviet.vn/vi/tim-viec-lam/lap-trinh-vien-frontend.35C63907.html","Xem chi tiết")</f>
        <v/>
      </c>
    </row>
    <row r="20276">
      <c r="B20276" s="9" t="n">
        <v>20274</v>
      </c>
      <c r="C20276" s="10" t="inlineStr">
        <is>
          <t>Chuyên viên Tài chính nguồn vốn (01 QL tín dụng doanh nghiệp và 01 QL tín dụng cá nhân)</t>
        </is>
      </c>
      <c r="D20276" s="10" t="inlineStr">
        <is>
          <t>CÔNG TY CỔ PHẦN CLOUD PROPERTY</t>
        </is>
      </c>
      <c r="E20276" s="10" t="inlineStr">
        <is>
          <t>Lương:20 Tr - 28 Tr VND</t>
        </is>
      </c>
      <c r="F20276" s="10" t="inlineStr">
        <is>
          <t>Hà Nội</t>
        </is>
      </c>
      <c r="G20276" s="10" t="inlineStr">
        <is>
          <t>6</t>
        </is>
      </c>
      <c r="H20276" s="10" t="inlineStr">
        <is>
          <t>23/03/2026</t>
        </is>
      </c>
      <c r="I20276" s="10" t="inlineStr">
        <is>
          <t>17/03/2026</t>
        </is>
      </c>
      <c r="J20276" s="10" t="inlineStr">
        <is>
          <t>Kế toán / Kiểm toán, Tài chính / Đầu tư, Ngân hàng</t>
        </is>
      </c>
      <c r="K20276" s="10" t="inlineStr">
        <is>
          <t>Trên 1 Năm</t>
        </is>
      </c>
      <c r="L20276" s="11">
        <f>HYPERLINK("https://careerviet.vn/vi/tim-viec-lam/chuyen-vien-tai-chinh-nguon-von-01-ql-tin-dung-doanh-nghiep-va-01-ql-tin-dung-ca-nhan.35C664A5.html","Xem chi tiết")</f>
        <v/>
      </c>
      <c r="M20276" s="10" t="n"/>
    </row>
    <row r="20277">
      <c r="B20277" s="7" t="n">
        <v>20275</v>
      </c>
      <c r="C20277" t="inlineStr">
        <is>
          <t>L&amp;D cum Admin Assistant</t>
        </is>
      </c>
      <c r="D20277" t="inlineStr">
        <is>
          <t>UrBox - Công ty Cổ phần Tiếp Thị Số Tô Quà</t>
        </is>
      </c>
      <c r="E20277" t="inlineStr">
        <is>
          <t>Lương:Cạnh tranh</t>
        </is>
      </c>
      <c r="F20277" t="inlineStr">
        <is>
          <t>Hồ Chí Minh</t>
        </is>
      </c>
      <c r="G20277" t="inlineStr">
        <is>
          <t>6</t>
        </is>
      </c>
      <c r="H20277" t="inlineStr">
        <is>
          <t>23/03/2026</t>
        </is>
      </c>
      <c r="I20277" t="inlineStr">
        <is>
          <t>17/03/2026</t>
        </is>
      </c>
      <c r="J20277" t="inlineStr">
        <is>
          <t>Giáo dục / Đào tạo, Hành chính / Thư ký, Nhân sự</t>
        </is>
      </c>
      <c r="K20277" t="inlineStr">
        <is>
          <t>1 - 2 Năm</t>
        </is>
      </c>
      <c r="L20277" s="8">
        <f>HYPERLINK("https://careerviet.vn/vi/tim-viec-lam/l-d-cum-admin-assistant.35C664F6.html","Xem chi tiết")</f>
        <v/>
      </c>
    </row>
    <row r="20278">
      <c r="B20278" s="9" t="n">
        <v>20276</v>
      </c>
      <c r="C20278" s="10" t="inlineStr">
        <is>
          <t>Nhân viên Kinh doanh</t>
        </is>
      </c>
      <c r="D20278" s="10" t="inlineStr">
        <is>
          <t>CÔNG TY CỔ PHẦN Á ĐÔNG ADG</t>
        </is>
      </c>
      <c r="E20278" s="10" t="inlineStr">
        <is>
          <t>Lương:15 Tr - 20 Tr VND</t>
        </is>
      </c>
      <c r="F20278" s="10" t="inlineStr">
        <is>
          <t>Hà Nội</t>
        </is>
      </c>
      <c r="G20278" s="10" t="inlineStr">
        <is>
          <t>6</t>
        </is>
      </c>
      <c r="H20278" s="10" t="inlineStr">
        <is>
          <t>23/03/2026</t>
        </is>
      </c>
      <c r="I20278" s="10" t="inlineStr">
        <is>
          <t>17/03/2026</t>
        </is>
      </c>
      <c r="J20278" s="10" t="inlineStr">
        <is>
          <t>Bán hàng / Kinh doanh, Bán Hàng Kỹ Thuật, Hóa học</t>
        </is>
      </c>
      <c r="K20278" s="10" t="inlineStr">
        <is>
          <t>Trên 1 Năm</t>
        </is>
      </c>
      <c r="L20278" s="11">
        <f>HYPERLINK("https://careerviet.vn/vi/tim-viec-lam/nhan-vien-kinh-doanh.35C6649A.html","Xem chi tiết")</f>
        <v/>
      </c>
      <c r="M20278" s="10" t="n"/>
    </row>
    <row r="20279">
      <c r="B20279" s="7" t="n">
        <v>20277</v>
      </c>
      <c r="C20279" t="inlineStr">
        <is>
          <t>Chuyên Viên Kinh Doanh (Sức khỏe/Bảo Hiểm)</t>
        </is>
      </c>
      <c r="D20279" t="inlineStr">
        <is>
          <t>Công ty cổ phần Dripcare Global Holding</t>
        </is>
      </c>
      <c r="E20279" t="inlineStr">
        <is>
          <t>Lương:Cạnh tranh</t>
        </is>
      </c>
      <c r="F20279" t="inlineStr">
        <is>
          <t>Hà Nội</t>
        </is>
      </c>
      <c r="G20279" t="inlineStr">
        <is>
          <t>6</t>
        </is>
      </c>
      <c r="H20279" t="inlineStr">
        <is>
          <t>23/03/2026</t>
        </is>
      </c>
      <c r="I20279" t="inlineStr">
        <is>
          <t>17/03/2026</t>
        </is>
      </c>
      <c r="J20279" t="inlineStr">
        <is>
          <t>Y tế / Chăm sóc sức khỏe / Thẩm mỹ / Làm đẹp, Bảo hiểm</t>
        </is>
      </c>
      <c r="K20279" t="inlineStr">
        <is>
          <t>2 - 3 Năm</t>
        </is>
      </c>
      <c r="L20279" s="8">
        <f>HYPERLINK("https://careerviet.vn/vi/tim-viec-lam/chuyen-vien-kinh-doanh-suc-khoe-bao-hiem.35C63AA2.html","Xem chi tiết")</f>
        <v/>
      </c>
    </row>
    <row r="20280">
      <c r="B20280" s="9" t="n">
        <v>20278</v>
      </c>
      <c r="C20280" s="10" t="inlineStr">
        <is>
          <t>Chuyên Gia Pháp Chế / Specialist Of Legal</t>
        </is>
      </c>
      <c r="D20280" s="10" t="inlineStr">
        <is>
          <t>CÔNG TY TÀI CHÍNH TÍN DỤNG TIÊU DÙNG TNHH MTV AEON</t>
        </is>
      </c>
      <c r="E20280" s="10" t="inlineStr">
        <is>
          <t>Lương:Cạnh tranh</t>
        </is>
      </c>
      <c r="F20280" s="10" t="inlineStr">
        <is>
          <t>Hà Nội</t>
        </is>
      </c>
      <c r="G20280" s="10" t="inlineStr">
        <is>
          <t>6</t>
        </is>
      </c>
      <c r="H20280" s="10" t="inlineStr">
        <is>
          <t>23/03/2026</t>
        </is>
      </c>
      <c r="I20280" s="10" t="inlineStr">
        <is>
          <t>17/03/2026</t>
        </is>
      </c>
      <c r="J20280" s="10" t="inlineStr">
        <is>
          <t>Luật / Pháp lý</t>
        </is>
      </c>
      <c r="K20280" s="10" t="inlineStr">
        <is>
          <t>Trên 5 Năm</t>
        </is>
      </c>
      <c r="L20280" s="11">
        <f>HYPERLINK("https://careerviet.vn/vi/tim-viec-lam/chuyen-gia-phap-che-specialist-of-legal.35C665FD.html","Xem chi tiết")</f>
        <v/>
      </c>
      <c r="M20280" s="10" t="n"/>
    </row>
    <row r="20281">
      <c r="B20281" s="7" t="n">
        <v>20279</v>
      </c>
      <c r="C20281" t="inlineStr">
        <is>
          <t>Chuyên viên Kinh doanh Thẩm định giá</t>
        </is>
      </c>
      <c r="D20281" t="inlineStr">
        <is>
          <t>CÔNG TY CỔ PHẦN CITICS</t>
        </is>
      </c>
      <c r="E20281" t="inlineStr">
        <is>
          <t>Lương:6 Tr - 20 Tr VND</t>
        </is>
      </c>
      <c r="F20281" t="inlineStr">
        <is>
          <t>Hà Nội</t>
        </is>
      </c>
      <c r="G20281" t="inlineStr">
        <is>
          <t>6</t>
        </is>
      </c>
      <c r="H20281" t="inlineStr">
        <is>
          <t>23/03/2026</t>
        </is>
      </c>
      <c r="I20281" t="inlineStr">
        <is>
          <t>17/03/2026</t>
        </is>
      </c>
      <c r="J20281" t="inlineStr">
        <is>
          <t>Bán hàng / Kinh doanh, Ngân hàng, Tài chính / Đầu tư</t>
        </is>
      </c>
      <c r="K20281" t="inlineStr">
        <is>
          <t>1 - 2 Năm</t>
        </is>
      </c>
      <c r="L20281" s="8">
        <f>HYPERLINK("https://careerviet.vn/vi/tim-viec-lam/chuyen-vien-kinh-doanh-tham-dinh-gia.35C639EB.html","Xem chi tiết")</f>
        <v/>
      </c>
    </row>
    <row r="20282">
      <c r="B20282" s="9" t="n">
        <v>20280</v>
      </c>
      <c r="C20282" s="10" t="inlineStr">
        <is>
          <t>CHUYÊN VIÊN TÀI CHÍNH</t>
        </is>
      </c>
      <c r="D20282" s="10" t="inlineStr">
        <is>
          <t>Công Ty Cổ Phần FDCG holding</t>
        </is>
      </c>
      <c r="E20282" s="10" t="inlineStr">
        <is>
          <t>Lương:20 Tr - 35 Tr VND</t>
        </is>
      </c>
      <c r="F20282" s="10" t="inlineStr">
        <is>
          <t>Hà Nội</t>
        </is>
      </c>
      <c r="G20282" s="10" t="inlineStr">
        <is>
          <t>10-04-2026</t>
        </is>
      </c>
      <c r="H20282" s="10" t="inlineStr">
        <is>
          <t>10/04/2026</t>
        </is>
      </c>
      <c r="I20282" s="10" t="inlineStr">
        <is>
          <t>17/03/2026</t>
        </is>
      </c>
      <c r="J20282" s="10" t="inlineStr">
        <is>
          <t>Kế toán / Kiểm toán, Ngân hàng, Tài chính / Đầu tư</t>
        </is>
      </c>
      <c r="K20282" s="10" t="inlineStr">
        <is>
          <t>3 - 5 Năm</t>
        </is>
      </c>
      <c r="L20282" s="11">
        <f>HYPERLINK("https://careerviet.vn/vi/tim-viec-lam/chuyen-vien-tai-chinh.35C638F7.html","Xem chi tiết")</f>
        <v/>
      </c>
      <c r="M20282" s="10" t="n"/>
    </row>
    <row r="20283">
      <c r="B20283" s="7" t="n">
        <v>20281</v>
      </c>
      <c r="C20283" t="inlineStr">
        <is>
          <t>Công Nhân Sản Xuất Partime/Fulltime/Thời vụ</t>
        </is>
      </c>
      <c r="D20283" t="inlineStr">
        <is>
          <t>Công ty TNHH Chế biến thực phẩm Đông Đô</t>
        </is>
      </c>
      <c r="E20283" t="inlineStr">
        <is>
          <t>Lương:7 Tr - 15 Tr VND</t>
        </is>
      </c>
      <c r="F20283" t="inlineStr">
        <is>
          <t>Hà Nội</t>
        </is>
      </c>
      <c r="G20283" t="inlineStr">
        <is>
          <t>6</t>
        </is>
      </c>
      <c r="H20283" t="inlineStr">
        <is>
          <t>23/03/2026</t>
        </is>
      </c>
      <c r="I20283" t="inlineStr">
        <is>
          <t>17/03/2026</t>
        </is>
      </c>
      <c r="J20283" t="inlineStr">
        <is>
          <t>Thực phẩm &amp; Đồ uống, Công nghệ thực phẩm / Dinh dưỡng, Sản xuất / Vận hành sản xuất</t>
        </is>
      </c>
      <c r="K20283" t="inlineStr">
        <is>
          <t>N/A</t>
        </is>
      </c>
      <c r="L20283" s="8">
        <f>HYPERLINK("https://careerviet.vn/vi/tim-viec-lam/cong-nhan-san-xuat-partime-fulltime-thoi-vu.35C63946.html","Xem chi tiết")</f>
        <v/>
      </c>
    </row>
    <row r="20284">
      <c r="B20284" s="9" t="n">
        <v>20282</v>
      </c>
      <c r="C20284" s="10" t="inlineStr">
        <is>
          <t>Sales Support &amp; Inside Sales Executive</t>
        </is>
      </c>
      <c r="D20284" s="10" t="inlineStr">
        <is>
          <t>CÔNG TY TNHH MSC VIỆT NAM</t>
        </is>
      </c>
      <c r="E20284" s="10" t="inlineStr">
        <is>
          <t>Lương:Cạnh tranh</t>
        </is>
      </c>
      <c r="F20284" s="10" t="inlineStr">
        <is>
          <t>Hồ Chí Minh</t>
        </is>
      </c>
      <c r="G20284" s="10" t="inlineStr">
        <is>
          <t>6</t>
        </is>
      </c>
      <c r="H20284" s="10" t="inlineStr">
        <is>
          <t>23/03/2026</t>
        </is>
      </c>
      <c r="I20284" s="10" t="inlineStr">
        <is>
          <t>17/03/2026</t>
        </is>
      </c>
      <c r="J20284" s="10" t="inlineStr">
        <is>
          <t>Bán hàng / Kinh doanh, Xuất nhập khẩu, Vận chuyển / Giao nhận / Kho vận</t>
        </is>
      </c>
      <c r="K20284" s="10" t="inlineStr">
        <is>
          <t>1 - 2 Năm</t>
        </is>
      </c>
      <c r="L20284" s="11">
        <f>HYPERLINK("https://careerviet.vn/vi/tim-viec-lam/sales-support-inside-sales-executive.35C664E6.html","Xem chi tiết")</f>
        <v/>
      </c>
      <c r="M20284" s="10" t="n"/>
    </row>
    <row r="20285">
      <c r="B20285" s="7" t="n">
        <v>20283</v>
      </c>
      <c r="C20285" t="inlineStr">
        <is>
          <t>Business Analyst</t>
        </is>
      </c>
      <c r="D20285" t="inlineStr">
        <is>
          <t>Công ty TNHH Onpoint</t>
        </is>
      </c>
      <c r="E20285" t="inlineStr">
        <is>
          <t>Lương:Cạnh tranh</t>
        </is>
      </c>
      <c r="F20285" t="inlineStr">
        <is>
          <t>Hồ Chí Minh</t>
        </is>
      </c>
      <c r="G20285" t="inlineStr">
        <is>
          <t>6</t>
        </is>
      </c>
      <c r="H20285" t="inlineStr">
        <is>
          <t>23/03/2026</t>
        </is>
      </c>
      <c r="I20285" t="inlineStr">
        <is>
          <t>17/03/2026</t>
        </is>
      </c>
      <c r="J20285" t="inlineStr">
        <is>
          <t>Thương mại điện tử, Kế toán / Kiểm toán, Tài chính / Đầu tư</t>
        </is>
      </c>
      <c r="K20285" t="inlineStr">
        <is>
          <t>2 - 3 Năm</t>
        </is>
      </c>
      <c r="L20285" s="8">
        <f>HYPERLINK("https://careerviet.vn/vi/tim-viec-lam/business-analyst.35C66584.html","Xem chi tiết")</f>
        <v/>
      </c>
    </row>
    <row r="20286">
      <c r="B20286" s="9" t="n">
        <v>20284</v>
      </c>
      <c r="C20286" s="10" t="inlineStr">
        <is>
          <t>NHÂN VIÊN THU MUA (Q7, HCM)</t>
        </is>
      </c>
      <c r="D20286" s="10" t="inlineStr">
        <is>
          <t>CÔNG TY CỔ PHẦN TẬP ĐOÀN XUẤT - NHẬP KHẨU TRÁI CÂY CHÁNH THU</t>
        </is>
      </c>
      <c r="E20286" s="10" t="inlineStr">
        <is>
          <t>Lương:Cạnh tranh</t>
        </is>
      </c>
      <c r="F20286" s="10" t="inlineStr">
        <is>
          <t>Hồ Chí Minh</t>
        </is>
      </c>
      <c r="G20286" s="10" t="inlineStr">
        <is>
          <t>4</t>
        </is>
      </c>
      <c r="H20286" s="10" t="inlineStr">
        <is>
          <t>21/03/2026</t>
        </is>
      </c>
      <c r="I20286" s="10" t="inlineStr">
        <is>
          <t>17/03/2026</t>
        </is>
      </c>
      <c r="J20286" s="10" t="inlineStr">
        <is>
          <t>Bán hàng / Kinh doanh, Sản xuất / Vận hành sản xuất, Thu mua / Vật tư</t>
        </is>
      </c>
      <c r="K20286" s="10" t="inlineStr">
        <is>
          <t>1 - 3 Năm</t>
        </is>
      </c>
      <c r="L20286" s="11">
        <f>HYPERLINK("https://careerviet.vn/vi/tim-viec-lam/nhan-vien-thu-mua-q7-hcm.35C68C35.html","Xem chi tiết")</f>
        <v/>
      </c>
      <c r="M20286" s="10" t="n"/>
    </row>
    <row r="20287">
      <c r="B20287" s="7" t="n">
        <v>20285</v>
      </c>
      <c r="C20287" t="inlineStr">
        <is>
          <t>126220 -  Kỹ Sư IT - Ngành May Mặc</t>
        </is>
      </c>
      <c r="D20287" t="inlineStr">
        <is>
          <t>RGF HR Agent Vietnam Co., LTD</t>
        </is>
      </c>
      <c r="E20287" t="inlineStr">
        <is>
          <t>Lương:Cạnh tranh</t>
        </is>
      </c>
      <c r="F20287" t="inlineStr">
        <is>
          <t>Hà Nội</t>
        </is>
      </c>
      <c r="G20287" t="inlineStr">
        <is>
          <t>5</t>
        </is>
      </c>
      <c r="H20287" t="inlineStr">
        <is>
          <t>22/03/2026</t>
        </is>
      </c>
      <c r="I20287" t="inlineStr">
        <is>
          <t>17/03/2026</t>
        </is>
      </c>
      <c r="J20287" t="inlineStr">
        <is>
          <t>CNTT - Phần mềm</t>
        </is>
      </c>
      <c r="K20287" t="inlineStr">
        <is>
          <t>Trên 3 Năm</t>
        </is>
      </c>
      <c r="L20287" s="8">
        <f>HYPERLINK("https://careerviet.vn/vi/tim-viec-lam/126220-ky-su-it-nganh-may-mac.35C6386E.html","Xem chi tiết")</f>
        <v/>
      </c>
    </row>
    <row r="20288">
      <c r="B20288" s="9" t="n">
        <v>20286</v>
      </c>
      <c r="C20288" s="10" t="inlineStr">
        <is>
          <t>IT Helpdesk/ Infrastructure/ System</t>
        </is>
      </c>
      <c r="D20288" s="10" t="inlineStr">
        <is>
          <t>TCL (Vietnam) Corporation Limited</t>
        </is>
      </c>
      <c r="E20288" s="10" t="inlineStr">
        <is>
          <t>Lương:Cạnh tranh</t>
        </is>
      </c>
      <c r="F20288" s="10" t="inlineStr">
        <is>
          <t>Hồ Chí Minh</t>
        </is>
      </c>
      <c r="G20288" s="10" t="inlineStr">
        <is>
          <t>6</t>
        </is>
      </c>
      <c r="H20288" s="10" t="inlineStr">
        <is>
          <t>22/03/2026</t>
        </is>
      </c>
      <c r="I20288" s="10" t="inlineStr">
        <is>
          <t>17/03/2026</t>
        </is>
      </c>
      <c r="J20288" s="10" t="inlineStr">
        <is>
          <t>CNTT - Phần mềm, CNTT - Phần cứng / Mạng</t>
        </is>
      </c>
      <c r="K20288" s="10" t="inlineStr">
        <is>
          <t>null - null Năm</t>
        </is>
      </c>
      <c r="L20288" s="11">
        <f>HYPERLINK("https://careerviet.vn/vi/tim-viec-lam/it-helpdesk-infrastructure-system.35C68C34.html","Xem chi tiết")</f>
        <v/>
      </c>
      <c r="M20288" s="10" t="n"/>
    </row>
    <row r="20289">
      <c r="B20289" s="7" t="n">
        <v>20287</v>
      </c>
      <c r="C20289" t="inlineStr">
        <is>
          <t>NHÂN VIÊN KẾ TOÁN KÍCH HOẠT THẺ XE LÀM VIỆC TẠI HÀ NỘI</t>
        </is>
      </c>
      <c r="D20289" t="inlineStr">
        <is>
          <t>Hoàng Huy Group</t>
        </is>
      </c>
      <c r="E20289" t="inlineStr">
        <is>
          <t>Lương:9 Tr - 9 Tr VND</t>
        </is>
      </c>
      <c r="F20289" t="inlineStr">
        <is>
          <t>Hà Nội</t>
        </is>
      </c>
      <c r="G20289" t="inlineStr">
        <is>
          <t>6</t>
        </is>
      </c>
      <c r="H20289" t="inlineStr">
        <is>
          <t>23/03/2026</t>
        </is>
      </c>
      <c r="I20289" t="inlineStr">
        <is>
          <t>17/03/2026</t>
        </is>
      </c>
      <c r="J20289" t="inlineStr">
        <is>
          <t>Kế toán / Kiểm toán</t>
        </is>
      </c>
      <c r="K20289" t="inlineStr">
        <is>
          <t>1 - 2 Năm</t>
        </is>
      </c>
      <c r="L20289" s="8">
        <f>HYPERLINK("https://careerviet.vn/vi/tim-viec-lam/nhan-vien-ke-toan-kich-hoat-the-xe-lam-viec-tai-ha-noi.35C63884.html","Xem chi tiết")</f>
        <v/>
      </c>
    </row>
    <row r="20290">
      <c r="B20290" s="9" t="n">
        <v>20288</v>
      </c>
      <c r="C20290" s="10" t="inlineStr">
        <is>
          <t>Nhân viên kế toán</t>
        </is>
      </c>
      <c r="D20290" s="10" t="inlineStr">
        <is>
          <t>Công Ty TNHH TM Huỳnh Thành</t>
        </is>
      </c>
      <c r="E20290" s="10" t="inlineStr">
        <is>
          <t>Lương:6,5 Tr - 8 Tr VND</t>
        </is>
      </c>
      <c r="F20290" s="10" t="inlineStr">
        <is>
          <t>Bến Tre</t>
        </is>
      </c>
      <c r="G20290" s="10" t="inlineStr">
        <is>
          <t>6</t>
        </is>
      </c>
      <c r="H20290" s="10" t="inlineStr">
        <is>
          <t>23/03/2026</t>
        </is>
      </c>
      <c r="I20290" s="10" t="inlineStr">
        <is>
          <t>17/03/2026</t>
        </is>
      </c>
      <c r="J20290" s="10" t="inlineStr">
        <is>
          <t>Bán hàng / Kinh doanh</t>
        </is>
      </c>
      <c r="K20290" s="10" t="inlineStr">
        <is>
          <t>1 - 2 Năm</t>
        </is>
      </c>
      <c r="L20290" s="11">
        <f>HYPERLINK("https://careerviet.vn/vi/tim-viec-lam/nhan-vien-ke-toan.35C66579.html","Xem chi tiết")</f>
        <v/>
      </c>
      <c r="M20290" s="10" t="n"/>
    </row>
    <row r="20291">
      <c r="B20291" s="7" t="n">
        <v>20289</v>
      </c>
      <c r="C20291" t="inlineStr">
        <is>
          <t>QUẢN LY ĐIỀU PHỐI GIAO HÀNG</t>
        </is>
      </c>
      <c r="D20291" t="inlineStr">
        <is>
          <t>Hỷ Lâm Môn &amp; L'amour Bakery</t>
        </is>
      </c>
      <c r="E20291" t="inlineStr">
        <is>
          <t>Lương:10 Tr - 15 Tr VND</t>
        </is>
      </c>
      <c r="F20291" t="inlineStr">
        <is>
          <t>Hồ Chí Minh</t>
        </is>
      </c>
      <c r="G20291" t="inlineStr">
        <is>
          <t>4</t>
        </is>
      </c>
      <c r="H20291" t="inlineStr">
        <is>
          <t>21/03/2026</t>
        </is>
      </c>
      <c r="I20291" t="inlineStr">
        <is>
          <t>17/03/2026</t>
        </is>
      </c>
      <c r="J20291" t="inlineStr">
        <is>
          <t>Vận chuyển / Giao nhận / Kho vận</t>
        </is>
      </c>
      <c r="K20291" t="inlineStr">
        <is>
          <t>1 - 2 Năm</t>
        </is>
      </c>
      <c r="L20291" s="8">
        <f>HYPERLINK("https://careerviet.vn/vi/tim-viec-lam/quan-ly-dieu-phoi-giao-hang.35C68C30.html","Xem chi tiết")</f>
        <v/>
      </c>
    </row>
    <row r="20292">
      <c r="B20292" s="9" t="n">
        <v>20290</v>
      </c>
      <c r="C20292" s="10" t="inlineStr">
        <is>
          <t>Nhân viên bảo trì tòa nhà</t>
        </is>
      </c>
      <c r="D20292" s="10" t="inlineStr">
        <is>
          <t>Bảo mật</t>
        </is>
      </c>
      <c r="E20292" s="10" t="inlineStr">
        <is>
          <t>Lương:Cạnh tranh</t>
        </is>
      </c>
      <c r="F20292" s="10" t="inlineStr">
        <is>
          <t>Hồ Chí Minh</t>
        </is>
      </c>
      <c r="G20292" s="10" t="inlineStr">
        <is>
          <t>21-02-2026</t>
        </is>
      </c>
      <c r="H20292" s="10" t="inlineStr">
        <is>
          <t>14/03/2026</t>
        </is>
      </c>
      <c r="I20292" s="10" t="inlineStr">
        <is>
          <t>17/03/2026</t>
        </is>
      </c>
      <c r="J20292" s="10" t="inlineStr">
        <is>
          <t>Điện / Điện tử / Điện lạnh / Điện công nghiệp, Cơ khí / Ô tô / Tự động hóa, Bảo trì / Sửa chữa</t>
        </is>
      </c>
      <c r="K20292" s="10" t="inlineStr">
        <is>
          <t>N/A</t>
        </is>
      </c>
      <c r="L20292" s="11">
        <f>HYPERLINK("https://careerviet.vn/vi/tim-viec-lam/nhan-vien-bao-tri-toa-nha.35C68B83.html","Xem chi tiết")</f>
        <v/>
      </c>
      <c r="M20292" s="10" t="n"/>
    </row>
    <row r="20293">
      <c r="B20293" s="7" t="n">
        <v>20291</v>
      </c>
      <c r="C20293" t="inlineStr">
        <is>
          <t>Nhân viên Sale Admin Chi nhánh Hồ Chí Minh</t>
        </is>
      </c>
      <c r="D20293" t="inlineStr">
        <is>
          <t>CÔNG TY CỔ PHẦN THỰC PHẨM FUJI</t>
        </is>
      </c>
      <c r="E20293" t="inlineStr">
        <is>
          <t>Lương:Cạnh tranh</t>
        </is>
      </c>
      <c r="F20293" t="inlineStr">
        <is>
          <t>Hồ Chí Minh</t>
        </is>
      </c>
      <c r="G20293" t="inlineStr">
        <is>
          <t>31-03-2026</t>
        </is>
      </c>
      <c r="H20293" t="inlineStr">
        <is>
          <t>31/03/2026</t>
        </is>
      </c>
      <c r="I20293" t="inlineStr">
        <is>
          <t>17/03/2026</t>
        </is>
      </c>
      <c r="J20293" t="inlineStr">
        <is>
          <t>Bán hàng / Kinh doanh, Nhân sự, Vận chuyển / Giao nhận / Kho vận</t>
        </is>
      </c>
      <c r="K20293" t="inlineStr">
        <is>
          <t>1 - 3 Năm</t>
        </is>
      </c>
      <c r="L20293" s="8">
        <f>HYPERLINK("https://careerviet.vn/vi/tim-viec-lam/nhan-vien-sale-admin-chi-nhanh-ho-chi-minh.35C68C41.html","Xem chi tiết")</f>
        <v/>
      </c>
    </row>
    <row r="20294">
      <c r="B20294" s="9" t="n">
        <v>20292</v>
      </c>
      <c r="C20294" s="10" t="inlineStr">
        <is>
          <t>NHÂN VIÊN VĂN PHÒNG TIẾNG HOA</t>
        </is>
      </c>
      <c r="D20294" s="10" t="inlineStr">
        <is>
          <t>Công Ty TNHH Okia Optical Việt Nam</t>
        </is>
      </c>
      <c r="E20294" s="10" t="inlineStr">
        <is>
          <t>Lương:Cạnh tranh</t>
        </is>
      </c>
      <c r="F20294" s="10" t="inlineStr">
        <is>
          <t>Long An</t>
        </is>
      </c>
      <c r="G20294" s="10" t="inlineStr">
        <is>
          <t>5</t>
        </is>
      </c>
      <c r="H20294" s="10" t="inlineStr">
        <is>
          <t>22/03/2026</t>
        </is>
      </c>
      <c r="I20294" s="10" t="inlineStr">
        <is>
          <t>17/03/2026</t>
        </is>
      </c>
      <c r="J20294" s="10" t="inlineStr">
        <is>
          <t>Dịch vụ khách hàng, Hành chính / Thư ký</t>
        </is>
      </c>
      <c r="K20294" s="10" t="inlineStr">
        <is>
          <t>N/A</t>
        </is>
      </c>
      <c r="L20294" s="11">
        <f>HYPERLINK("https://careerviet.vn/vi/tim-viec-lam/nhan-vien-van-phong-tieng-hoa.35C63704.html","Xem chi tiết")</f>
        <v/>
      </c>
      <c r="M20294" s="10" t="n"/>
    </row>
    <row r="20295">
      <c r="B20295" s="7" t="n">
        <v>20293</v>
      </c>
      <c r="C20295" t="inlineStr">
        <is>
          <t>Junior Accountant/ Kế Toán Viên.</t>
        </is>
      </c>
      <c r="D20295" t="inlineStr">
        <is>
          <t>Shin Yeong Project Management Co., Ltd.</t>
        </is>
      </c>
      <c r="E20295" t="inlineStr">
        <is>
          <t>Lương:Cạnh tranh</t>
        </is>
      </c>
      <c r="F20295" t="inlineStr">
        <is>
          <t>Hồ Chí Minh</t>
        </is>
      </c>
      <c r="G20295" t="inlineStr">
        <is>
          <t>5</t>
        </is>
      </c>
      <c r="H20295" t="inlineStr">
        <is>
          <t>22/03/2026</t>
        </is>
      </c>
      <c r="I20295" t="inlineStr">
        <is>
          <t>17/03/2026</t>
        </is>
      </c>
      <c r="J20295" t="inlineStr">
        <is>
          <t>Xây dựng, Kế toán / Kiểm toán, Bất động sản</t>
        </is>
      </c>
      <c r="K20295" t="inlineStr">
        <is>
          <t>1 - 3 Năm</t>
        </is>
      </c>
      <c r="L20295" s="8">
        <f>HYPERLINK("https://careerviet.vn/vi/tim-viec-lam/junior-accountant-ke-toan-vien.35C63740.html","Xem chi tiết")</f>
        <v/>
      </c>
    </row>
    <row r="20296">
      <c r="B20296" s="9" t="n">
        <v>20294</v>
      </c>
      <c r="C20296" s="10" t="inlineStr">
        <is>
          <t>Chuyên viên PCCC &amp; ME</t>
        </is>
      </c>
      <c r="D20296" s="10" t="inlineStr">
        <is>
          <t>Công ty Cổ phần CANIFA</t>
        </is>
      </c>
      <c r="E20296" s="10" t="inlineStr">
        <is>
          <t>Lương:16 Tr - 25 Tr VND</t>
        </is>
      </c>
      <c r="F20296" s="10" t="inlineStr">
        <is>
          <t>Hà Nội</t>
        </is>
      </c>
      <c r="G20296" s="10" t="inlineStr">
        <is>
          <t>5</t>
        </is>
      </c>
      <c r="H20296" s="10" t="inlineStr">
        <is>
          <t>22/03/2026</t>
        </is>
      </c>
      <c r="I20296" s="10" t="inlineStr">
        <is>
          <t>17/03/2026</t>
        </is>
      </c>
      <c r="J20296" s="10" t="inlineStr">
        <is>
          <t>Điện / Điện tử / Điện lạnh / Điện công nghiệp, Bảo trì / Sửa chữa, Xây dựng</t>
        </is>
      </c>
      <c r="K20296" s="10" t="inlineStr">
        <is>
          <t>5 - 10 Năm</t>
        </is>
      </c>
      <c r="L20296" s="11">
        <f>HYPERLINK("https://careerviet.vn/vi/tim-viec-lam/chuyen-vien-pccc-me.35C637C8.html","Xem chi tiết")</f>
        <v/>
      </c>
      <c r="M20296" s="10" t="n"/>
    </row>
    <row r="20297">
      <c r="B20297" s="7" t="n">
        <v>20295</v>
      </c>
      <c r="C20297" t="inlineStr">
        <is>
          <t>TECHNICAL SUPPORT  HÓA POLYMER TIẾNG ANH TỐT</t>
        </is>
      </c>
      <c r="D20297" t="inlineStr">
        <is>
          <t>CÔNG TY TNHH SX TM CN NHỰA Á CHÂU</t>
        </is>
      </c>
      <c r="E20297" t="inlineStr">
        <is>
          <t>Lương:9 Tr - 15 Tr VND</t>
        </is>
      </c>
      <c r="F20297" t="inlineStr">
        <is>
          <t>Hồ Chí Minh</t>
        </is>
      </c>
      <c r="G20297" t="inlineStr">
        <is>
          <t>5</t>
        </is>
      </c>
      <c r="H20297" t="inlineStr">
        <is>
          <t>22/03/2026</t>
        </is>
      </c>
      <c r="I20297" t="inlineStr">
        <is>
          <t>17/03/2026</t>
        </is>
      </c>
      <c r="J20297" t="inlineStr">
        <is>
          <t>Hóa học, Bán hàng / Kinh doanh, Mới tốt nghiệp / Thực tập</t>
        </is>
      </c>
      <c r="K20297" t="inlineStr">
        <is>
          <t>Lên đến 1 Năm</t>
        </is>
      </c>
      <c r="L20297" s="8">
        <f>HYPERLINK("https://careerviet.vn/vi/tim-viec-lam/technical-support-hoa-polymer-tieng-anh-tot.35C63830.html","Xem chi tiết")</f>
        <v/>
      </c>
    </row>
    <row r="20298">
      <c r="B20298" s="9" t="n">
        <v>20296</v>
      </c>
      <c r="C20298" s="10" t="inlineStr">
        <is>
          <t>PROJECT MANAGER - QUẢN LÝ DỰ ÁN HOÀN THIỆN NỘI THẤT - LÀM VIỆC TẠI  HÀ NỘI- ĐÀ NẴNG- HẠ LONG</t>
        </is>
      </c>
      <c r="D20298" s="10" t="inlineStr">
        <is>
          <t>Công Ty TNHH Xây Dựng và Nội Thất Cao Cấp Alliance</t>
        </is>
      </c>
      <c r="E20298" s="10" t="inlineStr">
        <is>
          <t>Lương:Cạnh tranh</t>
        </is>
      </c>
      <c r="F20298" s="10" t="inlineStr">
        <is>
          <t>Hà NộiĐà NẵngQuảng Ninh</t>
        </is>
      </c>
      <c r="G20298" s="10" t="inlineStr">
        <is>
          <t>5</t>
        </is>
      </c>
      <c r="H20298" s="10" t="inlineStr">
        <is>
          <t>22/03/2026</t>
        </is>
      </c>
      <c r="I20298" s="10" t="inlineStr">
        <is>
          <t>17/03/2026</t>
        </is>
      </c>
      <c r="J20298" s="10" t="inlineStr">
        <is>
          <t>Kiến trúc, Xây dựng, Nội ngoại thất</t>
        </is>
      </c>
      <c r="K20298" s="10" t="inlineStr">
        <is>
          <t>Trên 4 Năm</t>
        </is>
      </c>
      <c r="L20298" s="11">
        <f>HYPERLINK("https://careerviet.vn/vi/tim-viec-lam/project-manager-quan-ly-du-an-hoan-thien-noi-that-lam-viec-tai-ha-noi-da-nang-ha-long.35C636FF.html","Xem chi tiết")</f>
        <v/>
      </c>
      <c r="M20298" s="10" t="n"/>
    </row>
    <row r="20299">
      <c r="B20299" s="7" t="n">
        <v>20297</v>
      </c>
      <c r="C20299" t="inlineStr">
        <is>
          <t>Trợ lý Chủ tịch kiêm Thư ký HĐQT</t>
        </is>
      </c>
      <c r="D20299" t="inlineStr">
        <is>
          <t>CÔNG TY CỔ PHẦN GREMSY</t>
        </is>
      </c>
      <c r="E20299" t="inlineStr">
        <is>
          <t>Lương:Cạnh tranh</t>
        </is>
      </c>
      <c r="F20299" t="inlineStr">
        <is>
          <t>Hồ Chí Minh</t>
        </is>
      </c>
      <c r="G20299" t="inlineStr">
        <is>
          <t>5</t>
        </is>
      </c>
      <c r="H20299" t="inlineStr">
        <is>
          <t>22/03/2026</t>
        </is>
      </c>
      <c r="I20299" t="inlineStr">
        <is>
          <t>17/03/2026</t>
        </is>
      </c>
      <c r="J20299" t="inlineStr">
        <is>
          <t>Hành chính / Thư ký</t>
        </is>
      </c>
      <c r="K20299" t="inlineStr">
        <is>
          <t>2 - 5 Năm</t>
        </is>
      </c>
      <c r="L20299" s="8">
        <f>HYPERLINK("https://careerviet.vn/vi/tim-viec-lam/tro-ly-chu-tich-kiem-thu-ky-hdqt.35C66323.html","Xem chi tiết")</f>
        <v/>
      </c>
    </row>
    <row r="20300">
      <c r="B20300" s="9" t="n">
        <v>20298</v>
      </c>
      <c r="C20300" s="10" t="inlineStr">
        <is>
          <t>Giám sát bán hàng kênh GT-khu vực Đăk Lăk</t>
        </is>
      </c>
      <c r="D20300" s="10" t="inlineStr">
        <is>
          <t>Công ty Cổ Phần Hóa Mỹ Phẩm Mỹ Hảo</t>
        </is>
      </c>
      <c r="E20300" s="10" t="inlineStr">
        <is>
          <t>Lương:12 Tr - 18 Tr VND</t>
        </is>
      </c>
      <c r="F20300" s="10" t="inlineStr">
        <is>
          <t>Dak Lak</t>
        </is>
      </c>
      <c r="G20300" s="10" t="inlineStr">
        <is>
          <t>5</t>
        </is>
      </c>
      <c r="H20300" s="10" t="inlineStr">
        <is>
          <t>22/03/2026</t>
        </is>
      </c>
      <c r="I20300" s="10" t="inlineStr">
        <is>
          <t>17/03/2026</t>
        </is>
      </c>
      <c r="J20300" s="10" t="inlineStr">
        <is>
          <t>Bán lẻ / Bán sỉ, Bán hàng / Kinh doanh, Hàng gia dụng / Chăm sóc cá nhân</t>
        </is>
      </c>
      <c r="K20300" s="10" t="inlineStr">
        <is>
          <t>Lên đến 2 Năm</t>
        </is>
      </c>
      <c r="L20300" s="11">
        <f>HYPERLINK("https://careerviet.vn/vi/tim-viec-lam/giam-sat-ban-hang-kenh-gt-khu-vuc-dak-lak.35C63814.html","Xem chi tiết")</f>
        <v/>
      </c>
      <c r="M20300" s="10" t="n"/>
    </row>
    <row r="20301">
      <c r="B20301" s="7" t="n">
        <v>20299</v>
      </c>
      <c r="C20301" t="inlineStr">
        <is>
          <t>Quản lý sản xuất</t>
        </is>
      </c>
      <c r="D20301" t="inlineStr">
        <is>
          <t>Công ty TNHH Thiết bị tự động hóa Kim khí Thăng Long</t>
        </is>
      </c>
      <c r="E20301" t="inlineStr">
        <is>
          <t>Lương:18 Tr - 28 Tr VND</t>
        </is>
      </c>
      <c r="F20301" t="inlineStr">
        <is>
          <t>Hà Nội</t>
        </is>
      </c>
      <c r="G20301" t="inlineStr">
        <is>
          <t>5</t>
        </is>
      </c>
      <c r="H20301" t="inlineStr">
        <is>
          <t>22/03/2026</t>
        </is>
      </c>
      <c r="I20301" t="inlineStr">
        <is>
          <t>17/03/2026</t>
        </is>
      </c>
      <c r="J20301" t="inlineStr">
        <is>
          <t>Cơ khí / Ô tô / Tự động hóa, Sản xuất / Vận hành sản xuất</t>
        </is>
      </c>
      <c r="K20301" t="inlineStr">
        <is>
          <t>5 - 10 Năm</t>
        </is>
      </c>
      <c r="L20301" s="8">
        <f>HYPERLINK("https://careerviet.vn/vi/tim-viec-lam/quan-ly-san-xuat.35C637F3.html","Xem chi tiết")</f>
        <v/>
      </c>
    </row>
    <row r="20302">
      <c r="B20302" s="9" t="n">
        <v>20300</v>
      </c>
      <c r="C20302" s="10" t="inlineStr">
        <is>
          <t>CHUYÊN VIÊN TƯ VẤN ĐẦU TƯ KHCN</t>
        </is>
      </c>
      <c r="D20302" s="10" t="inlineStr">
        <is>
          <t>VDSC - Công ty CP Chứng khoán Rồng Việt</t>
        </is>
      </c>
      <c r="E20302" s="10" t="inlineStr">
        <is>
          <t>Lương:7 Tr - 20 Tr VND</t>
        </is>
      </c>
      <c r="F20302" s="10" t="inlineStr">
        <is>
          <t>Hồ Chí Minh</t>
        </is>
      </c>
      <c r="G20302" s="10" t="inlineStr">
        <is>
          <t>6</t>
        </is>
      </c>
      <c r="H20302" s="10" t="inlineStr">
        <is>
          <t>23/03/2026</t>
        </is>
      </c>
      <c r="I20302" s="10" t="inlineStr">
        <is>
          <t>17/03/2026</t>
        </is>
      </c>
      <c r="J20302" s="10" t="inlineStr">
        <is>
          <t>Ngân hàng, Chứng khoán, Tài chính / Đầu tư</t>
        </is>
      </c>
      <c r="K20302" s="10" t="inlineStr">
        <is>
          <t>1 - 2 Năm</t>
        </is>
      </c>
      <c r="L20302" s="11">
        <f>HYPERLINK("https://careerviet.vn/vi/tim-viec-lam/chuyen-vien-tu-van-dau-tu-khcn.35C66491.html","Xem chi tiết")</f>
        <v/>
      </c>
      <c r="M20302" s="10" t="n"/>
    </row>
    <row r="20303">
      <c r="B20303" s="7" t="n">
        <v>20301</v>
      </c>
      <c r="C20303" t="inlineStr">
        <is>
          <t>Nhân viên Đào Tạo</t>
        </is>
      </c>
      <c r="D20303" t="inlineStr">
        <is>
          <t>Công Ty TNHH Apparel Far Eastern (Việt Nam)</t>
        </is>
      </c>
      <c r="E20303" t="inlineStr">
        <is>
          <t>Lương:13 Tr - 18 Tr VND</t>
        </is>
      </c>
      <c r="F20303" t="inlineStr">
        <is>
          <t>Bình Dương</t>
        </is>
      </c>
      <c r="G20303" t="inlineStr">
        <is>
          <t>6</t>
        </is>
      </c>
      <c r="H20303" t="inlineStr">
        <is>
          <t>23/03/2026</t>
        </is>
      </c>
      <c r="I20303" t="inlineStr">
        <is>
          <t>17/03/2026</t>
        </is>
      </c>
      <c r="J20303" t="inlineStr">
        <is>
          <t>Hành chính / Thư ký, Nhân sự, Giáo dục / Đào tạo</t>
        </is>
      </c>
      <c r="K20303" t="inlineStr">
        <is>
          <t>N/A</t>
        </is>
      </c>
      <c r="L20303" s="8">
        <f>HYPERLINK("https://careerviet.vn/vi/tim-viec-lam/nhan-vien-dao-tao.35C665D1.html","Xem chi tiết")</f>
        <v/>
      </c>
    </row>
    <row r="20304">
      <c r="B20304" s="9" t="n">
        <v>20302</v>
      </c>
      <c r="C20304" s="10" t="inlineStr">
        <is>
          <t>Chuyên viên cao cấp Phát triển Kinh doanh Ngoại hối</t>
        </is>
      </c>
      <c r="D20304" s="10" t="inlineStr">
        <is>
          <t>Ngân Hàng TMCP Quốc Tế Việt Nam</t>
        </is>
      </c>
      <c r="E20304" s="10" t="inlineStr">
        <is>
          <t>Lương:Cạnh tranh</t>
        </is>
      </c>
      <c r="F20304" s="10" t="inlineStr">
        <is>
          <t>Hà Nội</t>
        </is>
      </c>
      <c r="G20304" s="10" t="inlineStr">
        <is>
          <t>6</t>
        </is>
      </c>
      <c r="H20304" s="10" t="inlineStr">
        <is>
          <t>23/03/2026</t>
        </is>
      </c>
      <c r="I20304" s="10" t="inlineStr">
        <is>
          <t>17/03/2026</t>
        </is>
      </c>
      <c r="J20304" s="10" t="inlineStr">
        <is>
          <t>Ngân hàng</t>
        </is>
      </c>
      <c r="K20304" s="10" t="inlineStr">
        <is>
          <t>1 - 5 Năm</t>
        </is>
      </c>
      <c r="L20304" s="11">
        <f>HYPERLINK("https://careerviet.vn/vi/tim-viec-lam/chuyen-vien-cao-cap-phat-trien-kinh-doanh-ngoai-hoi.35C665B0.html","Xem chi tiết")</f>
        <v/>
      </c>
      <c r="M20304" s="10" t="n"/>
    </row>
    <row r="20305">
      <c r="B20305" s="7" t="n">
        <v>20303</v>
      </c>
      <c r="C20305" t="inlineStr">
        <is>
          <t>Trưởng nhóm chất lượng- Thu nhập lên đến 40 triệu</t>
        </is>
      </c>
      <c r="D20305" t="inlineStr">
        <is>
          <t>Công Ty Cổ Phần Hai Bốn Bảy</t>
        </is>
      </c>
      <c r="E20305" t="inlineStr">
        <is>
          <t>Lương:30 Tr - 40 Tr VND</t>
        </is>
      </c>
      <c r="F20305" t="inlineStr">
        <is>
          <t>Hồ Chí Minh</t>
        </is>
      </c>
      <c r="G20305" t="inlineStr">
        <is>
          <t>6</t>
        </is>
      </c>
      <c r="H20305" t="inlineStr">
        <is>
          <t>23/03/2026</t>
        </is>
      </c>
      <c r="I20305" t="inlineStr">
        <is>
          <t>17/03/2026</t>
        </is>
      </c>
      <c r="J20305" t="inlineStr">
        <is>
          <t>Quản lý chất lượng (QA/QC)</t>
        </is>
      </c>
      <c r="K20305" t="inlineStr">
        <is>
          <t>2 - 3 Năm</t>
        </is>
      </c>
      <c r="L20305" s="8">
        <f>HYPERLINK("https://careerviet.vn/vi/tim-viec-lam/truong-nhom-chat-luong-thu-nhap-len-den-40-trieu.35C66634.html","Xem chi tiết")</f>
        <v/>
      </c>
    </row>
    <row r="20306">
      <c r="B20306" s="9" t="n">
        <v>20304</v>
      </c>
      <c r="C20306" s="10" t="inlineStr">
        <is>
          <t>[NOVA CONSUMER] Finance Planning &amp; Analysis Manager (FP&amp;A Manager)</t>
        </is>
      </c>
      <c r="D20306" s="10" t="inlineStr">
        <is>
          <t>Công ty CP Thực Phẩm Xuxifarm</t>
        </is>
      </c>
      <c r="E20306" s="10" t="inlineStr">
        <is>
          <t>Lương:Cạnh tranh</t>
        </is>
      </c>
      <c r="F20306" s="10" t="inlineStr">
        <is>
          <t>Hồ Chí Minh</t>
        </is>
      </c>
      <c r="G20306" s="10" t="inlineStr">
        <is>
          <t>5</t>
        </is>
      </c>
      <c r="H20306" s="10" t="inlineStr">
        <is>
          <t>22/03/2026</t>
        </is>
      </c>
      <c r="I20306" s="10" t="inlineStr">
        <is>
          <t>17/03/2026</t>
        </is>
      </c>
      <c r="J20306" s="10" t="inlineStr">
        <is>
          <t>Tiếp thị / Marketing, Kế toán / Kiểm toán, Sản xuất / Vận hành sản xuất</t>
        </is>
      </c>
      <c r="K20306" s="10" t="inlineStr">
        <is>
          <t>5 - 7 Năm</t>
        </is>
      </c>
      <c r="L20306" s="11">
        <f>HYPERLINK("https://careerviet.vn/vi/tim-viec-lam/nova-consumer-finance-planning-analysis-manager-fp-a-manager.35C637D8.html","Xem chi tiết")</f>
        <v/>
      </c>
      <c r="M20306" s="10" t="n"/>
    </row>
    <row r="20307">
      <c r="B20307" s="7" t="n">
        <v>20305</v>
      </c>
      <c r="C20307" t="inlineStr">
        <is>
          <t>[KHU VỰC MIỀN NAM] CHUYÊN VIÊN DỊCH VỤ KHCN – RETAIL CUSTOMER SERVICE OFFICER</t>
        </is>
      </c>
      <c r="D20307" t="inlineStr">
        <is>
          <t>Shinhan Bank Vietnam</t>
        </is>
      </c>
      <c r="E20307" t="inlineStr">
        <is>
          <t>Lương:Cạnh tranh</t>
        </is>
      </c>
      <c r="F20307" t="inlineStr">
        <is>
          <t>KV Đông Nam Bộ</t>
        </is>
      </c>
      <c r="G20307" t="inlineStr">
        <is>
          <t>6</t>
        </is>
      </c>
      <c r="H20307" t="inlineStr">
        <is>
          <t>23/03/2026</t>
        </is>
      </c>
      <c r="I20307" t="inlineStr">
        <is>
          <t>17/03/2026</t>
        </is>
      </c>
      <c r="J20307" t="inlineStr">
        <is>
          <t>Kế toán / Kiểm toán, Hành chính / Thư ký, Quảng cáo / Đối ngoại / Truyền Thông</t>
        </is>
      </c>
      <c r="K20307" t="inlineStr">
        <is>
          <t>Trên 1 Năm</t>
        </is>
      </c>
      <c r="L20307" s="8">
        <f>HYPERLINK("https://careerviet.vn/vi/tim-viec-lam/khu-vuc-mien-nam-chuyen-vien-dich-vu-khcn-retail-customer-service-officer.35C638CD.html","Xem chi tiết")</f>
        <v/>
      </c>
    </row>
    <row r="20308">
      <c r="B20308" s="9" t="n">
        <v>20306</v>
      </c>
      <c r="C20308" s="10" t="inlineStr">
        <is>
          <t>Chuyên Viên Cao Cấp Quản Lý Chất Lượng (QA)</t>
        </is>
      </c>
      <c r="D20308" s="10" t="inlineStr">
        <is>
          <t>CÔNG TY TNHH MTV CHẾ TÁC VÀ KINH DOANH TRANG SỨC PNJ</t>
        </is>
      </c>
      <c r="E20308" s="10" t="inlineStr">
        <is>
          <t>Lương:20 Tr - 24 Tr VND</t>
        </is>
      </c>
      <c r="F20308" s="10" t="inlineStr">
        <is>
          <t>Hồ Chí Minh</t>
        </is>
      </c>
      <c r="G20308" s="10" t="inlineStr">
        <is>
          <t>6</t>
        </is>
      </c>
      <c r="H20308" s="10" t="inlineStr">
        <is>
          <t>23/03/2026</t>
        </is>
      </c>
      <c r="I20308" s="10" t="inlineStr">
        <is>
          <t>17/03/2026</t>
        </is>
      </c>
      <c r="J20308" s="10" t="inlineStr">
        <is>
          <t>Sản xuất / Vận hành sản xuất, Quản lý chất lượng (QA/QC), An toàn lao động</t>
        </is>
      </c>
      <c r="K20308" s="10" t="inlineStr">
        <is>
          <t>3 - 4 Năm</t>
        </is>
      </c>
      <c r="L20308" s="11">
        <f>HYPERLINK("https://careerviet.vn/vi/tim-viec-lam/chuyen-vien-cao-cap-quan-ly-chat-luong-qa.35C665D9.html","Xem chi tiết")</f>
        <v/>
      </c>
      <c r="M20308" s="10" t="n"/>
    </row>
    <row r="20309">
      <c r="B20309" s="7" t="n">
        <v>20307</v>
      </c>
      <c r="C20309" t="inlineStr">
        <is>
          <t>EXPORT SALES</t>
        </is>
      </c>
      <c r="D20309" t="inlineStr">
        <is>
          <t>Công ty TNHH Cobi One</t>
        </is>
      </c>
      <c r="E20309" t="inlineStr">
        <is>
          <t>Lương:25 Tr - 30 Tr VND</t>
        </is>
      </c>
      <c r="F20309" t="inlineStr">
        <is>
          <t>Hồ Chí Minh</t>
        </is>
      </c>
      <c r="G20309" t="inlineStr">
        <is>
          <t>6</t>
        </is>
      </c>
      <c r="H20309" t="inlineStr">
        <is>
          <t>23/03/2026</t>
        </is>
      </c>
      <c r="I20309" t="inlineStr">
        <is>
          <t>17/03/2026</t>
        </is>
      </c>
      <c r="J20309" t="inlineStr">
        <is>
          <t>Bán hàng / Kinh doanh</t>
        </is>
      </c>
      <c r="K20309" t="inlineStr">
        <is>
          <t>2 - 5 Năm</t>
        </is>
      </c>
      <c r="L20309" s="8">
        <f>HYPERLINK("https://careerviet.vn/vi/tim-viec-lam/export-sales.35C638C1.html","Xem chi tiết")</f>
        <v/>
      </c>
    </row>
    <row r="20310">
      <c r="B20310" s="9" t="n">
        <v>20308</v>
      </c>
      <c r="C20310" s="10" t="inlineStr">
        <is>
          <t>Chuyên viên Tư vấn Giáo Dục (Education Consultant)</t>
        </is>
      </c>
      <c r="D20310" s="10" t="inlineStr">
        <is>
          <t>CÔNG TY TNHH TRƯỜNG QUỐC TẾ PALFISH SINGAPORE – VIETNAM</t>
        </is>
      </c>
      <c r="E20310" s="10" t="inlineStr">
        <is>
          <t>Lương:8 Tr - 10 Tr VND</t>
        </is>
      </c>
      <c r="F20310" s="10" t="inlineStr">
        <is>
          <t>Hồ Chí Minh</t>
        </is>
      </c>
      <c r="G20310" s="10" t="inlineStr">
        <is>
          <t>6</t>
        </is>
      </c>
      <c r="H20310" s="10" t="inlineStr">
        <is>
          <t>23/03/2026</t>
        </is>
      </c>
      <c r="I20310" s="10" t="inlineStr">
        <is>
          <t>17/03/2026</t>
        </is>
      </c>
      <c r="J20310" s="10" t="inlineStr">
        <is>
          <t>Bán hàng / Kinh doanh, Tư vấn, Giáo dục / Đào tạo</t>
        </is>
      </c>
      <c r="K20310" s="10" t="inlineStr">
        <is>
          <t>Trên 1 Năm</t>
        </is>
      </c>
      <c r="L20310" s="11">
        <f>HYPERLINK("https://careerviet.vn/vi/tim-viec-lam/chuyen-vien-tu-van-giao-duc-education-consultant.35C66565.html","Xem chi tiết")</f>
        <v/>
      </c>
      <c r="M20310" s="10" t="n"/>
    </row>
    <row r="20311">
      <c r="B20311" s="7" t="n">
        <v>20309</v>
      </c>
      <c r="C20311" t="inlineStr">
        <is>
          <t>Kỹ Sư Giám Sát Hạ Tầng (Chủ Đầu Tư)</t>
        </is>
      </c>
      <c r="D20311" t="inlineStr">
        <is>
          <t>Tập Đoàn Tân Á Đại Thành</t>
        </is>
      </c>
      <c r="E20311" t="inlineStr">
        <is>
          <t>Lương:25 Tr - 28 Tr VND</t>
        </is>
      </c>
      <c r="F20311" t="inlineStr">
        <is>
          <t>Hồ Chí MinhKiên GiangHà Nội</t>
        </is>
      </c>
      <c r="G20311" t="inlineStr">
        <is>
          <t>10-04-2026</t>
        </is>
      </c>
      <c r="H20311" t="inlineStr">
        <is>
          <t>10/04/2026</t>
        </is>
      </c>
      <c r="I20311" t="inlineStr">
        <is>
          <t>17/03/2026</t>
        </is>
      </c>
      <c r="J20311" t="inlineStr">
        <is>
          <t>Kiến trúc, Xây dựng, Bất động sản</t>
        </is>
      </c>
      <c r="K20311" t="inlineStr">
        <is>
          <t>Trên 5 Năm</t>
        </is>
      </c>
      <c r="L20311" s="8">
        <f>HYPERLINK("https://careerviet.vn/vi/tim-viec-lam/ky-su-giam-sat-ha-tang-chu-dau-tu.35C638F5.html","Xem chi tiết")</f>
        <v/>
      </c>
    </row>
    <row r="20312">
      <c r="B20312" s="9" t="n">
        <v>20310</v>
      </c>
      <c r="C20312" s="10" t="inlineStr">
        <is>
          <t>Trưởng Phòng Kinh Doanh - Kênh Tiểu Thương - ĐakLak/ Gia Lai/ Bình Thuận/ Đông Hà/ Bình Định, Quảng Ngãi, Nha Trang - TA177</t>
        </is>
      </c>
      <c r="D20312" s="10" t="inlineStr">
        <is>
          <t>Ngân Hàng TMCP Việt Nam Thịnh Vượng - VPBANK</t>
        </is>
      </c>
      <c r="E20312" s="10" t="inlineStr">
        <is>
          <t>Lương:Cạnh tranh</t>
        </is>
      </c>
      <c r="F20312" s="10" t="inlineStr">
        <is>
          <t>Dak LakKhánh HòaQuảng Trị</t>
        </is>
      </c>
      <c r="G20312" s="10" t="inlineStr">
        <is>
          <t>6</t>
        </is>
      </c>
      <c r="H20312" s="10" t="inlineStr">
        <is>
          <t>23/03/2026</t>
        </is>
      </c>
      <c r="I20312" s="10" t="inlineStr">
        <is>
          <t>17/03/2026</t>
        </is>
      </c>
      <c r="J20312" s="10" t="inlineStr">
        <is>
          <t>Bán hàng / Kinh doanh, Ngân hàng, Tài chính / Đầu tư</t>
        </is>
      </c>
      <c r="K20312" s="10" t="inlineStr">
        <is>
          <t>3 - 5 Năm</t>
        </is>
      </c>
      <c r="L20312" s="11">
        <f>HYPERLINK("https://careerviet.vn/vi/tim-viec-lam/truong-phong-kinh-doanh-kenh-tieu-thuong-daklak-gia-lai-binh-thuan-dong-ha-binh-dinh-quang-ngai-nha-trang-ta177.35C66624.html","Xem chi tiết")</f>
        <v/>
      </c>
      <c r="M20312" s="10" t="n"/>
    </row>
    <row r="20313">
      <c r="B20313" s="7" t="n">
        <v>20311</v>
      </c>
      <c r="C20313" t="inlineStr">
        <is>
          <t>Nhân Viên Vẽ Minh Họa  - Sách Giải Trí</t>
        </is>
      </c>
      <c r="D20313" t="inlineStr">
        <is>
          <t>Công Ty Cổ Phần TEECOM</t>
        </is>
      </c>
      <c r="E20313" t="inlineStr">
        <is>
          <t>Lương:Cạnh tranh</t>
        </is>
      </c>
      <c r="F20313" t="inlineStr">
        <is>
          <t>Hồ Chí Minh</t>
        </is>
      </c>
      <c r="G20313" t="inlineStr">
        <is>
          <t>6</t>
        </is>
      </c>
      <c r="H20313" t="inlineStr">
        <is>
          <t>23/03/2026</t>
        </is>
      </c>
      <c r="I20313" t="inlineStr">
        <is>
          <t>17/03/2026</t>
        </is>
      </c>
      <c r="J20313" t="inlineStr">
        <is>
          <t>Tiếp thị / Marketing, Tiếp thị trực tuyến, Thương mại điện tử</t>
        </is>
      </c>
      <c r="K20313" t="inlineStr">
        <is>
          <t>1 - 3 Năm</t>
        </is>
      </c>
      <c r="L20313" s="8">
        <f>HYPERLINK("https://careerviet.vn/vi/tim-viec-lam/nhan-vien-ve-minh-hoa-sach-giai-tri.35C664BC.html","Xem chi tiết")</f>
        <v/>
      </c>
    </row>
    <row r="20314">
      <c r="B20314" s="9" t="n">
        <v>20312</v>
      </c>
      <c r="C20314" s="10" t="inlineStr">
        <is>
          <t>Kỹ sư Thiết kế PCB (PCB Design Engineer) - Tiếng Anh</t>
        </is>
      </c>
      <c r="D20314" s="10" t="inlineStr">
        <is>
          <t>CÔNG TY TNHH ELECTRONIC TRIPOD VIỆT NAM (CHÂU ĐỨC)</t>
        </is>
      </c>
      <c r="E20314" s="10" t="inlineStr">
        <is>
          <t>Lương:Cạnh tranh</t>
        </is>
      </c>
      <c r="F20314" s="10" t="inlineStr">
        <is>
          <t>Bà Rịa - Vũng Tàu</t>
        </is>
      </c>
      <c r="G20314" s="10" t="inlineStr">
        <is>
          <t>6</t>
        </is>
      </c>
      <c r="H20314" s="10" t="inlineStr">
        <is>
          <t>23/03/2026</t>
        </is>
      </c>
      <c r="I20314" s="10" t="inlineStr">
        <is>
          <t>17/03/2026</t>
        </is>
      </c>
      <c r="J20314" s="10" t="inlineStr">
        <is>
          <t>Điện / Điện tử / Điện lạnh / Điện công nghiệp, CNTT - Phần mềm, CNTT - Phần cứng / Mạng</t>
        </is>
      </c>
      <c r="K20314" s="10" t="inlineStr">
        <is>
          <t>N/A</t>
        </is>
      </c>
      <c r="L20314" s="11">
        <f>HYPERLINK("https://careerviet.vn/vi/tim-viec-lam/ky-su-thiet-ke-pcb-pcb-design-engineer-tieng-anh.35C66546.html","Xem chi tiết")</f>
        <v/>
      </c>
      <c r="M20314" s="10" t="n"/>
    </row>
    <row r="20315">
      <c r="B20315" s="7" t="n">
        <v>20313</v>
      </c>
      <c r="C20315" t="inlineStr">
        <is>
          <t>QUẢN  LÝ KHU VỰC - GIA LAI</t>
        </is>
      </c>
      <c r="D20315" t="inlineStr">
        <is>
          <t>Công Ty TNHH BEST Logistics Technology (Việt Nam)</t>
        </is>
      </c>
      <c r="E20315" t="inlineStr">
        <is>
          <t>Lương:25 Tr - 35 Tr VND</t>
        </is>
      </c>
      <c r="F20315" t="inlineStr">
        <is>
          <t>Gia Lai</t>
        </is>
      </c>
      <c r="G20315" t="inlineStr">
        <is>
          <t>6</t>
        </is>
      </c>
      <c r="H20315" t="inlineStr">
        <is>
          <t>23/03/2026</t>
        </is>
      </c>
      <c r="I20315" t="inlineStr">
        <is>
          <t>17/03/2026</t>
        </is>
      </c>
      <c r="J20315" t="inlineStr">
        <is>
          <t>Vận chuyển / Giao nhận / Kho vận</t>
        </is>
      </c>
      <c r="K20315" t="inlineStr">
        <is>
          <t>2 - 3 Năm</t>
        </is>
      </c>
      <c r="L20315" s="8">
        <f>HYPERLINK("https://careerviet.vn/vi/tim-viec-lam/quan-ly-khu-vuc-gia-lai.35C66574.html","Xem chi tiết")</f>
        <v/>
      </c>
    </row>
    <row r="20316">
      <c r="B20316" s="9" t="n">
        <v>20314</v>
      </c>
      <c r="C20316" s="10" t="inlineStr">
        <is>
          <t>NHÂN VIÊN KHO DƯỢC HỖ TRỢ CỤM ĐAK LAK - KHÁNH HÒA</t>
        </is>
      </c>
      <c r="D20316" s="10" t="inlineStr">
        <is>
          <t>Công Ty Cổ Phần Vacxin Việt Nam</t>
        </is>
      </c>
      <c r="E20316" s="10" t="inlineStr">
        <is>
          <t>Lương:7 Tr - 9 Tr VND</t>
        </is>
      </c>
      <c r="F20316" s="10" t="inlineStr">
        <is>
          <t>KV Tây Nguyên</t>
        </is>
      </c>
      <c r="G20316" s="10" t="inlineStr">
        <is>
          <t>6</t>
        </is>
      </c>
      <c r="H20316" s="10" t="inlineStr">
        <is>
          <t>23/03/2026</t>
        </is>
      </c>
      <c r="I20316" s="10" t="inlineStr">
        <is>
          <t>17/03/2026</t>
        </is>
      </c>
      <c r="J20316" s="10" t="inlineStr">
        <is>
          <t>Dược phẩm/ Hóa Mỹ Phẩm, Y tế / Chăm sóc sức khỏe / Thẩm mỹ / Làm đẹp, Vận chuyển / Giao nhận / Kho vận</t>
        </is>
      </c>
      <c r="K20316" s="10" t="inlineStr">
        <is>
          <t>N/A</t>
        </is>
      </c>
      <c r="L20316" s="11">
        <f>HYPERLINK("https://careerviet.vn/vi/tim-viec-lam/nhan-vien-kho-duoc-ho-tro-cum-dak-lak-khanh-hoa.35C63989.html","Xem chi tiết")</f>
        <v/>
      </c>
      <c r="M20316" s="10" t="n"/>
    </row>
    <row r="20317">
      <c r="B20317" s="7" t="n">
        <v>20315</v>
      </c>
      <c r="C20317" t="inlineStr">
        <is>
          <t>Financial Planning &amp; Analysis Manager</t>
        </is>
      </c>
      <c r="D20317" t="inlineStr">
        <is>
          <t>Công Ty Cổ Phần Tập Đoàn Đầu Tư Địa Ốc No Va</t>
        </is>
      </c>
      <c r="E20317" t="inlineStr">
        <is>
          <t>Lương:Cạnh tranh</t>
        </is>
      </c>
      <c r="F20317" t="inlineStr">
        <is>
          <t>Hồ Chí Minh</t>
        </is>
      </c>
      <c r="G20317" t="inlineStr">
        <is>
          <t>6</t>
        </is>
      </c>
      <c r="H20317" t="inlineStr">
        <is>
          <t>23/03/2026</t>
        </is>
      </c>
      <c r="I20317" t="inlineStr">
        <is>
          <t>17/03/2026</t>
        </is>
      </c>
      <c r="J20317" t="inlineStr">
        <is>
          <t>Kế toán / Kiểm toán, Tài chính / Đầu tư, Bất động sản</t>
        </is>
      </c>
      <c r="K20317" t="inlineStr">
        <is>
          <t>5 - 8 Năm</t>
        </is>
      </c>
      <c r="L20317" s="8">
        <f>HYPERLINK("https://careerviet.vn/vi/tim-viec-lam/financial-planning-analysis-manager.35C664A0.html","Xem chi tiết")</f>
        <v/>
      </c>
    </row>
    <row r="20318">
      <c r="B20318" s="9" t="n">
        <v>20316</v>
      </c>
      <c r="C20318" s="10" t="inlineStr">
        <is>
          <t>NHÂN VIÊN CHĂM SÓC THÚ CƯNG</t>
        </is>
      </c>
      <c r="D20318" s="10" t="inlineStr">
        <is>
          <t>Stay Studio Apartment - Hoàng Long Sơn 2 Hotel</t>
        </is>
      </c>
      <c r="E20318" s="10" t="inlineStr">
        <is>
          <t>Lương:Trên 10 Tr VND</t>
        </is>
      </c>
      <c r="F20318" s="10" t="inlineStr">
        <is>
          <t>Hồ Chí Minh</t>
        </is>
      </c>
      <c r="G20318" s="10" t="inlineStr">
        <is>
          <t>6</t>
        </is>
      </c>
      <c r="H20318" s="10" t="inlineStr">
        <is>
          <t>23/03/2026</t>
        </is>
      </c>
      <c r="I20318" s="10" t="inlineStr">
        <is>
          <t>17/03/2026</t>
        </is>
      </c>
      <c r="J20318" s="10" t="inlineStr">
        <is>
          <t>Dịch vụ khách hàng, Lao động phổ thông, Chăn nuôi / Thú y</t>
        </is>
      </c>
      <c r="K20318" s="10" t="inlineStr">
        <is>
          <t>N/A</t>
        </is>
      </c>
      <c r="L20318" s="11">
        <f>HYPERLINK("https://careerviet.vn/vi/tim-viec-lam/nhan-vien-cham-soc-thu-cung.35C63A19.html","Xem chi tiết")</f>
        <v/>
      </c>
      <c r="M20318" s="10" t="n"/>
    </row>
    <row r="20319">
      <c r="B20319" s="7" t="n">
        <v>20317</v>
      </c>
      <c r="C20319" t="inlineStr">
        <is>
          <t>[LẠNG SƠN] KỸ SƯ MEP</t>
        </is>
      </c>
      <c r="D20319" t="inlineStr">
        <is>
          <t>Tổng công ty Xây dựng số 1 – CTCP</t>
        </is>
      </c>
      <c r="E20319" t="inlineStr">
        <is>
          <t>Lương:Cạnh tranh</t>
        </is>
      </c>
      <c r="F20319" t="inlineStr">
        <is>
          <t>Lạng Sơn</t>
        </is>
      </c>
      <c r="G20319" t="inlineStr">
        <is>
          <t>6</t>
        </is>
      </c>
      <c r="H20319" t="inlineStr">
        <is>
          <t>23/03/2026</t>
        </is>
      </c>
      <c r="I20319" t="inlineStr">
        <is>
          <t>17/03/2026</t>
        </is>
      </c>
      <c r="J20319" t="inlineStr">
        <is>
          <t>Xây dựng, Điện / Điện tử / Điện lạnh / Điện công nghiệp</t>
        </is>
      </c>
      <c r="K20319" t="inlineStr">
        <is>
          <t>3 - 5 Năm</t>
        </is>
      </c>
      <c r="L20319" s="8">
        <f>HYPERLINK("https://careerviet.vn/vi/tim-viec-lam/lang-son-ky-su-mep.35C63935.html","Xem chi tiết")</f>
        <v/>
      </c>
    </row>
    <row r="20320">
      <c r="B20320" s="9" t="n">
        <v>20318</v>
      </c>
      <c r="C20320" s="10" t="inlineStr">
        <is>
          <t>Kế Toán Viên (Accountant Staff)</t>
        </is>
      </c>
      <c r="D20320" s="10" t="inlineStr">
        <is>
          <t>Công Ty TNHH Synthite Việt Nam</t>
        </is>
      </c>
      <c r="E20320" s="10" t="inlineStr">
        <is>
          <t>Lương:Cạnh tranh</t>
        </is>
      </c>
      <c r="F20320" s="10" t="inlineStr">
        <is>
          <t>Bình Dương</t>
        </is>
      </c>
      <c r="G20320" s="10" t="inlineStr">
        <is>
          <t>6</t>
        </is>
      </c>
      <c r="H20320" s="10" t="inlineStr">
        <is>
          <t>23/03/2026</t>
        </is>
      </c>
      <c r="I20320" s="10" t="inlineStr">
        <is>
          <t>17/03/2026</t>
        </is>
      </c>
      <c r="J20320" s="10" t="inlineStr">
        <is>
          <t>Kế toán / Kiểm toán, Tài chính / Đầu tư, Luật / Pháp lý</t>
        </is>
      </c>
      <c r="K20320" s="10" t="inlineStr">
        <is>
          <t>1 - 2 Năm</t>
        </is>
      </c>
      <c r="L20320" s="11">
        <f>HYPERLINK("https://careerviet.vn/vi/tim-viec-lam/ke-toan-vien-accountant-staff.35C665BD.html","Xem chi tiết")</f>
        <v/>
      </c>
      <c r="M20320" s="10" t="n"/>
    </row>
    <row r="20321">
      <c r="B20321" s="7" t="n">
        <v>20319</v>
      </c>
      <c r="C20321" t="inlineStr">
        <is>
          <t>NHÂN VIÊN KHO DƯỢC HỖ TRỢ CỤM BÌNH DƯƠNG</t>
        </is>
      </c>
      <c r="D20321" t="inlineStr">
        <is>
          <t>Công Ty Cổ Phần Vacxin Việt Nam</t>
        </is>
      </c>
      <c r="E20321" t="inlineStr">
        <is>
          <t>Lương:7 Tr - 9 Tr VND</t>
        </is>
      </c>
      <c r="F20321" t="inlineStr">
        <is>
          <t>Bình Dương</t>
        </is>
      </c>
      <c r="G20321" t="inlineStr">
        <is>
          <t>6</t>
        </is>
      </c>
      <c r="H20321" t="inlineStr">
        <is>
          <t>23/03/2026</t>
        </is>
      </c>
      <c r="I20321" t="inlineStr">
        <is>
          <t>17/03/2026</t>
        </is>
      </c>
      <c r="J20321" t="inlineStr">
        <is>
          <t>Dược phẩm/ Hóa Mỹ Phẩm, Y tế / Chăm sóc sức khỏe / Thẩm mỹ / Làm đẹp, Vận chuyển / Giao nhận / Kho vận</t>
        </is>
      </c>
      <c r="K20321" t="inlineStr">
        <is>
          <t>N/A</t>
        </is>
      </c>
      <c r="L20321" s="8">
        <f>HYPERLINK("https://careerviet.vn/vi/tim-viec-lam/nhan-vien-kho-duoc-ho-tro-cum-binh-duong.35C63966.html","Xem chi tiết")</f>
        <v/>
      </c>
    </row>
    <row r="20322">
      <c r="B20322" s="9" t="n">
        <v>20320</v>
      </c>
      <c r="C20322" s="10" t="inlineStr">
        <is>
          <t>NHÂN VIÊN KHỐI VẬN HÀNH (KATINAT - D1 CONCEPTS - PHÊ LA)</t>
        </is>
      </c>
      <c r="D20322" s="10" t="inlineStr">
        <is>
          <t>D1 Concepts Corporation</t>
        </is>
      </c>
      <c r="E20322" s="10" t="inlineStr">
        <is>
          <t>Lương:7 Tr - 15 Tr VND</t>
        </is>
      </c>
      <c r="F20322" s="10" t="inlineStr">
        <is>
          <t>Hồ Chí Minh</t>
        </is>
      </c>
      <c r="G20322" s="10" t="inlineStr">
        <is>
          <t>6</t>
        </is>
      </c>
      <c r="H20322" s="10" t="inlineStr">
        <is>
          <t>23/03/2026</t>
        </is>
      </c>
      <c r="I20322" s="10" t="inlineStr">
        <is>
          <t>17/03/2026</t>
        </is>
      </c>
      <c r="J20322" s="10" t="inlineStr">
        <is>
          <t>Thực phẩm &amp; Đồ uống</t>
        </is>
      </c>
      <c r="K20322" s="10" t="inlineStr">
        <is>
          <t>N/A</t>
        </is>
      </c>
      <c r="L20322" s="11">
        <f>HYPERLINK("https://careerviet.vn/vi/tim-viec-lam/nhan-vien-khoi-van-hanh-katinat-d1-concepts-phe-la.35C63AC4.html","Xem chi tiết")</f>
        <v/>
      </c>
      <c r="M20322" s="10" t="n"/>
    </row>
    <row r="20323">
      <c r="B20323" s="7" t="n">
        <v>20321</v>
      </c>
      <c r="C20323" t="inlineStr">
        <is>
          <t>[TÂY NINH] NHÂN VIÊN NGHIÊN CỨU VÀ CÔNG NGHỆ</t>
        </is>
      </c>
      <c r="D20323" t="inlineStr">
        <is>
          <t>Công Ty TNHH CJ Vina Agri</t>
        </is>
      </c>
      <c r="E20323" t="inlineStr">
        <is>
          <t>Lương:Cạnh tranh</t>
        </is>
      </c>
      <c r="F20323" t="inlineStr">
        <is>
          <t>Long An</t>
        </is>
      </c>
      <c r="G20323" t="inlineStr">
        <is>
          <t>6</t>
        </is>
      </c>
      <c r="H20323" t="inlineStr">
        <is>
          <t>23/03/2026</t>
        </is>
      </c>
      <c r="I20323" t="inlineStr">
        <is>
          <t>17/03/2026</t>
        </is>
      </c>
      <c r="J20323" t="inlineStr">
        <is>
          <t>Chăn nuôi / Thú y</t>
        </is>
      </c>
      <c r="K20323" t="inlineStr">
        <is>
          <t>1 - 2 Năm</t>
        </is>
      </c>
      <c r="L20323" s="8">
        <f>HYPERLINK("https://careerviet.vn/vi/tim-viec-lam/tay-ninh-nhan-vien-nghien-cuu-va-cong-nghe.35C63A24.html","Xem chi tiết")</f>
        <v/>
      </c>
    </row>
    <row r="20324">
      <c r="B20324" s="9" t="n">
        <v>20322</v>
      </c>
      <c r="C20324" s="10" t="inlineStr">
        <is>
          <t>Nhân viên kế toán tiền lương kiêm nhân sự</t>
        </is>
      </c>
      <c r="D20324" s="10" t="inlineStr">
        <is>
          <t>CÔNG TY TNHH THƯƠNG MẠI CÔNG NGHỆ ĐẠI TÀI LỘC</t>
        </is>
      </c>
      <c r="E20324" s="10" t="inlineStr">
        <is>
          <t>Lương:8 Tr - 12 Tr VND</t>
        </is>
      </c>
      <c r="F20324" s="10" t="inlineStr">
        <is>
          <t>Hồ Chí Minh</t>
        </is>
      </c>
      <c r="G20324" s="10" t="inlineStr">
        <is>
          <t>6</t>
        </is>
      </c>
      <c r="H20324" s="10" t="inlineStr">
        <is>
          <t>23/03/2026</t>
        </is>
      </c>
      <c r="I20324" s="10" t="inlineStr">
        <is>
          <t>17/03/2026</t>
        </is>
      </c>
      <c r="J20324" s="10" t="inlineStr">
        <is>
          <t>Kế toán / Kiểm toán</t>
        </is>
      </c>
      <c r="K20324" s="10" t="inlineStr">
        <is>
          <t>1 - 5 Năm</t>
        </is>
      </c>
      <c r="L20324" s="11">
        <f>HYPERLINK("https://careerviet.vn/vi/tim-viec-lam/nhan-vien-ke-toan-tien-luong-kiem-nhan-su.35C6397E.html","Xem chi tiết")</f>
        <v/>
      </c>
      <c r="M20324" s="10" t="n"/>
    </row>
    <row r="20325">
      <c r="B20325" s="7" t="n">
        <v>20323</v>
      </c>
      <c r="C20325" t="inlineStr">
        <is>
          <t>Nhân Viên Tư Vấn Sản Phẩm tại Điện Máy Xanh Đông Hưng, Thái Bình</t>
        </is>
      </c>
      <c r="D20325" t="inlineStr">
        <is>
          <t>Tập Đoàn Karofi Holding</t>
        </is>
      </c>
      <c r="E20325" t="inlineStr">
        <is>
          <t>Lương:8 Tr - 15 Tr VND</t>
        </is>
      </c>
      <c r="F20325" t="inlineStr">
        <is>
          <t>Thái Bình</t>
        </is>
      </c>
      <c r="G20325" t="inlineStr">
        <is>
          <t>6</t>
        </is>
      </c>
      <c r="H20325" t="inlineStr">
        <is>
          <t>23/03/2026</t>
        </is>
      </c>
      <c r="I20325" t="inlineStr">
        <is>
          <t>17/03/2026</t>
        </is>
      </c>
      <c r="J20325" t="inlineStr">
        <is>
          <t>Bán hàng / Kinh doanh, Hàng gia dụng / Chăm sóc cá nhân, Điện / Điện tử / Điện lạnh / Điện công nghiệp</t>
        </is>
      </c>
      <c r="K20325" t="inlineStr">
        <is>
          <t>Lên đến 1 Năm</t>
        </is>
      </c>
      <c r="L20325" s="8">
        <f>HYPERLINK("https://careerviet.vn/vi/tim-viec-lam/nhan-vien-tu-van-san-pham-tai-dien-may-xanh-dong-hung-thai-binh.35C6394C.html","Xem chi tiết")</f>
        <v/>
      </c>
    </row>
    <row r="20326">
      <c r="B20326" s="9" t="n">
        <v>20324</v>
      </c>
      <c r="C20326" s="10" t="inlineStr">
        <is>
          <t>Bác sĩ da liễu - Cơ sở Đồng Nai (Có chỗ ở)</t>
        </is>
      </c>
      <c r="D20326" s="10" t="inlineStr">
        <is>
          <t>CÔNG TY TNHH THẨM MỸ QUỐC TẾ LINH ANH</t>
        </is>
      </c>
      <c r="E20326" s="10" t="inlineStr">
        <is>
          <t>Lương:35 Tr - 60 Tr VND</t>
        </is>
      </c>
      <c r="F20326" s="10" t="inlineStr">
        <is>
          <t>Đồng Nai</t>
        </is>
      </c>
      <c r="G20326" s="10" t="inlineStr">
        <is>
          <t>6</t>
        </is>
      </c>
      <c r="H20326" s="10" t="inlineStr">
        <is>
          <t>23/03/2026</t>
        </is>
      </c>
      <c r="I20326" s="10" t="inlineStr">
        <is>
          <t>17/03/2026</t>
        </is>
      </c>
      <c r="J20326" s="10" t="inlineStr">
        <is>
          <t>Y tế / Chăm sóc sức khỏe / Thẩm mỹ / Làm đẹp</t>
        </is>
      </c>
      <c r="K20326" s="10" t="inlineStr">
        <is>
          <t>Trên 2 Năm</t>
        </is>
      </c>
      <c r="L20326" s="11">
        <f>HYPERLINK("https://careerviet.vn/vi/tim-viec-lam/bac-si-da-lieu-co-so-dong-nai-co-cho-o.35C66478.html","Xem chi tiết")</f>
        <v/>
      </c>
      <c r="M20326" s="10" t="n"/>
    </row>
    <row r="20327">
      <c r="B20327" s="7" t="n">
        <v>20325</v>
      </c>
      <c r="C20327" t="inlineStr">
        <is>
          <t>NHÂN VIÊN KHO DƯỢC HỖ TRỢ CỤM SÓC TRĂNG - BẠC LIÊU - CÀ MAU</t>
        </is>
      </c>
      <c r="D20327" t="inlineStr">
        <is>
          <t>Công Ty Cổ Phần Vacxin Việt Nam</t>
        </is>
      </c>
      <c r="E20327" t="inlineStr">
        <is>
          <t>Lương:7 Tr - 9 Tr VND</t>
        </is>
      </c>
      <c r="F20327" t="inlineStr">
        <is>
          <t>Sóc Trăng</t>
        </is>
      </c>
      <c r="G20327" t="inlineStr">
        <is>
          <t>6</t>
        </is>
      </c>
      <c r="H20327" t="inlineStr">
        <is>
          <t>23/03/2026</t>
        </is>
      </c>
      <c r="I20327" t="inlineStr">
        <is>
          <t>17/03/2026</t>
        </is>
      </c>
      <c r="J20327" t="inlineStr">
        <is>
          <t>Dược phẩm/ Hóa Mỹ Phẩm, Y tế / Chăm sóc sức khỏe / Thẩm mỹ / Làm đẹp, Vận chuyển / Giao nhận / Kho vận</t>
        </is>
      </c>
      <c r="K20327" t="inlineStr">
        <is>
          <t>N/A</t>
        </is>
      </c>
      <c r="L20327" s="8">
        <f>HYPERLINK("https://careerviet.vn/vi/tim-viec-lam/nhan-vien-kho-duoc-ho-tro-cum-soc-trang-bac-lieu-ca-mau.35C63971.html","Xem chi tiết")</f>
        <v/>
      </c>
    </row>
    <row r="20328">
      <c r="B20328" s="9" t="n">
        <v>20326</v>
      </c>
      <c r="C20328" s="10" t="inlineStr">
        <is>
          <t>Kỹ sư cao cấp Hạ tầng</t>
        </is>
      </c>
      <c r="D20328" s="10" t="inlineStr">
        <is>
          <t>Công Ty Cổ Phần Tập Đoàn Đầu Tư Địa Ốc No Va</t>
        </is>
      </c>
      <c r="E20328" s="10" t="inlineStr">
        <is>
          <t>Lương:Cạnh tranh</t>
        </is>
      </c>
      <c r="F20328" s="10" t="inlineStr">
        <is>
          <t>Đồng Nai</t>
        </is>
      </c>
      <c r="G20328" s="10" t="inlineStr">
        <is>
          <t>6</t>
        </is>
      </c>
      <c r="H20328" s="10" t="inlineStr">
        <is>
          <t>23/03/2026</t>
        </is>
      </c>
      <c r="I20328" s="10" t="inlineStr">
        <is>
          <t>17/03/2026</t>
        </is>
      </c>
      <c r="J20328" s="10" t="inlineStr">
        <is>
          <t>Xây dựng, Bất động sản</t>
        </is>
      </c>
      <c r="K20328" s="10" t="inlineStr">
        <is>
          <t>5 - 15 Năm</t>
        </is>
      </c>
      <c r="L20328" s="11">
        <f>HYPERLINK("https://careerviet.vn/vi/tim-viec-lam/ky-su-cao-cap-ha-tang.35C63912.html","Xem chi tiết")</f>
        <v/>
      </c>
      <c r="M20328" s="10" t="n"/>
    </row>
    <row r="20329">
      <c r="B20329" s="7" t="n">
        <v>20327</v>
      </c>
      <c r="C20329" t="inlineStr">
        <is>
          <t>Chuyên viên Videographer &amp; Editor</t>
        </is>
      </c>
      <c r="D20329" t="inlineStr">
        <is>
          <t>Công Ty Cổ Phần Decox</t>
        </is>
      </c>
      <c r="E20329" t="inlineStr">
        <is>
          <t>Lương:15 Tr - 18 Tr VND</t>
        </is>
      </c>
      <c r="F20329" t="inlineStr">
        <is>
          <t>Hồ Chí Minh</t>
        </is>
      </c>
      <c r="G20329" t="inlineStr">
        <is>
          <t>6</t>
        </is>
      </c>
      <c r="H20329" t="inlineStr">
        <is>
          <t>23/03/2026</t>
        </is>
      </c>
      <c r="I20329" t="inlineStr">
        <is>
          <t>17/03/2026</t>
        </is>
      </c>
      <c r="J20329" t="inlineStr">
        <is>
          <t>Tiếp thị / Marketing, Mỹ thuật / Nghệ thuật / Thiết kế, Quảng cáo / Đối ngoại / Truyền Thông</t>
        </is>
      </c>
      <c r="K20329" t="inlineStr">
        <is>
          <t>2 - 4 Năm</t>
        </is>
      </c>
      <c r="L20329" s="8">
        <f>HYPERLINK("https://careerviet.vn/vi/tim-viec-lam/chuyen-vien-videographer-editor.35C6374D.html","Xem chi tiết")</f>
        <v/>
      </c>
    </row>
    <row r="20330">
      <c r="B20330" s="9" t="n">
        <v>20328</v>
      </c>
      <c r="C20330" s="10" t="inlineStr">
        <is>
          <t>Cơ Hội Việc Làm Tư Vấn Viettel – Thu Nhập Tốt – Môi Trường Chuyên Nghiệp - [BSV]-[G1]</t>
        </is>
      </c>
      <c r="D20330" s="10" t="inlineStr">
        <is>
          <t>BellSystem24-Việt Nam</t>
        </is>
      </c>
      <c r="E20330" s="10" t="inlineStr">
        <is>
          <t>Lương:8 Tr - 15 Tr VND</t>
        </is>
      </c>
      <c r="F20330" s="10" t="inlineStr">
        <is>
          <t>Hồ Chí Minh</t>
        </is>
      </c>
      <c r="G20330" s="10" t="inlineStr">
        <is>
          <t>6</t>
        </is>
      </c>
      <c r="H20330" s="10" t="inlineStr">
        <is>
          <t>23/03/2026</t>
        </is>
      </c>
      <c r="I20330" s="10" t="inlineStr">
        <is>
          <t>17/03/2026</t>
        </is>
      </c>
      <c r="J20330" s="10" t="inlineStr">
        <is>
          <t>Bưu chính viễn thông, Dịch vụ khách hàng, Tư vấn</t>
        </is>
      </c>
      <c r="K20330" s="10" t="inlineStr">
        <is>
          <t>N/A</t>
        </is>
      </c>
      <c r="L20330" s="11">
        <f>HYPERLINK("https://careerviet.vn/vi/tim-viec-lam/co-hoi-viec-lam-tu-van-viettel-thu-nhap-tot-moi-truong-chuyen-nghiep-bsv-g1.35C63A17.html","Xem chi tiết")</f>
        <v/>
      </c>
      <c r="M20330" s="10" t="n"/>
    </row>
    <row r="20331">
      <c r="B20331" s="7" t="n">
        <v>20329</v>
      </c>
      <c r="C20331" t="inlineStr">
        <is>
          <t>NHÂN VIÊN KHO DƯỢC HỖ TRỢ CỤM ĐÀ NẴNG - QUẢNG NAM</t>
        </is>
      </c>
      <c r="D20331" t="inlineStr">
        <is>
          <t>Công Ty Cổ Phần Vacxin Việt Nam</t>
        </is>
      </c>
      <c r="E20331" t="inlineStr">
        <is>
          <t>Lương:7 Tr - 9 Tr VND</t>
        </is>
      </c>
      <c r="F20331" t="inlineStr">
        <is>
          <t>KV Nam Trung Bộ</t>
        </is>
      </c>
      <c r="G20331" t="inlineStr">
        <is>
          <t>6</t>
        </is>
      </c>
      <c r="H20331" t="inlineStr">
        <is>
          <t>23/03/2026</t>
        </is>
      </c>
      <c r="I20331" t="inlineStr">
        <is>
          <t>17/03/2026</t>
        </is>
      </c>
      <c r="J20331" t="inlineStr">
        <is>
          <t>Dược phẩm/ Hóa Mỹ Phẩm, Y tế / Chăm sóc sức khỏe / Thẩm mỹ / Làm đẹp, Vận chuyển / Giao nhận / Kho vận</t>
        </is>
      </c>
      <c r="K20331" t="inlineStr">
        <is>
          <t>N/A</t>
        </is>
      </c>
      <c r="L20331" s="8">
        <f>HYPERLINK("https://careerviet.vn/vi/tim-viec-lam/nhan-vien-kho-duoc-ho-tro-cum-da-nang-quang-nam.35C63985.html","Xem chi tiết")</f>
        <v/>
      </c>
    </row>
    <row r="20332">
      <c r="B20332" s="9" t="n">
        <v>20330</v>
      </c>
      <c r="C20332" s="10" t="inlineStr">
        <is>
          <t>Nhân Viên Hành Chính Nhân Sự - Đi làm ngay (Nữ)</t>
        </is>
      </c>
      <c r="D20332" s="10" t="inlineStr">
        <is>
          <t>CÔNG TY TNHH THƯƠNG MẠI VÀ HỮU NGHỊ LÊ GIA</t>
        </is>
      </c>
      <c r="E20332" s="10" t="inlineStr">
        <is>
          <t>Lương:9 Tr - 10 Tr VND</t>
        </is>
      </c>
      <c r="F20332" s="10" t="inlineStr">
        <is>
          <t>Hà Nội</t>
        </is>
      </c>
      <c r="G20332" s="10" t="inlineStr">
        <is>
          <t>6</t>
        </is>
      </c>
      <c r="H20332" s="10" t="inlineStr">
        <is>
          <t>23/03/2026</t>
        </is>
      </c>
      <c r="I20332" s="10" t="inlineStr">
        <is>
          <t>17/03/2026</t>
        </is>
      </c>
      <c r="J20332" s="10" t="inlineStr">
        <is>
          <t>Bán lẻ / Bán sỉ, Hành chính / Thư ký, Nhân sự</t>
        </is>
      </c>
      <c r="K20332" s="10" t="inlineStr">
        <is>
          <t>1 - 2 Năm</t>
        </is>
      </c>
      <c r="L20332" s="11">
        <f>HYPERLINK("https://careerviet.vn/vi/tim-viec-lam/nhan-vien-hanh-chinh-nhan-su-di-lam-ngay-nu.35C66368.html","Xem chi tiết")</f>
        <v/>
      </c>
      <c r="M20332" s="10" t="n"/>
    </row>
    <row r="20333">
      <c r="B20333" s="7" t="n">
        <v>20331</v>
      </c>
      <c r="C20333" t="inlineStr">
        <is>
          <t>Lái Xe</t>
        </is>
      </c>
      <c r="D20333" t="inlineStr">
        <is>
          <t>CÔNG TY CỔ PHẦN XÂY DỰNG THƯƠNG MẠI VÀ KỸ THUẬT HỢP NHẤT</t>
        </is>
      </c>
      <c r="E20333" t="inlineStr">
        <is>
          <t>Lương:Cạnh tranh</t>
        </is>
      </c>
      <c r="F20333" t="inlineStr">
        <is>
          <t>Hà Nội</t>
        </is>
      </c>
      <c r="G20333" t="inlineStr">
        <is>
          <t>6</t>
        </is>
      </c>
      <c r="H20333" t="inlineStr">
        <is>
          <t>23/03/2026</t>
        </is>
      </c>
      <c r="I20333" t="inlineStr">
        <is>
          <t>17/03/2026</t>
        </is>
      </c>
      <c r="J20333" t="inlineStr">
        <is>
          <t>Vận chuyển / Giao nhận / Kho vận, Lao động phổ thông, An toàn lao động</t>
        </is>
      </c>
      <c r="K20333" t="inlineStr">
        <is>
          <t>Trên 1 Năm</t>
        </is>
      </c>
      <c r="L20333" s="8">
        <f>HYPERLINK("https://careerviet.vn/vi/tim-viec-lam/lai-xe.35C63A11.html","Xem chi tiết")</f>
        <v/>
      </c>
    </row>
    <row r="20334">
      <c r="B20334" s="9" t="n">
        <v>20332</v>
      </c>
      <c r="C20334" s="10" t="inlineStr">
        <is>
          <t>NHÂN VIÊN HỖ TRỢ SÂN PICKLEBALL</t>
        </is>
      </c>
      <c r="D20334" s="10" t="inlineStr">
        <is>
          <t>Stay Studio Apartment - Hoàng Long Sơn 2 Hotel</t>
        </is>
      </c>
      <c r="E20334" s="10" t="inlineStr">
        <is>
          <t>Lương:7 Tr - 9 Tr VND</t>
        </is>
      </c>
      <c r="F20334" s="10" t="inlineStr">
        <is>
          <t>Hồ Chí Minh</t>
        </is>
      </c>
      <c r="G20334" s="10" t="inlineStr">
        <is>
          <t>6</t>
        </is>
      </c>
      <c r="H20334" s="10" t="inlineStr">
        <is>
          <t>23/03/2026</t>
        </is>
      </c>
      <c r="I20334" s="10" t="inlineStr">
        <is>
          <t>17/03/2026</t>
        </is>
      </c>
      <c r="J20334" s="10" t="inlineStr">
        <is>
          <t>Dịch vụ khách hàng, Lao động phổ thông, Nhà hàng / Khách sạn</t>
        </is>
      </c>
      <c r="K20334" s="10" t="inlineStr">
        <is>
          <t>N/A</t>
        </is>
      </c>
      <c r="L20334" s="11">
        <f>HYPERLINK("https://careerviet.vn/vi/tim-viec-lam/nhan-vien-ho-tro-san-pickleball.35C63A6F.html","Xem chi tiết")</f>
        <v/>
      </c>
      <c r="M20334" s="10" t="n"/>
    </row>
    <row r="20335">
      <c r="B20335" s="7" t="n">
        <v>20333</v>
      </c>
      <c r="C20335" t="inlineStr">
        <is>
          <t>CHUYÊN VIÊN PHÂN TÍCH VÀ HỖ TRỢ KINH DOANH (ARM)</t>
        </is>
      </c>
      <c r="D20335" t="inlineStr">
        <is>
          <t>Ngân hàng TMCP Đại Chúng Việt Nam - PVcomBank</t>
        </is>
      </c>
      <c r="E20335" t="inlineStr">
        <is>
          <t>Lương:Cạnh tranh</t>
        </is>
      </c>
      <c r="F20335" t="inlineStr">
        <is>
          <t>Hà Nội</t>
        </is>
      </c>
      <c r="G20335" t="inlineStr">
        <is>
          <t>6</t>
        </is>
      </c>
      <c r="H20335" t="inlineStr">
        <is>
          <t>23/03/2026</t>
        </is>
      </c>
      <c r="I20335" t="inlineStr">
        <is>
          <t>17/03/2026</t>
        </is>
      </c>
      <c r="J20335" t="inlineStr">
        <is>
          <t>Ngân hàng</t>
        </is>
      </c>
      <c r="K20335" t="inlineStr">
        <is>
          <t>2 - 3 Năm</t>
        </is>
      </c>
      <c r="L20335" s="8">
        <f>HYPERLINK("https://careerviet.vn/vi/tim-viec-lam/chuyen-vien-phan-tich-va-ho-tro-kinh-doanh-arm.35C63A09.html","Xem chi tiết")</f>
        <v/>
      </c>
    </row>
    <row r="20336">
      <c r="B20336" s="9" t="n">
        <v>20334</v>
      </c>
      <c r="C20336" s="10" t="inlineStr">
        <is>
          <t>Trưởng bộ phận in offset</t>
        </is>
      </c>
      <c r="D20336" s="10" t="inlineStr">
        <is>
          <t>CÔNG TY TNHH IN BAO BÌ TOÀN PHÁT</t>
        </is>
      </c>
      <c r="E20336" s="10" t="inlineStr">
        <is>
          <t>Lương:Cạnh tranh</t>
        </is>
      </c>
      <c r="F20336" s="10" t="inlineStr">
        <is>
          <t>Hồ Chí Minh</t>
        </is>
      </c>
      <c r="G20336" s="10" t="inlineStr">
        <is>
          <t>6</t>
        </is>
      </c>
      <c r="H20336" s="10" t="inlineStr">
        <is>
          <t>23/03/2026</t>
        </is>
      </c>
      <c r="I20336" s="10" t="inlineStr">
        <is>
          <t>17/03/2026</t>
        </is>
      </c>
      <c r="J20336" s="10" t="inlineStr">
        <is>
          <t>Sản xuất / Vận hành sản xuất, Quản lý chất lượng (QA/QC), In ấn / Xuất bản</t>
        </is>
      </c>
      <c r="K20336" s="10" t="inlineStr">
        <is>
          <t>2 - 5 Năm</t>
        </is>
      </c>
      <c r="L20336" s="11">
        <f>HYPERLINK("https://careerviet.vn/vi/tim-viec-lam/truong-bo-phan-in-offset.35C665BA.html","Xem chi tiết")</f>
        <v/>
      </c>
      <c r="M20336" s="10" t="n"/>
    </row>
    <row r="20337">
      <c r="B20337" s="7" t="n">
        <v>20335</v>
      </c>
      <c r="C20337" t="inlineStr">
        <is>
          <t>[Hà Nội] Chuyên viên/Chuyên viên chính/Chuyên viên cao cấp thẩm định KHDN lớn</t>
        </is>
      </c>
      <c r="D20337" t="inlineStr">
        <is>
          <t>Ngân hàng TMCP Lộc Phát Việt Nam (LPBank)</t>
        </is>
      </c>
      <c r="E20337" t="inlineStr">
        <is>
          <t>Lương:Cạnh tranh</t>
        </is>
      </c>
      <c r="F20337" t="inlineStr">
        <is>
          <t>Hà Nội</t>
        </is>
      </c>
      <c r="G20337" t="inlineStr">
        <is>
          <t>6</t>
        </is>
      </c>
      <c r="H20337" t="inlineStr">
        <is>
          <t>23/03/2026</t>
        </is>
      </c>
      <c r="I20337" t="inlineStr">
        <is>
          <t>17/03/2026</t>
        </is>
      </c>
      <c r="J20337" t="inlineStr">
        <is>
          <t>Bán hàng / Kinh doanh, Bảo hiểm, Bất động sản</t>
        </is>
      </c>
      <c r="K20337" t="inlineStr">
        <is>
          <t>3 - 5 Năm</t>
        </is>
      </c>
      <c r="L20337" s="8">
        <f>HYPERLINK("https://careerviet.vn/vi/tim-viec-lam/ha-noi-chuyen-vien-chuyen-vien-chinh-chuyen-vien-cao-cap-tham-dinh-khdn-lon.35C638ED.html","Xem chi tiết")</f>
        <v/>
      </c>
    </row>
    <row r="20338">
      <c r="B20338" s="9" t="n">
        <v>20336</v>
      </c>
      <c r="C20338" s="10" t="inlineStr">
        <is>
          <t>Bank Listing Partnership Lead</t>
        </is>
      </c>
      <c r="D20338" s="10" t="inlineStr">
        <is>
          <t>CÔNG TY CỔ PHẦN CITICS</t>
        </is>
      </c>
      <c r="E20338" s="10" t="inlineStr">
        <is>
          <t>Lương:20 Tr - 30 Tr VND</t>
        </is>
      </c>
      <c r="F20338" s="10" t="inlineStr">
        <is>
          <t>Hồ Chí Minh</t>
        </is>
      </c>
      <c r="G20338" s="10" t="inlineStr">
        <is>
          <t>6</t>
        </is>
      </c>
      <c r="H20338" s="10" t="inlineStr">
        <is>
          <t>23/03/2026</t>
        </is>
      </c>
      <c r="I20338" s="10" t="inlineStr">
        <is>
          <t>17/03/2026</t>
        </is>
      </c>
      <c r="J20338" s="10" t="inlineStr">
        <is>
          <t>Ngân hàng, Tài chính / Đầu tư</t>
        </is>
      </c>
      <c r="K20338" s="10" t="inlineStr">
        <is>
          <t>4 - 5 Năm</t>
        </is>
      </c>
      <c r="L20338" s="11">
        <f>HYPERLINK("https://careerviet.vn/vi/tim-viec-lam/bank-listing-partnership-lead.35C6662D.html","Xem chi tiết")</f>
        <v/>
      </c>
      <c r="M20338" s="10" t="n"/>
    </row>
    <row r="20339">
      <c r="B20339" s="7" t="n">
        <v>20337</v>
      </c>
      <c r="C20339" t="inlineStr">
        <is>
          <t>Sales Admin (Bắt buộc là Nam)</t>
        </is>
      </c>
      <c r="D20339" t="inlineStr">
        <is>
          <t>Công Ty TNHH Dịch Vụ Bảo Vệ Đại Trường Hải</t>
        </is>
      </c>
      <c r="E20339" t="inlineStr">
        <is>
          <t>Lương:Cạnh tranh</t>
        </is>
      </c>
      <c r="F20339" t="inlineStr">
        <is>
          <t>Hồ Chí Minh</t>
        </is>
      </c>
      <c r="G20339" t="inlineStr">
        <is>
          <t>6</t>
        </is>
      </c>
      <c r="H20339" t="inlineStr">
        <is>
          <t>22/03/2026</t>
        </is>
      </c>
      <c r="I20339" t="inlineStr">
        <is>
          <t>17/03/2026</t>
        </is>
      </c>
      <c r="J20339" t="inlineStr">
        <is>
          <t>Tiếp thị / Marketing, Bán hàng / Kinh doanh, Tư vấn</t>
        </is>
      </c>
      <c r="K20339" t="inlineStr">
        <is>
          <t>Lên đến 1 Năm</t>
        </is>
      </c>
      <c r="L20339" s="8">
        <f>HYPERLINK("https://careerviet.vn/vi/tim-viec-lam/sales-admin-bat-buoc-la-nam.35C639DF.html","Xem chi tiết")</f>
        <v/>
      </c>
    </row>
    <row r="20340">
      <c r="B20340" s="9" t="n">
        <v>20338</v>
      </c>
      <c r="C20340" s="10" t="inlineStr">
        <is>
          <t>TBP THN hiện trường (Nợ sớm) - Bình Định, Khánh Hòa - TA155 - ID863</t>
        </is>
      </c>
      <c r="D20340" s="10" t="inlineStr">
        <is>
          <t>Ngân Hàng TMCP Việt Nam Thịnh Vượng - VPBANK</t>
        </is>
      </c>
      <c r="E20340" s="10" t="inlineStr">
        <is>
          <t>Lương:Cạnh tranh</t>
        </is>
      </c>
      <c r="F20340" s="10" t="inlineStr">
        <is>
          <t>Khánh HòaBình Định</t>
        </is>
      </c>
      <c r="G20340" s="10" t="inlineStr">
        <is>
          <t>6</t>
        </is>
      </c>
      <c r="H20340" s="10" t="inlineStr">
        <is>
          <t>23/03/2026</t>
        </is>
      </c>
      <c r="I20340" s="10" t="inlineStr">
        <is>
          <t>17/03/2026</t>
        </is>
      </c>
      <c r="J20340" s="10" t="inlineStr">
        <is>
          <t>Luật / Pháp lý, Ngân hàng, Tài chính / Đầu tư</t>
        </is>
      </c>
      <c r="K20340" s="10" t="inlineStr">
        <is>
          <t>Chưa có kinh nghiệm</t>
        </is>
      </c>
      <c r="L20340" s="11">
        <f>HYPERLINK("https://careerviet.vn/vi/tim-viec-lam/tbp-thn-hien-truong-no-som-binh-dinh-khanh-hoa-ta155-id863.35C664C6.html","Xem chi tiết")</f>
        <v/>
      </c>
      <c r="M20340" s="10" t="n"/>
    </row>
    <row r="20341">
      <c r="B20341" s="7" t="n">
        <v>20339</v>
      </c>
      <c r="C20341" t="inlineStr">
        <is>
          <t>Nhân Viên Phục Vụ (Ca Tối)</t>
        </is>
      </c>
      <c r="D20341" t="inlineStr">
        <is>
          <t>Công Ty Hoàng An Nhiên</t>
        </is>
      </c>
      <c r="E20341" t="inlineStr">
        <is>
          <t>Lương:8 Tr - 10 Tr VND</t>
        </is>
      </c>
      <c r="F20341" t="inlineStr">
        <is>
          <t>Hà Nội</t>
        </is>
      </c>
      <c r="G20341" t="inlineStr">
        <is>
          <t>6</t>
        </is>
      </c>
      <c r="H20341" t="inlineStr">
        <is>
          <t>23/03/2026</t>
        </is>
      </c>
      <c r="I20341" t="inlineStr">
        <is>
          <t>17/03/2026</t>
        </is>
      </c>
      <c r="J20341" t="inlineStr">
        <is>
          <t>Nhà hàng / Khách sạn</t>
        </is>
      </c>
      <c r="K20341" t="inlineStr">
        <is>
          <t>N/A</t>
        </is>
      </c>
      <c r="L20341" s="8">
        <f>HYPERLINK("https://careerviet.vn/vi/tim-viec-lam/nhan-vien-phuc-vu-ca-toi.35C639CE.html","Xem chi tiết")</f>
        <v/>
      </c>
    </row>
    <row r="20342">
      <c r="B20342" s="9" t="n">
        <v>20340</v>
      </c>
      <c r="C20342" s="10" t="inlineStr">
        <is>
          <t>Chuyên viên Pháp chế</t>
        </is>
      </c>
      <c r="D20342" s="10" t="inlineStr">
        <is>
          <t>CareerViet's client</t>
        </is>
      </c>
      <c r="E20342" s="10" t="inlineStr">
        <is>
          <t>Lương:Cạnh tranh</t>
        </is>
      </c>
      <c r="F20342" s="10" t="inlineStr">
        <is>
          <t>Hồ Chí Minh</t>
        </is>
      </c>
      <c r="G20342" s="10" t="inlineStr">
        <is>
          <t>6</t>
        </is>
      </c>
      <c r="H20342" s="10" t="inlineStr">
        <is>
          <t>23/03/2026</t>
        </is>
      </c>
      <c r="I20342" s="10" t="inlineStr">
        <is>
          <t>17/03/2026</t>
        </is>
      </c>
      <c r="J20342" s="10" t="inlineStr">
        <is>
          <t>Điện / Điện tử / Điện lạnh / Điện công nghiệp, Sản xuất / Vận hành sản xuất, Luật / Pháp lý</t>
        </is>
      </c>
      <c r="K20342" s="10" t="inlineStr">
        <is>
          <t>3 - 5 Năm</t>
        </is>
      </c>
      <c r="L20342" s="11">
        <f>HYPERLINK("https://careerviet.vn/vi/tim-viec-lam/chuyen-vien-phap-che.35C66512.html","Xem chi tiết")</f>
        <v/>
      </c>
      <c r="M20342" s="10" t="n"/>
    </row>
    <row r="20343">
      <c r="B20343" s="7" t="n">
        <v>20341</v>
      </c>
      <c r="C20343" t="inlineStr">
        <is>
          <t>Chuyên viên kiểm soát rủi ro khu vực (RISK CONTROL)</t>
        </is>
      </c>
      <c r="D20343" t="inlineStr">
        <is>
          <t>Công Ty TNHH BEST Logistics Technology (Việt Nam)</t>
        </is>
      </c>
      <c r="E20343" t="inlineStr">
        <is>
          <t>Lương:Cạnh tranh</t>
        </is>
      </c>
      <c r="F20343" t="inlineStr">
        <is>
          <t>Hồ Chí Minh</t>
        </is>
      </c>
      <c r="G20343" t="inlineStr">
        <is>
          <t>6</t>
        </is>
      </c>
      <c r="H20343" t="inlineStr">
        <is>
          <t>23/03/2026</t>
        </is>
      </c>
      <c r="I20343" t="inlineStr">
        <is>
          <t>17/03/2026</t>
        </is>
      </c>
      <c r="J20343" t="inlineStr">
        <is>
          <t>Vận chuyển / Giao nhận / Kho vận, Kế toán / Kiểm toán, Thống kê</t>
        </is>
      </c>
      <c r="K20343" t="inlineStr">
        <is>
          <t>1 - 2 Năm</t>
        </is>
      </c>
      <c r="L20343" s="8">
        <f>HYPERLINK("https://careerviet.vn/vi/tim-viec-lam/chuyen-vien-kiem-soat-rui-ro-khu-vuc-risk-control.35C63AC1.html","Xem chi tiết")</f>
        <v/>
      </c>
    </row>
    <row r="20344">
      <c r="B20344" s="9" t="n">
        <v>20342</v>
      </c>
      <c r="C20344" s="10" t="inlineStr">
        <is>
          <t>Nhân viên QC</t>
        </is>
      </c>
      <c r="D20344" s="10" t="inlineStr">
        <is>
          <t>CÔNG TY CỔ PHẦN GREEN SPEED</t>
        </is>
      </c>
      <c r="E20344" s="10" t="inlineStr">
        <is>
          <t>Lương:Cạnh tranh</t>
        </is>
      </c>
      <c r="F20344" s="10" t="inlineStr">
        <is>
          <t>Hồ Chí Minh</t>
        </is>
      </c>
      <c r="G20344" s="10" t="inlineStr">
        <is>
          <t>6</t>
        </is>
      </c>
      <c r="H20344" s="10" t="inlineStr">
        <is>
          <t>23/03/2026</t>
        </is>
      </c>
      <c r="I20344" s="10" t="inlineStr">
        <is>
          <t>17/03/2026</t>
        </is>
      </c>
      <c r="J20344" s="10" t="inlineStr">
        <is>
          <t>Công nghệ thực phẩm / Dinh dưỡng, Hóa học, Quản lý chất lượng (QA/QC)</t>
        </is>
      </c>
      <c r="K20344" s="10" t="inlineStr">
        <is>
          <t>N/A</t>
        </is>
      </c>
      <c r="L20344" s="11">
        <f>HYPERLINK("https://careerviet.vn/vi/tim-viec-lam/nhan-vien-qc.35C66533.html","Xem chi tiết")</f>
        <v/>
      </c>
      <c r="M20344" s="10" t="n"/>
    </row>
    <row r="20345">
      <c r="B20345" s="7" t="n">
        <v>20343</v>
      </c>
      <c r="C20345" t="inlineStr">
        <is>
          <t>Leasing Supervisor/ Manager (Real Estate)</t>
        </is>
      </c>
      <c r="D20345" t="inlineStr">
        <is>
          <t>Headhunter HRchannels Group</t>
        </is>
      </c>
      <c r="E20345" t="inlineStr">
        <is>
          <t>Lương:3.000 - 3.000 USD</t>
        </is>
      </c>
      <c r="F20345" t="inlineStr">
        <is>
          <t>Hà Nội</t>
        </is>
      </c>
      <c r="G20345" t="inlineStr">
        <is>
          <t>6</t>
        </is>
      </c>
      <c r="H20345" t="inlineStr">
        <is>
          <t>23/03/2026</t>
        </is>
      </c>
      <c r="I20345" t="inlineStr">
        <is>
          <t>17/03/2026</t>
        </is>
      </c>
      <c r="J20345" t="inlineStr">
        <is>
          <t>Bất động sản</t>
        </is>
      </c>
      <c r="K20345" t="inlineStr">
        <is>
          <t>3 - 5 Năm</t>
        </is>
      </c>
      <c r="L20345" s="8">
        <f>HYPERLINK("https://careerviet.vn/vi/tim-viec-lam/leasing-supervisor-manager-real-estate.35C63A33.html","Xem chi tiết")</f>
        <v/>
      </c>
    </row>
    <row r="20346">
      <c r="B20346" s="9" t="n">
        <v>20344</v>
      </c>
      <c r="C20346" s="10" t="inlineStr">
        <is>
          <t>NHÂN VIÊN CSKH VIETTEL ĐÀ NẴNG HÔM NAY ĐI LÀM NGAY</t>
        </is>
      </c>
      <c r="D20346" s="10" t="inlineStr">
        <is>
          <t>BellSystem24-Việt Nam</t>
        </is>
      </c>
      <c r="E20346" s="10" t="inlineStr">
        <is>
          <t>Lương:5 Tr - 8 Tr VND</t>
        </is>
      </c>
      <c r="F20346" s="10" t="inlineStr">
        <is>
          <t>Đà Nẵng</t>
        </is>
      </c>
      <c r="G20346" s="10" t="inlineStr">
        <is>
          <t>6</t>
        </is>
      </c>
      <c r="H20346" s="10" t="inlineStr">
        <is>
          <t>23/03/2026</t>
        </is>
      </c>
      <c r="I20346" s="10" t="inlineStr">
        <is>
          <t>17/03/2026</t>
        </is>
      </c>
      <c r="J20346" s="10" t="inlineStr">
        <is>
          <t>Tư vấn, Dịch vụ khách hàng, Lao động phổ thông</t>
        </is>
      </c>
      <c r="K20346" s="10" t="inlineStr">
        <is>
          <t>N/A</t>
        </is>
      </c>
      <c r="L20346" s="11">
        <f>HYPERLINK("https://careerviet.vn/vi/tim-viec-lam/nhan-vien-cskh-viettel-da-nang-hom-nay-di-lam-ngay.35C639D4.html","Xem chi tiết")</f>
        <v/>
      </c>
      <c r="M20346" s="10" t="n"/>
    </row>
    <row r="20347">
      <c r="B20347" s="7" t="n">
        <v>20345</v>
      </c>
      <c r="C20347" t="inlineStr">
        <is>
          <t>Host Livestream (Full Time)</t>
        </is>
      </c>
      <c r="D20347" t="inlineStr">
        <is>
          <t>CÔNG TY TNHH AUSTAR PHARMA VIỆT NAM</t>
        </is>
      </c>
      <c r="E20347" t="inlineStr">
        <is>
          <t>Lương:10 Tr - 20 Tr VND</t>
        </is>
      </c>
      <c r="F20347" t="inlineStr">
        <is>
          <t>Hồ Chí Minh</t>
        </is>
      </c>
      <c r="G20347" t="inlineStr">
        <is>
          <t>6</t>
        </is>
      </c>
      <c r="H20347" t="inlineStr">
        <is>
          <t>23/03/2026</t>
        </is>
      </c>
      <c r="I20347" t="inlineStr">
        <is>
          <t>17/03/2026</t>
        </is>
      </c>
      <c r="J20347" t="inlineStr">
        <is>
          <t>Thương mại điện tử, Y tế / Chăm sóc sức khỏe / Thẩm mỹ / Làm đẹp, Tiếp thị / Marketing</t>
        </is>
      </c>
      <c r="K20347" t="inlineStr">
        <is>
          <t>Trên 2 Năm</t>
        </is>
      </c>
      <c r="L20347" s="8">
        <f>HYPERLINK("https://careerviet.vn/vi/tim-viec-lam/host-livestream-full-time.35C664A7.html","Xem chi tiết")</f>
        <v/>
      </c>
    </row>
    <row r="20348">
      <c r="B20348" s="9" t="n">
        <v>20346</v>
      </c>
      <c r="C20348" s="10" t="inlineStr">
        <is>
          <t>Network Operations Manager (RE)</t>
        </is>
      </c>
      <c r="D20348" s="10" t="inlineStr">
        <is>
          <t>CÔNG TY CỔ PHẦN CITICS</t>
        </is>
      </c>
      <c r="E20348" s="10" t="inlineStr">
        <is>
          <t>Lương:20 Tr - 30 Tr VND</t>
        </is>
      </c>
      <c r="F20348" s="10" t="inlineStr">
        <is>
          <t>Hồ Chí Minh</t>
        </is>
      </c>
      <c r="G20348" s="10" t="inlineStr">
        <is>
          <t>6</t>
        </is>
      </c>
      <c r="H20348" s="10" t="inlineStr">
        <is>
          <t>23/03/2026</t>
        </is>
      </c>
      <c r="I20348" s="10" t="inlineStr">
        <is>
          <t>17/03/2026</t>
        </is>
      </c>
      <c r="J20348" s="10" t="inlineStr">
        <is>
          <t>Ngân hàng, Bất động sản</t>
        </is>
      </c>
      <c r="K20348" s="10" t="inlineStr">
        <is>
          <t>4 - 5 Năm</t>
        </is>
      </c>
      <c r="L20348" s="11">
        <f>HYPERLINK("https://careerviet.vn/vi/tim-viec-lam/network-operations-manager-re.35C66630.html","Xem chi tiết")</f>
        <v/>
      </c>
      <c r="M20348" s="10" t="n"/>
    </row>
    <row r="20349">
      <c r="B20349" s="7" t="n">
        <v>20347</v>
      </c>
      <c r="C20349" t="inlineStr">
        <is>
          <t>Chuyên Viên Quản Lý Phần Mềm Ứng Dụng</t>
        </is>
      </c>
      <c r="D20349" t="inlineStr">
        <is>
          <t>Công ty Cổ phần Mỹ phẩm Quốc tế Thùy Dung</t>
        </is>
      </c>
      <c r="E20349" t="inlineStr">
        <is>
          <t>Lương:12 Tr - 15 Tr VND</t>
        </is>
      </c>
      <c r="F20349" t="inlineStr">
        <is>
          <t>Hà Nội</t>
        </is>
      </c>
      <c r="G20349" t="inlineStr">
        <is>
          <t>6</t>
        </is>
      </c>
      <c r="H20349" t="inlineStr">
        <is>
          <t>23/03/2026</t>
        </is>
      </c>
      <c r="I20349" t="inlineStr">
        <is>
          <t>17/03/2026</t>
        </is>
      </c>
      <c r="J20349" t="inlineStr">
        <is>
          <t>CNTT - Phần mềm, CNTT - Phần cứng / Mạng</t>
        </is>
      </c>
      <c r="K20349" t="inlineStr">
        <is>
          <t>Trên 1 Năm</t>
        </is>
      </c>
      <c r="L20349" s="8">
        <f>HYPERLINK("https://careerviet.vn/vi/tim-viec-lam/chuyen-vien-quan-ly-phan-mem-ung-dung.35C63A37.html","Xem chi tiết")</f>
        <v/>
      </c>
    </row>
    <row r="20350">
      <c r="B20350" s="9" t="n">
        <v>20348</v>
      </c>
      <c r="C20350" s="10" t="inlineStr">
        <is>
          <t>QUẢN LÝ KHU VỰC QUẢNG TRỊ</t>
        </is>
      </c>
      <c r="D20350" s="10" t="inlineStr">
        <is>
          <t>Công Ty TNHH BEST EXPRESS VIỆT NAM</t>
        </is>
      </c>
      <c r="E20350" s="10" t="inlineStr">
        <is>
          <t>Lương:25 Tr - 32 Tr VND</t>
        </is>
      </c>
      <c r="F20350" s="10" t="inlineStr">
        <is>
          <t>Quảng Trị</t>
        </is>
      </c>
      <c r="G20350" s="10" t="inlineStr">
        <is>
          <t>5</t>
        </is>
      </c>
      <c r="H20350" s="10" t="inlineStr">
        <is>
          <t>22/03/2026</t>
        </is>
      </c>
      <c r="I20350" s="10" t="inlineStr">
        <is>
          <t>17/03/2026</t>
        </is>
      </c>
      <c r="J20350" s="10" t="inlineStr">
        <is>
          <t>Vận chuyển / Giao nhận / Kho vận, Quản lý điều hành</t>
        </is>
      </c>
      <c r="K20350" s="10" t="inlineStr">
        <is>
          <t>1 - 2 Năm</t>
        </is>
      </c>
      <c r="L20350" s="11">
        <f>HYPERLINK("https://careerviet.vn/vi/tim-viec-lam/quan-ly-khu-vuc-quang-tri.35C662B4.html","Xem chi tiết")</f>
        <v/>
      </c>
      <c r="M20350" s="10" t="n"/>
    </row>
    <row r="20351">
      <c r="B20351" s="7" t="n">
        <v>20349</v>
      </c>
      <c r="C20351" t="inlineStr">
        <is>
          <t>Network Operations Manager (Loans)</t>
        </is>
      </c>
      <c r="D20351" t="inlineStr">
        <is>
          <t>CÔNG TY CỔ PHẦN CITICS</t>
        </is>
      </c>
      <c r="E20351" t="inlineStr">
        <is>
          <t>Lương:20 Tr - 30 Tr VND</t>
        </is>
      </c>
      <c r="F20351" t="inlineStr">
        <is>
          <t>Hồ Chí Minh</t>
        </is>
      </c>
      <c r="G20351" t="inlineStr">
        <is>
          <t>6</t>
        </is>
      </c>
      <c r="H20351" t="inlineStr">
        <is>
          <t>23/03/2026</t>
        </is>
      </c>
      <c r="I20351" t="inlineStr">
        <is>
          <t>17/03/2026</t>
        </is>
      </c>
      <c r="J20351" t="inlineStr">
        <is>
          <t>Ngân hàng, Bất động sản</t>
        </is>
      </c>
      <c r="K20351" t="inlineStr">
        <is>
          <t>4 - 5 Năm</t>
        </is>
      </c>
      <c r="L20351" s="8">
        <f>HYPERLINK("https://careerviet.vn/vi/tim-viec-lam/network-operations-manager-loans.35C6662F.html","Xem chi tiết")</f>
        <v/>
      </c>
    </row>
    <row r="20352">
      <c r="B20352" s="9" t="n">
        <v>20350</v>
      </c>
      <c r="C20352" s="10" t="inlineStr">
        <is>
          <t>STRUCTURAL SUPERVISOR - GIÁM SÁT THI CÔNG KẾT CẤU</t>
        </is>
      </c>
      <c r="D20352" s="10" t="inlineStr">
        <is>
          <t>PTSC Offshore Services (POS)</t>
        </is>
      </c>
      <c r="E20352" s="10" t="inlineStr">
        <is>
          <t>Lương:Cạnh tranh</t>
        </is>
      </c>
      <c r="F20352" s="10" t="inlineStr">
        <is>
          <t>Bà Rịa - Vũng Tàu</t>
        </is>
      </c>
      <c r="G20352" s="10" t="inlineStr">
        <is>
          <t>6</t>
        </is>
      </c>
      <c r="H20352" s="10" t="inlineStr">
        <is>
          <t>23/03/2026</t>
        </is>
      </c>
      <c r="I20352" s="10" t="inlineStr">
        <is>
          <t>17/03/2026</t>
        </is>
      </c>
      <c r="J20352" s="10" t="inlineStr">
        <is>
          <t>Dầu khí</t>
        </is>
      </c>
      <c r="K20352" s="10" t="inlineStr">
        <is>
          <t>Lên đến 3 Năm</t>
        </is>
      </c>
      <c r="L20352" s="11">
        <f>HYPERLINK("https://careerviet.vn/vi/tim-viec-lam/structural-supervisor-giam-sat-thi-cong-ket-cau.35C6656F.html","Xem chi tiết")</f>
        <v/>
      </c>
      <c r="M20352" s="10" t="n"/>
    </row>
    <row r="20353">
      <c r="B20353" s="7" t="n">
        <v>20351</v>
      </c>
      <c r="C20353" t="inlineStr">
        <is>
          <t>Quản Lý Điều Hành Đội Xe Vận Chuyển</t>
        </is>
      </c>
      <c r="D20353" t="inlineStr">
        <is>
          <t>CÔNG TY CỔ PHẦN ĐẦU TƯ HẠ TẦNG DONACOOP</t>
        </is>
      </c>
      <c r="E20353" t="inlineStr">
        <is>
          <t>Lương:Cạnh tranh</t>
        </is>
      </c>
      <c r="F20353" t="inlineStr">
        <is>
          <t>Đồng Nai</t>
        </is>
      </c>
      <c r="G20353" t="inlineStr">
        <is>
          <t>5</t>
        </is>
      </c>
      <c r="H20353" t="inlineStr">
        <is>
          <t>22/03/2026</t>
        </is>
      </c>
      <c r="I20353" t="inlineStr">
        <is>
          <t>17/03/2026</t>
        </is>
      </c>
      <c r="J20353" t="inlineStr">
        <is>
          <t>Vận chuyển / Giao nhận / Kho vận, Quản lý điều hành, Quản lý chất lượng (QA/QC)</t>
        </is>
      </c>
      <c r="K20353" t="inlineStr">
        <is>
          <t>3 - 5 Năm</t>
        </is>
      </c>
      <c r="L20353" s="8">
        <f>HYPERLINK("https://careerviet.vn/vi/tim-viec-lam/quan-ly-dieu-hanh-doi-xe-van-chuyen.35C6641A.html","Xem chi tiết")</f>
        <v/>
      </c>
    </row>
    <row r="20354">
      <c r="B20354" s="9" t="n">
        <v>20352</v>
      </c>
      <c r="C20354" s="10" t="inlineStr">
        <is>
          <t>[Nova Service Group] Trưởng phòng Quản lý Nguồn Nhân lực (HRBP Manager)</t>
        </is>
      </c>
      <c r="D20354" s="10" t="inlineStr">
        <is>
          <t>Nova Service Group - Công ty Cổ phần Tập đoàn Nova Services</t>
        </is>
      </c>
      <c r="E20354" s="10" t="inlineStr">
        <is>
          <t>Lương:Cạnh tranh</t>
        </is>
      </c>
      <c r="F20354" s="10" t="inlineStr">
        <is>
          <t>Hồ Chí Minh</t>
        </is>
      </c>
      <c r="G20354" s="10" t="inlineStr">
        <is>
          <t>5</t>
        </is>
      </c>
      <c r="H20354" s="10" t="inlineStr">
        <is>
          <t>22/03/2026</t>
        </is>
      </c>
      <c r="I20354" s="10" t="inlineStr">
        <is>
          <t>17/03/2026</t>
        </is>
      </c>
      <c r="J20354" s="10" t="inlineStr">
        <is>
          <t>Nhân sự</t>
        </is>
      </c>
      <c r="K20354" s="10" t="inlineStr">
        <is>
          <t>8 - 15 Năm</t>
        </is>
      </c>
      <c r="L20354" s="11">
        <f>HYPERLINK("https://careerviet.vn/vi/tim-viec-lam/nova-service-group-truong-phong-quan-ly-nguon-nhan-luc-hrbp-manager.35C66355.html","Xem chi tiết")</f>
        <v/>
      </c>
      <c r="M20354" s="10" t="n"/>
    </row>
    <row r="20355">
      <c r="B20355" s="7" t="n">
        <v>20353</v>
      </c>
      <c r="C20355" t="inlineStr">
        <is>
          <t>Kế Toán Nội Bộ kiêm Hành Chính</t>
        </is>
      </c>
      <c r="D20355" t="inlineStr">
        <is>
          <t>CÔNG TY LUẬT TNHH MINH TÚ</t>
        </is>
      </c>
      <c r="E20355" t="inlineStr">
        <is>
          <t>Lương:8 Tr - 11 Tr VND</t>
        </is>
      </c>
      <c r="F20355" t="inlineStr">
        <is>
          <t>Hồ Chí Minh</t>
        </is>
      </c>
      <c r="G20355" t="inlineStr">
        <is>
          <t>6</t>
        </is>
      </c>
      <c r="H20355" t="inlineStr">
        <is>
          <t>23/03/2026</t>
        </is>
      </c>
      <c r="I20355" t="inlineStr">
        <is>
          <t>17/03/2026</t>
        </is>
      </c>
      <c r="J20355" t="inlineStr">
        <is>
          <t>Hành chính / Thư ký, Kế toán / Kiểm toán, Tài chính / Đầu tư</t>
        </is>
      </c>
      <c r="K20355" t="inlineStr">
        <is>
          <t>Trên 1 Năm</t>
        </is>
      </c>
      <c r="L20355" s="8">
        <f>HYPERLINK("https://careerviet.vn/vi/tim-viec-lam/ke-toan-noi-bo-kiem-hanh-chinh.35C664DC.html","Xem chi tiết")</f>
        <v/>
      </c>
    </row>
    <row r="20356">
      <c r="B20356" s="9" t="n">
        <v>20354</v>
      </c>
      <c r="C20356" s="10" t="inlineStr">
        <is>
          <t>Organizational Development Executive - Chuyên viên Phát triển Tổ chức</t>
        </is>
      </c>
      <c r="D20356" s="10" t="inlineStr">
        <is>
          <t>Công ty TNHH ADC</t>
        </is>
      </c>
      <c r="E20356" s="10" t="inlineStr">
        <is>
          <t>Lương:20 Tr - 30 Tr VND</t>
        </is>
      </c>
      <c r="F20356" s="10" t="inlineStr">
        <is>
          <t>Hồ Chí Minh</t>
        </is>
      </c>
      <c r="G20356" s="10" t="inlineStr">
        <is>
          <t>5</t>
        </is>
      </c>
      <c r="H20356" s="10" t="inlineStr">
        <is>
          <t>22/03/2026</t>
        </is>
      </c>
      <c r="I20356" s="10" t="inlineStr">
        <is>
          <t>17/03/2026</t>
        </is>
      </c>
      <c r="J20356" s="10" t="inlineStr">
        <is>
          <t>Quản lý điều hành, Nhân sự, Quản lý chất lượng (QA/QC)</t>
        </is>
      </c>
      <c r="K20356" s="10" t="inlineStr">
        <is>
          <t>5 - 7 Năm</t>
        </is>
      </c>
      <c r="L20356" s="11">
        <f>HYPERLINK("https://careerviet.vn/vi/tim-viec-lam/organizational-development-executive-chuyen-vien-phat-trien-to-chuc.35C63885.html","Xem chi tiết")</f>
        <v/>
      </c>
      <c r="M20356" s="10" t="n"/>
    </row>
    <row r="20357">
      <c r="B20357" s="7" t="n">
        <v>20355</v>
      </c>
      <c r="C20357" t="inlineStr">
        <is>
          <t>Quản Lý Cửa Hàng Thực Phẩm Đông Lạnh</t>
        </is>
      </c>
      <c r="D20357" t="inlineStr">
        <is>
          <t>Công ty TNHH Thương Mại City Foods</t>
        </is>
      </c>
      <c r="E20357" t="inlineStr">
        <is>
          <t>Lương:15 Tr - 20 Tr VND</t>
        </is>
      </c>
      <c r="F20357" t="inlineStr">
        <is>
          <t>Hồ Chí Minh</t>
        </is>
      </c>
      <c r="G20357" t="inlineStr">
        <is>
          <t>5</t>
        </is>
      </c>
      <c r="H20357" t="inlineStr">
        <is>
          <t>22/03/2026</t>
        </is>
      </c>
      <c r="I20357" t="inlineStr">
        <is>
          <t>17/03/2026</t>
        </is>
      </c>
      <c r="J20357" t="inlineStr">
        <is>
          <t>N/A</t>
        </is>
      </c>
      <c r="K20357" t="inlineStr">
        <is>
          <t>Trên 2 Năm</t>
        </is>
      </c>
      <c r="L20357" s="8">
        <f>HYPERLINK("https://careerviet.vn/vi/tim-viec-lam/quan-ly-cua-hang-thuc-pham-dong-lanh.35C63845.html","Xem chi tiết")</f>
        <v/>
      </c>
    </row>
    <row r="20358">
      <c r="B20358" s="9" t="n">
        <v>20356</v>
      </c>
      <c r="C20358" s="10" t="inlineStr">
        <is>
          <t>Nhân viên giao nhận Xưởng giặt là</t>
        </is>
      </c>
      <c r="D20358" s="10" t="inlineStr">
        <is>
          <t>Công Ty Cổ Phần A25 Hotel</t>
        </is>
      </c>
      <c r="E20358" s="10" t="inlineStr">
        <is>
          <t>Lương:11 Tr - 21 Tr VND</t>
        </is>
      </c>
      <c r="F20358" s="10" t="inlineStr">
        <is>
          <t>Hà Nội</t>
        </is>
      </c>
      <c r="G20358" s="10" t="inlineStr">
        <is>
          <t>5</t>
        </is>
      </c>
      <c r="H20358" s="10" t="inlineStr">
        <is>
          <t>22/03/2026</t>
        </is>
      </c>
      <c r="I20358" s="10" t="inlineStr">
        <is>
          <t>17/03/2026</t>
        </is>
      </c>
      <c r="J20358" s="10" t="inlineStr">
        <is>
          <t>Vận chuyển / Giao nhận / Kho vận, Sản xuất / Vận hành sản xuất</t>
        </is>
      </c>
      <c r="K20358" s="10" t="inlineStr">
        <is>
          <t>N/A</t>
        </is>
      </c>
      <c r="L20358" s="11">
        <f>HYPERLINK("https://careerviet.vn/vi/tim-viec-lam/nhan-vien-giao-nhan-xuong-giat-la.35C663D5.html","Xem chi tiết")</f>
        <v/>
      </c>
      <c r="M20358" s="10" t="n"/>
    </row>
    <row r="20359">
      <c r="B20359" s="7" t="n">
        <v>20357</v>
      </c>
      <c r="C20359" t="inlineStr">
        <is>
          <t>Kế Toán Thanh Toán</t>
        </is>
      </c>
      <c r="D20359" t="inlineStr">
        <is>
          <t>CÔNG TY CỔ PHẦN ĐẦU TƯ SÀI GÒN HIGH RISE</t>
        </is>
      </c>
      <c r="E20359" t="inlineStr">
        <is>
          <t>Lương:Cạnh tranh</t>
        </is>
      </c>
      <c r="F20359" t="inlineStr">
        <is>
          <t>Hồ Chí Minh</t>
        </is>
      </c>
      <c r="G20359" t="inlineStr">
        <is>
          <t>5</t>
        </is>
      </c>
      <c r="H20359" t="inlineStr">
        <is>
          <t>22/03/2026</t>
        </is>
      </c>
      <c r="I20359" t="inlineStr">
        <is>
          <t>17/03/2026</t>
        </is>
      </c>
      <c r="J20359" t="inlineStr">
        <is>
          <t>Kế toán / Kiểm toán, Ngân hàng, Tài chính / Đầu tư</t>
        </is>
      </c>
      <c r="K20359" t="inlineStr">
        <is>
          <t>Trên 3 Năm</t>
        </is>
      </c>
      <c r="L20359" s="8">
        <f>HYPERLINK("https://careerviet.vn/vi/tim-viec-lam/ke-toan-thanh-toan.35C6385B.html","Xem chi tiết")</f>
        <v/>
      </c>
    </row>
    <row r="20360">
      <c r="B20360" s="9" t="n">
        <v>20358</v>
      </c>
      <c r="C20360" s="10" t="inlineStr">
        <is>
          <t>Chuyên Viên Hỗ Trợ Kinh Doanh</t>
        </is>
      </c>
      <c r="D20360" s="10" t="inlineStr">
        <is>
          <t>CÔNG TY TNHH MỘT THÀNH VIÊN SÀN GIAO DỊCH BẤT ĐỘNG SẢN NAM LONG</t>
        </is>
      </c>
      <c r="E20360" s="10" t="inlineStr">
        <is>
          <t>Lương:Cạnh tranh</t>
        </is>
      </c>
      <c r="F20360" s="10" t="inlineStr">
        <is>
          <t>Hồ Chí Minh</t>
        </is>
      </c>
      <c r="G20360" s="10" t="inlineStr">
        <is>
          <t>5</t>
        </is>
      </c>
      <c r="H20360" s="10" t="inlineStr">
        <is>
          <t>22/03/2026</t>
        </is>
      </c>
      <c r="I20360" s="10" t="inlineStr">
        <is>
          <t>17/03/2026</t>
        </is>
      </c>
      <c r="J20360" s="10" t="inlineStr">
        <is>
          <t>Bán hàng / Kinh doanh, Bất động sản, Hành chính / Thư ký</t>
        </is>
      </c>
      <c r="K20360" s="10" t="inlineStr">
        <is>
          <t>Trên 3 Năm</t>
        </is>
      </c>
      <c r="L20360" s="11">
        <f>HYPERLINK("https://careerviet.vn/vi/tim-viec-lam/chuyen-vien-ho-tro-kinh-doanh.35C6642A.html","Xem chi tiết")</f>
        <v/>
      </c>
      <c r="M20360" s="10" t="n"/>
    </row>
    <row r="20361">
      <c r="B20361" s="7" t="n">
        <v>20359</v>
      </c>
      <c r="C20361" t="inlineStr">
        <is>
          <t>Production Director</t>
        </is>
      </c>
      <c r="D20361" t="inlineStr">
        <is>
          <t>Công Ty CP Vàng Bạc Đá Quý Phú Nhuận - PNJ</t>
        </is>
      </c>
      <c r="E20361" t="inlineStr">
        <is>
          <t>Lương:Cạnh tranh</t>
        </is>
      </c>
      <c r="F20361" t="inlineStr">
        <is>
          <t>Hồ Chí Minh</t>
        </is>
      </c>
      <c r="G20361" t="inlineStr">
        <is>
          <t>5</t>
        </is>
      </c>
      <c r="H20361" t="inlineStr">
        <is>
          <t>22/03/2026</t>
        </is>
      </c>
      <c r="I20361" t="inlineStr">
        <is>
          <t>17/03/2026</t>
        </is>
      </c>
      <c r="J20361" t="inlineStr">
        <is>
          <t>Sản xuất / Vận hành sản xuất</t>
        </is>
      </c>
      <c r="K20361" t="inlineStr">
        <is>
          <t>6 - 15 Năm</t>
        </is>
      </c>
      <c r="L20361" s="8">
        <f>HYPERLINK("https://careerviet.vn/vi/tim-viec-lam/production-director.35C6641D.html","Xem chi tiết")</f>
        <v/>
      </c>
    </row>
    <row r="20362">
      <c r="B20362" s="9" t="n">
        <v>20360</v>
      </c>
      <c r="C20362" s="10" t="inlineStr">
        <is>
          <t>Đại Diện Bán Hàng</t>
        </is>
      </c>
      <c r="D20362" s="10" t="inlineStr">
        <is>
          <t>Tập Đoàn Karofi Holding</t>
        </is>
      </c>
      <c r="E20362" s="10" t="inlineStr">
        <is>
          <t>Lương:16 Tr - 22 Tr VND</t>
        </is>
      </c>
      <c r="F20362" s="10" t="inlineStr">
        <is>
          <t>Hồ Chí MinhBình DươngBình Phước</t>
        </is>
      </c>
      <c r="G20362" s="10" t="inlineStr">
        <is>
          <t>5</t>
        </is>
      </c>
      <c r="H20362" s="10" t="inlineStr">
        <is>
          <t>22/03/2026</t>
        </is>
      </c>
      <c r="I20362" s="10" t="inlineStr">
        <is>
          <t>17/03/2026</t>
        </is>
      </c>
      <c r="J20362" s="10" t="inlineStr">
        <is>
          <t>Bán lẻ / Bán sỉ, Bán hàng / Kinh doanh, Hàng gia dụng / Chăm sóc cá nhân</t>
        </is>
      </c>
      <c r="K20362" s="10" t="inlineStr">
        <is>
          <t>Trên 1 Năm</t>
        </is>
      </c>
      <c r="L20362" s="11">
        <f>HYPERLINK("https://careerviet.vn/vi/tim-viec-lam/dai-dien-ban-hang.35C638BA.html","Xem chi tiết")</f>
        <v/>
      </c>
      <c r="M20362" s="10" t="n"/>
    </row>
    <row r="20363">
      <c r="B20363" s="7" t="n">
        <v>20361</v>
      </c>
      <c r="C20363" t="inlineStr">
        <is>
          <t>NHÂN VIÊN THAO TÁC MÁY CNC</t>
        </is>
      </c>
      <c r="D20363" t="inlineStr">
        <is>
          <t>CÔNG TY TNHH POUYUEN VIỆT NAM</t>
        </is>
      </c>
      <c r="E20363" t="inlineStr">
        <is>
          <t>Lương:Cạnh tranh</t>
        </is>
      </c>
      <c r="F20363" t="inlineStr">
        <is>
          <t>Hồ Chí Minh</t>
        </is>
      </c>
      <c r="G20363" t="inlineStr">
        <is>
          <t>5</t>
        </is>
      </c>
      <c r="H20363" t="inlineStr">
        <is>
          <t>22/03/2026</t>
        </is>
      </c>
      <c r="I20363" t="inlineStr">
        <is>
          <t>17/03/2026</t>
        </is>
      </c>
      <c r="J20363" t="inlineStr">
        <is>
          <t>Sản xuất / Vận hành sản xuất, Dệt may / Da giày / Thời trang</t>
        </is>
      </c>
      <c r="K20363" t="inlineStr">
        <is>
          <t>N/A</t>
        </is>
      </c>
      <c r="L20363" s="8">
        <f>HYPERLINK("https://careerviet.vn/vi/tim-viec-lam/nhan-vien-thao-tac-may-cnc.35C637D9.html","Xem chi tiết")</f>
        <v/>
      </c>
    </row>
    <row r="20364">
      <c r="B20364" s="9" t="n">
        <v>20362</v>
      </c>
      <c r="C20364" s="10" t="inlineStr">
        <is>
          <t>Trưởng bộ phận Tác nghiệp Kinh doanh Nguồn vốn</t>
        </is>
      </c>
      <c r="D20364" s="10" t="inlineStr">
        <is>
          <t>BVBank - Ngân hàng Bản Việt</t>
        </is>
      </c>
      <c r="E20364" s="10" t="inlineStr">
        <is>
          <t>Lương:Cạnh tranh</t>
        </is>
      </c>
      <c r="F20364" s="10" t="inlineStr">
        <is>
          <t>Hồ Chí Minh</t>
        </is>
      </c>
      <c r="G20364" s="10" t="inlineStr">
        <is>
          <t>5</t>
        </is>
      </c>
      <c r="H20364" s="10" t="inlineStr">
        <is>
          <t>22/03/2026</t>
        </is>
      </c>
      <c r="I20364" s="10" t="inlineStr">
        <is>
          <t>17/03/2026</t>
        </is>
      </c>
      <c r="J20364" s="10" t="inlineStr">
        <is>
          <t>Ngân hàng, Tài chính / Đầu tư</t>
        </is>
      </c>
      <c r="K20364" s="10" t="inlineStr">
        <is>
          <t>5 - 6 Năm</t>
        </is>
      </c>
      <c r="L20364" s="11">
        <f>HYPERLINK("https://careerviet.vn/vi/tim-viec-lam/truong-bo-phan-tac-nghiep-kinh-doanh-nguon-von.35C663EC.html","Xem chi tiết")</f>
        <v/>
      </c>
      <c r="M20364" s="10" t="n"/>
    </row>
    <row r="20365">
      <c r="B20365" s="7" t="n">
        <v>20363</v>
      </c>
      <c r="C20365" t="inlineStr">
        <is>
          <t>NHÂN VIÊN PHÁT TRIỂN KINH DOANH  [CƠ KHÍ -  CỦ CHI]</t>
        </is>
      </c>
      <c r="D20365" t="inlineStr">
        <is>
          <t>CÔNG TY CP SAIGON AUTO SUPPORTING INDUSTRY</t>
        </is>
      </c>
      <c r="E20365" t="inlineStr">
        <is>
          <t>Lương:Cạnh tranh</t>
        </is>
      </c>
      <c r="F20365" t="inlineStr">
        <is>
          <t>Hồ Chí Minh</t>
        </is>
      </c>
      <c r="G20365" t="inlineStr">
        <is>
          <t>5</t>
        </is>
      </c>
      <c r="H20365" t="inlineStr">
        <is>
          <t>22/03/2026</t>
        </is>
      </c>
      <c r="I20365" t="inlineStr">
        <is>
          <t>17/03/2026</t>
        </is>
      </c>
      <c r="J20365" t="inlineStr">
        <is>
          <t>Cơ khí / Ô tô / Tự động hóa, Thu mua / Vật tư, Bán Hàng Kỹ Thuật</t>
        </is>
      </c>
      <c r="K20365" t="inlineStr">
        <is>
          <t>1 - 2 Năm</t>
        </is>
      </c>
      <c r="L20365" s="8">
        <f>HYPERLINK("https://careerviet.vn/vi/tim-viec-lam/nhan-vien-phat-trien-kinh-doanh-co-khi-cu-chi.35C6631E.html","Xem chi tiết")</f>
        <v/>
      </c>
    </row>
    <row r="20366">
      <c r="B20366" s="9" t="n">
        <v>20364</v>
      </c>
      <c r="C20366" s="10" t="inlineStr">
        <is>
          <t>Nhân Viên Hành Chính Tổng Hợp</t>
        </is>
      </c>
      <c r="D20366" s="10" t="inlineStr">
        <is>
          <t>TẬP ĐOÀN Y TẾ VIỆT - NGA</t>
        </is>
      </c>
      <c r="E20366" s="10" t="inlineStr">
        <is>
          <t>Lương:10 Tr - 15 Tr VND</t>
        </is>
      </c>
      <c r="F20366" s="10" t="inlineStr">
        <is>
          <t>Hà Nội</t>
        </is>
      </c>
      <c r="G20366" s="10" t="inlineStr">
        <is>
          <t>5</t>
        </is>
      </c>
      <c r="H20366" s="10" t="inlineStr">
        <is>
          <t>22/03/2026</t>
        </is>
      </c>
      <c r="I20366" s="10" t="inlineStr">
        <is>
          <t>17/03/2026</t>
        </is>
      </c>
      <c r="J20366" s="10" t="inlineStr">
        <is>
          <t>Dịch vụ khách hàng, Hành chính / Thư ký, Nhân sự</t>
        </is>
      </c>
      <c r="K20366" s="10" t="inlineStr">
        <is>
          <t>Trên 1 Năm</t>
        </is>
      </c>
      <c r="L20366" s="11">
        <f>HYPERLINK("https://careerviet.vn/vi/tim-viec-lam/nhan-vien-hanh-chinh-tong-hop.35C6385A.html","Xem chi tiết")</f>
        <v/>
      </c>
      <c r="M20366" s="10" t="n"/>
    </row>
    <row r="20367">
      <c r="B20367" s="7" t="n">
        <v>20365</v>
      </c>
      <c r="C20367" t="inlineStr">
        <is>
          <t>Quản Lý DA Chung Cư Cấp 1</t>
        </is>
      </c>
      <c r="D20367" t="inlineStr">
        <is>
          <t>CÔNG TY CỔ PHẦN ĐẦU TƯ HẠ TẦNG DONACOOP</t>
        </is>
      </c>
      <c r="E20367" t="inlineStr">
        <is>
          <t>Lương:Cạnh tranh</t>
        </is>
      </c>
      <c r="F20367" t="inlineStr">
        <is>
          <t>Đồng Nai</t>
        </is>
      </c>
      <c r="G20367" t="inlineStr">
        <is>
          <t>5</t>
        </is>
      </c>
      <c r="H20367" t="inlineStr">
        <is>
          <t>22/03/2026</t>
        </is>
      </c>
      <c r="I20367" t="inlineStr">
        <is>
          <t>17/03/2026</t>
        </is>
      </c>
      <c r="J20367" t="inlineStr">
        <is>
          <t>Tài chính / Đầu tư, Quản lý chất lượng (QA/QC), An toàn lao động</t>
        </is>
      </c>
      <c r="K20367" t="inlineStr">
        <is>
          <t>Trên 5 Năm</t>
        </is>
      </c>
      <c r="L20367" s="8">
        <f>HYPERLINK("https://careerviet.vn/vi/tim-viec-lam/quan-ly-da-chung-cu-cap-1.35C66416.html","Xem chi tiết")</f>
        <v/>
      </c>
    </row>
    <row r="20368">
      <c r="B20368" s="9" t="n">
        <v>20366</v>
      </c>
      <c r="C20368" s="10" t="inlineStr">
        <is>
          <t>Việt Yên (Bắc Giang) - Chuyên viên Khách hàng cá nhân</t>
        </is>
      </c>
      <c r="D20368" s="10" t="inlineStr">
        <is>
          <t>Ngân hàng TMCP Lộc Phát Việt Nam (LPBank)</t>
        </is>
      </c>
      <c r="E20368" s="10" t="inlineStr">
        <is>
          <t>Lương:Cạnh tranh</t>
        </is>
      </c>
      <c r="F20368" s="10" t="inlineStr">
        <is>
          <t>Bắc Giang</t>
        </is>
      </c>
      <c r="G20368" s="10" t="inlineStr">
        <is>
          <t>5</t>
        </is>
      </c>
      <c r="H20368" s="10" t="inlineStr">
        <is>
          <t>22/03/2026</t>
        </is>
      </c>
      <c r="I20368" s="10" t="inlineStr">
        <is>
          <t>17/03/2026</t>
        </is>
      </c>
      <c r="J20368" s="10" t="inlineStr">
        <is>
          <t>Bán hàng / Kinh doanh, Kế toán / Kiểm toán, Ngân hàng</t>
        </is>
      </c>
      <c r="K20368" s="10" t="inlineStr">
        <is>
          <t>N/A</t>
        </is>
      </c>
      <c r="L20368" s="11">
        <f>HYPERLINK("https://careerviet.vn/vi/tim-viec-lam/viet-yen-bac-giang-chuyen-vien-khach-hang-ca-nhan.35C662B5.html","Xem chi tiết")</f>
        <v/>
      </c>
      <c r="M20368" s="10" t="n"/>
    </row>
    <row r="20369">
      <c r="B20369" s="7" t="n">
        <v>20367</v>
      </c>
      <c r="C20369" t="inlineStr">
        <is>
          <t>NV THIẾT KẾ ĐỒ HỌA (GRAPHIC DISIGN)</t>
        </is>
      </c>
      <c r="D20369" t="inlineStr">
        <is>
          <t>Công Ty TNHH Sản Xuất Kinh Doanh Hai Thành</t>
        </is>
      </c>
      <c r="E20369" t="inlineStr">
        <is>
          <t>Lương:15 Tr - 17 Tr VND</t>
        </is>
      </c>
      <c r="F20369" t="inlineStr">
        <is>
          <t>Hồ Chí Minh</t>
        </is>
      </c>
      <c r="G20369" t="inlineStr">
        <is>
          <t>5</t>
        </is>
      </c>
      <c r="H20369" t="inlineStr">
        <is>
          <t>22/03/2026</t>
        </is>
      </c>
      <c r="I20369" t="inlineStr">
        <is>
          <t>17/03/2026</t>
        </is>
      </c>
      <c r="J20369" t="inlineStr">
        <is>
          <t>Mỹ thuật / Nghệ thuật / Thiết kế, Quảng cáo / Đối ngoại / Truyền Thông, Kiến trúc</t>
        </is>
      </c>
      <c r="K20369" t="inlineStr">
        <is>
          <t>3 - 5 Năm</t>
        </is>
      </c>
      <c r="L20369" s="8">
        <f>HYPERLINK("https://careerviet.vn/vi/tim-viec-lam/nv-thiet-ke-do-hoa-graphic-disign.35C66354.html","Xem chi tiết")</f>
        <v/>
      </c>
    </row>
    <row r="20370">
      <c r="B20370" s="9" t="n">
        <v>20368</v>
      </c>
      <c r="C20370" s="10" t="inlineStr">
        <is>
          <t>Maintenance Supervisor</t>
        </is>
      </c>
      <c r="D20370" s="10" t="inlineStr">
        <is>
          <t>Công ty TNHH Olam Việt Nam</t>
        </is>
      </c>
      <c r="E20370" s="10" t="inlineStr">
        <is>
          <t>Lương:Cạnh tranh</t>
        </is>
      </c>
      <c r="F20370" s="10" t="inlineStr">
        <is>
          <t>Đồng Nai</t>
        </is>
      </c>
      <c r="G20370" s="10" t="inlineStr">
        <is>
          <t>5</t>
        </is>
      </c>
      <c r="H20370" s="10" t="inlineStr">
        <is>
          <t>22/03/2026</t>
        </is>
      </c>
      <c r="I20370" s="10" t="inlineStr">
        <is>
          <t>17/03/2026</t>
        </is>
      </c>
      <c r="J20370" s="10" t="inlineStr">
        <is>
          <t>Điện / Điện tử / Điện lạnh / Điện công nghiệp, Bảo trì / Sửa chữa, Sản xuất / Vận hành sản xuất</t>
        </is>
      </c>
      <c r="K20370" s="10" t="inlineStr">
        <is>
          <t>2 - 8 Năm</t>
        </is>
      </c>
      <c r="L20370" s="11">
        <f>HYPERLINK("https://careerviet.vn/vi/tim-viec-lam/maintenance-supervisor.35C6635A.html","Xem chi tiết")</f>
        <v/>
      </c>
      <c r="M20370" s="10" t="n"/>
    </row>
    <row r="20371">
      <c r="B20371" s="7" t="n">
        <v>20369</v>
      </c>
      <c r="C20371" t="inlineStr">
        <is>
          <t>Nhân Viên Content Creator</t>
        </is>
      </c>
      <c r="D20371" t="inlineStr">
        <is>
          <t>CÔNG TY TNHH KHÁM PHÁ TRẢI NGHIỆM TỔ ONG</t>
        </is>
      </c>
      <c r="E20371" t="inlineStr">
        <is>
          <t>Lương:Cạnh tranh</t>
        </is>
      </c>
      <c r="F20371" t="inlineStr">
        <is>
          <t>Hà Nội</t>
        </is>
      </c>
      <c r="G20371" t="inlineStr">
        <is>
          <t>5</t>
        </is>
      </c>
      <c r="H20371" t="inlineStr">
        <is>
          <t>22/03/2026</t>
        </is>
      </c>
      <c r="I20371" t="inlineStr">
        <is>
          <t>17/03/2026</t>
        </is>
      </c>
      <c r="J20371" t="inlineStr">
        <is>
          <t>Tiếp thị / Marketing, Tiếp thị trực tuyến, Quảng cáo / Đối ngoại / Truyền Thông</t>
        </is>
      </c>
      <c r="K20371" t="inlineStr">
        <is>
          <t>Trên 1 Năm</t>
        </is>
      </c>
      <c r="L20371" s="8">
        <f>HYPERLINK("https://careerviet.vn/vi/tim-viec-lam/nhan-vien-content-creator.35C637E6.html","Xem chi tiết")</f>
        <v/>
      </c>
    </row>
    <row r="20372">
      <c r="B20372" s="9" t="n">
        <v>20370</v>
      </c>
      <c r="C20372" s="10" t="inlineStr">
        <is>
          <t>Trợ lý/thư ký Tổng Giám đốc</t>
        </is>
      </c>
      <c r="D20372" s="10" t="inlineStr">
        <is>
          <t>CÔNG TY CỔ PHẦN ĐẦU TƯ HẠ TẦNG DONACOOP</t>
        </is>
      </c>
      <c r="E20372" s="10" t="inlineStr">
        <is>
          <t>Lương:Cạnh tranh</t>
        </is>
      </c>
      <c r="F20372" s="10" t="inlineStr">
        <is>
          <t>Đồng Nai</t>
        </is>
      </c>
      <c r="G20372" s="10" t="inlineStr">
        <is>
          <t>5</t>
        </is>
      </c>
      <c r="H20372" s="10" t="inlineStr">
        <is>
          <t>22/03/2026</t>
        </is>
      </c>
      <c r="I20372" s="10" t="inlineStr">
        <is>
          <t>17/03/2026</t>
        </is>
      </c>
      <c r="J20372" s="10" t="inlineStr">
        <is>
          <t>Luật / Pháp lý, Hành chính / Thư ký, Kế toán / Kiểm toán</t>
        </is>
      </c>
      <c r="K20372" s="10" t="inlineStr">
        <is>
          <t>Trên 3 Năm</t>
        </is>
      </c>
      <c r="L20372" s="11">
        <f>HYPERLINK("https://careerviet.vn/vi/tim-viec-lam/tro-ly-thu-ky-tong-giam-doc.35C663FE.html","Xem chi tiết")</f>
        <v/>
      </c>
      <c r="M20372" s="10" t="n"/>
    </row>
    <row r="20373">
      <c r="B20373" s="7" t="n">
        <v>20371</v>
      </c>
      <c r="C20373" t="inlineStr">
        <is>
          <t>[NOVAGROUP] TRỢ LÝ BAN GIÁM ĐỐC (PHỤ TRÁCH MẢNG KHÁCH SẠN)</t>
        </is>
      </c>
      <c r="D20373" t="inlineStr">
        <is>
          <t>NovaGroup - Công ty Cổ phần NovaGroup</t>
        </is>
      </c>
      <c r="E20373" t="inlineStr">
        <is>
          <t>Lương:Cạnh tranh</t>
        </is>
      </c>
      <c r="F20373" t="inlineStr">
        <is>
          <t>Hồ Chí Minh</t>
        </is>
      </c>
      <c r="G20373" t="inlineStr">
        <is>
          <t>5</t>
        </is>
      </c>
      <c r="H20373" t="inlineStr">
        <is>
          <t>22/03/2026</t>
        </is>
      </c>
      <c r="I20373" t="inlineStr">
        <is>
          <t>17/03/2026</t>
        </is>
      </c>
      <c r="J20373" t="inlineStr">
        <is>
          <t>Quản lý điều hành, Nhà hàng / Khách sạn, Du lịch</t>
        </is>
      </c>
      <c r="K20373" t="inlineStr">
        <is>
          <t>10 - 15 Năm</t>
        </is>
      </c>
      <c r="L20373" s="8">
        <f>HYPERLINK("https://careerviet.vn/vi/tim-viec-lam/novagroup-tro-ly-ban-giam-doc-phu-trach-mang-khach-san.35C63757.html","Xem chi tiết")</f>
        <v/>
      </c>
    </row>
    <row r="20374">
      <c r="B20374" s="9" t="n">
        <v>20372</v>
      </c>
      <c r="C20374" s="10" t="inlineStr">
        <is>
          <t>Trưởng phòng Xử lý nợ hiện trường tín chấp KHCN Miền Bắc</t>
        </is>
      </c>
      <c r="D20374" s="10" t="inlineStr">
        <is>
          <t>Ngân Hàng TMCP Việt Nam Thịnh Vượng - VPBANK</t>
        </is>
      </c>
      <c r="E20374" s="10" t="inlineStr">
        <is>
          <t>Lương:40 Tr - 60 Tr VND</t>
        </is>
      </c>
      <c r="F20374" s="10" t="inlineStr">
        <is>
          <t>Hà NộiThanh HóaNghệ An</t>
        </is>
      </c>
      <c r="G20374" s="10" t="inlineStr">
        <is>
          <t>5</t>
        </is>
      </c>
      <c r="H20374" s="10" t="inlineStr">
        <is>
          <t>22/03/2026</t>
        </is>
      </c>
      <c r="I20374" s="10" t="inlineStr">
        <is>
          <t>17/03/2026</t>
        </is>
      </c>
      <c r="J20374" s="10" t="inlineStr">
        <is>
          <t>Luật / Pháp lý, Ngân hàng, Tài chính / Đầu tư</t>
        </is>
      </c>
      <c r="K20374" s="10" t="inlineStr">
        <is>
          <t>5 - 10 Năm</t>
        </is>
      </c>
      <c r="L20374" s="11">
        <f>HYPERLINK("https://careerviet.vn/vi/tim-viec-lam/truong-phong-xu-ly-no-hien-truong-tin-chap-khcn-mien-bac.35C66432.html","Xem chi tiết")</f>
        <v/>
      </c>
      <c r="M20374" s="10" t="n"/>
    </row>
    <row r="20375">
      <c r="B20375" s="7" t="n">
        <v>20373</v>
      </c>
      <c r="C20375" t="inlineStr">
        <is>
          <t>Export Sales (Agriculture)</t>
        </is>
      </c>
      <c r="D20375" t="inlineStr">
        <is>
          <t>Công ty cổ phần Nafoods Group</t>
        </is>
      </c>
      <c r="E20375" t="inlineStr">
        <is>
          <t>Lương:15 Tr - 22 Tr VND</t>
        </is>
      </c>
      <c r="F20375" t="inlineStr">
        <is>
          <t>Hồ Chí Minh</t>
        </is>
      </c>
      <c r="G20375" t="inlineStr">
        <is>
          <t>5</t>
        </is>
      </c>
      <c r="H20375" t="inlineStr">
        <is>
          <t>22/03/2026</t>
        </is>
      </c>
      <c r="I20375" t="inlineStr">
        <is>
          <t>17/03/2026</t>
        </is>
      </c>
      <c r="J20375" t="inlineStr">
        <is>
          <t>Bán hàng / Kinh doanh, Xuất nhập khẩu</t>
        </is>
      </c>
      <c r="K20375" t="inlineStr">
        <is>
          <t>3 - 5 Năm</t>
        </is>
      </c>
      <c r="L20375" s="8">
        <f>HYPERLINK("https://careerviet.vn/vi/tim-viec-lam/export-sales-agriculture.35C66297.html","Xem chi tiết")</f>
        <v/>
      </c>
    </row>
    <row r="20376">
      <c r="B20376" s="9" t="n">
        <v>20374</v>
      </c>
      <c r="C20376" s="10" t="inlineStr">
        <is>
          <t>Kế Toán Chi Phí (Quận 10)</t>
        </is>
      </c>
      <c r="D20376" s="10" t="inlineStr">
        <is>
          <t>TRƯỜNG QUỐC TẾ BLUE RIDGE / BLUE RIDGE INTERNATIONAL SCHOOL (BRIS)</t>
        </is>
      </c>
      <c r="E20376" s="10" t="inlineStr">
        <is>
          <t>Lương:9 Tr - 12 Tr VND</t>
        </is>
      </c>
      <c r="F20376" s="10" t="inlineStr">
        <is>
          <t>Hồ Chí Minh</t>
        </is>
      </c>
      <c r="G20376" s="10" t="inlineStr">
        <is>
          <t>5</t>
        </is>
      </c>
      <c r="H20376" s="10" t="inlineStr">
        <is>
          <t>22/03/2026</t>
        </is>
      </c>
      <c r="I20376" s="10" t="inlineStr">
        <is>
          <t>17/03/2026</t>
        </is>
      </c>
      <c r="J20376" s="10" t="inlineStr">
        <is>
          <t>Kế toán / Kiểm toán</t>
        </is>
      </c>
      <c r="K20376" s="10" t="inlineStr">
        <is>
          <t>2 - 3 Năm</t>
        </is>
      </c>
      <c r="L20376" s="11">
        <f>HYPERLINK("https://careerviet.vn/vi/tim-viec-lam/ke-toan-chi-phi-quan-10.35C63713.html","Xem chi tiết")</f>
        <v/>
      </c>
      <c r="M20376" s="10" t="n"/>
    </row>
    <row r="20377">
      <c r="B20377" s="7" t="n">
        <v>20375</v>
      </c>
      <c r="C20377" t="inlineStr">
        <is>
          <t>Nhân Viên Kỹ Thuật Điện</t>
        </is>
      </c>
      <c r="D20377" t="inlineStr">
        <is>
          <t>CÔNG TY CỔ PHẦN WEI XERN SIN VIỆT NAM</t>
        </is>
      </c>
      <c r="E20377" t="inlineStr">
        <is>
          <t>Lương:Cạnh tranh</t>
        </is>
      </c>
      <c r="F20377" t="inlineStr">
        <is>
          <t>Quảng Nam</t>
        </is>
      </c>
      <c r="G20377" t="inlineStr">
        <is>
          <t>5</t>
        </is>
      </c>
      <c r="H20377" t="inlineStr">
        <is>
          <t>22/03/2026</t>
        </is>
      </c>
      <c r="I20377" t="inlineStr">
        <is>
          <t>17/03/2026</t>
        </is>
      </c>
      <c r="J20377" t="inlineStr">
        <is>
          <t>Điện / Điện tử / Điện lạnh / Điện công nghiệp, Bảo trì / Sửa chữa</t>
        </is>
      </c>
      <c r="K20377" t="inlineStr">
        <is>
          <t>N/A</t>
        </is>
      </c>
      <c r="L20377" s="8">
        <f>HYPERLINK("https://careerviet.vn/vi/tim-viec-lam/nhan-vien-ky-thuat-dien.35C63752.html","Xem chi tiết")</f>
        <v/>
      </c>
    </row>
    <row r="20378">
      <c r="B20378" s="9" t="n">
        <v>20376</v>
      </c>
      <c r="C20378" s="10" t="inlineStr">
        <is>
          <t>Nhân viên sản xuất</t>
        </is>
      </c>
      <c r="D20378" s="10" t="inlineStr">
        <is>
          <t>CÔNG TY TNHH ARCHER DANIELS MIDLAND VN</t>
        </is>
      </c>
      <c r="E20378" s="10" t="inlineStr">
        <is>
          <t>Lương:Cạnh tranh</t>
        </is>
      </c>
      <c r="F20378" s="10" t="inlineStr">
        <is>
          <t>Hà Nam</t>
        </is>
      </c>
      <c r="G20378" s="10" t="inlineStr">
        <is>
          <t>5</t>
        </is>
      </c>
      <c r="H20378" s="10" t="inlineStr">
        <is>
          <t>22/03/2026</t>
        </is>
      </c>
      <c r="I20378" s="10" t="inlineStr">
        <is>
          <t>17/03/2026</t>
        </is>
      </c>
      <c r="J20378" s="10" t="inlineStr">
        <is>
          <t>Sản xuất / Vận hành sản xuất</t>
        </is>
      </c>
      <c r="K20378" s="10" t="inlineStr">
        <is>
          <t>N/A</t>
        </is>
      </c>
      <c r="L20378" s="11">
        <f>HYPERLINK("https://careerviet.vn/vi/tim-viec-lam/nhan-vien-san-xuat.35C6642C.html","Xem chi tiết")</f>
        <v/>
      </c>
      <c r="M20378" s="10" t="n"/>
    </row>
    <row r="20379">
      <c r="B20379" s="7" t="n">
        <v>20377</v>
      </c>
      <c r="C20379" t="inlineStr">
        <is>
          <t>Trưởng phòng Dịch vụ Khách hàng - SHB Campuchia</t>
        </is>
      </c>
      <c r="D20379" t="inlineStr">
        <is>
          <t>Ngân Hàng TMCP Sài Gòn - Hà Nội ( SHB )</t>
        </is>
      </c>
      <c r="E20379" t="inlineStr">
        <is>
          <t>Lương:Cạnh tranh</t>
        </is>
      </c>
      <c r="F20379" t="inlineStr">
        <is>
          <t>Phnompenh</t>
        </is>
      </c>
      <c r="G20379" t="inlineStr">
        <is>
          <t>5</t>
        </is>
      </c>
      <c r="H20379" t="inlineStr">
        <is>
          <t>22/03/2026</t>
        </is>
      </c>
      <c r="I20379" t="inlineStr">
        <is>
          <t>17/03/2026</t>
        </is>
      </c>
      <c r="J20379" t="inlineStr">
        <is>
          <t>Ngân hàng</t>
        </is>
      </c>
      <c r="K20379" t="inlineStr">
        <is>
          <t>Trên 3 Năm</t>
        </is>
      </c>
      <c r="L20379" s="8">
        <f>HYPERLINK("https://careerviet.vn/vi/tim-viec-lam/truong-phong-dich-vu-khach-hang-shb-campuchia.35C63897.html","Xem chi tiết")</f>
        <v/>
      </c>
    </row>
    <row r="20380">
      <c r="B20380" s="9" t="n">
        <v>20378</v>
      </c>
      <c r="C20380" s="10" t="inlineStr">
        <is>
          <t>HCNS kiêm Phiên dịch tiếng Nhật</t>
        </is>
      </c>
      <c r="D20380" s="10" t="inlineStr">
        <is>
          <t>CÔNG TY TNHH JOB HOUSE</t>
        </is>
      </c>
      <c r="E20380" s="10" t="inlineStr">
        <is>
          <t>Lương:12 Tr - 20 Tr VND</t>
        </is>
      </c>
      <c r="F20380" s="10" t="inlineStr">
        <is>
          <t>Đồng NaiHồ Chí Minh</t>
        </is>
      </c>
      <c r="G20380" s="10" t="inlineStr">
        <is>
          <t>5</t>
        </is>
      </c>
      <c r="H20380" s="10" t="inlineStr">
        <is>
          <t>22/03/2026</t>
        </is>
      </c>
      <c r="I20380" s="10" t="inlineStr">
        <is>
          <t>17/03/2026</t>
        </is>
      </c>
      <c r="J20380" s="10" t="inlineStr">
        <is>
          <t>Nhân sự, Biên phiên dịch</t>
        </is>
      </c>
      <c r="K20380" s="10" t="inlineStr">
        <is>
          <t>Trên 2 Năm</t>
        </is>
      </c>
      <c r="L20380" s="11">
        <f>HYPERLINK("https://careerviet.vn/vi/tim-viec-lam/hcns-kiem-phien-dich-tieng-nhat.35C662CC.html","Xem chi tiết")</f>
        <v/>
      </c>
      <c r="M20380" s="10" t="n"/>
    </row>
    <row r="20381">
      <c r="B20381" s="7" t="n">
        <v>20379</v>
      </c>
      <c r="C20381" t="inlineStr">
        <is>
          <t>Nhân viên sàn thương mại điện tử</t>
        </is>
      </c>
      <c r="D20381" t="inlineStr">
        <is>
          <t>Công ty cổ phần văn phòng phẩm Hồng Hà</t>
        </is>
      </c>
      <c r="E20381" t="inlineStr">
        <is>
          <t>Lương:9 Tr - 13 Tr VND</t>
        </is>
      </c>
      <c r="F20381" t="inlineStr">
        <is>
          <t>Hà Nội</t>
        </is>
      </c>
      <c r="G20381" t="inlineStr">
        <is>
          <t>5</t>
        </is>
      </c>
      <c r="H20381" t="inlineStr">
        <is>
          <t>22/03/2026</t>
        </is>
      </c>
      <c r="I20381" t="inlineStr">
        <is>
          <t>17/03/2026</t>
        </is>
      </c>
      <c r="J20381" t="inlineStr">
        <is>
          <t>Tiếp thị / Marketing, Bán lẻ / Bán sỉ, Bán hàng / Kinh doanh</t>
        </is>
      </c>
      <c r="K20381" t="inlineStr">
        <is>
          <t>1 - 2 Năm</t>
        </is>
      </c>
      <c r="L20381" s="8">
        <f>HYPERLINK("https://careerviet.vn/vi/tim-viec-lam/nhan-vien-san-thuong-mai-dien-tu.35C638B0.html","Xem chi tiết")</f>
        <v/>
      </c>
    </row>
    <row r="20382">
      <c r="B20382" s="9" t="n">
        <v>20380</v>
      </c>
      <c r="C20382" s="10" t="inlineStr">
        <is>
          <t>NHÂN VIÊN KINH DOANH KÊNH FS MIỀN BẮC</t>
        </is>
      </c>
      <c r="D20382" s="10" t="inlineStr">
        <is>
          <t>CÔNG TY TNHH THỰC PHẨM CUỘC SỐNG</t>
        </is>
      </c>
      <c r="E20382" s="10" t="inlineStr">
        <is>
          <t>Lương:12 Tr - 14 Tr VND</t>
        </is>
      </c>
      <c r="F20382" s="10" t="inlineStr">
        <is>
          <t>Hà Nội</t>
        </is>
      </c>
      <c r="G20382" s="10" t="inlineStr">
        <is>
          <t>5</t>
        </is>
      </c>
      <c r="H20382" s="10" t="inlineStr">
        <is>
          <t>22/03/2026</t>
        </is>
      </c>
      <c r="I20382" s="10" t="inlineStr">
        <is>
          <t>17/03/2026</t>
        </is>
      </c>
      <c r="J20382" s="10" t="inlineStr">
        <is>
          <t>Bán hàng / Kinh doanh, Tư vấn, Thực phẩm &amp; Đồ uống</t>
        </is>
      </c>
      <c r="K20382" s="10" t="inlineStr">
        <is>
          <t>N/A</t>
        </is>
      </c>
      <c r="L20382" s="11">
        <f>HYPERLINK("https://careerviet.vn/vi/tim-viec-lam/nhan-vien-kinh-doanh-kenh-fs-mien-bac.35C6386D.html","Xem chi tiết")</f>
        <v/>
      </c>
      <c r="M20382" s="10" t="n"/>
    </row>
    <row r="20383">
      <c r="B20383" s="7" t="n">
        <v>20381</v>
      </c>
      <c r="C20383" t="inlineStr">
        <is>
          <t>Chuyên viên Tiếp thị &amp; QHKH - PGD Hoàng Diệu - Chi nhánh Đà Nẵng</t>
        </is>
      </c>
      <c r="D20383" t="inlineStr">
        <is>
          <t>Indovina Bank Ltd.</t>
        </is>
      </c>
      <c r="E20383" t="inlineStr">
        <is>
          <t>Lương:Cạnh tranh</t>
        </is>
      </c>
      <c r="F20383" t="inlineStr">
        <is>
          <t>Đà Nẵng</t>
        </is>
      </c>
      <c r="G20383" t="inlineStr">
        <is>
          <t>5</t>
        </is>
      </c>
      <c r="H20383" t="inlineStr">
        <is>
          <t>22/03/2026</t>
        </is>
      </c>
      <c r="I20383" t="inlineStr">
        <is>
          <t>17/03/2026</t>
        </is>
      </c>
      <c r="J20383" t="inlineStr">
        <is>
          <t>Bán hàng / Kinh doanh, Ngân hàng, Tài chính / Đầu tư</t>
        </is>
      </c>
      <c r="K20383" t="inlineStr">
        <is>
          <t>Trên 1 Năm</t>
        </is>
      </c>
      <c r="L20383" s="8">
        <f>HYPERLINK("https://careerviet.vn/vi/tim-viec-lam/chuyen-vien-tiep-thi-qhkh-pgd-hoang-dieu-chi-nhanh-da-nang.35C6627A.html","Xem chi tiết")</f>
        <v/>
      </c>
    </row>
    <row r="20384">
      <c r="B20384" s="9" t="n">
        <v>20382</v>
      </c>
      <c r="C20384" s="10" t="inlineStr">
        <is>
          <t>Kỹ Sư Điện</t>
        </is>
      </c>
      <c r="D20384" s="10" t="inlineStr">
        <is>
          <t>CÔNG TY TNHH TNT TECHNOLOGY</t>
        </is>
      </c>
      <c r="E20384" s="10" t="inlineStr">
        <is>
          <t>Lương:15 Tr - 25 Tr VND</t>
        </is>
      </c>
      <c r="F20384" s="10" t="inlineStr">
        <is>
          <t>Bình Dương</t>
        </is>
      </c>
      <c r="G20384" s="10" t="inlineStr">
        <is>
          <t>5</t>
        </is>
      </c>
      <c r="H20384" s="10" t="inlineStr">
        <is>
          <t>22/03/2026</t>
        </is>
      </c>
      <c r="I20384" s="10" t="inlineStr">
        <is>
          <t>17/03/2026</t>
        </is>
      </c>
      <c r="J20384" s="10" t="inlineStr">
        <is>
          <t>Điện / Điện tử / Điện lạnh / Điện công nghiệp, Bảo trì / Sửa chữa, Cơ khí / Ô tô / Tự động hóa</t>
        </is>
      </c>
      <c r="K20384" s="10" t="inlineStr">
        <is>
          <t>3 - 5 Năm</t>
        </is>
      </c>
      <c r="L20384" s="11">
        <f>HYPERLINK("https://careerviet.vn/vi/tim-viec-lam/ky-su-dien.35C63854.html","Xem chi tiết")</f>
        <v/>
      </c>
      <c r="M20384" s="10" t="n"/>
    </row>
    <row r="20385">
      <c r="B20385" s="7" t="n">
        <v>20383</v>
      </c>
      <c r="C20385" t="inlineStr">
        <is>
          <t>Kế Toán Nội Bộ</t>
        </is>
      </c>
      <c r="D20385" t="inlineStr">
        <is>
          <t>Công ty TNHH Kanzen Việt Nam</t>
        </is>
      </c>
      <c r="E20385" t="inlineStr">
        <is>
          <t>Lương:8 Tr - 12 Tr VND</t>
        </is>
      </c>
      <c r="F20385" t="inlineStr">
        <is>
          <t>Hưng Yên</t>
        </is>
      </c>
      <c r="G20385" t="inlineStr">
        <is>
          <t>5</t>
        </is>
      </c>
      <c r="H20385" t="inlineStr">
        <is>
          <t>22/03/2026</t>
        </is>
      </c>
      <c r="I20385" t="inlineStr">
        <is>
          <t>17/03/2026</t>
        </is>
      </c>
      <c r="J20385" t="inlineStr">
        <is>
          <t>Kế toán / Kiểm toán</t>
        </is>
      </c>
      <c r="K20385" t="inlineStr">
        <is>
          <t>N/A</t>
        </is>
      </c>
      <c r="L20385" s="8">
        <f>HYPERLINK("https://careerviet.vn/vi/tim-viec-lam/ke-toan-noi-bo.35C6628E.html","Xem chi tiết")</f>
        <v/>
      </c>
    </row>
    <row r="20386">
      <c r="B20386" s="9" t="n">
        <v>20384</v>
      </c>
      <c r="C20386" s="10" t="inlineStr">
        <is>
          <t>Nhân Viên Lái Xe Bằng B</t>
        </is>
      </c>
      <c r="D20386" s="10" t="inlineStr">
        <is>
          <t>Công ty Cổ phần Cảng Mipec</t>
        </is>
      </c>
      <c r="E20386" s="10" t="inlineStr">
        <is>
          <t>Lương:Cạnh tranh</t>
        </is>
      </c>
      <c r="F20386" s="10" t="inlineStr">
        <is>
          <t>Hải Phòng</t>
        </is>
      </c>
      <c r="G20386" s="10" t="inlineStr">
        <is>
          <t>5</t>
        </is>
      </c>
      <c r="H20386" s="10" t="inlineStr">
        <is>
          <t>22/03/2026</t>
        </is>
      </c>
      <c r="I20386" s="10" t="inlineStr">
        <is>
          <t>17/03/2026</t>
        </is>
      </c>
      <c r="J20386" s="10" t="inlineStr">
        <is>
          <t>Vận chuyển / Giao nhận / Kho vận, Lao động phổ thông, An toàn lao động</t>
        </is>
      </c>
      <c r="K20386" s="10" t="inlineStr">
        <is>
          <t>Trên 1 Năm</t>
        </is>
      </c>
      <c r="L20386" s="11">
        <f>HYPERLINK("https://careerviet.vn/vi/tim-viec-lam/nhan-vien-lai-xe-bang-b.35C6385F.html","Xem chi tiết")</f>
        <v/>
      </c>
      <c r="M20386" s="10" t="n"/>
    </row>
    <row r="20387">
      <c r="B20387" s="7" t="n">
        <v>20385</v>
      </c>
      <c r="C20387" t="inlineStr">
        <is>
          <t>Kỹ sư dự toán (QS) kiêm Quản lý hợp đồng</t>
        </is>
      </c>
      <c r="D20387" t="inlineStr">
        <is>
          <t>CÔNG TY TNHH XÂY DỰNG &amp; QUẢNG CÁO HÙNG VƯƠNG</t>
        </is>
      </c>
      <c r="E20387" t="inlineStr">
        <is>
          <t>Lương:Cạnh tranh</t>
        </is>
      </c>
      <c r="F20387" t="inlineStr">
        <is>
          <t>Hồ Chí Minh</t>
        </is>
      </c>
      <c r="G20387" t="inlineStr">
        <is>
          <t>5</t>
        </is>
      </c>
      <c r="H20387" t="inlineStr">
        <is>
          <t>22/03/2026</t>
        </is>
      </c>
      <c r="I20387" t="inlineStr">
        <is>
          <t>17/03/2026</t>
        </is>
      </c>
      <c r="J20387" t="inlineStr">
        <is>
          <t>Kế toán / Kiểm toán, Kiến trúc, Xây dựng</t>
        </is>
      </c>
      <c r="K20387" t="inlineStr">
        <is>
          <t>Trên 3 Năm</t>
        </is>
      </c>
      <c r="L20387" s="8">
        <f>HYPERLINK("https://careerviet.vn/vi/tim-viec-lam/ky-su-du-toan-qs-kiem-quan-ly-hop-dong.35C663AC.html","Xem chi tiết")</f>
        <v/>
      </c>
    </row>
    <row r="20388">
      <c r="B20388" s="9" t="n">
        <v>20386</v>
      </c>
      <c r="C20388" s="10" t="inlineStr">
        <is>
          <t>NHÂN VIÊN ĐIỀU PHỐI VẬN HÀNH</t>
        </is>
      </c>
      <c r="D20388" s="10" t="inlineStr">
        <is>
          <t>CÔNG TY TNHH JP NELSON EQUIPMENT VIỆT NAM</t>
        </is>
      </c>
      <c r="E20388" s="10" t="inlineStr">
        <is>
          <t>Lương:15 Tr - 20 Tr VND</t>
        </is>
      </c>
      <c r="F20388" s="10" t="inlineStr">
        <is>
          <t>Đồng Nai</t>
        </is>
      </c>
      <c r="G20388" s="10" t="inlineStr">
        <is>
          <t>5</t>
        </is>
      </c>
      <c r="H20388" s="10" t="inlineStr">
        <is>
          <t>22/03/2026</t>
        </is>
      </c>
      <c r="I20388" s="10" t="inlineStr">
        <is>
          <t>17/03/2026</t>
        </is>
      </c>
      <c r="J20388" s="10" t="inlineStr">
        <is>
          <t>Vận chuyển / Giao nhận / Kho vận, Cơ khí / Ô tô / Tự động hóa, Bảo trì / Sửa chữa</t>
        </is>
      </c>
      <c r="K20388" s="10" t="inlineStr">
        <is>
          <t>2 - 5 Năm</t>
        </is>
      </c>
      <c r="L20388" s="11">
        <f>HYPERLINK("https://careerviet.vn/vi/tim-viec-lam/nhan-vien-dieu-phoi-van-hanh.35C662AF.html","Xem chi tiết")</f>
        <v/>
      </c>
      <c r="M20388" s="10" t="n"/>
    </row>
    <row r="20389">
      <c r="B20389" s="7" t="n">
        <v>20387</v>
      </c>
      <c r="C20389" t="inlineStr">
        <is>
          <t>Trưởng Phòng Phụ Trách Dự Án Cơ Điện</t>
        </is>
      </c>
      <c r="D20389" t="inlineStr">
        <is>
          <t>Công Ty Cổ Phần Tập Đoàn Đầu Tư Địa Ốc No Va</t>
        </is>
      </c>
      <c r="E20389" t="inlineStr">
        <is>
          <t>Lương:Cạnh tranh</t>
        </is>
      </c>
      <c r="F20389" t="inlineStr">
        <is>
          <t>Hồ Chí Minh</t>
        </is>
      </c>
      <c r="G20389" t="inlineStr">
        <is>
          <t>5</t>
        </is>
      </c>
      <c r="H20389" t="inlineStr">
        <is>
          <t>22/03/2026</t>
        </is>
      </c>
      <c r="I20389" t="inlineStr">
        <is>
          <t>17/03/2026</t>
        </is>
      </c>
      <c r="J20389" t="inlineStr">
        <is>
          <t>Bất động sản</t>
        </is>
      </c>
      <c r="K20389" t="inlineStr">
        <is>
          <t>8 - 15 Năm</t>
        </is>
      </c>
      <c r="L20389" s="8">
        <f>HYPERLINK("https://careerviet.vn/vi/tim-viec-lam/truong-phong-phu-trach-du-an-co-dien.35C66396.html","Xem chi tiết")</f>
        <v/>
      </c>
    </row>
    <row r="20390">
      <c r="B20390" s="9" t="n">
        <v>20388</v>
      </c>
      <c r="C20390" s="10" t="inlineStr">
        <is>
          <t>TƯ VẤN GIÁM SÁT M&amp;E</t>
        </is>
      </c>
      <c r="D20390" s="10" t="inlineStr">
        <is>
          <t>Công ty Cổ phần Tây An</t>
        </is>
      </c>
      <c r="E20390" s="10" t="inlineStr">
        <is>
          <t>Lương:20 Tr - 25 Tr VND</t>
        </is>
      </c>
      <c r="F20390" s="10" t="inlineStr">
        <is>
          <t>Nghệ An</t>
        </is>
      </c>
      <c r="G20390" s="10" t="inlineStr">
        <is>
          <t>5</t>
        </is>
      </c>
      <c r="H20390" s="10" t="inlineStr">
        <is>
          <t>22/03/2026</t>
        </is>
      </c>
      <c r="I20390" s="10" t="inlineStr">
        <is>
          <t>17/03/2026</t>
        </is>
      </c>
      <c r="J20390" s="10" t="inlineStr">
        <is>
          <t>Kiến trúc, Xây dựng</t>
        </is>
      </c>
      <c r="K20390" s="10" t="inlineStr">
        <is>
          <t>5 - 6 Năm</t>
        </is>
      </c>
      <c r="L20390" s="11">
        <f>HYPERLINK("https://careerviet.vn/vi/tim-viec-lam/tu-van-giam-sat-m-e.35C63890.html","Xem chi tiết")</f>
        <v/>
      </c>
      <c r="M20390" s="10" t="n"/>
    </row>
    <row r="20391">
      <c r="B20391" s="7" t="n">
        <v>20389</v>
      </c>
      <c r="C20391" t="inlineStr">
        <is>
          <t>CHUYÊN VIÊN THÚC ĐẨY KINH DOANH BANCAS</t>
        </is>
      </c>
      <c r="D20391" t="inlineStr">
        <is>
          <t>Tổng Công Ty Cổ Phần Bảo Hiểm Ngân Hàng TMCP Công Thương Việt Nam</t>
        </is>
      </c>
      <c r="E20391" t="inlineStr">
        <is>
          <t>Lương:Cạnh tranh</t>
        </is>
      </c>
      <c r="F20391" t="inlineStr">
        <is>
          <t>Hà NộiHồ Chí Minh</t>
        </is>
      </c>
      <c r="G20391" t="inlineStr">
        <is>
          <t>5</t>
        </is>
      </c>
      <c r="H20391" t="inlineStr">
        <is>
          <t>22/03/2026</t>
        </is>
      </c>
      <c r="I20391" t="inlineStr">
        <is>
          <t>17/03/2026</t>
        </is>
      </c>
      <c r="J20391" t="inlineStr">
        <is>
          <t>Bảo hiểm, Ngân hàng</t>
        </is>
      </c>
      <c r="K20391" t="inlineStr">
        <is>
          <t>2 - 3 Năm</t>
        </is>
      </c>
      <c r="L20391" s="8">
        <f>HYPERLINK("https://careerviet.vn/vi/tim-viec-lam/chuyen-vien-thuc-day-kinh-doanh-bancas.35C6637E.html","Xem chi tiết")</f>
        <v/>
      </c>
    </row>
    <row r="20392">
      <c r="B20392" s="9" t="n">
        <v>20390</v>
      </c>
      <c r="C20392" s="10" t="inlineStr">
        <is>
          <t>Chuyên viên cao cấp/Chuyên gia Product Marketing</t>
        </is>
      </c>
      <c r="D20392" s="10" t="inlineStr">
        <is>
          <t>Công ty Cổ phần Chứng khoán Sài Gòn - Hà Nội</t>
        </is>
      </c>
      <c r="E20392" s="10" t="inlineStr">
        <is>
          <t>Lương:Cạnh tranh</t>
        </is>
      </c>
      <c r="F20392" s="10" t="inlineStr">
        <is>
          <t>Hà Nội</t>
        </is>
      </c>
      <c r="G20392" s="10" t="inlineStr">
        <is>
          <t>29-03-2026</t>
        </is>
      </c>
      <c r="H20392" s="10" t="inlineStr">
        <is>
          <t>29/03/2026</t>
        </is>
      </c>
      <c r="I20392" s="10" t="inlineStr">
        <is>
          <t>17/03/2026</t>
        </is>
      </c>
      <c r="J20392" s="10" t="inlineStr">
        <is>
          <t>Quảng cáo / Đối ngoại / Truyền Thông</t>
        </is>
      </c>
      <c r="K20392" s="10" t="inlineStr">
        <is>
          <t>5 - 7 Năm</t>
        </is>
      </c>
      <c r="L20392" s="11">
        <f>HYPERLINK("https://careerviet.vn/vi/tim-viec-lam/chuyen-vien-cao-cap-chuyen-gia-product-marketing.35C662C7.html","Xem chi tiết")</f>
        <v/>
      </c>
      <c r="M20392" s="10" t="n"/>
    </row>
    <row r="20393">
      <c r="B20393" s="7" t="n">
        <v>20391</v>
      </c>
      <c r="C20393" t="inlineStr">
        <is>
          <t>Trưởng Phòng Thiết Kế</t>
        </is>
      </c>
      <c r="D20393" t="inlineStr">
        <is>
          <t>Công ty TNHH Thiết bị tự động hóa Kim khí Thăng Long</t>
        </is>
      </c>
      <c r="E20393" t="inlineStr">
        <is>
          <t>Lương:15 Tr - 25 Tr VND</t>
        </is>
      </c>
      <c r="F20393" t="inlineStr">
        <is>
          <t>Hà Nội</t>
        </is>
      </c>
      <c r="G20393" t="inlineStr">
        <is>
          <t>5</t>
        </is>
      </c>
      <c r="H20393" t="inlineStr">
        <is>
          <t>22/03/2026</t>
        </is>
      </c>
      <c r="I20393" t="inlineStr">
        <is>
          <t>17/03/2026</t>
        </is>
      </c>
      <c r="J20393" t="inlineStr">
        <is>
          <t>Cơ khí / Ô tô / Tự động hóa</t>
        </is>
      </c>
      <c r="K20393" t="inlineStr">
        <is>
          <t>5 - 10 Năm</t>
        </is>
      </c>
      <c r="L20393" s="8">
        <f>HYPERLINK("https://careerviet.vn/vi/tim-viec-lam/truong-phong-thiet-ke.35C637DF.html","Xem chi tiết")</f>
        <v/>
      </c>
    </row>
    <row r="20394">
      <c r="B20394" s="9" t="n">
        <v>20392</v>
      </c>
      <c r="C20394" s="10" t="inlineStr">
        <is>
          <t>HR Admin Supervisor</t>
        </is>
      </c>
      <c r="D20394" s="10" t="inlineStr">
        <is>
          <t>CÔNG TY TNHH WGR INDUSTRIES</t>
        </is>
      </c>
      <c r="E20394" s="10" t="inlineStr">
        <is>
          <t>Lương:Cạnh tranh</t>
        </is>
      </c>
      <c r="F20394" s="10" t="inlineStr">
        <is>
          <t>Bình Định</t>
        </is>
      </c>
      <c r="G20394" s="10" t="inlineStr">
        <is>
          <t>5</t>
        </is>
      </c>
      <c r="H20394" s="10" t="inlineStr">
        <is>
          <t>22/03/2026</t>
        </is>
      </c>
      <c r="I20394" s="10" t="inlineStr">
        <is>
          <t>17/03/2026</t>
        </is>
      </c>
      <c r="J20394" s="10" t="inlineStr">
        <is>
          <t>Hành chính / Thư ký, Quản lý điều hành, Nhân sự</t>
        </is>
      </c>
      <c r="K20394" s="10" t="inlineStr">
        <is>
          <t>5 - 10 Năm</t>
        </is>
      </c>
      <c r="L20394" s="11">
        <f>HYPERLINK("https://careerviet.vn/vi/tim-viec-lam/hr-admin-supervisor.35C65F66.html","Xem chi tiết")</f>
        <v/>
      </c>
      <c r="M20394" s="10" t="n"/>
    </row>
    <row r="20395">
      <c r="B20395" s="7" t="n">
        <v>20393</v>
      </c>
      <c r="C20395" t="inlineStr">
        <is>
          <t>Chuyên viên cao cấp quản lý dự án ( IT PM) - K.CNTT</t>
        </is>
      </c>
      <c r="D20395" t="inlineStr">
        <is>
          <t>Ngân hàng TMCP Đại Chúng Việt Nam - PVcomBank</t>
        </is>
      </c>
      <c r="E20395" t="inlineStr">
        <is>
          <t>Lương:Cạnh tranh</t>
        </is>
      </c>
      <c r="F20395" t="inlineStr">
        <is>
          <t>Hà Nội</t>
        </is>
      </c>
      <c r="G20395" t="inlineStr">
        <is>
          <t>5</t>
        </is>
      </c>
      <c r="H20395" t="inlineStr">
        <is>
          <t>22/03/2026</t>
        </is>
      </c>
      <c r="I20395" t="inlineStr">
        <is>
          <t>17/03/2026</t>
        </is>
      </c>
      <c r="J20395" t="inlineStr">
        <is>
          <t>CNTT - Phần cứng / Mạng, CNTT - Phần mềm, Ngân hàng</t>
        </is>
      </c>
      <c r="K20395" t="inlineStr">
        <is>
          <t>1 - 5 Năm</t>
        </is>
      </c>
      <c r="L20395" s="8">
        <f>HYPERLINK("https://careerviet.vn/vi/tim-viec-lam/chuyen-vien-cao-cap-quan-ly-du-an-it-pm-k-cntt.35C663A9.html","Xem chi tiết")</f>
        <v/>
      </c>
    </row>
    <row r="20396">
      <c r="B20396" s="9" t="n">
        <v>20394</v>
      </c>
      <c r="C20396" s="10" t="inlineStr">
        <is>
          <t>Chuyên viên KCS (Gạo)</t>
        </is>
      </c>
      <c r="D20396" s="10" t="inlineStr">
        <is>
          <t>Công ty CP Thành Thành Công - Biên Hòa</t>
        </is>
      </c>
      <c r="E20396" s="10" t="inlineStr">
        <is>
          <t>Lương:Cạnh tranh</t>
        </is>
      </c>
      <c r="F20396" s="10" t="inlineStr">
        <is>
          <t>Tây Ninh</t>
        </is>
      </c>
      <c r="G20396" s="10" t="inlineStr">
        <is>
          <t>5</t>
        </is>
      </c>
      <c r="H20396" s="10" t="inlineStr">
        <is>
          <t>22/03/2026</t>
        </is>
      </c>
      <c r="I20396" s="10" t="inlineStr">
        <is>
          <t>17/03/2026</t>
        </is>
      </c>
      <c r="J20396" s="10" t="inlineStr">
        <is>
          <t>Quản lý chất lượng (QA/QC)</t>
        </is>
      </c>
      <c r="K20396" s="10" t="inlineStr">
        <is>
          <t>Trên 1 Năm</t>
        </is>
      </c>
      <c r="L20396" s="11">
        <f>HYPERLINK("https://careerviet.vn/vi/tim-viec-lam/chuyen-vien-kcs-gao.35C63889.html","Xem chi tiết")</f>
        <v/>
      </c>
      <c r="M20396" s="10" t="n"/>
    </row>
    <row r="20397">
      <c r="B20397" s="7" t="n">
        <v>20395</v>
      </c>
      <c r="C20397" t="inlineStr">
        <is>
          <t>Chuyên viên Tiếp thị và Quan hệ Khách hàng - PGD Ciputra G02- Chi nhánh Hà Nội</t>
        </is>
      </c>
      <c r="D20397" t="inlineStr">
        <is>
          <t>Indovina Bank Ltd.</t>
        </is>
      </c>
      <c r="E20397" t="inlineStr">
        <is>
          <t>Lương:Cạnh tranh</t>
        </is>
      </c>
      <c r="F20397" t="inlineStr">
        <is>
          <t>Hà Nội</t>
        </is>
      </c>
      <c r="G20397" t="inlineStr">
        <is>
          <t>5</t>
        </is>
      </c>
      <c r="H20397" t="inlineStr">
        <is>
          <t>22/03/2026</t>
        </is>
      </c>
      <c r="I20397" t="inlineStr">
        <is>
          <t>17/03/2026</t>
        </is>
      </c>
      <c r="J20397" t="inlineStr">
        <is>
          <t>Tài chính / Đầu tư, Bán hàng / Kinh doanh, Ngân hàng</t>
        </is>
      </c>
      <c r="K20397" t="inlineStr">
        <is>
          <t>1 - 2 Năm</t>
        </is>
      </c>
      <c r="L20397" s="8">
        <f>HYPERLINK("https://careerviet.vn/vi/tim-viec-lam/chuyen-vien-tiep-thi-va-quan-he-khach-hang-pgd-ciputra-g02-chi-nhanh-ha-noi.35C662B0.html","Xem chi tiết")</f>
        <v/>
      </c>
    </row>
    <row r="20398">
      <c r="B20398" s="9" t="n">
        <v>20396</v>
      </c>
      <c r="C20398" s="10" t="inlineStr">
        <is>
          <t>Nhân viên phụ kho</t>
        </is>
      </c>
      <c r="D20398" s="10" t="inlineStr">
        <is>
          <t>Công ty cổ phần văn phòng phẩm Hồng Hà</t>
        </is>
      </c>
      <c r="E20398" s="10" t="inlineStr">
        <is>
          <t>Lương:7 Tr - 9 Tr VND</t>
        </is>
      </c>
      <c r="F20398" s="10" t="inlineStr">
        <is>
          <t>Long An</t>
        </is>
      </c>
      <c r="G20398" s="10" t="inlineStr">
        <is>
          <t>5</t>
        </is>
      </c>
      <c r="H20398" s="10" t="inlineStr">
        <is>
          <t>22/03/2026</t>
        </is>
      </c>
      <c r="I20398" s="10" t="inlineStr">
        <is>
          <t>17/03/2026</t>
        </is>
      </c>
      <c r="J20398" s="10" t="inlineStr">
        <is>
          <t>Vận chuyển / Giao nhận / Kho vận</t>
        </is>
      </c>
      <c r="K20398" s="10" t="inlineStr">
        <is>
          <t>1 - 2 Năm</t>
        </is>
      </c>
      <c r="L20398" s="11">
        <f>HYPERLINK("https://careerviet.vn/vi/tim-viec-lam/nhan-vien-phu-kho.35C662C0.html","Xem chi tiết")</f>
        <v/>
      </c>
      <c r="M20398" s="10" t="n"/>
    </row>
    <row r="20399">
      <c r="B20399" s="7" t="n">
        <v>20397</v>
      </c>
      <c r="C20399" t="inlineStr">
        <is>
          <t>125990 - Nhân viên Kinh doanh (thiết bị FA) - ngành Máy móc</t>
        </is>
      </c>
      <c r="D20399" t="inlineStr">
        <is>
          <t>RGF HR Agent Vietnam Co., LTD</t>
        </is>
      </c>
      <c r="E20399" t="inlineStr">
        <is>
          <t>Lương:18 Tr - 23 Tr VND</t>
        </is>
      </c>
      <c r="F20399" t="inlineStr">
        <is>
          <t>Hà Nội</t>
        </is>
      </c>
      <c r="G20399" t="inlineStr">
        <is>
          <t>5</t>
        </is>
      </c>
      <c r="H20399" t="inlineStr">
        <is>
          <t>22/03/2026</t>
        </is>
      </c>
      <c r="I20399" t="inlineStr">
        <is>
          <t>17/03/2026</t>
        </is>
      </c>
      <c r="J20399" t="inlineStr">
        <is>
          <t>Bán hàng / Kinh doanh</t>
        </is>
      </c>
      <c r="K20399" t="inlineStr">
        <is>
          <t>Trên 3 Năm</t>
        </is>
      </c>
      <c r="L20399" s="8">
        <f>HYPERLINK("https://careerviet.vn/vi/tim-viec-lam/125990-nhan-vien-kinh-doanh-thiet-bi-fa-nganh-may-moc.35C6388F.html","Xem chi tiết")</f>
        <v/>
      </c>
    </row>
    <row r="20400">
      <c r="B20400" s="9" t="n">
        <v>20398</v>
      </c>
      <c r="C20400" s="10" t="inlineStr">
        <is>
          <t>Project Manager (Helmet)/ Trưởng phòng Quản lý dự án nón bảo hiểm</t>
        </is>
      </c>
      <c r="D20400" s="10" t="inlineStr">
        <is>
          <t>OMV Co., Ltd</t>
        </is>
      </c>
      <c r="E20400" s="10" t="inlineStr">
        <is>
          <t>Lương:Cạnh tranh</t>
        </is>
      </c>
      <c r="F20400" s="10" t="inlineStr">
        <is>
          <t>Long An</t>
        </is>
      </c>
      <c r="G20400" s="10" t="inlineStr">
        <is>
          <t>5</t>
        </is>
      </c>
      <c r="H20400" s="10" t="inlineStr">
        <is>
          <t>22/03/2026</t>
        </is>
      </c>
      <c r="I20400" s="10" t="inlineStr">
        <is>
          <t>17/03/2026</t>
        </is>
      </c>
      <c r="J20400" s="10" t="inlineStr">
        <is>
          <t>Hóa học, Sản xuất / Vận hành sản xuất, Dệt may / Da giày / Thời trang</t>
        </is>
      </c>
      <c r="K20400" s="10" t="inlineStr">
        <is>
          <t>5 - 10 Năm</t>
        </is>
      </c>
      <c r="L20400" s="11">
        <f>HYPERLINK("https://careerviet.vn/vi/tim-viec-lam/project-manager-helmet-truong-phong-quan-ly-du-an-non-bao-hiem.35C636FE.html","Xem chi tiết")</f>
        <v/>
      </c>
      <c r="M20400" s="10" t="n"/>
    </row>
    <row r="20401">
      <c r="B20401" s="7" t="n">
        <v>20399</v>
      </c>
      <c r="C20401" t="inlineStr">
        <is>
          <t>Chuyên viên Dịch vụ Khách hàng - BVBank Thuận An - KV Đông Nam Bộ</t>
        </is>
      </c>
      <c r="D20401" t="inlineStr">
        <is>
          <t>BVBank - Ngân hàng Bản Việt</t>
        </is>
      </c>
      <c r="E20401" t="inlineStr">
        <is>
          <t>Lương:Cạnh tranh</t>
        </is>
      </c>
      <c r="F20401" t="inlineStr">
        <is>
          <t>Bình Dương</t>
        </is>
      </c>
      <c r="G20401" t="inlineStr">
        <is>
          <t>5</t>
        </is>
      </c>
      <c r="H20401" t="inlineStr">
        <is>
          <t>22/03/2026</t>
        </is>
      </c>
      <c r="I20401" t="inlineStr">
        <is>
          <t>17/03/2026</t>
        </is>
      </c>
      <c r="J20401" t="inlineStr">
        <is>
          <t>Bán hàng / Kinh doanh, Ngân hàng, Tài chính / Đầu tư</t>
        </is>
      </c>
      <c r="K20401" t="inlineStr">
        <is>
          <t>1 - 2 Năm</t>
        </is>
      </c>
      <c r="L20401" s="8">
        <f>HYPERLINK("https://careerviet.vn/vi/tim-viec-lam/chuyen-vien-dich-vu-khach-hang-bvbank-thuan-an-kv-dong-nam-bo.35C63816.html","Xem chi tiết")</f>
        <v/>
      </c>
    </row>
    <row r="20402">
      <c r="B20402" s="9" t="n">
        <v>20400</v>
      </c>
      <c r="C20402" s="10" t="inlineStr">
        <is>
          <t>[Hà Nội] Giám Đốc Kinh Doanh Dự Án Miền Bắc</t>
        </is>
      </c>
      <c r="D20402" s="10" t="inlineStr">
        <is>
          <t>Tập Đoàn Tân Á Đại Thành</t>
        </is>
      </c>
      <c r="E20402" s="10" t="inlineStr">
        <is>
          <t>Lương:40 Tr - 70 Tr VND</t>
        </is>
      </c>
      <c r="F20402" s="10" t="inlineStr">
        <is>
          <t>Hà Nội</t>
        </is>
      </c>
      <c r="G20402" s="10" t="inlineStr">
        <is>
          <t>5</t>
        </is>
      </c>
      <c r="H20402" s="10" t="inlineStr">
        <is>
          <t>22/03/2026</t>
        </is>
      </c>
      <c r="I20402" s="10" t="inlineStr">
        <is>
          <t>17/03/2026</t>
        </is>
      </c>
      <c r="J20402" s="10" t="inlineStr">
        <is>
          <t>Bán hàng / Kinh doanh</t>
        </is>
      </c>
      <c r="K20402" s="10" t="inlineStr">
        <is>
          <t>3 - 5 Năm</t>
        </is>
      </c>
      <c r="L20402" s="11">
        <f>HYPERLINK("https://careerviet.vn/vi/tim-viec-lam/ha-noi-giam-doc-kinh-doanh-du-an-mien-bac.35C662DE.html","Xem chi tiết")</f>
        <v/>
      </c>
      <c r="M20402" s="10" t="n"/>
    </row>
    <row r="20403">
      <c r="B20403" s="7" t="n">
        <v>20401</v>
      </c>
      <c r="C20403" t="inlineStr">
        <is>
          <t>Giáo viên mầm non Quận 9</t>
        </is>
      </c>
      <c r="D20403" t="inlineStr">
        <is>
          <t>TRƯỜNG QUỐC TẾ BLUE RIDGE / BLUE RIDGE INTERNATIONAL SCHOOL (BRIS)</t>
        </is>
      </c>
      <c r="E20403" t="inlineStr">
        <is>
          <t>Lương:7 Tr - 9 Tr VND</t>
        </is>
      </c>
      <c r="F20403" t="inlineStr">
        <is>
          <t>Hồ Chí Minh</t>
        </is>
      </c>
      <c r="G20403" t="inlineStr">
        <is>
          <t>5</t>
        </is>
      </c>
      <c r="H20403" t="inlineStr">
        <is>
          <t>22/03/2026</t>
        </is>
      </c>
      <c r="I20403" t="inlineStr">
        <is>
          <t>17/03/2026</t>
        </is>
      </c>
      <c r="J20403" t="inlineStr">
        <is>
          <t>Giáo dục / Đào tạo</t>
        </is>
      </c>
      <c r="K20403" t="inlineStr">
        <is>
          <t>N/A</t>
        </is>
      </c>
      <c r="L20403" s="8">
        <f>HYPERLINK("https://careerviet.vn/vi/tim-viec-lam/giao-vien-mam-non-quan-9.35C546F9.html","Xem chi tiết")</f>
        <v/>
      </c>
    </row>
    <row r="20404">
      <c r="B20404" s="9" t="n">
        <v>20402</v>
      </c>
      <c r="C20404" s="10" t="inlineStr">
        <is>
          <t>Phiên Dịch Viên Tiếng Nga</t>
        </is>
      </c>
      <c r="D20404" s="10" t="inlineStr">
        <is>
          <t>TẬP ĐOÀN Y TẾ VIỆT - NGA</t>
        </is>
      </c>
      <c r="E20404" s="10" t="inlineStr">
        <is>
          <t>Lương:Cạnh tranh</t>
        </is>
      </c>
      <c r="F20404" s="10" t="inlineStr">
        <is>
          <t>Hà Nội</t>
        </is>
      </c>
      <c r="G20404" s="10" t="inlineStr">
        <is>
          <t>5</t>
        </is>
      </c>
      <c r="H20404" s="10" t="inlineStr">
        <is>
          <t>22/03/2026</t>
        </is>
      </c>
      <c r="I20404" s="10" t="inlineStr">
        <is>
          <t>17/03/2026</t>
        </is>
      </c>
      <c r="J20404" s="10" t="inlineStr">
        <is>
          <t>Hành chính / Thư ký, Biên phiên dịch</t>
        </is>
      </c>
      <c r="K20404" s="10" t="inlineStr">
        <is>
          <t>1 - 3 Năm</t>
        </is>
      </c>
      <c r="L20404" s="11">
        <f>HYPERLINK("https://careerviet.vn/vi/tim-viec-lam/phien-dich-vien-tieng-nga.35C6385C.html","Xem chi tiết")</f>
        <v/>
      </c>
      <c r="M20404" s="10" t="n"/>
    </row>
    <row r="20405">
      <c r="B20405" s="7" t="n">
        <v>20403</v>
      </c>
      <c r="C20405" t="inlineStr">
        <is>
          <t>SOURCING (Tiếng Anh hoặc Trung)</t>
        </is>
      </c>
      <c r="D20405" t="inlineStr">
        <is>
          <t>Công ty TNHH Sài Gòn Stec</t>
        </is>
      </c>
      <c r="E20405" t="inlineStr">
        <is>
          <t>Lương:10 Tr - 15 Tr VND</t>
        </is>
      </c>
      <c r="F20405" t="inlineStr">
        <is>
          <t>Bình Dương</t>
        </is>
      </c>
      <c r="G20405" t="inlineStr">
        <is>
          <t>5</t>
        </is>
      </c>
      <c r="H20405" t="inlineStr">
        <is>
          <t>22/03/2026</t>
        </is>
      </c>
      <c r="I20405" t="inlineStr">
        <is>
          <t>17/03/2026</t>
        </is>
      </c>
      <c r="J20405" t="inlineStr">
        <is>
          <t>Bán hàng / Kinh doanh, Xuất nhập khẩu, Thu mua / Vật tư</t>
        </is>
      </c>
      <c r="K20405" t="inlineStr">
        <is>
          <t>N/A</t>
        </is>
      </c>
      <c r="L20405" s="8">
        <f>HYPERLINK("https://careerviet.vn/vi/tim-viec-lam/sourcing-tieng-anh-hoac-trung.35C6634D.html","Xem chi tiết")</f>
        <v/>
      </c>
    </row>
    <row r="20406">
      <c r="B20406" s="9" t="n">
        <v>20404</v>
      </c>
      <c r="C20406" s="10" t="inlineStr">
        <is>
          <t>[Đà Nẵng] Chuyên Viên Khách Hàng Cá Nhân</t>
        </is>
      </c>
      <c r="D20406" s="10" t="inlineStr">
        <is>
          <t>Ngân hàng TMCP Đại Chúng Việt Nam - PVcomBank</t>
        </is>
      </c>
      <c r="E20406" s="10" t="inlineStr">
        <is>
          <t>Lương:10 Tr - 30 Tr VND</t>
        </is>
      </c>
      <c r="F20406" s="10" t="inlineStr">
        <is>
          <t>Đà Nẵng</t>
        </is>
      </c>
      <c r="G20406" s="10" t="inlineStr">
        <is>
          <t>5</t>
        </is>
      </c>
      <c r="H20406" s="10" t="inlineStr">
        <is>
          <t>22/03/2026</t>
        </is>
      </c>
      <c r="I20406" s="10" t="inlineStr">
        <is>
          <t>17/03/2026</t>
        </is>
      </c>
      <c r="J20406" s="10" t="inlineStr">
        <is>
          <t>Ngân hàng, Tài chính / Đầu tư</t>
        </is>
      </c>
      <c r="K20406" s="10" t="inlineStr">
        <is>
          <t>Chưa có kinh nghiệm</t>
        </is>
      </c>
      <c r="L20406" s="11">
        <f>HYPERLINK("https://careerviet.vn/vi/tim-viec-lam/da-nang-chuyen-vien-khach-hang-ca-nhan.35C663D3.html","Xem chi tiết")</f>
        <v/>
      </c>
      <c r="M20406" s="10" t="n"/>
    </row>
    <row r="20407">
      <c r="B20407" s="7" t="n">
        <v>20405</v>
      </c>
      <c r="C20407" t="inlineStr">
        <is>
          <t>Nhân Viên Bảo Trì Điện</t>
        </is>
      </c>
      <c r="D20407" t="inlineStr">
        <is>
          <t>CÔNG TY CỔ PHẦN GIẶT ỦI XANH</t>
        </is>
      </c>
      <c r="E20407" t="inlineStr">
        <is>
          <t>Lương:Cạnh tranh</t>
        </is>
      </c>
      <c r="F20407" t="inlineStr">
        <is>
          <t>Hồ Chí Minh</t>
        </is>
      </c>
      <c r="G20407" t="inlineStr">
        <is>
          <t>5</t>
        </is>
      </c>
      <c r="H20407" t="inlineStr">
        <is>
          <t>22/03/2026</t>
        </is>
      </c>
      <c r="I20407" t="inlineStr">
        <is>
          <t>17/03/2026</t>
        </is>
      </c>
      <c r="J20407" t="inlineStr">
        <is>
          <t>Điện / Điện tử / Điện lạnh / Điện công nghiệp, Bảo trì / Sửa chữa, Sản xuất / Vận hành sản xuất</t>
        </is>
      </c>
      <c r="K20407" t="inlineStr">
        <is>
          <t>Trên 1 Năm</t>
        </is>
      </c>
      <c r="L20407" s="8">
        <f>HYPERLINK("https://careerviet.vn/vi/tim-viec-lam/nhan-vien-bao-tri-dien.35C662A5.html","Xem chi tiết")</f>
        <v/>
      </c>
    </row>
    <row r="20408">
      <c r="B20408" s="9" t="n">
        <v>20406</v>
      </c>
      <c r="C20408" s="10" t="inlineStr">
        <is>
          <t>ERP Application Supervisor (Dynamics 365 Business Central)</t>
        </is>
      </c>
      <c r="D20408" s="10" t="inlineStr">
        <is>
          <t>CÔNG TY TNHH MINTHACARE</t>
        </is>
      </c>
      <c r="E20408" s="10" t="inlineStr">
        <is>
          <t>Lương:Cạnh tranh</t>
        </is>
      </c>
      <c r="F20408" s="10" t="inlineStr">
        <is>
          <t>Hồ Chí Minh</t>
        </is>
      </c>
      <c r="G20408" s="10" t="inlineStr">
        <is>
          <t>5</t>
        </is>
      </c>
      <c r="H20408" s="10" t="inlineStr">
        <is>
          <t>22/03/2026</t>
        </is>
      </c>
      <c r="I20408" s="10" t="inlineStr">
        <is>
          <t>17/03/2026</t>
        </is>
      </c>
      <c r="J20408" s="10" t="inlineStr">
        <is>
          <t>Quản lý điều hành, CNTT - Phần mềm</t>
        </is>
      </c>
      <c r="K20408" s="10" t="inlineStr">
        <is>
          <t>Trên 4 Năm</t>
        </is>
      </c>
      <c r="L20408" s="11">
        <f>HYPERLINK("https://careerviet.vn/vi/tim-viec-lam/erp-application-supervisor-dynamics-365-business-central.35C66319.html","Xem chi tiết")</f>
        <v/>
      </c>
      <c r="M20408" s="10" t="n"/>
    </row>
    <row r="20409">
      <c r="B20409" s="7" t="n">
        <v>20407</v>
      </c>
      <c r="C20409" t="inlineStr">
        <is>
          <t>Digital Marketing Executive (Content)</t>
        </is>
      </c>
      <c r="D20409" t="inlineStr">
        <is>
          <t>Công Ty TNHH Tư Vấn Kỹ Thuật Và Tin Học Thương Mại Viet C.A.D</t>
        </is>
      </c>
      <c r="E20409" t="inlineStr">
        <is>
          <t>Lương:Cạnh tranh</t>
        </is>
      </c>
      <c r="F20409" t="inlineStr">
        <is>
          <t>Hồ Chí Minh</t>
        </is>
      </c>
      <c r="G20409" t="inlineStr">
        <is>
          <t>31-03-2026</t>
        </is>
      </c>
      <c r="H20409" t="inlineStr">
        <is>
          <t>31/03/2026</t>
        </is>
      </c>
      <c r="I20409" t="inlineStr">
        <is>
          <t>17/03/2026</t>
        </is>
      </c>
      <c r="J20409" t="inlineStr">
        <is>
          <t>Tiếp thị / Marketing, Tiếp thị trực tuyến, CNTT - Phần mềm</t>
        </is>
      </c>
      <c r="K20409" t="inlineStr">
        <is>
          <t>Lên đến 1 Năm</t>
        </is>
      </c>
      <c r="L20409" s="8">
        <f>HYPERLINK("https://careerviet.vn/vi/tim-viec-lam/digital-marketing-executive-content.35C6630A.html","Xem chi tiết")</f>
        <v/>
      </c>
    </row>
    <row r="20410">
      <c r="B20410" s="9" t="n">
        <v>20408</v>
      </c>
      <c r="C20410" s="10" t="inlineStr">
        <is>
          <t>Giám đốc Phòng Dịch vụ khách hàng - BVBank Thuận An - KV Hồ Chí Minh</t>
        </is>
      </c>
      <c r="D20410" s="10" t="inlineStr">
        <is>
          <t>BVBank - Ngân hàng Bản Việt</t>
        </is>
      </c>
      <c r="E20410" s="10" t="inlineStr">
        <is>
          <t>Lương:Cạnh tranh</t>
        </is>
      </c>
      <c r="F20410" s="10" t="inlineStr">
        <is>
          <t>Bình Dương</t>
        </is>
      </c>
      <c r="G20410" s="10" t="inlineStr">
        <is>
          <t>5</t>
        </is>
      </c>
      <c r="H20410" s="10" t="inlineStr">
        <is>
          <t>22/03/2026</t>
        </is>
      </c>
      <c r="I20410" s="10" t="inlineStr">
        <is>
          <t>17/03/2026</t>
        </is>
      </c>
      <c r="J20410" s="10" t="inlineStr">
        <is>
          <t>Ngân hàng, Tài chính / Đầu tư, Bán hàng / Kinh doanh</t>
        </is>
      </c>
      <c r="K20410" s="10" t="inlineStr">
        <is>
          <t>4 - 5 Năm</t>
        </is>
      </c>
      <c r="L20410" s="11">
        <f>HYPERLINK("https://careerviet.vn/vi/tim-viec-lam/giam-doc-phong-dich-vu-khach-hang-bvbank-thuan-an-kv-ho-chi-minh.35C663BA.html","Xem chi tiết")</f>
        <v/>
      </c>
      <c r="M20410" s="10" t="n"/>
    </row>
    <row r="20411">
      <c r="B20411" s="7" t="n">
        <v>20409</v>
      </c>
      <c r="C20411" t="inlineStr">
        <is>
          <t>Bảo Vệ - Quận 7</t>
        </is>
      </c>
      <c r="D20411" t="inlineStr">
        <is>
          <t>Công Ty TNHH Kindy City</t>
        </is>
      </c>
      <c r="E20411" t="inlineStr">
        <is>
          <t>Lương:7,5 Tr - 9 Tr VND</t>
        </is>
      </c>
      <c r="F20411" t="inlineStr">
        <is>
          <t>Hồ Chí Minh</t>
        </is>
      </c>
      <c r="G20411" t="inlineStr">
        <is>
          <t>5</t>
        </is>
      </c>
      <c r="H20411" t="inlineStr">
        <is>
          <t>22/03/2026</t>
        </is>
      </c>
      <c r="I20411" t="inlineStr">
        <is>
          <t>17/03/2026</t>
        </is>
      </c>
      <c r="J20411" t="inlineStr">
        <is>
          <t>An Ninh / Bảo Vệ, Giáo dục / Đào tạo</t>
        </is>
      </c>
      <c r="K20411" t="inlineStr">
        <is>
          <t>2 - 4 Năm</t>
        </is>
      </c>
      <c r="L20411" s="8">
        <f>HYPERLINK("https://careerviet.vn/vi/tim-viec-lam/bao-ve-quan-7.35C63730.html","Xem chi tiết")</f>
        <v/>
      </c>
    </row>
    <row r="20412">
      <c r="B20412" s="9" t="n">
        <v>20410</v>
      </c>
      <c r="C20412" s="10" t="inlineStr">
        <is>
          <t>Chuyên viên cho thuê (mặt bằng thương mại khu đô thị)</t>
        </is>
      </c>
      <c r="D20412" s="10" t="inlineStr">
        <is>
          <t>Tập Đoàn Tân Á Đại Thành</t>
        </is>
      </c>
      <c r="E20412" s="10" t="inlineStr">
        <is>
          <t>Lương:Cạnh tranh</t>
        </is>
      </c>
      <c r="F20412" s="10" t="inlineStr">
        <is>
          <t>Kiên GiangHồ Chí Minh</t>
        </is>
      </c>
      <c r="G20412" s="10" t="inlineStr">
        <is>
          <t>5</t>
        </is>
      </c>
      <c r="H20412" s="10" t="inlineStr">
        <is>
          <t>22/03/2026</t>
        </is>
      </c>
      <c r="I20412" s="10" t="inlineStr">
        <is>
          <t>17/03/2026</t>
        </is>
      </c>
      <c r="J20412" s="10" t="inlineStr">
        <is>
          <t>Tiếp thị / Marketing, Bán hàng / Kinh doanh, Bất động sản</t>
        </is>
      </c>
      <c r="K20412" s="10" t="inlineStr">
        <is>
          <t>2 - 3 Năm</t>
        </is>
      </c>
      <c r="L20412" s="11">
        <f>HYPERLINK("https://careerviet.vn/vi/tim-viec-lam/chuyen-vien-cho-thue-mat-bang-thuong-mai-khu-do-thi.35C6374B.html","Xem chi tiết")</f>
        <v/>
      </c>
      <c r="M20412" s="10" t="n"/>
    </row>
    <row r="20413">
      <c r="B20413" s="7" t="n">
        <v>20411</v>
      </c>
      <c r="C20413" t="inlineStr">
        <is>
          <t>Nhân Viên Kinh Doanh</t>
        </is>
      </c>
      <c r="D20413" t="inlineStr">
        <is>
          <t>Công ty TNHH Âme Copain</t>
        </is>
      </c>
      <c r="E20413" t="inlineStr">
        <is>
          <t>Lương:Cạnh tranh</t>
        </is>
      </c>
      <c r="F20413" t="inlineStr">
        <is>
          <t>Hồ Chí Minh</t>
        </is>
      </c>
      <c r="G20413" t="inlineStr">
        <is>
          <t>5</t>
        </is>
      </c>
      <c r="H20413" t="inlineStr">
        <is>
          <t>22/03/2026</t>
        </is>
      </c>
      <c r="I20413" t="inlineStr">
        <is>
          <t>17/03/2026</t>
        </is>
      </c>
      <c r="J20413" t="inlineStr">
        <is>
          <t>Bán lẻ / Bán sỉ, Bán hàng / Kinh doanh, Y tế / Chăm sóc sức khỏe / Thẩm mỹ / Làm đẹp</t>
        </is>
      </c>
      <c r="K20413" t="inlineStr">
        <is>
          <t>N/A</t>
        </is>
      </c>
      <c r="L20413" s="8">
        <f>HYPERLINK("https://careerviet.vn/vi/tim-viec-lam/nhan-vien-kinh-doanh.35C6638A.html","Xem chi tiết")</f>
        <v/>
      </c>
    </row>
    <row r="20414">
      <c r="B20414" s="9" t="n">
        <v>20412</v>
      </c>
      <c r="C20414" s="10" t="inlineStr">
        <is>
          <t>Nhân viên Điều phối</t>
        </is>
      </c>
      <c r="D20414" s="10" t="inlineStr">
        <is>
          <t>Công Ty TNHH BEST Logistics Technology (Việt Nam)</t>
        </is>
      </c>
      <c r="E20414" s="10" t="inlineStr">
        <is>
          <t>Lương:12 Tr - 15 Tr VND</t>
        </is>
      </c>
      <c r="F20414" s="10" t="inlineStr">
        <is>
          <t>Hà Nội</t>
        </is>
      </c>
      <c r="G20414" s="10" t="inlineStr">
        <is>
          <t>5</t>
        </is>
      </c>
      <c r="H20414" s="10" t="inlineStr">
        <is>
          <t>22/03/2026</t>
        </is>
      </c>
      <c r="I20414" s="10" t="inlineStr">
        <is>
          <t>17/03/2026</t>
        </is>
      </c>
      <c r="J20414" s="10" t="inlineStr">
        <is>
          <t>Vận chuyển / Giao nhận / Kho vận</t>
        </is>
      </c>
      <c r="K20414" s="10" t="inlineStr">
        <is>
          <t>Lên đến 1 Năm</t>
        </is>
      </c>
      <c r="L20414" s="11">
        <f>HYPERLINK("https://careerviet.vn/vi/tim-viec-lam/nhan-vien-dieu-phoi.35C63714.html","Xem chi tiết")</f>
        <v/>
      </c>
      <c r="M20414" s="10" t="n"/>
    </row>
    <row r="20415">
      <c r="B20415" s="7" t="n">
        <v>20413</v>
      </c>
      <c r="C20415" t="inlineStr">
        <is>
          <t>Quản trị viên sản xuất</t>
        </is>
      </c>
      <c r="D20415" t="inlineStr">
        <is>
          <t>Mida Precision Mold - Công Ty Cổ phần Khuôn Chính Xác Minh Đạt</t>
        </is>
      </c>
      <c r="E20415" t="inlineStr">
        <is>
          <t>Lương:10 Tr - 14 Tr VND</t>
        </is>
      </c>
      <c r="F20415" t="inlineStr">
        <is>
          <t>Long An</t>
        </is>
      </c>
      <c r="G20415" t="inlineStr">
        <is>
          <t>5</t>
        </is>
      </c>
      <c r="H20415" t="inlineStr">
        <is>
          <t>22/03/2026</t>
        </is>
      </c>
      <c r="I20415" t="inlineStr">
        <is>
          <t>17/03/2026</t>
        </is>
      </c>
      <c r="J20415" t="inlineStr">
        <is>
          <t>Cơ khí / Ô tô / Tự động hóa, Điện / Điện tử / Điện lạnh / Điện công nghiệp, Sản xuất / Vận hành sản xuất</t>
        </is>
      </c>
      <c r="K20415" t="inlineStr">
        <is>
          <t>N/A</t>
        </is>
      </c>
      <c r="L20415" s="8">
        <f>HYPERLINK("https://careerviet.vn/vi/tim-viec-lam/quan-tri-vien-san-xuat.35C63702.html","Xem chi tiết")</f>
        <v/>
      </c>
    </row>
    <row r="20416">
      <c r="B20416" s="9" t="n">
        <v>20414</v>
      </c>
      <c r="C20416" s="10" t="inlineStr">
        <is>
          <t>Nhân viên đặt lịch hẹn</t>
        </is>
      </c>
      <c r="D20416" s="10" t="inlineStr">
        <is>
          <t>CÔNG TY TNHH TẠO DOANH</t>
        </is>
      </c>
      <c r="E20416" s="10" t="inlineStr">
        <is>
          <t>Lương:15 Tr - 25 Tr VND</t>
        </is>
      </c>
      <c r="F20416" s="10" t="inlineStr">
        <is>
          <t>Hồ Chí Minh</t>
        </is>
      </c>
      <c r="G20416" s="10" t="inlineStr">
        <is>
          <t>5</t>
        </is>
      </c>
      <c r="H20416" s="10" t="inlineStr">
        <is>
          <t>22/03/2026</t>
        </is>
      </c>
      <c r="I20416" s="10" t="inlineStr">
        <is>
          <t>17/03/2026</t>
        </is>
      </c>
      <c r="J20416" s="10" t="inlineStr">
        <is>
          <t>Bán lẻ / Bán sỉ, Y tế / Chăm sóc sức khỏe / Thẩm mỹ / Làm đẹp, Tư vấn</t>
        </is>
      </c>
      <c r="K20416" s="10" t="inlineStr">
        <is>
          <t>Trên 1 Năm</t>
        </is>
      </c>
      <c r="L20416" s="11">
        <f>HYPERLINK("https://careerviet.vn/vi/tim-viec-lam/nhan-vien-dat-lich-hen.35C66420.html","Xem chi tiết")</f>
        <v/>
      </c>
      <c r="M20416" s="10" t="n"/>
    </row>
    <row r="20417">
      <c r="B20417" s="7" t="n">
        <v>20415</v>
      </c>
      <c r="C20417" t="inlineStr">
        <is>
          <t>KỸ THUẬT TB TẠO NHỊP TIM &amp; ĐIỆN SINH LÝ</t>
        </is>
      </c>
      <c r="D20417" t="inlineStr">
        <is>
          <t>CÔNG TY CỔ PHẦN TRANG THIẾT BỊ Y TẾ HẠNH NGUYÊN</t>
        </is>
      </c>
      <c r="E20417" t="inlineStr">
        <is>
          <t>Lương:Cạnh tranh</t>
        </is>
      </c>
      <c r="F20417" t="inlineStr">
        <is>
          <t>Đà Nẵng</t>
        </is>
      </c>
      <c r="G20417" t="inlineStr">
        <is>
          <t>5</t>
        </is>
      </c>
      <c r="H20417" t="inlineStr">
        <is>
          <t>22/03/2026</t>
        </is>
      </c>
      <c r="I20417" t="inlineStr">
        <is>
          <t>17/03/2026</t>
        </is>
      </c>
      <c r="J20417" t="inlineStr">
        <is>
          <t>Tiếp thị / Marketing, Bán Hàng Kỹ Thuật, Y tế / Chăm sóc sức khỏe / Thẩm mỹ / Làm đẹp</t>
        </is>
      </c>
      <c r="K20417" t="inlineStr">
        <is>
          <t>3 - 4 Năm</t>
        </is>
      </c>
      <c r="L20417" s="8">
        <f>HYPERLINK("https://careerviet.vn/vi/tim-viec-lam/ky-thuat-tb-tao-nhip-tim-dien-sinh-ly.35C63724.html","Xem chi tiết")</f>
        <v/>
      </c>
    </row>
    <row r="20418">
      <c r="B20418" s="9" t="n">
        <v>20416</v>
      </c>
      <c r="C20418" s="10" t="inlineStr">
        <is>
          <t>Nhân Viên Kinh Doanh Bất Động Sản - Không yêu cầu kinh nghiệm</t>
        </is>
      </c>
      <c r="D20418" s="10" t="inlineStr">
        <is>
          <t>Công Ty Cổ Phần Đầu Tư Và Phân Phối Acehomes</t>
        </is>
      </c>
      <c r="E20418" s="10" t="inlineStr">
        <is>
          <t>Lương:30 Tr - 100 Tr VND</t>
        </is>
      </c>
      <c r="F20418" s="10" t="inlineStr">
        <is>
          <t>Hà NộiHải Phòng</t>
        </is>
      </c>
      <c r="G20418" s="10" t="inlineStr">
        <is>
          <t>5</t>
        </is>
      </c>
      <c r="H20418" s="10" t="inlineStr">
        <is>
          <t>22/03/2026</t>
        </is>
      </c>
      <c r="I20418" s="10" t="inlineStr">
        <is>
          <t>17/03/2026</t>
        </is>
      </c>
      <c r="J20418" s="10" t="inlineStr">
        <is>
          <t>Bán hàng / Kinh doanh, Tư vấn, Bất động sản</t>
        </is>
      </c>
      <c r="K20418" s="10" t="inlineStr">
        <is>
          <t>N/A</t>
        </is>
      </c>
      <c r="L20418" s="11">
        <f>HYPERLINK("https://careerviet.vn/vi/tim-viec-lam/nhan-vien-kinh-doanh-bat-dong-san-khong-yeu-cau-kinh-nghiem.35C6386A.html","Xem chi tiết")</f>
        <v/>
      </c>
      <c r="M20418" s="10" t="n"/>
    </row>
    <row r="20419">
      <c r="B20419" s="7" t="n">
        <v>20417</v>
      </c>
      <c r="C20419" t="inlineStr">
        <is>
          <t>Phiên Dịch Tiếng Trung</t>
        </is>
      </c>
      <c r="D20419" t="inlineStr">
        <is>
          <t>CÔNG TY TNHH UWINFLY VIETNAM INDUSTRIES</t>
        </is>
      </c>
      <c r="E20419" t="inlineStr">
        <is>
          <t>Lương:18 Tr - 28 Tr VND</t>
        </is>
      </c>
      <c r="F20419" t="inlineStr">
        <is>
          <t>Hồ Chí Minh</t>
        </is>
      </c>
      <c r="G20419" t="inlineStr">
        <is>
          <t>5</t>
        </is>
      </c>
      <c r="H20419" t="inlineStr">
        <is>
          <t>22/03/2026</t>
        </is>
      </c>
      <c r="I20419" t="inlineStr">
        <is>
          <t>17/03/2026</t>
        </is>
      </c>
      <c r="J20419" t="inlineStr">
        <is>
          <t>Hành chính / Thư ký, Biên phiên dịch, Kế toán / Kiểm toán</t>
        </is>
      </c>
      <c r="K20419" t="inlineStr">
        <is>
          <t>N/A</t>
        </is>
      </c>
      <c r="L20419" s="8">
        <f>HYPERLINK("https://careerviet.vn/vi/tim-viec-lam/phien-dich-tieng-trung.35C66367.html","Xem chi tiết")</f>
        <v/>
      </c>
    </row>
    <row r="20420">
      <c r="B20420" s="9" t="n">
        <v>20418</v>
      </c>
      <c r="C20420" s="10" t="inlineStr">
        <is>
          <t>Giám đốc Kinh doanh Quốc tế</t>
        </is>
      </c>
      <c r="D20420" s="10" t="inlineStr">
        <is>
          <t>CÔNG TY CỔ PHẦN SẢN XUẤT VÀ THƯƠNG MẠI GỐM SỨ NOVITA</t>
        </is>
      </c>
      <c r="E20420" s="10" t="inlineStr">
        <is>
          <t>Lương:Cạnh tranh</t>
        </is>
      </c>
      <c r="F20420" s="10" t="inlineStr">
        <is>
          <t>Hồ Chí Minh</t>
        </is>
      </c>
      <c r="G20420" s="10" t="inlineStr">
        <is>
          <t>5</t>
        </is>
      </c>
      <c r="H20420" s="10" t="inlineStr">
        <is>
          <t>22/03/2026</t>
        </is>
      </c>
      <c r="I20420" s="10" t="inlineStr">
        <is>
          <t>17/03/2026</t>
        </is>
      </c>
      <c r="J20420" s="10" t="inlineStr">
        <is>
          <t>Bán hàng / Kinh doanh, Quản lý điều hành, Xuất nhập khẩu</t>
        </is>
      </c>
      <c r="K20420" s="10" t="inlineStr">
        <is>
          <t>1 - 10 Năm</t>
        </is>
      </c>
      <c r="L20420" s="11">
        <f>HYPERLINK("https://careerviet.vn/vi/tim-viec-lam/giam-doc-kinh-doanh-quoc-te.35C66347.html","Xem chi tiết")</f>
        <v/>
      </c>
      <c r="M20420" s="10" t="n"/>
    </row>
    <row r="20421">
      <c r="B20421" s="7" t="n">
        <v>20419</v>
      </c>
      <c r="C20421" t="inlineStr">
        <is>
          <t>Phó phòng Hành chính nhân sự</t>
        </is>
      </c>
      <c r="D20421" t="inlineStr">
        <is>
          <t>CÔNG TY CỔ PHẦN ĐẦU TƯ BeNK</t>
        </is>
      </c>
      <c r="E20421" t="inlineStr">
        <is>
          <t>Lương:20 Tr - 25 Tr VND</t>
        </is>
      </c>
      <c r="F20421" t="inlineStr">
        <is>
          <t>Hòa Bình</t>
        </is>
      </c>
      <c r="G20421" t="inlineStr">
        <is>
          <t>5</t>
        </is>
      </c>
      <c r="H20421" t="inlineStr">
        <is>
          <t>22/03/2026</t>
        </is>
      </c>
      <c r="I20421" t="inlineStr">
        <is>
          <t>17/03/2026</t>
        </is>
      </c>
      <c r="J20421" t="inlineStr">
        <is>
          <t>Quản lý điều hành, Nhân sự, Sản xuất / Vận hành sản xuất</t>
        </is>
      </c>
      <c r="K20421" t="inlineStr">
        <is>
          <t>Lên đến 3 Năm</t>
        </is>
      </c>
      <c r="L20421" s="8">
        <f>HYPERLINK("https://careerviet.vn/vi/tim-viec-lam/pho-phong-hanh-chinh-nhan-su.35C6371E.html","Xem chi tiết")</f>
        <v/>
      </c>
    </row>
    <row r="20422">
      <c r="B20422" s="9" t="n">
        <v>20420</v>
      </c>
      <c r="C20422" s="10" t="inlineStr">
        <is>
          <t>Kiến Trúc Sư</t>
        </is>
      </c>
      <c r="D20422" s="10" t="inlineStr">
        <is>
          <t>CÔNG TY CỔ PHẦN ĐẦU TƯ HẠ TẦNG DONACOOP</t>
        </is>
      </c>
      <c r="E20422" s="10" t="inlineStr">
        <is>
          <t>Lương:Cạnh tranh</t>
        </is>
      </c>
      <c r="F20422" s="10" t="inlineStr">
        <is>
          <t>Đồng Nai</t>
        </is>
      </c>
      <c r="G20422" s="10" t="inlineStr">
        <is>
          <t>5</t>
        </is>
      </c>
      <c r="H20422" s="10" t="inlineStr">
        <is>
          <t>22/03/2026</t>
        </is>
      </c>
      <c r="I20422" s="10" t="inlineStr">
        <is>
          <t>17/03/2026</t>
        </is>
      </c>
      <c r="J20422" s="10" t="inlineStr">
        <is>
          <t>Kiến trúc, Xây dựng, Nội ngoại thất</t>
        </is>
      </c>
      <c r="K20422" s="10" t="inlineStr">
        <is>
          <t>N/A</t>
        </is>
      </c>
      <c r="L20422" s="11">
        <f>HYPERLINK("https://careerviet.vn/vi/tim-viec-lam/kien-truc-su.35C6640F.html","Xem chi tiết")</f>
        <v/>
      </c>
      <c r="M20422" s="10" t="n"/>
    </row>
    <row r="20423">
      <c r="B20423" s="7" t="n">
        <v>20421</v>
      </c>
      <c r="C20423" t="inlineStr">
        <is>
          <t>Giám đốc BVBank - KV Hà Nội</t>
        </is>
      </c>
      <c r="D20423" t="inlineStr">
        <is>
          <t>BVBank - Ngân hàng Bản Việt</t>
        </is>
      </c>
      <c r="E20423" t="inlineStr">
        <is>
          <t>Lương:Cạnh tranh</t>
        </is>
      </c>
      <c r="F20423" t="inlineStr">
        <is>
          <t>Hà Nội</t>
        </is>
      </c>
      <c r="G20423" t="inlineStr">
        <is>
          <t>5</t>
        </is>
      </c>
      <c r="H20423" t="inlineStr">
        <is>
          <t>22/03/2026</t>
        </is>
      </c>
      <c r="I20423" t="inlineStr">
        <is>
          <t>17/03/2026</t>
        </is>
      </c>
      <c r="J20423" t="inlineStr">
        <is>
          <t>Ngân hàng, Tài chính / Đầu tư, Bán hàng / Kinh doanh</t>
        </is>
      </c>
      <c r="K20423" t="inlineStr">
        <is>
          <t>3 - 4 Năm</t>
        </is>
      </c>
      <c r="L20423" s="8">
        <f>HYPERLINK("https://careerviet.vn/vi/tim-viec-lam/giam-doc-bvbank-kv-ha-noi.35C6632C.html","Xem chi tiết")</f>
        <v/>
      </c>
    </row>
    <row r="20424">
      <c r="B20424" s="9" t="n">
        <v>20422</v>
      </c>
      <c r="C20424" s="10" t="inlineStr">
        <is>
          <t>Trưởng Phòng Marketing</t>
        </is>
      </c>
      <c r="D20424" s="10" t="inlineStr">
        <is>
          <t>Công ty TNHH Đầu tư Bất động sản Ngôi Nhà Việt</t>
        </is>
      </c>
      <c r="E20424" s="10" t="inlineStr">
        <is>
          <t>Lương:Cạnh tranh</t>
        </is>
      </c>
      <c r="F20424" s="10" t="inlineStr">
        <is>
          <t>Hồ Chí Minh</t>
        </is>
      </c>
      <c r="G20424" s="10" t="inlineStr">
        <is>
          <t>5</t>
        </is>
      </c>
      <c r="H20424" s="10" t="inlineStr">
        <is>
          <t>22/03/2026</t>
        </is>
      </c>
      <c r="I20424" s="10" t="inlineStr">
        <is>
          <t>17/03/2026</t>
        </is>
      </c>
      <c r="J20424" s="10" t="inlineStr">
        <is>
          <t>Tiếp thị / Marketing, Tiếp thị trực tuyến, Quản lý điều hành</t>
        </is>
      </c>
      <c r="K20424" s="10" t="inlineStr">
        <is>
          <t>Trên 3 Năm</t>
        </is>
      </c>
      <c r="L20424" s="11">
        <f>HYPERLINK("https://careerviet.vn/vi/tim-viec-lam/truong-phong-marketing.35C637AF.html","Xem chi tiết")</f>
        <v/>
      </c>
      <c r="M20424" s="10" t="n"/>
    </row>
    <row r="20425">
      <c r="B20425" s="7" t="n">
        <v>20423</v>
      </c>
      <c r="C20425" t="inlineStr">
        <is>
          <t>QC Inspector</t>
        </is>
      </c>
      <c r="D20425" t="inlineStr">
        <is>
          <t>Huhtamaki (Vietnam) Ltd.</t>
        </is>
      </c>
      <c r="E20425" t="inlineStr">
        <is>
          <t>Lương:8 Tr - 15 Tr VND</t>
        </is>
      </c>
      <c r="F20425" t="inlineStr">
        <is>
          <t>Bình Dương</t>
        </is>
      </c>
      <c r="G20425" t="inlineStr">
        <is>
          <t>5</t>
        </is>
      </c>
      <c r="H20425" t="inlineStr">
        <is>
          <t>22/03/2026</t>
        </is>
      </c>
      <c r="I20425" t="inlineStr">
        <is>
          <t>17/03/2026</t>
        </is>
      </c>
      <c r="J20425" t="inlineStr">
        <is>
          <t>Hóa học, Dược phẩm/ Hóa Mỹ Phẩm, Quản lý chất lượng (QA/QC)</t>
        </is>
      </c>
      <c r="K20425" t="inlineStr">
        <is>
          <t>N/A</t>
        </is>
      </c>
      <c r="L20425" s="8">
        <f>HYPERLINK("https://careerviet.vn/vi/tim-viec-lam/qc-inspector.35C663EF.html","Xem chi tiết")</f>
        <v/>
      </c>
    </row>
    <row r="20426">
      <c r="B20426" s="9" t="n">
        <v>20424</v>
      </c>
      <c r="C20426" s="10" t="inlineStr">
        <is>
          <t>Chuyên Viên Business Analyst (BA)</t>
        </is>
      </c>
      <c r="D20426" s="10" t="inlineStr">
        <is>
          <t>Công ty TNHH Thiên Thủy Mộc</t>
        </is>
      </c>
      <c r="E20426" s="10" t="inlineStr">
        <is>
          <t>Lương:9 Tr - 12 Tr VND</t>
        </is>
      </c>
      <c r="F20426" s="10" t="inlineStr">
        <is>
          <t>Hà Nội</t>
        </is>
      </c>
      <c r="G20426" s="10" t="inlineStr">
        <is>
          <t>5</t>
        </is>
      </c>
      <c r="H20426" s="10" t="inlineStr">
        <is>
          <t>22/03/2026</t>
        </is>
      </c>
      <c r="I20426" s="10" t="inlineStr">
        <is>
          <t>17/03/2026</t>
        </is>
      </c>
      <c r="J20426" s="10" t="inlineStr">
        <is>
          <t>Kế toán / Kiểm toán, CNTT - Phần mềm</t>
        </is>
      </c>
      <c r="K20426" s="10" t="inlineStr">
        <is>
          <t>1 - 2 Năm</t>
        </is>
      </c>
      <c r="L20426" s="11">
        <f>HYPERLINK("https://careerviet.vn/vi/tim-viec-lam/chuyen-vien-business-analyst-ba.35C6374A.html","Xem chi tiết")</f>
        <v/>
      </c>
      <c r="M20426" s="10" t="n"/>
    </row>
    <row r="20427">
      <c r="B20427" s="7" t="n">
        <v>20425</v>
      </c>
      <c r="C20427" t="inlineStr">
        <is>
          <t>KỸ SƯ XÂY DỰNG</t>
        </is>
      </c>
      <c r="D20427" t="inlineStr">
        <is>
          <t>Tập Đoàn Kim Tín</t>
        </is>
      </c>
      <c r="E20427" t="inlineStr">
        <is>
          <t>Lương:Cạnh tranh</t>
        </is>
      </c>
      <c r="F20427" t="inlineStr">
        <is>
          <t>KV Bắc Trung BộHà NộiHưng Yên</t>
        </is>
      </c>
      <c r="G20427" t="inlineStr">
        <is>
          <t>5</t>
        </is>
      </c>
      <c r="H20427" t="inlineStr">
        <is>
          <t>22/03/2026</t>
        </is>
      </c>
      <c r="I20427" t="inlineStr">
        <is>
          <t>17/03/2026</t>
        </is>
      </c>
      <c r="J20427" t="inlineStr">
        <is>
          <t>Xây dựng</t>
        </is>
      </c>
      <c r="K20427" t="inlineStr">
        <is>
          <t>1 - 2 Năm</t>
        </is>
      </c>
      <c r="L20427" s="8">
        <f>HYPERLINK("https://careerviet.vn/vi/tim-viec-lam/ky-su-xay-dung.35C66389.html","Xem chi tiết")</f>
        <v/>
      </c>
    </row>
    <row r="20428">
      <c r="B20428" s="9" t="n">
        <v>20426</v>
      </c>
      <c r="C20428" s="10" t="inlineStr">
        <is>
          <t>[Huế] Giao dịch viên</t>
        </is>
      </c>
      <c r="D20428" s="10" t="inlineStr">
        <is>
          <t>Ngân hàng TMCP Đại Chúng Việt Nam - PVcomBank</t>
        </is>
      </c>
      <c r="E20428" s="10" t="inlineStr">
        <is>
          <t>Lương:Cạnh tranh</t>
        </is>
      </c>
      <c r="F20428" s="10" t="inlineStr">
        <is>
          <t>Thừa Thiên- HuếKV Nam Trung Bộ</t>
        </is>
      </c>
      <c r="G20428" s="10" t="inlineStr">
        <is>
          <t>5</t>
        </is>
      </c>
      <c r="H20428" s="10" t="inlineStr">
        <is>
          <t>22/03/2026</t>
        </is>
      </c>
      <c r="I20428" s="10" t="inlineStr">
        <is>
          <t>17/03/2026</t>
        </is>
      </c>
      <c r="J20428" s="10" t="inlineStr">
        <is>
          <t>Bán hàng / Kinh doanh, Ngân hàng, Tài chính / Đầu tư</t>
        </is>
      </c>
      <c r="K20428" s="10" t="inlineStr">
        <is>
          <t>Trên 1 Năm</t>
        </is>
      </c>
      <c r="L20428" s="11">
        <f>HYPERLINK("https://careerviet.vn/vi/tim-viec-lam/hue-giao-dich-vien.35C66381.html","Xem chi tiết")</f>
        <v/>
      </c>
      <c r="M20428" s="10" t="n"/>
    </row>
    <row r="20429">
      <c r="B20429" s="7" t="n">
        <v>20427</v>
      </c>
      <c r="C20429" t="inlineStr">
        <is>
          <t>Nhân viên bếp bánh</t>
        </is>
      </c>
      <c r="D20429" t="inlineStr">
        <is>
          <t>CÔNG TY CỔ PHẦN TẬP ĐOÀN ONSEN FUJI</t>
        </is>
      </c>
      <c r="E20429" t="inlineStr">
        <is>
          <t>Lương:10 Tr - 15 Tr VND</t>
        </is>
      </c>
      <c r="F20429" t="inlineStr">
        <is>
          <t>Phú Thọ</t>
        </is>
      </c>
      <c r="G20429" t="inlineStr">
        <is>
          <t>5</t>
        </is>
      </c>
      <c r="H20429" t="inlineStr">
        <is>
          <t>22/03/2026</t>
        </is>
      </c>
      <c r="I20429" t="inlineStr">
        <is>
          <t>17/03/2026</t>
        </is>
      </c>
      <c r="J20429" t="inlineStr">
        <is>
          <t>Nhà hàng / Khách sạn</t>
        </is>
      </c>
      <c r="K20429" t="inlineStr">
        <is>
          <t>1 - 3 Năm</t>
        </is>
      </c>
      <c r="L20429" s="8">
        <f>HYPERLINK("https://careerviet.vn/vi/tim-viec-lam/nhan-vien-bep-banh.35C66282.html","Xem chi tiết")</f>
        <v/>
      </c>
    </row>
    <row r="20430">
      <c r="B20430" s="9" t="n">
        <v>20428</v>
      </c>
      <c r="C20430" s="10" t="inlineStr">
        <is>
          <t>Digital Business Controller</t>
        </is>
      </c>
      <c r="D20430" s="10" t="inlineStr">
        <is>
          <t>Food Retail</t>
        </is>
      </c>
      <c r="E20430" s="10" t="inlineStr">
        <is>
          <t>Lương:Cạnh tranh</t>
        </is>
      </c>
      <c r="F20430" s="10" t="inlineStr">
        <is>
          <t>Hồ Chí Minh</t>
        </is>
      </c>
      <c r="G20430" s="10" t="inlineStr">
        <is>
          <t>5</t>
        </is>
      </c>
      <c r="H20430" s="10" t="inlineStr">
        <is>
          <t>22/03/2026</t>
        </is>
      </c>
      <c r="I20430" s="10" t="inlineStr">
        <is>
          <t>17/03/2026</t>
        </is>
      </c>
      <c r="J20430" s="10" t="inlineStr">
        <is>
          <t>Bán lẻ / Bán sỉ, Thương mại điện tử, Kế toán / Kiểm toán</t>
        </is>
      </c>
      <c r="K20430" s="10" t="inlineStr">
        <is>
          <t>4 - 6 Năm</t>
        </is>
      </c>
      <c r="L20430" s="11">
        <f>HYPERLINK("https://careerviet.vn/vi/tim-viec-lam/digital-business-controller.35C663D4.html","Xem chi tiết")</f>
        <v/>
      </c>
      <c r="M20430" s="10" t="n"/>
    </row>
    <row r="20431">
      <c r="B20431" s="7" t="n">
        <v>20429</v>
      </c>
      <c r="C20431" t="inlineStr">
        <is>
          <t>Trợ lý Dự án</t>
        </is>
      </c>
      <c r="D20431" t="inlineStr">
        <is>
          <t>CÔNG TY CỔ PHẦN CÔNG NGHIỆP WELDCOM</t>
        </is>
      </c>
      <c r="E20431" t="inlineStr">
        <is>
          <t>Lương:12 Tr - 20 Tr VND</t>
        </is>
      </c>
      <c r="F20431" t="inlineStr">
        <is>
          <t>Hà NộiHà Tĩnh</t>
        </is>
      </c>
      <c r="G20431" t="inlineStr">
        <is>
          <t>5</t>
        </is>
      </c>
      <c r="H20431" t="inlineStr">
        <is>
          <t>22/03/2026</t>
        </is>
      </c>
      <c r="I20431" t="inlineStr">
        <is>
          <t>17/03/2026</t>
        </is>
      </c>
      <c r="J20431" t="inlineStr">
        <is>
          <t>Dịch vụ khách hàng, Hành chính / Thư ký, Biên phiên dịch</t>
        </is>
      </c>
      <c r="K20431" t="inlineStr">
        <is>
          <t>1 - 3 Năm</t>
        </is>
      </c>
      <c r="L20431" s="8">
        <f>HYPERLINK("https://careerviet.vn/vi/tim-viec-lam/tro-ly-du-an.35C6634E.html","Xem chi tiết")</f>
        <v/>
      </c>
    </row>
    <row r="20432">
      <c r="B20432" s="9" t="n">
        <v>20430</v>
      </c>
      <c r="C20432" s="10" t="inlineStr">
        <is>
          <t>[NOVAGROUP] TRỢ LÝ BAN GIÁM ĐỐC (PHỤ TRÁCH MẢNG NHÀ HÀNG)</t>
        </is>
      </c>
      <c r="D20432" s="10" t="inlineStr">
        <is>
          <t>NovaGroup - Công ty Cổ phần NovaGroup</t>
        </is>
      </c>
      <c r="E20432" s="10" t="inlineStr">
        <is>
          <t>Lương:Cạnh tranh</t>
        </is>
      </c>
      <c r="F20432" s="10" t="inlineStr">
        <is>
          <t>Hồ Chí Minh</t>
        </is>
      </c>
      <c r="G20432" s="10" t="inlineStr">
        <is>
          <t>5</t>
        </is>
      </c>
      <c r="H20432" s="10" t="inlineStr">
        <is>
          <t>22/03/2026</t>
        </is>
      </c>
      <c r="I20432" s="10" t="inlineStr">
        <is>
          <t>17/03/2026</t>
        </is>
      </c>
      <c r="J20432" s="10" t="inlineStr">
        <is>
          <t>Thực phẩm &amp; Đồ uống, Quản lý điều hành, Nhà hàng / Khách sạn</t>
        </is>
      </c>
      <c r="K20432" s="10" t="inlineStr">
        <is>
          <t>10 - 15 Năm</t>
        </is>
      </c>
      <c r="L20432" s="11">
        <f>HYPERLINK("https://careerviet.vn/vi/tim-viec-lam/novagroup-tro-ly-ban-giam-doc-phu-trach-mang-nha-hang.35C6372C.html","Xem chi tiết")</f>
        <v/>
      </c>
      <c r="M20432" s="10" t="n"/>
    </row>
    <row r="20433">
      <c r="B20433" s="7" t="n">
        <v>20431</v>
      </c>
      <c r="C20433" t="inlineStr">
        <is>
          <t>Garment QC (Japanese speaker only) アパレル品質管理</t>
        </is>
      </c>
      <c r="D20433" t="inlineStr">
        <is>
          <t>MUJI GLOBAL SOURCING VIETNAM CO.,LTD</t>
        </is>
      </c>
      <c r="E20433" t="inlineStr">
        <is>
          <t>Lương:Cạnh tranh</t>
        </is>
      </c>
      <c r="F20433" t="inlineStr">
        <is>
          <t>Hồ Chí Minh</t>
        </is>
      </c>
      <c r="G20433" t="inlineStr">
        <is>
          <t>5</t>
        </is>
      </c>
      <c r="H20433" t="inlineStr">
        <is>
          <t>22/03/2026</t>
        </is>
      </c>
      <c r="I20433" t="inlineStr">
        <is>
          <t>17/03/2026</t>
        </is>
      </c>
      <c r="J20433" t="inlineStr">
        <is>
          <t>Dệt may / Da giày / Thời trang, Quản lý chất lượng (QA/QC), Sản xuất / Vận hành sản xuất</t>
        </is>
      </c>
      <c r="K20433" t="inlineStr">
        <is>
          <t>N/A</t>
        </is>
      </c>
      <c r="L20433" s="8">
        <f>HYPERLINK("https://careerviet.vn/vi/tim-viec-lam/garment-qc-japanese-speaker-only.35C63766.html","Xem chi tiết")</f>
        <v/>
      </c>
    </row>
    <row r="20434">
      <c r="B20434" s="9" t="n">
        <v>20432</v>
      </c>
      <c r="C20434" s="10" t="inlineStr">
        <is>
          <t>NHÂN VIÊN KINH DOANH (THU NHẬP 13-20 TRIỆU) tại Khánh Hoà (cũ)</t>
        </is>
      </c>
      <c r="D20434" s="10" t="inlineStr">
        <is>
          <t>CÔNG TY CỔ PHẦN TẬP ĐOÀN DEKKO</t>
        </is>
      </c>
      <c r="E20434" s="10" t="inlineStr">
        <is>
          <t>Lương:13 Tr - 20 Tr VND</t>
        </is>
      </c>
      <c r="F20434" s="10" t="inlineStr">
        <is>
          <t>Khánh Hòa</t>
        </is>
      </c>
      <c r="G20434" s="10" t="inlineStr">
        <is>
          <t>5</t>
        </is>
      </c>
      <c r="H20434" s="10" t="inlineStr">
        <is>
          <t>22/03/2026</t>
        </is>
      </c>
      <c r="I20434" s="10" t="inlineStr">
        <is>
          <t>17/03/2026</t>
        </is>
      </c>
      <c r="J20434" s="10" t="inlineStr">
        <is>
          <t>Bán hàng / Kinh doanh, Dịch vụ khách hàng</t>
        </is>
      </c>
      <c r="K20434" s="10" t="inlineStr">
        <is>
          <t>Trên 1 Năm</t>
        </is>
      </c>
      <c r="L20434" s="11">
        <f>HYPERLINK("https://careerviet.vn/vi/tim-viec-lam/nhan-vien-kinh-doanh-thu-nhap-13-20-trieu-tai-khanh-hoa-cu.35C637D3.html","Xem chi tiết")</f>
        <v/>
      </c>
      <c r="M20434" s="10" t="n"/>
    </row>
    <row r="20435">
      <c r="B20435" s="7" t="n">
        <v>20433</v>
      </c>
      <c r="C20435" t="inlineStr">
        <is>
          <t>Phó Giám đốc Chi nhánh - KV Hà Nội</t>
        </is>
      </c>
      <c r="D20435" t="inlineStr">
        <is>
          <t>BVBank - Ngân hàng Bản Việt</t>
        </is>
      </c>
      <c r="E20435" t="inlineStr">
        <is>
          <t>Lương:Cạnh tranh</t>
        </is>
      </c>
      <c r="F20435" t="inlineStr">
        <is>
          <t>Hà Nội</t>
        </is>
      </c>
      <c r="G20435" t="inlineStr">
        <is>
          <t>5</t>
        </is>
      </c>
      <c r="H20435" t="inlineStr">
        <is>
          <t>22/03/2026</t>
        </is>
      </c>
      <c r="I20435" t="inlineStr">
        <is>
          <t>17/03/2026</t>
        </is>
      </c>
      <c r="J20435" t="inlineStr">
        <is>
          <t>Ngân hàng, Tài chính / Đầu tư, Bán hàng / Kinh doanh</t>
        </is>
      </c>
      <c r="K20435" t="inlineStr">
        <is>
          <t>5 - 6 Năm</t>
        </is>
      </c>
      <c r="L20435" s="8">
        <f>HYPERLINK("https://careerviet.vn/vi/tim-viec-lam/pho-giam-doc-chi-nhanh-kv-ha-noi.35C6632F.html","Xem chi tiết")</f>
        <v/>
      </c>
    </row>
    <row r="20436">
      <c r="B20436" s="9" t="n">
        <v>20434</v>
      </c>
      <c r="C20436" s="10" t="inlineStr">
        <is>
          <t>Chuyên Viên Mua Hàng Quốc Tế</t>
        </is>
      </c>
      <c r="D20436" s="10" t="inlineStr">
        <is>
          <t>Công Ty TNHH Thương Mại Giải Pháp Ưu Việt</t>
        </is>
      </c>
      <c r="E20436" s="10" t="inlineStr">
        <is>
          <t>Lương:12 Tr - 17 Tr VND</t>
        </is>
      </c>
      <c r="F20436" s="10" t="inlineStr">
        <is>
          <t>Hồ Chí Minh</t>
        </is>
      </c>
      <c r="G20436" s="10" t="inlineStr">
        <is>
          <t>5</t>
        </is>
      </c>
      <c r="H20436" s="10" t="inlineStr">
        <is>
          <t>22/03/2026</t>
        </is>
      </c>
      <c r="I20436" s="10" t="inlineStr">
        <is>
          <t>17/03/2026</t>
        </is>
      </c>
      <c r="J20436" s="10" t="inlineStr">
        <is>
          <t>Xuất nhập khẩu, Thu mua / Vật tư, Nội ngoại thất</t>
        </is>
      </c>
      <c r="K20436" s="10" t="inlineStr">
        <is>
          <t>2 - 5 Năm</t>
        </is>
      </c>
      <c r="L20436" s="11">
        <f>HYPERLINK("https://careerviet.vn/vi/tim-viec-lam/chuyen-vien-mua-hang-quoc-te.35C637B2.html","Xem chi tiết")</f>
        <v/>
      </c>
      <c r="M20436" s="10" t="n"/>
    </row>
    <row r="20437">
      <c r="B20437" s="7" t="n">
        <v>20435</v>
      </c>
      <c r="C20437" t="inlineStr">
        <is>
          <t>Trợ giảng Tiếng Anh Tiểu học- Fulltime | Pathway school</t>
        </is>
      </c>
      <c r="D20437" t="inlineStr">
        <is>
          <t>Hệ thống trường Pathway Tuệ Đức</t>
        </is>
      </c>
      <c r="E20437" t="inlineStr">
        <is>
          <t>Lương:Cạnh tranh</t>
        </is>
      </c>
      <c r="F20437" t="inlineStr">
        <is>
          <t>Hồ Chí Minh</t>
        </is>
      </c>
      <c r="G20437" t="inlineStr">
        <is>
          <t>5</t>
        </is>
      </c>
      <c r="H20437" t="inlineStr">
        <is>
          <t>22/03/2026</t>
        </is>
      </c>
      <c r="I20437" t="inlineStr">
        <is>
          <t>17/03/2026</t>
        </is>
      </c>
      <c r="J20437" t="inlineStr">
        <is>
          <t>Giáo dục / Đào tạo</t>
        </is>
      </c>
      <c r="K20437" t="inlineStr">
        <is>
          <t>1 - 2 Năm</t>
        </is>
      </c>
      <c r="L20437" s="8">
        <f>HYPERLINK("https://careerviet.vn/vi/tim-viec-lam/tro-giang-tieng-anh-tieu-hoc-fulltime-pathway-school.35C6633C.html","Xem chi tiết")</f>
        <v/>
      </c>
    </row>
    <row r="20438">
      <c r="B20438" s="9" t="n">
        <v>20436</v>
      </c>
      <c r="C20438" s="10" t="inlineStr">
        <is>
          <t>Nhân viên Livestream Part-time</t>
        </is>
      </c>
      <c r="D20438" s="10" t="inlineStr">
        <is>
          <t>CÔNG TY TNHH WILMAR MARKETING CLV</t>
        </is>
      </c>
      <c r="E20438" s="10" t="inlineStr">
        <is>
          <t>Lương:2 Tr - 3 Tr VND</t>
        </is>
      </c>
      <c r="F20438" s="10" t="inlineStr">
        <is>
          <t>Hồ Chí Minh</t>
        </is>
      </c>
      <c r="G20438" s="10" t="inlineStr">
        <is>
          <t>5</t>
        </is>
      </c>
      <c r="H20438" s="10" t="inlineStr">
        <is>
          <t>22/03/2026</t>
        </is>
      </c>
      <c r="I20438" s="10" t="inlineStr">
        <is>
          <t>17/03/2026</t>
        </is>
      </c>
      <c r="J20438" s="10" t="inlineStr">
        <is>
          <t>Bán hàng / Kinh doanh, Tiếp thị trực tuyến, Thương mại điện tử</t>
        </is>
      </c>
      <c r="K20438" s="10" t="inlineStr">
        <is>
          <t>N/A</t>
        </is>
      </c>
      <c r="L20438" s="11">
        <f>HYPERLINK("https://careerviet.vn/vi/tim-viec-lam/nhan-vien-livestream-part-time.35C6631A.html","Xem chi tiết")</f>
        <v/>
      </c>
      <c r="M20438" s="10" t="n"/>
    </row>
    <row r="20439">
      <c r="B20439" s="7" t="n">
        <v>20437</v>
      </c>
      <c r="C20439" t="inlineStr">
        <is>
          <t>Giám Sát Nhà Hàng ( Tiếng Hàn)</t>
        </is>
      </c>
      <c r="D20439" t="inlineStr">
        <is>
          <t>Công ty TNHH Sản xuất Thương mại &amp; Dịch vụ Hoa Xinh</t>
        </is>
      </c>
      <c r="E20439" t="inlineStr">
        <is>
          <t>Lương:15 Tr - 30 Tr VND</t>
        </is>
      </c>
      <c r="F20439" t="inlineStr">
        <is>
          <t>Hồ Chí Minh</t>
        </is>
      </c>
      <c r="G20439" t="inlineStr">
        <is>
          <t>5</t>
        </is>
      </c>
      <c r="H20439" t="inlineStr">
        <is>
          <t>22/03/2026</t>
        </is>
      </c>
      <c r="I20439" t="inlineStr">
        <is>
          <t>17/03/2026</t>
        </is>
      </c>
      <c r="J20439" t="inlineStr">
        <is>
          <t>Hành chính / Thư ký, Biên phiên dịch, Nhà hàng / Khách sạn</t>
        </is>
      </c>
      <c r="K20439" t="inlineStr">
        <is>
          <t>1 - 5 Năm</t>
        </is>
      </c>
      <c r="L20439" s="8">
        <f>HYPERLINK("https://careerviet.vn/vi/tim-viec-lam/giam-sat-nha-hang-tieng-han.35C63850.html","Xem chi tiết")</f>
        <v/>
      </c>
    </row>
    <row r="20440">
      <c r="B20440" s="9" t="n">
        <v>20438</v>
      </c>
      <c r="C20440" s="10" t="inlineStr">
        <is>
          <t>English Teaching Assistant - HCMC</t>
        </is>
      </c>
      <c r="D20440" s="10" t="inlineStr">
        <is>
          <t>CareerViet's client</t>
        </is>
      </c>
      <c r="E20440" s="10" t="inlineStr">
        <is>
          <t>Lương:Cạnh tranh</t>
        </is>
      </c>
      <c r="F20440" s="10" t="inlineStr">
        <is>
          <t>Hồ Chí Minh</t>
        </is>
      </c>
      <c r="G20440" s="10" t="inlineStr">
        <is>
          <t>5</t>
        </is>
      </c>
      <c r="H20440" s="10" t="inlineStr">
        <is>
          <t>22/03/2026</t>
        </is>
      </c>
      <c r="I20440" s="10" t="inlineStr">
        <is>
          <t>17/03/2026</t>
        </is>
      </c>
      <c r="J20440" s="10" t="inlineStr">
        <is>
          <t>Giáo dục / Đào tạo</t>
        </is>
      </c>
      <c r="K20440" s="10" t="inlineStr">
        <is>
          <t>1 - 2 Năm</t>
        </is>
      </c>
      <c r="L20440" s="11">
        <f>HYPERLINK("https://careerviet.vn/vi/tim-viec-lam/english-teaching-assistant-hcmc.35C66340.html","Xem chi tiết")</f>
        <v/>
      </c>
      <c r="M20440" s="10" t="n"/>
    </row>
    <row r="20441">
      <c r="B20441" s="7" t="n">
        <v>20439</v>
      </c>
      <c r="C20441" t="inlineStr">
        <is>
          <t>Quảng Ninh - Chuyên viên Khách hàng cá nhân</t>
        </is>
      </c>
      <c r="D20441" t="inlineStr">
        <is>
          <t>Ngân hàng TMCP Lộc Phát Việt Nam (LPBank)</t>
        </is>
      </c>
      <c r="E20441" t="inlineStr">
        <is>
          <t>Lương:Cạnh tranh</t>
        </is>
      </c>
      <c r="F20441" t="inlineStr">
        <is>
          <t>Quảng Ninh</t>
        </is>
      </c>
      <c r="G20441" t="inlineStr">
        <is>
          <t>5</t>
        </is>
      </c>
      <c r="H20441" t="inlineStr">
        <is>
          <t>22/03/2026</t>
        </is>
      </c>
      <c r="I20441" t="inlineStr">
        <is>
          <t>17/03/2026</t>
        </is>
      </c>
      <c r="J20441" t="inlineStr">
        <is>
          <t>Bán hàng / Kinh doanh, Kế toán / Kiểm toán, Ngân hàng</t>
        </is>
      </c>
      <c r="K20441" t="inlineStr">
        <is>
          <t>N/A</t>
        </is>
      </c>
      <c r="L20441" s="8">
        <f>HYPERLINK("https://careerviet.vn/vi/tim-viec-lam/quang-ninh-chuyen-vien-khach-hang-ca-nhan.35C662B9.html","Xem chi tiết")</f>
        <v/>
      </c>
    </row>
    <row r="20442">
      <c r="B20442" s="9" t="n">
        <v>20440</v>
      </c>
      <c r="C20442" s="10" t="inlineStr">
        <is>
          <t>Chuyên viên cao cấp Lập kế hoạch đào tạo (Phụ trách phần dữ liệu đào tạo) -TA184-ID570</t>
        </is>
      </c>
      <c r="D20442" s="10" t="inlineStr">
        <is>
          <t>Ngân Hàng TMCP Việt Nam Thịnh Vượng - VPBANK</t>
        </is>
      </c>
      <c r="E20442" s="10" t="inlineStr">
        <is>
          <t>Lương:Cạnh tranh</t>
        </is>
      </c>
      <c r="F20442" s="10" t="inlineStr">
        <is>
          <t>Hà Nội</t>
        </is>
      </c>
      <c r="G20442" s="10" t="inlineStr">
        <is>
          <t>5</t>
        </is>
      </c>
      <c r="H20442" s="10" t="inlineStr">
        <is>
          <t>22/03/2026</t>
        </is>
      </c>
      <c r="I20442" s="10" t="inlineStr">
        <is>
          <t>17/03/2026</t>
        </is>
      </c>
      <c r="J20442" s="10" t="inlineStr">
        <is>
          <t>Giáo dục / Đào tạo, Ngân hàng, CNTT - Phần mềm</t>
        </is>
      </c>
      <c r="K20442" s="10" t="inlineStr">
        <is>
          <t>3 - 10 Năm</t>
        </is>
      </c>
      <c r="L20442" s="11">
        <f>HYPERLINK("https://careerviet.vn/vi/tim-viec-lam/chuyen-vien-cao-cap-lap-ke-hoach-dao-tao-phu-trach-phan-du-lieu-dao-tao-ta184-id570.35C63863.html","Xem chi tiết")</f>
        <v/>
      </c>
      <c r="M20442" s="10" t="n"/>
    </row>
    <row r="20443">
      <c r="B20443" s="7" t="n">
        <v>20441</v>
      </c>
      <c r="C20443" t="inlineStr">
        <is>
          <t>Chuyên viên Quản lý chất lượng</t>
        </is>
      </c>
      <c r="D20443" t="inlineStr">
        <is>
          <t>Công ty CP Thành Thành Công - Biên Hòa</t>
        </is>
      </c>
      <c r="E20443" t="inlineStr">
        <is>
          <t>Lương:Cạnh tranh</t>
        </is>
      </c>
      <c r="F20443" t="inlineStr">
        <is>
          <t>Tây Ninh</t>
        </is>
      </c>
      <c r="G20443" t="inlineStr">
        <is>
          <t>5</t>
        </is>
      </c>
      <c r="H20443" t="inlineStr">
        <is>
          <t>22/03/2026</t>
        </is>
      </c>
      <c r="I20443" t="inlineStr">
        <is>
          <t>17/03/2026</t>
        </is>
      </c>
      <c r="J20443" t="inlineStr">
        <is>
          <t>Quản lý chất lượng (QA/QC)</t>
        </is>
      </c>
      <c r="K20443" t="inlineStr">
        <is>
          <t>Trên 1 Năm</t>
        </is>
      </c>
      <c r="L20443" s="8">
        <f>HYPERLINK("https://careerviet.vn/vi/tim-viec-lam/chuyen-vien-quan-ly-chat-luong.35C6388B.html","Xem chi tiết")</f>
        <v/>
      </c>
    </row>
    <row r="20444">
      <c r="B20444" s="9" t="n">
        <v>20442</v>
      </c>
      <c r="C20444" s="10" t="inlineStr">
        <is>
          <t>Nhân viên y tế học đường (HĐ full time - 6 tháng)</t>
        </is>
      </c>
      <c r="D20444" s="10" t="inlineStr">
        <is>
          <t>CÔNG TY TNHH MỘT THÀNH VIÊN ĐẦU TƯ VÀ PHÁT TRIỂN  GIÁO DỤC NHÂN VĂN</t>
        </is>
      </c>
      <c r="E20444" s="10" t="inlineStr">
        <is>
          <t>Lương:Cạnh tranh</t>
        </is>
      </c>
      <c r="F20444" s="10" t="inlineStr">
        <is>
          <t>Hồ Chí Minh</t>
        </is>
      </c>
      <c r="G20444" s="10" t="inlineStr">
        <is>
          <t>5</t>
        </is>
      </c>
      <c r="H20444" s="10" t="inlineStr">
        <is>
          <t>22/03/2026</t>
        </is>
      </c>
      <c r="I20444" s="10" t="inlineStr">
        <is>
          <t>17/03/2026</t>
        </is>
      </c>
      <c r="J20444" s="10" t="inlineStr">
        <is>
          <t>Y tế / Chăm sóc sức khỏe / Thẩm mỹ / Làm đẹp, Giáo dục / Đào tạo</t>
        </is>
      </c>
      <c r="K20444" s="10" t="inlineStr">
        <is>
          <t>1 - 2 Năm</t>
        </is>
      </c>
      <c r="L20444" s="11">
        <f>HYPERLINK("https://careerviet.vn/vi/tim-viec-lam/nhan-vien-y-te-hoc-duong-hd-full-time-6-thang.35C636EE.html","Xem chi tiết")</f>
        <v/>
      </c>
      <c r="M20444" s="10" t="n"/>
    </row>
    <row r="20445">
      <c r="B20445" s="7" t="n">
        <v>20443</v>
      </c>
      <c r="C20445" t="inlineStr">
        <is>
          <t>Điều Dưỡng Đa Khoa</t>
        </is>
      </c>
      <c r="D20445" t="inlineStr">
        <is>
          <t>TẬP ĐOÀN Y TẾ VIỆT - NGA</t>
        </is>
      </c>
      <c r="E20445" t="inlineStr">
        <is>
          <t>Lương:8 Tr - 10 Tr VND</t>
        </is>
      </c>
      <c r="F20445" t="inlineStr">
        <is>
          <t>Hà Nội</t>
        </is>
      </c>
      <c r="G20445" t="inlineStr">
        <is>
          <t>5</t>
        </is>
      </c>
      <c r="H20445" t="inlineStr">
        <is>
          <t>22/03/2026</t>
        </is>
      </c>
      <c r="I20445" t="inlineStr">
        <is>
          <t>17/03/2026</t>
        </is>
      </c>
      <c r="J20445" t="inlineStr">
        <is>
          <t>Y tế / Chăm sóc sức khỏe / Thẩm mỹ / Làm đẹp</t>
        </is>
      </c>
      <c r="K20445" t="inlineStr">
        <is>
          <t>1 - 2 Năm</t>
        </is>
      </c>
      <c r="L20445" s="8">
        <f>HYPERLINK("https://careerviet.vn/vi/tim-viec-lam/dieu-duong-da-khoa.35C63864.html","Xem chi tiết")</f>
        <v/>
      </c>
    </row>
    <row r="20446">
      <c r="B20446" s="9" t="n">
        <v>20444</v>
      </c>
      <c r="C20446" s="10" t="inlineStr">
        <is>
          <t>Trưởng Phòng Tuyển Dụng</t>
        </is>
      </c>
      <c r="D20446" s="10" t="inlineStr">
        <is>
          <t>Công ty TNHH Đầu tư Bất động sản Ngôi Nhà Việt</t>
        </is>
      </c>
      <c r="E20446" s="10" t="inlineStr">
        <is>
          <t>Lương:Cạnh tranh</t>
        </is>
      </c>
      <c r="F20446" s="10" t="inlineStr">
        <is>
          <t>Hồ Chí Minh</t>
        </is>
      </c>
      <c r="G20446" s="10" t="inlineStr">
        <is>
          <t>5</t>
        </is>
      </c>
      <c r="H20446" s="10" t="inlineStr">
        <is>
          <t>22/03/2026</t>
        </is>
      </c>
      <c r="I20446" s="10" t="inlineStr">
        <is>
          <t>17/03/2026</t>
        </is>
      </c>
      <c r="J20446" s="10" t="inlineStr">
        <is>
          <t>Quản lý điều hành, Hành chính / Thư ký, Nhân sự</t>
        </is>
      </c>
      <c r="K20446" s="10" t="inlineStr">
        <is>
          <t>Trên 3 Năm</t>
        </is>
      </c>
      <c r="L20446" s="11">
        <f>HYPERLINK("https://careerviet.vn/vi/tim-viec-lam/truong-phong-tuyen-dung.35C637B8.html","Xem chi tiết")</f>
        <v/>
      </c>
      <c r="M20446" s="10" t="n"/>
    </row>
    <row r="20447">
      <c r="B20447" s="7" t="n">
        <v>20445</v>
      </c>
      <c r="C20447" t="inlineStr">
        <is>
          <t>Kiến Trúc Sư</t>
        </is>
      </c>
      <c r="D20447" t="inlineStr">
        <is>
          <t>CÔNG TY TNHH KIẾN TRÚC NAQ</t>
        </is>
      </c>
      <c r="E20447" t="inlineStr">
        <is>
          <t>Lương:Cạnh tranh</t>
        </is>
      </c>
      <c r="F20447" t="inlineStr">
        <is>
          <t>Hồ Chí Minh</t>
        </is>
      </c>
      <c r="G20447" t="inlineStr">
        <is>
          <t>5</t>
        </is>
      </c>
      <c r="H20447" t="inlineStr">
        <is>
          <t>22/03/2026</t>
        </is>
      </c>
      <c r="I20447" t="inlineStr">
        <is>
          <t>17/03/2026</t>
        </is>
      </c>
      <c r="J20447" t="inlineStr">
        <is>
          <t>Mỹ thuật / Nghệ thuật / Thiết kế, Kiến trúc, Xây dựng</t>
        </is>
      </c>
      <c r="K20447" t="inlineStr">
        <is>
          <t>Trên 2 Năm</t>
        </is>
      </c>
      <c r="L20447" s="8">
        <f>HYPERLINK("https://careerviet.vn/vi/tim-viec-lam/kien-truc-su.35C6341A.html","Xem chi tiết")</f>
        <v/>
      </c>
    </row>
    <row r="20448">
      <c r="B20448" s="9" t="n">
        <v>20446</v>
      </c>
      <c r="C20448" s="10" t="inlineStr">
        <is>
          <t>Móng Cái - Chuyên viên Khách hàng cá nhân</t>
        </is>
      </c>
      <c r="D20448" s="10" t="inlineStr">
        <is>
          <t>Ngân hàng TMCP Lộc Phát Việt Nam (LPBank)</t>
        </is>
      </c>
      <c r="E20448" s="10" t="inlineStr">
        <is>
          <t>Lương:Cạnh tranh</t>
        </is>
      </c>
      <c r="F20448" s="10" t="inlineStr">
        <is>
          <t>Quảng Ninh</t>
        </is>
      </c>
      <c r="G20448" s="10" t="inlineStr">
        <is>
          <t>5</t>
        </is>
      </c>
      <c r="H20448" s="10" t="inlineStr">
        <is>
          <t>22/03/2026</t>
        </is>
      </c>
      <c r="I20448" s="10" t="inlineStr">
        <is>
          <t>17/03/2026</t>
        </is>
      </c>
      <c r="J20448" s="10" t="inlineStr">
        <is>
          <t>Bán hàng / Kinh doanh, Kế toán / Kiểm toán, Ngân hàng</t>
        </is>
      </c>
      <c r="K20448" s="10" t="inlineStr">
        <is>
          <t>N/A</t>
        </is>
      </c>
      <c r="L20448" s="11">
        <f>HYPERLINK("https://careerviet.vn/vi/tim-viec-lam/mong-cai-chuyen-vien-khach-hang-ca-nhan.35C662BB.html","Xem chi tiết")</f>
        <v/>
      </c>
      <c r="M20448" s="10" t="n"/>
    </row>
    <row r="20449">
      <c r="B20449" s="7" t="n">
        <v>20447</v>
      </c>
      <c r="C20449" t="inlineStr">
        <is>
          <t>126052 - Tiếng Nhật - Kế toán - ngành Sản xuất</t>
        </is>
      </c>
      <c r="D20449" t="inlineStr">
        <is>
          <t>RGF HR Agent Vietnam Co., LTD</t>
        </is>
      </c>
      <c r="E20449" t="inlineStr">
        <is>
          <t>Lương:18 Tr - 22 Tr VND</t>
        </is>
      </c>
      <c r="F20449" t="inlineStr">
        <is>
          <t>Hà Nội</t>
        </is>
      </c>
      <c r="G20449" t="inlineStr">
        <is>
          <t>5</t>
        </is>
      </c>
      <c r="H20449" t="inlineStr">
        <is>
          <t>22/03/2026</t>
        </is>
      </c>
      <c r="I20449" t="inlineStr">
        <is>
          <t>17/03/2026</t>
        </is>
      </c>
      <c r="J20449" t="inlineStr">
        <is>
          <t>Kế toán / Kiểm toán</t>
        </is>
      </c>
      <c r="K20449" t="inlineStr">
        <is>
          <t>Trên 5 Năm</t>
        </is>
      </c>
      <c r="L20449" s="8">
        <f>HYPERLINK("https://careerviet.vn/vi/tim-viec-lam/126052-tieng-nhat-ke-toan-nganh-san-xuat.35C6387C.html","Xem chi tiết")</f>
        <v/>
      </c>
    </row>
    <row r="20450">
      <c r="B20450" s="9" t="n">
        <v>20448</v>
      </c>
      <c r="C20450" s="10" t="inlineStr">
        <is>
          <t>Nhân viên kinh doanh phần mềm FluentGo</t>
        </is>
      </c>
      <c r="D20450" s="10" t="inlineStr">
        <is>
          <t>CÔNG TY TNHH CÔNG NGHỆ MK1 VIỆT NAM</t>
        </is>
      </c>
      <c r="E20450" s="10" t="inlineStr">
        <is>
          <t>Lương:6,5 Tr - 25 Tr VND</t>
        </is>
      </c>
      <c r="F20450" s="10" t="inlineStr">
        <is>
          <t>Hà Nội</t>
        </is>
      </c>
      <c r="G20450" s="10" t="inlineStr">
        <is>
          <t>5</t>
        </is>
      </c>
      <c r="H20450" s="10" t="inlineStr">
        <is>
          <t>22/03/2026</t>
        </is>
      </c>
      <c r="I20450" s="10" t="inlineStr">
        <is>
          <t>17/03/2026</t>
        </is>
      </c>
      <c r="J20450" s="10" t="inlineStr">
        <is>
          <t>Bán hàng / Kinh doanh</t>
        </is>
      </c>
      <c r="K20450" s="10" t="inlineStr">
        <is>
          <t>1 - 2 Năm</t>
        </is>
      </c>
      <c r="L20450" s="11">
        <f>HYPERLINK("https://careerviet.vn/vi/tim-viec-lam/nhan-vien-kinh-doanh-phan-mem-fluentgo.35C637B9.html","Xem chi tiết")</f>
        <v/>
      </c>
      <c r="M20450" s="10" t="n"/>
    </row>
    <row r="20451">
      <c r="B20451" s="7" t="n">
        <v>20449</v>
      </c>
      <c r="C20451" t="inlineStr">
        <is>
          <t>IT Data Analyst</t>
        </is>
      </c>
      <c r="D20451" t="inlineStr">
        <is>
          <t>CÔNG TY CỔ PHẦN I GROUP</t>
        </is>
      </c>
      <c r="E20451" t="inlineStr">
        <is>
          <t>Lương:Cạnh tranh</t>
        </is>
      </c>
      <c r="F20451" t="inlineStr">
        <is>
          <t>Hồ Chí Minh</t>
        </is>
      </c>
      <c r="G20451" t="inlineStr">
        <is>
          <t>5</t>
        </is>
      </c>
      <c r="H20451" t="inlineStr">
        <is>
          <t>22/03/2026</t>
        </is>
      </c>
      <c r="I20451" t="inlineStr">
        <is>
          <t>17/03/2026</t>
        </is>
      </c>
      <c r="J20451" t="inlineStr">
        <is>
          <t>Thống kê, CNTT - Phần mềm, Sản xuất / Vận hành sản xuất</t>
        </is>
      </c>
      <c r="K20451" t="inlineStr">
        <is>
          <t>2 - 5 Năm</t>
        </is>
      </c>
      <c r="L20451" s="8">
        <f>HYPERLINK("https://careerviet.vn/vi/tim-viec-lam/it-data-analyst.35C66408.html","Xem chi tiết")</f>
        <v/>
      </c>
    </row>
    <row r="20452">
      <c r="B20452" s="9" t="n">
        <v>20450</v>
      </c>
      <c r="C20452" s="10" t="inlineStr">
        <is>
          <t>NHÂN VIÊN VẼ ĐỒ HỌA CAD</t>
        </is>
      </c>
      <c r="D20452" s="10" t="inlineStr">
        <is>
          <t>CÔNG TY TNHH POUYUEN VIỆT NAM</t>
        </is>
      </c>
      <c r="E20452" s="10" t="inlineStr">
        <is>
          <t>Lương:Cạnh tranh</t>
        </is>
      </c>
      <c r="F20452" s="10" t="inlineStr">
        <is>
          <t>Hồ Chí Minh</t>
        </is>
      </c>
      <c r="G20452" s="10" t="inlineStr">
        <is>
          <t>5</t>
        </is>
      </c>
      <c r="H20452" s="10" t="inlineStr">
        <is>
          <t>22/03/2026</t>
        </is>
      </c>
      <c r="I20452" s="10" t="inlineStr">
        <is>
          <t>17/03/2026</t>
        </is>
      </c>
      <c r="J20452" s="10" t="inlineStr">
        <is>
          <t>Mỹ thuật / Nghệ thuật / Thiết kế, Sản xuất / Vận hành sản xuất, Dệt may / Da giày / Thời trang</t>
        </is>
      </c>
      <c r="K20452" s="10" t="inlineStr">
        <is>
          <t>N/A</t>
        </is>
      </c>
      <c r="L20452" s="11">
        <f>HYPERLINK("https://careerviet.vn/vi/tim-viec-lam/nhan-vien-ve-do-hoa-cad.35C637D7.html","Xem chi tiết")</f>
        <v/>
      </c>
      <c r="M20452" s="10" t="n"/>
    </row>
    <row r="20453">
      <c r="B20453" s="7" t="n">
        <v>20451</v>
      </c>
      <c r="C20453" t="inlineStr">
        <is>
          <t>Chuyên Viên Tư Vấn Tuyển Sinh / Bán Hàng / Kinh Doanh / Sales/ Consultant - Thu Nhập từ 12 triệu đến không giới hạn - ILA HCM</t>
        </is>
      </c>
      <c r="D20453" t="inlineStr">
        <is>
          <t>ILA Việt Nam</t>
        </is>
      </c>
      <c r="E20453" t="inlineStr">
        <is>
          <t>Lương:15 Tr - 30 Tr VND</t>
        </is>
      </c>
      <c r="F20453" t="inlineStr">
        <is>
          <t>Hồ Chí Minh</t>
        </is>
      </c>
      <c r="G20453" t="inlineStr">
        <is>
          <t>5</t>
        </is>
      </c>
      <c r="H20453" t="inlineStr">
        <is>
          <t>22/03/2026</t>
        </is>
      </c>
      <c r="I20453" t="inlineStr">
        <is>
          <t>17/03/2026</t>
        </is>
      </c>
      <c r="J20453" t="inlineStr">
        <is>
          <t>Bán hàng / Kinh doanh, Tư vấn, Dịch vụ khách hàng</t>
        </is>
      </c>
      <c r="K20453" t="inlineStr">
        <is>
          <t>Lên đến 1 Năm</t>
        </is>
      </c>
      <c r="L20453" s="8">
        <f>HYPERLINK("https://careerviet.vn/vi/tim-viec-lam/chuyen-vien-tu-van-tuyen-sinh-ban-hang-kinh-doanh-sales-consultant-thu-nhap-tu-12-trieu-den-khong-gioi-han-ila-hcm.35C63746.html","Xem chi tiết")</f>
        <v/>
      </c>
    </row>
    <row r="20454">
      <c r="B20454" s="9" t="n">
        <v>20452</v>
      </c>
      <c r="C20454" s="10" t="inlineStr">
        <is>
          <t>Trợ lý kho kiêm hành chính khách sạn</t>
        </is>
      </c>
      <c r="D20454" s="10" t="inlineStr">
        <is>
          <t>Công Ty Cổ Phần A25 Hotel</t>
        </is>
      </c>
      <c r="E20454" s="10" t="inlineStr">
        <is>
          <t>Lương:12 Tr - 22 Tr VND</t>
        </is>
      </c>
      <c r="F20454" s="10" t="inlineStr">
        <is>
          <t>Hà Nội</t>
        </is>
      </c>
      <c r="G20454" s="10" t="inlineStr">
        <is>
          <t>5</t>
        </is>
      </c>
      <c r="H20454" s="10" t="inlineStr">
        <is>
          <t>22/03/2026</t>
        </is>
      </c>
      <c r="I20454" s="10" t="inlineStr">
        <is>
          <t>17/03/2026</t>
        </is>
      </c>
      <c r="J20454" s="10" t="inlineStr">
        <is>
          <t>Vận chuyển / Giao nhận / Kho vận, Nhà hàng / Khách sạn, Thống kê</t>
        </is>
      </c>
      <c r="K20454" s="10" t="inlineStr">
        <is>
          <t>Trên 1 Năm</t>
        </is>
      </c>
      <c r="L20454" s="11">
        <f>HYPERLINK("https://careerviet.vn/vi/tim-viec-lam/tro-ly-kho-kiem-hanh-chinh-khach-san.35C663A3.html","Xem chi tiết")</f>
        <v/>
      </c>
      <c r="M20454" s="10" t="n"/>
    </row>
    <row r="20455">
      <c r="B20455" s="7" t="n">
        <v>20453</v>
      </c>
      <c r="C20455" t="inlineStr">
        <is>
          <t>Chuyên viên Chính sách bán hàng BĐS (Phòng R&amp;D)</t>
        </is>
      </c>
      <c r="D20455" t="inlineStr">
        <is>
          <t>CÔNG TY CỔ PHẦN EUROWINDOW HOLDING</t>
        </is>
      </c>
      <c r="E20455" t="inlineStr">
        <is>
          <t>Lương:Cạnh tranh</t>
        </is>
      </c>
      <c r="F20455" t="inlineStr">
        <is>
          <t>Hà Nội</t>
        </is>
      </c>
      <c r="G20455" t="inlineStr">
        <is>
          <t>5</t>
        </is>
      </c>
      <c r="H20455" t="inlineStr">
        <is>
          <t>22/03/2026</t>
        </is>
      </c>
      <c r="I20455" t="inlineStr">
        <is>
          <t>17/03/2026</t>
        </is>
      </c>
      <c r="J20455" t="inlineStr">
        <is>
          <t>Bất động sản, Bán hàng / Kinh doanh</t>
        </is>
      </c>
      <c r="K20455" t="inlineStr">
        <is>
          <t>2 - 5 Năm</t>
        </is>
      </c>
      <c r="L20455" s="8">
        <f>HYPERLINK("https://careerviet.vn/vi/tim-viec-lam/chuyen-vien-chinh-sach-ban-hang-bds-phong-r-d.35C6387E.html","Xem chi tiết")</f>
        <v/>
      </c>
    </row>
    <row r="20456">
      <c r="B20456" s="9" t="n">
        <v>20454</v>
      </c>
      <c r="C20456" s="10" t="inlineStr">
        <is>
          <t>Nhân viên tư vấn du học</t>
        </is>
      </c>
      <c r="D20456" s="10" t="inlineStr">
        <is>
          <t>CÔNG TY TNHH HỢP TÁC PHÁT TRIỂN SUNNY INTERNATIONAL</t>
        </is>
      </c>
      <c r="E20456" s="10" t="inlineStr">
        <is>
          <t>Lương:6 Tr - 60 Tr VND</t>
        </is>
      </c>
      <c r="F20456" s="10" t="inlineStr">
        <is>
          <t>Hà Nội</t>
        </is>
      </c>
      <c r="G20456" s="10" t="inlineStr">
        <is>
          <t>5</t>
        </is>
      </c>
      <c r="H20456" s="10" t="inlineStr">
        <is>
          <t>22/03/2026</t>
        </is>
      </c>
      <c r="I20456" s="10" t="inlineStr">
        <is>
          <t>17/03/2026</t>
        </is>
      </c>
      <c r="J20456" s="10" t="inlineStr">
        <is>
          <t>Tư vấn, Dịch vụ khách hàng, Giáo dục / Đào tạo</t>
        </is>
      </c>
      <c r="K20456" s="10" t="inlineStr">
        <is>
          <t>N/A</t>
        </is>
      </c>
      <c r="L20456" s="11">
        <f>HYPERLINK("https://careerviet.vn/vi/tim-viec-lam/nhan-vien-tu-van-du-hoc.35C66294.html","Xem chi tiết")</f>
        <v/>
      </c>
      <c r="M20456" s="10" t="n"/>
    </row>
    <row r="20457">
      <c r="B20457" s="7" t="n">
        <v>20455</v>
      </c>
      <c r="C20457" t="inlineStr">
        <is>
          <t>Kiểm soát viên/Giám đốc Dịch vụ Khách hàng Hội sở - Khối Vận hành</t>
        </is>
      </c>
      <c r="D20457" t="inlineStr">
        <is>
          <t>Ngân Hàng TMCP Tiên Phong (TPBank)</t>
        </is>
      </c>
      <c r="E20457" t="inlineStr">
        <is>
          <t>Lương:Cạnh tranh</t>
        </is>
      </c>
      <c r="F20457" t="inlineStr">
        <is>
          <t>Hà Nội</t>
        </is>
      </c>
      <c r="G20457" t="inlineStr">
        <is>
          <t>5</t>
        </is>
      </c>
      <c r="H20457" t="inlineStr">
        <is>
          <t>22/03/2026</t>
        </is>
      </c>
      <c r="I20457" t="inlineStr">
        <is>
          <t>17/03/2026</t>
        </is>
      </c>
      <c r="J20457" t="inlineStr">
        <is>
          <t>Kế toán / Kiểm toán, Ngân hàng, Tài chính / Đầu tư</t>
        </is>
      </c>
      <c r="K20457" t="inlineStr">
        <is>
          <t>5 - 7 Năm</t>
        </is>
      </c>
      <c r="L20457" s="8">
        <f>HYPERLINK("https://careerviet.vn/vi/tim-viec-lam/kiem-soat-vien-giam-doc-dich-vu-khach-hang-hoi-so-khoi-van-hanh.35C63781.html","Xem chi tiết")</f>
        <v/>
      </c>
    </row>
    <row r="20458">
      <c r="B20458" s="9" t="n">
        <v>20456</v>
      </c>
      <c r="C20458" s="10" t="inlineStr">
        <is>
          <t>Nhân viên Kinh doanh Dự án Giáo dục (B2B Sales Executive)</t>
        </is>
      </c>
      <c r="D20458" s="10" t="inlineStr">
        <is>
          <t>Bitex (Nhà phân phối độc quyền máy tính Casio tại Việt Nam)</t>
        </is>
      </c>
      <c r="E20458" s="10" t="inlineStr">
        <is>
          <t>Lương:Cạnh tranh</t>
        </is>
      </c>
      <c r="F20458" s="10" t="inlineStr">
        <is>
          <t>Hồ Chí Minh</t>
        </is>
      </c>
      <c r="G20458" s="10" t="inlineStr">
        <is>
          <t>5</t>
        </is>
      </c>
      <c r="H20458" s="10" t="inlineStr">
        <is>
          <t>22/03/2026</t>
        </is>
      </c>
      <c r="I20458" s="10" t="inlineStr">
        <is>
          <t>17/03/2026</t>
        </is>
      </c>
      <c r="J20458" s="10" t="inlineStr">
        <is>
          <t>Tiếp thị / Marketing, Bán hàng / Kinh doanh, Giáo dục / Đào tạo</t>
        </is>
      </c>
      <c r="K20458" s="10" t="inlineStr">
        <is>
          <t>1 - 2 Năm</t>
        </is>
      </c>
      <c r="L20458" s="11">
        <f>HYPERLINK("https://careerviet.vn/vi/tim-viec-lam/nhan-vien-kinh-doanh-du-an-giao-duc-b2b-sales-executive.35C6640D.html","Xem chi tiết")</f>
        <v/>
      </c>
      <c r="M20458" s="10" t="n"/>
    </row>
    <row r="20459">
      <c r="B20459" s="7" t="n">
        <v>20457</v>
      </c>
      <c r="C20459" t="inlineStr">
        <is>
          <t>Chuyên viên tuyển dụng và đào tạo</t>
        </is>
      </c>
      <c r="D20459" t="inlineStr">
        <is>
          <t>TBS Land- Công ty Cổ Phần Đầu Tư Thái Bình</t>
        </is>
      </c>
      <c r="E20459" t="inlineStr">
        <is>
          <t>Lương:Cạnh tranh</t>
        </is>
      </c>
      <c r="F20459" t="inlineStr">
        <is>
          <t>Bình Dương</t>
        </is>
      </c>
      <c r="G20459" t="inlineStr">
        <is>
          <t>5</t>
        </is>
      </c>
      <c r="H20459" t="inlineStr">
        <is>
          <t>22/03/2026</t>
        </is>
      </c>
      <c r="I20459" t="inlineStr">
        <is>
          <t>17/03/2026</t>
        </is>
      </c>
      <c r="J20459" t="inlineStr">
        <is>
          <t>Xây dựng, Bất động sản</t>
        </is>
      </c>
      <c r="K20459" t="inlineStr">
        <is>
          <t>5 - 7 Năm</t>
        </is>
      </c>
      <c r="L20459" s="8">
        <f>HYPERLINK("https://careerviet.vn/vi/tim-viec-lam/chuyen-vien-tuyen-dung-va-dao-tao.35C6636E.html","Xem chi tiết")</f>
        <v/>
      </c>
    </row>
    <row r="20460">
      <c r="B20460" s="9" t="n">
        <v>20458</v>
      </c>
      <c r="C20460" s="10" t="inlineStr">
        <is>
          <t>Kế Toán Tổng hợp</t>
        </is>
      </c>
      <c r="D20460" s="10" t="inlineStr">
        <is>
          <t>CÔNG TY TNHH TNT TECHNOLOGY</t>
        </is>
      </c>
      <c r="E20460" s="10" t="inlineStr">
        <is>
          <t>Lương:Cạnh tranh</t>
        </is>
      </c>
      <c r="F20460" s="10" t="inlineStr">
        <is>
          <t>Bình Dương</t>
        </is>
      </c>
      <c r="G20460" s="10" t="inlineStr">
        <is>
          <t>5</t>
        </is>
      </c>
      <c r="H20460" s="10" t="inlineStr">
        <is>
          <t>22/03/2026</t>
        </is>
      </c>
      <c r="I20460" s="10" t="inlineStr">
        <is>
          <t>17/03/2026</t>
        </is>
      </c>
      <c r="J20460" s="10" t="inlineStr">
        <is>
          <t>Kế toán / Kiểm toán, Luật / Pháp lý, Tài chính / Đầu tư</t>
        </is>
      </c>
      <c r="K20460" s="10" t="inlineStr">
        <is>
          <t>Trên 2 Năm</t>
        </is>
      </c>
      <c r="L20460" s="11">
        <f>HYPERLINK("https://careerviet.vn/vi/tim-viec-lam/ke-toan-tong-hop.35C63857.html","Xem chi tiết")</f>
        <v/>
      </c>
      <c r="M20460" s="10" t="n"/>
    </row>
    <row r="20461">
      <c r="B20461" s="7" t="n">
        <v>20459</v>
      </c>
      <c r="C20461" t="inlineStr">
        <is>
          <t>Social Media Creator</t>
        </is>
      </c>
      <c r="D20461" t="inlineStr">
        <is>
          <t>Công ty TNHH Thai F&amp;B</t>
        </is>
      </c>
      <c r="E20461" t="inlineStr">
        <is>
          <t>Lương:Cạnh tranh</t>
        </is>
      </c>
      <c r="F20461" t="inlineStr">
        <is>
          <t>Hồ Chí Minh</t>
        </is>
      </c>
      <c r="G20461" t="inlineStr">
        <is>
          <t>5</t>
        </is>
      </c>
      <c r="H20461" t="inlineStr">
        <is>
          <t>21/03/2026</t>
        </is>
      </c>
      <c r="I20461" t="inlineStr">
        <is>
          <t>17/03/2026</t>
        </is>
      </c>
      <c r="J20461" t="inlineStr">
        <is>
          <t>Tiếp thị / Marketing, Tiếp thị trực tuyến, Quảng cáo / Đối ngoại / Truyền Thông</t>
        </is>
      </c>
      <c r="K20461" t="inlineStr">
        <is>
          <t>Trên 3 Năm</t>
        </is>
      </c>
      <c r="L20461" s="8">
        <f>HYPERLINK("https://careerviet.vn/vi/tim-viec-lam/social-media-creator.35C636C0.html","Xem chi tiết")</f>
        <v/>
      </c>
    </row>
    <row r="20462">
      <c r="B20462" s="9" t="n">
        <v>20460</v>
      </c>
      <c r="C20462" s="10" t="inlineStr">
        <is>
          <t>Chuyên Viên Kinh Doanh</t>
        </is>
      </c>
      <c r="D20462" s="10" t="inlineStr">
        <is>
          <t>Công Ty Sơn Touchstone</t>
        </is>
      </c>
      <c r="E20462" s="10" t="inlineStr">
        <is>
          <t>Lương:Trên 15 Tr VND</t>
        </is>
      </c>
      <c r="F20462" s="10" t="inlineStr">
        <is>
          <t>Hồ Chí Minh</t>
        </is>
      </c>
      <c r="G20462" s="10" t="inlineStr">
        <is>
          <t>5</t>
        </is>
      </c>
      <c r="H20462" s="10" t="inlineStr">
        <is>
          <t>22/03/2026</t>
        </is>
      </c>
      <c r="I20462" s="10" t="inlineStr">
        <is>
          <t>17/03/2026</t>
        </is>
      </c>
      <c r="J20462" s="10" t="inlineStr">
        <is>
          <t>Bán lẻ / Bán sỉ, Bán hàng / Kinh doanh, Xây dựng</t>
        </is>
      </c>
      <c r="K20462" s="10" t="inlineStr">
        <is>
          <t>Trên 3 Năm</t>
        </is>
      </c>
      <c r="L20462" s="11">
        <f>HYPERLINK("https://careerviet.vn/vi/tim-viec-lam/chuyen-vien-kinh-doanh.35C6629B.html","Xem chi tiết")</f>
        <v/>
      </c>
      <c r="M20462" s="10" t="n"/>
    </row>
    <row r="20463">
      <c r="B20463" s="7" t="n">
        <v>20461</v>
      </c>
      <c r="C20463" t="inlineStr">
        <is>
          <t>Nhân viên kinh doanh/Sales Engineer</t>
        </is>
      </c>
      <c r="D20463" t="inlineStr">
        <is>
          <t>CÔNG TY CỔ PHẦN VIET DYNAMIC</t>
        </is>
      </c>
      <c r="E20463" t="inlineStr">
        <is>
          <t>Lương:10 Tr - 15 Tr VND</t>
        </is>
      </c>
      <c r="F20463" t="inlineStr">
        <is>
          <t>Hồ Chí MinhHải PhòngHà Nội</t>
        </is>
      </c>
      <c r="G20463" t="inlineStr">
        <is>
          <t>5</t>
        </is>
      </c>
      <c r="H20463" t="inlineStr">
        <is>
          <t>22/03/2026</t>
        </is>
      </c>
      <c r="I20463" t="inlineStr">
        <is>
          <t>17/03/2026</t>
        </is>
      </c>
      <c r="J20463" t="inlineStr">
        <is>
          <t>Bán hàng / Kinh doanh</t>
        </is>
      </c>
      <c r="K20463" t="inlineStr">
        <is>
          <t>1 - 3 Năm</t>
        </is>
      </c>
      <c r="L20463" s="8">
        <f>HYPERLINK("https://careerviet.vn/vi/tim-viec-lam/nhan-vien-kinh-doanh-sales-engineer.35C63716.html","Xem chi tiết")</f>
        <v/>
      </c>
    </row>
    <row r="20464">
      <c r="B20464" s="9" t="n">
        <v>20462</v>
      </c>
      <c r="C20464" s="10" t="inlineStr">
        <is>
          <t>Trưởng Phòng Vận Hành Sản Xuất Gạo - Cần Thơ</t>
        </is>
      </c>
      <c r="D20464" s="10" t="inlineStr">
        <is>
          <t>Công Ty Cổ Phần Lương Thực A AN</t>
        </is>
      </c>
      <c r="E20464" s="10" t="inlineStr">
        <is>
          <t>Lương:Cạnh tranh</t>
        </is>
      </c>
      <c r="F20464" s="10" t="inlineStr">
        <is>
          <t>Cần Thơ</t>
        </is>
      </c>
      <c r="G20464" s="10" t="inlineStr">
        <is>
          <t>5</t>
        </is>
      </c>
      <c r="H20464" s="10" t="inlineStr">
        <is>
          <t>22/03/2026</t>
        </is>
      </c>
      <c r="I20464" s="10" t="inlineStr">
        <is>
          <t>17/03/2026</t>
        </is>
      </c>
      <c r="J20464" s="10" t="inlineStr">
        <is>
          <t>Cơ khí / Ô tô / Tự động hóa, Điện / Điện tử / Điện lạnh / Điện công nghiệp, Sản xuất / Vận hành sản xuất</t>
        </is>
      </c>
      <c r="K20464" s="10" t="inlineStr">
        <is>
          <t>5 - 7 Năm</t>
        </is>
      </c>
      <c r="L20464" s="11">
        <f>HYPERLINK("https://careerviet.vn/vi/tim-viec-lam/truong-phong-van-hanh-san-xuat-gao-can-tho.35C63787.html","Xem chi tiết")</f>
        <v/>
      </c>
      <c r="M20464" s="10" t="n"/>
    </row>
    <row r="20465">
      <c r="B20465" s="7" t="n">
        <v>20463</v>
      </c>
      <c r="C20465" t="inlineStr">
        <is>
          <t>GIÁM SÁT KHU VỰC THANH HOÁ</t>
        </is>
      </c>
      <c r="D20465" t="inlineStr">
        <is>
          <t>Công Ty TNHH BEST EXPRESS VIỆT NAM</t>
        </is>
      </c>
      <c r="E20465" t="inlineStr">
        <is>
          <t>Lương:25 Tr - 30 Tr VND</t>
        </is>
      </c>
      <c r="F20465" t="inlineStr">
        <is>
          <t>Thanh Hóa</t>
        </is>
      </c>
      <c r="G20465" t="inlineStr">
        <is>
          <t>5</t>
        </is>
      </c>
      <c r="H20465" t="inlineStr">
        <is>
          <t>22/03/2026</t>
        </is>
      </c>
      <c r="I20465" t="inlineStr">
        <is>
          <t>17/03/2026</t>
        </is>
      </c>
      <c r="J20465" t="inlineStr">
        <is>
          <t>Bán hàng / Kinh doanh, Vận chuyển / Giao nhận / Kho vận, Xuất nhập khẩuBằng cấpTrung cấpĐộ tuổi25 - 37</t>
        </is>
      </c>
      <c r="K20465" t="inlineStr">
        <is>
          <t>N/A</t>
        </is>
      </c>
      <c r="L20465" s="8">
        <f>HYPERLINK("https://careerviet.vn/vi/tim-viec-lam/giam-sat-khu-vuc-thanh-hoa.35C63715.html","Xem chi tiết")</f>
        <v/>
      </c>
    </row>
    <row r="20466">
      <c r="B20466" s="9" t="n">
        <v>20464</v>
      </c>
      <c r="C20466" s="10" t="inlineStr">
        <is>
          <t>Trợ Lý Kinh Doanh (Tiếng Trung)</t>
        </is>
      </c>
      <c r="D20466" s="10" t="inlineStr">
        <is>
          <t>Headhunter HRchannels Group</t>
        </is>
      </c>
      <c r="E20466" s="10" t="inlineStr">
        <is>
          <t>Lương:15 Tr - 25 Tr VND</t>
        </is>
      </c>
      <c r="F20466" s="10" t="inlineStr">
        <is>
          <t>Bà Rịa - Vũng TàuĐồng NaiHồ Chí Minh</t>
        </is>
      </c>
      <c r="G20466" s="10" t="inlineStr">
        <is>
          <t>5</t>
        </is>
      </c>
      <c r="H20466" s="10" t="inlineStr">
        <is>
          <t>22/03/2026</t>
        </is>
      </c>
      <c r="I20466" s="10" t="inlineStr">
        <is>
          <t>17/03/2026</t>
        </is>
      </c>
      <c r="J20466" s="10" t="inlineStr">
        <is>
          <t>Hành chính / Thư ký, Sản xuất / Vận hành sản xuất, Bán hàng / Kinh doanh</t>
        </is>
      </c>
      <c r="K20466" s="10" t="inlineStr">
        <is>
          <t>1 - 3 Năm</t>
        </is>
      </c>
      <c r="L20466" s="11">
        <f>HYPERLINK("https://careerviet.vn/vi/tim-viec-lam/tro-ly-kinh-doanh-tieng-trung.35C663D6.html","Xem chi tiết")</f>
        <v/>
      </c>
      <c r="M20466" s="10" t="n"/>
    </row>
    <row r="20467">
      <c r="B20467" s="7" t="n">
        <v>20465</v>
      </c>
      <c r="C20467" t="inlineStr">
        <is>
          <t>Nhân viên Hành chính nhân sự</t>
        </is>
      </c>
      <c r="D20467" t="inlineStr">
        <is>
          <t>CÔNG TY TNHH MEDIKIT VIỆT NAM</t>
        </is>
      </c>
      <c r="E20467" t="inlineStr">
        <is>
          <t>Lương:Cạnh tranh</t>
        </is>
      </c>
      <c r="F20467" t="inlineStr">
        <is>
          <t>Hải Phòng</t>
        </is>
      </c>
      <c r="G20467" t="inlineStr">
        <is>
          <t>5</t>
        </is>
      </c>
      <c r="H20467" t="inlineStr">
        <is>
          <t>22/03/2026</t>
        </is>
      </c>
      <c r="I20467" t="inlineStr">
        <is>
          <t>17/03/2026</t>
        </is>
      </c>
      <c r="J20467" t="inlineStr">
        <is>
          <t>Hành chính / Thư ký, Nhân sự, Sản xuất / Vận hành sản xuất</t>
        </is>
      </c>
      <c r="K20467" t="inlineStr">
        <is>
          <t>Trên 2 Năm</t>
        </is>
      </c>
      <c r="L20467" s="8">
        <f>HYPERLINK("https://careerviet.vn/vi/tim-viec-lam/nhan-vien-hanh-chinh-nhan-su.35C6637D.html","Xem chi tiết")</f>
        <v/>
      </c>
    </row>
    <row r="20468">
      <c r="B20468" s="9" t="n">
        <v>20466</v>
      </c>
      <c r="C20468" s="10" t="inlineStr">
        <is>
          <t>TUYỂN GẤP GIÁM SÁT DỊCH VỤ - QUẢN LÝ TÒA NHÀ</t>
        </is>
      </c>
      <c r="D20468" s="10" t="inlineStr">
        <is>
          <t>Công Ty Cổ Phần Quản Lý Bất Động Sản Nam Sài Gòn</t>
        </is>
      </c>
      <c r="E20468" s="10" t="inlineStr">
        <is>
          <t>Lương:10 Tr - 13 Tr VND</t>
        </is>
      </c>
      <c r="F20468" s="10" t="inlineStr">
        <is>
          <t>Hồ Chí Minh</t>
        </is>
      </c>
      <c r="G20468" s="10" t="inlineStr">
        <is>
          <t>5</t>
        </is>
      </c>
      <c r="H20468" s="10" t="inlineStr">
        <is>
          <t>22/03/2026</t>
        </is>
      </c>
      <c r="I20468" s="10" t="inlineStr">
        <is>
          <t>17/03/2026</t>
        </is>
      </c>
      <c r="J20468" s="10" t="inlineStr">
        <is>
          <t>Xây dựng, Bất động sản, Quản lý điều hành</t>
        </is>
      </c>
      <c r="K20468" s="10" t="inlineStr">
        <is>
          <t>2 - 3 Năm</t>
        </is>
      </c>
      <c r="L20468" s="11">
        <f>HYPERLINK("https://careerviet.vn/vi/tim-viec-lam/tuyen-gap-giam-sat-dich-vu-quan-ly-toa-nha.35C637BE.html","Xem chi tiết")</f>
        <v/>
      </c>
      <c r="M20468" s="10" t="n"/>
    </row>
    <row r="20469">
      <c r="B20469" s="7" t="n">
        <v>20467</v>
      </c>
      <c r="C20469" t="inlineStr">
        <is>
          <t>Chuyên Viên Tư Vấn Tài Chính - Kênh Liên Doanh Ngân Hàng BIDV</t>
        </is>
      </c>
      <c r="D20469" t="inlineStr">
        <is>
          <t>Công Ty TNHH Bảo Hiểm Nhân Thọ BIDV MetLife</t>
        </is>
      </c>
      <c r="E20469" t="inlineStr">
        <is>
          <t>Lương:Cạnh tranh</t>
        </is>
      </c>
      <c r="F20469" t="inlineStr">
        <is>
          <t>Hồ Chí MinhKiên GiangKhánh Hòa</t>
        </is>
      </c>
      <c r="G20469" t="inlineStr">
        <is>
          <t>5</t>
        </is>
      </c>
      <c r="H20469" t="inlineStr">
        <is>
          <t>22/03/2026</t>
        </is>
      </c>
      <c r="I20469" t="inlineStr">
        <is>
          <t>17/03/2026</t>
        </is>
      </c>
      <c r="J20469" t="inlineStr">
        <is>
          <t>Tư vấn, Ngân hàng, Bán hàng / Kinh doanh</t>
        </is>
      </c>
      <c r="K20469" t="inlineStr">
        <is>
          <t>1 - 3 Năm</t>
        </is>
      </c>
      <c r="L20469" s="8">
        <f>HYPERLINK("https://careerviet.vn/vi/tim-viec-lam/chuyen-vien-tu-van-tai-chinh-kenh-lien-doanh-ngan-hang-bidv.35BD6C0D.html","Xem chi tiết")</f>
        <v/>
      </c>
    </row>
    <row r="20470">
      <c r="B20470" s="9" t="n">
        <v>20468</v>
      </c>
      <c r="C20470" s="10" t="inlineStr">
        <is>
          <t>Chuyên Viên Thu Hồi Công Nợ (Hà Nội, Hải Phòng)</t>
        </is>
      </c>
      <c r="D20470" s="10" t="inlineStr">
        <is>
          <t>Công ty Cho thuê Tài chính TNHH MTV Quốc tế Chailease - CN Hà Nội</t>
        </is>
      </c>
      <c r="E20470" s="10" t="inlineStr">
        <is>
          <t>Lương:Cạnh tranh</t>
        </is>
      </c>
      <c r="F20470" s="10" t="inlineStr">
        <is>
          <t>Hà NộiHải Phòng</t>
        </is>
      </c>
      <c r="G20470" s="10" t="inlineStr">
        <is>
          <t>5</t>
        </is>
      </c>
      <c r="H20470" s="10" t="inlineStr">
        <is>
          <t>22/03/2026</t>
        </is>
      </c>
      <c r="I20470" s="10" t="inlineStr">
        <is>
          <t>17/03/2026</t>
        </is>
      </c>
      <c r="J20470" s="10" t="inlineStr">
        <is>
          <t>Luật / Pháp lý, Ngân hàng, Tài chính / Đầu tư</t>
        </is>
      </c>
      <c r="K20470" s="10" t="inlineStr">
        <is>
          <t>1 - 2 Năm</t>
        </is>
      </c>
      <c r="L20470" s="11">
        <f>HYPERLINK("https://careerviet.vn/vi/tim-viec-lam/chuyen-vien-thu-hoi-cong-no-ha-noi-hai-phong.35C637E1.html","Xem chi tiết")</f>
        <v/>
      </c>
      <c r="M20470" s="10" t="n"/>
    </row>
    <row r="20471">
      <c r="B20471" s="7" t="n">
        <v>20469</v>
      </c>
      <c r="C20471" t="inlineStr">
        <is>
          <t>CHUYÊN VIÊN CHĂM SÓC KHÁCH HÀNG (GIÁM SÁT TRỌNG TÀI)</t>
        </is>
      </c>
      <c r="D20471" t="inlineStr">
        <is>
          <t>CÔNG TY TNHH YIMI J&amp;T CARGO TRANSPORTATION</t>
        </is>
      </c>
      <c r="E20471" t="inlineStr">
        <is>
          <t>Lương:15 Tr - 20 Tr VND</t>
        </is>
      </c>
      <c r="F20471" t="inlineStr">
        <is>
          <t>Hồ Chí MinhHà Nội</t>
        </is>
      </c>
      <c r="G20471" t="inlineStr">
        <is>
          <t>5</t>
        </is>
      </c>
      <c r="H20471" t="inlineStr">
        <is>
          <t>22/03/2026</t>
        </is>
      </c>
      <c r="I20471" t="inlineStr">
        <is>
          <t>17/03/2026</t>
        </is>
      </c>
      <c r="J20471" t="inlineStr">
        <is>
          <t>Dịch vụ khách hàng</t>
        </is>
      </c>
      <c r="K20471" t="inlineStr">
        <is>
          <t>1 - 2 Năm</t>
        </is>
      </c>
      <c r="L20471" s="8">
        <f>HYPERLINK("https://careerviet.vn/vi/tim-viec-lam/chuyen-vien-cham-soc-khach-hang-giam-sat-trong-tai.35C662EE.html","Xem chi tiết")</f>
        <v/>
      </c>
    </row>
    <row r="20472">
      <c r="B20472" s="9" t="n">
        <v>20470</v>
      </c>
      <c r="C20472" s="10" t="inlineStr">
        <is>
          <t>Sale online</t>
        </is>
      </c>
      <c r="D20472" s="10" t="inlineStr">
        <is>
          <t>CÔNG TY CỔ PHẦN ĐẦU TƯ VÀNG PHÚ QUÝ</t>
        </is>
      </c>
      <c r="E20472" s="10" t="inlineStr">
        <is>
          <t>Lương:10 Tr - 15 Tr VND</t>
        </is>
      </c>
      <c r="F20472" s="10" t="inlineStr">
        <is>
          <t>Hà Nội</t>
        </is>
      </c>
      <c r="G20472" s="10" t="inlineStr">
        <is>
          <t>5</t>
        </is>
      </c>
      <c r="H20472" s="10" t="inlineStr">
        <is>
          <t>22/03/2026</t>
        </is>
      </c>
      <c r="I20472" s="10" t="inlineStr">
        <is>
          <t>17/03/2026</t>
        </is>
      </c>
      <c r="J20472" s="10" t="inlineStr">
        <is>
          <t>Bán hàng / Kinh doanh</t>
        </is>
      </c>
      <c r="K20472" s="10" t="inlineStr">
        <is>
          <t>1 - 2 Năm</t>
        </is>
      </c>
      <c r="L20472" s="11">
        <f>HYPERLINK("https://careerviet.vn/vi/tim-viec-lam/sale-online.35C663AA.html","Xem chi tiết")</f>
        <v/>
      </c>
      <c r="M20472" s="10" t="n"/>
    </row>
    <row r="20473">
      <c r="B20473" s="7" t="n">
        <v>20471</v>
      </c>
      <c r="C20473" t="inlineStr">
        <is>
          <t>Chuyên Viên Chăm Sóc Khách Hàng Công Nợ</t>
        </is>
      </c>
      <c r="D20473" t="inlineStr">
        <is>
          <t>CÔNG TY CỔ PHẦN PHÁT TRIỂN BẤT ĐỘNG SẢN VĂN PHÚ</t>
        </is>
      </c>
      <c r="E20473" t="inlineStr">
        <is>
          <t>Lương:Cạnh tranh</t>
        </is>
      </c>
      <c r="F20473" t="inlineStr">
        <is>
          <t>Hà Nội</t>
        </is>
      </c>
      <c r="G20473" t="inlineStr">
        <is>
          <t>5</t>
        </is>
      </c>
      <c r="H20473" t="inlineStr">
        <is>
          <t>22/03/2026</t>
        </is>
      </c>
      <c r="I20473" t="inlineStr">
        <is>
          <t>17/03/2026</t>
        </is>
      </c>
      <c r="J20473" t="inlineStr">
        <is>
          <t>Bất động sản, Dịch vụ khách hàng</t>
        </is>
      </c>
      <c r="K20473" t="inlineStr">
        <is>
          <t>Trên 3 Năm</t>
        </is>
      </c>
      <c r="L20473" s="8">
        <f>HYPERLINK("https://careerviet.vn/vi/tim-viec-lam/chuyen-vien-cham-soc-khach-hang-cong-no.35C662A3.html","Xem chi tiết")</f>
        <v/>
      </c>
    </row>
    <row r="20474">
      <c r="B20474" s="9" t="n">
        <v>20472</v>
      </c>
      <c r="C20474" s="10" t="inlineStr">
        <is>
          <t>Legal Counsel, Patent, Global e-Commerce Platform (Up to USD 4,000)</t>
        </is>
      </c>
      <c r="D20474" s="10" t="inlineStr">
        <is>
          <t>CÔNG TY TNHH CÔNG NGHỆ VÀ GIẢI PHÁP PHẦN MỀM CROSSIAN VIỆT NAM</t>
        </is>
      </c>
      <c r="E20474" s="10" t="inlineStr">
        <is>
          <t>Lương:Lên đến 4.000 USD</t>
        </is>
      </c>
      <c r="F20474" s="10" t="inlineStr">
        <is>
          <t>Hà Nội</t>
        </is>
      </c>
      <c r="G20474" s="10" t="inlineStr">
        <is>
          <t>5</t>
        </is>
      </c>
      <c r="H20474" s="10" t="inlineStr">
        <is>
          <t>22/03/2026</t>
        </is>
      </c>
      <c r="I20474" s="10" t="inlineStr">
        <is>
          <t>17/03/2026</t>
        </is>
      </c>
      <c r="J20474" s="10" t="inlineStr">
        <is>
          <t>Thương mại điện tử, Luật / Pháp lý, Tài chính / Đầu tư</t>
        </is>
      </c>
      <c r="K20474" s="10" t="inlineStr">
        <is>
          <t>Trên 7 Năm</t>
        </is>
      </c>
      <c r="L20474" s="11">
        <f>HYPERLINK("https://careerviet.vn/vi/tim-viec-lam/legal-counsel-patent-global-e-commerce-platform-up-to-usd-4-000.35C637C2.html","Xem chi tiết")</f>
        <v/>
      </c>
      <c r="M20474" s="10" t="n"/>
    </row>
    <row r="20475">
      <c r="B20475" s="7" t="n">
        <v>20473</v>
      </c>
      <c r="C20475" t="inlineStr">
        <is>
          <t>Nhân viên video editor</t>
        </is>
      </c>
      <c r="D20475" t="inlineStr">
        <is>
          <t>CÔNG TY TNHH HỢP TÁC PHÁT TRIỂN SUNNY INTERNATIONAL</t>
        </is>
      </c>
      <c r="E20475" t="inlineStr">
        <is>
          <t>Lương:10 Tr - 13 Tr VND</t>
        </is>
      </c>
      <c r="F20475" t="inlineStr">
        <is>
          <t>Hà Nội</t>
        </is>
      </c>
      <c r="G20475" t="inlineStr">
        <is>
          <t>5</t>
        </is>
      </c>
      <c r="H20475" t="inlineStr">
        <is>
          <t>22/03/2026</t>
        </is>
      </c>
      <c r="I20475" t="inlineStr">
        <is>
          <t>17/03/2026</t>
        </is>
      </c>
      <c r="J20475" t="inlineStr">
        <is>
          <t>Dịch vụ khách hàng, Giáo dục / Đào tạo, Mỹ thuật / Nghệ thuật / Thiết kế</t>
        </is>
      </c>
      <c r="K20475" t="inlineStr">
        <is>
          <t>N/A</t>
        </is>
      </c>
      <c r="L20475" s="8">
        <f>HYPERLINK("https://careerviet.vn/vi/tim-viec-lam/nhan-vien-video-editor.35C6628F.html","Xem chi tiết")</f>
        <v/>
      </c>
    </row>
    <row r="20476">
      <c r="B20476" s="9" t="n">
        <v>20474</v>
      </c>
      <c r="C20476" s="10" t="inlineStr">
        <is>
          <t>Product manager</t>
        </is>
      </c>
      <c r="D20476" s="10" t="inlineStr">
        <is>
          <t>Công ty TNHH Viettel - CHT</t>
        </is>
      </c>
      <c r="E20476" s="10" t="inlineStr">
        <is>
          <t>Lương:Cạnh tranh</t>
        </is>
      </c>
      <c r="F20476" s="10" t="inlineStr">
        <is>
          <t>Hà Nội</t>
        </is>
      </c>
      <c r="G20476" s="10" t="inlineStr">
        <is>
          <t>5</t>
        </is>
      </c>
      <c r="H20476" s="10" t="inlineStr">
        <is>
          <t>22/03/2026</t>
        </is>
      </c>
      <c r="I20476" s="10" t="inlineStr">
        <is>
          <t>17/03/2026</t>
        </is>
      </c>
      <c r="J20476" s="10" t="inlineStr">
        <is>
          <t>CNTT - Phần mềm, CNTT - Phần cứng / Mạng</t>
        </is>
      </c>
      <c r="K20476" s="10" t="inlineStr">
        <is>
          <t>Trên 3 Năm</t>
        </is>
      </c>
      <c r="L20476" s="11">
        <f>HYPERLINK("https://careerviet.vn/vi/tim-viec-lam/product-manager.35C663FC.html","Xem chi tiết")</f>
        <v/>
      </c>
      <c r="M20476" s="10" t="n"/>
    </row>
    <row r="20477">
      <c r="B20477" s="7" t="n">
        <v>20475</v>
      </c>
      <c r="C20477" t="inlineStr">
        <is>
          <t>New Product Development Lead</t>
        </is>
      </c>
      <c r="D20477" t="inlineStr">
        <is>
          <t>Công ty CP Thành Thành Công - Biên Hòa</t>
        </is>
      </c>
      <c r="E20477" t="inlineStr">
        <is>
          <t>Lương:Cạnh tranh</t>
        </is>
      </c>
      <c r="F20477" t="inlineStr">
        <is>
          <t>Hồ Chí Minh</t>
        </is>
      </c>
      <c r="G20477" t="inlineStr">
        <is>
          <t>5</t>
        </is>
      </c>
      <c r="H20477" t="inlineStr">
        <is>
          <t>22/03/2026</t>
        </is>
      </c>
      <c r="I20477" t="inlineStr">
        <is>
          <t>17/03/2026</t>
        </is>
      </c>
      <c r="J20477" t="inlineStr">
        <is>
          <t>Bán hàng / Kinh doanh, Tiếp thị / Marketing</t>
        </is>
      </c>
      <c r="K20477" t="inlineStr">
        <is>
          <t>Trên 5 Năm</t>
        </is>
      </c>
      <c r="L20477" s="8">
        <f>HYPERLINK("https://careerviet.vn/vi/tim-viec-lam/new-product-development-lead.35C63876.html","Xem chi tiết")</f>
        <v/>
      </c>
    </row>
    <row r="20478">
      <c r="B20478" s="9" t="n">
        <v>20476</v>
      </c>
      <c r="C20478" s="10" t="inlineStr">
        <is>
          <t>Giáo Viên Mầm Non</t>
        </is>
      </c>
      <c r="D20478" s="10" t="inlineStr">
        <is>
          <t>Công Ty TNHH Kindy City</t>
        </is>
      </c>
      <c r="E20478" s="10" t="inlineStr">
        <is>
          <t>Lương:9 Tr - 11 Tr VND</t>
        </is>
      </c>
      <c r="F20478" s="10" t="inlineStr">
        <is>
          <t>Hồ Chí Minh</t>
        </is>
      </c>
      <c r="G20478" s="10" t="inlineStr">
        <is>
          <t>5</t>
        </is>
      </c>
      <c r="H20478" s="10" t="inlineStr">
        <is>
          <t>22/03/2026</t>
        </is>
      </c>
      <c r="I20478" s="10" t="inlineStr">
        <is>
          <t>17/03/2026</t>
        </is>
      </c>
      <c r="J20478" s="10" t="inlineStr">
        <is>
          <t>Giáo dục / Đào tạo, Mới tốt nghiệp / Thực tập</t>
        </is>
      </c>
      <c r="K20478" s="10" t="inlineStr">
        <is>
          <t>1 - 4 Năm</t>
        </is>
      </c>
      <c r="L20478" s="11">
        <f>HYPERLINK("https://careerviet.vn/vi/tim-viec-lam/giao-vien-mam-non.35C6372E.html","Xem chi tiết")</f>
        <v/>
      </c>
      <c r="M20478" s="10" t="n"/>
    </row>
    <row r="20479">
      <c r="B20479" s="7" t="n">
        <v>20477</v>
      </c>
      <c r="C20479" t="inlineStr">
        <is>
          <t>Quản lý chất lượng</t>
        </is>
      </c>
      <c r="D20479" t="inlineStr">
        <is>
          <t>CÔNG TY TNHH MUSEM VINA</t>
        </is>
      </c>
      <c r="E20479" t="inlineStr">
        <is>
          <t>Lương:15 Tr - 20 Tr VND</t>
        </is>
      </c>
      <c r="F20479" t="inlineStr">
        <is>
          <t>Long An</t>
        </is>
      </c>
      <c r="G20479" t="inlineStr">
        <is>
          <t>5</t>
        </is>
      </c>
      <c r="H20479" t="inlineStr">
        <is>
          <t>22/03/2026</t>
        </is>
      </c>
      <c r="I20479" t="inlineStr">
        <is>
          <t>17/03/2026</t>
        </is>
      </c>
      <c r="J20479" t="inlineStr">
        <is>
          <t>Sản xuất / Vận hành sản xuất</t>
        </is>
      </c>
      <c r="K20479" t="inlineStr">
        <is>
          <t>1 - 2 Năm</t>
        </is>
      </c>
      <c r="L20479" s="8">
        <f>HYPERLINK("https://careerviet.vn/vi/tim-viec-lam/quan-ly-chat-luong.35C63758.html","Xem chi tiết")</f>
        <v/>
      </c>
    </row>
    <row r="20480">
      <c r="B20480" s="9" t="n">
        <v>20478</v>
      </c>
      <c r="C20480" s="10" t="inlineStr">
        <is>
          <t>Phó Giám đốc Chi nhánh Phụ trách Kinh doanh - [BAC A BANK - Chi nhánh Hải Dương]</t>
        </is>
      </c>
      <c r="D20480" s="10" t="inlineStr">
        <is>
          <t>Ngân Hàng Thương mại cổ phần Bắc Á- BAC A BANK</t>
        </is>
      </c>
      <c r="E20480" s="10" t="inlineStr">
        <is>
          <t>Lương:Cạnh tranh</t>
        </is>
      </c>
      <c r="F20480" s="10" t="inlineStr">
        <is>
          <t>Hải Dương</t>
        </is>
      </c>
      <c r="G20480" s="10" t="inlineStr">
        <is>
          <t>5</t>
        </is>
      </c>
      <c r="H20480" s="10" t="inlineStr">
        <is>
          <t>22/03/2026</t>
        </is>
      </c>
      <c r="I20480" s="10" t="inlineStr">
        <is>
          <t>17/03/2026</t>
        </is>
      </c>
      <c r="J20480" s="10" t="inlineStr">
        <is>
          <t>Ngân hàng</t>
        </is>
      </c>
      <c r="K20480" s="10" t="inlineStr">
        <is>
          <t>5 - 10 Năm</t>
        </is>
      </c>
      <c r="L20480" s="11">
        <f>HYPERLINK("https://careerviet.vn/vi/tim-viec-lam/pho-giam-doc-chi-nhanh-phu-trach-kinh-doanh-bac-a-bank-chi-nhanh-hai-duong.35C66393.html","Xem chi tiết")</f>
        <v/>
      </c>
      <c r="M20480" s="10" t="n"/>
    </row>
    <row r="20481">
      <c r="B20481" s="7" t="n">
        <v>20479</v>
      </c>
      <c r="C20481" t="inlineStr">
        <is>
          <t>Senior Data Analyst - CVCC Thúc Đẩy Hiệu Suất - TA184 - ID1101</t>
        </is>
      </c>
      <c r="D20481" t="inlineStr">
        <is>
          <t>Ngân Hàng TMCP Việt Nam Thịnh Vượng - VPBANK</t>
        </is>
      </c>
      <c r="E20481" t="inlineStr">
        <is>
          <t>Lương:Cạnh tranh</t>
        </is>
      </c>
      <c r="F20481" t="inlineStr">
        <is>
          <t>Hà Nội</t>
        </is>
      </c>
      <c r="G20481" t="inlineStr">
        <is>
          <t>5</t>
        </is>
      </c>
      <c r="H20481" t="inlineStr">
        <is>
          <t>22/03/2026</t>
        </is>
      </c>
      <c r="I20481" t="inlineStr">
        <is>
          <t>17/03/2026</t>
        </is>
      </c>
      <c r="J20481" t="inlineStr">
        <is>
          <t>Ngân hàng, Bảo hiểm, Tài chính / Đầu tư</t>
        </is>
      </c>
      <c r="K20481" t="inlineStr">
        <is>
          <t>3 - 10 Năm</t>
        </is>
      </c>
      <c r="L20481" s="8">
        <f>HYPERLINK("https://careerviet.vn/vi/tim-viec-lam/senior-data-analyst-cvcc-thuc-day-hieu-suat-ta184-id1101.35C6637C.html","Xem chi tiết")</f>
        <v/>
      </c>
    </row>
    <row r="20482">
      <c r="B20482" s="9" t="n">
        <v>20480</v>
      </c>
      <c r="C20482" s="10" t="inlineStr">
        <is>
          <t>KẾ TOÁN NỘI BỘ</t>
        </is>
      </c>
      <c r="D20482" s="10" t="inlineStr">
        <is>
          <t>CÔNG TY TNHH KHOA HỌC KỸ THUẬT VIETLAB</t>
        </is>
      </c>
      <c r="E20482" s="10" t="inlineStr">
        <is>
          <t>Lương:Trên 14 Tr VND</t>
        </is>
      </c>
      <c r="F20482" s="10" t="inlineStr">
        <is>
          <t>Hà Nội</t>
        </is>
      </c>
      <c r="G20482" s="10" t="inlineStr">
        <is>
          <t>5</t>
        </is>
      </c>
      <c r="H20482" s="10" t="inlineStr">
        <is>
          <t>22/03/2026</t>
        </is>
      </c>
      <c r="I20482" s="10" t="inlineStr">
        <is>
          <t>17/03/2026</t>
        </is>
      </c>
      <c r="J20482" s="10" t="inlineStr">
        <is>
          <t>Kế toán / Kiểm toán, Tài chính / Đầu tư</t>
        </is>
      </c>
      <c r="K20482" s="10" t="inlineStr">
        <is>
          <t>Trên 1 Năm</t>
        </is>
      </c>
      <c r="L20482" s="11">
        <f>HYPERLINK("https://careerviet.vn/vi/tim-viec-lam/ke-toan-noi-bo.35C6370F.html","Xem chi tiết")</f>
        <v/>
      </c>
      <c r="M20482" s="10" t="n"/>
    </row>
    <row r="20483">
      <c r="B20483" s="7" t="n">
        <v>20481</v>
      </c>
      <c r="C20483" t="inlineStr">
        <is>
          <t>KẾ TOÁN CHI PHÍ CÔNG TRÌNH</t>
        </is>
      </c>
      <c r="D20483" t="inlineStr">
        <is>
          <t>CÔNG TY CỔ PHẦN XÂY DỰNG VÀ CÔNG NGHỆ MÔI TRƯỜNG HỢP NHẤT</t>
        </is>
      </c>
      <c r="E20483" t="inlineStr">
        <is>
          <t>Lương:12 Tr - 15 Tr VND</t>
        </is>
      </c>
      <c r="F20483" t="inlineStr">
        <is>
          <t>Hồ Chí Minh</t>
        </is>
      </c>
      <c r="G20483" t="inlineStr">
        <is>
          <t>5</t>
        </is>
      </c>
      <c r="H20483" t="inlineStr">
        <is>
          <t>22/03/2026</t>
        </is>
      </c>
      <c r="I20483" t="inlineStr">
        <is>
          <t>17/03/2026</t>
        </is>
      </c>
      <c r="J20483" t="inlineStr">
        <is>
          <t>Kế toán / Kiểm toán, Xây dựng</t>
        </is>
      </c>
      <c r="K20483" t="inlineStr">
        <is>
          <t>1 - 2 Năm</t>
        </is>
      </c>
      <c r="L20483" s="8">
        <f>HYPERLINK("https://careerviet.vn/vi/tim-viec-lam/ke-toan-chi-phi-cong-trinh.35C6380A.html","Xem chi tiết")</f>
        <v/>
      </c>
    </row>
    <row r="20484">
      <c r="B20484" s="9" t="n">
        <v>20482</v>
      </c>
      <c r="C20484" s="10" t="inlineStr">
        <is>
          <t>GIÁM SÁT THI CÔNG DỰ ÁN NỘI THẤT</t>
        </is>
      </c>
      <c r="D20484" s="10" t="inlineStr">
        <is>
          <t>CÔNG TY CỔ PHẦN SẢN XUẤT THƯƠNG MẠI XÂY DỰNG TRANG TRÍ NỘI THẤT G.S VIỆT NAM</t>
        </is>
      </c>
      <c r="E20484" s="10" t="inlineStr">
        <is>
          <t>Lương:Trên 12 Tr VND</t>
        </is>
      </c>
      <c r="F20484" s="10" t="inlineStr">
        <is>
          <t>Hồ Chí Minh</t>
        </is>
      </c>
      <c r="G20484" s="10" t="inlineStr">
        <is>
          <t>5</t>
        </is>
      </c>
      <c r="H20484" s="10" t="inlineStr">
        <is>
          <t>22/03/2026</t>
        </is>
      </c>
      <c r="I20484" s="10" t="inlineStr">
        <is>
          <t>17/03/2026</t>
        </is>
      </c>
      <c r="J20484" s="10" t="inlineStr">
        <is>
          <t>Xây dựng, Nội ngoại thất, Kiến trúc</t>
        </is>
      </c>
      <c r="K20484" s="10" t="inlineStr">
        <is>
          <t>1 - 3 Năm</t>
        </is>
      </c>
      <c r="L20484" s="11">
        <f>HYPERLINK("https://careerviet.vn/vi/tim-viec-lam/giam-sat-thi-cong-du-an-noi-that.35C63896.html","Xem chi tiết")</f>
        <v/>
      </c>
      <c r="M20484" s="10" t="n"/>
    </row>
    <row r="20485">
      <c r="B20485" s="7" t="n">
        <v>20483</v>
      </c>
      <c r="C20485" t="inlineStr">
        <is>
          <t>[Bà Rịa - Vũng Tàu Cũ] Thư ký trưởng phòng vận hành</t>
        </is>
      </c>
      <c r="D20485" t="inlineStr">
        <is>
          <t>Nova Service Group - Công ty Cổ phần Tập đoàn Nova Services</t>
        </is>
      </c>
      <c r="E20485" t="inlineStr">
        <is>
          <t>Lương:7 Tr - 15 Tr VND</t>
        </is>
      </c>
      <c r="F20485" t="inlineStr">
        <is>
          <t>Bà Rịa - Vũng Tàu</t>
        </is>
      </c>
      <c r="G20485" t="inlineStr">
        <is>
          <t>5</t>
        </is>
      </c>
      <c r="H20485" t="inlineStr">
        <is>
          <t>22/03/2026</t>
        </is>
      </c>
      <c r="I20485" t="inlineStr">
        <is>
          <t>17/03/2026</t>
        </is>
      </c>
      <c r="J20485" t="inlineStr">
        <is>
          <t>Nhà hàng / Khách sạn</t>
        </is>
      </c>
      <c r="K20485" t="inlineStr">
        <is>
          <t>1 - 5 Năm</t>
        </is>
      </c>
      <c r="L20485" s="8">
        <f>HYPERLINK("https://careerviet.vn/vi/tim-viec-lam/ba-ria-vung-tau-cu-thu-ky-truong-phong-van-hanh.35C662AB.html","Xem chi tiết")</f>
        <v/>
      </c>
    </row>
    <row r="20486">
      <c r="B20486" s="9" t="n">
        <v>20484</v>
      </c>
      <c r="C20486" s="10" t="inlineStr">
        <is>
          <t>General Accountant (Kế toán tổng hợp)</t>
        </is>
      </c>
      <c r="D20486" s="10" t="inlineStr">
        <is>
          <t>Savills Vietnam</t>
        </is>
      </c>
      <c r="E20486" s="10" t="inlineStr">
        <is>
          <t>Lương:Cạnh tranh</t>
        </is>
      </c>
      <c r="F20486" s="10" t="inlineStr">
        <is>
          <t>Hồ Chí Minh</t>
        </is>
      </c>
      <c r="G20486" s="10" t="inlineStr">
        <is>
          <t>5</t>
        </is>
      </c>
      <c r="H20486" s="10" t="inlineStr">
        <is>
          <t>22/03/2026</t>
        </is>
      </c>
      <c r="I20486" s="10" t="inlineStr">
        <is>
          <t>17/03/2026</t>
        </is>
      </c>
      <c r="J20486" s="10" t="inlineStr">
        <is>
          <t>Kế toán / Kiểm toán</t>
        </is>
      </c>
      <c r="K20486" s="10" t="inlineStr">
        <is>
          <t>2 - 4 Năm</t>
        </is>
      </c>
      <c r="L20486" s="11">
        <f>HYPERLINK("https://careerviet.vn/vi/tim-viec-lam/general-accountant-ke-toan-tong-hop.35C61F38.html","Xem chi tiết")</f>
        <v/>
      </c>
      <c r="M20486" s="10" t="n"/>
    </row>
    <row r="20487">
      <c r="B20487" s="7" t="n">
        <v>20485</v>
      </c>
      <c r="C20487" t="inlineStr">
        <is>
          <t>Nhân viên bảo trì điện (Làm việc tại Lào)</t>
        </is>
      </c>
      <c r="D20487" t="inlineStr">
        <is>
          <t>Công ty CP Thành Thành Công - Biên Hòa</t>
        </is>
      </c>
      <c r="E20487" t="inlineStr">
        <is>
          <t>Lương:Cạnh tranh</t>
        </is>
      </c>
      <c r="F20487" t="inlineStr">
        <is>
          <t>Attapeu</t>
        </is>
      </c>
      <c r="G20487" t="inlineStr">
        <is>
          <t>5</t>
        </is>
      </c>
      <c r="H20487" t="inlineStr">
        <is>
          <t>22/03/2026</t>
        </is>
      </c>
      <c r="I20487" t="inlineStr">
        <is>
          <t>17/03/2026</t>
        </is>
      </c>
      <c r="J20487" t="inlineStr">
        <is>
          <t>Bảo trì / Sửa chữa, Sản xuất / Vận hành sản xuất, Điện / Điện tử / Điện lạnh / Điện công nghiệp</t>
        </is>
      </c>
      <c r="K20487" t="inlineStr">
        <is>
          <t>1 - 10 Năm</t>
        </is>
      </c>
      <c r="L20487" s="8">
        <f>HYPERLINK("https://careerviet.vn/vi/tim-viec-lam/nhan-vien-bao-tri-dien-lam-viec-tai-lao.35C63877.html","Xem chi tiết")</f>
        <v/>
      </c>
    </row>
    <row r="20488">
      <c r="B20488" s="9" t="n">
        <v>20486</v>
      </c>
      <c r="C20488" s="10" t="inlineStr">
        <is>
          <t>Kỹ sư kỹ thuật sản xuất</t>
        </is>
      </c>
      <c r="D20488" s="10" t="inlineStr">
        <is>
          <t>CÔNG TY CỔ PHẦN CÔNG NGHIỆP WELDCOM</t>
        </is>
      </c>
      <c r="E20488" s="10" t="inlineStr">
        <is>
          <t>Lương:15 Tr - 25 Tr VND</t>
        </is>
      </c>
      <c r="F20488" s="10" t="inlineStr">
        <is>
          <t>Hà Nội</t>
        </is>
      </c>
      <c r="G20488" s="10" t="inlineStr">
        <is>
          <t>5</t>
        </is>
      </c>
      <c r="H20488" s="10" t="inlineStr">
        <is>
          <t>22/03/2026</t>
        </is>
      </c>
      <c r="I20488" s="10" t="inlineStr">
        <is>
          <t>17/03/2026</t>
        </is>
      </c>
      <c r="J20488" s="10" t="inlineStr">
        <is>
          <t>Cơ khí / Ô tô / Tự động hóa, Điện / Điện tử / Điện lạnh / Điện công nghiệp</t>
        </is>
      </c>
      <c r="K20488" s="10" t="inlineStr">
        <is>
          <t>1 - 3 Năm</t>
        </is>
      </c>
      <c r="L20488" s="11">
        <f>HYPERLINK("https://careerviet.vn/vi/tim-viec-lam/ky-su-ky-thuat-san-xuat.35C66353.html","Xem chi tiết")</f>
        <v/>
      </c>
      <c r="M20488" s="10" t="n"/>
    </row>
    <row r="20489">
      <c r="B20489" s="7" t="n">
        <v>20487</v>
      </c>
      <c r="C20489" t="inlineStr">
        <is>
          <t>Kỹ Sư Vận Hành Trạm Xử Lý Nước Thải</t>
        </is>
      </c>
      <c r="D20489" t="inlineStr">
        <is>
          <t>CÔNG TY CỔ PHẦN ĐẦU TƯ THIÊN ÂN</t>
        </is>
      </c>
      <c r="E20489" t="inlineStr">
        <is>
          <t>Lương:10 Tr - 15 Tr VND</t>
        </is>
      </c>
      <c r="F20489" t="inlineStr">
        <is>
          <t>Bắc NinhBắc Giang</t>
        </is>
      </c>
      <c r="G20489" t="inlineStr">
        <is>
          <t>5</t>
        </is>
      </c>
      <c r="H20489" t="inlineStr">
        <is>
          <t>22/03/2026</t>
        </is>
      </c>
      <c r="I20489" t="inlineStr">
        <is>
          <t>17/03/2026</t>
        </is>
      </c>
      <c r="J20489" t="inlineStr">
        <is>
          <t>Công nghệ sinh học, Môi trường, Hóa học</t>
        </is>
      </c>
      <c r="K20489" t="inlineStr">
        <is>
          <t>Trên 1 Năm</t>
        </is>
      </c>
      <c r="L20489" s="8">
        <f>HYPERLINK("https://careerviet.vn/vi/tim-viec-lam/ky-su-van-hanh-tram-xu-ly-nuoc-thai.35C6637B.html","Xem chi tiết")</f>
        <v/>
      </c>
    </row>
    <row r="20490">
      <c r="B20490" s="9" t="n">
        <v>20488</v>
      </c>
      <c r="C20490" s="10" t="inlineStr">
        <is>
          <t>Kế Toán Trưởng</t>
        </is>
      </c>
      <c r="D20490" s="10" t="inlineStr">
        <is>
          <t>CÔNG TY CỔ PHẦN TIẾP VẬN TEXHONG TÂN CẢNG</t>
        </is>
      </c>
      <c r="E20490" s="10" t="inlineStr">
        <is>
          <t>Lương:Cạnh tranh</t>
        </is>
      </c>
      <c r="F20490" s="10" t="inlineStr">
        <is>
          <t>Hồ Chí Minh</t>
        </is>
      </c>
      <c r="G20490" s="10" t="inlineStr">
        <is>
          <t>5</t>
        </is>
      </c>
      <c r="H20490" s="10" t="inlineStr">
        <is>
          <t>22/03/2026</t>
        </is>
      </c>
      <c r="I20490" s="10" t="inlineStr">
        <is>
          <t>17/03/2026</t>
        </is>
      </c>
      <c r="J20490" s="10" t="inlineStr">
        <is>
          <t>Kế toán / Kiểm toán, Luật / Pháp lý, Tài chính / Đầu tư</t>
        </is>
      </c>
      <c r="K20490" s="10" t="inlineStr">
        <is>
          <t>Trên 3 Năm</t>
        </is>
      </c>
      <c r="L20490" s="11">
        <f>HYPERLINK("https://careerviet.vn/vi/tim-viec-lam/ke-toan-truong.35C63711.html","Xem chi tiết")</f>
        <v/>
      </c>
      <c r="M20490" s="10" t="n"/>
    </row>
    <row r="20491">
      <c r="B20491" s="7" t="n">
        <v>20489</v>
      </c>
      <c r="C20491" t="inlineStr">
        <is>
          <t>Thu Ngân</t>
        </is>
      </c>
      <c r="D20491" t="inlineStr">
        <is>
          <t>CÔNG TY TNHH TẬP ĐOÀN GTG</t>
        </is>
      </c>
      <c r="E20491" t="inlineStr">
        <is>
          <t>Lương:10 Tr - 12 Tr VND</t>
        </is>
      </c>
      <c r="F20491" t="inlineStr">
        <is>
          <t>Hồ Chí MinhHà Nội</t>
        </is>
      </c>
      <c r="G20491" t="inlineStr">
        <is>
          <t>5</t>
        </is>
      </c>
      <c r="H20491" t="inlineStr">
        <is>
          <t>22/03/2026</t>
        </is>
      </c>
      <c r="I20491" t="inlineStr">
        <is>
          <t>17/03/2026</t>
        </is>
      </c>
      <c r="J20491" t="inlineStr">
        <is>
          <t>Luật / Pháp lý, Kế toán / Kiểm toán, Tài chính / Đầu tư</t>
        </is>
      </c>
      <c r="K20491" t="inlineStr">
        <is>
          <t>Trên 1 Năm</t>
        </is>
      </c>
      <c r="L20491" s="8">
        <f>HYPERLINK("https://careerviet.vn/vi/tim-viec-lam/thu-ngan.35C66377.html","Xem chi tiết")</f>
        <v/>
      </c>
    </row>
    <row r="20492">
      <c r="B20492" s="9" t="n">
        <v>20490</v>
      </c>
      <c r="C20492" s="10" t="inlineStr">
        <is>
          <t>Trưởng phòng Hành chính nhân sự - Xã Tri Lễ (Huyện Quế Phong cũ), Nghệ An</t>
        </is>
      </c>
      <c r="D20492" s="10" t="inlineStr">
        <is>
          <t>Công ty cổ phần Nafoods Group</t>
        </is>
      </c>
      <c r="E20492" s="10" t="inlineStr">
        <is>
          <t>Lương:Cạnh tranh</t>
        </is>
      </c>
      <c r="F20492" s="10" t="inlineStr">
        <is>
          <t>Nghệ An</t>
        </is>
      </c>
      <c r="G20492" s="10" t="inlineStr">
        <is>
          <t>5</t>
        </is>
      </c>
      <c r="H20492" s="10" t="inlineStr">
        <is>
          <t>22/03/2026</t>
        </is>
      </c>
      <c r="I20492" s="10" t="inlineStr">
        <is>
          <t>17/03/2026</t>
        </is>
      </c>
      <c r="J20492" s="10" t="inlineStr">
        <is>
          <t>Hành chính / Thư ký, Nhân sự, Quản lý điều hành</t>
        </is>
      </c>
      <c r="K20492" s="10" t="inlineStr">
        <is>
          <t>3 - 5 Năm</t>
        </is>
      </c>
      <c r="L20492" s="11">
        <f>HYPERLINK("https://careerviet.vn/vi/tim-viec-lam/truong-phong-hanh-chinh-nhan-su-xa-tri-le-huyen-que-phong-cu-nghe-an.35C662F8.html","Xem chi tiết")</f>
        <v/>
      </c>
      <c r="M20492" s="10" t="n"/>
    </row>
    <row r="20493">
      <c r="B20493" s="7" t="n">
        <v>20491</v>
      </c>
      <c r="C20493" t="inlineStr">
        <is>
          <t>Chuyên Viên Mua Hàng - Tiếng Trung</t>
        </is>
      </c>
      <c r="D20493" t="inlineStr">
        <is>
          <t>Công ty Cổ Phần Tập Đoàn Điện Quang</t>
        </is>
      </c>
      <c r="E20493" t="inlineStr">
        <is>
          <t>Lương:Cạnh tranh</t>
        </is>
      </c>
      <c r="F20493" t="inlineStr">
        <is>
          <t>Hồ Chí Minh</t>
        </is>
      </c>
      <c r="G20493" t="inlineStr">
        <is>
          <t>5</t>
        </is>
      </c>
      <c r="H20493" t="inlineStr">
        <is>
          <t>22/03/2026</t>
        </is>
      </c>
      <c r="I20493" t="inlineStr">
        <is>
          <t>17/03/2026</t>
        </is>
      </c>
      <c r="J20493" t="inlineStr">
        <is>
          <t>Kế toán / Kiểm toán, Thu mua / Vật tư, Xuất nhập khẩu</t>
        </is>
      </c>
      <c r="K20493" t="inlineStr">
        <is>
          <t>Trên 3 Năm</t>
        </is>
      </c>
      <c r="L20493" s="8">
        <f>HYPERLINK("https://careerviet.vn/vi/tim-viec-lam/chuyen-vien-mua-hang-tieng-trung.35C637E3.html","Xem chi tiết")</f>
        <v/>
      </c>
    </row>
    <row r="20494">
      <c r="B20494" s="9" t="n">
        <v>20492</v>
      </c>
      <c r="C20494" s="10" t="inlineStr">
        <is>
          <t>[Hồ Chí Minh] Giao dịch viên</t>
        </is>
      </c>
      <c r="D20494" s="10" t="inlineStr">
        <is>
          <t>Ngân hàng TMCP Đại Chúng Việt Nam - PVcomBank</t>
        </is>
      </c>
      <c r="E20494" s="10" t="inlineStr">
        <is>
          <t>Lương:Cạnh tranh</t>
        </is>
      </c>
      <c r="F20494" s="10" t="inlineStr">
        <is>
          <t>Hồ Chí MinhKV Đông Nam Bộ</t>
        </is>
      </c>
      <c r="G20494" s="10" t="inlineStr">
        <is>
          <t>5</t>
        </is>
      </c>
      <c r="H20494" s="10" t="inlineStr">
        <is>
          <t>22/03/2026</t>
        </is>
      </c>
      <c r="I20494" s="10" t="inlineStr">
        <is>
          <t>17/03/2026</t>
        </is>
      </c>
      <c r="J20494" s="10" t="inlineStr">
        <is>
          <t>Bán hàng / Kinh doanh, Ngân hàng, Tài chính / Đầu tư</t>
        </is>
      </c>
      <c r="K20494" s="10" t="inlineStr">
        <is>
          <t>Trên 1 Năm</t>
        </is>
      </c>
      <c r="L20494" s="11">
        <f>HYPERLINK("https://careerviet.vn/vi/tim-viec-lam/ho-chi-minh-giao-dich-vien.35C663CF.html","Xem chi tiết")</f>
        <v/>
      </c>
      <c r="M20494" s="10" t="n"/>
    </row>
    <row r="20495">
      <c r="B20495" s="7" t="n">
        <v>20493</v>
      </c>
      <c r="C20495" t="inlineStr">
        <is>
          <t>Kiến trúc sư</t>
        </is>
      </c>
      <c r="D20495" t="inlineStr">
        <is>
          <t>CÔNG TY CỔ PHẦN ĐẦU TƯ BẤT ĐỘNG SẢN TASECO</t>
        </is>
      </c>
      <c r="E20495" t="inlineStr">
        <is>
          <t>Lương:Cạnh tranh</t>
        </is>
      </c>
      <c r="F20495" t="inlineStr">
        <is>
          <t>Hà Nội</t>
        </is>
      </c>
      <c r="G20495" t="inlineStr">
        <is>
          <t>5</t>
        </is>
      </c>
      <c r="H20495" t="inlineStr">
        <is>
          <t>22/03/2026</t>
        </is>
      </c>
      <c r="I20495" t="inlineStr">
        <is>
          <t>17/03/2026</t>
        </is>
      </c>
      <c r="J20495" t="inlineStr">
        <is>
          <t>Kiến trúc, Xây dựng</t>
        </is>
      </c>
      <c r="K20495" t="inlineStr">
        <is>
          <t>5 - 10 Năm</t>
        </is>
      </c>
      <c r="L20495" s="8">
        <f>HYPERLINK("https://careerviet.vn/vi/tim-viec-lam/kien-truc-su.35C638B6.html","Xem chi tiết")</f>
        <v/>
      </c>
    </row>
    <row r="20496">
      <c r="B20496" s="9" t="n">
        <v>20494</v>
      </c>
      <c r="C20496" s="10" t="inlineStr">
        <is>
          <t>CHUYÊN VIÊN CONTENT MARKETING</t>
        </is>
      </c>
      <c r="D20496" s="10" t="inlineStr">
        <is>
          <t>CÔNG TY TNHH NIPPON INTERIA</t>
        </is>
      </c>
      <c r="E20496" s="10" t="inlineStr">
        <is>
          <t>Lương:12 Tr - 16 Tr VND</t>
        </is>
      </c>
      <c r="F20496" s="10" t="inlineStr">
        <is>
          <t>Hồ Chí Minh</t>
        </is>
      </c>
      <c r="G20496" s="10" t="inlineStr">
        <is>
          <t>5</t>
        </is>
      </c>
      <c r="H20496" s="10" t="inlineStr">
        <is>
          <t>22/03/2026</t>
        </is>
      </c>
      <c r="I20496" s="10" t="inlineStr">
        <is>
          <t>17/03/2026</t>
        </is>
      </c>
      <c r="J20496" s="10" t="inlineStr">
        <is>
          <t>Tiếp thị / Marketing, Mỹ thuật / Nghệ thuật / Thiết kế, Truyền hình / Báo chí / Biên tập</t>
        </is>
      </c>
      <c r="K20496" s="10" t="inlineStr">
        <is>
          <t>Trên 2 Năm</t>
        </is>
      </c>
      <c r="L20496" s="11">
        <f>HYPERLINK("https://careerviet.vn/vi/tim-viec-lam/chuyen-vien-content-marketing.35C68C46.html","Xem chi tiết")</f>
        <v/>
      </c>
      <c r="M20496" s="10" t="n"/>
    </row>
    <row r="20497">
      <c r="B20497" s="7" t="n">
        <v>20495</v>
      </c>
      <c r="C20497" t="inlineStr">
        <is>
          <t>Chuyên viên Hành chính - TP.HCM</t>
        </is>
      </c>
      <c r="D20497" t="inlineStr">
        <is>
          <t>CareerViet's client</t>
        </is>
      </c>
      <c r="E20497" t="inlineStr">
        <is>
          <t>Lương:9 Tr - 11 Tr VND</t>
        </is>
      </c>
      <c r="F20497" t="inlineStr">
        <is>
          <t>Hồ Chí Minh</t>
        </is>
      </c>
      <c r="G20497" t="inlineStr">
        <is>
          <t>6</t>
        </is>
      </c>
      <c r="H20497" t="inlineStr">
        <is>
          <t>23/03/2026</t>
        </is>
      </c>
      <c r="I20497" t="inlineStr">
        <is>
          <t>17/03/2026</t>
        </is>
      </c>
      <c r="J20497" t="inlineStr">
        <is>
          <t>Giáo dục / Đào tạo, Hành chính / Thư ký, Nhân sự</t>
        </is>
      </c>
      <c r="K20497" t="inlineStr">
        <is>
          <t>2 - 3 Năm</t>
        </is>
      </c>
      <c r="L20497" s="8">
        <f>HYPERLINK("https://careerviet.vn/vi/tim-viec-lam/chuyen-vien-hanh-chinh-tp-hcm.35C63977.html","Xem chi tiết")</f>
        <v/>
      </c>
    </row>
    <row r="20498">
      <c r="B20498" s="9" t="n">
        <v>20496</v>
      </c>
      <c r="C20498" s="10" t="inlineStr">
        <is>
          <t>Chuyên Viên Phát Triển Sản Phẩm Bất Động Sản (Phòng R&amp;D)</t>
        </is>
      </c>
      <c r="D20498" s="10" t="inlineStr">
        <is>
          <t>CÔNG TY CỔ PHẦN EUROWINDOW HOLDING</t>
        </is>
      </c>
      <c r="E20498" s="10" t="inlineStr">
        <is>
          <t>Lương:Cạnh tranh</t>
        </is>
      </c>
      <c r="F20498" s="10" t="inlineStr">
        <is>
          <t>Hà Nội</t>
        </is>
      </c>
      <c r="G20498" s="10" t="inlineStr">
        <is>
          <t>5</t>
        </is>
      </c>
      <c r="H20498" s="10" t="inlineStr">
        <is>
          <t>22/03/2026</t>
        </is>
      </c>
      <c r="I20498" s="10" t="inlineStr">
        <is>
          <t>17/03/2026</t>
        </is>
      </c>
      <c r="J20498" s="10" t="inlineStr">
        <is>
          <t>Bất động sản</t>
        </is>
      </c>
      <c r="K20498" s="10" t="inlineStr">
        <is>
          <t>2 - 5 Năm</t>
        </is>
      </c>
      <c r="L20498" s="11">
        <f>HYPERLINK("https://careerviet.vn/vi/tim-viec-lam/chuyen-vien-phat-trien-san-pham-bat-dong-san-phong-r-d.35C63881.html","Xem chi tiết")</f>
        <v/>
      </c>
      <c r="M20498" s="10" t="n"/>
    </row>
    <row r="20499">
      <c r="B20499" s="7" t="n">
        <v>20497</v>
      </c>
      <c r="C20499" t="inlineStr">
        <is>
          <t>Nhân Viên Kinh Doanh / Tư Vấn Khóa Học (Gia Lai / Khánh Hòa)</t>
        </is>
      </c>
      <c r="D20499" t="inlineStr">
        <is>
          <t>Cổ Phần Quốc Tế Anh Văn Hội Việt Mỹ (VUS)</t>
        </is>
      </c>
      <c r="E20499" t="inlineStr">
        <is>
          <t>Lương:Cạnh tranh</t>
        </is>
      </c>
      <c r="F20499" t="inlineStr">
        <is>
          <t>Gia LaiKhánh Hòa</t>
        </is>
      </c>
      <c r="G20499" t="inlineStr">
        <is>
          <t>5</t>
        </is>
      </c>
      <c r="H20499" t="inlineStr">
        <is>
          <t>22/03/2026</t>
        </is>
      </c>
      <c r="I20499" t="inlineStr">
        <is>
          <t>17/03/2026</t>
        </is>
      </c>
      <c r="J20499" t="inlineStr">
        <is>
          <t>Bán hàng / Kinh doanh, Tư vấn, Giáo dục / Đào tạo</t>
        </is>
      </c>
      <c r="K20499" t="inlineStr">
        <is>
          <t>1 - 2 Năm</t>
        </is>
      </c>
      <c r="L20499" s="8">
        <f>HYPERLINK("https://careerviet.vn/vi/tim-viec-lam/nhan-vien-kinh-doanh-tu-van-khoa-hoc-gia-lai-khanh-hoa.35C663B6.html","Xem chi tiết")</f>
        <v/>
      </c>
    </row>
    <row r="20500">
      <c r="B20500" s="9" t="n">
        <v>20498</v>
      </c>
      <c r="C20500" s="10" t="inlineStr">
        <is>
          <t>Nhân viên giao hàng (Hà Nội)</t>
        </is>
      </c>
      <c r="D20500" s="10" t="inlineStr">
        <is>
          <t>Công Ty Cổ Phần Hai Bốn Bảy</t>
        </is>
      </c>
      <c r="E20500" s="10" t="inlineStr">
        <is>
          <t>Lương:10 Tr - 18 Tr VND</t>
        </is>
      </c>
      <c r="F20500" s="10" t="inlineStr">
        <is>
          <t>Hà Nội</t>
        </is>
      </c>
      <c r="G20500" s="10" t="inlineStr">
        <is>
          <t>5</t>
        </is>
      </c>
      <c r="H20500" s="10" t="inlineStr">
        <is>
          <t>22/03/2026</t>
        </is>
      </c>
      <c r="I20500" s="10" t="inlineStr">
        <is>
          <t>17/03/2026</t>
        </is>
      </c>
      <c r="J20500" s="10" t="inlineStr">
        <is>
          <t>Vận chuyển / Giao nhận / Kho vận</t>
        </is>
      </c>
      <c r="K20500" s="10" t="inlineStr">
        <is>
          <t>Chưa có kinh nghiệm</t>
        </is>
      </c>
      <c r="L20500" s="11">
        <f>HYPERLINK("https://careerviet.vn/vi/tim-viec-lam/nhan-vien-giao-hang-ha-noi.35C66333.html","Xem chi tiết")</f>
        <v/>
      </c>
      <c r="M20500" s="10" t="n"/>
    </row>
    <row r="20501">
      <c r="B20501" s="7" t="n">
        <v>20499</v>
      </c>
      <c r="C20501" t="inlineStr">
        <is>
          <t>Chuyên viên Kinh doanh kênh B2B TPHCM</t>
        </is>
      </c>
      <c r="D20501" t="inlineStr">
        <is>
          <t>Công ty cổ phần văn phòng phẩm Hồng Hà</t>
        </is>
      </c>
      <c r="E20501" t="inlineStr">
        <is>
          <t>Lương:10 Tr - 24 Tr VND</t>
        </is>
      </c>
      <c r="F20501" t="inlineStr">
        <is>
          <t>Hồ Chí Minh</t>
        </is>
      </c>
      <c r="G20501" t="inlineStr">
        <is>
          <t>5</t>
        </is>
      </c>
      <c r="H20501" t="inlineStr">
        <is>
          <t>22/03/2026</t>
        </is>
      </c>
      <c r="I20501" t="inlineStr">
        <is>
          <t>17/03/2026</t>
        </is>
      </c>
      <c r="J20501" t="inlineStr">
        <is>
          <t>Tiếp thị / Marketing, Bán lẻ / Bán sỉ, Bán hàng / Kinh doanh</t>
        </is>
      </c>
      <c r="K20501" t="inlineStr">
        <is>
          <t>1 - 5 Năm</t>
        </is>
      </c>
      <c r="L20501" s="8">
        <f>HYPERLINK("https://careerviet.vn/vi/tim-viec-lam/chuyen-vien-kinh-doanh-kenh-b2b-tphcm.35C638AF.html","Xem chi tiết")</f>
        <v/>
      </c>
    </row>
    <row r="20502">
      <c r="B20502" s="9" t="n">
        <v>20500</v>
      </c>
      <c r="C20502" s="10" t="inlineStr">
        <is>
          <t>Senior Business Development Executive</t>
        </is>
      </c>
      <c r="D20502" s="10" t="inlineStr">
        <is>
          <t>EUROFINS VIETNAM</t>
        </is>
      </c>
      <c r="E20502" s="10" t="inlineStr">
        <is>
          <t>Lương:Cạnh tranh</t>
        </is>
      </c>
      <c r="F20502" s="10" t="inlineStr">
        <is>
          <t>Hồ Chí Minh</t>
        </is>
      </c>
      <c r="G20502" s="10" t="inlineStr">
        <is>
          <t>5</t>
        </is>
      </c>
      <c r="H20502" s="10" t="inlineStr">
        <is>
          <t>22/03/2026</t>
        </is>
      </c>
      <c r="I20502" s="10" t="inlineStr">
        <is>
          <t>17/03/2026</t>
        </is>
      </c>
      <c r="J20502" s="10" t="inlineStr">
        <is>
          <t>Bán hàng / Kinh doanh, Bán Hàng Kỹ Thuật</t>
        </is>
      </c>
      <c r="K20502" s="10" t="inlineStr">
        <is>
          <t>2 - 4 Năm</t>
        </is>
      </c>
      <c r="L20502" s="11">
        <f>HYPERLINK("https://careerviet.vn/vi/tim-viec-lam/senior-business-development-executive.35C662C3.html","Xem chi tiết")</f>
        <v/>
      </c>
      <c r="M20502" s="10" t="n"/>
    </row>
    <row r="20503">
      <c r="B20503" s="7" t="n">
        <v>20501</v>
      </c>
      <c r="C20503" t="inlineStr">
        <is>
          <t>[HCM] Chuyên Viên Khách Hàng Cá Nhân</t>
        </is>
      </c>
      <c r="D20503" t="inlineStr">
        <is>
          <t>Ngân hàng TMCP Đại Chúng Việt Nam - PVcomBank</t>
        </is>
      </c>
      <c r="E20503" t="inlineStr">
        <is>
          <t>Lương:12 Tr - 30 Tr VND</t>
        </is>
      </c>
      <c r="F20503" t="inlineStr">
        <is>
          <t>Hồ Chí MinhKV Đông Nam Bộ</t>
        </is>
      </c>
      <c r="G20503" t="inlineStr">
        <is>
          <t>5</t>
        </is>
      </c>
      <c r="H20503" t="inlineStr">
        <is>
          <t>22/03/2026</t>
        </is>
      </c>
      <c r="I20503" t="inlineStr">
        <is>
          <t>17/03/2026</t>
        </is>
      </c>
      <c r="J20503" t="inlineStr">
        <is>
          <t>Ngân hàng, Tài chính / Đầu tư</t>
        </is>
      </c>
      <c r="K20503" t="inlineStr">
        <is>
          <t>Trên 1 Năm</t>
        </is>
      </c>
      <c r="L20503" s="8">
        <f>HYPERLINK("https://careerviet.vn/vi/tim-viec-lam/hcm-chuyen-vien-khach-hang-ca-nhan.35C663D0.html","Xem chi tiết")</f>
        <v/>
      </c>
    </row>
    <row r="20504">
      <c r="B20504" s="9" t="n">
        <v>20502</v>
      </c>
      <c r="C20504" s="10" t="inlineStr">
        <is>
          <t>Nhân Viên/Chuyên Viên Thu Hồi Nợ - Quảng Bình, Bình Định, Lâm Đồng - TA080</t>
        </is>
      </c>
      <c r="D20504" s="10" t="inlineStr">
        <is>
          <t>Ngân Hàng TMCP Việt Nam Thịnh Vượng - VPBANK</t>
        </is>
      </c>
      <c r="E20504" s="10" t="inlineStr">
        <is>
          <t>Lương:15 Tr - 30 Tr VND</t>
        </is>
      </c>
      <c r="F20504" s="10" t="inlineStr">
        <is>
          <t>Quảng BìnhBình ĐịnhLâm Đồng</t>
        </is>
      </c>
      <c r="G20504" s="10" t="inlineStr">
        <is>
          <t>24-03-2026</t>
        </is>
      </c>
      <c r="H20504" s="10" t="inlineStr">
        <is>
          <t>24/03/2026</t>
        </is>
      </c>
      <c r="I20504" s="10" t="inlineStr">
        <is>
          <t>17/03/2026</t>
        </is>
      </c>
      <c r="J20504" s="10" t="inlineStr">
        <is>
          <t>Bán hàng / Kinh doanh, Ngân hàng, Tài chính / Đầu tư</t>
        </is>
      </c>
      <c r="K20504" s="10" t="inlineStr">
        <is>
          <t>N/A</t>
        </is>
      </c>
      <c r="L20504" s="11">
        <f>HYPERLINK("https://careerviet.vn/vi/tim-viec-lam/nhan-vien-chuyen-vien-thu-hoi-no-quang-binh-binh-dinh-lam-dong-ta080.35C66437.html","Xem chi tiết")</f>
        <v/>
      </c>
      <c r="M20504" s="10" t="n"/>
    </row>
    <row r="20505">
      <c r="B20505" s="7" t="n">
        <v>20503</v>
      </c>
      <c r="C20505" t="inlineStr">
        <is>
          <t>Giao dịch viên</t>
        </is>
      </c>
      <c r="D20505" t="inlineStr">
        <is>
          <t>Ngân Hàng TMCP Sài Gòn - Hà Nội ( SHB )</t>
        </is>
      </c>
      <c r="E20505" t="inlineStr">
        <is>
          <t>Lương:Cạnh tranh</t>
        </is>
      </c>
      <c r="F20505" t="inlineStr">
        <is>
          <t>Bến TreThanh HóaHồ Chí Minh</t>
        </is>
      </c>
      <c r="G20505" t="inlineStr">
        <is>
          <t>24-03-2026</t>
        </is>
      </c>
      <c r="H20505" t="inlineStr">
        <is>
          <t>24/03/2026</t>
        </is>
      </c>
      <c r="I20505" t="inlineStr">
        <is>
          <t>17/03/2026</t>
        </is>
      </c>
      <c r="J20505" t="inlineStr">
        <is>
          <t>Dịch vụ khách hàng, Ngân hàng, Bán hàng / Kinh doanh</t>
        </is>
      </c>
      <c r="K20505" t="inlineStr">
        <is>
          <t>null - null Năm</t>
        </is>
      </c>
      <c r="L20505" s="8">
        <f>HYPERLINK("https://careerviet.vn/vi/tim-viec-lam/giao-dich-vien.35C68C6D.html","Xem chi tiết")</f>
        <v/>
      </c>
    </row>
    <row r="20506">
      <c r="B20506" s="9" t="n">
        <v>20504</v>
      </c>
      <c r="C20506" s="10" t="inlineStr">
        <is>
          <t>NHÂN VIÊN KHO DƯỢC HỖ TRỢ CỤM HUẾ - QUẢNG BÌNH</t>
        </is>
      </c>
      <c r="D20506" s="10" t="inlineStr">
        <is>
          <t>Công Ty Cổ Phần Vacxin Việt Nam</t>
        </is>
      </c>
      <c r="E20506" s="10" t="inlineStr">
        <is>
          <t>Lương:7 Tr - 9 Tr VND</t>
        </is>
      </c>
      <c r="F20506" s="10" t="inlineStr">
        <is>
          <t>KV Bắc Trung Bộ</t>
        </is>
      </c>
      <c r="G20506" s="10" t="inlineStr">
        <is>
          <t>6</t>
        </is>
      </c>
      <c r="H20506" s="10" t="inlineStr">
        <is>
          <t>23/03/2026</t>
        </is>
      </c>
      <c r="I20506" s="10" t="inlineStr">
        <is>
          <t>17/03/2026</t>
        </is>
      </c>
      <c r="J20506" s="10" t="inlineStr">
        <is>
          <t>Dược phẩm/ Hóa Mỹ Phẩm, Y tế / Chăm sóc sức khỏe / Thẩm mỹ / Làm đẹp, Vận chuyển / Giao nhận / Kho vận</t>
        </is>
      </c>
      <c r="K20506" s="10" t="inlineStr">
        <is>
          <t>N/A</t>
        </is>
      </c>
      <c r="L20506" s="11">
        <f>HYPERLINK("https://careerviet.vn/vi/tim-viec-lam/nhan-vien-kho-duoc-ho-tro-cum-hue-quang-binh.35C6397D.html","Xem chi tiết")</f>
        <v/>
      </c>
      <c r="M20506" s="10" t="n"/>
    </row>
    <row r="20507">
      <c r="B20507" s="7" t="n">
        <v>20505</v>
      </c>
      <c r="C20507" t="inlineStr">
        <is>
          <t>Chuyên Viên Kiểm Soát Nội Bộ</t>
        </is>
      </c>
      <c r="D20507" t="inlineStr">
        <is>
          <t>CÔNG TY TNHH FOCUS MEDIA (VIỆT NAM)</t>
        </is>
      </c>
      <c r="E20507" t="inlineStr">
        <is>
          <t>Lương:Cạnh tranh</t>
        </is>
      </c>
      <c r="F20507" t="inlineStr">
        <is>
          <t>Hồ Chí Minh</t>
        </is>
      </c>
      <c r="G20507" t="inlineStr">
        <is>
          <t>6</t>
        </is>
      </c>
      <c r="H20507" t="inlineStr">
        <is>
          <t>23/03/2026</t>
        </is>
      </c>
      <c r="I20507" t="inlineStr">
        <is>
          <t>17/03/2026</t>
        </is>
      </c>
      <c r="J20507" t="inlineStr">
        <is>
          <t>Bán hàng / Kinh doanh</t>
        </is>
      </c>
      <c r="K20507" t="inlineStr">
        <is>
          <t>3 - 5 Năm</t>
        </is>
      </c>
      <c r="L20507" s="8">
        <f>HYPERLINK("https://careerviet.vn/vi/tim-viec-lam/chuyen-vien-kiem-soat-noi-bo.35C6399D.html","Xem chi tiết")</f>
        <v/>
      </c>
    </row>
    <row r="20508">
      <c r="B20508" s="9" t="n">
        <v>20506</v>
      </c>
      <c r="C20508" s="10" t="inlineStr">
        <is>
          <t>Chuyên viên Quản lý dự án (PMO)</t>
        </is>
      </c>
      <c r="D20508" s="10" t="inlineStr">
        <is>
          <t>Tập Đoàn Kim Tín</t>
        </is>
      </c>
      <c r="E20508" s="10" t="inlineStr">
        <is>
          <t>Lương:Cạnh tranh</t>
        </is>
      </c>
      <c r="F20508" s="10" t="inlineStr">
        <is>
          <t>Hồ Chí Minh</t>
        </is>
      </c>
      <c r="G20508" s="10" t="inlineStr">
        <is>
          <t>5</t>
        </is>
      </c>
      <c r="H20508" s="10" t="inlineStr">
        <is>
          <t>22/03/2026</t>
        </is>
      </c>
      <c r="I20508" s="10" t="inlineStr">
        <is>
          <t>17/03/2026</t>
        </is>
      </c>
      <c r="J20508" s="10" t="inlineStr">
        <is>
          <t>Kế toán / Kiểm toán, Tài chính / Đầu tư</t>
        </is>
      </c>
      <c r="K20508" s="10" t="inlineStr">
        <is>
          <t>N/A</t>
        </is>
      </c>
      <c r="L20508" s="11">
        <f>HYPERLINK("https://careerviet.vn/vi/tim-viec-lam/chuyen-vien-quan-ly-du-an-pmo.35C6635F.html","Xem chi tiết")</f>
        <v/>
      </c>
      <c r="M20508" s="10" t="n"/>
    </row>
    <row r="20509">
      <c r="B20509" s="7" t="n">
        <v>20507</v>
      </c>
      <c r="C20509" t="inlineStr">
        <is>
          <t>GIÁM SÁT BÁN HÀNG KÊNH MT - SIÊU THỊ</t>
        </is>
      </c>
      <c r="D20509" t="inlineStr">
        <is>
          <t>Công ty TNHH Chế biến thực phẩm Đông Đô</t>
        </is>
      </c>
      <c r="E20509" t="inlineStr">
        <is>
          <t>Lương:18 Tr - 23 Tr VND</t>
        </is>
      </c>
      <c r="F20509" t="inlineStr">
        <is>
          <t>Hà NộiKhánh HòaHồ Chí Minh</t>
        </is>
      </c>
      <c r="G20509" t="inlineStr">
        <is>
          <t>6</t>
        </is>
      </c>
      <c r="H20509" t="inlineStr">
        <is>
          <t>23/03/2026</t>
        </is>
      </c>
      <c r="I20509" t="inlineStr">
        <is>
          <t>17/03/2026</t>
        </is>
      </c>
      <c r="J20509" t="inlineStr">
        <is>
          <t>Bán lẻ / Bán sỉ, Bán hàng / Kinh doanh, Thực phẩm &amp; Đồ uống</t>
        </is>
      </c>
      <c r="K20509" t="inlineStr">
        <is>
          <t>2 - 3 Năm</t>
        </is>
      </c>
      <c r="L20509" s="8">
        <f>HYPERLINK("https://careerviet.vn/vi/tim-viec-lam/giam-sat-ban-hang-kenh-mt-sieu-thi.35C63908.html","Xem chi tiết")</f>
        <v/>
      </c>
    </row>
    <row r="20510">
      <c r="B20510" s="9" t="n">
        <v>20508</v>
      </c>
      <c r="C20510" s="10" t="inlineStr">
        <is>
          <t>Chuyên viên quan hệ khách hàng Doanh nghiệp - [BAC A BANK - Chi nhánh Lạng Sơn]</t>
        </is>
      </c>
      <c r="D20510" s="10" t="inlineStr">
        <is>
          <t>Ngân Hàng Thương mại cổ phần Bắc Á- BAC A BANK</t>
        </is>
      </c>
      <c r="E20510" s="10" t="inlineStr">
        <is>
          <t>Lương:Cạnh tranh</t>
        </is>
      </c>
      <c r="F20510" s="10" t="inlineStr">
        <is>
          <t>Thanh HóaThái NguyênVĩnh Phúc</t>
        </is>
      </c>
      <c r="G20510" s="10" t="inlineStr">
        <is>
          <t>6</t>
        </is>
      </c>
      <c r="H20510" s="10" t="inlineStr">
        <is>
          <t>23/03/2026</t>
        </is>
      </c>
      <c r="I20510" s="10" t="inlineStr">
        <is>
          <t>17/03/2026</t>
        </is>
      </c>
      <c r="J20510" s="10" t="inlineStr">
        <is>
          <t>Ngân hàng</t>
        </is>
      </c>
      <c r="K20510" s="10" t="inlineStr">
        <is>
          <t>2 - 5 Năm</t>
        </is>
      </c>
      <c r="L20510" s="11">
        <f>HYPERLINK("https://careerviet.vn/vi/tim-viec-lam/chuyen-vien-quan-he-khach-hang-doanh-nghiep-bac-a-bank-chi-nhanh-lang-son.35C63A39.html","Xem chi tiết")</f>
        <v/>
      </c>
      <c r="M20510" s="10" t="n"/>
    </row>
    <row r="20511">
      <c r="B20511" s="7" t="n">
        <v>20509</v>
      </c>
      <c r="C20511" t="inlineStr">
        <is>
          <t>[PHENIKAA GROUP] Kỹ sư kinh tế xây dựng</t>
        </is>
      </c>
      <c r="D20511" t="inlineStr">
        <is>
          <t>PHENIKAA GROUP</t>
        </is>
      </c>
      <c r="E20511" t="inlineStr">
        <is>
          <t>Lương:15 Tr - 22 Tr VND</t>
        </is>
      </c>
      <c r="F20511" t="inlineStr">
        <is>
          <t>Hà Nội</t>
        </is>
      </c>
      <c r="G20511" t="inlineStr">
        <is>
          <t>6</t>
        </is>
      </c>
      <c r="H20511" t="inlineStr">
        <is>
          <t>23/03/2026</t>
        </is>
      </c>
      <c r="I20511" t="inlineStr">
        <is>
          <t>17/03/2026</t>
        </is>
      </c>
      <c r="J20511" t="inlineStr">
        <is>
          <t>Xây dựng</t>
        </is>
      </c>
      <c r="K20511" t="inlineStr">
        <is>
          <t>Trên 2 Năm</t>
        </is>
      </c>
      <c r="L20511" s="8">
        <f>HYPERLINK("https://careerviet.vn/vi/tim-viec-lam/phenikaa-group-ky-su-kinh-te-xay-dung.35C63902.html","Xem chi tiết")</f>
        <v/>
      </c>
    </row>
    <row r="20512">
      <c r="B20512" s="9" t="n">
        <v>20510</v>
      </c>
      <c r="C20512" s="10" t="inlineStr">
        <is>
          <t>Digital Marketing Officer</t>
        </is>
      </c>
      <c r="D20512" s="10" t="inlineStr">
        <is>
          <t>TRƯỜNG QUỐC TẾ BLUE RIDGE / BLUE RIDGE INTERNATIONAL SCHOOL (BRIS)</t>
        </is>
      </c>
      <c r="E20512" s="10" t="inlineStr">
        <is>
          <t>Lương:9 Tr - 11 Tr VND</t>
        </is>
      </c>
      <c r="F20512" s="10" t="inlineStr">
        <is>
          <t>Hồ Chí Minh</t>
        </is>
      </c>
      <c r="G20512" s="10" t="inlineStr">
        <is>
          <t>6</t>
        </is>
      </c>
      <c r="H20512" s="10" t="inlineStr">
        <is>
          <t>23/03/2026</t>
        </is>
      </c>
      <c r="I20512" s="10" t="inlineStr">
        <is>
          <t>17/03/2026</t>
        </is>
      </c>
      <c r="J20512" s="10" t="inlineStr">
        <is>
          <t>Tiếp thị / Marketing, Giáo dục / Đào tạo, Quảng cáo / Đối ngoại / Truyền Thông</t>
        </is>
      </c>
      <c r="K20512" s="10" t="inlineStr">
        <is>
          <t>2 - 3 Năm</t>
        </is>
      </c>
      <c r="L20512" s="11">
        <f>HYPERLINK("https://careerviet.vn/vi/tim-viec-lam/digital-marketing-officer.35C639C2.html","Xem chi tiết")</f>
        <v/>
      </c>
      <c r="M20512" s="10" t="n"/>
    </row>
    <row r="20513">
      <c r="B20513" s="7" t="n">
        <v>20511</v>
      </c>
      <c r="C20513" t="inlineStr">
        <is>
          <t>Nhân Viên Kinh Doanh Thị Trường (Thu nhập lên tới 25 triệu đồng)</t>
        </is>
      </c>
      <c r="D20513" t="inlineStr">
        <is>
          <t>Công ty TNHH Dầu Nhờn GS Việt Nam</t>
        </is>
      </c>
      <c r="E20513" t="inlineStr">
        <is>
          <t>Lương:Lên đến 25 Tr VND</t>
        </is>
      </c>
      <c r="F20513" t="inlineStr">
        <is>
          <t>Hưng YênNam ĐịnhHà Nam</t>
        </is>
      </c>
      <c r="G20513" t="inlineStr">
        <is>
          <t>6</t>
        </is>
      </c>
      <c r="H20513" t="inlineStr">
        <is>
          <t>23/03/2026</t>
        </is>
      </c>
      <c r="I20513" t="inlineStr">
        <is>
          <t>17/03/2026</t>
        </is>
      </c>
      <c r="J20513" t="inlineStr">
        <is>
          <t>Bán hàng / Kinh doanh, Cơ khí / Ô tô / Tự động hóa, Dầu khí</t>
        </is>
      </c>
      <c r="K20513" t="inlineStr">
        <is>
          <t>3 - 5 Năm</t>
        </is>
      </c>
      <c r="L20513" s="8">
        <f>HYPERLINK("https://careerviet.vn/vi/tim-viec-lam/nhan-vien-kinh-doanh-thi-truong-thu-nhap-len-toi-25-trieu-dong.35C638DF.html","Xem chi tiết")</f>
        <v/>
      </c>
    </row>
    <row r="20514">
      <c r="B20514" s="9" t="n">
        <v>20512</v>
      </c>
      <c r="C20514" s="10" t="inlineStr">
        <is>
          <t>Chuyên viên QA/QC</t>
        </is>
      </c>
      <c r="D20514" s="10" t="inlineStr">
        <is>
          <t>Công Ty Cổ Phần VictoryCons</t>
        </is>
      </c>
      <c r="E20514" s="10" t="inlineStr">
        <is>
          <t>Lương:Cạnh tranh</t>
        </is>
      </c>
      <c r="F20514" s="10" t="inlineStr">
        <is>
          <t>Bình DươngĐà Nẵng</t>
        </is>
      </c>
      <c r="G20514" s="10" t="inlineStr">
        <is>
          <t>6</t>
        </is>
      </c>
      <c r="H20514" s="10" t="inlineStr">
        <is>
          <t>23/03/2026</t>
        </is>
      </c>
      <c r="I20514" s="10" t="inlineStr">
        <is>
          <t>17/03/2026</t>
        </is>
      </c>
      <c r="J20514" s="10" t="inlineStr">
        <is>
          <t>Kiến trúc, Xây dựng, Bất động sản</t>
        </is>
      </c>
      <c r="K20514" s="10" t="inlineStr">
        <is>
          <t>1 - 5 Năm</t>
        </is>
      </c>
      <c r="L20514" s="11">
        <f>HYPERLINK("https://careerviet.vn/vi/tim-viec-lam/chuyen-vien-qa-qc.35C63A60.html","Xem chi tiết")</f>
        <v/>
      </c>
      <c r="M20514" s="10" t="n"/>
    </row>
    <row r="20515">
      <c r="B20515" s="7" t="n">
        <v>20513</v>
      </c>
      <c r="C20515" t="inlineStr">
        <is>
          <t>Phiên Dịch Viên Tiếng Trung</t>
        </is>
      </c>
      <c r="D20515" t="inlineStr">
        <is>
          <t>CÔNG TY CỔ PHẦN PICONS VIỆT NAM</t>
        </is>
      </c>
      <c r="E20515" t="inlineStr">
        <is>
          <t>Lương:Cạnh tranh</t>
        </is>
      </c>
      <c r="F20515" t="inlineStr">
        <is>
          <t>Thái Bình</t>
        </is>
      </c>
      <c r="G20515" t="inlineStr">
        <is>
          <t>6</t>
        </is>
      </c>
      <c r="H20515" t="inlineStr">
        <is>
          <t>23/03/2026</t>
        </is>
      </c>
      <c r="I20515" t="inlineStr">
        <is>
          <t>17/03/2026</t>
        </is>
      </c>
      <c r="J20515" t="inlineStr">
        <is>
          <t>Xây dựng, Biên phiên dịch</t>
        </is>
      </c>
      <c r="K20515" t="inlineStr">
        <is>
          <t>N/A</t>
        </is>
      </c>
      <c r="L20515" s="8">
        <f>HYPERLINK("https://careerviet.vn/vi/tim-viec-lam/phien-dich-vien-tieng-trung.35C63A82.html","Xem chi tiết")</f>
        <v/>
      </c>
    </row>
    <row r="20516">
      <c r="B20516" s="9" t="n">
        <v>20514</v>
      </c>
      <c r="C20516" s="10" t="inlineStr">
        <is>
          <t>Nhân viên R&amp;D</t>
        </is>
      </c>
      <c r="D20516" s="10" t="inlineStr">
        <is>
          <t>Công Ty TNHH Dệt Tah Tong Việt Nam</t>
        </is>
      </c>
      <c r="E20516" s="10" t="inlineStr">
        <is>
          <t>Lương:Cạnh tranh</t>
        </is>
      </c>
      <c r="F20516" s="10" t="inlineStr">
        <is>
          <t>Hồ Chí Minh</t>
        </is>
      </c>
      <c r="G20516" s="10" t="inlineStr">
        <is>
          <t>6</t>
        </is>
      </c>
      <c r="H20516" s="10" t="inlineStr">
        <is>
          <t>23/03/2026</t>
        </is>
      </c>
      <c r="I20516" s="10" t="inlineStr">
        <is>
          <t>17/03/2026</t>
        </is>
      </c>
      <c r="J20516" s="10" t="inlineStr">
        <is>
          <t>Dệt may / Da giày / Thời trang</t>
        </is>
      </c>
      <c r="K20516" s="10" t="inlineStr">
        <is>
          <t>N/A</t>
        </is>
      </c>
      <c r="L20516" s="11">
        <f>HYPERLINK("https://careerviet.vn/vi/tim-viec-lam/nhan-vien-r-d.35C63962.html","Xem chi tiết")</f>
        <v/>
      </c>
      <c r="M20516" s="10" t="n"/>
    </row>
    <row r="20517">
      <c r="B20517" s="7" t="n">
        <v>20515</v>
      </c>
      <c r="C20517" t="inlineStr">
        <is>
          <t>Trợ Lý Văn Phòng Tiếng Trung</t>
        </is>
      </c>
      <c r="D20517" t="inlineStr">
        <is>
          <t>Công Ty TNHH Orro Home</t>
        </is>
      </c>
      <c r="E20517" t="inlineStr">
        <is>
          <t>Lương:Cạnh tranh</t>
        </is>
      </c>
      <c r="F20517" t="inlineStr">
        <is>
          <t>Hồ Chí Minh</t>
        </is>
      </c>
      <c r="G20517" t="inlineStr">
        <is>
          <t>6</t>
        </is>
      </c>
      <c r="H20517" t="inlineStr">
        <is>
          <t>23/03/2026</t>
        </is>
      </c>
      <c r="I20517" t="inlineStr">
        <is>
          <t>17/03/2026</t>
        </is>
      </c>
      <c r="J20517" t="inlineStr">
        <is>
          <t>Biên phiên dịch</t>
        </is>
      </c>
      <c r="K20517" t="inlineStr">
        <is>
          <t>1 - 2 Năm</t>
        </is>
      </c>
      <c r="L20517" s="8">
        <f>HYPERLINK("https://careerviet.vn/vi/tim-viec-lam/tro-ly-van-phong-tieng-trung.35C63925.html","Xem chi tiết")</f>
        <v/>
      </c>
    </row>
    <row r="20518">
      <c r="B20518" s="9" t="n">
        <v>20516</v>
      </c>
      <c r="C20518" s="10" t="inlineStr">
        <is>
          <t>Kỹ sư MEP _ Phú Quốc</t>
        </is>
      </c>
      <c r="D20518" s="10" t="inlineStr">
        <is>
          <t>Công Ty TNHH Đầu Tư Địa Ốc Thành Phố (CityLand)</t>
        </is>
      </c>
      <c r="E20518" s="10" t="inlineStr">
        <is>
          <t>Lương:15 Tr - 25 Tr VND</t>
        </is>
      </c>
      <c r="F20518" s="10" t="inlineStr">
        <is>
          <t>Kiên Giang</t>
        </is>
      </c>
      <c r="G20518" s="10" t="inlineStr">
        <is>
          <t>6</t>
        </is>
      </c>
      <c r="H20518" s="10" t="inlineStr">
        <is>
          <t>23/03/2026</t>
        </is>
      </c>
      <c r="I20518" s="10" t="inlineStr">
        <is>
          <t>17/03/2026</t>
        </is>
      </c>
      <c r="J20518" s="10" t="inlineStr">
        <is>
          <t>Kiến trúc, Xây dựng, Bất động sản</t>
        </is>
      </c>
      <c r="K20518" s="10" t="inlineStr">
        <is>
          <t>5 - 20 Năm</t>
        </is>
      </c>
      <c r="L20518" s="11">
        <f>HYPERLINK("https://careerviet.vn/vi/tim-viec-lam/ky-su-mep-_-phu-quoc.35C63A4F.html","Xem chi tiết")</f>
        <v/>
      </c>
      <c r="M20518" s="10" t="n"/>
    </row>
    <row r="20519">
      <c r="B20519" s="7" t="n">
        <v>20517</v>
      </c>
      <c r="C20519" t="inlineStr">
        <is>
          <t>Chuyên viên Nhân sự (Mạnh tuyển dụng)</t>
        </is>
      </c>
      <c r="D20519" t="inlineStr">
        <is>
          <t>ADC PLASTIC,. JSC</t>
        </is>
      </c>
      <c r="E20519" t="inlineStr">
        <is>
          <t>Lương:15 Tr - 20 Tr VND</t>
        </is>
      </c>
      <c r="F20519" t="inlineStr">
        <is>
          <t>Hưng YênHà Nội</t>
        </is>
      </c>
      <c r="G20519" t="inlineStr">
        <is>
          <t>6</t>
        </is>
      </c>
      <c r="H20519" t="inlineStr">
        <is>
          <t>23/03/2026</t>
        </is>
      </c>
      <c r="I20519" t="inlineStr">
        <is>
          <t>17/03/2026</t>
        </is>
      </c>
      <c r="J20519" t="inlineStr">
        <is>
          <t>Hành chính / Thư ký, Nhân sự</t>
        </is>
      </c>
      <c r="K20519" t="inlineStr">
        <is>
          <t>5 - 10 Năm</t>
        </is>
      </c>
      <c r="L20519" s="8">
        <f>HYPERLINK("https://careerviet.vn/vi/tim-viec-lam/chuyen-vien-nhan-su-manh-tuyen-dung.35C63999.html","Xem chi tiết")</f>
        <v/>
      </c>
    </row>
    <row r="20520">
      <c r="B20520" s="9" t="n">
        <v>20518</v>
      </c>
      <c r="C20520" s="10" t="inlineStr">
        <is>
          <t>Nhân viên kế toán kho</t>
        </is>
      </c>
      <c r="D20520" s="10" t="inlineStr">
        <is>
          <t>CN CÔNG TY CỔ PHẦN ĐẦU TƯ SK TẠI HÀ NỘI</t>
        </is>
      </c>
      <c r="E20520" s="10" t="inlineStr">
        <is>
          <t>Lương:8 Tr - 12 Tr VND</t>
        </is>
      </c>
      <c r="F20520" s="10" t="inlineStr">
        <is>
          <t>Hưng Yên</t>
        </is>
      </c>
      <c r="G20520" s="10" t="inlineStr">
        <is>
          <t>6</t>
        </is>
      </c>
      <c r="H20520" s="10" t="inlineStr">
        <is>
          <t>23/03/2026</t>
        </is>
      </c>
      <c r="I20520" s="10" t="inlineStr">
        <is>
          <t>17/03/2026</t>
        </is>
      </c>
      <c r="J20520" s="10" t="inlineStr">
        <is>
          <t>Vận chuyển / Giao nhận / Kho vận, Kế toán / Kiểm toán</t>
        </is>
      </c>
      <c r="K20520" s="10" t="inlineStr">
        <is>
          <t>1 - 2 Năm</t>
        </is>
      </c>
      <c r="L20520" s="11">
        <f>HYPERLINK("https://careerviet.vn/vi/tim-viec-lam/nhan-vien-ke-toan-kho.35C6398A.html","Xem chi tiết")</f>
        <v/>
      </c>
      <c r="M20520" s="10" t="n"/>
    </row>
    <row r="20521">
      <c r="B20521" s="7" t="n">
        <v>20519</v>
      </c>
      <c r="C20521" t="inlineStr">
        <is>
          <t>NHÂN VIÊN KHO DƯỢC HỖ TRỢ CỤM LONG AN - TIỀN GIANG</t>
        </is>
      </c>
      <c r="D20521" t="inlineStr">
        <is>
          <t>Công Ty Cổ Phần Vacxin Việt Nam</t>
        </is>
      </c>
      <c r="E20521" t="inlineStr">
        <is>
          <t>Lương:7 Tr - 9 Tr VND</t>
        </is>
      </c>
      <c r="F20521" t="inlineStr">
        <is>
          <t>Long An</t>
        </is>
      </c>
      <c r="G20521" t="inlineStr">
        <is>
          <t>6</t>
        </is>
      </c>
      <c r="H20521" t="inlineStr">
        <is>
          <t>23/03/2026</t>
        </is>
      </c>
      <c r="I20521" t="inlineStr">
        <is>
          <t>17/03/2026</t>
        </is>
      </c>
      <c r="J20521" t="inlineStr">
        <is>
          <t>Dược phẩm/ Hóa Mỹ Phẩm, Y tế / Chăm sóc sức khỏe / Thẩm mỹ / Làm đẹp, Vận chuyển / Giao nhận / Kho vận</t>
        </is>
      </c>
      <c r="K20521" t="inlineStr">
        <is>
          <t>N/A</t>
        </is>
      </c>
      <c r="L20521" s="8">
        <f>HYPERLINK("https://careerviet.vn/vi/tim-viec-lam/nhan-vien-kho-duoc-ho-tro-cum-long-an-tien-giang.35C6396E.html","Xem chi tiết")</f>
        <v/>
      </c>
    </row>
    <row r="20522">
      <c r="B20522" s="9" t="n">
        <v>20520</v>
      </c>
      <c r="C20522" s="10" t="inlineStr">
        <is>
          <t>Chuyên viên/ Chuyên viên cao cấp SEO</t>
        </is>
      </c>
      <c r="D20522" s="10" t="inlineStr">
        <is>
          <t>CÔNG TY CỔ PHẦN CHỨNG KHOÁN ASEAN</t>
        </is>
      </c>
      <c r="E20522" s="10" t="inlineStr">
        <is>
          <t>Lương:Cạnh tranh</t>
        </is>
      </c>
      <c r="F20522" s="10" t="inlineStr">
        <is>
          <t>Hà Nội</t>
        </is>
      </c>
      <c r="G20522" s="10" t="inlineStr">
        <is>
          <t>6</t>
        </is>
      </c>
      <c r="H20522" s="10" t="inlineStr">
        <is>
          <t>23/03/2026</t>
        </is>
      </c>
      <c r="I20522" s="10" t="inlineStr">
        <is>
          <t>17/03/2026</t>
        </is>
      </c>
      <c r="J20522" s="10" t="inlineStr">
        <is>
          <t>Tiếp thị / Marketing, Chứng khoán, Ngân hàng</t>
        </is>
      </c>
      <c r="K20522" s="10" t="inlineStr">
        <is>
          <t>Trên 3 Năm</t>
        </is>
      </c>
      <c r="L20522" s="11">
        <f>HYPERLINK("https://careerviet.vn/vi/tim-viec-lam/chuyen-vien-chuyen-vien-cao-cap-seo.35C6351E.html","Xem chi tiết")</f>
        <v/>
      </c>
      <c r="M20522" s="10" t="n"/>
    </row>
    <row r="20523">
      <c r="B20523" s="7" t="n">
        <v>20521</v>
      </c>
      <c r="C20523" t="inlineStr">
        <is>
          <t>NHÂN VIÊN KHO DƯỢC HỖ TRỢ CỤM HỒ CHÍ MINH</t>
        </is>
      </c>
      <c r="D20523" t="inlineStr">
        <is>
          <t>Công Ty Cổ Phần Vacxin Việt Nam</t>
        </is>
      </c>
      <c r="E20523" t="inlineStr">
        <is>
          <t>Lương:7 Tr - 9 Tr VND</t>
        </is>
      </c>
      <c r="F20523" t="inlineStr">
        <is>
          <t>Hồ Chí Minh</t>
        </is>
      </c>
      <c r="G20523" t="inlineStr">
        <is>
          <t>6</t>
        </is>
      </c>
      <c r="H20523" t="inlineStr">
        <is>
          <t>23/03/2026</t>
        </is>
      </c>
      <c r="I20523" t="inlineStr">
        <is>
          <t>17/03/2026</t>
        </is>
      </c>
      <c r="J20523" t="inlineStr">
        <is>
          <t>Dược phẩm/ Hóa Mỹ Phẩm, Y tế / Chăm sóc sức khỏe / Thẩm mỹ / Làm đẹp, Vận chuyển / Giao nhận / Kho vận</t>
        </is>
      </c>
      <c r="K20523" t="inlineStr">
        <is>
          <t>N/A</t>
        </is>
      </c>
      <c r="L20523" s="8">
        <f>HYPERLINK("https://careerviet.vn/vi/tim-viec-lam/nhan-vien-kho-duoc-ho-tro-cum-ho-chi-minh.35C6395E.html","Xem chi tiết")</f>
        <v/>
      </c>
    </row>
    <row r="20524">
      <c r="B20524" s="9" t="n">
        <v>20522</v>
      </c>
      <c r="C20524" s="10" t="inlineStr">
        <is>
          <t>MIỀN TRUNG QUẢN LÝ KHU VỰC</t>
        </is>
      </c>
      <c r="D20524" s="10" t="inlineStr">
        <is>
          <t>Công Ty TNHH BEST Logistics Technology (Việt Nam)</t>
        </is>
      </c>
      <c r="E20524" s="10" t="inlineStr">
        <is>
          <t>Lương:20 Tr - 35 Tr VND</t>
        </is>
      </c>
      <c r="F20524" s="10" t="inlineStr">
        <is>
          <t>Nghệ AnQuảng BìnhQuảng Trị</t>
        </is>
      </c>
      <c r="G20524" s="10" t="inlineStr">
        <is>
          <t>6</t>
        </is>
      </c>
      <c r="H20524" s="10" t="inlineStr">
        <is>
          <t>23/03/2026</t>
        </is>
      </c>
      <c r="I20524" s="10" t="inlineStr">
        <is>
          <t>17/03/2026</t>
        </is>
      </c>
      <c r="J20524" s="10" t="inlineStr">
        <is>
          <t>Vận chuyển / Giao nhận / Kho vận, Quản lý điều hành</t>
        </is>
      </c>
      <c r="K20524" s="10" t="inlineStr">
        <is>
          <t>1 - 2 NămĐịa điểm</t>
        </is>
      </c>
      <c r="L20524" s="11">
        <f>HYPERLINK("https://careerviet.vn/vi/tim-viec-lam/mien-trung-quan-ly-khu-vuc.35C665E2.html","Xem chi tiết")</f>
        <v/>
      </c>
      <c r="M20524" s="10" t="n"/>
    </row>
    <row r="20525">
      <c r="B20525" s="7" t="n">
        <v>20523</v>
      </c>
      <c r="C20525" t="inlineStr">
        <is>
          <t>Online Commercial Planner</t>
        </is>
      </c>
      <c r="D20525" t="inlineStr">
        <is>
          <t>Concung.com - Con Cung Joint Stock Company</t>
        </is>
      </c>
      <c r="E20525" t="inlineStr">
        <is>
          <t>Lương:Cạnh tranh</t>
        </is>
      </c>
      <c r="F20525" t="inlineStr">
        <is>
          <t>Hồ Chí Minh</t>
        </is>
      </c>
      <c r="G20525" t="inlineStr">
        <is>
          <t>6</t>
        </is>
      </c>
      <c r="H20525" t="inlineStr">
        <is>
          <t>23/03/2026</t>
        </is>
      </c>
      <c r="I20525" t="inlineStr">
        <is>
          <t>17/03/2026</t>
        </is>
      </c>
      <c r="J20525" t="inlineStr">
        <is>
          <t>Bán lẻ / Bán sỉ, Tiếp thị trực tuyến, Thương mại điện tử</t>
        </is>
      </c>
      <c r="K20525" t="inlineStr">
        <is>
          <t>Trên 2 Năm</t>
        </is>
      </c>
      <c r="L20525" s="8">
        <f>HYPERLINK("https://careerviet.vn/vi/tim-viec-lam/online-commercial-planner.35C63923.html","Xem chi tiết")</f>
        <v/>
      </c>
    </row>
    <row r="20526">
      <c r="B20526" s="9" t="n">
        <v>20524</v>
      </c>
      <c r="C20526" s="10" t="inlineStr">
        <is>
          <t>[HO] AML Transaction Mornitoring</t>
        </is>
      </c>
      <c r="D20526" s="10" t="inlineStr">
        <is>
          <t>Shinhan Bank Vietnam</t>
        </is>
      </c>
      <c r="E20526" s="10" t="inlineStr">
        <is>
          <t>Lương:Cạnh tranh</t>
        </is>
      </c>
      <c r="F20526" s="10" t="inlineStr">
        <is>
          <t>Hồ Chí Minh</t>
        </is>
      </c>
      <c r="G20526" s="10" t="inlineStr">
        <is>
          <t>6</t>
        </is>
      </c>
      <c r="H20526" s="10" t="inlineStr">
        <is>
          <t>23/03/2026</t>
        </is>
      </c>
      <c r="I20526" s="10" t="inlineStr">
        <is>
          <t>17/03/2026</t>
        </is>
      </c>
      <c r="J20526" s="10" t="inlineStr">
        <is>
          <t>Kế toán / Kiểm toán, Ngân hàng, Tư vấn</t>
        </is>
      </c>
      <c r="K20526" s="10" t="inlineStr">
        <is>
          <t>Trên 3 Năm</t>
        </is>
      </c>
      <c r="L20526" s="11">
        <f>HYPERLINK("https://careerviet.vn/vi/tim-viec-lam/ho-aml-transaction-mornitoring.35C66586.html","Xem chi tiết")</f>
        <v/>
      </c>
      <c r="M20526" s="10" t="n"/>
    </row>
    <row r="20527">
      <c r="B20527" s="7" t="n">
        <v>20525</v>
      </c>
      <c r="C20527" t="inlineStr">
        <is>
          <t>Trưởng bộ phận Phát triển sản phẩm và OEM (Làm việc tại Tây Ninh)</t>
        </is>
      </c>
      <c r="D20527" t="inlineStr">
        <is>
          <t>Công ty CP Thành Thành Công - Biên Hòa</t>
        </is>
      </c>
      <c r="E20527" t="inlineStr">
        <is>
          <t>Lương:Cạnh tranh</t>
        </is>
      </c>
      <c r="F20527" t="inlineStr">
        <is>
          <t>Tây Ninh</t>
        </is>
      </c>
      <c r="G20527" t="inlineStr">
        <is>
          <t>6</t>
        </is>
      </c>
      <c r="H20527" t="inlineStr">
        <is>
          <t>23/03/2026</t>
        </is>
      </c>
      <c r="I20527" t="inlineStr">
        <is>
          <t>17/03/2026</t>
        </is>
      </c>
      <c r="J20527" t="inlineStr">
        <is>
          <t>Công nghệ thực phẩm / Dinh dưỡng, Chăn nuôi / Thú y, Công nghệ sinh học</t>
        </is>
      </c>
      <c r="K20527" t="inlineStr">
        <is>
          <t>3 - 5 Năm</t>
        </is>
      </c>
      <c r="L20527" s="8">
        <f>HYPERLINK("https://careerviet.vn/vi/tim-viec-lam/truong-bo-phan-phat-trien-san-pham-va-oem-lam-viec-tai-tay-ninh.35C63940.html","Xem chi tiết")</f>
        <v/>
      </c>
    </row>
    <row r="20528">
      <c r="B20528" s="9" t="n">
        <v>20526</v>
      </c>
      <c r="C20528" s="10" t="inlineStr">
        <is>
          <t>Line Cook (Bếp chính) Á-Âu</t>
        </is>
      </c>
      <c r="D20528" s="10" t="inlineStr">
        <is>
          <t>Công Ty Hoàng An Nhiên</t>
        </is>
      </c>
      <c r="E20528" s="10" t="inlineStr">
        <is>
          <t>Lương:10 Tr - 11 Tr VND</t>
        </is>
      </c>
      <c r="F20528" s="10" t="inlineStr">
        <is>
          <t>Hà Nội</t>
        </is>
      </c>
      <c r="G20528" s="10" t="inlineStr">
        <is>
          <t>6</t>
        </is>
      </c>
      <c r="H20528" s="10" t="inlineStr">
        <is>
          <t>23/03/2026</t>
        </is>
      </c>
      <c r="I20528" s="10" t="inlineStr">
        <is>
          <t>17/03/2026</t>
        </is>
      </c>
      <c r="J20528" s="10" t="inlineStr">
        <is>
          <t>Nhà hàng / Khách sạn</t>
        </is>
      </c>
      <c r="K20528" s="10" t="inlineStr">
        <is>
          <t>Lên đến 2 Năm</t>
        </is>
      </c>
      <c r="L20528" s="11">
        <f>HYPERLINK("https://careerviet.vn/vi/tim-viec-lam/line-cook-bep-chinh-a-au.35C639DA.html","Xem chi tiết")</f>
        <v/>
      </c>
      <c r="M20528" s="10" t="n"/>
    </row>
    <row r="20529">
      <c r="B20529" s="7" t="n">
        <v>20527</v>
      </c>
      <c r="C20529" t="inlineStr">
        <is>
          <t>Nhân viên Kinh doanh tư vấn sự kiện - Tiệc cưới</t>
        </is>
      </c>
      <c r="D20529" t="inlineStr">
        <is>
          <t>CÔNG TY TNHH TRỐNG ĐỒNG VIỆT NAM</t>
        </is>
      </c>
      <c r="E20529" t="inlineStr">
        <is>
          <t>Lương:8 Tr - 10 Tr VND</t>
        </is>
      </c>
      <c r="F20529" t="inlineStr">
        <is>
          <t>Hà Nội</t>
        </is>
      </c>
      <c r="G20529" t="inlineStr">
        <is>
          <t>6</t>
        </is>
      </c>
      <c r="H20529" t="inlineStr">
        <is>
          <t>23/03/2026</t>
        </is>
      </c>
      <c r="I20529" t="inlineStr">
        <is>
          <t>17/03/2026</t>
        </is>
      </c>
      <c r="J20529" t="inlineStr">
        <is>
          <t>Bán lẻ / Bán sỉ, Bán hàng / Kinh doanh, Nhà hàng / Khách sạn</t>
        </is>
      </c>
      <c r="K20529" t="inlineStr">
        <is>
          <t>N/A</t>
        </is>
      </c>
      <c r="L20529" s="8">
        <f>HYPERLINK("https://careerviet.vn/vi/tim-viec-lam/nhan-vien-kinh-doanh-tu-van-su-kien-tiec-cuoi.35C63955.html","Xem chi tiết")</f>
        <v/>
      </c>
    </row>
    <row r="20530">
      <c r="B20530" s="9" t="n">
        <v>20528</v>
      </c>
      <c r="C20530" s="10" t="inlineStr">
        <is>
          <t>Tư vấn viên - Thẩm mỹ viện cơ sở Đà Nẵng</t>
        </is>
      </c>
      <c r="D20530" s="10" t="inlineStr">
        <is>
          <t>CÔNG TY TNHH THẨM MỸ QUỐC TẾ LINH ANH</t>
        </is>
      </c>
      <c r="E20530" s="10" t="inlineStr">
        <is>
          <t>Lương:20 Tr - 40 Tr VND</t>
        </is>
      </c>
      <c r="F20530" s="10" t="inlineStr">
        <is>
          <t>Đà Nẵng</t>
        </is>
      </c>
      <c r="G20530" s="10" t="inlineStr">
        <is>
          <t>6</t>
        </is>
      </c>
      <c r="H20530" s="10" t="inlineStr">
        <is>
          <t>23/03/2026</t>
        </is>
      </c>
      <c r="I20530" s="10" t="inlineStr">
        <is>
          <t>17/03/2026</t>
        </is>
      </c>
      <c r="J20530" s="10" t="inlineStr">
        <is>
          <t>Tiếp thị / Marketing, Bán hàng / Kinh doanh, Y tế / Chăm sóc sức khỏe / Thẩm mỹ / Làm đẹp</t>
        </is>
      </c>
      <c r="K20530" s="10" t="inlineStr">
        <is>
          <t>Trên 1 Năm</t>
        </is>
      </c>
      <c r="L20530" s="11">
        <f>HYPERLINK("https://careerviet.vn/vi/tim-viec-lam/tu-van-vien-tham-my-vien-co-so-da-nang.35C66460.html","Xem chi tiết")</f>
        <v/>
      </c>
      <c r="M20530" s="10" t="n"/>
    </row>
    <row r="20531">
      <c r="B20531" s="7" t="n">
        <v>20529</v>
      </c>
      <c r="C20531" t="inlineStr">
        <is>
          <t>Field sales executive (Bình Dương)</t>
        </is>
      </c>
      <c r="D20531" t="inlineStr">
        <is>
          <t>S.F. EXPRESS LTD.</t>
        </is>
      </c>
      <c r="E20531" t="inlineStr">
        <is>
          <t>Lương:15 Tr - 60 Tr VND</t>
        </is>
      </c>
      <c r="F20531" t="inlineStr">
        <is>
          <t>Đồng Nai</t>
        </is>
      </c>
      <c r="G20531" t="inlineStr">
        <is>
          <t>6</t>
        </is>
      </c>
      <c r="H20531" t="inlineStr">
        <is>
          <t>23/03/2026</t>
        </is>
      </c>
      <c r="I20531" t="inlineStr">
        <is>
          <t>17/03/2026</t>
        </is>
      </c>
      <c r="J20531" t="inlineStr">
        <is>
          <t>Bán hàng / Kinh doanh, Vận chuyển / Giao nhận / Kho vận, Xuất nhập khẩu</t>
        </is>
      </c>
      <c r="K20531" t="inlineStr">
        <is>
          <t>1 - 2 Năm</t>
        </is>
      </c>
      <c r="L20531" s="8">
        <f>HYPERLINK("https://careerviet.vn/vi/tim-viec-lam/field-sales-executive-binh-duong.35C639D8.html","Xem chi tiết")</f>
        <v/>
      </c>
    </row>
    <row r="20532">
      <c r="B20532" s="9" t="n">
        <v>20530</v>
      </c>
      <c r="C20532" s="10" t="inlineStr">
        <is>
          <t>Giám sát thi công cao tầng (Chủ đầu tư)</t>
        </is>
      </c>
      <c r="D20532" s="10" t="inlineStr">
        <is>
          <t>Tập Đoàn Tân Á Đại Thành</t>
        </is>
      </c>
      <c r="E20532" s="10" t="inlineStr">
        <is>
          <t>Lương:25 Tr - 28 Tr VND</t>
        </is>
      </c>
      <c r="F20532" s="10" t="inlineStr">
        <is>
          <t>Hà NộiHồ Chí MinhKiên Giang</t>
        </is>
      </c>
      <c r="G20532" s="10" t="inlineStr">
        <is>
          <t>10-04-2026</t>
        </is>
      </c>
      <c r="H20532" s="10" t="inlineStr">
        <is>
          <t>10/04/2026</t>
        </is>
      </c>
      <c r="I20532" s="10" t="inlineStr">
        <is>
          <t>17/03/2026</t>
        </is>
      </c>
      <c r="J20532" s="10" t="inlineStr">
        <is>
          <t>Kiến trúc, Xây dựng, Bất động sản</t>
        </is>
      </c>
      <c r="K20532" s="10" t="inlineStr">
        <is>
          <t>Trên 5 Năm</t>
        </is>
      </c>
      <c r="L20532" s="11">
        <f>HYPERLINK("https://careerviet.vn/vi/tim-viec-lam/giam-sat-thi-cong-cao-tang-chu-dau-tu.35C638F3.html","Xem chi tiết")</f>
        <v/>
      </c>
      <c r="M20532" s="10" t="n"/>
    </row>
    <row r="20533">
      <c r="B20533" s="7" t="n">
        <v>20531</v>
      </c>
      <c r="C20533" t="inlineStr">
        <is>
          <t>Nhân viên IT (Làm việc tại Long An)</t>
        </is>
      </c>
      <c r="D20533" t="inlineStr">
        <is>
          <t>Công ty TNHH Yura Corporation Vina</t>
        </is>
      </c>
      <c r="E20533" t="inlineStr">
        <is>
          <t>Lương:Cạnh tranh</t>
        </is>
      </c>
      <c r="F20533" t="inlineStr">
        <is>
          <t>Long An</t>
        </is>
      </c>
      <c r="G20533" t="inlineStr">
        <is>
          <t>6</t>
        </is>
      </c>
      <c r="H20533" t="inlineStr">
        <is>
          <t>23/03/2026</t>
        </is>
      </c>
      <c r="I20533" t="inlineStr">
        <is>
          <t>17/03/2026</t>
        </is>
      </c>
      <c r="J20533" t="inlineStr">
        <is>
          <t>Quản lý điều hành</t>
        </is>
      </c>
      <c r="K20533" t="inlineStr">
        <is>
          <t>3 - 5 Năm</t>
        </is>
      </c>
      <c r="L20533" s="8">
        <f>HYPERLINK("https://careerviet.vn/vi/tim-viec-lam/nhan-vien-it-lam-viec-tai-long-an.35C63994.html","Xem chi tiết")</f>
        <v/>
      </c>
    </row>
    <row r="20534">
      <c r="B20534" s="9" t="n">
        <v>20532</v>
      </c>
      <c r="C20534" s="10" t="inlineStr">
        <is>
          <t>Nhân viên điều hành đầu bến OCC</t>
        </is>
      </c>
      <c r="D20534" s="10" t="inlineStr">
        <is>
          <t>CÔNG TY LIÊN DOANH VẬN CHUYỂN QUỐC TẾ HẢI VÂN</t>
        </is>
      </c>
      <c r="E20534" s="10" t="inlineStr">
        <is>
          <t>Lương:10 Tr - 15 Tr VND</t>
        </is>
      </c>
      <c r="F20534" s="10" t="inlineStr">
        <is>
          <t>Đà Nẵng</t>
        </is>
      </c>
      <c r="G20534" s="10" t="inlineStr">
        <is>
          <t>6</t>
        </is>
      </c>
      <c r="H20534" s="10" t="inlineStr">
        <is>
          <t>23/03/2026</t>
        </is>
      </c>
      <c r="I20534" s="10" t="inlineStr">
        <is>
          <t>17/03/2026</t>
        </is>
      </c>
      <c r="J20534" s="10" t="inlineStr">
        <is>
          <t>Vận chuyển / Giao nhận / Kho vận</t>
        </is>
      </c>
      <c r="K20534" s="10" t="inlineStr">
        <is>
          <t>Chưa có kinh nghiệm</t>
        </is>
      </c>
      <c r="L20534" s="11">
        <f>HYPERLINK("https://careerviet.vn/vi/tim-viec-lam/nhan-vien-dieu-hanh-dau-ben-occ.35C66591.html","Xem chi tiết")</f>
        <v/>
      </c>
      <c r="M20534" s="10" t="n"/>
    </row>
    <row r="20535">
      <c r="B20535" s="7" t="n">
        <v>20533</v>
      </c>
      <c r="C20535" t="inlineStr">
        <is>
          <t>Trưởng Nhóm Đào Tạo</t>
        </is>
      </c>
      <c r="D20535" t="inlineStr">
        <is>
          <t>CÔNG TY CỔ PHẦN THIẾT BỊ CÔNG NGHIỆP GEIC</t>
        </is>
      </c>
      <c r="E20535" t="inlineStr">
        <is>
          <t>Lương:Cạnh tranh</t>
        </is>
      </c>
      <c r="F20535" t="inlineStr">
        <is>
          <t>Hà Nội</t>
        </is>
      </c>
      <c r="G20535" t="inlineStr">
        <is>
          <t>6</t>
        </is>
      </c>
      <c r="H20535" t="inlineStr">
        <is>
          <t>23/03/2026</t>
        </is>
      </c>
      <c r="I20535" t="inlineStr">
        <is>
          <t>17/03/2026</t>
        </is>
      </c>
      <c r="J20535" t="inlineStr">
        <is>
          <t>Giáo dục / Đào tạo, Hành chính / Thư ký, Quản lý điều hành</t>
        </is>
      </c>
      <c r="K20535" t="inlineStr">
        <is>
          <t>Trên 5 Năm</t>
        </is>
      </c>
      <c r="L20535" s="8">
        <f>HYPERLINK("https://careerviet.vn/vi/tim-viec-lam/truong-nhom-dao-tao.35C63936.html","Xem chi tiết")</f>
        <v/>
      </c>
    </row>
    <row r="20536">
      <c r="B20536" s="9" t="n">
        <v>20534</v>
      </c>
      <c r="C20536" s="10" t="inlineStr">
        <is>
          <t>NHÂN VIÊN KHO DƯỢC HỖ TRỢ CỤM TIỀN GIANG - VĨNH LONG</t>
        </is>
      </c>
      <c r="D20536" s="10" t="inlineStr">
        <is>
          <t>Công Ty Cổ Phần Vacxin Việt Nam</t>
        </is>
      </c>
      <c r="E20536" s="10" t="inlineStr">
        <is>
          <t>Lương:7 Tr - 9 Tr VND</t>
        </is>
      </c>
      <c r="F20536" s="10" t="inlineStr">
        <is>
          <t>Tiền Giang</t>
        </is>
      </c>
      <c r="G20536" s="10" t="inlineStr">
        <is>
          <t>6</t>
        </is>
      </c>
      <c r="H20536" s="10" t="inlineStr">
        <is>
          <t>23/03/2026</t>
        </is>
      </c>
      <c r="I20536" s="10" t="inlineStr">
        <is>
          <t>17/03/2026</t>
        </is>
      </c>
      <c r="J20536" s="10" t="inlineStr">
        <is>
          <t>Dược phẩm/ Hóa Mỹ Phẩm, Y tế / Chăm sóc sức khỏe / Thẩm mỹ / Làm đẹp, Vận chuyển / Giao nhận / Kho vận</t>
        </is>
      </c>
      <c r="K20536" s="10" t="inlineStr">
        <is>
          <t>N/A</t>
        </is>
      </c>
      <c r="L20536" s="11">
        <f>HYPERLINK("https://careerviet.vn/vi/tim-viec-lam/nhan-vien-kho-duoc-ho-tro-cum-tien-giang-vinh-long.35C6396D.html","Xem chi tiết")</f>
        <v/>
      </c>
      <c r="M20536" s="10" t="n"/>
    </row>
    <row r="20537">
      <c r="B20537" s="7" t="n">
        <v>20535</v>
      </c>
      <c r="C20537" t="inlineStr">
        <is>
          <t>NHÂN VIÊN QC</t>
        </is>
      </c>
      <c r="D20537" t="inlineStr">
        <is>
          <t>Công Ty CP Tập Đoàn Kỹ Nghệ Gỗ Trường Thành</t>
        </is>
      </c>
      <c r="E20537" t="inlineStr">
        <is>
          <t>Lương:8 Tr - 14 Tr VND</t>
        </is>
      </c>
      <c r="F20537" t="inlineStr">
        <is>
          <t>Bình Dương</t>
        </is>
      </c>
      <c r="G20537" t="inlineStr">
        <is>
          <t>6</t>
        </is>
      </c>
      <c r="H20537" t="inlineStr">
        <is>
          <t>23/03/2026</t>
        </is>
      </c>
      <c r="I20537" t="inlineStr">
        <is>
          <t>17/03/2026</t>
        </is>
      </c>
      <c r="J20537" t="inlineStr">
        <is>
          <t>Quản lý chất lượng (QA/QC), Nội ngoại thất</t>
        </is>
      </c>
      <c r="K20537" t="inlineStr">
        <is>
          <t>1 - 2 Năm</t>
        </is>
      </c>
      <c r="L20537" s="8">
        <f>HYPERLINK("https://careerviet.vn/vi/tim-viec-lam/nhan-vien-qc.35C66527.html","Xem chi tiết")</f>
        <v/>
      </c>
    </row>
    <row r="20538">
      <c r="B20538" s="9" t="n">
        <v>20536</v>
      </c>
      <c r="C20538" s="10" t="inlineStr">
        <is>
          <t>[BSV]_[G1] - CSKH Làm ViệcTổng Đài Viettel – Công Việc Bền Vững – Phúc Lợi Đầy Đủ</t>
        </is>
      </c>
      <c r="D20538" s="10" t="inlineStr">
        <is>
          <t>BellSystem24-Việt Nam</t>
        </is>
      </c>
      <c r="E20538" s="10" t="inlineStr">
        <is>
          <t>Lương:7 Tr - 10 Tr VND</t>
        </is>
      </c>
      <c r="F20538" s="10" t="inlineStr">
        <is>
          <t>Hồ Chí Minh</t>
        </is>
      </c>
      <c r="G20538" s="10" t="inlineStr">
        <is>
          <t>6</t>
        </is>
      </c>
      <c r="H20538" s="10" t="inlineStr">
        <is>
          <t>23/03/2026</t>
        </is>
      </c>
      <c r="I20538" s="10" t="inlineStr">
        <is>
          <t>17/03/2026</t>
        </is>
      </c>
      <c r="J20538" s="10" t="inlineStr">
        <is>
          <t>Bưu chính viễn thông, Dịch vụ khách hàng, Mới tốt nghiệp / Thực tập</t>
        </is>
      </c>
      <c r="K20538" s="10" t="inlineStr">
        <is>
          <t>N/A</t>
        </is>
      </c>
      <c r="L20538" s="11">
        <f>HYPERLINK("https://careerviet.vn/vi/tim-viec-lam/bsv-_-g1-cskh-lam-viectong-dai-viettel-cong-viec-ben-vung-phuc-loi-day-du.35C63A06.html","Xem chi tiết")</f>
        <v/>
      </c>
      <c r="M20538" s="10" t="n"/>
    </row>
    <row r="20539">
      <c r="B20539" s="7" t="n">
        <v>20537</v>
      </c>
      <c r="C20539" t="inlineStr">
        <is>
          <t>Digital Marketing Executive</t>
        </is>
      </c>
      <c r="D20539" t="inlineStr">
        <is>
          <t>Công Ty TNHH Sơn Seamaster Việt Nam</t>
        </is>
      </c>
      <c r="E20539" t="inlineStr">
        <is>
          <t>Lương:11 Tr - 15 Tr VND</t>
        </is>
      </c>
      <c r="F20539" t="inlineStr">
        <is>
          <t>Bình Dương</t>
        </is>
      </c>
      <c r="G20539" t="inlineStr">
        <is>
          <t>6</t>
        </is>
      </c>
      <c r="H20539" t="inlineStr">
        <is>
          <t>23/03/2026</t>
        </is>
      </c>
      <c r="I20539" t="inlineStr">
        <is>
          <t>17/03/2026</t>
        </is>
      </c>
      <c r="J20539" t="inlineStr">
        <is>
          <t>Tiếp thị / Marketing</t>
        </is>
      </c>
      <c r="K20539" t="inlineStr">
        <is>
          <t>2 - 3 Năm</t>
        </is>
      </c>
      <c r="L20539" s="8">
        <f>HYPERLINK("https://careerviet.vn/vi/tim-viec-lam/digital-marketing-executive.35C639F5.html","Xem chi tiết")</f>
        <v/>
      </c>
    </row>
    <row r="20540">
      <c r="B20540" s="9" t="n">
        <v>20538</v>
      </c>
      <c r="C20540" s="10" t="inlineStr">
        <is>
          <t>Quality Engineer</t>
        </is>
      </c>
      <c r="D20540" s="10" t="inlineStr">
        <is>
          <t>CÔNG TY TNHH AMPHENOL TECHNOLOGY VIỆT NAM (AFOV)</t>
        </is>
      </c>
      <c r="E20540" s="10" t="inlineStr">
        <is>
          <t>Lương:Cạnh tranh</t>
        </is>
      </c>
      <c r="F20540" s="10" t="inlineStr">
        <is>
          <t>Long An</t>
        </is>
      </c>
      <c r="G20540" s="10" t="inlineStr">
        <is>
          <t>6</t>
        </is>
      </c>
      <c r="H20540" s="10" t="inlineStr">
        <is>
          <t>23/03/2026</t>
        </is>
      </c>
      <c r="I20540" s="10" t="inlineStr">
        <is>
          <t>17/03/2026</t>
        </is>
      </c>
      <c r="J20540" s="10" t="inlineStr">
        <is>
          <t>Cơ khí / Ô tô / Tự động hóa, Môi trường, Quản lý chất lượng (QA/QC)</t>
        </is>
      </c>
      <c r="K20540" s="10" t="inlineStr">
        <is>
          <t>Trên 2 Năm</t>
        </is>
      </c>
      <c r="L20540" s="11">
        <f>HYPERLINK("https://careerviet.vn/vi/tim-viec-lam/quality-engineer.35C63AC3.html","Xem chi tiết")</f>
        <v/>
      </c>
      <c r="M20540" s="10" t="n"/>
    </row>
    <row r="20541">
      <c r="B20541" s="7" t="n">
        <v>20539</v>
      </c>
      <c r="C20541" t="inlineStr">
        <is>
          <t>Nhân viên kế hoạch sản xuất</t>
        </is>
      </c>
      <c r="D20541" t="inlineStr">
        <is>
          <t>CÔNG TY TNHH DỆT LIÊN CHÂU</t>
        </is>
      </c>
      <c r="E20541" t="inlineStr">
        <is>
          <t>Lương:Cạnh tranh</t>
        </is>
      </c>
      <c r="F20541" t="inlineStr">
        <is>
          <t>Bình Dương</t>
        </is>
      </c>
      <c r="G20541" t="inlineStr">
        <is>
          <t>5</t>
        </is>
      </c>
      <c r="H20541" t="inlineStr">
        <is>
          <t>22/03/2026</t>
        </is>
      </c>
      <c r="I20541" t="inlineStr">
        <is>
          <t>17/03/2026</t>
        </is>
      </c>
      <c r="J20541" t="inlineStr">
        <is>
          <t>Sản xuất / Vận hành sản xuất, Dệt may / Da giày / Thời trang, Thống kê</t>
        </is>
      </c>
      <c r="K20541" t="inlineStr">
        <is>
          <t>1 - 2 Năm</t>
        </is>
      </c>
      <c r="L20541" s="8">
        <f>HYPERLINK("https://careerviet.vn/vi/tim-viec-lam/nhan-vien-ke-hoach-san-xuat.35C6633E.html","Xem chi tiết")</f>
        <v/>
      </c>
    </row>
    <row r="20542">
      <c r="B20542" s="9" t="n">
        <v>20540</v>
      </c>
      <c r="C20542" s="10" t="inlineStr">
        <is>
          <t>GIÁM SÁT SẢN XUẤT (PRODUCTION SUPERVISOR)</t>
        </is>
      </c>
      <c r="D20542" s="10" t="inlineStr">
        <is>
          <t>CÔNG TY TNHH AMPHENOL TECHNOLOGY VIỆT NAM (AFOV)</t>
        </is>
      </c>
      <c r="E20542" s="10" t="inlineStr">
        <is>
          <t>Lương:Cạnh tranh</t>
        </is>
      </c>
      <c r="F20542" s="10" t="inlineStr">
        <is>
          <t>Long An</t>
        </is>
      </c>
      <c r="G20542" s="10" t="inlineStr">
        <is>
          <t>30-04-2026</t>
        </is>
      </c>
      <c r="H20542" s="10" t="inlineStr">
        <is>
          <t>30/04/2026</t>
        </is>
      </c>
      <c r="I20542" s="10" t="inlineStr">
        <is>
          <t>17/03/2026</t>
        </is>
      </c>
      <c r="J20542" s="10" t="inlineStr">
        <is>
          <t>Cơ khí / Ô tô / Tự động hóa, Sản xuất / Vận hành sản xuất, Ngành khác</t>
        </is>
      </c>
      <c r="K20542" s="10" t="inlineStr">
        <is>
          <t>1 Năm</t>
        </is>
      </c>
      <c r="L20542" s="11">
        <f>HYPERLINK("https://careerviet.vn/vi/tim-viec-lam/giam-sat-san-xuat-production-supervisor.35C63AC2.html","Xem chi tiết")</f>
        <v/>
      </c>
      <c r="M20542" s="10" t="n"/>
    </row>
    <row r="20543">
      <c r="B20543" s="7" t="n">
        <v>20541</v>
      </c>
      <c r="C20543" t="inlineStr">
        <is>
          <t>Field sales executive (Tây Ninh)</t>
        </is>
      </c>
      <c r="D20543" t="inlineStr">
        <is>
          <t>S.F. EXPRESS LTD.</t>
        </is>
      </c>
      <c r="E20543" t="inlineStr">
        <is>
          <t>Lương:15 Tr - 60 Tr VND</t>
        </is>
      </c>
      <c r="F20543" t="inlineStr">
        <is>
          <t>Tây Ninh</t>
        </is>
      </c>
      <c r="G20543" t="inlineStr">
        <is>
          <t>6</t>
        </is>
      </c>
      <c r="H20543" t="inlineStr">
        <is>
          <t>23/03/2026</t>
        </is>
      </c>
      <c r="I20543" t="inlineStr">
        <is>
          <t>17/03/2026</t>
        </is>
      </c>
      <c r="J20543" t="inlineStr">
        <is>
          <t>Bán hàng / Kinh doanh, Vận chuyển / Giao nhận / Kho vận, Xuất nhập khẩu</t>
        </is>
      </c>
      <c r="K20543" t="inlineStr">
        <is>
          <t>1 - 2 Năm</t>
        </is>
      </c>
      <c r="L20543" s="8">
        <f>HYPERLINK("https://careerviet.vn/vi/tim-viec-lam/field-sales-executive-tay-ninh.35C639D6.html","Xem chi tiết")</f>
        <v/>
      </c>
    </row>
    <row r="20544">
      <c r="B20544" s="9" t="n">
        <v>20542</v>
      </c>
      <c r="C20544" s="10" t="inlineStr">
        <is>
          <t>Quận 7-Nhân viên nhập khẩu tiếng Anh/tiếng Trung</t>
        </is>
      </c>
      <c r="D20544" s="10" t="inlineStr">
        <is>
          <t>CÔNG TY TNHH POLYTEX FAR EASTERN (VIỆT NAM)</t>
        </is>
      </c>
      <c r="E20544" s="10" t="inlineStr">
        <is>
          <t>Lương:17 Tr - 25 Tr VND</t>
        </is>
      </c>
      <c r="F20544" s="10" t="inlineStr">
        <is>
          <t>Hồ Chí Minh</t>
        </is>
      </c>
      <c r="G20544" s="10" t="inlineStr">
        <is>
          <t>6</t>
        </is>
      </c>
      <c r="H20544" s="10" t="inlineStr">
        <is>
          <t>23/03/2026</t>
        </is>
      </c>
      <c r="I20544" s="10" t="inlineStr">
        <is>
          <t>17/03/2026</t>
        </is>
      </c>
      <c r="J20544" s="10" t="inlineStr">
        <is>
          <t>Hành chính / Thư ký, Xuất nhập khẩu, Ngành khác</t>
        </is>
      </c>
      <c r="K20544" s="10" t="inlineStr">
        <is>
          <t>5 - 10 Năm</t>
        </is>
      </c>
      <c r="L20544" s="11">
        <f>HYPERLINK("https://careerviet.vn/vi/tim-viec-lam/quan-7-nhan-vien-nhap-khau-tieng-anh-tieng-trung.35C638E8.html","Xem chi tiết")</f>
        <v/>
      </c>
      <c r="M20544" s="10" t="n"/>
    </row>
    <row r="20545">
      <c r="B20545" s="7" t="n">
        <v>20543</v>
      </c>
      <c r="C20545" t="inlineStr">
        <is>
          <t>Chuyên viên khách hàng cá nhân - Hải Phòng</t>
        </is>
      </c>
      <c r="D20545" t="inlineStr">
        <is>
          <t>Ngân hàng TMCP Đại Chúng Việt Nam - PVcomBank</t>
        </is>
      </c>
      <c r="E20545" t="inlineStr">
        <is>
          <t>Lương:Cạnh tranh</t>
        </is>
      </c>
      <c r="F20545" t="inlineStr">
        <is>
          <t>Hải Phòng</t>
        </is>
      </c>
      <c r="G20545" t="inlineStr">
        <is>
          <t>6</t>
        </is>
      </c>
      <c r="H20545" t="inlineStr">
        <is>
          <t>23/03/2026</t>
        </is>
      </c>
      <c r="I20545" t="inlineStr">
        <is>
          <t>17/03/2026</t>
        </is>
      </c>
      <c r="J20545" t="inlineStr">
        <is>
          <t>Ngân hàng</t>
        </is>
      </c>
      <c r="K20545" t="inlineStr">
        <is>
          <t>1 - 2 Năm</t>
        </is>
      </c>
      <c r="L20545" s="8">
        <f>HYPERLINK("https://careerviet.vn/vi/tim-viec-lam/chuyen-vien-khach-hang-ca-nhan-hai-phong.35C63A02.html","Xem chi tiết")</f>
        <v/>
      </c>
    </row>
    <row r="20546">
      <c r="B20546" s="9" t="n">
        <v>20544</v>
      </c>
      <c r="C20546" s="10" t="inlineStr">
        <is>
          <t>Chuyên viên mua hàng nội địa</t>
        </is>
      </c>
      <c r="D20546" s="10" t="inlineStr">
        <is>
          <t>CÔNG TY TNHH THƯƠNG MẠI VÀ DỊCH VỤ MINITI VIỆT NAM</t>
        </is>
      </c>
      <c r="E20546" s="10" t="inlineStr">
        <is>
          <t>Lương:14 Tr - 16 Tr VND</t>
        </is>
      </c>
      <c r="F20546" s="10" t="inlineStr">
        <is>
          <t>Hà Nội</t>
        </is>
      </c>
      <c r="G20546" s="10" t="inlineStr">
        <is>
          <t>6</t>
        </is>
      </c>
      <c r="H20546" s="10" t="inlineStr">
        <is>
          <t>23/03/2026</t>
        </is>
      </c>
      <c r="I20546" s="10" t="inlineStr">
        <is>
          <t>17/03/2026</t>
        </is>
      </c>
      <c r="J20546" s="10" t="inlineStr">
        <is>
          <t>Hàng gia dụng / Chăm sóc cá nhân, Thực phẩm &amp; Đồ uống, Thu mua / Vật tư</t>
        </is>
      </c>
      <c r="K20546" s="10" t="inlineStr">
        <is>
          <t>3 - 5 Năm</t>
        </is>
      </c>
      <c r="L20546" s="11">
        <f>HYPERLINK("https://careerviet.vn/vi/tim-viec-lam/chuyen-vien-mua-hang-noi-dia.35C63A69.html","Xem chi tiết")</f>
        <v/>
      </c>
      <c r="M20546" s="10" t="n"/>
    </row>
    <row r="20547">
      <c r="B20547" s="7" t="n">
        <v>20545</v>
      </c>
      <c r="C20547" t="inlineStr">
        <is>
          <t>Thực Tập Sinh Marketing</t>
        </is>
      </c>
      <c r="D20547" t="inlineStr">
        <is>
          <t>CÔNG TY LUẬT TNHH MINH TÚ</t>
        </is>
      </c>
      <c r="E20547" t="inlineStr">
        <is>
          <t>Lương:Cạnh tranh</t>
        </is>
      </c>
      <c r="F20547" t="inlineStr">
        <is>
          <t>Hồ Chí Minh</t>
        </is>
      </c>
      <c r="G20547" t="inlineStr">
        <is>
          <t>5</t>
        </is>
      </c>
      <c r="H20547" t="inlineStr">
        <is>
          <t>22/03/2026</t>
        </is>
      </c>
      <c r="I20547" t="inlineStr">
        <is>
          <t>17/03/2026</t>
        </is>
      </c>
      <c r="J20547" t="inlineStr">
        <is>
          <t>Mới tốt nghiệp / Thực tập, Tiếp thị trực tuyến, Quảng cáo / Đối ngoại / Truyền Thông</t>
        </is>
      </c>
      <c r="K20547" t="inlineStr">
        <is>
          <t>N/A</t>
        </is>
      </c>
      <c r="L20547" s="8">
        <f>HYPERLINK("https://careerviet.vn/vi/tim-viec-lam/thuc-tap-sinh-marketing.35C637CA.html","Xem chi tiết")</f>
        <v/>
      </c>
    </row>
    <row r="20548">
      <c r="B20548" s="9" t="n">
        <v>20546</v>
      </c>
      <c r="C20548" s="10" t="inlineStr">
        <is>
          <t>Junior front end</t>
        </is>
      </c>
      <c r="D20548" s="10" t="inlineStr">
        <is>
          <t>CÔNG TY CỔ PHẨN TẬP ĐOÀN MK</t>
        </is>
      </c>
      <c r="E20548" s="10" t="inlineStr">
        <is>
          <t>Lương:Cạnh tranh</t>
        </is>
      </c>
      <c r="F20548" s="10" t="inlineStr">
        <is>
          <t>Hà Nội</t>
        </is>
      </c>
      <c r="G20548" s="10" t="inlineStr">
        <is>
          <t>6</t>
        </is>
      </c>
      <c r="H20548" s="10" t="inlineStr">
        <is>
          <t>23/03/2026</t>
        </is>
      </c>
      <c r="I20548" s="10" t="inlineStr">
        <is>
          <t>17/03/2026</t>
        </is>
      </c>
      <c r="J20548" s="10" t="inlineStr">
        <is>
          <t>CNTT - Phần mềm</t>
        </is>
      </c>
      <c r="K20548" s="10" t="inlineStr">
        <is>
          <t>1 - 5 Năm</t>
        </is>
      </c>
      <c r="L20548" s="11">
        <f>HYPERLINK("https://careerviet.vn/vi/tim-viec-lam/junior-front-end.35C66600.html","Xem chi tiết")</f>
        <v/>
      </c>
      <c r="M20548" s="10" t="n"/>
    </row>
    <row r="20549">
      <c r="B20549" s="7" t="n">
        <v>20547</v>
      </c>
      <c r="C20549" t="inlineStr">
        <is>
          <t>[Diễn Châu, Nghệ An] Chuyên viên/Chuyên viên cao cấp Khách hàng Doanh nghiệp</t>
        </is>
      </c>
      <c r="D20549" t="inlineStr">
        <is>
          <t>Ngân Hàng TMCP Tiên Phong (TPBank)</t>
        </is>
      </c>
      <c r="E20549" t="inlineStr">
        <is>
          <t>Lương:12 Tr - 20 Tr VND</t>
        </is>
      </c>
      <c r="F20549" t="inlineStr">
        <is>
          <t>Nghệ An</t>
        </is>
      </c>
      <c r="G20549" t="inlineStr">
        <is>
          <t>6</t>
        </is>
      </c>
      <c r="H20549" t="inlineStr">
        <is>
          <t>23/03/2026</t>
        </is>
      </c>
      <c r="I20549" t="inlineStr">
        <is>
          <t>17/03/2026</t>
        </is>
      </c>
      <c r="J20549" t="inlineStr">
        <is>
          <t>Ngân hàng, Tài chính / Đầu tư</t>
        </is>
      </c>
      <c r="K20549" t="inlineStr">
        <is>
          <t>1 - 3 Năm</t>
        </is>
      </c>
      <c r="L20549" s="8">
        <f>HYPERLINK("https://careerviet.vn/vi/tim-viec-lam/dien-chau-nghe-an-chuyen-vien-chuyen-vien-cao-cap-khach-hang-doanh-nghiep.35C664EF.html","Xem chi tiết")</f>
        <v/>
      </c>
    </row>
    <row r="20550">
      <c r="B20550" s="9" t="n">
        <v>20548</v>
      </c>
      <c r="C20550" s="10" t="inlineStr">
        <is>
          <t>Phó Giám Đốc Chi Nhánh Phụ Trách Vận Hành - [BAC A BANK - Chi nhánh Lào Cai]</t>
        </is>
      </c>
      <c r="D20550" s="10" t="inlineStr">
        <is>
          <t>Ngân Hàng Thương mại cổ phần Bắc Á- BAC A BANK</t>
        </is>
      </c>
      <c r="E20550" s="10" t="inlineStr">
        <is>
          <t>Lương:Cạnh tranh</t>
        </is>
      </c>
      <c r="F20550" s="10" t="inlineStr">
        <is>
          <t>Lào Cai</t>
        </is>
      </c>
      <c r="G20550" s="10" t="inlineStr">
        <is>
          <t>6</t>
        </is>
      </c>
      <c r="H20550" s="10" t="inlineStr">
        <is>
          <t>23/03/2026</t>
        </is>
      </c>
      <c r="I20550" s="10" t="inlineStr">
        <is>
          <t>17/03/2026</t>
        </is>
      </c>
      <c r="J20550" s="10" t="inlineStr">
        <is>
          <t>Ngân hàng, Quản lý điều hành, Tài chính / Đầu tư</t>
        </is>
      </c>
      <c r="K20550" s="10" t="inlineStr">
        <is>
          <t>5 - 10 Năm</t>
        </is>
      </c>
      <c r="L20550" s="11">
        <f>HYPERLINK("https://careerviet.vn/vi/tim-viec-lam/pho-giam-doc-chi-nhanh-phu-trach-van-hanh-bac-a-bank-chi-nhanh-lao-cai.35C66457.html","Xem chi tiết")</f>
        <v/>
      </c>
      <c r="M20550" s="10" t="n"/>
    </row>
    <row r="20551">
      <c r="B20551" s="7" t="n">
        <v>20549</v>
      </c>
      <c r="C20551" t="inlineStr">
        <is>
          <t>Nhân viên Kế toán thuế</t>
        </is>
      </c>
      <c r="D20551" t="inlineStr">
        <is>
          <t>Công ty CP thiết bị điện và xây dựng công nghiệp Việt Nam</t>
        </is>
      </c>
      <c r="E20551" t="inlineStr">
        <is>
          <t>Lương:15 Tr - 18 Tr VND</t>
        </is>
      </c>
      <c r="F20551" t="inlineStr">
        <is>
          <t>Hà Nội</t>
        </is>
      </c>
      <c r="G20551" t="inlineStr">
        <is>
          <t>6</t>
        </is>
      </c>
      <c r="H20551" t="inlineStr">
        <is>
          <t>23/03/2026</t>
        </is>
      </c>
      <c r="I20551" t="inlineStr">
        <is>
          <t>17/03/2026</t>
        </is>
      </c>
      <c r="J20551" t="inlineStr">
        <is>
          <t>Kế toán / Kiểm toán</t>
        </is>
      </c>
      <c r="K20551" t="inlineStr">
        <is>
          <t>Trên 1 Năm</t>
        </is>
      </c>
      <c r="L20551" s="8">
        <f>HYPERLINK("https://careerviet.vn/vi/tim-viec-lam/nhan-vien-ke-toan-thue.35C63ABD.html","Xem chi tiết")</f>
        <v/>
      </c>
    </row>
    <row r="20552">
      <c r="B20552" s="9" t="n">
        <v>20550</v>
      </c>
      <c r="C20552" s="10" t="inlineStr">
        <is>
          <t>Chuyên viên quy trình</t>
        </is>
      </c>
      <c r="D20552" s="10" t="inlineStr">
        <is>
          <t>Công Ty Cổ Phần Hai Bốn Bảy</t>
        </is>
      </c>
      <c r="E20552" s="10" t="inlineStr">
        <is>
          <t>Lương:20 Tr - 30 Tr VND</t>
        </is>
      </c>
      <c r="F20552" s="10" t="inlineStr">
        <is>
          <t>Hồ Chí Minh</t>
        </is>
      </c>
      <c r="G20552" s="10" t="inlineStr">
        <is>
          <t>6</t>
        </is>
      </c>
      <c r="H20552" s="10" t="inlineStr">
        <is>
          <t>23/03/2026</t>
        </is>
      </c>
      <c r="I20552" s="10" t="inlineStr">
        <is>
          <t>17/03/2026</t>
        </is>
      </c>
      <c r="J20552" s="10" t="inlineStr">
        <is>
          <t>Vận chuyển / Giao nhận / Kho vận</t>
        </is>
      </c>
      <c r="K20552" s="10" t="inlineStr">
        <is>
          <t>2 - 5 Năm</t>
        </is>
      </c>
      <c r="L20552" s="11">
        <f>HYPERLINK("https://careerviet.vn/vi/tim-viec-lam/chuyen-vien-quy-trinh.35C66632.html","Xem chi tiết")</f>
        <v/>
      </c>
      <c r="M20552" s="10" t="n"/>
    </row>
    <row r="20553">
      <c r="B20553" s="7" t="n">
        <v>20551</v>
      </c>
      <c r="C20553" t="inlineStr">
        <is>
          <t>QA Manager</t>
        </is>
      </c>
      <c r="D20553" t="inlineStr">
        <is>
          <t>Thuan Phuong Group</t>
        </is>
      </c>
      <c r="E20553" t="inlineStr">
        <is>
          <t>Lương:Cạnh tranh</t>
        </is>
      </c>
      <c r="F20553" t="inlineStr">
        <is>
          <t>Hồ Chí Minh</t>
        </is>
      </c>
      <c r="G20553" t="inlineStr">
        <is>
          <t>6</t>
        </is>
      </c>
      <c r="H20553" t="inlineStr">
        <is>
          <t>23/03/2026</t>
        </is>
      </c>
      <c r="I20553" t="inlineStr">
        <is>
          <t>17/03/2026</t>
        </is>
      </c>
      <c r="J20553" t="inlineStr">
        <is>
          <t>Dệt may / Da giày / Thời trang, Quản lý chất lượng (QA/QC), Sản xuất / Vận hành sản xuất</t>
        </is>
      </c>
      <c r="K20553" t="inlineStr">
        <is>
          <t>5 - 10 Năm</t>
        </is>
      </c>
      <c r="L20553" s="8">
        <f>HYPERLINK("https://careerviet.vn/vi/tim-viec-lam/qa-manager.35C66593.html","Xem chi tiết")</f>
        <v/>
      </c>
    </row>
    <row r="20554">
      <c r="B20554" s="9" t="n">
        <v>20552</v>
      </c>
      <c r="C20554" s="10" t="inlineStr">
        <is>
          <t>Giao dịch viên - [BAC A BANK - Chi nhánh Hải Dương]</t>
        </is>
      </c>
      <c r="D20554" s="10" t="inlineStr">
        <is>
          <t>Ngân Hàng Thương mại cổ phần Bắc Á- BAC A BANK</t>
        </is>
      </c>
      <c r="E20554" s="10" t="inlineStr">
        <is>
          <t>Lương:Cạnh tranh</t>
        </is>
      </c>
      <c r="F20554" s="10" t="inlineStr">
        <is>
          <t>Hải Dương</t>
        </is>
      </c>
      <c r="G20554" s="10" t="inlineStr">
        <is>
          <t>5</t>
        </is>
      </c>
      <c r="H20554" s="10" t="inlineStr">
        <is>
          <t>22/03/2026</t>
        </is>
      </c>
      <c r="I20554" s="10" t="inlineStr">
        <is>
          <t>17/03/2026</t>
        </is>
      </c>
      <c r="J20554" s="10" t="inlineStr">
        <is>
          <t>Mới tốt nghiệp / Thực tập, Ngân hàng</t>
        </is>
      </c>
      <c r="K20554" s="10" t="inlineStr">
        <is>
          <t>Chưa có kinh nghiệm</t>
        </is>
      </c>
      <c r="L20554" s="11">
        <f>HYPERLINK("https://careerviet.vn/vi/tim-viec-lam/giao-dich-vien-bac-a-bank-chi-nhanh-hai-duong.35C66399.html","Xem chi tiết")</f>
        <v/>
      </c>
      <c r="M20554" s="10" t="n"/>
    </row>
    <row r="20555">
      <c r="B20555" s="7" t="n">
        <v>20553</v>
      </c>
      <c r="C20555" t="inlineStr">
        <is>
          <t>Trưởng Phòng Thu Hồi Nợ Hiện Trường - Miền Bắc - TA156</t>
        </is>
      </c>
      <c r="D20555" t="inlineStr">
        <is>
          <t>Ngân Hàng TMCP Việt Nam Thịnh Vượng - VPBANK</t>
        </is>
      </c>
      <c r="E20555" t="inlineStr">
        <is>
          <t>Lương:Cạnh tranh</t>
        </is>
      </c>
      <c r="F20555" t="inlineStr">
        <is>
          <t>Đồng Bằng Sông Hồng</t>
        </is>
      </c>
      <c r="G20555" t="inlineStr">
        <is>
          <t>5</t>
        </is>
      </c>
      <c r="H20555" t="inlineStr">
        <is>
          <t>22/03/2026</t>
        </is>
      </c>
      <c r="I20555" t="inlineStr">
        <is>
          <t>17/03/2026</t>
        </is>
      </c>
      <c r="J20555" t="inlineStr">
        <is>
          <t>Luật / Pháp lý, Ngân hàng, Tài chính / Đầu tư</t>
        </is>
      </c>
      <c r="K20555" t="inlineStr">
        <is>
          <t>3 - 5 Năm</t>
        </is>
      </c>
      <c r="L20555" s="8">
        <f>HYPERLINK("https://careerviet.vn/vi/tim-viec-lam/truong-phong-thu-hoi-no-hien-truong-mien-bac-ta156.35C66422.html","Xem chi tiết")</f>
        <v/>
      </c>
    </row>
    <row r="20556">
      <c r="B20556" s="9" t="n">
        <v>20554</v>
      </c>
      <c r="C20556" s="10" t="inlineStr">
        <is>
          <t>NHÂN VIÊN KẾ TOÁN KÍCH HOẠT THẺ XE</t>
        </is>
      </c>
      <c r="D20556" s="10" t="inlineStr">
        <is>
          <t>Hoàng Huy Group</t>
        </is>
      </c>
      <c r="E20556" s="10" t="inlineStr">
        <is>
          <t>Lương:9 Tr - 9 Tr VND</t>
        </is>
      </c>
      <c r="F20556" s="10" t="inlineStr">
        <is>
          <t>Hà Nội</t>
        </is>
      </c>
      <c r="G20556" s="10" t="inlineStr">
        <is>
          <t>5</t>
        </is>
      </c>
      <c r="H20556" s="10" t="inlineStr">
        <is>
          <t>22/03/2026</t>
        </is>
      </c>
      <c r="I20556" s="10" t="inlineStr">
        <is>
          <t>17/03/2026</t>
        </is>
      </c>
      <c r="J20556" s="10" t="inlineStr">
        <is>
          <t>Kế toán / Kiểm toán</t>
        </is>
      </c>
      <c r="K20556" s="10" t="inlineStr">
        <is>
          <t>1 - 2 Năm</t>
        </is>
      </c>
      <c r="L20556" s="11">
        <f>HYPERLINK("https://careerviet.vn/vi/tim-viec-lam/nhan-vien-ke-toan-kich-hoat-the-xe.35C63834.html","Xem chi tiết")</f>
        <v/>
      </c>
      <c r="M20556" s="10" t="n"/>
    </row>
    <row r="20557">
      <c r="B20557" s="7" t="n">
        <v>20555</v>
      </c>
      <c r="C20557" t="inlineStr">
        <is>
          <t>Trợ lý Giám đốc kinh doanh</t>
        </is>
      </c>
      <c r="D20557" t="inlineStr">
        <is>
          <t>Công Ty Cổ Phần Thép Việt Xô Hà Nội</t>
        </is>
      </c>
      <c r="E20557" t="inlineStr">
        <is>
          <t>Lương:Cạnh tranh</t>
        </is>
      </c>
      <c r="F20557" t="inlineStr">
        <is>
          <t>Hà Nội</t>
        </is>
      </c>
      <c r="G20557" t="inlineStr">
        <is>
          <t>6</t>
        </is>
      </c>
      <c r="H20557" t="inlineStr">
        <is>
          <t>23/03/2026</t>
        </is>
      </c>
      <c r="I20557" t="inlineStr">
        <is>
          <t>17/03/2026</t>
        </is>
      </c>
      <c r="J20557" t="inlineStr">
        <is>
          <t>Tiếp thị / Marketing, Bán hàng / Kinh doanh, Hành chính / Thư ký</t>
        </is>
      </c>
      <c r="K20557" t="inlineStr">
        <is>
          <t>2 - 3 Năm</t>
        </is>
      </c>
      <c r="L20557" s="8">
        <f>HYPERLINK("https://careerviet.vn/vi/tim-viec-lam/tro-ly-giam-doc-kinh-doanh.35C63A6D.html","Xem chi tiết")</f>
        <v/>
      </c>
    </row>
    <row r="20558">
      <c r="B20558" s="9" t="n">
        <v>20556</v>
      </c>
      <c r="C20558" s="10" t="inlineStr">
        <is>
          <t>NSG- Nhân viên Kinh doanh Vui Chơi - Giải trí - Du lịch</t>
        </is>
      </c>
      <c r="D20558" s="10" t="inlineStr">
        <is>
          <t>Nova Service Group - Công ty Cổ phần Tập đoàn Nova Services</t>
        </is>
      </c>
      <c r="E20558" s="10" t="inlineStr">
        <is>
          <t>Lương:6 Tr - 12 Tr VND</t>
        </is>
      </c>
      <c r="F20558" s="10" t="inlineStr">
        <is>
          <t>Hồ Chí Minh</t>
        </is>
      </c>
      <c r="G20558" s="10" t="inlineStr">
        <is>
          <t>5</t>
        </is>
      </c>
      <c r="H20558" s="10" t="inlineStr">
        <is>
          <t>22/03/2026</t>
        </is>
      </c>
      <c r="I20558" s="10" t="inlineStr">
        <is>
          <t>17/03/2026</t>
        </is>
      </c>
      <c r="J20558" s="10" t="inlineStr">
        <is>
          <t>Bán hàng / Kinh doanh</t>
        </is>
      </c>
      <c r="K20558" s="10" t="inlineStr">
        <is>
          <t>1 - 10 Năm</t>
        </is>
      </c>
      <c r="L20558" s="11">
        <f>HYPERLINK("https://careerviet.vn/vi/tim-viec-lam/nsg-nhan-vien-kinh-doanh-vui-choi-giai-tri-du-lich.35C63736.html","Xem chi tiết")</f>
        <v/>
      </c>
      <c r="M20558" s="10" t="n"/>
    </row>
    <row r="20559">
      <c r="B20559" s="7" t="n">
        <v>20557</v>
      </c>
      <c r="C20559" t="inlineStr">
        <is>
          <t>Content Supervisor</t>
        </is>
      </c>
      <c r="D20559" t="inlineStr">
        <is>
          <t>CÔNG TY CỔ PHẦN MAC MARKETING</t>
        </is>
      </c>
      <c r="E20559" t="inlineStr">
        <is>
          <t>Lương:20 Tr - 28 Tr VND</t>
        </is>
      </c>
      <c r="F20559" t="inlineStr">
        <is>
          <t>Hồ Chí Minh</t>
        </is>
      </c>
      <c r="G20559" t="inlineStr">
        <is>
          <t>5</t>
        </is>
      </c>
      <c r="H20559" t="inlineStr">
        <is>
          <t>22/03/2026</t>
        </is>
      </c>
      <c r="I20559" t="inlineStr">
        <is>
          <t>17/03/2026</t>
        </is>
      </c>
      <c r="J20559" t="inlineStr">
        <is>
          <t>Tiếp thị / Marketing</t>
        </is>
      </c>
      <c r="K20559" t="inlineStr">
        <is>
          <t>2 - 3 Năm</t>
        </is>
      </c>
      <c r="L20559" s="8">
        <f>HYPERLINK("https://careerviet.vn/vi/tim-viec-lam/content-supervisor.35C661D7.html","Xem chi tiết")</f>
        <v/>
      </c>
    </row>
    <row r="20560">
      <c r="B20560" s="9" t="n">
        <v>20558</v>
      </c>
      <c r="C20560" s="10" t="inlineStr">
        <is>
          <t>NV/CV Thu hồi nợ tại nhà - Bình Dương - TA155 - ID267</t>
        </is>
      </c>
      <c r="D20560" s="10" t="inlineStr">
        <is>
          <t>Ngân Hàng TMCP Việt Nam Thịnh Vượng - VPBANK</t>
        </is>
      </c>
      <c r="E20560" s="10" t="inlineStr">
        <is>
          <t>Lương:Cạnh tranh</t>
        </is>
      </c>
      <c r="F20560" s="10" t="inlineStr">
        <is>
          <t>Bình DươngHồ Chí Minh</t>
        </is>
      </c>
      <c r="G20560" s="10" t="inlineStr">
        <is>
          <t>5</t>
        </is>
      </c>
      <c r="H20560" s="10" t="inlineStr">
        <is>
          <t>22/03/2026</t>
        </is>
      </c>
      <c r="I20560" s="10" t="inlineStr">
        <is>
          <t>17/03/2026</t>
        </is>
      </c>
      <c r="J20560" s="10" t="inlineStr">
        <is>
          <t>Bán hàng / Kinh doanh, Ngân hàng, Tài chính / Đầu tư</t>
        </is>
      </c>
      <c r="K20560" s="10" t="inlineStr">
        <is>
          <t>Chưa có kinh nghiệm</t>
        </is>
      </c>
      <c r="L20560" s="11">
        <f>HYPERLINK("https://careerviet.vn/vi/tim-viec-lam/nv-cv-thu-hoi-no-tai-nha-binh-duong-ta155-id267.35C63790.html","Xem chi tiết")</f>
        <v/>
      </c>
      <c r="M20560" s="10" t="n"/>
    </row>
    <row r="20561">
      <c r="B20561" s="7" t="n">
        <v>20559</v>
      </c>
      <c r="C20561" t="inlineStr">
        <is>
          <t>IE Manager</t>
        </is>
      </c>
      <c r="D20561" t="inlineStr">
        <is>
          <t>Techtronic Industries Vietnam Manufacturing Company Limited</t>
        </is>
      </c>
      <c r="E20561" t="inlineStr">
        <is>
          <t>Lương:Cạnh tranh</t>
        </is>
      </c>
      <c r="F20561" t="inlineStr">
        <is>
          <t>Hồ Chí Minh</t>
        </is>
      </c>
      <c r="G20561" t="inlineStr">
        <is>
          <t>5</t>
        </is>
      </c>
      <c r="H20561" t="inlineStr">
        <is>
          <t>22/03/2026</t>
        </is>
      </c>
      <c r="I20561" t="inlineStr">
        <is>
          <t>17/03/2026</t>
        </is>
      </c>
      <c r="J20561" t="inlineStr">
        <is>
          <t>Cơ khí / Ô tô / Tự động hóa, Sản xuất / Vận hành sản xuất, Điện / Điện tử / Điện lạnh / Điện công nghiệp</t>
        </is>
      </c>
      <c r="K20561" t="inlineStr">
        <is>
          <t>5 - 7 Năm</t>
        </is>
      </c>
      <c r="L20561" s="8">
        <f>HYPERLINK("https://careerviet.vn/vi/tim-viec-lam/ie-manager.35C662BF.html","Xem chi tiết")</f>
        <v/>
      </c>
    </row>
    <row r="20562">
      <c r="B20562" s="9" t="n">
        <v>20560</v>
      </c>
      <c r="C20562" s="10" t="inlineStr">
        <is>
          <t>Content OTA</t>
        </is>
      </c>
      <c r="D20562" s="10" t="inlineStr">
        <is>
          <t>Công Ty Cổ Phần A25 Hotel</t>
        </is>
      </c>
      <c r="E20562" s="10" t="inlineStr">
        <is>
          <t>Lương:14 Tr - 20 Tr VND</t>
        </is>
      </c>
      <c r="F20562" s="10" t="inlineStr">
        <is>
          <t>Hà NộiHồ Chí Minh</t>
        </is>
      </c>
      <c r="G20562" s="10" t="inlineStr">
        <is>
          <t>5</t>
        </is>
      </c>
      <c r="H20562" s="10" t="inlineStr">
        <is>
          <t>22/03/2026</t>
        </is>
      </c>
      <c r="I20562" s="10" t="inlineStr">
        <is>
          <t>17/03/2026</t>
        </is>
      </c>
      <c r="J20562" s="10" t="inlineStr">
        <is>
          <t>Tiếp thị / Marketing, Bán hàng / Kinh doanh, Nhà hàng / Khách sạn</t>
        </is>
      </c>
      <c r="K20562" s="10" t="inlineStr">
        <is>
          <t>1 - 2 Năm</t>
        </is>
      </c>
      <c r="L20562" s="11">
        <f>HYPERLINK("https://careerviet.vn/vi/tim-viec-lam/content-ota.35C663CE.html","Xem chi tiết")</f>
        <v/>
      </c>
      <c r="M20562" s="10" t="n"/>
    </row>
    <row r="20563">
      <c r="B20563" s="7" t="n">
        <v>20561</v>
      </c>
      <c r="C20563" t="inlineStr">
        <is>
          <t>Nhân viên sales admin</t>
        </is>
      </c>
      <c r="D20563" t="inlineStr">
        <is>
          <t>CÔNG TY TNHH ĐẦU TƯ ITS</t>
        </is>
      </c>
      <c r="E20563" t="inlineStr">
        <is>
          <t>Lương:9 Tr - 11 Tr VND</t>
        </is>
      </c>
      <c r="F20563" t="inlineStr">
        <is>
          <t>Hồ Chí Minh</t>
        </is>
      </c>
      <c r="G20563" t="inlineStr">
        <is>
          <t>5</t>
        </is>
      </c>
      <c r="H20563" t="inlineStr">
        <is>
          <t>22/03/2026</t>
        </is>
      </c>
      <c r="I20563" t="inlineStr">
        <is>
          <t>17/03/2026</t>
        </is>
      </c>
      <c r="J20563" t="inlineStr">
        <is>
          <t>Bán hàng / Kinh doanh, Bán Hàng Kỹ Thuật, Dược phẩm/ Hóa Mỹ Phẩm</t>
        </is>
      </c>
      <c r="K20563" t="inlineStr">
        <is>
          <t>1 - 2 Năm</t>
        </is>
      </c>
      <c r="L20563" s="8">
        <f>HYPERLINK("https://careerviet.vn/vi/tim-viec-lam/nhan-vien-sales-admin.35C6380B.html","Xem chi tiết")</f>
        <v/>
      </c>
    </row>
    <row r="20564">
      <c r="B20564" s="9" t="n">
        <v>20562</v>
      </c>
      <c r="C20564" s="10" t="inlineStr">
        <is>
          <t>Nhân viên kế toán thanh toán</t>
        </is>
      </c>
      <c r="D20564" s="10" t="inlineStr">
        <is>
          <t>Công ty TNHH Nesta</t>
        </is>
      </c>
      <c r="E20564" s="10" t="inlineStr">
        <is>
          <t>Lương:12 Tr - 17 Tr VND</t>
        </is>
      </c>
      <c r="F20564" s="10" t="inlineStr">
        <is>
          <t>Hưng Yên</t>
        </is>
      </c>
      <c r="G20564" s="10" t="inlineStr">
        <is>
          <t>5</t>
        </is>
      </c>
      <c r="H20564" s="10" t="inlineStr">
        <is>
          <t>22/03/2026</t>
        </is>
      </c>
      <c r="I20564" s="10" t="inlineStr">
        <is>
          <t>17/03/2026</t>
        </is>
      </c>
      <c r="J20564" s="10" t="inlineStr">
        <is>
          <t>Kế toán / Kiểm toán, Ngân hàng, Tài chính / Đầu tư</t>
        </is>
      </c>
      <c r="K20564" s="10" t="inlineStr">
        <is>
          <t>2 - 3 Năm</t>
        </is>
      </c>
      <c r="L20564" s="11">
        <f>HYPERLINK("https://careerviet.vn/vi/tim-viec-lam/nhan-vien-ke-toan-thanh-toan.35C66387.html","Xem chi tiết")</f>
        <v/>
      </c>
      <c r="M20564" s="10" t="n"/>
    </row>
    <row r="20565">
      <c r="B20565" s="7" t="n">
        <v>20563</v>
      </c>
      <c r="C20565" t="inlineStr">
        <is>
          <t>Chuyên Viên Kế Toán Chi Phí và Công Nợ</t>
        </is>
      </c>
      <c r="D20565" t="inlineStr">
        <is>
          <t>CÔNG TY CỔ PHẦN VUA NỆM</t>
        </is>
      </c>
      <c r="E20565" t="inlineStr">
        <is>
          <t>Lương:12 Tr - 16 Tr VND</t>
        </is>
      </c>
      <c r="F20565" t="inlineStr">
        <is>
          <t>Hà Nội</t>
        </is>
      </c>
      <c r="G20565" t="inlineStr">
        <is>
          <t>5</t>
        </is>
      </c>
      <c r="H20565" t="inlineStr">
        <is>
          <t>22/03/2026</t>
        </is>
      </c>
      <c r="I20565" t="inlineStr">
        <is>
          <t>17/03/2026</t>
        </is>
      </c>
      <c r="J20565" t="inlineStr">
        <is>
          <t>Kế toán / Kiểm toán</t>
        </is>
      </c>
      <c r="K20565" t="inlineStr">
        <is>
          <t>1 - 3 Năm</t>
        </is>
      </c>
      <c r="L20565" s="8">
        <f>HYPERLINK("https://careerviet.vn/vi/tim-viec-lam/chuyen-vien-ke-toan-chi-phi-va-cong-no.35C6387F.html","Xem chi tiết")</f>
        <v/>
      </c>
    </row>
    <row r="20566">
      <c r="B20566" s="9" t="n">
        <v>20564</v>
      </c>
      <c r="C20566" s="10" t="inlineStr">
        <is>
          <t>PĐG - Chuyên viên C&amp;B</t>
        </is>
      </c>
      <c r="D20566" s="10" t="inlineStr">
        <is>
          <t>Phu Dong Group</t>
        </is>
      </c>
      <c r="E20566" s="10" t="inlineStr">
        <is>
          <t>Lương:13 Tr - 15 Tr VND</t>
        </is>
      </c>
      <c r="F20566" s="10" t="inlineStr">
        <is>
          <t>Hồ Chí Minh</t>
        </is>
      </c>
      <c r="G20566" s="10" t="inlineStr">
        <is>
          <t>5</t>
        </is>
      </c>
      <c r="H20566" s="10" t="inlineStr">
        <is>
          <t>22/03/2026</t>
        </is>
      </c>
      <c r="I20566" s="10" t="inlineStr">
        <is>
          <t>17/03/2026</t>
        </is>
      </c>
      <c r="J20566" s="10" t="inlineStr">
        <is>
          <t>Bất động sản, Hành chính / Thư ký, Nhân sự</t>
        </is>
      </c>
      <c r="K20566" s="10" t="inlineStr">
        <is>
          <t>2 - 5 Năm</t>
        </is>
      </c>
      <c r="L20566" s="11">
        <f>HYPERLINK("https://careerviet.vn/vi/tim-viec-lam/pdg-chuyen-vien-c-b.35C663D8.html","Xem chi tiết")</f>
        <v/>
      </c>
      <c r="M20566" s="10" t="n"/>
    </row>
    <row r="20567">
      <c r="B20567" s="7" t="n">
        <v>20565</v>
      </c>
      <c r="C20567" t="inlineStr">
        <is>
          <t>Legal Counsel, Intellectual Property (Trademark, Copyright, Patent), Global e-Commerce Platform (Up to USD 4,000)</t>
        </is>
      </c>
      <c r="D20567" t="inlineStr">
        <is>
          <t>CÔNG TY TNHH CÔNG NGHỆ VÀ GIẢI PHÁP PHẦN MỀM CROSSIAN VIỆT NAM</t>
        </is>
      </c>
      <c r="E20567" t="inlineStr">
        <is>
          <t>Lương:Lên đến 4.000 USD</t>
        </is>
      </c>
      <c r="F20567" t="inlineStr">
        <is>
          <t>Hà Nội</t>
        </is>
      </c>
      <c r="G20567" t="inlineStr">
        <is>
          <t>5</t>
        </is>
      </c>
      <c r="H20567" t="inlineStr">
        <is>
          <t>22/03/2026</t>
        </is>
      </c>
      <c r="I20567" t="inlineStr">
        <is>
          <t>17/03/2026</t>
        </is>
      </c>
      <c r="J20567" t="inlineStr">
        <is>
          <t>Thương mại điện tử, Tài chính / Đầu tư, Luật / Pháp lý</t>
        </is>
      </c>
      <c r="K20567" t="inlineStr">
        <is>
          <t>Trên 7 Năm</t>
        </is>
      </c>
      <c r="L20567" s="8">
        <f>HYPERLINK("https://careerviet.vn/vi/tim-viec-lam/legal-counsel-intellectual-property-trademark-copyright-patent-global-e-commerce-platform-up-to-usd-4-000.35C637C3.html","Xem chi tiết")</f>
        <v/>
      </c>
    </row>
    <row r="20568">
      <c r="B20568" s="9" t="n">
        <v>20566</v>
      </c>
      <c r="C20568" s="10" t="inlineStr">
        <is>
          <t>Chuyên viên Ngân sách Dự toán</t>
        </is>
      </c>
      <c r="D20568" s="10" t="inlineStr">
        <is>
          <t>CÔNG TY CỔ PHẦN TẬP ĐOÀN ONSEN FUJI</t>
        </is>
      </c>
      <c r="E20568" s="10" t="inlineStr">
        <is>
          <t>Lương:25 Tr - 35 Tr VND</t>
        </is>
      </c>
      <c r="F20568" s="10" t="inlineStr">
        <is>
          <t>Hà Nội</t>
        </is>
      </c>
      <c r="G20568" s="10" t="inlineStr">
        <is>
          <t>5</t>
        </is>
      </c>
      <c r="H20568" s="10" t="inlineStr">
        <is>
          <t>22/03/2026</t>
        </is>
      </c>
      <c r="I20568" s="10" t="inlineStr">
        <is>
          <t>17/03/2026</t>
        </is>
      </c>
      <c r="J20568" s="10" t="inlineStr">
        <is>
          <t>Tài chính / Đầu tư, Xây dựng, Bất động sản</t>
        </is>
      </c>
      <c r="K20568" s="10" t="inlineStr">
        <is>
          <t>5 - 7 Năm</t>
        </is>
      </c>
      <c r="L20568" s="11">
        <f>HYPERLINK("https://careerviet.vn/vi/tim-viec-lam/chuyen-vien-ngan-sach-du-toan.35C663FB.html","Xem chi tiết")</f>
        <v/>
      </c>
      <c r="M20568" s="10" t="n"/>
    </row>
    <row r="20569">
      <c r="B20569" s="7" t="n">
        <v>20567</v>
      </c>
      <c r="C20569" t="inlineStr">
        <is>
          <t>Nhân viên Kế toán làm việc tại Lào</t>
        </is>
      </c>
      <c r="D20569" t="inlineStr">
        <is>
          <t>Tập Đoàn Tân Á Đại Thành</t>
        </is>
      </c>
      <c r="E20569" t="inlineStr">
        <is>
          <t>Lương:8 Tr - 8 Tr VND</t>
        </is>
      </c>
      <c r="F20569" t="inlineStr">
        <is>
          <t>Vientiane</t>
        </is>
      </c>
      <c r="G20569" t="inlineStr">
        <is>
          <t>5</t>
        </is>
      </c>
      <c r="H20569" t="inlineStr">
        <is>
          <t>22/03/2026</t>
        </is>
      </c>
      <c r="I20569" t="inlineStr">
        <is>
          <t>17/03/2026</t>
        </is>
      </c>
      <c r="J20569" t="inlineStr">
        <is>
          <t>Kế toán / Kiểm toán</t>
        </is>
      </c>
      <c r="K20569" t="inlineStr">
        <is>
          <t>Chưa có kinh nghiệm</t>
        </is>
      </c>
      <c r="L20569" s="8">
        <f>HYPERLINK("https://careerviet.vn/vi/tim-viec-lam/nhan-vien-ke-toan-lam-viec-tai-lao.35C63873.html","Xem chi tiết")</f>
        <v/>
      </c>
    </row>
    <row r="20570">
      <c r="B20570" s="9" t="n">
        <v>20568</v>
      </c>
      <c r="C20570" s="10" t="inlineStr">
        <is>
          <t>Trưởng phòng Tài chính</t>
        </is>
      </c>
      <c r="D20570" s="10" t="inlineStr">
        <is>
          <t>Công Ty Cổ Phần Xây Dựng CDC</t>
        </is>
      </c>
      <c r="E20570" s="10" t="inlineStr">
        <is>
          <t>Lương:Cạnh tranh</t>
        </is>
      </c>
      <c r="F20570" s="10" t="inlineStr">
        <is>
          <t>Hà Nội</t>
        </is>
      </c>
      <c r="G20570" s="10" t="inlineStr">
        <is>
          <t>5</t>
        </is>
      </c>
      <c r="H20570" s="10" t="inlineStr">
        <is>
          <t>22/03/2026</t>
        </is>
      </c>
      <c r="I20570" s="10" t="inlineStr">
        <is>
          <t>17/03/2026</t>
        </is>
      </c>
      <c r="J20570" s="10" t="inlineStr">
        <is>
          <t>Xây dựng</t>
        </is>
      </c>
      <c r="K20570" s="10" t="inlineStr">
        <is>
          <t>5 - 7 Năm</t>
        </is>
      </c>
      <c r="L20570" s="11">
        <f>HYPERLINK("https://careerviet.vn/vi/tim-viec-lam/truong-phong-tai-chinh.35C637A8.html","Xem chi tiết")</f>
        <v/>
      </c>
      <c r="M20570" s="10" t="n"/>
    </row>
    <row r="20571">
      <c r="B20571" s="7" t="n">
        <v>20569</v>
      </c>
      <c r="C20571" t="inlineStr">
        <is>
          <t>Cộng tác viên Quản lý Dịch vụ Giao dịch - Khối Vận hành</t>
        </is>
      </c>
      <c r="D20571" t="inlineStr">
        <is>
          <t>Ngân Hàng TMCP Tiên Phong (TPBank)</t>
        </is>
      </c>
      <c r="E20571" t="inlineStr">
        <is>
          <t>Lương:Cạnh tranh</t>
        </is>
      </c>
      <c r="F20571" t="inlineStr">
        <is>
          <t>Hà Nội</t>
        </is>
      </c>
      <c r="G20571" t="inlineStr">
        <is>
          <t>5</t>
        </is>
      </c>
      <c r="H20571" t="inlineStr">
        <is>
          <t>22/03/2026</t>
        </is>
      </c>
      <c r="I20571" t="inlineStr">
        <is>
          <t>17/03/2026</t>
        </is>
      </c>
      <c r="J20571" t="inlineStr">
        <is>
          <t>Kế toán / Kiểm toán, Ngân hàng, Tài chính / Đầu tư</t>
        </is>
      </c>
      <c r="K20571" t="inlineStr">
        <is>
          <t>N/A</t>
        </is>
      </c>
      <c r="L20571" s="8">
        <f>HYPERLINK("https://careerviet.vn/vi/tim-viec-lam/cong-tac-vien-quan-ly-dich-vu-giao-dich-khoi-van-hanh.35C6378B.html","Xem chi tiết")</f>
        <v/>
      </c>
    </row>
    <row r="20572">
      <c r="B20572" s="9" t="n">
        <v>20570</v>
      </c>
      <c r="C20572" s="10" t="inlineStr">
        <is>
          <t>Thực tập sinh Kế toán</t>
        </is>
      </c>
      <c r="D20572" s="10" t="inlineStr">
        <is>
          <t>Un-Available LTD Co.,</t>
        </is>
      </c>
      <c r="E20572" s="10" t="inlineStr">
        <is>
          <t>Lương:Lên đến 1 Tr VND</t>
        </is>
      </c>
      <c r="F20572" s="10" t="inlineStr">
        <is>
          <t>Hồ Chí Minh</t>
        </is>
      </c>
      <c r="G20572" s="10" t="inlineStr">
        <is>
          <t>5</t>
        </is>
      </c>
      <c r="H20572" s="10" t="inlineStr">
        <is>
          <t>22/03/2026</t>
        </is>
      </c>
      <c r="I20572" s="10" t="inlineStr">
        <is>
          <t>17/03/2026</t>
        </is>
      </c>
      <c r="J20572" s="10" t="inlineStr">
        <is>
          <t>Kế toán / Kiểm toán, Tài chính / Đầu tư, Mới tốt nghiệp / Thực tập</t>
        </is>
      </c>
      <c r="K20572" s="10" t="inlineStr">
        <is>
          <t>N/A</t>
        </is>
      </c>
      <c r="L20572" s="11">
        <f>HYPERLINK("https://careerviet.vn/vi/tim-viec-lam/thuc-tap-sinh-ke-toan.35C66298.html","Xem chi tiết")</f>
        <v/>
      </c>
      <c r="M20572" s="10" t="n"/>
    </row>
    <row r="20573">
      <c r="B20573" s="7" t="n">
        <v>20571</v>
      </c>
      <c r="C20573" t="inlineStr">
        <is>
          <t>Đại Diện Bán Hàng</t>
        </is>
      </c>
      <c r="D20573" t="inlineStr">
        <is>
          <t>Tập Đoàn Karofi Holding</t>
        </is>
      </c>
      <c r="E20573" t="inlineStr">
        <is>
          <t>Lương:16 Tr - 22 Tr VND</t>
        </is>
      </c>
      <c r="F20573" t="inlineStr">
        <is>
          <t>Đồng ThápĐồng NaiVĩnh Long</t>
        </is>
      </c>
      <c r="G20573" t="inlineStr">
        <is>
          <t>5</t>
        </is>
      </c>
      <c r="H20573" t="inlineStr">
        <is>
          <t>22/03/2026</t>
        </is>
      </c>
      <c r="I20573" t="inlineStr">
        <is>
          <t>17/03/2026</t>
        </is>
      </c>
      <c r="J20573" t="inlineStr">
        <is>
          <t>Bán lẻ / Bán sỉ, Bán hàng / Kinh doanh, Hàng gia dụng / Chăm sóc cá nhân</t>
        </is>
      </c>
      <c r="K20573" t="inlineStr">
        <is>
          <t>Trên 1 Năm</t>
        </is>
      </c>
      <c r="L20573" s="8">
        <f>HYPERLINK("https://careerviet.vn/vi/tim-viec-lam/dai-dien-ban-hang.35C638BB.html","Xem chi tiết")</f>
        <v/>
      </c>
    </row>
    <row r="20574">
      <c r="B20574" s="9" t="n">
        <v>20572</v>
      </c>
      <c r="C20574" s="10" t="inlineStr">
        <is>
          <t>CHUYÊN VIÊN KIỂM TRA CHẤT LƯỢNG - KCS</t>
        </is>
      </c>
      <c r="D20574" s="10" t="inlineStr">
        <is>
          <t>CÔNG TY TNHH MTV CHẾ TÁC VÀ KINH DOANH TRANG SỨC PNJ</t>
        </is>
      </c>
      <c r="E20574" s="10" t="inlineStr">
        <is>
          <t>Lương:13 Tr - 17 Tr VND</t>
        </is>
      </c>
      <c r="F20574" s="10" t="inlineStr">
        <is>
          <t>Long An</t>
        </is>
      </c>
      <c r="G20574" s="10" t="inlineStr">
        <is>
          <t>5</t>
        </is>
      </c>
      <c r="H20574" s="10" t="inlineStr">
        <is>
          <t>22/03/2026</t>
        </is>
      </c>
      <c r="I20574" s="10" t="inlineStr">
        <is>
          <t>17/03/2026</t>
        </is>
      </c>
      <c r="J20574" s="10" t="inlineStr">
        <is>
          <t>Sản xuất / Vận hành sản xuất, Quản lý chất lượng (QA/QC)</t>
        </is>
      </c>
      <c r="K20574" s="10" t="inlineStr">
        <is>
          <t>1 - 5 Năm</t>
        </is>
      </c>
      <c r="L20574" s="11">
        <f>HYPERLINK("https://careerviet.vn/vi/tim-viec-lam/chuyen-vien-kiem-tra-chat-luong-kcs.35C662A4.html","Xem chi tiết")</f>
        <v/>
      </c>
      <c r="M20574" s="10" t="n"/>
    </row>
    <row r="20575">
      <c r="B20575" s="7" t="n">
        <v>20573</v>
      </c>
      <c r="C20575" t="inlineStr">
        <is>
          <t>Nhân viên bảo trì điện - Bình Chánh</t>
        </is>
      </c>
      <c r="D20575" t="inlineStr">
        <is>
          <t>Công ty TNHH ADC</t>
        </is>
      </c>
      <c r="E20575" t="inlineStr">
        <is>
          <t>Lương:9 Tr - 11 Tr VND</t>
        </is>
      </c>
      <c r="F20575" t="inlineStr">
        <is>
          <t>Hồ Chí Minh</t>
        </is>
      </c>
      <c r="G20575" t="inlineStr">
        <is>
          <t>5</t>
        </is>
      </c>
      <c r="H20575" t="inlineStr">
        <is>
          <t>22/03/2026</t>
        </is>
      </c>
      <c r="I20575" t="inlineStr">
        <is>
          <t>17/03/2026</t>
        </is>
      </c>
      <c r="J20575" t="inlineStr">
        <is>
          <t>Bảo trì / Sửa chữa, Điện / Điện tử / Điện lạnh / Điện công nghiệp, Cơ khí / Ô tô / Tự động hóa</t>
        </is>
      </c>
      <c r="K20575" t="inlineStr">
        <is>
          <t>Lên đến 1 Năm</t>
        </is>
      </c>
      <c r="L20575" s="8">
        <f>HYPERLINK("https://careerviet.vn/vi/tim-viec-lam/nhan-vien-bao-tri-dien-binh-chanh.35C662FF.html","Xem chi tiết")</f>
        <v/>
      </c>
    </row>
    <row r="20576">
      <c r="B20576" s="9" t="n">
        <v>20574</v>
      </c>
      <c r="C20576" s="10" t="inlineStr">
        <is>
          <t>PARTNERSHIP MANAGER</t>
        </is>
      </c>
      <c r="D20576" s="10" t="inlineStr">
        <is>
          <t>Tập Đoàn CT Group Việt Nam</t>
        </is>
      </c>
      <c r="E20576" s="10" t="inlineStr">
        <is>
          <t>Lương:45 Tr - 55 Tr VND</t>
        </is>
      </c>
      <c r="F20576" s="10" t="inlineStr">
        <is>
          <t>Hồ Chí Minh</t>
        </is>
      </c>
      <c r="G20576" s="10" t="inlineStr">
        <is>
          <t>5</t>
        </is>
      </c>
      <c r="H20576" s="10" t="inlineStr">
        <is>
          <t>22/03/2026</t>
        </is>
      </c>
      <c r="I20576" s="10" t="inlineStr">
        <is>
          <t>17/03/2026</t>
        </is>
      </c>
      <c r="J20576" s="10" t="inlineStr">
        <is>
          <t>Bán hàng / Kinh doanh, Điện / Điện tử / Điện lạnh / Điện công nghiệp, Sản xuất / Vận hành sản xuất</t>
        </is>
      </c>
      <c r="K20576" s="10" t="inlineStr">
        <is>
          <t>5 - 8 Năm</t>
        </is>
      </c>
      <c r="L20576" s="11">
        <f>HYPERLINK("https://careerviet.vn/vi/tim-viec-lam/partnership-manager.35C6379C.html","Xem chi tiết")</f>
        <v/>
      </c>
      <c r="M20576" s="10" t="n"/>
    </row>
    <row r="20577">
      <c r="B20577" s="7" t="n">
        <v>20575</v>
      </c>
      <c r="C20577" t="inlineStr">
        <is>
          <t>Tư vấn viên (Trường bơi)</t>
        </is>
      </c>
      <c r="D20577" t="inlineStr">
        <is>
          <t>HỆ THỐNG GIÁO DỤC EDUFIT</t>
        </is>
      </c>
      <c r="E20577" t="inlineStr">
        <is>
          <t>Lương:8,5 Tr - 15 Tr VND</t>
        </is>
      </c>
      <c r="F20577" t="inlineStr">
        <is>
          <t>Hà Nội</t>
        </is>
      </c>
      <c r="G20577" t="inlineStr">
        <is>
          <t>5</t>
        </is>
      </c>
      <c r="H20577" t="inlineStr">
        <is>
          <t>22/03/2026</t>
        </is>
      </c>
      <c r="I20577" t="inlineStr">
        <is>
          <t>17/03/2026</t>
        </is>
      </c>
      <c r="J20577" t="inlineStr">
        <is>
          <t>Giáo dục / Đào tạo</t>
        </is>
      </c>
      <c r="K20577" t="inlineStr">
        <is>
          <t>Trên 1 Năm</t>
        </is>
      </c>
      <c r="L20577" s="8">
        <f>HYPERLINK("https://careerviet.vn/vi/tim-viec-lam/tu-van-vien-truong-boi.35C63319.html","Xem chi tiết")</f>
        <v/>
      </c>
    </row>
    <row r="20578">
      <c r="B20578" s="9" t="n">
        <v>20576</v>
      </c>
      <c r="C20578" s="10" t="inlineStr">
        <is>
          <t>Chuyên Viên Vận Hành Sàn Thương Mại Điện Tử Tiktok/Shoppe</t>
        </is>
      </c>
      <c r="D20578" s="10" t="inlineStr">
        <is>
          <t>Công ty đầu tư T&amp;L Việt Nam</t>
        </is>
      </c>
      <c r="E20578" s="10" t="inlineStr">
        <is>
          <t>Lương:14 Tr - 18 Tr VND</t>
        </is>
      </c>
      <c r="F20578" s="10" t="inlineStr">
        <is>
          <t>Hà Nội</t>
        </is>
      </c>
      <c r="G20578" s="10" t="inlineStr">
        <is>
          <t>5</t>
        </is>
      </c>
      <c r="H20578" s="10" t="inlineStr">
        <is>
          <t>22/03/2026</t>
        </is>
      </c>
      <c r="I20578" s="10" t="inlineStr">
        <is>
          <t>17/03/2026</t>
        </is>
      </c>
      <c r="J20578" s="10" t="inlineStr">
        <is>
          <t>Dệt may / Da giày / Thời trang, Tiếp thị / Marketing, Thương mại điện tử</t>
        </is>
      </c>
      <c r="K20578" s="10" t="inlineStr">
        <is>
          <t>1 - 2 Năm</t>
        </is>
      </c>
      <c r="L20578" s="11">
        <f>HYPERLINK("https://careerviet.vn/vi/tim-viec-lam/chuyen-vien-van-hanh-san-thuong-mai-dien-tu-tiktok-shoppe.35C6389D.html","Xem chi tiết")</f>
        <v/>
      </c>
      <c r="M20578" s="10" t="n"/>
    </row>
    <row r="20579">
      <c r="B20579" s="7" t="n">
        <v>20577</v>
      </c>
      <c r="C20579" t="inlineStr">
        <is>
          <t>Chuyên viên Tổ chức &amp; QHLĐ</t>
        </is>
      </c>
      <c r="D20579" t="inlineStr">
        <is>
          <t>Tập Đoàn Tân Á Đại Thành</t>
        </is>
      </c>
      <c r="E20579" t="inlineStr">
        <is>
          <t>Lương:9 Tr - 11 Tr VND</t>
        </is>
      </c>
      <c r="F20579" t="inlineStr">
        <is>
          <t>Hồ Chí Minh</t>
        </is>
      </c>
      <c r="G20579" t="inlineStr">
        <is>
          <t>5</t>
        </is>
      </c>
      <c r="H20579" t="inlineStr">
        <is>
          <t>22/03/2026</t>
        </is>
      </c>
      <c r="I20579" t="inlineStr">
        <is>
          <t>17/03/2026</t>
        </is>
      </c>
      <c r="J20579" t="inlineStr">
        <is>
          <t>Hành chính / Thư ký, Nhân sự</t>
        </is>
      </c>
      <c r="K20579" t="inlineStr">
        <is>
          <t>1 - 3 Năm</t>
        </is>
      </c>
      <c r="L20579" s="8">
        <f>HYPERLINK("https://careerviet.vn/vi/tim-viec-lam/chuyen-vien-to-chuc-qhld.35C6634F.html","Xem chi tiết")</f>
        <v/>
      </c>
    </row>
    <row r="20580">
      <c r="B20580" s="9" t="n">
        <v>20578</v>
      </c>
      <c r="C20580" s="10" t="inlineStr">
        <is>
          <t>[Urgent] CHUYÊN VIÊN KINH DOANH (Máy Xây Dựng)</t>
        </is>
      </c>
      <c r="D20580" s="10" t="inlineStr">
        <is>
          <t>CÔNG TY TNHH JP NELSON EQUIPMENT VIỆT NAM</t>
        </is>
      </c>
      <c r="E20580" s="10" t="inlineStr">
        <is>
          <t>Lương:15 Tr - 20 Tr VND</t>
        </is>
      </c>
      <c r="F20580" s="10" t="inlineStr">
        <is>
          <t>Đồng Nai</t>
        </is>
      </c>
      <c r="G20580" s="10" t="inlineStr">
        <is>
          <t>30-04-2026</t>
        </is>
      </c>
      <c r="H20580" s="10" t="inlineStr">
        <is>
          <t>30/04/2026</t>
        </is>
      </c>
      <c r="I20580" s="10" t="inlineStr">
        <is>
          <t>17/03/2026</t>
        </is>
      </c>
      <c r="J20580" s="10" t="inlineStr">
        <is>
          <t>Tiếp thị / Marketing, Cơ khí / Ô tô / Tự động hóa, Xây dựng</t>
        </is>
      </c>
      <c r="K20580" s="10" t="inlineStr">
        <is>
          <t>2 - 5 Năm</t>
        </is>
      </c>
      <c r="L20580" s="11">
        <f>HYPERLINK("https://careerviet.vn/vi/tim-viec-lam/urgent-chuyen-vien-kinh-doanh-may-xay-dung.35C662CF.html","Xem chi tiết")</f>
        <v/>
      </c>
      <c r="M20580" s="10" t="n"/>
    </row>
    <row r="20581">
      <c r="B20581" s="7" t="n">
        <v>20579</v>
      </c>
      <c r="C20581" t="inlineStr">
        <is>
          <t>SENIOR SALES - WASTEWATER TREAMENT</t>
        </is>
      </c>
      <c r="D20581" t="inlineStr">
        <is>
          <t>Công Ty Cổ Phần Hóa Chất Kỹ Thuật Kim Phong</t>
        </is>
      </c>
      <c r="E20581" t="inlineStr">
        <is>
          <t>Lương:Cạnh tranh</t>
        </is>
      </c>
      <c r="F20581" t="inlineStr">
        <is>
          <t>Hồ Chí Minh</t>
        </is>
      </c>
      <c r="G20581" t="inlineStr">
        <is>
          <t>5</t>
        </is>
      </c>
      <c r="H20581" t="inlineStr">
        <is>
          <t>22/03/2026</t>
        </is>
      </c>
      <c r="I20581" t="inlineStr">
        <is>
          <t>17/03/2026</t>
        </is>
      </c>
      <c r="J20581" t="inlineStr">
        <is>
          <t>Bán hàng / Kinh doanh, Thương mại điện tử, Môi trường</t>
        </is>
      </c>
      <c r="K20581" t="inlineStr">
        <is>
          <t>1 - 2 Năm</t>
        </is>
      </c>
      <c r="L20581" s="8">
        <f>HYPERLINK("https://careerviet.vn/vi/tim-viec-lam/senior-sales-wastewater-treament.35C6628C.html","Xem chi tiết")</f>
        <v/>
      </c>
    </row>
    <row r="20582">
      <c r="B20582" s="9" t="n">
        <v>20580</v>
      </c>
      <c r="C20582" s="10" t="inlineStr">
        <is>
          <t>Senior Strategic Consulting</t>
        </is>
      </c>
      <c r="D20582" s="10" t="inlineStr">
        <is>
          <t>Công Ty CP Vàng Bạc Đá Quý Phú Nhuận - PNJ</t>
        </is>
      </c>
      <c r="E20582" s="10" t="inlineStr">
        <is>
          <t>Lương:Cạnh tranh</t>
        </is>
      </c>
      <c r="F20582" s="10" t="inlineStr">
        <is>
          <t>Hồ Chí Minh</t>
        </is>
      </c>
      <c r="G20582" s="10" t="inlineStr">
        <is>
          <t>5</t>
        </is>
      </c>
      <c r="H20582" s="10" t="inlineStr">
        <is>
          <t>22/03/2026</t>
        </is>
      </c>
      <c r="I20582" s="10" t="inlineStr">
        <is>
          <t>17/03/2026</t>
        </is>
      </c>
      <c r="J20582" s="10" t="inlineStr">
        <is>
          <t>Bán lẻ / Bán sỉ, Tài chính / Đầu tư</t>
        </is>
      </c>
      <c r="K20582" s="10" t="inlineStr">
        <is>
          <t>4 - 6 Năm</t>
        </is>
      </c>
      <c r="L20582" s="11">
        <f>HYPERLINK("https://careerviet.vn/vi/tim-viec-lam/senior-strategic-consulting.35C662C9.html","Xem chi tiết")</f>
        <v/>
      </c>
      <c r="M20582" s="10" t="n"/>
    </row>
    <row r="20583">
      <c r="B20583" s="7" t="n">
        <v>20581</v>
      </c>
      <c r="C20583" t="inlineStr">
        <is>
          <t>Đại Diện Bán Hàng</t>
        </is>
      </c>
      <c r="D20583" t="inlineStr">
        <is>
          <t>Tập Đoàn Karofi Holding</t>
        </is>
      </c>
      <c r="E20583" t="inlineStr">
        <is>
          <t>Lương:16 Tr - 22 Tr VND</t>
        </is>
      </c>
      <c r="F20583" t="inlineStr">
        <is>
          <t>Phú YênBình ThuậnKiên Giang</t>
        </is>
      </c>
      <c r="G20583" t="inlineStr">
        <is>
          <t>5</t>
        </is>
      </c>
      <c r="H20583" t="inlineStr">
        <is>
          <t>22/03/2026</t>
        </is>
      </c>
      <c r="I20583" t="inlineStr">
        <is>
          <t>17/03/2026</t>
        </is>
      </c>
      <c r="J20583" t="inlineStr">
        <is>
          <t>Bán lẻ / Bán sỉ, Bán hàng / Kinh doanh, Hàng gia dụng / Chăm sóc cá nhân</t>
        </is>
      </c>
      <c r="K20583" t="inlineStr">
        <is>
          <t>Trên 1 Năm</t>
        </is>
      </c>
      <c r="L20583" s="8">
        <f>HYPERLINK("https://careerviet.vn/vi/tim-viec-lam/dai-dien-ban-hang.35C638BD.html","Xem chi tiết")</f>
        <v/>
      </c>
    </row>
    <row r="20584">
      <c r="B20584" s="9" t="n">
        <v>20582</v>
      </c>
      <c r="C20584" s="10" t="inlineStr">
        <is>
          <t>CHUYÊN VIÊN THIẾT KẾ CẢNH QUAN</t>
        </is>
      </c>
      <c r="D20584" s="10" t="inlineStr">
        <is>
          <t>Công Ty TNHH Sản Xuất Kinh Doanh Hai Thành</t>
        </is>
      </c>
      <c r="E20584" s="10" t="inlineStr">
        <is>
          <t>Lương:18 Tr - 20 Tr VND</t>
        </is>
      </c>
      <c r="F20584" s="10" t="inlineStr">
        <is>
          <t>Hồ Chí Minh</t>
        </is>
      </c>
      <c r="G20584" s="10" t="inlineStr">
        <is>
          <t>5</t>
        </is>
      </c>
      <c r="H20584" s="10" t="inlineStr">
        <is>
          <t>22/03/2026</t>
        </is>
      </c>
      <c r="I20584" s="10" t="inlineStr">
        <is>
          <t>17/03/2026</t>
        </is>
      </c>
      <c r="J20584" s="10" t="inlineStr">
        <is>
          <t>Nông nghiệp, Kiến trúc, Xây dựng</t>
        </is>
      </c>
      <c r="K20584" s="10" t="inlineStr">
        <is>
          <t>3 - 10 Năm</t>
        </is>
      </c>
      <c r="L20584" s="11">
        <f>HYPERLINK("https://careerviet.vn/vi/tim-viec-lam/chuyen-vien-thiet-ke-canh-quan.35C66329.html","Xem chi tiết")</f>
        <v/>
      </c>
      <c r="M20584" s="10" t="n"/>
    </row>
    <row r="20585">
      <c r="B20585" s="7" t="n">
        <v>20583</v>
      </c>
      <c r="C20585" t="inlineStr">
        <is>
          <t>Expat Teacher - HCMC</t>
        </is>
      </c>
      <c r="D20585" t="inlineStr">
        <is>
          <t>CareerViet's client</t>
        </is>
      </c>
      <c r="E20585" t="inlineStr">
        <is>
          <t>Lương:1.400 - 1.800 USD</t>
        </is>
      </c>
      <c r="F20585" t="inlineStr">
        <is>
          <t>Hồ Chí Minh</t>
        </is>
      </c>
      <c r="G20585" t="inlineStr">
        <is>
          <t>5</t>
        </is>
      </c>
      <c r="H20585" t="inlineStr">
        <is>
          <t>22/03/2026</t>
        </is>
      </c>
      <c r="I20585" t="inlineStr">
        <is>
          <t>17/03/2026</t>
        </is>
      </c>
      <c r="J20585" t="inlineStr">
        <is>
          <t>Giáo dục / Đào tạo</t>
        </is>
      </c>
      <c r="K20585" t="inlineStr">
        <is>
          <t>3 - 5 Năm</t>
        </is>
      </c>
      <c r="L20585" s="8">
        <f>HYPERLINK("https://careerviet.vn/vi/tim-viec-lam/expat-teacher-hcmc.35C636FB.html","Xem chi tiết")</f>
        <v/>
      </c>
    </row>
    <row r="20586">
      <c r="B20586" s="9" t="n">
        <v>20584</v>
      </c>
      <c r="C20586" s="10" t="inlineStr">
        <is>
          <t>Admin (Support for Marketing team) - Temp 6 months</t>
        </is>
      </c>
      <c r="D20586" s="10" t="inlineStr">
        <is>
          <t>Zuellig Pharma Viet Nam</t>
        </is>
      </c>
      <c r="E20586" s="10" t="inlineStr">
        <is>
          <t>Lương:Cạnh tranh</t>
        </is>
      </c>
      <c r="F20586" s="10" t="inlineStr">
        <is>
          <t>Hồ Chí Minh</t>
        </is>
      </c>
      <c r="G20586" s="10" t="inlineStr">
        <is>
          <t>5</t>
        </is>
      </c>
      <c r="H20586" s="10" t="inlineStr">
        <is>
          <t>22/03/2026</t>
        </is>
      </c>
      <c r="I20586" s="10" t="inlineStr">
        <is>
          <t>17/03/2026</t>
        </is>
      </c>
      <c r="J20586" s="10" t="inlineStr">
        <is>
          <t>Hành chính / Thư ký</t>
        </is>
      </c>
      <c r="K20586" s="10" t="inlineStr">
        <is>
          <t>1 - 5 Năm</t>
        </is>
      </c>
      <c r="L20586" s="11">
        <f>HYPERLINK("https://careerviet.vn/vi/tim-viec-lam/admin-support-for-marketing-team-temp-6-months.35C663E7.html","Xem chi tiết")</f>
        <v/>
      </c>
      <c r="M20586" s="10" t="n"/>
    </row>
    <row r="20587">
      <c r="B20587" s="7" t="n">
        <v>20585</v>
      </c>
      <c r="C20587" t="inlineStr">
        <is>
          <t>Chuyên viên pháp chế</t>
        </is>
      </c>
      <c r="D20587" t="inlineStr">
        <is>
          <t>GTEL ICT</t>
        </is>
      </c>
      <c r="E20587" t="inlineStr">
        <is>
          <t>Lương:10 Tr - 20 Tr VND</t>
        </is>
      </c>
      <c r="F20587" t="inlineStr">
        <is>
          <t>Hà Nội</t>
        </is>
      </c>
      <c r="G20587" t="inlineStr">
        <is>
          <t>5</t>
        </is>
      </c>
      <c r="H20587" t="inlineStr">
        <is>
          <t>22/03/2026</t>
        </is>
      </c>
      <c r="I20587" t="inlineStr">
        <is>
          <t>17/03/2026</t>
        </is>
      </c>
      <c r="J20587" t="inlineStr">
        <is>
          <t>Luật / Pháp lý, Hành chính / Thư ký</t>
        </is>
      </c>
      <c r="K20587" t="inlineStr">
        <is>
          <t>3 - 6 Năm</t>
        </is>
      </c>
      <c r="L20587" s="8">
        <f>HYPERLINK("https://careerviet.vn/vi/tim-viec-lam/chuyen-vien-phap-che.35C6631C.html","Xem chi tiết")</f>
        <v/>
      </c>
    </row>
    <row r="20588">
      <c r="B20588" s="9" t="n">
        <v>20586</v>
      </c>
      <c r="C20588" s="10" t="inlineStr">
        <is>
          <t>CHUYÊN VIÊN KINH DOANH CƯỚC QUỐC TẾ</t>
        </is>
      </c>
      <c r="D20588" s="10" t="inlineStr">
        <is>
          <t>Công Ty TNHH Smartlog Long Phú</t>
        </is>
      </c>
      <c r="E20588" s="10" t="inlineStr">
        <is>
          <t>Lương:Cạnh tranh</t>
        </is>
      </c>
      <c r="F20588" s="10" t="inlineStr">
        <is>
          <t>Bà Rịa - Vũng Tàu</t>
        </is>
      </c>
      <c r="G20588" s="10" t="inlineStr">
        <is>
          <t>5</t>
        </is>
      </c>
      <c r="H20588" s="10" t="inlineStr">
        <is>
          <t>22/03/2026</t>
        </is>
      </c>
      <c r="I20588" s="10" t="inlineStr">
        <is>
          <t>17/03/2026</t>
        </is>
      </c>
      <c r="J20588" s="10" t="inlineStr">
        <is>
          <t>Bán hàng / Kinh doanh, Vận chuyển / Giao nhận / Kho vận, Xuất nhập khẩu</t>
        </is>
      </c>
      <c r="K20588" s="10" t="inlineStr">
        <is>
          <t>1 - 5 Năm</t>
        </is>
      </c>
      <c r="L20588" s="11">
        <f>HYPERLINK("https://careerviet.vn/vi/tim-viec-lam/chuyen-vien-kinh-doanh-cuoc-quoc-te.35C63729.html","Xem chi tiết")</f>
        <v/>
      </c>
      <c r="M20588" s="10" t="n"/>
    </row>
    <row r="20589">
      <c r="B20589" s="7" t="n">
        <v>20587</v>
      </c>
      <c r="C20589" t="inlineStr">
        <is>
          <t>Nhân viên giặt là</t>
        </is>
      </c>
      <c r="D20589" t="inlineStr">
        <is>
          <t>Công Ty Cổ Phần A25 Hotel</t>
        </is>
      </c>
      <c r="E20589" t="inlineStr">
        <is>
          <t>Lương:11 Tr - 21 Tr VND</t>
        </is>
      </c>
      <c r="F20589" t="inlineStr">
        <is>
          <t>Hà Nội</t>
        </is>
      </c>
      <c r="G20589" t="inlineStr">
        <is>
          <t>5</t>
        </is>
      </c>
      <c r="H20589" t="inlineStr">
        <is>
          <t>22/03/2026</t>
        </is>
      </c>
      <c r="I20589" t="inlineStr">
        <is>
          <t>17/03/2026</t>
        </is>
      </c>
      <c r="J20589" t="inlineStr">
        <is>
          <t>Nhà hàng / Khách sạn, Lao động phổ thông, Mới tốt nghiệp / Thực tập</t>
        </is>
      </c>
      <c r="K20589" t="inlineStr">
        <is>
          <t>N/A</t>
        </is>
      </c>
      <c r="L20589" s="8">
        <f>HYPERLINK("https://careerviet.vn/vi/tim-viec-lam/nhan-vien-giat-la.35C663D7.html","Xem chi tiết")</f>
        <v/>
      </c>
    </row>
    <row r="20590">
      <c r="B20590" s="9" t="n">
        <v>20588</v>
      </c>
      <c r="C20590" s="10" t="inlineStr">
        <is>
          <t>[Bắc Ninh - Bắc Giang] _ Chuyên viên vận hành</t>
        </is>
      </c>
      <c r="D20590" s="10" t="inlineStr">
        <is>
          <t>Ngân Hàng TMCP Tiên Phong (TPBank)</t>
        </is>
      </c>
      <c r="E20590" s="10" t="inlineStr">
        <is>
          <t>Lương:12 Tr - 15 Tr VND</t>
        </is>
      </c>
      <c r="F20590" s="10" t="inlineStr">
        <is>
          <t>Bắc GiangBắc Ninh</t>
        </is>
      </c>
      <c r="G20590" s="10" t="inlineStr">
        <is>
          <t>5</t>
        </is>
      </c>
      <c r="H20590" s="10" t="inlineStr">
        <is>
          <t>22/03/2026</t>
        </is>
      </c>
      <c r="I20590" s="10" t="inlineStr">
        <is>
          <t>17/03/2026</t>
        </is>
      </c>
      <c r="J20590" s="10" t="inlineStr">
        <is>
          <t>Kế toán / Kiểm toán, Ngân hàng, Tài chính / Đầu tư</t>
        </is>
      </c>
      <c r="K20590" s="10" t="inlineStr">
        <is>
          <t>Chưa có kinh nghiệm</t>
        </is>
      </c>
      <c r="L20590" s="11">
        <f>HYPERLINK("https://careerviet.vn/vi/tim-viec-lam/bac-ninh-bac-giang-_-chuyen-vien-van-hanh.35C662FA.html","Xem chi tiết")</f>
        <v/>
      </c>
      <c r="M20590" s="10" t="n"/>
    </row>
    <row r="20591">
      <c r="B20591" s="7" t="n">
        <v>20589</v>
      </c>
      <c r="C20591" t="inlineStr">
        <is>
          <t>Nhân viên hành chính nhân sự</t>
        </is>
      </c>
      <c r="D20591" t="inlineStr">
        <is>
          <t>Công ty CP Truyền Thông &amp; Công Nghệ Khải Minh</t>
        </is>
      </c>
      <c r="E20591" t="inlineStr">
        <is>
          <t>Lương:8 Tr - 9 Tr VND</t>
        </is>
      </c>
      <c r="F20591" t="inlineStr">
        <is>
          <t>Hà Nội</t>
        </is>
      </c>
      <c r="G20591" t="inlineStr">
        <is>
          <t>5</t>
        </is>
      </c>
      <c r="H20591" t="inlineStr">
        <is>
          <t>22/03/2026</t>
        </is>
      </c>
      <c r="I20591" t="inlineStr">
        <is>
          <t>17/03/2026</t>
        </is>
      </c>
      <c r="J20591" t="inlineStr">
        <is>
          <t>Hành chính / Thư ký</t>
        </is>
      </c>
      <c r="K20591" t="inlineStr">
        <is>
          <t>Trên 1 Năm</t>
        </is>
      </c>
      <c r="L20591" s="8">
        <f>HYPERLINK("https://careerviet.vn/vi/tim-viec-lam/nhan-vien-hanh-chinh-nhan-su.35C63773.html","Xem chi tiết")</f>
        <v/>
      </c>
    </row>
    <row r="20592">
      <c r="B20592" s="9" t="n">
        <v>20590</v>
      </c>
      <c r="C20592" s="10" t="inlineStr">
        <is>
          <t>Sales Supervisor (Giám sát kinh doanh kênh MT)</t>
        </is>
      </c>
      <c r="D20592" s="10" t="inlineStr">
        <is>
          <t>Công ty cổ phần Nafoods Group</t>
        </is>
      </c>
      <c r="E20592" s="10" t="inlineStr">
        <is>
          <t>Lương:Cạnh tranh</t>
        </is>
      </c>
      <c r="F20592" s="10" t="inlineStr">
        <is>
          <t>Hồ Chí Minh</t>
        </is>
      </c>
      <c r="G20592" s="10" t="inlineStr">
        <is>
          <t>5</t>
        </is>
      </c>
      <c r="H20592" s="10" t="inlineStr">
        <is>
          <t>22/03/2026</t>
        </is>
      </c>
      <c r="I20592" s="10" t="inlineStr">
        <is>
          <t>17/03/2026</t>
        </is>
      </c>
      <c r="J20592" s="10" t="inlineStr">
        <is>
          <t>Bán lẻ / Bán sỉ, Bán hàng / Kinh doanh, Thực phẩm &amp; Đồ uống</t>
        </is>
      </c>
      <c r="K20592" s="10" t="inlineStr">
        <is>
          <t>2 - 3 Năm</t>
        </is>
      </c>
      <c r="L20592" s="11">
        <f>HYPERLINK("https://careerviet.vn/vi/tim-viec-lam/sales-supervisor-giam-sat-kinh-doanh-kenh-mt.35C662AD.html","Xem chi tiết")</f>
        <v/>
      </c>
      <c r="M20592" s="10" t="n"/>
    </row>
    <row r="20593">
      <c r="B20593" s="7" t="n">
        <v>20591</v>
      </c>
      <c r="C20593" t="inlineStr">
        <is>
          <t>Chuyên Viên Kiểm Soát Nội Bộ</t>
        </is>
      </c>
      <c r="D20593" t="inlineStr">
        <is>
          <t>Công ty Cổ phần Mediamart Việt Nam</t>
        </is>
      </c>
      <c r="E20593" t="inlineStr">
        <is>
          <t>Lương:15 Tr - 17 Tr VND</t>
        </is>
      </c>
      <c r="F20593" t="inlineStr">
        <is>
          <t>Hà Nội</t>
        </is>
      </c>
      <c r="G20593" t="inlineStr">
        <is>
          <t>5</t>
        </is>
      </c>
      <c r="H20593" t="inlineStr">
        <is>
          <t>22/03/2026</t>
        </is>
      </c>
      <c r="I20593" t="inlineStr">
        <is>
          <t>17/03/2026</t>
        </is>
      </c>
      <c r="J20593" t="inlineStr">
        <is>
          <t>Hành chính / Thư ký, Kế toán / Kiểm toán, Tài chính / Đầu tư</t>
        </is>
      </c>
      <c r="K20593" t="inlineStr">
        <is>
          <t>2 - 3 Năm</t>
        </is>
      </c>
      <c r="L20593" s="8">
        <f>HYPERLINK("https://careerviet.vn/vi/tim-viec-lam/chuyen-vien-kiem-soat-noi-bo.35C662E0.html","Xem chi tiết")</f>
        <v/>
      </c>
    </row>
    <row r="20594">
      <c r="B20594" s="9" t="n">
        <v>20592</v>
      </c>
      <c r="C20594" s="10" t="inlineStr">
        <is>
          <t>Giám đốc Quan hệ khách hàng FDI - TT FDI Miền Nam</t>
        </is>
      </c>
      <c r="D20594" s="10" t="inlineStr">
        <is>
          <t>Ngân Hàng TMCP Phương Đông - OCB</t>
        </is>
      </c>
      <c r="E20594" s="10" t="inlineStr">
        <is>
          <t>Lương:Cạnh tranh</t>
        </is>
      </c>
      <c r="F20594" s="10" t="inlineStr">
        <is>
          <t>Hồ Chí Minh</t>
        </is>
      </c>
      <c r="G20594" s="10" t="inlineStr">
        <is>
          <t>5</t>
        </is>
      </c>
      <c r="H20594" s="10" t="inlineStr">
        <is>
          <t>22/03/2026</t>
        </is>
      </c>
      <c r="I20594" s="10" t="inlineStr">
        <is>
          <t>17/03/2026</t>
        </is>
      </c>
      <c r="J20594" s="10" t="inlineStr">
        <is>
          <t>Ngân hàng, Tài chính / Đầu tư</t>
        </is>
      </c>
      <c r="K20594" s="10" t="inlineStr">
        <is>
          <t>5 - 10 Năm</t>
        </is>
      </c>
      <c r="L20594" s="11">
        <f>HYPERLINK("https://careerviet.vn/vi/tim-viec-lam/giam-doc-quan-he-khach-hang-fdi-tt-fdi-mien-nam.35C662B1.html","Xem chi tiết")</f>
        <v/>
      </c>
      <c r="M20594" s="10" t="n"/>
    </row>
    <row r="20595">
      <c r="B20595" s="7" t="n">
        <v>20593</v>
      </c>
      <c r="C20595" t="inlineStr">
        <is>
          <t>Content Executive</t>
        </is>
      </c>
      <c r="D20595" t="inlineStr">
        <is>
          <t>Vascara Group</t>
        </is>
      </c>
      <c r="E20595" t="inlineStr">
        <is>
          <t>Lương:Cạnh tranh</t>
        </is>
      </c>
      <c r="F20595" t="inlineStr">
        <is>
          <t>Hồ Chí Minh</t>
        </is>
      </c>
      <c r="G20595" t="inlineStr">
        <is>
          <t>5</t>
        </is>
      </c>
      <c r="H20595" t="inlineStr">
        <is>
          <t>22/03/2026</t>
        </is>
      </c>
      <c r="I20595" t="inlineStr">
        <is>
          <t>17/03/2026</t>
        </is>
      </c>
      <c r="J20595" t="inlineStr">
        <is>
          <t>Tiếp thị / Marketing, Thương mại điện tử, Truyền hình / Báo chí / Biên tập</t>
        </is>
      </c>
      <c r="K20595" t="inlineStr">
        <is>
          <t>1 - 2 Năm</t>
        </is>
      </c>
      <c r="L20595" s="8">
        <f>HYPERLINK("https://careerviet.vn/vi/tim-viec-lam/content-executive.35C6631B.html","Xem chi tiết")</f>
        <v/>
      </c>
    </row>
    <row r="20596">
      <c r="B20596" s="9" t="n">
        <v>20594</v>
      </c>
      <c r="C20596" s="10" t="inlineStr">
        <is>
          <t>Management Analyst for APAC region</t>
        </is>
      </c>
      <c r="D20596" s="10" t="inlineStr">
        <is>
          <t>Công Ty TNHH CJ Foods Việt Nam</t>
        </is>
      </c>
      <c r="E20596" s="10" t="inlineStr">
        <is>
          <t>Lương:Cạnh tranh</t>
        </is>
      </c>
      <c r="F20596" s="10" t="inlineStr">
        <is>
          <t>Hồ Chí Minh</t>
        </is>
      </c>
      <c r="G20596" s="10" t="inlineStr">
        <is>
          <t>5</t>
        </is>
      </c>
      <c r="H20596" s="10" t="inlineStr">
        <is>
          <t>22/03/2026</t>
        </is>
      </c>
      <c r="I20596" s="10" t="inlineStr">
        <is>
          <t>17/03/2026</t>
        </is>
      </c>
      <c r="J20596" s="10" t="inlineStr">
        <is>
          <t>Kế toán / Kiểm toán, Tài chính / Đầu tư, Ngành khác</t>
        </is>
      </c>
      <c r="K20596" s="10" t="inlineStr">
        <is>
          <t>3 - 7 Năm</t>
        </is>
      </c>
      <c r="L20596" s="11">
        <f>HYPERLINK("https://careerviet.vn/vi/tim-viec-lam/management-analyst-for-apac-region.35C66438.html","Xem chi tiết")</f>
        <v/>
      </c>
      <c r="M20596" s="10" t="n"/>
    </row>
    <row r="20597">
      <c r="B20597" s="7" t="n">
        <v>20595</v>
      </c>
      <c r="C20597" t="inlineStr">
        <is>
          <t>Nhân viên KCS (Nhà máy Củ Chi)</t>
        </is>
      </c>
      <c r="D20597" t="inlineStr">
        <is>
          <t>CÔNG TY CỔ PHẦN DÂY CÁP ĐIỆN VIỆT NAM - CADIVI</t>
        </is>
      </c>
      <c r="E20597" t="inlineStr">
        <is>
          <t>Lương:12 Tr - 14 Tr VND</t>
        </is>
      </c>
      <c r="F20597" t="inlineStr">
        <is>
          <t>Hồ Chí Minh</t>
        </is>
      </c>
      <c r="G20597" t="inlineStr">
        <is>
          <t>4</t>
        </is>
      </c>
      <c r="H20597" t="inlineStr">
        <is>
          <t>20/03/2026</t>
        </is>
      </c>
      <c r="I20597" t="inlineStr">
        <is>
          <t>17/03/2026</t>
        </is>
      </c>
      <c r="J20597" t="inlineStr">
        <is>
          <t>Điện / Điện tử / Điện lạnh / Điện công nghiệp, Cơ khí / Ô tô / Tự động hóa, Sản xuất / Vận hành sản xuất</t>
        </is>
      </c>
      <c r="K20597" t="inlineStr">
        <is>
          <t>1 - 2 Năm</t>
        </is>
      </c>
      <c r="L20597" s="8">
        <f>HYPERLINK("https://careerviet.vn/vi/tim-viec-lam/nhan-vien-kcs-nha-may-cu-chi.35C6608A.html","Xem chi tiết")</f>
        <v/>
      </c>
    </row>
    <row r="20598">
      <c r="B20598" s="9" t="n">
        <v>20596</v>
      </c>
      <c r="C20598" s="10" t="inlineStr">
        <is>
          <t>Kỹ sư thiết kế cơ điện M&amp;E</t>
        </is>
      </c>
      <c r="D20598" s="10" t="inlineStr">
        <is>
          <t>CÔNG TY CỔ PHẦN CÔNG NGHIỆP WELDCOM</t>
        </is>
      </c>
      <c r="E20598" s="10" t="inlineStr">
        <is>
          <t>Lương:15 Tr - 25 Tr VND</t>
        </is>
      </c>
      <c r="F20598" s="10" t="inlineStr">
        <is>
          <t>Hà Nội</t>
        </is>
      </c>
      <c r="G20598" s="10" t="inlineStr">
        <is>
          <t>5</t>
        </is>
      </c>
      <c r="H20598" s="10" t="inlineStr">
        <is>
          <t>22/03/2026</t>
        </is>
      </c>
      <c r="I20598" s="10" t="inlineStr">
        <is>
          <t>17/03/2026</t>
        </is>
      </c>
      <c r="J20598" s="10" t="inlineStr">
        <is>
          <t>Cơ khí / Ô tô / Tự động hóa, Điện / Điện tử / Điện lạnh / Điện công nghiệp</t>
        </is>
      </c>
      <c r="K20598" s="10" t="inlineStr">
        <is>
          <t>1 - 3 Năm</t>
        </is>
      </c>
      <c r="L20598" s="11">
        <f>HYPERLINK("https://careerviet.vn/vi/tim-viec-lam/ky-su-thiet-ke-co-dien-m-e.35C6634C.html","Xem chi tiết")</f>
        <v/>
      </c>
      <c r="M20598" s="10" t="n"/>
    </row>
    <row r="20599">
      <c r="B20599" s="7" t="n">
        <v>20597</v>
      </c>
      <c r="C20599" t="inlineStr">
        <is>
          <t>Chuyên Viên/Luật Sư Tố Tụng Tại Luật Minh Tú</t>
        </is>
      </c>
      <c r="D20599" t="inlineStr">
        <is>
          <t>CÔNG TY LUẬT TNHH MINH TÚ</t>
        </is>
      </c>
      <c r="E20599" t="inlineStr">
        <is>
          <t>Lương:Cạnh tranh</t>
        </is>
      </c>
      <c r="F20599" t="inlineStr">
        <is>
          <t>Hồ Chí Minh</t>
        </is>
      </c>
      <c r="G20599" t="inlineStr">
        <is>
          <t>5</t>
        </is>
      </c>
      <c r="H20599" t="inlineStr">
        <is>
          <t>22/03/2026</t>
        </is>
      </c>
      <c r="I20599" t="inlineStr">
        <is>
          <t>17/03/2026</t>
        </is>
      </c>
      <c r="J20599" t="inlineStr">
        <is>
          <t>Luật / Pháp lý, Hành chính / Thư ký, Tài chính / Đầu tư</t>
        </is>
      </c>
      <c r="K20599" t="inlineStr">
        <is>
          <t>Lên đến 1 Năm</t>
        </is>
      </c>
      <c r="L20599" s="8">
        <f>HYPERLINK("https://careerviet.vn/vi/tim-viec-lam/chuyen-vien-luat-su-to-tung-tai-luat-minh-tu.35C637CD.html","Xem chi tiết")</f>
        <v/>
      </c>
    </row>
    <row r="20600">
      <c r="B20600" s="9" t="n">
        <v>20598</v>
      </c>
      <c r="C20600" s="10" t="inlineStr">
        <is>
          <t>Giám sát Nhân sự Tổng hợp</t>
        </is>
      </c>
      <c r="D20600" s="10" t="inlineStr">
        <is>
          <t>IDOCEAN Co.,ltd</t>
        </is>
      </c>
      <c r="E20600" s="10" t="inlineStr">
        <is>
          <t>Lương:Cạnh tranh</t>
        </is>
      </c>
      <c r="F20600" s="10" t="inlineStr">
        <is>
          <t>Long An</t>
        </is>
      </c>
      <c r="G20600" s="10" t="inlineStr">
        <is>
          <t>3</t>
        </is>
      </c>
      <c r="H20600" s="10" t="inlineStr">
        <is>
          <t>20/03/2026</t>
        </is>
      </c>
      <c r="I20600" s="10" t="inlineStr">
        <is>
          <t>17/03/2026</t>
        </is>
      </c>
      <c r="J20600" s="10" t="inlineStr">
        <is>
          <t>Thực phẩm &amp; Đồ uống, Nhân sự, Luật / Pháp lý</t>
        </is>
      </c>
      <c r="K20600" s="10" t="inlineStr">
        <is>
          <t>3 - 10 Năm</t>
        </is>
      </c>
      <c r="L20600" s="11">
        <f>HYPERLINK("https://careerviet.vn/vi/tim-viec-lam/giam-sat-nhan-su-tong-hop.35C6365C.html","Xem chi tiết")</f>
        <v/>
      </c>
      <c r="M20600" s="10" t="n"/>
    </row>
    <row r="20601">
      <c r="B20601" s="7" t="n">
        <v>20599</v>
      </c>
      <c r="C20601" t="inlineStr">
        <is>
          <t>Kế Toán Kho</t>
        </is>
      </c>
      <c r="D20601" t="inlineStr">
        <is>
          <t>CÔNG TY TNHH TẬP ĐOÀN GTG</t>
        </is>
      </c>
      <c r="E20601" t="inlineStr">
        <is>
          <t>Lương:11 Tr - 13 Tr VND</t>
        </is>
      </c>
      <c r="F20601" t="inlineStr">
        <is>
          <t>Hà Nội</t>
        </is>
      </c>
      <c r="G20601" t="inlineStr">
        <is>
          <t>5</t>
        </is>
      </c>
      <c r="H20601" t="inlineStr">
        <is>
          <t>22/03/2026</t>
        </is>
      </c>
      <c r="I20601" t="inlineStr">
        <is>
          <t>17/03/2026</t>
        </is>
      </c>
      <c r="J20601" t="inlineStr">
        <is>
          <t>Kế toán / Kiểm toán, Thống kê, Vận chuyển / Giao nhận / Kho vận</t>
        </is>
      </c>
      <c r="K20601" t="inlineStr">
        <is>
          <t>Trên 1 Năm</t>
        </is>
      </c>
      <c r="L20601" s="8">
        <f>HYPERLINK("https://careerviet.vn/vi/tim-viec-lam/ke-toan-kho.35C66379.html","Xem chi tiết")</f>
        <v/>
      </c>
    </row>
    <row r="20602">
      <c r="B20602" s="9" t="n">
        <v>20600</v>
      </c>
      <c r="C20602" s="10" t="inlineStr">
        <is>
          <t>Cylinder Warehouse Keeper (Nhân viên Kho Trục)</t>
        </is>
      </c>
      <c r="D20602" s="10" t="inlineStr">
        <is>
          <t>Huhtamaki (Vietnam) Ltd.</t>
        </is>
      </c>
      <c r="E20602" s="10" t="inlineStr">
        <is>
          <t>Lương:8 Tr - 15 Tr VND</t>
        </is>
      </c>
      <c r="F20602" s="10" t="inlineStr">
        <is>
          <t>Bình Dương</t>
        </is>
      </c>
      <c r="G20602" s="10" t="inlineStr">
        <is>
          <t>5</t>
        </is>
      </c>
      <c r="H20602" s="10" t="inlineStr">
        <is>
          <t>22/03/2026</t>
        </is>
      </c>
      <c r="I20602" s="10" t="inlineStr">
        <is>
          <t>17/03/2026</t>
        </is>
      </c>
      <c r="J20602" s="10" t="inlineStr">
        <is>
          <t>Vận chuyển / Giao nhận / Kho vận, Dệt may / Da giày / Thời trang, Lao động phổ thông</t>
        </is>
      </c>
      <c r="K20602" s="10" t="inlineStr">
        <is>
          <t>Chưa có kinh nghiệm</t>
        </is>
      </c>
      <c r="L20602" s="11">
        <f>HYPERLINK("https://careerviet.vn/vi/tim-viec-lam/cylinder-warehouse-keeper-nhan-vien-kho-truc.35C663E1.html","Xem chi tiết")</f>
        <v/>
      </c>
      <c r="M20602" s="10" t="n"/>
    </row>
    <row r="20603">
      <c r="B20603" s="7" t="n">
        <v>20601</v>
      </c>
      <c r="C20603" t="inlineStr">
        <is>
          <t>Trưởng kho (Xây dựng)</t>
        </is>
      </c>
      <c r="D20603" t="inlineStr">
        <is>
          <t>VINHOMES - Tập đoàn Vingroup</t>
        </is>
      </c>
      <c r="E20603" t="inlineStr">
        <is>
          <t>Lương:Cạnh tranh</t>
        </is>
      </c>
      <c r="F20603" t="inlineStr">
        <is>
          <t>Hải Phòng</t>
        </is>
      </c>
      <c r="G20603" t="inlineStr">
        <is>
          <t>3</t>
        </is>
      </c>
      <c r="H20603" t="inlineStr">
        <is>
          <t>20/03/2026</t>
        </is>
      </c>
      <c r="I20603" t="inlineStr">
        <is>
          <t>17/03/2026</t>
        </is>
      </c>
      <c r="J20603" t="inlineStr">
        <is>
          <t>Xây dựng, Bất động sản</t>
        </is>
      </c>
      <c r="K20603" t="inlineStr">
        <is>
          <t>5 - 10 Năm</t>
        </is>
      </c>
      <c r="L20603" s="8">
        <f>HYPERLINK("https://careerviet.vn/vi/tim-viec-lam/truong-kho-xay-dung.35C65F58.html","Xem chi tiết")</f>
        <v/>
      </c>
    </row>
    <row r="20604">
      <c r="B20604" s="9" t="n">
        <v>20602</v>
      </c>
      <c r="C20604" s="10" t="inlineStr">
        <is>
          <t>Giám Nhà Hàng F&amp;B ( Tiếng Hàn Cơ Bản)</t>
        </is>
      </c>
      <c r="D20604" s="10" t="inlineStr">
        <is>
          <t>Công ty TNHH Sản xuất Thương mại &amp; Dịch vụ Hoa Xinh</t>
        </is>
      </c>
      <c r="E20604" s="10" t="inlineStr">
        <is>
          <t>Lương:Cạnh tranh</t>
        </is>
      </c>
      <c r="F20604" s="10" t="inlineStr">
        <is>
          <t>Hồ Chí Minh</t>
        </is>
      </c>
      <c r="G20604" s="10" t="inlineStr">
        <is>
          <t>3</t>
        </is>
      </c>
      <c r="H20604" s="10" t="inlineStr">
        <is>
          <t>20/03/2026</t>
        </is>
      </c>
      <c r="I20604" s="10" t="inlineStr">
        <is>
          <t>17/03/2026</t>
        </is>
      </c>
      <c r="J20604" s="10" t="inlineStr">
        <is>
          <t>Thực phẩm &amp; Đồ uống, Biên phiên dịch, Nhà hàng / Khách sạn</t>
        </is>
      </c>
      <c r="K20604" s="10" t="inlineStr">
        <is>
          <t>1 - 5 Năm</t>
        </is>
      </c>
      <c r="L20604" s="11">
        <f>HYPERLINK("https://careerviet.vn/vi/tim-viec-lam/giam-nha-hang-f-b-tieng-han-co-ban.35C63657.html","Xem chi tiết")</f>
        <v/>
      </c>
      <c r="M20604" s="10" t="n"/>
    </row>
    <row r="20605">
      <c r="B20605" s="7" t="n">
        <v>20603</v>
      </c>
      <c r="C20605" t="inlineStr">
        <is>
          <t>Chuyên viên Tư vấn Tài chính Cá nhân PB - Vùng Bắc Trung Bộ</t>
        </is>
      </c>
      <c r="D20605" t="inlineStr">
        <is>
          <t>Ngân Hàng TMCP Quốc Tế Việt Nam</t>
        </is>
      </c>
      <c r="E20605" t="inlineStr">
        <is>
          <t>Lương:10 Tr - 25 Tr VND</t>
        </is>
      </c>
      <c r="F20605" t="inlineStr">
        <is>
          <t>Thanh HóaHà TĩnhNghệ An</t>
        </is>
      </c>
      <c r="G20605" t="inlineStr">
        <is>
          <t>3</t>
        </is>
      </c>
      <c r="H20605" t="inlineStr">
        <is>
          <t>20/03/2026</t>
        </is>
      </c>
      <c r="I20605" t="inlineStr">
        <is>
          <t>17/03/2026</t>
        </is>
      </c>
      <c r="J20605" t="inlineStr">
        <is>
          <t>Bán hàng / Kinh doanh, Ngân hàng, Tài chính / Đầu tư</t>
        </is>
      </c>
      <c r="K20605" t="inlineStr">
        <is>
          <t>Chưa có kinh nghiệm</t>
        </is>
      </c>
      <c r="L20605" s="8">
        <f>HYPERLINK("https://careerviet.vn/vi/tim-viec-lam/chuyen-vien-tu-van-tai-chinh-ca-nhan-pb-vung-bac-trung-bo.35C65FCC.html","Xem chi tiết")</f>
        <v/>
      </c>
    </row>
    <row r="20606">
      <c r="B20606" s="9" t="n">
        <v>20604</v>
      </c>
      <c r="C20606" s="10" t="inlineStr">
        <is>
          <t>Trưởng phòng Sản xuất</t>
        </is>
      </c>
      <c r="D20606" s="10" t="inlineStr">
        <is>
          <t>CÔNG TY TNHH ELECTRONIC TRIPOD VIỆT NAM (CHÂU ĐỨC)</t>
        </is>
      </c>
      <c r="E20606" s="10" t="inlineStr">
        <is>
          <t>Lương:Cạnh tranh</t>
        </is>
      </c>
      <c r="F20606" s="10" t="inlineStr">
        <is>
          <t>Bà Rịa - Vũng Tàu</t>
        </is>
      </c>
      <c r="G20606" s="10" t="inlineStr">
        <is>
          <t>3</t>
        </is>
      </c>
      <c r="H20606" s="10" t="inlineStr">
        <is>
          <t>20/03/2026</t>
        </is>
      </c>
      <c r="I20606" s="10" t="inlineStr">
        <is>
          <t>17/03/2026</t>
        </is>
      </c>
      <c r="J20606" s="10" t="inlineStr">
        <is>
          <t>Quản lý điều hành, Cơ khí / Ô tô / Tự động hóa, Điện / Điện tử / Điện lạnh / Điện công nghiệp</t>
        </is>
      </c>
      <c r="K20606" s="10" t="inlineStr">
        <is>
          <t>4 - 6 Năm</t>
        </is>
      </c>
      <c r="L20606" s="11">
        <f>HYPERLINK("https://careerviet.vn/vi/tim-viec-lam/truong-phong-san-xuat.35C65EF3.html","Xem chi tiết")</f>
        <v/>
      </c>
      <c r="M20606" s="10" t="n"/>
    </row>
    <row r="20607">
      <c r="B20607" s="7" t="n">
        <v>20605</v>
      </c>
      <c r="C20607" t="inlineStr">
        <is>
          <t>Nhân Viên Trực Page</t>
        </is>
      </c>
      <c r="D20607" t="inlineStr">
        <is>
          <t>CÔNG TY CỔ PHẦN VUA NỆM</t>
        </is>
      </c>
      <c r="E20607" t="inlineStr">
        <is>
          <t>Lương:10 Tr - 15 Tr VND</t>
        </is>
      </c>
      <c r="F20607" t="inlineStr">
        <is>
          <t>Hà Nội</t>
        </is>
      </c>
      <c r="G20607" t="inlineStr">
        <is>
          <t>5</t>
        </is>
      </c>
      <c r="H20607" t="inlineStr">
        <is>
          <t>22/03/2026</t>
        </is>
      </c>
      <c r="I20607" t="inlineStr">
        <is>
          <t>17/03/2026</t>
        </is>
      </c>
      <c r="J20607" t="inlineStr">
        <is>
          <t>Bán lẻ / Bán sỉ, Bán hàng / Kinh doanh, Tiếp thị trực tuyến</t>
        </is>
      </c>
      <c r="K20607" t="inlineStr">
        <is>
          <t>1 - 2 Năm</t>
        </is>
      </c>
      <c r="L20607" s="8">
        <f>HYPERLINK("https://careerviet.vn/vi/tim-viec-lam/nhan-vien-truc-page.35C63883.html","Xem chi tiết")</f>
        <v/>
      </c>
    </row>
    <row r="20608">
      <c r="B20608" s="9" t="n">
        <v>20606</v>
      </c>
      <c r="C20608" s="10" t="inlineStr">
        <is>
          <t>Kỹ sư Kinh doanh</t>
        </is>
      </c>
      <c r="D20608" s="10" t="inlineStr">
        <is>
          <t>CÔNG TY CỔ PHẦN CÔNG NGHIỆP WELDCOM</t>
        </is>
      </c>
      <c r="E20608" s="10" t="inlineStr">
        <is>
          <t>Lương:30 Tr - 40 Tr VND</t>
        </is>
      </c>
      <c r="F20608" s="10" t="inlineStr">
        <is>
          <t>Hà NộiHải PhòngHồ Chí Minh</t>
        </is>
      </c>
      <c r="G20608" s="10" t="inlineStr">
        <is>
          <t>5</t>
        </is>
      </c>
      <c r="H20608" s="10" t="inlineStr">
        <is>
          <t>22/03/2026</t>
        </is>
      </c>
      <c r="I20608" s="10" t="inlineStr">
        <is>
          <t>17/03/2026</t>
        </is>
      </c>
      <c r="J20608" s="10" t="inlineStr">
        <is>
          <t>Bán hàng / Kinh doanh, Cơ khí / Ô tô / Tự động hóa, Điện / Điện tử / Điện lạnh / Điện công nghiệp</t>
        </is>
      </c>
      <c r="K20608" s="10" t="inlineStr">
        <is>
          <t>1 - 3 Năm</t>
        </is>
      </c>
      <c r="L20608" s="11">
        <f>HYPERLINK("https://careerviet.vn/vi/tim-viec-lam/ky-su-kinh-doanh.35C66357.html","Xem chi tiết")</f>
        <v/>
      </c>
      <c r="M20608" s="10" t="n"/>
    </row>
    <row r="20609">
      <c r="B20609" s="7" t="n">
        <v>20607</v>
      </c>
      <c r="C20609" t="inlineStr">
        <is>
          <t>[TUYỂN GẤP] - NHÂN VIÊN KẾ TOÁN</t>
        </is>
      </c>
      <c r="D20609" t="inlineStr">
        <is>
          <t>CÔNG TY TNHH BILLION VIETNAM HOLDING</t>
        </is>
      </c>
      <c r="E20609" t="inlineStr">
        <is>
          <t>Lương:10 Tr - 18 Tr VND</t>
        </is>
      </c>
      <c r="F20609" t="inlineStr">
        <is>
          <t>Hồ Chí Minh</t>
        </is>
      </c>
      <c r="G20609" t="inlineStr">
        <is>
          <t>3</t>
        </is>
      </c>
      <c r="H20609" t="inlineStr">
        <is>
          <t>20/03/2026</t>
        </is>
      </c>
      <c r="I20609" t="inlineStr">
        <is>
          <t>17/03/2026</t>
        </is>
      </c>
      <c r="J20609" t="inlineStr">
        <is>
          <t>Kế toán / Kiểm toán, Tài chính / Đầu tư</t>
        </is>
      </c>
      <c r="K20609" t="inlineStr">
        <is>
          <t>1 - 2 Năm</t>
        </is>
      </c>
      <c r="L20609" s="8">
        <f>HYPERLINK("https://careerviet.vn/vi/tim-viec-lam/tuyen-gap-nhan-vien-ke-toan.35C65ED3.html","Xem chi tiết")</f>
        <v/>
      </c>
    </row>
    <row r="20610">
      <c r="B20610" s="9" t="n">
        <v>20608</v>
      </c>
      <c r="C20610" s="10" t="inlineStr">
        <is>
          <t>Chuyên viên Tuân thủ Công nghệ thông tin</t>
        </is>
      </c>
      <c r="D20610" s="10" t="inlineStr">
        <is>
          <t>BVBank - Ngân hàng Bản Việt</t>
        </is>
      </c>
      <c r="E20610" s="10" t="inlineStr">
        <is>
          <t>Lương:Cạnh tranh</t>
        </is>
      </c>
      <c r="F20610" s="10" t="inlineStr">
        <is>
          <t>Hồ Chí Minh</t>
        </is>
      </c>
      <c r="G20610" s="10" t="inlineStr">
        <is>
          <t>3</t>
        </is>
      </c>
      <c r="H20610" s="10" t="inlineStr">
        <is>
          <t>20/03/2026</t>
        </is>
      </c>
      <c r="I20610" s="10" t="inlineStr">
        <is>
          <t>17/03/2026</t>
        </is>
      </c>
      <c r="J20610" s="10" t="inlineStr">
        <is>
          <t>Ngân hàng, Kế toán / Kiểm toán, CNTT - Phần mềm</t>
        </is>
      </c>
      <c r="K20610" s="10" t="inlineStr">
        <is>
          <t>2 - 3 Năm</t>
        </is>
      </c>
      <c r="L20610" s="11">
        <f>HYPERLINK("https://careerviet.vn/vi/tim-viec-lam/chuyen-vien-tuan-thu-cong-nghe-thong-tin.35C65F6D.html","Xem chi tiết")</f>
        <v/>
      </c>
      <c r="M20610" s="10" t="n"/>
    </row>
    <row r="20611">
      <c r="B20611" s="7" t="n">
        <v>20609</v>
      </c>
      <c r="C20611" t="inlineStr">
        <is>
          <t>Bến Tre - Chuyên viên Quan hệ Khách hàng cá nhân</t>
        </is>
      </c>
      <c r="D20611" t="inlineStr">
        <is>
          <t>Ngân hàng TMCP Lộc Phát Việt Nam (LPBank)</t>
        </is>
      </c>
      <c r="E20611" t="inlineStr">
        <is>
          <t>Lương:Cạnh tranh</t>
        </is>
      </c>
      <c r="F20611" t="inlineStr">
        <is>
          <t>Bến Tre</t>
        </is>
      </c>
      <c r="G20611" t="inlineStr">
        <is>
          <t>3</t>
        </is>
      </c>
      <c r="H20611" t="inlineStr">
        <is>
          <t>20/03/2026</t>
        </is>
      </c>
      <c r="I20611" t="inlineStr">
        <is>
          <t>17/03/2026</t>
        </is>
      </c>
      <c r="J20611" t="inlineStr">
        <is>
          <t>Bán hàng / Kinh doanh, Kế toán / Kiểm toán, Ngân hàng</t>
        </is>
      </c>
      <c r="K20611" t="inlineStr">
        <is>
          <t>N/A</t>
        </is>
      </c>
      <c r="L20611" s="8">
        <f>HYPERLINK("https://careerviet.vn/vi/tim-viec-lam/ben-tre-chuyen-vien-quan-he-khach-hang-ca-nhan.35C65F44.html","Xem chi tiết")</f>
        <v/>
      </c>
    </row>
    <row r="20612">
      <c r="B20612" s="9" t="n">
        <v>20610</v>
      </c>
      <c r="C20612" s="10" t="inlineStr">
        <is>
          <t>Lễ tân cửa hàng</t>
        </is>
      </c>
      <c r="D20612" s="10" t="inlineStr">
        <is>
          <t>Công ty Vàng Bạc Đá Qúy Bảo Tín Minh Châu</t>
        </is>
      </c>
      <c r="E20612" s="10" t="inlineStr">
        <is>
          <t>Lương:9 Tr - 20 Tr VND</t>
        </is>
      </c>
      <c r="F20612" s="10" t="inlineStr">
        <is>
          <t>Hà Nội</t>
        </is>
      </c>
      <c r="G20612" s="10" t="inlineStr">
        <is>
          <t>3</t>
        </is>
      </c>
      <c r="H20612" s="10" t="inlineStr">
        <is>
          <t>20/03/2026</t>
        </is>
      </c>
      <c r="I20612" s="10" t="inlineStr">
        <is>
          <t>17/03/2026</t>
        </is>
      </c>
      <c r="J20612" s="10" t="inlineStr">
        <is>
          <t>Bán hàng / Kinh doanh</t>
        </is>
      </c>
      <c r="K20612" s="10" t="inlineStr">
        <is>
          <t>N/A</t>
        </is>
      </c>
      <c r="L20612" s="11">
        <f>HYPERLINK("https://careerviet.vn/vi/tim-viec-lam/le-tan-cua-hang.35C65EE2.html","Xem chi tiết")</f>
        <v/>
      </c>
      <c r="M20612" s="10" t="n"/>
    </row>
    <row r="20613">
      <c r="B20613" s="7" t="n">
        <v>20611</v>
      </c>
      <c r="C20613" t="inlineStr">
        <is>
          <t>Giám Sát Bán Hàng - Bà Rịa, Vũng Tàu</t>
        </is>
      </c>
      <c r="D20613" t="inlineStr">
        <is>
          <t>Coca-Cola Beverages Vietnam</t>
        </is>
      </c>
      <c r="E20613" t="inlineStr">
        <is>
          <t>Lương:8 Tr - 14 Tr VND</t>
        </is>
      </c>
      <c r="F20613" t="inlineStr">
        <is>
          <t>Bà Rịa - Vũng Tàu</t>
        </is>
      </c>
      <c r="G20613" t="inlineStr">
        <is>
          <t>3</t>
        </is>
      </c>
      <c r="H20613" t="inlineStr">
        <is>
          <t>20/03/2026</t>
        </is>
      </c>
      <c r="I20613" t="inlineStr">
        <is>
          <t>17/03/2026</t>
        </is>
      </c>
      <c r="J20613" t="inlineStr">
        <is>
          <t>Bán lẻ / Bán sỉ, Bán hàng / Kinh doanh</t>
        </is>
      </c>
      <c r="K20613" t="inlineStr">
        <is>
          <t>2 - 5 Năm</t>
        </is>
      </c>
      <c r="L20613" s="8">
        <f>HYPERLINK("https://careerviet.vn/vi/tim-viec-lam/giam-sat-ban-hang-ba-ria-vung-tau.35C65EB8.html","Xem chi tiết")</f>
        <v/>
      </c>
    </row>
    <row r="20614">
      <c r="B20614" s="9" t="n">
        <v>20612</v>
      </c>
      <c r="C20614" s="10" t="inlineStr">
        <is>
          <t>Nhân viên tuyển dụng</t>
        </is>
      </c>
      <c r="D20614" s="10" t="inlineStr">
        <is>
          <t>Công Ty Cổ Phần Panel Việt</t>
        </is>
      </c>
      <c r="E20614" s="10" t="inlineStr">
        <is>
          <t>Lương:10 Tr - 12 Tr VND</t>
        </is>
      </c>
      <c r="F20614" s="10" t="inlineStr">
        <is>
          <t>Hà Nội</t>
        </is>
      </c>
      <c r="G20614" s="10" t="inlineStr">
        <is>
          <t>3</t>
        </is>
      </c>
      <c r="H20614" s="10" t="inlineStr">
        <is>
          <t>20/03/2026</t>
        </is>
      </c>
      <c r="I20614" s="10" t="inlineStr">
        <is>
          <t>17/03/2026</t>
        </is>
      </c>
      <c r="J20614" s="10" t="inlineStr">
        <is>
          <t>Hành chính / Thư ký, Nhân sự</t>
        </is>
      </c>
      <c r="K20614" s="10" t="inlineStr">
        <is>
          <t>1 - 2 Năm</t>
        </is>
      </c>
      <c r="L20614" s="11">
        <f>HYPERLINK("https://careerviet.vn/vi/tim-viec-lam/nhan-vien-tuyen-dung.35C65E88.html","Xem chi tiết")</f>
        <v/>
      </c>
      <c r="M20614" s="10" t="n"/>
    </row>
    <row r="20615">
      <c r="B20615" s="7" t="n">
        <v>20613</v>
      </c>
      <c r="C20615" t="inlineStr">
        <is>
          <t>Kỹ sư QAQC Công trình</t>
        </is>
      </c>
      <c r="D20615" t="inlineStr">
        <is>
          <t>CÔNG TY CỔ PHẦN ĐẦU TƯ XÂY DỰNG HÀ TIÊN</t>
        </is>
      </c>
      <c r="E20615" t="inlineStr">
        <is>
          <t>Lương:15 Tr - 18 Tr VND</t>
        </is>
      </c>
      <c r="F20615" t="inlineStr">
        <is>
          <t>Hồ Chí MinhDak LakTiền Giang</t>
        </is>
      </c>
      <c r="G20615" t="inlineStr">
        <is>
          <t>3</t>
        </is>
      </c>
      <c r="H20615" t="inlineStr">
        <is>
          <t>20/03/2026</t>
        </is>
      </c>
      <c r="I20615" t="inlineStr">
        <is>
          <t>17/03/2026</t>
        </is>
      </c>
      <c r="J20615" t="inlineStr">
        <is>
          <t>Quản lý chất lượng (QA/QC), Kiến trúc, Bất động sản</t>
        </is>
      </c>
      <c r="K20615" t="inlineStr">
        <is>
          <t>2 - 3 Năm</t>
        </is>
      </c>
      <c r="L20615" s="8">
        <f>HYPERLINK("https://careerviet.vn/vi/tim-viec-lam/ky-su-qaqc-cong-trinh.35C6361F.html","Xem chi tiết")</f>
        <v/>
      </c>
    </row>
    <row r="20616">
      <c r="B20616" s="9" t="n">
        <v>20614</v>
      </c>
      <c r="C20616" s="10" t="inlineStr">
        <is>
          <t>[GLOBALX-NOVASERVICE] Kỹ Sư Cao Cấp Xây Dựng</t>
        </is>
      </c>
      <c r="D20616" s="10" t="inlineStr">
        <is>
          <t>CÔNG TY CỔ PHẦN TRẢI NGHIỆM TOÀN CẦU</t>
        </is>
      </c>
      <c r="E20616" s="10" t="inlineStr">
        <is>
          <t>Lương:Cạnh tranh</t>
        </is>
      </c>
      <c r="F20616" s="10" t="inlineStr">
        <is>
          <t>Hồ Chí Minh</t>
        </is>
      </c>
      <c r="G20616" s="10" t="inlineStr">
        <is>
          <t>3</t>
        </is>
      </c>
      <c r="H20616" s="10" t="inlineStr">
        <is>
          <t>20/03/2026</t>
        </is>
      </c>
      <c r="I20616" s="10" t="inlineStr">
        <is>
          <t>17/03/2026</t>
        </is>
      </c>
      <c r="J20616" s="10" t="inlineStr">
        <is>
          <t>Nhà hàng / Khách sạn</t>
        </is>
      </c>
      <c r="K20616" s="10" t="inlineStr">
        <is>
          <t>5 - 7 Năm</t>
        </is>
      </c>
      <c r="L20616" s="11">
        <f>HYPERLINK("https://careerviet.vn/vi/tim-viec-lam/globalx-novaservice-ky-su-cao-cap-xay-dung.35C65F43.html","Xem chi tiết")</f>
        <v/>
      </c>
      <c r="M20616" s="10" t="n"/>
    </row>
    <row r="20617">
      <c r="B20617" s="7" t="n">
        <v>20615</v>
      </c>
      <c r="C20617" t="inlineStr">
        <is>
          <t>Production Assistant</t>
        </is>
      </c>
      <c r="D20617" t="inlineStr">
        <is>
          <t>CJ Foodville Việt Nam</t>
        </is>
      </c>
      <c r="E20617" t="inlineStr">
        <is>
          <t>Lương:Cạnh tranh</t>
        </is>
      </c>
      <c r="F20617" t="inlineStr">
        <is>
          <t>Long An</t>
        </is>
      </c>
      <c r="G20617" t="inlineStr">
        <is>
          <t>3</t>
        </is>
      </c>
      <c r="H20617" t="inlineStr">
        <is>
          <t>20/03/2026</t>
        </is>
      </c>
      <c r="I20617" t="inlineStr">
        <is>
          <t>17/03/2026</t>
        </is>
      </c>
      <c r="J20617" t="inlineStr">
        <is>
          <t>Công nghệ thực phẩm / Dinh dưỡng, Sản xuất / Vận hành sản xuất, Thống kê</t>
        </is>
      </c>
      <c r="K20617" t="inlineStr">
        <is>
          <t>1 - 2 Năm</t>
        </is>
      </c>
      <c r="L20617" s="8">
        <f>HYPERLINK("https://careerviet.vn/vi/tim-viec-lam/production-assistant.35C65EF1.html","Xem chi tiết")</f>
        <v/>
      </c>
    </row>
    <row r="20618">
      <c r="B20618" s="9" t="n">
        <v>20616</v>
      </c>
      <c r="C20618" s="10" t="inlineStr">
        <is>
          <t>Nhân viên QC</t>
        </is>
      </c>
      <c r="D20618" s="10" t="inlineStr">
        <is>
          <t>CN CT TNHH Olam tại Gia Lai</t>
        </is>
      </c>
      <c r="E20618" s="10" t="inlineStr">
        <is>
          <t>Lương:Cạnh tranh</t>
        </is>
      </c>
      <c r="F20618" s="10" t="inlineStr">
        <is>
          <t>Gia Lai</t>
        </is>
      </c>
      <c r="G20618" s="10" t="inlineStr">
        <is>
          <t>3</t>
        </is>
      </c>
      <c r="H20618" s="10" t="inlineStr">
        <is>
          <t>20/03/2026</t>
        </is>
      </c>
      <c r="I20618" s="10" t="inlineStr">
        <is>
          <t>17/03/2026</t>
        </is>
      </c>
      <c r="J20618" s="10" t="inlineStr">
        <is>
          <t>Quản lý chất lượng (QA/QC)</t>
        </is>
      </c>
      <c r="K20618" s="10" t="inlineStr">
        <is>
          <t>Trên 1 Năm</t>
        </is>
      </c>
      <c r="L20618" s="11">
        <f>HYPERLINK("https://careerviet.vn/vi/tim-viec-lam/nhan-vien-qc.35C65FE2.html","Xem chi tiết")</f>
        <v/>
      </c>
      <c r="M20618" s="10" t="n"/>
    </row>
    <row r="20619">
      <c r="B20619" s="7" t="n">
        <v>20617</v>
      </c>
      <c r="C20619" t="inlineStr">
        <is>
          <t>HCM - IT Admin Executive</t>
        </is>
      </c>
      <c r="D20619" t="inlineStr">
        <is>
          <t>CÔNG TY CỔ PHẦN MAISON RETAIL MANAGEMENT INTERNATIONAL</t>
        </is>
      </c>
      <c r="E20619" t="inlineStr">
        <is>
          <t>Lương:10 Tr - 12 Tr VND</t>
        </is>
      </c>
      <c r="F20619" t="inlineStr">
        <is>
          <t>Hồ Chí Minh</t>
        </is>
      </c>
      <c r="G20619" t="inlineStr">
        <is>
          <t>3</t>
        </is>
      </c>
      <c r="H20619" t="inlineStr">
        <is>
          <t>20/03/2026</t>
        </is>
      </c>
      <c r="I20619" t="inlineStr">
        <is>
          <t>17/03/2026</t>
        </is>
      </c>
      <c r="J20619" t="inlineStr">
        <is>
          <t>CNTT - Phần mềm, CNTT - Phần cứng / Mạng</t>
        </is>
      </c>
      <c r="K20619" t="inlineStr">
        <is>
          <t>1 - 2 Năm</t>
        </is>
      </c>
      <c r="L20619" s="8">
        <f>HYPERLINK("https://careerviet.vn/vi/tim-viec-lam/hcm-it-admin-executive.35C65FE3.html","Xem chi tiết")</f>
        <v/>
      </c>
    </row>
    <row r="20620">
      <c r="B20620" s="9" t="n">
        <v>20618</v>
      </c>
      <c r="C20620" s="10" t="inlineStr">
        <is>
          <t>Chuyên Viên/Chuyên viên cao cấp Quan Hệ Khách Hàng Cá Nhân - Khu vực Buôn Ma Thuột</t>
        </is>
      </c>
      <c r="D20620" s="10" t="inlineStr">
        <is>
          <t>Ngân hàng TMCP Việt Á – VietABank</t>
        </is>
      </c>
      <c r="E20620" s="10" t="inlineStr">
        <is>
          <t>Lương:8 Tr - 25 Tr VND</t>
        </is>
      </c>
      <c r="F20620" s="10" t="inlineStr">
        <is>
          <t>Dak Lak</t>
        </is>
      </c>
      <c r="G20620" s="10" t="inlineStr">
        <is>
          <t>3</t>
        </is>
      </c>
      <c r="H20620" s="10" t="inlineStr">
        <is>
          <t>20/03/2026</t>
        </is>
      </c>
      <c r="I20620" s="10" t="inlineStr">
        <is>
          <t>17/03/2026</t>
        </is>
      </c>
      <c r="J20620" s="10" t="inlineStr">
        <is>
          <t>Ngân hàng, Bảo hiểm, Bất động sản</t>
        </is>
      </c>
      <c r="K20620" s="10" t="inlineStr">
        <is>
          <t>1 - 3 Năm</t>
        </is>
      </c>
      <c r="L20620" s="11">
        <f>HYPERLINK("https://careerviet.vn/vi/tim-viec-lam/chuyen-vien-chuyen-vien-cao-cap-quan-he-khach-hang-ca-nhan-khu-vuc-buon-ma-thuot.35C65FC3.html","Xem chi tiết")</f>
        <v/>
      </c>
      <c r="M20620" s="10" t="n"/>
    </row>
    <row r="20621">
      <c r="B20621" s="7" t="n">
        <v>20619</v>
      </c>
      <c r="C20621" t="inlineStr">
        <is>
          <t>Trưởng bộ phận quản lý dự án</t>
        </is>
      </c>
      <c r="D20621" t="inlineStr">
        <is>
          <t>CÔNG TY CỔ PHẦN ĐẦU TƯ VÀ XÂY DỰNG LAI PHÚC</t>
        </is>
      </c>
      <c r="E20621" t="inlineStr">
        <is>
          <t>Lương:Cạnh tranh</t>
        </is>
      </c>
      <c r="F20621" t="inlineStr">
        <is>
          <t>Hà Nội</t>
        </is>
      </c>
      <c r="G20621" t="inlineStr">
        <is>
          <t>3</t>
        </is>
      </c>
      <c r="H20621" t="inlineStr">
        <is>
          <t>20/03/2026</t>
        </is>
      </c>
      <c r="I20621" t="inlineStr">
        <is>
          <t>17/03/2026</t>
        </is>
      </c>
      <c r="J20621" t="inlineStr">
        <is>
          <t>Xây dựng</t>
        </is>
      </c>
      <c r="K20621" t="inlineStr">
        <is>
          <t>5 - 10 Năm</t>
        </is>
      </c>
      <c r="L20621" s="8">
        <f>HYPERLINK("https://careerviet.vn/vi/tim-viec-lam/truong-bo-phan-quan-ly-du-an.35C63625.html","Xem chi tiết")</f>
        <v/>
      </c>
    </row>
    <row r="20622">
      <c r="B20622" s="9" t="n">
        <v>20620</v>
      </c>
      <c r="C20622" s="10" t="inlineStr">
        <is>
          <t>Trưởng Bộ phận Tuân thủ Công nghệ thông tin</t>
        </is>
      </c>
      <c r="D20622" s="10" t="inlineStr">
        <is>
          <t>BVBank - Ngân hàng Bản Việt</t>
        </is>
      </c>
      <c r="E20622" s="10" t="inlineStr">
        <is>
          <t>Lương:Cạnh tranh</t>
        </is>
      </c>
      <c r="F20622" s="10" t="inlineStr">
        <is>
          <t>Hồ Chí Minh</t>
        </is>
      </c>
      <c r="G20622" s="10" t="inlineStr">
        <is>
          <t>3</t>
        </is>
      </c>
      <c r="H20622" s="10" t="inlineStr">
        <is>
          <t>20/03/2026</t>
        </is>
      </c>
      <c r="I20622" s="10" t="inlineStr">
        <is>
          <t>17/03/2026</t>
        </is>
      </c>
      <c r="J20622" s="10" t="inlineStr">
        <is>
          <t>Ngân hàng, Kế toán / Kiểm toán, CNTT - Phần mềm</t>
        </is>
      </c>
      <c r="K20622" s="10" t="inlineStr">
        <is>
          <t>5 - 6 Năm</t>
        </is>
      </c>
      <c r="L20622" s="11">
        <f>HYPERLINK("https://careerviet.vn/vi/tim-viec-lam/truong-bo-phan-tuan-thu-cong-nghe-thong-tin.35C65F68.html","Xem chi tiết")</f>
        <v/>
      </c>
      <c r="M20622" s="10" t="n"/>
    </row>
    <row r="20623">
      <c r="B20623" s="7" t="n">
        <v>20621</v>
      </c>
      <c r="C20623" t="inlineStr">
        <is>
          <t>Nhân viên an toàn môi trường và an toàn PCCC</t>
        </is>
      </c>
      <c r="D20623" t="inlineStr">
        <is>
          <t>Công ty TNHH Yura Corporation Vina</t>
        </is>
      </c>
      <c r="E20623" t="inlineStr">
        <is>
          <t>Lương:Cạnh tranh</t>
        </is>
      </c>
      <c r="F20623" t="inlineStr">
        <is>
          <t>Hưng Yên</t>
        </is>
      </c>
      <c r="G20623" t="inlineStr">
        <is>
          <t>3</t>
        </is>
      </c>
      <c r="H20623" t="inlineStr">
        <is>
          <t>20/03/2026</t>
        </is>
      </c>
      <c r="I20623" t="inlineStr">
        <is>
          <t>17/03/2026</t>
        </is>
      </c>
      <c r="J20623" t="inlineStr">
        <is>
          <t>Quản lý điều hành, Môi trường, An toàn lao động</t>
        </is>
      </c>
      <c r="K20623" t="inlineStr">
        <is>
          <t>2 - 5 Năm</t>
        </is>
      </c>
      <c r="L20623" s="8">
        <f>HYPERLINK("https://careerviet.vn/vi/tim-viec-lam/nhan-vien-an-toan-moi-truong-va-an-toan-pccc.35C65FD8.html","Xem chi tiết")</f>
        <v/>
      </c>
    </row>
    <row r="20624">
      <c r="B20624" s="9" t="n">
        <v>20622</v>
      </c>
      <c r="C20624" s="10" t="inlineStr">
        <is>
          <t>CSR Compliance Leader/Supervisor (Work in Viet Huong IP or VSIP2A)</t>
        </is>
      </c>
      <c r="D20624" s="10" t="inlineStr">
        <is>
          <t>CÔNG TY TNHH TRIMCO GROUP (VIỆT NAM)</t>
        </is>
      </c>
      <c r="E20624" s="10" t="inlineStr">
        <is>
          <t>Lương:Cạnh tranh</t>
        </is>
      </c>
      <c r="F20624" s="10" t="inlineStr">
        <is>
          <t>Bình Dương</t>
        </is>
      </c>
      <c r="G20624" s="10" t="inlineStr">
        <is>
          <t>3</t>
        </is>
      </c>
      <c r="H20624" s="10" t="inlineStr">
        <is>
          <t>20/03/2026</t>
        </is>
      </c>
      <c r="I20624" s="10" t="inlineStr">
        <is>
          <t>17/03/2026</t>
        </is>
      </c>
      <c r="J20624" s="10" t="inlineStr">
        <is>
          <t>In ấn / Xuất bản</t>
        </is>
      </c>
      <c r="K20624" s="10" t="inlineStr">
        <is>
          <t>2 - 5 Năm</t>
        </is>
      </c>
      <c r="L20624" s="11">
        <f>HYPERLINK("https://careerviet.vn/vi/tim-viec-lam/csr-compliance-leader-supervisor-work-in-viet-huong-ip-or-vsip2a.35C66079.html","Xem chi tiết")</f>
        <v/>
      </c>
      <c r="M20624" s="10" t="n"/>
    </row>
    <row r="20625">
      <c r="B20625" s="7" t="n">
        <v>20623</v>
      </c>
      <c r="C20625" t="inlineStr">
        <is>
          <t>Cà Mau - Chuyên viên Quan hệ Khách hàng cá nhân</t>
        </is>
      </c>
      <c r="D20625" t="inlineStr">
        <is>
          <t>Ngân hàng TMCP Lộc Phát Việt Nam (LPBank)</t>
        </is>
      </c>
      <c r="E20625" t="inlineStr">
        <is>
          <t>Lương:Cạnh tranh</t>
        </is>
      </c>
      <c r="F20625" t="inlineStr">
        <is>
          <t>Cà Mau</t>
        </is>
      </c>
      <c r="G20625" t="inlineStr">
        <is>
          <t>3</t>
        </is>
      </c>
      <c r="H20625" t="inlineStr">
        <is>
          <t>20/03/2026</t>
        </is>
      </c>
      <c r="I20625" t="inlineStr">
        <is>
          <t>17/03/2026</t>
        </is>
      </c>
      <c r="J20625" t="inlineStr">
        <is>
          <t>Bán hàng / Kinh doanh, Kế toán / Kiểm toán, Ngân hàng</t>
        </is>
      </c>
      <c r="K20625" t="inlineStr">
        <is>
          <t>N/A</t>
        </is>
      </c>
      <c r="L20625" s="8">
        <f>HYPERLINK("https://careerviet.vn/vi/tim-viec-lam/ca-mau-chuyen-vien-quan-he-khach-hang-ca-nhan.35C65F4C.html","Xem chi tiết")</f>
        <v/>
      </c>
    </row>
    <row r="20626">
      <c r="B20626" s="9" t="n">
        <v>20624</v>
      </c>
      <c r="C20626" s="10" t="inlineStr">
        <is>
          <t>Nhân viên QA Văn phòng  (Tiếng Hoa - Được đào tạo chuyên môn)</t>
        </is>
      </c>
      <c r="D20626" s="10" t="inlineStr">
        <is>
          <t>Công ty TNHH, Liên Doanh Vĩnh Hưng (TMI Việt Nam)</t>
        </is>
      </c>
      <c r="E20626" s="10" t="inlineStr">
        <is>
          <t>Lương:13 Tr - 15 Tr VND</t>
        </is>
      </c>
      <c r="F20626" s="10" t="inlineStr">
        <is>
          <t>Hồ Chí Minh</t>
        </is>
      </c>
      <c r="G20626" s="10" t="inlineStr">
        <is>
          <t>3</t>
        </is>
      </c>
      <c r="H20626" s="10" t="inlineStr">
        <is>
          <t>20/03/2026</t>
        </is>
      </c>
      <c r="I20626" s="10" t="inlineStr">
        <is>
          <t>17/03/2026</t>
        </is>
      </c>
      <c r="J20626" s="10" t="inlineStr">
        <is>
          <t>Biên phiên dịch, Dệt may / Da giày / Thời trang, Quản lý chất lượng (QA/QC)</t>
        </is>
      </c>
      <c r="K20626" s="10" t="inlineStr">
        <is>
          <t>Lên đến 3 Năm</t>
        </is>
      </c>
      <c r="L20626" s="11">
        <f>HYPERLINK("https://careerviet.vn/vi/tim-viec-lam/nhan-vien-qa-van-phong-tieng-hoa-duoc-dao-tao-chuyen-mon.35C65EC5.html","Xem chi tiết")</f>
        <v/>
      </c>
      <c r="M20626" s="10" t="n"/>
    </row>
    <row r="20627">
      <c r="B20627" s="7" t="n">
        <v>20625</v>
      </c>
      <c r="C20627" t="inlineStr">
        <is>
          <t>Kế toán thanh toán (Chủ đầu tư BĐS, làm việc tại Q3)</t>
        </is>
      </c>
      <c r="D20627" t="inlineStr">
        <is>
          <t>Công ty Cổ phần Tập đoàn KITA Group</t>
        </is>
      </c>
      <c r="E20627" t="inlineStr">
        <is>
          <t>Lương:15 Tr - 18 Tr VND</t>
        </is>
      </c>
      <c r="F20627" t="inlineStr">
        <is>
          <t>Hồ Chí Minh</t>
        </is>
      </c>
      <c r="G20627" t="inlineStr">
        <is>
          <t>3</t>
        </is>
      </c>
      <c r="H20627" t="inlineStr">
        <is>
          <t>20/03/2026</t>
        </is>
      </c>
      <c r="I20627" t="inlineStr">
        <is>
          <t>17/03/2026</t>
        </is>
      </c>
      <c r="J20627" t="inlineStr">
        <is>
          <t>Kế toán / Kiểm toán, Xây dựng, Bất động sản</t>
        </is>
      </c>
      <c r="K20627" t="inlineStr">
        <is>
          <t>2 - 5 Năm</t>
        </is>
      </c>
      <c r="L20627" s="8">
        <f>HYPERLINK("https://careerviet.vn/vi/tim-viec-lam/ke-toan-thanh-toan-chu-dau-tu-bds-lam-viec-tai-q3.35C65E8E.html","Xem chi tiết")</f>
        <v/>
      </c>
    </row>
    <row r="20628">
      <c r="B20628" s="9" t="n">
        <v>20626</v>
      </c>
      <c r="C20628" s="10" t="inlineStr">
        <is>
          <t>Chuyên viên Kế hoạch Tổng hợp</t>
        </is>
      </c>
      <c r="D20628" s="10" t="inlineStr">
        <is>
          <t>Viện Thẩm mỹ y khoa Dr Hải Lê</t>
        </is>
      </c>
      <c r="E20628" s="10" t="inlineStr">
        <is>
          <t>Lương:20 Tr - 50 Tr VND</t>
        </is>
      </c>
      <c r="F20628" s="10" t="inlineStr">
        <is>
          <t>Hà Nội</t>
        </is>
      </c>
      <c r="G20628" s="10" t="inlineStr">
        <is>
          <t>3</t>
        </is>
      </c>
      <c r="H20628" s="10" t="inlineStr">
        <is>
          <t>20/03/2026</t>
        </is>
      </c>
      <c r="I20628" s="10" t="inlineStr">
        <is>
          <t>17/03/2026</t>
        </is>
      </c>
      <c r="J20628" s="10" t="inlineStr">
        <is>
          <t>Y tế / Chăm sóc sức khỏe / Thẩm mỹ / Làm đẹp, Luật / Pháp lý, Nhân sự</t>
        </is>
      </c>
      <c r="K20628" s="10" t="inlineStr">
        <is>
          <t>1 - 3 Năm</t>
        </is>
      </c>
      <c r="L20628" s="11">
        <f>HYPERLINK("https://careerviet.vn/vi/tim-viec-lam/chuyen-vien-ke-hoach-tong-hop.35C6364C.html","Xem chi tiết")</f>
        <v/>
      </c>
      <c r="M20628" s="10" t="n"/>
    </row>
    <row r="20629">
      <c r="B20629" s="7" t="n">
        <v>20627</v>
      </c>
      <c r="C20629" t="inlineStr">
        <is>
          <t>[Tuyển gấp] Kế toán tổng hợp - Bất động sản</t>
        </is>
      </c>
      <c r="D20629" t="inlineStr">
        <is>
          <t>Xuân Cầu Holdings</t>
        </is>
      </c>
      <c r="E20629" t="inlineStr">
        <is>
          <t>Lương:14 Tr - 25 Tr VND</t>
        </is>
      </c>
      <c r="F20629" t="inlineStr">
        <is>
          <t>Hà Nội</t>
        </is>
      </c>
      <c r="G20629" t="inlineStr">
        <is>
          <t>3</t>
        </is>
      </c>
      <c r="H20629" t="inlineStr">
        <is>
          <t>20/03/2026</t>
        </is>
      </c>
      <c r="I20629" t="inlineStr">
        <is>
          <t>17/03/2026</t>
        </is>
      </c>
      <c r="J20629" t="inlineStr">
        <is>
          <t>Kế toán / Kiểm toán</t>
        </is>
      </c>
      <c r="K20629" t="inlineStr">
        <is>
          <t>3 - 4 Năm</t>
        </is>
      </c>
      <c r="L20629" s="8">
        <f>HYPERLINK("https://careerviet.vn/vi/tim-viec-lam/tuyen-gap-ke-toan-tong-hop-bat-dong-san.35C65E84.html","Xem chi tiết")</f>
        <v/>
      </c>
    </row>
    <row r="20630">
      <c r="B20630" s="9" t="n">
        <v>20628</v>
      </c>
      <c r="C20630" s="10" t="inlineStr">
        <is>
          <t>Nhân Viên Kinh Doanh Xuất Khẩu/ Ngành Nội Thất</t>
        </is>
      </c>
      <c r="D20630" s="10" t="inlineStr">
        <is>
          <t>Công ty TNHH Nesta</t>
        </is>
      </c>
      <c r="E20630" s="10" t="inlineStr">
        <is>
          <t>Lương:10 Tr - 17 Tr VND</t>
        </is>
      </c>
      <c r="F20630" s="10" t="inlineStr">
        <is>
          <t>Hà NộiHưng Yên</t>
        </is>
      </c>
      <c r="G20630" s="10" t="inlineStr">
        <is>
          <t>3</t>
        </is>
      </c>
      <c r="H20630" s="10" t="inlineStr">
        <is>
          <t>20/03/2026</t>
        </is>
      </c>
      <c r="I20630" s="10" t="inlineStr">
        <is>
          <t>17/03/2026</t>
        </is>
      </c>
      <c r="J20630" s="10" t="inlineStr">
        <is>
          <t>Tiếp thị / Marketing, Bán hàng / Kinh doanh, Xuất nhập khẩu</t>
        </is>
      </c>
      <c r="K20630" s="10" t="inlineStr">
        <is>
          <t>1 - 2 Năm</t>
        </is>
      </c>
      <c r="L20630" s="11">
        <f>HYPERLINK("https://careerviet.vn/vi/tim-viec-lam/nhan-vien-kinh-doanh-xuat-khau-nganh-noi-that.35C66027.html","Xem chi tiết")</f>
        <v/>
      </c>
      <c r="M20630" s="10" t="n"/>
    </row>
    <row r="20631">
      <c r="B20631" s="7" t="n">
        <v>20629</v>
      </c>
      <c r="C20631" t="inlineStr">
        <is>
          <t>Quản lý cửa hàng thời trang - TP HCM</t>
        </is>
      </c>
      <c r="D20631" t="inlineStr">
        <is>
          <t>Công ty Cổ phần Thời Trang YODY</t>
        </is>
      </c>
      <c r="E20631" t="inlineStr">
        <is>
          <t>Lương:12 Tr - 25 Tr VND</t>
        </is>
      </c>
      <c r="F20631" t="inlineStr">
        <is>
          <t>Hồ Chí Minh</t>
        </is>
      </c>
      <c r="G20631" t="inlineStr">
        <is>
          <t>3</t>
        </is>
      </c>
      <c r="H20631" t="inlineStr">
        <is>
          <t>20/03/2026</t>
        </is>
      </c>
      <c r="I20631" t="inlineStr">
        <is>
          <t>17/03/2026</t>
        </is>
      </c>
      <c r="J20631" t="inlineStr">
        <is>
          <t>Bán hàng / Kinh doanh</t>
        </is>
      </c>
      <c r="K20631" t="inlineStr">
        <is>
          <t>1 - 2 Năm</t>
        </is>
      </c>
      <c r="L20631" s="8">
        <f>HYPERLINK("https://careerviet.vn/vi/tim-viec-lam/quan-ly-cua-hang-thoi-trang-tp-hcm.35C65F53.html","Xem chi tiết")</f>
        <v/>
      </c>
    </row>
    <row r="20632">
      <c r="B20632" s="9" t="n">
        <v>20630</v>
      </c>
      <c r="C20632" s="10" t="inlineStr">
        <is>
          <t>Nhân Viên Content Marketing - Thương hiệu thời trang trẻ em cao cấp</t>
        </is>
      </c>
      <c r="D20632" s="10" t="inlineStr">
        <is>
          <t>Công Ty TNHH XNK Cầu Nối Việt</t>
        </is>
      </c>
      <c r="E20632" s="10" t="inlineStr">
        <is>
          <t>Lương:10 Tr - 11,5 Tr VND</t>
        </is>
      </c>
      <c r="F20632" s="10" t="inlineStr">
        <is>
          <t>Hà Nội</t>
        </is>
      </c>
      <c r="G20632" s="10" t="inlineStr">
        <is>
          <t>3</t>
        </is>
      </c>
      <c r="H20632" s="10" t="inlineStr">
        <is>
          <t>20/03/2026</t>
        </is>
      </c>
      <c r="I20632" s="10" t="inlineStr">
        <is>
          <t>17/03/2026</t>
        </is>
      </c>
      <c r="J20632" s="10" t="inlineStr">
        <is>
          <t>Tiếp thị / Marketing, Truyền hình / Báo chí / Biên tập</t>
        </is>
      </c>
      <c r="K20632" s="10" t="inlineStr">
        <is>
          <t>1 - 7 Năm</t>
        </is>
      </c>
      <c r="L20632" s="11">
        <f>HYPERLINK("https://careerviet.vn/vi/tim-viec-lam/nhan-vien-content-marketing-thuong-hieu-thoi-trang-tre-em-cao-cap.35C63628.html","Xem chi tiết")</f>
        <v/>
      </c>
      <c r="M20632" s="10" t="n"/>
    </row>
    <row r="20633">
      <c r="B20633" s="7" t="n">
        <v>20631</v>
      </c>
      <c r="C20633" t="inlineStr">
        <is>
          <t>[Hà Nội] Nhân viên kinh doanh kênh GT</t>
        </is>
      </c>
      <c r="D20633" t="inlineStr">
        <is>
          <t>Công ty Cổ phần Mỹ phẩm Quốc tế Thùy Dung</t>
        </is>
      </c>
      <c r="E20633" t="inlineStr">
        <is>
          <t>Lương:15 Tr - 40 Tr VND</t>
        </is>
      </c>
      <c r="F20633" t="inlineStr">
        <is>
          <t>Hà Nội</t>
        </is>
      </c>
      <c r="G20633" t="inlineStr">
        <is>
          <t>3</t>
        </is>
      </c>
      <c r="H20633" t="inlineStr">
        <is>
          <t>20/03/2026</t>
        </is>
      </c>
      <c r="I20633" t="inlineStr">
        <is>
          <t>17/03/2026</t>
        </is>
      </c>
      <c r="J20633" t="inlineStr">
        <is>
          <t>Bán hàng / Kinh doanh, Bán lẻ / Bán sỉ, Dược phẩm/ Hóa Mỹ Phẩm</t>
        </is>
      </c>
      <c r="K20633" t="inlineStr">
        <is>
          <t>Lên đến 1 NămĐịa điểm</t>
        </is>
      </c>
      <c r="L20633" s="8">
        <f>HYPERLINK("https://careerviet.vn/vi/tim-viec-lam/ha-noi-nhan-vien-kinh-doanh-kenh-gt.35C66037.html","Xem chi tiết")</f>
        <v/>
      </c>
    </row>
    <row r="20634">
      <c r="B20634" s="9" t="n">
        <v>20632</v>
      </c>
      <c r="C20634" s="10" t="inlineStr">
        <is>
          <t>Brand Manager</t>
        </is>
      </c>
      <c r="D20634" s="10" t="inlineStr">
        <is>
          <t>Công ty Cổ phần Mỹ phẩm Quốc tế Thùy Dung</t>
        </is>
      </c>
      <c r="E20634" s="10" t="inlineStr">
        <is>
          <t>Lương:20 Tr - 35 Tr VND</t>
        </is>
      </c>
      <c r="F20634" s="10" t="inlineStr">
        <is>
          <t>Hồ Chí Minh</t>
        </is>
      </c>
      <c r="G20634" s="10" t="inlineStr">
        <is>
          <t>3</t>
        </is>
      </c>
      <c r="H20634" s="10" t="inlineStr">
        <is>
          <t>20/03/2026</t>
        </is>
      </c>
      <c r="I20634" s="10" t="inlineStr">
        <is>
          <t>17/03/2026</t>
        </is>
      </c>
      <c r="J20634" s="10" t="inlineStr">
        <is>
          <t>Hàng gia dụng / Chăm sóc cá nhân, Quảng cáo / Đối ngoại / Truyền Thông, Tiếp thị trực tuyến</t>
        </is>
      </c>
      <c r="K20634" s="10" t="inlineStr">
        <is>
          <t>N/A</t>
        </is>
      </c>
      <c r="L20634" s="11">
        <f>HYPERLINK("https://careerviet.vn/vi/tim-viec-lam/brand-manager.35C65E7F.html","Xem chi tiết")</f>
        <v/>
      </c>
      <c r="M20634" s="10" t="n"/>
    </row>
    <row r="20635">
      <c r="B20635" s="7" t="n">
        <v>20633</v>
      </c>
      <c r="C20635" t="inlineStr">
        <is>
          <t>Vĩnh Long -  Chuyên viên Quan hệ Khách hàng cá nhân</t>
        </is>
      </c>
      <c r="D20635" t="inlineStr">
        <is>
          <t>Ngân hàng TMCP Lộc Phát Việt Nam (LPBank)</t>
        </is>
      </c>
      <c r="E20635" t="inlineStr">
        <is>
          <t>Lương:Cạnh tranh</t>
        </is>
      </c>
      <c r="F20635" t="inlineStr">
        <is>
          <t>Vĩnh Long</t>
        </is>
      </c>
      <c r="G20635" t="inlineStr">
        <is>
          <t>3</t>
        </is>
      </c>
      <c r="H20635" t="inlineStr">
        <is>
          <t>20/03/2026</t>
        </is>
      </c>
      <c r="I20635" t="inlineStr">
        <is>
          <t>17/03/2026</t>
        </is>
      </c>
      <c r="J20635" t="inlineStr">
        <is>
          <t>Bán hàng / Kinh doanh, Kế toán / Kiểm toán, Ngân hàng</t>
        </is>
      </c>
      <c r="K20635" t="inlineStr">
        <is>
          <t>N/A</t>
        </is>
      </c>
      <c r="L20635" s="8">
        <f>HYPERLINK("https://careerviet.vn/vi/tim-viec-lam/vinh-long-chuyen-vien-quan-he-khach-hang-ca-nhan.35C65F7F.html","Xem chi tiết")</f>
        <v/>
      </c>
    </row>
    <row r="20636">
      <c r="B20636" s="9" t="n">
        <v>20634</v>
      </c>
      <c r="C20636" s="10" t="inlineStr">
        <is>
          <t>CV QUẢN LÝ THIẾT KẾ KIẾN TRÚC</t>
        </is>
      </c>
      <c r="D20636" s="10" t="inlineStr">
        <is>
          <t>TBS Land- Công ty Cổ Phần Đầu Tư Thái Bình</t>
        </is>
      </c>
      <c r="E20636" s="10" t="inlineStr">
        <is>
          <t>Lương:Cạnh tranh</t>
        </is>
      </c>
      <c r="F20636" s="10" t="inlineStr">
        <is>
          <t>Bình Dương</t>
        </is>
      </c>
      <c r="G20636" s="10" t="inlineStr">
        <is>
          <t>3</t>
        </is>
      </c>
      <c r="H20636" s="10" t="inlineStr">
        <is>
          <t>20/03/2026</t>
        </is>
      </c>
      <c r="I20636" s="10" t="inlineStr">
        <is>
          <t>17/03/2026</t>
        </is>
      </c>
      <c r="J20636" s="10" t="inlineStr">
        <is>
          <t>Xây dựng</t>
        </is>
      </c>
      <c r="K20636" s="10" t="inlineStr">
        <is>
          <t>3 - 5 Năm</t>
        </is>
      </c>
      <c r="L20636" s="11">
        <f>HYPERLINK("https://careerviet.vn/vi/tim-viec-lam/cv-quan-ly-thiet-ke-kien-truc.35C65FAD.html","Xem chi tiết")</f>
        <v/>
      </c>
      <c r="M20636" s="10" t="n"/>
    </row>
    <row r="20637">
      <c r="B20637" s="7" t="n">
        <v>20635</v>
      </c>
      <c r="C20637" t="inlineStr">
        <is>
          <t>Chuyên viên Phân tích nghiệp vụ Core</t>
        </is>
      </c>
      <c r="D20637" t="inlineStr">
        <is>
          <t>BVBank - Ngân hàng Bản Việt</t>
        </is>
      </c>
      <c r="E20637" t="inlineStr">
        <is>
          <t>Lương:Cạnh tranh</t>
        </is>
      </c>
      <c r="F20637" t="inlineStr">
        <is>
          <t>Hồ Chí Minh</t>
        </is>
      </c>
      <c r="G20637" t="inlineStr">
        <is>
          <t>3</t>
        </is>
      </c>
      <c r="H20637" t="inlineStr">
        <is>
          <t>20/03/2026</t>
        </is>
      </c>
      <c r="I20637" t="inlineStr">
        <is>
          <t>17/03/2026</t>
        </is>
      </c>
      <c r="J20637" t="inlineStr">
        <is>
          <t>Ngân hàng, Kế toán / Kiểm toán, CNTT - Phần mềm</t>
        </is>
      </c>
      <c r="K20637" t="inlineStr">
        <is>
          <t>2 - 3 Năm</t>
        </is>
      </c>
      <c r="L20637" s="8">
        <f>HYPERLINK("https://careerviet.vn/vi/tim-viec-lam/chuyen-vien-phan-tich-nghiep-vu-core.35C65F6B.html","Xem chi tiết")</f>
        <v/>
      </c>
    </row>
    <row r="20638">
      <c r="B20638" s="9" t="n">
        <v>20636</v>
      </c>
      <c r="C20638" s="10" t="inlineStr">
        <is>
          <t>Kế toán viên</t>
        </is>
      </c>
      <c r="D20638" s="10" t="inlineStr">
        <is>
          <t>Công Ty TNHH Thương Mại Và Dịch Vụ Việt Thắng</t>
        </is>
      </c>
      <c r="E20638" s="10" t="inlineStr">
        <is>
          <t>Lương:10 Tr - 15 Tr VND</t>
        </is>
      </c>
      <c r="F20638" s="10" t="inlineStr">
        <is>
          <t>Hà Nội</t>
        </is>
      </c>
      <c r="G20638" s="10" t="inlineStr">
        <is>
          <t>3</t>
        </is>
      </c>
      <c r="H20638" s="10" t="inlineStr">
        <is>
          <t>20/03/2026</t>
        </is>
      </c>
      <c r="I20638" s="10" t="inlineStr">
        <is>
          <t>17/03/2026</t>
        </is>
      </c>
      <c r="J20638" s="10" t="inlineStr">
        <is>
          <t>Kế toán / Kiểm toán</t>
        </is>
      </c>
      <c r="K20638" s="10" t="inlineStr">
        <is>
          <t>1 - 2 Năm</t>
        </is>
      </c>
      <c r="L20638" s="11">
        <f>HYPERLINK("https://careerviet.vn/vi/tim-viec-lam/ke-toan-vien.35C63626.html","Xem chi tiết")</f>
        <v/>
      </c>
      <c r="M20638" s="10" t="n"/>
    </row>
    <row r="20639">
      <c r="B20639" s="7" t="n">
        <v>20637</v>
      </c>
      <c r="C20639" t="inlineStr">
        <is>
          <t>Chuyên Viên Bán Vé Máy Bay (Ticketing Executive)</t>
        </is>
      </c>
      <c r="D20639" t="inlineStr">
        <is>
          <t>Công Ty Cổ phần Xây Dựng Thương Mại Du Lịch Hồng Ngọc Hà</t>
        </is>
      </c>
      <c r="E20639" t="inlineStr">
        <is>
          <t>Lương:Cạnh tranh</t>
        </is>
      </c>
      <c r="F20639" t="inlineStr">
        <is>
          <t>Hồ Chí Minh</t>
        </is>
      </c>
      <c r="G20639" t="inlineStr">
        <is>
          <t>3</t>
        </is>
      </c>
      <c r="H20639" t="inlineStr">
        <is>
          <t>20/03/2026</t>
        </is>
      </c>
      <c r="I20639" t="inlineStr">
        <is>
          <t>17/03/2026</t>
        </is>
      </c>
      <c r="J20639" t="inlineStr">
        <is>
          <t>Bán hàng / Kinh doanh, Du lịch, Hàng không</t>
        </is>
      </c>
      <c r="K20639" t="inlineStr">
        <is>
          <t>1 - 3 Năm</t>
        </is>
      </c>
      <c r="L20639" s="8">
        <f>HYPERLINK("https://careerviet.vn/vi/tim-viec-lam/chuyen-vien-ban-ve-may-bay-ticketing-executive.35C6362F.html","Xem chi tiết")</f>
        <v/>
      </c>
    </row>
    <row r="20640">
      <c r="B20640" s="9" t="n">
        <v>20638</v>
      </c>
      <c r="C20640" s="10" t="inlineStr">
        <is>
          <t>Chuyên Viên Chính/ Chuyên Viên Cao  Bán Hàng Trực Tiếp - KV Miền Nam - TA181 - ID1291</t>
        </is>
      </c>
      <c r="D20640" s="10" t="inlineStr">
        <is>
          <t>Ngân Hàng TMCP Việt Nam Thịnh Vượng - VPBANK</t>
        </is>
      </c>
      <c r="E20640" s="10" t="inlineStr">
        <is>
          <t>Lương:20 Tr - 50 Tr VND</t>
        </is>
      </c>
      <c r="F20640" s="10" t="inlineStr">
        <is>
          <t>Hồ Chí MinhĐồng Nai</t>
        </is>
      </c>
      <c r="G20640" s="10" t="inlineStr">
        <is>
          <t>3</t>
        </is>
      </c>
      <c r="H20640" s="10" t="inlineStr">
        <is>
          <t>20/03/2026</t>
        </is>
      </c>
      <c r="I20640" s="10" t="inlineStr">
        <is>
          <t>17/03/2026</t>
        </is>
      </c>
      <c r="J20640" s="10" t="inlineStr">
        <is>
          <t>Ngân hàng, Tài chính / Đầu tư</t>
        </is>
      </c>
      <c r="K20640" s="10" t="inlineStr">
        <is>
          <t>Trên 1 Năm</t>
        </is>
      </c>
      <c r="L20640" s="11">
        <f>HYPERLINK("https://careerviet.vn/vi/tim-viec-lam/chuyen-vien-chinh-chuyen-vien-cao-ban-hang-truc-tiep-kv-mien-nam-ta181-id1291.35C66067.html","Xem chi tiết")</f>
        <v/>
      </c>
      <c r="M20640" s="10" t="n"/>
    </row>
    <row r="20641">
      <c r="B20641" s="7" t="n">
        <v>20639</v>
      </c>
      <c r="C20641" t="inlineStr">
        <is>
          <t>Giám đốc Quan hệ khách hàng Private - TPHCM - TA110</t>
        </is>
      </c>
      <c r="D20641" t="inlineStr">
        <is>
          <t>Ngân Hàng TMCP Việt Nam Thịnh Vượng - VPBANK</t>
        </is>
      </c>
      <c r="E20641" t="inlineStr">
        <is>
          <t>Lương:Cạnh tranh</t>
        </is>
      </c>
      <c r="F20641" t="inlineStr">
        <is>
          <t>Hồ Chí Minh</t>
        </is>
      </c>
      <c r="G20641" t="inlineStr">
        <is>
          <t>3</t>
        </is>
      </c>
      <c r="H20641" t="inlineStr">
        <is>
          <t>20/03/2026</t>
        </is>
      </c>
      <c r="I20641" t="inlineStr">
        <is>
          <t>17/03/2026</t>
        </is>
      </c>
      <c r="J20641" t="inlineStr">
        <is>
          <t>Ngân hàng</t>
        </is>
      </c>
      <c r="K20641" t="inlineStr">
        <is>
          <t>5 - 7 Năm</t>
        </is>
      </c>
      <c r="L20641" s="8">
        <f>HYPERLINK("https://careerviet.vn/vi/tim-viec-lam/giam-doc-quan-he-khach-hang-private-tphcm-ta110.35C66074.html","Xem chi tiết")</f>
        <v/>
      </c>
    </row>
    <row r="20642">
      <c r="B20642" s="9" t="n">
        <v>20640</v>
      </c>
      <c r="C20642" s="10" t="inlineStr">
        <is>
          <t>[Bạc Liêu] Chuyên viên Quan hệ Khách hàng cá nhân Priority</t>
        </is>
      </c>
      <c r="D20642" s="10" t="inlineStr">
        <is>
          <t>Ngân hàng TMCP Lộc Phát Việt Nam (LPBank)</t>
        </is>
      </c>
      <c r="E20642" s="10" t="inlineStr">
        <is>
          <t>Lương:Cạnh tranh</t>
        </is>
      </c>
      <c r="F20642" s="10" t="inlineStr">
        <is>
          <t>Bạc Liêu</t>
        </is>
      </c>
      <c r="G20642" s="10" t="inlineStr">
        <is>
          <t>3</t>
        </is>
      </c>
      <c r="H20642" s="10" t="inlineStr">
        <is>
          <t>20/03/2026</t>
        </is>
      </c>
      <c r="I20642" s="10" t="inlineStr">
        <is>
          <t>17/03/2026</t>
        </is>
      </c>
      <c r="J20642" s="10" t="inlineStr">
        <is>
          <t>Bán hàng / Kinh doanh, Bất động sản, Bảo hiểm</t>
        </is>
      </c>
      <c r="K20642" s="10" t="inlineStr">
        <is>
          <t>Trên 1 Năm</t>
        </is>
      </c>
      <c r="L20642" s="11">
        <f>HYPERLINK("https://careerviet.vn/vi/tim-viec-lam/bac-lieu-chuyen-vien-quan-he-khach-hang-ca-nhan-priority.35C65FA8.html","Xem chi tiết")</f>
        <v/>
      </c>
      <c r="M20642" s="10" t="n"/>
    </row>
    <row r="20643">
      <c r="B20643" s="7" t="n">
        <v>20641</v>
      </c>
      <c r="C20643" t="inlineStr">
        <is>
          <t>[GIGAMALL] QUẢN LÝ/ PHÓ QUẢN LÝ NHÀ HÀNG</t>
        </is>
      </c>
      <c r="D20643" t="inlineStr">
        <is>
          <t>Công Ty Cổ Phần Tầm Nhìn Quốc Tế Aladdin</t>
        </is>
      </c>
      <c r="E20643" t="inlineStr">
        <is>
          <t>Lương:15 Tr - 20 Tr VND</t>
        </is>
      </c>
      <c r="F20643" t="inlineStr">
        <is>
          <t>Hồ Chí Minh</t>
        </is>
      </c>
      <c r="G20643" t="inlineStr">
        <is>
          <t>3</t>
        </is>
      </c>
      <c r="H20643" t="inlineStr">
        <is>
          <t>20/03/2026</t>
        </is>
      </c>
      <c r="I20643" t="inlineStr">
        <is>
          <t>17/03/2026</t>
        </is>
      </c>
      <c r="J20643" t="inlineStr">
        <is>
          <t>Thực phẩm &amp; Đồ uống, Nhà hàng / Khách sạn, Quản lý điều hành</t>
        </is>
      </c>
      <c r="K20643" t="inlineStr">
        <is>
          <t>2 - 4 Năm</t>
        </is>
      </c>
      <c r="L20643" s="8">
        <f>HYPERLINK("https://careerviet.vn/vi/tim-viec-lam/gigamall-quan-ly-pho-quan-ly-nha-hang.35C68BFB.html","Xem chi tiết")</f>
        <v/>
      </c>
    </row>
    <row r="20644">
      <c r="B20644" s="9" t="n">
        <v>20642</v>
      </c>
      <c r="C20644" s="10" t="inlineStr">
        <is>
          <t>[BIÊN HÒA] BẾP TRƯỞNG / BẾP PHÓ</t>
        </is>
      </c>
      <c r="D20644" s="10" t="inlineStr">
        <is>
          <t>Công Ty Cổ Phần Tầm Nhìn Quốc Tế Aladdin</t>
        </is>
      </c>
      <c r="E20644" s="10" t="inlineStr">
        <is>
          <t>Lương:15 Tr - 20 Tr VND</t>
        </is>
      </c>
      <c r="F20644" s="10" t="inlineStr">
        <is>
          <t>Đồng Nai</t>
        </is>
      </c>
      <c r="G20644" s="10" t="inlineStr">
        <is>
          <t>3</t>
        </is>
      </c>
      <c r="H20644" s="10" t="inlineStr">
        <is>
          <t>20/03/2026</t>
        </is>
      </c>
      <c r="I20644" s="10" t="inlineStr">
        <is>
          <t>17/03/2026</t>
        </is>
      </c>
      <c r="J20644" s="10" t="inlineStr">
        <is>
          <t>Thực phẩm &amp; Đồ uống, Nhà hàng / Khách sạn, Quản lý điều hành</t>
        </is>
      </c>
      <c r="K20644" s="10" t="inlineStr">
        <is>
          <t>2 - 1 Năm</t>
        </is>
      </c>
      <c r="L20644" s="11">
        <f>HYPERLINK("https://careerviet.vn/vi/tim-viec-lam/bien-hoa-bep-truong-bep-pho.35C68BF9.html","Xem chi tiết")</f>
        <v/>
      </c>
      <c r="M20644" s="10" t="n"/>
    </row>
    <row r="20645">
      <c r="B20645" s="7" t="n">
        <v>20643</v>
      </c>
      <c r="C20645" t="inlineStr">
        <is>
          <t>Nhân viên an toàn môi trường và an toàn PCCC</t>
        </is>
      </c>
      <c r="D20645" t="inlineStr">
        <is>
          <t>Công ty TNHH Yura Corporation Vina</t>
        </is>
      </c>
      <c r="E20645" t="inlineStr">
        <is>
          <t>Lương:Cạnh tranh</t>
        </is>
      </c>
      <c r="F20645" t="inlineStr">
        <is>
          <t>Hưng Yên</t>
        </is>
      </c>
      <c r="G20645" t="inlineStr">
        <is>
          <t>3</t>
        </is>
      </c>
      <c r="H20645" t="inlineStr">
        <is>
          <t>20/03/2026</t>
        </is>
      </c>
      <c r="I20645" t="inlineStr">
        <is>
          <t>17/03/2026</t>
        </is>
      </c>
      <c r="J20645" t="inlineStr">
        <is>
          <t>Quản lý điều hành, Môi trường, An toàn lao động</t>
        </is>
      </c>
      <c r="K20645" t="inlineStr">
        <is>
          <t>2 - 5 Năm</t>
        </is>
      </c>
      <c r="L20645" s="8">
        <f>HYPERLINK("https://careerviet.vn/vi/tim-viec-lam/nhan-vien-an-toan-moi-truong-va-an-toan-pccc.35C65FE1.html","Xem chi tiết")</f>
        <v/>
      </c>
    </row>
    <row r="20646">
      <c r="B20646" s="9" t="n">
        <v>20644</v>
      </c>
      <c r="C20646" s="10" t="inlineStr">
        <is>
          <t>[BIÊN HÒA] TỔ TRƯỞNG BẾP</t>
        </is>
      </c>
      <c r="D20646" s="10" t="inlineStr">
        <is>
          <t>Công Ty Cổ Phần Tầm Nhìn Quốc Tế Aladdin</t>
        </is>
      </c>
      <c r="E20646" s="10" t="inlineStr">
        <is>
          <t>Lương:10 Tr - 13 Tr VND</t>
        </is>
      </c>
      <c r="F20646" s="10" t="inlineStr">
        <is>
          <t>Đồng Nai</t>
        </is>
      </c>
      <c r="G20646" s="10" t="inlineStr">
        <is>
          <t>3</t>
        </is>
      </c>
      <c r="H20646" s="10" t="inlineStr">
        <is>
          <t>20/03/2026</t>
        </is>
      </c>
      <c r="I20646" s="10" t="inlineStr">
        <is>
          <t>17/03/2026</t>
        </is>
      </c>
      <c r="J20646" s="10" t="inlineStr">
        <is>
          <t>Thực phẩm &amp; Đồ uống, Nhà hàng / Khách sạn, Quản lý điều hành</t>
        </is>
      </c>
      <c r="K20646" s="10" t="inlineStr">
        <is>
          <t>1 - 2 Năm</t>
        </is>
      </c>
      <c r="L20646" s="11">
        <f>HYPERLINK("https://careerviet.vn/vi/tim-viec-lam/bien-hoa-to-truong-bep.35C68BFA.html","Xem chi tiết")</f>
        <v/>
      </c>
      <c r="M20646" s="10" t="n"/>
    </row>
    <row r="20647">
      <c r="B20647" s="7" t="n">
        <v>20645</v>
      </c>
      <c r="C20647" t="inlineStr">
        <is>
          <t>CVCC Quan hệ khách hàng ưu tiên - TPHCM (Quận 1, Quận 3, Quận 7, Phú Nhuận, Bình Thạnh) - TA110</t>
        </is>
      </c>
      <c r="D20647" t="inlineStr">
        <is>
          <t>Ngân Hàng TMCP Việt Nam Thịnh Vượng - VPBANK</t>
        </is>
      </c>
      <c r="E20647" t="inlineStr">
        <is>
          <t>Lương:Cạnh tranh</t>
        </is>
      </c>
      <c r="F20647" t="inlineStr">
        <is>
          <t>Hồ Chí Minh</t>
        </is>
      </c>
      <c r="G20647" t="inlineStr">
        <is>
          <t>3</t>
        </is>
      </c>
      <c r="H20647" t="inlineStr">
        <is>
          <t>20/03/2026</t>
        </is>
      </c>
      <c r="I20647" t="inlineStr">
        <is>
          <t>17/03/2026</t>
        </is>
      </c>
      <c r="J20647" t="inlineStr">
        <is>
          <t>Ngân hàng</t>
        </is>
      </c>
      <c r="K20647" t="inlineStr">
        <is>
          <t>3 - 5 Năm</t>
        </is>
      </c>
      <c r="L20647" s="8">
        <f>HYPERLINK("https://careerviet.vn/vi/tim-viec-lam/cvcc-quan-he-khach-hang-uu-tien-tphcm-quan-1-quan-3-quan-7-phu-nhuan-binh-thanh-ta110.35C6607D.html","Xem chi tiết")</f>
        <v/>
      </c>
    </row>
    <row r="20648">
      <c r="B20648" s="9" t="n">
        <v>20646</v>
      </c>
      <c r="C20648" s="10" t="inlineStr">
        <is>
          <t>[QUẬN 10] QUẢN LÝ/ PHÓ QUẢN LÝ NHÀ HÀNG</t>
        </is>
      </c>
      <c r="D20648" s="10" t="inlineStr">
        <is>
          <t>Công Ty Cổ Phần Tầm Nhìn Quốc Tế Aladdin</t>
        </is>
      </c>
      <c r="E20648" s="10" t="inlineStr">
        <is>
          <t>Lương:15 Tr - 20 Tr VND</t>
        </is>
      </c>
      <c r="F20648" s="10" t="inlineStr">
        <is>
          <t>Hồ Chí Minh</t>
        </is>
      </c>
      <c r="G20648" s="10" t="inlineStr">
        <is>
          <t>3</t>
        </is>
      </c>
      <c r="H20648" s="10" t="inlineStr">
        <is>
          <t>20/03/2026</t>
        </is>
      </c>
      <c r="I20648" s="10" t="inlineStr">
        <is>
          <t>17/03/2026</t>
        </is>
      </c>
      <c r="J20648" s="10" t="inlineStr">
        <is>
          <t>Thực phẩm &amp; Đồ uống, Nhà hàng / Khách sạn, Quản lý điều hành</t>
        </is>
      </c>
      <c r="K20648" s="10" t="inlineStr">
        <is>
          <t>2 - 4 Năm</t>
        </is>
      </c>
      <c r="L20648" s="11">
        <f>HYPERLINK("https://careerviet.vn/vi/tim-viec-lam/quan-10-quan-ly-pho-quan-ly-nha-hang.35C68BF8.html","Xem chi tiết")</f>
        <v/>
      </c>
      <c r="M20648" s="10" t="n"/>
    </row>
    <row r="20649">
      <c r="B20649" s="7" t="n">
        <v>20647</v>
      </c>
      <c r="C20649" t="inlineStr">
        <is>
          <t>[GIGAMALL]  BẾP TRƯỞNG / GIÁM SÁT BẾP</t>
        </is>
      </c>
      <c r="D20649" t="inlineStr">
        <is>
          <t>Công Ty Cổ Phần Tầm Nhìn Quốc Tế Aladdin</t>
        </is>
      </c>
      <c r="E20649" t="inlineStr">
        <is>
          <t>Lương:12 Tr - 20 Tr VND</t>
        </is>
      </c>
      <c r="F20649" t="inlineStr">
        <is>
          <t>Hồ Chí Minh</t>
        </is>
      </c>
      <c r="G20649" t="inlineStr">
        <is>
          <t>3</t>
        </is>
      </c>
      <c r="H20649" t="inlineStr">
        <is>
          <t>20/03/2026</t>
        </is>
      </c>
      <c r="I20649" t="inlineStr">
        <is>
          <t>17/03/2026</t>
        </is>
      </c>
      <c r="J20649" t="inlineStr">
        <is>
          <t>Thực phẩm &amp; Đồ uống, Nhà hàng / Khách sạn, Quản lý điều hành</t>
        </is>
      </c>
      <c r="K20649" t="inlineStr">
        <is>
          <t>2 - 4 Năm</t>
        </is>
      </c>
      <c r="L20649" s="8">
        <f>HYPERLINK("https://careerviet.vn/vi/tim-viec-lam/gigamall-bep-truong-giam-sat-bep.35C68BFD.html","Xem chi tiết")</f>
        <v/>
      </c>
    </row>
    <row r="20650">
      <c r="B20650" s="9" t="n">
        <v>20648</v>
      </c>
      <c r="C20650" s="10" t="inlineStr">
        <is>
          <t>[GÒ VẤP] BẾP TRƯỞNG / GIÁM SÁT BẾP</t>
        </is>
      </c>
      <c r="D20650" s="10" t="inlineStr">
        <is>
          <t>Công Ty Cổ Phần Tầm Nhìn Quốc Tế Aladdin</t>
        </is>
      </c>
      <c r="E20650" s="10" t="inlineStr">
        <is>
          <t>Lương:12 Tr - 20 Tr VND</t>
        </is>
      </c>
      <c r="F20650" s="10" t="inlineStr">
        <is>
          <t>Hồ Chí Minh</t>
        </is>
      </c>
      <c r="G20650" s="10" t="inlineStr">
        <is>
          <t>3</t>
        </is>
      </c>
      <c r="H20650" s="10" t="inlineStr">
        <is>
          <t>20/03/2026</t>
        </is>
      </c>
      <c r="I20650" s="10" t="inlineStr">
        <is>
          <t>17/03/2026</t>
        </is>
      </c>
      <c r="J20650" s="10" t="inlineStr">
        <is>
          <t>Thực phẩm &amp; Đồ uống, Nhà hàng / Khách sạn, Quản lý điều hành</t>
        </is>
      </c>
      <c r="K20650" s="10" t="inlineStr">
        <is>
          <t>2 - 4 Năm</t>
        </is>
      </c>
      <c r="L20650" s="11">
        <f>HYPERLINK("https://careerviet.vn/vi/tim-viec-lam/go-vap-bep-truong-giam-sat-bep.35C68BF4.html","Xem chi tiết")</f>
        <v/>
      </c>
      <c r="M20650" s="10" t="n"/>
    </row>
    <row r="20651">
      <c r="B20651" s="7" t="n">
        <v>20649</v>
      </c>
      <c r="C20651" t="inlineStr">
        <is>
          <t>Kỹ sư kỹ thuật</t>
        </is>
      </c>
      <c r="D20651" t="inlineStr">
        <is>
          <t>CÔNG TY TNHH KCC (VIỆT NAM NHƠN TRẠCH)</t>
        </is>
      </c>
      <c r="E20651" t="inlineStr">
        <is>
          <t>Lương:14 Tr - 28 Tr VND</t>
        </is>
      </c>
      <c r="F20651" t="inlineStr">
        <is>
          <t>Đồng Nai</t>
        </is>
      </c>
      <c r="G20651" t="inlineStr">
        <is>
          <t>3</t>
        </is>
      </c>
      <c r="H20651" t="inlineStr">
        <is>
          <t>20/03/2026</t>
        </is>
      </c>
      <c r="I20651" t="inlineStr">
        <is>
          <t>17/03/2026</t>
        </is>
      </c>
      <c r="J20651" t="inlineStr">
        <is>
          <t>Hóa học, Điện / Điện tử / Điện lạnh / Điện công nghiệp, Sản xuất / Vận hành sản xuất</t>
        </is>
      </c>
      <c r="K20651" t="inlineStr">
        <is>
          <t>2 - 10 Năm</t>
        </is>
      </c>
      <c r="L20651" s="8">
        <f>HYPERLINK("https://careerviet.vn/vi/tim-viec-lam/ky-su-ky-thuat.35C65EE4.html","Xem chi tiết")</f>
        <v/>
      </c>
    </row>
    <row r="20652">
      <c r="B20652" s="9" t="n">
        <v>20650</v>
      </c>
      <c r="C20652" s="10" t="inlineStr">
        <is>
          <t>Kỹ thuật viên Cơ Khí (CN Nặng)</t>
        </is>
      </c>
      <c r="D20652" s="10" t="inlineStr">
        <is>
          <t>ADC PLASTIC,. JSC</t>
        </is>
      </c>
      <c r="E20652" s="10" t="inlineStr">
        <is>
          <t>Lương:10,7 Tr - 16,7 Tr VND</t>
        </is>
      </c>
      <c r="F20652" s="10" t="inlineStr">
        <is>
          <t>Hưng Yên</t>
        </is>
      </c>
      <c r="G20652" s="10" t="inlineStr">
        <is>
          <t>3</t>
        </is>
      </c>
      <c r="H20652" s="10" t="inlineStr">
        <is>
          <t>20/03/2026</t>
        </is>
      </c>
      <c r="I20652" s="10" t="inlineStr">
        <is>
          <t>17/03/2026</t>
        </is>
      </c>
      <c r="J20652" s="10" t="inlineStr">
        <is>
          <t>Bảo trì / Sửa chữa, Cơ khí / Ô tô / Tự động hóa, Điện / Điện tử / Điện lạnh / Điện công nghiệp</t>
        </is>
      </c>
      <c r="K20652" s="10" t="inlineStr">
        <is>
          <t>3 - 5 Năm</t>
        </is>
      </c>
      <c r="L20652" s="11">
        <f>HYPERLINK("https://careerviet.vn/vi/tim-viec-lam/ky-thuat-vien-co-khi-cn-nang.35C65F9C.html","Xem chi tiết")</f>
        <v/>
      </c>
      <c r="M20652" s="10" t="n"/>
    </row>
    <row r="20653">
      <c r="B20653" s="7" t="n">
        <v>20651</v>
      </c>
      <c r="C20653" t="inlineStr">
        <is>
          <t>Business Development Executive</t>
        </is>
      </c>
      <c r="D20653" t="inlineStr">
        <is>
          <t>AKI DESIGN</t>
        </is>
      </c>
      <c r="E20653" t="inlineStr">
        <is>
          <t>Lương:Cạnh tranh</t>
        </is>
      </c>
      <c r="F20653" t="inlineStr">
        <is>
          <t>Hồ Chí Minh</t>
        </is>
      </c>
      <c r="G20653" t="inlineStr">
        <is>
          <t>3</t>
        </is>
      </c>
      <c r="H20653" t="inlineStr">
        <is>
          <t>20/03/2026</t>
        </is>
      </c>
      <c r="I20653" t="inlineStr">
        <is>
          <t>17/03/2026</t>
        </is>
      </c>
      <c r="J20653" t="inlineStr">
        <is>
          <t>Tiếp thị / Marketing, Bán hàng / Kinh doanh, Xây dựngBằng cấpCao đẳngThời gian làm việcTừ 8h30-17h30 (Thứ 2- Thứ 6), Nghỉ T7,CNĐộ tuổiKhông giới hạn tuổi</t>
        </is>
      </c>
      <c r="K20653" t="inlineStr">
        <is>
          <t>N/A</t>
        </is>
      </c>
      <c r="L20653" s="8">
        <f>HYPERLINK("https://careerviet.vn/vi/tim-viec-lam/business-development-executive.35C65F65.html","Xem chi tiết")</f>
        <v/>
      </c>
    </row>
    <row r="20654">
      <c r="B20654" s="9" t="n">
        <v>20652</v>
      </c>
      <c r="C20654" s="10" t="inlineStr">
        <is>
          <t>[QUẬN 10] BẾP TRƯỞNG / BẾP PHÓ</t>
        </is>
      </c>
      <c r="D20654" s="10" t="inlineStr">
        <is>
          <t>Công Ty Cổ Phần Tầm Nhìn Quốc Tế Aladdin</t>
        </is>
      </c>
      <c r="E20654" s="10" t="inlineStr">
        <is>
          <t>Lương:12 Tr - 20 Tr VND</t>
        </is>
      </c>
      <c r="F20654" s="10" t="inlineStr">
        <is>
          <t>Hồ Chí Minh</t>
        </is>
      </c>
      <c r="G20654" s="10" t="inlineStr">
        <is>
          <t>3</t>
        </is>
      </c>
      <c r="H20654" s="10" t="inlineStr">
        <is>
          <t>20/03/2026</t>
        </is>
      </c>
      <c r="I20654" s="10" t="inlineStr">
        <is>
          <t>17/03/2026</t>
        </is>
      </c>
      <c r="J20654" s="10" t="inlineStr">
        <is>
          <t>Thực phẩm &amp; Đồ uống, Nhà hàng / Khách sạn, Quản lý điều hành</t>
        </is>
      </c>
      <c r="K20654" s="10" t="inlineStr">
        <is>
          <t>2 - 4 Năm</t>
        </is>
      </c>
      <c r="L20654" s="11">
        <f>HYPERLINK("https://careerviet.vn/vi/tim-viec-lam/quan-10-bep-truong-bep-pho.35C68BF7.html","Xem chi tiết")</f>
        <v/>
      </c>
      <c r="M20654" s="10" t="n"/>
    </row>
    <row r="20655">
      <c r="B20655" s="7" t="n">
        <v>20653</v>
      </c>
      <c r="C20655" t="inlineStr">
        <is>
          <t>Giám sát Chất lượng (QA Supervisor) - Tiếng Anh hoặc Tiếng Trung</t>
        </is>
      </c>
      <c r="D20655" t="inlineStr">
        <is>
          <t>CÔNG TY TNHH ELECTRONIC TRIPOD VIỆT NAM (CHÂU ĐỨC)</t>
        </is>
      </c>
      <c r="E20655" t="inlineStr">
        <is>
          <t>Lương:Cạnh tranh</t>
        </is>
      </c>
      <c r="F20655" t="inlineStr">
        <is>
          <t>Bà Rịa - Vũng TàuĐồng Nai</t>
        </is>
      </c>
      <c r="G20655" t="inlineStr">
        <is>
          <t>3</t>
        </is>
      </c>
      <c r="H20655" t="inlineStr">
        <is>
          <t>20/03/2026</t>
        </is>
      </c>
      <c r="I20655" t="inlineStr">
        <is>
          <t>17/03/2026</t>
        </is>
      </c>
      <c r="J20655" t="inlineStr">
        <is>
          <t>Hóa học, Quản lý chất lượng (QA/QC)</t>
        </is>
      </c>
      <c r="K20655" t="inlineStr">
        <is>
          <t>5 - 10 Năm</t>
        </is>
      </c>
      <c r="L20655" s="8">
        <f>HYPERLINK("https://careerviet.vn/vi/tim-viec-lam/giam-sat-chat-luong-qa-supervisor-tieng-anh-hoac-tieng-trung.35C65EFD.html","Xem chi tiết")</f>
        <v/>
      </c>
    </row>
    <row r="20656">
      <c r="B20656" s="9" t="n">
        <v>20654</v>
      </c>
      <c r="C20656" s="10" t="inlineStr">
        <is>
          <t>User Growth Specialist</t>
        </is>
      </c>
      <c r="D20656" s="10" t="inlineStr">
        <is>
          <t>CÔNG TY TNHH GALAXY DIGITAL HOLDINGS</t>
        </is>
      </c>
      <c r="E20656" s="10" t="inlineStr">
        <is>
          <t>Lương:Cạnh tranh</t>
        </is>
      </c>
      <c r="F20656" s="10" t="inlineStr">
        <is>
          <t>Hồ Chí Minh</t>
        </is>
      </c>
      <c r="G20656" s="10" t="inlineStr">
        <is>
          <t>3</t>
        </is>
      </c>
      <c r="H20656" s="10" t="inlineStr">
        <is>
          <t>20/03/2026</t>
        </is>
      </c>
      <c r="I20656" s="10" t="inlineStr">
        <is>
          <t>17/03/2026</t>
        </is>
      </c>
      <c r="J20656" s="10" t="inlineStr">
        <is>
          <t>Tiếp thị / Marketing</t>
        </is>
      </c>
      <c r="K20656" s="10" t="inlineStr">
        <is>
          <t>2 - 4 Năm</t>
        </is>
      </c>
      <c r="L20656" s="11">
        <f>HYPERLINK("https://careerviet.vn/vi/tim-viec-lam/user-growth-specialist.35C6601C.html","Xem chi tiết")</f>
        <v/>
      </c>
      <c r="M20656" s="10" t="n"/>
    </row>
    <row r="20657">
      <c r="B20657" s="7" t="n">
        <v>20655</v>
      </c>
      <c r="C20657" t="inlineStr">
        <is>
          <t>Kiên Giang - Chuyên viên Quan hệ Khách hàng cá nhân</t>
        </is>
      </c>
      <c r="D20657" t="inlineStr">
        <is>
          <t>Ngân hàng TMCP Lộc Phát Việt Nam (LPBank)</t>
        </is>
      </c>
      <c r="E20657" t="inlineStr">
        <is>
          <t>Lương:Cạnh tranh</t>
        </is>
      </c>
      <c r="F20657" t="inlineStr">
        <is>
          <t>Kiên Giang</t>
        </is>
      </c>
      <c r="G20657" t="inlineStr">
        <is>
          <t>3</t>
        </is>
      </c>
      <c r="H20657" t="inlineStr">
        <is>
          <t>20/03/2026</t>
        </is>
      </c>
      <c r="I20657" t="inlineStr">
        <is>
          <t>17/03/2026</t>
        </is>
      </c>
      <c r="J20657" t="inlineStr">
        <is>
          <t>Bán hàng / Kinh doanh, Kế toán / Kiểm toán, Ngân hàng</t>
        </is>
      </c>
      <c r="K20657" t="inlineStr">
        <is>
          <t>N/A</t>
        </is>
      </c>
      <c r="L20657" s="8">
        <f>HYPERLINK("https://careerviet.vn/vi/tim-viec-lam/kien-giang-chuyen-vien-quan-he-khach-hang-ca-nhan.35C65F85.html","Xem chi tiết")</f>
        <v/>
      </c>
    </row>
    <row r="20658">
      <c r="B20658" s="9" t="n">
        <v>20656</v>
      </c>
      <c r="C20658" s="10" t="inlineStr">
        <is>
          <t>[Hue] Nhân Viên Bán Hàng Kênh Khách Hàng Trọng Điểm</t>
        </is>
      </c>
      <c r="D20658" s="10" t="inlineStr">
        <is>
          <t>Coca-Cola Beverages Vietnam</t>
        </is>
      </c>
      <c r="E20658" s="10" t="inlineStr">
        <is>
          <t>Lương:Cạnh tranh</t>
        </is>
      </c>
      <c r="F20658" s="10" t="inlineStr">
        <is>
          <t>Thừa Thiên- Huế</t>
        </is>
      </c>
      <c r="G20658" s="10" t="inlineStr">
        <is>
          <t>3</t>
        </is>
      </c>
      <c r="H20658" s="10" t="inlineStr">
        <is>
          <t>20/03/2026</t>
        </is>
      </c>
      <c r="I20658" s="10" t="inlineStr">
        <is>
          <t>17/03/2026</t>
        </is>
      </c>
      <c r="J20658" s="10" t="inlineStr">
        <is>
          <t>Bán lẻ / Bán sỉ, Bán hàng / Kinh doanh</t>
        </is>
      </c>
      <c r="K20658" s="10" t="inlineStr">
        <is>
          <t>1 - 2 Năm</t>
        </is>
      </c>
      <c r="L20658" s="11">
        <f>HYPERLINK("https://careerviet.vn/vi/tim-viec-lam/hue-nhan-vien-ban-hang-kenh-khach-hang-trong-diem.35C65EB7.html","Xem chi tiết")</f>
        <v/>
      </c>
      <c r="M20658" s="10" t="n"/>
    </row>
    <row r="20659">
      <c r="B20659" s="7" t="n">
        <v>20657</v>
      </c>
      <c r="C20659" t="inlineStr">
        <is>
          <t>Trưởng Phòng Kinh Doanh (SP Thế Chấp) - Địa Bàn Hà Nội - TA126 - ID1442</t>
        </is>
      </c>
      <c r="D20659" t="inlineStr">
        <is>
          <t>Ngân Hàng TMCP Việt Nam Thịnh Vượng - VPBANK</t>
        </is>
      </c>
      <c r="E20659" t="inlineStr">
        <is>
          <t>Lương:20 Tr - 50 Tr VND</t>
        </is>
      </c>
      <c r="F20659" t="inlineStr">
        <is>
          <t>Hà Nội</t>
        </is>
      </c>
      <c r="G20659" t="inlineStr">
        <is>
          <t>3</t>
        </is>
      </c>
      <c r="H20659" t="inlineStr">
        <is>
          <t>20/03/2026</t>
        </is>
      </c>
      <c r="I20659" t="inlineStr">
        <is>
          <t>17/03/2026</t>
        </is>
      </c>
      <c r="J20659" t="inlineStr">
        <is>
          <t>Bán hàng / Kinh doanh, Ngân hàng</t>
        </is>
      </c>
      <c r="K20659" t="inlineStr">
        <is>
          <t>Trên 3 Năm</t>
        </is>
      </c>
      <c r="L20659" s="8">
        <f>HYPERLINK("https://careerviet.vn/vi/tim-viec-lam/truong-phong-kinh-doanh-sp-the-chap-dia-ban-ha-noi-ta126-id1442.35C66062.html","Xem chi tiết")</f>
        <v/>
      </c>
    </row>
    <row r="20660">
      <c r="B20660" s="9" t="n">
        <v>20658</v>
      </c>
      <c r="C20660" s="10" t="inlineStr">
        <is>
          <t>Bến Tre - PGD Giồng Trôm - Chuyên viên Quan hệ Khách hàng cá nhân Priority</t>
        </is>
      </c>
      <c r="D20660" s="10" t="inlineStr">
        <is>
          <t>Ngân hàng TMCP Lộc Phát Việt Nam (LPBank)</t>
        </is>
      </c>
      <c r="E20660" s="10" t="inlineStr">
        <is>
          <t>Lương:Cạnh tranh</t>
        </is>
      </c>
      <c r="F20660" s="10" t="inlineStr">
        <is>
          <t>Bến Tre</t>
        </is>
      </c>
      <c r="G20660" s="10" t="inlineStr">
        <is>
          <t>3</t>
        </is>
      </c>
      <c r="H20660" s="10" t="inlineStr">
        <is>
          <t>20/03/2026</t>
        </is>
      </c>
      <c r="I20660" s="10" t="inlineStr">
        <is>
          <t>17/03/2026</t>
        </is>
      </c>
      <c r="J20660" s="10" t="inlineStr">
        <is>
          <t>Bán hàng / Kinh doanh, Bất động sản, Bảo hiểm</t>
        </is>
      </c>
      <c r="K20660" s="10" t="inlineStr">
        <is>
          <t>Trên 1 Năm</t>
        </is>
      </c>
      <c r="L20660" s="11">
        <f>HYPERLINK("https://careerviet.vn/vi/tim-viec-lam/ben-tre-pgd-giong-trom-chuyen-vien-quan-he-khach-hang-ca-nhan-priority.35C65F8A.html","Xem chi tiết")</f>
        <v/>
      </c>
      <c r="M20660" s="10" t="n"/>
    </row>
    <row r="20661">
      <c r="B20661" s="7" t="n">
        <v>20659</v>
      </c>
      <c r="C20661" t="inlineStr">
        <is>
          <t>Trưởng phòng kinh doanh khách hàng ưu tiên - TPHCM (Quận 1, Quận 3, Quận 7, Phú Nhuận) - TA110</t>
        </is>
      </c>
      <c r="D20661" t="inlineStr">
        <is>
          <t>Ngân Hàng TMCP Việt Nam Thịnh Vượng - VPBANK</t>
        </is>
      </c>
      <c r="E20661" t="inlineStr">
        <is>
          <t>Lương:Cạnh tranh</t>
        </is>
      </c>
      <c r="F20661" t="inlineStr">
        <is>
          <t>Hồ Chí Minh</t>
        </is>
      </c>
      <c r="G20661" t="inlineStr">
        <is>
          <t>3</t>
        </is>
      </c>
      <c r="H20661" t="inlineStr">
        <is>
          <t>20/03/2026</t>
        </is>
      </c>
      <c r="I20661" t="inlineStr">
        <is>
          <t>17/03/2026</t>
        </is>
      </c>
      <c r="J20661" t="inlineStr">
        <is>
          <t>Ngân hàng</t>
        </is>
      </c>
      <c r="K20661" t="inlineStr">
        <is>
          <t>5 - 7 Năm</t>
        </is>
      </c>
      <c r="L20661" s="8">
        <f>HYPERLINK("https://careerviet.vn/vi/tim-viec-lam/truong-phong-kinh-doanh-khach-hang-uu-tien-tphcm-quan-1-quan-3-quan-7-phu-nhuan-ta110.35C6607E.html","Xem chi tiết")</f>
        <v/>
      </c>
    </row>
    <row r="20662">
      <c r="B20662" s="9" t="n">
        <v>20660</v>
      </c>
      <c r="C20662" s="10" t="inlineStr">
        <is>
          <t>Chuyên viên cao cấp/Chuyên viên chính Quản trị Hệ thống</t>
        </is>
      </c>
      <c r="D20662" s="10" t="inlineStr">
        <is>
          <t>BVBank - Ngân hàng Bản Việt</t>
        </is>
      </c>
      <c r="E20662" s="10" t="inlineStr">
        <is>
          <t>Lương:Cạnh tranh</t>
        </is>
      </c>
      <c r="F20662" s="10" t="inlineStr">
        <is>
          <t>Hồ Chí Minh</t>
        </is>
      </c>
      <c r="G20662" s="10" t="inlineStr">
        <is>
          <t>3</t>
        </is>
      </c>
      <c r="H20662" s="10" t="inlineStr">
        <is>
          <t>20/03/2026</t>
        </is>
      </c>
      <c r="I20662" s="10" t="inlineStr">
        <is>
          <t>17/03/2026</t>
        </is>
      </c>
      <c r="J20662" s="10" t="inlineStr">
        <is>
          <t>Ngân hàng, Kế toán / Kiểm toán, CNTT - Phần mềm</t>
        </is>
      </c>
      <c r="K20662" s="10" t="inlineStr">
        <is>
          <t>2 - 3 Năm</t>
        </is>
      </c>
      <c r="L20662" s="11">
        <f>HYPERLINK("https://careerviet.vn/vi/tim-viec-lam/chuyen-vien-cao-cap-chuyen-vien-chinh-quan-tri-he-thong.35C65F69.html","Xem chi tiết")</f>
        <v/>
      </c>
      <c r="M20662" s="10" t="n"/>
    </row>
    <row r="20663">
      <c r="B20663" s="7" t="n">
        <v>20661</v>
      </c>
      <c r="C20663" t="inlineStr">
        <is>
          <t>CHUYÊN VIÊN MUA HÀNG (XÂY DỰNG, CẢNH QUAN, NGOẠI THẤT,...)</t>
        </is>
      </c>
      <c r="D20663" t="inlineStr">
        <is>
          <t>Công Ty TNHH J.G</t>
        </is>
      </c>
      <c r="E20663" t="inlineStr">
        <is>
          <t>Lương:Cạnh tranh</t>
        </is>
      </c>
      <c r="F20663" t="inlineStr">
        <is>
          <t>Hồ Chí Minh</t>
        </is>
      </c>
      <c r="G20663" t="inlineStr">
        <is>
          <t>3</t>
        </is>
      </c>
      <c r="H20663" t="inlineStr">
        <is>
          <t>20/03/2026</t>
        </is>
      </c>
      <c r="I20663" t="inlineStr">
        <is>
          <t>17/03/2026</t>
        </is>
      </c>
      <c r="J20663" t="inlineStr">
        <is>
          <t>Kiến trúc, Xây dựng, Nội ngoại thất</t>
        </is>
      </c>
      <c r="K20663" t="inlineStr">
        <is>
          <t>3 - 5 Năm</t>
        </is>
      </c>
      <c r="L20663" s="8">
        <f>HYPERLINK("https://careerviet.vn/vi/tim-viec-lam/chuyen-vien-mua-hang-xay-dung-canh-quan-ngoai-that.35C65EA4.html","Xem chi tiết")</f>
        <v/>
      </c>
    </row>
    <row r="20664">
      <c r="B20664" s="9" t="n">
        <v>20662</v>
      </c>
      <c r="C20664" s="10" t="inlineStr">
        <is>
          <t>Chuyên viên Vận hành hệ thống</t>
        </is>
      </c>
      <c r="D20664" s="10" t="inlineStr">
        <is>
          <t>Tổng Công Ty Cổ Phần Bảo Hiểm Ngân Hàng TMCP Công Thương Việt Nam</t>
        </is>
      </c>
      <c r="E20664" s="10" t="inlineStr">
        <is>
          <t>Lương:Cạnh tranh</t>
        </is>
      </c>
      <c r="F20664" s="10" t="inlineStr">
        <is>
          <t>Hà Nội</t>
        </is>
      </c>
      <c r="G20664" s="10" t="inlineStr">
        <is>
          <t>3</t>
        </is>
      </c>
      <c r="H20664" s="10" t="inlineStr">
        <is>
          <t>20/03/2026</t>
        </is>
      </c>
      <c r="I20664" s="10" t="inlineStr">
        <is>
          <t>17/03/2026</t>
        </is>
      </c>
      <c r="J20664" s="10" t="inlineStr">
        <is>
          <t>CNTT - Phần cứng / Mạng, CNTT - Phần mềm, Ngân hàng</t>
        </is>
      </c>
      <c r="K20664" s="10" t="inlineStr">
        <is>
          <t>3 - 5 Năm</t>
        </is>
      </c>
      <c r="L20664" s="11">
        <f>HYPERLINK("https://careerviet.vn/vi/tim-viec-lam/chuyen-vien-van-hanh-he-thong.35C65E8A.html","Xem chi tiết")</f>
        <v/>
      </c>
      <c r="M20664" s="10" t="n"/>
    </row>
    <row r="20665">
      <c r="B20665" s="7" t="n">
        <v>20663</v>
      </c>
      <c r="C20665" t="inlineStr">
        <is>
          <t>NHÂN VIÊN BÁN HÀNG (FULLTIME - KKV Flagship LÊ LỢI)</t>
        </is>
      </c>
      <c r="D20665" t="inlineStr">
        <is>
          <t>KK Vietnam</t>
        </is>
      </c>
      <c r="E20665" t="inlineStr">
        <is>
          <t>Lương:8 Tr - 10 Tr VND</t>
        </is>
      </c>
      <c r="F20665" t="inlineStr">
        <is>
          <t>Hồ Chí Minh</t>
        </is>
      </c>
      <c r="G20665" t="inlineStr">
        <is>
          <t>3</t>
        </is>
      </c>
      <c r="H20665" t="inlineStr">
        <is>
          <t>20/03/2026</t>
        </is>
      </c>
      <c r="I20665" t="inlineStr">
        <is>
          <t>17/03/2026</t>
        </is>
      </c>
      <c r="J20665" t="inlineStr">
        <is>
          <t>Bán lẻ / Bán sỉ, Bán hàng / Kinh doanh</t>
        </is>
      </c>
      <c r="K20665" t="inlineStr">
        <is>
          <t>1 - 3 Năm</t>
        </is>
      </c>
      <c r="L20665" s="8">
        <f>HYPERLINK("https://careerviet.vn/vi/tim-viec-lam/nhan-vien-ban-hang-fulltime-kkv-flagship-le-loi.35C65F4F.html","Xem chi tiết")</f>
        <v/>
      </c>
    </row>
    <row r="20666">
      <c r="B20666" s="9" t="n">
        <v>20664</v>
      </c>
      <c r="C20666" s="10" t="inlineStr">
        <is>
          <t>Trưởng Nhóm Kinh Doanh Thị Trường</t>
        </is>
      </c>
      <c r="D20666" s="10" t="inlineStr">
        <is>
          <t>FE CREDIT</t>
        </is>
      </c>
      <c r="E20666" s="10" t="inlineStr">
        <is>
          <t>Lương:Cạnh tranh</t>
        </is>
      </c>
      <c r="F20666" s="10" t="inlineStr">
        <is>
          <t>Hồ Chí MinhNinh ThuậnLong An</t>
        </is>
      </c>
      <c r="G20666" s="10" t="inlineStr">
        <is>
          <t>3</t>
        </is>
      </c>
      <c r="H20666" s="10" t="inlineStr">
        <is>
          <t>20/03/2026</t>
        </is>
      </c>
      <c r="I20666" s="10" t="inlineStr">
        <is>
          <t>17/03/2026</t>
        </is>
      </c>
      <c r="J20666" s="10" t="inlineStr">
        <is>
          <t>Ngân hàng, Tài chính / Đầu tư</t>
        </is>
      </c>
      <c r="K20666" s="10" t="inlineStr">
        <is>
          <t>2 - 3 Năm</t>
        </is>
      </c>
      <c r="L20666" s="11">
        <f>HYPERLINK("https://careerviet.vn/vi/tim-viec-lam/truong-nhom-kinh-doanh-thi-truong.35C65EBC.html","Xem chi tiết")</f>
        <v/>
      </c>
      <c r="M20666" s="10" t="n"/>
    </row>
    <row r="20667">
      <c r="B20667" s="7" t="n">
        <v>20665</v>
      </c>
      <c r="C20667" t="inlineStr">
        <is>
          <t>Chuyên viên Kiểm toán  Kế toán Nội bộ</t>
        </is>
      </c>
      <c r="D20667" t="inlineStr">
        <is>
          <t>Công Ty Cổ Phần Tập Đoàn Đầu Tư Địa Ốc No Va</t>
        </is>
      </c>
      <c r="E20667" t="inlineStr">
        <is>
          <t>Lương:Cạnh tranh</t>
        </is>
      </c>
      <c r="F20667" t="inlineStr">
        <is>
          <t>Hồ Chí Minh</t>
        </is>
      </c>
      <c r="G20667" t="inlineStr">
        <is>
          <t>3</t>
        </is>
      </c>
      <c r="H20667" t="inlineStr">
        <is>
          <t>20/03/2026</t>
        </is>
      </c>
      <c r="I20667" t="inlineStr">
        <is>
          <t>17/03/2026</t>
        </is>
      </c>
      <c r="J20667" t="inlineStr">
        <is>
          <t>Kế toán / Kiểm toán, Tài chính / Đầu tư, Bất động sản</t>
        </is>
      </c>
      <c r="K20667" t="inlineStr">
        <is>
          <t>1 - 2 Năm</t>
        </is>
      </c>
      <c r="L20667" s="8">
        <f>HYPERLINK("https://careerviet.vn/vi/tim-viec-lam/chuyen-vien-kiem-toan-ke-toan-noi-bo.35C65F78.html","Xem chi tiết")</f>
        <v/>
      </c>
    </row>
    <row r="20668">
      <c r="B20668" s="9" t="n">
        <v>20666</v>
      </c>
      <c r="C20668" s="10" t="inlineStr">
        <is>
          <t>Giám sát vệ sinh công nghiệp</t>
        </is>
      </c>
      <c r="D20668" s="10" t="inlineStr">
        <is>
          <t>Công Ty Cổ Phần Dịch Vụ Nhà Sạch</t>
        </is>
      </c>
      <c r="E20668" s="10" t="inlineStr">
        <is>
          <t>Lương:Cạnh tranh</t>
        </is>
      </c>
      <c r="F20668" s="10" t="inlineStr">
        <is>
          <t>Đà Nẵng</t>
        </is>
      </c>
      <c r="G20668" s="10" t="inlineStr">
        <is>
          <t>3</t>
        </is>
      </c>
      <c r="H20668" s="10" t="inlineStr">
        <is>
          <t>20/03/2026</t>
        </is>
      </c>
      <c r="I20668" s="10" t="inlineStr">
        <is>
          <t>17/03/2026</t>
        </is>
      </c>
      <c r="J20668" s="10" t="inlineStr">
        <is>
          <t>Bán hàng / Kinh doanh, Dịch vụ khách hàng, Nhà hàng / Khách sạn</t>
        </is>
      </c>
      <c r="K20668" s="10" t="inlineStr">
        <is>
          <t>N/A</t>
        </is>
      </c>
      <c r="L20668" s="11">
        <f>HYPERLINK("https://careerviet.vn/vi/tim-viec-lam/giam-sat-ve-sinh-cong-nghiep.35C65F56.html","Xem chi tiết")</f>
        <v/>
      </c>
      <c r="M20668" s="10" t="n"/>
    </row>
    <row r="20669">
      <c r="B20669" s="7" t="n">
        <v>20667</v>
      </c>
      <c r="C20669" t="inlineStr">
        <is>
          <t>Thư ký dự án (Khối Phát Triển BĐS)</t>
        </is>
      </c>
      <c r="D20669" t="inlineStr">
        <is>
          <t>CÔNG TY CỔ PHẦN VĨNH QUANG</t>
        </is>
      </c>
      <c r="E20669" t="inlineStr">
        <is>
          <t>Lương:Cạnh tranh</t>
        </is>
      </c>
      <c r="F20669" t="inlineStr">
        <is>
          <t>Hồ Chí Minh</t>
        </is>
      </c>
      <c r="G20669" t="inlineStr">
        <is>
          <t>3</t>
        </is>
      </c>
      <c r="H20669" t="inlineStr">
        <is>
          <t>20/03/2026</t>
        </is>
      </c>
      <c r="I20669" t="inlineStr">
        <is>
          <t>17/03/2026</t>
        </is>
      </c>
      <c r="J20669" t="inlineStr">
        <is>
          <t>Hành chính / Thư ký, Xây dựng, Bất động sản</t>
        </is>
      </c>
      <c r="K20669" t="inlineStr">
        <is>
          <t>2 - 5 Năm</t>
        </is>
      </c>
      <c r="L20669" s="8">
        <f>HYPERLINK("https://careerviet.vn/vi/tim-viec-lam/thu-ky-du-an-khoi-phat-trien-bds.35C65EC9.html","Xem chi tiết")</f>
        <v/>
      </c>
    </row>
    <row r="20670">
      <c r="B20670" s="9" t="n">
        <v>20668</v>
      </c>
      <c r="C20670" s="10" t="inlineStr">
        <is>
          <t>Chuyên viên Đấu thầu ( Chủ đầu tư BĐS) đi làm ngay</t>
        </is>
      </c>
      <c r="D20670" s="10" t="inlineStr">
        <is>
          <t>Công Ty CP Đầu Tư IMG</t>
        </is>
      </c>
      <c r="E20670" s="10" t="inlineStr">
        <is>
          <t>Lương:23 Tr - 26 Tr VND</t>
        </is>
      </c>
      <c r="F20670" s="10" t="inlineStr">
        <is>
          <t>Hồ Chí Minh</t>
        </is>
      </c>
      <c r="G20670" s="10" t="inlineStr">
        <is>
          <t>3</t>
        </is>
      </c>
      <c r="H20670" s="10" t="inlineStr">
        <is>
          <t>20/03/2026</t>
        </is>
      </c>
      <c r="I20670" s="10" t="inlineStr">
        <is>
          <t>17/03/2026</t>
        </is>
      </c>
      <c r="J20670" s="10" t="inlineStr">
        <is>
          <t>Bán hàng / Kinh doanh, Xây dựng, Bất động sản</t>
        </is>
      </c>
      <c r="K20670" s="10" t="inlineStr">
        <is>
          <t>5 - 10 Năm</t>
        </is>
      </c>
      <c r="L20670" s="11">
        <f>HYPERLINK("https://careerviet.vn/vi/tim-viec-lam/chuyen-vien-dau-thau-chu-dau-tu-bds-di-lam-ngay.35C66054.html","Xem chi tiết")</f>
        <v/>
      </c>
      <c r="M20670" s="10" t="n"/>
    </row>
    <row r="20671">
      <c r="B20671" s="7" t="n">
        <v>20669</v>
      </c>
      <c r="C20671" t="inlineStr">
        <is>
          <t>Middle GIS Developer</t>
        </is>
      </c>
      <c r="D20671" t="inlineStr">
        <is>
          <t>CÔNG TY CỔ PHẦN CITICS</t>
        </is>
      </c>
      <c r="E20671" t="inlineStr">
        <is>
          <t>Lương:Cạnh tranh</t>
        </is>
      </c>
      <c r="F20671" t="inlineStr">
        <is>
          <t>Hồ Chí Minh</t>
        </is>
      </c>
      <c r="G20671" t="inlineStr">
        <is>
          <t>3</t>
        </is>
      </c>
      <c r="H20671" t="inlineStr">
        <is>
          <t>20/03/2026</t>
        </is>
      </c>
      <c r="I20671" t="inlineStr">
        <is>
          <t>17/03/2026</t>
        </is>
      </c>
      <c r="J20671" t="inlineStr">
        <is>
          <t>Trắc địa / Địa Chất, CNTT - Phần mềm</t>
        </is>
      </c>
      <c r="K20671" t="inlineStr">
        <is>
          <t>Trên 3 Năm</t>
        </is>
      </c>
      <c r="L20671" s="8">
        <f>HYPERLINK("https://careerviet.vn/vi/tim-viec-lam/middle-gis-developer.35C65FFF.html","Xem chi tiết")</f>
        <v/>
      </c>
    </row>
    <row r="20672">
      <c r="B20672" s="9" t="n">
        <v>20670</v>
      </c>
      <c r="C20672" s="10" t="inlineStr">
        <is>
          <t>Nhân viên chất lượng (Biết tiếng hàn)</t>
        </is>
      </c>
      <c r="D20672" s="10" t="inlineStr">
        <is>
          <t>Công ty TNHH Yura Corporation Vina</t>
        </is>
      </c>
      <c r="E20672" s="10" t="inlineStr">
        <is>
          <t>Lương:Cạnh tranh</t>
        </is>
      </c>
      <c r="F20672" s="10" t="inlineStr">
        <is>
          <t>Hưng Yên</t>
        </is>
      </c>
      <c r="G20672" s="10" t="inlineStr">
        <is>
          <t>3</t>
        </is>
      </c>
      <c r="H20672" s="10" t="inlineStr">
        <is>
          <t>20/03/2026</t>
        </is>
      </c>
      <c r="I20672" s="10" t="inlineStr">
        <is>
          <t>17/03/2026</t>
        </is>
      </c>
      <c r="J20672" s="10" t="inlineStr">
        <is>
          <t>Quản lý chất lượng (QA/QC)</t>
        </is>
      </c>
      <c r="K20672" s="10" t="inlineStr">
        <is>
          <t>5 - 10 Năm</t>
        </is>
      </c>
      <c r="L20672" s="11">
        <f>HYPERLINK("https://careerviet.vn/vi/tim-viec-lam/nhan-vien-chat-luong-biet-tieng-han.35C65FDC.html","Xem chi tiết")</f>
        <v/>
      </c>
      <c r="M20672" s="10" t="n"/>
    </row>
    <row r="20673">
      <c r="B20673" s="7" t="n">
        <v>20671</v>
      </c>
      <c r="C20673" t="inlineStr">
        <is>
          <t>Nhân Viên C&amp;B</t>
        </is>
      </c>
      <c r="D20673" t="inlineStr">
        <is>
          <t>Công ty TNHH Du Lịch &amp; Vận Tải Vân Anh</t>
        </is>
      </c>
      <c r="E20673" t="inlineStr">
        <is>
          <t>Lương:11 Tr - 13 Tr VND</t>
        </is>
      </c>
      <c r="F20673" t="inlineStr">
        <is>
          <t>Hà Nội</t>
        </is>
      </c>
      <c r="G20673" t="inlineStr">
        <is>
          <t>3</t>
        </is>
      </c>
      <c r="H20673" t="inlineStr">
        <is>
          <t>20/03/2026</t>
        </is>
      </c>
      <c r="I20673" t="inlineStr">
        <is>
          <t>17/03/2026</t>
        </is>
      </c>
      <c r="J20673" t="inlineStr">
        <is>
          <t>Nhân sự</t>
        </is>
      </c>
      <c r="K20673" t="inlineStr">
        <is>
          <t>2 - 5 Năm</t>
        </is>
      </c>
      <c r="L20673" s="8">
        <f>HYPERLINK("https://careerviet.vn/vi/tim-viec-lam/nhan-vien-c-b.35C65E91.html","Xem chi tiết")</f>
        <v/>
      </c>
    </row>
    <row r="20674">
      <c r="B20674" s="9" t="n">
        <v>20672</v>
      </c>
      <c r="C20674" s="10" t="inlineStr">
        <is>
          <t>Digital Performance Marketing Executive</t>
        </is>
      </c>
      <c r="D20674" s="10" t="inlineStr">
        <is>
          <t>TNHH MTV Cimigo</t>
        </is>
      </c>
      <c r="E20674" s="10" t="inlineStr">
        <is>
          <t>Lương:Cạnh tranh</t>
        </is>
      </c>
      <c r="F20674" s="10" t="inlineStr">
        <is>
          <t>Hồ Chí Minh</t>
        </is>
      </c>
      <c r="G20674" s="10" t="inlineStr">
        <is>
          <t>3</t>
        </is>
      </c>
      <c r="H20674" s="10" t="inlineStr">
        <is>
          <t>20/03/2026</t>
        </is>
      </c>
      <c r="I20674" s="10" t="inlineStr">
        <is>
          <t>17/03/2026</t>
        </is>
      </c>
      <c r="J20674" s="10" t="inlineStr">
        <is>
          <t>Tiếp thị / Marketing, Thống kê, Quảng cáo / Đối ngoại / Truyền Thông</t>
        </is>
      </c>
      <c r="K20674" s="10" t="inlineStr">
        <is>
          <t>Trên 2 Năm</t>
        </is>
      </c>
      <c r="L20674" s="11">
        <f>HYPERLINK("https://careerviet.vn/vi/tim-viec-lam/digital-performance-marketing-executive.35C66032.html","Xem chi tiết")</f>
        <v/>
      </c>
      <c r="M20674" s="10" t="n"/>
    </row>
    <row r="20675">
      <c r="B20675" s="7" t="n">
        <v>20673</v>
      </c>
      <c r="C20675" t="inlineStr">
        <is>
          <t>Senior Investment Advisory Executive - Institutional Client Department</t>
        </is>
      </c>
      <c r="D20675" t="inlineStr">
        <is>
          <t>VDSC - Công ty CP Chứng khoán Rồng Việt</t>
        </is>
      </c>
      <c r="E20675" t="inlineStr">
        <is>
          <t>Lương:15 Tr - 25 Tr VND</t>
        </is>
      </c>
      <c r="F20675" t="inlineStr">
        <is>
          <t>Hồ Chí Minh</t>
        </is>
      </c>
      <c r="G20675" t="inlineStr">
        <is>
          <t>3</t>
        </is>
      </c>
      <c r="H20675" t="inlineStr">
        <is>
          <t>20/03/2026</t>
        </is>
      </c>
      <c r="I20675" t="inlineStr">
        <is>
          <t>17/03/2026</t>
        </is>
      </c>
      <c r="J20675" t="inlineStr">
        <is>
          <t>Ngân hàng, Chứng khoán, Tài chính / Đầu tư</t>
        </is>
      </c>
      <c r="K20675" t="inlineStr">
        <is>
          <t>5 - 6 Năm</t>
        </is>
      </c>
      <c r="L20675" s="8">
        <f>HYPERLINK("https://careerviet.vn/vi/tim-viec-lam/senior-investment-advisory-executive-institutional-client-department.35C65FA7.html","Xem chi tiết")</f>
        <v/>
      </c>
    </row>
    <row r="20676">
      <c r="B20676" s="9" t="n">
        <v>20674</v>
      </c>
      <c r="C20676" s="10" t="inlineStr">
        <is>
          <t>Trợ Giảng Chương Trình Kỹ Năng Sống Cho Trẻ Em</t>
        </is>
      </c>
      <c r="D20676" s="10" t="inlineStr">
        <is>
          <t>TRƯỜNG QUỐC TẾ BLUE RIDGE / BLUE RIDGE INTERNATIONAL SCHOOL (BRIS)</t>
        </is>
      </c>
      <c r="E20676" s="10" t="inlineStr">
        <is>
          <t>Lương:6 Tr - 7,5 Tr VND</t>
        </is>
      </c>
      <c r="F20676" s="10" t="inlineStr">
        <is>
          <t>Hồ Chí Minh</t>
        </is>
      </c>
      <c r="G20676" s="10" t="inlineStr">
        <is>
          <t>3</t>
        </is>
      </c>
      <c r="H20676" s="10" t="inlineStr">
        <is>
          <t>20/03/2026</t>
        </is>
      </c>
      <c r="I20676" s="10" t="inlineStr">
        <is>
          <t>17/03/2026</t>
        </is>
      </c>
      <c r="J20676" s="10" t="inlineStr">
        <is>
          <t>Giáo dục / Đào tạo</t>
        </is>
      </c>
      <c r="K20676" s="10" t="inlineStr">
        <is>
          <t>Trên 1 Năm</t>
        </is>
      </c>
      <c r="L20676" s="11">
        <f>HYPERLINK("https://careerviet.vn/vi/tim-viec-lam/tro-giang-chuong-trinh-ky-nang-song-cho-tre-em.35C65F86.html","Xem chi tiết")</f>
        <v/>
      </c>
      <c r="M20676" s="10" t="n"/>
    </row>
    <row r="20677">
      <c r="B20677" s="7" t="n">
        <v>20675</v>
      </c>
      <c r="C20677" t="inlineStr">
        <is>
          <t>Data Processing Associate (Market Research Agency)</t>
        </is>
      </c>
      <c r="D20677" t="inlineStr">
        <is>
          <t>TNHH MTV Cimigo</t>
        </is>
      </c>
      <c r="E20677" t="inlineStr">
        <is>
          <t>Lương:Cạnh tranh</t>
        </is>
      </c>
      <c r="F20677" t="inlineStr">
        <is>
          <t>Hồ Chí Minh</t>
        </is>
      </c>
      <c r="G20677" t="inlineStr">
        <is>
          <t>3</t>
        </is>
      </c>
      <c r="H20677" t="inlineStr">
        <is>
          <t>20/03/2026</t>
        </is>
      </c>
      <c r="I20677" t="inlineStr">
        <is>
          <t>17/03/2026</t>
        </is>
      </c>
      <c r="J20677" t="inlineStr">
        <is>
          <t>Tiếp thị / Marketing, Thống kê, Quảng cáo / Đối ngoại / Truyền Thông</t>
        </is>
      </c>
      <c r="K20677" t="inlineStr">
        <is>
          <t>N/A</t>
        </is>
      </c>
      <c r="L20677" s="8">
        <f>HYPERLINK("https://careerviet.vn/vi/tim-viec-lam/data-processing-associate-market-research-agency.35C66035.html","Xem chi tiết")</f>
        <v/>
      </c>
    </row>
    <row r="20678">
      <c r="B20678" s="9" t="n">
        <v>20676</v>
      </c>
      <c r="C20678" s="10" t="inlineStr">
        <is>
          <t>Senior Financial Planning &amp; Analyst Specialist</t>
        </is>
      </c>
      <c r="D20678" s="10" t="inlineStr">
        <is>
          <t>CÔNG TY TNHH GALAXY DIGITAL HOLDINGS</t>
        </is>
      </c>
      <c r="E20678" s="10" t="inlineStr">
        <is>
          <t>Lương:Cạnh tranh</t>
        </is>
      </c>
      <c r="F20678" s="10" t="inlineStr">
        <is>
          <t>Hồ Chí Minh</t>
        </is>
      </c>
      <c r="G20678" s="10" t="inlineStr">
        <is>
          <t>3</t>
        </is>
      </c>
      <c r="H20678" s="10" t="inlineStr">
        <is>
          <t>20/03/2026</t>
        </is>
      </c>
      <c r="I20678" s="10" t="inlineStr">
        <is>
          <t>17/03/2026</t>
        </is>
      </c>
      <c r="J20678" s="10" t="inlineStr">
        <is>
          <t>Tài chính / Đầu tư</t>
        </is>
      </c>
      <c r="K20678" s="10" t="inlineStr">
        <is>
          <t>3 - 5 Năm</t>
        </is>
      </c>
      <c r="L20678" s="11">
        <f>HYPERLINK("https://careerviet.vn/vi/tim-viec-lam/senior-financial-planning-analyst-specialist.35C65FB0.html","Xem chi tiết")</f>
        <v/>
      </c>
      <c r="M20678" s="10" t="n"/>
    </row>
    <row r="20679">
      <c r="B20679" s="7" t="n">
        <v>20677</v>
      </c>
      <c r="C20679" t="inlineStr">
        <is>
          <t>Project Manager</t>
        </is>
      </c>
      <c r="D20679" t="inlineStr">
        <is>
          <t>UrBox - Công ty Cổ phần Tiếp Thị Số Tô Quà</t>
        </is>
      </c>
      <c r="E20679" t="inlineStr">
        <is>
          <t>Lương:Cạnh tranh</t>
        </is>
      </c>
      <c r="F20679" t="inlineStr">
        <is>
          <t>Hồ Chí Minh</t>
        </is>
      </c>
      <c r="G20679" t="inlineStr">
        <is>
          <t>3</t>
        </is>
      </c>
      <c r="H20679" t="inlineStr">
        <is>
          <t>20/03/2026</t>
        </is>
      </c>
      <c r="I20679" t="inlineStr">
        <is>
          <t>17/03/2026</t>
        </is>
      </c>
      <c r="J20679" t="inlineStr">
        <is>
          <t>Bán hàng / Kinh doanh, Bán Hàng Kỹ Thuật, CNTT - Phần mềm</t>
        </is>
      </c>
      <c r="K20679" t="inlineStr">
        <is>
          <t>3 - 5 Năm</t>
        </is>
      </c>
      <c r="L20679" s="8">
        <f>HYPERLINK("https://careerviet.vn/vi/tim-viec-lam/project-manager.35C65F87.html","Xem chi tiết")</f>
        <v/>
      </c>
    </row>
    <row r="20680">
      <c r="B20680" s="9" t="n">
        <v>20678</v>
      </c>
      <c r="C20680" s="10" t="inlineStr">
        <is>
          <t>[PGD Cầu Ngang] Chuyên viên Quan hệ Khách hàng cá nhân Priority</t>
        </is>
      </c>
      <c r="D20680" s="10" t="inlineStr">
        <is>
          <t>Ngân hàng TMCP Lộc Phát Việt Nam (LPBank)</t>
        </is>
      </c>
      <c r="E20680" s="10" t="inlineStr">
        <is>
          <t>Lương:Cạnh tranh</t>
        </is>
      </c>
      <c r="F20680" s="10" t="inlineStr">
        <is>
          <t>Trà Vinh</t>
        </is>
      </c>
      <c r="G20680" s="10" t="inlineStr">
        <is>
          <t>3</t>
        </is>
      </c>
      <c r="H20680" s="10" t="inlineStr">
        <is>
          <t>20/03/2026</t>
        </is>
      </c>
      <c r="I20680" s="10" t="inlineStr">
        <is>
          <t>17/03/2026</t>
        </is>
      </c>
      <c r="J20680" s="10" t="inlineStr">
        <is>
          <t>Bán hàng / Kinh doanh, Bất động sản, Bảo hiểm</t>
        </is>
      </c>
      <c r="K20680" s="10" t="inlineStr">
        <is>
          <t>Trên 1 Năm</t>
        </is>
      </c>
      <c r="L20680" s="11">
        <f>HYPERLINK("https://careerviet.vn/vi/tim-viec-lam/pgd-cau-ngang-chuyen-vien-quan-he-khach-hang-ca-nhan-priority.35C65F8F.html","Xem chi tiết")</f>
        <v/>
      </c>
      <c r="M20680" s="10" t="n"/>
    </row>
    <row r="20681">
      <c r="B20681" s="7" t="n">
        <v>20679</v>
      </c>
      <c r="C20681" t="inlineStr">
        <is>
          <t>Sóc Trăng - Chuyên viên Quan hệ Khách hàng cá nhân</t>
        </is>
      </c>
      <c r="D20681" t="inlineStr">
        <is>
          <t>Ngân hàng TMCP Lộc Phát Việt Nam (LPBank)</t>
        </is>
      </c>
      <c r="E20681" t="inlineStr">
        <is>
          <t>Lương:Cạnh tranh</t>
        </is>
      </c>
      <c r="F20681" t="inlineStr">
        <is>
          <t>Sóc Trăng</t>
        </is>
      </c>
      <c r="G20681" t="inlineStr">
        <is>
          <t>3</t>
        </is>
      </c>
      <c r="H20681" t="inlineStr">
        <is>
          <t>20/03/2026</t>
        </is>
      </c>
      <c r="I20681" t="inlineStr">
        <is>
          <t>17/03/2026</t>
        </is>
      </c>
      <c r="J20681" t="inlineStr">
        <is>
          <t>Bán hàng / Kinh doanh, Kế toán / Kiểm toán, Ngân hàng</t>
        </is>
      </c>
      <c r="K20681" t="inlineStr">
        <is>
          <t>N/A</t>
        </is>
      </c>
      <c r="L20681" s="8">
        <f>HYPERLINK("https://careerviet.vn/vi/tim-viec-lam/soc-trang-chuyen-vien-quan-he-khach-hang-ca-nhan.35C65F79.html","Xem chi tiết")</f>
        <v/>
      </c>
    </row>
    <row r="20682">
      <c r="B20682" s="9" t="n">
        <v>20680</v>
      </c>
      <c r="C20682" s="10" t="inlineStr">
        <is>
          <t>[PGDL Trần Văn Thời] Chuyên viên Quan hệ Khách hàng cá nhân Priority</t>
        </is>
      </c>
      <c r="D20682" s="10" t="inlineStr">
        <is>
          <t>Ngân hàng TMCP Lộc Phát Việt Nam (LPBank)</t>
        </is>
      </c>
      <c r="E20682" s="10" t="inlineStr">
        <is>
          <t>Lương:Cạnh tranh</t>
        </is>
      </c>
      <c r="F20682" s="10" t="inlineStr">
        <is>
          <t>Cà Mau</t>
        </is>
      </c>
      <c r="G20682" s="10" t="inlineStr">
        <is>
          <t>3</t>
        </is>
      </c>
      <c r="H20682" s="10" t="inlineStr">
        <is>
          <t>20/03/2026</t>
        </is>
      </c>
      <c r="I20682" s="10" t="inlineStr">
        <is>
          <t>17/03/2026</t>
        </is>
      </c>
      <c r="J20682" s="10" t="inlineStr">
        <is>
          <t>Bán hàng / Kinh doanh, Bất động sản, Bảo hiểm</t>
        </is>
      </c>
      <c r="K20682" s="10" t="inlineStr">
        <is>
          <t>Trên 1 Năm</t>
        </is>
      </c>
      <c r="L20682" s="11">
        <f>HYPERLINK("https://careerviet.vn/vi/tim-viec-lam/pgdl-tran-van-thoi-chuyen-vien-quan-he-khach-hang-ca-nhan-priority.35C65FA9.html","Xem chi tiết")</f>
        <v/>
      </c>
      <c r="M20682" s="10" t="n"/>
    </row>
    <row r="20683">
      <c r="B20683" s="7" t="n">
        <v>20681</v>
      </c>
      <c r="C20683" t="inlineStr">
        <is>
          <t>Kế toán doanh thu (chủ đầu tư BĐS)</t>
        </is>
      </c>
      <c r="D20683" t="inlineStr">
        <is>
          <t>Tập Đoàn Tân Á Đại Thành</t>
        </is>
      </c>
      <c r="E20683" t="inlineStr">
        <is>
          <t>Lương:20 Tr - 25 Tr VND</t>
        </is>
      </c>
      <c r="F20683" t="inlineStr">
        <is>
          <t>Hà Nội</t>
        </is>
      </c>
      <c r="G20683" t="inlineStr">
        <is>
          <t>3</t>
        </is>
      </c>
      <c r="H20683" t="inlineStr">
        <is>
          <t>20/03/2026</t>
        </is>
      </c>
      <c r="I20683" t="inlineStr">
        <is>
          <t>17/03/2026</t>
        </is>
      </c>
      <c r="J20683" t="inlineStr">
        <is>
          <t>Kế toán / Kiểm toán, Ngân hàng, Tài chính / Đầu tư</t>
        </is>
      </c>
      <c r="K20683" t="inlineStr">
        <is>
          <t>Trên 3 Năm</t>
        </is>
      </c>
      <c r="L20683" s="8">
        <f>HYPERLINK("https://careerviet.vn/vi/tim-viec-lam/ke-toan-doanh-thu-chu-dau-tu-bds.35C63622.html","Xem chi tiết")</f>
        <v/>
      </c>
    </row>
    <row r="20684">
      <c r="B20684" s="9" t="n">
        <v>20682</v>
      </c>
      <c r="C20684" s="10" t="inlineStr">
        <is>
          <t>PGDL Trần Văn Thời - Chuyên viên Quan hệ Khách hàng cá nhân</t>
        </is>
      </c>
      <c r="D20684" s="10" t="inlineStr">
        <is>
          <t>Ngân hàng TMCP Lộc Phát Việt Nam (LPBank)</t>
        </is>
      </c>
      <c r="E20684" s="10" t="inlineStr">
        <is>
          <t>Lương:Cạnh tranh</t>
        </is>
      </c>
      <c r="F20684" s="10" t="inlineStr">
        <is>
          <t>Cà Mau</t>
        </is>
      </c>
      <c r="G20684" s="10" t="inlineStr">
        <is>
          <t>3</t>
        </is>
      </c>
      <c r="H20684" s="10" t="inlineStr">
        <is>
          <t>20/03/2026</t>
        </is>
      </c>
      <c r="I20684" s="10" t="inlineStr">
        <is>
          <t>17/03/2026</t>
        </is>
      </c>
      <c r="J20684" s="10" t="inlineStr">
        <is>
          <t>Bán hàng / Kinh doanh, Kế toán / Kiểm toán, Ngân hàng</t>
        </is>
      </c>
      <c r="K20684" s="10" t="inlineStr">
        <is>
          <t>N/A</t>
        </is>
      </c>
      <c r="L20684" s="11">
        <f>HYPERLINK("https://careerviet.vn/vi/tim-viec-lam/pgdl-tran-van-thoi-chuyen-vien-quan-he-khach-hang-ca-nhan.35C65F75.html","Xem chi tiết")</f>
        <v/>
      </c>
      <c r="M20684" s="10" t="n"/>
    </row>
    <row r="20685">
      <c r="B20685" s="7" t="n">
        <v>20683</v>
      </c>
      <c r="C20685" t="inlineStr">
        <is>
          <t>NHÂN VIÊN HÀNH CHÍNH-VĂN THƯ</t>
        </is>
      </c>
      <c r="D20685" t="inlineStr">
        <is>
          <t>TBS Land- Công ty Cổ Phần Đầu Tư Thái Bình</t>
        </is>
      </c>
      <c r="E20685" t="inlineStr">
        <is>
          <t>Lương:Cạnh tranh</t>
        </is>
      </c>
      <c r="F20685" t="inlineStr">
        <is>
          <t>Bình Dương</t>
        </is>
      </c>
      <c r="G20685" t="inlineStr">
        <is>
          <t>3</t>
        </is>
      </c>
      <c r="H20685" t="inlineStr">
        <is>
          <t>20/03/2026</t>
        </is>
      </c>
      <c r="I20685" t="inlineStr">
        <is>
          <t>17/03/2026</t>
        </is>
      </c>
      <c r="J20685" t="inlineStr">
        <is>
          <t>Hành chính / Thư ký</t>
        </is>
      </c>
      <c r="K20685" t="inlineStr">
        <is>
          <t>1 - 3 Năm</t>
        </is>
      </c>
      <c r="L20685" s="8">
        <f>HYPERLINK("https://careerviet.vn/vi/tim-viec-lam/nhan-vien-hanh-chinh-van-thu.35C65FD7.html","Xem chi tiết")</f>
        <v/>
      </c>
    </row>
    <row r="20686">
      <c r="B20686" s="9" t="n">
        <v>20684</v>
      </c>
      <c r="C20686" s="10" t="inlineStr">
        <is>
          <t>Nhân viên Kế toán thuế</t>
        </is>
      </c>
      <c r="D20686" s="10" t="inlineStr">
        <is>
          <t>Công Ty Cổ Phần FDCG holding</t>
        </is>
      </c>
      <c r="E20686" s="10" t="inlineStr">
        <is>
          <t>Lương:13 Tr - 15 Tr VND</t>
        </is>
      </c>
      <c r="F20686" s="10" t="inlineStr">
        <is>
          <t>Hà Nội</t>
        </is>
      </c>
      <c r="G20686" s="10" t="inlineStr">
        <is>
          <t>31-03-2026</t>
        </is>
      </c>
      <c r="H20686" s="10" t="inlineStr">
        <is>
          <t>31/03/2026</t>
        </is>
      </c>
      <c r="I20686" s="10" t="inlineStr">
        <is>
          <t>17/03/2026</t>
        </is>
      </c>
      <c r="J20686" s="10" t="inlineStr">
        <is>
          <t>Kế toán / Kiểm toán</t>
        </is>
      </c>
      <c r="K20686" s="10" t="inlineStr">
        <is>
          <t>1 - 2 Năm</t>
        </is>
      </c>
      <c r="L20686" s="11">
        <f>HYPERLINK("https://careerviet.vn/vi/tim-viec-lam/nhan-vien-ke-toan-thue.35C63647.html","Xem chi tiết")</f>
        <v/>
      </c>
      <c r="M20686" s="10" t="n"/>
    </row>
    <row r="20687">
      <c r="B20687" s="7" t="n">
        <v>20685</v>
      </c>
      <c r="C20687" t="inlineStr">
        <is>
          <t>Bến Tre - PGD Chợ Lách - Chuyên viên Quan hệ Khách hàng cá nhân Priority</t>
        </is>
      </c>
      <c r="D20687" t="inlineStr">
        <is>
          <t>Ngân hàng TMCP Lộc Phát Việt Nam (LPBank)</t>
        </is>
      </c>
      <c r="E20687" t="inlineStr">
        <is>
          <t>Lương:Cạnh tranh</t>
        </is>
      </c>
      <c r="F20687" t="inlineStr">
        <is>
          <t>Bến Tre</t>
        </is>
      </c>
      <c r="G20687" t="inlineStr">
        <is>
          <t>3</t>
        </is>
      </c>
      <c r="H20687" t="inlineStr">
        <is>
          <t>20/03/2026</t>
        </is>
      </c>
      <c r="I20687" t="inlineStr">
        <is>
          <t>17/03/2026</t>
        </is>
      </c>
      <c r="J20687" t="inlineStr">
        <is>
          <t>Bán hàng / Kinh doanh, Bất động sản, Bảo hiểm</t>
        </is>
      </c>
      <c r="K20687" t="inlineStr">
        <is>
          <t>Trên 1 Năm</t>
        </is>
      </c>
      <c r="L20687" s="8">
        <f>HYPERLINK("https://careerviet.vn/vi/tim-viec-lam/ben-tre-pgd-cho-lach-chuyen-vien-quan-he-khach-hang-ca-nhan-priority.35C65F8B.html","Xem chi tiết")</f>
        <v/>
      </c>
    </row>
    <row r="20688">
      <c r="B20688" s="9" t="n">
        <v>20686</v>
      </c>
      <c r="C20688" s="10" t="inlineStr">
        <is>
          <t>Chuyên Viên Support SAP LOG (PP/SD/MM/QM)</t>
        </is>
      </c>
      <c r="D20688" s="10" t="inlineStr">
        <is>
          <t>Công Ty Cổ Phần Quốc Tế Sơn Hà</t>
        </is>
      </c>
      <c r="E20688" s="10" t="inlineStr">
        <is>
          <t>Lương:Cạnh tranh</t>
        </is>
      </c>
      <c r="F20688" s="10" t="inlineStr">
        <is>
          <t>Hà Nội</t>
        </is>
      </c>
      <c r="G20688" s="10" t="inlineStr">
        <is>
          <t>3</t>
        </is>
      </c>
      <c r="H20688" s="10" t="inlineStr">
        <is>
          <t>20/03/2026</t>
        </is>
      </c>
      <c r="I20688" s="10" t="inlineStr">
        <is>
          <t>17/03/2026</t>
        </is>
      </c>
      <c r="J20688" s="10" t="inlineStr">
        <is>
          <t>CNTT - Phần mềm, Sản xuất / Vận hành sản xuất</t>
        </is>
      </c>
      <c r="K20688" s="10" t="inlineStr">
        <is>
          <t>1 - 3 Năm</t>
        </is>
      </c>
      <c r="L20688" s="11">
        <f>HYPERLINK("https://careerviet.vn/vi/tim-viec-lam/chuyen-vien-support-sap-log-pp-sd-mm-qm.35C66081.html","Xem chi tiết")</f>
        <v/>
      </c>
      <c r="M20688" s="10" t="n"/>
    </row>
    <row r="20689">
      <c r="B20689" s="7" t="n">
        <v>20687</v>
      </c>
      <c r="C20689" t="inlineStr">
        <is>
          <t>Chuyên viên cao cấp Digital Marketing</t>
        </is>
      </c>
      <c r="D20689" t="inlineStr">
        <is>
          <t>LOTTE FINANCE VIETNAM</t>
        </is>
      </c>
      <c r="E20689" t="inlineStr">
        <is>
          <t>Lương:Cạnh tranh</t>
        </is>
      </c>
      <c r="F20689" t="inlineStr">
        <is>
          <t>Hà Nội</t>
        </is>
      </c>
      <c r="G20689" t="inlineStr">
        <is>
          <t>3</t>
        </is>
      </c>
      <c r="H20689" t="inlineStr">
        <is>
          <t>20/03/2026</t>
        </is>
      </c>
      <c r="I20689" t="inlineStr">
        <is>
          <t>17/03/2026</t>
        </is>
      </c>
      <c r="J20689" t="inlineStr">
        <is>
          <t>Ngân hàng, Quảng cáo / Đối ngoại / Truyền Thông, Truyền hình / Báo chí / Biên tập</t>
        </is>
      </c>
      <c r="K20689" t="inlineStr">
        <is>
          <t>Trên 3 Năm</t>
        </is>
      </c>
      <c r="L20689" s="8">
        <f>HYPERLINK("https://careerviet.vn/vi/tim-viec-lam/chuyen-vien-cao-cap-digital-marketing.35C6607C.html","Xem chi tiết")</f>
        <v/>
      </c>
    </row>
    <row r="20690">
      <c r="B20690" s="9" t="n">
        <v>20688</v>
      </c>
      <c r="C20690" s="10" t="inlineStr">
        <is>
          <t>Freelance Content Writer</t>
        </is>
      </c>
      <c r="D20690" s="10" t="inlineStr">
        <is>
          <t>TNHH MTV Cimigo</t>
        </is>
      </c>
      <c r="E20690" s="10" t="inlineStr">
        <is>
          <t>Lương:Cạnh tranh</t>
        </is>
      </c>
      <c r="F20690" s="10" t="inlineStr">
        <is>
          <t>Hồ Chí Minh</t>
        </is>
      </c>
      <c r="G20690" s="10" t="inlineStr">
        <is>
          <t>3</t>
        </is>
      </c>
      <c r="H20690" s="10" t="inlineStr">
        <is>
          <t>20/03/2026</t>
        </is>
      </c>
      <c r="I20690" s="10" t="inlineStr">
        <is>
          <t>17/03/2026</t>
        </is>
      </c>
      <c r="J20690" s="10" t="inlineStr">
        <is>
          <t>Tiếp thị / Marketing, Thống kê, Quảng cáo / Đối ngoại / Truyền Thông</t>
        </is>
      </c>
      <c r="K20690" s="10" t="inlineStr">
        <is>
          <t>1 - 2 Năm</t>
        </is>
      </c>
      <c r="L20690" s="11">
        <f>HYPERLINK("https://careerviet.vn/vi/tim-viec-lam/freelance-content-writer.35C6603E.html","Xem chi tiết")</f>
        <v/>
      </c>
      <c r="M20690" s="10" t="n"/>
    </row>
    <row r="20691">
      <c r="B20691" s="7" t="n">
        <v>20689</v>
      </c>
      <c r="C20691" t="inlineStr">
        <is>
          <t>Kỹ Sư QA/QC</t>
        </is>
      </c>
      <c r="D20691" t="inlineStr">
        <is>
          <t>CÔNG TY CỔ PHẦN VĨNH QUANG</t>
        </is>
      </c>
      <c r="E20691" t="inlineStr">
        <is>
          <t>Lương:Cạnh tranh</t>
        </is>
      </c>
      <c r="F20691" t="inlineStr">
        <is>
          <t>Hồ Chí Minh</t>
        </is>
      </c>
      <c r="G20691" t="inlineStr">
        <is>
          <t>3</t>
        </is>
      </c>
      <c r="H20691" t="inlineStr">
        <is>
          <t>20/03/2026</t>
        </is>
      </c>
      <c r="I20691" t="inlineStr">
        <is>
          <t>17/03/2026</t>
        </is>
      </c>
      <c r="J20691" t="inlineStr">
        <is>
          <t>Kiến trúc, Xây dựng, Bất động sản</t>
        </is>
      </c>
      <c r="K20691" t="inlineStr">
        <is>
          <t>3 - 5 Năm</t>
        </is>
      </c>
      <c r="L20691" s="8">
        <f>HYPERLINK("https://careerviet.vn/vi/tim-viec-lam/ky-su-qa-qc.35C65FC9.html","Xem chi tiết")</f>
        <v/>
      </c>
    </row>
    <row r="20692">
      <c r="B20692" s="9" t="n">
        <v>20690</v>
      </c>
      <c r="C20692" s="10" t="inlineStr">
        <is>
          <t>CHUYÊN VIÊN SOCIAL ECOMMERCE - FMCG (ECOMMERCE EXECUTIVE)</t>
        </is>
      </c>
      <c r="D20692" s="10" t="inlineStr">
        <is>
          <t>Công Ty Cổ Phần Phúc Sinh</t>
        </is>
      </c>
      <c r="E20692" s="10" t="inlineStr">
        <is>
          <t>Lương:Cạnh tranh</t>
        </is>
      </c>
      <c r="F20692" s="10" t="inlineStr">
        <is>
          <t>Hồ Chí Minh</t>
        </is>
      </c>
      <c r="G20692" s="10" t="inlineStr">
        <is>
          <t>3</t>
        </is>
      </c>
      <c r="H20692" s="10" t="inlineStr">
        <is>
          <t>20/03/2026</t>
        </is>
      </c>
      <c r="I20692" s="10" t="inlineStr">
        <is>
          <t>17/03/2026</t>
        </is>
      </c>
      <c r="J20692" s="10" t="inlineStr">
        <is>
          <t>Thực phẩm &amp; Đồ uống, Tiếp thị trực tuyến, Tiếp thị / Marketing</t>
        </is>
      </c>
      <c r="K20692" s="10" t="inlineStr">
        <is>
          <t>3 - 5 Năm</t>
        </is>
      </c>
      <c r="L20692" s="11">
        <f>HYPERLINK("https://careerviet.vn/vi/tim-viec-lam/chuyen-vien-social-ecommerce-fmcg-ecommerce-executive.35C6600D.html","Xem chi tiết")</f>
        <v/>
      </c>
      <c r="M20692" s="10" t="n"/>
    </row>
    <row r="20693">
      <c r="B20693" s="7" t="n">
        <v>20691</v>
      </c>
      <c r="C20693" t="inlineStr">
        <is>
          <t>ACCOUNT MANAGER</t>
        </is>
      </c>
      <c r="D20693" t="inlineStr">
        <is>
          <t>CÔNG TY CỔ PHẦN TRUYỀN THÔNG ÁNH SAO XANH</t>
        </is>
      </c>
      <c r="E20693" t="inlineStr">
        <is>
          <t>Lương:Cạnh tranh</t>
        </is>
      </c>
      <c r="F20693" t="inlineStr">
        <is>
          <t>Hồ Chí Minh</t>
        </is>
      </c>
      <c r="G20693" t="inlineStr">
        <is>
          <t>3</t>
        </is>
      </c>
      <c r="H20693" t="inlineStr">
        <is>
          <t>20/03/2026</t>
        </is>
      </c>
      <c r="I20693" t="inlineStr">
        <is>
          <t>17/03/2026</t>
        </is>
      </c>
      <c r="J20693" t="inlineStr">
        <is>
          <t>Tổ chức sự kiện</t>
        </is>
      </c>
      <c r="K20693" t="inlineStr">
        <is>
          <t>4 - 5 Năm</t>
        </is>
      </c>
      <c r="L20693" s="8">
        <f>HYPERLINK("https://careerviet.vn/vi/tim-viec-lam/account-manager.35C65EEA.html","Xem chi tiết")</f>
        <v/>
      </c>
    </row>
    <row r="20694">
      <c r="B20694" s="9" t="n">
        <v>20692</v>
      </c>
      <c r="C20694" s="10" t="inlineStr">
        <is>
          <t>R&amp;D Manager</t>
        </is>
      </c>
      <c r="D20694" s="10" t="inlineStr">
        <is>
          <t>CÔNG TY TNHH THAI CORP INTERNATIONAL (VIỆT NAM)</t>
        </is>
      </c>
      <c r="E20694" s="10" t="inlineStr">
        <is>
          <t>Lương:28 Tr - 45 Tr VND</t>
        </is>
      </c>
      <c r="F20694" s="10" t="inlineStr">
        <is>
          <t>Hồ Chí Minh</t>
        </is>
      </c>
      <c r="G20694" s="10" t="inlineStr">
        <is>
          <t>3</t>
        </is>
      </c>
      <c r="H20694" s="10" t="inlineStr">
        <is>
          <t>20/03/2026</t>
        </is>
      </c>
      <c r="I20694" s="10" t="inlineStr">
        <is>
          <t>17/03/2026</t>
        </is>
      </c>
      <c r="J20694" s="10" t="inlineStr">
        <is>
          <t>Bán hàng / Kinh doanh, Thực phẩm &amp; Đồ uống, Công nghệ thực phẩm / Dinh dưỡng</t>
        </is>
      </c>
      <c r="K20694" s="10" t="inlineStr">
        <is>
          <t>5 - 10 Năm</t>
        </is>
      </c>
      <c r="L20694" s="11">
        <f>HYPERLINK("https://careerviet.vn/vi/tim-viec-lam/r-d-manager.35C63624.html","Xem chi tiết")</f>
        <v/>
      </c>
      <c r="M20694" s="10" t="n"/>
    </row>
    <row r="20695">
      <c r="B20695" s="7" t="n">
        <v>20693</v>
      </c>
      <c r="C20695" t="inlineStr">
        <is>
          <t>[GLOBALX-NOVASERVICE] Chuyên Viên Thiết Kế Ý Tưởng</t>
        </is>
      </c>
      <c r="D20695" t="inlineStr">
        <is>
          <t>CÔNG TY CỔ PHẦN TRẢI NGHIỆM TOÀN CẦU</t>
        </is>
      </c>
      <c r="E20695" t="inlineStr">
        <is>
          <t>Lương:Cạnh tranh</t>
        </is>
      </c>
      <c r="F20695" t="inlineStr">
        <is>
          <t>Hồ Chí Minh</t>
        </is>
      </c>
      <c r="G20695" t="inlineStr">
        <is>
          <t>3</t>
        </is>
      </c>
      <c r="H20695" t="inlineStr">
        <is>
          <t>20/03/2026</t>
        </is>
      </c>
      <c r="I20695" t="inlineStr">
        <is>
          <t>17/03/2026</t>
        </is>
      </c>
      <c r="J20695" t="inlineStr">
        <is>
          <t>Nhà hàng / Khách sạn</t>
        </is>
      </c>
      <c r="K20695" t="inlineStr">
        <is>
          <t>2 - 3 Năm</t>
        </is>
      </c>
      <c r="L20695" s="8">
        <f>HYPERLINK("https://careerviet.vn/vi/tim-viec-lam/globalx-novaservice-chuyen-vien-thiet-ke-y-tuong.35C65ECF.html","Xem chi tiết")</f>
        <v/>
      </c>
    </row>
    <row r="20696">
      <c r="B20696" s="9" t="n">
        <v>20694</v>
      </c>
      <c r="C20696" s="10" t="inlineStr">
        <is>
          <t>NHÂN VIÊN TƯ VẤN BÁN HÀNG FULL TIME  - C2 EYEWEAR</t>
        </is>
      </c>
      <c r="D20696" s="10" t="inlineStr">
        <is>
          <t>Bảo mật</t>
        </is>
      </c>
      <c r="E20696" s="10" t="inlineStr">
        <is>
          <t>Lương:10 Tr - 15 Tr VND</t>
        </is>
      </c>
      <c r="F20696" s="10" t="inlineStr">
        <is>
          <t>Hồ Chí Minh</t>
        </is>
      </c>
      <c r="G20696" s="10" t="inlineStr">
        <is>
          <t>3</t>
        </is>
      </c>
      <c r="H20696" s="10" t="inlineStr">
        <is>
          <t>20/03/2026</t>
        </is>
      </c>
      <c r="I20696" s="10" t="inlineStr">
        <is>
          <t>17/03/2026</t>
        </is>
      </c>
      <c r="J20696" s="10" t="inlineStr">
        <is>
          <t>Bán hàng / Kinh doanh, Biên phiên dịch, Mới tốt nghiệp / Thực tập</t>
        </is>
      </c>
      <c r="K20696" s="10" t="inlineStr">
        <is>
          <t>N/A</t>
        </is>
      </c>
      <c r="L20696" s="11">
        <f>HYPERLINK("https://careerviet.vn/vi/tim-viec-lam/nhan-vien-tu-van-ban-hang-full-time-c2-eyewear.35C65F4E.html","Xem chi tiết")</f>
        <v/>
      </c>
      <c r="M20696" s="10" t="n"/>
    </row>
    <row r="20697">
      <c r="B20697" s="7" t="n">
        <v>20695</v>
      </c>
      <c r="C20697" t="inlineStr">
        <is>
          <t>Giám Đốc Truyền Thông &amp; Quan hệ công chúng | VN Communication Lead</t>
        </is>
      </c>
      <c r="D20697" t="inlineStr">
        <is>
          <t>Công ty TNHH Giầy Chingluh Việt Nam</t>
        </is>
      </c>
      <c r="E20697" t="inlineStr">
        <is>
          <t>Lương:Cạnh tranh</t>
        </is>
      </c>
      <c r="F20697" t="inlineStr">
        <is>
          <t>Long An</t>
        </is>
      </c>
      <c r="G20697" t="inlineStr">
        <is>
          <t>3</t>
        </is>
      </c>
      <c r="H20697" t="inlineStr">
        <is>
          <t>20/03/2026</t>
        </is>
      </c>
      <c r="I20697" t="inlineStr">
        <is>
          <t>17/03/2026</t>
        </is>
      </c>
      <c r="J20697" t="inlineStr">
        <is>
          <t>Tiếp thị / Marketing, Truyền hình / Báo chí / Biên tập, Quảng cáo / Đối ngoại / Truyền Thông</t>
        </is>
      </c>
      <c r="K20697" t="inlineStr">
        <is>
          <t>5 - 8 Năm</t>
        </is>
      </c>
      <c r="L20697" s="8">
        <f>HYPERLINK("https://careerviet.vn/vi/tim-viec-lam/giam-doc-truyen-thong-quan-he-cong-chung-vn-communication-lead.35C65FEB.html","Xem chi tiết")</f>
        <v/>
      </c>
    </row>
    <row r="20698">
      <c r="B20698" s="9" t="n">
        <v>20696</v>
      </c>
      <c r="C20698" s="10" t="inlineStr">
        <is>
          <t>Chuyên viên Kiểm soát tuân thủ (Compliance Specialist)</t>
        </is>
      </c>
      <c r="D20698" s="10" t="inlineStr">
        <is>
          <t>UrBox - Công ty Cổ phần Tiếp Thị Số Tô Quà</t>
        </is>
      </c>
      <c r="E20698" s="10" t="inlineStr">
        <is>
          <t>Lương:Cạnh tranh</t>
        </is>
      </c>
      <c r="F20698" s="10" t="inlineStr">
        <is>
          <t>Hà Nội</t>
        </is>
      </c>
      <c r="G20698" s="10" t="inlineStr">
        <is>
          <t>3</t>
        </is>
      </c>
      <c r="H20698" s="10" t="inlineStr">
        <is>
          <t>20/03/2026</t>
        </is>
      </c>
      <c r="I20698" s="10" t="inlineStr">
        <is>
          <t>17/03/2026</t>
        </is>
      </c>
      <c r="J20698" s="10" t="inlineStr">
        <is>
          <t>Luật / Pháp lý, Quản lý điều hành, Quản lý chất lượng (QA/QC)</t>
        </is>
      </c>
      <c r="K20698" s="10" t="inlineStr">
        <is>
          <t>3 - 5 Năm</t>
        </is>
      </c>
      <c r="L20698" s="11">
        <f>HYPERLINK("https://careerviet.vn/vi/tim-viec-lam/chuyen-vien-kiem-soat-tuan-thu-compliance-specialist.35C65EFA.html","Xem chi tiết")</f>
        <v/>
      </c>
      <c r="M20698" s="10" t="n"/>
    </row>
    <row r="20699">
      <c r="B20699" s="7" t="n">
        <v>20697</v>
      </c>
      <c r="C20699" t="inlineStr">
        <is>
          <t>Nhân viên Tư vấn qua điện thoại/Telemarketing/Telesale Khóa học  (Làm việc tại Tân Phú)</t>
        </is>
      </c>
      <c r="D20699" t="inlineStr">
        <is>
          <t>Cổ Phần Quốc Tế Anh Văn Hội Việt Mỹ (VUS)</t>
        </is>
      </c>
      <c r="E20699" t="inlineStr">
        <is>
          <t>Lương:7 Tr - 10 Tr VND</t>
        </is>
      </c>
      <c r="F20699" t="inlineStr">
        <is>
          <t>Hồ Chí Minh</t>
        </is>
      </c>
      <c r="G20699" t="inlineStr">
        <is>
          <t>3</t>
        </is>
      </c>
      <c r="H20699" t="inlineStr">
        <is>
          <t>20/03/2026</t>
        </is>
      </c>
      <c r="I20699" t="inlineStr">
        <is>
          <t>17/03/2026</t>
        </is>
      </c>
      <c r="J20699" t="inlineStr">
        <is>
          <t>Tiếp thị / Marketing, Bán hàng / Kinh doanh, Giáo dục / Đào tạo</t>
        </is>
      </c>
      <c r="K20699" t="inlineStr">
        <is>
          <t>N/A</t>
        </is>
      </c>
      <c r="L20699" s="8">
        <f>HYPERLINK("https://careerviet.vn/vi/tim-viec-lam/nhan-vien-tu-van-qua-dien-thoai-telemarketing-telesale-khoa-hoc-lam-viec-tai-tan-phu.35C65FD4.html","Xem chi tiết")</f>
        <v/>
      </c>
    </row>
    <row r="20700">
      <c r="B20700" s="9" t="n">
        <v>20698</v>
      </c>
      <c r="C20700" s="10" t="inlineStr">
        <is>
          <t>Chuyên Gia Quản lý sản phẩm (Phân khúc hộ kinh doanh) - TA 187</t>
        </is>
      </c>
      <c r="D20700" s="10" t="inlineStr">
        <is>
          <t>Ngân Hàng TMCP Việt Nam Thịnh Vượng - VPBANK</t>
        </is>
      </c>
      <c r="E20700" s="10" t="inlineStr">
        <is>
          <t>Lương:20 Tr - 50 Tr VND</t>
        </is>
      </c>
      <c r="F20700" s="10" t="inlineStr">
        <is>
          <t>Hà Nội</t>
        </is>
      </c>
      <c r="G20700" s="10" t="inlineStr">
        <is>
          <t>3</t>
        </is>
      </c>
      <c r="H20700" s="10" t="inlineStr">
        <is>
          <t>20/03/2026</t>
        </is>
      </c>
      <c r="I20700" s="10" t="inlineStr">
        <is>
          <t>17/03/2026</t>
        </is>
      </c>
      <c r="J20700" s="10" t="inlineStr">
        <is>
          <t>Ngân hàng</t>
        </is>
      </c>
      <c r="K20700" s="10" t="inlineStr">
        <is>
          <t>Trên 3 Năm</t>
        </is>
      </c>
      <c r="L20700" s="11">
        <f>HYPERLINK("https://careerviet.vn/vi/tim-viec-lam/chuyen-gia-quan-ly-san-pham-phan-khuc-ho-kinh-doanh-ta-187.35C65BBC.html","Xem chi tiết")</f>
        <v/>
      </c>
      <c r="M20700" s="10" t="n"/>
    </row>
    <row r="20701">
      <c r="B20701" s="7" t="n">
        <v>20699</v>
      </c>
      <c r="C20701" t="inlineStr">
        <is>
          <t>Translator/ Phiên Dịch Tiếng Anh</t>
        </is>
      </c>
      <c r="D20701" t="inlineStr">
        <is>
          <t>Công ty TNHH San Lim Furniture Việt Nam</t>
        </is>
      </c>
      <c r="E20701" t="inlineStr">
        <is>
          <t>Lương:Cạnh tranh</t>
        </is>
      </c>
      <c r="F20701" t="inlineStr">
        <is>
          <t>Đồng Nai</t>
        </is>
      </c>
      <c r="G20701" t="inlineStr">
        <is>
          <t>4</t>
        </is>
      </c>
      <c r="H20701" t="inlineStr">
        <is>
          <t>21/03/2026</t>
        </is>
      </c>
      <c r="I20701" t="inlineStr">
        <is>
          <t>17/03/2026</t>
        </is>
      </c>
      <c r="J20701" t="inlineStr">
        <is>
          <t>Hành chính / Thư ký, Nhân sự, Biên phiên dịch</t>
        </is>
      </c>
      <c r="K20701" t="inlineStr">
        <is>
          <t>Trên 1 Năm</t>
        </is>
      </c>
      <c r="L20701" s="8">
        <f>HYPERLINK("https://careerviet.vn/vi/tim-viec-lam/translator-phien-dich-tieng-anh.35C660B5.html","Xem chi tiết")</f>
        <v/>
      </c>
    </row>
    <row r="20702">
      <c r="B20702" s="9" t="n">
        <v>20700</v>
      </c>
      <c r="C20702" s="10" t="inlineStr">
        <is>
          <t>Trợ Lý Tổng Giám Đốc</t>
        </is>
      </c>
      <c r="D20702" s="10" t="inlineStr">
        <is>
          <t>CÔNG TY TNHH QUỐC TẾ GEORGE GLORY VIỆT NAM</t>
        </is>
      </c>
      <c r="E20702" s="10" t="inlineStr">
        <is>
          <t>Lương:40 Tr - 50 Tr VND</t>
        </is>
      </c>
      <c r="F20702" s="10" t="inlineStr">
        <is>
          <t>Hải Dương</t>
        </is>
      </c>
      <c r="G20702" s="10" t="inlineStr">
        <is>
          <t>4</t>
        </is>
      </c>
      <c r="H20702" s="10" t="inlineStr">
        <is>
          <t>21/03/2026</t>
        </is>
      </c>
      <c r="I20702" s="10" t="inlineStr">
        <is>
          <t>17/03/2026</t>
        </is>
      </c>
      <c r="J20702" s="10" t="inlineStr">
        <is>
          <t>Hành chính / Thư ký, Quản lý điều hành</t>
        </is>
      </c>
      <c r="K20702" s="10" t="inlineStr">
        <is>
          <t>1 - 2 Năm</t>
        </is>
      </c>
      <c r="L20702" s="11">
        <f>HYPERLINK("https://careerviet.vn/vi/tim-viec-lam/tro-ly-tong-giam-doc.35C65FC2.html","Xem chi tiết")</f>
        <v/>
      </c>
      <c r="M20702" s="10" t="n"/>
    </row>
    <row r="20703">
      <c r="B20703" s="7" t="n">
        <v>20701</v>
      </c>
      <c r="C20703" t="inlineStr">
        <is>
          <t>Trưởng Bộ phận điều hành kinh doanh</t>
        </is>
      </c>
      <c r="D20703" t="inlineStr">
        <is>
          <t>CÔNG TY LIÊN DOANH VẬN CHUYỂN QUỐC TẾ HẢI VÂN</t>
        </is>
      </c>
      <c r="E20703" t="inlineStr">
        <is>
          <t>Lương:15 Tr - 20 Tr VND</t>
        </is>
      </c>
      <c r="F20703" t="inlineStr">
        <is>
          <t>Hà Nội</t>
        </is>
      </c>
      <c r="G20703" t="inlineStr">
        <is>
          <t>4</t>
        </is>
      </c>
      <c r="H20703" t="inlineStr">
        <is>
          <t>21/03/2026</t>
        </is>
      </c>
      <c r="I20703" t="inlineStr">
        <is>
          <t>17/03/2026</t>
        </is>
      </c>
      <c r="J20703" t="inlineStr">
        <is>
          <t>Sản xuất / Vận hành sản xuất</t>
        </is>
      </c>
      <c r="K20703" t="inlineStr">
        <is>
          <t>3 - 5 Năm</t>
        </is>
      </c>
      <c r="L20703" s="8">
        <f>HYPERLINK("https://careerviet.vn/vi/tim-viec-lam/truong-bo-phan-dieu-hanh-kinh-doanh.35C660C4.html","Xem chi tiết")</f>
        <v/>
      </c>
    </row>
    <row r="20704">
      <c r="B20704" s="9" t="n">
        <v>20702</v>
      </c>
      <c r="C20704" s="10" t="inlineStr">
        <is>
          <t>ACCOUNTING SUPERVISOR (PAYABLE)</t>
        </is>
      </c>
      <c r="D20704" s="10" t="inlineStr">
        <is>
          <t>CÔNG TY CỔ PHẦN THẾ GIỚI SỐ</t>
        </is>
      </c>
      <c r="E20704" s="10" t="inlineStr">
        <is>
          <t>Lương:Cạnh tranh</t>
        </is>
      </c>
      <c r="F20704" s="10" t="inlineStr">
        <is>
          <t>Hồ Chí Minh</t>
        </is>
      </c>
      <c r="G20704" s="10" t="inlineStr">
        <is>
          <t>4</t>
        </is>
      </c>
      <c r="H20704" s="10" t="inlineStr">
        <is>
          <t>21/03/2026</t>
        </is>
      </c>
      <c r="I20704" s="10" t="inlineStr">
        <is>
          <t>17/03/2026</t>
        </is>
      </c>
      <c r="J20704" s="10" t="inlineStr">
        <is>
          <t>Kế toán / Kiểm toán, Tài chính / Đầu tư</t>
        </is>
      </c>
      <c r="K20704" s="10" t="inlineStr">
        <is>
          <t>3 - 5 Năm</t>
        </is>
      </c>
      <c r="L20704" s="11">
        <f>HYPERLINK("https://careerviet.vn/vi/tim-viec-lam/accounting-supervisor-payable.35C65F20.html","Xem chi tiết")</f>
        <v/>
      </c>
      <c r="M20704" s="10" t="n"/>
    </row>
    <row r="20705">
      <c r="B20705" s="7" t="n">
        <v>20703</v>
      </c>
      <c r="C20705" t="inlineStr">
        <is>
          <t>Chuyên Viên Dự Án</t>
        </is>
      </c>
      <c r="D20705" t="inlineStr">
        <is>
          <t>CÔNG TY TNHH QUỐC TẾ GEORGE GLORY VIỆT NAM</t>
        </is>
      </c>
      <c r="E20705" t="inlineStr">
        <is>
          <t>Lương:40 Tr - 50 Tr VND</t>
        </is>
      </c>
      <c r="F20705" t="inlineStr">
        <is>
          <t>Hải Dương</t>
        </is>
      </c>
      <c r="G20705" t="inlineStr">
        <is>
          <t>4</t>
        </is>
      </c>
      <c r="H20705" t="inlineStr">
        <is>
          <t>21/03/2026</t>
        </is>
      </c>
      <c r="I20705" t="inlineStr">
        <is>
          <t>17/03/2026</t>
        </is>
      </c>
      <c r="J20705" t="inlineStr">
        <is>
          <t>Dệt may / Da giày / Thời trang, Kiến trúc, Xây dựng</t>
        </is>
      </c>
      <c r="K20705" t="inlineStr">
        <is>
          <t>Trên 1 Năm</t>
        </is>
      </c>
      <c r="L20705" s="8">
        <f>HYPERLINK("https://careerviet.vn/vi/tim-viec-lam/chuyen-vien-du-an.35C65FBF.html","Xem chi tiết")</f>
        <v/>
      </c>
    </row>
    <row r="20706">
      <c r="B20706" s="9" t="n">
        <v>20704</v>
      </c>
      <c r="C20706" s="10" t="inlineStr">
        <is>
          <t>[Nova Hotels &amp; Resort] Trợ Lý Ban Giám Đốc</t>
        </is>
      </c>
      <c r="D20706" s="10" t="inlineStr">
        <is>
          <t>Nova Service Group - Công ty Cổ phần Tập đoàn Nova Services</t>
        </is>
      </c>
      <c r="E20706" s="10" t="inlineStr">
        <is>
          <t>Lương:Cạnh tranh</t>
        </is>
      </c>
      <c r="F20706" s="10" t="inlineStr">
        <is>
          <t>Hồ Chí Minh</t>
        </is>
      </c>
      <c r="G20706" s="10" t="inlineStr">
        <is>
          <t>3</t>
        </is>
      </c>
      <c r="H20706" s="10" t="inlineStr">
        <is>
          <t>20/03/2026</t>
        </is>
      </c>
      <c r="I20706" s="10" t="inlineStr">
        <is>
          <t>17/03/2026</t>
        </is>
      </c>
      <c r="J20706" s="10" t="inlineStr">
        <is>
          <t>Hành chính / Thư ký, Nhà hàng / Khách sạn</t>
        </is>
      </c>
      <c r="K20706" s="10" t="inlineStr">
        <is>
          <t>5 - 8 Năm</t>
        </is>
      </c>
      <c r="L20706" s="11">
        <f>HYPERLINK("https://careerviet.vn/vi/tim-viec-lam/nova-hotels-resort-tro-ly-ban-giam-doc.35C65FA2.html","Xem chi tiết")</f>
        <v/>
      </c>
      <c r="M20706" s="10" t="n"/>
    </row>
    <row r="20707">
      <c r="B20707" s="7" t="n">
        <v>20705</v>
      </c>
      <c r="C20707" t="inlineStr">
        <is>
          <t>Tài xế xe tải dưới 15 tấn (Tại Cẩm Lệ - Đà Nẵng) thu nhập lên đến 20 triệu/ tháng</t>
        </is>
      </c>
      <c r="D20707" t="inlineStr">
        <is>
          <t>Công Ty Cổ Phần Hai Bốn Bảy</t>
        </is>
      </c>
      <c r="E20707" t="inlineStr">
        <is>
          <t>Lương:15 Tr - 20 Tr VND</t>
        </is>
      </c>
      <c r="F20707" t="inlineStr">
        <is>
          <t>Đà Nẵng</t>
        </is>
      </c>
      <c r="G20707" t="inlineStr">
        <is>
          <t>4</t>
        </is>
      </c>
      <c r="H20707" t="inlineStr">
        <is>
          <t>21/03/2026</t>
        </is>
      </c>
      <c r="I20707" t="inlineStr">
        <is>
          <t>17/03/2026</t>
        </is>
      </c>
      <c r="J20707" t="inlineStr">
        <is>
          <t>Vận chuyển / Giao nhận / Kho vận</t>
        </is>
      </c>
      <c r="K20707" t="inlineStr">
        <is>
          <t>2 - 5 Năm</t>
        </is>
      </c>
      <c r="L20707" s="8">
        <f>HYPERLINK("https://careerviet.vn/vi/tim-viec-lam/tai-xe-xe-tai-duoi-15-tan-tai-cam-le-da-nang-thu-nhap-len-den-20-trieu-thang.35C6626D.html","Xem chi tiết")</f>
        <v/>
      </c>
    </row>
    <row r="20708">
      <c r="B20708" s="9" t="n">
        <v>20706</v>
      </c>
      <c r="C20708" s="10" t="inlineStr">
        <is>
          <t>[GLOBALX-NOVASERVICE] Trưởng Phòng Phụ Trách Thiết Kế Ý Tưởng</t>
        </is>
      </c>
      <c r="D20708" s="10" t="inlineStr">
        <is>
          <t>CÔNG TY CỔ PHẦN TRẢI NGHIỆM TOÀN CẦU</t>
        </is>
      </c>
      <c r="E20708" s="10" t="inlineStr">
        <is>
          <t>Lương:Cạnh tranh</t>
        </is>
      </c>
      <c r="F20708" s="10" t="inlineStr">
        <is>
          <t>Hồ Chí Minh</t>
        </is>
      </c>
      <c r="G20708" s="10" t="inlineStr">
        <is>
          <t>3</t>
        </is>
      </c>
      <c r="H20708" s="10" t="inlineStr">
        <is>
          <t>20/03/2026</t>
        </is>
      </c>
      <c r="I20708" s="10" t="inlineStr">
        <is>
          <t>17/03/2026</t>
        </is>
      </c>
      <c r="J20708" s="10" t="inlineStr">
        <is>
          <t>Nhà hàng / Khách sạn</t>
        </is>
      </c>
      <c r="K20708" s="10" t="inlineStr">
        <is>
          <t>10 - 12 Năm</t>
        </is>
      </c>
      <c r="L20708" s="11">
        <f>HYPERLINK("https://careerviet.vn/vi/tim-viec-lam/globalx-novaservice-truong-phong-phu-trach-thiet-ke-y-tuong.35C65ECA.html","Xem chi tiết")</f>
        <v/>
      </c>
      <c r="M20708" s="10" t="n"/>
    </row>
    <row r="20709">
      <c r="B20709" s="7" t="n">
        <v>20707</v>
      </c>
      <c r="C20709" t="inlineStr">
        <is>
          <t>Nhân Viên Kỹ Thuật Lắp Đặt Bảo trì</t>
        </is>
      </c>
      <c r="D20709" t="inlineStr">
        <is>
          <t>CÔNG TY CỔ PHẦN CÔNG NGHIỆP WELDCOM</t>
        </is>
      </c>
      <c r="E20709" t="inlineStr">
        <is>
          <t>Lương:15 Tr - 22 Tr VND</t>
        </is>
      </c>
      <c r="F20709" t="inlineStr">
        <is>
          <t>Hà Nội</t>
        </is>
      </c>
      <c r="G20709" t="inlineStr">
        <is>
          <t>4</t>
        </is>
      </c>
      <c r="H20709" t="inlineStr">
        <is>
          <t>21/03/2026</t>
        </is>
      </c>
      <c r="I20709" t="inlineStr">
        <is>
          <t>17/03/2026</t>
        </is>
      </c>
      <c r="J20709" t="inlineStr">
        <is>
          <t>Cơ khí / Ô tô / Tự động hóa</t>
        </is>
      </c>
      <c r="K20709" t="inlineStr">
        <is>
          <t>1 - 2 Năm</t>
        </is>
      </c>
      <c r="L20709" s="8">
        <f>HYPERLINK("https://careerviet.vn/vi/tim-viec-lam/nhan-vien-ky-thuat-lap-dat-bao-tri.35C66231.html","Xem chi tiết")</f>
        <v/>
      </c>
    </row>
    <row r="20710">
      <c r="B20710" s="9" t="n">
        <v>20708</v>
      </c>
      <c r="C20710" s="10" t="inlineStr">
        <is>
          <t>CHUYÊN VIÊN TUYỂN DỤNG VÀ ĐÀO TẠO (Pleiku - Gia Lai)</t>
        </is>
      </c>
      <c r="D20710" s="10" t="inlineStr">
        <is>
          <t>Công ty cổ phần Nafoods Group</t>
        </is>
      </c>
      <c r="E20710" s="10" t="inlineStr">
        <is>
          <t>Lương:Cạnh tranh</t>
        </is>
      </c>
      <c r="F20710" s="10" t="inlineStr">
        <is>
          <t>Gia Lai</t>
        </is>
      </c>
      <c r="G20710" s="10" t="inlineStr">
        <is>
          <t>4</t>
        </is>
      </c>
      <c r="H20710" s="10" t="inlineStr">
        <is>
          <t>21/03/2026</t>
        </is>
      </c>
      <c r="I20710" s="10" t="inlineStr">
        <is>
          <t>17/03/2026</t>
        </is>
      </c>
      <c r="J20710" s="10" t="inlineStr">
        <is>
          <t>Hành chính / Thư ký, Nhân sự</t>
        </is>
      </c>
      <c r="K20710" s="10" t="inlineStr">
        <is>
          <t>1 - 2 Năm</t>
        </is>
      </c>
      <c r="L20710" s="11">
        <f>HYPERLINK("https://careerviet.vn/vi/tim-viec-lam/chuyen-vien-tuyen-dung-va-dao-tao-pleiku-gia-lai.35C66222.html","Xem chi tiết")</f>
        <v/>
      </c>
      <c r="M20710" s="10" t="n"/>
    </row>
    <row r="20711">
      <c r="B20711" s="7" t="n">
        <v>20709</v>
      </c>
      <c r="C20711" t="inlineStr">
        <is>
          <t>Chuyên viên Kinh doanh Thẩm định giá - Hà Nội</t>
        </is>
      </c>
      <c r="D20711" t="inlineStr">
        <is>
          <t>CÔNG TY CỔ PHẦN CITICS</t>
        </is>
      </c>
      <c r="E20711" t="inlineStr">
        <is>
          <t>Lương:6 Tr - 20 Tr VND</t>
        </is>
      </c>
      <c r="F20711" t="inlineStr">
        <is>
          <t>Hà Nội</t>
        </is>
      </c>
      <c r="G20711" t="inlineStr">
        <is>
          <t>4</t>
        </is>
      </c>
      <c r="H20711" t="inlineStr">
        <is>
          <t>21/03/2026</t>
        </is>
      </c>
      <c r="I20711" t="inlineStr">
        <is>
          <t>17/03/2026</t>
        </is>
      </c>
      <c r="J20711" t="inlineStr">
        <is>
          <t>Bán hàng / Kinh doanh, Ngân hàng, Tài chính / Đầu tư</t>
        </is>
      </c>
      <c r="K20711" t="inlineStr">
        <is>
          <t>1 - 2 Năm</t>
        </is>
      </c>
      <c r="L20711" s="8">
        <f>HYPERLINK("https://careerviet.vn/vi/tim-viec-lam/chuyen-vien-kinh-doanh-tham-dinh-gia-ha-noi.35C66263.html","Xem chi tiết")</f>
        <v/>
      </c>
    </row>
    <row r="20712">
      <c r="B20712" s="9" t="n">
        <v>20710</v>
      </c>
      <c r="C20712" s="10" t="inlineStr">
        <is>
          <t>Nhân Viên Lưu Trữ Hồ Sơ</t>
        </is>
      </c>
      <c r="D20712" s="10" t="inlineStr">
        <is>
          <t>CÔNG TY TRÁCH NHIỆM HỮU HẠN TÂN HỒ TÚ</t>
        </is>
      </c>
      <c r="E20712" s="10" t="inlineStr">
        <is>
          <t>Lương:9 Tr - 15 Tr VND</t>
        </is>
      </c>
      <c r="F20712" s="10" t="inlineStr">
        <is>
          <t>Bình Dương</t>
        </is>
      </c>
      <c r="G20712" s="10" t="inlineStr">
        <is>
          <t>10-04-2026</t>
        </is>
      </c>
      <c r="H20712" s="10" t="inlineStr">
        <is>
          <t>10/04/2026</t>
        </is>
      </c>
      <c r="I20712" s="10" t="inlineStr">
        <is>
          <t>17/03/2026</t>
        </is>
      </c>
      <c r="J20712" s="10" t="inlineStr">
        <is>
          <t>Hành chính / Thư ký, Nhân sự, Thống kê</t>
        </is>
      </c>
      <c r="K20712" s="10" t="inlineStr">
        <is>
          <t>Trên 2 Năm</t>
        </is>
      </c>
      <c r="L20712" s="11">
        <f>HYPERLINK("https://careerviet.vn/vi/tim-viec-lam/nhan-vien-luu-tru-ho-so.35C661FE.html","Xem chi tiết")</f>
        <v/>
      </c>
      <c r="M20712" s="10" t="n"/>
    </row>
    <row r="20713">
      <c r="B20713" s="7" t="n">
        <v>20711</v>
      </c>
      <c r="C20713" t="inlineStr">
        <is>
          <t>Chuyên viên Cung ứng</t>
        </is>
      </c>
      <c r="D20713" t="inlineStr">
        <is>
          <t>CÔNG TY TNHH DỊCH VỤ HÀNG KHÔNG ASG</t>
        </is>
      </c>
      <c r="E20713" t="inlineStr">
        <is>
          <t>Lương:Cạnh tranh</t>
        </is>
      </c>
      <c r="F20713" t="inlineStr">
        <is>
          <t>Hà Nội</t>
        </is>
      </c>
      <c r="G20713" t="inlineStr">
        <is>
          <t>4</t>
        </is>
      </c>
      <c r="H20713" t="inlineStr">
        <is>
          <t>21/03/2026</t>
        </is>
      </c>
      <c r="I20713" t="inlineStr">
        <is>
          <t>17/03/2026</t>
        </is>
      </c>
      <c r="J20713" t="inlineStr">
        <is>
          <t>Bán hàng / Kinh doanh, Nhà hàng / Khách sạn, Hàng không</t>
        </is>
      </c>
      <c r="K20713" t="inlineStr">
        <is>
          <t>3 - 5 Năm</t>
        </is>
      </c>
      <c r="L20713" s="8">
        <f>HYPERLINK("https://careerviet.vn/vi/tim-viec-lam/chuyen-vien-cung-ung.35C6619D.html","Xem chi tiết")</f>
        <v/>
      </c>
    </row>
    <row r="20714">
      <c r="B20714" s="9" t="n">
        <v>20712</v>
      </c>
      <c r="C20714" s="10" t="inlineStr">
        <is>
          <t>Tài xế xe tải dưới 15 tấn (Tại An Dương- Hải Phòng) thu nhập lên đến 20 triệu/ tháng</t>
        </is>
      </c>
      <c r="D20714" s="10" t="inlineStr">
        <is>
          <t>Công Ty Cổ Phần Hai Bốn Bảy</t>
        </is>
      </c>
      <c r="E20714" s="10" t="inlineStr">
        <is>
          <t>Lương:15 Tr - 20 Tr VND</t>
        </is>
      </c>
      <c r="F20714" s="10" t="inlineStr">
        <is>
          <t>Hải Phòng</t>
        </is>
      </c>
      <c r="G20714" s="10" t="inlineStr">
        <is>
          <t>4</t>
        </is>
      </c>
      <c r="H20714" s="10" t="inlineStr">
        <is>
          <t>21/03/2026</t>
        </is>
      </c>
      <c r="I20714" s="10" t="inlineStr">
        <is>
          <t>17/03/2026</t>
        </is>
      </c>
      <c r="J20714" s="10" t="inlineStr">
        <is>
          <t>Vận chuyển / Giao nhận / Kho vận</t>
        </is>
      </c>
      <c r="K20714" s="10" t="inlineStr">
        <is>
          <t>2 - 5 Năm</t>
        </is>
      </c>
      <c r="L20714" s="11">
        <f>HYPERLINK("https://careerviet.vn/vi/tim-viec-lam/tai-xe-xe-tai-duoi-15-tan-tai-an-duong-hai-phong-thu-nhap-len-den-20-trieu-thang.35C6626F.html","Xem chi tiết")</f>
        <v/>
      </c>
      <c r="M20714" s="10" t="n"/>
    </row>
    <row r="20715">
      <c r="B20715" s="7" t="n">
        <v>20713</v>
      </c>
      <c r="C20715" t="inlineStr">
        <is>
          <t>Nhân Viên Tư vấn Tuyển Sinh Tiếng Trung</t>
        </is>
      </c>
      <c r="D20715" t="inlineStr">
        <is>
          <t>CÔNG TY CỔ PHẦN CÔNG NGHỆ PREP</t>
        </is>
      </c>
      <c r="E20715" t="inlineStr">
        <is>
          <t>Lương:15 Tr - 30 Tr VND</t>
        </is>
      </c>
      <c r="F20715" t="inlineStr">
        <is>
          <t>Hà NộiHồ Chí Minh</t>
        </is>
      </c>
      <c r="G20715" t="inlineStr">
        <is>
          <t>4</t>
        </is>
      </c>
      <c r="H20715" t="inlineStr">
        <is>
          <t>21/03/2026</t>
        </is>
      </c>
      <c r="I20715" t="inlineStr">
        <is>
          <t>17/03/2026</t>
        </is>
      </c>
      <c r="J20715" t="inlineStr">
        <is>
          <t>Tư vấn, Giáo dục / Đào tạo, Bán hàng / Kinh doanh</t>
        </is>
      </c>
      <c r="K20715" t="inlineStr">
        <is>
          <t>Lên đến 1 Năm</t>
        </is>
      </c>
      <c r="L20715" s="8">
        <f>HYPERLINK("https://careerviet.vn/vi/tim-viec-lam/nhan-vien-tu-van-tuyen-sinh-tieng-trung.35C66140.html","Xem chi tiết")</f>
        <v/>
      </c>
    </row>
    <row r="20716">
      <c r="B20716" s="9" t="n">
        <v>20714</v>
      </c>
      <c r="C20716" s="10" t="inlineStr">
        <is>
          <t>Nhân viên Kế toán - Thiết bị Y tế</t>
        </is>
      </c>
      <c r="D20716" s="10" t="inlineStr">
        <is>
          <t>Công ty TNHH Vạn Niên</t>
        </is>
      </c>
      <c r="E20716" s="10" t="inlineStr">
        <is>
          <t>Lương:12 Tr - 15 Tr VND</t>
        </is>
      </c>
      <c r="F20716" s="10" t="inlineStr">
        <is>
          <t>Hà Nội</t>
        </is>
      </c>
      <c r="G20716" s="10" t="inlineStr">
        <is>
          <t>4</t>
        </is>
      </c>
      <c r="H20716" s="10" t="inlineStr">
        <is>
          <t>21/03/2026</t>
        </is>
      </c>
      <c r="I20716" s="10" t="inlineStr">
        <is>
          <t>17/03/2026</t>
        </is>
      </c>
      <c r="J20716" s="10" t="inlineStr">
        <is>
          <t>Kế toán / Kiểm toán, Ngân hàng, Tài chính / Đầu tư</t>
        </is>
      </c>
      <c r="K20716" s="10" t="inlineStr">
        <is>
          <t>Trên 1 Năm</t>
        </is>
      </c>
      <c r="L20716" s="11">
        <f>HYPERLINK("https://careerviet.vn/vi/tim-viec-lam/nhan-vien-ke-toan-thiet-bi-y-te.35C660E4.html","Xem chi tiết")</f>
        <v/>
      </c>
      <c r="M20716" s="10" t="n"/>
    </row>
    <row r="20717">
      <c r="B20717" s="7" t="n">
        <v>20715</v>
      </c>
      <c r="C20717" t="inlineStr">
        <is>
          <t>LẬP KẾ HOẠCH CHO GAME - GAME DESIGNER</t>
        </is>
      </c>
      <c r="D20717" t="inlineStr">
        <is>
          <t>Koei Tecmo Software Vietnam</t>
        </is>
      </c>
      <c r="E20717" t="inlineStr">
        <is>
          <t>Lương:Cạnh tranh</t>
        </is>
      </c>
      <c r="F20717" t="inlineStr">
        <is>
          <t>Hà Nội</t>
        </is>
      </c>
      <c r="G20717" t="inlineStr">
        <is>
          <t>4</t>
        </is>
      </c>
      <c r="H20717" t="inlineStr">
        <is>
          <t>21/03/2026</t>
        </is>
      </c>
      <c r="I20717" t="inlineStr">
        <is>
          <t>17/03/2026</t>
        </is>
      </c>
      <c r="J20717" t="inlineStr">
        <is>
          <t>Biên phiên dịch, CNTT - Phần mềm, Mỹ thuật / Nghệ thuật / Thiết kế</t>
        </is>
      </c>
      <c r="K20717" t="inlineStr">
        <is>
          <t>Chưa có kinh nghiệm</t>
        </is>
      </c>
      <c r="L20717" s="8">
        <f>HYPERLINK("https://careerviet.vn/vi/tim-viec-lam/lap-ke-hoach-cho-game-game-designer.35C66189.html","Xem chi tiết")</f>
        <v/>
      </c>
    </row>
    <row r="20718">
      <c r="B20718" s="9" t="n">
        <v>20716</v>
      </c>
      <c r="C20718" s="10" t="inlineStr">
        <is>
          <t>Business Development Assistant</t>
        </is>
      </c>
      <c r="D20718" s="10" t="inlineStr">
        <is>
          <t>CÔNG TY TNHH LUMIOUS</t>
        </is>
      </c>
      <c r="E20718" s="10" t="inlineStr">
        <is>
          <t>Lương:Cạnh tranh</t>
        </is>
      </c>
      <c r="F20718" s="10" t="inlineStr">
        <is>
          <t>Hồ Chí Minh</t>
        </is>
      </c>
      <c r="G20718" s="10" t="inlineStr">
        <is>
          <t>4</t>
        </is>
      </c>
      <c r="H20718" s="10" t="inlineStr">
        <is>
          <t>21/03/2026</t>
        </is>
      </c>
      <c r="I20718" s="10" t="inlineStr">
        <is>
          <t>17/03/2026</t>
        </is>
      </c>
      <c r="J20718" s="10" t="inlineStr">
        <is>
          <t>Bán hàng / Kinh doanh</t>
        </is>
      </c>
      <c r="K20718" s="10" t="inlineStr">
        <is>
          <t>2 - 4 Năm</t>
        </is>
      </c>
      <c r="L20718" s="11">
        <f>HYPERLINK("https://careerviet.vn/vi/tim-viec-lam/business-development-assistant.35C661F2.html","Xem chi tiết")</f>
        <v/>
      </c>
      <c r="M20718" s="10" t="n"/>
    </row>
    <row r="20719">
      <c r="B20719" s="7" t="n">
        <v>20717</v>
      </c>
      <c r="C20719" t="inlineStr">
        <is>
          <t>Kỹ Sư Hiện Trường</t>
        </is>
      </c>
      <c r="D20719" t="inlineStr">
        <is>
          <t>CÔNG TY TNHH ĐẦU TƯ VÀ XÂY DỰNG TNG</t>
        </is>
      </c>
      <c r="E20719" t="inlineStr">
        <is>
          <t>Lương:15 Tr - 20 Tr VND</t>
        </is>
      </c>
      <c r="F20719" t="inlineStr">
        <is>
          <t>Hồ Chí MinhTây Ninh</t>
        </is>
      </c>
      <c r="G20719" t="inlineStr">
        <is>
          <t>4</t>
        </is>
      </c>
      <c r="H20719" t="inlineStr">
        <is>
          <t>21/03/2026</t>
        </is>
      </c>
      <c r="I20719" t="inlineStr">
        <is>
          <t>17/03/2026</t>
        </is>
      </c>
      <c r="J20719" t="inlineStr">
        <is>
          <t>Xây dựng</t>
        </is>
      </c>
      <c r="K20719" t="inlineStr">
        <is>
          <t>3 - 5 Năm</t>
        </is>
      </c>
      <c r="L20719" s="8">
        <f>HYPERLINK("https://careerviet.vn/vi/tim-viec-lam/ky-su-hien-truong.35C66142.html","Xem chi tiết")</f>
        <v/>
      </c>
    </row>
    <row r="20720">
      <c r="B20720" s="9" t="n">
        <v>20718</v>
      </c>
      <c r="C20720" s="10" t="inlineStr">
        <is>
          <t>Nhân Viên Lễ Tân – Chăm Sóc Khách Hàng</t>
        </is>
      </c>
      <c r="D20720" s="10" t="inlineStr">
        <is>
          <t>CÔNG TY TNHH BRANDSON VIỆT NAM</t>
        </is>
      </c>
      <c r="E20720" s="10" t="inlineStr">
        <is>
          <t>Lương:8 Tr - 10 Tr VND</t>
        </is>
      </c>
      <c r="F20720" s="10" t="inlineStr">
        <is>
          <t>Hồ Chí Minh</t>
        </is>
      </c>
      <c r="G20720" s="10" t="inlineStr">
        <is>
          <t>4</t>
        </is>
      </c>
      <c r="H20720" s="10" t="inlineStr">
        <is>
          <t>21/03/2026</t>
        </is>
      </c>
      <c r="I20720" s="10" t="inlineStr">
        <is>
          <t>17/03/2026</t>
        </is>
      </c>
      <c r="J20720" s="10" t="inlineStr">
        <is>
          <t>Hành chính / Thư ký, Tư vấn, Dịch vụ khách hàng</t>
        </is>
      </c>
      <c r="K20720" s="10" t="inlineStr">
        <is>
          <t>N/A</t>
        </is>
      </c>
      <c r="L20720" s="11">
        <f>HYPERLINK("https://careerviet.vn/vi/tim-viec-lam/nhan-vien-le-tan-cham-soc-khach-hang.35C66219.html","Xem chi tiết")</f>
        <v/>
      </c>
      <c r="M20720" s="10" t="n"/>
    </row>
    <row r="20721">
      <c r="B20721" s="7" t="n">
        <v>20719</v>
      </c>
      <c r="C20721" t="inlineStr">
        <is>
          <t>Kế Toán Trưởng</t>
        </is>
      </c>
      <c r="D20721" t="inlineStr">
        <is>
          <t>Công ty CP ô tô Vũ Linh</t>
        </is>
      </c>
      <c r="E20721" t="inlineStr">
        <is>
          <t>Lương:25 Tr - 30 Tr VND</t>
        </is>
      </c>
      <c r="F20721" t="inlineStr">
        <is>
          <t>Hà Nội</t>
        </is>
      </c>
      <c r="G20721" t="inlineStr">
        <is>
          <t>4</t>
        </is>
      </c>
      <c r="H20721" t="inlineStr">
        <is>
          <t>21/03/2026</t>
        </is>
      </c>
      <c r="I20721" t="inlineStr">
        <is>
          <t>17/03/2026</t>
        </is>
      </c>
      <c r="J20721" t="inlineStr">
        <is>
          <t>Quản lý điều hành, Kế toán / Kiểm toán, Tài chính / Đầu tư</t>
        </is>
      </c>
      <c r="K20721" t="inlineStr">
        <is>
          <t>Trên 3 Năm</t>
        </is>
      </c>
      <c r="L20721" s="8">
        <f>HYPERLINK("https://careerviet.vn/vi/tim-viec-lam/ke-toan-truong.35C6621E.html","Xem chi tiết")</f>
        <v/>
      </c>
    </row>
    <row r="20722">
      <c r="B20722" s="9" t="n">
        <v>20720</v>
      </c>
      <c r="C20722" s="10" t="inlineStr">
        <is>
          <t>CHUYÊN VIÊN CHĂM SÓC KHÁCH HÀNG-CS - TIẾNG TRUNG (ĐÀ NẴNG)</t>
        </is>
      </c>
      <c r="D20722" s="10" t="inlineStr">
        <is>
          <t>Công Ty TNHH BEST EXPRESS VIỆT NAM</t>
        </is>
      </c>
      <c r="E20722" s="10" t="inlineStr">
        <is>
          <t>Lương:10 Tr - 15 Tr VND</t>
        </is>
      </c>
      <c r="F20722" s="10" t="inlineStr">
        <is>
          <t>Đà Nẵng</t>
        </is>
      </c>
      <c r="G20722" s="10" t="inlineStr">
        <is>
          <t>4</t>
        </is>
      </c>
      <c r="H20722" s="10" t="inlineStr">
        <is>
          <t>21/03/2026</t>
        </is>
      </c>
      <c r="I20722" s="10" t="inlineStr">
        <is>
          <t>17/03/2026</t>
        </is>
      </c>
      <c r="J20722" s="10" t="inlineStr">
        <is>
          <t>Dịch vụ khách hàng, Vận chuyển / Giao nhận / Kho vận, Biên phiên dịch</t>
        </is>
      </c>
      <c r="K20722" s="10" t="inlineStr">
        <is>
          <t>1 - 2 Năm</t>
        </is>
      </c>
      <c r="L20722" s="11">
        <f>HYPERLINK("https://careerviet.vn/vi/tim-viec-lam/chuyen-vien-cham-soc-khach-hang-cs-tieng-trung-da-nang.35C636B0.html","Xem chi tiết")</f>
        <v/>
      </c>
      <c r="M20722" s="10" t="n"/>
    </row>
    <row r="20723">
      <c r="B20723" s="7" t="n">
        <v>20721</v>
      </c>
      <c r="C20723" t="inlineStr">
        <is>
          <t>Nhân Viên Kho</t>
        </is>
      </c>
      <c r="D20723" t="inlineStr">
        <is>
          <t>Chi nhánh công ty TNHH TM DV &amp; SX Thụy Duy Thục</t>
        </is>
      </c>
      <c r="E20723" t="inlineStr">
        <is>
          <t>Lương:Trên 7 Tr VND</t>
        </is>
      </c>
      <c r="F20723" t="inlineStr">
        <is>
          <t>Hồ Chí Minh</t>
        </is>
      </c>
      <c r="G20723" t="inlineStr">
        <is>
          <t>4</t>
        </is>
      </c>
      <c r="H20723" t="inlineStr">
        <is>
          <t>21/03/2026</t>
        </is>
      </c>
      <c r="I20723" t="inlineStr">
        <is>
          <t>17/03/2026</t>
        </is>
      </c>
      <c r="J20723" t="inlineStr">
        <is>
          <t>Hành chính / Thư ký, Vận chuyển / Giao nhận / Kho vận</t>
        </is>
      </c>
      <c r="K20723" t="inlineStr">
        <is>
          <t>Trên 1 Năm</t>
        </is>
      </c>
      <c r="L20723" s="8">
        <f>HYPERLINK("https://careerviet.vn/vi/tim-viec-lam/nhan-vien-kho.35C660B6.html","Xem chi tiết")</f>
        <v/>
      </c>
    </row>
    <row r="20724">
      <c r="B20724" s="9" t="n">
        <v>20722</v>
      </c>
      <c r="C20724" s="10" t="inlineStr">
        <is>
          <t>CHUYÊN VIÊN GIÁM SÁT RỦI RO (RISK CONTROL SPECIALIST)</t>
        </is>
      </c>
      <c r="D20724" s="10" t="inlineStr">
        <is>
          <t>CÔNG TY TNHH YIMI J&amp;T CARGO TRANSPORTATION</t>
        </is>
      </c>
      <c r="E20724" s="10" t="inlineStr">
        <is>
          <t>Lương:15 Tr - 20 Tr VND</t>
        </is>
      </c>
      <c r="F20724" s="10" t="inlineStr">
        <is>
          <t>Hồ Chí Minh</t>
        </is>
      </c>
      <c r="G20724" s="10" t="inlineStr">
        <is>
          <t>4</t>
        </is>
      </c>
      <c r="H20724" s="10" t="inlineStr">
        <is>
          <t>21/03/2026</t>
        </is>
      </c>
      <c r="I20724" s="10" t="inlineStr">
        <is>
          <t>17/03/2026</t>
        </is>
      </c>
      <c r="J20724" s="10" t="inlineStr">
        <is>
          <t>Vận chuyển / Giao nhận / Kho vận</t>
        </is>
      </c>
      <c r="K20724" s="10" t="inlineStr">
        <is>
          <t>1 - 2 Năm</t>
        </is>
      </c>
      <c r="L20724" s="11">
        <f>HYPERLINK("https://careerviet.vn/vi/tim-viec-lam/chuyen-vien-giam-sat-rui-ro-risk-control-specialist.35C661F8.html","Xem chi tiết")</f>
        <v/>
      </c>
      <c r="M20724" s="10" t="n"/>
    </row>
    <row r="20725">
      <c r="B20725" s="7" t="n">
        <v>20723</v>
      </c>
      <c r="C20725" t="inlineStr">
        <is>
          <t>Kế Toán Tổng Hợp</t>
        </is>
      </c>
      <c r="D20725" t="inlineStr">
        <is>
          <t>Công ty CP Thương Mại Việt Hồng</t>
        </is>
      </c>
      <c r="E20725" t="inlineStr">
        <is>
          <t>Lương:16 Tr - 20 Tr VND</t>
        </is>
      </c>
      <c r="F20725" t="inlineStr">
        <is>
          <t>Hà Nội</t>
        </is>
      </c>
      <c r="G20725" t="inlineStr">
        <is>
          <t>4</t>
        </is>
      </c>
      <c r="H20725" t="inlineStr">
        <is>
          <t>21/03/2026</t>
        </is>
      </c>
      <c r="I20725" t="inlineStr">
        <is>
          <t>17/03/2026</t>
        </is>
      </c>
      <c r="J20725" t="inlineStr">
        <is>
          <t>Kế toán / Kiểm toán, Luật / Pháp lý, Tài chính / Đầu tư</t>
        </is>
      </c>
      <c r="K20725" t="inlineStr">
        <is>
          <t>3 - 5 Năm</t>
        </is>
      </c>
      <c r="L20725" s="8">
        <f>HYPERLINK("https://careerviet.vn/vi/tim-viec-lam/ke-toan-tong-hop.35C66151.html","Xem chi tiết")</f>
        <v/>
      </c>
    </row>
    <row r="20726">
      <c r="B20726" s="9" t="n">
        <v>20724</v>
      </c>
      <c r="C20726" s="10" t="inlineStr">
        <is>
          <t>Nhân viên Thu ngân</t>
        </is>
      </c>
      <c r="D20726" s="10" t="inlineStr">
        <is>
          <t>Food Retail</t>
        </is>
      </c>
      <c r="E20726" s="10" t="inlineStr">
        <is>
          <t>Lương:6 Tr - 7 Tr VND</t>
        </is>
      </c>
      <c r="F20726" s="10" t="inlineStr">
        <is>
          <t>Hồ Chí MinhBình Dương</t>
        </is>
      </c>
      <c r="G20726" s="10" t="inlineStr">
        <is>
          <t>4</t>
        </is>
      </c>
      <c r="H20726" s="10" t="inlineStr">
        <is>
          <t>21/03/2026</t>
        </is>
      </c>
      <c r="I20726" s="10" t="inlineStr">
        <is>
          <t>17/03/2026</t>
        </is>
      </c>
      <c r="J20726" s="10" t="inlineStr">
        <is>
          <t>Bán lẻ / Bán sỉ, Bán hàng / Kinh doanh, Dịch vụ khách hàng</t>
        </is>
      </c>
      <c r="K20726" s="10" t="inlineStr">
        <is>
          <t>N/A</t>
        </is>
      </c>
      <c r="L20726" s="11">
        <f>HYPERLINK("https://careerviet.vn/vi/tim-viec-lam/nhan-vien-thu-ngan.35C660B3.html","Xem chi tiết")</f>
        <v/>
      </c>
      <c r="M20726" s="10" t="n"/>
    </row>
    <row r="20727">
      <c r="B20727" s="7" t="n">
        <v>20725</v>
      </c>
      <c r="C20727" t="inlineStr">
        <is>
          <t>[Nova Hotels &amp; Resorts] Senior Digital Marketing</t>
        </is>
      </c>
      <c r="D20727" t="inlineStr">
        <is>
          <t>Nova Service Group - Công ty Cổ phần Tập đoàn Nova Services</t>
        </is>
      </c>
      <c r="E20727" t="inlineStr">
        <is>
          <t>Lương:Cạnh tranh</t>
        </is>
      </c>
      <c r="F20727" t="inlineStr">
        <is>
          <t>Hồ Chí Minh</t>
        </is>
      </c>
      <c r="G20727" t="inlineStr">
        <is>
          <t>4</t>
        </is>
      </c>
      <c r="H20727" t="inlineStr">
        <is>
          <t>21/03/2026</t>
        </is>
      </c>
      <c r="I20727" t="inlineStr">
        <is>
          <t>17/03/2026</t>
        </is>
      </c>
      <c r="J20727" t="inlineStr">
        <is>
          <t>Tiếp thị / Marketing, Nhà hàng / Khách sạn, Du lịch</t>
        </is>
      </c>
      <c r="K20727" t="inlineStr">
        <is>
          <t>5 - 7 Năm</t>
        </is>
      </c>
      <c r="L20727" s="8">
        <f>HYPERLINK("https://careerviet.vn/vi/tim-viec-lam/nova-hotels-resorts-senior-digital-marketing.35C66178.html","Xem chi tiết")</f>
        <v/>
      </c>
    </row>
    <row r="20728">
      <c r="B20728" s="9" t="n">
        <v>20726</v>
      </c>
      <c r="C20728" s="10" t="inlineStr">
        <is>
          <t>KỸ SƯ BÁN HÀNG THANG MÁY</t>
        </is>
      </c>
      <c r="D20728" s="10" t="inlineStr">
        <is>
          <t>Công ty cổ phần thương mại kỹ thuật An Việt</t>
        </is>
      </c>
      <c r="E20728" s="10" t="inlineStr">
        <is>
          <t>Lương:20 Tr - 30 Tr VND</t>
        </is>
      </c>
      <c r="F20728" s="10" t="inlineStr">
        <is>
          <t>Hà Nội</t>
        </is>
      </c>
      <c r="G20728" s="10" t="inlineStr">
        <is>
          <t>4</t>
        </is>
      </c>
      <c r="H20728" s="10" t="inlineStr">
        <is>
          <t>21/03/2026</t>
        </is>
      </c>
      <c r="I20728" s="10" t="inlineStr">
        <is>
          <t>17/03/2026</t>
        </is>
      </c>
      <c r="J20728" s="10" t="inlineStr">
        <is>
          <t>Bán hàng / Kinh doanh, Cơ khí / Ô tô / Tự động hóa, Điện / Điện tử / Điện lạnh / Điện công nghiệp</t>
        </is>
      </c>
      <c r="K20728" s="10" t="inlineStr">
        <is>
          <t>3 - 5 Năm</t>
        </is>
      </c>
      <c r="L20728" s="11">
        <f>HYPERLINK("https://careerviet.vn/vi/tim-viec-lam/ky-su-ban-hang-thang-may.35C660B8.html","Xem chi tiết")</f>
        <v/>
      </c>
      <c r="M20728" s="10" t="n"/>
    </row>
    <row r="20729">
      <c r="B20729" s="7" t="n">
        <v>20727</v>
      </c>
      <c r="C20729" t="inlineStr">
        <is>
          <t>Trưởng phòng MKT &amp; Sale (kinh nghiệm công ty dịch vụ)</t>
        </is>
      </c>
      <c r="D20729" t="inlineStr">
        <is>
          <t>Công ty Cổ Phần Tập Đoàn Bizman</t>
        </is>
      </c>
      <c r="E20729" t="inlineStr">
        <is>
          <t>Lương:20 Tr - 30 Tr VND</t>
        </is>
      </c>
      <c r="F20729" t="inlineStr">
        <is>
          <t>Hồ Chí Minh</t>
        </is>
      </c>
      <c r="G20729" t="inlineStr">
        <is>
          <t>4</t>
        </is>
      </c>
      <c r="H20729" t="inlineStr">
        <is>
          <t>21/03/2026</t>
        </is>
      </c>
      <c r="I20729" t="inlineStr">
        <is>
          <t>17/03/2026</t>
        </is>
      </c>
      <c r="J20729" t="inlineStr">
        <is>
          <t>Tiếp thị / Marketing, Tiếp thị trực tuyến, Quản lý điều hành</t>
        </is>
      </c>
      <c r="K20729" t="inlineStr">
        <is>
          <t>N/A</t>
        </is>
      </c>
      <c r="L20729" s="8">
        <f>HYPERLINK("https://careerviet.vn/vi/tim-viec-lam/truong-phong-mkt-sale-kinh-nghiem-cong-ty-dich-vu.35C661FB.html","Xem chi tiết")</f>
        <v/>
      </c>
    </row>
    <row r="20730">
      <c r="B20730" s="9" t="n">
        <v>20728</v>
      </c>
      <c r="C20730" s="10" t="inlineStr">
        <is>
          <t>Kỹ Sư QS</t>
        </is>
      </c>
      <c r="D20730" s="10" t="inlineStr">
        <is>
          <t>CÔNG TY TNHH ĐẦU TƯ VÀ XÂY DỰNG TNG</t>
        </is>
      </c>
      <c r="E20730" s="10" t="inlineStr">
        <is>
          <t>Lương:17 Tr - 22 Tr VND</t>
        </is>
      </c>
      <c r="F20730" s="10" t="inlineStr">
        <is>
          <t>Tây NinhHồ Chí Minh</t>
        </is>
      </c>
      <c r="G20730" s="10" t="inlineStr">
        <is>
          <t>4</t>
        </is>
      </c>
      <c r="H20730" s="10" t="inlineStr">
        <is>
          <t>21/03/2026</t>
        </is>
      </c>
      <c r="I20730" s="10" t="inlineStr">
        <is>
          <t>17/03/2026</t>
        </is>
      </c>
      <c r="J20730" s="10" t="inlineStr">
        <is>
          <t>Xây dựng</t>
        </is>
      </c>
      <c r="K20730" s="10" t="inlineStr">
        <is>
          <t>3 - 5 Năm</t>
        </is>
      </c>
      <c r="L20730" s="11">
        <f>HYPERLINK("https://careerviet.vn/vi/tim-viec-lam/ky-su-qs.35C66136.html","Xem chi tiết")</f>
        <v/>
      </c>
      <c r="M20730" s="10" t="n"/>
    </row>
    <row r="20731">
      <c r="B20731" s="7" t="n">
        <v>20729</v>
      </c>
      <c r="C20731" t="inlineStr">
        <is>
          <t>Nhân Viên Bảo Trì Thiết Bị</t>
        </is>
      </c>
      <c r="D20731" t="inlineStr">
        <is>
          <t>Công ty TNHH Sài Gòn Stec</t>
        </is>
      </c>
      <c r="E20731" t="inlineStr">
        <is>
          <t>Lương:10 Tr - 15 Tr VND</t>
        </is>
      </c>
      <c r="F20731" t="inlineStr">
        <is>
          <t>Bình Dương</t>
        </is>
      </c>
      <c r="G20731" t="inlineStr">
        <is>
          <t>4</t>
        </is>
      </c>
      <c r="H20731" t="inlineStr">
        <is>
          <t>21/03/2026</t>
        </is>
      </c>
      <c r="I20731" t="inlineStr">
        <is>
          <t>17/03/2026</t>
        </is>
      </c>
      <c r="J20731" t="inlineStr">
        <is>
          <t>Cơ khí / Ô tô / Tự động hóa, Điện / Điện tử / Điện lạnh / Điện công nghiệp, Bảo trì / Sửa chữa</t>
        </is>
      </c>
      <c r="K20731" t="inlineStr">
        <is>
          <t>Chưa có kinh nghiệm</t>
        </is>
      </c>
      <c r="L20731" s="8">
        <f>HYPERLINK("https://careerviet.vn/vi/tim-viec-lam/nhan-vien-bao-tri-thiet-bi.35C660CE.html","Xem chi tiết")</f>
        <v/>
      </c>
    </row>
    <row r="20732">
      <c r="B20732" s="9" t="n">
        <v>20730</v>
      </c>
      <c r="C20732" s="10" t="inlineStr">
        <is>
          <t>Giáo viên Ngữ Văn - TP. Thủ Đức &amp; Quận Tân Bình</t>
        </is>
      </c>
      <c r="D20732" s="10" t="inlineStr">
        <is>
          <t>Bảo mật</t>
        </is>
      </c>
      <c r="E20732" s="10" t="inlineStr">
        <is>
          <t>Lương:Cạnh tranh</t>
        </is>
      </c>
      <c r="F20732" s="10" t="inlineStr">
        <is>
          <t>Hồ Chí Minh</t>
        </is>
      </c>
      <c r="G20732" s="10" t="inlineStr">
        <is>
          <t>4</t>
        </is>
      </c>
      <c r="H20732" s="10" t="inlineStr">
        <is>
          <t>21/03/2026</t>
        </is>
      </c>
      <c r="I20732" s="10" t="inlineStr">
        <is>
          <t>17/03/2026</t>
        </is>
      </c>
      <c r="J20732" s="10" t="inlineStr">
        <is>
          <t>Giáo dục / Đào tạo</t>
        </is>
      </c>
      <c r="K20732" s="10" t="inlineStr">
        <is>
          <t>1 - 2 Năm</t>
        </is>
      </c>
      <c r="L20732" s="11">
        <f>HYPERLINK("https://careerviet.vn/vi/tim-viec-lam/giao-vien-ngu-van-tp-thu-duc-quan-tan-binh.35C660BC.html","Xem chi tiết")</f>
        <v/>
      </c>
      <c r="M20732" s="10" t="n"/>
    </row>
    <row r="20733">
      <c r="B20733" s="7" t="n">
        <v>20731</v>
      </c>
      <c r="C20733" t="inlineStr">
        <is>
          <t>[Suối Tiên] Kỹ Thuật Điện</t>
        </is>
      </c>
      <c r="D20733" t="inlineStr">
        <is>
          <t>Công ty Cổ phần Du Lịch Văn Hóa Suối Tiên</t>
        </is>
      </c>
      <c r="E20733" t="inlineStr">
        <is>
          <t>Lương:Cạnh tranh</t>
        </is>
      </c>
      <c r="F20733" t="inlineStr">
        <is>
          <t>Hồ Chí Minh</t>
        </is>
      </c>
      <c r="G20733" t="inlineStr">
        <is>
          <t>4</t>
        </is>
      </c>
      <c r="H20733" t="inlineStr">
        <is>
          <t>21/03/2026</t>
        </is>
      </c>
      <c r="I20733" t="inlineStr">
        <is>
          <t>17/03/2026</t>
        </is>
      </c>
      <c r="J20733" t="inlineStr">
        <is>
          <t>Điện / Điện tử / Điện lạnh / Điện công nghiệp</t>
        </is>
      </c>
      <c r="K20733" t="inlineStr">
        <is>
          <t>N/A</t>
        </is>
      </c>
      <c r="L20733" s="8">
        <f>HYPERLINK("https://careerviet.vn/vi/tim-viec-lam/suoi-tien-ky-thuat-dien.35C636A6.html","Xem chi tiết")</f>
        <v/>
      </c>
    </row>
    <row r="20734">
      <c r="B20734" s="9" t="n">
        <v>20732</v>
      </c>
      <c r="C20734" s="10" t="inlineStr">
        <is>
          <t>Host/ Livestreamer (Nam)</t>
        </is>
      </c>
      <c r="D20734" s="10" t="inlineStr">
        <is>
          <t>Công ty TNHH Onpoint</t>
        </is>
      </c>
      <c r="E20734" s="10" t="inlineStr">
        <is>
          <t>Lương:Cạnh tranh</t>
        </is>
      </c>
      <c r="F20734" s="10" t="inlineStr">
        <is>
          <t>Hồ Chí Minh</t>
        </is>
      </c>
      <c r="G20734" s="10" t="inlineStr">
        <is>
          <t>4</t>
        </is>
      </c>
      <c r="H20734" s="10" t="inlineStr">
        <is>
          <t>21/03/2026</t>
        </is>
      </c>
      <c r="I20734" s="10" t="inlineStr">
        <is>
          <t>17/03/2026</t>
        </is>
      </c>
      <c r="J20734" s="10" t="inlineStr">
        <is>
          <t>Tiếp thị / Marketing, Tiếp thị trực tuyến, Quảng cáo / Đối ngoại / Truyền Thông</t>
        </is>
      </c>
      <c r="K20734" s="10" t="inlineStr">
        <is>
          <t>N/A</t>
        </is>
      </c>
      <c r="L20734" s="11">
        <f>HYPERLINK("https://careerviet.vn/vi/tim-viec-lam/host-livestreamer-nam.35C661F6.html","Xem chi tiết")</f>
        <v/>
      </c>
      <c r="M20734" s="10" t="n"/>
    </row>
    <row r="20735">
      <c r="B20735" s="7" t="n">
        <v>20733</v>
      </c>
      <c r="C20735" t="inlineStr">
        <is>
          <t>KIẾN TRÚC SƯ NỘI THẤT</t>
        </is>
      </c>
      <c r="D20735" t="inlineStr">
        <is>
          <t>CÔNG TY CỔ PHẦN ĐẦU TƯ BẤT ĐỘNG SẢN TASECO</t>
        </is>
      </c>
      <c r="E20735" t="inlineStr">
        <is>
          <t>Lương:20 Tr - 25 Tr VND</t>
        </is>
      </c>
      <c r="F20735" t="inlineStr">
        <is>
          <t>Hà Nội</t>
        </is>
      </c>
      <c r="G20735" t="inlineStr">
        <is>
          <t>4</t>
        </is>
      </c>
      <c r="H20735" t="inlineStr">
        <is>
          <t>21/03/2026</t>
        </is>
      </c>
      <c r="I20735" t="inlineStr">
        <is>
          <t>17/03/2026</t>
        </is>
      </c>
      <c r="J20735" t="inlineStr">
        <is>
          <t>Kiến trúc, Xây dựng</t>
        </is>
      </c>
      <c r="K20735" t="inlineStr">
        <is>
          <t>Trên 5 Năm</t>
        </is>
      </c>
      <c r="L20735" s="8">
        <f>HYPERLINK("https://careerviet.vn/vi/tim-viec-lam/kien-truc-su-noi-that.35C636B3.html","Xem chi tiết")</f>
        <v/>
      </c>
    </row>
    <row r="20736">
      <c r="B20736" s="9" t="n">
        <v>20734</v>
      </c>
      <c r="C20736" s="10" t="inlineStr">
        <is>
          <t>Chuyên Viên Nhân Sự</t>
        </is>
      </c>
      <c r="D20736" s="10" t="inlineStr">
        <is>
          <t>Bảo mật</t>
        </is>
      </c>
      <c r="E20736" s="10" t="inlineStr">
        <is>
          <t>Lương:10 Tr - 17 Tr VND</t>
        </is>
      </c>
      <c r="F20736" s="10" t="inlineStr">
        <is>
          <t>Hồ Chí Minh</t>
        </is>
      </c>
      <c r="G20736" s="10" t="inlineStr">
        <is>
          <t>4</t>
        </is>
      </c>
      <c r="H20736" s="10" t="inlineStr">
        <is>
          <t>21/03/2026</t>
        </is>
      </c>
      <c r="I20736" s="10" t="inlineStr">
        <is>
          <t>17/03/2026</t>
        </is>
      </c>
      <c r="J20736" s="10" t="inlineStr">
        <is>
          <t>Hành chính / Thư ký, Nhân sự</t>
        </is>
      </c>
      <c r="K20736" s="10" t="inlineStr">
        <is>
          <t>2 - 5 Năm</t>
        </is>
      </c>
      <c r="L20736" s="11">
        <f>HYPERLINK("https://careerviet.vn/vi/tim-viec-lam/chuyen-vien-nhan-su.35C660F1.html","Xem chi tiết")</f>
        <v/>
      </c>
      <c r="M20736" s="10" t="n"/>
    </row>
    <row r="20737">
      <c r="B20737" s="7" t="n">
        <v>20735</v>
      </c>
      <c r="C20737" t="inlineStr">
        <is>
          <t>Sales Manager (Chemical – Chinese &amp; English Speaking)</t>
        </is>
      </c>
      <c r="D20737" t="inlineStr">
        <is>
          <t>PeopleWise Vietnam</t>
        </is>
      </c>
      <c r="E20737" t="inlineStr">
        <is>
          <t>Lương:Cạnh tranh</t>
        </is>
      </c>
      <c r="F20737" t="inlineStr">
        <is>
          <t>Long An</t>
        </is>
      </c>
      <c r="G20737" t="inlineStr">
        <is>
          <t>4</t>
        </is>
      </c>
      <c r="H20737" t="inlineStr">
        <is>
          <t>21/03/2026</t>
        </is>
      </c>
      <c r="I20737" t="inlineStr">
        <is>
          <t>17/03/2026</t>
        </is>
      </c>
      <c r="J20737" t="inlineStr">
        <is>
          <t>Dược phẩm/ Hóa Mỹ Phẩm, Bán hàng / Kinh doanh, Hóa học</t>
        </is>
      </c>
      <c r="K20737" t="inlineStr">
        <is>
          <t>Trên 3 Năm</t>
        </is>
      </c>
      <c r="L20737" s="8">
        <f>HYPERLINK("https://careerviet.vn/vi/tim-viec-lam/sales-manager-chemical-chinese-english-speaking.35C66104.html","Xem chi tiết")</f>
        <v/>
      </c>
    </row>
    <row r="20738">
      <c r="B20738" s="9" t="n">
        <v>20736</v>
      </c>
      <c r="C20738" s="10" t="inlineStr">
        <is>
          <t>Trưởng Nhóm Bảo Trì - Thu nhập lên đến 25tr/tháng</t>
        </is>
      </c>
      <c r="D20738" s="10" t="inlineStr">
        <is>
          <t>Công ty Cổ phần thực phẩm và đồ uống Barett</t>
        </is>
      </c>
      <c r="E20738" s="10" t="inlineStr">
        <is>
          <t>Lương:16 Tr - 25 Tr VND</t>
        </is>
      </c>
      <c r="F20738" s="10" t="inlineStr">
        <is>
          <t>Hưng Yên</t>
        </is>
      </c>
      <c r="G20738" s="10" t="inlineStr">
        <is>
          <t>4</t>
        </is>
      </c>
      <c r="H20738" s="10" t="inlineStr">
        <is>
          <t>21/03/2026</t>
        </is>
      </c>
      <c r="I20738" s="10" t="inlineStr">
        <is>
          <t>17/03/2026</t>
        </is>
      </c>
      <c r="J20738" s="10" t="inlineStr">
        <is>
          <t>Thực phẩm &amp; Đồ uống, Điện / Điện tử / Điện lạnh / Điện công nghiệp, Sản xuất / Vận hành sản xuất</t>
        </is>
      </c>
      <c r="K20738" s="10" t="inlineStr">
        <is>
          <t>3 - 5 Năm</t>
        </is>
      </c>
      <c r="L20738" s="11">
        <f>HYPERLINK("https://careerviet.vn/vi/tim-viec-lam/truong-nhom-bao-tri-thu-nhap-len-den-25tr-thang.35C66105.html","Xem chi tiết")</f>
        <v/>
      </c>
      <c r="M20738" s="10" t="n"/>
    </row>
    <row r="20739">
      <c r="B20739" s="7" t="n">
        <v>20737</v>
      </c>
      <c r="C20739" t="inlineStr">
        <is>
          <t>Nhân viên IT Helpdesk</t>
        </is>
      </c>
      <c r="D20739" t="inlineStr">
        <is>
          <t>Công Ty Cổ Phần Tập Đoàn Đèo Cả</t>
        </is>
      </c>
      <c r="E20739" t="inlineStr">
        <is>
          <t>Lương:10 Tr - 16 Tr VND</t>
        </is>
      </c>
      <c r="F20739" t="inlineStr">
        <is>
          <t>Tiền Giang</t>
        </is>
      </c>
      <c r="G20739" t="inlineStr">
        <is>
          <t>4</t>
        </is>
      </c>
      <c r="H20739" t="inlineStr">
        <is>
          <t>21/03/2026</t>
        </is>
      </c>
      <c r="I20739" t="inlineStr">
        <is>
          <t>17/03/2026</t>
        </is>
      </c>
      <c r="J20739" t="inlineStr">
        <is>
          <t>CNTT - Phần mềm, CNTT - Phần cứng / Mạng</t>
        </is>
      </c>
      <c r="K20739" t="inlineStr">
        <is>
          <t>Trên 1 Năm</t>
        </is>
      </c>
      <c r="L20739" s="8">
        <f>HYPERLINK("https://careerviet.vn/vi/tim-viec-lam/nhan-vien-it-helpdesk.35C660EA.html","Xem chi tiết")</f>
        <v/>
      </c>
    </row>
    <row r="20740">
      <c r="B20740" s="9" t="n">
        <v>20738</v>
      </c>
      <c r="C20740" s="10" t="inlineStr">
        <is>
          <t>Nhân Viên Kho</t>
        </is>
      </c>
      <c r="D20740" s="10" t="inlineStr">
        <is>
          <t>CÔNG TY TNHH LDC LOGISTICS VIỆT NAM</t>
        </is>
      </c>
      <c r="E20740" s="10" t="inlineStr">
        <is>
          <t>Lương:Cạnh tranh</t>
        </is>
      </c>
      <c r="F20740" s="10" t="inlineStr">
        <is>
          <t>Bình Dương</t>
        </is>
      </c>
      <c r="G20740" s="10" t="inlineStr">
        <is>
          <t>4</t>
        </is>
      </c>
      <c r="H20740" s="10" t="inlineStr">
        <is>
          <t>21/03/2026</t>
        </is>
      </c>
      <c r="I20740" s="10" t="inlineStr">
        <is>
          <t>17/03/2026</t>
        </is>
      </c>
      <c r="J20740" s="10" t="inlineStr">
        <is>
          <t>Cơ khí / Ô tô / Tự động hóa, Sản xuất / Vận hành sản xuất, Vận chuyển / Giao nhận / Kho vận</t>
        </is>
      </c>
      <c r="K20740" s="10" t="inlineStr">
        <is>
          <t>1 - 3 Năm</t>
        </is>
      </c>
      <c r="L20740" s="11">
        <f>HYPERLINK("https://careerviet.vn/vi/tim-viec-lam/nhan-vien-kho.35C661E4.html","Xem chi tiết")</f>
        <v/>
      </c>
      <c r="M20740" s="10" t="n"/>
    </row>
    <row r="20741">
      <c r="B20741" s="7" t="n">
        <v>20739</v>
      </c>
      <c r="C20741" t="inlineStr">
        <is>
          <t>Nhân Viên Bán Hàng Thời Trang Cao Cấp - HCM</t>
        </is>
      </c>
      <c r="D20741" t="inlineStr">
        <is>
          <t>Công Ty Cổ Phần Thời Trang &amp; Mỹ Phẩm Duy Anh (DAFC)</t>
        </is>
      </c>
      <c r="E20741" t="inlineStr">
        <is>
          <t>Lương:Cạnh tranh</t>
        </is>
      </c>
      <c r="F20741" t="inlineStr">
        <is>
          <t>Hồ Chí Minh</t>
        </is>
      </c>
      <c r="G20741" t="inlineStr">
        <is>
          <t>4</t>
        </is>
      </c>
      <c r="H20741" t="inlineStr">
        <is>
          <t>21/03/2026</t>
        </is>
      </c>
      <c r="I20741" t="inlineStr">
        <is>
          <t>17/03/2026</t>
        </is>
      </c>
      <c r="J20741" t="inlineStr">
        <is>
          <t>Bán lẻ / Bán sỉ, Lao động phổ thông, Dệt may / Da giày / Thời trang</t>
        </is>
      </c>
      <c r="K20741" t="inlineStr">
        <is>
          <t>1 - 2 Năm</t>
        </is>
      </c>
      <c r="L20741" s="8">
        <f>HYPERLINK("https://careerviet.vn/vi/tim-viec-lam/nhan-vien-ban-hang-thoi-trang-cao-cap-hcm.35C661B8.html","Xem chi tiết")</f>
        <v/>
      </c>
    </row>
    <row r="20742">
      <c r="B20742" s="9" t="n">
        <v>20740</v>
      </c>
      <c r="C20742" s="10" t="inlineStr">
        <is>
          <t>KẾ TOÁN TỔNG HỢP (Q7, HCM - CHỢ LÁCH, BẾN TRE - CƯ MGAR, ĐẮK LẮK)</t>
        </is>
      </c>
      <c r="D20742" s="10" t="inlineStr">
        <is>
          <t>CÔNG TY CỔ PHẦN TẬP ĐOÀN XUẤT - NHẬP KHẨU TRÁI CÂY CHÁNH THU</t>
        </is>
      </c>
      <c r="E20742" s="10" t="inlineStr">
        <is>
          <t>Lương:Cạnh tranh</t>
        </is>
      </c>
      <c r="F20742" s="10" t="inlineStr">
        <is>
          <t>Bến TreHồ Chí MinhDak Lak</t>
        </is>
      </c>
      <c r="G20742" s="10" t="inlineStr">
        <is>
          <t>4</t>
        </is>
      </c>
      <c r="H20742" s="10" t="inlineStr">
        <is>
          <t>21/03/2026</t>
        </is>
      </c>
      <c r="I20742" s="10" t="inlineStr">
        <is>
          <t>17/03/2026</t>
        </is>
      </c>
      <c r="J20742" s="10" t="inlineStr">
        <is>
          <t>Kế toán / Kiểm toán, Xuất nhập khẩu, Sản xuất / Vận hành sản xuất</t>
        </is>
      </c>
      <c r="K20742" s="10" t="inlineStr">
        <is>
          <t>3 - 5 Năm</t>
        </is>
      </c>
      <c r="L20742" s="11">
        <f>HYPERLINK("https://careerviet.vn/vi/tim-viec-lam/ke-toan-tong-hop-q7-hcm-cho-lach-ben-tre-cu-mgar-dak-lak.35C6619B.html","Xem chi tiết")</f>
        <v/>
      </c>
      <c r="M20742" s="10" t="n"/>
    </row>
    <row r="20743">
      <c r="B20743" s="7" t="n">
        <v>20741</v>
      </c>
      <c r="C20743" t="inlineStr">
        <is>
          <t>Giám sát bán hàng tại Phú Thọ/Vĩnh Phúc</t>
        </is>
      </c>
      <c r="D20743" t="inlineStr">
        <is>
          <t>Công ty TNHH Chế biến thực phẩm Đông Đô</t>
        </is>
      </c>
      <c r="E20743" t="inlineStr">
        <is>
          <t>Lương:18 Tr - 23 Tr VND</t>
        </is>
      </c>
      <c r="F20743" t="inlineStr">
        <is>
          <t>Vĩnh PhúcPhú Thọ</t>
        </is>
      </c>
      <c r="G20743" t="inlineStr">
        <is>
          <t>4</t>
        </is>
      </c>
      <c r="H20743" t="inlineStr">
        <is>
          <t>21/03/2026</t>
        </is>
      </c>
      <c r="I20743" t="inlineStr">
        <is>
          <t>17/03/2026</t>
        </is>
      </c>
      <c r="J20743" t="inlineStr">
        <is>
          <t>Bán lẻ / Bán sỉ, Bán hàng / Kinh doanh, Thực phẩm &amp; Đồ uống</t>
        </is>
      </c>
      <c r="K20743" t="inlineStr">
        <is>
          <t>2 - 3 Năm</t>
        </is>
      </c>
      <c r="L20743" s="8">
        <f>HYPERLINK("https://careerviet.vn/vi/tim-viec-lam/giam-sat-ban-hang-tai-phu-tho-vinh-phuc.35C660EF.html","Xem chi tiết")</f>
        <v/>
      </c>
    </row>
    <row r="20744">
      <c r="B20744" s="9" t="n">
        <v>20742</v>
      </c>
      <c r="C20744" s="10" t="inlineStr">
        <is>
          <t>Brand Director – Trading &amp; Retail Driven | Luxury Fashion &amp; Accessories</t>
        </is>
      </c>
      <c r="D20744" s="10" t="inlineStr">
        <is>
          <t>CareerViet's client</t>
        </is>
      </c>
      <c r="E20744" s="10" t="inlineStr">
        <is>
          <t>Lương:Cạnh tranh</t>
        </is>
      </c>
      <c r="F20744" s="10" t="inlineStr">
        <is>
          <t>Hồ Chí Minh</t>
        </is>
      </c>
      <c r="G20744" s="10" t="inlineStr">
        <is>
          <t>4</t>
        </is>
      </c>
      <c r="H20744" s="10" t="inlineStr">
        <is>
          <t>21/03/2026</t>
        </is>
      </c>
      <c r="I20744" s="10" t="inlineStr">
        <is>
          <t>17/03/2026</t>
        </is>
      </c>
      <c r="J20744" s="10" t="inlineStr">
        <is>
          <t>Tiếp thị / Marketing, Bán lẻ / Bán sỉ, Thương mại điện tử</t>
        </is>
      </c>
      <c r="K20744" s="10" t="inlineStr">
        <is>
          <t>10 - 15 Năm</t>
        </is>
      </c>
      <c r="L20744" s="11">
        <f>HYPERLINK("https://careerviet.vn/vi/tim-viec-lam/brand-director-trading-retail-driven-luxury-fashion-accessories.35C661B0.html","Xem chi tiết")</f>
        <v/>
      </c>
      <c r="M20744" s="10" t="n"/>
    </row>
    <row r="20745">
      <c r="B20745" s="7" t="n">
        <v>20743</v>
      </c>
      <c r="C20745" t="inlineStr">
        <is>
          <t>Nhân viên Media</t>
        </is>
      </c>
      <c r="D20745" t="inlineStr">
        <is>
          <t>Công ty Cổ Phần Giáo Dục German Link</t>
        </is>
      </c>
      <c r="E20745" t="inlineStr">
        <is>
          <t>Lương:12 Tr - 15 Tr VND</t>
        </is>
      </c>
      <c r="F20745" t="inlineStr">
        <is>
          <t>Hà Nội</t>
        </is>
      </c>
      <c r="G20745" t="inlineStr">
        <is>
          <t>4</t>
        </is>
      </c>
      <c r="H20745" t="inlineStr">
        <is>
          <t>21/03/2026</t>
        </is>
      </c>
      <c r="I20745" t="inlineStr">
        <is>
          <t>17/03/2026</t>
        </is>
      </c>
      <c r="J20745" t="inlineStr">
        <is>
          <t>Giáo dục / Đào tạo, Mỹ thuật / Nghệ thuật / Thiết kế, Truyền hình / Báo chí / Biên tập</t>
        </is>
      </c>
      <c r="K20745" t="inlineStr">
        <is>
          <t>Lên đến 3 Năm</t>
        </is>
      </c>
      <c r="L20745" s="8">
        <f>HYPERLINK("https://careerviet.vn/vi/tim-viec-lam/nhan-vien-media.35C66182.html","Xem chi tiết")</f>
        <v/>
      </c>
    </row>
    <row r="20746">
      <c r="B20746" s="9" t="n">
        <v>20744</v>
      </c>
      <c r="C20746" s="10" t="inlineStr">
        <is>
          <t>Nhân viên Kỹ thuật (Sửa chữa bo mạch điện tử) - Làm việc tại Thạch Thất</t>
        </is>
      </c>
      <c r="D20746" s="10" t="inlineStr">
        <is>
          <t>CÔNG TY CỔ PHẦN CÔNG NGHIỆP WELDCOM</t>
        </is>
      </c>
      <c r="E20746" s="10" t="inlineStr">
        <is>
          <t>Lương:12 Tr - 15 Tr VND</t>
        </is>
      </c>
      <c r="F20746" s="10" t="inlineStr">
        <is>
          <t>Hà Nội</t>
        </is>
      </c>
      <c r="G20746" s="10" t="inlineStr">
        <is>
          <t>4</t>
        </is>
      </c>
      <c r="H20746" s="10" t="inlineStr">
        <is>
          <t>21/03/2026</t>
        </is>
      </c>
      <c r="I20746" s="10" t="inlineStr">
        <is>
          <t>17/03/2026</t>
        </is>
      </c>
      <c r="J20746" s="10" t="inlineStr">
        <is>
          <t>Điện / Điện tử / Điện lạnh / Điện công nghiệp, Bảo trì / Sửa chữa</t>
        </is>
      </c>
      <c r="K20746" s="10" t="inlineStr">
        <is>
          <t>1 - 2 Năm</t>
        </is>
      </c>
      <c r="L20746" s="11">
        <f>HYPERLINK("https://careerviet.vn/vi/tim-viec-lam/nhan-vien-ky-thuat-sua-chua-bo-mach-dien-tu-lam-viec-tai-thach-that.35C6623A.html","Xem chi tiết")</f>
        <v/>
      </c>
      <c r="M20746" s="10" t="n"/>
    </row>
    <row r="20747">
      <c r="B20747" s="7" t="n">
        <v>20745</v>
      </c>
      <c r="C20747" t="inlineStr">
        <is>
          <t>Nhân viên Kế toán</t>
        </is>
      </c>
      <c r="D20747" t="inlineStr">
        <is>
          <t>CÔNG TY CP ĐẦU TƯ XÂY DỰNG VÀ CƠ ĐIỆN IEC</t>
        </is>
      </c>
      <c r="E20747" t="inlineStr">
        <is>
          <t>Lương:Cạnh tranh</t>
        </is>
      </c>
      <c r="F20747" t="inlineStr">
        <is>
          <t>Hà Nội</t>
        </is>
      </c>
      <c r="G20747" t="inlineStr">
        <is>
          <t>31-03-2026</t>
        </is>
      </c>
      <c r="H20747" t="inlineStr">
        <is>
          <t>31/03/2026</t>
        </is>
      </c>
      <c r="I20747" t="inlineStr">
        <is>
          <t>17/03/2026</t>
        </is>
      </c>
      <c r="J20747" t="inlineStr">
        <is>
          <t>Kế toán / Kiểm toán</t>
        </is>
      </c>
      <c r="K20747" t="inlineStr">
        <is>
          <t>3 - 5 Năm</t>
        </is>
      </c>
      <c r="L20747" s="8">
        <f>HYPERLINK("https://careerviet.vn/vi/tim-viec-lam/nhan-vien-ke-toan.35C636B6.html","Xem chi tiết")</f>
        <v/>
      </c>
    </row>
    <row r="20748">
      <c r="B20748" s="9" t="n">
        <v>20746</v>
      </c>
      <c r="C20748" s="10" t="inlineStr">
        <is>
          <t>Trưởng nhóm thiết kế nội thất</t>
        </is>
      </c>
      <c r="D20748" s="10" t="inlineStr">
        <is>
          <t>CÔNG TY CỔ PHẦN ABT HOMES</t>
        </is>
      </c>
      <c r="E20748" s="10" t="inlineStr">
        <is>
          <t>Lương:25 Tr - 50 Tr VND</t>
        </is>
      </c>
      <c r="F20748" s="10" t="inlineStr">
        <is>
          <t>Hồ Chí Minh</t>
        </is>
      </c>
      <c r="G20748" s="10" t="inlineStr">
        <is>
          <t>4</t>
        </is>
      </c>
      <c r="H20748" s="10" t="inlineStr">
        <is>
          <t>21/03/2026</t>
        </is>
      </c>
      <c r="I20748" s="10" t="inlineStr">
        <is>
          <t>17/03/2026</t>
        </is>
      </c>
      <c r="J20748" s="10" t="inlineStr">
        <is>
          <t>Kiến trúc, Xây dựng, Nội ngoại thất</t>
        </is>
      </c>
      <c r="K20748" s="10" t="inlineStr">
        <is>
          <t>1 - 3 Năm</t>
        </is>
      </c>
      <c r="L20748" s="11">
        <f>HYPERLINK("https://careerviet.vn/vi/tim-viec-lam/truong-nhom-thiet-ke-noi-that.35C6624C.html","Xem chi tiết")</f>
        <v/>
      </c>
      <c r="M20748" s="10" t="n"/>
    </row>
    <row r="20749">
      <c r="B20749" s="7" t="n">
        <v>20747</v>
      </c>
      <c r="C20749" t="inlineStr">
        <is>
          <t>Nhân viên hành chánh tổng hợp kiêm điều giao nhận</t>
        </is>
      </c>
      <c r="D20749" t="inlineStr">
        <is>
          <t>Công ty Cổ Phần Thảo Mộc Xanh</t>
        </is>
      </c>
      <c r="E20749" t="inlineStr">
        <is>
          <t>Lương:Cạnh tranh</t>
        </is>
      </c>
      <c r="F20749" t="inlineStr">
        <is>
          <t>Hồ Chí Minh</t>
        </is>
      </c>
      <c r="G20749" t="inlineStr">
        <is>
          <t>4</t>
        </is>
      </c>
      <c r="H20749" t="inlineStr">
        <is>
          <t>21/03/2026</t>
        </is>
      </c>
      <c r="I20749" t="inlineStr">
        <is>
          <t>17/03/2026</t>
        </is>
      </c>
      <c r="J20749" t="inlineStr">
        <is>
          <t>Hành chính / Thư ký, Quản lý điều hành, Ngành khác</t>
        </is>
      </c>
      <c r="K20749" t="inlineStr">
        <is>
          <t>Trên 2 Năm</t>
        </is>
      </c>
      <c r="L20749" s="8">
        <f>HYPERLINK("https://careerviet.vn/vi/tim-viec-lam/nhan-vien-hanh-chanh-tong-hop-kiem-dieu-giao-nhan.35C660AA.html","Xem chi tiết")</f>
        <v/>
      </c>
    </row>
    <row r="20750">
      <c r="B20750" s="9" t="n">
        <v>20748</v>
      </c>
      <c r="C20750" s="10" t="inlineStr">
        <is>
          <t>Marketing Executive</t>
        </is>
      </c>
      <c r="D20750" s="10" t="inlineStr">
        <is>
          <t>PEB STEEL BUILDINGS CO., LTD.</t>
        </is>
      </c>
      <c r="E20750" s="10" t="inlineStr">
        <is>
          <t>Lương:Cạnh tranh</t>
        </is>
      </c>
      <c r="F20750" s="10" t="inlineStr">
        <is>
          <t>Hồ Chí Minh</t>
        </is>
      </c>
      <c r="G20750" s="10" t="inlineStr">
        <is>
          <t>4</t>
        </is>
      </c>
      <c r="H20750" s="10" t="inlineStr">
        <is>
          <t>21/03/2026</t>
        </is>
      </c>
      <c r="I20750" s="10" t="inlineStr">
        <is>
          <t>17/03/2026</t>
        </is>
      </c>
      <c r="J20750" s="10" t="inlineStr">
        <is>
          <t>Tiếp thị / Marketing, Xây dựng</t>
        </is>
      </c>
      <c r="K20750" s="10" t="inlineStr">
        <is>
          <t>3 - 5 Năm</t>
        </is>
      </c>
      <c r="L20750" s="11">
        <f>HYPERLINK("https://careerviet.vn/vi/tim-viec-lam/marketing-executive.35C661ED.html","Xem chi tiết")</f>
        <v/>
      </c>
      <c r="M20750" s="10" t="n"/>
    </row>
    <row r="20751">
      <c r="B20751" s="7" t="n">
        <v>20749</v>
      </c>
      <c r="C20751" t="inlineStr">
        <is>
          <t>Thái Bình - Chuyên viên Khách hàng cá nhân</t>
        </is>
      </c>
      <c r="D20751" t="inlineStr">
        <is>
          <t>Ngân hàng TMCP Lộc Phát Việt Nam (LPBank)</t>
        </is>
      </c>
      <c r="E20751" t="inlineStr">
        <is>
          <t>Lương:Cạnh tranh</t>
        </is>
      </c>
      <c r="F20751" t="inlineStr">
        <is>
          <t>Thái Bình</t>
        </is>
      </c>
      <c r="G20751" t="inlineStr">
        <is>
          <t>5</t>
        </is>
      </c>
      <c r="H20751" t="inlineStr">
        <is>
          <t>22/03/2026</t>
        </is>
      </c>
      <c r="I20751" t="inlineStr">
        <is>
          <t>17/03/2026</t>
        </is>
      </c>
      <c r="J20751" t="inlineStr">
        <is>
          <t>Bán hàng / Kinh doanh, Kế toán / Kiểm toán, Ngân hàng</t>
        </is>
      </c>
      <c r="K20751" t="inlineStr">
        <is>
          <t>N/A</t>
        </is>
      </c>
      <c r="L20751" s="8">
        <f>HYPERLINK("https://careerviet.vn/vi/tim-viec-lam/thai-binh-chuyen-vien-khach-hang-ca-nhan.35C662B8.html","Xem chi tiết")</f>
        <v/>
      </c>
    </row>
    <row r="20752">
      <c r="B20752" s="9" t="n">
        <v>20750</v>
      </c>
      <c r="C20752" s="10" t="inlineStr">
        <is>
          <t>Chuyên viên kế toán thanh toán</t>
        </is>
      </c>
      <c r="D20752" s="10" t="inlineStr">
        <is>
          <t>Công ty TNHH Vạn Niên</t>
        </is>
      </c>
      <c r="E20752" s="10" t="inlineStr">
        <is>
          <t>Lương:10 Tr - 15 Tr VND</t>
        </is>
      </c>
      <c r="F20752" s="10" t="inlineStr">
        <is>
          <t>Hà Nội</t>
        </is>
      </c>
      <c r="G20752" s="10" t="inlineStr">
        <is>
          <t>4</t>
        </is>
      </c>
      <c r="H20752" s="10" t="inlineStr">
        <is>
          <t>21/03/2026</t>
        </is>
      </c>
      <c r="I20752" s="10" t="inlineStr">
        <is>
          <t>17/03/2026</t>
        </is>
      </c>
      <c r="J20752" s="10" t="inlineStr">
        <is>
          <t>Kế toán / Kiểm toán, Ngân hàng, Tài chính / Đầu tư</t>
        </is>
      </c>
      <c r="K20752" s="10" t="inlineStr">
        <is>
          <t>2 - 3 Năm</t>
        </is>
      </c>
      <c r="L20752" s="11">
        <f>HYPERLINK("https://careerviet.vn/vi/tim-viec-lam/chuyen-vien-ke-toan-thanh-toan.35C660D1.html","Xem chi tiết")</f>
        <v/>
      </c>
      <c r="M20752" s="10" t="n"/>
    </row>
    <row r="20753">
      <c r="B20753" s="7" t="n">
        <v>20751</v>
      </c>
      <c r="C20753" t="inlineStr">
        <is>
          <t>QUẢN LÝ CỬA HÀNG</t>
        </is>
      </c>
      <c r="D20753" t="inlineStr">
        <is>
          <t>HỆ THỐNG KÍNH MẮT ANNA</t>
        </is>
      </c>
      <c r="E20753" t="inlineStr">
        <is>
          <t>Lương:15 Tr - 25 Tr VND</t>
        </is>
      </c>
      <c r="F20753" t="inlineStr">
        <is>
          <t>Hà NộiHồ Chí Minh</t>
        </is>
      </c>
      <c r="G20753" t="inlineStr">
        <is>
          <t>4</t>
        </is>
      </c>
      <c r="H20753" t="inlineStr">
        <is>
          <t>21/03/2026</t>
        </is>
      </c>
      <c r="I20753" t="inlineStr">
        <is>
          <t>17/03/2026</t>
        </is>
      </c>
      <c r="J20753" t="inlineStr">
        <is>
          <t>Bán lẻ / Bán sỉ, Bán hàng / Kinh doanh, Tư vấn</t>
        </is>
      </c>
      <c r="K20753" t="inlineStr">
        <is>
          <t>1 - 3 Năm</t>
        </is>
      </c>
      <c r="L20753" s="8">
        <f>HYPERLINK("https://careerviet.vn/vi/tim-viec-lam/quan-ly-cua-hang.35C661C4.html","Xem chi tiết")</f>
        <v/>
      </c>
    </row>
    <row r="20754">
      <c r="B20754" s="9" t="n">
        <v>20752</v>
      </c>
      <c r="C20754" s="10" t="inlineStr">
        <is>
          <t>NHÂN VIÊN KINH DOANH</t>
        </is>
      </c>
      <c r="D20754" s="10" t="inlineStr">
        <is>
          <t>Kyungbang Vietnam CO., LTD</t>
        </is>
      </c>
      <c r="E20754" s="10" t="inlineStr">
        <is>
          <t>Lương:10 Tr - 15 Tr VND</t>
        </is>
      </c>
      <c r="F20754" s="10" t="inlineStr">
        <is>
          <t>Hồ Chí Minh</t>
        </is>
      </c>
      <c r="G20754" s="10" t="inlineStr">
        <is>
          <t>5</t>
        </is>
      </c>
      <c r="H20754" s="10" t="inlineStr">
        <is>
          <t>22/03/2026</t>
        </is>
      </c>
      <c r="I20754" s="10" t="inlineStr">
        <is>
          <t>17/03/2026</t>
        </is>
      </c>
      <c r="J20754" s="10" t="inlineStr">
        <is>
          <t>Tiếp thị / Marketing, Bán hàng / Kinh doanh</t>
        </is>
      </c>
      <c r="K20754" s="10" t="inlineStr">
        <is>
          <t>1 - 3 Năm</t>
        </is>
      </c>
      <c r="L20754" s="11">
        <f>HYPERLINK("https://careerviet.vn/vi/tim-viec-lam/nhan-vien-kinh-doanh.35C66308.html","Xem chi tiết")</f>
        <v/>
      </c>
      <c r="M20754" s="10" t="n"/>
    </row>
    <row r="20755">
      <c r="B20755" s="7" t="n">
        <v>20753</v>
      </c>
      <c r="C20755" t="inlineStr">
        <is>
          <t>126192 - Senior Consultant - Consulting</t>
        </is>
      </c>
      <c r="D20755" t="inlineStr">
        <is>
          <t>RGF HR Agent Vietnam Co., LTD</t>
        </is>
      </c>
      <c r="E20755" t="inlineStr">
        <is>
          <t>Lương:18 Tr - 23 Tr VND</t>
        </is>
      </c>
      <c r="F20755" t="inlineStr">
        <is>
          <t>Hà Nội</t>
        </is>
      </c>
      <c r="G20755" t="inlineStr">
        <is>
          <t>5</t>
        </is>
      </c>
      <c r="H20755" t="inlineStr">
        <is>
          <t>22/03/2026</t>
        </is>
      </c>
      <c r="I20755" t="inlineStr">
        <is>
          <t>17/03/2026</t>
        </is>
      </c>
      <c r="J20755" t="inlineStr">
        <is>
          <t>Bán hàng / Kinh doanh, Tư vấn</t>
        </is>
      </c>
      <c r="K20755" t="inlineStr">
        <is>
          <t>Trên 3 Năm</t>
        </is>
      </c>
      <c r="L20755" s="8">
        <f>HYPERLINK("https://careerviet.vn/vi/tim-viec-lam/126192-senior-consultant-consulting.35C63886.html","Xem chi tiết")</f>
        <v/>
      </c>
    </row>
    <row r="20756">
      <c r="B20756" s="9" t="n">
        <v>20754</v>
      </c>
      <c r="C20756" s="10" t="inlineStr">
        <is>
          <t>Nhóm trưởng tổ điện</t>
        </is>
      </c>
      <c r="D20756" s="10" t="inlineStr">
        <is>
          <t>Công ty CP thiết bị điện và xây dựng công nghiệp Việt Nam</t>
        </is>
      </c>
      <c r="E20756" s="10" t="inlineStr">
        <is>
          <t>Lương:13 Tr - 18 Tr VND</t>
        </is>
      </c>
      <c r="F20756" s="10" t="inlineStr">
        <is>
          <t>Hà Nội</t>
        </is>
      </c>
      <c r="G20756" s="10" t="inlineStr">
        <is>
          <t>5</t>
        </is>
      </c>
      <c r="H20756" s="10" t="inlineStr">
        <is>
          <t>22/03/2026</t>
        </is>
      </c>
      <c r="I20756" s="10" t="inlineStr">
        <is>
          <t>17/03/2026</t>
        </is>
      </c>
      <c r="J20756" s="10" t="inlineStr">
        <is>
          <t>Điện / Điện tử / Điện lạnh / Điện công nghiệp</t>
        </is>
      </c>
      <c r="K20756" s="10" t="inlineStr">
        <is>
          <t>Trên 2 Năm</t>
        </is>
      </c>
      <c r="L20756" s="11">
        <f>HYPERLINK("https://careerviet.vn/vi/tim-viec-lam/nhom-truong-to-dien.35C6382C.html","Xem chi tiết")</f>
        <v/>
      </c>
      <c r="M20756" s="10" t="n"/>
    </row>
    <row r="20757">
      <c r="B20757" s="7" t="n">
        <v>20755</v>
      </c>
      <c r="C20757" t="inlineStr">
        <is>
          <t>Chuyên viên quan hệ khách hàng Doanh nghiệp - [BAC A BANK - Chi nhánh Lào Cai/ Lạng Sơn/ Bắc Giang]</t>
        </is>
      </c>
      <c r="D20757" t="inlineStr">
        <is>
          <t>Ngân Hàng Thương mại cổ phần Bắc Á- BAC A BANK</t>
        </is>
      </c>
      <c r="E20757" t="inlineStr">
        <is>
          <t>Lương:Cạnh tranh</t>
        </is>
      </c>
      <c r="F20757" t="inlineStr">
        <is>
          <t>Lào CaiLạng SơnBắc Giang</t>
        </is>
      </c>
      <c r="G20757" t="inlineStr">
        <is>
          <t>5</t>
        </is>
      </c>
      <c r="H20757" t="inlineStr">
        <is>
          <t>22/03/2026</t>
        </is>
      </c>
      <c r="I20757" t="inlineStr">
        <is>
          <t>17/03/2026</t>
        </is>
      </c>
      <c r="J20757" t="inlineStr">
        <is>
          <t>Ngân hàng</t>
        </is>
      </c>
      <c r="K20757" t="inlineStr">
        <is>
          <t>2 - 5 Năm</t>
        </is>
      </c>
      <c r="L20757" s="8">
        <f>HYPERLINK("https://careerviet.vn/vi/tim-viec-lam/chuyen-vien-quan-he-khach-hang-doanh-nghiep-bac-a-bank-chi-nhanh-lao-cai-lang-son-bac-giang.35C662E7.html","Xem chi tiết")</f>
        <v/>
      </c>
    </row>
    <row r="20758">
      <c r="B20758" s="9" t="n">
        <v>20756</v>
      </c>
      <c r="C20758" s="10" t="inlineStr">
        <is>
          <t>Kỹ Sư Xây Dựng</t>
        </is>
      </c>
      <c r="D20758" s="10" t="inlineStr">
        <is>
          <t>CÔNG TY CỔ PHẦN ĐẦU TƯ HẠ TẦNG DONACOOP</t>
        </is>
      </c>
      <c r="E20758" s="10" t="inlineStr">
        <is>
          <t>Lương:Cạnh tranh</t>
        </is>
      </c>
      <c r="F20758" s="10" t="inlineStr">
        <is>
          <t>Đồng Nai</t>
        </is>
      </c>
      <c r="G20758" s="10" t="inlineStr">
        <is>
          <t>5</t>
        </is>
      </c>
      <c r="H20758" s="10" t="inlineStr">
        <is>
          <t>22/03/2026</t>
        </is>
      </c>
      <c r="I20758" s="10" t="inlineStr">
        <is>
          <t>17/03/2026</t>
        </is>
      </c>
      <c r="J20758" s="10" t="inlineStr">
        <is>
          <t>An toàn lao động, Kiến trúc, Xây dựng</t>
        </is>
      </c>
      <c r="K20758" s="10" t="inlineStr">
        <is>
          <t>Trên 5 Năm</t>
        </is>
      </c>
      <c r="L20758" s="11">
        <f>HYPERLINK("https://careerviet.vn/vi/tim-viec-lam/ky-su-xay-dung.35C66410.html","Xem chi tiết")</f>
        <v/>
      </c>
      <c r="M20758" s="10" t="n"/>
    </row>
    <row r="20759">
      <c r="B20759" s="7" t="n">
        <v>20757</v>
      </c>
      <c r="C20759" t="inlineStr">
        <is>
          <t>Nhân viên hành chính văn phòng</t>
        </is>
      </c>
      <c r="D20759" t="inlineStr">
        <is>
          <t>Công Ty TNHH Okia Optical Việt Nam</t>
        </is>
      </c>
      <c r="E20759" t="inlineStr">
        <is>
          <t>Lương:8 Tr - 12 Tr VND</t>
        </is>
      </c>
      <c r="F20759" t="inlineStr">
        <is>
          <t>Long An</t>
        </is>
      </c>
      <c r="G20759" t="inlineStr">
        <is>
          <t>5</t>
        </is>
      </c>
      <c r="H20759" t="inlineStr">
        <is>
          <t>22/03/2026</t>
        </is>
      </c>
      <c r="I20759" t="inlineStr">
        <is>
          <t>17/03/2026</t>
        </is>
      </c>
      <c r="J20759" t="inlineStr">
        <is>
          <t>Hành chính / Thư ký, Quản lý điều hành, Nhân sự</t>
        </is>
      </c>
      <c r="K20759" t="inlineStr">
        <is>
          <t>2 - 3 Năm</t>
        </is>
      </c>
      <c r="L20759" s="8">
        <f>HYPERLINK("https://careerviet.vn/vi/tim-viec-lam/nhan-vien-hanh-chinh-van-phong.35C66365.html","Xem chi tiết")</f>
        <v/>
      </c>
    </row>
    <row r="20760">
      <c r="B20760" s="9" t="n">
        <v>20758</v>
      </c>
      <c r="C20760" s="10" t="inlineStr">
        <is>
          <t>[PDG Ciputra PO2] Chuyên viên Tiếp thị và Quan hệ Khách hàng - Hà Nội</t>
        </is>
      </c>
      <c r="D20760" s="10" t="inlineStr">
        <is>
          <t>Indovina Bank Ltd.</t>
        </is>
      </c>
      <c r="E20760" s="10" t="inlineStr">
        <is>
          <t>Lương:Cạnh tranh</t>
        </is>
      </c>
      <c r="F20760" s="10" t="inlineStr">
        <is>
          <t>Hà Nội</t>
        </is>
      </c>
      <c r="G20760" s="10" t="inlineStr">
        <is>
          <t>5</t>
        </is>
      </c>
      <c r="H20760" s="10" t="inlineStr">
        <is>
          <t>22/03/2026</t>
        </is>
      </c>
      <c r="I20760" s="10" t="inlineStr">
        <is>
          <t>17/03/2026</t>
        </is>
      </c>
      <c r="J20760" s="10" t="inlineStr">
        <is>
          <t>Tài chính / Đầu tư, Bán hàng / Kinh doanh, Ngân hàng</t>
        </is>
      </c>
      <c r="K20760" s="10" t="inlineStr">
        <is>
          <t>1 - 2 Năm</t>
        </is>
      </c>
      <c r="L20760" s="11">
        <f>HYPERLINK("https://careerviet.vn/vi/tim-viec-lam/pdg-ciputra-po2-chuyen-vien-tiep-thi-va-quan-he-khach-hang-ha-noi.35C662A6.html","Xem chi tiết")</f>
        <v/>
      </c>
      <c r="M20760" s="10" t="n"/>
    </row>
    <row r="20761">
      <c r="B20761" s="7" t="n">
        <v>20759</v>
      </c>
      <c r="C20761" t="inlineStr">
        <is>
          <t>3D VFX Artist</t>
        </is>
      </c>
      <c r="D20761" t="inlineStr">
        <is>
          <t>CÔNG TY TNHH CA ADVANCE VIỆT NAM</t>
        </is>
      </c>
      <c r="E20761" t="inlineStr">
        <is>
          <t>Lương:Cạnh tranh</t>
        </is>
      </c>
      <c r="F20761" t="inlineStr">
        <is>
          <t>Hồ Chí Minh</t>
        </is>
      </c>
      <c r="G20761" t="inlineStr">
        <is>
          <t>5</t>
        </is>
      </c>
      <c r="H20761" t="inlineStr">
        <is>
          <t>22/03/2026</t>
        </is>
      </c>
      <c r="I20761" t="inlineStr">
        <is>
          <t>17/03/2026</t>
        </is>
      </c>
      <c r="J20761" t="inlineStr">
        <is>
          <t>Giải trí, Mỹ thuật / Nghệ thuật / Thiết kế</t>
        </is>
      </c>
      <c r="K20761" t="inlineStr">
        <is>
          <t>3 - 10 Năm</t>
        </is>
      </c>
      <c r="L20761" s="8">
        <f>HYPERLINK("https://careerviet.vn/vi/tim-viec-lam/3d-vfx-artist.35C6370A.html","Xem chi tiết")</f>
        <v/>
      </c>
    </row>
    <row r="20762">
      <c r="B20762" s="9" t="n">
        <v>20760</v>
      </c>
      <c r="C20762" s="10" t="inlineStr">
        <is>
          <t>Chuyên gia/CVCC Quản lý Hệ thống văn bản nội bộ</t>
        </is>
      </c>
      <c r="D20762" s="10" t="inlineStr">
        <is>
          <t>Ngân Hàng TMCP Sài Gòn - Hà Nội ( SHB )</t>
        </is>
      </c>
      <c r="E20762" s="10" t="inlineStr">
        <is>
          <t>Lương:Cạnh tranh</t>
        </is>
      </c>
      <c r="F20762" s="10" t="inlineStr">
        <is>
          <t>Hà Nội</t>
        </is>
      </c>
      <c r="G20762" s="10" t="inlineStr">
        <is>
          <t>5</t>
        </is>
      </c>
      <c r="H20762" s="10" t="inlineStr">
        <is>
          <t>22/03/2026</t>
        </is>
      </c>
      <c r="I20762" s="10" t="inlineStr">
        <is>
          <t>17/03/2026</t>
        </is>
      </c>
      <c r="J20762" s="10" t="inlineStr">
        <is>
          <t>Luật / Pháp lý</t>
        </is>
      </c>
      <c r="K20762" s="10" t="inlineStr">
        <is>
          <t>2 - 3 Năm</t>
        </is>
      </c>
      <c r="L20762" s="11">
        <f>HYPERLINK("https://careerviet.vn/vi/tim-viec-lam/chuyen-gia-cvcc-quan-ly-he-thong-van-ban-noi-bo.35C63893.html","Xem chi tiết")</f>
        <v/>
      </c>
      <c r="M20762" s="10" t="n"/>
    </row>
    <row r="20763">
      <c r="B20763" s="7" t="n">
        <v>20761</v>
      </c>
      <c r="C20763" t="inlineStr">
        <is>
          <t>Kỹ Sư Giám Sát QS Hiện Trường</t>
        </is>
      </c>
      <c r="D20763" t="inlineStr">
        <is>
          <t>CÔNG TY CỔ PHẦN EUROWINDOW HOLDING</t>
        </is>
      </c>
      <c r="E20763" t="inlineStr">
        <is>
          <t>Lương:Cạnh tranh</t>
        </is>
      </c>
      <c r="F20763" t="inlineStr">
        <is>
          <t>Thanh Hóa</t>
        </is>
      </c>
      <c r="G20763" t="inlineStr">
        <is>
          <t>5</t>
        </is>
      </c>
      <c r="H20763" t="inlineStr">
        <is>
          <t>22/03/2026</t>
        </is>
      </c>
      <c r="I20763" t="inlineStr">
        <is>
          <t>17/03/2026</t>
        </is>
      </c>
      <c r="J20763" t="inlineStr">
        <is>
          <t>Kiến trúc, Xây dựng, Bất động sản</t>
        </is>
      </c>
      <c r="K20763" t="inlineStr">
        <is>
          <t>Trên 5 Năm</t>
        </is>
      </c>
      <c r="L20763" s="8">
        <f>HYPERLINK("https://careerviet.vn/vi/tim-viec-lam/ky-su-giam-sat-qs-hien-truong.35C66434.html","Xem chi tiết")</f>
        <v/>
      </c>
    </row>
    <row r="20764">
      <c r="B20764" s="9" t="n">
        <v>20762</v>
      </c>
      <c r="C20764" s="10" t="inlineStr">
        <is>
          <t>Nhân viên Chăm sóc khách hàng</t>
        </is>
      </c>
      <c r="D20764" s="10" t="inlineStr">
        <is>
          <t>Công ty TNHH Mytour Việt Nam</t>
        </is>
      </c>
      <c r="E20764" s="10" t="inlineStr">
        <is>
          <t>Lương:12 Tr - 13 Tr VND</t>
        </is>
      </c>
      <c r="F20764" s="10" t="inlineStr">
        <is>
          <t>Hà Nội</t>
        </is>
      </c>
      <c r="G20764" s="10" t="inlineStr">
        <is>
          <t>5</t>
        </is>
      </c>
      <c r="H20764" s="10" t="inlineStr">
        <is>
          <t>22/03/2026</t>
        </is>
      </c>
      <c r="I20764" s="10" t="inlineStr">
        <is>
          <t>17/03/2026</t>
        </is>
      </c>
      <c r="J20764" s="10" t="inlineStr">
        <is>
          <t>Bán hàng / Kinh doanh, Tư vấn, Du lịch</t>
        </is>
      </c>
      <c r="K20764" s="10" t="inlineStr">
        <is>
          <t>N/A</t>
        </is>
      </c>
      <c r="L20764" s="11">
        <f>HYPERLINK("https://careerviet.vn/vi/tim-viec-lam/nhan-vien-cham-soc-khach-hang.35C63748.html","Xem chi tiết")</f>
        <v/>
      </c>
      <c r="M20764" s="10" t="n"/>
    </row>
    <row r="20765">
      <c r="B20765" s="7" t="n">
        <v>20763</v>
      </c>
      <c r="C20765" t="inlineStr">
        <is>
          <t>Nhân Viên Lễ Tân Tòa Nhà Văn Phòng</t>
        </is>
      </c>
      <c r="D20765" t="inlineStr">
        <is>
          <t>CÔNG TY CỔ PHẦN EUROWINDOW HOLDING</t>
        </is>
      </c>
      <c r="E20765" t="inlineStr">
        <is>
          <t>Lương:Cạnh tranh</t>
        </is>
      </c>
      <c r="F20765" t="inlineStr">
        <is>
          <t>Hà Nội</t>
        </is>
      </c>
      <c r="G20765" t="inlineStr">
        <is>
          <t>5</t>
        </is>
      </c>
      <c r="H20765" t="inlineStr">
        <is>
          <t>22/03/2026</t>
        </is>
      </c>
      <c r="I20765" t="inlineStr">
        <is>
          <t>17/03/2026</t>
        </is>
      </c>
      <c r="J20765" t="inlineStr">
        <is>
          <t>Tư vấn, Hành chính / Thư ký, Mới tốt nghiệp / Thực tập</t>
        </is>
      </c>
      <c r="K20765" t="inlineStr">
        <is>
          <t>Lên đến 1 Năm</t>
        </is>
      </c>
      <c r="L20765" s="8">
        <f>HYPERLINK("https://careerviet.vn/vi/tim-viec-lam/nhan-vien-le-tan-toa-nha-van-phong.35C63888.html","Xem chi tiết")</f>
        <v/>
      </c>
    </row>
    <row r="20766">
      <c r="B20766" s="9" t="n">
        <v>20764</v>
      </c>
      <c r="C20766" s="10" t="inlineStr">
        <is>
          <t>Business Development Executive</t>
        </is>
      </c>
      <c r="D20766" s="10" t="inlineStr">
        <is>
          <t>CÔNG TY CỔ PHẦN CÔNG NGHỆ PAYME</t>
        </is>
      </c>
      <c r="E20766" s="10" t="inlineStr">
        <is>
          <t>Lương:Cạnh tranh</t>
        </is>
      </c>
      <c r="F20766" s="10" t="inlineStr">
        <is>
          <t>Hồ Chí Minh</t>
        </is>
      </c>
      <c r="G20766" s="10" t="inlineStr">
        <is>
          <t>4</t>
        </is>
      </c>
      <c r="H20766" s="10" t="inlineStr">
        <is>
          <t>21/03/2026</t>
        </is>
      </c>
      <c r="I20766" s="10" t="inlineStr">
        <is>
          <t>17/03/2026</t>
        </is>
      </c>
      <c r="J20766" s="10" t="inlineStr">
        <is>
          <t>Thương mại điện tử, Tài chính / Đầu tư, Bán hàng / Kinh doanh</t>
        </is>
      </c>
      <c r="K20766" s="10" t="inlineStr">
        <is>
          <t>2 - 5 Năm</t>
        </is>
      </c>
      <c r="L20766" s="11">
        <f>HYPERLINK("https://careerviet.vn/vi/tim-viec-lam/business-development-executive.35C66201.html","Xem chi tiết")</f>
        <v/>
      </c>
      <c r="M20766" s="10" t="n"/>
    </row>
    <row r="20767">
      <c r="B20767" s="7" t="n">
        <v>20765</v>
      </c>
      <c r="C20767" t="inlineStr">
        <is>
          <t>Chuyên viên Sản phẩm Thiết bi Y tế</t>
        </is>
      </c>
      <c r="D20767" t="inlineStr">
        <is>
          <t>Công ty TNHH Vạn Niên</t>
        </is>
      </c>
      <c r="E20767" t="inlineStr">
        <is>
          <t>Lương:12 Tr - 20 Tr VND</t>
        </is>
      </c>
      <c r="F20767" t="inlineStr">
        <is>
          <t>Hà Nội</t>
        </is>
      </c>
      <c r="G20767" t="inlineStr">
        <is>
          <t>4</t>
        </is>
      </c>
      <c r="H20767" t="inlineStr">
        <is>
          <t>21/03/2026</t>
        </is>
      </c>
      <c r="I20767" t="inlineStr">
        <is>
          <t>17/03/2026</t>
        </is>
      </c>
      <c r="J20767" t="inlineStr">
        <is>
          <t>Dược phẩm/ Hóa Mỹ Phẩm, Y tế / Chăm sóc sức khỏe / Thẩm mỹ / Làm đẹp, Công nghệ sinh học</t>
        </is>
      </c>
      <c r="K20767" t="inlineStr">
        <is>
          <t>1 - 3 Năm</t>
        </is>
      </c>
      <c r="L20767" s="8">
        <f>HYPERLINK("https://careerviet.vn/vi/tim-viec-lam/chuyen-vien-san-pham-thiet-bi-y-te.35C660DA.html","Xem chi tiết")</f>
        <v/>
      </c>
    </row>
    <row r="20768">
      <c r="B20768" s="9" t="n">
        <v>20766</v>
      </c>
      <c r="C20768" s="10" t="inlineStr">
        <is>
          <t>Nhân Viên Bảo Trì</t>
        </is>
      </c>
      <c r="D20768" s="10" t="inlineStr">
        <is>
          <t>Công ty TNHH San Lim Furniture Việt Nam</t>
        </is>
      </c>
      <c r="E20768" s="10" t="inlineStr">
        <is>
          <t>Lương:Cạnh tranh</t>
        </is>
      </c>
      <c r="F20768" s="10" t="inlineStr">
        <is>
          <t>Đồng Nai</t>
        </is>
      </c>
      <c r="G20768" s="10" t="inlineStr">
        <is>
          <t>4</t>
        </is>
      </c>
      <c r="H20768" s="10" t="inlineStr">
        <is>
          <t>21/03/2026</t>
        </is>
      </c>
      <c r="I20768" s="10" t="inlineStr">
        <is>
          <t>17/03/2026</t>
        </is>
      </c>
      <c r="J20768" s="10" t="inlineStr">
        <is>
          <t>Điện / Điện tử / Điện lạnh / Điện công nghiệp, Bảo trì / Sửa chữa, Sản xuất / Vận hành sản xuất</t>
        </is>
      </c>
      <c r="K20768" s="10" t="inlineStr">
        <is>
          <t>Lên đến 1 Năm</t>
        </is>
      </c>
      <c r="L20768" s="11">
        <f>HYPERLINK("https://careerviet.vn/vi/tim-viec-lam/nhan-vien-bao-tri.35C660A9.html","Xem chi tiết")</f>
        <v/>
      </c>
      <c r="M20768" s="10" t="n"/>
    </row>
    <row r="20769">
      <c r="B20769" s="7" t="n">
        <v>20767</v>
      </c>
      <c r="C20769" t="inlineStr">
        <is>
          <t>NHÂN VIÊN KỶ LUẬT</t>
        </is>
      </c>
      <c r="D20769" t="inlineStr">
        <is>
          <t>Công ty TNHH San Lim Furniture Việt Nam</t>
        </is>
      </c>
      <c r="E20769" t="inlineStr">
        <is>
          <t>Lương:Cạnh tranh</t>
        </is>
      </c>
      <c r="F20769" t="inlineStr">
        <is>
          <t>Đồng Nai</t>
        </is>
      </c>
      <c r="G20769" t="inlineStr">
        <is>
          <t>4</t>
        </is>
      </c>
      <c r="H20769" t="inlineStr">
        <is>
          <t>21/03/2026</t>
        </is>
      </c>
      <c r="I20769" t="inlineStr">
        <is>
          <t>17/03/2026</t>
        </is>
      </c>
      <c r="J20769" t="inlineStr">
        <is>
          <t>Luật / Pháp lý, An Ninh / Bảo Vệ, An toàn lao động</t>
        </is>
      </c>
      <c r="K20769" t="inlineStr">
        <is>
          <t>N/A</t>
        </is>
      </c>
      <c r="L20769" s="8">
        <f>HYPERLINK("https://careerviet.vn/vi/tim-viec-lam/nhan-vien-ky-luat.35C660BD.html","Xem chi tiết")</f>
        <v/>
      </c>
    </row>
    <row r="20770">
      <c r="B20770" s="9" t="n">
        <v>20768</v>
      </c>
      <c r="C20770" s="10" t="inlineStr">
        <is>
          <t>Trưởng phòng Hành chính - Nhân sự</t>
        </is>
      </c>
      <c r="D20770" s="10" t="inlineStr">
        <is>
          <t>CÔNG TY TNHH NÔNG SẢN QUỐC TẾ ĐỨC VINH</t>
        </is>
      </c>
      <c r="E20770" s="10" t="inlineStr">
        <is>
          <t>Lương:Cạnh tranh</t>
        </is>
      </c>
      <c r="F20770" s="10" t="inlineStr">
        <is>
          <t>Long An</t>
        </is>
      </c>
      <c r="G20770" s="10" t="inlineStr">
        <is>
          <t>19-04-2026</t>
        </is>
      </c>
      <c r="H20770" s="10" t="inlineStr">
        <is>
          <t>19/04/2026</t>
        </is>
      </c>
      <c r="I20770" s="10" t="inlineStr">
        <is>
          <t>17/03/2026</t>
        </is>
      </c>
      <c r="J20770" s="10" t="inlineStr">
        <is>
          <t>Hành chính / Thư ký, Quản lý điều hành, Nhân sự</t>
        </is>
      </c>
      <c r="K20770" s="10" t="inlineStr">
        <is>
          <t>3 - 5 Năm</t>
        </is>
      </c>
      <c r="L20770" s="11">
        <f>HYPERLINK("https://careerviet.vn/vi/tim-viec-lam/truong-phong-hanh-chinh-nhan-su.35C68C10.html","Xem chi tiết")</f>
        <v/>
      </c>
      <c r="M20770" s="10" t="n"/>
    </row>
    <row r="20771">
      <c r="B20771" s="7" t="n">
        <v>20769</v>
      </c>
      <c r="C20771" t="inlineStr">
        <is>
          <t>TRỢ LÝ CHỦ TỊCH HỘI ĐỒNG THÀNH VIÊN</t>
        </is>
      </c>
      <c r="D20771" t="inlineStr">
        <is>
          <t>CÔNG TY TNHH SẢN XUẤT TẬP ĐOÀN ĐẠI VIỆT</t>
        </is>
      </c>
      <c r="E20771" t="inlineStr">
        <is>
          <t>Lương:Cạnh tranh</t>
        </is>
      </c>
      <c r="F20771" t="inlineStr">
        <is>
          <t>Hồ Chí Minh</t>
        </is>
      </c>
      <c r="G20771" t="inlineStr">
        <is>
          <t>5</t>
        </is>
      </c>
      <c r="H20771" t="inlineStr">
        <is>
          <t>22/03/2026</t>
        </is>
      </c>
      <c r="I20771" t="inlineStr">
        <is>
          <t>17/03/2026</t>
        </is>
      </c>
      <c r="J20771" t="inlineStr">
        <is>
          <t>Bán hàng / Kinh doanh, Điện / Điện tử / Điện lạnh / Điện công nghiệp, Sản xuất / Vận hành sản xuất</t>
        </is>
      </c>
      <c r="K20771" t="inlineStr">
        <is>
          <t>2 - 5 Năm</t>
        </is>
      </c>
      <c r="L20771" s="8">
        <f>HYPERLINK("https://careerviet.vn/vi/tim-viec-lam/tro-ly-chu-tich-hoi-dong-thanh-vien.35C66325.html","Xem chi tiết")</f>
        <v/>
      </c>
    </row>
    <row r="20772">
      <c r="B20772" s="9" t="n">
        <v>20770</v>
      </c>
      <c r="C20772" s="10" t="inlineStr">
        <is>
          <t>Trưởng Nhóm Phụ Trợ - Thu nhập 25tr/tháng</t>
        </is>
      </c>
      <c r="D20772" s="10" t="inlineStr">
        <is>
          <t>Công ty Cổ phần thực phẩm và đồ uống Barett</t>
        </is>
      </c>
      <c r="E20772" s="10" t="inlineStr">
        <is>
          <t>Lương:16 Tr - 25 Tr VND</t>
        </is>
      </c>
      <c r="F20772" s="10" t="inlineStr">
        <is>
          <t>Hưng Yên</t>
        </is>
      </c>
      <c r="G20772" s="10" t="inlineStr">
        <is>
          <t>4</t>
        </is>
      </c>
      <c r="H20772" s="10" t="inlineStr">
        <is>
          <t>21/03/2026</t>
        </is>
      </c>
      <c r="I20772" s="10" t="inlineStr">
        <is>
          <t>17/03/2026</t>
        </is>
      </c>
      <c r="J20772" s="10" t="inlineStr">
        <is>
          <t>Thực phẩm &amp; Đồ uống, Công nghệ thực phẩm / Dinh dưỡng, Sản xuất / Vận hành sản xuất</t>
        </is>
      </c>
      <c r="K20772" s="10" t="inlineStr">
        <is>
          <t>3 - 5 Năm</t>
        </is>
      </c>
      <c r="L20772" s="11">
        <f>HYPERLINK("https://careerviet.vn/vi/tim-viec-lam/truong-nhom-phu-tro-thu-nhap-25tr-thang.35C660FB.html","Xem chi tiết")</f>
        <v/>
      </c>
      <c r="M20772" s="10" t="n"/>
    </row>
    <row r="20773">
      <c r="B20773" s="7" t="n">
        <v>20771</v>
      </c>
      <c r="C20773" t="inlineStr">
        <is>
          <t>NHÂN VIÊN MUA HÀNG NỘI ĐỊA</t>
        </is>
      </c>
      <c r="D20773" t="inlineStr">
        <is>
          <t>Tập Đoàn Kim Tín</t>
        </is>
      </c>
      <c r="E20773" t="inlineStr">
        <is>
          <t>Lương:Cạnh tranh</t>
        </is>
      </c>
      <c r="F20773" t="inlineStr">
        <is>
          <t>Hồ Chí Minh</t>
        </is>
      </c>
      <c r="G20773" t="inlineStr">
        <is>
          <t>5</t>
        </is>
      </c>
      <c r="H20773" t="inlineStr">
        <is>
          <t>22/03/2026</t>
        </is>
      </c>
      <c r="I20773" t="inlineStr">
        <is>
          <t>17/03/2026</t>
        </is>
      </c>
      <c r="J20773" t="inlineStr">
        <is>
          <t>Cơ khí / Ô tô / Tự động hóa, Thu mua / Vật tư, Điện / Điện tử / Điện lạnh / Điện công nghiệp</t>
        </is>
      </c>
      <c r="K20773" t="inlineStr">
        <is>
          <t>N/A</t>
        </is>
      </c>
      <c r="L20773" s="8">
        <f>HYPERLINK("https://careerviet.vn/vi/tim-viec-lam/nhan-vien-mua-hang-noi-dia.35C6635E.html","Xem chi tiết")</f>
        <v/>
      </c>
    </row>
    <row r="20774">
      <c r="B20774" s="9" t="n">
        <v>20772</v>
      </c>
      <c r="C20774" s="10" t="inlineStr">
        <is>
          <t>Nhân  viên Tài Nguyên</t>
        </is>
      </c>
      <c r="D20774" s="10" t="inlineStr">
        <is>
          <t>TBS Land- Công ty Cổ Phần Đầu Tư Thái Bình</t>
        </is>
      </c>
      <c r="E20774" s="10" t="inlineStr">
        <is>
          <t>Lương:Cạnh tranh</t>
        </is>
      </c>
      <c r="F20774" s="10" t="inlineStr">
        <is>
          <t>Bình Dương</t>
        </is>
      </c>
      <c r="G20774" s="10" t="inlineStr">
        <is>
          <t>4</t>
        </is>
      </c>
      <c r="H20774" s="10" t="inlineStr">
        <is>
          <t>21/03/2026</t>
        </is>
      </c>
      <c r="I20774" s="10" t="inlineStr">
        <is>
          <t>17/03/2026</t>
        </is>
      </c>
      <c r="J20774" s="10" t="inlineStr">
        <is>
          <t>Nông nghiệp</t>
        </is>
      </c>
      <c r="K20774" s="10" t="inlineStr">
        <is>
          <t>1 - 3 Năm</t>
        </is>
      </c>
      <c r="L20774" s="11">
        <f>HYPERLINK("https://careerviet.vn/vi/tim-viec-lam/nhan-vien-tai-nguyen.35C660CF.html","Xem chi tiết")</f>
        <v/>
      </c>
      <c r="M20774" s="10" t="n"/>
    </row>
    <row r="20775">
      <c r="B20775" s="7" t="n">
        <v>20773</v>
      </c>
      <c r="C20775" t="inlineStr">
        <is>
          <t>Nhân Viên Hành Chính Văn Phòng - Office Admin</t>
        </is>
      </c>
      <c r="D20775" t="inlineStr">
        <is>
          <t>Medigo Software</t>
        </is>
      </c>
      <c r="E20775" t="inlineStr">
        <is>
          <t>Lương:7 Tr - 12 Tr VND</t>
        </is>
      </c>
      <c r="F20775" t="inlineStr">
        <is>
          <t>Hồ Chí Minh</t>
        </is>
      </c>
      <c r="G20775" t="inlineStr">
        <is>
          <t>20-02-2026</t>
        </is>
      </c>
      <c r="H20775" t="inlineStr">
        <is>
          <t>15/03/2026</t>
        </is>
      </c>
      <c r="I20775" t="inlineStr">
        <is>
          <t>17/03/2026</t>
        </is>
      </c>
      <c r="J20775" t="inlineStr">
        <is>
          <t>Hành chính / Thư ký, Y tế / Chăm sóc sức khỏe / Thẩm mỹ / Làm đẹp, CNTT - Phần mềm</t>
        </is>
      </c>
      <c r="K20775" t="inlineStr">
        <is>
          <t>2 - 5 Năm</t>
        </is>
      </c>
      <c r="L20775" s="8">
        <f>HYPERLINK("https://careerviet.vn/vi/tim-viec-lam/nhan-vien-hanh-chinh-van-phong-office-admin.35C68C0C.html","Xem chi tiết")</f>
        <v/>
      </c>
    </row>
    <row r="20776">
      <c r="B20776" s="9" t="n">
        <v>20774</v>
      </c>
      <c r="C20776" s="10" t="inlineStr">
        <is>
          <t>Teaching Assistant English Program (Part-Time Job)</t>
        </is>
      </c>
      <c r="D20776" s="10" t="inlineStr">
        <is>
          <t>TRƯỜNG QUỐC TẾ BLUE RIDGE / BLUE RIDGE INTERNATIONAL SCHOOL (BRIS)</t>
        </is>
      </c>
      <c r="E20776" s="10" t="inlineStr">
        <is>
          <t>Lương:Cạnh tranh</t>
        </is>
      </c>
      <c r="F20776" s="10" t="inlineStr">
        <is>
          <t>Hồ Chí Minh</t>
        </is>
      </c>
      <c r="G20776" s="10" t="inlineStr">
        <is>
          <t>4</t>
        </is>
      </c>
      <c r="H20776" s="10" t="inlineStr">
        <is>
          <t>21/03/2026</t>
        </is>
      </c>
      <c r="I20776" s="10" t="inlineStr">
        <is>
          <t>17/03/2026</t>
        </is>
      </c>
      <c r="J20776" s="10" t="inlineStr">
        <is>
          <t>Giáo dục / Đào tạo</t>
        </is>
      </c>
      <c r="K20776" s="10" t="inlineStr">
        <is>
          <t>N/A</t>
        </is>
      </c>
      <c r="L20776" s="11">
        <f>HYPERLINK("https://careerviet.vn/vi/tim-viec-lam/teaching-assistant-english-program-part-time-job.35C6617A.html","Xem chi tiết")</f>
        <v/>
      </c>
      <c r="M20776" s="10" t="n"/>
    </row>
    <row r="20777">
      <c r="B20777" s="7" t="n">
        <v>20775</v>
      </c>
      <c r="C20777" t="inlineStr">
        <is>
          <t>CHUYÊN VIÊN THANH QUYẾT TOÁN</t>
        </is>
      </c>
      <c r="D20777" t="inlineStr">
        <is>
          <t>CÔNG TY CỔ PHẦN EUROWINDOW HOLDING</t>
        </is>
      </c>
      <c r="E20777" t="inlineStr">
        <is>
          <t>Lương:Cạnh tranh</t>
        </is>
      </c>
      <c r="F20777" t="inlineStr">
        <is>
          <t>Hà Nội</t>
        </is>
      </c>
      <c r="G20777" t="inlineStr">
        <is>
          <t>4</t>
        </is>
      </c>
      <c r="H20777" t="inlineStr">
        <is>
          <t>21/03/2026</t>
        </is>
      </c>
      <c r="I20777" t="inlineStr">
        <is>
          <t>17/03/2026</t>
        </is>
      </c>
      <c r="J20777" t="inlineStr">
        <is>
          <t>Kiến trúc, Xây dựng, Bất động sản</t>
        </is>
      </c>
      <c r="K20777" t="inlineStr">
        <is>
          <t>Trên 5 Năm</t>
        </is>
      </c>
      <c r="L20777" s="8">
        <f>HYPERLINK("https://careerviet.vn/vi/tim-viec-lam/chuyen-vien-thanh-quyet-toan.35C66269.html","Xem chi tiết")</f>
        <v/>
      </c>
    </row>
    <row r="20778">
      <c r="B20778" s="9" t="n">
        <v>20776</v>
      </c>
      <c r="C20778" s="10" t="inlineStr">
        <is>
          <t>Chuyên viên thiết kế kết cấu</t>
        </is>
      </c>
      <c r="D20778" s="10" t="inlineStr">
        <is>
          <t>Tập Đoàn Tân Á Đại Thành</t>
        </is>
      </c>
      <c r="E20778" s="10" t="inlineStr">
        <is>
          <t>Lương:Trên 25 Tr VND</t>
        </is>
      </c>
      <c r="F20778" s="10" t="inlineStr">
        <is>
          <t>Hà Nội</t>
        </is>
      </c>
      <c r="G20778" s="10" t="inlineStr">
        <is>
          <t>4</t>
        </is>
      </c>
      <c r="H20778" s="10" t="inlineStr">
        <is>
          <t>21/03/2026</t>
        </is>
      </c>
      <c r="I20778" s="10" t="inlineStr">
        <is>
          <t>17/03/2026</t>
        </is>
      </c>
      <c r="J20778" s="10" t="inlineStr">
        <is>
          <t>Kiến trúc, Xây dựng, Bất động sản</t>
        </is>
      </c>
      <c r="K20778" s="10" t="inlineStr">
        <is>
          <t>3 - 5 Năm</t>
        </is>
      </c>
      <c r="L20778" s="11">
        <f>HYPERLINK("https://careerviet.vn/vi/tim-viec-lam/chuyen-vien-thiet-ke-ket-cau.35C661E7.html","Xem chi tiết")</f>
        <v/>
      </c>
      <c r="M20778" s="10" t="n"/>
    </row>
    <row r="20779">
      <c r="B20779" s="7" t="n">
        <v>20777</v>
      </c>
      <c r="C20779" t="inlineStr">
        <is>
          <t>Nhân viên an ninh</t>
        </is>
      </c>
      <c r="D20779" t="inlineStr">
        <is>
          <t>Food Retail</t>
        </is>
      </c>
      <c r="E20779" t="inlineStr">
        <is>
          <t>Lương:7 Tr - 8 Tr VND</t>
        </is>
      </c>
      <c r="F20779" t="inlineStr">
        <is>
          <t>Hồ Chí Minh</t>
        </is>
      </c>
      <c r="G20779" t="inlineStr">
        <is>
          <t>4</t>
        </is>
      </c>
      <c r="H20779" t="inlineStr">
        <is>
          <t>21/03/2026</t>
        </is>
      </c>
      <c r="I20779" t="inlineStr">
        <is>
          <t>17/03/2026</t>
        </is>
      </c>
      <c r="J20779" t="inlineStr">
        <is>
          <t>Bán lẻ / Bán sỉ, An Ninh / Bảo Vệ, An toàn lao động</t>
        </is>
      </c>
      <c r="K20779" t="inlineStr">
        <is>
          <t>Chưa có kinh nghiệm</t>
        </is>
      </c>
      <c r="L20779" s="8">
        <f>HYPERLINK("https://careerviet.vn/vi/tim-viec-lam/nhan-vien-an-ninh.35C6611F.html","Xem chi tiết")</f>
        <v/>
      </c>
    </row>
    <row r="20780">
      <c r="B20780" s="9" t="n">
        <v>20778</v>
      </c>
      <c r="C20780" s="10" t="inlineStr">
        <is>
          <t>Chuyên Viên Sáng Tạo Nội Dung (Âu Mỹ audience)</t>
        </is>
      </c>
      <c r="D20780" s="10" t="inlineStr">
        <is>
          <t>Công Ty Cổ Phần TEECOM</t>
        </is>
      </c>
      <c r="E20780" s="10" t="inlineStr">
        <is>
          <t>Lương:Cạnh tranh</t>
        </is>
      </c>
      <c r="F20780" s="10" t="inlineStr">
        <is>
          <t>Hồ Chí Minh</t>
        </is>
      </c>
      <c r="G20780" s="10" t="inlineStr">
        <is>
          <t>4</t>
        </is>
      </c>
      <c r="H20780" s="10" t="inlineStr">
        <is>
          <t>21/03/2026</t>
        </is>
      </c>
      <c r="I20780" s="10" t="inlineStr">
        <is>
          <t>17/03/2026</t>
        </is>
      </c>
      <c r="J20780" s="10" t="inlineStr">
        <is>
          <t>Tiếp thị / Marketing, Tiếp thị trực tuyến, Thương mại điện tử</t>
        </is>
      </c>
      <c r="K20780" s="10" t="inlineStr">
        <is>
          <t>2 - 4 Năm</t>
        </is>
      </c>
      <c r="L20780" s="11">
        <f>HYPERLINK("https://careerviet.vn/vi/tim-viec-lam/chuyen-vien-sang-tao-noi-dung-au-my-audience.35C66268.html","Xem chi tiết")</f>
        <v/>
      </c>
      <c r="M20780" s="10" t="n"/>
    </row>
    <row r="20781">
      <c r="B20781" s="7" t="n">
        <v>20779</v>
      </c>
      <c r="C20781" t="inlineStr">
        <is>
          <t>[HÀ NỘI] Nhân viên Hành chính (Administrative Staff)</t>
        </is>
      </c>
      <c r="D20781" t="inlineStr">
        <is>
          <t>Beta Group</t>
        </is>
      </c>
      <c r="E20781" t="inlineStr">
        <is>
          <t>Lương:7 Tr - 10 Tr VND</t>
        </is>
      </c>
      <c r="F20781" t="inlineStr">
        <is>
          <t>Hà Nội</t>
        </is>
      </c>
      <c r="G20781" t="inlineStr">
        <is>
          <t>4</t>
        </is>
      </c>
      <c r="H20781" t="inlineStr">
        <is>
          <t>21/03/2026</t>
        </is>
      </c>
      <c r="I20781" t="inlineStr">
        <is>
          <t>17/03/2026</t>
        </is>
      </c>
      <c r="J20781" t="inlineStr">
        <is>
          <t>Hành chính / Thư ký, Kế toán / Kiểm toán</t>
        </is>
      </c>
      <c r="K20781" t="inlineStr">
        <is>
          <t>1 - 3 Năm</t>
        </is>
      </c>
      <c r="L20781" s="8">
        <f>HYPERLINK("https://careerviet.vn/vi/tim-viec-lam/ha-noi-nhan-vien-hanh-chinh-administrative-staff.35C660B2.html","Xem chi tiết")</f>
        <v/>
      </c>
    </row>
    <row r="20782">
      <c r="B20782" s="9" t="n">
        <v>20780</v>
      </c>
      <c r="C20782" s="10" t="inlineStr">
        <is>
          <t>Giám Sát Bán Hàng kênh GT Ninh Bình</t>
        </is>
      </c>
      <c r="D20782" s="10" t="inlineStr">
        <is>
          <t>CÔNG TY CỔ PHẦN MORINAGA NUTRITIONAL FOODS VIỆT NAM</t>
        </is>
      </c>
      <c r="E20782" s="10" t="inlineStr">
        <is>
          <t>Lương:12 Tr - 22 Tr VND</t>
        </is>
      </c>
      <c r="F20782" s="10" t="inlineStr">
        <is>
          <t>Ninh Bình</t>
        </is>
      </c>
      <c r="G20782" s="10" t="inlineStr">
        <is>
          <t>4</t>
        </is>
      </c>
      <c r="H20782" s="10" t="inlineStr">
        <is>
          <t>21/03/2026</t>
        </is>
      </c>
      <c r="I20782" s="10" t="inlineStr">
        <is>
          <t>17/03/2026</t>
        </is>
      </c>
      <c r="J20782" s="10" t="inlineStr">
        <is>
          <t>Bán lẻ / Bán sỉ, Bán hàng / Kinh doanh, Quản lý điều hành</t>
        </is>
      </c>
      <c r="K20782" s="10" t="inlineStr">
        <is>
          <t>2 - 5 Năm</t>
        </is>
      </c>
      <c r="L20782" s="11">
        <f>HYPERLINK("https://careerviet.vn/vi/tim-viec-lam/giam-sat-ban-hang-kenh-gt-ninh-binh.35C6618F.html","Xem chi tiết")</f>
        <v/>
      </c>
      <c r="M20782" s="10" t="n"/>
    </row>
    <row r="20783">
      <c r="B20783" s="7" t="n">
        <v>20781</v>
      </c>
      <c r="C20783" t="inlineStr">
        <is>
          <t>PĐG - Chuyên Viên Pháp Lý Đầu Tư</t>
        </is>
      </c>
      <c r="D20783" t="inlineStr">
        <is>
          <t>Phu Dong Group</t>
        </is>
      </c>
      <c r="E20783" t="inlineStr">
        <is>
          <t>Lương:11 Tr - 15 Tr VND</t>
        </is>
      </c>
      <c r="F20783" t="inlineStr">
        <is>
          <t>Hồ Chí Minh</t>
        </is>
      </c>
      <c r="G20783" t="inlineStr">
        <is>
          <t>4</t>
        </is>
      </c>
      <c r="H20783" t="inlineStr">
        <is>
          <t>21/03/2026</t>
        </is>
      </c>
      <c r="I20783" t="inlineStr">
        <is>
          <t>17/03/2026</t>
        </is>
      </c>
      <c r="J20783" t="inlineStr">
        <is>
          <t>Luật / Pháp lý, Xây dựng, Bất động sản</t>
        </is>
      </c>
      <c r="K20783" t="inlineStr">
        <is>
          <t>2 - 3 Năm</t>
        </is>
      </c>
      <c r="L20783" s="8">
        <f>HYPERLINK("https://careerviet.vn/vi/tim-viec-lam/pdg-chuyen-vien-phap-ly-dau-tu.35C661B2.html","Xem chi tiết")</f>
        <v/>
      </c>
    </row>
    <row r="20784">
      <c r="B20784" s="9" t="n">
        <v>20782</v>
      </c>
      <c r="C20784" s="10" t="inlineStr">
        <is>
          <t>Project Engineer (Hung Yen) - P.04</t>
        </is>
      </c>
      <c r="D20784" s="10" t="inlineStr">
        <is>
          <t>TÜV Rheinland Vietnam</t>
        </is>
      </c>
      <c r="E20784" s="10" t="inlineStr">
        <is>
          <t>Lương:Cạnh tranh</t>
        </is>
      </c>
      <c r="F20784" s="10" t="inlineStr">
        <is>
          <t>Hưng Yên</t>
        </is>
      </c>
      <c r="G20784" s="10" t="inlineStr">
        <is>
          <t>4</t>
        </is>
      </c>
      <c r="H20784" s="10" t="inlineStr">
        <is>
          <t>21/03/2026</t>
        </is>
      </c>
      <c r="I20784" s="10" t="inlineStr">
        <is>
          <t>17/03/2026</t>
        </is>
      </c>
      <c r="J20784" s="10" t="inlineStr">
        <is>
          <t>Cơ khí / Ô tô / Tự động hóa, Điện / Điện tử / Điện lạnh / Điện công nghiệp, Ngành khác</t>
        </is>
      </c>
      <c r="K20784" s="10" t="inlineStr">
        <is>
          <t>1 - 5 Năm</t>
        </is>
      </c>
      <c r="L20784" s="11">
        <f>HYPERLINK("https://careerviet.vn/vi/tim-viec-lam/project-engineer-hung-yen-p-04.35C660A6.html","Xem chi tiết")</f>
        <v/>
      </c>
      <c r="M20784" s="10" t="n"/>
    </row>
    <row r="20785">
      <c r="B20785" s="7" t="n">
        <v>20783</v>
      </c>
      <c r="C20785" t="inlineStr">
        <is>
          <t>Tuyển Lễ Tân</t>
        </is>
      </c>
      <c r="D20785" t="inlineStr">
        <is>
          <t>Viện Thẩm mỹ y khoa Dr Hải Lê</t>
        </is>
      </c>
      <c r="E20785" t="inlineStr">
        <is>
          <t>Lương:7,5 Tr - 8,5 Tr VND</t>
        </is>
      </c>
      <c r="F20785" t="inlineStr">
        <is>
          <t>Hà Nội</t>
        </is>
      </c>
      <c r="G20785" t="inlineStr">
        <is>
          <t>4</t>
        </is>
      </c>
      <c r="H20785" t="inlineStr">
        <is>
          <t>21/03/2026</t>
        </is>
      </c>
      <c r="I20785" t="inlineStr">
        <is>
          <t>17/03/2026</t>
        </is>
      </c>
      <c r="J20785" t="inlineStr">
        <is>
          <t>Y tế / Chăm sóc sức khỏe / Thẩm mỹ / Làm đẹp, Tư vấn, Dịch vụ khách hàng</t>
        </is>
      </c>
      <c r="K20785" t="inlineStr">
        <is>
          <t>N/A</t>
        </is>
      </c>
      <c r="L20785" s="8">
        <f>HYPERLINK("https://careerviet.vn/vi/tim-viec-lam/tuyen-le-tan.35C66134.html","Xem chi tiết")</f>
        <v/>
      </c>
    </row>
    <row r="20786">
      <c r="B20786" s="9" t="n">
        <v>20784</v>
      </c>
      <c r="C20786" s="10" t="inlineStr">
        <is>
          <t>Kế toán Ngân hàng</t>
        </is>
      </c>
      <c r="D20786" s="10" t="inlineStr">
        <is>
          <t>Công Ty Cổ Phần Dịch Vụ Nhà Sạch</t>
        </is>
      </c>
      <c r="E20786" s="10" t="inlineStr">
        <is>
          <t>Lương:10 Tr - 15 Tr VND</t>
        </is>
      </c>
      <c r="F20786" s="10" t="inlineStr">
        <is>
          <t>Hồ Chí Minh</t>
        </is>
      </c>
      <c r="G20786" s="10" t="inlineStr">
        <is>
          <t>4</t>
        </is>
      </c>
      <c r="H20786" s="10" t="inlineStr">
        <is>
          <t>21/03/2026</t>
        </is>
      </c>
      <c r="I20786" s="10" t="inlineStr">
        <is>
          <t>17/03/2026</t>
        </is>
      </c>
      <c r="J20786" s="10" t="inlineStr">
        <is>
          <t>Kế toán / Kiểm toán, Ngân hàng</t>
        </is>
      </c>
      <c r="K20786" s="10" t="inlineStr">
        <is>
          <t>1 - 2 Năm</t>
        </is>
      </c>
      <c r="L20786" s="11">
        <f>HYPERLINK("https://careerviet.vn/vi/tim-viec-lam/ke-toan-ngan-hang.35C66192.html","Xem chi tiết")</f>
        <v/>
      </c>
      <c r="M20786" s="10" t="n"/>
    </row>
    <row r="20787">
      <c r="B20787" s="7" t="n">
        <v>20785</v>
      </c>
      <c r="C20787" t="inlineStr">
        <is>
          <t>Nhân Viên Khai Báo Hải Quan (Đồng Nai)</t>
        </is>
      </c>
      <c r="D20787" t="inlineStr">
        <is>
          <t>CÔNG TY TNHH SITC LOGISTICS ASEAN (VIỆT NAM)</t>
        </is>
      </c>
      <c r="E20787" t="inlineStr">
        <is>
          <t>Lương:11 Tr - 15 Tr VND</t>
        </is>
      </c>
      <c r="F20787" t="inlineStr">
        <is>
          <t>Đồng Nai</t>
        </is>
      </c>
      <c r="G20787" t="inlineStr">
        <is>
          <t>4</t>
        </is>
      </c>
      <c r="H20787" t="inlineStr">
        <is>
          <t>21/03/2026</t>
        </is>
      </c>
      <c r="I20787" t="inlineStr">
        <is>
          <t>17/03/2026</t>
        </is>
      </c>
      <c r="J20787" t="inlineStr">
        <is>
          <t>Vận chuyển / Giao nhận / Kho vận, Xuất nhập khẩu</t>
        </is>
      </c>
      <c r="K20787" t="inlineStr">
        <is>
          <t>2 - 5 Năm</t>
        </is>
      </c>
      <c r="L20787" s="8">
        <f>HYPERLINK("https://careerviet.vn/vi/tim-viec-lam/nhan-vien-khai-bao-hai-quan-dong-nai.35C65845.html","Xem chi tiết")</f>
        <v/>
      </c>
    </row>
    <row r="20788">
      <c r="B20788" s="9" t="n">
        <v>20786</v>
      </c>
      <c r="C20788" s="10" t="inlineStr">
        <is>
          <t>Nhân viên hành chính nhân sự</t>
        </is>
      </c>
      <c r="D20788" s="10" t="inlineStr">
        <is>
          <t>Công Ty TNHH Okia Optical Việt Nam</t>
        </is>
      </c>
      <c r="E20788" s="10" t="inlineStr">
        <is>
          <t>Lương:8 Tr - 12 Tr VND</t>
        </is>
      </c>
      <c r="F20788" s="10" t="inlineStr">
        <is>
          <t>Long An</t>
        </is>
      </c>
      <c r="G20788" s="10" t="inlineStr">
        <is>
          <t>4</t>
        </is>
      </c>
      <c r="H20788" s="10" t="inlineStr">
        <is>
          <t>21/03/2026</t>
        </is>
      </c>
      <c r="I20788" s="10" t="inlineStr">
        <is>
          <t>17/03/2026</t>
        </is>
      </c>
      <c r="J20788" s="10" t="inlineStr">
        <is>
          <t>Hành chính / Thư ký, Nhân sự</t>
        </is>
      </c>
      <c r="K20788" s="10" t="inlineStr">
        <is>
          <t>1 - 3 Năm</t>
        </is>
      </c>
      <c r="L20788" s="11">
        <f>HYPERLINK("https://careerviet.vn/vi/tim-viec-lam/nhan-vien-hanh-chinh-nhan-su.35C6609E.html","Xem chi tiết")</f>
        <v/>
      </c>
      <c r="M20788" s="10" t="n"/>
    </row>
    <row r="20789">
      <c r="B20789" s="7" t="n">
        <v>20787</v>
      </c>
      <c r="C20789" t="inlineStr">
        <is>
          <t>Kế toán kho</t>
        </is>
      </c>
      <c r="D20789" t="inlineStr">
        <is>
          <t>Công ty cổ phần văn phòng phẩm Hồng Hà</t>
        </is>
      </c>
      <c r="E20789" t="inlineStr">
        <is>
          <t>Lương:9 Tr - 15 Tr VND</t>
        </is>
      </c>
      <c r="F20789" t="inlineStr">
        <is>
          <t>Hà Nội</t>
        </is>
      </c>
      <c r="G20789" t="inlineStr">
        <is>
          <t>4</t>
        </is>
      </c>
      <c r="H20789" t="inlineStr">
        <is>
          <t>21/03/2026</t>
        </is>
      </c>
      <c r="I20789" t="inlineStr">
        <is>
          <t>17/03/2026</t>
        </is>
      </c>
      <c r="J20789" t="inlineStr">
        <is>
          <t>Kế toán / Kiểm toán, Vận chuyển / Giao nhận / Kho vận, Thống kê</t>
        </is>
      </c>
      <c r="K20789" t="inlineStr">
        <is>
          <t>1 - 2 Năm</t>
        </is>
      </c>
      <c r="L20789" s="8">
        <f>HYPERLINK("https://careerviet.vn/vi/tim-viec-lam/ke-toan-kho.35C66226.html","Xem chi tiết")</f>
        <v/>
      </c>
    </row>
    <row r="20790">
      <c r="B20790" s="9" t="n">
        <v>20788</v>
      </c>
      <c r="C20790" s="10" t="inlineStr">
        <is>
          <t>Kỹ sư quản trị hệ thống (Cloud storage)</t>
        </is>
      </c>
      <c r="D20790" s="10" t="inlineStr">
        <is>
          <t>Công ty TNHH Viettel - CHT</t>
        </is>
      </c>
      <c r="E20790" s="10" t="inlineStr">
        <is>
          <t>Lương:Cạnh tranh</t>
        </is>
      </c>
      <c r="F20790" s="10" t="inlineStr">
        <is>
          <t>Hà NộiHồ Chí Minh</t>
        </is>
      </c>
      <c r="G20790" s="10" t="inlineStr">
        <is>
          <t>4</t>
        </is>
      </c>
      <c r="H20790" s="10" t="inlineStr">
        <is>
          <t>21/03/2026</t>
        </is>
      </c>
      <c r="I20790" s="10" t="inlineStr">
        <is>
          <t>17/03/2026</t>
        </is>
      </c>
      <c r="J20790" s="10" t="inlineStr">
        <is>
          <t>CNTT - Phần mềm, CNTT - Phần cứng / Mạng</t>
        </is>
      </c>
      <c r="K20790" s="10" t="inlineStr">
        <is>
          <t>Trên 2 Năm</t>
        </is>
      </c>
      <c r="L20790" s="11">
        <f>HYPERLINK("https://careerviet.vn/vi/tim-viec-lam/ky-su-quan-tri-he-thong-cloud-storage.35C6626B.html","Xem chi tiết")</f>
        <v/>
      </c>
      <c r="M20790" s="10" t="n"/>
    </row>
    <row r="20791">
      <c r="B20791" s="7" t="n">
        <v>20789</v>
      </c>
      <c r="C20791" t="inlineStr">
        <is>
          <t>Giám Đốc Kinh Doanh (Mặt Hàng Thực Phẩm Đông Lạnh)</t>
        </is>
      </c>
      <c r="D20791" t="inlineStr">
        <is>
          <t>Bảo mật</t>
        </is>
      </c>
      <c r="E20791" t="inlineStr">
        <is>
          <t>Lương:55 Tr - 65 Tr VND</t>
        </is>
      </c>
      <c r="F20791" t="inlineStr">
        <is>
          <t>Hà Nội</t>
        </is>
      </c>
      <c r="G20791" t="inlineStr">
        <is>
          <t>4</t>
        </is>
      </c>
      <c r="H20791" t="inlineStr">
        <is>
          <t>21/03/2026</t>
        </is>
      </c>
      <c r="I20791" t="inlineStr">
        <is>
          <t>17/03/2026</t>
        </is>
      </c>
      <c r="J20791" t="inlineStr">
        <is>
          <t>Bán lẻ / Bán sỉ, Bán hàng / Kinh doanh, Thực phẩm &amp; Đồ uống</t>
        </is>
      </c>
      <c r="K20791" t="inlineStr">
        <is>
          <t>5 - 7 Năm</t>
        </is>
      </c>
      <c r="L20791" s="8">
        <f>HYPERLINK("https://careerviet.vn/vi/tim-viec-lam/giam-doc-kinh-doanh-mat-hang-thuc-pham-dong-lanh.35C6609F.html","Xem chi tiết")</f>
        <v/>
      </c>
    </row>
    <row r="20792">
      <c r="B20792" s="9" t="n">
        <v>20790</v>
      </c>
      <c r="C20792" s="10" t="inlineStr">
        <is>
          <t>Nhân viên bảo trì cơ điện nhà máy sản xuất</t>
        </is>
      </c>
      <c r="D20792" s="10" t="inlineStr">
        <is>
          <t>Công ty Cổ Phần Thảo Mộc Xanh</t>
        </is>
      </c>
      <c r="E20792" s="10" t="inlineStr">
        <is>
          <t>Lương:Cạnh tranh</t>
        </is>
      </c>
      <c r="F20792" s="10" t="inlineStr">
        <is>
          <t>Long An</t>
        </is>
      </c>
      <c r="G20792" s="10" t="inlineStr">
        <is>
          <t>4</t>
        </is>
      </c>
      <c r="H20792" s="10" t="inlineStr">
        <is>
          <t>21/03/2026</t>
        </is>
      </c>
      <c r="I20792" s="10" t="inlineStr">
        <is>
          <t>17/03/2026</t>
        </is>
      </c>
      <c r="J20792" s="10" t="inlineStr">
        <is>
          <t>Cơ khí / Ô tô / Tự động hóa, Bảo trì / Sửa chữa, Điện / Điện tử / Điện lạnh / Điện công nghiệp</t>
        </is>
      </c>
      <c r="K20792" s="10" t="inlineStr">
        <is>
          <t>Trên 2 Năm</t>
        </is>
      </c>
      <c r="L20792" s="11">
        <f>HYPERLINK("https://careerviet.vn/vi/tim-viec-lam/nhan-vien-bao-tri-co-dien-nha-may-san-xuat.35C660AD.html","Xem chi tiết")</f>
        <v/>
      </c>
      <c r="M20792" s="10" t="n"/>
    </row>
    <row r="20793">
      <c r="B20793" s="7" t="n">
        <v>20791</v>
      </c>
      <c r="C20793" t="inlineStr">
        <is>
          <t>Quản Lý Sản Phẩm - Product Manager</t>
        </is>
      </c>
      <c r="D20793" t="inlineStr">
        <is>
          <t>Công ty TNHH Vạn Niên</t>
        </is>
      </c>
      <c r="E20793" t="inlineStr">
        <is>
          <t>Lương:25 Tr - 50 Tr VND</t>
        </is>
      </c>
      <c r="F20793" t="inlineStr">
        <is>
          <t>Hà Nội</t>
        </is>
      </c>
      <c r="G20793" t="inlineStr">
        <is>
          <t>4</t>
        </is>
      </c>
      <c r="H20793" t="inlineStr">
        <is>
          <t>21/03/2026</t>
        </is>
      </c>
      <c r="I20793" t="inlineStr">
        <is>
          <t>17/03/2026</t>
        </is>
      </c>
      <c r="J20793" t="inlineStr">
        <is>
          <t>Công nghệ sinh học, Dược phẩm/ Hóa Mỹ Phẩm, Y tế / Chăm sóc sức khỏe / Thẩm mỹ / Làm đẹp</t>
        </is>
      </c>
      <c r="K20793" t="inlineStr">
        <is>
          <t>3 - 5 Năm</t>
        </is>
      </c>
      <c r="L20793" s="8">
        <f>HYPERLINK("https://careerviet.vn/vi/tim-viec-lam/quan-ly-san-pham-product-manager.35C660F0.html","Xem chi tiết")</f>
        <v/>
      </c>
    </row>
    <row r="20794">
      <c r="B20794" s="9" t="n">
        <v>20792</v>
      </c>
      <c r="C20794" s="10" t="inlineStr">
        <is>
          <t>Talent Acquisition Executive</t>
        </is>
      </c>
      <c r="D20794" s="10" t="inlineStr">
        <is>
          <t>CÔNG TY CỔ PHẦN CÔNG NGHỆ PREP</t>
        </is>
      </c>
      <c r="E20794" s="10" t="inlineStr">
        <is>
          <t>Lương:10 Tr - 15 Tr VND</t>
        </is>
      </c>
      <c r="F20794" s="10" t="inlineStr">
        <is>
          <t>Hà Nội</t>
        </is>
      </c>
      <c r="G20794" s="10" t="inlineStr">
        <is>
          <t>4</t>
        </is>
      </c>
      <c r="H20794" s="10" t="inlineStr">
        <is>
          <t>21/03/2026</t>
        </is>
      </c>
      <c r="I20794" s="10" t="inlineStr">
        <is>
          <t>17/03/2026</t>
        </is>
      </c>
      <c r="J20794" s="10" t="inlineStr">
        <is>
          <t>Nhân sự</t>
        </is>
      </c>
      <c r="K20794" s="10" t="inlineStr">
        <is>
          <t>2 - 3 Năm</t>
        </is>
      </c>
      <c r="L20794" s="11">
        <f>HYPERLINK("https://careerviet.vn/vi/tim-viec-lam/talent-acquisition-executive.35C66141.html","Xem chi tiết")</f>
        <v/>
      </c>
      <c r="M20794" s="10" t="n"/>
    </row>
    <row r="20795">
      <c r="B20795" s="7" t="n">
        <v>20793</v>
      </c>
      <c r="C20795" t="inlineStr">
        <is>
          <t>Kỹ sư Quy hoạch thiết kế Hạ tầng</t>
        </is>
      </c>
      <c r="D20795" t="inlineStr">
        <is>
          <t>Công ty TNHH Viettel - CHT</t>
        </is>
      </c>
      <c r="E20795" t="inlineStr">
        <is>
          <t>Lương:Trên 20 Tr VND</t>
        </is>
      </c>
      <c r="F20795" t="inlineStr">
        <is>
          <t>Hà Nội</t>
        </is>
      </c>
      <c r="G20795" t="inlineStr">
        <is>
          <t>6</t>
        </is>
      </c>
      <c r="H20795" t="inlineStr">
        <is>
          <t>22/03/2026</t>
        </is>
      </c>
      <c r="I20795" t="inlineStr">
        <is>
          <t>17/03/2026</t>
        </is>
      </c>
      <c r="J20795" t="inlineStr">
        <is>
          <t>Điện / Điện tử / Điện lạnh / Điện công nghiệp</t>
        </is>
      </c>
      <c r="K20795" t="inlineStr">
        <is>
          <t>Trên 2 Năm</t>
        </is>
      </c>
      <c r="L20795" s="8">
        <f>HYPERLINK("https://careerviet.vn/vi/tim-viec-lam/ky-su-quy-hoach-thiet-ke-ha-tang.35C6643C.html","Xem chi tiết")</f>
        <v/>
      </c>
    </row>
    <row r="20796">
      <c r="B20796" s="9" t="n">
        <v>20794</v>
      </c>
      <c r="C20796" s="10" t="inlineStr">
        <is>
          <t>Quản lý cao cấp Khách hàng Doanh nghiệp (SRM) - Hải Dương, Bắc Ninh</t>
        </is>
      </c>
      <c r="D20796" s="10" t="inlineStr">
        <is>
          <t>Ngân hàng TMCP Thịnh vượng và Phát triển - PGBank</t>
        </is>
      </c>
      <c r="E20796" s="10" t="inlineStr">
        <is>
          <t>Lương:12 Tr - 25 Tr VND</t>
        </is>
      </c>
      <c r="F20796" s="10" t="inlineStr">
        <is>
          <t>Bắc GiangHải DươngBắc Ninh</t>
        </is>
      </c>
      <c r="G20796" s="10" t="inlineStr">
        <is>
          <t>4</t>
        </is>
      </c>
      <c r="H20796" s="10" t="inlineStr">
        <is>
          <t>21/03/2026</t>
        </is>
      </c>
      <c r="I20796" s="10" t="inlineStr">
        <is>
          <t>17/03/2026</t>
        </is>
      </c>
      <c r="J20796" s="10" t="inlineStr">
        <is>
          <t>Ngân hàng, Chứng khoán, Tài chính / Đầu tư</t>
        </is>
      </c>
      <c r="K20796" s="10" t="inlineStr">
        <is>
          <t>1 - 10 Năm</t>
        </is>
      </c>
      <c r="L20796" s="11">
        <f>HYPERLINK("https://careerviet.vn/vi/tim-viec-lam/quan-ly-cao-cap-khach-hang-doanh-nghiep-srm-hai-duong-bac-ninh.35C66125.html","Xem chi tiết")</f>
        <v/>
      </c>
      <c r="M20796" s="10" t="n"/>
    </row>
    <row r="20797">
      <c r="B20797" s="7" t="n">
        <v>20795</v>
      </c>
      <c r="C20797" t="inlineStr">
        <is>
          <t>Nhân Viên Hành Chính Nhân Sự</t>
        </is>
      </c>
      <c r="D20797" t="inlineStr">
        <is>
          <t>Công Ty Cổ Phần Nhựa An Phát Xanh</t>
        </is>
      </c>
      <c r="E20797" t="inlineStr">
        <is>
          <t>Lương:9 Tr - 13 Tr VND</t>
        </is>
      </c>
      <c r="F20797" t="inlineStr">
        <is>
          <t>Hải Dương</t>
        </is>
      </c>
      <c r="G20797" t="inlineStr">
        <is>
          <t>5</t>
        </is>
      </c>
      <c r="H20797" t="inlineStr">
        <is>
          <t>22/03/2026</t>
        </is>
      </c>
      <c r="I20797" t="inlineStr">
        <is>
          <t>17/03/2026</t>
        </is>
      </c>
      <c r="J20797" t="inlineStr">
        <is>
          <t>Hành chính / Thư ký, Nhân sự</t>
        </is>
      </c>
      <c r="K20797" t="inlineStr">
        <is>
          <t>1 - 5 Năm</t>
        </is>
      </c>
      <c r="L20797" s="8">
        <f>HYPERLINK("https://careerviet.vn/vi/tim-viec-lam/nhan-vien-hanh-chinh-nhan-su.35C663FF.html","Xem chi tiết")</f>
        <v/>
      </c>
    </row>
    <row r="20798">
      <c r="B20798" s="9" t="n">
        <v>20796</v>
      </c>
      <c r="C20798" s="10" t="inlineStr">
        <is>
          <t>Quản lý cao cấp Khách hàng cá nhân (SRM) - Hải Dương, Bắc Ninh, Bắc Giang</t>
        </is>
      </c>
      <c r="D20798" s="10" t="inlineStr">
        <is>
          <t>Ngân hàng TMCP Thịnh vượng và Phát triển - PGBank</t>
        </is>
      </c>
      <c r="E20798" s="10" t="inlineStr">
        <is>
          <t>Lương:Cạnh tranh</t>
        </is>
      </c>
      <c r="F20798" s="10" t="inlineStr">
        <is>
          <t>Bắc GiangHải DươngBắc Ninh</t>
        </is>
      </c>
      <c r="G20798" s="10" t="inlineStr">
        <is>
          <t>4</t>
        </is>
      </c>
      <c r="H20798" s="10" t="inlineStr">
        <is>
          <t>21/03/2026</t>
        </is>
      </c>
      <c r="I20798" s="10" t="inlineStr">
        <is>
          <t>17/03/2026</t>
        </is>
      </c>
      <c r="J20798" s="10" t="inlineStr">
        <is>
          <t>Ngân hàng</t>
        </is>
      </c>
      <c r="K20798" s="10" t="inlineStr">
        <is>
          <t>Lên đến 1 Năm</t>
        </is>
      </c>
      <c r="L20798" s="11">
        <f>HYPERLINK("https://careerviet.vn/vi/tim-viec-lam/quan-ly-cao-cap-khach-hang-ca-nhan-srm-hai-duong-bac-ninh-bac-giang.35C58813.html","Xem chi tiết")</f>
        <v/>
      </c>
      <c r="M20798" s="10" t="n"/>
    </row>
    <row r="20799">
      <c r="B20799" s="7" t="n">
        <v>20797</v>
      </c>
      <c r="C20799" t="inlineStr">
        <is>
          <t>Nhân Viên Bảo Trì  (Cơ khí/Điện Công Nghiệp)</t>
        </is>
      </c>
      <c r="D20799" t="inlineStr">
        <is>
          <t>Công ty TNHH ADC</t>
        </is>
      </c>
      <c r="E20799" t="inlineStr">
        <is>
          <t>Lương:8 Tr - 10 Tr VND</t>
        </is>
      </c>
      <c r="F20799" t="inlineStr">
        <is>
          <t>Hồ Chí Minh</t>
        </is>
      </c>
      <c r="G20799" t="inlineStr">
        <is>
          <t>5</t>
        </is>
      </c>
      <c r="H20799" t="inlineStr">
        <is>
          <t>22/03/2026</t>
        </is>
      </c>
      <c r="I20799" t="inlineStr">
        <is>
          <t>17/03/2026</t>
        </is>
      </c>
      <c r="J20799" t="inlineStr">
        <is>
          <t>Cơ khí / Ô tô / Tự động hóa, Điện / Điện tử / Điện lạnh / Điện công nghiệp, Bảo trì / Sửa chữa</t>
        </is>
      </c>
      <c r="K20799" t="inlineStr">
        <is>
          <t>1 - 2 Năm</t>
        </is>
      </c>
      <c r="L20799" s="8">
        <f>HYPERLINK("https://careerviet.vn/vi/tim-viec-lam/nhan-vien-bao-tri-co-khi-dien-cong-nghiep.35C63789.html","Xem chi tiết")</f>
        <v/>
      </c>
    </row>
    <row r="20800">
      <c r="B20800" s="9" t="n">
        <v>20798</v>
      </c>
      <c r="C20800" s="10" t="inlineStr">
        <is>
          <t>CHUYÊN VIÊN NHÂN SỰ TỔNG HỢP</t>
        </is>
      </c>
      <c r="D20800" s="10" t="inlineStr">
        <is>
          <t>CÔNG TY CỔ PHẦN TẬP ĐOÀN KALPEN</t>
        </is>
      </c>
      <c r="E20800" s="10" t="inlineStr">
        <is>
          <t>Lương:10 Tr - 13 Tr VND</t>
        </is>
      </c>
      <c r="F20800" s="10" t="inlineStr">
        <is>
          <t>Hà Nội</t>
        </is>
      </c>
      <c r="G20800" s="10" t="inlineStr">
        <is>
          <t>5</t>
        </is>
      </c>
      <c r="H20800" s="10" t="inlineStr">
        <is>
          <t>22/03/2026</t>
        </is>
      </c>
      <c r="I20800" s="10" t="inlineStr">
        <is>
          <t>17/03/2026</t>
        </is>
      </c>
      <c r="J20800" s="10" t="inlineStr">
        <is>
          <t>Hành chính / Thư ký, Nhân sự</t>
        </is>
      </c>
      <c r="K20800" s="10" t="inlineStr">
        <is>
          <t>1 - 3 Năm</t>
        </is>
      </c>
      <c r="L20800" s="11">
        <f>HYPERLINK("https://careerviet.vn/vi/tim-viec-lam/chuyen-vien-nhan-su-tong-hop.35C663EB.html","Xem chi tiết")</f>
        <v/>
      </c>
      <c r="M20800" s="10" t="n"/>
    </row>
    <row r="20801">
      <c r="B20801" s="7" t="n">
        <v>20799</v>
      </c>
      <c r="C20801" t="inlineStr">
        <is>
          <t>Kiến trúc sư công trình</t>
        </is>
      </c>
      <c r="D20801" t="inlineStr">
        <is>
          <t>CÔNG TY CỔ PHẦN EUROWINDOW HOLDING</t>
        </is>
      </c>
      <c r="E20801" t="inlineStr">
        <is>
          <t>Lương:Cạnh tranh</t>
        </is>
      </c>
      <c r="F20801" t="inlineStr">
        <is>
          <t>Hà Nội</t>
        </is>
      </c>
      <c r="G20801" t="inlineStr">
        <is>
          <t>5</t>
        </is>
      </c>
      <c r="H20801" t="inlineStr">
        <is>
          <t>22/03/2026</t>
        </is>
      </c>
      <c r="I20801" t="inlineStr">
        <is>
          <t>17/03/2026</t>
        </is>
      </c>
      <c r="J20801" t="inlineStr">
        <is>
          <t>Kiến trúc</t>
        </is>
      </c>
      <c r="K20801" t="inlineStr">
        <is>
          <t>7 - 10 Năm</t>
        </is>
      </c>
      <c r="L20801" s="8">
        <f>HYPERLINK("https://careerviet.vn/vi/tim-viec-lam/kien-truc-su-cong-trinh.35C6636A.html","Xem chi tiết")</f>
        <v/>
      </c>
    </row>
    <row r="20802">
      <c r="B20802" s="9" t="n">
        <v>20800</v>
      </c>
      <c r="C20802" s="10" t="inlineStr">
        <is>
          <t>Kỹ Sư Điện - Tự Động Hóa</t>
        </is>
      </c>
      <c r="D20802" s="10" t="inlineStr">
        <is>
          <t>Công ty TNHH ELENTEC HCM VINA</t>
        </is>
      </c>
      <c r="E20802" s="10" t="inlineStr">
        <is>
          <t>Lương:Trên 12 Tr VND</t>
        </is>
      </c>
      <c r="F20802" s="10" t="inlineStr">
        <is>
          <t>Đồng Nai</t>
        </is>
      </c>
      <c r="G20802" s="10" t="inlineStr">
        <is>
          <t>5</t>
        </is>
      </c>
      <c r="H20802" s="10" t="inlineStr">
        <is>
          <t>22/03/2026</t>
        </is>
      </c>
      <c r="I20802" s="10" t="inlineStr">
        <is>
          <t>17/03/2026</t>
        </is>
      </c>
      <c r="J20802" s="10" t="inlineStr">
        <is>
          <t>Cơ khí / Ô tô / Tự động hóa, Điện / Điện tử / Điện lạnh / Điện công nghiệp</t>
        </is>
      </c>
      <c r="K20802" s="10" t="inlineStr">
        <is>
          <t>1 - 5 Năm</t>
        </is>
      </c>
      <c r="L20802" s="11">
        <f>HYPERLINK("https://careerviet.vn/vi/tim-viec-lam/ky-su-dien-tu-dong-hoa.35C637D4.html","Xem chi tiết")</f>
        <v/>
      </c>
      <c r="M20802" s="10" t="n"/>
    </row>
    <row r="20803">
      <c r="B20803" s="7" t="n">
        <v>20801</v>
      </c>
      <c r="C20803" t="inlineStr">
        <is>
          <t>Kế Toán Bán Hàng - Thu nhập lên đến 14tr/tháng tại Hưng Yên</t>
        </is>
      </c>
      <c r="D20803" t="inlineStr">
        <is>
          <t>Công ty Cổ phần thực phẩm và đồ uống Barett</t>
        </is>
      </c>
      <c r="E20803" t="inlineStr">
        <is>
          <t>Lương:10 Tr - 14 Tr VND</t>
        </is>
      </c>
      <c r="F20803" t="inlineStr">
        <is>
          <t>Hưng Yên</t>
        </is>
      </c>
      <c r="G20803" t="inlineStr">
        <is>
          <t>4</t>
        </is>
      </c>
      <c r="H20803" t="inlineStr">
        <is>
          <t>21/03/2026</t>
        </is>
      </c>
      <c r="I20803" t="inlineStr">
        <is>
          <t>17/03/2026</t>
        </is>
      </c>
      <c r="J20803" t="inlineStr">
        <is>
          <t>Thực phẩm &amp; Đồ uống, Kế toán / Kiểm toán, Sản xuất / Vận hành sản xuất</t>
        </is>
      </c>
      <c r="K20803" t="inlineStr">
        <is>
          <t>2 - 3 Năm</t>
        </is>
      </c>
      <c r="L20803" s="8">
        <f>HYPERLINK("https://careerviet.vn/vi/tim-viec-lam/ke-toan-ban-hang-thu-nhap-len-den-14tr-thang-tai-hung-yen.35C660E6.html","Xem chi tiết")</f>
        <v/>
      </c>
    </row>
    <row r="20804">
      <c r="B20804" s="9" t="n">
        <v>20802</v>
      </c>
      <c r="C20804" s="10" t="inlineStr">
        <is>
          <t>Chuyên viên hỗ trợ kinh doanh (Thời vụ 6 tháng)</t>
        </is>
      </c>
      <c r="D20804" s="10" t="inlineStr">
        <is>
          <t>Công Ty Cổ Phần Hai Bốn Bảy</t>
        </is>
      </c>
      <c r="E20804" s="10" t="inlineStr">
        <is>
          <t>Lương:12 Tr - 20 Tr VND</t>
        </is>
      </c>
      <c r="F20804" s="10" t="inlineStr">
        <is>
          <t>Hồ Chí Minh</t>
        </is>
      </c>
      <c r="G20804" s="10" t="inlineStr">
        <is>
          <t>4</t>
        </is>
      </c>
      <c r="H20804" s="10" t="inlineStr">
        <is>
          <t>21/03/2026</t>
        </is>
      </c>
      <c r="I20804" s="10" t="inlineStr">
        <is>
          <t>17/03/2026</t>
        </is>
      </c>
      <c r="J20804" s="10" t="inlineStr">
        <is>
          <t>Bán hàng / Kinh doanh</t>
        </is>
      </c>
      <c r="K20804" s="10" t="inlineStr">
        <is>
          <t>1 - 3 Năm</t>
        </is>
      </c>
      <c r="L20804" s="11">
        <f>HYPERLINK("https://careerviet.vn/vi/tim-viec-lam/chuyen-vien-ho-tro-kinh-doanh-thoi-vu-6-thang.35C661D9.html","Xem chi tiết")</f>
        <v/>
      </c>
      <c r="M20804" s="10" t="n"/>
    </row>
    <row r="20805">
      <c r="B20805" s="7" t="n">
        <v>20803</v>
      </c>
      <c r="C20805" t="inlineStr">
        <is>
          <t>Expat Teacher - Pathway School (Fulltime)</t>
        </is>
      </c>
      <c r="D20805" t="inlineStr">
        <is>
          <t>Hệ thống trường Pathway Tuệ Đức</t>
        </is>
      </c>
      <c r="E20805" t="inlineStr">
        <is>
          <t>Lương:Cạnh tranh</t>
        </is>
      </c>
      <c r="F20805" t="inlineStr">
        <is>
          <t>Hồ Chí Minh</t>
        </is>
      </c>
      <c r="G20805" t="inlineStr">
        <is>
          <t>5</t>
        </is>
      </c>
      <c r="H20805" t="inlineStr">
        <is>
          <t>22/03/2026</t>
        </is>
      </c>
      <c r="I20805" t="inlineStr">
        <is>
          <t>17/03/2026</t>
        </is>
      </c>
      <c r="J20805" t="inlineStr">
        <is>
          <t>Giáo dục / Đào tạo, Ngành khác</t>
        </is>
      </c>
      <c r="K20805" t="inlineStr">
        <is>
          <t>3 - 5 Năm</t>
        </is>
      </c>
      <c r="L20805" s="8">
        <f>HYPERLINK("https://careerviet.vn/vi/tim-viec-lam/expat-teacher-pathway-school-fulltime.35C63701.html","Xem chi tiết")</f>
        <v/>
      </c>
    </row>
    <row r="20806">
      <c r="B20806" s="9" t="n">
        <v>20804</v>
      </c>
      <c r="C20806" s="10" t="inlineStr">
        <is>
          <t>Trưởng phòng Quy hoạch và Kiến trúc</t>
        </is>
      </c>
      <c r="D20806" s="10" t="inlineStr">
        <is>
          <t>Công ty Cổ phần Đầu tư Thương mại Kỹ thuật A&amp;T Việt Nam</t>
        </is>
      </c>
      <c r="E20806" s="10" t="inlineStr">
        <is>
          <t>Lương:Cạnh tranh</t>
        </is>
      </c>
      <c r="F20806" s="10" t="inlineStr">
        <is>
          <t>Hà Nội</t>
        </is>
      </c>
      <c r="G20806" s="10" t="inlineStr">
        <is>
          <t>4</t>
        </is>
      </c>
      <c r="H20806" s="10" t="inlineStr">
        <is>
          <t>21/03/2026</t>
        </is>
      </c>
      <c r="I20806" s="10" t="inlineStr">
        <is>
          <t>17/03/2026</t>
        </is>
      </c>
      <c r="J20806" s="10" t="inlineStr">
        <is>
          <t>Kiến trúc, Xây dựng, Bất động sản</t>
        </is>
      </c>
      <c r="K20806" s="10" t="inlineStr">
        <is>
          <t>5 - 10 Năm</t>
        </is>
      </c>
      <c r="L20806" s="11">
        <f>HYPERLINK("https://careerviet.vn/vi/tim-viec-lam/truong-phong-quy-hoach-va-kien-truc.35C660CD.html","Xem chi tiết")</f>
        <v/>
      </c>
      <c r="M20806" s="10" t="n"/>
    </row>
    <row r="20807">
      <c r="B20807" s="7" t="n">
        <v>20805</v>
      </c>
      <c r="C20807" t="inlineStr">
        <is>
          <t>Nhân viên kỹ thuật cơ điện (NOC Hạ tầng)</t>
        </is>
      </c>
      <c r="D20807" t="inlineStr">
        <is>
          <t>Công ty TNHH Viettel - CHT</t>
        </is>
      </c>
      <c r="E20807" t="inlineStr">
        <is>
          <t>Lương:Cạnh tranh</t>
        </is>
      </c>
      <c r="F20807" t="inlineStr">
        <is>
          <t>Hà NộiBình Dương</t>
        </is>
      </c>
      <c r="G20807" t="inlineStr">
        <is>
          <t>6</t>
        </is>
      </c>
      <c r="H20807" t="inlineStr">
        <is>
          <t>22/03/2026</t>
        </is>
      </c>
      <c r="I20807" t="inlineStr">
        <is>
          <t>17/03/2026</t>
        </is>
      </c>
      <c r="J20807" t="inlineStr">
        <is>
          <t>CNTT - Phần cứng / Mạng, Điện / Điện tử / Điện lạnh / Điện công nghiệp</t>
        </is>
      </c>
      <c r="K20807" t="inlineStr">
        <is>
          <t>Trên 1 Năm</t>
        </is>
      </c>
      <c r="L20807" s="8">
        <f>HYPERLINK("https://careerviet.vn/vi/tim-viec-lam/nhan-vien-ky-thuat-co-dien-noc-ha-tang.35C6643B.html","Xem chi tiết")</f>
        <v/>
      </c>
    </row>
    <row r="20808">
      <c r="B20808" s="9" t="n">
        <v>20806</v>
      </c>
      <c r="C20808" s="10" t="inlineStr">
        <is>
          <t>Chuyên viên nhân sự tổng hợp</t>
        </is>
      </c>
      <c r="D20808" s="10" t="inlineStr">
        <is>
          <t>CÔNG TY CỔ PHẦN XÂY DỰNG VÀ CƠ KHÍ DELTA E&amp;C</t>
        </is>
      </c>
      <c r="E20808" s="10" t="inlineStr">
        <is>
          <t>Lương:15 Tr - 18 Tr VND</t>
        </is>
      </c>
      <c r="F20808" s="10" t="inlineStr">
        <is>
          <t>Hà Nội</t>
        </is>
      </c>
      <c r="G20808" s="10" t="inlineStr">
        <is>
          <t>4</t>
        </is>
      </c>
      <c r="H20808" s="10" t="inlineStr">
        <is>
          <t>21/03/2026</t>
        </is>
      </c>
      <c r="I20808" s="10" t="inlineStr">
        <is>
          <t>17/03/2026</t>
        </is>
      </c>
      <c r="J20808" s="10" t="inlineStr">
        <is>
          <t>Hành chính / Thư ký, Nhân sự, Xây dựng</t>
        </is>
      </c>
      <c r="K20808" s="10" t="inlineStr">
        <is>
          <t>1 - 2 Năm</t>
        </is>
      </c>
      <c r="L20808" s="11">
        <f>HYPERLINK("https://careerviet.vn/vi/tim-viec-lam/chuyen-vien-nhan-su-tong-hop.35C6611E.html","Xem chi tiết")</f>
        <v/>
      </c>
      <c r="M20808" s="10" t="n"/>
    </row>
    <row r="20809">
      <c r="B20809" s="7" t="n">
        <v>20807</v>
      </c>
      <c r="C20809" t="inlineStr">
        <is>
          <t>ITL Logistics - Chuyên viên kinh doanh vận tải</t>
        </is>
      </c>
      <c r="D20809" t="inlineStr">
        <is>
          <t>CÔNG TY CỔ PHẦN  ITL LOGISTICS</t>
        </is>
      </c>
      <c r="E20809" t="inlineStr">
        <is>
          <t>Lương:Cạnh tranh</t>
        </is>
      </c>
      <c r="F20809" t="inlineStr">
        <is>
          <t>Quảng Ngãi</t>
        </is>
      </c>
      <c r="G20809" t="inlineStr">
        <is>
          <t>5</t>
        </is>
      </c>
      <c r="H20809" t="inlineStr">
        <is>
          <t>22/03/2026</t>
        </is>
      </c>
      <c r="I20809" t="inlineStr">
        <is>
          <t>17/03/2026</t>
        </is>
      </c>
      <c r="J20809" t="inlineStr">
        <is>
          <t>Bán hàng / Kinh doanh, Vận chuyển / Giao nhận / Kho vận</t>
        </is>
      </c>
      <c r="K20809" t="inlineStr">
        <is>
          <t>1 - 3 Năm</t>
        </is>
      </c>
      <c r="L20809" s="8">
        <f>HYPERLINK("https://careerviet.vn/vi/tim-viec-lam/itl-logistics-chuyen-vien-kinh-doanh-van-tai.35C66395.html","Xem chi tiết")</f>
        <v/>
      </c>
    </row>
    <row r="20810">
      <c r="B20810" s="9" t="n">
        <v>20808</v>
      </c>
      <c r="C20810" s="10" t="inlineStr">
        <is>
          <t>Chuyên Viên Marketing Điểm Đến</t>
        </is>
      </c>
      <c r="D20810" s="10" t="inlineStr">
        <is>
          <t>Tập Đoàn Tân Á Đại Thành</t>
        </is>
      </c>
      <c r="E20810" s="10" t="inlineStr">
        <is>
          <t>Lương:15 Tr - 20 Tr VND</t>
        </is>
      </c>
      <c r="F20810" s="10" t="inlineStr">
        <is>
          <t>Hà Nội</t>
        </is>
      </c>
      <c r="G20810" s="10" t="inlineStr">
        <is>
          <t>5</t>
        </is>
      </c>
      <c r="H20810" s="10" t="inlineStr">
        <is>
          <t>22/03/2026</t>
        </is>
      </c>
      <c r="I20810" s="10" t="inlineStr">
        <is>
          <t>17/03/2026</t>
        </is>
      </c>
      <c r="J20810" s="10" t="inlineStr">
        <is>
          <t>Tiếp thị / Marketing, Truyền hình / Báo chí / Biên tập, Quảng cáo / Đối ngoại / Truyền Thông</t>
        </is>
      </c>
      <c r="K20810" s="10" t="inlineStr">
        <is>
          <t>2 - 3 Năm</t>
        </is>
      </c>
      <c r="L20810" s="11">
        <f>HYPERLINK("https://careerviet.vn/vi/tim-viec-lam/chuyen-vien-marketing-diem-den.35C637AC.html","Xem chi tiết")</f>
        <v/>
      </c>
      <c r="M20810" s="10" t="n"/>
    </row>
    <row r="20811">
      <c r="B20811" s="7" t="n">
        <v>20809</v>
      </c>
      <c r="C20811" t="inlineStr">
        <is>
          <t>Chỉ Huy Phó Xây Dựng / Deputy Site Manager</t>
        </is>
      </c>
      <c r="D20811" t="inlineStr">
        <is>
          <t>Handong Engineering &amp; Construction JSC</t>
        </is>
      </c>
      <c r="E20811" t="inlineStr">
        <is>
          <t>Lương:Cạnh tranh</t>
        </is>
      </c>
      <c r="F20811" t="inlineStr">
        <is>
          <t>Bình Dương</t>
        </is>
      </c>
      <c r="G20811" t="inlineStr">
        <is>
          <t>5</t>
        </is>
      </c>
      <c r="H20811" t="inlineStr">
        <is>
          <t>22/03/2026</t>
        </is>
      </c>
      <c r="I20811" t="inlineStr">
        <is>
          <t>17/03/2026</t>
        </is>
      </c>
      <c r="J20811" t="inlineStr">
        <is>
          <t>Xây dựng, Bất động sản</t>
        </is>
      </c>
      <c r="K20811" t="inlineStr">
        <is>
          <t>Trên 3 Năm</t>
        </is>
      </c>
      <c r="L20811" s="8">
        <f>HYPERLINK("https://careerviet.vn/vi/tim-viec-lam/chi-huy-pho-xay-dung-deputy-site-manager.35C663DF.html","Xem chi tiết")</f>
        <v/>
      </c>
    </row>
    <row r="20812">
      <c r="B20812" s="9" t="n">
        <v>20810</v>
      </c>
      <c r="C20812" s="10" t="inlineStr">
        <is>
          <t>Cửa hàng Trưởng Showroom</t>
        </is>
      </c>
      <c r="D20812" s="10" t="inlineStr">
        <is>
          <t>CÔNG TY CỔ PHẦN HOA SEN HOME</t>
        </is>
      </c>
      <c r="E20812" s="10" t="inlineStr">
        <is>
          <t>Lương:18 Tr - 25 Tr VND</t>
        </is>
      </c>
      <c r="F20812" s="10" t="inlineStr">
        <is>
          <t>Hồ Chí Minh</t>
        </is>
      </c>
      <c r="G20812" s="10" t="inlineStr">
        <is>
          <t>5</t>
        </is>
      </c>
      <c r="H20812" s="10" t="inlineStr">
        <is>
          <t>22/03/2026</t>
        </is>
      </c>
      <c r="I20812" s="10" t="inlineStr">
        <is>
          <t>17/03/2026</t>
        </is>
      </c>
      <c r="J20812" s="10" t="inlineStr">
        <is>
          <t>Bán lẻ / Bán sỉ, Bán hàng / Kinh doanh, Y tế / Chăm sóc sức khỏe / Thẩm mỹ / Làm đẹp</t>
        </is>
      </c>
      <c r="K20812" s="10" t="inlineStr">
        <is>
          <t>2 - 3 Năm</t>
        </is>
      </c>
      <c r="L20812" s="11">
        <f>HYPERLINK("https://careerviet.vn/vi/tim-viec-lam/cua-hang-truong-showroom.35C662F7.html","Xem chi tiết")</f>
        <v/>
      </c>
      <c r="M20812" s="10" t="n"/>
    </row>
    <row r="20813">
      <c r="B20813" s="7" t="n">
        <v>20811</v>
      </c>
      <c r="C20813" t="inlineStr">
        <is>
          <t>CHUYÊN VIÊN R&amp;D - KCN HẢI SƠN LONG AN</t>
        </is>
      </c>
      <c r="D20813" t="inlineStr">
        <is>
          <t>CÔNG TY TNHH SẢN XUẤT TẬP ĐOÀN ĐẠI VIỆT</t>
        </is>
      </c>
      <c r="E20813" t="inlineStr">
        <is>
          <t>Lương:Cạnh tranh</t>
        </is>
      </c>
      <c r="F20813" t="inlineStr">
        <is>
          <t>Long An</t>
        </is>
      </c>
      <c r="G20813" t="inlineStr">
        <is>
          <t>5</t>
        </is>
      </c>
      <c r="H20813" t="inlineStr">
        <is>
          <t>22/03/2026</t>
        </is>
      </c>
      <c r="I20813" t="inlineStr">
        <is>
          <t>17/03/2026</t>
        </is>
      </c>
      <c r="J20813" t="inlineStr">
        <is>
          <t>Cơ khí / Ô tô / Tự động hóa, Sản xuất / Vận hành sản xuất</t>
        </is>
      </c>
      <c r="K20813" t="inlineStr">
        <is>
          <t>1 - 5 Năm</t>
        </is>
      </c>
      <c r="L20813" s="8">
        <f>HYPERLINK("https://careerviet.vn/vi/tim-viec-lam/chuyen-vien-r-d-kcn-hai-son-long-an.35C6634B.html","Xem chi tiết")</f>
        <v/>
      </c>
    </row>
    <row r="20814">
      <c r="B20814" s="9" t="n">
        <v>20812</v>
      </c>
      <c r="C20814" s="10" t="inlineStr">
        <is>
          <t>Head of Sales</t>
        </is>
      </c>
      <c r="D20814" s="10" t="inlineStr">
        <is>
          <t>CÔNG TY TNHH UWINFLY VIETNAM INDUSTRIES</t>
        </is>
      </c>
      <c r="E20814" s="10" t="inlineStr">
        <is>
          <t>Lương:Cạnh tranh</t>
        </is>
      </c>
      <c r="F20814" s="10" t="inlineStr">
        <is>
          <t>Hồ Chí Minh</t>
        </is>
      </c>
      <c r="G20814" s="10" t="inlineStr">
        <is>
          <t>4</t>
        </is>
      </c>
      <c r="H20814" s="10" t="inlineStr">
        <is>
          <t>21/03/2026</t>
        </is>
      </c>
      <c r="I20814" s="10" t="inlineStr">
        <is>
          <t>17/03/2026</t>
        </is>
      </c>
      <c r="J20814" s="10" t="inlineStr">
        <is>
          <t>Bán lẻ / Bán sỉ, Bán hàng / Kinh doanh, Bán Hàng Kỹ Thuật</t>
        </is>
      </c>
      <c r="K20814" s="10" t="inlineStr">
        <is>
          <t>8 - 10 Năm</t>
        </is>
      </c>
      <c r="L20814" s="11">
        <f>HYPERLINK("https://careerviet.vn/vi/tim-viec-lam/head-of-sales.35C66138.html","Xem chi tiết")</f>
        <v/>
      </c>
      <c r="M20814" s="10" t="n"/>
    </row>
    <row r="20815">
      <c r="B20815" s="7" t="n">
        <v>20813</v>
      </c>
      <c r="C20815" t="inlineStr">
        <is>
          <t>Nhân viên xuất nhập khẩu</t>
        </is>
      </c>
      <c r="D20815" t="inlineStr">
        <is>
          <t>Công ty Cổ phần TKMB</t>
        </is>
      </c>
      <c r="E20815" t="inlineStr">
        <is>
          <t>Lương:Cạnh tranh</t>
        </is>
      </c>
      <c r="F20815" t="inlineStr">
        <is>
          <t>Long An</t>
        </is>
      </c>
      <c r="G20815" t="inlineStr">
        <is>
          <t>5</t>
        </is>
      </c>
      <c r="H20815" t="inlineStr">
        <is>
          <t>22/03/2026</t>
        </is>
      </c>
      <c r="I20815" t="inlineStr">
        <is>
          <t>17/03/2026</t>
        </is>
      </c>
      <c r="J20815" t="inlineStr">
        <is>
          <t>Biên phiên dịch, Xuất nhập khẩu, Sản xuất / Vận hành sản xuất</t>
        </is>
      </c>
      <c r="K20815" t="inlineStr">
        <is>
          <t>1 - 2 Năm</t>
        </is>
      </c>
      <c r="L20815" s="8">
        <f>HYPERLINK("https://careerviet.vn/vi/tim-viec-lam/nhan-vien-xuat-nhap-khau.35C63708.html","Xem chi tiết")</f>
        <v/>
      </c>
    </row>
    <row r="20816">
      <c r="B20816" s="9" t="n">
        <v>20814</v>
      </c>
      <c r="C20816" s="10" t="inlineStr">
        <is>
          <t>Lễ Tân Cơ Sở</t>
        </is>
      </c>
      <c r="D20816" s="10" t="inlineStr">
        <is>
          <t>CÔNG TY TNHH TẬP ĐOÀN GTG</t>
        </is>
      </c>
      <c r="E20816" s="10" t="inlineStr">
        <is>
          <t>Lương:12 Tr - 15 Tr VND</t>
        </is>
      </c>
      <c r="F20816" s="10" t="inlineStr">
        <is>
          <t>Hà Nội</t>
        </is>
      </c>
      <c r="G20816" s="10" t="inlineStr">
        <is>
          <t>5</t>
        </is>
      </c>
      <c r="H20816" s="10" t="inlineStr">
        <is>
          <t>22/03/2026</t>
        </is>
      </c>
      <c r="I20816" s="10" t="inlineStr">
        <is>
          <t>17/03/2026</t>
        </is>
      </c>
      <c r="J20816" s="10" t="inlineStr">
        <is>
          <t>Hành chính / Thư ký, Nhân sự, Quản lý điều hành</t>
        </is>
      </c>
      <c r="K20816" s="10" t="inlineStr">
        <is>
          <t>Trên 1 Năm</t>
        </is>
      </c>
      <c r="L20816" s="11">
        <f>HYPERLINK("https://careerviet.vn/vi/tim-viec-lam/le-tan-co-so.35C6637A.html","Xem chi tiết")</f>
        <v/>
      </c>
      <c r="M20816" s="10" t="n"/>
    </row>
    <row r="20817">
      <c r="B20817" s="7" t="n">
        <v>20815</v>
      </c>
      <c r="C20817" t="inlineStr">
        <is>
          <t>Bảo Mẫu Mầm Non</t>
        </is>
      </c>
      <c r="D20817" t="inlineStr">
        <is>
          <t>Công Ty TNHH Kindy City</t>
        </is>
      </c>
      <c r="E20817" t="inlineStr">
        <is>
          <t>Lương:6,5 Tr - 7,5 Tr VND</t>
        </is>
      </c>
      <c r="F20817" t="inlineStr">
        <is>
          <t>Hồ Chí Minh</t>
        </is>
      </c>
      <c r="G20817" t="inlineStr">
        <is>
          <t>5</t>
        </is>
      </c>
      <c r="H20817" t="inlineStr">
        <is>
          <t>22/03/2026</t>
        </is>
      </c>
      <c r="I20817" t="inlineStr">
        <is>
          <t>17/03/2026</t>
        </is>
      </c>
      <c r="J20817" t="inlineStr">
        <is>
          <t>Dịch vụ khách hàng, Giáo dục / Đào tạo, Hành chính / Thư ký</t>
        </is>
      </c>
      <c r="K20817" t="inlineStr">
        <is>
          <t>1 - 5 Năm</t>
        </is>
      </c>
      <c r="L20817" s="8">
        <f>HYPERLINK("https://careerviet.vn/vi/tim-viec-lam/bao-mau-mam-non.35C63732.html","Xem chi tiết")</f>
        <v/>
      </c>
    </row>
    <row r="20818">
      <c r="B20818" s="9" t="n">
        <v>20816</v>
      </c>
      <c r="C20818" s="10" t="inlineStr">
        <is>
          <t>Giám Sát An Ninh - Khu Nhà Phố Thương Mại Cao Cấp</t>
        </is>
      </c>
      <c r="D20818" s="10" t="inlineStr">
        <is>
          <t>BIM Group Phú Quốc</t>
        </is>
      </c>
      <c r="E20818" s="10" t="inlineStr">
        <is>
          <t>Lương:Cạnh tranh</t>
        </is>
      </c>
      <c r="F20818" s="10" t="inlineStr">
        <is>
          <t>Kiên Giang</t>
        </is>
      </c>
      <c r="G20818" s="10" t="inlineStr">
        <is>
          <t>5</t>
        </is>
      </c>
      <c r="H20818" s="10" t="inlineStr">
        <is>
          <t>22/03/2026</t>
        </is>
      </c>
      <c r="I20818" s="10" t="inlineStr">
        <is>
          <t>17/03/2026</t>
        </is>
      </c>
      <c r="J20818" s="10" t="inlineStr">
        <is>
          <t>An Ninh / Bảo Vệ, Bất động sản</t>
        </is>
      </c>
      <c r="K20818" s="10" t="inlineStr">
        <is>
          <t>1 - 2 Năm</t>
        </is>
      </c>
      <c r="L20818" s="11">
        <f>HYPERLINK("https://careerviet.vn/vi/tim-viec-lam/giam-sat-an-ninh-khu-nha-pho-thuong-mai-cao-cap.35C636A3.html","Xem chi tiết")</f>
        <v/>
      </c>
      <c r="M20818" s="10" t="n"/>
    </row>
    <row r="20819">
      <c r="B20819" s="7" t="n">
        <v>20817</v>
      </c>
      <c r="C20819" t="inlineStr">
        <is>
          <t>Kế toán tổng hợp</t>
        </is>
      </c>
      <c r="D20819" t="inlineStr">
        <is>
          <t>Bảo mật</t>
        </is>
      </c>
      <c r="E20819" t="inlineStr">
        <is>
          <t>Lương:12 Tr - 20 Tr VND</t>
        </is>
      </c>
      <c r="F20819" t="inlineStr">
        <is>
          <t>Hà Nội</t>
        </is>
      </c>
      <c r="G20819" t="inlineStr">
        <is>
          <t>5</t>
        </is>
      </c>
      <c r="H20819" t="inlineStr">
        <is>
          <t>22/03/2026</t>
        </is>
      </c>
      <c r="I20819" t="inlineStr">
        <is>
          <t>17/03/2026</t>
        </is>
      </c>
      <c r="J20819" t="inlineStr">
        <is>
          <t>Kế toán / Kiểm toán</t>
        </is>
      </c>
      <c r="K20819" t="inlineStr">
        <is>
          <t>1 - 2 Năm</t>
        </is>
      </c>
      <c r="L20819" s="8">
        <f>HYPERLINK("https://careerviet.vn/vi/tim-viec-lam/ke-toan-tong-hop.35C6386B.html","Xem chi tiết")</f>
        <v/>
      </c>
    </row>
    <row r="20820">
      <c r="B20820" s="9" t="n">
        <v>20818</v>
      </c>
      <c r="C20820" s="10" t="inlineStr">
        <is>
          <t>DATA SCIENTIST (TỐI ƯU HÓA NHÀ MÁY)</t>
        </is>
      </c>
      <c r="D20820" s="10" t="inlineStr">
        <is>
          <t>TRAN DUC CORPORATION - CÔNG TY CỔ PHẦN TRẦN ĐỨC</t>
        </is>
      </c>
      <c r="E20820" s="10" t="inlineStr">
        <is>
          <t>Lương:Cạnh tranh</t>
        </is>
      </c>
      <c r="F20820" s="10" t="inlineStr">
        <is>
          <t>Bình Dương</t>
        </is>
      </c>
      <c r="G20820" s="10" t="inlineStr">
        <is>
          <t>5</t>
        </is>
      </c>
      <c r="H20820" s="10" t="inlineStr">
        <is>
          <t>22/03/2026</t>
        </is>
      </c>
      <c r="I20820" s="10" t="inlineStr">
        <is>
          <t>17/03/2026</t>
        </is>
      </c>
      <c r="J20820" s="10" t="inlineStr">
        <is>
          <t>CNTT - Phần mềm, Nội ngoại thất</t>
        </is>
      </c>
      <c r="K20820" s="10" t="inlineStr">
        <is>
          <t>2 - 3 Năm</t>
        </is>
      </c>
      <c r="L20820" s="11">
        <f>HYPERLINK("https://careerviet.vn/vi/tim-viec-lam/data-scientist-toi-uu-hoa-nha-may.35C6629D.html","Xem chi tiết")</f>
        <v/>
      </c>
      <c r="M20820" s="10" t="n"/>
    </row>
    <row r="20821">
      <c r="B20821" s="7" t="n">
        <v>20819</v>
      </c>
      <c r="C20821" t="inlineStr">
        <is>
          <t>Trưởng Phòng Dự Án</t>
        </is>
      </c>
      <c r="D20821" t="inlineStr">
        <is>
          <t>CÔNG TY TNHH QUỐC TẾ SDN</t>
        </is>
      </c>
      <c r="E20821" t="inlineStr">
        <is>
          <t>Lương:Cạnh tranh</t>
        </is>
      </c>
      <c r="F20821" t="inlineStr">
        <is>
          <t>Hồ Chí Minh</t>
        </is>
      </c>
      <c r="G20821" t="inlineStr">
        <is>
          <t>5</t>
        </is>
      </c>
      <c r="H20821" t="inlineStr">
        <is>
          <t>22/03/2026</t>
        </is>
      </c>
      <c r="I20821" t="inlineStr">
        <is>
          <t>17/03/2026</t>
        </is>
      </c>
      <c r="J20821" t="inlineStr">
        <is>
          <t>Mỹ thuật / Nghệ thuật / Thiết kế, Kiến trúc, Xây dựng</t>
        </is>
      </c>
      <c r="K20821" t="inlineStr">
        <is>
          <t>Trên 5 Năm</t>
        </is>
      </c>
      <c r="L20821" s="8">
        <f>HYPERLINK("https://careerviet.vn/vi/tim-viec-lam/truong-phong-du-an.35C662E6.html","Xem chi tiết")</f>
        <v/>
      </c>
    </row>
    <row r="20822">
      <c r="B20822" s="9" t="n">
        <v>20820</v>
      </c>
      <c r="C20822" s="10" t="inlineStr">
        <is>
          <t>Trưởng Phòng Vận Hành Xuất Khẩu Gạo - Cần Thơ</t>
        </is>
      </c>
      <c r="D20822" s="10" t="inlineStr">
        <is>
          <t>Công Ty Cổ Phần Lương Thực A AN</t>
        </is>
      </c>
      <c r="E20822" s="10" t="inlineStr">
        <is>
          <t>Lương:Cạnh tranh</t>
        </is>
      </c>
      <c r="F20822" s="10" t="inlineStr">
        <is>
          <t>Cần Thơ</t>
        </is>
      </c>
      <c r="G20822" s="10" t="inlineStr">
        <is>
          <t>5</t>
        </is>
      </c>
      <c r="H20822" s="10" t="inlineStr">
        <is>
          <t>22/03/2026</t>
        </is>
      </c>
      <c r="I20822" s="10" t="inlineStr">
        <is>
          <t>17/03/2026</t>
        </is>
      </c>
      <c r="J20822" s="10" t="inlineStr">
        <is>
          <t>Bán hàng / Kinh doanh, Xuất nhập khẩu, Sản xuất / Vận hành sản xuất</t>
        </is>
      </c>
      <c r="K20822" s="10" t="inlineStr">
        <is>
          <t>4 - 7 Năm</t>
        </is>
      </c>
      <c r="L20822" s="11">
        <f>HYPERLINK("https://careerviet.vn/vi/tim-viec-lam/truong-phong-van-hanh-xuat-khau-gao-can-tho.35C63765.html","Xem chi tiết")</f>
        <v/>
      </c>
      <c r="M20822" s="10" t="n"/>
    </row>
    <row r="20823">
      <c r="B20823" s="7" t="n">
        <v>20821</v>
      </c>
      <c r="C20823" t="inlineStr">
        <is>
          <t>Warehouse Admin</t>
        </is>
      </c>
      <c r="D20823" t="inlineStr">
        <is>
          <t>CÔNG TY TNHH CEVA LOGISTICS (VIỆT NAM)</t>
        </is>
      </c>
      <c r="E20823" t="inlineStr">
        <is>
          <t>Lương:Cạnh tranh</t>
        </is>
      </c>
      <c r="F20823" t="inlineStr">
        <is>
          <t>Hồ Chí MinhBình Dương</t>
        </is>
      </c>
      <c r="G20823" t="inlineStr">
        <is>
          <t>5</t>
        </is>
      </c>
      <c r="H20823" t="inlineStr">
        <is>
          <t>22/03/2026</t>
        </is>
      </c>
      <c r="I20823" t="inlineStr">
        <is>
          <t>17/03/2026</t>
        </is>
      </c>
      <c r="J20823" t="inlineStr">
        <is>
          <t>Vận chuyển / Giao nhận / Kho vận, Xuất nhập khẩu</t>
        </is>
      </c>
      <c r="K20823" t="inlineStr">
        <is>
          <t>1 - 10 Năm</t>
        </is>
      </c>
      <c r="L20823" s="8">
        <f>HYPERLINK("https://careerviet.vn/vi/tim-viec-lam/warehouse-admin.35C66341.html","Xem chi tiết")</f>
        <v/>
      </c>
    </row>
    <row r="20824">
      <c r="B20824" s="9" t="n">
        <v>20822</v>
      </c>
      <c r="C20824" s="10" t="inlineStr">
        <is>
          <t>Chuyên viên trách nhiệm xã hội - CSR</t>
        </is>
      </c>
      <c r="D20824" s="10" t="inlineStr">
        <is>
          <t>Công Ty TNHH Okia Optical Việt Nam</t>
        </is>
      </c>
      <c r="E20824" s="10" t="inlineStr">
        <is>
          <t>Lương:18 Tr - 25 Tr VND</t>
        </is>
      </c>
      <c r="F20824" s="10" t="inlineStr">
        <is>
          <t>Long An</t>
        </is>
      </c>
      <c r="G20824" s="10" t="inlineStr">
        <is>
          <t>5</t>
        </is>
      </c>
      <c r="H20824" s="10" t="inlineStr">
        <is>
          <t>22/03/2026</t>
        </is>
      </c>
      <c r="I20824" s="10" t="inlineStr">
        <is>
          <t>17/03/2026</t>
        </is>
      </c>
      <c r="J20824" s="10" t="inlineStr">
        <is>
          <t>Luật / Pháp lý, Hành chính / Thư ký, Quản lý điều hành</t>
        </is>
      </c>
      <c r="K20824" s="10" t="inlineStr">
        <is>
          <t>2 - 3 Năm</t>
        </is>
      </c>
      <c r="L20824" s="11">
        <f>HYPERLINK("https://careerviet.vn/vi/tim-viec-lam/chuyen-vien-trach-nhiem-xa-hoi-csr.35C6636D.html","Xem chi tiết")</f>
        <v/>
      </c>
      <c r="M20824" s="10" t="n"/>
    </row>
    <row r="20825">
      <c r="B20825" s="7" t="n">
        <v>20823</v>
      </c>
      <c r="C20825" t="inlineStr">
        <is>
          <t>Kế toán tổng hợp</t>
        </is>
      </c>
      <c r="D20825" t="inlineStr">
        <is>
          <t>Công ty Cổ phần tập đoàn dược phẩm STARMED</t>
        </is>
      </c>
      <c r="E20825" t="inlineStr">
        <is>
          <t>Lương:15 Tr - 20 Tr VND</t>
        </is>
      </c>
      <c r="F20825" t="inlineStr">
        <is>
          <t>Hà Nội</t>
        </is>
      </c>
      <c r="G20825" t="inlineStr">
        <is>
          <t>5</t>
        </is>
      </c>
      <c r="H20825" t="inlineStr">
        <is>
          <t>22/03/2026</t>
        </is>
      </c>
      <c r="I20825" t="inlineStr">
        <is>
          <t>17/03/2026</t>
        </is>
      </c>
      <c r="J20825" t="inlineStr">
        <is>
          <t>Kế toán / Kiểm toán</t>
        </is>
      </c>
      <c r="K20825" t="inlineStr">
        <is>
          <t>2 - 3 Năm</t>
        </is>
      </c>
      <c r="L20825" s="8">
        <f>HYPERLINK("https://careerviet.vn/vi/tim-viec-lam/ke-toan-tong-hop.35C637BD.html","Xem chi tiết")</f>
        <v/>
      </c>
    </row>
    <row r="20826">
      <c r="B20826" s="9" t="n">
        <v>20824</v>
      </c>
      <c r="C20826" s="10" t="inlineStr">
        <is>
          <t>CHUYÊN VIÊN QUẢN LÝ DỰ ÁN</t>
        </is>
      </c>
      <c r="D20826" s="10" t="inlineStr">
        <is>
          <t>PTSC Offshore Services (POS)</t>
        </is>
      </c>
      <c r="E20826" s="10" t="inlineStr">
        <is>
          <t>Lương:Cạnh tranh</t>
        </is>
      </c>
      <c r="F20826" s="10" t="inlineStr">
        <is>
          <t>Bà Rịa - Vũng Tàu</t>
        </is>
      </c>
      <c r="G20826" s="10" t="inlineStr">
        <is>
          <t>5</t>
        </is>
      </c>
      <c r="H20826" s="10" t="inlineStr">
        <is>
          <t>22/03/2026</t>
        </is>
      </c>
      <c r="I20826" s="10" t="inlineStr">
        <is>
          <t>17/03/2026</t>
        </is>
      </c>
      <c r="J20826" s="10" t="inlineStr">
        <is>
          <t>Quản lý điều hành</t>
        </is>
      </c>
      <c r="K20826" s="10" t="inlineStr">
        <is>
          <t>Lên đến 3 Năm</t>
        </is>
      </c>
      <c r="L20826" s="11">
        <f>HYPERLINK("https://careerviet.vn/vi/tim-viec-lam/chuyen-vien-quan-ly-du-an.35C663E2.html","Xem chi tiết")</f>
        <v/>
      </c>
      <c r="M20826" s="10" t="n"/>
    </row>
    <row r="20827">
      <c r="B20827" s="7" t="n">
        <v>20825</v>
      </c>
      <c r="C20827" t="inlineStr">
        <is>
          <t>Chuyên viên Kỹ thuật dữ liệu</t>
        </is>
      </c>
      <c r="D20827" t="inlineStr">
        <is>
          <t>Công ty CP Thành Thành Công - Biên Hòa</t>
        </is>
      </c>
      <c r="E20827" t="inlineStr">
        <is>
          <t>Lương:Cạnh tranh</t>
        </is>
      </c>
      <c r="F20827" t="inlineStr">
        <is>
          <t>Hồ Chí Minh</t>
        </is>
      </c>
      <c r="G20827" t="inlineStr">
        <is>
          <t>5</t>
        </is>
      </c>
      <c r="H20827" t="inlineStr">
        <is>
          <t>22/03/2026</t>
        </is>
      </c>
      <c r="I20827" t="inlineStr">
        <is>
          <t>17/03/2026</t>
        </is>
      </c>
      <c r="J20827" t="inlineStr">
        <is>
          <t>CNTT - Phần cứng / Mạng</t>
        </is>
      </c>
      <c r="K20827" t="inlineStr">
        <is>
          <t>2 - 5 Năm</t>
        </is>
      </c>
      <c r="L20827" s="8">
        <f>HYPERLINK("https://careerviet.vn/vi/tim-viec-lam/chuyen-vien-ky-thuat-du-lieu.35C6376F.html","Xem chi tiết")</f>
        <v/>
      </c>
    </row>
    <row r="20828">
      <c r="B20828" s="9" t="n">
        <v>20826</v>
      </c>
      <c r="C20828" s="10" t="inlineStr">
        <is>
          <t>Trưởng Phòng Trung Tâm Chế Biến Thực Phẩm</t>
        </is>
      </c>
      <c r="D20828" s="10" t="inlineStr">
        <is>
          <t>Công Ty TNHH Aeon Việt Nam</t>
        </is>
      </c>
      <c r="E20828" s="10" t="inlineStr">
        <is>
          <t>Lương:Cạnh tranh</t>
        </is>
      </c>
      <c r="F20828" s="10" t="inlineStr">
        <is>
          <t>Hồ Chí Minh</t>
        </is>
      </c>
      <c r="G20828" s="10" t="inlineStr">
        <is>
          <t>5</t>
        </is>
      </c>
      <c r="H20828" s="10" t="inlineStr">
        <is>
          <t>22/03/2026</t>
        </is>
      </c>
      <c r="I20828" s="10" t="inlineStr">
        <is>
          <t>17/03/2026</t>
        </is>
      </c>
      <c r="J20828" s="10" t="inlineStr">
        <is>
          <t>Bán lẻ / Bán sỉ</t>
        </is>
      </c>
      <c r="K20828" s="10" t="inlineStr">
        <is>
          <t>5 - 10 Năm</t>
        </is>
      </c>
      <c r="L20828" s="11">
        <f>HYPERLINK("https://careerviet.vn/vi/tim-viec-lam/truong-phong-trung-tam-che-bien-thuc-pham.35C63775.html","Xem chi tiết")</f>
        <v/>
      </c>
      <c r="M20828" s="10" t="n"/>
    </row>
    <row r="20829">
      <c r="B20829" s="7" t="n">
        <v>20827</v>
      </c>
      <c r="C20829" t="inlineStr">
        <is>
          <t>Đại sứ AIH - Ambassador</t>
        </is>
      </c>
      <c r="D20829" t="inlineStr">
        <is>
          <t>American International Hospital (AIH)</t>
        </is>
      </c>
      <c r="E20829" t="inlineStr">
        <is>
          <t>Lương:14 Tr - 18 Tr VND</t>
        </is>
      </c>
      <c r="F20829" t="inlineStr">
        <is>
          <t>Hồ Chí Minh</t>
        </is>
      </c>
      <c r="G20829" t="inlineStr">
        <is>
          <t>5</t>
        </is>
      </c>
      <c r="H20829" t="inlineStr">
        <is>
          <t>22/03/2026</t>
        </is>
      </c>
      <c r="I20829" t="inlineStr">
        <is>
          <t>17/03/2026</t>
        </is>
      </c>
      <c r="J20829" t="inlineStr">
        <is>
          <t>Y tế / Chăm sóc sức khỏe / Thẩm mỹ / Làm đẹp, Tư vấn, Dịch vụ khách hàng</t>
        </is>
      </c>
      <c r="K20829" t="inlineStr">
        <is>
          <t>2 - 5 Năm</t>
        </is>
      </c>
      <c r="L20829" s="8">
        <f>HYPERLINK("https://careerviet.vn/vi/tim-viec-lam/dai-su-aih-ambassador.35C63867.html","Xem chi tiết")</f>
        <v/>
      </c>
    </row>
    <row r="20830">
      <c r="B20830" s="9" t="n">
        <v>20828</v>
      </c>
      <c r="C20830" s="10" t="inlineStr">
        <is>
          <t>Quản Lý Thiết Kế Kiến Trúc</t>
        </is>
      </c>
      <c r="D20830" s="10" t="inlineStr">
        <is>
          <t>CÔNG TY CỔ PHẦN TẬP ĐOÀN ONSEN FUJI</t>
        </is>
      </c>
      <c r="E20830" s="10" t="inlineStr">
        <is>
          <t>Lương:25 Tr - 28 Tr VND</t>
        </is>
      </c>
      <c r="F20830" s="10" t="inlineStr">
        <is>
          <t>Hà Nội</t>
        </is>
      </c>
      <c r="G20830" s="10" t="inlineStr">
        <is>
          <t>4</t>
        </is>
      </c>
      <c r="H20830" s="10" t="inlineStr">
        <is>
          <t>21/03/2026</t>
        </is>
      </c>
      <c r="I20830" s="10" t="inlineStr">
        <is>
          <t>17/03/2026</t>
        </is>
      </c>
      <c r="J20830" s="10" t="inlineStr">
        <is>
          <t>Kiến trúc, Xây dựng, Bất động sản</t>
        </is>
      </c>
      <c r="K20830" s="10" t="inlineStr">
        <is>
          <t>5 - 7 Năm</t>
        </is>
      </c>
      <c r="L20830" s="11">
        <f>HYPERLINK("https://careerviet.vn/vi/tim-viec-lam/quan-ly-thiet-ke-kien-truc.35C661D3.html","Xem chi tiết")</f>
        <v/>
      </c>
      <c r="M20830" s="10" t="n"/>
    </row>
    <row r="20831">
      <c r="B20831" s="7" t="n">
        <v>20829</v>
      </c>
      <c r="C20831" t="inlineStr">
        <is>
          <t>Marketing Executive</t>
        </is>
      </c>
      <c r="D20831" t="inlineStr">
        <is>
          <t>CÔNG TY TNHH THIẾT BỊ CƠ KHÍ THK VIỆT NAM</t>
        </is>
      </c>
      <c r="E20831" t="inlineStr">
        <is>
          <t>Lương:Trên 15 Tr VND</t>
        </is>
      </c>
      <c r="F20831" t="inlineStr">
        <is>
          <t>Bình Dương</t>
        </is>
      </c>
      <c r="G20831" t="inlineStr">
        <is>
          <t>5</t>
        </is>
      </c>
      <c r="H20831" t="inlineStr">
        <is>
          <t>22/03/2026</t>
        </is>
      </c>
      <c r="I20831" t="inlineStr">
        <is>
          <t>17/03/2026</t>
        </is>
      </c>
      <c r="J20831" t="inlineStr">
        <is>
          <t>Tiếp thị / Marketing, Tiếp thị trực tuyến, Quảng cáo / Đối ngoại / Truyền Thông</t>
        </is>
      </c>
      <c r="K20831" t="inlineStr">
        <is>
          <t>Trên 2 Năm</t>
        </is>
      </c>
      <c r="L20831" s="8">
        <f>HYPERLINK("https://careerviet.vn/vi/tim-viec-lam/marketing-executive.35C6636B.html","Xem chi tiết")</f>
        <v/>
      </c>
    </row>
    <row r="20832">
      <c r="B20832" s="9" t="n">
        <v>20830</v>
      </c>
      <c r="C20832" s="10" t="inlineStr">
        <is>
          <t>Chuyên Viên Mua Hàng - Tiếng Trung</t>
        </is>
      </c>
      <c r="D20832" s="10" t="inlineStr">
        <is>
          <t>Công ty Cổ Phần Tập Đoàn Điện Quang</t>
        </is>
      </c>
      <c r="E20832" s="10" t="inlineStr">
        <is>
          <t>Lương:Cạnh tranh</t>
        </is>
      </c>
      <c r="F20832" s="10" t="inlineStr">
        <is>
          <t>Hồ Chí Minh</t>
        </is>
      </c>
      <c r="G20832" s="10" t="inlineStr">
        <is>
          <t>5</t>
        </is>
      </c>
      <c r="H20832" s="10" t="inlineStr">
        <is>
          <t>22/03/2026</t>
        </is>
      </c>
      <c r="I20832" s="10" t="inlineStr">
        <is>
          <t>17/03/2026</t>
        </is>
      </c>
      <c r="J20832" s="10" t="inlineStr">
        <is>
          <t>Kế toán / Kiểm toán, Thu mua / Vật tư, Xuất nhập khẩu</t>
        </is>
      </c>
      <c r="K20832" s="10" t="inlineStr">
        <is>
          <t>Trên 3 Năm</t>
        </is>
      </c>
      <c r="L20832" s="11">
        <f>HYPERLINK("https://careerviet.vn/vi/tim-viec-lam/chuyen-vien-mua-hang-tieng-trung.35C662CD.html","Xem chi tiết")</f>
        <v/>
      </c>
      <c r="M20832" s="10" t="n"/>
    </row>
    <row r="20833">
      <c r="B20833" s="7" t="n">
        <v>20831</v>
      </c>
      <c r="C20833" t="inlineStr">
        <is>
          <t>TRƯỞNG PHÒNG KỸ THUẬT</t>
        </is>
      </c>
      <c r="D20833" t="inlineStr">
        <is>
          <t>CÔNG TY CỔ PHẦN INFIPOWER</t>
        </is>
      </c>
      <c r="E20833" t="inlineStr">
        <is>
          <t>Lương:22 Tr - 25 Tr VND</t>
        </is>
      </c>
      <c r="F20833" t="inlineStr">
        <is>
          <t>Hồ Chí Minh</t>
        </is>
      </c>
      <c r="G20833" t="inlineStr">
        <is>
          <t>5</t>
        </is>
      </c>
      <c r="H20833" t="inlineStr">
        <is>
          <t>22/03/2026</t>
        </is>
      </c>
      <c r="I20833" t="inlineStr">
        <is>
          <t>17/03/2026</t>
        </is>
      </c>
      <c r="J20833" t="inlineStr">
        <is>
          <t>Quản lý điều hành, Điện / Điện tử / Điện lạnh / Điện công nghiệp, Bảo trì / Sửa chữa</t>
        </is>
      </c>
      <c r="K20833" t="inlineStr">
        <is>
          <t>3 - 5 Năm</t>
        </is>
      </c>
      <c r="L20833" s="8">
        <f>HYPERLINK("https://careerviet.vn/vi/tim-viec-lam/truong-phong-ky-thuat.35C63824.html","Xem chi tiết")</f>
        <v/>
      </c>
    </row>
    <row r="20834">
      <c r="B20834" s="9" t="n">
        <v>20832</v>
      </c>
      <c r="C20834" s="10" t="inlineStr">
        <is>
          <t>Senior Video Editor</t>
        </is>
      </c>
      <c r="D20834" s="10" t="inlineStr">
        <is>
          <t>CITIGYM</t>
        </is>
      </c>
      <c r="E20834" s="10" t="inlineStr">
        <is>
          <t>Lương:15 Tr - 25 Tr VND</t>
        </is>
      </c>
      <c r="F20834" s="10" t="inlineStr">
        <is>
          <t>Hồ Chí Minh</t>
        </is>
      </c>
      <c r="G20834" s="10" t="inlineStr">
        <is>
          <t>5</t>
        </is>
      </c>
      <c r="H20834" s="10" t="inlineStr">
        <is>
          <t>22/03/2026</t>
        </is>
      </c>
      <c r="I20834" s="10" t="inlineStr">
        <is>
          <t>17/03/2026</t>
        </is>
      </c>
      <c r="J20834" s="10" t="inlineStr">
        <is>
          <t>Tiếp thị / Marketing, Mỹ thuật / Nghệ thuật / Thiết kế</t>
        </is>
      </c>
      <c r="K20834" s="10" t="inlineStr">
        <is>
          <t>3 - 5 Năm</t>
        </is>
      </c>
      <c r="L20834" s="11">
        <f>HYPERLINK("https://careerviet.vn/vi/tim-viec-lam/senior-video-editor.35C66429.html","Xem chi tiết")</f>
        <v/>
      </c>
      <c r="M20834" s="10" t="n"/>
    </row>
    <row r="20835">
      <c r="B20835" s="7" t="n">
        <v>20833</v>
      </c>
      <c r="C20835" t="inlineStr">
        <is>
          <t>NHÂN VIÊN SALES ADMIN</t>
        </is>
      </c>
      <c r="D20835" t="inlineStr">
        <is>
          <t>nanoHome</t>
        </is>
      </c>
      <c r="E20835" t="inlineStr">
        <is>
          <t>Lương:8 Tr - 12 Tr VND</t>
        </is>
      </c>
      <c r="F20835" t="inlineStr">
        <is>
          <t>Hồ Chí Minh</t>
        </is>
      </c>
      <c r="G20835" t="inlineStr">
        <is>
          <t>5</t>
        </is>
      </c>
      <c r="H20835" t="inlineStr">
        <is>
          <t>22/03/2026</t>
        </is>
      </c>
      <c r="I20835" t="inlineStr">
        <is>
          <t>17/03/2026</t>
        </is>
      </c>
      <c r="J20835" t="inlineStr">
        <is>
          <t>Bán lẻ / Bán sỉ, Bán hàng / Kinh doanh, Hành chính / Thư ký</t>
        </is>
      </c>
      <c r="K20835" t="inlineStr">
        <is>
          <t>1 - 5 Năm</t>
        </is>
      </c>
      <c r="L20835" s="8">
        <f>HYPERLINK("https://careerviet.vn/vi/tim-viec-lam/nhan-vien-sales-admin.35C663A2.html","Xem chi tiết")</f>
        <v/>
      </c>
    </row>
    <row r="20836">
      <c r="B20836" s="9" t="n">
        <v>20834</v>
      </c>
      <c r="C20836" s="10" t="inlineStr">
        <is>
          <t>CHUYÊN VIÊN SỰ VỤ</t>
        </is>
      </c>
      <c r="D20836" s="10" t="inlineStr">
        <is>
          <t>CÔNG TY TNHH YIMI J&amp;T CARGO TRANSPORTATION</t>
        </is>
      </c>
      <c r="E20836" s="10" t="inlineStr">
        <is>
          <t>Lương:15 Tr - 20 Tr VND</t>
        </is>
      </c>
      <c r="F20836" s="10" t="inlineStr">
        <is>
          <t>Hồ Chí Minh</t>
        </is>
      </c>
      <c r="G20836" s="10" t="inlineStr">
        <is>
          <t>5</t>
        </is>
      </c>
      <c r="H20836" s="10" t="inlineStr">
        <is>
          <t>22/03/2026</t>
        </is>
      </c>
      <c r="I20836" s="10" t="inlineStr">
        <is>
          <t>17/03/2026</t>
        </is>
      </c>
      <c r="J20836" s="10" t="inlineStr">
        <is>
          <t>Hành chính / Thư ký</t>
        </is>
      </c>
      <c r="K20836" s="10" t="inlineStr">
        <is>
          <t>1 - 2 Năm</t>
        </is>
      </c>
      <c r="L20836" s="11">
        <f>HYPERLINK("https://careerviet.vn/vi/tim-viec-lam/chuyen-vien-su-vu.35C662D6.html","Xem chi tiết")</f>
        <v/>
      </c>
      <c r="M20836" s="10" t="n"/>
    </row>
    <row r="20837">
      <c r="B20837" s="7" t="n">
        <v>20835</v>
      </c>
      <c r="C20837" t="inlineStr">
        <is>
          <t>Video Editor</t>
        </is>
      </c>
      <c r="D20837" t="inlineStr">
        <is>
          <t>Tập Đoàn Karofi Holding</t>
        </is>
      </c>
      <c r="E20837" t="inlineStr">
        <is>
          <t>Lương:15 Tr - 18 Tr VND</t>
        </is>
      </c>
      <c r="F20837" t="inlineStr">
        <is>
          <t>Hà Nội</t>
        </is>
      </c>
      <c r="G20837" t="inlineStr">
        <is>
          <t>5</t>
        </is>
      </c>
      <c r="H20837" t="inlineStr">
        <is>
          <t>22/03/2026</t>
        </is>
      </c>
      <c r="I20837" t="inlineStr">
        <is>
          <t>17/03/2026</t>
        </is>
      </c>
      <c r="J20837" t="inlineStr">
        <is>
          <t>Mỹ thuật / Nghệ thuật / Thiết kế, Quảng cáo / Đối ngoại / Truyền Thông</t>
        </is>
      </c>
      <c r="K20837" t="inlineStr">
        <is>
          <t>Trên 2 Năm</t>
        </is>
      </c>
      <c r="L20837" s="8">
        <f>HYPERLINK("https://careerviet.vn/vi/tim-viec-lam/video-editor.35C638A2.html","Xem chi tiết")</f>
        <v/>
      </c>
    </row>
    <row r="20838">
      <c r="B20838" s="9" t="n">
        <v>20836</v>
      </c>
      <c r="C20838" s="10" t="inlineStr">
        <is>
          <t>SƠN HÀ NGHỆ AN - TUYỂN KẾ TOÁN CHI NHÁNH DIỄN CHÂU</t>
        </is>
      </c>
      <c r="D20838" s="10" t="inlineStr">
        <is>
          <t>Công Ty Cổ Phần Quốc Tế Sơn Hà</t>
        </is>
      </c>
      <c r="E20838" s="10" t="inlineStr">
        <is>
          <t>Lương:7 Tr - 9 Tr VND</t>
        </is>
      </c>
      <c r="F20838" s="10" t="inlineStr">
        <is>
          <t>Nghệ An</t>
        </is>
      </c>
      <c r="G20838" s="10" t="inlineStr">
        <is>
          <t>5</t>
        </is>
      </c>
      <c r="H20838" s="10" t="inlineStr">
        <is>
          <t>22/03/2026</t>
        </is>
      </c>
      <c r="I20838" s="10" t="inlineStr">
        <is>
          <t>17/03/2026</t>
        </is>
      </c>
      <c r="J20838" s="10" t="inlineStr">
        <is>
          <t>Kế toán / Kiểm toán</t>
        </is>
      </c>
      <c r="K20838" s="10" t="inlineStr">
        <is>
          <t>1 - 2 Năm</t>
        </is>
      </c>
      <c r="L20838" s="11">
        <f>HYPERLINK("https://careerviet.vn/vi/tim-viec-lam/son-ha-nghe-an-tuyen-ke-toan-chi-nhanh-dien-chau.35C6379A.html","Xem chi tiết")</f>
        <v/>
      </c>
      <c r="M20838" s="10" t="n"/>
    </row>
    <row r="20839">
      <c r="B20839" s="7" t="n">
        <v>20837</v>
      </c>
      <c r="C20839" t="inlineStr">
        <is>
          <t>Kế Toán Tổng Hợp</t>
        </is>
      </c>
      <c r="D20839" t="inlineStr">
        <is>
          <t>Công ty Cổ Phần Tập Đoàn Điện Quang</t>
        </is>
      </c>
      <c r="E20839" t="inlineStr">
        <is>
          <t>Lương:Cạnh tranh</t>
        </is>
      </c>
      <c r="F20839" t="inlineStr">
        <is>
          <t>Hồ Chí Minh</t>
        </is>
      </c>
      <c r="G20839" t="inlineStr">
        <is>
          <t>5</t>
        </is>
      </c>
      <c r="H20839" t="inlineStr">
        <is>
          <t>22/03/2026</t>
        </is>
      </c>
      <c r="I20839" t="inlineStr">
        <is>
          <t>17/03/2026</t>
        </is>
      </c>
      <c r="J20839" t="inlineStr">
        <is>
          <t>Kế toán / Kiểm toán, Tài chính / Đầu tư</t>
        </is>
      </c>
      <c r="K20839" t="inlineStr">
        <is>
          <t>Trên 3 Năm</t>
        </is>
      </c>
      <c r="L20839" s="8">
        <f>HYPERLINK("https://careerviet.vn/vi/tim-viec-lam/ke-toan-tong-hop.35C66318.html","Xem chi tiết")</f>
        <v/>
      </c>
    </row>
    <row r="20840">
      <c r="B20840" s="9" t="n">
        <v>20838</v>
      </c>
      <c r="C20840" s="10" t="inlineStr">
        <is>
          <t>Trưởng phòng Xử lý nợ pháp lý KHCN Miền Bắc</t>
        </is>
      </c>
      <c r="D20840" s="10" t="inlineStr">
        <is>
          <t>Ngân Hàng TMCP Việt Nam Thịnh Vượng - VPBANK</t>
        </is>
      </c>
      <c r="E20840" s="10" t="inlineStr">
        <is>
          <t>Lương:40 Tr - 60 Tr VND</t>
        </is>
      </c>
      <c r="F20840" s="10" t="inlineStr">
        <is>
          <t>Hà NộiThanh HóaNghệ An</t>
        </is>
      </c>
      <c r="G20840" s="10" t="inlineStr">
        <is>
          <t>5</t>
        </is>
      </c>
      <c r="H20840" s="10" t="inlineStr">
        <is>
          <t>22/03/2026</t>
        </is>
      </c>
      <c r="I20840" s="10" t="inlineStr">
        <is>
          <t>17/03/2026</t>
        </is>
      </c>
      <c r="J20840" s="10" t="inlineStr">
        <is>
          <t>Luật / Pháp lý, Ngân hàng, Tài chính / Đầu tư</t>
        </is>
      </c>
      <c r="K20840" s="10" t="inlineStr">
        <is>
          <t>5 - 10 Năm</t>
        </is>
      </c>
      <c r="L20840" s="11">
        <f>HYPERLINK("https://careerviet.vn/vi/tim-viec-lam/truong-phong-xu-ly-no-phap-ly-khcn-mien-bac.35C66430.html","Xem chi tiết")</f>
        <v/>
      </c>
      <c r="M20840" s="10" t="n"/>
    </row>
    <row r="20841">
      <c r="B20841" s="7" t="n">
        <v>20839</v>
      </c>
      <c r="C20841" t="inlineStr">
        <is>
          <t>Chuyên Gia Thủ Tục Pháp Lý Dự Án</t>
        </is>
      </c>
      <c r="D20841" t="inlineStr">
        <is>
          <t>Công Ty Cổ Phần Tập Đoàn Đầu Tư Địa Ốc No Va</t>
        </is>
      </c>
      <c r="E20841" t="inlineStr">
        <is>
          <t>Lương:Cạnh tranh</t>
        </is>
      </c>
      <c r="F20841" t="inlineStr">
        <is>
          <t>Khánh Hòa</t>
        </is>
      </c>
      <c r="G20841" t="inlineStr">
        <is>
          <t>5</t>
        </is>
      </c>
      <c r="H20841" t="inlineStr">
        <is>
          <t>22/03/2026</t>
        </is>
      </c>
      <c r="I20841" t="inlineStr">
        <is>
          <t>17/03/2026</t>
        </is>
      </c>
      <c r="J20841" t="inlineStr">
        <is>
          <t>Bất động sản</t>
        </is>
      </c>
      <c r="K20841" t="inlineStr">
        <is>
          <t>3 - 5 Năm</t>
        </is>
      </c>
      <c r="L20841" s="8">
        <f>HYPERLINK("https://careerviet.vn/vi/tim-viec-lam/chuyen-gia-thu-tuc-phap-ly-du-an.35C6639E.html","Xem chi tiết")</f>
        <v/>
      </c>
    </row>
    <row r="20842">
      <c r="B20842" s="9" t="n">
        <v>20840</v>
      </c>
      <c r="C20842" s="10" t="inlineStr">
        <is>
          <t>NHÂN VIÊN VĂN PHÒNG BIẾT TIẾNG ANH HOẶC TIẾNG TRUNG</t>
        </is>
      </c>
      <c r="D20842" s="10" t="inlineStr">
        <is>
          <t>CÔNG TY TNHH POUYUEN VIỆT NAM</t>
        </is>
      </c>
      <c r="E20842" s="10" t="inlineStr">
        <is>
          <t>Lương:8 Tr - 15 Tr VND</t>
        </is>
      </c>
      <c r="F20842" s="10" t="inlineStr">
        <is>
          <t>Hồ Chí Minh</t>
        </is>
      </c>
      <c r="G20842" s="10" t="inlineStr">
        <is>
          <t>5</t>
        </is>
      </c>
      <c r="H20842" s="10" t="inlineStr">
        <is>
          <t>22/03/2026</t>
        </is>
      </c>
      <c r="I20842" s="10" t="inlineStr">
        <is>
          <t>17/03/2026</t>
        </is>
      </c>
      <c r="J20842" s="10" t="inlineStr">
        <is>
          <t>Dịch vụ khách hàng, Biên phiên dịch, Dệt may / Da giày / Thời trang</t>
        </is>
      </c>
      <c r="K20842" s="10" t="inlineStr">
        <is>
          <t>N/A</t>
        </is>
      </c>
      <c r="L20842" s="11">
        <f>HYPERLINK("https://careerviet.vn/vi/tim-viec-lam/nhan-vien-van-phong-biet-tieng-anh-hoac-tieng-trung.35C637D5.html","Xem chi tiết")</f>
        <v/>
      </c>
      <c r="M20842" s="10" t="n"/>
    </row>
    <row r="20843">
      <c r="B20843" s="7" t="n">
        <v>20841</v>
      </c>
      <c r="C20843" t="inlineStr">
        <is>
          <t>[Lạng Sơn] CV/CVC/GĐ Quan hệ KHCN Priority</t>
        </is>
      </c>
      <c r="D20843" t="inlineStr">
        <is>
          <t>Ngân hàng TMCP Lộc Phát Việt Nam (LPBank)</t>
        </is>
      </c>
      <c r="E20843" t="inlineStr">
        <is>
          <t>Lương:Cạnh tranh</t>
        </is>
      </c>
      <c r="F20843" t="inlineStr">
        <is>
          <t>Lạng Sơn</t>
        </is>
      </c>
      <c r="G20843" t="inlineStr">
        <is>
          <t>5</t>
        </is>
      </c>
      <c r="H20843" t="inlineStr">
        <is>
          <t>22/03/2026</t>
        </is>
      </c>
      <c r="I20843" t="inlineStr">
        <is>
          <t>17/03/2026</t>
        </is>
      </c>
      <c r="J20843" t="inlineStr">
        <is>
          <t>Bán hàng / Kinh doanh, Bất động sản, Bảo hiểm</t>
        </is>
      </c>
      <c r="K20843" t="inlineStr">
        <is>
          <t>Trên 1 Năm</t>
        </is>
      </c>
      <c r="L20843" s="8">
        <f>HYPERLINK("https://careerviet.vn/vi/tim-viec-lam/lang-son-cv-cvc-gd-quan-he-khcn-priority.35C6379F.html","Xem chi tiết")</f>
        <v/>
      </c>
    </row>
    <row r="20844">
      <c r="B20844" s="9" t="n">
        <v>20842</v>
      </c>
      <c r="C20844" s="10" t="inlineStr">
        <is>
          <t>IT phát triển phần mềm</t>
        </is>
      </c>
      <c r="D20844" s="10" t="inlineStr">
        <is>
          <t>Công Ty Cổ Phần Dịch Vụ Suất Ăn Công Nghiệp An Phát</t>
        </is>
      </c>
      <c r="E20844" s="10" t="inlineStr">
        <is>
          <t>Lương:13 Tr - 15 Tr VND</t>
        </is>
      </c>
      <c r="F20844" s="10" t="inlineStr">
        <is>
          <t>Hải Dương</t>
        </is>
      </c>
      <c r="G20844" s="10" t="inlineStr">
        <is>
          <t>5</t>
        </is>
      </c>
      <c r="H20844" s="10" t="inlineStr">
        <is>
          <t>22/03/2026</t>
        </is>
      </c>
      <c r="I20844" s="10" t="inlineStr">
        <is>
          <t>17/03/2026</t>
        </is>
      </c>
      <c r="J20844" s="10" t="inlineStr">
        <is>
          <t>CNTT - Phần mềm</t>
        </is>
      </c>
      <c r="K20844" s="10" t="inlineStr">
        <is>
          <t>N/A</t>
        </is>
      </c>
      <c r="L20844" s="11">
        <f>HYPERLINK("https://careerviet.vn/vi/tim-viec-lam/it-phat-trien-phan-mem.35C66404.html","Xem chi tiết")</f>
        <v/>
      </c>
      <c r="M20844" s="10" t="n"/>
    </row>
    <row r="20845">
      <c r="B20845" s="7" t="n">
        <v>20843</v>
      </c>
      <c r="C20845" t="inlineStr">
        <is>
          <t>Kiến trúc sư</t>
        </is>
      </c>
      <c r="D20845" t="inlineStr">
        <is>
          <t>CHI NHÁNH TỔNG CÔNG TY TƯ VẤN XÂY DỰNG VIỆT NAM - CTCP</t>
        </is>
      </c>
      <c r="E20845" t="inlineStr">
        <is>
          <t>Lương:12 Tr - 20 Tr VND</t>
        </is>
      </c>
      <c r="F20845" t="inlineStr">
        <is>
          <t>Hồ Chí Minh</t>
        </is>
      </c>
      <c r="G20845" t="inlineStr">
        <is>
          <t>4</t>
        </is>
      </c>
      <c r="H20845" t="inlineStr">
        <is>
          <t>21/03/2026</t>
        </is>
      </c>
      <c r="I20845" t="inlineStr">
        <is>
          <t>17/03/2026</t>
        </is>
      </c>
      <c r="J20845" t="inlineStr">
        <is>
          <t>Kiến trúc, Xây dựng, Mỹ thuật / Nghệ thuật / Thiết kế</t>
        </is>
      </c>
      <c r="K20845" t="inlineStr">
        <is>
          <t>3 - 6 Năm</t>
        </is>
      </c>
      <c r="L20845" s="8">
        <f>HYPERLINK("https://careerviet.vn/vi/tim-viec-lam/kien-truc-su.35C66209.html","Xem chi tiết")</f>
        <v/>
      </c>
    </row>
    <row r="20846">
      <c r="B20846" s="9" t="n">
        <v>20844</v>
      </c>
      <c r="C20846" s="10" t="inlineStr">
        <is>
          <t>Merchandiser of Home Appliance Production 家電製品の生産調達担当</t>
        </is>
      </c>
      <c r="D20846" s="10" t="inlineStr">
        <is>
          <t>MUJI GLOBAL SOURCING VIETNAM CO.,LTD</t>
        </is>
      </c>
      <c r="E20846" s="10" t="inlineStr">
        <is>
          <t>Lương:2.000 - 6.000 USD</t>
        </is>
      </c>
      <c r="F20846" s="10" t="inlineStr">
        <is>
          <t>Hồ Chí Minh</t>
        </is>
      </c>
      <c r="G20846" s="10" t="inlineStr">
        <is>
          <t>5</t>
        </is>
      </c>
      <c r="H20846" s="10" t="inlineStr">
        <is>
          <t>22/03/2026</t>
        </is>
      </c>
      <c r="I20846" s="10" t="inlineStr">
        <is>
          <t>17/03/2026</t>
        </is>
      </c>
      <c r="J20846" s="10" t="inlineStr">
        <is>
          <t>Hàng gia dụng / Chăm sóc cá nhân, Điện / Điện tử / Điện lạnh / Điện công nghiệp, Sản xuất / Vận hành sản xuất</t>
        </is>
      </c>
      <c r="K20846" s="10" t="inlineStr">
        <is>
          <t>N/A</t>
        </is>
      </c>
      <c r="L20846" s="11">
        <f>HYPERLINK("https://careerviet.vn/vi/tim-viec-lam/merchandiser-of-home-appliance-production.35C63774.html","Xem chi tiết")</f>
        <v/>
      </c>
      <c r="M20846" s="10" t="n"/>
    </row>
    <row r="20847">
      <c r="B20847" s="7" t="n">
        <v>20845</v>
      </c>
      <c r="C20847" t="inlineStr">
        <is>
          <t>Nhân Viên Lễ Tân Bệnh viện</t>
        </is>
      </c>
      <c r="D20847" t="inlineStr">
        <is>
          <t>TẬP ĐOÀN Y TẾ VIỆT - NGA</t>
        </is>
      </c>
      <c r="E20847" t="inlineStr">
        <is>
          <t>Lương:7 Tr - 8 Tr VND</t>
        </is>
      </c>
      <c r="F20847" t="inlineStr">
        <is>
          <t>Hà Nội</t>
        </is>
      </c>
      <c r="G20847" t="inlineStr">
        <is>
          <t>5</t>
        </is>
      </c>
      <c r="H20847" t="inlineStr">
        <is>
          <t>22/03/2026</t>
        </is>
      </c>
      <c r="I20847" t="inlineStr">
        <is>
          <t>17/03/2026</t>
        </is>
      </c>
      <c r="J20847" t="inlineStr">
        <is>
          <t>Tư vấn, Hành chính / Thư ký, Y tế / Chăm sóc sức khỏe / Thẩm mỹ / Làm đẹp</t>
        </is>
      </c>
      <c r="K20847" t="inlineStr">
        <is>
          <t>N/A</t>
        </is>
      </c>
      <c r="L20847" s="8">
        <f>HYPERLINK("https://careerviet.vn/vi/tim-viec-lam/nhan-vien-le-tan-benh-vien.35C63859.html","Xem chi tiết")</f>
        <v/>
      </c>
    </row>
    <row r="20848">
      <c r="B20848" s="9" t="n">
        <v>20846</v>
      </c>
      <c r="C20848" s="10" t="inlineStr">
        <is>
          <t>Kế Toán Thuế</t>
        </is>
      </c>
      <c r="D20848" s="10" t="inlineStr">
        <is>
          <t>TẬP ĐOÀN Y TẾ VIỆT - NGA</t>
        </is>
      </c>
      <c r="E20848" s="10" t="inlineStr">
        <is>
          <t>Lương:Cạnh tranh</t>
        </is>
      </c>
      <c r="F20848" s="10" t="inlineStr">
        <is>
          <t>Hà Nội</t>
        </is>
      </c>
      <c r="G20848" s="10" t="inlineStr">
        <is>
          <t>5</t>
        </is>
      </c>
      <c r="H20848" s="10" t="inlineStr">
        <is>
          <t>22/03/2026</t>
        </is>
      </c>
      <c r="I20848" s="10" t="inlineStr">
        <is>
          <t>17/03/2026</t>
        </is>
      </c>
      <c r="J20848" s="10" t="inlineStr">
        <is>
          <t>Kế toán / Kiểm toán, Ngân hàng, Tài chính / Đầu tư</t>
        </is>
      </c>
      <c r="K20848" s="10" t="inlineStr">
        <is>
          <t>3 - 5 Năm</t>
        </is>
      </c>
      <c r="L20848" s="11">
        <f>HYPERLINK("https://careerviet.vn/vi/tim-viec-lam/ke-toan-thue.35C63865.html","Xem chi tiết")</f>
        <v/>
      </c>
      <c r="M20848" s="10" t="n"/>
    </row>
    <row r="20849">
      <c r="B20849" s="7" t="n">
        <v>20847</v>
      </c>
      <c r="C20849" t="inlineStr">
        <is>
          <t>THỦ KHO</t>
        </is>
      </c>
      <c r="D20849" t="inlineStr">
        <is>
          <t>CÔNG TY CỔ PHẦN GENTA THỤY SĨ</t>
        </is>
      </c>
      <c r="E20849" t="inlineStr">
        <is>
          <t>Lương:10 Tr - 15 Tr VND</t>
        </is>
      </c>
      <c r="F20849" t="inlineStr">
        <is>
          <t>Long An</t>
        </is>
      </c>
      <c r="G20849" t="inlineStr">
        <is>
          <t>30-04-2026</t>
        </is>
      </c>
      <c r="H20849" t="inlineStr">
        <is>
          <t>30/04/2026</t>
        </is>
      </c>
      <c r="I20849" t="inlineStr">
        <is>
          <t>17/03/2026</t>
        </is>
      </c>
      <c r="J20849" t="inlineStr">
        <is>
          <t>Vận chuyển / Giao nhận / Kho vận, Công nghệ sinh học, Sản xuất / Vận hành sản xuất</t>
        </is>
      </c>
      <c r="K20849" t="inlineStr">
        <is>
          <t>1 - 15 Năm</t>
        </is>
      </c>
      <c r="L20849" s="8">
        <f>HYPERLINK("https://careerviet.vn/vi/tim-viec-lam/thu-kho.35C636EF.html","Xem chi tiết")</f>
        <v/>
      </c>
    </row>
    <row r="20850">
      <c r="B20850" s="9" t="n">
        <v>20848</v>
      </c>
      <c r="C20850" s="10" t="inlineStr">
        <is>
          <t>CHUYÊN VIÊN HỖ TRỢ MẠNG LƯỚI</t>
        </is>
      </c>
      <c r="D20850" s="10" t="inlineStr">
        <is>
          <t>CÔNG TY TNHH YIMI J&amp;T CARGO TRANSPORTATION</t>
        </is>
      </c>
      <c r="E20850" s="10" t="inlineStr">
        <is>
          <t>Lương:15 Tr - 20 Tr VND</t>
        </is>
      </c>
      <c r="F20850" s="10" t="inlineStr">
        <is>
          <t>Hồ Chí Minh</t>
        </is>
      </c>
      <c r="G20850" s="10" t="inlineStr">
        <is>
          <t>4</t>
        </is>
      </c>
      <c r="H20850" s="10" t="inlineStr">
        <is>
          <t>21/03/2026</t>
        </is>
      </c>
      <c r="I20850" s="10" t="inlineStr">
        <is>
          <t>17/03/2026</t>
        </is>
      </c>
      <c r="J20850" s="10" t="inlineStr">
        <is>
          <t>Vận chuyển / Giao nhận / Kho vận</t>
        </is>
      </c>
      <c r="K20850" s="10" t="inlineStr">
        <is>
          <t>1 - 3 Năm</t>
        </is>
      </c>
      <c r="L20850" s="11">
        <f>HYPERLINK("https://careerviet.vn/vi/tim-viec-lam/chuyen-vien-ho-tro-mang-luoi.35C661B3.html","Xem chi tiết")</f>
        <v/>
      </c>
      <c r="M20850" s="10" t="n"/>
    </row>
    <row r="20851">
      <c r="B20851" s="7" t="n">
        <v>20849</v>
      </c>
      <c r="C20851" t="inlineStr">
        <is>
          <t>Chuyên Viên Kế Hoạch Tổng Hợp</t>
        </is>
      </c>
      <c r="D20851" t="inlineStr">
        <is>
          <t>TẬP ĐOÀN Y TẾ VIỆT - NGA</t>
        </is>
      </c>
      <c r="E20851" t="inlineStr">
        <is>
          <t>Lương:10 Tr - 15 Tr VND</t>
        </is>
      </c>
      <c r="F20851" t="inlineStr">
        <is>
          <t>Hà Nội</t>
        </is>
      </c>
      <c r="G20851" t="inlineStr">
        <is>
          <t>5</t>
        </is>
      </c>
      <c r="H20851" t="inlineStr">
        <is>
          <t>22/03/2026</t>
        </is>
      </c>
      <c r="I20851" t="inlineStr">
        <is>
          <t>17/03/2026</t>
        </is>
      </c>
      <c r="J20851" t="inlineStr">
        <is>
          <t>Hành chính / Thư ký, Nhân sự, Y tế / Chăm sóc sức khỏe / Thẩm mỹ / Làm đẹp</t>
        </is>
      </c>
      <c r="K20851" t="inlineStr">
        <is>
          <t>Trên 2 Năm</t>
        </is>
      </c>
      <c r="L20851" s="8">
        <f>HYPERLINK("https://careerviet.vn/vi/tim-viec-lam/chuyen-vien-ke-hoach-tong-hop.35C6385E.html","Xem chi tiết")</f>
        <v/>
      </c>
    </row>
    <row r="20852">
      <c r="B20852" s="9" t="n">
        <v>20850</v>
      </c>
      <c r="C20852" s="10" t="inlineStr">
        <is>
          <t>[Hà Nội] Chuyên Viên Thiết Kế</t>
        </is>
      </c>
      <c r="D20852" s="10" t="inlineStr">
        <is>
          <t>Tập Đoàn Tân Á Đại Thành</t>
        </is>
      </c>
      <c r="E20852" s="10" t="inlineStr">
        <is>
          <t>Lương:15 Tr - 18 Tr VND</t>
        </is>
      </c>
      <c r="F20852" s="10" t="inlineStr">
        <is>
          <t>Hà Nội</t>
        </is>
      </c>
      <c r="G20852" s="10" t="inlineStr">
        <is>
          <t>4</t>
        </is>
      </c>
      <c r="H20852" s="10" t="inlineStr">
        <is>
          <t>21/03/2026</t>
        </is>
      </c>
      <c r="I20852" s="10" t="inlineStr">
        <is>
          <t>17/03/2026</t>
        </is>
      </c>
      <c r="J20852" s="10" t="inlineStr">
        <is>
          <t>Tiếp thị / Marketing</t>
        </is>
      </c>
      <c r="K20852" s="10" t="inlineStr">
        <is>
          <t>2 - 4 Năm</t>
        </is>
      </c>
      <c r="L20852" s="11">
        <f>HYPERLINK("https://careerviet.vn/vi/tim-viec-lam/ha-noi-chuyen-vien-thiet-ke.35C660CC.html","Xem chi tiết")</f>
        <v/>
      </c>
      <c r="M20852" s="10" t="n"/>
    </row>
    <row r="20853">
      <c r="B20853" s="7" t="n">
        <v>20851</v>
      </c>
      <c r="C20853" t="inlineStr">
        <is>
          <t>Chemical Engineering (Footwear) (A. Manager/ Manager)</t>
        </is>
      </c>
      <c r="D20853" t="inlineStr">
        <is>
          <t>CÔNG TY TNHH HWASEUNG VINA</t>
        </is>
      </c>
      <c r="E20853" t="inlineStr">
        <is>
          <t>Lương:Cạnh tranh</t>
        </is>
      </c>
      <c r="F20853" t="inlineStr">
        <is>
          <t>Đồng NaiHồ Chí Minh</t>
        </is>
      </c>
      <c r="G20853" t="inlineStr">
        <is>
          <t>4</t>
        </is>
      </c>
      <c r="H20853" t="inlineStr">
        <is>
          <t>21/03/2026</t>
        </is>
      </c>
      <c r="I20853" t="inlineStr">
        <is>
          <t>17/03/2026</t>
        </is>
      </c>
      <c r="J20853" t="inlineStr">
        <is>
          <t>Hóa học, Dệt may / Da giày / Thời trang, Quản lý chất lượng (QA/QC)</t>
        </is>
      </c>
      <c r="K20853" t="inlineStr">
        <is>
          <t>5 - 15 Năm</t>
        </is>
      </c>
      <c r="L20853" s="8">
        <f>HYPERLINK("https://careerviet.vn/vi/tim-viec-lam/chemical-engineering-footwear-a-manager-manager.35C66177.html","Xem chi tiết")</f>
        <v/>
      </c>
    </row>
    <row r="20854">
      <c r="B20854" s="9" t="n">
        <v>20852</v>
      </c>
      <c r="C20854" s="10" t="inlineStr">
        <is>
          <t>Import/Export Supervisor</t>
        </is>
      </c>
      <c r="D20854" s="10" t="inlineStr">
        <is>
          <t>Công Ty TNHH Okia Optical Việt Nam</t>
        </is>
      </c>
      <c r="E20854" s="10" t="inlineStr">
        <is>
          <t>Lương:Cạnh tranh</t>
        </is>
      </c>
      <c r="F20854" s="10" t="inlineStr">
        <is>
          <t>Long An</t>
        </is>
      </c>
      <c r="G20854" s="10" t="inlineStr">
        <is>
          <t>5</t>
        </is>
      </c>
      <c r="H20854" s="10" t="inlineStr">
        <is>
          <t>22/03/2026</t>
        </is>
      </c>
      <c r="I20854" s="10" t="inlineStr">
        <is>
          <t>17/03/2026</t>
        </is>
      </c>
      <c r="J20854" s="10" t="inlineStr">
        <is>
          <t>Xuất nhập khẩu</t>
        </is>
      </c>
      <c r="K20854" s="10" t="inlineStr">
        <is>
          <t>3 - 5 Năm</t>
        </is>
      </c>
      <c r="L20854" s="11">
        <f>HYPERLINK("https://careerviet.vn/vi/tim-viec-lam/import-export-supervisor.35C66369.html","Xem chi tiết")</f>
        <v/>
      </c>
      <c r="M20854" s="10" t="n"/>
    </row>
    <row r="20855">
      <c r="B20855" s="7" t="n">
        <v>20853</v>
      </c>
      <c r="C20855" t="inlineStr">
        <is>
          <t>Quản lý Kinh doanh Toàn quốc (NSM)</t>
        </is>
      </c>
      <c r="D20855" t="inlineStr">
        <is>
          <t>Công ty TNHH Vạn Niên</t>
        </is>
      </c>
      <c r="E20855" t="inlineStr">
        <is>
          <t>Lương:Cạnh tranh</t>
        </is>
      </c>
      <c r="F20855" t="inlineStr">
        <is>
          <t>Hà Nội</t>
        </is>
      </c>
      <c r="G20855" t="inlineStr">
        <is>
          <t>4</t>
        </is>
      </c>
      <c r="H20855" t="inlineStr">
        <is>
          <t>21/03/2026</t>
        </is>
      </c>
      <c r="I20855" t="inlineStr">
        <is>
          <t>17/03/2026</t>
        </is>
      </c>
      <c r="J20855" t="inlineStr">
        <is>
          <t>Tiếp thị / Marketing, Y tế / Chăm sóc sức khỏe / Thẩm mỹ / Làm đẹp, Quản lý điều hành</t>
        </is>
      </c>
      <c r="K20855" t="inlineStr">
        <is>
          <t>Trên 5 Năm</t>
        </is>
      </c>
      <c r="L20855" s="8">
        <f>HYPERLINK("https://careerviet.vn/vi/tim-viec-lam/quan-ly-kinh-doanh-toan-quoc-nsm.35C660DC.html","Xem chi tiết")</f>
        <v/>
      </c>
    </row>
    <row r="20856">
      <c r="B20856" s="9" t="n">
        <v>20854</v>
      </c>
      <c r="C20856" s="10" t="inlineStr">
        <is>
          <t>Nhân viên Chăm Sóc Khách Hàng</t>
        </is>
      </c>
      <c r="D20856" s="10" t="inlineStr">
        <is>
          <t>TẬP ĐOÀN Y TẾ VIỆT - NGA</t>
        </is>
      </c>
      <c r="E20856" s="10" t="inlineStr">
        <is>
          <t>Lương:6 Tr - 15 Tr VND</t>
        </is>
      </c>
      <c r="F20856" s="10" t="inlineStr">
        <is>
          <t>Hà Nội</t>
        </is>
      </c>
      <c r="G20856" s="10" t="inlineStr">
        <is>
          <t>5</t>
        </is>
      </c>
      <c r="H20856" s="10" t="inlineStr">
        <is>
          <t>22/03/2026</t>
        </is>
      </c>
      <c r="I20856" s="10" t="inlineStr">
        <is>
          <t>17/03/2026</t>
        </is>
      </c>
      <c r="J20856" s="10" t="inlineStr">
        <is>
          <t>Y tế / Chăm sóc sức khỏe / Thẩm mỹ / Làm đẹp, Tư vấn, Dịch vụ khách hàng</t>
        </is>
      </c>
      <c r="K20856" s="10" t="inlineStr">
        <is>
          <t>1 - 3 Năm</t>
        </is>
      </c>
      <c r="L20856" s="11">
        <f>HYPERLINK("https://careerviet.vn/vi/tim-viec-lam/nhan-vien-cham-soc-khach-hang.35C63862.html","Xem chi tiết")</f>
        <v/>
      </c>
      <c r="M20856" s="10" t="n"/>
    </row>
    <row r="20857">
      <c r="B20857" s="7" t="n">
        <v>20855</v>
      </c>
      <c r="C20857" t="inlineStr">
        <is>
          <t>Internal Communications Team Leader</t>
        </is>
      </c>
      <c r="D20857" t="inlineStr">
        <is>
          <t>Công ty TNHH MTV Sen Vàng Việt Nam</t>
        </is>
      </c>
      <c r="E20857" t="inlineStr">
        <is>
          <t>Lương:20 Tr - 30 Tr VND</t>
        </is>
      </c>
      <c r="F20857" t="inlineStr">
        <is>
          <t>Hồ Chí Minh</t>
        </is>
      </c>
      <c r="G20857" t="inlineStr">
        <is>
          <t>4</t>
        </is>
      </c>
      <c r="H20857" t="inlineStr">
        <is>
          <t>21/03/2026</t>
        </is>
      </c>
      <c r="I20857" t="inlineStr">
        <is>
          <t>17/03/2026</t>
        </is>
      </c>
      <c r="J20857" t="inlineStr">
        <is>
          <t>Nhân sự, Truyền hình / Báo chí / Biên tập, Quảng cáo / Đối ngoại / Truyền Thông</t>
        </is>
      </c>
      <c r="K20857" t="inlineStr">
        <is>
          <t>5 - 8 Năm</t>
        </is>
      </c>
      <c r="L20857" s="8">
        <f>HYPERLINK("https://careerviet.vn/vi/tim-viec-lam/internal-communications-team-leader.35C66247.html","Xem chi tiết")</f>
        <v/>
      </c>
    </row>
    <row r="20858">
      <c r="B20858" s="9" t="n">
        <v>20856</v>
      </c>
      <c r="C20858" s="10" t="inlineStr">
        <is>
          <t>NHÂN VIÊN BÁN HÀNG XUẤT KHẨU</t>
        </is>
      </c>
      <c r="D20858" s="10" t="inlineStr">
        <is>
          <t>CÔNG TY CỔ PHẦN THỰC PHẨM CHOLIMEX</t>
        </is>
      </c>
      <c r="E20858" s="10" t="inlineStr">
        <is>
          <t>Lương:13 Tr - 16 Tr VND</t>
        </is>
      </c>
      <c r="F20858" s="10" t="inlineStr">
        <is>
          <t>Hồ Chí Minh</t>
        </is>
      </c>
      <c r="G20858" s="10" t="inlineStr">
        <is>
          <t>4</t>
        </is>
      </c>
      <c r="H20858" s="10" t="inlineStr">
        <is>
          <t>21/03/2026</t>
        </is>
      </c>
      <c r="I20858" s="10" t="inlineStr">
        <is>
          <t>17/03/2026</t>
        </is>
      </c>
      <c r="J20858" s="10" t="inlineStr">
        <is>
          <t>Bán hàng / Kinh doanh, Xuất nhập khẩu</t>
        </is>
      </c>
      <c r="K20858" s="10" t="inlineStr">
        <is>
          <t>1 - 3 Năm</t>
        </is>
      </c>
      <c r="L20858" s="11">
        <f>HYPERLINK("https://careerviet.vn/vi/tim-viec-lam/nhan-vien-ban-hang-xuat-khau.35C66216.html","Xem chi tiết")</f>
        <v/>
      </c>
      <c r="M20858" s="10" t="n"/>
    </row>
    <row r="20859">
      <c r="B20859" s="7" t="n">
        <v>20857</v>
      </c>
      <c r="C20859" t="inlineStr">
        <is>
          <t>PĐG - Chuyên Viên Đầu Tư</t>
        </is>
      </c>
      <c r="D20859" t="inlineStr">
        <is>
          <t>Phu Dong Group</t>
        </is>
      </c>
      <c r="E20859" t="inlineStr">
        <is>
          <t>Lương:15 Tr - 20 Tr VND</t>
        </is>
      </c>
      <c r="F20859" t="inlineStr">
        <is>
          <t>Hồ Chí Minh</t>
        </is>
      </c>
      <c r="G20859" t="inlineStr">
        <is>
          <t>4</t>
        </is>
      </c>
      <c r="H20859" t="inlineStr">
        <is>
          <t>21/03/2026</t>
        </is>
      </c>
      <c r="I20859" t="inlineStr">
        <is>
          <t>17/03/2026</t>
        </is>
      </c>
      <c r="J20859" t="inlineStr">
        <is>
          <t>Tài chính / Đầu tư, Xây dựng, Bất động sản</t>
        </is>
      </c>
      <c r="K20859" t="inlineStr">
        <is>
          <t>1 - 5 Năm</t>
        </is>
      </c>
      <c r="L20859" s="8">
        <f>HYPERLINK("https://careerviet.vn/vi/tim-viec-lam/pdg-chuyen-vien-dau-tu.35C661BC.html","Xem chi tiết")</f>
        <v/>
      </c>
    </row>
    <row r="20860">
      <c r="B20860" s="9" t="n">
        <v>20858</v>
      </c>
      <c r="C20860" s="10" t="inlineStr">
        <is>
          <t>GIÁM SÁT KINH DOANH - KÊNH GT (Ngành FMCG) - Quảng Ninh + Nghệ An</t>
        </is>
      </c>
      <c r="D20860" s="10" t="inlineStr">
        <is>
          <t>Công Ty TNHH CJ Foods Việt Nam</t>
        </is>
      </c>
      <c r="E20860" s="10" t="inlineStr">
        <is>
          <t>Lương:Cạnh tranh</t>
        </is>
      </c>
      <c r="F20860" s="10" t="inlineStr">
        <is>
          <t>Quảng Ninh</t>
        </is>
      </c>
      <c r="G20860" s="10" t="inlineStr">
        <is>
          <t>4</t>
        </is>
      </c>
      <c r="H20860" s="10" t="inlineStr">
        <is>
          <t>21/03/2026</t>
        </is>
      </c>
      <c r="I20860" s="10" t="inlineStr">
        <is>
          <t>17/03/2026</t>
        </is>
      </c>
      <c r="J20860" s="10" t="inlineStr">
        <is>
          <t>Bán lẻ / Bán sỉ, Bán hàng / Kinh doanh, Thực phẩm &amp; Đồ uống</t>
        </is>
      </c>
      <c r="K20860" s="10" t="inlineStr">
        <is>
          <t>3 - 5 Năm</t>
        </is>
      </c>
      <c r="L20860" s="11">
        <f>HYPERLINK("https://careerviet.vn/vi/tim-viec-lam/giam-sat-kinh-doanh-kenh-gt-nganh-fmcg-quang-ninh-nghe-an.35C661F0.html","Xem chi tiết")</f>
        <v/>
      </c>
      <c r="M20860" s="10" t="n"/>
    </row>
    <row r="20861">
      <c r="B20861" s="7" t="n">
        <v>20859</v>
      </c>
      <c r="C20861" t="inlineStr">
        <is>
          <t>Sales Admin</t>
        </is>
      </c>
      <c r="D20861" t="inlineStr">
        <is>
          <t>Bảo mật</t>
        </is>
      </c>
      <c r="E20861" t="inlineStr">
        <is>
          <t>Lương:11 Tr - 12,5 Tr VND</t>
        </is>
      </c>
      <c r="F20861" t="inlineStr">
        <is>
          <t>Hồ Chí Minh</t>
        </is>
      </c>
      <c r="G20861" t="inlineStr">
        <is>
          <t>4</t>
        </is>
      </c>
      <c r="H20861" t="inlineStr">
        <is>
          <t>21/03/2026</t>
        </is>
      </c>
      <c r="I20861" t="inlineStr">
        <is>
          <t>17/03/2026</t>
        </is>
      </c>
      <c r="J20861" t="inlineStr">
        <is>
          <t>Dịch vụ khách hàng, Hành chính / Thư ký</t>
        </is>
      </c>
      <c r="K20861" t="inlineStr">
        <is>
          <t>1 - 3 Năm</t>
        </is>
      </c>
      <c r="L20861" s="8">
        <f>HYPERLINK("https://careerviet.vn/vi/tim-viec-lam/sales-admin.35C661FD.html","Xem chi tiết")</f>
        <v/>
      </c>
    </row>
    <row r="20862">
      <c r="B20862" s="9" t="n">
        <v>20860</v>
      </c>
      <c r="C20862" s="10" t="inlineStr">
        <is>
          <t>Tuyển dụng Thư ký Tổng Giám đốc - Làm việc tại Hà Nội</t>
        </is>
      </c>
      <c r="D20862" s="10" t="inlineStr">
        <is>
          <t>CÔNG TY CỔ PHẦN ĐẦU TƯ VÀNG PHÚ QUÝ</t>
        </is>
      </c>
      <c r="E20862" s="10" t="inlineStr">
        <is>
          <t>Lương:10 Tr - 15 Tr VND</t>
        </is>
      </c>
      <c r="F20862" s="10" t="inlineStr">
        <is>
          <t>Hà Nội</t>
        </is>
      </c>
      <c r="G20862" s="10" t="inlineStr">
        <is>
          <t>4</t>
        </is>
      </c>
      <c r="H20862" s="10" t="inlineStr">
        <is>
          <t>21/03/2026</t>
        </is>
      </c>
      <c r="I20862" s="10" t="inlineStr">
        <is>
          <t>17/03/2026</t>
        </is>
      </c>
      <c r="J20862" s="10" t="inlineStr">
        <is>
          <t>Luật / Pháp lý, Hành chính / Thư ký</t>
        </is>
      </c>
      <c r="K20862" s="10" t="inlineStr">
        <is>
          <t>1 - 3 Năm</t>
        </is>
      </c>
      <c r="L20862" s="11">
        <f>HYPERLINK("https://careerviet.vn/vi/tim-viec-lam/tuyen-dung-thu-ky-tong-giam-doc-lam-viec-tai-ha-noi.35C660C5.html","Xem chi tiết")</f>
        <v/>
      </c>
      <c r="M20862" s="10" t="n"/>
    </row>
    <row r="20863">
      <c r="B20863" s="7" t="n">
        <v>20861</v>
      </c>
      <c r="C20863" t="inlineStr">
        <is>
          <t>Trưởng phòng Hành chính nhân sự - Xã An Phú (Thành phố Pleiku), Gia Lai</t>
        </is>
      </c>
      <c r="D20863" t="inlineStr">
        <is>
          <t>Công ty cổ phần Nafoods Group</t>
        </is>
      </c>
      <c r="E20863" t="inlineStr">
        <is>
          <t>Lương:Cạnh tranh</t>
        </is>
      </c>
      <c r="F20863" t="inlineStr">
        <is>
          <t>Gia Lai</t>
        </is>
      </c>
      <c r="G20863" t="inlineStr">
        <is>
          <t>5</t>
        </is>
      </c>
      <c r="H20863" t="inlineStr">
        <is>
          <t>22/03/2026</t>
        </is>
      </c>
      <c r="I20863" t="inlineStr">
        <is>
          <t>17/03/2026</t>
        </is>
      </c>
      <c r="J20863" t="inlineStr">
        <is>
          <t>Hành chính / Thư ký, Nhân sự, Quản lý điều hành</t>
        </is>
      </c>
      <c r="K20863" t="inlineStr">
        <is>
          <t>3 - 5 Năm</t>
        </is>
      </c>
      <c r="L20863" s="8">
        <f>HYPERLINK("https://careerviet.vn/vi/tim-viec-lam/truong-phong-hanh-chinh-nhan-su-xa-an-phu-thanh-pho-pleiku-gia-lai.35C6631F.html","Xem chi tiết")</f>
        <v/>
      </c>
    </row>
    <row r="20864">
      <c r="B20864" s="9" t="n">
        <v>20862</v>
      </c>
      <c r="C20864" s="10" t="inlineStr">
        <is>
          <t>Merchandising Manager</t>
        </is>
      </c>
      <c r="D20864" s="10" t="inlineStr">
        <is>
          <t>Công Ty TNHH Apparel Far Eastern (Việt Nam)</t>
        </is>
      </c>
      <c r="E20864" s="10" t="inlineStr">
        <is>
          <t>Lương:1.500 - 2.500 USD</t>
        </is>
      </c>
      <c r="F20864" s="10" t="inlineStr">
        <is>
          <t>Bình Dương</t>
        </is>
      </c>
      <c r="G20864" s="10" t="inlineStr">
        <is>
          <t>4</t>
        </is>
      </c>
      <c r="H20864" s="10" t="inlineStr">
        <is>
          <t>21/03/2026</t>
        </is>
      </c>
      <c r="I20864" s="10" t="inlineStr">
        <is>
          <t>17/03/2026</t>
        </is>
      </c>
      <c r="J20864" s="10" t="inlineStr">
        <is>
          <t>Dệt may / Da giày / Thời trang</t>
        </is>
      </c>
      <c r="K20864" s="10" t="inlineStr">
        <is>
          <t>5 - 10 Năm</t>
        </is>
      </c>
      <c r="L20864" s="11">
        <f>HYPERLINK("https://careerviet.vn/vi/tim-viec-lam/merchandising-manager.35C6620E.html","Xem chi tiết")</f>
        <v/>
      </c>
      <c r="M20864" s="10" t="n"/>
    </row>
    <row r="20865">
      <c r="B20865" s="7" t="n">
        <v>20863</v>
      </c>
      <c r="C20865" t="inlineStr">
        <is>
          <t>Engineering In Training  (Kỹ Sư Thực Tập)</t>
        </is>
      </c>
      <c r="D20865" t="inlineStr">
        <is>
          <t>Summit Polymers Vietnam Co Ltd.</t>
        </is>
      </c>
      <c r="E20865" t="inlineStr">
        <is>
          <t>Lương:Cạnh tranh</t>
        </is>
      </c>
      <c r="F20865" t="inlineStr">
        <is>
          <t>Đồng Nai</t>
        </is>
      </c>
      <c r="G20865" t="inlineStr">
        <is>
          <t>4</t>
        </is>
      </c>
      <c r="H20865" t="inlineStr">
        <is>
          <t>21/03/2026</t>
        </is>
      </c>
      <c r="I20865" t="inlineStr">
        <is>
          <t>17/03/2026</t>
        </is>
      </c>
      <c r="J20865" t="inlineStr">
        <is>
          <t>Cơ khí / Ô tô / Tự động hóa, Sản xuất / Vận hành sản xuất, Mới tốt nghiệp / Thực tập</t>
        </is>
      </c>
      <c r="K20865" t="inlineStr">
        <is>
          <t>N/A</t>
        </is>
      </c>
      <c r="L20865" s="8">
        <f>HYPERLINK("https://careerviet.vn/vi/tim-viec-lam/engineering-in-training-ky-su-thuc-tap.35C6621B.html","Xem chi tiết")</f>
        <v/>
      </c>
    </row>
    <row r="20866">
      <c r="B20866" s="9" t="n">
        <v>20864</v>
      </c>
      <c r="C20866" s="10" t="inlineStr">
        <is>
          <t>Nhân viên nghiên cứu thị trường</t>
        </is>
      </c>
      <c r="D20866" s="10" t="inlineStr">
        <is>
          <t>CÔNG TY TNHH UWINFLY VIETNAM INDUSTRIES</t>
        </is>
      </c>
      <c r="E20866" s="10" t="inlineStr">
        <is>
          <t>Lương:12 Tr - 22 Tr VND</t>
        </is>
      </c>
      <c r="F20866" s="10" t="inlineStr">
        <is>
          <t>Hồ Chí Minh</t>
        </is>
      </c>
      <c r="G20866" s="10" t="inlineStr">
        <is>
          <t>4</t>
        </is>
      </c>
      <c r="H20866" s="10" t="inlineStr">
        <is>
          <t>21/03/2026</t>
        </is>
      </c>
      <c r="I20866" s="10" t="inlineStr">
        <is>
          <t>17/03/2026</t>
        </is>
      </c>
      <c r="J20866" s="10" t="inlineStr">
        <is>
          <t>Tiếp thị / Marketing, Dịch vụ khách hàng, Quảng cáo / Đối ngoại / Truyền Thông</t>
        </is>
      </c>
      <c r="K20866" s="10" t="inlineStr">
        <is>
          <t>Chưa có kinh nghiệm</t>
        </is>
      </c>
      <c r="L20866" s="11">
        <f>HYPERLINK("https://careerviet.vn/vi/tim-viec-lam/nhan-vien-nghien-cuu-thi-truong.35C660BF.html","Xem chi tiết")</f>
        <v/>
      </c>
      <c r="M20866" s="10" t="n"/>
    </row>
    <row r="20867">
      <c r="B20867" s="7" t="n">
        <v>20865</v>
      </c>
      <c r="C20867" t="inlineStr">
        <is>
          <t>Kỹ sư kết cấu</t>
        </is>
      </c>
      <c r="D20867" t="inlineStr">
        <is>
          <t>CÔNG TY CỔ PHẦN ABT HOMES</t>
        </is>
      </c>
      <c r="E20867" t="inlineStr">
        <is>
          <t>Lương:20 Tr - 40 Tr VND</t>
        </is>
      </c>
      <c r="F20867" t="inlineStr">
        <is>
          <t>Hồ Chí Minh</t>
        </is>
      </c>
      <c r="G20867" t="inlineStr">
        <is>
          <t>4</t>
        </is>
      </c>
      <c r="H20867" t="inlineStr">
        <is>
          <t>21/03/2026</t>
        </is>
      </c>
      <c r="I20867" t="inlineStr">
        <is>
          <t>17/03/2026</t>
        </is>
      </c>
      <c r="J20867" t="inlineStr">
        <is>
          <t>Kiến trúc, Xây dựng, Nội ngoại thất</t>
        </is>
      </c>
      <c r="K20867" t="inlineStr">
        <is>
          <t>3 - 4 Năm</t>
        </is>
      </c>
      <c r="L20867" s="8">
        <f>HYPERLINK("https://careerviet.vn/vi/tim-viec-lam/ky-su-ket-cau.35C6625C.html","Xem chi tiết")</f>
        <v/>
      </c>
    </row>
    <row r="20868">
      <c r="B20868" s="9" t="n">
        <v>20866</v>
      </c>
      <c r="C20868" s="10" t="inlineStr">
        <is>
          <t>Quản lý Phòng Kỹ thuật</t>
        </is>
      </c>
      <c r="D20868" s="10" t="inlineStr">
        <is>
          <t>Công ty TNHH Vạn Niên</t>
        </is>
      </c>
      <c r="E20868" s="10" t="inlineStr">
        <is>
          <t>Lương:30 Tr - 50 Tr VND</t>
        </is>
      </c>
      <c r="F20868" s="10" t="inlineStr">
        <is>
          <t>Hà Nội</t>
        </is>
      </c>
      <c r="G20868" s="10" t="inlineStr">
        <is>
          <t>4</t>
        </is>
      </c>
      <c r="H20868" s="10" t="inlineStr">
        <is>
          <t>21/03/2026</t>
        </is>
      </c>
      <c r="I20868" s="10" t="inlineStr">
        <is>
          <t>17/03/2026</t>
        </is>
      </c>
      <c r="J20868" s="10" t="inlineStr">
        <is>
          <t>Bán Hàng Kỹ Thuật, Y tế / Chăm sóc sức khỏe / Thẩm mỹ / Làm đẹp, Bảo trì / Sửa chữa</t>
        </is>
      </c>
      <c r="K20868" s="10" t="inlineStr">
        <is>
          <t>Trên 5 Năm</t>
        </is>
      </c>
      <c r="L20868" s="11">
        <f>HYPERLINK("https://careerviet.vn/vi/tim-viec-lam/quan-ly-phong-ky-thuat.35C660E3.html","Xem chi tiết")</f>
        <v/>
      </c>
      <c r="M20868" s="10" t="n"/>
    </row>
    <row r="20869">
      <c r="B20869" s="7" t="n">
        <v>20867</v>
      </c>
      <c r="C20869" t="inlineStr">
        <is>
          <t>Product Specialist (Medical Devices)</t>
        </is>
      </c>
      <c r="D20869" t="inlineStr">
        <is>
          <t>Công ty TNHH Vạn Niên</t>
        </is>
      </c>
      <c r="E20869" t="inlineStr">
        <is>
          <t>Lương:15 Tr - 22 Tr VND</t>
        </is>
      </c>
      <c r="F20869" t="inlineStr">
        <is>
          <t>Hà Nội</t>
        </is>
      </c>
      <c r="G20869" t="inlineStr">
        <is>
          <t>04-04-2026</t>
        </is>
      </c>
      <c r="H20869" t="inlineStr">
        <is>
          <t>04/04/2026</t>
        </is>
      </c>
      <c r="I20869" t="inlineStr">
        <is>
          <t>17/03/2026</t>
        </is>
      </c>
      <c r="J20869" t="inlineStr">
        <is>
          <t>Công nghệ sinh học, Y tế / Chăm sóc sức khỏe / Thẩm mỹ / Làm đẹp</t>
        </is>
      </c>
      <c r="K20869" t="inlineStr">
        <is>
          <t>2 - 5 Năm</t>
        </is>
      </c>
      <c r="L20869" s="8">
        <f>HYPERLINK("https://careerviet.vn/vi/tim-viec-lam/product-specialist-medical-devices.35C660E9.html","Xem chi tiết")</f>
        <v/>
      </c>
    </row>
    <row r="20870">
      <c r="B20870" s="9" t="n">
        <v>20868</v>
      </c>
      <c r="C20870" s="10" t="inlineStr">
        <is>
          <t>Key Account Supervisor (GT &amp; MT Channel)</t>
        </is>
      </c>
      <c r="D20870" s="10" t="inlineStr">
        <is>
          <t>CÔNG TY TNHH SOCIAL BELLA VIỆT NAM</t>
        </is>
      </c>
      <c r="E20870" s="10" t="inlineStr">
        <is>
          <t>Lương:Cạnh tranh</t>
        </is>
      </c>
      <c r="F20870" s="10" t="inlineStr">
        <is>
          <t>Hà Nội</t>
        </is>
      </c>
      <c r="G20870" s="10" t="inlineStr">
        <is>
          <t>4</t>
        </is>
      </c>
      <c r="H20870" s="10" t="inlineStr">
        <is>
          <t>21/03/2026</t>
        </is>
      </c>
      <c r="I20870" s="10" t="inlineStr">
        <is>
          <t>17/03/2026</t>
        </is>
      </c>
      <c r="J20870" s="10" t="inlineStr">
        <is>
          <t>Bán lẻ / Bán sỉ, Bán hàng / Kinh doanh, Dược phẩm/ Hóa Mỹ Phẩm</t>
        </is>
      </c>
      <c r="K20870" s="10" t="inlineStr">
        <is>
          <t>Trên 2 Năm</t>
        </is>
      </c>
      <c r="L20870" s="11">
        <f>HYPERLINK("https://careerviet.vn/vi/tim-viec-lam/key-account-supervisor-gt-mt-channel.35C66183.html","Xem chi tiết")</f>
        <v/>
      </c>
      <c r="M20870" s="10" t="n"/>
    </row>
    <row r="20871">
      <c r="B20871" s="7" t="n">
        <v>20869</v>
      </c>
      <c r="C20871" t="inlineStr">
        <is>
          <t>Nhân viên kinh doanh (Thương mại điện tử)</t>
        </is>
      </c>
      <c r="D20871" t="inlineStr">
        <is>
          <t>Bitex (Nhà phân phối độc quyền máy tính Casio tại Việt Nam)</t>
        </is>
      </c>
      <c r="E20871" t="inlineStr">
        <is>
          <t>Lương:Cạnh tranh</t>
        </is>
      </c>
      <c r="F20871" t="inlineStr">
        <is>
          <t>Hồ Chí Minh</t>
        </is>
      </c>
      <c r="G20871" t="inlineStr">
        <is>
          <t>4</t>
        </is>
      </c>
      <c r="H20871" t="inlineStr">
        <is>
          <t>21/03/2026</t>
        </is>
      </c>
      <c r="I20871" t="inlineStr">
        <is>
          <t>17/03/2026</t>
        </is>
      </c>
      <c r="J20871" t="inlineStr">
        <is>
          <t>Bán hàng / Kinh doanh, Thương mại điện tử</t>
        </is>
      </c>
      <c r="K20871" t="inlineStr">
        <is>
          <t>1 - 2 Năm</t>
        </is>
      </c>
      <c r="L20871" s="8">
        <f>HYPERLINK("https://careerviet.vn/vi/tim-viec-lam/nhan-vien-kinh-doanh-thuong-mai-dien-tu.35C66103.html","Xem chi tiết")</f>
        <v/>
      </c>
    </row>
    <row r="20872">
      <c r="B20872" s="9" t="n">
        <v>20870</v>
      </c>
      <c r="C20872" s="10" t="inlineStr">
        <is>
          <t>HR-OD Specialist</t>
        </is>
      </c>
      <c r="D20872" s="10" t="inlineStr">
        <is>
          <t>Dale Carnegie Việt Nam</t>
        </is>
      </c>
      <c r="E20872" s="10" t="inlineStr">
        <is>
          <t>Lương:Cạnh tranh</t>
        </is>
      </c>
      <c r="F20872" s="10" t="inlineStr">
        <is>
          <t>Hồ Chí Minh</t>
        </is>
      </c>
      <c r="G20872" s="10" t="inlineStr">
        <is>
          <t>24-04-2026</t>
        </is>
      </c>
      <c r="H20872" s="10" t="inlineStr">
        <is>
          <t>24/04/2026</t>
        </is>
      </c>
      <c r="I20872" s="10" t="inlineStr">
        <is>
          <t>17/03/2026</t>
        </is>
      </c>
      <c r="J20872" s="10" t="inlineStr">
        <is>
          <t>Tư vấn, Giáo dục / Đào tạo, Nhân sự</t>
        </is>
      </c>
      <c r="K20872" s="10" t="inlineStr">
        <is>
          <t>1 - 3 Năm</t>
        </is>
      </c>
      <c r="L20872" s="11">
        <f>HYPERLINK("https://careerviet.vn/vi/tim-viec-lam/hr-od-specialist.35C66159.html","Xem chi tiết")</f>
        <v/>
      </c>
      <c r="M20872" s="10" t="n"/>
    </row>
    <row r="20873">
      <c r="B20873" s="7" t="n">
        <v>20871</v>
      </c>
      <c r="C20873" t="inlineStr">
        <is>
          <t>Store Manager (Cửa hàng trưởng cửa hàng thời trang)</t>
        </is>
      </c>
      <c r="D20873" t="inlineStr">
        <is>
          <t>CÔNG TY TNHH SEMIR INTERNATIONAL VIỆT NAM</t>
        </is>
      </c>
      <c r="E20873" t="inlineStr">
        <is>
          <t>Lương:Cạnh tranh</t>
        </is>
      </c>
      <c r="F20873" t="inlineStr">
        <is>
          <t>Hà Nội</t>
        </is>
      </c>
      <c r="G20873" t="inlineStr">
        <is>
          <t>4</t>
        </is>
      </c>
      <c r="H20873" t="inlineStr">
        <is>
          <t>21/03/2026</t>
        </is>
      </c>
      <c r="I20873" t="inlineStr">
        <is>
          <t>17/03/2026</t>
        </is>
      </c>
      <c r="J20873" t="inlineStr">
        <is>
          <t>Bán lẻ / Bán sỉ, Bán hàng / Kinh doanh</t>
        </is>
      </c>
      <c r="K20873" t="inlineStr">
        <is>
          <t>5 - 7 Năm</t>
        </is>
      </c>
      <c r="L20873" s="8">
        <f>HYPERLINK("https://careerviet.vn/vi/tim-viec-lam/store-manager-cua-hang-truong-cua-hang-thoi-trang.35C661DF.html","Xem chi tiết")</f>
        <v/>
      </c>
    </row>
    <row r="20874">
      <c r="B20874" s="9" t="n">
        <v>20872</v>
      </c>
      <c r="C20874" s="10" t="inlineStr">
        <is>
          <t>Nhân viên Marketing</t>
        </is>
      </c>
      <c r="D20874" s="10" t="inlineStr">
        <is>
          <t>CÔNG TY CỔ PHẦN THỰC PHẨM CHOLIMEX</t>
        </is>
      </c>
      <c r="E20874" s="10" t="inlineStr">
        <is>
          <t>Lương:12 Tr - 15 Tr VND</t>
        </is>
      </c>
      <c r="F20874" s="10" t="inlineStr">
        <is>
          <t>Hồ Chí Minh</t>
        </is>
      </c>
      <c r="G20874" s="10" t="inlineStr">
        <is>
          <t>4</t>
        </is>
      </c>
      <c r="H20874" s="10" t="inlineStr">
        <is>
          <t>21/03/2026</t>
        </is>
      </c>
      <c r="I20874" s="10" t="inlineStr">
        <is>
          <t>17/03/2026</t>
        </is>
      </c>
      <c r="J20874" s="10" t="inlineStr">
        <is>
          <t>Tiếp thị / Marketing, Mỹ thuật / Nghệ thuật / Thiết kế</t>
        </is>
      </c>
      <c r="K20874" s="10" t="inlineStr">
        <is>
          <t>1 - 2 Năm</t>
        </is>
      </c>
      <c r="L20874" s="11">
        <f>HYPERLINK("https://careerviet.vn/vi/tim-viec-lam/nhan-vien-marketing.35C661E1.html","Xem chi tiết")</f>
        <v/>
      </c>
      <c r="M20874" s="10" t="n"/>
    </row>
    <row r="20875">
      <c r="B20875" s="7" t="n">
        <v>20873</v>
      </c>
      <c r="C20875" t="inlineStr">
        <is>
          <t>Kỹ sư giám sát xây dựng</t>
        </is>
      </c>
      <c r="D20875" t="inlineStr">
        <is>
          <t>CÔNG TY CỔ PHẦN XÂY DỰNG VÀ THIẾT KẾ BẮC TRUNG NAM</t>
        </is>
      </c>
      <c r="E20875" t="inlineStr">
        <is>
          <t>Lương:17 Tr - 22 Tr VND</t>
        </is>
      </c>
      <c r="F20875" t="inlineStr">
        <is>
          <t>Hồ Chí MinhBình Dương</t>
        </is>
      </c>
      <c r="G20875" t="inlineStr">
        <is>
          <t>4</t>
        </is>
      </c>
      <c r="H20875" t="inlineStr">
        <is>
          <t>21/03/2026</t>
        </is>
      </c>
      <c r="I20875" t="inlineStr">
        <is>
          <t>17/03/2026</t>
        </is>
      </c>
      <c r="J20875" t="inlineStr">
        <is>
          <t>Kiến trúc, Xây dựng</t>
        </is>
      </c>
      <c r="K20875" t="inlineStr">
        <is>
          <t>2 - 5 Năm</t>
        </is>
      </c>
      <c r="L20875" s="8">
        <f>HYPERLINK("https://careerviet.vn/vi/tim-viec-lam/ky-su-giam-sat-xay-dung.35C660A5.html","Xem chi tiết")</f>
        <v/>
      </c>
    </row>
    <row r="20876">
      <c r="B20876" s="9" t="n">
        <v>20874</v>
      </c>
      <c r="C20876" s="10" t="inlineStr">
        <is>
          <t>Giám sát kinh doanh</t>
        </is>
      </c>
      <c r="D20876" s="10" t="inlineStr">
        <is>
          <t>CÔNG TY TNHH THƯỜNG NHẬT (SAIGON WATERBUS)</t>
        </is>
      </c>
      <c r="E20876" s="10" t="inlineStr">
        <is>
          <t>Lương:Cạnh tranh</t>
        </is>
      </c>
      <c r="F20876" s="10" t="inlineStr">
        <is>
          <t>Hồ Chí Minh</t>
        </is>
      </c>
      <c r="G20876" s="10" t="inlineStr">
        <is>
          <t>4</t>
        </is>
      </c>
      <c r="H20876" s="10" t="inlineStr">
        <is>
          <t>21/03/2026</t>
        </is>
      </c>
      <c r="I20876" s="10" t="inlineStr">
        <is>
          <t>17/03/2026</t>
        </is>
      </c>
      <c r="J20876" s="10" t="inlineStr">
        <is>
          <t>Bán hàng / Kinh doanh</t>
        </is>
      </c>
      <c r="K20876" s="10" t="inlineStr">
        <is>
          <t>2 - 3 Năm</t>
        </is>
      </c>
      <c r="L20876" s="11">
        <f>HYPERLINK("https://careerviet.vn/vi/tim-viec-lam/giam-sat-kinh-doanh.35C660EE.html","Xem chi tiết")</f>
        <v/>
      </c>
      <c r="M20876" s="10" t="n"/>
    </row>
    <row r="20877">
      <c r="B20877" s="7" t="n">
        <v>20875</v>
      </c>
      <c r="C20877" t="inlineStr">
        <is>
          <t>Thực tập sinh Hành chính</t>
        </is>
      </c>
      <c r="D20877" t="inlineStr">
        <is>
          <t>TÜV SÜD Vietnam</t>
        </is>
      </c>
      <c r="E20877" t="inlineStr">
        <is>
          <t>Lương:Cạnh tranh</t>
        </is>
      </c>
      <c r="F20877" t="inlineStr">
        <is>
          <t>Hồ Chí Minh</t>
        </is>
      </c>
      <c r="G20877" t="inlineStr">
        <is>
          <t>4</t>
        </is>
      </c>
      <c r="H20877" t="inlineStr">
        <is>
          <t>21/03/2026</t>
        </is>
      </c>
      <c r="I20877" t="inlineStr">
        <is>
          <t>17/03/2026</t>
        </is>
      </c>
      <c r="J20877" t="inlineStr">
        <is>
          <t>Hành chính / Thư ký, Mới tốt nghiệp / Thực tập</t>
        </is>
      </c>
      <c r="K20877" t="inlineStr">
        <is>
          <t>N/A</t>
        </is>
      </c>
      <c r="L20877" s="8">
        <f>HYPERLINK("https://careerviet.vn/vi/tim-viec-lam/thuc-tap-sinh-hanh-chinh.35C660D6.html","Xem chi tiết")</f>
        <v/>
      </c>
    </row>
    <row r="20878">
      <c r="B20878" s="9" t="n">
        <v>20876</v>
      </c>
      <c r="C20878" s="10" t="inlineStr">
        <is>
          <t>126829 - Safety Engineer - Construction</t>
        </is>
      </c>
      <c r="D20878" s="10" t="inlineStr">
        <is>
          <t>RGF HR Agent Vietnam Co., LTD</t>
        </is>
      </c>
      <c r="E20878" s="10" t="inlineStr">
        <is>
          <t>Lương:10 Tr - 13 Tr VND</t>
        </is>
      </c>
      <c r="F20878" s="10" t="inlineStr">
        <is>
          <t>Hồ Chí Minh</t>
        </is>
      </c>
      <c r="G20878" s="10" t="inlineStr">
        <is>
          <t>4</t>
        </is>
      </c>
      <c r="H20878" s="10" t="inlineStr">
        <is>
          <t>21/03/2026</t>
        </is>
      </c>
      <c r="I20878" s="10" t="inlineStr">
        <is>
          <t>17/03/2026</t>
        </is>
      </c>
      <c r="J20878" s="10" t="inlineStr">
        <is>
          <t>Kiến trúc, Xây dựng</t>
        </is>
      </c>
      <c r="K20878" s="10" t="inlineStr">
        <is>
          <t>1 - 2 Năm</t>
        </is>
      </c>
      <c r="L20878" s="11">
        <f>HYPERLINK("https://careerviet.vn/vi/tim-viec-lam/126829-safety-engineer-construction.35C66230.html","Xem chi tiết")</f>
        <v/>
      </c>
      <c r="M20878" s="10" t="n"/>
    </row>
    <row r="20879">
      <c r="B20879" s="7" t="n">
        <v>20877</v>
      </c>
      <c r="C20879" t="inlineStr">
        <is>
          <t>Chuyên viên Marketing</t>
        </is>
      </c>
      <c r="D20879" t="inlineStr">
        <is>
          <t>CÔNG TY TNHH TEX YEAR VIỆT NAM</t>
        </is>
      </c>
      <c r="E20879" t="inlineStr">
        <is>
          <t>Lương:Cạnh tranh</t>
        </is>
      </c>
      <c r="F20879" t="inlineStr">
        <is>
          <t>Bình DươngĐồng Nai</t>
        </is>
      </c>
      <c r="G20879" t="inlineStr">
        <is>
          <t>2</t>
        </is>
      </c>
      <c r="H20879" t="inlineStr">
        <is>
          <t>19/03/2026</t>
        </is>
      </c>
      <c r="I20879" t="inlineStr">
        <is>
          <t>17/03/2026</t>
        </is>
      </c>
      <c r="J20879" t="inlineStr">
        <is>
          <t>Tiếp thị / Marketing, Tiếp thị trực tuyến, Tổ chức sự kiện</t>
        </is>
      </c>
      <c r="K20879" t="inlineStr">
        <is>
          <t>Trên 1 Năm</t>
        </is>
      </c>
      <c r="L20879" s="8">
        <f>HYPERLINK("https://careerviet.vn/vi/tim-viec-lam/chuyen-vien-marketing.35C68C04.html","Xem chi tiết")</f>
        <v/>
      </c>
    </row>
    <row r="20880">
      <c r="B20880" s="9" t="n">
        <v>20878</v>
      </c>
      <c r="C20880" s="10" t="inlineStr">
        <is>
          <t>Cần Thơ - PGD Thốt Nốt - Chuyên viên Quan hệ Khách hàng cá nhân Priority</t>
        </is>
      </c>
      <c r="D20880" s="10" t="inlineStr">
        <is>
          <t>Ngân hàng TMCP Lộc Phát Việt Nam (LPBank)</t>
        </is>
      </c>
      <c r="E20880" s="10" t="inlineStr">
        <is>
          <t>Lương:Cạnh tranh</t>
        </is>
      </c>
      <c r="F20880" s="10" t="inlineStr">
        <is>
          <t>Cần Thơ</t>
        </is>
      </c>
      <c r="G20880" s="10" t="inlineStr">
        <is>
          <t>3</t>
        </is>
      </c>
      <c r="H20880" s="10" t="inlineStr">
        <is>
          <t>20/03/2026</t>
        </is>
      </c>
      <c r="I20880" s="10" t="inlineStr">
        <is>
          <t>17/03/2026</t>
        </is>
      </c>
      <c r="J20880" s="10" t="inlineStr">
        <is>
          <t>Bán hàng / Kinh doanh, Bất động sản, Bảo hiểm</t>
        </is>
      </c>
      <c r="K20880" s="10" t="inlineStr">
        <is>
          <t>Trên 1 Năm</t>
        </is>
      </c>
      <c r="L20880" s="11">
        <f>HYPERLINK("https://careerviet.vn/vi/tim-viec-lam/can-tho-pgd-thot-not-chuyen-vien-quan-he-khach-hang-ca-nhan-priority.35C65F88.html","Xem chi tiết")</f>
        <v/>
      </c>
      <c r="M20880" s="10" t="n"/>
    </row>
    <row r="20881">
      <c r="B20881" s="7" t="n">
        <v>20879</v>
      </c>
      <c r="C20881" t="inlineStr">
        <is>
          <t>Kiến trúc sư 2D/ Bổ kĩ thuật</t>
        </is>
      </c>
      <c r="D20881" t="inlineStr">
        <is>
          <t>CÔNG TY CỔ PHẦN ABT HOMES</t>
        </is>
      </c>
      <c r="E20881" t="inlineStr">
        <is>
          <t>Lương:10 Tr - 30 Tr VND</t>
        </is>
      </c>
      <c r="F20881" t="inlineStr">
        <is>
          <t>Hồ Chí Minh</t>
        </is>
      </c>
      <c r="G20881" t="inlineStr">
        <is>
          <t>4</t>
        </is>
      </c>
      <c r="H20881" t="inlineStr">
        <is>
          <t>21/03/2026</t>
        </is>
      </c>
      <c r="I20881" t="inlineStr">
        <is>
          <t>17/03/2026</t>
        </is>
      </c>
      <c r="J20881" t="inlineStr">
        <is>
          <t>Kiến trúc, Xây dựng, Nội ngoại thất</t>
        </is>
      </c>
      <c r="K20881" t="inlineStr">
        <is>
          <t>2 - 3 Năm</t>
        </is>
      </c>
      <c r="L20881" s="8">
        <f>HYPERLINK("https://careerviet.vn/vi/tim-viec-lam/kien-truc-su-2d-bo-ki-thuat.35C6625F.html","Xem chi tiết")</f>
        <v/>
      </c>
    </row>
    <row r="20882">
      <c r="B20882" s="9" t="n">
        <v>20880</v>
      </c>
      <c r="C20882" s="10" t="inlineStr">
        <is>
          <t>Cantonese Speaking Customer Services Officer</t>
        </is>
      </c>
      <c r="D20882" s="10" t="inlineStr">
        <is>
          <t>MEDICONCEN VIETNAM CO., LTD</t>
        </is>
      </c>
      <c r="E20882" s="10" t="inlineStr">
        <is>
          <t>Lương:Cạnh tranh</t>
        </is>
      </c>
      <c r="F20882" s="10" t="inlineStr">
        <is>
          <t>Hồ Chí Minh</t>
        </is>
      </c>
      <c r="G20882" s="10" t="inlineStr">
        <is>
          <t>4</t>
        </is>
      </c>
      <c r="H20882" s="10" t="inlineStr">
        <is>
          <t>21/03/2026</t>
        </is>
      </c>
      <c r="I20882" s="10" t="inlineStr">
        <is>
          <t>17/03/2026</t>
        </is>
      </c>
      <c r="J20882" s="10" t="inlineStr">
        <is>
          <t>Y tế / Chăm sóc sức khỏe / Thẩm mỹ / Làm đẹp, Dịch vụ khách hàng, Hành chính / Thư ký</t>
        </is>
      </c>
      <c r="K20882" s="10" t="inlineStr">
        <is>
          <t>Không yêu cầu kinh nghiệmĐịa điểm</t>
        </is>
      </c>
      <c r="L20882" s="11">
        <f>HYPERLINK("https://careerviet.vn/vi/tim-viec-lam/cantonese-speaking-customer-services-officer.35C66199.html","Xem chi tiết")</f>
        <v/>
      </c>
      <c r="M20882" s="10" t="n"/>
    </row>
    <row r="20883">
      <c r="B20883" s="7" t="n">
        <v>20881</v>
      </c>
      <c r="C20883" t="inlineStr">
        <is>
          <t>Kỹ thuật viên điện công nghiệp (CN Nặng)</t>
        </is>
      </c>
      <c r="D20883" t="inlineStr">
        <is>
          <t>ADC PLASTIC,. JSC</t>
        </is>
      </c>
      <c r="E20883" t="inlineStr">
        <is>
          <t>Lương:10,7 Tr - 16,7 Tr VND</t>
        </is>
      </c>
      <c r="F20883" t="inlineStr">
        <is>
          <t>Hưng Yên</t>
        </is>
      </c>
      <c r="G20883" t="inlineStr">
        <is>
          <t>3</t>
        </is>
      </c>
      <c r="H20883" t="inlineStr">
        <is>
          <t>20/03/2026</t>
        </is>
      </c>
      <c r="I20883" t="inlineStr">
        <is>
          <t>17/03/2026</t>
        </is>
      </c>
      <c r="J20883" t="inlineStr">
        <is>
          <t>Bảo trì / Sửa chữa, Điện / Điện tử / Điện lạnh / Điện công nghiệp, Cơ khí / Ô tô / Tự động hóa</t>
        </is>
      </c>
      <c r="K20883" t="inlineStr">
        <is>
          <t>3 - 5 Năm</t>
        </is>
      </c>
      <c r="L20883" s="8">
        <f>HYPERLINK("https://careerviet.vn/vi/tim-viec-lam/ky-thuat-vien-dien-cong-nghiep-cn-nang.35C65F9A.html","Xem chi tiết")</f>
        <v/>
      </c>
    </row>
    <row r="20884">
      <c r="B20884" s="9" t="n">
        <v>20882</v>
      </c>
      <c r="C20884" s="10" t="inlineStr">
        <is>
          <t>CVCC Xử lý than phiền - TT247 - TA161</t>
        </is>
      </c>
      <c r="D20884" s="10" t="inlineStr">
        <is>
          <t>Ngân Hàng TMCP Việt Nam Thịnh Vượng - VPBANK</t>
        </is>
      </c>
      <c r="E20884" s="10" t="inlineStr">
        <is>
          <t>Lương:20 Tr - 30 Tr VND</t>
        </is>
      </c>
      <c r="F20884" s="10" t="inlineStr">
        <is>
          <t>Hà Nội</t>
        </is>
      </c>
      <c r="G20884" s="10" t="inlineStr">
        <is>
          <t>3</t>
        </is>
      </c>
      <c r="H20884" s="10" t="inlineStr">
        <is>
          <t>20/03/2026</t>
        </is>
      </c>
      <c r="I20884" s="10" t="inlineStr">
        <is>
          <t>17/03/2026</t>
        </is>
      </c>
      <c r="J20884" s="10" t="inlineStr">
        <is>
          <t>Ngân hàng</t>
        </is>
      </c>
      <c r="K20884" s="10" t="inlineStr">
        <is>
          <t>Trên 2 Năm</t>
        </is>
      </c>
      <c r="L20884" s="11">
        <f>HYPERLINK("https://careerviet.vn/vi/tim-viec-lam/cvcc-xu-ly-than-phien-tt247-ta161.35C6606A.html","Xem chi tiết")</f>
        <v/>
      </c>
      <c r="M20884" s="10" t="n"/>
    </row>
    <row r="20885">
      <c r="B20885" s="7" t="n">
        <v>20883</v>
      </c>
      <c r="C20885" t="inlineStr">
        <is>
          <t>[Sóc Sơn, Hà Nội] Nhân Viên Bán Hàng/Kinh Doanh Kênh Truyền Thống (GT) - Đi Làm Ngay</t>
        </is>
      </c>
      <c r="D20885" t="inlineStr">
        <is>
          <t>Coca-Cola Beverages Vietnam</t>
        </is>
      </c>
      <c r="E20885" t="inlineStr">
        <is>
          <t>Lương:Cạnh tranh</t>
        </is>
      </c>
      <c r="F20885" t="inlineStr">
        <is>
          <t>Hà Nội</t>
        </is>
      </c>
      <c r="G20885" t="inlineStr">
        <is>
          <t>3</t>
        </is>
      </c>
      <c r="H20885" t="inlineStr">
        <is>
          <t>20/03/2026</t>
        </is>
      </c>
      <c r="I20885" t="inlineStr">
        <is>
          <t>17/03/2026</t>
        </is>
      </c>
      <c r="J20885" t="inlineStr">
        <is>
          <t>Bán hàng / Kinh doanh, Thực phẩm &amp; Đồ uống</t>
        </is>
      </c>
      <c r="K20885" t="inlineStr">
        <is>
          <t>1 - 3 Năm</t>
        </is>
      </c>
      <c r="L20885" s="8">
        <f>HYPERLINK("https://careerviet.vn/vi/tim-viec-lam/soc-son-ha-noi-nhan-vien-ban-hang-kinh-doanh-kenh-truyen-thong-gt-di-lam-ngay.35C65F47.html","Xem chi tiết")</f>
        <v/>
      </c>
    </row>
    <row r="20886">
      <c r="B20886" s="9" t="n">
        <v>20884</v>
      </c>
      <c r="C20886" s="10" t="inlineStr">
        <is>
          <t>CHĂM SÓC KHÁCH HÀNG</t>
        </is>
      </c>
      <c r="D20886" s="10" t="inlineStr">
        <is>
          <t>Công ty TNHH Kinh doanh và Dịch vụ Bất động sản Realhomes</t>
        </is>
      </c>
      <c r="E20886" s="10" t="inlineStr">
        <is>
          <t>Lương:4 Tr - 10 Tr VND</t>
        </is>
      </c>
      <c r="F20886" s="10" t="inlineStr">
        <is>
          <t>Hà Nội</t>
        </is>
      </c>
      <c r="G20886" s="10" t="inlineStr">
        <is>
          <t>3</t>
        </is>
      </c>
      <c r="H20886" s="10" t="inlineStr">
        <is>
          <t>20/03/2026</t>
        </is>
      </c>
      <c r="I20886" s="10" t="inlineStr">
        <is>
          <t>17/03/2026</t>
        </is>
      </c>
      <c r="J20886" s="10" t="inlineStr">
        <is>
          <t>Hành chính / Thư ký, Mới tốt nghiệp / Thực tập, Bán hàng / Kinh doanh</t>
        </is>
      </c>
      <c r="K20886" s="10" t="inlineStr">
        <is>
          <t>N/A</t>
        </is>
      </c>
      <c r="L20886" s="11">
        <f>HYPERLINK("https://careerviet.vn/vi/tim-viec-lam/cham-soc-khach-hang.35C65EF5.html","Xem chi tiết")</f>
        <v/>
      </c>
      <c r="M20886" s="10" t="n"/>
    </row>
    <row r="20887">
      <c r="B20887" s="7" t="n">
        <v>20885</v>
      </c>
      <c r="C20887" t="inlineStr">
        <is>
          <t>CVCC Thu hút nhân tài</t>
        </is>
      </c>
      <c r="D20887" t="inlineStr">
        <is>
          <t>Ngân Hàng TMCP Việt Nam Thịnh Vượng - VPBANK</t>
        </is>
      </c>
      <c r="E20887" t="inlineStr">
        <is>
          <t>Lương:Cạnh tranh</t>
        </is>
      </c>
      <c r="F20887" t="inlineStr">
        <is>
          <t>Hà Nội</t>
        </is>
      </c>
      <c r="G20887" t="inlineStr">
        <is>
          <t>4</t>
        </is>
      </c>
      <c r="H20887" t="inlineStr">
        <is>
          <t>21/03/2026</t>
        </is>
      </c>
      <c r="I20887" t="inlineStr">
        <is>
          <t>17/03/2026</t>
        </is>
      </c>
      <c r="J20887" t="inlineStr">
        <is>
          <t>Nhân sự</t>
        </is>
      </c>
      <c r="K20887" t="inlineStr">
        <is>
          <t>4 - 5 Năm</t>
        </is>
      </c>
      <c r="L20887" s="8">
        <f>HYPERLINK("https://careerviet.vn/vi/tim-viec-lam/cvcc-thu-hut-nhan-tai.35C66130.html","Xem chi tiết")</f>
        <v/>
      </c>
    </row>
    <row r="20888">
      <c r="B20888" s="9" t="n">
        <v>20886</v>
      </c>
      <c r="C20888" s="10" t="inlineStr">
        <is>
          <t>Giám sát vận hành</t>
        </is>
      </c>
      <c r="D20888" s="10" t="inlineStr">
        <is>
          <t>CÔNG TY TNHH DỊCH VỤ HÀNG KHÔNG ASG</t>
        </is>
      </c>
      <c r="E20888" s="10" t="inlineStr">
        <is>
          <t>Lương:Cạnh tranh</t>
        </is>
      </c>
      <c r="F20888" s="10" t="inlineStr">
        <is>
          <t>Hà Nội</t>
        </is>
      </c>
      <c r="G20888" s="10" t="inlineStr">
        <is>
          <t>3</t>
        </is>
      </c>
      <c r="H20888" s="10" t="inlineStr">
        <is>
          <t>19/03/2026</t>
        </is>
      </c>
      <c r="I20888" s="10" t="inlineStr">
        <is>
          <t>17/03/2026</t>
        </is>
      </c>
      <c r="J20888" s="10" t="inlineStr">
        <is>
          <t>Dịch vụ khách hàng, Nhà hàng / Khách sạn, Hàng không</t>
        </is>
      </c>
      <c r="K20888" s="10" t="inlineStr">
        <is>
          <t>1 - 3 Năm</t>
        </is>
      </c>
      <c r="L20888" s="11">
        <f>HYPERLINK("https://careerviet.vn/vi/tim-viec-lam/giam-sat-van-hanh.35C65C2B.html","Xem chi tiết")</f>
        <v/>
      </c>
      <c r="M20888" s="10" t="n"/>
    </row>
    <row r="20889">
      <c r="B20889" s="7" t="n">
        <v>20887</v>
      </c>
      <c r="C20889" t="inlineStr">
        <is>
          <t>CRM Team Lead</t>
        </is>
      </c>
      <c r="D20889" t="inlineStr">
        <is>
          <t>CÔNG TY TNHH GALAXY DIGITAL HOLDINGS</t>
        </is>
      </c>
      <c r="E20889" t="inlineStr">
        <is>
          <t>Lương:Cạnh tranh</t>
        </is>
      </c>
      <c r="F20889" t="inlineStr">
        <is>
          <t>Hồ Chí Minh</t>
        </is>
      </c>
      <c r="G20889" t="inlineStr">
        <is>
          <t>3</t>
        </is>
      </c>
      <c r="H20889" t="inlineStr">
        <is>
          <t>20/03/2026</t>
        </is>
      </c>
      <c r="I20889" t="inlineStr">
        <is>
          <t>17/03/2026</t>
        </is>
      </c>
      <c r="J20889" t="inlineStr">
        <is>
          <t>Tiếp thị / Marketing</t>
        </is>
      </c>
      <c r="K20889" t="inlineStr">
        <is>
          <t>5 - 7 Năm</t>
        </is>
      </c>
      <c r="L20889" s="8">
        <f>HYPERLINK("https://careerviet.vn/vi/tim-viec-lam/crm-team-lead.35C6603A.html","Xem chi tiết")</f>
        <v/>
      </c>
    </row>
    <row r="20890">
      <c r="B20890" s="9" t="n">
        <v>20888</v>
      </c>
      <c r="C20890" s="10" t="inlineStr">
        <is>
          <t>Bạc Liêu - Chuyên viên Quan hệ Khách hàng cá nhân</t>
        </is>
      </c>
      <c r="D20890" s="10" t="inlineStr">
        <is>
          <t>Ngân hàng TMCP Lộc Phát Việt Nam (LPBank)</t>
        </is>
      </c>
      <c r="E20890" s="10" t="inlineStr">
        <is>
          <t>Lương:Cạnh tranh</t>
        </is>
      </c>
      <c r="F20890" s="10" t="inlineStr">
        <is>
          <t>Bạc Liêu</t>
        </is>
      </c>
      <c r="G20890" s="10" t="inlineStr">
        <is>
          <t>3</t>
        </is>
      </c>
      <c r="H20890" s="10" t="inlineStr">
        <is>
          <t>20/03/2026</t>
        </is>
      </c>
      <c r="I20890" s="10" t="inlineStr">
        <is>
          <t>17/03/2026</t>
        </is>
      </c>
      <c r="J20890" s="10" t="inlineStr">
        <is>
          <t>Bán hàng / Kinh doanh, Kế toán / Kiểm toán, Ngân hàng</t>
        </is>
      </c>
      <c r="K20890" s="10" t="inlineStr">
        <is>
          <t>N/A</t>
        </is>
      </c>
      <c r="L20890" s="11">
        <f>HYPERLINK("https://careerviet.vn/vi/tim-viec-lam/bac-lieu-chuyen-vien-quan-he-khach-hang-ca-nhan.35C65F42.html","Xem chi tiết")</f>
        <v/>
      </c>
      <c r="M20890" s="10" t="n"/>
    </row>
    <row r="20891">
      <c r="B20891" s="7" t="n">
        <v>20889</v>
      </c>
      <c r="C20891" t="inlineStr">
        <is>
          <t>Trưởng phòng Quy trình</t>
        </is>
      </c>
      <c r="D20891" t="inlineStr">
        <is>
          <t>CÔNG TY TNHH ELECTRONIC TRIPOD VIỆT NAM (CHÂU ĐỨC)</t>
        </is>
      </c>
      <c r="E20891" t="inlineStr">
        <is>
          <t>Lương:Cạnh tranh</t>
        </is>
      </c>
      <c r="F20891" t="inlineStr">
        <is>
          <t>Bà Rịa - Vũng Tàu</t>
        </is>
      </c>
      <c r="G20891" t="inlineStr">
        <is>
          <t>3</t>
        </is>
      </c>
      <c r="H20891" t="inlineStr">
        <is>
          <t>20/03/2026</t>
        </is>
      </c>
      <c r="I20891" t="inlineStr">
        <is>
          <t>17/03/2026</t>
        </is>
      </c>
      <c r="J20891" t="inlineStr">
        <is>
          <t>Quản lý điều hành, Cơ khí / Ô tô / Tự động hóa, Điện / Điện tử / Điện lạnh / Điện công nghiệp</t>
        </is>
      </c>
      <c r="K20891" t="inlineStr">
        <is>
          <t>4 - 6 Năm</t>
        </is>
      </c>
      <c r="L20891" s="8">
        <f>HYPERLINK("https://careerviet.vn/vi/tim-viec-lam/truong-phong-quy-trinh.35C65EEF.html","Xem chi tiết")</f>
        <v/>
      </c>
    </row>
    <row r="20892">
      <c r="B20892" s="9" t="n">
        <v>20890</v>
      </c>
      <c r="C20892" s="10" t="inlineStr">
        <is>
          <t>Chuyên viên Hoạch định và  Phân tích Tài chính</t>
        </is>
      </c>
      <c r="D20892" s="10" t="inlineStr">
        <is>
          <t>Công Ty Cổ Phần Tập Đoàn Đầu Tư Địa Ốc No Va</t>
        </is>
      </c>
      <c r="E20892" s="10" t="inlineStr">
        <is>
          <t>Lương:Cạnh tranh</t>
        </is>
      </c>
      <c r="F20892" s="10" t="inlineStr">
        <is>
          <t>Hồ Chí Minh</t>
        </is>
      </c>
      <c r="G20892" s="10" t="inlineStr">
        <is>
          <t>3</t>
        </is>
      </c>
      <c r="H20892" s="10" t="inlineStr">
        <is>
          <t>20/03/2026</t>
        </is>
      </c>
      <c r="I20892" s="10" t="inlineStr">
        <is>
          <t>17/03/2026</t>
        </is>
      </c>
      <c r="J20892" s="10" t="inlineStr">
        <is>
          <t>Kế toán / Kiểm toán, Tài chính / Đầu tư, Bất động sản</t>
        </is>
      </c>
      <c r="K20892" s="10" t="inlineStr">
        <is>
          <t>2 - 5 Năm</t>
        </is>
      </c>
      <c r="L20892" s="11">
        <f>HYPERLINK("https://careerviet.vn/vi/tim-viec-lam/chuyen-vien-hoach-dinh-va-phan-tich-tai-chinh.35C65F73.html","Xem chi tiết")</f>
        <v/>
      </c>
      <c r="M20892" s="10" t="n"/>
    </row>
    <row r="20893">
      <c r="B20893" s="7" t="n">
        <v>20891</v>
      </c>
      <c r="C20893" t="inlineStr">
        <is>
          <t>Nhân viên chăm sóc khách hàng (Customer Service Executive)</t>
        </is>
      </c>
      <c r="D20893" t="inlineStr">
        <is>
          <t>RHENUS LOGISTICS LTD,.</t>
        </is>
      </c>
      <c r="E20893" t="inlineStr">
        <is>
          <t>Lương:Cạnh tranh</t>
        </is>
      </c>
      <c r="F20893" t="inlineStr">
        <is>
          <t>Bình Dương</t>
        </is>
      </c>
      <c r="G20893" t="inlineStr">
        <is>
          <t>3</t>
        </is>
      </c>
      <c r="H20893" t="inlineStr">
        <is>
          <t>20/03/2026</t>
        </is>
      </c>
      <c r="I20893" t="inlineStr">
        <is>
          <t>17/03/2026</t>
        </is>
      </c>
      <c r="J20893" t="inlineStr">
        <is>
          <t>Vận chuyển / Giao nhận / Kho vận</t>
        </is>
      </c>
      <c r="K20893" t="inlineStr">
        <is>
          <t>Trên 1 Năm</t>
        </is>
      </c>
      <c r="L20893" s="8">
        <f>HYPERLINK("https://careerviet.vn/vi/tim-viec-lam/nhan-vien-cham-soc-khach-hang-customer-service-executive.35C65F1B.html","Xem chi tiết")</f>
        <v/>
      </c>
    </row>
    <row r="20894">
      <c r="B20894" s="9" t="n">
        <v>20892</v>
      </c>
      <c r="C20894" s="10" t="inlineStr">
        <is>
          <t>Phó Giám đốc VBI Huế</t>
        </is>
      </c>
      <c r="D20894" s="10" t="inlineStr">
        <is>
          <t>Tổng Công Ty Cổ Phần Bảo Hiểm Ngân Hàng TMCP Công Thương Việt Nam</t>
        </is>
      </c>
      <c r="E20894" s="10" t="inlineStr">
        <is>
          <t>Lương:Cạnh tranh</t>
        </is>
      </c>
      <c r="F20894" s="10" t="inlineStr">
        <is>
          <t>Thừa Thiên- Huế</t>
        </is>
      </c>
      <c r="G20894" s="10" t="inlineStr">
        <is>
          <t>3</t>
        </is>
      </c>
      <c r="H20894" s="10" t="inlineStr">
        <is>
          <t>20/03/2026</t>
        </is>
      </c>
      <c r="I20894" s="10" t="inlineStr">
        <is>
          <t>17/03/2026</t>
        </is>
      </c>
      <c r="J20894" s="10" t="inlineStr">
        <is>
          <t>Bảo hiểm</t>
        </is>
      </c>
      <c r="K20894" s="10" t="inlineStr">
        <is>
          <t>3 - 5 Năm</t>
        </is>
      </c>
      <c r="L20894" s="11">
        <f>HYPERLINK("https://careerviet.vn/vi/tim-viec-lam/pho-giam-doc-vbi-hue.35C65EE1.html","Xem chi tiết")</f>
        <v/>
      </c>
      <c r="M20894" s="10" t="n"/>
    </row>
    <row r="20895">
      <c r="B20895" s="7" t="n">
        <v>20893</v>
      </c>
      <c r="C20895" t="inlineStr">
        <is>
          <t>[Hà Nội] Nhân Viên Kinh Doanh DigiTel (Telesales) - Khối Kinh doanh số và Hệ sinh thái chiến lược</t>
        </is>
      </c>
      <c r="D20895" t="inlineStr">
        <is>
          <t>Công Ty Tài Chính TNHH MB SHINSEI (MCREDIT)</t>
        </is>
      </c>
      <c r="E20895" t="inlineStr">
        <is>
          <t>Lương:5,6 Tr - 20 Tr VND</t>
        </is>
      </c>
      <c r="F20895" t="inlineStr">
        <is>
          <t>Hà Nội</t>
        </is>
      </c>
      <c r="G20895" t="inlineStr">
        <is>
          <t>3</t>
        </is>
      </c>
      <c r="H20895" t="inlineStr">
        <is>
          <t>20/03/2026</t>
        </is>
      </c>
      <c r="I20895" t="inlineStr">
        <is>
          <t>17/03/2026</t>
        </is>
      </c>
      <c r="J20895" t="inlineStr">
        <is>
          <t>Dịch vụ khách hàng, Bán hàng / Kinh doanh, Tiếp thị trực tuyến</t>
        </is>
      </c>
      <c r="K20895" t="inlineStr">
        <is>
          <t>N/A</t>
        </is>
      </c>
      <c r="L20895" s="8">
        <f>HYPERLINK("https://careerviet.vn/vi/tim-viec-lam/ha-noi-nhan-vien-kinh-doanh-digitel-telesales-khoi-kinh-doanh-so-va-he-sinh-thai-chien-luoc.35C6605C.html","Xem chi tiết")</f>
        <v/>
      </c>
    </row>
    <row r="20896">
      <c r="B20896" s="9" t="n">
        <v>20894</v>
      </c>
      <c r="C20896" s="10" t="inlineStr">
        <is>
          <t>Growth Channel Lead (Store)</t>
        </is>
      </c>
      <c r="D20896" s="10" t="inlineStr">
        <is>
          <t>CÔNG TY CỔ PHẦN CITICS</t>
        </is>
      </c>
      <c r="E20896" s="10" t="inlineStr">
        <is>
          <t>Lương:20 Tr - 40 Tr VND</t>
        </is>
      </c>
      <c r="F20896" s="10" t="inlineStr">
        <is>
          <t>Hồ Chí Minh</t>
        </is>
      </c>
      <c r="G20896" s="10" t="inlineStr">
        <is>
          <t>3</t>
        </is>
      </c>
      <c r="H20896" s="10" t="inlineStr">
        <is>
          <t>20/03/2026</t>
        </is>
      </c>
      <c r="I20896" s="10" t="inlineStr">
        <is>
          <t>17/03/2026</t>
        </is>
      </c>
      <c r="J20896" s="10" t="inlineStr">
        <is>
          <t>Ngân hàng, Tài chính / Đầu tư</t>
        </is>
      </c>
      <c r="K20896" s="10" t="inlineStr">
        <is>
          <t>4 - 5 Năm</t>
        </is>
      </c>
      <c r="L20896" s="11">
        <f>HYPERLINK("https://careerviet.vn/vi/tim-viec-lam/growth-channel-lead-store.35C66065.html","Xem chi tiết")</f>
        <v/>
      </c>
      <c r="M20896" s="10" t="n"/>
    </row>
    <row r="20897">
      <c r="B20897" s="7" t="n">
        <v>20895</v>
      </c>
      <c r="C20897" t="inlineStr">
        <is>
          <t>Chuyên Viên Chăm sóc Khách Hàng-Lễ Tân (Làm Việc Tại Hải Phòng)</t>
        </is>
      </c>
      <c r="D20897" t="inlineStr">
        <is>
          <t>CÔNG TY CỔ PHẦN PHÁT TRIỂN BẤT ĐỘNG SẢN VĂN PHÚ</t>
        </is>
      </c>
      <c r="E20897" t="inlineStr">
        <is>
          <t>Lương:Cạnh tranh</t>
        </is>
      </c>
      <c r="F20897" t="inlineStr">
        <is>
          <t>Hải Phòng</t>
        </is>
      </c>
      <c r="G20897" t="inlineStr">
        <is>
          <t>3</t>
        </is>
      </c>
      <c r="H20897" t="inlineStr">
        <is>
          <t>20/03/2026</t>
        </is>
      </c>
      <c r="I20897" t="inlineStr">
        <is>
          <t>17/03/2026</t>
        </is>
      </c>
      <c r="J20897" t="inlineStr">
        <is>
          <t>Bất động sản, Dịch vụ khách hàng, Hành chính / Thư ký</t>
        </is>
      </c>
      <c r="K20897" t="inlineStr">
        <is>
          <t>1 - 2 Năm</t>
        </is>
      </c>
      <c r="L20897" s="8">
        <f>HYPERLINK("https://careerviet.vn/vi/tim-viec-lam/chuyen-vien-cham-soc-khach-hang-le-tan-lam-viec-tai-hai-phong.35C65EDF.html","Xem chi tiết")</f>
        <v/>
      </c>
    </row>
    <row r="20898">
      <c r="B20898" s="9" t="n">
        <v>20896</v>
      </c>
      <c r="C20898" s="10" t="inlineStr">
        <is>
          <t>NHÂN VIÊN VÙNG TRỒNG (CHỢ LÁCH - BẾN TRE)</t>
        </is>
      </c>
      <c r="D20898" s="10" t="inlineStr">
        <is>
          <t>CÔNG TY TNHH XUẤT - NHẬP KHẨU TRÁI CÂY CHÁNH THU</t>
        </is>
      </c>
      <c r="E20898" s="10" t="inlineStr">
        <is>
          <t>Lương:Cạnh tranh</t>
        </is>
      </c>
      <c r="F20898" s="10" t="inlineStr">
        <is>
          <t>Bến Tre</t>
        </is>
      </c>
      <c r="G20898" s="10" t="inlineStr">
        <is>
          <t>3</t>
        </is>
      </c>
      <c r="H20898" s="10" t="inlineStr">
        <is>
          <t>20/03/2026</t>
        </is>
      </c>
      <c r="I20898" s="10" t="inlineStr">
        <is>
          <t>17/03/2026</t>
        </is>
      </c>
      <c r="J20898" s="10" t="inlineStr">
        <is>
          <t>Nông nghiệp, Xuất nhập khẩu, Sản xuất / Vận hành sản xuất</t>
        </is>
      </c>
      <c r="K20898" s="10" t="inlineStr">
        <is>
          <t>N/A</t>
        </is>
      </c>
      <c r="L20898" s="11">
        <f>HYPERLINK("https://careerviet.vn/vi/tim-viec-lam/nhan-vien-vung-trong-cho-lach-ben-tre.35C66010.html","Xem chi tiết")</f>
        <v/>
      </c>
      <c r="M20898" s="10" t="n"/>
    </row>
    <row r="20899">
      <c r="B20899" s="7" t="n">
        <v>20897</v>
      </c>
      <c r="C20899" t="inlineStr">
        <is>
          <t>Chuyên Viên Kiểm Soát Nội Bộ (Mảng Dịch Vụ)</t>
        </is>
      </c>
      <c r="D20899" t="inlineStr">
        <is>
          <t>CÔNG TY CỔ PHẦN TẬP ĐOÀN ONSEN FUJI</t>
        </is>
      </c>
      <c r="E20899" t="inlineStr">
        <is>
          <t>Lương:20 Tr - 30 Tr VND</t>
        </is>
      </c>
      <c r="F20899" t="inlineStr">
        <is>
          <t>Hà Nội</t>
        </is>
      </c>
      <c r="G20899" t="inlineStr">
        <is>
          <t>1</t>
        </is>
      </c>
      <c r="H20899" t="inlineStr">
        <is>
          <t>18/03/2026</t>
        </is>
      </c>
      <c r="I20899" t="inlineStr">
        <is>
          <t>17/03/2026</t>
        </is>
      </c>
      <c r="J20899" t="inlineStr">
        <is>
          <t>Quản lý điều hành, Kế toán / Kiểm toán, Nhà hàng / Khách sạn</t>
        </is>
      </c>
      <c r="K20899" t="inlineStr">
        <is>
          <t>1 - 3 Năm</t>
        </is>
      </c>
      <c r="L20899" s="8">
        <f>HYPERLINK("https://careerviet.vn/vi/tim-viec-lam/chuyen-vien-kiem-soat-noi-bo-mang-dich-vu.35C65DEA.html","Xem chi tiết")</f>
        <v/>
      </c>
    </row>
    <row r="20900">
      <c r="B20900" s="9" t="n">
        <v>20898</v>
      </c>
      <c r="C20900" s="10" t="inlineStr">
        <is>
          <t>Project Assistant</t>
        </is>
      </c>
      <c r="D20900" s="10" t="inlineStr">
        <is>
          <t>Công ty TNHH Olam Việt Nam</t>
        </is>
      </c>
      <c r="E20900" s="10" t="inlineStr">
        <is>
          <t>Lương:Cạnh tranh</t>
        </is>
      </c>
      <c r="F20900" s="10" t="inlineStr">
        <is>
          <t>Long An</t>
        </is>
      </c>
      <c r="G20900" s="10" t="inlineStr">
        <is>
          <t>3</t>
        </is>
      </c>
      <c r="H20900" s="10" t="inlineStr">
        <is>
          <t>20/03/2026</t>
        </is>
      </c>
      <c r="I20900" s="10" t="inlineStr">
        <is>
          <t>17/03/2026</t>
        </is>
      </c>
      <c r="J20900" s="10" t="inlineStr">
        <is>
          <t>Cơ khí / Ô tô / Tự động hóa, Điện / Điện tử / Điện lạnh / Điện công nghiệp, Xây dựng</t>
        </is>
      </c>
      <c r="K20900" s="10" t="inlineStr">
        <is>
          <t>1 - 2 Năm</t>
        </is>
      </c>
      <c r="L20900" s="11">
        <f>HYPERLINK("https://careerviet.vn/vi/tim-viec-lam/project-assistant.35C65E76.html","Xem chi tiết")</f>
        <v/>
      </c>
      <c r="M20900" s="10" t="n"/>
    </row>
    <row r="20901">
      <c r="B20901" s="7" t="n">
        <v>20899</v>
      </c>
      <c r="C20901" t="inlineStr">
        <is>
          <t>Chuyên Viên Cao Cấp Hoạch Định &amp; Phân Tích Tài Chính (FPA)</t>
        </is>
      </c>
      <c r="D20901" t="inlineStr">
        <is>
          <t>Công Ty Cổ Phần Tập Đoàn Đầu Tư Địa Ốc No Va</t>
        </is>
      </c>
      <c r="E20901" t="inlineStr">
        <is>
          <t>Lương:Cạnh tranh</t>
        </is>
      </c>
      <c r="F20901" t="inlineStr">
        <is>
          <t>Hồ Chí Minh</t>
        </is>
      </c>
      <c r="G20901" t="inlineStr">
        <is>
          <t>3</t>
        </is>
      </c>
      <c r="H20901" t="inlineStr">
        <is>
          <t>20/03/2026</t>
        </is>
      </c>
      <c r="I20901" t="inlineStr">
        <is>
          <t>17/03/2026</t>
        </is>
      </c>
      <c r="J20901" t="inlineStr">
        <is>
          <t>Kế toán / Kiểm toán, Tài chính / Đầu tư, Bất động sản</t>
        </is>
      </c>
      <c r="K20901" t="inlineStr">
        <is>
          <t>3 - 5 Năm</t>
        </is>
      </c>
      <c r="L20901" s="8">
        <f>HYPERLINK("https://careerviet.vn/vi/tim-viec-lam/chuyen-vien-cao-cap-hoach-dinh-phan-tich-tai-chinh-fpa.35C65F70.html","Xem chi tiết")</f>
        <v/>
      </c>
    </row>
    <row r="20902">
      <c r="B20902" s="9" t="n">
        <v>20900</v>
      </c>
      <c r="C20902" s="10" t="inlineStr">
        <is>
          <t>Nhân viên Media Marketing</t>
        </is>
      </c>
      <c r="D20902" s="10" t="inlineStr">
        <is>
          <t>CÔNG TY CỔ PHẦN Y TẾ KHANG PHÚC - BỆNH VIỆN ĐA KHOA VIỆT MỸ</t>
        </is>
      </c>
      <c r="E20902" s="10" t="inlineStr">
        <is>
          <t>Lương:13 Tr - 16 Tr VND</t>
        </is>
      </c>
      <c r="F20902" s="10" t="inlineStr">
        <is>
          <t>Hồ Chí Minh</t>
        </is>
      </c>
      <c r="G20902" s="10" t="inlineStr">
        <is>
          <t>1</t>
        </is>
      </c>
      <c r="H20902" s="10" t="inlineStr">
        <is>
          <t>18/03/2026</t>
        </is>
      </c>
      <c r="I20902" s="10" t="inlineStr">
        <is>
          <t>17/03/2026</t>
        </is>
      </c>
      <c r="J20902" s="10" t="inlineStr">
        <is>
          <t>Tiếp thị / Marketing, Y tế / Chăm sóc sức khỏe / Thẩm mỹ / Làm đẹp</t>
        </is>
      </c>
      <c r="K20902" s="10" t="inlineStr">
        <is>
          <t>1 - 2 Năm</t>
        </is>
      </c>
      <c r="L20902" s="11">
        <f>HYPERLINK("https://careerviet.vn/vi/tim-viec-lam/nhan-vien-media-marketing.35C63416.html","Xem chi tiết")</f>
        <v/>
      </c>
      <c r="M20902" s="10" t="n"/>
    </row>
    <row r="20903">
      <c r="B20903" s="7" t="n">
        <v>20901</v>
      </c>
      <c r="C20903" t="inlineStr">
        <is>
          <t>Nhân viên kỹ thuật (Biết tiếng Hàn quốc)</t>
        </is>
      </c>
      <c r="D20903" t="inlineStr">
        <is>
          <t>Công ty TNHH Yura Corporation Vina</t>
        </is>
      </c>
      <c r="E20903" t="inlineStr">
        <is>
          <t>Lương:Cạnh tranh</t>
        </is>
      </c>
      <c r="F20903" t="inlineStr">
        <is>
          <t>Hưng Yên</t>
        </is>
      </c>
      <c r="G20903" t="inlineStr">
        <is>
          <t>3</t>
        </is>
      </c>
      <c r="H20903" t="inlineStr">
        <is>
          <t>20/03/2026</t>
        </is>
      </c>
      <c r="I20903" t="inlineStr">
        <is>
          <t>17/03/2026</t>
        </is>
      </c>
      <c r="J20903" t="inlineStr">
        <is>
          <t>Cơ khí / Ô tô / Tự động hóa, Bảo trì / Sửa chữa</t>
        </is>
      </c>
      <c r="K20903" t="inlineStr">
        <is>
          <t>5 - 10 Năm</t>
        </is>
      </c>
      <c r="L20903" s="8">
        <f>HYPERLINK("https://careerviet.vn/vi/tim-viec-lam/nhan-vien-ky-thuat-biet-tieng-han-quoc.35C65FDF.html","Xem chi tiết")</f>
        <v/>
      </c>
    </row>
    <row r="20904">
      <c r="B20904" s="9" t="n">
        <v>20902</v>
      </c>
      <c r="C20904" s="10" t="inlineStr">
        <is>
          <t>Kỹ sư môi trường (Vận hành &amp; Bảo trì Hệ thống xử lí nước thải) - Tiếng Trung</t>
        </is>
      </c>
      <c r="D20904" s="10" t="inlineStr">
        <is>
          <t>CÔNG TY TNHH ELECTRONIC TRIPOD VIỆT NAM (CHÂU ĐỨC)</t>
        </is>
      </c>
      <c r="E20904" s="10" t="inlineStr">
        <is>
          <t>Lương:Cạnh tranh</t>
        </is>
      </c>
      <c r="F20904" s="10" t="inlineStr">
        <is>
          <t>Bà Rịa - Vũng Tàu</t>
        </is>
      </c>
      <c r="G20904" s="10" t="inlineStr">
        <is>
          <t>1</t>
        </is>
      </c>
      <c r="H20904" s="10" t="inlineStr">
        <is>
          <t>18/03/2026</t>
        </is>
      </c>
      <c r="I20904" s="10" t="inlineStr">
        <is>
          <t>17/03/2026</t>
        </is>
      </c>
      <c r="J20904" s="10" t="inlineStr">
        <is>
          <t>Biên phiên dịch, Môi trường, An toàn lao động</t>
        </is>
      </c>
      <c r="K20904" s="10" t="inlineStr">
        <is>
          <t>1 - 2 Năm</t>
        </is>
      </c>
      <c r="L20904" s="11">
        <f>HYPERLINK("https://careerviet.vn/vi/tim-viec-lam/ky-su-moi-truong-van-hanh-bao-tri-he-thong-xu-li-nuoc-thai-tieng-trung.35C6331B.html","Xem chi tiết")</f>
        <v/>
      </c>
      <c r="M20904" s="10" t="n"/>
    </row>
    <row r="20905">
      <c r="B20905" s="7" t="n">
        <v>20903</v>
      </c>
      <c r="C20905" t="inlineStr">
        <is>
          <t>Chuyên viên chính/Chuyên viên cao cấp Tái thẩm định Khách hàng Doanh nghiệp - Khối Tín dụng</t>
        </is>
      </c>
      <c r="D20905" t="inlineStr">
        <is>
          <t>Ngân Hàng TMCP Tiên Phong (TPBank)</t>
        </is>
      </c>
      <c r="E20905" t="inlineStr">
        <is>
          <t>Lương:Cạnh tranh</t>
        </is>
      </c>
      <c r="F20905" t="inlineStr">
        <is>
          <t>Hà NộiHồ Chí Minh</t>
        </is>
      </c>
      <c r="G20905" t="inlineStr">
        <is>
          <t>3</t>
        </is>
      </c>
      <c r="H20905" t="inlineStr">
        <is>
          <t>20/03/2026</t>
        </is>
      </c>
      <c r="I20905" t="inlineStr">
        <is>
          <t>17/03/2026</t>
        </is>
      </c>
      <c r="J20905" t="inlineStr">
        <is>
          <t>Ngân hàng, Tài chính / Đầu tư</t>
        </is>
      </c>
      <c r="K20905" t="inlineStr">
        <is>
          <t>3 - 5 Năm</t>
        </is>
      </c>
      <c r="L20905" s="8">
        <f>HYPERLINK("https://careerviet.vn/vi/tim-viec-lam/chuyen-vien-chinh-chuyen-vien-cao-cap-tai-tham-dinh-khach-hang-doanh-nghiep-khoi-tin-dung.35C65FB6.html","Xem chi tiết")</f>
        <v/>
      </c>
    </row>
    <row r="20906">
      <c r="B20906" s="9" t="n">
        <v>20904</v>
      </c>
      <c r="C20906" s="10" t="inlineStr">
        <is>
          <t>Tư vấn bán hàng - Bảo Lộc</t>
        </is>
      </c>
      <c r="D20906" s="10" t="inlineStr">
        <is>
          <t>Công ty CP Toshiko Việt Nam</t>
        </is>
      </c>
      <c r="E20906" s="10" t="inlineStr">
        <is>
          <t>Lương:10 Tr - 15 Tr VND</t>
        </is>
      </c>
      <c r="F20906" s="10" t="inlineStr">
        <is>
          <t>Lâm Đồng</t>
        </is>
      </c>
      <c r="G20906" s="10" t="inlineStr">
        <is>
          <t>1</t>
        </is>
      </c>
      <c r="H20906" s="10" t="inlineStr">
        <is>
          <t>18/03/2026</t>
        </is>
      </c>
      <c r="I20906" s="10" t="inlineStr">
        <is>
          <t>17/03/2026</t>
        </is>
      </c>
      <c r="J20906" s="10" t="inlineStr">
        <is>
          <t>Bán lẻ / Bán sỉ, Bán hàng / Kinh doanh, Tư vấn</t>
        </is>
      </c>
      <c r="K20906" s="10" t="inlineStr">
        <is>
          <t>1 - 2 Năm</t>
        </is>
      </c>
      <c r="L20906" s="11">
        <f>HYPERLINK("https://careerviet.vn/vi/tim-viec-lam/tu-van-ban-hang-bao-loc.35C65E19.html","Xem chi tiết")</f>
        <v/>
      </c>
      <c r="M20906" s="10" t="n"/>
    </row>
    <row r="20907">
      <c r="B20907" s="7" t="n">
        <v>20905</v>
      </c>
      <c r="C20907" t="inlineStr">
        <is>
          <t>Trưởng nhóm Kinh doanh - Kênh Online</t>
        </is>
      </c>
      <c r="D20907" t="inlineStr">
        <is>
          <t>Công ty TNHH Bình Việt Đức (BIVID)</t>
        </is>
      </c>
      <c r="E20907" t="inlineStr">
        <is>
          <t>Lương:Cạnh tranh</t>
        </is>
      </c>
      <c r="F20907" t="inlineStr">
        <is>
          <t>Hồ Chí Minh</t>
        </is>
      </c>
      <c r="G20907" t="inlineStr">
        <is>
          <t>1</t>
        </is>
      </c>
      <c r="H20907" t="inlineStr">
        <is>
          <t>18/03/2026</t>
        </is>
      </c>
      <c r="I20907" t="inlineStr">
        <is>
          <t>17/03/2026</t>
        </is>
      </c>
      <c r="J20907" t="inlineStr">
        <is>
          <t>Bán hàng / Kinh doanh, Dược phẩm/ Hóa Mỹ Phẩm, Y tế / Chăm sóc sức khỏe / Thẩm mỹ / Làm đẹp</t>
        </is>
      </c>
      <c r="K20907" t="inlineStr">
        <is>
          <t>2 - 3 Năm</t>
        </is>
      </c>
      <c r="L20907" s="8">
        <f>HYPERLINK("https://careerviet.vn/vi/tim-viec-lam/truong-nhom-kinh-doanh-kenh-online.35C633D5.html","Xem chi tiết")</f>
        <v/>
      </c>
    </row>
    <row r="20908">
      <c r="B20908" s="9" t="n">
        <v>20906</v>
      </c>
      <c r="C20908" s="10" t="inlineStr">
        <is>
          <t>Nhân viên kiểm tra chất lượng (QA)</t>
        </is>
      </c>
      <c r="D20908" s="10" t="inlineStr">
        <is>
          <t>Công ty TNHH Giày Apache Việt Nam</t>
        </is>
      </c>
      <c r="E20908" s="10" t="inlineStr">
        <is>
          <t>Lương:7,5 Tr - 10 Tr VND</t>
        </is>
      </c>
      <c r="F20908" s="10" t="inlineStr">
        <is>
          <t>Tiền Giang</t>
        </is>
      </c>
      <c r="G20908" s="10" t="inlineStr">
        <is>
          <t>2</t>
        </is>
      </c>
      <c r="H20908" s="10" t="inlineStr">
        <is>
          <t>18/03/2026</t>
        </is>
      </c>
      <c r="I20908" s="10" t="inlineStr">
        <is>
          <t>17/03/2026</t>
        </is>
      </c>
      <c r="J20908" s="10" t="inlineStr">
        <is>
          <t>Dệt may / Da giày / Thời trang, Quản lý chất lượng (QA/QC), Mới tốt nghiệp / Thực tập</t>
        </is>
      </c>
      <c r="K20908" s="10" t="inlineStr">
        <is>
          <t>N/A</t>
        </is>
      </c>
      <c r="L20908" s="11">
        <f>HYPERLINK("https://careerviet.vn/vi/tim-viec-lam/nhan-vien-kiem-tra-chat-luong-qa.35C65E5A.html","Xem chi tiết")</f>
        <v/>
      </c>
      <c r="M20908" s="10" t="n"/>
    </row>
    <row r="20909">
      <c r="B20909" s="7" t="n">
        <v>20907</v>
      </c>
      <c r="C20909" t="inlineStr">
        <is>
          <t>Nhân viên thiết kế 3D - VR</t>
        </is>
      </c>
      <c r="D20909" t="inlineStr">
        <is>
          <t>Công ty TNHH Giày Apache Việt Nam</t>
        </is>
      </c>
      <c r="E20909" t="inlineStr">
        <is>
          <t>Lương:7 Tr - 9 Tr VND</t>
        </is>
      </c>
      <c r="F20909" t="inlineStr">
        <is>
          <t>Tiền Giang</t>
        </is>
      </c>
      <c r="G20909" t="inlineStr">
        <is>
          <t>2</t>
        </is>
      </c>
      <c r="H20909" t="inlineStr">
        <is>
          <t>18/03/2026</t>
        </is>
      </c>
      <c r="I20909" t="inlineStr">
        <is>
          <t>17/03/2026</t>
        </is>
      </c>
      <c r="J20909" t="inlineStr">
        <is>
          <t>Mỹ thuật / Nghệ thuật / Thiết kế, Dệt may / Da giày / Thời trang, Mới tốt nghiệp / Thực tập</t>
        </is>
      </c>
      <c r="K20909" t="inlineStr">
        <is>
          <t>N/A</t>
        </is>
      </c>
      <c r="L20909" s="8">
        <f>HYPERLINK("https://careerviet.vn/vi/tim-viec-lam/nhan-vien-thiet-ke-3d-vr.35C65E60.html","Xem chi tiết")</f>
        <v/>
      </c>
    </row>
    <row r="20910">
      <c r="B20910" s="9" t="n">
        <v>20908</v>
      </c>
      <c r="C20910" s="10" t="inlineStr">
        <is>
          <t>General Accountant – Tax &amp; Reporting (SAP/ERP)</t>
        </is>
      </c>
      <c r="D20910" s="10" t="inlineStr">
        <is>
          <t>Công Ty TNHH Thạch Anh Vàng (TAV)</t>
        </is>
      </c>
      <c r="E20910" s="10" t="inlineStr">
        <is>
          <t>Lương:Cạnh tranh</t>
        </is>
      </c>
      <c r="F20910" s="10" t="inlineStr">
        <is>
          <t>Hồ Chí Minh</t>
        </is>
      </c>
      <c r="G20910" s="10" t="inlineStr">
        <is>
          <t>1</t>
        </is>
      </c>
      <c r="H20910" s="10" t="inlineStr">
        <is>
          <t>18/03/2026</t>
        </is>
      </c>
      <c r="I20910" s="10" t="inlineStr">
        <is>
          <t>17/03/2026</t>
        </is>
      </c>
      <c r="J20910" s="10" t="inlineStr">
        <is>
          <t>Bán Hàng Kỹ Thuật, Dược phẩm/ Hóa Mỹ Phẩm, Kế toán / Kiểm toán</t>
        </is>
      </c>
      <c r="K20910" s="10" t="inlineStr">
        <is>
          <t>3 - 5 Năm</t>
        </is>
      </c>
      <c r="L20910" s="11">
        <f>HYPERLINK("https://careerviet.vn/vi/tim-viec-lam/general-accountant-tax-reporting-sap-erp.35C65E50.html","Xem chi tiết")</f>
        <v/>
      </c>
      <c r="M20910" s="10" t="n"/>
    </row>
    <row r="20911">
      <c r="B20911" s="7" t="n">
        <v>20909</v>
      </c>
      <c r="C20911" t="inlineStr">
        <is>
          <t>Machine Learning Engineer</t>
        </is>
      </c>
      <c r="D20911" t="inlineStr">
        <is>
          <t>Công ty TNHH Greystone Data Systems Việt Nam</t>
        </is>
      </c>
      <c r="E20911" t="inlineStr">
        <is>
          <t>Lương:12 Tr - 25 Tr VND</t>
        </is>
      </c>
      <c r="F20911" t="inlineStr">
        <is>
          <t>Hồ Chí Minh</t>
        </is>
      </c>
      <c r="G20911" t="inlineStr">
        <is>
          <t>1</t>
        </is>
      </c>
      <c r="H20911" t="inlineStr">
        <is>
          <t>18/03/2026</t>
        </is>
      </c>
      <c r="I20911" t="inlineStr">
        <is>
          <t>17/03/2026</t>
        </is>
      </c>
      <c r="J20911" t="inlineStr">
        <is>
          <t>Điện / Điện tử / Điện lạnh / Điện công nghiệp, CNTT - Phần mềm, Cơ khí / Ô tô / Tự động hóa</t>
        </is>
      </c>
      <c r="K20911" t="inlineStr">
        <is>
          <t>1 - 2 Năm</t>
        </is>
      </c>
      <c r="L20911" s="8">
        <f>HYPERLINK("https://careerviet.vn/vi/tim-viec-lam/machine-learning-engineer.35C65E14.html","Xem chi tiết")</f>
        <v/>
      </c>
    </row>
    <row r="20912">
      <c r="B20912" s="9" t="n">
        <v>20910</v>
      </c>
      <c r="C20912" s="10" t="inlineStr">
        <is>
          <t>GENERAL ACCOUNTANT</t>
        </is>
      </c>
      <c r="D20912" s="10" t="inlineStr">
        <is>
          <t>Sunlight Electrical (Vietnam) Co., Ltd.</t>
        </is>
      </c>
      <c r="E20912" s="10" t="inlineStr">
        <is>
          <t>Lương:12 Tr - 17 Tr VND</t>
        </is>
      </c>
      <c r="F20912" s="10" t="inlineStr">
        <is>
          <t>Bình Dương</t>
        </is>
      </c>
      <c r="G20912" s="10" t="inlineStr">
        <is>
          <t>1</t>
        </is>
      </c>
      <c r="H20912" s="10" t="inlineStr">
        <is>
          <t>18/03/2026</t>
        </is>
      </c>
      <c r="I20912" s="10" t="inlineStr">
        <is>
          <t>17/03/2026</t>
        </is>
      </c>
      <c r="J20912" s="10" t="inlineStr">
        <is>
          <t>Kế toán / Kiểm toán, Tài chính / Đầu tư</t>
        </is>
      </c>
      <c r="K20912" s="10" t="inlineStr">
        <is>
          <t>2 - 4 Năm</t>
        </is>
      </c>
      <c r="L20912" s="11">
        <f>HYPERLINK("https://careerviet.vn/vi/tim-viec-lam/general-accountant.35C65E07.html","Xem chi tiết")</f>
        <v/>
      </c>
      <c r="M20912" s="10" t="n"/>
    </row>
    <row r="20913">
      <c r="B20913" s="7" t="n">
        <v>20911</v>
      </c>
      <c r="C20913" t="inlineStr">
        <is>
          <t>Nhân Viên Kinh Doanh Kênh MT - Siêu Thị</t>
        </is>
      </c>
      <c r="D20913" t="inlineStr">
        <is>
          <t>Công ty TNHH Chế biến thực phẩm Đông Đô</t>
        </is>
      </c>
      <c r="E20913" t="inlineStr">
        <is>
          <t>Lương:13 Tr - 16 Tr VND</t>
        </is>
      </c>
      <c r="F20913" t="inlineStr">
        <is>
          <t>Hà NộiHồ Chí MinhĐà Nẵng</t>
        </is>
      </c>
      <c r="G20913" t="inlineStr">
        <is>
          <t>1</t>
        </is>
      </c>
      <c r="H20913" t="inlineStr">
        <is>
          <t>18/03/2026</t>
        </is>
      </c>
      <c r="I20913" t="inlineStr">
        <is>
          <t>17/03/2026</t>
        </is>
      </c>
      <c r="J20913" t="inlineStr">
        <is>
          <t>Tiếp thị / Marketing, Bán hàng / Kinh doanh, Thực phẩm &amp; Đồ uống</t>
        </is>
      </c>
      <c r="K20913" t="inlineStr">
        <is>
          <t>Lên đến 1 Năm</t>
        </is>
      </c>
      <c r="L20913" s="8">
        <f>HYPERLINK("https://careerviet.vn/vi/tim-viec-lam/nhan-vien-kinh-doanh-kenh-mt-sieu-thi.35C632FB.html","Xem chi tiết")</f>
        <v/>
      </c>
    </row>
    <row r="20914">
      <c r="B20914" s="9" t="n">
        <v>20912</v>
      </c>
      <c r="C20914" s="10" t="inlineStr">
        <is>
          <t>Brand Leader</t>
        </is>
      </c>
      <c r="D20914" s="10" t="inlineStr">
        <is>
          <t>Công ty đầu tư T&amp;L Việt Nam</t>
        </is>
      </c>
      <c r="E20914" s="10" t="inlineStr">
        <is>
          <t>Lương:20 Tr - 28 Tr VND</t>
        </is>
      </c>
      <c r="F20914" s="10" t="inlineStr">
        <is>
          <t>Hà Nội</t>
        </is>
      </c>
      <c r="G20914" s="10" t="inlineStr">
        <is>
          <t>1</t>
        </is>
      </c>
      <c r="H20914" s="10" t="inlineStr">
        <is>
          <t>18/03/2026</t>
        </is>
      </c>
      <c r="I20914" s="10" t="inlineStr">
        <is>
          <t>17/03/2026</t>
        </is>
      </c>
      <c r="J20914" s="10" t="inlineStr">
        <is>
          <t>Quảng cáo / Đối ngoại / Truyền Thông, Tiếp thị / Marketing, Tiếp thị trực tuyến</t>
        </is>
      </c>
      <c r="K20914" s="10" t="inlineStr">
        <is>
          <t>2 - 3 Năm</t>
        </is>
      </c>
      <c r="L20914" s="11">
        <f>HYPERLINK("https://careerviet.vn/vi/tim-viec-lam/brand-leader.35C65DF8.html","Xem chi tiết")</f>
        <v/>
      </c>
      <c r="M20914" s="10" t="n"/>
    </row>
    <row r="20915">
      <c r="B20915" s="7" t="n">
        <v>20913</v>
      </c>
      <c r="C20915" t="inlineStr">
        <is>
          <t>Trưởng bộ phận phòng thí nghiệm</t>
        </is>
      </c>
      <c r="D20915" t="inlineStr">
        <is>
          <t>Công ty TNHH Giày Apache Việt Nam</t>
        </is>
      </c>
      <c r="E20915" t="inlineStr">
        <is>
          <t>Lương:17 Tr - 22 Tr VND</t>
        </is>
      </c>
      <c r="F20915" t="inlineStr">
        <is>
          <t>Tiền Giang</t>
        </is>
      </c>
      <c r="G20915" t="inlineStr">
        <is>
          <t>2</t>
        </is>
      </c>
      <c r="H20915" t="inlineStr">
        <is>
          <t>18/03/2026</t>
        </is>
      </c>
      <c r="I20915" t="inlineStr">
        <is>
          <t>17/03/2026</t>
        </is>
      </c>
      <c r="J20915" t="inlineStr">
        <is>
          <t>Dệt may / Da giày / Thời trang, Quản lý chất lượng (QA/QC)</t>
        </is>
      </c>
      <c r="K20915" t="inlineStr">
        <is>
          <t>1 - 5 Năm</t>
        </is>
      </c>
      <c r="L20915" s="8">
        <f>HYPERLINK("https://careerviet.vn/vi/tim-viec-lam/truong-bo-phan-phong-thi-nghiem.35C65E64.html","Xem chi tiết")</f>
        <v/>
      </c>
    </row>
    <row r="20916">
      <c r="B20916" s="9" t="n">
        <v>20914</v>
      </c>
      <c r="C20916" s="10" t="inlineStr">
        <is>
          <t>Chuyên viên Marketing</t>
        </is>
      </c>
      <c r="D20916" s="10" t="inlineStr">
        <is>
          <t>Công ty đầu tư T&amp;L Việt Nam</t>
        </is>
      </c>
      <c r="E20916" s="10" t="inlineStr">
        <is>
          <t>Lương:12 Tr - 18 Tr VND</t>
        </is>
      </c>
      <c r="F20916" s="10" t="inlineStr">
        <is>
          <t>Hà Nội</t>
        </is>
      </c>
      <c r="G20916" s="10" t="inlineStr">
        <is>
          <t>1</t>
        </is>
      </c>
      <c r="H20916" s="10" t="inlineStr">
        <is>
          <t>18/03/2026</t>
        </is>
      </c>
      <c r="I20916" s="10" t="inlineStr">
        <is>
          <t>17/03/2026</t>
        </is>
      </c>
      <c r="J20916" s="10" t="inlineStr">
        <is>
          <t>Bán lẻ / Bán sỉ, Dệt may / Da giày / Thời trang</t>
        </is>
      </c>
      <c r="K20916" s="10" t="inlineStr">
        <is>
          <t>1 - 2 Năm</t>
        </is>
      </c>
      <c r="L20916" s="11">
        <f>HYPERLINK("https://careerviet.vn/vi/tim-viec-lam/chuyen-vien-marketing.35C65DF9.html","Xem chi tiết")</f>
        <v/>
      </c>
      <c r="M20916" s="10" t="n"/>
    </row>
    <row r="20917">
      <c r="B20917" s="7" t="n">
        <v>20915</v>
      </c>
      <c r="C20917" t="inlineStr">
        <is>
          <t>Nhân Viên Bán Hàng - Vũng Tàu</t>
        </is>
      </c>
      <c r="D20917" t="inlineStr">
        <is>
          <t>Công ty CP Toshiko Việt Nam</t>
        </is>
      </c>
      <c r="E20917" t="inlineStr">
        <is>
          <t>Lương:10 Tr - 15 Tr VND</t>
        </is>
      </c>
      <c r="F20917" t="inlineStr">
        <is>
          <t>Bà Rịa - Vũng Tàu</t>
        </is>
      </c>
      <c r="G20917" t="inlineStr">
        <is>
          <t>1</t>
        </is>
      </c>
      <c r="H20917" t="inlineStr">
        <is>
          <t>18/03/2026</t>
        </is>
      </c>
      <c r="I20917" t="inlineStr">
        <is>
          <t>17/03/2026</t>
        </is>
      </c>
      <c r="J20917" t="inlineStr">
        <is>
          <t>Bán lẻ / Bán sỉ, Bán hàng / Kinh doanh, Tư vấn</t>
        </is>
      </c>
      <c r="K20917" t="inlineStr">
        <is>
          <t>1 - 2 Năm</t>
        </is>
      </c>
      <c r="L20917" s="8">
        <f>HYPERLINK("https://careerviet.vn/vi/tim-viec-lam/nhan-vien-ban-hang-vung-tau.35C65E0D.html","Xem chi tiết")</f>
        <v/>
      </c>
    </row>
    <row r="20918">
      <c r="B20918" s="9" t="n">
        <v>20916</v>
      </c>
      <c r="C20918" s="10" t="inlineStr">
        <is>
          <t>Chuyên viên thiết kế 3D (VR)</t>
        </is>
      </c>
      <c r="D20918" s="10" t="inlineStr">
        <is>
          <t>Công ty TNHH Giày Apache Việt Nam</t>
        </is>
      </c>
      <c r="E20918" s="10" t="inlineStr">
        <is>
          <t>Lương:13 Tr - 20 Tr VND</t>
        </is>
      </c>
      <c r="F20918" s="10" t="inlineStr">
        <is>
          <t>Tiền Giang</t>
        </is>
      </c>
      <c r="G20918" s="10" t="inlineStr">
        <is>
          <t>2</t>
        </is>
      </c>
      <c r="H20918" s="10" t="inlineStr">
        <is>
          <t>18/03/2026</t>
        </is>
      </c>
      <c r="I20918" s="10" t="inlineStr">
        <is>
          <t>17/03/2026</t>
        </is>
      </c>
      <c r="J20918" s="10" t="inlineStr">
        <is>
          <t>Mỹ thuật / Nghệ thuật / Thiết kế, Dệt may / Da giày / Thời trang, Mới tốt nghiệp / Thực tập</t>
        </is>
      </c>
      <c r="K20918" s="10" t="inlineStr">
        <is>
          <t>3 - 10 Năm</t>
        </is>
      </c>
      <c r="L20918" s="11">
        <f>HYPERLINK("https://careerviet.vn/vi/tim-viec-lam/chuyen-vien-thiet-ke-3d-vr.35C65E5D.html","Xem chi tiết")</f>
        <v/>
      </c>
      <c r="M20918" s="10" t="n"/>
    </row>
    <row r="20919">
      <c r="B20919" s="7" t="n">
        <v>20917</v>
      </c>
      <c r="C20919" t="inlineStr">
        <is>
          <t>Regional Sales Manager - MT</t>
        </is>
      </c>
      <c r="D20919" t="inlineStr">
        <is>
          <t>CÔNG TY CỔ PHẦN THƯƠNG MẠI DỊCH VỤ SẢN XUẤT HƯƠNG THỦY</t>
        </is>
      </c>
      <c r="E20919" t="inlineStr">
        <is>
          <t>Lương:Cạnh tranh</t>
        </is>
      </c>
      <c r="F20919" t="inlineStr">
        <is>
          <t>Hồ Chí Minh</t>
        </is>
      </c>
      <c r="G20919" t="inlineStr">
        <is>
          <t>1</t>
        </is>
      </c>
      <c r="H20919" t="inlineStr">
        <is>
          <t>18/03/2026</t>
        </is>
      </c>
      <c r="I20919" t="inlineStr">
        <is>
          <t>17/03/2026</t>
        </is>
      </c>
      <c r="J20919" t="inlineStr">
        <is>
          <t>Bán lẻ / Bán sỉ, Bán hàng / Kinh doanh, Ngành khác</t>
        </is>
      </c>
      <c r="K20919" t="inlineStr">
        <is>
          <t>5 - 7 Năm</t>
        </is>
      </c>
      <c r="L20919" s="8">
        <f>HYPERLINK("https://careerviet.vn/vi/tim-viec-lam/regional-sales-manager-mt.35C633FC.html","Xem chi tiết")</f>
        <v/>
      </c>
    </row>
    <row r="20920">
      <c r="B20920" s="9" t="n">
        <v>20918</v>
      </c>
      <c r="C20920" s="10" t="inlineStr">
        <is>
          <t>NHÂN VIÊN HỆ THỐNG</t>
        </is>
      </c>
      <c r="D20920" s="10" t="inlineStr">
        <is>
          <t>Tập Đoàn Kim Tín</t>
        </is>
      </c>
      <c r="E20920" s="10" t="inlineStr">
        <is>
          <t>Lương:15 Tr - 18 Tr VND</t>
        </is>
      </c>
      <c r="F20920" s="10" t="inlineStr">
        <is>
          <t>Long An</t>
        </is>
      </c>
      <c r="G20920" s="10" t="inlineStr">
        <is>
          <t>1</t>
        </is>
      </c>
      <c r="H20920" s="10" t="inlineStr">
        <is>
          <t>18/03/2026</t>
        </is>
      </c>
      <c r="I20920" s="10" t="inlineStr">
        <is>
          <t>17/03/2026</t>
        </is>
      </c>
      <c r="J20920" s="10" t="inlineStr">
        <is>
          <t>Sản xuất / Vận hành sản xuất</t>
        </is>
      </c>
      <c r="K20920" s="10" t="inlineStr">
        <is>
          <t>2 - 3 Năm</t>
        </is>
      </c>
      <c r="L20920" s="11">
        <f>HYPERLINK("https://careerviet.vn/vi/tim-viec-lam/nhan-vien-he-thong.35C63303.html","Xem chi tiết")</f>
        <v/>
      </c>
      <c r="M20920" s="10" t="n"/>
    </row>
    <row r="20921">
      <c r="B20921" s="7" t="n">
        <v>20919</v>
      </c>
      <c r="C20921" t="inlineStr">
        <is>
          <t>NHÂN VIÊN HÀNH CHÍNH  - Y TẾ</t>
        </is>
      </c>
      <c r="D20921" t="inlineStr">
        <is>
          <t>Công Ty Cổ Phần Eurowindow</t>
        </is>
      </c>
      <c r="E20921" t="inlineStr">
        <is>
          <t>Lương:9 Tr - 10 Tr VND</t>
        </is>
      </c>
      <c r="F20921" t="inlineStr">
        <is>
          <t>Hà Nội</t>
        </is>
      </c>
      <c r="G20921" t="inlineStr">
        <is>
          <t>1</t>
        </is>
      </c>
      <c r="H20921" t="inlineStr">
        <is>
          <t>18/03/2026</t>
        </is>
      </c>
      <c r="I20921" t="inlineStr">
        <is>
          <t>17/03/2026</t>
        </is>
      </c>
      <c r="J20921" t="inlineStr">
        <is>
          <t>An toàn lao động, Hành chính / Thư ký, Kế toán / Kiểm toán</t>
        </is>
      </c>
      <c r="K20921" t="inlineStr">
        <is>
          <t>1 - 2 Năm</t>
        </is>
      </c>
      <c r="L20921" s="8">
        <f>HYPERLINK("https://careerviet.vn/vi/tim-viec-lam/nhan-vien-hanh-chinh-y-te.35C65E33.html","Xem chi tiết")</f>
        <v/>
      </c>
    </row>
    <row r="20922">
      <c r="B20922" s="9" t="n">
        <v>20920</v>
      </c>
      <c r="C20922" s="10" t="inlineStr">
        <is>
          <t>Trợ lý Tiếng Trung (Bộ phận Thiết bị)</t>
        </is>
      </c>
      <c r="D20922" s="10" t="inlineStr">
        <is>
          <t>CÔNG TY TNHH ELECTRONIC TRIPOD VIỆT NAM (CHÂU ĐỨC)</t>
        </is>
      </c>
      <c r="E20922" s="10" t="inlineStr">
        <is>
          <t>Lương:Cạnh tranh</t>
        </is>
      </c>
      <c r="F20922" s="10" t="inlineStr">
        <is>
          <t>Bà Rịa - Vũng Tàu</t>
        </is>
      </c>
      <c r="G20922" s="10" t="inlineStr">
        <is>
          <t>1</t>
        </is>
      </c>
      <c r="H20922" s="10" t="inlineStr">
        <is>
          <t>18/03/2026</t>
        </is>
      </c>
      <c r="I20922" s="10" t="inlineStr">
        <is>
          <t>17/03/2026</t>
        </is>
      </c>
      <c r="J20922" s="10" t="inlineStr">
        <is>
          <t>Hành chính / Thư ký, Nhân sự, Biên phiên dịch</t>
        </is>
      </c>
      <c r="K20922" s="10" t="inlineStr">
        <is>
          <t>Chưa có kinh nghiệm</t>
        </is>
      </c>
      <c r="L20922" s="11">
        <f>HYPERLINK("https://careerviet.vn/vi/tim-viec-lam/tro-ly-tieng-trung-bo-phan-thiet-bi.35C63323.html","Xem chi tiết")</f>
        <v/>
      </c>
      <c r="M20922" s="10" t="n"/>
    </row>
    <row r="20923">
      <c r="B20923" s="7" t="n">
        <v>20921</v>
      </c>
      <c r="C20923" t="inlineStr">
        <is>
          <t>Trưởng bộ phận OCPT</t>
        </is>
      </c>
      <c r="D20923" t="inlineStr">
        <is>
          <t>Công ty TNHH Giày Apache Việt Nam</t>
        </is>
      </c>
      <c r="E20923" t="inlineStr">
        <is>
          <t>Lương:15 Tr - 22 Tr VND</t>
        </is>
      </c>
      <c r="F20923" t="inlineStr">
        <is>
          <t>Tiền Giang</t>
        </is>
      </c>
      <c r="G20923" t="inlineStr">
        <is>
          <t>2</t>
        </is>
      </c>
      <c r="H20923" t="inlineStr">
        <is>
          <t>18/03/2026</t>
        </is>
      </c>
      <c r="I20923" t="inlineStr">
        <is>
          <t>17/03/2026</t>
        </is>
      </c>
      <c r="J20923" t="inlineStr">
        <is>
          <t>Dệt may / Da giày / Thời trang, Quản lý chất lượng (QA/QC)</t>
        </is>
      </c>
      <c r="K20923" t="inlineStr">
        <is>
          <t>1 - 5 Năm</t>
        </is>
      </c>
      <c r="L20923" s="8">
        <f>HYPERLINK("https://careerviet.vn/vi/tim-viec-lam/truong-bo-phan-ocpt.35C65E63.html","Xem chi tiết")</f>
        <v/>
      </c>
    </row>
    <row r="20924">
      <c r="B20924" s="9" t="n">
        <v>20922</v>
      </c>
      <c r="C20924" s="10" t="inlineStr">
        <is>
          <t>Kỹ sư Bảo trì Thiết bị (Maintenance Engineer) - Tiếng Anh hoặc tiếng Trung</t>
        </is>
      </c>
      <c r="D20924" s="10" t="inlineStr">
        <is>
          <t>CÔNG TY TNHH ELECTRONIC TRIPOD VIỆT NAM (CHÂU ĐỨC)</t>
        </is>
      </c>
      <c r="E20924" s="10" t="inlineStr">
        <is>
          <t>Lương:Cạnh tranh</t>
        </is>
      </c>
      <c r="F20924" s="10" t="inlineStr">
        <is>
          <t>Bà Rịa - Vũng Tàu</t>
        </is>
      </c>
      <c r="G20924" s="10" t="inlineStr">
        <is>
          <t>1</t>
        </is>
      </c>
      <c r="H20924" s="10" t="inlineStr">
        <is>
          <t>18/03/2026</t>
        </is>
      </c>
      <c r="I20924" s="10" t="inlineStr">
        <is>
          <t>17/03/2026</t>
        </is>
      </c>
      <c r="J20924" s="10" t="inlineStr">
        <is>
          <t>Cơ khí / Ô tô / Tự động hóa, Điện / Điện tử / Điện lạnh / Điện công nghiệp, Bảo trì / Sửa chữa</t>
        </is>
      </c>
      <c r="K20924" s="10" t="inlineStr">
        <is>
          <t>Chưa có kinh nghiệm</t>
        </is>
      </c>
      <c r="L20924" s="11">
        <f>HYPERLINK("https://careerviet.vn/vi/tim-viec-lam/ky-su-bao-tri-thiet-bi-maintenance-engineer-tieng-anh-hoac-tieng-trung.35C6331C.html","Xem chi tiết")</f>
        <v/>
      </c>
      <c r="M20924" s="10" t="n"/>
    </row>
    <row r="20925">
      <c r="B20925" s="7" t="n">
        <v>20923</v>
      </c>
      <c r="C20925" t="inlineStr">
        <is>
          <t>Kỹ thuật viên vận hành (sản xuất bia)</t>
        </is>
      </c>
      <c r="D20925" t="inlineStr">
        <is>
          <t>Anheuser-Busch InBev (AB InBev)</t>
        </is>
      </c>
      <c r="E20925" t="inlineStr">
        <is>
          <t>Lương:Cạnh tranh</t>
        </is>
      </c>
      <c r="F20925" t="inlineStr">
        <is>
          <t>Bình Dương</t>
        </is>
      </c>
      <c r="G20925" t="inlineStr">
        <is>
          <t>1</t>
        </is>
      </c>
      <c r="H20925" t="inlineStr">
        <is>
          <t>18/03/2026</t>
        </is>
      </c>
      <c r="I20925" t="inlineStr">
        <is>
          <t>17/03/2026</t>
        </is>
      </c>
      <c r="J20925" t="inlineStr">
        <is>
          <t>Sản xuất / Vận hành sản xuất</t>
        </is>
      </c>
      <c r="K20925" t="inlineStr">
        <is>
          <t>Trên 1 Năm</t>
        </is>
      </c>
      <c r="L20925" s="8">
        <f>HYPERLINK("https://careerviet.vn/vi/tim-viec-lam/ky-thuat-vien-van-hanh-san-xuat-bia.35C63352.html","Xem chi tiết")</f>
        <v/>
      </c>
    </row>
    <row r="20926">
      <c r="B20926" s="9" t="n">
        <v>20924</v>
      </c>
      <c r="C20926" s="10" t="inlineStr">
        <is>
          <t>SALES EXECUTIVE (FOOD INGREDIENTS)</t>
        </is>
      </c>
      <c r="D20926" s="10" t="inlineStr">
        <is>
          <t>CÔNG TY TNHH THIỀN</t>
        </is>
      </c>
      <c r="E20926" s="10" t="inlineStr">
        <is>
          <t>Lương:1.000 - 1.500 USD</t>
        </is>
      </c>
      <c r="F20926" s="10" t="inlineStr">
        <is>
          <t>Hồ Chí Minh</t>
        </is>
      </c>
      <c r="G20926" s="10" t="inlineStr">
        <is>
          <t>2</t>
        </is>
      </c>
      <c r="H20926" s="10" t="inlineStr">
        <is>
          <t>18/03/2026</t>
        </is>
      </c>
      <c r="I20926" s="10" t="inlineStr">
        <is>
          <t>17/03/2026</t>
        </is>
      </c>
      <c r="J20926" s="10" t="inlineStr">
        <is>
          <t>Bán hàng / Kinh doanh</t>
        </is>
      </c>
      <c r="K20926" s="10" t="inlineStr">
        <is>
          <t>Trên 7 Năm</t>
        </is>
      </c>
      <c r="L20926" s="11">
        <f>HYPERLINK("https://careerviet.vn/vi/tim-viec-lam/sales-executive-food-ingredients.35C65E56.html","Xem chi tiết")</f>
        <v/>
      </c>
      <c r="M20926" s="10" t="n"/>
    </row>
    <row r="20927">
      <c r="B20927" s="7" t="n">
        <v>20925</v>
      </c>
      <c r="C20927" t="inlineStr">
        <is>
          <t>Chuyên viên Lập trình Python-ODoo</t>
        </is>
      </c>
      <c r="D20927" t="inlineStr">
        <is>
          <t>Công ty Cổ phần CANIFA</t>
        </is>
      </c>
      <c r="E20927" t="inlineStr">
        <is>
          <t>Lương:16 Tr - 30 Tr VND</t>
        </is>
      </c>
      <c r="F20927" t="inlineStr">
        <is>
          <t>Hà Nội</t>
        </is>
      </c>
      <c r="G20927" t="inlineStr">
        <is>
          <t>1</t>
        </is>
      </c>
      <c r="H20927" t="inlineStr">
        <is>
          <t>18/03/2026</t>
        </is>
      </c>
      <c r="I20927" t="inlineStr">
        <is>
          <t>17/03/2026</t>
        </is>
      </c>
      <c r="J20927" t="inlineStr">
        <is>
          <t>CNTT - Phần mềm</t>
        </is>
      </c>
      <c r="K20927" t="inlineStr">
        <is>
          <t>1 - 5 Năm</t>
        </is>
      </c>
      <c r="L20927" s="8">
        <f>HYPERLINK("https://careerviet.vn/vi/tim-viec-lam/chuyen-vien-lap-trinh-python-odoo.35C65DEB.html","Xem chi tiết")</f>
        <v/>
      </c>
    </row>
    <row r="20928">
      <c r="B20928" s="9" t="n">
        <v>20926</v>
      </c>
      <c r="C20928" s="10" t="inlineStr">
        <is>
          <t>Payable Account and Assistant to Manager</t>
        </is>
      </c>
      <c r="D20928" s="10" t="inlineStr">
        <is>
          <t>ASIAN TRAILS - CÔNG TY TNHH DU LỊCH ĐƯỜNG MÒN CHÂU Á</t>
        </is>
      </c>
      <c r="E20928" s="10" t="inlineStr">
        <is>
          <t>Lương:Cạnh tranh</t>
        </is>
      </c>
      <c r="F20928" s="10" t="inlineStr">
        <is>
          <t>Đà Nẵng</t>
        </is>
      </c>
      <c r="G20928" s="10" t="inlineStr">
        <is>
          <t>1</t>
        </is>
      </c>
      <c r="H20928" s="10" t="inlineStr">
        <is>
          <t>18/03/2026</t>
        </is>
      </c>
      <c r="I20928" s="10" t="inlineStr">
        <is>
          <t>17/03/2026</t>
        </is>
      </c>
      <c r="J20928" s="10" t="inlineStr">
        <is>
          <t>Kế toán / Kiểm toán, Tài chính / Đầu tư, Du lịch</t>
        </is>
      </c>
      <c r="K20928" s="10" t="inlineStr">
        <is>
          <t>1 - 2 Năm</t>
        </is>
      </c>
      <c r="L20928" s="11">
        <f>HYPERLINK("https://careerviet.vn/vi/tim-viec-lam/payable-account-and-assistant-to-manager.35C5EA47.html","Xem chi tiết")</f>
        <v/>
      </c>
      <c r="M20928" s="10" t="n"/>
    </row>
    <row r="20929">
      <c r="B20929" s="7" t="n">
        <v>20927</v>
      </c>
      <c r="C20929" t="inlineStr">
        <is>
          <t>NHÂN VIÊN KỸ THUẬT SẢN XUẤT</t>
        </is>
      </c>
      <c r="D20929" t="inlineStr">
        <is>
          <t>CÔNG TY TNHH NITTO DENSEN KOGYO VIỆT NAM</t>
        </is>
      </c>
      <c r="E20929" t="inlineStr">
        <is>
          <t>Lương:10,5 Tr - 12 Tr VND</t>
        </is>
      </c>
      <c r="F20929" t="inlineStr">
        <is>
          <t>Đồng Nai</t>
        </is>
      </c>
      <c r="G20929" t="inlineStr">
        <is>
          <t>1</t>
        </is>
      </c>
      <c r="H20929" t="inlineStr">
        <is>
          <t>18/03/2026</t>
        </is>
      </c>
      <c r="I20929" t="inlineStr">
        <is>
          <t>17/03/2026</t>
        </is>
      </c>
      <c r="J20929" t="inlineStr">
        <is>
          <t>Điện / Điện tử / Điện lạnh / Điện công nghiệp</t>
        </is>
      </c>
      <c r="K20929" t="inlineStr">
        <is>
          <t>1 - 2 Năm</t>
        </is>
      </c>
      <c r="L20929" s="8">
        <f>HYPERLINK("https://careerviet.vn/vi/tim-viec-lam/nhan-vien-ky-thuat-san-xuat.35C65E41.html","Xem chi tiết")</f>
        <v/>
      </c>
    </row>
    <row r="20930">
      <c r="B20930" s="9" t="n">
        <v>20928</v>
      </c>
      <c r="C20930" s="10" t="inlineStr">
        <is>
          <t>Kỹ Sư Giải Pháp Hạ Tầng CNTT</t>
        </is>
      </c>
      <c r="D20930" s="10" t="inlineStr">
        <is>
          <t>GTEL ICT</t>
        </is>
      </c>
      <c r="E20930" s="10" t="inlineStr">
        <is>
          <t>Lương:15 Tr - 30 Tr VND</t>
        </is>
      </c>
      <c r="F20930" s="10" t="inlineStr">
        <is>
          <t>Hà Nội</t>
        </is>
      </c>
      <c r="G20930" s="10" t="inlineStr">
        <is>
          <t>1</t>
        </is>
      </c>
      <c r="H20930" s="10" t="inlineStr">
        <is>
          <t>18/03/2026</t>
        </is>
      </c>
      <c r="I20930" s="10" t="inlineStr">
        <is>
          <t>17/03/2026</t>
        </is>
      </c>
      <c r="J20930" s="10" t="inlineStr">
        <is>
          <t>CNTT - Phần mềm, CNTT - Phần cứng / Mạng</t>
        </is>
      </c>
      <c r="K20930" s="10" t="inlineStr">
        <is>
          <t>Trên 3 Năm</t>
        </is>
      </c>
      <c r="L20930" s="11">
        <f>HYPERLINK("https://careerviet.vn/vi/tim-viec-lam/ky-su-giai-phap-ha-tang-cntt.35C63421.html","Xem chi tiết")</f>
        <v/>
      </c>
      <c r="M20930" s="10" t="n"/>
    </row>
    <row r="20931">
      <c r="B20931" s="7" t="n">
        <v>20929</v>
      </c>
      <c r="C20931" t="inlineStr">
        <is>
          <t>Nhân viên cơ điện lạnh</t>
        </is>
      </c>
      <c r="D20931" t="inlineStr">
        <is>
          <t>Công Ty TNHH Thương Mại Sản Xuất Hoàng Cầm</t>
        </is>
      </c>
      <c r="E20931" t="inlineStr">
        <is>
          <t>Lương:10 Tr - 15 Tr VND</t>
        </is>
      </c>
      <c r="F20931" t="inlineStr">
        <is>
          <t>Hồ Chí MinhBà Rịa - Vũng Tàu</t>
        </is>
      </c>
      <c r="G20931" t="inlineStr">
        <is>
          <t>1</t>
        </is>
      </c>
      <c r="H20931" t="inlineStr">
        <is>
          <t>18/03/2026</t>
        </is>
      </c>
      <c r="I20931" t="inlineStr">
        <is>
          <t>17/03/2026</t>
        </is>
      </c>
      <c r="J20931" t="inlineStr">
        <is>
          <t>Điện / Điện tử / Điện lạnh / Điện công nghiệp</t>
        </is>
      </c>
      <c r="K20931" t="inlineStr">
        <is>
          <t>Trên 1 Năm</t>
        </is>
      </c>
      <c r="L20931" s="8">
        <f>HYPERLINK("https://careerviet.vn/vi/tim-viec-lam/nhan-vien-co-dien-lanh.35C64FD4.html","Xem chi tiết")</f>
        <v/>
      </c>
    </row>
    <row r="20932">
      <c r="B20932" s="9" t="n">
        <v>20930</v>
      </c>
      <c r="C20932" s="10" t="inlineStr">
        <is>
          <t>Sale Executive</t>
        </is>
      </c>
      <c r="D20932" s="10" t="inlineStr">
        <is>
          <t>CÔNG TY TNHH THIỀN</t>
        </is>
      </c>
      <c r="E20932" s="10" t="inlineStr">
        <is>
          <t>Lương:30 Tr - 35 Tr VND</t>
        </is>
      </c>
      <c r="F20932" s="10" t="inlineStr">
        <is>
          <t>Hà Nội</t>
        </is>
      </c>
      <c r="G20932" s="10" t="inlineStr">
        <is>
          <t>2</t>
        </is>
      </c>
      <c r="H20932" s="10" t="inlineStr">
        <is>
          <t>18/03/2026</t>
        </is>
      </c>
      <c r="I20932" s="10" t="inlineStr">
        <is>
          <t>17/03/2026</t>
        </is>
      </c>
      <c r="J20932" s="10" t="inlineStr">
        <is>
          <t>Bán hàng / Kinh doanh</t>
        </is>
      </c>
      <c r="K20932" s="10" t="inlineStr">
        <is>
          <t>Trên 4 Năm</t>
        </is>
      </c>
      <c r="L20932" s="11">
        <f>HYPERLINK("https://careerviet.vn/vi/tim-viec-lam/sale-executive.35C65E54.html","Xem chi tiết")</f>
        <v/>
      </c>
      <c r="M20932" s="10" t="n"/>
    </row>
    <row r="20933">
      <c r="B20933" s="7" t="n">
        <v>20931</v>
      </c>
      <c r="C20933" t="inlineStr">
        <is>
          <t>THỦ KHO (LAI VUNG - ĐỒNG THÁP)</t>
        </is>
      </c>
      <c r="D20933" t="inlineStr">
        <is>
          <t>CÔNG TY TNHH ĐẦU TƯ ITS</t>
        </is>
      </c>
      <c r="E20933" t="inlineStr">
        <is>
          <t>Lương:8 Tr - 10 Tr VND</t>
        </is>
      </c>
      <c r="F20933" t="inlineStr">
        <is>
          <t>Đồng Tháp</t>
        </is>
      </c>
      <c r="G20933" t="inlineStr">
        <is>
          <t>1</t>
        </is>
      </c>
      <c r="H20933" t="inlineStr">
        <is>
          <t>18/03/2026</t>
        </is>
      </c>
      <c r="I20933" t="inlineStr">
        <is>
          <t>17/03/2026</t>
        </is>
      </c>
      <c r="J20933" t="inlineStr">
        <is>
          <t>Vận chuyển / Giao nhận / Kho vận, Sản xuất / Vận hành sản xuất, Dệt may / Da giày / Thời trang</t>
        </is>
      </c>
      <c r="K20933" t="inlineStr">
        <is>
          <t>1 - 2 Năm</t>
        </is>
      </c>
      <c r="L20933" s="8">
        <f>HYPERLINK("https://careerviet.vn/vi/tim-viec-lam/thu-kho-lai-vung-dong-thap.35C65DDD.html","Xem chi tiết")</f>
        <v/>
      </c>
    </row>
    <row r="20934">
      <c r="B20934" s="9" t="n">
        <v>20932</v>
      </c>
      <c r="C20934" s="10" t="inlineStr">
        <is>
          <t>Trưởng phòng kinh doanh</t>
        </is>
      </c>
      <c r="D20934" s="10" t="inlineStr">
        <is>
          <t>Công ty TNHH Di Đại Hưng</t>
        </is>
      </c>
      <c r="E20934" s="10" t="inlineStr">
        <is>
          <t>Lương:Cạnh tranh</t>
        </is>
      </c>
      <c r="F20934" s="10" t="inlineStr">
        <is>
          <t>Hồ Chí Minh</t>
        </is>
      </c>
      <c r="G20934" s="10" t="inlineStr">
        <is>
          <t>1</t>
        </is>
      </c>
      <c r="H20934" s="10" t="inlineStr">
        <is>
          <t>18/03/2026</t>
        </is>
      </c>
      <c r="I20934" s="10" t="inlineStr">
        <is>
          <t>17/03/2026</t>
        </is>
      </c>
      <c r="J20934" s="10" t="inlineStr">
        <is>
          <t>Bán lẻ / Bán sỉ, Bán hàng / Kinh doanh, Hàng gia dụng / Chăm sóc cá nhân</t>
        </is>
      </c>
      <c r="K20934" s="10" t="inlineStr">
        <is>
          <t>5 - 7 Năm</t>
        </is>
      </c>
      <c r="L20934" s="11">
        <f>HYPERLINK("https://careerviet.vn/vi/tim-viec-lam/truong-phong-kinh-doanh.35C65E2A.html","Xem chi tiết")</f>
        <v/>
      </c>
      <c r="M20934" s="10" t="n"/>
    </row>
    <row r="20935">
      <c r="B20935" s="7" t="n">
        <v>20933</v>
      </c>
      <c r="C20935" t="inlineStr">
        <is>
          <t>Nhân viên Kỹ thuật</t>
        </is>
      </c>
      <c r="D20935" t="inlineStr">
        <is>
          <t>Tập Đoàn Kim Tín</t>
        </is>
      </c>
      <c r="E20935" t="inlineStr">
        <is>
          <t>Lương:Cạnh tranh</t>
        </is>
      </c>
      <c r="F20935" t="inlineStr">
        <is>
          <t>Long An</t>
        </is>
      </c>
      <c r="G20935" t="inlineStr">
        <is>
          <t>1</t>
        </is>
      </c>
      <c r="H20935" t="inlineStr">
        <is>
          <t>18/03/2026</t>
        </is>
      </c>
      <c r="I20935" t="inlineStr">
        <is>
          <t>17/03/2026</t>
        </is>
      </c>
      <c r="J20935" t="inlineStr">
        <is>
          <t>Cơ khí / Ô tô / Tự động hóa, Sản xuất / Vận hành sản xuất</t>
        </is>
      </c>
      <c r="K20935" t="inlineStr">
        <is>
          <t>1 - 3 Năm</t>
        </is>
      </c>
      <c r="L20935" s="8">
        <f>HYPERLINK("https://careerviet.vn/vi/tim-viec-lam/nhan-vien-ky-thuat.35C6324B.html","Xem chi tiết")</f>
        <v/>
      </c>
    </row>
    <row r="20936">
      <c r="B20936" s="9" t="n">
        <v>20934</v>
      </c>
      <c r="C20936" s="10" t="inlineStr">
        <is>
          <t>NHÂN VIÊN KIỂM SOÁT CHẤT LƯỢNG QC</t>
        </is>
      </c>
      <c r="D20936" s="10" t="inlineStr">
        <is>
          <t>CÔNG TY TNHH NITTO DENSEN KOGYO VIỆT NAM</t>
        </is>
      </c>
      <c r="E20936" s="10" t="inlineStr">
        <is>
          <t>Lương:12 Tr - 14 Tr VND</t>
        </is>
      </c>
      <c r="F20936" s="10" t="inlineStr">
        <is>
          <t>Đồng Nai</t>
        </is>
      </c>
      <c r="G20936" s="10" t="inlineStr">
        <is>
          <t>1</t>
        </is>
      </c>
      <c r="H20936" s="10" t="inlineStr">
        <is>
          <t>18/03/2026</t>
        </is>
      </c>
      <c r="I20936" s="10" t="inlineStr">
        <is>
          <t>17/03/2026</t>
        </is>
      </c>
      <c r="J20936" s="10" t="inlineStr">
        <is>
          <t>Cơ khí / Ô tô / Tự động hóa</t>
        </is>
      </c>
      <c r="K20936" s="10" t="inlineStr">
        <is>
          <t>1 - 2 Năm</t>
        </is>
      </c>
      <c r="L20936" s="11">
        <f>HYPERLINK("https://careerviet.vn/vi/tim-viec-lam/nhan-vien-kiem-soat-chat-luong-qc.35C65E3F.html","Xem chi tiết")</f>
        <v/>
      </c>
      <c r="M20936" s="10" t="n"/>
    </row>
    <row r="20937">
      <c r="B20937" s="7" t="n">
        <v>20935</v>
      </c>
      <c r="C20937" t="inlineStr">
        <is>
          <t>Nhân viên hỗ trợ người dùng ERP</t>
        </is>
      </c>
      <c r="D20937" t="inlineStr">
        <is>
          <t>Công ty Cổ phần CANIFA</t>
        </is>
      </c>
      <c r="E20937" t="inlineStr">
        <is>
          <t>Lương:10 Tr - 16 Tr VND</t>
        </is>
      </c>
      <c r="F20937" t="inlineStr">
        <is>
          <t>Hà Nội</t>
        </is>
      </c>
      <c r="G20937" t="inlineStr">
        <is>
          <t>1</t>
        </is>
      </c>
      <c r="H20937" t="inlineStr">
        <is>
          <t>18/03/2026</t>
        </is>
      </c>
      <c r="I20937" t="inlineStr">
        <is>
          <t>17/03/2026</t>
        </is>
      </c>
      <c r="J20937" t="inlineStr">
        <is>
          <t>CNTT - Phần mềm</t>
        </is>
      </c>
      <c r="K20937" t="inlineStr">
        <is>
          <t>1 - 3 Năm</t>
        </is>
      </c>
      <c r="L20937" s="8">
        <f>HYPERLINK("https://careerviet.vn/vi/tim-viec-lam/nhan-vien-ho-tro-nguoi-dung-erp.35C65DEC.html","Xem chi tiết")</f>
        <v/>
      </c>
    </row>
    <row r="20938">
      <c r="B20938" s="9" t="n">
        <v>20936</v>
      </c>
      <c r="C20938" s="10" t="inlineStr">
        <is>
          <t>Nhân Viên Đặt Hàng</t>
        </is>
      </c>
      <c r="D20938" s="10" t="inlineStr">
        <is>
          <t>CÔNG TY CỔ PHẦN MÁY CÔNG TRÌNH PHÚC LONG</t>
        </is>
      </c>
      <c r="E20938" s="10" t="inlineStr">
        <is>
          <t>Lương:Cạnh tranh</t>
        </is>
      </c>
      <c r="F20938" s="10" t="inlineStr">
        <is>
          <t>Hà Nội</t>
        </is>
      </c>
      <c r="G20938" s="10" t="inlineStr">
        <is>
          <t>1</t>
        </is>
      </c>
      <c r="H20938" s="10" t="inlineStr">
        <is>
          <t>18/03/2026</t>
        </is>
      </c>
      <c r="I20938" s="10" t="inlineStr">
        <is>
          <t>17/03/2026</t>
        </is>
      </c>
      <c r="J20938" s="10" t="inlineStr">
        <is>
          <t>Xuất nhập khẩu, Hành chính / Thư ký, Vận chuyển / Giao nhận / Kho vận</t>
        </is>
      </c>
      <c r="K20938" s="10" t="inlineStr">
        <is>
          <t>Trên 3 Năm</t>
        </is>
      </c>
      <c r="L20938" s="11">
        <f>HYPERLINK("https://careerviet.vn/vi/tim-viec-lam/nhan-vien-dat-hang.35C63310.html","Xem chi tiết")</f>
        <v/>
      </c>
      <c r="M20938" s="10" t="n"/>
    </row>
    <row r="20939">
      <c r="B20939" s="7" t="n">
        <v>20937</v>
      </c>
      <c r="C20939" t="inlineStr">
        <is>
          <t>Nhân viên mua hàng (làm việc tại nhà)</t>
        </is>
      </c>
      <c r="D20939" t="inlineStr">
        <is>
          <t>CÔNG TY TNHH THIỀN</t>
        </is>
      </c>
      <c r="E20939" t="inlineStr">
        <is>
          <t>Lương:15 Tr - 30 Tr VND</t>
        </is>
      </c>
      <c r="F20939" t="inlineStr">
        <is>
          <t>Tuyên Quang</t>
        </is>
      </c>
      <c r="G20939" t="inlineStr">
        <is>
          <t>2</t>
        </is>
      </c>
      <c r="H20939" t="inlineStr">
        <is>
          <t>18/03/2026</t>
        </is>
      </c>
      <c r="I20939" t="inlineStr">
        <is>
          <t>17/03/2026</t>
        </is>
      </c>
      <c r="J20939" t="inlineStr">
        <is>
          <t>Sản xuất / Vận hành sản xuất, Đồ gỗ, Thu mua / Vật tư</t>
        </is>
      </c>
      <c r="K20939" t="inlineStr">
        <is>
          <t>Trên 1 Năm</t>
        </is>
      </c>
      <c r="L20939" s="8">
        <f>HYPERLINK("https://careerviet.vn/vi/tim-viec-lam/nhan-vien-mua-hang-lam-viec-tai-nha.35C65E55.html","Xem chi tiết")</f>
        <v/>
      </c>
    </row>
    <row r="20940">
      <c r="B20940" s="9" t="n">
        <v>20938</v>
      </c>
      <c r="C20940" s="10" t="inlineStr">
        <is>
          <t>Nhân viên QC</t>
        </is>
      </c>
      <c r="D20940" s="10" t="inlineStr">
        <is>
          <t>Công ty cổ phần xây dựng và thương mại Tam Long</t>
        </is>
      </c>
      <c r="E20940" s="10" t="inlineStr">
        <is>
          <t>Lương:11 Tr - 15 Tr VND</t>
        </is>
      </c>
      <c r="F20940" s="10" t="inlineStr">
        <is>
          <t>Hải Phòng</t>
        </is>
      </c>
      <c r="G20940" s="10" t="inlineStr">
        <is>
          <t>1</t>
        </is>
      </c>
      <c r="H20940" s="10" t="inlineStr">
        <is>
          <t>18/03/2026</t>
        </is>
      </c>
      <c r="I20940" s="10" t="inlineStr">
        <is>
          <t>17/03/2026</t>
        </is>
      </c>
      <c r="J20940" s="10" t="inlineStr">
        <is>
          <t>Cơ khí / Ô tô / Tự động hóa</t>
        </is>
      </c>
      <c r="K20940" s="10" t="inlineStr">
        <is>
          <t>1 - 3 Năm</t>
        </is>
      </c>
      <c r="L20940" s="11">
        <f>HYPERLINK("https://careerviet.vn/vi/tim-viec-lam/nhan-vien-qc.35C65DDA.html","Xem chi tiết")</f>
        <v/>
      </c>
      <c r="M20940" s="10" t="n"/>
    </row>
    <row r="20941">
      <c r="B20941" s="7" t="n">
        <v>20939</v>
      </c>
      <c r="C20941" t="inlineStr">
        <is>
          <t>KỸ THUẬT VIÊN CMM</t>
        </is>
      </c>
      <c r="D20941" t="inlineStr">
        <is>
          <t>CÔNG TY TNHH CARBORI MOLDS VIỆT NAM</t>
        </is>
      </c>
      <c r="E20941" t="inlineStr">
        <is>
          <t>Lương:Cạnh tranh</t>
        </is>
      </c>
      <c r="F20941" t="inlineStr">
        <is>
          <t>Đồng Nai</t>
        </is>
      </c>
      <c r="G20941" t="inlineStr">
        <is>
          <t>1</t>
        </is>
      </c>
      <c r="H20941" t="inlineStr">
        <is>
          <t>18/03/2026</t>
        </is>
      </c>
      <c r="I20941" t="inlineStr">
        <is>
          <t>17/03/2026</t>
        </is>
      </c>
      <c r="J20941" t="inlineStr">
        <is>
          <t>Cơ khí / Ô tô / Tự động hóa, Quản lý chất lượng (QA/QC)</t>
        </is>
      </c>
      <c r="K20941" t="inlineStr">
        <is>
          <t>1 - 3 Năm</t>
        </is>
      </c>
      <c r="L20941" s="8">
        <f>HYPERLINK("https://careerviet.vn/vi/tim-viec-lam/ky-thuat-vien-cmm.35C63362.html","Xem chi tiết")</f>
        <v/>
      </c>
    </row>
    <row r="20942">
      <c r="B20942" s="9" t="n">
        <v>20940</v>
      </c>
      <c r="C20942" s="10" t="inlineStr">
        <is>
          <t>Nhân Viên Tư Vấn Vé Máy Bay</t>
        </is>
      </c>
      <c r="D20942" s="10" t="inlineStr">
        <is>
          <t>CÔNG TY TNHH DỊCH VỤ RENRUI VIỆT NAM</t>
        </is>
      </c>
      <c r="E20942" s="10" t="inlineStr">
        <is>
          <t>Lương:11 Tr - 13 Tr VND</t>
        </is>
      </c>
      <c r="F20942" s="10" t="inlineStr">
        <is>
          <t>Hồ Chí Minh</t>
        </is>
      </c>
      <c r="G20942" s="10" t="inlineStr">
        <is>
          <t>1</t>
        </is>
      </c>
      <c r="H20942" s="10" t="inlineStr">
        <is>
          <t>18/03/2026</t>
        </is>
      </c>
      <c r="I20942" s="10" t="inlineStr">
        <is>
          <t>17/03/2026</t>
        </is>
      </c>
      <c r="J20942" s="10" t="inlineStr">
        <is>
          <t>Dịch vụ khách hàng, Hành chính / Thư ký, Du lịch</t>
        </is>
      </c>
      <c r="K20942" s="10" t="inlineStr">
        <is>
          <t>Lên đến 1 Năm</t>
        </is>
      </c>
      <c r="L20942" s="11">
        <f>HYPERLINK("https://careerviet.vn/vi/tim-viec-lam/nhan-vien-tu-van-ve-may-bay.35C63267.html","Xem chi tiết")</f>
        <v/>
      </c>
      <c r="M20942" s="10" t="n"/>
    </row>
    <row r="20943">
      <c r="B20943" s="7" t="n">
        <v>20941</v>
      </c>
      <c r="C20943" t="inlineStr">
        <is>
          <t>Khai thác và phát triển giày mẫu</t>
        </is>
      </c>
      <c r="D20943" t="inlineStr">
        <is>
          <t>Công ty TNHH Giày Apache Việt Nam</t>
        </is>
      </c>
      <c r="E20943" t="inlineStr">
        <is>
          <t>Lương:8 Tr - 25 Tr VND</t>
        </is>
      </c>
      <c r="F20943" t="inlineStr">
        <is>
          <t>Tiền Giang</t>
        </is>
      </c>
      <c r="G20943" t="inlineStr">
        <is>
          <t>2</t>
        </is>
      </c>
      <c r="H20943" t="inlineStr">
        <is>
          <t>18/03/2026</t>
        </is>
      </c>
      <c r="I20943" t="inlineStr">
        <is>
          <t>17/03/2026</t>
        </is>
      </c>
      <c r="J20943" t="inlineStr">
        <is>
          <t>Dệt may / Da giày / Thời trang, Ngành khác</t>
        </is>
      </c>
      <c r="K20943" t="inlineStr">
        <is>
          <t>N/A</t>
        </is>
      </c>
      <c r="L20943" s="8">
        <f>HYPERLINK("https://careerviet.vn/vi/tim-viec-lam/khai-thac-va-phat-trien-giay-mau.35C65E5B.html","Xem chi tiết")</f>
        <v/>
      </c>
    </row>
    <row r="20944">
      <c r="B20944" s="9" t="n">
        <v>20942</v>
      </c>
      <c r="C20944" s="10" t="inlineStr">
        <is>
          <t>Kế toán Tổng hợp - Không kinh nghiệm - Tiếng Trung hoặc Tiếng Anh</t>
        </is>
      </c>
      <c r="D20944" s="10" t="inlineStr">
        <is>
          <t>CÔNG TY TNHH ELECTRONIC TRIPOD VIỆT NAM (CHÂU ĐỨC)</t>
        </is>
      </c>
      <c r="E20944" s="10" t="inlineStr">
        <is>
          <t>Lương:Cạnh tranh</t>
        </is>
      </c>
      <c r="F20944" s="10" t="inlineStr">
        <is>
          <t>Bà Rịa - Vũng Tàu</t>
        </is>
      </c>
      <c r="G20944" s="10" t="inlineStr">
        <is>
          <t>1</t>
        </is>
      </c>
      <c r="H20944" s="10" t="inlineStr">
        <is>
          <t>18/03/2026</t>
        </is>
      </c>
      <c r="I20944" s="10" t="inlineStr">
        <is>
          <t>17/03/2026</t>
        </is>
      </c>
      <c r="J20944" s="10" t="inlineStr">
        <is>
          <t>Kế toán / Kiểm toán, Tài chính / Đầu tư</t>
        </is>
      </c>
      <c r="K20944" s="10" t="inlineStr">
        <is>
          <t>N/A</t>
        </is>
      </c>
      <c r="L20944" s="11">
        <f>HYPERLINK("https://careerviet.vn/vi/tim-viec-lam/ke-toan-tong-hop-khong-kinh-nghiem-tieng-trung-hoac-tieng-anh.35C63326.html","Xem chi tiết")</f>
        <v/>
      </c>
      <c r="M20944" s="10" t="n"/>
    </row>
    <row r="20945">
      <c r="B20945" s="7" t="n">
        <v>20943</v>
      </c>
      <c r="C20945" t="inlineStr">
        <is>
          <t>Chuyên viên Thẩm định giá - Cần Thơ</t>
        </is>
      </c>
      <c r="D20945" t="inlineStr">
        <is>
          <t>CÔNG TY CỔ PHẦN CITICS</t>
        </is>
      </c>
      <c r="E20945" t="inlineStr">
        <is>
          <t>Lương:Cạnh tranh</t>
        </is>
      </c>
      <c r="F20945" t="inlineStr">
        <is>
          <t>Cần Thơ</t>
        </is>
      </c>
      <c r="G20945" t="inlineStr">
        <is>
          <t>1</t>
        </is>
      </c>
      <c r="H20945" t="inlineStr">
        <is>
          <t>18/03/2026</t>
        </is>
      </c>
      <c r="I20945" t="inlineStr">
        <is>
          <t>17/03/2026</t>
        </is>
      </c>
      <c r="J20945" t="inlineStr">
        <is>
          <t>Bất động sản</t>
        </is>
      </c>
      <c r="K20945" t="inlineStr">
        <is>
          <t>1 - 2 Năm</t>
        </is>
      </c>
      <c r="L20945" s="8">
        <f>HYPERLINK("https://careerviet.vn/vi/tim-viec-lam/chuyen-vien-tham-dinh-gia-can-tho.35C63A15.html","Xem chi tiết")</f>
        <v/>
      </c>
    </row>
    <row r="20946">
      <c r="B20946" s="9" t="n">
        <v>20944</v>
      </c>
      <c r="C20946" s="10" t="inlineStr">
        <is>
          <t>Chuyên viên Thẩm định giá - An Giang</t>
        </is>
      </c>
      <c r="D20946" s="10" t="inlineStr">
        <is>
          <t>CÔNG TY CỔ PHẦN CITICS</t>
        </is>
      </c>
      <c r="E20946" s="10" t="inlineStr">
        <is>
          <t>Lương:Cạnh tranh</t>
        </is>
      </c>
      <c r="F20946" s="10" t="inlineStr">
        <is>
          <t>An Giang</t>
        </is>
      </c>
      <c r="G20946" s="10" t="inlineStr">
        <is>
          <t>1</t>
        </is>
      </c>
      <c r="H20946" s="10" t="inlineStr">
        <is>
          <t>18/03/2026</t>
        </is>
      </c>
      <c r="I20946" s="10" t="inlineStr">
        <is>
          <t>17/03/2026</t>
        </is>
      </c>
      <c r="J20946" s="10" t="inlineStr">
        <is>
          <t>Bất động sản</t>
        </is>
      </c>
      <c r="K20946" s="10" t="inlineStr">
        <is>
          <t>1 - 2 Năm</t>
        </is>
      </c>
      <c r="L20946" s="11">
        <f>HYPERLINK("https://careerviet.vn/vi/tim-viec-lam/chuyen-vien-tham-dinh-gia-an-giang.35C65E34.html","Xem chi tiết")</f>
        <v/>
      </c>
      <c r="M20946" s="10" t="n"/>
    </row>
    <row r="20947">
      <c r="B20947" s="7" t="n">
        <v>20945</v>
      </c>
      <c r="C20947" t="inlineStr">
        <is>
          <t>NHÂN VIÊN QC</t>
        </is>
      </c>
      <c r="D20947" t="inlineStr">
        <is>
          <t>Công ty Cổ phần TKMB</t>
        </is>
      </c>
      <c r="E20947" t="inlineStr">
        <is>
          <t>Lương:Cạnh tranh</t>
        </is>
      </c>
      <c r="F20947" t="inlineStr">
        <is>
          <t>Long An</t>
        </is>
      </c>
      <c r="G20947" t="inlineStr">
        <is>
          <t>1</t>
        </is>
      </c>
      <c r="H20947" t="inlineStr">
        <is>
          <t>18/03/2026</t>
        </is>
      </c>
      <c r="I20947" t="inlineStr">
        <is>
          <t>17/03/2026</t>
        </is>
      </c>
      <c r="J20947" t="inlineStr">
        <is>
          <t>Hóa học, Quản lý chất lượng (QA/QC), Sản xuất / Vận hành sản xuất</t>
        </is>
      </c>
      <c r="K20947" t="inlineStr">
        <is>
          <t>N/A</t>
        </is>
      </c>
      <c r="L20947" s="8">
        <f>HYPERLINK("https://careerviet.vn/vi/tim-viec-lam/nhan-vien-qc.35C63318.html","Xem chi tiết")</f>
        <v/>
      </c>
    </row>
    <row r="20948">
      <c r="B20948" s="9" t="n">
        <v>20946</v>
      </c>
      <c r="C20948" s="10" t="inlineStr">
        <is>
          <t>Bank Partnership Manager</t>
        </is>
      </c>
      <c r="D20948" s="10" t="inlineStr">
        <is>
          <t>CÔNG TY CỔ PHẦN CITICS</t>
        </is>
      </c>
      <c r="E20948" s="10" t="inlineStr">
        <is>
          <t>Lương:Cạnh tranh</t>
        </is>
      </c>
      <c r="F20948" s="10" t="inlineStr">
        <is>
          <t>Hồ Chí Minh</t>
        </is>
      </c>
      <c r="G20948" s="10" t="inlineStr">
        <is>
          <t>1</t>
        </is>
      </c>
      <c r="H20948" s="10" t="inlineStr">
        <is>
          <t>18/03/2026</t>
        </is>
      </c>
      <c r="I20948" s="10" t="inlineStr">
        <is>
          <t>17/03/2026</t>
        </is>
      </c>
      <c r="J20948" s="10" t="inlineStr">
        <is>
          <t>Ngân hàng</t>
        </is>
      </c>
      <c r="K20948" s="10" t="inlineStr">
        <is>
          <t>Chưa có kinh nghiệm</t>
        </is>
      </c>
      <c r="L20948" s="11">
        <f>HYPERLINK("https://careerviet.vn/vi/tim-viec-lam/bank-partnership-manager.35C65E4E.html","Xem chi tiết")</f>
        <v/>
      </c>
      <c r="M20948" s="10" t="n"/>
    </row>
    <row r="20949">
      <c r="B20949" s="7" t="n">
        <v>20947</v>
      </c>
      <c r="C20949" t="inlineStr">
        <is>
          <t>Chuyên viên Cao cấp Báo cáo Thống kê - Khối Tài chính Kế hoạch - Hội sở HDBank (HCM)</t>
        </is>
      </c>
      <c r="D20949" t="inlineStr">
        <is>
          <t>Ngân hàng TMCP Phát triển TP.HCM (HDBank)</t>
        </is>
      </c>
      <c r="E20949" t="inlineStr">
        <is>
          <t>Lương:20 Tr - 30 Tr VND</t>
        </is>
      </c>
      <c r="F20949" t="inlineStr">
        <is>
          <t>Hồ Chí Minh</t>
        </is>
      </c>
      <c r="G20949" t="inlineStr">
        <is>
          <t>1</t>
        </is>
      </c>
      <c r="H20949" t="inlineStr">
        <is>
          <t>18/03/2026</t>
        </is>
      </c>
      <c r="I20949" t="inlineStr">
        <is>
          <t>17/03/2026</t>
        </is>
      </c>
      <c r="J20949" t="inlineStr">
        <is>
          <t>Bán hàng / Kinh doanh, Ngân hàng, Tài chính / Đầu tư</t>
        </is>
      </c>
      <c r="K20949" t="inlineStr">
        <is>
          <t>3 - 8 Năm</t>
        </is>
      </c>
      <c r="L20949" s="8">
        <f>HYPERLINK("https://careerviet.vn/vi/tim-viec-lam/chuyen-vien-cao-cap-bao-cao-thong-ke-khoi-tai-chinh-ke-hoach-hoi-so-hdbank-hcm.35C65DF0.html","Xem chi tiết")</f>
        <v/>
      </c>
    </row>
    <row r="20950">
      <c r="B20950" s="9" t="n">
        <v>20948</v>
      </c>
      <c r="C20950" s="10" t="inlineStr">
        <is>
          <t>Kỹ Sư Thiết Kế Cơ Khí</t>
        </is>
      </c>
      <c r="D20950" s="10" t="inlineStr">
        <is>
          <t>Công ty TNHH Greystone Data Systems Việt Nam</t>
        </is>
      </c>
      <c r="E20950" s="10" t="inlineStr">
        <is>
          <t>Lương:10 Tr - 20 Tr VND</t>
        </is>
      </c>
      <c r="F20950" s="10" t="inlineStr">
        <is>
          <t>Hồ Chí Minh</t>
        </is>
      </c>
      <c r="G20950" s="10" t="inlineStr">
        <is>
          <t>1</t>
        </is>
      </c>
      <c r="H20950" s="10" t="inlineStr">
        <is>
          <t>18/03/2026</t>
        </is>
      </c>
      <c r="I20950" s="10" t="inlineStr">
        <is>
          <t>17/03/2026</t>
        </is>
      </c>
      <c r="J20950" s="10" t="inlineStr">
        <is>
          <t>Cơ khí / Ô tô / Tự động hóa</t>
        </is>
      </c>
      <c r="K20950" s="10" t="inlineStr">
        <is>
          <t>1 - 2 Năm</t>
        </is>
      </c>
      <c r="L20950" s="11">
        <f>HYPERLINK("https://careerviet.vn/vi/tim-viec-lam/ky-su-thiet-ke-co-khi.35C65E13.html","Xem chi tiết")</f>
        <v/>
      </c>
      <c r="M20950" s="10" t="n"/>
    </row>
    <row r="20951">
      <c r="B20951" s="7" t="n">
        <v>20949</v>
      </c>
      <c r="C20951" t="inlineStr">
        <is>
          <t>Risk Control</t>
        </is>
      </c>
      <c r="D20951" t="inlineStr">
        <is>
          <t>CÔNG TY CỔ PHẦN CITICS</t>
        </is>
      </c>
      <c r="E20951" t="inlineStr">
        <is>
          <t>Lương:20 Tr - 40 Tr VND</t>
        </is>
      </c>
      <c r="F20951" t="inlineStr">
        <is>
          <t>Hồ Chí Minh</t>
        </is>
      </c>
      <c r="G20951" t="inlineStr">
        <is>
          <t>1</t>
        </is>
      </c>
      <c r="H20951" t="inlineStr">
        <is>
          <t>18/03/2026</t>
        </is>
      </c>
      <c r="I20951" t="inlineStr">
        <is>
          <t>17/03/2026</t>
        </is>
      </c>
      <c r="J20951" t="inlineStr">
        <is>
          <t>Kế toán / Kiểm toán, Ngân hàng, Tài chính / Đầu tư</t>
        </is>
      </c>
      <c r="K20951" t="inlineStr">
        <is>
          <t>Chưa có kinh nghiệm</t>
        </is>
      </c>
      <c r="L20951" s="8">
        <f>HYPERLINK("https://careerviet.vn/vi/tim-viec-lam/risk-control.35C65E4F.html","Xem chi tiết")</f>
        <v/>
      </c>
    </row>
    <row r="20952">
      <c r="B20952" s="9" t="n">
        <v>20950</v>
      </c>
      <c r="C20952" s="10" t="inlineStr">
        <is>
          <t>ITL Logistics - Chuyên viên kinh doanh vận tải</t>
        </is>
      </c>
      <c r="D20952" s="10" t="inlineStr">
        <is>
          <t>CÔNG TY CỔ PHẦN  ITL LOGISTICS</t>
        </is>
      </c>
      <c r="E20952" s="10" t="inlineStr">
        <is>
          <t>Lương:Cạnh tranh</t>
        </is>
      </c>
      <c r="F20952" s="10" t="inlineStr">
        <is>
          <t>Hải Phòng</t>
        </is>
      </c>
      <c r="G20952" s="10" t="inlineStr">
        <is>
          <t>4</t>
        </is>
      </c>
      <c r="H20952" s="10" t="inlineStr">
        <is>
          <t>21/03/2026</t>
        </is>
      </c>
      <c r="I20952" s="10" t="inlineStr">
        <is>
          <t>17/03/2026</t>
        </is>
      </c>
      <c r="J20952" s="10" t="inlineStr">
        <is>
          <t>Bán hàng / Kinh doanh, Vận chuyển / Giao nhận / Kho vận</t>
        </is>
      </c>
      <c r="K20952" s="10" t="inlineStr">
        <is>
          <t>1 - 3 Năm</t>
        </is>
      </c>
      <c r="L20952" s="11">
        <f>HYPERLINK("https://careerviet.vn/vi/tim-viec-lam/itl-logistics-chuyen-vien-kinh-doanh-van-tai.35C65CB8.html","Xem chi tiết")</f>
        <v/>
      </c>
      <c r="M20952" s="10" t="n"/>
    </row>
    <row r="20953">
      <c r="B20953" s="7" t="n">
        <v>20951</v>
      </c>
      <c r="C20953" t="inlineStr">
        <is>
          <t>Key Account Management Director - Vật tư &amp; Thiết bị Y Tế (Khu vực Miền Bắc)</t>
        </is>
      </c>
      <c r="D20953" t="inlineStr">
        <is>
          <t>Công Ty Cổ Phần Y Tế Việt Tiến</t>
        </is>
      </c>
      <c r="E20953" t="inlineStr">
        <is>
          <t>Lương:Cạnh tranh</t>
        </is>
      </c>
      <c r="F20953" t="inlineStr">
        <is>
          <t>Hà Nội</t>
        </is>
      </c>
      <c r="G20953" t="inlineStr">
        <is>
          <t>1</t>
        </is>
      </c>
      <c r="H20953" t="inlineStr">
        <is>
          <t>18/03/2026</t>
        </is>
      </c>
      <c r="I20953" t="inlineStr">
        <is>
          <t>17/03/2026</t>
        </is>
      </c>
      <c r="J20953" t="inlineStr">
        <is>
          <t>Y tế / Chăm sóc sức khỏe / Thẩm mỹ / Làm đẹp</t>
        </is>
      </c>
      <c r="K20953" t="inlineStr">
        <is>
          <t>7 - 12 Năm</t>
        </is>
      </c>
      <c r="L20953" s="8">
        <f>HYPERLINK("https://careerviet.vn/vi/tim-viec-lam/key-account-management-director-vat-tu-thiet-bi-y-te-khu-vuc-mien-bac.35C632D3.html","Xem chi tiết")</f>
        <v/>
      </c>
    </row>
    <row r="20954">
      <c r="B20954" s="9" t="n">
        <v>20952</v>
      </c>
      <c r="C20954" s="10" t="inlineStr">
        <is>
          <t>Kỹ thuật viên ép thổi nhựa</t>
        </is>
      </c>
      <c r="D20954" s="10" t="inlineStr">
        <is>
          <t>Công ty Cổ Phần Thảo Mộc Xanh Long An</t>
        </is>
      </c>
      <c r="E20954" s="10" t="inlineStr">
        <is>
          <t>Lương:Cạnh tranh</t>
        </is>
      </c>
      <c r="F20954" s="10" t="inlineStr">
        <is>
          <t>Long An</t>
        </is>
      </c>
      <c r="G20954" s="10" t="inlineStr">
        <is>
          <t>4</t>
        </is>
      </c>
      <c r="H20954" s="10" t="inlineStr">
        <is>
          <t>21/03/2026</t>
        </is>
      </c>
      <c r="I20954" s="10" t="inlineStr">
        <is>
          <t>17/03/2026</t>
        </is>
      </c>
      <c r="J20954" s="10" t="inlineStr">
        <is>
          <t>Cơ khí / Ô tô / Tự động hóa, Sản xuất / Vận hành sản xuất, Điện / Điện tử / Điện lạnh / Điện công nghiệp</t>
        </is>
      </c>
      <c r="K20954" s="10" t="inlineStr">
        <is>
          <t>4 - 5 Năm</t>
        </is>
      </c>
      <c r="L20954" s="11">
        <f>HYPERLINK("https://careerviet.vn/vi/tim-viec-lam/ky-thuat-vien-ep-thoi-nhua.35C6609D.html","Xem chi tiết")</f>
        <v/>
      </c>
      <c r="M20954" s="10" t="n"/>
    </row>
    <row r="20955">
      <c r="B20955" s="7" t="n">
        <v>20953</v>
      </c>
      <c r="C20955" t="inlineStr">
        <is>
          <t>Giám sát An toàn xây dựng</t>
        </is>
      </c>
      <c r="D20955" t="inlineStr">
        <is>
          <t>CÔNG TY CỔ PHẦN XÂY DỰNG VÀ THIẾT KẾ BẮC TRUNG NAM</t>
        </is>
      </c>
      <c r="E20955" t="inlineStr">
        <is>
          <t>Lương:15 Tr - 20 Tr VND</t>
        </is>
      </c>
      <c r="F20955" t="inlineStr">
        <is>
          <t>Đồng Nai</t>
        </is>
      </c>
      <c r="G20955" t="inlineStr">
        <is>
          <t>4</t>
        </is>
      </c>
      <c r="H20955" t="inlineStr">
        <is>
          <t>21/03/2026</t>
        </is>
      </c>
      <c r="I20955" t="inlineStr">
        <is>
          <t>17/03/2026</t>
        </is>
      </c>
      <c r="J20955" t="inlineStr">
        <is>
          <t>An toàn lao động, Xây dựng</t>
        </is>
      </c>
      <c r="K20955" t="inlineStr">
        <is>
          <t>2 - 5 Năm</t>
        </is>
      </c>
      <c r="L20955" s="8">
        <f>HYPERLINK("https://careerviet.vn/vi/tim-viec-lam/giam-sat-an-toan-xay-dung.35C660A2.html","Xem chi tiết")</f>
        <v/>
      </c>
    </row>
    <row r="20956">
      <c r="B20956" s="9" t="n">
        <v>20954</v>
      </c>
      <c r="C20956" s="10" t="inlineStr">
        <is>
          <t>KỸ SƯ BÁN HÀNG</t>
        </is>
      </c>
      <c r="D20956" s="10" t="inlineStr">
        <is>
          <t>Công ty cổ phần thương mại kỹ thuật An Việt - CN TP HCM</t>
        </is>
      </c>
      <c r="E20956" s="10" t="inlineStr">
        <is>
          <t>Lương:18 Tr - 25 Tr VND</t>
        </is>
      </c>
      <c r="F20956" s="10" t="inlineStr">
        <is>
          <t>Hồ Chí Minh</t>
        </is>
      </c>
      <c r="G20956" s="10" t="inlineStr">
        <is>
          <t>4</t>
        </is>
      </c>
      <c r="H20956" s="10" t="inlineStr">
        <is>
          <t>21/03/2026</t>
        </is>
      </c>
      <c r="I20956" s="10" t="inlineStr">
        <is>
          <t>17/03/2026</t>
        </is>
      </c>
      <c r="J20956" s="10" t="inlineStr">
        <is>
          <t>N/A</t>
        </is>
      </c>
      <c r="K20956" s="10" t="inlineStr">
        <is>
          <t>2 - 5 Năm</t>
        </is>
      </c>
      <c r="L20956" s="11">
        <f>HYPERLINK("https://careerviet.vn/vi/tim-viec-lam/ky-su-ban-hang.35C660B1.html","Xem chi tiết")</f>
        <v/>
      </c>
      <c r="M20956" s="10" t="n"/>
    </row>
    <row r="20957">
      <c r="B20957" s="7" t="n">
        <v>20955</v>
      </c>
      <c r="C20957" t="inlineStr">
        <is>
          <t>Nhân viên Designer cum Editor</t>
        </is>
      </c>
      <c r="D20957" t="inlineStr">
        <is>
          <t>CÔNG TY TNHH UWINFLY VIETNAM INDUSTRIES</t>
        </is>
      </c>
      <c r="E20957" t="inlineStr">
        <is>
          <t>Lương:15 Tr - 22 Tr VND</t>
        </is>
      </c>
      <c r="F20957" t="inlineStr">
        <is>
          <t>Hồ Chí Minh</t>
        </is>
      </c>
      <c r="G20957" t="inlineStr">
        <is>
          <t>4</t>
        </is>
      </c>
      <c r="H20957" t="inlineStr">
        <is>
          <t>21/03/2026</t>
        </is>
      </c>
      <c r="I20957" t="inlineStr">
        <is>
          <t>17/03/2026</t>
        </is>
      </c>
      <c r="J20957" t="inlineStr">
        <is>
          <t>Tiếp thị / Marketing, Mỹ thuật / Nghệ thuật / Thiết kế, Quảng cáo / Đối ngoại / Truyền Thông</t>
        </is>
      </c>
      <c r="K20957" t="inlineStr">
        <is>
          <t>2 - 3 Năm</t>
        </is>
      </c>
      <c r="L20957" s="8">
        <f>HYPERLINK("https://careerviet.vn/vi/tim-viec-lam/nhan-vien-designer-cum-editor.35C66126.html","Xem chi tiết")</f>
        <v/>
      </c>
    </row>
    <row r="20958">
      <c r="B20958" s="9" t="n">
        <v>20956</v>
      </c>
      <c r="C20958" s="10" t="inlineStr">
        <is>
          <t>Chuyên viên Thẩm định giá - Quảng Nam</t>
        </is>
      </c>
      <c r="D20958" s="10" t="inlineStr">
        <is>
          <t>CÔNG TY CỔ PHẦN CITICS</t>
        </is>
      </c>
      <c r="E20958" s="10" t="inlineStr">
        <is>
          <t>Lương:Cạnh tranh</t>
        </is>
      </c>
      <c r="F20958" s="10" t="inlineStr">
        <is>
          <t>Quảng Nam</t>
        </is>
      </c>
      <c r="G20958" s="10" t="inlineStr">
        <is>
          <t>4</t>
        </is>
      </c>
      <c r="H20958" s="10" t="inlineStr">
        <is>
          <t>21/03/2026</t>
        </is>
      </c>
      <c r="I20958" s="10" t="inlineStr">
        <is>
          <t>17/03/2026</t>
        </is>
      </c>
      <c r="J20958" s="10" t="inlineStr">
        <is>
          <t>Bất động sản</t>
        </is>
      </c>
      <c r="K20958" s="10" t="inlineStr">
        <is>
          <t>1 - 2 Năm</t>
        </is>
      </c>
      <c r="L20958" s="11">
        <f>HYPERLINK("https://careerviet.vn/vi/tim-viec-lam/chuyen-vien-tham-dinh-gia-quang-nam.35C6621F.html","Xem chi tiết")</f>
        <v/>
      </c>
      <c r="M20958" s="10" t="n"/>
    </row>
    <row r="20959">
      <c r="B20959" s="7" t="n">
        <v>20957</v>
      </c>
      <c r="C20959" t="inlineStr">
        <is>
          <t>PURCHASING STAFF/Nhân viên Thu mua</t>
        </is>
      </c>
      <c r="D20959" t="inlineStr">
        <is>
          <t>Công ty TNHH San Lim Furniture Việt Nam</t>
        </is>
      </c>
      <c r="E20959" t="inlineStr">
        <is>
          <t>Lương:Cạnh tranh</t>
        </is>
      </c>
      <c r="F20959" t="inlineStr">
        <is>
          <t>Đồng Nai</t>
        </is>
      </c>
      <c r="G20959" t="inlineStr">
        <is>
          <t>4</t>
        </is>
      </c>
      <c r="H20959" t="inlineStr">
        <is>
          <t>21/03/2026</t>
        </is>
      </c>
      <c r="I20959" t="inlineStr">
        <is>
          <t>17/03/2026</t>
        </is>
      </c>
      <c r="J20959" t="inlineStr">
        <is>
          <t>Bán lẻ / Bán sỉ, Bán hàng / Kinh doanh, Thu mua / Vật tư</t>
        </is>
      </c>
      <c r="K20959" t="inlineStr">
        <is>
          <t>1 - 2 Năm</t>
        </is>
      </c>
      <c r="L20959" s="8">
        <f>HYPERLINK("https://careerviet.vn/vi/tim-viec-lam/purchasing-staff-nhan-vien-thu-mua.35C660AC.html","Xem chi tiết")</f>
        <v/>
      </c>
    </row>
    <row r="20960">
      <c r="B20960" s="9" t="n">
        <v>20958</v>
      </c>
      <c r="C20960" s="10" t="inlineStr">
        <is>
          <t>Nhân viên phụ kho</t>
        </is>
      </c>
      <c r="D20960" s="10" t="inlineStr">
        <is>
          <t>Công ty Cổ phần thực phẩm và đồ uống Barett</t>
        </is>
      </c>
      <c r="E20960" s="10" t="inlineStr">
        <is>
          <t>Lương:7 Tr - 9 Tr VND</t>
        </is>
      </c>
      <c r="F20960" s="10" t="inlineStr">
        <is>
          <t>Hưng Yên</t>
        </is>
      </c>
      <c r="G20960" s="10" t="inlineStr">
        <is>
          <t>4</t>
        </is>
      </c>
      <c r="H20960" s="10" t="inlineStr">
        <is>
          <t>21/03/2026</t>
        </is>
      </c>
      <c r="I20960" s="10" t="inlineStr">
        <is>
          <t>17/03/2026</t>
        </is>
      </c>
      <c r="J20960" s="10" t="inlineStr">
        <is>
          <t>Vận chuyển / Giao nhận / Kho vận, Công nghệ thực phẩm / Dinh dưỡng</t>
        </is>
      </c>
      <c r="K20960" s="10" t="inlineStr">
        <is>
          <t>1 - 3 Năm</t>
        </is>
      </c>
      <c r="L20960" s="11">
        <f>HYPERLINK("https://careerviet.vn/vi/tim-viec-lam/nhan-vien-phu-kho.35C6610A.html","Xem chi tiết")</f>
        <v/>
      </c>
      <c r="M20960" s="10" t="n"/>
    </row>
    <row r="20961">
      <c r="B20961" s="7" t="n">
        <v>20959</v>
      </c>
      <c r="C20961" t="inlineStr">
        <is>
          <t>Chuyên viên Thẩm định giá - Đà Nẵng</t>
        </is>
      </c>
      <c r="D20961" t="inlineStr">
        <is>
          <t>CÔNG TY CỔ PHẦN CITICS</t>
        </is>
      </c>
      <c r="E20961" t="inlineStr">
        <is>
          <t>Lương:Cạnh tranh</t>
        </is>
      </c>
      <c r="F20961" t="inlineStr">
        <is>
          <t>Đà Nẵng</t>
        </is>
      </c>
      <c r="G20961" t="inlineStr">
        <is>
          <t>4</t>
        </is>
      </c>
      <c r="H20961" t="inlineStr">
        <is>
          <t>21/03/2026</t>
        </is>
      </c>
      <c r="I20961" t="inlineStr">
        <is>
          <t>17/03/2026</t>
        </is>
      </c>
      <c r="J20961" t="inlineStr">
        <is>
          <t>Bất động sản</t>
        </is>
      </c>
      <c r="K20961" t="inlineStr">
        <is>
          <t>1 - 2 Năm</t>
        </is>
      </c>
      <c r="L20961" s="8">
        <f>HYPERLINK("https://careerviet.vn/vi/tim-viec-lam/chuyen-vien-tham-dinh-gia-da-nang.35C6621C.html","Xem chi tiết")</f>
        <v/>
      </c>
    </row>
    <row r="20962">
      <c r="B20962" s="9" t="n">
        <v>20960</v>
      </c>
      <c r="C20962" s="10" t="inlineStr">
        <is>
          <t>Chuyên viên pháp chế</t>
        </is>
      </c>
      <c r="D20962" s="10" t="inlineStr">
        <is>
          <t>Công Ty Cổ Phần Phương Tiện Điện Thông Minh Selex</t>
        </is>
      </c>
      <c r="E20962" s="10" t="inlineStr">
        <is>
          <t>Lương:800 - 1.200 USD</t>
        </is>
      </c>
      <c r="F20962" s="10" t="inlineStr">
        <is>
          <t>Hà Nội</t>
        </is>
      </c>
      <c r="G20962" s="10" t="inlineStr">
        <is>
          <t>4</t>
        </is>
      </c>
      <c r="H20962" s="10" t="inlineStr">
        <is>
          <t>21/03/2026</t>
        </is>
      </c>
      <c r="I20962" s="10" t="inlineStr">
        <is>
          <t>17/03/2026</t>
        </is>
      </c>
      <c r="J20962" s="10" t="inlineStr">
        <is>
          <t>Luật / Pháp lý</t>
        </is>
      </c>
      <c r="K20962" s="10" t="inlineStr">
        <is>
          <t>2 - 5 Năm</t>
        </is>
      </c>
      <c r="L20962" s="11">
        <f>HYPERLINK("https://careerviet.vn/vi/tim-viec-lam/chuyen-vien-phap-che.35C6616A.html","Xem chi tiết")</f>
        <v/>
      </c>
      <c r="M20962" s="10" t="n"/>
    </row>
    <row r="20963">
      <c r="B20963" s="7" t="n">
        <v>20961</v>
      </c>
      <c r="C20963" t="inlineStr">
        <is>
          <t>SOFTLINE MERCHANDISE DEVELOPMENT EXECUTIVE (FASHION)</t>
        </is>
      </c>
      <c r="D20963" t="inlineStr">
        <is>
          <t>Food Retail</t>
        </is>
      </c>
      <c r="E20963" t="inlineStr">
        <is>
          <t>Lương:Cạnh tranh</t>
        </is>
      </c>
      <c r="F20963" t="inlineStr">
        <is>
          <t>Hồ Chí Minh</t>
        </is>
      </c>
      <c r="G20963" t="inlineStr">
        <is>
          <t>4</t>
        </is>
      </c>
      <c r="H20963" t="inlineStr">
        <is>
          <t>20/03/2026</t>
        </is>
      </c>
      <c r="I20963" t="inlineStr">
        <is>
          <t>17/03/2026</t>
        </is>
      </c>
      <c r="J20963" t="inlineStr">
        <is>
          <t>Bán lẻ / Bán sỉ, Dệt may / Da giày / Thời trang, Thu mua / Vật tư</t>
        </is>
      </c>
      <c r="K20963" t="inlineStr">
        <is>
          <t>2 - 4 Năm</t>
        </is>
      </c>
      <c r="L20963" s="8">
        <f>HYPERLINK("https://careerviet.vn/vi/tim-viec-lam/softline-merchandise-development-executive-fashion.35C66086.html","Xem chi tiết")</f>
        <v/>
      </c>
    </row>
    <row r="20964">
      <c r="B20964" s="9" t="n">
        <v>20962</v>
      </c>
      <c r="C20964" s="10" t="inlineStr">
        <is>
          <t>Nhân viên chất lượng thực phẩm - KCN Giang Điền</t>
        </is>
      </c>
      <c r="D20964" s="10" t="inlineStr">
        <is>
          <t>Công ty TNHH Olam Việt Nam</t>
        </is>
      </c>
      <c r="E20964" s="10" t="inlineStr">
        <is>
          <t>Lương:Cạnh tranh</t>
        </is>
      </c>
      <c r="F20964" s="10" t="inlineStr">
        <is>
          <t>Đồng Nai</t>
        </is>
      </c>
      <c r="G20964" s="10" t="inlineStr">
        <is>
          <t>4</t>
        </is>
      </c>
      <c r="H20964" s="10" t="inlineStr">
        <is>
          <t>21/03/2026</t>
        </is>
      </c>
      <c r="I20964" s="10" t="inlineStr">
        <is>
          <t>17/03/2026</t>
        </is>
      </c>
      <c r="J20964" s="10" t="inlineStr">
        <is>
          <t>Công nghệ sinh học, Công nghệ thực phẩm / Dinh dưỡng, Quản lý chất lượng (QA/QC)</t>
        </is>
      </c>
      <c r="K20964" s="10" t="inlineStr">
        <is>
          <t>N/A</t>
        </is>
      </c>
      <c r="L20964" s="11">
        <f>HYPERLINK("https://careerviet.vn/vi/tim-viec-lam/nhan-vien-chat-luong-thuc-pham-kcn-giang-dien.35C66109.html","Xem chi tiết")</f>
        <v/>
      </c>
      <c r="M20964" s="10" t="n"/>
    </row>
    <row r="20965">
      <c r="B20965" s="7" t="n">
        <v>20963</v>
      </c>
      <c r="C20965" t="inlineStr">
        <is>
          <t>KỸ THUẬT VIÊN TRIỂN KHAI REVIT</t>
        </is>
      </c>
      <c r="D20965" t="inlineStr">
        <is>
          <t>CÔNG TY CP THIẾT KẾ VONE</t>
        </is>
      </c>
      <c r="E20965" t="inlineStr">
        <is>
          <t>Lương:12 Tr - 16 Tr VND</t>
        </is>
      </c>
      <c r="F20965" t="inlineStr">
        <is>
          <t>Hồ Chí Minh</t>
        </is>
      </c>
      <c r="G20965" t="inlineStr">
        <is>
          <t>4</t>
        </is>
      </c>
      <c r="H20965" t="inlineStr">
        <is>
          <t>21/03/2026</t>
        </is>
      </c>
      <c r="I20965" t="inlineStr">
        <is>
          <t>17/03/2026</t>
        </is>
      </c>
      <c r="J20965" t="inlineStr">
        <is>
          <t>Kiến trúc, Xây dựng, Nội ngoại thất</t>
        </is>
      </c>
      <c r="K20965" t="inlineStr">
        <is>
          <t>1 - 5 Năm</t>
        </is>
      </c>
      <c r="L20965" s="8">
        <f>HYPERLINK("https://careerviet.vn/vi/tim-viec-lam/ky-thuat-vien-trien-khai-revit.35C6613D.html","Xem chi tiết")</f>
        <v/>
      </c>
    </row>
    <row r="20966">
      <c r="B20966" s="9" t="n">
        <v>20964</v>
      </c>
      <c r="C20966" s="10" t="inlineStr">
        <is>
          <t>Kế toán trưởng</t>
        </is>
      </c>
      <c r="D20966" s="10" t="inlineStr">
        <is>
          <t>CÔNG TY TNHH CÔNG NGHỆ VIỆT</t>
        </is>
      </c>
      <c r="E20966" s="10" t="inlineStr">
        <is>
          <t>Lương:25 Tr - 40 Tr VND</t>
        </is>
      </c>
      <c r="F20966" s="10" t="inlineStr">
        <is>
          <t>Hà Nội</t>
        </is>
      </c>
      <c r="G20966" s="10" t="inlineStr">
        <is>
          <t>4</t>
        </is>
      </c>
      <c r="H20966" s="10" t="inlineStr">
        <is>
          <t>21/03/2026</t>
        </is>
      </c>
      <c r="I20966" s="10" t="inlineStr">
        <is>
          <t>17/03/2026</t>
        </is>
      </c>
      <c r="J20966" s="10" t="inlineStr">
        <is>
          <t>Kế toán / Kiểm toán, Tài chính / Đầu tư, Xây dựng</t>
        </is>
      </c>
      <c r="K20966" s="10" t="inlineStr">
        <is>
          <t>3 - 4 Năm</t>
        </is>
      </c>
      <c r="L20966" s="11">
        <f>HYPERLINK("https://careerviet.vn/vi/tim-viec-lam/ke-toan-truong.35C66093.html","Xem chi tiết")</f>
        <v/>
      </c>
      <c r="M20966" s="10" t="n"/>
    </row>
    <row r="20967">
      <c r="B20967" s="7" t="n">
        <v>20965</v>
      </c>
      <c r="C20967" t="inlineStr">
        <is>
          <t>Giám đốc/Chuyên viên Quan hệ khách hàng Cá nhân - BVBank Phước Long - KV Đông Nam Bộ</t>
        </is>
      </c>
      <c r="D20967" t="inlineStr">
        <is>
          <t>BVBank - Ngân hàng Bản Việt</t>
        </is>
      </c>
      <c r="E20967" t="inlineStr">
        <is>
          <t>Lương:Cạnh tranh</t>
        </is>
      </c>
      <c r="F20967" t="inlineStr">
        <is>
          <t>Bình Phước</t>
        </is>
      </c>
      <c r="G20967" t="inlineStr">
        <is>
          <t>4</t>
        </is>
      </c>
      <c r="H20967" t="inlineStr">
        <is>
          <t>21/03/2026</t>
        </is>
      </c>
      <c r="I20967" t="inlineStr">
        <is>
          <t>17/03/2026</t>
        </is>
      </c>
      <c r="J20967" t="inlineStr">
        <is>
          <t>Ngân hàng, Tài chính / Đầu tư, Bán hàng / Kinh doanh</t>
        </is>
      </c>
      <c r="K20967" t="inlineStr">
        <is>
          <t>1 - 2 Năm</t>
        </is>
      </c>
      <c r="L20967" s="8">
        <f>HYPERLINK("https://careerviet.vn/vi/tim-viec-lam/giam-doc-chuyen-vien-quan-he-khach-hang-ca-nhan-bvbank-phuoc-long-kv-dong-nam-bo.35C660FA.html","Xem chi tiết")</f>
        <v/>
      </c>
    </row>
    <row r="20968">
      <c r="B20968" s="9" t="n">
        <v>20966</v>
      </c>
      <c r="C20968" s="10" t="inlineStr">
        <is>
          <t>Nhân viên Kế hoạch sản xuất/ Production Control Staff</t>
        </is>
      </c>
      <c r="D20968" s="10" t="inlineStr">
        <is>
          <t>Công ty TNHH San Lim Furniture Việt Nam</t>
        </is>
      </c>
      <c r="E20968" s="10" t="inlineStr">
        <is>
          <t>Lương:Cạnh tranh</t>
        </is>
      </c>
      <c r="F20968" s="10" t="inlineStr">
        <is>
          <t>Đồng Nai</t>
        </is>
      </c>
      <c r="G20968" s="10" t="inlineStr">
        <is>
          <t>4</t>
        </is>
      </c>
      <c r="H20968" s="10" t="inlineStr">
        <is>
          <t>21/03/2026</t>
        </is>
      </c>
      <c r="I20968" s="10" t="inlineStr">
        <is>
          <t>17/03/2026</t>
        </is>
      </c>
      <c r="J20968" s="10" t="inlineStr">
        <is>
          <t>Sản xuất / Vận hành sản xuất, Đồ gỗ, Nội ngoại thất</t>
        </is>
      </c>
      <c r="K20968" s="10" t="inlineStr">
        <is>
          <t>1 - 2 Năm</t>
        </is>
      </c>
      <c r="L20968" s="11">
        <f>HYPERLINK("https://careerviet.vn/vi/tim-viec-lam/nhan-vien-ke-hoach-san-xuat-production-control-staff.35C660BA.html","Xem chi tiết")</f>
        <v/>
      </c>
      <c r="M20968" s="10" t="n"/>
    </row>
    <row r="20969">
      <c r="B20969" s="7" t="n">
        <v>20967</v>
      </c>
      <c r="C20969" t="inlineStr">
        <is>
          <t>[HCM] Chuyên viên Thị trường</t>
        </is>
      </c>
      <c r="D20969" t="inlineStr">
        <is>
          <t>CÔNG TY CỔ PHẦN GIAO DỊCH HÀNG HÓA ĐÔNG NAM Á</t>
        </is>
      </c>
      <c r="E20969" t="inlineStr">
        <is>
          <t>Lương:8 Tr - 12 Tr VND</t>
        </is>
      </c>
      <c r="F20969" t="inlineStr">
        <is>
          <t>Hồ Chí Minh</t>
        </is>
      </c>
      <c r="G20969" t="inlineStr">
        <is>
          <t>4</t>
        </is>
      </c>
      <c r="H20969" t="inlineStr">
        <is>
          <t>21/03/2026</t>
        </is>
      </c>
      <c r="I20969" t="inlineStr">
        <is>
          <t>17/03/2026</t>
        </is>
      </c>
      <c r="J20969" t="inlineStr">
        <is>
          <t>Tài chính / Đầu tư</t>
        </is>
      </c>
      <c r="K20969" t="inlineStr">
        <is>
          <t>N/A</t>
        </is>
      </c>
      <c r="L20969" s="8">
        <f>HYPERLINK("https://careerviet.vn/vi/tim-viec-lam/hcm-chuyen-vien-thi-truong.35C6615E.html","Xem chi tiết")</f>
        <v/>
      </c>
    </row>
    <row r="20970">
      <c r="B20970" s="9" t="n">
        <v>20968</v>
      </c>
      <c r="C20970" s="10" t="inlineStr">
        <is>
          <t>NSG - CHUYÊN VIÊN QUẢN TRỊ HỢP ĐỒNG</t>
        </is>
      </c>
      <c r="D20970" s="10" t="inlineStr">
        <is>
          <t>Nova Service Group - Công ty Cổ phần Tập đoàn Nova Services</t>
        </is>
      </c>
      <c r="E20970" s="10" t="inlineStr">
        <is>
          <t>Lương:Cạnh tranh</t>
        </is>
      </c>
      <c r="F20970" s="10" t="inlineStr">
        <is>
          <t>Hồ Chí Minh</t>
        </is>
      </c>
      <c r="G20970" s="10" t="inlineStr">
        <is>
          <t>4</t>
        </is>
      </c>
      <c r="H20970" s="10" t="inlineStr">
        <is>
          <t>21/03/2026</t>
        </is>
      </c>
      <c r="I20970" s="10" t="inlineStr">
        <is>
          <t>17/03/2026</t>
        </is>
      </c>
      <c r="J20970" s="10" t="inlineStr">
        <is>
          <t>Luật / Pháp lý</t>
        </is>
      </c>
      <c r="K20970" s="10" t="inlineStr">
        <is>
          <t>2 - 3 Năm</t>
        </is>
      </c>
      <c r="L20970" s="11">
        <f>HYPERLINK("https://careerviet.vn/vi/tim-viec-lam/nsg-chuyen-vien-quan-tri-hop-dong.35C6610F.html","Xem chi tiết")</f>
        <v/>
      </c>
      <c r="M20970" s="10" t="n"/>
    </row>
    <row r="20971">
      <c r="B20971" s="7" t="n">
        <v>20969</v>
      </c>
      <c r="C20971" t="inlineStr">
        <is>
          <t>NHÂN VIÊN CSKH NHÀ MẠNG VIETTEL TẠI ĐÀ NẴNG HÔM NAY</t>
        </is>
      </c>
      <c r="D20971" t="inlineStr">
        <is>
          <t>BellSystem24-Việt Nam</t>
        </is>
      </c>
      <c r="E20971" t="inlineStr">
        <is>
          <t>Lương:5 Tr - 8 Tr VND</t>
        </is>
      </c>
      <c r="F20971" t="inlineStr">
        <is>
          <t>Đà Nẵng</t>
        </is>
      </c>
      <c r="G20971" t="inlineStr">
        <is>
          <t>4</t>
        </is>
      </c>
      <c r="H20971" t="inlineStr">
        <is>
          <t>21/03/2026</t>
        </is>
      </c>
      <c r="I20971" t="inlineStr">
        <is>
          <t>17/03/2026</t>
        </is>
      </c>
      <c r="J20971" t="inlineStr">
        <is>
          <t>Tư vấn, Bưu chính viễn thông, Lao động phổ thông</t>
        </is>
      </c>
      <c r="K20971" t="inlineStr">
        <is>
          <t>N/A</t>
        </is>
      </c>
      <c r="L20971" s="8">
        <f>HYPERLINK("https://careerviet.vn/vi/tim-viec-lam/nhan-vien-cskh-nha-mang-viettel-tai-da-nang-hom-nay.35C661A1.html","Xem chi tiết")</f>
        <v/>
      </c>
    </row>
    <row r="20972">
      <c r="B20972" s="9" t="n">
        <v>20970</v>
      </c>
      <c r="C20972" s="10" t="inlineStr">
        <is>
          <t>Nhân Viên QA/QC Dự Án</t>
        </is>
      </c>
      <c r="D20972" s="10" t="inlineStr">
        <is>
          <t>Công ty Xây Dựng Hàng Rào Biệt Thự (Villafences)</t>
        </is>
      </c>
      <c r="E20972" s="10" t="inlineStr">
        <is>
          <t>Lương:14 Tr - 17 Tr VND</t>
        </is>
      </c>
      <c r="F20972" s="10" t="inlineStr">
        <is>
          <t>Hồ Chí MinhBình DươngĐồng Nai</t>
        </is>
      </c>
      <c r="G20972" s="10" t="inlineStr">
        <is>
          <t>4</t>
        </is>
      </c>
      <c r="H20972" s="10" t="inlineStr">
        <is>
          <t>21/03/2026</t>
        </is>
      </c>
      <c r="I20972" s="10" t="inlineStr">
        <is>
          <t>17/03/2026</t>
        </is>
      </c>
      <c r="J20972" s="10" t="inlineStr">
        <is>
          <t>Cơ khí / Ô tô / Tự động hóa, Xây dựng</t>
        </is>
      </c>
      <c r="K20972" s="10" t="inlineStr">
        <is>
          <t>2 - 3 Năm</t>
        </is>
      </c>
      <c r="L20972" s="11">
        <f>HYPERLINK("https://careerviet.vn/vi/tim-viec-lam/nhan-vien-qa-qc-du-an.35C66202.html","Xem chi tiết")</f>
        <v/>
      </c>
      <c r="M20972" s="10" t="n"/>
    </row>
    <row r="20973">
      <c r="B20973" s="7" t="n">
        <v>20971</v>
      </c>
      <c r="C20973" t="inlineStr">
        <is>
          <t>Nhân Viên Thiết Kế Làm Việc Tại Văn Phòng Hà Nội</t>
        </is>
      </c>
      <c r="D20973" t="inlineStr">
        <is>
          <t>Công ty CP Thương Mại Việt Hồng</t>
        </is>
      </c>
      <c r="E20973" t="inlineStr">
        <is>
          <t>Lương:Cạnh tranh</t>
        </is>
      </c>
      <c r="F20973" t="inlineStr">
        <is>
          <t>Hà Nội</t>
        </is>
      </c>
      <c r="G20973" t="inlineStr">
        <is>
          <t>4</t>
        </is>
      </c>
      <c r="H20973" t="inlineStr">
        <is>
          <t>21/03/2026</t>
        </is>
      </c>
      <c r="I20973" t="inlineStr">
        <is>
          <t>17/03/2026</t>
        </is>
      </c>
      <c r="J20973" t="inlineStr">
        <is>
          <t>Kiến trúc, Xây dựng, Mỹ thuật / Nghệ thuật / Thiết kế</t>
        </is>
      </c>
      <c r="K20973" t="inlineStr">
        <is>
          <t>Trên 2 Năm</t>
        </is>
      </c>
      <c r="L20973" s="8">
        <f>HYPERLINK("https://careerviet.vn/vi/tim-viec-lam/nhan-vien-thiet-ke-lam-viec-tai-van-phong-ha-noi.35C46EFC.html","Xem chi tiết")</f>
        <v/>
      </c>
    </row>
    <row r="20974">
      <c r="B20974" s="9" t="n">
        <v>20972</v>
      </c>
      <c r="C20974" s="10" t="inlineStr">
        <is>
          <t>Chuyên Viên Sales (Sales B2B – Thi Công Nội Thất)</t>
        </is>
      </c>
      <c r="D20974" s="10" t="inlineStr">
        <is>
          <t>CÔNG TY TRÁCH NHIỆM HỮU HẠN R.P</t>
        </is>
      </c>
      <c r="E20974" s="10" t="inlineStr">
        <is>
          <t>Lương:Cạnh tranh</t>
        </is>
      </c>
      <c r="F20974" s="10" t="inlineStr">
        <is>
          <t>Hồ Chí Minh</t>
        </is>
      </c>
      <c r="G20974" s="10" t="inlineStr">
        <is>
          <t>4</t>
        </is>
      </c>
      <c r="H20974" s="10" t="inlineStr">
        <is>
          <t>21/03/2026</t>
        </is>
      </c>
      <c r="I20974" s="10" t="inlineStr">
        <is>
          <t>17/03/2026</t>
        </is>
      </c>
      <c r="J20974" s="10" t="inlineStr">
        <is>
          <t>Bán hàng / Kinh doanh, Nội ngoại thất, Tiếp thị / Marketing</t>
        </is>
      </c>
      <c r="K20974" s="10" t="inlineStr">
        <is>
          <t>3 - 5 Năm</t>
        </is>
      </c>
      <c r="L20974" s="11">
        <f>HYPERLINK("https://careerviet.vn/vi/tim-viec-lam/chuyen-vien-sales-sales-b2b-thi-cong-noi-that.35C661F3.html","Xem chi tiết")</f>
        <v/>
      </c>
      <c r="M20974" s="10" t="n"/>
    </row>
    <row r="20975">
      <c r="B20975" s="7" t="n">
        <v>20973</v>
      </c>
      <c r="C20975" t="inlineStr">
        <is>
          <t>TRỢ LÝ GIÁM ĐỐC (THÀNH THẠO TIẾNG HÀN)</t>
        </is>
      </c>
      <c r="D20975" t="inlineStr">
        <is>
          <t>Công Ty TNHH Thương Mại K&amp;K Toàn Cầu</t>
        </is>
      </c>
      <c r="E20975" t="inlineStr">
        <is>
          <t>Lương:20 Tr - 25 Tr VND</t>
        </is>
      </c>
      <c r="F20975" t="inlineStr">
        <is>
          <t>Hà Nội</t>
        </is>
      </c>
      <c r="G20975" t="inlineStr">
        <is>
          <t>4</t>
        </is>
      </c>
      <c r="H20975" t="inlineStr">
        <is>
          <t>21/03/2026</t>
        </is>
      </c>
      <c r="I20975" t="inlineStr">
        <is>
          <t>17/03/2026</t>
        </is>
      </c>
      <c r="J20975" t="inlineStr">
        <is>
          <t>Hành chính / Thư ký, Biên phiên dịch</t>
        </is>
      </c>
      <c r="K20975" t="inlineStr">
        <is>
          <t>1 - 2 Năm</t>
        </is>
      </c>
      <c r="L20975" s="8">
        <f>HYPERLINK("https://careerviet.vn/vi/tim-viec-lam/tro-ly-giam-doc-thanh-thao-tieng-han.35C6618B.html","Xem chi tiết")</f>
        <v/>
      </c>
    </row>
    <row r="20976">
      <c r="B20976" s="9" t="n">
        <v>20974</v>
      </c>
      <c r="C20976" s="10" t="inlineStr">
        <is>
          <t>Director of Customer Relationship Management | Luxury Fashion &amp; Accessories</t>
        </is>
      </c>
      <c r="D20976" s="10" t="inlineStr">
        <is>
          <t>CareerViet's client</t>
        </is>
      </c>
      <c r="E20976" s="10" t="inlineStr">
        <is>
          <t>Lương:Cạnh tranh</t>
        </is>
      </c>
      <c r="F20976" s="10" t="inlineStr">
        <is>
          <t>Hồ Chí Minh</t>
        </is>
      </c>
      <c r="G20976" s="10" t="inlineStr">
        <is>
          <t>4</t>
        </is>
      </c>
      <c r="H20976" s="10" t="inlineStr">
        <is>
          <t>21/03/2026</t>
        </is>
      </c>
      <c r="I20976" s="10" t="inlineStr">
        <is>
          <t>17/03/2026</t>
        </is>
      </c>
      <c r="J20976" s="10" t="inlineStr">
        <is>
          <t>Bán lẻ / Bán sỉ, Bán hàng / Kinh doanh, Dịch vụ khách hàng</t>
        </is>
      </c>
      <c r="K20976" s="10" t="inlineStr">
        <is>
          <t>10 - 15 Năm</t>
        </is>
      </c>
      <c r="L20976" s="11">
        <f>HYPERLINK("https://careerviet.vn/vi/tim-viec-lam/director-of-customer-relationship-management-luxury-fashion-accessories.35C661BF.html","Xem chi tiết")</f>
        <v/>
      </c>
      <c r="M20976" s="10" t="n"/>
    </row>
    <row r="20977">
      <c r="B20977" s="7" t="n">
        <v>20975</v>
      </c>
      <c r="C20977" t="inlineStr">
        <is>
          <t>Nhân Viên An Toàn (HSK4)</t>
        </is>
      </c>
      <c r="D20977" t="inlineStr">
        <is>
          <t>CÔNG TY TNHH QISDA VIỆT NAM</t>
        </is>
      </c>
      <c r="E20977" t="inlineStr">
        <is>
          <t>Lương:10 Tr - 18 Tr VND</t>
        </is>
      </c>
      <c r="F20977" t="inlineStr">
        <is>
          <t>Hà Nam</t>
        </is>
      </c>
      <c r="G20977" t="inlineStr">
        <is>
          <t>4</t>
        </is>
      </c>
      <c r="H20977" t="inlineStr">
        <is>
          <t>21/03/2026</t>
        </is>
      </c>
      <c r="I20977" t="inlineStr">
        <is>
          <t>17/03/2026</t>
        </is>
      </c>
      <c r="J20977" t="inlineStr">
        <is>
          <t>An toàn lao động, An Ninh / Bảo Vệ</t>
        </is>
      </c>
      <c r="K20977" t="inlineStr">
        <is>
          <t>Chưa có kinh nghiệm</t>
        </is>
      </c>
      <c r="L20977" s="8">
        <f>HYPERLINK("https://careerviet.vn/vi/tim-viec-lam/nhan-vien-an-toan-hsk4.35C661A2.html","Xem chi tiết")</f>
        <v/>
      </c>
    </row>
    <row r="20978">
      <c r="B20978" s="9" t="n">
        <v>20976</v>
      </c>
      <c r="C20978" s="10" t="inlineStr">
        <is>
          <t>Phó phòng Kế toán kiêm Kế toán tổng hợp</t>
        </is>
      </c>
      <c r="D20978" s="10" t="inlineStr">
        <is>
          <t>CÔNG TY TNHH THƯỜNG NHẬT (SAIGON WATERBUS)</t>
        </is>
      </c>
      <c r="E20978" s="10" t="inlineStr">
        <is>
          <t>Lương:Cạnh tranh</t>
        </is>
      </c>
      <c r="F20978" s="10" t="inlineStr">
        <is>
          <t>Hồ Chí Minh</t>
        </is>
      </c>
      <c r="G20978" s="10" t="inlineStr">
        <is>
          <t>4</t>
        </is>
      </c>
      <c r="H20978" s="10" t="inlineStr">
        <is>
          <t>21/03/2026</t>
        </is>
      </c>
      <c r="I20978" s="10" t="inlineStr">
        <is>
          <t>17/03/2026</t>
        </is>
      </c>
      <c r="J20978" s="10" t="inlineStr">
        <is>
          <t>Kế toán / Kiểm toán, Du lịch</t>
        </is>
      </c>
      <c r="K20978" s="10" t="inlineStr">
        <is>
          <t>2 - 3 Năm</t>
        </is>
      </c>
      <c r="L20978" s="11">
        <f>HYPERLINK("https://careerviet.vn/vi/tim-viec-lam/pho-phong-ke-toan-kiem-ke-toan-tong-hop.35C660E7.html","Xem chi tiết")</f>
        <v/>
      </c>
      <c r="M20978" s="10" t="n"/>
    </row>
    <row r="20979">
      <c r="B20979" s="7" t="n">
        <v>20977</v>
      </c>
      <c r="C20979" t="inlineStr">
        <is>
          <t>126805 - Japanese Speaking - General Affairs cum Human Resources Manager - Plastics</t>
        </is>
      </c>
      <c r="D20979" t="inlineStr">
        <is>
          <t>RGF HR Agent Vietnam Co., LTD</t>
        </is>
      </c>
      <c r="E20979" t="inlineStr">
        <is>
          <t>Lương:Cạnh tranh</t>
        </is>
      </c>
      <c r="F20979" t="inlineStr">
        <is>
          <t>Bình Dương</t>
        </is>
      </c>
      <c r="G20979" t="inlineStr">
        <is>
          <t>4</t>
        </is>
      </c>
      <c r="H20979" t="inlineStr">
        <is>
          <t>21/03/2026</t>
        </is>
      </c>
      <c r="I20979" t="inlineStr">
        <is>
          <t>17/03/2026</t>
        </is>
      </c>
      <c r="J20979" t="inlineStr">
        <is>
          <t>Hành chính / Thư ký, Nhân sự</t>
        </is>
      </c>
      <c r="K20979" t="inlineStr">
        <is>
          <t>Trên 5 Năm</t>
        </is>
      </c>
      <c r="L20979" s="8">
        <f>HYPERLINK("https://careerviet.vn/vi/tim-viec-lam/126805-japanese-speaking-general-affairs-cum-human-resources-manager-plastics.35C6622A.html","Xem chi tiết")</f>
        <v/>
      </c>
    </row>
    <row r="20980">
      <c r="B20980" s="9" t="n">
        <v>20978</v>
      </c>
      <c r="C20980" s="10" t="inlineStr">
        <is>
          <t>Chuyên Viên Thu Hút Nhân Tài</t>
        </is>
      </c>
      <c r="D20980" s="10" t="inlineStr">
        <is>
          <t>Công Ty Cổ Phần Sản Xuất Nhựa Duy Tân</t>
        </is>
      </c>
      <c r="E20980" s="10" t="inlineStr">
        <is>
          <t>Lương:Cạnh tranh</t>
        </is>
      </c>
      <c r="F20980" s="10" t="inlineStr">
        <is>
          <t>Hồ Chí Minh</t>
        </is>
      </c>
      <c r="G20980" s="10" t="inlineStr">
        <is>
          <t>4</t>
        </is>
      </c>
      <c r="H20980" s="10" t="inlineStr">
        <is>
          <t>21/03/2026</t>
        </is>
      </c>
      <c r="I20980" s="10" t="inlineStr">
        <is>
          <t>17/03/2026</t>
        </is>
      </c>
      <c r="J20980" s="10" t="inlineStr">
        <is>
          <t>Nhân sự</t>
        </is>
      </c>
      <c r="K20980" s="10" t="inlineStr">
        <is>
          <t>4 - 5 Năm</t>
        </is>
      </c>
      <c r="L20980" s="11">
        <f>HYPERLINK("https://careerviet.vn/vi/tim-viec-lam/chuyen-vien-thu-hut-nhan-tai.35C660D3.html","Xem chi tiết")</f>
        <v/>
      </c>
      <c r="M20980" s="10" t="n"/>
    </row>
    <row r="20981">
      <c r="B20981" s="7" t="n">
        <v>20979</v>
      </c>
      <c r="C20981" t="inlineStr">
        <is>
          <t>Chuyên viên Tác nghiệp kinh doanh Vốn</t>
        </is>
      </c>
      <c r="D20981" t="inlineStr">
        <is>
          <t>BVBank - Ngân hàng Bản Việt</t>
        </is>
      </c>
      <c r="E20981" t="inlineStr">
        <is>
          <t>Lương:Cạnh tranh</t>
        </is>
      </c>
      <c r="F20981" t="inlineStr">
        <is>
          <t>Hồ Chí Minh</t>
        </is>
      </c>
      <c r="G20981" t="inlineStr">
        <is>
          <t>4</t>
        </is>
      </c>
      <c r="H20981" t="inlineStr">
        <is>
          <t>21/03/2026</t>
        </is>
      </c>
      <c r="I20981" t="inlineStr">
        <is>
          <t>17/03/2026</t>
        </is>
      </c>
      <c r="J20981" t="inlineStr">
        <is>
          <t>Ngân hàng, Tài chính / Đầu tư, Bán hàng / Kinh doanh</t>
        </is>
      </c>
      <c r="K20981" t="inlineStr">
        <is>
          <t>1 - 2 Năm</t>
        </is>
      </c>
      <c r="L20981" s="8">
        <f>HYPERLINK("https://careerviet.vn/vi/tim-viec-lam/chuyen-vien-tac-nghiep-kinh-doanh-von.35C660FF.html","Xem chi tiết")</f>
        <v/>
      </c>
    </row>
    <row r="20982">
      <c r="B20982" s="9" t="n">
        <v>20980</v>
      </c>
      <c r="C20982" s="10" t="inlineStr">
        <is>
          <t>Nhân Viên Social Media - Thương Mại Điện Tử</t>
        </is>
      </c>
      <c r="D20982" s="10" t="inlineStr">
        <is>
          <t>Công Ty TNHH Công Nghệ Toàn Cầu Wook Việt Nam</t>
        </is>
      </c>
      <c r="E20982" s="10" t="inlineStr">
        <is>
          <t>Lương:9 Tr - 11 Tr VND</t>
        </is>
      </c>
      <c r="F20982" s="10" t="inlineStr">
        <is>
          <t>Hồ Chí Minh</t>
        </is>
      </c>
      <c r="G20982" s="10" t="inlineStr">
        <is>
          <t>4</t>
        </is>
      </c>
      <c r="H20982" s="10" t="inlineStr">
        <is>
          <t>21/03/2026</t>
        </is>
      </c>
      <c r="I20982" s="10" t="inlineStr">
        <is>
          <t>17/03/2026</t>
        </is>
      </c>
      <c r="J20982" s="10" t="inlineStr">
        <is>
          <t>Tiếp thị / Marketing, Thương mại điện tử</t>
        </is>
      </c>
      <c r="K20982" s="10" t="inlineStr">
        <is>
          <t>1 - 3 Năm</t>
        </is>
      </c>
      <c r="L20982" s="11">
        <f>HYPERLINK("https://careerviet.vn/vi/tim-viec-lam/nhan-vien-social-media-thuong-mai-dien-tu.35C6612E.html","Xem chi tiết")</f>
        <v/>
      </c>
      <c r="M20982" s="10" t="n"/>
    </row>
    <row r="20983">
      <c r="B20983" s="7" t="n">
        <v>20981</v>
      </c>
      <c r="C20983" t="inlineStr">
        <is>
          <t>Senior Digital Marketing (B2B)</t>
        </is>
      </c>
      <c r="D20983" t="inlineStr">
        <is>
          <t>Công ty TNHH MTV Sen Vàng Việt Nam</t>
        </is>
      </c>
      <c r="E20983" t="inlineStr">
        <is>
          <t>Lương:20 Tr - 28 Tr VND</t>
        </is>
      </c>
      <c r="F20983" t="inlineStr">
        <is>
          <t>Hồ Chí Minh</t>
        </is>
      </c>
      <c r="G20983" t="inlineStr">
        <is>
          <t>4</t>
        </is>
      </c>
      <c r="H20983" t="inlineStr">
        <is>
          <t>21/03/2026</t>
        </is>
      </c>
      <c r="I20983" t="inlineStr">
        <is>
          <t>17/03/2026</t>
        </is>
      </c>
      <c r="J20983" t="inlineStr">
        <is>
          <t>Tiếp thị / Marketing, Tiếp thị trực tuyến, Thương mại điện tử</t>
        </is>
      </c>
      <c r="K20983" t="inlineStr">
        <is>
          <t>4 - 6 Năm</t>
        </is>
      </c>
      <c r="L20983" s="8">
        <f>HYPERLINK("https://careerviet.vn/vi/tim-viec-lam/senior-digital-marketing-b2b.35C66245.html","Xem chi tiết")</f>
        <v/>
      </c>
    </row>
    <row r="20984">
      <c r="B20984" s="9" t="n">
        <v>20982</v>
      </c>
      <c r="C20984" s="10" t="inlineStr">
        <is>
          <t>ĐIỀU DƯỠNG NGOẠI VIỆN (FULL TIME)</t>
        </is>
      </c>
      <c r="D20984" s="10" t="inlineStr">
        <is>
          <t>DIAG</t>
        </is>
      </c>
      <c r="E20984" s="10" t="inlineStr">
        <is>
          <t>Lương:Cạnh tranh</t>
        </is>
      </c>
      <c r="F20984" s="10" t="inlineStr">
        <is>
          <t>Hồ Chí Minh</t>
        </is>
      </c>
      <c r="G20984" s="10" t="inlineStr">
        <is>
          <t>4</t>
        </is>
      </c>
      <c r="H20984" s="10" t="inlineStr">
        <is>
          <t>21/03/2026</t>
        </is>
      </c>
      <c r="I20984" s="10" t="inlineStr">
        <is>
          <t>17/03/2026</t>
        </is>
      </c>
      <c r="J20984" s="10" t="inlineStr">
        <is>
          <t>Dược phẩm/ Hóa Mỹ Phẩm, Y tế / Chăm sóc sức khỏe / Thẩm mỹ / Làm đẹp</t>
        </is>
      </c>
      <c r="K20984" s="10" t="inlineStr">
        <is>
          <t>1 - 2 Năm</t>
        </is>
      </c>
      <c r="L20984" s="11">
        <f>HYPERLINK("https://careerviet.vn/vi/tim-viec-lam/dieu-duong-ngoai-vien-full-time.35C660CB.html","Xem chi tiết")</f>
        <v/>
      </c>
      <c r="M20984" s="10" t="n"/>
    </row>
    <row r="20985">
      <c r="B20985" s="7" t="n">
        <v>20983</v>
      </c>
      <c r="C20985" t="inlineStr">
        <is>
          <t>Trưởng phòng Hành chính Nhân sự</t>
        </is>
      </c>
      <c r="D20985" t="inlineStr">
        <is>
          <t>Công ty TNHH Lạc việt Quy Nhơn</t>
        </is>
      </c>
      <c r="E20985" t="inlineStr">
        <is>
          <t>Lương:35 Tr - 45 Tr VND</t>
        </is>
      </c>
      <c r="F20985" t="inlineStr">
        <is>
          <t>Hà Nội</t>
        </is>
      </c>
      <c r="G20985" t="inlineStr">
        <is>
          <t>4</t>
        </is>
      </c>
      <c r="H20985" t="inlineStr">
        <is>
          <t>21/03/2026</t>
        </is>
      </c>
      <c r="I20985" t="inlineStr">
        <is>
          <t>17/03/2026</t>
        </is>
      </c>
      <c r="J20985" t="inlineStr">
        <is>
          <t>Nhân sự</t>
        </is>
      </c>
      <c r="K20985" t="inlineStr">
        <is>
          <t>5 - 7 Năm</t>
        </is>
      </c>
      <c r="L20985" s="8">
        <f>HYPERLINK("https://careerviet.vn/vi/tim-viec-lam/truong-phong-hanh-chinh-nhan-su.35C6614E.html","Xem chi tiết")</f>
        <v/>
      </c>
    </row>
    <row r="20986">
      <c r="B20986" s="9" t="n">
        <v>20984</v>
      </c>
      <c r="C20986" s="10" t="inlineStr">
        <is>
          <t>LẬP TRÌNH GAME - GAME DEVELOPERS</t>
        </is>
      </c>
      <c r="D20986" s="10" t="inlineStr">
        <is>
          <t>Koei Tecmo Software Vietnam</t>
        </is>
      </c>
      <c r="E20986" s="10" t="inlineStr">
        <is>
          <t>Lương:Cạnh tranh</t>
        </is>
      </c>
      <c r="F20986" s="10" t="inlineStr">
        <is>
          <t>Hà Nội</t>
        </is>
      </c>
      <c r="G20986" s="10" t="inlineStr">
        <is>
          <t>4</t>
        </is>
      </c>
      <c r="H20986" s="10" t="inlineStr">
        <is>
          <t>21/03/2026</t>
        </is>
      </c>
      <c r="I20986" s="10" t="inlineStr">
        <is>
          <t>17/03/2026</t>
        </is>
      </c>
      <c r="J20986" s="10" t="inlineStr">
        <is>
          <t>Bưu chính viễn thông, CNTT - Phần cứng / Mạng, CNTT - Phần mềm</t>
        </is>
      </c>
      <c r="K20986" s="10" t="inlineStr">
        <is>
          <t>Chưa có kinh nghiệm</t>
        </is>
      </c>
      <c r="L20986" s="11">
        <f>HYPERLINK("https://careerviet.vn/vi/tim-viec-lam/lap-trinh-game-game-developers.35C6617D.html","Xem chi tiết")</f>
        <v/>
      </c>
      <c r="M20986" s="10" t="n"/>
    </row>
    <row r="20987">
      <c r="B20987" s="7" t="n">
        <v>20985</v>
      </c>
      <c r="C20987" t="inlineStr">
        <is>
          <t>NHÂN VIÊN KINH DOANH</t>
        </is>
      </c>
      <c r="D20987" t="inlineStr">
        <is>
          <t>CÔNG TY CỔ PHẦN VĂN HÓA VÀ ẨM THỰC VIET CHARM</t>
        </is>
      </c>
      <c r="E20987" t="inlineStr">
        <is>
          <t>Lương:10 Tr - 18 Tr VND</t>
        </is>
      </c>
      <c r="F20987" t="inlineStr">
        <is>
          <t>Hồ Chí Minh</t>
        </is>
      </c>
      <c r="G20987" t="inlineStr">
        <is>
          <t>4</t>
        </is>
      </c>
      <c r="H20987" t="inlineStr">
        <is>
          <t>21/03/2026</t>
        </is>
      </c>
      <c r="I20987" t="inlineStr">
        <is>
          <t>17/03/2026</t>
        </is>
      </c>
      <c r="J20987" t="inlineStr">
        <is>
          <t>Nhà hàng / Khách sạn, Du lịch</t>
        </is>
      </c>
      <c r="K20987" t="inlineStr">
        <is>
          <t>Lên đến 1 Năm</t>
        </is>
      </c>
      <c r="L20987" s="8">
        <f>HYPERLINK("https://careerviet.vn/vi/tim-viec-lam/nhan-vien-kinh-doanh.35C65CBC.html","Xem chi tiết")</f>
        <v/>
      </c>
    </row>
    <row r="20988">
      <c r="B20988" s="9" t="n">
        <v>20986</v>
      </c>
      <c r="C20988" s="10" t="inlineStr">
        <is>
          <t>QC Staff – Wooden Furniture &amp; Storage Products (Japanese speaker), monthly 1500-2000 USD (木製家具、ソファ、収納用品の品質管理,　月給1,500～2,500)</t>
        </is>
      </c>
      <c r="D20988" s="10" t="inlineStr">
        <is>
          <t>MUJI GLOBAL SOURCING VIETNAM CO.,LTD</t>
        </is>
      </c>
      <c r="E20988" s="10" t="inlineStr">
        <is>
          <t>Lương:1.200 - 2.500 USD</t>
        </is>
      </c>
      <c r="F20988" s="10" t="inlineStr">
        <is>
          <t>Hồ Chí Minh</t>
        </is>
      </c>
      <c r="G20988" s="10" t="inlineStr">
        <is>
          <t>4</t>
        </is>
      </c>
      <c r="H20988" s="10" t="inlineStr">
        <is>
          <t>21/03/2026</t>
        </is>
      </c>
      <c r="I20988" s="10" t="inlineStr">
        <is>
          <t>17/03/2026</t>
        </is>
      </c>
      <c r="J20988" s="10" t="inlineStr">
        <is>
          <t>Đồ gỗ, Quản lý chất lượng (QA/QC), Nội ngoại thất</t>
        </is>
      </c>
      <c r="K20988" s="10" t="inlineStr">
        <is>
          <t>1 - 5 Năm</t>
        </is>
      </c>
      <c r="L20988" s="11">
        <f>HYPERLINK("https://careerviet.vn/vi/tim-viec-lam/qc-staff-wooden-furniture-storage-products-japanese-speaker-monthly-1500-2000-usd-1-500-2-500.35C661C3.html","Xem chi tiết")</f>
        <v/>
      </c>
      <c r="M20988" s="10" t="n"/>
    </row>
    <row r="20989">
      <c r="B20989" s="7" t="n">
        <v>20987</v>
      </c>
      <c r="C20989" t="inlineStr">
        <is>
          <t>Chuyên viên Dịch vụ Khách hàng</t>
        </is>
      </c>
      <c r="D20989" t="inlineStr">
        <is>
          <t>Công Ty Cổ Phần Tập Đoàn TH</t>
        </is>
      </c>
      <c r="E20989" t="inlineStr">
        <is>
          <t>Lương:14 Tr - 16 Tr VND</t>
        </is>
      </c>
      <c r="F20989" t="inlineStr">
        <is>
          <t>Hà Nội</t>
        </is>
      </c>
      <c r="G20989" t="inlineStr">
        <is>
          <t>05-04-2026</t>
        </is>
      </c>
      <c r="H20989" t="inlineStr">
        <is>
          <t>05/04/2026</t>
        </is>
      </c>
      <c r="I20989" t="inlineStr">
        <is>
          <t>17/03/2026</t>
        </is>
      </c>
      <c r="J20989" t="inlineStr">
        <is>
          <t>Bán lẻ / Bán sỉ, Dịch vụ khách hàng</t>
        </is>
      </c>
      <c r="K20989" t="inlineStr">
        <is>
          <t>Chưa có kinh nghiệm</t>
        </is>
      </c>
      <c r="L20989" s="8">
        <f>HYPERLINK("https://careerviet.vn/vi/tim-viec-lam/chuyen-vien-dich-vu-khach-hang.35C66267.html","Xem chi tiết")</f>
        <v/>
      </c>
    </row>
    <row r="20990">
      <c r="B20990" s="9" t="n">
        <v>20988</v>
      </c>
      <c r="C20990" s="10" t="inlineStr">
        <is>
          <t>Supply Chain Director - Luxury Jewelry Manufacturing</t>
        </is>
      </c>
      <c r="D20990" s="10" t="inlineStr">
        <is>
          <t>CareerViet's client</t>
        </is>
      </c>
      <c r="E20990" s="10" t="inlineStr">
        <is>
          <t>Lương:Cạnh tranh</t>
        </is>
      </c>
      <c r="F20990" s="10" t="inlineStr">
        <is>
          <t>Hồ Chí Minh</t>
        </is>
      </c>
      <c r="G20990" s="10" t="inlineStr">
        <is>
          <t>4</t>
        </is>
      </c>
      <c r="H20990" s="10" t="inlineStr">
        <is>
          <t>21/03/2026</t>
        </is>
      </c>
      <c r="I20990" s="10" t="inlineStr">
        <is>
          <t>17/03/2026</t>
        </is>
      </c>
      <c r="J20990" s="10" t="inlineStr">
        <is>
          <t>Vận chuyển / Giao nhận / Kho vận, Sản xuất / Vận hành sản xuất, Thu mua / Vật tư</t>
        </is>
      </c>
      <c r="K20990" s="10" t="inlineStr">
        <is>
          <t>12 - 15 Năm</t>
        </is>
      </c>
      <c r="L20990" s="11">
        <f>HYPERLINK("https://careerviet.vn/vi/tim-viec-lam/supply-chain-director-luxury-jewelry-manufacturing.35C6618A.html","Xem chi tiết")</f>
        <v/>
      </c>
      <c r="M20990" s="10" t="n"/>
    </row>
    <row r="20991">
      <c r="B20991" s="7" t="n">
        <v>20989</v>
      </c>
      <c r="C20991" t="inlineStr">
        <is>
          <t>Assistant Manager - HR Department</t>
        </is>
      </c>
      <c r="D20991" t="inlineStr">
        <is>
          <t>CÔNG TY CỔ PHẦN GREEN SPEED</t>
        </is>
      </c>
      <c r="E20991" t="inlineStr">
        <is>
          <t>Lương:15 Tr - 20 Tr VND</t>
        </is>
      </c>
      <c r="F20991" t="inlineStr">
        <is>
          <t>Hà Nội</t>
        </is>
      </c>
      <c r="G20991" t="inlineStr">
        <is>
          <t>4</t>
        </is>
      </c>
      <c r="H20991" t="inlineStr">
        <is>
          <t>21/03/2026</t>
        </is>
      </c>
      <c r="I20991" t="inlineStr">
        <is>
          <t>17/03/2026</t>
        </is>
      </c>
      <c r="J20991" t="inlineStr">
        <is>
          <t>Nhân sự</t>
        </is>
      </c>
      <c r="K20991" t="inlineStr">
        <is>
          <t>1 - 2 Năm</t>
        </is>
      </c>
      <c r="L20991" s="8">
        <f>HYPERLINK("https://careerviet.vn/vi/tim-viec-lam/assistant-manager-hr-department.35C66181.html","Xem chi tiết")</f>
        <v/>
      </c>
    </row>
    <row r="20992">
      <c r="B20992" s="9" t="n">
        <v>20990</v>
      </c>
      <c r="C20992" s="10" t="inlineStr">
        <is>
          <t>Chuyên viên Cung ứng</t>
        </is>
      </c>
      <c r="D20992" s="10" t="inlineStr">
        <is>
          <t>Tổng công ty Xây dựng số 1 – CTCP</t>
        </is>
      </c>
      <c r="E20992" s="10" t="inlineStr">
        <is>
          <t>Lương:Cạnh tranh</t>
        </is>
      </c>
      <c r="F20992" s="10" t="inlineStr">
        <is>
          <t>Hồ Chí Minh</t>
        </is>
      </c>
      <c r="G20992" s="10" t="inlineStr">
        <is>
          <t>4</t>
        </is>
      </c>
      <c r="H20992" s="10" t="inlineStr">
        <is>
          <t>21/03/2026</t>
        </is>
      </c>
      <c r="I20992" s="10" t="inlineStr">
        <is>
          <t>17/03/2026</t>
        </is>
      </c>
      <c r="J20992" s="10" t="inlineStr">
        <is>
          <t>Xây dựng</t>
        </is>
      </c>
      <c r="K20992" s="10" t="inlineStr">
        <is>
          <t>2 - 3 Năm</t>
        </is>
      </c>
      <c r="L20992" s="11">
        <f>HYPERLINK("https://careerviet.vn/vi/tim-viec-lam/chuyen-vien-cung-ung.35C661FF.html","Xem chi tiết")</f>
        <v/>
      </c>
      <c r="M20992" s="10" t="n"/>
    </row>
    <row r="20993">
      <c r="B20993" s="7" t="n">
        <v>20991</v>
      </c>
      <c r="C20993" t="inlineStr">
        <is>
          <t>Thủ quỹ (Tiếng Trung)</t>
        </is>
      </c>
      <c r="D20993" t="inlineStr">
        <is>
          <t>CÔNG TY TNHH UWINFLY VIETNAM INDUSTRIES</t>
        </is>
      </c>
      <c r="E20993" t="inlineStr">
        <is>
          <t>Lương:12 Tr - 22 Tr VND</t>
        </is>
      </c>
      <c r="F20993" t="inlineStr">
        <is>
          <t>Hồ Chí Minh</t>
        </is>
      </c>
      <c r="G20993" t="inlineStr">
        <is>
          <t>4</t>
        </is>
      </c>
      <c r="H20993" t="inlineStr">
        <is>
          <t>21/03/2026</t>
        </is>
      </c>
      <c r="I20993" t="inlineStr">
        <is>
          <t>17/03/2026</t>
        </is>
      </c>
      <c r="J20993" t="inlineStr">
        <is>
          <t>Kế toán / Kiểm toán, Ngân hàng, Tài chính / Đầu tư</t>
        </is>
      </c>
      <c r="K20993" t="inlineStr">
        <is>
          <t>N/A</t>
        </is>
      </c>
      <c r="L20993" s="8">
        <f>HYPERLINK("https://careerviet.vn/vi/tim-viec-lam/thu-quy-tieng-trung.35C66095.html","Xem chi tiết")</f>
        <v/>
      </c>
    </row>
    <row r="20994">
      <c r="B20994" s="9" t="n">
        <v>20992</v>
      </c>
      <c r="C20994" s="10" t="inlineStr">
        <is>
          <t>Chuyên Viên Quy Trình Nội Bộ (Internal Process Specialist)</t>
        </is>
      </c>
      <c r="D20994" s="10" t="inlineStr">
        <is>
          <t>UrBox - Công ty Cổ phần Tiếp Thị Số Tô Quà</t>
        </is>
      </c>
      <c r="E20994" s="10" t="inlineStr">
        <is>
          <t>Lương:Cạnh tranh</t>
        </is>
      </c>
      <c r="F20994" s="10" t="inlineStr">
        <is>
          <t>Hồ Chí Minh</t>
        </is>
      </c>
      <c r="G20994" s="10" t="inlineStr">
        <is>
          <t>3</t>
        </is>
      </c>
      <c r="H20994" s="10" t="inlineStr">
        <is>
          <t>20/03/2026</t>
        </is>
      </c>
      <c r="I20994" s="10" t="inlineStr">
        <is>
          <t>17/03/2026</t>
        </is>
      </c>
      <c r="J20994" s="10" t="inlineStr">
        <is>
          <t>Quản lý điều hành, Ngành khác</t>
        </is>
      </c>
      <c r="K20994" s="10" t="inlineStr">
        <is>
          <t>2 - 3 Năm</t>
        </is>
      </c>
      <c r="L20994" s="11">
        <f>HYPERLINK("https://careerviet.vn/vi/tim-viec-lam/chuyen-vien-quy-trinh-noi-bo-internal-process-specialist.35C65F1F.html","Xem chi tiết")</f>
        <v/>
      </c>
      <c r="M20994" s="10" t="n"/>
    </row>
    <row r="20995">
      <c r="B20995" s="7" t="n">
        <v>20993</v>
      </c>
      <c r="C20995" t="inlineStr">
        <is>
          <t>Nhân Viên Kinh Doanh Trực Vườn</t>
        </is>
      </c>
      <c r="D20995" t="inlineStr">
        <is>
          <t>HỆ THỐNG VƯỜN TÙNG TOÀN JP</t>
        </is>
      </c>
      <c r="E20995" t="inlineStr">
        <is>
          <t>Lương:12 Tr - 15 Tr VND</t>
        </is>
      </c>
      <c r="F20995" t="inlineStr">
        <is>
          <t>Hà Nội</t>
        </is>
      </c>
      <c r="G20995" t="inlineStr">
        <is>
          <t>4</t>
        </is>
      </c>
      <c r="H20995" t="inlineStr">
        <is>
          <t>21/03/2026</t>
        </is>
      </c>
      <c r="I20995" t="inlineStr">
        <is>
          <t>17/03/2026</t>
        </is>
      </c>
      <c r="J20995" t="inlineStr">
        <is>
          <t>Bán hàng / Kinh doanh, Kiến trúc, Nội ngoại thất</t>
        </is>
      </c>
      <c r="K20995" t="inlineStr">
        <is>
          <t>N/A</t>
        </is>
      </c>
      <c r="L20995" s="8">
        <f>HYPERLINK("https://careerviet.vn/vi/tim-viec-lam/nhan-vien-kinh-doanh-truc-vuon.35C661CE.html","Xem chi tiết")</f>
        <v/>
      </c>
    </row>
    <row r="20996">
      <c r="B20996" s="9" t="n">
        <v>20994</v>
      </c>
      <c r="C20996" s="10" t="inlineStr">
        <is>
          <t>Nhân Viên Kỹ Thuật</t>
        </is>
      </c>
      <c r="D20996" s="10" t="inlineStr">
        <is>
          <t>Công ty TNHH Sản Xuất Thương Mại Dịch Vụ Beled Việt Nam</t>
        </is>
      </c>
      <c r="E20996" s="10" t="inlineStr">
        <is>
          <t>Lương:Cạnh tranh</t>
        </is>
      </c>
      <c r="F20996" s="10" t="inlineStr">
        <is>
          <t>Đồng Nai</t>
        </is>
      </c>
      <c r="G20996" s="10" t="inlineStr">
        <is>
          <t>30-03-2026</t>
        </is>
      </c>
      <c r="H20996" s="10" t="inlineStr">
        <is>
          <t>30/03/2026</t>
        </is>
      </c>
      <c r="I20996" s="10" t="inlineStr">
        <is>
          <t>17/03/2026</t>
        </is>
      </c>
      <c r="J20996" s="10" t="inlineStr">
        <is>
          <t>Bảo trì / Sửa chữa, Điện / Điện tử / Điện lạnh / Điện công nghiệp, Cơ khí / Ô tô / Tự động hóa</t>
        </is>
      </c>
      <c r="K20996" s="10" t="inlineStr">
        <is>
          <t>1 - 2 Năm</t>
        </is>
      </c>
      <c r="L20996" s="11">
        <f>HYPERLINK("https://careerviet.vn/vi/tim-viec-lam/nhan-vien-ky-thuat.35C65430.html","Xem chi tiết")</f>
        <v/>
      </c>
      <c r="M20996" s="10" t="n"/>
    </row>
    <row r="20997">
      <c r="B20997" s="7" t="n">
        <v>20995</v>
      </c>
      <c r="C20997" t="inlineStr">
        <is>
          <t>Senior Vendor Acquisition Executive (B2B)</t>
        </is>
      </c>
      <c r="D20997" t="inlineStr">
        <is>
          <t>Công ty TNHH Onpoint</t>
        </is>
      </c>
      <c r="E20997" t="inlineStr">
        <is>
          <t>Lương:Cạnh tranh</t>
        </is>
      </c>
      <c r="F20997" t="inlineStr">
        <is>
          <t>Hồ Chí Minh</t>
        </is>
      </c>
      <c r="G20997" t="inlineStr">
        <is>
          <t>4</t>
        </is>
      </c>
      <c r="H20997" t="inlineStr">
        <is>
          <t>21/03/2026</t>
        </is>
      </c>
      <c r="I20997" t="inlineStr">
        <is>
          <t>17/03/2026</t>
        </is>
      </c>
      <c r="J20997" t="inlineStr">
        <is>
          <t>Bán hàng / Kinh doanh, Thương mại điện tử, Dịch vụ khách hàng</t>
        </is>
      </c>
      <c r="K20997" t="inlineStr">
        <is>
          <t>Chưa có kinh nghiệm</t>
        </is>
      </c>
      <c r="L20997" s="8">
        <f>HYPERLINK("https://careerviet.vn/vi/tim-viec-lam/senior-vendor-acquisition-executive-b2b.35C6613F.html","Xem chi tiết")</f>
        <v/>
      </c>
    </row>
    <row r="20998">
      <c r="B20998" s="9" t="n">
        <v>20996</v>
      </c>
      <c r="C20998" s="10" t="inlineStr">
        <is>
          <t>Training Specialist</t>
        </is>
      </c>
      <c r="D20998" s="10" t="inlineStr">
        <is>
          <t>Công Ty TNHH BEST Logistics Technology (Việt Nam)</t>
        </is>
      </c>
      <c r="E20998" s="10" t="inlineStr">
        <is>
          <t>Lương:13 Tr - 20 Tr VND</t>
        </is>
      </c>
      <c r="F20998" s="10" t="inlineStr">
        <is>
          <t>Hồ Chí Minh</t>
        </is>
      </c>
      <c r="G20998" s="10" t="inlineStr">
        <is>
          <t>4</t>
        </is>
      </c>
      <c r="H20998" s="10" t="inlineStr">
        <is>
          <t>21/03/2026</t>
        </is>
      </c>
      <c r="I20998" s="10" t="inlineStr">
        <is>
          <t>17/03/2026</t>
        </is>
      </c>
      <c r="J20998" s="10" t="inlineStr">
        <is>
          <t>Thương mại điện tử, Vận chuyển / Giao nhận / Kho vận</t>
        </is>
      </c>
      <c r="K20998" s="10" t="inlineStr">
        <is>
          <t>1 - 5 Năm</t>
        </is>
      </c>
      <c r="L20998" s="11">
        <f>HYPERLINK("https://careerviet.vn/vi/tim-viec-lam/training-specialist.35C66212.html","Xem chi tiết")</f>
        <v/>
      </c>
      <c r="M20998" s="10" t="n"/>
    </row>
    <row r="20999">
      <c r="B20999" s="7" t="n">
        <v>20997</v>
      </c>
      <c r="C20999" t="inlineStr">
        <is>
          <t>Tài xế xe tải dưới 15 tấn (Tại Dĩ An- Bình Dương) thu nhập lên đến 20 triệu/ tháng</t>
        </is>
      </c>
      <c r="D20999" t="inlineStr">
        <is>
          <t>Công Ty Cổ Phần Hai Bốn Bảy</t>
        </is>
      </c>
      <c r="E20999" t="inlineStr">
        <is>
          <t>Lương:15 Tr - 20 Tr VND</t>
        </is>
      </c>
      <c r="F20999" t="inlineStr">
        <is>
          <t>Bình Dương</t>
        </is>
      </c>
      <c r="G20999" t="inlineStr">
        <is>
          <t>4</t>
        </is>
      </c>
      <c r="H20999" t="inlineStr">
        <is>
          <t>21/03/2026</t>
        </is>
      </c>
      <c r="I20999" t="inlineStr">
        <is>
          <t>17/03/2026</t>
        </is>
      </c>
      <c r="J20999" t="inlineStr">
        <is>
          <t>Vận chuyển / Giao nhận / Kho vận</t>
        </is>
      </c>
      <c r="K20999" t="inlineStr">
        <is>
          <t>2 - 5 Năm</t>
        </is>
      </c>
      <c r="L20999" s="8">
        <f>HYPERLINK("https://careerviet.vn/vi/tim-viec-lam/tai-xe-xe-tai-duoi-15-tan-tai-di-an-binh-duong-thu-nhap-len-den-20-trieu-thang.35C6626C.html","Xem chi tiết")</f>
        <v/>
      </c>
    </row>
    <row r="21000">
      <c r="B21000" s="9" t="n">
        <v>20998</v>
      </c>
      <c r="C21000" s="10" t="inlineStr">
        <is>
          <t>PR &amp; MARKETING</t>
        </is>
      </c>
      <c r="D21000" s="10" t="inlineStr">
        <is>
          <t>CÔNG TY TNHH TASGO</t>
        </is>
      </c>
      <c r="E21000" s="10" t="inlineStr">
        <is>
          <t>Lương:10 Tr - 18 Tr VND</t>
        </is>
      </c>
      <c r="F21000" s="10" t="inlineStr">
        <is>
          <t>Hồ Chí Minh</t>
        </is>
      </c>
      <c r="G21000" s="10" t="inlineStr">
        <is>
          <t>4</t>
        </is>
      </c>
      <c r="H21000" s="10" t="inlineStr">
        <is>
          <t>21/03/2026</t>
        </is>
      </c>
      <c r="I21000" s="10" t="inlineStr">
        <is>
          <t>17/03/2026</t>
        </is>
      </c>
      <c r="J21000" s="10" t="inlineStr">
        <is>
          <t>Tiếp thị / Marketing, Tiếp thị trực tuyến, Quảng cáo / Đối ngoại / Truyền Thông</t>
        </is>
      </c>
      <c r="K21000" s="10" t="inlineStr">
        <is>
          <t>3 - 5 Năm</t>
        </is>
      </c>
      <c r="L21000" s="11">
        <f>HYPERLINK("https://careerviet.vn/vi/tim-viec-lam/pr-marketing.35C66139.html","Xem chi tiết")</f>
        <v/>
      </c>
      <c r="M21000" s="10" t="n"/>
    </row>
    <row r="21001">
      <c r="B21001" s="7" t="n">
        <v>20999</v>
      </c>
      <c r="C21001" t="inlineStr">
        <is>
          <t>CG Quản lý sản phẩm (Phân khúc hộ kinh doanh) - TA 187</t>
        </is>
      </c>
      <c r="D21001" t="inlineStr">
        <is>
          <t>Ngân Hàng TMCP Việt Nam Thịnh Vượng - VPBANK</t>
        </is>
      </c>
      <c r="E21001" t="inlineStr">
        <is>
          <t>Lương:20 Tr - 50 Tr VND</t>
        </is>
      </c>
      <c r="F21001" t="inlineStr">
        <is>
          <t>Hà Nội</t>
        </is>
      </c>
      <c r="G21001" t="inlineStr">
        <is>
          <t>3</t>
        </is>
      </c>
      <c r="H21001" t="inlineStr">
        <is>
          <t>20/03/2026</t>
        </is>
      </c>
      <c r="I21001" t="inlineStr">
        <is>
          <t>17/03/2026</t>
        </is>
      </c>
      <c r="J21001" t="inlineStr">
        <is>
          <t>Ngân hàng</t>
        </is>
      </c>
      <c r="K21001" t="inlineStr">
        <is>
          <t>Trên 3 Năm</t>
        </is>
      </c>
      <c r="L21001" s="8">
        <f>HYPERLINK("https://careerviet.vn/vi/tim-viec-lam/cg-quan-ly-san-pham-phan-khuc-ho-kinh-doanh-ta-187.35C65BBB.html","Xem chi tiết")</f>
        <v/>
      </c>
    </row>
    <row r="21002">
      <c r="B21002" s="9" t="n">
        <v>21000</v>
      </c>
      <c r="C21002" s="10" t="inlineStr">
        <is>
          <t>NHÂN VIÊN QUAY DỰNG PHỤ TRÁCH KÊNH TIKTOK, YOUTUBE</t>
        </is>
      </c>
      <c r="D21002" s="10" t="inlineStr">
        <is>
          <t>Công ty TNHH Kinh doanh và Dịch vụ Bất động sản Realhomes</t>
        </is>
      </c>
      <c r="E21002" s="10" t="inlineStr">
        <is>
          <t>Lương:9 Tr - 15 Tr VND</t>
        </is>
      </c>
      <c r="F21002" s="10" t="inlineStr">
        <is>
          <t>Hà Nội</t>
        </is>
      </c>
      <c r="G21002" s="10" t="inlineStr">
        <is>
          <t>3</t>
        </is>
      </c>
      <c r="H21002" s="10" t="inlineStr">
        <is>
          <t>20/03/2026</t>
        </is>
      </c>
      <c r="I21002" s="10" t="inlineStr">
        <is>
          <t>17/03/2026</t>
        </is>
      </c>
      <c r="J21002" s="10" t="inlineStr">
        <is>
          <t>Tiếp thị / Marketing, Bất động sản, Quảng cáo / Đối ngoại / Truyền Thông</t>
        </is>
      </c>
      <c r="K21002" s="10" t="inlineStr">
        <is>
          <t>Trên 1 Năm</t>
        </is>
      </c>
      <c r="L21002" s="11">
        <f>HYPERLINK("https://careerviet.vn/vi/tim-viec-lam/nhan-vien-quay-dung-phu-trach-kenh-tiktok-youtube.35C63634.html","Xem chi tiết")</f>
        <v/>
      </c>
      <c r="M21002" s="10" t="n"/>
    </row>
    <row r="21003">
      <c r="B21003" s="7" t="n">
        <v>21001</v>
      </c>
      <c r="C21003" t="inlineStr">
        <is>
          <t>Nhân viên Quỹ (Thu ngân)</t>
        </is>
      </c>
      <c r="D21003" t="inlineStr">
        <is>
          <t>Công ty Vàng Bạc Đá Qúy Bảo Tín Minh Châu</t>
        </is>
      </c>
      <c r="E21003" t="inlineStr">
        <is>
          <t>Lương:10 Tr - 15 Tr VND</t>
        </is>
      </c>
      <c r="F21003" t="inlineStr">
        <is>
          <t>Hà Nội</t>
        </is>
      </c>
      <c r="G21003" t="inlineStr">
        <is>
          <t>3</t>
        </is>
      </c>
      <c r="H21003" t="inlineStr">
        <is>
          <t>20/03/2026</t>
        </is>
      </c>
      <c r="I21003" t="inlineStr">
        <is>
          <t>17/03/2026</t>
        </is>
      </c>
      <c r="J21003" t="inlineStr">
        <is>
          <t>Bán hàng / Kinh doanh</t>
        </is>
      </c>
      <c r="K21003" t="inlineStr">
        <is>
          <t>1 - 2 Năm</t>
        </is>
      </c>
      <c r="L21003" s="8">
        <f>HYPERLINK("https://careerviet.vn/vi/tim-viec-lam/nhan-vien-quy-thu-ngan.35C65EDD.html","Xem chi tiết")</f>
        <v/>
      </c>
    </row>
    <row r="21004">
      <c r="B21004" s="9" t="n">
        <v>21002</v>
      </c>
      <c r="C21004" s="10" t="inlineStr">
        <is>
          <t>Nhân viên Tuyển sinh &amp; Chăm sóc Phụ huynh</t>
        </is>
      </c>
      <c r="D21004" s="10" t="inlineStr">
        <is>
          <t>Hệ thống trường Pathway Tuệ Đức</t>
        </is>
      </c>
      <c r="E21004" s="10" t="inlineStr">
        <is>
          <t>Lương:Cạnh tranh</t>
        </is>
      </c>
      <c r="F21004" s="10" t="inlineStr">
        <is>
          <t>Hồ Chí Minh</t>
        </is>
      </c>
      <c r="G21004" s="10" t="inlineStr">
        <is>
          <t>3</t>
        </is>
      </c>
      <c r="H21004" s="10" t="inlineStr">
        <is>
          <t>20/03/2026</t>
        </is>
      </c>
      <c r="I21004" s="10" t="inlineStr">
        <is>
          <t>17/03/2026</t>
        </is>
      </c>
      <c r="J21004" s="10" t="inlineStr">
        <is>
          <t>Tư vấn, Dịch vụ khách hàng, Giáo dục / Đào tạo</t>
        </is>
      </c>
      <c r="K21004" s="10" t="inlineStr">
        <is>
          <t>1 - 3 Năm</t>
        </is>
      </c>
      <c r="L21004" s="11">
        <f>HYPERLINK("https://careerviet.vn/vi/tim-viec-lam/nhan-vien-tuyen-sinh-cham-soc-phu-huynh.35C6602E.html","Xem chi tiết")</f>
        <v/>
      </c>
      <c r="M21004" s="10" t="n"/>
    </row>
    <row r="21005">
      <c r="B21005" s="7" t="n">
        <v>21003</v>
      </c>
      <c r="C21005" t="inlineStr">
        <is>
          <t>CHUYÊN VIÊN KIỂM SOÁT CHẤT LƯỢNG (QC SPECIALIST)</t>
        </is>
      </c>
      <c r="D21005" t="inlineStr">
        <is>
          <t>CÔNG TY TNHH YIMI J&amp;T CARGO TRANSPORTATION</t>
        </is>
      </c>
      <c r="E21005" t="inlineStr">
        <is>
          <t>Lương:15 Tr - 20 Tr VND</t>
        </is>
      </c>
      <c r="F21005" t="inlineStr">
        <is>
          <t>Hồ Chí MinhHà Nội</t>
        </is>
      </c>
      <c r="G21005" t="inlineStr">
        <is>
          <t>4</t>
        </is>
      </c>
      <c r="H21005" t="inlineStr">
        <is>
          <t>21/03/2026</t>
        </is>
      </c>
      <c r="I21005" t="inlineStr">
        <is>
          <t>17/03/2026</t>
        </is>
      </c>
      <c r="J21005" t="inlineStr">
        <is>
          <t>Vận chuyển / Giao nhận / Kho vận</t>
        </is>
      </c>
      <c r="K21005" t="inlineStr">
        <is>
          <t>1 - 2 Năm</t>
        </is>
      </c>
      <c r="L21005" s="8">
        <f>HYPERLINK("https://careerviet.vn/vi/tim-viec-lam/chuyen-vien-kiem-soat-chat-luong-qc-specialist.35C661E0.html","Xem chi tiết")</f>
        <v/>
      </c>
    </row>
    <row r="21006">
      <c r="B21006" s="9" t="n">
        <v>21004</v>
      </c>
      <c r="C21006" s="10" t="inlineStr">
        <is>
          <t>Kế Toán Biết Tiếng Trung</t>
        </is>
      </c>
      <c r="D21006" s="10" t="inlineStr">
        <is>
          <t>CÔNG TY TNHH TOP ONE GLOBAL SCM</t>
        </is>
      </c>
      <c r="E21006" s="10" t="inlineStr">
        <is>
          <t>Lương:Cạnh tranh</t>
        </is>
      </c>
      <c r="F21006" s="10" t="inlineStr">
        <is>
          <t>Hồ Chí Minh</t>
        </is>
      </c>
      <c r="G21006" s="10" t="inlineStr">
        <is>
          <t>4</t>
        </is>
      </c>
      <c r="H21006" s="10" t="inlineStr">
        <is>
          <t>21/03/2026</t>
        </is>
      </c>
      <c r="I21006" s="10" t="inlineStr">
        <is>
          <t>17/03/2026</t>
        </is>
      </c>
      <c r="J21006" s="10" t="inlineStr">
        <is>
          <t>Biên phiên dịch, Kế toán / Kiểm toán, Tài chính / Đầu tư</t>
        </is>
      </c>
      <c r="K21006" s="10" t="inlineStr">
        <is>
          <t>3 - 5 Năm</t>
        </is>
      </c>
      <c r="L21006" s="11">
        <f>HYPERLINK("https://careerviet.vn/vi/tim-viec-lam/ke-toan-biet-tieng-trung.35C65BDB.html","Xem chi tiết")</f>
        <v/>
      </c>
      <c r="M21006" s="10" t="n"/>
    </row>
    <row r="21007">
      <c r="B21007" s="7" t="n">
        <v>21005</v>
      </c>
      <c r="C21007" t="inlineStr">
        <is>
          <t>Trưởng Phòng Pháp Chế</t>
        </is>
      </c>
      <c r="D21007" t="inlineStr">
        <is>
          <t>Tập Đoàn CT Group Việt Nam</t>
        </is>
      </c>
      <c r="E21007" t="inlineStr">
        <is>
          <t>Lương:40 Tr - 45 Tr VND</t>
        </is>
      </c>
      <c r="F21007" t="inlineStr">
        <is>
          <t>Hồ Chí Minh</t>
        </is>
      </c>
      <c r="G21007" t="inlineStr">
        <is>
          <t>3</t>
        </is>
      </c>
      <c r="H21007" t="inlineStr">
        <is>
          <t>20/03/2026</t>
        </is>
      </c>
      <c r="I21007" t="inlineStr">
        <is>
          <t>17/03/2026</t>
        </is>
      </c>
      <c r="J21007" t="inlineStr">
        <is>
          <t>Y tế / Chăm sóc sức khỏe / Thẩm mỹ / Làm đẹp, Luật / Pháp lý, Công nghệ sinh học</t>
        </is>
      </c>
      <c r="K21007" t="inlineStr">
        <is>
          <t>5 - 7 Năm</t>
        </is>
      </c>
      <c r="L21007" s="8">
        <f>HYPERLINK("https://careerviet.vn/vi/tim-viec-lam/truong-phong-phap-che.35C65E78.html","Xem chi tiết")</f>
        <v/>
      </c>
    </row>
    <row r="21008">
      <c r="B21008" s="9" t="n">
        <v>21006</v>
      </c>
      <c r="C21008" s="10" t="inlineStr">
        <is>
          <t>KIẾN TRÚC SƯ TRIỂN KHAI (REVIT)</t>
        </is>
      </c>
      <c r="D21008" s="10" t="inlineStr">
        <is>
          <t>CÔNG TY CP THIẾT KẾ VONE</t>
        </is>
      </c>
      <c r="E21008" s="10" t="inlineStr">
        <is>
          <t>Lương:14 Tr - 20 Tr VND</t>
        </is>
      </c>
      <c r="F21008" s="10" t="inlineStr">
        <is>
          <t>Hồ Chí Minh</t>
        </is>
      </c>
      <c r="G21008" s="10" t="inlineStr">
        <is>
          <t>4</t>
        </is>
      </c>
      <c r="H21008" s="10" t="inlineStr">
        <is>
          <t>21/03/2026</t>
        </is>
      </c>
      <c r="I21008" s="10" t="inlineStr">
        <is>
          <t>17/03/2026</t>
        </is>
      </c>
      <c r="J21008" s="10" t="inlineStr">
        <is>
          <t>Kiến trúc, Xây dựng, Nội ngoại thất</t>
        </is>
      </c>
      <c r="K21008" s="10" t="inlineStr">
        <is>
          <t>1 - 5 Năm</t>
        </is>
      </c>
      <c r="L21008" s="11">
        <f>HYPERLINK("https://careerviet.vn/vi/tim-viec-lam/kien-truc-su-trien-khai-revit.35C66132.html","Xem chi tiết")</f>
        <v/>
      </c>
      <c r="M21008" s="10" t="n"/>
    </row>
    <row r="21009">
      <c r="B21009" s="7" t="n">
        <v>21007</v>
      </c>
      <c r="C21009" t="inlineStr">
        <is>
          <t>Nhân Viên Kỹ Thuật (Bảo trì, bảo dưỡng kho xưởng)</t>
        </is>
      </c>
      <c r="D21009" t="inlineStr">
        <is>
          <t>CÔNG TY CỔ PHẦN VĨNH QUANG</t>
        </is>
      </c>
      <c r="E21009" t="inlineStr">
        <is>
          <t>Lương:12 Tr - 15 Tr VND</t>
        </is>
      </c>
      <c r="F21009" t="inlineStr">
        <is>
          <t>Hồ Chí Minh</t>
        </is>
      </c>
      <c r="G21009" t="inlineStr">
        <is>
          <t>3</t>
        </is>
      </c>
      <c r="H21009" t="inlineStr">
        <is>
          <t>19/03/2026</t>
        </is>
      </c>
      <c r="I21009" t="inlineStr">
        <is>
          <t>17/03/2026</t>
        </is>
      </c>
      <c r="J21009" t="inlineStr">
        <is>
          <t>Điện / Điện tử / Điện lạnh / Điện công nghiệp, Xây dựng, Bảo trì / Sửa chữa</t>
        </is>
      </c>
      <c r="K21009" t="inlineStr">
        <is>
          <t>1 - 3 Năm</t>
        </is>
      </c>
      <c r="L21009" s="8">
        <f>HYPERLINK("https://careerviet.vn/vi/tim-viec-lam/nhan-vien-ky-thuat-bao-tri-bao-duong-kho-xuong.35C65FB2.html","Xem chi tiết")</f>
        <v/>
      </c>
    </row>
    <row r="21010">
      <c r="B21010" s="9" t="n">
        <v>21008</v>
      </c>
      <c r="C21010" s="10" t="inlineStr">
        <is>
          <t>Nhân viên Điều Độ</t>
        </is>
      </c>
      <c r="D21010" s="10" t="inlineStr">
        <is>
          <t>CÔNG TY CỔ PHẦN  ITL LOGISTICS</t>
        </is>
      </c>
      <c r="E21010" s="10" t="inlineStr">
        <is>
          <t>Lương:Cạnh tranh</t>
        </is>
      </c>
      <c r="F21010" s="10" t="inlineStr">
        <is>
          <t>Bắc Ninh</t>
        </is>
      </c>
      <c r="G21010" s="10" t="inlineStr">
        <is>
          <t>3</t>
        </is>
      </c>
      <c r="H21010" s="10" t="inlineStr">
        <is>
          <t>20/03/2026</t>
        </is>
      </c>
      <c r="I21010" s="10" t="inlineStr">
        <is>
          <t>17/03/2026</t>
        </is>
      </c>
      <c r="J21010" s="10" t="inlineStr">
        <is>
          <t>Vận chuyển / Giao nhận / Kho vận</t>
        </is>
      </c>
      <c r="K21010" s="10" t="inlineStr">
        <is>
          <t>1 - 5 Năm</t>
        </is>
      </c>
      <c r="L21010" s="11">
        <f>HYPERLINK("https://careerviet.vn/vi/tim-viec-lam/nhan-vien-dieu-do.35C65EAD.html","Xem chi tiết")</f>
        <v/>
      </c>
      <c r="M21010" s="10" t="n"/>
    </row>
    <row r="21011">
      <c r="B21011" s="7" t="n">
        <v>21009</v>
      </c>
      <c r="C21011" t="inlineStr">
        <is>
          <t>Legal Supervisor</t>
        </is>
      </c>
      <c r="D21011" t="inlineStr">
        <is>
          <t>CareerViet's client</t>
        </is>
      </c>
      <c r="E21011" t="inlineStr">
        <is>
          <t>Lương:Cạnh tranh</t>
        </is>
      </c>
      <c r="F21011" t="inlineStr">
        <is>
          <t>Hồ Chí Minh</t>
        </is>
      </c>
      <c r="G21011" t="inlineStr">
        <is>
          <t>3</t>
        </is>
      </c>
      <c r="H21011" t="inlineStr">
        <is>
          <t>20/03/2026</t>
        </is>
      </c>
      <c r="I21011" t="inlineStr">
        <is>
          <t>17/03/2026</t>
        </is>
      </c>
      <c r="J21011" t="inlineStr">
        <is>
          <t>Điện / Điện tử / Điện lạnh / Điện công nghiệp, Sản xuất / Vận hành sản xuất, Luật / Pháp lý</t>
        </is>
      </c>
      <c r="K21011" t="inlineStr">
        <is>
          <t>3 - 5 Năm</t>
        </is>
      </c>
      <c r="L21011" s="8">
        <f>HYPERLINK("https://careerviet.vn/vi/tim-viec-lam/legal-supervisor.35C65F19.html","Xem chi tiết")</f>
        <v/>
      </c>
    </row>
    <row r="21012">
      <c r="B21012" s="9" t="n">
        <v>21010</v>
      </c>
      <c r="C21012" s="10" t="inlineStr">
        <is>
          <t>Expert Backend Developer (AWS)</t>
        </is>
      </c>
      <c r="D21012" s="10" t="inlineStr">
        <is>
          <t>Công Ty CP Vàng Bạc Đá Quý Phú Nhuận - PNJ</t>
        </is>
      </c>
      <c r="E21012" s="10" t="inlineStr">
        <is>
          <t>Lương:Cạnh tranh</t>
        </is>
      </c>
      <c r="F21012" s="10" t="inlineStr">
        <is>
          <t>Hồ Chí Minh</t>
        </is>
      </c>
      <c r="G21012" s="10" t="inlineStr">
        <is>
          <t>3</t>
        </is>
      </c>
      <c r="H21012" s="10" t="inlineStr">
        <is>
          <t>20/03/2026</t>
        </is>
      </c>
      <c r="I21012" s="10" t="inlineStr">
        <is>
          <t>17/03/2026</t>
        </is>
      </c>
      <c r="J21012" s="10" t="inlineStr">
        <is>
          <t>CNTT - Phần mềm</t>
        </is>
      </c>
      <c r="K21012" s="10" t="inlineStr">
        <is>
          <t>5 - 10 Năm</t>
        </is>
      </c>
      <c r="L21012" s="11">
        <f>HYPERLINK("https://careerviet.vn/vi/tim-viec-lam/expert-backend-developer-aws.35C6603B.html","Xem chi tiết")</f>
        <v/>
      </c>
      <c r="M21012" s="10" t="n"/>
    </row>
    <row r="21013">
      <c r="B21013" s="7" t="n">
        <v>21011</v>
      </c>
      <c r="C21013" t="inlineStr">
        <is>
          <t>Nhân Viên Kế Toán (Hợp đồng 6 - 8 tháng)</t>
        </is>
      </c>
      <c r="D21013" t="inlineStr">
        <is>
          <t>CÔNG TY CỔ PHẦN MATSUMOTO KIYOSHI VIỆT NAM</t>
        </is>
      </c>
      <c r="E21013" t="inlineStr">
        <is>
          <t>Lương:7 Tr - 9 Tr VND</t>
        </is>
      </c>
      <c r="F21013" t="inlineStr">
        <is>
          <t>Hồ Chí Minh</t>
        </is>
      </c>
      <c r="G21013" t="inlineStr">
        <is>
          <t>3</t>
        </is>
      </c>
      <c r="H21013" t="inlineStr">
        <is>
          <t>20/03/2026</t>
        </is>
      </c>
      <c r="I21013" t="inlineStr">
        <is>
          <t>17/03/2026</t>
        </is>
      </c>
      <c r="J21013" t="inlineStr">
        <is>
          <t>Kế toán / Kiểm toán, Tài chính / Đầu tư</t>
        </is>
      </c>
      <c r="K21013" t="inlineStr">
        <is>
          <t>1 - 2 Năm</t>
        </is>
      </c>
      <c r="L21013" s="8">
        <f>HYPERLINK("https://careerviet.vn/vi/tim-viec-lam/nhan-vien-ke-toan-hop-dong-6-8-thang.35C65EB2.html","Xem chi tiết")</f>
        <v/>
      </c>
    </row>
    <row r="21014">
      <c r="B21014" s="9" t="n">
        <v>21012</v>
      </c>
      <c r="C21014" s="10" t="inlineStr">
        <is>
          <t>Software Architect</t>
        </is>
      </c>
      <c r="D21014" s="10" t="inlineStr">
        <is>
          <t>Công ty TNHH Viettel - CHT</t>
        </is>
      </c>
      <c r="E21014" s="10" t="inlineStr">
        <is>
          <t>Lương:Cạnh tranh</t>
        </is>
      </c>
      <c r="F21014" s="10" t="inlineStr">
        <is>
          <t>Hà Nội</t>
        </is>
      </c>
      <c r="G21014" s="10" t="inlineStr">
        <is>
          <t>3</t>
        </is>
      </c>
      <c r="H21014" s="10" t="inlineStr">
        <is>
          <t>20/03/2026</t>
        </is>
      </c>
      <c r="I21014" s="10" t="inlineStr">
        <is>
          <t>17/03/2026</t>
        </is>
      </c>
      <c r="J21014" s="10" t="inlineStr">
        <is>
          <t>CNTT - Phần mềm, CNTT - Phần cứng / Mạng</t>
        </is>
      </c>
      <c r="K21014" s="10" t="inlineStr">
        <is>
          <t>Trên 3 Năm</t>
        </is>
      </c>
      <c r="L21014" s="11">
        <f>HYPERLINK("https://careerviet.vn/vi/tim-viec-lam/software-architect.35C65EF8.html","Xem chi tiết")</f>
        <v/>
      </c>
      <c r="M21014" s="10" t="n"/>
    </row>
    <row r="21015">
      <c r="B21015" s="7" t="n">
        <v>21013</v>
      </c>
      <c r="C21015" t="inlineStr">
        <is>
          <t>Trà Vinh - PGD Duyên Hải - Chuyên viên Quan hệ Khách hàng cá nhân Priority</t>
        </is>
      </c>
      <c r="D21015" t="inlineStr">
        <is>
          <t>Ngân hàng TMCP Lộc Phát Việt Nam (LPBank)</t>
        </is>
      </c>
      <c r="E21015" t="inlineStr">
        <is>
          <t>Lương:Cạnh tranh</t>
        </is>
      </c>
      <c r="F21015" t="inlineStr">
        <is>
          <t>Trà Vinh</t>
        </is>
      </c>
      <c r="G21015" t="inlineStr">
        <is>
          <t>3</t>
        </is>
      </c>
      <c r="H21015" t="inlineStr">
        <is>
          <t>20/03/2026</t>
        </is>
      </c>
      <c r="I21015" t="inlineStr">
        <is>
          <t>17/03/2026</t>
        </is>
      </c>
      <c r="J21015" t="inlineStr">
        <is>
          <t>Bán hàng / Kinh doanh, Bất động sản, Bảo hiểm</t>
        </is>
      </c>
      <c r="K21015" t="inlineStr">
        <is>
          <t>Trên 1 Năm</t>
        </is>
      </c>
      <c r="L21015" s="8">
        <f>HYPERLINK("https://careerviet.vn/vi/tim-viec-lam/tra-vinh-pgd-duyen-hai-chuyen-vien-quan-he-khach-hang-ca-nhan-priority.35C65F8D.html","Xem chi tiết")</f>
        <v/>
      </c>
    </row>
    <row r="21016">
      <c r="B21016" s="9" t="n">
        <v>21014</v>
      </c>
      <c r="C21016" s="10" t="inlineStr">
        <is>
          <t>Trưởng phòng HCNS</t>
        </is>
      </c>
      <c r="D21016" s="10" t="inlineStr">
        <is>
          <t>CÔNG TY TNHH THƯƠNG MẠI VÀ DỊCH VỤ MINITI VIỆT NAM</t>
        </is>
      </c>
      <c r="E21016" s="10" t="inlineStr">
        <is>
          <t>Lương:30 Tr - 40 Tr VND</t>
        </is>
      </c>
      <c r="F21016" s="10" t="inlineStr">
        <is>
          <t>Hà Nội</t>
        </is>
      </c>
      <c r="G21016" s="10" t="inlineStr">
        <is>
          <t>3</t>
        </is>
      </c>
      <c r="H21016" s="10" t="inlineStr">
        <is>
          <t>20/03/2026</t>
        </is>
      </c>
      <c r="I21016" s="10" t="inlineStr">
        <is>
          <t>17/03/2026</t>
        </is>
      </c>
      <c r="J21016" s="10" t="inlineStr">
        <is>
          <t>Quản lý điều hành, Nhân sự</t>
        </is>
      </c>
      <c r="K21016" s="10" t="inlineStr">
        <is>
          <t>2 - 5 Năm</t>
        </is>
      </c>
      <c r="L21016" s="11">
        <f>HYPERLINK("https://careerviet.vn/vi/tim-viec-lam/truong-phong-hcns.35C65E96.html","Xem chi tiết")</f>
        <v/>
      </c>
      <c r="M21016" s="10" t="n"/>
    </row>
    <row r="21017">
      <c r="B21017" s="7" t="n">
        <v>21015</v>
      </c>
      <c r="C21017" t="inlineStr">
        <is>
          <t>[Hà Nội] - Chuyên viên Hỗ trợ Khách hàng cá nhân</t>
        </is>
      </c>
      <c r="D21017" t="inlineStr">
        <is>
          <t>Ngân hàng TMCP Lộc Phát Việt Nam (LPBank)</t>
        </is>
      </c>
      <c r="E21017" t="inlineStr">
        <is>
          <t>Lương:Cạnh tranh</t>
        </is>
      </c>
      <c r="F21017" t="inlineStr">
        <is>
          <t>Hà Nội</t>
        </is>
      </c>
      <c r="G21017" t="inlineStr">
        <is>
          <t>3</t>
        </is>
      </c>
      <c r="H21017" t="inlineStr">
        <is>
          <t>20/03/2026</t>
        </is>
      </c>
      <c r="I21017" t="inlineStr">
        <is>
          <t>17/03/2026</t>
        </is>
      </c>
      <c r="J21017" t="inlineStr">
        <is>
          <t>Bán hàng / Kinh doanh, Kế toán / Kiểm toán, Ngân hàng</t>
        </is>
      </c>
      <c r="K21017" t="inlineStr">
        <is>
          <t>Trên 1 Năm</t>
        </is>
      </c>
      <c r="L21017" s="8">
        <f>HYPERLINK("https://careerviet.vn/vi/tim-viec-lam/ha-noi-chuyen-vien-ho-tro-khach-hang-ca-nhan.35C65E89.html","Xem chi tiết")</f>
        <v/>
      </c>
    </row>
    <row r="21018">
      <c r="B21018" s="9" t="n">
        <v>21016</v>
      </c>
      <c r="C21018" s="10" t="inlineStr">
        <is>
          <t>Breakbulk Logistics Manager</t>
        </is>
      </c>
      <c r="D21018" s="10" t="inlineStr">
        <is>
          <t>Vantage Logistics Corporation</t>
        </is>
      </c>
      <c r="E21018" s="10" t="inlineStr">
        <is>
          <t>Lương:Cạnh tranh</t>
        </is>
      </c>
      <c r="F21018" s="10" t="inlineStr">
        <is>
          <t>Hồ Chí Minh</t>
        </is>
      </c>
      <c r="G21018" s="10" t="inlineStr">
        <is>
          <t>3</t>
        </is>
      </c>
      <c r="H21018" s="10" t="inlineStr">
        <is>
          <t>20/03/2026</t>
        </is>
      </c>
      <c r="I21018" s="10" t="inlineStr">
        <is>
          <t>17/03/2026</t>
        </is>
      </c>
      <c r="J21018" s="10" t="inlineStr">
        <is>
          <t>Bán hàng / Kinh doanh, Vận chuyển / Giao nhận / Kho vận, Xuất nhập khẩu</t>
        </is>
      </c>
      <c r="K21018" s="10" t="inlineStr">
        <is>
          <t>3 - 5 Năm</t>
        </is>
      </c>
      <c r="L21018" s="11">
        <f>HYPERLINK("https://careerviet.vn/vi/tim-viec-lam/breakbulk-logistics-manager.35C63600.html","Xem chi tiết")</f>
        <v/>
      </c>
      <c r="M21018" s="10" t="n"/>
    </row>
    <row r="21019">
      <c r="B21019" s="7" t="n">
        <v>21017</v>
      </c>
      <c r="C21019" t="inlineStr">
        <is>
          <t>[PHÚ MỸ - BRVT] - NHÂN VIÊN THẨM ĐỊNH TÍN DỤNG KHCN - RETAIL LOAN OFFICER</t>
        </is>
      </c>
      <c r="D21019" t="inlineStr">
        <is>
          <t>Shinhan Bank Vietnam</t>
        </is>
      </c>
      <c r="E21019" t="inlineStr">
        <is>
          <t>Lương:Cạnh tranh</t>
        </is>
      </c>
      <c r="F21019" t="inlineStr">
        <is>
          <t>Bà Rịa - Vũng Tàu</t>
        </is>
      </c>
      <c r="G21019" t="inlineStr">
        <is>
          <t>3</t>
        </is>
      </c>
      <c r="H21019" t="inlineStr">
        <is>
          <t>20/03/2026</t>
        </is>
      </c>
      <c r="I21019" t="inlineStr">
        <is>
          <t>17/03/2026</t>
        </is>
      </c>
      <c r="J21019" t="inlineStr">
        <is>
          <t>Kế toán / Kiểm toán, Ngân hàng, Dịch vụ khách hàng</t>
        </is>
      </c>
      <c r="K21019" t="inlineStr">
        <is>
          <t>Trên 1 Năm</t>
        </is>
      </c>
      <c r="L21019" s="8">
        <f>HYPERLINK("https://careerviet.vn/vi/tim-viec-lam/phu-my-brvt-nhan-vien-tham-dinh-tin-dung-khcn-retail-loan-officer.35C65E9B.html","Xem chi tiết")</f>
        <v/>
      </c>
    </row>
    <row r="21020">
      <c r="B21020" s="9" t="n">
        <v>21018</v>
      </c>
      <c r="C21020" s="10" t="inlineStr">
        <is>
          <t>[Hà Nội] Global Sale Staff - Nhân Viên Kinh doanh Xuất khẩu Quốc tế</t>
        </is>
      </c>
      <c r="D21020" s="10" t="inlineStr">
        <is>
          <t>CÔNG TY TNHH DAESANG VIỆT NAM</t>
        </is>
      </c>
      <c r="E21020" s="10" t="inlineStr">
        <is>
          <t>Lương:10 Tr - 15 Tr VND</t>
        </is>
      </c>
      <c r="F21020" s="10" t="inlineStr">
        <is>
          <t>Hà Nội</t>
        </is>
      </c>
      <c r="G21020" s="10" t="inlineStr">
        <is>
          <t>3</t>
        </is>
      </c>
      <c r="H21020" s="10" t="inlineStr">
        <is>
          <t>20/03/2026</t>
        </is>
      </c>
      <c r="I21020" s="10" t="inlineStr">
        <is>
          <t>17/03/2026</t>
        </is>
      </c>
      <c r="J21020" s="10" t="inlineStr">
        <is>
          <t>Bán lẻ / Bán sỉ, Bán hàng / Kinh doanh, Xuất nhập khẩu</t>
        </is>
      </c>
      <c r="K21020" s="10" t="inlineStr">
        <is>
          <t>1 - 2 Năm</t>
        </is>
      </c>
      <c r="L21020" s="11">
        <f>HYPERLINK("https://careerviet.vn/vi/tim-viec-lam/ha-noi-global-sale-staff-nhan-vien-kinh-doanh-xuat-khau-quoc-te.35C65FE0.html","Xem chi tiết")</f>
        <v/>
      </c>
      <c r="M21020" s="10" t="n"/>
    </row>
    <row r="21021">
      <c r="B21021" s="7" t="n">
        <v>21019</v>
      </c>
      <c r="C21021" t="inlineStr">
        <is>
          <t>Product Manager</t>
        </is>
      </c>
      <c r="D21021" t="inlineStr">
        <is>
          <t>UrBox - Công ty Cổ phần Tiếp Thị Số Tô Quà</t>
        </is>
      </c>
      <c r="E21021" t="inlineStr">
        <is>
          <t>Lương:Cạnh tranh</t>
        </is>
      </c>
      <c r="F21021" t="inlineStr">
        <is>
          <t>Hồ Chí Minh</t>
        </is>
      </c>
      <c r="G21021" t="inlineStr">
        <is>
          <t>3</t>
        </is>
      </c>
      <c r="H21021" t="inlineStr">
        <is>
          <t>20/03/2026</t>
        </is>
      </c>
      <c r="I21021" t="inlineStr">
        <is>
          <t>17/03/2026</t>
        </is>
      </c>
      <c r="J21021" t="inlineStr">
        <is>
          <t>Bán hàng / Kinh doanh, Bán Hàng Kỹ Thuật, CNTT - Phần mềm</t>
        </is>
      </c>
      <c r="K21021" t="inlineStr">
        <is>
          <t>3 - 5 Năm</t>
        </is>
      </c>
      <c r="L21021" s="8">
        <f>HYPERLINK("https://careerviet.vn/vi/tim-viec-lam/product-manager.35C65F4D.html","Xem chi tiết")</f>
        <v/>
      </c>
    </row>
    <row r="21022">
      <c r="B21022" s="9" t="n">
        <v>21020</v>
      </c>
      <c r="C21022" s="10" t="inlineStr">
        <is>
          <t>NHÂN VIÊN SALE MARKETING</t>
        </is>
      </c>
      <c r="D21022" s="10" t="inlineStr">
        <is>
          <t>CÔNG TY CỔ PHẦN THƯƠNG MẠI DỊCH VỤ KỸ THUẬT CAO NAM PHÁT</t>
        </is>
      </c>
      <c r="E21022" s="10" t="inlineStr">
        <is>
          <t>Lương:10 Tr - 15 Tr VND</t>
        </is>
      </c>
      <c r="F21022" s="10" t="inlineStr">
        <is>
          <t>Thừa Thiên- Huế</t>
        </is>
      </c>
      <c r="G21022" s="10" t="inlineStr">
        <is>
          <t>3</t>
        </is>
      </c>
      <c r="H21022" s="10" t="inlineStr">
        <is>
          <t>20/03/2026</t>
        </is>
      </c>
      <c r="I21022" s="10" t="inlineStr">
        <is>
          <t>17/03/2026</t>
        </is>
      </c>
      <c r="J21022" s="10" t="inlineStr">
        <is>
          <t>Tiếp thị / Marketing, Bán hàng / Kinh doanh, Môi trường</t>
        </is>
      </c>
      <c r="K21022" s="10" t="inlineStr">
        <is>
          <t>Trên 1 Năm</t>
        </is>
      </c>
      <c r="L21022" s="11">
        <f>HYPERLINK("https://careerviet.vn/vi/tim-viec-lam/nhan-vien-sale-marketing.35C63648.html","Xem chi tiết")</f>
        <v/>
      </c>
      <c r="M21022" s="10" t="n"/>
    </row>
    <row r="21023">
      <c r="B21023" s="7" t="n">
        <v>21021</v>
      </c>
      <c r="C21023" t="inlineStr">
        <is>
          <t>Chuyên viên Kinh doanh Thẩm định giá - Đà Nẵng</t>
        </is>
      </c>
      <c r="D21023" t="inlineStr">
        <is>
          <t>CÔNG TY CỔ PHẦN CITICS</t>
        </is>
      </c>
      <c r="E21023" t="inlineStr">
        <is>
          <t>Lương:6 Tr - 20 Tr VND</t>
        </is>
      </c>
      <c r="F21023" t="inlineStr">
        <is>
          <t>Đà Nẵng</t>
        </is>
      </c>
      <c r="G21023" t="inlineStr">
        <is>
          <t>3</t>
        </is>
      </c>
      <c r="H21023" t="inlineStr">
        <is>
          <t>20/03/2026</t>
        </is>
      </c>
      <c r="I21023" t="inlineStr">
        <is>
          <t>17/03/2026</t>
        </is>
      </c>
      <c r="J21023" t="inlineStr">
        <is>
          <t>Bán hàng / Kinh doanh, Ngân hàng, Tài chính / Đầu tư</t>
        </is>
      </c>
      <c r="K21023" t="inlineStr">
        <is>
          <t>1 - 2 Năm</t>
        </is>
      </c>
      <c r="L21023" s="8">
        <f>HYPERLINK("https://careerviet.vn/vi/tim-viec-lam/chuyen-vien-kinh-doanh-tham-dinh-gia-da-nang.35C65F82.html","Xem chi tiết")</f>
        <v/>
      </c>
    </row>
    <row r="21024">
      <c r="B21024" s="9" t="n">
        <v>21022</v>
      </c>
      <c r="C21024" s="10" t="inlineStr">
        <is>
          <t>[PHÚ MỸ - BRVT] - CHUYÊN VIÊN QUAN HỆ KHÁCH HÀNG CÁ NHÂN</t>
        </is>
      </c>
      <c r="D21024" s="10" t="inlineStr">
        <is>
          <t>Shinhan Bank Vietnam</t>
        </is>
      </c>
      <c r="E21024" s="10" t="inlineStr">
        <is>
          <t>Lương:Cạnh tranh</t>
        </is>
      </c>
      <c r="F21024" s="10" t="inlineStr">
        <is>
          <t>Bà Rịa - Vũng Tàu</t>
        </is>
      </c>
      <c r="G21024" s="10" t="inlineStr">
        <is>
          <t>3</t>
        </is>
      </c>
      <c r="H21024" s="10" t="inlineStr">
        <is>
          <t>20/03/2026</t>
        </is>
      </c>
      <c r="I21024" s="10" t="inlineStr">
        <is>
          <t>17/03/2026</t>
        </is>
      </c>
      <c r="J21024" s="10" t="inlineStr">
        <is>
          <t>Ngân hàng, Tài chính / Đầu tư, Kế toán / Kiểm toán</t>
        </is>
      </c>
      <c r="K21024" s="10" t="inlineStr">
        <is>
          <t>Trên 2 Năm</t>
        </is>
      </c>
      <c r="L21024" s="11">
        <f>HYPERLINK("https://careerviet.vn/vi/tim-viec-lam/phu-my-brvt-chuyen-vien-quan-he-khach-hang-ca-nhan.35C65E99.html","Xem chi tiết")</f>
        <v/>
      </c>
      <c r="M21024" s="10" t="n"/>
    </row>
    <row r="21025">
      <c r="B21025" s="7" t="n">
        <v>21023</v>
      </c>
      <c r="C21025" t="inlineStr">
        <is>
          <t>Cán bộ hồ sơ nội nghiệp tại Bắc Ninh, Đồng Nai</t>
        </is>
      </c>
      <c r="D21025" t="inlineStr">
        <is>
          <t>CÔNG TY CỔ PHẦN XÂY DỰNG MEGASPACE</t>
        </is>
      </c>
      <c r="E21025" t="inlineStr">
        <is>
          <t>Lương:15 Tr - 25 Tr VND</t>
        </is>
      </c>
      <c r="F21025" t="inlineStr">
        <is>
          <t>Đồng NaiBắc NinhHưng Yên</t>
        </is>
      </c>
      <c r="G21025" t="inlineStr">
        <is>
          <t>3</t>
        </is>
      </c>
      <c r="H21025" t="inlineStr">
        <is>
          <t>20/03/2026</t>
        </is>
      </c>
      <c r="I21025" t="inlineStr">
        <is>
          <t>17/03/2026</t>
        </is>
      </c>
      <c r="J21025" t="inlineStr">
        <is>
          <t>Xây dựng, Điện / Điện tử / Điện lạnh / Điện công nghiệp, Cơ khí / Ô tô / Tự động hóa</t>
        </is>
      </c>
      <c r="K21025" t="inlineStr">
        <is>
          <t>Trên 5 Năm</t>
        </is>
      </c>
      <c r="L21025" s="8">
        <f>HYPERLINK("https://careerviet.vn/vi/tim-viec-lam/can-bo-ho-so-noi-nghiep-tai-bac-ninh-dong-nai.35C6362E.html","Xem chi tiết")</f>
        <v/>
      </c>
    </row>
    <row r="21026">
      <c r="B21026" s="9" t="n">
        <v>21024</v>
      </c>
      <c r="C21026" s="10" t="inlineStr">
        <is>
          <t>Assistant Brand Manager (Product-focused)</t>
        </is>
      </c>
      <c r="D21026" s="10" t="inlineStr">
        <is>
          <t>CÔNG TY CỔ PHẦN TẬP ĐOÀN CƠ KHÍ CÔNG NGHỆ CAO SIBA</t>
        </is>
      </c>
      <c r="E21026" s="10" t="inlineStr">
        <is>
          <t>Lương:Cạnh tranh</t>
        </is>
      </c>
      <c r="F21026" s="10" t="inlineStr">
        <is>
          <t>Hồ Chí Minh</t>
        </is>
      </c>
      <c r="G21026" s="10" t="inlineStr">
        <is>
          <t>3</t>
        </is>
      </c>
      <c r="H21026" s="10" t="inlineStr">
        <is>
          <t>20/03/2026</t>
        </is>
      </c>
      <c r="I21026" s="10" t="inlineStr">
        <is>
          <t>17/03/2026</t>
        </is>
      </c>
      <c r="J21026" s="10" t="inlineStr">
        <is>
          <t>Thực phẩm &amp; Đồ uống, Sản xuất / Vận hành sản xuất</t>
        </is>
      </c>
      <c r="K21026" s="10" t="inlineStr">
        <is>
          <t>3 - 5 Năm</t>
        </is>
      </c>
      <c r="L21026" s="11">
        <f>HYPERLINK("https://careerviet.vn/vi/tim-viec-lam/assistant-brand-manager-product-focused.35C65EA5.html","Xem chi tiết")</f>
        <v/>
      </c>
      <c r="M21026" s="10" t="n"/>
    </row>
    <row r="21027">
      <c r="B21027" s="7" t="n">
        <v>21025</v>
      </c>
      <c r="C21027" t="inlineStr">
        <is>
          <t>Senior Digital Marketing</t>
        </is>
      </c>
      <c r="D21027" t="inlineStr">
        <is>
          <t>IDOCEAN Co.,ltd</t>
        </is>
      </c>
      <c r="E21027" t="inlineStr">
        <is>
          <t>Lương:Cạnh tranh</t>
        </is>
      </c>
      <c r="F21027" t="inlineStr">
        <is>
          <t>Hồ Chí Minh</t>
        </is>
      </c>
      <c r="G21027" t="inlineStr">
        <is>
          <t>3</t>
        </is>
      </c>
      <c r="H21027" t="inlineStr">
        <is>
          <t>20/03/2026</t>
        </is>
      </c>
      <c r="I21027" t="inlineStr">
        <is>
          <t>17/03/2026</t>
        </is>
      </c>
      <c r="J21027" t="inlineStr">
        <is>
          <t>Tiếp thị / Marketing, Bán hàng / Kinh doanh, Thực phẩm &amp; Đồ uống</t>
        </is>
      </c>
      <c r="K21027" t="inlineStr">
        <is>
          <t>3 - 5 Năm</t>
        </is>
      </c>
      <c r="L21027" s="8">
        <f>HYPERLINK("https://careerviet.vn/vi/tim-viec-lam/senior-digital-marketing.35C63666.html","Xem chi tiết")</f>
        <v/>
      </c>
    </row>
    <row r="21028">
      <c r="B21028" s="9" t="n">
        <v>21026</v>
      </c>
      <c r="C21028" s="10" t="inlineStr">
        <is>
          <t>(HN/HCM) Nhân viên/CTV kinh doanh qua điện thoại</t>
        </is>
      </c>
      <c r="D21028" s="10" t="inlineStr">
        <is>
          <t>CÔNG TY TÀI CHÍNH TÍN DỤNG TIÊU DÙNG TNHH MTV AEON</t>
        </is>
      </c>
      <c r="E21028" s="10" t="inlineStr">
        <is>
          <t>Lương:Cạnh tranh</t>
        </is>
      </c>
      <c r="F21028" s="10" t="inlineStr">
        <is>
          <t>Hà NộiHồ Chí Minh</t>
        </is>
      </c>
      <c r="G21028" s="10" t="inlineStr">
        <is>
          <t>3</t>
        </is>
      </c>
      <c r="H21028" s="10" t="inlineStr">
        <is>
          <t>20/03/2026</t>
        </is>
      </c>
      <c r="I21028" s="10" t="inlineStr">
        <is>
          <t>17/03/2026</t>
        </is>
      </c>
      <c r="J21028" s="10" t="inlineStr">
        <is>
          <t>Bán hàng / Kinh doanh, Tài chính / Đầu tư</t>
        </is>
      </c>
      <c r="K21028" s="10" t="inlineStr">
        <is>
          <t>N/A</t>
        </is>
      </c>
      <c r="L21028" s="11">
        <f>HYPERLINK("https://careerviet.vn/vi/tim-viec-lam/hn-hcm-nhan-vien-ctv-kinh-doanh-qua-dien-thoai.35C66033.html","Xem chi tiết")</f>
        <v/>
      </c>
      <c r="M21028" s="10" t="n"/>
    </row>
    <row r="21029">
      <c r="B21029" s="7" t="n">
        <v>21027</v>
      </c>
      <c r="C21029" t="inlineStr">
        <is>
          <t>Nhân Viên QC</t>
        </is>
      </c>
      <c r="D21029" t="inlineStr">
        <is>
          <t>CÔNG TY CỔ PHẦN VẬT LIỆU VĨNH TÂN</t>
        </is>
      </c>
      <c r="E21029" t="inlineStr">
        <is>
          <t>Lương:10 Tr - 15 Tr VND</t>
        </is>
      </c>
      <c r="F21029" t="inlineStr">
        <is>
          <t>Bắc Ninh</t>
        </is>
      </c>
      <c r="G21029" t="inlineStr">
        <is>
          <t>3</t>
        </is>
      </c>
      <c r="H21029" t="inlineStr">
        <is>
          <t>20/03/2026</t>
        </is>
      </c>
      <c r="I21029" t="inlineStr">
        <is>
          <t>17/03/2026</t>
        </is>
      </c>
      <c r="J21029" t="inlineStr">
        <is>
          <t>Quản lý chất lượng (QA/QC), Đồ gỗ</t>
        </is>
      </c>
      <c r="K21029" t="inlineStr">
        <is>
          <t>Trên 2 Năm</t>
        </is>
      </c>
      <c r="L21029" s="8">
        <f>HYPERLINK("https://careerviet.vn/vi/tim-viec-lam/nhan-vien-qc.35C65EEE.html","Xem chi tiết")</f>
        <v/>
      </c>
    </row>
    <row r="21030">
      <c r="B21030" s="9" t="n">
        <v>21028</v>
      </c>
      <c r="C21030" s="10" t="inlineStr">
        <is>
          <t>E-commerce Marketing Specialist</t>
        </is>
      </c>
      <c r="D21030" s="10" t="inlineStr">
        <is>
          <t>JoyMall - Nhà Phân Phối Locknlock</t>
        </is>
      </c>
      <c r="E21030" s="10" t="inlineStr">
        <is>
          <t>Lương:7 Tr - 12 Tr VND</t>
        </is>
      </c>
      <c r="F21030" s="10" t="inlineStr">
        <is>
          <t>Hồ Chí Minh</t>
        </is>
      </c>
      <c r="G21030" s="10" t="inlineStr">
        <is>
          <t>3</t>
        </is>
      </c>
      <c r="H21030" s="10" t="inlineStr">
        <is>
          <t>20/03/2026</t>
        </is>
      </c>
      <c r="I21030" s="10" t="inlineStr">
        <is>
          <t>17/03/2026</t>
        </is>
      </c>
      <c r="J21030" s="10" t="inlineStr">
        <is>
          <t>Tiếp thị / Marketing, Thương mại điện tử</t>
        </is>
      </c>
      <c r="K21030" s="10" t="inlineStr">
        <is>
          <t>Chưa có kinh nghiệm</t>
        </is>
      </c>
      <c r="L21030" s="11">
        <f>HYPERLINK("https://careerviet.vn/vi/tim-viec-lam/e-commerce-marketing-specialist.35C65F6C.html","Xem chi tiết")</f>
        <v/>
      </c>
      <c r="M21030" s="10" t="n"/>
    </row>
    <row r="21031">
      <c r="B21031" s="7" t="n">
        <v>21029</v>
      </c>
      <c r="C21031" t="inlineStr">
        <is>
          <t>Phó phòng HCNS (Mạnh Tuyển dụng)</t>
        </is>
      </c>
      <c r="D21031" t="inlineStr">
        <is>
          <t>Công Ty Cổ Phần Dịch Vụ Nhà Sạch</t>
        </is>
      </c>
      <c r="E21031" t="inlineStr">
        <is>
          <t>Lương:Cạnh tranh</t>
        </is>
      </c>
      <c r="F21031" t="inlineStr">
        <is>
          <t>Đà Nẵng</t>
        </is>
      </c>
      <c r="G21031" t="inlineStr">
        <is>
          <t>3</t>
        </is>
      </c>
      <c r="H21031" t="inlineStr">
        <is>
          <t>20/03/2026</t>
        </is>
      </c>
      <c r="I21031" t="inlineStr">
        <is>
          <t>17/03/2026</t>
        </is>
      </c>
      <c r="J21031" t="inlineStr">
        <is>
          <t>Lao động phổ thông, Nhân sự</t>
        </is>
      </c>
      <c r="K21031" t="inlineStr">
        <is>
          <t>3 - 5 Năm</t>
        </is>
      </c>
      <c r="L21031" s="8">
        <f>HYPERLINK("https://careerviet.vn/vi/tim-viec-lam/pho-phong-hcns-manh-tuyen-dung.35C65F16.html","Xem chi tiết")</f>
        <v/>
      </c>
    </row>
    <row r="21032">
      <c r="B21032" s="9" t="n">
        <v>21030</v>
      </c>
      <c r="C21032" s="10" t="inlineStr">
        <is>
          <t>Ứng tuyển &gt;&gt;  Trưởng phòng kinh doanh khách hàng ưu tiên - TPHCM (Quận 1, Quận 3, Quận 7, Phú Nhuận) - TA110</t>
        </is>
      </c>
      <c r="D21032" s="10" t="inlineStr">
        <is>
          <t>Ngân Hàng TMCP Việt Nam Thịnh Vượng - VPBANK</t>
        </is>
      </c>
      <c r="E21032" s="10" t="inlineStr">
        <is>
          <t>Lương:Cạnh tranh</t>
        </is>
      </c>
      <c r="F21032" s="10" t="inlineStr">
        <is>
          <t>Hồ Chí Minh</t>
        </is>
      </c>
      <c r="G21032" s="10" t="inlineStr">
        <is>
          <t>3</t>
        </is>
      </c>
      <c r="H21032" s="10" t="inlineStr">
        <is>
          <t>20/03/2026</t>
        </is>
      </c>
      <c r="I21032" s="10" t="inlineStr">
        <is>
          <t>17/03/2026</t>
        </is>
      </c>
      <c r="J21032" s="10" t="inlineStr">
        <is>
          <t>Ngân hàng</t>
        </is>
      </c>
      <c r="K21032" s="10" t="inlineStr">
        <is>
          <t>5 - 7 Năm</t>
        </is>
      </c>
      <c r="L21032" s="11">
        <f>HYPERLINK("https://careerviet.vn/vi/tim-viec-lam/ung-tuyen-truong-phong-kinh-doanh-khach-hang-uu-tien-tphcm-quan-1-quan-3-quan-7-phu-nhuan-ta110.35C6607B.html","Xem chi tiết")</f>
        <v/>
      </c>
      <c r="M21032" s="10" t="n"/>
    </row>
    <row r="21033">
      <c r="B21033" s="7" t="n">
        <v>21031</v>
      </c>
      <c r="C21033" t="inlineStr">
        <is>
          <t>Quản Lý Sản Xuất - (Xưởng May Ghế)</t>
        </is>
      </c>
      <c r="D21033" t="inlineStr">
        <is>
          <t>Công ty TNHH SX-TM-DV Qui Phúc</t>
        </is>
      </c>
      <c r="E21033" t="inlineStr">
        <is>
          <t>Lương:17 Tr - 22 Tr VND</t>
        </is>
      </c>
      <c r="F21033" t="inlineStr">
        <is>
          <t>Hồ Chí Minh</t>
        </is>
      </c>
      <c r="G21033" t="inlineStr">
        <is>
          <t>3</t>
        </is>
      </c>
      <c r="H21033" t="inlineStr">
        <is>
          <t>20/03/2026</t>
        </is>
      </c>
      <c r="I21033" t="inlineStr">
        <is>
          <t>17/03/2026</t>
        </is>
      </c>
      <c r="J21033" t="inlineStr">
        <is>
          <t>Dệt may / Da giày / Thời trang, Sản xuất / Vận hành sản xuất, Nội ngoại thất</t>
        </is>
      </c>
      <c r="K21033" t="inlineStr">
        <is>
          <t>3 - 5 Năm</t>
        </is>
      </c>
      <c r="L21033" s="8">
        <f>HYPERLINK("https://careerviet.vn/vi/tim-viec-lam/quan-ly-san-xuat-xuong-may-ghe.35C6362A.html","Xem chi tiết")</f>
        <v/>
      </c>
    </row>
    <row r="21034">
      <c r="B21034" s="9" t="n">
        <v>21032</v>
      </c>
      <c r="C21034" s="10" t="inlineStr">
        <is>
          <t>Nhân viên bán hàng</t>
        </is>
      </c>
      <c r="D21034" s="10" t="inlineStr">
        <is>
          <t>Công ty Vàng Bạc Đá Qúy Bảo Tín Minh Châu</t>
        </is>
      </c>
      <c r="E21034" s="10" t="inlineStr">
        <is>
          <t>Lương:15 Tr - 25 Tr VND</t>
        </is>
      </c>
      <c r="F21034" s="10" t="inlineStr">
        <is>
          <t>Hà Nội</t>
        </is>
      </c>
      <c r="G21034" s="10" t="inlineStr">
        <is>
          <t>3</t>
        </is>
      </c>
      <c r="H21034" s="10" t="inlineStr">
        <is>
          <t>20/03/2026</t>
        </is>
      </c>
      <c r="I21034" s="10" t="inlineStr">
        <is>
          <t>17/03/2026</t>
        </is>
      </c>
      <c r="J21034" s="10" t="inlineStr">
        <is>
          <t>Bán hàng / Kinh doanh</t>
        </is>
      </c>
      <c r="K21034" s="10" t="inlineStr">
        <is>
          <t>N/A</t>
        </is>
      </c>
      <c r="L21034" s="11">
        <f>HYPERLINK("https://careerviet.vn/vi/tim-viec-lam/nhan-vien-ban-hang.35C51E36.html","Xem chi tiết")</f>
        <v/>
      </c>
      <c r="M21034" s="10" t="n"/>
    </row>
    <row r="21035">
      <c r="B21035" s="7" t="n">
        <v>21033</v>
      </c>
      <c r="C21035" t="inlineStr">
        <is>
          <t>CHUYÊN VIÊN ĐÀO TẠO</t>
        </is>
      </c>
      <c r="D21035" t="inlineStr">
        <is>
          <t>Công ty TNHH Kinh doanh và Dịch vụ Bất động sản Realhomes</t>
        </is>
      </c>
      <c r="E21035" t="inlineStr">
        <is>
          <t>Lương:10 Tr - 15 Tr VND</t>
        </is>
      </c>
      <c r="F21035" t="inlineStr">
        <is>
          <t>Hà Nội</t>
        </is>
      </c>
      <c r="G21035" t="inlineStr">
        <is>
          <t>3</t>
        </is>
      </c>
      <c r="H21035" t="inlineStr">
        <is>
          <t>20/03/2026</t>
        </is>
      </c>
      <c r="I21035" t="inlineStr">
        <is>
          <t>17/03/2026</t>
        </is>
      </c>
      <c r="J21035" t="inlineStr">
        <is>
          <t>Giáo dục / Đào tạo, Hành chính / Thư ký, Truyền hình / Báo chí / Biên tập</t>
        </is>
      </c>
      <c r="K21035" t="inlineStr">
        <is>
          <t>1 - 2 Năm</t>
        </is>
      </c>
      <c r="L21035" s="8">
        <f>HYPERLINK("https://careerviet.vn/vi/tim-viec-lam/chuyen-vien-dao-tao.35C65F00.html","Xem chi tiết")</f>
        <v/>
      </c>
    </row>
    <row r="21036">
      <c r="B21036" s="9" t="n">
        <v>21034</v>
      </c>
      <c r="C21036" s="10" t="inlineStr">
        <is>
          <t>CHUYÊN VIÊN PHÁP CHẾ NỘI NGHIỆP</t>
        </is>
      </c>
      <c r="D21036" s="10" t="inlineStr">
        <is>
          <t>Công Ty Cổ Phần Tập Đoàn Đèo Cả</t>
        </is>
      </c>
      <c r="E21036" s="10" t="inlineStr">
        <is>
          <t>Lương:Cạnh tranh</t>
        </is>
      </c>
      <c r="F21036" s="10" t="inlineStr">
        <is>
          <t>Hồ Chí Minh</t>
        </is>
      </c>
      <c r="G21036" s="10" t="inlineStr">
        <is>
          <t>3</t>
        </is>
      </c>
      <c r="H21036" s="10" t="inlineStr">
        <is>
          <t>20/03/2026</t>
        </is>
      </c>
      <c r="I21036" s="10" t="inlineStr">
        <is>
          <t>17/03/2026</t>
        </is>
      </c>
      <c r="J21036" s="10" t="inlineStr">
        <is>
          <t>Luật / Pháp lý, Xây dựng</t>
        </is>
      </c>
      <c r="K21036" s="10" t="inlineStr">
        <is>
          <t>Trên 2 Năm</t>
        </is>
      </c>
      <c r="L21036" s="11">
        <f>HYPERLINK("https://careerviet.vn/vi/tim-viec-lam/chuyen-vien-phap-che-noi-nghiep.35C65E7E.html","Xem chi tiết")</f>
        <v/>
      </c>
      <c r="M21036" s="10" t="n"/>
    </row>
    <row r="21037">
      <c r="B21037" s="7" t="n">
        <v>21035</v>
      </c>
      <c r="C21037" t="inlineStr">
        <is>
          <t>Tiền Giang - Chuyên viên Quan hệ Khách hàng cá nhân</t>
        </is>
      </c>
      <c r="D21037" t="inlineStr">
        <is>
          <t>Ngân hàng TMCP Lộc Phát Việt Nam (LPBank)</t>
        </is>
      </c>
      <c r="E21037" t="inlineStr">
        <is>
          <t>Lương:Cạnh tranh</t>
        </is>
      </c>
      <c r="F21037" t="inlineStr">
        <is>
          <t>Tiền Giang</t>
        </is>
      </c>
      <c r="G21037" t="inlineStr">
        <is>
          <t>3</t>
        </is>
      </c>
      <c r="H21037" t="inlineStr">
        <is>
          <t>20/03/2026</t>
        </is>
      </c>
      <c r="I21037" t="inlineStr">
        <is>
          <t>17/03/2026</t>
        </is>
      </c>
      <c r="J21037" t="inlineStr">
        <is>
          <t>Bán hàng / Kinh doanh, Kế toán / Kiểm toán, Ngân hàng</t>
        </is>
      </c>
      <c r="K21037" t="inlineStr">
        <is>
          <t>N/A</t>
        </is>
      </c>
      <c r="L21037" s="8">
        <f>HYPERLINK("https://careerviet.vn/vi/tim-viec-lam/tien-giang-chuyen-vien-quan-he-khach-hang-ca-nhan.35C65F7A.html","Xem chi tiết")</f>
        <v/>
      </c>
    </row>
    <row r="21038">
      <c r="B21038" s="9" t="n">
        <v>21036</v>
      </c>
      <c r="C21038" s="10" t="inlineStr">
        <is>
          <t>Chuyên viên cao cấp Thiết kế  (Senior Designer)</t>
        </is>
      </c>
      <c r="D21038" s="10" t="inlineStr">
        <is>
          <t>CÔNG TY CỔ PHẦN CHỨNG KHOÁN HD</t>
        </is>
      </c>
      <c r="E21038" s="10" t="inlineStr">
        <is>
          <t>Lương:Cạnh tranh</t>
        </is>
      </c>
      <c r="F21038" s="10" t="inlineStr">
        <is>
          <t>Hồ Chí Minh</t>
        </is>
      </c>
      <c r="G21038" s="10" t="inlineStr">
        <is>
          <t>3</t>
        </is>
      </c>
      <c r="H21038" s="10" t="inlineStr">
        <is>
          <t>20/03/2026</t>
        </is>
      </c>
      <c r="I21038" s="10" t="inlineStr">
        <is>
          <t>17/03/2026</t>
        </is>
      </c>
      <c r="J21038" s="10" t="inlineStr">
        <is>
          <t>Chứng khoán, Mỹ thuật / Nghệ thuật / Thiết kế, Tiếp thị / Marketing</t>
        </is>
      </c>
      <c r="K21038" s="10" t="inlineStr">
        <is>
          <t>3 - 5 Năm</t>
        </is>
      </c>
      <c r="L21038" s="11">
        <f>HYPERLINK("https://careerviet.vn/vi/tim-viec-lam/chuyen-vien-cao-cap-thiet-ke-senior-designer.35C65EA9.html","Xem chi tiết")</f>
        <v/>
      </c>
      <c r="M21038" s="10" t="n"/>
    </row>
    <row r="21039">
      <c r="B21039" s="7" t="n">
        <v>21037</v>
      </c>
      <c r="C21039" t="inlineStr">
        <is>
          <t>Trưởng phòng kinh doanh sản phẩm thế chấp - TPHCM (Quận 1, Quận 7) - TA110</t>
        </is>
      </c>
      <c r="D21039" t="inlineStr">
        <is>
          <t>Ngân Hàng TMCP Việt Nam Thịnh Vượng - VPBANK</t>
        </is>
      </c>
      <c r="E21039" t="inlineStr">
        <is>
          <t>Lương:Cạnh tranh</t>
        </is>
      </c>
      <c r="F21039" t="inlineStr">
        <is>
          <t>Hồ Chí Minh</t>
        </is>
      </c>
      <c r="G21039" t="inlineStr">
        <is>
          <t>3</t>
        </is>
      </c>
      <c r="H21039" t="inlineStr">
        <is>
          <t>20/03/2026</t>
        </is>
      </c>
      <c r="I21039" t="inlineStr">
        <is>
          <t>17/03/2026</t>
        </is>
      </c>
      <c r="J21039" t="inlineStr">
        <is>
          <t>Ngân hàng</t>
        </is>
      </c>
      <c r="K21039" t="inlineStr">
        <is>
          <t>5 - 7 Năm</t>
        </is>
      </c>
      <c r="L21039" s="8">
        <f>HYPERLINK("https://careerviet.vn/vi/tim-viec-lam/truong-phong-kinh-doanh-san-pham-the-chap-tphcm-quan-1-quan-7-ta110.35C66078.html","Xem chi tiết")</f>
        <v/>
      </c>
    </row>
    <row r="21040">
      <c r="B21040" s="9" t="n">
        <v>21038</v>
      </c>
      <c r="C21040" s="10" t="inlineStr">
        <is>
          <t>Trade Marketing</t>
        </is>
      </c>
      <c r="D21040" s="10" t="inlineStr">
        <is>
          <t>Công ty Cổ phần Nha khoa quốc tế Sing</t>
        </is>
      </c>
      <c r="E21040" s="10" t="inlineStr">
        <is>
          <t>Lương:12 Tr - 16 Tr VND</t>
        </is>
      </c>
      <c r="F21040" s="10" t="inlineStr">
        <is>
          <t>Hải PhòngVĩnh PhúcNam Định</t>
        </is>
      </c>
      <c r="G21040" s="10" t="inlineStr">
        <is>
          <t>3</t>
        </is>
      </c>
      <c r="H21040" s="10" t="inlineStr">
        <is>
          <t>20/03/2026</t>
        </is>
      </c>
      <c r="I21040" s="10" t="inlineStr">
        <is>
          <t>17/03/2026</t>
        </is>
      </c>
      <c r="J21040" s="10" t="inlineStr">
        <is>
          <t>Tiếp thị / Marketing, Y tế / Chăm sóc sức khỏe / Thẩm mỹ / Làm đẹp</t>
        </is>
      </c>
      <c r="K21040" s="10" t="inlineStr">
        <is>
          <t>1 - 3 Năm</t>
        </is>
      </c>
      <c r="L21040" s="11">
        <f>HYPERLINK("https://careerviet.vn/vi/tim-viec-lam/trade-marketing.35C63630.html","Xem chi tiết")</f>
        <v/>
      </c>
      <c r="M21040" s="10" t="n"/>
    </row>
    <row r="21041">
      <c r="B21041" s="7" t="n">
        <v>21039</v>
      </c>
      <c r="C21041" t="inlineStr">
        <is>
          <t>CVC/CVCC Bán sản phẩm cho vay - Hưng Yên - TA 187</t>
        </is>
      </c>
      <c r="D21041" t="inlineStr">
        <is>
          <t>Ngân Hàng TMCP Việt Nam Thịnh Vượng - VPBANK</t>
        </is>
      </c>
      <c r="E21041" t="inlineStr">
        <is>
          <t>Lương:20 Tr - 30 Tr VND</t>
        </is>
      </c>
      <c r="F21041" t="inlineStr">
        <is>
          <t>Hưng Yên</t>
        </is>
      </c>
      <c r="G21041" t="inlineStr">
        <is>
          <t>3</t>
        </is>
      </c>
      <c r="H21041" t="inlineStr">
        <is>
          <t>20/03/2026</t>
        </is>
      </c>
      <c r="I21041" t="inlineStr">
        <is>
          <t>17/03/2026</t>
        </is>
      </c>
      <c r="J21041" t="inlineStr">
        <is>
          <t>Ngân hàng</t>
        </is>
      </c>
      <c r="K21041" t="inlineStr">
        <is>
          <t>Trên 2 Năm</t>
        </is>
      </c>
      <c r="L21041" s="8">
        <f>HYPERLINK("https://careerviet.vn/vi/tim-viec-lam/cvc-cvcc-ban-san-pham-cho-vay-hung-yen-ta-187.35C65B86.html","Xem chi tiết")</f>
        <v/>
      </c>
    </row>
    <row r="21042">
      <c r="B21042" s="9" t="n">
        <v>21040</v>
      </c>
      <c r="C21042" s="10" t="inlineStr">
        <is>
          <t>CVCC Bán sản phẩm cho vay thế chấp - TPHCM (Quận 1, Quận 3, Quận 4, Quận 7, Bình Thạnh) - TA110</t>
        </is>
      </c>
      <c r="D21042" s="10" t="inlineStr">
        <is>
          <t>Ngân Hàng TMCP Việt Nam Thịnh Vượng - VPBANK</t>
        </is>
      </c>
      <c r="E21042" s="10" t="inlineStr">
        <is>
          <t>Lương:Cạnh tranh</t>
        </is>
      </c>
      <c r="F21042" s="10" t="inlineStr">
        <is>
          <t>Hồ Chí Minh</t>
        </is>
      </c>
      <c r="G21042" s="10" t="inlineStr">
        <is>
          <t>3</t>
        </is>
      </c>
      <c r="H21042" s="10" t="inlineStr">
        <is>
          <t>20/03/2026</t>
        </is>
      </c>
      <c r="I21042" s="10" t="inlineStr">
        <is>
          <t>17/03/2026</t>
        </is>
      </c>
      <c r="J21042" s="10" t="inlineStr">
        <is>
          <t>Ngân hàng</t>
        </is>
      </c>
      <c r="K21042" s="10" t="inlineStr">
        <is>
          <t>3 - 5 Năm</t>
        </is>
      </c>
      <c r="L21042" s="11">
        <f>HYPERLINK("https://careerviet.vn/vi/tim-viec-lam/cvcc-ban-san-pham-cho-vay-the-chap-tphcm-quan-1-quan-3-quan-4-quan-7-binh-thanh-ta110.35C66080.html","Xem chi tiết")</f>
        <v/>
      </c>
      <c r="M21042" s="10" t="n"/>
    </row>
    <row r="21043">
      <c r="B21043" s="7" t="n">
        <v>21041</v>
      </c>
      <c r="C21043" t="inlineStr">
        <is>
          <t>Channel Growth Lead (B2C)</t>
        </is>
      </c>
      <c r="D21043" t="inlineStr">
        <is>
          <t>CÔNG TY CỔ PHẦN CITICS</t>
        </is>
      </c>
      <c r="E21043" t="inlineStr">
        <is>
          <t>Lương:20 Tr - 40 Tr VND</t>
        </is>
      </c>
      <c r="F21043" t="inlineStr">
        <is>
          <t>Hồ Chí Minh</t>
        </is>
      </c>
      <c r="G21043" t="inlineStr">
        <is>
          <t>3</t>
        </is>
      </c>
      <c r="H21043" t="inlineStr">
        <is>
          <t>20/03/2026</t>
        </is>
      </c>
      <c r="I21043" t="inlineStr">
        <is>
          <t>17/03/2026</t>
        </is>
      </c>
      <c r="J21043" t="inlineStr">
        <is>
          <t>Ngân hàng, Tài chính / Đầu tư</t>
        </is>
      </c>
      <c r="K21043" t="inlineStr">
        <is>
          <t>Chưa có kinh nghiệm</t>
        </is>
      </c>
      <c r="L21043" s="8">
        <f>HYPERLINK("https://careerviet.vn/vi/tim-viec-lam/channel-growth-lead-b2c.35C6606D.html","Xem chi tiết")</f>
        <v/>
      </c>
    </row>
    <row r="21044">
      <c r="B21044" s="9" t="n">
        <v>21042</v>
      </c>
      <c r="C21044" s="10" t="inlineStr">
        <is>
          <t>THỰC TẬP SINH KINH DOANH</t>
        </is>
      </c>
      <c r="D21044" s="10" t="inlineStr">
        <is>
          <t>Công ty TNHH Kinh doanh và Dịch vụ Bất động sản Realhomes</t>
        </is>
      </c>
      <c r="E21044" s="10" t="inlineStr">
        <is>
          <t>Lương:2 Tr - 4 Tr VND</t>
        </is>
      </c>
      <c r="F21044" s="10" t="inlineStr">
        <is>
          <t>Hà NộiKhánh HòaThanh Hóa</t>
        </is>
      </c>
      <c r="G21044" s="10" t="inlineStr">
        <is>
          <t>3</t>
        </is>
      </c>
      <c r="H21044" s="10" t="inlineStr">
        <is>
          <t>20/03/2026</t>
        </is>
      </c>
      <c r="I21044" s="10" t="inlineStr">
        <is>
          <t>17/03/2026</t>
        </is>
      </c>
      <c r="J21044" s="10" t="inlineStr">
        <is>
          <t>Mới tốt nghiệp / Thực tập, Bất động sản, Bán hàng / Kinh doanh</t>
        </is>
      </c>
      <c r="K21044" s="10" t="inlineStr">
        <is>
          <t>N/A</t>
        </is>
      </c>
      <c r="L21044" s="11">
        <f>HYPERLINK("https://careerviet.vn/vi/tim-viec-lam/thuc-tap-sinh-kinh-doanh.35C65EF0.html","Xem chi tiết")</f>
        <v/>
      </c>
      <c r="M21044" s="10" t="n"/>
    </row>
    <row r="21045">
      <c r="B21045" s="7" t="n">
        <v>21043</v>
      </c>
      <c r="C21045" t="inlineStr">
        <is>
          <t>[Hà Nội] Trợ Lý Quản Lý Rạp (Assistant Cinema Manager)</t>
        </is>
      </c>
      <c r="D21045" t="inlineStr">
        <is>
          <t>Beta Group</t>
        </is>
      </c>
      <c r="E21045" t="inlineStr">
        <is>
          <t>Lương:10 Tr - 14 Tr VND</t>
        </is>
      </c>
      <c r="F21045" t="inlineStr">
        <is>
          <t>Hà Nội</t>
        </is>
      </c>
      <c r="G21045" t="inlineStr">
        <is>
          <t>3</t>
        </is>
      </c>
      <c r="H21045" t="inlineStr">
        <is>
          <t>20/03/2026</t>
        </is>
      </c>
      <c r="I21045" t="inlineStr">
        <is>
          <t>17/03/2026</t>
        </is>
      </c>
      <c r="J21045" t="inlineStr">
        <is>
          <t>Dịch vụ khách hàng, Nhà hàng / Khách sạn, Bán lẻ / Bán sỉ</t>
        </is>
      </c>
      <c r="K21045" t="inlineStr">
        <is>
          <t>3 - 5 Năm</t>
        </is>
      </c>
      <c r="L21045" s="8">
        <f>HYPERLINK("https://careerviet.vn/vi/tim-viec-lam/ha-noi-tro-ly-quan-ly-rap-assistant-cinema-manager.35C65F1C.html","Xem chi tiết")</f>
        <v/>
      </c>
    </row>
    <row r="21046">
      <c r="B21046" s="9" t="n">
        <v>21044</v>
      </c>
      <c r="C21046" s="10" t="inlineStr">
        <is>
          <t>Trà Vinh - Chuyên viên Quan hệ Khách hàng cá nhân</t>
        </is>
      </c>
      <c r="D21046" s="10" t="inlineStr">
        <is>
          <t>Ngân hàng TMCP Lộc Phát Việt Nam (LPBank)</t>
        </is>
      </c>
      <c r="E21046" s="10" t="inlineStr">
        <is>
          <t>Lương:Cạnh tranh</t>
        </is>
      </c>
      <c r="F21046" s="10" t="inlineStr">
        <is>
          <t>Trà Vinh</t>
        </is>
      </c>
      <c r="G21046" s="10" t="inlineStr">
        <is>
          <t>3</t>
        </is>
      </c>
      <c r="H21046" s="10" t="inlineStr">
        <is>
          <t>20/03/2026</t>
        </is>
      </c>
      <c r="I21046" s="10" t="inlineStr">
        <is>
          <t>17/03/2026</t>
        </is>
      </c>
      <c r="J21046" s="10" t="inlineStr">
        <is>
          <t>Bán hàng / Kinh doanh, Kế toán / Kiểm toán, Ngân hàng</t>
        </is>
      </c>
      <c r="K21046" s="10" t="inlineStr">
        <is>
          <t>N/A</t>
        </is>
      </c>
      <c r="L21046" s="11">
        <f>HYPERLINK("https://careerviet.vn/vi/tim-viec-lam/tra-vinh-chuyen-vien-quan-he-khach-hang-ca-nhan.35C65F81.html","Xem chi tiết")</f>
        <v/>
      </c>
      <c r="M21046" s="10" t="n"/>
    </row>
    <row r="21047">
      <c r="B21047" s="7" t="n">
        <v>21045</v>
      </c>
      <c r="C21047" t="inlineStr">
        <is>
          <t>Nhân Viên Bán Hàng (Full-time) - Vincom Đồng Khởi</t>
        </is>
      </c>
      <c r="D21047" t="inlineStr">
        <is>
          <t>CÔNG TY TNHH WIND SUPPLY CHAIN ONE (VIỆT NAM)</t>
        </is>
      </c>
      <c r="E21047" t="inlineStr">
        <is>
          <t>Lương:9 Tr - 11 Tr VND</t>
        </is>
      </c>
      <c r="F21047" t="inlineStr">
        <is>
          <t>Hồ Chí Minh</t>
        </is>
      </c>
      <c r="G21047" t="inlineStr">
        <is>
          <t>2</t>
        </is>
      </c>
      <c r="H21047" t="inlineStr">
        <is>
          <t>19/03/2026</t>
        </is>
      </c>
      <c r="I21047" t="inlineStr">
        <is>
          <t>17/03/2026</t>
        </is>
      </c>
      <c r="J21047" t="inlineStr">
        <is>
          <t>Bán lẻ / Bán sỉ</t>
        </is>
      </c>
      <c r="K21047" t="inlineStr">
        <is>
          <t>1 - 2 Năm</t>
        </is>
      </c>
      <c r="L21047" s="8">
        <f>HYPERLINK("https://careerviet.vn/vi/tim-viec-lam/nhan-vien-ban-hang-full-time-vincom-dong-khoi.35C635EA.html","Xem chi tiết")</f>
        <v/>
      </c>
    </row>
    <row r="21048">
      <c r="B21048" s="9" t="n">
        <v>21046</v>
      </c>
      <c r="C21048" s="10" t="inlineStr">
        <is>
          <t>Fullstack Developer (.Net/C#/WPF)</t>
        </is>
      </c>
      <c r="D21048" s="10" t="inlineStr">
        <is>
          <t>HR Vietnam’s ESS Client</t>
        </is>
      </c>
      <c r="E21048" s="10" t="inlineStr">
        <is>
          <t>Lương:Cạnh tranh</t>
        </is>
      </c>
      <c r="F21048" s="10" t="inlineStr">
        <is>
          <t>Hà Nội</t>
        </is>
      </c>
      <c r="G21048" s="10" t="inlineStr">
        <is>
          <t>2</t>
        </is>
      </c>
      <c r="H21048" s="10" t="inlineStr">
        <is>
          <t>19/03/2026</t>
        </is>
      </c>
      <c r="I21048" s="10" t="inlineStr">
        <is>
          <t>17/03/2026</t>
        </is>
      </c>
      <c r="J21048" s="10" t="inlineStr">
        <is>
          <t>CNTT - Phần mềm</t>
        </is>
      </c>
      <c r="K21048" s="10" t="inlineStr">
        <is>
          <t>5 - 10 Năm</t>
        </is>
      </c>
      <c r="L21048" s="11">
        <f>HYPERLINK("https://careerviet.vn/vi/tim-viec-lam/fullstack-developer-net-c-wpf.35C63453.html","Xem chi tiết")</f>
        <v/>
      </c>
      <c r="M21048" s="10" t="n"/>
    </row>
    <row r="21049">
      <c r="B21049" s="7" t="n">
        <v>21047</v>
      </c>
      <c r="C21049" t="inlineStr">
        <is>
          <t>Trưởng phòng Theo dõi Tiến độ Dự án</t>
        </is>
      </c>
      <c r="D21049" t="inlineStr">
        <is>
          <t>Công Ty Cổ Phần Tập Đoàn Đầu Tư Địa Ốc No Va</t>
        </is>
      </c>
      <c r="E21049" t="inlineStr">
        <is>
          <t>Lương:Cạnh tranh</t>
        </is>
      </c>
      <c r="F21049" t="inlineStr">
        <is>
          <t>Hồ Chí Minh</t>
        </is>
      </c>
      <c r="G21049" t="inlineStr">
        <is>
          <t>3</t>
        </is>
      </c>
      <c r="H21049" t="inlineStr">
        <is>
          <t>20/03/2026</t>
        </is>
      </c>
      <c r="I21049" t="inlineStr">
        <is>
          <t>17/03/2026</t>
        </is>
      </c>
      <c r="J21049" t="inlineStr">
        <is>
          <t>Bất động sản</t>
        </is>
      </c>
      <c r="K21049" t="inlineStr">
        <is>
          <t>10 - 15 Năm</t>
        </is>
      </c>
      <c r="L21049" s="8">
        <f>HYPERLINK("https://careerviet.vn/vi/tim-viec-lam/truong-phong-theo-doi-tien-do-du-an.35C65FDD.html","Xem chi tiết")</f>
        <v/>
      </c>
    </row>
    <row r="21050">
      <c r="B21050" s="9" t="n">
        <v>21048</v>
      </c>
      <c r="C21050" s="10" t="inlineStr">
        <is>
          <t>Chuyên viên cao cấp quản lý hệ thống kinh doanh - Business Analyst</t>
        </is>
      </c>
      <c r="D21050" s="10" t="inlineStr">
        <is>
          <t>Nova Service Group - Công ty Cổ phần Tập đoàn Nova Services</t>
        </is>
      </c>
      <c r="E21050" s="10" t="inlineStr">
        <is>
          <t>Lương:Cạnh tranh</t>
        </is>
      </c>
      <c r="F21050" s="10" t="inlineStr">
        <is>
          <t>Hồ Chí Minh</t>
        </is>
      </c>
      <c r="G21050" s="10" t="inlineStr">
        <is>
          <t>2</t>
        </is>
      </c>
      <c r="H21050" s="10" t="inlineStr">
        <is>
          <t>19/03/2026</t>
        </is>
      </c>
      <c r="I21050" s="10" t="inlineStr">
        <is>
          <t>17/03/2026</t>
        </is>
      </c>
      <c r="J21050" s="10" t="inlineStr">
        <is>
          <t>Bán hàng / Kinh doanh, CNTT - Phần mềm</t>
        </is>
      </c>
      <c r="K21050" s="10" t="inlineStr">
        <is>
          <t>3 - 5 Năm</t>
        </is>
      </c>
      <c r="L21050" s="11">
        <f>HYPERLINK("https://careerviet.vn/vi/tim-viec-lam/chuyen-vien-cao-cap-quan-ly-he-thong-kinh-doanh-business-analyst.35C63588.html","Xem chi tiết")</f>
        <v/>
      </c>
      <c r="M21050" s="10" t="n"/>
    </row>
    <row r="21051">
      <c r="B21051" s="7" t="n">
        <v>21049</v>
      </c>
      <c r="C21051" t="inlineStr">
        <is>
          <t>Trưởng Bộ Phận Tuyển Dụng</t>
        </is>
      </c>
      <c r="D21051" t="inlineStr">
        <is>
          <t>CÔNG TY CỔ PHẦN UNIK XANH</t>
        </is>
      </c>
      <c r="E21051" t="inlineStr">
        <is>
          <t>Lương:28 Tr - 32 Tr VND</t>
        </is>
      </c>
      <c r="F21051" t="inlineStr">
        <is>
          <t>Hà Nội</t>
        </is>
      </c>
      <c r="G21051" t="inlineStr">
        <is>
          <t>2</t>
        </is>
      </c>
      <c r="H21051" t="inlineStr">
        <is>
          <t>19/03/2026</t>
        </is>
      </c>
      <c r="I21051" t="inlineStr">
        <is>
          <t>17/03/2026</t>
        </is>
      </c>
      <c r="J21051" t="inlineStr">
        <is>
          <t>Hành chính / Thư ký, Quản lý điều hành, Nhân sự</t>
        </is>
      </c>
      <c r="K21051" t="inlineStr">
        <is>
          <t>5 - 7 Năm</t>
        </is>
      </c>
      <c r="L21051" s="8">
        <f>HYPERLINK("https://careerviet.vn/vi/tim-viec-lam/truong-bo-phan-tuyen-dung.35C6350B.html","Xem chi tiết")</f>
        <v/>
      </c>
    </row>
    <row r="21052">
      <c r="B21052" s="9" t="n">
        <v>21050</v>
      </c>
      <c r="C21052" s="10" t="inlineStr">
        <is>
          <t>[Chi nhánh Sóc Trăng] Trưởng phòng Khách hàng cá nhân</t>
        </is>
      </c>
      <c r="D21052" s="10" t="inlineStr">
        <is>
          <t>Ngân hàng TMCP Đại Chúng Việt Nam - PVcomBank</t>
        </is>
      </c>
      <c r="E21052" s="10" t="inlineStr">
        <is>
          <t>Lương:Cạnh tranh</t>
        </is>
      </c>
      <c r="F21052" s="10" t="inlineStr">
        <is>
          <t>Sóc Trăng</t>
        </is>
      </c>
      <c r="G21052" s="10" t="inlineStr">
        <is>
          <t>2</t>
        </is>
      </c>
      <c r="H21052" s="10" t="inlineStr">
        <is>
          <t>19/03/2026</t>
        </is>
      </c>
      <c r="I21052" s="10" t="inlineStr">
        <is>
          <t>17/03/2026</t>
        </is>
      </c>
      <c r="J21052" s="10" t="inlineStr">
        <is>
          <t>Ngân hàng, Tài chính / Đầu tư</t>
        </is>
      </c>
      <c r="K21052" s="10" t="inlineStr">
        <is>
          <t>Trên 2 Năm</t>
        </is>
      </c>
      <c r="L21052" s="11">
        <f>HYPERLINK("https://careerviet.vn/vi/tim-viec-lam/chi-nhanh-soc-trang-truong-phong-khach-hang-ca-nhan.35C634C8.html","Xem chi tiết")</f>
        <v/>
      </c>
      <c r="M21052" s="10" t="n"/>
    </row>
    <row r="21053">
      <c r="B21053" s="7" t="n">
        <v>21051</v>
      </c>
      <c r="C21053" t="inlineStr">
        <is>
          <t>Tuyển gấp Nhân viên MKT Ads</t>
        </is>
      </c>
      <c r="D21053" t="inlineStr">
        <is>
          <t>Viện Thẩm mỹ y khoa Dr Hải Lê</t>
        </is>
      </c>
      <c r="E21053" t="inlineStr">
        <is>
          <t>Lương:12 Tr - 20 Tr VND</t>
        </is>
      </c>
      <c r="F21053" t="inlineStr">
        <is>
          <t>Hà Nội</t>
        </is>
      </c>
      <c r="G21053" t="inlineStr">
        <is>
          <t>2</t>
        </is>
      </c>
      <c r="H21053" t="inlineStr">
        <is>
          <t>19/03/2026</t>
        </is>
      </c>
      <c r="I21053" t="inlineStr">
        <is>
          <t>17/03/2026</t>
        </is>
      </c>
      <c r="J21053" t="inlineStr">
        <is>
          <t>Tiếp thị / Marketing, Y tế / Chăm sóc sức khỏe / Thẩm mỹ / Làm đẹp, CNTT - Phần mềm</t>
        </is>
      </c>
      <c r="K21053" t="inlineStr">
        <is>
          <t>1 - 3 Năm</t>
        </is>
      </c>
      <c r="L21053" s="8">
        <f>HYPERLINK("https://careerviet.vn/vi/tim-viec-lam/tuyen-gap-nhan-vien-mkt-ads.35C6352C.html","Xem chi tiết")</f>
        <v/>
      </c>
    </row>
    <row r="21054">
      <c r="B21054" s="9" t="n">
        <v>21052</v>
      </c>
      <c r="C21054" s="10" t="inlineStr">
        <is>
          <t>PHÓ PHÒNG HÀNH CHÍNH NHÂN SỰ - FMCG</t>
        </is>
      </c>
      <c r="D21054" s="10" t="inlineStr">
        <is>
          <t>Công Ty Cổ Phần Phúc Sinh</t>
        </is>
      </c>
      <c r="E21054" s="10" t="inlineStr">
        <is>
          <t>Lương:Cạnh tranh</t>
        </is>
      </c>
      <c r="F21054" s="10" t="inlineStr">
        <is>
          <t>Hồ Chí Minh</t>
        </is>
      </c>
      <c r="G21054" s="10" t="inlineStr">
        <is>
          <t>3</t>
        </is>
      </c>
      <c r="H21054" s="10" t="inlineStr">
        <is>
          <t>20/03/2026</t>
        </is>
      </c>
      <c r="I21054" s="10" t="inlineStr">
        <is>
          <t>17/03/2026</t>
        </is>
      </c>
      <c r="J21054" s="10" t="inlineStr">
        <is>
          <t>Nhân sự, Thực phẩm &amp; Đồ uống</t>
        </is>
      </c>
      <c r="K21054" s="10" t="inlineStr">
        <is>
          <t>3 - 5 Năm</t>
        </is>
      </c>
      <c r="L21054" s="11">
        <f>HYPERLINK("https://careerviet.vn/vi/tim-viec-lam/pho-phong-hanh-chinh-nhan-su-fmcg.35C6600B.html","Xem chi tiết")</f>
        <v/>
      </c>
      <c r="M21054" s="10" t="n"/>
    </row>
    <row r="21055">
      <c r="B21055" s="7" t="n">
        <v>21053</v>
      </c>
      <c r="C21055" t="inlineStr">
        <is>
          <t>Nhân Viên Vận Hành</t>
        </is>
      </c>
      <c r="D21055" t="inlineStr">
        <is>
          <t>Công Ty TNHH Interflour Việt Nam</t>
        </is>
      </c>
      <c r="E21055" t="inlineStr">
        <is>
          <t>Lương:Cạnh tranh</t>
        </is>
      </c>
      <c r="F21055" t="inlineStr">
        <is>
          <t>Bà Rịa - Vũng Tàu</t>
        </is>
      </c>
      <c r="G21055" t="inlineStr">
        <is>
          <t>3</t>
        </is>
      </c>
      <c r="H21055" t="inlineStr">
        <is>
          <t>20/03/2026</t>
        </is>
      </c>
      <c r="I21055" t="inlineStr">
        <is>
          <t>17/03/2026</t>
        </is>
      </c>
      <c r="J21055" t="inlineStr">
        <is>
          <t>Cơ khí / Ô tô / Tự động hóa, Điện / Điện tử / Điện lạnh / Điện công nghiệp, Sản xuất / Vận hành sản xuất</t>
        </is>
      </c>
      <c r="K21055" t="inlineStr">
        <is>
          <t>N/A</t>
        </is>
      </c>
      <c r="L21055" s="8">
        <f>HYPERLINK("https://careerviet.vn/vi/tim-viec-lam/nhan-vien-van-hanh.35C66034.html","Xem chi tiết")</f>
        <v/>
      </c>
    </row>
    <row r="21056">
      <c r="B21056" s="9" t="n">
        <v>21054</v>
      </c>
      <c r="C21056" s="10" t="inlineStr">
        <is>
          <t>Learning &amp; Talent Development Specialist</t>
        </is>
      </c>
      <c r="D21056" s="10" t="inlineStr">
        <is>
          <t>Công ty cổ phần Nafoods Group</t>
        </is>
      </c>
      <c r="E21056" s="10" t="inlineStr">
        <is>
          <t>Lương:Cạnh tranh</t>
        </is>
      </c>
      <c r="F21056" s="10" t="inlineStr">
        <is>
          <t>Hồ Chí Minh</t>
        </is>
      </c>
      <c r="G21056" s="10" t="inlineStr">
        <is>
          <t>3</t>
        </is>
      </c>
      <c r="H21056" s="10" t="inlineStr">
        <is>
          <t>20/03/2026</t>
        </is>
      </c>
      <c r="I21056" s="10" t="inlineStr">
        <is>
          <t>17/03/2026</t>
        </is>
      </c>
      <c r="J21056" s="10" t="inlineStr">
        <is>
          <t>Giáo dục / Đào tạo, Hành chính / Thư ký, Nhân sự</t>
        </is>
      </c>
      <c r="K21056" s="10" t="inlineStr">
        <is>
          <t>3 - 5 Năm</t>
        </is>
      </c>
      <c r="L21056" s="11">
        <f>HYPERLINK("https://careerviet.vn/vi/tim-viec-lam/learning-talent-development-specialist.35C65EEB.html","Xem chi tiết")</f>
        <v/>
      </c>
      <c r="M21056" s="10" t="n"/>
    </row>
    <row r="21057">
      <c r="B21057" s="7" t="n">
        <v>21055</v>
      </c>
      <c r="C21057" t="inlineStr">
        <is>
          <t>Nhân viên QC</t>
        </is>
      </c>
      <c r="D21057" t="inlineStr">
        <is>
          <t>CÔNG TY TNHH THỰC PHẨM CUỘC SỐNG</t>
        </is>
      </c>
      <c r="E21057" t="inlineStr">
        <is>
          <t>Lương:9 Tr - 10 Tr VND</t>
        </is>
      </c>
      <c r="F21057" t="inlineStr">
        <is>
          <t>Hà Nội</t>
        </is>
      </c>
      <c r="G21057" t="inlineStr">
        <is>
          <t>2</t>
        </is>
      </c>
      <c r="H21057" t="inlineStr">
        <is>
          <t>19/03/2026</t>
        </is>
      </c>
      <c r="I21057" t="inlineStr">
        <is>
          <t>17/03/2026</t>
        </is>
      </c>
      <c r="J21057" t="inlineStr">
        <is>
          <t>Thực phẩm &amp; Đồ uống, Quản lý chất lượng (QA/QC)</t>
        </is>
      </c>
      <c r="K21057" t="inlineStr">
        <is>
          <t>Trên 1 Năm</t>
        </is>
      </c>
      <c r="L21057" s="8">
        <f>HYPERLINK("https://careerviet.vn/vi/tim-viec-lam/nhan-vien-qc.35C634FA.html","Xem chi tiết")</f>
        <v/>
      </c>
    </row>
    <row r="21058">
      <c r="B21058" s="9" t="n">
        <v>21056</v>
      </c>
      <c r="C21058" s="10" t="inlineStr">
        <is>
          <t>Nhân Viên Kinh Doanh</t>
        </is>
      </c>
      <c r="D21058" s="10" t="inlineStr">
        <is>
          <t>CÔNG TY CỔ PHẦN LIÊN DOANH GALATEX VIỆT NAM</t>
        </is>
      </c>
      <c r="E21058" s="10" t="inlineStr">
        <is>
          <t>Lương:Trên 15 Tr VND</t>
        </is>
      </c>
      <c r="F21058" s="10" t="inlineStr">
        <is>
          <t>Vĩnh PhúcSơn LaHải Dương</t>
        </is>
      </c>
      <c r="G21058" s="10" t="inlineStr">
        <is>
          <t>2</t>
        </is>
      </c>
      <c r="H21058" s="10" t="inlineStr">
        <is>
          <t>19/03/2026</t>
        </is>
      </c>
      <c r="I21058" s="10" t="inlineStr">
        <is>
          <t>17/03/2026</t>
        </is>
      </c>
      <c r="J21058" s="10" t="inlineStr">
        <is>
          <t>Bán hàng / Kinh doanh, Tư vấn, Quản lý điều hành</t>
        </is>
      </c>
      <c r="K21058" s="10" t="inlineStr">
        <is>
          <t>Trên 2 Năm</t>
        </is>
      </c>
      <c r="L21058" s="11">
        <f>HYPERLINK("https://careerviet.vn/vi/tim-viec-lam/nhan-vien-kinh-doanh.35C635F0.html","Xem chi tiết")</f>
        <v/>
      </c>
      <c r="M21058" s="10" t="n"/>
    </row>
    <row r="21059">
      <c r="B21059" s="7" t="n">
        <v>21057</v>
      </c>
      <c r="C21059" t="inlineStr">
        <is>
          <t>Trưởng Nhóm Digital Marketing</t>
        </is>
      </c>
      <c r="D21059" t="inlineStr">
        <is>
          <t>CÔNG TY TNHH THƯƠNG MẠI VÀ DỊCH VỤ OZOVN</t>
        </is>
      </c>
      <c r="E21059" t="inlineStr">
        <is>
          <t>Lương:20 Tr - 35 Tr VND</t>
        </is>
      </c>
      <c r="F21059" t="inlineStr">
        <is>
          <t>Hà Nội</t>
        </is>
      </c>
      <c r="G21059" t="inlineStr">
        <is>
          <t>2</t>
        </is>
      </c>
      <c r="H21059" t="inlineStr">
        <is>
          <t>19/03/2026</t>
        </is>
      </c>
      <c r="I21059" t="inlineStr">
        <is>
          <t>17/03/2026</t>
        </is>
      </c>
      <c r="J21059" t="inlineStr">
        <is>
          <t>Tiếp thị / Marketing, Thương mại điện tử, Quảng cáo / Đối ngoại / Truyền Thông</t>
        </is>
      </c>
      <c r="K21059" t="inlineStr">
        <is>
          <t>2 - 3 Năm</t>
        </is>
      </c>
      <c r="L21059" s="8">
        <f>HYPERLINK("https://careerviet.vn/vi/tim-viec-lam/truong-nhom-digital-marketing.35C6345C.html","Xem chi tiết")</f>
        <v/>
      </c>
    </row>
    <row r="21060">
      <c r="B21060" s="9" t="n">
        <v>21058</v>
      </c>
      <c r="C21060" s="10" t="inlineStr">
        <is>
          <t>CHUYÊN VIÊN PHÁT TRIỂN</t>
        </is>
      </c>
      <c r="D21060" s="10" t="inlineStr">
        <is>
          <t>Công ty TNHH Giày Apache Việt Nam</t>
        </is>
      </c>
      <c r="E21060" s="10" t="inlineStr">
        <is>
          <t>Lương:15 Tr - 20 Tr VND</t>
        </is>
      </c>
      <c r="F21060" s="10" t="inlineStr">
        <is>
          <t>Tiền Giang</t>
        </is>
      </c>
      <c r="G21060" s="10" t="inlineStr">
        <is>
          <t>2</t>
        </is>
      </c>
      <c r="H21060" s="10" t="inlineStr">
        <is>
          <t>19/03/2026</t>
        </is>
      </c>
      <c r="I21060" s="10" t="inlineStr">
        <is>
          <t>17/03/2026</t>
        </is>
      </c>
      <c r="J21060" s="10" t="inlineStr">
        <is>
          <t>Dệt may / Da giày / Thời trang, Ngành khác, Mới tốt nghiệp / Thực tập</t>
        </is>
      </c>
      <c r="K21060" s="10" t="inlineStr">
        <is>
          <t>N/A</t>
        </is>
      </c>
      <c r="L21060" s="11">
        <f>HYPERLINK("https://careerviet.vn/vi/tim-viec-lam/chuyen-vien-phat-trien.35C6356F.html","Xem chi tiết")</f>
        <v/>
      </c>
      <c r="M21060" s="10" t="n"/>
    </row>
    <row r="21061">
      <c r="B21061" s="7" t="n">
        <v>21059</v>
      </c>
      <c r="C21061" t="inlineStr">
        <is>
          <t>Nhân viên cơ khí thời vụ</t>
        </is>
      </c>
      <c r="D21061" t="inlineStr">
        <is>
          <t>CÔNG TY TNHH KỸ THUẬT CÔNG NGHỆ NHẤT TINH</t>
        </is>
      </c>
      <c r="E21061" t="inlineStr">
        <is>
          <t>Lương:10 Tr - 16 Tr VND</t>
        </is>
      </c>
      <c r="F21061" t="inlineStr">
        <is>
          <t>Bình Dương</t>
        </is>
      </c>
      <c r="G21061" t="inlineStr">
        <is>
          <t>2</t>
        </is>
      </c>
      <c r="H21061" t="inlineStr">
        <is>
          <t>19/03/2026</t>
        </is>
      </c>
      <c r="I21061" t="inlineStr">
        <is>
          <t>17/03/2026</t>
        </is>
      </c>
      <c r="J21061" t="inlineStr">
        <is>
          <t>Cơ khí / Ô tô / Tự động hóa, Bảo trì / Sửa chữa</t>
        </is>
      </c>
      <c r="K21061" t="inlineStr">
        <is>
          <t>N/A</t>
        </is>
      </c>
      <c r="L21061" s="8">
        <f>HYPERLINK("https://careerviet.vn/vi/tim-viec-lam/nhan-vien-co-khi-thoi-vu.35C5DE6A.html","Xem chi tiết")</f>
        <v/>
      </c>
    </row>
    <row r="21062">
      <c r="B21062" s="9" t="n">
        <v>21060</v>
      </c>
      <c r="C21062" s="10" t="inlineStr">
        <is>
          <t>Chuyên viên điều phối dự án – Digital Strategy Staff</t>
        </is>
      </c>
      <c r="D21062" s="10" t="inlineStr">
        <is>
          <t>Công Ty TNHH Sunjin Vina</t>
        </is>
      </c>
      <c r="E21062" s="10" t="inlineStr">
        <is>
          <t>Lương:Cạnh tranh</t>
        </is>
      </c>
      <c r="F21062" s="10" t="inlineStr">
        <is>
          <t>Hồ Chí Minh</t>
        </is>
      </c>
      <c r="G21062" s="10" t="inlineStr">
        <is>
          <t>4</t>
        </is>
      </c>
      <c r="H21062" s="10" t="inlineStr">
        <is>
          <t>20/03/2026</t>
        </is>
      </c>
      <c r="I21062" s="10" t="inlineStr">
        <is>
          <t>17/03/2026</t>
        </is>
      </c>
      <c r="J21062" s="10" t="inlineStr">
        <is>
          <t>CNTT - Phần mềm</t>
        </is>
      </c>
      <c r="K21062" s="10" t="inlineStr">
        <is>
          <t>1 - 3 Năm</t>
        </is>
      </c>
      <c r="L21062" s="11">
        <f>HYPERLINK("https://careerviet.vn/vi/tim-viec-lam/chuyen-vien-dieu-phoi-du-an-digital-strategy-staff.35C65E24.html","Xem chi tiết")</f>
        <v/>
      </c>
      <c r="M21062" s="10" t="n"/>
    </row>
    <row r="21063">
      <c r="B21063" s="7" t="n">
        <v>21061</v>
      </c>
      <c r="C21063" t="inlineStr">
        <is>
          <t>Chuyên Viên Kinh Doanh Cơ Khí (Hà Nội)</t>
        </is>
      </c>
      <c r="D21063" t="inlineStr">
        <is>
          <t>CÔNG TY CỔ PHẦN GIẢI PHÁP CƠ KHÍ VNTECH</t>
        </is>
      </c>
      <c r="E21063" t="inlineStr">
        <is>
          <t>Lương:15 Tr - 40 Tr VND</t>
        </is>
      </c>
      <c r="F21063" t="inlineStr">
        <is>
          <t>Hà Nội</t>
        </is>
      </c>
      <c r="G21063" t="inlineStr">
        <is>
          <t>2</t>
        </is>
      </c>
      <c r="H21063" t="inlineStr">
        <is>
          <t>18/03/2026</t>
        </is>
      </c>
      <c r="I21063" t="inlineStr">
        <is>
          <t>17/03/2026</t>
        </is>
      </c>
      <c r="J21063" t="inlineStr">
        <is>
          <t>Bán hàng / Kinh doanh, Cơ khí / Ô tô / Tự động hóa, Điện / Điện tử / Điện lạnh / Điện công nghiệp</t>
        </is>
      </c>
      <c r="K21063" t="inlineStr">
        <is>
          <t>1 - 2 Năm</t>
        </is>
      </c>
      <c r="L21063" s="8">
        <f>HYPERLINK("https://careerviet.vn/vi/tim-viec-lam/chuyen-vien-kinh-doanh-co-khi-ha-noi.35C634C2.html","Xem chi tiết")</f>
        <v/>
      </c>
    </row>
    <row r="21064">
      <c r="B21064" s="9" t="n">
        <v>21062</v>
      </c>
      <c r="C21064" s="10" t="inlineStr">
        <is>
          <t>Nhân Viên Kinh Doanh Khánh Hòa</t>
        </is>
      </c>
      <c r="D21064" s="10" t="inlineStr">
        <is>
          <t>Công Ty TNHH Sơn Seamaster Việt Nam</t>
        </is>
      </c>
      <c r="E21064" s="10" t="inlineStr">
        <is>
          <t>Lương:9 Tr - 15 Tr VND</t>
        </is>
      </c>
      <c r="F21064" s="10" t="inlineStr">
        <is>
          <t>Khánh Hòa</t>
        </is>
      </c>
      <c r="G21064" s="10" t="inlineStr">
        <is>
          <t>2</t>
        </is>
      </c>
      <c r="H21064" s="10" t="inlineStr">
        <is>
          <t>19/03/2026</t>
        </is>
      </c>
      <c r="I21064" s="10" t="inlineStr">
        <is>
          <t>17/03/2026</t>
        </is>
      </c>
      <c r="J21064" s="10" t="inlineStr">
        <is>
          <t>Bán lẻ / Bán sỉ, Bán hàng / Kinh doanh, Dịch vụ khách hàng</t>
        </is>
      </c>
      <c r="K21064" s="10" t="inlineStr">
        <is>
          <t>2 - 3 Năm</t>
        </is>
      </c>
      <c r="L21064" s="11">
        <f>HYPERLINK("https://careerviet.vn/vi/tim-viec-lam/nhan-vien-kinh-doanh-khanh-hoa.35C63549.html","Xem chi tiết")</f>
        <v/>
      </c>
      <c r="M21064" s="10" t="n"/>
    </row>
    <row r="21065">
      <c r="B21065" s="7" t="n">
        <v>21063</v>
      </c>
      <c r="C21065" t="inlineStr">
        <is>
          <t>KẾ TOÁN TỔNG HỢP</t>
        </is>
      </c>
      <c r="D21065" t="inlineStr">
        <is>
          <t>PRO-FITNESS Sports Nutrition Vietnam</t>
        </is>
      </c>
      <c r="E21065" t="inlineStr">
        <is>
          <t>Lương:Cạnh tranh</t>
        </is>
      </c>
      <c r="F21065" t="inlineStr">
        <is>
          <t>Hồ Chí Minh</t>
        </is>
      </c>
      <c r="G21065" t="inlineStr">
        <is>
          <t>2</t>
        </is>
      </c>
      <c r="H21065" t="inlineStr">
        <is>
          <t>19/03/2026</t>
        </is>
      </c>
      <c r="I21065" t="inlineStr">
        <is>
          <t>17/03/2026</t>
        </is>
      </c>
      <c r="J21065" t="inlineStr">
        <is>
          <t>Hành chính / Thư ký, Kế toán / Kiểm toán, Tài chính / Đầu tư</t>
        </is>
      </c>
      <c r="K21065" t="inlineStr">
        <is>
          <t>Trên 2 Năm</t>
        </is>
      </c>
      <c r="L21065" s="8">
        <f>HYPERLINK("https://careerviet.vn/vi/tim-viec-lam/ke-toan-tong-hop.35C635ED.html","Xem chi tiết")</f>
        <v/>
      </c>
    </row>
    <row r="21066">
      <c r="B21066" s="9" t="n">
        <v>21064</v>
      </c>
      <c r="C21066" s="10" t="inlineStr">
        <is>
          <t>KỸ SƯ GIÁM SÁT XÂY DỰNG DÂN DỤNG VÀ CÔNG NGHIỆP</t>
        </is>
      </c>
      <c r="D21066" s="10" t="inlineStr">
        <is>
          <t>Công Ty TNHH Sản Xuất Kinh Doanh Hai Thành</t>
        </is>
      </c>
      <c r="E21066" s="10" t="inlineStr">
        <is>
          <t>Lương:Cạnh tranh</t>
        </is>
      </c>
      <c r="F21066" s="10" t="inlineStr">
        <is>
          <t>Long AnHồ Chí Minh</t>
        </is>
      </c>
      <c r="G21066" s="10" t="inlineStr">
        <is>
          <t>2</t>
        </is>
      </c>
      <c r="H21066" s="10" t="inlineStr">
        <is>
          <t>19/03/2026</t>
        </is>
      </c>
      <c r="I21066" s="10" t="inlineStr">
        <is>
          <t>17/03/2026</t>
        </is>
      </c>
      <c r="J21066" s="10" t="inlineStr">
        <is>
          <t>Xây dựng, Bất động sản, Kiến trúc</t>
        </is>
      </c>
      <c r="K21066" s="10" t="inlineStr">
        <is>
          <t>5 - 10 Năm</t>
        </is>
      </c>
      <c r="L21066" s="11">
        <f>HYPERLINK("https://careerviet.vn/vi/tim-viec-lam/ky-su-giam-sat-xay-dung-dan-dung-va-cong-nghiep.35C6343F.html","Xem chi tiết")</f>
        <v/>
      </c>
      <c r="M21066" s="10" t="n"/>
    </row>
    <row r="21067">
      <c r="B21067" s="7" t="n">
        <v>21065</v>
      </c>
      <c r="C21067" t="inlineStr">
        <is>
          <t>Chuyên viên Hành chính Tổng hợp</t>
        </is>
      </c>
      <c r="D21067" t="inlineStr">
        <is>
          <t>CÔNG TY CỔ PHẦN EUROWINDOW HOLDING</t>
        </is>
      </c>
      <c r="E21067" t="inlineStr">
        <is>
          <t>Lương:Cạnh tranh</t>
        </is>
      </c>
      <c r="F21067" t="inlineStr">
        <is>
          <t>Hà Nội</t>
        </is>
      </c>
      <c r="G21067" t="inlineStr">
        <is>
          <t>2</t>
        </is>
      </c>
      <c r="H21067" t="inlineStr">
        <is>
          <t>19/03/2026</t>
        </is>
      </c>
      <c r="I21067" t="inlineStr">
        <is>
          <t>17/03/2026</t>
        </is>
      </c>
      <c r="J21067" t="inlineStr">
        <is>
          <t>Hành chính / Thư ký</t>
        </is>
      </c>
      <c r="K21067" t="inlineStr">
        <is>
          <t>2 - 5 Năm</t>
        </is>
      </c>
      <c r="L21067" s="8">
        <f>HYPERLINK("https://careerviet.vn/vi/tim-viec-lam/chuyen-vien-hanh-chinh-tong-hop.35C63531.html","Xem chi tiết")</f>
        <v/>
      </c>
    </row>
    <row r="21068">
      <c r="B21068" s="9" t="n">
        <v>21066</v>
      </c>
      <c r="C21068" s="10" t="inlineStr">
        <is>
          <t>Trưởng ban Kiểm soát nội bộ</t>
        </is>
      </c>
      <c r="D21068" s="10" t="inlineStr">
        <is>
          <t>HR Vietnam’s ESS Client</t>
        </is>
      </c>
      <c r="E21068" s="10" t="inlineStr">
        <is>
          <t>Lương:Cạnh tranh</t>
        </is>
      </c>
      <c r="F21068" s="10" t="inlineStr">
        <is>
          <t>Hồ Chí Minh</t>
        </is>
      </c>
      <c r="G21068" s="10" t="inlineStr">
        <is>
          <t>3</t>
        </is>
      </c>
      <c r="H21068" s="10" t="inlineStr">
        <is>
          <t>20/03/2026</t>
        </is>
      </c>
      <c r="I21068" s="10" t="inlineStr">
        <is>
          <t>17/03/2026</t>
        </is>
      </c>
      <c r="J21068" s="10" t="inlineStr">
        <is>
          <t>Kế toán / Kiểm toán, Tài chính / Đầu tư, Luật / Pháp lý</t>
        </is>
      </c>
      <c r="K21068" s="10" t="inlineStr">
        <is>
          <t>7 - 10 Năm</t>
        </is>
      </c>
      <c r="L21068" s="11">
        <f>HYPERLINK("https://careerviet.vn/vi/tim-viec-lam/truong-ban-kiem-soat-noi-bo.35C65FDE.html","Xem chi tiết")</f>
        <v/>
      </c>
      <c r="M21068" s="10" t="n"/>
    </row>
    <row r="21069">
      <c r="B21069" s="7" t="n">
        <v>21067</v>
      </c>
      <c r="C21069" t="inlineStr">
        <is>
          <t>[Tập đoàn Phenikaa] Chuyên viên Content (Ưu tiên có kinh nghiệm Trade)</t>
        </is>
      </c>
      <c r="D21069" t="inlineStr">
        <is>
          <t>ĐẠI HỌC PHENIKAA</t>
        </is>
      </c>
      <c r="E21069" t="inlineStr">
        <is>
          <t>Lương:15 Tr - 20 Tr VND</t>
        </is>
      </c>
      <c r="F21069" t="inlineStr">
        <is>
          <t>Hà Nội</t>
        </is>
      </c>
      <c r="G21069" t="inlineStr">
        <is>
          <t>2</t>
        </is>
      </c>
      <c r="H21069" t="inlineStr">
        <is>
          <t>19/03/2026</t>
        </is>
      </c>
      <c r="I21069" t="inlineStr">
        <is>
          <t>17/03/2026</t>
        </is>
      </c>
      <c r="J21069" t="inlineStr">
        <is>
          <t>Y tế / Chăm sóc sức khỏe / Thẩm mỹ / Làm đẹp, Bán hàng / Kinh doanh, Tiếp thị / Marketing</t>
        </is>
      </c>
      <c r="K21069" t="inlineStr">
        <is>
          <t>N/A</t>
        </is>
      </c>
      <c r="L21069" s="8">
        <f>HYPERLINK("https://careerviet.vn/vi/tim-viec-lam/tap-doan-phenikaa-chuyen-vien-content-uu-tien-co-kinh-nghiem-trade.35C63605.html","Xem chi tiết")</f>
        <v/>
      </c>
    </row>
    <row r="21070">
      <c r="B21070" s="9" t="n">
        <v>21068</v>
      </c>
      <c r="C21070" s="10" t="inlineStr">
        <is>
          <t>CHUYÊN VIÊN TOTAL REWARDS/ Total Rewards Specialist</t>
        </is>
      </c>
      <c r="D21070" s="10" t="inlineStr">
        <is>
          <t>Bitex (Nhà phân phối độc quyền máy tính Casio tại Việt Nam)</t>
        </is>
      </c>
      <c r="E21070" s="10" t="inlineStr">
        <is>
          <t>Lương:Cạnh tranh</t>
        </is>
      </c>
      <c r="F21070" s="10" t="inlineStr">
        <is>
          <t>Hồ Chí Minh</t>
        </is>
      </c>
      <c r="G21070" s="10" t="inlineStr">
        <is>
          <t>2</t>
        </is>
      </c>
      <c r="H21070" s="10" t="inlineStr">
        <is>
          <t>19/03/2026</t>
        </is>
      </c>
      <c r="I21070" s="10" t="inlineStr">
        <is>
          <t>17/03/2026</t>
        </is>
      </c>
      <c r="J21070" s="10" t="inlineStr">
        <is>
          <t>Bán lẻ / Bán sỉ, Hàng gia dụng / Chăm sóc cá nhân, Nhân sự</t>
        </is>
      </c>
      <c r="K21070" s="10" t="inlineStr">
        <is>
          <t>2 - 3 Năm</t>
        </is>
      </c>
      <c r="L21070" s="11">
        <f>HYPERLINK("https://careerviet.vn/vi/tim-viec-lam/chuyen-vien-total-rewards-total-rewards-specialist.35C635E8.html","Xem chi tiết")</f>
        <v/>
      </c>
      <c r="M21070" s="10" t="n"/>
    </row>
    <row r="21071">
      <c r="B21071" s="7" t="n">
        <v>21069</v>
      </c>
      <c r="C21071" t="inlineStr">
        <is>
          <t>[Miền Trung] Giám Sát Kinh Doanh Bán Hàng Trả Góp</t>
        </is>
      </c>
      <c r="D21071" t="inlineStr">
        <is>
          <t>Công Ty Tài Chính Mirae Asset (Việt Nam)</t>
        </is>
      </c>
      <c r="E21071" t="inlineStr">
        <is>
          <t>Lương:Cạnh tranh</t>
        </is>
      </c>
      <c r="F21071" t="inlineStr">
        <is>
          <t>KV Nam Trung Bộ</t>
        </is>
      </c>
      <c r="G21071" t="inlineStr">
        <is>
          <t>2</t>
        </is>
      </c>
      <c r="H21071" t="inlineStr">
        <is>
          <t>19/03/2026</t>
        </is>
      </c>
      <c r="I21071" t="inlineStr">
        <is>
          <t>17/03/2026</t>
        </is>
      </c>
      <c r="J21071" t="inlineStr">
        <is>
          <t>Bán hàng / Kinh doanh, Tài chính / Đầu tư, Ngân hàng</t>
        </is>
      </c>
      <c r="K21071" t="inlineStr">
        <is>
          <t>Trên 1 Năm</t>
        </is>
      </c>
      <c r="L21071" s="8">
        <f>HYPERLINK("https://careerviet.vn/vi/tim-viec-lam/mien-trung-giam-sat-kinh-doanh-ban-hang-tra-gop.35C63470.html","Xem chi tiết")</f>
        <v/>
      </c>
    </row>
    <row r="21072">
      <c r="B21072" s="9" t="n">
        <v>21070</v>
      </c>
      <c r="C21072" s="10" t="inlineStr">
        <is>
          <t>Nhân viên kế hoạch nguyên vật liệu</t>
        </is>
      </c>
      <c r="D21072" s="10" t="inlineStr">
        <is>
          <t>CÔNG TY TNHH WGR INDUSTRIES</t>
        </is>
      </c>
      <c r="E21072" s="10" t="inlineStr">
        <is>
          <t>Lương:Cạnh tranh</t>
        </is>
      </c>
      <c r="F21072" s="10" t="inlineStr">
        <is>
          <t>Bình Định</t>
        </is>
      </c>
      <c r="G21072" s="10" t="inlineStr">
        <is>
          <t>2</t>
        </is>
      </c>
      <c r="H21072" s="10" t="inlineStr">
        <is>
          <t>19/03/2026</t>
        </is>
      </c>
      <c r="I21072" s="10" t="inlineStr">
        <is>
          <t>17/03/2026</t>
        </is>
      </c>
      <c r="J21072" s="10" t="inlineStr">
        <is>
          <t>Sản xuất / Vận hành sản xuất, Đồ gỗ</t>
        </is>
      </c>
      <c r="K21072" s="10" t="inlineStr">
        <is>
          <t>1 - 3 Năm</t>
        </is>
      </c>
      <c r="L21072" s="11">
        <f>HYPERLINK("https://careerviet.vn/vi/tim-viec-lam/nhan-vien-ke-hoach-nguyen-vat-lieu.35C634A7.html","Xem chi tiết")</f>
        <v/>
      </c>
      <c r="M21072" s="10" t="n"/>
    </row>
    <row r="21073">
      <c r="B21073" s="7" t="n">
        <v>21071</v>
      </c>
      <c r="C21073" t="inlineStr">
        <is>
          <t>Nhân Viên Kinh Doanh Thái Nguyên</t>
        </is>
      </c>
      <c r="D21073" t="inlineStr">
        <is>
          <t>Công Ty TNHH Sơn Seamaster Việt Nam</t>
        </is>
      </c>
      <c r="E21073" t="inlineStr">
        <is>
          <t>Lương:10 Tr - 20 Tr VND</t>
        </is>
      </c>
      <c r="F21073" t="inlineStr">
        <is>
          <t>Thái NguyênHải DươngPhú Thọ</t>
        </is>
      </c>
      <c r="G21073" t="inlineStr">
        <is>
          <t>2</t>
        </is>
      </c>
      <c r="H21073" t="inlineStr">
        <is>
          <t>19/03/2026</t>
        </is>
      </c>
      <c r="I21073" t="inlineStr">
        <is>
          <t>17/03/2026</t>
        </is>
      </c>
      <c r="J21073" t="inlineStr">
        <is>
          <t>Bán lẻ / Bán sỉ, Bán hàng / Kinh doanh, Dịch vụ khách hàng</t>
        </is>
      </c>
      <c r="K21073" t="inlineStr">
        <is>
          <t>2 - 3 Năm</t>
        </is>
      </c>
      <c r="L21073" s="8">
        <f>HYPERLINK("https://careerviet.vn/vi/tim-viec-lam/nhan-vien-kinh-doanh-thai-nguyen.35C6347E.html","Xem chi tiết")</f>
        <v/>
      </c>
    </row>
    <row r="21074">
      <c r="B21074" s="9" t="n">
        <v>21072</v>
      </c>
      <c r="C21074" s="10" t="inlineStr">
        <is>
          <t>Giám Sát Nhà Hàng</t>
        </is>
      </c>
      <c r="D21074" s="10" t="inlineStr">
        <is>
          <t>Công ty TNHH Sản xuất Thương mại &amp; Dịch vụ Hoa Xinh</t>
        </is>
      </c>
      <c r="E21074" s="10" t="inlineStr">
        <is>
          <t>Lương:12 Tr - 16 Tr VND</t>
        </is>
      </c>
      <c r="F21074" s="10" t="inlineStr">
        <is>
          <t>Hồ Chí Minh</t>
        </is>
      </c>
      <c r="G21074" s="10" t="inlineStr">
        <is>
          <t>2</t>
        </is>
      </c>
      <c r="H21074" s="10" t="inlineStr">
        <is>
          <t>19/03/2026</t>
        </is>
      </c>
      <c r="I21074" s="10" t="inlineStr">
        <is>
          <t>17/03/2026</t>
        </is>
      </c>
      <c r="J21074" s="10" t="inlineStr">
        <is>
          <t>Nhà hàng / Khách sạn</t>
        </is>
      </c>
      <c r="K21074" s="10" t="inlineStr">
        <is>
          <t>2 - 3 Năm</t>
        </is>
      </c>
      <c r="L21074" s="11">
        <f>HYPERLINK("https://careerviet.vn/vi/tim-viec-lam/giam-sat-nha-hang.35C63568.html","Xem chi tiết")</f>
        <v/>
      </c>
      <c r="M21074" s="10" t="n"/>
    </row>
    <row r="21075">
      <c r="B21075" s="7" t="n">
        <v>21073</v>
      </c>
      <c r="C21075" t="inlineStr">
        <is>
          <t>[Chi nhánh Sóc Trăng] Trưởng phòng Dịch vụ khách hàng</t>
        </is>
      </c>
      <c r="D21075" t="inlineStr">
        <is>
          <t>Ngân hàng TMCP Đại Chúng Việt Nam - PVcomBank</t>
        </is>
      </c>
      <c r="E21075" t="inlineStr">
        <is>
          <t>Lương:Cạnh tranh</t>
        </is>
      </c>
      <c r="F21075" t="inlineStr">
        <is>
          <t>Sóc Trăng</t>
        </is>
      </c>
      <c r="G21075" t="inlineStr">
        <is>
          <t>2</t>
        </is>
      </c>
      <c r="H21075" t="inlineStr">
        <is>
          <t>19/03/2026</t>
        </is>
      </c>
      <c r="I21075" t="inlineStr">
        <is>
          <t>17/03/2026</t>
        </is>
      </c>
      <c r="J21075" t="inlineStr">
        <is>
          <t>Ngân hàng</t>
        </is>
      </c>
      <c r="K21075" t="inlineStr">
        <is>
          <t>Trên 3 Năm</t>
        </is>
      </c>
      <c r="L21075" s="8">
        <f>HYPERLINK("https://careerviet.vn/vi/tim-viec-lam/chi-nhanh-soc-trang-truong-phong-dich-vu-khach-hang.35C634DB.html","Xem chi tiết")</f>
        <v/>
      </c>
    </row>
    <row r="21076">
      <c r="B21076" s="9" t="n">
        <v>21074</v>
      </c>
      <c r="C21076" s="10" t="inlineStr">
        <is>
          <t>126200 - Accounting Staff - Retail</t>
        </is>
      </c>
      <c r="D21076" s="10" t="inlineStr">
        <is>
          <t>RGF HR Agent Vietnam Co., LTD</t>
        </is>
      </c>
      <c r="E21076" s="10" t="inlineStr">
        <is>
          <t>Lương:20 Tr - 30 Tr VND</t>
        </is>
      </c>
      <c r="F21076" s="10" t="inlineStr">
        <is>
          <t>Hồ Chí Minh</t>
        </is>
      </c>
      <c r="G21076" s="10" t="inlineStr">
        <is>
          <t>2</t>
        </is>
      </c>
      <c r="H21076" s="10" t="inlineStr">
        <is>
          <t>19/03/2026</t>
        </is>
      </c>
      <c r="I21076" s="10" t="inlineStr">
        <is>
          <t>17/03/2026</t>
        </is>
      </c>
      <c r="J21076" s="10" t="inlineStr">
        <is>
          <t>Kế toán / Kiểm toán, Bán lẻ / Bán sỉ</t>
        </is>
      </c>
      <c r="K21076" s="10" t="inlineStr">
        <is>
          <t>2 - 3 Năm</t>
        </is>
      </c>
      <c r="L21076" s="11">
        <f>HYPERLINK("https://careerviet.vn/vi/tim-viec-lam/126200-accounting-staff-retail.35C63513.html","Xem chi tiết")</f>
        <v/>
      </c>
      <c r="M21076" s="10" t="n"/>
    </row>
    <row r="21077">
      <c r="B21077" s="7" t="n">
        <v>21075</v>
      </c>
      <c r="C21077" t="inlineStr">
        <is>
          <t>Nhân Viên Truyền Thông</t>
        </is>
      </c>
      <c r="D21077" t="inlineStr">
        <is>
          <t>CÔNG TY CỔ PHẦN QUỐC TẾ TICO</t>
        </is>
      </c>
      <c r="E21077" t="inlineStr">
        <is>
          <t>Lương:Cạnh tranh</t>
        </is>
      </c>
      <c r="F21077" t="inlineStr">
        <is>
          <t>Hà Nội</t>
        </is>
      </c>
      <c r="G21077" t="inlineStr">
        <is>
          <t>2</t>
        </is>
      </c>
      <c r="H21077" t="inlineStr">
        <is>
          <t>19/03/2026</t>
        </is>
      </c>
      <c r="I21077" t="inlineStr">
        <is>
          <t>17/03/2026</t>
        </is>
      </c>
      <c r="J21077" t="inlineStr">
        <is>
          <t>Tiếp thị / Marketing, Tiếp thị trực tuyến, Quảng cáo / Đối ngoại / Truyền Thông</t>
        </is>
      </c>
      <c r="K21077" t="inlineStr">
        <is>
          <t>1 - 3 Năm</t>
        </is>
      </c>
      <c r="L21077" s="8">
        <f>HYPERLINK("https://careerviet.vn/vi/tim-viec-lam/nhan-vien-truyen-thong.35C63560.html","Xem chi tiết")</f>
        <v/>
      </c>
    </row>
    <row r="21078">
      <c r="B21078" s="9" t="n">
        <v>21076</v>
      </c>
      <c r="C21078" s="10" t="inlineStr">
        <is>
          <t>CHUYÊN VIÊNTUYỂN DỤNG QUỐC TẾ &amp; VIỆT NAM- INTERNATIONAL &amp; VIETNAM RECRUITMENT SPECIALIST</t>
        </is>
      </c>
      <c r="D21078" s="10" t="inlineStr">
        <is>
          <t>CÔNG TY TNHH ĐẦU TƯ, THƯƠNG MẠI VÀ DỊCH VỤ QUINN HÀ NỘI</t>
        </is>
      </c>
      <c r="E21078" s="10" t="inlineStr">
        <is>
          <t>Lương:30 Tr - 50 Tr VND</t>
        </is>
      </c>
      <c r="F21078" s="10" t="inlineStr">
        <is>
          <t>Hà Nội</t>
        </is>
      </c>
      <c r="G21078" s="10" t="inlineStr">
        <is>
          <t>2</t>
        </is>
      </c>
      <c r="H21078" s="10" t="inlineStr">
        <is>
          <t>19/03/2026</t>
        </is>
      </c>
      <c r="I21078" s="10" t="inlineStr">
        <is>
          <t>17/03/2026</t>
        </is>
      </c>
      <c r="J21078" s="10" t="inlineStr">
        <is>
          <t>Dịch vụ khách hàng, Nhân sự, Biên phiên dịch</t>
        </is>
      </c>
      <c r="K21078" s="10" t="inlineStr">
        <is>
          <t>2 - 3 Năm</t>
        </is>
      </c>
      <c r="L21078" s="11">
        <f>HYPERLINK("https://careerviet.vn/vi/tim-viec-lam/chuyen-vientuyen-dung-quoc-te-viet-nam-international-vietnam-recruitment-specialist.35C634B8.html","Xem chi tiết")</f>
        <v/>
      </c>
      <c r="M21078" s="10" t="n"/>
    </row>
    <row r="21079">
      <c r="B21079" s="7" t="n">
        <v>21077</v>
      </c>
      <c r="C21079" t="inlineStr">
        <is>
          <t>Nhân viên Vận hành máy tại Đồng Nai</t>
        </is>
      </c>
      <c r="D21079" t="inlineStr">
        <is>
          <t>Công Ty Cổ Phần Panel Việt</t>
        </is>
      </c>
      <c r="E21079" t="inlineStr">
        <is>
          <t>Lương:9 Tr - 12 Tr VND</t>
        </is>
      </c>
      <c r="F21079" t="inlineStr">
        <is>
          <t>Đồng Nai</t>
        </is>
      </c>
      <c r="G21079" t="inlineStr">
        <is>
          <t>2</t>
        </is>
      </c>
      <c r="H21079" t="inlineStr">
        <is>
          <t>19/03/2026</t>
        </is>
      </c>
      <c r="I21079" t="inlineStr">
        <is>
          <t>17/03/2026</t>
        </is>
      </c>
      <c r="J21079" t="inlineStr">
        <is>
          <t>Bảo trì / Sửa chữa, Sản xuất / Vận hành sản xuất, Quản lý chất lượng (QA/QC)</t>
        </is>
      </c>
      <c r="K21079" t="inlineStr">
        <is>
          <t>1 - 2 Năm</t>
        </is>
      </c>
      <c r="L21079" s="8">
        <f>HYPERLINK("https://careerviet.vn/vi/tim-viec-lam/nhan-vien-van-hanh-may-tai-dong-nai.35C62E01.html","Xem chi tiết")</f>
        <v/>
      </c>
    </row>
    <row r="21080">
      <c r="B21080" s="9" t="n">
        <v>21078</v>
      </c>
      <c r="C21080" s="10" t="inlineStr">
        <is>
          <t>[Đồng Nai] Phó Giám đốc Chi nhánh phụ trách KHCN</t>
        </is>
      </c>
      <c r="D21080" s="10" t="inlineStr">
        <is>
          <t>Ngân hàng TMCP Lộc Phát Việt Nam (LPBank)</t>
        </is>
      </c>
      <c r="E21080" s="10" t="inlineStr">
        <is>
          <t>Lương:Cạnh tranh</t>
        </is>
      </c>
      <c r="F21080" s="10" t="inlineStr">
        <is>
          <t>Đồng Nai</t>
        </is>
      </c>
      <c r="G21080" s="10" t="inlineStr">
        <is>
          <t>2</t>
        </is>
      </c>
      <c r="H21080" s="10" t="inlineStr">
        <is>
          <t>19/03/2026</t>
        </is>
      </c>
      <c r="I21080" s="10" t="inlineStr">
        <is>
          <t>17/03/2026</t>
        </is>
      </c>
      <c r="J21080" s="10" t="inlineStr">
        <is>
          <t>Ngân hàng, Tài chính / Đầu tư</t>
        </is>
      </c>
      <c r="K21080" s="10" t="inlineStr">
        <is>
          <t>Trên 4 Năm</t>
        </is>
      </c>
      <c r="L21080" s="11">
        <f>HYPERLINK("https://careerviet.vn/vi/tim-viec-lam/dong-nai-pho-giam-doc-chi-nhanh-phu-trach-khcn.35C635CA.html","Xem chi tiết")</f>
        <v/>
      </c>
      <c r="M21080" s="10" t="n"/>
    </row>
    <row r="21081">
      <c r="B21081" s="7" t="n">
        <v>21079</v>
      </c>
      <c r="C21081" t="inlineStr">
        <is>
          <t>Junior Technical Consultant</t>
        </is>
      </c>
      <c r="D21081" t="inlineStr">
        <is>
          <t>CANDYLIO</t>
        </is>
      </c>
      <c r="E21081" t="inlineStr">
        <is>
          <t>Lương:Cạnh tranh</t>
        </is>
      </c>
      <c r="F21081" t="inlineStr">
        <is>
          <t>Hồ Chí Minh</t>
        </is>
      </c>
      <c r="G21081" t="inlineStr">
        <is>
          <t>2</t>
        </is>
      </c>
      <c r="H21081" t="inlineStr">
        <is>
          <t>19/03/2026</t>
        </is>
      </c>
      <c r="I21081" t="inlineStr">
        <is>
          <t>17/03/2026</t>
        </is>
      </c>
      <c r="J21081" t="inlineStr">
        <is>
          <t>CNTT - Phần mềm, CNTT - Phần cứng / Mạng</t>
        </is>
      </c>
      <c r="K21081" t="inlineStr">
        <is>
          <t>1 - 2 Năm</t>
        </is>
      </c>
      <c r="L21081" s="8">
        <f>HYPERLINK("https://careerviet.vn/vi/tim-viec-lam/junior-technical-consultant.35C63497.html","Xem chi tiết")</f>
        <v/>
      </c>
    </row>
    <row r="21082">
      <c r="B21082" s="9" t="n">
        <v>21080</v>
      </c>
      <c r="C21082" s="10" t="inlineStr">
        <is>
          <t>Nhân Viên Telesale Mảng Thẩm Mỹ</t>
        </is>
      </c>
      <c r="D21082" s="10" t="inlineStr">
        <is>
          <t>Công ty cổ phần HaMo Holdings</t>
        </is>
      </c>
      <c r="E21082" s="10" t="inlineStr">
        <is>
          <t>Lương:15 Tr - 25 Tr VND</t>
        </is>
      </c>
      <c r="F21082" s="10" t="inlineStr">
        <is>
          <t>Hồ Chí Minh</t>
        </is>
      </c>
      <c r="G21082" s="10" t="inlineStr">
        <is>
          <t>2</t>
        </is>
      </c>
      <c r="H21082" s="10" t="inlineStr">
        <is>
          <t>19/03/2026</t>
        </is>
      </c>
      <c r="I21082" s="10" t="inlineStr">
        <is>
          <t>17/03/2026</t>
        </is>
      </c>
      <c r="J21082" s="10" t="inlineStr">
        <is>
          <t>Tiếp thị / Marketing, Bán hàng / Kinh doanh, Y tế / Chăm sóc sức khỏe / Thẩm mỹ / Làm đẹp</t>
        </is>
      </c>
      <c r="K21082" s="10" t="inlineStr">
        <is>
          <t>Trên 1 Năm</t>
        </is>
      </c>
      <c r="L21082" s="11">
        <f>HYPERLINK("https://careerviet.vn/vi/tim-viec-lam/nhan-vien-telesale-mang-tham-my.35C63490.html","Xem chi tiết")</f>
        <v/>
      </c>
      <c r="M21082" s="10" t="n"/>
    </row>
    <row r="21083">
      <c r="B21083" s="7" t="n">
        <v>21081</v>
      </c>
      <c r="C21083" t="inlineStr">
        <is>
          <t>Chuyên Viên Cung Ứng</t>
        </is>
      </c>
      <c r="D21083" t="inlineStr">
        <is>
          <t>Công Ty CP Tự động hóa và Xây lắp điện SNT</t>
        </is>
      </c>
      <c r="E21083" t="inlineStr">
        <is>
          <t>Lương:Cạnh tranh</t>
        </is>
      </c>
      <c r="F21083" t="inlineStr">
        <is>
          <t>Nghệ An</t>
        </is>
      </c>
      <c r="G21083" t="inlineStr">
        <is>
          <t>2</t>
        </is>
      </c>
      <c r="H21083" t="inlineStr">
        <is>
          <t>19/03/2026</t>
        </is>
      </c>
      <c r="I21083" t="inlineStr">
        <is>
          <t>17/03/2026</t>
        </is>
      </c>
      <c r="J21083" t="inlineStr">
        <is>
          <t>Cơ khí / Ô tô / Tự động hóa, Điện / Điện tử / Điện lạnh / Điện công nghiệp</t>
        </is>
      </c>
      <c r="K21083" t="inlineStr">
        <is>
          <t>1 - 3 Năm</t>
        </is>
      </c>
      <c r="L21083" s="8">
        <f>HYPERLINK("https://careerviet.vn/vi/tim-viec-lam/chuyen-vien-cung-ung.35C63520.html","Xem chi tiết")</f>
        <v/>
      </c>
    </row>
    <row r="21084">
      <c r="B21084" s="9" t="n">
        <v>21082</v>
      </c>
      <c r="C21084" s="10" t="inlineStr">
        <is>
          <t>Nhân Viên Cứu Hộ - Khu Nhà Phố Thương Mại Cao Cấp</t>
        </is>
      </c>
      <c r="D21084" s="10" t="inlineStr">
        <is>
          <t>BIM Group Phú Quốc</t>
        </is>
      </c>
      <c r="E21084" s="10" t="inlineStr">
        <is>
          <t>Lương:Cạnh tranh</t>
        </is>
      </c>
      <c r="F21084" s="10" t="inlineStr">
        <is>
          <t>Kiên Giang</t>
        </is>
      </c>
      <c r="G21084" s="10" t="inlineStr">
        <is>
          <t>2</t>
        </is>
      </c>
      <c r="H21084" s="10" t="inlineStr">
        <is>
          <t>19/03/2026</t>
        </is>
      </c>
      <c r="I21084" s="10" t="inlineStr">
        <is>
          <t>17/03/2026</t>
        </is>
      </c>
      <c r="J21084" s="10" t="inlineStr">
        <is>
          <t>Bất động sản, Giải trí</t>
        </is>
      </c>
      <c r="K21084" s="10" t="inlineStr">
        <is>
          <t>1 - 2 Năm</t>
        </is>
      </c>
      <c r="L21084" s="11">
        <f>HYPERLINK("https://careerviet.vn/vi/tim-viec-lam/nhan-vien-cuu-ho-khu-nha-pho-thuong-mai-cao-cap.35C634C0.html","Xem chi tiết")</f>
        <v/>
      </c>
      <c r="M21084" s="10" t="n"/>
    </row>
    <row r="21085">
      <c r="B21085" s="7" t="n">
        <v>21083</v>
      </c>
      <c r="C21085" t="inlineStr">
        <is>
          <t>Tư vấn bán hàng sơn Tây Nam Bộ</t>
        </is>
      </c>
      <c r="D21085" t="inlineStr">
        <is>
          <t>Công Ty TNHH Sơn Seamaster Việt Nam</t>
        </is>
      </c>
      <c r="E21085" t="inlineStr">
        <is>
          <t>Lương:6,5 Tr - 8 Tr VND</t>
        </is>
      </c>
      <c r="F21085" t="inlineStr">
        <is>
          <t>Vĩnh LongSóc TrăngTrà Vinh</t>
        </is>
      </c>
      <c r="G21085" t="inlineStr">
        <is>
          <t>2</t>
        </is>
      </c>
      <c r="H21085" t="inlineStr">
        <is>
          <t>19/03/2026</t>
        </is>
      </c>
      <c r="I21085" t="inlineStr">
        <is>
          <t>17/03/2026</t>
        </is>
      </c>
      <c r="J21085" t="inlineStr">
        <is>
          <t>Bán lẻ / Bán sỉ, Bán hàng / Kinh doanh, Dịch vụ khách hàng</t>
        </is>
      </c>
      <c r="K21085" t="inlineStr">
        <is>
          <t>Chưa có kinh nghiệm</t>
        </is>
      </c>
      <c r="L21085" s="8">
        <f>HYPERLINK("https://careerviet.vn/vi/tim-viec-lam/tu-van-ban-hang-son-tay-nam-bo.35C6354C.html","Xem chi tiết")</f>
        <v/>
      </c>
    </row>
    <row r="21086">
      <c r="B21086" s="9" t="n">
        <v>21084</v>
      </c>
      <c r="C21086" s="10" t="inlineStr">
        <is>
          <t>LẬP TRÌNH GAME - GAME DEVELOPERS</t>
        </is>
      </c>
      <c r="D21086" s="10" t="inlineStr">
        <is>
          <t>Koei Tecmo Software Vietnam</t>
        </is>
      </c>
      <c r="E21086" s="10" t="inlineStr">
        <is>
          <t>Lương:Cạnh tranh</t>
        </is>
      </c>
      <c r="F21086" s="10" t="inlineStr">
        <is>
          <t>Hà Nội</t>
        </is>
      </c>
      <c r="G21086" s="10" t="inlineStr">
        <is>
          <t>2</t>
        </is>
      </c>
      <c r="H21086" s="10" t="inlineStr">
        <is>
          <t>19/03/2026</t>
        </is>
      </c>
      <c r="I21086" s="10" t="inlineStr">
        <is>
          <t>17/03/2026</t>
        </is>
      </c>
      <c r="J21086" s="10" t="inlineStr">
        <is>
          <t>Bưu chính viễn thông, CNTT - Phần cứng / Mạng, Biên phiên dịch</t>
        </is>
      </c>
      <c r="K21086" s="10" t="inlineStr">
        <is>
          <t>Chưa có kinh nghiệm</t>
        </is>
      </c>
      <c r="L21086" s="11">
        <f>HYPERLINK("https://careerviet.vn/vi/tim-viec-lam/lap-trinh-game-game-developers.35C6352F.html","Xem chi tiết")</f>
        <v/>
      </c>
      <c r="M21086" s="10" t="n"/>
    </row>
    <row r="21087">
      <c r="B21087" s="7" t="n">
        <v>21085</v>
      </c>
      <c r="C21087" t="inlineStr">
        <is>
          <t>Trưởng phòng Pháp chế</t>
        </is>
      </c>
      <c r="D21087" t="inlineStr">
        <is>
          <t>Công Ty Cổ Phần Thiết Kế Và Xây Dựng Giza Việt Nam</t>
        </is>
      </c>
      <c r="E21087" t="inlineStr">
        <is>
          <t>Lương:Cạnh tranh</t>
        </is>
      </c>
      <c r="F21087" t="inlineStr">
        <is>
          <t>Hà Nội</t>
        </is>
      </c>
      <c r="G21087" t="inlineStr">
        <is>
          <t>2</t>
        </is>
      </c>
      <c r="H21087" t="inlineStr">
        <is>
          <t>19/03/2026</t>
        </is>
      </c>
      <c r="I21087" t="inlineStr">
        <is>
          <t>17/03/2026</t>
        </is>
      </c>
      <c r="J21087" t="inlineStr">
        <is>
          <t>Luật / Pháp lý</t>
        </is>
      </c>
      <c r="K21087" t="inlineStr">
        <is>
          <t>3 - 5 Năm</t>
        </is>
      </c>
      <c r="L21087" s="8">
        <f>HYPERLINK("https://careerviet.vn/vi/tim-viec-lam/truong-phong-phap-che.35C6356D.html","Xem chi tiết")</f>
        <v/>
      </c>
    </row>
    <row r="21088">
      <c r="B21088" s="9" t="n">
        <v>21086</v>
      </c>
      <c r="C21088" s="10" t="inlineStr">
        <is>
          <t>Nhân Viên Kế Toán Giá Thành</t>
        </is>
      </c>
      <c r="D21088" s="10" t="inlineStr">
        <is>
          <t>CÔNG TY TNHH CÔNG NGHỆ ĐIỆN TỬ BVT VIỆT NAM</t>
        </is>
      </c>
      <c r="E21088" s="10" t="inlineStr">
        <is>
          <t>Lương:Cạnh tranh</t>
        </is>
      </c>
      <c r="F21088" s="10" t="inlineStr">
        <is>
          <t>Long An</t>
        </is>
      </c>
      <c r="G21088" s="10" t="inlineStr">
        <is>
          <t>2</t>
        </is>
      </c>
      <c r="H21088" s="10" t="inlineStr">
        <is>
          <t>19/03/2026</t>
        </is>
      </c>
      <c r="I21088" s="10" t="inlineStr">
        <is>
          <t>17/03/2026</t>
        </is>
      </c>
      <c r="J21088" s="10" t="inlineStr">
        <is>
          <t>Tài chính / Đầu tư, Kế toán / Kiểm toán, Sản xuất / Vận hành sản xuất</t>
        </is>
      </c>
      <c r="K21088" s="10" t="inlineStr">
        <is>
          <t>N/A</t>
        </is>
      </c>
      <c r="L21088" s="11">
        <f>HYPERLINK("https://careerviet.vn/vi/tim-viec-lam/nhan-vien-ke-toan-gia-thanh.35C634F0.html","Xem chi tiết")</f>
        <v/>
      </c>
      <c r="M21088" s="10" t="n"/>
    </row>
    <row r="21089">
      <c r="B21089" s="7" t="n">
        <v>21087</v>
      </c>
      <c r="C21089" t="inlineStr">
        <is>
          <t>Nhân viên kế hoạch</t>
        </is>
      </c>
      <c r="D21089" t="inlineStr">
        <is>
          <t>CÔNG TY TNHH NÔNG SẢN QUỐC TẾ ĐỨC VINH</t>
        </is>
      </c>
      <c r="E21089" t="inlineStr">
        <is>
          <t>Lương:Cạnh tranh</t>
        </is>
      </c>
      <c r="F21089" t="inlineStr">
        <is>
          <t>Long An</t>
        </is>
      </c>
      <c r="G21089" t="inlineStr">
        <is>
          <t>2</t>
        </is>
      </c>
      <c r="H21089" t="inlineStr">
        <is>
          <t>19/03/2026</t>
        </is>
      </c>
      <c r="I21089" t="inlineStr">
        <is>
          <t>17/03/2026</t>
        </is>
      </c>
      <c r="J21089" t="inlineStr">
        <is>
          <t>Sản xuất / Vận hành sản xuất</t>
        </is>
      </c>
      <c r="K21089" t="inlineStr">
        <is>
          <t>1 - 2 Năm</t>
        </is>
      </c>
      <c r="L21089" s="8">
        <f>HYPERLINK("https://careerviet.vn/vi/tim-viec-lam/nhan-vien-ke-hoach.35C634C3.html","Xem chi tiết")</f>
        <v/>
      </c>
    </row>
    <row r="21090">
      <c r="B21090" s="9" t="n">
        <v>21088</v>
      </c>
      <c r="C21090" s="10" t="inlineStr">
        <is>
          <t>Nhân Viên Kinh doanh Thiết Bị PCCC</t>
        </is>
      </c>
      <c r="D21090" s="10" t="inlineStr">
        <is>
          <t>Công Ty Cổ Phần Đầu Tư Và Phát Triển Nhựa Gỗ Châu Âu</t>
        </is>
      </c>
      <c r="E21090" s="10" t="inlineStr">
        <is>
          <t>Lương:9 Tr - 15 Tr VND</t>
        </is>
      </c>
      <c r="F21090" s="10" t="inlineStr">
        <is>
          <t>Hà Nội</t>
        </is>
      </c>
      <c r="G21090" s="10" t="inlineStr">
        <is>
          <t>2</t>
        </is>
      </c>
      <c r="H21090" s="10" t="inlineStr">
        <is>
          <t>19/03/2026</t>
        </is>
      </c>
      <c r="I21090" s="10" t="inlineStr">
        <is>
          <t>17/03/2026</t>
        </is>
      </c>
      <c r="J21090" s="10" t="inlineStr">
        <is>
          <t>Bán lẻ / Bán sỉ, Bán hàng / Kinh doanh, Bán Hàng Kỹ Thuật</t>
        </is>
      </c>
      <c r="K21090" s="10" t="inlineStr">
        <is>
          <t>2 - 3 Năm</t>
        </is>
      </c>
      <c r="L21090" s="11">
        <f>HYPERLINK("https://careerviet.vn/vi/tim-viec-lam/nhan-vien-kinh-doanh-thiet-bi-pccc.35C635AB.html","Xem chi tiết")</f>
        <v/>
      </c>
      <c r="M21090" s="10" t="n"/>
    </row>
    <row r="21091">
      <c r="B21091" s="7" t="n">
        <v>21089</v>
      </c>
      <c r="C21091" t="inlineStr">
        <is>
          <t>Chuyên viên Truyền thông - Marketing lĩnh vực Bảo hiểm Phi nhân thọ</t>
        </is>
      </c>
      <c r="D21091" t="inlineStr">
        <is>
          <t>TỔNG CÔNG TY CỔ PHẦN BẢO HIỂM HÙNG VƯƠNG</t>
        </is>
      </c>
      <c r="E21091" t="inlineStr">
        <is>
          <t>Lương:Cạnh tranh</t>
        </is>
      </c>
      <c r="F21091" t="inlineStr">
        <is>
          <t>Hà Nội</t>
        </is>
      </c>
      <c r="G21091" t="inlineStr">
        <is>
          <t>2</t>
        </is>
      </c>
      <c r="H21091" t="inlineStr">
        <is>
          <t>19/03/2026</t>
        </is>
      </c>
      <c r="I21091" t="inlineStr">
        <is>
          <t>17/03/2026</t>
        </is>
      </c>
      <c r="J21091" t="inlineStr">
        <is>
          <t>Bảo hiểm, Mỹ thuật / Nghệ thuật / Thiết kế, Quảng cáo / Đối ngoại / Truyền Thông</t>
        </is>
      </c>
      <c r="K21091" t="inlineStr">
        <is>
          <t>Trên 2 Năm</t>
        </is>
      </c>
      <c r="L21091" s="8">
        <f>HYPERLINK("https://careerviet.vn/vi/tim-viec-lam/chuyen-vien-truyen-thong-marketing-linh-vuc-bao-hiem-phi-nhan-tho.35C63587.html","Xem chi tiết")</f>
        <v/>
      </c>
    </row>
    <row r="21092">
      <c r="B21092" s="9" t="n">
        <v>21090</v>
      </c>
      <c r="C21092" s="10" t="inlineStr">
        <is>
          <t>Legal Officer</t>
        </is>
      </c>
      <c r="D21092" s="10" t="inlineStr">
        <is>
          <t>CÔNG TY TNHH THAI CORP INTERNATIONAL (VIỆT NAM)</t>
        </is>
      </c>
      <c r="E21092" s="10" t="inlineStr">
        <is>
          <t>Lương:14 Tr - 25 Tr VND</t>
        </is>
      </c>
      <c r="F21092" s="10" t="inlineStr">
        <is>
          <t>Hồ Chí Minh</t>
        </is>
      </c>
      <c r="G21092" s="10" t="inlineStr">
        <is>
          <t>2</t>
        </is>
      </c>
      <c r="H21092" s="10" t="inlineStr">
        <is>
          <t>19/03/2026</t>
        </is>
      </c>
      <c r="I21092" s="10" t="inlineStr">
        <is>
          <t>17/03/2026</t>
        </is>
      </c>
      <c r="J21092" s="10" t="inlineStr">
        <is>
          <t>Luật / Pháp lý, Hành chính / Thư ký, Nhân sự</t>
        </is>
      </c>
      <c r="K21092" s="10" t="inlineStr">
        <is>
          <t>3 - 10 Năm</t>
        </is>
      </c>
      <c r="L21092" s="11">
        <f>HYPERLINK("https://careerviet.vn/vi/tim-viec-lam/legal-officer.35C63468.html","Xem chi tiết")</f>
        <v/>
      </c>
      <c r="M21092" s="10" t="n"/>
    </row>
    <row r="21093">
      <c r="B21093" s="7" t="n">
        <v>21091</v>
      </c>
      <c r="C21093" t="inlineStr">
        <is>
          <t>Bếp Trưởng</t>
        </is>
      </c>
      <c r="D21093" t="inlineStr">
        <is>
          <t>CÔNG TY CỔ PHẦN VĂN HÓA VÀ ẨM THỰC VIET CHARM</t>
        </is>
      </c>
      <c r="E21093" t="inlineStr">
        <is>
          <t>Lương:Cạnh tranh</t>
        </is>
      </c>
      <c r="F21093" t="inlineStr">
        <is>
          <t>Hồ Chí Minh</t>
        </is>
      </c>
      <c r="G21093" t="inlineStr">
        <is>
          <t>2</t>
        </is>
      </c>
      <c r="H21093" t="inlineStr">
        <is>
          <t>19/03/2026</t>
        </is>
      </c>
      <c r="I21093" t="inlineStr">
        <is>
          <t>17/03/2026</t>
        </is>
      </c>
      <c r="J21093" t="inlineStr">
        <is>
          <t>Quản lý điều hành, Nhà hàng / Khách sạn, Du lịch</t>
        </is>
      </c>
      <c r="K21093" t="inlineStr">
        <is>
          <t>5 - 8 Năm</t>
        </is>
      </c>
      <c r="L21093" s="8">
        <f>HYPERLINK("https://careerviet.vn/vi/tim-viec-lam/bep-truong.35C635BB.html","Xem chi tiết")</f>
        <v/>
      </c>
    </row>
    <row r="21094">
      <c r="B21094" s="9" t="n">
        <v>21092</v>
      </c>
      <c r="C21094" s="10" t="inlineStr">
        <is>
          <t>Nhân Viên Lễ Tân</t>
        </is>
      </c>
      <c r="D21094" s="10" t="inlineStr">
        <is>
          <t>Công Ty Cổ Phần Tập Đoàn Bất Động Sản Thắng Lợi</t>
        </is>
      </c>
      <c r="E21094" s="10" t="inlineStr">
        <is>
          <t>Lương:Cạnh tranh</t>
        </is>
      </c>
      <c r="F21094" s="10" t="inlineStr">
        <is>
          <t>Hồ Chí Minh</t>
        </is>
      </c>
      <c r="G21094" s="10" t="inlineStr">
        <is>
          <t>2</t>
        </is>
      </c>
      <c r="H21094" s="10" t="inlineStr">
        <is>
          <t>19/03/2026</t>
        </is>
      </c>
      <c r="I21094" s="10" t="inlineStr">
        <is>
          <t>17/03/2026</t>
        </is>
      </c>
      <c r="J21094" s="10" t="inlineStr">
        <is>
          <t>Dịch vụ khách hàng, Hành chính / Thư ký, Nhân sự</t>
        </is>
      </c>
      <c r="K21094" s="10" t="inlineStr">
        <is>
          <t>1 - 2 Năm</t>
        </is>
      </c>
      <c r="L21094" s="11">
        <f>HYPERLINK("https://careerviet.vn/vi/tim-viec-lam/nhan-vien-le-tan.35C635E1.html","Xem chi tiết")</f>
        <v/>
      </c>
      <c r="M21094" s="10" t="n"/>
    </row>
    <row r="21095">
      <c r="B21095" s="7" t="n">
        <v>21093</v>
      </c>
      <c r="C21095" t="inlineStr">
        <is>
          <t>Nhân Viên Kinh Doanh</t>
        </is>
      </c>
      <c r="D21095" t="inlineStr">
        <is>
          <t>CÔNG TY CỔ PHẦN LIÊN DOANH GALATEX VIỆT NAM</t>
        </is>
      </c>
      <c r="E21095" t="inlineStr">
        <is>
          <t>Lương:Trên 16 Tr VND</t>
        </is>
      </c>
      <c r="F21095" t="inlineStr">
        <is>
          <t>Hà NamThái Nguyên</t>
        </is>
      </c>
      <c r="G21095" t="inlineStr">
        <is>
          <t>2</t>
        </is>
      </c>
      <c r="H21095" t="inlineStr">
        <is>
          <t>19/03/2026</t>
        </is>
      </c>
      <c r="I21095" t="inlineStr">
        <is>
          <t>17/03/2026</t>
        </is>
      </c>
      <c r="J21095" t="inlineStr">
        <is>
          <t>Bán hàng / Kinh doanh, Tư vấn, Quản lý điều hành</t>
        </is>
      </c>
      <c r="K21095" t="inlineStr">
        <is>
          <t>Trên 2 Năm</t>
        </is>
      </c>
      <c r="L21095" s="8">
        <f>HYPERLINK("https://careerviet.vn/vi/tim-viec-lam/nhan-vien-kinh-doanh.35C635C3.html","Xem chi tiết")</f>
        <v/>
      </c>
    </row>
    <row r="21096">
      <c r="B21096" s="9" t="n">
        <v>21094</v>
      </c>
      <c r="C21096" s="10" t="inlineStr">
        <is>
          <t>126142 - Japanese Speaking - Outsourcing Manager - Architect</t>
        </is>
      </c>
      <c r="D21096" s="10" t="inlineStr">
        <is>
          <t>RGF HR Agent Vietnam Co., LTD</t>
        </is>
      </c>
      <c r="E21096" s="10" t="inlineStr">
        <is>
          <t>Lương:25 Tr - 30 Tr VND</t>
        </is>
      </c>
      <c r="F21096" s="10" t="inlineStr">
        <is>
          <t>Hồ Chí Minh</t>
        </is>
      </c>
      <c r="G21096" s="10" t="inlineStr">
        <is>
          <t>2</t>
        </is>
      </c>
      <c r="H21096" s="10" t="inlineStr">
        <is>
          <t>19/03/2026</t>
        </is>
      </c>
      <c r="I21096" s="10" t="inlineStr">
        <is>
          <t>17/03/2026</t>
        </is>
      </c>
      <c r="J21096" s="10" t="inlineStr">
        <is>
          <t>Kiến trúc, Xây dựng</t>
        </is>
      </c>
      <c r="K21096" s="10" t="inlineStr">
        <is>
          <t>Trên 5 Năm</t>
        </is>
      </c>
      <c r="L21096" s="11">
        <f>HYPERLINK("https://careerviet.vn/vi/tim-viec-lam/126142-japanese-speaking-outsourcing-manager-architect.35C63515.html","Xem chi tiết")</f>
        <v/>
      </c>
      <c r="M21096" s="10" t="n"/>
    </row>
    <row r="21097">
      <c r="B21097" s="7" t="n">
        <v>21095</v>
      </c>
      <c r="C21097" t="inlineStr">
        <is>
          <t>Tiktok Content Creator</t>
        </is>
      </c>
      <c r="D21097" t="inlineStr">
        <is>
          <t>CÔNG TY CỔ PHẦN GIẢI PHÁP CƠ KHÍ VNTECH</t>
        </is>
      </c>
      <c r="E21097" t="inlineStr">
        <is>
          <t>Lương:12 Tr - 20 Tr VND</t>
        </is>
      </c>
      <c r="F21097" t="inlineStr">
        <is>
          <t>Hà Nội</t>
        </is>
      </c>
      <c r="G21097" t="inlineStr">
        <is>
          <t>2</t>
        </is>
      </c>
      <c r="H21097" t="inlineStr">
        <is>
          <t>18/03/2026</t>
        </is>
      </c>
      <c r="I21097" t="inlineStr">
        <is>
          <t>17/03/2026</t>
        </is>
      </c>
      <c r="J21097" t="inlineStr">
        <is>
          <t>Quảng cáo / Đối ngoại / Truyền Thông, Truyền hình / Báo chí / Biên tập, Tiếp thị / Marketing</t>
        </is>
      </c>
      <c r="K21097" t="inlineStr">
        <is>
          <t>1 - 2 Năm</t>
        </is>
      </c>
      <c r="L21097" s="8">
        <f>HYPERLINK("https://careerviet.vn/vi/tim-viec-lam/tiktok-content-creator.35C634F2.html","Xem chi tiết")</f>
        <v/>
      </c>
    </row>
    <row r="21098">
      <c r="B21098" s="9" t="n">
        <v>21096</v>
      </c>
      <c r="C21098" s="10" t="inlineStr">
        <is>
          <t>General Accountant</t>
        </is>
      </c>
      <c r="D21098" s="10" t="inlineStr">
        <is>
          <t>HR Vietnam’s ESS Client</t>
        </is>
      </c>
      <c r="E21098" s="10" t="inlineStr">
        <is>
          <t>Lương:Cạnh tranh</t>
        </is>
      </c>
      <c r="F21098" s="10" t="inlineStr">
        <is>
          <t>Hồ Chí Minh</t>
        </is>
      </c>
      <c r="G21098" s="10" t="inlineStr">
        <is>
          <t>2</t>
        </is>
      </c>
      <c r="H21098" s="10" t="inlineStr">
        <is>
          <t>19/03/2026</t>
        </is>
      </c>
      <c r="I21098" s="10" t="inlineStr">
        <is>
          <t>17/03/2026</t>
        </is>
      </c>
      <c r="J21098" s="10" t="inlineStr">
        <is>
          <t>Kế toán / Kiểm toán, Xuất nhập khẩu</t>
        </is>
      </c>
      <c r="K21098" s="10" t="inlineStr">
        <is>
          <t>Trên 3 Năm</t>
        </is>
      </c>
      <c r="L21098" s="11">
        <f>HYPERLINK("https://careerviet.vn/vi/tim-viec-lam/general-accountant.35C63556.html","Xem chi tiết")</f>
        <v/>
      </c>
      <c r="M21098" s="10" t="n"/>
    </row>
    <row r="21099">
      <c r="B21099" s="7" t="n">
        <v>21097</v>
      </c>
      <c r="C21099" t="inlineStr">
        <is>
          <t>Kỹ thuật điện lạnh</t>
        </is>
      </c>
      <c r="D21099" t="inlineStr">
        <is>
          <t>CÔNG TY TNHH NÔNG SẢN QUỐC TẾ ĐỨC VINH</t>
        </is>
      </c>
      <c r="E21099" t="inlineStr">
        <is>
          <t>Lương:Cạnh tranh</t>
        </is>
      </c>
      <c r="F21099" t="inlineStr">
        <is>
          <t>Long An</t>
        </is>
      </c>
      <c r="G21099" t="inlineStr">
        <is>
          <t>2</t>
        </is>
      </c>
      <c r="H21099" t="inlineStr">
        <is>
          <t>19/03/2026</t>
        </is>
      </c>
      <c r="I21099" t="inlineStr">
        <is>
          <t>17/03/2026</t>
        </is>
      </c>
      <c r="J21099" t="inlineStr">
        <is>
          <t>Điện / Điện tử / Điện lạnh / Điện công nghiệp</t>
        </is>
      </c>
      <c r="K21099" t="inlineStr">
        <is>
          <t>2 - 3 Năm</t>
        </is>
      </c>
      <c r="L21099" s="8">
        <f>HYPERLINK("https://careerviet.vn/vi/tim-viec-lam/ky-thuat-dien-lanh.35C63611.html","Xem chi tiết")</f>
        <v/>
      </c>
    </row>
    <row r="21100">
      <c r="B21100" s="9" t="n">
        <v>21098</v>
      </c>
      <c r="C21100" s="10" t="inlineStr">
        <is>
          <t>Nhân viên kỹ thuật máy pha màu sơn</t>
        </is>
      </c>
      <c r="D21100" s="10" t="inlineStr">
        <is>
          <t>Công Ty TNHH Sơn Seamaster Việt Nam</t>
        </is>
      </c>
      <c r="E21100" s="10" t="inlineStr">
        <is>
          <t>Lương:10 Tr - 14 Tr VND</t>
        </is>
      </c>
      <c r="F21100" s="10" t="inlineStr">
        <is>
          <t>Bình Dương</t>
        </is>
      </c>
      <c r="G21100" s="10" t="inlineStr">
        <is>
          <t>2</t>
        </is>
      </c>
      <c r="H21100" s="10" t="inlineStr">
        <is>
          <t>19/03/2026</t>
        </is>
      </c>
      <c r="I21100" s="10" t="inlineStr">
        <is>
          <t>17/03/2026</t>
        </is>
      </c>
      <c r="J21100" s="10" t="inlineStr">
        <is>
          <t>CNTT - Phần mềm, CNTT - Phần cứng / Mạng</t>
        </is>
      </c>
      <c r="K21100" s="10" t="inlineStr">
        <is>
          <t>1 - 2 Năm</t>
        </is>
      </c>
      <c r="L21100" s="11">
        <f>HYPERLINK("https://careerviet.vn/vi/tim-viec-lam/nhan-vien-ky-thuat-may-pha-mau-son.35C634D6.html","Xem chi tiết")</f>
        <v/>
      </c>
      <c r="M21100" s="10" t="n"/>
    </row>
    <row r="21101">
      <c r="B21101" s="7" t="n">
        <v>21099</v>
      </c>
      <c r="C21101" t="inlineStr">
        <is>
          <t>Trưởng Phòng Marketing Chuỗi Kính Mắt Quốc Tế Việt - Nga</t>
        </is>
      </c>
      <c r="D21101" t="inlineStr">
        <is>
          <t>TẬP ĐOÀN Y TẾ VIỆT - NGA</t>
        </is>
      </c>
      <c r="E21101" t="inlineStr">
        <is>
          <t>Lương:Trên 25 Tr VND</t>
        </is>
      </c>
      <c r="F21101" t="inlineStr">
        <is>
          <t>Hà Nội</t>
        </is>
      </c>
      <c r="G21101" t="inlineStr">
        <is>
          <t>2</t>
        </is>
      </c>
      <c r="H21101" t="inlineStr">
        <is>
          <t>19/03/2026</t>
        </is>
      </c>
      <c r="I21101" t="inlineStr">
        <is>
          <t>17/03/2026</t>
        </is>
      </c>
      <c r="J21101" t="inlineStr">
        <is>
          <t>Y tế / Chăm sóc sức khỏe / Thẩm mỹ / Làm đẹp, Tiếp thị / Marketing, Quản lý điều hành</t>
        </is>
      </c>
      <c r="K21101" t="inlineStr">
        <is>
          <t>Trên 2 Năm</t>
        </is>
      </c>
      <c r="L21101" s="8">
        <f>HYPERLINK("https://careerviet.vn/vi/tim-viec-lam/truong-phong-marketing-chuoi-kinh-mat-quoc-te-viet-nga.35C6356A.html","Xem chi tiết")</f>
        <v/>
      </c>
    </row>
    <row r="21102">
      <c r="B21102" s="9" t="n">
        <v>21100</v>
      </c>
      <c r="C21102" s="10" t="inlineStr">
        <is>
          <t>Thiết Kế Đồ Họa Game Tại Đà Nẵng</t>
        </is>
      </c>
      <c r="D21102" s="10" t="inlineStr">
        <is>
          <t>Koei Tecmo Software Vietnam</t>
        </is>
      </c>
      <c r="E21102" s="10" t="inlineStr">
        <is>
          <t>Lương:Cạnh tranh</t>
        </is>
      </c>
      <c r="F21102" s="10" t="inlineStr">
        <is>
          <t>Đà Nẵng</t>
        </is>
      </c>
      <c r="G21102" s="10" t="inlineStr">
        <is>
          <t>2</t>
        </is>
      </c>
      <c r="H21102" s="10" t="inlineStr">
        <is>
          <t>19/03/2026</t>
        </is>
      </c>
      <c r="I21102" s="10" t="inlineStr">
        <is>
          <t>17/03/2026</t>
        </is>
      </c>
      <c r="J21102" s="10" t="inlineStr">
        <is>
          <t>Mỹ thuật / Nghệ thuật / Thiết kế</t>
        </is>
      </c>
      <c r="K21102" s="10" t="inlineStr">
        <is>
          <t>N/A</t>
        </is>
      </c>
      <c r="L21102" s="11">
        <f>HYPERLINK("https://careerviet.vn/vi/tim-viec-lam/thiet-ke-do-hoa-game-tai-da-nang.35C6355C.html","Xem chi tiết")</f>
        <v/>
      </c>
      <c r="M21102" s="10" t="n"/>
    </row>
    <row r="21103">
      <c r="B21103" s="7" t="n">
        <v>21101</v>
      </c>
      <c r="C21103" t="inlineStr">
        <is>
          <t>[TP. HCM] Nhân Viên Kinh Doanh DigiTel (Telesales) - Khối Kinh doanh số và Hệ sinh thái chiến lược</t>
        </is>
      </c>
      <c r="D21103" t="inlineStr">
        <is>
          <t>Công Ty Tài Chính TNHH MB SHINSEI (MCREDIT)</t>
        </is>
      </c>
      <c r="E21103" t="inlineStr">
        <is>
          <t>Lương:5,6 Tr - 20 Tr VND</t>
        </is>
      </c>
      <c r="F21103" t="inlineStr">
        <is>
          <t>Hồ Chí Minh</t>
        </is>
      </c>
      <c r="G21103" t="inlineStr">
        <is>
          <t>3</t>
        </is>
      </c>
      <c r="H21103" t="inlineStr">
        <is>
          <t>20/03/2026</t>
        </is>
      </c>
      <c r="I21103" t="inlineStr">
        <is>
          <t>17/03/2026</t>
        </is>
      </c>
      <c r="J21103" t="inlineStr">
        <is>
          <t>Dịch vụ khách hàng, Tiếp thị trực tuyến, Bán hàng / Kinh doanh</t>
        </is>
      </c>
      <c r="K21103" t="inlineStr">
        <is>
          <t>N/A</t>
        </is>
      </c>
      <c r="L21103" s="8">
        <f>HYPERLINK("https://careerviet.vn/vi/tim-viec-lam/tp-hcm-nhan-vien-kinh-doanh-digitel-telesales-khoi-kinh-doanh-so-va-he-sinh-thai-chien-luoc.35C6605F.html","Xem chi tiết")</f>
        <v/>
      </c>
    </row>
    <row r="21104">
      <c r="B21104" s="9" t="n">
        <v>21102</v>
      </c>
      <c r="C21104" s="10" t="inlineStr">
        <is>
          <t>Trade Compliance Analyst (Nhân viên xuất nhập khẩu) - 14-month contract</t>
        </is>
      </c>
      <c r="D21104" s="10" t="inlineStr">
        <is>
          <t>SAMTEC VIETNAM COMPANY LIMITED</t>
        </is>
      </c>
      <c r="E21104" s="10" t="inlineStr">
        <is>
          <t>Lương:Cạnh tranh</t>
        </is>
      </c>
      <c r="F21104" s="10" t="inlineStr">
        <is>
          <t>Đồng Nai</t>
        </is>
      </c>
      <c r="G21104" s="10" t="inlineStr">
        <is>
          <t>3</t>
        </is>
      </c>
      <c r="H21104" s="10" t="inlineStr">
        <is>
          <t>20/03/2026</t>
        </is>
      </c>
      <c r="I21104" s="10" t="inlineStr">
        <is>
          <t>17/03/2026</t>
        </is>
      </c>
      <c r="J21104" s="10" t="inlineStr">
        <is>
          <t>Điện / Điện tử / Điện lạnh / Điện công nghiệp, Xuất nhập khẩu, Sản xuất / Vận hành sản xuất</t>
        </is>
      </c>
      <c r="K21104" s="10" t="inlineStr">
        <is>
          <t>Chưa có kinh nghiệm</t>
        </is>
      </c>
      <c r="L21104" s="11">
        <f>HYPERLINK("https://careerviet.vn/vi/tim-viec-lam/trade-compliance-analyst-nhan-vien-xuat-nhap-khau-14-month-contract.35C65EDB.html","Xem chi tiết")</f>
        <v/>
      </c>
      <c r="M21104" s="10" t="n"/>
    </row>
    <row r="21105">
      <c r="B21105" s="7" t="n">
        <v>21103</v>
      </c>
      <c r="C21105" t="inlineStr">
        <is>
          <t>Nhân viên bán hàng tại Lotte Mall Võ Chí Công và Lotte Liễu Giai (phù hợp với sinh viên/người đi làm)</t>
        </is>
      </c>
      <c r="D21105" t="inlineStr">
        <is>
          <t>Công Ty TNHH XNK Cầu Nối Việt</t>
        </is>
      </c>
      <c r="E21105" t="inlineStr">
        <is>
          <t>Lương:8 Tr - 9 Tr VND</t>
        </is>
      </c>
      <c r="F21105" t="inlineStr">
        <is>
          <t>Hà Nội</t>
        </is>
      </c>
      <c r="G21105" t="inlineStr">
        <is>
          <t>3</t>
        </is>
      </c>
      <c r="H21105" t="inlineStr">
        <is>
          <t>20/03/2026</t>
        </is>
      </c>
      <c r="I21105" t="inlineStr">
        <is>
          <t>17/03/2026</t>
        </is>
      </c>
      <c r="J21105" t="inlineStr">
        <is>
          <t>Bán lẻ / Bán sỉ, Bán hàng / Kinh doanh, Tiếp thị / Marketing</t>
        </is>
      </c>
      <c r="K21105" t="inlineStr">
        <is>
          <t>N/A</t>
        </is>
      </c>
      <c r="L21105" s="8">
        <f>HYPERLINK("https://careerviet.vn/vi/tim-viec-lam/nhan-vien-ban-hang-tai-lotte-mall-vo-chi-cong-va-lotte-lieu-giai-phu-hop-voi-sinh-vien-nguoi-di-lam.35C63629.html","Xem chi tiết")</f>
        <v/>
      </c>
    </row>
    <row r="21106">
      <c r="B21106" s="9" t="n">
        <v>21104</v>
      </c>
      <c r="C21106" s="10" t="inlineStr">
        <is>
          <t>TRƯỞNG NHÓM KỸ THUẬT ĐIỆN TỬ / TECHNICAL TEAM LEADER</t>
        </is>
      </c>
      <c r="D21106" s="10" t="inlineStr">
        <is>
          <t>CHI NHÁNH CÔNG TY TNHH DAEYOUNG EP VINA TẠI BÀ RỊA - VŨNG TÀU</t>
        </is>
      </c>
      <c r="E21106" s="10" t="inlineStr">
        <is>
          <t>Lương:12 Tr - 16 Tr VND</t>
        </is>
      </c>
      <c r="F21106" s="10" t="inlineStr">
        <is>
          <t>Bà Rịa - Vũng Tàu</t>
        </is>
      </c>
      <c r="G21106" s="10" t="inlineStr">
        <is>
          <t>3</t>
        </is>
      </c>
      <c r="H21106" s="10" t="inlineStr">
        <is>
          <t>20/03/2026</t>
        </is>
      </c>
      <c r="I21106" s="10" t="inlineStr">
        <is>
          <t>17/03/2026</t>
        </is>
      </c>
      <c r="J21106" s="10" t="inlineStr">
        <is>
          <t>Cơ khí / Ô tô / Tự động hóa, Sản xuất / Vận hành sản xuất, Điện / Điện tử / Điện lạnh / Điện công nghiệp</t>
        </is>
      </c>
      <c r="K21106" s="10" t="inlineStr">
        <is>
          <t>1 - 3 Năm</t>
        </is>
      </c>
      <c r="L21106" s="11">
        <f>HYPERLINK("https://careerviet.vn/vi/tim-viec-lam/truong-nhom-ky-thuat-dien-tu-technical-team-leader.35C65F1D.html","Xem chi tiết")</f>
        <v/>
      </c>
      <c r="M21106" s="10" t="n"/>
    </row>
    <row r="21107">
      <c r="B21107" s="7" t="n">
        <v>21105</v>
      </c>
      <c r="C21107" t="inlineStr">
        <is>
          <t>Nhân Viên Designer &amp; Marketing</t>
        </is>
      </c>
      <c r="D21107" t="inlineStr">
        <is>
          <t>Công Ty Tài Chính TNHH Một Thành Viên Quốc Tế Việt Nam JACCS</t>
        </is>
      </c>
      <c r="E21107" t="inlineStr">
        <is>
          <t>Lương:10 Tr - 12 Tr VND</t>
        </is>
      </c>
      <c r="F21107" t="inlineStr">
        <is>
          <t>Hồ Chí Minh</t>
        </is>
      </c>
      <c r="G21107" t="inlineStr">
        <is>
          <t>3</t>
        </is>
      </c>
      <c r="H21107" t="inlineStr">
        <is>
          <t>20/03/2026</t>
        </is>
      </c>
      <c r="I21107" t="inlineStr">
        <is>
          <t>17/03/2026</t>
        </is>
      </c>
      <c r="J21107" t="inlineStr">
        <is>
          <t>Mỹ thuật / Nghệ thuật / Thiết kế</t>
        </is>
      </c>
      <c r="K21107" t="inlineStr">
        <is>
          <t>1 - 2 Năm</t>
        </is>
      </c>
      <c r="L21107" s="8">
        <f>HYPERLINK("https://careerviet.vn/vi/tim-viec-lam/nhan-vien-designer-marketing.35C65F9E.html","Xem chi tiết")</f>
        <v/>
      </c>
    </row>
    <row r="21108">
      <c r="B21108" s="9" t="n">
        <v>21106</v>
      </c>
      <c r="C21108" s="10" t="inlineStr">
        <is>
          <t>CHUYÊN VIÊN TUYỂN DỤNG TIẾNG TRUNG</t>
        </is>
      </c>
      <c r="D21108" s="10" t="inlineStr">
        <is>
          <t>CÔNG TY TNHH YIMI J&amp;T CARGO TRANSPORTATION</t>
        </is>
      </c>
      <c r="E21108" s="10" t="inlineStr">
        <is>
          <t>Lương:14 Tr - 17 Tr VND</t>
        </is>
      </c>
      <c r="F21108" s="10" t="inlineStr">
        <is>
          <t>Hồ Chí Minh</t>
        </is>
      </c>
      <c r="G21108" s="10" t="inlineStr">
        <is>
          <t>3</t>
        </is>
      </c>
      <c r="H21108" s="10" t="inlineStr">
        <is>
          <t>20/03/2026</t>
        </is>
      </c>
      <c r="I21108" s="10" t="inlineStr">
        <is>
          <t>17/03/2026</t>
        </is>
      </c>
      <c r="J21108" s="10" t="inlineStr">
        <is>
          <t>Hành chính / Thư ký, Nhân sự, Biên phiên dịch</t>
        </is>
      </c>
      <c r="K21108" s="10" t="inlineStr">
        <is>
          <t>Trên 1 Năm</t>
        </is>
      </c>
      <c r="L21108" s="11">
        <f>HYPERLINK("https://careerviet.vn/vi/tim-viec-lam/chuyen-vien-tuyen-dung-tieng-trung.35C63659.html","Xem chi tiết")</f>
        <v/>
      </c>
      <c r="M21108" s="10" t="n"/>
    </row>
    <row r="21109">
      <c r="B21109" s="7" t="n">
        <v>21107</v>
      </c>
      <c r="C21109" t="inlineStr">
        <is>
          <t>Executive Assistant to Chairman</t>
        </is>
      </c>
      <c r="D21109" t="inlineStr">
        <is>
          <t>Công Ty Cổ Phần Tập Đoàn Đầu Tư Địa Ốc No Va</t>
        </is>
      </c>
      <c r="E21109" t="inlineStr">
        <is>
          <t>Lương:Cạnh tranh</t>
        </is>
      </c>
      <c r="F21109" t="inlineStr">
        <is>
          <t>Hồ Chí Minh</t>
        </is>
      </c>
      <c r="G21109" t="inlineStr">
        <is>
          <t>3</t>
        </is>
      </c>
      <c r="H21109" t="inlineStr">
        <is>
          <t>20/03/2026</t>
        </is>
      </c>
      <c r="I21109" t="inlineStr">
        <is>
          <t>17/03/2026</t>
        </is>
      </c>
      <c r="J21109" t="inlineStr">
        <is>
          <t>Hành chính / Thư ký, Quảng cáo / Đối ngoại / Truyền Thông, Bất động sản</t>
        </is>
      </c>
      <c r="K21109" t="inlineStr">
        <is>
          <t>5 - 8 Năm</t>
        </is>
      </c>
      <c r="L21109" s="8">
        <f>HYPERLINK("https://careerviet.vn/vi/tim-viec-lam/executive-assistant-to-chairman.35C65E85.html","Xem chi tiết")</f>
        <v/>
      </c>
    </row>
    <row r="21110">
      <c r="B21110" s="9" t="n">
        <v>21108</v>
      </c>
      <c r="C21110" s="10" t="inlineStr">
        <is>
          <t>Trưởng nhóm Phát hành phim</t>
        </is>
      </c>
      <c r="D21110" s="10" t="inlineStr">
        <is>
          <t>Beta Group</t>
        </is>
      </c>
      <c r="E21110" s="10" t="inlineStr">
        <is>
          <t>Lương:27 Tr - 35 Tr VND</t>
        </is>
      </c>
      <c r="F21110" s="10" t="inlineStr">
        <is>
          <t>Hồ Chí Minh</t>
        </is>
      </c>
      <c r="G21110" s="10" t="inlineStr">
        <is>
          <t>3</t>
        </is>
      </c>
      <c r="H21110" s="10" t="inlineStr">
        <is>
          <t>20/03/2026</t>
        </is>
      </c>
      <c r="I21110" s="10" t="inlineStr">
        <is>
          <t>17/03/2026</t>
        </is>
      </c>
      <c r="J21110" s="10" t="inlineStr">
        <is>
          <t>Dịch vụ khách hàng, Giải trí, Truyền hình / Báo chí / Biên tập</t>
        </is>
      </c>
      <c r="K21110" s="10" t="inlineStr">
        <is>
          <t>2 - 5 Năm</t>
        </is>
      </c>
      <c r="L21110" s="11">
        <f>HYPERLINK("https://careerviet.vn/vi/tim-viec-lam/truong-nhom-phat-hanh-phim.35C63655.html","Xem chi tiết")</f>
        <v/>
      </c>
      <c r="M21110" s="10" t="n"/>
    </row>
    <row r="21111">
      <c r="B21111" s="7" t="n">
        <v>21109</v>
      </c>
      <c r="C21111" t="inlineStr">
        <is>
          <t>Nhân viên Hành chính Tổng vụ (Quản lý Ký túc xá) -Tiếng Trung</t>
        </is>
      </c>
      <c r="D21111" t="inlineStr">
        <is>
          <t>CÔNG TY TNHH ELECTRONIC TRIPOD VIỆT NAM (CHÂU ĐỨC)</t>
        </is>
      </c>
      <c r="E21111" t="inlineStr">
        <is>
          <t>Lương:Cạnh tranh</t>
        </is>
      </c>
      <c r="F21111" t="inlineStr">
        <is>
          <t>Bà Rịa - Vũng Tàu</t>
        </is>
      </c>
      <c r="G21111" t="inlineStr">
        <is>
          <t>3</t>
        </is>
      </c>
      <c r="H21111" t="inlineStr">
        <is>
          <t>20/03/2026</t>
        </is>
      </c>
      <c r="I21111" t="inlineStr">
        <is>
          <t>17/03/2026</t>
        </is>
      </c>
      <c r="J21111" t="inlineStr">
        <is>
          <t>Hành chính / Thư ký, Nhân sự, Quản lý điều hành</t>
        </is>
      </c>
      <c r="K21111" t="inlineStr">
        <is>
          <t>Lên đến 1 Năm</t>
        </is>
      </c>
      <c r="L21111" s="8">
        <f>HYPERLINK("https://careerviet.vn/vi/tim-viec-lam/nhan-vien-hanh-chinh-tong-vu-quan-ly-ky-tuc-xa-tieng-trung.35C65F0F.html","Xem chi tiết")</f>
        <v/>
      </c>
    </row>
    <row r="21112">
      <c r="B21112" s="9" t="n">
        <v>21110</v>
      </c>
      <c r="C21112" s="10" t="inlineStr">
        <is>
          <t>Channel Growth Manager</t>
        </is>
      </c>
      <c r="D21112" s="10" t="inlineStr">
        <is>
          <t>CÔNG TY CỔ PHẦN CITICS</t>
        </is>
      </c>
      <c r="E21112" s="10" t="inlineStr">
        <is>
          <t>Lương:20 Tr - 40 Tr VND</t>
        </is>
      </c>
      <c r="F21112" s="10" t="inlineStr">
        <is>
          <t>Hồ Chí Minh</t>
        </is>
      </c>
      <c r="G21112" s="10" t="inlineStr">
        <is>
          <t>3</t>
        </is>
      </c>
      <c r="H21112" s="10" t="inlineStr">
        <is>
          <t>20/03/2026</t>
        </is>
      </c>
      <c r="I21112" s="10" t="inlineStr">
        <is>
          <t>17/03/2026</t>
        </is>
      </c>
      <c r="J21112" s="10" t="inlineStr">
        <is>
          <t>Ngân hàng, Tài chính / Đầu tư</t>
        </is>
      </c>
      <c r="K21112" s="10" t="inlineStr">
        <is>
          <t>4 - 5 Năm</t>
        </is>
      </c>
      <c r="L21112" s="11">
        <f>HYPERLINK("https://careerviet.vn/vi/tim-viec-lam/channel-growth-manager.35C66064.html","Xem chi tiết")</f>
        <v/>
      </c>
      <c r="M21112" s="10" t="n"/>
    </row>
    <row r="21113">
      <c r="B21113" s="7" t="n">
        <v>21111</v>
      </c>
      <c r="C21113" t="inlineStr">
        <is>
          <t>Cần Thơ - Chuyên viên Quan hệ Khách hàng cá nhân</t>
        </is>
      </c>
      <c r="D21113" t="inlineStr">
        <is>
          <t>Ngân hàng TMCP Lộc Phát Việt Nam (LPBank)</t>
        </is>
      </c>
      <c r="E21113" t="inlineStr">
        <is>
          <t>Lương:Cạnh tranh</t>
        </is>
      </c>
      <c r="F21113" t="inlineStr">
        <is>
          <t>Cần Thơ</t>
        </is>
      </c>
      <c r="G21113" t="inlineStr">
        <is>
          <t>3</t>
        </is>
      </c>
      <c r="H21113" t="inlineStr">
        <is>
          <t>20/03/2026</t>
        </is>
      </c>
      <c r="I21113" t="inlineStr">
        <is>
          <t>17/03/2026</t>
        </is>
      </c>
      <c r="J21113" t="inlineStr">
        <is>
          <t>Bán hàng / Kinh doanh, Kế toán / Kiểm toán, Ngân hàng</t>
        </is>
      </c>
      <c r="K21113" t="inlineStr">
        <is>
          <t>Trên 1 Năm</t>
        </is>
      </c>
      <c r="L21113" s="8">
        <f>HYPERLINK("https://careerviet.vn/vi/tim-viec-lam/can-tho-chuyen-vien-quan-he-khach-hang-ca-nhan.35C65F7C.html","Xem chi tiết")</f>
        <v/>
      </c>
    </row>
    <row r="21114">
      <c r="B21114" s="9" t="n">
        <v>21112</v>
      </c>
      <c r="C21114" s="10" t="inlineStr">
        <is>
          <t>Nhân Viên Lập Trình</t>
        </is>
      </c>
      <c r="D21114" s="10" t="inlineStr">
        <is>
          <t>Công Ty Cổ phần Tập Đoàn KIDO</t>
        </is>
      </c>
      <c r="E21114" s="10" t="inlineStr">
        <is>
          <t>Lương:Cạnh tranh</t>
        </is>
      </c>
      <c r="F21114" s="10" t="inlineStr">
        <is>
          <t>Hồ Chí Minh</t>
        </is>
      </c>
      <c r="G21114" s="10" t="inlineStr">
        <is>
          <t>3</t>
        </is>
      </c>
      <c r="H21114" s="10" t="inlineStr">
        <is>
          <t>20/03/2026</t>
        </is>
      </c>
      <c r="I21114" s="10" t="inlineStr">
        <is>
          <t>17/03/2026</t>
        </is>
      </c>
      <c r="J21114" s="10" t="inlineStr">
        <is>
          <t>CNTT - Phần cứng / Mạng</t>
        </is>
      </c>
      <c r="K21114" s="10" t="inlineStr">
        <is>
          <t>2 - 3 Năm</t>
        </is>
      </c>
      <c r="L21114" s="11">
        <f>HYPERLINK("https://careerviet.vn/vi/tim-viec-lam/nhan-vien-lap-trinh.35C65FD2.html","Xem chi tiết")</f>
        <v/>
      </c>
      <c r="M21114" s="10" t="n"/>
    </row>
    <row r="21115">
      <c r="B21115" s="7" t="n">
        <v>21113</v>
      </c>
      <c r="C21115" t="inlineStr">
        <is>
          <t>[PGD Cù Lao Dung] Chuyên viên Quan hệ Khách hàng cá nhân Priority</t>
        </is>
      </c>
      <c r="D21115" t="inlineStr">
        <is>
          <t>Ngân hàng TMCP Lộc Phát Việt Nam (LPBank)</t>
        </is>
      </c>
      <c r="E21115" t="inlineStr">
        <is>
          <t>Lương:Cạnh tranh</t>
        </is>
      </c>
      <c r="F21115" t="inlineStr">
        <is>
          <t>Sóc Trăng</t>
        </is>
      </c>
      <c r="G21115" t="inlineStr">
        <is>
          <t>3</t>
        </is>
      </c>
      <c r="H21115" t="inlineStr">
        <is>
          <t>20/03/2026</t>
        </is>
      </c>
      <c r="I21115" t="inlineStr">
        <is>
          <t>17/03/2026</t>
        </is>
      </c>
      <c r="J21115" t="inlineStr">
        <is>
          <t>Bán hàng / Kinh doanh, Bất động sản, Bảo hiểm</t>
        </is>
      </c>
      <c r="K21115" t="inlineStr">
        <is>
          <t>Trên 1 Năm</t>
        </is>
      </c>
      <c r="L21115" s="8">
        <f>HYPERLINK("https://careerviet.vn/vi/tim-viec-lam/pgd-cu-lao-dung-chuyen-vien-quan-he-khach-hang-ca-nhan-priority.35C65FA6.html","Xem chi tiết")</f>
        <v/>
      </c>
    </row>
    <row r="21116">
      <c r="B21116" s="9" t="n">
        <v>21114</v>
      </c>
      <c r="C21116" s="10" t="inlineStr">
        <is>
          <t>CVC/CVCC Quản lý hiệu quả Phòng Quản lý MAF - TA159</t>
        </is>
      </c>
      <c r="D21116" s="10" t="inlineStr">
        <is>
          <t>Ngân Hàng TMCP Việt Nam Thịnh Vượng - VPBANK</t>
        </is>
      </c>
      <c r="E21116" s="10" t="inlineStr">
        <is>
          <t>Lương:20 Tr - 50 Tr VND</t>
        </is>
      </c>
      <c r="F21116" s="10" t="inlineStr">
        <is>
          <t>Hà Nội</t>
        </is>
      </c>
      <c r="G21116" s="10" t="inlineStr">
        <is>
          <t>3</t>
        </is>
      </c>
      <c r="H21116" s="10" t="inlineStr">
        <is>
          <t>20/03/2026</t>
        </is>
      </c>
      <c r="I21116" s="10" t="inlineStr">
        <is>
          <t>17/03/2026</t>
        </is>
      </c>
      <c r="J21116" s="10" t="inlineStr">
        <is>
          <t>Ngân hàng, Tài chính / Đầu tư</t>
        </is>
      </c>
      <c r="K21116" s="10" t="inlineStr">
        <is>
          <t>Trên 3 Năm</t>
        </is>
      </c>
      <c r="L21116" s="11">
        <f>HYPERLINK("https://careerviet.vn/vi/tim-viec-lam/cvc-cvcc-quan-ly-hieu-qua-phong-quan-ly-maf-ta159.35C65C38.html","Xem chi tiết")</f>
        <v/>
      </c>
      <c r="M21116" s="10" t="n"/>
    </row>
    <row r="21117">
      <c r="B21117" s="7" t="n">
        <v>21115</v>
      </c>
      <c r="C21117" t="inlineStr">
        <is>
          <t>Admission Counselor (Cố Vấn Ứng Tuyển Đại Học)</t>
        </is>
      </c>
      <c r="D21117" t="inlineStr">
        <is>
          <t>Công ty Cổ phần Golden Path Academics Việt Nam (GPA)</t>
        </is>
      </c>
      <c r="E21117" t="inlineStr">
        <is>
          <t>Lương:15 Tr - 25 Tr VND</t>
        </is>
      </c>
      <c r="F21117" t="inlineStr">
        <is>
          <t>Hà Nội</t>
        </is>
      </c>
      <c r="G21117" t="inlineStr">
        <is>
          <t>3</t>
        </is>
      </c>
      <c r="H21117" t="inlineStr">
        <is>
          <t>20/03/2026</t>
        </is>
      </c>
      <c r="I21117" t="inlineStr">
        <is>
          <t>17/03/2026</t>
        </is>
      </c>
      <c r="J21117" t="inlineStr">
        <is>
          <t>Giáo dục / Đào tạo</t>
        </is>
      </c>
      <c r="K21117" t="inlineStr">
        <is>
          <t>Chưa có kinh nghiệm</t>
        </is>
      </c>
      <c r="L21117" s="8">
        <f>HYPERLINK("https://careerviet.vn/vi/tim-viec-lam/admission-counselor-co-van-ung-tuyen-dai-hoc.35C65FE7.html","Xem chi tiết")</f>
        <v/>
      </c>
    </row>
    <row r="21118">
      <c r="B21118" s="9" t="n">
        <v>21116</v>
      </c>
      <c r="C21118" s="10" t="inlineStr">
        <is>
          <t>KỸ SƯ CẦU ĐƯỜNG (Hạ tầng kỹ thuật)</t>
        </is>
      </c>
      <c r="D21118" s="10" t="inlineStr">
        <is>
          <t>TBS Land- Công ty Cổ Phần Đầu Tư Thái Bình</t>
        </is>
      </c>
      <c r="E21118" s="10" t="inlineStr">
        <is>
          <t>Lương:Cạnh tranh</t>
        </is>
      </c>
      <c r="F21118" s="10" t="inlineStr">
        <is>
          <t>Bình Dương</t>
        </is>
      </c>
      <c r="G21118" s="10" t="inlineStr">
        <is>
          <t>3</t>
        </is>
      </c>
      <c r="H21118" s="10" t="inlineStr">
        <is>
          <t>20/03/2026</t>
        </is>
      </c>
      <c r="I21118" s="10" t="inlineStr">
        <is>
          <t>17/03/2026</t>
        </is>
      </c>
      <c r="J21118" s="10" t="inlineStr">
        <is>
          <t>Xây dựng</t>
        </is>
      </c>
      <c r="K21118" s="10" t="inlineStr">
        <is>
          <t>5 - 7 Năm</t>
        </is>
      </c>
      <c r="L21118" s="11">
        <f>HYPERLINK("https://careerviet.vn/vi/tim-viec-lam/ky-su-cau-duong-ha-tang-ky-thuat.35C65FEC.html","Xem chi tiết")</f>
        <v/>
      </c>
      <c r="M21118" s="10" t="n"/>
    </row>
    <row r="21119">
      <c r="B21119" s="7" t="n">
        <v>21117</v>
      </c>
      <c r="C21119" t="inlineStr">
        <is>
          <t>Chief Financial Officer/ Giám Đốc Tài Chính</t>
        </is>
      </c>
      <c r="D21119" t="inlineStr">
        <is>
          <t>Công Ty Cổ Phần Phương Tiện Điện Thông Minh Selex</t>
        </is>
      </c>
      <c r="E21119" t="inlineStr">
        <is>
          <t>Lương:2.000 - 2.800 USD</t>
        </is>
      </c>
      <c r="F21119" t="inlineStr">
        <is>
          <t>Hà Nội</t>
        </is>
      </c>
      <c r="G21119" t="inlineStr">
        <is>
          <t>3</t>
        </is>
      </c>
      <c r="H21119" t="inlineStr">
        <is>
          <t>20/03/2026</t>
        </is>
      </c>
      <c r="I21119" t="inlineStr">
        <is>
          <t>17/03/2026</t>
        </is>
      </c>
      <c r="J21119" t="inlineStr">
        <is>
          <t>Kế toán / Kiểm toán, Tài chính / Đầu tư</t>
        </is>
      </c>
      <c r="K21119" t="inlineStr">
        <is>
          <t>7 - 10 Năm</t>
        </is>
      </c>
      <c r="L21119" s="8">
        <f>HYPERLINK("https://careerviet.vn/vi/tim-viec-lam/chief-financial-officer-giam-doc-tai-chinh.35C6369B.html","Xem chi tiết")</f>
        <v/>
      </c>
    </row>
    <row r="21120">
      <c r="B21120" s="9" t="n">
        <v>21118</v>
      </c>
      <c r="C21120" s="10" t="inlineStr">
        <is>
          <t>Nhân viên IT (Làm việc tại Long An)</t>
        </is>
      </c>
      <c r="D21120" s="10" t="inlineStr">
        <is>
          <t>Công ty TNHH Yura Corporation Vina</t>
        </is>
      </c>
      <c r="E21120" s="10" t="inlineStr">
        <is>
          <t>Lương:Cạnh tranh</t>
        </is>
      </c>
      <c r="F21120" s="10" t="inlineStr">
        <is>
          <t>Long An</t>
        </is>
      </c>
      <c r="G21120" s="10" t="inlineStr">
        <is>
          <t>3</t>
        </is>
      </c>
      <c r="H21120" s="10" t="inlineStr">
        <is>
          <t>20/03/2026</t>
        </is>
      </c>
      <c r="I21120" s="10" t="inlineStr">
        <is>
          <t>17/03/2026</t>
        </is>
      </c>
      <c r="J21120" s="10" t="inlineStr">
        <is>
          <t>Quản lý điều hành</t>
        </is>
      </c>
      <c r="K21120" s="10" t="inlineStr">
        <is>
          <t>3 - 5 Năm</t>
        </is>
      </c>
      <c r="L21120" s="11">
        <f>HYPERLINK("https://careerviet.vn/vi/tim-viec-lam/nhan-vien-it-lam-viec-tai-long-an.35C65FDA.html","Xem chi tiết")</f>
        <v/>
      </c>
      <c r="M21120" s="10" t="n"/>
    </row>
    <row r="21121">
      <c r="B21121" s="7" t="n">
        <v>21119</v>
      </c>
      <c r="C21121" t="inlineStr">
        <is>
          <t>PHÓ PHÒNG QA (CƠ KHÍ CHẾ TẠO MÁY)</t>
        </is>
      </c>
      <c r="D21121" t="inlineStr">
        <is>
          <t>CÔNG TY CỔ PHẦN TẬP ĐOÀN CÔNG NGHỆ IDEA</t>
        </is>
      </c>
      <c r="E21121" t="inlineStr">
        <is>
          <t>Lương:Cạnh tranh</t>
        </is>
      </c>
      <c r="F21121" t="inlineStr">
        <is>
          <t>Hồ Chí Minh</t>
        </is>
      </c>
      <c r="G21121" t="inlineStr">
        <is>
          <t>3</t>
        </is>
      </c>
      <c r="H21121" t="inlineStr">
        <is>
          <t>20/03/2026</t>
        </is>
      </c>
      <c r="I21121" t="inlineStr">
        <is>
          <t>17/03/2026</t>
        </is>
      </c>
      <c r="J21121" t="inlineStr">
        <is>
          <t>Cơ khí / Ô tô / Tự động hóa, Điện / Điện tử / Điện lạnh / Điện công nghiệp, Quản lý chất lượng (QA/QC)</t>
        </is>
      </c>
      <c r="K21121" t="inlineStr">
        <is>
          <t>5 - 10 Năm</t>
        </is>
      </c>
      <c r="L21121" s="8">
        <f>HYPERLINK("https://careerviet.vn/vi/tim-viec-lam/pho-phong-qa-co-khi-che-tao-may.35C63678.html","Xem chi tiết")</f>
        <v/>
      </c>
    </row>
    <row r="21122">
      <c r="B21122" s="9" t="n">
        <v>21120</v>
      </c>
      <c r="C21122" s="10" t="inlineStr">
        <is>
          <t>Trưởng Phòng Phụ Trách Bảo Hành Dự Án BRVT</t>
        </is>
      </c>
      <c r="D21122" s="10" t="inlineStr">
        <is>
          <t>Công Ty Cổ Phần Tập Đoàn Đầu Tư Địa Ốc No Va</t>
        </is>
      </c>
      <c r="E21122" s="10" t="inlineStr">
        <is>
          <t>Lương:Cạnh tranh</t>
        </is>
      </c>
      <c r="F21122" s="10" t="inlineStr">
        <is>
          <t>Bà Rịa - Vũng Tàu</t>
        </is>
      </c>
      <c r="G21122" s="10" t="inlineStr">
        <is>
          <t>3</t>
        </is>
      </c>
      <c r="H21122" s="10" t="inlineStr">
        <is>
          <t>20/03/2026</t>
        </is>
      </c>
      <c r="I21122" s="10" t="inlineStr">
        <is>
          <t>17/03/2026</t>
        </is>
      </c>
      <c r="J21122" s="10" t="inlineStr">
        <is>
          <t>Bảo trì / Sửa chữa</t>
        </is>
      </c>
      <c r="K21122" s="10" t="inlineStr">
        <is>
          <t>10 - 20 Năm</t>
        </is>
      </c>
      <c r="L21122" s="11">
        <f>HYPERLINK("https://careerviet.vn/vi/tim-viec-lam/truong-phong-phu-trach-bao-hanh-du-an-brvt.35C65F9D.html","Xem chi tiết")</f>
        <v/>
      </c>
      <c r="M21122" s="10" t="n"/>
    </row>
    <row r="21123">
      <c r="B21123" s="7" t="n">
        <v>21121</v>
      </c>
      <c r="C21123" t="inlineStr">
        <is>
          <t>CHUYÊN VIÊN THU MUA - FMCG</t>
        </is>
      </c>
      <c r="D21123" t="inlineStr">
        <is>
          <t>Công Ty Cổ Phần Phúc Sinh</t>
        </is>
      </c>
      <c r="E21123" t="inlineStr">
        <is>
          <t>Lương:Cạnh tranh</t>
        </is>
      </c>
      <c r="F21123" t="inlineStr">
        <is>
          <t>Hồ Chí Minh</t>
        </is>
      </c>
      <c r="G21123" t="inlineStr">
        <is>
          <t>3</t>
        </is>
      </c>
      <c r="H21123" t="inlineStr">
        <is>
          <t>20/03/2026</t>
        </is>
      </c>
      <c r="I21123" t="inlineStr">
        <is>
          <t>17/03/2026</t>
        </is>
      </c>
      <c r="J21123" t="inlineStr">
        <is>
          <t>Hành chính / Thư ký, Nhân sự, Thu mua / Vật tư</t>
        </is>
      </c>
      <c r="K21123" t="inlineStr">
        <is>
          <t>3 - 5 Năm</t>
        </is>
      </c>
      <c r="L21123" s="8">
        <f>HYPERLINK("https://careerviet.vn/vi/tim-viec-lam/chuyen-vien-thu-mua-fmcg.35C6600A.html","Xem chi tiết")</f>
        <v/>
      </c>
    </row>
    <row r="21124">
      <c r="B21124" s="9" t="n">
        <v>21122</v>
      </c>
      <c r="C21124" s="10" t="inlineStr">
        <is>
          <t>KỸ SƯ ĐIỆN TỰ ĐỘNG HÓA (CNN)</t>
        </is>
      </c>
      <c r="D21124" s="10" t="inlineStr">
        <is>
          <t>ADC PLASTIC,. JSC</t>
        </is>
      </c>
      <c r="E21124" s="10" t="inlineStr">
        <is>
          <t>Lương:12 Tr - 20 Tr VND</t>
        </is>
      </c>
      <c r="F21124" s="10" t="inlineStr">
        <is>
          <t>Hưng Yên</t>
        </is>
      </c>
      <c r="G21124" s="10" t="inlineStr">
        <is>
          <t>3</t>
        </is>
      </c>
      <c r="H21124" s="10" t="inlineStr">
        <is>
          <t>20/03/2026</t>
        </is>
      </c>
      <c r="I21124" s="10" t="inlineStr">
        <is>
          <t>17/03/2026</t>
        </is>
      </c>
      <c r="J21124" s="10" t="inlineStr">
        <is>
          <t>Cơ khí / Ô tô / Tự động hóa, Điện / Điện tử / Điện lạnh / Điện công nghiệp, Bảo trì / Sửa chữa</t>
        </is>
      </c>
      <c r="K21124" s="10" t="inlineStr">
        <is>
          <t>5 - 10 Năm</t>
        </is>
      </c>
      <c r="L21124" s="11">
        <f>HYPERLINK("https://careerviet.vn/vi/tim-viec-lam/ky-su-dien-tu-dong-hoa-cnn.35C65F8E.html","Xem chi tiết")</f>
        <v/>
      </c>
      <c r="M21124" s="10" t="n"/>
    </row>
    <row r="21125">
      <c r="B21125" s="7" t="n">
        <v>21123</v>
      </c>
      <c r="C21125" t="inlineStr">
        <is>
          <t>Group Internal Control Lead</t>
        </is>
      </c>
      <c r="D21125" t="inlineStr">
        <is>
          <t>Openasia Group</t>
        </is>
      </c>
      <c r="E21125" t="inlineStr">
        <is>
          <t>Lương:Cạnh tranh</t>
        </is>
      </c>
      <c r="F21125" t="inlineStr">
        <is>
          <t>Hà Nội</t>
        </is>
      </c>
      <c r="G21125" t="inlineStr">
        <is>
          <t>3</t>
        </is>
      </c>
      <c r="H21125" t="inlineStr">
        <is>
          <t>20/03/2026</t>
        </is>
      </c>
      <c r="I21125" t="inlineStr">
        <is>
          <t>17/03/2026</t>
        </is>
      </c>
      <c r="J21125" t="inlineStr">
        <is>
          <t>Kế toán / Kiểm toán</t>
        </is>
      </c>
      <c r="K21125" t="inlineStr">
        <is>
          <t>5 - 7 Năm</t>
        </is>
      </c>
      <c r="L21125" s="8">
        <f>HYPERLINK("https://careerviet.vn/vi/tim-viec-lam/group-internal-control-lead.35C66063.html","Xem chi tiết")</f>
        <v/>
      </c>
    </row>
    <row r="21126">
      <c r="B21126" s="9" t="n">
        <v>21124</v>
      </c>
      <c r="C21126" s="10" t="inlineStr">
        <is>
          <t>Giám Sát Xây Dựng</t>
        </is>
      </c>
      <c r="D21126" s="10" t="inlineStr">
        <is>
          <t>CÔNG TY CỔ PHẦN THIẾT KẾ VÀ XÂY DỰNG ONECONS</t>
        </is>
      </c>
      <c r="E21126" s="10" t="inlineStr">
        <is>
          <t>Lương:20 Tr - 25 Tr VND</t>
        </is>
      </c>
      <c r="F21126" s="10" t="inlineStr">
        <is>
          <t>Hồ Chí Minh</t>
        </is>
      </c>
      <c r="G21126" s="10" t="inlineStr">
        <is>
          <t>3</t>
        </is>
      </c>
      <c r="H21126" s="10" t="inlineStr">
        <is>
          <t>20/03/2026</t>
        </is>
      </c>
      <c r="I21126" s="10" t="inlineStr">
        <is>
          <t>17/03/2026</t>
        </is>
      </c>
      <c r="J21126" s="10" t="inlineStr">
        <is>
          <t>Quản lý điều hành, Kiến trúc, Xây dựng</t>
        </is>
      </c>
      <c r="K21126" s="10" t="inlineStr">
        <is>
          <t>3 - 7 Năm</t>
        </is>
      </c>
      <c r="L21126" s="11">
        <f>HYPERLINK("https://careerviet.vn/vi/tim-viec-lam/giam-sat-xay-dung.35C66029.html","Xem chi tiết")</f>
        <v/>
      </c>
      <c r="M21126" s="10" t="n"/>
    </row>
    <row r="21127">
      <c r="B21127" s="7" t="n">
        <v>21125</v>
      </c>
      <c r="C21127" t="inlineStr">
        <is>
          <t>Nhân viên chất lượng</t>
        </is>
      </c>
      <c r="D21127" t="inlineStr">
        <is>
          <t>CÔNG TY TNHH MGENTECH</t>
        </is>
      </c>
      <c r="E21127" t="inlineStr">
        <is>
          <t>Lương:8 Tr - 14 Tr VND</t>
        </is>
      </c>
      <c r="F21127" t="inlineStr">
        <is>
          <t>Long An</t>
        </is>
      </c>
      <c r="G21127" t="inlineStr">
        <is>
          <t>3</t>
        </is>
      </c>
      <c r="H21127" t="inlineStr">
        <is>
          <t>20/03/2026</t>
        </is>
      </c>
      <c r="I21127" t="inlineStr">
        <is>
          <t>17/03/2026</t>
        </is>
      </c>
      <c r="J21127" t="inlineStr">
        <is>
          <t>Sản xuất / Vận hành sản xuất</t>
        </is>
      </c>
      <c r="K21127" t="inlineStr">
        <is>
          <t>1 - 2 Năm</t>
        </is>
      </c>
      <c r="L21127" s="8">
        <f>HYPERLINK("https://careerviet.vn/vi/tim-viec-lam/nhan-vien-chat-luong.35C63644.html","Xem chi tiết")</f>
        <v/>
      </c>
    </row>
    <row r="21128">
      <c r="B21128" s="9" t="n">
        <v>21126</v>
      </c>
      <c r="C21128" s="10" t="inlineStr">
        <is>
          <t>NSG - Chuyên gia Tổ chức Bảo trì Kỹ thuật</t>
        </is>
      </c>
      <c r="D21128" s="10" t="inlineStr">
        <is>
          <t>Nova Service Group - Công ty Cổ phần Tập đoàn Nova Services</t>
        </is>
      </c>
      <c r="E21128" s="10" t="inlineStr">
        <is>
          <t>Lương:Cạnh tranh</t>
        </is>
      </c>
      <c r="F21128" s="10" t="inlineStr">
        <is>
          <t>Hồ Chí Minh</t>
        </is>
      </c>
      <c r="G21128" s="10" t="inlineStr">
        <is>
          <t>3</t>
        </is>
      </c>
      <c r="H21128" s="10" t="inlineStr">
        <is>
          <t>20/03/2026</t>
        </is>
      </c>
      <c r="I21128" s="10" t="inlineStr">
        <is>
          <t>17/03/2026</t>
        </is>
      </c>
      <c r="J21128" s="10" t="inlineStr">
        <is>
          <t>Bảo trì / Sửa chữa, Bất động sản</t>
        </is>
      </c>
      <c r="K21128" s="10" t="inlineStr">
        <is>
          <t>6 - 8 Năm</t>
        </is>
      </c>
      <c r="L21128" s="11">
        <f>HYPERLINK("https://careerviet.vn/vi/tim-viec-lam/nsg-chuyen-gia-to-chuc-bao-tri-ky-thuat.35C66002.html","Xem chi tiết")</f>
        <v/>
      </c>
      <c r="M21128" s="10" t="n"/>
    </row>
    <row r="21129">
      <c r="B21129" s="7" t="n">
        <v>21127</v>
      </c>
      <c r="C21129" t="inlineStr">
        <is>
          <t>Material controller</t>
        </is>
      </c>
      <c r="D21129" t="inlineStr">
        <is>
          <t>Công Ty TNHH CJ Foods Việt Nam</t>
        </is>
      </c>
      <c r="E21129" t="inlineStr">
        <is>
          <t>Lương:Cạnh tranh</t>
        </is>
      </c>
      <c r="F21129" t="inlineStr">
        <is>
          <t>Bà Rịa - Vũng Tàu</t>
        </is>
      </c>
      <c r="G21129" t="inlineStr">
        <is>
          <t>3</t>
        </is>
      </c>
      <c r="H21129" t="inlineStr">
        <is>
          <t>20/03/2026</t>
        </is>
      </c>
      <c r="I21129" t="inlineStr">
        <is>
          <t>17/03/2026</t>
        </is>
      </c>
      <c r="J21129" t="inlineStr">
        <is>
          <t>Sản xuất / Vận hành sản xuất</t>
        </is>
      </c>
      <c r="K21129" t="inlineStr">
        <is>
          <t>2 - 5 Năm</t>
        </is>
      </c>
      <c r="L21129" s="8">
        <f>HYPERLINK("https://careerviet.vn/vi/tim-viec-lam/material-controller.35C66083.html","Xem chi tiết")</f>
        <v/>
      </c>
    </row>
    <row r="21130">
      <c r="B21130" s="9" t="n">
        <v>21128</v>
      </c>
      <c r="C21130" s="10" t="inlineStr">
        <is>
          <t>Nhân Viên Mua Hàng</t>
        </is>
      </c>
      <c r="D21130" s="10" t="inlineStr">
        <is>
          <t>CÔNG TY CỔ PHẦN VẬT LIỆU VĨNH TÂN</t>
        </is>
      </c>
      <c r="E21130" s="10" t="inlineStr">
        <is>
          <t>Lương:10 Tr - 15 Tr VND</t>
        </is>
      </c>
      <c r="F21130" s="10" t="inlineStr">
        <is>
          <t>Bắc Ninh</t>
        </is>
      </c>
      <c r="G21130" s="10" t="inlineStr">
        <is>
          <t>3</t>
        </is>
      </c>
      <c r="H21130" s="10" t="inlineStr">
        <is>
          <t>20/03/2026</t>
        </is>
      </c>
      <c r="I21130" s="10" t="inlineStr">
        <is>
          <t>17/03/2026</t>
        </is>
      </c>
      <c r="J21130" s="10" t="inlineStr">
        <is>
          <t>Bán hàng / Kinh doanh, Tài chính / Đầu tư, Thu mua / Vật tư</t>
        </is>
      </c>
      <c r="K21130" s="10" t="inlineStr">
        <is>
          <t>1 - 2 Năm</t>
        </is>
      </c>
      <c r="L21130" s="11">
        <f>HYPERLINK("https://careerviet.vn/vi/tim-viec-lam/nhan-vien-mua-hang.35C65ECB.html","Xem chi tiết")</f>
        <v/>
      </c>
      <c r="M21130" s="10" t="n"/>
    </row>
    <row r="21131">
      <c r="B21131" s="7" t="n">
        <v>21129</v>
      </c>
      <c r="C21131" t="inlineStr">
        <is>
          <t>Chuyên viên Tính lương (Payroll Specialist - Outsourcing)</t>
        </is>
      </c>
      <c r="D21131" t="inlineStr">
        <is>
          <t>Công ty TNHH Sản xuất Thương mại &amp; Dịch vụ Hoa Xinh</t>
        </is>
      </c>
      <c r="E21131" t="inlineStr">
        <is>
          <t>Lương:18 Tr - 25 Tr VND</t>
        </is>
      </c>
      <c r="F21131" t="inlineStr">
        <is>
          <t>Hồ Chí Minh</t>
        </is>
      </c>
      <c r="G21131" t="inlineStr">
        <is>
          <t>3</t>
        </is>
      </c>
      <c r="H21131" t="inlineStr">
        <is>
          <t>20/03/2026</t>
        </is>
      </c>
      <c r="I21131" t="inlineStr">
        <is>
          <t>17/03/2026</t>
        </is>
      </c>
      <c r="J21131" t="inlineStr">
        <is>
          <t>Dịch vụ khách hàng, Hành chính / Thư ký, Nhân sự</t>
        </is>
      </c>
      <c r="K21131" t="inlineStr">
        <is>
          <t>2 - 5 Năm</t>
        </is>
      </c>
      <c r="L21131" s="8">
        <f>HYPERLINK("https://careerviet.vn/vi/tim-viec-lam/chuyen-vien-tinh-luong-payroll-specialist-outsourcing.35C66043.html","Xem chi tiết")</f>
        <v/>
      </c>
    </row>
    <row r="21132">
      <c r="B21132" s="9" t="n">
        <v>21130</v>
      </c>
      <c r="C21132" s="10" t="inlineStr">
        <is>
          <t>Quản Lý Cửa Hàng - Lotte West Lake Hà Nội</t>
        </is>
      </c>
      <c r="D21132" s="10" t="inlineStr">
        <is>
          <t>Công ty TNHH Sản xuất Thương mại &amp; Dịch vụ Hoa Xinh</t>
        </is>
      </c>
      <c r="E21132" s="10" t="inlineStr">
        <is>
          <t>Lương:16 Tr - 30 Tr VND</t>
        </is>
      </c>
      <c r="F21132" s="10" t="inlineStr">
        <is>
          <t>Hà Nội</t>
        </is>
      </c>
      <c r="G21132" s="10" t="inlineStr">
        <is>
          <t>3</t>
        </is>
      </c>
      <c r="H21132" s="10" t="inlineStr">
        <is>
          <t>20/03/2026</t>
        </is>
      </c>
      <c r="I21132" s="10" t="inlineStr">
        <is>
          <t>17/03/2026</t>
        </is>
      </c>
      <c r="J21132" s="10" t="inlineStr">
        <is>
          <t>Bán lẻ / Bán sỉ, Dược phẩm/ Hóa Mỹ Phẩm, Dệt may / Da giày / Thời trang</t>
        </is>
      </c>
      <c r="K21132" s="10" t="inlineStr">
        <is>
          <t>1 - 10 Năm</t>
        </is>
      </c>
      <c r="L21132" s="11">
        <f>HYPERLINK("https://careerviet.vn/vi/tim-viec-lam/quan-ly-cua-hang-lotte-west-lake-ha-noi.35C65EBE.html","Xem chi tiết")</f>
        <v/>
      </c>
      <c r="M21132" s="10" t="n"/>
    </row>
    <row r="21133">
      <c r="B21133" s="7" t="n">
        <v>21131</v>
      </c>
      <c r="C21133" t="inlineStr">
        <is>
          <t>Chuyên viên Tuyển dụng</t>
        </is>
      </c>
      <c r="D21133" t="inlineStr">
        <is>
          <t>CÔNG TY CỔ PHẦN TẬP ĐOÀN WON GROUP</t>
        </is>
      </c>
      <c r="E21133" t="inlineStr">
        <is>
          <t>Lương:10 Tr - 15 Tr VND</t>
        </is>
      </c>
      <c r="F21133" t="inlineStr">
        <is>
          <t>Hà Nội</t>
        </is>
      </c>
      <c r="G21133" t="inlineStr">
        <is>
          <t>3</t>
        </is>
      </c>
      <c r="H21133" t="inlineStr">
        <is>
          <t>20/03/2026</t>
        </is>
      </c>
      <c r="I21133" t="inlineStr">
        <is>
          <t>17/03/2026</t>
        </is>
      </c>
      <c r="J21133" t="inlineStr">
        <is>
          <t>Hành chính / Thư ký, Nhân sự</t>
        </is>
      </c>
      <c r="K21133" t="inlineStr">
        <is>
          <t>Chưa có kinh nghiệm</t>
        </is>
      </c>
      <c r="L21133" s="8">
        <f>HYPERLINK("https://careerviet.vn/vi/tim-viec-lam/chuyen-vien-tuyen-dung.35C63667.html","Xem chi tiết")</f>
        <v/>
      </c>
    </row>
    <row r="21134">
      <c r="B21134" s="9" t="n">
        <v>21132</v>
      </c>
      <c r="C21134" s="10" t="inlineStr">
        <is>
          <t>RB - TT GPTT - P.Vận Hành - CVCC/GĐ Quản Lý Dự Án</t>
        </is>
      </c>
      <c r="D21134" s="10" t="inlineStr">
        <is>
          <t>Ngân Hàng TMCP Phương Đông - OCB</t>
        </is>
      </c>
      <c r="E21134" s="10" t="inlineStr">
        <is>
          <t>Lương:Cạnh tranh</t>
        </is>
      </c>
      <c r="F21134" s="10" t="inlineStr">
        <is>
          <t>Hồ Chí Minh</t>
        </is>
      </c>
      <c r="G21134" s="10" t="inlineStr">
        <is>
          <t>3</t>
        </is>
      </c>
      <c r="H21134" s="10" t="inlineStr">
        <is>
          <t>20/03/2026</t>
        </is>
      </c>
      <c r="I21134" s="10" t="inlineStr">
        <is>
          <t>17/03/2026</t>
        </is>
      </c>
      <c r="J21134" s="10" t="inlineStr">
        <is>
          <t>Ngân hàng</t>
        </is>
      </c>
      <c r="K21134" s="10" t="inlineStr">
        <is>
          <t>2 - 5 Năm</t>
        </is>
      </c>
      <c r="L21134" s="11">
        <f>HYPERLINK("https://careerviet.vn/vi/tim-viec-lam/rb-tt-gptt-p-van-hanh-cvcc-gd-quan-ly-du-an.35C65EED.html","Xem chi tiết")</f>
        <v/>
      </c>
      <c r="M21134" s="10" t="n"/>
    </row>
    <row r="21135">
      <c r="B21135" s="7" t="n">
        <v>21133</v>
      </c>
      <c r="C21135" t="inlineStr">
        <is>
          <t>Phiên dịch viên tiếng Trung</t>
        </is>
      </c>
      <c r="D21135" t="inlineStr">
        <is>
          <t>CÔNG TY TNHH ELECTRONIC TRIPOD VIỆT NAM (CHÂU ĐỨC)</t>
        </is>
      </c>
      <c r="E21135" t="inlineStr">
        <is>
          <t>Lương:Cạnh tranh</t>
        </is>
      </c>
      <c r="F21135" t="inlineStr">
        <is>
          <t>Bà Rịa - Vũng TàuĐồng Nai</t>
        </is>
      </c>
      <c r="G21135" t="inlineStr">
        <is>
          <t>3</t>
        </is>
      </c>
      <c r="H21135" t="inlineStr">
        <is>
          <t>20/03/2026</t>
        </is>
      </c>
      <c r="I21135" t="inlineStr">
        <is>
          <t>17/03/2026</t>
        </is>
      </c>
      <c r="J21135" t="inlineStr">
        <is>
          <t>Biên phiên dịch</t>
        </is>
      </c>
      <c r="K21135" t="inlineStr">
        <is>
          <t>N/A</t>
        </is>
      </c>
      <c r="L21135" s="8">
        <f>HYPERLINK("https://careerviet.vn/vi/tim-viec-lam/phien-dich-vien-tieng-trung.35C65F12.html","Xem chi tiết")</f>
        <v/>
      </c>
    </row>
    <row r="21136">
      <c r="B21136" s="9" t="n">
        <v>21134</v>
      </c>
      <c r="C21136" s="10" t="inlineStr">
        <is>
          <t>[VPDD Daesang Wellife] Nhân viên kinh doanh - Tiếng Hàn</t>
        </is>
      </c>
      <c r="D21136" s="10" t="inlineStr">
        <is>
          <t>CÔNG TY TNHH DAESANG VIỆT NAM</t>
        </is>
      </c>
      <c r="E21136" s="10" t="inlineStr">
        <is>
          <t>Lương:Cạnh tranh</t>
        </is>
      </c>
      <c r="F21136" s="10" t="inlineStr">
        <is>
          <t>Hà Nội</t>
        </is>
      </c>
      <c r="G21136" s="10" t="inlineStr">
        <is>
          <t>3</t>
        </is>
      </c>
      <c r="H21136" s="10" t="inlineStr">
        <is>
          <t>20/03/2026</t>
        </is>
      </c>
      <c r="I21136" s="10" t="inlineStr">
        <is>
          <t>17/03/2026</t>
        </is>
      </c>
      <c r="J21136" s="10" t="inlineStr">
        <is>
          <t>Bán hàng / Kinh doanh, Biên phiên dịch</t>
        </is>
      </c>
      <c r="K21136" s="10" t="inlineStr">
        <is>
          <t>3 - 5 Năm</t>
        </is>
      </c>
      <c r="L21136" s="11">
        <f>HYPERLINK("https://careerviet.vn/vi/tim-viec-lam/vpdd-daesang-wellife-nhan-vien-kinh-doanh-tieng-han.35C65FD3.html","Xem chi tiết")</f>
        <v/>
      </c>
      <c r="M21136" s="10" t="n"/>
    </row>
    <row r="21137">
      <c r="B21137" s="7" t="n">
        <v>21135</v>
      </c>
      <c r="C21137" t="inlineStr">
        <is>
          <t>[GLOBALX-NOVASERVICE] Chuyên Viên Cao Cấp Thiết Kế Ý Tưởng</t>
        </is>
      </c>
      <c r="D21137" t="inlineStr">
        <is>
          <t>CÔNG TY CỔ PHẦN TRẢI NGHIỆM TOÀN CẦU</t>
        </is>
      </c>
      <c r="E21137" t="inlineStr">
        <is>
          <t>Lương:Cạnh tranh</t>
        </is>
      </c>
      <c r="F21137" t="inlineStr">
        <is>
          <t>Hồ Chí Minh</t>
        </is>
      </c>
      <c r="G21137" t="inlineStr">
        <is>
          <t>3</t>
        </is>
      </c>
      <c r="H21137" t="inlineStr">
        <is>
          <t>20/03/2026</t>
        </is>
      </c>
      <c r="I21137" t="inlineStr">
        <is>
          <t>17/03/2026</t>
        </is>
      </c>
      <c r="J21137" t="inlineStr">
        <is>
          <t>Nhà hàng / Khách sạn</t>
        </is>
      </c>
      <c r="K21137" t="inlineStr">
        <is>
          <t>3 - 4 Năm</t>
        </is>
      </c>
      <c r="L21137" s="8">
        <f>HYPERLINK("https://careerviet.vn/vi/tim-viec-lam/globalx-novaservice-chuyen-vien-cao-cap-thiet-ke-y-tuong.35C65ED4.html","Xem chi tiết")</f>
        <v/>
      </c>
    </row>
    <row r="21138">
      <c r="B21138" s="9" t="n">
        <v>21136</v>
      </c>
      <c r="C21138" s="10" t="inlineStr">
        <is>
          <t>[Hà Nội] Chuyên viên cao cấp Phòng chống rửa tiền</t>
        </is>
      </c>
      <c r="D21138" s="10" t="inlineStr">
        <is>
          <t>Ngân hàng TMCP Lộc Phát Việt Nam (LPBank)</t>
        </is>
      </c>
      <c r="E21138" s="10" t="inlineStr">
        <is>
          <t>Lương:Cạnh tranh</t>
        </is>
      </c>
      <c r="F21138" s="10" t="inlineStr">
        <is>
          <t>Hà Nội</t>
        </is>
      </c>
      <c r="G21138" s="10" t="inlineStr">
        <is>
          <t>3</t>
        </is>
      </c>
      <c r="H21138" s="10" t="inlineStr">
        <is>
          <t>20/03/2026</t>
        </is>
      </c>
      <c r="I21138" s="10" t="inlineStr">
        <is>
          <t>17/03/2026</t>
        </is>
      </c>
      <c r="J21138" s="10" t="inlineStr">
        <is>
          <t>Ngân hàng, Quản lý chất lượng (QA/QC)</t>
        </is>
      </c>
      <c r="K21138" s="10" t="inlineStr">
        <is>
          <t>Trên 5 Năm</t>
        </is>
      </c>
      <c r="L21138" s="11">
        <f>HYPERLINK("https://careerviet.vn/vi/tim-viec-lam/ha-noi-chuyen-vien-cao-cap-phong-chong-rua-tien.35C66042.html","Xem chi tiết")</f>
        <v/>
      </c>
      <c r="M21138" s="10" t="n"/>
    </row>
    <row r="21139">
      <c r="B21139" s="7" t="n">
        <v>21137</v>
      </c>
      <c r="C21139" t="inlineStr">
        <is>
          <t>CHUYÊN VIÊN PHÁP CHẾ DỰ ÁN</t>
        </is>
      </c>
      <c r="D21139" t="inlineStr">
        <is>
          <t>Công Ty Cổ Phần Tập Đoàn Đèo Cả</t>
        </is>
      </c>
      <c r="E21139" t="inlineStr">
        <is>
          <t>Lương:Cạnh tranh</t>
        </is>
      </c>
      <c r="F21139" t="inlineStr">
        <is>
          <t>Hồ Chí Minh</t>
        </is>
      </c>
      <c r="G21139" t="inlineStr">
        <is>
          <t>3</t>
        </is>
      </c>
      <c r="H21139" t="inlineStr">
        <is>
          <t>20/03/2026</t>
        </is>
      </c>
      <c r="I21139" t="inlineStr">
        <is>
          <t>17/03/2026</t>
        </is>
      </c>
      <c r="J21139" t="inlineStr">
        <is>
          <t>Luật / Pháp lý, Xây dựng</t>
        </is>
      </c>
      <c r="K21139" t="inlineStr">
        <is>
          <t>Trên 2 Năm</t>
        </is>
      </c>
      <c r="L21139" s="8">
        <f>HYPERLINK("https://careerviet.vn/vi/tim-viec-lam/chuyen-vien-phap-che-du-an.35C65E7C.html","Xem chi tiết")</f>
        <v/>
      </c>
    </row>
    <row r="21140">
      <c r="B21140" s="9" t="n">
        <v>21138</v>
      </c>
      <c r="C21140" s="10" t="inlineStr">
        <is>
          <t>Nhân viên Kế hoạch Sản xuất (Production Control Officer) - Tiếng Trung</t>
        </is>
      </c>
      <c r="D21140" s="10" t="inlineStr">
        <is>
          <t>CÔNG TY TNHH ELECTRONIC TRIPOD VIỆT NAM (CHÂU ĐỨC)</t>
        </is>
      </c>
      <c r="E21140" s="10" t="inlineStr">
        <is>
          <t>Lương:Cạnh tranh</t>
        </is>
      </c>
      <c r="F21140" s="10" t="inlineStr">
        <is>
          <t>Bà Rịa - Vũng TàuĐồng Nai</t>
        </is>
      </c>
      <c r="G21140" s="10" t="inlineStr">
        <is>
          <t>3</t>
        </is>
      </c>
      <c r="H21140" s="10" t="inlineStr">
        <is>
          <t>20/03/2026</t>
        </is>
      </c>
      <c r="I21140" s="10" t="inlineStr">
        <is>
          <t>17/03/2026</t>
        </is>
      </c>
      <c r="J21140" s="10" t="inlineStr">
        <is>
          <t>Biên phiên dịch, Sản xuất / Vận hành sản xuất</t>
        </is>
      </c>
      <c r="K21140" s="10" t="inlineStr">
        <is>
          <t>N/A</t>
        </is>
      </c>
      <c r="L21140" s="11">
        <f>HYPERLINK("https://careerviet.vn/vi/tim-viec-lam/nhan-vien-ke-hoach-san-xuat-production-control-officer-tieng-trung.35C65EF9.html","Xem chi tiết")</f>
        <v/>
      </c>
      <c r="M21140" s="10" t="n"/>
    </row>
    <row r="21141">
      <c r="B21141" s="7" t="n">
        <v>21139</v>
      </c>
      <c r="C21141" t="inlineStr">
        <is>
          <t>KIẾN TRÚC SƯ LANDSCAPE</t>
        </is>
      </c>
      <c r="D21141" t="inlineStr">
        <is>
          <t>TBS Land- Công ty Cổ Phần Đầu Tư Thái Bình</t>
        </is>
      </c>
      <c r="E21141" t="inlineStr">
        <is>
          <t>Lương:Cạnh tranh</t>
        </is>
      </c>
      <c r="F21141" t="inlineStr">
        <is>
          <t>Bình Dương</t>
        </is>
      </c>
      <c r="G21141" t="inlineStr">
        <is>
          <t>3</t>
        </is>
      </c>
      <c r="H21141" t="inlineStr">
        <is>
          <t>20/03/2026</t>
        </is>
      </c>
      <c r="I21141" t="inlineStr">
        <is>
          <t>17/03/2026</t>
        </is>
      </c>
      <c r="J21141" t="inlineStr">
        <is>
          <t>Kiến trúc, Xây dựng</t>
        </is>
      </c>
      <c r="K21141" t="inlineStr">
        <is>
          <t>2 - 5 Năm</t>
        </is>
      </c>
      <c r="L21141" s="8">
        <f>HYPERLINK("https://careerviet.vn/vi/tim-viec-lam/kien-truc-su-landscape.35C66012.html","Xem chi tiết")</f>
        <v/>
      </c>
    </row>
    <row r="21142">
      <c r="B21142" s="9" t="n">
        <v>21140</v>
      </c>
      <c r="C21142" s="10" t="inlineStr">
        <is>
          <t>Chuyên viên Bảo mật Công nghệ thông tin</t>
        </is>
      </c>
      <c r="D21142" s="10" t="inlineStr">
        <is>
          <t>BVBank - Ngân hàng Bản Việt</t>
        </is>
      </c>
      <c r="E21142" s="10" t="inlineStr">
        <is>
          <t>Lương:Cạnh tranh</t>
        </is>
      </c>
      <c r="F21142" s="10" t="inlineStr">
        <is>
          <t>Hồ Chí Minh</t>
        </is>
      </c>
      <c r="G21142" s="10" t="inlineStr">
        <is>
          <t>3</t>
        </is>
      </c>
      <c r="H21142" s="10" t="inlineStr">
        <is>
          <t>20/03/2026</t>
        </is>
      </c>
      <c r="I21142" s="10" t="inlineStr">
        <is>
          <t>17/03/2026</t>
        </is>
      </c>
      <c r="J21142" s="10" t="inlineStr">
        <is>
          <t>Ngân hàng, Kế toán / Kiểm toán, CNTT - Phần mềm</t>
        </is>
      </c>
      <c r="K21142" s="10" t="inlineStr">
        <is>
          <t>2 - 3 Năm</t>
        </is>
      </c>
      <c r="L21142" s="11">
        <f>HYPERLINK("https://careerviet.vn/vi/tim-viec-lam/chuyen-vien-bao-mat-cong-nghe-thong-tin.35C65F6E.html","Xem chi tiết")</f>
        <v/>
      </c>
      <c r="M21142" s="10" t="n"/>
    </row>
    <row r="21143">
      <c r="B21143" s="7" t="n">
        <v>21141</v>
      </c>
      <c r="C21143" t="inlineStr">
        <is>
          <t>Nhân viên EHS (EHS Administrator) - Tiếng Trung</t>
        </is>
      </c>
      <c r="D21143" t="inlineStr">
        <is>
          <t>CÔNG TY TNHH ELECTRONIC TRIPOD VIỆT NAM (CHÂU ĐỨC)</t>
        </is>
      </c>
      <c r="E21143" t="inlineStr">
        <is>
          <t>Lương:Cạnh tranh</t>
        </is>
      </c>
      <c r="F21143" t="inlineStr">
        <is>
          <t>Bà Rịa - Vũng Tàu</t>
        </is>
      </c>
      <c r="G21143" t="inlineStr">
        <is>
          <t>3</t>
        </is>
      </c>
      <c r="H21143" t="inlineStr">
        <is>
          <t>20/03/2026</t>
        </is>
      </c>
      <c r="I21143" t="inlineStr">
        <is>
          <t>17/03/2026</t>
        </is>
      </c>
      <c r="J21143" t="inlineStr">
        <is>
          <t>Hành chính / Thư ký, Môi trường, An toàn lao động</t>
        </is>
      </c>
      <c r="K21143" t="inlineStr">
        <is>
          <t>Chưa có kinh nghiệm</t>
        </is>
      </c>
      <c r="L21143" s="8">
        <f>HYPERLINK("https://careerviet.vn/vi/tim-viec-lam/nhan-vien-ehs-ehs-administrator-tieng-trung.35C65EEC.html","Xem chi tiết")</f>
        <v/>
      </c>
    </row>
    <row r="21144">
      <c r="B21144" s="9" t="n">
        <v>21142</v>
      </c>
      <c r="C21144" s="10" t="inlineStr">
        <is>
          <t>Kỹ sư Cơ khí (Nhà máy Củ Chi)</t>
        </is>
      </c>
      <c r="D21144" s="10" t="inlineStr">
        <is>
          <t>CÔNG TY CỔ PHẦN DÂY CÁP ĐIỆN VIỆT NAM - CADIVI</t>
        </is>
      </c>
      <c r="E21144" s="10" t="inlineStr">
        <is>
          <t>Lương:Cạnh tranh</t>
        </is>
      </c>
      <c r="F21144" s="10" t="inlineStr">
        <is>
          <t>Hồ Chí Minh</t>
        </is>
      </c>
      <c r="G21144" s="10" t="inlineStr">
        <is>
          <t>4</t>
        </is>
      </c>
      <c r="H21144" s="10" t="inlineStr">
        <is>
          <t>20/03/2026</t>
        </is>
      </c>
      <c r="I21144" s="10" t="inlineStr">
        <is>
          <t>17/03/2026</t>
        </is>
      </c>
      <c r="J21144" s="10" t="inlineStr">
        <is>
          <t>Cơ khí / Ô tô / Tự động hóa, Điện / Điện tử / Điện lạnh / Điện công nghiệp</t>
        </is>
      </c>
      <c r="K21144" s="10" t="inlineStr">
        <is>
          <t>1 - 3 Năm</t>
        </is>
      </c>
      <c r="L21144" s="11">
        <f>HYPERLINK("https://careerviet.vn/vi/tim-viec-lam/ky-su-co-khi-nha-may-cu-chi.35C66089.html","Xem chi tiết")</f>
        <v/>
      </c>
      <c r="M21144" s="10" t="n"/>
    </row>
    <row r="21145">
      <c r="B21145" s="7" t="n">
        <v>21143</v>
      </c>
      <c r="C21145" t="inlineStr">
        <is>
          <t>Part Leader / Quản lý Sản Xuất ASSY/MID tại Phú Mỹ, Bà Rịa Vũng Tàu</t>
        </is>
      </c>
      <c r="D21145" t="inlineStr">
        <is>
          <t>CHI NHÁNH CÔNG TY TNHH DAEYOUNG EP VINA TẠI BÀ RỊA - VŨNG TÀU</t>
        </is>
      </c>
      <c r="E21145" t="inlineStr">
        <is>
          <t>Lương:12 Tr - 18 Tr VND</t>
        </is>
      </c>
      <c r="F21145" t="inlineStr">
        <is>
          <t>Bà Rịa - Vũng Tàu</t>
        </is>
      </c>
      <c r="G21145" t="inlineStr">
        <is>
          <t>3</t>
        </is>
      </c>
      <c r="H21145" t="inlineStr">
        <is>
          <t>20/03/2026</t>
        </is>
      </c>
      <c r="I21145" t="inlineStr">
        <is>
          <t>17/03/2026</t>
        </is>
      </c>
      <c r="J21145" t="inlineStr">
        <is>
          <t>Cơ khí / Ô tô / Tự động hóa, Điện / Điện tử / Điện lạnh / Điện công nghiệp</t>
        </is>
      </c>
      <c r="K21145" t="inlineStr">
        <is>
          <t>2 - 5 Năm</t>
        </is>
      </c>
      <c r="L21145" s="8">
        <f>HYPERLINK("https://careerviet.vn/vi/tim-viec-lam/part-leader-quan-ly-san-xuat-assy-mid-tai-phu-my-ba-ria-vung-tau.35C65EB0.html","Xem chi tiết")</f>
        <v/>
      </c>
    </row>
    <row r="21146">
      <c r="B21146" s="9" t="n">
        <v>21144</v>
      </c>
      <c r="C21146" s="10" t="inlineStr">
        <is>
          <t>KỸ SƯ CƠ KHÍ (CN NẶNG)</t>
        </is>
      </c>
      <c r="D21146" s="10" t="inlineStr">
        <is>
          <t>ADC PLASTIC,. JSC</t>
        </is>
      </c>
      <c r="E21146" s="10" t="inlineStr">
        <is>
          <t>Lương:12 Tr - 20 Tr VND</t>
        </is>
      </c>
      <c r="F21146" s="10" t="inlineStr">
        <is>
          <t>Hưng Yên</t>
        </is>
      </c>
      <c r="G21146" s="10" t="inlineStr">
        <is>
          <t>3</t>
        </is>
      </c>
      <c r="H21146" s="10" t="inlineStr">
        <is>
          <t>20/03/2026</t>
        </is>
      </c>
      <c r="I21146" s="10" t="inlineStr">
        <is>
          <t>17/03/2026</t>
        </is>
      </c>
      <c r="J21146" s="10" t="inlineStr">
        <is>
          <t>Bảo trì / Sửa chữa</t>
        </is>
      </c>
      <c r="K21146" s="10" t="inlineStr">
        <is>
          <t>5 - 10 Năm</t>
        </is>
      </c>
      <c r="L21146" s="11">
        <f>HYPERLINK("https://careerviet.vn/vi/tim-viec-lam/ky-su-co-khi-cn-nang.35C65F95.html","Xem chi tiết")</f>
        <v/>
      </c>
      <c r="M21146" s="10" t="n"/>
    </row>
    <row r="21147">
      <c r="B21147" s="7" t="n">
        <v>21145</v>
      </c>
      <c r="C21147" t="inlineStr">
        <is>
          <t>INSPECTOR / GIÁM ĐỊNH VIÊN (HCM,HẢI PHÒNG)</t>
        </is>
      </c>
      <c r="D21147" t="inlineStr">
        <is>
          <t>Chi nhánh CÔNG TY TNHH INTERTEK VIỆT NAM</t>
        </is>
      </c>
      <c r="E21147" t="inlineStr">
        <is>
          <t>Lương:Cạnh tranh</t>
        </is>
      </c>
      <c r="F21147" t="inlineStr">
        <is>
          <t>Hồ Chí Minh</t>
        </is>
      </c>
      <c r="G21147" t="inlineStr">
        <is>
          <t>3</t>
        </is>
      </c>
      <c r="H21147" t="inlineStr">
        <is>
          <t>20/03/2026</t>
        </is>
      </c>
      <c r="I21147" t="inlineStr">
        <is>
          <t>17/03/2026</t>
        </is>
      </c>
      <c r="J21147" t="inlineStr">
        <is>
          <t>Hàng hải, Dầu khí, Hóa học</t>
        </is>
      </c>
      <c r="K21147" t="inlineStr">
        <is>
          <t>Chưa có kinh nghiệm</t>
        </is>
      </c>
      <c r="L21147" s="8">
        <f>HYPERLINK("https://careerviet.vn/vi/tim-viec-lam/inspector-giam-dinh-vien-hcm-hai-phong.35C65ED8.html","Xem chi tiết")</f>
        <v/>
      </c>
    </row>
    <row r="21148">
      <c r="B21148" s="9" t="n">
        <v>21146</v>
      </c>
      <c r="C21148" s="10" t="inlineStr">
        <is>
          <t>Sales Manager</t>
        </is>
      </c>
      <c r="D21148" s="10" t="inlineStr">
        <is>
          <t>Huhtamaki (Vietnam) Ltd.</t>
        </is>
      </c>
      <c r="E21148" s="10" t="inlineStr">
        <is>
          <t>Lương:Cạnh tranh</t>
        </is>
      </c>
      <c r="F21148" s="10" t="inlineStr">
        <is>
          <t>Bình Dương</t>
        </is>
      </c>
      <c r="G21148" s="10" t="inlineStr">
        <is>
          <t>2</t>
        </is>
      </c>
      <c r="H21148" s="10" t="inlineStr">
        <is>
          <t>19/03/2026</t>
        </is>
      </c>
      <c r="I21148" s="10" t="inlineStr">
        <is>
          <t>17/03/2026</t>
        </is>
      </c>
      <c r="J21148" s="10" t="inlineStr">
        <is>
          <t>Bán hàng / Kinh doanh, Dịch vụ khách hàng</t>
        </is>
      </c>
      <c r="K21148" s="10" t="inlineStr">
        <is>
          <t>2 - 5 Năm</t>
        </is>
      </c>
      <c r="L21148" s="11">
        <f>HYPERLINK("https://careerviet.vn/vi/tim-viec-lam/sales-manager.35C634F6.html","Xem chi tiết")</f>
        <v/>
      </c>
      <c r="M21148" s="10" t="n"/>
    </row>
    <row r="21149">
      <c r="B21149" s="7" t="n">
        <v>21147</v>
      </c>
      <c r="C21149" t="inlineStr">
        <is>
          <t>Sân bay Tân Sơn Nhất - Tuyển dụng nhân viên Bếp</t>
        </is>
      </c>
      <c r="D21149" t="inlineStr">
        <is>
          <t>Công ty Cổ phần Đầu tư Thương mại Kỹ thuật A&amp;T Việt Nam</t>
        </is>
      </c>
      <c r="E21149" t="inlineStr">
        <is>
          <t>Lương:8,5 Tr - 10 Tr VND</t>
        </is>
      </c>
      <c r="F21149" t="inlineStr">
        <is>
          <t>Hồ Chí Minh</t>
        </is>
      </c>
      <c r="G21149" t="inlineStr">
        <is>
          <t>3</t>
        </is>
      </c>
      <c r="H21149" t="inlineStr">
        <is>
          <t>20/03/2026</t>
        </is>
      </c>
      <c r="I21149" t="inlineStr">
        <is>
          <t>17/03/2026</t>
        </is>
      </c>
      <c r="J21149" t="inlineStr">
        <is>
          <t>Bán lẻ / Bán sỉ, Thực phẩm &amp; Đồ uống, Nhà hàng / Khách sạn</t>
        </is>
      </c>
      <c r="K21149" t="inlineStr">
        <is>
          <t>1 - 2 Năm</t>
        </is>
      </c>
      <c r="L21149" s="8">
        <f>HYPERLINK("https://careerviet.vn/vi/tim-viec-lam/san-bay-tan-son-nhat-tuyen-dung-nhan-vien-bep.35C65E9C.html","Xem chi tiết")</f>
        <v/>
      </c>
    </row>
    <row r="21150">
      <c r="B21150" s="9" t="n">
        <v>21148</v>
      </c>
      <c r="C21150" s="10" t="inlineStr">
        <is>
          <t>Business Training Specialist</t>
        </is>
      </c>
      <c r="D21150" s="10" t="inlineStr">
        <is>
          <t>CÔNG TY CỔ PHẦN CITICS</t>
        </is>
      </c>
      <c r="E21150" s="10" t="inlineStr">
        <is>
          <t>Lương:20 Tr - 40 Tr VND</t>
        </is>
      </c>
      <c r="F21150" s="10" t="inlineStr">
        <is>
          <t>Hồ Chí Minh</t>
        </is>
      </c>
      <c r="G21150" s="10" t="inlineStr">
        <is>
          <t>3</t>
        </is>
      </c>
      <c r="H21150" s="10" t="inlineStr">
        <is>
          <t>20/03/2026</t>
        </is>
      </c>
      <c r="I21150" s="10" t="inlineStr">
        <is>
          <t>17/03/2026</t>
        </is>
      </c>
      <c r="J21150" s="10" t="inlineStr">
        <is>
          <t>Ngân hàng, Tài chính / Đầu tư</t>
        </is>
      </c>
      <c r="K21150" s="10" t="inlineStr">
        <is>
          <t>Chưa có kinh nghiệm</t>
        </is>
      </c>
      <c r="L21150" s="11">
        <f>HYPERLINK("https://careerviet.vn/vi/tim-viec-lam/business-training-specialist.35C6606F.html","Xem chi tiết")</f>
        <v/>
      </c>
      <c r="M21150" s="10" t="n"/>
    </row>
    <row r="21151">
      <c r="B21151" s="7" t="n">
        <v>21149</v>
      </c>
      <c r="C21151" t="inlineStr">
        <is>
          <t>NHÂN VIÊN XUẤT NHẬP KHẨU (biết tiếng Trung hoặc Anh)</t>
        </is>
      </c>
      <c r="D21151" t="inlineStr">
        <is>
          <t>Công ty TNHH Sài Gòn Stec</t>
        </is>
      </c>
      <c r="E21151" t="inlineStr">
        <is>
          <t>Lương:10 Tr - 15 Tr VND</t>
        </is>
      </c>
      <c r="F21151" t="inlineStr">
        <is>
          <t>Bình Dương</t>
        </is>
      </c>
      <c r="G21151" t="inlineStr">
        <is>
          <t>3</t>
        </is>
      </c>
      <c r="H21151" t="inlineStr">
        <is>
          <t>20/03/2026</t>
        </is>
      </c>
      <c r="I21151" t="inlineStr">
        <is>
          <t>17/03/2026</t>
        </is>
      </c>
      <c r="J21151" t="inlineStr">
        <is>
          <t>Xuất nhập khẩu, Thu mua / Vật tư</t>
        </is>
      </c>
      <c r="K21151" t="inlineStr">
        <is>
          <t>N/A</t>
        </is>
      </c>
      <c r="L21151" s="8">
        <f>HYPERLINK("https://careerviet.vn/vi/tim-viec-lam/nhan-vien-xuat-nhap-khau-biet-tieng-trung-hoac-anh.35C65F50.html","Xem chi tiết")</f>
        <v/>
      </c>
    </row>
    <row r="21152">
      <c r="B21152" s="9" t="n">
        <v>21150</v>
      </c>
      <c r="C21152" s="10" t="inlineStr">
        <is>
          <t>Chuyên Viên Lễ Tân Hành Chính</t>
        </is>
      </c>
      <c r="D21152" s="10" t="inlineStr">
        <is>
          <t>CÔNG TY CỔ PHẦN ĐẦU TƯ PHÁT TRIỂN THỦ THỪA</t>
        </is>
      </c>
      <c r="E21152" s="10" t="inlineStr">
        <is>
          <t>Lương:10 Tr - 15 Tr VND</t>
        </is>
      </c>
      <c r="F21152" s="10" t="inlineStr">
        <is>
          <t>Hưng Yên</t>
        </is>
      </c>
      <c r="G21152" s="10" t="inlineStr">
        <is>
          <t>2</t>
        </is>
      </c>
      <c r="H21152" s="10" t="inlineStr">
        <is>
          <t>19/03/2026</t>
        </is>
      </c>
      <c r="I21152" s="10" t="inlineStr">
        <is>
          <t>17/03/2026</t>
        </is>
      </c>
      <c r="J21152" s="10" t="inlineStr">
        <is>
          <t>Hành chính / Thư ký</t>
        </is>
      </c>
      <c r="K21152" s="10" t="inlineStr">
        <is>
          <t>1 - 2 Năm</t>
        </is>
      </c>
      <c r="L21152" s="11">
        <f>HYPERLINK("https://careerviet.vn/vi/tim-viec-lam/chuyen-vien-le-tan-hanh-chinh.35C63441.html","Xem chi tiết")</f>
        <v/>
      </c>
      <c r="M21152" s="10" t="n"/>
    </row>
    <row r="21153">
      <c r="B21153" s="7" t="n">
        <v>21151</v>
      </c>
      <c r="C21153" t="inlineStr">
        <is>
          <t>Chuyên viên Sáng tạo nội dung (Content Creative Officer)</t>
        </is>
      </c>
      <c r="D21153" t="inlineStr">
        <is>
          <t>LOTTE FINANCE VIETNAM</t>
        </is>
      </c>
      <c r="E21153" t="inlineStr">
        <is>
          <t>Lương:Cạnh tranh</t>
        </is>
      </c>
      <c r="F21153" t="inlineStr">
        <is>
          <t>Hà Nội</t>
        </is>
      </c>
      <c r="G21153" t="inlineStr">
        <is>
          <t>3</t>
        </is>
      </c>
      <c r="H21153" t="inlineStr">
        <is>
          <t>20/03/2026</t>
        </is>
      </c>
      <c r="I21153" t="inlineStr">
        <is>
          <t>17/03/2026</t>
        </is>
      </c>
      <c r="J21153" t="inlineStr">
        <is>
          <t>Ngân hàng, Quảng cáo / Đối ngoại / Truyền Thông, Truyền hình / Báo chí / Biên tập</t>
        </is>
      </c>
      <c r="K21153" t="inlineStr">
        <is>
          <t>Trên 2 Năm</t>
        </is>
      </c>
      <c r="L21153" s="8">
        <f>HYPERLINK("https://careerviet.vn/vi/tim-viec-lam/chuyen-vien-sang-tao-noi-dung-content-creative-officer.35C6607F.html","Xem chi tiết")</f>
        <v/>
      </c>
    </row>
    <row r="21154">
      <c r="B21154" s="9" t="n">
        <v>21152</v>
      </c>
      <c r="C21154" s="10" t="inlineStr">
        <is>
          <t>Kỹ sư Sản xuất - MF Engineer</t>
        </is>
      </c>
      <c r="D21154" s="10" t="inlineStr">
        <is>
          <t>CÔNG TY TNHH ELECTRONIC TRIPOD VIỆT NAM (BIÊN HÒA)</t>
        </is>
      </c>
      <c r="E21154" s="10" t="inlineStr">
        <is>
          <t>Lương:Cạnh tranh</t>
        </is>
      </c>
      <c r="F21154" s="10" t="inlineStr">
        <is>
          <t>Đồng Nai</t>
        </is>
      </c>
      <c r="G21154" s="10" t="inlineStr">
        <is>
          <t>3</t>
        </is>
      </c>
      <c r="H21154" s="10" t="inlineStr">
        <is>
          <t>20/03/2026</t>
        </is>
      </c>
      <c r="I21154" s="10" t="inlineStr">
        <is>
          <t>17/03/2026</t>
        </is>
      </c>
      <c r="J21154" s="10" t="inlineStr">
        <is>
          <t>Sản xuất / Vận hành sản xuất</t>
        </is>
      </c>
      <c r="K21154" s="10" t="inlineStr">
        <is>
          <t>1 - 2 Năm</t>
        </is>
      </c>
      <c r="L21154" s="11">
        <f>HYPERLINK("https://careerviet.vn/vi/tim-viec-lam/ky-su-san-xuat-mf-engineer.35C66082.html","Xem chi tiết")</f>
        <v/>
      </c>
      <c r="M21154" s="10" t="n"/>
    </row>
    <row r="21155">
      <c r="B21155" s="7" t="n">
        <v>21153</v>
      </c>
      <c r="C21155" t="inlineStr">
        <is>
          <t>Tổ Trưởng Sản Xuất</t>
        </is>
      </c>
      <c r="D21155" t="inlineStr">
        <is>
          <t>Công ty TNHH Olam Việt Nam</t>
        </is>
      </c>
      <c r="E21155" t="inlineStr">
        <is>
          <t>Lương:Cạnh tranh</t>
        </is>
      </c>
      <c r="F21155" t="inlineStr">
        <is>
          <t>Đồng Nai</t>
        </is>
      </c>
      <c r="G21155" t="inlineStr">
        <is>
          <t>2</t>
        </is>
      </c>
      <c r="H21155" t="inlineStr">
        <is>
          <t>19/03/2026</t>
        </is>
      </c>
      <c r="I21155" t="inlineStr">
        <is>
          <t>17/03/2026</t>
        </is>
      </c>
      <c r="J21155" t="inlineStr">
        <is>
          <t>Thực phẩm &amp; Đồ uống, Công nghệ thực phẩm / Dinh dưỡng, Sản xuất / Vận hành sản xuất</t>
        </is>
      </c>
      <c r="K21155" t="inlineStr">
        <is>
          <t>N/A</t>
        </is>
      </c>
      <c r="L21155" s="8">
        <f>HYPERLINK("https://careerviet.vn/vi/tim-viec-lam/to-truong-san-xuat.35C634CF.html","Xem chi tiết")</f>
        <v/>
      </c>
    </row>
    <row r="21156">
      <c r="B21156" s="9" t="n">
        <v>21154</v>
      </c>
      <c r="C21156" s="10" t="inlineStr">
        <is>
          <t>Assistant to Marketing Department</t>
        </is>
      </c>
      <c r="D21156" s="10" t="inlineStr">
        <is>
          <t>Công ty TNHH Phát triển Phú Mỹ Hưng</t>
        </is>
      </c>
      <c r="E21156" s="10" t="inlineStr">
        <is>
          <t>Lương:Cạnh tranh</t>
        </is>
      </c>
      <c r="F21156" s="10" t="inlineStr">
        <is>
          <t>Hồ Chí Minh</t>
        </is>
      </c>
      <c r="G21156" s="10" t="inlineStr">
        <is>
          <t>2</t>
        </is>
      </c>
      <c r="H21156" s="10" t="inlineStr">
        <is>
          <t>19/03/2026</t>
        </is>
      </c>
      <c r="I21156" s="10" t="inlineStr">
        <is>
          <t>17/03/2026</t>
        </is>
      </c>
      <c r="J21156" s="10" t="inlineStr">
        <is>
          <t>Tiếp thị / Marketing</t>
        </is>
      </c>
      <c r="K21156" s="10" t="inlineStr">
        <is>
          <t>1 - 2 Năm</t>
        </is>
      </c>
      <c r="L21156" s="11">
        <f>HYPERLINK("https://careerviet.vn/vi/tim-viec-lam/assistant-to-marketing-department.35C634DE.html","Xem chi tiết")</f>
        <v/>
      </c>
      <c r="M21156" s="10" t="n"/>
    </row>
    <row r="21157">
      <c r="B21157" s="7" t="n">
        <v>21155</v>
      </c>
      <c r="C21157" t="inlineStr">
        <is>
          <t>Capital Markets Manager (Trưởng phòng Thị trường Vốn)</t>
        </is>
      </c>
      <c r="D21157" t="inlineStr">
        <is>
          <t>Công Ty Cổ Phần Tập Đoàn Đầu Tư Địa Ốc No Va</t>
        </is>
      </c>
      <c r="E21157" t="inlineStr">
        <is>
          <t>Lương:Cạnh tranh</t>
        </is>
      </c>
      <c r="F21157" t="inlineStr">
        <is>
          <t>Hồ Chí Minh</t>
        </is>
      </c>
      <c r="G21157" t="inlineStr">
        <is>
          <t>2</t>
        </is>
      </c>
      <c r="H21157" t="inlineStr">
        <is>
          <t>19/03/2026</t>
        </is>
      </c>
      <c r="I21157" t="inlineStr">
        <is>
          <t>17/03/2026</t>
        </is>
      </c>
      <c r="J21157" t="inlineStr">
        <is>
          <t>Bất động sản</t>
        </is>
      </c>
      <c r="K21157" t="inlineStr">
        <is>
          <t>8 - 15 Năm</t>
        </is>
      </c>
      <c r="L21157" s="8">
        <f>HYPERLINK("https://careerviet.vn/vi/tim-viec-lam/capital-markets-manager-truong-phong-thi-truong-von.35C6360E.html","Xem chi tiết")</f>
        <v/>
      </c>
    </row>
    <row r="21158">
      <c r="B21158" s="9" t="n">
        <v>21156</v>
      </c>
      <c r="C21158" s="10" t="inlineStr">
        <is>
          <t>Nhân Viên Kinh Doanh Tây Nam Bộ</t>
        </is>
      </c>
      <c r="D21158" s="10" t="inlineStr">
        <is>
          <t>Công Ty TNHH Sơn Seamaster Việt Nam</t>
        </is>
      </c>
      <c r="E21158" s="10" t="inlineStr">
        <is>
          <t>Lương:9 Tr - 12 Tr VND</t>
        </is>
      </c>
      <c r="F21158" s="10" t="inlineStr">
        <is>
          <t>Cà MauBạc LiêuSóc Trăng</t>
        </is>
      </c>
      <c r="G21158" s="10" t="inlineStr">
        <is>
          <t>2</t>
        </is>
      </c>
      <c r="H21158" s="10" t="inlineStr">
        <is>
          <t>19/03/2026</t>
        </is>
      </c>
      <c r="I21158" s="10" t="inlineStr">
        <is>
          <t>17/03/2026</t>
        </is>
      </c>
      <c r="J21158" s="10" t="inlineStr">
        <is>
          <t>Bán lẻ / Bán sỉ, Bán hàng / Kinh doanh, Xây dựng</t>
        </is>
      </c>
      <c r="K21158" s="10" t="inlineStr">
        <is>
          <t>1 - 2 Năm</t>
        </is>
      </c>
      <c r="L21158" s="11">
        <f>HYPERLINK("https://careerviet.vn/vi/tim-viec-lam/nhan-vien-kinh-doanh-tay-nam-bo.35C629BC.html","Xem chi tiết")</f>
        <v/>
      </c>
      <c r="M21158" s="10" t="n"/>
    </row>
    <row r="21159">
      <c r="B21159" s="7" t="n">
        <v>21157</v>
      </c>
      <c r="C21159" t="inlineStr">
        <is>
          <t>Trưởng phòng Nghiên Cứu Phát triển Sản phẩm - R&amp;D Manager</t>
        </is>
      </c>
      <c r="D21159" t="inlineStr">
        <is>
          <t>Tập Đoàn Karofi Holding</t>
        </is>
      </c>
      <c r="E21159" t="inlineStr">
        <is>
          <t>Lương:1.800 - 3.000 USD</t>
        </is>
      </c>
      <c r="F21159" t="inlineStr">
        <is>
          <t>Hà NộiHưng Yên</t>
        </is>
      </c>
      <c r="G21159" t="inlineStr">
        <is>
          <t>2</t>
        </is>
      </c>
      <c r="H21159" t="inlineStr">
        <is>
          <t>19/03/2026</t>
        </is>
      </c>
      <c r="I21159" t="inlineStr">
        <is>
          <t>17/03/2026</t>
        </is>
      </c>
      <c r="J21159" t="inlineStr">
        <is>
          <t>Cơ khí / Ô tô / Tự động hóa, Hàng gia dụng / Chăm sóc cá nhân, Điện / Điện tử / Điện lạnh / Điện công nghiệp</t>
        </is>
      </c>
      <c r="K21159" t="inlineStr">
        <is>
          <t>Trên 3 Năm</t>
        </is>
      </c>
      <c r="L21159" s="8">
        <f>HYPERLINK("https://careerviet.vn/vi/tim-viec-lam/truong-phong-nghien-cuu-phat-trien-san-pham-r-d-manager.35C63446.html","Xem chi tiết")</f>
        <v/>
      </c>
    </row>
    <row r="21160">
      <c r="B21160" s="9" t="n">
        <v>21158</v>
      </c>
      <c r="C21160" s="10" t="inlineStr">
        <is>
          <t>Logistic officer</t>
        </is>
      </c>
      <c r="D21160" s="10" t="inlineStr">
        <is>
          <t>CÔNG TY TNHH CAVI EXPRESS</t>
        </is>
      </c>
      <c r="E21160" s="10" t="inlineStr">
        <is>
          <t>Lương:7,5 Tr - 9 Tr VND</t>
        </is>
      </c>
      <c r="F21160" s="10" t="inlineStr">
        <is>
          <t>Hồ Chí Minh</t>
        </is>
      </c>
      <c r="G21160" s="10" t="inlineStr">
        <is>
          <t>2</t>
        </is>
      </c>
      <c r="H21160" s="10" t="inlineStr">
        <is>
          <t>19/03/2026</t>
        </is>
      </c>
      <c r="I21160" s="10" t="inlineStr">
        <is>
          <t>17/03/2026</t>
        </is>
      </c>
      <c r="J21160" s="10" t="inlineStr">
        <is>
          <t>Bán lẻ / Bán sỉ, Vận chuyển / Giao nhận / Kho vận, Hàng gia dụng / Chăm sóc cá nhân</t>
        </is>
      </c>
      <c r="K21160" s="10" t="inlineStr">
        <is>
          <t>1 - 2 Năm</t>
        </is>
      </c>
      <c r="L21160" s="11">
        <f>HYPERLINK("https://careerviet.vn/vi/tim-viec-lam/logistic-officer.35C63493.html","Xem chi tiết")</f>
        <v/>
      </c>
      <c r="M21160" s="10" t="n"/>
    </row>
    <row r="21161">
      <c r="B21161" s="7" t="n">
        <v>21159</v>
      </c>
      <c r="C21161" t="inlineStr">
        <is>
          <t>Trưởng Phòng Thu Mua</t>
        </is>
      </c>
      <c r="D21161" t="inlineStr">
        <is>
          <t>CÔNG TY CỔ PHẦN THẾ THẢO PHARMA</t>
        </is>
      </c>
      <c r="E21161" t="inlineStr">
        <is>
          <t>Lương:16 Tr - 22 Tr VND</t>
        </is>
      </c>
      <c r="F21161" t="inlineStr">
        <is>
          <t>Hà Nội</t>
        </is>
      </c>
      <c r="G21161" t="inlineStr">
        <is>
          <t>2</t>
        </is>
      </c>
      <c r="H21161" t="inlineStr">
        <is>
          <t>19/03/2026</t>
        </is>
      </c>
      <c r="I21161" t="inlineStr">
        <is>
          <t>17/03/2026</t>
        </is>
      </c>
      <c r="J21161" t="inlineStr">
        <is>
          <t>Thương mại điện tử, Dược phẩm/ Hóa Mỹ Phẩm</t>
        </is>
      </c>
      <c r="K21161" t="inlineStr">
        <is>
          <t>1 - 2 Năm</t>
        </is>
      </c>
      <c r="L21161" s="8">
        <f>HYPERLINK("https://careerviet.vn/vi/tim-viec-lam/truong-phong-thu-mua.35C63575.html","Xem chi tiết")</f>
        <v/>
      </c>
    </row>
    <row r="21162">
      <c r="B21162" s="9" t="n">
        <v>21160</v>
      </c>
      <c r="C21162" s="10" t="inlineStr">
        <is>
          <t>Chuyên viên mua hàng nguyên liệu (Đăk Lăk)</t>
        </is>
      </c>
      <c r="D21162" s="10" t="inlineStr">
        <is>
          <t>Công ty cổ phần Nafoods Group</t>
        </is>
      </c>
      <c r="E21162" s="10" t="inlineStr">
        <is>
          <t>Lương:18 Tr - 25 Tr VND</t>
        </is>
      </c>
      <c r="F21162" s="10" t="inlineStr">
        <is>
          <t>Dak Lak</t>
        </is>
      </c>
      <c r="G21162" s="10" t="inlineStr">
        <is>
          <t>2</t>
        </is>
      </c>
      <c r="H21162" s="10" t="inlineStr">
        <is>
          <t>19/03/2026</t>
        </is>
      </c>
      <c r="I21162" s="10" t="inlineStr">
        <is>
          <t>17/03/2026</t>
        </is>
      </c>
      <c r="J21162" s="10" t="inlineStr">
        <is>
          <t>Bán hàng / Kinh doanh, Thu mua / Vật tư</t>
        </is>
      </c>
      <c r="K21162" s="10" t="inlineStr">
        <is>
          <t>1 - 2 Năm</t>
        </is>
      </c>
      <c r="L21162" s="11">
        <f>HYPERLINK("https://careerviet.vn/vi/tim-viec-lam/chuyen-vien-mua-hang-nguyen-lieu-dak-lak.35C634B7.html","Xem chi tiết")</f>
        <v/>
      </c>
      <c r="M21162" s="10" t="n"/>
    </row>
    <row r="21163">
      <c r="B21163" s="7" t="n">
        <v>21161</v>
      </c>
      <c r="C21163" t="inlineStr">
        <is>
          <t>Chuyên viên cao cấp Tổ chức Triển khai và Vận hành Ứng dụng CNTT</t>
        </is>
      </c>
      <c r="D21163" t="inlineStr">
        <is>
          <t>Nova Service Group - Công ty Cổ phần Tập đoàn Nova Services</t>
        </is>
      </c>
      <c r="E21163" t="inlineStr">
        <is>
          <t>Lương:20 Tr - 35 Tr VND</t>
        </is>
      </c>
      <c r="F21163" t="inlineStr">
        <is>
          <t>Hồ Chí Minh</t>
        </is>
      </c>
      <c r="G21163" t="inlineStr">
        <is>
          <t>2</t>
        </is>
      </c>
      <c r="H21163" t="inlineStr">
        <is>
          <t>19/03/2026</t>
        </is>
      </c>
      <c r="I21163" t="inlineStr">
        <is>
          <t>17/03/2026</t>
        </is>
      </c>
      <c r="J21163" t="inlineStr">
        <is>
          <t>CNTT - Phần mềm, CNTT - Phần cứng / Mạng</t>
        </is>
      </c>
      <c r="K21163" t="inlineStr">
        <is>
          <t>4 - 5 Năm</t>
        </is>
      </c>
      <c r="L21163" s="8">
        <f>HYPERLINK("https://careerviet.vn/vi/tim-viec-lam/chuyen-vien-cao-cap-to-chuc-trien-khai-va-van-hanh-ung-dung-cntt.35C635E6.html","Xem chi tiết")</f>
        <v/>
      </c>
    </row>
    <row r="21164">
      <c r="B21164" s="9" t="n">
        <v>21162</v>
      </c>
      <c r="C21164" s="10" t="inlineStr">
        <is>
          <t>Trưởng Phòng Kinh Doanh (Lõi Lọc Nước, làm việc tại Hải Dương)</t>
        </is>
      </c>
      <c r="D21164" s="10" t="inlineStr">
        <is>
          <t>Headhunter HRchannels Group</t>
        </is>
      </c>
      <c r="E21164" s="10" t="inlineStr">
        <is>
          <t>Lương:20 Tr - 30 Tr VND</t>
        </is>
      </c>
      <c r="F21164" s="10" t="inlineStr">
        <is>
          <t>Hải DươngHưng YênHà Nội</t>
        </is>
      </c>
      <c r="G21164" s="10" t="inlineStr">
        <is>
          <t>2</t>
        </is>
      </c>
      <c r="H21164" s="10" t="inlineStr">
        <is>
          <t>19/03/2026</t>
        </is>
      </c>
      <c r="I21164" s="10" t="inlineStr">
        <is>
          <t>17/03/2026</t>
        </is>
      </c>
      <c r="J21164" s="10" t="inlineStr">
        <is>
          <t>Bán hàng / Kinh doanh, Xuất nhập khẩu, Bán lẻ / Bán sỉ</t>
        </is>
      </c>
      <c r="K21164" s="10" t="inlineStr">
        <is>
          <t>3 - 11 Năm</t>
        </is>
      </c>
      <c r="L21164" s="11">
        <f>HYPERLINK("https://careerviet.vn/vi/tim-viec-lam/truong-phong-kinh-doanh-loi-loc-nuoc-lam-viec-tai-hai-duong.35C635E3.html","Xem chi tiết")</f>
        <v/>
      </c>
      <c r="M21164" s="10" t="n"/>
    </row>
    <row r="21165">
      <c r="B21165" s="7" t="n">
        <v>21163</v>
      </c>
      <c r="C21165" t="inlineStr">
        <is>
          <t>[Chi nhánh Sóc Trăng] TBP Khách hàng Doanh nghiệp siêu nhỏ</t>
        </is>
      </c>
      <c r="D21165" t="inlineStr">
        <is>
          <t>Ngân hàng TMCP Đại Chúng Việt Nam - PVcomBank</t>
        </is>
      </c>
      <c r="E21165" t="inlineStr">
        <is>
          <t>Lương:Cạnh tranh</t>
        </is>
      </c>
      <c r="F21165" t="inlineStr">
        <is>
          <t>Sóc Trăng</t>
        </is>
      </c>
      <c r="G21165" t="inlineStr">
        <is>
          <t>2</t>
        </is>
      </c>
      <c r="H21165" t="inlineStr">
        <is>
          <t>19/03/2026</t>
        </is>
      </c>
      <c r="I21165" t="inlineStr">
        <is>
          <t>17/03/2026</t>
        </is>
      </c>
      <c r="J21165" t="inlineStr">
        <is>
          <t>Ngân hàng, Tài chính / Đầu tư</t>
        </is>
      </c>
      <c r="K21165" t="inlineStr">
        <is>
          <t>Trên 2 Năm</t>
        </is>
      </c>
      <c r="L21165" s="8">
        <f>HYPERLINK("https://careerviet.vn/vi/tim-viec-lam/chi-nhanh-soc-trang-tbp-khach-hang-doanh-nghiep-sieu-nho.35C634CB.html","Xem chi tiết")</f>
        <v/>
      </c>
    </row>
    <row r="21166">
      <c r="B21166" s="9" t="n">
        <v>21164</v>
      </c>
      <c r="C21166" s="10" t="inlineStr">
        <is>
          <t>Trưởng Phòng Mua Hàng</t>
        </is>
      </c>
      <c r="D21166" s="10" t="inlineStr">
        <is>
          <t>CÔNG TY TNHH NÔNG NGHIỆP HIỆP PHÁT</t>
        </is>
      </c>
      <c r="E21166" s="10" t="inlineStr">
        <is>
          <t>Lương:15 Tr - 40 Tr VND</t>
        </is>
      </c>
      <c r="F21166" s="10" t="inlineStr">
        <is>
          <t>Đồng Tháp</t>
        </is>
      </c>
      <c r="G21166" s="10" t="inlineStr">
        <is>
          <t>2</t>
        </is>
      </c>
      <c r="H21166" s="10" t="inlineStr">
        <is>
          <t>19/03/2026</t>
        </is>
      </c>
      <c r="I21166" s="10" t="inlineStr">
        <is>
          <t>17/03/2026</t>
        </is>
      </c>
      <c r="J21166" s="10" t="inlineStr">
        <is>
          <t>Kế toán / Kiểm toán, Nông nghiệp, Thu mua / Vật tư</t>
        </is>
      </c>
      <c r="K21166" s="10" t="inlineStr">
        <is>
          <t>3 - 5 Năm</t>
        </is>
      </c>
      <c r="L21166" s="11">
        <f>HYPERLINK("https://careerviet.vn/vi/tim-viec-lam/truong-phong-mua-hang.35C63530.html","Xem chi tiết")</f>
        <v/>
      </c>
      <c r="M21166" s="10" t="n"/>
    </row>
    <row r="21167">
      <c r="B21167" s="7" t="n">
        <v>21165</v>
      </c>
      <c r="C21167" t="inlineStr">
        <is>
          <t>Field Application Engineer</t>
        </is>
      </c>
      <c r="D21167" t="inlineStr">
        <is>
          <t>CÔNG TY CỔ PHẦN GREMSY</t>
        </is>
      </c>
      <c r="E21167" t="inlineStr">
        <is>
          <t>Lương:Cạnh tranh</t>
        </is>
      </c>
      <c r="F21167" t="inlineStr">
        <is>
          <t>Hồ Chí Minh</t>
        </is>
      </c>
      <c r="G21167" t="inlineStr">
        <is>
          <t>2</t>
        </is>
      </c>
      <c r="H21167" t="inlineStr">
        <is>
          <t>19/03/2026</t>
        </is>
      </c>
      <c r="I21167" t="inlineStr">
        <is>
          <t>17/03/2026</t>
        </is>
      </c>
      <c r="J21167" t="inlineStr">
        <is>
          <t>Dịch vụ khách hàng, Cơ khí / Ô tô / Tự động hóa, Điện / Điện tử / Điện lạnh / Điện công nghiệp</t>
        </is>
      </c>
      <c r="K21167" t="inlineStr">
        <is>
          <t>1 - 5 Năm</t>
        </is>
      </c>
      <c r="L21167" s="8">
        <f>HYPERLINK("https://careerviet.vn/vi/tim-viec-lam/field-application-engineer.35C635DF.html","Xem chi tiết")</f>
        <v/>
      </c>
    </row>
    <row r="21168">
      <c r="B21168" s="9" t="n">
        <v>21166</v>
      </c>
      <c r="C21168" s="10" t="inlineStr">
        <is>
          <t>Production supervisor</t>
        </is>
      </c>
      <c r="D21168" s="10" t="inlineStr">
        <is>
          <t>Công ty TNHH Olam Việt Nam</t>
        </is>
      </c>
      <c r="E21168" s="10" t="inlineStr">
        <is>
          <t>Lương:Cạnh tranh</t>
        </is>
      </c>
      <c r="F21168" s="10" t="inlineStr">
        <is>
          <t>Đồng Nai</t>
        </is>
      </c>
      <c r="G21168" s="10" t="inlineStr">
        <is>
          <t>2</t>
        </is>
      </c>
      <c r="H21168" s="10" t="inlineStr">
        <is>
          <t>19/03/2026</t>
        </is>
      </c>
      <c r="I21168" s="10" t="inlineStr">
        <is>
          <t>17/03/2026</t>
        </is>
      </c>
      <c r="J21168" s="10" t="inlineStr">
        <is>
          <t>Sản xuất / Vận hành sản xuất, Thực phẩm &amp; Đồ uống, Công nghệ thực phẩm / Dinh dưỡng</t>
        </is>
      </c>
      <c r="K21168" s="10" t="inlineStr">
        <is>
          <t>2 - 5 Năm</t>
        </is>
      </c>
      <c r="L21168" s="11">
        <f>HYPERLINK("https://careerviet.vn/vi/tim-viec-lam/production-supervisor.35C634E5.html","Xem chi tiết")</f>
        <v/>
      </c>
      <c r="M21168" s="10" t="n"/>
    </row>
    <row r="21169">
      <c r="B21169" s="7" t="n">
        <v>21167</v>
      </c>
      <c r="C21169" t="inlineStr">
        <is>
          <t>Tư vấn bán hàng sơn</t>
        </is>
      </c>
      <c r="D21169" t="inlineStr">
        <is>
          <t>Công Ty TNHH Sơn Seamaster Việt Nam</t>
        </is>
      </c>
      <c r="E21169" t="inlineStr">
        <is>
          <t>Lương:8 Tr - 8 Tr VND</t>
        </is>
      </c>
      <c r="F21169" t="inlineStr">
        <is>
          <t>Lâm ĐồngHà NộiHồ Chí Minh</t>
        </is>
      </c>
      <c r="G21169" t="inlineStr">
        <is>
          <t>2</t>
        </is>
      </c>
      <c r="H21169" t="inlineStr">
        <is>
          <t>19/03/2026</t>
        </is>
      </c>
      <c r="I21169" t="inlineStr">
        <is>
          <t>17/03/2026</t>
        </is>
      </c>
      <c r="J21169" t="inlineStr">
        <is>
          <t>Bán lẻ / Bán sỉ, Bán hàng / Kinh doanh, Dịch vụ khách hàng</t>
        </is>
      </c>
      <c r="K21169" t="inlineStr">
        <is>
          <t>Chưa có kinh nghiệm</t>
        </is>
      </c>
      <c r="L21169" s="8">
        <f>HYPERLINK("https://careerviet.vn/vi/tim-viec-lam/tu-van-ban-hang-son.35C63535.html","Xem chi tiết")</f>
        <v/>
      </c>
    </row>
    <row r="21170">
      <c r="B21170" s="9" t="n">
        <v>21168</v>
      </c>
      <c r="C21170" s="10" t="inlineStr">
        <is>
          <t>Chuyên viên tối ưu quảng cáo/ Ads Optimization Specialist</t>
        </is>
      </c>
      <c r="D21170" s="10" t="inlineStr">
        <is>
          <t>Công ty TNHH Sản xuất Thương mại &amp; Dịch vụ Hoa Xinh</t>
        </is>
      </c>
      <c r="E21170" s="10" t="inlineStr">
        <is>
          <t>Lương:10 Tr - 20 Tr VND</t>
        </is>
      </c>
      <c r="F21170" s="10" t="inlineStr">
        <is>
          <t>Hồ Chí Minh</t>
        </is>
      </c>
      <c r="G21170" s="10" t="inlineStr">
        <is>
          <t>2</t>
        </is>
      </c>
      <c r="H21170" s="10" t="inlineStr">
        <is>
          <t>19/03/2026</t>
        </is>
      </c>
      <c r="I21170" s="10" t="inlineStr">
        <is>
          <t>17/03/2026</t>
        </is>
      </c>
      <c r="J21170" s="10" t="inlineStr">
        <is>
          <t>Tiếp thị / Marketing, Tiếp thị trực tuyến, Thương mại điện tử</t>
        </is>
      </c>
      <c r="K21170" s="10" t="inlineStr">
        <is>
          <t>3 - 10 Năm</t>
        </is>
      </c>
      <c r="L21170" s="11">
        <f>HYPERLINK("https://careerviet.vn/vi/tim-viec-lam/chuyen-vien-toi-uu-quang-cao-ads-optimization-specialist.35C6357B.html","Xem chi tiết")</f>
        <v/>
      </c>
      <c r="M21170" s="10" t="n"/>
    </row>
    <row r="21171">
      <c r="B21171" s="7" t="n">
        <v>21169</v>
      </c>
      <c r="C21171" t="inlineStr">
        <is>
          <t>Chuyên Viên Kinh Doanh Cơ Khí (Bình Dương)</t>
        </is>
      </c>
      <c r="D21171" t="inlineStr">
        <is>
          <t>CÔNG TY CỔ PHẦN GIẢI PHÁP CƠ KHÍ VNTECH</t>
        </is>
      </c>
      <c r="E21171" t="inlineStr">
        <is>
          <t>Lương:15 Tr - 40 Tr VND</t>
        </is>
      </c>
      <c r="F21171" t="inlineStr">
        <is>
          <t>Bình Dương</t>
        </is>
      </c>
      <c r="G21171" t="inlineStr">
        <is>
          <t>2</t>
        </is>
      </c>
      <c r="H21171" t="inlineStr">
        <is>
          <t>18/03/2026</t>
        </is>
      </c>
      <c r="I21171" t="inlineStr">
        <is>
          <t>17/03/2026</t>
        </is>
      </c>
      <c r="J21171" t="inlineStr">
        <is>
          <t>Điện / Điện tử / Điện lạnh / Điện công nghiệp, Bán hàng / Kinh doanh, Cơ khí / Ô tô / Tự động hóa</t>
        </is>
      </c>
      <c r="K21171" t="inlineStr">
        <is>
          <t>1 - 2 Năm</t>
        </is>
      </c>
      <c r="L21171" s="8">
        <f>HYPERLINK("https://careerviet.vn/vi/tim-viec-lam/chuyen-vien-kinh-doanh-co-khi-binh-duong.35C634EC.html","Xem chi tiết")</f>
        <v/>
      </c>
    </row>
    <row r="21172">
      <c r="B21172" s="9" t="n">
        <v>21170</v>
      </c>
      <c r="C21172" s="10" t="inlineStr">
        <is>
          <t>NHÂN VIÊN KINH DOANH QUỐC TẾ</t>
        </is>
      </c>
      <c r="D21172" s="10" t="inlineStr">
        <is>
          <t>Công ty TNHH MTV Bao bì quốc tế</t>
        </is>
      </c>
      <c r="E21172" s="10" t="inlineStr">
        <is>
          <t>Lương:12 Tr - 20 Tr VND</t>
        </is>
      </c>
      <c r="F21172" s="10" t="inlineStr">
        <is>
          <t>Hà Nội</t>
        </is>
      </c>
      <c r="G21172" s="10" t="inlineStr">
        <is>
          <t>2</t>
        </is>
      </c>
      <c r="H21172" s="10" t="inlineStr">
        <is>
          <t>19/03/2026</t>
        </is>
      </c>
      <c r="I21172" s="10" t="inlineStr">
        <is>
          <t>17/03/2026</t>
        </is>
      </c>
      <c r="J21172" s="10" t="inlineStr">
        <is>
          <t>Bán hàng / Kinh doanh, Xuất nhập khẩu, Tiếp thị trực tuyến</t>
        </is>
      </c>
      <c r="K21172" s="10" t="inlineStr">
        <is>
          <t>Trên 3 Năm</t>
        </is>
      </c>
      <c r="L21172" s="11">
        <f>HYPERLINK("https://careerviet.vn/vi/tim-viec-lam/nhan-vien-kinh-doanh-quoc-te.35C634EB.html","Xem chi tiết")</f>
        <v/>
      </c>
      <c r="M21172" s="10" t="n"/>
    </row>
    <row r="21173">
      <c r="B21173" s="7" t="n">
        <v>21171</v>
      </c>
      <c r="C21173" t="inlineStr">
        <is>
          <t>Nhân Viên Kinh Doanh Hải Phòng</t>
        </is>
      </c>
      <c r="D21173" t="inlineStr">
        <is>
          <t>Công Ty TNHH Sơn Seamaster Việt Nam</t>
        </is>
      </c>
      <c r="E21173" t="inlineStr">
        <is>
          <t>Lương:10 Tr - 20 Tr VND</t>
        </is>
      </c>
      <c r="F21173" t="inlineStr">
        <is>
          <t>Thanh Hóa</t>
        </is>
      </c>
      <c r="G21173" t="inlineStr">
        <is>
          <t>2</t>
        </is>
      </c>
      <c r="H21173" t="inlineStr">
        <is>
          <t>19/03/2026</t>
        </is>
      </c>
      <c r="I21173" t="inlineStr">
        <is>
          <t>17/03/2026</t>
        </is>
      </c>
      <c r="J21173" t="inlineStr">
        <is>
          <t>Bán lẻ / Bán sỉ, Bán hàng / Kinh doanh, Dịch vụ khách hàng</t>
        </is>
      </c>
      <c r="K21173" t="inlineStr">
        <is>
          <t>2 - 3 Năm</t>
        </is>
      </c>
      <c r="L21173" s="8">
        <f>HYPERLINK("https://careerviet.vn/vi/tim-viec-lam/nhan-vien-kinh-doanh-hai-phong.35C6349E.html","Xem chi tiết")</f>
        <v/>
      </c>
    </row>
    <row r="21174">
      <c r="B21174" s="9" t="n">
        <v>21172</v>
      </c>
      <c r="C21174" s="10" t="inlineStr">
        <is>
          <t>Thư ký phó chủ tịch (Chủ đầu tư BĐS)</t>
        </is>
      </c>
      <c r="D21174" s="10" t="inlineStr">
        <is>
          <t>Công Ty CP Đầu Tư IMG</t>
        </is>
      </c>
      <c r="E21174" s="10" t="inlineStr">
        <is>
          <t>Lương:13 Tr - 15 Tr VND</t>
        </is>
      </c>
      <c r="F21174" s="10" t="inlineStr">
        <is>
          <t>Hồ Chí Minh</t>
        </is>
      </c>
      <c r="G21174" s="10" t="inlineStr">
        <is>
          <t>2</t>
        </is>
      </c>
      <c r="H21174" s="10" t="inlineStr">
        <is>
          <t>19/03/2026</t>
        </is>
      </c>
      <c r="I21174" s="10" t="inlineStr">
        <is>
          <t>17/03/2026</t>
        </is>
      </c>
      <c r="J21174" s="10" t="inlineStr">
        <is>
          <t>Bất động sản, Bán hàng / Kinh doanh, Hành chính / Thư ký</t>
        </is>
      </c>
      <c r="K21174" s="10" t="inlineStr">
        <is>
          <t>2 - 3 Năm</t>
        </is>
      </c>
      <c r="L21174" s="11">
        <f>HYPERLINK("https://careerviet.vn/vi/tim-viec-lam/thu-ky-pho-chu-tich-chu-dau-tu-bds.35C635A6.html","Xem chi tiết")</f>
        <v/>
      </c>
      <c r="M21174" s="10" t="n"/>
    </row>
    <row r="21175">
      <c r="B21175" s="7" t="n">
        <v>21173</v>
      </c>
      <c r="C21175" t="inlineStr">
        <is>
          <t>Nhân Viên Kinh Doanh</t>
        </is>
      </c>
      <c r="D21175" t="inlineStr">
        <is>
          <t>Công Ty TNHH Sơn Seamaster Việt Nam</t>
        </is>
      </c>
      <c r="E21175" t="inlineStr">
        <is>
          <t>Lương:10 Tr - 20 Tr VND</t>
        </is>
      </c>
      <c r="F21175" t="inlineStr">
        <is>
          <t>Vĩnh LongBến TreTrà Vinh</t>
        </is>
      </c>
      <c r="G21175" t="inlineStr">
        <is>
          <t>2</t>
        </is>
      </c>
      <c r="H21175" t="inlineStr">
        <is>
          <t>19/03/2026</t>
        </is>
      </c>
      <c r="I21175" t="inlineStr">
        <is>
          <t>17/03/2026</t>
        </is>
      </c>
      <c r="J21175" t="inlineStr">
        <is>
          <t>Bán lẻ / Bán sỉ, Bán hàng / Kinh doanh, Xây dựng</t>
        </is>
      </c>
      <c r="K21175" t="inlineStr">
        <is>
          <t>1 - 2 Năm</t>
        </is>
      </c>
      <c r="L21175" s="8">
        <f>HYPERLINK("https://careerviet.vn/vi/tim-viec-lam/nhan-vien-kinh-doanh.35C634D4.html","Xem chi tiết")</f>
        <v/>
      </c>
    </row>
    <row r="21176">
      <c r="B21176" s="9" t="n">
        <v>21174</v>
      </c>
      <c r="C21176" s="10" t="inlineStr">
        <is>
          <t>[NovaService] Chuyên viên cao cấp Tổ chức Phân tích Nghiệp vụ CNTT</t>
        </is>
      </c>
      <c r="D21176" s="10" t="inlineStr">
        <is>
          <t>Nova Service Group - Công ty Cổ phần Tập đoàn Nova Services</t>
        </is>
      </c>
      <c r="E21176" s="10" t="inlineStr">
        <is>
          <t>Lương:20 Tr - 30 Tr VND</t>
        </is>
      </c>
      <c r="F21176" s="10" t="inlineStr">
        <is>
          <t>Hồ Chí Minh</t>
        </is>
      </c>
      <c r="G21176" s="10" t="inlineStr">
        <is>
          <t>2</t>
        </is>
      </c>
      <c r="H21176" s="10" t="inlineStr">
        <is>
          <t>19/03/2026</t>
        </is>
      </c>
      <c r="I21176" s="10" t="inlineStr">
        <is>
          <t>17/03/2026</t>
        </is>
      </c>
      <c r="J21176" s="10" t="inlineStr">
        <is>
          <t>CNTT - Phần mềm, CNTT - Phần cứng / Mạng</t>
        </is>
      </c>
      <c r="K21176" s="10" t="inlineStr">
        <is>
          <t>4 - 5 Năm</t>
        </is>
      </c>
      <c r="L21176" s="11">
        <f>HYPERLINK("https://careerviet.vn/vi/tim-viec-lam/novaservice-chuyen-vien-cao-cap-to-chuc-phan-tich-nghiep-vu-cntt.35C635E2.html","Xem chi tiết")</f>
        <v/>
      </c>
      <c r="M21176" s="10" t="n"/>
    </row>
    <row r="21177">
      <c r="B21177" s="7" t="n">
        <v>21175</v>
      </c>
      <c r="C21177" t="inlineStr">
        <is>
          <t>Kỹ Sư Chất Lượng (Sản xuất, Tiếng Trung)</t>
        </is>
      </c>
      <c r="D21177" t="inlineStr">
        <is>
          <t>Headhunter HRchannels Group</t>
        </is>
      </c>
      <c r="E21177" t="inlineStr">
        <is>
          <t>Lương:20 Tr - 35 Tr VND</t>
        </is>
      </c>
      <c r="F21177" t="inlineStr">
        <is>
          <t>Tây NinhHải DươngHà Nội</t>
        </is>
      </c>
      <c r="G21177" t="inlineStr">
        <is>
          <t>2</t>
        </is>
      </c>
      <c r="H21177" t="inlineStr">
        <is>
          <t>19/03/2026</t>
        </is>
      </c>
      <c r="I21177" t="inlineStr">
        <is>
          <t>17/03/2026</t>
        </is>
      </c>
      <c r="J21177" t="inlineStr">
        <is>
          <t>Cơ khí / Ô tô / Tự động hóa, Sản xuất / Vận hành sản xuất, Quản lý chất lượng (QA/QC)</t>
        </is>
      </c>
      <c r="K21177" t="inlineStr">
        <is>
          <t>2 - 3 Năm</t>
        </is>
      </c>
      <c r="L21177" s="8">
        <f>HYPERLINK("https://careerviet.vn/vi/tim-viec-lam/ky-su-chat-luong-san-xuat-tieng-trung.35C63573.html","Xem chi tiết")</f>
        <v/>
      </c>
    </row>
    <row r="21178">
      <c r="B21178" s="9" t="n">
        <v>21176</v>
      </c>
      <c r="C21178" s="10" t="inlineStr">
        <is>
          <t>Nhân Viên Kinh Doanh Phần Mềm ( Nghỉ T7/CN)</t>
        </is>
      </c>
      <c r="D21178" s="10" t="inlineStr">
        <is>
          <t>LacViet Computing Corporation</t>
        </is>
      </c>
      <c r="E21178" s="10" t="inlineStr">
        <is>
          <t>Lương:8 Tr - 50 Tr VND</t>
        </is>
      </c>
      <c r="F21178" s="10" t="inlineStr">
        <is>
          <t>Hồ Chí Minh</t>
        </is>
      </c>
      <c r="G21178" s="10" t="inlineStr">
        <is>
          <t>2</t>
        </is>
      </c>
      <c r="H21178" s="10" t="inlineStr">
        <is>
          <t>19/03/2026</t>
        </is>
      </c>
      <c r="I21178" s="10" t="inlineStr">
        <is>
          <t>17/03/2026</t>
        </is>
      </c>
      <c r="J21178" s="10" t="inlineStr">
        <is>
          <t>CNTT - Phần mềm, CNTT - Phần cứng / Mạng, Bán hàng / Kinh doanh</t>
        </is>
      </c>
      <c r="K21178" s="10" t="inlineStr">
        <is>
          <t>1 - 2 Năm</t>
        </is>
      </c>
      <c r="L21178" s="11">
        <f>HYPERLINK("https://careerviet.vn/vi/tim-viec-lam/nhan-vien-kinh-doanh-phan-mem-nghi-t7-cn.35C63565.html","Xem chi tiết")</f>
        <v/>
      </c>
      <c r="M21178" s="10" t="n"/>
    </row>
    <row r="21179">
      <c r="B21179" s="7" t="n">
        <v>21177</v>
      </c>
      <c r="C21179" t="inlineStr">
        <is>
          <t>Service Engineer</t>
        </is>
      </c>
      <c r="D21179" t="inlineStr">
        <is>
          <t>Công ty TNHH Sao Đỏ Việt Nam - Chi nhánh CMS</t>
        </is>
      </c>
      <c r="E21179" t="inlineStr">
        <is>
          <t>Lương:10 Tr - 20 Tr VND</t>
        </is>
      </c>
      <c r="F21179" t="inlineStr">
        <is>
          <t>Hồ Chí Minh</t>
        </is>
      </c>
      <c r="G21179" t="inlineStr">
        <is>
          <t>2</t>
        </is>
      </c>
      <c r="H21179" t="inlineStr">
        <is>
          <t>19/03/2026</t>
        </is>
      </c>
      <c r="I21179" t="inlineStr">
        <is>
          <t>17/03/2026</t>
        </is>
      </c>
      <c r="J21179" t="inlineStr">
        <is>
          <t>Hóa học</t>
        </is>
      </c>
      <c r="K21179" t="inlineStr">
        <is>
          <t>Chưa có kinh nghiệm</t>
        </is>
      </c>
      <c r="L21179" s="8">
        <f>HYPERLINK("https://careerviet.vn/vi/tim-viec-lam/service-engineer.35C63584.html","Xem chi tiết")</f>
        <v/>
      </c>
    </row>
    <row r="21180">
      <c r="B21180" s="9" t="n">
        <v>21178</v>
      </c>
      <c r="C21180" s="10" t="inlineStr">
        <is>
          <t>Chuyên viên truyền thông nội bộ</t>
        </is>
      </c>
      <c r="D21180" s="10" t="inlineStr">
        <is>
          <t>Công Ty Cổ Phần Thép Việt Xô Hà Nội</t>
        </is>
      </c>
      <c r="E21180" s="10" t="inlineStr">
        <is>
          <t>Lương:Cạnh tranh</t>
        </is>
      </c>
      <c r="F21180" s="10" t="inlineStr">
        <is>
          <t>Hà Nội</t>
        </is>
      </c>
      <c r="G21180" s="10" t="inlineStr">
        <is>
          <t>2</t>
        </is>
      </c>
      <c r="H21180" s="10" t="inlineStr">
        <is>
          <t>19/03/2026</t>
        </is>
      </c>
      <c r="I21180" s="10" t="inlineStr">
        <is>
          <t>17/03/2026</t>
        </is>
      </c>
      <c r="J21180" s="10" t="inlineStr">
        <is>
          <t>Tiếp thị / Marketing, Truyền hình / Báo chí / Biên tập, Quảng cáo / Đối ngoại / Truyền Thông</t>
        </is>
      </c>
      <c r="K21180" s="10" t="inlineStr">
        <is>
          <t>2 - 3 Năm</t>
        </is>
      </c>
      <c r="L21180" s="11">
        <f>HYPERLINK("https://careerviet.vn/vi/tim-viec-lam/chuyen-vien-truyen-thong-noi-bo.35C63608.html","Xem chi tiết")</f>
        <v/>
      </c>
      <c r="M21180" s="10" t="n"/>
    </row>
    <row r="21181">
      <c r="B21181" s="7" t="n">
        <v>21179</v>
      </c>
      <c r="C21181" t="inlineStr">
        <is>
          <t>Quản lý Khu vực</t>
        </is>
      </c>
      <c r="D21181" t="inlineStr">
        <is>
          <t>CÔNG TY CỔ PHẦN TRÀ VINH GC</t>
        </is>
      </c>
      <c r="E21181" t="inlineStr">
        <is>
          <t>Lương:25 Tr - 30 Tr VND</t>
        </is>
      </c>
      <c r="F21181" t="inlineStr">
        <is>
          <t>Hà NộiHồ Chí MinhĐà Nẵng</t>
        </is>
      </c>
      <c r="G21181" t="inlineStr">
        <is>
          <t>2</t>
        </is>
      </c>
      <c r="H21181" t="inlineStr">
        <is>
          <t>19/03/2026</t>
        </is>
      </c>
      <c r="I21181" t="inlineStr">
        <is>
          <t>17/03/2026</t>
        </is>
      </c>
      <c r="J21181" t="inlineStr">
        <is>
          <t>Kiến trúc, Xây dựng</t>
        </is>
      </c>
      <c r="K21181" t="inlineStr">
        <is>
          <t>3 - 4 Năm</t>
        </is>
      </c>
      <c r="L21181" s="8">
        <f>HYPERLINK("https://careerviet.vn/vi/tim-viec-lam/quan-ly-khu-vuc.35C635C6.html","Xem chi tiết")</f>
        <v/>
      </c>
    </row>
    <row r="21182">
      <c r="B21182" s="9" t="n">
        <v>21180</v>
      </c>
      <c r="C21182" s="10" t="inlineStr">
        <is>
          <t>Chuyên viên - Phát hành mẫu</t>
        </is>
      </c>
      <c r="D21182" s="10" t="inlineStr">
        <is>
          <t>CÔNG TY TNHH MTV CHẾ TÁC VÀ KINH DOANH TRANG SỨC PNJ</t>
        </is>
      </c>
      <c r="E21182" s="10" t="inlineStr">
        <is>
          <t>Lương:13 Tr - 15 Tr VND</t>
        </is>
      </c>
      <c r="F21182" s="10" t="inlineStr">
        <is>
          <t>Hồ Chí Minh</t>
        </is>
      </c>
      <c r="G21182" s="10" t="inlineStr">
        <is>
          <t>2</t>
        </is>
      </c>
      <c r="H21182" s="10" t="inlineStr">
        <is>
          <t>19/03/2026</t>
        </is>
      </c>
      <c r="I21182" s="10" t="inlineStr">
        <is>
          <t>17/03/2026</t>
        </is>
      </c>
      <c r="J21182" s="10" t="inlineStr">
        <is>
          <t>Bán lẻ / Bán sỉ, Sản xuất / Vận hành sản xuất, Dệt may / Da giày / Thời trang</t>
        </is>
      </c>
      <c r="K21182" s="10" t="inlineStr">
        <is>
          <t>2 - 3 Năm</t>
        </is>
      </c>
      <c r="L21182" s="11">
        <f>HYPERLINK("https://careerviet.vn/vi/tim-viec-lam/chuyen-vien-phat-hanh-mau.35C6359E.html","Xem chi tiết")</f>
        <v/>
      </c>
      <c r="M21182" s="10" t="n"/>
    </row>
    <row r="21183">
      <c r="B21183" s="7" t="n">
        <v>21181</v>
      </c>
      <c r="C21183" t="inlineStr">
        <is>
          <t>[NovaService] Chuyên viên tổ chức Quản trị mạng - phòng CNTT</t>
        </is>
      </c>
      <c r="D21183" t="inlineStr">
        <is>
          <t>Nova Service Group - Công ty Cổ phần Tập đoàn Nova Services</t>
        </is>
      </c>
      <c r="E21183" t="inlineStr">
        <is>
          <t>Lương:15 Tr - 20 Tr VND</t>
        </is>
      </c>
      <c r="F21183" t="inlineStr">
        <is>
          <t>Hồ Chí Minh</t>
        </is>
      </c>
      <c r="G21183" t="inlineStr">
        <is>
          <t>2</t>
        </is>
      </c>
      <c r="H21183" t="inlineStr">
        <is>
          <t>19/03/2026</t>
        </is>
      </c>
      <c r="I21183" t="inlineStr">
        <is>
          <t>17/03/2026</t>
        </is>
      </c>
      <c r="J21183" t="inlineStr">
        <is>
          <t>CNTT - Phần mềm, CNTT - Phần cứng / Mạng</t>
        </is>
      </c>
      <c r="K21183" t="inlineStr">
        <is>
          <t>3 - 4 Năm</t>
        </is>
      </c>
      <c r="L21183" s="8">
        <f>HYPERLINK("https://careerviet.vn/vi/tim-viec-lam/novaservice-chuyen-vien-to-chuc-quan-tri-mang-phong-cntt.35C635C4.html","Xem chi tiết")</f>
        <v/>
      </c>
    </row>
    <row r="21184">
      <c r="B21184" s="9" t="n">
        <v>21182</v>
      </c>
      <c r="C21184" s="10" t="inlineStr">
        <is>
          <t>Nhân Viên Kỹ Thuật</t>
        </is>
      </c>
      <c r="D21184" s="10" t="inlineStr">
        <is>
          <t>CÔNG TY CỔ PHẦN GIẢI PHÁP CƠ KHÍ VNTECH</t>
        </is>
      </c>
      <c r="E21184" s="10" t="inlineStr">
        <is>
          <t>Lương:12 Tr - 20 Tr VND</t>
        </is>
      </c>
      <c r="F21184" s="10" t="inlineStr">
        <is>
          <t>Hà Nội</t>
        </is>
      </c>
      <c r="G21184" s="10" t="inlineStr">
        <is>
          <t>2</t>
        </is>
      </c>
      <c r="H21184" s="10" t="inlineStr">
        <is>
          <t>18/03/2026</t>
        </is>
      </c>
      <c r="I21184" s="10" t="inlineStr">
        <is>
          <t>17/03/2026</t>
        </is>
      </c>
      <c r="J21184" s="10" t="inlineStr">
        <is>
          <t>Điện / Điện tử / Điện lạnh / Điện công nghiệp, Cơ khí / Ô tô / Tự động hóa</t>
        </is>
      </c>
      <c r="K21184" s="10" t="inlineStr">
        <is>
          <t>Lên đến 1 Năm</t>
        </is>
      </c>
      <c r="L21184" s="11">
        <f>HYPERLINK("https://careerviet.vn/vi/tim-viec-lam/nhan-vien-ky-thuat.35C634EE.html","Xem chi tiết")</f>
        <v/>
      </c>
      <c r="M21184" s="10" t="n"/>
    </row>
    <row r="21185">
      <c r="B21185" s="7" t="n">
        <v>21183</v>
      </c>
      <c r="C21185" t="inlineStr">
        <is>
          <t>[Chi nhánh Sóc Trăng] TBP Khách hàng cá nhân</t>
        </is>
      </c>
      <c r="D21185" t="inlineStr">
        <is>
          <t>Ngân hàng TMCP Đại Chúng Việt Nam - PVcomBank</t>
        </is>
      </c>
      <c r="E21185" t="inlineStr">
        <is>
          <t>Lương:Cạnh tranh</t>
        </is>
      </c>
      <c r="F21185" t="inlineStr">
        <is>
          <t>Sóc Trăng</t>
        </is>
      </c>
      <c r="G21185" t="inlineStr">
        <is>
          <t>2</t>
        </is>
      </c>
      <c r="H21185" t="inlineStr">
        <is>
          <t>19/03/2026</t>
        </is>
      </c>
      <c r="I21185" t="inlineStr">
        <is>
          <t>17/03/2026</t>
        </is>
      </c>
      <c r="J21185" t="inlineStr">
        <is>
          <t>Ngân hàng</t>
        </is>
      </c>
      <c r="K21185" t="inlineStr">
        <is>
          <t>Trên 2 Năm</t>
        </is>
      </c>
      <c r="L21185" s="8">
        <f>HYPERLINK("https://careerviet.vn/vi/tim-viec-lam/chi-nhanh-soc-trang-tbp-khach-hang-ca-nhan.35C634E7.html","Xem chi tiết")</f>
        <v/>
      </c>
    </row>
    <row r="21186">
      <c r="B21186" s="9" t="n">
        <v>21184</v>
      </c>
      <c r="C21186" s="10" t="inlineStr">
        <is>
          <t>Thủ kho</t>
        </is>
      </c>
      <c r="D21186" s="10" t="inlineStr">
        <is>
          <t>CÔNG TY TNHH NÔNG SẢN QUỐC TẾ ĐỨC VINH</t>
        </is>
      </c>
      <c r="E21186" s="10" t="inlineStr">
        <is>
          <t>Lương:Cạnh tranh</t>
        </is>
      </c>
      <c r="F21186" s="10" t="inlineStr">
        <is>
          <t>Long An</t>
        </is>
      </c>
      <c r="G21186" s="10" t="inlineStr">
        <is>
          <t>2</t>
        </is>
      </c>
      <c r="H21186" s="10" t="inlineStr">
        <is>
          <t>19/03/2026</t>
        </is>
      </c>
      <c r="I21186" s="10" t="inlineStr">
        <is>
          <t>17/03/2026</t>
        </is>
      </c>
      <c r="J21186" s="10" t="inlineStr">
        <is>
          <t>Vận chuyển / Giao nhận / Kho vận</t>
        </is>
      </c>
      <c r="K21186" s="10" t="inlineStr">
        <is>
          <t>1 - 2 Năm</t>
        </is>
      </c>
      <c r="L21186" s="11">
        <f>HYPERLINK("https://careerviet.vn/vi/tim-viec-lam/thu-kho.35C63480.html","Xem chi tiết")</f>
        <v/>
      </c>
      <c r="M21186" s="10" t="n"/>
    </row>
    <row r="21187">
      <c r="B21187" s="7" t="n">
        <v>21185</v>
      </c>
      <c r="C21187" t="inlineStr">
        <is>
          <t>Nhân Viên Kinh Doanh</t>
        </is>
      </c>
      <c r="D21187" t="inlineStr">
        <is>
          <t>CÔNG TY CỔ PHẦN LIÊN DOANH GALATEX VIỆT NAM</t>
        </is>
      </c>
      <c r="E21187" t="inlineStr">
        <is>
          <t>Lương:Trên 15 Tr VND</t>
        </is>
      </c>
      <c r="F21187" t="inlineStr">
        <is>
          <t>Lào CaiYên BáiLai Châu</t>
        </is>
      </c>
      <c r="G21187" t="inlineStr">
        <is>
          <t>2</t>
        </is>
      </c>
      <c r="H21187" t="inlineStr">
        <is>
          <t>19/03/2026</t>
        </is>
      </c>
      <c r="I21187" t="inlineStr">
        <is>
          <t>17/03/2026</t>
        </is>
      </c>
      <c r="J21187" t="inlineStr">
        <is>
          <t>Bán hàng / Kinh doanh, Tư vấn, Quản lý điều hành</t>
        </is>
      </c>
      <c r="K21187" t="inlineStr">
        <is>
          <t>Trên 2 Năm</t>
        </is>
      </c>
      <c r="L21187" s="8">
        <f>HYPERLINK("https://careerviet.vn/vi/tim-viec-lam/nhan-vien-kinh-doanh.35C635EF.html","Xem chi tiết")</f>
        <v/>
      </c>
    </row>
    <row r="21188">
      <c r="B21188" s="9" t="n">
        <v>21186</v>
      </c>
      <c r="C21188" s="10" t="inlineStr">
        <is>
          <t>QUẢN LÝ THU MUA (NGÀNH GIÀY)</t>
        </is>
      </c>
      <c r="D21188" s="10" t="inlineStr">
        <is>
          <t>Công ty TNHH Giày Apache Việt Nam</t>
        </is>
      </c>
      <c r="E21188" s="10" t="inlineStr">
        <is>
          <t>Lương:Cạnh tranh</t>
        </is>
      </c>
      <c r="F21188" s="10" t="inlineStr">
        <is>
          <t>Tiền Giang</t>
        </is>
      </c>
      <c r="G21188" s="10" t="inlineStr">
        <is>
          <t>2</t>
        </is>
      </c>
      <c r="H21188" s="10" t="inlineStr">
        <is>
          <t>19/03/2026</t>
        </is>
      </c>
      <c r="I21188" s="10" t="inlineStr">
        <is>
          <t>17/03/2026</t>
        </is>
      </c>
      <c r="J21188" s="10" t="inlineStr">
        <is>
          <t>Dệt may / Da giày / Thời trang</t>
        </is>
      </c>
      <c r="K21188" s="10" t="inlineStr">
        <is>
          <t>2 - 20 Năm</t>
        </is>
      </c>
      <c r="L21188" s="11">
        <f>HYPERLINK("https://careerviet.vn/vi/tim-viec-lam/quan-ly-thu-mua-nganh-giay.35C6358D.html","Xem chi tiết")</f>
        <v/>
      </c>
      <c r="M21188" s="10" t="n"/>
    </row>
    <row r="21189">
      <c r="B21189" s="7" t="n">
        <v>21187</v>
      </c>
      <c r="C21189" t="inlineStr">
        <is>
          <t>Chuyên viên/Chuyên viên chính Ban Tái bảo hiểm</t>
        </is>
      </c>
      <c r="D21189" t="inlineStr">
        <is>
          <t>Tổng Công ty Cổ phần Bảo hiểm Quân đội (MIC)</t>
        </is>
      </c>
      <c r="E21189" t="inlineStr">
        <is>
          <t>Lương:Cạnh tranh</t>
        </is>
      </c>
      <c r="F21189" t="inlineStr">
        <is>
          <t>Hà Nội</t>
        </is>
      </c>
      <c r="G21189" t="inlineStr">
        <is>
          <t>2</t>
        </is>
      </c>
      <c r="H21189" t="inlineStr">
        <is>
          <t>19/03/2026</t>
        </is>
      </c>
      <c r="I21189" t="inlineStr">
        <is>
          <t>17/03/2026</t>
        </is>
      </c>
      <c r="J21189" t="inlineStr">
        <is>
          <t>Bảo hiểm</t>
        </is>
      </c>
      <c r="K21189" t="inlineStr">
        <is>
          <t>1 - 10 Năm</t>
        </is>
      </c>
      <c r="L21189" s="8">
        <f>HYPERLINK("https://careerviet.vn/vi/tim-viec-lam/chuyen-vien-chuyen-vien-chinh-ban-tai-bao-hiem.35C6354F.html","Xem chi tiết")</f>
        <v/>
      </c>
    </row>
    <row r="21190">
      <c r="B21190" s="9" t="n">
        <v>21188</v>
      </c>
      <c r="C21190" s="10" t="inlineStr">
        <is>
          <t>[Chi nhánh Sóc Trăng] Chuyên viên Khách hàng ưu tiên</t>
        </is>
      </c>
      <c r="D21190" s="10" t="inlineStr">
        <is>
          <t>Ngân hàng TMCP Đại Chúng Việt Nam - PVcomBank</t>
        </is>
      </c>
      <c r="E21190" s="10" t="inlineStr">
        <is>
          <t>Lương:15 Tr - 30 Tr VND</t>
        </is>
      </c>
      <c r="F21190" s="10" t="inlineStr">
        <is>
          <t>Sóc TrăngKV Đông Nam Bộ</t>
        </is>
      </c>
      <c r="G21190" s="10" t="inlineStr">
        <is>
          <t>2</t>
        </is>
      </c>
      <c r="H21190" s="10" t="inlineStr">
        <is>
          <t>19/03/2026</t>
        </is>
      </c>
      <c r="I21190" s="10" t="inlineStr">
        <is>
          <t>17/03/2026</t>
        </is>
      </c>
      <c r="J21190" s="10" t="inlineStr">
        <is>
          <t>Bán hàng / Kinh doanh, Ngân hàng</t>
        </is>
      </c>
      <c r="K21190" s="10" t="inlineStr">
        <is>
          <t>Trên 1 Năm</t>
        </is>
      </c>
      <c r="L21190" s="11">
        <f>HYPERLINK("https://careerviet.vn/vi/tim-viec-lam/chi-nhanh-soc-trang-chuyen-vien-khach-hang-uu-tien.35C634D9.html","Xem chi tiết")</f>
        <v/>
      </c>
      <c r="M21190" s="10" t="n"/>
    </row>
    <row r="21191">
      <c r="B21191" s="7" t="n">
        <v>21189</v>
      </c>
      <c r="C21191" t="inlineStr">
        <is>
          <t>Trưởng phòng Chăm sóc khách hàng</t>
        </is>
      </c>
      <c r="D21191" t="inlineStr">
        <is>
          <t>Công ty cổ phần thương mại Bắc Sông Trà</t>
        </is>
      </c>
      <c r="E21191" t="inlineStr">
        <is>
          <t>Lương:12 Tr - 15 Tr VND</t>
        </is>
      </c>
      <c r="F21191" t="inlineStr">
        <is>
          <t>Quảng Ngãi</t>
        </is>
      </c>
      <c r="G21191" t="inlineStr">
        <is>
          <t>2</t>
        </is>
      </c>
      <c r="H21191" t="inlineStr">
        <is>
          <t>19/03/2026</t>
        </is>
      </c>
      <c r="I21191" t="inlineStr">
        <is>
          <t>17/03/2026</t>
        </is>
      </c>
      <c r="J21191" t="inlineStr">
        <is>
          <t>Bán hàng / Kinh doanh, Dịch vụ khách hàng, Quản lý điều hành</t>
        </is>
      </c>
      <c r="K21191" t="inlineStr">
        <is>
          <t>2 - 3 Năm</t>
        </is>
      </c>
      <c r="L21191" s="8">
        <f>HYPERLINK("https://careerviet.vn/vi/tim-viec-lam/truong-phong-cham-soc-khach-hang.35C63542.html","Xem chi tiết")</f>
        <v/>
      </c>
    </row>
    <row r="21192">
      <c r="B21192" s="9" t="n">
        <v>21190</v>
      </c>
      <c r="C21192" s="10" t="inlineStr">
        <is>
          <t>E-Commerce Specialist</t>
        </is>
      </c>
      <c r="D21192" s="10" t="inlineStr">
        <is>
          <t>ROUTINE VN - FASHION DESIGN &amp; RETAILER</t>
        </is>
      </c>
      <c r="E21192" s="10" t="inlineStr">
        <is>
          <t>Lương:15 Tr - 20 Tr VND</t>
        </is>
      </c>
      <c r="F21192" s="10" t="inlineStr">
        <is>
          <t>Hồ Chí Minh</t>
        </is>
      </c>
      <c r="G21192" s="10" t="inlineStr">
        <is>
          <t>2</t>
        </is>
      </c>
      <c r="H21192" s="10" t="inlineStr">
        <is>
          <t>19/03/2026</t>
        </is>
      </c>
      <c r="I21192" s="10" t="inlineStr">
        <is>
          <t>17/03/2026</t>
        </is>
      </c>
      <c r="J21192" s="10" t="inlineStr">
        <is>
          <t>Bán lẻ / Bán sỉ, Thương mại điện tử, Dệt may / Da giày / Thời trang</t>
        </is>
      </c>
      <c r="K21192" s="10" t="inlineStr">
        <is>
          <t>3 - 7 Năm</t>
        </is>
      </c>
      <c r="L21192" s="11">
        <f>HYPERLINK("https://careerviet.vn/vi/tim-viec-lam/e-commerce-specialist.35C65E70.html","Xem chi tiết")</f>
        <v/>
      </c>
      <c r="M21192" s="10" t="n"/>
    </row>
    <row r="21193">
      <c r="B21193" s="7" t="n">
        <v>21191</v>
      </c>
      <c r="C21193" t="inlineStr">
        <is>
          <t>Quản Lý Nhà Hàng</t>
        </is>
      </c>
      <c r="D21193" t="inlineStr">
        <is>
          <t>CÔNG TY CỔ PHẦN VĂN HÓA VÀ ẨM THỰC VIET CHARM</t>
        </is>
      </c>
      <c r="E21193" t="inlineStr">
        <is>
          <t>Lương:Cạnh tranh</t>
        </is>
      </c>
      <c r="F21193" t="inlineStr">
        <is>
          <t>Hồ Chí Minh</t>
        </is>
      </c>
      <c r="G21193" t="inlineStr">
        <is>
          <t>2</t>
        </is>
      </c>
      <c r="H21193" t="inlineStr">
        <is>
          <t>19/03/2026</t>
        </is>
      </c>
      <c r="I21193" t="inlineStr">
        <is>
          <t>17/03/2026</t>
        </is>
      </c>
      <c r="J21193" t="inlineStr">
        <is>
          <t>Quản lý điều hành, Du lịch, Nhà hàng / Khách sạn</t>
        </is>
      </c>
      <c r="K21193" t="inlineStr">
        <is>
          <t>Trên 5 Năm</t>
        </is>
      </c>
      <c r="L21193" s="8">
        <f>HYPERLINK("https://careerviet.vn/vi/tim-viec-lam/quan-ly-nha-hang.35C63581.html","Xem chi tiết")</f>
        <v/>
      </c>
    </row>
    <row r="21194">
      <c r="B21194" s="9" t="n">
        <v>21192</v>
      </c>
      <c r="C21194" s="10" t="inlineStr">
        <is>
          <t>Trưởng nhóm phân tích dữ liệu – Data Leader</t>
        </is>
      </c>
      <c r="D21194" s="10" t="inlineStr">
        <is>
          <t>Công Ty TNHH Sunjin Vina</t>
        </is>
      </c>
      <c r="E21194" s="10" t="inlineStr">
        <is>
          <t>Lương:Cạnh tranh</t>
        </is>
      </c>
      <c r="F21194" s="10" t="inlineStr">
        <is>
          <t>Hồ Chí Minh</t>
        </is>
      </c>
      <c r="G21194" s="10" t="inlineStr">
        <is>
          <t>2</t>
        </is>
      </c>
      <c r="H21194" s="10" t="inlineStr">
        <is>
          <t>19/03/2026</t>
        </is>
      </c>
      <c r="I21194" s="10" t="inlineStr">
        <is>
          <t>17/03/2026</t>
        </is>
      </c>
      <c r="J21194" s="10" t="inlineStr">
        <is>
          <t>CNTT - Phần mềm</t>
        </is>
      </c>
      <c r="K21194" s="10" t="inlineStr">
        <is>
          <t>2 - 5 Năm</t>
        </is>
      </c>
      <c r="L21194" s="11">
        <f>HYPERLINK("https://careerviet.vn/vi/tim-viec-lam/truong-nhom-phan-tich-du-lieu-data-leader.35C65E22.html","Xem chi tiết")</f>
        <v/>
      </c>
      <c r="M21194" s="10" t="n"/>
    </row>
    <row r="21195">
      <c r="B21195" s="7" t="n">
        <v>21193</v>
      </c>
      <c r="C21195" t="inlineStr">
        <is>
          <t>Digital Content Marketing (B2B SAAS, Bioinformatics)</t>
        </is>
      </c>
      <c r="D21195" t="inlineStr">
        <is>
          <t>Cty BioTuring</t>
        </is>
      </c>
      <c r="E21195" t="inlineStr">
        <is>
          <t>Lương:Cạnh tranh</t>
        </is>
      </c>
      <c r="F21195" t="inlineStr">
        <is>
          <t>Hồ Chí Minh</t>
        </is>
      </c>
      <c r="G21195" t="inlineStr">
        <is>
          <t>2</t>
        </is>
      </c>
      <c r="H21195" t="inlineStr">
        <is>
          <t>19/03/2026</t>
        </is>
      </c>
      <c r="I21195" t="inlineStr">
        <is>
          <t>17/03/2026</t>
        </is>
      </c>
      <c r="J21195" t="inlineStr">
        <is>
          <t>Tiếp thị / Marketing</t>
        </is>
      </c>
      <c r="K21195" t="inlineStr">
        <is>
          <t>Trên 2 Năm</t>
        </is>
      </c>
      <c r="L21195" s="8">
        <f>HYPERLINK("https://careerviet.vn/vi/tim-viec-lam/digital-content-marketing-b2b-saas-bioinformatics.35C635E5.html","Xem chi tiết")</f>
        <v/>
      </c>
    </row>
    <row r="21196">
      <c r="B21196" s="9" t="n">
        <v>21194</v>
      </c>
      <c r="C21196" s="10" t="inlineStr">
        <is>
          <t>Nhân Viên Phát Triển Thị Trường</t>
        </is>
      </c>
      <c r="D21196" s="10" t="inlineStr">
        <is>
          <t>CÔNG TY TNHH ĐẦU TƯ, THƯƠNG MẠI VÀ DỊCH VỤ QUINN HÀ NỘI</t>
        </is>
      </c>
      <c r="E21196" s="10" t="inlineStr">
        <is>
          <t>Lương:10 Tr - 20 Tr VND</t>
        </is>
      </c>
      <c r="F21196" s="10" t="inlineStr">
        <is>
          <t>Hà Nội</t>
        </is>
      </c>
      <c r="G21196" s="10" t="inlineStr">
        <is>
          <t>2</t>
        </is>
      </c>
      <c r="H21196" s="10" t="inlineStr">
        <is>
          <t>19/03/2026</t>
        </is>
      </c>
      <c r="I21196" s="10" t="inlineStr">
        <is>
          <t>17/03/2026</t>
        </is>
      </c>
      <c r="J21196" s="10" t="inlineStr">
        <is>
          <t>Bán hàng / Kinh doanh, Tiếp thị / Marketing, Biên phiên dịch</t>
        </is>
      </c>
      <c r="K21196" s="10" t="inlineStr">
        <is>
          <t>N/A</t>
        </is>
      </c>
      <c r="L21196" s="11">
        <f>HYPERLINK("https://careerviet.vn/vi/tim-viec-lam/nhan-vien-phat-trien-thi-truong.35C634C1.html","Xem chi tiết")</f>
        <v/>
      </c>
      <c r="M21196" s="10" t="n"/>
    </row>
    <row r="21197">
      <c r="B21197" s="7" t="n">
        <v>21195</v>
      </c>
      <c r="C21197" t="inlineStr">
        <is>
          <t>Technical Sales Executive (Concrete)</t>
        </is>
      </c>
      <c r="D21197" t="inlineStr">
        <is>
          <t>Saint-Gobain Vietnam</t>
        </is>
      </c>
      <c r="E21197" t="inlineStr">
        <is>
          <t>Lương:Cạnh tranh</t>
        </is>
      </c>
      <c r="F21197" t="inlineStr">
        <is>
          <t>Hà Nội</t>
        </is>
      </c>
      <c r="G21197" t="inlineStr">
        <is>
          <t>2</t>
        </is>
      </c>
      <c r="H21197" t="inlineStr">
        <is>
          <t>19/03/2026</t>
        </is>
      </c>
      <c r="I21197" t="inlineStr">
        <is>
          <t>17/03/2026</t>
        </is>
      </c>
      <c r="J21197" t="inlineStr">
        <is>
          <t>Bán hàng / Kinh doanh, Xây dựng, Hóa học</t>
        </is>
      </c>
      <c r="K21197" t="inlineStr">
        <is>
          <t>2 - 3 Năm</t>
        </is>
      </c>
      <c r="L21197" s="8">
        <f>HYPERLINK("https://careerviet.vn/vi/tim-viec-lam/technical-sales-executive-concrete.35C65E71.html","Xem chi tiết")</f>
        <v/>
      </c>
    </row>
    <row r="21198">
      <c r="B21198" s="9" t="n">
        <v>21196</v>
      </c>
      <c r="C21198" s="10" t="inlineStr">
        <is>
          <t>[GÒ VẤP] QUẢN LÝ /PHÓ QUẢN LÝ NHÀ HÀNG</t>
        </is>
      </c>
      <c r="D21198" s="10" t="inlineStr">
        <is>
          <t>Công Ty Cổ Phần Tầm Nhìn Quốc Tế Aladdin</t>
        </is>
      </c>
      <c r="E21198" s="10" t="inlineStr">
        <is>
          <t>Lương:15 Tr - 20 Tr VND</t>
        </is>
      </c>
      <c r="F21198" s="10" t="inlineStr">
        <is>
          <t>Hồ Chí Minh</t>
        </is>
      </c>
      <c r="G21198" s="10" t="inlineStr">
        <is>
          <t>3</t>
        </is>
      </c>
      <c r="H21198" s="10" t="inlineStr">
        <is>
          <t>20/03/2026</t>
        </is>
      </c>
      <c r="I21198" s="10" t="inlineStr">
        <is>
          <t>17/03/2026</t>
        </is>
      </c>
      <c r="J21198" s="10" t="inlineStr">
        <is>
          <t>Thực phẩm &amp; Đồ uống, Nhà hàng / Khách sạn, Quản lý điều hành</t>
        </is>
      </c>
      <c r="K21198" s="10" t="inlineStr">
        <is>
          <t>2 - 4 Năm</t>
        </is>
      </c>
      <c r="L21198" s="11">
        <f>HYPERLINK("https://careerviet.vn/vi/tim-viec-lam/go-vap-quan-ly-pho-quan-ly-nha-hang.35C68BF6.html","Xem chi tiết")</f>
        <v/>
      </c>
      <c r="M21198" s="10" t="n"/>
    </row>
    <row r="21199">
      <c r="B21199" s="7" t="n">
        <v>21197</v>
      </c>
      <c r="C21199" t="inlineStr">
        <is>
          <t>[Chi nhánh Sóc Trăng] Giao dịch viên</t>
        </is>
      </c>
      <c r="D21199" t="inlineStr">
        <is>
          <t>Ngân hàng TMCP Đại Chúng Việt Nam - PVcomBank</t>
        </is>
      </c>
      <c r="E21199" t="inlineStr">
        <is>
          <t>Lương:Cạnh tranh</t>
        </is>
      </c>
      <c r="F21199" t="inlineStr">
        <is>
          <t>Sóc TrăngKV Đông Nam Bộ</t>
        </is>
      </c>
      <c r="G21199" t="inlineStr">
        <is>
          <t>2</t>
        </is>
      </c>
      <c r="H21199" t="inlineStr">
        <is>
          <t>19/03/2026</t>
        </is>
      </c>
      <c r="I21199" t="inlineStr">
        <is>
          <t>17/03/2026</t>
        </is>
      </c>
      <c r="J21199" t="inlineStr">
        <is>
          <t>Bán hàng / Kinh doanh, Ngân hàng, Tài chính / Đầu tư</t>
        </is>
      </c>
      <c r="K21199" t="inlineStr">
        <is>
          <t>Trên 1 Năm</t>
        </is>
      </c>
      <c r="L21199" s="8">
        <f>HYPERLINK("https://careerviet.vn/vi/tim-viec-lam/chi-nhanh-soc-trang-giao-dich-vien.35C634CD.html","Xem chi tiết")</f>
        <v/>
      </c>
    </row>
    <row r="21200">
      <c r="B21200" s="9" t="n">
        <v>21198</v>
      </c>
      <c r="C21200" s="10" t="inlineStr">
        <is>
          <t>[TÂN PHÚ] QUẢN LÝ /PHÓ QUẢN LÝ NHÀ HÀNG</t>
        </is>
      </c>
      <c r="D21200" s="10" t="inlineStr">
        <is>
          <t>Công Ty Cổ Phần Tầm Nhìn Quốc Tế Aladdin</t>
        </is>
      </c>
      <c r="E21200" s="10" t="inlineStr">
        <is>
          <t>Lương:15 Tr - 20 Tr VND</t>
        </is>
      </c>
      <c r="F21200" s="10" t="inlineStr">
        <is>
          <t>Hồ Chí Minh</t>
        </is>
      </c>
      <c r="G21200" s="10" t="inlineStr">
        <is>
          <t>3</t>
        </is>
      </c>
      <c r="H21200" s="10" t="inlineStr">
        <is>
          <t>20/03/2026</t>
        </is>
      </c>
      <c r="I21200" s="10" t="inlineStr">
        <is>
          <t>17/03/2026</t>
        </is>
      </c>
      <c r="J21200" s="10" t="inlineStr">
        <is>
          <t>Thực phẩm &amp; Đồ uống, Nhà hàng / Khách sạn, Quản lý điều hành</t>
        </is>
      </c>
      <c r="K21200" s="10" t="inlineStr">
        <is>
          <t>2 - 6 Năm</t>
        </is>
      </c>
      <c r="L21200" s="11">
        <f>HYPERLINK("https://careerviet.vn/vi/tim-viec-lam/tan-phu-quan-ly-pho-quan-ly-nha-hang.35C68BF5.html","Xem chi tiết")</f>
        <v/>
      </c>
      <c r="M21200" s="10" t="n"/>
    </row>
    <row r="21201">
      <c r="B21201" s="7" t="n">
        <v>21199</v>
      </c>
      <c r="C21201" t="inlineStr">
        <is>
          <t>[TÂN PHÚ] BẾP TRƯỞNG /BẾP PHÓ</t>
        </is>
      </c>
      <c r="D21201" t="inlineStr">
        <is>
          <t>Công Ty Cổ Phần Tầm Nhìn Quốc Tế Aladdin</t>
        </is>
      </c>
      <c r="E21201" t="inlineStr">
        <is>
          <t>Lương:12 Tr - 20 Tr VND</t>
        </is>
      </c>
      <c r="F21201" t="inlineStr">
        <is>
          <t>Hồ Chí Minh</t>
        </is>
      </c>
      <c r="G21201" t="inlineStr">
        <is>
          <t>3</t>
        </is>
      </c>
      <c r="H21201" t="inlineStr">
        <is>
          <t>20/03/2026</t>
        </is>
      </c>
      <c r="I21201" t="inlineStr">
        <is>
          <t>17/03/2026</t>
        </is>
      </c>
      <c r="J21201" t="inlineStr">
        <is>
          <t>Thực phẩm &amp; Đồ uống, Nhà hàng / Khách sạn, Quản lý điều hành</t>
        </is>
      </c>
      <c r="K21201" t="inlineStr">
        <is>
          <t>2 - 4 Năm</t>
        </is>
      </c>
      <c r="L21201" s="8">
        <f>HYPERLINK("https://careerviet.vn/vi/tim-viec-lam/tan-phu-bep-truong-bep-pho.35C68BF3.html","Xem chi tiết")</f>
        <v/>
      </c>
    </row>
    <row r="21202">
      <c r="B21202" s="9" t="n">
        <v>21200</v>
      </c>
      <c r="C21202" s="10" t="inlineStr">
        <is>
          <t>[PHÚ NHUẬN] BẾP TRƯỞNG / BẾP PHÓ</t>
        </is>
      </c>
      <c r="D21202" s="10" t="inlineStr">
        <is>
          <t>Công Ty Cổ Phần Tầm Nhìn Quốc Tế Aladdin</t>
        </is>
      </c>
      <c r="E21202" s="10" t="inlineStr">
        <is>
          <t>Lương:12 Tr - 20 Tr VND</t>
        </is>
      </c>
      <c r="F21202" s="10" t="inlineStr">
        <is>
          <t>Hồ Chí Minh</t>
        </is>
      </c>
      <c r="G21202" s="10" t="inlineStr">
        <is>
          <t>3</t>
        </is>
      </c>
      <c r="H21202" s="10" t="inlineStr">
        <is>
          <t>20/03/2026</t>
        </is>
      </c>
      <c r="I21202" s="10" t="inlineStr">
        <is>
          <t>17/03/2026</t>
        </is>
      </c>
      <c r="J21202" s="10" t="inlineStr">
        <is>
          <t>Thực phẩm &amp; Đồ uống, Nhà hàng / Khách sạn, Quản lý điều hành</t>
        </is>
      </c>
      <c r="K21202" s="10" t="inlineStr">
        <is>
          <t>2 - 4 Năm</t>
        </is>
      </c>
      <c r="L21202" s="11">
        <f>HYPERLINK("https://careerviet.vn/vi/tim-viec-lam/phu-nhuan-bep-truong-bep-pho.35C68BF1.html","Xem chi tiết")</f>
        <v/>
      </c>
      <c r="M21202" s="10" t="n"/>
    </row>
    <row r="21203">
      <c r="B21203" s="7" t="n">
        <v>21201</v>
      </c>
      <c r="C21203" t="inlineStr">
        <is>
          <t>[PHÚ NHUẬN] QUẢN LÝ/ PHÓ QUẢN LÝ NHÀ HÀNG</t>
        </is>
      </c>
      <c r="D21203" t="inlineStr">
        <is>
          <t>Công Ty Cổ Phần Tầm Nhìn Quốc Tế Aladdin</t>
        </is>
      </c>
      <c r="E21203" t="inlineStr">
        <is>
          <t>Lương:15 Tr - 20 Tr VND</t>
        </is>
      </c>
      <c r="F21203" t="inlineStr">
        <is>
          <t>Hồ Chí Minh</t>
        </is>
      </c>
      <c r="G21203" t="inlineStr">
        <is>
          <t>3</t>
        </is>
      </c>
      <c r="H21203" t="inlineStr">
        <is>
          <t>20/03/2026</t>
        </is>
      </c>
      <c r="I21203" t="inlineStr">
        <is>
          <t>17/03/2026</t>
        </is>
      </c>
      <c r="J21203" t="inlineStr">
        <is>
          <t>Thực phẩm &amp; Đồ uống, Nhà hàng / Khách sạn, Quản lý điều hành</t>
        </is>
      </c>
      <c r="K21203" t="inlineStr">
        <is>
          <t>2 - 4 Năm</t>
        </is>
      </c>
      <c r="L21203" s="8">
        <f>HYPERLINK("https://careerviet.vn/vi/tim-viec-lam/phu-nhuan-quan-ly-pho-quan-ly-nha-hang.35C68BF2.html","Xem chi tiết")</f>
        <v/>
      </c>
    </row>
    <row r="21204">
      <c r="B21204" s="9" t="n">
        <v>21202</v>
      </c>
      <c r="C21204" s="10" t="inlineStr">
        <is>
          <t>[QUẬN 1 - VINCOM ĐỒNG KHỞI]  BẾP TRƯỞNG / GIÁM SÁT BẾP</t>
        </is>
      </c>
      <c r="D21204" s="10" t="inlineStr">
        <is>
          <t>Công Ty Cổ Phần Tầm Nhìn Quốc Tế Aladdin</t>
        </is>
      </c>
      <c r="E21204" s="10" t="inlineStr">
        <is>
          <t>Lương:12 Tr - 20 Tr VND</t>
        </is>
      </c>
      <c r="F21204" s="10" t="inlineStr">
        <is>
          <t>Hồ Chí Minh</t>
        </is>
      </c>
      <c r="G21204" s="10" t="inlineStr">
        <is>
          <t>3</t>
        </is>
      </c>
      <c r="H21204" s="10" t="inlineStr">
        <is>
          <t>20/03/2026</t>
        </is>
      </c>
      <c r="I21204" s="10" t="inlineStr">
        <is>
          <t>17/03/2026</t>
        </is>
      </c>
      <c r="J21204" s="10" t="inlineStr">
        <is>
          <t>Thực phẩm &amp; Đồ uống, Nhà hàng / Khách sạn, Quản lý điều hành</t>
        </is>
      </c>
      <c r="K21204" s="10" t="inlineStr">
        <is>
          <t>2 - 4 Năm</t>
        </is>
      </c>
      <c r="L21204" s="11">
        <f>HYPERLINK("https://careerviet.vn/vi/tim-viec-lam/quan-1-vincom-dong-khoi-bep-truong-giam-sat-bep.35C68BEC.html","Xem chi tiết")</f>
        <v/>
      </c>
      <c r="M21204" s="10" t="n"/>
    </row>
    <row r="21205">
      <c r="B21205" s="7" t="n">
        <v>21203</v>
      </c>
      <c r="C21205" t="inlineStr">
        <is>
          <t>[QUẬN 3 ] BẾP TRƯỞNG / GIÁM SÁT BẾP</t>
        </is>
      </c>
      <c r="D21205" t="inlineStr">
        <is>
          <t>Công Ty Cổ Phần Tầm Nhìn Quốc Tế Aladdin</t>
        </is>
      </c>
      <c r="E21205" t="inlineStr">
        <is>
          <t>Lương:12 Tr - 20 Tr VND</t>
        </is>
      </c>
      <c r="F21205" t="inlineStr">
        <is>
          <t>Hồ Chí Minh</t>
        </is>
      </c>
      <c r="G21205" t="inlineStr">
        <is>
          <t>3</t>
        </is>
      </c>
      <c r="H21205" t="inlineStr">
        <is>
          <t>20/03/2026</t>
        </is>
      </c>
      <c r="I21205" t="inlineStr">
        <is>
          <t>17/03/2026</t>
        </is>
      </c>
      <c r="J21205" t="inlineStr">
        <is>
          <t>Thực phẩm &amp; Đồ uống, Nhà hàng / Khách sạn, Quản lý điều hành</t>
        </is>
      </c>
      <c r="K21205" t="inlineStr">
        <is>
          <t>2 - 4 Năm</t>
        </is>
      </c>
      <c r="L21205" s="8">
        <f>HYPERLINK("https://careerviet.vn/vi/tim-viec-lam/quan-3-bep-truong-giam-sat-bep.35C68BEE.html","Xem chi tiết")</f>
        <v/>
      </c>
    </row>
    <row r="21206">
      <c r="B21206" s="9" t="n">
        <v>21204</v>
      </c>
      <c r="C21206" s="10" t="inlineStr">
        <is>
          <t>[QUẬN 3] QUẢN LÝ/ PHÓ QUẢN LÝ NHÀ HÀNG</t>
        </is>
      </c>
      <c r="D21206" s="10" t="inlineStr">
        <is>
          <t>Công Ty Cổ Phần Tầm Nhìn Quốc Tế Aladdin</t>
        </is>
      </c>
      <c r="E21206" s="10" t="inlineStr">
        <is>
          <t>Lương:15 Tr - 20 Tr VND</t>
        </is>
      </c>
      <c r="F21206" s="10" t="inlineStr">
        <is>
          <t>Hồ Chí Minh</t>
        </is>
      </c>
      <c r="G21206" s="10" t="inlineStr">
        <is>
          <t>3</t>
        </is>
      </c>
      <c r="H21206" s="10" t="inlineStr">
        <is>
          <t>20/03/2026</t>
        </is>
      </c>
      <c r="I21206" s="10" t="inlineStr">
        <is>
          <t>17/03/2026</t>
        </is>
      </c>
      <c r="J21206" s="10" t="inlineStr">
        <is>
          <t>Thực phẩm &amp; Đồ uống, Nhà hàng / Khách sạn, Quản lý điều hành</t>
        </is>
      </c>
      <c r="K21206" s="10" t="inlineStr">
        <is>
          <t>2 - 3 Năm</t>
        </is>
      </c>
      <c r="L21206" s="11">
        <f>HYPERLINK("https://careerviet.vn/vi/tim-viec-lam/quan-3-quan-ly-pho-quan-ly-nha-hang.35C68BEF.html","Xem chi tiết")</f>
        <v/>
      </c>
      <c r="M21206" s="10" t="n"/>
    </row>
    <row r="21207">
      <c r="B21207" s="7" t="n">
        <v>21205</v>
      </c>
      <c r="C21207" t="inlineStr">
        <is>
          <t>Material Management (8 months)</t>
        </is>
      </c>
      <c r="D21207" t="inlineStr">
        <is>
          <t>Công Ty TNHH CJ Foods Việt Nam</t>
        </is>
      </c>
      <c r="E21207" t="inlineStr">
        <is>
          <t>Lương:Cạnh tranh</t>
        </is>
      </c>
      <c r="F21207" t="inlineStr">
        <is>
          <t>Bà Rịa - Vũng Tàu</t>
        </is>
      </c>
      <c r="G21207" t="inlineStr">
        <is>
          <t>2</t>
        </is>
      </c>
      <c r="H21207" t="inlineStr">
        <is>
          <t>19/03/2026</t>
        </is>
      </c>
      <c r="I21207" t="inlineStr">
        <is>
          <t>17/03/2026</t>
        </is>
      </c>
      <c r="J21207" t="inlineStr">
        <is>
          <t>Sản xuất / Vận hành sản xuất</t>
        </is>
      </c>
      <c r="K21207" t="inlineStr">
        <is>
          <t>2 - 5 Năm</t>
        </is>
      </c>
      <c r="L21207" s="8">
        <f>HYPERLINK("https://careerviet.vn/vi/tim-viec-lam/material-management-8-months.35C63524.html","Xem chi tiết")</f>
        <v/>
      </c>
    </row>
    <row r="21208">
      <c r="B21208" s="9" t="n">
        <v>21206</v>
      </c>
      <c r="C21208" s="10" t="inlineStr">
        <is>
          <t>[VINCOM LANDMARK 81] BẾP TRƯỞNG / GIÁM SÁT BẾP</t>
        </is>
      </c>
      <c r="D21208" s="10" t="inlineStr">
        <is>
          <t>Công Ty Cổ Phần Tầm Nhìn Quốc Tế Aladdin</t>
        </is>
      </c>
      <c r="E21208" s="10" t="inlineStr">
        <is>
          <t>Lương:12 Tr - 20 Tr VND</t>
        </is>
      </c>
      <c r="F21208" s="10" t="inlineStr">
        <is>
          <t>Hồ Chí Minh</t>
        </is>
      </c>
      <c r="G21208" s="10" t="inlineStr">
        <is>
          <t>3</t>
        </is>
      </c>
      <c r="H21208" s="10" t="inlineStr">
        <is>
          <t>20/03/2026</t>
        </is>
      </c>
      <c r="I21208" s="10" t="inlineStr">
        <is>
          <t>17/03/2026</t>
        </is>
      </c>
      <c r="J21208" s="10" t="inlineStr">
        <is>
          <t>Thực phẩm &amp; Đồ uống, Nhà hàng / Khách sạn, Quản lý điều hành</t>
        </is>
      </c>
      <c r="K21208" s="10" t="inlineStr">
        <is>
          <t>2 - 4 Năm</t>
        </is>
      </c>
      <c r="L21208" s="11">
        <f>HYPERLINK("https://careerviet.vn/vi/tim-viec-lam/vincom-landmark-81-bep-truong-giam-sat-bep.35C68BE6.html","Xem chi tiết")</f>
        <v/>
      </c>
      <c r="M21208" s="10" t="n"/>
    </row>
    <row r="21209">
      <c r="B21209" s="7" t="n">
        <v>21207</v>
      </c>
      <c r="C21209" t="inlineStr">
        <is>
          <t>Nhân viên kế toán công nợ</t>
        </is>
      </c>
      <c r="D21209" t="inlineStr">
        <is>
          <t>CÔNG TY CỔ PHẦN THỰC PHẨM THIÊN VƯƠNG</t>
        </is>
      </c>
      <c r="E21209" t="inlineStr">
        <is>
          <t>Lương:9 Tr - 11 Tr VND</t>
        </is>
      </c>
      <c r="F21209" t="inlineStr">
        <is>
          <t>Hà Nội</t>
        </is>
      </c>
      <c r="G21209" t="inlineStr">
        <is>
          <t>2</t>
        </is>
      </c>
      <c r="H21209" t="inlineStr">
        <is>
          <t>19/03/2026</t>
        </is>
      </c>
      <c r="I21209" t="inlineStr">
        <is>
          <t>17/03/2026</t>
        </is>
      </c>
      <c r="J21209" t="inlineStr">
        <is>
          <t>Thực phẩm &amp; Đồ uống, Kế toán / Kiểm toán, Tài chính / Đầu tư</t>
        </is>
      </c>
      <c r="K21209" t="inlineStr">
        <is>
          <t>1 - 3 Năm</t>
        </is>
      </c>
      <c r="L21209" s="8">
        <f>HYPERLINK("https://careerviet.vn/vi/tim-viec-lam/nhan-vien-ke-toan-cong-no.35C6347A.html","Xem chi tiết")</f>
        <v/>
      </c>
    </row>
    <row r="21210">
      <c r="B21210" s="9" t="n">
        <v>21208</v>
      </c>
      <c r="C21210" s="10" t="inlineStr">
        <is>
          <t>[QUẬN 2- VINCOM THẢO ĐIỀN] BẾP TRƯỞNG / BẾP PHÓ</t>
        </is>
      </c>
      <c r="D21210" s="10" t="inlineStr">
        <is>
          <t>Công Ty Cổ Phần Tầm Nhìn Quốc Tế Aladdin</t>
        </is>
      </c>
      <c r="E21210" s="10" t="inlineStr">
        <is>
          <t>Lương:12 Tr - 20 Tr VND</t>
        </is>
      </c>
      <c r="F21210" s="10" t="inlineStr">
        <is>
          <t>Hồ Chí Minh</t>
        </is>
      </c>
      <c r="G21210" s="10" t="inlineStr">
        <is>
          <t>3</t>
        </is>
      </c>
      <c r="H21210" s="10" t="inlineStr">
        <is>
          <t>20/03/2026</t>
        </is>
      </c>
      <c r="I21210" s="10" t="inlineStr">
        <is>
          <t>17/03/2026</t>
        </is>
      </c>
      <c r="J21210" s="10" t="inlineStr">
        <is>
          <t>Thực phẩm &amp; Đồ uống, Nhà hàng / Khách sạn, Quản lý điều hành</t>
        </is>
      </c>
      <c r="K21210" s="10" t="inlineStr">
        <is>
          <t>2 - 4 Năm</t>
        </is>
      </c>
      <c r="L21210" s="11">
        <f>HYPERLINK("https://careerviet.vn/vi/tim-viec-lam/quan-2-vincom-thao-dien-bep-truong-bep-pho.35C68BE8.html","Xem chi tiết")</f>
        <v/>
      </c>
      <c r="M21210" s="10" t="n"/>
    </row>
    <row r="21211">
      <c r="B21211" s="7" t="n">
        <v>21209</v>
      </c>
      <c r="C21211" t="inlineStr">
        <is>
          <t>[VINCOM LANDMARK 81] QUẢN LÝ/ PHÓ QUẢN LÝ NHÀ HÀNG</t>
        </is>
      </c>
      <c r="D21211" t="inlineStr">
        <is>
          <t>Công Ty Cổ Phần Tầm Nhìn Quốc Tế Aladdin</t>
        </is>
      </c>
      <c r="E21211" t="inlineStr">
        <is>
          <t>Lương:15 Tr - 20 Tr VND</t>
        </is>
      </c>
      <c r="F21211" t="inlineStr">
        <is>
          <t>Hồ Chí Minh</t>
        </is>
      </c>
      <c r="G21211" t="inlineStr">
        <is>
          <t>3</t>
        </is>
      </c>
      <c r="H21211" t="inlineStr">
        <is>
          <t>20/03/2026</t>
        </is>
      </c>
      <c r="I21211" t="inlineStr">
        <is>
          <t>17/03/2026</t>
        </is>
      </c>
      <c r="J21211" t="inlineStr">
        <is>
          <t>Thực phẩm &amp; Đồ uống, Nhà hàng / Khách sạn, Quản lý điều hành</t>
        </is>
      </c>
      <c r="K21211" t="inlineStr">
        <is>
          <t>2 - 4 Năm</t>
        </is>
      </c>
      <c r="L21211" s="8">
        <f>HYPERLINK("https://careerviet.vn/vi/tim-viec-lam/vincom-landmark-81-quan-ly-pho-quan-ly-nha-hang.35C68BE7.html","Xem chi tiết")</f>
        <v/>
      </c>
    </row>
    <row r="21212">
      <c r="B21212" s="9" t="n">
        <v>21210</v>
      </c>
      <c r="C21212" s="10" t="inlineStr">
        <is>
          <t>[QUẬN 1 - VINCOM ĐỒNG KHỞI] QUẢN LÝ /PHÓ QUẢN LÝ NHÀ HÀNG</t>
        </is>
      </c>
      <c r="D21212" s="10" t="inlineStr">
        <is>
          <t>Công Ty Cổ Phần Tầm Nhìn Quốc Tế Aladdin</t>
        </is>
      </c>
      <c r="E21212" s="10" t="inlineStr">
        <is>
          <t>Lương:15 Tr - 20 Tr VND</t>
        </is>
      </c>
      <c r="F21212" s="10" t="inlineStr">
        <is>
          <t>Hồ Chí Minh</t>
        </is>
      </c>
      <c r="G21212" s="10" t="inlineStr">
        <is>
          <t>3</t>
        </is>
      </c>
      <c r="H21212" s="10" t="inlineStr">
        <is>
          <t>20/03/2026</t>
        </is>
      </c>
      <c r="I21212" s="10" t="inlineStr">
        <is>
          <t>17/03/2026</t>
        </is>
      </c>
      <c r="J21212" s="10" t="inlineStr">
        <is>
          <t>Thực phẩm &amp; Đồ uống, Nhà hàng / Khách sạn, Quản lý điều hành</t>
        </is>
      </c>
      <c r="K21212" s="10" t="inlineStr">
        <is>
          <t>2 - 4 Năm</t>
        </is>
      </c>
      <c r="L21212" s="11">
        <f>HYPERLINK("https://careerviet.vn/vi/tim-viec-lam/quan-1-vincom-dong-khoi-quan-ly-pho-quan-ly-nha-hang.35C68BED.html","Xem chi tiết")</f>
        <v/>
      </c>
      <c r="M21212" s="10" t="n"/>
    </row>
    <row r="21213">
      <c r="B21213" s="7" t="n">
        <v>21211</v>
      </c>
      <c r="C21213" t="inlineStr">
        <is>
          <t>[QUẬN 2- VINCOM THẢO ĐIỀN] QUẢN LÝ/ PHÓ QUẢN LÝ NHÀ HÀNG</t>
        </is>
      </c>
      <c r="D21213" t="inlineStr">
        <is>
          <t>Công Ty Cổ Phần Tầm Nhìn Quốc Tế Aladdin</t>
        </is>
      </c>
      <c r="E21213" t="inlineStr">
        <is>
          <t>Lương:15 Tr - 20 Tr VND</t>
        </is>
      </c>
      <c r="F21213" t="inlineStr">
        <is>
          <t>Hồ Chí Minh</t>
        </is>
      </c>
      <c r="G21213" t="inlineStr">
        <is>
          <t>3</t>
        </is>
      </c>
      <c r="H21213" t="inlineStr">
        <is>
          <t>20/03/2026</t>
        </is>
      </c>
      <c r="I21213" t="inlineStr">
        <is>
          <t>17/03/2026</t>
        </is>
      </c>
      <c r="J21213" t="inlineStr">
        <is>
          <t>Thực phẩm &amp; Đồ uống, Nhà hàng / Khách sạn, Quản lý điều hành</t>
        </is>
      </c>
      <c r="K21213" t="inlineStr">
        <is>
          <t>2 - 4 Năm</t>
        </is>
      </c>
      <c r="L21213" s="8">
        <f>HYPERLINK("https://careerviet.vn/vi/tim-viec-lam/quan-2-vincom-thao-dien-quan-ly-pho-quan-ly-nha-hang.35C68BE9.html","Xem chi tiết")</f>
        <v/>
      </c>
    </row>
    <row r="21214">
      <c r="B21214" s="9" t="n">
        <v>21212</v>
      </c>
      <c r="C21214" s="10" t="inlineStr">
        <is>
          <t>[VINCOM GRAND PARK ] QUẢN LÝ/ PHÓ QUẢN LÝ NHÀ HÀNG</t>
        </is>
      </c>
      <c r="D21214" s="10" t="inlineStr">
        <is>
          <t>Công Ty Cổ Phần Tầm Nhìn Quốc Tế Aladdin</t>
        </is>
      </c>
      <c r="E21214" s="10" t="inlineStr">
        <is>
          <t>Lương:15 Tr - 20 Tr VND</t>
        </is>
      </c>
      <c r="F21214" s="10" t="inlineStr">
        <is>
          <t>Hồ Chí Minh</t>
        </is>
      </c>
      <c r="G21214" s="10" t="inlineStr">
        <is>
          <t>18-02-2026</t>
        </is>
      </c>
      <c r="H21214" s="10" t="inlineStr">
        <is>
          <t>12/03/2026</t>
        </is>
      </c>
      <c r="I21214" s="10" t="inlineStr">
        <is>
          <t>17/03/2026</t>
        </is>
      </c>
      <c r="J21214" s="10" t="inlineStr">
        <is>
          <t>Thực phẩm &amp; Đồ uống, Nhà hàng / Khách sạn, Quản lý điều hành</t>
        </is>
      </c>
      <c r="K21214" s="10" t="inlineStr">
        <is>
          <t>2 - 4 Năm</t>
        </is>
      </c>
      <c r="L21214" s="11">
        <f>HYPERLINK("https://careerviet.vn/vi/tim-viec-lam/vincom-grand-park-quan-ly-pho-quan-ly-nha-hang.35C68BE1.html","Xem chi tiết")</f>
        <v/>
      </c>
      <c r="M21214" s="10" t="n"/>
    </row>
    <row r="21215">
      <c r="B21215" s="7" t="n">
        <v>21213</v>
      </c>
      <c r="C21215" t="inlineStr">
        <is>
          <t>Chuyên viên hệ thống ERP – ERP Specialist</t>
        </is>
      </c>
      <c r="D21215" t="inlineStr">
        <is>
          <t>Công Ty TNHH Sunjin Vina</t>
        </is>
      </c>
      <c r="E21215" t="inlineStr">
        <is>
          <t>Lương:Cạnh tranh</t>
        </is>
      </c>
      <c r="F21215" t="inlineStr">
        <is>
          <t>Hồ Chí Minh</t>
        </is>
      </c>
      <c r="G21215" t="inlineStr">
        <is>
          <t>2</t>
        </is>
      </c>
      <c r="H21215" t="inlineStr">
        <is>
          <t>19/03/2026</t>
        </is>
      </c>
      <c r="I21215" t="inlineStr">
        <is>
          <t>17/03/2026</t>
        </is>
      </c>
      <c r="J21215" t="inlineStr">
        <is>
          <t>CNTT - Phần mềm</t>
        </is>
      </c>
      <c r="K21215" t="inlineStr">
        <is>
          <t>2 - 3 Năm</t>
        </is>
      </c>
      <c r="L21215" s="8">
        <f>HYPERLINK("https://careerviet.vn/vi/tim-viec-lam/chuyen-vien-he-thong-erp-erp-specialist.35C65E25.html","Xem chi tiết")</f>
        <v/>
      </c>
    </row>
    <row r="21216">
      <c r="B21216" s="9" t="n">
        <v>21214</v>
      </c>
      <c r="C21216" s="10" t="inlineStr">
        <is>
          <t>[THỦ ĐỨC - VINCOM VÕ VĂN NGÂN] QUẢN LÝ/ PHÓ QUẢN LÝ NHÀ HÀNG</t>
        </is>
      </c>
      <c r="D21216" s="10" t="inlineStr">
        <is>
          <t>Công Ty Cổ Phần Tầm Nhìn Quốc Tế Aladdin</t>
        </is>
      </c>
      <c r="E21216" s="10" t="inlineStr">
        <is>
          <t>Lương:15 Tr - 20 Tr VND</t>
        </is>
      </c>
      <c r="F21216" s="10" t="inlineStr">
        <is>
          <t>Hồ Chí Minh</t>
        </is>
      </c>
      <c r="G21216" s="10" t="inlineStr">
        <is>
          <t>3</t>
        </is>
      </c>
      <c r="H21216" s="10" t="inlineStr">
        <is>
          <t>20/03/2026</t>
        </is>
      </c>
      <c r="I21216" s="10" t="inlineStr">
        <is>
          <t>17/03/2026</t>
        </is>
      </c>
      <c r="J21216" s="10" t="inlineStr">
        <is>
          <t>Thực phẩm &amp; Đồ uống, Nhà hàng / Khách sạn, Quản lý điều hành</t>
        </is>
      </c>
      <c r="K21216" s="10" t="inlineStr">
        <is>
          <t>2 - 4 Năm</t>
        </is>
      </c>
      <c r="L21216" s="11">
        <f>HYPERLINK("https://careerviet.vn/vi/tim-viec-lam/thu-duc-vincom-vo-van-ngan-quan-ly-pho-quan-ly-nha-hang.35C68BE2.html","Xem chi tiết")</f>
        <v/>
      </c>
      <c r="M21216" s="10" t="n"/>
    </row>
    <row r="21217">
      <c r="B21217" s="7" t="n">
        <v>21215</v>
      </c>
      <c r="C21217" t="inlineStr">
        <is>
          <t>Trưởng phòng kinh doanh tại Cần Thơ</t>
        </is>
      </c>
      <c r="D21217" t="inlineStr">
        <is>
          <t>cô</t>
        </is>
      </c>
      <c r="E21217" t="inlineStr">
        <is>
          <t>Lương:20 Tr - 30 Tr VND</t>
        </is>
      </c>
      <c r="F21217" t="inlineStr">
        <is>
          <t>Cần Thơ</t>
        </is>
      </c>
      <c r="G21217" t="inlineStr">
        <is>
          <t>2</t>
        </is>
      </c>
      <c r="H21217" t="inlineStr">
        <is>
          <t>19/03/2026</t>
        </is>
      </c>
      <c r="I21217" t="inlineStr">
        <is>
          <t>17/03/2026</t>
        </is>
      </c>
      <c r="J21217" t="inlineStr">
        <is>
          <t>Tiếp thị / Marketing, Bán lẻ / Bán sỉ, Bán hàng / Kinh doanh</t>
        </is>
      </c>
      <c r="K21217" t="inlineStr">
        <is>
          <t>3 - 5 Năm</t>
        </is>
      </c>
      <c r="L21217" s="8">
        <f>HYPERLINK("https://careerviet.vn/vi/tim-viec-lam/truong-phong-kinh-doanh-tai-can-tho.35C634D0.html","Xem chi tiết")</f>
        <v/>
      </c>
    </row>
    <row r="21218">
      <c r="B21218" s="9" t="n">
        <v>21216</v>
      </c>
      <c r="C21218" s="10" t="inlineStr">
        <is>
          <t>[THỦ ĐỨC - VINCOM LÊ VĂN VIỆT] BẾP TRƯỞNG / BẾP PHÓ</t>
        </is>
      </c>
      <c r="D21218" s="10" t="inlineStr">
        <is>
          <t>Công Ty Cổ Phần Tầm Nhìn Quốc Tế Aladdin</t>
        </is>
      </c>
      <c r="E21218" s="10" t="inlineStr">
        <is>
          <t>Lương:12 Tr - 20 Tr VND</t>
        </is>
      </c>
      <c r="F21218" s="10" t="inlineStr">
        <is>
          <t>Hồ Chí Minh</t>
        </is>
      </c>
      <c r="G21218" s="10" t="inlineStr">
        <is>
          <t>3</t>
        </is>
      </c>
      <c r="H21218" s="10" t="inlineStr">
        <is>
          <t>20/03/2026</t>
        </is>
      </c>
      <c r="I21218" s="10" t="inlineStr">
        <is>
          <t>17/03/2026</t>
        </is>
      </c>
      <c r="J21218" s="10" t="inlineStr">
        <is>
          <t>Thực phẩm &amp; Đồ uống, Nhà hàng / Khách sạn, Quản lý điều hành</t>
        </is>
      </c>
      <c r="K21218" s="10" t="inlineStr">
        <is>
          <t>2 - 4 Năm</t>
        </is>
      </c>
      <c r="L21218" s="11">
        <f>HYPERLINK("https://careerviet.vn/vi/tim-viec-lam/thu-duc-vincom-le-van-viet-bep-truong-bep-pho.35C68BE5.html","Xem chi tiết")</f>
        <v/>
      </c>
      <c r="M21218" s="10" t="n"/>
    </row>
    <row r="21219">
      <c r="B21219" s="7" t="n">
        <v>21217</v>
      </c>
      <c r="C21219" t="inlineStr">
        <is>
          <t>[NƯỚNG G.MASTER]  BẾP TRƯỞNG/ BẾP PHÓ</t>
        </is>
      </c>
      <c r="D21219" t="inlineStr">
        <is>
          <t>Công Ty Cổ Phần Tầm Nhìn Quốc Tế Aladdin</t>
        </is>
      </c>
      <c r="E21219" t="inlineStr">
        <is>
          <t>Lương:15 Tr - 20 Tr VND</t>
        </is>
      </c>
      <c r="F21219" t="inlineStr">
        <is>
          <t>Hồ Chí Minh</t>
        </is>
      </c>
      <c r="G21219" t="inlineStr">
        <is>
          <t>3</t>
        </is>
      </c>
      <c r="H21219" t="inlineStr">
        <is>
          <t>20/03/2026</t>
        </is>
      </c>
      <c r="I21219" t="inlineStr">
        <is>
          <t>17/03/2026</t>
        </is>
      </c>
      <c r="J21219" t="inlineStr">
        <is>
          <t>Thực phẩm &amp; Đồ uống, Nhà hàng / Khách sạn, Quản lý điều hành</t>
        </is>
      </c>
      <c r="K21219" t="inlineStr">
        <is>
          <t>1 - 4 Năm</t>
        </is>
      </c>
      <c r="L21219" s="8">
        <f>HYPERLINK("https://careerviet.vn/vi/tim-viec-lam/nuong-g-master-bep-truong-bep-pho.35C68BDF.html","Xem chi tiết")</f>
        <v/>
      </c>
    </row>
    <row r="21220">
      <c r="B21220" s="9" t="n">
        <v>21218</v>
      </c>
      <c r="C21220" s="10" t="inlineStr">
        <is>
          <t>[QUẬN 2 - CANTAVIL] QUẢN LÝ/ PHÓ QUẢN LÝ NHÀ HÀNG</t>
        </is>
      </c>
      <c r="D21220" s="10" t="inlineStr">
        <is>
          <t>Công Ty Cổ Phần Tầm Nhìn Quốc Tế Aladdin</t>
        </is>
      </c>
      <c r="E21220" s="10" t="inlineStr">
        <is>
          <t>Lương:15 Tr - 20 Tr VND</t>
        </is>
      </c>
      <c r="F21220" s="10" t="inlineStr">
        <is>
          <t>Hồ Chí Minh</t>
        </is>
      </c>
      <c r="G21220" s="10" t="inlineStr">
        <is>
          <t>3</t>
        </is>
      </c>
      <c r="H21220" s="10" t="inlineStr">
        <is>
          <t>20/03/2026</t>
        </is>
      </c>
      <c r="I21220" s="10" t="inlineStr">
        <is>
          <t>17/03/2026</t>
        </is>
      </c>
      <c r="J21220" s="10" t="inlineStr">
        <is>
          <t>Thực phẩm &amp; Đồ uống, Nhà hàng / Khách sạn, Quản lý điều hành</t>
        </is>
      </c>
      <c r="K21220" s="10" t="inlineStr">
        <is>
          <t>2 - 4 Năm</t>
        </is>
      </c>
      <c r="L21220" s="11">
        <f>HYPERLINK("https://careerviet.vn/vi/tim-viec-lam/quan-2-cantavil-quan-ly-pho-quan-ly-nha-hang.35C68BEB.html","Xem chi tiết")</f>
        <v/>
      </c>
      <c r="M21220" s="10" t="n"/>
    </row>
    <row r="21221">
      <c r="B21221" s="7" t="n">
        <v>21219</v>
      </c>
      <c r="C21221" t="inlineStr">
        <is>
          <t>[QUẬN 7] QUẢN LÝ NHÀ HÀNG</t>
        </is>
      </c>
      <c r="D21221" t="inlineStr">
        <is>
          <t>Công Ty Cổ Phần Tầm Nhìn Quốc Tế Aladdin</t>
        </is>
      </c>
      <c r="E21221" t="inlineStr">
        <is>
          <t>Lương:15 Tr - 20 Tr VND</t>
        </is>
      </c>
      <c r="F21221" t="inlineStr">
        <is>
          <t>Hồ Chí Minh</t>
        </is>
      </c>
      <c r="G21221" t="inlineStr">
        <is>
          <t>3</t>
        </is>
      </c>
      <c r="H21221" t="inlineStr">
        <is>
          <t>20/03/2026</t>
        </is>
      </c>
      <c r="I21221" t="inlineStr">
        <is>
          <t>17/03/2026</t>
        </is>
      </c>
      <c r="J21221" t="inlineStr">
        <is>
          <t>Thực phẩm &amp; Đồ uống, Nhà hàng / Khách sạn, Quản lý điều hành</t>
        </is>
      </c>
      <c r="K21221" t="inlineStr">
        <is>
          <t>2 - 4 Năm</t>
        </is>
      </c>
      <c r="L21221" s="8">
        <f>HYPERLINK("https://careerviet.vn/vi/tim-viec-lam/quan-7-quan-ly-nha-hang.35C68BDE.html","Xem chi tiết")</f>
        <v/>
      </c>
    </row>
    <row r="21222">
      <c r="B21222" s="9" t="n">
        <v>21220</v>
      </c>
      <c r="C21222" s="10" t="inlineStr">
        <is>
          <t>[NƯỚNG G.MASTER] QUẢN LÝ/ PHÓ QUẢN LÝ NHÀ HÀNG</t>
        </is>
      </c>
      <c r="D21222" s="10" t="inlineStr">
        <is>
          <t>Công Ty Cổ Phần Tầm Nhìn Quốc Tế Aladdin</t>
        </is>
      </c>
      <c r="E21222" s="10" t="inlineStr">
        <is>
          <t>Lương:15 Tr - 20 Tr VND</t>
        </is>
      </c>
      <c r="F21222" s="10" t="inlineStr">
        <is>
          <t>Hồ Chí Minh</t>
        </is>
      </c>
      <c r="G21222" s="10" t="inlineStr">
        <is>
          <t>18-02-2026</t>
        </is>
      </c>
      <c r="H21222" s="10" t="inlineStr">
        <is>
          <t>12/03/2026</t>
        </is>
      </c>
      <c r="I21222" s="10" t="inlineStr">
        <is>
          <t>17/03/2026</t>
        </is>
      </c>
      <c r="J21222" s="10" t="inlineStr">
        <is>
          <t>Thực phẩm &amp; Đồ uống, Nhà hàng / Khách sạn, Quản lý điều hành</t>
        </is>
      </c>
      <c r="K21222" s="10" t="inlineStr">
        <is>
          <t>2 - 3 Năm</t>
        </is>
      </c>
      <c r="L21222" s="11">
        <f>HYPERLINK("https://careerviet.vn/vi/tim-viec-lam/nuong-g-master-quan-ly-pho-quan-ly-nha-hang.35C68BDC.html","Xem chi tiết")</f>
        <v/>
      </c>
      <c r="M21222" s="10" t="n"/>
    </row>
    <row r="21223">
      <c r="B21223" s="7" t="n">
        <v>21221</v>
      </c>
      <c r="C21223" t="inlineStr">
        <is>
          <t>BẾP TRƯỞNG  - CƠM NIÊU HẢI SƯ</t>
        </is>
      </c>
      <c r="D21223" t="inlineStr">
        <is>
          <t>Công Ty Cổ Phần Tầm Nhìn Quốc Tế Aladdin</t>
        </is>
      </c>
      <c r="E21223" t="inlineStr">
        <is>
          <t>Lương:15 Tr - 20 Tr VND</t>
        </is>
      </c>
      <c r="F21223" t="inlineStr">
        <is>
          <t>Hồ Chí Minh</t>
        </is>
      </c>
      <c r="G21223" t="inlineStr">
        <is>
          <t>3</t>
        </is>
      </c>
      <c r="H21223" t="inlineStr">
        <is>
          <t>20/03/2026</t>
        </is>
      </c>
      <c r="I21223" t="inlineStr">
        <is>
          <t>17/03/2026</t>
        </is>
      </c>
      <c r="J21223" t="inlineStr">
        <is>
          <t>Thực phẩm &amp; Đồ uống, Nhà hàng / Khách sạn, Quản lý điều hành</t>
        </is>
      </c>
      <c r="K21223" t="inlineStr">
        <is>
          <t>2 - 4 Năm</t>
        </is>
      </c>
      <c r="L21223" s="8">
        <f>HYPERLINK("https://careerviet.vn/vi/tim-viec-lam/bep-truong-com-nieu-hai-su.35C68BD5.html","Xem chi tiết")</f>
        <v/>
      </c>
    </row>
    <row r="21224">
      <c r="B21224" s="9" t="n">
        <v>21222</v>
      </c>
      <c r="C21224" s="10" t="inlineStr">
        <is>
          <t>[VINCOM GRAND PARK ] BẾP TRƯỞNG / BẾP PHÓ</t>
        </is>
      </c>
      <c r="D21224" s="10" t="inlineStr">
        <is>
          <t>Công Ty Cổ Phần Tầm Nhìn Quốc Tế Aladdin</t>
        </is>
      </c>
      <c r="E21224" s="10" t="inlineStr">
        <is>
          <t>Lương:12 Tr - 20 Tr VND</t>
        </is>
      </c>
      <c r="F21224" s="10" t="inlineStr">
        <is>
          <t>Hồ Chí Minh</t>
        </is>
      </c>
      <c r="G21224" s="10" t="inlineStr">
        <is>
          <t>3</t>
        </is>
      </c>
      <c r="H21224" s="10" t="inlineStr">
        <is>
          <t>20/03/2026</t>
        </is>
      </c>
      <c r="I21224" s="10" t="inlineStr">
        <is>
          <t>17/03/2026</t>
        </is>
      </c>
      <c r="J21224" s="10" t="inlineStr">
        <is>
          <t>Thực phẩm &amp; Đồ uống, Nhà hàng / Khách sạn, Quản lý điều hành</t>
        </is>
      </c>
      <c r="K21224" s="10" t="inlineStr">
        <is>
          <t>2 - 4 Năm</t>
        </is>
      </c>
      <c r="L21224" s="11">
        <f>HYPERLINK("https://careerviet.vn/vi/tim-viec-lam/vincom-grand-park-bep-truong-bep-pho.35C68BE0.html","Xem chi tiết")</f>
        <v/>
      </c>
      <c r="M21224" s="10" t="n"/>
    </row>
    <row r="21225">
      <c r="B21225" s="7" t="n">
        <v>21223</v>
      </c>
      <c r="C21225" t="inlineStr">
        <is>
          <t>HRBP SUPERVISOR - F&amp;B</t>
        </is>
      </c>
      <c r="D21225" t="inlineStr">
        <is>
          <t>Công Ty Cổ Phần Tầm Nhìn Quốc Tế Aladdin</t>
        </is>
      </c>
      <c r="E21225" t="inlineStr">
        <is>
          <t>Lương:Cạnh tranh</t>
        </is>
      </c>
      <c r="F21225" t="inlineStr">
        <is>
          <t>Hồ Chí Minh</t>
        </is>
      </c>
      <c r="G21225" t="inlineStr">
        <is>
          <t>3</t>
        </is>
      </c>
      <c r="H21225" t="inlineStr">
        <is>
          <t>20/03/2026</t>
        </is>
      </c>
      <c r="I21225" t="inlineStr">
        <is>
          <t>17/03/2026</t>
        </is>
      </c>
      <c r="J21225" t="inlineStr">
        <is>
          <t>Nhà hàng / Khách sạn</t>
        </is>
      </c>
      <c r="K21225" t="inlineStr">
        <is>
          <t>2 - 3 Năm</t>
        </is>
      </c>
      <c r="L21225" s="8">
        <f>HYPERLINK("https://careerviet.vn/vi/tim-viec-lam/hrbp-supervisor-f-b.35C68BD7.html","Xem chi tiết")</f>
        <v/>
      </c>
    </row>
    <row r="21226">
      <c r="B21226" s="9" t="n">
        <v>21224</v>
      </c>
      <c r="C21226" s="10" t="inlineStr">
        <is>
          <t>TRƯỞNG NHÓM/ GIÁM SÁT SALE ONLINE - QUẬN 7</t>
        </is>
      </c>
      <c r="D21226" s="10" t="inlineStr">
        <is>
          <t>Công Ty Cổ Phần Tầm Nhìn Quốc Tế Aladdin</t>
        </is>
      </c>
      <c r="E21226" s="10" t="inlineStr">
        <is>
          <t>Lương:Cạnh tranh</t>
        </is>
      </c>
      <c r="F21226" s="10" t="inlineStr">
        <is>
          <t>Hồ Chí Minh</t>
        </is>
      </c>
      <c r="G21226" s="10" t="inlineStr">
        <is>
          <t>3</t>
        </is>
      </c>
      <c r="H21226" s="10" t="inlineStr">
        <is>
          <t>20/03/2026</t>
        </is>
      </c>
      <c r="I21226" s="10" t="inlineStr">
        <is>
          <t>17/03/2026</t>
        </is>
      </c>
      <c r="J21226" s="10" t="inlineStr">
        <is>
          <t>Bán lẻ / Bán sỉ, Dịch vụ khách hàng, Nhà hàng / Khách sạn</t>
        </is>
      </c>
      <c r="K21226" s="10" t="inlineStr">
        <is>
          <t>1 - 2 Năm</t>
        </is>
      </c>
      <c r="L21226" s="11">
        <f>HYPERLINK("https://careerviet.vn/vi/tim-viec-lam/truong-nhom-giam-sat-sale-online-quan-7.35C68BDA.html","Xem chi tiết")</f>
        <v/>
      </c>
      <c r="M21226" s="10" t="n"/>
    </row>
    <row r="21227">
      <c r="B21227" s="7" t="n">
        <v>21225</v>
      </c>
      <c r="C21227" t="inlineStr">
        <is>
          <t>[THỦ ĐỨC - VINCOM VÕ VĂN NGÂN] BẾP TRƯỞNG / BẾP PHÓ</t>
        </is>
      </c>
      <c r="D21227" t="inlineStr">
        <is>
          <t>Công Ty Cổ Phần Tầm Nhìn Quốc Tế Aladdin</t>
        </is>
      </c>
      <c r="E21227" t="inlineStr">
        <is>
          <t>Lương:12 Tr - 20 Tr VND</t>
        </is>
      </c>
      <c r="F21227" t="inlineStr">
        <is>
          <t>Hồ Chí Minh</t>
        </is>
      </c>
      <c r="G21227" t="inlineStr">
        <is>
          <t>3</t>
        </is>
      </c>
      <c r="H21227" t="inlineStr">
        <is>
          <t>20/03/2026</t>
        </is>
      </c>
      <c r="I21227" t="inlineStr">
        <is>
          <t>17/03/2026</t>
        </is>
      </c>
      <c r="J21227" t="inlineStr">
        <is>
          <t>Thực phẩm &amp; Đồ uống, Nhà hàng / Khách sạn, Quản lý điều hành</t>
        </is>
      </c>
      <c r="K21227" t="inlineStr">
        <is>
          <t>2 - 4 Năm</t>
        </is>
      </c>
      <c r="L21227" s="8">
        <f>HYPERLINK("https://careerviet.vn/vi/tim-viec-lam/thu-duc-vincom-vo-van-ngan-bep-truong-bep-pho.35C68BE3.html","Xem chi tiết")</f>
        <v/>
      </c>
    </row>
    <row r="21228">
      <c r="B21228" s="9" t="n">
        <v>21226</v>
      </c>
      <c r="C21228" s="10" t="inlineStr">
        <is>
          <t>[QUẬN 7] BẾP TRƯỞNG/ BẾP PHÓ</t>
        </is>
      </c>
      <c r="D21228" s="10" t="inlineStr">
        <is>
          <t>Công Ty Cổ Phần Tầm Nhìn Quốc Tế Aladdin</t>
        </is>
      </c>
      <c r="E21228" s="10" t="inlineStr">
        <is>
          <t>Lương:15 Tr - 20 Tr VND</t>
        </is>
      </c>
      <c r="F21228" s="10" t="inlineStr">
        <is>
          <t>Hồ Chí Minh</t>
        </is>
      </c>
      <c r="G21228" s="10" t="inlineStr">
        <is>
          <t>3</t>
        </is>
      </c>
      <c r="H21228" s="10" t="inlineStr">
        <is>
          <t>20/03/2026</t>
        </is>
      </c>
      <c r="I21228" s="10" t="inlineStr">
        <is>
          <t>17/03/2026</t>
        </is>
      </c>
      <c r="J21228" s="10" t="inlineStr">
        <is>
          <t>Thực phẩm &amp; Đồ uống, Nhà hàng / Khách sạn, Quản lý điều hành</t>
        </is>
      </c>
      <c r="K21228" s="10" t="inlineStr">
        <is>
          <t>2 - 4 Năm</t>
        </is>
      </c>
      <c r="L21228" s="11">
        <f>HYPERLINK("https://careerviet.vn/vi/tim-viec-lam/quan-7-bep-truong-bep-pho.35C68BDD.html","Xem chi tiết")</f>
        <v/>
      </c>
      <c r="M21228" s="10" t="n"/>
    </row>
    <row r="21229">
      <c r="B21229" s="7" t="n">
        <v>21227</v>
      </c>
      <c r="C21229" t="inlineStr">
        <is>
          <t>QUẢN LÝ BẾP TRUNG TÂM</t>
        </is>
      </c>
      <c r="D21229" t="inlineStr">
        <is>
          <t>Công Ty Cổ Phần Tầm Nhìn Quốc Tế Aladdin</t>
        </is>
      </c>
      <c r="E21229" t="inlineStr">
        <is>
          <t>Lương:Cạnh tranh</t>
        </is>
      </c>
      <c r="F21229" t="inlineStr">
        <is>
          <t>Hồ Chí Minh</t>
        </is>
      </c>
      <c r="G21229" t="inlineStr">
        <is>
          <t>2</t>
        </is>
      </c>
      <c r="H21229" t="inlineStr">
        <is>
          <t>19/03/2026</t>
        </is>
      </c>
      <c r="I21229" t="inlineStr">
        <is>
          <t>17/03/2026</t>
        </is>
      </c>
      <c r="J21229" t="inlineStr">
        <is>
          <t>Thực phẩm &amp; Đồ uống, Nhà hàng / Khách sạn, Quản lý điều hành</t>
        </is>
      </c>
      <c r="K21229" t="inlineStr">
        <is>
          <t>3 - 4 Năm</t>
        </is>
      </c>
      <c r="L21229" s="8">
        <f>HYPERLINK("https://careerviet.vn/vi/tim-viec-lam/quan-ly-bep-trung-tam.35C68BD6.html","Xem chi tiết")</f>
        <v/>
      </c>
    </row>
    <row r="21230">
      <c r="B21230" s="9" t="n">
        <v>21228</v>
      </c>
      <c r="C21230" s="10" t="inlineStr">
        <is>
          <t>Nhân viên vận hành máy</t>
        </is>
      </c>
      <c r="D21230" s="10" t="inlineStr">
        <is>
          <t>Công ty TNHH Olam Việt Nam</t>
        </is>
      </c>
      <c r="E21230" s="10" t="inlineStr">
        <is>
          <t>Lương:Cạnh tranh</t>
        </is>
      </c>
      <c r="F21230" s="10" t="inlineStr">
        <is>
          <t>Đồng Nai</t>
        </is>
      </c>
      <c r="G21230" s="10" t="inlineStr">
        <is>
          <t>3</t>
        </is>
      </c>
      <c r="H21230" s="10" t="inlineStr">
        <is>
          <t>20/03/2026</t>
        </is>
      </c>
      <c r="I21230" s="10" t="inlineStr">
        <is>
          <t>17/03/2026</t>
        </is>
      </c>
      <c r="J21230" s="10" t="inlineStr">
        <is>
          <t>Sản xuất / Vận hành sản xuất, Bảo trì / Sửa chữa, Điện / Điện tử / Điện lạnh / Điện công nghiệp</t>
        </is>
      </c>
      <c r="K21230" s="10" t="inlineStr">
        <is>
          <t>N/A</t>
        </is>
      </c>
      <c r="L21230" s="11">
        <f>HYPERLINK("https://careerviet.vn/vi/tim-viec-lam/nhan-vien-van-hanh-may.35C68BC5.html","Xem chi tiết")</f>
        <v/>
      </c>
      <c r="M21230" s="10" t="n"/>
    </row>
    <row r="21231">
      <c r="B21231" s="7" t="n">
        <v>21229</v>
      </c>
      <c r="C21231" t="inlineStr">
        <is>
          <t>CHUYÊN VIÊN PHÁP CHẾ</t>
        </is>
      </c>
      <c r="D21231" t="inlineStr">
        <is>
          <t>Công ty Cổ phần Đầu tư Dừa Bến Tre</t>
        </is>
      </c>
      <c r="E21231" t="inlineStr">
        <is>
          <t>Lương:Cạnh tranh</t>
        </is>
      </c>
      <c r="F21231" t="inlineStr">
        <is>
          <t>Bến Tre</t>
        </is>
      </c>
      <c r="G21231" t="inlineStr">
        <is>
          <t>31-03-2026</t>
        </is>
      </c>
      <c r="H21231" t="inlineStr">
        <is>
          <t>31/03/2026</t>
        </is>
      </c>
      <c r="I21231" t="inlineStr">
        <is>
          <t>17/03/2026</t>
        </is>
      </c>
      <c r="J21231" t="inlineStr">
        <is>
          <t>Luật / Pháp lý</t>
        </is>
      </c>
      <c r="K21231" t="inlineStr">
        <is>
          <t>3 - 4 Năm</t>
        </is>
      </c>
      <c r="L21231" s="8">
        <f>HYPERLINK("https://careerviet.vn/vi/tim-viec-lam/chuyen-vien-phap-che.35C68BC4.html","Xem chi tiết")</f>
        <v/>
      </c>
    </row>
    <row r="21232">
      <c r="B21232" s="9" t="n">
        <v>21230</v>
      </c>
      <c r="C21232" s="10" t="inlineStr">
        <is>
          <t>Nhân viên bảo trì điện</t>
        </is>
      </c>
      <c r="D21232" s="10" t="inlineStr">
        <is>
          <t>Công ty TNHH Olam Việt Nam</t>
        </is>
      </c>
      <c r="E21232" s="10" t="inlineStr">
        <is>
          <t>Lương:Cạnh tranh</t>
        </is>
      </c>
      <c r="F21232" s="10" t="inlineStr">
        <is>
          <t>Đồng Nai</t>
        </is>
      </c>
      <c r="G21232" s="10" t="inlineStr">
        <is>
          <t>3</t>
        </is>
      </c>
      <c r="H21232" s="10" t="inlineStr">
        <is>
          <t>20/03/2026</t>
        </is>
      </c>
      <c r="I21232" s="10" t="inlineStr">
        <is>
          <t>17/03/2026</t>
        </is>
      </c>
      <c r="J21232" s="10" t="inlineStr">
        <is>
          <t>Cơ khí / Ô tô / Tự động hóa, Điện / Điện tử / Điện lạnh / Điện công nghiệp, Bảo trì / Sửa chữa</t>
        </is>
      </c>
      <c r="K21232" s="10" t="inlineStr">
        <is>
          <t>1 - 3 Năm</t>
        </is>
      </c>
      <c r="L21232" s="11">
        <f>HYPERLINK("https://careerviet.vn/vi/tim-viec-lam/nhan-vien-bao-tri-dien.35C68BC6.html","Xem chi tiết")</f>
        <v/>
      </c>
      <c r="M21232" s="10" t="n"/>
    </row>
    <row r="21233">
      <c r="B21233" s="7" t="n">
        <v>21231</v>
      </c>
      <c r="C21233" t="inlineStr">
        <is>
          <t>Nhân viên kho</t>
        </is>
      </c>
      <c r="D21233" t="inlineStr">
        <is>
          <t>Công ty TNHH Olam Việt Nam</t>
        </is>
      </c>
      <c r="E21233" t="inlineStr">
        <is>
          <t>Lương:Cạnh tranh</t>
        </is>
      </c>
      <c r="F21233" t="inlineStr">
        <is>
          <t>Đồng Nai</t>
        </is>
      </c>
      <c r="G21233" t="inlineStr">
        <is>
          <t>Hôm nay</t>
        </is>
      </c>
      <c r="H21233" t="inlineStr">
        <is>
          <t>17/03/2026</t>
        </is>
      </c>
      <c r="I21233" t="inlineStr">
        <is>
          <t>17/03/2026</t>
        </is>
      </c>
      <c r="J21233" t="inlineStr">
        <is>
          <t>Vận chuyển / Giao nhận / Kho vận, Xuất nhập khẩu, Sản xuất / Vận hành sản xuất</t>
        </is>
      </c>
      <c r="K21233" t="inlineStr">
        <is>
          <t>Lên đến 1 Năm</t>
        </is>
      </c>
      <c r="L21233" s="8">
        <f>HYPERLINK("https://careerviet.vn/vi/tim-viec-lam/nhan-vien-kho.35C684DE.html","Xem chi tiết")</f>
        <v/>
      </c>
    </row>
    <row r="21234">
      <c r="B21234" s="9" t="n">
        <v>21232</v>
      </c>
      <c r="C21234" s="10" t="inlineStr">
        <is>
          <t>PHÓ GIÁM ĐỐC NHÀ MÁY</t>
        </is>
      </c>
      <c r="D21234" s="10" t="inlineStr">
        <is>
          <t>Công ty Cổ phần Đầu tư Dừa Bến Tre</t>
        </is>
      </c>
      <c r="E21234" s="10" t="inlineStr">
        <is>
          <t>Lương:Cạnh tranh</t>
        </is>
      </c>
      <c r="F21234" s="10" t="inlineStr">
        <is>
          <t>Bến Tre</t>
        </is>
      </c>
      <c r="G21234" s="10" t="inlineStr">
        <is>
          <t>31-03-2026</t>
        </is>
      </c>
      <c r="H21234" s="10" t="inlineStr">
        <is>
          <t>31/03/2026</t>
        </is>
      </c>
      <c r="I21234" s="10" t="inlineStr">
        <is>
          <t>17/03/2026</t>
        </is>
      </c>
      <c r="J21234" s="10" t="inlineStr">
        <is>
          <t>Cơ khí / Ô tô / Tự động hóa, Điện / Điện tử / Điện lạnh / Điện công nghiệp, Sản xuất / Vận hành sản xuất</t>
        </is>
      </c>
      <c r="K21234" s="10" t="inlineStr">
        <is>
          <t>2 - 3 Năm</t>
        </is>
      </c>
      <c r="L21234" s="11">
        <f>HYPERLINK("https://careerviet.vn/vi/tim-viec-lam/pho-giam-doc-nha-may.35C68BC2.html","Xem chi tiết")</f>
        <v/>
      </c>
      <c r="M21234" s="10" t="n"/>
    </row>
    <row r="21235">
      <c r="B21235" s="7" t="n">
        <v>21233</v>
      </c>
      <c r="C21235" t="inlineStr">
        <is>
          <t>CHUYÊN VIÊN KỸ THUẬT SẢN XUẤT</t>
        </is>
      </c>
      <c r="D21235" t="inlineStr">
        <is>
          <t>Công ty Cổ phần Đầu tư Dừa Bến Tre</t>
        </is>
      </c>
      <c r="E21235" t="inlineStr">
        <is>
          <t>Lương:Cạnh tranh</t>
        </is>
      </c>
      <c r="F21235" t="inlineStr">
        <is>
          <t>Bến Tre</t>
        </is>
      </c>
      <c r="G21235" t="inlineStr">
        <is>
          <t>31-03-2026</t>
        </is>
      </c>
      <c r="H21235" t="inlineStr">
        <is>
          <t>31/03/2026</t>
        </is>
      </c>
      <c r="I21235" t="inlineStr">
        <is>
          <t>17/03/2026</t>
        </is>
      </c>
      <c r="J21235" t="inlineStr">
        <is>
          <t>Cơ khí / Ô tô / Tự động hóa, Điện / Điện tử / Điện lạnh / Điện công nghiệp, Bảo trì / Sửa chữa</t>
        </is>
      </c>
      <c r="K21235" t="inlineStr">
        <is>
          <t>2 - 3 Năm</t>
        </is>
      </c>
      <c r="L21235" s="8">
        <f>HYPERLINK("https://careerviet.vn/vi/tim-viec-lam/chuyen-vien-ky-thuat-san-xuat.35C68BC3.html","Xem chi tiết")</f>
        <v/>
      </c>
    </row>
    <row r="21236">
      <c r="B21236" s="9" t="n">
        <v>21234</v>
      </c>
      <c r="C21236" s="10" t="inlineStr">
        <is>
          <t>NHÂN VIÊN TUYỂN DỤNG ĐÀO TẠO</t>
        </is>
      </c>
      <c r="D21236" s="10" t="inlineStr">
        <is>
          <t>Công ty Cổ phần Đầu tư Dừa Bến Tre</t>
        </is>
      </c>
      <c r="E21236" s="10" t="inlineStr">
        <is>
          <t>Lương:Cạnh tranh</t>
        </is>
      </c>
      <c r="F21236" s="10" t="inlineStr">
        <is>
          <t>Bến Tre</t>
        </is>
      </c>
      <c r="G21236" s="10" t="inlineStr">
        <is>
          <t>01-04-2026</t>
        </is>
      </c>
      <c r="H21236" s="10" t="inlineStr">
        <is>
          <t>01/04/2026</t>
        </is>
      </c>
      <c r="I21236" s="10" t="inlineStr">
        <is>
          <t>17/03/2026</t>
        </is>
      </c>
      <c r="J21236" s="10" t="inlineStr">
        <is>
          <t>Hành chính / Thư ký, Nhân sự, Truyền hình / Báo chí / Biên tập</t>
        </is>
      </c>
      <c r="K21236" s="10" t="inlineStr">
        <is>
          <t>1 - 2 Năm</t>
        </is>
      </c>
      <c r="L21236" s="11">
        <f>HYPERLINK("https://careerviet.vn/vi/tim-viec-lam/nhan-vien-tuyen-dung-dao-tao.35C68BC0.html","Xem chi tiết")</f>
        <v/>
      </c>
      <c r="M21236" s="10" t="n"/>
    </row>
    <row r="21237">
      <c r="B21237" s="7" t="n">
        <v>21235</v>
      </c>
      <c r="C21237" t="inlineStr">
        <is>
          <t>NHÂN VIÊN VẬN HÀNH LÒ HƠI</t>
        </is>
      </c>
      <c r="D21237" t="inlineStr">
        <is>
          <t>Công ty Cổ phần Đầu tư Dừa Bến Tre</t>
        </is>
      </c>
      <c r="E21237" t="inlineStr">
        <is>
          <t>Lương:Cạnh tranh</t>
        </is>
      </c>
      <c r="F21237" t="inlineStr">
        <is>
          <t>Bến Tre</t>
        </is>
      </c>
      <c r="G21237" t="inlineStr">
        <is>
          <t>31-03-2026</t>
        </is>
      </c>
      <c r="H21237" t="inlineStr">
        <is>
          <t>31/03/2026</t>
        </is>
      </c>
      <c r="I21237" t="inlineStr">
        <is>
          <t>17/03/2026</t>
        </is>
      </c>
      <c r="J21237" t="inlineStr">
        <is>
          <t>Cơ khí / Ô tô / Tự động hóa, Điện / Điện tử / Điện lạnh / Điện công nghiệp, Sản xuất / Vận hành sản xuất</t>
        </is>
      </c>
      <c r="K21237" t="inlineStr">
        <is>
          <t>1 - 2 Năm</t>
        </is>
      </c>
      <c r="L21237" s="8">
        <f>HYPERLINK("https://careerviet.vn/vi/tim-viec-lam/nhan-vien-van-hanh-lo-hoi.35C68BBC.html","Xem chi tiết")</f>
        <v/>
      </c>
    </row>
    <row r="21238">
      <c r="B21238" s="9" t="n">
        <v>21236</v>
      </c>
      <c r="C21238" s="10" t="inlineStr">
        <is>
          <t>NHÂN VIÊN PHÁT TRIỂN VÙNG NGUYÊN LIỆU DỪA</t>
        </is>
      </c>
      <c r="D21238" s="10" t="inlineStr">
        <is>
          <t>Công ty Cổ phần Đầu tư Dừa Bến Tre</t>
        </is>
      </c>
      <c r="E21238" s="10" t="inlineStr">
        <is>
          <t>Lương:Cạnh tranh</t>
        </is>
      </c>
      <c r="F21238" s="10" t="inlineStr">
        <is>
          <t>Bến Tre</t>
        </is>
      </c>
      <c r="G21238" s="10" t="inlineStr">
        <is>
          <t>31-03-2026</t>
        </is>
      </c>
      <c r="H21238" s="10" t="inlineStr">
        <is>
          <t>31/03/2026</t>
        </is>
      </c>
      <c r="I21238" s="10" t="inlineStr">
        <is>
          <t>17/03/2026</t>
        </is>
      </c>
      <c r="J21238" s="10" t="inlineStr">
        <is>
          <t>Nông nghiệp</t>
        </is>
      </c>
      <c r="K21238" s="10" t="inlineStr">
        <is>
          <t>1 - 2 Năm</t>
        </is>
      </c>
      <c r="L21238" s="11">
        <f>HYPERLINK("https://careerviet.vn/vi/tim-viec-lam/nhan-vien-phat-trien-vung-nguyen-lieu-dua.35C68BBE.html","Xem chi tiết")</f>
        <v/>
      </c>
      <c r="M21238" s="10" t="n"/>
    </row>
    <row r="21239">
      <c r="B21239" s="7" t="n">
        <v>21237</v>
      </c>
      <c r="C21239" t="inlineStr">
        <is>
          <t>NHÂN VIÊN IT</t>
        </is>
      </c>
      <c r="D21239" t="inlineStr">
        <is>
          <t>Công ty Cổ phần Đầu tư Dừa Bến Tre</t>
        </is>
      </c>
      <c r="E21239" t="inlineStr">
        <is>
          <t>Lương:Cạnh tranh</t>
        </is>
      </c>
      <c r="F21239" t="inlineStr">
        <is>
          <t>Bến Tre</t>
        </is>
      </c>
      <c r="G21239" t="inlineStr">
        <is>
          <t>31-03-2026</t>
        </is>
      </c>
      <c r="H21239" t="inlineStr">
        <is>
          <t>31/03/2026</t>
        </is>
      </c>
      <c r="I21239" t="inlineStr">
        <is>
          <t>17/03/2026</t>
        </is>
      </c>
      <c r="J21239" t="inlineStr">
        <is>
          <t>CNTT - Phần mềm, CNTT - Phần cứng / Mạng</t>
        </is>
      </c>
      <c r="K21239" t="inlineStr">
        <is>
          <t>2 - 3 Năm</t>
        </is>
      </c>
      <c r="L21239" s="8">
        <f>HYPERLINK("https://careerviet.vn/vi/tim-viec-lam/nhan-vien-it.35C68BB8.html","Xem chi tiết")</f>
        <v/>
      </c>
    </row>
    <row r="21240">
      <c r="B21240" s="9" t="n">
        <v>21238</v>
      </c>
      <c r="C21240" s="10" t="inlineStr">
        <is>
          <t>NHÂN VIÊN VẬN HÀNH XỬ LÝ NƯỚC, KHÍ NÉN, CHILLER, COOLING</t>
        </is>
      </c>
      <c r="D21240" s="10" t="inlineStr">
        <is>
          <t>Công ty Cổ phần Đầu tư Dừa Bến Tre</t>
        </is>
      </c>
      <c r="E21240" s="10" t="inlineStr">
        <is>
          <t>Lương:Cạnh tranh</t>
        </is>
      </c>
      <c r="F21240" s="10" t="inlineStr">
        <is>
          <t>Bến Tre</t>
        </is>
      </c>
      <c r="G21240" s="10" t="inlineStr">
        <is>
          <t>31-03-2026</t>
        </is>
      </c>
      <c r="H21240" s="10" t="inlineStr">
        <is>
          <t>31/03/2026</t>
        </is>
      </c>
      <c r="I21240" s="10" t="inlineStr">
        <is>
          <t>17/03/2026</t>
        </is>
      </c>
      <c r="J21240" s="10" t="inlineStr">
        <is>
          <t>Môi trường, Ngành khác</t>
        </is>
      </c>
      <c r="K21240" s="10" t="inlineStr">
        <is>
          <t>1 - 2 Năm</t>
        </is>
      </c>
      <c r="L21240" s="11">
        <f>HYPERLINK("https://careerviet.vn/vi/tim-viec-lam/nhan-vien-van-hanh-xu-ly-nuoc-khi-nen-chiller-cooling.35C68BC1.html","Xem chi tiết")</f>
        <v/>
      </c>
      <c r="M21240" s="10" t="n"/>
    </row>
    <row r="21241">
      <c r="B21241" s="7" t="n">
        <v>21239</v>
      </c>
      <c r="C21241" t="inlineStr">
        <is>
          <t>Cộng tác viên SAP ABAP Developer (Hybrid)</t>
        </is>
      </c>
      <c r="D21241" t="inlineStr">
        <is>
          <t>Tập Đoàn Karofi Holding</t>
        </is>
      </c>
      <c r="E21241" t="inlineStr">
        <is>
          <t>Lương:20 Tr - 25 Tr VND</t>
        </is>
      </c>
      <c r="F21241" t="inlineStr">
        <is>
          <t>Hà Nội</t>
        </is>
      </c>
      <c r="G21241" t="inlineStr">
        <is>
          <t>2</t>
        </is>
      </c>
      <c r="H21241" t="inlineStr">
        <is>
          <t>19/03/2026</t>
        </is>
      </c>
      <c r="I21241" t="inlineStr">
        <is>
          <t>17/03/2026</t>
        </is>
      </c>
      <c r="J21241" t="inlineStr">
        <is>
          <t>CNTT - Phần mềm</t>
        </is>
      </c>
      <c r="K21241" t="inlineStr">
        <is>
          <t>Trên 3 Năm</t>
        </is>
      </c>
      <c r="L21241" s="8">
        <f>HYPERLINK("https://careerviet.vn/vi/tim-viec-lam/cong-tac-vien-sap-abap-developer-hybrid.35C63552.html","Xem chi tiết")</f>
        <v/>
      </c>
    </row>
    <row r="21242">
      <c r="B21242" s="9" t="n">
        <v>21240</v>
      </c>
      <c r="C21242" s="10" t="inlineStr">
        <is>
          <t>TRƯỞNG BỘ PHẬN THU MUA DỪA</t>
        </is>
      </c>
      <c r="D21242" s="10" t="inlineStr">
        <is>
          <t>Công ty Cổ phần Đầu tư Dừa Bến Tre</t>
        </is>
      </c>
      <c r="E21242" s="10" t="inlineStr">
        <is>
          <t>Lương:Cạnh tranh</t>
        </is>
      </c>
      <c r="F21242" s="10" t="inlineStr">
        <is>
          <t>Bến Tre</t>
        </is>
      </c>
      <c r="G21242" s="10" t="inlineStr">
        <is>
          <t>31-03-2026</t>
        </is>
      </c>
      <c r="H21242" s="10" t="inlineStr">
        <is>
          <t>31/03/2026</t>
        </is>
      </c>
      <c r="I21242" s="10" t="inlineStr">
        <is>
          <t>17/03/2026</t>
        </is>
      </c>
      <c r="J21242" s="10" t="inlineStr">
        <is>
          <t>Bán hàng / Kinh doanh, Nông nghiệp, Thu mua / Vật tư</t>
        </is>
      </c>
      <c r="K21242" s="10" t="inlineStr">
        <is>
          <t>2 - 3 Năm</t>
        </is>
      </c>
      <c r="L21242" s="11">
        <f>HYPERLINK("https://careerviet.vn/vi/tim-viec-lam/truong-bo-phan-thu-mua-dua.35C68BB5.html","Xem chi tiết")</f>
        <v/>
      </c>
      <c r="M21242" s="10" t="n"/>
    </row>
    <row r="21243">
      <c r="B21243" s="7" t="n">
        <v>21241</v>
      </c>
      <c r="C21243" t="inlineStr">
        <is>
          <t>NHÂN VIÊN QC</t>
        </is>
      </c>
      <c r="D21243" t="inlineStr">
        <is>
          <t>Công ty Cổ phần Đầu tư Dừa Bến Tre</t>
        </is>
      </c>
      <c r="E21243" t="inlineStr">
        <is>
          <t>Lương:Cạnh tranh</t>
        </is>
      </c>
      <c r="F21243" t="inlineStr">
        <is>
          <t>Bến Tre</t>
        </is>
      </c>
      <c r="G21243" t="inlineStr">
        <is>
          <t>31-03-2026</t>
        </is>
      </c>
      <c r="H21243" t="inlineStr">
        <is>
          <t>31/03/2026</t>
        </is>
      </c>
      <c r="I21243" t="inlineStr">
        <is>
          <t>17/03/2026</t>
        </is>
      </c>
      <c r="J21243" t="inlineStr">
        <is>
          <t>Thực phẩm &amp; Đồ uống, Công nghệ thực phẩm / Dinh dưỡng, Quản lý chất lượng (QA/QC)</t>
        </is>
      </c>
      <c r="K21243" t="inlineStr">
        <is>
          <t>1 - 2 Năm</t>
        </is>
      </c>
      <c r="L21243" s="8">
        <f>HYPERLINK("https://careerviet.vn/vi/tim-viec-lam/nhan-vien-qc.35C68BBB.html","Xem chi tiết")</f>
        <v/>
      </c>
    </row>
    <row r="21244">
      <c r="B21244" s="9" t="n">
        <v>21242</v>
      </c>
      <c r="C21244" s="10" t="inlineStr">
        <is>
          <t>NHÂN VIÊN SALE QUỐC TẾ (BẾN TRE &amp;TP.HCM)</t>
        </is>
      </c>
      <c r="D21244" s="10" t="inlineStr">
        <is>
          <t>Công ty Cổ phần Đầu tư Dừa Bến Tre</t>
        </is>
      </c>
      <c r="E21244" s="10" t="inlineStr">
        <is>
          <t>Lương:Cạnh tranh</t>
        </is>
      </c>
      <c r="F21244" s="10" t="inlineStr">
        <is>
          <t>Bến TreHồ Chí Minh</t>
        </is>
      </c>
      <c r="G21244" s="10" t="inlineStr">
        <is>
          <t>31-03-2026</t>
        </is>
      </c>
      <c r="H21244" s="10" t="inlineStr">
        <is>
          <t>31/03/2026</t>
        </is>
      </c>
      <c r="I21244" s="10" t="inlineStr">
        <is>
          <t>17/03/2026</t>
        </is>
      </c>
      <c r="J21244" s="10" t="inlineStr">
        <is>
          <t>Bán lẻ / Bán sỉ, Bán hàng / Kinh doanh, Xuất nhập khẩu</t>
        </is>
      </c>
      <c r="K21244" s="10" t="inlineStr">
        <is>
          <t>2 - 3 Năm</t>
        </is>
      </c>
      <c r="L21244" s="11">
        <f>HYPERLINK("https://careerviet.vn/vi/tim-viec-lam/nhan-vien-sale-quoc-te-ben-tre-tp-hcm.35C68BB9.html","Xem chi tiết")</f>
        <v/>
      </c>
      <c r="M21244" s="10" t="n"/>
    </row>
    <row r="21245">
      <c r="B21245" s="7" t="n">
        <v>21243</v>
      </c>
      <c r="C21245" t="inlineStr">
        <is>
          <t>Chuyên Viên Quay Dựng</t>
        </is>
      </c>
      <c r="D21245" t="inlineStr">
        <is>
          <t>CÔNG TY CỔ PHẦN GIẢI PHÁP CƠ KHÍ VNTECH</t>
        </is>
      </c>
      <c r="E21245" t="inlineStr">
        <is>
          <t>Lương:14 Tr - 20 Tr VND</t>
        </is>
      </c>
      <c r="F21245" t="inlineStr">
        <is>
          <t>Hà Nội</t>
        </is>
      </c>
      <c r="G21245" t="inlineStr">
        <is>
          <t>2</t>
        </is>
      </c>
      <c r="H21245" t="inlineStr">
        <is>
          <t>18/03/2026</t>
        </is>
      </c>
      <c r="I21245" t="inlineStr">
        <is>
          <t>17/03/2026</t>
        </is>
      </c>
      <c r="J21245" t="inlineStr">
        <is>
          <t>Truyền hình / Báo chí / Biên tập, Mỹ thuật / Nghệ thuật / Thiết kế, Tiếp thị / Marketing</t>
        </is>
      </c>
      <c r="K21245" t="inlineStr">
        <is>
          <t>1 - 2 Năm</t>
        </is>
      </c>
      <c r="L21245" s="8">
        <f>HYPERLINK("https://careerviet.vn/vi/tim-viec-lam/chuyen-vien-quay-dung.35C634CA.html","Xem chi tiết")</f>
        <v/>
      </c>
    </row>
    <row r="21246">
      <c r="B21246" s="9" t="n">
        <v>21244</v>
      </c>
      <c r="C21246" s="10" t="inlineStr">
        <is>
          <t>TRƯỞNG BỘ PHẬN SƠ CHẾ DỪA</t>
        </is>
      </c>
      <c r="D21246" s="10" t="inlineStr">
        <is>
          <t>Công ty Cổ phần Đầu tư Dừa Bến Tre</t>
        </is>
      </c>
      <c r="E21246" s="10" t="inlineStr">
        <is>
          <t>Lương:Cạnh tranh</t>
        </is>
      </c>
      <c r="F21246" s="10" t="inlineStr">
        <is>
          <t>Bến Tre</t>
        </is>
      </c>
      <c r="G21246" s="10" t="inlineStr">
        <is>
          <t>31-03-2026</t>
        </is>
      </c>
      <c r="H21246" s="10" t="inlineStr">
        <is>
          <t>31/03/2026</t>
        </is>
      </c>
      <c r="I21246" s="10" t="inlineStr">
        <is>
          <t>17/03/2026</t>
        </is>
      </c>
      <c r="J21246" s="10" t="inlineStr">
        <is>
          <t>Ngành khác</t>
        </is>
      </c>
      <c r="K21246" s="10" t="inlineStr">
        <is>
          <t>2 - 3 Năm</t>
        </is>
      </c>
      <c r="L21246" s="11">
        <f>HYPERLINK("https://careerviet.vn/vi/tim-viec-lam/truong-bo-phan-so-che-dua.35C68BB4.html","Xem chi tiết")</f>
        <v/>
      </c>
      <c r="M21246" s="10" t="n"/>
    </row>
    <row r="21247">
      <c r="B21247" s="7" t="n">
        <v>21245</v>
      </c>
      <c r="C21247" t="inlineStr">
        <is>
          <t>NHÂN VIÊN KỸ THUẬT ĐIỆN</t>
        </is>
      </c>
      <c r="D21247" t="inlineStr">
        <is>
          <t>Công ty Cổ phần Đầu tư Dừa Bến Tre</t>
        </is>
      </c>
      <c r="E21247" t="inlineStr">
        <is>
          <t>Lương:Cạnh tranh</t>
        </is>
      </c>
      <c r="F21247" t="inlineStr">
        <is>
          <t>Bến Tre</t>
        </is>
      </c>
      <c r="G21247" t="inlineStr">
        <is>
          <t>31-03-2026</t>
        </is>
      </c>
      <c r="H21247" t="inlineStr">
        <is>
          <t>31/03/2026</t>
        </is>
      </c>
      <c r="I21247" t="inlineStr">
        <is>
          <t>17/03/2026</t>
        </is>
      </c>
      <c r="J21247" t="inlineStr">
        <is>
          <t>Cơ khí / Ô tô / Tự động hóa, Điện / Điện tử / Điện lạnh / Điện công nghiệp, Bảo trì / Sửa chữa</t>
        </is>
      </c>
      <c r="K21247" t="inlineStr">
        <is>
          <t>2 - 3 Năm</t>
        </is>
      </c>
      <c r="L21247" s="8">
        <f>HYPERLINK("https://careerviet.vn/vi/tim-viec-lam/nhan-vien-ky-thuat-dien.35C68BB7.html","Xem chi tiết")</f>
        <v/>
      </c>
    </row>
    <row r="21248">
      <c r="B21248" s="9" t="n">
        <v>21246</v>
      </c>
      <c r="C21248" s="10" t="inlineStr">
        <is>
          <t>TÀI XẾ XE CONTAINER</t>
        </is>
      </c>
      <c r="D21248" s="10" t="inlineStr">
        <is>
          <t>Tan Hiep Phat Group</t>
        </is>
      </c>
      <c r="E21248" s="10" t="inlineStr">
        <is>
          <t>Lương:Cạnh tranh</t>
        </is>
      </c>
      <c r="F21248" s="10" t="inlineStr">
        <is>
          <t>Bình Dương</t>
        </is>
      </c>
      <c r="G21248" s="10" t="inlineStr">
        <is>
          <t>2</t>
        </is>
      </c>
      <c r="H21248" s="10" t="inlineStr">
        <is>
          <t>19/03/2026</t>
        </is>
      </c>
      <c r="I21248" s="10" t="inlineStr">
        <is>
          <t>17/03/2026</t>
        </is>
      </c>
      <c r="J21248" s="10" t="inlineStr">
        <is>
          <t>Vận chuyển / Giao nhận / Kho vận</t>
        </is>
      </c>
      <c r="K21248" s="10" t="inlineStr">
        <is>
          <t>1 - 3 Năm</t>
        </is>
      </c>
      <c r="L21248" s="11">
        <f>HYPERLINK("https://careerviet.vn/vi/tim-viec-lam/tai-xe-xe-container.35C63442.html","Xem chi tiết")</f>
        <v/>
      </c>
      <c r="M21248" s="10" t="n"/>
    </row>
    <row r="21249">
      <c r="B21249" s="7" t="n">
        <v>21247</v>
      </c>
      <c r="C21249" t="inlineStr">
        <is>
          <t>NHÂN VIÊN R&amp;D</t>
        </is>
      </c>
      <c r="D21249" t="inlineStr">
        <is>
          <t>Công ty Cổ phần Đầu tư Dừa Bến Tre</t>
        </is>
      </c>
      <c r="E21249" t="inlineStr">
        <is>
          <t>Lương:Cạnh tranh</t>
        </is>
      </c>
      <c r="F21249" t="inlineStr">
        <is>
          <t>Bến Tre</t>
        </is>
      </c>
      <c r="G21249" t="inlineStr">
        <is>
          <t>31-03-2026</t>
        </is>
      </c>
      <c r="H21249" t="inlineStr">
        <is>
          <t>31/03/2026</t>
        </is>
      </c>
      <c r="I21249" t="inlineStr">
        <is>
          <t>17/03/2026</t>
        </is>
      </c>
      <c r="J21249" t="inlineStr">
        <is>
          <t>Công nghệ sinh học, Công nghệ thực phẩm / Dinh dưỡng, Hóa học</t>
        </is>
      </c>
      <c r="K21249" t="inlineStr">
        <is>
          <t>1 - 2 Năm</t>
        </is>
      </c>
      <c r="L21249" s="8">
        <f>HYPERLINK("https://careerviet.vn/vi/tim-viec-lam/nhan-vien-r-d.35C68BBA.html","Xem chi tiết")</f>
        <v/>
      </c>
    </row>
    <row r="21250">
      <c r="B21250" s="9" t="n">
        <v>21248</v>
      </c>
      <c r="C21250" s="10" t="inlineStr">
        <is>
          <t>TRỢ LÝ SẢN XUẤT</t>
        </is>
      </c>
      <c r="D21250" s="10" t="inlineStr">
        <is>
          <t>Công ty Cổ phần Đầu tư Dừa Bến Tre</t>
        </is>
      </c>
      <c r="E21250" s="10" t="inlineStr">
        <is>
          <t>Lương:Cạnh tranh</t>
        </is>
      </c>
      <c r="F21250" s="10" t="inlineStr">
        <is>
          <t>Bến Tre</t>
        </is>
      </c>
      <c r="G21250" s="10" t="inlineStr">
        <is>
          <t>31-03-2026</t>
        </is>
      </c>
      <c r="H21250" s="10" t="inlineStr">
        <is>
          <t>31/03/2026</t>
        </is>
      </c>
      <c r="I21250" s="10" t="inlineStr">
        <is>
          <t>17/03/2026</t>
        </is>
      </c>
      <c r="J21250" s="10" t="inlineStr">
        <is>
          <t>Công nghệ thực phẩm / Dinh dưỡng, Sản xuất / Vận hành sản xuất, Ngành khác</t>
        </is>
      </c>
      <c r="K21250" s="10" t="inlineStr">
        <is>
          <t>2 - 3 Năm</t>
        </is>
      </c>
      <c r="L21250" s="11">
        <f>HYPERLINK("https://careerviet.vn/vi/tim-viec-lam/tro-ly-san-xuat.35C68BB6.html","Xem chi tiết")</f>
        <v/>
      </c>
      <c r="M21250" s="10" t="n"/>
    </row>
    <row r="21251">
      <c r="B21251" s="7" t="n">
        <v>21249</v>
      </c>
      <c r="C21251" t="inlineStr">
        <is>
          <t>HSE &amp; Admin Staff (Working in Binh Phuoc)</t>
        </is>
      </c>
      <c r="D21251" t="inlineStr">
        <is>
          <t>Headhunter HRchannels Group</t>
        </is>
      </c>
      <c r="E21251" t="inlineStr">
        <is>
          <t>Lương:18 Tr - 20 Tr VND</t>
        </is>
      </c>
      <c r="F21251" t="inlineStr">
        <is>
          <t>Bình PhướcHồ Chí MinhBình Dương</t>
        </is>
      </c>
      <c r="G21251" t="inlineStr">
        <is>
          <t>2</t>
        </is>
      </c>
      <c r="H21251" t="inlineStr">
        <is>
          <t>19/03/2026</t>
        </is>
      </c>
      <c r="I21251" t="inlineStr">
        <is>
          <t>17/03/2026</t>
        </is>
      </c>
      <c r="J21251" t="inlineStr">
        <is>
          <t>Hành chính / Thư ký, Môi trường, An toàn lao động</t>
        </is>
      </c>
      <c r="K21251" t="inlineStr">
        <is>
          <t>2 - 3 Năm</t>
        </is>
      </c>
      <c r="L21251" s="8">
        <f>HYPERLINK("https://careerviet.vn/vi/tim-viec-lam/hse-admin-staff-working-in-binh-phuoc.35C63467.html","Xem chi tiết")</f>
        <v/>
      </c>
    </row>
    <row r="21252">
      <c r="B21252" s="9" t="n">
        <v>21250</v>
      </c>
      <c r="C21252" s="10" t="inlineStr">
        <is>
          <t>Nhân viên Kinh doanh Khách lẻ Chi nhánh Vĩnh Long</t>
        </is>
      </c>
      <c r="D21252" s="10" t="inlineStr">
        <is>
          <t>Công Ty Cổ Phần Du Lịch Vietravel</t>
        </is>
      </c>
      <c r="E21252" s="10" t="inlineStr">
        <is>
          <t>Lương:Cạnh tranh</t>
        </is>
      </c>
      <c r="F21252" s="10" t="inlineStr">
        <is>
          <t>Vĩnh Long</t>
        </is>
      </c>
      <c r="G21252" s="10" t="inlineStr">
        <is>
          <t>2</t>
        </is>
      </c>
      <c r="H21252" s="10" t="inlineStr">
        <is>
          <t>19/03/2026</t>
        </is>
      </c>
      <c r="I21252" s="10" t="inlineStr">
        <is>
          <t>17/03/2026</t>
        </is>
      </c>
      <c r="J21252" s="10" t="inlineStr">
        <is>
          <t>Bán hàng / Kinh doanh, Du lịch, Nhà hàng / Khách sạn</t>
        </is>
      </c>
      <c r="K21252" s="10" t="inlineStr">
        <is>
          <t>Trên 1 Năm</t>
        </is>
      </c>
      <c r="L21252" s="11">
        <f>HYPERLINK("https://careerviet.vn/vi/tim-viec-lam/nhan-vien-kinh-doanh-khach-le-chi-nhanh-vinh-long.35C635AE.html","Xem chi tiết")</f>
        <v/>
      </c>
      <c r="M21252" s="10" t="n"/>
    </row>
    <row r="21253">
      <c r="B21253" s="7" t="n">
        <v>21251</v>
      </c>
      <c r="C21253" t="inlineStr">
        <is>
          <t>Chuyên Viên Chăm Sóc Khách Hàng - Kênh Liên Doanh Ngân Hàng BIDV</t>
        </is>
      </c>
      <c r="D21253" t="inlineStr">
        <is>
          <t>Công Ty TNHH Bảo Hiểm Nhân Thọ BIDV MetLife</t>
        </is>
      </c>
      <c r="E21253" t="inlineStr">
        <is>
          <t>Lương:Cạnh tranh</t>
        </is>
      </c>
      <c r="F21253" t="inlineStr">
        <is>
          <t>Hà NộiHồ Chí MinhNinh Bình</t>
        </is>
      </c>
      <c r="G21253" t="inlineStr">
        <is>
          <t>31-03-2026</t>
        </is>
      </c>
      <c r="H21253" t="inlineStr">
        <is>
          <t>31/03/2026</t>
        </is>
      </c>
      <c r="I21253" t="inlineStr">
        <is>
          <t>17/03/2026</t>
        </is>
      </c>
      <c r="J21253" t="inlineStr">
        <is>
          <t>Bán hàng / Kinh doanh, Ngân hàng, Bảo hiểm</t>
        </is>
      </c>
      <c r="K21253" t="inlineStr">
        <is>
          <t>Trên 13 Năm</t>
        </is>
      </c>
      <c r="L21253" s="8">
        <f>HYPERLINK("https://careerviet.vn/vi/tim-viec-lam/chuyen-vien-cham-soc-khach-hang-kenh-lien-doanh-ngan-hang-bidv.35C68BB1.html","Xem chi tiết")</f>
        <v/>
      </c>
    </row>
    <row r="21254">
      <c r="B21254" s="9" t="n">
        <v>21252</v>
      </c>
      <c r="C21254" s="10" t="inlineStr">
        <is>
          <t>Nhân Viên Vận Hành Khu Vui Chơi (Part-time) FuniFun! - Thiso Trường Chinh (Gò Vấp)</t>
        </is>
      </c>
      <c r="D21254" s="10" t="inlineStr">
        <is>
          <t>CÔNG TY TNHH WIND SUPPLY CHAIN ONE (VIỆT NAM)</t>
        </is>
      </c>
      <c r="E21254" s="10" t="inlineStr">
        <is>
          <t>Lương:1 Tr - 3 Tr VND</t>
        </is>
      </c>
      <c r="F21254" s="10" t="inlineStr">
        <is>
          <t>Hồ Chí Minh</t>
        </is>
      </c>
      <c r="G21254" s="10" t="inlineStr">
        <is>
          <t>2</t>
        </is>
      </c>
      <c r="H21254" s="10" t="inlineStr">
        <is>
          <t>19/03/2026</t>
        </is>
      </c>
      <c r="I21254" s="10" t="inlineStr">
        <is>
          <t>17/03/2026</t>
        </is>
      </c>
      <c r="J21254" s="10" t="inlineStr">
        <is>
          <t>Bán lẻ / Bán sỉ, Dịch vụ khách hàng, Giải trí</t>
        </is>
      </c>
      <c r="K21254" s="10" t="inlineStr">
        <is>
          <t>N/A</t>
        </is>
      </c>
      <c r="L21254" s="11">
        <f>HYPERLINK("https://careerviet.vn/vi/tim-viec-lam/nhan-vien-van-hanh-khu-vui-choi-part-time-funifun-thiso-truong-chinh-go-vap.35C63456.html","Xem chi tiết")</f>
        <v/>
      </c>
      <c r="M21254" s="10" t="n"/>
    </row>
    <row r="21255">
      <c r="B21255" s="7" t="n">
        <v>21253</v>
      </c>
      <c r="C21255" t="inlineStr">
        <is>
          <t>Chuyên Viên Tư Vấn Tài Chính - Kênh Liên Doanh Ngân Hàng BIDV</t>
        </is>
      </c>
      <c r="D21255" t="inlineStr">
        <is>
          <t>Công Ty TNHH Bảo Hiểm Nhân Thọ BIDV MetLife</t>
        </is>
      </c>
      <c r="E21255" t="inlineStr">
        <is>
          <t>Lương:Cạnh tranh</t>
        </is>
      </c>
      <c r="F21255" t="inlineStr">
        <is>
          <t>Hồ Chí MinhHà NộiĐà Nẵng</t>
        </is>
      </c>
      <c r="G21255" t="inlineStr">
        <is>
          <t>17-02-2026</t>
        </is>
      </c>
      <c r="H21255" t="inlineStr">
        <is>
          <t>28/02/2026</t>
        </is>
      </c>
      <c r="I21255" t="inlineStr">
        <is>
          <t>17/03/2026</t>
        </is>
      </c>
      <c r="J21255" t="inlineStr">
        <is>
          <t>Tư vấn, Ngân hàng, Bán hàng / Kinh doanh</t>
        </is>
      </c>
      <c r="K21255" t="inlineStr">
        <is>
          <t>1 - 3 Năm</t>
        </is>
      </c>
      <c r="L21255" s="8">
        <f>HYPERLINK("https://careerviet.vn/vi/tim-viec-lam/chuyen-vien-tu-van-tai-chinh-kenh-lien-doanh-ngan-hang-bidv.35C66955.html","Xem chi tiết")</f>
        <v/>
      </c>
    </row>
    <row r="21256">
      <c r="B21256" s="9" t="n">
        <v>21254</v>
      </c>
      <c r="C21256" s="10" t="inlineStr">
        <is>
          <t>[Miền Nam] Giám Sát Kinh Doanh Bán Hàng Trả Góp</t>
        </is>
      </c>
      <c r="D21256" s="10" t="inlineStr">
        <is>
          <t>Công Ty Tài Chính Mirae Asset (Việt Nam)</t>
        </is>
      </c>
      <c r="E21256" s="10" t="inlineStr">
        <is>
          <t>Lương:Cạnh tranh</t>
        </is>
      </c>
      <c r="F21256" s="10" t="inlineStr">
        <is>
          <t>KV Đông Nam Bộ</t>
        </is>
      </c>
      <c r="G21256" s="10" t="inlineStr">
        <is>
          <t>1</t>
        </is>
      </c>
      <c r="H21256" s="10" t="inlineStr">
        <is>
          <t>18/03/2026</t>
        </is>
      </c>
      <c r="I21256" s="10" t="inlineStr">
        <is>
          <t>17/03/2026</t>
        </is>
      </c>
      <c r="J21256" s="10" t="inlineStr">
        <is>
          <t>Bán hàng / Kinh doanh, Tài chính / Đầu tư, Ngân hàng</t>
        </is>
      </c>
      <c r="K21256" s="10" t="inlineStr">
        <is>
          <t>Trên 1 Năm</t>
        </is>
      </c>
      <c r="L21256" s="11">
        <f>HYPERLINK("https://careerviet.vn/vi/tim-viec-lam/mien-nam-giam-sat-kinh-doanh-ban-hang-tra-gop.35C63312.html","Xem chi tiết")</f>
        <v/>
      </c>
      <c r="M21256" s="10" t="n"/>
    </row>
    <row r="21257">
      <c r="B21257" s="7" t="n">
        <v>21255</v>
      </c>
      <c r="C21257" t="inlineStr">
        <is>
          <t>Sale admin trợ lý Kinh doanh</t>
        </is>
      </c>
      <c r="D21257" t="inlineStr">
        <is>
          <t>Công ty Cổ phần Đầu tư Thương mại Kỹ thuật A&amp;T Việt Nam</t>
        </is>
      </c>
      <c r="E21257" t="inlineStr">
        <is>
          <t>Lương:12 Tr - 15 Tr VND</t>
        </is>
      </c>
      <c r="F21257" t="inlineStr">
        <is>
          <t>Hà Nội</t>
        </is>
      </c>
      <c r="G21257" t="inlineStr">
        <is>
          <t>1</t>
        </is>
      </c>
      <c r="H21257" t="inlineStr">
        <is>
          <t>18/03/2026</t>
        </is>
      </c>
      <c r="I21257" t="inlineStr">
        <is>
          <t>17/03/2026</t>
        </is>
      </c>
      <c r="J21257" t="inlineStr">
        <is>
          <t>Bán hàng / Kinh doanh, Bất động sản, Dịch vụ khách hàng</t>
        </is>
      </c>
      <c r="K21257" t="inlineStr">
        <is>
          <t>3 - 5 Năm</t>
        </is>
      </c>
      <c r="L21257" s="8">
        <f>HYPERLINK("https://careerviet.vn/vi/tim-viec-lam/sale-admin-tro-ly-kinh-doanh.35C6324C.html","Xem chi tiết")</f>
        <v/>
      </c>
    </row>
    <row r="21258">
      <c r="B21258" s="9" t="n">
        <v>21256</v>
      </c>
      <c r="C21258" s="10" t="inlineStr">
        <is>
          <t>Tổng Đài Viên Chăm Sóc Khách Hàng Thương Hiệu Thời Trang Nhật Bản - Tiếng Anh &amp; Tiếng Việt – Không Yêu Cầu Kinh Nghiệm</t>
        </is>
      </c>
      <c r="D21258" s="10" t="inlineStr">
        <is>
          <t>CÔNG TY CỔ PHẦN ALTIUS LINK VIỆT NAM</t>
        </is>
      </c>
      <c r="E21258" s="10" t="inlineStr">
        <is>
          <t>Lương:9 Tr - 12,4 Tr VND</t>
        </is>
      </c>
      <c r="F21258" s="10" t="inlineStr">
        <is>
          <t>Hồ Chí Minh</t>
        </is>
      </c>
      <c r="G21258" s="10" t="inlineStr">
        <is>
          <t>1</t>
        </is>
      </c>
      <c r="H21258" s="10" t="inlineStr">
        <is>
          <t>18/03/2026</t>
        </is>
      </c>
      <c r="I21258" s="10" t="inlineStr">
        <is>
          <t>17/03/2026</t>
        </is>
      </c>
      <c r="J21258" s="10" t="inlineStr">
        <is>
          <t>Tiếp thị trực tuyến, Tư vấn, Dịch vụ khách hàng</t>
        </is>
      </c>
      <c r="K21258" s="10" t="inlineStr">
        <is>
          <t>N/A</t>
        </is>
      </c>
      <c r="L21258" s="11">
        <f>HYPERLINK("https://careerviet.vn/vi/tim-viec-lam/tong-dai-vien-cham-soc-khach-hang-thuong-hieu-thoi-trang-nhat-ban-tieng-anh-tieng-viet-khong-yeu-cau-kinh-nghiem.35C63282.html","Xem chi tiết")</f>
        <v/>
      </c>
      <c r="M21258" s="10" t="n"/>
    </row>
    <row r="21259">
      <c r="B21259" s="7" t="n">
        <v>21257</v>
      </c>
      <c r="C21259" t="inlineStr">
        <is>
          <t>Nhân viên Kỹ thuật thi công</t>
        </is>
      </c>
      <c r="D21259" t="inlineStr">
        <is>
          <t>CÔNG TY TNHH KIẾN TRÚC - NỘI THẤT NAM ANH</t>
        </is>
      </c>
      <c r="E21259" t="inlineStr">
        <is>
          <t>Lương:Cạnh tranh</t>
        </is>
      </c>
      <c r="F21259" t="inlineStr">
        <is>
          <t>Hà Nội</t>
        </is>
      </c>
      <c r="G21259" t="inlineStr">
        <is>
          <t>1</t>
        </is>
      </c>
      <c r="H21259" t="inlineStr">
        <is>
          <t>18/03/2026</t>
        </is>
      </c>
      <c r="I21259" t="inlineStr">
        <is>
          <t>17/03/2026</t>
        </is>
      </c>
      <c r="J21259" t="inlineStr">
        <is>
          <t>Kiến trúc, Xây dựng, Nội ngoại thất</t>
        </is>
      </c>
      <c r="K21259" t="inlineStr">
        <is>
          <t>3 - 5 Năm</t>
        </is>
      </c>
      <c r="L21259" s="8">
        <f>HYPERLINK("https://careerviet.vn/vi/tim-viec-lam/nhan-vien-ky-thuat-thi-cong.35C632D8.html","Xem chi tiết")</f>
        <v/>
      </c>
    </row>
    <row r="21260">
      <c r="B21260" s="9" t="n">
        <v>21258</v>
      </c>
      <c r="C21260" s="10" t="inlineStr">
        <is>
          <t>Nhân viên kế toán giá thành</t>
        </is>
      </c>
      <c r="D21260" s="10" t="inlineStr">
        <is>
          <t>Công ty TNHH Sản xuất Thương mại &amp; Dịch vụ Hoa Xinh</t>
        </is>
      </c>
      <c r="E21260" s="10" t="inlineStr">
        <is>
          <t>Lương:10 Tr - 12 Tr VND</t>
        </is>
      </c>
      <c r="F21260" s="10" t="inlineStr">
        <is>
          <t>Hồ Chí Minh</t>
        </is>
      </c>
      <c r="G21260" s="10" t="inlineStr">
        <is>
          <t>2</t>
        </is>
      </c>
      <c r="H21260" s="10" t="inlineStr">
        <is>
          <t>19/03/2026</t>
        </is>
      </c>
      <c r="I21260" s="10" t="inlineStr">
        <is>
          <t>17/03/2026</t>
        </is>
      </c>
      <c r="J21260" s="10" t="inlineStr">
        <is>
          <t>Bán hàng / Kinh doanh, Kế toán / Kiểm toán, Nhà hàng / Khách sạn</t>
        </is>
      </c>
      <c r="K21260" s="10" t="inlineStr">
        <is>
          <t>1 - 2 Năm</t>
        </is>
      </c>
      <c r="L21260" s="11">
        <f>HYPERLINK("https://careerviet.vn/vi/tim-viec-lam/nhan-vien-ke-toan-gia-thanh.35C65E6F.html","Xem chi tiết")</f>
        <v/>
      </c>
      <c r="M21260" s="10" t="n"/>
    </row>
    <row r="21261">
      <c r="B21261" s="7" t="n">
        <v>21259</v>
      </c>
      <c r="C21261" t="inlineStr">
        <is>
          <t>Nhân Viên QC</t>
        </is>
      </c>
      <c r="D21261" t="inlineStr">
        <is>
          <t>Công ty Cổ phần Giải pháp Tự động hóa ETEK</t>
        </is>
      </c>
      <c r="E21261" t="inlineStr">
        <is>
          <t>Lương:Cạnh tranh</t>
        </is>
      </c>
      <c r="F21261" t="inlineStr">
        <is>
          <t>Hà Nội</t>
        </is>
      </c>
      <c r="G21261" t="inlineStr">
        <is>
          <t>1</t>
        </is>
      </c>
      <c r="H21261" t="inlineStr">
        <is>
          <t>18/03/2026</t>
        </is>
      </c>
      <c r="I21261" t="inlineStr">
        <is>
          <t>17/03/2026</t>
        </is>
      </c>
      <c r="J21261" t="inlineStr">
        <is>
          <t>Cơ khí / Ô tô / Tự động hóa, Quản lý chất lượng (QA/QC), Điện / Điện tử / Điện lạnh / Điện công nghiệp</t>
        </is>
      </c>
      <c r="K21261" t="inlineStr">
        <is>
          <t>N/A</t>
        </is>
      </c>
      <c r="L21261" s="8">
        <f>HYPERLINK("https://careerviet.vn/vi/tim-viec-lam/nhan-vien-qc.35C632B5.html","Xem chi tiết")</f>
        <v/>
      </c>
    </row>
    <row r="21262">
      <c r="B21262" s="9" t="n">
        <v>21260</v>
      </c>
      <c r="C21262" s="10" t="inlineStr">
        <is>
          <t>Online Content Leader/Specialist</t>
        </is>
      </c>
      <c r="D21262" s="10" t="inlineStr">
        <is>
          <t>Concung.com - Con Cung Joint Stock Company</t>
        </is>
      </c>
      <c r="E21262" s="10" t="inlineStr">
        <is>
          <t>Lương:Cạnh tranh</t>
        </is>
      </c>
      <c r="F21262" s="10" t="inlineStr">
        <is>
          <t>Hồ Chí Minh</t>
        </is>
      </c>
      <c r="G21262" s="10" t="inlineStr">
        <is>
          <t>1</t>
        </is>
      </c>
      <c r="H21262" s="10" t="inlineStr">
        <is>
          <t>18/03/2026</t>
        </is>
      </c>
      <c r="I21262" s="10" t="inlineStr">
        <is>
          <t>17/03/2026</t>
        </is>
      </c>
      <c r="J21262" s="10" t="inlineStr">
        <is>
          <t>Tiếp thị / Marketing, Tiếp thị trực tuyến, Quảng cáo / Đối ngoại / Truyền Thông</t>
        </is>
      </c>
      <c r="K21262" s="10" t="inlineStr">
        <is>
          <t>Chưa có kinh nghiệm</t>
        </is>
      </c>
      <c r="L21262" s="11">
        <f>HYPERLINK("https://careerviet.vn/vi/tim-viec-lam/online-content-leader-specialist.35C63355.html","Xem chi tiết")</f>
        <v/>
      </c>
      <c r="M21262" s="10" t="n"/>
    </row>
    <row r="21263">
      <c r="B21263" s="7" t="n">
        <v>21261</v>
      </c>
      <c r="C21263" t="inlineStr">
        <is>
          <t>KẾ TOÁN VIÊN</t>
        </is>
      </c>
      <c r="D21263" t="inlineStr">
        <is>
          <t>CÔNG TY TNHH CÔNG NGHỆ GOODM</t>
        </is>
      </c>
      <c r="E21263" t="inlineStr">
        <is>
          <t>Lương:Cạnh tranh</t>
        </is>
      </c>
      <c r="F21263" t="inlineStr">
        <is>
          <t>Hồ Chí Minh</t>
        </is>
      </c>
      <c r="G21263" t="inlineStr">
        <is>
          <t>1</t>
        </is>
      </c>
      <c r="H21263" t="inlineStr">
        <is>
          <t>18/03/2026</t>
        </is>
      </c>
      <c r="I21263" t="inlineStr">
        <is>
          <t>17/03/2026</t>
        </is>
      </c>
      <c r="J21263" t="inlineStr">
        <is>
          <t>Kế toán / Kiểm toán, Mới tốt nghiệp / Thực tập</t>
        </is>
      </c>
      <c r="K21263" t="inlineStr">
        <is>
          <t>N/A</t>
        </is>
      </c>
      <c r="L21263" s="8">
        <f>HYPERLINK("https://careerviet.vn/vi/tim-viec-lam/ke-toan-vien.35C63296.html","Xem chi tiết")</f>
        <v/>
      </c>
    </row>
    <row r="21264">
      <c r="B21264" s="9" t="n">
        <v>21262</v>
      </c>
      <c r="C21264" s="10" t="inlineStr">
        <is>
          <t>Senior Quality Control</t>
        </is>
      </c>
      <c r="D21264" s="10" t="inlineStr">
        <is>
          <t>MOTIVES VIETNAM CORPORATION</t>
        </is>
      </c>
      <c r="E21264" s="10" t="inlineStr">
        <is>
          <t>Lương:Cạnh tranh</t>
        </is>
      </c>
      <c r="F21264" s="10" t="inlineStr">
        <is>
          <t>Thanh HóaĐà Nẵng</t>
        </is>
      </c>
      <c r="G21264" s="10" t="inlineStr">
        <is>
          <t>1</t>
        </is>
      </c>
      <c r="H21264" s="10" t="inlineStr">
        <is>
          <t>18/03/2026</t>
        </is>
      </c>
      <c r="I21264" s="10" t="inlineStr">
        <is>
          <t>17/03/2026</t>
        </is>
      </c>
      <c r="J21264" s="10" t="inlineStr">
        <is>
          <t>Dệt may / Da giày / Thời trang, Quản lý chất lượng (QA/QC)</t>
        </is>
      </c>
      <c r="K21264" s="10" t="inlineStr">
        <is>
          <t>1 - 3 Năm</t>
        </is>
      </c>
      <c r="L21264" s="11">
        <f>HYPERLINK("https://careerviet.vn/vi/tim-viec-lam/senior-quality-control.35C6327E.html","Xem chi tiết")</f>
        <v/>
      </c>
      <c r="M21264" s="10" t="n"/>
    </row>
    <row r="21265">
      <c r="B21265" s="7" t="n">
        <v>21263</v>
      </c>
      <c r="C21265" t="inlineStr">
        <is>
          <t>Nhân Viên Thiết Kế Cơ Điện M&amp;E</t>
        </is>
      </c>
      <c r="D21265" t="inlineStr">
        <is>
          <t>CÔNG TY TNHH KIẾN TRÚC - NỘI THẤT NAM ANH</t>
        </is>
      </c>
      <c r="E21265" t="inlineStr">
        <is>
          <t>Lương:15 Tr - 20 Tr VND</t>
        </is>
      </c>
      <c r="F21265" t="inlineStr">
        <is>
          <t>Hà Nội</t>
        </is>
      </c>
      <c r="G21265" t="inlineStr">
        <is>
          <t>1</t>
        </is>
      </c>
      <c r="H21265" t="inlineStr">
        <is>
          <t>18/03/2026</t>
        </is>
      </c>
      <c r="I21265" t="inlineStr">
        <is>
          <t>17/03/2026</t>
        </is>
      </c>
      <c r="J21265" t="inlineStr">
        <is>
          <t>Điện / Điện tử / Điện lạnh / Điện công nghiệp, Kiến trúc, Xây dựng</t>
        </is>
      </c>
      <c r="K21265" t="inlineStr">
        <is>
          <t>1 - 3 Năm</t>
        </is>
      </c>
      <c r="L21265" s="8">
        <f>HYPERLINK("https://careerviet.vn/vi/tim-viec-lam/nhan-vien-thiet-ke-co-dien-m-e.35C632DB.html","Xem chi tiết")</f>
        <v/>
      </c>
    </row>
    <row r="21266">
      <c r="B21266" s="9" t="n">
        <v>21264</v>
      </c>
      <c r="C21266" s="10" t="inlineStr">
        <is>
          <t>Đội Trưởng KAM (Đàm Phán Buyer hệ thống Siêu Thị)</t>
        </is>
      </c>
      <c r="D21266" s="10" t="inlineStr">
        <is>
          <t>CÔNG TY TNHH DAESANG VIỆT NAM</t>
        </is>
      </c>
      <c r="E21266" s="10" t="inlineStr">
        <is>
          <t>Lương:15 Tr - 20 Tr VND</t>
        </is>
      </c>
      <c r="F21266" s="10" t="inlineStr">
        <is>
          <t>Hồ Chí Minh</t>
        </is>
      </c>
      <c r="G21266" s="10" t="inlineStr">
        <is>
          <t>1</t>
        </is>
      </c>
      <c r="H21266" s="10" t="inlineStr">
        <is>
          <t>18/03/2026</t>
        </is>
      </c>
      <c r="I21266" s="10" t="inlineStr">
        <is>
          <t>17/03/2026</t>
        </is>
      </c>
      <c r="J21266" s="10" t="inlineStr">
        <is>
          <t>Tiếp thị / Marketing, Bán hàng / Kinh doanh, Thực phẩm &amp; Đồ uống</t>
        </is>
      </c>
      <c r="K21266" s="10" t="inlineStr">
        <is>
          <t>N/A</t>
        </is>
      </c>
      <c r="L21266" s="11">
        <f>HYPERLINK("https://careerviet.vn/vi/tim-viec-lam/doi-truong-kam-dam-phan-buyer-he-thong-sieu-thi.35C6332A.html","Xem chi tiết")</f>
        <v/>
      </c>
      <c r="M21266" s="10" t="n"/>
    </row>
    <row r="21267">
      <c r="B21267" s="7" t="n">
        <v>21265</v>
      </c>
      <c r="C21267" t="inlineStr">
        <is>
          <t>Phó Phòng Khách Hàng Cá Nhân [Hà Nội]</t>
        </is>
      </c>
      <c r="D21267" t="inlineStr">
        <is>
          <t>ABBANK - Ngân Hàng TMCP An Bình</t>
        </is>
      </c>
      <c r="E21267" t="inlineStr">
        <is>
          <t>Lương:Cạnh tranh</t>
        </is>
      </c>
      <c r="F21267" t="inlineStr">
        <is>
          <t>Hà Nội</t>
        </is>
      </c>
      <c r="G21267" t="inlineStr">
        <is>
          <t>1</t>
        </is>
      </c>
      <c r="H21267" t="inlineStr">
        <is>
          <t>18/03/2026</t>
        </is>
      </c>
      <c r="I21267" t="inlineStr">
        <is>
          <t>17/03/2026</t>
        </is>
      </c>
      <c r="J21267" t="inlineStr">
        <is>
          <t>Ngân hàng, Tài chính / Đầu tư, Bán hàng / Kinh doanh</t>
        </is>
      </c>
      <c r="K21267" t="inlineStr">
        <is>
          <t>Trên 3 Năm</t>
        </is>
      </c>
      <c r="L21267" s="8">
        <f>HYPERLINK("https://careerviet.vn/vi/tim-viec-lam/pho-phong-khach-hang-ca-nhan-ha-noi.35C6342C.html","Xem chi tiết")</f>
        <v/>
      </c>
    </row>
    <row r="21268">
      <c r="B21268" s="9" t="n">
        <v>21266</v>
      </c>
      <c r="C21268" s="10" t="inlineStr">
        <is>
          <t>Nhân viên trợ lý kinh doanh</t>
        </is>
      </c>
      <c r="D21268" s="10" t="inlineStr">
        <is>
          <t>Công Ty Tổ Chức Hội Nghị, Sự Kiện Và Du Lịch Quốc Tế Hòa Bình</t>
        </is>
      </c>
      <c r="E21268" s="10" t="inlineStr">
        <is>
          <t>Lương:7 Tr - 9 Tr VND</t>
        </is>
      </c>
      <c r="F21268" s="10" t="inlineStr">
        <is>
          <t>Hà Nội</t>
        </is>
      </c>
      <c r="G21268" s="10" t="inlineStr">
        <is>
          <t>1</t>
        </is>
      </c>
      <c r="H21268" s="10" t="inlineStr">
        <is>
          <t>18/03/2026</t>
        </is>
      </c>
      <c r="I21268" s="10" t="inlineStr">
        <is>
          <t>17/03/2026</t>
        </is>
      </c>
      <c r="J21268" s="10" t="inlineStr">
        <is>
          <t>Bán hàng / Kinh doanh</t>
        </is>
      </c>
      <c r="K21268" s="10" t="inlineStr">
        <is>
          <t>Chưa có kinh nghiệm</t>
        </is>
      </c>
      <c r="L21268" s="11">
        <f>HYPERLINK("https://careerviet.vn/vi/tim-viec-lam/nhan-vien-tro-ly-kinh-doanh.35C62F03.html","Xem chi tiết")</f>
        <v/>
      </c>
      <c r="M21268" s="10" t="n"/>
    </row>
    <row r="21269">
      <c r="B21269" s="7" t="n">
        <v>21267</v>
      </c>
      <c r="C21269" t="inlineStr">
        <is>
          <t>Giám Đốc Truyền Thông &amp; Quan hệ công chúng | VN Communication Lead</t>
        </is>
      </c>
      <c r="D21269" t="inlineStr">
        <is>
          <t>Công ty TNHH Giầy Chingluh Việt Nam</t>
        </is>
      </c>
      <c r="E21269" t="inlineStr">
        <is>
          <t>Lương:Cạnh tranh</t>
        </is>
      </c>
      <c r="F21269" t="inlineStr">
        <is>
          <t>Long An</t>
        </is>
      </c>
      <c r="G21269" t="inlineStr">
        <is>
          <t>1</t>
        </is>
      </c>
      <c r="H21269" t="inlineStr">
        <is>
          <t>18/03/2026</t>
        </is>
      </c>
      <c r="I21269" t="inlineStr">
        <is>
          <t>17/03/2026</t>
        </is>
      </c>
      <c r="J21269" t="inlineStr">
        <is>
          <t>Tiếp thị / Marketing, Truyền hình / Báo chí / Biên tập, Quảng cáo / Đối ngoại / Truyền Thông</t>
        </is>
      </c>
      <c r="K21269" t="inlineStr">
        <is>
          <t>5 - 8 Năm</t>
        </is>
      </c>
      <c r="L21269" s="8">
        <f>HYPERLINK("https://careerviet.vn/vi/tim-viec-lam/giam-doc-truyen-thong-quan-he-cong-chung-vn-communication-lead.35C63290.html","Xem chi tiết")</f>
        <v/>
      </c>
    </row>
    <row r="21270">
      <c r="B21270" s="9" t="n">
        <v>21268</v>
      </c>
      <c r="C21270" s="10" t="inlineStr">
        <is>
          <t>Kế Toán Doanh Thu</t>
        </is>
      </c>
      <c r="D21270" s="10" t="inlineStr">
        <is>
          <t>CÔNG TY TNHH THƯỜNG NHẬT (SAIGON WATERBUS)</t>
        </is>
      </c>
      <c r="E21270" s="10" t="inlineStr">
        <is>
          <t>Lương:Cạnh tranh</t>
        </is>
      </c>
      <c r="F21270" s="10" t="inlineStr">
        <is>
          <t>Hồ Chí Minh</t>
        </is>
      </c>
      <c r="G21270" s="10" t="inlineStr">
        <is>
          <t>1</t>
        </is>
      </c>
      <c r="H21270" s="10" t="inlineStr">
        <is>
          <t>18/03/2026</t>
        </is>
      </c>
      <c r="I21270" s="10" t="inlineStr">
        <is>
          <t>17/03/2026</t>
        </is>
      </c>
      <c r="J21270" s="10" t="inlineStr">
        <is>
          <t>Kế toán / Kiểm toán, Tài chính / Đầu tư, Du lịch</t>
        </is>
      </c>
      <c r="K21270" s="10" t="inlineStr">
        <is>
          <t>1 - 2 Năm</t>
        </is>
      </c>
      <c r="L21270" s="11">
        <f>HYPERLINK("https://careerviet.vn/vi/tim-viec-lam/ke-toan-doanh-thu.35C63295.html","Xem chi tiết")</f>
        <v/>
      </c>
      <c r="M21270" s="10" t="n"/>
    </row>
    <row r="21271">
      <c r="B21271" s="7" t="n">
        <v>21269</v>
      </c>
      <c r="C21271" t="inlineStr">
        <is>
          <t>TỔ TRƯỞNG LẮP RÁP VÀ HOÀN THIỆN KHUÔN (GIAO TIẾP TIẾNG ANH)</t>
        </is>
      </c>
      <c r="D21271" t="inlineStr">
        <is>
          <t>CÔNG TY TNHH CARBORI MOLDS VIỆT NAM</t>
        </is>
      </c>
      <c r="E21271" t="inlineStr">
        <is>
          <t>Lương:Cạnh tranh</t>
        </is>
      </c>
      <c r="F21271" t="inlineStr">
        <is>
          <t>Đồng Nai</t>
        </is>
      </c>
      <c r="G21271" t="inlineStr">
        <is>
          <t>1</t>
        </is>
      </c>
      <c r="H21271" t="inlineStr">
        <is>
          <t>18/03/2026</t>
        </is>
      </c>
      <c r="I21271" t="inlineStr">
        <is>
          <t>17/03/2026</t>
        </is>
      </c>
      <c r="J21271" t="inlineStr">
        <is>
          <t>Cơ khí / Ô tô / Tự động hóa, Sản xuất / Vận hành sản xuất</t>
        </is>
      </c>
      <c r="K21271" t="inlineStr">
        <is>
          <t>3 - 6 Năm</t>
        </is>
      </c>
      <c r="L21271" s="8">
        <f>HYPERLINK("https://careerviet.vn/vi/tim-viec-lam/to-truong-lap-rap-va-hoan-thien-khuon-giao-tiep-tieng-anh.35C6336F.html","Xem chi tiết")</f>
        <v/>
      </c>
    </row>
    <row r="21272">
      <c r="B21272" s="9" t="n">
        <v>21270</v>
      </c>
      <c r="C21272" s="10" t="inlineStr">
        <is>
          <t>Trình dược viên ETC</t>
        </is>
      </c>
      <c r="D21272" s="10" t="inlineStr">
        <is>
          <t>CÔNG TY CỔ PHẦN GIẢI PHÁP GENE - GENE SOLUTIONS</t>
        </is>
      </c>
      <c r="E21272" s="10" t="inlineStr">
        <is>
          <t>Lương:Cạnh tranh</t>
        </is>
      </c>
      <c r="F21272" s="10" t="inlineStr">
        <is>
          <t>Cần ThơSóc TrăngLong An</t>
        </is>
      </c>
      <c r="G21272" s="10" t="inlineStr">
        <is>
          <t>1</t>
        </is>
      </c>
      <c r="H21272" s="10" t="inlineStr">
        <is>
          <t>18/03/2026</t>
        </is>
      </c>
      <c r="I21272" s="10" t="inlineStr">
        <is>
          <t>17/03/2026</t>
        </is>
      </c>
      <c r="J21272" s="10" t="inlineStr">
        <is>
          <t>Dược phẩm/ Hóa Mỹ Phẩm, Y tế / Chăm sóc sức khỏe / Thẩm mỹ / Làm đẹp</t>
        </is>
      </c>
      <c r="K21272" s="10" t="inlineStr">
        <is>
          <t>2 - 5 Năm</t>
        </is>
      </c>
      <c r="L21272" s="11">
        <f>HYPERLINK("https://careerviet.vn/vi/tim-viec-lam/trinh-duoc-vien-etc.35C632BF.html","Xem chi tiết")</f>
        <v/>
      </c>
      <c r="M21272" s="10" t="n"/>
    </row>
    <row r="21273">
      <c r="B21273" s="7" t="n">
        <v>21271</v>
      </c>
      <c r="C21273" t="inlineStr">
        <is>
          <t>Phiên dịch viên tiếng Trung (Bộ phận QC)</t>
        </is>
      </c>
      <c r="D21273" t="inlineStr">
        <is>
          <t>CÔNG TY TNHH ELECTRONIC TRIPOD VIỆT NAM (CHÂU ĐỨC)</t>
        </is>
      </c>
      <c r="E21273" t="inlineStr">
        <is>
          <t>Lương:Cạnh tranh</t>
        </is>
      </c>
      <c r="F21273" t="inlineStr">
        <is>
          <t>Bà Rịa - Vũng TàuĐồng Nai</t>
        </is>
      </c>
      <c r="G21273" t="inlineStr">
        <is>
          <t>1</t>
        </is>
      </c>
      <c r="H21273" t="inlineStr">
        <is>
          <t>18/03/2026</t>
        </is>
      </c>
      <c r="I21273" t="inlineStr">
        <is>
          <t>17/03/2026</t>
        </is>
      </c>
      <c r="J21273" t="inlineStr">
        <is>
          <t>Hành chính / Thư ký, Biên phiên dịch, Quản lý chất lượng (QA/QC)</t>
        </is>
      </c>
      <c r="K21273" t="inlineStr">
        <is>
          <t>Chưa có kinh nghiệm</t>
        </is>
      </c>
      <c r="L21273" s="8">
        <f>HYPERLINK("https://careerviet.vn/vi/tim-viec-lam/phien-dich-vien-tieng-trung-bo-phan-qc.35C63325.html","Xem chi tiết")</f>
        <v/>
      </c>
    </row>
    <row r="21274">
      <c r="B21274" s="9" t="n">
        <v>21272</v>
      </c>
      <c r="C21274" s="10" t="inlineStr">
        <is>
          <t>Nhân Viên Quản Lý Chất Lượng</t>
        </is>
      </c>
      <c r="D21274" s="10" t="inlineStr">
        <is>
          <t>NHÀ MÁY THỰC PHẨM SON CHICKEN - CHI NHÁNH CÔNG TY CỔ PHẦN SON CHICKEN</t>
        </is>
      </c>
      <c r="E21274" s="10" t="inlineStr">
        <is>
          <t>Lương:10 Tr - 15 Tr VND</t>
        </is>
      </c>
      <c r="F21274" s="10" t="inlineStr">
        <is>
          <t>Bắc NinhHải DươngLạng Sơn</t>
        </is>
      </c>
      <c r="G21274" s="10" t="inlineStr">
        <is>
          <t>1</t>
        </is>
      </c>
      <c r="H21274" s="10" t="inlineStr">
        <is>
          <t>18/03/2026</t>
        </is>
      </c>
      <c r="I21274" s="10" t="inlineStr">
        <is>
          <t>17/03/2026</t>
        </is>
      </c>
      <c r="J21274" s="10" t="inlineStr">
        <is>
          <t>Quản lý chất lượng (QA/QC), Công nghệ sinh học, Thực phẩm &amp; Đồ uống</t>
        </is>
      </c>
      <c r="K21274" s="10" t="inlineStr">
        <is>
          <t>N/A</t>
        </is>
      </c>
      <c r="L21274" s="11">
        <f>HYPERLINK("https://careerviet.vn/vi/tim-viec-lam/nhan-vien-quan-ly-chat-luong.35C6332D.html","Xem chi tiết")</f>
        <v/>
      </c>
      <c r="M21274" s="10" t="n"/>
    </row>
    <row r="21275">
      <c r="B21275" s="7" t="n">
        <v>21273</v>
      </c>
      <c r="C21275" t="inlineStr">
        <is>
          <t>Nhân viên quản lý trải nghiệm dịch vụ</t>
        </is>
      </c>
      <c r="D21275" t="inlineStr">
        <is>
          <t>CÔNG TY TNHH DỊCH VỤ RENRUI VIỆT NAM</t>
        </is>
      </c>
      <c r="E21275" t="inlineStr">
        <is>
          <t>Lương:11 Tr - 13 Tr VND</t>
        </is>
      </c>
      <c r="F21275" t="inlineStr">
        <is>
          <t>Hồ Chí Minh</t>
        </is>
      </c>
      <c r="G21275" t="inlineStr">
        <is>
          <t>1</t>
        </is>
      </c>
      <c r="H21275" t="inlineStr">
        <is>
          <t>18/03/2026</t>
        </is>
      </c>
      <c r="I21275" t="inlineStr">
        <is>
          <t>17/03/2026</t>
        </is>
      </c>
      <c r="J21275" t="inlineStr">
        <is>
          <t>Dịch vụ khách hàng, Hành chính / Thư ký, Du lịch</t>
        </is>
      </c>
      <c r="K21275" t="inlineStr">
        <is>
          <t>Lên đến 1 Năm</t>
        </is>
      </c>
      <c r="L21275" s="8">
        <f>HYPERLINK("https://careerviet.vn/vi/tim-viec-lam/nhan-vien-quan-ly-trai-nghiem-dich-vu.35C6326F.html","Xem chi tiết")</f>
        <v/>
      </c>
    </row>
    <row r="21276">
      <c r="B21276" s="9" t="n">
        <v>21274</v>
      </c>
      <c r="C21276" s="10" t="inlineStr">
        <is>
          <t>Lecturer and Academic Coordinator</t>
        </is>
      </c>
      <c r="D21276" s="10" t="inlineStr">
        <is>
          <t>CÔNG TY TNHH TNE GLOBAL</t>
        </is>
      </c>
      <c r="E21276" s="10" t="inlineStr">
        <is>
          <t>Lương:Cạnh tranh</t>
        </is>
      </c>
      <c r="F21276" s="10" t="inlineStr">
        <is>
          <t>Hồ Chí Minh</t>
        </is>
      </c>
      <c r="G21276" s="10" t="inlineStr">
        <is>
          <t>1</t>
        </is>
      </c>
      <c r="H21276" s="10" t="inlineStr">
        <is>
          <t>18/03/2026</t>
        </is>
      </c>
      <c r="I21276" s="10" t="inlineStr">
        <is>
          <t>17/03/2026</t>
        </is>
      </c>
      <c r="J21276" s="10" t="inlineStr">
        <is>
          <t>Dịch vụ khách hàng, Giáo dục / Đào tạo, Hành chính / Thư ký</t>
        </is>
      </c>
      <c r="K21276" s="10" t="inlineStr">
        <is>
          <t>N/A</t>
        </is>
      </c>
      <c r="L21276" s="11">
        <f>HYPERLINK("https://careerviet.vn/vi/tim-viec-lam/lecturer-and-academic-coordinator.35C63427.html","Xem chi tiết")</f>
        <v/>
      </c>
      <c r="M21276" s="10" t="n"/>
    </row>
    <row r="21277">
      <c r="B21277" s="7" t="n">
        <v>21275</v>
      </c>
      <c r="C21277" t="inlineStr">
        <is>
          <t>Customer Service Agent</t>
        </is>
      </c>
      <c r="D21277" t="inlineStr">
        <is>
          <t>CÔNG TY TNHH DỊCH VỤ RENRUI VIỆT NAM</t>
        </is>
      </c>
      <c r="E21277" t="inlineStr">
        <is>
          <t>Lương:11 Tr - 13 Tr VND</t>
        </is>
      </c>
      <c r="F21277" t="inlineStr">
        <is>
          <t>Hồ Chí Minh</t>
        </is>
      </c>
      <c r="G21277" t="inlineStr">
        <is>
          <t>1</t>
        </is>
      </c>
      <c r="H21277" t="inlineStr">
        <is>
          <t>18/03/2026</t>
        </is>
      </c>
      <c r="I21277" t="inlineStr">
        <is>
          <t>17/03/2026</t>
        </is>
      </c>
      <c r="J21277" t="inlineStr">
        <is>
          <t>Dịch vụ khách hàng, Hành chính / Thư ký, Du lịch</t>
        </is>
      </c>
      <c r="K21277" t="inlineStr">
        <is>
          <t>Lên đến 1 Năm</t>
        </is>
      </c>
      <c r="L21277" s="8">
        <f>HYPERLINK("https://careerviet.vn/vi/tim-viec-lam/customer-service-agent.35C63292.html","Xem chi tiết")</f>
        <v/>
      </c>
    </row>
    <row r="21278">
      <c r="B21278" s="9" t="n">
        <v>21276</v>
      </c>
      <c r="C21278" s="10" t="inlineStr">
        <is>
          <t>Host livestreamer - Bán hàng Livestream - Shopee/TikTokShop/Lazada</t>
        </is>
      </c>
      <c r="D21278" s="10" t="inlineStr">
        <is>
          <t>Công ty TNHH Onpoint</t>
        </is>
      </c>
      <c r="E21278" s="10" t="inlineStr">
        <is>
          <t>Lương:7 Tr - 15 Tr VND</t>
        </is>
      </c>
      <c r="F21278" s="10" t="inlineStr">
        <is>
          <t>Hồ Chí Minh</t>
        </is>
      </c>
      <c r="G21278" s="10" t="inlineStr">
        <is>
          <t>1</t>
        </is>
      </c>
      <c r="H21278" s="10" t="inlineStr">
        <is>
          <t>18/03/2026</t>
        </is>
      </c>
      <c r="I21278" s="10" t="inlineStr">
        <is>
          <t>17/03/2026</t>
        </is>
      </c>
      <c r="J21278" s="10" t="inlineStr">
        <is>
          <t>Bán hàng / Kinh doanh, Tiếp thị trực tuyến, Thương mại điện tử</t>
        </is>
      </c>
      <c r="K21278" s="10" t="inlineStr">
        <is>
          <t>1 - 3 Năm</t>
        </is>
      </c>
      <c r="L21278" s="11">
        <f>HYPERLINK("https://careerviet.vn/vi/tim-viec-lam/host-livestreamer-ban-hang-livestream-shopee-tiktokshop-lazada.35C6300A.html","Xem chi tiết")</f>
        <v/>
      </c>
      <c r="M21278" s="10" t="n"/>
    </row>
    <row r="21279">
      <c r="B21279" s="7" t="n">
        <v>21277</v>
      </c>
      <c r="C21279" t="inlineStr">
        <is>
          <t>Nhân Viên Vận Hành Máy (Khu Chế Biến/Khu Đóng Gói) - Nhà Máy Hà Nam/Ninh Bình</t>
        </is>
      </c>
      <c r="D21279" t="inlineStr">
        <is>
          <t>PepsiCo Foods Vietnam Company</t>
        </is>
      </c>
      <c r="E21279" t="inlineStr">
        <is>
          <t>Lương:Cạnh tranh</t>
        </is>
      </c>
      <c r="F21279" t="inlineStr">
        <is>
          <t>Hà NamHà NộiHưng Yên</t>
        </is>
      </c>
      <c r="G21279" t="inlineStr">
        <is>
          <t>1</t>
        </is>
      </c>
      <c r="H21279" t="inlineStr">
        <is>
          <t>18/03/2026</t>
        </is>
      </c>
      <c r="I21279" t="inlineStr">
        <is>
          <t>17/03/2026</t>
        </is>
      </c>
      <c r="J21279" t="inlineStr">
        <is>
          <t>Sản xuất / Vận hành sản xuất</t>
        </is>
      </c>
      <c r="K21279" t="inlineStr">
        <is>
          <t>N/A</t>
        </is>
      </c>
      <c r="L21279" s="8">
        <f>HYPERLINK("https://careerviet.vn/vi/tim-viec-lam/nhan-vien-van-hanh-may-khu-che-bien-khu-dong-goi-nha-may-ha-nam-ninh-binh.35C633A4.html","Xem chi tiết")</f>
        <v/>
      </c>
    </row>
    <row r="21280">
      <c r="B21280" s="9" t="n">
        <v>21278</v>
      </c>
      <c r="C21280" s="10" t="inlineStr">
        <is>
          <t>CNC ENGINEER</t>
        </is>
      </c>
      <c r="D21280" s="10" t="inlineStr">
        <is>
          <t>CÔNG TY TNHH CARBORI MOLDS VIỆT NAM</t>
        </is>
      </c>
      <c r="E21280" s="10" t="inlineStr">
        <is>
          <t>Lương:Cạnh tranh</t>
        </is>
      </c>
      <c r="F21280" s="10" t="inlineStr">
        <is>
          <t>Đồng Nai</t>
        </is>
      </c>
      <c r="G21280" s="10" t="inlineStr">
        <is>
          <t>1</t>
        </is>
      </c>
      <c r="H21280" s="10" t="inlineStr">
        <is>
          <t>18/03/2026</t>
        </is>
      </c>
      <c r="I21280" s="10" t="inlineStr">
        <is>
          <t>17/03/2026</t>
        </is>
      </c>
      <c r="J21280" s="10" t="inlineStr">
        <is>
          <t>Cơ khí / Ô tô / Tự động hóa, Điện / Điện tử / Điện lạnh / Điện công nghiệp, Bảo trì / Sửa chữa</t>
        </is>
      </c>
      <c r="K21280" s="10" t="inlineStr">
        <is>
          <t>3 - 5 Năm</t>
        </is>
      </c>
      <c r="L21280" s="11">
        <f>HYPERLINK("https://careerviet.vn/vi/tim-viec-lam/cnc-engineer.35C6336D.html","Xem chi tiết")</f>
        <v/>
      </c>
      <c r="M21280" s="10" t="n"/>
    </row>
    <row r="21281">
      <c r="B21281" s="7" t="n">
        <v>21279</v>
      </c>
      <c r="C21281" t="inlineStr">
        <is>
          <t>Chuyên viên C&amp;B</t>
        </is>
      </c>
      <c r="D21281" t="inlineStr">
        <is>
          <t>Tập Đoàn Karofi Holding</t>
        </is>
      </c>
      <c r="E21281" t="inlineStr">
        <is>
          <t>Lương:15 Tr - 18 Tr VND</t>
        </is>
      </c>
      <c r="F21281" t="inlineStr">
        <is>
          <t>Hưng Yên</t>
        </is>
      </c>
      <c r="G21281" t="inlineStr">
        <is>
          <t>1</t>
        </is>
      </c>
      <c r="H21281" t="inlineStr">
        <is>
          <t>18/03/2026</t>
        </is>
      </c>
      <c r="I21281" t="inlineStr">
        <is>
          <t>17/03/2026</t>
        </is>
      </c>
      <c r="J21281" t="inlineStr">
        <is>
          <t>Hành chính / Thư ký, Kế toán / Kiểm toán, Nhân sự</t>
        </is>
      </c>
      <c r="K21281" t="inlineStr">
        <is>
          <t>3 - 5 Năm</t>
        </is>
      </c>
      <c r="L21281" s="8">
        <f>HYPERLINK("https://careerviet.vn/vi/tim-viec-lam/chuyen-vien-c-b.35C61868.html","Xem chi tiết")</f>
        <v/>
      </c>
    </row>
    <row r="21282">
      <c r="B21282" s="9" t="n">
        <v>21280</v>
      </c>
      <c r="C21282" s="10" t="inlineStr">
        <is>
          <t>Nhân Viên Thiết Kế Kiến Trúc Nội Thất</t>
        </is>
      </c>
      <c r="D21282" s="10" t="inlineStr">
        <is>
          <t>Công ty TNHH Xây Dựng và Nội Thất Nice</t>
        </is>
      </c>
      <c r="E21282" s="10" t="inlineStr">
        <is>
          <t>Lương:Cạnh tranh</t>
        </is>
      </c>
      <c r="F21282" s="10" t="inlineStr">
        <is>
          <t>Hồ Chí Minh</t>
        </is>
      </c>
      <c r="G21282" s="10" t="inlineStr">
        <is>
          <t>1</t>
        </is>
      </c>
      <c r="H21282" s="10" t="inlineStr">
        <is>
          <t>18/03/2026</t>
        </is>
      </c>
      <c r="I21282" s="10" t="inlineStr">
        <is>
          <t>17/03/2026</t>
        </is>
      </c>
      <c r="J21282" s="10" t="inlineStr">
        <is>
          <t>Kiến trúc, Nội ngoại thất, Xây dựng</t>
        </is>
      </c>
      <c r="K21282" s="10" t="inlineStr">
        <is>
          <t>Trên 1 Năm</t>
        </is>
      </c>
      <c r="L21282" s="11">
        <f>HYPERLINK("https://careerviet.vn/vi/tim-viec-lam/nhan-vien-thiet-ke-kien-truc-noi-that.35C63391.html","Xem chi tiết")</f>
        <v/>
      </c>
      <c r="M21282" s="10" t="n"/>
    </row>
    <row r="21283">
      <c r="B21283" s="7" t="n">
        <v>21281</v>
      </c>
      <c r="C21283" t="inlineStr">
        <is>
          <t>Kỹ Thuật, Triển Khai Bản Vẽ Shopdrawing</t>
        </is>
      </c>
      <c r="D21283" t="inlineStr">
        <is>
          <t>Công Ty CP SXTM Thiết Kế Bình Minh</t>
        </is>
      </c>
      <c r="E21283" t="inlineStr">
        <is>
          <t>Lương:18 Tr - 25 Tr VND</t>
        </is>
      </c>
      <c r="F21283" t="inlineStr">
        <is>
          <t>Hồ Chí MinhĐồng Nai</t>
        </is>
      </c>
      <c r="G21283" t="inlineStr">
        <is>
          <t>1</t>
        </is>
      </c>
      <c r="H21283" t="inlineStr">
        <is>
          <t>18/03/2026</t>
        </is>
      </c>
      <c r="I21283" t="inlineStr">
        <is>
          <t>17/03/2026</t>
        </is>
      </c>
      <c r="J21283" t="inlineStr">
        <is>
          <t>Đồ gỗ, Kiến trúc, Nội ngoại thất</t>
        </is>
      </c>
      <c r="K21283" t="inlineStr">
        <is>
          <t>3 - 5 Năm</t>
        </is>
      </c>
      <c r="L21283" s="8">
        <f>HYPERLINK("https://careerviet.vn/vi/tim-viec-lam/ky-thuat-trien-khai-ban-ve-shopdrawing.35C633D6.html","Xem chi tiết")</f>
        <v/>
      </c>
    </row>
    <row r="21284">
      <c r="B21284" s="9" t="n">
        <v>21282</v>
      </c>
      <c r="C21284" s="10" t="inlineStr">
        <is>
          <t>SALES EXCUTIVE</t>
        </is>
      </c>
      <c r="D21284" s="10" t="inlineStr">
        <is>
          <t>Bảo mật</t>
        </is>
      </c>
      <c r="E21284" s="10" t="inlineStr">
        <is>
          <t>Lương:Cạnh tranh</t>
        </is>
      </c>
      <c r="F21284" s="10" t="inlineStr">
        <is>
          <t>Hồ Chí Minh</t>
        </is>
      </c>
      <c r="G21284" s="10" t="inlineStr">
        <is>
          <t>1</t>
        </is>
      </c>
      <c r="H21284" s="10" t="inlineStr">
        <is>
          <t>18/03/2026</t>
        </is>
      </c>
      <c r="I21284" s="10" t="inlineStr">
        <is>
          <t>17/03/2026</t>
        </is>
      </c>
      <c r="J21284" s="10" t="inlineStr">
        <is>
          <t>Dược phẩm/ Hóa Mỹ Phẩm, Y tế / Chăm sóc sức khỏe / Thẩm mỹ / Làm đẹp, Công nghệ sinh học</t>
        </is>
      </c>
      <c r="K21284" s="10" t="inlineStr">
        <is>
          <t>3 - 5 Năm</t>
        </is>
      </c>
      <c r="L21284" s="11">
        <f>HYPERLINK("https://careerviet.vn/vi/tim-viec-lam/sales-excutive.35C6326E.html","Xem chi tiết")</f>
        <v/>
      </c>
      <c r="M21284" s="10" t="n"/>
    </row>
    <row r="21285">
      <c r="B21285" s="7" t="n">
        <v>21283</v>
      </c>
      <c r="C21285" t="inlineStr">
        <is>
          <t>Thư Ký Dự Án</t>
        </is>
      </c>
      <c r="D21285" t="inlineStr">
        <is>
          <t>Công Ty Cổ Phần Kiến Trúc Tư Vấn Quản Lý Đông Dương</t>
        </is>
      </c>
      <c r="E21285" t="inlineStr">
        <is>
          <t>Lương:Cạnh tranh</t>
        </is>
      </c>
      <c r="F21285" t="inlineStr">
        <is>
          <t>Hồ Chí Minh</t>
        </is>
      </c>
      <c r="G21285" t="inlineStr">
        <is>
          <t>1</t>
        </is>
      </c>
      <c r="H21285" t="inlineStr">
        <is>
          <t>18/03/2026</t>
        </is>
      </c>
      <c r="I21285" t="inlineStr">
        <is>
          <t>17/03/2026</t>
        </is>
      </c>
      <c r="J21285" t="inlineStr">
        <is>
          <t>Hành chính / Thư ký, Xây dựng, Bất động sản</t>
        </is>
      </c>
      <c r="K21285" t="inlineStr">
        <is>
          <t>3 - 10 Năm</t>
        </is>
      </c>
      <c r="L21285" s="8">
        <f>HYPERLINK("https://careerviet.vn/vi/tim-viec-lam/thu-ky-du-an.35C6332F.html","Xem chi tiết")</f>
        <v/>
      </c>
    </row>
    <row r="21286">
      <c r="B21286" s="9" t="n">
        <v>21284</v>
      </c>
      <c r="C21286" s="10" t="inlineStr">
        <is>
          <t>Wind Turbine Installation Engineer</t>
        </is>
      </c>
      <c r="D21286" s="10" t="inlineStr">
        <is>
          <t>GOLDWIND</t>
        </is>
      </c>
      <c r="E21286" s="10" t="inlineStr">
        <is>
          <t>Lương:25 Tr - 35 Tr VND</t>
        </is>
      </c>
      <c r="F21286" s="10" t="inlineStr">
        <is>
          <t>Sóc TrăngBạc LiêuTrà Vinh</t>
        </is>
      </c>
      <c r="G21286" s="10" t="inlineStr">
        <is>
          <t>1</t>
        </is>
      </c>
      <c r="H21286" s="10" t="inlineStr">
        <is>
          <t>18/03/2026</t>
        </is>
      </c>
      <c r="I21286" s="10" t="inlineStr">
        <is>
          <t>17/03/2026</t>
        </is>
      </c>
      <c r="J21286" s="10" t="inlineStr">
        <is>
          <t>Điện / Điện tử / Điện lạnh / Điện công nghiệp, Cơ khí / Ô tô / Tự động hóa</t>
        </is>
      </c>
      <c r="K21286" s="10" t="inlineStr">
        <is>
          <t>2 - 3 Năm</t>
        </is>
      </c>
      <c r="L21286" s="11">
        <f>HYPERLINK("https://careerviet.vn/vi/tim-viec-lam/wind-turbine-installation-engineer.35C632A8.html","Xem chi tiết")</f>
        <v/>
      </c>
      <c r="M21286" s="10" t="n"/>
    </row>
    <row r="21287">
      <c r="B21287" s="7" t="n">
        <v>21285</v>
      </c>
      <c r="C21287" t="inlineStr">
        <is>
          <t>Merchandiser (Ast PC staff )</t>
        </is>
      </c>
      <c r="D21287" t="inlineStr">
        <is>
          <t>Công ty TNHH, Liên Doanh Vĩnh Hưng (TMI Việt Nam)</t>
        </is>
      </c>
      <c r="E21287" t="inlineStr">
        <is>
          <t>Lương:9 Tr - 10 Tr VND</t>
        </is>
      </c>
      <c r="F21287" t="inlineStr">
        <is>
          <t>Hồ Chí Minh</t>
        </is>
      </c>
      <c r="G21287" t="inlineStr">
        <is>
          <t>1</t>
        </is>
      </c>
      <c r="H21287" t="inlineStr">
        <is>
          <t>18/03/2026</t>
        </is>
      </c>
      <c r="I21287" t="inlineStr">
        <is>
          <t>17/03/2026</t>
        </is>
      </c>
      <c r="J21287" t="inlineStr">
        <is>
          <t>Dệt may / Da giày / Thời trang, Thu mua / Vật tư</t>
        </is>
      </c>
      <c r="K21287" t="inlineStr">
        <is>
          <t>Lên đến 5 Năm</t>
        </is>
      </c>
      <c r="L21287" s="8">
        <f>HYPERLINK("https://careerviet.vn/vi/tim-viec-lam/merchandiser-ast-pc-staff.35C6333D.html","Xem chi tiết")</f>
        <v/>
      </c>
    </row>
    <row r="21288">
      <c r="B21288" s="9" t="n">
        <v>21286</v>
      </c>
      <c r="C21288" s="10" t="inlineStr">
        <is>
          <t>126049 - Tiếng Nhật - Quản lý Nhân sự - Ngành Logistics</t>
        </is>
      </c>
      <c r="D21288" s="10" t="inlineStr">
        <is>
          <t>RGF HR Agent Vietnam Co., LTD</t>
        </is>
      </c>
      <c r="E21288" s="10" t="inlineStr">
        <is>
          <t>Lương:Cạnh tranh</t>
        </is>
      </c>
      <c r="F21288" s="10" t="inlineStr">
        <is>
          <t>Hồ Chí Minh</t>
        </is>
      </c>
      <c r="G21288" s="10" t="inlineStr">
        <is>
          <t>1</t>
        </is>
      </c>
      <c r="H21288" s="10" t="inlineStr">
        <is>
          <t>18/03/2026</t>
        </is>
      </c>
      <c r="I21288" s="10" t="inlineStr">
        <is>
          <t>17/03/2026</t>
        </is>
      </c>
      <c r="J21288" s="10" t="inlineStr">
        <is>
          <t>Vận chuyển / Giao nhận / Kho vận</t>
        </is>
      </c>
      <c r="K21288" s="10" t="inlineStr">
        <is>
          <t>Trên 10 Năm</t>
        </is>
      </c>
      <c r="L21288" s="11">
        <f>HYPERLINK("https://careerviet.vn/vi/tim-viec-lam/126049-tieng-nhat-quan-ly-nhan-su-nganh-logistics.35C62FCD.html","Xem chi tiết")</f>
        <v/>
      </c>
      <c r="M21288" s="10" t="n"/>
    </row>
    <row r="21289">
      <c r="B21289" s="7" t="n">
        <v>21287</v>
      </c>
      <c r="C21289" t="inlineStr">
        <is>
          <t>MOLD DESIGNER</t>
        </is>
      </c>
      <c r="D21289" t="inlineStr">
        <is>
          <t>CÔNG TY TNHH CARBORI MOLDS VIỆT NAM</t>
        </is>
      </c>
      <c r="E21289" t="inlineStr">
        <is>
          <t>Lương:Cạnh tranh</t>
        </is>
      </c>
      <c r="F21289" t="inlineStr">
        <is>
          <t>Đồng Nai</t>
        </is>
      </c>
      <c r="G21289" t="inlineStr">
        <is>
          <t>1</t>
        </is>
      </c>
      <c r="H21289" t="inlineStr">
        <is>
          <t>18/03/2026</t>
        </is>
      </c>
      <c r="I21289" t="inlineStr">
        <is>
          <t>17/03/2026</t>
        </is>
      </c>
      <c r="J21289" t="inlineStr">
        <is>
          <t>Cơ khí / Ô tô / Tự động hóa, Mỹ thuật / Nghệ thuật / Thiết kế, Quản lý chất lượng (QA/QC)</t>
        </is>
      </c>
      <c r="K21289" t="inlineStr">
        <is>
          <t>3 - 5 Năm</t>
        </is>
      </c>
      <c r="L21289" s="8">
        <f>HYPERLINK("https://careerviet.vn/vi/tim-viec-lam/mold-designer.35C63366.html","Xem chi tiết")</f>
        <v/>
      </c>
    </row>
    <row r="21290">
      <c r="B21290" s="9" t="n">
        <v>21288</v>
      </c>
      <c r="C21290" s="10" t="inlineStr">
        <is>
          <t>Nhân Viên Hỗ trợ App Du Lịch</t>
        </is>
      </c>
      <c r="D21290" s="10" t="inlineStr">
        <is>
          <t>CÔNG TY TNHH DỊCH VỤ RENRUI VIỆT NAM</t>
        </is>
      </c>
      <c r="E21290" s="10" t="inlineStr">
        <is>
          <t>Lương:11 Tr - 13 Tr VND</t>
        </is>
      </c>
      <c r="F21290" s="10" t="inlineStr">
        <is>
          <t>Hồ Chí Minh</t>
        </is>
      </c>
      <c r="G21290" s="10" t="inlineStr">
        <is>
          <t>1</t>
        </is>
      </c>
      <c r="H21290" s="10" t="inlineStr">
        <is>
          <t>18/03/2026</t>
        </is>
      </c>
      <c r="I21290" s="10" t="inlineStr">
        <is>
          <t>17/03/2026</t>
        </is>
      </c>
      <c r="J21290" s="10" t="inlineStr">
        <is>
          <t>Dịch vụ khách hàng, Hành chính / Thư ký, Du lịch</t>
        </is>
      </c>
      <c r="K21290" s="10" t="inlineStr">
        <is>
          <t>Lên đến 1 Năm</t>
        </is>
      </c>
      <c r="L21290" s="11">
        <f>HYPERLINK("https://careerviet.vn/vi/tim-viec-lam/nhan-vien-ho-tro-app-du-lich.35C63216.html","Xem chi tiết")</f>
        <v/>
      </c>
      <c r="M21290" s="10" t="n"/>
    </row>
    <row r="21291">
      <c r="B21291" s="7" t="n">
        <v>21289</v>
      </c>
      <c r="C21291" t="inlineStr">
        <is>
          <t>NHÂN VIÊN KINH DOANH QUỐC TẾ</t>
        </is>
      </c>
      <c r="D21291" t="inlineStr">
        <is>
          <t>Công ty TNHH MTV Bao bì quốc tế</t>
        </is>
      </c>
      <c r="E21291" t="inlineStr">
        <is>
          <t>Lương:Cạnh tranh</t>
        </is>
      </c>
      <c r="F21291" t="inlineStr">
        <is>
          <t>Hà Nội</t>
        </is>
      </c>
      <c r="G21291" t="inlineStr">
        <is>
          <t>1</t>
        </is>
      </c>
      <c r="H21291" t="inlineStr">
        <is>
          <t>18/03/2026</t>
        </is>
      </c>
      <c r="I21291" t="inlineStr">
        <is>
          <t>17/03/2026</t>
        </is>
      </c>
      <c r="J21291" t="inlineStr">
        <is>
          <t>Bán hàng / Kinh doanh, Xuất nhập khẩu, Tiếp thị trực tuyến</t>
        </is>
      </c>
      <c r="K21291" t="inlineStr">
        <is>
          <t>N/A</t>
        </is>
      </c>
      <c r="L21291" s="8">
        <f>HYPERLINK("https://careerviet.vn/vi/tim-viec-lam/nhan-vien-kinh-doanh-quoc-te.35C63411.html","Xem chi tiết")</f>
        <v/>
      </c>
    </row>
    <row r="21292">
      <c r="B21292" s="9" t="n">
        <v>21290</v>
      </c>
      <c r="C21292" s="10" t="inlineStr">
        <is>
          <t>NHÂN VIÊN KẾ TOÁN CHI PHÍ</t>
        </is>
      </c>
      <c r="D21292" s="10" t="inlineStr">
        <is>
          <t>Tập Đoàn Kim Tín</t>
        </is>
      </c>
      <c r="E21292" s="10" t="inlineStr">
        <is>
          <t>Lương:12 Tr - 14 Tr VND</t>
        </is>
      </c>
      <c r="F21292" s="10" t="inlineStr">
        <is>
          <t>Long An</t>
        </is>
      </c>
      <c r="G21292" s="10" t="inlineStr">
        <is>
          <t>1</t>
        </is>
      </c>
      <c r="H21292" s="10" t="inlineStr">
        <is>
          <t>18/03/2026</t>
        </is>
      </c>
      <c r="I21292" s="10" t="inlineStr">
        <is>
          <t>17/03/2026</t>
        </is>
      </c>
      <c r="J21292" s="10" t="inlineStr">
        <is>
          <t>Sản xuất / Vận hành sản xuất</t>
        </is>
      </c>
      <c r="K21292" s="10" t="inlineStr">
        <is>
          <t>2 - 5 Năm</t>
        </is>
      </c>
      <c r="L21292" s="11">
        <f>HYPERLINK("https://careerviet.vn/vi/tim-viec-lam/nhan-vien-ke-toan-chi-phi.35C632EF.html","Xem chi tiết")</f>
        <v/>
      </c>
      <c r="M21292" s="10" t="n"/>
    </row>
    <row r="21293">
      <c r="B21293" s="7" t="n">
        <v>21291</v>
      </c>
      <c r="C21293" t="inlineStr">
        <is>
          <t>Kỹ Sư Xây Dựng (Thông thạo Tiếng Hoa/Hàn)</t>
        </is>
      </c>
      <c r="D21293" t="inlineStr">
        <is>
          <t>Công ty Cổ phần Đầu tư Địa ốc Đại Quang Minh</t>
        </is>
      </c>
      <c r="E21293" t="inlineStr">
        <is>
          <t>Lương:30 Tr - 40 Tr VND</t>
        </is>
      </c>
      <c r="F21293" t="inlineStr">
        <is>
          <t>Hồ Chí Minh</t>
        </is>
      </c>
      <c r="G21293" t="inlineStr">
        <is>
          <t>1</t>
        </is>
      </c>
      <c r="H21293" t="inlineStr">
        <is>
          <t>18/03/2026</t>
        </is>
      </c>
      <c r="I21293" t="inlineStr">
        <is>
          <t>17/03/2026</t>
        </is>
      </c>
      <c r="J21293" t="inlineStr">
        <is>
          <t>Xây dựng, Bất động sản</t>
        </is>
      </c>
      <c r="K21293" t="inlineStr">
        <is>
          <t>Trên 4 Năm</t>
        </is>
      </c>
      <c r="L21293" s="8">
        <f>HYPERLINK("https://careerviet.vn/vi/tim-viec-lam/ky-su-xay-dung-thong-thao-tieng-hoa-han.35C63275.html","Xem chi tiết")</f>
        <v/>
      </c>
    </row>
    <row r="21294">
      <c r="B21294" s="9" t="n">
        <v>21292</v>
      </c>
      <c r="C21294" s="10" t="inlineStr">
        <is>
          <t>Nhân viên QS</t>
        </is>
      </c>
      <c r="D21294" s="10" t="inlineStr">
        <is>
          <t>CÔNG TY TNHH SẢN XUẤT THƯƠNG MẠI DỊCH VỤ ĐÁ NỮ HOÀNG</t>
        </is>
      </c>
      <c r="E21294" s="10" t="inlineStr">
        <is>
          <t>Lương:14 Tr - 16 Tr VND</t>
        </is>
      </c>
      <c r="F21294" s="10" t="inlineStr">
        <is>
          <t>Hồ Chí Minh</t>
        </is>
      </c>
      <c r="G21294" s="10" t="inlineStr">
        <is>
          <t>1</t>
        </is>
      </c>
      <c r="H21294" s="10" t="inlineStr">
        <is>
          <t>18/03/2026</t>
        </is>
      </c>
      <c r="I21294" s="10" t="inlineStr">
        <is>
          <t>17/03/2026</t>
        </is>
      </c>
      <c r="J21294" s="10" t="inlineStr">
        <is>
          <t>Bán Hàng Kỹ Thuật, Kiến trúc, Xây dựng</t>
        </is>
      </c>
      <c r="K21294" s="10" t="inlineStr">
        <is>
          <t>Trên 3 Năm</t>
        </is>
      </c>
      <c r="L21294" s="11">
        <f>HYPERLINK("https://careerviet.vn/vi/tim-viec-lam/nhan-vien-qs.35C6333B.html","Xem chi tiết")</f>
        <v/>
      </c>
      <c r="M21294" s="10" t="n"/>
    </row>
    <row r="21295">
      <c r="B21295" s="7" t="n">
        <v>21293</v>
      </c>
      <c r="C21295" t="inlineStr">
        <is>
          <t>Kế toán tổng hợp</t>
        </is>
      </c>
      <c r="D21295" t="inlineStr">
        <is>
          <t>HR Vietnam’s ESS Client</t>
        </is>
      </c>
      <c r="E21295" t="inlineStr">
        <is>
          <t>Lương:Cạnh tranh</t>
        </is>
      </c>
      <c r="F21295" t="inlineStr">
        <is>
          <t>Hồ Chí Minh</t>
        </is>
      </c>
      <c r="G21295" t="inlineStr">
        <is>
          <t>1</t>
        </is>
      </c>
      <c r="H21295" t="inlineStr">
        <is>
          <t>18/03/2026</t>
        </is>
      </c>
      <c r="I21295" t="inlineStr">
        <is>
          <t>17/03/2026</t>
        </is>
      </c>
      <c r="J21295" t="inlineStr">
        <is>
          <t>Kế toán / Kiểm toán</t>
        </is>
      </c>
      <c r="K21295" t="inlineStr">
        <is>
          <t>Trên 3 Năm</t>
        </is>
      </c>
      <c r="L21295" s="8">
        <f>HYPERLINK("https://careerviet.vn/vi/tim-viec-lam/ke-toan-tong-hop.35C6339C.html","Xem chi tiết")</f>
        <v/>
      </c>
    </row>
    <row r="21296">
      <c r="B21296" s="9" t="n">
        <v>21294</v>
      </c>
      <c r="C21296" s="10" t="inlineStr">
        <is>
          <t>Trợ lý tiếng Trung Bộ phận Nghiệp vụ</t>
        </is>
      </c>
      <c r="D21296" s="10" t="inlineStr">
        <is>
          <t>CÔNG TY TNHH ELECTRONIC TRIPOD VIỆT NAM (CHÂU ĐỨC)</t>
        </is>
      </c>
      <c r="E21296" s="10" t="inlineStr">
        <is>
          <t>Lương:Cạnh tranh</t>
        </is>
      </c>
      <c r="F21296" s="10" t="inlineStr">
        <is>
          <t>Bà Rịa - Vũng TàuĐồng Nai</t>
        </is>
      </c>
      <c r="G21296" s="10" t="inlineStr">
        <is>
          <t>1</t>
        </is>
      </c>
      <c r="H21296" s="10" t="inlineStr">
        <is>
          <t>18/03/2026</t>
        </is>
      </c>
      <c r="I21296" s="10" t="inlineStr">
        <is>
          <t>17/03/2026</t>
        </is>
      </c>
      <c r="J21296" s="10" t="inlineStr">
        <is>
          <t>Biên phiên dịch, Xuất nhập khẩu</t>
        </is>
      </c>
      <c r="K21296" s="10" t="inlineStr">
        <is>
          <t>Chưa có kinh nghiệm</t>
        </is>
      </c>
      <c r="L21296" s="11">
        <f>HYPERLINK("https://careerviet.vn/vi/tim-viec-lam/tro-ly-tieng-trung-bo-phan-nghiep-vu.35C63322.html","Xem chi tiết")</f>
        <v/>
      </c>
      <c r="M21296" s="10" t="n"/>
    </row>
    <row r="21297">
      <c r="B21297" s="7" t="n">
        <v>21295</v>
      </c>
      <c r="C21297" t="inlineStr">
        <is>
          <t>(Q7-HCM) Supervisor, Sales Representative (Property Management, Leasing, Real estate)</t>
        </is>
      </c>
      <c r="D21297" t="inlineStr">
        <is>
          <t>Công ty TNHH Phát triển Phú Mỹ Hưng</t>
        </is>
      </c>
      <c r="E21297" t="inlineStr">
        <is>
          <t>Lương:Cạnh tranh</t>
        </is>
      </c>
      <c r="F21297" t="inlineStr">
        <is>
          <t>Hồ Chí Minh</t>
        </is>
      </c>
      <c r="G21297" t="inlineStr">
        <is>
          <t>1</t>
        </is>
      </c>
      <c r="H21297" t="inlineStr">
        <is>
          <t>18/03/2026</t>
        </is>
      </c>
      <c r="I21297" t="inlineStr">
        <is>
          <t>17/03/2026</t>
        </is>
      </c>
      <c r="J21297" t="inlineStr">
        <is>
          <t>Tiếp thị / Marketing, Bán hàng / Kinh doanh, Bất động sản</t>
        </is>
      </c>
      <c r="K21297" t="inlineStr">
        <is>
          <t>3 - 5 Năm</t>
        </is>
      </c>
      <c r="L21297" s="8">
        <f>HYPERLINK("https://careerviet.vn/vi/tim-viec-lam/q7-hcm-supervisor-sales-representative-property-management-leasing-real-estate.35C632F9.html","Xem chi tiết")</f>
        <v/>
      </c>
    </row>
    <row r="21298">
      <c r="B21298" s="9" t="n">
        <v>21296</v>
      </c>
      <c r="C21298" s="10" t="inlineStr">
        <is>
          <t>Nhân Viên Kinh Doanh</t>
        </is>
      </c>
      <c r="D21298" s="10" t="inlineStr">
        <is>
          <t>CÔNG TY TNHH VINA BUHMWOO</t>
        </is>
      </c>
      <c r="E21298" s="10" t="inlineStr">
        <is>
          <t>Lương:Cạnh tranh</t>
        </is>
      </c>
      <c r="F21298" s="10" t="inlineStr">
        <is>
          <t>Hồ Chí Minh</t>
        </is>
      </c>
      <c r="G21298" s="10" t="inlineStr">
        <is>
          <t>1</t>
        </is>
      </c>
      <c r="H21298" s="10" t="inlineStr">
        <is>
          <t>18/03/2026</t>
        </is>
      </c>
      <c r="I21298" s="10" t="inlineStr">
        <is>
          <t>17/03/2026</t>
        </is>
      </c>
      <c r="J21298" s="10" t="inlineStr">
        <is>
          <t>Bán hàng / Kinh doanh, Bán Hàng Kỹ Thuật, Dầu khí</t>
        </is>
      </c>
      <c r="K21298" s="10" t="inlineStr">
        <is>
          <t>N/A</t>
        </is>
      </c>
      <c r="L21298" s="11">
        <f>HYPERLINK("https://careerviet.vn/vi/tim-viec-lam/nhan-vien-kinh-doanh.35C633C8.html","Xem chi tiết")</f>
        <v/>
      </c>
      <c r="M21298" s="10" t="n"/>
    </row>
    <row r="21299">
      <c r="B21299" s="7" t="n">
        <v>21297</v>
      </c>
      <c r="C21299" t="inlineStr">
        <is>
          <t>Chuyên viên/Chuyên gia/Giám đốc Kế hoạch &amp; Phân tích kinh doanh - Khối Ngân hàng Cá nhân</t>
        </is>
      </c>
      <c r="D21299" t="inlineStr">
        <is>
          <t>Ngân Hàng TMCP Tiên Phong (TPBank)</t>
        </is>
      </c>
      <c r="E21299" t="inlineStr">
        <is>
          <t>Lương:Cạnh tranh</t>
        </is>
      </c>
      <c r="F21299" t="inlineStr">
        <is>
          <t>Hà Nội</t>
        </is>
      </c>
      <c r="G21299" t="inlineStr">
        <is>
          <t>1</t>
        </is>
      </c>
      <c r="H21299" t="inlineStr">
        <is>
          <t>18/03/2026</t>
        </is>
      </c>
      <c r="I21299" t="inlineStr">
        <is>
          <t>17/03/2026</t>
        </is>
      </c>
      <c r="J21299" t="inlineStr">
        <is>
          <t>Ngân hàng, CNTT - Phần mềm, Thống kê</t>
        </is>
      </c>
      <c r="K21299" t="inlineStr">
        <is>
          <t>1 - 3 Năm</t>
        </is>
      </c>
      <c r="L21299" s="8">
        <f>HYPERLINK("https://careerviet.vn/vi/tim-viec-lam/chuyen-vien-chuyen-gia-giam-doc-ke-hoach-phan-tich-kinh-doanh-khoi-ngan-hang-ca-nhan.35C5BCB4.html","Xem chi tiết")</f>
        <v/>
      </c>
    </row>
    <row r="21300">
      <c r="B21300" s="9" t="n">
        <v>21298</v>
      </c>
      <c r="C21300" s="10" t="inlineStr">
        <is>
          <t>Nhân viên kinh doanh kênh MT</t>
        </is>
      </c>
      <c r="D21300" s="10" t="inlineStr">
        <is>
          <t>HR Vietnam’s ESS Client</t>
        </is>
      </c>
      <c r="E21300" s="10" t="inlineStr">
        <is>
          <t>Lương:9 Tr - 10 Tr VND</t>
        </is>
      </c>
      <c r="F21300" s="10" t="inlineStr">
        <is>
          <t>Lâm Đồng</t>
        </is>
      </c>
      <c r="G21300" s="10" t="inlineStr">
        <is>
          <t>1</t>
        </is>
      </c>
      <c r="H21300" s="10" t="inlineStr">
        <is>
          <t>18/03/2026</t>
        </is>
      </c>
      <c r="I21300" s="10" t="inlineStr">
        <is>
          <t>17/03/2026</t>
        </is>
      </c>
      <c r="J21300" s="10" t="inlineStr">
        <is>
          <t>Tư vấn, Thực phẩm &amp; Đồ uống, Bán hàng / Kinh doanh</t>
        </is>
      </c>
      <c r="K21300" s="10" t="inlineStr">
        <is>
          <t>1 - 2 Năm</t>
        </is>
      </c>
      <c r="L21300" s="11">
        <f>HYPERLINK("https://careerviet.vn/vi/tim-viec-lam/nhan-vien-kinh-doanh-kenh-mt.35C63281.html","Xem chi tiết")</f>
        <v/>
      </c>
      <c r="M21300" s="10" t="n"/>
    </row>
    <row r="21301">
      <c r="B21301" s="7" t="n">
        <v>21299</v>
      </c>
      <c r="C21301" t="inlineStr">
        <is>
          <t>Chuyên viên dịch vụ khách hàng</t>
        </is>
      </c>
      <c r="D21301" t="inlineStr">
        <is>
          <t>CÔNG TY TNHH DỊCH VỤ RENRUI VIỆT NAM</t>
        </is>
      </c>
      <c r="E21301" t="inlineStr">
        <is>
          <t>Lương:11 Tr - 13 Tr VND</t>
        </is>
      </c>
      <c r="F21301" t="inlineStr">
        <is>
          <t>Hồ Chí Minh</t>
        </is>
      </c>
      <c r="G21301" t="inlineStr">
        <is>
          <t>1</t>
        </is>
      </c>
      <c r="H21301" t="inlineStr">
        <is>
          <t>18/03/2026</t>
        </is>
      </c>
      <c r="I21301" t="inlineStr">
        <is>
          <t>17/03/2026</t>
        </is>
      </c>
      <c r="J21301" t="inlineStr">
        <is>
          <t>Dịch vụ khách hàng, Hành chính / Thư ký, Du lịch</t>
        </is>
      </c>
      <c r="K21301" t="inlineStr">
        <is>
          <t>Lên đến 1 Năm</t>
        </is>
      </c>
      <c r="L21301" s="8">
        <f>HYPERLINK("https://careerviet.vn/vi/tim-viec-lam/chuyen-vien-dich-vu-khach-hang.35C6327F.html","Xem chi tiết")</f>
        <v/>
      </c>
    </row>
    <row r="21302">
      <c r="B21302" s="9" t="n">
        <v>21300</v>
      </c>
      <c r="C21302" s="10" t="inlineStr">
        <is>
          <t>Customer Success Specialist</t>
        </is>
      </c>
      <c r="D21302" s="10" t="inlineStr">
        <is>
          <t>CÔNG TY TNHH DỊCH VỤ RENRUI VIỆT NAM</t>
        </is>
      </c>
      <c r="E21302" s="10" t="inlineStr">
        <is>
          <t>Lương:11 Tr - 13 Tr VND</t>
        </is>
      </c>
      <c r="F21302" s="10" t="inlineStr">
        <is>
          <t>Hồ Chí Minh</t>
        </is>
      </c>
      <c r="G21302" s="10" t="inlineStr">
        <is>
          <t>1</t>
        </is>
      </c>
      <c r="H21302" s="10" t="inlineStr">
        <is>
          <t>18/03/2026</t>
        </is>
      </c>
      <c r="I21302" s="10" t="inlineStr">
        <is>
          <t>17/03/2026</t>
        </is>
      </c>
      <c r="J21302" s="10" t="inlineStr">
        <is>
          <t>Dịch vụ khách hàng, Hành chính / Thư ký, Du lịch</t>
        </is>
      </c>
      <c r="K21302" s="10" t="inlineStr">
        <is>
          <t>Lên đến 1 Năm</t>
        </is>
      </c>
      <c r="L21302" s="11">
        <f>HYPERLINK("https://careerviet.vn/vi/tim-viec-lam/customer-success-specialist.35C6327C.html","Xem chi tiết")</f>
        <v/>
      </c>
      <c r="M21302" s="10" t="n"/>
    </row>
    <row r="21303">
      <c r="B21303" s="7" t="n">
        <v>21301</v>
      </c>
      <c r="C21303" t="inlineStr">
        <is>
          <t>Nhân Viên Giới Thiệu Sản Phẩm Fulltime Tại Siêu Thị</t>
        </is>
      </c>
      <c r="D21303" t="inlineStr">
        <is>
          <t>Công ty TNHH Chế biến thực phẩm Đông Đô</t>
        </is>
      </c>
      <c r="E21303" t="inlineStr">
        <is>
          <t>Lương:11 Tr - 14 Tr VND</t>
        </is>
      </c>
      <c r="F21303" t="inlineStr">
        <is>
          <t>Lào CaiHải DươngYên Bái</t>
        </is>
      </c>
      <c r="G21303" t="inlineStr">
        <is>
          <t>1</t>
        </is>
      </c>
      <c r="H21303" t="inlineStr">
        <is>
          <t>18/03/2026</t>
        </is>
      </c>
      <c r="I21303" t="inlineStr">
        <is>
          <t>17/03/2026</t>
        </is>
      </c>
      <c r="J21303" t="inlineStr">
        <is>
          <t>Tiếp thị / Marketing, Bán hàng / Kinh doanh, Lao động phổ thông</t>
        </is>
      </c>
      <c r="K21303" t="inlineStr">
        <is>
          <t>Lên đến 1 Năm</t>
        </is>
      </c>
      <c r="L21303" s="8">
        <f>HYPERLINK("https://careerviet.vn/vi/tim-viec-lam/nhan-vien-gioi-thieu-san-pham-fulltime-tai-sieu-thi.35C6332E.html","Xem chi tiết")</f>
        <v/>
      </c>
    </row>
    <row r="21304">
      <c r="B21304" s="9" t="n">
        <v>21302</v>
      </c>
      <c r="C21304" s="10" t="inlineStr">
        <is>
          <t>NHÂN VIÊN BẢO VỆ</t>
        </is>
      </c>
      <c r="D21304" s="10" t="inlineStr">
        <is>
          <t>CÔNG TY CỔ PHẦN Y TẾ KHANG PHÚC - BỆNH VIỆN ĐA KHOA VIỆT MỸ</t>
        </is>
      </c>
      <c r="E21304" s="10" t="inlineStr">
        <is>
          <t>Lương:9 Tr - 11 Tr VND</t>
        </is>
      </c>
      <c r="F21304" s="10" t="inlineStr">
        <is>
          <t>Hồ Chí Minh</t>
        </is>
      </c>
      <c r="G21304" s="10" t="inlineStr">
        <is>
          <t>1</t>
        </is>
      </c>
      <c r="H21304" s="10" t="inlineStr">
        <is>
          <t>18/03/2026</t>
        </is>
      </c>
      <c r="I21304" s="10" t="inlineStr">
        <is>
          <t>17/03/2026</t>
        </is>
      </c>
      <c r="J21304" s="10" t="inlineStr">
        <is>
          <t>Y tế / Chăm sóc sức khỏe / Thẩm mỹ / Làm đẹp, An Ninh / Bảo Vệ</t>
        </is>
      </c>
      <c r="K21304" s="10" t="inlineStr">
        <is>
          <t>1 - 2 Năm</t>
        </is>
      </c>
      <c r="L21304" s="11">
        <f>HYPERLINK("https://careerviet.vn/vi/tim-viec-lam/nhan-vien-bao-ve.35C6340B.html","Xem chi tiết")</f>
        <v/>
      </c>
      <c r="M21304" s="10" t="n"/>
    </row>
    <row r="21305">
      <c r="B21305" s="7" t="n">
        <v>21303</v>
      </c>
      <c r="C21305" t="inlineStr">
        <is>
          <t>Embedded Linux Engineer</t>
        </is>
      </c>
      <c r="D21305" t="inlineStr">
        <is>
          <t>TECOTEC Technology</t>
        </is>
      </c>
      <c r="E21305" t="inlineStr">
        <is>
          <t>Lương:Lên đến 15 Tr VND</t>
        </is>
      </c>
      <c r="F21305" t="inlineStr">
        <is>
          <t>Hà Nội</t>
        </is>
      </c>
      <c r="G21305" t="inlineStr">
        <is>
          <t>1</t>
        </is>
      </c>
      <c r="H21305" t="inlineStr">
        <is>
          <t>18/03/2026</t>
        </is>
      </c>
      <c r="I21305" t="inlineStr">
        <is>
          <t>17/03/2026</t>
        </is>
      </c>
      <c r="J21305" t="inlineStr">
        <is>
          <t>Điện / Điện tử / Điện lạnh / Điện công nghiệp, CNTT - Phần mềm, CNTT - Phần cứng / Mạng</t>
        </is>
      </c>
      <c r="K21305" t="inlineStr">
        <is>
          <t>1 - 2 Năm</t>
        </is>
      </c>
      <c r="L21305" s="8">
        <f>HYPERLINK("https://careerviet.vn/vi/tim-viec-lam/embedded-linux-engineer.35C632E3.html","Xem chi tiết")</f>
        <v/>
      </c>
    </row>
    <row r="21306">
      <c r="B21306" s="9" t="n">
        <v>21304</v>
      </c>
      <c r="C21306" s="10" t="inlineStr">
        <is>
          <t>BẢO TRÌ CƠ KHÍ</t>
        </is>
      </c>
      <c r="D21306" s="10" t="inlineStr">
        <is>
          <t>CÔNG TY TNHH ROCK WOOL KHẢI HOÀN</t>
        </is>
      </c>
      <c r="E21306" s="10" t="inlineStr">
        <is>
          <t>Lương:Cạnh tranh</t>
        </is>
      </c>
      <c r="F21306" s="10" t="inlineStr">
        <is>
          <t>Long An</t>
        </is>
      </c>
      <c r="G21306" s="10" t="inlineStr">
        <is>
          <t>1</t>
        </is>
      </c>
      <c r="H21306" s="10" t="inlineStr">
        <is>
          <t>18/03/2026</t>
        </is>
      </c>
      <c r="I21306" s="10" t="inlineStr">
        <is>
          <t>17/03/2026</t>
        </is>
      </c>
      <c r="J21306" s="10" t="inlineStr">
        <is>
          <t>Cơ khí / Ô tô / Tự động hóa, Bảo trì / Sửa chữa, Sản xuất / Vận hành sản xuất</t>
        </is>
      </c>
      <c r="K21306" s="10" t="inlineStr">
        <is>
          <t>1 - 2 Năm</t>
        </is>
      </c>
      <c r="L21306" s="11">
        <f>HYPERLINK("https://careerviet.vn/vi/tim-viec-lam/bao-tri-co-khi.35C63357.html","Xem chi tiết")</f>
        <v/>
      </c>
      <c r="M21306" s="10" t="n"/>
    </row>
    <row r="21307">
      <c r="B21307" s="7" t="n">
        <v>21305</v>
      </c>
      <c r="C21307" t="inlineStr">
        <is>
          <t>Quản lý cửa hàng thời trang cao cấp</t>
        </is>
      </c>
      <c r="D21307" t="inlineStr">
        <is>
          <t>Công ty TNHH Mỹ Phục - Eva De Eva</t>
        </is>
      </c>
      <c r="E21307" t="inlineStr">
        <is>
          <t>Lương:10 Tr - 15 Tr VND</t>
        </is>
      </c>
      <c r="F21307" t="inlineStr">
        <is>
          <t>Hà Nội</t>
        </is>
      </c>
      <c r="G21307" t="inlineStr">
        <is>
          <t>1</t>
        </is>
      </c>
      <c r="H21307" t="inlineStr">
        <is>
          <t>18/03/2026</t>
        </is>
      </c>
      <c r="I21307" t="inlineStr">
        <is>
          <t>17/03/2026</t>
        </is>
      </c>
      <c r="J21307" t="inlineStr">
        <is>
          <t>Bán hàng / Kinh doanh</t>
        </is>
      </c>
      <c r="K21307" t="inlineStr">
        <is>
          <t>2 - 3 Năm</t>
        </is>
      </c>
      <c r="L21307" s="8">
        <f>HYPERLINK("https://careerviet.vn/vi/tim-viec-lam/quan-ly-cua-hang-thoi-trang-cao-cap.35C632DD.html","Xem chi tiết")</f>
        <v/>
      </c>
    </row>
    <row r="21308">
      <c r="B21308" s="9" t="n">
        <v>21306</v>
      </c>
      <c r="C21308" s="10" t="inlineStr">
        <is>
          <t>NHÂN VIÊN HÀNH CHÍNH (TIẾNG TRUNG) - PART TIME 6 THÁNG</t>
        </is>
      </c>
      <c r="D21308" s="10" t="inlineStr">
        <is>
          <t>VĂN PHÒNG ĐẠI DIỆN JACK TECHNOLOGY CO., LTD. TẠI THÀNH PHỐ HỒ CHÍ MINH</t>
        </is>
      </c>
      <c r="E21308" s="10" t="inlineStr">
        <is>
          <t>Lương:9 Tr - 11 Tr VND</t>
        </is>
      </c>
      <c r="F21308" s="10" t="inlineStr">
        <is>
          <t>Hồ Chí Minh</t>
        </is>
      </c>
      <c r="G21308" s="10" t="inlineStr">
        <is>
          <t>1</t>
        </is>
      </c>
      <c r="H21308" s="10" t="inlineStr">
        <is>
          <t>18/03/2026</t>
        </is>
      </c>
      <c r="I21308" s="10" t="inlineStr">
        <is>
          <t>17/03/2026</t>
        </is>
      </c>
      <c r="J21308" s="10" t="inlineStr">
        <is>
          <t>Hành chính / Thư ký, Nhân sự, Sản xuất / Vận hành sản xuất</t>
        </is>
      </c>
      <c r="K21308" s="10" t="inlineStr">
        <is>
          <t>1 - 5 Năm</t>
        </is>
      </c>
      <c r="L21308" s="11">
        <f>HYPERLINK("https://careerviet.vn/vi/tim-viec-lam/nhan-vien-hanh-chinh-tieng-trung-part-time-6-thang.35C632C7.html","Xem chi tiết")</f>
        <v/>
      </c>
      <c r="M21308" s="10" t="n"/>
    </row>
    <row r="21309">
      <c r="B21309" s="7" t="n">
        <v>21307</v>
      </c>
      <c r="C21309" t="inlineStr">
        <is>
          <t>Nhân viên nhân sự</t>
        </is>
      </c>
      <c r="D21309" t="inlineStr">
        <is>
          <t>Công ty TNHH San Lim Furniture Việt Nam</t>
        </is>
      </c>
      <c r="E21309" t="inlineStr">
        <is>
          <t>Lương:Cạnh tranh</t>
        </is>
      </c>
      <c r="F21309" t="inlineStr">
        <is>
          <t>Đồng Nai</t>
        </is>
      </c>
      <c r="G21309" t="inlineStr">
        <is>
          <t>1</t>
        </is>
      </c>
      <c r="H21309" t="inlineStr">
        <is>
          <t>18/03/2026</t>
        </is>
      </c>
      <c r="I21309" t="inlineStr">
        <is>
          <t>17/03/2026</t>
        </is>
      </c>
      <c r="J21309" t="inlineStr">
        <is>
          <t>Luật / Pháp lý, Hành chính / Thư ký, Nhân sự</t>
        </is>
      </c>
      <c r="K21309" t="inlineStr">
        <is>
          <t>Trên 3 Năm</t>
        </is>
      </c>
      <c r="L21309" s="8">
        <f>HYPERLINK("https://careerviet.vn/vi/tim-viec-lam/nhan-vien-nhan-su.35C63238.html","Xem chi tiết")</f>
        <v/>
      </c>
    </row>
    <row r="21310">
      <c r="B21310" s="9" t="n">
        <v>21308</v>
      </c>
      <c r="C21310" s="10" t="inlineStr">
        <is>
          <t>Trình Dược Viên ETC (HỒ CHÍ MINH - TỈNH MỚI)</t>
        </is>
      </c>
      <c r="D21310" s="10" t="inlineStr">
        <is>
          <t>Công ty cổ phần Anvy</t>
        </is>
      </c>
      <c r="E21310" s="10" t="inlineStr">
        <is>
          <t>Lương:12 Tr - 20 Tr VND</t>
        </is>
      </c>
      <c r="F21310" s="10" t="inlineStr">
        <is>
          <t>Hồ Chí MinhBà Rịa - Vũng TàuBình Dương</t>
        </is>
      </c>
      <c r="G21310" s="10" t="inlineStr">
        <is>
          <t>1</t>
        </is>
      </c>
      <c r="H21310" s="10" t="inlineStr">
        <is>
          <t>18/03/2026</t>
        </is>
      </c>
      <c r="I21310" s="10" t="inlineStr">
        <is>
          <t>17/03/2026</t>
        </is>
      </c>
      <c r="J21310" s="10" t="inlineStr">
        <is>
          <t>Bán hàng / Kinh doanh, Dược phẩm/ Hóa Mỹ Phẩm, Y tế / Chăm sóc sức khỏe / Thẩm mỹ / Làm đẹp</t>
        </is>
      </c>
      <c r="K21310" s="10" t="inlineStr">
        <is>
          <t>1 - 2 Năm</t>
        </is>
      </c>
      <c r="L21310" s="11">
        <f>HYPERLINK("https://careerviet.vn/vi/tim-viec-lam/trinh-duoc-vien-etc-ho-chi-minh-tinh-moi.35C63268.html","Xem chi tiết")</f>
        <v/>
      </c>
      <c r="M21310" s="10" t="n"/>
    </row>
    <row r="21311">
      <c r="B21311" s="7" t="n">
        <v>21309</v>
      </c>
      <c r="C21311" t="inlineStr">
        <is>
          <t>Nhân viên bán hàng Biên Hòa - Đồng Nai</t>
        </is>
      </c>
      <c r="D21311" t="inlineStr">
        <is>
          <t>Công ty CP Toshiko Việt Nam</t>
        </is>
      </c>
      <c r="E21311" t="inlineStr">
        <is>
          <t>Lương:10 Tr - 15 Tr VND</t>
        </is>
      </c>
      <c r="F21311" t="inlineStr">
        <is>
          <t>Đồng Nai</t>
        </is>
      </c>
      <c r="G21311" t="inlineStr">
        <is>
          <t>1</t>
        </is>
      </c>
      <c r="H21311" t="inlineStr">
        <is>
          <t>18/03/2026</t>
        </is>
      </c>
      <c r="I21311" t="inlineStr">
        <is>
          <t>17/03/2026</t>
        </is>
      </c>
      <c r="J21311" t="inlineStr">
        <is>
          <t>Bán lẻ / Bán sỉ, Bán hàng / Kinh doanh, Tư vấn</t>
        </is>
      </c>
      <c r="K21311" t="inlineStr">
        <is>
          <t>1 - 2 Năm</t>
        </is>
      </c>
      <c r="L21311" s="8">
        <f>HYPERLINK("https://careerviet.vn/vi/tim-viec-lam/nhan-vien-ban-hang-bien-hoa-dong-nai.35C632AA.html","Xem chi tiết")</f>
        <v/>
      </c>
    </row>
    <row r="21312">
      <c r="B21312" s="9" t="n">
        <v>21310</v>
      </c>
      <c r="C21312" s="10" t="inlineStr">
        <is>
          <t>Phó Phòng Kỹ Thuật</t>
        </is>
      </c>
      <c r="D21312" s="10" t="inlineStr">
        <is>
          <t>CÔNG TY TNHH KỸ THUẬT ASG VIỆT NAM</t>
        </is>
      </c>
      <c r="E21312" s="10" t="inlineStr">
        <is>
          <t>Lương:18 Tr - 25 Tr VND</t>
        </is>
      </c>
      <c r="F21312" s="10" t="inlineStr">
        <is>
          <t>Hà Nội</t>
        </is>
      </c>
      <c r="G21312" s="10" t="inlineStr">
        <is>
          <t>1</t>
        </is>
      </c>
      <c r="H21312" s="10" t="inlineStr">
        <is>
          <t>18/03/2026</t>
        </is>
      </c>
      <c r="I21312" s="10" t="inlineStr">
        <is>
          <t>17/03/2026</t>
        </is>
      </c>
      <c r="J21312" s="10" t="inlineStr">
        <is>
          <t>Quản lý điều hành, Cơ khí / Ô tô / Tự động hóa, Sản xuất / Vận hành sản xuất</t>
        </is>
      </c>
      <c r="K21312" s="10" t="inlineStr">
        <is>
          <t>Trên 1 Năm</t>
        </is>
      </c>
      <c r="L21312" s="11">
        <f>HYPERLINK("https://careerviet.vn/vi/tim-viec-lam/pho-phong-ky-thuat.35C632C9.html","Xem chi tiết")</f>
        <v/>
      </c>
      <c r="M21312" s="10" t="n"/>
    </row>
    <row r="21313">
      <c r="B21313" s="7" t="n">
        <v>21311</v>
      </c>
      <c r="C21313" t="inlineStr">
        <is>
          <t>Nhân Viên Chăm Sóc Khách Hàng</t>
        </is>
      </c>
      <c r="D21313" t="inlineStr">
        <is>
          <t>CÔNG TY TNHH VINA BUHMWOO</t>
        </is>
      </c>
      <c r="E21313" t="inlineStr">
        <is>
          <t>Lương:Cạnh tranh</t>
        </is>
      </c>
      <c r="F21313" t="inlineStr">
        <is>
          <t>Đồng Nai</t>
        </is>
      </c>
      <c r="G21313" t="inlineStr">
        <is>
          <t>1</t>
        </is>
      </c>
      <c r="H21313" t="inlineStr">
        <is>
          <t>18/03/2026</t>
        </is>
      </c>
      <c r="I21313" t="inlineStr">
        <is>
          <t>17/03/2026</t>
        </is>
      </c>
      <c r="J21313" t="inlineStr">
        <is>
          <t>Tư vấn, Dịch vụ khách hàng, Hành chính / Thư ký</t>
        </is>
      </c>
      <c r="K21313" t="inlineStr">
        <is>
          <t>N/A</t>
        </is>
      </c>
      <c r="L21313" s="8">
        <f>HYPERLINK("https://careerviet.vn/vi/tim-viec-lam/nhan-vien-cham-soc-khach-hang.35C633C5.html","Xem chi tiết")</f>
        <v/>
      </c>
    </row>
    <row r="21314">
      <c r="B21314" s="9" t="n">
        <v>21312</v>
      </c>
      <c r="C21314" s="10" t="inlineStr">
        <is>
          <t>NHÂN VIÊN KẾ HOẠCH SẢN XUẤT</t>
        </is>
      </c>
      <c r="D21314" s="10" t="inlineStr">
        <is>
          <t>Công ty TNHH MTV Bao bì quốc tế</t>
        </is>
      </c>
      <c r="E21314" s="10" t="inlineStr">
        <is>
          <t>Lương:10 Tr - 15 Tr VND</t>
        </is>
      </c>
      <c r="F21314" s="10" t="inlineStr">
        <is>
          <t>Hà Nam</t>
        </is>
      </c>
      <c r="G21314" s="10" t="inlineStr">
        <is>
          <t>1</t>
        </is>
      </c>
      <c r="H21314" s="10" t="inlineStr">
        <is>
          <t>18/03/2026</t>
        </is>
      </c>
      <c r="I21314" s="10" t="inlineStr">
        <is>
          <t>17/03/2026</t>
        </is>
      </c>
      <c r="J21314" s="10" t="inlineStr">
        <is>
          <t>Sản xuất / Vận hành sản xuất</t>
        </is>
      </c>
      <c r="K21314" s="10" t="inlineStr">
        <is>
          <t>Trên 1 Năm</t>
        </is>
      </c>
      <c r="L21314" s="11">
        <f>HYPERLINK("https://careerviet.vn/vi/tim-viec-lam/nhan-vien-ke-hoach-san-xuat.35C633FA.html","Xem chi tiết")</f>
        <v/>
      </c>
      <c r="M21314" s="10" t="n"/>
    </row>
    <row r="21315">
      <c r="B21315" s="7" t="n">
        <v>21313</v>
      </c>
      <c r="C21315" t="inlineStr">
        <is>
          <t>Nhân Viên Cắm Hoa</t>
        </is>
      </c>
      <c r="D21315" t="inlineStr">
        <is>
          <t>Dalat Hasfarm</t>
        </is>
      </c>
      <c r="E21315" t="inlineStr">
        <is>
          <t>Lương:Cạnh tranh</t>
        </is>
      </c>
      <c r="F21315" t="inlineStr">
        <is>
          <t>Lâm Đồng</t>
        </is>
      </c>
      <c r="G21315" t="inlineStr">
        <is>
          <t>1</t>
        </is>
      </c>
      <c r="H21315" t="inlineStr">
        <is>
          <t>18/03/2026</t>
        </is>
      </c>
      <c r="I21315" t="inlineStr">
        <is>
          <t>17/03/2026</t>
        </is>
      </c>
      <c r="J21315" t="inlineStr">
        <is>
          <t>Bán lẻ / Bán sỉ, Mỹ thuật / Nghệ thuật / Thiết kế, Tổ chức sự kiện</t>
        </is>
      </c>
      <c r="K21315" t="inlineStr">
        <is>
          <t>1 - 2 Năm</t>
        </is>
      </c>
      <c r="L21315" s="8">
        <f>HYPERLINK("https://careerviet.vn/vi/tim-viec-lam/nhan-vien-cam-hoa.35C633C2.html","Xem chi tiết")</f>
        <v/>
      </c>
    </row>
    <row r="21316">
      <c r="B21316" s="9" t="n">
        <v>21314</v>
      </c>
      <c r="C21316" s="10" t="inlineStr">
        <is>
          <t>NHÂN VIÊN XỬ LÝ NƯỚC THẢI - CHI NHÁNH HỒ CHÍ MINH</t>
        </is>
      </c>
      <c r="D21316" s="10" t="inlineStr">
        <is>
          <t>CÔNG TY TNHH THỰC PHẨM FARINA  – CHI NHÁNH HỒ CHÍ MINH</t>
        </is>
      </c>
      <c r="E21316" s="10" t="inlineStr">
        <is>
          <t>Lương:Cạnh tranh</t>
        </is>
      </c>
      <c r="F21316" s="10" t="inlineStr">
        <is>
          <t>Bình Dương</t>
        </is>
      </c>
      <c r="G21316" s="10" t="inlineStr">
        <is>
          <t>1</t>
        </is>
      </c>
      <c r="H21316" s="10" t="inlineStr">
        <is>
          <t>18/03/2026</t>
        </is>
      </c>
      <c r="I21316" s="10" t="inlineStr">
        <is>
          <t>17/03/2026</t>
        </is>
      </c>
      <c r="J21316" s="10" t="inlineStr">
        <is>
          <t>Sản xuất / Vận hành sản xuất</t>
        </is>
      </c>
      <c r="K21316" s="10" t="inlineStr">
        <is>
          <t>Chưa có kinh nghiệm</t>
        </is>
      </c>
      <c r="L21316" s="11">
        <f>HYPERLINK("https://careerviet.vn/vi/tim-viec-lam/nhan-vien-xu-ly-nuoc-thai-chi-nhanh-ho-chi-minh.35C63332.html","Xem chi tiết")</f>
        <v/>
      </c>
      <c r="M21316" s="10" t="n"/>
    </row>
    <row r="21317">
      <c r="B21317" s="7" t="n">
        <v>21315</v>
      </c>
      <c r="C21317" t="inlineStr">
        <is>
          <t>Kế Toán Tổng Hợp</t>
        </is>
      </c>
      <c r="D21317" t="inlineStr">
        <is>
          <t>CÔNG TY CỔ PHẦN TRÀ VINH GC</t>
        </is>
      </c>
      <c r="E21317" t="inlineStr">
        <is>
          <t>Lương:18 Tr - 25 Tr VND</t>
        </is>
      </c>
      <c r="F21317" t="inlineStr">
        <is>
          <t>Hồ Chí Minh</t>
        </is>
      </c>
      <c r="G21317" t="inlineStr">
        <is>
          <t>1</t>
        </is>
      </c>
      <c r="H21317" t="inlineStr">
        <is>
          <t>18/03/2026</t>
        </is>
      </c>
      <c r="I21317" t="inlineStr">
        <is>
          <t>17/03/2026</t>
        </is>
      </c>
      <c r="J21317" t="inlineStr">
        <is>
          <t>Kế toán / Kiểm toán, Xây dựng</t>
        </is>
      </c>
      <c r="K21317" t="inlineStr">
        <is>
          <t>2 - 3 Năm</t>
        </is>
      </c>
      <c r="L21317" s="8">
        <f>HYPERLINK("https://careerviet.vn/vi/tim-viec-lam/ke-toan-tong-hop.35C633B2.html","Xem chi tiết")</f>
        <v/>
      </c>
    </row>
    <row r="21318">
      <c r="B21318" s="9" t="n">
        <v>21316</v>
      </c>
      <c r="C21318" s="10" t="inlineStr">
        <is>
          <t>Nhân viên kinh doanh - kênh GT</t>
        </is>
      </c>
      <c r="D21318" s="10" t="inlineStr">
        <is>
          <t>HR Vietnam’s ESS Client</t>
        </is>
      </c>
      <c r="E21318" s="10" t="inlineStr">
        <is>
          <t>Lương:10 Tr - 13 Tr VND</t>
        </is>
      </c>
      <c r="F21318" s="10" t="inlineStr">
        <is>
          <t>Cần Thơ</t>
        </is>
      </c>
      <c r="G21318" s="10" t="inlineStr">
        <is>
          <t>1</t>
        </is>
      </c>
      <c r="H21318" s="10" t="inlineStr">
        <is>
          <t>18/03/2026</t>
        </is>
      </c>
      <c r="I21318" s="10" t="inlineStr">
        <is>
          <t>17/03/2026</t>
        </is>
      </c>
      <c r="J21318" s="10" t="inlineStr">
        <is>
          <t>Tư vấn, Thực phẩm &amp; Đồ uống, Bán hàng / Kinh doanh</t>
        </is>
      </c>
      <c r="K21318" s="10" t="inlineStr">
        <is>
          <t>1 - 2 Năm</t>
        </is>
      </c>
      <c r="L21318" s="11">
        <f>HYPERLINK("https://careerviet.vn/vi/tim-viec-lam/nhan-vien-kinh-doanh-kenh-gt.35C632B3.html","Xem chi tiết")</f>
        <v/>
      </c>
      <c r="M21318" s="10" t="n"/>
    </row>
    <row r="21319">
      <c r="B21319" s="7" t="n">
        <v>21317</v>
      </c>
      <c r="C21319" t="inlineStr">
        <is>
          <t>Chuyên Viên Kiểm Soát Vật Tư</t>
        </is>
      </c>
      <c r="D21319" t="inlineStr">
        <is>
          <t>CÔNG TY TNHH BILLION VIETNAM HOLDING</t>
        </is>
      </c>
      <c r="E21319" t="inlineStr">
        <is>
          <t>Lương:Cạnh tranh</t>
        </is>
      </c>
      <c r="F21319" t="inlineStr">
        <is>
          <t>Hồ Chí Minh</t>
        </is>
      </c>
      <c r="G21319" t="inlineStr">
        <is>
          <t>1</t>
        </is>
      </c>
      <c r="H21319" t="inlineStr">
        <is>
          <t>18/03/2026</t>
        </is>
      </c>
      <c r="I21319" t="inlineStr">
        <is>
          <t>17/03/2026</t>
        </is>
      </c>
      <c r="J21319" t="inlineStr">
        <is>
          <t>Vận chuyển / Giao nhận / Kho vận, Hành chính / Thư ký, Thu mua / Vật tư</t>
        </is>
      </c>
      <c r="K21319" t="inlineStr">
        <is>
          <t>2 - 3 Năm</t>
        </is>
      </c>
      <c r="L21319" s="8">
        <f>HYPERLINK("https://careerviet.vn/vi/tim-viec-lam/chuyen-vien-kiem-soat-vat-tu.35C6341E.html","Xem chi tiết")</f>
        <v/>
      </c>
    </row>
    <row r="21320">
      <c r="B21320" s="9" t="n">
        <v>21318</v>
      </c>
      <c r="C21320" s="10" t="inlineStr">
        <is>
          <t>Kỹ sư Quản lý Thiết bị (Facilities Control Engineer) - Tiếng Anh hoặc Tiếng Trung</t>
        </is>
      </c>
      <c r="D21320" s="10" t="inlineStr">
        <is>
          <t>CÔNG TY TNHH ELECTRONIC TRIPOD VIỆT NAM (CHÂU ĐỨC)</t>
        </is>
      </c>
      <c r="E21320" s="10" t="inlineStr">
        <is>
          <t>Lương:Cạnh tranh</t>
        </is>
      </c>
      <c r="F21320" s="10" t="inlineStr">
        <is>
          <t>Bà Rịa - Vũng Tàu</t>
        </is>
      </c>
      <c r="G21320" s="10" t="inlineStr">
        <is>
          <t>1</t>
        </is>
      </c>
      <c r="H21320" s="10" t="inlineStr">
        <is>
          <t>18/03/2026</t>
        </is>
      </c>
      <c r="I21320" s="10" t="inlineStr">
        <is>
          <t>17/03/2026</t>
        </is>
      </c>
      <c r="J21320" s="10" t="inlineStr">
        <is>
          <t>Cơ khí / Ô tô / Tự động hóa, Điện / Điện tử / Điện lạnh / Điện công nghiệp, Bảo trì / Sửa chữa</t>
        </is>
      </c>
      <c r="K21320" s="10" t="inlineStr">
        <is>
          <t>Chưa có kinh nghiệm</t>
        </is>
      </c>
      <c r="L21320" s="11">
        <f>HYPERLINK("https://careerviet.vn/vi/tim-viec-lam/ky-su-quan-ly-thiet-bi-facilities-control-engineer-tieng-anh-hoac-tieng-trung.35C63324.html","Xem chi tiết")</f>
        <v/>
      </c>
      <c r="M21320" s="10" t="n"/>
    </row>
    <row r="21321">
      <c r="B21321" s="7" t="n">
        <v>21319</v>
      </c>
      <c r="C21321" t="inlineStr">
        <is>
          <t>[NOVAGROUP] TRỢ LÝ BAN GIÁM ĐỐC (PHỤ TRÁCH MẢNG NHÂN SỰ)</t>
        </is>
      </c>
      <c r="D21321" t="inlineStr">
        <is>
          <t>NovaGroup - Công ty Cổ phần NovaGroup</t>
        </is>
      </c>
      <c r="E21321" t="inlineStr">
        <is>
          <t>Lương:Cạnh tranh</t>
        </is>
      </c>
      <c r="F21321" t="inlineStr">
        <is>
          <t>Hồ Chí Minh</t>
        </is>
      </c>
      <c r="G21321" t="inlineStr">
        <is>
          <t>1</t>
        </is>
      </c>
      <c r="H21321" t="inlineStr">
        <is>
          <t>18/03/2026</t>
        </is>
      </c>
      <c r="I21321" t="inlineStr">
        <is>
          <t>17/03/2026</t>
        </is>
      </c>
      <c r="J21321" t="inlineStr">
        <is>
          <t>Hành chính / Thư ký, Quản lý điều hành, Nhân sự</t>
        </is>
      </c>
      <c r="K21321" t="inlineStr">
        <is>
          <t>10 - 20 Năm</t>
        </is>
      </c>
      <c r="L21321" s="8">
        <f>HYPERLINK("https://careerviet.vn/vi/tim-viec-lam/novagroup-tro-ly-ban-giam-doc-phu-trach-mang-nhan-su.35C6326B.html","Xem chi tiết")</f>
        <v/>
      </c>
    </row>
    <row r="21322">
      <c r="B21322" s="9" t="n">
        <v>21320</v>
      </c>
      <c r="C21322" s="10" t="inlineStr">
        <is>
          <t>Thủ Kho Công Ty Nội Thất</t>
        </is>
      </c>
      <c r="D21322" s="10" t="inlineStr">
        <is>
          <t>CÔNG TY CỔ PHẦN ĐẦU TƯ THIÊN ÂN</t>
        </is>
      </c>
      <c r="E21322" s="10" t="inlineStr">
        <is>
          <t>Lương:10 Tr - 13 Tr VND</t>
        </is>
      </c>
      <c r="F21322" s="10" t="inlineStr">
        <is>
          <t>Hưng Yên</t>
        </is>
      </c>
      <c r="G21322" s="10" t="inlineStr">
        <is>
          <t>1</t>
        </is>
      </c>
      <c r="H21322" s="10" t="inlineStr">
        <is>
          <t>18/03/2026</t>
        </is>
      </c>
      <c r="I21322" s="10" t="inlineStr">
        <is>
          <t>17/03/2026</t>
        </is>
      </c>
      <c r="J21322" s="10" t="inlineStr">
        <is>
          <t>Vận chuyển / Giao nhận / Kho vận, Kế toán / Kiểm toán, Xây dựng</t>
        </is>
      </c>
      <c r="K21322" s="10" t="inlineStr">
        <is>
          <t>Trên 1 Năm</t>
        </is>
      </c>
      <c r="L21322" s="11">
        <f>HYPERLINK("https://careerviet.vn/vi/tim-viec-lam/thu-kho-cong-ty-noi-that.35C632D7.html","Xem chi tiết")</f>
        <v/>
      </c>
      <c r="M21322" s="10" t="n"/>
    </row>
    <row r="21323">
      <c r="B21323" s="7" t="n">
        <v>21321</v>
      </c>
      <c r="C21323" t="inlineStr">
        <is>
          <t>Nhân Viên HSE</t>
        </is>
      </c>
      <c r="D21323" t="inlineStr">
        <is>
          <t>CÔNG TY TNHH THE SQUARE VINA</t>
        </is>
      </c>
      <c r="E21323" t="inlineStr">
        <is>
          <t>Lương:15 Tr - 18 Tr VND</t>
        </is>
      </c>
      <c r="F21323" t="inlineStr">
        <is>
          <t>Bà Rịa - Vũng Tàu</t>
        </is>
      </c>
      <c r="G21323" t="inlineStr">
        <is>
          <t>1</t>
        </is>
      </c>
      <c r="H21323" t="inlineStr">
        <is>
          <t>18/03/2026</t>
        </is>
      </c>
      <c r="I21323" t="inlineStr">
        <is>
          <t>17/03/2026</t>
        </is>
      </c>
      <c r="J21323" t="inlineStr">
        <is>
          <t>Kế toán / Kiểm toán, Môi trường, An toàn lao động</t>
        </is>
      </c>
      <c r="K21323" t="inlineStr">
        <is>
          <t>Trên 2 Năm</t>
        </is>
      </c>
      <c r="L21323" s="8">
        <f>HYPERLINK("https://careerviet.vn/vi/tim-viec-lam/nhan-vien-hse.35C6339E.html","Xem chi tiết")</f>
        <v/>
      </c>
    </row>
    <row r="21324">
      <c r="B21324" s="9" t="n">
        <v>21322</v>
      </c>
      <c r="C21324" s="10" t="inlineStr">
        <is>
          <t>Nhân viên Kho (Kiểm soát nguyên vật liệu) - Tiếng Trung</t>
        </is>
      </c>
      <c r="D21324" s="10" t="inlineStr">
        <is>
          <t>CÔNG TY TNHH ELECTRONIC TRIPOD VIỆT NAM (CHÂU ĐỨC)</t>
        </is>
      </c>
      <c r="E21324" s="10" t="inlineStr">
        <is>
          <t>Lương:Cạnh tranh</t>
        </is>
      </c>
      <c r="F21324" s="10" t="inlineStr">
        <is>
          <t>Bà Rịa - Vũng TàuĐồng Nai</t>
        </is>
      </c>
      <c r="G21324" s="10" t="inlineStr">
        <is>
          <t>1</t>
        </is>
      </c>
      <c r="H21324" s="10" t="inlineStr">
        <is>
          <t>18/03/2026</t>
        </is>
      </c>
      <c r="I21324" s="10" t="inlineStr">
        <is>
          <t>17/03/2026</t>
        </is>
      </c>
      <c r="J21324" s="10" t="inlineStr">
        <is>
          <t>Vận chuyển / Giao nhận / Kho vận, Xuất nhập khẩu</t>
        </is>
      </c>
      <c r="K21324" s="10" t="inlineStr">
        <is>
          <t>N/A</t>
        </is>
      </c>
      <c r="L21324" s="11">
        <f>HYPERLINK("https://careerviet.vn/vi/tim-viec-lam/nhan-vien-kho-kiem-soat-nguyen-vat-lieu-tieng-trung.35C6331E.html","Xem chi tiết")</f>
        <v/>
      </c>
      <c r="M21324" s="10" t="n"/>
    </row>
    <row r="21325">
      <c r="B21325" s="7" t="n">
        <v>21323</v>
      </c>
      <c r="C21325" t="inlineStr">
        <is>
          <t>Nhân viên Kho (Warehouse Admin) - Tiếng Trung hoặc Tiếng Anh</t>
        </is>
      </c>
      <c r="D21325" t="inlineStr">
        <is>
          <t>CÔNG TY TNHH ELECTRONIC TRIPOD VIỆT NAM (CHÂU ĐỨC)</t>
        </is>
      </c>
      <c r="E21325" t="inlineStr">
        <is>
          <t>Lương:Cạnh tranh</t>
        </is>
      </c>
      <c r="F21325" t="inlineStr">
        <is>
          <t>Bà Rịa - Vũng TàuĐồng Nai</t>
        </is>
      </c>
      <c r="G21325" t="inlineStr">
        <is>
          <t>1</t>
        </is>
      </c>
      <c r="H21325" t="inlineStr">
        <is>
          <t>18/03/2026</t>
        </is>
      </c>
      <c r="I21325" t="inlineStr">
        <is>
          <t>17/03/2026</t>
        </is>
      </c>
      <c r="J21325" t="inlineStr">
        <is>
          <t>Vận chuyển / Giao nhận / Kho vận, Xuất nhập khẩu</t>
        </is>
      </c>
      <c r="K21325" t="inlineStr">
        <is>
          <t>Chưa có kinh nghiệm</t>
        </is>
      </c>
      <c r="L21325" s="8">
        <f>HYPERLINK("https://careerviet.vn/vi/tim-viec-lam/nhan-vien-kho-warehouse-admin-tieng-trung-hoac-tieng-anh.35C6331F.html","Xem chi tiết")</f>
        <v/>
      </c>
    </row>
    <row r="21326">
      <c r="B21326" s="9" t="n">
        <v>21324</v>
      </c>
      <c r="C21326" s="10" t="inlineStr">
        <is>
          <t>Facility Staff  (Nhân Viên Bảo Trì Cơ Sở Vật Chất)</t>
        </is>
      </c>
      <c r="D21326" s="10" t="inlineStr">
        <is>
          <t>DP Systems Electronic Mechanical Technology Vietnam Co., Ltd</t>
        </is>
      </c>
      <c r="E21326" s="10" t="inlineStr">
        <is>
          <t>Lương:Cạnh tranh</t>
        </is>
      </c>
      <c r="F21326" s="10" t="inlineStr">
        <is>
          <t>Bình Dương</t>
        </is>
      </c>
      <c r="G21326" s="10" t="inlineStr">
        <is>
          <t>1</t>
        </is>
      </c>
      <c r="H21326" s="10" t="inlineStr">
        <is>
          <t>18/03/2026</t>
        </is>
      </c>
      <c r="I21326" s="10" t="inlineStr">
        <is>
          <t>17/03/2026</t>
        </is>
      </c>
      <c r="J21326" s="10" t="inlineStr">
        <is>
          <t>Hành chính / Thư ký, Điện / Điện tử / Điện lạnh / Điện công nghiệp, Bảo trì / Sửa chữa</t>
        </is>
      </c>
      <c r="K21326" s="10" t="inlineStr">
        <is>
          <t>3 - 6 Năm</t>
        </is>
      </c>
      <c r="L21326" s="11">
        <f>HYPERLINK("https://careerviet.vn/vi/tim-viec-lam/facility-staff-nhan-vien-bao-tri-co-so-vat-chat.35C6338B.html","Xem chi tiết")</f>
        <v/>
      </c>
      <c r="M21326" s="10" t="n"/>
    </row>
    <row r="21327">
      <c r="B21327" s="7" t="n">
        <v>21325</v>
      </c>
      <c r="C21327" t="inlineStr">
        <is>
          <t>Regulatory Affairs cum Admin</t>
        </is>
      </c>
      <c r="D21327" t="inlineStr">
        <is>
          <t>CÔNG TY TNHH THIỀN</t>
        </is>
      </c>
      <c r="E21327" t="inlineStr">
        <is>
          <t>Lương:20 Tr - 24 Tr VND</t>
        </is>
      </c>
      <c r="F21327" t="inlineStr">
        <is>
          <t>Hà Nội</t>
        </is>
      </c>
      <c r="G21327" t="inlineStr">
        <is>
          <t>2</t>
        </is>
      </c>
      <c r="H21327" t="inlineStr">
        <is>
          <t>18/03/2026</t>
        </is>
      </c>
      <c r="I21327" t="inlineStr">
        <is>
          <t>17/03/2026</t>
        </is>
      </c>
      <c r="J21327" t="inlineStr">
        <is>
          <t>Y tế / Chăm sóc sức khỏe / Thẩm mỹ / Làm đẹp, Hành chính / Thư ký</t>
        </is>
      </c>
      <c r="K21327" t="inlineStr">
        <is>
          <t>Trên 3 Năm</t>
        </is>
      </c>
      <c r="L21327" s="8">
        <f>HYPERLINK("https://careerviet.vn/vi/tim-viec-lam/regulatory-affairs-cum-admin.35C65E58.html","Xem chi tiết")</f>
        <v/>
      </c>
    </row>
    <row r="21328">
      <c r="B21328" s="9" t="n">
        <v>21326</v>
      </c>
      <c r="C21328" s="10" t="inlineStr">
        <is>
          <t>QC Inspector (Kết Cấu Thép)</t>
        </is>
      </c>
      <c r="D21328" s="10" t="inlineStr">
        <is>
          <t>CÔNG TY CỔ PHẦN KẾT CẤU THÉP QH PLUS (QHPS)</t>
        </is>
      </c>
      <c r="E21328" s="10" t="inlineStr">
        <is>
          <t>Lương:Cạnh tranh</t>
        </is>
      </c>
      <c r="F21328" s="10" t="inlineStr">
        <is>
          <t>Bà Rịa - Vũng Tàu</t>
        </is>
      </c>
      <c r="G21328" s="10" t="inlineStr">
        <is>
          <t>1</t>
        </is>
      </c>
      <c r="H21328" s="10" t="inlineStr">
        <is>
          <t>18/03/2026</t>
        </is>
      </c>
      <c r="I21328" s="10" t="inlineStr">
        <is>
          <t>17/03/2026</t>
        </is>
      </c>
      <c r="J21328" s="10" t="inlineStr">
        <is>
          <t>Cơ khí / Ô tô / Tự động hóa, Kiến trúc, Xây dựng</t>
        </is>
      </c>
      <c r="K21328" s="10" t="inlineStr">
        <is>
          <t>2 - 5 Năm</t>
        </is>
      </c>
      <c r="L21328" s="11">
        <f>HYPERLINK("https://careerviet.vn/vi/tim-viec-lam/qc-inspector-ket-cau-thep.35C6323A.html","Xem chi tiết")</f>
        <v/>
      </c>
      <c r="M21328" s="10" t="n"/>
    </row>
    <row r="21329">
      <c r="B21329" s="7" t="n">
        <v>21327</v>
      </c>
      <c r="C21329" t="inlineStr">
        <is>
          <t>Chuyên viên Thẩm định giá - Bến Tre</t>
        </is>
      </c>
      <c r="D21329" t="inlineStr">
        <is>
          <t>CÔNG TY CỔ PHẦN CITICS</t>
        </is>
      </c>
      <c r="E21329" t="inlineStr">
        <is>
          <t>Lương:Cạnh tranh</t>
        </is>
      </c>
      <c r="F21329" t="inlineStr">
        <is>
          <t>Bến Tre</t>
        </is>
      </c>
      <c r="G21329" t="inlineStr">
        <is>
          <t>1</t>
        </is>
      </c>
      <c r="H21329" t="inlineStr">
        <is>
          <t>18/03/2026</t>
        </is>
      </c>
      <c r="I21329" t="inlineStr">
        <is>
          <t>17/03/2026</t>
        </is>
      </c>
      <c r="J21329" t="inlineStr">
        <is>
          <t>Bất động sản</t>
        </is>
      </c>
      <c r="K21329" t="inlineStr">
        <is>
          <t>1 - 2 Năm</t>
        </is>
      </c>
      <c r="L21329" s="8">
        <f>HYPERLINK("https://careerviet.vn/vi/tim-viec-lam/chuyen-vien-tham-dinh-gia-ben-tre.35C65E37.html","Xem chi tiết")</f>
        <v/>
      </c>
    </row>
    <row r="21330">
      <c r="B21330" s="9" t="n">
        <v>21328</v>
      </c>
      <c r="C21330" s="10" t="inlineStr">
        <is>
          <t>Wind Farm Maintenance Engineer</t>
        </is>
      </c>
      <c r="D21330" s="10" t="inlineStr">
        <is>
          <t>GOLDWIND</t>
        </is>
      </c>
      <c r="E21330" s="10" t="inlineStr">
        <is>
          <t>Lương:Cạnh tranh</t>
        </is>
      </c>
      <c r="F21330" s="10" t="inlineStr">
        <is>
          <t>Bạc LiêuGia LaiSóc Trăng</t>
        </is>
      </c>
      <c r="G21330" s="10" t="inlineStr">
        <is>
          <t>1</t>
        </is>
      </c>
      <c r="H21330" s="10" t="inlineStr">
        <is>
          <t>18/03/2026</t>
        </is>
      </c>
      <c r="I21330" s="10" t="inlineStr">
        <is>
          <t>17/03/2026</t>
        </is>
      </c>
      <c r="J21330" s="10" t="inlineStr">
        <is>
          <t>Điện / Điện tử / Điện lạnh / Điện công nghiệp, Cơ khí / Ô tô / Tự động hóa</t>
        </is>
      </c>
      <c r="K21330" s="10" t="inlineStr">
        <is>
          <t>2 - 3 Năm</t>
        </is>
      </c>
      <c r="L21330" s="11">
        <f>HYPERLINK("https://careerviet.vn/vi/tim-viec-lam/wind-farm-maintenance-engineer.35C632CE.html","Xem chi tiết")</f>
        <v/>
      </c>
      <c r="M21330" s="10" t="n"/>
    </row>
    <row r="21331">
      <c r="B21331" s="7" t="n">
        <v>21329</v>
      </c>
      <c r="C21331" t="inlineStr">
        <is>
          <t>KỸ SƯ CHUYÊN NGÀNH CƠ</t>
        </is>
      </c>
      <c r="D21331" t="inlineStr">
        <is>
          <t>Công ty Dịch vụ sửa chữa các nhà máy điện EVNGENCO 3</t>
        </is>
      </c>
      <c r="E21331" t="inlineStr">
        <is>
          <t>Lương:Cạnh tranh</t>
        </is>
      </c>
      <c r="F21331" t="inlineStr">
        <is>
          <t>Bình Thuận</t>
        </is>
      </c>
      <c r="G21331" t="inlineStr">
        <is>
          <t>1</t>
        </is>
      </c>
      <c r="H21331" t="inlineStr">
        <is>
          <t>18/03/2026</t>
        </is>
      </c>
      <c r="I21331" t="inlineStr">
        <is>
          <t>17/03/2026</t>
        </is>
      </c>
      <c r="J21331" t="inlineStr">
        <is>
          <t>Điện / Điện tử / Điện lạnh / Điện công nghiệp</t>
        </is>
      </c>
      <c r="K21331" t="inlineStr">
        <is>
          <t>Trên 1 Năm</t>
        </is>
      </c>
      <c r="L21331" s="8">
        <f>HYPERLINK("https://careerviet.vn/vi/tim-viec-lam/ky-su-chuyen-nganh-co.35C63424.html","Xem chi tiết")</f>
        <v/>
      </c>
    </row>
    <row r="21332">
      <c r="B21332" s="9" t="n">
        <v>21330</v>
      </c>
      <c r="C21332" s="10" t="inlineStr">
        <is>
          <t>Quản Lý Vùng ETC (HỒ CHÍ MINH - TỈNH MỚI)</t>
        </is>
      </c>
      <c r="D21332" s="10" t="inlineStr">
        <is>
          <t>Công ty cổ phần Anvy</t>
        </is>
      </c>
      <c r="E21332" s="10" t="inlineStr">
        <is>
          <t>Lương:25 Tr - 40 Tr VND</t>
        </is>
      </c>
      <c r="F21332" s="10" t="inlineStr">
        <is>
          <t>Hồ Chí MinhBà Rịa - Vũng TàuBình Dương</t>
        </is>
      </c>
      <c r="G21332" s="10" t="inlineStr">
        <is>
          <t>1</t>
        </is>
      </c>
      <c r="H21332" s="10" t="inlineStr">
        <is>
          <t>18/03/2026</t>
        </is>
      </c>
      <c r="I21332" s="10" t="inlineStr">
        <is>
          <t>17/03/2026</t>
        </is>
      </c>
      <c r="J21332" s="10" t="inlineStr">
        <is>
          <t>Bán lẻ / Bán sỉ, Dược phẩm/ Hóa Mỹ Phẩm, Y tế / Chăm sóc sức khỏe / Thẩm mỹ / Làm đẹp</t>
        </is>
      </c>
      <c r="K21332" s="10" t="inlineStr">
        <is>
          <t>3 - 5 Năm</t>
        </is>
      </c>
      <c r="L21332" s="11">
        <f>HYPERLINK("https://careerviet.vn/vi/tim-viec-lam/quan-ly-vung-etc-ho-chi-minh-tinh-moi.35C6327D.html","Xem chi tiết")</f>
        <v/>
      </c>
      <c r="M21332" s="10" t="n"/>
    </row>
    <row r="21333">
      <c r="B21333" s="7" t="n">
        <v>21331</v>
      </c>
      <c r="C21333" t="inlineStr">
        <is>
          <t>Nhân viên Kho</t>
        </is>
      </c>
      <c r="D21333" t="inlineStr">
        <is>
          <t>Cty CP Clear Water Metal VN</t>
        </is>
      </c>
      <c r="E21333" t="inlineStr">
        <is>
          <t>Lương:9 Tr - 13 Tr VND</t>
        </is>
      </c>
      <c r="F21333" t="inlineStr">
        <is>
          <t>Bình Dương</t>
        </is>
      </c>
      <c r="G21333" t="inlineStr">
        <is>
          <t>1</t>
        </is>
      </c>
      <c r="H21333" t="inlineStr">
        <is>
          <t>18/03/2026</t>
        </is>
      </c>
      <c r="I21333" t="inlineStr">
        <is>
          <t>17/03/2026</t>
        </is>
      </c>
      <c r="J21333" t="inlineStr">
        <is>
          <t>Kế toán / Kiểm toán, Xuất nhập khẩu, Bán hàng / Kinh doanh</t>
        </is>
      </c>
      <c r="K21333" t="inlineStr">
        <is>
          <t>N/A</t>
        </is>
      </c>
      <c r="L21333" s="8">
        <f>HYPERLINK("https://careerviet.vn/vi/tim-viec-lam/nhan-vien-kho.35C63370.html","Xem chi tiết")</f>
        <v/>
      </c>
    </row>
    <row r="21334">
      <c r="B21334" s="9" t="n">
        <v>21332</v>
      </c>
      <c r="C21334" s="10" t="inlineStr">
        <is>
          <t>Senior Sales Planning Officer (Phân tích kinh doanh)</t>
        </is>
      </c>
      <c r="D21334" s="10" t="inlineStr">
        <is>
          <t>LOTTE FINANCE VIETNAM</t>
        </is>
      </c>
      <c r="E21334" s="10" t="inlineStr">
        <is>
          <t>Lương:Cạnh tranh</t>
        </is>
      </c>
      <c r="F21334" s="10" t="inlineStr">
        <is>
          <t>Hà Nội</t>
        </is>
      </c>
      <c r="G21334" s="10" t="inlineStr">
        <is>
          <t>1</t>
        </is>
      </c>
      <c r="H21334" s="10" t="inlineStr">
        <is>
          <t>18/03/2026</t>
        </is>
      </c>
      <c r="I21334" s="10" t="inlineStr">
        <is>
          <t>17/03/2026</t>
        </is>
      </c>
      <c r="J21334" s="10" t="inlineStr">
        <is>
          <t>Bán hàng / Kinh doanh</t>
        </is>
      </c>
      <c r="K21334" s="10" t="inlineStr">
        <is>
          <t>Trên 3 Năm</t>
        </is>
      </c>
      <c r="L21334" s="11">
        <f>HYPERLINK("https://careerviet.vn/vi/tim-viec-lam/senior-sales-planning-officer-phan-tich-kinh-doanh.35C633B9.html","Xem chi tiết")</f>
        <v/>
      </c>
      <c r="M21334" s="10" t="n"/>
    </row>
    <row r="21335">
      <c r="B21335" s="7" t="n">
        <v>21333</v>
      </c>
      <c r="C21335" t="inlineStr">
        <is>
          <t>General Accountant</t>
        </is>
      </c>
      <c r="D21335" t="inlineStr">
        <is>
          <t>Công Ty CP Dược Phẩm Pharmacity</t>
        </is>
      </c>
      <c r="E21335" t="inlineStr">
        <is>
          <t>Lương:Cạnh tranh</t>
        </is>
      </c>
      <c r="F21335" t="inlineStr">
        <is>
          <t>Hồ Chí Minh</t>
        </is>
      </c>
      <c r="G21335" t="inlineStr">
        <is>
          <t>1</t>
        </is>
      </c>
      <c r="H21335" t="inlineStr">
        <is>
          <t>18/03/2026</t>
        </is>
      </c>
      <c r="I21335" t="inlineStr">
        <is>
          <t>17/03/2026</t>
        </is>
      </c>
      <c r="J21335" t="inlineStr">
        <is>
          <t>Bán lẻ / Bán sỉ, Kế toán / Kiểm toán</t>
        </is>
      </c>
      <c r="K21335" t="inlineStr">
        <is>
          <t>2 - 3 Năm</t>
        </is>
      </c>
      <c r="L21335" s="8">
        <f>HYPERLINK("https://careerviet.vn/vi/tim-viec-lam/general-accountant.35C63265.html","Xem chi tiết")</f>
        <v/>
      </c>
    </row>
    <row r="21336">
      <c r="B21336" s="9" t="n">
        <v>21334</v>
      </c>
      <c r="C21336" s="10" t="inlineStr">
        <is>
          <t>Tư vấn bán hàng - Đà Nẵng</t>
        </is>
      </c>
      <c r="D21336" s="10" t="inlineStr">
        <is>
          <t>Công ty CP Toshiko Việt Nam</t>
        </is>
      </c>
      <c r="E21336" s="10" t="inlineStr">
        <is>
          <t>Lương:10 Tr - 15 Tr VND</t>
        </is>
      </c>
      <c r="F21336" s="10" t="inlineStr">
        <is>
          <t>Đà Nẵng</t>
        </is>
      </c>
      <c r="G21336" s="10" t="inlineStr">
        <is>
          <t>1</t>
        </is>
      </c>
      <c r="H21336" s="10" t="inlineStr">
        <is>
          <t>18/03/2026</t>
        </is>
      </c>
      <c r="I21336" s="10" t="inlineStr">
        <is>
          <t>17/03/2026</t>
        </is>
      </c>
      <c r="J21336" s="10" t="inlineStr">
        <is>
          <t>Bán lẻ / Bán sỉ, Bán hàng / Kinh doanh, Tư vấn</t>
        </is>
      </c>
      <c r="K21336" s="10" t="inlineStr">
        <is>
          <t>1 - 2 Năm</t>
        </is>
      </c>
      <c r="L21336" s="11">
        <f>HYPERLINK("https://careerviet.vn/vi/tim-viec-lam/tu-van-ban-hang-da-nang.35C65E1B.html","Xem chi tiết")</f>
        <v/>
      </c>
      <c r="M21336" s="10" t="n"/>
    </row>
    <row r="21337">
      <c r="B21337" s="7" t="n">
        <v>21335</v>
      </c>
      <c r="C21337" t="inlineStr">
        <is>
          <t>NHÂN VIÊN MUA HÀNG (LAI VUNG - ĐỒNG THÁP)</t>
        </is>
      </c>
      <c r="D21337" t="inlineStr">
        <is>
          <t>CÔNG TY TNHH ĐẦU TƯ ITS</t>
        </is>
      </c>
      <c r="E21337" t="inlineStr">
        <is>
          <t>Lương:Cạnh tranh</t>
        </is>
      </c>
      <c r="F21337" t="inlineStr">
        <is>
          <t>Đồng Tháp</t>
        </is>
      </c>
      <c r="G21337" t="inlineStr">
        <is>
          <t>1</t>
        </is>
      </c>
      <c r="H21337" t="inlineStr">
        <is>
          <t>18/03/2026</t>
        </is>
      </c>
      <c r="I21337" t="inlineStr">
        <is>
          <t>17/03/2026</t>
        </is>
      </c>
      <c r="J21337" t="inlineStr">
        <is>
          <t>Nông nghiệp, Thu mua / Vật tư</t>
        </is>
      </c>
      <c r="K21337" t="inlineStr">
        <is>
          <t>Trên 2 Năm</t>
        </is>
      </c>
      <c r="L21337" s="8">
        <f>HYPERLINK("https://careerviet.vn/vi/tim-viec-lam/nhan-vien-mua-hang-lai-vung-dong-thap.35C65DDB.html","Xem chi tiết")</f>
        <v/>
      </c>
    </row>
    <row r="21338">
      <c r="B21338" s="9" t="n">
        <v>21336</v>
      </c>
      <c r="C21338" s="10" t="inlineStr">
        <is>
          <t>NHÂN VIÊN ĐẢM BẢO CHẤT LƯỢNG QA</t>
        </is>
      </c>
      <c r="D21338" s="10" t="inlineStr">
        <is>
          <t>CÔNG TY TNHH NITTO DENSEN KOGYO VIỆT NAM</t>
        </is>
      </c>
      <c r="E21338" s="10" t="inlineStr">
        <is>
          <t>Lương:12 Tr - 14 Tr VND</t>
        </is>
      </c>
      <c r="F21338" s="10" t="inlineStr">
        <is>
          <t>Đồng Nai</t>
        </is>
      </c>
      <c r="G21338" s="10" t="inlineStr">
        <is>
          <t>1</t>
        </is>
      </c>
      <c r="H21338" s="10" t="inlineStr">
        <is>
          <t>18/03/2026</t>
        </is>
      </c>
      <c r="I21338" s="10" t="inlineStr">
        <is>
          <t>17/03/2026</t>
        </is>
      </c>
      <c r="J21338" s="10" t="inlineStr">
        <is>
          <t>Cơ khí / Ô tô / Tự động hóa</t>
        </is>
      </c>
      <c r="K21338" s="10" t="inlineStr">
        <is>
          <t>1 - 2 Năm</t>
        </is>
      </c>
      <c r="L21338" s="11">
        <f>HYPERLINK("https://careerviet.vn/vi/tim-viec-lam/nhan-vien-dam-bao-chat-luong-qa.35C65E3D.html","Xem chi tiết")</f>
        <v/>
      </c>
      <c r="M21338" s="10" t="n"/>
    </row>
    <row r="21339">
      <c r="B21339" s="7" t="n">
        <v>21337</v>
      </c>
      <c r="C21339" t="inlineStr">
        <is>
          <t>Customer Service Flight Ticket</t>
        </is>
      </c>
      <c r="D21339" t="inlineStr">
        <is>
          <t>CÔNG TY TNHH DỊCH VỤ RENRUI VIỆT NAM</t>
        </is>
      </c>
      <c r="E21339" t="inlineStr">
        <is>
          <t>Lương:11 Tr - 13 Tr VND</t>
        </is>
      </c>
      <c r="F21339" t="inlineStr">
        <is>
          <t>Hồ Chí Minh</t>
        </is>
      </c>
      <c r="G21339" t="inlineStr">
        <is>
          <t>1</t>
        </is>
      </c>
      <c r="H21339" t="inlineStr">
        <is>
          <t>18/03/2026</t>
        </is>
      </c>
      <c r="I21339" t="inlineStr">
        <is>
          <t>17/03/2026</t>
        </is>
      </c>
      <c r="J21339" t="inlineStr">
        <is>
          <t>Dịch vụ khách hàng, Hành chính / Thư ký, Du lịch</t>
        </is>
      </c>
      <c r="K21339" t="inlineStr">
        <is>
          <t>Lên đến 1 Năm</t>
        </is>
      </c>
      <c r="L21339" s="8">
        <f>HYPERLINK("https://careerviet.vn/vi/tim-viec-lam/customer-service-flight-ticket.35C63217.html","Xem chi tiết")</f>
        <v/>
      </c>
    </row>
    <row r="21340">
      <c r="B21340" s="9" t="n">
        <v>21338</v>
      </c>
      <c r="C21340" s="10" t="inlineStr">
        <is>
          <t>Chuyên viên Mua hàng</t>
        </is>
      </c>
      <c r="D21340" s="10" t="inlineStr">
        <is>
          <t>CÔNG TY CỔ PHẦN THIẾT KẾ VÀ XÂY DỰNG ONECONS</t>
        </is>
      </c>
      <c r="E21340" s="10" t="inlineStr">
        <is>
          <t>Lương:Cạnh tranh</t>
        </is>
      </c>
      <c r="F21340" s="10" t="inlineStr">
        <is>
          <t>Hồ Chí Minh</t>
        </is>
      </c>
      <c r="G21340" s="10" t="inlineStr">
        <is>
          <t>1</t>
        </is>
      </c>
      <c r="H21340" s="10" t="inlineStr">
        <is>
          <t>18/03/2026</t>
        </is>
      </c>
      <c r="I21340" s="10" t="inlineStr">
        <is>
          <t>17/03/2026</t>
        </is>
      </c>
      <c r="J21340" s="10" t="inlineStr">
        <is>
          <t>Thu mua / Vật tư, Kiến trúc, Xây dựng</t>
        </is>
      </c>
      <c r="K21340" s="10" t="inlineStr">
        <is>
          <t>3 - 5 Năm</t>
        </is>
      </c>
      <c r="L21340" s="11">
        <f>HYPERLINK("https://careerviet.vn/vi/tim-viec-lam/chuyen-vien-mua-hang.35C65DE9.html","Xem chi tiết")</f>
        <v/>
      </c>
      <c r="M21340" s="10" t="n"/>
    </row>
    <row r="21341">
      <c r="B21341" s="7" t="n">
        <v>21339</v>
      </c>
      <c r="C21341" t="inlineStr">
        <is>
          <t>Nhân viên vận hành sàn TMĐT</t>
        </is>
      </c>
      <c r="D21341" t="inlineStr">
        <is>
          <t>Công ty TNHH Bình Việt Đức (BIVID)</t>
        </is>
      </c>
      <c r="E21341" t="inlineStr">
        <is>
          <t>Lương:12 Tr - 15 Tr VND</t>
        </is>
      </c>
      <c r="F21341" t="inlineStr">
        <is>
          <t>Hồ Chí Minh</t>
        </is>
      </c>
      <c r="G21341" t="inlineStr">
        <is>
          <t>1</t>
        </is>
      </c>
      <c r="H21341" t="inlineStr">
        <is>
          <t>18/03/2026</t>
        </is>
      </c>
      <c r="I21341" t="inlineStr">
        <is>
          <t>17/03/2026</t>
        </is>
      </c>
      <c r="J21341" t="inlineStr">
        <is>
          <t>Bán hàng / Kinh doanh, Y tế / Chăm sóc sức khỏe / Thẩm mỹ / Làm đẹp, Thực phẩm &amp; Đồ uống</t>
        </is>
      </c>
      <c r="K21341" t="inlineStr">
        <is>
          <t>1 - 3 Năm</t>
        </is>
      </c>
      <c r="L21341" s="8">
        <f>HYPERLINK("https://careerviet.vn/vi/tim-viec-lam/nhan-vien-van-hanh-san-tmdt.35C633CF.html","Xem chi tiết")</f>
        <v/>
      </c>
    </row>
    <row r="21342">
      <c r="B21342" s="9" t="n">
        <v>21340</v>
      </c>
      <c r="C21342" s="10" t="inlineStr">
        <is>
          <t>CÔNG NHÂN CHUYÊN NGÀNH ĐIỆN</t>
        </is>
      </c>
      <c r="D21342" s="10" t="inlineStr">
        <is>
          <t>Công ty Dịch vụ sửa chữa các nhà máy điện EVNGENCO 3</t>
        </is>
      </c>
      <c r="E21342" s="10" t="inlineStr">
        <is>
          <t>Lương:Cạnh tranh</t>
        </is>
      </c>
      <c r="F21342" s="10" t="inlineStr">
        <is>
          <t>Quảng Ninh</t>
        </is>
      </c>
      <c r="G21342" s="10" t="inlineStr">
        <is>
          <t>1</t>
        </is>
      </c>
      <c r="H21342" s="10" t="inlineStr">
        <is>
          <t>18/03/2026</t>
        </is>
      </c>
      <c r="I21342" s="10" t="inlineStr">
        <is>
          <t>17/03/2026</t>
        </is>
      </c>
      <c r="J21342" s="10" t="inlineStr">
        <is>
          <t>Điện / Điện tử / Điện lạnh / Điện công nghiệp</t>
        </is>
      </c>
      <c r="K21342" s="10" t="inlineStr">
        <is>
          <t>Trên 1 Năm</t>
        </is>
      </c>
      <c r="L21342" s="11">
        <f>HYPERLINK("https://careerviet.vn/vi/tim-viec-lam/cong-nhan-chuyen-nganh-dien.35C63426.html","Xem chi tiết")</f>
        <v/>
      </c>
      <c r="M21342" s="10" t="n"/>
    </row>
    <row r="21343">
      <c r="B21343" s="7" t="n">
        <v>21341</v>
      </c>
      <c r="C21343" t="inlineStr">
        <is>
          <t>Giám đốc Quản lý dự án sản xuất | Project Manufacturing Engineer Lead</t>
        </is>
      </c>
      <c r="D21343" t="inlineStr">
        <is>
          <t>Công ty TNHH Giầy Chingluh Việt Nam</t>
        </is>
      </c>
      <c r="E21343" t="inlineStr">
        <is>
          <t>Lương:Cạnh tranh</t>
        </is>
      </c>
      <c r="F21343" t="inlineStr">
        <is>
          <t>Long An</t>
        </is>
      </c>
      <c r="G21343" t="inlineStr">
        <is>
          <t>1</t>
        </is>
      </c>
      <c r="H21343" t="inlineStr">
        <is>
          <t>18/03/2026</t>
        </is>
      </c>
      <c r="I21343" t="inlineStr">
        <is>
          <t>17/03/2026</t>
        </is>
      </c>
      <c r="J21343" t="inlineStr">
        <is>
          <t>Quản lý điều hành, Sản xuất / Vận hành sản xuất, Dệt may / Da giày / Thời trang</t>
        </is>
      </c>
      <c r="K21343" t="inlineStr">
        <is>
          <t>5 - 8 Năm</t>
        </is>
      </c>
      <c r="L21343" s="8">
        <f>HYPERLINK("https://careerviet.vn/vi/tim-viec-lam/giam-doc-quan-ly-du-an-san-xuat-project-manufacturing-engineer-lead.35C63233.html","Xem chi tiết")</f>
        <v/>
      </c>
    </row>
    <row r="21344">
      <c r="B21344" s="9" t="n">
        <v>21342</v>
      </c>
      <c r="C21344" s="10" t="inlineStr">
        <is>
          <t>Quản lý thu mua nguyên vật liệu</t>
        </is>
      </c>
      <c r="D21344" s="10" t="inlineStr">
        <is>
          <t>Công ty TNHH Giày Apache Việt Nam</t>
        </is>
      </c>
      <c r="E21344" s="10" t="inlineStr">
        <is>
          <t>Lương:14 Tr - 20 Tr VND</t>
        </is>
      </c>
      <c r="F21344" s="10" t="inlineStr">
        <is>
          <t>Tiền Giang</t>
        </is>
      </c>
      <c r="G21344" s="10" t="inlineStr">
        <is>
          <t>2</t>
        </is>
      </c>
      <c r="H21344" s="10" t="inlineStr">
        <is>
          <t>18/03/2026</t>
        </is>
      </c>
      <c r="I21344" s="10" t="inlineStr">
        <is>
          <t>17/03/2026</t>
        </is>
      </c>
      <c r="J21344" s="10" t="inlineStr">
        <is>
          <t>Dệt may / Da giày / Thời trang, Thu mua / Vật tư, Ngành khác</t>
        </is>
      </c>
      <c r="K21344" s="10" t="inlineStr">
        <is>
          <t>1 - 10 Năm</t>
        </is>
      </c>
      <c r="L21344" s="11">
        <f>HYPERLINK("https://careerviet.vn/vi/tim-viec-lam/quan-ly-thu-mua-nguyen-vat-lieu.35C65E5C.html","Xem chi tiết")</f>
        <v/>
      </c>
      <c r="M21344" s="10" t="n"/>
    </row>
    <row r="21345">
      <c r="B21345" s="7" t="n">
        <v>21343</v>
      </c>
      <c r="C21345" t="inlineStr">
        <is>
          <t>Chuyên Viên Kinh Doanh (Ngành Cơ Khí Chính Xác)</t>
        </is>
      </c>
      <c r="D21345" t="inlineStr">
        <is>
          <t>CÔNG TY TNHH ANH NGHĨA ANCL</t>
        </is>
      </c>
      <c r="E21345" t="inlineStr">
        <is>
          <t>Lương:Cạnh tranh</t>
        </is>
      </c>
      <c r="F21345" t="inlineStr">
        <is>
          <t>Đồng Nai</t>
        </is>
      </c>
      <c r="G21345" t="inlineStr">
        <is>
          <t>1</t>
        </is>
      </c>
      <c r="H21345" t="inlineStr">
        <is>
          <t>18/03/2026</t>
        </is>
      </c>
      <c r="I21345" t="inlineStr">
        <is>
          <t>17/03/2026</t>
        </is>
      </c>
      <c r="J21345" t="inlineStr">
        <is>
          <t>Cơ khí / Ô tô / Tự động hóa, Bán hàng / Kinh doanh, Bán Hàng Kỹ Thuật</t>
        </is>
      </c>
      <c r="K21345" t="inlineStr">
        <is>
          <t>1 - 2 Năm</t>
        </is>
      </c>
      <c r="L21345" s="8">
        <f>HYPERLINK("https://careerviet.vn/vi/tim-viec-lam/chuyen-vien-kinh-doanh-nganh-co-khi-chinh-xac.35C631B2.html","Xem chi tiết")</f>
        <v/>
      </c>
    </row>
    <row r="21346">
      <c r="B21346" s="9" t="n">
        <v>21344</v>
      </c>
      <c r="C21346" s="10" t="inlineStr">
        <is>
          <t>NHÂN VIÊN KHO DƯỢC HỖ TRỢ CỤM QUẬN 7</t>
        </is>
      </c>
      <c r="D21346" s="10" t="inlineStr">
        <is>
          <t>Công Ty Cổ Phần Vacxin Việt Nam</t>
        </is>
      </c>
      <c r="E21346" s="10" t="inlineStr">
        <is>
          <t>Lương:7 Tr - 9 Tr VND</t>
        </is>
      </c>
      <c r="F21346" s="10" t="inlineStr">
        <is>
          <t>Hồ Chí Minh</t>
        </is>
      </c>
      <c r="G21346" s="10" t="inlineStr">
        <is>
          <t>1</t>
        </is>
      </c>
      <c r="H21346" s="10" t="inlineStr">
        <is>
          <t>18/03/2026</t>
        </is>
      </c>
      <c r="I21346" s="10" t="inlineStr">
        <is>
          <t>17/03/2026</t>
        </is>
      </c>
      <c r="J21346" s="10" t="inlineStr">
        <is>
          <t>Dược phẩm/ Hóa Mỹ Phẩm, Y tế / Chăm sóc sức khỏe / Thẩm mỹ / Làm đẹp, Vận chuyển / Giao nhận / Kho vận</t>
        </is>
      </c>
      <c r="K21346" s="10" t="inlineStr">
        <is>
          <t>N/A</t>
        </is>
      </c>
      <c r="L21346" s="11">
        <f>HYPERLINK("https://careerviet.vn/vi/tim-viec-lam/nhan-vien-kho-duoc-ho-tro-cum-quan-7.35C65DF2.html","Xem chi tiết")</f>
        <v/>
      </c>
      <c r="M21346" s="10" t="n"/>
    </row>
    <row r="21347">
      <c r="B21347" s="7" t="n">
        <v>21345</v>
      </c>
      <c r="C21347" t="inlineStr">
        <is>
          <t>Trưởng phòng Nghiệp Vụ (Sales Support Section Manager) - Tiếng Anh hoặc tiếng Trung</t>
        </is>
      </c>
      <c r="D21347" t="inlineStr">
        <is>
          <t>CÔNG TY TNHH ELECTRONIC TRIPOD VIỆT NAM (CHÂU ĐỨC)</t>
        </is>
      </c>
      <c r="E21347" t="inlineStr">
        <is>
          <t>Lương:Cạnh tranh</t>
        </is>
      </c>
      <c r="F21347" t="inlineStr">
        <is>
          <t>Bà Rịa - Vũng TàuĐồng Nai</t>
        </is>
      </c>
      <c r="G21347" t="inlineStr">
        <is>
          <t>1</t>
        </is>
      </c>
      <c r="H21347" t="inlineStr">
        <is>
          <t>18/03/2026</t>
        </is>
      </c>
      <c r="I21347" t="inlineStr">
        <is>
          <t>17/03/2026</t>
        </is>
      </c>
      <c r="J21347" t="inlineStr">
        <is>
          <t>Bán hàng / Kinh doanh, Xuất nhập khẩu, Thu mua / Vật tư</t>
        </is>
      </c>
      <c r="K21347" t="inlineStr">
        <is>
          <t>Chưa có kinh nghiệm</t>
        </is>
      </c>
      <c r="L21347" s="8">
        <f>HYPERLINK("https://careerviet.vn/vi/tim-viec-lam/truong-phong-nghiep-vu-sales-support-section-manager-tieng-anh-hoac-tieng-trung.35C63320.html","Xem chi tiết")</f>
        <v/>
      </c>
    </row>
    <row r="21348">
      <c r="B21348" s="9" t="n">
        <v>21346</v>
      </c>
      <c r="C21348" s="10" t="inlineStr">
        <is>
          <t>Thợ Hàn</t>
        </is>
      </c>
      <c r="D21348" s="10" t="inlineStr">
        <is>
          <t>Công ty TNHH Greystone Data Systems Việt Nam</t>
        </is>
      </c>
      <c r="E21348" s="10" t="inlineStr">
        <is>
          <t>Lương:8 Tr - 10 Tr VND</t>
        </is>
      </c>
      <c r="F21348" s="10" t="inlineStr">
        <is>
          <t>Hồ Chí Minh</t>
        </is>
      </c>
      <c r="G21348" s="10" t="inlineStr">
        <is>
          <t>1</t>
        </is>
      </c>
      <c r="H21348" s="10" t="inlineStr">
        <is>
          <t>18/03/2026</t>
        </is>
      </c>
      <c r="I21348" s="10" t="inlineStr">
        <is>
          <t>17/03/2026</t>
        </is>
      </c>
      <c r="J21348" s="10" t="inlineStr">
        <is>
          <t>Lao động phổ thông, Cơ khí / Ô tô / Tự động hóa, Bảo trì / Sửa chữa</t>
        </is>
      </c>
      <c r="K21348" s="10" t="inlineStr">
        <is>
          <t>N/A</t>
        </is>
      </c>
      <c r="L21348" s="11">
        <f>HYPERLINK("https://careerviet.vn/vi/tim-viec-lam/tho-han.35C62832.html","Xem chi tiết")</f>
        <v/>
      </c>
      <c r="M21348" s="10" t="n"/>
    </row>
    <row r="21349">
      <c r="B21349" s="7" t="n">
        <v>21347</v>
      </c>
      <c r="C21349" t="inlineStr">
        <is>
          <t>KỸ SƯ CHUYÊN NGÀNH ĐIỆN</t>
        </is>
      </c>
      <c r="D21349" t="inlineStr">
        <is>
          <t>Công ty Dịch vụ sửa chữa các nhà máy điện EVNGENCO 3</t>
        </is>
      </c>
      <c r="E21349" t="inlineStr">
        <is>
          <t>Lương:Cạnh tranh</t>
        </is>
      </c>
      <c r="F21349" t="inlineStr">
        <is>
          <t>Quảng Ninh</t>
        </is>
      </c>
      <c r="G21349" t="inlineStr">
        <is>
          <t>1</t>
        </is>
      </c>
      <c r="H21349" t="inlineStr">
        <is>
          <t>18/03/2026</t>
        </is>
      </c>
      <c r="I21349" t="inlineStr">
        <is>
          <t>17/03/2026</t>
        </is>
      </c>
      <c r="J21349" t="inlineStr">
        <is>
          <t>Điện / Điện tử / Điện lạnh / Điện công nghiệp</t>
        </is>
      </c>
      <c r="K21349" t="inlineStr">
        <is>
          <t>Trên 1 Năm</t>
        </is>
      </c>
      <c r="L21349" s="8">
        <f>HYPERLINK("https://careerviet.vn/vi/tim-viec-lam/ky-su-chuyen-nganh-dien.35C63425.html","Xem chi tiết")</f>
        <v/>
      </c>
    </row>
    <row r="21350">
      <c r="B21350" s="9" t="n">
        <v>21348</v>
      </c>
      <c r="C21350" s="10" t="inlineStr">
        <is>
          <t>[Chi nhánh Sóc Trăng] Trưởng bộ phận Khách hàng ưu tiên</t>
        </is>
      </c>
      <c r="D21350" s="10" t="inlineStr">
        <is>
          <t>Ngân hàng TMCP Đại Chúng Việt Nam - PVcomBank</t>
        </is>
      </c>
      <c r="E21350" s="10" t="inlineStr">
        <is>
          <t>Lương:Cạnh tranh</t>
        </is>
      </c>
      <c r="F21350" s="10" t="inlineStr">
        <is>
          <t>Sóc Trăng</t>
        </is>
      </c>
      <c r="G21350" s="10" t="inlineStr">
        <is>
          <t>2</t>
        </is>
      </c>
      <c r="H21350" s="10" t="inlineStr">
        <is>
          <t>19/03/2026</t>
        </is>
      </c>
      <c r="I21350" s="10" t="inlineStr">
        <is>
          <t>17/03/2026</t>
        </is>
      </c>
      <c r="J21350" s="10" t="inlineStr">
        <is>
          <t>Ngân hàng, Tài chính / Đầu tư</t>
        </is>
      </c>
      <c r="K21350" s="10" t="inlineStr">
        <is>
          <t>Trên 2 Năm</t>
        </is>
      </c>
      <c r="L21350" s="11">
        <f>HYPERLINK("https://careerviet.vn/vi/tim-viec-lam/chi-nhanh-soc-trang-truong-bo-phan-khach-hang-uu-tien.35C634DD.html","Xem chi tiết")</f>
        <v/>
      </c>
      <c r="M21350" s="10" t="n"/>
    </row>
    <row r="21351">
      <c r="B21351" s="7" t="n">
        <v>21349</v>
      </c>
      <c r="C21351" t="inlineStr">
        <is>
          <t>nhân viên chăm sóc khách hàng qua điện thoại</t>
        </is>
      </c>
      <c r="D21351" t="inlineStr">
        <is>
          <t>CÔNG TY TNHH DỊCH VỤ RENRUI VIỆT NAM</t>
        </is>
      </c>
      <c r="E21351" t="inlineStr">
        <is>
          <t>Lương:11 Tr - 13 Tr VND</t>
        </is>
      </c>
      <c r="F21351" t="inlineStr">
        <is>
          <t>Hồ Chí Minh</t>
        </is>
      </c>
      <c r="G21351" t="inlineStr">
        <is>
          <t>1</t>
        </is>
      </c>
      <c r="H21351" t="inlineStr">
        <is>
          <t>18/03/2026</t>
        </is>
      </c>
      <c r="I21351" t="inlineStr">
        <is>
          <t>17/03/2026</t>
        </is>
      </c>
      <c r="J21351" t="inlineStr">
        <is>
          <t>Dịch vụ khách hàng, Hành chính / Thư ký, Du lịch</t>
        </is>
      </c>
      <c r="K21351" t="inlineStr">
        <is>
          <t>Lên đến 1 Năm</t>
        </is>
      </c>
      <c r="L21351" s="8">
        <f>HYPERLINK("https://careerviet.vn/vi/tim-viec-lam/nhan-vien-cham-soc-khach-hang-qua-dien-thoai.35C6326D.html","Xem chi tiết")</f>
        <v/>
      </c>
    </row>
    <row r="21352">
      <c r="B21352" s="9" t="n">
        <v>21350</v>
      </c>
      <c r="C21352" s="10" t="inlineStr">
        <is>
          <t>[Beta Bắc Giang] Giám Sát Rạp Phim</t>
        </is>
      </c>
      <c r="D21352" s="10" t="inlineStr">
        <is>
          <t>Beta Group</t>
        </is>
      </c>
      <c r="E21352" s="10" t="inlineStr">
        <is>
          <t>Lương:8 Tr - 10 Tr VND</t>
        </is>
      </c>
      <c r="F21352" s="10" t="inlineStr">
        <is>
          <t>Bắc Giang</t>
        </is>
      </c>
      <c r="G21352" s="10" t="inlineStr">
        <is>
          <t>2</t>
        </is>
      </c>
      <c r="H21352" s="10" t="inlineStr">
        <is>
          <t>19/03/2026</t>
        </is>
      </c>
      <c r="I21352" s="10" t="inlineStr">
        <is>
          <t>17/03/2026</t>
        </is>
      </c>
      <c r="J21352" s="10" t="inlineStr">
        <is>
          <t>Dịch vụ khách hàng, Quản lý điều hành, Nhà hàng / Khách sạn</t>
        </is>
      </c>
      <c r="K21352" s="10" t="inlineStr">
        <is>
          <t>1 - 3 Năm</t>
        </is>
      </c>
      <c r="L21352" s="11">
        <f>HYPERLINK("https://careerviet.vn/vi/tim-viec-lam/beta-bac-giang-giam-sat-rap-phim.35C634BB.html","Xem chi tiết")</f>
        <v/>
      </c>
      <c r="M21352" s="10" t="n"/>
    </row>
    <row r="21353">
      <c r="B21353" s="7" t="n">
        <v>21351</v>
      </c>
      <c r="C21353" t="inlineStr">
        <is>
          <t>Senior Fullstack Developer (C#, .Net)</t>
        </is>
      </c>
      <c r="D21353" t="inlineStr">
        <is>
          <t>Concung.com - Con Cung Joint Stock Company</t>
        </is>
      </c>
      <c r="E21353" t="inlineStr">
        <is>
          <t>Lương:Cạnh tranh</t>
        </is>
      </c>
      <c r="F21353" t="inlineStr">
        <is>
          <t>Hồ Chí Minh</t>
        </is>
      </c>
      <c r="G21353" t="inlineStr">
        <is>
          <t>1</t>
        </is>
      </c>
      <c r="H21353" t="inlineStr">
        <is>
          <t>18/03/2026</t>
        </is>
      </c>
      <c r="I21353" t="inlineStr">
        <is>
          <t>17/03/2026</t>
        </is>
      </c>
      <c r="J21353" t="inlineStr">
        <is>
          <t>Bán lẻ / Bán sỉ, CNTT - Phần mềm, CNTT - Phần cứng / Mạng</t>
        </is>
      </c>
      <c r="K21353" t="inlineStr">
        <is>
          <t>2 - 3 Năm</t>
        </is>
      </c>
      <c r="L21353" s="8">
        <f>HYPERLINK("https://careerviet.vn/vi/tim-viec-lam/senior-fullstack-developer-c-net.35C65E35.html","Xem chi tiết")</f>
        <v/>
      </c>
    </row>
    <row r="21354">
      <c r="B21354" s="9" t="n">
        <v>21352</v>
      </c>
      <c r="C21354" s="10" t="inlineStr">
        <is>
          <t>Phó vận hành máy Ghép màng  (Assistant Machine Leader)</t>
        </is>
      </c>
      <c r="D21354" s="10" t="inlineStr">
        <is>
          <t>Huhtamaki (Vietnam) Ltd.</t>
        </is>
      </c>
      <c r="E21354" s="10" t="inlineStr">
        <is>
          <t>Lương:Cạnh tranh</t>
        </is>
      </c>
      <c r="F21354" s="10" t="inlineStr">
        <is>
          <t>Bình Dương</t>
        </is>
      </c>
      <c r="G21354" s="10" t="inlineStr">
        <is>
          <t>2</t>
        </is>
      </c>
      <c r="H21354" s="10" t="inlineStr">
        <is>
          <t>19/03/2026</t>
        </is>
      </c>
      <c r="I21354" s="10" t="inlineStr">
        <is>
          <t>17/03/2026</t>
        </is>
      </c>
      <c r="J21354" s="10" t="inlineStr">
        <is>
          <t>Cơ khí / Ô tô / Tự động hóa, Sản xuất / Vận hành sản xuất, In ấn / Xuất bản</t>
        </is>
      </c>
      <c r="K21354" s="10" t="inlineStr">
        <is>
          <t>1 - 3 Năm</t>
        </is>
      </c>
      <c r="L21354" s="11">
        <f>HYPERLINK("https://careerviet.vn/vi/tim-viec-lam/pho-van-hanh-may-ghep-mang-assistant-machine-leader.35C63506.html","Xem chi tiết")</f>
        <v/>
      </c>
      <c r="M21354" s="10" t="n"/>
    </row>
    <row r="21355">
      <c r="B21355" s="7" t="n">
        <v>21353</v>
      </c>
      <c r="C21355" t="inlineStr">
        <is>
          <t>CHUYÊN VIÊN GIÁM SÁT ĐIỆN</t>
        </is>
      </c>
      <c r="D21355" t="inlineStr">
        <is>
          <t>Công ty Cổ phần Tây An</t>
        </is>
      </c>
      <c r="E21355" t="inlineStr">
        <is>
          <t>Lương:20 Tr - 25 Tr VND</t>
        </is>
      </c>
      <c r="F21355" t="inlineStr">
        <is>
          <t>Nghệ An</t>
        </is>
      </c>
      <c r="G21355" t="inlineStr">
        <is>
          <t>1</t>
        </is>
      </c>
      <c r="H21355" t="inlineStr">
        <is>
          <t>18/03/2026</t>
        </is>
      </c>
      <c r="I21355" t="inlineStr">
        <is>
          <t>17/03/2026</t>
        </is>
      </c>
      <c r="J21355" t="inlineStr">
        <is>
          <t>Kiến trúc, Xây dựng, Bất động sản</t>
        </is>
      </c>
      <c r="K21355" t="inlineStr">
        <is>
          <t>2 - 5 Năm</t>
        </is>
      </c>
      <c r="L21355" s="8">
        <f>HYPERLINK("https://careerviet.vn/vi/tim-viec-lam/chuyen-vien-giam-sat-dien.35C65DEF.html","Xem chi tiết")</f>
        <v/>
      </c>
    </row>
    <row r="21356">
      <c r="B21356" s="9" t="n">
        <v>21354</v>
      </c>
      <c r="C21356" s="10" t="inlineStr">
        <is>
          <t>[CN Sóc Trăng] Chuyên viên Khách hàng Doanh nghiệp siêu nhỏ</t>
        </is>
      </c>
      <c r="D21356" s="10" t="inlineStr">
        <is>
          <t>Ngân hàng TMCP Đại Chúng Việt Nam - PVcomBank</t>
        </is>
      </c>
      <c r="E21356" s="10" t="inlineStr">
        <is>
          <t>Lương:15 Tr - 30 Tr VND</t>
        </is>
      </c>
      <c r="F21356" s="10" t="inlineStr">
        <is>
          <t>Sóc TrăngKV Đông Nam Bộ</t>
        </is>
      </c>
      <c r="G21356" s="10" t="inlineStr">
        <is>
          <t>2</t>
        </is>
      </c>
      <c r="H21356" s="10" t="inlineStr">
        <is>
          <t>19/03/2026</t>
        </is>
      </c>
      <c r="I21356" s="10" t="inlineStr">
        <is>
          <t>17/03/2026</t>
        </is>
      </c>
      <c r="J21356" s="10" t="inlineStr">
        <is>
          <t>Bán hàng / Kinh doanh, Ngân hàng, Tài chính / Đầu tư</t>
        </is>
      </c>
      <c r="K21356" s="10" t="inlineStr">
        <is>
          <t>Trên 1 Năm</t>
        </is>
      </c>
      <c r="L21356" s="11">
        <f>HYPERLINK("https://careerviet.vn/vi/tim-viec-lam/cn-soc-trang-chuyen-vien-khach-hang-doanh-nghiep-sieu-nho.35C634D7.html","Xem chi tiết")</f>
        <v/>
      </c>
      <c r="M21356" s="10" t="n"/>
    </row>
    <row r="21357">
      <c r="B21357" s="7" t="n">
        <v>21355</v>
      </c>
      <c r="C21357" t="inlineStr">
        <is>
          <t>[Miền Trung] Chuyên Viên Tư Vấn Trả Góp Ô Tô</t>
        </is>
      </c>
      <c r="D21357" t="inlineStr">
        <is>
          <t>Công Ty Tài Chính Mirae Asset (Việt Nam)</t>
        </is>
      </c>
      <c r="E21357" t="inlineStr">
        <is>
          <t>Lương:Cạnh tranh</t>
        </is>
      </c>
      <c r="F21357" t="inlineStr">
        <is>
          <t>KV Nam Trung Bộ</t>
        </is>
      </c>
      <c r="G21357" t="inlineStr">
        <is>
          <t>2</t>
        </is>
      </c>
      <c r="H21357" t="inlineStr">
        <is>
          <t>19/03/2026</t>
        </is>
      </c>
      <c r="I21357" t="inlineStr">
        <is>
          <t>17/03/2026</t>
        </is>
      </c>
      <c r="J21357" t="inlineStr">
        <is>
          <t>Bán hàng / Kinh doanh, Tài chính / Đầu tư, Ngân hàng</t>
        </is>
      </c>
      <c r="K21357" t="inlineStr">
        <is>
          <t>Trên 1 Năm</t>
        </is>
      </c>
      <c r="L21357" s="8">
        <f>HYPERLINK("https://careerviet.vn/vi/tim-viec-lam/mien-trung-chuyen-vien-tu-van-tra-gop-o-to.35C6349C.html","Xem chi tiết")</f>
        <v/>
      </c>
    </row>
    <row r="21358">
      <c r="B21358" s="9" t="n">
        <v>21356</v>
      </c>
      <c r="C21358" s="10" t="inlineStr">
        <is>
          <t>Chuyên viên Phân tích dữ liệu Kinh doanh (Data Analyst)</t>
        </is>
      </c>
      <c r="D21358" s="10" t="inlineStr">
        <is>
          <t>CÔNG TY CỔ PHẦN XUẤT NHẬP KHẨU VÀ THƯƠNG MẠI FOREVER</t>
        </is>
      </c>
      <c r="E21358" s="10" t="inlineStr">
        <is>
          <t>Lương:15 Tr - 25 Tr VND</t>
        </is>
      </c>
      <c r="F21358" s="10" t="inlineStr">
        <is>
          <t>Hà Nội</t>
        </is>
      </c>
      <c r="G21358" s="10" t="inlineStr">
        <is>
          <t>2</t>
        </is>
      </c>
      <c r="H21358" s="10" t="inlineStr">
        <is>
          <t>19/03/2026</t>
        </is>
      </c>
      <c r="I21358" s="10" t="inlineStr">
        <is>
          <t>17/03/2026</t>
        </is>
      </c>
      <c r="J21358" s="10" t="inlineStr">
        <is>
          <t>Tiếp thị / Marketing, CNTT - Phần mềm, Quảng cáo / Đối ngoại / Truyền Thông</t>
        </is>
      </c>
      <c r="K21358" s="10" t="inlineStr">
        <is>
          <t>Trên 3 Năm</t>
        </is>
      </c>
      <c r="L21358" s="11">
        <f>HYPERLINK("https://careerviet.vn/vi/tim-viec-lam/chuyen-vien-phan-tich-du-lieu-kinh-doanh-data-analyst.35C63482.html","Xem chi tiết")</f>
        <v/>
      </c>
      <c r="M21358" s="10" t="n"/>
    </row>
    <row r="21359">
      <c r="B21359" s="7" t="n">
        <v>21357</v>
      </c>
      <c r="C21359" t="inlineStr">
        <is>
          <t>CHUYÊN VIÊN KIỂM TOÁN</t>
        </is>
      </c>
      <c r="D21359" t="inlineStr">
        <is>
          <t>Công Ty TNHH J.G</t>
        </is>
      </c>
      <c r="E21359" t="inlineStr">
        <is>
          <t>Lương:Cạnh tranh</t>
        </is>
      </c>
      <c r="F21359" t="inlineStr">
        <is>
          <t>Hồ Chí Minh</t>
        </is>
      </c>
      <c r="G21359" t="inlineStr">
        <is>
          <t>2</t>
        </is>
      </c>
      <c r="H21359" t="inlineStr">
        <is>
          <t>19/03/2026</t>
        </is>
      </c>
      <c r="I21359" t="inlineStr">
        <is>
          <t>17/03/2026</t>
        </is>
      </c>
      <c r="J21359" t="inlineStr">
        <is>
          <t>Kế toán / Kiểm toán, Tài chính / Đầu tư, Xây dựng</t>
        </is>
      </c>
      <c r="K21359" t="inlineStr">
        <is>
          <t>5 - 7 Năm</t>
        </is>
      </c>
      <c r="L21359" s="8">
        <f>HYPERLINK("https://careerviet.vn/vi/tim-viec-lam/chuyen-vien-kiem-toan.35C63483.html","Xem chi tiết")</f>
        <v/>
      </c>
    </row>
    <row r="21360">
      <c r="B21360" s="9" t="n">
        <v>21358</v>
      </c>
      <c r="C21360" s="10" t="inlineStr">
        <is>
          <t>Chuyên Viên Retail Marketing</t>
        </is>
      </c>
      <c r="D21360" s="10" t="inlineStr">
        <is>
          <t>Tập Đoàn Karofi Holding</t>
        </is>
      </c>
      <c r="E21360" s="10" t="inlineStr">
        <is>
          <t>Lương:12 Tr - 16 Tr VND</t>
        </is>
      </c>
      <c r="F21360" s="10" t="inlineStr">
        <is>
          <t>Hà Nội</t>
        </is>
      </c>
      <c r="G21360" s="10" t="inlineStr">
        <is>
          <t>2</t>
        </is>
      </c>
      <c r="H21360" s="10" t="inlineStr">
        <is>
          <t>19/03/2026</t>
        </is>
      </c>
      <c r="I21360" s="10" t="inlineStr">
        <is>
          <t>17/03/2026</t>
        </is>
      </c>
      <c r="J21360" s="10" t="inlineStr">
        <is>
          <t>Quảng cáo / Đối ngoại / Truyền Thông, Tiếp thị / Marketing</t>
        </is>
      </c>
      <c r="K21360" s="10" t="inlineStr">
        <is>
          <t>1 - 2 Năm</t>
        </is>
      </c>
      <c r="L21360" s="11">
        <f>HYPERLINK("https://careerviet.vn/vi/tim-viec-lam/chuyen-vien-retail-marketing.35C63457.html","Xem chi tiết")</f>
        <v/>
      </c>
      <c r="M21360" s="10" t="n"/>
    </row>
    <row r="21361">
      <c r="B21361" s="7" t="n">
        <v>21359</v>
      </c>
      <c r="C21361" t="inlineStr">
        <is>
          <t>Chuyên Viên QC</t>
        </is>
      </c>
      <c r="D21361" t="inlineStr">
        <is>
          <t>CÔNG TY CỔ PHẦN MIDOMAX VIỆT NAM</t>
        </is>
      </c>
      <c r="E21361" t="inlineStr">
        <is>
          <t>Lương:15 Tr - 20 Tr VND</t>
        </is>
      </c>
      <c r="F21361" t="inlineStr">
        <is>
          <t>Hà Nội</t>
        </is>
      </c>
      <c r="G21361" t="inlineStr">
        <is>
          <t>2</t>
        </is>
      </c>
      <c r="H21361" t="inlineStr">
        <is>
          <t>19/03/2026</t>
        </is>
      </c>
      <c r="I21361" t="inlineStr">
        <is>
          <t>17/03/2026</t>
        </is>
      </c>
      <c r="J21361" t="inlineStr">
        <is>
          <t>Dệt may / Da giày / Thời trang</t>
        </is>
      </c>
      <c r="K21361" t="inlineStr">
        <is>
          <t>2 - 5 Năm</t>
        </is>
      </c>
      <c r="L21361" s="8">
        <f>HYPERLINK("https://careerviet.vn/vi/tim-viec-lam/chuyen-vien-qc.35C63465.html","Xem chi tiết")</f>
        <v/>
      </c>
    </row>
    <row r="21362">
      <c r="B21362" s="9" t="n">
        <v>21360</v>
      </c>
      <c r="C21362" s="10" t="inlineStr">
        <is>
          <t>[Miền Nam] Chuyên Viên Tư Vấn Trả Góp Ô Tô</t>
        </is>
      </c>
      <c r="D21362" s="10" t="inlineStr">
        <is>
          <t>Công Ty Tài Chính Mirae Asset (Việt Nam)</t>
        </is>
      </c>
      <c r="E21362" s="10" t="inlineStr">
        <is>
          <t>Lương:Cạnh tranh</t>
        </is>
      </c>
      <c r="F21362" s="10" t="inlineStr">
        <is>
          <t>KV Đông Nam Bộ</t>
        </is>
      </c>
      <c r="G21362" s="10" t="inlineStr">
        <is>
          <t>2</t>
        </is>
      </c>
      <c r="H21362" s="10" t="inlineStr">
        <is>
          <t>19/03/2026</t>
        </is>
      </c>
      <c r="I21362" s="10" t="inlineStr">
        <is>
          <t>17/03/2026</t>
        </is>
      </c>
      <c r="J21362" s="10" t="inlineStr">
        <is>
          <t>Bán hàng / Kinh doanh, Tài chính / Đầu tư, Ngân hàng</t>
        </is>
      </c>
      <c r="K21362" s="10" t="inlineStr">
        <is>
          <t>Trên 1 Năm</t>
        </is>
      </c>
      <c r="L21362" s="11">
        <f>HYPERLINK("https://careerviet.vn/vi/tim-viec-lam/mien-nam-chuyen-vien-tu-van-tra-gop-o-to.35C6349A.html","Xem chi tiết")</f>
        <v/>
      </c>
      <c r="M21362" s="10" t="n"/>
    </row>
    <row r="21363">
      <c r="B21363" s="7" t="n">
        <v>21361</v>
      </c>
      <c r="C21363" t="inlineStr">
        <is>
          <t>Hostlive</t>
        </is>
      </c>
      <c r="D21363" t="inlineStr">
        <is>
          <t>CÔNG TY TNHH THƯƠNG MẠI ĐIỆN TỬ HOTMAX VIỆT NAM</t>
        </is>
      </c>
      <c r="E21363" t="inlineStr">
        <is>
          <t>Lương:7 Tr - 15 Tr VND</t>
        </is>
      </c>
      <c r="F21363" t="inlineStr">
        <is>
          <t>Hà Nội</t>
        </is>
      </c>
      <c r="G21363" t="inlineStr">
        <is>
          <t>2</t>
        </is>
      </c>
      <c r="H21363" t="inlineStr">
        <is>
          <t>19/03/2026</t>
        </is>
      </c>
      <c r="I21363" t="inlineStr">
        <is>
          <t>17/03/2026</t>
        </is>
      </c>
      <c r="J21363" t="inlineStr">
        <is>
          <t>Thương mại điện tử</t>
        </is>
      </c>
      <c r="K21363" t="inlineStr">
        <is>
          <t>N/A</t>
        </is>
      </c>
      <c r="L21363" s="8">
        <f>HYPERLINK("https://careerviet.vn/vi/tim-viec-lam/hostlive.35C634D2.html","Xem chi tiết")</f>
        <v/>
      </c>
    </row>
    <row r="21364">
      <c r="B21364" s="9" t="n">
        <v>21362</v>
      </c>
      <c r="C21364" s="10" t="inlineStr">
        <is>
          <t>Nhân Viên Kinh Doanh</t>
        </is>
      </c>
      <c r="D21364" s="10" t="inlineStr">
        <is>
          <t>CÔNG TY CỔ PHẦN LIÊN DOANH GALATEX VIỆT NAM</t>
        </is>
      </c>
      <c r="E21364" s="10" t="inlineStr">
        <is>
          <t>Lương:Trên 15 Tr VND</t>
        </is>
      </c>
      <c r="F21364" s="10" t="inlineStr">
        <is>
          <t>Ninh BìnhThái BìnhQuảng Ninh</t>
        </is>
      </c>
      <c r="G21364" s="10" t="inlineStr">
        <is>
          <t>2</t>
        </is>
      </c>
      <c r="H21364" s="10" t="inlineStr">
        <is>
          <t>19/03/2026</t>
        </is>
      </c>
      <c r="I21364" s="10" t="inlineStr">
        <is>
          <t>17/03/2026</t>
        </is>
      </c>
      <c r="J21364" s="10" t="inlineStr">
        <is>
          <t>Bán hàng / Kinh doanh, Tư vấn, Quản lý điều hành</t>
        </is>
      </c>
      <c r="K21364" s="10" t="inlineStr">
        <is>
          <t>Trên 2 Năm</t>
        </is>
      </c>
      <c r="L21364" s="11">
        <f>HYPERLINK("https://careerviet.vn/vi/tim-viec-lam/nhan-vien-kinh-doanh.35C635F1.html","Xem chi tiết")</f>
        <v/>
      </c>
      <c r="M21364" s="10" t="n"/>
    </row>
    <row r="21365">
      <c r="B21365" s="7" t="n">
        <v>21363</v>
      </c>
      <c r="C21365" t="inlineStr">
        <is>
          <t>Trưởng Phòng Phát triển Kinh Doanh (Chi Nhánh Hồ Chí Minh)</t>
        </is>
      </c>
      <c r="D21365" t="inlineStr">
        <is>
          <t>Công ty cổ phần công nghệ y học tái sinh Việt Nhật</t>
        </is>
      </c>
      <c r="E21365" t="inlineStr">
        <is>
          <t>Lương:23 Tr - 50 Tr VND</t>
        </is>
      </c>
      <c r="F21365" t="inlineStr">
        <is>
          <t>Hồ Chí Minh</t>
        </is>
      </c>
      <c r="G21365" t="inlineStr">
        <is>
          <t>2</t>
        </is>
      </c>
      <c r="H21365" t="inlineStr">
        <is>
          <t>19/03/2026</t>
        </is>
      </c>
      <c r="I21365" t="inlineStr">
        <is>
          <t>17/03/2026</t>
        </is>
      </c>
      <c r="J21365" t="inlineStr">
        <is>
          <t>Tiếp thị / Marketing, Bán hàng / Kinh doanh, Y tế / Chăm sóc sức khỏe / Thẩm mỹ / Làm đẹp</t>
        </is>
      </c>
      <c r="K21365" t="inlineStr">
        <is>
          <t>1 - 5 Năm</t>
        </is>
      </c>
      <c r="L21365" s="8">
        <f>HYPERLINK("https://careerviet.vn/vi/tim-viec-lam/truong-phong-phat-trien-kinh-doanh-chi-nhanh-ho-chi-minh.35C635FD.html","Xem chi tiết")</f>
        <v/>
      </c>
    </row>
    <row r="21366">
      <c r="B21366" s="9" t="n">
        <v>21364</v>
      </c>
      <c r="C21366" s="10" t="inlineStr">
        <is>
          <t>Kỹ Sư Dịch Vụ Kỹ Thuật</t>
        </is>
      </c>
      <c r="D21366" s="10" t="inlineStr">
        <is>
          <t>Công ty TNHH Sao Đỏ Việt Nam - Chi nhánh CMS</t>
        </is>
      </c>
      <c r="E21366" s="10" t="inlineStr">
        <is>
          <t>Lương:10 Tr - 20 Tr VND</t>
        </is>
      </c>
      <c r="F21366" s="10" t="inlineStr">
        <is>
          <t>Hà Nội</t>
        </is>
      </c>
      <c r="G21366" s="10" t="inlineStr">
        <is>
          <t>31-03-2026</t>
        </is>
      </c>
      <c r="H21366" s="10" t="inlineStr">
        <is>
          <t>31/03/2026</t>
        </is>
      </c>
      <c r="I21366" s="10" t="inlineStr">
        <is>
          <t>17/03/2026</t>
        </is>
      </c>
      <c r="J21366" s="10" t="inlineStr">
        <is>
          <t>Hóa học, Bảo trì / Sửa chữa</t>
        </is>
      </c>
      <c r="K21366" s="10" t="inlineStr">
        <is>
          <t>Chưa có kinh nghiệm</t>
        </is>
      </c>
      <c r="L21366" s="11">
        <f>HYPERLINK("https://careerviet.vn/vi/tim-viec-lam/ky-su-dich-vu-ky-thuat.35C6358C.html","Xem chi tiết")</f>
        <v/>
      </c>
      <c r="M21366" s="10" t="n"/>
    </row>
    <row r="21367">
      <c r="B21367" s="7" t="n">
        <v>21365</v>
      </c>
      <c r="C21367" t="inlineStr">
        <is>
          <t>Nhân Viên Hành Chính Nhân Sự</t>
        </is>
      </c>
      <c r="D21367" t="inlineStr">
        <is>
          <t>Công ty Cổ phần Đầu tư Nhật Huy (Nhat Huy Group)</t>
        </is>
      </c>
      <c r="E21367" t="inlineStr">
        <is>
          <t>Lương:9 Tr - 12 Tr VND</t>
        </is>
      </c>
      <c r="F21367" t="inlineStr">
        <is>
          <t>Nghệ An</t>
        </is>
      </c>
      <c r="G21367" t="inlineStr">
        <is>
          <t>2</t>
        </is>
      </c>
      <c r="H21367" t="inlineStr">
        <is>
          <t>19/03/2026</t>
        </is>
      </c>
      <c r="I21367" t="inlineStr">
        <is>
          <t>17/03/2026</t>
        </is>
      </c>
      <c r="J21367" t="inlineStr">
        <is>
          <t>Hành chính / Thư ký, Nhân sự, Sản xuất / Vận hành sản xuất</t>
        </is>
      </c>
      <c r="K21367" t="inlineStr">
        <is>
          <t>2 - 10 Năm</t>
        </is>
      </c>
      <c r="L21367" s="8">
        <f>HYPERLINK("https://careerviet.vn/vi/tim-viec-lam/nhan-vien-hanh-chinh-nhan-su.35C63574.html","Xem chi tiết")</f>
        <v/>
      </c>
    </row>
    <row r="21368">
      <c r="B21368" s="9" t="n">
        <v>21366</v>
      </c>
      <c r="C21368" s="10" t="inlineStr">
        <is>
          <t>Kế toán tổng hợp  đi làm ngay</t>
        </is>
      </c>
      <c r="D21368" s="10" t="inlineStr">
        <is>
          <t>Công Ty Cổ Phần Đầu Tư Reco</t>
        </is>
      </c>
      <c r="E21368" s="10" t="inlineStr">
        <is>
          <t>Lương:10 Tr - 25 Tr VND</t>
        </is>
      </c>
      <c r="F21368" s="10" t="inlineStr">
        <is>
          <t>Hồ Chí Minh</t>
        </is>
      </c>
      <c r="G21368" s="10" t="inlineStr">
        <is>
          <t>2</t>
        </is>
      </c>
      <c r="H21368" s="10" t="inlineStr">
        <is>
          <t>19/03/2026</t>
        </is>
      </c>
      <c r="I21368" s="10" t="inlineStr">
        <is>
          <t>17/03/2026</t>
        </is>
      </c>
      <c r="J21368" s="10" t="inlineStr">
        <is>
          <t>Kế toán / Kiểm toán, Tài chính / Đầu tư</t>
        </is>
      </c>
      <c r="K21368" s="10" t="inlineStr">
        <is>
          <t>1 - 3 Năm</t>
        </is>
      </c>
      <c r="L21368" s="11">
        <f>HYPERLINK("https://careerviet.vn/vi/tim-viec-lam/ke-toan-tong-hop-di-lam-ngay.35C634C7.html","Xem chi tiết")</f>
        <v/>
      </c>
      <c r="M21368" s="10" t="n"/>
    </row>
    <row r="21369">
      <c r="B21369" s="7" t="n">
        <v>21367</v>
      </c>
      <c r="C21369" t="inlineStr">
        <is>
          <t>Nhân Viên IT hỗ trợ vận hành phần mềm</t>
        </is>
      </c>
      <c r="D21369" t="inlineStr">
        <is>
          <t>CÔNG TY CỔ PHẦN CÔNG NGHIỆP WELDCOM</t>
        </is>
      </c>
      <c r="E21369" t="inlineStr">
        <is>
          <t>Lương:13 Tr - 17 Tr VND</t>
        </is>
      </c>
      <c r="F21369" t="inlineStr">
        <is>
          <t>Hà Nội</t>
        </is>
      </c>
      <c r="G21369" t="inlineStr">
        <is>
          <t>2</t>
        </is>
      </c>
      <c r="H21369" t="inlineStr">
        <is>
          <t>19/03/2026</t>
        </is>
      </c>
      <c r="I21369" t="inlineStr">
        <is>
          <t>17/03/2026</t>
        </is>
      </c>
      <c r="J21369" t="inlineStr">
        <is>
          <t>CNTT - Phần cứng / Mạng, CNTT - Phần mềm</t>
        </is>
      </c>
      <c r="K21369" t="inlineStr">
        <is>
          <t>1 - 3 Năm</t>
        </is>
      </c>
      <c r="L21369" s="8">
        <f>HYPERLINK("https://careerviet.vn/vi/tim-viec-lam/nhan-vien-it-ho-tro-van-hanh-phan-mem.35C635D9.html","Xem chi tiết")</f>
        <v/>
      </c>
    </row>
    <row r="21370">
      <c r="B21370" s="9" t="n">
        <v>21368</v>
      </c>
      <c r="C21370" s="10" t="inlineStr">
        <is>
          <t>Thiết Kế Đồ Họa Game Tại Hà Nội</t>
        </is>
      </c>
      <c r="D21370" s="10" t="inlineStr">
        <is>
          <t>Koei Tecmo Software Vietnam</t>
        </is>
      </c>
      <c r="E21370" s="10" t="inlineStr">
        <is>
          <t>Lương:Cạnh tranh</t>
        </is>
      </c>
      <c r="F21370" s="10" t="inlineStr">
        <is>
          <t>Hà Nội</t>
        </is>
      </c>
      <c r="G21370" s="10" t="inlineStr">
        <is>
          <t>2</t>
        </is>
      </c>
      <c r="H21370" s="10" t="inlineStr">
        <is>
          <t>19/03/2026</t>
        </is>
      </c>
      <c r="I21370" s="10" t="inlineStr">
        <is>
          <t>17/03/2026</t>
        </is>
      </c>
      <c r="J21370" s="10" t="inlineStr">
        <is>
          <t>Mỹ thuật / Nghệ thuật / Thiết kế</t>
        </is>
      </c>
      <c r="K21370" s="10" t="inlineStr">
        <is>
          <t>N/A</t>
        </is>
      </c>
      <c r="L21370" s="11">
        <f>HYPERLINK("https://careerviet.vn/vi/tim-viec-lam/thiet-ke-do-hoa-game-tai-ha-noi.35C6353C.html","Xem chi tiết")</f>
        <v/>
      </c>
      <c r="M21370" s="10" t="n"/>
    </row>
    <row r="21371">
      <c r="B21371" s="7" t="n">
        <v>21369</v>
      </c>
      <c r="C21371" t="inlineStr">
        <is>
          <t>Nhân viên kinh doanh du lịch khách đoàn thuộc Chi nhánh Vĩnh Long</t>
        </is>
      </c>
      <c r="D21371" t="inlineStr">
        <is>
          <t>Công Ty Cổ Phần Du Lịch Vietravel</t>
        </is>
      </c>
      <c r="E21371" t="inlineStr">
        <is>
          <t>Lương:Cạnh tranh</t>
        </is>
      </c>
      <c r="F21371" t="inlineStr">
        <is>
          <t>Vĩnh Long</t>
        </is>
      </c>
      <c r="G21371" t="inlineStr">
        <is>
          <t>2</t>
        </is>
      </c>
      <c r="H21371" t="inlineStr">
        <is>
          <t>19/03/2026</t>
        </is>
      </c>
      <c r="I21371" t="inlineStr">
        <is>
          <t>17/03/2026</t>
        </is>
      </c>
      <c r="J21371" t="inlineStr">
        <is>
          <t>Bán hàng / Kinh doanh, Du lịch, Nhà hàng / Khách sạn</t>
        </is>
      </c>
      <c r="K21371" t="inlineStr">
        <is>
          <t>Trên 1 Năm</t>
        </is>
      </c>
      <c r="L21371" s="8">
        <f>HYPERLINK("https://careerviet.vn/vi/tim-viec-lam/nhan-vien-kinh-doanh-du-lich-khach-doan-thuoc-chi-nhanh-vinh-long.35C635AC.html","Xem chi tiết")</f>
        <v/>
      </c>
    </row>
    <row r="21372">
      <c r="B21372" s="9" t="n">
        <v>21370</v>
      </c>
      <c r="C21372" s="10" t="inlineStr">
        <is>
          <t>[Miền Nam] Giám Sát Kinh Doanh Trực Tiếp</t>
        </is>
      </c>
      <c r="D21372" s="10" t="inlineStr">
        <is>
          <t>Công Ty Tài Chính Mirae Asset (Việt Nam)</t>
        </is>
      </c>
      <c r="E21372" s="10" t="inlineStr">
        <is>
          <t>Lương:Cạnh tranh</t>
        </is>
      </c>
      <c r="F21372" s="10" t="inlineStr">
        <is>
          <t>KV Đông Nam Bộ</t>
        </is>
      </c>
      <c r="G21372" s="10" t="inlineStr">
        <is>
          <t>2</t>
        </is>
      </c>
      <c r="H21372" s="10" t="inlineStr">
        <is>
          <t>19/03/2026</t>
        </is>
      </c>
      <c r="I21372" s="10" t="inlineStr">
        <is>
          <t>17/03/2026</t>
        </is>
      </c>
      <c r="J21372" s="10" t="inlineStr">
        <is>
          <t>Bán hàng / Kinh doanh, Tài chính / Đầu tư, Ngân hàng</t>
        </is>
      </c>
      <c r="K21372" s="10" t="inlineStr">
        <is>
          <t>Trên 1 Năm</t>
        </is>
      </c>
      <c r="L21372" s="11">
        <f>HYPERLINK("https://careerviet.vn/vi/tim-viec-lam/mien-nam-giam-sat-kinh-doanh-truc-tiep.35C63475.html","Xem chi tiết")</f>
        <v/>
      </c>
      <c r="M21372" s="10" t="n"/>
    </row>
    <row r="21373">
      <c r="B21373" s="7" t="n">
        <v>21371</v>
      </c>
      <c r="C21373" t="inlineStr">
        <is>
          <t>Quality Inspector</t>
        </is>
      </c>
      <c r="D21373" t="inlineStr">
        <is>
          <t>HR Vietnam’s ESS Client</t>
        </is>
      </c>
      <c r="E21373" t="inlineStr">
        <is>
          <t>Lương:Cạnh tranh</t>
        </is>
      </c>
      <c r="F21373" t="inlineStr">
        <is>
          <t>Bình Dương</t>
        </is>
      </c>
      <c r="G21373" t="inlineStr">
        <is>
          <t>2</t>
        </is>
      </c>
      <c r="H21373" t="inlineStr">
        <is>
          <t>19/03/2026</t>
        </is>
      </c>
      <c r="I21373" t="inlineStr">
        <is>
          <t>17/03/2026</t>
        </is>
      </c>
      <c r="J21373" t="inlineStr">
        <is>
          <t>Nội ngoại thất, Sản xuất / Vận hành sản xuất, Dệt may / Da giày / Thời trang</t>
        </is>
      </c>
      <c r="K21373" t="inlineStr">
        <is>
          <t>3 - 15 Năm</t>
        </is>
      </c>
      <c r="L21373" s="8">
        <f>HYPERLINK("https://careerviet.vn/vi/tim-viec-lam/quality-inspector.35C634C9.html","Xem chi tiết")</f>
        <v/>
      </c>
    </row>
    <row r="21374">
      <c r="B21374" s="9" t="n">
        <v>21372</v>
      </c>
      <c r="C21374" s="10" t="inlineStr">
        <is>
          <t>Purchasing, Category Manager</t>
        </is>
      </c>
      <c r="D21374" s="10" t="inlineStr">
        <is>
          <t>Huhtamaki (Vietnam) Ltd.</t>
        </is>
      </c>
      <c r="E21374" s="10" t="inlineStr">
        <is>
          <t>Lương:Cạnh tranh</t>
        </is>
      </c>
      <c r="F21374" s="10" t="inlineStr">
        <is>
          <t>Bình Dương</t>
        </is>
      </c>
      <c r="G21374" s="10" t="inlineStr">
        <is>
          <t>2</t>
        </is>
      </c>
      <c r="H21374" s="10" t="inlineStr">
        <is>
          <t>19/03/2026</t>
        </is>
      </c>
      <c r="I21374" s="10" t="inlineStr">
        <is>
          <t>17/03/2026</t>
        </is>
      </c>
      <c r="J21374" s="10" t="inlineStr">
        <is>
          <t>Bán hàng / Kinh doanh, Bán Hàng Kỹ Thuật, Thu mua / Vật tư</t>
        </is>
      </c>
      <c r="K21374" s="10" t="inlineStr">
        <is>
          <t>5 - 7 Năm</t>
        </is>
      </c>
      <c r="L21374" s="11">
        <f>HYPERLINK("https://careerviet.vn/vi/tim-viec-lam/purchasing-category-manager.35C63523.html","Xem chi tiết")</f>
        <v/>
      </c>
      <c r="M21374" s="10" t="n"/>
    </row>
    <row r="21375">
      <c r="B21375" s="7" t="n">
        <v>21373</v>
      </c>
      <c r="C21375" t="inlineStr">
        <is>
          <t>Nhân viên bán hàng tại showroom</t>
        </is>
      </c>
      <c r="D21375" t="inlineStr">
        <is>
          <t>Hệ Thống Cửa Hàng Giày Da Đông Hải</t>
        </is>
      </c>
      <c r="E21375" t="inlineStr">
        <is>
          <t>Lương:8 Tr - 11 Tr VND</t>
        </is>
      </c>
      <c r="F21375" t="inlineStr">
        <is>
          <t>Hà NộiĐồng Nai</t>
        </is>
      </c>
      <c r="G21375" t="inlineStr">
        <is>
          <t>2</t>
        </is>
      </c>
      <c r="H21375" t="inlineStr">
        <is>
          <t>19/03/2026</t>
        </is>
      </c>
      <c r="I21375" t="inlineStr">
        <is>
          <t>17/03/2026</t>
        </is>
      </c>
      <c r="J21375" t="inlineStr">
        <is>
          <t>Bán lẻ / Bán sỉ, Bán hàng / Kinh doanh, Tư vấnBằng cấpTrung cấpThời gian làm việcLàm việc xoay ca: - Ca 1 (8h30- 17h00) - Ca2 (13h30- 22h).Độ tuổi20 - 30</t>
        </is>
      </c>
      <c r="K21375" t="inlineStr">
        <is>
          <t>N/A</t>
        </is>
      </c>
      <c r="L21375" s="8">
        <f>HYPERLINK("https://careerviet.vn/vi/tim-viec-lam/nhan-vien-ban-hang-tai-showroom.35C6359C.html","Xem chi tiết")</f>
        <v/>
      </c>
    </row>
    <row r="21376">
      <c r="B21376" s="9" t="n">
        <v>21374</v>
      </c>
      <c r="C21376" s="10" t="inlineStr">
        <is>
          <t>Phú Quốc - Thủ Kho Xây Dựng</t>
        </is>
      </c>
      <c r="D21376" s="10" t="inlineStr">
        <is>
          <t>BIM Group Phú Quốc</t>
        </is>
      </c>
      <c r="E21376" s="10" t="inlineStr">
        <is>
          <t>Lương:Cạnh tranh</t>
        </is>
      </c>
      <c r="F21376" s="10" t="inlineStr">
        <is>
          <t>Kiên Giang</t>
        </is>
      </c>
      <c r="G21376" s="10" t="inlineStr">
        <is>
          <t>2</t>
        </is>
      </c>
      <c r="H21376" s="10" t="inlineStr">
        <is>
          <t>19/03/2026</t>
        </is>
      </c>
      <c r="I21376" s="10" t="inlineStr">
        <is>
          <t>17/03/2026</t>
        </is>
      </c>
      <c r="J21376" s="10" t="inlineStr">
        <is>
          <t>Vận chuyển / Giao nhận / Kho vận, Xây dựng</t>
        </is>
      </c>
      <c r="K21376" s="10" t="inlineStr">
        <is>
          <t>1 - 2 Năm</t>
        </is>
      </c>
      <c r="L21376" s="11">
        <f>HYPERLINK("https://careerviet.vn/vi/tim-viec-lam/phu-quoc-thu-kho-xay-dung.35C634A2.html","Xem chi tiết")</f>
        <v/>
      </c>
      <c r="M21376" s="10" t="n"/>
    </row>
    <row r="21377">
      <c r="B21377" s="7" t="n">
        <v>21375</v>
      </c>
      <c r="C21377" t="inlineStr">
        <is>
          <t>Product Specialist – Life Sciences</t>
        </is>
      </c>
      <c r="D21377" t="inlineStr">
        <is>
          <t>CÔNG TY TNHH KHOA HỌC CÔNG NGHỆ TÍCH HỢP VẠN NAM</t>
        </is>
      </c>
      <c r="E21377" t="inlineStr">
        <is>
          <t>Lương:Cạnh tranh</t>
        </is>
      </c>
      <c r="F21377" t="inlineStr">
        <is>
          <t>Hồ Chí Minh</t>
        </is>
      </c>
      <c r="G21377" t="inlineStr">
        <is>
          <t>2</t>
        </is>
      </c>
      <c r="H21377" t="inlineStr">
        <is>
          <t>19/03/2026</t>
        </is>
      </c>
      <c r="I21377" t="inlineStr">
        <is>
          <t>17/03/2026</t>
        </is>
      </c>
      <c r="J21377" t="inlineStr">
        <is>
          <t>Bán hàng / Kinh doanh, Công nghệ sinh học, Thu mua / Vật tư</t>
        </is>
      </c>
      <c r="K21377" t="inlineStr">
        <is>
          <t>Trên 3 Năm</t>
        </is>
      </c>
      <c r="L21377" s="8">
        <f>HYPERLINK("https://careerviet.vn/vi/tim-viec-lam/product-specialist-life-sciences.35C61BFE.html","Xem chi tiết")</f>
        <v/>
      </c>
    </row>
    <row r="21378">
      <c r="B21378" s="9" t="n">
        <v>21376</v>
      </c>
      <c r="C21378" s="10" t="inlineStr">
        <is>
          <t>Giám Đốc Điều Hành (COO/CEO)</t>
        </is>
      </c>
      <c r="D21378" s="10" t="inlineStr">
        <is>
          <t>Công ty cổ phần HaMo Holdings</t>
        </is>
      </c>
      <c r="E21378" s="10" t="inlineStr">
        <is>
          <t>Lương:Cạnh tranh</t>
        </is>
      </c>
      <c r="F21378" s="10" t="inlineStr">
        <is>
          <t>Hồ Chí Minh</t>
        </is>
      </c>
      <c r="G21378" s="10" t="inlineStr">
        <is>
          <t>2</t>
        </is>
      </c>
      <c r="H21378" s="10" t="inlineStr">
        <is>
          <t>19/03/2026</t>
        </is>
      </c>
      <c r="I21378" s="10" t="inlineStr">
        <is>
          <t>17/03/2026</t>
        </is>
      </c>
      <c r="J21378" s="10" t="inlineStr">
        <is>
          <t>Y tế / Chăm sóc sức khỏe / Thẩm mỹ / Làm đẹp, Dịch vụ khách hàng, Quản lý điều hành</t>
        </is>
      </c>
      <c r="K21378" s="10" t="inlineStr">
        <is>
          <t>7 - 10 Năm</t>
        </is>
      </c>
      <c r="L21378" s="11">
        <f>HYPERLINK("https://careerviet.vn/vi/tim-viec-lam/giam-doc-dieu-hanh-coo-ceo.35C63495.html","Xem chi tiết")</f>
        <v/>
      </c>
      <c r="M21378" s="10" t="n"/>
    </row>
    <row r="21379">
      <c r="B21379" s="7" t="n">
        <v>21377</v>
      </c>
      <c r="C21379" t="inlineStr">
        <is>
          <t>Kế toán trưởng</t>
        </is>
      </c>
      <c r="D21379" t="inlineStr">
        <is>
          <t>Công ty Cổ phần Tây An</t>
        </is>
      </c>
      <c r="E21379" t="inlineStr">
        <is>
          <t>Lương:25 Tr - 30 Tr VND</t>
        </is>
      </c>
      <c r="F21379" t="inlineStr">
        <is>
          <t>Nghệ An</t>
        </is>
      </c>
      <c r="G21379" t="inlineStr">
        <is>
          <t>2</t>
        </is>
      </c>
      <c r="H21379" t="inlineStr">
        <is>
          <t>19/03/2026</t>
        </is>
      </c>
      <c r="I21379" t="inlineStr">
        <is>
          <t>17/03/2026</t>
        </is>
      </c>
      <c r="J21379" t="inlineStr">
        <is>
          <t>Tài chính / Đầu tư</t>
        </is>
      </c>
      <c r="K21379" t="inlineStr">
        <is>
          <t>3 - 7 Năm</t>
        </is>
      </c>
      <c r="L21379" s="8">
        <f>HYPERLINK("https://careerviet.vn/vi/tim-viec-lam/ke-toan-truong.35C6354B.html","Xem chi tiết")</f>
        <v/>
      </c>
    </row>
    <row r="21380">
      <c r="B21380" s="9" t="n">
        <v>21378</v>
      </c>
      <c r="C21380" s="10" t="inlineStr">
        <is>
          <t>Chuyên Viên Xuất Nhập Khẩu (EPE, Làm việc tại Long An)</t>
        </is>
      </c>
      <c r="D21380" s="10" t="inlineStr">
        <is>
          <t>Headhunter HRchannels Group</t>
        </is>
      </c>
      <c r="E21380" s="10" t="inlineStr">
        <is>
          <t>Lương:22 Tr - 25 Tr VND</t>
        </is>
      </c>
      <c r="F21380" s="10" t="inlineStr">
        <is>
          <t>Long AnHồ Chí MinhTây Ninh</t>
        </is>
      </c>
      <c r="G21380" s="10" t="inlineStr">
        <is>
          <t>2</t>
        </is>
      </c>
      <c r="H21380" s="10" t="inlineStr">
        <is>
          <t>19/03/2026</t>
        </is>
      </c>
      <c r="I21380" s="10" t="inlineStr">
        <is>
          <t>17/03/2026</t>
        </is>
      </c>
      <c r="J21380" s="10" t="inlineStr">
        <is>
          <t>Xuất nhập khẩu, Sản xuất / Vận hành sản xuất, Thu mua / Vật tư</t>
        </is>
      </c>
      <c r="K21380" s="10" t="inlineStr">
        <is>
          <t>2 - 3 Năm</t>
        </is>
      </c>
      <c r="L21380" s="11">
        <f>HYPERLINK("https://careerviet.vn/vi/tim-viec-lam/chuyen-vien-xuat-nhap-khau-epe-lam-viec-tai-long-an.35C6345F.html","Xem chi tiết")</f>
        <v/>
      </c>
      <c r="M21380" s="10" t="n"/>
    </row>
    <row r="21381">
      <c r="B21381" s="7" t="n">
        <v>21379</v>
      </c>
      <c r="C21381" t="inlineStr">
        <is>
          <t>Chuyên Viên Kinh Doanh (Smarthome)</t>
        </is>
      </c>
      <c r="D21381" t="inlineStr">
        <is>
          <t>Headhunter HRchannels Group</t>
        </is>
      </c>
      <c r="E21381" t="inlineStr">
        <is>
          <t>Lương:15 Tr - 30 Tr VND</t>
        </is>
      </c>
      <c r="F21381" t="inlineStr">
        <is>
          <t>Hà NộiBắc NinhHưng Yên</t>
        </is>
      </c>
      <c r="G21381" t="inlineStr">
        <is>
          <t>2</t>
        </is>
      </c>
      <c r="H21381" t="inlineStr">
        <is>
          <t>19/03/2026</t>
        </is>
      </c>
      <c r="I21381" t="inlineStr">
        <is>
          <t>17/03/2026</t>
        </is>
      </c>
      <c r="J21381" t="inlineStr">
        <is>
          <t>Bán Hàng Kỹ Thuật, Tiếp thị / Marketing, Bán hàng / Kinh doanh</t>
        </is>
      </c>
      <c r="K21381" t="inlineStr">
        <is>
          <t>2 - 5 Năm</t>
        </is>
      </c>
      <c r="L21381" s="8">
        <f>HYPERLINK("https://careerviet.vn/vi/tim-viec-lam/chuyen-vien-kinh-doanh-smarthome.35C63444.html","Xem chi tiết")</f>
        <v/>
      </c>
    </row>
    <row r="21382">
      <c r="B21382" s="9" t="n">
        <v>21380</v>
      </c>
      <c r="C21382" s="10" t="inlineStr">
        <is>
          <t>Nhân Viên Kinh Doanh</t>
        </is>
      </c>
      <c r="D21382" s="10" t="inlineStr">
        <is>
          <t>CÔNG TY TNHH VNFLOUR</t>
        </is>
      </c>
      <c r="E21382" s="10" t="inlineStr">
        <is>
          <t>Lương:Cạnh tranh</t>
        </is>
      </c>
      <c r="F21382" s="10" t="inlineStr">
        <is>
          <t>Hồ Chí MinhCần ThơBình Định</t>
        </is>
      </c>
      <c r="G21382" s="10" t="inlineStr">
        <is>
          <t>2</t>
        </is>
      </c>
      <c r="H21382" s="10" t="inlineStr">
        <is>
          <t>19/03/2026</t>
        </is>
      </c>
      <c r="I21382" s="10" t="inlineStr">
        <is>
          <t>17/03/2026</t>
        </is>
      </c>
      <c r="J21382" s="10" t="inlineStr">
        <is>
          <t>Tiếp thị / Marketing, Bán hàng / Kinh doanh, Thực phẩm &amp; Đồ uống</t>
        </is>
      </c>
      <c r="K21382" s="10" t="inlineStr">
        <is>
          <t>N/A</t>
        </is>
      </c>
      <c r="L21382" s="11">
        <f>HYPERLINK("https://careerviet.vn/vi/tim-viec-lam/nhan-vien-kinh-doanh.35C63510.html","Xem chi tiết")</f>
        <v/>
      </c>
      <c r="M21382" s="10" t="n"/>
    </row>
    <row r="21383">
      <c r="B21383" s="7" t="n">
        <v>21381</v>
      </c>
      <c r="C21383" t="inlineStr">
        <is>
          <t>Legal Admin Executive</t>
        </is>
      </c>
      <c r="D21383" t="inlineStr">
        <is>
          <t>Công ty TNHH GS25 Vietnam</t>
        </is>
      </c>
      <c r="E21383" t="inlineStr">
        <is>
          <t>Lương:Cạnh tranh</t>
        </is>
      </c>
      <c r="F21383" t="inlineStr">
        <is>
          <t>Hà Nội</t>
        </is>
      </c>
      <c r="G21383" t="inlineStr">
        <is>
          <t>2</t>
        </is>
      </c>
      <c r="H21383" t="inlineStr">
        <is>
          <t>19/03/2026</t>
        </is>
      </c>
      <c r="I21383" t="inlineStr">
        <is>
          <t>17/03/2026</t>
        </is>
      </c>
      <c r="J21383" t="inlineStr">
        <is>
          <t>Bán lẻ / Bán sỉ, Luật / Pháp lý, Hành chính / Thư ký</t>
        </is>
      </c>
      <c r="K21383" t="inlineStr">
        <is>
          <t>1 - 2 Năm</t>
        </is>
      </c>
      <c r="L21383" s="8">
        <f>HYPERLINK("https://careerviet.vn/vi/tim-viec-lam/legal-admin-executive.35C63532.html","Xem chi tiết")</f>
        <v/>
      </c>
    </row>
    <row r="21384">
      <c r="B21384" s="9" t="n">
        <v>21382</v>
      </c>
      <c r="C21384" s="10" t="inlineStr">
        <is>
          <t>Kế Toán Tổng Hợp</t>
        </is>
      </c>
      <c r="D21384" s="10" t="inlineStr">
        <is>
          <t>CÔNG TY TNHH HỒNG QUYÊN</t>
        </is>
      </c>
      <c r="E21384" s="10" t="inlineStr">
        <is>
          <t>Lương:15 Tr - 20 Tr VND</t>
        </is>
      </c>
      <c r="F21384" s="10" t="inlineStr">
        <is>
          <t>Hà NộiBình DươngNam Định</t>
        </is>
      </c>
      <c r="G21384" s="10" t="inlineStr">
        <is>
          <t>2</t>
        </is>
      </c>
      <c r="H21384" s="10" t="inlineStr">
        <is>
          <t>19/03/2026</t>
        </is>
      </c>
      <c r="I21384" s="10" t="inlineStr">
        <is>
          <t>17/03/2026</t>
        </is>
      </c>
      <c r="J21384" s="10" t="inlineStr">
        <is>
          <t>Vận chuyển / Giao nhận / Kho vận, Kế toán / Kiểm toán, Tài chính / Đầu tư</t>
        </is>
      </c>
      <c r="K21384" s="10" t="inlineStr">
        <is>
          <t>Trên 1 Năm</t>
        </is>
      </c>
      <c r="L21384" s="11">
        <f>HYPERLINK("https://careerviet.vn/vi/tim-viec-lam/ke-toan-tong-hop.35C635B5.html","Xem chi tiết")</f>
        <v/>
      </c>
      <c r="M21384" s="10" t="n"/>
    </row>
    <row r="21385">
      <c r="B21385" s="7" t="n">
        <v>21383</v>
      </c>
      <c r="C21385" t="inlineStr">
        <is>
          <t>[Phú Mỹ Hưng Q7] - Senior Specialist, Property Management</t>
        </is>
      </c>
      <c r="D21385" t="inlineStr">
        <is>
          <t>Công ty TNHH Phát triển Phú Mỹ Hưng</t>
        </is>
      </c>
      <c r="E21385" t="inlineStr">
        <is>
          <t>Lương:20 Tr - 28 Tr VND</t>
        </is>
      </c>
      <c r="F21385" t="inlineStr">
        <is>
          <t>Hồ Chí Minh</t>
        </is>
      </c>
      <c r="G21385" t="inlineStr">
        <is>
          <t>2</t>
        </is>
      </c>
      <c r="H21385" t="inlineStr">
        <is>
          <t>19/03/2026</t>
        </is>
      </c>
      <c r="I21385" t="inlineStr">
        <is>
          <t>17/03/2026</t>
        </is>
      </c>
      <c r="J21385" t="inlineStr">
        <is>
          <t>Bất động sản</t>
        </is>
      </c>
      <c r="K21385" t="inlineStr">
        <is>
          <t>Trên 5 Năm</t>
        </is>
      </c>
      <c r="L21385" s="8">
        <f>HYPERLINK("https://careerviet.vn/vi/tim-viec-lam/phu-my-hung-q7-senior-specialist-property-management.35C63583.html","Xem chi tiết")</f>
        <v/>
      </c>
    </row>
    <row r="21386">
      <c r="B21386" s="9" t="n">
        <v>21384</v>
      </c>
      <c r="C21386" s="10" t="inlineStr">
        <is>
          <t>KỸ SƯ CÔNG TRÌNH, XÂY DỰNG tại TP. HÀ NỘI</t>
        </is>
      </c>
      <c r="D21386" s="10" t="inlineStr">
        <is>
          <t>CHINA HARBOUR ENGINEERING COMPANY LIMITED - VIETNAM OFFICE</t>
        </is>
      </c>
      <c r="E21386" s="10" t="inlineStr">
        <is>
          <t>Lương:800 - 1.500 USD</t>
        </is>
      </c>
      <c r="F21386" s="10" t="inlineStr">
        <is>
          <t>Hà NộiHồ Chí Minh</t>
        </is>
      </c>
      <c r="G21386" s="10" t="inlineStr">
        <is>
          <t>2</t>
        </is>
      </c>
      <c r="H21386" s="10" t="inlineStr">
        <is>
          <t>19/03/2026</t>
        </is>
      </c>
      <c r="I21386" s="10" t="inlineStr">
        <is>
          <t>17/03/2026</t>
        </is>
      </c>
      <c r="J21386" s="10" t="inlineStr">
        <is>
          <t>Xây dựng</t>
        </is>
      </c>
      <c r="K21386" s="10" t="inlineStr">
        <is>
          <t>1 - 5 Năm</t>
        </is>
      </c>
      <c r="L21386" s="11">
        <f>HYPERLINK("https://careerviet.vn/vi/tim-viec-lam/ky-su-cong-trinh-xay-dung-tai-tp-ha-noi.35C634E6.html","Xem chi tiết")</f>
        <v/>
      </c>
      <c r="M21386" s="10" t="n"/>
    </row>
    <row r="21387">
      <c r="B21387" s="7" t="n">
        <v>21385</v>
      </c>
      <c r="C21387" t="inlineStr">
        <is>
          <t>[Chi nhánh Sóc Trăng] Chuyên Viên Khách Hàng Cá Nhân</t>
        </is>
      </c>
      <c r="D21387" t="inlineStr">
        <is>
          <t>Ngân hàng TMCP Đại Chúng Việt Nam - PVcomBank</t>
        </is>
      </c>
      <c r="E21387" t="inlineStr">
        <is>
          <t>Lương:10 Tr - 30 Tr VND</t>
        </is>
      </c>
      <c r="F21387" t="inlineStr">
        <is>
          <t>Sóc Trăng</t>
        </is>
      </c>
      <c r="G21387" t="inlineStr">
        <is>
          <t>2</t>
        </is>
      </c>
      <c r="H21387" t="inlineStr">
        <is>
          <t>19/03/2026</t>
        </is>
      </c>
      <c r="I21387" t="inlineStr">
        <is>
          <t>17/03/2026</t>
        </is>
      </c>
      <c r="J21387" t="inlineStr">
        <is>
          <t>Ngân hàng, Tài chính / Đầu tư</t>
        </is>
      </c>
      <c r="K21387" t="inlineStr">
        <is>
          <t>Chưa có kinh nghiệm</t>
        </is>
      </c>
      <c r="L21387" s="8">
        <f>HYPERLINK("https://careerviet.vn/vi/tim-viec-lam/chi-nhanh-soc-trang-chuyen-vien-khach-hang-ca-nhan.35C634D3.html","Xem chi tiết")</f>
        <v/>
      </c>
    </row>
    <row r="21388">
      <c r="B21388" s="9" t="n">
        <v>21386</v>
      </c>
      <c r="C21388" s="10" t="inlineStr">
        <is>
          <t>Trưởng phòng Digital Marketing (Mảng Healthcare)</t>
        </is>
      </c>
      <c r="D21388" s="10" t="inlineStr">
        <is>
          <t>CareerViet's client</t>
        </is>
      </c>
      <c r="E21388" s="10" t="inlineStr">
        <is>
          <t>Lương:Cạnh tranh</t>
        </is>
      </c>
      <c r="F21388" s="10" t="inlineStr">
        <is>
          <t>Hồ Chí Minh</t>
        </is>
      </c>
      <c r="G21388" s="10" t="inlineStr">
        <is>
          <t>2</t>
        </is>
      </c>
      <c r="H21388" s="10" t="inlineStr">
        <is>
          <t>19/03/2026</t>
        </is>
      </c>
      <c r="I21388" s="10" t="inlineStr">
        <is>
          <t>17/03/2026</t>
        </is>
      </c>
      <c r="J21388" s="10" t="inlineStr">
        <is>
          <t>Tiếp thị / Marketing, Dược phẩm/ Hóa Mỹ Phẩm, Y tế / Chăm sóc sức khỏe / Thẩm mỹ / Làm đẹp</t>
        </is>
      </c>
      <c r="K21388" s="10" t="inlineStr">
        <is>
          <t>4 - 5 Năm</t>
        </is>
      </c>
      <c r="L21388" s="11">
        <f>HYPERLINK("https://careerviet.vn/vi/tim-viec-lam/truong-phong-digital-marketing-mang-healthcare.35C6349F.html","Xem chi tiết")</f>
        <v/>
      </c>
      <c r="M21388" s="10" t="n"/>
    </row>
    <row r="21389">
      <c r="B21389" s="7" t="n">
        <v>21387</v>
      </c>
      <c r="C21389" t="inlineStr">
        <is>
          <t>Account Manager (Livestream &amp; Influencer Commerce - LABC)</t>
        </is>
      </c>
      <c r="D21389" t="inlineStr">
        <is>
          <t>DatVietVAC Group Holdings</t>
        </is>
      </c>
      <c r="E21389" t="inlineStr">
        <is>
          <t>Lương:Cạnh tranh</t>
        </is>
      </c>
      <c r="F21389" t="inlineStr">
        <is>
          <t>Hồ Chí Minh</t>
        </is>
      </c>
      <c r="G21389" t="inlineStr">
        <is>
          <t>2</t>
        </is>
      </c>
      <c r="H21389" t="inlineStr">
        <is>
          <t>19/03/2026</t>
        </is>
      </c>
      <c r="I21389" t="inlineStr">
        <is>
          <t>17/03/2026</t>
        </is>
      </c>
      <c r="J21389" t="inlineStr">
        <is>
          <t>Tiếp thị trực tuyến, Giải trí, Quảng cáo / Đối ngoại / Truyền Thông</t>
        </is>
      </c>
      <c r="K21389" t="inlineStr">
        <is>
          <t>5 - 13 Năm</t>
        </is>
      </c>
      <c r="L21389" s="8">
        <f>HYPERLINK("https://careerviet.vn/vi/tim-viec-lam/account-manager-livestream-influencer-commerce-labc.35C634FD.html","Xem chi tiết")</f>
        <v/>
      </c>
    </row>
    <row r="21390">
      <c r="B21390" s="9" t="n">
        <v>21388</v>
      </c>
      <c r="C21390" s="10" t="inlineStr">
        <is>
          <t>Nhân viên hành chính nhân sự tổng hợp (Lai Vung, Đồng Tháp)</t>
        </is>
      </c>
      <c r="D21390" s="10" t="inlineStr">
        <is>
          <t>CÔNG TY TNHH ĐẦU TƯ ITS</t>
        </is>
      </c>
      <c r="E21390" s="10" t="inlineStr">
        <is>
          <t>Lương:8 Tr - 12 Tr VND</t>
        </is>
      </c>
      <c r="F21390" s="10" t="inlineStr">
        <is>
          <t>Đồng Tháp</t>
        </is>
      </c>
      <c r="G21390" s="10" t="inlineStr">
        <is>
          <t>2</t>
        </is>
      </c>
      <c r="H21390" s="10" t="inlineStr">
        <is>
          <t>19/03/2026</t>
        </is>
      </c>
      <c r="I21390" s="10" t="inlineStr">
        <is>
          <t>17/03/2026</t>
        </is>
      </c>
      <c r="J21390" s="10" t="inlineStr">
        <is>
          <t>Sản xuất / Vận hành sản xuất</t>
        </is>
      </c>
      <c r="K21390" s="10" t="inlineStr">
        <is>
          <t>2 - 5 Năm</t>
        </is>
      </c>
      <c r="L21390" s="11">
        <f>HYPERLINK("https://careerviet.vn/vi/tim-viec-lam/nhan-vien-hanh-chinh-nhan-su-tong-hop-lai-vung-dong-thap.35C63514.html","Xem chi tiết")</f>
        <v/>
      </c>
      <c r="M21390" s="10" t="n"/>
    </row>
    <row r="21391">
      <c r="B21391" s="7" t="n">
        <v>21389</v>
      </c>
      <c r="C21391" t="inlineStr">
        <is>
          <t>Nhân viên lắp ráp cơ điện (ĐI LÀM NGAY)</t>
        </is>
      </c>
      <c r="D21391" t="inlineStr">
        <is>
          <t>Công ty cổ phần ứng dụng công nghệ &amp; CNC Việt Nam</t>
        </is>
      </c>
      <c r="E21391" t="inlineStr">
        <is>
          <t>Lương:8 Tr - 20 Tr VND</t>
        </is>
      </c>
      <c r="F21391" t="inlineStr">
        <is>
          <t>Hà Nội</t>
        </is>
      </c>
      <c r="G21391" t="inlineStr">
        <is>
          <t>2</t>
        </is>
      </c>
      <c r="H21391" t="inlineStr">
        <is>
          <t>19/03/2026</t>
        </is>
      </c>
      <c r="I21391" t="inlineStr">
        <is>
          <t>17/03/2026</t>
        </is>
      </c>
      <c r="J21391" t="inlineStr">
        <is>
          <t>Cơ khí / Ô tô / Tự động hóa, Điện / Điện tử / Điện lạnh / Điện công nghiệp, Sản xuất / Vận hành sản xuất</t>
        </is>
      </c>
      <c r="K21391" t="inlineStr">
        <is>
          <t>1 - 2 Năm</t>
        </is>
      </c>
      <c r="L21391" s="8">
        <f>HYPERLINK("https://careerviet.vn/vi/tim-viec-lam/nhan-vien-lap-rap-co-dien-di-lam-ngay.35C63577.html","Xem chi tiết")</f>
        <v/>
      </c>
    </row>
    <row r="21392">
      <c r="B21392" s="9" t="n">
        <v>21390</v>
      </c>
      <c r="C21392" s="10" t="inlineStr">
        <is>
          <t>Cửa hàng trưởng</t>
        </is>
      </c>
      <c r="D21392" s="10" t="inlineStr">
        <is>
          <t>CÔNG TY TNHH MTV CHẾ TÁC VÀ KINH DOANH TRANG SỨC PNJ</t>
        </is>
      </c>
      <c r="E21392" s="10" t="inlineStr">
        <is>
          <t>Lương:20 Tr - 25 Tr VND</t>
        </is>
      </c>
      <c r="F21392" s="10" t="inlineStr">
        <is>
          <t>Hồ Chí Minh</t>
        </is>
      </c>
      <c r="G21392" s="10" t="inlineStr">
        <is>
          <t>2</t>
        </is>
      </c>
      <c r="H21392" s="10" t="inlineStr">
        <is>
          <t>19/03/2026</t>
        </is>
      </c>
      <c r="I21392" s="10" t="inlineStr">
        <is>
          <t>17/03/2026</t>
        </is>
      </c>
      <c r="J21392" s="10" t="inlineStr">
        <is>
          <t>Bán lẻ / Bán sỉ, Bán hàng / Kinh doanh, Dệt may / Da giày / Thời trang</t>
        </is>
      </c>
      <c r="K21392" s="10" t="inlineStr">
        <is>
          <t>3 - 5 Năm</t>
        </is>
      </c>
      <c r="L21392" s="11">
        <f>HYPERLINK("https://careerviet.vn/vi/tim-viec-lam/cua-hang-truong.35C6357A.html","Xem chi tiết")</f>
        <v/>
      </c>
      <c r="M21392" s="10" t="n"/>
    </row>
    <row r="21393">
      <c r="B21393" s="7" t="n">
        <v>21391</v>
      </c>
      <c r="C21393" t="inlineStr">
        <is>
          <t>Kế toán doanh thu chi phí  (Có thể nhận việc sau tết)</t>
        </is>
      </c>
      <c r="D21393" t="inlineStr">
        <is>
          <t>CÔNG TY CỔ PHẦN CÔNG NGHIỆP WELDCOM</t>
        </is>
      </c>
      <c r="E21393" t="inlineStr">
        <is>
          <t>Lương:13 Tr - 17 Tr VND</t>
        </is>
      </c>
      <c r="F21393" t="inlineStr">
        <is>
          <t>Hà Nội</t>
        </is>
      </c>
      <c r="G21393" t="inlineStr">
        <is>
          <t>2</t>
        </is>
      </c>
      <c r="H21393" t="inlineStr">
        <is>
          <t>19/03/2026</t>
        </is>
      </c>
      <c r="I21393" t="inlineStr">
        <is>
          <t>17/03/2026</t>
        </is>
      </c>
      <c r="J21393" t="inlineStr">
        <is>
          <t>Kế toán / Kiểm toán, Ngân hàng</t>
        </is>
      </c>
      <c r="K21393" t="inlineStr">
        <is>
          <t>1 - 3 Năm</t>
        </is>
      </c>
      <c r="L21393" s="8">
        <f>HYPERLINK("https://careerviet.vn/vi/tim-viec-lam/ke-toan-doanh-thu-chi-phi-co-the-nhan-viec-sau-tet.35C63550.html","Xem chi tiết")</f>
        <v/>
      </c>
    </row>
    <row r="21394">
      <c r="B21394" s="9" t="n">
        <v>21392</v>
      </c>
      <c r="C21394" s="10" t="inlineStr">
        <is>
          <t>[Bắc Ninh] Chuyên viên Hành Chính - Khối Kinh doanh</t>
        </is>
      </c>
      <c r="D21394" s="10" t="inlineStr">
        <is>
          <t>Công ty TNHH Phát triển Phú Mỹ Hưng</t>
        </is>
      </c>
      <c r="E21394" s="10" t="inlineStr">
        <is>
          <t>Lương:18 Tr - 22 Tr VND</t>
        </is>
      </c>
      <c r="F21394" s="10" t="inlineStr">
        <is>
          <t>Bắc Ninh</t>
        </is>
      </c>
      <c r="G21394" s="10" t="inlineStr">
        <is>
          <t>2</t>
        </is>
      </c>
      <c r="H21394" s="10" t="inlineStr">
        <is>
          <t>19/03/2026</t>
        </is>
      </c>
      <c r="I21394" s="10" t="inlineStr">
        <is>
          <t>17/03/2026</t>
        </is>
      </c>
      <c r="J21394" s="10" t="inlineStr">
        <is>
          <t>Hành chính / Thư ký, Xây dựng, Bất động sản</t>
        </is>
      </c>
      <c r="K21394" s="10" t="inlineStr">
        <is>
          <t>5 - 13 Năm</t>
        </is>
      </c>
      <c r="L21394" s="11">
        <f>HYPERLINK("https://careerviet.vn/vi/tim-viec-lam/bac-ninh-chuyen-vien-hanh-chinh-khoi-kinh-doanh.35C635A1.html","Xem chi tiết")</f>
        <v/>
      </c>
      <c r="M21394" s="10" t="n"/>
    </row>
    <row r="21395">
      <c r="B21395" s="7" t="n">
        <v>21393</v>
      </c>
      <c r="C21395" t="inlineStr">
        <is>
          <t>Nhân viên kinh doanh kênh MT</t>
        </is>
      </c>
      <c r="D21395" t="inlineStr">
        <is>
          <t>HR Vietnam’s ESS Client</t>
        </is>
      </c>
      <c r="E21395" t="inlineStr">
        <is>
          <t>Lương:10 Tr - 13 Tr VND</t>
        </is>
      </c>
      <c r="F21395" t="inlineStr">
        <is>
          <t>Bà Rịa - Vũng Tàu</t>
        </is>
      </c>
      <c r="G21395" t="inlineStr">
        <is>
          <t>1</t>
        </is>
      </c>
      <c r="H21395" t="inlineStr">
        <is>
          <t>18/03/2026</t>
        </is>
      </c>
      <c r="I21395" t="inlineStr">
        <is>
          <t>17/03/2026</t>
        </is>
      </c>
      <c r="J21395" t="inlineStr">
        <is>
          <t>Tư vấn, Thực phẩm &amp; Đồ uống, Bán hàng / Kinh doanh</t>
        </is>
      </c>
      <c r="K21395" t="inlineStr">
        <is>
          <t>1 - 2 Năm</t>
        </is>
      </c>
      <c r="L21395" s="8">
        <f>HYPERLINK("https://careerviet.vn/vi/tim-viec-lam/nhan-vien-kinh-doanh-kenh-mt.35C6328F.html","Xem chi tiết")</f>
        <v/>
      </c>
    </row>
    <row r="21396">
      <c r="B21396" s="9" t="n">
        <v>21394</v>
      </c>
      <c r="C21396" s="10" t="inlineStr">
        <is>
          <t>Trợ Lý &amp; Kiểm Soát Chi Phí Đầu Tư Nội Bộ</t>
        </is>
      </c>
      <c r="D21396" s="10" t="inlineStr">
        <is>
          <t>Công Ty Cổ Phần Cơ Khí Xây Dựng Thương Mại Đại Dũng</t>
        </is>
      </c>
      <c r="E21396" s="10" t="inlineStr">
        <is>
          <t>Lương:Cạnh tranh</t>
        </is>
      </c>
      <c r="F21396" s="10" t="inlineStr">
        <is>
          <t>Hồ Chí Minh</t>
        </is>
      </c>
      <c r="G21396" s="10" t="inlineStr">
        <is>
          <t>2</t>
        </is>
      </c>
      <c r="H21396" s="10" t="inlineStr">
        <is>
          <t>19/03/2026</t>
        </is>
      </c>
      <c r="I21396" s="10" t="inlineStr">
        <is>
          <t>17/03/2026</t>
        </is>
      </c>
      <c r="J21396" s="10" t="inlineStr">
        <is>
          <t>Kế toán / Kiểm toán, Tài chính / Đầu tư, Xây dựng</t>
        </is>
      </c>
      <c r="K21396" s="10" t="inlineStr">
        <is>
          <t>3 - 5 Năm</t>
        </is>
      </c>
      <c r="L21396" s="11">
        <f>HYPERLINK("https://careerviet.vn/vi/tim-viec-lam/tro-ly-kiem-soat-chi-phi-dau-tu-noi-bo.35C6358F.html","Xem chi tiết")</f>
        <v/>
      </c>
      <c r="M21396" s="10" t="n"/>
    </row>
    <row r="21397">
      <c r="B21397" s="7" t="n">
        <v>21395</v>
      </c>
      <c r="C21397" t="inlineStr">
        <is>
          <t>Trưởng Ban kỹ thuật</t>
        </is>
      </c>
      <c r="D21397" t="inlineStr">
        <is>
          <t>Công ty Cổ phần Bkscitech</t>
        </is>
      </c>
      <c r="E21397" t="inlineStr">
        <is>
          <t>Lương:50 Tr - 100 Tr VND</t>
        </is>
      </c>
      <c r="F21397" t="inlineStr">
        <is>
          <t>Hà Nội</t>
        </is>
      </c>
      <c r="G21397" t="inlineStr">
        <is>
          <t>2</t>
        </is>
      </c>
      <c r="H21397" t="inlineStr">
        <is>
          <t>19/03/2026</t>
        </is>
      </c>
      <c r="I21397" t="inlineStr">
        <is>
          <t>17/03/2026</t>
        </is>
      </c>
      <c r="J21397" t="inlineStr">
        <is>
          <t>Bán Hàng Kỹ Thuật, Bưu chính viễn thông, Quản lý điều hành</t>
        </is>
      </c>
      <c r="K21397" t="inlineStr">
        <is>
          <t>5 - 8 Năm</t>
        </is>
      </c>
      <c r="L21397" s="8">
        <f>HYPERLINK("https://careerviet.vn/vi/tim-viec-lam/truong-ban-ky-thuat.35C63474.html","Xem chi tiết")</f>
        <v/>
      </c>
    </row>
    <row r="21398">
      <c r="B21398" s="9" t="n">
        <v>21396</v>
      </c>
      <c r="C21398" s="10" t="inlineStr">
        <is>
          <t>Nhân viên trực quầy</t>
        </is>
      </c>
      <c r="D21398" s="10" t="inlineStr">
        <is>
          <t>CÔNG TY CỔ PHẦN EUROWINDOW HOLDING</t>
        </is>
      </c>
      <c r="E21398" s="10" t="inlineStr">
        <is>
          <t>Lương:Cạnh tranh</t>
        </is>
      </c>
      <c r="F21398" s="10" t="inlineStr">
        <is>
          <t>Hà Nội</t>
        </is>
      </c>
      <c r="G21398" s="10" t="inlineStr">
        <is>
          <t>2</t>
        </is>
      </c>
      <c r="H21398" s="10" t="inlineStr">
        <is>
          <t>19/03/2026</t>
        </is>
      </c>
      <c r="I21398" s="10" t="inlineStr">
        <is>
          <t>17/03/2026</t>
        </is>
      </c>
      <c r="J21398" s="10" t="inlineStr">
        <is>
          <t>Hành chính / Thư ký</t>
        </is>
      </c>
      <c r="K21398" s="10" t="inlineStr">
        <is>
          <t>Lên đến 1 Năm</t>
        </is>
      </c>
      <c r="L21398" s="11">
        <f>HYPERLINK("https://careerviet.vn/vi/tim-viec-lam/nhan-vien-truc-quay.35C63448.html","Xem chi tiết")</f>
        <v/>
      </c>
      <c r="M21398" s="10" t="n"/>
    </row>
    <row r="21399">
      <c r="B21399" s="7" t="n">
        <v>21397</v>
      </c>
      <c r="C21399" t="inlineStr">
        <is>
          <t>Chuyên viên Tài chính  (mảng Huy động vốn)</t>
        </is>
      </c>
      <c r="D21399" t="inlineStr">
        <is>
          <t>Công ty Cổ phần Tập đoàn KITA Group</t>
        </is>
      </c>
      <c r="E21399" t="inlineStr">
        <is>
          <t>Lương:20 Tr - 25 Tr VND</t>
        </is>
      </c>
      <c r="F21399" t="inlineStr">
        <is>
          <t>Hồ Chí Minh</t>
        </is>
      </c>
      <c r="G21399" t="inlineStr">
        <is>
          <t>2</t>
        </is>
      </c>
      <c r="H21399" t="inlineStr">
        <is>
          <t>19/03/2026</t>
        </is>
      </c>
      <c r="I21399" t="inlineStr">
        <is>
          <t>17/03/2026</t>
        </is>
      </c>
      <c r="J21399" t="inlineStr">
        <is>
          <t>Tài chính / Đầu tư, Bất động sản, Xây dựng</t>
        </is>
      </c>
      <c r="K21399" t="inlineStr">
        <is>
          <t>2 - 5 Năm</t>
        </is>
      </c>
      <c r="L21399" s="8">
        <f>HYPERLINK("https://careerviet.vn/vi/tim-viec-lam/chuyen-vien-tai-chinh-mang-huy-dong-von.35C6351B.html","Xem chi tiết")</f>
        <v/>
      </c>
    </row>
    <row r="21400">
      <c r="B21400" s="9" t="n">
        <v>21398</v>
      </c>
      <c r="C21400" s="10" t="inlineStr">
        <is>
          <t>Quản lý/Trợ lý Quản lý Trung Tâm (Vui chơi giải trí)</t>
        </is>
      </c>
      <c r="D21400" s="10" t="inlineStr">
        <is>
          <t>Headhunter HRchannels Group</t>
        </is>
      </c>
      <c r="E21400" s="10" t="inlineStr">
        <is>
          <t>Lương:15 Tr - 35 Tr VND</t>
        </is>
      </c>
      <c r="F21400" s="10" t="inlineStr">
        <is>
          <t>Hà NộiBắc NinhHưng Yên</t>
        </is>
      </c>
      <c r="G21400" s="10" t="inlineStr">
        <is>
          <t>2</t>
        </is>
      </c>
      <c r="H21400" s="10" t="inlineStr">
        <is>
          <t>19/03/2026</t>
        </is>
      </c>
      <c r="I21400" s="10" t="inlineStr">
        <is>
          <t>17/03/2026</t>
        </is>
      </c>
      <c r="J21400" s="10" t="inlineStr">
        <is>
          <t>Bán hàng / Kinh doanh, Quản lý điều hành, Nhà hàng / Khách sạn</t>
        </is>
      </c>
      <c r="K21400" s="10" t="inlineStr">
        <is>
          <t>3 - 11 Năm</t>
        </is>
      </c>
      <c r="L21400" s="11">
        <f>HYPERLINK("https://careerviet.vn/vi/tim-viec-lam/quan-ly-tro-ly-quan-ly-trung-tam-vui-choi-giai-tri.35C6345A.html","Xem chi tiết")</f>
        <v/>
      </c>
      <c r="M21400" s="10" t="n"/>
    </row>
    <row r="21401">
      <c r="B21401" s="7" t="n">
        <v>21399</v>
      </c>
      <c r="C21401" t="inlineStr">
        <is>
          <t>Nhân Viên Kế Toán Thu Chi</t>
        </is>
      </c>
      <c r="D21401" t="inlineStr">
        <is>
          <t>CÔNG TY TNHH CÔNG NGHỆ ĐIỆN TỬ BVT VIỆT NAM</t>
        </is>
      </c>
      <c r="E21401" t="inlineStr">
        <is>
          <t>Lương:Cạnh tranh</t>
        </is>
      </c>
      <c r="F21401" t="inlineStr">
        <is>
          <t>Long An</t>
        </is>
      </c>
      <c r="G21401" t="inlineStr">
        <is>
          <t>2</t>
        </is>
      </c>
      <c r="H21401" t="inlineStr">
        <is>
          <t>19/03/2026</t>
        </is>
      </c>
      <c r="I21401" t="inlineStr">
        <is>
          <t>17/03/2026</t>
        </is>
      </c>
      <c r="J21401" t="inlineStr">
        <is>
          <t>Tài chính / Đầu tư, Kế toán / Kiểm toán, Sản xuất / Vận hành sản xuất</t>
        </is>
      </c>
      <c r="K21401" t="inlineStr">
        <is>
          <t>N/A</t>
        </is>
      </c>
      <c r="L21401" s="8">
        <f>HYPERLINK("https://careerviet.vn/vi/tim-viec-lam/nhan-vien-ke-toan-thu-chi.35C634F4.html","Xem chi tiết")</f>
        <v/>
      </c>
    </row>
    <row r="21402">
      <c r="B21402" s="9" t="n">
        <v>21400</v>
      </c>
      <c r="C21402" s="10" t="inlineStr">
        <is>
          <t>Trưởng phòng Thương hiệu (Brand Manager)</t>
        </is>
      </c>
      <c r="D21402" s="10" t="inlineStr">
        <is>
          <t>Công ty TNHH MTV Sen Vàng Việt Nam</t>
        </is>
      </c>
      <c r="E21402" s="10" t="inlineStr">
        <is>
          <t>Lương:Cạnh tranh</t>
        </is>
      </c>
      <c r="F21402" s="10" t="inlineStr">
        <is>
          <t>Hồ Chí Minh</t>
        </is>
      </c>
      <c r="G21402" s="10" t="inlineStr">
        <is>
          <t>2</t>
        </is>
      </c>
      <c r="H21402" s="10" t="inlineStr">
        <is>
          <t>19/03/2026</t>
        </is>
      </c>
      <c r="I21402" s="10" t="inlineStr">
        <is>
          <t>17/03/2026</t>
        </is>
      </c>
      <c r="J21402" s="10" t="inlineStr">
        <is>
          <t>Tiếp thị / Marketing, Quảng cáo / Đối ngoại / Truyền Thông</t>
        </is>
      </c>
      <c r="K21402" s="10" t="inlineStr">
        <is>
          <t>5 - 7 Năm</t>
        </is>
      </c>
      <c r="L21402" s="11">
        <f>HYPERLINK("https://careerviet.vn/vi/tim-viec-lam/truong-phong-thuong-hieu-brand-manager.35C634E3.html","Xem chi tiết")</f>
        <v/>
      </c>
      <c r="M21402" s="10" t="n"/>
    </row>
    <row r="21403">
      <c r="B21403" s="7" t="n">
        <v>21401</v>
      </c>
      <c r="C21403" t="inlineStr">
        <is>
          <t>Kế Toán Trưởng</t>
        </is>
      </c>
      <c r="D21403" t="inlineStr">
        <is>
          <t>CÔNG TY TNHH CÔNG NGHỆ ĐIỆN TỬ BVT VIỆT NAM</t>
        </is>
      </c>
      <c r="E21403" t="inlineStr">
        <is>
          <t>Lương:Cạnh tranh</t>
        </is>
      </c>
      <c r="F21403" t="inlineStr">
        <is>
          <t>Long An</t>
        </is>
      </c>
      <c r="G21403" t="inlineStr">
        <is>
          <t>2</t>
        </is>
      </c>
      <c r="H21403" t="inlineStr">
        <is>
          <t>19/03/2026</t>
        </is>
      </c>
      <c r="I21403" t="inlineStr">
        <is>
          <t>17/03/2026</t>
        </is>
      </c>
      <c r="J21403" t="inlineStr">
        <is>
          <t>Kế toán / Kiểm toán, Quản lý điều hành, Tài chính / Đầu tư</t>
        </is>
      </c>
      <c r="K21403" t="inlineStr">
        <is>
          <t>3 Năm</t>
        </is>
      </c>
      <c r="L21403" s="8">
        <f>HYPERLINK("https://careerviet.vn/vi/tim-viec-lam/ke-toan-truong.35C634E4.html","Xem chi tiết")</f>
        <v/>
      </c>
    </row>
    <row r="21404">
      <c r="B21404" s="9" t="n">
        <v>21402</v>
      </c>
      <c r="C21404" s="10" t="inlineStr">
        <is>
          <t>Chuyên viên khách hàng Doanh Nghiệp làm việc tại Bình Dương</t>
        </is>
      </c>
      <c r="D21404" s="10" t="inlineStr">
        <is>
          <t>Ngân hàng TMCP Đại Chúng Việt Nam - PVcomBank</t>
        </is>
      </c>
      <c r="E21404" s="10" t="inlineStr">
        <is>
          <t>Lương:Cạnh tranh</t>
        </is>
      </c>
      <c r="F21404" s="10" t="inlineStr">
        <is>
          <t>Bình Dương</t>
        </is>
      </c>
      <c r="G21404" s="10" t="inlineStr">
        <is>
          <t>1</t>
        </is>
      </c>
      <c r="H21404" s="10" t="inlineStr">
        <is>
          <t>18/03/2026</t>
        </is>
      </c>
      <c r="I21404" s="10" t="inlineStr">
        <is>
          <t>17/03/2026</t>
        </is>
      </c>
      <c r="J21404" s="10" t="inlineStr">
        <is>
          <t>Ngân hàng, Tài chính / Đầu tư</t>
        </is>
      </c>
      <c r="K21404" s="10" t="inlineStr">
        <is>
          <t>1 - 2 Năm</t>
        </is>
      </c>
      <c r="L21404" s="11">
        <f>HYPERLINK("https://careerviet.vn/vi/tim-viec-lam/chuyen-vien-khach-hang-doanh-nghiep-lam-viec-tai-binh-duong.35C633EC.html","Xem chi tiết")</f>
        <v/>
      </c>
      <c r="M21404" s="10" t="n"/>
    </row>
    <row r="21405">
      <c r="B21405" s="7" t="n">
        <v>21403</v>
      </c>
      <c r="C21405" t="inlineStr">
        <is>
          <t>Chuyên viên kinh doanh quốc tế</t>
        </is>
      </c>
      <c r="D21405" t="inlineStr">
        <is>
          <t>Tập Đoàn Tân Á Đại Thành</t>
        </is>
      </c>
      <c r="E21405" t="inlineStr">
        <is>
          <t>Lương:Trên 22 Tr VND</t>
        </is>
      </c>
      <c r="F21405" t="inlineStr">
        <is>
          <t>Hà Nội</t>
        </is>
      </c>
      <c r="G21405" t="inlineStr">
        <is>
          <t>1</t>
        </is>
      </c>
      <c r="H21405" t="inlineStr">
        <is>
          <t>18/03/2026</t>
        </is>
      </c>
      <c r="I21405" t="inlineStr">
        <is>
          <t>17/03/2026</t>
        </is>
      </c>
      <c r="J21405" t="inlineStr">
        <is>
          <t>Bán hàng / Kinh doanh, Điện / Điện tử / Điện lạnh / Điện công nghiệp, Xuất nhập khẩu</t>
        </is>
      </c>
      <c r="K21405" t="inlineStr">
        <is>
          <t>3 - 5 Năm</t>
        </is>
      </c>
      <c r="L21405" s="8">
        <f>HYPERLINK("https://careerviet.vn/vi/tim-viec-lam/chuyen-vien-kinh-doanh-quoc-te.35C632E1.html","Xem chi tiết")</f>
        <v/>
      </c>
    </row>
    <row r="21406">
      <c r="B21406" s="9" t="n">
        <v>21404</v>
      </c>
      <c r="C21406" s="10" t="inlineStr">
        <is>
          <t>Nhân viên bán hàng - Bảo Lộc</t>
        </is>
      </c>
      <c r="D21406" s="10" t="inlineStr">
        <is>
          <t>Công ty CP Toshiko Việt Nam</t>
        </is>
      </c>
      <c r="E21406" s="10" t="inlineStr">
        <is>
          <t>Lương:10 Tr - 15 Tr VND</t>
        </is>
      </c>
      <c r="F21406" s="10" t="inlineStr">
        <is>
          <t>Lâm Đồng</t>
        </is>
      </c>
      <c r="G21406" s="10" t="inlineStr">
        <is>
          <t>1</t>
        </is>
      </c>
      <c r="H21406" s="10" t="inlineStr">
        <is>
          <t>18/03/2026</t>
        </is>
      </c>
      <c r="I21406" s="10" t="inlineStr">
        <is>
          <t>17/03/2026</t>
        </is>
      </c>
      <c r="J21406" s="10" t="inlineStr">
        <is>
          <t>Bán lẻ / Bán sỉ, Bán hàng / Kinh doanh, Tư vấn</t>
        </is>
      </c>
      <c r="K21406" s="10" t="inlineStr">
        <is>
          <t>1 - 2 Năm</t>
        </is>
      </c>
      <c r="L21406" s="11">
        <f>HYPERLINK("https://careerviet.vn/vi/tim-viec-lam/nhan-vien-ban-hang-bao-loc.35C632A4.html","Xem chi tiết")</f>
        <v/>
      </c>
      <c r="M21406" s="10" t="n"/>
    </row>
    <row r="21407">
      <c r="B21407" s="7" t="n">
        <v>21405</v>
      </c>
      <c r="C21407" t="inlineStr">
        <is>
          <t>Technical Sales</t>
        </is>
      </c>
      <c r="D21407" t="inlineStr">
        <is>
          <t>NANOCO GROUP</t>
        </is>
      </c>
      <c r="E21407" t="inlineStr">
        <is>
          <t>Lương:Cạnh tranh</t>
        </is>
      </c>
      <c r="F21407" t="inlineStr">
        <is>
          <t>Hồ Chí Minh</t>
        </is>
      </c>
      <c r="G21407" t="inlineStr">
        <is>
          <t>1</t>
        </is>
      </c>
      <c r="H21407" t="inlineStr">
        <is>
          <t>18/03/2026</t>
        </is>
      </c>
      <c r="I21407" t="inlineStr">
        <is>
          <t>17/03/2026</t>
        </is>
      </c>
      <c r="J21407" t="inlineStr">
        <is>
          <t>Bán lẻ / Bán sỉ, Bán hàng / Kinh doanh, Bán Hàng Kỹ Thuật</t>
        </is>
      </c>
      <c r="K21407" t="inlineStr">
        <is>
          <t>1 - 3 Năm</t>
        </is>
      </c>
      <c r="L21407" s="8">
        <f>HYPERLINK("https://careerviet.vn/vi/tim-viec-lam/technical-sales.35C633B5.html","Xem chi tiết")</f>
        <v/>
      </c>
    </row>
    <row r="21408">
      <c r="B21408" s="9" t="n">
        <v>21406</v>
      </c>
      <c r="C21408" s="10" t="inlineStr">
        <is>
          <t>NHÂN VIÊN KẾ TOÁN (CHỢ LÁCH, BẾN TRE)</t>
        </is>
      </c>
      <c r="D21408" s="10" t="inlineStr">
        <is>
          <t>CÔNG TY TNHH XUẤT - NHẬP KHẨU TRÁI CÂY CHÁNH THU</t>
        </is>
      </c>
      <c r="E21408" s="10" t="inlineStr">
        <is>
          <t>Lương:Cạnh tranh</t>
        </is>
      </c>
      <c r="F21408" s="10" t="inlineStr">
        <is>
          <t>Bến Tre</t>
        </is>
      </c>
      <c r="G21408" s="10" t="inlineStr">
        <is>
          <t>1</t>
        </is>
      </c>
      <c r="H21408" s="10" t="inlineStr">
        <is>
          <t>18/03/2026</t>
        </is>
      </c>
      <c r="I21408" s="10" t="inlineStr">
        <is>
          <t>17/03/2026</t>
        </is>
      </c>
      <c r="J21408" s="10" t="inlineStr">
        <is>
          <t>Kế toán / Kiểm toán, Xuất nhập khẩu, Sản xuất / Vận hành sản xuất</t>
        </is>
      </c>
      <c r="K21408" s="10" t="inlineStr">
        <is>
          <t>1 - 2 Năm</t>
        </is>
      </c>
      <c r="L21408" s="11">
        <f>HYPERLINK("https://careerviet.vn/vi/tim-viec-lam/nhan-vien-ke-toan-cho-lach-ben-tre.35C63253.html","Xem chi tiết")</f>
        <v/>
      </c>
      <c r="M21408" s="10" t="n"/>
    </row>
    <row r="21409">
      <c r="B21409" s="7" t="n">
        <v>21407</v>
      </c>
      <c r="C21409" t="inlineStr">
        <is>
          <t>NHÂN VIÊN XUẤT NHẬP KHẨU</t>
        </is>
      </c>
      <c r="D21409" t="inlineStr">
        <is>
          <t>Công ty TNHH MTV Bao bì quốc tế</t>
        </is>
      </c>
      <c r="E21409" t="inlineStr">
        <is>
          <t>Lương:12 Tr - 20 Tr VND</t>
        </is>
      </c>
      <c r="F21409" t="inlineStr">
        <is>
          <t>Hà Nội</t>
        </is>
      </c>
      <c r="G21409" t="inlineStr">
        <is>
          <t>1</t>
        </is>
      </c>
      <c r="H21409" t="inlineStr">
        <is>
          <t>18/03/2026</t>
        </is>
      </c>
      <c r="I21409" t="inlineStr">
        <is>
          <t>17/03/2026</t>
        </is>
      </c>
      <c r="J21409" t="inlineStr">
        <is>
          <t>Tiếp thị / Marketing, Bán lẻ / Bán sỉ, Bán hàng / Kinh doanh</t>
        </is>
      </c>
      <c r="K21409" t="inlineStr">
        <is>
          <t>Chưa có kinh nghiệm</t>
        </is>
      </c>
      <c r="L21409" s="8">
        <f>HYPERLINK("https://careerviet.vn/vi/tim-viec-lam/nhan-vien-xuat-nhap-khau.35C633F9.html","Xem chi tiết")</f>
        <v/>
      </c>
    </row>
    <row r="21410">
      <c r="B21410" s="9" t="n">
        <v>21408</v>
      </c>
      <c r="C21410" s="10" t="inlineStr">
        <is>
          <t>Nhân viên hỗ trợ kinh doanh (Sale Admin)</t>
        </is>
      </c>
      <c r="D21410" s="10" t="inlineStr">
        <is>
          <t>CÔNG TY TNHH THỰC PHẨM THÁI SƠN</t>
        </is>
      </c>
      <c r="E21410" s="10" t="inlineStr">
        <is>
          <t>Lương:8 Tr - 10 Tr VND</t>
        </is>
      </c>
      <c r="F21410" s="10" t="inlineStr">
        <is>
          <t>Hồ Chí Minh</t>
        </is>
      </c>
      <c r="G21410" s="10" t="inlineStr">
        <is>
          <t>1</t>
        </is>
      </c>
      <c r="H21410" s="10" t="inlineStr">
        <is>
          <t>18/03/2026</t>
        </is>
      </c>
      <c r="I21410" s="10" t="inlineStr">
        <is>
          <t>17/03/2026</t>
        </is>
      </c>
      <c r="J21410" s="10" t="inlineStr">
        <is>
          <t>Bán hàng / Kinh doanh, Thực phẩm &amp; Đồ uống</t>
        </is>
      </c>
      <c r="K21410" s="10" t="inlineStr">
        <is>
          <t>1 - 2 Năm</t>
        </is>
      </c>
      <c r="L21410" s="11">
        <f>HYPERLINK("https://careerviet.vn/vi/tim-viec-lam/nhan-vien-ho-tro-kinh-doanh-sale-admin.35C632B8.html","Xem chi tiết")</f>
        <v/>
      </c>
      <c r="M21410" s="10" t="n"/>
    </row>
    <row r="21411">
      <c r="B21411" s="7" t="n">
        <v>21409</v>
      </c>
      <c r="C21411" t="inlineStr">
        <is>
          <t>Chuyên Viên Báo Cáo Định Kỳ (Phòng Quan hệ Công)</t>
        </is>
      </c>
      <c r="D21411" t="inlineStr">
        <is>
          <t>LOTTE FINANCE VIETNAM</t>
        </is>
      </c>
      <c r="E21411" t="inlineStr">
        <is>
          <t>Lương:Cạnh tranh</t>
        </is>
      </c>
      <c r="F21411" t="inlineStr">
        <is>
          <t>Hà Nội</t>
        </is>
      </c>
      <c r="G21411" t="inlineStr">
        <is>
          <t>1</t>
        </is>
      </c>
      <c r="H21411" t="inlineStr">
        <is>
          <t>18/03/2026</t>
        </is>
      </c>
      <c r="I21411" t="inlineStr">
        <is>
          <t>17/03/2026</t>
        </is>
      </c>
      <c r="J21411" t="inlineStr">
        <is>
          <t>Bảo hiểm, Chứng khoán, Ngân hàng</t>
        </is>
      </c>
      <c r="K21411" t="inlineStr">
        <is>
          <t>Trên 1 Năm</t>
        </is>
      </c>
      <c r="L21411" s="8">
        <f>HYPERLINK("https://careerviet.vn/vi/tim-viec-lam/chuyen-vien-bao-cao-dinh-ky-phong-quan-he-cong.35C6342D.html","Xem chi tiết")</f>
        <v/>
      </c>
    </row>
    <row r="21412">
      <c r="B21412" s="9" t="n">
        <v>21410</v>
      </c>
      <c r="C21412" s="10" t="inlineStr">
        <is>
          <t>Nhân Viên Mua Hàng Nguyên Vật Liệu</t>
        </is>
      </c>
      <c r="D21412" s="10" t="inlineStr">
        <is>
          <t>Tập Đoàn Kim Tín</t>
        </is>
      </c>
      <c r="E21412" s="10" t="inlineStr">
        <is>
          <t>Lương:Cạnh tranh</t>
        </is>
      </c>
      <c r="F21412" s="10" t="inlineStr">
        <is>
          <t>Hồ Chí Minh</t>
        </is>
      </c>
      <c r="G21412" s="10" t="inlineStr">
        <is>
          <t>1</t>
        </is>
      </c>
      <c r="H21412" s="10" t="inlineStr">
        <is>
          <t>18/03/2026</t>
        </is>
      </c>
      <c r="I21412" s="10" t="inlineStr">
        <is>
          <t>17/03/2026</t>
        </is>
      </c>
      <c r="J21412" s="10" t="inlineStr">
        <is>
          <t>Sản xuất / Vận hành sản xuất, Thu mua / Vật tư, Xuất nhập khẩu</t>
        </is>
      </c>
      <c r="K21412" s="10" t="inlineStr">
        <is>
          <t>2 - 5 Năm</t>
        </is>
      </c>
      <c r="L21412" s="11">
        <f>HYPERLINK("https://careerviet.vn/vi/tim-viec-lam/nhan-vien-mua-hang-nguyen-vat-lieu.35C633F2.html","Xem chi tiết")</f>
        <v/>
      </c>
      <c r="M21412" s="10" t="n"/>
    </row>
    <row r="21413">
      <c r="B21413" s="7" t="n">
        <v>21411</v>
      </c>
      <c r="C21413" t="inlineStr">
        <is>
          <t>126179 - Associate - Law Firm</t>
        </is>
      </c>
      <c r="D21413" t="inlineStr">
        <is>
          <t>RGF HR Agent Vietnam Co., LTD</t>
        </is>
      </c>
      <c r="E21413" t="inlineStr">
        <is>
          <t>Lương:Cạnh tranh</t>
        </is>
      </c>
      <c r="F21413" t="inlineStr">
        <is>
          <t>Hồ Chí Minh</t>
        </is>
      </c>
      <c r="G21413" t="inlineStr">
        <is>
          <t>1</t>
        </is>
      </c>
      <c r="H21413" t="inlineStr">
        <is>
          <t>18/03/2026</t>
        </is>
      </c>
      <c r="I21413" t="inlineStr">
        <is>
          <t>17/03/2026</t>
        </is>
      </c>
      <c r="J21413" t="inlineStr">
        <is>
          <t>Luật / Pháp lý</t>
        </is>
      </c>
      <c r="K21413" t="inlineStr">
        <is>
          <t>2 - 3 Năm</t>
        </is>
      </c>
      <c r="L21413" s="8">
        <f>HYPERLINK("https://careerviet.vn/vi/tim-viec-lam/126179-associate-law-firm.35C633E2.html","Xem chi tiết")</f>
        <v/>
      </c>
    </row>
    <row r="21414">
      <c r="B21414" s="9" t="n">
        <v>21412</v>
      </c>
      <c r="C21414" s="10" t="inlineStr">
        <is>
          <t>Nhân Viên Giới Thiệu Sản phẩm Toàn Thời Gian</t>
        </is>
      </c>
      <c r="D21414" s="10" t="inlineStr">
        <is>
          <t>Công ty TNHH Chế biến thực phẩm Đông Đô</t>
        </is>
      </c>
      <c r="E21414" s="10" t="inlineStr">
        <is>
          <t>Lương:11 Tr - 14 Tr VND</t>
        </is>
      </c>
      <c r="F21414" s="10" t="inlineStr">
        <is>
          <t>Hà NộiHải PhòngQuảng Ninh</t>
        </is>
      </c>
      <c r="G21414" s="10" t="inlineStr">
        <is>
          <t>1</t>
        </is>
      </c>
      <c r="H21414" s="10" t="inlineStr">
        <is>
          <t>18/03/2026</t>
        </is>
      </c>
      <c r="I21414" s="10" t="inlineStr">
        <is>
          <t>17/03/2026</t>
        </is>
      </c>
      <c r="J21414" s="10" t="inlineStr">
        <is>
          <t>Tiếp thị / Marketing, Bán hàng / Kinh doanh, Thực phẩm &amp; Đồ uống</t>
        </is>
      </c>
      <c r="K21414" s="10" t="inlineStr">
        <is>
          <t>Lên đến 1 Năm</t>
        </is>
      </c>
      <c r="L21414" s="11">
        <f>HYPERLINK("https://careerviet.vn/vi/tim-viec-lam/nhan-vien-gioi-thieu-san-pham-toan-thoi-gian.35C63334.html","Xem chi tiết")</f>
        <v/>
      </c>
      <c r="M21414" s="10" t="n"/>
    </row>
    <row r="21415">
      <c r="B21415" s="7" t="n">
        <v>21413</v>
      </c>
      <c r="C21415" t="inlineStr">
        <is>
          <t>Chuyên viên Kinh doanh Kênh Phân phối (B2B)</t>
        </is>
      </c>
      <c r="D21415" t="inlineStr">
        <is>
          <t>Công ty TNHH Bình Việt Đức (BIVID)</t>
        </is>
      </c>
      <c r="E21415" t="inlineStr">
        <is>
          <t>Lương:Cạnh tranh</t>
        </is>
      </c>
      <c r="F21415" t="inlineStr">
        <is>
          <t>Hồ Chí Minh</t>
        </is>
      </c>
      <c r="G21415" t="inlineStr">
        <is>
          <t>1</t>
        </is>
      </c>
      <c r="H21415" t="inlineStr">
        <is>
          <t>18/03/2026</t>
        </is>
      </c>
      <c r="I21415" t="inlineStr">
        <is>
          <t>17/03/2026</t>
        </is>
      </c>
      <c r="J21415" t="inlineStr">
        <is>
          <t>Bán hàng / Kinh doanh, Dược phẩm/ Hóa Mỹ Phẩm, Y tế / Chăm sóc sức khỏe / Thẩm mỹ / Làm đẹp</t>
        </is>
      </c>
      <c r="K21415" t="inlineStr">
        <is>
          <t>1 - 3 Năm</t>
        </is>
      </c>
      <c r="L21415" s="8">
        <f>HYPERLINK("https://careerviet.vn/vi/tim-viec-lam/chuyen-vien-kinh-doanh-kenh-phan-phoi-b2b.35C633EF.html","Xem chi tiết")</f>
        <v/>
      </c>
    </row>
    <row r="21416">
      <c r="B21416" s="9" t="n">
        <v>21414</v>
      </c>
      <c r="C21416" s="10" t="inlineStr">
        <is>
          <t>Sales Admin</t>
        </is>
      </c>
      <c r="D21416" s="10" t="inlineStr">
        <is>
          <t>CÔNG TY TNHH BẢO THẠCH SÀI GÒN</t>
        </is>
      </c>
      <c r="E21416" s="10" t="inlineStr">
        <is>
          <t>Lương:9 Tr - 12 Tr VND</t>
        </is>
      </c>
      <c r="F21416" s="10" t="inlineStr">
        <is>
          <t>Bình DươngHồ Chí Minh</t>
        </is>
      </c>
      <c r="G21416" s="10" t="inlineStr">
        <is>
          <t>1</t>
        </is>
      </c>
      <c r="H21416" s="10" t="inlineStr">
        <is>
          <t>18/03/2026</t>
        </is>
      </c>
      <c r="I21416" s="10" t="inlineStr">
        <is>
          <t>17/03/2026</t>
        </is>
      </c>
      <c r="J21416" s="10" t="inlineStr">
        <is>
          <t>Tiếp thị / Marketing, Bán lẻ / Bán sỉ, Bán hàng / Kinh doanh</t>
        </is>
      </c>
      <c r="K21416" s="10" t="inlineStr">
        <is>
          <t>Trên 1 Năm</t>
        </is>
      </c>
      <c r="L21416" s="11">
        <f>HYPERLINK("https://careerviet.vn/vi/tim-viec-lam/sales-admin.35C633DB.html","Xem chi tiết")</f>
        <v/>
      </c>
      <c r="M21416" s="10" t="n"/>
    </row>
    <row r="21417">
      <c r="B21417" s="7" t="n">
        <v>21415</v>
      </c>
      <c r="C21417" t="inlineStr">
        <is>
          <t>Nhân viên QA( chuyên Ngành Hóa)</t>
        </is>
      </c>
      <c r="D21417" t="inlineStr">
        <is>
          <t>Tập Đoàn Kim Tín</t>
        </is>
      </c>
      <c r="E21417" t="inlineStr">
        <is>
          <t>Lương:Cạnh tranh</t>
        </is>
      </c>
      <c r="F21417" t="inlineStr">
        <is>
          <t>Bình Phước</t>
        </is>
      </c>
      <c r="G21417" t="inlineStr">
        <is>
          <t>1</t>
        </is>
      </c>
      <c r="H21417" t="inlineStr">
        <is>
          <t>18/03/2026</t>
        </is>
      </c>
      <c r="I21417" t="inlineStr">
        <is>
          <t>17/03/2026</t>
        </is>
      </c>
      <c r="J21417" t="inlineStr">
        <is>
          <t>Công nghệ sinh học, Hóa học</t>
        </is>
      </c>
      <c r="K21417" t="inlineStr">
        <is>
          <t>Chưa có kinh nghiệm</t>
        </is>
      </c>
      <c r="L21417" s="8">
        <f>HYPERLINK("https://careerviet.vn/vi/tim-viec-lam/nhan-vien-qa-chuyen-nganh-hoa.35C633B7.html","Xem chi tiết")</f>
        <v/>
      </c>
    </row>
    <row r="21418">
      <c r="B21418" s="9" t="n">
        <v>21416</v>
      </c>
      <c r="C21418" s="10" t="inlineStr">
        <is>
          <t>Press Die &amp; Mold Maintenance Manager</t>
        </is>
      </c>
      <c r="D21418" s="10" t="inlineStr">
        <is>
          <t>HR Vietnam’s ESS Client</t>
        </is>
      </c>
      <c r="E21418" s="10" t="inlineStr">
        <is>
          <t>Lương:Cạnh tranh</t>
        </is>
      </c>
      <c r="F21418" s="10" t="inlineStr">
        <is>
          <t>Hà Nội</t>
        </is>
      </c>
      <c r="G21418" s="10" t="inlineStr">
        <is>
          <t>1</t>
        </is>
      </c>
      <c r="H21418" s="10" t="inlineStr">
        <is>
          <t>18/03/2026</t>
        </is>
      </c>
      <c r="I21418" s="10" t="inlineStr">
        <is>
          <t>17/03/2026</t>
        </is>
      </c>
      <c r="J21418" s="10" t="inlineStr">
        <is>
          <t>Điện / Điện tử / Điện lạnh / Điện công nghiệp, Cơ khí / Ô tô / Tự động hóa, Sản xuất / Vận hành sản xuất</t>
        </is>
      </c>
      <c r="K21418" s="10" t="inlineStr">
        <is>
          <t>5 - 7 Năm</t>
        </is>
      </c>
      <c r="L21418" s="11">
        <f>HYPERLINK("https://careerviet.vn/vi/tim-viec-lam/press-die-mold-maintenance-manager.35C6326C.html","Xem chi tiết")</f>
        <v/>
      </c>
      <c r="M21418" s="10" t="n"/>
    </row>
    <row r="21419">
      <c r="B21419" s="7" t="n">
        <v>21417</v>
      </c>
      <c r="C21419" t="inlineStr">
        <is>
          <t>Nhân viên Bán hàng tại Showroom</t>
        </is>
      </c>
      <c r="D21419" t="inlineStr">
        <is>
          <t>Công ty TNHH Mỹ Phục - Eva De Eva</t>
        </is>
      </c>
      <c r="E21419" t="inlineStr">
        <is>
          <t>Lương:7 Tr - 12 Tr VND</t>
        </is>
      </c>
      <c r="F21419" t="inlineStr">
        <is>
          <t>Hà Nội</t>
        </is>
      </c>
      <c r="G21419" t="inlineStr">
        <is>
          <t>1</t>
        </is>
      </c>
      <c r="H21419" t="inlineStr">
        <is>
          <t>18/03/2026</t>
        </is>
      </c>
      <c r="I21419" t="inlineStr">
        <is>
          <t>17/03/2026</t>
        </is>
      </c>
      <c r="J21419" t="inlineStr">
        <is>
          <t>Bán hàng / Kinh doanh</t>
        </is>
      </c>
      <c r="K21419" t="inlineStr">
        <is>
          <t>N/A</t>
        </is>
      </c>
      <c r="L21419" s="8">
        <f>HYPERLINK("https://careerviet.vn/vi/tim-viec-lam/nhan-vien-ban-hang-tai-showroom.35C632E4.html","Xem chi tiết")</f>
        <v/>
      </c>
    </row>
    <row r="21420">
      <c r="B21420" s="9" t="n">
        <v>21418</v>
      </c>
      <c r="C21420" s="10" t="inlineStr">
        <is>
          <t>Phân Tích Dữ Liệu Kinh Doanh (BUSINESS DATA ANALYST)</t>
        </is>
      </c>
      <c r="D21420" s="10" t="inlineStr">
        <is>
          <t>CÔNG TY CỔ PHẦN MÁY CÔNG TRÌNH PHÚC LONG</t>
        </is>
      </c>
      <c r="E21420" s="10" t="inlineStr">
        <is>
          <t>Lương:Cạnh tranh</t>
        </is>
      </c>
      <c r="F21420" s="10" t="inlineStr">
        <is>
          <t>Hà Nội</t>
        </is>
      </c>
      <c r="G21420" s="10" t="inlineStr">
        <is>
          <t>1</t>
        </is>
      </c>
      <c r="H21420" s="10" t="inlineStr">
        <is>
          <t>18/03/2026</t>
        </is>
      </c>
      <c r="I21420" s="10" t="inlineStr">
        <is>
          <t>17/03/2026</t>
        </is>
      </c>
      <c r="J21420" s="10" t="inlineStr">
        <is>
          <t>Xuất nhập khẩu, CNTT - Phần mềm, CNTT - Phần cứng / Mạng</t>
        </is>
      </c>
      <c r="K21420" s="10" t="inlineStr">
        <is>
          <t>Trên 3 Năm</t>
        </is>
      </c>
      <c r="L21420" s="11">
        <f>HYPERLINK("https://careerviet.vn/vi/tim-viec-lam/phan-tich-du-lieu-kinh-doanh-business-data-analyst.35C63311.html","Xem chi tiết")</f>
        <v/>
      </c>
      <c r="M21420" s="10" t="n"/>
    </row>
    <row r="21421">
      <c r="B21421" s="7" t="n">
        <v>21419</v>
      </c>
      <c r="C21421" t="inlineStr">
        <is>
          <t>Kế Toán Trưởng</t>
        </is>
      </c>
      <c r="D21421" t="inlineStr">
        <is>
          <t>Công ty cổ phần nhà máy trang thiết bị y tế Usm Healthcare</t>
        </is>
      </c>
      <c r="E21421" t="inlineStr">
        <is>
          <t>Lương:20 Tr - 30 Tr VND</t>
        </is>
      </c>
      <c r="F21421" t="inlineStr">
        <is>
          <t>Hồ Chí Minh</t>
        </is>
      </c>
      <c r="G21421" t="inlineStr">
        <is>
          <t>1</t>
        </is>
      </c>
      <c r="H21421" t="inlineStr">
        <is>
          <t>18/03/2026</t>
        </is>
      </c>
      <c r="I21421" t="inlineStr">
        <is>
          <t>17/03/2026</t>
        </is>
      </c>
      <c r="J21421" t="inlineStr">
        <is>
          <t>Y tế / Chăm sóc sức khỏe / Thẩm mỹ / Làm đẹp, Kế toán / Kiểm toán, Tài chính / Đầu tư</t>
        </is>
      </c>
      <c r="K21421" t="inlineStr">
        <is>
          <t>5 - 7 Năm</t>
        </is>
      </c>
      <c r="L21421" s="8">
        <f>HYPERLINK("https://careerviet.vn/vi/tim-viec-lam/ke-toan-truong.35C63374.html","Xem chi tiết")</f>
        <v/>
      </c>
    </row>
    <row r="21422">
      <c r="B21422" s="9" t="n">
        <v>21420</v>
      </c>
      <c r="C21422" s="10" t="inlineStr">
        <is>
          <t>Nhân viên Sale Admin</t>
        </is>
      </c>
      <c r="D21422" s="10" t="inlineStr">
        <is>
          <t>Tập Đoàn Karofi Holding</t>
        </is>
      </c>
      <c r="E21422" s="10" t="inlineStr">
        <is>
          <t>Lương:10 Tr - 13 Tr VND</t>
        </is>
      </c>
      <c r="F21422" s="10" t="inlineStr">
        <is>
          <t>Hà Nội</t>
        </is>
      </c>
      <c r="G21422" s="10" t="inlineStr">
        <is>
          <t>1</t>
        </is>
      </c>
      <c r="H21422" s="10" t="inlineStr">
        <is>
          <t>18/03/2026</t>
        </is>
      </c>
      <c r="I21422" s="10" t="inlineStr">
        <is>
          <t>17/03/2026</t>
        </is>
      </c>
      <c r="J21422" s="10" t="inlineStr">
        <is>
          <t>Bán hàng / Kinh doanh, Hành chính / Thư ký</t>
        </is>
      </c>
      <c r="K21422" s="10" t="inlineStr">
        <is>
          <t>Trên 2 Năm</t>
        </is>
      </c>
      <c r="L21422" s="11">
        <f>HYPERLINK("https://careerviet.vn/vi/tim-viec-lam/nhan-vien-sale-admin.35C632EB.html","Xem chi tiết")</f>
        <v/>
      </c>
      <c r="M21422" s="10" t="n"/>
    </row>
    <row r="21423">
      <c r="B21423" s="7" t="n">
        <v>21421</v>
      </c>
      <c r="C21423" t="inlineStr">
        <is>
          <t>TÂY NINH - NHÂN VIÊN QUẢN LÝ CHẤT LƯƠNG (QC STAFF)</t>
        </is>
      </c>
      <c r="D21423" t="inlineStr">
        <is>
          <t>Công Ty TNHH CJ Vina Agri</t>
        </is>
      </c>
      <c r="E21423" t="inlineStr">
        <is>
          <t>Lương:Cạnh tranh</t>
        </is>
      </c>
      <c r="F21423" t="inlineStr">
        <is>
          <t>Long An</t>
        </is>
      </c>
      <c r="G21423" t="inlineStr">
        <is>
          <t>1</t>
        </is>
      </c>
      <c r="H21423" t="inlineStr">
        <is>
          <t>18/03/2026</t>
        </is>
      </c>
      <c r="I21423" t="inlineStr">
        <is>
          <t>17/03/2026</t>
        </is>
      </c>
      <c r="J21423" t="inlineStr">
        <is>
          <t>Chăn nuôi / Thú y, Công nghệ thực phẩm / Dinh dưỡng</t>
        </is>
      </c>
      <c r="K21423" t="inlineStr">
        <is>
          <t>1 - 2 Năm</t>
        </is>
      </c>
      <c r="L21423" s="8">
        <f>HYPERLINK("https://careerviet.vn/vi/tim-viec-lam/tay-ninh-nhan-vien-quan-ly-chat-luong-qc-staff.35C633A6.html","Xem chi tiết")</f>
        <v/>
      </c>
    </row>
    <row r="21424">
      <c r="B21424" s="9" t="n">
        <v>21422</v>
      </c>
      <c r="C21424" s="10" t="inlineStr">
        <is>
          <t>126042 - Legal Specialist - Logistics</t>
        </is>
      </c>
      <c r="D21424" s="10" t="inlineStr">
        <is>
          <t>RGF HR Agent Vietnam Co., LTD</t>
        </is>
      </c>
      <c r="E21424" s="10" t="inlineStr">
        <is>
          <t>Lương:Cạnh tranh</t>
        </is>
      </c>
      <c r="F21424" s="10" t="inlineStr">
        <is>
          <t>Hồ Chí Minh</t>
        </is>
      </c>
      <c r="G21424" s="10" t="inlineStr">
        <is>
          <t>1</t>
        </is>
      </c>
      <c r="H21424" s="10" t="inlineStr">
        <is>
          <t>18/03/2026</t>
        </is>
      </c>
      <c r="I21424" s="10" t="inlineStr">
        <is>
          <t>17/03/2026</t>
        </is>
      </c>
      <c r="J21424" s="10" t="inlineStr">
        <is>
          <t>Luật / Pháp lý, Vận chuyển / Giao nhận / Kho vận</t>
        </is>
      </c>
      <c r="K21424" s="10" t="inlineStr">
        <is>
          <t>Trên 5 Năm</t>
        </is>
      </c>
      <c r="L21424" s="11">
        <f>HYPERLINK("https://careerviet.vn/vi/tim-viec-lam/126042-legal-specialist-logistics.35C63364.html","Xem chi tiết")</f>
        <v/>
      </c>
      <c r="M21424" s="10" t="n"/>
    </row>
    <row r="21425">
      <c r="B21425" s="7" t="n">
        <v>21423</v>
      </c>
      <c r="C21425" t="inlineStr">
        <is>
          <t>Nhân viên kỹ thuật cơ điện (NOC Hạ tầng)</t>
        </is>
      </c>
      <c r="D21425" t="inlineStr">
        <is>
          <t>Công ty TNHH Viettel - CHT</t>
        </is>
      </c>
      <c r="E21425" t="inlineStr">
        <is>
          <t>Lương:Cạnh tranh</t>
        </is>
      </c>
      <c r="F21425" t="inlineStr">
        <is>
          <t>Hà NộiHồ Chí Minh</t>
        </is>
      </c>
      <c r="G21425" t="inlineStr">
        <is>
          <t>1</t>
        </is>
      </c>
      <c r="H21425" t="inlineStr">
        <is>
          <t>18/03/2026</t>
        </is>
      </c>
      <c r="I21425" t="inlineStr">
        <is>
          <t>17/03/2026</t>
        </is>
      </c>
      <c r="J21425" t="inlineStr">
        <is>
          <t>CNTT - Phần cứng / Mạng, Điện / Điện tử / Điện lạnh / Điện công nghiệp</t>
        </is>
      </c>
      <c r="K21425" t="inlineStr">
        <is>
          <t>Trên 1 Năm</t>
        </is>
      </c>
      <c r="L21425" s="8">
        <f>HYPERLINK("https://careerviet.vn/vi/tim-viec-lam/nhan-vien-ky-thuat-co-dien-noc-ha-tang.35C63341.html","Xem chi tiết")</f>
        <v/>
      </c>
    </row>
    <row r="21426">
      <c r="B21426" s="9" t="n">
        <v>21424</v>
      </c>
      <c r="C21426" s="10" t="inlineStr">
        <is>
          <t>NHÂN VIÊN KINH DOANH</t>
        </is>
      </c>
      <c r="D21426" s="10" t="inlineStr">
        <is>
          <t>Công Ty TNHH Hạt Giống C.P Việt Nam</t>
        </is>
      </c>
      <c r="E21426" s="10" t="inlineStr">
        <is>
          <t>Lương:8 Tr - 12 Tr VND</t>
        </is>
      </c>
      <c r="F21426" s="10" t="inlineStr">
        <is>
          <t>Tây Ninh</t>
        </is>
      </c>
      <c r="G21426" s="10" t="inlineStr">
        <is>
          <t>1</t>
        </is>
      </c>
      <c r="H21426" s="10" t="inlineStr">
        <is>
          <t>18/03/2026</t>
        </is>
      </c>
      <c r="I21426" s="10" t="inlineStr">
        <is>
          <t>17/03/2026</t>
        </is>
      </c>
      <c r="J21426" s="10" t="inlineStr">
        <is>
          <t>Tiếp thị / Marketing, Bán hàng / Kinh doanh, Nông nghiệp</t>
        </is>
      </c>
      <c r="K21426" s="10" t="inlineStr">
        <is>
          <t>Chưa có kinh nghiệm</t>
        </is>
      </c>
      <c r="L21426" s="11">
        <f>HYPERLINK("https://careerviet.vn/vi/tim-viec-lam/nhan-vien-kinh-doanh.35C6328C.html","Xem chi tiết")</f>
        <v/>
      </c>
      <c r="M21426" s="10" t="n"/>
    </row>
    <row r="21427">
      <c r="B21427" s="7" t="n">
        <v>21425</v>
      </c>
      <c r="C21427" t="inlineStr">
        <is>
          <t>Nhân viên Tuyển dụng Khối Vận Hành Sản Xuất</t>
        </is>
      </c>
      <c r="D21427" t="inlineStr">
        <is>
          <t>Công Ty Cổ Phần Tân Vĩnh Cửu (Tavico group)</t>
        </is>
      </c>
      <c r="E21427" t="inlineStr">
        <is>
          <t>Lương:Cạnh tranh</t>
        </is>
      </c>
      <c r="F21427" t="inlineStr">
        <is>
          <t>Đồng Nai</t>
        </is>
      </c>
      <c r="G21427" t="inlineStr">
        <is>
          <t>1</t>
        </is>
      </c>
      <c r="H21427" t="inlineStr">
        <is>
          <t>18/03/2026</t>
        </is>
      </c>
      <c r="I21427" t="inlineStr">
        <is>
          <t>17/03/2026</t>
        </is>
      </c>
      <c r="J21427" t="inlineStr">
        <is>
          <t>Nhân sự</t>
        </is>
      </c>
      <c r="K21427" t="inlineStr">
        <is>
          <t>2 - 5 Năm</t>
        </is>
      </c>
      <c r="L21427" s="8">
        <f>HYPERLINK("https://careerviet.vn/vi/tim-viec-lam/nhan-vien-tuyen-dung-khoi-van-hanh-san-xuat.35C632A2.html","Xem chi tiết")</f>
        <v/>
      </c>
    </row>
    <row r="21428">
      <c r="B21428" s="9" t="n">
        <v>21426</v>
      </c>
      <c r="C21428" s="10" t="inlineStr">
        <is>
          <t>126060 - Project Manager / Construction Manager - Real Estate</t>
        </is>
      </c>
      <c r="D21428" s="10" t="inlineStr">
        <is>
          <t>RGF HR Agent Vietnam Co., LTD</t>
        </is>
      </c>
      <c r="E21428" s="10" t="inlineStr">
        <is>
          <t>Lương:40 Tr - 40 Tr VND</t>
        </is>
      </c>
      <c r="F21428" s="10" t="inlineStr">
        <is>
          <t>Hồ Chí Minh</t>
        </is>
      </c>
      <c r="G21428" s="10" t="inlineStr">
        <is>
          <t>1</t>
        </is>
      </c>
      <c r="H21428" s="10" t="inlineStr">
        <is>
          <t>18/03/2026</t>
        </is>
      </c>
      <c r="I21428" s="10" t="inlineStr">
        <is>
          <t>17/03/2026</t>
        </is>
      </c>
      <c r="J21428" s="10" t="inlineStr">
        <is>
          <t>Kiến trúc, Xây dựng</t>
        </is>
      </c>
      <c r="K21428" s="10" t="inlineStr">
        <is>
          <t>Trên 5 Năm</t>
        </is>
      </c>
      <c r="L21428" s="11">
        <f>HYPERLINK("https://careerviet.vn/vi/tim-viec-lam/126060-project-manager-construction-manager-real-estate.35C633DA.html","Xem chi tiết")</f>
        <v/>
      </c>
      <c r="M21428" s="10" t="n"/>
    </row>
    <row r="21429">
      <c r="B21429" s="7" t="n">
        <v>21427</v>
      </c>
      <c r="C21429" t="inlineStr">
        <is>
          <t>GIÁM ĐỐC THU MUA</t>
        </is>
      </c>
      <c r="D21429" t="inlineStr">
        <is>
          <t>CÔNG TY TNHH COCREATION GRASS CORPORATION VIỆT NAM</t>
        </is>
      </c>
      <c r="E21429" t="inlineStr">
        <is>
          <t>Lương:35 Tr - 45 Tr VND</t>
        </is>
      </c>
      <c r="F21429" t="inlineStr">
        <is>
          <t>Tây Ninh</t>
        </is>
      </c>
      <c r="G21429" t="inlineStr">
        <is>
          <t>1</t>
        </is>
      </c>
      <c r="H21429" t="inlineStr">
        <is>
          <t>18/03/2026</t>
        </is>
      </c>
      <c r="I21429" t="inlineStr">
        <is>
          <t>17/03/2026</t>
        </is>
      </c>
      <c r="J21429" t="inlineStr">
        <is>
          <t>Sản xuất / Vận hành sản xuất, Thu mua / Vật tư</t>
        </is>
      </c>
      <c r="K21429" t="inlineStr">
        <is>
          <t>Trên 5 Năm</t>
        </is>
      </c>
      <c r="L21429" s="8">
        <f>HYPERLINK("https://careerviet.vn/vi/tim-viec-lam/giam-doc-thu-mua.35C63375.html","Xem chi tiết")</f>
        <v/>
      </c>
    </row>
    <row r="21430">
      <c r="B21430" s="9" t="n">
        <v>21428</v>
      </c>
      <c r="C21430" s="10" t="inlineStr">
        <is>
          <t>125833 - Supplier Management cum Sales (Team Management Level) - Textile</t>
        </is>
      </c>
      <c r="D21430" s="10" t="inlineStr">
        <is>
          <t>RGF HR Agent Vietnam Co., LTD</t>
        </is>
      </c>
      <c r="E21430" s="10" t="inlineStr">
        <is>
          <t>Lương:20 Tr - 30 Tr VND</t>
        </is>
      </c>
      <c r="F21430" s="10" t="inlineStr">
        <is>
          <t>Hồ Chí Minh</t>
        </is>
      </c>
      <c r="G21430" s="10" t="inlineStr">
        <is>
          <t>1</t>
        </is>
      </c>
      <c r="H21430" s="10" t="inlineStr">
        <is>
          <t>18/03/2026</t>
        </is>
      </c>
      <c r="I21430" s="10" t="inlineStr">
        <is>
          <t>17/03/2026</t>
        </is>
      </c>
      <c r="J21430" s="10" t="inlineStr">
        <is>
          <t>Dệt may / Da giày / Thời trang</t>
        </is>
      </c>
      <c r="K21430" s="10" t="inlineStr">
        <is>
          <t>Trên 4 Năm</t>
        </is>
      </c>
      <c r="L21430" s="11">
        <f>HYPERLINK("https://careerviet.vn/vi/tim-viec-lam/125833-supplier-management-cum-sales-team-management-level-textile.35C63343.html","Xem chi tiết")</f>
        <v/>
      </c>
      <c r="M21430" s="10" t="n"/>
    </row>
    <row r="21431">
      <c r="B21431" s="7" t="n">
        <v>21429</v>
      </c>
      <c r="C21431" t="inlineStr">
        <is>
          <t>Quality Engineer (Kỹ Sư Chất Lượng)</t>
        </is>
      </c>
      <c r="D21431" t="inlineStr">
        <is>
          <t>DP Systems Electronic Mechanical Technology Vietnam Co., Ltd</t>
        </is>
      </c>
      <c r="E21431" t="inlineStr">
        <is>
          <t>Lương:Cạnh tranh</t>
        </is>
      </c>
      <c r="F21431" t="inlineStr">
        <is>
          <t>Bình Dương</t>
        </is>
      </c>
      <c r="G21431" t="inlineStr">
        <is>
          <t>1</t>
        </is>
      </c>
      <c r="H21431" t="inlineStr">
        <is>
          <t>18/03/2026</t>
        </is>
      </c>
      <c r="I21431" t="inlineStr">
        <is>
          <t>17/03/2026</t>
        </is>
      </c>
      <c r="J21431" t="inlineStr">
        <is>
          <t>Cơ khí / Ô tô / Tự động hóa, Quản lý chất lượng (QA/QC)</t>
        </is>
      </c>
      <c r="K21431" t="inlineStr">
        <is>
          <t>1 - 10 Năm</t>
        </is>
      </c>
      <c r="L21431" s="8">
        <f>HYPERLINK("https://careerviet.vn/vi/tim-viec-lam/quality-engineer-ky-su-chat-luong.35C6339B.html","Xem chi tiết")</f>
        <v/>
      </c>
    </row>
    <row r="21432">
      <c r="B21432" s="9" t="n">
        <v>21430</v>
      </c>
      <c r="C21432" s="10" t="inlineStr">
        <is>
          <t>Embedded  Engineer</t>
        </is>
      </c>
      <c r="D21432" s="10" t="inlineStr">
        <is>
          <t>TECOTEC Technology</t>
        </is>
      </c>
      <c r="E21432" s="10" t="inlineStr">
        <is>
          <t>Lương:Lên đến 15 Tr VND</t>
        </is>
      </c>
      <c r="F21432" s="10" t="inlineStr">
        <is>
          <t>Hà Nội</t>
        </is>
      </c>
      <c r="G21432" s="10" t="inlineStr">
        <is>
          <t>1</t>
        </is>
      </c>
      <c r="H21432" s="10" t="inlineStr">
        <is>
          <t>18/03/2026</t>
        </is>
      </c>
      <c r="I21432" s="10" t="inlineStr">
        <is>
          <t>17/03/2026</t>
        </is>
      </c>
      <c r="J21432" s="10" t="inlineStr">
        <is>
          <t>Điện / Điện tử / Điện lạnh / Điện công nghiệp, CNTT - Phần mềm, Cơ khí / Ô tô / Tự động hóa</t>
        </is>
      </c>
      <c r="K21432" s="10" t="inlineStr">
        <is>
          <t>1 - 2 Năm</t>
        </is>
      </c>
      <c r="L21432" s="11">
        <f>HYPERLINK("https://careerviet.vn/vi/tim-viec-lam/embedded-engineer.35C632E0.html","Xem chi tiết")</f>
        <v/>
      </c>
      <c r="M21432" s="10" t="n"/>
    </row>
    <row r="21433">
      <c r="B21433" s="7" t="n">
        <v>21431</v>
      </c>
      <c r="C21433" t="inlineStr">
        <is>
          <t>Chuyên Viên Kinh Doanh Ngành Gia Dụng/Điện Máy</t>
        </is>
      </c>
      <c r="D21433" t="inlineStr">
        <is>
          <t>Tập Đoàn Karofi Holding</t>
        </is>
      </c>
      <c r="E21433" t="inlineStr">
        <is>
          <t>Lương:24 Tr - 29 Tr VND</t>
        </is>
      </c>
      <c r="F21433" t="inlineStr">
        <is>
          <t>Hồ Chí MinhKV Tây NguyênKV Đông Nam Bộ</t>
        </is>
      </c>
      <c r="G21433" t="inlineStr">
        <is>
          <t>1</t>
        </is>
      </c>
      <c r="H21433" t="inlineStr">
        <is>
          <t>18/03/2026</t>
        </is>
      </c>
      <c r="I21433" t="inlineStr">
        <is>
          <t>17/03/2026</t>
        </is>
      </c>
      <c r="J21433" t="inlineStr">
        <is>
          <t>Bán lẻ / Bán sỉ, Bán hàng / Kinh doanh, Điện / Điện tử / Điện lạnh / Điện công nghiệp</t>
        </is>
      </c>
      <c r="K21433" t="inlineStr">
        <is>
          <t>Trên 2 Năm</t>
        </is>
      </c>
      <c r="L21433" s="8">
        <f>HYPERLINK("https://careerviet.vn/vi/tim-viec-lam/chuyen-vien-kinh-doanh-nganh-gia-dung-dien-may.35C632CA.html","Xem chi tiết")</f>
        <v/>
      </c>
    </row>
    <row r="21434">
      <c r="B21434" s="9" t="n">
        <v>21432</v>
      </c>
      <c r="C21434" s="10" t="inlineStr">
        <is>
          <t>NHÂN VIÊN KINH DOANH QUỐC TẾ (Không yêu cầu kinh nghiệm)</t>
        </is>
      </c>
      <c r="D21434" s="10" t="inlineStr">
        <is>
          <t>Công ty TNHH MTV Bao bì quốc tế</t>
        </is>
      </c>
      <c r="E21434" s="10" t="inlineStr">
        <is>
          <t>Lương:12 Tr - 20 Tr VND</t>
        </is>
      </c>
      <c r="F21434" s="10" t="inlineStr">
        <is>
          <t>Hà Nội</t>
        </is>
      </c>
      <c r="G21434" s="10" t="inlineStr">
        <is>
          <t>1</t>
        </is>
      </c>
      <c r="H21434" s="10" t="inlineStr">
        <is>
          <t>18/03/2026</t>
        </is>
      </c>
      <c r="I21434" s="10" t="inlineStr">
        <is>
          <t>17/03/2026</t>
        </is>
      </c>
      <c r="J21434" s="10" t="inlineStr">
        <is>
          <t>Tiếp thị / Marketing, Bán lẻ / Bán sỉ, Bán hàng / Kinh doanh</t>
        </is>
      </c>
      <c r="K21434" s="10" t="inlineStr">
        <is>
          <t>N/A</t>
        </is>
      </c>
      <c r="L21434" s="11">
        <f>HYPERLINK("https://careerviet.vn/vi/tim-viec-lam/nhan-vien-kinh-doanh-quoc-te-khong-yeu-cau-kinh-nghiem.35C63414.html","Xem chi tiết")</f>
        <v/>
      </c>
      <c r="M21434" s="10" t="n"/>
    </row>
    <row r="21435">
      <c r="B21435" s="7" t="n">
        <v>21433</v>
      </c>
      <c r="C21435" t="inlineStr">
        <is>
          <t>WAREHOUSE SUPERVISOR</t>
        </is>
      </c>
      <c r="D21435" t="inlineStr">
        <is>
          <t>Công Ty TNHH CJ Foods Việt Nam</t>
        </is>
      </c>
      <c r="E21435" t="inlineStr">
        <is>
          <t>Lương:Cạnh tranh</t>
        </is>
      </c>
      <c r="F21435" t="inlineStr">
        <is>
          <t>Bà Rịa - Vũng Tàu</t>
        </is>
      </c>
      <c r="G21435" t="inlineStr">
        <is>
          <t>1</t>
        </is>
      </c>
      <c r="H21435" t="inlineStr">
        <is>
          <t>18/03/2026</t>
        </is>
      </c>
      <c r="I21435" t="inlineStr">
        <is>
          <t>17/03/2026</t>
        </is>
      </c>
      <c r="J21435" t="inlineStr">
        <is>
          <t>Sản xuất / Vận hành sản xuất</t>
        </is>
      </c>
      <c r="K21435" t="inlineStr">
        <is>
          <t>3 - 5 Năm</t>
        </is>
      </c>
      <c r="L21435" s="8">
        <f>HYPERLINK("https://careerviet.vn/vi/tim-viec-lam/warehouse-supervisor.35C6335E.html","Xem chi tiết")</f>
        <v/>
      </c>
    </row>
    <row r="21436">
      <c r="B21436" s="9" t="n">
        <v>21434</v>
      </c>
      <c r="C21436" s="10" t="inlineStr">
        <is>
          <t>Sales Executive (Nhân Viên Kinh Doanh Nguyên Liệu Bia Rượu)</t>
        </is>
      </c>
      <c r="D21436" s="10" t="inlineStr">
        <is>
          <t>CÔNG TY TNHH DỊCH VỤ &amp; PHÁT TRIỂN ĐẦU TƯ HMG</t>
        </is>
      </c>
      <c r="E21436" s="10" t="inlineStr">
        <is>
          <t>Lương:Cạnh tranh</t>
        </is>
      </c>
      <c r="F21436" s="10" t="inlineStr">
        <is>
          <t>Hồ Chí Minh</t>
        </is>
      </c>
      <c r="G21436" s="10" t="inlineStr">
        <is>
          <t>1</t>
        </is>
      </c>
      <c r="H21436" s="10" t="inlineStr">
        <is>
          <t>18/03/2026</t>
        </is>
      </c>
      <c r="I21436" s="10" t="inlineStr">
        <is>
          <t>17/03/2026</t>
        </is>
      </c>
      <c r="J21436" s="10" t="inlineStr">
        <is>
          <t>Bán hàng / Kinh doanh, Tư vấn, Thực phẩm &amp; Đồ uống</t>
        </is>
      </c>
      <c r="K21436" s="10" t="inlineStr">
        <is>
          <t>Trên 2 Năm</t>
        </is>
      </c>
      <c r="L21436" s="11">
        <f>HYPERLINK("https://careerviet.vn/vi/tim-viec-lam/sales-executive-nhan-vien-kinh-doanh-nguyen-lieu-bia-ruou.35C632C6.html","Xem chi tiết")</f>
        <v/>
      </c>
      <c r="M21436" s="10" t="n"/>
    </row>
    <row r="21437">
      <c r="B21437" s="7" t="n">
        <v>21435</v>
      </c>
      <c r="C21437" t="inlineStr">
        <is>
          <t>Giám Sát Công Trình</t>
        </is>
      </c>
      <c r="D21437" t="inlineStr">
        <is>
          <t>Công ty TNHH Xây Dựng và Nội Thất Nice</t>
        </is>
      </c>
      <c r="E21437" t="inlineStr">
        <is>
          <t>Lương:Cạnh tranh</t>
        </is>
      </c>
      <c r="F21437" t="inlineStr">
        <is>
          <t>Hồ Chí Minh</t>
        </is>
      </c>
      <c r="G21437" t="inlineStr">
        <is>
          <t>1</t>
        </is>
      </c>
      <c r="H21437" t="inlineStr">
        <is>
          <t>18/03/2026</t>
        </is>
      </c>
      <c r="I21437" t="inlineStr">
        <is>
          <t>17/03/2026</t>
        </is>
      </c>
      <c r="J21437" t="inlineStr">
        <is>
          <t>Kiến trúc, Nội ngoại thất, Xây dựng</t>
        </is>
      </c>
      <c r="K21437" t="inlineStr">
        <is>
          <t>Trên 1 Năm</t>
        </is>
      </c>
      <c r="L21437" s="8">
        <f>HYPERLINK("https://careerviet.vn/vi/tim-viec-lam/giam-sat-cong-trinh.35C63396.html","Xem chi tiết")</f>
        <v/>
      </c>
    </row>
    <row r="21438">
      <c r="B21438" s="9" t="n">
        <v>21436</v>
      </c>
      <c r="C21438" s="10" t="inlineStr">
        <is>
          <t>Giám sát HRBP</t>
        </is>
      </c>
      <c r="D21438" s="10" t="inlineStr">
        <is>
          <t>Nova Service Group - Công ty Cổ phần Tập đoàn Nova Services</t>
        </is>
      </c>
      <c r="E21438" s="10" t="inlineStr">
        <is>
          <t>Lương:20 Tr - 25 Tr VND</t>
        </is>
      </c>
      <c r="F21438" s="10" t="inlineStr">
        <is>
          <t>Hồ Chí Minh</t>
        </is>
      </c>
      <c r="G21438" s="10" t="inlineStr">
        <is>
          <t>1</t>
        </is>
      </c>
      <c r="H21438" s="10" t="inlineStr">
        <is>
          <t>18/03/2026</t>
        </is>
      </c>
      <c r="I21438" s="10" t="inlineStr">
        <is>
          <t>17/03/2026</t>
        </is>
      </c>
      <c r="J21438" s="10" t="inlineStr">
        <is>
          <t>Nhân sự</t>
        </is>
      </c>
      <c r="K21438" s="10" t="inlineStr">
        <is>
          <t>3 - 5 Năm</t>
        </is>
      </c>
      <c r="L21438" s="11">
        <f>HYPERLINK("https://careerviet.vn/vi/tim-viec-lam/giam-sat-hrbp.35C6342B.html","Xem chi tiết")</f>
        <v/>
      </c>
      <c r="M21438" s="10" t="n"/>
    </row>
    <row r="21439">
      <c r="B21439" s="7" t="n">
        <v>21437</v>
      </c>
      <c r="C21439" t="inlineStr">
        <is>
          <t>Nhân Viên Hành Chính - Nhân Sự</t>
        </is>
      </c>
      <c r="D21439" t="inlineStr">
        <is>
          <t>CÔNG TY TNHH TƯ VẤN DỊCH VỤ MTC GROUP</t>
        </is>
      </c>
      <c r="E21439" t="inlineStr">
        <is>
          <t>Lương:7 Tr - 10 Tr VND</t>
        </is>
      </c>
      <c r="F21439" t="inlineStr">
        <is>
          <t>Hồ Chí Minh</t>
        </is>
      </c>
      <c r="G21439" t="inlineStr">
        <is>
          <t>1</t>
        </is>
      </c>
      <c r="H21439" t="inlineStr">
        <is>
          <t>18/03/2026</t>
        </is>
      </c>
      <c r="I21439" t="inlineStr">
        <is>
          <t>17/03/2026</t>
        </is>
      </c>
      <c r="J21439" t="inlineStr">
        <is>
          <t>Hành chính / Thư ký, Quản lý điều hành, Nhân sự</t>
        </is>
      </c>
      <c r="K21439" t="inlineStr">
        <is>
          <t>Trên 1 Năm</t>
        </is>
      </c>
      <c r="L21439" s="8">
        <f>HYPERLINK("https://careerviet.vn/vi/tim-viec-lam/nhan-vien-hanh-chinh-nhan-su.35C63234.html","Xem chi tiết")</f>
        <v/>
      </c>
    </row>
    <row r="21440">
      <c r="B21440" s="9" t="n">
        <v>21438</v>
      </c>
      <c r="C21440" s="10" t="inlineStr">
        <is>
          <t>[Đông Anh] Giao dịch viên</t>
        </is>
      </c>
      <c r="D21440" s="10" t="inlineStr">
        <is>
          <t>Ngân hàng TMCP Lộc Phát Việt Nam (LPBank)</t>
        </is>
      </c>
      <c r="E21440" s="10" t="inlineStr">
        <is>
          <t>Lương:Cạnh tranh</t>
        </is>
      </c>
      <c r="F21440" s="10" t="inlineStr">
        <is>
          <t>Hà Nội</t>
        </is>
      </c>
      <c r="G21440" s="10" t="inlineStr">
        <is>
          <t>1</t>
        </is>
      </c>
      <c r="H21440" s="10" t="inlineStr">
        <is>
          <t>18/03/2026</t>
        </is>
      </c>
      <c r="I21440" s="10" t="inlineStr">
        <is>
          <t>17/03/2026</t>
        </is>
      </c>
      <c r="J21440" s="10" t="inlineStr">
        <is>
          <t>Bán hàng / Kinh doanh, Bảo hiểm, Dịch vụ khách hàng</t>
        </is>
      </c>
      <c r="K21440" s="10" t="inlineStr">
        <is>
          <t>N/A</t>
        </is>
      </c>
      <c r="L21440" s="11">
        <f>HYPERLINK("https://careerviet.vn/vi/tim-viec-lam/dong-anh-giao-dich-vien.35C6324D.html","Xem chi tiết")</f>
        <v/>
      </c>
      <c r="M21440" s="10" t="n"/>
    </row>
    <row r="21441">
      <c r="B21441" s="7" t="n">
        <v>21439</v>
      </c>
      <c r="C21441" t="inlineStr">
        <is>
          <t>Nhân viên C&amp;B</t>
        </is>
      </c>
      <c r="D21441" t="inlineStr">
        <is>
          <t>Công ty Cổ phần Nhôm Việt Dũng</t>
        </is>
      </c>
      <c r="E21441" t="inlineStr">
        <is>
          <t>Lương:10 Tr - 12 Tr VND</t>
        </is>
      </c>
      <c r="F21441" t="inlineStr">
        <is>
          <t>Hà NộiVĩnh Phúc</t>
        </is>
      </c>
      <c r="G21441" t="inlineStr">
        <is>
          <t>1</t>
        </is>
      </c>
      <c r="H21441" t="inlineStr">
        <is>
          <t>18/03/2026</t>
        </is>
      </c>
      <c r="I21441" t="inlineStr">
        <is>
          <t>17/03/2026</t>
        </is>
      </c>
      <c r="J21441" t="inlineStr">
        <is>
          <t>Nhân sự</t>
        </is>
      </c>
      <c r="K21441" t="inlineStr">
        <is>
          <t>1 - 2 Năm</t>
        </is>
      </c>
      <c r="L21441" s="8">
        <f>HYPERLINK("https://careerviet.vn/vi/tim-viec-lam/nhan-vien-c-b.35C632E9.html","Xem chi tiết")</f>
        <v/>
      </c>
    </row>
    <row r="21442">
      <c r="B21442" s="9" t="n">
        <v>21440</v>
      </c>
      <c r="C21442" s="10" t="inlineStr">
        <is>
          <t>Chuyên Viên Kiểm Soát Kế Hoạch Sản Xuất</t>
        </is>
      </c>
      <c r="D21442" s="10" t="inlineStr">
        <is>
          <t>CÔNG TY TNHH BILLION VIETNAM HOLDING</t>
        </is>
      </c>
      <c r="E21442" s="10" t="inlineStr">
        <is>
          <t>Lương:Cạnh tranh</t>
        </is>
      </c>
      <c r="F21442" s="10" t="inlineStr">
        <is>
          <t>Hồ Chí Minh</t>
        </is>
      </c>
      <c r="G21442" s="10" t="inlineStr">
        <is>
          <t>1</t>
        </is>
      </c>
      <c r="H21442" s="10" t="inlineStr">
        <is>
          <t>18/03/2026</t>
        </is>
      </c>
      <c r="I21442" s="10" t="inlineStr">
        <is>
          <t>17/03/2026</t>
        </is>
      </c>
      <c r="J21442" s="10" t="inlineStr">
        <is>
          <t>Sản xuất / Vận hành sản xuất, Vận chuyển / Giao nhận / Kho vận, Điện / Điện tử / Điện lạnh / Điện công nghiệp</t>
        </is>
      </c>
      <c r="K21442" s="10" t="inlineStr">
        <is>
          <t>4 - 5 Năm</t>
        </is>
      </c>
      <c r="L21442" s="11">
        <f>HYPERLINK("https://careerviet.vn/vi/tim-viec-lam/chuyen-vien-kiem-soat-ke-hoach-san-xuat.35C633A3.html","Xem chi tiết")</f>
        <v/>
      </c>
      <c r="M21442" s="10" t="n"/>
    </row>
    <row r="21443">
      <c r="B21443" s="7" t="n">
        <v>21441</v>
      </c>
      <c r="C21443" t="inlineStr">
        <is>
          <t>Kế Toán Kho (đi làm ngay)</t>
        </is>
      </c>
      <c r="D21443" t="inlineStr">
        <is>
          <t>Công ty TNHH Kanzen Việt Nam</t>
        </is>
      </c>
      <c r="E21443" t="inlineStr">
        <is>
          <t>Lương:8 Tr - 12 Tr VND</t>
        </is>
      </c>
      <c r="F21443" t="inlineStr">
        <is>
          <t>Hưng Yên</t>
        </is>
      </c>
      <c r="G21443" t="inlineStr">
        <is>
          <t>1</t>
        </is>
      </c>
      <c r="H21443" t="inlineStr">
        <is>
          <t>18/03/2026</t>
        </is>
      </c>
      <c r="I21443" t="inlineStr">
        <is>
          <t>17/03/2026</t>
        </is>
      </c>
      <c r="J21443" t="inlineStr">
        <is>
          <t>Kế toán / Kiểm toán</t>
        </is>
      </c>
      <c r="K21443" t="inlineStr">
        <is>
          <t>N/A</t>
        </is>
      </c>
      <c r="L21443" s="8">
        <f>HYPERLINK("https://careerviet.vn/vi/tim-viec-lam/ke-toan-kho-di-lam-ngay.35C633B4.html","Xem chi tiết")</f>
        <v/>
      </c>
    </row>
    <row r="21444">
      <c r="B21444" s="9" t="n">
        <v>21442</v>
      </c>
      <c r="C21444" s="10" t="inlineStr">
        <is>
          <t>Nhân viên QC Cơ khí</t>
        </is>
      </c>
      <c r="D21444" s="10" t="inlineStr">
        <is>
          <t>CÔNG TY CỔ PHẦN GREMSY</t>
        </is>
      </c>
      <c r="E21444" s="10" t="inlineStr">
        <is>
          <t>Lương:Cạnh tranh</t>
        </is>
      </c>
      <c r="F21444" s="10" t="inlineStr">
        <is>
          <t>Hồ Chí Minh</t>
        </is>
      </c>
      <c r="G21444" s="10" t="inlineStr">
        <is>
          <t>1</t>
        </is>
      </c>
      <c r="H21444" s="10" t="inlineStr">
        <is>
          <t>18/03/2026</t>
        </is>
      </c>
      <c r="I21444" s="10" t="inlineStr">
        <is>
          <t>17/03/2026</t>
        </is>
      </c>
      <c r="J21444" s="10" t="inlineStr">
        <is>
          <t>Quản lý chất lượng (QA/QC), Cơ khí / Ô tô / Tự động hóa</t>
        </is>
      </c>
      <c r="K21444" s="10" t="inlineStr">
        <is>
          <t>N/A</t>
        </is>
      </c>
      <c r="L21444" s="11">
        <f>HYPERLINK("https://careerviet.vn/vi/tim-viec-lam/nhan-vien-qc-co-khi.35C6323B.html","Xem chi tiết")</f>
        <v/>
      </c>
      <c r="M21444" s="10" t="n"/>
    </row>
    <row r="21445">
      <c r="B21445" s="7" t="n">
        <v>21443</v>
      </c>
      <c r="C21445" t="inlineStr">
        <is>
          <t>126934 - Procurement Staff - Water Treatment</t>
        </is>
      </c>
      <c r="D21445" t="inlineStr">
        <is>
          <t>RGF HR Agent Vietnam Co., LTD</t>
        </is>
      </c>
      <c r="E21445" t="inlineStr">
        <is>
          <t>Lương:15 Tr - 25 Tr VND</t>
        </is>
      </c>
      <c r="F21445" t="inlineStr">
        <is>
          <t>Bắc Ninh</t>
        </is>
      </c>
      <c r="G21445" t="inlineStr">
        <is>
          <t>Hôm nay</t>
        </is>
      </c>
      <c r="H21445" t="inlineStr">
        <is>
          <t>17/03/2026</t>
        </is>
      </c>
      <c r="I21445" t="inlineStr">
        <is>
          <t>17/03/2026</t>
        </is>
      </c>
      <c r="J21445" t="inlineStr">
        <is>
          <t>Thu mua / Vật tư, Ngành khác</t>
        </is>
      </c>
      <c r="K21445" t="inlineStr">
        <is>
          <t>Trên 4 Năm</t>
        </is>
      </c>
      <c r="L21445" s="8">
        <f>HYPERLINK("https://careerviet.vn/vi/tim-viec-lam/126934-procurement-staff-water-treatment.35C65DBD.html","Xem chi tiết")</f>
        <v/>
      </c>
    </row>
    <row r="21446">
      <c r="B21446" s="9" t="n">
        <v>21444</v>
      </c>
      <c r="C21446" s="10" t="inlineStr">
        <is>
          <t>Giám Sát Bán Hàng - Hội An</t>
        </is>
      </c>
      <c r="D21446" s="10" t="inlineStr">
        <is>
          <t>Suntory PepsiCo</t>
        </is>
      </c>
      <c r="E21446" s="10" t="inlineStr">
        <is>
          <t>Lương:Cạnh tranh</t>
        </is>
      </c>
      <c r="F21446" s="10" t="inlineStr">
        <is>
          <t>Quảng Nam</t>
        </is>
      </c>
      <c r="G21446" s="10" t="inlineStr">
        <is>
          <t>1</t>
        </is>
      </c>
      <c r="H21446" s="10" t="inlineStr">
        <is>
          <t>18/03/2026</t>
        </is>
      </c>
      <c r="I21446" s="10" t="inlineStr">
        <is>
          <t>17/03/2026</t>
        </is>
      </c>
      <c r="J21446" s="10" t="inlineStr">
        <is>
          <t>Bán hàng / Kinh doanh, Thực phẩm &amp; Đồ uống, Bán lẻ / Bán sỉBằng cấpCao đẳngĐộ tuổiKhông giới hạn tuổi</t>
        </is>
      </c>
      <c r="K21446" s="10" t="inlineStr">
        <is>
          <t>N/A</t>
        </is>
      </c>
      <c r="L21446" s="11">
        <f>HYPERLINK("https://careerviet.vn/vi/tim-viec-lam/giam-sat-ban-hang-hoi-an.35C63331.html","Xem chi tiết")</f>
        <v/>
      </c>
      <c r="M21446" s="10" t="n"/>
    </row>
    <row r="21447">
      <c r="B21447" s="7" t="n">
        <v>21445</v>
      </c>
      <c r="C21447" t="inlineStr">
        <is>
          <t>Kỹ thuật viên Pha hương &amp; Xử lý nước - nhà máy Đồng Nai</t>
        </is>
      </c>
      <c r="D21447" t="inlineStr">
        <is>
          <t>Suntory PepsiCo</t>
        </is>
      </c>
      <c r="E21447" t="inlineStr">
        <is>
          <t>Lương:Cạnh tranh</t>
        </is>
      </c>
      <c r="F21447" t="inlineStr">
        <is>
          <t>Đồng Nai</t>
        </is>
      </c>
      <c r="G21447" t="inlineStr">
        <is>
          <t>1</t>
        </is>
      </c>
      <c r="H21447" t="inlineStr">
        <is>
          <t>18/03/2026</t>
        </is>
      </c>
      <c r="I21447" t="inlineStr">
        <is>
          <t>17/03/2026</t>
        </is>
      </c>
      <c r="J21447" t="inlineStr">
        <is>
          <t>Thực phẩm &amp; Đồ uống, Công nghệ thực phẩm / Dinh dưỡng, Điện / Điện tử / Điện lạnh / Điện công nghiệp</t>
        </is>
      </c>
      <c r="K21447" t="inlineStr">
        <is>
          <t>1 - 5 Năm</t>
        </is>
      </c>
      <c r="L21447" s="8">
        <f>HYPERLINK("https://careerviet.vn/vi/tim-viec-lam/ky-thuat-vien-pha-huong-xu-ly-nuoc-nha-may-dong-nai.35C62BF2.html","Xem chi tiết")</f>
        <v/>
      </c>
    </row>
    <row r="21448">
      <c r="B21448" s="9" t="n">
        <v>21446</v>
      </c>
      <c r="C21448" s="10" t="inlineStr">
        <is>
          <t>Nhân viên QC - Kiểm Soát Chất Lượng</t>
        </is>
      </c>
      <c r="D21448" s="10" t="inlineStr">
        <is>
          <t>Công ty Cổ Phần Tập Đoàn Điện Quang</t>
        </is>
      </c>
      <c r="E21448" s="10" t="inlineStr">
        <is>
          <t>Lương:Cạnh tranh</t>
        </is>
      </c>
      <c r="F21448" s="10" t="inlineStr">
        <is>
          <t>Bình DươngHồ Chí Minh</t>
        </is>
      </c>
      <c r="G21448" s="10" t="inlineStr">
        <is>
          <t>1</t>
        </is>
      </c>
      <c r="H21448" s="10" t="inlineStr">
        <is>
          <t>18/03/2026</t>
        </is>
      </c>
      <c r="I21448" s="10" t="inlineStr">
        <is>
          <t>17/03/2026</t>
        </is>
      </c>
      <c r="J21448" s="10" t="inlineStr">
        <is>
          <t>Cơ khí / Ô tô / Tự động hóa, Quản lý chất lượng (QA/QC), Điện / Điện tử / Điện lạnh / Điện công nghiệp</t>
        </is>
      </c>
      <c r="K21448" s="10" t="inlineStr">
        <is>
          <t>1 - 2 Năm</t>
        </is>
      </c>
      <c r="L21448" s="11">
        <f>HYPERLINK("https://careerviet.vn/vi/tim-viec-lam/nhan-vien-qc-kiem-soat-chat-luong.35C632E5.html","Xem chi tiết")</f>
        <v/>
      </c>
      <c r="M21448" s="10" t="n"/>
    </row>
    <row r="21449">
      <c r="B21449" s="7" t="n">
        <v>21447</v>
      </c>
      <c r="C21449" t="inlineStr">
        <is>
          <t>Thực tập sinh Tổ chức sự kiện</t>
        </is>
      </c>
      <c r="D21449" t="inlineStr">
        <is>
          <t>Công Ty Tổ Chức Hội Nghị, Sự Kiện Và Du Lịch Quốc Tế Hòa Bình</t>
        </is>
      </c>
      <c r="E21449" t="inlineStr">
        <is>
          <t>Lương:2 Tr - 2,4 Tr VND</t>
        </is>
      </c>
      <c r="F21449" t="inlineStr">
        <is>
          <t>Hà Nội</t>
        </is>
      </c>
      <c r="G21449" t="inlineStr">
        <is>
          <t>1</t>
        </is>
      </c>
      <c r="H21449" t="inlineStr">
        <is>
          <t>18/03/2026</t>
        </is>
      </c>
      <c r="I21449" t="inlineStr">
        <is>
          <t>17/03/2026</t>
        </is>
      </c>
      <c r="J21449" t="inlineStr">
        <is>
          <t>Du lịch, Tổ chức sự kiện</t>
        </is>
      </c>
      <c r="K21449" t="inlineStr">
        <is>
          <t>N/A</t>
        </is>
      </c>
      <c r="L21449" s="8">
        <f>HYPERLINK("https://careerviet.vn/vi/tim-viec-lam/thuc-tap-sinh-to-chuc-su-kien.35C63298.html","Xem chi tiết")</f>
        <v/>
      </c>
    </row>
    <row r="21450">
      <c r="B21450" s="9" t="n">
        <v>21448</v>
      </c>
      <c r="C21450" s="10" t="inlineStr">
        <is>
          <t>Kế Toán Trưởng</t>
        </is>
      </c>
      <c r="D21450" s="10" t="inlineStr">
        <is>
          <t>CÔNG TY TNHH THỜI TRANG SÀI GÒN XUÂN HOÀ</t>
        </is>
      </c>
      <c r="E21450" s="10" t="inlineStr">
        <is>
          <t>Lương:Cạnh tranh</t>
        </is>
      </c>
      <c r="F21450" s="10" t="inlineStr">
        <is>
          <t>Hồ Chí Minh</t>
        </is>
      </c>
      <c r="G21450" s="10" t="inlineStr">
        <is>
          <t>Hôm nay</t>
        </is>
      </c>
      <c r="H21450" s="10" t="inlineStr">
        <is>
          <t>17/03/2026</t>
        </is>
      </c>
      <c r="I21450" s="10" t="inlineStr">
        <is>
          <t>17/03/2026</t>
        </is>
      </c>
      <c r="J21450" s="10" t="inlineStr">
        <is>
          <t>Quản lý điều hành, Kế toán / Kiểm toán, Tài chính / Đầu tư</t>
        </is>
      </c>
      <c r="K21450" s="10" t="inlineStr">
        <is>
          <t>Trên 5 Năm</t>
        </is>
      </c>
      <c r="L21450" s="11">
        <f>HYPERLINK("https://careerviet.vn/vi/tim-viec-lam/ke-toan-truong.35C6314F.html","Xem chi tiết")</f>
        <v/>
      </c>
      <c r="M21450" s="10" t="n"/>
    </row>
    <row r="21451">
      <c r="B21451" s="7" t="n">
        <v>21449</v>
      </c>
      <c r="C21451" t="inlineStr">
        <is>
          <t>126046 - Sales Manager - Logistics</t>
        </is>
      </c>
      <c r="D21451" t="inlineStr">
        <is>
          <t>RGF HR Agent Vietnam Co., LTD</t>
        </is>
      </c>
      <c r="E21451" t="inlineStr">
        <is>
          <t>Lương:Cạnh tranh</t>
        </is>
      </c>
      <c r="F21451" t="inlineStr">
        <is>
          <t>Hồ Chí Minh</t>
        </is>
      </c>
      <c r="G21451" t="inlineStr">
        <is>
          <t>1</t>
        </is>
      </c>
      <c r="H21451" t="inlineStr">
        <is>
          <t>18/03/2026</t>
        </is>
      </c>
      <c r="I21451" t="inlineStr">
        <is>
          <t>17/03/2026</t>
        </is>
      </c>
      <c r="J21451" t="inlineStr">
        <is>
          <t>Vận chuyển / Giao nhận / Kho vận, Bán hàng / Kinh doanh</t>
        </is>
      </c>
      <c r="K21451" t="inlineStr">
        <is>
          <t>Trên 10 Năm</t>
        </is>
      </c>
      <c r="L21451" s="8">
        <f>HYPERLINK("https://careerviet.vn/vi/tim-viec-lam/126046-sales-manager-logistics.35C633D7.html","Xem chi tiết")</f>
        <v/>
      </c>
    </row>
    <row r="21452">
      <c r="B21452" s="9" t="n">
        <v>21450</v>
      </c>
      <c r="C21452" s="10" t="inlineStr">
        <is>
          <t>Chuyên viên Kiểm soát nhiễm khuẩn</t>
        </is>
      </c>
      <c r="D21452" s="10" t="inlineStr">
        <is>
          <t>Công ty Cổ phần Nha khoa quốc tế Sing</t>
        </is>
      </c>
      <c r="E21452" s="10" t="inlineStr">
        <is>
          <t>Lương:12 Tr - 20 Tr VND</t>
        </is>
      </c>
      <c r="F21452" s="10" t="inlineStr">
        <is>
          <t>Hà Nội</t>
        </is>
      </c>
      <c r="G21452" s="10" t="inlineStr">
        <is>
          <t>Hôm nay</t>
        </is>
      </c>
      <c r="H21452" s="10" t="inlineStr">
        <is>
          <t>17/03/2026</t>
        </is>
      </c>
      <c r="I21452" s="10" t="inlineStr">
        <is>
          <t>17/03/2026</t>
        </is>
      </c>
      <c r="J21452" s="10" t="inlineStr">
        <is>
          <t>Y tế / Chăm sóc sức khỏe / Thẩm mỹ / Làm đẹp</t>
        </is>
      </c>
      <c r="K21452" s="10" t="inlineStr">
        <is>
          <t>2 - 5 Năm</t>
        </is>
      </c>
      <c r="L21452" s="11">
        <f>HYPERLINK("https://careerviet.vn/vi/tim-viec-lam/chuyen-vien-kiem-soat-nhiem-khuan.35C62D84.html","Xem chi tiết")</f>
        <v/>
      </c>
      <c r="M21452" s="10" t="n"/>
    </row>
    <row r="21453">
      <c r="B21453" s="7" t="n">
        <v>21451</v>
      </c>
      <c r="C21453" t="inlineStr">
        <is>
          <t>PMC Manager</t>
        </is>
      </c>
      <c r="D21453" t="inlineStr">
        <is>
          <t>CÔNG TY TNHH WGR INDUSTRIES</t>
        </is>
      </c>
      <c r="E21453" t="inlineStr">
        <is>
          <t>Lương:Cạnh tranh</t>
        </is>
      </c>
      <c r="F21453" t="inlineStr">
        <is>
          <t>Bình Định</t>
        </is>
      </c>
      <c r="G21453" t="inlineStr">
        <is>
          <t>1</t>
        </is>
      </c>
      <c r="H21453" t="inlineStr">
        <is>
          <t>18/03/2026</t>
        </is>
      </c>
      <c r="I21453" t="inlineStr">
        <is>
          <t>17/03/2026</t>
        </is>
      </c>
      <c r="J21453" t="inlineStr">
        <is>
          <t>Sản xuất / Vận hành sản xuất, Đồ gỗ, Dệt may / Da giày / Thời trang</t>
        </is>
      </c>
      <c r="K21453" t="inlineStr">
        <is>
          <t>5 - 10 Năm</t>
        </is>
      </c>
      <c r="L21453" s="8">
        <f>HYPERLINK("https://careerviet.vn/vi/tim-viec-lam/pmc-manager.35C5FFA6.html","Xem chi tiết")</f>
        <v/>
      </c>
    </row>
    <row r="21454">
      <c r="B21454" s="9" t="n">
        <v>21452</v>
      </c>
      <c r="C21454" s="10" t="inlineStr">
        <is>
          <t>Dược sĩ Ca đêm _ Vinhomes Quận 9</t>
        </is>
      </c>
      <c r="D21454" s="10" t="inlineStr">
        <is>
          <t>Công Ty CP Dược Phẩm Pharmacity</t>
        </is>
      </c>
      <c r="E21454" s="10" t="inlineStr">
        <is>
          <t>Lương:8,5 Tr - 15 Tr VND</t>
        </is>
      </c>
      <c r="F21454" s="10" t="inlineStr">
        <is>
          <t>Hồ Chí Minh</t>
        </is>
      </c>
      <c r="G21454" s="10" t="inlineStr">
        <is>
          <t>30-05-2026</t>
        </is>
      </c>
      <c r="H21454" s="10" t="inlineStr">
        <is>
          <t>30/05/2026</t>
        </is>
      </c>
      <c r="I21454" s="10" t="inlineStr">
        <is>
          <t>17/03/2026</t>
        </is>
      </c>
      <c r="J21454" s="10" t="inlineStr">
        <is>
          <t>Bán lẻ / Bán sỉ, Dược phẩm/ Hóa Mỹ Phẩm</t>
        </is>
      </c>
      <c r="K21454" s="10" t="inlineStr">
        <is>
          <t>Chưa có kinh nghiệm</t>
        </is>
      </c>
      <c r="L21454" s="11">
        <f>HYPERLINK("https://careerviet.vn/vi/tim-viec-lam/duoc-si-ca-dem-_-vinhomes-quan-9.35C65CF2.html","Xem chi tiết")</f>
        <v/>
      </c>
      <c r="M21454" s="10" t="n"/>
    </row>
    <row r="21455">
      <c r="B21455" s="7" t="n">
        <v>21453</v>
      </c>
      <c r="C21455" t="inlineStr">
        <is>
          <t>Nhân Viên Kinh Doanh Thị Trường (Thu nhập lên tới 25 triệu đồng)</t>
        </is>
      </c>
      <c r="D21455" t="inlineStr">
        <is>
          <t>Công ty TNHH Dầu Nhờn GS Việt Nam</t>
        </is>
      </c>
      <c r="E21455" t="inlineStr">
        <is>
          <t>Lương:Lên đến 25 Tr VND</t>
        </is>
      </c>
      <c r="F21455" t="inlineStr">
        <is>
          <t>Điện BiênBắc NinhNinh Bình</t>
        </is>
      </c>
      <c r="G21455" t="inlineStr">
        <is>
          <t>1</t>
        </is>
      </c>
      <c r="H21455" t="inlineStr">
        <is>
          <t>17/03/2026</t>
        </is>
      </c>
      <c r="I21455" t="inlineStr">
        <is>
          <t>17/03/2026</t>
        </is>
      </c>
      <c r="J21455" t="inlineStr">
        <is>
          <t>Bán hàng / Kinh doanh, Cơ khí / Ô tô / Tự động hóa, Dầu khí</t>
        </is>
      </c>
      <c r="K21455" t="inlineStr">
        <is>
          <t>Trên 3 Năm</t>
        </is>
      </c>
      <c r="L21455" s="8">
        <f>HYPERLINK("https://careerviet.vn/vi/tim-viec-lam/nhan-vien-kinh-doanh-thi-truong-thu-nhap-len-toi-25-trieu-dong.35C63372.html","Xem chi tiết")</f>
        <v/>
      </c>
    </row>
    <row r="21456">
      <c r="B21456" s="9" t="n">
        <v>21454</v>
      </c>
      <c r="C21456" s="10" t="inlineStr">
        <is>
          <t>KẾ TOÁN TỔNG HỢP</t>
        </is>
      </c>
      <c r="D21456" s="10" t="inlineStr">
        <is>
          <t>CÔNG TY TNHH ĐẦU TƯ ITS</t>
        </is>
      </c>
      <c r="E21456" s="10" t="inlineStr">
        <is>
          <t>Lương:Cạnh tranh</t>
        </is>
      </c>
      <c r="F21456" s="10" t="inlineStr">
        <is>
          <t>Đồng ThápCần ThơVĩnh Long</t>
        </is>
      </c>
      <c r="G21456" s="10" t="inlineStr">
        <is>
          <t>Hôm nay</t>
        </is>
      </c>
      <c r="H21456" s="10" t="inlineStr">
        <is>
          <t>17/03/2026</t>
        </is>
      </c>
      <c r="I21456" s="10" t="inlineStr">
        <is>
          <t>17/03/2026</t>
        </is>
      </c>
      <c r="J21456" s="10" t="inlineStr">
        <is>
          <t>Kế toán / Kiểm toán, Cơ khí / Ô tô / Tự động hóa, Sản xuất / Vận hành sản xuất</t>
        </is>
      </c>
      <c r="K21456" s="10" t="inlineStr">
        <is>
          <t>5 - 10 Năm</t>
        </is>
      </c>
      <c r="L21456" s="11">
        <f>HYPERLINK("https://careerviet.vn/vi/tim-viec-lam/ke-toan-tong-hop.35C65D23.html","Xem chi tiết")</f>
        <v/>
      </c>
      <c r="M21456" s="10" t="n"/>
    </row>
    <row r="21457">
      <c r="B21457" s="7" t="n">
        <v>21455</v>
      </c>
      <c r="C21457" t="inlineStr">
        <is>
          <t>Senior Customer Segmentation Specialist</t>
        </is>
      </c>
      <c r="D21457" t="inlineStr">
        <is>
          <t>FE CREDIT</t>
        </is>
      </c>
      <c r="E21457" t="inlineStr">
        <is>
          <t>Lương:Cạnh tranh</t>
        </is>
      </c>
      <c r="F21457" t="inlineStr">
        <is>
          <t>Hồ Chí Minh</t>
        </is>
      </c>
      <c r="G21457" t="inlineStr">
        <is>
          <t>Hôm nay</t>
        </is>
      </c>
      <c r="H21457" t="inlineStr">
        <is>
          <t>17/03/2026</t>
        </is>
      </c>
      <c r="I21457" t="inlineStr">
        <is>
          <t>17/03/2026</t>
        </is>
      </c>
      <c r="J21457" t="inlineStr">
        <is>
          <t>Tiếp thị / Marketing, Ngân hàng, Tài chính / Đầu tư</t>
        </is>
      </c>
      <c r="K21457" t="inlineStr">
        <is>
          <t>2 - 3 Năm</t>
        </is>
      </c>
      <c r="L21457" s="8">
        <f>HYPERLINK("https://careerviet.vn/vi/tim-viec-lam/senior-customer-segmentation-specialist.35C630DE.html","Xem chi tiết")</f>
        <v/>
      </c>
    </row>
    <row r="21458">
      <c r="B21458" s="9" t="n">
        <v>21456</v>
      </c>
      <c r="C21458" s="10" t="inlineStr">
        <is>
          <t>[NMS] - UI/UX Designer</t>
        </is>
      </c>
      <c r="D21458" s="10" t="inlineStr">
        <is>
          <t>Nova Service Group - Công ty Cổ phần Tập đoàn Nova Services</t>
        </is>
      </c>
      <c r="E21458" s="10" t="inlineStr">
        <is>
          <t>Lương:25 Tr - 45 Tr VND</t>
        </is>
      </c>
      <c r="F21458" s="10" t="inlineStr">
        <is>
          <t>Hồ Chí Minh</t>
        </is>
      </c>
      <c r="G21458" s="10" t="inlineStr">
        <is>
          <t>Hôm nay</t>
        </is>
      </c>
      <c r="H21458" s="10" t="inlineStr">
        <is>
          <t>17/03/2026</t>
        </is>
      </c>
      <c r="I21458" s="10" t="inlineStr">
        <is>
          <t>17/03/2026</t>
        </is>
      </c>
      <c r="J21458" s="10" t="inlineStr">
        <is>
          <t>CNTT - Phần mềm</t>
        </is>
      </c>
      <c r="K21458" s="10" t="inlineStr">
        <is>
          <t>6 - 15 Năm</t>
        </is>
      </c>
      <c r="L21458" s="11">
        <f>HYPERLINK("https://careerviet.vn/vi/tim-viec-lam/nms-ui-ux-designer.35C65CE3.html","Xem chi tiết")</f>
        <v/>
      </c>
      <c r="M21458" s="10" t="n"/>
    </row>
    <row r="21459">
      <c r="B21459" s="7" t="n">
        <v>21457</v>
      </c>
      <c r="C21459" t="inlineStr">
        <is>
          <t>QUẢN LÝ CHUỖI CUNG ỨNG (upto 70 triệu/tháng)</t>
        </is>
      </c>
      <c r="D21459" t="inlineStr">
        <is>
          <t>ADC PLASTIC,. JSC</t>
        </is>
      </c>
      <c r="E21459" t="inlineStr">
        <is>
          <t>Lương:40 Tr - 70 Tr VND</t>
        </is>
      </c>
      <c r="F21459" t="inlineStr">
        <is>
          <t>Hà Nội</t>
        </is>
      </c>
      <c r="G21459" t="inlineStr">
        <is>
          <t>Hôm nay</t>
        </is>
      </c>
      <c r="H21459" t="inlineStr">
        <is>
          <t>17/03/2026</t>
        </is>
      </c>
      <c r="I21459" t="inlineStr">
        <is>
          <t>17/03/2026</t>
        </is>
      </c>
      <c r="J21459" t="inlineStr">
        <is>
          <t>Vận chuyển / Giao nhận / Kho vận, Thu mua / Vật tư</t>
        </is>
      </c>
      <c r="K21459" t="inlineStr">
        <is>
          <t>10 - 25 Năm</t>
        </is>
      </c>
      <c r="L21459" s="8">
        <f>HYPERLINK("https://careerviet.vn/vi/tim-viec-lam/quan-ly-chuoi-cung-ung-upto-70-trieu-thang.35C630E8.html","Xem chi tiết")</f>
        <v/>
      </c>
    </row>
    <row r="21460">
      <c r="B21460" s="9" t="n">
        <v>21458</v>
      </c>
      <c r="C21460" s="10" t="inlineStr">
        <is>
          <t>[Bình Thuận] Kế Toán Công Nợ</t>
        </is>
      </c>
      <c r="D21460" s="10" t="inlineStr">
        <is>
          <t>Công ty Cổ phần Dược Hậu Giang</t>
        </is>
      </c>
      <c r="E21460" s="10" t="inlineStr">
        <is>
          <t>Lương:12 Tr - 15 Tr VND</t>
        </is>
      </c>
      <c r="F21460" s="10" t="inlineStr">
        <is>
          <t>Bình Thuận</t>
        </is>
      </c>
      <c r="G21460" s="10" t="inlineStr">
        <is>
          <t>Hôm nay</t>
        </is>
      </c>
      <c r="H21460" s="10" t="inlineStr">
        <is>
          <t>17/03/2026</t>
        </is>
      </c>
      <c r="I21460" s="10" t="inlineStr">
        <is>
          <t>17/03/2026</t>
        </is>
      </c>
      <c r="J21460" s="10" t="inlineStr">
        <is>
          <t>Dược phẩm/ Hóa Mỹ Phẩm, Kế toán / Kiểm toán, Tài chính / Đầu tư</t>
        </is>
      </c>
      <c r="K21460" s="10" t="inlineStr">
        <is>
          <t>1 - 2 Năm</t>
        </is>
      </c>
      <c r="L21460" s="11">
        <f>HYPERLINK("https://careerviet.vn/vi/tim-viec-lam/binh-thuan-ke-toan-cong-no.35C65C53.html","Xem chi tiết")</f>
        <v/>
      </c>
      <c r="M21460" s="10" t="n"/>
    </row>
    <row r="21461">
      <c r="B21461" s="7" t="n">
        <v>21459</v>
      </c>
      <c r="C21461" t="inlineStr">
        <is>
          <t>Nhân viên Kinh Doanh Hồ Chí Minh</t>
        </is>
      </c>
      <c r="D21461" t="inlineStr">
        <is>
          <t>CÔNG TY CỔ PHẦN TRANG THIẾT BỊ Y TẾ ĐỨC TÍN</t>
        </is>
      </c>
      <c r="E21461" t="inlineStr">
        <is>
          <t>Lương:Cạnh tranh</t>
        </is>
      </c>
      <c r="F21461" t="inlineStr">
        <is>
          <t>Hồ Chí Minh</t>
        </is>
      </c>
      <c r="G21461" t="inlineStr">
        <is>
          <t>Hôm nay</t>
        </is>
      </c>
      <c r="H21461" t="inlineStr">
        <is>
          <t>17/03/2026</t>
        </is>
      </c>
      <c r="I21461" t="inlineStr">
        <is>
          <t>17/03/2026</t>
        </is>
      </c>
      <c r="J21461" t="inlineStr">
        <is>
          <t>Bán hàng / Kinh doanh, Y tế / Chăm sóc sức khỏe / Thẩm mỹ / Làm đẹp</t>
        </is>
      </c>
      <c r="K21461" t="inlineStr">
        <is>
          <t>1 - 2 Năm</t>
        </is>
      </c>
      <c r="L21461" s="8">
        <f>HYPERLINK("https://careerviet.vn/vi/tim-viec-lam/nhan-vien-kinh-doanh-ho-chi-minh.35C65C4D.html","Xem chi tiết")</f>
        <v/>
      </c>
    </row>
    <row r="21462">
      <c r="B21462" s="9" t="n">
        <v>21460</v>
      </c>
      <c r="C21462" s="10" t="inlineStr">
        <is>
          <t>126826 - Product Registration Application Staff - Foods</t>
        </is>
      </c>
      <c r="D21462" s="10" t="inlineStr">
        <is>
          <t>RGF HR Agent Vietnam Co., LTD</t>
        </is>
      </c>
      <c r="E21462" s="10" t="inlineStr">
        <is>
          <t>Lương:20 Tr - 24 Tr VND</t>
        </is>
      </c>
      <c r="F21462" s="10" t="inlineStr">
        <is>
          <t>Hà Nội</t>
        </is>
      </c>
      <c r="G21462" s="10" t="inlineStr">
        <is>
          <t>Hôm nay</t>
        </is>
      </c>
      <c r="H21462" s="10" t="inlineStr">
        <is>
          <t>17/03/2026</t>
        </is>
      </c>
      <c r="I21462" s="10" t="inlineStr">
        <is>
          <t>17/03/2026</t>
        </is>
      </c>
      <c r="J21462" s="10" t="inlineStr">
        <is>
          <t>Thực phẩm &amp; Đồ uống</t>
        </is>
      </c>
      <c r="K21462" s="10" t="inlineStr">
        <is>
          <t>Trên 3 Năm</t>
        </is>
      </c>
      <c r="L21462" s="11">
        <f>HYPERLINK("https://careerviet.vn/vi/tim-viec-lam/126826-product-registration-application-staff-foods.35C65DB7.html","Xem chi tiết")</f>
        <v/>
      </c>
      <c r="M21462" s="10" t="n"/>
    </row>
    <row r="21463">
      <c r="B21463" s="7" t="n">
        <v>21461</v>
      </c>
      <c r="C21463" t="inlineStr">
        <is>
          <t>NHÂN VIÊN VĂN PHÒNG BIẾT TIẾNG TRUNG</t>
        </is>
      </c>
      <c r="D21463" t="inlineStr">
        <is>
          <t>Công Ty TNHH BEST Logistics Technology (Việt Nam)</t>
        </is>
      </c>
      <c r="E21463" t="inlineStr">
        <is>
          <t>Lương:13 Tr - 20 Tr VND</t>
        </is>
      </c>
      <c r="F21463" t="inlineStr">
        <is>
          <t>Hồ Chí Minh</t>
        </is>
      </c>
      <c r="G21463" t="inlineStr">
        <is>
          <t>Hôm nay</t>
        </is>
      </c>
      <c r="H21463" t="inlineStr">
        <is>
          <t>17/03/2026</t>
        </is>
      </c>
      <c r="I21463" t="inlineStr">
        <is>
          <t>17/03/2026</t>
        </is>
      </c>
      <c r="J21463" t="inlineStr">
        <is>
          <t>Thương mại điện tử, Dịch vụ khách hàng, Vận chuyển / Giao nhận / Kho vận</t>
        </is>
      </c>
      <c r="K21463" t="inlineStr">
        <is>
          <t>Chưa có kinh nghiệm</t>
        </is>
      </c>
      <c r="L21463" s="8">
        <f>HYPERLINK("https://careerviet.vn/vi/tim-viec-lam/nhan-vien-van-phong-biet-tieng-trung.35C630C0.html","Xem chi tiết")</f>
        <v/>
      </c>
    </row>
    <row r="21464">
      <c r="B21464" s="9" t="n">
        <v>21462</v>
      </c>
      <c r="C21464" s="10" t="inlineStr">
        <is>
          <t>[NMS] - Trưởng phòng Triển khai ứng dụng</t>
        </is>
      </c>
      <c r="D21464" s="10" t="inlineStr">
        <is>
          <t>Nova Service Group - Công ty Cổ phần Tập đoàn Nova Services</t>
        </is>
      </c>
      <c r="E21464" s="10" t="inlineStr">
        <is>
          <t>Lương:Cạnh tranh</t>
        </is>
      </c>
      <c r="F21464" s="10" t="inlineStr">
        <is>
          <t>Hồ Chí Minh</t>
        </is>
      </c>
      <c r="G21464" s="10" t="inlineStr">
        <is>
          <t>Hôm nay</t>
        </is>
      </c>
      <c r="H21464" s="10" t="inlineStr">
        <is>
          <t>17/03/2026</t>
        </is>
      </c>
      <c r="I21464" s="10" t="inlineStr">
        <is>
          <t>17/03/2026</t>
        </is>
      </c>
      <c r="J21464" s="10" t="inlineStr">
        <is>
          <t>CNTT - Phần mềm</t>
        </is>
      </c>
      <c r="K21464" s="10" t="inlineStr">
        <is>
          <t>7 - 20 Năm</t>
        </is>
      </c>
      <c r="L21464" s="11">
        <f>HYPERLINK("https://careerviet.vn/vi/tim-viec-lam/nms-truong-phong-trien-khai-ung-dung.35C65D06.html","Xem chi tiết")</f>
        <v/>
      </c>
      <c r="M21464" s="10" t="n"/>
    </row>
    <row r="21465">
      <c r="B21465" s="7" t="n">
        <v>21463</v>
      </c>
      <c r="C21465" t="inlineStr">
        <is>
          <t>Nhân Viên Xuất Nhập Khẩu</t>
        </is>
      </c>
      <c r="D21465" t="inlineStr">
        <is>
          <t>Công ty TNHH ELENTEC HCM VINA</t>
        </is>
      </c>
      <c r="E21465" t="inlineStr">
        <is>
          <t>Lương:Trên 13 Tr VND</t>
        </is>
      </c>
      <c r="F21465" t="inlineStr">
        <is>
          <t>Đồng Nai</t>
        </is>
      </c>
      <c r="G21465" t="inlineStr">
        <is>
          <t>Hôm nay</t>
        </is>
      </c>
      <c r="H21465" t="inlineStr">
        <is>
          <t>17/03/2026</t>
        </is>
      </c>
      <c r="I21465" t="inlineStr">
        <is>
          <t>17/03/2026</t>
        </is>
      </c>
      <c r="J21465" t="inlineStr">
        <is>
          <t>Vận chuyển / Giao nhận / Kho vận, Hàng hải, Xuất nhập khẩu</t>
        </is>
      </c>
      <c r="K21465" t="inlineStr">
        <is>
          <t>2 - 5 Năm</t>
        </is>
      </c>
      <c r="L21465" s="8">
        <f>HYPERLINK("https://careerviet.vn/vi/tim-viec-lam/nhan-vien-xuat-nhap-khau.35C6312E.html","Xem chi tiết")</f>
        <v/>
      </c>
    </row>
    <row r="21466">
      <c r="B21466" s="9" t="n">
        <v>21464</v>
      </c>
      <c r="C21466" s="10" t="inlineStr">
        <is>
          <t>Dược sĩ Bán hàng - Quận 7</t>
        </is>
      </c>
      <c r="D21466" s="10" t="inlineStr">
        <is>
          <t>Công Ty CP Dược Phẩm Pharmacity</t>
        </is>
      </c>
      <c r="E21466" s="10" t="inlineStr">
        <is>
          <t>Lương:8 Tr - 12 Tr VND</t>
        </is>
      </c>
      <c r="F21466" s="10" t="inlineStr">
        <is>
          <t>Hồ Chí Minh</t>
        </is>
      </c>
      <c r="G21466" s="10" t="inlineStr">
        <is>
          <t>Hôm nay</t>
        </is>
      </c>
      <c r="H21466" s="10" t="inlineStr">
        <is>
          <t>17/03/2026</t>
        </is>
      </c>
      <c r="I21466" s="10" t="inlineStr">
        <is>
          <t>17/03/2026</t>
        </is>
      </c>
      <c r="J21466" s="10" t="inlineStr">
        <is>
          <t>Dược phẩm/ Hóa Mỹ Phẩm</t>
        </is>
      </c>
      <c r="K21466" s="10" t="inlineStr">
        <is>
          <t>Chưa có kinh nghiệm</t>
        </is>
      </c>
      <c r="L21466" s="11">
        <f>HYPERLINK("https://careerviet.vn/vi/tim-viec-lam/duoc-si-ban-hang-quan-7.35C65C0F.html","Xem chi tiết")</f>
        <v/>
      </c>
      <c r="M21466" s="10" t="n"/>
    </row>
    <row r="21467">
      <c r="B21467" s="7" t="n">
        <v>21465</v>
      </c>
      <c r="C21467" t="inlineStr">
        <is>
          <t>Nhân viên Kinh doanh - Quận 7, Nhà Bè, Bình Chánh</t>
        </is>
      </c>
      <c r="D21467" t="inlineStr">
        <is>
          <t>Công Ty Cổ Phần Thép Việt Xô Hà Nội</t>
        </is>
      </c>
      <c r="E21467" t="inlineStr">
        <is>
          <t>Lương:15 Tr - 30 Tr VND</t>
        </is>
      </c>
      <c r="F21467" t="inlineStr">
        <is>
          <t>Hồ Chí Minh</t>
        </is>
      </c>
      <c r="G21467" t="inlineStr">
        <is>
          <t>Hôm nay</t>
        </is>
      </c>
      <c r="H21467" t="inlineStr">
        <is>
          <t>17/03/2026</t>
        </is>
      </c>
      <c r="I21467" t="inlineStr">
        <is>
          <t>17/03/2026</t>
        </is>
      </c>
      <c r="J21467" t="inlineStr">
        <is>
          <t>Bán hàng / Kinh doanh, Bán lẻ / Bán sỉ, Sản xuất / Vận hành sản xuất</t>
        </is>
      </c>
      <c r="K21467" t="inlineStr">
        <is>
          <t>Lên đến 1 Năm</t>
        </is>
      </c>
      <c r="L21467" s="8">
        <f>HYPERLINK("https://careerviet.vn/vi/tim-viec-lam/nhan-vien-kinh-doanh-quan-7-nha-be-binh-chanh.35C631B4.html","Xem chi tiết")</f>
        <v/>
      </c>
    </row>
    <row r="21468">
      <c r="B21468" s="9" t="n">
        <v>21466</v>
      </c>
      <c r="C21468" s="10" t="inlineStr">
        <is>
          <t>Chuyên Viên Thiết Kế Nội Thất</t>
        </is>
      </c>
      <c r="D21468" s="10" t="inlineStr">
        <is>
          <t>Công ty CP Galaxy Sài Gòn</t>
        </is>
      </c>
      <c r="E21468" s="10" t="inlineStr">
        <is>
          <t>Lương:15 Tr - 25 Tr VND</t>
        </is>
      </c>
      <c r="F21468" s="10" t="inlineStr">
        <is>
          <t>Hồ Chí Minh</t>
        </is>
      </c>
      <c r="G21468" s="10" t="inlineStr">
        <is>
          <t>Hôm nay</t>
        </is>
      </c>
      <c r="H21468" s="10" t="inlineStr">
        <is>
          <t>16/03/2026</t>
        </is>
      </c>
      <c r="I21468" s="10" t="inlineStr">
        <is>
          <t>17/03/2026</t>
        </is>
      </c>
      <c r="J21468" s="10" t="inlineStr">
        <is>
          <t>Nội ngoại thất, Mỹ thuật / Nghệ thuật / Thiết kế, Kiến trúc</t>
        </is>
      </c>
      <c r="K21468" s="10" t="inlineStr">
        <is>
          <t>3 - 5 Năm</t>
        </is>
      </c>
      <c r="L21468" s="11">
        <f>HYPERLINK("https://careerviet.vn/vi/tim-viec-lam/chuyen-vien-thiet-ke-noi-that.35C65AF8.html","Xem chi tiết")</f>
        <v/>
      </c>
      <c r="M21468" s="10" t="n"/>
    </row>
    <row r="21469">
      <c r="B21469" s="7" t="n">
        <v>21467</v>
      </c>
      <c r="C21469" t="inlineStr">
        <is>
          <t>126129 - Tiếng Nhật - Nhân viên Kinh doanh - Ngành Thương mại</t>
        </is>
      </c>
      <c r="D21469" t="inlineStr">
        <is>
          <t>RGF HR Agent Vietnam Co., LTD</t>
        </is>
      </c>
      <c r="E21469" t="inlineStr">
        <is>
          <t>Lương:25 Tr - 35 Tr VND</t>
        </is>
      </c>
      <c r="F21469" t="inlineStr">
        <is>
          <t>Hồ Chí Minh</t>
        </is>
      </c>
      <c r="G21469" t="inlineStr">
        <is>
          <t>1</t>
        </is>
      </c>
      <c r="H21469" t="inlineStr">
        <is>
          <t>18/03/2026</t>
        </is>
      </c>
      <c r="I21469" t="inlineStr">
        <is>
          <t>17/03/2026</t>
        </is>
      </c>
      <c r="J21469" t="inlineStr">
        <is>
          <t>Bán hàng / Kinh doanh</t>
        </is>
      </c>
      <c r="K21469" t="inlineStr">
        <is>
          <t>Trên 5 Năm</t>
        </is>
      </c>
      <c r="L21469" s="8">
        <f>HYPERLINK("https://careerviet.vn/vi/tim-viec-lam/126129-tieng-nhat-nhan-vien-kinh-doanh-nganh-thuong-mai.35C6339A.html","Xem chi tiết")</f>
        <v/>
      </c>
    </row>
    <row r="21470">
      <c r="B21470" s="9" t="n">
        <v>21468</v>
      </c>
      <c r="C21470" s="10" t="inlineStr">
        <is>
          <t>Pricing Executive (HAN)</t>
        </is>
      </c>
      <c r="D21470" s="10" t="inlineStr">
        <is>
          <t>S.F. EXPRESS LTD.</t>
        </is>
      </c>
      <c r="E21470" s="10" t="inlineStr">
        <is>
          <t>Lương:15 Tr - 25 Tr VND</t>
        </is>
      </c>
      <c r="F21470" s="10" t="inlineStr">
        <is>
          <t>Hà Nội</t>
        </is>
      </c>
      <c r="G21470" s="10" t="inlineStr">
        <is>
          <t>Hôm nay</t>
        </is>
      </c>
      <c r="H21470" s="10" t="inlineStr">
        <is>
          <t>17/03/2026</t>
        </is>
      </c>
      <c r="I21470" s="10" t="inlineStr">
        <is>
          <t>17/03/2026</t>
        </is>
      </c>
      <c r="J21470" s="10" t="inlineStr">
        <is>
          <t>Xuất nhập khẩu, Hàng không, Hàng hải</t>
        </is>
      </c>
      <c r="K21470" s="10" t="inlineStr">
        <is>
          <t>2 - 3 Năm</t>
        </is>
      </c>
      <c r="L21470" s="11">
        <f>HYPERLINK("https://careerviet.vn/vi/tim-viec-lam/pricing-executive-han.35C6316D.html","Xem chi tiết")</f>
        <v/>
      </c>
      <c r="M21470" s="10" t="n"/>
    </row>
    <row r="21471">
      <c r="B21471" s="7" t="n">
        <v>21469</v>
      </c>
      <c r="C21471" t="inlineStr">
        <is>
          <t>Chuyên viên Quản lý sản phẩm (Product Specialist)</t>
        </is>
      </c>
      <c r="D21471" t="inlineStr">
        <is>
          <t>Công ty TNHH Thiết bị y tế Phương Đông</t>
        </is>
      </c>
      <c r="E21471" t="inlineStr">
        <is>
          <t>Lương:Cạnh tranh</t>
        </is>
      </c>
      <c r="F21471" t="inlineStr">
        <is>
          <t>Hà Nội</t>
        </is>
      </c>
      <c r="G21471" t="inlineStr">
        <is>
          <t>Hôm nay</t>
        </is>
      </c>
      <c r="H21471" t="inlineStr">
        <is>
          <t>17/03/2026</t>
        </is>
      </c>
      <c r="I21471" t="inlineStr">
        <is>
          <t>17/03/2026</t>
        </is>
      </c>
      <c r="J21471" t="inlineStr">
        <is>
          <t>Công nghệ sinh học, Dược phẩm/ Hóa Mỹ Phẩm, Y tế / Chăm sóc sức khỏe / Thẩm mỹ / Làm đẹp</t>
        </is>
      </c>
      <c r="K21471" t="inlineStr">
        <is>
          <t>1 - 3 Năm</t>
        </is>
      </c>
      <c r="L21471" s="8">
        <f>HYPERLINK("https://careerviet.vn/vi/tim-viec-lam/chuyen-vien-quan-ly-san-pham-product-specialist.35C65D2C.html","Xem chi tiết")</f>
        <v/>
      </c>
    </row>
    <row r="21472">
      <c r="B21472" s="9" t="n">
        <v>21470</v>
      </c>
      <c r="C21472" s="10" t="inlineStr">
        <is>
          <t>Chuyên viên Kinh Doanh Quà Tặng B2B</t>
        </is>
      </c>
      <c r="D21472" s="10" t="inlineStr">
        <is>
          <t>CÔNG TY TNHH GIFT BUSINESS</t>
        </is>
      </c>
      <c r="E21472" s="10" t="inlineStr">
        <is>
          <t>Lương:8 Tr - 20 Tr VND</t>
        </is>
      </c>
      <c r="F21472" s="10" t="inlineStr">
        <is>
          <t>Hồ Chí Minh</t>
        </is>
      </c>
      <c r="G21472" s="10" t="inlineStr">
        <is>
          <t>Hôm nay</t>
        </is>
      </c>
      <c r="H21472" s="10" t="inlineStr">
        <is>
          <t>17/03/2026</t>
        </is>
      </c>
      <c r="I21472" s="10" t="inlineStr">
        <is>
          <t>17/03/2026</t>
        </is>
      </c>
      <c r="J21472" s="10" t="inlineStr">
        <is>
          <t>Bán lẻ / Bán sỉ, Bán hàng / Kinh doanh, Tư vấn</t>
        </is>
      </c>
      <c r="K21472" s="10" t="inlineStr">
        <is>
          <t>Trên 1 Năm</t>
        </is>
      </c>
      <c r="L21472" s="11">
        <f>HYPERLINK("https://careerviet.vn/vi/tim-viec-lam/chuyen-vien-kinh-doanh-qua-tang-b2b.35C6315D.html","Xem chi tiết")</f>
        <v/>
      </c>
      <c r="M21472" s="10" t="n"/>
    </row>
    <row r="21473">
      <c r="B21473" s="7" t="n">
        <v>21471</v>
      </c>
      <c r="C21473" t="inlineStr">
        <is>
          <t>Chuyên viên cấp cao pháp lý dự án</t>
        </is>
      </c>
      <c r="D21473" t="inlineStr">
        <is>
          <t>CÔNG TY CỔ PHẦN TẬP ĐOÀN WON GROUP</t>
        </is>
      </c>
      <c r="E21473" t="inlineStr">
        <is>
          <t>Lương:15 Tr - 30 Tr VND</t>
        </is>
      </c>
      <c r="F21473" t="inlineStr">
        <is>
          <t>Hà Nội</t>
        </is>
      </c>
      <c r="G21473" t="inlineStr">
        <is>
          <t>Hôm nay</t>
        </is>
      </c>
      <c r="H21473" t="inlineStr">
        <is>
          <t>17/03/2026</t>
        </is>
      </c>
      <c r="I21473" t="inlineStr">
        <is>
          <t>17/03/2026</t>
        </is>
      </c>
      <c r="J21473" t="inlineStr">
        <is>
          <t>Luật / Pháp lý, Tài chính / Đầu tư, Bất động sản</t>
        </is>
      </c>
      <c r="K21473" t="inlineStr">
        <is>
          <t>1 - 2 Năm</t>
        </is>
      </c>
      <c r="L21473" s="8">
        <f>HYPERLINK("https://careerviet.vn/vi/tim-viec-lam/chuyen-vien-cap-cao-phap-ly-du-an.35C6308A.html","Xem chi tiết")</f>
        <v/>
      </c>
    </row>
    <row r="21474">
      <c r="B21474" s="9" t="n">
        <v>21472</v>
      </c>
      <c r="C21474" s="10" t="inlineStr">
        <is>
          <t>126126 - General Accountant - Real Estate</t>
        </is>
      </c>
      <c r="D21474" s="10" t="inlineStr">
        <is>
          <t>RGF HR Agent Vietnam Co., LTD</t>
        </is>
      </c>
      <c r="E21474" s="10" t="inlineStr">
        <is>
          <t>Lương:35 Tr - 43 Tr VND</t>
        </is>
      </c>
      <c r="F21474" s="10" t="inlineStr">
        <is>
          <t>Hà Nội</t>
        </is>
      </c>
      <c r="G21474" s="10" t="inlineStr">
        <is>
          <t>Hôm nay</t>
        </is>
      </c>
      <c r="H21474" s="10" t="inlineStr">
        <is>
          <t>17/03/2026</t>
        </is>
      </c>
      <c r="I21474" s="10" t="inlineStr">
        <is>
          <t>17/03/2026</t>
        </is>
      </c>
      <c r="J21474" s="10" t="inlineStr">
        <is>
          <t>Kế toán / Kiểm toán, Bất động sản</t>
        </is>
      </c>
      <c r="K21474" s="10" t="inlineStr">
        <is>
          <t>2 - 3 Năm</t>
        </is>
      </c>
      <c r="L21474" s="11">
        <f>HYPERLINK("https://careerviet.vn/vi/tim-viec-lam/126126-general-accountant-real-estate.35C63203.html","Xem chi tiết")</f>
        <v/>
      </c>
      <c r="M21474" s="10" t="n"/>
    </row>
    <row r="21475">
      <c r="B21475" s="7" t="n">
        <v>21473</v>
      </c>
      <c r="C21475" t="inlineStr">
        <is>
          <t>Chuyên viên Định giá tài sản bảo đảm</t>
        </is>
      </c>
      <c r="D21475" t="inlineStr">
        <is>
          <t>BVBank - Ngân hàng Bản Việt</t>
        </is>
      </c>
      <c r="E21475" t="inlineStr">
        <is>
          <t>Lương:Cạnh tranh</t>
        </is>
      </c>
      <c r="F21475" t="inlineStr">
        <is>
          <t>Toàn quốc</t>
        </is>
      </c>
      <c r="G21475" t="inlineStr">
        <is>
          <t>Hôm nay</t>
        </is>
      </c>
      <c r="H21475" t="inlineStr">
        <is>
          <t>17/03/2026</t>
        </is>
      </c>
      <c r="I21475" t="inlineStr">
        <is>
          <t>17/03/2026</t>
        </is>
      </c>
      <c r="J21475" t="inlineStr">
        <is>
          <t>Ngân hàng, Tài chính / Đầu tư</t>
        </is>
      </c>
      <c r="K21475" t="inlineStr">
        <is>
          <t>1 - 2 Năm</t>
        </is>
      </c>
      <c r="L21475" s="8">
        <f>HYPERLINK("https://careerviet.vn/vi/tim-viec-lam/chuyen-vien-dinh-gia-tai-san-bao-dam.35C65D69.html","Xem chi tiết")</f>
        <v/>
      </c>
    </row>
    <row r="21476">
      <c r="B21476" s="9" t="n">
        <v>21474</v>
      </c>
      <c r="C21476" s="10" t="inlineStr">
        <is>
          <t>Bác Sĩ Da Liễu ( Người Đại Diện Pháp Luật) Full Time/ Part Time</t>
        </is>
      </c>
      <c r="D21476" s="10" t="inlineStr">
        <is>
          <t>Công ty TNHH Sản xuất Thương mại &amp; Dịch vụ Hoa Xinh</t>
        </is>
      </c>
      <c r="E21476" s="10" t="inlineStr">
        <is>
          <t>Lương:60 Tr - 200 Tr VND</t>
        </is>
      </c>
      <c r="F21476" s="10" t="inlineStr">
        <is>
          <t>Hồ Chí Minh</t>
        </is>
      </c>
      <c r="G21476" s="10" t="inlineStr">
        <is>
          <t>Hôm nay</t>
        </is>
      </c>
      <c r="H21476" s="10" t="inlineStr">
        <is>
          <t>17/03/2026</t>
        </is>
      </c>
      <c r="I21476" s="10" t="inlineStr">
        <is>
          <t>17/03/2026</t>
        </is>
      </c>
      <c r="J21476" s="10" t="inlineStr">
        <is>
          <t>Dược phẩm/ Hóa Mỹ Phẩm, Y tế / Chăm sóc sức khỏe / Thẩm mỹ / Làm đẹp</t>
        </is>
      </c>
      <c r="K21476" s="10" t="inlineStr">
        <is>
          <t>5 - 20 Năm</t>
        </is>
      </c>
      <c r="L21476" s="11">
        <f>HYPERLINK("https://careerviet.vn/vi/tim-viec-lam/bac-si-da-lieu-nguoi-dai-dien-phap-luat-full-time-part-time.35C63099.html","Xem chi tiết")</f>
        <v/>
      </c>
      <c r="M21476" s="10" t="n"/>
    </row>
    <row r="21477">
      <c r="B21477" s="7" t="n">
        <v>21475</v>
      </c>
      <c r="C21477" t="inlineStr">
        <is>
          <t>Editor</t>
        </is>
      </c>
      <c r="D21477" t="inlineStr">
        <is>
          <t>CÔNG TY TNHH THƯƠNG MẠI XUẤT NHẬP KHẨU ISU</t>
        </is>
      </c>
      <c r="E21477" t="inlineStr">
        <is>
          <t>Lương:12 Tr - 15 Tr VND</t>
        </is>
      </c>
      <c r="F21477" t="inlineStr">
        <is>
          <t>Hà Nội</t>
        </is>
      </c>
      <c r="G21477" t="inlineStr">
        <is>
          <t>30-04-2026</t>
        </is>
      </c>
      <c r="H21477" t="inlineStr">
        <is>
          <t>30/04/2026</t>
        </is>
      </c>
      <c r="I21477" t="inlineStr">
        <is>
          <t>17/03/2026</t>
        </is>
      </c>
      <c r="J21477" t="inlineStr">
        <is>
          <t>Tiếp thị / Marketing</t>
        </is>
      </c>
      <c r="K21477" t="inlineStr">
        <is>
          <t>1 - 2 Năm</t>
        </is>
      </c>
      <c r="L21477" s="8">
        <f>HYPERLINK("https://careerviet.vn/vi/tim-viec-lam/editor.35C63147.html","Xem chi tiết")</f>
        <v/>
      </c>
    </row>
    <row r="21478">
      <c r="B21478" s="9" t="n">
        <v>21476</v>
      </c>
      <c r="C21478" s="10" t="inlineStr">
        <is>
          <t>Chuyên viên Thu hồi nợ Hiện trường (Nợ sớm) - Miền Trung - TA155</t>
        </is>
      </c>
      <c r="D21478" s="10" t="inlineStr">
        <is>
          <t>Ngân Hàng TMCP Việt Nam Thịnh Vượng - VPBANK</t>
        </is>
      </c>
      <c r="E21478" s="10" t="inlineStr">
        <is>
          <t>Lương:15 Tr - 35 Tr VND</t>
        </is>
      </c>
      <c r="F21478" s="10" t="inlineStr">
        <is>
          <t>Quảng NgãiQuảng NamLâm Đồng</t>
        </is>
      </c>
      <c r="G21478" s="10" t="inlineStr">
        <is>
          <t>Hôm nay</t>
        </is>
      </c>
      <c r="H21478" s="10" t="inlineStr">
        <is>
          <t>17/03/2026</t>
        </is>
      </c>
      <c r="I21478" s="10" t="inlineStr">
        <is>
          <t>17/03/2026</t>
        </is>
      </c>
      <c r="J21478" s="10" t="inlineStr">
        <is>
          <t>Bán hàng / Kinh doanh, Luật / Pháp lý, Tài chính / Đầu tư</t>
        </is>
      </c>
      <c r="K21478" s="10" t="inlineStr">
        <is>
          <t>1 - 2 Năm</t>
        </is>
      </c>
      <c r="L21478" s="11">
        <f>HYPERLINK("https://careerviet.vn/vi/tim-viec-lam/chuyen-vien-thu-hoi-no-hien-truong-no-som-mien-trung-ta155.35C631A0.html","Xem chi tiết")</f>
        <v/>
      </c>
      <c r="M21478" s="10" t="n"/>
    </row>
    <row r="21479">
      <c r="B21479" s="7" t="n">
        <v>21477</v>
      </c>
      <c r="C21479" t="inlineStr">
        <is>
          <t>Trưởng phòng tài chính kế toán (Đi làm ngay - Hoặc sau tết)</t>
        </is>
      </c>
      <c r="D21479" t="inlineStr">
        <is>
          <t>Công Ty Cổ Phần Xuất Nhập Khẩu Thương Mại Đài Linh</t>
        </is>
      </c>
      <c r="E21479" t="inlineStr">
        <is>
          <t>Lương:35 Tr - 45 Tr VND</t>
        </is>
      </c>
      <c r="F21479" t="inlineStr">
        <is>
          <t>Hà Nội</t>
        </is>
      </c>
      <c r="G21479" t="inlineStr">
        <is>
          <t>Hôm nay</t>
        </is>
      </c>
      <c r="H21479" t="inlineStr">
        <is>
          <t>17/03/2026</t>
        </is>
      </c>
      <c r="I21479" t="inlineStr">
        <is>
          <t>17/03/2026</t>
        </is>
      </c>
      <c r="J21479" t="inlineStr">
        <is>
          <t>Kế toán / Kiểm toán, Bán hàng / Kinh doanh, Tài chính / Đầu tư</t>
        </is>
      </c>
      <c r="K21479" t="inlineStr">
        <is>
          <t>3 - 5 Năm</t>
        </is>
      </c>
      <c r="L21479" s="8">
        <f>HYPERLINK("https://careerviet.vn/vi/tim-viec-lam/truong-phong-tai-chinh-ke-toan-di-lam-ngay-hoac-sau-tet.35C65C81.html","Xem chi tiết")</f>
        <v/>
      </c>
    </row>
    <row r="21480">
      <c r="B21480" s="9" t="n">
        <v>21478</v>
      </c>
      <c r="C21480" s="10" t="inlineStr">
        <is>
          <t>Kỹ Thuật Viên X-Quang</t>
        </is>
      </c>
      <c r="D21480" s="10" t="inlineStr">
        <is>
          <t>CÔNG TY CỔ PHẦN BỆNH VIỆN PHẪU THUẬT THẨM MỸ NAM AN</t>
        </is>
      </c>
      <c r="E21480" s="10" t="inlineStr">
        <is>
          <t>Lương:Cạnh tranh</t>
        </is>
      </c>
      <c r="F21480" s="10" t="inlineStr">
        <is>
          <t>Hồ Chí Minh</t>
        </is>
      </c>
      <c r="G21480" s="10" t="inlineStr">
        <is>
          <t>Hôm nay</t>
        </is>
      </c>
      <c r="H21480" s="10" t="inlineStr">
        <is>
          <t>17/03/2026</t>
        </is>
      </c>
      <c r="I21480" s="10" t="inlineStr">
        <is>
          <t>17/03/2026</t>
        </is>
      </c>
      <c r="J21480" s="10" t="inlineStr">
        <is>
          <t>Dược phẩm/ Hóa Mỹ Phẩm, Y tế / Chăm sóc sức khỏe / Thẩm mỹ / Làm đẹp, Hành chính / Thư ký</t>
        </is>
      </c>
      <c r="K21480" s="10" t="inlineStr">
        <is>
          <t>Trên 1 Năm</t>
        </is>
      </c>
      <c r="L21480" s="11">
        <f>HYPERLINK("https://careerviet.vn/vi/tim-viec-lam/ky-thuat-vien-x-quang.35C6321F.html","Xem chi tiết")</f>
        <v/>
      </c>
      <c r="M21480" s="10" t="n"/>
    </row>
    <row r="21481">
      <c r="B21481" s="7" t="n">
        <v>21479</v>
      </c>
      <c r="C21481" t="inlineStr">
        <is>
          <t>Nhân viên bảo trì</t>
        </is>
      </c>
      <c r="D21481" t="inlineStr">
        <is>
          <t>Công Ty Cổ Phần Tân Vĩnh Cửu (Tavico group)</t>
        </is>
      </c>
      <c r="E21481" t="inlineStr">
        <is>
          <t>Lương:Cạnh tranh</t>
        </is>
      </c>
      <c r="F21481" t="inlineStr">
        <is>
          <t>Đồng Nai</t>
        </is>
      </c>
      <c r="G21481" t="inlineStr">
        <is>
          <t>Hôm nay</t>
        </is>
      </c>
      <c r="H21481" t="inlineStr">
        <is>
          <t>17/03/2026</t>
        </is>
      </c>
      <c r="I21481" t="inlineStr">
        <is>
          <t>17/03/2026</t>
        </is>
      </c>
      <c r="J21481" t="inlineStr">
        <is>
          <t>Điện / Điện tử / Điện lạnh / Điện công nghiệp, Bảo trì / Sửa chữa, Đồ gỗ</t>
        </is>
      </c>
      <c r="K21481" t="inlineStr">
        <is>
          <t>1 - 2 Năm</t>
        </is>
      </c>
      <c r="L21481" s="8">
        <f>HYPERLINK("https://careerviet.vn/vi/tim-viec-lam/nhan-vien-bao-tri.35C65BED.html","Xem chi tiết")</f>
        <v/>
      </c>
    </row>
    <row r="21482">
      <c r="B21482" s="9" t="n">
        <v>21480</v>
      </c>
      <c r="C21482" s="10" t="inlineStr">
        <is>
          <t>Nhân viên Ngành hàng C-Brands</t>
        </is>
      </c>
      <c r="D21482" s="10" t="inlineStr">
        <is>
          <t>Công ty Di Động Việt</t>
        </is>
      </c>
      <c r="E21482" s="10" t="inlineStr">
        <is>
          <t>Lương:Cạnh tranh</t>
        </is>
      </c>
      <c r="F21482" s="10" t="inlineStr">
        <is>
          <t>Hồ Chí Minh</t>
        </is>
      </c>
      <c r="G21482" s="10" t="inlineStr">
        <is>
          <t>Hôm nay</t>
        </is>
      </c>
      <c r="H21482" s="10" t="inlineStr">
        <is>
          <t>17/03/2026</t>
        </is>
      </c>
      <c r="I21482" s="10" t="inlineStr">
        <is>
          <t>17/03/2026</t>
        </is>
      </c>
      <c r="J21482" s="10" t="inlineStr">
        <is>
          <t>Bán lẻ / Bán sỉ, Bán hàng / Kinh doanh, Thu mua / Vật tư</t>
        </is>
      </c>
      <c r="K21482" s="10" t="inlineStr">
        <is>
          <t>1 - 2 Năm</t>
        </is>
      </c>
      <c r="L21482" s="11">
        <f>HYPERLINK("https://careerviet.vn/vi/tim-viec-lam/nhan-vien-nganh-hang-c-brands.35C65BFD.html","Xem chi tiết")</f>
        <v/>
      </c>
      <c r="M21482" s="10" t="n"/>
    </row>
    <row r="21483">
      <c r="B21483" s="7" t="n">
        <v>21481</v>
      </c>
      <c r="C21483" t="inlineStr">
        <is>
          <t>Nhân viên quản lý đơn hàng</t>
        </is>
      </c>
      <c r="D21483" t="inlineStr">
        <is>
          <t>Công ty TNHH Thiết bị y tế Phương Đông</t>
        </is>
      </c>
      <c r="E21483" t="inlineStr">
        <is>
          <t>Lương:Cạnh tranh</t>
        </is>
      </c>
      <c r="F21483" t="inlineStr">
        <is>
          <t>Hà Nội</t>
        </is>
      </c>
      <c r="G21483" t="inlineStr">
        <is>
          <t>Hôm nay</t>
        </is>
      </c>
      <c r="H21483" t="inlineStr">
        <is>
          <t>17/03/2026</t>
        </is>
      </c>
      <c r="I21483" t="inlineStr">
        <is>
          <t>17/03/2026</t>
        </is>
      </c>
      <c r="J21483" t="inlineStr">
        <is>
          <t>Bán hàng / Kinh doanh, Ngân hàng, Dịch vụ khách hàng</t>
        </is>
      </c>
      <c r="K21483" t="inlineStr">
        <is>
          <t>1 - 2 Năm</t>
        </is>
      </c>
      <c r="L21483" s="8">
        <f>HYPERLINK("https://careerviet.vn/vi/tim-viec-lam/nhan-vien-quan-ly-don-hang.35C65D33.html","Xem chi tiết")</f>
        <v/>
      </c>
    </row>
    <row r="21484">
      <c r="B21484" s="9" t="n">
        <v>21482</v>
      </c>
      <c r="C21484" s="10" t="inlineStr">
        <is>
          <t>Chuyên viên vận hành hệ thống phần mềm (IT Operation Engineer)</t>
        </is>
      </c>
      <c r="D21484" s="10" t="inlineStr">
        <is>
          <t>CÔNG TY CỔ PHẦN CHỨNG KHOÁN HD</t>
        </is>
      </c>
      <c r="E21484" s="10" t="inlineStr">
        <is>
          <t>Lương:Cạnh tranh</t>
        </is>
      </c>
      <c r="F21484" s="10" t="inlineStr">
        <is>
          <t>Hồ Chí MinhHà Nội</t>
        </is>
      </c>
      <c r="G21484" s="10" t="inlineStr">
        <is>
          <t>Hôm nay</t>
        </is>
      </c>
      <c r="H21484" s="10" t="inlineStr">
        <is>
          <t>17/03/2026</t>
        </is>
      </c>
      <c r="I21484" s="10" t="inlineStr">
        <is>
          <t>17/03/2026</t>
        </is>
      </c>
      <c r="J21484" s="10" t="inlineStr">
        <is>
          <t>CNTT - Phần cứng / Mạng, Chứng khoán, CNTT - Phần mềm</t>
        </is>
      </c>
      <c r="K21484" s="10" t="inlineStr">
        <is>
          <t>3 - 10 Năm</t>
        </is>
      </c>
      <c r="L21484" s="11">
        <f>HYPERLINK("https://careerviet.vn/vi/tim-viec-lam/chuyen-vien-van-hanh-he-thong-phan-mem-it-operation-engineer.35C65C85.html","Xem chi tiết")</f>
        <v/>
      </c>
      <c r="M21484" s="10" t="n"/>
    </row>
    <row r="21485">
      <c r="B21485" s="7" t="n">
        <v>21483</v>
      </c>
      <c r="C21485" t="inlineStr">
        <is>
          <t>Nhân viên kinh doanh khu vực Bình Dương (kênh MT)</t>
        </is>
      </c>
      <c r="D21485" t="inlineStr">
        <is>
          <t>Công ty TNHH Chế biến thực phẩm Đông Đô</t>
        </is>
      </c>
      <c r="E21485" t="inlineStr">
        <is>
          <t>Lương:11 Tr - 14 Tr VND</t>
        </is>
      </c>
      <c r="F21485" t="inlineStr">
        <is>
          <t>Bình Dương</t>
        </is>
      </c>
      <c r="G21485" t="inlineStr">
        <is>
          <t>Hôm nay</t>
        </is>
      </c>
      <c r="H21485" t="inlineStr">
        <is>
          <t>17/03/2026</t>
        </is>
      </c>
      <c r="I21485" t="inlineStr">
        <is>
          <t>17/03/2026</t>
        </is>
      </c>
      <c r="J21485" t="inlineStr">
        <is>
          <t>Bán lẻ / Bán sỉ, Bán hàng / Kinh doanh, Thực phẩm &amp; Đồ uống</t>
        </is>
      </c>
      <c r="K21485" t="inlineStr">
        <is>
          <t>1 - 2 Năm</t>
        </is>
      </c>
      <c r="L21485" s="8">
        <f>HYPERLINK("https://careerviet.vn/vi/tim-viec-lam/nhan-vien-kinh-doanh-khu-vuc-binh-duong-kenh-mt.35C65C45.html","Xem chi tiết")</f>
        <v/>
      </c>
    </row>
    <row r="21486">
      <c r="B21486" s="9" t="n">
        <v>21484</v>
      </c>
      <c r="C21486" s="10" t="inlineStr">
        <is>
          <t>CHUYÊN VIÊN CÔNG NỢ</t>
        </is>
      </c>
      <c r="D21486" s="10" t="inlineStr">
        <is>
          <t>CÔNG TY TNHH DB HOME</t>
        </is>
      </c>
      <c r="E21486" s="10" t="inlineStr">
        <is>
          <t>Lương:Cạnh tranh</t>
        </is>
      </c>
      <c r="F21486" s="10" t="inlineStr">
        <is>
          <t>Tây NinhHồ Chí Minh</t>
        </is>
      </c>
      <c r="G21486" s="10" t="inlineStr">
        <is>
          <t>Hôm nay</t>
        </is>
      </c>
      <c r="H21486" s="10" t="inlineStr">
        <is>
          <t>17/03/2026</t>
        </is>
      </c>
      <c r="I21486" s="10" t="inlineStr">
        <is>
          <t>17/03/2026</t>
        </is>
      </c>
      <c r="J21486" s="10" t="inlineStr">
        <is>
          <t>Kế toán / Kiểm toán, Tài chính / Đầu tư, Bất động sản</t>
        </is>
      </c>
      <c r="K21486" s="10" t="inlineStr">
        <is>
          <t>Trên 2 Năm</t>
        </is>
      </c>
      <c r="L21486" s="11">
        <f>HYPERLINK("https://careerviet.vn/vi/tim-viec-lam/chuyen-vien-cong-no.35C65D9F.html","Xem chi tiết")</f>
        <v/>
      </c>
      <c r="M21486" s="10" t="n"/>
    </row>
    <row r="21487">
      <c r="B21487" s="7" t="n">
        <v>21485</v>
      </c>
      <c r="C21487" t="inlineStr">
        <is>
          <t>Nhân viên admin kho-Vĩnh Phúc</t>
        </is>
      </c>
      <c r="D21487" t="inlineStr">
        <is>
          <t>Công Ty Cổ Phần Thép Việt Xô Hà Nội</t>
        </is>
      </c>
      <c r="E21487" t="inlineStr">
        <is>
          <t>Lương:10 Tr - 12 Tr VND</t>
        </is>
      </c>
      <c r="F21487" t="inlineStr">
        <is>
          <t>Vĩnh Phúc</t>
        </is>
      </c>
      <c r="G21487" t="inlineStr">
        <is>
          <t>Hôm nay</t>
        </is>
      </c>
      <c r="H21487" t="inlineStr">
        <is>
          <t>17/03/2026</t>
        </is>
      </c>
      <c r="I21487" t="inlineStr">
        <is>
          <t>17/03/2026</t>
        </is>
      </c>
      <c r="J21487" t="inlineStr">
        <is>
          <t>Vận chuyển / Giao nhận / Kho vận</t>
        </is>
      </c>
      <c r="K21487" t="inlineStr">
        <is>
          <t>2 - 3 Năm</t>
        </is>
      </c>
      <c r="L21487" s="8">
        <f>HYPERLINK("https://careerviet.vn/vi/tim-viec-lam/nhan-vien-admin-kho-vinh-phuc.35C631EA.html","Xem chi tiết")</f>
        <v/>
      </c>
    </row>
    <row r="21488">
      <c r="B21488" s="9" t="n">
        <v>21486</v>
      </c>
      <c r="C21488" s="10" t="inlineStr">
        <is>
          <t>Chuyên Viên Mua Hàng Hạt Nhựa</t>
        </is>
      </c>
      <c r="D21488" s="10" t="inlineStr">
        <is>
          <t>Công Ty Cổ Phần Sản Xuất Nhựa Duy Tân</t>
        </is>
      </c>
      <c r="E21488" s="10" t="inlineStr">
        <is>
          <t>Lương:Cạnh tranh</t>
        </is>
      </c>
      <c r="F21488" s="10" t="inlineStr">
        <is>
          <t>Hồ Chí Minh</t>
        </is>
      </c>
      <c r="G21488" s="10" t="inlineStr">
        <is>
          <t>Hôm nay</t>
        </is>
      </c>
      <c r="H21488" s="10" t="inlineStr">
        <is>
          <t>17/03/2026</t>
        </is>
      </c>
      <c r="I21488" s="10" t="inlineStr">
        <is>
          <t>17/03/2026</t>
        </is>
      </c>
      <c r="J21488" s="10" t="inlineStr">
        <is>
          <t>Sản xuất / Vận hành sản xuất, Thu mua / Vật tư</t>
        </is>
      </c>
      <c r="K21488" s="10" t="inlineStr">
        <is>
          <t>1 - 3 Năm</t>
        </is>
      </c>
      <c r="L21488" s="11">
        <f>HYPERLINK("https://careerviet.vn/vi/tim-viec-lam/chuyen-vien-mua-hang-hat-nhua.35C63113.html","Xem chi tiết")</f>
        <v/>
      </c>
      <c r="M21488" s="10" t="n"/>
    </row>
    <row r="21489">
      <c r="B21489" s="7" t="n">
        <v>21487</v>
      </c>
      <c r="C21489" t="inlineStr">
        <is>
          <t>Nhân viên bán hàng (SALOMON)</t>
        </is>
      </c>
      <c r="D21489" t="inlineStr">
        <is>
          <t>CÔNG TY TNHH ANTA SPORTS VIỆT NAM</t>
        </is>
      </c>
      <c r="E21489" t="inlineStr">
        <is>
          <t>Lương:8 Tr - 12 Tr VND</t>
        </is>
      </c>
      <c r="F21489" t="inlineStr">
        <is>
          <t>Hồ Chí MinhHà Nội</t>
        </is>
      </c>
      <c r="G21489" t="inlineStr">
        <is>
          <t>Hôm nay</t>
        </is>
      </c>
      <c r="H21489" t="inlineStr">
        <is>
          <t>17/03/2026</t>
        </is>
      </c>
      <c r="I21489" t="inlineStr">
        <is>
          <t>17/03/2026</t>
        </is>
      </c>
      <c r="J21489" t="inlineStr">
        <is>
          <t>Bán lẻ / Bán sỉ, Bán hàng / Kinh doanh</t>
        </is>
      </c>
      <c r="K21489" t="inlineStr">
        <is>
          <t>Trên 1 Năm</t>
        </is>
      </c>
      <c r="L21489" s="8">
        <f>HYPERLINK("https://careerviet.vn/vi/tim-viec-lam/nhan-vien-ban-hang-salomon.35C65D56.html","Xem chi tiết")</f>
        <v/>
      </c>
    </row>
    <row r="21490">
      <c r="B21490" s="9" t="n">
        <v>21488</v>
      </c>
      <c r="C21490" s="10" t="inlineStr">
        <is>
          <t>Quality Engineer</t>
        </is>
      </c>
      <c r="D21490" s="10" t="inlineStr">
        <is>
          <t>Jabil Vietnam</t>
        </is>
      </c>
      <c r="E21490" s="10" t="inlineStr">
        <is>
          <t>Lương:Cạnh tranh</t>
        </is>
      </c>
      <c r="F21490" s="10" t="inlineStr">
        <is>
          <t>Hồ Chí Minh</t>
        </is>
      </c>
      <c r="G21490" s="10" t="inlineStr">
        <is>
          <t>Hôm nay</t>
        </is>
      </c>
      <c r="H21490" s="10" t="inlineStr">
        <is>
          <t>17/03/2026</t>
        </is>
      </c>
      <c r="I21490" s="10" t="inlineStr">
        <is>
          <t>17/03/2026</t>
        </is>
      </c>
      <c r="J21490" s="10" t="inlineStr">
        <is>
          <t>Điện / Điện tử / Điện lạnh / Điện công nghiệp, Sản xuất / Vận hành sản xuất, Quản lý chất lượng (QA/QC)</t>
        </is>
      </c>
      <c r="K21490" s="10" t="inlineStr">
        <is>
          <t>2 - 3 Năm</t>
        </is>
      </c>
      <c r="L21490" s="11">
        <f>HYPERLINK("https://careerviet.vn/vi/tim-viec-lam/quality-engineer.35C65D4A.html","Xem chi tiết")</f>
        <v/>
      </c>
      <c r="M21490" s="10" t="n"/>
    </row>
    <row r="21491">
      <c r="B21491" s="7" t="n">
        <v>21489</v>
      </c>
      <c r="C21491" t="inlineStr">
        <is>
          <t>Trợ lý - Phiên dịch tiếng Trung</t>
        </is>
      </c>
      <c r="D21491" t="inlineStr">
        <is>
          <t>CÔNG TY TNHH FOXSCORE</t>
        </is>
      </c>
      <c r="E21491" t="inlineStr">
        <is>
          <t>Lương:18 Tr - 20 Tr VND</t>
        </is>
      </c>
      <c r="F21491" t="inlineStr">
        <is>
          <t>Hồ Chí Minh</t>
        </is>
      </c>
      <c r="G21491" t="inlineStr">
        <is>
          <t>Hôm nay</t>
        </is>
      </c>
      <c r="H21491" t="inlineStr">
        <is>
          <t>17/03/2026</t>
        </is>
      </c>
      <c r="I21491" t="inlineStr">
        <is>
          <t>17/03/2026</t>
        </is>
      </c>
      <c r="J21491" t="inlineStr">
        <is>
          <t>Hành chính / Thư ký, Nhân sự, Biên phiên dịch</t>
        </is>
      </c>
      <c r="K21491" t="inlineStr">
        <is>
          <t>Trên 1 Năm</t>
        </is>
      </c>
      <c r="L21491" s="8">
        <f>HYPERLINK("https://careerviet.vn/vi/tim-viec-lam/tro-ly-phien-dich-tieng-trung.35C65C2F.html","Xem chi tiết")</f>
        <v/>
      </c>
    </row>
    <row r="21492">
      <c r="B21492" s="9" t="n">
        <v>21490</v>
      </c>
      <c r="C21492" s="10" t="inlineStr">
        <is>
          <t>Quản Lý Dự Toán</t>
        </is>
      </c>
      <c r="D21492" s="10" t="inlineStr">
        <is>
          <t>CÔNG TY CỔ PHẦN THIẾT KẾ VÀ XÂY DỰNG ONECONS</t>
        </is>
      </c>
      <c r="E21492" s="10" t="inlineStr">
        <is>
          <t>Lương:Cạnh tranh</t>
        </is>
      </c>
      <c r="F21492" s="10" t="inlineStr">
        <is>
          <t>Hồ Chí Minh</t>
        </is>
      </c>
      <c r="G21492" s="10" t="inlineStr">
        <is>
          <t>Hôm nay</t>
        </is>
      </c>
      <c r="H21492" s="10" t="inlineStr">
        <is>
          <t>17/03/2026</t>
        </is>
      </c>
      <c r="I21492" s="10" t="inlineStr">
        <is>
          <t>17/03/2026</t>
        </is>
      </c>
      <c r="J21492" s="10" t="inlineStr">
        <is>
          <t>Xây dựng, Quản lý điều hành, Thống kê</t>
        </is>
      </c>
      <c r="K21492" s="10" t="inlineStr">
        <is>
          <t>7 - 10 Năm</t>
        </is>
      </c>
      <c r="L21492" s="11">
        <f>HYPERLINK("https://careerviet.vn/vi/tim-viec-lam/quan-ly-du-toan.35C65D7A.html","Xem chi tiết")</f>
        <v/>
      </c>
      <c r="M21492" s="10" t="n"/>
    </row>
    <row r="21493">
      <c r="B21493" s="7" t="n">
        <v>21491</v>
      </c>
      <c r="C21493" t="inlineStr">
        <is>
          <t>Chuyên Viên Dịch Vụ Khách Hàng</t>
        </is>
      </c>
      <c r="D21493" t="inlineStr">
        <is>
          <t>CÔNG TY TNHH DỊCH VỤ RENRUI VIỆT NAM</t>
        </is>
      </c>
      <c r="E21493" t="inlineStr">
        <is>
          <t>Lương:11 Tr - 13 Tr VND</t>
        </is>
      </c>
      <c r="F21493" t="inlineStr">
        <is>
          <t>Hồ Chí Minh</t>
        </is>
      </c>
      <c r="G21493" t="inlineStr">
        <is>
          <t>Hôm nay</t>
        </is>
      </c>
      <c r="H21493" t="inlineStr">
        <is>
          <t>17/03/2026</t>
        </is>
      </c>
      <c r="I21493" t="inlineStr">
        <is>
          <t>17/03/2026</t>
        </is>
      </c>
      <c r="J21493" t="inlineStr">
        <is>
          <t>Dịch vụ khách hàng, Hành chính / Thư ký, Du lịch</t>
        </is>
      </c>
      <c r="K21493" t="inlineStr">
        <is>
          <t>Lên đến 1 Năm</t>
        </is>
      </c>
      <c r="L21493" s="8">
        <f>HYPERLINK("https://careerviet.vn/vi/tim-viec-lam/chuyen-vien-dich-vu-khach-hang.35C6317E.html","Xem chi tiết")</f>
        <v/>
      </c>
    </row>
    <row r="21494">
      <c r="B21494" s="9" t="n">
        <v>21492</v>
      </c>
      <c r="C21494" s="10" t="inlineStr">
        <is>
          <t>Quản Trị Viên Chuyên Ngành Ngôn Ngữ Trung</t>
        </is>
      </c>
      <c r="D21494" s="10" t="inlineStr">
        <is>
          <t>CÔNG TY TNHH ACTR</t>
        </is>
      </c>
      <c r="E21494" s="10" t="inlineStr">
        <is>
          <t>Lương:10,5 Tr - 15,5 Tr VND</t>
        </is>
      </c>
      <c r="F21494" s="10" t="inlineStr">
        <is>
          <t>Tây Ninh</t>
        </is>
      </c>
      <c r="G21494" s="10" t="inlineStr">
        <is>
          <t>Hôm nay</t>
        </is>
      </c>
      <c r="H21494" s="10" t="inlineStr">
        <is>
          <t>17/03/2026</t>
        </is>
      </c>
      <c r="I21494" s="10" t="inlineStr">
        <is>
          <t>17/03/2026</t>
        </is>
      </c>
      <c r="J21494" s="10" t="inlineStr">
        <is>
          <t>Biên phiên dịch, Sản xuất / Vận hành sản xuất, Mới tốt nghiệp / Thực tập</t>
        </is>
      </c>
      <c r="K21494" s="10" t="inlineStr">
        <is>
          <t>N/A</t>
        </is>
      </c>
      <c r="L21494" s="11">
        <f>HYPERLINK("https://careerviet.vn/vi/tim-viec-lam/quan-tri-vien-chuyen-nganh-ngon-ngu-trung.35C0C146.html","Xem chi tiết")</f>
        <v/>
      </c>
      <c r="M21494" s="10" t="n"/>
    </row>
    <row r="21495">
      <c r="B21495" s="7" t="n">
        <v>21493</v>
      </c>
      <c r="C21495" t="inlineStr">
        <is>
          <t>Giáo viên chương trình quốc tế</t>
        </is>
      </c>
      <c r="D21495" t="inlineStr">
        <is>
          <t>Tutoring Space</t>
        </is>
      </c>
      <c r="E21495" t="inlineStr">
        <is>
          <t>Lương:10 Tr - 25 Tr VND</t>
        </is>
      </c>
      <c r="F21495" t="inlineStr">
        <is>
          <t>Hồ Chí Minh</t>
        </is>
      </c>
      <c r="G21495" t="inlineStr">
        <is>
          <t>Hôm nay</t>
        </is>
      </c>
      <c r="H21495" t="inlineStr">
        <is>
          <t>17/03/2026</t>
        </is>
      </c>
      <c r="I21495" t="inlineStr">
        <is>
          <t>17/03/2026</t>
        </is>
      </c>
      <c r="J21495" t="inlineStr">
        <is>
          <t>Giáo dục / Đào tạo, Thư viện, Tư vấn</t>
        </is>
      </c>
      <c r="K21495" t="inlineStr">
        <is>
          <t>N/A</t>
        </is>
      </c>
      <c r="L21495" s="8">
        <f>HYPERLINK("https://careerviet.vn/vi/tim-viec-lam/giao-vien-chuong-trinh-quoc-te.35C63209.html","Xem chi tiết")</f>
        <v/>
      </c>
    </row>
    <row r="21496">
      <c r="B21496" s="9" t="n">
        <v>21494</v>
      </c>
      <c r="C21496" s="10" t="inlineStr">
        <is>
          <t>Hành Chính Nhân Sự Tổng Hợp</t>
        </is>
      </c>
      <c r="D21496" s="10" t="inlineStr">
        <is>
          <t>Công ty TNHH Thực Phẩm Sạch Thương Mại T&amp;P</t>
        </is>
      </c>
      <c r="E21496" s="10" t="inlineStr">
        <is>
          <t>Lương:Cạnh tranh</t>
        </is>
      </c>
      <c r="F21496" s="10" t="inlineStr">
        <is>
          <t>Bắc Ninh</t>
        </is>
      </c>
      <c r="G21496" s="10" t="inlineStr">
        <is>
          <t>Hôm nay</t>
        </is>
      </c>
      <c r="H21496" s="10" t="inlineStr">
        <is>
          <t>17/03/2026</t>
        </is>
      </c>
      <c r="I21496" s="10" t="inlineStr">
        <is>
          <t>17/03/2026</t>
        </is>
      </c>
      <c r="J21496" s="10" t="inlineStr">
        <is>
          <t>Hành chính / Thư ký, Quản lý điều hành, Nhân sự</t>
        </is>
      </c>
      <c r="K21496" s="10" t="inlineStr">
        <is>
          <t>2 - 3 Năm</t>
        </is>
      </c>
      <c r="L21496" s="11">
        <f>HYPERLINK("https://careerviet.vn/vi/tim-viec-lam/hanh-chinh-nhan-su-tong-hop.35C63046.html","Xem chi tiết")</f>
        <v/>
      </c>
      <c r="M21496" s="10" t="n"/>
    </row>
    <row r="21497">
      <c r="B21497" s="7" t="n">
        <v>21495</v>
      </c>
      <c r="C21497" t="inlineStr">
        <is>
          <t>HR Staff (Recruitment &amp; Training)</t>
        </is>
      </c>
      <c r="D21497" t="inlineStr">
        <is>
          <t>Công ty TNHH Logistics Sinovitrans</t>
        </is>
      </c>
      <c r="E21497" t="inlineStr">
        <is>
          <t>Lương:10 Tr - 18 Tr VND</t>
        </is>
      </c>
      <c r="F21497" t="inlineStr">
        <is>
          <t>Hồ Chí MinhHải Phòng</t>
        </is>
      </c>
      <c r="G21497" t="inlineStr">
        <is>
          <t>Hôm nay</t>
        </is>
      </c>
      <c r="H21497" t="inlineStr">
        <is>
          <t>17/03/2026</t>
        </is>
      </c>
      <c r="I21497" t="inlineStr">
        <is>
          <t>17/03/2026</t>
        </is>
      </c>
      <c r="J21497" t="inlineStr">
        <is>
          <t>Vận chuyển / Giao nhận / Kho vận, Hành chính / Thư ký, Nhân sự</t>
        </is>
      </c>
      <c r="K21497" t="inlineStr">
        <is>
          <t>1 - 3 Năm</t>
        </is>
      </c>
      <c r="L21497" s="8">
        <f>HYPERLINK("https://careerviet.vn/vi/tim-viec-lam/hr-staff-recruitment-training.35C65CDE.html","Xem chi tiết")</f>
        <v/>
      </c>
    </row>
    <row r="21498">
      <c r="B21498" s="9" t="n">
        <v>21496</v>
      </c>
      <c r="C21498" s="10" t="inlineStr">
        <is>
          <t>Trình dược viên ETC/OTC</t>
        </is>
      </c>
      <c r="D21498" s="10" t="inlineStr">
        <is>
          <t>Công ty TNHH Bình Việt Đức (BIVID)</t>
        </is>
      </c>
      <c r="E21498" s="10" t="inlineStr">
        <is>
          <t>Lương:8 Tr - 15 Tr VND</t>
        </is>
      </c>
      <c r="F21498" s="10" t="inlineStr">
        <is>
          <t>Cần ThơHồ Chí MinhĐà Nẵng</t>
        </is>
      </c>
      <c r="G21498" s="10" t="inlineStr">
        <is>
          <t>Hôm nay</t>
        </is>
      </c>
      <c r="H21498" s="10" t="inlineStr">
        <is>
          <t>17/03/2026</t>
        </is>
      </c>
      <c r="I21498" s="10" t="inlineStr">
        <is>
          <t>17/03/2026</t>
        </is>
      </c>
      <c r="J21498" s="10" t="inlineStr">
        <is>
          <t>Dược phẩm/ Hóa Mỹ Phẩm, Bán hàng / Kinh doanh, Y tế / Chăm sóc sức khỏe / Thẩm mỹ / Làm đẹp</t>
        </is>
      </c>
      <c r="K21498" s="10" t="inlineStr">
        <is>
          <t>N/A</t>
        </is>
      </c>
      <c r="L21498" s="11">
        <f>HYPERLINK("https://careerviet.vn/vi/tim-viec-lam/trinh-duoc-vien-etc-otc.35C631EC.html","Xem chi tiết")</f>
        <v/>
      </c>
      <c r="M21498" s="10" t="n"/>
    </row>
    <row r="21499">
      <c r="B21499" s="7" t="n">
        <v>21497</v>
      </c>
      <c r="C21499" t="inlineStr">
        <is>
          <t>Chuyên Viên Digital Marketing</t>
        </is>
      </c>
      <c r="D21499" t="inlineStr">
        <is>
          <t>Công Ty Cổ Phần Tập Đoàn Trần Anh Long An</t>
        </is>
      </c>
      <c r="E21499" t="inlineStr">
        <is>
          <t>Lương:15 Tr - 20 Tr VND</t>
        </is>
      </c>
      <c r="F21499" t="inlineStr">
        <is>
          <t>Long An</t>
        </is>
      </c>
      <c r="G21499" t="inlineStr">
        <is>
          <t>Hôm nay</t>
        </is>
      </c>
      <c r="H21499" t="inlineStr">
        <is>
          <t>17/03/2026</t>
        </is>
      </c>
      <c r="I21499" t="inlineStr">
        <is>
          <t>17/03/2026</t>
        </is>
      </c>
      <c r="J21499" t="inlineStr">
        <is>
          <t>Tiếp thị / Marketing, Quảng cáo / Đối ngoại / Truyền Thông, Tiếp thị trực tuyến</t>
        </is>
      </c>
      <c r="K21499" t="inlineStr">
        <is>
          <t>1 - 3 Năm</t>
        </is>
      </c>
      <c r="L21499" s="8">
        <f>HYPERLINK("https://careerviet.vn/vi/tim-viec-lam/chuyen-vien-digital-marketing.35C65CC5.html","Xem chi tiết")</f>
        <v/>
      </c>
    </row>
    <row r="21500">
      <c r="B21500" s="9" t="n">
        <v>21498</v>
      </c>
      <c r="C21500" s="10" t="inlineStr">
        <is>
          <t>Nhân viên kế toán xuất hóa đơn</t>
        </is>
      </c>
      <c r="D21500" s="10" t="inlineStr">
        <is>
          <t>CÔNG TY CỔ PHẦN PHÁT TRIỂN CƠ ĐIỆN LẠNH HOÀNG ĐẠT</t>
        </is>
      </c>
      <c r="E21500" s="10" t="inlineStr">
        <is>
          <t>Lương:9 Tr - 11 Tr VND</t>
        </is>
      </c>
      <c r="F21500" s="10" t="inlineStr">
        <is>
          <t>Hà Nội</t>
        </is>
      </c>
      <c r="G21500" s="10" t="inlineStr">
        <is>
          <t>31-03-2026</t>
        </is>
      </c>
      <c r="H21500" s="10" t="inlineStr">
        <is>
          <t>31/03/2026</t>
        </is>
      </c>
      <c r="I21500" s="10" t="inlineStr">
        <is>
          <t>17/03/2026</t>
        </is>
      </c>
      <c r="J21500" s="10" t="inlineStr">
        <is>
          <t>Kế toán / Kiểm toán</t>
        </is>
      </c>
      <c r="K21500" s="10" t="inlineStr">
        <is>
          <t>Lên đến 1 Năm</t>
        </is>
      </c>
      <c r="L21500" s="11">
        <f>HYPERLINK("https://careerviet.vn/vi/tim-viec-lam/nhan-vien-ke-toan-xuat-hoa-don.35C63052.html","Xem chi tiết")</f>
        <v/>
      </c>
      <c r="M21500" s="10" t="n"/>
    </row>
    <row r="21501">
      <c r="B21501" s="7" t="n">
        <v>21499</v>
      </c>
      <c r="C21501" t="inlineStr">
        <is>
          <t>Bác Sĩ Da Liễu ( Người Đại Diện Pháp Luật) Full Time/ Part Time -Hợp tác Giáo sư Bác sĩ Hàn Quốc - Park Sung Yong (Bệnh viện thẩm mỹ Gangwhoo)</t>
        </is>
      </c>
      <c r="D21501" t="inlineStr">
        <is>
          <t>Công ty TNHH Sản xuất Thương mại &amp; Dịch vụ Hoa Xinh</t>
        </is>
      </c>
      <c r="E21501" t="inlineStr">
        <is>
          <t>Lương:60 Tr - 200 Tr VND</t>
        </is>
      </c>
      <c r="F21501" t="inlineStr">
        <is>
          <t>Hồ Chí Minh</t>
        </is>
      </c>
      <c r="G21501" t="inlineStr">
        <is>
          <t>Hôm nay</t>
        </is>
      </c>
      <c r="H21501" t="inlineStr">
        <is>
          <t>17/03/2026</t>
        </is>
      </c>
      <c r="I21501" t="inlineStr">
        <is>
          <t>17/03/2026</t>
        </is>
      </c>
      <c r="J21501" t="inlineStr">
        <is>
          <t>Dược phẩm/ Hóa Mỹ Phẩm, Y tế / Chăm sóc sức khỏe / Thẩm mỹ / Làm đẹp</t>
        </is>
      </c>
      <c r="K21501" t="inlineStr">
        <is>
          <t>5 - 20 Năm</t>
        </is>
      </c>
      <c r="L21501" s="8">
        <f>HYPERLINK("https://careerviet.vn/vi/tim-viec-lam/bac-si-da-lieu-nguoi-dai-dien-phap-luat-full-time-part-time-hop-tac-giao-su-bac-si-han-quoc-park-sung-yong-benh-vien-tham-my-gangwhoo.35C65CCC.html","Xem chi tiết")</f>
        <v/>
      </c>
    </row>
    <row r="21502">
      <c r="B21502" s="9" t="n">
        <v>21500</v>
      </c>
      <c r="C21502" s="10" t="inlineStr">
        <is>
          <t>Luật Sư Nội Bộ/ Pháp Chế</t>
        </is>
      </c>
      <c r="D21502" s="10" t="inlineStr">
        <is>
          <t>CÔNG TY CỔ PHẦN VIỄN THÔNG DCNET</t>
        </is>
      </c>
      <c r="E21502" s="10" t="inlineStr">
        <is>
          <t>Lương:20 Tr - 30 Tr VND</t>
        </is>
      </c>
      <c r="F21502" s="10" t="inlineStr">
        <is>
          <t>Hồ Chí Minh</t>
        </is>
      </c>
      <c r="G21502" s="10" t="inlineStr">
        <is>
          <t>Hôm nay</t>
        </is>
      </c>
      <c r="H21502" s="10" t="inlineStr">
        <is>
          <t>17/03/2026</t>
        </is>
      </c>
      <c r="I21502" s="10" t="inlineStr">
        <is>
          <t>17/03/2026</t>
        </is>
      </c>
      <c r="J21502" s="10" t="inlineStr">
        <is>
          <t>Luật / Pháp lý</t>
        </is>
      </c>
      <c r="K21502" s="10" t="inlineStr">
        <is>
          <t>2 - 5 Năm</t>
        </is>
      </c>
      <c r="L21502" s="11">
        <f>HYPERLINK("https://careerviet.vn/vi/tim-viec-lam/luat-su-noi-bo-phap-che.35C65CE5.html","Xem chi tiết")</f>
        <v/>
      </c>
      <c r="M21502" s="10" t="n"/>
    </row>
    <row r="21503">
      <c r="B21503" s="7" t="n">
        <v>21501</v>
      </c>
      <c r="C21503" t="inlineStr">
        <is>
          <t>Business Development Manager</t>
        </is>
      </c>
      <c r="D21503" t="inlineStr">
        <is>
          <t>CÔNG TY TNHH TNE GLOBAL</t>
        </is>
      </c>
      <c r="E21503" t="inlineStr">
        <is>
          <t>Lương:Cạnh tranh</t>
        </is>
      </c>
      <c r="F21503" t="inlineStr">
        <is>
          <t>Hồ Chí Minh</t>
        </is>
      </c>
      <c r="G21503" t="inlineStr">
        <is>
          <t>1</t>
        </is>
      </c>
      <c r="H21503" t="inlineStr">
        <is>
          <t>18/03/2026</t>
        </is>
      </c>
      <c r="I21503" t="inlineStr">
        <is>
          <t>17/03/2026</t>
        </is>
      </c>
      <c r="J21503" t="inlineStr">
        <is>
          <t>Dịch vụ khách hàng, Giáo dục / Đào tạo, Bán hàng / Kinh doanh</t>
        </is>
      </c>
      <c r="K21503" t="inlineStr">
        <is>
          <t>3 - 4 Năm</t>
        </is>
      </c>
      <c r="L21503" s="8">
        <f>HYPERLINK("https://careerviet.vn/vi/tim-viec-lam/business-development-manager.35C63428.html","Xem chi tiết")</f>
        <v/>
      </c>
    </row>
    <row r="21504">
      <c r="B21504" s="9" t="n">
        <v>21502</v>
      </c>
      <c r="C21504" s="10" t="inlineStr">
        <is>
          <t>Nhân Viên Đăng Kiểm Xe Điện</t>
        </is>
      </c>
      <c r="D21504" s="10" t="inlineStr">
        <is>
          <t>CÔNG TY TNHH UWINFLY VIETNAM INDUSTRIES</t>
        </is>
      </c>
      <c r="E21504" s="10" t="inlineStr">
        <is>
          <t>Lương:15 Tr - 20 Tr VND</t>
        </is>
      </c>
      <c r="F21504" s="10" t="inlineStr">
        <is>
          <t>Hồ Chí Minh</t>
        </is>
      </c>
      <c r="G21504" s="10" t="inlineStr">
        <is>
          <t>1</t>
        </is>
      </c>
      <c r="H21504" s="10" t="inlineStr">
        <is>
          <t>18/03/2026</t>
        </is>
      </c>
      <c r="I21504" s="10" t="inlineStr">
        <is>
          <t>17/03/2026</t>
        </is>
      </c>
      <c r="J21504" s="10" t="inlineStr">
        <is>
          <t>Cơ khí / Ô tô / Tự động hóa, Quản lý chất lượng (QA/QC), Xuất nhập khẩu</t>
        </is>
      </c>
      <c r="K21504" s="10" t="inlineStr">
        <is>
          <t>1 - 2 Năm</t>
        </is>
      </c>
      <c r="L21504" s="11">
        <f>HYPERLINK("https://careerviet.vn/vi/tim-viec-lam/nhan-vien-dang-kiem-xe-dien.35C65E08.html","Xem chi tiết")</f>
        <v/>
      </c>
      <c r="M21504" s="10" t="n"/>
    </row>
    <row r="21505">
      <c r="B21505" s="7" t="n">
        <v>21503</v>
      </c>
      <c r="C21505" t="inlineStr">
        <is>
          <t>TRƯỞNG BỘ PHẬN TỔNG VỤ NHÂN SỰ</t>
        </is>
      </c>
      <c r="D21505" t="inlineStr">
        <is>
          <t>CÔNG TY TNHH NITTO DENSEN KOGYO VIỆT NAM</t>
        </is>
      </c>
      <c r="E21505" t="inlineStr">
        <is>
          <t>Lương:20 Tr - 25 Tr VND</t>
        </is>
      </c>
      <c r="F21505" t="inlineStr">
        <is>
          <t>Đồng Nai</t>
        </is>
      </c>
      <c r="G21505" t="inlineStr">
        <is>
          <t>1</t>
        </is>
      </c>
      <c r="H21505" t="inlineStr">
        <is>
          <t>18/03/2026</t>
        </is>
      </c>
      <c r="I21505" t="inlineStr">
        <is>
          <t>17/03/2026</t>
        </is>
      </c>
      <c r="J21505" t="inlineStr">
        <is>
          <t>Nhân sự</t>
        </is>
      </c>
      <c r="K21505" t="inlineStr">
        <is>
          <t>5 - 7 Năm</t>
        </is>
      </c>
      <c r="L21505" s="8">
        <f>HYPERLINK("https://careerviet.vn/vi/tim-viec-lam/truong-bo-phan-tong-vu-nhan-su.35C65E3B.html","Xem chi tiết")</f>
        <v/>
      </c>
    </row>
    <row r="21506">
      <c r="B21506" s="9" t="n">
        <v>21504</v>
      </c>
      <c r="C21506" s="10" t="inlineStr">
        <is>
          <t>Tổng Đài Viên Chăm Sóc Khách Hàng Thương Hiệu Thời Trang Nhật Bản - Tiếng Anh &amp; Tiếng Việt – Không Yêu Cầu Kinh Nghiệm</t>
        </is>
      </c>
      <c r="D21506" s="10" t="inlineStr">
        <is>
          <t>CÔNG TY CỔ PHẦN ALTIUS LINK VIỆT NAM</t>
        </is>
      </c>
      <c r="E21506" s="10" t="inlineStr">
        <is>
          <t>Lương:9 Tr - 12,4 Tr VND</t>
        </is>
      </c>
      <c r="F21506" s="10" t="inlineStr">
        <is>
          <t>Hồ Chí Minh</t>
        </is>
      </c>
      <c r="G21506" s="10" t="inlineStr">
        <is>
          <t>1</t>
        </is>
      </c>
      <c r="H21506" s="10" t="inlineStr">
        <is>
          <t>18/03/2026</t>
        </is>
      </c>
      <c r="I21506" s="10" t="inlineStr">
        <is>
          <t>17/03/2026</t>
        </is>
      </c>
      <c r="J21506" s="10" t="inlineStr">
        <is>
          <t>Tiếp thị trực tuyến, Tư vấn, Dịch vụ khách hàng</t>
        </is>
      </c>
      <c r="K21506" s="10" t="inlineStr">
        <is>
          <t>N/A</t>
        </is>
      </c>
      <c r="L21506" s="11">
        <f>HYPERLINK("https://careerviet.vn/vi/tim-viec-lam/tong-dai-vien-cham-soc-khach-hang-thuong-hieu-thoi-trang-nhat-ban-tieng-anh-tieng-viet-khong-yeu-cau-kinh-nghiem.35C633BF.html","Xem chi tiết")</f>
        <v/>
      </c>
      <c r="M21506" s="10" t="n"/>
    </row>
    <row r="21507">
      <c r="B21507" s="7" t="n">
        <v>21505</v>
      </c>
      <c r="C21507" t="inlineStr">
        <is>
          <t>[Chi nhánh Vĩnh Long] Trưởng phòng Khách hàng cá nhân</t>
        </is>
      </c>
      <c r="D21507" t="inlineStr">
        <is>
          <t>Ngân hàng TMCP Đại Chúng Việt Nam - PVcomBank</t>
        </is>
      </c>
      <c r="E21507" t="inlineStr">
        <is>
          <t>Lương:Cạnh tranh</t>
        </is>
      </c>
      <c r="F21507" t="inlineStr">
        <is>
          <t>Vĩnh Long</t>
        </is>
      </c>
      <c r="G21507" t="inlineStr">
        <is>
          <t>1</t>
        </is>
      </c>
      <c r="H21507" t="inlineStr">
        <is>
          <t>18/03/2026</t>
        </is>
      </c>
      <c r="I21507" t="inlineStr">
        <is>
          <t>17/03/2026</t>
        </is>
      </c>
      <c r="J21507" t="inlineStr">
        <is>
          <t>Ngân hàng, Tài chính / Đầu tư</t>
        </is>
      </c>
      <c r="K21507" t="inlineStr">
        <is>
          <t>Trên 2 Năm</t>
        </is>
      </c>
      <c r="L21507" s="8">
        <f>HYPERLINK("https://careerviet.vn/vi/tim-viec-lam/chi-nhanh-vinh-long-truong-phong-khach-hang-ca-nhan.35C63349.html","Xem chi tiết")</f>
        <v/>
      </c>
    </row>
    <row r="21508">
      <c r="B21508" s="9" t="n">
        <v>21506</v>
      </c>
      <c r="C21508" s="10" t="inlineStr">
        <is>
          <t>THƯ KÝ TỔNG GIÁM ĐỐC TIẾNG TRUNG  (Q7 - HCM)</t>
        </is>
      </c>
      <c r="D21508" s="10" t="inlineStr">
        <is>
          <t>CÔNG TY CỔ PHẦN TẬP ĐOÀN XUẤT - NHẬP KHẨU TRÁI CÂY CHÁNH THU</t>
        </is>
      </c>
      <c r="E21508" s="10" t="inlineStr">
        <is>
          <t>Lương:Cạnh tranh</t>
        </is>
      </c>
      <c r="F21508" s="10" t="inlineStr">
        <is>
          <t>Hồ Chí Minh</t>
        </is>
      </c>
      <c r="G21508" s="10" t="inlineStr">
        <is>
          <t>1</t>
        </is>
      </c>
      <c r="H21508" s="10" t="inlineStr">
        <is>
          <t>18/03/2026</t>
        </is>
      </c>
      <c r="I21508" s="10" t="inlineStr">
        <is>
          <t>17/03/2026</t>
        </is>
      </c>
      <c r="J21508" s="10" t="inlineStr">
        <is>
          <t>Hành chính / Thư ký, Biên phiên dịch, Xuất nhập khẩu</t>
        </is>
      </c>
      <c r="K21508" s="10" t="inlineStr">
        <is>
          <t>2 - 5 Năm</t>
        </is>
      </c>
      <c r="L21508" s="11">
        <f>HYPERLINK("https://careerviet.vn/vi/tim-viec-lam/thu-ky-tong-giam-doc-tieng-trung-q7-hcm.35C63287.html","Xem chi tiết")</f>
        <v/>
      </c>
      <c r="M21508" s="10" t="n"/>
    </row>
    <row r="21509">
      <c r="B21509" s="7" t="n">
        <v>21507</v>
      </c>
      <c r="C21509" t="inlineStr">
        <is>
          <t>Phiên dịch tiếng Trung</t>
        </is>
      </c>
      <c r="D21509" t="inlineStr">
        <is>
          <t>Công ty TNHH Giày Apache Việt Nam</t>
        </is>
      </c>
      <c r="E21509" t="inlineStr">
        <is>
          <t>Lương:10 Tr - 15 Tr VND</t>
        </is>
      </c>
      <c r="F21509" t="inlineStr">
        <is>
          <t>Tiền Giang</t>
        </is>
      </c>
      <c r="G21509" t="inlineStr">
        <is>
          <t>2</t>
        </is>
      </c>
      <c r="H21509" t="inlineStr">
        <is>
          <t>18/03/2026</t>
        </is>
      </c>
      <c r="I21509" t="inlineStr">
        <is>
          <t>17/03/2026</t>
        </is>
      </c>
      <c r="J21509" t="inlineStr">
        <is>
          <t>Biên phiên dịch, Dệt may / Da giày / Thời trang, Mới tốt nghiệp / Thực tập</t>
        </is>
      </c>
      <c r="K21509" t="inlineStr">
        <is>
          <t>N/A</t>
        </is>
      </c>
      <c r="L21509" s="8">
        <f>HYPERLINK("https://careerviet.vn/vi/tim-viec-lam/phien-dich-tieng-trung.35C65E5E.html","Xem chi tiết")</f>
        <v/>
      </c>
    </row>
    <row r="21510">
      <c r="B21510" s="9" t="n">
        <v>21508</v>
      </c>
      <c r="C21510" s="10" t="inlineStr">
        <is>
          <t>Kỹ sư SQE - Tiếng Anh hoặc Tiếng Trung</t>
        </is>
      </c>
      <c r="D21510" s="10" t="inlineStr">
        <is>
          <t>CÔNG TY TNHH ELECTRONIC TRIPOD VIỆT NAM (CHÂU ĐỨC)</t>
        </is>
      </c>
      <c r="E21510" s="10" t="inlineStr">
        <is>
          <t>Lương:Cạnh tranh</t>
        </is>
      </c>
      <c r="F21510" s="10" t="inlineStr">
        <is>
          <t>Bà Rịa - Vũng TàuĐồng Nai</t>
        </is>
      </c>
      <c r="G21510" s="10" t="inlineStr">
        <is>
          <t>1</t>
        </is>
      </c>
      <c r="H21510" s="10" t="inlineStr">
        <is>
          <t>18/03/2026</t>
        </is>
      </c>
      <c r="I21510" s="10" t="inlineStr">
        <is>
          <t>17/03/2026</t>
        </is>
      </c>
      <c r="J21510" s="10" t="inlineStr">
        <is>
          <t>Hóa học, Điện / Điện tử / Điện lạnh / Điện công nghiệp, Quản lý chất lượng (QA/QC)</t>
        </is>
      </c>
      <c r="K21510" s="10" t="inlineStr">
        <is>
          <t>N/A</t>
        </is>
      </c>
      <c r="L21510" s="11">
        <f>HYPERLINK("https://careerviet.vn/vi/tim-viec-lam/ky-su-sqe-tieng-anh-hoac-tieng-trung.35C6331D.html","Xem chi tiết")</f>
        <v/>
      </c>
      <c r="M21510" s="10" t="n"/>
    </row>
    <row r="21511">
      <c r="B21511" s="7" t="n">
        <v>21509</v>
      </c>
      <c r="C21511" t="inlineStr">
        <is>
          <t>NHÂN VIÊN KINH DOANH THỊ TRƯỜNG (PHỤ TRÁCH THEO TỈNH) – Tuyển dụng toàn quốc</t>
        </is>
      </c>
      <c r="D21511" t="inlineStr">
        <is>
          <t>CÔNG TY TNHH SẢN XUẤT TẬP ĐOÀN ĐẠI VIỆT</t>
        </is>
      </c>
      <c r="E21511" t="inlineStr">
        <is>
          <t>Lương:8 Tr - 13 Tr VND</t>
        </is>
      </c>
      <c r="F21511" t="inlineStr">
        <is>
          <t>Hồ Chí MinhĐà NẵngHà Nội</t>
        </is>
      </c>
      <c r="G21511" t="inlineStr">
        <is>
          <t>1</t>
        </is>
      </c>
      <c r="H21511" t="inlineStr">
        <is>
          <t>18/03/2026</t>
        </is>
      </c>
      <c r="I21511" t="inlineStr">
        <is>
          <t>17/03/2026</t>
        </is>
      </c>
      <c r="J21511" t="inlineStr">
        <is>
          <t>Bán hàng / Kinh doanh, Bán lẻ / Bán sỉ</t>
        </is>
      </c>
      <c r="K21511" t="inlineStr">
        <is>
          <t>Trên 1 Năm</t>
        </is>
      </c>
      <c r="L21511" s="8">
        <f>HYPERLINK("https://careerviet.vn/vi/tim-viec-lam/nhan-vien-kinh-doanh-thi-truong-phu-trach-theo-tinh-tuyen-dung-toan-quoc.35C6339F.html","Xem chi tiết")</f>
        <v/>
      </c>
    </row>
    <row r="21512">
      <c r="B21512" s="9" t="n">
        <v>21510</v>
      </c>
      <c r="C21512" s="10" t="inlineStr">
        <is>
          <t>Chuyên viên Content Marketing</t>
        </is>
      </c>
      <c r="D21512" s="10" t="inlineStr">
        <is>
          <t>Công ty đầu tư T&amp;L Việt Nam</t>
        </is>
      </c>
      <c r="E21512" s="10" t="inlineStr">
        <is>
          <t>Lương:11 Tr - 18 Tr VND</t>
        </is>
      </c>
      <c r="F21512" s="10" t="inlineStr">
        <is>
          <t>Hà Nội</t>
        </is>
      </c>
      <c r="G21512" s="10" t="inlineStr">
        <is>
          <t>1</t>
        </is>
      </c>
      <c r="H21512" s="10" t="inlineStr">
        <is>
          <t>18/03/2026</t>
        </is>
      </c>
      <c r="I21512" s="10" t="inlineStr">
        <is>
          <t>17/03/2026</t>
        </is>
      </c>
      <c r="J21512" s="10" t="inlineStr">
        <is>
          <t>Quảng cáo / Đối ngoại / Truyền Thông, Tiếp thị / Marketing, Tiếp thị trực tuyến</t>
        </is>
      </c>
      <c r="K21512" s="10" t="inlineStr">
        <is>
          <t>1 - 2 Năm</t>
        </is>
      </c>
      <c r="L21512" s="11">
        <f>HYPERLINK("https://careerviet.vn/vi/tim-viec-lam/chuyen-vien-content-marketing.35C65E03.html","Xem chi tiết")</f>
        <v/>
      </c>
      <c r="M21512" s="10" t="n"/>
    </row>
    <row r="21513">
      <c r="B21513" s="7" t="n">
        <v>21511</v>
      </c>
      <c r="C21513" t="inlineStr">
        <is>
          <t>CHUYÊN VIÊN KINH DOANH KÊNH FARM</t>
        </is>
      </c>
      <c r="D21513" t="inlineStr">
        <is>
          <t>CÔNG TY CỔ PHẦN VẬT LIỆU VĨNH TÂN</t>
        </is>
      </c>
      <c r="E21513" t="inlineStr">
        <is>
          <t>Lương:Cạnh tranh</t>
        </is>
      </c>
      <c r="F21513" t="inlineStr">
        <is>
          <t>Đồng Bằng Sông Cửu LongKV Đông Nam Bộ</t>
        </is>
      </c>
      <c r="G21513" t="inlineStr">
        <is>
          <t>1</t>
        </is>
      </c>
      <c r="H21513" t="inlineStr">
        <is>
          <t>18/03/2026</t>
        </is>
      </c>
      <c r="I21513" t="inlineStr">
        <is>
          <t>17/03/2026</t>
        </is>
      </c>
      <c r="J21513" t="inlineStr">
        <is>
          <t>Tiếp thị / Marketing, Bán lẻ / Bán sỉ, Bán hàng / Kinh doanh</t>
        </is>
      </c>
      <c r="K21513" t="inlineStr">
        <is>
          <t>1 - 2 Năm</t>
        </is>
      </c>
      <c r="L21513" s="8">
        <f>HYPERLINK("https://careerviet.vn/vi/tim-viec-lam/chuyen-vien-kinh-doanh-kenh-farm.35C63263.html","Xem chi tiết")</f>
        <v/>
      </c>
    </row>
    <row r="21514">
      <c r="B21514" s="9" t="n">
        <v>21512</v>
      </c>
      <c r="C21514" s="10" t="inlineStr">
        <is>
          <t>Customer Support Travel App</t>
        </is>
      </c>
      <c r="D21514" s="10" t="inlineStr">
        <is>
          <t>CÔNG TY TNHH DỊCH VỤ RENRUI VIỆT NAM</t>
        </is>
      </c>
      <c r="E21514" s="10" t="inlineStr">
        <is>
          <t>Lương:11 Tr - 13 Tr VND</t>
        </is>
      </c>
      <c r="F21514" s="10" t="inlineStr">
        <is>
          <t>Hồ Chí Minh</t>
        </is>
      </c>
      <c r="G21514" s="10" t="inlineStr">
        <is>
          <t>1</t>
        </is>
      </c>
      <c r="H21514" s="10" t="inlineStr">
        <is>
          <t>18/03/2026</t>
        </is>
      </c>
      <c r="I21514" s="10" t="inlineStr">
        <is>
          <t>17/03/2026</t>
        </is>
      </c>
      <c r="J21514" s="10" t="inlineStr">
        <is>
          <t>Dịch vụ khách hàng, Hành chính / Thư ký, Du lịch</t>
        </is>
      </c>
      <c r="K21514" s="10" t="inlineStr">
        <is>
          <t>Lên đến 1 Năm</t>
        </is>
      </c>
      <c r="L21514" s="11">
        <f>HYPERLINK("https://careerviet.vn/vi/tim-viec-lam/customer-support-travel-app.35C6317D.html","Xem chi tiết")</f>
        <v/>
      </c>
      <c r="M21514" s="10" t="n"/>
    </row>
    <row r="21515">
      <c r="B21515" s="7" t="n">
        <v>21513</v>
      </c>
      <c r="C21515" t="inlineStr">
        <is>
          <t>NHÂN VIÊN KỸ THUẬT (LAI VUNG - ĐỒNG THÁP)</t>
        </is>
      </c>
      <c r="D21515" t="inlineStr">
        <is>
          <t>CÔNG TY TNHH ĐẦU TƯ ITS</t>
        </is>
      </c>
      <c r="E21515" t="inlineStr">
        <is>
          <t>Lương:Cạnh tranh</t>
        </is>
      </c>
      <c r="F21515" t="inlineStr">
        <is>
          <t>Đồng Tháp</t>
        </is>
      </c>
      <c r="G21515" t="inlineStr">
        <is>
          <t>1</t>
        </is>
      </c>
      <c r="H21515" t="inlineStr">
        <is>
          <t>18/03/2026</t>
        </is>
      </c>
      <c r="I21515" t="inlineStr">
        <is>
          <t>17/03/2026</t>
        </is>
      </c>
      <c r="J21515" t="inlineStr">
        <is>
          <t>Cơ khí / Ô tô / Tự động hóa</t>
        </is>
      </c>
      <c r="K21515" t="inlineStr">
        <is>
          <t>Trên 2 Năm</t>
        </is>
      </c>
      <c r="L21515" s="8">
        <f>HYPERLINK("https://careerviet.vn/vi/tim-viec-lam/nhan-vien-ky-thuat-lai-vung-dong-thap.35C65DDC.html","Xem chi tiết")</f>
        <v/>
      </c>
    </row>
    <row r="21516">
      <c r="B21516" s="9" t="n">
        <v>21514</v>
      </c>
      <c r="C21516" s="10" t="inlineStr">
        <is>
          <t>Logistics</t>
        </is>
      </c>
      <c r="D21516" s="10" t="inlineStr">
        <is>
          <t>CÔNG TY TNHH ACTR</t>
        </is>
      </c>
      <c r="E21516" s="10" t="inlineStr">
        <is>
          <t>Lương:10,5 Tr - 15 Tr VND</t>
        </is>
      </c>
      <c r="F21516" s="10" t="inlineStr">
        <is>
          <t>Tây Ninh</t>
        </is>
      </c>
      <c r="G21516" s="10" t="inlineStr">
        <is>
          <t>1</t>
        </is>
      </c>
      <c r="H21516" s="10" t="inlineStr">
        <is>
          <t>18/03/2026</t>
        </is>
      </c>
      <c r="I21516" s="10" t="inlineStr">
        <is>
          <t>17/03/2026</t>
        </is>
      </c>
      <c r="J21516" s="10" t="inlineStr">
        <is>
          <t>Kế toán / Kiểm toán, Mới tốt nghiệp / Thực tập, Xuất nhập khẩu</t>
        </is>
      </c>
      <c r="K21516" s="10" t="inlineStr">
        <is>
          <t>N/A</t>
        </is>
      </c>
      <c r="L21516" s="11">
        <f>HYPERLINK("https://careerviet.vn/vi/tim-viec-lam/logistics.35C65DE0.html","Xem chi tiết")</f>
        <v/>
      </c>
      <c r="M21516" s="10" t="n"/>
    </row>
    <row r="21517">
      <c r="B21517" s="7" t="n">
        <v>21515</v>
      </c>
      <c r="C21517" t="inlineStr">
        <is>
          <t>Nhân Viên Giới Thiệu Sản phẩm Toàn Thời Gian Khu vực HCM</t>
        </is>
      </c>
      <c r="D21517" t="inlineStr">
        <is>
          <t>Công ty TNHH Chế biến thực phẩm Đông Đô</t>
        </is>
      </c>
      <c r="E21517" t="inlineStr">
        <is>
          <t>Lương:11 Tr - 14 Tr VND</t>
        </is>
      </c>
      <c r="F21517" t="inlineStr">
        <is>
          <t>Hồ Chí Minh</t>
        </is>
      </c>
      <c r="G21517" t="inlineStr">
        <is>
          <t>1</t>
        </is>
      </c>
      <c r="H21517" t="inlineStr">
        <is>
          <t>18/03/2026</t>
        </is>
      </c>
      <c r="I21517" t="inlineStr">
        <is>
          <t>17/03/2026</t>
        </is>
      </c>
      <c r="J21517" t="inlineStr">
        <is>
          <t>Tiếp thị / Marketing, Bán hàng / Kinh doanh, Thực phẩm &amp; Đồ uống</t>
        </is>
      </c>
      <c r="K21517" t="inlineStr">
        <is>
          <t>Lên đến 1 Năm</t>
        </is>
      </c>
      <c r="L21517" s="8">
        <f>HYPERLINK("https://careerviet.vn/vi/tim-viec-lam/nhan-vien-gioi-thieu-san-pham-toan-thoi-gian-khu-vuc-hcm.35C63342.html","Xem chi tiết")</f>
        <v/>
      </c>
    </row>
    <row r="21518">
      <c r="B21518" s="9" t="n">
        <v>21516</v>
      </c>
      <c r="C21518" s="10" t="inlineStr">
        <is>
          <t>Kế toán chi phí</t>
        </is>
      </c>
      <c r="D21518" s="10" t="inlineStr">
        <is>
          <t>Công ty TNHH Giày Apache Việt Nam</t>
        </is>
      </c>
      <c r="E21518" s="10" t="inlineStr">
        <is>
          <t>Lương:Cạnh tranh</t>
        </is>
      </c>
      <c r="F21518" s="10" t="inlineStr">
        <is>
          <t>Tiền Giang</t>
        </is>
      </c>
      <c r="G21518" s="10" t="inlineStr">
        <is>
          <t>2</t>
        </is>
      </c>
      <c r="H21518" s="10" t="inlineStr">
        <is>
          <t>18/03/2026</t>
        </is>
      </c>
      <c r="I21518" s="10" t="inlineStr">
        <is>
          <t>17/03/2026</t>
        </is>
      </c>
      <c r="J21518" s="10" t="inlineStr">
        <is>
          <t>Kế toán / Kiểm toán</t>
        </is>
      </c>
      <c r="K21518" s="10" t="inlineStr">
        <is>
          <t>2 - 10 Năm</t>
        </is>
      </c>
      <c r="L21518" s="11">
        <f>HYPERLINK("https://careerviet.vn/vi/tim-viec-lam/ke-toan-chi-phi.35C65E5F.html","Xem chi tiết")</f>
        <v/>
      </c>
      <c r="M21518" s="10" t="n"/>
    </row>
    <row r="21519">
      <c r="B21519" s="7" t="n">
        <v>21517</v>
      </c>
      <c r="C21519" t="inlineStr">
        <is>
          <t>Chuyên viên đầu tư phát triển</t>
        </is>
      </c>
      <c r="D21519" t="inlineStr">
        <is>
          <t>CÔNG TY TNHH FOCUS MEDIA (VIỆT NAM)</t>
        </is>
      </c>
      <c r="E21519" t="inlineStr">
        <is>
          <t>Lương:9 Tr - 10 Tr VND</t>
        </is>
      </c>
      <c r="F21519" t="inlineStr">
        <is>
          <t>Hà Nội</t>
        </is>
      </c>
      <c r="G21519" t="inlineStr">
        <is>
          <t>1</t>
        </is>
      </c>
      <c r="H21519" t="inlineStr">
        <is>
          <t>18/03/2026</t>
        </is>
      </c>
      <c r="I21519" t="inlineStr">
        <is>
          <t>17/03/2026</t>
        </is>
      </c>
      <c r="J21519" t="inlineStr">
        <is>
          <t>Bất động sản</t>
        </is>
      </c>
      <c r="K21519" t="inlineStr">
        <is>
          <t>1 - 2 Năm</t>
        </is>
      </c>
      <c r="L21519" s="8">
        <f>HYPERLINK("https://careerviet.vn/vi/tim-viec-lam/chuyen-vien-dau-tu-phat-trien.35C633BE.html","Xem chi tiết")</f>
        <v/>
      </c>
    </row>
    <row r="21520">
      <c r="B21520" s="9" t="n">
        <v>21518</v>
      </c>
      <c r="C21520" s="10" t="inlineStr">
        <is>
          <t>Nhân Viên Showroom</t>
        </is>
      </c>
      <c r="D21520" s="10" t="inlineStr">
        <is>
          <t>Tập Đoàn Kim Tín</t>
        </is>
      </c>
      <c r="E21520" s="10" t="inlineStr">
        <is>
          <t>Lương:Cạnh tranh</t>
        </is>
      </c>
      <c r="F21520" s="10" t="inlineStr">
        <is>
          <t>Hồ Chí Minh</t>
        </is>
      </c>
      <c r="G21520" s="10" t="inlineStr">
        <is>
          <t>1</t>
        </is>
      </c>
      <c r="H21520" s="10" t="inlineStr">
        <is>
          <t>18/03/2026</t>
        </is>
      </c>
      <c r="I21520" s="10" t="inlineStr">
        <is>
          <t>17/03/2026</t>
        </is>
      </c>
      <c r="J21520" s="10" t="inlineStr">
        <is>
          <t>Bán hàng / Kinh doanh, Bán lẻ / Bán sỉ, Nội ngoại thất</t>
        </is>
      </c>
      <c r="K21520" s="10" t="inlineStr">
        <is>
          <t>1 - 2 Năm</t>
        </is>
      </c>
      <c r="L21520" s="11">
        <f>HYPERLINK("https://careerviet.vn/vi/tim-viec-lam/nhan-vien-showroom.35C633E7.html","Xem chi tiết")</f>
        <v/>
      </c>
      <c r="M21520" s="10" t="n"/>
    </row>
    <row r="21521">
      <c r="B21521" s="7" t="n">
        <v>21519</v>
      </c>
      <c r="C21521" t="inlineStr">
        <is>
          <t>Dược sĩ Kho làm việc tại Hội An</t>
        </is>
      </c>
      <c r="D21521" t="inlineStr">
        <is>
          <t>Công Ty Cổ Phần Vacxin Việt Nam</t>
        </is>
      </c>
      <c r="E21521" t="inlineStr">
        <is>
          <t>Lương:7 Tr - 9 Tr VND</t>
        </is>
      </c>
      <c r="F21521" t="inlineStr">
        <is>
          <t>Quảng Nam</t>
        </is>
      </c>
      <c r="G21521" t="inlineStr">
        <is>
          <t>1</t>
        </is>
      </c>
      <c r="H21521" t="inlineStr">
        <is>
          <t>18/03/2026</t>
        </is>
      </c>
      <c r="I21521" t="inlineStr">
        <is>
          <t>17/03/2026</t>
        </is>
      </c>
      <c r="J21521" t="inlineStr">
        <is>
          <t>Dược phẩm/ Hóa Mỹ Phẩm, Y tế / Chăm sóc sức khỏe / Thẩm mỹ / Làm đẹp, Vận chuyển / Giao nhận / Kho vận</t>
        </is>
      </c>
      <c r="K21521" t="inlineStr">
        <is>
          <t>Lên đến 1 Năm</t>
        </is>
      </c>
      <c r="L21521" s="8">
        <f>HYPERLINK("https://careerviet.vn/vi/tim-viec-lam/duoc-si-kho-lam-viec-tai-hoi-an.35C65DF1.html","Xem chi tiết")</f>
        <v/>
      </c>
    </row>
    <row r="21522">
      <c r="B21522" s="9" t="n">
        <v>21520</v>
      </c>
      <c r="C21522" s="10" t="inlineStr">
        <is>
          <t>Khai thác 2D/3D khuôn đế</t>
        </is>
      </c>
      <c r="D21522" s="10" t="inlineStr">
        <is>
          <t>Công ty TNHH Giày Apache Việt Nam</t>
        </is>
      </c>
      <c r="E21522" s="10" t="inlineStr">
        <is>
          <t>Lương:7,5 Tr - 20 Tr VND</t>
        </is>
      </c>
      <c r="F21522" s="10" t="inlineStr">
        <is>
          <t>Tiền Giang</t>
        </is>
      </c>
      <c r="G21522" s="10" t="inlineStr">
        <is>
          <t>2</t>
        </is>
      </c>
      <c r="H21522" s="10" t="inlineStr">
        <is>
          <t>18/03/2026</t>
        </is>
      </c>
      <c r="I21522" s="10" t="inlineStr">
        <is>
          <t>17/03/2026</t>
        </is>
      </c>
      <c r="J21522" s="10" t="inlineStr">
        <is>
          <t>Mỹ thuật / Nghệ thuật / Thiết kế, Dệt may / Da giày / Thời trang, Mới tốt nghiệp / Thực tập</t>
        </is>
      </c>
      <c r="K21522" s="10" t="inlineStr">
        <is>
          <t>Chưa có kinh nghiệm</t>
        </is>
      </c>
      <c r="L21522" s="11">
        <f>HYPERLINK("https://careerviet.vn/vi/tim-viec-lam/khai-thac-2d-3d-khuon-de.35C65E61.html","Xem chi tiết")</f>
        <v/>
      </c>
      <c r="M21522" s="10" t="n"/>
    </row>
    <row r="21523">
      <c r="B21523" s="7" t="n">
        <v>21521</v>
      </c>
      <c r="C21523" t="inlineStr">
        <is>
          <t>Thợ Sơn</t>
        </is>
      </c>
      <c r="D21523" t="inlineStr">
        <is>
          <t>Công ty TNHH Greystone Data Systems Việt Nam</t>
        </is>
      </c>
      <c r="E21523" t="inlineStr">
        <is>
          <t>Lương:7,5 Tr - 9 Tr VND</t>
        </is>
      </c>
      <c r="F21523" t="inlineStr">
        <is>
          <t>Hồ Chí Minh</t>
        </is>
      </c>
      <c r="G21523" t="inlineStr">
        <is>
          <t>1</t>
        </is>
      </c>
      <c r="H21523" t="inlineStr">
        <is>
          <t>18/03/2026</t>
        </is>
      </c>
      <c r="I21523" t="inlineStr">
        <is>
          <t>17/03/2026</t>
        </is>
      </c>
      <c r="J21523" t="inlineStr">
        <is>
          <t>Cơ khí / Ô tô / Tự động hóa, Mỹ thuật / Nghệ thuật / Thiết kế, Đồ gỗ</t>
        </is>
      </c>
      <c r="K21523" t="inlineStr">
        <is>
          <t>1 - 3 Năm</t>
        </is>
      </c>
      <c r="L21523" s="8">
        <f>HYPERLINK("https://careerviet.vn/vi/tim-viec-lam/tho-son.35C65E12.html","Xem chi tiết")</f>
        <v/>
      </c>
    </row>
    <row r="21524">
      <c r="B21524" s="9" t="n">
        <v>21522</v>
      </c>
      <c r="C21524" s="10" t="inlineStr">
        <is>
          <t>Tiktok Content Creator</t>
        </is>
      </c>
      <c r="D21524" s="10" t="inlineStr">
        <is>
          <t>CÔNG TY CỔ PHẦN GIẢI PHÁP CƠ KHÍ VNTECH</t>
        </is>
      </c>
      <c r="E21524" s="10" t="inlineStr">
        <is>
          <t>Lương:12 Tr - 20 Tr VND</t>
        </is>
      </c>
      <c r="F21524" s="10" t="inlineStr">
        <is>
          <t>Hà Nội</t>
        </is>
      </c>
      <c r="G21524" s="10" t="inlineStr">
        <is>
          <t>16-02-2026</t>
        </is>
      </c>
      <c r="H21524" s="10" t="inlineStr">
        <is>
          <t>15/03/2026</t>
        </is>
      </c>
      <c r="I21524" s="10" t="inlineStr">
        <is>
          <t>17/03/2026</t>
        </is>
      </c>
      <c r="J21524" s="10" t="inlineStr">
        <is>
          <t>Tiếp thị / Marketing, Truyền hình / Báo chí / Biên tập, Quảng cáo / Đối ngoại / Truyền Thông</t>
        </is>
      </c>
      <c r="K21524" s="10" t="inlineStr">
        <is>
          <t>1 - 2 Năm</t>
        </is>
      </c>
      <c r="L21524" s="11">
        <f>HYPERLINK("https://careerviet.vn/vi/tim-viec-lam/tiktok-content-creator.35C68BA2.html","Xem chi tiết")</f>
        <v/>
      </c>
      <c r="M21524" s="10" t="n"/>
    </row>
    <row r="21525">
      <c r="B21525" s="7" t="n">
        <v>21523</v>
      </c>
      <c r="C21525" t="inlineStr">
        <is>
          <t>NHÂN VIÊN ĐIỀU DƯỠNG</t>
        </is>
      </c>
      <c r="D21525" t="inlineStr">
        <is>
          <t>CÔNG TY CỔ PHẦN Y TẾ KHANG PHÚC - BỆNH VIỆN ĐA KHOA VIỆT MỸ</t>
        </is>
      </c>
      <c r="E21525" t="inlineStr">
        <is>
          <t>Lương:11 Tr - 14 Tr VND</t>
        </is>
      </c>
      <c r="F21525" t="inlineStr">
        <is>
          <t>Hồ Chí Minh</t>
        </is>
      </c>
      <c r="G21525" t="inlineStr">
        <is>
          <t>1</t>
        </is>
      </c>
      <c r="H21525" t="inlineStr">
        <is>
          <t>18/03/2026</t>
        </is>
      </c>
      <c r="I21525" t="inlineStr">
        <is>
          <t>17/03/2026</t>
        </is>
      </c>
      <c r="J21525" t="inlineStr">
        <is>
          <t>Y tế / Chăm sóc sức khỏe / Thẩm mỹ / Làm đẹp</t>
        </is>
      </c>
      <c r="K21525" t="inlineStr">
        <is>
          <t>2 - 3 Năm</t>
        </is>
      </c>
      <c r="L21525" s="8">
        <f>HYPERLINK("https://careerviet.vn/vi/tim-viec-lam/nhan-vien-dieu-duong.35C63402.html","Xem chi tiết")</f>
        <v/>
      </c>
    </row>
    <row r="21526">
      <c r="B21526" s="9" t="n">
        <v>21524</v>
      </c>
      <c r="C21526" s="10" t="inlineStr">
        <is>
          <t>Nhân Viên Kỹ Thuật</t>
        </is>
      </c>
      <c r="D21526" s="10" t="inlineStr">
        <is>
          <t>CÔNG TY CỔ PHẦN GIẢI PHÁP CƠ KHÍ VNTECH</t>
        </is>
      </c>
      <c r="E21526" s="10" t="inlineStr">
        <is>
          <t>Lương:12 Tr - 20 Tr VND</t>
        </is>
      </c>
      <c r="F21526" s="10" t="inlineStr">
        <is>
          <t>Hà Nội</t>
        </is>
      </c>
      <c r="G21526" s="10" t="inlineStr">
        <is>
          <t>16-02-2026</t>
        </is>
      </c>
      <c r="H21526" s="10" t="inlineStr">
        <is>
          <t>15/03/2026</t>
        </is>
      </c>
      <c r="I21526" s="10" t="inlineStr">
        <is>
          <t>17/03/2026</t>
        </is>
      </c>
      <c r="J21526" s="10" t="inlineStr">
        <is>
          <t>Cơ khí / Ô tô / Tự động hóa, Điện / Điện tử / Điện lạnh / Điện công nghiệp</t>
        </is>
      </c>
      <c r="K21526" s="10" t="inlineStr">
        <is>
          <t>1 - 2 Năm</t>
        </is>
      </c>
      <c r="L21526" s="11">
        <f>HYPERLINK("https://careerviet.vn/vi/tim-viec-lam/nhan-vien-ky-thuat.35C68BA3.html","Xem chi tiết")</f>
        <v/>
      </c>
      <c r="M21526" s="10" t="n"/>
    </row>
    <row r="21527">
      <c r="B21527" s="7" t="n">
        <v>21525</v>
      </c>
      <c r="C21527" t="inlineStr">
        <is>
          <t>Trưởng phòng R&amp;D (Thiết kế sản phẩm, $2300)</t>
        </is>
      </c>
      <c r="D21527" t="inlineStr">
        <is>
          <t>Tập Đoàn Karofi Holding</t>
        </is>
      </c>
      <c r="E21527" t="inlineStr">
        <is>
          <t>Lương:Cạnh tranh</t>
        </is>
      </c>
      <c r="F21527" t="inlineStr">
        <is>
          <t>Hưng YênHà Nội</t>
        </is>
      </c>
      <c r="G21527" t="inlineStr">
        <is>
          <t>23-03-2026</t>
        </is>
      </c>
      <c r="H21527" t="inlineStr">
        <is>
          <t>23/03/2026</t>
        </is>
      </c>
      <c r="I21527" t="inlineStr">
        <is>
          <t>17/03/2026</t>
        </is>
      </c>
      <c r="J21527" t="inlineStr">
        <is>
          <t>Cơ khí / Ô tô / Tự động hóa, Sản xuất / Vận hành sản xuất, Điện / Điện tử / Điện lạnh / Điện công nghiệp</t>
        </is>
      </c>
      <c r="K21527" t="inlineStr">
        <is>
          <t>3 - 10 Năm</t>
        </is>
      </c>
      <c r="L21527" s="8">
        <f>HYPERLINK("https://careerviet.vn/vi/tim-viec-lam/truong-phong-r-d-thiet-ke-san-pham-2300.35C68BA8.html","Xem chi tiết")</f>
        <v/>
      </c>
    </row>
    <row r="21528">
      <c r="B21528" s="9" t="n">
        <v>21526</v>
      </c>
      <c r="C21528" s="10" t="inlineStr">
        <is>
          <t>Chuyên viên Thẩm định giá - Bình Dương</t>
        </is>
      </c>
      <c r="D21528" s="10" t="inlineStr">
        <is>
          <t>CÔNG TY CỔ PHẦN CITICS</t>
        </is>
      </c>
      <c r="E21528" s="10" t="inlineStr">
        <is>
          <t>Lương:Cạnh tranh</t>
        </is>
      </c>
      <c r="F21528" s="10" t="inlineStr">
        <is>
          <t>Bình Dương</t>
        </is>
      </c>
      <c r="G21528" s="10" t="inlineStr">
        <is>
          <t>1</t>
        </is>
      </c>
      <c r="H21528" s="10" t="inlineStr">
        <is>
          <t>18/03/2026</t>
        </is>
      </c>
      <c r="I21528" s="10" t="inlineStr">
        <is>
          <t>17/03/2026</t>
        </is>
      </c>
      <c r="J21528" s="10" t="inlineStr">
        <is>
          <t>Bất động sản</t>
        </is>
      </c>
      <c r="K21528" s="10" t="inlineStr">
        <is>
          <t>1 - 2 Năm</t>
        </is>
      </c>
      <c r="L21528" s="11">
        <f>HYPERLINK("https://careerviet.vn/vi/tim-viec-lam/chuyen-vien-tham-dinh-gia-binh-duong.35C65E38.html","Xem chi tiết")</f>
        <v/>
      </c>
      <c r="M21528" s="10" t="n"/>
    </row>
    <row r="21529">
      <c r="B21529" s="7" t="n">
        <v>21527</v>
      </c>
      <c r="C21529" t="inlineStr">
        <is>
          <t>Nhân viên vận hành Máy CNC (không cần kinh nghiệm)</t>
        </is>
      </c>
      <c r="D21529" t="inlineStr">
        <is>
          <t>Công ty TNHH Greystone Data Systems Việt Nam</t>
        </is>
      </c>
      <c r="E21529" t="inlineStr">
        <is>
          <t>Lương:7,5 Tr - 12 Tr VND</t>
        </is>
      </c>
      <c r="F21529" t="inlineStr">
        <is>
          <t>Hồ Chí Minh</t>
        </is>
      </c>
      <c r="G21529" t="inlineStr">
        <is>
          <t>1</t>
        </is>
      </c>
      <c r="H21529" t="inlineStr">
        <is>
          <t>18/03/2026</t>
        </is>
      </c>
      <c r="I21529" t="inlineStr">
        <is>
          <t>17/03/2026</t>
        </is>
      </c>
      <c r="J21529" t="inlineStr">
        <is>
          <t>Cơ khí / Ô tô / Tự động hóa, Sản xuất / Vận hành sản xuất, Bảo trì / Sửa chữa</t>
        </is>
      </c>
      <c r="K21529" t="inlineStr">
        <is>
          <t>N/A</t>
        </is>
      </c>
      <c r="L21529" s="8">
        <f>HYPERLINK("https://careerviet.vn/vi/tim-viec-lam/nhan-vien-van-hanh-may-cnc-khong-can-kinh-nghiem.35C65E1C.html","Xem chi tiết")</f>
        <v/>
      </c>
    </row>
    <row r="21530">
      <c r="B21530" s="9" t="n">
        <v>21528</v>
      </c>
      <c r="C21530" s="10" t="inlineStr">
        <is>
          <t>NHÂN VIÊN CSKH NHÀ MẠNG VIETTEL TẠI ĐÀ NẴNG HÔM NAY</t>
        </is>
      </c>
      <c r="D21530" s="10" t="inlineStr">
        <is>
          <t>BellSystem24-Việt Nam</t>
        </is>
      </c>
      <c r="E21530" s="10" t="inlineStr">
        <is>
          <t>Lương:5 Tr - 8 Tr VND</t>
        </is>
      </c>
      <c r="F21530" s="10" t="inlineStr">
        <is>
          <t>Đà Nẵng</t>
        </is>
      </c>
      <c r="G21530" s="10" t="inlineStr">
        <is>
          <t>1</t>
        </is>
      </c>
      <c r="H21530" s="10" t="inlineStr">
        <is>
          <t>18/03/2026</t>
        </is>
      </c>
      <c r="I21530" s="10" t="inlineStr">
        <is>
          <t>17/03/2026</t>
        </is>
      </c>
      <c r="J21530" s="10" t="inlineStr">
        <is>
          <t>Tư vấn, Bưu chính viễn thông, Lao động phổ thông</t>
        </is>
      </c>
      <c r="K21530" s="10" t="inlineStr">
        <is>
          <t>N/A</t>
        </is>
      </c>
      <c r="L21530" s="11">
        <f>HYPERLINK("https://careerviet.vn/vi/tim-viec-lam/nhan-vien-cskh-nha-mang-viettel-tai-da-nang-hom-nay.35C63236.html","Xem chi tiết")</f>
        <v/>
      </c>
      <c r="M21530" s="10" t="n"/>
    </row>
    <row r="21531">
      <c r="B21531" s="7" t="n">
        <v>21529</v>
      </c>
      <c r="C21531" t="inlineStr">
        <is>
          <t>Chuyên vVên Kinh Doanh Cơ Khí (Hà Nội)</t>
        </is>
      </c>
      <c r="D21531" t="inlineStr">
        <is>
          <t>CÔNG TY CỔ PHẦN GIẢI PHÁP CƠ KHÍ VNTECH</t>
        </is>
      </c>
      <c r="E21531" t="inlineStr">
        <is>
          <t>Lương:15 Tr - 40 Tr VND</t>
        </is>
      </c>
      <c r="F21531" t="inlineStr">
        <is>
          <t>Hà Nội</t>
        </is>
      </c>
      <c r="G21531" t="inlineStr">
        <is>
          <t>16-02-2026</t>
        </is>
      </c>
      <c r="H21531" t="inlineStr">
        <is>
          <t>15/03/2026</t>
        </is>
      </c>
      <c r="I21531" t="inlineStr">
        <is>
          <t>17/03/2026</t>
        </is>
      </c>
      <c r="J21531" t="inlineStr">
        <is>
          <t>Bán hàng / Kinh doanh, Cơ khí / Ô tô / Tự động hóa, Điện / Điện tử / Điện lạnh / Điện công nghiệp</t>
        </is>
      </c>
      <c r="K21531" t="inlineStr">
        <is>
          <t>1 - 2 Năm</t>
        </is>
      </c>
      <c r="L21531" s="8">
        <f>HYPERLINK("https://careerviet.vn/vi/tim-viec-lam/chuyen-vven-kinh-doanh-co-khi-ha-noi.35C68BA5.html","Xem chi tiết")</f>
        <v/>
      </c>
    </row>
    <row r="21532">
      <c r="B21532" s="9" t="n">
        <v>21530</v>
      </c>
      <c r="C21532" s="10" t="inlineStr">
        <is>
          <t>KỸ SƯ THIẾT KẾ CÔNG TRÌNH HẠ TẦNG KỸ THUẬT</t>
        </is>
      </c>
      <c r="D21532" s="10" t="inlineStr">
        <is>
          <t>Công ty Cổ phần Tây An</t>
        </is>
      </c>
      <c r="E21532" s="10" t="inlineStr">
        <is>
          <t>Lương:20 Tr - 30 Tr VND</t>
        </is>
      </c>
      <c r="F21532" s="10" t="inlineStr">
        <is>
          <t>Nghệ An</t>
        </is>
      </c>
      <c r="G21532" s="10" t="inlineStr">
        <is>
          <t>1</t>
        </is>
      </c>
      <c r="H21532" s="10" t="inlineStr">
        <is>
          <t>18/03/2026</t>
        </is>
      </c>
      <c r="I21532" s="10" t="inlineStr">
        <is>
          <t>17/03/2026</t>
        </is>
      </c>
      <c r="J21532" s="10" t="inlineStr">
        <is>
          <t>Kiến trúc, Xây dựng, Bất động sản</t>
        </is>
      </c>
      <c r="K21532" s="10" t="inlineStr">
        <is>
          <t>2 - 5 Năm</t>
        </is>
      </c>
      <c r="L21532" s="11">
        <f>HYPERLINK("https://careerviet.vn/vi/tim-viec-lam/ky-su-thiet-ke-cong-trinh-ha-tang-ky-thuat.35C65DEE.html","Xem chi tiết")</f>
        <v/>
      </c>
      <c r="M21532" s="10" t="n"/>
    </row>
    <row r="21533">
      <c r="B21533" s="7" t="n">
        <v>21531</v>
      </c>
      <c r="C21533" t="inlineStr">
        <is>
          <t>Chuyên Viên Kinh Doanh Cơ Khí (Bình Dương)</t>
        </is>
      </c>
      <c r="D21533" t="inlineStr">
        <is>
          <t>CÔNG TY CỔ PHẦN GIẢI PHÁP CƠ KHÍ VNTECH</t>
        </is>
      </c>
      <c r="E21533" t="inlineStr">
        <is>
          <t>Lương:15 Tr - 40 Tr VND</t>
        </is>
      </c>
      <c r="F21533" t="inlineStr">
        <is>
          <t>Bình Dương</t>
        </is>
      </c>
      <c r="G21533" t="inlineStr">
        <is>
          <t>16-02-2026</t>
        </is>
      </c>
      <c r="H21533" t="inlineStr">
        <is>
          <t>15/03/2026</t>
        </is>
      </c>
      <c r="I21533" t="inlineStr">
        <is>
          <t>17/03/2026</t>
        </is>
      </c>
      <c r="J21533" t="inlineStr">
        <is>
          <t>Bán hàng / Kinh doanh, Cơ khí / Ô tô / Tự động hóa, Điện / Điện tử / Điện lạnh / Điện công nghiệp</t>
        </is>
      </c>
      <c r="K21533" t="inlineStr">
        <is>
          <t>1 - 2 Năm</t>
        </is>
      </c>
      <c r="L21533" s="8">
        <f>HYPERLINK("https://careerviet.vn/vi/tim-viec-lam/chuyen-vien-kinh-doanh-co-khi-binh-duong.35C68BA4.html","Xem chi tiết")</f>
        <v/>
      </c>
    </row>
    <row r="21534">
      <c r="B21534" s="9" t="n">
        <v>21532</v>
      </c>
      <c r="C21534" s="10" t="inlineStr">
        <is>
          <t>Chuyên Viên Quay Dựng</t>
        </is>
      </c>
      <c r="D21534" s="10" t="inlineStr">
        <is>
          <t>CÔNG TY CỔ PHẦN GIẢI PHÁP CƠ KHÍ VNTECH</t>
        </is>
      </c>
      <c r="E21534" s="10" t="inlineStr">
        <is>
          <t>Lương:14 Tr - 20 Tr VND</t>
        </is>
      </c>
      <c r="F21534" s="10" t="inlineStr">
        <is>
          <t>Hà Nội</t>
        </is>
      </c>
      <c r="G21534" s="10" t="inlineStr">
        <is>
          <t>16-02-2026</t>
        </is>
      </c>
      <c r="H21534" s="10" t="inlineStr">
        <is>
          <t>15/03/2026</t>
        </is>
      </c>
      <c r="I21534" s="10" t="inlineStr">
        <is>
          <t>17/03/2026</t>
        </is>
      </c>
      <c r="J21534" s="10" t="inlineStr">
        <is>
          <t>Tiếp thị / Marketing, Mỹ thuật / Nghệ thuật / Thiết kế, Truyền hình / Báo chí / Biên tập</t>
        </is>
      </c>
      <c r="K21534" s="10" t="inlineStr">
        <is>
          <t>Trên 1 Năm</t>
        </is>
      </c>
      <c r="L21534" s="11">
        <f>HYPERLINK("https://careerviet.vn/vi/tim-viec-lam/chuyen-vien-quay-dung.35C68BA6.html","Xem chi tiết")</f>
        <v/>
      </c>
      <c r="M21534" s="10" t="n"/>
    </row>
    <row r="21535">
      <c r="B21535" s="7" t="n">
        <v>21533</v>
      </c>
      <c r="C21535" t="inlineStr">
        <is>
          <t>QUẢN LÝ KHO (BẮC NINH)</t>
        </is>
      </c>
      <c r="D21535" t="inlineStr">
        <is>
          <t>S.F. EXPRESS LTD.</t>
        </is>
      </c>
      <c r="E21535" t="inlineStr">
        <is>
          <t>Lương:16 Tr - 22 Tr VND</t>
        </is>
      </c>
      <c r="F21535" t="inlineStr">
        <is>
          <t>Bắc Ninh</t>
        </is>
      </c>
      <c r="G21535" t="inlineStr">
        <is>
          <t>16-02-2026</t>
        </is>
      </c>
      <c r="H21535" t="inlineStr">
        <is>
          <t>14/03/2026</t>
        </is>
      </c>
      <c r="I21535" t="inlineStr">
        <is>
          <t>17/03/2026</t>
        </is>
      </c>
      <c r="J21535" t="inlineStr">
        <is>
          <t>Vận chuyển / Giao nhận / Kho vận, Quản lý điều hành, Lao động phổ thông</t>
        </is>
      </c>
      <c r="K21535" t="inlineStr">
        <is>
          <t>1 - 10 Năm</t>
        </is>
      </c>
      <c r="L21535" s="8">
        <f>HYPERLINK("https://careerviet.vn/vi/tim-viec-lam/quan-ly-kho-bac-ninh.35C68B9E.html","Xem chi tiết")</f>
        <v/>
      </c>
    </row>
    <row r="21536">
      <c r="B21536" s="9" t="n">
        <v>21534</v>
      </c>
      <c r="C21536" s="10" t="inlineStr">
        <is>
          <t>Nhân viên kế toán Khoa</t>
        </is>
      </c>
      <c r="D21536" s="10" t="inlineStr">
        <is>
          <t>BỆNH VIỆN ĐA KHOA PHƯƠNG ĐÔNG</t>
        </is>
      </c>
      <c r="E21536" s="10" t="inlineStr">
        <is>
          <t>Lương:9 Tr - 12 Tr VND</t>
        </is>
      </c>
      <c r="F21536" s="10" t="inlineStr">
        <is>
          <t>Hà Nội</t>
        </is>
      </c>
      <c r="G21536" s="10" t="inlineStr">
        <is>
          <t>1</t>
        </is>
      </c>
      <c r="H21536" s="10" t="inlineStr">
        <is>
          <t>18/03/2026</t>
        </is>
      </c>
      <c r="I21536" s="10" t="inlineStr">
        <is>
          <t>17/03/2026</t>
        </is>
      </c>
      <c r="J21536" s="10" t="inlineStr">
        <is>
          <t>Y tế / Chăm sóc sức khỏe / Thẩm mỹ / Làm đẹp, Kế toán / Kiểm toán</t>
        </is>
      </c>
      <c r="K21536" s="10" t="inlineStr">
        <is>
          <t>1 - 3 Năm</t>
        </is>
      </c>
      <c r="L21536" s="11">
        <f>HYPERLINK("https://careerviet.vn/vi/tim-viec-lam/nhan-vien-ke-toan-khoa.35C633E5.html","Xem chi tiết")</f>
        <v/>
      </c>
      <c r="M21536" s="10" t="n"/>
    </row>
    <row r="21537">
      <c r="B21537" s="7" t="n">
        <v>21535</v>
      </c>
      <c r="C21537" t="inlineStr">
        <is>
          <t>[PHENIKAA GROUP] CHUYÊN VIÊN KIỂM TOÁN NỘI BỘ</t>
        </is>
      </c>
      <c r="D21537" t="inlineStr">
        <is>
          <t>ĐẠI HỌC PHENIKAA</t>
        </is>
      </c>
      <c r="E21537" t="inlineStr">
        <is>
          <t>Lương:17 Tr - 25 Tr VND</t>
        </is>
      </c>
      <c r="F21537" t="inlineStr">
        <is>
          <t>Hà Nội</t>
        </is>
      </c>
      <c r="G21537" t="inlineStr">
        <is>
          <t>Hôm nay</t>
        </is>
      </c>
      <c r="H21537" t="inlineStr">
        <is>
          <t>17/03/2026</t>
        </is>
      </c>
      <c r="I21537" t="inlineStr">
        <is>
          <t>17/03/2026</t>
        </is>
      </c>
      <c r="J21537" t="inlineStr">
        <is>
          <t>Kế toán / Kiểm toán, Tài chính / Đầu tư, Sản xuất / Vận hành sản xuất</t>
        </is>
      </c>
      <c r="K21537" t="inlineStr">
        <is>
          <t>2 - 3 Năm</t>
        </is>
      </c>
      <c r="L21537" s="8">
        <f>HYPERLINK("https://careerviet.vn/vi/tim-viec-lam/phenikaa-group-chuyen-vien-kiem-toan-noi-bo.35C68B9F.html","Xem chi tiết")</f>
        <v/>
      </c>
    </row>
    <row r="21538">
      <c r="B21538" s="9" t="n">
        <v>21536</v>
      </c>
      <c r="C21538" s="10" t="inlineStr">
        <is>
          <t>Nhân viên kế hoạch</t>
        </is>
      </c>
      <c r="D21538" s="10" t="inlineStr">
        <is>
          <t>Công Ty TNHH SX - TM - DV Lê Trần</t>
        </is>
      </c>
      <c r="E21538" s="10" t="inlineStr">
        <is>
          <t>Lương:13 Tr - 18 Tr VND</t>
        </is>
      </c>
      <c r="F21538" s="10" t="inlineStr">
        <is>
          <t>Hồ Chí MinhLong An</t>
        </is>
      </c>
      <c r="G21538" s="10" t="inlineStr">
        <is>
          <t>Hôm nay</t>
        </is>
      </c>
      <c r="H21538" s="10" t="inlineStr">
        <is>
          <t>17/03/2026</t>
        </is>
      </c>
      <c r="I21538" s="10" t="inlineStr">
        <is>
          <t>17/03/2026</t>
        </is>
      </c>
      <c r="J21538" s="10" t="inlineStr">
        <is>
          <t>Cơ khí / Ô tô / Tự động hóa, Sản xuất / Vận hành sản xuất, Đồ gỗ</t>
        </is>
      </c>
      <c r="K21538" s="10" t="inlineStr">
        <is>
          <t>3 - 5 Năm</t>
        </is>
      </c>
      <c r="L21538" s="11">
        <f>HYPERLINK("https://careerviet.vn/vi/tim-viec-lam/nhan-vien-ke-hoach.35C6309E.html","Xem chi tiết")</f>
        <v/>
      </c>
      <c r="M21538" s="10" t="n"/>
    </row>
    <row r="21539">
      <c r="B21539" s="7" t="n">
        <v>21537</v>
      </c>
      <c r="C21539" t="inlineStr">
        <is>
          <t>NHÂN VIÊN CHĂM SÓC KHÁCH HÀNG</t>
        </is>
      </c>
      <c r="D21539" t="inlineStr">
        <is>
          <t>S.F. EXPRESS LTD.</t>
        </is>
      </c>
      <c r="E21539" t="inlineStr">
        <is>
          <t>Lương:15 Tr - 20 Tr VND</t>
        </is>
      </c>
      <c r="F21539" t="inlineStr">
        <is>
          <t>Bắc Ninh</t>
        </is>
      </c>
      <c r="G21539" t="inlineStr">
        <is>
          <t>16-02-2026</t>
        </is>
      </c>
      <c r="H21539" t="inlineStr">
        <is>
          <t>14/03/2026</t>
        </is>
      </c>
      <c r="I21539" t="inlineStr">
        <is>
          <t>17/03/2026</t>
        </is>
      </c>
      <c r="J21539" t="inlineStr">
        <is>
          <t>Dịch vụ khách hàng, Xuất nhập khẩu, Quản lý điều hành</t>
        </is>
      </c>
      <c r="K21539" t="inlineStr">
        <is>
          <t>1 - 10 Năm</t>
        </is>
      </c>
      <c r="L21539" s="8">
        <f>HYPERLINK("https://careerviet.vn/vi/tim-viec-lam/nhan-vien-cham-soc-khach-hang.35C68B92.html","Xem chi tiết")</f>
        <v/>
      </c>
    </row>
    <row r="21540">
      <c r="B21540" s="9" t="n">
        <v>21538</v>
      </c>
      <c r="C21540" s="10" t="inlineStr">
        <is>
          <t>Kế toán quản trị</t>
        </is>
      </c>
      <c r="D21540" s="10" t="inlineStr">
        <is>
          <t>Công ty Cổ phần ĐẠI ĐỒNG TIẾN</t>
        </is>
      </c>
      <c r="E21540" s="10" t="inlineStr">
        <is>
          <t>Lương:18 Tr - 25 Tr VND</t>
        </is>
      </c>
      <c r="F21540" s="10" t="inlineStr">
        <is>
          <t>Hồ Chí Minh</t>
        </is>
      </c>
      <c r="G21540" s="10" t="inlineStr">
        <is>
          <t>16-02-2026</t>
        </is>
      </c>
      <c r="H21540" s="10" t="inlineStr">
        <is>
          <t>13/03/2026</t>
        </is>
      </c>
      <c r="I21540" s="10" t="inlineStr">
        <is>
          <t>17/03/2026</t>
        </is>
      </c>
      <c r="J21540" s="10" t="inlineStr">
        <is>
          <t>Kế toán / Kiểm toán, Sản xuất / Vận hành sản xuất</t>
        </is>
      </c>
      <c r="K21540" s="10" t="inlineStr">
        <is>
          <t>2 - 3 Năm</t>
        </is>
      </c>
      <c r="L21540" s="11">
        <f>HYPERLINK("https://careerviet.vn/vi/tim-viec-lam/ke-toan-quan-tri.35C6882C.html","Xem chi tiết")</f>
        <v/>
      </c>
      <c r="M21540" s="10" t="n"/>
    </row>
    <row r="21541">
      <c r="B21541" s="7" t="n">
        <v>21539</v>
      </c>
      <c r="C21541" t="inlineStr">
        <is>
          <t>Giám Định Viên Kỹ Thuật</t>
        </is>
      </c>
      <c r="D21541" t="inlineStr">
        <is>
          <t>Công ty TNHH United Asia</t>
        </is>
      </c>
      <c r="E21541" t="inlineStr">
        <is>
          <t>Lương:10 Tr - 20 Tr VND</t>
        </is>
      </c>
      <c r="F21541" t="inlineStr">
        <is>
          <t>Hà Nội</t>
        </is>
      </c>
      <c r="G21541" t="inlineStr">
        <is>
          <t>31-03-2026</t>
        </is>
      </c>
      <c r="H21541" t="inlineStr">
        <is>
          <t>31/03/2026</t>
        </is>
      </c>
      <c r="I21541" t="inlineStr">
        <is>
          <t>17/03/2026</t>
        </is>
      </c>
      <c r="J21541" t="inlineStr">
        <is>
          <t>Cơ khí / Ô tô / Tự động hóa, Điện / Điện tử / Điện lạnh / Điện công nghiệp, Xây dựng</t>
        </is>
      </c>
      <c r="K21541" t="inlineStr">
        <is>
          <t>Trên 2 Năm</t>
        </is>
      </c>
      <c r="L21541" s="8">
        <f>HYPERLINK("https://careerviet.vn/vi/tim-viec-lam/giam-dinh-vien-ky-thuat.35C68B91.html","Xem chi tiết")</f>
        <v/>
      </c>
    </row>
    <row r="21542">
      <c r="B21542" s="9" t="n">
        <v>21540</v>
      </c>
      <c r="C21542" s="10" t="inlineStr">
        <is>
          <t>Loss Adjuster Assistant</t>
        </is>
      </c>
      <c r="D21542" s="10" t="inlineStr">
        <is>
          <t>Công ty TNHH United Asia</t>
        </is>
      </c>
      <c r="E21542" s="10" t="inlineStr">
        <is>
          <t>Lương:8 Tr - 12 Tr VND</t>
        </is>
      </c>
      <c r="F21542" s="10" t="inlineStr">
        <is>
          <t>Hà Nội</t>
        </is>
      </c>
      <c r="G21542" s="10" t="inlineStr">
        <is>
          <t>31-03-2026</t>
        </is>
      </c>
      <c r="H21542" s="10" t="inlineStr">
        <is>
          <t>31/03/2026</t>
        </is>
      </c>
      <c r="I21542" s="10" t="inlineStr">
        <is>
          <t>17/03/2026</t>
        </is>
      </c>
      <c r="J21542" s="10" t="inlineStr">
        <is>
          <t>Bảo hiểm, Kế toán / Kiểm toán, Luật / Pháp lý</t>
        </is>
      </c>
      <c r="K21542" s="10" t="inlineStr">
        <is>
          <t>Trên 1 Năm</t>
        </is>
      </c>
      <c r="L21542" s="11">
        <f>HYPERLINK("https://careerviet.vn/vi/tim-viec-lam/loss-adjuster-assistant.35C68B97.html","Xem chi tiết")</f>
        <v/>
      </c>
      <c r="M21542" s="10" t="n"/>
    </row>
    <row r="21543">
      <c r="B21543" s="7" t="n">
        <v>21541</v>
      </c>
      <c r="C21543" t="inlineStr">
        <is>
          <t>NHÂN VIÊN VÙNG TRỒNG (Q7, HCM)</t>
        </is>
      </c>
      <c r="D21543" t="inlineStr">
        <is>
          <t>CÔNG TY CỔ PHẦN TẬP ĐOÀN XUẤT - NHẬP KHẨU TRÁI CÂY CHÁNH THU</t>
        </is>
      </c>
      <c r="E21543" t="inlineStr">
        <is>
          <t>Lương:Cạnh tranh</t>
        </is>
      </c>
      <c r="F21543" t="inlineStr">
        <is>
          <t>Hồ Chí Minh</t>
        </is>
      </c>
      <c r="G21543" t="inlineStr">
        <is>
          <t>Hôm nay</t>
        </is>
      </c>
      <c r="H21543" t="inlineStr">
        <is>
          <t>17/03/2026</t>
        </is>
      </c>
      <c r="I21543" t="inlineStr">
        <is>
          <t>17/03/2026</t>
        </is>
      </c>
      <c r="J21543" t="inlineStr">
        <is>
          <t>Nông nghiệp, Xuất nhập khẩu, Sản xuất / Vận hành sản xuất</t>
        </is>
      </c>
      <c r="K21543" t="inlineStr">
        <is>
          <t>1 - 3 Năm</t>
        </is>
      </c>
      <c r="L21543" s="8">
        <f>HYPERLINK("https://careerviet.vn/vi/tim-viec-lam/nhan-vien-vung-trong-q7-hcm.35C63146.html","Xem chi tiết")</f>
        <v/>
      </c>
    </row>
    <row r="21544">
      <c r="B21544" s="9" t="n">
        <v>21542</v>
      </c>
      <c r="C21544" s="10" t="inlineStr">
        <is>
          <t>Chuyên Viên Hỗ Trợ Đào Tạo Kinh Doanh</t>
        </is>
      </c>
      <c r="D21544" s="10" t="inlineStr">
        <is>
          <t>CÔNG TY TÀI CHÍNH TNHH NGÂN HÀNG TMCP SÀI GÒN - HÀ NỘI  (SHBFinance)</t>
        </is>
      </c>
      <c r="E21544" s="10" t="inlineStr">
        <is>
          <t>Lương:Cạnh tranh</t>
        </is>
      </c>
      <c r="F21544" s="10" t="inlineStr">
        <is>
          <t>Hồ Chí Minh</t>
        </is>
      </c>
      <c r="G21544" s="10" t="inlineStr">
        <is>
          <t>Hôm nay</t>
        </is>
      </c>
      <c r="H21544" s="10" t="inlineStr">
        <is>
          <t>17/03/2026</t>
        </is>
      </c>
      <c r="I21544" s="10" t="inlineStr">
        <is>
          <t>17/03/2026</t>
        </is>
      </c>
      <c r="J21544" s="10" t="inlineStr">
        <is>
          <t>Chứng khoán, Tài chính / Đầu tư, Ngân hàng</t>
        </is>
      </c>
      <c r="K21544" s="10" t="inlineStr">
        <is>
          <t>1 - 2 Năm</t>
        </is>
      </c>
      <c r="L21544" s="11">
        <f>HYPERLINK("https://careerviet.vn/vi/tim-viec-lam/chuyen-vien-ho-tro-dao-tao-kinh-doanh.35C6308E.html","Xem chi tiết")</f>
        <v/>
      </c>
      <c r="M21544" s="10" t="n"/>
    </row>
    <row r="21545">
      <c r="B21545" s="7" t="n">
        <v>21543</v>
      </c>
      <c r="C21545" t="inlineStr">
        <is>
          <t>Nhân viên giám sát an toàn xưởng/EHS giám sát hiện trường</t>
        </is>
      </c>
      <c r="D21545" t="inlineStr">
        <is>
          <t>Công ty TNHH Midea Consumer Electric Vietnam</t>
        </is>
      </c>
      <c r="E21545" t="inlineStr">
        <is>
          <t>Lương:Cạnh tranh</t>
        </is>
      </c>
      <c r="F21545" t="inlineStr">
        <is>
          <t>Bình Dương</t>
        </is>
      </c>
      <c r="G21545" t="inlineStr">
        <is>
          <t>Hôm nay</t>
        </is>
      </c>
      <c r="H21545" t="inlineStr">
        <is>
          <t>17/03/2026</t>
        </is>
      </c>
      <c r="I21545" t="inlineStr">
        <is>
          <t>17/03/2026</t>
        </is>
      </c>
      <c r="J21545" t="inlineStr">
        <is>
          <t>Môi trường, Điện / Điện tử / Điện lạnh / Điện công nghiệp, An toàn lao động</t>
        </is>
      </c>
      <c r="K21545" t="inlineStr">
        <is>
          <t>2 - 3 Năm</t>
        </is>
      </c>
      <c r="L21545" s="8">
        <f>HYPERLINK("https://careerviet.vn/vi/tim-viec-lam/nhan-vien-giam-sat-an-toan-xuong-ehs-giam-sat-hien-truong.35C631D5.html","Xem chi tiết")</f>
        <v/>
      </c>
    </row>
    <row r="21546">
      <c r="B21546" s="9" t="n">
        <v>21544</v>
      </c>
      <c r="C21546" s="10" t="inlineStr">
        <is>
          <t>Chuyên Viên Tư Vấn Tuyển Sinh / Bán Hàng / Kinh Doanh / Sales/ Consultant - Thu Nhập từ 12 triệu đến không giới hạn - ILA Gò Vấp</t>
        </is>
      </c>
      <c r="D21546" s="10" t="inlineStr">
        <is>
          <t>ILA Việt Nam</t>
        </is>
      </c>
      <c r="E21546" s="10" t="inlineStr">
        <is>
          <t>Lương:15 Tr - 30 Tr VND</t>
        </is>
      </c>
      <c r="F21546" s="10" t="inlineStr">
        <is>
          <t>Hồ Chí Minh</t>
        </is>
      </c>
      <c r="G21546" s="10" t="inlineStr">
        <is>
          <t>Hôm nay</t>
        </is>
      </c>
      <c r="H21546" s="10" t="inlineStr">
        <is>
          <t>17/03/2026</t>
        </is>
      </c>
      <c r="I21546" s="10" t="inlineStr">
        <is>
          <t>17/03/2026</t>
        </is>
      </c>
      <c r="J21546" s="10" t="inlineStr">
        <is>
          <t>Bán hàng / Kinh doanh, Tư vấn, Dịch vụ khách hàng</t>
        </is>
      </c>
      <c r="K21546" s="10" t="inlineStr">
        <is>
          <t>1 - 2 Năm</t>
        </is>
      </c>
      <c r="L21546" s="11">
        <f>HYPERLINK("https://careerviet.vn/vi/tim-viec-lam/chuyen-vien-tu-van-tuyen-sinh-ban-hang-kinh-doanh-sales-consultant-thu-nhap-tu-12-trieu-den-khong-gioi-han-ila-go-vap.35C6319E.html","Xem chi tiết")</f>
        <v/>
      </c>
      <c r="M21546" s="10" t="n"/>
    </row>
    <row r="21547">
      <c r="B21547" s="7" t="n">
        <v>21545</v>
      </c>
      <c r="C21547" t="inlineStr">
        <is>
          <t>Chuyên viên / Chuyên viên Cao cấp Pháp chế</t>
        </is>
      </c>
      <c r="D21547" t="inlineStr">
        <is>
          <t>CÔNG TY CỔ PHẦN CHỨNG KHOÁN HD</t>
        </is>
      </c>
      <c r="E21547" t="inlineStr">
        <is>
          <t>Lương:Cạnh tranh</t>
        </is>
      </c>
      <c r="F21547" t="inlineStr">
        <is>
          <t>Hồ Chí Minh</t>
        </is>
      </c>
      <c r="G21547" t="inlineStr">
        <is>
          <t>Hôm nay</t>
        </is>
      </c>
      <c r="H21547" t="inlineStr">
        <is>
          <t>17/03/2026</t>
        </is>
      </c>
      <c r="I21547" t="inlineStr">
        <is>
          <t>17/03/2026</t>
        </is>
      </c>
      <c r="J21547" t="inlineStr">
        <is>
          <t>Chứng khoán, Luật / Pháp lý, Tài chính / Đầu tư</t>
        </is>
      </c>
      <c r="K21547" t="inlineStr">
        <is>
          <t>3 - 5 Năm</t>
        </is>
      </c>
      <c r="L21547" s="8">
        <f>HYPERLINK("https://careerviet.vn/vi/tim-viec-lam/chuyen-vien-chuyen-vien-cao-cap-phap-che.35C631DA.html","Xem chi tiết")</f>
        <v/>
      </c>
    </row>
    <row r="21548">
      <c r="B21548" s="9" t="n">
        <v>21546</v>
      </c>
      <c r="C21548" s="10" t="inlineStr">
        <is>
          <t>Sale Representatives – Paper Category</t>
        </is>
      </c>
      <c r="D21548" s="10" t="inlineStr">
        <is>
          <t>CÔNG TY TNHH GLOBAL COMMERCIAL PARTNER</t>
        </is>
      </c>
      <c r="E21548" s="10" t="inlineStr">
        <is>
          <t>Lương:Cạnh tranh</t>
        </is>
      </c>
      <c r="F21548" s="10" t="inlineStr">
        <is>
          <t>Hồ Chí Minh</t>
        </is>
      </c>
      <c r="G21548" s="10" t="inlineStr">
        <is>
          <t>Hôm nay</t>
        </is>
      </c>
      <c r="H21548" s="10" t="inlineStr">
        <is>
          <t>17/03/2026</t>
        </is>
      </c>
      <c r="I21548" s="10" t="inlineStr">
        <is>
          <t>17/03/2026</t>
        </is>
      </c>
      <c r="J21548" s="10" t="inlineStr">
        <is>
          <t>Bán lẻ / Bán sỉ, Bán hàng / Kinh doanh, Tư vấn</t>
        </is>
      </c>
      <c r="K21548" s="10" t="inlineStr">
        <is>
          <t>Trên 1 Năm</t>
        </is>
      </c>
      <c r="L21548" s="11">
        <f>HYPERLINK("https://careerviet.vn/vi/tim-viec-lam/sale-representatives-paper-category.35C63215.html","Xem chi tiết")</f>
        <v/>
      </c>
      <c r="M21548" s="10" t="n"/>
    </row>
    <row r="21549">
      <c r="B21549" s="7" t="n">
        <v>21547</v>
      </c>
      <c r="C21549" t="inlineStr">
        <is>
          <t>Quản lý phòng Kinh doanh CLB Tepfit</t>
        </is>
      </c>
      <c r="D21549" t="inlineStr">
        <is>
          <t>Công Ty Cổ Phần Tập Đoàn Đầu Tư KLB</t>
        </is>
      </c>
      <c r="E21549" t="inlineStr">
        <is>
          <t>Lương:Trên 15 Tr VND</t>
        </is>
      </c>
      <c r="F21549" t="inlineStr">
        <is>
          <t>Hà Nội</t>
        </is>
      </c>
      <c r="G21549" t="inlineStr">
        <is>
          <t>Hôm nay</t>
        </is>
      </c>
      <c r="H21549" t="inlineStr">
        <is>
          <t>17/03/2026</t>
        </is>
      </c>
      <c r="I21549" t="inlineStr">
        <is>
          <t>17/03/2026</t>
        </is>
      </c>
      <c r="J21549" t="inlineStr">
        <is>
          <t>Y tế / Chăm sóc sức khỏe / Thẩm mỹ / Làm đẹp, Quản lý điều hành, Bán hàng / Kinh doanh</t>
        </is>
      </c>
      <c r="K21549" t="inlineStr">
        <is>
          <t>Lên đến 1 Năm</t>
        </is>
      </c>
      <c r="L21549" s="8">
        <f>HYPERLINK("https://careerviet.vn/vi/tim-viec-lam/quan-ly-phong-kinh-doanh-clb-tepfit.35C63185.html","Xem chi tiết")</f>
        <v/>
      </c>
    </row>
    <row r="21550">
      <c r="B21550" s="9" t="n">
        <v>21548</v>
      </c>
      <c r="C21550" s="10" t="inlineStr">
        <is>
          <t>GIÁM ĐỐC KINH DOANH &amp; DỊCH VỤ KHÁCH HÀNG</t>
        </is>
      </c>
      <c r="D21550" s="10" t="inlineStr">
        <is>
          <t>CÔNG TY CỔ PHẦN ĐỆ TAM</t>
        </is>
      </c>
      <c r="E21550" s="10" t="inlineStr">
        <is>
          <t>Lương:Cạnh tranh</t>
        </is>
      </c>
      <c r="F21550" s="10" t="inlineStr">
        <is>
          <t>Hồ Chí Minh</t>
        </is>
      </c>
      <c r="G21550" s="10" t="inlineStr">
        <is>
          <t>Hôm nay</t>
        </is>
      </c>
      <c r="H21550" s="10" t="inlineStr">
        <is>
          <t>17/03/2026</t>
        </is>
      </c>
      <c r="I21550" s="10" t="inlineStr">
        <is>
          <t>17/03/2026</t>
        </is>
      </c>
      <c r="J21550" s="10" t="inlineStr">
        <is>
          <t>Bán hàng / Kinh doanh, Quản lý điều hành, Bất động sản</t>
        </is>
      </c>
      <c r="K21550" s="10" t="inlineStr">
        <is>
          <t>7 - 10 Năm</t>
        </is>
      </c>
      <c r="L21550" s="11">
        <f>HYPERLINK("https://careerviet.vn/vi/tim-viec-lam/giam-doc-kinh-doanh-dich-vu-khach-hang.35C631C2.html","Xem chi tiết")</f>
        <v/>
      </c>
      <c r="M21550" s="10" t="n"/>
    </row>
    <row r="21551">
      <c r="B21551" s="7" t="n">
        <v>21549</v>
      </c>
      <c r="C21551" t="inlineStr">
        <is>
          <t>Chuyên viên đấu thầu (làm việc tại Vinh)</t>
        </is>
      </c>
      <c r="D21551" t="inlineStr">
        <is>
          <t>CÔNG TY CP GOLDEN CITY</t>
        </is>
      </c>
      <c r="E21551" t="inlineStr">
        <is>
          <t>Lương:15 Tr - 20 Tr VND</t>
        </is>
      </c>
      <c r="F21551" t="inlineStr">
        <is>
          <t>Nghệ An</t>
        </is>
      </c>
      <c r="G21551" t="inlineStr">
        <is>
          <t>Hôm nay</t>
        </is>
      </c>
      <c r="H21551" t="inlineStr">
        <is>
          <t>17/03/2026</t>
        </is>
      </c>
      <c r="I21551" t="inlineStr">
        <is>
          <t>17/03/2026</t>
        </is>
      </c>
      <c r="J21551" t="inlineStr">
        <is>
          <t>Xây dựng, Bất động sản</t>
        </is>
      </c>
      <c r="K21551" t="inlineStr">
        <is>
          <t>2 - 5 Năm</t>
        </is>
      </c>
      <c r="L21551" s="8">
        <f>HYPERLINK("https://careerviet.vn/vi/tim-viec-lam/chuyen-vien-dau-thau-lam-viec-tai-vinh.35C5D8B0.html","Xem chi tiết")</f>
        <v/>
      </c>
    </row>
    <row r="21552">
      <c r="B21552" s="9" t="n">
        <v>21550</v>
      </c>
      <c r="C21552" s="10" t="inlineStr">
        <is>
          <t>[GVM-NOVASERVICE] Giám Đốc Ban Kinh doanh</t>
        </is>
      </c>
      <c r="D21552" s="10" t="inlineStr">
        <is>
          <t>Nova Service Group - Công ty Cổ phần Tập đoàn Nova Services</t>
        </is>
      </c>
      <c r="E21552" s="10" t="inlineStr">
        <is>
          <t>Lương:Cạnh tranh</t>
        </is>
      </c>
      <c r="F21552" s="10" t="inlineStr">
        <is>
          <t>Hồ Chí Minh</t>
        </is>
      </c>
      <c r="G21552" s="10" t="inlineStr">
        <is>
          <t>Hôm nay</t>
        </is>
      </c>
      <c r="H21552" s="10" t="inlineStr">
        <is>
          <t>17/03/2026</t>
        </is>
      </c>
      <c r="I21552" s="10" t="inlineStr">
        <is>
          <t>17/03/2026</t>
        </is>
      </c>
      <c r="J21552" s="10" t="inlineStr">
        <is>
          <t>Bán hàng / Kinh doanh, Du lịch, Bất động sản</t>
        </is>
      </c>
      <c r="K21552" s="10" t="inlineStr">
        <is>
          <t>5 - 15 Năm</t>
        </is>
      </c>
      <c r="L21552" s="11">
        <f>HYPERLINK("https://careerviet.vn/vi/tim-viec-lam/gvm-novaservice-giam-doc-ban-kinh-doanh.35C63193.html","Xem chi tiết")</f>
        <v/>
      </c>
      <c r="M21552" s="10" t="n"/>
    </row>
    <row r="21553">
      <c r="B21553" s="7" t="n">
        <v>21551</v>
      </c>
      <c r="C21553" t="inlineStr">
        <is>
          <t>[GLOBALX-NOVASERVICE] Chuyên Viên Kế Toán Thanh Toán</t>
        </is>
      </c>
      <c r="D21553" t="inlineStr">
        <is>
          <t>CÔNG TY CỔ PHẦN TRẢI NGHIỆM TOÀN CẦU</t>
        </is>
      </c>
      <c r="E21553" t="inlineStr">
        <is>
          <t>Lương:Cạnh tranh</t>
        </is>
      </c>
      <c r="F21553" t="inlineStr">
        <is>
          <t>Hồ Chí Minh</t>
        </is>
      </c>
      <c r="G21553" t="inlineStr">
        <is>
          <t>Hôm nay</t>
        </is>
      </c>
      <c r="H21553" t="inlineStr">
        <is>
          <t>17/03/2026</t>
        </is>
      </c>
      <c r="I21553" t="inlineStr">
        <is>
          <t>17/03/2026</t>
        </is>
      </c>
      <c r="J21553" t="inlineStr">
        <is>
          <t>Nhà hàng / Khách sạn</t>
        </is>
      </c>
      <c r="K21553" t="inlineStr">
        <is>
          <t>1 - 2 Năm</t>
        </is>
      </c>
      <c r="L21553" s="8">
        <f>HYPERLINK("https://careerviet.vn/vi/tim-viec-lam/globalx-novaservice-chuyen-vien-ke-toan-thanh-toan.35C63186.html","Xem chi tiết")</f>
        <v/>
      </c>
    </row>
    <row r="21554">
      <c r="B21554" s="9" t="n">
        <v>21552</v>
      </c>
      <c r="C21554" s="10" t="inlineStr">
        <is>
          <t>Chuyên viên Vận hành</t>
        </is>
      </c>
      <c r="D21554" s="10" t="inlineStr">
        <is>
          <t>CÔNG TY CỔ PHẦN TRÀ VINH GC</t>
        </is>
      </c>
      <c r="E21554" s="10" t="inlineStr">
        <is>
          <t>Lương:14 Tr - 20 Tr VND</t>
        </is>
      </c>
      <c r="F21554" s="10" t="inlineStr">
        <is>
          <t>Hồ Chí Minh</t>
        </is>
      </c>
      <c r="G21554" s="10" t="inlineStr">
        <is>
          <t>Hôm nay</t>
        </is>
      </c>
      <c r="H21554" s="10" t="inlineStr">
        <is>
          <t>17/03/2026</t>
        </is>
      </c>
      <c r="I21554" s="10" t="inlineStr">
        <is>
          <t>17/03/2026</t>
        </is>
      </c>
      <c r="J21554" s="10" t="inlineStr">
        <is>
          <t>Mỹ thuật / Nghệ thuật / Thiết kế, Xây dựng, Nội ngoại thất</t>
        </is>
      </c>
      <c r="K21554" s="10" t="inlineStr">
        <is>
          <t>2 - 4 Năm</t>
        </is>
      </c>
      <c r="L21554" s="11">
        <f>HYPERLINK("https://careerviet.vn/vi/tim-viec-lam/chuyen-vien-van-hanh.35C631F8.html","Xem chi tiết")</f>
        <v/>
      </c>
      <c r="M21554" s="10" t="n"/>
    </row>
    <row r="21555">
      <c r="B21555" s="7" t="n">
        <v>21553</v>
      </c>
      <c r="C21555" t="inlineStr">
        <is>
          <t>QUẢN LÝ KHU VỰC KÊNH GT</t>
        </is>
      </c>
      <c r="D21555" t="inlineStr">
        <is>
          <t>Công ty Cổ phần Đầu tư Thương mại Bách Tường Phát</t>
        </is>
      </c>
      <c r="E21555" t="inlineStr">
        <is>
          <t>Lương:40 Tr - 50 Tr VND</t>
        </is>
      </c>
      <c r="F21555" t="inlineStr">
        <is>
          <t>Hồ Chí Minh</t>
        </is>
      </c>
      <c r="G21555" t="inlineStr">
        <is>
          <t>Hôm nay</t>
        </is>
      </c>
      <c r="H21555" t="inlineStr">
        <is>
          <t>17/03/2026</t>
        </is>
      </c>
      <c r="I21555" t="inlineStr">
        <is>
          <t>17/03/2026</t>
        </is>
      </c>
      <c r="J21555" t="inlineStr">
        <is>
          <t>Tiếp thị / Marketing, Bán lẻ / Bán sỉ, Bán hàng / Kinh doanh</t>
        </is>
      </c>
      <c r="K21555" t="inlineStr">
        <is>
          <t>3 - 5 Năm</t>
        </is>
      </c>
      <c r="L21555" s="8">
        <f>HYPERLINK("https://careerviet.vn/vi/tim-viec-lam/quan-ly-khu-vuc-kenh-gt.35C630BE.html","Xem chi tiết")</f>
        <v/>
      </c>
    </row>
    <row r="21556">
      <c r="B21556" s="9" t="n">
        <v>21554</v>
      </c>
      <c r="C21556" s="10" t="inlineStr">
        <is>
          <t>Lễ Tân</t>
        </is>
      </c>
      <c r="D21556" s="10" t="inlineStr">
        <is>
          <t>CÔNG TY TNHH WAH FU PALACE</t>
        </is>
      </c>
      <c r="E21556" s="10" t="inlineStr">
        <is>
          <t>Lương:Cạnh tranh</t>
        </is>
      </c>
      <c r="F21556" s="10" t="inlineStr">
        <is>
          <t>Hồ Chí Minh</t>
        </is>
      </c>
      <c r="G21556" s="10" t="inlineStr">
        <is>
          <t>Hôm nay</t>
        </is>
      </c>
      <c r="H21556" s="10" t="inlineStr">
        <is>
          <t>17/03/2026</t>
        </is>
      </c>
      <c r="I21556" s="10" t="inlineStr">
        <is>
          <t>17/03/2026</t>
        </is>
      </c>
      <c r="J21556" s="10" t="inlineStr">
        <is>
          <t>Hành chính / Thư ký, Biên phiên dịch, Nhà hàng / Khách sạn</t>
        </is>
      </c>
      <c r="K21556" s="10" t="inlineStr">
        <is>
          <t>N/A</t>
        </is>
      </c>
      <c r="L21556" s="11">
        <f>HYPERLINK("https://careerviet.vn/vi/tim-viec-lam/le-tan.35C6311B.html","Xem chi tiết")</f>
        <v/>
      </c>
      <c r="M21556" s="10" t="n"/>
    </row>
    <row r="21557">
      <c r="B21557" s="7" t="n">
        <v>21555</v>
      </c>
      <c r="C21557" t="inlineStr">
        <is>
          <t>Customer Support Flight &amp; Travel</t>
        </is>
      </c>
      <c r="D21557" t="inlineStr">
        <is>
          <t>CÔNG TY TNHH DỊCH VỤ RENRUI VIỆT NAM</t>
        </is>
      </c>
      <c r="E21557" t="inlineStr">
        <is>
          <t>Lương:11 Tr - 13 Tr VND</t>
        </is>
      </c>
      <c r="F21557" t="inlineStr">
        <is>
          <t>Hồ Chí Minh</t>
        </is>
      </c>
      <c r="G21557" t="inlineStr">
        <is>
          <t>Hôm nay</t>
        </is>
      </c>
      <c r="H21557" t="inlineStr">
        <is>
          <t>17/03/2026</t>
        </is>
      </c>
      <c r="I21557" t="inlineStr">
        <is>
          <t>17/03/2026</t>
        </is>
      </c>
      <c r="J21557" t="inlineStr">
        <is>
          <t>Dịch vụ khách hàng, Nhà hàng / Khách sạn, Du lịch</t>
        </is>
      </c>
      <c r="K21557" t="inlineStr">
        <is>
          <t>Lên đến 1 Năm</t>
        </is>
      </c>
      <c r="L21557" s="8">
        <f>HYPERLINK("https://careerviet.vn/vi/tim-viec-lam/customer-support-flight-travel.35C63180.html","Xem chi tiết")</f>
        <v/>
      </c>
    </row>
    <row r="21558">
      <c r="B21558" s="9" t="n">
        <v>21556</v>
      </c>
      <c r="C21558" s="10" t="inlineStr">
        <is>
          <t>Kỹ Thuật Viên Bảo Trì</t>
        </is>
      </c>
      <c r="D21558" s="10" t="inlineStr">
        <is>
          <t>NOA VIETNAM</t>
        </is>
      </c>
      <c r="E21558" s="10" t="inlineStr">
        <is>
          <t>Lương:Cạnh tranh</t>
        </is>
      </c>
      <c r="F21558" s="10" t="inlineStr">
        <is>
          <t>Bình Dương</t>
        </is>
      </c>
      <c r="G21558" s="10" t="inlineStr">
        <is>
          <t>Hôm nay</t>
        </is>
      </c>
      <c r="H21558" s="10" t="inlineStr">
        <is>
          <t>17/03/2026</t>
        </is>
      </c>
      <c r="I21558" s="10" t="inlineStr">
        <is>
          <t>17/03/2026</t>
        </is>
      </c>
      <c r="J21558" s="10" t="inlineStr">
        <is>
          <t>Cơ khí / Ô tô / Tự động hóa, Điện / Điện tử / Điện lạnh / Điện công nghiệp, Bảo trì / Sửa chữa</t>
        </is>
      </c>
      <c r="K21558" s="10" t="inlineStr">
        <is>
          <t>N/A</t>
        </is>
      </c>
      <c r="L21558" s="11">
        <f>HYPERLINK("https://careerviet.vn/vi/tim-viec-lam/ky-thuat-vien-bao-tri.35C63036.html","Xem chi tiết")</f>
        <v/>
      </c>
      <c r="M21558" s="10" t="n"/>
    </row>
    <row r="21559">
      <c r="B21559" s="7" t="n">
        <v>21557</v>
      </c>
      <c r="C21559" t="inlineStr">
        <is>
          <t>Chuyên Viên Kinh Doanh Dự Án</t>
        </is>
      </c>
      <c r="D21559" t="inlineStr">
        <is>
          <t>CÔNG TY CỔ PHẦN TẬP ĐOÀN HTM</t>
        </is>
      </c>
      <c r="E21559" t="inlineStr">
        <is>
          <t>Lương:Cạnh tranh</t>
        </is>
      </c>
      <c r="F21559" t="inlineStr">
        <is>
          <t>Hồ Chí Minh</t>
        </is>
      </c>
      <c r="G21559" t="inlineStr">
        <is>
          <t>Hôm nay</t>
        </is>
      </c>
      <c r="H21559" t="inlineStr">
        <is>
          <t>17/03/2026</t>
        </is>
      </c>
      <c r="I21559" t="inlineStr">
        <is>
          <t>17/03/2026</t>
        </is>
      </c>
      <c r="J21559" t="inlineStr">
        <is>
          <t>Bán lẻ / Bán sỉ, Bán hàng / Kinh doanh, Nội ngoại thất</t>
        </is>
      </c>
      <c r="K21559" t="inlineStr">
        <is>
          <t>1 - 2 Năm</t>
        </is>
      </c>
      <c r="L21559" s="8">
        <f>HYPERLINK("https://careerviet.vn/vi/tim-viec-lam/chuyen-vien-kinh-doanh-du-an.35C631DD.html","Xem chi tiết")</f>
        <v/>
      </c>
    </row>
    <row r="21560">
      <c r="B21560" s="9" t="n">
        <v>21558</v>
      </c>
      <c r="C21560" s="10" t="inlineStr">
        <is>
          <t>NV/CV Thu hồi nợ tại nhà - HCM, Bình Dương, Bà Rịa Vũng Tàu - TA155 - ID267</t>
        </is>
      </c>
      <c r="D21560" s="10" t="inlineStr">
        <is>
          <t>Ngân Hàng TMCP Việt Nam Thịnh Vượng - VPBANK</t>
        </is>
      </c>
      <c r="E21560" s="10" t="inlineStr">
        <is>
          <t>Lương:Cạnh tranh</t>
        </is>
      </c>
      <c r="F21560" s="10" t="inlineStr">
        <is>
          <t>Bình DươngBà Rịa - Vũng TàuHồ Chí Minh</t>
        </is>
      </c>
      <c r="G21560" s="10" t="inlineStr">
        <is>
          <t>Hôm nay</t>
        </is>
      </c>
      <c r="H21560" s="10" t="inlineStr">
        <is>
          <t>17/03/2026</t>
        </is>
      </c>
      <c r="I21560" s="10" t="inlineStr">
        <is>
          <t>17/03/2026</t>
        </is>
      </c>
      <c r="J21560" s="10" t="inlineStr">
        <is>
          <t>Bán hàng / Kinh doanh, Luật / Pháp lý, Bảo hiểm</t>
        </is>
      </c>
      <c r="K21560" s="10" t="inlineStr">
        <is>
          <t>Chưa có kinh nghiệm</t>
        </is>
      </c>
      <c r="L21560" s="11">
        <f>HYPERLINK("https://careerviet.vn/vi/tim-viec-lam/nv-cv-thu-hoi-no-tai-nha-hcm-binh-duong-ba-ria-vung-tau-ta155-id267.35C63187.html","Xem chi tiết")</f>
        <v/>
      </c>
      <c r="M21560" s="10" t="n"/>
    </row>
    <row r="21561">
      <c r="B21561" s="7" t="n">
        <v>21559</v>
      </c>
      <c r="C21561" t="inlineStr">
        <is>
          <t>Kỹ sư tích hợp hệ thống</t>
        </is>
      </c>
      <c r="D21561" t="inlineStr">
        <is>
          <t>Công ty TNHH PNK</t>
        </is>
      </c>
      <c r="E21561" t="inlineStr">
        <is>
          <t>Lương:20 Tr - 25 Tr VND</t>
        </is>
      </c>
      <c r="F21561" t="inlineStr">
        <is>
          <t>Hà Nội</t>
        </is>
      </c>
      <c r="G21561" t="inlineStr">
        <is>
          <t>Hôm nay</t>
        </is>
      </c>
      <c r="H21561" t="inlineStr">
        <is>
          <t>17/03/2026</t>
        </is>
      </c>
      <c r="I21561" t="inlineStr">
        <is>
          <t>17/03/2026</t>
        </is>
      </c>
      <c r="J21561" t="inlineStr">
        <is>
          <t>Bưu chính viễn thông, CNTT - Phần mềm, CNTT - Phần cứng / Mạng</t>
        </is>
      </c>
      <c r="K21561" t="inlineStr">
        <is>
          <t>Trên 2 Năm</t>
        </is>
      </c>
      <c r="L21561" s="8">
        <f>HYPERLINK("https://careerviet.vn/vi/tim-viec-lam/ky-su-tich-hop-he-thong.35C631F6.html","Xem chi tiết")</f>
        <v/>
      </c>
    </row>
    <row r="21562">
      <c r="B21562" s="9" t="n">
        <v>21560</v>
      </c>
      <c r="C21562" s="10" t="inlineStr">
        <is>
          <t>Nhân viên phòng Kỹ thuật</t>
        </is>
      </c>
      <c r="D21562" s="10" t="inlineStr">
        <is>
          <t>CÔNG TY CỔ PHẦN DƯỢC PHẨM YÊN BÁI</t>
        </is>
      </c>
      <c r="E21562" s="10" t="inlineStr">
        <is>
          <t>Lương:7 Tr - 15 Tr VND</t>
        </is>
      </c>
      <c r="F21562" s="10" t="inlineStr">
        <is>
          <t>Yên BáiThái BìnhHà Nội</t>
        </is>
      </c>
      <c r="G21562" s="10" t="inlineStr">
        <is>
          <t>Hôm nay</t>
        </is>
      </c>
      <c r="H21562" s="10" t="inlineStr">
        <is>
          <t>17/03/2026</t>
        </is>
      </c>
      <c r="I21562" s="10" t="inlineStr">
        <is>
          <t>17/03/2026</t>
        </is>
      </c>
      <c r="J21562" s="10" t="inlineStr">
        <is>
          <t>Dược phẩm/ Hóa Mỹ Phẩm, Cơ khí / Ô tô / Tự động hóa, Điện / Điện tử / Điện lạnh / Điện công nghiệp</t>
        </is>
      </c>
      <c r="K21562" s="10" t="inlineStr">
        <is>
          <t>N/A</t>
        </is>
      </c>
      <c r="L21562" s="11">
        <f>HYPERLINK("https://careerviet.vn/vi/tim-viec-lam/nhan-vien-phong-ky-thuat.35C6313F.html","Xem chi tiết")</f>
        <v/>
      </c>
      <c r="M21562" s="10" t="n"/>
    </row>
    <row r="21563">
      <c r="B21563" s="7" t="n">
        <v>21561</v>
      </c>
      <c r="C21563" t="inlineStr">
        <is>
          <t>Giám đốc Phòng QHKH cá nhân - Trung tâm kinh doanh</t>
        </is>
      </c>
      <c r="D21563" t="inlineStr">
        <is>
          <t>BVBank - Ngân hàng Bản Việt</t>
        </is>
      </c>
      <c r="E21563" t="inlineStr">
        <is>
          <t>Lương:Cạnh tranh</t>
        </is>
      </c>
      <c r="F21563" t="inlineStr">
        <is>
          <t>Hồ Chí Minh</t>
        </is>
      </c>
      <c r="G21563" t="inlineStr">
        <is>
          <t>Hôm nay</t>
        </is>
      </c>
      <c r="H21563" t="inlineStr">
        <is>
          <t>17/03/2026</t>
        </is>
      </c>
      <c r="I21563" t="inlineStr">
        <is>
          <t>17/03/2026</t>
        </is>
      </c>
      <c r="J21563" t="inlineStr">
        <is>
          <t>Ngân hàng, Tài chính / Đầu tư</t>
        </is>
      </c>
      <c r="K21563" t="inlineStr">
        <is>
          <t>3 - 4 Năm</t>
        </is>
      </c>
      <c r="L21563" s="8">
        <f>HYPERLINK("https://careerviet.vn/vi/tim-viec-lam/giam-doc-phong-qhkh-ca-nhan-trung-tam-kinh-doanh.35C63093.html","Xem chi tiết")</f>
        <v/>
      </c>
    </row>
    <row r="21564">
      <c r="B21564" s="9" t="n">
        <v>21562</v>
      </c>
      <c r="C21564" s="10" t="inlineStr">
        <is>
          <t>Trưởng nhóm Đào tạo tiếng Đức</t>
        </is>
      </c>
      <c r="D21564" s="10" t="inlineStr">
        <is>
          <t>Công ty Cổ Phần Giáo Dục German Link</t>
        </is>
      </c>
      <c r="E21564" s="10" t="inlineStr">
        <is>
          <t>Lương:14 Tr - 18 Tr VND</t>
        </is>
      </c>
      <c r="F21564" s="10" t="inlineStr">
        <is>
          <t>Hồ Chí Minh</t>
        </is>
      </c>
      <c r="G21564" s="10" t="inlineStr">
        <is>
          <t>Hôm nay</t>
        </is>
      </c>
      <c r="H21564" s="10" t="inlineStr">
        <is>
          <t>17/03/2026</t>
        </is>
      </c>
      <c r="I21564" s="10" t="inlineStr">
        <is>
          <t>17/03/2026</t>
        </is>
      </c>
      <c r="J21564" s="10" t="inlineStr">
        <is>
          <t>Giáo dục / Đào tạo</t>
        </is>
      </c>
      <c r="K21564" s="10" t="inlineStr">
        <is>
          <t>Lên đến 2 Năm</t>
        </is>
      </c>
      <c r="L21564" s="11">
        <f>HYPERLINK("https://careerviet.vn/vi/tim-viec-lam/truong-nhom-dao-tao-tieng-duc.35C630EC.html","Xem chi tiết")</f>
        <v/>
      </c>
      <c r="M21564" s="10" t="n"/>
    </row>
    <row r="21565">
      <c r="B21565" s="7" t="n">
        <v>21563</v>
      </c>
      <c r="C21565" t="inlineStr">
        <is>
          <t>Nhân viên edit video - tại HCM</t>
        </is>
      </c>
      <c r="D21565" t="inlineStr">
        <is>
          <t>Công Ty Cổ Phần Panel Việt</t>
        </is>
      </c>
      <c r="E21565" t="inlineStr">
        <is>
          <t>Lương:12 Tr - 13 Tr VND</t>
        </is>
      </c>
      <c r="F21565" t="inlineStr">
        <is>
          <t>Hồ Chí Minh</t>
        </is>
      </c>
      <c r="G21565" t="inlineStr">
        <is>
          <t>Hôm nay</t>
        </is>
      </c>
      <c r="H21565" t="inlineStr">
        <is>
          <t>17/03/2026</t>
        </is>
      </c>
      <c r="I21565" t="inlineStr">
        <is>
          <t>17/03/2026</t>
        </is>
      </c>
      <c r="J21565" t="inlineStr">
        <is>
          <t>Tiếp thị / Marketing, Bán hàng / Kinh doanh, Tiếp thị trực tuyến</t>
        </is>
      </c>
      <c r="K21565" t="inlineStr">
        <is>
          <t>1 - 2 Năm</t>
        </is>
      </c>
      <c r="L21565" s="8">
        <f>HYPERLINK("https://careerviet.vn/vi/tim-viec-lam/nhan-vien-edit-video-tai-hcm.35C63195.html","Xem chi tiết")</f>
        <v/>
      </c>
    </row>
    <row r="21566">
      <c r="B21566" s="9" t="n">
        <v>21564</v>
      </c>
      <c r="C21566" s="10" t="inlineStr">
        <is>
          <t>Sales Admin</t>
        </is>
      </c>
      <c r="D21566" s="10" t="inlineStr">
        <is>
          <t>CÔNG TY CỔ PHẦN TẬP ĐOÀN THÀNH NAM</t>
        </is>
      </c>
      <c r="E21566" s="10" t="inlineStr">
        <is>
          <t>Lương:8 Tr - 12 Tr VND</t>
        </is>
      </c>
      <c r="F21566" s="10" t="inlineStr">
        <is>
          <t>Hưng Yên</t>
        </is>
      </c>
      <c r="G21566" s="10" t="inlineStr">
        <is>
          <t>Hôm nay</t>
        </is>
      </c>
      <c r="H21566" s="10" t="inlineStr">
        <is>
          <t>17/03/2026</t>
        </is>
      </c>
      <c r="I21566" s="10" t="inlineStr">
        <is>
          <t>17/03/2026</t>
        </is>
      </c>
      <c r="J21566" s="10" t="inlineStr">
        <is>
          <t>Bán hàng / Kinh doanh</t>
        </is>
      </c>
      <c r="K21566" s="10" t="inlineStr">
        <is>
          <t>Chưa có kinh nghiệm</t>
        </is>
      </c>
      <c r="L21566" s="11">
        <f>HYPERLINK("https://careerviet.vn/vi/tim-viec-lam/sales-admin.35C63132.html","Xem chi tiết")</f>
        <v/>
      </c>
      <c r="M21566" s="10" t="n"/>
    </row>
    <row r="21567">
      <c r="B21567" s="7" t="n">
        <v>21565</v>
      </c>
      <c r="C21567" t="inlineStr">
        <is>
          <t>Assistant Production Supervisor –  Trợ lý Giám sát sản xuất ngành điện tử</t>
        </is>
      </c>
      <c r="D21567" t="inlineStr">
        <is>
          <t>Công ty TNHH Amphenol Technology Vietnam (Xưởng 3)</t>
        </is>
      </c>
      <c r="E21567" t="inlineStr">
        <is>
          <t>Lương:Cạnh tranh</t>
        </is>
      </c>
      <c r="F21567" t="inlineStr">
        <is>
          <t>Long An</t>
        </is>
      </c>
      <c r="G21567" t="inlineStr">
        <is>
          <t>Hôm nay</t>
        </is>
      </c>
      <c r="H21567" t="inlineStr">
        <is>
          <t>17/03/2026</t>
        </is>
      </c>
      <c r="I21567" t="inlineStr">
        <is>
          <t>17/03/2026</t>
        </is>
      </c>
      <c r="J21567" t="inlineStr">
        <is>
          <t>Hành chính / Thư ký, Điện / Điện tử / Điện lạnh / Điện công nghiệp, Sản xuất / Vận hành sản xuất</t>
        </is>
      </c>
      <c r="K21567" t="inlineStr">
        <is>
          <t>1 - 2 Năm</t>
        </is>
      </c>
      <c r="L21567" s="8">
        <f>HYPERLINK("https://careerviet.vn/vi/tim-viec-lam/assistant-production-supervisor-tro-ly-giam-sat-san-xuat-nganh-dien-tu.35C63110.html","Xem chi tiết")</f>
        <v/>
      </c>
    </row>
    <row r="21568">
      <c r="B21568" s="9" t="n">
        <v>21566</v>
      </c>
      <c r="C21568" s="10" t="inlineStr">
        <is>
          <t>Nhiên Viên QC Đồ Điện Gia Dụng</t>
        </is>
      </c>
      <c r="D21568" s="10" t="inlineStr">
        <is>
          <t>Công ty Cổ phần Đầu tư Thương mại Bách Tường Phát</t>
        </is>
      </c>
      <c r="E21568" s="10" t="inlineStr">
        <is>
          <t>Lương:8 Tr - 12 Tr VND</t>
        </is>
      </c>
      <c r="F21568" s="10" t="inlineStr">
        <is>
          <t>Hồ Chí Minh</t>
        </is>
      </c>
      <c r="G21568" s="10" t="inlineStr">
        <is>
          <t>Hôm nay</t>
        </is>
      </c>
      <c r="H21568" s="10" t="inlineStr">
        <is>
          <t>17/03/2026</t>
        </is>
      </c>
      <c r="I21568" s="10" t="inlineStr">
        <is>
          <t>17/03/2026</t>
        </is>
      </c>
      <c r="J21568" s="10" t="inlineStr">
        <is>
          <t>Cơ khí / Ô tô / Tự động hóa, Điện / Điện tử / Điện lạnh / Điện công nghiệp, Quản lý chất lượng (QA/QC)</t>
        </is>
      </c>
      <c r="K21568" s="10" t="inlineStr">
        <is>
          <t>N/A</t>
        </is>
      </c>
      <c r="L21568" s="11">
        <f>HYPERLINK("https://careerviet.vn/vi/tim-viec-lam/nhien-vien-qc-do-dien-gia-dung.35C630C5.html","Xem chi tiết")</f>
        <v/>
      </c>
      <c r="M21568" s="10" t="n"/>
    </row>
    <row r="21569">
      <c r="B21569" s="7" t="n">
        <v>21567</v>
      </c>
      <c r="C21569" t="inlineStr">
        <is>
          <t>Sales Specification Specialist</t>
        </is>
      </c>
      <c r="D21569" t="inlineStr">
        <is>
          <t>Công Ty Cổ Phần Floordi</t>
        </is>
      </c>
      <c r="E21569" t="inlineStr">
        <is>
          <t>Lương:13 Tr - 20 Tr VND</t>
        </is>
      </c>
      <c r="F21569" t="inlineStr">
        <is>
          <t>Hồ Chí Minh</t>
        </is>
      </c>
      <c r="G21569" t="inlineStr">
        <is>
          <t>Hôm nay</t>
        </is>
      </c>
      <c r="H21569" t="inlineStr">
        <is>
          <t>17/03/2026</t>
        </is>
      </c>
      <c r="I21569" t="inlineStr">
        <is>
          <t>17/03/2026</t>
        </is>
      </c>
      <c r="J21569" t="inlineStr">
        <is>
          <t>Bán hàng / Kinh doanh</t>
        </is>
      </c>
      <c r="K21569" t="inlineStr">
        <is>
          <t>Chưa có kinh nghiệm</t>
        </is>
      </c>
      <c r="L21569" s="8">
        <f>HYPERLINK("https://careerviet.vn/vi/tim-viec-lam/sales-specification-specialist.35C6302A.html","Xem chi tiết")</f>
        <v/>
      </c>
    </row>
    <row r="21570">
      <c r="B21570" s="9" t="n">
        <v>21568</v>
      </c>
      <c r="C21570" s="10" t="inlineStr">
        <is>
          <t>TRỢ LÝ KINH DOANH (Bất động sản)</t>
        </is>
      </c>
      <c r="D21570" s="10" t="inlineStr">
        <is>
          <t>CÔNG TY CỔ PHẦN ĐẦU TƯ SÀI GÒN HIGH RISE</t>
        </is>
      </c>
      <c r="E21570" s="10" t="inlineStr">
        <is>
          <t>Lương:Cạnh tranh</t>
        </is>
      </c>
      <c r="F21570" s="10" t="inlineStr">
        <is>
          <t>Hồ Chí Minh</t>
        </is>
      </c>
      <c r="G21570" s="10" t="inlineStr">
        <is>
          <t>Hôm nay</t>
        </is>
      </c>
      <c r="H21570" s="10" t="inlineStr">
        <is>
          <t>17/03/2026</t>
        </is>
      </c>
      <c r="I21570" s="10" t="inlineStr">
        <is>
          <t>17/03/2026</t>
        </is>
      </c>
      <c r="J21570" s="10" t="inlineStr">
        <is>
          <t>Bán hàng / Kinh doanh, Hành chính / Thư ký, Bất động sản</t>
        </is>
      </c>
      <c r="K21570" s="10" t="inlineStr">
        <is>
          <t>1 - 2 Năm</t>
        </is>
      </c>
      <c r="L21570" s="11">
        <f>HYPERLINK("https://careerviet.vn/vi/tim-viec-lam/tro-ly-kinh-doanh-bat-dong-san.35C630D1.html","Xem chi tiết")</f>
        <v/>
      </c>
      <c r="M21570" s="10" t="n"/>
    </row>
    <row r="21571">
      <c r="B21571" s="7" t="n">
        <v>21569</v>
      </c>
      <c r="C21571" t="inlineStr">
        <is>
          <t>Nhân viên điều phối kho</t>
        </is>
      </c>
      <c r="D21571" t="inlineStr">
        <is>
          <t>Công ty TNHH Việt Dũng Sài Gòn</t>
        </is>
      </c>
      <c r="E21571" t="inlineStr">
        <is>
          <t>Lương:8 Tr - 10 Tr VND</t>
        </is>
      </c>
      <c r="F21571" t="inlineStr">
        <is>
          <t>Hồ Chí Minh</t>
        </is>
      </c>
      <c r="G21571" t="inlineStr">
        <is>
          <t>Hôm nay</t>
        </is>
      </c>
      <c r="H21571" t="inlineStr">
        <is>
          <t>17/03/2026</t>
        </is>
      </c>
      <c r="I21571" t="inlineStr">
        <is>
          <t>17/03/2026</t>
        </is>
      </c>
      <c r="J21571" t="inlineStr">
        <is>
          <t>Vận chuyển / Giao nhận / Kho vận, Kế toán / Kiểm toán</t>
        </is>
      </c>
      <c r="K21571" t="inlineStr">
        <is>
          <t>1 - 2 Năm</t>
        </is>
      </c>
      <c r="L21571" s="8">
        <f>HYPERLINK("https://careerviet.vn/vi/tim-viec-lam/nhan-vien-dieu-phoi-kho.35C6310E.html","Xem chi tiết")</f>
        <v/>
      </c>
    </row>
    <row r="21572">
      <c r="B21572" s="9" t="n">
        <v>21570</v>
      </c>
      <c r="C21572" s="10" t="inlineStr">
        <is>
          <t>Nhân viên kinh doanh phòng tập</t>
        </is>
      </c>
      <c r="D21572" s="10" t="inlineStr">
        <is>
          <t>Công Ty Cổ Phần Tập Đoàn Đầu Tư KLB</t>
        </is>
      </c>
      <c r="E21572" s="10" t="inlineStr">
        <is>
          <t>Lương:20 Tr - 30 Tr VND</t>
        </is>
      </c>
      <c r="F21572" s="10" t="inlineStr">
        <is>
          <t>Hà Nội</t>
        </is>
      </c>
      <c r="G21572" s="10" t="inlineStr">
        <is>
          <t>Hôm nay</t>
        </is>
      </c>
      <c r="H21572" s="10" t="inlineStr">
        <is>
          <t>17/03/2026</t>
        </is>
      </c>
      <c r="I21572" s="10" t="inlineStr">
        <is>
          <t>17/03/2026</t>
        </is>
      </c>
      <c r="J21572" s="10" t="inlineStr">
        <is>
          <t>Y tế / Chăm sóc sức khỏe / Thẩm mỹ / Làm đẹp, Tiếp thị / Marketing, Bán hàng / Kinh doanh</t>
        </is>
      </c>
      <c r="K21572" s="10" t="inlineStr">
        <is>
          <t>Lên đến 1 Năm</t>
        </is>
      </c>
      <c r="L21572" s="11">
        <f>HYPERLINK("https://careerviet.vn/vi/tim-viec-lam/nhan-vien-kinh-doanh-phong-tap.35C63182.html","Xem chi tiết")</f>
        <v/>
      </c>
      <c r="M21572" s="10" t="n"/>
    </row>
    <row r="21573">
      <c r="B21573" s="7" t="n">
        <v>21571</v>
      </c>
      <c r="C21573" t="inlineStr">
        <is>
          <t>Chuyên viên CRM &amp; Partnership</t>
        </is>
      </c>
      <c r="D21573" t="inlineStr">
        <is>
          <t>Công ty TNHH Việt Dũng Sài Gòn</t>
        </is>
      </c>
      <c r="E21573" t="inlineStr">
        <is>
          <t>Lương:12 Tr - 15 Tr VND</t>
        </is>
      </c>
      <c r="F21573" t="inlineStr">
        <is>
          <t>Hồ Chí Minh</t>
        </is>
      </c>
      <c r="G21573" t="inlineStr">
        <is>
          <t>Hôm nay</t>
        </is>
      </c>
      <c r="H21573" t="inlineStr">
        <is>
          <t>17/03/2026</t>
        </is>
      </c>
      <c r="I21573" t="inlineStr">
        <is>
          <t>17/03/2026</t>
        </is>
      </c>
      <c r="J21573" t="inlineStr">
        <is>
          <t>Tiếp thị / Marketing, Tiếp thị trực tuyến, Thương mại điện tử</t>
        </is>
      </c>
      <c r="K21573" t="inlineStr">
        <is>
          <t>3 - 5 Năm</t>
        </is>
      </c>
      <c r="L21573" s="8">
        <f>HYPERLINK("https://careerviet.vn/vi/tim-viec-lam/chuyen-vien-crm-partnership.35C63168.html","Xem chi tiết")</f>
        <v/>
      </c>
    </row>
    <row r="21574">
      <c r="B21574" s="9" t="n">
        <v>21572</v>
      </c>
      <c r="C21574" s="10" t="inlineStr">
        <is>
          <t>Cửa Hàng Phó</t>
        </is>
      </c>
      <c r="D21574" s="10" t="inlineStr">
        <is>
          <t>Công ty Cổ phần CANIFA</t>
        </is>
      </c>
      <c r="E21574" s="10" t="inlineStr">
        <is>
          <t>Lương:10 Tr - 12 Tr VND</t>
        </is>
      </c>
      <c r="F21574" s="10" t="inlineStr">
        <is>
          <t>Hồ Chí MinhBình Dương</t>
        </is>
      </c>
      <c r="G21574" s="10" t="inlineStr">
        <is>
          <t>Hôm nay</t>
        </is>
      </c>
      <c r="H21574" s="10" t="inlineStr">
        <is>
          <t>17/03/2026</t>
        </is>
      </c>
      <c r="I21574" s="10" t="inlineStr">
        <is>
          <t>17/03/2026</t>
        </is>
      </c>
      <c r="J21574" s="10" t="inlineStr">
        <is>
          <t>Bán lẻ / Bán sỉ, Bán hàng / Kinh doanh, Dệt may / Da giày / Thời trang</t>
        </is>
      </c>
      <c r="K21574" s="10" t="inlineStr">
        <is>
          <t>1 - 2 Năm</t>
        </is>
      </c>
      <c r="L21574" s="11">
        <f>HYPERLINK("https://careerviet.vn/vi/tim-viec-lam/cua-hang-pho.35C65CD8.html","Xem chi tiết")</f>
        <v/>
      </c>
      <c r="M21574" s="10" t="n"/>
    </row>
    <row r="21575">
      <c r="B21575" s="7" t="n">
        <v>21573</v>
      </c>
      <c r="C21575" t="inlineStr">
        <is>
          <t>Hành chính Giám sát - Khoa Kiểm soát nhiễm khuẩn</t>
        </is>
      </c>
      <c r="D21575" t="inlineStr">
        <is>
          <t>BỆNH VIỆN ĐA KHOA PHƯƠNG ĐÔNG</t>
        </is>
      </c>
      <c r="E21575" t="inlineStr">
        <is>
          <t>Lương:Cạnh tranh</t>
        </is>
      </c>
      <c r="F21575" t="inlineStr">
        <is>
          <t>Hà Nội</t>
        </is>
      </c>
      <c r="G21575" t="inlineStr">
        <is>
          <t>Hôm nay</t>
        </is>
      </c>
      <c r="H21575" t="inlineStr">
        <is>
          <t>17/03/2026</t>
        </is>
      </c>
      <c r="I21575" t="inlineStr">
        <is>
          <t>17/03/2026</t>
        </is>
      </c>
      <c r="J21575" t="inlineStr">
        <is>
          <t>Y tế / Chăm sóc sức khỏe / Thẩm mỹ / Làm đẹp</t>
        </is>
      </c>
      <c r="K21575" t="inlineStr">
        <is>
          <t>Chưa có kinh nghiệm</t>
        </is>
      </c>
      <c r="L21575" s="8">
        <f>HYPERLINK("https://careerviet.vn/vi/tim-viec-lam/hanh-chinh-giam-sat-khoa-kiem-soat-nhiem-khuan.35C631D8.html","Xem chi tiết")</f>
        <v/>
      </c>
    </row>
    <row r="21576">
      <c r="B21576" s="9" t="n">
        <v>21574</v>
      </c>
      <c r="C21576" s="10" t="inlineStr">
        <is>
          <t>Nhân viên Thu hồi nợ Hiện trường - Đông Nam Bộ, KV Mekong - TA155 - ID267</t>
        </is>
      </c>
      <c r="D21576" s="10" t="inlineStr">
        <is>
          <t>Ngân Hàng TMCP Việt Nam Thịnh Vượng - VPBANK</t>
        </is>
      </c>
      <c r="E21576" s="10" t="inlineStr">
        <is>
          <t>Lương:15 Tr - 35 Tr VND</t>
        </is>
      </c>
      <c r="F21576" s="10" t="inlineStr">
        <is>
          <t>KV Đông Nam BộĐồng Bằng Sông Cửu LongAn Giang</t>
        </is>
      </c>
      <c r="G21576" s="10" t="inlineStr">
        <is>
          <t>Hôm nay</t>
        </is>
      </c>
      <c r="H21576" s="10" t="inlineStr">
        <is>
          <t>17/03/2026</t>
        </is>
      </c>
      <c r="I21576" s="10" t="inlineStr">
        <is>
          <t>17/03/2026</t>
        </is>
      </c>
      <c r="J21576" s="10" t="inlineStr">
        <is>
          <t>Biên phiên dịch, Bán hàng / Kinh doanh, Luật / Pháp lý</t>
        </is>
      </c>
      <c r="K21576" s="10" t="inlineStr">
        <is>
          <t>N/A</t>
        </is>
      </c>
      <c r="L21576" s="11">
        <f>HYPERLINK("https://careerviet.vn/vi/tim-viec-lam/nhan-vien-thu-hoi-no-hien-truong-dong-nam-bo-kv-mekong-ta155-id267.35C63199.html","Xem chi tiết")</f>
        <v/>
      </c>
      <c r="M21576" s="10" t="n"/>
    </row>
    <row r="21577">
      <c r="B21577" s="7" t="n">
        <v>21575</v>
      </c>
      <c r="C21577" t="inlineStr">
        <is>
          <t>Chuyên Viên Thu Hồi Nợ Hiện Trường - Bắc Ninh, Bắc Giang - TA156</t>
        </is>
      </c>
      <c r="D21577" t="inlineStr">
        <is>
          <t>Ngân Hàng TMCP Việt Nam Thịnh Vượng - VPBANK</t>
        </is>
      </c>
      <c r="E21577" t="inlineStr">
        <is>
          <t>Lương:15 Tr - 40 Tr VND</t>
        </is>
      </c>
      <c r="F21577" t="inlineStr">
        <is>
          <t>Bắc NinhBắc Giang</t>
        </is>
      </c>
      <c r="G21577" t="inlineStr">
        <is>
          <t>Hôm nay</t>
        </is>
      </c>
      <c r="H21577" t="inlineStr">
        <is>
          <t>17/03/2026</t>
        </is>
      </c>
      <c r="I21577" t="inlineStr">
        <is>
          <t>17/03/2026</t>
        </is>
      </c>
      <c r="J21577" t="inlineStr">
        <is>
          <t>Luật / Pháp lý, Ngân hàng, Quản lý chất lượng (QA/QC)</t>
        </is>
      </c>
      <c r="K21577" t="inlineStr">
        <is>
          <t>N/A</t>
        </is>
      </c>
      <c r="L21577" s="8">
        <f>HYPERLINK("https://careerviet.vn/vi/tim-viec-lam/chuyen-vien-thu-hoi-no-hien-truong-bac-ninh-bac-giang-ta156.35C65C90.html","Xem chi tiết")</f>
        <v/>
      </c>
    </row>
    <row r="21578">
      <c r="B21578" s="9" t="n">
        <v>21576</v>
      </c>
      <c r="C21578" s="10" t="inlineStr">
        <is>
          <t>Trưởng Nhóm Hợp Đồng - Pháp Lý (Xây Dựng)</t>
        </is>
      </c>
      <c r="D21578" s="10" t="inlineStr">
        <is>
          <t>Công Ty TNHH Xây Dựng Solutions</t>
        </is>
      </c>
      <c r="E21578" s="10" t="inlineStr">
        <is>
          <t>Lương:Cạnh tranh</t>
        </is>
      </c>
      <c r="F21578" s="10" t="inlineStr">
        <is>
          <t>Hồ Chí Minh</t>
        </is>
      </c>
      <c r="G21578" s="10" t="inlineStr">
        <is>
          <t>Hôm nay</t>
        </is>
      </c>
      <c r="H21578" s="10" t="inlineStr">
        <is>
          <t>17/03/2026</t>
        </is>
      </c>
      <c r="I21578" s="10" t="inlineStr">
        <is>
          <t>17/03/2026</t>
        </is>
      </c>
      <c r="J21578" s="10" t="inlineStr">
        <is>
          <t>Luật / Pháp lý, Xây dựng</t>
        </is>
      </c>
      <c r="K21578" s="10" t="inlineStr">
        <is>
          <t>4 - 6 Năm</t>
        </is>
      </c>
      <c r="L21578" s="11">
        <f>HYPERLINK("https://careerviet.vn/vi/tim-viec-lam/truong-nhom-hop-dong-phap-ly-xay-dung.35C63232.html","Xem chi tiết")</f>
        <v/>
      </c>
      <c r="M21578" s="10" t="n"/>
    </row>
    <row r="21579">
      <c r="B21579" s="7" t="n">
        <v>21577</v>
      </c>
      <c r="C21579" t="inlineStr">
        <is>
          <t>Chuyên gia Phân hệ tiền vay – Dự án Core Banking</t>
        </is>
      </c>
      <c r="D21579" t="inlineStr">
        <is>
          <t>BVBank - Ngân hàng Bản Việt</t>
        </is>
      </c>
      <c r="E21579" t="inlineStr">
        <is>
          <t>Lương:Cạnh tranh</t>
        </is>
      </c>
      <c r="F21579" t="inlineStr">
        <is>
          <t>Hồ Chí Minh</t>
        </is>
      </c>
      <c r="G21579" t="inlineStr">
        <is>
          <t>Hôm nay</t>
        </is>
      </c>
      <c r="H21579" t="inlineStr">
        <is>
          <t>17/03/2026</t>
        </is>
      </c>
      <c r="I21579" t="inlineStr">
        <is>
          <t>17/03/2026</t>
        </is>
      </c>
      <c r="J21579" t="inlineStr">
        <is>
          <t>Ngân hàng, Tài chính / Đầu tư</t>
        </is>
      </c>
      <c r="K21579" t="inlineStr">
        <is>
          <t>5 - 7 Năm</t>
        </is>
      </c>
      <c r="L21579" s="8">
        <f>HYPERLINK("https://careerviet.vn/vi/tim-viec-lam/chuyen-gia-phan-he-tien-vay-du-an-core-banking.35C63159.html","Xem chi tiết")</f>
        <v/>
      </c>
    </row>
    <row r="21580">
      <c r="B21580" s="9" t="n">
        <v>21578</v>
      </c>
      <c r="C21580" s="10" t="inlineStr">
        <is>
          <t>Chuyên Viên Thu Hồi Nợ Hiện Trường - Lào Cai, Yên Bái - TA156</t>
        </is>
      </c>
      <c r="D21580" s="10" t="inlineStr">
        <is>
          <t>Ngân Hàng TMCP Việt Nam Thịnh Vượng - VPBANK</t>
        </is>
      </c>
      <c r="E21580" s="10" t="inlineStr">
        <is>
          <t>Lương:15 Tr - 40 Tr VND</t>
        </is>
      </c>
      <c r="F21580" s="10" t="inlineStr">
        <is>
          <t>Yên BáiLào Cai</t>
        </is>
      </c>
      <c r="G21580" s="10" t="inlineStr">
        <is>
          <t>Hôm nay</t>
        </is>
      </c>
      <c r="H21580" s="10" t="inlineStr">
        <is>
          <t>17/03/2026</t>
        </is>
      </c>
      <c r="I21580" s="10" t="inlineStr">
        <is>
          <t>17/03/2026</t>
        </is>
      </c>
      <c r="J21580" s="10" t="inlineStr">
        <is>
          <t>Luật / Pháp lý, Ngân hàng, Quản lý chất lượng (QA/QC)</t>
        </is>
      </c>
      <c r="K21580" s="10" t="inlineStr">
        <is>
          <t>N/A</t>
        </is>
      </c>
      <c r="L21580" s="11">
        <f>HYPERLINK("https://careerviet.vn/vi/tim-viec-lam/chuyen-vien-thu-hoi-no-hien-truong-lao-cai-yen-bai-ta156.35C65C9B.html","Xem chi tiết")</f>
        <v/>
      </c>
      <c r="M21580" s="10" t="n"/>
    </row>
    <row r="21581">
      <c r="B21581" s="7" t="n">
        <v>21579</v>
      </c>
      <c r="C21581" t="inlineStr">
        <is>
          <t>Chuyên viên hệ thống</t>
        </is>
      </c>
      <c r="D21581" t="inlineStr">
        <is>
          <t>CÔNG TY CỔ PHẦN ĐẦU TƯ VÀNG PHÚ QUÝ</t>
        </is>
      </c>
      <c r="E21581" t="inlineStr">
        <is>
          <t>Lương:10 Tr - 15 Tr VND</t>
        </is>
      </c>
      <c r="F21581" t="inlineStr">
        <is>
          <t>Hà Nội</t>
        </is>
      </c>
      <c r="G21581" t="inlineStr">
        <is>
          <t>Hôm nay</t>
        </is>
      </c>
      <c r="H21581" t="inlineStr">
        <is>
          <t>17/03/2026</t>
        </is>
      </c>
      <c r="I21581" t="inlineStr">
        <is>
          <t>17/03/2026</t>
        </is>
      </c>
      <c r="J21581" t="inlineStr">
        <is>
          <t>CNTT - Phần cứng / Mạng</t>
        </is>
      </c>
      <c r="K21581" t="inlineStr">
        <is>
          <t>1 - 2 Năm</t>
        </is>
      </c>
      <c r="L21581" s="8">
        <f>HYPERLINK("https://careerviet.vn/vi/tim-viec-lam/chuyen-vien-he-thong.35C65BF9.html","Xem chi tiết")</f>
        <v/>
      </c>
    </row>
    <row r="21582">
      <c r="B21582" s="9" t="n">
        <v>21580</v>
      </c>
      <c r="C21582" s="10" t="inlineStr">
        <is>
          <t>Chuyên Viên Content Marketing</t>
        </is>
      </c>
      <c r="D21582" s="10" t="inlineStr">
        <is>
          <t>Công Ty Cổ Phần Tập Đoàn Trần Anh Long An</t>
        </is>
      </c>
      <c r="E21582" s="10" t="inlineStr">
        <is>
          <t>Lương:12 Tr - 18 Tr VND</t>
        </is>
      </c>
      <c r="F21582" s="10" t="inlineStr">
        <is>
          <t>Long An</t>
        </is>
      </c>
      <c r="G21582" s="10" t="inlineStr">
        <is>
          <t>Hôm nay</t>
        </is>
      </c>
      <c r="H21582" s="10" t="inlineStr">
        <is>
          <t>17/03/2026</t>
        </is>
      </c>
      <c r="I21582" s="10" t="inlineStr">
        <is>
          <t>17/03/2026</t>
        </is>
      </c>
      <c r="J21582" s="10" t="inlineStr">
        <is>
          <t>Tiếp thị / Marketing, Tiếp thị trực tuyến, Quảng cáo / Đối ngoại / Truyền Thông</t>
        </is>
      </c>
      <c r="K21582" s="10" t="inlineStr">
        <is>
          <t>1 - 3 Năm</t>
        </is>
      </c>
      <c r="L21582" s="11">
        <f>HYPERLINK("https://careerviet.vn/vi/tim-viec-lam/chuyen-vien-content-marketing.35C65CC4.html","Xem chi tiết")</f>
        <v/>
      </c>
      <c r="M21582" s="10" t="n"/>
    </row>
    <row r="21583">
      <c r="B21583" s="7" t="n">
        <v>21581</v>
      </c>
      <c r="C21583" t="inlineStr">
        <is>
          <t>Nhân Viên Phiên Dịch Tiếng Hàn</t>
        </is>
      </c>
      <c r="D21583" t="inlineStr">
        <is>
          <t>CÔNG TY TNHH J.M.INTER</t>
        </is>
      </c>
      <c r="E21583" t="inlineStr">
        <is>
          <t>Lương:Cạnh tranh</t>
        </is>
      </c>
      <c r="F21583" t="inlineStr">
        <is>
          <t>Đồng Tháp</t>
        </is>
      </c>
      <c r="G21583" t="inlineStr">
        <is>
          <t>Hôm nay</t>
        </is>
      </c>
      <c r="H21583" t="inlineStr">
        <is>
          <t>17/03/2026</t>
        </is>
      </c>
      <c r="I21583" t="inlineStr">
        <is>
          <t>17/03/2026</t>
        </is>
      </c>
      <c r="J21583" t="inlineStr">
        <is>
          <t>Hành chính / Thư ký, Biên phiên dịch, Dệt may / Da giày / Thời trang</t>
        </is>
      </c>
      <c r="K21583" t="inlineStr">
        <is>
          <t>N/A</t>
        </is>
      </c>
      <c r="L21583" s="8">
        <f>HYPERLINK("https://careerviet.vn/vi/tim-viec-lam/nhan-vien-phien-dich-tieng-han.35C65CC8.html","Xem chi tiết")</f>
        <v/>
      </c>
    </row>
    <row r="21584">
      <c r="B21584" s="9" t="n">
        <v>21582</v>
      </c>
      <c r="C21584" s="10" t="inlineStr">
        <is>
          <t>Digital Data Analyst</t>
        </is>
      </c>
      <c r="D21584" s="10" t="inlineStr">
        <is>
          <t>Ngân Hàng TMCP Quốc Tế Việt Nam</t>
        </is>
      </c>
      <c r="E21584" s="10" t="inlineStr">
        <is>
          <t>Lương:Cạnh tranh</t>
        </is>
      </c>
      <c r="F21584" s="10" t="inlineStr">
        <is>
          <t>Hồ Chí Minh</t>
        </is>
      </c>
      <c r="G21584" s="10" t="inlineStr">
        <is>
          <t>Hôm nay</t>
        </is>
      </c>
      <c r="H21584" s="10" t="inlineStr">
        <is>
          <t>17/03/2026</t>
        </is>
      </c>
      <c r="I21584" s="10" t="inlineStr">
        <is>
          <t>17/03/2026</t>
        </is>
      </c>
      <c r="J21584" s="10" t="inlineStr">
        <is>
          <t>CNTT - Phần mềm</t>
        </is>
      </c>
      <c r="K21584" s="10" t="inlineStr">
        <is>
          <t>2 - 7 Năm</t>
        </is>
      </c>
      <c r="L21584" s="11">
        <f>HYPERLINK("https://careerviet.vn/vi/tim-viec-lam/digital-data-analyst.35C65C9C.html","Xem chi tiết")</f>
        <v/>
      </c>
      <c r="M21584" s="10" t="n"/>
    </row>
    <row r="21585">
      <c r="B21585" s="7" t="n">
        <v>21583</v>
      </c>
      <c r="C21585" t="inlineStr">
        <is>
          <t>Nhân Viên Tư vấn &amp; CSKH</t>
        </is>
      </c>
      <c r="D21585" t="inlineStr">
        <is>
          <t>CÔNG TY TNHH DỊCH VỤ RENRUI VIỆT NAM</t>
        </is>
      </c>
      <c r="E21585" t="inlineStr">
        <is>
          <t>Lương:11 Tr - 13 Tr VND</t>
        </is>
      </c>
      <c r="F21585" t="inlineStr">
        <is>
          <t>Hồ Chí Minh</t>
        </is>
      </c>
      <c r="G21585" t="inlineStr">
        <is>
          <t>Hôm nay</t>
        </is>
      </c>
      <c r="H21585" t="inlineStr">
        <is>
          <t>17/03/2026</t>
        </is>
      </c>
      <c r="I21585" t="inlineStr">
        <is>
          <t>17/03/2026</t>
        </is>
      </c>
      <c r="J21585" t="inlineStr">
        <is>
          <t>Dịch vụ khách hàng, Hành chính / Thư ký, Du lịch</t>
        </is>
      </c>
      <c r="K21585" t="inlineStr">
        <is>
          <t>Lên đến 1 Năm</t>
        </is>
      </c>
      <c r="L21585" s="8">
        <f>HYPERLINK("https://careerviet.vn/vi/tim-viec-lam/nhan-vien-tu-van-cskh.35C6317C.html","Xem chi tiết")</f>
        <v/>
      </c>
    </row>
    <row r="21586">
      <c r="B21586" s="9" t="n">
        <v>21584</v>
      </c>
      <c r="C21586" s="10" t="inlineStr">
        <is>
          <t>Kỹ sư khai thác mỏ</t>
        </is>
      </c>
      <c r="D21586" s="10" t="inlineStr">
        <is>
          <t>CÔNG TY CỔ PHẦN XÂY DỰNG TC BÌNH ĐỊNH</t>
        </is>
      </c>
      <c r="E21586" s="10" t="inlineStr">
        <is>
          <t>Lương:Cạnh tranh</t>
        </is>
      </c>
      <c r="F21586" s="10" t="inlineStr">
        <is>
          <t>Bình Định</t>
        </is>
      </c>
      <c r="G21586" s="10" t="inlineStr">
        <is>
          <t>Hôm nay</t>
        </is>
      </c>
      <c r="H21586" s="10" t="inlineStr">
        <is>
          <t>17/03/2026</t>
        </is>
      </c>
      <c r="I21586" s="10" t="inlineStr">
        <is>
          <t>17/03/2026</t>
        </is>
      </c>
      <c r="J21586" s="10" t="inlineStr">
        <is>
          <t>Cơ khí / Ô tô / Tự động hóa, Môi trường, Khoáng sản</t>
        </is>
      </c>
      <c r="K21586" s="10" t="inlineStr">
        <is>
          <t>Trên 2 Năm</t>
        </is>
      </c>
      <c r="L21586" s="11">
        <f>HYPERLINK("https://careerviet.vn/vi/tim-viec-lam/ky-su-khai-thac-mo.35C65BDF.html","Xem chi tiết")</f>
        <v/>
      </c>
      <c r="M21586" s="10" t="n"/>
    </row>
    <row r="21587">
      <c r="B21587" s="7" t="n">
        <v>21585</v>
      </c>
      <c r="C21587" t="inlineStr">
        <is>
          <t>[Hà Nội] Quản lý siêu thị - Biết Tiếng Hàn</t>
        </is>
      </c>
      <c r="D21587" t="inlineStr">
        <is>
          <t>Công Ty TNHH Thương Mại K&amp;K Toàn Cầu</t>
        </is>
      </c>
      <c r="E21587" t="inlineStr">
        <is>
          <t>Lương:9 Tr - 12 Tr VND</t>
        </is>
      </c>
      <c r="F21587" t="inlineStr">
        <is>
          <t>Hà Nội</t>
        </is>
      </c>
      <c r="G21587" t="inlineStr">
        <is>
          <t>Hôm nay</t>
        </is>
      </c>
      <c r="H21587" t="inlineStr">
        <is>
          <t>17/03/2026</t>
        </is>
      </c>
      <c r="I21587" t="inlineStr">
        <is>
          <t>17/03/2026</t>
        </is>
      </c>
      <c r="J21587" t="inlineStr">
        <is>
          <t>Biên phiên dịch, Quản lý điều hành, Bán lẻ / Bán sỉ</t>
        </is>
      </c>
      <c r="K21587" t="inlineStr">
        <is>
          <t>N/A</t>
        </is>
      </c>
      <c r="L21587" s="8">
        <f>HYPERLINK("https://careerviet.vn/vi/tim-viec-lam/ha-noi-quan-ly-sieu-thi-biet-tieng-han.35C63085.html","Xem chi tiết")</f>
        <v/>
      </c>
    </row>
    <row r="21588">
      <c r="B21588" s="9" t="n">
        <v>21586</v>
      </c>
      <c r="C21588" s="10" t="inlineStr">
        <is>
          <t>Nhân viên kỹ thuật điện/ điện lạnh</t>
        </is>
      </c>
      <c r="D21588" s="10" t="inlineStr">
        <is>
          <t>CÔNG TY TNHH TÔN PHÚC NHIÊN</t>
        </is>
      </c>
      <c r="E21588" s="10" t="inlineStr">
        <is>
          <t>Lương:Cạnh tranh</t>
        </is>
      </c>
      <c r="F21588" s="10" t="inlineStr">
        <is>
          <t>Hồ Chí Minh</t>
        </is>
      </c>
      <c r="G21588" s="10" t="inlineStr">
        <is>
          <t>Hôm nay</t>
        </is>
      </c>
      <c r="H21588" s="10" t="inlineStr">
        <is>
          <t>17/03/2026</t>
        </is>
      </c>
      <c r="I21588" s="10" t="inlineStr">
        <is>
          <t>17/03/2026</t>
        </is>
      </c>
      <c r="J21588" s="10" t="inlineStr">
        <is>
          <t>Điện / Điện tử / Điện lạnh / Điện công nghiệp, Bảo trì / Sửa chữa</t>
        </is>
      </c>
      <c r="K21588" s="10" t="inlineStr">
        <is>
          <t>1 - 2 Năm</t>
        </is>
      </c>
      <c r="L21588" s="11">
        <f>HYPERLINK("https://careerviet.vn/vi/tim-viec-lam/nhan-vien-ky-thuat-dien-dien-lanh.35C6318A.html","Xem chi tiết")</f>
        <v/>
      </c>
      <c r="M21588" s="10" t="n"/>
    </row>
    <row r="21589">
      <c r="B21589" s="7" t="n">
        <v>21587</v>
      </c>
      <c r="C21589" t="inlineStr">
        <is>
          <t>Chuyên viên phát triển thị trường</t>
        </is>
      </c>
      <c r="D21589" t="inlineStr">
        <is>
          <t>CÔNG TY TNHH PHÁT TRIỂN DELI VIỆT NAM</t>
        </is>
      </c>
      <c r="E21589" t="inlineStr">
        <is>
          <t>Lương:11 Tr - 15 Tr VND</t>
        </is>
      </c>
      <c r="F21589" t="inlineStr">
        <is>
          <t>Hà Nội</t>
        </is>
      </c>
      <c r="G21589" t="inlineStr">
        <is>
          <t>Hôm nay</t>
        </is>
      </c>
      <c r="H21589" t="inlineStr">
        <is>
          <t>17/03/2026</t>
        </is>
      </c>
      <c r="I21589" t="inlineStr">
        <is>
          <t>17/03/2026</t>
        </is>
      </c>
      <c r="J21589" t="inlineStr">
        <is>
          <t>Tiếp thị / Marketing</t>
        </is>
      </c>
      <c r="K21589" t="inlineStr">
        <is>
          <t>1 - 3 Năm</t>
        </is>
      </c>
      <c r="L21589" s="8">
        <f>HYPERLINK("https://careerviet.vn/vi/tim-viec-lam/chuyen-vien-phat-trien-thi-truong.35C631A4.html","Xem chi tiết")</f>
        <v/>
      </c>
    </row>
    <row r="21590">
      <c r="B21590" s="9" t="n">
        <v>21588</v>
      </c>
      <c r="C21590" s="10" t="inlineStr">
        <is>
          <t>TRƯỞNG NHÓM KINH DOANH (QUẬN 7, HCM)</t>
        </is>
      </c>
      <c r="D21590" s="10" t="inlineStr">
        <is>
          <t>CÔNG TY CỔ PHẦN TMĐT XUẤT - NHẬP KHẨU TRÁI CÂY CHÁNH THU</t>
        </is>
      </c>
      <c r="E21590" s="10" t="inlineStr">
        <is>
          <t>Lương:Cạnh tranh</t>
        </is>
      </c>
      <c r="F21590" s="10" t="inlineStr">
        <is>
          <t>Hồ Chí Minh</t>
        </is>
      </c>
      <c r="G21590" s="10" t="inlineStr">
        <is>
          <t>Hôm nay</t>
        </is>
      </c>
      <c r="H21590" s="10" t="inlineStr">
        <is>
          <t>17/03/2026</t>
        </is>
      </c>
      <c r="I21590" s="10" t="inlineStr">
        <is>
          <t>17/03/2026</t>
        </is>
      </c>
      <c r="J21590" s="10" t="inlineStr">
        <is>
          <t>Xuất nhập khẩu, Sản xuất / Vận hành sản xuất, Bán hàng / Kinh doanh</t>
        </is>
      </c>
      <c r="K21590" s="10" t="inlineStr">
        <is>
          <t>4 - 5 Năm</t>
        </is>
      </c>
      <c r="L21590" s="11">
        <f>HYPERLINK("https://careerviet.vn/vi/tim-viec-lam/truong-nhom-kinh-doanh-quan-7-hcm.35C62320.html","Xem chi tiết")</f>
        <v/>
      </c>
      <c r="M21590" s="10" t="n"/>
    </row>
    <row r="21591">
      <c r="B21591" s="7" t="n">
        <v>21589</v>
      </c>
      <c r="C21591" t="inlineStr">
        <is>
          <t>Thư ký Ban giám đốc</t>
        </is>
      </c>
      <c r="D21591" t="inlineStr">
        <is>
          <t>Công ty Cổ phần Đầu tư Thương mại Kỹ thuật A&amp;T Việt Nam</t>
        </is>
      </c>
      <c r="E21591" t="inlineStr">
        <is>
          <t>Lương:12 Tr - 15 Tr VND</t>
        </is>
      </c>
      <c r="F21591" t="inlineStr">
        <is>
          <t>Hà Nội</t>
        </is>
      </c>
      <c r="G21591" t="inlineStr">
        <is>
          <t>Hôm nay</t>
        </is>
      </c>
      <c r="H21591" t="inlineStr">
        <is>
          <t>17/03/2026</t>
        </is>
      </c>
      <c r="I21591" t="inlineStr">
        <is>
          <t>17/03/2026</t>
        </is>
      </c>
      <c r="J21591" t="inlineStr">
        <is>
          <t>Bất động sản, Kế toán / Kiểm toán, Hành chính / Thư ký</t>
        </is>
      </c>
      <c r="K21591" t="inlineStr">
        <is>
          <t>3 - 5 Năm</t>
        </is>
      </c>
      <c r="L21591" s="8">
        <f>HYPERLINK("https://careerviet.vn/vi/tim-viec-lam/thu-ky-ban-giam-doc.35C65BEC.html","Xem chi tiết")</f>
        <v/>
      </c>
    </row>
    <row r="21592">
      <c r="B21592" s="9" t="n">
        <v>21590</v>
      </c>
      <c r="C21592" s="10" t="inlineStr">
        <is>
          <t>KỸ SƯ TRƯỞNG</t>
        </is>
      </c>
      <c r="D21592" s="10" t="inlineStr">
        <is>
          <t>TỔNG CÔNG TY CỔ PHẦN THƯƠNG MẠI XÂY DỰNG</t>
        </is>
      </c>
      <c r="E21592" s="10" t="inlineStr">
        <is>
          <t>Lương:20 Tr - 30 Tr VND</t>
        </is>
      </c>
      <c r="F21592" s="10" t="inlineStr">
        <is>
          <t>Hà Nội</t>
        </is>
      </c>
      <c r="G21592" s="10" t="inlineStr">
        <is>
          <t>Hôm nay</t>
        </is>
      </c>
      <c r="H21592" s="10" t="inlineStr">
        <is>
          <t>17/03/2026</t>
        </is>
      </c>
      <c r="I21592" s="10" t="inlineStr">
        <is>
          <t>17/03/2026</t>
        </is>
      </c>
      <c r="J21592" s="10" t="inlineStr">
        <is>
          <t>Bán Hàng Kỹ Thuật, CNTT - Phần cứng / Mạng</t>
        </is>
      </c>
      <c r="K21592" s="10" t="inlineStr">
        <is>
          <t>3 - 5 Năm</t>
        </is>
      </c>
      <c r="L21592" s="11">
        <f>HYPERLINK("https://careerviet.vn/vi/tim-viec-lam/ky-su-truong.35C65DAA.html","Xem chi tiết")</f>
        <v/>
      </c>
      <c r="M21592" s="10" t="n"/>
    </row>
    <row r="21593">
      <c r="B21593" s="7" t="n">
        <v>21591</v>
      </c>
      <c r="C21593" t="inlineStr">
        <is>
          <t>Nhân viên kinh doanh (Quản lý  Ninh Bình, Hưng Yên, Thanh Hoá)</t>
        </is>
      </c>
      <c r="D21593" t="inlineStr">
        <is>
          <t>Công ty cổ phần Anvy</t>
        </is>
      </c>
      <c r="E21593" t="inlineStr">
        <is>
          <t>Lương:12 Tr - 20 Tr VND</t>
        </is>
      </c>
      <c r="F21593" t="inlineStr">
        <is>
          <t>Ninh Bình</t>
        </is>
      </c>
      <c r="G21593" t="inlineStr">
        <is>
          <t>Hôm nay</t>
        </is>
      </c>
      <c r="H21593" t="inlineStr">
        <is>
          <t>17/03/2026</t>
        </is>
      </c>
      <c r="I21593" t="inlineStr">
        <is>
          <t>17/03/2026</t>
        </is>
      </c>
      <c r="J21593" t="inlineStr">
        <is>
          <t>Bán hàng / Kinh doanh, Dược phẩm/ Hóa Mỹ Phẩm, Y tế / Chăm sóc sức khỏe / Thẩm mỹ / Làm đẹp</t>
        </is>
      </c>
      <c r="K21593" t="inlineStr">
        <is>
          <t>3 - 5 Năm</t>
        </is>
      </c>
      <c r="L21593" s="8">
        <f>HYPERLINK("https://careerviet.vn/vi/tim-viec-lam/nhan-vien-kinh-doanh-quan-ly-ninh-binh-hung-yen-thanh-hoa.35C65D6E.html","Xem chi tiết")</f>
        <v/>
      </c>
    </row>
    <row r="21594">
      <c r="B21594" s="9" t="n">
        <v>21592</v>
      </c>
      <c r="C21594" s="10" t="inlineStr">
        <is>
          <t>CHUYÊN VIÊN MEDIA (Quay phim - Dựng phim - Chụp ảnh)</t>
        </is>
      </c>
      <c r="D21594" s="10" t="inlineStr">
        <is>
          <t>Công Ty Cổ Phần Tập Đoàn Bất Động Sản Thắng Lợi</t>
        </is>
      </c>
      <c r="E21594" s="10" t="inlineStr">
        <is>
          <t>Lương:Cạnh tranh</t>
        </is>
      </c>
      <c r="F21594" s="10" t="inlineStr">
        <is>
          <t>Hồ Chí Minh</t>
        </is>
      </c>
      <c r="G21594" s="10" t="inlineStr">
        <is>
          <t>Hôm nay</t>
        </is>
      </c>
      <c r="H21594" s="10" t="inlineStr">
        <is>
          <t>17/03/2026</t>
        </is>
      </c>
      <c r="I21594" s="10" t="inlineStr">
        <is>
          <t>17/03/2026</t>
        </is>
      </c>
      <c r="J21594" s="10" t="inlineStr">
        <is>
          <t>Bất động sản, Giải trí, Truyền hình / Báo chí / Biên tập</t>
        </is>
      </c>
      <c r="K21594" s="10" t="inlineStr">
        <is>
          <t>2 - 3 Năm</t>
        </is>
      </c>
      <c r="L21594" s="11">
        <f>HYPERLINK("https://careerviet.vn/vi/tim-viec-lam/chuyen-vien-media-quay-phim-dung-phim-chup-anh.35C6312C.html","Xem chi tiết")</f>
        <v/>
      </c>
      <c r="M21594" s="10" t="n"/>
    </row>
    <row r="21595">
      <c r="B21595" s="7" t="n">
        <v>21593</v>
      </c>
      <c r="C21595" t="inlineStr">
        <is>
          <t>Giám sát lễ tân/front Office Supervisor</t>
        </is>
      </c>
      <c r="D21595" t="inlineStr">
        <is>
          <t>Công Ty Cổ Phần A25 Hotel</t>
        </is>
      </c>
      <c r="E21595" t="inlineStr">
        <is>
          <t>Lương:15 Tr - 25 Tr VND</t>
        </is>
      </c>
      <c r="F21595" t="inlineStr">
        <is>
          <t>Hà Nội</t>
        </is>
      </c>
      <c r="G21595" t="inlineStr">
        <is>
          <t>Hôm nay</t>
        </is>
      </c>
      <c r="H21595" t="inlineStr">
        <is>
          <t>17/03/2026</t>
        </is>
      </c>
      <c r="I21595" t="inlineStr">
        <is>
          <t>17/03/2026</t>
        </is>
      </c>
      <c r="J21595" t="inlineStr">
        <is>
          <t>Nhà hàng / Khách sạn, Dịch vụ khách hàng</t>
        </is>
      </c>
      <c r="K21595" t="inlineStr">
        <is>
          <t>1 - 3 Năm</t>
        </is>
      </c>
      <c r="L21595" s="8">
        <f>HYPERLINK("https://careerviet.vn/vi/tim-viec-lam/giam-sat-le-tan-front-office-supervisor.35C65DAB.html","Xem chi tiết")</f>
        <v/>
      </c>
    </row>
    <row r="21596">
      <c r="B21596" s="9" t="n">
        <v>21594</v>
      </c>
      <c r="C21596" s="10" t="inlineStr">
        <is>
          <t>Product Developer – Handbags</t>
        </is>
      </c>
      <c r="D21596" s="10" t="inlineStr">
        <is>
          <t>Vascara Group</t>
        </is>
      </c>
      <c r="E21596" s="10" t="inlineStr">
        <is>
          <t>Lương:Cạnh tranh</t>
        </is>
      </c>
      <c r="F21596" s="10" t="inlineStr">
        <is>
          <t>Hồ Chí Minh</t>
        </is>
      </c>
      <c r="G21596" s="10" t="inlineStr">
        <is>
          <t>Hôm nay</t>
        </is>
      </c>
      <c r="H21596" s="10" t="inlineStr">
        <is>
          <t>17/03/2026</t>
        </is>
      </c>
      <c r="I21596" s="10" t="inlineStr">
        <is>
          <t>17/03/2026</t>
        </is>
      </c>
      <c r="J21596" s="10" t="inlineStr">
        <is>
          <t>Mỹ thuật / Nghệ thuật / Thiết kế, Dệt may / Da giày / Thời trang, Quản lý chất lượng (QA/QC)</t>
        </is>
      </c>
      <c r="K21596" s="10" t="inlineStr">
        <is>
          <t>3 - 5 Năm</t>
        </is>
      </c>
      <c r="L21596" s="11">
        <f>HYPERLINK("https://careerviet.vn/vi/tim-viec-lam/product-developer-handbags.35C63137.html","Xem chi tiết")</f>
        <v/>
      </c>
      <c r="M21596" s="10" t="n"/>
    </row>
    <row r="21597">
      <c r="B21597" s="7" t="n">
        <v>21595</v>
      </c>
      <c r="C21597" t="inlineStr">
        <is>
          <t>Huấn luyện viên cá nhân (PT)</t>
        </is>
      </c>
      <c r="D21597" t="inlineStr">
        <is>
          <t>Công Ty Cổ Phần Tập Đoàn Đầu Tư KLB</t>
        </is>
      </c>
      <c r="E21597" t="inlineStr">
        <is>
          <t>Lương:20 Tr - 50 Tr VND</t>
        </is>
      </c>
      <c r="F21597" t="inlineStr">
        <is>
          <t>Hà Nội</t>
        </is>
      </c>
      <c r="G21597" t="inlineStr">
        <is>
          <t>Hôm nay</t>
        </is>
      </c>
      <c r="H21597" t="inlineStr">
        <is>
          <t>17/03/2026</t>
        </is>
      </c>
      <c r="I21597" t="inlineStr">
        <is>
          <t>17/03/2026</t>
        </is>
      </c>
      <c r="J21597" t="inlineStr">
        <is>
          <t>Y tế / Chăm sóc sức khỏe / Thẩm mỹ / Làm đẹp, Giáo dục / Đào tạo, Ngành khác</t>
        </is>
      </c>
      <c r="K21597" t="inlineStr">
        <is>
          <t>N/A</t>
        </is>
      </c>
      <c r="L21597" s="8">
        <f>HYPERLINK("https://careerviet.vn/vi/tim-viec-lam/huan-luyen-vien-ca-nhan-pt.35C63184.html","Xem chi tiết")</f>
        <v/>
      </c>
    </row>
    <row r="21598">
      <c r="B21598" s="9" t="n">
        <v>21596</v>
      </c>
      <c r="C21598" s="10" t="inlineStr">
        <is>
          <t>Chăm Sóc Khách Hàng</t>
        </is>
      </c>
      <c r="D21598" s="10" t="inlineStr">
        <is>
          <t>CÔNG TY TNHH DỊCH VỤ RENRUI VIỆT NAM</t>
        </is>
      </c>
      <c r="E21598" s="10" t="inlineStr">
        <is>
          <t>Lương:11 Tr - 13 Tr VND</t>
        </is>
      </c>
      <c r="F21598" s="10" t="inlineStr">
        <is>
          <t>Hồ Chí Minh</t>
        </is>
      </c>
      <c r="G21598" s="10" t="inlineStr">
        <is>
          <t>Hôm nay</t>
        </is>
      </c>
      <c r="H21598" s="10" t="inlineStr">
        <is>
          <t>17/03/2026</t>
        </is>
      </c>
      <c r="I21598" s="10" t="inlineStr">
        <is>
          <t>17/03/2026</t>
        </is>
      </c>
      <c r="J21598" s="10" t="inlineStr">
        <is>
          <t>Dịch vụ khách hàng, Hành chính / Thư ký, Du lịch</t>
        </is>
      </c>
      <c r="K21598" s="10" t="inlineStr">
        <is>
          <t>Lên đến 1 Năm</t>
        </is>
      </c>
      <c r="L21598" s="11">
        <f>HYPERLINK("https://careerviet.vn/vi/tim-viec-lam/cham-soc-khach-hang.35C63218.html","Xem chi tiết")</f>
        <v/>
      </c>
      <c r="M21598" s="10" t="n"/>
    </row>
    <row r="21599">
      <c r="B21599" s="7" t="n">
        <v>21597</v>
      </c>
      <c r="C21599" t="inlineStr">
        <is>
          <t>Công nhân thao tác máy - Công nhân bảo trì</t>
        </is>
      </c>
      <c r="D21599" t="inlineStr">
        <is>
          <t>CÔNG TY TNHH ACTR</t>
        </is>
      </c>
      <c r="E21599" t="inlineStr">
        <is>
          <t>Lương:10 Tr - 15 Tr VND</t>
        </is>
      </c>
      <c r="F21599" t="inlineStr">
        <is>
          <t>Tây Ninh</t>
        </is>
      </c>
      <c r="G21599" t="inlineStr">
        <is>
          <t>Hôm nay</t>
        </is>
      </c>
      <c r="H21599" t="inlineStr">
        <is>
          <t>17/03/2026</t>
        </is>
      </c>
      <c r="I21599" t="inlineStr">
        <is>
          <t>17/03/2026</t>
        </is>
      </c>
      <c r="J21599" t="inlineStr">
        <is>
          <t>Ngành khác, Sản xuất / Vận hành sản xuất, Lao động phổ thông</t>
        </is>
      </c>
      <c r="K21599" t="inlineStr">
        <is>
          <t>N/A</t>
        </is>
      </c>
      <c r="L21599" s="8">
        <f>HYPERLINK("https://careerviet.vn/vi/tim-viec-lam/cong-nhan-thao-tac-may-cong-nhan-bao-tri.35C5F533.html","Xem chi tiết")</f>
        <v/>
      </c>
    </row>
    <row r="21600">
      <c r="B21600" s="9" t="n">
        <v>21598</v>
      </c>
      <c r="C21600" s="10" t="inlineStr">
        <is>
          <t>Giáo viên Tiền Tiểu học</t>
        </is>
      </c>
      <c r="D21600" s="10" t="inlineStr">
        <is>
          <t>HỆ THỐNG GIÁO DỤC EDUFIT</t>
        </is>
      </c>
      <c r="E21600" s="10" t="inlineStr">
        <is>
          <t>Lương:9 Tr - 13 Tr VND</t>
        </is>
      </c>
      <c r="F21600" s="10" t="inlineStr">
        <is>
          <t>Hà Nội</t>
        </is>
      </c>
      <c r="G21600" s="10" t="inlineStr">
        <is>
          <t>Hôm nay</t>
        </is>
      </c>
      <c r="H21600" s="10" t="inlineStr">
        <is>
          <t>17/03/2026</t>
        </is>
      </c>
      <c r="I21600" s="10" t="inlineStr">
        <is>
          <t>17/03/2026</t>
        </is>
      </c>
      <c r="J21600" s="10" t="inlineStr">
        <is>
          <t>Giáo dục / Đào tạo</t>
        </is>
      </c>
      <c r="K21600" s="10" t="inlineStr">
        <is>
          <t>Trên 2 Năm</t>
        </is>
      </c>
      <c r="L21600" s="11">
        <f>HYPERLINK("https://careerviet.vn/vi/tim-viec-lam/giao-vien-tien-tieu-hoc.35C631E4.html","Xem chi tiết")</f>
        <v/>
      </c>
      <c r="M21600" s="10" t="n"/>
    </row>
    <row r="21601">
      <c r="B21601" s="7" t="n">
        <v>21599</v>
      </c>
      <c r="C21601" t="inlineStr">
        <is>
          <t>NHÂN VIÊN THU MUA</t>
        </is>
      </c>
      <c r="D21601" t="inlineStr">
        <is>
          <t>Công ty TNHH Giày Apache Việt Nam</t>
        </is>
      </c>
      <c r="E21601" t="inlineStr">
        <is>
          <t>Lương:7 Tr - 9 Tr VND</t>
        </is>
      </c>
      <c r="F21601" t="inlineStr">
        <is>
          <t>Tiền Giang</t>
        </is>
      </c>
      <c r="G21601" t="inlineStr">
        <is>
          <t>Hôm nay</t>
        </is>
      </c>
      <c r="H21601" t="inlineStr">
        <is>
          <t>17/03/2026</t>
        </is>
      </c>
      <c r="I21601" t="inlineStr">
        <is>
          <t>17/03/2026</t>
        </is>
      </c>
      <c r="J21601" t="inlineStr">
        <is>
          <t>Thu mua / Vật tư</t>
        </is>
      </c>
      <c r="K21601" t="inlineStr">
        <is>
          <t>1 - 2 Năm</t>
        </is>
      </c>
      <c r="L21601" s="8">
        <f>HYPERLINK("https://careerviet.vn/vi/tim-viec-lam/nhan-vien-thu-mua.35C631F7.html","Xem chi tiết")</f>
        <v/>
      </c>
    </row>
    <row r="21602">
      <c r="B21602" s="9" t="n">
        <v>21600</v>
      </c>
      <c r="C21602" s="10" t="inlineStr">
        <is>
          <t>Kỹ sư QS</t>
        </is>
      </c>
      <c r="D21602" s="10" t="inlineStr">
        <is>
          <t>Công Ty TNHH VinaQS</t>
        </is>
      </c>
      <c r="E21602" s="10" t="inlineStr">
        <is>
          <t>Lương:Cạnh tranh</t>
        </is>
      </c>
      <c r="F21602" s="10" t="inlineStr">
        <is>
          <t>Lâm Đồng</t>
        </is>
      </c>
      <c r="G21602" s="10" t="inlineStr">
        <is>
          <t>Hôm nay</t>
        </is>
      </c>
      <c r="H21602" s="10" t="inlineStr">
        <is>
          <t>17/03/2026</t>
        </is>
      </c>
      <c r="I21602" s="10" t="inlineStr">
        <is>
          <t>17/03/2026</t>
        </is>
      </c>
      <c r="J21602" s="10" t="inlineStr">
        <is>
          <t>Xây dựng, Bất động sản</t>
        </is>
      </c>
      <c r="K21602" s="10" t="inlineStr">
        <is>
          <t>3 - 5 Năm</t>
        </is>
      </c>
      <c r="L21602" s="11">
        <f>HYPERLINK("https://careerviet.vn/vi/tim-viec-lam/ky-su-qs.35C6309A.html","Xem chi tiết")</f>
        <v/>
      </c>
      <c r="M21602" s="10" t="n"/>
    </row>
    <row r="21603">
      <c r="B21603" s="7" t="n">
        <v>21601</v>
      </c>
      <c r="C21603" t="inlineStr">
        <is>
          <t>Phó Giám đốc Chi nhánh - BVBank Bình Định - KV Miền Trung</t>
        </is>
      </c>
      <c r="D21603" t="inlineStr">
        <is>
          <t>BVBank - Ngân hàng Bản Việt</t>
        </is>
      </c>
      <c r="E21603" t="inlineStr">
        <is>
          <t>Lương:Cạnh tranh</t>
        </is>
      </c>
      <c r="F21603" t="inlineStr">
        <is>
          <t>Bình Định</t>
        </is>
      </c>
      <c r="G21603" t="inlineStr">
        <is>
          <t>Hôm nay</t>
        </is>
      </c>
      <c r="H21603" t="inlineStr">
        <is>
          <t>17/03/2026</t>
        </is>
      </c>
      <c r="I21603" t="inlineStr">
        <is>
          <t>17/03/2026</t>
        </is>
      </c>
      <c r="J21603" t="inlineStr">
        <is>
          <t>Ngân hàng, Tài chính / Đầu tư</t>
        </is>
      </c>
      <c r="K21603" t="inlineStr">
        <is>
          <t>5 - 6 Năm</t>
        </is>
      </c>
      <c r="L21603" s="8">
        <f>HYPERLINK("https://careerviet.vn/vi/tim-viec-lam/pho-giam-doc-chi-nhanh-bvbank-binh-dinh-kv-mien-trung.35C63080.html","Xem chi tiết")</f>
        <v/>
      </c>
    </row>
    <row r="21604">
      <c r="B21604" s="9" t="n">
        <v>21602</v>
      </c>
      <c r="C21604" s="10" t="inlineStr">
        <is>
          <t>[Bắc Ninh] Quản lý siêu thị - Biết Tiếng Hàn</t>
        </is>
      </c>
      <c r="D21604" s="10" t="inlineStr">
        <is>
          <t>Công Ty TNHH Thương Mại K&amp;K Toàn Cầu</t>
        </is>
      </c>
      <c r="E21604" s="10" t="inlineStr">
        <is>
          <t>Lương:9 Tr - 12 Tr VND</t>
        </is>
      </c>
      <c r="F21604" s="10" t="inlineStr">
        <is>
          <t>Bắc Ninh</t>
        </is>
      </c>
      <c r="G21604" s="10" t="inlineStr">
        <is>
          <t>Hôm nay</t>
        </is>
      </c>
      <c r="H21604" s="10" t="inlineStr">
        <is>
          <t>17/03/2026</t>
        </is>
      </c>
      <c r="I21604" s="10" t="inlineStr">
        <is>
          <t>17/03/2026</t>
        </is>
      </c>
      <c r="J21604" s="10" t="inlineStr">
        <is>
          <t>Biên phiên dịch, Quản lý điều hành, Bán lẻ / Bán sỉ</t>
        </is>
      </c>
      <c r="K21604" s="10" t="inlineStr">
        <is>
          <t>N/A</t>
        </is>
      </c>
      <c r="L21604" s="11">
        <f>HYPERLINK("https://careerviet.vn/vi/tim-viec-lam/bac-ninh-quan-ly-sieu-thi-biet-tieng-han.35C63082.html","Xem chi tiết")</f>
        <v/>
      </c>
      <c r="M21604" s="10" t="n"/>
    </row>
    <row r="21605">
      <c r="B21605" s="7" t="n">
        <v>21603</v>
      </c>
      <c r="C21605" t="inlineStr">
        <is>
          <t>[Hải Phòng] Quản lý siêu thị - Biết Tiếng Hàn</t>
        </is>
      </c>
      <c r="D21605" t="inlineStr">
        <is>
          <t>Công Ty TNHH Thương Mại K&amp;K Toàn Cầu</t>
        </is>
      </c>
      <c r="E21605" t="inlineStr">
        <is>
          <t>Lương:9 Tr - 12 Tr VND</t>
        </is>
      </c>
      <c r="F21605" t="inlineStr">
        <is>
          <t>Hải Phòng</t>
        </is>
      </c>
      <c r="G21605" t="inlineStr">
        <is>
          <t>Hôm nay</t>
        </is>
      </c>
      <c r="H21605" t="inlineStr">
        <is>
          <t>17/03/2026</t>
        </is>
      </c>
      <c r="I21605" t="inlineStr">
        <is>
          <t>17/03/2026</t>
        </is>
      </c>
      <c r="J21605" t="inlineStr">
        <is>
          <t>Biên phiên dịch, Quản lý điều hành, Bán lẻ / Bán sỉ</t>
        </is>
      </c>
      <c r="K21605" t="inlineStr">
        <is>
          <t>N/A</t>
        </is>
      </c>
      <c r="L21605" s="8">
        <f>HYPERLINK("https://careerviet.vn/vi/tim-viec-lam/hai-phong-quan-ly-sieu-thi-biet-tieng-han.35C6307E.html","Xem chi tiết")</f>
        <v/>
      </c>
    </row>
    <row r="21606">
      <c r="B21606" s="9" t="n">
        <v>21604</v>
      </c>
      <c r="C21606" s="10" t="inlineStr">
        <is>
          <t>Kỹ sư điện</t>
        </is>
      </c>
      <c r="D21606" s="10" t="inlineStr">
        <is>
          <t>CÔNG TY CỔ PHẦN XÂY DỰNG TC BÌNH ĐỊNH</t>
        </is>
      </c>
      <c r="E21606" s="10" t="inlineStr">
        <is>
          <t>Lương:Cạnh tranh</t>
        </is>
      </c>
      <c r="F21606" s="10" t="inlineStr">
        <is>
          <t>Bình Định</t>
        </is>
      </c>
      <c r="G21606" s="10" t="inlineStr">
        <is>
          <t>Hôm nay</t>
        </is>
      </c>
      <c r="H21606" s="10" t="inlineStr">
        <is>
          <t>17/03/2026</t>
        </is>
      </c>
      <c r="I21606" s="10" t="inlineStr">
        <is>
          <t>17/03/2026</t>
        </is>
      </c>
      <c r="J21606" s="10" t="inlineStr">
        <is>
          <t>Môi trường, Điện / Điện tử / Điện lạnh / Điện công nghiệp, Khoáng sản</t>
        </is>
      </c>
      <c r="K21606" s="10" t="inlineStr">
        <is>
          <t>Trên 2 Năm</t>
        </is>
      </c>
      <c r="L21606" s="11">
        <f>HYPERLINK("https://careerviet.vn/vi/tim-viec-lam/ky-su-dien.35C65BE2.html","Xem chi tiết")</f>
        <v/>
      </c>
      <c r="M21606" s="10" t="n"/>
    </row>
    <row r="21607">
      <c r="B21607" s="7" t="n">
        <v>21605</v>
      </c>
      <c r="C21607" t="inlineStr">
        <is>
          <t>Phó Giám đốc Chi nhánh - BVBank Bắc Giang - KV Miền Bắc</t>
        </is>
      </c>
      <c r="D21607" t="inlineStr">
        <is>
          <t>BVBank - Ngân hàng Bản Việt</t>
        </is>
      </c>
      <c r="E21607" t="inlineStr">
        <is>
          <t>Lương:Cạnh tranh</t>
        </is>
      </c>
      <c r="F21607" t="inlineStr">
        <is>
          <t>Bắc Giang</t>
        </is>
      </c>
      <c r="G21607" t="inlineStr">
        <is>
          <t>Hôm nay</t>
        </is>
      </c>
      <c r="H21607" t="inlineStr">
        <is>
          <t>17/03/2026</t>
        </is>
      </c>
      <c r="I21607" t="inlineStr">
        <is>
          <t>17/03/2026</t>
        </is>
      </c>
      <c r="J21607" t="inlineStr">
        <is>
          <t>Ngân hàng, Tài chính / Đầu tư</t>
        </is>
      </c>
      <c r="K21607" t="inlineStr">
        <is>
          <t>5 - 6 Năm</t>
        </is>
      </c>
      <c r="L21607" s="8">
        <f>HYPERLINK("https://careerviet.vn/vi/tim-viec-lam/pho-giam-doc-chi-nhanh-bvbank-bac-giang-kv-mien-bac.35C6308C.html","Xem chi tiết")</f>
        <v/>
      </c>
    </row>
    <row r="21608">
      <c r="B21608" s="9" t="n">
        <v>21606</v>
      </c>
      <c r="C21608" s="10" t="inlineStr">
        <is>
          <t>RF Engineer (High-Volume Hiring) - Upto 80M</t>
        </is>
      </c>
      <c r="D21608" s="10" t="inlineStr">
        <is>
          <t>CÔNG TY TNHH CÔNG NGHỆ HUAWEI VIỆT NAM</t>
        </is>
      </c>
      <c r="E21608" s="10" t="inlineStr">
        <is>
          <t>Lương:Lên đến 80 Tr VND</t>
        </is>
      </c>
      <c r="F21608" s="10" t="inlineStr">
        <is>
          <t>Hà NộiHồ Chí Minh</t>
        </is>
      </c>
      <c r="G21608" s="10" t="inlineStr">
        <is>
          <t>Hôm nay</t>
        </is>
      </c>
      <c r="H21608" s="10" t="inlineStr">
        <is>
          <t>17/03/2026</t>
        </is>
      </c>
      <c r="I21608" s="10" t="inlineStr">
        <is>
          <t>17/03/2026</t>
        </is>
      </c>
      <c r="J21608" s="10" t="inlineStr">
        <is>
          <t>Bưu chính viễn thông, CNTT - Phần cứng / Mạng</t>
        </is>
      </c>
      <c r="K21608" s="10" t="inlineStr">
        <is>
          <t>Trên 3 Năm</t>
        </is>
      </c>
      <c r="L21608" s="11">
        <f>HYPERLINK("https://careerviet.vn/vi/tim-viec-lam/rf-engineer-high-volume-hiring-upto-80m.35C65DCF.html","Xem chi tiết")</f>
        <v/>
      </c>
      <c r="M21608" s="10" t="n"/>
    </row>
    <row r="21609">
      <c r="B21609" s="7" t="n">
        <v>21607</v>
      </c>
      <c r="C21609" t="inlineStr">
        <is>
          <t>Nhân viên Kinh doanh Ninh Bình</t>
        </is>
      </c>
      <c r="D21609" t="inlineStr">
        <is>
          <t>Công ty cổ phần văn phòng phẩm Hồng Hà</t>
        </is>
      </c>
      <c r="E21609" t="inlineStr">
        <is>
          <t>Lương:8 Tr - 15 Tr VND</t>
        </is>
      </c>
      <c r="F21609" t="inlineStr">
        <is>
          <t>Hà NamNinh Bình</t>
        </is>
      </c>
      <c r="G21609" t="inlineStr">
        <is>
          <t>Hôm nay</t>
        </is>
      </c>
      <c r="H21609" t="inlineStr">
        <is>
          <t>17/03/2026</t>
        </is>
      </c>
      <c r="I21609" t="inlineStr">
        <is>
          <t>17/03/2026</t>
        </is>
      </c>
      <c r="J21609" t="inlineStr">
        <is>
          <t>Tiếp thị / Marketing, Bán hàng / Kinh doanh, Mới tốt nghiệp / Thực tập</t>
        </is>
      </c>
      <c r="K21609" t="inlineStr">
        <is>
          <t>N/A</t>
        </is>
      </c>
      <c r="L21609" s="8">
        <f>HYPERLINK("https://careerviet.vn/vi/tim-viec-lam/nhan-vien-kinh-doanh-ninh-binh.35C65D83.html","Xem chi tiết")</f>
        <v/>
      </c>
    </row>
    <row r="21610">
      <c r="B21610" s="9" t="n">
        <v>21608</v>
      </c>
      <c r="C21610" s="10" t="inlineStr">
        <is>
          <t>Nhân Viên Hành Chính - Lễ Tân Văn Phòng Làm Việc Tại TP Bắc Giang</t>
        </is>
      </c>
      <c r="D21610" s="10" t="inlineStr">
        <is>
          <t>CÔNG TY CỔ PHẦN ĐẦU TƯ THƯƠNG MẠI TÂY VIÊN HÀ NỘI</t>
        </is>
      </c>
      <c r="E21610" s="10" t="inlineStr">
        <is>
          <t>Lương:8 Tr - 8,5 Tr VND</t>
        </is>
      </c>
      <c r="F21610" s="10" t="inlineStr">
        <is>
          <t>Bắc Giang</t>
        </is>
      </c>
      <c r="G21610" s="10" t="inlineStr">
        <is>
          <t>Hôm nay</t>
        </is>
      </c>
      <c r="H21610" s="10" t="inlineStr">
        <is>
          <t>17/03/2026</t>
        </is>
      </c>
      <c r="I21610" s="10" t="inlineStr">
        <is>
          <t>17/03/2026</t>
        </is>
      </c>
      <c r="J21610" s="10" t="inlineStr">
        <is>
          <t>Hành chính / Thư ký</t>
        </is>
      </c>
      <c r="K21610" s="10" t="inlineStr">
        <is>
          <t>1 - 2 Năm</t>
        </is>
      </c>
      <c r="L21610" s="11">
        <f>HYPERLINK("https://careerviet.vn/vi/tim-viec-lam/nhan-vien-hanh-chinh-le-tan-van-phong-lam-viec-tai-tp-bac-giang.35C630A4.html","Xem chi tiết")</f>
        <v/>
      </c>
      <c r="M21610" s="10" t="n"/>
    </row>
    <row r="21611">
      <c r="B21611" s="7" t="n">
        <v>21609</v>
      </c>
      <c r="C21611" t="inlineStr">
        <is>
          <t>Nhân Viên Phụ Kho</t>
        </is>
      </c>
      <c r="D21611" t="inlineStr">
        <is>
          <t>DAI HOANG KIM GROUP</t>
        </is>
      </c>
      <c r="E21611" t="inlineStr">
        <is>
          <t>Lương:Cạnh tranh</t>
        </is>
      </c>
      <c r="F21611" t="inlineStr">
        <is>
          <t>Bình Phước</t>
        </is>
      </c>
      <c r="G21611" t="inlineStr">
        <is>
          <t>Hôm nay</t>
        </is>
      </c>
      <c r="H21611" t="inlineStr">
        <is>
          <t>17/03/2026</t>
        </is>
      </c>
      <c r="I21611" t="inlineStr">
        <is>
          <t>17/03/2026</t>
        </is>
      </c>
      <c r="J21611" t="inlineStr">
        <is>
          <t>Vận chuyển / Giao nhận / Kho vận, Hành chính / Thư ký</t>
        </is>
      </c>
      <c r="K21611" t="inlineStr">
        <is>
          <t>N/A</t>
        </is>
      </c>
      <c r="L21611" s="8">
        <f>HYPERLINK("https://careerviet.vn/vi/tim-viec-lam/nhan-vien-phu-kho.35C65DB0.html","Xem chi tiết")</f>
        <v/>
      </c>
    </row>
    <row r="21612">
      <c r="B21612" s="9" t="n">
        <v>21610</v>
      </c>
      <c r="C21612" s="10" t="inlineStr">
        <is>
          <t>Dược sĩ Bán hàng - Quận 9</t>
        </is>
      </c>
      <c r="D21612" s="10" t="inlineStr">
        <is>
          <t>Công Ty CP Dược Phẩm Pharmacity</t>
        </is>
      </c>
      <c r="E21612" s="10" t="inlineStr">
        <is>
          <t>Lương:8 Tr - 12 Tr VND</t>
        </is>
      </c>
      <c r="F21612" s="10" t="inlineStr">
        <is>
          <t>Hồ Chí Minh</t>
        </is>
      </c>
      <c r="G21612" s="10" t="inlineStr">
        <is>
          <t>Hôm nay</t>
        </is>
      </c>
      <c r="H21612" s="10" t="inlineStr">
        <is>
          <t>17/03/2026</t>
        </is>
      </c>
      <c r="I21612" s="10" t="inlineStr">
        <is>
          <t>17/03/2026</t>
        </is>
      </c>
      <c r="J21612" s="10" t="inlineStr">
        <is>
          <t>Dược phẩm/ Hóa Mỹ Phẩm</t>
        </is>
      </c>
      <c r="K21612" s="10" t="inlineStr">
        <is>
          <t>Chưa có kinh nghiệm</t>
        </is>
      </c>
      <c r="L21612" s="11">
        <f>HYPERLINK("https://careerviet.vn/vi/tim-viec-lam/duoc-si-ban-hang-quan-9.35C65CB9.html","Xem chi tiết")</f>
        <v/>
      </c>
      <c r="M21612" s="10" t="n"/>
    </row>
    <row r="21613">
      <c r="B21613" s="7" t="n">
        <v>21611</v>
      </c>
      <c r="C21613" t="inlineStr">
        <is>
          <t>CHUYÊN VIÊN KINH DOANH (Q7, HCM)</t>
        </is>
      </c>
      <c r="D21613" t="inlineStr">
        <is>
          <t>CÔNG TY CỔ PHẦN TMĐT XUẤT - NHẬP KHẨU TRÁI CÂY CHÁNH THU</t>
        </is>
      </c>
      <c r="E21613" t="inlineStr">
        <is>
          <t>Lương:Cạnh tranh</t>
        </is>
      </c>
      <c r="F21613" t="inlineStr">
        <is>
          <t>Hồ Chí Minh</t>
        </is>
      </c>
      <c r="G21613" t="inlineStr">
        <is>
          <t>Hôm nay</t>
        </is>
      </c>
      <c r="H21613" t="inlineStr">
        <is>
          <t>17/03/2026</t>
        </is>
      </c>
      <c r="I21613" t="inlineStr">
        <is>
          <t>17/03/2026</t>
        </is>
      </c>
      <c r="J21613" t="inlineStr">
        <is>
          <t>Xuất nhập khẩu, Sản xuất / Vận hành sản xuất, Bán hàng / Kinh doanh</t>
        </is>
      </c>
      <c r="K21613" t="inlineStr">
        <is>
          <t>2 - 3 Năm</t>
        </is>
      </c>
      <c r="L21613" s="8">
        <f>HYPERLINK("https://careerviet.vn/vi/tim-viec-lam/chuyen-vien-kinh-doanh-q7-hcm.35C6581C.html","Xem chi tiết")</f>
        <v/>
      </c>
    </row>
    <row r="21614">
      <c r="B21614" s="9" t="n">
        <v>21612</v>
      </c>
      <c r="C21614" s="10" t="inlineStr">
        <is>
          <t>Nghiên Cứu Viên - Phòng Nghiên Cứu Phát Triển</t>
        </is>
      </c>
      <c r="D21614" s="10" t="inlineStr">
        <is>
          <t>CÔNG TY CỔ PHẦN DƯỢC PHẨM YÊN BÁI</t>
        </is>
      </c>
      <c r="E21614" s="10" t="inlineStr">
        <is>
          <t>Lương:7 Tr - 15 Tr VND</t>
        </is>
      </c>
      <c r="F21614" s="10" t="inlineStr">
        <is>
          <t>Yên BáiThái BìnhHà Nội</t>
        </is>
      </c>
      <c r="G21614" s="10" t="inlineStr">
        <is>
          <t>Hôm nay</t>
        </is>
      </c>
      <c r="H21614" s="10" t="inlineStr">
        <is>
          <t>17/03/2026</t>
        </is>
      </c>
      <c r="I21614" s="10" t="inlineStr">
        <is>
          <t>17/03/2026</t>
        </is>
      </c>
      <c r="J21614" s="10" t="inlineStr">
        <is>
          <t>Quản lý chất lượng (QA/QC), Dược phẩm/ Hóa Mỹ Phẩm, Sản xuất / Vận hành sản xuất</t>
        </is>
      </c>
      <c r="K21614" s="10" t="inlineStr">
        <is>
          <t>N/A</t>
        </is>
      </c>
      <c r="L21614" s="11">
        <f>HYPERLINK("https://careerviet.vn/vi/tim-viec-lam/nghien-cuu-vien-phong-nghien-cuu-phat-trien.35C63136.html","Xem chi tiết")</f>
        <v/>
      </c>
      <c r="M21614" s="10" t="n"/>
    </row>
    <row r="21615">
      <c r="B21615" s="7" t="n">
        <v>21613</v>
      </c>
      <c r="C21615" t="inlineStr">
        <is>
          <t>Kế Toán Tổng Hợp</t>
        </is>
      </c>
      <c r="D21615" t="inlineStr">
        <is>
          <t>CÔNG TY TNHH VIỆT NAM YAMAZAKI</t>
        </is>
      </c>
      <c r="E21615" t="inlineStr">
        <is>
          <t>Lương:15 Tr - 20 Tr VND</t>
        </is>
      </c>
      <c r="F21615" t="inlineStr">
        <is>
          <t>Hồ Chí Minh</t>
        </is>
      </c>
      <c r="G21615" t="inlineStr">
        <is>
          <t>Hôm nay</t>
        </is>
      </c>
      <c r="H21615" t="inlineStr">
        <is>
          <t>17/03/2026</t>
        </is>
      </c>
      <c r="I21615" t="inlineStr">
        <is>
          <t>17/03/2026</t>
        </is>
      </c>
      <c r="J21615" t="inlineStr">
        <is>
          <t>Hành chính / Thư ký, Kế toán / Kiểm toán, Tài chính / Đầu tư</t>
        </is>
      </c>
      <c r="K21615" t="inlineStr">
        <is>
          <t>1 - 2 Năm</t>
        </is>
      </c>
      <c r="L21615" s="8">
        <f>HYPERLINK("https://careerviet.vn/vi/tim-viec-lam/ke-toan-tong-hop.35C65C86.html","Xem chi tiết")</f>
        <v/>
      </c>
    </row>
    <row r="21616">
      <c r="B21616" s="9" t="n">
        <v>21614</v>
      </c>
      <c r="C21616" s="10" t="inlineStr">
        <is>
          <t>Kỹ Thuật Viên Triển Khai Sản Xuất (Túi)</t>
        </is>
      </c>
      <c r="D21616" s="10" t="inlineStr">
        <is>
          <t>Headhunter HRchannels Group</t>
        </is>
      </c>
      <c r="E21616" s="10" t="inlineStr">
        <is>
          <t>Lương:12 Tr - 18 Tr VND</t>
        </is>
      </c>
      <c r="F21616" s="10" t="inlineStr">
        <is>
          <t>Đồng NaiHồ Chí MinhBình Dương</t>
        </is>
      </c>
      <c r="G21616" s="10" t="inlineStr">
        <is>
          <t>Hôm nay</t>
        </is>
      </c>
      <c r="H21616" s="10" t="inlineStr">
        <is>
          <t>17/03/2026</t>
        </is>
      </c>
      <c r="I21616" s="10" t="inlineStr">
        <is>
          <t>17/03/2026</t>
        </is>
      </c>
      <c r="J21616" s="10" t="inlineStr">
        <is>
          <t>Dệt may / Da giày / Thời trang</t>
        </is>
      </c>
      <c r="K21616" s="10" t="inlineStr">
        <is>
          <t>1 - 2 Năm</t>
        </is>
      </c>
      <c r="L21616" s="11">
        <f>HYPERLINK("https://careerviet.vn/vi/tim-viec-lam/ky-thuat-vien-trien-khai-san-xuat-tui.35C65DC1.html","Xem chi tiết")</f>
        <v/>
      </c>
      <c r="M21616" s="10" t="n"/>
    </row>
    <row r="21617">
      <c r="B21617" s="7" t="n">
        <v>21615</v>
      </c>
      <c r="C21617" t="inlineStr">
        <is>
          <t>Chuyên viên phát triển kinh doanh thiết bị đóng cắt /Direct Sales</t>
        </is>
      </c>
      <c r="D21617" t="inlineStr">
        <is>
          <t>NANOCO GROUP</t>
        </is>
      </c>
      <c r="E21617" t="inlineStr">
        <is>
          <t>Lương:Cạnh tranh</t>
        </is>
      </c>
      <c r="F21617" t="inlineStr">
        <is>
          <t>Hồ Chí Minh</t>
        </is>
      </c>
      <c r="G21617" t="inlineStr">
        <is>
          <t>Hôm nay</t>
        </is>
      </c>
      <c r="H21617" t="inlineStr">
        <is>
          <t>17/03/2026</t>
        </is>
      </c>
      <c r="I21617" t="inlineStr">
        <is>
          <t>17/03/2026</t>
        </is>
      </c>
      <c r="J21617" t="inlineStr">
        <is>
          <t>Bán lẻ / Bán sỉ, Bán hàng / Kinh doanh, Bán Hàng Kỹ Thuật</t>
        </is>
      </c>
      <c r="K21617" t="inlineStr">
        <is>
          <t>1 - 10 Năm</t>
        </is>
      </c>
      <c r="L21617" s="8">
        <f>HYPERLINK("https://careerviet.vn/vi/tim-viec-lam/chuyen-vien-phat-trien-kinh-doanh-thiet-bi-dong-cat-direct-sales.35C63196.html","Xem chi tiết")</f>
        <v/>
      </c>
    </row>
    <row r="21618">
      <c r="B21618" s="9" t="n">
        <v>21616</v>
      </c>
      <c r="C21618" s="10" t="inlineStr">
        <is>
          <t>Chuyên viên pháp chế</t>
        </is>
      </c>
      <c r="D21618" s="10" t="inlineStr">
        <is>
          <t>Công Ty Cổ Phần Thiết Kế Và Xây Dựng Giza Việt Nam</t>
        </is>
      </c>
      <c r="E21618" s="10" t="inlineStr">
        <is>
          <t>Lương:Cạnh tranh</t>
        </is>
      </c>
      <c r="F21618" s="10" t="inlineStr">
        <is>
          <t>Hà Nội</t>
        </is>
      </c>
      <c r="G21618" s="10" t="inlineStr">
        <is>
          <t>Hôm nay</t>
        </is>
      </c>
      <c r="H21618" s="10" t="inlineStr">
        <is>
          <t>17/03/2026</t>
        </is>
      </c>
      <c r="I21618" s="10" t="inlineStr">
        <is>
          <t>17/03/2026</t>
        </is>
      </c>
      <c r="J21618" s="10" t="inlineStr">
        <is>
          <t>Luật / Pháp lý</t>
        </is>
      </c>
      <c r="K21618" s="10" t="inlineStr">
        <is>
          <t>3 - 5 Năm</t>
        </is>
      </c>
      <c r="L21618" s="11">
        <f>HYPERLINK("https://careerviet.vn/vi/tim-viec-lam/chuyen-vien-phap-che.35C63026.html","Xem chi tiết")</f>
        <v/>
      </c>
      <c r="M21618" s="10" t="n"/>
    </row>
    <row r="21619">
      <c r="B21619" s="7" t="n">
        <v>21617</v>
      </c>
      <c r="C21619" t="inlineStr">
        <is>
          <t>[Đà Nẵng] Giao dịch viên</t>
        </is>
      </c>
      <c r="D21619" t="inlineStr">
        <is>
          <t>Ngân hàng TMCP Đại Chúng Việt Nam - PVcomBank</t>
        </is>
      </c>
      <c r="E21619" t="inlineStr">
        <is>
          <t>Lương:Cạnh tranh</t>
        </is>
      </c>
      <c r="F21619" t="inlineStr">
        <is>
          <t>Đà NẵngKV Nam Trung Bộ</t>
        </is>
      </c>
      <c r="G21619" t="inlineStr">
        <is>
          <t>Hôm nay</t>
        </is>
      </c>
      <c r="H21619" t="inlineStr">
        <is>
          <t>17/03/2026</t>
        </is>
      </c>
      <c r="I21619" t="inlineStr">
        <is>
          <t>17/03/2026</t>
        </is>
      </c>
      <c r="J21619" t="inlineStr">
        <is>
          <t>Bán hàng / Kinh doanh, Ngân hàng, Tài chính / Đầu tư</t>
        </is>
      </c>
      <c r="K21619" t="inlineStr">
        <is>
          <t>Trên 1 Năm</t>
        </is>
      </c>
      <c r="L21619" s="8">
        <f>HYPERLINK("https://careerviet.vn/vi/tim-viec-lam/da-nang-giao-dich-vien.35C65D1F.html","Xem chi tiết")</f>
        <v/>
      </c>
    </row>
    <row r="21620">
      <c r="B21620" s="9" t="n">
        <v>21618</v>
      </c>
      <c r="C21620" s="10" t="inlineStr">
        <is>
          <t>Bác Sĩ Phẫu Thuật Thẩm Mỹ  (Hà Nội)</t>
        </is>
      </c>
      <c r="D21620" s="10" t="inlineStr">
        <is>
          <t>Công ty cổ phần HaMo Holdings</t>
        </is>
      </c>
      <c r="E21620" s="10" t="inlineStr">
        <is>
          <t>Lương:Cạnh tranh</t>
        </is>
      </c>
      <c r="F21620" s="10" t="inlineStr">
        <is>
          <t>Hà Nội</t>
        </is>
      </c>
      <c r="G21620" s="10" t="inlineStr">
        <is>
          <t>Hôm nay</t>
        </is>
      </c>
      <c r="H21620" s="10" t="inlineStr">
        <is>
          <t>17/03/2026</t>
        </is>
      </c>
      <c r="I21620" s="10" t="inlineStr">
        <is>
          <t>17/03/2026</t>
        </is>
      </c>
      <c r="J21620" s="10" t="inlineStr">
        <is>
          <t>Y tế / Chăm sóc sức khỏe / Thẩm mỹ / Làm đẹp, Tư vấn, Dịch vụ khách hàng</t>
        </is>
      </c>
      <c r="K21620" s="10" t="inlineStr">
        <is>
          <t>3 - 5 Năm</t>
        </is>
      </c>
      <c r="L21620" s="11">
        <f>HYPERLINK("https://careerviet.vn/vi/tim-viec-lam/bac-si-phau-thuat-tham-my-ha-noi.35C63175.html","Xem chi tiết")</f>
        <v/>
      </c>
      <c r="M21620" s="10" t="n"/>
    </row>
    <row r="21621">
      <c r="B21621" s="7" t="n">
        <v>21619</v>
      </c>
      <c r="C21621" t="inlineStr">
        <is>
          <t>Kỹ sư Thiết bị y tế (Không yêu cầu kinh nghiệm)</t>
        </is>
      </c>
      <c r="D21621" t="inlineStr">
        <is>
          <t>Công ty TNHH Thiết bị y tế Phương Đông</t>
        </is>
      </c>
      <c r="E21621" t="inlineStr">
        <is>
          <t>Lương:Cạnh tranh</t>
        </is>
      </c>
      <c r="F21621" t="inlineStr">
        <is>
          <t>Hà Nội</t>
        </is>
      </c>
      <c r="G21621" t="inlineStr">
        <is>
          <t>Hôm nay</t>
        </is>
      </c>
      <c r="H21621" t="inlineStr">
        <is>
          <t>17/03/2026</t>
        </is>
      </c>
      <c r="I21621" t="inlineStr">
        <is>
          <t>17/03/2026</t>
        </is>
      </c>
      <c r="J21621" t="inlineStr">
        <is>
          <t>Bảo trì / Sửa chữa, Ngân hàng, Mới tốt nghiệp / Thực tập</t>
        </is>
      </c>
      <c r="K21621" t="inlineStr">
        <is>
          <t>N/A</t>
        </is>
      </c>
      <c r="L21621" s="8">
        <f>HYPERLINK("https://careerviet.vn/vi/tim-viec-lam/ky-su-thiet-bi-y-te-khong-yeu-cau-kinh-nghiem.35C65D28.html","Xem chi tiết")</f>
        <v/>
      </c>
    </row>
    <row r="21622">
      <c r="B21622" s="9" t="n">
        <v>21620</v>
      </c>
      <c r="C21622" s="10" t="inlineStr">
        <is>
          <t>Chuyên viên kinh doanh dự án</t>
        </is>
      </c>
      <c r="D21622" s="10" t="inlineStr">
        <is>
          <t>Công Ty Cổ Phần Thương Mại Aqua Stone</t>
        </is>
      </c>
      <c r="E21622" s="10" t="inlineStr">
        <is>
          <t>Lương:12 Tr - 15 Tr VND</t>
        </is>
      </c>
      <c r="F21622" s="10" t="inlineStr">
        <is>
          <t>Hồ Chí Minh</t>
        </is>
      </c>
      <c r="G21622" s="10" t="inlineStr">
        <is>
          <t>Hôm nay</t>
        </is>
      </c>
      <c r="H21622" s="10" t="inlineStr">
        <is>
          <t>17/03/2026</t>
        </is>
      </c>
      <c r="I21622" s="10" t="inlineStr">
        <is>
          <t>17/03/2026</t>
        </is>
      </c>
      <c r="J21622" s="10" t="inlineStr">
        <is>
          <t>Bán hàng / Kinh doanh, Xây dựng, Nội ngoại thất</t>
        </is>
      </c>
      <c r="K21622" s="10" t="inlineStr">
        <is>
          <t>1 - 2 Năm</t>
        </is>
      </c>
      <c r="L21622" s="11">
        <f>HYPERLINK("https://careerviet.vn/vi/tim-viec-lam/chuyen-vien-kinh-doanh-du-an.35C63060.html","Xem chi tiết")</f>
        <v/>
      </c>
      <c r="M21622" s="10" t="n"/>
    </row>
    <row r="21623">
      <c r="B21623" s="7" t="n">
        <v>21621</v>
      </c>
      <c r="C21623" t="inlineStr">
        <is>
          <t>Chuyên viên phân tích dữ liệu &amp; điều phối hàng hóa (ngành bán lẻ)</t>
        </is>
      </c>
      <c r="D21623" t="inlineStr">
        <is>
          <t>Công Ty TNHH Thương Mại K&amp;K Toàn Cầu</t>
        </is>
      </c>
      <c r="E21623" t="inlineStr">
        <is>
          <t>Lương:15 Tr - 25 Tr VND</t>
        </is>
      </c>
      <c r="F21623" t="inlineStr">
        <is>
          <t>Hà Nội</t>
        </is>
      </c>
      <c r="G21623" t="inlineStr">
        <is>
          <t>Hôm nay</t>
        </is>
      </c>
      <c r="H21623" t="inlineStr">
        <is>
          <t>17/03/2026</t>
        </is>
      </c>
      <c r="I21623" t="inlineStr">
        <is>
          <t>17/03/2026</t>
        </is>
      </c>
      <c r="J21623" t="inlineStr">
        <is>
          <t>Bán lẻ / Bán sỉ, Bán hàng / Kinh doanh</t>
        </is>
      </c>
      <c r="K21623" t="inlineStr">
        <is>
          <t>2 - 3 Năm</t>
        </is>
      </c>
      <c r="L21623" s="8">
        <f>HYPERLINK("https://careerviet.vn/vi/tim-viec-lam/chuyen-vien-phan-tich-du-lieu-dieu-phoi-hang-hoa-nganh-ban-le.35C6301B.html","Xem chi tiết")</f>
        <v/>
      </c>
    </row>
    <row r="21624">
      <c r="B21624" s="9" t="n">
        <v>21622</v>
      </c>
      <c r="C21624" s="10" t="inlineStr">
        <is>
          <t>Dược sĩ Bán hàng - Quận 2</t>
        </is>
      </c>
      <c r="D21624" s="10" t="inlineStr">
        <is>
          <t>Công Ty CP Dược Phẩm Pharmacity</t>
        </is>
      </c>
      <c r="E21624" s="10" t="inlineStr">
        <is>
          <t>Lương:8 Tr - 12 Tr VND</t>
        </is>
      </c>
      <c r="F21624" s="10" t="inlineStr">
        <is>
          <t>Hồ Chí Minh</t>
        </is>
      </c>
      <c r="G21624" s="10" t="inlineStr">
        <is>
          <t>Hôm nay</t>
        </is>
      </c>
      <c r="H21624" s="10" t="inlineStr">
        <is>
          <t>17/03/2026</t>
        </is>
      </c>
      <c r="I21624" s="10" t="inlineStr">
        <is>
          <t>17/03/2026</t>
        </is>
      </c>
      <c r="J21624" s="10" t="inlineStr">
        <is>
          <t>Dược phẩm/ Hóa Mỹ Phẩm</t>
        </is>
      </c>
      <c r="K21624" s="10" t="inlineStr">
        <is>
          <t>Chưa có kinh nghiệm</t>
        </is>
      </c>
      <c r="L21624" s="11">
        <f>HYPERLINK("https://careerviet.vn/vi/tim-viec-lam/duoc-si-ban-hang-quan-2.35C65CB5.html","Xem chi tiết")</f>
        <v/>
      </c>
      <c r="M21624" s="10" t="n"/>
    </row>
    <row r="21625">
      <c r="B21625" s="7" t="n">
        <v>21623</v>
      </c>
      <c r="C21625" t="inlineStr">
        <is>
          <t>Quality Vice Manager/Supervisor/ Engineer (Medical devices/Pharma)</t>
        </is>
      </c>
      <c r="D21625" t="inlineStr">
        <is>
          <t>Headhunter HRchannels Group</t>
        </is>
      </c>
      <c r="E21625" t="inlineStr">
        <is>
          <t>Lương:17 Tr - 45 Tr VND</t>
        </is>
      </c>
      <c r="F21625" t="inlineStr">
        <is>
          <t>Hải PhòngHải DươngBắc Ninh</t>
        </is>
      </c>
      <c r="G21625" t="inlineStr">
        <is>
          <t>Hôm nay</t>
        </is>
      </c>
      <c r="H21625" t="inlineStr">
        <is>
          <t>17/03/2026</t>
        </is>
      </c>
      <c r="I21625" t="inlineStr">
        <is>
          <t>17/03/2026</t>
        </is>
      </c>
      <c r="J21625" t="inlineStr">
        <is>
          <t>Dược phẩm/ Hóa Mỹ Phẩm, Y tế / Chăm sóc sức khỏe / Thẩm mỹ / Làm đẹp, Quản lý chất lượng (QA/QC)</t>
        </is>
      </c>
      <c r="K21625" t="inlineStr">
        <is>
          <t>2 - 5 Năm</t>
        </is>
      </c>
      <c r="L21625" s="8">
        <f>HYPERLINK("https://careerviet.vn/vi/tim-viec-lam/quality-vice-manager-supervisor-engineer-medical-devices-pharma.35C65DD1.html","Xem chi tiết")</f>
        <v/>
      </c>
    </row>
    <row r="21626">
      <c r="B21626" s="9" t="n">
        <v>21624</v>
      </c>
      <c r="C21626" s="10" t="inlineStr">
        <is>
          <t>Nhân viên Hỗ trợ Thanh Toán khoản vay hiện trường</t>
        </is>
      </c>
      <c r="D21626" s="10" t="inlineStr">
        <is>
          <t>LOTTE FINANCE VIETNAM</t>
        </is>
      </c>
      <c r="E21626" s="10" t="inlineStr">
        <is>
          <t>Lương:7 Tr - 15 Tr VND</t>
        </is>
      </c>
      <c r="F21626" s="10" t="inlineStr">
        <is>
          <t>Hồ Chí MinhTây NinhĐồng Nai</t>
        </is>
      </c>
      <c r="G21626" s="10" t="inlineStr">
        <is>
          <t>Hôm nay</t>
        </is>
      </c>
      <c r="H21626" s="10" t="inlineStr">
        <is>
          <t>17/03/2026</t>
        </is>
      </c>
      <c r="I21626" s="10" t="inlineStr">
        <is>
          <t>17/03/2026</t>
        </is>
      </c>
      <c r="J21626" s="10" t="inlineStr">
        <is>
          <t>Luật / Pháp lý, Bán hàng / Kinh doanh, Bảo hiểm</t>
        </is>
      </c>
      <c r="K21626" s="10" t="inlineStr">
        <is>
          <t>1 - 3 Năm</t>
        </is>
      </c>
      <c r="L21626" s="11">
        <f>HYPERLINK("https://careerviet.vn/vi/tim-viec-lam/nhan-vien-ho-tro-thanh-toan-khoan-vay-hien-truong.35C630C8.html","Xem chi tiết")</f>
        <v/>
      </c>
      <c r="M21626" s="10" t="n"/>
    </row>
    <row r="21627">
      <c r="B21627" s="7" t="n">
        <v>21625</v>
      </c>
      <c r="C21627" t="inlineStr">
        <is>
          <t>KẾ TOÁN VIÊN</t>
        </is>
      </c>
      <c r="D21627" t="inlineStr">
        <is>
          <t>HMK Eyewear</t>
        </is>
      </c>
      <c r="E21627" t="inlineStr">
        <is>
          <t>Lương:Cạnh tranh</t>
        </is>
      </c>
      <c r="F21627" t="inlineStr">
        <is>
          <t>Hồ Chí Minh</t>
        </is>
      </c>
      <c r="G21627" t="inlineStr">
        <is>
          <t>Hôm nay</t>
        </is>
      </c>
      <c r="H21627" t="inlineStr">
        <is>
          <t>17/03/2026</t>
        </is>
      </c>
      <c r="I21627" t="inlineStr">
        <is>
          <t>17/03/2026</t>
        </is>
      </c>
      <c r="J21627" t="inlineStr">
        <is>
          <t>Bán hàng / Kinh doanh, Kế toán / Kiểm toán, Tài chính / Đầu tư</t>
        </is>
      </c>
      <c r="K21627" t="inlineStr">
        <is>
          <t>1 - 2 Năm</t>
        </is>
      </c>
      <c r="L21627" s="8">
        <f>HYPERLINK("https://careerviet.vn/vi/tim-viec-lam/ke-toan-vien.35C63106.html","Xem chi tiết")</f>
        <v/>
      </c>
    </row>
    <row r="21628">
      <c r="B21628" s="9" t="n">
        <v>21626</v>
      </c>
      <c r="C21628" s="10" t="inlineStr">
        <is>
          <t>Chuyên viên Chăm Sóc Khách Hàng (Sales Admin)</t>
        </is>
      </c>
      <c r="D21628" s="10" t="inlineStr">
        <is>
          <t>Công Ty Cổ Phần Tập Đoàn Đầu Tư Địa Ốc No Va</t>
        </is>
      </c>
      <c r="E21628" s="10" t="inlineStr">
        <is>
          <t>Lương:10 Tr - 20 Tr VND</t>
        </is>
      </c>
      <c r="F21628" s="10" t="inlineStr">
        <is>
          <t>Hồ Chí Minh</t>
        </is>
      </c>
      <c r="G21628" s="10" t="inlineStr">
        <is>
          <t>Hôm nay</t>
        </is>
      </c>
      <c r="H21628" s="10" t="inlineStr">
        <is>
          <t>17/03/2026</t>
        </is>
      </c>
      <c r="I21628" s="10" t="inlineStr">
        <is>
          <t>17/03/2026</t>
        </is>
      </c>
      <c r="J21628" s="10" t="inlineStr">
        <is>
          <t>Bất động sản</t>
        </is>
      </c>
      <c r="K21628" s="10" t="inlineStr">
        <is>
          <t>Trên 2 Năm</t>
        </is>
      </c>
      <c r="L21628" s="11">
        <f>HYPERLINK("https://careerviet.vn/vi/tim-viec-lam/chuyen-vien-cham-soc-khach-hang-sales-admin.35C63127.html","Xem chi tiết")</f>
        <v/>
      </c>
      <c r="M21628" s="10" t="n"/>
    </row>
    <row r="21629">
      <c r="B21629" s="7" t="n">
        <v>21627</v>
      </c>
      <c r="C21629" t="inlineStr">
        <is>
          <t>Kế Toán Công Trường</t>
        </is>
      </c>
      <c r="D21629" t="inlineStr">
        <is>
          <t>CÔNG TY CỔ PHẦN KỸ THUẬT XÂY DỰNG AN TÍN</t>
        </is>
      </c>
      <c r="E21629" t="inlineStr">
        <is>
          <t>Lương:9 Tr - 12 Tr VND</t>
        </is>
      </c>
      <c r="F21629" t="inlineStr">
        <is>
          <t>Nghệ An</t>
        </is>
      </c>
      <c r="G21629" t="inlineStr">
        <is>
          <t>Hôm nay</t>
        </is>
      </c>
      <c r="H21629" t="inlineStr">
        <is>
          <t>17/03/2026</t>
        </is>
      </c>
      <c r="I21629" t="inlineStr">
        <is>
          <t>17/03/2026</t>
        </is>
      </c>
      <c r="J21629" t="inlineStr">
        <is>
          <t>Xây dựng, Kế toán / Kiểm toán, Tài chính / Đầu tư</t>
        </is>
      </c>
      <c r="K21629" t="inlineStr">
        <is>
          <t>1 - 2 Năm</t>
        </is>
      </c>
      <c r="L21629" s="8">
        <f>HYPERLINK("https://careerviet.vn/vi/tim-viec-lam/ke-toan-cong-truong.35C65CC0.html","Xem chi tiết")</f>
        <v/>
      </c>
    </row>
    <row r="21630">
      <c r="B21630" s="9" t="n">
        <v>21628</v>
      </c>
      <c r="C21630" s="10" t="inlineStr">
        <is>
          <t>Nhân viên kỹ thuật sơn</t>
        </is>
      </c>
      <c r="D21630" s="10" t="inlineStr">
        <is>
          <t>CÔNG TY TNHH THIỀN</t>
        </is>
      </c>
      <c r="E21630" s="10" t="inlineStr">
        <is>
          <t>Lương:Cạnh tranh</t>
        </is>
      </c>
      <c r="F21630" s="10" t="inlineStr">
        <is>
          <t>Ninh Bình</t>
        </is>
      </c>
      <c r="G21630" s="10" t="inlineStr">
        <is>
          <t>Hôm nay</t>
        </is>
      </c>
      <c r="H21630" s="10" t="inlineStr">
        <is>
          <t>17/03/2026</t>
        </is>
      </c>
      <c r="I21630" s="10" t="inlineStr">
        <is>
          <t>17/03/2026</t>
        </is>
      </c>
      <c r="J21630" s="10" t="inlineStr">
        <is>
          <t>Hóa học</t>
        </is>
      </c>
      <c r="K21630" s="10" t="inlineStr">
        <is>
          <t>N/A</t>
        </is>
      </c>
      <c r="L21630" s="11">
        <f>HYPERLINK("https://careerviet.vn/vi/tim-viec-lam/nhan-vien-ky-thuat-son.35C65D09.html","Xem chi tiết")</f>
        <v/>
      </c>
      <c r="M21630" s="10" t="n"/>
    </row>
    <row r="21631">
      <c r="B21631" s="7" t="n">
        <v>21629</v>
      </c>
      <c r="C21631" t="inlineStr">
        <is>
          <t>[Đà Nẵng] Trưởng phòng Khách hàng cá nhân</t>
        </is>
      </c>
      <c r="D21631" t="inlineStr">
        <is>
          <t>Ngân hàng TMCP Đại Chúng Việt Nam - PVcomBank</t>
        </is>
      </c>
      <c r="E21631" t="inlineStr">
        <is>
          <t>Lương:Cạnh tranh</t>
        </is>
      </c>
      <c r="F21631" t="inlineStr">
        <is>
          <t>Đà Nẵng</t>
        </is>
      </c>
      <c r="G21631" t="inlineStr">
        <is>
          <t>Hôm nay</t>
        </is>
      </c>
      <c r="H21631" t="inlineStr">
        <is>
          <t>17/03/2026</t>
        </is>
      </c>
      <c r="I21631" t="inlineStr">
        <is>
          <t>17/03/2026</t>
        </is>
      </c>
      <c r="J21631" t="inlineStr">
        <is>
          <t>Ngân hàng, Tài chính / Đầu tư</t>
        </is>
      </c>
      <c r="K21631" t="inlineStr">
        <is>
          <t>Trên 2 Năm</t>
        </is>
      </c>
      <c r="L21631" s="8">
        <f>HYPERLINK("https://careerviet.vn/vi/tim-viec-lam/da-nang-truong-phong-khach-hang-ca-nhan.35C65D1D.html","Xem chi tiết")</f>
        <v/>
      </c>
    </row>
    <row r="21632">
      <c r="B21632" s="9" t="n">
        <v>21630</v>
      </c>
      <c r="C21632" s="10" t="inlineStr">
        <is>
          <t>Kỹ thuật viên Spa</t>
        </is>
      </c>
      <c r="D21632" s="10" t="inlineStr">
        <is>
          <t>BỆNH VIỆN ĐA KHOA PHƯƠNG ĐÔNG</t>
        </is>
      </c>
      <c r="E21632" s="10" t="inlineStr">
        <is>
          <t>Lương:8 Tr - 12 Tr VND</t>
        </is>
      </c>
      <c r="F21632" s="10" t="inlineStr">
        <is>
          <t>Hà Nội</t>
        </is>
      </c>
      <c r="G21632" s="10" t="inlineStr">
        <is>
          <t>Hôm nay</t>
        </is>
      </c>
      <c r="H21632" s="10" t="inlineStr">
        <is>
          <t>17/03/2026</t>
        </is>
      </c>
      <c r="I21632" s="10" t="inlineStr">
        <is>
          <t>17/03/2026</t>
        </is>
      </c>
      <c r="J21632" s="10" t="inlineStr">
        <is>
          <t>Y tế / Chăm sóc sức khỏe / Thẩm mỹ / Làm đẹp</t>
        </is>
      </c>
      <c r="K21632" s="10" t="inlineStr">
        <is>
          <t>1 - 2 Năm</t>
        </is>
      </c>
      <c r="L21632" s="11">
        <f>HYPERLINK("https://careerviet.vn/vi/tim-viec-lam/ky-thuat-vien-spa.35C631C0.html","Xem chi tiết")</f>
        <v/>
      </c>
      <c r="M21632" s="10" t="n"/>
    </row>
    <row r="21633">
      <c r="B21633" s="7" t="n">
        <v>21631</v>
      </c>
      <c r="C21633" t="inlineStr">
        <is>
          <t>Operation Manager</t>
        </is>
      </c>
      <c r="D21633" t="inlineStr">
        <is>
          <t>CÔNG TY CỔ PHẦN  ITL LOGISTICS</t>
        </is>
      </c>
      <c r="E21633" t="inlineStr">
        <is>
          <t>Lương:Cạnh tranh</t>
        </is>
      </c>
      <c r="F21633" t="inlineStr">
        <is>
          <t>Bình Dương</t>
        </is>
      </c>
      <c r="G21633" t="inlineStr">
        <is>
          <t>Hôm nay</t>
        </is>
      </c>
      <c r="H21633" t="inlineStr">
        <is>
          <t>17/03/2026</t>
        </is>
      </c>
      <c r="I21633" t="inlineStr">
        <is>
          <t>17/03/2026</t>
        </is>
      </c>
      <c r="J21633" t="inlineStr">
        <is>
          <t>Vận chuyển / Giao nhận / Kho vận, Sản xuất / Vận hành sản xuất</t>
        </is>
      </c>
      <c r="K21633" t="inlineStr">
        <is>
          <t>7 - 20 Năm</t>
        </is>
      </c>
      <c r="L21633" s="8">
        <f>HYPERLINK("https://careerviet.vn/vi/tim-viec-lam/operation-manager.35C65D0C.html","Xem chi tiết")</f>
        <v/>
      </c>
    </row>
    <row r="21634">
      <c r="B21634" s="9" t="n">
        <v>21632</v>
      </c>
      <c r="C21634" s="10" t="inlineStr">
        <is>
          <t>KẾ TOÁN DỰ ÁN CÔNG TRÌNH XÂY DỰNG</t>
        </is>
      </c>
      <c r="D21634" s="10" t="inlineStr">
        <is>
          <t>Công Ty Cổ Phần Tập Đoàn Đèo Cả</t>
        </is>
      </c>
      <c r="E21634" s="10" t="inlineStr">
        <is>
          <t>Lương:13 Tr - 15 Tr VND</t>
        </is>
      </c>
      <c r="F21634" s="10" t="inlineStr">
        <is>
          <t>Bình DươngĐồng ThápVĩnh Long</t>
        </is>
      </c>
      <c r="G21634" s="10" t="inlineStr">
        <is>
          <t>Hôm nay</t>
        </is>
      </c>
      <c r="H21634" s="10" t="inlineStr">
        <is>
          <t>17/03/2026</t>
        </is>
      </c>
      <c r="I21634" s="10" t="inlineStr">
        <is>
          <t>17/03/2026</t>
        </is>
      </c>
      <c r="J21634" s="10" t="inlineStr">
        <is>
          <t>Kế toán / Kiểm toán, Xây dựng</t>
        </is>
      </c>
      <c r="K21634" s="10" t="inlineStr">
        <is>
          <t>2 - 5 Năm</t>
        </is>
      </c>
      <c r="L21634" s="11">
        <f>HYPERLINK("https://careerviet.vn/vi/tim-viec-lam/ke-toan-du-an-cong-trinh-xay-dung.35C63018.html","Xem chi tiết")</f>
        <v/>
      </c>
      <c r="M21634" s="10" t="n"/>
    </row>
    <row r="21635">
      <c r="B21635" s="7" t="n">
        <v>21633</v>
      </c>
      <c r="C21635" t="inlineStr">
        <is>
          <t>Chuyên Viên Kế Toán Công Nợ</t>
        </is>
      </c>
      <c r="D21635" t="inlineStr">
        <is>
          <t>Công Ty Cổ Phần Tập Đoàn Đầu Tư Địa Ốc No Va</t>
        </is>
      </c>
      <c r="E21635" t="inlineStr">
        <is>
          <t>Lương:Cạnh tranh</t>
        </is>
      </c>
      <c r="F21635" t="inlineStr">
        <is>
          <t>Hồ Chí Minh</t>
        </is>
      </c>
      <c r="G21635" t="inlineStr">
        <is>
          <t>Hôm nay</t>
        </is>
      </c>
      <c r="H21635" t="inlineStr">
        <is>
          <t>17/03/2026</t>
        </is>
      </c>
      <c r="I21635" t="inlineStr">
        <is>
          <t>17/03/2026</t>
        </is>
      </c>
      <c r="J21635" t="inlineStr">
        <is>
          <t>Kế toán / Kiểm toán, Tài chính / Đầu tư, Bất động sản</t>
        </is>
      </c>
      <c r="K21635" t="inlineStr">
        <is>
          <t>3 - 5 Năm</t>
        </is>
      </c>
      <c r="L21635" s="8">
        <f>HYPERLINK("https://careerviet.vn/vi/tim-viec-lam/chuyen-vien-ke-toan-cong-no.35C63101.html","Xem chi tiết")</f>
        <v/>
      </c>
    </row>
    <row r="21636">
      <c r="B21636" s="9" t="n">
        <v>21634</v>
      </c>
      <c r="C21636" s="10" t="inlineStr">
        <is>
          <t>[HCM] Project Sales Engineer (HVAC background)</t>
        </is>
      </c>
      <c r="D21636" s="10" t="inlineStr">
        <is>
          <t>Daikin Air Conditioning (Vietnam) Joint Stock Company</t>
        </is>
      </c>
      <c r="E21636" s="10" t="inlineStr">
        <is>
          <t>Lương:Cạnh tranh</t>
        </is>
      </c>
      <c r="F21636" s="10" t="inlineStr">
        <is>
          <t>Hồ Chí Minh</t>
        </is>
      </c>
      <c r="G21636" s="10" t="inlineStr">
        <is>
          <t>Hôm nay</t>
        </is>
      </c>
      <c r="H21636" s="10" t="inlineStr">
        <is>
          <t>17/03/2026</t>
        </is>
      </c>
      <c r="I21636" s="10" t="inlineStr">
        <is>
          <t>17/03/2026</t>
        </is>
      </c>
      <c r="J21636" s="10" t="inlineStr">
        <is>
          <t>Điện / Điện tử / Điện lạnh / Điện công nghiệp</t>
        </is>
      </c>
      <c r="K21636" s="10" t="inlineStr">
        <is>
          <t>Trên 2 Năm</t>
        </is>
      </c>
      <c r="L21636" s="11">
        <f>HYPERLINK("https://careerviet.vn/vi/tim-viec-lam/hcm-project-sales-engineer-hvac-background.35C65C47.html","Xem chi tiết")</f>
        <v/>
      </c>
      <c r="M21636" s="10" t="n"/>
    </row>
    <row r="21637">
      <c r="B21637" s="7" t="n">
        <v>21635</v>
      </c>
      <c r="C21637" t="inlineStr">
        <is>
          <t>Chuyên viên Kinh doanh bán lẻ</t>
        </is>
      </c>
      <c r="D21637" t="inlineStr">
        <is>
          <t>CÔNG TY CỔ PHẦN TẬP ĐOÀN HTM</t>
        </is>
      </c>
      <c r="E21637" t="inlineStr">
        <is>
          <t>Lương:Cạnh tranh</t>
        </is>
      </c>
      <c r="F21637" t="inlineStr">
        <is>
          <t>Hồ Chí Minh</t>
        </is>
      </c>
      <c r="G21637" t="inlineStr">
        <is>
          <t>Hôm nay</t>
        </is>
      </c>
      <c r="H21637" t="inlineStr">
        <is>
          <t>17/03/2026</t>
        </is>
      </c>
      <c r="I21637" t="inlineStr">
        <is>
          <t>17/03/2026</t>
        </is>
      </c>
      <c r="J21637" t="inlineStr">
        <is>
          <t>Bán hàng / Kinh doanh</t>
        </is>
      </c>
      <c r="K21637" t="inlineStr">
        <is>
          <t>2 - 3 Năm</t>
        </is>
      </c>
      <c r="L21637" s="8">
        <f>HYPERLINK("https://careerviet.vn/vi/tim-viec-lam/chuyen-vien-kinh-doanh-ban-le.35C631DB.html","Xem chi tiết")</f>
        <v/>
      </c>
    </row>
    <row r="21638">
      <c r="B21638" s="9" t="n">
        <v>21636</v>
      </c>
      <c r="C21638" s="10" t="inlineStr">
        <is>
          <t>Digital Marketing</t>
        </is>
      </c>
      <c r="D21638" s="10" t="inlineStr">
        <is>
          <t>Công Ty Cổ Phần Dịch Vụ Bất Động Sản Danh Khôi</t>
        </is>
      </c>
      <c r="E21638" s="10" t="inlineStr">
        <is>
          <t>Lương:Cạnh tranh</t>
        </is>
      </c>
      <c r="F21638" s="10" t="inlineStr">
        <is>
          <t>Hồ Chí Minh</t>
        </is>
      </c>
      <c r="G21638" s="10" t="inlineStr">
        <is>
          <t>30-03-2026</t>
        </is>
      </c>
      <c r="H21638" s="10" t="inlineStr">
        <is>
          <t>30/03/2026</t>
        </is>
      </c>
      <c r="I21638" s="10" t="inlineStr">
        <is>
          <t>17/03/2026</t>
        </is>
      </c>
      <c r="J21638" s="10" t="inlineStr">
        <is>
          <t>Tiếp thị / Marketing, Bất động sản</t>
        </is>
      </c>
      <c r="K21638" s="10" t="inlineStr">
        <is>
          <t>2 - 3 Năm</t>
        </is>
      </c>
      <c r="L21638" s="11">
        <f>HYPERLINK("https://careerviet.vn/vi/tim-viec-lam/digital-marketing.35C65D6C.html","Xem chi tiết")</f>
        <v/>
      </c>
      <c r="M21638" s="10" t="n"/>
    </row>
    <row r="21639">
      <c r="B21639" s="7" t="n">
        <v>21637</v>
      </c>
      <c r="C21639" t="inlineStr">
        <is>
          <t>[NSG] Chuyên viên Thanh tra Chất lượng dịch vụ</t>
        </is>
      </c>
      <c r="D21639" t="inlineStr">
        <is>
          <t>Nova Service Group - Công ty Cổ phần Tập đoàn Nova Services</t>
        </is>
      </c>
      <c r="E21639" t="inlineStr">
        <is>
          <t>Lương:Cạnh tranh</t>
        </is>
      </c>
      <c r="F21639" t="inlineStr">
        <is>
          <t>Hồ Chí Minh</t>
        </is>
      </c>
      <c r="G21639" t="inlineStr">
        <is>
          <t>Hôm nay</t>
        </is>
      </c>
      <c r="H21639" t="inlineStr">
        <is>
          <t>17/03/2026</t>
        </is>
      </c>
      <c r="I21639" t="inlineStr">
        <is>
          <t>17/03/2026</t>
        </is>
      </c>
      <c r="J21639" t="inlineStr">
        <is>
          <t>Dịch vụ khách hàng, Nhà hàng / Khách sạn, Du lịch</t>
        </is>
      </c>
      <c r="K21639" t="inlineStr">
        <is>
          <t>2 - 3 Năm</t>
        </is>
      </c>
      <c r="L21639" s="8">
        <f>HYPERLINK("https://careerviet.vn/vi/tim-viec-lam/nsg-chuyen-vien-thanh-tra-chat-luong-dich-vu.35C65D7C.html","Xem chi tiết")</f>
        <v/>
      </c>
    </row>
    <row r="21640">
      <c r="B21640" s="9" t="n">
        <v>21638</v>
      </c>
      <c r="C21640" s="10" t="inlineStr">
        <is>
          <t>[Hồ Chí Minh}  PHIÊN DỊCH VIÊN -TIẾNG HÀN</t>
        </is>
      </c>
      <c r="D21640" s="10" t="inlineStr">
        <is>
          <t>CÔNG TY TNHH DAESANG VIỆT NAM</t>
        </is>
      </c>
      <c r="E21640" s="10" t="inlineStr">
        <is>
          <t>Lương:Cạnh tranh</t>
        </is>
      </c>
      <c r="F21640" s="10" t="inlineStr">
        <is>
          <t>Hồ Chí Minh</t>
        </is>
      </c>
      <c r="G21640" s="10" t="inlineStr">
        <is>
          <t>Hôm nay</t>
        </is>
      </c>
      <c r="H21640" s="10" t="inlineStr">
        <is>
          <t>17/03/2026</t>
        </is>
      </c>
      <c r="I21640" s="10" t="inlineStr">
        <is>
          <t>17/03/2026</t>
        </is>
      </c>
      <c r="J21640" s="10" t="inlineStr">
        <is>
          <t>Hành chính / Thư ký, Bán hàng / Kinh doanh, Biên phiên dịch</t>
        </is>
      </c>
      <c r="K21640" s="10" t="inlineStr">
        <is>
          <t>1 - 2 Năm</t>
        </is>
      </c>
      <c r="L21640" s="11">
        <f>HYPERLINK("https://careerviet.vn/vi/tim-viec-lam/ho-chi-minh-phien-dich-vien-tieng-han.35C6310F.html","Xem chi tiết")</f>
        <v/>
      </c>
      <c r="M21640" s="10" t="n"/>
    </row>
    <row r="21641">
      <c r="B21641" s="7" t="n">
        <v>21639</v>
      </c>
      <c r="C21641" t="inlineStr">
        <is>
          <t>Customer Support Executive</t>
        </is>
      </c>
      <c r="D21641" t="inlineStr">
        <is>
          <t>CÔNG TY TNHH DỊCH VỤ RENRUI VIỆT NAM</t>
        </is>
      </c>
      <c r="E21641" t="inlineStr">
        <is>
          <t>Lương:11 Tr - 13 Tr VND</t>
        </is>
      </c>
      <c r="F21641" t="inlineStr">
        <is>
          <t>Hồ Chí Minh</t>
        </is>
      </c>
      <c r="G21641" t="inlineStr">
        <is>
          <t>Hôm nay</t>
        </is>
      </c>
      <c r="H21641" t="inlineStr">
        <is>
          <t>17/03/2026</t>
        </is>
      </c>
      <c r="I21641" t="inlineStr">
        <is>
          <t>17/03/2026</t>
        </is>
      </c>
      <c r="J21641" t="inlineStr">
        <is>
          <t>Dịch vụ khách hàng, Hành chính / Thư ký, Du lịch</t>
        </is>
      </c>
      <c r="K21641" t="inlineStr">
        <is>
          <t>Lên đến 1 Năm</t>
        </is>
      </c>
      <c r="L21641" s="8">
        <f>HYPERLINK("https://careerviet.vn/vi/tim-viec-lam/customer-support-executive.35C6317F.html","Xem chi tiết")</f>
        <v/>
      </c>
    </row>
    <row r="21642">
      <c r="B21642" s="9" t="n">
        <v>21640</v>
      </c>
      <c r="C21642" s="10" t="inlineStr">
        <is>
          <t>CHUYÊN VIÊN PHÁT TRIỂN KINH DOANH</t>
        </is>
      </c>
      <c r="D21642" s="10" t="inlineStr">
        <is>
          <t>CÔNG TY TNHH K&amp;M VINA</t>
        </is>
      </c>
      <c r="E21642" s="10" t="inlineStr">
        <is>
          <t>Lương:7,5 Tr - 25 Tr VND</t>
        </is>
      </c>
      <c r="F21642" s="10" t="inlineStr">
        <is>
          <t>Hồ Chí Minh</t>
        </is>
      </c>
      <c r="G21642" s="10" t="inlineStr">
        <is>
          <t>Hôm nay</t>
        </is>
      </c>
      <c r="H21642" s="10" t="inlineStr">
        <is>
          <t>17/03/2026</t>
        </is>
      </c>
      <c r="I21642" s="10" t="inlineStr">
        <is>
          <t>17/03/2026</t>
        </is>
      </c>
      <c r="J21642" s="10" t="inlineStr">
        <is>
          <t>Tiếp thị / Marketing, Bán hàng / Kinh doanh, Tài chính / Đầu tư</t>
        </is>
      </c>
      <c r="K21642" s="10" t="inlineStr">
        <is>
          <t>1 - 2 Năm</t>
        </is>
      </c>
      <c r="L21642" s="11">
        <f>HYPERLINK("https://careerviet.vn/vi/tim-viec-lam/chuyen-vien-phat-trien-kinh-doanh.35C630E1.html","Xem chi tiết")</f>
        <v/>
      </c>
      <c r="M21642" s="10" t="n"/>
    </row>
    <row r="21643">
      <c r="B21643" s="7" t="n">
        <v>21641</v>
      </c>
      <c r="C21643" t="inlineStr">
        <is>
          <t>LEAD TEAM KỸ THUẬT</t>
        </is>
      </c>
      <c r="D21643" t="inlineStr">
        <is>
          <t>CÔNG TY CP ĐẦU TƯ VÀ XÂY DỰNG HT</t>
        </is>
      </c>
      <c r="E21643" t="inlineStr">
        <is>
          <t>Lương:20 Tr - 30 Tr VND</t>
        </is>
      </c>
      <c r="F21643" t="inlineStr">
        <is>
          <t>Hà Nội</t>
        </is>
      </c>
      <c r="G21643" t="inlineStr">
        <is>
          <t>Hôm nay</t>
        </is>
      </c>
      <c r="H21643" t="inlineStr">
        <is>
          <t>17/03/2026</t>
        </is>
      </c>
      <c r="I21643" t="inlineStr">
        <is>
          <t>17/03/2026</t>
        </is>
      </c>
      <c r="J21643" t="inlineStr">
        <is>
          <t>Kiến trúc, Xây dựng</t>
        </is>
      </c>
      <c r="K21643" t="inlineStr">
        <is>
          <t>3 - 5 Năm</t>
        </is>
      </c>
      <c r="L21643" s="8">
        <f>HYPERLINK("https://careerviet.vn/vi/tim-viec-lam/lead-team-ky-thuat.35C63094.html","Xem chi tiết")</f>
        <v/>
      </c>
    </row>
    <row r="21644">
      <c r="B21644" s="9" t="n">
        <v>21642</v>
      </c>
      <c r="C21644" s="10" t="inlineStr">
        <is>
          <t>LEADER TUYỂN SINH</t>
        </is>
      </c>
      <c r="D21644" s="10" t="inlineStr">
        <is>
          <t>CÔNG TY CỔ PHẦN CÔNG NGHỆ GIÁO DỤC MAYTRIX</t>
        </is>
      </c>
      <c r="E21644" s="10" t="inlineStr">
        <is>
          <t>Lương:Cạnh tranh</t>
        </is>
      </c>
      <c r="F21644" s="10" t="inlineStr">
        <is>
          <t>Hồ Chí Minh</t>
        </is>
      </c>
      <c r="G21644" s="10" t="inlineStr">
        <is>
          <t>Hôm nay</t>
        </is>
      </c>
      <c r="H21644" s="10" t="inlineStr">
        <is>
          <t>17/03/2026</t>
        </is>
      </c>
      <c r="I21644" s="10" t="inlineStr">
        <is>
          <t>17/03/2026</t>
        </is>
      </c>
      <c r="J21644" s="10" t="inlineStr">
        <is>
          <t>Giáo dục / Đào tạo</t>
        </is>
      </c>
      <c r="K21644" s="10" t="inlineStr">
        <is>
          <t>1 - 2 Năm</t>
        </is>
      </c>
      <c r="L21644" s="11">
        <f>HYPERLINK("https://careerviet.vn/vi/tim-viec-lam/leader-tuyen-sinh.35C65D2F.html","Xem chi tiết")</f>
        <v/>
      </c>
      <c r="M21644" s="10" t="n"/>
    </row>
    <row r="21645">
      <c r="B21645" s="7" t="n">
        <v>21643</v>
      </c>
      <c r="C21645" t="inlineStr">
        <is>
          <t>Nhân viên QA/QC</t>
        </is>
      </c>
      <c r="D21645" t="inlineStr">
        <is>
          <t>CÔNG TY CỔ PHẦN THÔNG GIÓ CÔNG NGHIỆP BREEZE</t>
        </is>
      </c>
      <c r="E21645" t="inlineStr">
        <is>
          <t>Lương:Cạnh tranh</t>
        </is>
      </c>
      <c r="F21645" t="inlineStr">
        <is>
          <t>Hồ Chí Minh</t>
        </is>
      </c>
      <c r="G21645" t="inlineStr">
        <is>
          <t>Hôm nay</t>
        </is>
      </c>
      <c r="H21645" t="inlineStr">
        <is>
          <t>17/03/2026</t>
        </is>
      </c>
      <c r="I21645" t="inlineStr">
        <is>
          <t>17/03/2026</t>
        </is>
      </c>
      <c r="J21645" t="inlineStr">
        <is>
          <t>Điện / Điện tử / Điện lạnh / Điện công nghiệp, Sản xuất / Vận hành sản xuất, Quản lý chất lượng (QA/QC)</t>
        </is>
      </c>
      <c r="K21645" t="inlineStr">
        <is>
          <t>1 - 2 Năm</t>
        </is>
      </c>
      <c r="L21645" s="8">
        <f>HYPERLINK("https://careerviet.vn/vi/tim-viec-lam/nhan-vien-qa-qc.35C63126.html","Xem chi tiết")</f>
        <v/>
      </c>
    </row>
    <row r="21646">
      <c r="B21646" s="9" t="n">
        <v>21644</v>
      </c>
      <c r="C21646" s="10" t="inlineStr">
        <is>
          <t>Construction Assistant Manager</t>
        </is>
      </c>
      <c r="D21646" s="10" t="inlineStr">
        <is>
          <t>LOTTE VIETNAM SHOPPING JOINT STOCK COMPANY</t>
        </is>
      </c>
      <c r="E21646" s="10" t="inlineStr">
        <is>
          <t>Lương:Cạnh tranh</t>
        </is>
      </c>
      <c r="F21646" s="10" t="inlineStr">
        <is>
          <t>Hồ Chí Minh</t>
        </is>
      </c>
      <c r="G21646" s="10" t="inlineStr">
        <is>
          <t>Hôm nay</t>
        </is>
      </c>
      <c r="H21646" s="10" t="inlineStr">
        <is>
          <t>17/03/2026</t>
        </is>
      </c>
      <c r="I21646" s="10" t="inlineStr">
        <is>
          <t>17/03/2026</t>
        </is>
      </c>
      <c r="J21646" s="10" t="inlineStr">
        <is>
          <t>Bán lẻ / Bán sỉ, Xây dựng</t>
        </is>
      </c>
      <c r="K21646" s="10" t="inlineStr">
        <is>
          <t>3 - 5 Năm</t>
        </is>
      </c>
      <c r="L21646" s="11">
        <f>HYPERLINK("https://careerviet.vn/vi/tim-viec-lam/construction-assistant-manager.35C65D73.html","Xem chi tiết")</f>
        <v/>
      </c>
      <c r="M21646" s="10" t="n"/>
    </row>
    <row r="21647">
      <c r="B21647" s="7" t="n">
        <v>21645</v>
      </c>
      <c r="C21647" t="inlineStr">
        <is>
          <t>EHS Manager (Nhơn Trạch 1)</t>
        </is>
      </c>
      <c r="D21647" t="inlineStr">
        <is>
          <t>Coherent Corp.</t>
        </is>
      </c>
      <c r="E21647" t="inlineStr">
        <is>
          <t>Lương:Cạnh tranh</t>
        </is>
      </c>
      <c r="F21647" t="inlineStr">
        <is>
          <t>Đồng Nai</t>
        </is>
      </c>
      <c r="G21647" t="inlineStr">
        <is>
          <t>Hôm nay</t>
        </is>
      </c>
      <c r="H21647" t="inlineStr">
        <is>
          <t>17/03/2026</t>
        </is>
      </c>
      <c r="I21647" t="inlineStr">
        <is>
          <t>17/03/2026</t>
        </is>
      </c>
      <c r="J21647" t="inlineStr">
        <is>
          <t>Sản xuất / Vận hành sản xuất, Môi trường, An toàn lao động</t>
        </is>
      </c>
      <c r="K21647" t="inlineStr">
        <is>
          <t>8 - 12 Năm</t>
        </is>
      </c>
      <c r="L21647" s="8">
        <f>HYPERLINK("https://careerviet.vn/vi/tim-viec-lam/ehs-manager-nhon-trach-1.35C65CE6.html","Xem chi tiết")</f>
        <v/>
      </c>
    </row>
    <row r="21648">
      <c r="B21648" s="9" t="n">
        <v>21646</v>
      </c>
      <c r="C21648" s="10" t="inlineStr">
        <is>
          <t>Nhân viên Phòng Kế hoạch cung ứng</t>
        </is>
      </c>
      <c r="D21648" s="10" t="inlineStr">
        <is>
          <t>CÔNG TY CỔ PHẦN DƯỢC PHẨM YÊN BÁI</t>
        </is>
      </c>
      <c r="E21648" s="10" t="inlineStr">
        <is>
          <t>Lương:7 Tr - 15 Tr VND</t>
        </is>
      </c>
      <c r="F21648" s="10" t="inlineStr">
        <is>
          <t>Yên BáiThái BìnhHà Nội</t>
        </is>
      </c>
      <c r="G21648" s="10" t="inlineStr">
        <is>
          <t>Hôm nay</t>
        </is>
      </c>
      <c r="H21648" s="10" t="inlineStr">
        <is>
          <t>17/03/2026</t>
        </is>
      </c>
      <c r="I21648" s="10" t="inlineStr">
        <is>
          <t>17/03/2026</t>
        </is>
      </c>
      <c r="J21648" s="10" t="inlineStr">
        <is>
          <t>Quản lý chất lượng (QA/QC), Dược phẩm/ Hóa Mỹ Phẩm, Sản xuất / Vận hành sản xuất</t>
        </is>
      </c>
      <c r="K21648" s="10" t="inlineStr">
        <is>
          <t>N/A</t>
        </is>
      </c>
      <c r="L21648" s="11">
        <f>HYPERLINK("https://careerviet.vn/vi/tim-viec-lam/nhan-vien-phong-ke-hoach-cung-ung.35C6313A.html","Xem chi tiết")</f>
        <v/>
      </c>
      <c r="M21648" s="10" t="n"/>
    </row>
    <row r="21649">
      <c r="B21649" s="7" t="n">
        <v>21647</v>
      </c>
      <c r="C21649" t="inlineStr">
        <is>
          <t>Quản Trị Viên Chuyên Ngành Quản lý sản xuất  - Kế hoạch</t>
        </is>
      </c>
      <c r="D21649" t="inlineStr">
        <is>
          <t>CÔNG TY TNHH ACTR</t>
        </is>
      </c>
      <c r="E21649" t="inlineStr">
        <is>
          <t>Lương:10,5 Tr - 15,5 Tr VND</t>
        </is>
      </c>
      <c r="F21649" t="inlineStr">
        <is>
          <t>Tây Ninh</t>
        </is>
      </c>
      <c r="G21649" t="inlineStr">
        <is>
          <t>Hôm nay</t>
        </is>
      </c>
      <c r="H21649" t="inlineStr">
        <is>
          <t>17/03/2026</t>
        </is>
      </c>
      <c r="I21649" t="inlineStr">
        <is>
          <t>17/03/2026</t>
        </is>
      </c>
      <c r="J21649" t="inlineStr">
        <is>
          <t>Mới tốt nghiệp / Thực tập, Sản xuất / Vận hành sản xuất, Ngành khác</t>
        </is>
      </c>
      <c r="K21649" t="inlineStr">
        <is>
          <t>N/A</t>
        </is>
      </c>
      <c r="L21649" s="8">
        <f>HYPERLINK("https://careerviet.vn/vi/tim-viec-lam/quan-tri-vien-chuyen-nganh-quan-ly-san-xuat-ke-hoach.35C65943.html","Xem chi tiết")</f>
        <v/>
      </c>
    </row>
    <row r="21650">
      <c r="B21650" s="9" t="n">
        <v>21648</v>
      </c>
      <c r="C21650" s="10" t="inlineStr">
        <is>
          <t>Kế Toán Doanh Thu</t>
        </is>
      </c>
      <c r="D21650" s="10" t="inlineStr">
        <is>
          <t>TẬP ĐOÀN ĐẦU TƯ KINH ĐÔ</t>
        </is>
      </c>
      <c r="E21650" s="10" t="inlineStr">
        <is>
          <t>Lương:17 Tr - 19 Tr VND</t>
        </is>
      </c>
      <c r="F21650" s="10" t="inlineStr">
        <is>
          <t>Hà Nội</t>
        </is>
      </c>
      <c r="G21650" s="10" t="inlineStr">
        <is>
          <t>Hôm nay</t>
        </is>
      </c>
      <c r="H21650" s="10" t="inlineStr">
        <is>
          <t>17/03/2026</t>
        </is>
      </c>
      <c r="I21650" s="10" t="inlineStr">
        <is>
          <t>17/03/2026</t>
        </is>
      </c>
      <c r="J21650" s="10" t="inlineStr">
        <is>
          <t>Kế toán / Kiểm toán, Xây dựng, Bất động sản</t>
        </is>
      </c>
      <c r="K21650" s="10" t="inlineStr">
        <is>
          <t>Trên 3 Năm</t>
        </is>
      </c>
      <c r="L21650" s="11">
        <f>HYPERLINK("https://careerviet.vn/vi/tim-viec-lam/ke-toan-doanh-thu.35C65CD7.html","Xem chi tiết")</f>
        <v/>
      </c>
      <c r="M21650" s="10" t="n"/>
    </row>
    <row r="21651">
      <c r="B21651" s="7" t="n">
        <v>21649</v>
      </c>
      <c r="C21651" t="inlineStr">
        <is>
          <t>Nhân viên kinh doanh</t>
        </is>
      </c>
      <c r="D21651" t="inlineStr">
        <is>
          <t>CÔNG TY TNHH NTPM (VIỆT NAM)</t>
        </is>
      </c>
      <c r="E21651" t="inlineStr">
        <is>
          <t>Lương:Cạnh tranh</t>
        </is>
      </c>
      <c r="F21651" t="inlineStr">
        <is>
          <t>Hồ Chí Minh</t>
        </is>
      </c>
      <c r="G21651" t="inlineStr">
        <is>
          <t>Hôm nay</t>
        </is>
      </c>
      <c r="H21651" t="inlineStr">
        <is>
          <t>17/03/2026</t>
        </is>
      </c>
      <c r="I21651" t="inlineStr">
        <is>
          <t>17/03/2026</t>
        </is>
      </c>
      <c r="J21651" t="inlineStr">
        <is>
          <t>Tiếp thị / Marketing, Bán hàng / Kinh doanh, Hàng gia dụng / Chăm sóc cá nhân</t>
        </is>
      </c>
      <c r="K21651" t="inlineStr">
        <is>
          <t>N/A</t>
        </is>
      </c>
      <c r="L21651" s="8">
        <f>HYPERLINK("https://careerviet.vn/vi/tim-viec-lam/nhan-vien-kinh-doanh.35C65C69.html","Xem chi tiết")</f>
        <v/>
      </c>
    </row>
    <row r="21652">
      <c r="B21652" s="9" t="n">
        <v>21650</v>
      </c>
      <c r="C21652" s="10" t="inlineStr">
        <is>
          <t>Lễ Tân Tiếng Trung</t>
        </is>
      </c>
      <c r="D21652" s="10" t="inlineStr">
        <is>
          <t>Công Ty Cổ Phần A25 Hotel</t>
        </is>
      </c>
      <c r="E21652" s="10" t="inlineStr">
        <is>
          <t>Lương:Cạnh tranh</t>
        </is>
      </c>
      <c r="F21652" s="10" t="inlineStr">
        <is>
          <t>Hà NộiQuảng NinhHồ Chí Minh</t>
        </is>
      </c>
      <c r="G21652" s="10" t="inlineStr">
        <is>
          <t>Hôm nay</t>
        </is>
      </c>
      <c r="H21652" s="10" t="inlineStr">
        <is>
          <t>17/03/2026</t>
        </is>
      </c>
      <c r="I21652" s="10" t="inlineStr">
        <is>
          <t>17/03/2026</t>
        </is>
      </c>
      <c r="J21652" s="10" t="inlineStr">
        <is>
          <t>Dịch vụ khách hàng, Nhà hàng / Khách sạn, Mới tốt nghiệp / Thực tập</t>
        </is>
      </c>
      <c r="K21652" s="10" t="inlineStr">
        <is>
          <t>N/A</t>
        </is>
      </c>
      <c r="L21652" s="11">
        <f>HYPERLINK("https://careerviet.vn/vi/tim-viec-lam/le-tan-tieng-trung.35C63208.html","Xem chi tiết")</f>
        <v/>
      </c>
      <c r="M21652" s="10" t="n"/>
    </row>
    <row r="21653">
      <c r="B21653" s="7" t="n">
        <v>21651</v>
      </c>
      <c r="C21653" t="inlineStr">
        <is>
          <t>Business Development Team Leader</t>
        </is>
      </c>
      <c r="D21653" t="inlineStr">
        <is>
          <t>Công ty TNHH Onpoint</t>
        </is>
      </c>
      <c r="E21653" t="inlineStr">
        <is>
          <t>Lương:Cạnh tranh</t>
        </is>
      </c>
      <c r="F21653" t="inlineStr">
        <is>
          <t>Hồ Chí Minh</t>
        </is>
      </c>
      <c r="G21653" t="inlineStr">
        <is>
          <t>Hôm nay</t>
        </is>
      </c>
      <c r="H21653" t="inlineStr">
        <is>
          <t>17/03/2026</t>
        </is>
      </c>
      <c r="I21653" t="inlineStr">
        <is>
          <t>17/03/2026</t>
        </is>
      </c>
      <c r="J21653" t="inlineStr">
        <is>
          <t>Tiếp thị / Marketing, Bán hàng / Kinh doanh, Thương mại điện tử</t>
        </is>
      </c>
      <c r="K21653" t="inlineStr">
        <is>
          <t>3 - 5 Năm</t>
        </is>
      </c>
      <c r="L21653" s="8">
        <f>HYPERLINK("https://careerviet.vn/vi/tim-viec-lam/business-development-team-leader.35C63226.html","Xem chi tiết")</f>
        <v/>
      </c>
    </row>
    <row r="21654">
      <c r="B21654" s="9" t="n">
        <v>21652</v>
      </c>
      <c r="C21654" s="10" t="inlineStr">
        <is>
          <t>Quản Trị Viên Đảm bảo Chất lượng</t>
        </is>
      </c>
      <c r="D21654" s="10" t="inlineStr">
        <is>
          <t>CÔNG TY TNHH ACTR</t>
        </is>
      </c>
      <c r="E21654" s="10" t="inlineStr">
        <is>
          <t>Lương:10,8 Tr - 15,5 Tr VND</t>
        </is>
      </c>
      <c r="F21654" s="10" t="inlineStr">
        <is>
          <t>Tây Ninh</t>
        </is>
      </c>
      <c r="G21654" s="10" t="inlineStr">
        <is>
          <t>Hôm nay</t>
        </is>
      </c>
      <c r="H21654" s="10" t="inlineStr">
        <is>
          <t>17/03/2026</t>
        </is>
      </c>
      <c r="I21654" s="10" t="inlineStr">
        <is>
          <t>17/03/2026</t>
        </is>
      </c>
      <c r="J21654" s="10" t="inlineStr">
        <is>
          <t>Hóa học, Mới tốt nghiệp / Thực tập, Quản lý chất lượng (QA/QC)</t>
        </is>
      </c>
      <c r="K21654" s="10" t="inlineStr">
        <is>
          <t>N/A</t>
        </is>
      </c>
      <c r="L21654" s="11">
        <f>HYPERLINK("https://careerviet.vn/vi/tim-viec-lam/quan-tri-vien-dam-bao-chat-luong.35C65940.html","Xem chi tiết")</f>
        <v/>
      </c>
      <c r="M21654" s="10" t="n"/>
    </row>
    <row r="21655">
      <c r="B21655" s="7" t="n">
        <v>21653</v>
      </c>
      <c r="C21655" t="inlineStr">
        <is>
          <t>CVC/ CVCC Phát triển sản phẩm Khách hàng doanh nghiệp - Hội sở Hà Nội (khu vực Hà Đông)</t>
        </is>
      </c>
      <c r="D21655" t="inlineStr">
        <is>
          <t>Ngân hàng TMCP Việt Á – VietABank</t>
        </is>
      </c>
      <c r="E21655" t="inlineStr">
        <is>
          <t>Lương:Cạnh tranh</t>
        </is>
      </c>
      <c r="F21655" t="inlineStr">
        <is>
          <t>Hà Nội</t>
        </is>
      </c>
      <c r="G21655" t="inlineStr">
        <is>
          <t>Hôm nay</t>
        </is>
      </c>
      <c r="H21655" t="inlineStr">
        <is>
          <t>17/03/2026</t>
        </is>
      </c>
      <c r="I21655" t="inlineStr">
        <is>
          <t>17/03/2026</t>
        </is>
      </c>
      <c r="J21655" t="inlineStr">
        <is>
          <t>Bán lẻ / Bán sỉ, Bán hàng / Kinh doanh, Quản lý điều hành</t>
        </is>
      </c>
      <c r="K21655" t="inlineStr">
        <is>
          <t>1 - 2 Năm</t>
        </is>
      </c>
      <c r="L21655" s="8">
        <f>HYPERLINK("https://careerviet.vn/vi/tim-viec-lam/cvc-cvcc-phat-trien-san-pham-khach-hang-doanh-nghiep-hoi-so-ha-noi-khu-vuc-ha-dong.35C65CF8.html","Xem chi tiết")</f>
        <v/>
      </c>
    </row>
    <row r="21656">
      <c r="B21656" s="9" t="n">
        <v>21654</v>
      </c>
      <c r="C21656" s="10" t="inlineStr">
        <is>
          <t>Nhân viên chất lượng ( thời vụ 6 tháng )</t>
        </is>
      </c>
      <c r="D21656" s="10" t="inlineStr">
        <is>
          <t>Công Ty Cổ Phần Hai Bốn Bảy</t>
        </is>
      </c>
      <c r="E21656" s="10" t="inlineStr">
        <is>
          <t>Lương:9 Tr - 14 Tr VND</t>
        </is>
      </c>
      <c r="F21656" s="10" t="inlineStr">
        <is>
          <t>Hồ Chí Minh</t>
        </is>
      </c>
      <c r="G21656" s="10" t="inlineStr">
        <is>
          <t>Hôm nay</t>
        </is>
      </c>
      <c r="H21656" s="10" t="inlineStr">
        <is>
          <t>17/03/2026</t>
        </is>
      </c>
      <c r="I21656" s="10" t="inlineStr">
        <is>
          <t>17/03/2026</t>
        </is>
      </c>
      <c r="J21656" s="10" t="inlineStr">
        <is>
          <t>Vận chuyển / Giao nhận / Kho vận, Ngành khác</t>
        </is>
      </c>
      <c r="K21656" s="10" t="inlineStr">
        <is>
          <t>1 - 2 Năm</t>
        </is>
      </c>
      <c r="L21656" s="11">
        <f>HYPERLINK("https://careerviet.vn/vi/tim-viec-lam/nhan-vien-chat-luong-thoi-vu-6-thang.35C63192.html","Xem chi tiết")</f>
        <v/>
      </c>
      <c r="M21656" s="10" t="n"/>
    </row>
    <row r="21657">
      <c r="B21657" s="7" t="n">
        <v>21655</v>
      </c>
      <c r="C21657" t="inlineStr">
        <is>
          <t>Technical Support Engineer (Design)</t>
        </is>
      </c>
      <c r="D21657" t="inlineStr">
        <is>
          <t>Daikin Air Conditioning (Vietnam) Joint Stock Company</t>
        </is>
      </c>
      <c r="E21657" t="inlineStr">
        <is>
          <t>Lương:Cạnh tranh</t>
        </is>
      </c>
      <c r="F21657" t="inlineStr">
        <is>
          <t>Hồ Chí Minh</t>
        </is>
      </c>
      <c r="G21657" t="inlineStr">
        <is>
          <t>Hôm nay</t>
        </is>
      </c>
      <c r="H21657" t="inlineStr">
        <is>
          <t>17/03/2026</t>
        </is>
      </c>
      <c r="I21657" t="inlineStr">
        <is>
          <t>17/03/2026</t>
        </is>
      </c>
      <c r="J21657" t="inlineStr">
        <is>
          <t>Điện / Điện tử / Điện lạnh / Điện công nghiệp</t>
        </is>
      </c>
      <c r="K21657" t="inlineStr">
        <is>
          <t>Lên đến 1 Năm</t>
        </is>
      </c>
      <c r="L21657" s="8">
        <f>HYPERLINK("https://careerviet.vn/vi/tim-viec-lam/technical-support-engineer-design.35C65C4A.html","Xem chi tiết")</f>
        <v/>
      </c>
    </row>
    <row r="21658">
      <c r="B21658" s="9" t="n">
        <v>21656</v>
      </c>
      <c r="C21658" s="10" t="inlineStr">
        <is>
          <t>Kế Toán Trưởng/Trưởng Phòng Tài Chính - Tổng Hợp</t>
        </is>
      </c>
      <c r="D21658" s="10" t="inlineStr">
        <is>
          <t>CÔNG TY CỔ PHẦN TẬP ĐOÀN PC1</t>
        </is>
      </c>
      <c r="E21658" s="10" t="inlineStr">
        <is>
          <t>Lương:Cạnh tranh</t>
        </is>
      </c>
      <c r="F21658" s="10" t="inlineStr">
        <is>
          <t>Hà Nội</t>
        </is>
      </c>
      <c r="G21658" s="10" t="inlineStr">
        <is>
          <t>Hôm nay</t>
        </is>
      </c>
      <c r="H21658" s="10" t="inlineStr">
        <is>
          <t>17/03/2026</t>
        </is>
      </c>
      <c r="I21658" s="10" t="inlineStr">
        <is>
          <t>17/03/2026</t>
        </is>
      </c>
      <c r="J21658" s="10" t="inlineStr">
        <is>
          <t>Kế toán / Kiểm toán, Ngân hàng, Tài chính / Đầu tư</t>
        </is>
      </c>
      <c r="K21658" s="10" t="inlineStr">
        <is>
          <t>N/A</t>
        </is>
      </c>
      <c r="L21658" s="11">
        <f>HYPERLINK("https://careerviet.vn/vi/tim-viec-lam/ke-toan-truong-truong-phong-tai-chinh-tong-hop.35C6310C.html","Xem chi tiết")</f>
        <v/>
      </c>
      <c r="M21658" s="10" t="n"/>
    </row>
    <row r="21659">
      <c r="B21659" s="7" t="n">
        <v>21657</v>
      </c>
      <c r="C21659" t="inlineStr">
        <is>
          <t>(IT) Chuyên viên Triển khai và Vận hành ứng dụng</t>
        </is>
      </c>
      <c r="D21659" t="inlineStr">
        <is>
          <t>Nova Service Group - Công ty Cổ phần Tập đoàn Nova Services</t>
        </is>
      </c>
      <c r="E21659" t="inlineStr">
        <is>
          <t>Lương:Cạnh tranh</t>
        </is>
      </c>
      <c r="F21659" t="inlineStr">
        <is>
          <t>Hồ Chí Minh</t>
        </is>
      </c>
      <c r="G21659" t="inlineStr">
        <is>
          <t>Hôm nay</t>
        </is>
      </c>
      <c r="H21659" t="inlineStr">
        <is>
          <t>17/03/2026</t>
        </is>
      </c>
      <c r="I21659" t="inlineStr">
        <is>
          <t>17/03/2026</t>
        </is>
      </c>
      <c r="J21659" t="inlineStr">
        <is>
          <t>CNTT - Phần mềm, CNTT - Phần cứng / Mạng</t>
        </is>
      </c>
      <c r="K21659" t="inlineStr">
        <is>
          <t>4 - 14 Năm</t>
        </is>
      </c>
      <c r="L21659" s="8">
        <f>HYPERLINK("https://careerviet.vn/vi/tim-viec-lam/it-chuyen-vien-trien-khai-va-van-hanh-ung-dung.35C6303A.html","Xem chi tiết")</f>
        <v/>
      </c>
    </row>
    <row r="21660">
      <c r="B21660" s="9" t="n">
        <v>21658</v>
      </c>
      <c r="C21660" s="10" t="inlineStr">
        <is>
          <t>ITL Logistics - Chuyên viên kinh doanh vận tải</t>
        </is>
      </c>
      <c r="D21660" s="10" t="inlineStr">
        <is>
          <t>CÔNG TY CỔ PHẦN  ITL LOGISTICS</t>
        </is>
      </c>
      <c r="E21660" s="10" t="inlineStr">
        <is>
          <t>Lương:Cạnh tranh</t>
        </is>
      </c>
      <c r="F21660" s="10" t="inlineStr">
        <is>
          <t>Hồ Chí Minh</t>
        </is>
      </c>
      <c r="G21660" s="10" t="inlineStr">
        <is>
          <t>Hôm nay</t>
        </is>
      </c>
      <c r="H21660" s="10" t="inlineStr">
        <is>
          <t>17/03/2026</t>
        </is>
      </c>
      <c r="I21660" s="10" t="inlineStr">
        <is>
          <t>17/03/2026</t>
        </is>
      </c>
      <c r="J21660" s="10" t="inlineStr">
        <is>
          <t>Bán hàng / Kinh doanh, Vận chuyển / Giao nhận / Kho vận</t>
        </is>
      </c>
      <c r="K21660" s="10" t="inlineStr">
        <is>
          <t>1 - 3 Năm</t>
        </is>
      </c>
      <c r="L21660" s="11">
        <f>HYPERLINK("https://careerviet.vn/vi/tim-viec-lam/itl-logistics-chuyen-vien-kinh-doanh-van-tai.35C65CA5.html","Xem chi tiết")</f>
        <v/>
      </c>
      <c r="M21660" s="10" t="n"/>
    </row>
    <row r="21661">
      <c r="B21661" s="7" t="n">
        <v>21659</v>
      </c>
      <c r="C21661" t="inlineStr">
        <is>
          <t>Phó Giám đốc Chi nhánh - BVBank Lâm Đồng - KV Tây Nguyên</t>
        </is>
      </c>
      <c r="D21661" t="inlineStr">
        <is>
          <t>BVBank - Ngân hàng Bản Việt</t>
        </is>
      </c>
      <c r="E21661" t="inlineStr">
        <is>
          <t>Lương:Cạnh tranh</t>
        </is>
      </c>
      <c r="F21661" t="inlineStr">
        <is>
          <t>Lâm Đồng</t>
        </is>
      </c>
      <c r="G21661" t="inlineStr">
        <is>
          <t>Hôm nay</t>
        </is>
      </c>
      <c r="H21661" t="inlineStr">
        <is>
          <t>17/03/2026</t>
        </is>
      </c>
      <c r="I21661" t="inlineStr">
        <is>
          <t>17/03/2026</t>
        </is>
      </c>
      <c r="J21661" t="inlineStr">
        <is>
          <t>Ngân hàng, Tài chính / Đầu tư</t>
        </is>
      </c>
      <c r="K21661" t="inlineStr">
        <is>
          <t>5 - 6 Năm</t>
        </is>
      </c>
      <c r="L21661" s="8">
        <f>HYPERLINK("https://careerviet.vn/vi/tim-viec-lam/pho-giam-doc-chi-nhanh-bvbank-lam-dong-kv-tay-nguyen.35C6305C.html","Xem chi tiết")</f>
        <v/>
      </c>
    </row>
    <row r="21662">
      <c r="B21662" s="9" t="n">
        <v>21660</v>
      </c>
      <c r="C21662" s="10" t="inlineStr">
        <is>
          <t>Ecopark- Nhân viên lái xe (12-14 tr)</t>
        </is>
      </c>
      <c r="D21662" s="10" t="inlineStr">
        <is>
          <t>CÔNG TY CỔ PHẦN TẬP ĐOÀN DEKKO</t>
        </is>
      </c>
      <c r="E21662" s="10" t="inlineStr">
        <is>
          <t>Lương:12 Tr - 14 Tr VND</t>
        </is>
      </c>
      <c r="F21662" s="10" t="inlineStr">
        <is>
          <t>Hà Nội</t>
        </is>
      </c>
      <c r="G21662" s="10" t="inlineStr">
        <is>
          <t>Hôm nay</t>
        </is>
      </c>
      <c r="H21662" s="10" t="inlineStr">
        <is>
          <t>17/03/2026</t>
        </is>
      </c>
      <c r="I21662" s="10" t="inlineStr">
        <is>
          <t>17/03/2026</t>
        </is>
      </c>
      <c r="J21662" s="10" t="inlineStr">
        <is>
          <t>Vận chuyển / Giao nhận / Kho vận</t>
        </is>
      </c>
      <c r="K21662" s="10" t="inlineStr">
        <is>
          <t>Trên 2 Năm</t>
        </is>
      </c>
      <c r="L21662" s="11">
        <f>HYPERLINK("https://careerviet.vn/vi/tim-viec-lam/ecopark-nhan-vien-lai-xe-12-14-tr.35C65C0B.html","Xem chi tiết")</f>
        <v/>
      </c>
      <c r="M21662" s="10" t="n"/>
    </row>
    <row r="21663">
      <c r="B21663" s="7" t="n">
        <v>21661</v>
      </c>
      <c r="C21663" t="inlineStr">
        <is>
          <t>Wireless Engineer (High-Volume Hiring) - Upto 80M</t>
        </is>
      </c>
      <c r="D21663" t="inlineStr">
        <is>
          <t>CÔNG TY TNHH CÔNG NGHỆ HUAWEI VIỆT NAM</t>
        </is>
      </c>
      <c r="E21663" t="inlineStr">
        <is>
          <t>Lương:Lên đến 80 Tr VND</t>
        </is>
      </c>
      <c r="F21663" t="inlineStr">
        <is>
          <t>Hà NộiHồ Chí Minh</t>
        </is>
      </c>
      <c r="G21663" t="inlineStr">
        <is>
          <t>Hôm nay</t>
        </is>
      </c>
      <c r="H21663" t="inlineStr">
        <is>
          <t>17/03/2026</t>
        </is>
      </c>
      <c r="I21663" t="inlineStr">
        <is>
          <t>17/03/2026</t>
        </is>
      </c>
      <c r="J21663" t="inlineStr">
        <is>
          <t>Bưu chính viễn thông</t>
        </is>
      </c>
      <c r="K21663" t="inlineStr">
        <is>
          <t>Trên 2 Năm</t>
        </is>
      </c>
      <c r="L21663" s="8">
        <f>HYPERLINK("https://careerviet.vn/vi/tim-viec-lam/wireless-engineer-high-volume-hiring-upto-80m.35C65D77.html","Xem chi tiết")</f>
        <v/>
      </c>
    </row>
    <row r="21664">
      <c r="B21664" s="9" t="n">
        <v>21662</v>
      </c>
      <c r="C21664" s="10" t="inlineStr">
        <is>
          <t>[Ninh Thuận]  - Chuyên viên Quan hệ Khách hàng cá nhân</t>
        </is>
      </c>
      <c r="D21664" s="10" t="inlineStr">
        <is>
          <t>Ngân hàng TMCP Lộc Phát Việt Nam (LPBank)</t>
        </is>
      </c>
      <c r="E21664" s="10" t="inlineStr">
        <is>
          <t>Lương:Cạnh tranh</t>
        </is>
      </c>
      <c r="F21664" s="10" t="inlineStr">
        <is>
          <t>Ninh Thuận</t>
        </is>
      </c>
      <c r="G21664" s="10" t="inlineStr">
        <is>
          <t>Hôm nay</t>
        </is>
      </c>
      <c r="H21664" s="10" t="inlineStr">
        <is>
          <t>17/03/2026</t>
        </is>
      </c>
      <c r="I21664" s="10" t="inlineStr">
        <is>
          <t>17/03/2026</t>
        </is>
      </c>
      <c r="J21664" s="10" t="inlineStr">
        <is>
          <t>Bán hàng / Kinh doanh, Kế toán / Kiểm toán, Ngân hàng</t>
        </is>
      </c>
      <c r="K21664" s="10" t="inlineStr">
        <is>
          <t>N/A</t>
        </is>
      </c>
      <c r="L21664" s="11">
        <f>HYPERLINK("https://careerviet.vn/vi/tim-viec-lam/ninh-thuan-chuyen-vien-quan-he-khach-hang-ca-nhan.35C65D15.html","Xem chi tiết")</f>
        <v/>
      </c>
      <c r="M21664" s="10" t="n"/>
    </row>
    <row r="21665">
      <c r="B21665" s="7" t="n">
        <v>21663</v>
      </c>
      <c r="C21665" t="inlineStr">
        <is>
          <t>Sales Manger (Chinese-speaking)</t>
        </is>
      </c>
      <c r="D21665" t="inlineStr">
        <is>
          <t>Công Ty TNHH Dự Án Hồ Tràm</t>
        </is>
      </c>
      <c r="E21665" t="inlineStr">
        <is>
          <t>Lương:Cạnh tranh</t>
        </is>
      </c>
      <c r="F21665" t="inlineStr">
        <is>
          <t>Hồ Chí Minh</t>
        </is>
      </c>
      <c r="G21665" t="inlineStr">
        <is>
          <t>Hôm nay</t>
        </is>
      </c>
      <c r="H21665" t="inlineStr">
        <is>
          <t>17/03/2026</t>
        </is>
      </c>
      <c r="I21665" t="inlineStr">
        <is>
          <t>17/03/2026</t>
        </is>
      </c>
      <c r="J21665" t="inlineStr">
        <is>
          <t>Bán hàng / Kinh doanh</t>
        </is>
      </c>
      <c r="K21665" t="inlineStr">
        <is>
          <t>Trên 4 Năm</t>
        </is>
      </c>
      <c r="L21665" s="8">
        <f>HYPERLINK("https://careerviet.vn/vi/tim-viec-lam/sales-manger-chinese-speaking.35C65D6A.html","Xem chi tiết")</f>
        <v/>
      </c>
    </row>
    <row r="21666">
      <c r="B21666" s="9" t="n">
        <v>21664</v>
      </c>
      <c r="C21666" s="10" t="inlineStr">
        <is>
          <t>Nhân viên Dự toán</t>
        </is>
      </c>
      <c r="D21666" s="10" t="inlineStr">
        <is>
          <t>Công Ty Cổ Phần Cơ Khí Xây Dựng Thương Mại Đại Dũng</t>
        </is>
      </c>
      <c r="E21666" s="10" t="inlineStr">
        <is>
          <t>Lương:Cạnh tranh</t>
        </is>
      </c>
      <c r="F21666" s="10" t="inlineStr">
        <is>
          <t>Hồ Chí Minh</t>
        </is>
      </c>
      <c r="G21666" s="10" t="inlineStr">
        <is>
          <t>Hôm nay</t>
        </is>
      </c>
      <c r="H21666" s="10" t="inlineStr">
        <is>
          <t>17/03/2026</t>
        </is>
      </c>
      <c r="I21666" s="10" t="inlineStr">
        <is>
          <t>17/03/2026</t>
        </is>
      </c>
      <c r="J21666" s="10" t="inlineStr">
        <is>
          <t>Xây dựng</t>
        </is>
      </c>
      <c r="K21666" s="10" t="inlineStr">
        <is>
          <t>N/A</t>
        </is>
      </c>
      <c r="L21666" s="11">
        <f>HYPERLINK("https://careerviet.vn/vi/tim-viec-lam/nhan-vien-du-toan.35C65D85.html","Xem chi tiết")</f>
        <v/>
      </c>
      <c r="M21666" s="10" t="n"/>
    </row>
    <row r="21667">
      <c r="B21667" s="7" t="n">
        <v>21665</v>
      </c>
      <c r="C21667" t="inlineStr">
        <is>
          <t>Kế toán tổng hợp</t>
        </is>
      </c>
      <c r="D21667" t="inlineStr">
        <is>
          <t>CÔNG TY TNHH NÔNG SẢN QUỐC TẾ ĐỨC VINH</t>
        </is>
      </c>
      <c r="E21667" t="inlineStr">
        <is>
          <t>Lương:Cạnh tranh</t>
        </is>
      </c>
      <c r="F21667" t="inlineStr">
        <is>
          <t>Long An</t>
        </is>
      </c>
      <c r="G21667" t="inlineStr">
        <is>
          <t>Hôm nay</t>
        </is>
      </c>
      <c r="H21667" t="inlineStr">
        <is>
          <t>17/03/2026</t>
        </is>
      </c>
      <c r="I21667" t="inlineStr">
        <is>
          <t>17/03/2026</t>
        </is>
      </c>
      <c r="J21667" t="inlineStr">
        <is>
          <t>Kế toán / Kiểm toán</t>
        </is>
      </c>
      <c r="K21667" t="inlineStr">
        <is>
          <t>1 - 3 Năm</t>
        </is>
      </c>
      <c r="L21667" s="8">
        <f>HYPERLINK("https://careerviet.vn/vi/tim-viec-lam/ke-toan-tong-hop.35C6320D.html","Xem chi tiết")</f>
        <v/>
      </c>
    </row>
    <row r="21668">
      <c r="B21668" s="9" t="n">
        <v>21666</v>
      </c>
      <c r="C21668" s="10" t="inlineStr">
        <is>
          <t>CVC/CVCC Quản lý hiệu quả Phòng Quản lý MAF - TA159</t>
        </is>
      </c>
      <c r="D21668" s="10" t="inlineStr">
        <is>
          <t>Ngân Hàng TMCP Việt Nam Thịnh Vượng - VPBANK</t>
        </is>
      </c>
      <c r="E21668" s="10" t="inlineStr">
        <is>
          <t>Lương:20 Tr - 50 Tr VND</t>
        </is>
      </c>
      <c r="F21668" s="10" t="inlineStr">
        <is>
          <t>Hà Nội</t>
        </is>
      </c>
      <c r="G21668" s="10" t="inlineStr">
        <is>
          <t>Hôm nay</t>
        </is>
      </c>
      <c r="H21668" s="10" t="inlineStr">
        <is>
          <t>17/03/2026</t>
        </is>
      </c>
      <c r="I21668" s="10" t="inlineStr">
        <is>
          <t>17/03/2026</t>
        </is>
      </c>
      <c r="J21668" s="10" t="inlineStr">
        <is>
          <t>Ngân hàng, Tài chính / Đầu tư</t>
        </is>
      </c>
      <c r="K21668" s="10" t="inlineStr">
        <is>
          <t>Trên 3 Năm</t>
        </is>
      </c>
      <c r="L21668" s="11">
        <f>HYPERLINK("https://careerviet.vn/vi/tim-viec-lam/cvc-cvcc-quan-ly-hieu-qua-phong-quan-ly-maf-ta159.35C65C3B.html","Xem chi tiết")</f>
        <v/>
      </c>
      <c r="M21668" s="10" t="n"/>
    </row>
    <row r="21669">
      <c r="B21669" s="7" t="n">
        <v>21667</v>
      </c>
      <c r="C21669" t="inlineStr">
        <is>
          <t>Chuyên viên cao cấp Quản lý Rủi ro Gian lận và Tội phạm Tài chính</t>
        </is>
      </c>
      <c r="D21669" t="inlineStr">
        <is>
          <t>Ngân Hàng TMCP Tiên Phong (TPBank)</t>
        </is>
      </c>
      <c r="E21669" t="inlineStr">
        <is>
          <t>Lương:Cạnh tranh</t>
        </is>
      </c>
      <c r="F21669" t="inlineStr">
        <is>
          <t>Hà Nội</t>
        </is>
      </c>
      <c r="G21669" t="inlineStr">
        <is>
          <t>Hôm nay</t>
        </is>
      </c>
      <c r="H21669" t="inlineStr">
        <is>
          <t>17/03/2026</t>
        </is>
      </c>
      <c r="I21669" t="inlineStr">
        <is>
          <t>17/03/2026</t>
        </is>
      </c>
      <c r="J21669" t="inlineStr">
        <is>
          <t>Ngân hàng, Quản lý chất lượng (QA/QC)</t>
        </is>
      </c>
      <c r="K21669" t="inlineStr">
        <is>
          <t>3 - 5 Năm</t>
        </is>
      </c>
      <c r="L21669" s="8">
        <f>HYPERLINK("https://careerviet.vn/vi/tim-viec-lam/chuyen-vien-cao-cap-quan-ly-rui-ro-gian-lan-va-toi-pham-tai-chinh.35C631E9.html","Xem chi tiết")</f>
        <v/>
      </c>
    </row>
    <row r="21670">
      <c r="B21670" s="9" t="n">
        <v>21668</v>
      </c>
      <c r="C21670" s="10" t="inlineStr">
        <is>
          <t>Giám sát buồng phòng</t>
        </is>
      </c>
      <c r="D21670" s="10" t="inlineStr">
        <is>
          <t>Công Ty Cổ Phần A25 Hotel</t>
        </is>
      </c>
      <c r="E21670" s="10" t="inlineStr">
        <is>
          <t>Lương:15 Tr - 25 Tr VND</t>
        </is>
      </c>
      <c r="F21670" s="10" t="inlineStr">
        <is>
          <t>Hà Nội</t>
        </is>
      </c>
      <c r="G21670" s="10" t="inlineStr">
        <is>
          <t>Hôm nay</t>
        </is>
      </c>
      <c r="H21670" s="10" t="inlineStr">
        <is>
          <t>17/03/2026</t>
        </is>
      </c>
      <c r="I21670" s="10" t="inlineStr">
        <is>
          <t>17/03/2026</t>
        </is>
      </c>
      <c r="J21670" s="10" t="inlineStr">
        <is>
          <t>Nhà hàng / Khách sạn, Dịch vụ khách hàng, Lao động phổ thông</t>
        </is>
      </c>
      <c r="K21670" s="10" t="inlineStr">
        <is>
          <t>1 - 2 Năm</t>
        </is>
      </c>
      <c r="L21670" s="11">
        <f>HYPERLINK("https://careerviet.vn/vi/tim-viec-lam/giam-sat-buong-phong.35C65DAC.html","Xem chi tiết")</f>
        <v/>
      </c>
      <c r="M21670" s="10" t="n"/>
    </row>
    <row r="21671">
      <c r="B21671" s="7" t="n">
        <v>21669</v>
      </c>
      <c r="C21671" t="inlineStr">
        <is>
          <t>Đại diện bán hàng</t>
        </is>
      </c>
      <c r="D21671" t="inlineStr">
        <is>
          <t>Hệ Thống Cửa Hàng Giày Da Đông Hải</t>
        </is>
      </c>
      <c r="E21671" t="inlineStr">
        <is>
          <t>Lương:13 Tr - 16 Tr VND</t>
        </is>
      </c>
      <c r="F21671" t="inlineStr">
        <is>
          <t>Hà Nội</t>
        </is>
      </c>
      <c r="G21671" t="inlineStr">
        <is>
          <t>Hôm nay</t>
        </is>
      </c>
      <c r="H21671" t="inlineStr">
        <is>
          <t>17/03/2026</t>
        </is>
      </c>
      <c r="I21671" t="inlineStr">
        <is>
          <t>17/03/2026</t>
        </is>
      </c>
      <c r="J21671" t="inlineStr">
        <is>
          <t>Bán lẻ / Bán sỉ, Bán hàng / Kinh doanh, Tư vấnBằng cấpTrung cấpThời gian làm việc• Ca sáng: 8h30-17h0 (nghỉ 1 tiếng) • Ca trưa: 14h – 22h (nghỉ 1 tiếnĐộ tuổi22 - 35</t>
        </is>
      </c>
      <c r="K21671" t="inlineStr">
        <is>
          <t>N/A</t>
        </is>
      </c>
      <c r="L21671" s="8">
        <f>HYPERLINK("https://careerviet.vn/vi/tim-viec-lam/dai-dien-ban-hang.35C631DC.html","Xem chi tiết")</f>
        <v/>
      </c>
    </row>
    <row r="21672">
      <c r="B21672" s="9" t="n">
        <v>21670</v>
      </c>
      <c r="C21672" s="10" t="inlineStr">
        <is>
          <t>Trưởng/ Phó phòng Hành chính nhân sự</t>
        </is>
      </c>
      <c r="D21672" s="10" t="inlineStr">
        <is>
          <t>HR Vietnam’s ESS Client</t>
        </is>
      </c>
      <c r="E21672" s="10" t="inlineStr">
        <is>
          <t>Lương:Cạnh tranh</t>
        </is>
      </c>
      <c r="F21672" s="10" t="inlineStr">
        <is>
          <t>Nam Định</t>
        </is>
      </c>
      <c r="G21672" s="10" t="inlineStr">
        <is>
          <t>Hôm nay</t>
        </is>
      </c>
      <c r="H21672" s="10" t="inlineStr">
        <is>
          <t>17/03/2026</t>
        </is>
      </c>
      <c r="I21672" s="10" t="inlineStr">
        <is>
          <t>17/03/2026</t>
        </is>
      </c>
      <c r="J21672" s="10" t="inlineStr">
        <is>
          <t>Xây dựng, Quản lý điều hành, Nhân sự</t>
        </is>
      </c>
      <c r="K21672" s="10" t="inlineStr">
        <is>
          <t>3 - 5 Năm</t>
        </is>
      </c>
      <c r="L21672" s="11">
        <f>HYPERLINK("https://careerviet.vn/vi/tim-viec-lam/truong-pho-phong-hanh-chinh-nhan-su.35C65D62.html","Xem chi tiết")</f>
        <v/>
      </c>
      <c r="M21672" s="10" t="n"/>
    </row>
    <row r="21673">
      <c r="B21673" s="7" t="n">
        <v>21671</v>
      </c>
      <c r="C21673" t="inlineStr">
        <is>
          <t>Payable Accountant</t>
        </is>
      </c>
      <c r="D21673" t="inlineStr">
        <is>
          <t>Công Ty Avanti - Group</t>
        </is>
      </c>
      <c r="E21673" t="inlineStr">
        <is>
          <t>Lương:Cạnh tranh</t>
        </is>
      </c>
      <c r="F21673" t="inlineStr">
        <is>
          <t>Hồ Chí Minh</t>
        </is>
      </c>
      <c r="G21673" t="inlineStr">
        <is>
          <t>Hôm nay</t>
        </is>
      </c>
      <c r="H21673" t="inlineStr">
        <is>
          <t>17/03/2026</t>
        </is>
      </c>
      <c r="I21673" t="inlineStr">
        <is>
          <t>17/03/2026</t>
        </is>
      </c>
      <c r="J21673" t="inlineStr">
        <is>
          <t>Kế toán / Kiểm toán, Bán lẻ / Bán sỉ</t>
        </is>
      </c>
      <c r="K21673" t="inlineStr">
        <is>
          <t>2 - 3 Năm</t>
        </is>
      </c>
      <c r="L21673" s="8">
        <f>HYPERLINK("https://careerviet.vn/vi/tim-viec-lam/payable-accountant.35C63167.html","Xem chi tiết")</f>
        <v/>
      </c>
    </row>
    <row r="21674">
      <c r="B21674" s="9" t="n">
        <v>21672</v>
      </c>
      <c r="C21674" s="10" t="inlineStr">
        <is>
          <t>Business Analyst</t>
        </is>
      </c>
      <c r="D21674" s="10" t="inlineStr">
        <is>
          <t>Công ty TNHH Viettel - CHT</t>
        </is>
      </c>
      <c r="E21674" s="10" t="inlineStr">
        <is>
          <t>Lương:Cạnh tranh</t>
        </is>
      </c>
      <c r="F21674" s="10" t="inlineStr">
        <is>
          <t>Hà Nội</t>
        </is>
      </c>
      <c r="G21674" s="10" t="inlineStr">
        <is>
          <t>Hôm nay</t>
        </is>
      </c>
      <c r="H21674" s="10" t="inlineStr">
        <is>
          <t>17/03/2026</t>
        </is>
      </c>
      <c r="I21674" s="10" t="inlineStr">
        <is>
          <t>17/03/2026</t>
        </is>
      </c>
      <c r="J21674" s="10" t="inlineStr">
        <is>
          <t>CNTT - Phần mềm</t>
        </is>
      </c>
      <c r="K21674" s="10" t="inlineStr">
        <is>
          <t>Trên 2 Năm</t>
        </is>
      </c>
      <c r="L21674" s="11">
        <f>HYPERLINK("https://careerviet.vn/vi/tim-viec-lam/business-analyst.35C65D49.html","Xem chi tiết")</f>
        <v/>
      </c>
      <c r="M21674" s="10" t="n"/>
    </row>
    <row r="21675">
      <c r="B21675" s="7" t="n">
        <v>21673</v>
      </c>
      <c r="C21675" t="inlineStr">
        <is>
          <t>Chuyên viên nhân sự tổng hợp</t>
        </is>
      </c>
      <c r="D21675" t="inlineStr">
        <is>
          <t>BỆNH VIỆN ĐA KHOA PHƯƠNG ĐÔNG</t>
        </is>
      </c>
      <c r="E21675" t="inlineStr">
        <is>
          <t>Lương:13 Tr - 17 Tr VND</t>
        </is>
      </c>
      <c r="F21675" t="inlineStr">
        <is>
          <t>Hà Nội</t>
        </is>
      </c>
      <c r="G21675" t="inlineStr">
        <is>
          <t>Hôm nay</t>
        </is>
      </c>
      <c r="H21675" t="inlineStr">
        <is>
          <t>17/03/2026</t>
        </is>
      </c>
      <c r="I21675" t="inlineStr">
        <is>
          <t>17/03/2026</t>
        </is>
      </c>
      <c r="J21675" t="inlineStr">
        <is>
          <t>Nhân sự</t>
        </is>
      </c>
      <c r="K21675" t="inlineStr">
        <is>
          <t>3 - 5 Năm</t>
        </is>
      </c>
      <c r="L21675" s="8">
        <f>HYPERLINK("https://careerviet.vn/vi/tim-viec-lam/chuyen-vien-nhan-su-tong-hop.35C631CD.html","Xem chi tiết")</f>
        <v/>
      </c>
    </row>
    <row r="21676">
      <c r="B21676" s="9" t="n">
        <v>21674</v>
      </c>
      <c r="C21676" s="10" t="inlineStr">
        <is>
          <t>Market Research Executive</t>
        </is>
      </c>
      <c r="D21676" s="10" t="inlineStr">
        <is>
          <t>CÔNG TY TNHH SẢN XUẤT XÂY DỰNG ÁNH DƯƠNG XANH</t>
        </is>
      </c>
      <c r="E21676" s="10" t="inlineStr">
        <is>
          <t>Lương:15 Tr - 20 Tr VND</t>
        </is>
      </c>
      <c r="F21676" s="10" t="inlineStr">
        <is>
          <t>Hồ Chí Minh</t>
        </is>
      </c>
      <c r="G21676" s="10" t="inlineStr">
        <is>
          <t>Hôm nay</t>
        </is>
      </c>
      <c r="H21676" s="10" t="inlineStr">
        <is>
          <t>17/03/2026</t>
        </is>
      </c>
      <c r="I21676" s="10" t="inlineStr">
        <is>
          <t>17/03/2026</t>
        </is>
      </c>
      <c r="J21676" s="10" t="inlineStr">
        <is>
          <t>Tiếp thị / Marketing, Xuất nhập khẩu, Đồ gỗ</t>
        </is>
      </c>
      <c r="K21676" s="10" t="inlineStr">
        <is>
          <t>2 - 3 Năm</t>
        </is>
      </c>
      <c r="L21676" s="11">
        <f>HYPERLINK("https://careerviet.vn/vi/tim-viec-lam/market-research-executive.35C631CE.html","Xem chi tiết")</f>
        <v/>
      </c>
      <c r="M21676" s="10" t="n"/>
    </row>
    <row r="21677">
      <c r="B21677" s="7" t="n">
        <v>21675</v>
      </c>
      <c r="C21677" t="inlineStr">
        <is>
          <t>Chuyên Viên Tư Vấn Tuyển Sinh / Bán Hàng / Kinh Doanh / Sales/ Consultant - Thu Nhập từ 12 triệu đến không giới hạn - ILA Dĩ An</t>
        </is>
      </c>
      <c r="D21677" t="inlineStr">
        <is>
          <t>ILA Việt Nam</t>
        </is>
      </c>
      <c r="E21677" t="inlineStr">
        <is>
          <t>Lương:Cạnh tranh</t>
        </is>
      </c>
      <c r="F21677" t="inlineStr">
        <is>
          <t>Bình Dương</t>
        </is>
      </c>
      <c r="G21677" t="inlineStr">
        <is>
          <t>Hôm nay</t>
        </is>
      </c>
      <c r="H21677" t="inlineStr">
        <is>
          <t>17/03/2026</t>
        </is>
      </c>
      <c r="I21677" t="inlineStr">
        <is>
          <t>17/03/2026</t>
        </is>
      </c>
      <c r="J21677" t="inlineStr">
        <is>
          <t>Tư vấn, Dịch vụ khách hàng, Giáo dục / Đào tạo</t>
        </is>
      </c>
      <c r="K21677" t="inlineStr">
        <is>
          <t>1 - 2 Năm</t>
        </is>
      </c>
      <c r="L21677" s="8">
        <f>HYPERLINK("https://careerviet.vn/vi/tim-viec-lam/chuyen-vien-tu-van-tuyen-sinh-ban-hang-kinh-doanh-sales-consultant-thu-nhap-tu-12-trieu-den-khong-gioi-han-ila-di-an.35C630BC.html","Xem chi tiết")</f>
        <v/>
      </c>
    </row>
    <row r="21678">
      <c r="B21678" s="9" t="n">
        <v>21676</v>
      </c>
      <c r="C21678" s="10" t="inlineStr">
        <is>
          <t>[NMS] - Product Owner</t>
        </is>
      </c>
      <c r="D21678" s="10" t="inlineStr">
        <is>
          <t>Nova Service Group - Công ty Cổ phần Tập đoàn Nova Services</t>
        </is>
      </c>
      <c r="E21678" s="10" t="inlineStr">
        <is>
          <t>Lương:Cạnh tranh</t>
        </is>
      </c>
      <c r="F21678" s="10" t="inlineStr">
        <is>
          <t>Hồ Chí Minh</t>
        </is>
      </c>
      <c r="G21678" s="10" t="inlineStr">
        <is>
          <t>Hôm nay</t>
        </is>
      </c>
      <c r="H21678" s="10" t="inlineStr">
        <is>
          <t>17/03/2026</t>
        </is>
      </c>
      <c r="I21678" s="10" t="inlineStr">
        <is>
          <t>17/03/2026</t>
        </is>
      </c>
      <c r="J21678" s="10" t="inlineStr">
        <is>
          <t>CNTT - Phần mềm</t>
        </is>
      </c>
      <c r="K21678" s="10" t="inlineStr">
        <is>
          <t>8 - 20 Năm</t>
        </is>
      </c>
      <c r="L21678" s="11">
        <f>HYPERLINK("https://careerviet.vn/vi/tim-viec-lam/nms-product-owner.35C65C9E.html","Xem chi tiết")</f>
        <v/>
      </c>
      <c r="M21678" s="10" t="n"/>
    </row>
    <row r="21679">
      <c r="B21679" s="7" t="n">
        <v>21677</v>
      </c>
      <c r="C21679" t="inlineStr">
        <is>
          <t>Trợ lý Kế toán (tiếng Anh hoặc tiếng Hàn)</t>
        </is>
      </c>
      <c r="D21679" t="inlineStr">
        <is>
          <t>Công Ty TNHH Thương Mại K&amp;K Toàn Cầu</t>
        </is>
      </c>
      <c r="E21679" t="inlineStr">
        <is>
          <t>Lương:10 Tr - 15 Tr VND</t>
        </is>
      </c>
      <c r="F21679" t="inlineStr">
        <is>
          <t>Hà Nội</t>
        </is>
      </c>
      <c r="G21679" t="inlineStr">
        <is>
          <t>Hôm nay</t>
        </is>
      </c>
      <c r="H21679" t="inlineStr">
        <is>
          <t>17/03/2026</t>
        </is>
      </c>
      <c r="I21679" t="inlineStr">
        <is>
          <t>17/03/2026</t>
        </is>
      </c>
      <c r="J21679" t="inlineStr">
        <is>
          <t>Biên phiên dịch, Kế toán / Kiểm toán</t>
        </is>
      </c>
      <c r="K21679" t="inlineStr">
        <is>
          <t>N/A</t>
        </is>
      </c>
      <c r="L21679" s="8">
        <f>HYPERLINK("https://careerviet.vn/vi/tim-viec-lam/tro-ly-ke-toan-tieng-anh-hoac-tieng-han.35C6304A.html","Xem chi tiết")</f>
        <v/>
      </c>
    </row>
    <row r="21680">
      <c r="B21680" s="9" t="n">
        <v>21678</v>
      </c>
      <c r="C21680" s="10" t="inlineStr">
        <is>
          <t>Nhân viên An ninh - Bảo vệ (Thủ Đức)</t>
        </is>
      </c>
      <c r="D21680" s="10" t="inlineStr">
        <is>
          <t>Công ty TNHH MTV Sen Vàng Việt Nam</t>
        </is>
      </c>
      <c r="E21680" s="10" t="inlineStr">
        <is>
          <t>Lương:9,5 Tr - 10 Tr VND</t>
        </is>
      </c>
      <c r="F21680" s="10" t="inlineStr">
        <is>
          <t>Hồ Chí Minh</t>
        </is>
      </c>
      <c r="G21680" s="10" t="inlineStr">
        <is>
          <t>Hôm nay</t>
        </is>
      </c>
      <c r="H21680" s="10" t="inlineStr">
        <is>
          <t>17/03/2026</t>
        </is>
      </c>
      <c r="I21680" s="10" t="inlineStr">
        <is>
          <t>17/03/2026</t>
        </is>
      </c>
      <c r="J21680" s="10" t="inlineStr">
        <is>
          <t>Lao động phổ thông, An Ninh / Bảo Vệ, Sản xuất / Vận hành sản xuất</t>
        </is>
      </c>
      <c r="K21680" s="10" t="inlineStr">
        <is>
          <t>Chưa có kinh nghiệm</t>
        </is>
      </c>
      <c r="L21680" s="11">
        <f>HYPERLINK("https://careerviet.vn/vi/tim-viec-lam/nhan-vien-an-ninh-bao-ve-thu-duc.35C65D4B.html","Xem chi tiết")</f>
        <v/>
      </c>
      <c r="M21680" s="10" t="n"/>
    </row>
    <row r="21681">
      <c r="B21681" s="7" t="n">
        <v>21679</v>
      </c>
      <c r="C21681" t="inlineStr">
        <is>
          <t>TRỢ LÝ KIỂM TOÁN NỘI BỘ</t>
        </is>
      </c>
      <c r="D21681" t="inlineStr">
        <is>
          <t>Công ty TNHH Giày Apache Việt Nam</t>
        </is>
      </c>
      <c r="E21681" t="inlineStr">
        <is>
          <t>Lương:Cạnh tranh</t>
        </is>
      </c>
      <c r="F21681" t="inlineStr">
        <is>
          <t>Tiền Giang</t>
        </is>
      </c>
      <c r="G21681" t="inlineStr">
        <is>
          <t>Hôm nay</t>
        </is>
      </c>
      <c r="H21681" t="inlineStr">
        <is>
          <t>17/03/2026</t>
        </is>
      </c>
      <c r="I21681" t="inlineStr">
        <is>
          <t>17/03/2026</t>
        </is>
      </c>
      <c r="J21681" t="inlineStr">
        <is>
          <t>Kế toán / Kiểm toán</t>
        </is>
      </c>
      <c r="K21681" t="inlineStr">
        <is>
          <t>1 - 2 Năm</t>
        </is>
      </c>
      <c r="L21681" s="8">
        <f>HYPERLINK("https://careerviet.vn/vi/tim-viec-lam/tro-ly-kiem-toan-noi-bo.35C631F1.html","Xem chi tiết")</f>
        <v/>
      </c>
    </row>
    <row r="21682">
      <c r="B21682" s="9" t="n">
        <v>21680</v>
      </c>
      <c r="C21682" s="10" t="inlineStr">
        <is>
          <t>Nhân viên Thống kê Sản xuất</t>
        </is>
      </c>
      <c r="D21682" s="10" t="inlineStr">
        <is>
          <t>Công Ty Cổ Phần Trang</t>
        </is>
      </c>
      <c r="E21682" s="10" t="inlineStr">
        <is>
          <t>Lương:Cạnh tranh</t>
        </is>
      </c>
      <c r="F21682" s="10" t="inlineStr">
        <is>
          <t>Hồ Chí Minh</t>
        </is>
      </c>
      <c r="G21682" s="10" t="inlineStr">
        <is>
          <t>Hôm nay</t>
        </is>
      </c>
      <c r="H21682" s="10" t="inlineStr">
        <is>
          <t>17/03/2026</t>
        </is>
      </c>
      <c r="I21682" s="10" t="inlineStr">
        <is>
          <t>17/03/2026</t>
        </is>
      </c>
      <c r="J21682" s="10" t="inlineStr">
        <is>
          <t>Sản xuất / Vận hành sản xuất</t>
        </is>
      </c>
      <c r="K21682" s="10" t="inlineStr">
        <is>
          <t>Trên 1 Năm</t>
        </is>
      </c>
      <c r="L21682" s="11">
        <f>HYPERLINK("https://careerviet.vn/vi/tim-viec-lam/nhan-vien-thong-ke-san-xuat.35C631AD.html","Xem chi tiết")</f>
        <v/>
      </c>
      <c r="M21682" s="10" t="n"/>
    </row>
    <row r="21683">
      <c r="B21683" s="7" t="n">
        <v>21681</v>
      </c>
      <c r="C21683" t="inlineStr">
        <is>
          <t>Giám sát bán hàng - Khu vực Bà Rịa</t>
        </is>
      </c>
      <c r="D21683" t="inlineStr">
        <is>
          <t>PepsiCo Foods Vietnam Company</t>
        </is>
      </c>
      <c r="E21683" t="inlineStr">
        <is>
          <t>Lương:Cạnh tranh</t>
        </is>
      </c>
      <c r="F21683" t="inlineStr">
        <is>
          <t>Bà Rịa - Vũng Tàu</t>
        </is>
      </c>
      <c r="G21683" t="inlineStr">
        <is>
          <t>Hôm nay</t>
        </is>
      </c>
      <c r="H21683" t="inlineStr">
        <is>
          <t>17/03/2026</t>
        </is>
      </c>
      <c r="I21683" t="inlineStr">
        <is>
          <t>17/03/2026</t>
        </is>
      </c>
      <c r="J21683" t="inlineStr">
        <is>
          <t>Bán hàng / Kinh doanh, Thực phẩm &amp; Đồ uống</t>
        </is>
      </c>
      <c r="K21683" t="inlineStr">
        <is>
          <t>5 - 10 Năm</t>
        </is>
      </c>
      <c r="L21683" s="8">
        <f>HYPERLINK("https://careerviet.vn/vi/tim-viec-lam/giam-sat-ban-hang-khu-vuc-ba-ria.35C65D5C.html","Xem chi tiết")</f>
        <v/>
      </c>
    </row>
    <row r="21684">
      <c r="B21684" s="9" t="n">
        <v>21682</v>
      </c>
      <c r="C21684" s="10" t="inlineStr">
        <is>
          <t>Thực tập sinh Chuyên Ngành Ngôn Ngữ Trung</t>
        </is>
      </c>
      <c r="D21684" s="10" t="inlineStr">
        <is>
          <t>CÔNG TY TNHH ACTR</t>
        </is>
      </c>
      <c r="E21684" s="10" t="inlineStr">
        <is>
          <t>Lương:4 Tr - 6 Tr VND</t>
        </is>
      </c>
      <c r="F21684" s="10" t="inlineStr">
        <is>
          <t>Tây Ninh</t>
        </is>
      </c>
      <c r="G21684" s="10" t="inlineStr">
        <is>
          <t>Hôm nay</t>
        </is>
      </c>
      <c r="H21684" s="10" t="inlineStr">
        <is>
          <t>17/03/2026</t>
        </is>
      </c>
      <c r="I21684" s="10" t="inlineStr">
        <is>
          <t>17/03/2026</t>
        </is>
      </c>
      <c r="J21684" s="10" t="inlineStr">
        <is>
          <t>Biên phiên dịch, Sản xuất / Vận hành sản xuất, Mới tốt nghiệp / Thực tập</t>
        </is>
      </c>
      <c r="K21684" s="10" t="inlineStr">
        <is>
          <t>N/A</t>
        </is>
      </c>
      <c r="L21684" s="11">
        <f>HYPERLINK("https://careerviet.vn/vi/tim-viec-lam/thuc-tap-sinh-chuyen-nganh-ngon-ngu-trung.35C6593E.html","Xem chi tiết")</f>
        <v/>
      </c>
      <c r="M21684" s="10" t="n"/>
    </row>
    <row r="21685">
      <c r="B21685" s="7" t="n">
        <v>21683</v>
      </c>
      <c r="C21685" t="inlineStr">
        <is>
          <t>Tổ trưởng Quản lý chất lượng</t>
        </is>
      </c>
      <c r="D21685" t="inlineStr">
        <is>
          <t>Công ty Omron Healthcare Manufacturing Việt Nam</t>
        </is>
      </c>
      <c r="E21685" t="inlineStr">
        <is>
          <t>Lương:Cạnh tranh</t>
        </is>
      </c>
      <c r="F21685" t="inlineStr">
        <is>
          <t>Bình DươngHồ Chí Minh</t>
        </is>
      </c>
      <c r="G21685" t="inlineStr">
        <is>
          <t>Hôm nay</t>
        </is>
      </c>
      <c r="H21685" t="inlineStr">
        <is>
          <t>17/03/2026</t>
        </is>
      </c>
      <c r="I21685" t="inlineStr">
        <is>
          <t>17/03/2026</t>
        </is>
      </c>
      <c r="J21685" t="inlineStr">
        <is>
          <t>Cơ khí / Ô tô / Tự động hóa, Điện / Điện tử / Điện lạnh / Điện công nghiệp, Quản lý chất lượng (QA/QC)</t>
        </is>
      </c>
      <c r="K21685" t="inlineStr">
        <is>
          <t>1 - 3 Năm</t>
        </is>
      </c>
      <c r="L21685" s="8">
        <f>HYPERLINK("https://careerviet.vn/vi/tim-viec-lam/to-truong-quan-ly-chat-luong.35C65BEA.html","Xem chi tiết")</f>
        <v/>
      </c>
    </row>
    <row r="21686">
      <c r="B21686" s="9" t="n">
        <v>21684</v>
      </c>
      <c r="C21686" s="10" t="inlineStr">
        <is>
          <t>Tuyển dụng Kỹ Sư điện, Kỹ thuật viên điện tại Campuchia</t>
        </is>
      </c>
      <c r="D21686" s="10" t="inlineStr">
        <is>
          <t>Công ty CP Thành Thành Công - Biên Hòa</t>
        </is>
      </c>
      <c r="E21686" s="10" t="inlineStr">
        <is>
          <t>Lương:Cạnh tranh</t>
        </is>
      </c>
      <c r="F21686" s="10" t="inlineStr">
        <is>
          <t>Kratie</t>
        </is>
      </c>
      <c r="G21686" s="10" t="inlineStr">
        <is>
          <t>Hôm nay</t>
        </is>
      </c>
      <c r="H21686" s="10" t="inlineStr">
        <is>
          <t>17/03/2026</t>
        </is>
      </c>
      <c r="I21686" s="10" t="inlineStr">
        <is>
          <t>17/03/2026</t>
        </is>
      </c>
      <c r="J21686" s="10" t="inlineStr">
        <is>
          <t>Bảo trì / Sửa chữa, Sản xuất / Vận hành sản xuất, Điện / Điện tử / Điện lạnh / Điện công nghiệp</t>
        </is>
      </c>
      <c r="K21686" s="10" t="inlineStr">
        <is>
          <t>1 - 2 Năm</t>
        </is>
      </c>
      <c r="L21686" s="11">
        <f>HYPERLINK("https://careerviet.vn/vi/tim-viec-lam/tuyen-dung-ky-su-dien-ky-thuat-vien-dien-tai-campuchia.35C65C7B.html","Xem chi tiết")</f>
        <v/>
      </c>
      <c r="M21686" s="10" t="n"/>
    </row>
    <row r="21687">
      <c r="B21687" s="7" t="n">
        <v>21685</v>
      </c>
      <c r="C21687" t="inlineStr">
        <is>
          <t>Nhân Viên Bán Hàng</t>
        </is>
      </c>
      <c r="D21687" t="inlineStr">
        <is>
          <t>Công ty Cổ phần CANIFA</t>
        </is>
      </c>
      <c r="E21687" t="inlineStr">
        <is>
          <t>Lương:7 Tr - 10 Tr VND</t>
        </is>
      </c>
      <c r="F21687" t="inlineStr">
        <is>
          <t>Hồ Chí MinhBình DươngĐồng Nai</t>
        </is>
      </c>
      <c r="G21687" t="inlineStr">
        <is>
          <t>Hôm nay</t>
        </is>
      </c>
      <c r="H21687" t="inlineStr">
        <is>
          <t>17/03/2026</t>
        </is>
      </c>
      <c r="I21687" t="inlineStr">
        <is>
          <t>17/03/2026</t>
        </is>
      </c>
      <c r="J21687" t="inlineStr">
        <is>
          <t>Tiếp thị / Marketing, Bán lẻ / Bán sỉ, Bán hàng / Kinh doanh</t>
        </is>
      </c>
      <c r="K21687" t="inlineStr">
        <is>
          <t>Chưa có kinh nghiệm</t>
        </is>
      </c>
      <c r="L21687" s="8">
        <f>HYPERLINK("https://careerviet.vn/vi/tim-viec-lam/nhan-vien-ban-hang.35C65CD5.html","Xem chi tiết")</f>
        <v/>
      </c>
    </row>
    <row r="21688">
      <c r="B21688" s="9" t="n">
        <v>21686</v>
      </c>
      <c r="C21688" s="10" t="inlineStr">
        <is>
          <t>Nhân viên Nhập Khẩu (Tiếng Trung)</t>
        </is>
      </c>
      <c r="D21688" s="10" t="inlineStr">
        <is>
          <t>CÔNG TY TNNH THƯƠNG MẠI TIANXINGYUN VIỆT NAM</t>
        </is>
      </c>
      <c r="E21688" s="10" t="inlineStr">
        <is>
          <t>Lương:16 Tr - 20 Tr VND</t>
        </is>
      </c>
      <c r="F21688" s="10" t="inlineStr">
        <is>
          <t>Hồ Chí Minh</t>
        </is>
      </c>
      <c r="G21688" s="10" t="inlineStr">
        <is>
          <t>Hôm nay</t>
        </is>
      </c>
      <c r="H21688" s="10" t="inlineStr">
        <is>
          <t>17/03/2026</t>
        </is>
      </c>
      <c r="I21688" s="10" t="inlineStr">
        <is>
          <t>17/03/2026</t>
        </is>
      </c>
      <c r="J21688" s="10" t="inlineStr">
        <is>
          <t>Vận chuyển / Giao nhận / Kho vận, Xuất nhập khẩu, Hàng gia dụng / Chăm sóc cá nhân</t>
        </is>
      </c>
      <c r="K21688" s="10" t="inlineStr">
        <is>
          <t>Trên 2 Năm</t>
        </is>
      </c>
      <c r="L21688" s="11">
        <f>HYPERLINK("https://careerviet.vn/vi/tim-viec-lam/nhan-vien-nhap-khau-tieng-trung.35C65C88.html","Xem chi tiết")</f>
        <v/>
      </c>
      <c r="M21688" s="10" t="n"/>
    </row>
    <row r="21689">
      <c r="B21689" s="7" t="n">
        <v>21687</v>
      </c>
      <c r="C21689" t="inlineStr">
        <is>
          <t>GIÁO VIÊN LỊCH SỬ</t>
        </is>
      </c>
      <c r="D21689" t="inlineStr">
        <is>
          <t>HỆ THỐNG GIÁO DỤC EDUFIT</t>
        </is>
      </c>
      <c r="E21689" t="inlineStr">
        <is>
          <t>Lương:12 Tr - 14 Tr VND</t>
        </is>
      </c>
      <c r="F21689" t="inlineStr">
        <is>
          <t>Hải Phòng</t>
        </is>
      </c>
      <c r="G21689" t="inlineStr">
        <is>
          <t>Hôm nay</t>
        </is>
      </c>
      <c r="H21689" t="inlineStr">
        <is>
          <t>17/03/2026</t>
        </is>
      </c>
      <c r="I21689" t="inlineStr">
        <is>
          <t>17/03/2026</t>
        </is>
      </c>
      <c r="J21689" t="inlineStr">
        <is>
          <t>Giáo dục / Đào tạo</t>
        </is>
      </c>
      <c r="K21689" t="inlineStr">
        <is>
          <t>Trên 3 Năm</t>
        </is>
      </c>
      <c r="L21689" s="8">
        <f>HYPERLINK("https://careerviet.vn/vi/tim-viec-lam/giao-vien-lich-su.35C65D5F.html","Xem chi tiết")</f>
        <v/>
      </c>
    </row>
    <row r="21690">
      <c r="B21690" s="9" t="n">
        <v>21688</v>
      </c>
      <c r="C21690" s="10" t="inlineStr">
        <is>
          <t>Field Service Engineer  (Hai Phong)</t>
        </is>
      </c>
      <c r="D21690" s="10" t="inlineStr">
        <is>
          <t>CÔNG TY TNHH BESI VIỆT NAM</t>
        </is>
      </c>
      <c r="E21690" s="10" t="inlineStr">
        <is>
          <t>Lương:Cạnh tranh</t>
        </is>
      </c>
      <c r="F21690" s="10" t="inlineStr">
        <is>
          <t>Hồ Chí Minh</t>
        </is>
      </c>
      <c r="G21690" s="10" t="inlineStr">
        <is>
          <t>Hôm nay</t>
        </is>
      </c>
      <c r="H21690" s="10" t="inlineStr">
        <is>
          <t>17/03/2026</t>
        </is>
      </c>
      <c r="I21690" s="10" t="inlineStr">
        <is>
          <t>17/03/2026</t>
        </is>
      </c>
      <c r="J21690" s="10" t="inlineStr">
        <is>
          <t>Dịch vụ khách hàng, Sản xuất / Vận hành sản xuất</t>
        </is>
      </c>
      <c r="K21690" s="10" t="inlineStr">
        <is>
          <t>3 - 5 Năm</t>
        </is>
      </c>
      <c r="L21690" s="11">
        <f>HYPERLINK("https://careerviet.vn/vi/tim-viec-lam/field-service-engineer-hai-phong.35C65D65.html","Xem chi tiết")</f>
        <v/>
      </c>
      <c r="M21690" s="10" t="n"/>
    </row>
    <row r="21691">
      <c r="B21691" s="7" t="n">
        <v>21689</v>
      </c>
      <c r="C21691" t="inlineStr">
        <is>
          <t>Lễ tân hệ thống phòng tập Tepfit Fitness &amp; Yoga</t>
        </is>
      </c>
      <c r="D21691" t="inlineStr">
        <is>
          <t>Công Ty Cổ Phần Tập Đoàn Đầu Tư KLB</t>
        </is>
      </c>
      <c r="E21691" t="inlineStr">
        <is>
          <t>Lương:6 Tr - 7 Tr VND</t>
        </is>
      </c>
      <c r="F21691" t="inlineStr">
        <is>
          <t>Hà Nội</t>
        </is>
      </c>
      <c r="G21691" t="inlineStr">
        <is>
          <t>Hôm nay</t>
        </is>
      </c>
      <c r="H21691" t="inlineStr">
        <is>
          <t>17/03/2026</t>
        </is>
      </c>
      <c r="I21691" t="inlineStr">
        <is>
          <t>17/03/2026</t>
        </is>
      </c>
      <c r="J21691" t="inlineStr">
        <is>
          <t>Y tế / Chăm sóc sức khỏe / Thẩm mỹ / Làm đẹp, Hành chính / Thư ký, Nhân sự</t>
        </is>
      </c>
      <c r="K21691" t="inlineStr">
        <is>
          <t>N/A</t>
        </is>
      </c>
      <c r="L21691" s="8">
        <f>HYPERLINK("https://careerviet.vn/vi/tim-viec-lam/le-tan-he-thong-phong-tap-tepfit-fitness-yoga.35C63181.html","Xem chi tiết")</f>
        <v/>
      </c>
    </row>
    <row r="21692">
      <c r="B21692" s="9" t="n">
        <v>21690</v>
      </c>
      <c r="C21692" s="10" t="inlineStr">
        <is>
          <t>Nhân Viên Quản Lý Cộng Đồng (SOCIAL COMMUNITY)</t>
        </is>
      </c>
      <c r="D21692" s="10" t="inlineStr">
        <is>
          <t>Công Ty Cổ Phần TEECOM</t>
        </is>
      </c>
      <c r="E21692" s="10" t="inlineStr">
        <is>
          <t>Lương:Cạnh tranh</t>
        </is>
      </c>
      <c r="F21692" s="10" t="inlineStr">
        <is>
          <t>Hồ Chí Minh</t>
        </is>
      </c>
      <c r="G21692" s="10" t="inlineStr">
        <is>
          <t>Hôm nay</t>
        </is>
      </c>
      <c r="H21692" s="10" t="inlineStr">
        <is>
          <t>17/03/2026</t>
        </is>
      </c>
      <c r="I21692" s="10" t="inlineStr">
        <is>
          <t>17/03/2026</t>
        </is>
      </c>
      <c r="J21692" s="10" t="inlineStr">
        <is>
          <t>Tiếp thị / Marketing, Tiếp thị trực tuyến, Thương mại điện tử</t>
        </is>
      </c>
      <c r="K21692" s="10" t="inlineStr">
        <is>
          <t>1 - 4 Năm</t>
        </is>
      </c>
      <c r="L21692" s="11">
        <f>HYPERLINK("https://careerviet.vn/vi/tim-viec-lam/nhan-vien-quan-ly-cong-dong-social-community.35C65D41.html","Xem chi tiết")</f>
        <v/>
      </c>
      <c r="M21692" s="10" t="n"/>
    </row>
    <row r="21693">
      <c r="B21693" s="7" t="n">
        <v>21691</v>
      </c>
      <c r="C21693" t="inlineStr">
        <is>
          <t>Nhân viên thiết kế</t>
        </is>
      </c>
      <c r="D21693" t="inlineStr">
        <is>
          <t>Công ty Cổ phần Golden Path Academics Việt Nam (GPA)</t>
        </is>
      </c>
      <c r="E21693" t="inlineStr">
        <is>
          <t>Lương:12 Tr - 15 Tr VND</t>
        </is>
      </c>
      <c r="F21693" t="inlineStr">
        <is>
          <t>Hà Nội</t>
        </is>
      </c>
      <c r="G21693" t="inlineStr">
        <is>
          <t>Hôm nay</t>
        </is>
      </c>
      <c r="H21693" t="inlineStr">
        <is>
          <t>17/03/2026</t>
        </is>
      </c>
      <c r="I21693" t="inlineStr">
        <is>
          <t>17/03/2026</t>
        </is>
      </c>
      <c r="J21693" t="inlineStr">
        <is>
          <t>Mỹ thuật / Nghệ thuật / Thiết kế</t>
        </is>
      </c>
      <c r="K21693" t="inlineStr">
        <is>
          <t>2 - 3 Năm</t>
        </is>
      </c>
      <c r="L21693" s="8">
        <f>HYPERLINK("https://careerviet.vn/vi/tim-viec-lam/nhan-vien-thiet-ke.35C630CB.html","Xem chi tiết")</f>
        <v/>
      </c>
    </row>
    <row r="21694">
      <c r="B21694" s="9" t="n">
        <v>21692</v>
      </c>
      <c r="C21694" s="10" t="inlineStr">
        <is>
          <t>BẮC TỪ LIÊM - BUSINESS ANALYST (15-20 triệu)</t>
        </is>
      </c>
      <c r="D21694" s="10" t="inlineStr">
        <is>
          <t>CÔNG TY CỔ PHẦN TẬP ĐOÀN DEKKO</t>
        </is>
      </c>
      <c r="E21694" s="10" t="inlineStr">
        <is>
          <t>Lương:15 Tr - 20 Tr VND</t>
        </is>
      </c>
      <c r="F21694" s="10" t="inlineStr">
        <is>
          <t>Hà Nội</t>
        </is>
      </c>
      <c r="G21694" s="10" t="inlineStr">
        <is>
          <t>Hôm nay</t>
        </is>
      </c>
      <c r="H21694" s="10" t="inlineStr">
        <is>
          <t>17/03/2026</t>
        </is>
      </c>
      <c r="I21694" s="10" t="inlineStr">
        <is>
          <t>17/03/2026</t>
        </is>
      </c>
      <c r="J21694" s="10" t="inlineStr">
        <is>
          <t>CNTT - Phần mềm</t>
        </is>
      </c>
      <c r="K21694" s="10" t="inlineStr">
        <is>
          <t>Chưa có kinh nghiệm</t>
        </is>
      </c>
      <c r="L21694" s="11">
        <f>HYPERLINK("https://careerviet.vn/vi/tim-viec-lam/bac-tu-liem-business-analyst-15-20-trieu.35C63103.html","Xem chi tiết")</f>
        <v/>
      </c>
      <c r="M21694" s="10" t="n"/>
    </row>
    <row r="21695">
      <c r="B21695" s="7" t="n">
        <v>21693</v>
      </c>
      <c r="C21695" t="inlineStr">
        <is>
          <t>Giao dịch viên - Hải Phòng</t>
        </is>
      </c>
      <c r="D21695" t="inlineStr">
        <is>
          <t>Ngân hàng TMCP Đại Chúng Việt Nam - PVcomBank</t>
        </is>
      </c>
      <c r="E21695" t="inlineStr">
        <is>
          <t>Lương:Cạnh tranh</t>
        </is>
      </c>
      <c r="F21695" t="inlineStr">
        <is>
          <t>Hải Phòng</t>
        </is>
      </c>
      <c r="G21695" t="inlineStr">
        <is>
          <t>Hôm nay</t>
        </is>
      </c>
      <c r="H21695" t="inlineStr">
        <is>
          <t>17/03/2026</t>
        </is>
      </c>
      <c r="I21695" t="inlineStr">
        <is>
          <t>17/03/2026</t>
        </is>
      </c>
      <c r="J21695" t="inlineStr">
        <is>
          <t>Ngân hàng</t>
        </is>
      </c>
      <c r="K21695" t="inlineStr">
        <is>
          <t>1 - 2 Năm</t>
        </is>
      </c>
      <c r="L21695" s="8">
        <f>HYPERLINK("https://careerviet.vn/vi/tim-viec-lam/giao-dich-vien-hai-phong.35C65BE9.html","Xem chi tiết")</f>
        <v/>
      </c>
    </row>
    <row r="21696">
      <c r="B21696" s="9" t="n">
        <v>21694</v>
      </c>
      <c r="C21696" s="10" t="inlineStr">
        <is>
          <t>Cửa hàng trưởng</t>
        </is>
      </c>
      <c r="D21696" s="10" t="inlineStr">
        <is>
          <t>CÔNG TY CỔ PHẦN THỰC PHẨM ĐÔNG LẠNH KIDO</t>
        </is>
      </c>
      <c r="E21696" s="10" t="inlineStr">
        <is>
          <t>Lương:9 Tr - 12 Tr VND</t>
        </is>
      </c>
      <c r="F21696" s="10" t="inlineStr">
        <is>
          <t>Hồ Chí Minh</t>
        </is>
      </c>
      <c r="G21696" s="10" t="inlineStr">
        <is>
          <t>Hôm nay</t>
        </is>
      </c>
      <c r="H21696" s="10" t="inlineStr">
        <is>
          <t>17/03/2026</t>
        </is>
      </c>
      <c r="I21696" s="10" t="inlineStr">
        <is>
          <t>17/03/2026</t>
        </is>
      </c>
      <c r="J21696" s="10" t="inlineStr">
        <is>
          <t>Bán hàng / Kinh doanh, Thực phẩm &amp; Đồ uống</t>
        </is>
      </c>
      <c r="K21696" s="10" t="inlineStr">
        <is>
          <t>1 - 3 Năm</t>
        </is>
      </c>
      <c r="L21696" s="11">
        <f>HYPERLINK("https://careerviet.vn/vi/tim-viec-lam/cua-hang-truong.35C65DA8.html","Xem chi tiết")</f>
        <v/>
      </c>
      <c r="M21696" s="10" t="n"/>
    </row>
    <row r="21697">
      <c r="B21697" s="7" t="n">
        <v>21695</v>
      </c>
      <c r="C21697" t="inlineStr">
        <is>
          <t>KẾ TOÁN DỰ ÁN</t>
        </is>
      </c>
      <c r="D21697" t="inlineStr">
        <is>
          <t>CÔNG TY TNHH DB HOME</t>
        </is>
      </c>
      <c r="E21697" t="inlineStr">
        <is>
          <t>Lương:Cạnh tranh</t>
        </is>
      </c>
      <c r="F21697" t="inlineStr">
        <is>
          <t>Tây Ninh</t>
        </is>
      </c>
      <c r="G21697" t="inlineStr">
        <is>
          <t>Hôm nay</t>
        </is>
      </c>
      <c r="H21697" t="inlineStr">
        <is>
          <t>17/03/2026</t>
        </is>
      </c>
      <c r="I21697" t="inlineStr">
        <is>
          <t>17/03/2026</t>
        </is>
      </c>
      <c r="J21697" t="inlineStr">
        <is>
          <t>Kế toán / Kiểm toán, Tài chính / Đầu tư, Bất động sản</t>
        </is>
      </c>
      <c r="K21697" t="inlineStr">
        <is>
          <t>1 - 2 Năm</t>
        </is>
      </c>
      <c r="L21697" s="8">
        <f>HYPERLINK("https://careerviet.vn/vi/tim-viec-lam/ke-toan-du-an.35C65D9B.html","Xem chi tiết")</f>
        <v/>
      </c>
    </row>
    <row r="21698">
      <c r="B21698" s="9" t="n">
        <v>21696</v>
      </c>
      <c r="C21698" s="10" t="inlineStr">
        <is>
          <t>CHUYÊN VIÊN C&amp;B</t>
        </is>
      </c>
      <c r="D21698" s="10" t="inlineStr">
        <is>
          <t>CÔNG TY CỔ PHẦN THÀNH PHỐ DU LỊCH SINH THÁI SƠN TIÊN</t>
        </is>
      </c>
      <c r="E21698" s="10" t="inlineStr">
        <is>
          <t>Lương:Cạnh tranh</t>
        </is>
      </c>
      <c r="F21698" s="10" t="inlineStr">
        <is>
          <t>Đồng Nai</t>
        </is>
      </c>
      <c r="G21698" s="10" t="inlineStr">
        <is>
          <t>Hôm nay</t>
        </is>
      </c>
      <c r="H21698" s="10" t="inlineStr">
        <is>
          <t>17/03/2026</t>
        </is>
      </c>
      <c r="I21698" s="10" t="inlineStr">
        <is>
          <t>17/03/2026</t>
        </is>
      </c>
      <c r="J21698" s="10" t="inlineStr">
        <is>
          <t>Nhân sự</t>
        </is>
      </c>
      <c r="K21698" s="10" t="inlineStr">
        <is>
          <t>Trên 2 Năm</t>
        </is>
      </c>
      <c r="L21698" s="11">
        <f>HYPERLINK("https://careerviet.vn/vi/tim-viec-lam/chuyen-vien-c-b.35C63070.html","Xem chi tiết")</f>
        <v/>
      </c>
      <c r="M21698" s="10" t="n"/>
    </row>
    <row r="21699">
      <c r="B21699" s="7" t="n">
        <v>21697</v>
      </c>
      <c r="C21699" t="inlineStr">
        <is>
          <t>TỔ TRƯỞNG KIỂM TOÁN NỘI BỘ</t>
        </is>
      </c>
      <c r="D21699" t="inlineStr">
        <is>
          <t>Công ty TNHH Giày Apache Việt Nam</t>
        </is>
      </c>
      <c r="E21699" t="inlineStr">
        <is>
          <t>Lương:Cạnh tranh</t>
        </is>
      </c>
      <c r="F21699" t="inlineStr">
        <is>
          <t>Tiền Giang</t>
        </is>
      </c>
      <c r="G21699" t="inlineStr">
        <is>
          <t>Hôm nay</t>
        </is>
      </c>
      <c r="H21699" t="inlineStr">
        <is>
          <t>17/03/2026</t>
        </is>
      </c>
      <c r="I21699" t="inlineStr">
        <is>
          <t>17/03/2026</t>
        </is>
      </c>
      <c r="J21699" t="inlineStr">
        <is>
          <t>Kế toán / Kiểm toán</t>
        </is>
      </c>
      <c r="K21699" t="inlineStr">
        <is>
          <t>3 - 5 Năm</t>
        </is>
      </c>
      <c r="L21699" s="8">
        <f>HYPERLINK("https://careerviet.vn/vi/tim-viec-lam/to-truong-kiem-toan-noi-bo.35C631EE.html","Xem chi tiết")</f>
        <v/>
      </c>
    </row>
    <row r="21700">
      <c r="B21700" s="9" t="n">
        <v>21698</v>
      </c>
      <c r="C21700" s="10" t="inlineStr">
        <is>
          <t>KẾ TOÁN GIÁ THÀNH</t>
        </is>
      </c>
      <c r="D21700" s="10" t="inlineStr">
        <is>
          <t>CÔNG TY TNHH DB HOME</t>
        </is>
      </c>
      <c r="E21700" s="10" t="inlineStr">
        <is>
          <t>Lương:Cạnh tranh</t>
        </is>
      </c>
      <c r="F21700" s="10" t="inlineStr">
        <is>
          <t>Hưng Yên</t>
        </is>
      </c>
      <c r="G21700" s="10" t="inlineStr">
        <is>
          <t>Hôm nay</t>
        </is>
      </c>
      <c r="H21700" s="10" t="inlineStr">
        <is>
          <t>17/03/2026</t>
        </is>
      </c>
      <c r="I21700" s="10" t="inlineStr">
        <is>
          <t>17/03/2026</t>
        </is>
      </c>
      <c r="J21700" s="10" t="inlineStr">
        <is>
          <t>Tài chính / Đầu tư, Xây dựng, Bất động sản</t>
        </is>
      </c>
      <c r="K21700" s="10" t="inlineStr">
        <is>
          <t>1 - 2 Năm</t>
        </is>
      </c>
      <c r="L21700" s="11">
        <f>HYPERLINK("https://careerviet.vn/vi/tim-viec-lam/ke-toan-gia-thanh.35C65D95.html","Xem chi tiết")</f>
        <v/>
      </c>
      <c r="M21700" s="10" t="n"/>
    </row>
    <row r="21701">
      <c r="B21701" s="7" t="n">
        <v>21699</v>
      </c>
      <c r="C21701" t="inlineStr">
        <is>
          <t>126892 - Trưởng phòng kinh doanh Kênh FS - ngành FMCG</t>
        </is>
      </c>
      <c r="D21701" t="inlineStr">
        <is>
          <t>RGF HR Agent Vietnam Co., LTD</t>
        </is>
      </c>
      <c r="E21701" t="inlineStr">
        <is>
          <t>Lương:35 Tr - 40 Tr VND</t>
        </is>
      </c>
      <c r="F21701" t="inlineStr">
        <is>
          <t>Hà Nội</t>
        </is>
      </c>
      <c r="G21701" t="inlineStr">
        <is>
          <t>Hôm nay</t>
        </is>
      </c>
      <c r="H21701" t="inlineStr">
        <is>
          <t>17/03/2026</t>
        </is>
      </c>
      <c r="I21701" t="inlineStr">
        <is>
          <t>17/03/2026</t>
        </is>
      </c>
      <c r="J21701" t="inlineStr">
        <is>
          <t>Thực phẩm &amp; Đồ uống, Ngành khác</t>
        </is>
      </c>
      <c r="K21701" t="inlineStr">
        <is>
          <t>Trên 1 Năm</t>
        </is>
      </c>
      <c r="L21701" s="8">
        <f>HYPERLINK("https://careerviet.vn/vi/tim-viec-lam/126892-truong-phong-kinh-doanh-kenh-fs-nganh-fmcg.35C65DBB.html","Xem chi tiết")</f>
        <v/>
      </c>
    </row>
    <row r="21702">
      <c r="B21702" s="9" t="n">
        <v>21700</v>
      </c>
      <c r="C21702" s="10" t="inlineStr">
        <is>
          <t>Nhân viên kinh doanh - Bán hàng thiết bị</t>
        </is>
      </c>
      <c r="D21702" s="10" t="inlineStr">
        <is>
          <t>CÔNG TY TNHH THƯƠNG MẠI &amp; KỸ THUẬT V.M.S</t>
        </is>
      </c>
      <c r="E21702" s="10" t="inlineStr">
        <is>
          <t>Lương:Cạnh tranh</t>
        </is>
      </c>
      <c r="F21702" s="10" t="inlineStr">
        <is>
          <t>Hồ Chí Minh</t>
        </is>
      </c>
      <c r="G21702" s="10" t="inlineStr">
        <is>
          <t>Hôm nay</t>
        </is>
      </c>
      <c r="H21702" s="10" t="inlineStr">
        <is>
          <t>17/03/2026</t>
        </is>
      </c>
      <c r="I21702" s="10" t="inlineStr">
        <is>
          <t>17/03/2026</t>
        </is>
      </c>
      <c r="J21702" s="10" t="inlineStr">
        <is>
          <t>Bán hàng / Kinh doanh, Bán Hàng Kỹ Thuật</t>
        </is>
      </c>
      <c r="K21702" s="10" t="inlineStr">
        <is>
          <t>1 - 3 Năm</t>
        </is>
      </c>
      <c r="L21702" s="11">
        <f>HYPERLINK("https://careerviet.vn/vi/tim-viec-lam/nhan-vien-kinh-doanh-ban-hang-thiet-bi.35C630CA.html","Xem chi tiết")</f>
        <v/>
      </c>
      <c r="M21702" s="10" t="n"/>
    </row>
    <row r="21703">
      <c r="B21703" s="7" t="n">
        <v>21701</v>
      </c>
      <c r="C21703" t="inlineStr">
        <is>
          <t>CHUYÊN VIÊN XỬ LÝ NỢ QUA ĐIỆN THOẠI</t>
        </is>
      </c>
      <c r="D21703" t="inlineStr">
        <is>
          <t>CÔNG TY TNHH K&amp;M VINA</t>
        </is>
      </c>
      <c r="E21703" t="inlineStr">
        <is>
          <t>Lương:Cạnh tranh</t>
        </is>
      </c>
      <c r="F21703" t="inlineStr">
        <is>
          <t>Hồ Chí Minh</t>
        </is>
      </c>
      <c r="G21703" t="inlineStr">
        <is>
          <t>Hôm nay</t>
        </is>
      </c>
      <c r="H21703" t="inlineStr">
        <is>
          <t>17/03/2026</t>
        </is>
      </c>
      <c r="I21703" t="inlineStr">
        <is>
          <t>17/03/2026</t>
        </is>
      </c>
      <c r="J21703" t="inlineStr">
        <is>
          <t>Luật / Pháp lý, Tài chính / Đầu tư, Ngành khác</t>
        </is>
      </c>
      <c r="K21703" t="inlineStr">
        <is>
          <t>1 - 2 Năm</t>
        </is>
      </c>
      <c r="L21703" s="8">
        <f>HYPERLINK("https://careerviet.vn/vi/tim-viec-lam/chuyen-vien-xu-ly-no-qua-dien-thoai.35C630D6.html","Xem chi tiết")</f>
        <v/>
      </c>
    </row>
    <row r="21704">
      <c r="B21704" s="9" t="n">
        <v>21702</v>
      </c>
      <c r="C21704" s="10" t="inlineStr">
        <is>
          <t>Phó Giám đốc Chi nhánh - BVBank Khánh Hòa - KV Miền Trung</t>
        </is>
      </c>
      <c r="D21704" s="10" t="inlineStr">
        <is>
          <t>BVBank - Ngân hàng Bản Việt</t>
        </is>
      </c>
      <c r="E21704" s="10" t="inlineStr">
        <is>
          <t>Lương:Cạnh tranh</t>
        </is>
      </c>
      <c r="F21704" s="10" t="inlineStr">
        <is>
          <t>Khánh Hòa</t>
        </is>
      </c>
      <c r="G21704" s="10" t="inlineStr">
        <is>
          <t>Hôm nay</t>
        </is>
      </c>
      <c r="H21704" s="10" t="inlineStr">
        <is>
          <t>17/03/2026</t>
        </is>
      </c>
      <c r="I21704" s="10" t="inlineStr">
        <is>
          <t>17/03/2026</t>
        </is>
      </c>
      <c r="J21704" s="10" t="inlineStr">
        <is>
          <t>Ngân hàng, Tài chính / Đầu tư</t>
        </is>
      </c>
      <c r="K21704" s="10" t="inlineStr">
        <is>
          <t>5 - 6 Năm</t>
        </is>
      </c>
      <c r="L21704" s="11">
        <f>HYPERLINK("https://careerviet.vn/vi/tim-viec-lam/pho-giam-doc-chi-nhanh-bvbank-khanh-hoa-kv-mien-trung.35C6305A.html","Xem chi tiết")</f>
        <v/>
      </c>
      <c r="M21704" s="10" t="n"/>
    </row>
    <row r="21705">
      <c r="B21705" s="7" t="n">
        <v>21703</v>
      </c>
      <c r="C21705" t="inlineStr">
        <is>
          <t>Nhân Viên Kỹ Thuật</t>
        </is>
      </c>
      <c r="D21705" t="inlineStr">
        <is>
          <t>CÔNG TY TNHH THƯƠNG MẠI THIẾT BỊ KỸ THUẬT TIÊN TIẾN</t>
        </is>
      </c>
      <c r="E21705" t="inlineStr">
        <is>
          <t>Lương:Cạnh tranh</t>
        </is>
      </c>
      <c r="F21705" t="inlineStr">
        <is>
          <t>Hồ Chí MinhHà Nội</t>
        </is>
      </c>
      <c r="G21705" t="inlineStr">
        <is>
          <t>Hôm nay</t>
        </is>
      </c>
      <c r="H21705" t="inlineStr">
        <is>
          <t>17/03/2026</t>
        </is>
      </c>
      <c r="I21705" t="inlineStr">
        <is>
          <t>17/03/2026</t>
        </is>
      </c>
      <c r="J21705" t="inlineStr">
        <is>
          <t>Điện / Điện tử / Điện lạnh / Điện công nghiệp, Cơ khí / Ô tô / Tự động hóa, Bảo trì / Sửa chữa</t>
        </is>
      </c>
      <c r="K21705" t="inlineStr">
        <is>
          <t>Trên 1 Năm</t>
        </is>
      </c>
      <c r="L21705" s="8">
        <f>HYPERLINK("https://careerviet.vn/vi/tim-viec-lam/nhan-vien-ky-thuat.35C62E0F.html","Xem chi tiết")</f>
        <v/>
      </c>
    </row>
    <row r="21706">
      <c r="B21706" s="9" t="n">
        <v>21704</v>
      </c>
      <c r="C21706" s="10" t="inlineStr">
        <is>
          <t>[Đồng Nai] Chuyên viên QS (Tổng thầu) - Alphanam Group</t>
        </is>
      </c>
      <c r="D21706" s="10" t="inlineStr">
        <is>
          <t>Alphanam Group</t>
        </is>
      </c>
      <c r="E21706" s="10" t="inlineStr">
        <is>
          <t>Lương:Cạnh tranh</t>
        </is>
      </c>
      <c r="F21706" s="10" t="inlineStr">
        <is>
          <t>Đồng Nai</t>
        </is>
      </c>
      <c r="G21706" s="10" t="inlineStr">
        <is>
          <t>1</t>
        </is>
      </c>
      <c r="H21706" s="10" t="inlineStr">
        <is>
          <t>17/03/2026</t>
        </is>
      </c>
      <c r="I21706" s="10" t="inlineStr">
        <is>
          <t>17/03/2026</t>
        </is>
      </c>
      <c r="J21706" s="10" t="inlineStr">
        <is>
          <t>Xây dựng, Bất động sản</t>
        </is>
      </c>
      <c r="K21706" s="10" t="inlineStr">
        <is>
          <t>null - null Năm</t>
        </is>
      </c>
      <c r="L21706" s="11">
        <f>HYPERLINK("https://careerviet.vn/vi/tim-viec-lam/dong-nai-chuyen-vien-qs-tong-thau-alphanam-group.35C68B8C.html","Xem chi tiết")</f>
        <v/>
      </c>
      <c r="M21706" s="10" t="n"/>
    </row>
    <row r="21707">
      <c r="B21707" s="7" t="n">
        <v>21705</v>
      </c>
      <c r="C21707" t="inlineStr">
        <is>
          <t>Kỹ sư Thiết kế sản phẩm (Cơ khí/35 triệu)</t>
        </is>
      </c>
      <c r="D21707" t="inlineStr">
        <is>
          <t>Tập Đoàn Karofi Holding</t>
        </is>
      </c>
      <c r="E21707" t="inlineStr">
        <is>
          <t>Lương:Cạnh tranh</t>
        </is>
      </c>
      <c r="F21707" t="inlineStr">
        <is>
          <t>Hà NộiHưng Yên</t>
        </is>
      </c>
      <c r="G21707" t="inlineStr">
        <is>
          <t>15-02-2026</t>
        </is>
      </c>
      <c r="H21707" t="inlineStr">
        <is>
          <t>11/03/2026</t>
        </is>
      </c>
      <c r="I21707" t="inlineStr">
        <is>
          <t>17/03/2026</t>
        </is>
      </c>
      <c r="J21707" t="inlineStr">
        <is>
          <t>Cơ khí / Ô tô / Tự động hóa, Sản xuất / Vận hành sản xuất, Điện / Điện tử / Điện lạnh / Điện công nghiệp</t>
        </is>
      </c>
      <c r="K21707" t="inlineStr">
        <is>
          <t>3 - 10 Năm</t>
        </is>
      </c>
      <c r="L21707" s="8">
        <f>HYPERLINK("https://careerviet.vn/vi/tim-viec-lam/ky-su-thiet-ke-san-pham-co-khi-35-trieu.35C68B90.html","Xem chi tiết")</f>
        <v/>
      </c>
    </row>
    <row r="21708">
      <c r="B21708" s="9" t="n">
        <v>21706</v>
      </c>
      <c r="C21708" s="10" t="inlineStr">
        <is>
          <t>Kế Toán Công Nợ</t>
        </is>
      </c>
      <c r="D21708" s="10" t="inlineStr">
        <is>
          <t>CÔNG TY CỔ PHẦN WINBIO</t>
        </is>
      </c>
      <c r="E21708" s="10" t="inlineStr">
        <is>
          <t>Lương:Cạnh tranh</t>
        </is>
      </c>
      <c r="F21708" s="10" t="inlineStr">
        <is>
          <t>Hà Nội</t>
        </is>
      </c>
      <c r="G21708" s="10" t="inlineStr">
        <is>
          <t>Hôm nay</t>
        </is>
      </c>
      <c r="H21708" s="10" t="inlineStr">
        <is>
          <t>17/03/2026</t>
        </is>
      </c>
      <c r="I21708" s="10" t="inlineStr">
        <is>
          <t>17/03/2026</t>
        </is>
      </c>
      <c r="J21708" s="10" t="inlineStr">
        <is>
          <t>Kế toán / Kiểm toán</t>
        </is>
      </c>
      <c r="K21708" s="10" t="inlineStr">
        <is>
          <t>Trên 2 Năm</t>
        </is>
      </c>
      <c r="L21708" s="11">
        <f>HYPERLINK("https://careerviet.vn/vi/tim-viec-lam/ke-toan-cong-no.35C65D17.html","Xem chi tiết")</f>
        <v/>
      </c>
      <c r="M21708" s="10" t="n"/>
    </row>
    <row r="21709">
      <c r="B21709" s="7" t="n">
        <v>21707</v>
      </c>
      <c r="C21709" t="inlineStr">
        <is>
          <t>Trưởng phòng Cung ứng Đấu thầu (Tổng thầu) - Alphanam Group</t>
        </is>
      </c>
      <c r="D21709" t="inlineStr">
        <is>
          <t>Alphanam Group</t>
        </is>
      </c>
      <c r="E21709" t="inlineStr">
        <is>
          <t>Lương:Cạnh tranh</t>
        </is>
      </c>
      <c r="F21709" t="inlineStr">
        <is>
          <t>Hà Nội</t>
        </is>
      </c>
      <c r="G21709" t="inlineStr">
        <is>
          <t>1</t>
        </is>
      </c>
      <c r="H21709" t="inlineStr">
        <is>
          <t>17/03/2026</t>
        </is>
      </c>
      <c r="I21709" t="inlineStr">
        <is>
          <t>17/03/2026</t>
        </is>
      </c>
      <c r="J21709" t="inlineStr">
        <is>
          <t>Xây dựng, Bất động sản</t>
        </is>
      </c>
      <c r="K21709" t="inlineStr">
        <is>
          <t>null - null Năm</t>
        </is>
      </c>
      <c r="L21709" s="8">
        <f>HYPERLINK("https://careerviet.vn/vi/tim-viec-lam/truong-phong-cung-ung-dau-thau-tong-thau-alphanam-group.35C68B8A.html","Xem chi tiết")</f>
        <v/>
      </c>
    </row>
    <row r="21710">
      <c r="B21710" s="9" t="n">
        <v>21708</v>
      </c>
      <c r="C21710" s="10" t="inlineStr">
        <is>
          <t>[Đồng Nai] Chuyên viên Giám sát Kỹ thuật (Tổng thầu) - Alphanam Group</t>
        </is>
      </c>
      <c r="D21710" s="10" t="inlineStr">
        <is>
          <t>Alphanam Group</t>
        </is>
      </c>
      <c r="E21710" s="10" t="inlineStr">
        <is>
          <t>Lương:Cạnh tranh</t>
        </is>
      </c>
      <c r="F21710" s="10" t="inlineStr">
        <is>
          <t>Đồng Nai</t>
        </is>
      </c>
      <c r="G21710" s="10" t="inlineStr">
        <is>
          <t>14-04-2026</t>
        </is>
      </c>
      <c r="H21710" s="10" t="inlineStr">
        <is>
          <t>14/04/2026</t>
        </is>
      </c>
      <c r="I21710" s="10" t="inlineStr">
        <is>
          <t>17/03/2026</t>
        </is>
      </c>
      <c r="J21710" s="10" t="inlineStr">
        <is>
          <t>Xây dựng, Bất động sản</t>
        </is>
      </c>
      <c r="K21710" s="10" t="inlineStr">
        <is>
          <t>3 - 5 Năm</t>
        </is>
      </c>
      <c r="L21710" s="11">
        <f>HYPERLINK("https://careerviet.vn/vi/tim-viec-lam/dong-nai-chuyen-vien-giam-sat-ky-thuat-tong-thau-alphanam-group.35C68B8D.html","Xem chi tiết")</f>
        <v/>
      </c>
      <c r="M21710" s="10" t="n"/>
    </row>
    <row r="21711">
      <c r="B21711" s="7" t="n">
        <v>21709</v>
      </c>
      <c r="C21711" t="inlineStr">
        <is>
          <t>Chuyên viên Khối lượng (Tổng thầu) - Alphanam Group</t>
        </is>
      </c>
      <c r="D21711" t="inlineStr">
        <is>
          <t>Alphanam Group</t>
        </is>
      </c>
      <c r="E21711" t="inlineStr">
        <is>
          <t>Lương:Cạnh tranh</t>
        </is>
      </c>
      <c r="F21711" t="inlineStr">
        <is>
          <t>Hà Nội</t>
        </is>
      </c>
      <c r="G21711" t="inlineStr">
        <is>
          <t>1</t>
        </is>
      </c>
      <c r="H21711" t="inlineStr">
        <is>
          <t>17/03/2026</t>
        </is>
      </c>
      <c r="I21711" t="inlineStr">
        <is>
          <t>17/03/2026</t>
        </is>
      </c>
      <c r="J21711" t="inlineStr">
        <is>
          <t>Xây dựng, Bất động sản</t>
        </is>
      </c>
      <c r="K21711" t="inlineStr">
        <is>
          <t>null - null Năm</t>
        </is>
      </c>
      <c r="L21711" s="8">
        <f>HYPERLINK("https://careerviet.vn/vi/tim-viec-lam/chuyen-vien-khoi-luong-tong-thau-alphanam-group.35C68B87.html","Xem chi tiết")</f>
        <v/>
      </c>
    </row>
    <row r="21712">
      <c r="B21712" s="9" t="n">
        <v>21710</v>
      </c>
      <c r="C21712" s="10" t="inlineStr">
        <is>
          <t>Chuyên viên Cung ứng (Tổng thầu) - Alphanam Group</t>
        </is>
      </c>
      <c r="D21712" s="10" t="inlineStr">
        <is>
          <t>Alphanam Group</t>
        </is>
      </c>
      <c r="E21712" s="10" t="inlineStr">
        <is>
          <t>Lương:Cạnh tranh</t>
        </is>
      </c>
      <c r="F21712" s="10" t="inlineStr">
        <is>
          <t>Hà Nội</t>
        </is>
      </c>
      <c r="G21712" s="10" t="inlineStr">
        <is>
          <t>1</t>
        </is>
      </c>
      <c r="H21712" s="10" t="inlineStr">
        <is>
          <t>17/03/2026</t>
        </is>
      </c>
      <c r="I21712" s="10" t="inlineStr">
        <is>
          <t>17/03/2026</t>
        </is>
      </c>
      <c r="J21712" s="10" t="inlineStr">
        <is>
          <t>Xây dựng, Bất động sản</t>
        </is>
      </c>
      <c r="K21712" s="10" t="inlineStr">
        <is>
          <t>null - null Năm</t>
        </is>
      </c>
      <c r="L21712" s="11">
        <f>HYPERLINK("https://careerviet.vn/vi/tim-viec-lam/chuyen-vien-cung-ung-tong-thau-alphanam-group.35C68B88.html","Xem chi tiết")</f>
        <v/>
      </c>
      <c r="M21712" s="10" t="n"/>
    </row>
    <row r="21713">
      <c r="B21713" s="7" t="n">
        <v>21711</v>
      </c>
      <c r="C21713" t="inlineStr">
        <is>
          <t>[Đắk Nông]  - Chuyên viên Quan hệ Khách hàng cá nhân</t>
        </is>
      </c>
      <c r="D21713" t="inlineStr">
        <is>
          <t>Ngân hàng TMCP Lộc Phát Việt Nam (LPBank)</t>
        </is>
      </c>
      <c r="E21713" t="inlineStr">
        <is>
          <t>Lương:Cạnh tranh</t>
        </is>
      </c>
      <c r="F21713" t="inlineStr">
        <is>
          <t>Dak Nông</t>
        </is>
      </c>
      <c r="G21713" t="inlineStr">
        <is>
          <t>Hôm nay</t>
        </is>
      </c>
      <c r="H21713" t="inlineStr">
        <is>
          <t>17/03/2026</t>
        </is>
      </c>
      <c r="I21713" t="inlineStr">
        <is>
          <t>17/03/2026</t>
        </is>
      </c>
      <c r="J21713" t="inlineStr">
        <is>
          <t>Bán hàng / Kinh doanh, Kế toán / Kiểm toán, Ngân hàng</t>
        </is>
      </c>
      <c r="K21713" t="inlineStr">
        <is>
          <t>N/A</t>
        </is>
      </c>
      <c r="L21713" s="8">
        <f>HYPERLINK("https://careerviet.vn/vi/tim-viec-lam/dak-nong-chuyen-vien-quan-he-khach-hang-ca-nhan.35C65D11.html","Xem chi tiết")</f>
        <v/>
      </c>
    </row>
    <row r="21714">
      <c r="B21714" s="9" t="n">
        <v>21712</v>
      </c>
      <c r="C21714" s="10" t="inlineStr">
        <is>
          <t>Chuyên viên Lựa chọn thầu (Tổng thầu) - Alphanam Group</t>
        </is>
      </c>
      <c r="D21714" s="10" t="inlineStr">
        <is>
          <t>Alphanam Group</t>
        </is>
      </c>
      <c r="E21714" s="10" t="inlineStr">
        <is>
          <t>Lương:Cạnh tranh</t>
        </is>
      </c>
      <c r="F21714" s="10" t="inlineStr">
        <is>
          <t>Hà Nội</t>
        </is>
      </c>
      <c r="G21714" s="10" t="inlineStr">
        <is>
          <t>1</t>
        </is>
      </c>
      <c r="H21714" s="10" t="inlineStr">
        <is>
          <t>17/03/2026</t>
        </is>
      </c>
      <c r="I21714" s="10" t="inlineStr">
        <is>
          <t>17/03/2026</t>
        </is>
      </c>
      <c r="J21714" s="10" t="inlineStr">
        <is>
          <t>Xây dựng, Bất động sản</t>
        </is>
      </c>
      <c r="K21714" s="10" t="inlineStr">
        <is>
          <t>null - null Năm</t>
        </is>
      </c>
      <c r="L21714" s="11">
        <f>HYPERLINK("https://careerviet.vn/vi/tim-viec-lam/chuyen-vien-lua-chon-thau-tong-thau-alphanam-group.35C68B85.html","Xem chi tiết")</f>
        <v/>
      </c>
      <c r="M21714" s="10" t="n"/>
    </row>
    <row r="21715">
      <c r="B21715" s="7" t="n">
        <v>21713</v>
      </c>
      <c r="C21715" t="inlineStr">
        <is>
          <t>Chuyên viên Thanh quyết toán (Tổng thầu) - Alphanam Group</t>
        </is>
      </c>
      <c r="D21715" t="inlineStr">
        <is>
          <t>Alphanam Group</t>
        </is>
      </c>
      <c r="E21715" t="inlineStr">
        <is>
          <t>Lương:Cạnh tranh</t>
        </is>
      </c>
      <c r="F21715" t="inlineStr">
        <is>
          <t>Hà Nội</t>
        </is>
      </c>
      <c r="G21715" t="inlineStr">
        <is>
          <t>1</t>
        </is>
      </c>
      <c r="H21715" t="inlineStr">
        <is>
          <t>17/03/2026</t>
        </is>
      </c>
      <c r="I21715" t="inlineStr">
        <is>
          <t>17/03/2026</t>
        </is>
      </c>
      <c r="J21715" t="inlineStr">
        <is>
          <t>Xây dựng, Bất động sản</t>
        </is>
      </c>
      <c r="K21715" t="inlineStr">
        <is>
          <t>null - null Năm</t>
        </is>
      </c>
      <c r="L21715" s="8">
        <f>HYPERLINK("https://careerviet.vn/vi/tim-viec-lam/chuyen-vien-thanh-quyet-toan-tong-thau-alphanam-group.35C68B86.html","Xem chi tiết")</f>
        <v/>
      </c>
    </row>
    <row r="21716">
      <c r="B21716" s="9" t="n">
        <v>21714</v>
      </c>
      <c r="C21716" s="10" t="inlineStr">
        <is>
          <t>[CỦ CHI] NHÂN VIÊN - THỐNG KÊ (SẢN XUẤT)</t>
        </is>
      </c>
      <c r="D21716" s="10" t="inlineStr">
        <is>
          <t>Công Ty TNHH CJ Vina Agri</t>
        </is>
      </c>
      <c r="E21716" s="10" t="inlineStr">
        <is>
          <t>Lương:8,5 Tr - 10 Tr VND</t>
        </is>
      </c>
      <c r="F21716" s="10" t="inlineStr">
        <is>
          <t>Hồ Chí Minh</t>
        </is>
      </c>
      <c r="G21716" s="10" t="inlineStr">
        <is>
          <t>15-02-2026</t>
        </is>
      </c>
      <c r="H21716" s="10" t="inlineStr">
        <is>
          <t>24/02/2026</t>
        </is>
      </c>
      <c r="I21716" s="10" t="inlineStr">
        <is>
          <t>17/03/2026</t>
        </is>
      </c>
      <c r="J21716" s="10" t="inlineStr">
        <is>
          <t>Thực phẩm &amp; Đồ uống, Thống kê, Sản xuất / Vận hành sản xuất</t>
        </is>
      </c>
      <c r="K21716" s="10" t="inlineStr">
        <is>
          <t>Chưa có kinh nghiệm</t>
        </is>
      </c>
      <c r="L21716" s="11">
        <f>HYPERLINK("https://careerviet.vn/vi/tim-viec-lam/cu-chi-nhan-vien-thong-ke-san-xuat.35C68B7B.html","Xem chi tiết")</f>
        <v/>
      </c>
      <c r="M21716" s="10" t="n"/>
    </row>
    <row r="21717">
      <c r="B21717" s="7" t="n">
        <v>21715</v>
      </c>
      <c r="C21717" t="inlineStr">
        <is>
          <t>[CỦ CHI] GIÁM SÁT - KHO (Lạnh)</t>
        </is>
      </c>
      <c r="D21717" t="inlineStr">
        <is>
          <t>Công Ty TNHH CJ Vina Agri</t>
        </is>
      </c>
      <c r="E21717" t="inlineStr">
        <is>
          <t>Lương:Cạnh tranh</t>
        </is>
      </c>
      <c r="F21717" t="inlineStr">
        <is>
          <t>Hồ Chí Minh</t>
        </is>
      </c>
      <c r="G21717" t="inlineStr">
        <is>
          <t>15-02-2026</t>
        </is>
      </c>
      <c r="H21717" t="inlineStr">
        <is>
          <t>15/03/2026</t>
        </is>
      </c>
      <c r="I21717" t="inlineStr">
        <is>
          <t>17/03/2026</t>
        </is>
      </c>
      <c r="J21717" t="inlineStr">
        <is>
          <t>Vận chuyển / Giao nhận / Kho vận, Thực phẩm &amp; Đồ uống, Sản xuất / Vận hành sản xuất</t>
        </is>
      </c>
      <c r="K21717" t="inlineStr">
        <is>
          <t>3 - 10 Năm</t>
        </is>
      </c>
      <c r="L21717" s="8">
        <f>HYPERLINK("https://careerviet.vn/vi/tim-viec-lam/cu-chi-giam-sat-kho-lanh.35C68B7C.html","Xem chi tiết")</f>
        <v/>
      </c>
    </row>
    <row r="21718">
      <c r="B21718" s="9" t="n">
        <v>21716</v>
      </c>
      <c r="C21718" s="10" t="inlineStr">
        <is>
          <t>Trưởng phòng Kinh tế Xây dựng (Tổng thầu) - Alphanam Group</t>
        </is>
      </c>
      <c r="D21718" s="10" t="inlineStr">
        <is>
          <t>Alphanam Group</t>
        </is>
      </c>
      <c r="E21718" s="10" t="inlineStr">
        <is>
          <t>Lương:Cạnh tranh</t>
        </is>
      </c>
      <c r="F21718" s="10" t="inlineStr">
        <is>
          <t>Hà Nội</t>
        </is>
      </c>
      <c r="G21718" s="10" t="inlineStr">
        <is>
          <t>1</t>
        </is>
      </c>
      <c r="H21718" s="10" t="inlineStr">
        <is>
          <t>17/03/2026</t>
        </is>
      </c>
      <c r="I21718" s="10" t="inlineStr">
        <is>
          <t>17/03/2026</t>
        </is>
      </c>
      <c r="J21718" s="10" t="inlineStr">
        <is>
          <t>Xây dựng, Bất động sản</t>
        </is>
      </c>
      <c r="K21718" s="10" t="inlineStr">
        <is>
          <t>null - null Năm</t>
        </is>
      </c>
      <c r="L21718" s="11">
        <f>HYPERLINK("https://careerviet.vn/vi/tim-viec-lam/truong-phong-kinh-te-xay-dung-tong-thau-alphanam-group.35C68B8B.html","Xem chi tiết")</f>
        <v/>
      </c>
      <c r="M21718" s="10" t="n"/>
    </row>
    <row r="21719">
      <c r="B21719" s="7" t="n">
        <v>21717</v>
      </c>
      <c r="C21719" t="inlineStr">
        <is>
          <t>Giám Đốc Khối Kỹ Thuật Sơn</t>
        </is>
      </c>
      <c r="D21719" t="inlineStr">
        <is>
          <t>TRAN DUC CORPORATION - CÔNG TY CỔ PHẦN TRẦN ĐỨC</t>
        </is>
      </c>
      <c r="E21719" t="inlineStr">
        <is>
          <t>Lương:Cạnh tranh</t>
        </is>
      </c>
      <c r="F21719" t="inlineStr">
        <is>
          <t>Bình Dương</t>
        </is>
      </c>
      <c r="G21719" t="inlineStr">
        <is>
          <t>13-04-2026</t>
        </is>
      </c>
      <c r="H21719" t="inlineStr">
        <is>
          <t>13/04/2026</t>
        </is>
      </c>
      <c r="I21719" t="inlineStr">
        <is>
          <t>17/03/2026</t>
        </is>
      </c>
      <c r="J21719" t="inlineStr">
        <is>
          <t>Sản xuất / Vận hành sản xuất, Đồ gỗ, Nội ngoại thất</t>
        </is>
      </c>
      <c r="K21719" t="inlineStr">
        <is>
          <t>2 - 3 Năm</t>
        </is>
      </c>
      <c r="L21719" s="8">
        <f>HYPERLINK("https://careerviet.vn/vi/tim-viec-lam/giam-doc-khoi-ky-thuat-son.35C65754.html","Xem chi tiết")</f>
        <v/>
      </c>
    </row>
    <row r="21720">
      <c r="B21720" s="9" t="n">
        <v>21718</v>
      </c>
      <c r="C21720" s="10" t="inlineStr">
        <is>
          <t>Thực Tập Sinh Back-End ( .Net ) Developer(Mới)</t>
        </is>
      </c>
      <c r="D21720" s="10" t="inlineStr">
        <is>
          <t>Công ty Cổ phần TOS</t>
        </is>
      </c>
      <c r="E21720" s="10" t="inlineStr">
        <is>
          <t>Lương:3 Tr - 3,0 Tr VND</t>
        </is>
      </c>
      <c r="F21720" s="10" t="inlineStr">
        <is>
          <t>Hồ Chí Minh</t>
        </is>
      </c>
      <c r="G21720" s="10" t="inlineStr">
        <is>
          <t>17-04-2026</t>
        </is>
      </c>
      <c r="H21720" s="10" t="inlineStr">
        <is>
          <t>17/04/2026</t>
        </is>
      </c>
      <c r="I21720" s="10" t="inlineStr">
        <is>
          <t>17/03/2026</t>
        </is>
      </c>
      <c r="J21720" s="10" t="inlineStr">
        <is>
          <t>Dịch vụ khách hàng, CNTT - Phần mềm</t>
        </is>
      </c>
      <c r="K21720" s="10" t="inlineStr">
        <is>
          <t>N/A</t>
        </is>
      </c>
      <c r="L21720" s="11">
        <f>HYPERLINK("https://careerviet.vn/vi/tim-viec-lam/thuc-tap-sinh-back-end-net-developer.35C6D035.html","Xem chi tiết")</f>
        <v/>
      </c>
      <c r="M21720" s="10" t="n"/>
    </row>
    <row r="21721">
      <c r="B21721" s="7" t="n">
        <v>21719</v>
      </c>
      <c r="C21721" t="inlineStr">
        <is>
          <t>Chuyên viên Ngân sách và Dự toán (Tổng thầu) - Alphanam Group</t>
        </is>
      </c>
      <c r="D21721" t="inlineStr">
        <is>
          <t>Alphanam Group</t>
        </is>
      </c>
      <c r="E21721" t="inlineStr">
        <is>
          <t>Lương:Cạnh tranh</t>
        </is>
      </c>
      <c r="F21721" t="inlineStr">
        <is>
          <t>Hà Nội</t>
        </is>
      </c>
      <c r="G21721" t="inlineStr">
        <is>
          <t>1</t>
        </is>
      </c>
      <c r="H21721" t="inlineStr">
        <is>
          <t>17/03/2026</t>
        </is>
      </c>
      <c r="I21721" t="inlineStr">
        <is>
          <t>17/03/2026</t>
        </is>
      </c>
      <c r="J21721" t="inlineStr">
        <is>
          <t>Xây dựng, Bất động sản</t>
        </is>
      </c>
      <c r="K21721" t="inlineStr">
        <is>
          <t>null - null Năm</t>
        </is>
      </c>
      <c r="L21721" s="8">
        <f>HYPERLINK("https://careerviet.vn/vi/tim-viec-lam/chuyen-vien-ngan-sach-va-du-toan-tong-thau-alphanam-group.35C68B89.html","Xem chi tiết")</f>
        <v/>
      </c>
    </row>
    <row r="21722">
      <c r="B21722" s="9" t="n">
        <v>21720</v>
      </c>
      <c r="C21722" s="10" t="inlineStr">
        <is>
          <t>[CỦ CHI] GIÁM SÁT - SẢN XUẤT (THỰC PHẨM TƯƠI SỐNG)</t>
        </is>
      </c>
      <c r="D21722" s="10" t="inlineStr">
        <is>
          <t>Công Ty TNHH CJ Vina Agri</t>
        </is>
      </c>
      <c r="E21722" s="10" t="inlineStr">
        <is>
          <t>Lương:Cạnh tranh</t>
        </is>
      </c>
      <c r="F21722" s="10" t="inlineStr">
        <is>
          <t>Hồ Chí Minh</t>
        </is>
      </c>
      <c r="G21722" s="10" t="inlineStr">
        <is>
          <t>15-02-2026</t>
        </is>
      </c>
      <c r="H21722" s="10" t="inlineStr">
        <is>
          <t>15/03/2026</t>
        </is>
      </c>
      <c r="I21722" s="10" t="inlineStr">
        <is>
          <t>17/03/2026</t>
        </is>
      </c>
      <c r="J21722" s="10" t="inlineStr">
        <is>
          <t>Thực phẩm &amp; Đồ uống, Công nghệ thực phẩm / Dinh dưỡng, Sản xuất / Vận hành sản xuất</t>
        </is>
      </c>
      <c r="K21722" s="10" t="inlineStr">
        <is>
          <t>3 - 10 Năm</t>
        </is>
      </c>
      <c r="L21722" s="11">
        <f>HYPERLINK("https://careerviet.vn/vi/tim-viec-lam/cu-chi-giam-sat-san-xuat-thuc-pham-tuoi-song.35C68B79.html","Xem chi tiết")</f>
        <v/>
      </c>
      <c r="M21722" s="10" t="n"/>
    </row>
    <row r="21723">
      <c r="B21723" s="7" t="n">
        <v>21721</v>
      </c>
      <c r="C21723" t="inlineStr">
        <is>
          <t>Nhân Viên Kinh Doanh</t>
        </is>
      </c>
      <c r="D21723" t="inlineStr">
        <is>
          <t>CÔNG TY TNHH THƯƠNG MẠI DỊCH VỤ VÀ XÂY LẮP SƠN NGỌC</t>
        </is>
      </c>
      <c r="E21723" t="inlineStr">
        <is>
          <t>Lương:Trên 8 Tr VND</t>
        </is>
      </c>
      <c r="F21723" t="inlineStr">
        <is>
          <t>Nghệ An</t>
        </is>
      </c>
      <c r="G21723" t="inlineStr">
        <is>
          <t>31-03-2026</t>
        </is>
      </c>
      <c r="H21723" t="inlineStr">
        <is>
          <t>31/03/2026</t>
        </is>
      </c>
      <c r="I21723" t="inlineStr">
        <is>
          <t>17/03/2026</t>
        </is>
      </c>
      <c r="J21723" t="inlineStr">
        <is>
          <t>Xây dựng, Tư vấn, Bán hàng / Kinh doanh</t>
        </is>
      </c>
      <c r="K21723" t="inlineStr">
        <is>
          <t>N/A</t>
        </is>
      </c>
      <c r="L21723" s="8">
        <f>HYPERLINK("https://careerviet.vn/vi/tim-viec-lam/nhan-vien-kinh-doanh.35C68B7F.html","Xem chi tiết")</f>
        <v/>
      </c>
    </row>
    <row r="21724">
      <c r="B21724" s="9" t="n">
        <v>21722</v>
      </c>
      <c r="C21724" s="10" t="inlineStr">
        <is>
          <t>Thực Tập Sinh Nhân Sự(Mới)</t>
        </is>
      </c>
      <c r="D21724" s="10" t="inlineStr">
        <is>
          <t>CÔNG TY TNHH DREAM TALENT</t>
        </is>
      </c>
      <c r="E21724" s="10" t="inlineStr">
        <is>
          <t>Lương:Cạnh tranh</t>
        </is>
      </c>
      <c r="F21724" s="10" t="inlineStr">
        <is>
          <t>Hồ Chí Minh</t>
        </is>
      </c>
      <c r="G21724" s="10" t="inlineStr">
        <is>
          <t>16-04-2026</t>
        </is>
      </c>
      <c r="H21724" s="10" t="inlineStr">
        <is>
          <t>16/04/2026</t>
        </is>
      </c>
      <c r="I21724" s="10" t="inlineStr">
        <is>
          <t>17/03/2026</t>
        </is>
      </c>
      <c r="J21724" s="10" t="inlineStr">
        <is>
          <t>Nhân sự</t>
        </is>
      </c>
      <c r="K21724" s="10" t="inlineStr">
        <is>
          <t>N/A</t>
        </is>
      </c>
      <c r="L21724" s="11">
        <f>HYPERLINK("https://careerviet.vn/vi/tim-viec-lam/thu-c-ta-p-sinh-nhan-su.35C6D00F.html","Xem chi tiết")</f>
        <v/>
      </c>
      <c r="M21724" s="10" t="n"/>
    </row>
    <row r="21725">
      <c r="B21725" s="7" t="n">
        <v>21723</v>
      </c>
      <c r="C21725" t="inlineStr">
        <is>
          <t>Quản Lý Bộ Phận Resin</t>
        </is>
      </c>
      <c r="D21725" t="inlineStr">
        <is>
          <t>TRAN DUC CORPORATION - CÔNG TY CỔ PHẦN TRẦN ĐỨC</t>
        </is>
      </c>
      <c r="E21725" t="inlineStr">
        <is>
          <t>Lương:Cạnh tranh</t>
        </is>
      </c>
      <c r="F21725" t="inlineStr">
        <is>
          <t>Bình Dương</t>
        </is>
      </c>
      <c r="G21725" t="inlineStr">
        <is>
          <t>13-04-2026</t>
        </is>
      </c>
      <c r="H21725" t="inlineStr">
        <is>
          <t>13/04/2026</t>
        </is>
      </c>
      <c r="I21725" t="inlineStr">
        <is>
          <t>17/03/2026</t>
        </is>
      </c>
      <c r="J21725" t="inlineStr">
        <is>
          <t>Hóa học, Mỹ thuật / Nghệ thuật / Thiết kế, Nội ngoại thất</t>
        </is>
      </c>
      <c r="K21725" t="inlineStr">
        <is>
          <t>2 - 3 Năm</t>
        </is>
      </c>
      <c r="L21725" s="8">
        <f>HYPERLINK("https://careerviet.vn/vi/tim-viec-lam/quan-ly-bo-phan-resin.35C65751.html","Xem chi tiết")</f>
        <v/>
      </c>
    </row>
    <row r="21726">
      <c r="B21726" s="9" t="n">
        <v>21724</v>
      </c>
      <c r="C21726" s="10" t="inlineStr">
        <is>
          <t>Video Editor Intern(Mới)</t>
        </is>
      </c>
      <c r="D21726" s="10" t="inlineStr">
        <is>
          <t>Công ty TNHH Onpoint</t>
        </is>
      </c>
      <c r="E21726" s="10" t="inlineStr">
        <is>
          <t>Lương:Trên 3,6 Tr VND</t>
        </is>
      </c>
      <c r="F21726" s="10" t="inlineStr">
        <is>
          <t>Hồ Chí Minh</t>
        </is>
      </c>
      <c r="G21726" s="10" t="inlineStr">
        <is>
          <t>30-04-2026</t>
        </is>
      </c>
      <c r="H21726" s="10" t="inlineStr">
        <is>
          <t>30/04/2026</t>
        </is>
      </c>
      <c r="I21726" s="10" t="inlineStr">
        <is>
          <t>17/03/2026</t>
        </is>
      </c>
      <c r="J21726" s="10" t="inlineStr">
        <is>
          <t>Tiếp thị / Marketing, Truyền hình / Báo chí / Biên tập, Thương mại điện tử</t>
        </is>
      </c>
      <c r="K21726" s="10" t="inlineStr">
        <is>
          <t>N/A</t>
        </is>
      </c>
      <c r="L21726" s="11">
        <f>HYPERLINK("https://careerviet.vn/vi/tim-viec-lam/video-editor-intern.35C6CFF6.html","Xem chi tiết")</f>
        <v/>
      </c>
      <c r="M21726" s="10" t="n"/>
    </row>
    <row r="21727">
      <c r="B21727" s="7" t="n">
        <v>21725</v>
      </c>
      <c r="C21727" t="inlineStr">
        <is>
          <t>English Teacher (IELTS/SAT/TOEIC)(Mới)</t>
        </is>
      </c>
      <c r="D21727" t="inlineStr">
        <is>
          <t>Công ty Cổ phần EDUVATOR</t>
        </is>
      </c>
      <c r="E21727" t="inlineStr">
        <is>
          <t>Lương:12 Tr - 24 Tr VND</t>
        </is>
      </c>
      <c r="F21727" t="inlineStr">
        <is>
          <t>Hà NộiHồ Chí Minh</t>
        </is>
      </c>
      <c r="G21727" t="inlineStr">
        <is>
          <t>15-04-2026</t>
        </is>
      </c>
      <c r="H21727" t="inlineStr">
        <is>
          <t>15/04/2026</t>
        </is>
      </c>
      <c r="I21727" t="inlineStr">
        <is>
          <t>17/03/2026</t>
        </is>
      </c>
      <c r="J21727" t="inlineStr">
        <is>
          <t>Giáo dục / Đào tạo</t>
        </is>
      </c>
      <c r="K21727" t="inlineStr">
        <is>
          <t>N/A</t>
        </is>
      </c>
      <c r="L21727" s="8">
        <f>HYPERLINK("https://careerviet.vn/vi/tim-viec-lam/english-teacher-ielts-sat-toeic.35C6CFFB.html","Xem chi tiết")</f>
        <v/>
      </c>
    </row>
    <row r="21728">
      <c r="B21728" s="9" t="n">
        <v>21726</v>
      </c>
      <c r="C21728" s="10" t="inlineStr">
        <is>
          <t>Nhân viên bán hàng</t>
        </is>
      </c>
      <c r="D21728" s="10" t="inlineStr">
        <is>
          <t>Công ty đầu tư T&amp;L Việt Nam</t>
        </is>
      </c>
      <c r="E21728" s="10" t="inlineStr">
        <is>
          <t>Lương:6 Tr - 8 Tr VND</t>
        </is>
      </c>
      <c r="F21728" s="10" t="inlineStr">
        <is>
          <t>Hà Nội</t>
        </is>
      </c>
      <c r="G21728" s="10" t="inlineStr">
        <is>
          <t>Hôm nay</t>
        </is>
      </c>
      <c r="H21728" s="10" t="inlineStr">
        <is>
          <t>17/03/2026</t>
        </is>
      </c>
      <c r="I21728" s="10" t="inlineStr">
        <is>
          <t>17/03/2026</t>
        </is>
      </c>
      <c r="J21728" s="10" t="inlineStr">
        <is>
          <t>Bán hàng / Kinh doanh, Bán lẻ / Bán sỉ, Dệt may / Da giày / Thời trang</t>
        </is>
      </c>
      <c r="K21728" s="10" t="inlineStr">
        <is>
          <t>Chưa có kinh nghiệm</t>
        </is>
      </c>
      <c r="L21728" s="11">
        <f>HYPERLINK("https://careerviet.vn/vi/tim-viec-lam/nhan-vien-ban-hang.35C631C1.html","Xem chi tiết")</f>
        <v/>
      </c>
      <c r="M21728" s="10" t="n"/>
    </row>
    <row r="21729">
      <c r="B21729" s="7" t="n">
        <v>21727</v>
      </c>
      <c r="C21729" t="inlineStr">
        <is>
          <t>Nhân Viên Telesale Dịch Vụ Viettel Tại Phú Thọ(Mới)</t>
        </is>
      </c>
      <c r="D21729" t="inlineStr">
        <is>
          <t>CÔNG TY CỔ PHẦN TRUYỀN THÔNG KIM CƯƠNG</t>
        </is>
      </c>
      <c r="E21729" t="inlineStr">
        <is>
          <t>Lương:7 Tr - 12 Tr VND</t>
        </is>
      </c>
      <c r="F21729" t="inlineStr">
        <is>
          <t>Phú Thọ</t>
        </is>
      </c>
      <c r="G21729" t="inlineStr">
        <is>
          <t>10-04-2026</t>
        </is>
      </c>
      <c r="H21729" t="inlineStr">
        <is>
          <t>10/04/2026</t>
        </is>
      </c>
      <c r="I21729" t="inlineStr">
        <is>
          <t>17/03/2026</t>
        </is>
      </c>
      <c r="J21729" t="inlineStr">
        <is>
          <t>Bán hàng / Kinh doanh, Tư vấn, Bán lẻ / Bán sỉ</t>
        </is>
      </c>
      <c r="K21729" t="inlineStr">
        <is>
          <t>N/A</t>
        </is>
      </c>
      <c r="L21729" s="8">
        <f>HYPERLINK("https://careerviet.vn/vi/tim-viec-lam/nhan-vien-telesale-dich-vu-viettel-tai-phu-tho.35C6CF35.html","Xem chi tiết")</f>
        <v/>
      </c>
    </row>
    <row r="21730">
      <c r="B21730" s="9" t="n">
        <v>21728</v>
      </c>
      <c r="C21730" s="10" t="inlineStr">
        <is>
          <t>Sales Admin(Mới)</t>
        </is>
      </c>
      <c r="D21730" s="10" t="inlineStr">
        <is>
          <t>CÔNG TY CỔ PHẦN ARCHCAFE</t>
        </is>
      </c>
      <c r="E21730" s="10" t="inlineStr">
        <is>
          <t>Lương:7 Tr - 14 Tr VND</t>
        </is>
      </c>
      <c r="F21730" s="10" t="inlineStr">
        <is>
          <t>Hồ Chí Minh</t>
        </is>
      </c>
      <c r="G21730" s="10" t="inlineStr">
        <is>
          <t>31-03-2026</t>
        </is>
      </c>
      <c r="H21730" s="10" t="inlineStr">
        <is>
          <t>31/03/2026</t>
        </is>
      </c>
      <c r="I21730" s="10" t="inlineStr">
        <is>
          <t>17/03/2026</t>
        </is>
      </c>
      <c r="J21730" s="10" t="inlineStr">
        <is>
          <t>Bán hàng / Kinh doanh</t>
        </is>
      </c>
      <c r="K21730" s="10" t="inlineStr">
        <is>
          <t>N/A</t>
        </is>
      </c>
      <c r="L21730" s="11">
        <f>HYPERLINK("https://careerviet.vn/vi/tim-viec-lam/sales-admin.35C6D02B.html","Xem chi tiết")</f>
        <v/>
      </c>
      <c r="M21730" s="10" t="n"/>
    </row>
    <row r="21731">
      <c r="B21731" s="7" t="n">
        <v>21729</v>
      </c>
      <c r="C21731" t="inlineStr">
        <is>
          <t>Intern Business Analyst (ERP)(Mới)</t>
        </is>
      </c>
      <c r="D21731" t="inlineStr">
        <is>
          <t>CÔNG TY TNHH CÔNG NGHỆ B2B</t>
        </is>
      </c>
      <c r="E21731" t="inlineStr">
        <is>
          <t>Lương:2 Tr - 5 Tr VND</t>
        </is>
      </c>
      <c r="F21731" t="inlineStr">
        <is>
          <t>Hồ Chí Minh</t>
        </is>
      </c>
      <c r="G21731" t="inlineStr">
        <is>
          <t>31-08-2026</t>
        </is>
      </c>
      <c r="H21731" t="inlineStr">
        <is>
          <t>31/08/2026</t>
        </is>
      </c>
      <c r="I21731" t="inlineStr">
        <is>
          <t>17/03/2026</t>
        </is>
      </c>
      <c r="J21731" t="inlineStr">
        <is>
          <t>CNTT - Phần mềm</t>
        </is>
      </c>
      <c r="K21731" t="inlineStr">
        <is>
          <t>N/A</t>
        </is>
      </c>
      <c r="L21731" s="8">
        <f>HYPERLINK("https://careerviet.vn/vi/tim-viec-lam/intern-business-analyst-erp.35C6CF1A.html","Xem chi tiết")</f>
        <v/>
      </c>
    </row>
    <row r="21732">
      <c r="B21732" s="9" t="n">
        <v>21730</v>
      </c>
      <c r="C21732" s="10" t="inlineStr">
        <is>
          <t>Thực tập sinh Sales Marketing(Mới)</t>
        </is>
      </c>
      <c r="D21732" s="10" t="inlineStr">
        <is>
          <t>CÔNG TY TNHH ADIGIT</t>
        </is>
      </c>
      <c r="E21732" s="10" t="inlineStr">
        <is>
          <t>Lương:7 Tr - 8 Tr VND</t>
        </is>
      </c>
      <c r="F21732" s="10" t="inlineStr">
        <is>
          <t>Hồ Chí Minh</t>
        </is>
      </c>
      <c r="G21732" s="10" t="inlineStr">
        <is>
          <t>16-04-2026</t>
        </is>
      </c>
      <c r="H21732" s="10" t="inlineStr">
        <is>
          <t>16/04/2026</t>
        </is>
      </c>
      <c r="I21732" s="10" t="inlineStr">
        <is>
          <t>17/03/2026</t>
        </is>
      </c>
      <c r="J21732" s="10" t="inlineStr">
        <is>
          <t>Tiếp thị / Marketing, Bán hàng / Kinh doanh, Quảng cáo / Đối ngoại / Truyền Thông</t>
        </is>
      </c>
      <c r="K21732" s="10" t="inlineStr">
        <is>
          <t>N/A</t>
        </is>
      </c>
      <c r="L21732" s="11">
        <f>HYPERLINK("https://careerviet.vn/vi/tim-viec-lam/thuc-tap-sinh-sales-marketing.35C6CF9D.html","Xem chi tiết")</f>
        <v/>
      </c>
      <c r="M21732" s="10" t="n"/>
    </row>
    <row r="21733">
      <c r="B21733" s="7" t="n">
        <v>21731</v>
      </c>
      <c r="C21733" t="inlineStr">
        <is>
          <t>Nhân Viên Telesales Part-Time (4H / Ngày) – Hội Sở Ocean Edu(Mới)</t>
        </is>
      </c>
      <c r="D21733" t="inlineStr">
        <is>
          <t>Công Ty CP Giáo Dục Đại Dương</t>
        </is>
      </c>
      <c r="E21733" t="inlineStr">
        <is>
          <t>Lương:5 Tr - 7 Tr VND</t>
        </is>
      </c>
      <c r="F21733" t="inlineStr">
        <is>
          <t>Hà Nội</t>
        </is>
      </c>
      <c r="G21733" t="inlineStr">
        <is>
          <t>29-04-2026</t>
        </is>
      </c>
      <c r="H21733" t="inlineStr">
        <is>
          <t>29/04/2026</t>
        </is>
      </c>
      <c r="I21733" t="inlineStr">
        <is>
          <t>17/03/2026</t>
        </is>
      </c>
      <c r="J21733" t="inlineStr">
        <is>
          <t>Dịch vụ khách hàng, Bán hàng / Kinh doanh, Lao động phổ thông</t>
        </is>
      </c>
      <c r="K21733" t="inlineStr">
        <is>
          <t>N/A</t>
        </is>
      </c>
      <c r="L21733" s="8">
        <f>HYPERLINK("https://careerviet.vn/vi/tim-viec-lam/nhan-vien-telesales-part-time-4h-ngay-hoi-so-ocean-edu.35C6CE97.html","Xem chi tiết")</f>
        <v/>
      </c>
    </row>
    <row r="21734">
      <c r="B21734" s="9" t="n">
        <v>21732</v>
      </c>
      <c r="C21734" s="10" t="inlineStr">
        <is>
          <t>Nhân Viên Bảo Tàng Nghệ Thuật I-MUSEUM Parttime/ Tại Hà Nội(Mới)</t>
        </is>
      </c>
      <c r="D21734" s="10" t="inlineStr">
        <is>
          <t>I-Museum</t>
        </is>
      </c>
      <c r="E21734" s="10" t="inlineStr">
        <is>
          <t>Lương:2,5 Tr - 5,5 Tr VND</t>
        </is>
      </c>
      <c r="F21734" s="10" t="inlineStr">
        <is>
          <t>Hà Nội</t>
        </is>
      </c>
      <c r="G21734" s="10" t="inlineStr">
        <is>
          <t>10-04-2026</t>
        </is>
      </c>
      <c r="H21734" s="10" t="inlineStr">
        <is>
          <t>10/04/2026</t>
        </is>
      </c>
      <c r="I21734" s="10" t="inlineStr">
        <is>
          <t>17/03/2026</t>
        </is>
      </c>
      <c r="J21734" s="10" t="inlineStr">
        <is>
          <t>Tiếp thị / Marketing, Du lịch, Mỹ thuật / Nghệ thuật / Thiết kế</t>
        </is>
      </c>
      <c r="K21734" s="10" t="inlineStr">
        <is>
          <t>N/A</t>
        </is>
      </c>
      <c r="L21734" s="11">
        <f>HYPERLINK("https://careerviet.vn/vi/tim-viec-lam/nhan-vien-bao-tang-nghe-thuat-i-museum-parttime-tai-ha-noi.35C6B9B2.html","Xem chi tiết")</f>
        <v/>
      </c>
      <c r="M21734" s="10" t="n"/>
    </row>
    <row r="21735">
      <c r="B21735" s="7" t="n">
        <v>21733</v>
      </c>
      <c r="C21735" t="inlineStr">
        <is>
          <t>Nhân viên Kinh doanh ô tô(Mới)</t>
        </is>
      </c>
      <c r="D21735" t="inlineStr">
        <is>
          <t>Công ty TNHH Kinh doanh ô tô Tasco - Chi nhánh Tasco Auto Nghệ An</t>
        </is>
      </c>
      <c r="E21735" t="inlineStr">
        <is>
          <t>Lương:10 Tr - 70 Tr VND</t>
        </is>
      </c>
      <c r="F21735" t="inlineStr">
        <is>
          <t>Nghệ An</t>
        </is>
      </c>
      <c r="G21735" t="inlineStr">
        <is>
          <t>31-03-2026</t>
        </is>
      </c>
      <c r="H21735" t="inlineStr">
        <is>
          <t>31/03/2026</t>
        </is>
      </c>
      <c r="I21735" t="inlineStr">
        <is>
          <t>17/03/2026</t>
        </is>
      </c>
      <c r="J21735" t="inlineStr">
        <is>
          <t>Bán hàng / Kinh doanh</t>
        </is>
      </c>
      <c r="K21735" t="inlineStr">
        <is>
          <t>N/A</t>
        </is>
      </c>
      <c r="L21735" s="8">
        <f>HYPERLINK("https://careerviet.vn/vi/tim-viec-lam/nhan-vien-kinh-doanh-o-to.35C6CDB1.html","Xem chi tiết")</f>
        <v/>
      </c>
    </row>
    <row r="21736">
      <c r="B21736" s="9" t="n">
        <v>21734</v>
      </c>
      <c r="C21736" s="10" t="inlineStr">
        <is>
          <t>Thực Tập Sinh Ngành Marketing - Thương Mại Điện Tử(Mới)</t>
        </is>
      </c>
      <c r="D21736" s="10" t="inlineStr">
        <is>
          <t>Công Ty TNHH TRACYBT GROUP</t>
        </is>
      </c>
      <c r="E21736" s="10" t="inlineStr">
        <is>
          <t>Lương:Cạnh tranh</t>
        </is>
      </c>
      <c r="F21736" s="10" t="inlineStr">
        <is>
          <t>Hồ Chí Minh</t>
        </is>
      </c>
      <c r="G21736" s="10" t="inlineStr">
        <is>
          <t>31-03-2026</t>
        </is>
      </c>
      <c r="H21736" s="10" t="inlineStr">
        <is>
          <t>31/03/2026</t>
        </is>
      </c>
      <c r="I21736" s="10" t="inlineStr">
        <is>
          <t>17/03/2026</t>
        </is>
      </c>
      <c r="J21736" s="10" t="inlineStr">
        <is>
          <t>Tiếp thị / Marketing, Thương mại điện tử</t>
        </is>
      </c>
      <c r="K21736" s="10" t="inlineStr">
        <is>
          <t>N/A</t>
        </is>
      </c>
      <c r="L21736" s="11">
        <f>HYPERLINK("https://careerviet.vn/vi/tim-viec-lam/thuc-tap-sinh-nganh-marketing-thuong-mai-dien-tu.35C6CDE6.html","Xem chi tiết")</f>
        <v/>
      </c>
      <c r="M21736" s="10" t="n"/>
    </row>
    <row r="21737">
      <c r="B21737" s="7" t="n">
        <v>21735</v>
      </c>
      <c r="C21737" t="inlineStr">
        <is>
          <t>Thực tập sinh Design(Mới)</t>
        </is>
      </c>
      <c r="D21737" t="inlineStr">
        <is>
          <t>Công ty TNHH TechVanguard</t>
        </is>
      </c>
      <c r="E21737" t="inlineStr">
        <is>
          <t>Lương:Cạnh tranh</t>
        </is>
      </c>
      <c r="F21737" t="inlineStr">
        <is>
          <t>Hồ Chí Minh</t>
        </is>
      </c>
      <c r="G21737" t="inlineStr">
        <is>
          <t>31-05-2026</t>
        </is>
      </c>
      <c r="H21737" t="inlineStr">
        <is>
          <t>31/05/2026</t>
        </is>
      </c>
      <c r="I21737" t="inlineStr">
        <is>
          <t>17/03/2026</t>
        </is>
      </c>
      <c r="J21737" t="inlineStr">
        <is>
          <t>Mỹ thuật / Nghệ thuật / Thiết kế</t>
        </is>
      </c>
      <c r="K21737" t="inlineStr">
        <is>
          <t>N/A</t>
        </is>
      </c>
      <c r="L21737" s="8">
        <f>HYPERLINK("https://careerviet.vn/vi/tim-viec-lam/thuc-tap-sinh-design.35C6CBF7.html","Xem chi tiết")</f>
        <v/>
      </c>
    </row>
    <row r="21738">
      <c r="B21738" s="9" t="n">
        <v>21736</v>
      </c>
      <c r="C21738" s="10" t="inlineStr">
        <is>
          <t>Mechanical Engineering Intern(Mới)</t>
        </is>
      </c>
      <c r="D21738" s="10" t="inlineStr">
        <is>
          <t>Công ty TNHH Olam Việt Nam</t>
        </is>
      </c>
      <c r="E21738" s="10" t="inlineStr">
        <is>
          <t>Lương:Cạnh tranh</t>
        </is>
      </c>
      <c r="F21738" s="10" t="inlineStr">
        <is>
          <t>Đồng NaiLong An</t>
        </is>
      </c>
      <c r="G21738" s="10" t="inlineStr">
        <is>
          <t>13-04-2026</t>
        </is>
      </c>
      <c r="H21738" s="10" t="inlineStr">
        <is>
          <t>13/04/2026</t>
        </is>
      </c>
      <c r="I21738" s="10" t="inlineStr">
        <is>
          <t>17/03/2026</t>
        </is>
      </c>
      <c r="J21738" s="10" t="inlineStr">
        <is>
          <t>Cơ khí / Ô tô / Tự động hóa, Sản xuất / Vận hành sản xuất, Mới tốt nghiệp / Thực tập</t>
        </is>
      </c>
      <c r="K21738" s="10" t="inlineStr">
        <is>
          <t>N/A</t>
        </is>
      </c>
      <c r="L21738" s="11">
        <f>HYPERLINK("https://careerviet.vn/vi/tim-viec-lam/mechanical-engineering-intern.35C6CD0C.html","Xem chi tiết")</f>
        <v/>
      </c>
      <c r="M21738" s="10" t="n"/>
    </row>
    <row r="21739">
      <c r="B21739" s="7" t="n">
        <v>21737</v>
      </c>
      <c r="C21739" t="inlineStr">
        <is>
          <t>Thực tập sinh Salesforce Pre-sales(Mới)</t>
        </is>
      </c>
      <c r="D21739" t="inlineStr">
        <is>
          <t>CÔNG TY TNHH TƯ VẤN HÀO QUANG</t>
        </is>
      </c>
      <c r="E21739" t="inlineStr">
        <is>
          <t>Lương:1,5 Tr - 2 Tr VND</t>
        </is>
      </c>
      <c r="F21739" t="inlineStr">
        <is>
          <t>Hồ Chí Minh</t>
        </is>
      </c>
      <c r="G21739" t="inlineStr">
        <is>
          <t>20-04-2026</t>
        </is>
      </c>
      <c r="H21739" t="inlineStr">
        <is>
          <t>20/04/2026</t>
        </is>
      </c>
      <c r="I21739" t="inlineStr">
        <is>
          <t>17/03/2026</t>
        </is>
      </c>
      <c r="J21739" t="inlineStr">
        <is>
          <t>Tư vấn, Bán hàng / Kinh doanh, CNTT - Phần mềm</t>
        </is>
      </c>
      <c r="K21739" t="inlineStr">
        <is>
          <t>N/A</t>
        </is>
      </c>
      <c r="L21739" s="8">
        <f>HYPERLINK("https://careerviet.vn/vi/tim-viec-lam/thuc-tap-sinh-salesforce-pre-sales.35C66563.html","Xem chi tiết")</f>
        <v/>
      </c>
    </row>
    <row r="21740">
      <c r="B21740" s="9" t="n">
        <v>21738</v>
      </c>
      <c r="C21740" s="10" t="inlineStr">
        <is>
          <t>Thực tập sinh tuyển dụng(Mới)</t>
        </is>
      </c>
      <c r="D21740" s="10" t="inlineStr">
        <is>
          <t>Công ty Cổ phần Thời Trang YODY</t>
        </is>
      </c>
      <c r="E21740" s="10" t="inlineStr">
        <is>
          <t>Lương:4 Tr - 5 Tr VND</t>
        </is>
      </c>
      <c r="F21740" s="10" t="inlineStr">
        <is>
          <t>Hà Nội</t>
        </is>
      </c>
      <c r="G21740" s="10" t="inlineStr">
        <is>
          <t>31-03-2026</t>
        </is>
      </c>
      <c r="H21740" s="10" t="inlineStr">
        <is>
          <t>31/03/2026</t>
        </is>
      </c>
      <c r="I21740" s="10" t="inlineStr">
        <is>
          <t>17/03/2026</t>
        </is>
      </c>
      <c r="J21740" s="10" t="inlineStr">
        <is>
          <t>Nhân sự, Bán lẻ / Bán sỉ</t>
        </is>
      </c>
      <c r="K21740" s="10" t="inlineStr">
        <is>
          <t>N/A</t>
        </is>
      </c>
      <c r="L21740" s="11">
        <f>HYPERLINK("https://careerviet.vn/vi/tim-viec-lam/thuc-tap-sinh-tuyen-dung.35C6CD90.html","Xem chi tiết")</f>
        <v/>
      </c>
      <c r="M21740" s="10" t="n"/>
    </row>
    <row r="21741">
      <c r="B21741" s="7" t="n">
        <v>21739</v>
      </c>
      <c r="C21741" t="inlineStr">
        <is>
          <t>Learning &amp; Development Intern - Hà Nội(Mới)</t>
        </is>
      </c>
      <c r="D21741" t="inlineStr">
        <is>
          <t>Starbucks Vietnam</t>
        </is>
      </c>
      <c r="E21741" t="inlineStr">
        <is>
          <t>Lương:Cạnh tranh</t>
        </is>
      </c>
      <c r="F21741" t="inlineStr">
        <is>
          <t>Hà Nội</t>
        </is>
      </c>
      <c r="G21741" t="inlineStr">
        <is>
          <t>16-04-2026</t>
        </is>
      </c>
      <c r="H21741" t="inlineStr">
        <is>
          <t>16/04/2026</t>
        </is>
      </c>
      <c r="I21741" t="inlineStr">
        <is>
          <t>17/03/2026</t>
        </is>
      </c>
      <c r="J21741" t="inlineStr">
        <is>
          <t>Giáo dục / Đào tạo, Nhân sự</t>
        </is>
      </c>
      <c r="K21741" t="inlineStr">
        <is>
          <t>N/A</t>
        </is>
      </c>
      <c r="L21741" s="8">
        <f>HYPERLINK("https://careerviet.vn/vi/tim-viec-lam/learning-development-intern-ha-noi.35C6CEFF.html","Xem chi tiết")</f>
        <v/>
      </c>
    </row>
    <row r="21742">
      <c r="B21742" s="9" t="n">
        <v>21740</v>
      </c>
      <c r="C21742" s="10" t="inlineStr">
        <is>
          <t>Thực Tập Sinh Nhân Sự(Mới)</t>
        </is>
      </c>
      <c r="D21742" s="10" t="inlineStr">
        <is>
          <t>HYPERION CO., LTD</t>
        </is>
      </c>
      <c r="E21742" s="10" t="inlineStr">
        <is>
          <t>Lương:2 Tr - 3 Tr VND</t>
        </is>
      </c>
      <c r="F21742" s="10" t="inlineStr">
        <is>
          <t>Hồ Chí Minh</t>
        </is>
      </c>
      <c r="G21742" s="10" t="inlineStr">
        <is>
          <t>16-04-2026</t>
        </is>
      </c>
      <c r="H21742" s="10" t="inlineStr">
        <is>
          <t>16/04/2026</t>
        </is>
      </c>
      <c r="I21742" s="10" t="inlineStr">
        <is>
          <t>17/03/2026</t>
        </is>
      </c>
      <c r="J21742" s="10" t="inlineStr">
        <is>
          <t>Hành chính / Thư ký</t>
        </is>
      </c>
      <c r="K21742" s="10" t="inlineStr">
        <is>
          <t>N/A</t>
        </is>
      </c>
      <c r="L21742" s="11">
        <f>HYPERLINK("https://careerviet.vn/vi/tim-viec-lam/thuc-tap-sinh-nhan-su.35C6CCB3.html","Xem chi tiết")</f>
        <v/>
      </c>
      <c r="M21742" s="10" t="n"/>
    </row>
    <row r="21743">
      <c r="B21743" s="7" t="n">
        <v>21741</v>
      </c>
      <c r="C21743" t="inlineStr">
        <is>
          <t>Thực tập sinh IT(Mới)</t>
        </is>
      </c>
      <c r="D21743" t="inlineStr">
        <is>
          <t>CT CP Tập Đoàn Thái Tuấn</t>
        </is>
      </c>
      <c r="E21743" t="inlineStr">
        <is>
          <t>Lương:Cạnh tranh</t>
        </is>
      </c>
      <c r="F21743" t="inlineStr">
        <is>
          <t>Hồ Chí Minh</t>
        </is>
      </c>
      <c r="G21743" t="inlineStr">
        <is>
          <t>17-04-2026</t>
        </is>
      </c>
      <c r="H21743" t="inlineStr">
        <is>
          <t>17/04/2026</t>
        </is>
      </c>
      <c r="I21743" t="inlineStr">
        <is>
          <t>17/03/2026</t>
        </is>
      </c>
      <c r="J21743" t="inlineStr">
        <is>
          <t>CNTT - Phần cứng / Mạng</t>
        </is>
      </c>
      <c r="K21743" t="inlineStr">
        <is>
          <t>N/A</t>
        </is>
      </c>
      <c r="L21743" s="8">
        <f>HYPERLINK("https://careerviet.vn/vi/tim-viec-lam/thuc-tap-sinh-it.35C6CD7C.html","Xem chi tiết")</f>
        <v/>
      </c>
    </row>
    <row r="21744">
      <c r="B21744" s="9" t="n">
        <v>21742</v>
      </c>
      <c r="C21744" s="10" t="inlineStr">
        <is>
          <t>Nhân viên Marketing(Mới)</t>
        </is>
      </c>
      <c r="D21744" s="10" t="inlineStr">
        <is>
          <t>Công ty TNHH JT Tube Việt Nam</t>
        </is>
      </c>
      <c r="E21744" s="10" t="inlineStr">
        <is>
          <t>Lương:7 Tr - 9 Tr VND</t>
        </is>
      </c>
      <c r="F21744" s="10" t="inlineStr">
        <is>
          <t>Hà Nội</t>
        </is>
      </c>
      <c r="G21744" s="10" t="inlineStr">
        <is>
          <t>3</t>
        </is>
      </c>
      <c r="H21744" s="10" t="inlineStr">
        <is>
          <t>20/03/2026</t>
        </is>
      </c>
      <c r="I21744" s="10" t="inlineStr">
        <is>
          <t>17/03/2026</t>
        </is>
      </c>
      <c r="J21744" s="10" t="inlineStr">
        <is>
          <t>Sản xuất / Vận hành sản xuất</t>
        </is>
      </c>
      <c r="K21744" s="10" t="inlineStr">
        <is>
          <t>N/A</t>
        </is>
      </c>
      <c r="L21744" s="11">
        <f>HYPERLINK("https://careerviet.vn/vi/tim-viec-lam/nhan-vien-marketing.35C6CC98.html","Xem chi tiết")</f>
        <v/>
      </c>
      <c r="M21744" s="10" t="n"/>
    </row>
    <row r="21745">
      <c r="B21745" s="7" t="n">
        <v>21743</v>
      </c>
      <c r="C21745" t="inlineStr">
        <is>
          <t>Marketing Junior(Mới)</t>
        </is>
      </c>
      <c r="D21745" t="inlineStr">
        <is>
          <t>CÔNG TY TNHH SECOM</t>
        </is>
      </c>
      <c r="E21745" t="inlineStr">
        <is>
          <t>Lương:Cạnh tranh</t>
        </is>
      </c>
      <c r="F21745" t="inlineStr">
        <is>
          <t>Hồ Chí Minh</t>
        </is>
      </c>
      <c r="G21745" t="inlineStr">
        <is>
          <t>16-04-2026</t>
        </is>
      </c>
      <c r="H21745" t="inlineStr">
        <is>
          <t>16/04/2026</t>
        </is>
      </c>
      <c r="I21745" t="inlineStr">
        <is>
          <t>17/03/2026</t>
        </is>
      </c>
      <c r="J21745" t="inlineStr">
        <is>
          <t>Tiếp thị / Marketing</t>
        </is>
      </c>
      <c r="K21745" t="inlineStr">
        <is>
          <t>N/A</t>
        </is>
      </c>
      <c r="L21745" s="8">
        <f>HYPERLINK("https://careerviet.vn/vi/tim-viec-lam/marketing-junior.35C6CCF7.html","Xem chi tiết")</f>
        <v/>
      </c>
    </row>
    <row r="21746">
      <c r="B21746" s="9" t="n">
        <v>21744</v>
      </c>
      <c r="C21746" s="10" t="inlineStr">
        <is>
          <t>NHÂN VIÊN XUẤT NHẬP KHẨU TIẾNG TRUNG(Mới)</t>
        </is>
      </c>
      <c r="D21746" s="10" t="inlineStr">
        <is>
          <t>CÔNG TY TNHH A.G. INTERNATIONAL LOGISTICS (VIETNAM)</t>
        </is>
      </c>
      <c r="E21746" s="10" t="inlineStr">
        <is>
          <t>Lương:10 Tr - 12 Tr VND</t>
        </is>
      </c>
      <c r="F21746" s="10" t="inlineStr">
        <is>
          <t>Hồ Chí Minh</t>
        </is>
      </c>
      <c r="G21746" s="10" t="inlineStr">
        <is>
          <t>10-04-2026</t>
        </is>
      </c>
      <c r="H21746" s="10" t="inlineStr">
        <is>
          <t>10/04/2026</t>
        </is>
      </c>
      <c r="I21746" s="10" t="inlineStr">
        <is>
          <t>17/03/2026</t>
        </is>
      </c>
      <c r="J21746" s="10" t="inlineStr">
        <is>
          <t>Xuất nhập khẩu</t>
        </is>
      </c>
      <c r="K21746" s="10" t="inlineStr">
        <is>
          <t>N/A</t>
        </is>
      </c>
      <c r="L21746" s="11">
        <f>HYPERLINK("https://careerviet.vn/vi/tim-viec-lam/nhan-vien-xuat-nhap-khau-tieng-trung.35C6CC0B.html","Xem chi tiết")</f>
        <v/>
      </c>
      <c r="M21746" s="10" t="n"/>
    </row>
    <row r="21747">
      <c r="B21747" s="7" t="n">
        <v>21745</v>
      </c>
      <c r="C21747" t="inlineStr">
        <is>
          <t>Supply Chain Intern(Mới)</t>
        </is>
      </c>
      <c r="D21747" t="inlineStr">
        <is>
          <t>Công ty TNHH Olam Việt Nam</t>
        </is>
      </c>
      <c r="E21747" t="inlineStr">
        <is>
          <t>Lương:Cạnh tranh</t>
        </is>
      </c>
      <c r="F21747" t="inlineStr">
        <is>
          <t>Đồng Nai</t>
        </is>
      </c>
      <c r="G21747" t="inlineStr">
        <is>
          <t>13-04-2026</t>
        </is>
      </c>
      <c r="H21747" t="inlineStr">
        <is>
          <t>13/04/2026</t>
        </is>
      </c>
      <c r="I21747" t="inlineStr">
        <is>
          <t>17/03/2026</t>
        </is>
      </c>
      <c r="J21747" t="inlineStr">
        <is>
          <t>Bán hàng / Kinh doanh, Mới tốt nghiệp / Thực tập, Vận chuyển / Giao nhận / Kho vận</t>
        </is>
      </c>
      <c r="K21747" t="inlineStr">
        <is>
          <t>N/A</t>
        </is>
      </c>
      <c r="L21747" s="8">
        <f>HYPERLINK("https://careerviet.vn/vi/tim-viec-lam/supply-chain-intern.35C6CCA6.html","Xem chi tiết")</f>
        <v/>
      </c>
    </row>
    <row r="21748">
      <c r="B21748" s="9" t="n">
        <v>21746</v>
      </c>
      <c r="C21748" s="10" t="inlineStr">
        <is>
          <t>Nhân viên giao nhận(Mới)</t>
        </is>
      </c>
      <c r="D21748" s="10" t="inlineStr">
        <is>
          <t>Công Ty TNHH Thực Phẩm Quốc Tế Vimex SG</t>
        </is>
      </c>
      <c r="E21748" s="10" t="inlineStr">
        <is>
          <t>Lương:12 Tr - 15 Tr VND</t>
        </is>
      </c>
      <c r="F21748" s="10" t="inlineStr">
        <is>
          <t>Hồ Chí Minh</t>
        </is>
      </c>
      <c r="G21748" s="10" t="inlineStr">
        <is>
          <t>31-03-2026</t>
        </is>
      </c>
      <c r="H21748" s="10" t="inlineStr">
        <is>
          <t>31/03/2026</t>
        </is>
      </c>
      <c r="I21748" s="10" t="inlineStr">
        <is>
          <t>17/03/2026</t>
        </is>
      </c>
      <c r="J21748" s="10" t="inlineStr">
        <is>
          <t>Bán lẻ / Bán sỉ</t>
        </is>
      </c>
      <c r="K21748" s="10" t="inlineStr">
        <is>
          <t>N/A</t>
        </is>
      </c>
      <c r="L21748" s="11">
        <f>HYPERLINK("https://careerviet.vn/vi/tim-viec-lam/nhan-vien-giao-nhan.35C6CC1B.html","Xem chi tiết")</f>
        <v/>
      </c>
      <c r="M21748" s="10" t="n"/>
    </row>
    <row r="21749">
      <c r="B21749" s="7" t="n">
        <v>21747</v>
      </c>
      <c r="C21749" t="inlineStr">
        <is>
          <t>Sales Support Intern - Hà Nội(Mới)</t>
        </is>
      </c>
      <c r="D21749" t="inlineStr">
        <is>
          <t>Công Ty TNHH Một Thành Viên Karcher</t>
        </is>
      </c>
      <c r="E21749" t="inlineStr">
        <is>
          <t>Lương:3 Tr - 4 Tr VND</t>
        </is>
      </c>
      <c r="F21749" t="inlineStr">
        <is>
          <t>Hà Nội</t>
        </is>
      </c>
      <c r="G21749" t="inlineStr">
        <is>
          <t>16-04-2026</t>
        </is>
      </c>
      <c r="H21749" t="inlineStr">
        <is>
          <t>16/04/2026</t>
        </is>
      </c>
      <c r="I21749" t="inlineStr">
        <is>
          <t>17/03/2026</t>
        </is>
      </c>
      <c r="J21749" t="inlineStr">
        <is>
          <t>Dịch vụ khách hàng, Bán hàng / Kinh doanh, Hành chính / Thư ký</t>
        </is>
      </c>
      <c r="K21749" t="inlineStr">
        <is>
          <t>N/A</t>
        </is>
      </c>
      <c r="L21749" s="8">
        <f>HYPERLINK("https://careerviet.vn/vi/tim-viec-lam/sales-support-intern-ha-noi.35C6CD15.html","Xem chi tiết")</f>
        <v/>
      </c>
    </row>
    <row r="21750">
      <c r="B21750" s="9" t="n">
        <v>21748</v>
      </c>
      <c r="C21750" s="10" t="inlineStr">
        <is>
          <t>Nhân viên QC(Mới)</t>
        </is>
      </c>
      <c r="D21750" s="10" t="inlineStr">
        <is>
          <t>CÔNG TY CỔ PHẦN GET CULTURED FOODS VIỆT NAM</t>
        </is>
      </c>
      <c r="E21750" s="10" t="inlineStr">
        <is>
          <t>Lương:9 Tr - 12 Tr VND</t>
        </is>
      </c>
      <c r="F21750" s="10" t="inlineStr">
        <is>
          <t>Hồ Chí Minh</t>
        </is>
      </c>
      <c r="G21750" s="10" t="inlineStr">
        <is>
          <t>17-04-2026</t>
        </is>
      </c>
      <c r="H21750" s="10" t="inlineStr">
        <is>
          <t>17/04/2026</t>
        </is>
      </c>
      <c r="I21750" s="10" t="inlineStr">
        <is>
          <t>17/03/2026</t>
        </is>
      </c>
      <c r="J21750" s="10" t="inlineStr">
        <is>
          <t>Thực phẩm &amp; Đồ uống</t>
        </is>
      </c>
      <c r="K21750" s="10" t="inlineStr">
        <is>
          <t>N/A</t>
        </is>
      </c>
      <c r="L21750" s="11">
        <f>HYPERLINK("https://careerviet.vn/vi/tim-viec-lam/nhan-vien-qc.35C6CD1F.html","Xem chi tiết")</f>
        <v/>
      </c>
      <c r="M21750" s="10" t="n"/>
    </row>
    <row r="21751">
      <c r="B21751" s="7" t="n">
        <v>21749</v>
      </c>
      <c r="C21751" t="inlineStr">
        <is>
          <t>[Đà Nẵng] Thực Tập Sinh giám sát/đánh giá chất lượng dịch vụ (Service Support Intern)(Mới)</t>
        </is>
      </c>
      <c r="D21751" t="inlineStr">
        <is>
          <t>Daikin Air Conditioning (Vietnam) Joint Stock Company</t>
        </is>
      </c>
      <c r="E21751" t="inlineStr">
        <is>
          <t>Lương:Cạnh tranh</t>
        </is>
      </c>
      <c r="F21751" t="inlineStr">
        <is>
          <t>Đà Nẵng</t>
        </is>
      </c>
      <c r="G21751" t="inlineStr">
        <is>
          <t>13-04-2026</t>
        </is>
      </c>
      <c r="H21751" t="inlineStr">
        <is>
          <t>13/04/2026</t>
        </is>
      </c>
      <c r="I21751" t="inlineStr">
        <is>
          <t>17/03/2026</t>
        </is>
      </c>
      <c r="J21751" t="inlineStr">
        <is>
          <t>Dịch vụ khách hàng, Mới tốt nghiệp / Thực tập, Bảo trì / Sửa chữa</t>
        </is>
      </c>
      <c r="K21751" t="inlineStr">
        <is>
          <t>N/A</t>
        </is>
      </c>
      <c r="L21751" s="8">
        <f>HYPERLINK("https://careerviet.vn/vi/tim-viec-lam/da-nang-thuc-tap-sinh-giam-sat-danh-gia-chat-luong-dich-vu-service-support-intern.35C6CCB5.html","Xem chi tiết")</f>
        <v/>
      </c>
    </row>
    <row r="21752">
      <c r="B21752" s="9" t="n">
        <v>21750</v>
      </c>
      <c r="C21752" s="10" t="inlineStr">
        <is>
          <t>Chuyên viên vận hành Logistics</t>
        </is>
      </c>
      <c r="D21752" s="10" t="inlineStr">
        <is>
          <t>S.F. EXPRESS LTD.</t>
        </is>
      </c>
      <c r="E21752" s="10" t="inlineStr">
        <is>
          <t>Lương:15 Tr - 25 Tr VND</t>
        </is>
      </c>
      <c r="F21752" s="10" t="inlineStr">
        <is>
          <t>Hà Nội</t>
        </is>
      </c>
      <c r="G21752" s="10" t="inlineStr">
        <is>
          <t>Hôm nay</t>
        </is>
      </c>
      <c r="H21752" s="10" t="inlineStr">
        <is>
          <t>17/03/2026</t>
        </is>
      </c>
      <c r="I21752" s="10" t="inlineStr">
        <is>
          <t>17/03/2026</t>
        </is>
      </c>
      <c r="J21752" s="10" t="inlineStr">
        <is>
          <t>Bán hàng / Kinh doanh, Dịch vụ khách hàng, Vận chuyển / Giao nhận / Kho vận</t>
        </is>
      </c>
      <c r="K21752" s="10" t="inlineStr">
        <is>
          <t>2 - 10 Năm</t>
        </is>
      </c>
      <c r="L21752" s="11">
        <f>HYPERLINK("https://careerviet.vn/vi/tim-viec-lam/chuyen-vien-van-hanh-logistics.35C65C41.html","Xem chi tiết")</f>
        <v/>
      </c>
      <c r="M21752" s="10" t="n"/>
    </row>
    <row r="21753">
      <c r="B21753" s="7" t="n">
        <v>21751</v>
      </c>
      <c r="C21753" t="inlineStr">
        <is>
          <t>Thực tập sinh kế toán(Mới)</t>
        </is>
      </c>
      <c r="D21753" t="inlineStr">
        <is>
          <t>ONE GROUP</t>
        </is>
      </c>
      <c r="E21753" t="inlineStr">
        <is>
          <t>Lương:2 Tr - 4 Tr VND</t>
        </is>
      </c>
      <c r="F21753" t="inlineStr">
        <is>
          <t>Hồ Chí Minh</t>
        </is>
      </c>
      <c r="G21753" t="inlineStr">
        <is>
          <t>11-04-2026</t>
        </is>
      </c>
      <c r="H21753" t="inlineStr">
        <is>
          <t>11/04/2026</t>
        </is>
      </c>
      <c r="I21753" t="inlineStr">
        <is>
          <t>17/03/2026</t>
        </is>
      </c>
      <c r="J21753" t="inlineStr">
        <is>
          <t>Kế toán / Kiểm toán, Tài chính / Đầu tư, Quản lý chất lượng (QA/QC)</t>
        </is>
      </c>
      <c r="K21753" t="inlineStr">
        <is>
          <t>N/A</t>
        </is>
      </c>
      <c r="L21753" s="8">
        <f>HYPERLINK("https://careerviet.vn/vi/tim-viec-lam/thuc-tap-sinh-ke-toan.35C6CBDB.html","Xem chi tiết")</f>
        <v/>
      </c>
    </row>
    <row r="21754">
      <c r="B21754" s="9" t="n">
        <v>21752</v>
      </c>
      <c r="C21754" s="10" t="inlineStr">
        <is>
          <t>Kế toán trưởng  (làm việc tại Long An)</t>
        </is>
      </c>
      <c r="D21754" s="10" t="inlineStr">
        <is>
          <t>Công Ty CP Đầu Tư IMG</t>
        </is>
      </c>
      <c r="E21754" s="10" t="inlineStr">
        <is>
          <t>Lương:25 Tr - 30 Tr VND</t>
        </is>
      </c>
      <c r="F21754" s="10" t="inlineStr">
        <is>
          <t>Tây Ninh</t>
        </is>
      </c>
      <c r="G21754" s="10" t="inlineStr">
        <is>
          <t>Hôm nay</t>
        </is>
      </c>
      <c r="H21754" s="10" t="inlineStr">
        <is>
          <t>17/03/2026</t>
        </is>
      </c>
      <c r="I21754" s="10" t="inlineStr">
        <is>
          <t>17/03/2026</t>
        </is>
      </c>
      <c r="J21754" s="10" t="inlineStr">
        <is>
          <t>Kế toán / Kiểm toán, Xây dựng, Bất động sản</t>
        </is>
      </c>
      <c r="K21754" s="10" t="inlineStr">
        <is>
          <t>5 - 10 Năm</t>
        </is>
      </c>
      <c r="L21754" s="11">
        <f>HYPERLINK("https://careerviet.vn/vi/tim-viec-lam/ke-toan-truong-lam-viec-tai-long-an.35C630D7.html","Xem chi tiết")</f>
        <v/>
      </c>
      <c r="M21754" s="10" t="n"/>
    </row>
    <row r="21755">
      <c r="B21755" s="7" t="n">
        <v>21753</v>
      </c>
      <c r="C21755" t="inlineStr">
        <is>
          <t>CHUYÊN VIÊN IT</t>
        </is>
      </c>
      <c r="D21755" t="inlineStr">
        <is>
          <t>TỔNG CÔNG TY CỔ PHẦN THƯƠNG MẠI XÂY DỰNG</t>
        </is>
      </c>
      <c r="E21755" t="inlineStr">
        <is>
          <t>Lương:18 Tr - 25 Tr VND</t>
        </is>
      </c>
      <c r="F21755" t="inlineStr">
        <is>
          <t>Hà Nội</t>
        </is>
      </c>
      <c r="G21755" t="inlineStr">
        <is>
          <t>Hôm nay</t>
        </is>
      </c>
      <c r="H21755" t="inlineStr">
        <is>
          <t>17/03/2026</t>
        </is>
      </c>
      <c r="I21755" t="inlineStr">
        <is>
          <t>17/03/2026</t>
        </is>
      </c>
      <c r="J21755" t="inlineStr">
        <is>
          <t>CNTT - Phần mềm, CNTT - Phần cứng / Mạng</t>
        </is>
      </c>
      <c r="K21755" t="inlineStr">
        <is>
          <t>3 - 5 Năm</t>
        </is>
      </c>
      <c r="L21755" s="8">
        <f>HYPERLINK("https://careerviet.vn/vi/tim-viec-lam/chuyen-vien-it.35C65D7B.html","Xem chi tiết")</f>
        <v/>
      </c>
    </row>
    <row r="21756">
      <c r="B21756" s="9" t="n">
        <v>21754</v>
      </c>
      <c r="C21756" s="10" t="inlineStr">
        <is>
          <t>[Hậu Giang] Công nhân vận hành thiết bị sản xuất dược phẩm</t>
        </is>
      </c>
      <c r="D21756" s="10" t="inlineStr">
        <is>
          <t>Công ty Cổ phần Dược Hậu Giang</t>
        </is>
      </c>
      <c r="E21756" s="10" t="inlineStr">
        <is>
          <t>Lương:8 Tr - 12 Tr VND</t>
        </is>
      </c>
      <c r="F21756" s="10" t="inlineStr">
        <is>
          <t>Hậu Giang</t>
        </is>
      </c>
      <c r="G21756" s="10" t="inlineStr">
        <is>
          <t>Hôm nay</t>
        </is>
      </c>
      <c r="H21756" s="10" t="inlineStr">
        <is>
          <t>17/03/2026</t>
        </is>
      </c>
      <c r="I21756" s="10" t="inlineStr">
        <is>
          <t>17/03/2026</t>
        </is>
      </c>
      <c r="J21756" s="10" t="inlineStr">
        <is>
          <t>Dược phẩm/ Hóa Mỹ Phẩm, Sản xuất / Vận hành sản xuất</t>
        </is>
      </c>
      <c r="K21756" s="10" t="inlineStr">
        <is>
          <t>1 - 2 Năm</t>
        </is>
      </c>
      <c r="L21756" s="11">
        <f>HYPERLINK("https://careerviet.vn/vi/tim-viec-lam/hau-giang-cong-nhan-van-hanh-thiet-bi-san-xuat-duoc-pham.35C65CCB.html","Xem chi tiết")</f>
        <v/>
      </c>
      <c r="M21756" s="10" t="n"/>
    </row>
    <row r="21757">
      <c r="B21757" s="7" t="n">
        <v>21755</v>
      </c>
      <c r="C21757" t="inlineStr">
        <is>
          <t>NHÂN VIÊN MARKETING - CHĂM SÓC KHÁCH HÀNG</t>
        </is>
      </c>
      <c r="D21757" t="inlineStr">
        <is>
          <t>HR Vietnam’s ESS Client</t>
        </is>
      </c>
      <c r="E21757" t="inlineStr">
        <is>
          <t>Lương:Cạnh tranh</t>
        </is>
      </c>
      <c r="F21757" t="inlineStr">
        <is>
          <t>Nam Định</t>
        </is>
      </c>
      <c r="G21757" t="inlineStr">
        <is>
          <t>Hôm nay</t>
        </is>
      </c>
      <c r="H21757" t="inlineStr">
        <is>
          <t>17/03/2026</t>
        </is>
      </c>
      <c r="I21757" t="inlineStr">
        <is>
          <t>17/03/2026</t>
        </is>
      </c>
      <c r="J21757" t="inlineStr">
        <is>
          <t>Dịch vụ khách hàng, Tiếp thị / Marketing, Bất động sản</t>
        </is>
      </c>
      <c r="K21757" t="inlineStr">
        <is>
          <t>2 - 4 Năm</t>
        </is>
      </c>
      <c r="L21757" s="8">
        <f>HYPERLINK("https://careerviet.vn/vi/tim-viec-lam/nhan-vien-marketing-cham-soc-khach-hang.35C65D4E.html","Xem chi tiết")</f>
        <v/>
      </c>
    </row>
    <row r="21758">
      <c r="B21758" s="9" t="n">
        <v>21756</v>
      </c>
      <c r="C21758" s="10" t="inlineStr">
        <is>
          <t>Nhân viên Thanh tra - Giám sát</t>
        </is>
      </c>
      <c r="D21758" s="10" t="inlineStr">
        <is>
          <t>Công Ty Cổ Phần A25 Hotel</t>
        </is>
      </c>
      <c r="E21758" s="10" t="inlineStr">
        <is>
          <t>Lương:15 Tr - 25 Tr VND</t>
        </is>
      </c>
      <c r="F21758" s="10" t="inlineStr">
        <is>
          <t>Hà Nội</t>
        </is>
      </c>
      <c r="G21758" s="10" t="inlineStr">
        <is>
          <t>Hôm nay</t>
        </is>
      </c>
      <c r="H21758" s="10" t="inlineStr">
        <is>
          <t>17/03/2026</t>
        </is>
      </c>
      <c r="I21758" s="10" t="inlineStr">
        <is>
          <t>17/03/2026</t>
        </is>
      </c>
      <c r="J21758" s="10" t="inlineStr">
        <is>
          <t>Nhà hàng / Khách sạn, Quản lý chất lượng (QA/QC), Dịch vụ khách hàng</t>
        </is>
      </c>
      <c r="K21758" s="10" t="inlineStr">
        <is>
          <t>2 - 5 Năm</t>
        </is>
      </c>
      <c r="L21758" s="11">
        <f>HYPERLINK("https://careerviet.vn/vi/tim-viec-lam/nhan-vien-thanh-tra-giam-sat.35C65DA9.html","Xem chi tiết")</f>
        <v/>
      </c>
      <c r="M21758" s="10" t="n"/>
    </row>
    <row r="21759">
      <c r="B21759" s="7" t="n">
        <v>21757</v>
      </c>
      <c r="C21759" t="inlineStr">
        <is>
          <t>Giám đốc Phòng QHKH cá nhân - BVBank Sông Hàn - KV Miền Trung</t>
        </is>
      </c>
      <c r="D21759" t="inlineStr">
        <is>
          <t>BVBank - Ngân hàng Bản Việt</t>
        </is>
      </c>
      <c r="E21759" t="inlineStr">
        <is>
          <t>Lương:Cạnh tranh</t>
        </is>
      </c>
      <c r="F21759" t="inlineStr">
        <is>
          <t>Đà Nẵng</t>
        </is>
      </c>
      <c r="G21759" t="inlineStr">
        <is>
          <t>Hôm nay</t>
        </is>
      </c>
      <c r="H21759" t="inlineStr">
        <is>
          <t>17/03/2026</t>
        </is>
      </c>
      <c r="I21759" t="inlineStr">
        <is>
          <t>17/03/2026</t>
        </is>
      </c>
      <c r="J21759" t="inlineStr">
        <is>
          <t>Ngân hàng, Tài chính / Đầu tư</t>
        </is>
      </c>
      <c r="K21759" t="inlineStr">
        <is>
          <t>3 - 4 Năm</t>
        </is>
      </c>
      <c r="L21759" s="8">
        <f>HYPERLINK("https://careerviet.vn/vi/tim-viec-lam/giam-doc-phong-qhkh-ca-nhan-bvbank-song-han-kv-mien-trung.35C6309B.html","Xem chi tiết")</f>
        <v/>
      </c>
    </row>
    <row r="21760">
      <c r="B21760" s="9" t="n">
        <v>21758</v>
      </c>
      <c r="C21760" s="10" t="inlineStr">
        <is>
          <t>Customer Service Team Leader</t>
        </is>
      </c>
      <c r="D21760" s="10" t="inlineStr">
        <is>
          <t>Công Ty TNHH Go-Pak Việt Nam</t>
        </is>
      </c>
      <c r="E21760" s="10" t="inlineStr">
        <is>
          <t>Lương:Cạnh tranh</t>
        </is>
      </c>
      <c r="F21760" s="10" t="inlineStr">
        <is>
          <t>Bình Dương</t>
        </is>
      </c>
      <c r="G21760" s="10" t="inlineStr">
        <is>
          <t>Hôm nay</t>
        </is>
      </c>
      <c r="H21760" s="10" t="inlineStr">
        <is>
          <t>17/03/2026</t>
        </is>
      </c>
      <c r="I21760" s="10" t="inlineStr">
        <is>
          <t>17/03/2026</t>
        </is>
      </c>
      <c r="J21760" s="10" t="inlineStr">
        <is>
          <t>Bán hàng / Kinh doanh, Bán Hàng Kỹ Thuật</t>
        </is>
      </c>
      <c r="K21760" s="10" t="inlineStr">
        <is>
          <t>3 - 5 Năm</t>
        </is>
      </c>
      <c r="L21760" s="11">
        <f>HYPERLINK("https://careerviet.vn/vi/tim-viec-lam/customer-service-team-leader.35C63148.html","Xem chi tiết")</f>
        <v/>
      </c>
      <c r="M21760" s="10" t="n"/>
    </row>
    <row r="21761">
      <c r="B21761" s="7" t="n">
        <v>21759</v>
      </c>
      <c r="C21761" t="inlineStr">
        <is>
          <t>Chuyên Viên Business Analyst</t>
        </is>
      </c>
      <c r="D21761" t="inlineStr">
        <is>
          <t>Tập Đoàn Tân Á Đại Thành</t>
        </is>
      </c>
      <c r="E21761" t="inlineStr">
        <is>
          <t>Lương:Cạnh tranh</t>
        </is>
      </c>
      <c r="F21761" t="inlineStr">
        <is>
          <t>Hà Nội</t>
        </is>
      </c>
      <c r="G21761" t="inlineStr">
        <is>
          <t>Hôm nay</t>
        </is>
      </c>
      <c r="H21761" t="inlineStr">
        <is>
          <t>17/03/2026</t>
        </is>
      </c>
      <c r="I21761" t="inlineStr">
        <is>
          <t>17/03/2026</t>
        </is>
      </c>
      <c r="J21761" t="inlineStr">
        <is>
          <t>CNTT - Phần mềm, CNTT - Phần cứng / Mạng</t>
        </is>
      </c>
      <c r="K21761" t="inlineStr">
        <is>
          <t>2 - 5 Năm</t>
        </is>
      </c>
      <c r="L21761" s="8">
        <f>HYPERLINK("https://careerviet.vn/vi/tim-viec-lam/chuyen-vien-business-analyst.35C6302D.html","Xem chi tiết")</f>
        <v/>
      </c>
    </row>
    <row r="21762">
      <c r="B21762" s="9" t="n">
        <v>21760</v>
      </c>
      <c r="C21762" s="10" t="inlineStr">
        <is>
          <t>Chuyên viên booking KOC/KOL</t>
        </is>
      </c>
      <c r="D21762" s="10" t="inlineStr">
        <is>
          <t>Công Ty TNHH Công Nghiệp Gin Hung Việt Nam</t>
        </is>
      </c>
      <c r="E21762" s="10" t="inlineStr">
        <is>
          <t>Lương:13 Tr - 18 Tr VND</t>
        </is>
      </c>
      <c r="F21762" s="10" t="inlineStr">
        <is>
          <t>Hồ Chí Minh</t>
        </is>
      </c>
      <c r="G21762" s="10" t="inlineStr">
        <is>
          <t>Hôm nay</t>
        </is>
      </c>
      <c r="H21762" s="10" t="inlineStr">
        <is>
          <t>17/03/2026</t>
        </is>
      </c>
      <c r="I21762" s="10" t="inlineStr">
        <is>
          <t>17/03/2026</t>
        </is>
      </c>
      <c r="J21762" s="10" t="inlineStr">
        <is>
          <t>Bán lẻ / Bán sỉ, Thương mại điện tử</t>
        </is>
      </c>
      <c r="K21762" s="10" t="inlineStr">
        <is>
          <t>1 - 2 Năm</t>
        </is>
      </c>
      <c r="L21762" s="11">
        <f>HYPERLINK("https://careerviet.vn/vi/tim-viec-lam/chuyen-vien-booking-koc-kol.35C631F9.html","Xem chi tiết")</f>
        <v/>
      </c>
      <c r="M21762" s="10" t="n"/>
    </row>
    <row r="21763">
      <c r="B21763" s="7" t="n">
        <v>21761</v>
      </c>
      <c r="C21763" t="inlineStr">
        <is>
          <t>KỸ SƯ HIỆN TRƯỜNG</t>
        </is>
      </c>
      <c r="D21763" t="inlineStr">
        <is>
          <t>CÔNG TY CỔ PHẦN TƯ VẤN THIẾT KẾ VÀ XÂY DỰNG GREENHN</t>
        </is>
      </c>
      <c r="E21763" t="inlineStr">
        <is>
          <t>Lương:15 Tr - 22 Tr VND</t>
        </is>
      </c>
      <c r="F21763" t="inlineStr">
        <is>
          <t>Hà Nội</t>
        </is>
      </c>
      <c r="G21763" t="inlineStr">
        <is>
          <t>Hôm nay</t>
        </is>
      </c>
      <c r="H21763" t="inlineStr">
        <is>
          <t>17/03/2026</t>
        </is>
      </c>
      <c r="I21763" t="inlineStr">
        <is>
          <t>17/03/2026</t>
        </is>
      </c>
      <c r="J21763" t="inlineStr">
        <is>
          <t>Xây dựng</t>
        </is>
      </c>
      <c r="K21763" t="inlineStr">
        <is>
          <t>Trên 2 Năm</t>
        </is>
      </c>
      <c r="L21763" s="8">
        <f>HYPERLINK("https://careerviet.vn/vi/tim-viec-lam/ky-su-hien-truong.35C65C08.html","Xem chi tiết")</f>
        <v/>
      </c>
    </row>
    <row r="21764">
      <c r="B21764" s="9" t="n">
        <v>21762</v>
      </c>
      <c r="C21764" s="10" t="inlineStr">
        <is>
          <t>KẾ TOÁN GIÁ THÀNH (KIÊM KẾ TOÁN KHO)</t>
        </is>
      </c>
      <c r="D21764" s="10" t="inlineStr">
        <is>
          <t>CÔNG TY TNHH ĐẦU TƯ ITS</t>
        </is>
      </c>
      <c r="E21764" s="10" t="inlineStr">
        <is>
          <t>Lương:Cạnh tranh</t>
        </is>
      </c>
      <c r="F21764" s="10" t="inlineStr">
        <is>
          <t>Đồng ThápCần Thơ</t>
        </is>
      </c>
      <c r="G21764" s="10" t="inlineStr">
        <is>
          <t>Hôm nay</t>
        </is>
      </c>
      <c r="H21764" s="10" t="inlineStr">
        <is>
          <t>17/03/2026</t>
        </is>
      </c>
      <c r="I21764" s="10" t="inlineStr">
        <is>
          <t>17/03/2026</t>
        </is>
      </c>
      <c r="J21764" s="10" t="inlineStr">
        <is>
          <t>Kế toán / Kiểm toán, Cơ khí / Ô tô / Tự động hóa, Sản xuất / Vận hành sản xuất</t>
        </is>
      </c>
      <c r="K21764" s="10" t="inlineStr">
        <is>
          <t>3 - 5 Năm</t>
        </is>
      </c>
      <c r="L21764" s="11">
        <f>HYPERLINK("https://careerviet.vn/vi/tim-viec-lam/ke-toan-gia-thanh-kiem-ke-toan-kho.35C65D1C.html","Xem chi tiết")</f>
        <v/>
      </c>
      <c r="M21764" s="10" t="n"/>
    </row>
    <row r="21765">
      <c r="B21765" s="7" t="n">
        <v>21763</v>
      </c>
      <c r="C21765" t="inlineStr">
        <is>
          <t>Nhân Viên Pháp Lý Dự Án Xây Dựng</t>
        </is>
      </c>
      <c r="D21765" t="inlineStr">
        <is>
          <t>CÔNG TY TNHH KIẾN TRÚC - NỘI THẤT NAM ANH</t>
        </is>
      </c>
      <c r="E21765" t="inlineStr">
        <is>
          <t>Lương:13 Tr - 18 Tr VND</t>
        </is>
      </c>
      <c r="F21765" t="inlineStr">
        <is>
          <t>Hà Nội</t>
        </is>
      </c>
      <c r="G21765" t="inlineStr">
        <is>
          <t>Hôm nay</t>
        </is>
      </c>
      <c r="H21765" t="inlineStr">
        <is>
          <t>17/03/2026</t>
        </is>
      </c>
      <c r="I21765" t="inlineStr">
        <is>
          <t>17/03/2026</t>
        </is>
      </c>
      <c r="J21765" t="inlineStr">
        <is>
          <t>Kiến trúc, Xây dựng, Bất động sản</t>
        </is>
      </c>
      <c r="K21765" t="inlineStr">
        <is>
          <t>3 - 5 Năm</t>
        </is>
      </c>
      <c r="L21765" s="8">
        <f>HYPERLINK("https://careerviet.vn/vi/tim-viec-lam/nhan-vien-phap-ly-du-an-xay-dung.35C630DC.html","Xem chi tiết")</f>
        <v/>
      </c>
    </row>
    <row r="21766">
      <c r="B21766" s="9" t="n">
        <v>21764</v>
      </c>
      <c r="C21766" s="10" t="inlineStr">
        <is>
          <t>NHÂN VIÊN KẾ HOẠCH SẢN XUẤT [Đi ca ngày đêm]</t>
        </is>
      </c>
      <c r="D21766" s="10" t="inlineStr">
        <is>
          <t>CÔNG TY TNHH CRYSTAL ELEGANCE TEXTILES VIỆT NAM</t>
        </is>
      </c>
      <c r="E21766" s="10" t="inlineStr">
        <is>
          <t>Lương:8 Tr - 12 Tr VND</t>
        </is>
      </c>
      <c r="F21766" s="10" t="inlineStr">
        <is>
          <t>Bình Dương</t>
        </is>
      </c>
      <c r="G21766" s="10" t="inlineStr">
        <is>
          <t>Hôm nay</t>
        </is>
      </c>
      <c r="H21766" s="10" t="inlineStr">
        <is>
          <t>17/03/2026</t>
        </is>
      </c>
      <c r="I21766" s="10" t="inlineStr">
        <is>
          <t>17/03/2026</t>
        </is>
      </c>
      <c r="J21766" s="10" t="inlineStr">
        <is>
          <t>Thống kê, Hóa học, Sản xuất / Vận hành sản xuất</t>
        </is>
      </c>
      <c r="K21766" s="10" t="inlineStr">
        <is>
          <t>N/A</t>
        </is>
      </c>
      <c r="L21766" s="11">
        <f>HYPERLINK("https://careerviet.vn/vi/tim-viec-lam/nhan-vien-ke-hoach-san-xuat-di-ca-ngay-dem.35C65D19.html","Xem chi tiết")</f>
        <v/>
      </c>
      <c r="M21766" s="10" t="n"/>
    </row>
    <row r="21767">
      <c r="B21767" s="7" t="n">
        <v>21765</v>
      </c>
      <c r="C21767" t="inlineStr">
        <is>
          <t>NHÂN VIÊN VÙNG TRỒNG (ĐẮK LẮK)</t>
        </is>
      </c>
      <c r="D21767" t="inlineStr">
        <is>
          <t>CÔNG TY CỔ PHẦN TẬP ĐOÀN XUẤT - NHẬP KHẨU TRÁI CÂY CHÁNH THU</t>
        </is>
      </c>
      <c r="E21767" t="inlineStr">
        <is>
          <t>Lương:Cạnh tranh</t>
        </is>
      </c>
      <c r="F21767" t="inlineStr">
        <is>
          <t>Dak Lak</t>
        </is>
      </c>
      <c r="G21767" t="inlineStr">
        <is>
          <t>Hôm nay</t>
        </is>
      </c>
      <c r="H21767" t="inlineStr">
        <is>
          <t>17/03/2026</t>
        </is>
      </c>
      <c r="I21767" t="inlineStr">
        <is>
          <t>17/03/2026</t>
        </is>
      </c>
      <c r="J21767" t="inlineStr">
        <is>
          <t>Nông nghiệp, Xuất nhập khẩu, Sản xuất / Vận hành sản xuất</t>
        </is>
      </c>
      <c r="K21767" t="inlineStr">
        <is>
          <t>N/A</t>
        </is>
      </c>
      <c r="L21767" s="8">
        <f>HYPERLINK("https://careerviet.vn/vi/tim-viec-lam/nhan-vien-vung-trong-dak-lak.35C63144.html","Xem chi tiết")</f>
        <v/>
      </c>
    </row>
    <row r="21768">
      <c r="B21768" s="9" t="n">
        <v>21766</v>
      </c>
      <c r="C21768" s="10" t="inlineStr">
        <is>
          <t>Nhân Viên Admin - BP CNTT</t>
        </is>
      </c>
      <c r="D21768" s="10" t="inlineStr">
        <is>
          <t>Công Ty Tài Chính TNHH Một Thành Viên Quốc Tế Việt Nam JACCS</t>
        </is>
      </c>
      <c r="E21768" s="10" t="inlineStr">
        <is>
          <t>Lương:9 Tr - 12 Tr VND</t>
        </is>
      </c>
      <c r="F21768" s="10" t="inlineStr">
        <is>
          <t>Hồ Chí Minh</t>
        </is>
      </c>
      <c r="G21768" s="10" t="inlineStr">
        <is>
          <t>Hôm nay</t>
        </is>
      </c>
      <c r="H21768" s="10" t="inlineStr">
        <is>
          <t>17/03/2026</t>
        </is>
      </c>
      <c r="I21768" s="10" t="inlineStr">
        <is>
          <t>17/03/2026</t>
        </is>
      </c>
      <c r="J21768" s="10" t="inlineStr">
        <is>
          <t>Hành chính / Thư ký, Ngân hàng, Tài chính / Đầu tư</t>
        </is>
      </c>
      <c r="K21768" s="10" t="inlineStr">
        <is>
          <t>1 - 2 Năm</t>
        </is>
      </c>
      <c r="L21768" s="11">
        <f>HYPERLINK("https://careerviet.vn/vi/tim-viec-lam/nhan-vien-admin-bp-cntt.35C65C9D.html","Xem chi tiết")</f>
        <v/>
      </c>
      <c r="M21768" s="10" t="n"/>
    </row>
    <row r="21769">
      <c r="B21769" s="7" t="n">
        <v>21767</v>
      </c>
      <c r="C21769" t="inlineStr">
        <is>
          <t>Chuyên viên Tuyển dụng - Talent Acquisition Specialist</t>
        </is>
      </c>
      <c r="D21769" t="inlineStr">
        <is>
          <t>Công Ty CP Tập Đoàn Kỹ Nghệ Gỗ Trường Thành</t>
        </is>
      </c>
      <c r="E21769" t="inlineStr">
        <is>
          <t>Lương:Cạnh tranh</t>
        </is>
      </c>
      <c r="F21769" t="inlineStr">
        <is>
          <t>Bình Dương</t>
        </is>
      </c>
      <c r="G21769" t="inlineStr">
        <is>
          <t>Hôm nay</t>
        </is>
      </c>
      <c r="H21769" t="inlineStr">
        <is>
          <t>17/03/2026</t>
        </is>
      </c>
      <c r="I21769" t="inlineStr">
        <is>
          <t>17/03/2026</t>
        </is>
      </c>
      <c r="J21769" t="inlineStr">
        <is>
          <t>Nhân sự, Sản xuất / Vận hành sản xuất, Đồ gỗ</t>
        </is>
      </c>
      <c r="K21769" t="inlineStr">
        <is>
          <t>2 - 5 Năm</t>
        </is>
      </c>
      <c r="L21769" s="8">
        <f>HYPERLINK("https://careerviet.vn/vi/tim-viec-lam/chuyen-vien-tuyen-dung-talent-acquisition-specialist.35C63030.html","Xem chi tiết")</f>
        <v/>
      </c>
    </row>
    <row r="21770">
      <c r="B21770" s="9" t="n">
        <v>21768</v>
      </c>
      <c r="C21770" s="10" t="inlineStr">
        <is>
          <t>Customer service executive (HAN)</t>
        </is>
      </c>
      <c r="D21770" s="10" t="inlineStr">
        <is>
          <t>S.F. EXPRESS LTD.</t>
        </is>
      </c>
      <c r="E21770" s="10" t="inlineStr">
        <is>
          <t>Lương:15 Tr - 25 Tr VND</t>
        </is>
      </c>
      <c r="F21770" s="10" t="inlineStr">
        <is>
          <t>Hà Nội</t>
        </is>
      </c>
      <c r="G21770" s="10" t="inlineStr">
        <is>
          <t>Hôm nay</t>
        </is>
      </c>
      <c r="H21770" s="10" t="inlineStr">
        <is>
          <t>17/03/2026</t>
        </is>
      </c>
      <c r="I21770" s="10" t="inlineStr">
        <is>
          <t>17/03/2026</t>
        </is>
      </c>
      <c r="J21770" s="10" t="inlineStr">
        <is>
          <t>Xuất nhập khẩu, Hàng không, Hàng hải</t>
        </is>
      </c>
      <c r="K21770" s="10" t="inlineStr">
        <is>
          <t>2 - 3 Năm</t>
        </is>
      </c>
      <c r="L21770" s="11">
        <f>HYPERLINK("https://careerviet.vn/vi/tim-viec-lam/customer-service-executive-han.35C6315E.html","Xem chi tiết")</f>
        <v/>
      </c>
      <c r="M21770" s="10" t="n"/>
    </row>
    <row r="21771">
      <c r="B21771" s="7" t="n">
        <v>21769</v>
      </c>
      <c r="C21771" t="inlineStr">
        <is>
          <t>Chuyên Viên Cao Cấp Pháp Chế</t>
        </is>
      </c>
      <c r="D21771" t="inlineStr">
        <is>
          <t>Ngân hàng TMCP Lộc Phát Việt Nam (LPBank)</t>
        </is>
      </c>
      <c r="E21771" t="inlineStr">
        <is>
          <t>Lương:Cạnh tranh</t>
        </is>
      </c>
      <c r="F21771" t="inlineStr">
        <is>
          <t>Hà Nội</t>
        </is>
      </c>
      <c r="G21771" t="inlineStr">
        <is>
          <t>Hôm nay</t>
        </is>
      </c>
      <c r="H21771" t="inlineStr">
        <is>
          <t>17/03/2026</t>
        </is>
      </c>
      <c r="I21771" t="inlineStr">
        <is>
          <t>17/03/2026</t>
        </is>
      </c>
      <c r="J21771" t="inlineStr">
        <is>
          <t>Luật / Pháp lý, Ngân hàng</t>
        </is>
      </c>
      <c r="K21771" t="inlineStr">
        <is>
          <t>Trên 4 Năm</t>
        </is>
      </c>
      <c r="L21771" s="8">
        <f>HYPERLINK("https://careerviet.vn/vi/tim-viec-lam/chuyen-vien-cao-cap-phap-che.35C63086.html","Xem chi tiết")</f>
        <v/>
      </c>
    </row>
    <row r="21772">
      <c r="B21772" s="9" t="n">
        <v>21770</v>
      </c>
      <c r="C21772" s="10" t="inlineStr">
        <is>
          <t>CHUYÊN VIÊN CHẤT LƯỢNG [Tiếng Trung]</t>
        </is>
      </c>
      <c r="D21772" s="10" t="inlineStr">
        <is>
          <t>CÔNG TY TNHH CRYSTAL ELEGANCE TEXTILES VIỆT NAM</t>
        </is>
      </c>
      <c r="E21772" s="10" t="inlineStr">
        <is>
          <t>Lương:8 Tr - 14 Tr VND</t>
        </is>
      </c>
      <c r="F21772" s="10" t="inlineStr">
        <is>
          <t>Bình Dương</t>
        </is>
      </c>
      <c r="G21772" s="10" t="inlineStr">
        <is>
          <t>Hôm nay</t>
        </is>
      </c>
      <c r="H21772" s="10" t="inlineStr">
        <is>
          <t>17/03/2026</t>
        </is>
      </c>
      <c r="I21772" s="10" t="inlineStr">
        <is>
          <t>17/03/2026</t>
        </is>
      </c>
      <c r="J21772" s="10" t="inlineStr">
        <is>
          <t>Sản xuất / Vận hành sản xuất, Dệt may / Da giày / Thời trang, Quản lý chất lượng (QA/QC)</t>
        </is>
      </c>
      <c r="K21772" s="10" t="inlineStr">
        <is>
          <t>1 - 3 Năm</t>
        </is>
      </c>
      <c r="L21772" s="11">
        <f>HYPERLINK("https://careerviet.vn/vi/tim-viec-lam/chuyen-vien-chat-luong-tieng-trung.35C65D60.html","Xem chi tiết")</f>
        <v/>
      </c>
      <c r="M21772" s="10" t="n"/>
    </row>
    <row r="21773">
      <c r="B21773" s="7" t="n">
        <v>21771</v>
      </c>
      <c r="C21773" t="inlineStr">
        <is>
          <t>Nhân Viên Phụ Kho</t>
        </is>
      </c>
      <c r="D21773" t="inlineStr">
        <is>
          <t>CÔNG TY CỔ PHẦN THỰC PHẨM CHOLIMEX</t>
        </is>
      </c>
      <c r="E21773" t="inlineStr">
        <is>
          <t>Lương:10 Tr - 14 Tr VND</t>
        </is>
      </c>
      <c r="F21773" t="inlineStr">
        <is>
          <t>Long An</t>
        </is>
      </c>
      <c r="G21773" t="inlineStr">
        <is>
          <t>Hôm nay</t>
        </is>
      </c>
      <c r="H21773" t="inlineStr">
        <is>
          <t>16/03/2026</t>
        </is>
      </c>
      <c r="I21773" t="inlineStr">
        <is>
          <t>17/03/2026</t>
        </is>
      </c>
      <c r="J21773" t="inlineStr">
        <is>
          <t>Vận chuyển / Giao nhận / Kho vận</t>
        </is>
      </c>
      <c r="K21773" t="inlineStr">
        <is>
          <t>1 - 2 Năm</t>
        </is>
      </c>
      <c r="L21773" s="8">
        <f>HYPERLINK("https://careerviet.vn/vi/tim-viec-lam/nhan-vien-phu-kho.35C63121.html","Xem chi tiết")</f>
        <v/>
      </c>
    </row>
    <row r="21774">
      <c r="B21774" s="9" t="n">
        <v>21772</v>
      </c>
      <c r="C21774" s="10" t="inlineStr">
        <is>
          <t>Giám Sát Vận Hành - Cam Ranh</t>
        </is>
      </c>
      <c r="D21774" s="10" t="inlineStr">
        <is>
          <t>CÔNG TY CỔ PHẦN DI CHUYỂN VÀ THÔNG MINH GSM</t>
        </is>
      </c>
      <c r="E21774" s="10" t="inlineStr">
        <is>
          <t>Lương:13 Tr - 20 Tr VND</t>
        </is>
      </c>
      <c r="F21774" s="10" t="inlineStr">
        <is>
          <t>Khánh Hòa</t>
        </is>
      </c>
      <c r="G21774" s="10" t="inlineStr">
        <is>
          <t>Hôm nay</t>
        </is>
      </c>
      <c r="H21774" s="10" t="inlineStr">
        <is>
          <t>17/03/2026</t>
        </is>
      </c>
      <c r="I21774" s="10" t="inlineStr">
        <is>
          <t>17/03/2026</t>
        </is>
      </c>
      <c r="J21774" s="10" t="inlineStr">
        <is>
          <t>Vận chuyển / Giao nhận / Kho vận</t>
        </is>
      </c>
      <c r="K21774" s="10" t="inlineStr">
        <is>
          <t>3 - 10 Năm</t>
        </is>
      </c>
      <c r="L21774" s="11">
        <f>HYPERLINK("https://careerviet.vn/vi/tim-viec-lam/giam-sat-van-hanh-cam-ranh.35C6317A.html","Xem chi tiết")</f>
        <v/>
      </c>
      <c r="M21774" s="10" t="n"/>
    </row>
    <row r="21775">
      <c r="B21775" s="7" t="n">
        <v>21773</v>
      </c>
      <c r="C21775" t="inlineStr">
        <is>
          <t>Trưởng ca/ Team leader sản xuất ( Quản trị viên tập sự Tốt Nghiệp năm 2023-2026 )</t>
        </is>
      </c>
      <c r="D21775" t="inlineStr">
        <is>
          <t>CÔNG TY TNHH ACTR</t>
        </is>
      </c>
      <c r="E21775" t="inlineStr">
        <is>
          <t>Lương:10,5 Tr - 15,5 Tr VND</t>
        </is>
      </c>
      <c r="F21775" t="inlineStr">
        <is>
          <t>Tây Ninh</t>
        </is>
      </c>
      <c r="G21775" t="inlineStr">
        <is>
          <t>Hôm nay</t>
        </is>
      </c>
      <c r="H21775" t="inlineStr">
        <is>
          <t>17/03/2026</t>
        </is>
      </c>
      <c r="I21775" t="inlineStr">
        <is>
          <t>17/03/2026</t>
        </is>
      </c>
      <c r="J21775" t="inlineStr">
        <is>
          <t>Ngành khác, Mới tốt nghiệp / Thực tập, Quản lý điều hành</t>
        </is>
      </c>
      <c r="K21775" t="inlineStr">
        <is>
          <t>N/A</t>
        </is>
      </c>
      <c r="L21775" s="8">
        <f>HYPERLINK("https://careerviet.vn/vi/tim-viec-lam/truong-ca-team-leader-san-xuat-quan-tri-vien-tap-su-tot-nghiep-nam-2023-2026.35C6593A.html","Xem chi tiết")</f>
        <v/>
      </c>
    </row>
    <row r="21776">
      <c r="B21776" s="9" t="n">
        <v>21774</v>
      </c>
      <c r="C21776" s="10" t="inlineStr">
        <is>
          <t>Kế Toán Trưởng Biết Tiếng Trung</t>
        </is>
      </c>
      <c r="D21776" s="10" t="inlineStr">
        <is>
          <t>CÔNG TY TNHH SẢN XUẤT GREAT LOTUS VIỆT NAM</t>
        </is>
      </c>
      <c r="E21776" s="10" t="inlineStr">
        <is>
          <t>Lương:Cạnh tranh</t>
        </is>
      </c>
      <c r="F21776" s="10" t="inlineStr">
        <is>
          <t>Bình Dương</t>
        </is>
      </c>
      <c r="G21776" s="10" t="inlineStr">
        <is>
          <t>Hôm nay</t>
        </is>
      </c>
      <c r="H21776" s="10" t="inlineStr">
        <is>
          <t>17/03/2026</t>
        </is>
      </c>
      <c r="I21776" s="10" t="inlineStr">
        <is>
          <t>17/03/2026</t>
        </is>
      </c>
      <c r="J21776" s="10" t="inlineStr">
        <is>
          <t>Kế toán / Kiểm toán</t>
        </is>
      </c>
      <c r="K21776" s="10" t="inlineStr">
        <is>
          <t>4 - 5 Năm</t>
        </is>
      </c>
      <c r="L21776" s="11">
        <f>HYPERLINK("https://careerviet.vn/vi/tim-viec-lam/ke-toan-truong-biet-tieng-trung.35C63022.html","Xem chi tiết")</f>
        <v/>
      </c>
      <c r="M21776" s="10" t="n"/>
    </row>
    <row r="21777">
      <c r="B21777" s="7" t="n">
        <v>21775</v>
      </c>
      <c r="C21777" t="inlineStr">
        <is>
          <t>Trưởng Bộ Phận Tài Chính</t>
        </is>
      </c>
      <c r="D21777" t="inlineStr">
        <is>
          <t>Công Ty Cổ Phần Tập Đoàn Trần Anh Long An</t>
        </is>
      </c>
      <c r="E21777" t="inlineStr">
        <is>
          <t>Lương:50 Tr - 80 Tr VND</t>
        </is>
      </c>
      <c r="F21777" t="inlineStr">
        <is>
          <t>Long An</t>
        </is>
      </c>
      <c r="G21777" t="inlineStr">
        <is>
          <t>Hôm nay</t>
        </is>
      </c>
      <c r="H21777" t="inlineStr">
        <is>
          <t>17/03/2026</t>
        </is>
      </c>
      <c r="I21777" t="inlineStr">
        <is>
          <t>17/03/2026</t>
        </is>
      </c>
      <c r="J21777" t="inlineStr">
        <is>
          <t>Kế toán / Kiểm toán, Quản lý điều hành, Tài chính / Đầu tư</t>
        </is>
      </c>
      <c r="K21777" t="inlineStr">
        <is>
          <t>10 - 15 Năm</t>
        </is>
      </c>
      <c r="L21777" s="8">
        <f>HYPERLINK("https://careerviet.vn/vi/tim-viec-lam/truong-bo-phan-tai-chinh.35C65CD2.html","Xem chi tiết")</f>
        <v/>
      </c>
    </row>
    <row r="21778">
      <c r="B21778" s="9" t="n">
        <v>21776</v>
      </c>
      <c r="C21778" s="10" t="inlineStr">
        <is>
          <t>Nhân Viên Pha Chế Quán Cafe (Barista)</t>
        </is>
      </c>
      <c r="D21778" s="10" t="inlineStr">
        <is>
          <t>Công ty TNHH Sản xuất Thương mại &amp; Dịch vụ Hoa Xinh</t>
        </is>
      </c>
      <c r="E21778" s="10" t="inlineStr">
        <is>
          <t>Lương:8 Tr - 9 Tr VND</t>
        </is>
      </c>
      <c r="F21778" s="10" t="inlineStr">
        <is>
          <t>Hồ Chí MinhBà Rịa - Vũng Tàu</t>
        </is>
      </c>
      <c r="G21778" s="10" t="inlineStr">
        <is>
          <t>Hôm nay</t>
        </is>
      </c>
      <c r="H21778" s="10" t="inlineStr">
        <is>
          <t>17/03/2026</t>
        </is>
      </c>
      <c r="I21778" s="10" t="inlineStr">
        <is>
          <t>17/03/2026</t>
        </is>
      </c>
      <c r="J21778" s="10" t="inlineStr">
        <is>
          <t>Lao động phổ thông, Thực phẩm &amp; Đồ uống, Nhà hàng / Khách sạn</t>
        </is>
      </c>
      <c r="K21778" s="10" t="inlineStr">
        <is>
          <t>1 - 2 Năm</t>
        </is>
      </c>
      <c r="L21778" s="11">
        <f>HYPERLINK("https://careerviet.vn/vi/tim-viec-lam/nhan-vien-pha-che-quan-cafe-barista.35C65BE7.html","Xem chi tiết")</f>
        <v/>
      </c>
      <c r="M21778" s="10" t="n"/>
    </row>
    <row r="21779">
      <c r="B21779" s="7" t="n">
        <v>21777</v>
      </c>
      <c r="C21779" t="inlineStr">
        <is>
          <t>Nhân viên Quản lý Phòng cháy chữa cháy</t>
        </is>
      </c>
      <c r="D21779" t="inlineStr">
        <is>
          <t>Công ty Cổ phần Chế tạo Bơm Hải Duơng</t>
        </is>
      </c>
      <c r="E21779" t="inlineStr">
        <is>
          <t>Lương:Cạnh tranh</t>
        </is>
      </c>
      <c r="F21779" t="inlineStr">
        <is>
          <t>Hải Dương</t>
        </is>
      </c>
      <c r="G21779" t="inlineStr">
        <is>
          <t>Hôm nay</t>
        </is>
      </c>
      <c r="H21779" t="inlineStr">
        <is>
          <t>17/03/2026</t>
        </is>
      </c>
      <c r="I21779" t="inlineStr">
        <is>
          <t>17/03/2026</t>
        </is>
      </c>
      <c r="J21779" t="inlineStr">
        <is>
          <t>Dịch vụ khách hàng, Cơ khí / Ô tô / Tự động hóa, An toàn lao động</t>
        </is>
      </c>
      <c r="K21779" t="inlineStr">
        <is>
          <t>N/A</t>
        </is>
      </c>
      <c r="L21779" s="8">
        <f>HYPERLINK("https://careerviet.vn/vi/tim-viec-lam/nhan-vien-quan-ly-phong-chay-chua-chay.35C65C43.html","Xem chi tiết")</f>
        <v/>
      </c>
    </row>
    <row r="21780">
      <c r="B21780" s="9" t="n">
        <v>21778</v>
      </c>
      <c r="C21780" s="10" t="inlineStr">
        <is>
          <t>Project Logistics Pricing and Operations Specialist</t>
        </is>
      </c>
      <c r="D21780" s="10" t="inlineStr">
        <is>
          <t>CÔNG TY TNHH CEVA LOGISTICS (VIỆT NAM)</t>
        </is>
      </c>
      <c r="E21780" s="10" t="inlineStr">
        <is>
          <t>Lương:Cạnh tranh</t>
        </is>
      </c>
      <c r="F21780" s="10" t="inlineStr">
        <is>
          <t>Hồ Chí Minh</t>
        </is>
      </c>
      <c r="G21780" s="10" t="inlineStr">
        <is>
          <t>Hôm nay</t>
        </is>
      </c>
      <c r="H21780" s="10" t="inlineStr">
        <is>
          <t>17/03/2026</t>
        </is>
      </c>
      <c r="I21780" s="10" t="inlineStr">
        <is>
          <t>17/03/2026</t>
        </is>
      </c>
      <c r="J21780" s="10" t="inlineStr">
        <is>
          <t>Vận chuyển / Giao nhận / Kho vận, Dầu khí</t>
        </is>
      </c>
      <c r="K21780" s="10" t="inlineStr">
        <is>
          <t>5 - 25 Năm</t>
        </is>
      </c>
      <c r="L21780" s="11">
        <f>HYPERLINK("https://careerviet.vn/vi/tim-viec-lam/project-logistics-pricing-and-operations-specialist.35C630E0.html","Xem chi tiết")</f>
        <v/>
      </c>
      <c r="M21780" s="10" t="n"/>
    </row>
    <row r="21781">
      <c r="B21781" s="7" t="n">
        <v>21779</v>
      </c>
      <c r="C21781" t="inlineStr">
        <is>
          <t>Chuyên viên Tài trợ thương mại - Phòng Thanh toán quốc tế - Khối Vận hành</t>
        </is>
      </c>
      <c r="D21781" t="inlineStr">
        <is>
          <t>Ngân Hàng TMCP Tiên Phong (TPBank)</t>
        </is>
      </c>
      <c r="E21781" t="inlineStr">
        <is>
          <t>Lương:Cạnh tranh</t>
        </is>
      </c>
      <c r="F21781" t="inlineStr">
        <is>
          <t>Hà Nội</t>
        </is>
      </c>
      <c r="G21781" t="inlineStr">
        <is>
          <t>Hôm nay</t>
        </is>
      </c>
      <c r="H21781" t="inlineStr">
        <is>
          <t>17/03/2026</t>
        </is>
      </c>
      <c r="I21781" t="inlineStr">
        <is>
          <t>17/03/2026</t>
        </is>
      </c>
      <c r="J21781" t="inlineStr">
        <is>
          <t>Ngân hàng, Tài chính / Đầu tư</t>
        </is>
      </c>
      <c r="K21781" t="inlineStr">
        <is>
          <t>1 - 3 Năm</t>
        </is>
      </c>
      <c r="L21781" s="8">
        <f>HYPERLINK("https://careerviet.vn/vi/tim-viec-lam/chuyen-vien-tai-tro-thuong-mai-phong-thanh-toan-quoc-te-khoi-van-hanh.35C65C63.html","Xem chi tiết")</f>
        <v/>
      </c>
    </row>
    <row r="21782">
      <c r="B21782" s="9" t="n">
        <v>21780</v>
      </c>
      <c r="C21782" s="10" t="inlineStr">
        <is>
          <t>Trợ lý Tổng giám đốc (Tiếng Anh)</t>
        </is>
      </c>
      <c r="D21782" s="10" t="inlineStr">
        <is>
          <t>Công Ty TNHH Thương Mại K&amp;K Toàn Cầu</t>
        </is>
      </c>
      <c r="E21782" s="10" t="inlineStr">
        <is>
          <t>Lương:10 Tr - 15 Tr VND</t>
        </is>
      </c>
      <c r="F21782" s="10" t="inlineStr">
        <is>
          <t>Hà Nội</t>
        </is>
      </c>
      <c r="G21782" s="10" t="inlineStr">
        <is>
          <t>Hôm nay</t>
        </is>
      </c>
      <c r="H21782" s="10" t="inlineStr">
        <is>
          <t>17/03/2026</t>
        </is>
      </c>
      <c r="I21782" s="10" t="inlineStr">
        <is>
          <t>17/03/2026</t>
        </is>
      </c>
      <c r="J21782" s="10" t="inlineStr">
        <is>
          <t>Hành chính / Thư ký, Biên phiên dịch</t>
        </is>
      </c>
      <c r="K21782" s="10" t="inlineStr">
        <is>
          <t>N/A</t>
        </is>
      </c>
      <c r="L21782" s="11">
        <f>HYPERLINK("https://careerviet.vn/vi/tim-viec-lam/tro-ly-tong-giam-doc-tieng-anh.35C6303E.html","Xem chi tiết")</f>
        <v/>
      </c>
      <c r="M21782" s="10" t="n"/>
    </row>
    <row r="21783">
      <c r="B21783" s="7" t="n">
        <v>21781</v>
      </c>
      <c r="C21783" t="inlineStr">
        <is>
          <t>Control Vendor Supervisor</t>
        </is>
      </c>
      <c r="D21783" t="inlineStr">
        <is>
          <t>CÔNG TY CỔ PHẦN  ITL LOGISTICS</t>
        </is>
      </c>
      <c r="E21783" t="inlineStr">
        <is>
          <t>Lương:Cạnh tranh</t>
        </is>
      </c>
      <c r="F21783" t="inlineStr">
        <is>
          <t>Hồ Chí Minh</t>
        </is>
      </c>
      <c r="G21783" t="inlineStr">
        <is>
          <t>Hôm nay</t>
        </is>
      </c>
      <c r="H21783" t="inlineStr">
        <is>
          <t>17/03/2026</t>
        </is>
      </c>
      <c r="I21783" t="inlineStr">
        <is>
          <t>17/03/2026</t>
        </is>
      </c>
      <c r="J21783" t="inlineStr">
        <is>
          <t>Vận chuyển / Giao nhận / Kho vận, Thu mua / Vật tư</t>
        </is>
      </c>
      <c r="K21783" t="inlineStr">
        <is>
          <t>4 - 10 Năm</t>
        </is>
      </c>
      <c r="L21783" s="8">
        <f>HYPERLINK("https://careerviet.vn/vi/tim-viec-lam/control-vendor-supervisor.35C65CA3.html","Xem chi tiết")</f>
        <v/>
      </c>
    </row>
    <row r="21784">
      <c r="B21784" s="9" t="n">
        <v>21782</v>
      </c>
      <c r="C21784" s="10" t="inlineStr">
        <is>
          <t>Quản Trị Viên Kỹ Thuật  Chất lượng</t>
        </is>
      </c>
      <c r="D21784" s="10" t="inlineStr">
        <is>
          <t>CÔNG TY TNHH ACTR</t>
        </is>
      </c>
      <c r="E21784" s="10" t="inlineStr">
        <is>
          <t>Lương:10,8 Tr - 15,5 Tr VND</t>
        </is>
      </c>
      <c r="F21784" s="10" t="inlineStr">
        <is>
          <t>Tây Ninh</t>
        </is>
      </c>
      <c r="G21784" s="10" t="inlineStr">
        <is>
          <t>Hôm nay</t>
        </is>
      </c>
      <c r="H21784" s="10" t="inlineStr">
        <is>
          <t>17/03/2026</t>
        </is>
      </c>
      <c r="I21784" s="10" t="inlineStr">
        <is>
          <t>17/03/2026</t>
        </is>
      </c>
      <c r="J21784" s="10" t="inlineStr">
        <is>
          <t>Hóa học, Mới tốt nghiệp / Thực tập, Cơ khí / Ô tô / Tự động hóa</t>
        </is>
      </c>
      <c r="K21784" s="10" t="inlineStr">
        <is>
          <t>N/A</t>
        </is>
      </c>
      <c r="L21784" s="11">
        <f>HYPERLINK("https://careerviet.vn/vi/tim-viec-lam/quan-tri-vien-ky-thuat-chat-luong.35C6593F.html","Xem chi tiết")</f>
        <v/>
      </c>
      <c r="M21784" s="10" t="n"/>
    </row>
    <row r="21785">
      <c r="B21785" s="7" t="n">
        <v>21783</v>
      </c>
      <c r="C21785" t="inlineStr">
        <is>
          <t>Điều Dưỡng Dụng Cụ</t>
        </is>
      </c>
      <c r="D21785" t="inlineStr">
        <is>
          <t>CÔNG TY CỔ PHẦN BỆNH VIỆN PHẪU THUẬT THẨM MỸ NAM AN</t>
        </is>
      </c>
      <c r="E21785" t="inlineStr">
        <is>
          <t>Lương:Cạnh tranh</t>
        </is>
      </c>
      <c r="F21785" t="inlineStr">
        <is>
          <t>Hồ Chí Minh</t>
        </is>
      </c>
      <c r="G21785" t="inlineStr">
        <is>
          <t>Hôm nay</t>
        </is>
      </c>
      <c r="H21785" t="inlineStr">
        <is>
          <t>17/03/2026</t>
        </is>
      </c>
      <c r="I21785" t="inlineStr">
        <is>
          <t>17/03/2026</t>
        </is>
      </c>
      <c r="J21785" t="inlineStr">
        <is>
          <t>Dược phẩm/ Hóa Mỹ Phẩm, Y tế / Chăm sóc sức khỏe / Thẩm mỹ / Làm đẹp, Hành chính / Thư ký</t>
        </is>
      </c>
      <c r="K21785" t="inlineStr">
        <is>
          <t>N/A</t>
        </is>
      </c>
      <c r="L21785" s="8">
        <f>HYPERLINK("https://careerviet.vn/vi/tim-viec-lam/dieu-duong-dung-cu.35C6321E.html","Xem chi tiết")</f>
        <v/>
      </c>
    </row>
    <row r="21786">
      <c r="B21786" s="9" t="n">
        <v>21784</v>
      </c>
      <c r="C21786" s="10" t="inlineStr">
        <is>
          <t>Service Manager (night shift)</t>
        </is>
      </c>
      <c r="D21786" s="10" t="inlineStr">
        <is>
          <t>SPS Vietnam</t>
        </is>
      </c>
      <c r="E21786" s="10" t="inlineStr">
        <is>
          <t>Lương:1.000 - 1.300 USD</t>
        </is>
      </c>
      <c r="F21786" s="10" t="inlineStr">
        <is>
          <t>Hồ Chí Minh</t>
        </is>
      </c>
      <c r="G21786" s="10" t="inlineStr">
        <is>
          <t>Hôm nay</t>
        </is>
      </c>
      <c r="H21786" s="10" t="inlineStr">
        <is>
          <t>17/03/2026</t>
        </is>
      </c>
      <c r="I21786" s="10" t="inlineStr">
        <is>
          <t>17/03/2026</t>
        </is>
      </c>
      <c r="J21786" s="10" t="inlineStr">
        <is>
          <t>Dịch vụ khách hàng, Ngân hàng, CNTT - Phần mềm</t>
        </is>
      </c>
      <c r="K21786" s="10" t="inlineStr">
        <is>
          <t>2 - 3 Năm</t>
        </is>
      </c>
      <c r="L21786" s="11">
        <f>HYPERLINK("https://careerviet.vn/vi/tim-viec-lam/service-manager-night-shift.35C65C7D.html","Xem chi tiết")</f>
        <v/>
      </c>
      <c r="M21786" s="10" t="n"/>
    </row>
    <row r="21787">
      <c r="B21787" s="7" t="n">
        <v>21785</v>
      </c>
      <c r="C21787" t="inlineStr">
        <is>
          <t>Kế toán Mua hàng &amp; Định khoản Thu chi</t>
        </is>
      </c>
      <c r="D21787" t="inlineStr">
        <is>
          <t>CÔNG TY TNHH WETOOL</t>
        </is>
      </c>
      <c r="E21787" t="inlineStr">
        <is>
          <t>Lương:10 Tr - 12 Tr VND</t>
        </is>
      </c>
      <c r="F21787" t="inlineStr">
        <is>
          <t>Hồ Chí Minh</t>
        </is>
      </c>
      <c r="G21787" t="inlineStr">
        <is>
          <t>Hôm nay</t>
        </is>
      </c>
      <c r="H21787" t="inlineStr">
        <is>
          <t>17/03/2026</t>
        </is>
      </c>
      <c r="I21787" t="inlineStr">
        <is>
          <t>17/03/2026</t>
        </is>
      </c>
      <c r="J21787" t="inlineStr">
        <is>
          <t>Xuất nhập khẩu, Sản xuất / Vận hành sản xuất</t>
        </is>
      </c>
      <c r="K21787" t="inlineStr">
        <is>
          <t>Trên 2 Năm</t>
        </is>
      </c>
      <c r="L21787" s="8">
        <f>HYPERLINK("https://careerviet.vn/vi/tim-viec-lam/ke-toan-mua-hang-dinh-khoan-thu-chi.35C65D6D.html","Xem chi tiết")</f>
        <v/>
      </c>
    </row>
    <row r="21788">
      <c r="B21788" s="9" t="n">
        <v>21786</v>
      </c>
      <c r="C21788" s="10" t="inlineStr">
        <is>
          <t>KTV Bảo trì điện &amp; Vận hành</t>
        </is>
      </c>
      <c r="D21788" s="10" t="inlineStr">
        <is>
          <t>Công Ty TNHH Red Bull (Việt Nam)</t>
        </is>
      </c>
      <c r="E21788" s="10" t="inlineStr">
        <is>
          <t>Lương:Cạnh tranh</t>
        </is>
      </c>
      <c r="F21788" s="10" t="inlineStr">
        <is>
          <t>Bình DươngHồ Chí MinhĐồng Nai</t>
        </is>
      </c>
      <c r="G21788" s="10" t="inlineStr">
        <is>
          <t>Hôm nay</t>
        </is>
      </c>
      <c r="H21788" s="10" t="inlineStr">
        <is>
          <t>17/03/2026</t>
        </is>
      </c>
      <c r="I21788" s="10" t="inlineStr">
        <is>
          <t>17/03/2026</t>
        </is>
      </c>
      <c r="J21788" s="10" t="inlineStr">
        <is>
          <t>Bảo trì / Sửa chữa, Thực phẩm &amp; Đồ uống, Điện / Điện tử / Điện lạnh / Điện công nghiệp</t>
        </is>
      </c>
      <c r="K21788" s="10" t="inlineStr">
        <is>
          <t>Trên 1 Năm</t>
        </is>
      </c>
      <c r="L21788" s="11">
        <f>HYPERLINK("https://careerviet.vn/vi/tim-viec-lam/ktv-bao-tri-dien-van-hanh.35C65CDB.html","Xem chi tiết")</f>
        <v/>
      </c>
      <c r="M21788" s="10" t="n"/>
    </row>
    <row r="21789">
      <c r="B21789" s="7" t="n">
        <v>21787</v>
      </c>
      <c r="C21789" t="inlineStr">
        <is>
          <t>Electrical Engineer</t>
        </is>
      </c>
      <c r="D21789" t="inlineStr">
        <is>
          <t>Công ty TNHH Phát triển Phú Mỹ Hưng</t>
        </is>
      </c>
      <c r="E21789" t="inlineStr">
        <is>
          <t>Lương:Cạnh tranh</t>
        </is>
      </c>
      <c r="F21789" t="inlineStr">
        <is>
          <t>Hồ Chí Minh</t>
        </is>
      </c>
      <c r="G21789" t="inlineStr">
        <is>
          <t>Hôm nay</t>
        </is>
      </c>
      <c r="H21789" t="inlineStr">
        <is>
          <t>17/03/2026</t>
        </is>
      </c>
      <c r="I21789" t="inlineStr">
        <is>
          <t>17/03/2026</t>
        </is>
      </c>
      <c r="J21789" t="inlineStr">
        <is>
          <t>Điện / Điện tử / Điện lạnh / Điện công nghiệp</t>
        </is>
      </c>
      <c r="K21789" t="inlineStr">
        <is>
          <t>2 - 3 Năm</t>
        </is>
      </c>
      <c r="L21789" s="8">
        <f>HYPERLINK("https://careerviet.vn/vi/tim-viec-lam/electrical-engineer.35C65D0A.html","Xem chi tiết")</f>
        <v/>
      </c>
    </row>
    <row r="21790">
      <c r="B21790" s="9" t="n">
        <v>21788</v>
      </c>
      <c r="C21790" s="10" t="inlineStr">
        <is>
          <t>Business Development Manager/ Quản Lý Phát Triển Kinh Doanh</t>
        </is>
      </c>
      <c r="D21790" s="10" t="inlineStr">
        <is>
          <t>CÔNG TY TNHH TM DV 20S FACTORY</t>
        </is>
      </c>
      <c r="E21790" s="10" t="inlineStr">
        <is>
          <t>Lương:Cạnh tranh</t>
        </is>
      </c>
      <c r="F21790" s="10" t="inlineStr">
        <is>
          <t>Hồ Chí Minh</t>
        </is>
      </c>
      <c r="G21790" s="10" t="inlineStr">
        <is>
          <t>Hôm nay</t>
        </is>
      </c>
      <c r="H21790" s="10" t="inlineStr">
        <is>
          <t>17/03/2026</t>
        </is>
      </c>
      <c r="I21790" s="10" t="inlineStr">
        <is>
          <t>17/03/2026</t>
        </is>
      </c>
      <c r="J21790" s="10" t="inlineStr">
        <is>
          <t>Tiếp thị / Marketing, Bán hàng / Kinh doanh, Dịch vụ khách hàng</t>
        </is>
      </c>
      <c r="K21790" s="10" t="inlineStr">
        <is>
          <t>5 - 10 Năm</t>
        </is>
      </c>
      <c r="L21790" s="11">
        <f>HYPERLINK("https://careerviet.vn/vi/tim-viec-lam/business-development-manager-quan-ly-phat-trien-kinh-doanh.35C65C44.html","Xem chi tiết")</f>
        <v/>
      </c>
      <c r="M21790" s="10" t="n"/>
    </row>
    <row r="21791">
      <c r="B21791" s="7" t="n">
        <v>21789</v>
      </c>
      <c r="C21791" t="inlineStr">
        <is>
          <t>[Hậu Giang] Chuyên viên Kiểm nghiệm dược phẩm</t>
        </is>
      </c>
      <c r="D21791" t="inlineStr">
        <is>
          <t>Công ty Cổ phần Dược Hậu Giang</t>
        </is>
      </c>
      <c r="E21791" t="inlineStr">
        <is>
          <t>Lương:9 Tr - 12 Tr VND</t>
        </is>
      </c>
      <c r="F21791" t="inlineStr">
        <is>
          <t>Hậu Giang</t>
        </is>
      </c>
      <c r="G21791" t="inlineStr">
        <is>
          <t>Hôm nay</t>
        </is>
      </c>
      <c r="H21791" t="inlineStr">
        <is>
          <t>17/03/2026</t>
        </is>
      </c>
      <c r="I21791" t="inlineStr">
        <is>
          <t>17/03/2026</t>
        </is>
      </c>
      <c r="J21791" t="inlineStr">
        <is>
          <t>Dược phẩm/ Hóa Mỹ Phẩm</t>
        </is>
      </c>
      <c r="K21791" t="inlineStr">
        <is>
          <t>Trên 1 Năm</t>
        </is>
      </c>
      <c r="L21791" s="8">
        <f>HYPERLINK("https://careerviet.vn/vi/tim-viec-lam/hau-giang-chuyen-vien-kiem-nghiem-duoc-pham.35C65BFE.html","Xem chi tiết")</f>
        <v/>
      </c>
    </row>
    <row r="21792">
      <c r="B21792" s="9" t="n">
        <v>21790</v>
      </c>
      <c r="C21792" s="10" t="inlineStr">
        <is>
          <t>Nhân Viên Bán Hàng</t>
        </is>
      </c>
      <c r="D21792" s="10" t="inlineStr">
        <is>
          <t>Công ty Cổ phần Thời Trang YODY</t>
        </is>
      </c>
      <c r="E21792" s="10" t="inlineStr">
        <is>
          <t>Lương:8 Tr - 15 Tr VND</t>
        </is>
      </c>
      <c r="F21792" s="10" t="inlineStr">
        <is>
          <t>Hồ Chí MinhBình DươngĐồng Nai</t>
        </is>
      </c>
      <c r="G21792" s="10" t="inlineStr">
        <is>
          <t>Hôm nay</t>
        </is>
      </c>
      <c r="H21792" s="10" t="inlineStr">
        <is>
          <t>17/03/2026</t>
        </is>
      </c>
      <c r="I21792" s="10" t="inlineStr">
        <is>
          <t>17/03/2026</t>
        </is>
      </c>
      <c r="J21792" s="10" t="inlineStr">
        <is>
          <t>Bán hàng / Kinh doanh</t>
        </is>
      </c>
      <c r="K21792" s="10" t="inlineStr">
        <is>
          <t>Chưa có kinh nghiệm</t>
        </is>
      </c>
      <c r="L21792" s="11">
        <f>HYPERLINK("https://careerviet.vn/vi/tim-viec-lam/nhan-vien-ban-hang.35C65CF3.html","Xem chi tiết")</f>
        <v/>
      </c>
      <c r="M21792" s="10" t="n"/>
    </row>
    <row r="21793">
      <c r="B21793" s="7" t="n">
        <v>21791</v>
      </c>
      <c r="C21793" t="inlineStr">
        <is>
          <t>Nhân viên phát triển kênh bảo hiểm</t>
        </is>
      </c>
      <c r="D21793" t="inlineStr">
        <is>
          <t>Công ty cổ phần HaMo Holdings</t>
        </is>
      </c>
      <c r="E21793" t="inlineStr">
        <is>
          <t>Lương:Cạnh tranh</t>
        </is>
      </c>
      <c r="F21793" t="inlineStr">
        <is>
          <t>Hồ Chí Minh</t>
        </is>
      </c>
      <c r="G21793" t="inlineStr">
        <is>
          <t>Hôm nay</t>
        </is>
      </c>
      <c r="H21793" t="inlineStr">
        <is>
          <t>17/03/2026</t>
        </is>
      </c>
      <c r="I21793" t="inlineStr">
        <is>
          <t>17/03/2026</t>
        </is>
      </c>
      <c r="J21793" t="inlineStr">
        <is>
          <t>Bán hàng / Kinh doanh, Y tế / Chăm sóc sức khỏe / Thẩm mỹ / Làm đẹp, Bảo hiểm</t>
        </is>
      </c>
      <c r="K21793" t="inlineStr">
        <is>
          <t>1 - 3 Năm</t>
        </is>
      </c>
      <c r="L21793" s="8">
        <f>HYPERLINK("https://careerviet.vn/vi/tim-viec-lam/nhan-vien-phat-trien-kenh-bao-hiem.35C631EB.html","Xem chi tiết")</f>
        <v/>
      </c>
    </row>
    <row r="21794">
      <c r="B21794" s="9" t="n">
        <v>21792</v>
      </c>
      <c r="C21794" s="10" t="inlineStr">
        <is>
          <t>Chuyên viên kiểm soát nội bộ (Mảng tài chính)</t>
        </is>
      </c>
      <c r="D21794" s="10" t="inlineStr">
        <is>
          <t>CÔNG TY CỔ PHẦN TẬP ĐOÀN CƠ KHÍ CÔNG NGHỆ CAO SIBA</t>
        </is>
      </c>
      <c r="E21794" s="10" t="inlineStr">
        <is>
          <t>Lương:Cạnh tranh</t>
        </is>
      </c>
      <c r="F21794" s="10" t="inlineStr">
        <is>
          <t>Hồ Chí Minh</t>
        </is>
      </c>
      <c r="G21794" s="10" t="inlineStr">
        <is>
          <t>Hôm nay</t>
        </is>
      </c>
      <c r="H21794" s="10" t="inlineStr">
        <is>
          <t>17/03/2026</t>
        </is>
      </c>
      <c r="I21794" s="10" t="inlineStr">
        <is>
          <t>17/03/2026</t>
        </is>
      </c>
      <c r="J21794" s="10" t="inlineStr">
        <is>
          <t>Kế toán / Kiểm toán, Tài chính / Đầu tư</t>
        </is>
      </c>
      <c r="K21794" s="10" t="inlineStr">
        <is>
          <t>3 - 5 Năm</t>
        </is>
      </c>
      <c r="L21794" s="11">
        <f>HYPERLINK("https://careerviet.vn/vi/tim-viec-lam/chuyen-vien-kiem-soat-noi-bo-mang-tai-chinh.35C63088.html","Xem chi tiết")</f>
        <v/>
      </c>
      <c r="M21794" s="10" t="n"/>
    </row>
    <row r="21795">
      <c r="B21795" s="7" t="n">
        <v>21793</v>
      </c>
      <c r="C21795" t="inlineStr">
        <is>
          <t>TRƯỞNG BỘ PHẬN MARKETING</t>
        </is>
      </c>
      <c r="D21795" t="inlineStr">
        <is>
          <t>Công Ty TNHH Sản Xuất Kinh Doanh Hai Thành</t>
        </is>
      </c>
      <c r="E21795" t="inlineStr">
        <is>
          <t>Lương:Cạnh tranh</t>
        </is>
      </c>
      <c r="F21795" t="inlineStr">
        <is>
          <t>Hồ Chí Minh</t>
        </is>
      </c>
      <c r="G21795" t="inlineStr">
        <is>
          <t>Hôm nay</t>
        </is>
      </c>
      <c r="H21795" t="inlineStr">
        <is>
          <t>17/03/2026</t>
        </is>
      </c>
      <c r="I21795" t="inlineStr">
        <is>
          <t>17/03/2026</t>
        </is>
      </c>
      <c r="J21795" t="inlineStr">
        <is>
          <t>Tiếp thị / Marketing, Truyền hình / Báo chí / Biên tập, Quảng cáo / Đối ngoại / Truyền Thông</t>
        </is>
      </c>
      <c r="K21795" t="inlineStr">
        <is>
          <t>5 - 10 Năm</t>
        </is>
      </c>
      <c r="L21795" s="8">
        <f>HYPERLINK("https://careerviet.vn/vi/tim-viec-lam/truong-bo-phan-marketing.35C63065.html","Xem chi tiết")</f>
        <v/>
      </c>
    </row>
    <row r="21796">
      <c r="B21796" s="9" t="n">
        <v>21794</v>
      </c>
      <c r="C21796" s="10" t="inlineStr">
        <is>
          <t>Kỹ sư xây dựng ( Phòng quản lý chất lượng &amp; tiến độ)</t>
        </is>
      </c>
      <c r="D21796" s="10" t="inlineStr">
        <is>
          <t>CÔNG TY CỔ PHẦN EUROWINDOW HOLDING</t>
        </is>
      </c>
      <c r="E21796" s="10" t="inlineStr">
        <is>
          <t>Lương:Cạnh tranh</t>
        </is>
      </c>
      <c r="F21796" s="10" t="inlineStr">
        <is>
          <t>Hà Nội</t>
        </is>
      </c>
      <c r="G21796" s="10" t="inlineStr">
        <is>
          <t>Hôm nay</t>
        </is>
      </c>
      <c r="H21796" s="10" t="inlineStr">
        <is>
          <t>17/03/2026</t>
        </is>
      </c>
      <c r="I21796" s="10" t="inlineStr">
        <is>
          <t>17/03/2026</t>
        </is>
      </c>
      <c r="J21796" s="10" t="inlineStr">
        <is>
          <t>Xây dựng</t>
        </is>
      </c>
      <c r="K21796" s="10" t="inlineStr">
        <is>
          <t>3 - 10 Năm</t>
        </is>
      </c>
      <c r="L21796" s="11">
        <f>HYPERLINK("https://careerviet.vn/vi/tim-viec-lam/ky-su-xay-dung-phong-quan-ly-chat-luong-tien-do.35C6321D.html","Xem chi tiết")</f>
        <v/>
      </c>
      <c r="M21796" s="10" t="n"/>
    </row>
    <row r="21797">
      <c r="B21797" s="7" t="n">
        <v>21795</v>
      </c>
      <c r="C21797" t="inlineStr">
        <is>
          <t>International Trader</t>
        </is>
      </c>
      <c r="D21797" t="inlineStr">
        <is>
          <t>CÔNG TY TNHH KIO VIET</t>
        </is>
      </c>
      <c r="E21797" t="inlineStr">
        <is>
          <t>Lương:12 Tr - 18 Tr VND</t>
        </is>
      </c>
      <c r="F21797" t="inlineStr">
        <is>
          <t>Hồ Chí Minh</t>
        </is>
      </c>
      <c r="G21797" t="inlineStr">
        <is>
          <t>Hôm nay</t>
        </is>
      </c>
      <c r="H21797" t="inlineStr">
        <is>
          <t>17/03/2026</t>
        </is>
      </c>
      <c r="I21797" t="inlineStr">
        <is>
          <t>17/03/2026</t>
        </is>
      </c>
      <c r="J21797" t="inlineStr">
        <is>
          <t>Dược phẩm/ Hóa Mỹ Phẩm, Y tế / Chăm sóc sức khỏe / Thẩm mỹ / Làm đẹp, Xuất nhập khẩu</t>
        </is>
      </c>
      <c r="K21797" t="inlineStr">
        <is>
          <t>2 - 5 Năm</t>
        </is>
      </c>
      <c r="L21797" s="8">
        <f>HYPERLINK("https://careerviet.vn/vi/tim-viec-lam/international-trader.35C6311F.html","Xem chi tiết")</f>
        <v/>
      </c>
    </row>
    <row r="21798">
      <c r="B21798" s="9" t="n">
        <v>21796</v>
      </c>
      <c r="C21798" s="10" t="inlineStr">
        <is>
          <t>HMK TUYỂN DỤNG NHÂN VIÊN BÁN HÀNG MÙA CUỐI NĂM TẠI ĐÀ NẴNG</t>
        </is>
      </c>
      <c r="D21798" s="10" t="inlineStr">
        <is>
          <t>HMK Eyewear</t>
        </is>
      </c>
      <c r="E21798" s="10" t="inlineStr">
        <is>
          <t>Lương:7 Tr - 15 Tr VND</t>
        </is>
      </c>
      <c r="F21798" s="10" t="inlineStr">
        <is>
          <t>Đà Nẵng</t>
        </is>
      </c>
      <c r="G21798" s="10" t="inlineStr">
        <is>
          <t>Hôm nay</t>
        </is>
      </c>
      <c r="H21798" s="10" t="inlineStr">
        <is>
          <t>17/03/2026</t>
        </is>
      </c>
      <c r="I21798" s="10" t="inlineStr">
        <is>
          <t>17/03/2026</t>
        </is>
      </c>
      <c r="J21798" s="10" t="inlineStr">
        <is>
          <t>Tiếp thị / Marketing, Bán lẻ / Bán sỉ, Bán hàng / Kinh doanhBằng cấpTrung họcĐộ tuổi19 - 27</t>
        </is>
      </c>
      <c r="K21798" s="10" t="inlineStr">
        <is>
          <t>N/A</t>
        </is>
      </c>
      <c r="L21798" s="11">
        <f>HYPERLINK("https://careerviet.vn/vi/tim-viec-lam/hmk-tuyen-dung-nhan-vien-ban-hang-mua-cuoi-nam-tai-da-nang.35C630D0.html","Xem chi tiết")</f>
        <v/>
      </c>
      <c r="M21798" s="10" t="n"/>
    </row>
    <row r="21799">
      <c r="B21799" s="7" t="n">
        <v>21797</v>
      </c>
      <c r="C21799" t="inlineStr">
        <is>
          <t>[Hậu Giang] Công nhân kỹ thuật/ vận hành in ấn bao bì</t>
        </is>
      </c>
      <c r="D21799" t="inlineStr">
        <is>
          <t>Công ty Cổ phần Dược Hậu Giang</t>
        </is>
      </c>
      <c r="E21799" t="inlineStr">
        <is>
          <t>Lương:7 Tr - 10 Tr VND</t>
        </is>
      </c>
      <c r="F21799" t="inlineStr">
        <is>
          <t>Hậu Giang</t>
        </is>
      </c>
      <c r="G21799" t="inlineStr">
        <is>
          <t>Hôm nay</t>
        </is>
      </c>
      <c r="H21799" t="inlineStr">
        <is>
          <t>17/03/2026</t>
        </is>
      </c>
      <c r="I21799" t="inlineStr">
        <is>
          <t>17/03/2026</t>
        </is>
      </c>
      <c r="J21799" t="inlineStr">
        <is>
          <t>Dược phẩm/ Hóa Mỹ Phẩm, In ấn / Xuất bản</t>
        </is>
      </c>
      <c r="K21799" t="inlineStr">
        <is>
          <t>N/A</t>
        </is>
      </c>
      <c r="L21799" s="8">
        <f>HYPERLINK("https://careerviet.vn/vi/tim-viec-lam/hau-giang-cong-nhan-ky-thuat-van-hanh-in-an-bao-bi.35C65C0D.html","Xem chi tiết")</f>
        <v/>
      </c>
    </row>
    <row r="21800">
      <c r="B21800" s="9" t="n">
        <v>21798</v>
      </c>
      <c r="C21800" s="10" t="inlineStr">
        <is>
          <t>Facilities &amp; Office Administrator</t>
        </is>
      </c>
      <c r="D21800" s="10" t="inlineStr">
        <is>
          <t>Wall Street English</t>
        </is>
      </c>
      <c r="E21800" s="10" t="inlineStr">
        <is>
          <t>Lương:Cạnh tranh</t>
        </is>
      </c>
      <c r="F21800" s="10" t="inlineStr">
        <is>
          <t>Hồ Chí Minh</t>
        </is>
      </c>
      <c r="G21800" s="10" t="inlineStr">
        <is>
          <t>Hôm nay</t>
        </is>
      </c>
      <c r="H21800" s="10" t="inlineStr">
        <is>
          <t>17/03/2026</t>
        </is>
      </c>
      <c r="I21800" s="10" t="inlineStr">
        <is>
          <t>17/03/2026</t>
        </is>
      </c>
      <c r="J21800" s="10" t="inlineStr">
        <is>
          <t>Xây dựng, Bất động sản</t>
        </is>
      </c>
      <c r="K21800" s="10" t="inlineStr">
        <is>
          <t>2 - 5 Năm</t>
        </is>
      </c>
      <c r="L21800" s="11">
        <f>HYPERLINK("https://careerviet.vn/vi/tim-viec-lam/facilities-office-administrator.35C65DBC.html","Xem chi tiết")</f>
        <v/>
      </c>
      <c r="M21800" s="10" t="n"/>
    </row>
    <row r="21801">
      <c r="B21801" s="7" t="n">
        <v>21799</v>
      </c>
      <c r="C21801" t="inlineStr">
        <is>
          <t>Senior Sales Tour Inbound</t>
        </is>
      </c>
      <c r="D21801" t="inlineStr">
        <is>
          <t>CÔNG TY TNHH DU LỊCH TIÊN PHONG Á CHÂU</t>
        </is>
      </c>
      <c r="E21801" t="inlineStr">
        <is>
          <t>Lương:10 Tr - 50 Tr VND</t>
        </is>
      </c>
      <c r="F21801" t="inlineStr">
        <is>
          <t>Hà Nội</t>
        </is>
      </c>
      <c r="G21801" t="inlineStr">
        <is>
          <t>Hôm nay</t>
        </is>
      </c>
      <c r="H21801" t="inlineStr">
        <is>
          <t>17/03/2026</t>
        </is>
      </c>
      <c r="I21801" t="inlineStr">
        <is>
          <t>17/03/2026</t>
        </is>
      </c>
      <c r="J21801" t="inlineStr">
        <is>
          <t>Bán hàng / Kinh doanh, Biên phiên dịch, Du lịch</t>
        </is>
      </c>
      <c r="K21801" t="inlineStr">
        <is>
          <t>1 Năm</t>
        </is>
      </c>
      <c r="L21801" s="8">
        <f>HYPERLINK("https://careerviet.vn/vi/tim-viec-lam/senior-sales-tour-inbound.35C6305B.html","Xem chi tiết")</f>
        <v/>
      </c>
    </row>
    <row r="21802">
      <c r="B21802" s="9" t="n">
        <v>21800</v>
      </c>
      <c r="C21802" s="10" t="inlineStr">
        <is>
          <t>Chuyên viên Product Marketing</t>
        </is>
      </c>
      <c r="D21802" s="10" t="inlineStr">
        <is>
          <t>Tập Đoàn Karofi Holding</t>
        </is>
      </c>
      <c r="E21802" s="10" t="inlineStr">
        <is>
          <t>Lương:18 Tr - 22 Tr VND</t>
        </is>
      </c>
      <c r="F21802" s="10" t="inlineStr">
        <is>
          <t>Hà Nội</t>
        </is>
      </c>
      <c r="G21802" s="10" t="inlineStr">
        <is>
          <t>Hôm nay</t>
        </is>
      </c>
      <c r="H21802" s="10" t="inlineStr">
        <is>
          <t>17/03/2026</t>
        </is>
      </c>
      <c r="I21802" s="10" t="inlineStr">
        <is>
          <t>17/03/2026</t>
        </is>
      </c>
      <c r="J21802" s="10" t="inlineStr">
        <is>
          <t>Bán lẻ / Bán sỉ, Bán hàng / Kinh doanh, Hàng gia dụng / Chăm sóc cá nhân</t>
        </is>
      </c>
      <c r="K21802" s="10" t="inlineStr">
        <is>
          <t>1 - 3 Năm</t>
        </is>
      </c>
      <c r="L21802" s="11">
        <f>HYPERLINK("https://careerviet.vn/vi/tim-viec-lam/chuyen-vien-product-marketing.35C63176.html","Xem chi tiết")</f>
        <v/>
      </c>
      <c r="M21802" s="10" t="n"/>
    </row>
    <row r="21803">
      <c r="B21803" s="7" t="n">
        <v>21801</v>
      </c>
      <c r="C21803" t="inlineStr">
        <is>
          <t>Chuyên Viên Tư Vấn Chương Trình Quốc Tế</t>
        </is>
      </c>
      <c r="D21803" t="inlineStr">
        <is>
          <t>Tutoring Space</t>
        </is>
      </c>
      <c r="E21803" t="inlineStr">
        <is>
          <t>Lương:7 Tr - 20 Tr VND</t>
        </is>
      </c>
      <c r="F21803" t="inlineStr">
        <is>
          <t>Hồ Chí Minh</t>
        </is>
      </c>
      <c r="G21803" t="inlineStr">
        <is>
          <t>Hôm nay</t>
        </is>
      </c>
      <c r="H21803" t="inlineStr">
        <is>
          <t>17/03/2026</t>
        </is>
      </c>
      <c r="I21803" t="inlineStr">
        <is>
          <t>17/03/2026</t>
        </is>
      </c>
      <c r="J21803" t="inlineStr">
        <is>
          <t>Giáo dục / Đào tạo, Tư vấn, Tiếp thị / Marketing</t>
        </is>
      </c>
      <c r="K21803" t="inlineStr">
        <is>
          <t>1 - 2 Năm</t>
        </is>
      </c>
      <c r="L21803" s="8">
        <f>HYPERLINK("https://careerviet.vn/vi/tim-viec-lam/chuyen-vien-tu-van-chuong-trinh-quoc-te.35C6320E.html","Xem chi tiết")</f>
        <v/>
      </c>
    </row>
    <row r="21804">
      <c r="B21804" s="9" t="n">
        <v>21802</v>
      </c>
      <c r="C21804" s="10" t="inlineStr">
        <is>
          <t>Trưởng ban quản lý tòa nhà (Property Manager - Residential)</t>
        </is>
      </c>
      <c r="D21804" s="10" t="inlineStr">
        <is>
          <t>Savills Vietnam</t>
        </is>
      </c>
      <c r="E21804" s="10" t="inlineStr">
        <is>
          <t>Lương:Cạnh tranh</t>
        </is>
      </c>
      <c r="F21804" s="10" t="inlineStr">
        <is>
          <t>Long An</t>
        </is>
      </c>
      <c r="G21804" s="10" t="inlineStr">
        <is>
          <t>Hôm nay</t>
        </is>
      </c>
      <c r="H21804" s="10" t="inlineStr">
        <is>
          <t>17/03/2026</t>
        </is>
      </c>
      <c r="I21804" s="10" t="inlineStr">
        <is>
          <t>17/03/2026</t>
        </is>
      </c>
      <c r="J21804" s="10" t="inlineStr">
        <is>
          <t>Quản lý điều hành, Nhân sự, Bất động sản</t>
        </is>
      </c>
      <c r="K21804" s="10" t="inlineStr">
        <is>
          <t>4 - 7 Năm</t>
        </is>
      </c>
      <c r="L21804" s="11">
        <f>HYPERLINK("https://careerviet.vn/vi/tim-viec-lam/truong-ban-quan-ly-toa-nha-property-manager-residential.35C65BE4.html","Xem chi tiết")</f>
        <v/>
      </c>
      <c r="M21804" s="10" t="n"/>
    </row>
    <row r="21805">
      <c r="B21805" s="7" t="n">
        <v>21803</v>
      </c>
      <c r="C21805" t="inlineStr">
        <is>
          <t>[HCM] Kế toán Bán hàng (Văn Phòng)</t>
        </is>
      </c>
      <c r="D21805" t="inlineStr">
        <is>
          <t>Công ty TNHH Thiên Thủy Mộc</t>
        </is>
      </c>
      <c r="E21805" t="inlineStr">
        <is>
          <t>Lương:Cạnh tranh</t>
        </is>
      </c>
      <c r="F21805" t="inlineStr">
        <is>
          <t>Hồ Chí Minh</t>
        </is>
      </c>
      <c r="G21805" t="inlineStr">
        <is>
          <t>Hôm nay</t>
        </is>
      </c>
      <c r="H21805" t="inlineStr">
        <is>
          <t>17/03/2026</t>
        </is>
      </c>
      <c r="I21805" t="inlineStr">
        <is>
          <t>17/03/2026</t>
        </is>
      </c>
      <c r="J21805" t="inlineStr">
        <is>
          <t>Kế toán / Kiểm toán</t>
        </is>
      </c>
      <c r="K21805" t="inlineStr">
        <is>
          <t>3 - 5 Năm</t>
        </is>
      </c>
      <c r="L21805" s="8">
        <f>HYPERLINK("https://careerviet.vn/vi/tim-viec-lam/hcm-ke-toan-ban-hang-van-phong.35C6310B.html","Xem chi tiết")</f>
        <v/>
      </c>
    </row>
    <row r="21806">
      <c r="B21806" s="9" t="n">
        <v>21804</v>
      </c>
      <c r="C21806" s="10" t="inlineStr">
        <is>
          <t>Phó Phòng Mua Hàng – Ngành Xây Dựng &amp; Cảnh Quan</t>
        </is>
      </c>
      <c r="D21806" s="10" t="inlineStr">
        <is>
          <t>Công Ty TNHH J.G</t>
        </is>
      </c>
      <c r="E21806" s="10" t="inlineStr">
        <is>
          <t>Lương:Cạnh tranh</t>
        </is>
      </c>
      <c r="F21806" s="10" t="inlineStr">
        <is>
          <t>Hồ Chí Minh</t>
        </is>
      </c>
      <c r="G21806" s="10" t="inlineStr">
        <is>
          <t>Hôm nay</t>
        </is>
      </c>
      <c r="H21806" s="10" t="inlineStr">
        <is>
          <t>17/03/2026</t>
        </is>
      </c>
      <c r="I21806" s="10" t="inlineStr">
        <is>
          <t>17/03/2026</t>
        </is>
      </c>
      <c r="J21806" s="10" t="inlineStr">
        <is>
          <t>Thu mua / Vật tư, Xây dựng, Nội ngoại thất</t>
        </is>
      </c>
      <c r="K21806" s="10" t="inlineStr">
        <is>
          <t>7 - 10 Năm</t>
        </is>
      </c>
      <c r="L21806" s="11">
        <f>HYPERLINK("https://careerviet.vn/vi/tim-viec-lam/pho-phong-mua-hang-nganh-xay-dung-canh-quan.35C631ED.html","Xem chi tiết")</f>
        <v/>
      </c>
      <c r="M21806" s="10" t="n"/>
    </row>
    <row r="21807">
      <c r="B21807" s="7" t="n">
        <v>21805</v>
      </c>
      <c r="C21807" t="inlineStr">
        <is>
          <t>Nhân viên kinh doanh</t>
        </is>
      </c>
      <c r="D21807" t="inlineStr">
        <is>
          <t>Công Ty TNHH BEST Logistics Technology (Việt Nam)</t>
        </is>
      </c>
      <c r="E21807" t="inlineStr">
        <is>
          <t>Lương:9 Tr - 25 Tr VND</t>
        </is>
      </c>
      <c r="F21807" t="inlineStr">
        <is>
          <t>Đà Nẵng</t>
        </is>
      </c>
      <c r="G21807" t="inlineStr">
        <is>
          <t>Hôm nay</t>
        </is>
      </c>
      <c r="H21807" t="inlineStr">
        <is>
          <t>17/03/2026</t>
        </is>
      </c>
      <c r="I21807" t="inlineStr">
        <is>
          <t>17/03/2026</t>
        </is>
      </c>
      <c r="J21807" t="inlineStr">
        <is>
          <t>Tiếp thị / Marketing, Bán hàng / Kinh doanh, Giáo dục / Đào tạo</t>
        </is>
      </c>
      <c r="K21807" t="inlineStr">
        <is>
          <t>1 - 2 Năm</t>
        </is>
      </c>
      <c r="L21807" s="8">
        <f>HYPERLINK("https://careerviet.vn/vi/tim-viec-lam/nhan-vien-kinh-doanh.35C630F3.html","Xem chi tiết")</f>
        <v/>
      </c>
    </row>
    <row r="21808">
      <c r="B21808" s="9" t="n">
        <v>21806</v>
      </c>
      <c r="C21808" s="10" t="inlineStr">
        <is>
          <t>Area Sales Manager (ASM) - Kênh Ngoài thầu</t>
        </is>
      </c>
      <c r="D21808" s="10" t="inlineStr">
        <is>
          <t>Công ty TNHH Bình Việt Đức (BIVID)</t>
        </is>
      </c>
      <c r="E21808" s="10" t="inlineStr">
        <is>
          <t>Lương:15 Tr - 30 Tr VND</t>
        </is>
      </c>
      <c r="F21808" s="10" t="inlineStr">
        <is>
          <t>Hồ Chí Minh</t>
        </is>
      </c>
      <c r="G21808" s="10" t="inlineStr">
        <is>
          <t>Hôm nay</t>
        </is>
      </c>
      <c r="H21808" s="10" t="inlineStr">
        <is>
          <t>17/03/2026</t>
        </is>
      </c>
      <c r="I21808" s="10" t="inlineStr">
        <is>
          <t>17/03/2026</t>
        </is>
      </c>
      <c r="J21808" s="10" t="inlineStr">
        <is>
          <t>Dược phẩm/ Hóa Mỹ Phẩm, Y tế / Chăm sóc sức khỏe / Thẩm mỹ / Làm đẹp, Thực phẩm &amp; Đồ uống</t>
        </is>
      </c>
      <c r="K21808" s="10" t="inlineStr">
        <is>
          <t>2 - 4 Năm</t>
        </is>
      </c>
      <c r="L21808" s="11">
        <f>HYPERLINK("https://careerviet.vn/vi/tim-viec-lam/area-sales-manager-asm-kenh-ngoai-thau.35C631FF.html","Xem chi tiết")</f>
        <v/>
      </c>
      <c r="M21808" s="10" t="n"/>
    </row>
    <row r="21809">
      <c r="B21809" s="7" t="n">
        <v>21807</v>
      </c>
      <c r="C21809" t="inlineStr">
        <is>
          <t>Chuyên Viên Nhân Sự - HR / HRBP (Lĩnh vực Công Nghệ - Tech/IT)</t>
        </is>
      </c>
      <c r="D21809" t="inlineStr">
        <is>
          <t>Công ty Cổ phần Công nghệ UpBase</t>
        </is>
      </c>
      <c r="E21809" t="inlineStr">
        <is>
          <t>Lương:15 Tr - 25 Tr VND</t>
        </is>
      </c>
      <c r="F21809" t="inlineStr">
        <is>
          <t>Hà Nội</t>
        </is>
      </c>
      <c r="G21809" t="inlineStr">
        <is>
          <t>Hôm nay</t>
        </is>
      </c>
      <c r="H21809" t="inlineStr">
        <is>
          <t>17/03/2026</t>
        </is>
      </c>
      <c r="I21809" t="inlineStr">
        <is>
          <t>17/03/2026</t>
        </is>
      </c>
      <c r="J21809" t="inlineStr">
        <is>
          <t>Hành chính / Thư ký, Nhân sự, CNTT - Phần mềm</t>
        </is>
      </c>
      <c r="K21809" t="inlineStr">
        <is>
          <t>Chưa có kinh nghiệm</t>
        </is>
      </c>
      <c r="L21809" s="8">
        <f>HYPERLINK("https://careerviet.vn/vi/tim-viec-lam/chuyen-vien-nhan-su-hr-hrbp-linh-vuc-cong-nghe-tech-it.35C630B8.html","Xem chi tiết")</f>
        <v/>
      </c>
    </row>
    <row r="21810">
      <c r="B21810" s="9" t="n">
        <v>21808</v>
      </c>
      <c r="C21810" s="10" t="inlineStr">
        <is>
          <t>Nhân viên kỹ thuật lắp ráp- Phát triển sản phẩm mới</t>
        </is>
      </c>
      <c r="D21810" s="10" t="inlineStr">
        <is>
          <t>Công ty TNHH Cơ Khí Xây Dựng Du Lịch Bách Tùng</t>
        </is>
      </c>
      <c r="E21810" s="10" t="inlineStr">
        <is>
          <t>Lương:10 Tr - 17 Tr VND</t>
        </is>
      </c>
      <c r="F21810" s="10" t="inlineStr">
        <is>
          <t>Bình Dương</t>
        </is>
      </c>
      <c r="G21810" s="10" t="inlineStr">
        <is>
          <t>Hôm nay</t>
        </is>
      </c>
      <c r="H21810" s="10" t="inlineStr">
        <is>
          <t>17/03/2026</t>
        </is>
      </c>
      <c r="I21810" s="10" t="inlineStr">
        <is>
          <t>17/03/2026</t>
        </is>
      </c>
      <c r="J21810" s="10" t="inlineStr">
        <is>
          <t>Cơ khí / Ô tô / Tự động hóa, Sản xuất / Vận hành sản xuất, Ngành khác</t>
        </is>
      </c>
      <c r="K21810" s="10" t="inlineStr">
        <is>
          <t>Trên 1 Năm</t>
        </is>
      </c>
      <c r="L21810" s="11">
        <f>HYPERLINK("https://careerviet.vn/vi/tim-viec-lam/nhan-vien-ky-thuat-lap-rap-phat-trien-san-pham-moi.35C65CB4.html","Xem chi tiết")</f>
        <v/>
      </c>
      <c r="M21810" s="10" t="n"/>
    </row>
    <row r="21811">
      <c r="B21811" s="7" t="n">
        <v>21809</v>
      </c>
      <c r="C21811" t="inlineStr">
        <is>
          <t>Nhân Viên Bán Hàng (Full-time/Part-time) - Crescent Mall</t>
        </is>
      </c>
      <c r="D21811" t="inlineStr">
        <is>
          <t>CÔNG TY TNHH WIND SUPPLY CHAIN ONE (VIỆT NAM)</t>
        </is>
      </c>
      <c r="E21811" t="inlineStr">
        <is>
          <t>Lương:1 Tr - 3 Tr VND</t>
        </is>
      </c>
      <c r="F21811" t="inlineStr">
        <is>
          <t>Hồ Chí Minh</t>
        </is>
      </c>
      <c r="G21811" t="inlineStr">
        <is>
          <t>Hôm nay</t>
        </is>
      </c>
      <c r="H21811" t="inlineStr">
        <is>
          <t>17/03/2026</t>
        </is>
      </c>
      <c r="I21811" t="inlineStr">
        <is>
          <t>17/03/2026</t>
        </is>
      </c>
      <c r="J21811" t="inlineStr">
        <is>
          <t>Bán lẻ / Bán sỉ</t>
        </is>
      </c>
      <c r="K21811" t="inlineStr">
        <is>
          <t>N/A</t>
        </is>
      </c>
      <c r="L21811" s="8">
        <f>HYPERLINK("https://careerviet.vn/vi/tim-viec-lam/nhan-vien-ban-hang-full-time-part-time-crescent-mall.35C63210.html","Xem chi tiết")</f>
        <v/>
      </c>
    </row>
    <row r="21812">
      <c r="B21812" s="9" t="n">
        <v>21810</v>
      </c>
      <c r="C21812" s="10" t="inlineStr">
        <is>
          <t>[Cần Thơ] Nhân Viên Lập Kế Hoạch Sản Xuất</t>
        </is>
      </c>
      <c r="D21812" s="10" t="inlineStr">
        <is>
          <t>Công ty Cổ phần Dược Hậu Giang</t>
        </is>
      </c>
      <c r="E21812" s="10" t="inlineStr">
        <is>
          <t>Lương:10 Tr - 13 Tr VND</t>
        </is>
      </c>
      <c r="F21812" s="10" t="inlineStr">
        <is>
          <t>Hậu Giang</t>
        </is>
      </c>
      <c r="G21812" s="10" t="inlineStr">
        <is>
          <t>Hôm nay</t>
        </is>
      </c>
      <c r="H21812" s="10" t="inlineStr">
        <is>
          <t>17/03/2026</t>
        </is>
      </c>
      <c r="I21812" s="10" t="inlineStr">
        <is>
          <t>17/03/2026</t>
        </is>
      </c>
      <c r="J21812" s="10" t="inlineStr">
        <is>
          <t>Dược phẩm/ Hóa Mỹ Phẩm, Sản xuất / Vận hành sản xuất</t>
        </is>
      </c>
      <c r="K21812" s="10" t="inlineStr">
        <is>
          <t>1 - 2 Năm</t>
        </is>
      </c>
      <c r="L21812" s="11">
        <f>HYPERLINK("https://careerviet.vn/vi/tim-viec-lam/can-tho-nhan-vien-lap-ke-hoach-san-xuat.35C65CCA.html","Xem chi tiết")</f>
        <v/>
      </c>
      <c r="M21812" s="10" t="n"/>
    </row>
    <row r="21813">
      <c r="B21813" s="7" t="n">
        <v>21811</v>
      </c>
      <c r="C21813" t="inlineStr">
        <is>
          <t>[NMS] - Software Engineering Manager</t>
        </is>
      </c>
      <c r="D21813" t="inlineStr">
        <is>
          <t>Nova Service Group - Công ty Cổ phần Tập đoàn Nova Services</t>
        </is>
      </c>
      <c r="E21813" t="inlineStr">
        <is>
          <t>Lương:Cạnh tranh</t>
        </is>
      </c>
      <c r="F21813" t="inlineStr">
        <is>
          <t>Hồ Chí Minh</t>
        </is>
      </c>
      <c r="G21813" t="inlineStr">
        <is>
          <t>Hôm nay</t>
        </is>
      </c>
      <c r="H21813" t="inlineStr">
        <is>
          <t>17/03/2026</t>
        </is>
      </c>
      <c r="I21813" t="inlineStr">
        <is>
          <t>17/03/2026</t>
        </is>
      </c>
      <c r="J21813" t="inlineStr">
        <is>
          <t>CNTT - Phần mềm</t>
        </is>
      </c>
      <c r="K21813" t="inlineStr">
        <is>
          <t>8 - 20 Năm</t>
        </is>
      </c>
      <c r="L21813" s="8">
        <f>HYPERLINK("https://careerviet.vn/vi/tim-viec-lam/nms-software-engineering-manager.35C65C8C.html","Xem chi tiết")</f>
        <v/>
      </c>
    </row>
    <row r="21814">
      <c r="B21814" s="9" t="n">
        <v>21812</v>
      </c>
      <c r="C21814" s="10" t="inlineStr">
        <is>
          <t>Nhân Viên Trade Marketing</t>
        </is>
      </c>
      <c r="D21814" s="10" t="inlineStr">
        <is>
          <t>CÔNG TY CỔ PHẦN CASHION</t>
        </is>
      </c>
      <c r="E21814" s="10" t="inlineStr">
        <is>
          <t>Lương:Cạnh tranh</t>
        </is>
      </c>
      <c r="F21814" s="10" t="inlineStr">
        <is>
          <t>Hồ Chí Minh</t>
        </is>
      </c>
      <c r="G21814" s="10" t="inlineStr">
        <is>
          <t>Hôm nay</t>
        </is>
      </c>
      <c r="H21814" s="10" t="inlineStr">
        <is>
          <t>17/03/2026</t>
        </is>
      </c>
      <c r="I21814" s="10" t="inlineStr">
        <is>
          <t>17/03/2026</t>
        </is>
      </c>
      <c r="J21814" s="10" t="inlineStr">
        <is>
          <t>Tiếp thị / Marketing, Bán hàng / Kinh doanh, Quảng cáo / Đối ngoại / Truyền Thông</t>
        </is>
      </c>
      <c r="K21814" s="10" t="inlineStr">
        <is>
          <t>1 - 2 Năm</t>
        </is>
      </c>
      <c r="L21814" s="11">
        <f>HYPERLINK("https://careerviet.vn/vi/tim-viec-lam/nhan-vien-trade-marketing.35C65BE0.html","Xem chi tiết")</f>
        <v/>
      </c>
      <c r="M21814" s="10" t="n"/>
    </row>
    <row r="21815">
      <c r="B21815" s="7" t="n">
        <v>21813</v>
      </c>
      <c r="C21815" t="inlineStr">
        <is>
          <t>GIÁM ĐỐC ĐIỀU HÀNH (CÔNG TY THÀNH VIÊN TAVICO GROUP)</t>
        </is>
      </c>
      <c r="D21815" t="inlineStr">
        <is>
          <t>Công Ty Cổ Phần Tân Vĩnh Cửu (Tavico group)</t>
        </is>
      </c>
      <c r="E21815" t="inlineStr">
        <is>
          <t>Lương:Cạnh tranh</t>
        </is>
      </c>
      <c r="F21815" t="inlineStr">
        <is>
          <t>Đồng Nai</t>
        </is>
      </c>
      <c r="G21815" t="inlineStr">
        <is>
          <t>Hôm nay</t>
        </is>
      </c>
      <c r="H21815" t="inlineStr">
        <is>
          <t>17/03/2026</t>
        </is>
      </c>
      <c r="I21815" t="inlineStr">
        <is>
          <t>17/03/2026</t>
        </is>
      </c>
      <c r="J21815" t="inlineStr">
        <is>
          <t>Quản lý điều hành, Ngành khác</t>
        </is>
      </c>
      <c r="K21815" t="inlineStr">
        <is>
          <t>Trên 10 Năm</t>
        </is>
      </c>
      <c r="L21815" s="8">
        <f>HYPERLINK("https://careerviet.vn/vi/tim-viec-lam/giam-doc-dieu-hanh-cong-ty-thanh-vien-tavico-group.35C65CAE.html","Xem chi tiết")</f>
        <v/>
      </c>
    </row>
    <row r="21816">
      <c r="B21816" s="9" t="n">
        <v>21814</v>
      </c>
      <c r="C21816" s="10" t="inlineStr">
        <is>
          <t>Sr QE Engineer</t>
        </is>
      </c>
      <c r="D21816" s="10" t="inlineStr">
        <is>
          <t>Jabil Vietnam</t>
        </is>
      </c>
      <c r="E21816" s="10" t="inlineStr">
        <is>
          <t>Lương:Cạnh tranh</t>
        </is>
      </c>
      <c r="F21816" s="10" t="inlineStr">
        <is>
          <t>Hồ Chí Minh</t>
        </is>
      </c>
      <c r="G21816" s="10" t="inlineStr">
        <is>
          <t>Hôm nay</t>
        </is>
      </c>
      <c r="H21816" s="10" t="inlineStr">
        <is>
          <t>17/03/2026</t>
        </is>
      </c>
      <c r="I21816" s="10" t="inlineStr">
        <is>
          <t>17/03/2026</t>
        </is>
      </c>
      <c r="J21816" s="10" t="inlineStr">
        <is>
          <t>Điện / Điện tử / Điện lạnh / Điện công nghiệp, Sản xuất / Vận hành sản xuất</t>
        </is>
      </c>
      <c r="K21816" s="10" t="inlineStr">
        <is>
          <t>3 - 5 Năm</t>
        </is>
      </c>
      <c r="L21816" s="11">
        <f>HYPERLINK("https://careerviet.vn/vi/tim-viec-lam/sr-qe-engineer.35C65D45.html","Xem chi tiết")</f>
        <v/>
      </c>
      <c r="M21816" s="10" t="n"/>
    </row>
    <row r="21817">
      <c r="B21817" s="7" t="n">
        <v>21815</v>
      </c>
      <c r="C21817" t="inlineStr">
        <is>
          <t>Chuyên viên Chuyển tiền quốc tế</t>
        </is>
      </c>
      <c r="D21817" t="inlineStr">
        <is>
          <t>BVBank - Ngân hàng Bản Việt</t>
        </is>
      </c>
      <c r="E21817" t="inlineStr">
        <is>
          <t>Lương:Cạnh tranh</t>
        </is>
      </c>
      <c r="F21817" t="inlineStr">
        <is>
          <t>Hồ Chí Minh</t>
        </is>
      </c>
      <c r="G21817" t="inlineStr">
        <is>
          <t>Hôm nay</t>
        </is>
      </c>
      <c r="H21817" t="inlineStr">
        <is>
          <t>17/03/2026</t>
        </is>
      </c>
      <c r="I21817" t="inlineStr">
        <is>
          <t>17/03/2026</t>
        </is>
      </c>
      <c r="J21817" t="inlineStr">
        <is>
          <t>Ngân hàng, Tài chính / Đầu tư</t>
        </is>
      </c>
      <c r="K21817" t="inlineStr">
        <is>
          <t>1 - 2 Năm</t>
        </is>
      </c>
      <c r="L21817" s="8">
        <f>HYPERLINK("https://careerviet.vn/vi/tim-viec-lam/chuyen-vien-chuyen-tien-quoc-te.35C6302E.html","Xem chi tiết")</f>
        <v/>
      </c>
    </row>
    <row r="21818">
      <c r="B21818" s="9" t="n">
        <v>21816</v>
      </c>
      <c r="C21818" s="10" t="inlineStr">
        <is>
          <t>[LONG THÀNH] KỸ SƯ QS</t>
        </is>
      </c>
      <c r="D21818" s="10" t="inlineStr">
        <is>
          <t>Tổng công ty Xây dựng số 1 – CTCP</t>
        </is>
      </c>
      <c r="E21818" s="10" t="inlineStr">
        <is>
          <t>Lương:Cạnh tranh</t>
        </is>
      </c>
      <c r="F21818" s="10" t="inlineStr">
        <is>
          <t>Đồng Nai</t>
        </is>
      </c>
      <c r="G21818" s="10" t="inlineStr">
        <is>
          <t>Hôm nay</t>
        </is>
      </c>
      <c r="H21818" s="10" t="inlineStr">
        <is>
          <t>17/03/2026</t>
        </is>
      </c>
      <c r="I21818" s="10" t="inlineStr">
        <is>
          <t>17/03/2026</t>
        </is>
      </c>
      <c r="J21818" s="10" t="inlineStr">
        <is>
          <t>Xây dựng</t>
        </is>
      </c>
      <c r="K21818" s="10" t="inlineStr">
        <is>
          <t>2 - 3 Năm</t>
        </is>
      </c>
      <c r="L21818" s="11">
        <f>HYPERLINK("https://careerviet.vn/vi/tim-viec-lam/long-thanh-ky-su-qs.35C65C75.html","Xem chi tiết")</f>
        <v/>
      </c>
      <c r="M21818" s="10" t="n"/>
    </row>
    <row r="21819">
      <c r="B21819" s="7" t="n">
        <v>21817</v>
      </c>
      <c r="C21819" t="inlineStr">
        <is>
          <t>Chuyên viên kinh doanh trực tuyến thẻ ( Kênh Telesales)</t>
        </is>
      </c>
      <c r="D21819" t="inlineStr">
        <is>
          <t>Ngân Hàng TMCP Quốc Tế Việt Nam</t>
        </is>
      </c>
      <c r="E21819" t="inlineStr">
        <is>
          <t>Lương:Trên 9 Tr VND</t>
        </is>
      </c>
      <c r="F21819" t="inlineStr">
        <is>
          <t>Hà Nội</t>
        </is>
      </c>
      <c r="G21819" t="inlineStr">
        <is>
          <t>Hôm nay</t>
        </is>
      </c>
      <c r="H21819" t="inlineStr">
        <is>
          <t>17/03/2026</t>
        </is>
      </c>
      <c r="I21819" t="inlineStr">
        <is>
          <t>17/03/2026</t>
        </is>
      </c>
      <c r="J21819" t="inlineStr">
        <is>
          <t>Bán hàng / Kinh doanh, Ngân hàng, Tài chính / Đầu tư</t>
        </is>
      </c>
      <c r="K21819" t="inlineStr">
        <is>
          <t>Trên 1 Năm</t>
        </is>
      </c>
      <c r="L21819" s="8">
        <f>HYPERLINK("https://careerviet.vn/vi/tim-viec-lam/chuyen-vien-kinh-doanh-truc-tuyen-the-kenh-telesales.35C65D13.html","Xem chi tiết")</f>
        <v/>
      </c>
    </row>
    <row r="21820">
      <c r="B21820" s="9" t="n">
        <v>21818</v>
      </c>
      <c r="C21820" s="10" t="inlineStr">
        <is>
          <t>THỰC TẬP SINH NGÂN HÀNG ĐẦU TƯ</t>
        </is>
      </c>
      <c r="D21820" s="10" t="inlineStr">
        <is>
          <t>VDSC - Công ty CP Chứng khoán Rồng Việt</t>
        </is>
      </c>
      <c r="E21820" s="10" t="inlineStr">
        <is>
          <t>Lương:Cạnh tranh</t>
        </is>
      </c>
      <c r="F21820" s="10" t="inlineStr">
        <is>
          <t>Hồ Chí Minh</t>
        </is>
      </c>
      <c r="G21820" s="10" t="inlineStr">
        <is>
          <t>Hôm nay</t>
        </is>
      </c>
      <c r="H21820" s="10" t="inlineStr">
        <is>
          <t>17/03/2026</t>
        </is>
      </c>
      <c r="I21820" s="10" t="inlineStr">
        <is>
          <t>17/03/2026</t>
        </is>
      </c>
      <c r="J21820" s="10" t="inlineStr">
        <is>
          <t>Ngân hàng, Chứng khoán, Tài chính / Đầu tư</t>
        </is>
      </c>
      <c r="K21820" s="10" t="inlineStr">
        <is>
          <t>N/A</t>
        </is>
      </c>
      <c r="L21820" s="11">
        <f>HYPERLINK("https://careerviet.vn/vi/tim-viec-lam/thuc-tap-sinh-ngan-hang-dau-tu.35C65C0A.html","Xem chi tiết")</f>
        <v/>
      </c>
      <c r="M21820" s="10" t="n"/>
    </row>
    <row r="21821">
      <c r="B21821" s="7" t="n">
        <v>21819</v>
      </c>
      <c r="C21821" t="inlineStr">
        <is>
          <t>Nhân viên Kỹ Thuật Tiện CNC</t>
        </is>
      </c>
      <c r="D21821" t="inlineStr">
        <is>
          <t>Công ty TNHH Cơ Khí Xây Dựng Du Lịch Bách Tùng</t>
        </is>
      </c>
      <c r="E21821" t="inlineStr">
        <is>
          <t>Lương:10 Tr - 17 Tr VND</t>
        </is>
      </c>
      <c r="F21821" t="inlineStr">
        <is>
          <t>Bình Dương</t>
        </is>
      </c>
      <c r="G21821" t="inlineStr">
        <is>
          <t>Hôm nay</t>
        </is>
      </c>
      <c r="H21821" t="inlineStr">
        <is>
          <t>17/03/2026</t>
        </is>
      </c>
      <c r="I21821" t="inlineStr">
        <is>
          <t>17/03/2026</t>
        </is>
      </c>
      <c r="J21821" t="inlineStr">
        <is>
          <t>Cơ khí / Ô tô / Tự động hóa, Sản xuất / Vận hành sản xuất</t>
        </is>
      </c>
      <c r="K21821" t="inlineStr">
        <is>
          <t>Trên 1 Năm</t>
        </is>
      </c>
      <c r="L21821" s="8">
        <f>HYPERLINK("https://careerviet.vn/vi/tim-viec-lam/nhan-vien-ky-thuat-tien-cnc.35C65C93.html","Xem chi tiết")</f>
        <v/>
      </c>
    </row>
    <row r="21822">
      <c r="B21822" s="9" t="n">
        <v>21820</v>
      </c>
      <c r="C21822" s="10" t="inlineStr">
        <is>
          <t>[Khối NS&amp;DVNB] CV/CVC/CVCC Tiền lương và Chế độ đãi ngộ</t>
        </is>
      </c>
      <c r="D21822" s="10" t="inlineStr">
        <is>
          <t>Ngân hàng TMCP Lộc Phát Việt Nam (LPBank)</t>
        </is>
      </c>
      <c r="E21822" s="10" t="inlineStr">
        <is>
          <t>Lương:Cạnh tranh</t>
        </is>
      </c>
      <c r="F21822" s="10" t="inlineStr">
        <is>
          <t>Hà Nội</t>
        </is>
      </c>
      <c r="G21822" s="10" t="inlineStr">
        <is>
          <t>Hôm nay</t>
        </is>
      </c>
      <c r="H21822" s="10" t="inlineStr">
        <is>
          <t>17/03/2026</t>
        </is>
      </c>
      <c r="I21822" s="10" t="inlineStr">
        <is>
          <t>17/03/2026</t>
        </is>
      </c>
      <c r="J21822" s="10" t="inlineStr">
        <is>
          <t>Kế toán / Kiểm toán, Nhân sự, Ngân hàng</t>
        </is>
      </c>
      <c r="K21822" s="10" t="inlineStr">
        <is>
          <t>Trên 2 Năm</t>
        </is>
      </c>
      <c r="L21822" s="11">
        <f>HYPERLINK("https://careerviet.vn/vi/tim-viec-lam/khoi-ns-dvnb-cv-cvc-cvcc-tien-luong-va-che-do-dai-ngo.35C65BF3.html","Xem chi tiết")</f>
        <v/>
      </c>
      <c r="M21822" s="10" t="n"/>
    </row>
    <row r="21823">
      <c r="B21823" s="7" t="n">
        <v>21821</v>
      </c>
      <c r="C21823" t="inlineStr">
        <is>
          <t>Nhân Viên Hành Chính Tổng Hợp Dự Án/ General Admin (Hưng Yên)</t>
        </is>
      </c>
      <c r="D21823" t="inlineStr">
        <is>
          <t>CÔNG TY CỔ PHẦN TẬP ĐOÀN ĐẦU TƯ I.P.A</t>
        </is>
      </c>
      <c r="E21823" t="inlineStr">
        <is>
          <t>Lương:18 Tr - 27 Tr VND</t>
        </is>
      </c>
      <c r="F21823" t="inlineStr">
        <is>
          <t>Hưng Yên</t>
        </is>
      </c>
      <c r="G21823" t="inlineStr">
        <is>
          <t>Hôm nay</t>
        </is>
      </c>
      <c r="H21823" t="inlineStr">
        <is>
          <t>17/03/2026</t>
        </is>
      </c>
      <c r="I21823" t="inlineStr">
        <is>
          <t>17/03/2026</t>
        </is>
      </c>
      <c r="J21823" t="inlineStr">
        <is>
          <t>Hành chính / Thư ký, Nông nghiệp, Công nghệ sinh học</t>
        </is>
      </c>
      <c r="K21823" t="inlineStr">
        <is>
          <t>Trên 1 Năm</t>
        </is>
      </c>
      <c r="L21823" s="8">
        <f>HYPERLINK("https://careerviet.vn/vi/tim-viec-lam/nhan-vien-hanh-chinh-tong-hop-du-an-general-admin-hung-yen.35C65BFA.html","Xem chi tiết")</f>
        <v/>
      </c>
    </row>
    <row r="21824">
      <c r="B21824" s="9" t="n">
        <v>21822</v>
      </c>
      <c r="C21824" s="10" t="inlineStr">
        <is>
          <t>Nhân Viên Tổng Đài</t>
        </is>
      </c>
      <c r="D21824" s="10" t="inlineStr">
        <is>
          <t>Công Ty Tài Chính Mirae Asset (Việt Nam)</t>
        </is>
      </c>
      <c r="E21824" s="10" t="inlineStr">
        <is>
          <t>Lương:Cạnh tranh</t>
        </is>
      </c>
      <c r="F21824" s="10" t="inlineStr">
        <is>
          <t>Hồ Chí Minh</t>
        </is>
      </c>
      <c r="G21824" s="10" t="inlineStr">
        <is>
          <t>Hôm nay</t>
        </is>
      </c>
      <c r="H21824" s="10" t="inlineStr">
        <is>
          <t>17/03/2026</t>
        </is>
      </c>
      <c r="I21824" s="10" t="inlineStr">
        <is>
          <t>17/03/2026</t>
        </is>
      </c>
      <c r="J21824" s="10" t="inlineStr">
        <is>
          <t>Tài chính / Đầu tư, Dịch vụ khách hàng, Tư vấn</t>
        </is>
      </c>
      <c r="K21824" s="10" t="inlineStr">
        <is>
          <t>1 - 2 Năm</t>
        </is>
      </c>
      <c r="L21824" s="11">
        <f>HYPERLINK("https://careerviet.vn/vi/tim-viec-lam/nhan-vien-tong-dai.35C6304D.html","Xem chi tiết")</f>
        <v/>
      </c>
      <c r="M21824" s="10" t="n"/>
    </row>
    <row r="21825">
      <c r="B21825" s="7" t="n">
        <v>21823</v>
      </c>
      <c r="C21825" t="inlineStr">
        <is>
          <t>SALES B2B NGÀNH HÓA CHẤT</t>
        </is>
      </c>
      <c r="D21825" t="inlineStr">
        <is>
          <t>Bảo mật</t>
        </is>
      </c>
      <c r="E21825" t="inlineStr">
        <is>
          <t>Lương:9 Tr - 30 Tr VND</t>
        </is>
      </c>
      <c r="F21825" t="inlineStr">
        <is>
          <t>Hồ Chí Minh</t>
        </is>
      </c>
      <c r="G21825" t="inlineStr">
        <is>
          <t>Hôm nay</t>
        </is>
      </c>
      <c r="H21825" t="inlineStr">
        <is>
          <t>17/03/2026</t>
        </is>
      </c>
      <c r="I21825" t="inlineStr">
        <is>
          <t>17/03/2026</t>
        </is>
      </c>
      <c r="J21825" t="inlineStr">
        <is>
          <t>Bán lẻ / Bán sỉ, Bán hàng / Kinh doanh, Hóa học</t>
        </is>
      </c>
      <c r="K21825" t="inlineStr">
        <is>
          <t>Trên 1 Năm</t>
        </is>
      </c>
      <c r="L21825" s="8">
        <f>HYPERLINK("https://careerviet.vn/vi/tim-viec-lam/sales-b2b-nganh-hoa-chat.35C6305E.html","Xem chi tiết")</f>
        <v/>
      </c>
    </row>
    <row r="21826">
      <c r="B21826" s="9" t="n">
        <v>21824</v>
      </c>
      <c r="C21826" s="10" t="inlineStr">
        <is>
          <t>KẾ TOÁN DOANH THU</t>
        </is>
      </c>
      <c r="D21826" s="10" t="inlineStr">
        <is>
          <t>CÔNG TY TNHH DB HOME</t>
        </is>
      </c>
      <c r="E21826" s="10" t="inlineStr">
        <is>
          <t>Lương:Cạnh tranh</t>
        </is>
      </c>
      <c r="F21826" s="10" t="inlineStr">
        <is>
          <t>Hưng YênTây Ninh</t>
        </is>
      </c>
      <c r="G21826" s="10" t="inlineStr">
        <is>
          <t>Hôm nay</t>
        </is>
      </c>
      <c r="H21826" s="10" t="inlineStr">
        <is>
          <t>17/03/2026</t>
        </is>
      </c>
      <c r="I21826" s="10" t="inlineStr">
        <is>
          <t>17/03/2026</t>
        </is>
      </c>
      <c r="J21826" s="10" t="inlineStr">
        <is>
          <t>Kế toán / Kiểm toán, Tài chính / Đầu tư, Bất động sản</t>
        </is>
      </c>
      <c r="K21826" s="10" t="inlineStr">
        <is>
          <t>1 - 2 Năm</t>
        </is>
      </c>
      <c r="L21826" s="11">
        <f>HYPERLINK("https://careerviet.vn/vi/tim-viec-lam/ke-toan-doanh-thu.35C65D90.html","Xem chi tiết")</f>
        <v/>
      </c>
      <c r="M21826" s="10" t="n"/>
    </row>
    <row r="21827">
      <c r="B21827" s="7" t="n">
        <v>21825</v>
      </c>
      <c r="C21827" t="inlineStr">
        <is>
          <t>Operation Manager – Logistics/Forwarding (Start After Tet 2026)</t>
        </is>
      </c>
      <c r="D21827" t="inlineStr">
        <is>
          <t>Red Wolf Global</t>
        </is>
      </c>
      <c r="E21827" t="inlineStr">
        <is>
          <t>Lương:Cạnh tranh</t>
        </is>
      </c>
      <c r="F21827" t="inlineStr">
        <is>
          <t>Hồ Chí Minh</t>
        </is>
      </c>
      <c r="G21827" t="inlineStr">
        <is>
          <t>Hôm nay</t>
        </is>
      </c>
      <c r="H21827" t="inlineStr">
        <is>
          <t>17/03/2026</t>
        </is>
      </c>
      <c r="I21827" t="inlineStr">
        <is>
          <t>17/03/2026</t>
        </is>
      </c>
      <c r="J21827" t="inlineStr">
        <is>
          <t>Vận chuyển / Giao nhận / Kho vận, Quản lý điều hành, Xuất nhập khẩu</t>
        </is>
      </c>
      <c r="K21827" t="inlineStr">
        <is>
          <t>Trên 5 Năm</t>
        </is>
      </c>
      <c r="L21827" s="8">
        <f>HYPERLINK("https://careerviet.vn/vi/tim-viec-lam/operation-manager-logistics-forwarding-start-after-tet-2026.35C6311C.html","Xem chi tiết")</f>
        <v/>
      </c>
    </row>
    <row r="21828">
      <c r="B21828" s="9" t="n">
        <v>21826</v>
      </c>
      <c r="C21828" s="10" t="inlineStr">
        <is>
          <t>Nhân Viên Bảo Trì Điện Tòa Nhà</t>
        </is>
      </c>
      <c r="D21828" s="10" t="inlineStr">
        <is>
          <t>LacViet Computing Corporation</t>
        </is>
      </c>
      <c r="E21828" s="10" t="inlineStr">
        <is>
          <t>Lương:10 Tr - 14 Tr VND</t>
        </is>
      </c>
      <c r="F21828" s="10" t="inlineStr">
        <is>
          <t>Hồ Chí Minh</t>
        </is>
      </c>
      <c r="G21828" s="10" t="inlineStr">
        <is>
          <t>Hôm nay</t>
        </is>
      </c>
      <c r="H21828" s="10" t="inlineStr">
        <is>
          <t>17/03/2026</t>
        </is>
      </c>
      <c r="I21828" s="10" t="inlineStr">
        <is>
          <t>17/03/2026</t>
        </is>
      </c>
      <c r="J21828" s="10" t="inlineStr">
        <is>
          <t>Điện / Điện tử / Điện lạnh / Điện công nghiệp, Bảo trì / Sửa chữa</t>
        </is>
      </c>
      <c r="K21828" s="10" t="inlineStr">
        <is>
          <t>1 - 2 Năm</t>
        </is>
      </c>
      <c r="L21828" s="11">
        <f>HYPERLINK("https://careerviet.vn/vi/tim-viec-lam/nhan-vien-bao-tri-dien-toa-nha.35C65DBF.html","Xem chi tiết")</f>
        <v/>
      </c>
      <c r="M21828" s="10" t="n"/>
    </row>
    <row r="21829">
      <c r="B21829" s="7" t="n">
        <v>21827</v>
      </c>
      <c r="C21829" t="inlineStr">
        <is>
          <t>Customs Declaration Specialist</t>
        </is>
      </c>
      <c r="D21829" t="inlineStr">
        <is>
          <t>CÔNG TY TNHH TOP ONE GLOBAL SCM</t>
        </is>
      </c>
      <c r="E21829" t="inlineStr">
        <is>
          <t>Lương:16 Tr - 22 Tr VND</t>
        </is>
      </c>
      <c r="F21829" t="inlineStr">
        <is>
          <t>Hồ Chí Minh</t>
        </is>
      </c>
      <c r="G21829" t="inlineStr">
        <is>
          <t>Hôm nay</t>
        </is>
      </c>
      <c r="H21829" t="inlineStr">
        <is>
          <t>17/03/2026</t>
        </is>
      </c>
      <c r="I21829" t="inlineStr">
        <is>
          <t>17/03/2026</t>
        </is>
      </c>
      <c r="J21829" t="inlineStr">
        <is>
          <t>Xuất nhập khẩu</t>
        </is>
      </c>
      <c r="K21829" t="inlineStr">
        <is>
          <t>3 - 5 Năm</t>
        </is>
      </c>
      <c r="L21829" s="8">
        <f>HYPERLINK("https://careerviet.vn/vi/tim-viec-lam/customs-declaration-specialist.35C59857.html","Xem chi tiết")</f>
        <v/>
      </c>
    </row>
    <row r="21830">
      <c r="B21830" s="9" t="n">
        <v>21828</v>
      </c>
      <c r="C21830" s="10" t="inlineStr">
        <is>
          <t>Thư ký công trình</t>
        </is>
      </c>
      <c r="D21830" s="10" t="inlineStr">
        <is>
          <t>AKI DESIGN</t>
        </is>
      </c>
      <c r="E21830" s="10" t="inlineStr">
        <is>
          <t>Lương:7 Tr - 10 Tr VND</t>
        </is>
      </c>
      <c r="F21830" s="10" t="inlineStr">
        <is>
          <t>Hồ Chí MinhHà Nội</t>
        </is>
      </c>
      <c r="G21830" s="10" t="inlineStr">
        <is>
          <t>Hôm nay</t>
        </is>
      </c>
      <c r="H21830" s="10" t="inlineStr">
        <is>
          <t>17/03/2026</t>
        </is>
      </c>
      <c r="I21830" s="10" t="inlineStr">
        <is>
          <t>17/03/2026</t>
        </is>
      </c>
      <c r="J21830" s="10" t="inlineStr">
        <is>
          <t>Kiến trúc, Xây dựng, Nội ngoại thất</t>
        </is>
      </c>
      <c r="K21830" s="10" t="inlineStr">
        <is>
          <t>1 - 2 Năm</t>
        </is>
      </c>
      <c r="L21830" s="11">
        <f>HYPERLINK("https://careerviet.vn/vi/tim-viec-lam/thu-ky-cong-trinh.35C65BFC.html","Xem chi tiết")</f>
        <v/>
      </c>
      <c r="M21830" s="10" t="n"/>
    </row>
    <row r="21831">
      <c r="B21831" s="7" t="n">
        <v>21829</v>
      </c>
      <c r="C21831" t="inlineStr">
        <is>
          <t>Dược sĩ Kho làm việc tại Tân Đông Hiệp</t>
        </is>
      </c>
      <c r="D21831" t="inlineStr">
        <is>
          <t>Công Ty Cổ Phần Vacxin Việt Nam</t>
        </is>
      </c>
      <c r="E21831" t="inlineStr">
        <is>
          <t>Lương:7 Tr - 9 Tr VND</t>
        </is>
      </c>
      <c r="F21831" t="inlineStr">
        <is>
          <t>Bình Dương</t>
        </is>
      </c>
      <c r="G21831" t="inlineStr">
        <is>
          <t>Hôm nay</t>
        </is>
      </c>
      <c r="H21831" t="inlineStr">
        <is>
          <t>17/03/2026</t>
        </is>
      </c>
      <c r="I21831" t="inlineStr">
        <is>
          <t>17/03/2026</t>
        </is>
      </c>
      <c r="J21831" t="inlineStr">
        <is>
          <t>Dược phẩm/ Hóa Mỹ Phẩm, Y tế / Chăm sóc sức khỏe / Thẩm mỹ / Làm đẹp, Vận chuyển / Giao nhận / Kho vận</t>
        </is>
      </c>
      <c r="K21831" t="inlineStr">
        <is>
          <t>Lên đến 1 Năm</t>
        </is>
      </c>
      <c r="L21831" s="8">
        <f>HYPERLINK("https://careerviet.vn/vi/tim-viec-lam/duoc-si-kho-lam-viec-tai-tan-dong-hiep.35C65C94.html","Xem chi tiết")</f>
        <v/>
      </c>
    </row>
    <row r="21832">
      <c r="B21832" s="9" t="n">
        <v>21830</v>
      </c>
      <c r="C21832" s="10" t="inlineStr">
        <is>
          <t>Quản lý Khách hàng và Phát triển đối tác</t>
        </is>
      </c>
      <c r="D21832" s="10" t="inlineStr">
        <is>
          <t>Công ty TNHH Thiên Thủy Mộc</t>
        </is>
      </c>
      <c r="E21832" s="10" t="inlineStr">
        <is>
          <t>Lương:18 Tr - 25 Tr VND</t>
        </is>
      </c>
      <c r="F21832" s="10" t="inlineStr">
        <is>
          <t>Hồ Chí Minh</t>
        </is>
      </c>
      <c r="G21832" s="10" t="inlineStr">
        <is>
          <t>Hôm nay</t>
        </is>
      </c>
      <c r="H21832" s="10" t="inlineStr">
        <is>
          <t>17/03/2026</t>
        </is>
      </c>
      <c r="I21832" s="10" t="inlineStr">
        <is>
          <t>17/03/2026</t>
        </is>
      </c>
      <c r="J21832" s="10" t="inlineStr">
        <is>
          <t>Tiếp thị / Marketing, Bán lẻ / Bán sỉ, Dịch vụ khách hàng</t>
        </is>
      </c>
      <c r="K21832" s="10" t="inlineStr">
        <is>
          <t>2 - 3 Năm</t>
        </is>
      </c>
      <c r="L21832" s="11">
        <f>HYPERLINK("https://careerviet.vn/vi/tim-viec-lam/quan-ly-khach-hang-va-phat-trien-doi-tac.35C63138.html","Xem chi tiết")</f>
        <v/>
      </c>
      <c r="M21832" s="10" t="n"/>
    </row>
    <row r="21833">
      <c r="B21833" s="7" t="n">
        <v>21831</v>
      </c>
      <c r="C21833" t="inlineStr">
        <is>
          <t>Nhân viên Lễ tân phòng tập</t>
        </is>
      </c>
      <c r="D21833" t="inlineStr">
        <is>
          <t>Elite Fitness</t>
        </is>
      </c>
      <c r="E21833" t="inlineStr">
        <is>
          <t>Lương:8 Tr - 9 Tr VND</t>
        </is>
      </c>
      <c r="F21833" t="inlineStr">
        <is>
          <t>Hà Nội</t>
        </is>
      </c>
      <c r="G21833" t="inlineStr">
        <is>
          <t>Hôm nay</t>
        </is>
      </c>
      <c r="H21833" t="inlineStr">
        <is>
          <t>17/03/2026</t>
        </is>
      </c>
      <c r="I21833" t="inlineStr">
        <is>
          <t>17/03/2026</t>
        </is>
      </c>
      <c r="J21833" t="inlineStr">
        <is>
          <t>Dịch vụ khách hàng</t>
        </is>
      </c>
      <c r="K21833" t="inlineStr">
        <is>
          <t>Trên 1 Năm</t>
        </is>
      </c>
      <c r="L21833" s="8">
        <f>HYPERLINK("https://careerviet.vn/vi/tim-viec-lam/nhan-vien-le-tan-phong-tap.35C63087.html","Xem chi tiết")</f>
        <v/>
      </c>
    </row>
    <row r="21834">
      <c r="B21834" s="9" t="n">
        <v>21832</v>
      </c>
      <c r="C21834" s="10" t="inlineStr">
        <is>
          <t>Nhân viên Marketing</t>
        </is>
      </c>
      <c r="D21834" s="10" t="inlineStr">
        <is>
          <t>CÔNG TY CỔ PHẦN TRANG THIẾT BỊ Y TẾ ĐỨC TÍN</t>
        </is>
      </c>
      <c r="E21834" s="10" t="inlineStr">
        <is>
          <t>Lương:Cạnh tranh</t>
        </is>
      </c>
      <c r="F21834" s="10" t="inlineStr">
        <is>
          <t>Hồ Chí Minh</t>
        </is>
      </c>
      <c r="G21834" s="10" t="inlineStr">
        <is>
          <t>Hôm nay</t>
        </is>
      </c>
      <c r="H21834" s="10" t="inlineStr">
        <is>
          <t>17/03/2026</t>
        </is>
      </c>
      <c r="I21834" s="10" t="inlineStr">
        <is>
          <t>17/03/2026</t>
        </is>
      </c>
      <c r="J21834" s="10" t="inlineStr">
        <is>
          <t>Tiếp thị / Marketing, Bán hàng / Kinh doanh</t>
        </is>
      </c>
      <c r="K21834" s="10" t="inlineStr">
        <is>
          <t>1 - 2 Năm</t>
        </is>
      </c>
      <c r="L21834" s="11">
        <f>HYPERLINK("https://careerviet.vn/vi/tim-viec-lam/nhan-vien-marketing.35C65C42.html","Xem chi tiết")</f>
        <v/>
      </c>
      <c r="M21834" s="10" t="n"/>
    </row>
    <row r="21835">
      <c r="B21835" s="7" t="n">
        <v>21833</v>
      </c>
      <c r="C21835" t="inlineStr">
        <is>
          <t>SAP FICO Specialist</t>
        </is>
      </c>
      <c r="D21835" t="inlineStr">
        <is>
          <t>Wipro Consumer Care Vietnam</t>
        </is>
      </c>
      <c r="E21835" t="inlineStr">
        <is>
          <t>Lương:Cạnh tranh</t>
        </is>
      </c>
      <c r="F21835" t="inlineStr">
        <is>
          <t>Bình Dương</t>
        </is>
      </c>
      <c r="G21835" t="inlineStr">
        <is>
          <t>Hôm nay</t>
        </is>
      </c>
      <c r="H21835" t="inlineStr">
        <is>
          <t>17/03/2026</t>
        </is>
      </c>
      <c r="I21835" t="inlineStr">
        <is>
          <t>17/03/2026</t>
        </is>
      </c>
      <c r="J21835" t="inlineStr">
        <is>
          <t>CNTT - Phần mềm</t>
        </is>
      </c>
      <c r="K21835" t="inlineStr">
        <is>
          <t>Trên 2 Năm</t>
        </is>
      </c>
      <c r="L21835" s="8">
        <f>HYPERLINK("https://careerviet.vn/vi/tim-viec-lam/sap-fico-specialist.35C630D3.html","Xem chi tiết")</f>
        <v/>
      </c>
    </row>
    <row r="21836">
      <c r="B21836" s="9" t="n">
        <v>21834</v>
      </c>
      <c r="C21836" s="10" t="inlineStr">
        <is>
          <t>Kế Toán Trưởng/Kế toán Tổng hợp</t>
        </is>
      </c>
      <c r="D21836" s="10" t="inlineStr">
        <is>
          <t>Công ty cổ phần HaMo Holdings</t>
        </is>
      </c>
      <c r="E21836" s="10" t="inlineStr">
        <is>
          <t>Lương:25 Tr - 30 Tr VND</t>
        </is>
      </c>
      <c r="F21836" s="10" t="inlineStr">
        <is>
          <t>Hồ Chí Minh</t>
        </is>
      </c>
      <c r="G21836" s="10" t="inlineStr">
        <is>
          <t>Hôm nay</t>
        </is>
      </c>
      <c r="H21836" s="10" t="inlineStr">
        <is>
          <t>17/03/2026</t>
        </is>
      </c>
      <c r="I21836" s="10" t="inlineStr">
        <is>
          <t>17/03/2026</t>
        </is>
      </c>
      <c r="J21836" s="10" t="inlineStr">
        <is>
          <t>Y tế / Chăm sóc sức khỏe / Thẩm mỹ / Làm đẹp, Kế toán / Kiểm toán, Tài chính / Đầu tư</t>
        </is>
      </c>
      <c r="K21836" s="10" t="inlineStr">
        <is>
          <t>Trên 2 Năm</t>
        </is>
      </c>
      <c r="L21836" s="11">
        <f>HYPERLINK("https://careerviet.vn/vi/tim-viec-lam/ke-toan-truong-ke-toan-tong-hop.35C63081.html","Xem chi tiết")</f>
        <v/>
      </c>
      <c r="M21836" s="10" t="n"/>
    </row>
    <row r="21837">
      <c r="B21837" s="7" t="n">
        <v>21835</v>
      </c>
      <c r="C21837" t="inlineStr">
        <is>
          <t>Chuyên viên kế hoạch</t>
        </is>
      </c>
      <c r="D21837" t="inlineStr">
        <is>
          <t>CÔNG TY TNHH ACTR</t>
        </is>
      </c>
      <c r="E21837" t="inlineStr">
        <is>
          <t>Lương:10,5 Tr - 15,5 Tr VND</t>
        </is>
      </c>
      <c r="F21837" t="inlineStr">
        <is>
          <t>Tây Ninh</t>
        </is>
      </c>
      <c r="G21837" t="inlineStr">
        <is>
          <t>Hôm nay</t>
        </is>
      </c>
      <c r="H21837" t="inlineStr">
        <is>
          <t>17/03/2026</t>
        </is>
      </c>
      <c r="I21837" t="inlineStr">
        <is>
          <t>17/03/2026</t>
        </is>
      </c>
      <c r="J21837" t="inlineStr">
        <is>
          <t>Biên phiên dịch, Thống kê, Sản xuất / Vận hành sản xuất</t>
        </is>
      </c>
      <c r="K21837" t="inlineStr">
        <is>
          <t>N/A</t>
        </is>
      </c>
      <c r="L21837" s="8">
        <f>HYPERLINK("https://careerviet.vn/vi/tim-viec-lam/chuyen-vien-ke-hoach.35C639B3.html","Xem chi tiết")</f>
        <v/>
      </c>
    </row>
    <row r="21838">
      <c r="B21838" s="9" t="n">
        <v>21836</v>
      </c>
      <c r="C21838" s="10" t="inlineStr">
        <is>
          <t>SENIOR DESIGNER</t>
        </is>
      </c>
      <c r="D21838" s="10" t="inlineStr">
        <is>
          <t>CÔNG TY CỔ PHẦN THƯƠNG MẠI SATORI</t>
        </is>
      </c>
      <c r="E21838" s="10" t="inlineStr">
        <is>
          <t>Lương:Cạnh tranh</t>
        </is>
      </c>
      <c r="F21838" s="10" t="inlineStr">
        <is>
          <t>Hồ Chí Minh</t>
        </is>
      </c>
      <c r="G21838" s="10" t="inlineStr">
        <is>
          <t>Hôm nay</t>
        </is>
      </c>
      <c r="H21838" s="10" t="inlineStr">
        <is>
          <t>17/03/2026</t>
        </is>
      </c>
      <c r="I21838" s="10" t="inlineStr">
        <is>
          <t>17/03/2026</t>
        </is>
      </c>
      <c r="J21838" s="10" t="inlineStr">
        <is>
          <t>Bán hàng / Kinh doanh, Thực phẩm &amp; Đồ uống</t>
        </is>
      </c>
      <c r="K21838" s="10" t="inlineStr">
        <is>
          <t>2 - 3 Năm</t>
        </is>
      </c>
      <c r="L21838" s="11">
        <f>HYPERLINK("https://careerviet.vn/vi/tim-viec-lam/senior-designer.35C65DC3.html","Xem chi tiết")</f>
        <v/>
      </c>
      <c r="M21838" s="10" t="n"/>
    </row>
    <row r="21839">
      <c r="B21839" s="7" t="n">
        <v>21837</v>
      </c>
      <c r="C21839" t="inlineStr">
        <is>
          <t>Trưởng Phòng Kinh Doanh (Business Development Manager / Senior Sales)</t>
        </is>
      </c>
      <c r="D21839" t="inlineStr">
        <is>
          <t>CÔNG TY TNHH TM XD CHỐNG THẤM  HOÀNG CHƯƠNG</t>
        </is>
      </c>
      <c r="E21839" t="inlineStr">
        <is>
          <t>Lương:Cạnh tranh</t>
        </is>
      </c>
      <c r="F21839" t="inlineStr">
        <is>
          <t>Hồ Chí Minh</t>
        </is>
      </c>
      <c r="G21839" t="inlineStr">
        <is>
          <t>Hôm nay</t>
        </is>
      </c>
      <c r="H21839" t="inlineStr">
        <is>
          <t>17/03/2026</t>
        </is>
      </c>
      <c r="I21839" t="inlineStr">
        <is>
          <t>17/03/2026</t>
        </is>
      </c>
      <c r="J21839" t="inlineStr">
        <is>
          <t>Bán hàng / Kinh doanh, Tư vấn, Dịch vụ khách hàng</t>
        </is>
      </c>
      <c r="K21839" t="inlineStr">
        <is>
          <t>2 - 3 Năm</t>
        </is>
      </c>
      <c r="L21839" s="8">
        <f>HYPERLINK("https://careerviet.vn/vi/tim-viec-lam/truong-phong-kinh-doanh-business-development-manager-senior-sales.35C60F7A.html","Xem chi tiết")</f>
        <v/>
      </c>
    </row>
    <row r="21840">
      <c r="B21840" s="9" t="n">
        <v>21838</v>
      </c>
      <c r="C21840" s="10" t="inlineStr">
        <is>
          <t>Nhân viên lái xe</t>
        </is>
      </c>
      <c r="D21840" s="10" t="inlineStr">
        <is>
          <t>TECOTEC Technology</t>
        </is>
      </c>
      <c r="E21840" s="10" t="inlineStr">
        <is>
          <t>Lương:8 Tr - 12 Tr VND</t>
        </is>
      </c>
      <c r="F21840" s="10" t="inlineStr">
        <is>
          <t>Hà Nội</t>
        </is>
      </c>
      <c r="G21840" s="10" t="inlineStr">
        <is>
          <t>Hôm nay</t>
        </is>
      </c>
      <c r="H21840" s="10" t="inlineStr">
        <is>
          <t>17/03/2026</t>
        </is>
      </c>
      <c r="I21840" s="10" t="inlineStr">
        <is>
          <t>17/03/2026</t>
        </is>
      </c>
      <c r="J21840" s="10" t="inlineStr">
        <is>
          <t>Vận chuyển / Giao nhận / Kho vận</t>
        </is>
      </c>
      <c r="K21840" s="10" t="inlineStr">
        <is>
          <t>Trên 3 Năm</t>
        </is>
      </c>
      <c r="L21840" s="11">
        <f>HYPERLINK("https://careerviet.vn/vi/tim-viec-lam/nhan-vien-lai-xe.35C6305D.html","Xem chi tiết")</f>
        <v/>
      </c>
      <c r="M21840" s="10" t="n"/>
    </row>
    <row r="21841">
      <c r="B21841" s="7" t="n">
        <v>21839</v>
      </c>
      <c r="C21841" t="inlineStr">
        <is>
          <t>Nhân Viên Tư Vấn Bán Hàng Tại Bưu Điện/ Dinh Độc Lập</t>
        </is>
      </c>
      <c r="D21841" t="inlineStr">
        <is>
          <t>Công Ty Cổ Phần Mỹ Phẩm Sài Gòn</t>
        </is>
      </c>
      <c r="E21841" t="inlineStr">
        <is>
          <t>Lương:Cạnh tranh</t>
        </is>
      </c>
      <c r="F21841" t="inlineStr">
        <is>
          <t>Hồ Chí Minh</t>
        </is>
      </c>
      <c r="G21841" t="inlineStr">
        <is>
          <t>Hôm nay</t>
        </is>
      </c>
      <c r="H21841" t="inlineStr">
        <is>
          <t>17/03/2026</t>
        </is>
      </c>
      <c r="I21841" t="inlineStr">
        <is>
          <t>17/03/2026</t>
        </is>
      </c>
      <c r="J21841" t="inlineStr">
        <is>
          <t>Biên phiên dịch, Bán lẻ / Bán sỉ, Bán hàng / Kinh doanh</t>
        </is>
      </c>
      <c r="K21841" t="inlineStr">
        <is>
          <t>1 - 2 Năm</t>
        </is>
      </c>
      <c r="L21841" s="8">
        <f>HYPERLINK("https://careerviet.vn/vi/tim-viec-lam/nhan-vien-tu-van-ban-hang-tai-buu-dien-dinh-doc-lap.35C63049.html","Xem chi tiết")</f>
        <v/>
      </c>
    </row>
    <row r="21842">
      <c r="B21842" s="9" t="n">
        <v>21840</v>
      </c>
      <c r="C21842" s="10" t="inlineStr">
        <is>
          <t>Laser Service Engineer</t>
        </is>
      </c>
      <c r="D21842" s="10" t="inlineStr">
        <is>
          <t>CÔNG TY TNHH THIỀN</t>
        </is>
      </c>
      <c r="E21842" s="10" t="inlineStr">
        <is>
          <t>Lương:Cạnh tranh</t>
        </is>
      </c>
      <c r="F21842" s="10" t="inlineStr">
        <is>
          <t>Hà Nội</t>
        </is>
      </c>
      <c r="G21842" s="10" t="inlineStr">
        <is>
          <t>Hôm nay</t>
        </is>
      </c>
      <c r="H21842" s="10" t="inlineStr">
        <is>
          <t>17/03/2026</t>
        </is>
      </c>
      <c r="I21842" s="10" t="inlineStr">
        <is>
          <t>17/03/2026</t>
        </is>
      </c>
      <c r="J21842" s="10" t="inlineStr">
        <is>
          <t>Cơ khí / Ô tô / Tự động hóa, Điện / Điện tử / Điện lạnh / Điện công nghiệp</t>
        </is>
      </c>
      <c r="K21842" s="10" t="inlineStr">
        <is>
          <t>3 - 5 Năm</t>
        </is>
      </c>
      <c r="L21842" s="11">
        <f>HYPERLINK("https://careerviet.vn/vi/tim-viec-lam/laser-service-engineer.35C65D0E.html","Xem chi tiết")</f>
        <v/>
      </c>
      <c r="M21842" s="10" t="n"/>
    </row>
    <row r="21843">
      <c r="B21843" s="7" t="n">
        <v>21841</v>
      </c>
      <c r="C21843" t="inlineStr">
        <is>
          <t>KẾ TOÁN TRƯỞNG TẠI VŨNG TÀU (18-25 TR)</t>
        </is>
      </c>
      <c r="D21843" t="inlineStr">
        <is>
          <t>CÔNG TY CỔ PHẦN TẬP ĐOÀN DEKKO</t>
        </is>
      </c>
      <c r="E21843" t="inlineStr">
        <is>
          <t>Lương:18 Tr - 25 Tr VND</t>
        </is>
      </c>
      <c r="F21843" t="inlineStr">
        <is>
          <t>Bà Rịa - Vũng Tàu</t>
        </is>
      </c>
      <c r="G21843" t="inlineStr">
        <is>
          <t>Hôm nay</t>
        </is>
      </c>
      <c r="H21843" t="inlineStr">
        <is>
          <t>17/03/2026</t>
        </is>
      </c>
      <c r="I21843" t="inlineStr">
        <is>
          <t>17/03/2026</t>
        </is>
      </c>
      <c r="J21843" t="inlineStr">
        <is>
          <t>Kế toán / Kiểm toán</t>
        </is>
      </c>
      <c r="K21843" t="inlineStr">
        <is>
          <t>3 - 5 Năm</t>
        </is>
      </c>
      <c r="L21843" s="8">
        <f>HYPERLINK("https://careerviet.vn/vi/tim-viec-lam/ke-toan-truong-tai-vung-tau-18-25-tr.35C65C9A.html","Xem chi tiết")</f>
        <v/>
      </c>
    </row>
    <row r="21844">
      <c r="B21844" s="9" t="n">
        <v>21842</v>
      </c>
      <c r="C21844" s="10" t="inlineStr">
        <is>
          <t>Chuyên gia nghiệp vụ Tiền gửi – Dự án Core Banking</t>
        </is>
      </c>
      <c r="D21844" s="10" t="inlineStr">
        <is>
          <t>BVBank - Ngân hàng Bản Việt</t>
        </is>
      </c>
      <c r="E21844" s="10" t="inlineStr">
        <is>
          <t>Lương:Cạnh tranh</t>
        </is>
      </c>
      <c r="F21844" s="10" t="inlineStr">
        <is>
          <t>Hồ Chí Minh</t>
        </is>
      </c>
      <c r="G21844" s="10" t="inlineStr">
        <is>
          <t>Hôm nay</t>
        </is>
      </c>
      <c r="H21844" s="10" t="inlineStr">
        <is>
          <t>17/03/2026</t>
        </is>
      </c>
      <c r="I21844" s="10" t="inlineStr">
        <is>
          <t>17/03/2026</t>
        </is>
      </c>
      <c r="J21844" s="10" t="inlineStr">
        <is>
          <t>Ngân hàng, Tài chính / Đầu tư</t>
        </is>
      </c>
      <c r="K21844" s="10" t="inlineStr">
        <is>
          <t>5 - 7 Năm</t>
        </is>
      </c>
      <c r="L21844" s="11">
        <f>HYPERLINK("https://careerviet.vn/vi/tim-viec-lam/chuyen-gia-nghiep-vu-tien-gui-du-an-core-banking.35C63157.html","Xem chi tiết")</f>
        <v/>
      </c>
      <c r="M21844" s="10" t="n"/>
    </row>
    <row r="21845">
      <c r="B21845" s="7" t="n">
        <v>21843</v>
      </c>
      <c r="C21845" t="inlineStr">
        <is>
          <t>Nhân Viên Kế Toán</t>
        </is>
      </c>
      <c r="D21845" t="inlineStr">
        <is>
          <t>Công Ty TNHH Tự Động Hóa Chân Không Việt Nam</t>
        </is>
      </c>
      <c r="E21845" t="inlineStr">
        <is>
          <t>Lương:Cạnh tranh</t>
        </is>
      </c>
      <c r="F21845" t="inlineStr">
        <is>
          <t>Hồ Chí Minh</t>
        </is>
      </c>
      <c r="G21845" t="inlineStr">
        <is>
          <t>Hôm nay</t>
        </is>
      </c>
      <c r="H21845" t="inlineStr">
        <is>
          <t>17/03/2026</t>
        </is>
      </c>
      <c r="I21845" t="inlineStr">
        <is>
          <t>17/03/2026</t>
        </is>
      </c>
      <c r="J21845" t="inlineStr">
        <is>
          <t>Luật / Pháp lý, Tài chính / Đầu tư, Kế toán / Kiểm toán</t>
        </is>
      </c>
      <c r="K21845" t="inlineStr">
        <is>
          <t>1 - 2 Năm</t>
        </is>
      </c>
      <c r="L21845" s="8">
        <f>HYPERLINK("https://careerviet.vn/vi/tim-viec-lam/nhan-vien-ke-toan.35C65CBD.html","Xem chi tiết")</f>
        <v/>
      </c>
    </row>
    <row r="21846">
      <c r="B21846" s="9" t="n">
        <v>21844</v>
      </c>
      <c r="C21846" s="10" t="inlineStr">
        <is>
          <t>Bếp Chính (Á - Âu)</t>
        </is>
      </c>
      <c r="D21846" s="10" t="inlineStr">
        <is>
          <t>Công ty TNHH, Liên Doanh Vĩnh Hưng (TMI Việt Nam)</t>
        </is>
      </c>
      <c r="E21846" s="10" t="inlineStr">
        <is>
          <t>Lương:12 Tr - 14 Tr VND</t>
        </is>
      </c>
      <c r="F21846" s="10" t="inlineStr">
        <is>
          <t>Hồ Chí Minh</t>
        </is>
      </c>
      <c r="G21846" s="10" t="inlineStr">
        <is>
          <t>Hôm nay</t>
        </is>
      </c>
      <c r="H21846" s="10" t="inlineStr">
        <is>
          <t>17/03/2026</t>
        </is>
      </c>
      <c r="I21846" s="10" t="inlineStr">
        <is>
          <t>17/03/2026</t>
        </is>
      </c>
      <c r="J21846" s="10" t="inlineStr">
        <is>
          <t>Công nghệ thực phẩm / Dinh dưỡng, Thực phẩm &amp; Đồ uống, Nhà hàng / Khách sạn</t>
        </is>
      </c>
      <c r="K21846" s="10" t="inlineStr">
        <is>
          <t>Lên đến 5 Năm</t>
        </is>
      </c>
      <c r="L21846" s="11">
        <f>HYPERLINK("https://careerviet.vn/vi/tim-viec-lam/bep-chinh-a-au.35C65CC9.html","Xem chi tiết")</f>
        <v/>
      </c>
      <c r="M21846" s="10" t="n"/>
    </row>
    <row r="21847">
      <c r="B21847" s="7" t="n">
        <v>21845</v>
      </c>
      <c r="C21847" t="inlineStr">
        <is>
          <t>Chuyên Gia Mô Hình Rủi Ro Tín Dụng / Specialist Of Credit Risk Modeling</t>
        </is>
      </c>
      <c r="D21847" t="inlineStr">
        <is>
          <t>CÔNG TY TÀI CHÍNH TÍN DỤNG TIÊU DÙNG TNHH MTV AEON</t>
        </is>
      </c>
      <c r="E21847" t="inlineStr">
        <is>
          <t>Lương:Cạnh tranh</t>
        </is>
      </c>
      <c r="F21847" t="inlineStr">
        <is>
          <t>Hà Nội</t>
        </is>
      </c>
      <c r="G21847" t="inlineStr">
        <is>
          <t>Hôm nay</t>
        </is>
      </c>
      <c r="H21847" t="inlineStr">
        <is>
          <t>17/03/2026</t>
        </is>
      </c>
      <c r="I21847" t="inlineStr">
        <is>
          <t>17/03/2026</t>
        </is>
      </c>
      <c r="J21847" t="inlineStr">
        <is>
          <t>Tài chính / Đầu tư</t>
        </is>
      </c>
      <c r="K21847" t="inlineStr">
        <is>
          <t>3 - 5 Năm</t>
        </is>
      </c>
      <c r="L21847" s="8">
        <f>HYPERLINK("https://careerviet.vn/vi/tim-viec-lam/chuyen-gia-mo-hinh-rui-ro-tin-dung-specialist-of-credit-risk-modeling.35C65C79.html","Xem chi tiết")</f>
        <v/>
      </c>
    </row>
    <row r="21848">
      <c r="B21848" s="9" t="n">
        <v>21846</v>
      </c>
      <c r="C21848" s="10" t="inlineStr">
        <is>
          <t>Nhân Viên Kỹ Thuật</t>
        </is>
      </c>
      <c r="D21848" s="10" t="inlineStr">
        <is>
          <t>Công ty TNHH Thương Mại N.T.P</t>
        </is>
      </c>
      <c r="E21848" s="10" t="inlineStr">
        <is>
          <t>Lương:10 Tr - 15 Tr VND</t>
        </is>
      </c>
      <c r="F21848" s="10" t="inlineStr">
        <is>
          <t>Hồ Chí Minh</t>
        </is>
      </c>
      <c r="G21848" s="10" t="inlineStr">
        <is>
          <t>Hôm nay</t>
        </is>
      </c>
      <c r="H21848" s="10" t="inlineStr">
        <is>
          <t>17/03/2026</t>
        </is>
      </c>
      <c r="I21848" s="10" t="inlineStr">
        <is>
          <t>17/03/2026</t>
        </is>
      </c>
      <c r="J21848" s="10" t="inlineStr">
        <is>
          <t>Cơ khí / Ô tô / Tự động hóa, Bảo trì / Sửa chữa, Điện / Điện tử / Điện lạnh / Điện công nghiệp</t>
        </is>
      </c>
      <c r="K21848" s="10" t="inlineStr">
        <is>
          <t>Trên 2 Năm</t>
        </is>
      </c>
      <c r="L21848" s="11">
        <f>HYPERLINK("https://careerviet.vn/vi/tim-viec-lam/nhan-vien-ky-thuat.35C63222.html","Xem chi tiết")</f>
        <v/>
      </c>
      <c r="M21848" s="10" t="n"/>
    </row>
    <row r="21849">
      <c r="B21849" s="7" t="n">
        <v>21847</v>
      </c>
      <c r="C21849" t="inlineStr">
        <is>
          <t>Commercial Project Intern(Mới)</t>
        </is>
      </c>
      <c r="D21849" t="inlineStr">
        <is>
          <t>Công ty TNHH Olam Việt Nam</t>
        </is>
      </c>
      <c r="E21849" t="inlineStr">
        <is>
          <t>Lương:Cạnh tranh</t>
        </is>
      </c>
      <c r="F21849" t="inlineStr">
        <is>
          <t>Đồng Nai</t>
        </is>
      </c>
      <c r="G21849" t="inlineStr">
        <is>
          <t>13-04-2026</t>
        </is>
      </c>
      <c r="H21849" t="inlineStr">
        <is>
          <t>13/04/2026</t>
        </is>
      </c>
      <c r="I21849" t="inlineStr">
        <is>
          <t>17/03/2026</t>
        </is>
      </c>
      <c r="J21849" t="inlineStr">
        <is>
          <t>Bán hàng / Kinh doanh, Mới tốt nghiệp / Thực tập, Vận chuyển / Giao nhận / Kho vận</t>
        </is>
      </c>
      <c r="K21849" t="inlineStr">
        <is>
          <t>N/A</t>
        </is>
      </c>
      <c r="L21849" s="8">
        <f>HYPERLINK("https://careerviet.vn/vi/tim-viec-lam/commercial-project-intern.35C6CB20.html","Xem chi tiết")</f>
        <v/>
      </c>
    </row>
    <row r="21850">
      <c r="B21850" s="9" t="n">
        <v>21848</v>
      </c>
      <c r="C21850" s="10" t="inlineStr">
        <is>
          <t>Production Planning Intern(Mới)</t>
        </is>
      </c>
      <c r="D21850" s="10" t="inlineStr">
        <is>
          <t>Công ty TNHH Olam Việt Nam</t>
        </is>
      </c>
      <c r="E21850" s="10" t="inlineStr">
        <is>
          <t>Lương:Cạnh tranh</t>
        </is>
      </c>
      <c r="F21850" s="10" t="inlineStr">
        <is>
          <t>Đồng Nai</t>
        </is>
      </c>
      <c r="G21850" s="10" t="inlineStr">
        <is>
          <t>13-04-2026</t>
        </is>
      </c>
      <c r="H21850" s="10" t="inlineStr">
        <is>
          <t>13/04/2026</t>
        </is>
      </c>
      <c r="I21850" s="10" t="inlineStr">
        <is>
          <t>17/03/2026</t>
        </is>
      </c>
      <c r="J21850" s="10" t="inlineStr">
        <is>
          <t>Bán hàng / Kinh doanh, Mới tốt nghiệp / Thực tập</t>
        </is>
      </c>
      <c r="K21850" s="10" t="inlineStr">
        <is>
          <t>N/A</t>
        </is>
      </c>
      <c r="L21850" s="11">
        <f>HYPERLINK("https://careerviet.vn/vi/tim-viec-lam/production-planning-intern.35C6CB6F.html","Xem chi tiết")</f>
        <v/>
      </c>
      <c r="M21850" s="10" t="n"/>
    </row>
    <row r="21851">
      <c r="B21851" s="7" t="n">
        <v>21849</v>
      </c>
      <c r="C21851" t="inlineStr">
        <is>
          <t>Thực tập sinh Tuyển dụng (3M/Tháng - Định hướng lên chính thức)(Mới)</t>
        </is>
      </c>
      <c r="D21851" t="inlineStr">
        <is>
          <t>NHÀ SÁCH TIẾN THỌ</t>
        </is>
      </c>
      <c r="E21851" t="inlineStr">
        <is>
          <t>Lương:3 Tr - 3 Tr VND</t>
        </is>
      </c>
      <c r="F21851" t="inlineStr">
        <is>
          <t>Hà Nội</t>
        </is>
      </c>
      <c r="G21851" t="inlineStr">
        <is>
          <t>13-04-2026</t>
        </is>
      </c>
      <c r="H21851" t="inlineStr">
        <is>
          <t>13/04/2026</t>
        </is>
      </c>
      <c r="I21851" t="inlineStr">
        <is>
          <t>17/03/2026</t>
        </is>
      </c>
      <c r="J21851" t="inlineStr">
        <is>
          <t>Nhân sự</t>
        </is>
      </c>
      <c r="K21851" t="inlineStr">
        <is>
          <t>N/A</t>
        </is>
      </c>
      <c r="L21851" s="8">
        <f>HYPERLINK("https://careerviet.vn/vi/tim-viec-lam/thuc-tap-sinh-tuyen-dung-3m-thang-dinh-huong-len-chinh-thuc.35C6C9DE.html","Xem chi tiết")</f>
        <v/>
      </c>
    </row>
    <row r="21852">
      <c r="B21852" s="9" t="n">
        <v>21850</v>
      </c>
      <c r="C21852" s="10" t="inlineStr">
        <is>
          <t>Hà Nội/HCM - Nhân viên Hỗ trợ Thanh Toán khoản vay qua điện thoại</t>
        </is>
      </c>
      <c r="D21852" s="10" t="inlineStr">
        <is>
          <t>LOTTE FINANCE VIETNAM</t>
        </is>
      </c>
      <c r="E21852" s="10" t="inlineStr">
        <is>
          <t>Lương:7 Tr - 15 Tr VND</t>
        </is>
      </c>
      <c r="F21852" s="10" t="inlineStr">
        <is>
          <t>Hồ Chí Minh</t>
        </is>
      </c>
      <c r="G21852" s="10" t="inlineStr">
        <is>
          <t>Hôm nay</t>
        </is>
      </c>
      <c r="H21852" s="10" t="inlineStr">
        <is>
          <t>17/03/2026</t>
        </is>
      </c>
      <c r="I21852" s="10" t="inlineStr">
        <is>
          <t>17/03/2026</t>
        </is>
      </c>
      <c r="J21852" s="10" t="inlineStr">
        <is>
          <t>Luật / Pháp lý, Bán hàng / Kinh doanh, Bảo hiểm</t>
        </is>
      </c>
      <c r="K21852" s="10" t="inlineStr">
        <is>
          <t>1 - 3 Năm</t>
        </is>
      </c>
      <c r="L21852" s="11">
        <f>HYPERLINK("https://careerviet.vn/vi/tim-viec-lam/ha-noi-hcm-nhan-vien-ho-tro-thanh-toan-khoan-vay-qua-dien-thoai.35C630EE.html","Xem chi tiết")</f>
        <v/>
      </c>
      <c r="M21852" s="10" t="n"/>
    </row>
    <row r="21853">
      <c r="B21853" s="7" t="n">
        <v>21851</v>
      </c>
      <c r="C21853" t="inlineStr">
        <is>
          <t>Account Payable Leader (Trade) - Trưởng Nhóm Kế Toán Thanh Toán Mảng Hàng Hóa</t>
        </is>
      </c>
      <c r="D21853" t="inlineStr">
        <is>
          <t>Concung.com - Con Cung Joint Stock Company</t>
        </is>
      </c>
      <c r="E21853" t="inlineStr">
        <is>
          <t>Lương:Cạnh tranh</t>
        </is>
      </c>
      <c r="F21853" t="inlineStr">
        <is>
          <t>Hồ Chí Minh</t>
        </is>
      </c>
      <c r="G21853" t="inlineStr">
        <is>
          <t>Hôm nay</t>
        </is>
      </c>
      <c r="H21853" t="inlineStr">
        <is>
          <t>17/03/2026</t>
        </is>
      </c>
      <c r="I21853" t="inlineStr">
        <is>
          <t>17/03/2026</t>
        </is>
      </c>
      <c r="J21853" t="inlineStr">
        <is>
          <t>Bán lẻ / Bán sỉ, Kế toán / Kiểm toán, Tài chính / Đầu tư</t>
        </is>
      </c>
      <c r="K21853" t="inlineStr">
        <is>
          <t>Trên 5 Năm</t>
        </is>
      </c>
      <c r="L21853" s="8">
        <f>HYPERLINK("https://careerviet.vn/vi/tim-viec-lam/account-payable-leader-trade-truong-nhom-ke-toan-thanh-toan-mang-hang-hoa.35C631CF.html","Xem chi tiết")</f>
        <v/>
      </c>
    </row>
    <row r="21854">
      <c r="B21854" s="9" t="n">
        <v>21852</v>
      </c>
      <c r="C21854" s="10" t="inlineStr">
        <is>
          <t>KẾ TOÁN TRƯỞNG TẠI CÀ MAU (18-25 TR)</t>
        </is>
      </c>
      <c r="D21854" s="10" t="inlineStr">
        <is>
          <t>CÔNG TY CỔ PHẦN TẬP ĐOÀN DEKKO</t>
        </is>
      </c>
      <c r="E21854" s="10" t="inlineStr">
        <is>
          <t>Lương:18 Tr - 25 Tr VND</t>
        </is>
      </c>
      <c r="F21854" s="10" t="inlineStr">
        <is>
          <t>Cà Mau</t>
        </is>
      </c>
      <c r="G21854" s="10" t="inlineStr">
        <is>
          <t>Hôm nay</t>
        </is>
      </c>
      <c r="H21854" s="10" t="inlineStr">
        <is>
          <t>17/03/2026</t>
        </is>
      </c>
      <c r="I21854" s="10" t="inlineStr">
        <is>
          <t>17/03/2026</t>
        </is>
      </c>
      <c r="J21854" s="10" t="inlineStr">
        <is>
          <t>Kế toán / Kiểm toán</t>
        </is>
      </c>
      <c r="K21854" s="10" t="inlineStr">
        <is>
          <t>3 - 5 Năm</t>
        </is>
      </c>
      <c r="L21854" s="11">
        <f>HYPERLINK("https://careerviet.vn/vi/tim-viec-lam/ke-toan-truong-tai-ca-mau-18-25-tr.35C65C95.html","Xem chi tiết")</f>
        <v/>
      </c>
      <c r="M21854" s="10" t="n"/>
    </row>
    <row r="21855">
      <c r="B21855" s="7" t="n">
        <v>21853</v>
      </c>
      <c r="C21855" t="inlineStr">
        <is>
          <t>Thực tập sinh Pháp lý(Mới)</t>
        </is>
      </c>
      <c r="D21855" t="inlineStr">
        <is>
          <t>CÔNG TY TNHH SẢN XUẤT NAVIS VIỆT NAM</t>
        </is>
      </c>
      <c r="E21855" t="inlineStr">
        <is>
          <t>Lương:2 Tr - 4 Tr VND</t>
        </is>
      </c>
      <c r="F21855" t="inlineStr">
        <is>
          <t>Hồ Chí Minh</t>
        </is>
      </c>
      <c r="G21855" t="inlineStr">
        <is>
          <t>30-04-2026</t>
        </is>
      </c>
      <c r="H21855" t="inlineStr">
        <is>
          <t>30/04/2026</t>
        </is>
      </c>
      <c r="I21855" t="inlineStr">
        <is>
          <t>17/03/2026</t>
        </is>
      </c>
      <c r="J21855" t="inlineStr">
        <is>
          <t>Luật / Pháp lý</t>
        </is>
      </c>
      <c r="K21855" t="inlineStr">
        <is>
          <t>N/A</t>
        </is>
      </c>
      <c r="L21855" s="8">
        <f>HYPERLINK("https://careerviet.vn/vi/tim-viec-lam/thuc-tap-sinh-phap-ly.35C6CBCE.html","Xem chi tiết")</f>
        <v/>
      </c>
    </row>
    <row r="21856">
      <c r="B21856" s="9" t="n">
        <v>21854</v>
      </c>
      <c r="C21856" s="10" t="inlineStr">
        <is>
          <t>NHÂN VIÊN TƯ VẤN VAY TẠI PHÒNG GIAO DỊCH</t>
        </is>
      </c>
      <c r="D21856" s="10" t="inlineStr">
        <is>
          <t>CÔNG TY TNHH K&amp;M VINA</t>
        </is>
      </c>
      <c r="E21856" s="10" t="inlineStr">
        <is>
          <t>Lương:7 Tr - 20 Tr VND</t>
        </is>
      </c>
      <c r="F21856" s="10" t="inlineStr">
        <is>
          <t>Hồ Chí Minh</t>
        </is>
      </c>
      <c r="G21856" s="10" t="inlineStr">
        <is>
          <t>Hôm nay</t>
        </is>
      </c>
      <c r="H21856" s="10" t="inlineStr">
        <is>
          <t>17/03/2026</t>
        </is>
      </c>
      <c r="I21856" s="10" t="inlineStr">
        <is>
          <t>17/03/2026</t>
        </is>
      </c>
      <c r="J21856" s="10" t="inlineStr">
        <is>
          <t>Bán hàng / Kinh doanh, Tư vấn, Tài chính / Đầu tư</t>
        </is>
      </c>
      <c r="K21856" s="10" t="inlineStr">
        <is>
          <t>N/A</t>
        </is>
      </c>
      <c r="L21856" s="11">
        <f>HYPERLINK("https://careerviet.vn/vi/tim-viec-lam/nhan-vien-tu-van-vay-tai-phong-giao-dich.35C630DD.html","Xem chi tiết")</f>
        <v/>
      </c>
      <c r="M21856" s="10" t="n"/>
    </row>
    <row r="21857">
      <c r="B21857" s="7" t="n">
        <v>21855</v>
      </c>
      <c r="C21857" t="inlineStr">
        <is>
          <t>Trade Marketing Intern (Đà Nẵng Center)(Mới)</t>
        </is>
      </c>
      <c r="D21857" t="inlineStr">
        <is>
          <t>ILA Việt Nam</t>
        </is>
      </c>
      <c r="E21857" t="inlineStr">
        <is>
          <t>Lương:Cạnh tranh</t>
        </is>
      </c>
      <c r="F21857" t="inlineStr">
        <is>
          <t>Đà Nẵng</t>
        </is>
      </c>
      <c r="G21857" t="inlineStr">
        <is>
          <t>30-04-2026</t>
        </is>
      </c>
      <c r="H21857" t="inlineStr">
        <is>
          <t>30/04/2026</t>
        </is>
      </c>
      <c r="I21857" t="inlineStr">
        <is>
          <t>17/03/2026</t>
        </is>
      </c>
      <c r="J21857" t="inlineStr">
        <is>
          <t>Tiếp thị / Marketing, Bán hàng / Kinh doanh, Tiếp thị trực tuyến</t>
        </is>
      </c>
      <c r="K21857" t="inlineStr">
        <is>
          <t>N/A</t>
        </is>
      </c>
      <c r="L21857" s="8">
        <f>HYPERLINK("https://careerviet.vn/vi/tim-viec-lam/trade-marketing-intern-da-nang-center.35C6CB18.html","Xem chi tiết")</f>
        <v/>
      </c>
    </row>
    <row r="21858">
      <c r="B21858" s="9" t="n">
        <v>21856</v>
      </c>
      <c r="C21858" s="10" t="inlineStr">
        <is>
          <t>Thực Tập Sinh Cơ Khí(Mới)</t>
        </is>
      </c>
      <c r="D21858" s="10" t="inlineStr">
        <is>
          <t>Tập Đoàn Kim Tín</t>
        </is>
      </c>
      <c r="E21858" s="10" t="inlineStr">
        <is>
          <t>Lương:3 Tr - 5 Tr VND</t>
        </is>
      </c>
      <c r="F21858" s="10" t="inlineStr">
        <is>
          <t>Hồ Chí Minh</t>
        </is>
      </c>
      <c r="G21858" s="10" t="inlineStr">
        <is>
          <t>14-04-2026</t>
        </is>
      </c>
      <c r="H21858" s="10" t="inlineStr">
        <is>
          <t>14/04/2026</t>
        </is>
      </c>
      <c r="I21858" s="10" t="inlineStr">
        <is>
          <t>17/03/2026</t>
        </is>
      </c>
      <c r="J21858" s="10" t="inlineStr">
        <is>
          <t>Cơ khí / Ô tô / Tự động hóa, Mới tốt nghiệp / Thực tập</t>
        </is>
      </c>
      <c r="K21858" s="10" t="inlineStr">
        <is>
          <t>N/A</t>
        </is>
      </c>
      <c r="L21858" s="11">
        <f>HYPERLINK("https://careerviet.vn/vi/tim-viec-lam/thuc-tap-sinh-co-khi.35C6CB09.html","Xem chi tiết")</f>
        <v/>
      </c>
      <c r="M21858" s="10" t="n"/>
    </row>
    <row r="21859">
      <c r="B21859" s="7" t="n">
        <v>21857</v>
      </c>
      <c r="C21859" t="inlineStr">
        <is>
          <t>Thực Tập Sinh Kế Toán(Mới)</t>
        </is>
      </c>
      <c r="D21859" t="inlineStr">
        <is>
          <t>CÔNG TY CỔ PHẦN  ITL LOGISTICS</t>
        </is>
      </c>
      <c r="E21859" t="inlineStr">
        <is>
          <t>Lương:1 Tr - 1 Tr VND</t>
        </is>
      </c>
      <c r="F21859" t="inlineStr">
        <is>
          <t>Hồ Chí Minh</t>
        </is>
      </c>
      <c r="G21859" t="inlineStr">
        <is>
          <t>31-03-2026</t>
        </is>
      </c>
      <c r="H21859" t="inlineStr">
        <is>
          <t>31/03/2026</t>
        </is>
      </c>
      <c r="I21859" t="inlineStr">
        <is>
          <t>17/03/2026</t>
        </is>
      </c>
      <c r="J21859" t="inlineStr">
        <is>
          <t>Kế toán / Kiểm toán</t>
        </is>
      </c>
      <c r="K21859" t="inlineStr">
        <is>
          <t>N/A</t>
        </is>
      </c>
      <c r="L21859" s="8">
        <f>HYPERLINK("https://careerviet.vn/vi/tim-viec-lam/thuc-tap-sinh-ke-toan.35C6AA9E.html","Xem chi tiết")</f>
        <v/>
      </c>
    </row>
    <row r="21860">
      <c r="B21860" s="9" t="n">
        <v>21858</v>
      </c>
      <c r="C21860" s="10" t="inlineStr">
        <is>
          <t>Thực tập sinh Kinh doanh (Sales Admin Intern)(Mới)</t>
        </is>
      </c>
      <c r="D21860" s="10" t="inlineStr">
        <is>
          <t>KDI EDUCATION</t>
        </is>
      </c>
      <c r="E21860" s="10" t="inlineStr">
        <is>
          <t>Lương:1 Tr - 3 Tr VND</t>
        </is>
      </c>
      <c r="F21860" s="10" t="inlineStr">
        <is>
          <t>Hồ Chí Minh</t>
        </is>
      </c>
      <c r="G21860" s="10" t="inlineStr">
        <is>
          <t>17-04-2026</t>
        </is>
      </c>
      <c r="H21860" s="10" t="inlineStr">
        <is>
          <t>17/04/2026</t>
        </is>
      </c>
      <c r="I21860" s="10" t="inlineStr">
        <is>
          <t>17/03/2026</t>
        </is>
      </c>
      <c r="J21860" s="10" t="inlineStr">
        <is>
          <t>Bán hàng / Kinh doanh, Giáo dục / Đào tạo</t>
        </is>
      </c>
      <c r="K21860" s="10" t="inlineStr">
        <is>
          <t>N/A</t>
        </is>
      </c>
      <c r="L21860" s="11">
        <f>HYPERLINK("https://careerviet.vn/vi/tim-viec-lam/thuc-tap-sinh-kinh-doanh-sales-admin-intern.35C6CAA2.html","Xem chi tiết")</f>
        <v/>
      </c>
      <c r="M21860" s="10" t="n"/>
    </row>
    <row r="21861">
      <c r="B21861" s="7" t="n">
        <v>21859</v>
      </c>
      <c r="C21861" t="inlineStr">
        <is>
          <t>Thực tập sinh truyền thông nội bộ(Mới)</t>
        </is>
      </c>
      <c r="D21861" t="inlineStr">
        <is>
          <t>CÔNG TY TNHH THƯƠNG MẠI VÀ DỊCH VỤ TALAD THAI</t>
        </is>
      </c>
      <c r="E21861" t="inlineStr">
        <is>
          <t>Lương:1,5 Tr - 2,5 Tr VND</t>
        </is>
      </c>
      <c r="F21861" t="inlineStr">
        <is>
          <t>Đà Nẵng</t>
        </is>
      </c>
      <c r="G21861" t="inlineStr">
        <is>
          <t>31-03-2026</t>
        </is>
      </c>
      <c r="H21861" t="inlineStr">
        <is>
          <t>31/03/2026</t>
        </is>
      </c>
      <c r="I21861" t="inlineStr">
        <is>
          <t>17/03/2026</t>
        </is>
      </c>
      <c r="J21861" t="inlineStr">
        <is>
          <t>Quảng cáo / Đối ngoại / Truyền Thông, Nhân sự</t>
        </is>
      </c>
      <c r="K21861" t="inlineStr">
        <is>
          <t>N/A</t>
        </is>
      </c>
      <c r="L21861" s="8">
        <f>HYPERLINK("https://careerviet.vn/vi/tim-viec-lam/thuc-tap-sinh-truyen-thong-noi-bo.35C6CAC1.html","Xem chi tiết")</f>
        <v/>
      </c>
    </row>
    <row r="21862">
      <c r="B21862" s="9" t="n">
        <v>21860</v>
      </c>
      <c r="C21862" s="10" t="inlineStr">
        <is>
          <t>Thực tập sinh nhân sự(Mới)</t>
        </is>
      </c>
      <c r="D21862" s="10" t="inlineStr">
        <is>
          <t>Nova Service Group - Công ty Cổ phần Tập đoàn Nova Services</t>
        </is>
      </c>
      <c r="E21862" s="10" t="inlineStr">
        <is>
          <t>Lương:Cạnh tranh</t>
        </is>
      </c>
      <c r="F21862" s="10" t="inlineStr">
        <is>
          <t>Hồ Chí Minh</t>
        </is>
      </c>
      <c r="G21862" s="10" t="inlineStr">
        <is>
          <t>11-04-2026</t>
        </is>
      </c>
      <c r="H21862" s="10" t="inlineStr">
        <is>
          <t>11/04/2026</t>
        </is>
      </c>
      <c r="I21862" s="10" t="inlineStr">
        <is>
          <t>17/03/2026</t>
        </is>
      </c>
      <c r="J21862" s="10" t="inlineStr">
        <is>
          <t>Nhân sự</t>
        </is>
      </c>
      <c r="K21862" s="10" t="inlineStr">
        <is>
          <t>N/A</t>
        </is>
      </c>
      <c r="L21862" s="11">
        <f>HYPERLINK("https://careerviet.vn/vi/tim-viec-lam/thuc-tap-sinh-nhan-su.35C6CA65.html","Xem chi tiết")</f>
        <v/>
      </c>
      <c r="M21862" s="10" t="n"/>
    </row>
    <row r="21863">
      <c r="B21863" s="7" t="n">
        <v>21861</v>
      </c>
      <c r="C21863" t="inlineStr">
        <is>
          <t>Thực tập sinh nhân sự(Mới)</t>
        </is>
      </c>
      <c r="D21863" t="inlineStr">
        <is>
          <t>CÔNG TY CỔ PHẦN ULTD THỊNH PHÁT</t>
        </is>
      </c>
      <c r="E21863" t="inlineStr">
        <is>
          <t>Lương:3 Tr - 5 Tr VND</t>
        </is>
      </c>
      <c r="F21863" t="inlineStr">
        <is>
          <t>Hà Nội</t>
        </is>
      </c>
      <c r="G21863" t="inlineStr">
        <is>
          <t>16-04-2026</t>
        </is>
      </c>
      <c r="H21863" t="inlineStr">
        <is>
          <t>16/04/2026</t>
        </is>
      </c>
      <c r="I21863" t="inlineStr">
        <is>
          <t>17/03/2026</t>
        </is>
      </c>
      <c r="J21863" t="inlineStr">
        <is>
          <t>Nhân sự</t>
        </is>
      </c>
      <c r="K21863" t="inlineStr">
        <is>
          <t>N/A</t>
        </is>
      </c>
      <c r="L21863" s="8">
        <f>HYPERLINK("https://careerviet.vn/vi/tim-viec-lam/thuc-tap-sinh-nhan-su.35C6CA39.html","Xem chi tiết")</f>
        <v/>
      </c>
    </row>
    <row r="21864">
      <c r="B21864" s="9" t="n">
        <v>21862</v>
      </c>
      <c r="C21864" s="10" t="inlineStr">
        <is>
          <t>Thực tập sinh Đào tạo - TP. Thủ Đức(Mới)</t>
        </is>
      </c>
      <c r="D21864" s="10" t="inlineStr">
        <is>
          <t>Hệ thống trường Pathway Tuệ Đức</t>
        </is>
      </c>
      <c r="E21864" s="10" t="inlineStr">
        <is>
          <t>Lương:Cạnh tranh</t>
        </is>
      </c>
      <c r="F21864" s="10" t="inlineStr">
        <is>
          <t>Hồ Chí Minh</t>
        </is>
      </c>
      <c r="G21864" s="10" t="inlineStr">
        <is>
          <t>16-04-2026</t>
        </is>
      </c>
      <c r="H21864" s="10" t="inlineStr">
        <is>
          <t>16/04/2026</t>
        </is>
      </c>
      <c r="I21864" s="10" t="inlineStr">
        <is>
          <t>17/03/2026</t>
        </is>
      </c>
      <c r="J21864" s="10" t="inlineStr">
        <is>
          <t>Giáo dục / Đào tạo, Mới tốt nghiệp / Thực tập</t>
        </is>
      </c>
      <c r="K21864" s="10" t="inlineStr">
        <is>
          <t>N/A</t>
        </is>
      </c>
      <c r="L21864" s="11">
        <f>HYPERLINK("https://careerviet.vn/vi/tim-viec-lam/thuc-tap-sinh-dao-tao-tp-thu-duc.35C6CAD5.html","Xem chi tiết")</f>
        <v/>
      </c>
      <c r="M21864" s="10" t="n"/>
    </row>
    <row r="21865">
      <c r="B21865" s="7" t="n">
        <v>21863</v>
      </c>
      <c r="C21865" t="inlineStr">
        <is>
          <t>Thực tập sinh IT</t>
        </is>
      </c>
      <c r="D21865" t="inlineStr">
        <is>
          <t>Công ty TNHH Joyco Retail Operations</t>
        </is>
      </c>
      <c r="E21865" t="inlineStr">
        <is>
          <t>Lương:Trên 2,3 Tr VND</t>
        </is>
      </c>
      <c r="F21865" t="inlineStr">
        <is>
          <t>Hồ Chí Minh</t>
        </is>
      </c>
      <c r="G21865" t="inlineStr">
        <is>
          <t>14-04-2026</t>
        </is>
      </c>
      <c r="H21865" t="inlineStr">
        <is>
          <t>14/04/2026</t>
        </is>
      </c>
      <c r="I21865" t="inlineStr">
        <is>
          <t>17/03/2026</t>
        </is>
      </c>
      <c r="J21865" t="inlineStr">
        <is>
          <t>Bán hàng / Kinh doanh, Mới tốt nghiệp / Thực tập, CNTT - Phần cứng / Mạng</t>
        </is>
      </c>
      <c r="K21865" t="inlineStr">
        <is>
          <t>N/A</t>
        </is>
      </c>
      <c r="L21865" s="8">
        <f>HYPERLINK("https://careerviet.vn/vi/tim-viec-lam/thuc-tap-sinh-it.35C6C9BC.html","Xem chi tiết")</f>
        <v/>
      </c>
    </row>
    <row r="21866">
      <c r="B21866" s="9" t="n">
        <v>21864</v>
      </c>
      <c r="C21866" s="10" t="inlineStr">
        <is>
          <t>NHÂN VIÊN THU MUA(Mới)</t>
        </is>
      </c>
      <c r="D21866" s="10" t="inlineStr">
        <is>
          <t>Công Ty Cổ Phần Bê Tông Terra Yamaken</t>
        </is>
      </c>
      <c r="E21866" s="10" t="inlineStr">
        <is>
          <t>Lương:12 Tr - 14 Tr VND</t>
        </is>
      </c>
      <c r="F21866" s="10" t="inlineStr">
        <is>
          <t>Bình Dương</t>
        </is>
      </c>
      <c r="G21866" s="10" t="inlineStr">
        <is>
          <t>31-03-2026</t>
        </is>
      </c>
      <c r="H21866" s="10" t="inlineStr">
        <is>
          <t>31/03/2026</t>
        </is>
      </c>
      <c r="I21866" s="10" t="inlineStr">
        <is>
          <t>17/03/2026</t>
        </is>
      </c>
      <c r="J21866" s="10" t="inlineStr">
        <is>
          <t>Thu mua / Vật tư, Xây dựng</t>
        </is>
      </c>
      <c r="K21866" s="10" t="inlineStr">
        <is>
          <t>N/A</t>
        </is>
      </c>
      <c r="L21866" s="11">
        <f>HYPERLINK("https://careerviet.vn/vi/tim-viec-lam/nhan-vien-thu-mua.35C6C739.html","Xem chi tiết")</f>
        <v/>
      </c>
      <c r="M21866" s="10" t="n"/>
    </row>
    <row r="21867">
      <c r="B21867" s="7" t="n">
        <v>21865</v>
      </c>
      <c r="C21867" t="inlineStr">
        <is>
          <t>Nhân Viên Kế Toán(Mới)</t>
        </is>
      </c>
      <c r="D21867" t="inlineStr">
        <is>
          <t>Công ty TNHH Giao Nhận Vận Tải Cargotrans Việt Nam</t>
        </is>
      </c>
      <c r="E21867" t="inlineStr">
        <is>
          <t>Lương:6 Tr - 8 Tr VND</t>
        </is>
      </c>
      <c r="F21867" t="inlineStr">
        <is>
          <t>Hà Nội</t>
        </is>
      </c>
      <c r="G21867" t="inlineStr">
        <is>
          <t>18-04-2026</t>
        </is>
      </c>
      <c r="H21867" t="inlineStr">
        <is>
          <t>18/04/2026</t>
        </is>
      </c>
      <c r="I21867" t="inlineStr">
        <is>
          <t>17/03/2026</t>
        </is>
      </c>
      <c r="J21867" t="inlineStr">
        <is>
          <t>Kế toán / Kiểm toán</t>
        </is>
      </c>
      <c r="K21867" t="inlineStr">
        <is>
          <t>N/A</t>
        </is>
      </c>
      <c r="L21867" s="8">
        <f>HYPERLINK("https://careerviet.vn/vi/tim-viec-lam/nhan-vien-ke-toan.35C6CA37.html","Xem chi tiết")</f>
        <v/>
      </c>
    </row>
    <row r="21868">
      <c r="B21868" s="9" t="n">
        <v>21866</v>
      </c>
      <c r="C21868" s="10" t="inlineStr">
        <is>
          <t>KẾ TOÁN BÁN HÀNG ( ƯU TIÊN ỨNG VIÊN MỚI TỐT NGHIỆP )(Mới)</t>
        </is>
      </c>
      <c r="D21868" s="10" t="inlineStr">
        <is>
          <t>CÔNG TY CỔ PHẦN TM &amp; DV SAGEN GROUP</t>
        </is>
      </c>
      <c r="E21868" s="10" t="inlineStr">
        <is>
          <t>Lương:8 Tr - 9 Tr VND</t>
        </is>
      </c>
      <c r="F21868" s="10" t="inlineStr">
        <is>
          <t>Hồ Chí Minh</t>
        </is>
      </c>
      <c r="G21868" s="10" t="inlineStr">
        <is>
          <t>16-04-2026</t>
        </is>
      </c>
      <c r="H21868" s="10" t="inlineStr">
        <is>
          <t>16/04/2026</t>
        </is>
      </c>
      <c r="I21868" s="10" t="inlineStr">
        <is>
          <t>17/03/2026</t>
        </is>
      </c>
      <c r="J21868" s="10" t="inlineStr">
        <is>
          <t>Kế toán / Kiểm toán, Bán lẻ / Bán sỉ, Bán hàng / Kinh doanh</t>
        </is>
      </c>
      <c r="K21868" s="10" t="inlineStr">
        <is>
          <t>N/A</t>
        </is>
      </c>
      <c r="L21868" s="11">
        <f>HYPERLINK("https://careerviet.vn/vi/tim-viec-lam/ke-toan-ban-hang-uu-tien-ung-vien-moi-tot-nghiep.35C6CAFD.html","Xem chi tiết")</f>
        <v/>
      </c>
      <c r="M21868" s="10" t="n"/>
    </row>
    <row r="21869">
      <c r="B21869" s="7" t="n">
        <v>21867</v>
      </c>
      <c r="C21869" t="inlineStr">
        <is>
          <t>Biên tập nội dung Facebook(Mới)</t>
        </is>
      </c>
      <c r="D21869" t="inlineStr">
        <is>
          <t>CÔNG TY CỔ PHẦN MOLI GROUP</t>
        </is>
      </c>
      <c r="E21869" t="inlineStr">
        <is>
          <t>Lương:Cạnh tranh</t>
        </is>
      </c>
      <c r="F21869" t="inlineStr">
        <is>
          <t>Hồ Chí Minh</t>
        </is>
      </c>
      <c r="G21869" t="inlineStr">
        <is>
          <t>01-04-2026</t>
        </is>
      </c>
      <c r="H21869" t="inlineStr">
        <is>
          <t>01/04/2026</t>
        </is>
      </c>
      <c r="I21869" t="inlineStr">
        <is>
          <t>17/03/2026</t>
        </is>
      </c>
      <c r="J21869" t="inlineStr">
        <is>
          <t>Tiếp thị / Marketing, Truyền hình / Báo chí / Biên tập, Quảng cáo / Đối ngoại / Truyền Thông</t>
        </is>
      </c>
      <c r="K21869" t="inlineStr">
        <is>
          <t>N/A</t>
        </is>
      </c>
      <c r="L21869" s="8">
        <f>HYPERLINK("https://careerviet.vn/vi/tim-viec-lam/bien-tap-noi-dung-facebook.35C6CA3B.html","Xem chi tiết")</f>
        <v/>
      </c>
    </row>
    <row r="21870">
      <c r="B21870" s="9" t="n">
        <v>21868</v>
      </c>
      <c r="C21870" s="10" t="inlineStr">
        <is>
          <t>Cộng tác viên Host Livestream Shopee/TikTokShop Parttime</t>
        </is>
      </c>
      <c r="D21870" s="10" t="inlineStr">
        <is>
          <t>Công ty Cổ phần Công nghệ UpBase</t>
        </is>
      </c>
      <c r="E21870" s="10" t="inlineStr">
        <is>
          <t>Lương:9 Tr - 30 Tr VND</t>
        </is>
      </c>
      <c r="F21870" s="10" t="inlineStr">
        <is>
          <t>Hà Nội</t>
        </is>
      </c>
      <c r="G21870" s="10" t="inlineStr">
        <is>
          <t>30-04-2026</t>
        </is>
      </c>
      <c r="H21870" s="10" t="inlineStr">
        <is>
          <t>30/04/2026</t>
        </is>
      </c>
      <c r="I21870" s="10" t="inlineStr">
        <is>
          <t>17/03/2026</t>
        </is>
      </c>
      <c r="J21870" s="10" t="inlineStr">
        <is>
          <t>Tiếp thị / Marketing, Bán hàng / Kinh doanh, Thương mại điện tử</t>
        </is>
      </c>
      <c r="K21870" s="10" t="inlineStr">
        <is>
          <t>N/A</t>
        </is>
      </c>
      <c r="L21870" s="11">
        <f>HYPERLINK("https://careerviet.vn/vi/tim-viec-lam/cong-tac-vien-host-livestream-shopee-tiktokshop-parttime.35C6C9C9.html","Xem chi tiết")</f>
        <v/>
      </c>
      <c r="M21870" s="10" t="n"/>
    </row>
    <row r="21871">
      <c r="B21871" s="7" t="n">
        <v>21869</v>
      </c>
      <c r="C21871" t="inlineStr">
        <is>
          <t>VinUniversity - Admissions Consultant [Contract-based]</t>
        </is>
      </c>
      <c r="D21871" t="inlineStr">
        <is>
          <t>Trường Đại học VinUni</t>
        </is>
      </c>
      <c r="E21871" t="inlineStr">
        <is>
          <t>Lương:2 Tr - 7 Tr VND</t>
        </is>
      </c>
      <c r="F21871" t="inlineStr">
        <is>
          <t>Hà Nội</t>
        </is>
      </c>
      <c r="G21871" t="inlineStr">
        <is>
          <t>25-03-2026</t>
        </is>
      </c>
      <c r="H21871" t="inlineStr">
        <is>
          <t>25/03/2026</t>
        </is>
      </c>
      <c r="I21871" t="inlineStr">
        <is>
          <t>17/03/2026</t>
        </is>
      </c>
      <c r="J21871" t="inlineStr">
        <is>
          <t>Tiếp thị / Marketing, Tư vấn, Giáo dục / Đào tạo</t>
        </is>
      </c>
      <c r="K21871" t="inlineStr">
        <is>
          <t>N/A</t>
        </is>
      </c>
      <c r="L21871" s="8">
        <f>HYPERLINK("https://careerviet.vn/vi/tim-viec-lam/vinuniversity-admissions-consultant-contract-based.35C6C976.html","Xem chi tiết")</f>
        <v/>
      </c>
    </row>
    <row r="21872">
      <c r="B21872" s="9" t="n">
        <v>21870</v>
      </c>
      <c r="C21872" s="10" t="inlineStr">
        <is>
          <t>Customer Success Intern (SaaS SMEs)</t>
        </is>
      </c>
      <c r="D21872" s="10" t="inlineStr">
        <is>
          <t>Công ty Cổ phần Công nghệ UpBase</t>
        </is>
      </c>
      <c r="E21872" s="10" t="inlineStr">
        <is>
          <t>Lương:3 Tr - 5 Tr VND</t>
        </is>
      </c>
      <c r="F21872" s="10" t="inlineStr">
        <is>
          <t>Hà Nội</t>
        </is>
      </c>
      <c r="G21872" s="10" t="inlineStr">
        <is>
          <t>30-04-2026</t>
        </is>
      </c>
      <c r="H21872" s="10" t="inlineStr">
        <is>
          <t>30/04/2026</t>
        </is>
      </c>
      <c r="I21872" s="10" t="inlineStr">
        <is>
          <t>17/03/2026</t>
        </is>
      </c>
      <c r="J21872" s="10" t="inlineStr">
        <is>
          <t>Bán hàng / Kinh doanh, Tư vấn, Dịch vụ khách hàng</t>
        </is>
      </c>
      <c r="K21872" s="10" t="inlineStr">
        <is>
          <t>N/A</t>
        </is>
      </c>
      <c r="L21872" s="11">
        <f>HYPERLINK("https://careerviet.vn/vi/tim-viec-lam/customer-success-intern-saas-smes.35C6C9C7.html","Xem chi tiết")</f>
        <v/>
      </c>
      <c r="M21872" s="10" t="n"/>
    </row>
    <row r="21873">
      <c r="B21873" s="7" t="n">
        <v>21871</v>
      </c>
      <c r="C21873" t="inlineStr">
        <is>
          <t>THỰC TẬP SINH HÀNH CHÍNH</t>
        </is>
      </c>
      <c r="D21873" t="inlineStr">
        <is>
          <t>Công Ty TNHH Dược Phẩm Healthy Beauty</t>
        </is>
      </c>
      <c r="E21873" t="inlineStr">
        <is>
          <t>Lương:2 Tr - 4 Tr VND</t>
        </is>
      </c>
      <c r="F21873" t="inlineStr">
        <is>
          <t>Hồ Chí Minh</t>
        </is>
      </c>
      <c r="G21873" t="inlineStr">
        <is>
          <t>30-04-2026</t>
        </is>
      </c>
      <c r="H21873" t="inlineStr">
        <is>
          <t>30/04/2026</t>
        </is>
      </c>
      <c r="I21873" t="inlineStr">
        <is>
          <t>17/03/2026</t>
        </is>
      </c>
      <c r="J21873" t="inlineStr">
        <is>
          <t>Tiếp thị / Marketing, Dược phẩm/ Hóa Mỹ Phẩm, Quảng cáo / Đối ngoại / Truyền Thông</t>
        </is>
      </c>
      <c r="K21873" t="inlineStr">
        <is>
          <t>N/A</t>
        </is>
      </c>
      <c r="L21873" s="8">
        <f>HYPERLINK("https://careerviet.vn/vi/tim-viec-lam/thuc-tap-sinh-hanh-chinh.35C6C878.html","Xem chi tiết")</f>
        <v/>
      </c>
    </row>
    <row r="21874">
      <c r="B21874" s="9" t="n">
        <v>21872</v>
      </c>
      <c r="C21874" s="10" t="inlineStr">
        <is>
          <t>Nhân viên Thiết Kế Tủ Bảng Điện</t>
        </is>
      </c>
      <c r="D21874" s="10" t="inlineStr">
        <is>
          <t>Sunlight Electrical (Vietnam) Co., Ltd.</t>
        </is>
      </c>
      <c r="E21874" s="10" t="inlineStr">
        <is>
          <t>Lương:8 Tr - 10 Tr VND</t>
        </is>
      </c>
      <c r="F21874" s="10" t="inlineStr">
        <is>
          <t>Bình Dương</t>
        </is>
      </c>
      <c r="G21874" s="10" t="inlineStr">
        <is>
          <t>13-04-2026</t>
        </is>
      </c>
      <c r="H21874" s="10" t="inlineStr">
        <is>
          <t>13/04/2026</t>
        </is>
      </c>
      <c r="I21874" s="10" t="inlineStr">
        <is>
          <t>17/03/2026</t>
        </is>
      </c>
      <c r="J21874" s="10" t="inlineStr">
        <is>
          <t>Điện / Điện tử / Điện lạnh / Điện công nghiệp, Mỹ thuật / Nghệ thuật / Thiết kế</t>
        </is>
      </c>
      <c r="K21874" s="10" t="inlineStr">
        <is>
          <t>N/A</t>
        </is>
      </c>
      <c r="L21874" s="11">
        <f>HYPERLINK("https://careerviet.vn/vi/tim-viec-lam/nhan-vien-thiet-ke-tu-bang-dien.35C6C99D.html","Xem chi tiết")</f>
        <v/>
      </c>
      <c r="M21874" s="10" t="n"/>
    </row>
    <row r="21875">
      <c r="B21875" s="7" t="n">
        <v>21873</v>
      </c>
      <c r="C21875" t="inlineStr">
        <is>
          <t>Thực tập Xuất nhập khẩu dịch tài liệu</t>
        </is>
      </c>
      <c r="D21875" t="inlineStr">
        <is>
          <t>CÔNG TY TNHH HTKK VIỆT NAM</t>
        </is>
      </c>
      <c r="E21875" t="inlineStr">
        <is>
          <t>Lương:5 Tr - 20 Tr VND</t>
        </is>
      </c>
      <c r="F21875" t="inlineStr">
        <is>
          <t>Hà Nội</t>
        </is>
      </c>
      <c r="G21875" t="inlineStr">
        <is>
          <t>10-04-2026</t>
        </is>
      </c>
      <c r="H21875" t="inlineStr">
        <is>
          <t>10/04/2026</t>
        </is>
      </c>
      <c r="I21875" t="inlineStr">
        <is>
          <t>17/03/2026</t>
        </is>
      </c>
      <c r="J21875" t="inlineStr">
        <is>
          <t>Xuất nhập khẩu, Biên phiên dịch, Vận chuyển / Giao nhận / Kho vận</t>
        </is>
      </c>
      <c r="K21875" t="inlineStr">
        <is>
          <t>N/A</t>
        </is>
      </c>
      <c r="L21875" s="8">
        <f>HYPERLINK("https://careerviet.vn/vi/tim-viec-lam/thuc-tap-xuat-nhap-khau-dich-tai-lieu.35C6C855.html","Xem chi tiết")</f>
        <v/>
      </c>
    </row>
    <row r="21876">
      <c r="B21876" s="9" t="n">
        <v>21874</v>
      </c>
      <c r="C21876" s="10" t="inlineStr">
        <is>
          <t>Thực tập sinh Truyền thông</t>
        </is>
      </c>
      <c r="D21876" s="10" t="inlineStr">
        <is>
          <t>Công Ty Cổ Phần Trang</t>
        </is>
      </c>
      <c r="E21876" s="10" t="inlineStr">
        <is>
          <t>Lương:Cạnh tranh</t>
        </is>
      </c>
      <c r="F21876" s="10" t="inlineStr">
        <is>
          <t>Hồ Chí Minh</t>
        </is>
      </c>
      <c r="G21876" s="10" t="inlineStr">
        <is>
          <t>13-04-2026</t>
        </is>
      </c>
      <c r="H21876" s="10" t="inlineStr">
        <is>
          <t>13/04/2026</t>
        </is>
      </c>
      <c r="I21876" s="10" t="inlineStr">
        <is>
          <t>17/03/2026</t>
        </is>
      </c>
      <c r="J21876" s="10" t="inlineStr">
        <is>
          <t>Quảng cáo / Đối ngoại / Truyền Thông</t>
        </is>
      </c>
      <c r="K21876" s="10" t="inlineStr">
        <is>
          <t>N/A</t>
        </is>
      </c>
      <c r="L21876" s="11">
        <f>HYPERLINK("https://careerviet.vn/vi/tim-viec-lam/thuc-tap-sinh-truyen-thong.35C6C8BD.html","Xem chi tiết")</f>
        <v/>
      </c>
      <c r="M21876" s="10" t="n"/>
    </row>
    <row r="21877">
      <c r="B21877" s="7" t="n">
        <v>21875</v>
      </c>
      <c r="C21877" t="inlineStr">
        <is>
          <t>Nhân viên Kinh doanh XNK (Sales Logistics)</t>
        </is>
      </c>
      <c r="D21877" t="inlineStr">
        <is>
          <t>CÔNG TY TNHH THƯƠNG MẠI DU LỊCH VÀ VẬN TẢI QUỐC TẾ PHƯỚC AN</t>
        </is>
      </c>
      <c r="E21877" t="inlineStr">
        <is>
          <t>Lương:Cạnh tranh</t>
        </is>
      </c>
      <c r="F21877" t="inlineStr">
        <is>
          <t>Đà NẵngHồ Chí MinhHà Nội</t>
        </is>
      </c>
      <c r="G21877" t="inlineStr">
        <is>
          <t>11-04-2026</t>
        </is>
      </c>
      <c r="H21877" t="inlineStr">
        <is>
          <t>11/04/2026</t>
        </is>
      </c>
      <c r="I21877" t="inlineStr">
        <is>
          <t>17/03/2026</t>
        </is>
      </c>
      <c r="J21877" t="inlineStr">
        <is>
          <t>Bán hàng / Kinh doanh, Vận chuyển / Giao nhận / Kho vận</t>
        </is>
      </c>
      <c r="K21877" t="inlineStr">
        <is>
          <t>N/A</t>
        </is>
      </c>
      <c r="L21877" s="8">
        <f>HYPERLINK("https://careerviet.vn/vi/tim-viec-lam/nhan-vien-kinh-doanh-xnk-sales-logistics.35C6C960.html","Xem chi tiết")</f>
        <v/>
      </c>
    </row>
    <row r="21878">
      <c r="B21878" s="9" t="n">
        <v>21876</v>
      </c>
      <c r="C21878" s="10" t="inlineStr">
        <is>
          <t>Thực tập sinh kế toán</t>
        </is>
      </c>
      <c r="D21878" s="10" t="inlineStr">
        <is>
          <t>CÔNG TY TNHH TƯ VẤN VÀ KIỂM TOÁN ICMA</t>
        </is>
      </c>
      <c r="E21878" s="10" t="inlineStr">
        <is>
          <t>Lương:Cạnh tranh</t>
        </is>
      </c>
      <c r="F21878" s="10" t="inlineStr">
        <is>
          <t>Hồ Chí Minh</t>
        </is>
      </c>
      <c r="G21878" s="10" t="inlineStr">
        <is>
          <t>30-04-2026</t>
        </is>
      </c>
      <c r="H21878" s="10" t="inlineStr">
        <is>
          <t>30/04/2026</t>
        </is>
      </c>
      <c r="I21878" s="10" t="inlineStr">
        <is>
          <t>17/03/2026</t>
        </is>
      </c>
      <c r="J21878" s="10" t="inlineStr">
        <is>
          <t>Kế toán / Kiểm toán</t>
        </is>
      </c>
      <c r="K21878" s="10" t="inlineStr">
        <is>
          <t>N/A</t>
        </is>
      </c>
      <c r="L21878" s="11">
        <f>HYPERLINK("https://careerviet.vn/vi/tim-viec-lam/thuc-tap-sinh-ke-toan.35C6C85B.html","Xem chi tiết")</f>
        <v/>
      </c>
      <c r="M21878" s="10" t="n"/>
    </row>
    <row r="21879">
      <c r="B21879" s="7" t="n">
        <v>21877</v>
      </c>
      <c r="C21879" t="inlineStr">
        <is>
          <t>Thực tập sinh kinh doanh Bất động sản Nhà phố</t>
        </is>
      </c>
      <c r="D21879" t="inlineStr">
        <is>
          <t>THIÊN MINH CAPITAL</t>
        </is>
      </c>
      <c r="E21879" t="inlineStr">
        <is>
          <t>Lương:Cạnh tranh</t>
        </is>
      </c>
      <c r="F21879" t="inlineStr">
        <is>
          <t>Hồ Chí Minh</t>
        </is>
      </c>
      <c r="G21879" t="inlineStr">
        <is>
          <t>31-03-2026</t>
        </is>
      </c>
      <c r="H21879" t="inlineStr">
        <is>
          <t>31/03/2026</t>
        </is>
      </c>
      <c r="I21879" t="inlineStr">
        <is>
          <t>17/03/2026</t>
        </is>
      </c>
      <c r="J21879" t="inlineStr">
        <is>
          <t>Bán hàng / Kinh doanh, Bất động sản</t>
        </is>
      </c>
      <c r="K21879" t="inlineStr">
        <is>
          <t>N/A</t>
        </is>
      </c>
      <c r="L21879" s="8">
        <f>HYPERLINK("https://careerviet.vn/vi/tim-viec-lam/thuc-tap-sinh-kinh-doanh-bat-dong-san-nha-pho.35C6C96C.html","Xem chi tiết")</f>
        <v/>
      </c>
    </row>
    <row r="21880">
      <c r="B21880" s="9" t="n">
        <v>21878</v>
      </c>
      <c r="C21880" s="10" t="inlineStr">
        <is>
          <t>Trading Analyst - Quant Research Intership</t>
        </is>
      </c>
      <c r="D21880" s="10" t="inlineStr">
        <is>
          <t>Công Ty Cổ Phần Fin20</t>
        </is>
      </c>
      <c r="E21880" s="10" t="inlineStr">
        <is>
          <t>Lương:3 Tr - 5 Tr VND</t>
        </is>
      </c>
      <c r="F21880" s="10" t="inlineStr">
        <is>
          <t>Hồ Chí Minh</t>
        </is>
      </c>
      <c r="G21880" s="10" t="inlineStr">
        <is>
          <t>30-03-2026</t>
        </is>
      </c>
      <c r="H21880" s="10" t="inlineStr">
        <is>
          <t>30/03/2026</t>
        </is>
      </c>
      <c r="I21880" s="10" t="inlineStr">
        <is>
          <t>17/03/2026</t>
        </is>
      </c>
      <c r="J21880" s="10" t="inlineStr">
        <is>
          <t>Chứng khoán, Mới tốt nghiệp / Thực tập, Tài chính / Đầu tư</t>
        </is>
      </c>
      <c r="K21880" s="10" t="inlineStr">
        <is>
          <t>N/A</t>
        </is>
      </c>
      <c r="L21880" s="11">
        <f>HYPERLINK("https://careerviet.vn/vi/tim-viec-lam/trading-analyst-quant-research-intership.35C6C7EE.html","Xem chi tiết")</f>
        <v/>
      </c>
      <c r="M21880" s="10" t="n"/>
    </row>
    <row r="21881">
      <c r="B21881" s="7" t="n">
        <v>21879</v>
      </c>
      <c r="C21881" t="inlineStr">
        <is>
          <t>[QUẬN 7 ] CHĂM SÓC KHÁCH HÀNG - TỔNG ĐÀI 24/7</t>
        </is>
      </c>
      <c r="D21881" t="inlineStr">
        <is>
          <t>Shinhan Bank Vietnam</t>
        </is>
      </c>
      <c r="E21881" t="inlineStr">
        <is>
          <t>Lương:Cạnh tranh</t>
        </is>
      </c>
      <c r="F21881" t="inlineStr">
        <is>
          <t>Hồ Chí Minh</t>
        </is>
      </c>
      <c r="G21881" t="inlineStr">
        <is>
          <t>30-05-2026</t>
        </is>
      </c>
      <c r="H21881" t="inlineStr">
        <is>
          <t>30/05/2026</t>
        </is>
      </c>
      <c r="I21881" t="inlineStr">
        <is>
          <t>17/03/2026</t>
        </is>
      </c>
      <c r="J21881" t="inlineStr">
        <is>
          <t>Kế toán / Kiểm toán, Ngân hàng, Tài chính / Đầu tư</t>
        </is>
      </c>
      <c r="K21881" t="inlineStr">
        <is>
          <t>N/A</t>
        </is>
      </c>
      <c r="L21881" s="8">
        <f>HYPERLINK("https://careerviet.vn/vi/tim-viec-lam/quan-7-cham-soc-khach-hang-tong-dai-24-7.35C6C730.html","Xem chi tiết")</f>
        <v/>
      </c>
    </row>
    <row r="21882">
      <c r="B21882" s="9" t="n">
        <v>21880</v>
      </c>
      <c r="C21882" s="10" t="inlineStr">
        <is>
          <t>Nhân viên IT</t>
        </is>
      </c>
      <c r="D21882" s="10" t="inlineStr">
        <is>
          <t>Tập đoàn An Thái - Công ty CP Sài Gòn An Thái</t>
        </is>
      </c>
      <c r="E21882" s="10" t="inlineStr">
        <is>
          <t>Lương:9 Tr - 11 Tr VND</t>
        </is>
      </c>
      <c r="F21882" s="10" t="inlineStr">
        <is>
          <t>Hồ Chí Minh</t>
        </is>
      </c>
      <c r="G21882" s="10" t="inlineStr">
        <is>
          <t>13-04-2026</t>
        </is>
      </c>
      <c r="H21882" s="10" t="inlineStr">
        <is>
          <t>13/04/2026</t>
        </is>
      </c>
      <c r="I21882" s="10" t="inlineStr">
        <is>
          <t>17/03/2026</t>
        </is>
      </c>
      <c r="J21882" s="10" t="inlineStr">
        <is>
          <t>CNTT - Phần mềm, CNTT - Phần cứng / Mạng, Bảo trì / Sửa chữa</t>
        </is>
      </c>
      <c r="K21882" s="10" t="inlineStr">
        <is>
          <t>N/A</t>
        </is>
      </c>
      <c r="L21882" s="11">
        <f>HYPERLINK("https://careerviet.vn/vi/tim-viec-lam/nhan-vien-it.35C6C66E.html","Xem chi tiết")</f>
        <v/>
      </c>
      <c r="M21882" s="10" t="n"/>
    </row>
    <row r="21883">
      <c r="B21883" s="7" t="n">
        <v>21881</v>
      </c>
      <c r="C21883" t="inlineStr">
        <is>
          <t>Kỹ sư Triển khai bản vẽ xây dựng</t>
        </is>
      </c>
      <c r="D21883" t="inlineStr">
        <is>
          <t>Công ty TNHH Sanken Scube</t>
        </is>
      </c>
      <c r="E21883" t="inlineStr">
        <is>
          <t>Lương:9 Tr - 11 Tr VND</t>
        </is>
      </c>
      <c r="F21883" t="inlineStr">
        <is>
          <t>Hồ Chí Minh</t>
        </is>
      </c>
      <c r="G21883" t="inlineStr">
        <is>
          <t>31-12-2026</t>
        </is>
      </c>
      <c r="H21883" t="inlineStr">
        <is>
          <t>31/12/2026</t>
        </is>
      </c>
      <c r="I21883" t="inlineStr">
        <is>
          <t>17/03/2026</t>
        </is>
      </c>
      <c r="J21883" t="inlineStr">
        <is>
          <t>Xây dựng, Kiến trúc, Điện / Điện tử / Điện lạnh / Điện công nghiệp</t>
        </is>
      </c>
      <c r="K21883" t="inlineStr">
        <is>
          <t>N/A</t>
        </is>
      </c>
      <c r="L21883" s="8">
        <f>HYPERLINK("https://careerviet.vn/vi/tim-viec-lam/ky-su-trien-khai-ban-ve-xay-dung.35C6C66D.html","Xem chi tiết")</f>
        <v/>
      </c>
    </row>
    <row r="21884">
      <c r="B21884" s="9" t="n">
        <v>21882</v>
      </c>
      <c r="C21884" s="10" t="inlineStr">
        <is>
          <t>Backend Developer Internship (Remote)</t>
        </is>
      </c>
      <c r="D21884" s="10" t="inlineStr">
        <is>
          <t>Springer Capital</t>
        </is>
      </c>
      <c r="E21884" s="10" t="inlineStr">
        <is>
          <t>Lương:100 - 150 USD</t>
        </is>
      </c>
      <c r="F21884" s="10" t="inlineStr">
        <is>
          <t>Hà Nội</t>
        </is>
      </c>
      <c r="G21884" s="10" t="inlineStr">
        <is>
          <t>31-03-2026</t>
        </is>
      </c>
      <c r="H21884" s="10" t="inlineStr">
        <is>
          <t>31/03/2026</t>
        </is>
      </c>
      <c r="I21884" s="10" t="inlineStr">
        <is>
          <t>17/03/2026</t>
        </is>
      </c>
      <c r="J21884" s="10" t="inlineStr">
        <is>
          <t>CNTT - Phần mềm</t>
        </is>
      </c>
      <c r="K21884" s="10" t="inlineStr">
        <is>
          <t>N/A</t>
        </is>
      </c>
      <c r="L21884" s="11">
        <f>HYPERLINK("https://careerviet.vn/vi/tim-viec-lam/backend-developer-internship-remote.35C6C58B.html","Xem chi tiết")</f>
        <v/>
      </c>
      <c r="M21884" s="10" t="n"/>
    </row>
    <row r="21885">
      <c r="B21885" s="7" t="n">
        <v>21883</v>
      </c>
      <c r="C21885" t="inlineStr">
        <is>
          <t>Fresh Australian Accountant</t>
        </is>
      </c>
      <c r="D21885" t="inlineStr">
        <is>
          <t>Odyssey Reources Vietnam Company Limited</t>
        </is>
      </c>
      <c r="E21885" t="inlineStr">
        <is>
          <t>Lương:Cạnh tranh</t>
        </is>
      </c>
      <c r="F21885" t="inlineStr">
        <is>
          <t>Hồ Chí Minh</t>
        </is>
      </c>
      <c r="G21885" t="inlineStr">
        <is>
          <t>12-04-2026</t>
        </is>
      </c>
      <c r="H21885" t="inlineStr">
        <is>
          <t>12/04/2026</t>
        </is>
      </c>
      <c r="I21885" t="inlineStr">
        <is>
          <t>17/03/2026</t>
        </is>
      </c>
      <c r="J21885" t="inlineStr">
        <is>
          <t>Kế toán / Kiểm toán, Mới tốt nghiệp / Thực tập</t>
        </is>
      </c>
      <c r="K21885" t="inlineStr">
        <is>
          <t>N/A</t>
        </is>
      </c>
      <c r="L21885" s="8">
        <f>HYPERLINK("https://careerviet.vn/vi/tim-viec-lam/fresh-australian-accountant.35C6C5D0.html","Xem chi tiết")</f>
        <v/>
      </c>
    </row>
    <row r="21886">
      <c r="B21886" s="9" t="n">
        <v>21884</v>
      </c>
      <c r="C21886" s="10" t="inlineStr">
        <is>
          <t>Kỹ thuật viên sản xuất</t>
        </is>
      </c>
      <c r="D21886" s="10" t="inlineStr">
        <is>
          <t>BỆNH VIỆN ĐA KHOA QUỐC TẾ S.I.S CẦN THƠ-CN CÔNG TY TNHH ĐẦU TƯ Y TẾ VIỆT CƯỜNG</t>
        </is>
      </c>
      <c r="E21886" s="10" t="inlineStr">
        <is>
          <t>Lương:Cạnh tranh</t>
        </is>
      </c>
      <c r="F21886" s="10" t="inlineStr">
        <is>
          <t>Hồ Chí Minh</t>
        </is>
      </c>
      <c r="G21886" s="10" t="inlineStr">
        <is>
          <t>13-04-2026</t>
        </is>
      </c>
      <c r="H21886" s="10" t="inlineStr">
        <is>
          <t>13/04/2026</t>
        </is>
      </c>
      <c r="I21886" s="10" t="inlineStr">
        <is>
          <t>17/03/2026</t>
        </is>
      </c>
      <c r="J21886" s="10" t="inlineStr">
        <is>
          <t>Y tế / Chăm sóc sức khỏe / Thẩm mỹ / Làm đẹp, Công nghệ sinh học, Cơ khí / Ô tô / Tự động hóa</t>
        </is>
      </c>
      <c r="K21886" s="10" t="inlineStr">
        <is>
          <t>N/A</t>
        </is>
      </c>
      <c r="L21886" s="11">
        <f>HYPERLINK("https://careerviet.vn/vi/tim-viec-lam/ky-thuat-vien-san-xuat.35C6C638.html","Xem chi tiết")</f>
        <v/>
      </c>
      <c r="M21886" s="10" t="n"/>
    </row>
    <row r="21887">
      <c r="B21887" s="7" t="n">
        <v>21885</v>
      </c>
      <c r="C21887" t="inlineStr">
        <is>
          <t>Thực tập sinh kiểm tra chất lượng (QC)</t>
        </is>
      </c>
      <c r="D21887" t="inlineStr">
        <is>
          <t>ONE GROUP</t>
        </is>
      </c>
      <c r="E21887" t="inlineStr">
        <is>
          <t>Lương:3 Tr - 4 Tr VND</t>
        </is>
      </c>
      <c r="F21887" t="inlineStr">
        <is>
          <t>Hồ Chí Minh</t>
        </is>
      </c>
      <c r="G21887" t="inlineStr">
        <is>
          <t>11-04-2026</t>
        </is>
      </c>
      <c r="H21887" t="inlineStr">
        <is>
          <t>11/04/2026</t>
        </is>
      </c>
      <c r="I21887" t="inlineStr">
        <is>
          <t>17/03/2026</t>
        </is>
      </c>
      <c r="J21887" t="inlineStr">
        <is>
          <t>Bán hàng / Kinh doanh, Thương mại điện tử, Dược phẩm/ Hóa Mỹ Phẩm</t>
        </is>
      </c>
      <c r="K21887" t="inlineStr">
        <is>
          <t>N/A</t>
        </is>
      </c>
      <c r="L21887" s="8">
        <f>HYPERLINK("https://careerviet.vn/vi/tim-viec-lam/thuc-tap-sinh-kiem-tra-chat-luong-qc.35C6C771.html","Xem chi tiết")</f>
        <v/>
      </c>
    </row>
    <row r="21888">
      <c r="B21888" s="9" t="n">
        <v>21886</v>
      </c>
      <c r="C21888" s="10" t="inlineStr">
        <is>
          <t>Thực tập sinh Kế toán</t>
        </is>
      </c>
      <c r="D21888" s="10" t="inlineStr">
        <is>
          <t>CÔNG TY TNHH TOMAX HOLDING</t>
        </is>
      </c>
      <c r="E21888" s="10" t="inlineStr">
        <is>
          <t>Lương:2 Tr - 2 Tr VND</t>
        </is>
      </c>
      <c r="F21888" s="10" t="inlineStr">
        <is>
          <t>Hồ Chí Minh</t>
        </is>
      </c>
      <c r="G21888" s="10" t="inlineStr">
        <is>
          <t>11-04-2026</t>
        </is>
      </c>
      <c r="H21888" s="10" t="inlineStr">
        <is>
          <t>11/04/2026</t>
        </is>
      </c>
      <c r="I21888" s="10" t="inlineStr">
        <is>
          <t>17/03/2026</t>
        </is>
      </c>
      <c r="J21888" s="10" t="inlineStr">
        <is>
          <t>Kế toán / Kiểm toán</t>
        </is>
      </c>
      <c r="K21888" s="10" t="inlineStr">
        <is>
          <t>N/A</t>
        </is>
      </c>
      <c r="L21888" s="11">
        <f>HYPERLINK("https://careerviet.vn/vi/tim-viec-lam/thuc-tap-sinh-ke-toan.35C6C5F2.html","Xem chi tiết")</f>
        <v/>
      </c>
      <c r="M21888" s="10" t="n"/>
    </row>
    <row r="21889">
      <c r="B21889" s="7" t="n">
        <v>21887</v>
      </c>
      <c r="C21889" t="inlineStr">
        <is>
          <t>THỰC TẬP SINH CONTENT</t>
        </is>
      </c>
      <c r="D21889" t="inlineStr">
        <is>
          <t>HỘ KINH DOANH LSOUL</t>
        </is>
      </c>
      <c r="E21889" t="inlineStr">
        <is>
          <t>Lương:2 Tr - 4 Tr VND</t>
        </is>
      </c>
      <c r="F21889" t="inlineStr">
        <is>
          <t>Hồ Chí Minh</t>
        </is>
      </c>
      <c r="G21889" t="inlineStr">
        <is>
          <t>30-03-2026</t>
        </is>
      </c>
      <c r="H21889" t="inlineStr">
        <is>
          <t>30/03/2026</t>
        </is>
      </c>
      <c r="I21889" t="inlineStr">
        <is>
          <t>17/03/2026</t>
        </is>
      </c>
      <c r="J21889" t="inlineStr">
        <is>
          <t>Tiếp thị / Marketing</t>
        </is>
      </c>
      <c r="K21889" t="inlineStr">
        <is>
          <t>N/A</t>
        </is>
      </c>
      <c r="L21889" s="8">
        <f>HYPERLINK("https://careerviet.vn/vi/tim-viec-lam/thuc-tap-sinh-content.35C6C5E3.html","Xem chi tiết")</f>
        <v/>
      </c>
    </row>
    <row r="21890">
      <c r="B21890" s="9" t="n">
        <v>21888</v>
      </c>
      <c r="C21890" s="10" t="inlineStr">
        <is>
          <t>AI Video Intern</t>
        </is>
      </c>
      <c r="D21890" s="10" t="inlineStr">
        <is>
          <t>Công ty TNHH Sản xuất Thương mại &amp; Dịch vụ Hoa Xinh</t>
        </is>
      </c>
      <c r="E21890" s="10" t="inlineStr">
        <is>
          <t>Lương:4 Tr - 5 Tr VND</t>
        </is>
      </c>
      <c r="F21890" s="10" t="inlineStr">
        <is>
          <t>Hồ Chí Minh</t>
        </is>
      </c>
      <c r="G21890" s="10" t="inlineStr">
        <is>
          <t>12-04-2026</t>
        </is>
      </c>
      <c r="H21890" s="10" t="inlineStr">
        <is>
          <t>12/04/2026</t>
        </is>
      </c>
      <c r="I21890" s="10" t="inlineStr">
        <is>
          <t>17/03/2026</t>
        </is>
      </c>
      <c r="J21890" s="10" t="inlineStr">
        <is>
          <t>Tiếp thị / Marketing</t>
        </is>
      </c>
      <c r="K21890" s="10" t="inlineStr">
        <is>
          <t>N/A</t>
        </is>
      </c>
      <c r="L21890" s="11">
        <f>HYPERLINK("https://careerviet.vn/vi/tim-viec-lam/ai-video-intern.35C6C585.html","Xem chi tiết")</f>
        <v/>
      </c>
      <c r="M21890" s="10" t="n"/>
    </row>
    <row r="21891">
      <c r="B21891" s="7" t="n">
        <v>21889</v>
      </c>
      <c r="C21891" t="inlineStr">
        <is>
          <t>Nhân viên phát triển kinh doanh</t>
        </is>
      </c>
      <c r="D21891" t="inlineStr">
        <is>
          <t>CÔNG TY TNHH CÔNG NGHỆ MT LIFE</t>
        </is>
      </c>
      <c r="E21891" t="inlineStr">
        <is>
          <t>Lương:10 Tr - 12 Tr VND</t>
        </is>
      </c>
      <c r="F21891" t="inlineStr">
        <is>
          <t>Hồ Chí Minh</t>
        </is>
      </c>
      <c r="G21891" t="inlineStr">
        <is>
          <t>11-04-2026</t>
        </is>
      </c>
      <c r="H21891" t="inlineStr">
        <is>
          <t>11/04/2026</t>
        </is>
      </c>
      <c r="I21891" t="inlineStr">
        <is>
          <t>17/03/2026</t>
        </is>
      </c>
      <c r="J21891" t="inlineStr">
        <is>
          <t>Dịch vụ khách hàng, Thương mại điện tử, Bán hàng / Kinh doanh</t>
        </is>
      </c>
      <c r="K21891" t="inlineStr">
        <is>
          <t>N/A</t>
        </is>
      </c>
      <c r="L21891" s="8">
        <f>HYPERLINK("https://careerviet.vn/vi/tim-viec-lam/nhan-vien-phat-trien-kinh-doanh.35C6C521.html","Xem chi tiết")</f>
        <v/>
      </c>
    </row>
    <row r="21892">
      <c r="B21892" s="9" t="n">
        <v>21890</v>
      </c>
      <c r="C21892" s="10" t="inlineStr">
        <is>
          <t>THỰC TẬP SINH HÀNH CHÍNH – LỄ TÂN</t>
        </is>
      </c>
      <c r="D21892" s="10" t="inlineStr">
        <is>
          <t>BOSTON PHARMA - Công Ty CP Dược Phẩm Boston Việt Nam</t>
        </is>
      </c>
      <c r="E21892" s="10" t="inlineStr">
        <is>
          <t>Lương:Cạnh tranh</t>
        </is>
      </c>
      <c r="F21892" s="10" t="inlineStr">
        <is>
          <t>Bình Dương</t>
        </is>
      </c>
      <c r="G21892" s="10" t="inlineStr">
        <is>
          <t>13-04-2026</t>
        </is>
      </c>
      <c r="H21892" s="10" t="inlineStr">
        <is>
          <t>13/04/2026</t>
        </is>
      </c>
      <c r="I21892" s="10" t="inlineStr">
        <is>
          <t>17/03/2026</t>
        </is>
      </c>
      <c r="J21892" s="10" t="inlineStr">
        <is>
          <t>Hành chính / Thư ký, Nhân sự, Mới tốt nghiệp / Thực tập</t>
        </is>
      </c>
      <c r="K21892" s="10" t="inlineStr">
        <is>
          <t>N/A</t>
        </is>
      </c>
      <c r="L21892" s="11">
        <f>HYPERLINK("https://careerviet.vn/vi/tim-viec-lam/thuc-tap-sinh-hanh-chinh-le-tan.35C6C68F.html","Xem chi tiết")</f>
        <v/>
      </c>
      <c r="M21892" s="10" t="n"/>
    </row>
    <row r="21893">
      <c r="B21893" s="7" t="n">
        <v>21891</v>
      </c>
      <c r="C21893" t="inlineStr">
        <is>
          <t>Thực Tập Sinh Content Social</t>
        </is>
      </c>
      <c r="D21893" t="inlineStr">
        <is>
          <t>Công ty Cổ phần Dịch Vụ và Truyền Thông AMAI</t>
        </is>
      </c>
      <c r="E21893" t="inlineStr">
        <is>
          <t>Lương:Trên 2 Tr VND</t>
        </is>
      </c>
      <c r="F21893" t="inlineStr">
        <is>
          <t>Hà Nội</t>
        </is>
      </c>
      <c r="G21893" t="inlineStr">
        <is>
          <t>30-04-2026</t>
        </is>
      </c>
      <c r="H21893" t="inlineStr">
        <is>
          <t>30/04/2026</t>
        </is>
      </c>
      <c r="I21893" t="inlineStr">
        <is>
          <t>17/03/2026</t>
        </is>
      </c>
      <c r="J21893" t="inlineStr">
        <is>
          <t>Tiếp thị trực tuyến, Mới tốt nghiệp / Thực tập</t>
        </is>
      </c>
      <c r="K21893" t="inlineStr">
        <is>
          <t>N/A</t>
        </is>
      </c>
      <c r="L21893" s="8">
        <f>HYPERLINK("https://careerviet.vn/vi/tim-viec-lam/thuc-tap-sinh-content-social.35C6C084.html","Xem chi tiết")</f>
        <v/>
      </c>
    </row>
    <row r="21894">
      <c r="B21894" s="9" t="n">
        <v>21892</v>
      </c>
      <c r="C21894" s="10" t="inlineStr">
        <is>
          <t>Thực tập sinh Tuyển dụng Fulltime</t>
        </is>
      </c>
      <c r="D21894" s="10" t="inlineStr">
        <is>
          <t>Tập Đoàn Karofi Holding</t>
        </is>
      </c>
      <c r="E21894" s="10" t="inlineStr">
        <is>
          <t>Lương:3 Tr - 5 Tr VND</t>
        </is>
      </c>
      <c r="F21894" s="10" t="inlineStr">
        <is>
          <t>Hà Nội</t>
        </is>
      </c>
      <c r="G21894" s="10" t="inlineStr">
        <is>
          <t>30-03-2026</t>
        </is>
      </c>
      <c r="H21894" s="10" t="inlineStr">
        <is>
          <t>30/03/2026</t>
        </is>
      </c>
      <c r="I21894" s="10" t="inlineStr">
        <is>
          <t>17/03/2026</t>
        </is>
      </c>
      <c r="J21894" s="10" t="inlineStr">
        <is>
          <t>Nhân sự</t>
        </is>
      </c>
      <c r="K21894" s="10" t="inlineStr">
        <is>
          <t>N/A</t>
        </is>
      </c>
      <c r="L21894" s="11">
        <f>HYPERLINK("https://careerviet.vn/vi/tim-viec-lam/thuc-tap-sinh-tuyen-dung-fulltime.35C6C4EC.html","Xem chi tiết")</f>
        <v/>
      </c>
      <c r="M21894" s="10" t="n"/>
    </row>
    <row r="21895">
      <c r="B21895" s="7" t="n">
        <v>21893</v>
      </c>
      <c r="C21895" t="inlineStr">
        <is>
          <t>Kỹ sư vẽ shopdrawing</t>
        </is>
      </c>
      <c r="D21895" t="inlineStr">
        <is>
          <t>CÔNG TY CỔ PHẨN ỨNG DỤNG VÀ CHUYỂN GIAO CÔNG NGHỆ XÂY DỰNG (CJSC)</t>
        </is>
      </c>
      <c r="E21895" t="inlineStr">
        <is>
          <t>Lương:14 Tr - 20 Tr VND</t>
        </is>
      </c>
      <c r="F21895" t="inlineStr">
        <is>
          <t>Hà Nội</t>
        </is>
      </c>
      <c r="G21895" t="inlineStr">
        <is>
          <t>11-04-2026</t>
        </is>
      </c>
      <c r="H21895" t="inlineStr">
        <is>
          <t>11/04/2026</t>
        </is>
      </c>
      <c r="I21895" t="inlineStr">
        <is>
          <t>17/03/2026</t>
        </is>
      </c>
      <c r="J21895" t="inlineStr">
        <is>
          <t>Xây dựng</t>
        </is>
      </c>
      <c r="K21895" t="inlineStr">
        <is>
          <t>N/A</t>
        </is>
      </c>
      <c r="L21895" s="8">
        <f>HYPERLINK("https://careerviet.vn/vi/tim-viec-lam/ky-su-ve-shopdrawing.35C6C42C.html","Xem chi tiết")</f>
        <v/>
      </c>
    </row>
    <row r="21896">
      <c r="B21896" s="9" t="n">
        <v>21894</v>
      </c>
      <c r="C21896" s="10" t="inlineStr">
        <is>
          <t>Nhân viên cửa hàng trà sữa</t>
        </is>
      </c>
      <c r="D21896" s="10" t="inlineStr">
        <is>
          <t>Công ty CP TMDV Taco Việt Nam - ToCoToCo Bubble Tea</t>
        </is>
      </c>
      <c r="E21896" s="10" t="inlineStr">
        <is>
          <t>Lương:Cạnh tranh</t>
        </is>
      </c>
      <c r="F21896" s="10" t="inlineStr">
        <is>
          <t>Hồ Chí Minh</t>
        </is>
      </c>
      <c r="G21896" s="10" t="inlineStr">
        <is>
          <t>12-04-2026</t>
        </is>
      </c>
      <c r="H21896" s="10" t="inlineStr">
        <is>
          <t>12/04/2026</t>
        </is>
      </c>
      <c r="I21896" s="10" t="inlineStr">
        <is>
          <t>17/03/2026</t>
        </is>
      </c>
      <c r="J21896" s="10" t="inlineStr">
        <is>
          <t>Dịch vụ khách hàng, Thực phẩm &amp; Đồ uống, Mới tốt nghiệp / Thực tập</t>
        </is>
      </c>
      <c r="K21896" s="10" t="inlineStr">
        <is>
          <t>N/A</t>
        </is>
      </c>
      <c r="L21896" s="11">
        <f>HYPERLINK("https://careerviet.vn/vi/tim-viec-lam/nhan-vien-cua-hang-tra-sua.35C6C45C.html","Xem chi tiết")</f>
        <v/>
      </c>
      <c r="M21896" s="10" t="n"/>
    </row>
    <row r="21897">
      <c r="B21897" s="7" t="n">
        <v>21895</v>
      </c>
      <c r="C21897" t="inlineStr">
        <is>
          <t>Nhân viên thu mua</t>
        </is>
      </c>
      <c r="D21897" t="inlineStr">
        <is>
          <t>Công Ty TNHH TM SX Me Non</t>
        </is>
      </c>
      <c r="E21897" t="inlineStr">
        <is>
          <t>Lương:Trên 12 Tr VND</t>
        </is>
      </c>
      <c r="F21897" t="inlineStr">
        <is>
          <t>Hồ Chí Minh</t>
        </is>
      </c>
      <c r="G21897" t="inlineStr">
        <is>
          <t>11-04-2026</t>
        </is>
      </c>
      <c r="H21897" t="inlineStr">
        <is>
          <t>11/04/2026</t>
        </is>
      </c>
      <c r="I21897" t="inlineStr">
        <is>
          <t>17/03/2026</t>
        </is>
      </c>
      <c r="J21897" t="inlineStr">
        <is>
          <t>Thu mua / Vật tư, Thống kê, Sản xuất / Vận hành sản xuất</t>
        </is>
      </c>
      <c r="K21897" t="inlineStr">
        <is>
          <t>N/A</t>
        </is>
      </c>
      <c r="L21897" s="8">
        <f>HYPERLINK("https://careerviet.vn/vi/tim-viec-lam/nhan-vien-thu-mua.35C6C1F7.html","Xem chi tiết")</f>
        <v/>
      </c>
    </row>
    <row r="21898">
      <c r="B21898" s="9" t="n">
        <v>21896</v>
      </c>
      <c r="C21898" s="10" t="inlineStr">
        <is>
          <t>Marketing Intern (Full-time)</t>
        </is>
      </c>
      <c r="D21898" s="10" t="inlineStr">
        <is>
          <t>Công ty TNHH TM&amp;DV Phân Phối Ánh Dương</t>
        </is>
      </c>
      <c r="E21898" s="10" t="inlineStr">
        <is>
          <t>Lương:Cạnh tranh</t>
        </is>
      </c>
      <c r="F21898" s="10" t="inlineStr">
        <is>
          <t>Hà Nội</t>
        </is>
      </c>
      <c r="G21898" s="10" t="inlineStr">
        <is>
          <t>30-04-2026</t>
        </is>
      </c>
      <c r="H21898" s="10" t="inlineStr">
        <is>
          <t>30/04/2026</t>
        </is>
      </c>
      <c r="I21898" s="10" t="inlineStr">
        <is>
          <t>17/03/2026</t>
        </is>
      </c>
      <c r="J21898" s="10" t="inlineStr">
        <is>
          <t>Tiếp thị / Marketing, Bán hàng / Kinh doanh, Dịch vụ khách hàng</t>
        </is>
      </c>
      <c r="K21898" s="10" t="inlineStr">
        <is>
          <t>N/A</t>
        </is>
      </c>
      <c r="L21898" s="11">
        <f>HYPERLINK("https://careerviet.vn/vi/tim-viec-lam/marketing-intern-full-time.35C6C3AF.html","Xem chi tiết")</f>
        <v/>
      </c>
      <c r="M21898" s="10" t="n"/>
    </row>
    <row r="21899">
      <c r="B21899" s="7" t="n">
        <v>21897</v>
      </c>
      <c r="C21899" t="inlineStr">
        <is>
          <t>Thực tập sinh C&amp;B</t>
        </is>
      </c>
      <c r="D21899" t="inlineStr">
        <is>
          <t>ONE GROUP</t>
        </is>
      </c>
      <c r="E21899" t="inlineStr">
        <is>
          <t>Lương:2 Tr - 4 Tr VND</t>
        </is>
      </c>
      <c r="F21899" t="inlineStr">
        <is>
          <t>Hồ Chí Minh</t>
        </is>
      </c>
      <c r="G21899" t="inlineStr">
        <is>
          <t>10-04-2026</t>
        </is>
      </c>
      <c r="H21899" t="inlineStr">
        <is>
          <t>10/04/2026</t>
        </is>
      </c>
      <c r="I21899" t="inlineStr">
        <is>
          <t>17/03/2026</t>
        </is>
      </c>
      <c r="J21899" t="inlineStr">
        <is>
          <t>Bán lẻ / Bán sỉ, Nhân sự, Bảo hiểm</t>
        </is>
      </c>
      <c r="K21899" t="inlineStr">
        <is>
          <t>N/A</t>
        </is>
      </c>
      <c r="L21899" s="8">
        <f>HYPERLINK("https://careerviet.vn/vi/tim-viec-lam/thuc-tap-sinh-c-b.35C6C3EB.html","Xem chi tiết")</f>
        <v/>
      </c>
    </row>
    <row r="21900">
      <c r="B21900" s="9" t="n">
        <v>21898</v>
      </c>
      <c r="C21900" s="10" t="inlineStr">
        <is>
          <t>THỰC TẬP SINH TUYỂN DỤNG</t>
        </is>
      </c>
      <c r="D21900" s="10" t="inlineStr">
        <is>
          <t>BOSTON PHARMA - Công Ty CP Dược Phẩm Boston Việt Nam</t>
        </is>
      </c>
      <c r="E21900" s="10" t="inlineStr">
        <is>
          <t>Lương:Cạnh tranh</t>
        </is>
      </c>
      <c r="F21900" s="10" t="inlineStr">
        <is>
          <t>Hồ Chí Minh</t>
        </is>
      </c>
      <c r="G21900" s="10" t="inlineStr">
        <is>
          <t>12-04-2026</t>
        </is>
      </c>
      <c r="H21900" s="10" t="inlineStr">
        <is>
          <t>12/04/2026</t>
        </is>
      </c>
      <c r="I21900" s="10" t="inlineStr">
        <is>
          <t>17/03/2026</t>
        </is>
      </c>
      <c r="J21900" s="10" t="inlineStr">
        <is>
          <t>Nhân sự, Tiếp thị / Marketing, Mới tốt nghiệp / Thực tập</t>
        </is>
      </c>
      <c r="K21900" s="10" t="inlineStr">
        <is>
          <t>N/A</t>
        </is>
      </c>
      <c r="L21900" s="11">
        <f>HYPERLINK("https://careerviet.vn/vi/tim-viec-lam/thu-c-ta-p-sinh-tuye-n-du-ng.35C6C418.html","Xem chi tiết")</f>
        <v/>
      </c>
      <c r="M21900" s="10" t="n"/>
    </row>
    <row r="21901">
      <c r="B21901" s="7" t="n">
        <v>21899</v>
      </c>
      <c r="C21901" t="inlineStr">
        <is>
          <t>Thực tập sinh kế toán</t>
        </is>
      </c>
      <c r="D21901" t="inlineStr">
        <is>
          <t>CÔNG TY CỔ PHẦN TƯ VẤN GLOBAL CARE</t>
        </is>
      </c>
      <c r="E21901" t="inlineStr">
        <is>
          <t>Lương:2 Tr - 2 Tr VND</t>
        </is>
      </c>
      <c r="F21901" t="inlineStr">
        <is>
          <t>Hồ Chí Minh</t>
        </is>
      </c>
      <c r="G21901" t="inlineStr">
        <is>
          <t>12-04-2026</t>
        </is>
      </c>
      <c r="H21901" t="inlineStr">
        <is>
          <t>12/04/2026</t>
        </is>
      </c>
      <c r="I21901" t="inlineStr">
        <is>
          <t>17/03/2026</t>
        </is>
      </c>
      <c r="J21901" t="inlineStr">
        <is>
          <t>Kế toán / Kiểm toán</t>
        </is>
      </c>
      <c r="K21901" t="inlineStr">
        <is>
          <t>N/A</t>
        </is>
      </c>
      <c r="L21901" s="8">
        <f>HYPERLINK("https://careerviet.vn/vi/tim-viec-lam/thuc-tap-sinh-ke-toan.35C6C3FB.html","Xem chi tiết")</f>
        <v/>
      </c>
    </row>
    <row r="21902">
      <c r="B21902" s="9" t="n">
        <v>21900</v>
      </c>
      <c r="C21902" s="10" t="inlineStr">
        <is>
          <t>Thực Tập Sinh Digital Marketing</t>
        </is>
      </c>
      <c r="D21902" s="10" t="inlineStr">
        <is>
          <t>Công ty TNHH Lửa Á Châu</t>
        </is>
      </c>
      <c r="E21902" s="10" t="inlineStr">
        <is>
          <t>Lương:1 Tr - 2 Tr VND</t>
        </is>
      </c>
      <c r="F21902" s="10" t="inlineStr">
        <is>
          <t>Hồ Chí Minh</t>
        </is>
      </c>
      <c r="G21902" s="10" t="inlineStr">
        <is>
          <t>01-05-2026</t>
        </is>
      </c>
      <c r="H21902" s="10" t="inlineStr">
        <is>
          <t>01/05/2026</t>
        </is>
      </c>
      <c r="I21902" s="10" t="inlineStr">
        <is>
          <t>17/03/2026</t>
        </is>
      </c>
      <c r="J21902" s="10" t="inlineStr">
        <is>
          <t>Tiếp thị / Marketing</t>
        </is>
      </c>
      <c r="K21902" s="10" t="inlineStr">
        <is>
          <t>N/A</t>
        </is>
      </c>
      <c r="L21902" s="11">
        <f>HYPERLINK("https://careerviet.vn/vi/tim-viec-lam/thuc-tap-sinh-digital-marketing.35C6C3BF.html","Xem chi tiết")</f>
        <v/>
      </c>
      <c r="M21902" s="10" t="n"/>
    </row>
    <row r="21903">
      <c r="B21903" s="7" t="n">
        <v>21901</v>
      </c>
      <c r="C21903" t="inlineStr">
        <is>
          <t>NHÂN VIÊN VẬN HÀNH TMĐT SHOPEE</t>
        </is>
      </c>
      <c r="D21903" t="inlineStr">
        <is>
          <t>CTy Cổ Phần Sakos</t>
        </is>
      </c>
      <c r="E21903" t="inlineStr">
        <is>
          <t>Lương:8 Tr - 15 Tr VND</t>
        </is>
      </c>
      <c r="F21903" t="inlineStr">
        <is>
          <t>Hồ Chí Minh</t>
        </is>
      </c>
      <c r="G21903" t="inlineStr">
        <is>
          <t>30-04-2026</t>
        </is>
      </c>
      <c r="H21903" t="inlineStr">
        <is>
          <t>30/04/2026</t>
        </is>
      </c>
      <c r="I21903" t="inlineStr">
        <is>
          <t>17/03/2026</t>
        </is>
      </c>
      <c r="J21903" t="inlineStr">
        <is>
          <t>Bán lẻ / Bán sỉ, Bán hàng / Kinh doanh, Tiếp thị / Marketing</t>
        </is>
      </c>
      <c r="K21903" t="inlineStr">
        <is>
          <t>N/A</t>
        </is>
      </c>
      <c r="L21903" s="8">
        <f>HYPERLINK("https://careerviet.vn/vi/tim-viec-lam/nhan-vien-van-hanh-tmdt-shopee.35C6C293.html","Xem chi tiết")</f>
        <v/>
      </c>
    </row>
    <row r="21904">
      <c r="B21904" s="9" t="n">
        <v>21902</v>
      </c>
      <c r="C21904" s="10" t="inlineStr">
        <is>
          <t>Recruitment Intern</t>
        </is>
      </c>
      <c r="D21904" s="10" t="inlineStr">
        <is>
          <t>CÔNG TY TNHH SMART SP VIET NAM</t>
        </is>
      </c>
      <c r="E21904" s="10" t="inlineStr">
        <is>
          <t>Lương:Cạnh tranh</t>
        </is>
      </c>
      <c r="F21904" s="10" t="inlineStr">
        <is>
          <t>Hồ Chí Minh</t>
        </is>
      </c>
      <c r="G21904" s="10" t="inlineStr">
        <is>
          <t>31-03-2026</t>
        </is>
      </c>
      <c r="H21904" s="10" t="inlineStr">
        <is>
          <t>31/03/2026</t>
        </is>
      </c>
      <c r="I21904" s="10" t="inlineStr">
        <is>
          <t>17/03/2026</t>
        </is>
      </c>
      <c r="J21904" s="10" t="inlineStr">
        <is>
          <t>Dịch vụ khách hàng</t>
        </is>
      </c>
      <c r="K21904" s="10" t="inlineStr">
        <is>
          <t>N/A</t>
        </is>
      </c>
      <c r="L21904" s="11">
        <f>HYPERLINK("https://careerviet.vn/vi/tim-viec-lam/recruitment-intern.35C6C4A3.html","Xem chi tiết")</f>
        <v/>
      </c>
      <c r="M21904" s="10" t="n"/>
    </row>
    <row r="21905">
      <c r="B21905" s="7" t="n">
        <v>21903</v>
      </c>
      <c r="C21905" t="inlineStr">
        <is>
          <t>GIÁM SÁT XÂY DỰNG (KHÔNG YÊU CẦU KINH NGHIỆM)</t>
        </is>
      </c>
      <c r="D21905" t="inlineStr">
        <is>
          <t>CÔNG TY TNHH TM XD CHỐNG THẤM  HOÀNG CHƯƠNG</t>
        </is>
      </c>
      <c r="E21905" t="inlineStr">
        <is>
          <t>Lương:10 Tr - 12 Tr VND</t>
        </is>
      </c>
      <c r="F21905" t="inlineStr">
        <is>
          <t>Đà Nẵng</t>
        </is>
      </c>
      <c r="G21905" t="inlineStr">
        <is>
          <t>30-04-2026</t>
        </is>
      </c>
      <c r="H21905" t="inlineStr">
        <is>
          <t>30/04/2026</t>
        </is>
      </c>
      <c r="I21905" t="inlineStr">
        <is>
          <t>17/03/2026</t>
        </is>
      </c>
      <c r="J21905" t="inlineStr">
        <is>
          <t>Xây dựng</t>
        </is>
      </c>
      <c r="K21905" t="inlineStr">
        <is>
          <t>N/A</t>
        </is>
      </c>
      <c r="L21905" s="8">
        <f>HYPERLINK("https://careerviet.vn/vi/tim-viec-lam/giam-sat-xay-dung-khong-yeu-cau-kinh-nghiem.35C6C27C.html","Xem chi tiết")</f>
        <v/>
      </c>
    </row>
    <row r="21906">
      <c r="B21906" s="9" t="n">
        <v>21904</v>
      </c>
      <c r="C21906" s="10" t="inlineStr">
        <is>
          <t>Thực tập sinh Phòng Thí Nghiệm Hóa Học</t>
        </is>
      </c>
      <c r="D21906" s="10" t="inlineStr">
        <is>
          <t>TÜV SÜD Vietnam</t>
        </is>
      </c>
      <c r="E21906" s="10" t="inlineStr">
        <is>
          <t>Lương:Trên 2 Tr VND</t>
        </is>
      </c>
      <c r="F21906" s="10" t="inlineStr">
        <is>
          <t>Hồ Chí Minh</t>
        </is>
      </c>
      <c r="G21906" s="10" t="inlineStr">
        <is>
          <t>15-04-2026</t>
        </is>
      </c>
      <c r="H21906" s="10" t="inlineStr">
        <is>
          <t>15/04/2026</t>
        </is>
      </c>
      <c r="I21906" s="10" t="inlineStr">
        <is>
          <t>17/03/2026</t>
        </is>
      </c>
      <c r="J21906" s="10" t="inlineStr">
        <is>
          <t>Công nghệ thực phẩm / Dinh dưỡng, Hóa học, Mới tốt nghiệp / Thực tập</t>
        </is>
      </c>
      <c r="K21906" s="10" t="inlineStr">
        <is>
          <t>N/A</t>
        </is>
      </c>
      <c r="L21906" s="11">
        <f>HYPERLINK("https://careerviet.vn/vi/tim-viec-lam/thuc-tap-sinh-phong-thi-nghiem-hoa-hoc.35C66D06.html","Xem chi tiết")</f>
        <v/>
      </c>
      <c r="M21906" s="10" t="n"/>
    </row>
    <row r="21907">
      <c r="B21907" s="7" t="n">
        <v>21905</v>
      </c>
      <c r="C21907" t="inlineStr">
        <is>
          <t>Thực tập sinh tuyển dụng</t>
        </is>
      </c>
      <c r="D21907" t="inlineStr">
        <is>
          <t>CÔNG TY CỔ PHẦN ULTD THỊNH PHÁT</t>
        </is>
      </c>
      <c r="E21907" t="inlineStr">
        <is>
          <t>Lương:4 Tr - 5 Tr VND</t>
        </is>
      </c>
      <c r="F21907" t="inlineStr">
        <is>
          <t>Hà Nội</t>
        </is>
      </c>
      <c r="G21907" t="inlineStr">
        <is>
          <t>13-04-2026</t>
        </is>
      </c>
      <c r="H21907" t="inlineStr">
        <is>
          <t>13/04/2026</t>
        </is>
      </c>
      <c r="I21907" t="inlineStr">
        <is>
          <t>17/03/2026</t>
        </is>
      </c>
      <c r="J21907" t="inlineStr">
        <is>
          <t>Nhân sự, Bán lẻ / Bán sỉ, Luật / Pháp lý</t>
        </is>
      </c>
      <c r="K21907" t="inlineStr">
        <is>
          <t>N/A</t>
        </is>
      </c>
      <c r="L21907" s="8">
        <f>HYPERLINK("https://careerviet.vn/vi/tim-viec-lam/thuc-tap-sinh-tuyen-dung.35C6C3AD.html","Xem chi tiết")</f>
        <v/>
      </c>
    </row>
    <row r="21908">
      <c r="B21908" s="9" t="n">
        <v>21906</v>
      </c>
      <c r="C21908" s="10" t="inlineStr">
        <is>
          <t>Thực tập sinh Quản lý Dự án Bảo hiểm (có lương)</t>
        </is>
      </c>
      <c r="D21908" s="10" t="inlineStr">
        <is>
          <t>CÔNG TY CỔ PHẦN KINH DOANH F88</t>
        </is>
      </c>
      <c r="E21908" s="10" t="inlineStr">
        <is>
          <t>Lương:Cạnh tranh</t>
        </is>
      </c>
      <c r="F21908" s="10" t="inlineStr">
        <is>
          <t>Hà Nội</t>
        </is>
      </c>
      <c r="G21908" s="10" t="inlineStr">
        <is>
          <t>15-04-2026</t>
        </is>
      </c>
      <c r="H21908" s="10" t="inlineStr">
        <is>
          <t>15/04/2026</t>
        </is>
      </c>
      <c r="I21908" s="10" t="inlineStr">
        <is>
          <t>17/03/2026</t>
        </is>
      </c>
      <c r="J21908" s="10" t="inlineStr">
        <is>
          <t>Bảo hiểm, Tài chính / Đầu tư, Mới tốt nghiệp / Thực tập</t>
        </is>
      </c>
      <c r="K21908" s="10" t="inlineStr">
        <is>
          <t>N/A</t>
        </is>
      </c>
      <c r="L21908" s="11">
        <f>HYPERLINK("https://careerviet.vn/vi/tim-viec-lam/thuc-tap-sinh-quan-ly-du-an-bao-hiem-co-luong.35C6C36C.html","Xem chi tiết")</f>
        <v/>
      </c>
      <c r="M21908" s="10" t="n"/>
    </row>
    <row r="21909">
      <c r="B21909" s="7" t="n">
        <v>21907</v>
      </c>
      <c r="C21909" t="inlineStr">
        <is>
          <t>Thực tập sinh Hành chính nhân sự</t>
        </is>
      </c>
      <c r="D21909" t="inlineStr">
        <is>
          <t>CÔNG TY CP BẤT ĐỘNG SẢN BẦU TRỜI MIỀN NAM</t>
        </is>
      </c>
      <c r="E21909" t="inlineStr">
        <is>
          <t>Lương:Cạnh tranh</t>
        </is>
      </c>
      <c r="F21909" t="inlineStr">
        <is>
          <t>Hồ Chí Minh</t>
        </is>
      </c>
      <c r="G21909" t="inlineStr">
        <is>
          <t>31-03-2026</t>
        </is>
      </c>
      <c r="H21909" t="inlineStr">
        <is>
          <t>31/03/2026</t>
        </is>
      </c>
      <c r="I21909" t="inlineStr">
        <is>
          <t>17/03/2026</t>
        </is>
      </c>
      <c r="J21909" t="inlineStr">
        <is>
          <t>Nhân sự</t>
        </is>
      </c>
      <c r="K21909" t="inlineStr">
        <is>
          <t>N/A</t>
        </is>
      </c>
      <c r="L21909" s="8">
        <f>HYPERLINK("https://careerviet.vn/vi/tim-viec-lam/thuc-tap-sinh-hanh-chinh-nhan-su.35C6C241.html","Xem chi tiết")</f>
        <v/>
      </c>
    </row>
    <row r="21910">
      <c r="B21910" s="9" t="n">
        <v>21908</v>
      </c>
      <c r="C21910" s="10" t="inlineStr">
        <is>
          <t>Kỹ sư thiết kế</t>
        </is>
      </c>
      <c r="D21910" s="10" t="inlineStr">
        <is>
          <t>CÔNG TY TNHH ĐẦU TƯ VTCO</t>
        </is>
      </c>
      <c r="E21910" s="10" t="inlineStr">
        <is>
          <t>Lương:Cạnh tranh</t>
        </is>
      </c>
      <c r="F21910" s="10" t="inlineStr">
        <is>
          <t>Hồ Chí MinhHà Nội</t>
        </is>
      </c>
      <c r="G21910" s="10" t="inlineStr">
        <is>
          <t>31-05-2026</t>
        </is>
      </c>
      <c r="H21910" s="10" t="inlineStr">
        <is>
          <t>31/05/2026</t>
        </is>
      </c>
      <c r="I21910" s="10" t="inlineStr">
        <is>
          <t>17/03/2026</t>
        </is>
      </c>
      <c r="J21910" s="10" t="inlineStr">
        <is>
          <t>Xây dựng, Bất động sản</t>
        </is>
      </c>
      <c r="K21910" s="10" t="inlineStr">
        <is>
          <t>N/A</t>
        </is>
      </c>
      <c r="L21910" s="11">
        <f>HYPERLINK("https://careerviet.vn/vi/tim-viec-lam/ky-su-thiet-ke.35C6C0E4.html","Xem chi tiết")</f>
        <v/>
      </c>
      <c r="M21910" s="10" t="n"/>
    </row>
    <row r="21911">
      <c r="B21911" s="7" t="n">
        <v>21909</v>
      </c>
      <c r="C21911" t="inlineStr">
        <is>
          <t>Thực tập sinh Kinh Doanh Phần Mềm IT</t>
        </is>
      </c>
      <c r="D21911" t="inlineStr">
        <is>
          <t>Công ty TNHH Aegona</t>
        </is>
      </c>
      <c r="E21911" t="inlineStr">
        <is>
          <t>Lương:Cạnh tranh</t>
        </is>
      </c>
      <c r="F21911" t="inlineStr">
        <is>
          <t>Hồ Chí Minh</t>
        </is>
      </c>
      <c r="G21911" t="inlineStr">
        <is>
          <t>31-03-2026</t>
        </is>
      </c>
      <c r="H21911" t="inlineStr">
        <is>
          <t>31/03/2026</t>
        </is>
      </c>
      <c r="I21911" t="inlineStr">
        <is>
          <t>17/03/2026</t>
        </is>
      </c>
      <c r="J21911" t="inlineStr">
        <is>
          <t>CNTT - Phần mềm</t>
        </is>
      </c>
      <c r="K21911" t="inlineStr">
        <is>
          <t>N/A</t>
        </is>
      </c>
      <c r="L21911" s="8">
        <f>HYPERLINK("https://careerviet.vn/vi/tim-viec-lam/thuc-tap-sinh-kinh-doanh-phan-mem-it.35C6BFED.html","Xem chi tiết")</f>
        <v/>
      </c>
    </row>
    <row r="21912">
      <c r="B21912" s="9" t="n">
        <v>21910</v>
      </c>
      <c r="C21912" s="10" t="inlineStr">
        <is>
          <t>Thực Tập Sinh Tuyển Dụng</t>
        </is>
      </c>
      <c r="D21912" s="10" t="inlineStr">
        <is>
          <t>Viet Thai International</t>
        </is>
      </c>
      <c r="E21912" s="10" t="inlineStr">
        <is>
          <t>Lương:1 Tr - 3 Tr VND</t>
        </is>
      </c>
      <c r="F21912" s="10" t="inlineStr">
        <is>
          <t>Hồ Chí Minh</t>
        </is>
      </c>
      <c r="G21912" s="10" t="inlineStr">
        <is>
          <t>30-04-2026</t>
        </is>
      </c>
      <c r="H21912" s="10" t="inlineStr">
        <is>
          <t>30/04/2026</t>
        </is>
      </c>
      <c r="I21912" s="10" t="inlineStr">
        <is>
          <t>17/03/2026</t>
        </is>
      </c>
      <c r="J21912" s="10" t="inlineStr">
        <is>
          <t>Hành chính / Thư ký, Nhân sự, Mới tốt nghiệp / Thực tập</t>
        </is>
      </c>
      <c r="K21912" s="10" t="inlineStr">
        <is>
          <t>N/A</t>
        </is>
      </c>
      <c r="L21912" s="11">
        <f>HYPERLINK("https://careerviet.vn/vi/tim-viec-lam/thuc-tap-sinh-tuyen-dung.35C6C260.html","Xem chi tiết")</f>
        <v/>
      </c>
      <c r="M21912" s="10" t="n"/>
    </row>
    <row r="21913">
      <c r="B21913" s="7" t="n">
        <v>21911</v>
      </c>
      <c r="C21913" t="inlineStr">
        <is>
          <t>Thực tập sinh C&amp;B</t>
        </is>
      </c>
      <c r="D21913" t="inlineStr">
        <is>
          <t>Công ty TNHH MTV Sen Vàng Việt Nam</t>
        </is>
      </c>
      <c r="E21913" t="inlineStr">
        <is>
          <t>Lương:1 Tr - 3 Tr VND</t>
        </is>
      </c>
      <c r="F21913" t="inlineStr">
        <is>
          <t>Hồ Chí Minh</t>
        </is>
      </c>
      <c r="G21913" t="inlineStr">
        <is>
          <t>11-04-2026</t>
        </is>
      </c>
      <c r="H21913" t="inlineStr">
        <is>
          <t>11/04/2026</t>
        </is>
      </c>
      <c r="I21913" t="inlineStr">
        <is>
          <t>17/03/2026</t>
        </is>
      </c>
      <c r="J21913" t="inlineStr">
        <is>
          <t>Sản xuất / Vận hành sản xuất</t>
        </is>
      </c>
      <c r="K21913" t="inlineStr">
        <is>
          <t>N/A</t>
        </is>
      </c>
      <c r="L21913" s="8">
        <f>HYPERLINK("https://careerviet.vn/vi/tim-viec-lam/thuc-tap-sinh-c-b.35C6C49E.html","Xem chi tiết")</f>
        <v/>
      </c>
    </row>
    <row r="21914">
      <c r="B21914" s="9" t="n">
        <v>21912</v>
      </c>
      <c r="C21914" s="10" t="inlineStr">
        <is>
          <t>Nhân viên vận hành phụ trợ (Khánh Hòa)</t>
        </is>
      </c>
      <c r="D21914" s="10" t="inlineStr">
        <is>
          <t>CareerViet's client</t>
        </is>
      </c>
      <c r="E21914" s="10" t="inlineStr">
        <is>
          <t>Lương:Cạnh tranh</t>
        </is>
      </c>
      <c r="F21914" s="10" t="inlineStr">
        <is>
          <t>Khánh Hòa</t>
        </is>
      </c>
      <c r="G21914" s="10" t="inlineStr">
        <is>
          <t>30-05-2026</t>
        </is>
      </c>
      <c r="H21914" s="10" t="inlineStr">
        <is>
          <t>30/05/2026</t>
        </is>
      </c>
      <c r="I21914" s="10" t="inlineStr">
        <is>
          <t>17/03/2026</t>
        </is>
      </c>
      <c r="J21914" s="10" t="inlineStr">
        <is>
          <t>Cơ khí / Ô tô / Tự động hóa, Điện / Điện tử / Điện lạnh / Điện công nghiệp, Thực phẩm &amp; Đồ uống</t>
        </is>
      </c>
      <c r="K21914" s="10" t="inlineStr">
        <is>
          <t>N/A</t>
        </is>
      </c>
      <c r="L21914" s="11">
        <f>HYPERLINK("https://careerviet.vn/vi/tim-viec-lam/nhan-vien-van-hanh-phu-tro-khanh-hoa.35C6C0E8.html","Xem chi tiết")</f>
        <v/>
      </c>
      <c r="M21914" s="10" t="n"/>
    </row>
    <row r="21915">
      <c r="B21915" s="7" t="n">
        <v>21913</v>
      </c>
      <c r="C21915" t="inlineStr">
        <is>
          <t>Marketing Assistant Intern</t>
        </is>
      </c>
      <c r="D21915" t="inlineStr">
        <is>
          <t>Vascara Group</t>
        </is>
      </c>
      <c r="E21915" t="inlineStr">
        <is>
          <t>Lương:Cạnh tranh</t>
        </is>
      </c>
      <c r="F21915" t="inlineStr">
        <is>
          <t>Hồ Chí Minh</t>
        </is>
      </c>
      <c r="G21915" t="inlineStr">
        <is>
          <t>12-04-2026</t>
        </is>
      </c>
      <c r="H21915" t="inlineStr">
        <is>
          <t>12/04/2026</t>
        </is>
      </c>
      <c r="I21915" t="inlineStr">
        <is>
          <t>17/03/2026</t>
        </is>
      </c>
      <c r="J21915" t="inlineStr">
        <is>
          <t>Tiếp thị / Marketing, Mới tốt nghiệp / Thực tập</t>
        </is>
      </c>
      <c r="K21915" t="inlineStr">
        <is>
          <t>N/A</t>
        </is>
      </c>
      <c r="L21915" s="8">
        <f>HYPERLINK("https://careerviet.vn/vi/tim-viec-lam/marketing-assistant-intern.35C6C284.html","Xem chi tiết")</f>
        <v/>
      </c>
    </row>
    <row r="21916">
      <c r="B21916" s="9" t="n">
        <v>21914</v>
      </c>
      <c r="C21916" s="10" t="inlineStr">
        <is>
          <t>Internship</t>
        </is>
      </c>
      <c r="D21916" s="10" t="inlineStr">
        <is>
          <t>CÔNG TY TNHH TIẾP VẬN LA BÀN - COMPASS LOGISTICS</t>
        </is>
      </c>
      <c r="E21916" s="10" t="inlineStr">
        <is>
          <t>Lương:Cạnh tranh</t>
        </is>
      </c>
      <c r="F21916" s="10" t="inlineStr">
        <is>
          <t>Hồ Chí Minh</t>
        </is>
      </c>
      <c r="G21916" s="10" t="inlineStr">
        <is>
          <t>30-04-2026</t>
        </is>
      </c>
      <c r="H21916" s="10" t="inlineStr">
        <is>
          <t>30/04/2026</t>
        </is>
      </c>
      <c r="I21916" s="10" t="inlineStr">
        <is>
          <t>17/03/2026</t>
        </is>
      </c>
      <c r="J21916" s="10" t="inlineStr">
        <is>
          <t>Xuất nhập khẩu, Vận chuyển / Giao nhận / Kho vận</t>
        </is>
      </c>
      <c r="K21916" s="10" t="inlineStr">
        <is>
          <t>N/A</t>
        </is>
      </c>
      <c r="L21916" s="11">
        <f>HYPERLINK("https://careerviet.vn/vi/tim-viec-lam/internship.35C6C068.html","Xem chi tiết")</f>
        <v/>
      </c>
      <c r="M21916" s="10" t="n"/>
    </row>
    <row r="21917">
      <c r="B21917" s="7" t="n">
        <v>21915</v>
      </c>
      <c r="C21917" t="inlineStr">
        <is>
          <t>Nhân viên kinh doanh</t>
        </is>
      </c>
      <c r="D21917" t="inlineStr">
        <is>
          <t>CÔNG TY CỔ PHẦN CHAN FOOD</t>
        </is>
      </c>
      <c r="E21917" t="inlineStr">
        <is>
          <t>Lương:5 Tr - 15 Tr VND</t>
        </is>
      </c>
      <c r="F21917" t="inlineStr">
        <is>
          <t>Hồ Chí Minh</t>
        </is>
      </c>
      <c r="G21917" t="inlineStr">
        <is>
          <t>31-03-2026</t>
        </is>
      </c>
      <c r="H21917" t="inlineStr">
        <is>
          <t>31/03/2026</t>
        </is>
      </c>
      <c r="I21917" t="inlineStr">
        <is>
          <t>17/03/2026</t>
        </is>
      </c>
      <c r="J21917" t="inlineStr">
        <is>
          <t>Bán hàng / Kinh doanh</t>
        </is>
      </c>
      <c r="K21917" t="inlineStr">
        <is>
          <t>N/A</t>
        </is>
      </c>
      <c r="L21917" s="8">
        <f>HYPERLINK("https://careerviet.vn/vi/tim-viec-lam/nhan-vien-kinh-doanh.35C6C1E0.html","Xem chi tiết")</f>
        <v/>
      </c>
    </row>
    <row r="21918">
      <c r="B21918" s="9" t="n">
        <v>21916</v>
      </c>
      <c r="C21918" s="10" t="inlineStr">
        <is>
          <t>Thực tập sinh Thiết kế hệ thống nước - Revit/ Plumbing Engineer Intern - Revit</t>
        </is>
      </c>
      <c r="D21918" s="10" t="inlineStr">
        <is>
          <t>Công Ty TNHH Boydens Vietnam part of Sweco</t>
        </is>
      </c>
      <c r="E21918" s="10" t="inlineStr">
        <is>
          <t>Lương:5 Tr - 8 Tr VND</t>
        </is>
      </c>
      <c r="F21918" s="10" t="inlineStr">
        <is>
          <t>Hà Nội</t>
        </is>
      </c>
      <c r="G21918" s="10" t="inlineStr">
        <is>
          <t>31-05-2026</t>
        </is>
      </c>
      <c r="H21918" s="10" t="inlineStr">
        <is>
          <t>31/05/2026</t>
        </is>
      </c>
      <c r="I21918" s="10" t="inlineStr">
        <is>
          <t>17/03/2026</t>
        </is>
      </c>
      <c r="J21918" s="10" t="inlineStr">
        <is>
          <t>Mới tốt nghiệp / Thực tập, Môi trường, Xây dựng</t>
        </is>
      </c>
      <c r="K21918" s="10" t="inlineStr">
        <is>
          <t>thực tế, chỉ cần thái độ và tiềm năng</t>
        </is>
      </c>
      <c r="L21918" s="11">
        <f>HYPERLINK("https://careerviet.vn/vi/tim-viec-lam/thuc-tap-sinh-thiet-ke-he-thong-nuoc-revit-plumbing-engineer-intern-revit.35C6C02A.html","Xem chi tiết")</f>
        <v/>
      </c>
      <c r="M21918" s="10" t="n"/>
    </row>
    <row r="21919">
      <c r="B21919" s="7" t="n">
        <v>21917</v>
      </c>
      <c r="C21919" t="inlineStr">
        <is>
          <t>Thực tập sinh</t>
        </is>
      </c>
      <c r="D21919" t="inlineStr">
        <is>
          <t>D1 Concepts Corporation</t>
        </is>
      </c>
      <c r="E21919" t="inlineStr">
        <is>
          <t>Lương:6,5 Tr - 7,5 Tr VND</t>
        </is>
      </c>
      <c r="F21919" t="inlineStr">
        <is>
          <t>Hồ Chí Minh</t>
        </is>
      </c>
      <c r="G21919" t="inlineStr">
        <is>
          <t>30-04-2026</t>
        </is>
      </c>
      <c r="H21919" t="inlineStr">
        <is>
          <t>30/04/2026</t>
        </is>
      </c>
      <c r="I21919" t="inlineStr">
        <is>
          <t>17/03/2026</t>
        </is>
      </c>
      <c r="J21919" t="inlineStr">
        <is>
          <t>Nhà hàng / Khách sạn</t>
        </is>
      </c>
      <c r="K21919" t="inlineStr">
        <is>
          <t>N/A</t>
        </is>
      </c>
      <c r="L21919" s="8">
        <f>HYPERLINK("https://careerviet.vn/vi/tim-viec-lam/thuc-tap-sinh.35C6C1CE.html","Xem chi tiết")</f>
        <v/>
      </c>
    </row>
    <row r="21920">
      <c r="B21920" s="9" t="n">
        <v>21918</v>
      </c>
      <c r="C21920" s="10" t="inlineStr">
        <is>
          <t>TTS Kế Toán</t>
        </is>
      </c>
      <c r="D21920" s="10" t="inlineStr">
        <is>
          <t>Công Ty TNHH Vương Quang An</t>
        </is>
      </c>
      <c r="E21920" s="10" t="inlineStr">
        <is>
          <t>Lương:1 Tr - 3 Tr VND</t>
        </is>
      </c>
      <c r="F21920" s="10" t="inlineStr">
        <is>
          <t>Hồ Chí Minh</t>
        </is>
      </c>
      <c r="G21920" s="10" t="inlineStr">
        <is>
          <t>30-04-2026</t>
        </is>
      </c>
      <c r="H21920" s="10" t="inlineStr">
        <is>
          <t>30/04/2026</t>
        </is>
      </c>
      <c r="I21920" s="10" t="inlineStr">
        <is>
          <t>17/03/2026</t>
        </is>
      </c>
      <c r="J21920" s="10" t="inlineStr">
        <is>
          <t>Kế toán / Kiểm toán</t>
        </is>
      </c>
      <c r="K21920" s="10" t="inlineStr">
        <is>
          <t>N/A</t>
        </is>
      </c>
      <c r="L21920" s="11">
        <f>HYPERLINK("https://careerviet.vn/vi/tim-viec-lam/tts-ke-toan.35C560C9.html","Xem chi tiết")</f>
        <v/>
      </c>
      <c r="M21920" s="10" t="n"/>
    </row>
    <row r="21921">
      <c r="B21921" s="7" t="n">
        <v>21919</v>
      </c>
      <c r="C21921" t="inlineStr">
        <is>
          <t>TTS Tuyển Dụng Khối Kỹ Thuật -</t>
        </is>
      </c>
      <c r="D21921" t="inlineStr">
        <is>
          <t>Tập Đoàn Karofi Holding</t>
        </is>
      </c>
      <c r="E21921" t="inlineStr">
        <is>
          <t>Lương:3 Tr - 3,5 Tr VND</t>
        </is>
      </c>
      <c r="F21921" t="inlineStr">
        <is>
          <t>Hà Nội</t>
        </is>
      </c>
      <c r="G21921" t="inlineStr">
        <is>
          <t>14-04-2026</t>
        </is>
      </c>
      <c r="H21921" t="inlineStr">
        <is>
          <t>14/04/2026</t>
        </is>
      </c>
      <c r="I21921" t="inlineStr">
        <is>
          <t>17/03/2026</t>
        </is>
      </c>
      <c r="J21921" t="inlineStr">
        <is>
          <t>Nhân sự</t>
        </is>
      </c>
      <c r="K21921" t="inlineStr">
        <is>
          <t>N/A</t>
        </is>
      </c>
      <c r="L21921" s="8">
        <f>HYPERLINK("https://careerviet.vn/vi/tim-viec-lam/tts-tuyen-dung-khoi-ky-thuat.35C6BF86.html","Xem chi tiết")</f>
        <v/>
      </c>
    </row>
    <row r="21922">
      <c r="B21922" s="9" t="n">
        <v>21920</v>
      </c>
      <c r="C21922" s="10" t="inlineStr">
        <is>
          <t>Thực Tập Sinh Kế Toán</t>
        </is>
      </c>
      <c r="D21922" s="10" t="inlineStr">
        <is>
          <t>JoyMall - Nhà Phân Phối Locknlock</t>
        </is>
      </c>
      <c r="E21922" s="10" t="inlineStr">
        <is>
          <t>Lương:2 Tr - 5 Tr VND</t>
        </is>
      </c>
      <c r="F21922" s="10" t="inlineStr">
        <is>
          <t>Hồ Chí Minh</t>
        </is>
      </c>
      <c r="G21922" s="10" t="inlineStr">
        <is>
          <t>31-03-2026</t>
        </is>
      </c>
      <c r="H21922" s="10" t="inlineStr">
        <is>
          <t>31/03/2026</t>
        </is>
      </c>
      <c r="I21922" s="10" t="inlineStr">
        <is>
          <t>17/03/2026</t>
        </is>
      </c>
      <c r="J21922" s="10" t="inlineStr">
        <is>
          <t>Hành chính / Thư ký, Kế toán / Kiểm toán, Mới tốt nghiệp / Thực tập</t>
        </is>
      </c>
      <c r="K21922" s="10" t="inlineStr">
        <is>
          <t>N/A</t>
        </is>
      </c>
      <c r="L21922" s="11">
        <f>HYPERLINK("https://careerviet.vn/vi/tim-viec-lam/thuc-tap-sinh-ke-toan.35C6BF81.html","Xem chi tiết")</f>
        <v/>
      </c>
      <c r="M21922" s="10" t="n"/>
    </row>
    <row r="21923">
      <c r="B21923" s="7" t="n">
        <v>21921</v>
      </c>
      <c r="C21923" t="inlineStr">
        <is>
          <t>Nhân viên quản lý chất lượng</t>
        </is>
      </c>
      <c r="D21923" t="inlineStr">
        <is>
          <t>CÔNG TY TNHH I &amp; J HCM</t>
        </is>
      </c>
      <c r="E21923" t="inlineStr">
        <is>
          <t>Lương:7 Tr - 10 Tr VND</t>
        </is>
      </c>
      <c r="F21923" t="inlineStr">
        <is>
          <t>Đồng Nai</t>
        </is>
      </c>
      <c r="G21923" t="inlineStr">
        <is>
          <t>31-03-2026</t>
        </is>
      </c>
      <c r="H21923" t="inlineStr">
        <is>
          <t>31/03/2026</t>
        </is>
      </c>
      <c r="I21923" t="inlineStr">
        <is>
          <t>17/03/2026</t>
        </is>
      </c>
      <c r="J21923" t="inlineStr">
        <is>
          <t>Quản lý chất lượng (QA/QC)</t>
        </is>
      </c>
      <c r="K21923" t="inlineStr">
        <is>
          <t>N/A</t>
        </is>
      </c>
      <c r="L21923" s="8">
        <f>HYPERLINK("https://careerviet.vn/vi/tim-viec-lam/nhan-vien-quan-ly-chat-luong.35C6BFEC.html","Xem chi tiết")</f>
        <v/>
      </c>
    </row>
    <row r="21924">
      <c r="B21924" s="9" t="n">
        <v>21922</v>
      </c>
      <c r="C21924" s="10" t="inlineStr">
        <is>
          <t>Nhân Viên Kinh Doanh Dự Án</t>
        </is>
      </c>
      <c r="D21924" s="10" t="inlineStr">
        <is>
          <t>CÔNG TY TNHH THƯƠNG MẠI QUỐC TẾ INNOMAT</t>
        </is>
      </c>
      <c r="E21924" s="10" t="inlineStr">
        <is>
          <t>Lương:14 Tr - 30 Tr VND</t>
        </is>
      </c>
      <c r="F21924" s="10" t="inlineStr">
        <is>
          <t>Hồ Chí Minh</t>
        </is>
      </c>
      <c r="G21924" s="10" t="inlineStr">
        <is>
          <t>11-04-2026</t>
        </is>
      </c>
      <c r="H21924" s="10" t="inlineStr">
        <is>
          <t>11/04/2026</t>
        </is>
      </c>
      <c r="I21924" s="10" t="inlineStr">
        <is>
          <t>17/03/2026</t>
        </is>
      </c>
      <c r="J21924" s="10" t="inlineStr">
        <is>
          <t>Nội ngoại thất, Bán Hàng Kỹ Thuật, Bán lẻ / Bán sỉ</t>
        </is>
      </c>
      <c r="K21924" s="10" t="inlineStr">
        <is>
          <t>N/A</t>
        </is>
      </c>
      <c r="L21924" s="11">
        <f>HYPERLINK("https://careerviet.vn/vi/tim-viec-lam/nhan-vien-kinh-doanh-du-an.35C6BF60.html","Xem chi tiết")</f>
        <v/>
      </c>
      <c r="M21924" s="10" t="n"/>
    </row>
    <row r="21925">
      <c r="B21925" s="7" t="n">
        <v>21923</v>
      </c>
      <c r="C21925" t="inlineStr">
        <is>
          <t>Sales Admin Intern</t>
        </is>
      </c>
      <c r="D21925" t="inlineStr">
        <is>
          <t>Daikin Air Conditioning (Vietnam) Joint Stock Company</t>
        </is>
      </c>
      <c r="E21925" t="inlineStr">
        <is>
          <t>Lương:Cạnh tranh</t>
        </is>
      </c>
      <c r="F21925" t="inlineStr">
        <is>
          <t>Hồ Chí Minh</t>
        </is>
      </c>
      <c r="G21925" t="inlineStr">
        <is>
          <t>30-03-2026</t>
        </is>
      </c>
      <c r="H21925" t="inlineStr">
        <is>
          <t>30/03/2026</t>
        </is>
      </c>
      <c r="I21925" t="inlineStr">
        <is>
          <t>17/03/2026</t>
        </is>
      </c>
      <c r="J21925" t="inlineStr">
        <is>
          <t>Dịch vụ khách hàng, Bán hàng / Kinh doanh, Mới tốt nghiệp / Thực tập</t>
        </is>
      </c>
      <c r="K21925" t="inlineStr">
        <is>
          <t>N/A</t>
        </is>
      </c>
      <c r="L21925" s="8">
        <f>HYPERLINK("https://careerviet.vn/vi/tim-viec-lam/sales-admin-intern.35C6BF4C.html","Xem chi tiết")</f>
        <v/>
      </c>
    </row>
    <row r="21926">
      <c r="B21926" s="9" t="n">
        <v>21924</v>
      </c>
      <c r="C21926" s="10" t="inlineStr">
        <is>
          <t>Nhân viên vận hành máy EDM</t>
        </is>
      </c>
      <c r="D21926" s="10" t="inlineStr">
        <is>
          <t>Công Ty Cổ Phần Sản Xuất Nhựa Duy Tân</t>
        </is>
      </c>
      <c r="E21926" s="10" t="inlineStr">
        <is>
          <t>Lương:Cạnh tranh</t>
        </is>
      </c>
      <c r="F21926" s="10" t="inlineStr">
        <is>
          <t>Hồ Chí Minh</t>
        </is>
      </c>
      <c r="G21926" s="10" t="inlineStr">
        <is>
          <t>17-04-2026</t>
        </is>
      </c>
      <c r="H21926" s="10" t="inlineStr">
        <is>
          <t>17/04/2026</t>
        </is>
      </c>
      <c r="I21926" s="10" t="inlineStr">
        <is>
          <t>17/03/2026</t>
        </is>
      </c>
      <c r="J21926" s="10" t="inlineStr">
        <is>
          <t>Cơ khí / Ô tô / Tự động hóa</t>
        </is>
      </c>
      <c r="K21926" s="10" t="inlineStr">
        <is>
          <t>N/A</t>
        </is>
      </c>
      <c r="L21926" s="11">
        <f>HYPERLINK("https://careerviet.vn/vi/tim-viec-lam/nhan-vien-van-hanh-may-edm.35C6BF97.html","Xem chi tiết")</f>
        <v/>
      </c>
      <c r="M21926" s="10" t="n"/>
    </row>
    <row r="21927">
      <c r="B21927" s="7" t="n">
        <v>21925</v>
      </c>
      <c r="C21927" t="inlineStr">
        <is>
          <t>Quản Lý Chất Lượng (QA) - Part time</t>
        </is>
      </c>
      <c r="D21927" t="inlineStr">
        <is>
          <t>Koei Tecmo Software Vietnam</t>
        </is>
      </c>
      <c r="E21927" t="inlineStr">
        <is>
          <t>Lương:Cạnh tranh</t>
        </is>
      </c>
      <c r="F21927" t="inlineStr">
        <is>
          <t>Hà Nội</t>
        </is>
      </c>
      <c r="G21927" t="inlineStr">
        <is>
          <t>10-04-2026</t>
        </is>
      </c>
      <c r="H21927" t="inlineStr">
        <is>
          <t>10/04/2026</t>
        </is>
      </c>
      <c r="I21927" t="inlineStr">
        <is>
          <t>17/03/2026</t>
        </is>
      </c>
      <c r="J21927" t="inlineStr">
        <is>
          <t>Biên phiên dịch, Quản lý chất lượng (QA/QC), Mới tốt nghiệp / Thực tập</t>
        </is>
      </c>
      <c r="K21927" t="inlineStr">
        <is>
          <t>N/A</t>
        </is>
      </c>
      <c r="L21927" s="8">
        <f>HYPERLINK("https://careerviet.vn/vi/tim-viec-lam/quan-ly-chat-luong-qa-part-time.35C6BF49.html","Xem chi tiết")</f>
        <v/>
      </c>
    </row>
    <row r="21928">
      <c r="B21928" s="9" t="n">
        <v>21926</v>
      </c>
      <c r="C21928" s="10" t="inlineStr">
        <is>
          <t>Thực tập sinh kế toán</t>
        </is>
      </c>
      <c r="D21928" s="10" t="inlineStr">
        <is>
          <t>SCT LOGISTICS JSC</t>
        </is>
      </c>
      <c r="E21928" s="10" t="inlineStr">
        <is>
          <t>Lương:Cạnh tranh</t>
        </is>
      </c>
      <c r="F21928" s="10" t="inlineStr">
        <is>
          <t>Hồ Chí Minh</t>
        </is>
      </c>
      <c r="G21928" s="10" t="inlineStr">
        <is>
          <t>31-03-2026</t>
        </is>
      </c>
      <c r="H21928" s="10" t="inlineStr">
        <is>
          <t>31/03/2026</t>
        </is>
      </c>
      <c r="I21928" s="10" t="inlineStr">
        <is>
          <t>17/03/2026</t>
        </is>
      </c>
      <c r="J21928" s="10" t="inlineStr">
        <is>
          <t>Kế toán / Kiểm toán, Mới tốt nghiệp / Thực tập</t>
        </is>
      </c>
      <c r="K21928" s="10" t="inlineStr">
        <is>
          <t>N/A</t>
        </is>
      </c>
      <c r="L21928" s="11">
        <f>HYPERLINK("https://careerviet.vn/vi/tim-viec-lam/thuc-tap-sinh-ke-toan.35C6BF14.html","Xem chi tiết")</f>
        <v/>
      </c>
      <c r="M21928" s="10" t="n"/>
    </row>
    <row r="21929">
      <c r="B21929" s="7" t="n">
        <v>21927</v>
      </c>
      <c r="C21929" t="inlineStr">
        <is>
          <t>Thực Tập Sinh Kế Toán</t>
        </is>
      </c>
      <c r="D21929" t="inlineStr">
        <is>
          <t>CÔNG TY CỔ PHẦN VẮC XIN VÀ SINH PHẨM NAM HƯNG VIỆT</t>
        </is>
      </c>
      <c r="E21929" t="inlineStr">
        <is>
          <t>Lương:Cạnh tranh</t>
        </is>
      </c>
      <c r="F21929" t="inlineStr">
        <is>
          <t>Hồ Chí Minh</t>
        </is>
      </c>
      <c r="G21929" t="inlineStr">
        <is>
          <t>31-03-2026</t>
        </is>
      </c>
      <c r="H21929" t="inlineStr">
        <is>
          <t>31/03/2026</t>
        </is>
      </c>
      <c r="I21929" t="inlineStr">
        <is>
          <t>17/03/2026</t>
        </is>
      </c>
      <c r="J21929" t="inlineStr">
        <is>
          <t>Kế toán / Kiểm toán</t>
        </is>
      </c>
      <c r="K21929" t="inlineStr">
        <is>
          <t>N/A</t>
        </is>
      </c>
      <c r="L21929" s="8">
        <f>HYPERLINK("https://careerviet.vn/vi/tim-viec-lam/thuc-tap-sinh-ke-toan.35C6BECE.html","Xem chi tiết")</f>
        <v/>
      </c>
    </row>
    <row r="21930">
      <c r="B21930" s="9" t="n">
        <v>21928</v>
      </c>
      <c r="C21930" s="10" t="inlineStr">
        <is>
          <t>Thực tập sinh Hỗ trợ kỹ thuật</t>
        </is>
      </c>
      <c r="D21930" s="10" t="inlineStr">
        <is>
          <t>Daikin Air Conditioning (Vietnam) Joint Stock Company</t>
        </is>
      </c>
      <c r="E21930" s="10" t="inlineStr">
        <is>
          <t>Lương:Cạnh tranh</t>
        </is>
      </c>
      <c r="F21930" s="10" t="inlineStr">
        <is>
          <t>Hồ Chí Minh</t>
        </is>
      </c>
      <c r="G21930" s="10" t="inlineStr">
        <is>
          <t>30-03-2026</t>
        </is>
      </c>
      <c r="H21930" s="10" t="inlineStr">
        <is>
          <t>30/03/2026</t>
        </is>
      </c>
      <c r="I21930" s="10" t="inlineStr">
        <is>
          <t>17/03/2026</t>
        </is>
      </c>
      <c r="J21930" s="10" t="inlineStr">
        <is>
          <t>Điện / Điện tử / Điện lạnh / Điện công nghiệp, Bảo trì / Sửa chữa</t>
        </is>
      </c>
      <c r="K21930" s="10" t="inlineStr">
        <is>
          <t>N/A</t>
        </is>
      </c>
      <c r="L21930" s="11">
        <f>HYPERLINK("https://careerviet.vn/vi/tim-viec-lam/thuc-tap-sinh-ho-tro-ky-thuat.35C6BF2F.html","Xem chi tiết")</f>
        <v/>
      </c>
      <c r="M21930" s="10" t="n"/>
    </row>
    <row r="21931">
      <c r="B21931" s="7" t="n">
        <v>21929</v>
      </c>
      <c r="C21931" t="inlineStr">
        <is>
          <t>Thực Tập Sinh Kế Toán</t>
        </is>
      </c>
      <c r="D21931" t="inlineStr">
        <is>
          <t>CT CP Tập Đoàn Thái Tuấn</t>
        </is>
      </c>
      <c r="E21931" t="inlineStr">
        <is>
          <t>Lương:500.000 - 1 Tr VND</t>
        </is>
      </c>
      <c r="F21931" t="inlineStr">
        <is>
          <t>Hồ Chí Minh</t>
        </is>
      </c>
      <c r="G21931" t="inlineStr">
        <is>
          <t>10-04-2026</t>
        </is>
      </c>
      <c r="H21931" t="inlineStr">
        <is>
          <t>10/04/2026</t>
        </is>
      </c>
      <c r="I21931" t="inlineStr">
        <is>
          <t>17/03/2026</t>
        </is>
      </c>
      <c r="J21931" t="inlineStr">
        <is>
          <t>Kế toán / Kiểm toán</t>
        </is>
      </c>
      <c r="K21931" t="inlineStr">
        <is>
          <t>N/A</t>
        </is>
      </c>
      <c r="L21931" s="8">
        <f>HYPERLINK("https://careerviet.vn/vi/tim-viec-lam/thuc-tap-sinh-ke-toan.35C6BE84.html","Xem chi tiết")</f>
        <v/>
      </c>
    </row>
    <row r="21932">
      <c r="B21932" s="9" t="n">
        <v>21930</v>
      </c>
      <c r="C21932" s="10" t="inlineStr">
        <is>
          <t>Thực Tập Sinh Logistics</t>
        </is>
      </c>
      <c r="D21932" s="10" t="inlineStr">
        <is>
          <t>Tập Đoàn Kim Tín</t>
        </is>
      </c>
      <c r="E21932" s="10" t="inlineStr">
        <is>
          <t>Lương:3 Tr - 4 Tr VND</t>
        </is>
      </c>
      <c r="F21932" s="10" t="inlineStr">
        <is>
          <t>Hồ Chí Minh</t>
        </is>
      </c>
      <c r="G21932" s="10" t="inlineStr">
        <is>
          <t>10-04-2026</t>
        </is>
      </c>
      <c r="H21932" s="10" t="inlineStr">
        <is>
          <t>10/04/2026</t>
        </is>
      </c>
      <c r="I21932" s="10" t="inlineStr">
        <is>
          <t>17/03/2026</t>
        </is>
      </c>
      <c r="J21932" s="10" t="inlineStr">
        <is>
          <t>Xuất nhập khẩu</t>
        </is>
      </c>
      <c r="K21932" s="10" t="inlineStr">
        <is>
          <t>N/A</t>
        </is>
      </c>
      <c r="L21932" s="11">
        <f>HYPERLINK("https://careerviet.vn/vi/tim-viec-lam/thuc-tap-sinh-logistics.35C6BE74.html","Xem chi tiết")</f>
        <v/>
      </c>
      <c r="M21932" s="10" t="n"/>
    </row>
    <row r="21933">
      <c r="B21933" s="7" t="n">
        <v>21931</v>
      </c>
      <c r="C21933" t="inlineStr">
        <is>
          <t>Thực tập sinh Hành chánh - Nhân sự</t>
        </is>
      </c>
      <c r="D21933" t="inlineStr">
        <is>
          <t>Công Ty TNHH Hoàng Lam</t>
        </is>
      </c>
      <c r="E21933" t="inlineStr">
        <is>
          <t>Lương:1 Tr - 2 Tr VND</t>
        </is>
      </c>
      <c r="F21933" t="inlineStr">
        <is>
          <t>Hồ Chí Minh</t>
        </is>
      </c>
      <c r="G21933" t="inlineStr">
        <is>
          <t>31-03-2026</t>
        </is>
      </c>
      <c r="H21933" t="inlineStr">
        <is>
          <t>31/03/2026</t>
        </is>
      </c>
      <c r="I21933" t="inlineStr">
        <is>
          <t>17/03/2026</t>
        </is>
      </c>
      <c r="J21933" t="inlineStr">
        <is>
          <t>Nhân sự, Hành chính / Thư ký</t>
        </is>
      </c>
      <c r="K21933" t="inlineStr">
        <is>
          <t>N/A</t>
        </is>
      </c>
      <c r="L21933" s="8">
        <f>HYPERLINK("https://careerviet.vn/vi/tim-viec-lam/thuc-tap-sinh-hanh-chanh-nhan-su.35C6BEB2.html","Xem chi tiết")</f>
        <v/>
      </c>
    </row>
    <row r="21934">
      <c r="B21934" s="9" t="n">
        <v>21932</v>
      </c>
      <c r="C21934" s="10" t="inlineStr">
        <is>
          <t>THỰC TẬP SINH KINH DOANH FULLTIME (HỖ TRỢ MỘC LÀM BÁO CÁO)</t>
        </is>
      </c>
      <c r="D21934" s="10" t="inlineStr">
        <is>
          <t>CHI NHÁNH CÔNG TY CỔ PHẦN NHANH.VN TẠI HỒ CHÍ MINH</t>
        </is>
      </c>
      <c r="E21934" s="10" t="inlineStr">
        <is>
          <t>Lương:6 Tr - 10 Tr VND</t>
        </is>
      </c>
      <c r="F21934" s="10" t="inlineStr">
        <is>
          <t>Hồ Chí Minh</t>
        </is>
      </c>
      <c r="G21934" s="10" t="inlineStr">
        <is>
          <t>10-04-2026</t>
        </is>
      </c>
      <c r="H21934" s="10" t="inlineStr">
        <is>
          <t>10/04/2026</t>
        </is>
      </c>
      <c r="I21934" s="10" t="inlineStr">
        <is>
          <t>17/03/2026</t>
        </is>
      </c>
      <c r="J21934" s="10" t="inlineStr">
        <is>
          <t>Bán hàng / Kinh doanh</t>
        </is>
      </c>
      <c r="K21934" s="10" t="inlineStr">
        <is>
          <t>N/A</t>
        </is>
      </c>
      <c r="L21934" s="11">
        <f>HYPERLINK("https://careerviet.vn/vi/tim-viec-lam/thuc-tap-sinh-kinh-doanh-fulltime-ho-tro-moc-lam-bao-cao.35C6BEA7.html","Xem chi tiết")</f>
        <v/>
      </c>
      <c r="M21934" s="10" t="n"/>
    </row>
    <row r="21935">
      <c r="B21935" s="7" t="n">
        <v>21933</v>
      </c>
      <c r="C21935" t="inlineStr">
        <is>
          <t>Thực tập sinh Kinh doanh (Sales Admin Intern)</t>
        </is>
      </c>
      <c r="D21935" t="inlineStr">
        <is>
          <t>KDI EDUCATION</t>
        </is>
      </c>
      <c r="E21935" t="inlineStr">
        <is>
          <t>Lương:1 Tr - 3 Tr VND</t>
        </is>
      </c>
      <c r="F21935" t="inlineStr">
        <is>
          <t>Hồ Chí Minh</t>
        </is>
      </c>
      <c r="G21935" t="inlineStr">
        <is>
          <t>10-04-2026</t>
        </is>
      </c>
      <c r="H21935" t="inlineStr">
        <is>
          <t>10/04/2026</t>
        </is>
      </c>
      <c r="I21935" t="inlineStr">
        <is>
          <t>17/03/2026</t>
        </is>
      </c>
      <c r="J21935" t="inlineStr">
        <is>
          <t>Bán hàng / Kinh doanh, Giáo dục / Đào tạo</t>
        </is>
      </c>
      <c r="K21935" t="inlineStr">
        <is>
          <t>N/A</t>
        </is>
      </c>
      <c r="L21935" s="8">
        <f>HYPERLINK("https://careerviet.vn/vi/tim-viec-lam/thuc-tap-sinh-kinh-doanh-sales-admin-intern.35C6BED7.html","Xem chi tiết")</f>
        <v/>
      </c>
    </row>
    <row r="21936">
      <c r="B21936" s="9" t="n">
        <v>21934</v>
      </c>
      <c r="C21936" s="10" t="inlineStr">
        <is>
          <t>Thực tập sinh kiểm soát chất lượng (QC)</t>
        </is>
      </c>
      <c r="D21936" s="10" t="inlineStr">
        <is>
          <t>Công ty TNHH Joyco Retail Operations</t>
        </is>
      </c>
      <c r="E21936" s="10" t="inlineStr">
        <is>
          <t>Lương:Trên 2,3 Tr VND</t>
        </is>
      </c>
      <c r="F21936" s="10" t="inlineStr">
        <is>
          <t>Hồ Chí Minh</t>
        </is>
      </c>
      <c r="G21936" s="10" t="inlineStr">
        <is>
          <t>09-04-2026</t>
        </is>
      </c>
      <c r="H21936" s="10" t="inlineStr">
        <is>
          <t>09/04/2026</t>
        </is>
      </c>
      <c r="I21936" s="10" t="inlineStr">
        <is>
          <t>17/03/2026</t>
        </is>
      </c>
      <c r="J21936" s="10" t="inlineStr">
        <is>
          <t>Bán lẻ / Bán sỉ, Bán hàng / Kinh doanh, Quản lý chất lượng (QA/QC)</t>
        </is>
      </c>
      <c r="K21936" s="10" t="inlineStr">
        <is>
          <t>N/A</t>
        </is>
      </c>
      <c r="L21936" s="11">
        <f>HYPERLINK("https://careerviet.vn/vi/tim-viec-lam/thuc-tap-sinh-kiem-soat-chat-luong-qc.35C6BDB1.html","Xem chi tiết")</f>
        <v/>
      </c>
      <c r="M21936" s="10" t="n"/>
    </row>
    <row r="21937">
      <c r="B21937" s="7" t="n">
        <v>21935</v>
      </c>
      <c r="C21937" t="inlineStr">
        <is>
          <t>Nhân Viên Học Việc Tuyển Dụng</t>
        </is>
      </c>
      <c r="D21937" t="inlineStr">
        <is>
          <t>CÔNG TY CỔ PHẦN EUROWINDOW HOLDING</t>
        </is>
      </c>
      <c r="E21937" t="inlineStr">
        <is>
          <t>Lương:Cạnh tranh</t>
        </is>
      </c>
      <c r="F21937" t="inlineStr">
        <is>
          <t>Hà Nội</t>
        </is>
      </c>
      <c r="G21937" t="inlineStr">
        <is>
          <t>10-04-2026</t>
        </is>
      </c>
      <c r="H21937" t="inlineStr">
        <is>
          <t>10/04/2026</t>
        </is>
      </c>
      <c r="I21937" t="inlineStr">
        <is>
          <t>17/03/2026</t>
        </is>
      </c>
      <c r="J21937" t="inlineStr">
        <is>
          <t>Hành chính / Thư ký, Nhân sự</t>
        </is>
      </c>
      <c r="K21937" t="inlineStr">
        <is>
          <t>N/A</t>
        </is>
      </c>
      <c r="L21937" s="8">
        <f>HYPERLINK("https://careerviet.vn/vi/tim-viec-lam/nhan-vien-hoc-viec-tuyen-dung.35C6BD4B.html","Xem chi tiết")</f>
        <v/>
      </c>
    </row>
    <row r="21938">
      <c r="B21938" s="9" t="n">
        <v>21936</v>
      </c>
      <c r="C21938" s="10" t="inlineStr">
        <is>
          <t>Thực tập sinh nhân sự</t>
        </is>
      </c>
      <c r="D21938" s="10" t="inlineStr">
        <is>
          <t>Công Ty Cổ Phần Giải Pháp Chuỗi Cung Ứng Smartlog</t>
        </is>
      </c>
      <c r="E21938" s="10" t="inlineStr">
        <is>
          <t>Lương:3 Tr - 3,5 Tr VND</t>
        </is>
      </c>
      <c r="F21938" s="10" t="inlineStr">
        <is>
          <t>Hồ Chí Minh</t>
        </is>
      </c>
      <c r="G21938" s="10" t="inlineStr">
        <is>
          <t>28-03-2026</t>
        </is>
      </c>
      <c r="H21938" s="10" t="inlineStr">
        <is>
          <t>28/03/2026</t>
        </is>
      </c>
      <c r="I21938" s="10" t="inlineStr">
        <is>
          <t>17/03/2026</t>
        </is>
      </c>
      <c r="J21938" s="10" t="inlineStr">
        <is>
          <t>Nhân sự</t>
        </is>
      </c>
      <c r="K21938" s="10" t="inlineStr">
        <is>
          <t>N/A</t>
        </is>
      </c>
      <c r="L21938" s="11">
        <f>HYPERLINK("https://careerviet.vn/vi/tim-viec-lam/thuc-tap-sinh-nhan-su.35C6BE19.html","Xem chi tiết")</f>
        <v/>
      </c>
      <c r="M21938" s="10" t="n"/>
    </row>
    <row r="21939">
      <c r="B21939" s="7" t="n">
        <v>21937</v>
      </c>
      <c r="C21939" t="inlineStr">
        <is>
          <t>Kế toán kho</t>
        </is>
      </c>
      <c r="D21939" t="inlineStr">
        <is>
          <t>CÔNG TY CP CỬA SUNSPACE</t>
        </is>
      </c>
      <c r="E21939" t="inlineStr">
        <is>
          <t>Lương:7 Tr - 9 Tr VND</t>
        </is>
      </c>
      <c r="F21939" t="inlineStr">
        <is>
          <t>Hưng Yên</t>
        </is>
      </c>
      <c r="G21939" t="inlineStr">
        <is>
          <t>31-03-2026</t>
        </is>
      </c>
      <c r="H21939" t="inlineStr">
        <is>
          <t>31/03/2026</t>
        </is>
      </c>
      <c r="I21939" t="inlineStr">
        <is>
          <t>17/03/2026</t>
        </is>
      </c>
      <c r="J21939" t="inlineStr">
        <is>
          <t>Sản xuất / Vận hành sản xuất</t>
        </is>
      </c>
      <c r="K21939" t="inlineStr">
        <is>
          <t>N/A</t>
        </is>
      </c>
      <c r="L21939" s="8">
        <f>HYPERLINK("https://careerviet.vn/vi/tim-viec-lam/ke-toan-kho.35C6BCB2.html","Xem chi tiết")</f>
        <v/>
      </c>
    </row>
    <row r="21940">
      <c r="B21940" s="9" t="n">
        <v>21938</v>
      </c>
      <c r="C21940" s="10" t="inlineStr">
        <is>
          <t>Thực Tâp Sinh Tiếng Trung</t>
        </is>
      </c>
      <c r="D21940" s="10" t="inlineStr">
        <is>
          <t>CÔNG TY TNHH ASTRA MEDIA</t>
        </is>
      </c>
      <c r="E21940" s="10" t="inlineStr">
        <is>
          <t>Lương:3 Tr - 5 Tr VND</t>
        </is>
      </c>
      <c r="F21940" s="10" t="inlineStr">
        <is>
          <t>Hồ Chí Minh</t>
        </is>
      </c>
      <c r="G21940" s="10" t="inlineStr">
        <is>
          <t>09-04-2026</t>
        </is>
      </c>
      <c r="H21940" s="10" t="inlineStr">
        <is>
          <t>09/04/2026</t>
        </is>
      </c>
      <c r="I21940" s="10" t="inlineStr">
        <is>
          <t>17/03/2026</t>
        </is>
      </c>
      <c r="J21940" s="10" t="inlineStr">
        <is>
          <t>Biên phiên dịch</t>
        </is>
      </c>
      <c r="K21940" s="10" t="inlineStr">
        <is>
          <t>N/A</t>
        </is>
      </c>
      <c r="L21940" s="11">
        <f>HYPERLINK("https://careerviet.vn/vi/tim-viec-lam/thuc-tap-sinh-tieng-trung.35C6BD8A.html","Xem chi tiết")</f>
        <v/>
      </c>
      <c r="M21940" s="10" t="n"/>
    </row>
    <row r="21941">
      <c r="B21941" s="7" t="n">
        <v>21939</v>
      </c>
      <c r="C21941" t="inlineStr">
        <is>
          <t>THỰC TẬP SINH - TEAM ĐIỀU HÀNH</t>
        </is>
      </c>
      <c r="D21941" t="inlineStr">
        <is>
          <t>Công ty Cổ Phần Công Nghệ Du Lịch Gotadi</t>
        </is>
      </c>
      <c r="E21941" t="inlineStr">
        <is>
          <t>Lương:Cạnh tranh</t>
        </is>
      </c>
      <c r="F21941" t="inlineStr">
        <is>
          <t>Hồ Chí Minh</t>
        </is>
      </c>
      <c r="G21941" t="inlineStr">
        <is>
          <t>08-04-2026</t>
        </is>
      </c>
      <c r="H21941" t="inlineStr">
        <is>
          <t>08/04/2026</t>
        </is>
      </c>
      <c r="I21941" t="inlineStr">
        <is>
          <t>17/03/2026</t>
        </is>
      </c>
      <c r="J21941" t="inlineStr">
        <is>
          <t>Du lịch, Nhà hàng / Khách sạn</t>
        </is>
      </c>
      <c r="K21941" t="inlineStr">
        <is>
          <t>N/A</t>
        </is>
      </c>
      <c r="L21941" s="8">
        <f>HYPERLINK("https://careerviet.vn/vi/tim-viec-lam/thuc-tap-sinh-team-dieu-hanh.35C6BD0A.html","Xem chi tiết")</f>
        <v/>
      </c>
    </row>
    <row r="21942">
      <c r="B21942" s="9" t="n">
        <v>21940</v>
      </c>
      <c r="C21942" s="10" t="inlineStr">
        <is>
          <t>GIA SƯ TẠI NHÀ- ĐA DẠNG MÔN HỌC</t>
        </is>
      </c>
      <c r="D21942" s="10" t="inlineStr">
        <is>
          <t>Công ty TNHH Gia sư eTeacher</t>
        </is>
      </c>
      <c r="E21942" s="10" t="inlineStr">
        <is>
          <t>Lương:1 Tr - 3 Tr VND</t>
        </is>
      </c>
      <c r="F21942" s="10" t="inlineStr">
        <is>
          <t>Hồ Chí Minh</t>
        </is>
      </c>
      <c r="G21942" s="10" t="inlineStr">
        <is>
          <t>31-12-2026</t>
        </is>
      </c>
      <c r="H21942" s="10" t="inlineStr">
        <is>
          <t>31/12/2026</t>
        </is>
      </c>
      <c r="I21942" s="10" t="inlineStr">
        <is>
          <t>17/03/2026</t>
        </is>
      </c>
      <c r="J21942" s="10" t="inlineStr">
        <is>
          <t>Giáo dục / Đào tạo</t>
        </is>
      </c>
      <c r="K21942" s="10" t="inlineStr">
        <is>
          <t>N/A</t>
        </is>
      </c>
      <c r="L21942" s="11">
        <f>HYPERLINK("https://careerviet.vn/vi/tim-viec-lam/gia-su-tai-nha-da-dang-mon-hoc.35C6BE0F.html","Xem chi tiết")</f>
        <v/>
      </c>
      <c r="M21942" s="10" t="n"/>
    </row>
    <row r="21943">
      <c r="B21943" s="7" t="n">
        <v>21941</v>
      </c>
      <c r="C21943" t="inlineStr">
        <is>
          <t>Thực tập sinh kỹ thuật Điện, Điện tử</t>
        </is>
      </c>
      <c r="D21943" t="inlineStr">
        <is>
          <t>Công Ty Cổ phần Phần mềm -Tự động hóa - Điều khiển</t>
        </is>
      </c>
      <c r="E21943" t="inlineStr">
        <is>
          <t>Lương:3 Tr - 5 Tr VND</t>
        </is>
      </c>
      <c r="F21943" t="inlineStr">
        <is>
          <t>Hà Nội</t>
        </is>
      </c>
      <c r="G21943" t="inlineStr">
        <is>
          <t>10-04-2026</t>
        </is>
      </c>
      <c r="H21943" t="inlineStr">
        <is>
          <t>10/04/2026</t>
        </is>
      </c>
      <c r="I21943" t="inlineStr">
        <is>
          <t>17/03/2026</t>
        </is>
      </c>
      <c r="J21943" t="inlineStr">
        <is>
          <t>Điện / Điện tử / Điện lạnh / Điện công nghiệp</t>
        </is>
      </c>
      <c r="K21943" t="inlineStr">
        <is>
          <t>N/A</t>
        </is>
      </c>
      <c r="L21943" s="8">
        <f>HYPERLINK("https://careerviet.vn/vi/tim-viec-lam/thuc-tap-sinh-ky-thuat-dien-dien-tu.35C6BCF1.html","Xem chi tiết")</f>
        <v/>
      </c>
    </row>
    <row r="21944">
      <c r="B21944" s="9" t="n">
        <v>21942</v>
      </c>
      <c r="C21944" s="10" t="inlineStr">
        <is>
          <t>Thực tập sinh Marketing</t>
        </is>
      </c>
      <c r="D21944" s="10" t="inlineStr">
        <is>
          <t>Tổng Công ty Cổ phần Công trình Viettel</t>
        </is>
      </c>
      <c r="E21944" s="10" t="inlineStr">
        <is>
          <t>Lương:2 Tr - 3 Tr VND</t>
        </is>
      </c>
      <c r="F21944" s="10" t="inlineStr">
        <is>
          <t>Hà Nội</t>
        </is>
      </c>
      <c r="G21944" s="10" t="inlineStr">
        <is>
          <t>30-03-2026</t>
        </is>
      </c>
      <c r="H21944" s="10" t="inlineStr">
        <is>
          <t>30/03/2026</t>
        </is>
      </c>
      <c r="I21944" s="10" t="inlineStr">
        <is>
          <t>17/03/2026</t>
        </is>
      </c>
      <c r="J21944" s="10" t="inlineStr">
        <is>
          <t>Quảng cáo / Đối ngoại / Truyền Thông</t>
        </is>
      </c>
      <c r="K21944" s="10" t="inlineStr">
        <is>
          <t>N/A</t>
        </is>
      </c>
      <c r="L21944" s="11">
        <f>HYPERLINK("https://careerviet.vn/vi/tim-viec-lam/thuc-tap-sinh-marketing.35C6B5C1.html","Xem chi tiết")</f>
        <v/>
      </c>
      <c r="M21944" s="10" t="n"/>
    </row>
    <row r="21945">
      <c r="B21945" s="7" t="n">
        <v>21943</v>
      </c>
      <c r="C21945" t="inlineStr">
        <is>
          <t>Production Analyst (Open For Fresh Graduates With Accounting Or Finance Background)</t>
        </is>
      </c>
      <c r="D21945" t="inlineStr">
        <is>
          <t>Knauf Việt Nam</t>
        </is>
      </c>
      <c r="E21945" t="inlineStr">
        <is>
          <t>Lương:Cạnh tranh</t>
        </is>
      </c>
      <c r="F21945" t="inlineStr">
        <is>
          <t>Hồ Chí Minh</t>
        </is>
      </c>
      <c r="G21945" t="inlineStr">
        <is>
          <t>31-03-2026</t>
        </is>
      </c>
      <c r="H21945" t="inlineStr">
        <is>
          <t>31/03/2026</t>
        </is>
      </c>
      <c r="I21945" t="inlineStr">
        <is>
          <t>17/03/2026</t>
        </is>
      </c>
      <c r="J21945" t="inlineStr">
        <is>
          <t>Kế toán / Kiểm toán, Tài chính / Đầu tư, Mới tốt nghiệp / Thực tập</t>
        </is>
      </c>
      <c r="K21945" t="inlineStr">
        <is>
          <t>N/A</t>
        </is>
      </c>
      <c r="L21945" s="8">
        <f>HYPERLINK("https://careerviet.vn/vi/tim-viec-lam/production-analyst-open-for-fresh-graduates-with-accounting-or-finance-background.35C6661B.html","Xem chi tiết")</f>
        <v/>
      </c>
    </row>
    <row r="21946">
      <c r="B21946" s="9" t="n">
        <v>21944</v>
      </c>
      <c r="C21946" s="10" t="inlineStr">
        <is>
          <t>NHÂN VIÊN KỸ THUẬT NỘI THẤT</t>
        </is>
      </c>
      <c r="D21946" s="10" t="inlineStr">
        <is>
          <t>NEM FURNITURE JSC</t>
        </is>
      </c>
      <c r="E21946" s="10" t="inlineStr">
        <is>
          <t>Lương:7 Tr - 20 Tr VND</t>
        </is>
      </c>
      <c r="F21946" s="10" t="inlineStr">
        <is>
          <t>Long An</t>
        </is>
      </c>
      <c r="G21946" s="10" t="inlineStr">
        <is>
          <t>11-04-2026</t>
        </is>
      </c>
      <c r="H21946" s="10" t="inlineStr">
        <is>
          <t>11/04/2026</t>
        </is>
      </c>
      <c r="I21946" s="10" t="inlineStr">
        <is>
          <t>17/03/2026</t>
        </is>
      </c>
      <c r="J21946" s="10" t="inlineStr">
        <is>
          <t>Kiến trúc, Xây dựng, Nội ngoại thất</t>
        </is>
      </c>
      <c r="K21946" s="10" t="inlineStr">
        <is>
          <t>N/A</t>
        </is>
      </c>
      <c r="L21946" s="11">
        <f>HYPERLINK("https://careerviet.vn/vi/tim-viec-lam/nhan-vien-ky-thuat-noi-that.35C6BD1F.html","Xem chi tiết")</f>
        <v/>
      </c>
      <c r="M21946" s="10" t="n"/>
    </row>
    <row r="21947">
      <c r="B21947" s="7" t="n">
        <v>21945</v>
      </c>
      <c r="C21947" t="inlineStr">
        <is>
          <t>Thực tập sinh</t>
        </is>
      </c>
      <c r="D21947" t="inlineStr">
        <is>
          <t>CÔNG TY TNHH MY ECO PRODUCTS</t>
        </is>
      </c>
      <c r="E21947" t="inlineStr">
        <is>
          <t>Lương:Trên 2 Tr VND</t>
        </is>
      </c>
      <c r="F21947" t="inlineStr">
        <is>
          <t>Đà Nẵng</t>
        </is>
      </c>
      <c r="G21947" t="inlineStr">
        <is>
          <t>10-04-2026</t>
        </is>
      </c>
      <c r="H21947" t="inlineStr">
        <is>
          <t>10/04/2026</t>
        </is>
      </c>
      <c r="I21947" t="inlineStr">
        <is>
          <t>17/03/2026</t>
        </is>
      </c>
      <c r="J21947" t="inlineStr">
        <is>
          <t>Hành chính / Thư ký</t>
        </is>
      </c>
      <c r="K21947" t="inlineStr">
        <is>
          <t>N/A</t>
        </is>
      </c>
      <c r="L21947" s="8">
        <f>HYPERLINK("https://careerviet.vn/vi/tim-viec-lam/thu-c-ta-p-sinh.35C6BD72.html","Xem chi tiết")</f>
        <v/>
      </c>
    </row>
    <row r="21948">
      <c r="B21948" s="9" t="n">
        <v>21946</v>
      </c>
      <c r="C21948" s="10" t="inlineStr">
        <is>
          <t>Thực Tập Sinh Marketing</t>
        </is>
      </c>
      <c r="D21948" s="10" t="inlineStr">
        <is>
          <t>Công ty Cổ phần Đầu tư và Xúc tiến Thương mại Doanh nghiệp Việt</t>
        </is>
      </c>
      <c r="E21948" s="10" t="inlineStr">
        <is>
          <t>Lương:Cạnh tranh</t>
        </is>
      </c>
      <c r="F21948" s="10" t="inlineStr">
        <is>
          <t>Hồ Chí Minh</t>
        </is>
      </c>
      <c r="G21948" s="10" t="inlineStr">
        <is>
          <t>10-04-2026</t>
        </is>
      </c>
      <c r="H21948" s="10" t="inlineStr">
        <is>
          <t>10/04/2026</t>
        </is>
      </c>
      <c r="I21948" s="10" t="inlineStr">
        <is>
          <t>17/03/2026</t>
        </is>
      </c>
      <c r="J21948" s="10" t="inlineStr">
        <is>
          <t>Mới tốt nghiệp / Thực tập, Tiếp thị / Marketing, Tiếp thị trực tuyến</t>
        </is>
      </c>
      <c r="K21948" s="10" t="inlineStr">
        <is>
          <t>N/A</t>
        </is>
      </c>
      <c r="L21948" s="11">
        <f>HYPERLINK("https://careerviet.vn/vi/tim-viec-lam/thuc-tap-sinh-marketing.35C6BD40.html","Xem chi tiết")</f>
        <v/>
      </c>
      <c r="M21948" s="10" t="n"/>
    </row>
    <row r="21949">
      <c r="B21949" s="7" t="n">
        <v>21947</v>
      </c>
      <c r="C21949" t="inlineStr">
        <is>
          <t>Thực Tập Sinh Pháp Lý (Có Hỗ Trợ Lương)</t>
        </is>
      </c>
      <c r="D21949" t="inlineStr">
        <is>
          <t>CÔNG TY TNHH SẢN XUẤT CÔNG NGHIỆP THƯƠNG MẠI TRÂM ANH</t>
        </is>
      </c>
      <c r="E21949" t="inlineStr">
        <is>
          <t>Lương:Cạnh tranh</t>
        </is>
      </c>
      <c r="F21949" t="inlineStr">
        <is>
          <t>Hồ Chí Minh</t>
        </is>
      </c>
      <c r="G21949" t="inlineStr">
        <is>
          <t>30-04-2026</t>
        </is>
      </c>
      <c r="H21949" t="inlineStr">
        <is>
          <t>30/04/2026</t>
        </is>
      </c>
      <c r="I21949" t="inlineStr">
        <is>
          <t>17/03/2026</t>
        </is>
      </c>
      <c r="J21949" t="inlineStr">
        <is>
          <t>Luật / Pháp lý, Mới tốt nghiệp / Thực tập</t>
        </is>
      </c>
      <c r="K21949" t="inlineStr">
        <is>
          <t>N/A</t>
        </is>
      </c>
      <c r="L21949" s="8">
        <f>HYPERLINK("https://careerviet.vn/vi/tim-viec-lam/thuc-tap-sinh-phap-ly-co-ho-tro-luong.35C6BCB0.html","Xem chi tiết")</f>
        <v/>
      </c>
    </row>
    <row r="21950">
      <c r="B21950" s="9" t="n">
        <v>21948</v>
      </c>
      <c r="C21950" s="10" t="inlineStr">
        <is>
          <t>Thực tập sinh</t>
        </is>
      </c>
      <c r="D21950" s="10" t="inlineStr">
        <is>
          <t>CÔNG TY TNHH CÔNG NGHIỆP QUANG NAM VIỆT</t>
        </is>
      </c>
      <c r="E21950" s="10" t="inlineStr">
        <is>
          <t>Lương:10 Tr - 15 Tr VND</t>
        </is>
      </c>
      <c r="F21950" s="10" t="inlineStr">
        <is>
          <t>Hồ Chí Minh</t>
        </is>
      </c>
      <c r="G21950" s="10" t="inlineStr">
        <is>
          <t>31-03-2026</t>
        </is>
      </c>
      <c r="H21950" s="10" t="inlineStr">
        <is>
          <t>31/03/2026</t>
        </is>
      </c>
      <c r="I21950" s="10" t="inlineStr">
        <is>
          <t>17/03/2026</t>
        </is>
      </c>
      <c r="J21950" s="10" t="inlineStr">
        <is>
          <t>Điện / Điện tử / Điện lạnh / Điện công nghiệp</t>
        </is>
      </c>
      <c r="K21950" s="10" t="inlineStr">
        <is>
          <t>N/A</t>
        </is>
      </c>
      <c r="L21950" s="11">
        <f>HYPERLINK("https://careerviet.vn/vi/tim-viec-lam/thuc-tap-sinh.35C6BC6C.html","Xem chi tiết")</f>
        <v/>
      </c>
      <c r="M21950" s="10" t="n"/>
    </row>
    <row r="21951">
      <c r="B21951" s="7" t="n">
        <v>21949</v>
      </c>
      <c r="C21951" t="inlineStr">
        <is>
          <t>Thực Tập Sinh Kinh Doanh</t>
        </is>
      </c>
      <c r="D21951" t="inlineStr">
        <is>
          <t>CÔNG TY TNHH CƠ NHIỆT ĐIỆN LẠNH BÁCH KHOA</t>
        </is>
      </c>
      <c r="E21951" t="inlineStr">
        <is>
          <t>Lương:1 Tr - 2,5 Tr VND</t>
        </is>
      </c>
      <c r="F21951" t="inlineStr">
        <is>
          <t>Hồ Chí Minh</t>
        </is>
      </c>
      <c r="G21951" t="inlineStr">
        <is>
          <t>31-03-2026</t>
        </is>
      </c>
      <c r="H21951" t="inlineStr">
        <is>
          <t>31/03/2026</t>
        </is>
      </c>
      <c r="I21951" t="inlineStr">
        <is>
          <t>17/03/2026</t>
        </is>
      </c>
      <c r="J21951" t="inlineStr">
        <is>
          <t>Bán hàng / Kinh doanh, Tiếp thị / Marketing</t>
        </is>
      </c>
      <c r="K21951" t="inlineStr">
        <is>
          <t>N/A</t>
        </is>
      </c>
      <c r="L21951" s="8">
        <f>HYPERLINK("https://careerviet.vn/vi/tim-viec-lam/thuc-tap-sinh-kinh-doanh.35C288ED.html","Xem chi tiết")</f>
        <v/>
      </c>
    </row>
    <row r="21952">
      <c r="B21952" s="9" t="n">
        <v>21950</v>
      </c>
      <c r="C21952" s="10" t="inlineStr">
        <is>
          <t>Kỹ sư khối lượng</t>
        </is>
      </c>
      <c r="D21952" s="10" t="inlineStr">
        <is>
          <t>Công ty cổ phần Reich</t>
        </is>
      </c>
      <c r="E21952" s="10" t="inlineStr">
        <is>
          <t>Lương:13 Tr - 17 Tr VND</t>
        </is>
      </c>
      <c r="F21952" s="10" t="inlineStr">
        <is>
          <t>Hà Nội</t>
        </is>
      </c>
      <c r="G21952" s="10" t="inlineStr">
        <is>
          <t>10-03-2026</t>
        </is>
      </c>
      <c r="H21952" s="10" t="inlineStr">
        <is>
          <t>29/11/2025</t>
        </is>
      </c>
      <c r="I21952" s="10" t="inlineStr">
        <is>
          <t>17/03/2026</t>
        </is>
      </c>
      <c r="J21952" s="10" t="inlineStr">
        <is>
          <t>Xây dựng</t>
        </is>
      </c>
      <c r="K21952" s="10" t="inlineStr">
        <is>
          <t>N/A</t>
        </is>
      </c>
      <c r="L21952" s="11">
        <f>HYPERLINK("https://careerviet.vn/vi/tim-viec-lam/ky-su-khoi-luong.35C5C481.html","Xem chi tiết")</f>
        <v/>
      </c>
      <c r="M21952" s="10" t="n"/>
    </row>
    <row r="21953">
      <c r="B21953" s="7" t="n">
        <v>21951</v>
      </c>
      <c r="C21953" t="inlineStr">
        <is>
          <t>THỰC TẬP SINH DỰ ÁN CÔNG TRÌNH XÂY DỰNG</t>
        </is>
      </c>
      <c r="D21953" t="inlineStr">
        <is>
          <t>Công Ty TNHH J.G</t>
        </is>
      </c>
      <c r="E21953" t="inlineStr">
        <is>
          <t>Lương:Cạnh tranh</t>
        </is>
      </c>
      <c r="F21953" t="inlineStr">
        <is>
          <t>Hồ Chí Minh</t>
        </is>
      </c>
      <c r="G21953" t="inlineStr">
        <is>
          <t>31-05-2026</t>
        </is>
      </c>
      <c r="H21953" t="inlineStr">
        <is>
          <t>31/05/2026</t>
        </is>
      </c>
      <c r="I21953" t="inlineStr">
        <is>
          <t>17/03/2026</t>
        </is>
      </c>
      <c r="J21953" t="inlineStr">
        <is>
          <t>Quản lý chất lượng (QA/QC), Điện / Điện tử / Điện lạnh / Điện công nghiệp, Xây dựng</t>
        </is>
      </c>
      <c r="K21953" t="inlineStr">
        <is>
          <t>N/A</t>
        </is>
      </c>
      <c r="L21953" s="8">
        <f>HYPERLINK("https://careerviet.vn/vi/tim-viec-lam/thuc-tap-sinh-du-an-cong-trinh-xay-dung.35C6BD91.html","Xem chi tiết")</f>
        <v/>
      </c>
    </row>
    <row r="21954">
      <c r="B21954" s="9" t="n">
        <v>21952</v>
      </c>
      <c r="C21954" s="10" t="inlineStr">
        <is>
          <t>Thực tập sinh tuyển dụng</t>
        </is>
      </c>
      <c r="D21954" s="10" t="inlineStr">
        <is>
          <t>Công Ty TNHH Thương Mại Xuất Nhập Khẩu Fani</t>
        </is>
      </c>
      <c r="E21954" s="10" t="inlineStr">
        <is>
          <t>Lương:2,5 Tr - 2,5 Tr VND</t>
        </is>
      </c>
      <c r="F21954" s="10" t="inlineStr">
        <is>
          <t>Hà Nội</t>
        </is>
      </c>
      <c r="G21954" s="10" t="inlineStr">
        <is>
          <t>31-03-2026</t>
        </is>
      </c>
      <c r="H21954" s="10" t="inlineStr">
        <is>
          <t>31/03/2026</t>
        </is>
      </c>
      <c r="I21954" s="10" t="inlineStr">
        <is>
          <t>17/03/2026</t>
        </is>
      </c>
      <c r="J21954" s="10" t="inlineStr">
        <is>
          <t>Nhân sự</t>
        </is>
      </c>
      <c r="K21954" s="10" t="inlineStr">
        <is>
          <t>N/A</t>
        </is>
      </c>
      <c r="L21954" s="11">
        <f>HYPERLINK("https://careerviet.vn/vi/tim-viec-lam/thuc-tap-sinh-tuyen-dung.35C6B57B.html","Xem chi tiết")</f>
        <v/>
      </c>
      <c r="M21954" s="10" t="n"/>
    </row>
    <row r="21955">
      <c r="B21955" s="7" t="n">
        <v>21953</v>
      </c>
      <c r="C21955" t="inlineStr">
        <is>
          <t>Thực Tập Sinh Tuyển Dụng</t>
        </is>
      </c>
      <c r="D21955" t="inlineStr">
        <is>
          <t>Phu Hung Securities Corporation</t>
        </is>
      </c>
      <c r="E21955" t="inlineStr">
        <is>
          <t>Lương:2 Tr - 2,4 Tr VND</t>
        </is>
      </c>
      <c r="F21955" t="inlineStr">
        <is>
          <t>Hồ Chí Minh</t>
        </is>
      </c>
      <c r="G21955" t="inlineStr">
        <is>
          <t>30-04-2026</t>
        </is>
      </c>
      <c r="H21955" t="inlineStr">
        <is>
          <t>30/04/2026</t>
        </is>
      </c>
      <c r="I21955" t="inlineStr">
        <is>
          <t>17/03/2026</t>
        </is>
      </c>
      <c r="J21955" t="inlineStr">
        <is>
          <t>Nhân sự</t>
        </is>
      </c>
      <c r="K21955" t="inlineStr">
        <is>
          <t>N/A</t>
        </is>
      </c>
      <c r="L21955" s="8">
        <f>HYPERLINK("https://careerviet.vn/vi/tim-viec-lam/thuc-tap-sinh-tuyen-dung.35C6B54B.html","Xem chi tiết")</f>
        <v/>
      </c>
    </row>
    <row r="21956">
      <c r="B21956" s="9" t="n">
        <v>21954</v>
      </c>
      <c r="C21956" s="10" t="inlineStr">
        <is>
          <t>Thực Tập Sinh C&amp;B (Hỗ Trợ Mộc + Phụ Cấp)</t>
        </is>
      </c>
      <c r="D21956" s="10" t="inlineStr">
        <is>
          <t>Công Ty Cổ Phần Dịch Vụ Bất Động Sản Danh Khôi</t>
        </is>
      </c>
      <c r="E21956" s="10" t="inlineStr">
        <is>
          <t>Lương:1 Tr - 2 Tr VND</t>
        </is>
      </c>
      <c r="F21956" s="10" t="inlineStr">
        <is>
          <t>Hồ Chí Minh</t>
        </is>
      </c>
      <c r="G21956" s="10" t="inlineStr">
        <is>
          <t>08-04-2026</t>
        </is>
      </c>
      <c r="H21956" s="10" t="inlineStr">
        <is>
          <t>08/04/2026</t>
        </is>
      </c>
      <c r="I21956" s="10" t="inlineStr">
        <is>
          <t>17/03/2026</t>
        </is>
      </c>
      <c r="J21956" s="10" t="inlineStr">
        <is>
          <t>Nhân sự</t>
        </is>
      </c>
      <c r="K21956" s="10" t="inlineStr">
        <is>
          <t>N/A</t>
        </is>
      </c>
      <c r="L21956" s="11">
        <f>HYPERLINK("https://careerviet.vn/vi/tim-viec-lam/thuc-tap-sinh-c-b-ho-tro-moc-phu-cap.35C6BD8D.html","Xem chi tiết")</f>
        <v/>
      </c>
      <c r="M21956" s="10" t="n"/>
    </row>
    <row r="21957">
      <c r="B21957" s="7" t="n">
        <v>21955</v>
      </c>
      <c r="C21957" t="inlineStr">
        <is>
          <t>Nhân viên học việc kế toán (có lương)</t>
        </is>
      </c>
      <c r="D21957" t="inlineStr">
        <is>
          <t>CÔNG TY CỔ PHẦN EUROWINDOW HOLDING</t>
        </is>
      </c>
      <c r="E21957" t="inlineStr">
        <is>
          <t>Lương:Cạnh tranh</t>
        </is>
      </c>
      <c r="F21957" t="inlineStr">
        <is>
          <t>Hà Nội</t>
        </is>
      </c>
      <c r="G21957" t="inlineStr">
        <is>
          <t>10-04-2026</t>
        </is>
      </c>
      <c r="H21957" t="inlineStr">
        <is>
          <t>10/04/2026</t>
        </is>
      </c>
      <c r="I21957" t="inlineStr">
        <is>
          <t>17/03/2026</t>
        </is>
      </c>
      <c r="J21957" t="inlineStr">
        <is>
          <t>Kế toán / Kiểm toán</t>
        </is>
      </c>
      <c r="K21957" t="inlineStr">
        <is>
          <t>N/A</t>
        </is>
      </c>
      <c r="L21957" s="8">
        <f>HYPERLINK("https://careerviet.vn/vi/tim-viec-lam/nhan-vien-hoc-viec-ke-toan-co-luong.35C6B47A.html","Xem chi tiết")</f>
        <v/>
      </c>
    </row>
    <row r="21958">
      <c r="B21958" s="9" t="n">
        <v>21956</v>
      </c>
      <c r="C21958" s="10" t="inlineStr">
        <is>
          <t>Helpdesk Intern</t>
        </is>
      </c>
      <c r="D21958" s="10" t="inlineStr">
        <is>
          <t>Công ty TNHH FES VietNam</t>
        </is>
      </c>
      <c r="E21958" s="10" t="inlineStr">
        <is>
          <t>Lương:Cạnh tranh</t>
        </is>
      </c>
      <c r="F21958" s="10" t="inlineStr">
        <is>
          <t>Bình Dương</t>
        </is>
      </c>
      <c r="G21958" s="10" t="inlineStr">
        <is>
          <t>03-04-2026</t>
        </is>
      </c>
      <c r="H21958" s="10" t="inlineStr">
        <is>
          <t>03/04/2026</t>
        </is>
      </c>
      <c r="I21958" s="10" t="inlineStr">
        <is>
          <t>17/03/2026</t>
        </is>
      </c>
      <c r="J21958" s="10" t="inlineStr">
        <is>
          <t>CNTT - Phần cứng / Mạng, CNTT - Phần mềm</t>
        </is>
      </c>
      <c r="K21958" s="10" t="inlineStr">
        <is>
          <t>N/A</t>
        </is>
      </c>
      <c r="L21958" s="11">
        <f>HYPERLINK("https://careerviet.vn/vi/tim-viec-lam/helpdesk-intern.35C6B272.html","Xem chi tiết")</f>
        <v/>
      </c>
      <c r="M21958" s="10" t="n"/>
    </row>
    <row r="21959">
      <c r="B21959" s="7" t="n">
        <v>21957</v>
      </c>
      <c r="C21959" t="inlineStr">
        <is>
          <t>Lễ tân tòa nhà/ chung cư</t>
        </is>
      </c>
      <c r="D21959" t="inlineStr">
        <is>
          <t>Công Ty CP Dịch Vụ Quản Lý Bất Động Sản Independent</t>
        </is>
      </c>
      <c r="E21959" t="inlineStr">
        <is>
          <t>Lương:7 Tr - 9 Tr VND</t>
        </is>
      </c>
      <c r="F21959" t="inlineStr">
        <is>
          <t>Hồ Chí Minh</t>
        </is>
      </c>
      <c r="G21959" t="inlineStr">
        <is>
          <t>31-03-2026</t>
        </is>
      </c>
      <c r="H21959" t="inlineStr">
        <is>
          <t>31/03/2026</t>
        </is>
      </c>
      <c r="I21959" t="inlineStr">
        <is>
          <t>17/03/2026</t>
        </is>
      </c>
      <c r="J21959" t="inlineStr">
        <is>
          <t>Dịch vụ khách hàng, Hành chính / Thư ký, Nhà hàng / Khách sạn</t>
        </is>
      </c>
      <c r="K21959" t="inlineStr">
        <is>
          <t>N/A</t>
        </is>
      </c>
      <c r="L21959" s="8">
        <f>HYPERLINK("https://careerviet.vn/vi/tim-viec-lam/le-tan-toa-nha-chung-cu.35C6B50B.html","Xem chi tiết")</f>
        <v/>
      </c>
    </row>
    <row r="21960">
      <c r="B21960" s="9" t="n">
        <v>21958</v>
      </c>
      <c r="C21960" s="10" t="inlineStr">
        <is>
          <t>Nhân viên kho</t>
        </is>
      </c>
      <c r="D21960" s="10" t="inlineStr">
        <is>
          <t>Công Ty Cổ Phần Dây Cáp Điện DAPHACO</t>
        </is>
      </c>
      <c r="E21960" s="10" t="inlineStr">
        <is>
          <t>Lương:9 Tr - 12 Tr VND</t>
        </is>
      </c>
      <c r="F21960" s="10" t="inlineStr">
        <is>
          <t>Long An</t>
        </is>
      </c>
      <c r="G21960" s="10" t="inlineStr">
        <is>
          <t>05-04-2026</t>
        </is>
      </c>
      <c r="H21960" s="10" t="inlineStr">
        <is>
          <t>05/04/2026</t>
        </is>
      </c>
      <c r="I21960" s="10" t="inlineStr">
        <is>
          <t>17/03/2026</t>
        </is>
      </c>
      <c r="J21960" s="10" t="inlineStr">
        <is>
          <t>Lao động phổ thông, Vận chuyển / Giao nhận / Kho vận</t>
        </is>
      </c>
      <c r="K21960" s="10" t="inlineStr">
        <is>
          <t>N/A</t>
        </is>
      </c>
      <c r="L21960" s="11">
        <f>HYPERLINK("https://careerviet.vn/vi/tim-viec-lam/nhan-vien-kho.35C6B43B.html","Xem chi tiết")</f>
        <v/>
      </c>
      <c r="M21960" s="10" t="n"/>
    </row>
    <row r="21961">
      <c r="B21961" s="7" t="n">
        <v>21959</v>
      </c>
      <c r="C21961" t="inlineStr">
        <is>
          <t>BẢO MẪU KIÊM BẠN ĐỒNG HÀNH CÙNG BÉ</t>
        </is>
      </c>
      <c r="D21961" t="inlineStr">
        <is>
          <t>CÔNG TY TNHH Ê SU HAI</t>
        </is>
      </c>
      <c r="E21961" t="inlineStr">
        <is>
          <t>Lương:13 Tr - 18 Tr VND</t>
        </is>
      </c>
      <c r="F21961" t="inlineStr">
        <is>
          <t>Hồ Chí Minh</t>
        </is>
      </c>
      <c r="G21961" t="inlineStr">
        <is>
          <t>30-04-2026</t>
        </is>
      </c>
      <c r="H21961" t="inlineStr">
        <is>
          <t>30/04/2026</t>
        </is>
      </c>
      <c r="I21961" t="inlineStr">
        <is>
          <t>17/03/2026</t>
        </is>
      </c>
      <c r="J21961" t="inlineStr">
        <is>
          <t>Giáo dục / Đào tạo</t>
        </is>
      </c>
      <c r="K21961" t="inlineStr">
        <is>
          <t>N/A</t>
        </is>
      </c>
      <c r="L21961" s="8">
        <f>HYPERLINK("https://careerviet.vn/vi/tim-viec-lam/bao-mau-kiem-ban-dong-hanh-cung-be.35C6B477.html","Xem chi tiết")</f>
        <v/>
      </c>
    </row>
    <row r="21962">
      <c r="B21962" s="9" t="n">
        <v>21960</v>
      </c>
      <c r="C21962" s="10" t="inlineStr">
        <is>
          <t>SALES INTERN</t>
        </is>
      </c>
      <c r="D21962" s="10" t="inlineStr">
        <is>
          <t>CÔNG TY TNHH MỘT THÀNH VIÊN LÝ GIA VIÊN</t>
        </is>
      </c>
      <c r="E21962" s="10" t="inlineStr">
        <is>
          <t>Lương:3 Tr - 3,5 Tr VND</t>
        </is>
      </c>
      <c r="F21962" s="10" t="inlineStr">
        <is>
          <t>Hồ Chí MinhĐà NẵngHà Nội</t>
        </is>
      </c>
      <c r="G21962" s="10" t="inlineStr">
        <is>
          <t>28-03-2026</t>
        </is>
      </c>
      <c r="H21962" s="10" t="inlineStr">
        <is>
          <t>28/03/2026</t>
        </is>
      </c>
      <c r="I21962" s="10" t="inlineStr">
        <is>
          <t>17/03/2026</t>
        </is>
      </c>
      <c r="J21962" s="10" t="inlineStr">
        <is>
          <t>Bán lẻ / Bán sỉ, Bán hàng / Kinh doanh, Tiếp thị trực tuyến</t>
        </is>
      </c>
      <c r="K21962" s="10" t="inlineStr">
        <is>
          <t>N/A</t>
        </is>
      </c>
      <c r="L21962" s="11">
        <f>HYPERLINK("https://careerviet.vn/vi/tim-viec-lam/sales-intern.35C6B300.html","Xem chi tiết")</f>
        <v/>
      </c>
      <c r="M21962" s="10" t="n"/>
    </row>
    <row r="21963">
      <c r="B21963" s="7" t="n">
        <v>21961</v>
      </c>
      <c r="C21963" t="inlineStr">
        <is>
          <t>Procurement Intern</t>
        </is>
      </c>
      <c r="D21963" t="inlineStr">
        <is>
          <t>Wall Street English</t>
        </is>
      </c>
      <c r="E21963" t="inlineStr">
        <is>
          <t>Lương:Cạnh tranh</t>
        </is>
      </c>
      <c r="F21963" t="inlineStr">
        <is>
          <t>Hồ Chí Minh</t>
        </is>
      </c>
      <c r="G21963" t="inlineStr">
        <is>
          <t>31-03-2026</t>
        </is>
      </c>
      <c r="H21963" t="inlineStr">
        <is>
          <t>31/03/2026</t>
        </is>
      </c>
      <c r="I21963" t="inlineStr">
        <is>
          <t>17/03/2026</t>
        </is>
      </c>
      <c r="J21963" t="inlineStr">
        <is>
          <t>Thu mua / Vật tư, Giáo dục / Đào tạo</t>
        </is>
      </c>
      <c r="K21963" t="inlineStr">
        <is>
          <t>N/A</t>
        </is>
      </c>
      <c r="L21963" s="8">
        <f>HYPERLINK("https://careerviet.vn/vi/tim-viec-lam/procurement-intern.35C6B3D8.html","Xem chi tiết")</f>
        <v/>
      </c>
    </row>
    <row r="21964">
      <c r="B21964" s="9" t="n">
        <v>21962</v>
      </c>
      <c r="C21964" s="10" t="inlineStr">
        <is>
          <t>SAP BUSINESS CONSULTING INTERN</t>
        </is>
      </c>
      <c r="D21964" s="10" t="inlineStr">
        <is>
          <t>CÔNG TY CỔ PHẦN CÔNG NGHỆ CITEK</t>
        </is>
      </c>
      <c r="E21964" s="10" t="inlineStr">
        <is>
          <t>Lương:Cạnh tranh</t>
        </is>
      </c>
      <c r="F21964" s="10" t="inlineStr">
        <is>
          <t>Hồ Chí Minh</t>
        </is>
      </c>
      <c r="G21964" s="10" t="inlineStr">
        <is>
          <t>30-03-2026</t>
        </is>
      </c>
      <c r="H21964" s="10" t="inlineStr">
        <is>
          <t>30/03/2026</t>
        </is>
      </c>
      <c r="I21964" s="10" t="inlineStr">
        <is>
          <t>17/03/2026</t>
        </is>
      </c>
      <c r="J21964" s="10" t="inlineStr">
        <is>
          <t>Bán hàng / Kinh doanh, CNTT - Phần mềm, Mới tốt nghiệp / Thực tập</t>
        </is>
      </c>
      <c r="K21964" s="10" t="inlineStr">
        <is>
          <t>N/A</t>
        </is>
      </c>
      <c r="L21964" s="11">
        <f>HYPERLINK("https://careerviet.vn/vi/tim-viec-lam/sap-business-consulting-intern.35C6AD61.html","Xem chi tiết")</f>
        <v/>
      </c>
      <c r="M21964" s="10" t="n"/>
    </row>
    <row r="21965">
      <c r="B21965" s="7" t="n">
        <v>21963</v>
      </c>
      <c r="C21965" t="inlineStr">
        <is>
          <t>Thực tập sinh SEO</t>
        </is>
      </c>
      <c r="D21965" t="inlineStr">
        <is>
          <t>CÔNG NGHỆ &amp; TRUYỀN THÔNG FOOGLE</t>
        </is>
      </c>
      <c r="E21965" t="inlineStr">
        <is>
          <t>Lương:2 Tr - 4 Tr VND</t>
        </is>
      </c>
      <c r="F21965" t="inlineStr">
        <is>
          <t>Hồ Chí Minh</t>
        </is>
      </c>
      <c r="G21965" t="inlineStr">
        <is>
          <t>06-04-2026</t>
        </is>
      </c>
      <c r="H21965" t="inlineStr">
        <is>
          <t>06/04/2026</t>
        </is>
      </c>
      <c r="I21965" t="inlineStr">
        <is>
          <t>17/03/2026</t>
        </is>
      </c>
      <c r="J21965" t="inlineStr">
        <is>
          <t>Quảng cáo / Đối ngoại / Truyền Thông, Thương mại điện tử, CNTT - Phần cứng / Mạng</t>
        </is>
      </c>
      <c r="K21965" t="inlineStr">
        <is>
          <t>N/A</t>
        </is>
      </c>
      <c r="L21965" s="8">
        <f>HYPERLINK("https://careerviet.vn/vi/tim-viec-lam/thuc-tap-sinh-seo.35C6B30F.html","Xem chi tiết")</f>
        <v/>
      </c>
    </row>
    <row r="21966">
      <c r="B21966" s="9" t="n">
        <v>21964</v>
      </c>
      <c r="C21966" s="10" t="inlineStr">
        <is>
          <t>[HCM/HÀ NỘI] NHÂN VIÊN BÁN HÀNG TẠI SIÊU THỊ PART TIME</t>
        </is>
      </c>
      <c r="D21966" s="10" t="inlineStr">
        <is>
          <t>Công ty TNHH SAPPORO Vietnam</t>
        </is>
      </c>
      <c r="E21966" s="10" t="inlineStr">
        <is>
          <t>Lương:1 Tr - 4 Tr VND</t>
        </is>
      </c>
      <c r="F21966" s="10" t="inlineStr">
        <is>
          <t>Hà NộiHồ Chí Minh</t>
        </is>
      </c>
      <c r="G21966" s="10" t="inlineStr">
        <is>
          <t>06-04-2026</t>
        </is>
      </c>
      <c r="H21966" s="10" t="inlineStr">
        <is>
          <t>06/04/2026</t>
        </is>
      </c>
      <c r="I21966" s="10" t="inlineStr">
        <is>
          <t>17/03/2026</t>
        </is>
      </c>
      <c r="J21966" s="10" t="inlineStr">
        <is>
          <t>Tiếp thị / Marketing, Bán hàng / Kinh doanh, Tư vấn</t>
        </is>
      </c>
      <c r="K21966" s="10" t="inlineStr">
        <is>
          <t>N/A</t>
        </is>
      </c>
      <c r="L21966" s="11">
        <f>HYPERLINK("https://careerviet.vn/vi/tim-viec-lam/hcm-ha-noi-nhan-vien-ban-hang-tai-sieu-thi-part-time.35C6B2D4.html","Xem chi tiết")</f>
        <v/>
      </c>
      <c r="M21966" s="10" t="n"/>
    </row>
    <row r="21967">
      <c r="B21967" s="7" t="n">
        <v>21965</v>
      </c>
      <c r="C21967" t="inlineStr">
        <is>
          <t>Thực Tập Sinh C&amp;B</t>
        </is>
      </c>
      <c r="D21967" t="inlineStr">
        <is>
          <t>Phu Hung Securities Corporation</t>
        </is>
      </c>
      <c r="E21967" t="inlineStr">
        <is>
          <t>Lương:2 Tr - 2,4 Tr VND</t>
        </is>
      </c>
      <c r="F21967" t="inlineStr">
        <is>
          <t>Hồ Chí Minh</t>
        </is>
      </c>
      <c r="G21967" t="inlineStr">
        <is>
          <t>30-04-2026</t>
        </is>
      </c>
      <c r="H21967" t="inlineStr">
        <is>
          <t>30/04/2026</t>
        </is>
      </c>
      <c r="I21967" t="inlineStr">
        <is>
          <t>17/03/2026</t>
        </is>
      </c>
      <c r="J21967" t="inlineStr">
        <is>
          <t>Nhân sự</t>
        </is>
      </c>
      <c r="K21967" t="inlineStr">
        <is>
          <t>N/A</t>
        </is>
      </c>
      <c r="L21967" s="8">
        <f>HYPERLINK("https://careerviet.vn/vi/tim-viec-lam/thuc-tap-sinh-c-b.35C6B54D.html","Xem chi tiết")</f>
        <v/>
      </c>
    </row>
    <row r="21968">
      <c r="B21968" s="9" t="n">
        <v>21966</v>
      </c>
      <c r="C21968" s="10" t="inlineStr">
        <is>
          <t>Thực Tập Sinh Biên Phiên Dịch Tiếng Nhật Ngành IT</t>
        </is>
      </c>
      <c r="D21968" s="10" t="inlineStr">
        <is>
          <t>Công Ty TNHH W2solution Việt Nam</t>
        </is>
      </c>
      <c r="E21968" s="10" t="inlineStr">
        <is>
          <t>Lương:3 Tr - 3,5 Tr VND</t>
        </is>
      </c>
      <c r="F21968" s="10" t="inlineStr">
        <is>
          <t>Hồ Chí Minh</t>
        </is>
      </c>
      <c r="G21968" s="10" t="inlineStr">
        <is>
          <t>04-04-2026</t>
        </is>
      </c>
      <c r="H21968" s="10" t="inlineStr">
        <is>
          <t>04/04/2026</t>
        </is>
      </c>
      <c r="I21968" s="10" t="inlineStr">
        <is>
          <t>17/03/2026</t>
        </is>
      </c>
      <c r="J21968" s="10" t="inlineStr">
        <is>
          <t>Biên phiên dịch</t>
        </is>
      </c>
      <c r="K21968" s="10" t="inlineStr">
        <is>
          <t>N/A</t>
        </is>
      </c>
      <c r="L21968" s="11">
        <f>HYPERLINK("https://careerviet.vn/vi/tim-viec-lam/thuc-tap-sinh-bien-phien-dich-tieng-nhat-nganh-it.35C6B2F7.html","Xem chi tiết")</f>
        <v/>
      </c>
      <c r="M21968" s="10" t="n"/>
    </row>
    <row r="21969">
      <c r="B21969" s="7" t="n">
        <v>21967</v>
      </c>
      <c r="C21969" t="inlineStr">
        <is>
          <t>Thực tập sinh Content Booking KOL/KOC (Ngành hàng Sức khỏe &amp; Sắc đẹp, Mẹ &amp; Bé)</t>
        </is>
      </c>
      <c r="D21969" t="inlineStr">
        <is>
          <t>Công ty Cổ phần Công nghệ UpBase</t>
        </is>
      </c>
      <c r="E21969" t="inlineStr">
        <is>
          <t>Lương:3 Tr - 5 Tr VND</t>
        </is>
      </c>
      <c r="F21969" t="inlineStr">
        <is>
          <t>Hà Nội</t>
        </is>
      </c>
      <c r="G21969" t="inlineStr">
        <is>
          <t>31-03-2026</t>
        </is>
      </c>
      <c r="H21969" t="inlineStr">
        <is>
          <t>31/03/2026</t>
        </is>
      </c>
      <c r="I21969" t="inlineStr">
        <is>
          <t>17/03/2026</t>
        </is>
      </c>
      <c r="J21969" t="inlineStr">
        <is>
          <t>Thương mại điện tử, Bán lẻ / Bán sỉ, Tiếp thị / Marketing</t>
        </is>
      </c>
      <c r="K21969" t="inlineStr">
        <is>
          <t>N/A</t>
        </is>
      </c>
      <c r="L21969" s="8">
        <f>HYPERLINK("https://careerviet.vn/vi/tim-viec-lam/thuc-tap-sinh-content-booking-kol-koc-nganh-hang-suc-khoe-sac-dep-me-be.35C6B25D.html","Xem chi tiết")</f>
        <v/>
      </c>
    </row>
    <row r="21970">
      <c r="B21970" s="9" t="n">
        <v>21968</v>
      </c>
      <c r="C21970" s="10" t="inlineStr">
        <is>
          <t>THỰC TẬP SINH NHÂN SỰ HÀNH CHÍNH (QUẬN 7, HCM)</t>
        </is>
      </c>
      <c r="D21970" s="10" t="inlineStr">
        <is>
          <t>CÔNG TY CỔ PHẦN TẬP ĐOÀN XUẤT - NHẬP KHẨU TRÁI CÂY CHÁNH THU</t>
        </is>
      </c>
      <c r="E21970" s="10" t="inlineStr">
        <is>
          <t>Lương:1 Tr - 1 Tr VND</t>
        </is>
      </c>
      <c r="F21970" s="10" t="inlineStr">
        <is>
          <t>Hồ Chí Minh</t>
        </is>
      </c>
      <c r="G21970" s="10" t="inlineStr">
        <is>
          <t>06-04-2026</t>
        </is>
      </c>
      <c r="H21970" s="10" t="inlineStr">
        <is>
          <t>06/04/2026</t>
        </is>
      </c>
      <c r="I21970" s="10" t="inlineStr">
        <is>
          <t>17/03/2026</t>
        </is>
      </c>
      <c r="J21970" s="10" t="inlineStr">
        <is>
          <t>Hành chính / Thư ký, Nhân sự, Mới tốt nghiệp / Thực tập</t>
        </is>
      </c>
      <c r="K21970" s="10" t="inlineStr">
        <is>
          <t>N/A</t>
        </is>
      </c>
      <c r="L21970" s="11">
        <f>HYPERLINK("https://careerviet.vn/vi/tim-viec-lam/thuc-tap-sinh-nhan-su-hanh-chinh-quan-7-hcm.35C6B2CF.html","Xem chi tiết")</f>
        <v/>
      </c>
      <c r="M21970" s="10" t="n"/>
    </row>
    <row r="21971">
      <c r="B21971" s="7" t="n">
        <v>21969</v>
      </c>
      <c r="C21971" t="inlineStr">
        <is>
          <t>Nhân Viên Nhân Sự - HR Administator</t>
        </is>
      </c>
      <c r="D21971" t="inlineStr">
        <is>
          <t>Công ty TNHH MERIDIEM</t>
        </is>
      </c>
      <c r="E21971" t="inlineStr">
        <is>
          <t>Lương:7 Tr - 10 Tr VND</t>
        </is>
      </c>
      <c r="F21971" t="inlineStr">
        <is>
          <t>Hồ Chí Minh</t>
        </is>
      </c>
      <c r="G21971" t="inlineStr">
        <is>
          <t>31-03-2026</t>
        </is>
      </c>
      <c r="H21971" t="inlineStr">
        <is>
          <t>31/03/2026</t>
        </is>
      </c>
      <c r="I21971" t="inlineStr">
        <is>
          <t>17/03/2026</t>
        </is>
      </c>
      <c r="J21971" t="inlineStr">
        <is>
          <t>Thực phẩm &amp; Đồ uống, Nhà hàng / Khách sạn</t>
        </is>
      </c>
      <c r="K21971" t="inlineStr">
        <is>
          <t>N/A</t>
        </is>
      </c>
      <c r="L21971" s="8">
        <f>HYPERLINK("https://careerviet.vn/vi/tim-viec-lam/nhan-vien-nhan-su-hr-administator.35C6B36F.html","Xem chi tiết")</f>
        <v/>
      </c>
    </row>
    <row r="21972">
      <c r="B21972" s="9" t="n">
        <v>21970</v>
      </c>
      <c r="C21972" s="10" t="inlineStr">
        <is>
          <t>Trợ lý Studio – Studio Assistant (Production)</t>
        </is>
      </c>
      <c r="D21972" s="10" t="inlineStr">
        <is>
          <t>Studio Phạm Minh Hiếu</t>
        </is>
      </c>
      <c r="E21972" s="10" t="inlineStr">
        <is>
          <t>Lương:Cạnh tranh</t>
        </is>
      </c>
      <c r="F21972" s="10" t="inlineStr">
        <is>
          <t>Hà Nội</t>
        </is>
      </c>
      <c r="G21972" s="10" t="inlineStr">
        <is>
          <t>15-04-2026</t>
        </is>
      </c>
      <c r="H21972" s="10" t="inlineStr">
        <is>
          <t>15/04/2026</t>
        </is>
      </c>
      <c r="I21972" s="10" t="inlineStr">
        <is>
          <t>17/03/2026</t>
        </is>
      </c>
      <c r="J21972" s="10" t="inlineStr">
        <is>
          <t>Mỹ thuật / Nghệ thuật / Thiết kế, Quảng cáo / Đối ngoại / Truyền Thông, Mới tốt nghiệp / Thực tập</t>
        </is>
      </c>
      <c r="K21972" s="10" t="inlineStr">
        <is>
          <t>N/A</t>
        </is>
      </c>
      <c r="L21972" s="11">
        <f>HYPERLINK("https://careerviet.vn/vi/tim-viec-lam/tro-ly-studio-studio-assistant-production.35C6B254.html","Xem chi tiết")</f>
        <v/>
      </c>
      <c r="M21972" s="10" t="n"/>
    </row>
    <row r="21973">
      <c r="B21973" s="7" t="n">
        <v>21971</v>
      </c>
      <c r="C21973" t="inlineStr">
        <is>
          <t>Thực tập sinh lập trình viên</t>
        </is>
      </c>
      <c r="D21973" t="inlineStr">
        <is>
          <t>CÔNG TY TNHH CÔNG NGHỆ PHẦN MỀM DUDI</t>
        </is>
      </c>
      <c r="E21973" t="inlineStr">
        <is>
          <t>Lương:Lên đến 500.000 VND</t>
        </is>
      </c>
      <c r="F21973" t="inlineStr">
        <is>
          <t>Hồ Chí Minh</t>
        </is>
      </c>
      <c r="G21973" t="inlineStr">
        <is>
          <t>31-03-2026</t>
        </is>
      </c>
      <c r="H21973" t="inlineStr">
        <is>
          <t>31/03/2026</t>
        </is>
      </c>
      <c r="I21973" t="inlineStr">
        <is>
          <t>17/03/2026</t>
        </is>
      </c>
      <c r="J21973" t="inlineStr">
        <is>
          <t>CNTT - Phần mềm</t>
        </is>
      </c>
      <c r="K21973" t="inlineStr">
        <is>
          <t>N/A</t>
        </is>
      </c>
      <c r="L21973" s="8">
        <f>HYPERLINK("https://careerviet.vn/vi/tim-viec-lam/thuc-tap-sinh-lap-trinh-vien.35C6B2A5.html","Xem chi tiết")</f>
        <v/>
      </c>
    </row>
    <row r="21974">
      <c r="B21974" s="9" t="n">
        <v>21972</v>
      </c>
      <c r="C21974" s="10" t="inlineStr">
        <is>
          <t>Thực Tập Sinh Kiểm Soát Chất Lượng (QC)</t>
        </is>
      </c>
      <c r="D21974" s="10" t="inlineStr">
        <is>
          <t>ONE GROUP</t>
        </is>
      </c>
      <c r="E21974" s="10" t="inlineStr">
        <is>
          <t>Lương:3 Tr - 4 Tr VND</t>
        </is>
      </c>
      <c r="F21974" s="10" t="inlineStr">
        <is>
          <t>Hồ Chí Minh</t>
        </is>
      </c>
      <c r="G21974" s="10" t="inlineStr">
        <is>
          <t>11-04-2026</t>
        </is>
      </c>
      <c r="H21974" s="10" t="inlineStr">
        <is>
          <t>11/04/2026</t>
        </is>
      </c>
      <c r="I21974" s="10" t="inlineStr">
        <is>
          <t>17/03/2026</t>
        </is>
      </c>
      <c r="J21974" s="10" t="inlineStr">
        <is>
          <t>Quản lý chất lượng (QA/QC), Tiếp thị / Marketing, Bán lẻ / Bán sỉ</t>
        </is>
      </c>
      <c r="K21974" s="10" t="inlineStr">
        <is>
          <t>N/A</t>
        </is>
      </c>
      <c r="L21974" s="11">
        <f>HYPERLINK("https://careerviet.vn/vi/tim-viec-lam/thuc-tap-sinh-kiem-soat-chat-luong-qc.35C6B370.html","Xem chi tiết")</f>
        <v/>
      </c>
      <c r="M21974" s="10" t="n"/>
    </row>
    <row r="21975">
      <c r="B21975" s="7" t="n">
        <v>21973</v>
      </c>
      <c r="C21975" t="inlineStr">
        <is>
          <t>Thực tập sinh Tuyển dụng có lương</t>
        </is>
      </c>
      <c r="D21975" t="inlineStr">
        <is>
          <t>CÔNG TY CỔ PHẦN BẤT ĐỘNG SẢN G.EMPIRE</t>
        </is>
      </c>
      <c r="E21975" t="inlineStr">
        <is>
          <t>Lương:2 Tr - 3 Tr VND</t>
        </is>
      </c>
      <c r="F21975" t="inlineStr">
        <is>
          <t>Hồ Chí Minh</t>
        </is>
      </c>
      <c r="G21975" t="inlineStr">
        <is>
          <t>31-03-2026</t>
        </is>
      </c>
      <c r="H21975" t="inlineStr">
        <is>
          <t>31/03/2026</t>
        </is>
      </c>
      <c r="I21975" t="inlineStr">
        <is>
          <t>17/03/2026</t>
        </is>
      </c>
      <c r="J21975" t="inlineStr">
        <is>
          <t>Nhân sự, Hành chính / Thư ký, Bất động sản</t>
        </is>
      </c>
      <c r="K21975" t="inlineStr">
        <is>
          <t>N/A</t>
        </is>
      </c>
      <c r="L21975" s="8">
        <f>HYPERLINK("https://careerviet.vn/vi/tim-viec-lam/thuc-tap-sinh-tuyen-dung-co-luong.35C6B24A.html","Xem chi tiết")</f>
        <v/>
      </c>
    </row>
    <row r="21976">
      <c r="B21976" s="9" t="n">
        <v>21974</v>
      </c>
      <c r="C21976" s="10" t="inlineStr">
        <is>
          <t>Business Development Intern (Enterprise Partnerships – MNC &amp; Large Brands)</t>
        </is>
      </c>
      <c r="D21976" s="10" t="inlineStr">
        <is>
          <t>Công ty Cổ phần Công nghệ UpBase</t>
        </is>
      </c>
      <c r="E21976" s="10" t="inlineStr">
        <is>
          <t>Lương:3 Tr - 5 Tr VND</t>
        </is>
      </c>
      <c r="F21976" s="10" t="inlineStr">
        <is>
          <t>Hà Nội</t>
        </is>
      </c>
      <c r="G21976" s="10" t="inlineStr">
        <is>
          <t>15-04-2026</t>
        </is>
      </c>
      <c r="H21976" s="10" t="inlineStr">
        <is>
          <t>15/04/2026</t>
        </is>
      </c>
      <c r="I21976" s="10" t="inlineStr">
        <is>
          <t>17/03/2026</t>
        </is>
      </c>
      <c r="J21976" s="10" t="inlineStr">
        <is>
          <t>Tiếp thị / Marketing, Bán hàng / Kinh doanh, Thương mại điện tử</t>
        </is>
      </c>
      <c r="K21976" s="10" t="inlineStr">
        <is>
          <t>N/A</t>
        </is>
      </c>
      <c r="L21976" s="11">
        <f>HYPERLINK("https://careerviet.vn/vi/tim-viec-lam/business-development-intern-enterprise-partnerships-mnc-large-brands.35C6B238.html","Xem chi tiết")</f>
        <v/>
      </c>
      <c r="M21976" s="10" t="n"/>
    </row>
    <row r="21977">
      <c r="B21977" s="7" t="n">
        <v>21975</v>
      </c>
      <c r="C21977" t="inlineStr">
        <is>
          <t>Content Creator Intern (Có hỗ trợ phụ cấp)</t>
        </is>
      </c>
      <c r="D21977" t="inlineStr">
        <is>
          <t>CÔNG TY TNHH RIPPLES COMMERCE</t>
        </is>
      </c>
      <c r="E21977" t="inlineStr">
        <is>
          <t>Lương:4 Tr - 6 Tr VND</t>
        </is>
      </c>
      <c r="F21977" t="inlineStr">
        <is>
          <t>Hồ Chí Minh</t>
        </is>
      </c>
      <c r="G21977" t="inlineStr">
        <is>
          <t>04-04-2026</t>
        </is>
      </c>
      <c r="H21977" t="inlineStr">
        <is>
          <t>04/04/2026</t>
        </is>
      </c>
      <c r="I21977" t="inlineStr">
        <is>
          <t>17/03/2026</t>
        </is>
      </c>
      <c r="J21977" t="inlineStr">
        <is>
          <t>Tiếp thị / Marketing, Thương mại điện tử, Quảng cáo / Đối ngoại / Truyền Thông</t>
        </is>
      </c>
      <c r="K21977" t="inlineStr">
        <is>
          <t>N/A</t>
        </is>
      </c>
      <c r="L21977" s="8">
        <f>HYPERLINK("https://careerviet.vn/vi/tim-viec-lam/content-creator-intern-co-ho-tro-phu-cap.35C6B1EB.html","Xem chi tiết")</f>
        <v/>
      </c>
    </row>
    <row r="21978">
      <c r="B21978" s="9" t="n">
        <v>21976</v>
      </c>
      <c r="C21978" s="10" t="inlineStr">
        <is>
          <t>NHÂN VIÊN BÁN HÀNG (THỜI TRANG)</t>
        </is>
      </c>
      <c r="D21978" s="10" t="inlineStr">
        <is>
          <t>Công Ty TNHH Thời Trang Gior (Nhãn Hàng Thời Trang Giordano)</t>
        </is>
      </c>
      <c r="E21978" s="10" t="inlineStr">
        <is>
          <t>Lương:6,2 Tr - 8 Tr VND</t>
        </is>
      </c>
      <c r="F21978" s="10" t="inlineStr">
        <is>
          <t>Hà NộiĐà Nẵng</t>
        </is>
      </c>
      <c r="G21978" s="10" t="inlineStr">
        <is>
          <t>31-03-2026</t>
        </is>
      </c>
      <c r="H21978" s="10" t="inlineStr">
        <is>
          <t>31/03/2026</t>
        </is>
      </c>
      <c r="I21978" s="10" t="inlineStr">
        <is>
          <t>17/03/2026</t>
        </is>
      </c>
      <c r="J21978" s="10" t="inlineStr">
        <is>
          <t>Bán hàng / Kinh doanh, Bán lẻ / Bán sỉ, Tiếp thị / Marketing</t>
        </is>
      </c>
      <c r="K21978" s="10" t="inlineStr">
        <is>
          <t>N/A</t>
        </is>
      </c>
      <c r="L21978" s="11">
        <f>HYPERLINK("https://careerviet.vn/vi/tim-viec-lam/nhan-vien-ban-hang-thoi-trang.35C6B07A.html","Xem chi tiết")</f>
        <v/>
      </c>
      <c r="M21978" s="10" t="n"/>
    </row>
    <row r="21979">
      <c r="B21979" s="7" t="n">
        <v>21977</v>
      </c>
      <c r="C21979" t="inlineStr">
        <is>
          <t>Thực tập sinh Nhân sự</t>
        </is>
      </c>
      <c r="D21979" t="inlineStr">
        <is>
          <t>REAL LOGISTICS</t>
        </is>
      </c>
      <c r="E21979" t="inlineStr">
        <is>
          <t>Lương:Cạnh tranh</t>
        </is>
      </c>
      <c r="F21979" t="inlineStr">
        <is>
          <t>Hồ Chí Minh</t>
        </is>
      </c>
      <c r="G21979" t="inlineStr">
        <is>
          <t>04-04-2026</t>
        </is>
      </c>
      <c r="H21979" t="inlineStr">
        <is>
          <t>04/04/2026</t>
        </is>
      </c>
      <c r="I21979" t="inlineStr">
        <is>
          <t>17/03/2026</t>
        </is>
      </c>
      <c r="J21979" t="inlineStr">
        <is>
          <t>Nhân sự, Tiếp thị / Marketing, Hành chính / Thư ký</t>
        </is>
      </c>
      <c r="K21979" t="inlineStr">
        <is>
          <t>N/A</t>
        </is>
      </c>
      <c r="L21979" s="8">
        <f>HYPERLINK("https://careerviet.vn/vi/tim-viec-lam/thuc-tap-sinh-nhan-su.35C6B1B9.html","Xem chi tiết")</f>
        <v/>
      </c>
    </row>
    <row r="21980">
      <c r="B21980" s="9" t="n">
        <v>21978</v>
      </c>
      <c r="C21980" s="10" t="inlineStr">
        <is>
          <t>Fulltime - Dự toán Xây dựng/Estimator</t>
        </is>
      </c>
      <c r="D21980" s="10" t="inlineStr">
        <is>
          <t>Công Ty TNHH Revbuild Việt Nam</t>
        </is>
      </c>
      <c r="E21980" s="10" t="inlineStr">
        <is>
          <t>Lương:8,5 Tr - 9,5 Tr VND</t>
        </is>
      </c>
      <c r="F21980" s="10" t="inlineStr">
        <is>
          <t>Hồ Chí Minh</t>
        </is>
      </c>
      <c r="G21980" s="10" t="inlineStr">
        <is>
          <t>31-03-2026</t>
        </is>
      </c>
      <c r="H21980" s="10" t="inlineStr">
        <is>
          <t>31/03/2026</t>
        </is>
      </c>
      <c r="I21980" s="10" t="inlineStr">
        <is>
          <t>17/03/2026</t>
        </is>
      </c>
      <c r="J21980" s="10" t="inlineStr">
        <is>
          <t>Kiến trúc, Xây dựng</t>
        </is>
      </c>
      <c r="K21980" s="10" t="inlineStr">
        <is>
          <t>N/A</t>
        </is>
      </c>
      <c r="L21980" s="11">
        <f>HYPERLINK("https://careerviet.vn/vi/tim-viec-lam/fulltime-du-toan-xay-dung-estimator.35C6B059.html","Xem chi tiết")</f>
        <v/>
      </c>
      <c r="M21980" s="10" t="n"/>
    </row>
    <row r="21981">
      <c r="B21981" s="7" t="n">
        <v>21979</v>
      </c>
      <c r="C21981" t="inlineStr">
        <is>
          <t>Thực Tập Sinh Chuyển Đổi Số Doanh Nghiệp</t>
        </is>
      </c>
      <c r="D21981" t="inlineStr">
        <is>
          <t>Công ty Cổ phần Công nghệ UpBase</t>
        </is>
      </c>
      <c r="E21981" t="inlineStr">
        <is>
          <t>Lương:4 Tr - 6 Tr VND</t>
        </is>
      </c>
      <c r="F21981" t="inlineStr">
        <is>
          <t>Hà Nội</t>
        </is>
      </c>
      <c r="G21981" t="inlineStr">
        <is>
          <t>15-04-2026</t>
        </is>
      </c>
      <c r="H21981" t="inlineStr">
        <is>
          <t>15/04/2026</t>
        </is>
      </c>
      <c r="I21981" t="inlineStr">
        <is>
          <t>17/03/2026</t>
        </is>
      </c>
      <c r="J21981" t="inlineStr">
        <is>
          <t>Thương mại điện tử, Dịch vụ khách hàng, Quản lý điều hành</t>
        </is>
      </c>
      <c r="K21981" t="inlineStr">
        <is>
          <t>N/A</t>
        </is>
      </c>
      <c r="L21981" s="8">
        <f>HYPERLINK("https://careerviet.vn/vi/tim-viec-lam/thuc-tap-sinh-chuyen-doi-so-doanh-nghiep.35C6B247.html","Xem chi tiết")</f>
        <v/>
      </c>
    </row>
    <row r="21982">
      <c r="B21982" s="9" t="n">
        <v>21980</v>
      </c>
      <c r="C21982" s="10" t="inlineStr">
        <is>
          <t>Sales Operation Intern - Porsche Centre Saigon</t>
        </is>
      </c>
      <c r="D21982" s="10" t="inlineStr">
        <is>
          <t>Prestige Sports Cars Co. Ltd</t>
        </is>
      </c>
      <c r="E21982" s="10" t="inlineStr">
        <is>
          <t>Lương:Cạnh tranh</t>
        </is>
      </c>
      <c r="F21982" s="10" t="inlineStr">
        <is>
          <t>Hồ Chí Minh</t>
        </is>
      </c>
      <c r="G21982" s="10" t="inlineStr">
        <is>
          <t>28-03-2026</t>
        </is>
      </c>
      <c r="H21982" s="10" t="inlineStr">
        <is>
          <t>28/03/2026</t>
        </is>
      </c>
      <c r="I21982" s="10" t="inlineStr">
        <is>
          <t>17/03/2026</t>
        </is>
      </c>
      <c r="J21982" s="10" t="inlineStr">
        <is>
          <t>Bán hàng / Kinh doanh, Dịch vụ khách hàng, Tiếp thị / Marketing</t>
        </is>
      </c>
      <c r="K21982" s="10" t="inlineStr">
        <is>
          <t>N/A</t>
        </is>
      </c>
      <c r="L21982" s="11">
        <f>HYPERLINK("https://careerviet.vn/vi/tim-viec-lam/sales-operation-intern-porsche-centre-saigon.35C6B081.html","Xem chi tiết")</f>
        <v/>
      </c>
      <c r="M21982" s="10" t="n"/>
    </row>
    <row r="21983">
      <c r="B21983" s="7" t="n">
        <v>21981</v>
      </c>
      <c r="C21983" t="inlineStr">
        <is>
          <t>Human Resource Officer</t>
        </is>
      </c>
      <c r="D21983" t="inlineStr">
        <is>
          <t>Công Ty Netcompany</t>
        </is>
      </c>
      <c r="E21983" t="inlineStr">
        <is>
          <t>Lương:Cạnh tranh</t>
        </is>
      </c>
      <c r="F21983" t="inlineStr">
        <is>
          <t>Hồ Chí Minh</t>
        </is>
      </c>
      <c r="G21983" t="inlineStr">
        <is>
          <t>05-04-2026</t>
        </is>
      </c>
      <c r="H21983" t="inlineStr">
        <is>
          <t>05/04/2026</t>
        </is>
      </c>
      <c r="I21983" t="inlineStr">
        <is>
          <t>17/03/2026</t>
        </is>
      </c>
      <c r="J21983" t="inlineStr">
        <is>
          <t>Nhân sự</t>
        </is>
      </c>
      <c r="K21983" t="inlineStr">
        <is>
          <t>N/A</t>
        </is>
      </c>
      <c r="L21983" s="8">
        <f>HYPERLINK("https://careerviet.vn/vi/tim-viec-lam/human-resource-officer.35C6B23D.html","Xem chi tiết")</f>
        <v/>
      </c>
    </row>
    <row r="21984">
      <c r="B21984" s="9" t="n">
        <v>21982</v>
      </c>
      <c r="C21984" s="10" t="inlineStr">
        <is>
          <t>QA Internship Program</t>
        </is>
      </c>
      <c r="D21984" s="10" t="inlineStr">
        <is>
          <t>TPS Software</t>
        </is>
      </c>
      <c r="E21984" s="10" t="inlineStr">
        <is>
          <t>Lương:Cạnh tranh</t>
        </is>
      </c>
      <c r="F21984" s="10" t="inlineStr">
        <is>
          <t>Hồ Chí Minh</t>
        </is>
      </c>
      <c r="G21984" s="10" t="inlineStr">
        <is>
          <t>30-04-2026</t>
        </is>
      </c>
      <c r="H21984" s="10" t="inlineStr">
        <is>
          <t>30/04/2026</t>
        </is>
      </c>
      <c r="I21984" s="10" t="inlineStr">
        <is>
          <t>17/03/2026</t>
        </is>
      </c>
      <c r="J21984" s="10" t="inlineStr">
        <is>
          <t>CNTT - Phần mềm</t>
        </is>
      </c>
      <c r="K21984" s="10" t="inlineStr">
        <is>
          <t>N/A</t>
        </is>
      </c>
      <c r="L21984" s="11">
        <f>HYPERLINK("https://careerviet.vn/vi/tim-viec-lam/qa-internship-program.35C6B0FD.html","Xem chi tiết")</f>
        <v/>
      </c>
      <c r="M21984" s="10" t="n"/>
    </row>
    <row r="21985">
      <c r="B21985" s="7" t="n">
        <v>21983</v>
      </c>
      <c r="C21985" t="inlineStr">
        <is>
          <t>Nhân viên chăm sóc khách hàng Tiếng Đức</t>
        </is>
      </c>
      <c r="D21985" t="inlineStr">
        <is>
          <t>Công Ty TNHH WESAAM</t>
        </is>
      </c>
      <c r="E21985" t="inlineStr">
        <is>
          <t>Lương:8 Tr - 15 Tr VND</t>
        </is>
      </c>
      <c r="F21985" t="inlineStr">
        <is>
          <t>Hồ Chí Minh</t>
        </is>
      </c>
      <c r="G21985" t="inlineStr">
        <is>
          <t>4</t>
        </is>
      </c>
      <c r="H21985" t="inlineStr">
        <is>
          <t>21/03/2026</t>
        </is>
      </c>
      <c r="I21985" t="inlineStr">
        <is>
          <t>17/03/2026</t>
        </is>
      </c>
      <c r="J21985" t="inlineStr">
        <is>
          <t>Bán hàng / Kinh doanh</t>
        </is>
      </c>
      <c r="K21985" t="inlineStr">
        <is>
          <t>N/A</t>
        </is>
      </c>
      <c r="L21985" s="8">
        <f>HYPERLINK("https://careerviet.vn/vi/tim-viec-lam/nhan-vien-cham-soc-khach-hang-tieng-duc.35C6B07F.html","Xem chi tiết")</f>
        <v/>
      </c>
    </row>
    <row r="21986">
      <c r="B21986" s="9" t="n">
        <v>21984</v>
      </c>
      <c r="C21986" s="10" t="inlineStr">
        <is>
          <t>THỰC TẬP SINH NHÂN SỰ</t>
        </is>
      </c>
      <c r="D21986" s="10" t="inlineStr">
        <is>
          <t>Dunlopillo (Vietnam) Ltd</t>
        </is>
      </c>
      <c r="E21986" s="10" t="inlineStr">
        <is>
          <t>Lương:Cạnh tranh</t>
        </is>
      </c>
      <c r="F21986" s="10" t="inlineStr">
        <is>
          <t>Bình Dương</t>
        </is>
      </c>
      <c r="G21986" s="10" t="inlineStr">
        <is>
          <t>4</t>
        </is>
      </c>
      <c r="H21986" s="10" t="inlineStr">
        <is>
          <t>21/03/2026</t>
        </is>
      </c>
      <c r="I21986" s="10" t="inlineStr">
        <is>
          <t>17/03/2026</t>
        </is>
      </c>
      <c r="J21986" s="10" t="inlineStr">
        <is>
          <t>Mới tốt nghiệp / Thực tập</t>
        </is>
      </c>
      <c r="K21986" s="10" t="inlineStr">
        <is>
          <t>N/A</t>
        </is>
      </c>
      <c r="L21986" s="11">
        <f>HYPERLINK("https://careerviet.vn/vi/tim-viec-lam/thuc-tap-sinh-nhan-su.35C6AF4C.html","Xem chi tiết")</f>
        <v/>
      </c>
      <c r="M21986" s="10" t="n"/>
    </row>
    <row r="21987">
      <c r="B21987" s="7" t="n">
        <v>21985</v>
      </c>
      <c r="C21987" t="inlineStr">
        <is>
          <t>Thực Tập Sinh Kế Toán (Full-time)</t>
        </is>
      </c>
      <c r="D21987" t="inlineStr">
        <is>
          <t>Tập Đoàn Karofi Holding</t>
        </is>
      </c>
      <c r="E21987" t="inlineStr">
        <is>
          <t>Lương:Cạnh tranh</t>
        </is>
      </c>
      <c r="F21987" t="inlineStr">
        <is>
          <t>Hà Nội</t>
        </is>
      </c>
      <c r="G21987" t="inlineStr">
        <is>
          <t>04-04-2026</t>
        </is>
      </c>
      <c r="H21987" t="inlineStr">
        <is>
          <t>04/04/2026</t>
        </is>
      </c>
      <c r="I21987" t="inlineStr">
        <is>
          <t>17/03/2026</t>
        </is>
      </c>
      <c r="J21987" t="inlineStr">
        <is>
          <t>Kế toán / Kiểm toán</t>
        </is>
      </c>
      <c r="K21987" t="inlineStr">
        <is>
          <t>N/A</t>
        </is>
      </c>
      <c r="L21987" s="8">
        <f>HYPERLINK("https://careerviet.vn/vi/tim-viec-lam/thuc-tap-sinh-ke-toan-full-time.35C6B160.html","Xem chi tiết")</f>
        <v/>
      </c>
    </row>
    <row r="21988">
      <c r="B21988" s="9" t="n">
        <v>21986</v>
      </c>
      <c r="C21988" s="10" t="inlineStr">
        <is>
          <t>Thực tập sinh Kỹ thuật Mạng</t>
        </is>
      </c>
      <c r="D21988" s="10" t="inlineStr">
        <is>
          <t>CÔNG TY CỔ PHẦN MŨ XANH - BLUE HAT</t>
        </is>
      </c>
      <c r="E21988" s="10" t="inlineStr">
        <is>
          <t>Lương:1 Tr - 3 Tr VND</t>
        </is>
      </c>
      <c r="F21988" s="10" t="inlineStr">
        <is>
          <t>Hồ Chí Minh</t>
        </is>
      </c>
      <c r="G21988" s="10" t="inlineStr">
        <is>
          <t>31-03-2026</t>
        </is>
      </c>
      <c r="H21988" s="10" t="inlineStr">
        <is>
          <t>31/03/2026</t>
        </is>
      </c>
      <c r="I21988" s="10" t="inlineStr">
        <is>
          <t>17/03/2026</t>
        </is>
      </c>
      <c r="J21988" s="10" t="inlineStr">
        <is>
          <t>CNTT - Phần cứng / Mạng, Mới tốt nghiệp / Thực tập</t>
        </is>
      </c>
      <c r="K21988" s="10" t="inlineStr">
        <is>
          <t>N/A</t>
        </is>
      </c>
      <c r="L21988" s="11">
        <f>HYPERLINK("https://careerviet.vn/vi/tim-viec-lam/thuc-tap-sinh-ky-thuat-mang.35C6B00F.html","Xem chi tiết")</f>
        <v/>
      </c>
      <c r="M21988" s="10" t="n"/>
    </row>
    <row r="21989">
      <c r="B21989" s="7" t="n">
        <v>21987</v>
      </c>
      <c r="C21989" t="inlineStr">
        <is>
          <t>NHÂN VIÊN KẾ TOÁN KIÊM THU NGÂN</t>
        </is>
      </c>
      <c r="D21989" t="inlineStr">
        <is>
          <t>Công ty TNHH Kỹ thuật và Xây Dựng Song Nam</t>
        </is>
      </c>
      <c r="E21989" t="inlineStr">
        <is>
          <t>Lương:6 Tr - 8 Tr VND</t>
        </is>
      </c>
      <c r="F21989" t="inlineStr">
        <is>
          <t>Hồ Chí Minh</t>
        </is>
      </c>
      <c r="G21989" t="inlineStr">
        <is>
          <t>31-03-2026</t>
        </is>
      </c>
      <c r="H21989" t="inlineStr">
        <is>
          <t>31/03/2026</t>
        </is>
      </c>
      <c r="I21989" t="inlineStr">
        <is>
          <t>17/03/2026</t>
        </is>
      </c>
      <c r="J21989" t="inlineStr">
        <is>
          <t>Kế toán / Kiểm toán, Bán hàng / Kinh doanh, Thực phẩm &amp; Đồ uống</t>
        </is>
      </c>
      <c r="K21989" t="inlineStr">
        <is>
          <t>N/A</t>
        </is>
      </c>
      <c r="L21989" s="8">
        <f>HYPERLINK("https://careerviet.vn/vi/tim-viec-lam/nhan-vien-ke-toan-kiem-thu-ngan.35C6AF77.html","Xem chi tiết")</f>
        <v/>
      </c>
    </row>
    <row r="21990">
      <c r="B21990" s="9" t="n">
        <v>21988</v>
      </c>
      <c r="C21990" s="10" t="inlineStr">
        <is>
          <t>Procurement Executive – Dự án kỹ thuật (Ưu tiên sinh viên Ngoại thương mới tốt nghiệp)</t>
        </is>
      </c>
      <c r="D21990" s="10" t="inlineStr">
        <is>
          <t>CÔNG TY CỔ PHẦN MINH HƯNG M&amp;C</t>
        </is>
      </c>
      <c r="E21990" s="10" t="inlineStr">
        <is>
          <t>Lương:14 Tr - 20 Tr VND</t>
        </is>
      </c>
      <c r="F21990" s="10" t="inlineStr">
        <is>
          <t>Hồ Chí Minh</t>
        </is>
      </c>
      <c r="G21990" s="10" t="inlineStr">
        <is>
          <t>31-03-2026</t>
        </is>
      </c>
      <c r="H21990" s="10" t="inlineStr">
        <is>
          <t>31/03/2026</t>
        </is>
      </c>
      <c r="I21990" s="10" t="inlineStr">
        <is>
          <t>17/03/2026</t>
        </is>
      </c>
      <c r="J21990" s="10" t="inlineStr">
        <is>
          <t>Vận chuyển / Giao nhận / Kho vận, Cơ khí / Ô tô / Tự động hóa, Thu mua / Vật tư</t>
        </is>
      </c>
      <c r="K21990" s="10" t="inlineStr">
        <is>
          <t>N/A</t>
        </is>
      </c>
      <c r="L21990" s="11">
        <f>HYPERLINK("https://careerviet.vn/vi/tim-viec-lam/procurement-executive-du-an-ky-thuat-uu-tien-sinh-vien-ngoai-thuong-moi-tot-nghiep.35C6B045.html","Xem chi tiết")</f>
        <v/>
      </c>
      <c r="M21990" s="10" t="n"/>
    </row>
    <row r="21991">
      <c r="B21991" s="7" t="n">
        <v>21989</v>
      </c>
      <c r="C21991" t="inlineStr">
        <is>
          <t>TTS GIẢI PHÁP KINH DOANH (BS)</t>
        </is>
      </c>
      <c r="D21991" t="inlineStr">
        <is>
          <t>CÔNG TY CỔ PHẦN  ITL LOGISTICS</t>
        </is>
      </c>
      <c r="E21991" t="inlineStr">
        <is>
          <t>Lương:Lên đến 1 Tr VND</t>
        </is>
      </c>
      <c r="F21991" t="inlineStr">
        <is>
          <t>Hồ Chí Minh</t>
        </is>
      </c>
      <c r="G21991" t="inlineStr">
        <is>
          <t>30-03-2026</t>
        </is>
      </c>
      <c r="H21991" t="inlineStr">
        <is>
          <t>30/03/2026</t>
        </is>
      </c>
      <c r="I21991" t="inlineStr">
        <is>
          <t>17/03/2026</t>
        </is>
      </c>
      <c r="J21991" t="inlineStr">
        <is>
          <t>Ngành khác</t>
        </is>
      </c>
      <c r="K21991" t="inlineStr">
        <is>
          <t>N/A</t>
        </is>
      </c>
      <c r="L21991" s="8">
        <f>HYPERLINK("https://careerviet.vn/vi/tim-viec-lam/tts-giai-phap-kinh-doanh-bs.35C6AEFD.html","Xem chi tiết")</f>
        <v/>
      </c>
    </row>
    <row r="21992">
      <c r="B21992" s="9" t="n">
        <v>21990</v>
      </c>
      <c r="C21992" s="10" t="inlineStr">
        <is>
          <t>Indirect Purchaser (MRO)</t>
        </is>
      </c>
      <c r="D21992" s="10" t="inlineStr">
        <is>
          <t>Samsung Electronics HCMC CE Complex Co., Ltd</t>
        </is>
      </c>
      <c r="E21992" s="10" t="inlineStr">
        <is>
          <t>Lương:Cạnh tranh</t>
        </is>
      </c>
      <c r="F21992" s="10" t="inlineStr">
        <is>
          <t>Hồ Chí Minh</t>
        </is>
      </c>
      <c r="G21992" s="10" t="inlineStr">
        <is>
          <t>30-04-2026</t>
        </is>
      </c>
      <c r="H21992" s="10" t="inlineStr">
        <is>
          <t>30/04/2026</t>
        </is>
      </c>
      <c r="I21992" s="10" t="inlineStr">
        <is>
          <t>17/03/2026</t>
        </is>
      </c>
      <c r="J21992" s="10" t="inlineStr">
        <is>
          <t>Thu mua / Vật tư</t>
        </is>
      </c>
      <c r="K21992" s="10" t="inlineStr">
        <is>
          <t>N/A</t>
        </is>
      </c>
      <c r="L21992" s="11">
        <f>HYPERLINK("https://careerviet.vn/vi/tim-viec-lam/indirect-purchaser-mro.35C6B198.html","Xem chi tiết")</f>
        <v/>
      </c>
      <c r="M21992" s="10" t="n"/>
    </row>
    <row r="21993">
      <c r="B21993" s="7" t="n">
        <v>21991</v>
      </c>
      <c r="C21993" t="inlineStr">
        <is>
          <t>Thực Tập Sinh Pháp Lý</t>
        </is>
      </c>
      <c r="D21993" t="inlineStr">
        <is>
          <t>CÔNG TY CỔ PHẦN BAO BÌ TÂN TIẾN</t>
        </is>
      </c>
      <c r="E21993" t="inlineStr">
        <is>
          <t>Lương:1 Tr - 1 Tr VND</t>
        </is>
      </c>
      <c r="F21993" t="inlineStr">
        <is>
          <t>Hồ Chí Minh</t>
        </is>
      </c>
      <c r="G21993" t="inlineStr">
        <is>
          <t>04-04-2026</t>
        </is>
      </c>
      <c r="H21993" t="inlineStr">
        <is>
          <t>04/04/2026</t>
        </is>
      </c>
      <c r="I21993" t="inlineStr">
        <is>
          <t>17/03/2026</t>
        </is>
      </c>
      <c r="J21993" t="inlineStr">
        <is>
          <t>Luật / Pháp lý</t>
        </is>
      </c>
      <c r="K21993" t="inlineStr">
        <is>
          <t>N/A</t>
        </is>
      </c>
      <c r="L21993" s="8">
        <f>HYPERLINK("https://careerviet.vn/vi/tim-viec-lam/thuc-tap-sinh-phap-ly.35C6AF69.html","Xem chi tiết")</f>
        <v/>
      </c>
    </row>
    <row r="21994">
      <c r="B21994" s="9" t="n">
        <v>21992</v>
      </c>
      <c r="C21994" s="10" t="inlineStr">
        <is>
          <t>Thực tập sinh</t>
        </is>
      </c>
      <c r="D21994" s="10" t="inlineStr">
        <is>
          <t>CÔNG TY TNHH HOÀNG MINH CAPITAL</t>
        </is>
      </c>
      <c r="E21994" s="10" t="inlineStr">
        <is>
          <t>Lương:2 Tr - 3 Tr VND</t>
        </is>
      </c>
      <c r="F21994" s="10" t="inlineStr">
        <is>
          <t>Hồ Chí Minh</t>
        </is>
      </c>
      <c r="G21994" s="10" t="inlineStr">
        <is>
          <t>31-03-2026</t>
        </is>
      </c>
      <c r="H21994" s="10" t="inlineStr">
        <is>
          <t>31/03/2026</t>
        </is>
      </c>
      <c r="I21994" s="10" t="inlineStr">
        <is>
          <t>17/03/2026</t>
        </is>
      </c>
      <c r="J21994" s="10" t="inlineStr">
        <is>
          <t>Tiếp thị / Marketing</t>
        </is>
      </c>
      <c r="K21994" s="10" t="inlineStr">
        <is>
          <t>N/A</t>
        </is>
      </c>
      <c r="L21994" s="11">
        <f>HYPERLINK("https://careerviet.vn/vi/tim-viec-lam/thu-c-ta-p-sinh.35C6B060.html","Xem chi tiết")</f>
        <v/>
      </c>
      <c r="M21994" s="10" t="n"/>
    </row>
    <row r="21995">
      <c r="B21995" s="7" t="n">
        <v>21993</v>
      </c>
      <c r="C21995" t="inlineStr">
        <is>
          <t>Fullstack Developer Intern</t>
        </is>
      </c>
      <c r="D21995" t="inlineStr">
        <is>
          <t>Công Ty TNHH Trace - Tec Việt Nam</t>
        </is>
      </c>
      <c r="E21995" t="inlineStr">
        <is>
          <t>Lương:Cạnh tranh</t>
        </is>
      </c>
      <c r="F21995" t="inlineStr">
        <is>
          <t>Hà Nội</t>
        </is>
      </c>
      <c r="G21995" t="inlineStr">
        <is>
          <t>04-04-2026</t>
        </is>
      </c>
      <c r="H21995" t="inlineStr">
        <is>
          <t>04/04/2026</t>
        </is>
      </c>
      <c r="I21995" t="inlineStr">
        <is>
          <t>17/03/2026</t>
        </is>
      </c>
      <c r="J21995" t="inlineStr">
        <is>
          <t>CNTT - Phần mềm</t>
        </is>
      </c>
      <c r="K21995" t="inlineStr">
        <is>
          <t>N/A</t>
        </is>
      </c>
      <c r="L21995" s="8">
        <f>HYPERLINK("https://careerviet.vn/vi/tim-viec-lam/fullstack-developer-intern.35C6AEC8.html","Xem chi tiết")</f>
        <v/>
      </c>
    </row>
    <row r="21996">
      <c r="B21996" s="9" t="n">
        <v>21994</v>
      </c>
      <c r="C21996" s="10" t="inlineStr">
        <is>
          <t>Thực Tập Sinh Chứng Từ Vận Tải Nội Địa</t>
        </is>
      </c>
      <c r="D21996" s="10" t="inlineStr">
        <is>
          <t>CÔNG TY CỔ PHẦN  ITL LOGISTICS</t>
        </is>
      </c>
      <c r="E21996" s="10" t="inlineStr">
        <is>
          <t>Lương:Lên đến 1 Tr VND</t>
        </is>
      </c>
      <c r="F21996" s="10" t="inlineStr">
        <is>
          <t>Bình Dương</t>
        </is>
      </c>
      <c r="G21996" s="10" t="inlineStr">
        <is>
          <t>3</t>
        </is>
      </c>
      <c r="H21996" s="10" t="inlineStr">
        <is>
          <t>20/03/2026</t>
        </is>
      </c>
      <c r="I21996" s="10" t="inlineStr">
        <is>
          <t>17/03/2026</t>
        </is>
      </c>
      <c r="J21996" s="10" t="inlineStr">
        <is>
          <t>Xuất nhập khẩu</t>
        </is>
      </c>
      <c r="K21996" s="10" t="inlineStr">
        <is>
          <t>N/A</t>
        </is>
      </c>
      <c r="L21996" s="11">
        <f>HYPERLINK("https://careerviet.vn/vi/tim-viec-lam/thuc-tap-sinh-chung-tu-van-tai-noi-dia.35C6AEFC.html","Xem chi tiết")</f>
        <v/>
      </c>
      <c r="M21996" s="10" t="n"/>
    </row>
    <row r="21997">
      <c r="B21997" s="7" t="n">
        <v>21995</v>
      </c>
      <c r="C21997" t="inlineStr">
        <is>
          <t>Thực tập sinh Marketing</t>
        </is>
      </c>
      <c r="D21997" t="inlineStr">
        <is>
          <t>Công Ty TNHH Trang Thiết Bị Nha Khoa</t>
        </is>
      </c>
      <c r="E21997" t="inlineStr">
        <is>
          <t>Lương:4 Tr - 6 Tr VND</t>
        </is>
      </c>
      <c r="F21997" t="inlineStr">
        <is>
          <t>Hồ Chí Minh</t>
        </is>
      </c>
      <c r="G21997" t="inlineStr">
        <is>
          <t>31-03-2026</t>
        </is>
      </c>
      <c r="H21997" t="inlineStr">
        <is>
          <t>31/03/2026</t>
        </is>
      </c>
      <c r="I21997" t="inlineStr">
        <is>
          <t>17/03/2026</t>
        </is>
      </c>
      <c r="J21997" t="inlineStr">
        <is>
          <t>Tiếp thị / Marketing, Y tế / Chăm sóc sức khỏe / Thẩm mỹ / Làm đẹp, Tiếp thị trực tuyến</t>
        </is>
      </c>
      <c r="K21997" t="inlineStr">
        <is>
          <t>N/A</t>
        </is>
      </c>
      <c r="L21997" s="8">
        <f>HYPERLINK("https://careerviet.vn/vi/tim-viec-lam/thuc-tap-sinh-marketing.35C6AF82.html","Xem chi tiết")</f>
        <v/>
      </c>
    </row>
    <row r="21998">
      <c r="B21998" s="9" t="n">
        <v>21996</v>
      </c>
      <c r="C21998" s="10" t="inlineStr">
        <is>
          <t>Thực tập sinh Kế toán</t>
        </is>
      </c>
      <c r="D21998" s="10" t="inlineStr">
        <is>
          <t>Công ty Cổ phần Tập đoàn KITA Group</t>
        </is>
      </c>
      <c r="E21998" s="10" t="inlineStr">
        <is>
          <t>Lương:3,8 Tr - 4 Tr VND</t>
        </is>
      </c>
      <c r="F21998" s="10" t="inlineStr">
        <is>
          <t>Hồ Chí Minh</t>
        </is>
      </c>
      <c r="G21998" s="10" t="inlineStr">
        <is>
          <t>30-04-2026</t>
        </is>
      </c>
      <c r="H21998" s="10" t="inlineStr">
        <is>
          <t>30/04/2026</t>
        </is>
      </c>
      <c r="I21998" s="10" t="inlineStr">
        <is>
          <t>17/03/2026</t>
        </is>
      </c>
      <c r="J21998" s="10" t="inlineStr">
        <is>
          <t>Kế toán / Kiểm toán, Ngân hàng, Mới tốt nghiệp / Thực tập</t>
        </is>
      </c>
      <c r="K21998" s="10" t="inlineStr">
        <is>
          <t>N/A</t>
        </is>
      </c>
      <c r="L21998" s="11">
        <f>HYPERLINK("https://careerviet.vn/vi/tim-viec-lam/thuc-tap-sinh-ke-toan.35C6AF7D.html","Xem chi tiết")</f>
        <v/>
      </c>
      <c r="M21998" s="10" t="n"/>
    </row>
    <row r="21999">
      <c r="B21999" s="7" t="n">
        <v>21997</v>
      </c>
      <c r="C21999" t="inlineStr">
        <is>
          <t>Thực Tập Sinh Kế Toán</t>
        </is>
      </c>
      <c r="D21999" t="inlineStr">
        <is>
          <t>Hotel Indigo Saigon</t>
        </is>
      </c>
      <c r="E21999" t="inlineStr">
        <is>
          <t>Lương:1 Tr - 1 Tr VND</t>
        </is>
      </c>
      <c r="F21999" t="inlineStr">
        <is>
          <t>Hồ Chí Minh</t>
        </is>
      </c>
      <c r="G21999" t="inlineStr">
        <is>
          <t>31-03-2026</t>
        </is>
      </c>
      <c r="H21999" t="inlineStr">
        <is>
          <t>31/03/2026</t>
        </is>
      </c>
      <c r="I21999" t="inlineStr">
        <is>
          <t>17/03/2026</t>
        </is>
      </c>
      <c r="J21999" t="inlineStr">
        <is>
          <t>Kế toán / Kiểm toán, Nhà hàng / Khách sạn</t>
        </is>
      </c>
      <c r="K21999" t="inlineStr">
        <is>
          <t>N/A</t>
        </is>
      </c>
      <c r="L21999" s="8">
        <f>HYPERLINK("https://careerviet.vn/vi/tim-viec-lam/thuc-tap-sinh-ke-toan.35C68DB9.html","Xem chi tiết")</f>
        <v/>
      </c>
    </row>
    <row r="22000">
      <c r="B22000" s="9" t="n">
        <v>21998</v>
      </c>
      <c r="C22000" s="10" t="inlineStr">
        <is>
          <t>Trợ lý luật sư</t>
        </is>
      </c>
      <c r="D22000" s="10" t="inlineStr">
        <is>
          <t>Công ty Luật TNHH Hiển và Cộng sự</t>
        </is>
      </c>
      <c r="E22000" s="10" t="inlineStr">
        <is>
          <t>Lương:Cạnh tranh</t>
        </is>
      </c>
      <c r="F22000" s="10" t="inlineStr">
        <is>
          <t>Hồ Chí Minh</t>
        </is>
      </c>
      <c r="G22000" s="10" t="inlineStr">
        <is>
          <t>31-03-2026</t>
        </is>
      </c>
      <c r="H22000" s="10" t="inlineStr">
        <is>
          <t>31/03/2026</t>
        </is>
      </c>
      <c r="I22000" s="10" t="inlineStr">
        <is>
          <t>17/03/2026</t>
        </is>
      </c>
      <c r="J22000" s="10" t="inlineStr">
        <is>
          <t>Luật / Pháp lý</t>
        </is>
      </c>
      <c r="K22000" s="10" t="inlineStr">
        <is>
          <t>N/A</t>
        </is>
      </c>
      <c r="L22000" s="11">
        <f>HYPERLINK("https://careerviet.vn/vi/tim-viec-lam/tro-ly-luat-su.35C6ADA7.html","Xem chi tiết")</f>
        <v/>
      </c>
      <c r="M22000" s="10" t="n"/>
    </row>
    <row r="22001">
      <c r="B22001" s="7" t="n">
        <v>21999</v>
      </c>
      <c r="C22001" t="inlineStr">
        <is>
          <t>Lab Technician Intern</t>
        </is>
      </c>
      <c r="D22001" t="inlineStr">
        <is>
          <t>Viet Thai International</t>
        </is>
      </c>
      <c r="E22001" t="inlineStr">
        <is>
          <t>Lương:Lên đến 3 Tr VND</t>
        </is>
      </c>
      <c r="F22001" t="inlineStr">
        <is>
          <t>Hồ Chí Minh</t>
        </is>
      </c>
      <c r="G22001" t="inlineStr">
        <is>
          <t>6</t>
        </is>
      </c>
      <c r="H22001" t="inlineStr">
        <is>
          <t>23/03/2026</t>
        </is>
      </c>
      <c r="I22001" t="inlineStr">
        <is>
          <t>17/03/2026</t>
        </is>
      </c>
      <c r="J22001" t="inlineStr">
        <is>
          <t>Thực phẩm &amp; Đồ uống, Công nghệ thực phẩm / Dinh dưỡng</t>
        </is>
      </c>
      <c r="K22001" t="inlineStr">
        <is>
          <t>N/A</t>
        </is>
      </c>
      <c r="L22001" s="8">
        <f>HYPERLINK("https://careerviet.vn/vi/tim-viec-lam/lab-technician-intern.35C68D30.html","Xem chi tiết")</f>
        <v/>
      </c>
    </row>
    <row r="22002">
      <c r="B22002" s="9" t="n">
        <v>22000</v>
      </c>
      <c r="C22002" s="10" t="inlineStr">
        <is>
          <t>Chuyên Viên Tài Chính</t>
        </is>
      </c>
      <c r="D22002" s="10" t="inlineStr">
        <is>
          <t>CÔNG TY CỔ PHẦN ĐẦU TƯ XÂY DỰNG TRUNG NAM  - TRUNGNAM</t>
        </is>
      </c>
      <c r="E22002" s="10" t="inlineStr">
        <is>
          <t>Lương:Cạnh tranh</t>
        </is>
      </c>
      <c r="F22002" s="10" t="inlineStr">
        <is>
          <t>Hồ Chí Minh</t>
        </is>
      </c>
      <c r="G22002" s="10" t="inlineStr">
        <is>
          <t>5</t>
        </is>
      </c>
      <c r="H22002" s="10" t="inlineStr">
        <is>
          <t>22/03/2026</t>
        </is>
      </c>
      <c r="I22002" s="10" t="inlineStr">
        <is>
          <t>17/03/2026</t>
        </is>
      </c>
      <c r="J22002" s="10" t="inlineStr">
        <is>
          <t>Tài chính / Đầu tư, Ngân hàng, Chứng khoán</t>
        </is>
      </c>
      <c r="K22002" s="10" t="inlineStr">
        <is>
          <t>N/A</t>
        </is>
      </c>
      <c r="L22002" s="11">
        <f>HYPERLINK("https://careerviet.vn/vi/tim-viec-lam/chuyen-vien-tai-chinh.35C68CA7.html","Xem chi tiết")</f>
        <v/>
      </c>
      <c r="M22002" s="10" t="n"/>
    </row>
    <row r="22003">
      <c r="B22003" s="7" t="n">
        <v>22001</v>
      </c>
      <c r="C22003" t="inlineStr">
        <is>
          <t>Thực Tập Sinh Marketing (Mảng TikTok) - Intern/Fresher</t>
        </is>
      </c>
      <c r="D22003" t="inlineStr">
        <is>
          <t>CÔNG TY CỔ PHẦN GREEN SPEED</t>
        </is>
      </c>
      <c r="E22003" t="inlineStr">
        <is>
          <t>Lương:1,7 Tr - 2 Tr VND</t>
        </is>
      </c>
      <c r="F22003" t="inlineStr">
        <is>
          <t>Hồ Chí Minh</t>
        </is>
      </c>
      <c r="G22003" t="inlineStr">
        <is>
          <t>05-04-2026</t>
        </is>
      </c>
      <c r="H22003" t="inlineStr">
        <is>
          <t>05/04/2026</t>
        </is>
      </c>
      <c r="I22003" t="inlineStr">
        <is>
          <t>17/03/2026</t>
        </is>
      </c>
      <c r="J22003" t="inlineStr">
        <is>
          <t>Mới tốt nghiệp / Thực tập, Tiếp thị / Marketing, Quảng cáo / Đối ngoại / Truyền Thông</t>
        </is>
      </c>
      <c r="K22003" t="inlineStr">
        <is>
          <t>N/A</t>
        </is>
      </c>
      <c r="L22003" s="8">
        <f>HYPERLINK("https://careerviet.vn/vi/tim-viec-lam/thuc-tap-sinh-marketing-mang-tiktok-intern-fresher.35C6AC65.html","Xem chi tiết")</f>
        <v/>
      </c>
    </row>
    <row r="22004">
      <c r="B22004" s="9" t="n">
        <v>22002</v>
      </c>
      <c r="C22004" s="10" t="inlineStr">
        <is>
          <t>Trợ Lý Marketing</t>
        </is>
      </c>
      <c r="D22004" s="10" t="inlineStr">
        <is>
          <t>Công Ty TNHH MTV Jordan Manufacturing Việt Nam</t>
        </is>
      </c>
      <c r="E22004" s="10" t="inlineStr">
        <is>
          <t>Lương:Trên 10 Tr VND</t>
        </is>
      </c>
      <c r="F22004" s="10" t="inlineStr">
        <is>
          <t>Hồ Chí Minh</t>
        </is>
      </c>
      <c r="G22004" s="10" t="inlineStr">
        <is>
          <t>31-03-2026</t>
        </is>
      </c>
      <c r="H22004" s="10" t="inlineStr">
        <is>
          <t>31/03/2026</t>
        </is>
      </c>
      <c r="I22004" s="10" t="inlineStr">
        <is>
          <t>17/03/2026</t>
        </is>
      </c>
      <c r="J22004" s="10" t="inlineStr">
        <is>
          <t>Tiếp thị / Marketing, Tiếp thị trực tuyến, Hành chính / Thư ký</t>
        </is>
      </c>
      <c r="K22004" s="10" t="inlineStr">
        <is>
          <t>N/A</t>
        </is>
      </c>
      <c r="L22004" s="11">
        <f>HYPERLINK("https://careerviet.vn/vi/tim-viec-lam/tro-ly-marketing.35C68D32.html","Xem chi tiết")</f>
        <v/>
      </c>
      <c r="M22004" s="10" t="n"/>
    </row>
    <row r="22005">
      <c r="B22005" s="7" t="n">
        <v>22003</v>
      </c>
      <c r="C22005" t="inlineStr">
        <is>
          <t>Thực Tập Sinh Thiết Kế Đồ Họa (Design)</t>
        </is>
      </c>
      <c r="D22005" t="inlineStr">
        <is>
          <t>Công Ty TNHH TVT Holdings</t>
        </is>
      </c>
      <c r="E22005" t="inlineStr">
        <is>
          <t>Lương:1,5 Tr - 2,5 Tr VND</t>
        </is>
      </c>
      <c r="F22005" t="inlineStr">
        <is>
          <t>Hồ Chí Minh</t>
        </is>
      </c>
      <c r="G22005" t="inlineStr">
        <is>
          <t>6</t>
        </is>
      </c>
      <c r="H22005" t="inlineStr">
        <is>
          <t>23/03/2026</t>
        </is>
      </c>
      <c r="I22005" t="inlineStr">
        <is>
          <t>17/03/2026</t>
        </is>
      </c>
      <c r="J22005" t="inlineStr">
        <is>
          <t>Mỹ thuật / Nghệ thuật / Thiết kế</t>
        </is>
      </c>
      <c r="K22005" t="inlineStr">
        <is>
          <t>N/A</t>
        </is>
      </c>
      <c r="L22005" s="8">
        <f>HYPERLINK("https://careerviet.vn/vi/tim-viec-lam/thuc-tap-sinh-thiet-ke-do-hoa-design.35C68D7A.html","Xem chi tiết")</f>
        <v/>
      </c>
    </row>
    <row r="22006">
      <c r="B22006" s="9" t="n">
        <v>22004</v>
      </c>
      <c r="C22006" s="10" t="inlineStr">
        <is>
          <t>Nhân viên hành chính nhân sự</t>
        </is>
      </c>
      <c r="D22006" s="10" t="inlineStr">
        <is>
          <t>CÔNG TY TNHH ATLAS INTER-LOGS GROUP</t>
        </is>
      </c>
      <c r="E22006" s="10" t="inlineStr">
        <is>
          <t>Lương:7 Tr - 8 Tr VND</t>
        </is>
      </c>
      <c r="F22006" s="10" t="inlineStr">
        <is>
          <t>Hồ Chí Minh</t>
        </is>
      </c>
      <c r="G22006" s="10" t="inlineStr">
        <is>
          <t>5</t>
        </is>
      </c>
      <c r="H22006" s="10" t="inlineStr">
        <is>
          <t>22/03/2026</t>
        </is>
      </c>
      <c r="I22006" s="10" t="inlineStr">
        <is>
          <t>17/03/2026</t>
        </is>
      </c>
      <c r="J22006" s="10" t="inlineStr">
        <is>
          <t>Hành chính / Thư ký, Vận chuyển / Giao nhận / Kho vận</t>
        </is>
      </c>
      <c r="K22006" s="10" t="inlineStr">
        <is>
          <t>N/A</t>
        </is>
      </c>
      <c r="L22006" s="11">
        <f>HYPERLINK("https://careerviet.vn/vi/tim-viec-lam/nhan-vien-hanh-chinh-nhan-su.35C68D9F.html","Xem chi tiết")</f>
        <v/>
      </c>
      <c r="M22006" s="10" t="n"/>
    </row>
    <row r="22007">
      <c r="B22007" s="7" t="n">
        <v>22005</v>
      </c>
      <c r="C22007" t="inlineStr">
        <is>
          <t>Thực tập sinh kế toán</t>
        </is>
      </c>
      <c r="D22007" t="inlineStr">
        <is>
          <t>GAAP VN Co. Ltd</t>
        </is>
      </c>
      <c r="E22007" t="inlineStr">
        <is>
          <t>Lương:2 Tr - 4 Tr VND</t>
        </is>
      </c>
      <c r="F22007" t="inlineStr">
        <is>
          <t>Hồ Chí Minh</t>
        </is>
      </c>
      <c r="G22007" t="inlineStr">
        <is>
          <t>23-02-2026</t>
        </is>
      </c>
      <c r="H22007" t="inlineStr">
        <is>
          <t>13/03/2026</t>
        </is>
      </c>
      <c r="I22007" t="inlineStr">
        <is>
          <t>17/03/2026</t>
        </is>
      </c>
      <c r="J22007" t="inlineStr">
        <is>
          <t>Kế toán / Kiểm toán, Tài chính / Đầu tư, Ngân hàng</t>
        </is>
      </c>
      <c r="K22007" t="inlineStr">
        <is>
          <t>N/A</t>
        </is>
      </c>
      <c r="L22007" s="8">
        <f>HYPERLINK("https://careerviet.vn/vi/tim-viec-lam/thuc-tap-sinh-ke-toan.35C68CAD.html","Xem chi tiết")</f>
        <v/>
      </c>
    </row>
    <row r="22008">
      <c r="B22008" s="9" t="n">
        <v>22006</v>
      </c>
      <c r="C22008" s="10" t="inlineStr">
        <is>
          <t>TTS Digital Marketing - TikTok Ads</t>
        </is>
      </c>
      <c r="D22008" s="10" t="inlineStr">
        <is>
          <t>Công ty Cổ phần Công nghệ UpBase</t>
        </is>
      </c>
      <c r="E22008" s="10" t="inlineStr">
        <is>
          <t>Lương:3 Tr - 6 Tr VND</t>
        </is>
      </c>
      <c r="F22008" s="10" t="inlineStr">
        <is>
          <t>Hà Nội</t>
        </is>
      </c>
      <c r="G22008" s="10" t="inlineStr">
        <is>
          <t>31-03-2026</t>
        </is>
      </c>
      <c r="H22008" s="10" t="inlineStr">
        <is>
          <t>31/03/2026</t>
        </is>
      </c>
      <c r="I22008" s="10" t="inlineStr">
        <is>
          <t>17/03/2026</t>
        </is>
      </c>
      <c r="J22008" s="10" t="inlineStr">
        <is>
          <t>Thương mại điện tử, Tiếp thị / Marketing, CNTT - Phần mềm</t>
        </is>
      </c>
      <c r="K22008" s="10" t="inlineStr">
        <is>
          <t>N/A</t>
        </is>
      </c>
      <c r="L22008" s="11">
        <f>HYPERLINK("https://careerviet.vn/vi/tim-viec-lam/tts-digital-marketing-tiktok-ads.35C68C95.html","Xem chi tiết")</f>
        <v/>
      </c>
      <c r="M22008" s="10" t="n"/>
    </row>
    <row r="22009">
      <c r="B22009" s="7" t="n">
        <v>22007</v>
      </c>
      <c r="C22009" t="inlineStr">
        <is>
          <t>KỸ SƯ DỰ TOÁN</t>
        </is>
      </c>
      <c r="D22009" t="inlineStr">
        <is>
          <t>CÔNG TY CỔ PHẦN TẬP ĐOÀN QUỐC TẾ ST</t>
        </is>
      </c>
      <c r="E22009" t="inlineStr">
        <is>
          <t>Lương:12 Tr - 14 Tr VND</t>
        </is>
      </c>
      <c r="F22009" t="inlineStr">
        <is>
          <t>Hồ Chí Minh</t>
        </is>
      </c>
      <c r="G22009" t="inlineStr">
        <is>
          <t>31-03-2026</t>
        </is>
      </c>
      <c r="H22009" t="inlineStr">
        <is>
          <t>31/03/2026</t>
        </is>
      </c>
      <c r="I22009" t="inlineStr">
        <is>
          <t>17/03/2026</t>
        </is>
      </c>
      <c r="J22009" t="inlineStr">
        <is>
          <t>: Kiến trúc, nội thất, xây dựng, thiết kế- Số lượng tuyển dụng: 02- Giới tính: Không yêu cầu- Tính chất công việc: Giờ hành chính-</t>
        </is>
      </c>
      <c r="K22009" t="inlineStr">
        <is>
          <t>N/A</t>
        </is>
      </c>
      <c r="L22009" s="8">
        <f>HYPERLINK("https://careerviet.vn/vi/tim-viec-lam/ky-su-du-toan.35C6AE75.html","Xem chi tiết")</f>
        <v/>
      </c>
    </row>
    <row r="22010">
      <c r="B22010" s="9" t="n">
        <v>22008</v>
      </c>
      <c r="C22010" s="10" t="inlineStr">
        <is>
          <t>Thực tập sinh Sales Logistics</t>
        </is>
      </c>
      <c r="D22010" s="10" t="inlineStr">
        <is>
          <t>Công ty TNHH Giao Nhận Vận Tải Cargotrans Việt Nam</t>
        </is>
      </c>
      <c r="E22010" s="10" t="inlineStr">
        <is>
          <t>Lương:2 Tr - 6 Tr VND</t>
        </is>
      </c>
      <c r="F22010" s="10" t="inlineStr">
        <is>
          <t>Hà Nội</t>
        </is>
      </c>
      <c r="G22010" s="10" t="inlineStr">
        <is>
          <t>30-03-2026</t>
        </is>
      </c>
      <c r="H22010" s="10" t="inlineStr">
        <is>
          <t>30/03/2026</t>
        </is>
      </c>
      <c r="I22010" s="10" t="inlineStr">
        <is>
          <t>17/03/2026</t>
        </is>
      </c>
      <c r="J22010" s="10" t="inlineStr">
        <is>
          <t>Xuất nhập khẩu</t>
        </is>
      </c>
      <c r="K22010" s="10" t="inlineStr">
        <is>
          <t>N/A</t>
        </is>
      </c>
      <c r="L22010" s="11">
        <f>HYPERLINK("https://careerviet.vn/vi/tim-viec-lam/thuc-tap-sinh-sales-logistics.35C68D72.html","Xem chi tiết")</f>
        <v/>
      </c>
      <c r="M22010" s="10" t="n"/>
    </row>
    <row r="22011">
      <c r="B22011" s="7" t="n">
        <v>22009</v>
      </c>
      <c r="C22011" t="inlineStr">
        <is>
          <t>Thực tập sinh Booking KOC/KOL (Đào tạo lên Chính thức)</t>
        </is>
      </c>
      <c r="D22011" t="inlineStr">
        <is>
          <t>Công ty Cổ phần Công nghệ UpBase</t>
        </is>
      </c>
      <c r="E22011" t="inlineStr">
        <is>
          <t>Lương:3 Tr - 5 Tr VND</t>
        </is>
      </c>
      <c r="F22011" t="inlineStr">
        <is>
          <t>Hà Nội</t>
        </is>
      </c>
      <c r="G22011" t="inlineStr">
        <is>
          <t>31-03-2026</t>
        </is>
      </c>
      <c r="H22011" t="inlineStr">
        <is>
          <t>31/03/2026</t>
        </is>
      </c>
      <c r="I22011" t="inlineStr">
        <is>
          <t>17/03/2026</t>
        </is>
      </c>
      <c r="J22011" t="inlineStr">
        <is>
          <t>Tiếp thị / Marketing, Thương mại điện tử, Mới tốt nghiệp / Thực tập</t>
        </is>
      </c>
      <c r="K22011" t="inlineStr">
        <is>
          <t>N/A</t>
        </is>
      </c>
      <c r="L22011" s="8">
        <f>HYPERLINK("https://careerviet.vn/vi/tim-viec-lam/thuc-tap-sinh-booking-koc-kol-dao-tao-len-chinh-thuc.35C68C94.html","Xem chi tiết")</f>
        <v/>
      </c>
    </row>
    <row r="22012">
      <c r="B22012" s="9" t="n">
        <v>22010</v>
      </c>
      <c r="C22012" s="10" t="inlineStr">
        <is>
          <t>Thực tập sinh Tuyển dụng</t>
        </is>
      </c>
      <c r="D22012" s="10" t="inlineStr">
        <is>
          <t>CÔNG TY CỔ PHẦN KINH DOANH F88</t>
        </is>
      </c>
      <c r="E22012" s="10" t="inlineStr">
        <is>
          <t>Lương:3 Tr - 5 Tr VND</t>
        </is>
      </c>
      <c r="F22012" s="10" t="inlineStr">
        <is>
          <t>Hà Nội</t>
        </is>
      </c>
      <c r="G22012" s="10" t="inlineStr">
        <is>
          <t>31-03-2026</t>
        </is>
      </c>
      <c r="H22012" s="10" t="inlineStr">
        <is>
          <t>31/03/2026</t>
        </is>
      </c>
      <c r="I22012" s="10" t="inlineStr">
        <is>
          <t>17/03/2026</t>
        </is>
      </c>
      <c r="J22012" s="10" t="inlineStr">
        <is>
          <t>Nhân sự, Hành chính / Thư ký, Mới tốt nghiệp / Thực tập</t>
        </is>
      </c>
      <c r="K22012" s="10" t="inlineStr">
        <is>
          <t>N/A</t>
        </is>
      </c>
      <c r="L22012" s="11">
        <f>HYPERLINK("https://careerviet.vn/vi/tim-viec-lam/thuc-tap-sinh-tuyen-dung.35C6AA70.html","Xem chi tiết")</f>
        <v/>
      </c>
      <c r="M22012" s="10" t="n"/>
    </row>
    <row r="22013">
      <c r="B22013" s="7" t="n">
        <v>22011</v>
      </c>
      <c r="C22013" t="inlineStr">
        <is>
          <t>TTS Nhà Quản Trị Tương Lai (Management Trainee)</t>
        </is>
      </c>
      <c r="D22013" t="inlineStr">
        <is>
          <t>Công ty Cổ phần Công nghệ UpBase</t>
        </is>
      </c>
      <c r="E22013" t="inlineStr">
        <is>
          <t>Lương:5 Tr - 10 Tr VND</t>
        </is>
      </c>
      <c r="F22013" t="inlineStr">
        <is>
          <t>Hà Nội</t>
        </is>
      </c>
      <c r="G22013" t="inlineStr">
        <is>
          <t>31-03-2026</t>
        </is>
      </c>
      <c r="H22013" t="inlineStr">
        <is>
          <t>31/03/2026</t>
        </is>
      </c>
      <c r="I22013" t="inlineStr">
        <is>
          <t>17/03/2026</t>
        </is>
      </c>
      <c r="J22013" t="inlineStr">
        <is>
          <t>Thương mại điện tử, Tiếp thị / Marketing, Bán hàng / Kinh doanh</t>
        </is>
      </c>
      <c r="K22013" t="inlineStr">
        <is>
          <t>N/A</t>
        </is>
      </c>
      <c r="L22013" s="8">
        <f>HYPERLINK("https://careerviet.vn/vi/tim-viec-lam/tts-nha-quan-tri-tuong-lai-management-trainee.35C68C93.html","Xem chi tiết")</f>
        <v/>
      </c>
    </row>
    <row r="22014">
      <c r="B22014" s="9" t="n">
        <v>22012</v>
      </c>
      <c r="C22014" s="10" t="inlineStr">
        <is>
          <t>Unity Developer</t>
        </is>
      </c>
      <c r="D22014" s="10" t="inlineStr">
        <is>
          <t>Replay Global</t>
        </is>
      </c>
      <c r="E22014" s="10" t="inlineStr">
        <is>
          <t>Lương:8 Tr - 25 Tr VND</t>
        </is>
      </c>
      <c r="F22014" s="10" t="inlineStr">
        <is>
          <t>Hồ Chí Minh</t>
        </is>
      </c>
      <c r="G22014" s="10" t="inlineStr">
        <is>
          <t>6</t>
        </is>
      </c>
      <c r="H22014" s="10" t="inlineStr">
        <is>
          <t>23/03/2026</t>
        </is>
      </c>
      <c r="I22014" s="10" t="inlineStr">
        <is>
          <t>17/03/2026</t>
        </is>
      </c>
      <c r="J22014" s="10" t="inlineStr">
        <is>
          <t>CNTT - Phần mềm</t>
        </is>
      </c>
      <c r="K22014" s="10" t="inlineStr">
        <is>
          <t>N/A</t>
        </is>
      </c>
      <c r="L22014" s="11">
        <f>HYPERLINK("https://careerviet.vn/vi/tim-viec-lam/unity-developer.35C68CFD.html","Xem chi tiết")</f>
        <v/>
      </c>
      <c r="M22014" s="10" t="n"/>
    </row>
    <row r="22015">
      <c r="B22015" s="7" t="n">
        <v>22013</v>
      </c>
      <c r="C22015" t="inlineStr">
        <is>
          <t>Thực tập sinh Digital Marketing Đào Tạo Từ TTS 1 Tháng Lên Chính Thức</t>
        </is>
      </c>
      <c r="D22015" t="inlineStr">
        <is>
          <t>Công ty Cổ phần Công nghệ UpBase</t>
        </is>
      </c>
      <c r="E22015" t="inlineStr">
        <is>
          <t>Lương:3 Tr - 5 Tr VND</t>
        </is>
      </c>
      <c r="F22015" t="inlineStr">
        <is>
          <t>Hà Nội</t>
        </is>
      </c>
      <c r="G22015" t="inlineStr">
        <is>
          <t>31-03-2026</t>
        </is>
      </c>
      <c r="H22015" t="inlineStr">
        <is>
          <t>31/03/2026</t>
        </is>
      </c>
      <c r="I22015" t="inlineStr">
        <is>
          <t>17/03/2026</t>
        </is>
      </c>
      <c r="J22015" t="inlineStr">
        <is>
          <t>Tiếp thị / Marketing, Thương mại điện tử, Mới tốt nghiệp / Thực tập</t>
        </is>
      </c>
      <c r="K22015" t="inlineStr">
        <is>
          <t>N/A</t>
        </is>
      </c>
      <c r="L22015" s="8">
        <f>HYPERLINK("https://careerviet.vn/vi/tim-viec-lam/thuc-tap-sinh-digital-marketing-dao-tao-tu-tts-1-thang-len-chinh-thuc.35C68C92.html","Xem chi tiết")</f>
        <v/>
      </c>
    </row>
    <row r="22016">
      <c r="B22016" s="9" t="n">
        <v>22014</v>
      </c>
      <c r="C22016" s="10" t="inlineStr">
        <is>
          <t>TECH GEN 2026 - TÀI NĂNG TRẺ KỸ THUẬT HÀNG KHÔNG</t>
        </is>
      </c>
      <c r="D22016" s="10" t="inlineStr">
        <is>
          <t>Công ty TNHH Hàng không Mặt trời Phú Quốc</t>
        </is>
      </c>
      <c r="E22016" s="10" t="inlineStr">
        <is>
          <t>Lương:Cạnh tranh</t>
        </is>
      </c>
      <c r="F22016" s="10" t="inlineStr">
        <is>
          <t>Hà Nội</t>
        </is>
      </c>
      <c r="G22016" s="10" t="inlineStr">
        <is>
          <t>20-02-2026</t>
        </is>
      </c>
      <c r="H22016" s="10" t="inlineStr">
        <is>
          <t>10/03/2026</t>
        </is>
      </c>
      <c r="I22016" s="10" t="inlineStr">
        <is>
          <t>17/03/2026</t>
        </is>
      </c>
      <c r="J22016" s="10" t="inlineStr">
        <is>
          <t>Bảo trì / Sửa chữa</t>
        </is>
      </c>
      <c r="K22016" s="10" t="inlineStr">
        <is>
          <t>N/A</t>
        </is>
      </c>
      <c r="L22016" s="11">
        <f>HYPERLINK("https://careerviet.vn/vi/tim-viec-lam/tech-gen-2026-tai-nang-tre-ky-thuat-hang-khong.35C684CB.html","Xem chi tiết")</f>
        <v/>
      </c>
      <c r="M22016" s="10" t="n"/>
    </row>
    <row r="22017">
      <c r="B22017" s="7" t="n">
        <v>22015</v>
      </c>
      <c r="C22017" t="inlineStr">
        <is>
          <t>Telemarketer</t>
        </is>
      </c>
      <c r="D22017" t="inlineStr">
        <is>
          <t>Charlton Media Group</t>
        </is>
      </c>
      <c r="E22017" t="inlineStr">
        <is>
          <t>Lương:8 Tr - 9,5 Tr VND</t>
        </is>
      </c>
      <c r="F22017" t="inlineStr">
        <is>
          <t>Hồ Chí Minh</t>
        </is>
      </c>
      <c r="G22017" t="inlineStr">
        <is>
          <t>19-02-2026</t>
        </is>
      </c>
      <c r="H22017" t="inlineStr">
        <is>
          <t>07/03/2026</t>
        </is>
      </c>
      <c r="I22017" t="inlineStr">
        <is>
          <t>17/03/2026</t>
        </is>
      </c>
      <c r="J22017" t="inlineStr">
        <is>
          <t>Bán hàng / Kinh doanh</t>
        </is>
      </c>
      <c r="K22017" t="inlineStr">
        <is>
          <t>N/A</t>
        </is>
      </c>
      <c r="L22017" s="8">
        <f>HYPERLINK("https://careerviet.vn/vi/tim-viec-lam/telemarketer.35C68BFF.html","Xem chi tiết")</f>
        <v/>
      </c>
    </row>
    <row r="22018">
      <c r="B22018" s="9" t="n">
        <v>22016</v>
      </c>
      <c r="C22018" s="10" t="inlineStr">
        <is>
          <t>Thực Tập Sinh Tiềm năng - HDBank Future Banker - Đông Nam Bộ</t>
        </is>
      </c>
      <c r="D22018" s="10" t="inlineStr">
        <is>
          <t>Ngân hàng TMCP Phát triển TP.HCM (HDBank)</t>
        </is>
      </c>
      <c r="E22018" s="10" t="inlineStr">
        <is>
          <t>Lương:2 Tr - 6 Tr VND</t>
        </is>
      </c>
      <c r="F22018" s="10" t="inlineStr">
        <is>
          <t>Bà Rịa - Vũng TàuBình DươngTây Ninh</t>
        </is>
      </c>
      <c r="G22018" s="10" t="inlineStr">
        <is>
          <t>15-02-2026</t>
        </is>
      </c>
      <c r="H22018" s="10" t="inlineStr">
        <is>
          <t>07/03/2026</t>
        </is>
      </c>
      <c r="I22018" s="10" t="inlineStr">
        <is>
          <t>17/03/2026</t>
        </is>
      </c>
      <c r="J22018" s="10" t="inlineStr">
        <is>
          <t>Bán hàng / Kinh doanh, Ngân hàng, Mới tốt nghiệp / Thực tập</t>
        </is>
      </c>
      <c r="K22018" s="10" t="inlineStr">
        <is>
          <t>N/A</t>
        </is>
      </c>
      <c r="L22018" s="11">
        <f>HYPERLINK("https://careerviet.vn/vi/tim-viec-lam/thuc-tap-sinh-tiem-nang-hdbank-future-banker-dong-nam-bo.35C68B8E.html","Xem chi tiết")</f>
        <v/>
      </c>
      <c r="M22018" s="10" t="n"/>
    </row>
    <row r="22019">
      <c r="B22019" s="7" t="n">
        <v>22017</v>
      </c>
      <c r="C22019" t="inlineStr">
        <is>
          <t>Thực tập sinh Dev</t>
        </is>
      </c>
      <c r="D22019" t="inlineStr">
        <is>
          <t>Công ty TNHH TechVanguard</t>
        </is>
      </c>
      <c r="E22019" t="inlineStr">
        <is>
          <t>Lương:Cạnh tranh</t>
        </is>
      </c>
      <c r="F22019" t="inlineStr">
        <is>
          <t>Hồ Chí Minh</t>
        </is>
      </c>
      <c r="G22019" t="inlineStr">
        <is>
          <t>31-03-2026</t>
        </is>
      </c>
      <c r="H22019" t="inlineStr">
        <is>
          <t>31/03/2026</t>
        </is>
      </c>
      <c r="I22019" t="inlineStr">
        <is>
          <t>17/03/2026</t>
        </is>
      </c>
      <c r="J22019" t="inlineStr">
        <is>
          <t>CNTT - Phần mềm</t>
        </is>
      </c>
      <c r="K22019" t="inlineStr">
        <is>
          <t>N/A</t>
        </is>
      </c>
      <c r="L22019" s="8">
        <f>HYPERLINK("https://careerviet.vn/vi/tim-viec-lam/thuc-tap-sinh-dev.35C68B7A.html","Xem chi tiết")</f>
        <v/>
      </c>
    </row>
    <row r="22020">
      <c r="B22020" s="9" t="n">
        <v>22018</v>
      </c>
      <c r="C22020" s="10" t="inlineStr">
        <is>
          <t>Cộng tác viên</t>
        </is>
      </c>
      <c r="D22020" s="10" t="inlineStr">
        <is>
          <t>Công ty Cổ phần Dịch vụ và Tư vấn đầu tư VCI</t>
        </is>
      </c>
      <c r="E22020" s="10" t="inlineStr">
        <is>
          <t>Lương:10 Tr - 15 Tr VND</t>
        </is>
      </c>
      <c r="F22020" s="10" t="inlineStr">
        <is>
          <t>Phú Thọ</t>
        </is>
      </c>
      <c r="G22020" s="10" t="inlineStr">
        <is>
          <t>04-03-2026</t>
        </is>
      </c>
      <c r="H22020" s="10" t="inlineStr">
        <is>
          <t>14/03/2026</t>
        </is>
      </c>
      <c r="I22020" s="10" t="inlineStr">
        <is>
          <t>17/03/2026</t>
        </is>
      </c>
      <c r="J22020" s="10" t="inlineStr">
        <is>
          <t>Tiếp thị / Marketing, Bán hàng / Kinh doanh, Dịch vụ khách hàng</t>
        </is>
      </c>
      <c r="K22020" s="10" t="inlineStr">
        <is>
          <t>N/A</t>
        </is>
      </c>
      <c r="L22020" s="11">
        <f>HYPERLINK("https://careerviet.vn/vi/tim-viec-lam/cong-tac-vien.35C6AD45.html","Xem chi tiết")</f>
        <v/>
      </c>
      <c r="M22020" s="10" t="n"/>
    </row>
    <row r="22021">
      <c r="B22021" s="7" t="n">
        <v>22019</v>
      </c>
      <c r="C22021" t="inlineStr">
        <is>
          <t>Thực tập sinh Hội đồng học thuật</t>
        </is>
      </c>
      <c r="D22021" t="inlineStr">
        <is>
          <t>TRƯỜNG PHỔ THÔNG LIÊN CẤP H.A.S</t>
        </is>
      </c>
      <c r="E22021" t="inlineStr">
        <is>
          <t>Lương:1 Tr - 4 Tr VND</t>
        </is>
      </c>
      <c r="F22021" t="inlineStr">
        <is>
          <t>Hà Nội</t>
        </is>
      </c>
      <c r="G22021" t="inlineStr">
        <is>
          <t>31-03-2026</t>
        </is>
      </c>
      <c r="H22021" t="inlineStr">
        <is>
          <t>31/03/2026</t>
        </is>
      </c>
      <c r="I22021" t="inlineStr">
        <is>
          <t>17/03/2026</t>
        </is>
      </c>
      <c r="J22021" t="inlineStr">
        <is>
          <t>Giáo dục / Đào tạo</t>
        </is>
      </c>
      <c r="K22021" t="inlineStr">
        <is>
          <t>N/A</t>
        </is>
      </c>
      <c r="L22021" s="8">
        <f>HYPERLINK("https://careerviet.vn/vi/tim-viec-lam/thuc-tap-sinh-hoi-dong-hoc-thuat.35C68C5A.html","Xem chi tiết")</f>
        <v/>
      </c>
    </row>
    <row r="22022">
      <c r="B22022" s="9" t="n">
        <v>22020</v>
      </c>
      <c r="C22022" s="10" t="inlineStr">
        <is>
          <t>Thực tập sinh nhân sự</t>
        </is>
      </c>
      <c r="D22022" s="10" t="inlineStr">
        <is>
          <t>Công ty Cổ phần IntelLife</t>
        </is>
      </c>
      <c r="E22022" s="10" t="inlineStr">
        <is>
          <t>Lương:1 Tr - 2 Tr VND</t>
        </is>
      </c>
      <c r="F22022" s="10" t="inlineStr">
        <is>
          <t>Hà Nội</t>
        </is>
      </c>
      <c r="G22022" s="10" t="inlineStr">
        <is>
          <t>03-04-2026</t>
        </is>
      </c>
      <c r="H22022" s="10" t="inlineStr">
        <is>
          <t>03/04/2026</t>
        </is>
      </c>
      <c r="I22022" s="10" t="inlineStr">
        <is>
          <t>17/03/2026</t>
        </is>
      </c>
      <c r="J22022" s="10" t="inlineStr">
        <is>
          <t>Bán lẻ / Bán sỉ, Bán hàng / Kinh doanh</t>
        </is>
      </c>
      <c r="K22022" s="10" t="inlineStr">
        <is>
          <t>N/A</t>
        </is>
      </c>
      <c r="L22022" s="11">
        <f>HYPERLINK("https://careerviet.vn/vi/tim-viec-lam/thuc-tap-sinh-nhan-su.35C6ADB4.html","Xem chi tiết")</f>
        <v/>
      </c>
      <c r="M22022" s="10" t="n"/>
    </row>
    <row r="22023">
      <c r="B22023" s="7" t="n">
        <v>22021</v>
      </c>
      <c r="C22023" t="inlineStr">
        <is>
          <t>Thực tập sinh ngành Luật</t>
        </is>
      </c>
      <c r="D22023" t="inlineStr">
        <is>
          <t>CÔNG TY LUẬT TRÁCH NHIỆM HỮU HẠN NEW &amp; NEW</t>
        </is>
      </c>
      <c r="E22023" t="inlineStr">
        <is>
          <t>Lương:Cạnh tranh</t>
        </is>
      </c>
      <c r="F22023" t="inlineStr">
        <is>
          <t>Hồ Chí Minh</t>
        </is>
      </c>
      <c r="G22023" t="inlineStr">
        <is>
          <t>31-03-2026</t>
        </is>
      </c>
      <c r="H22023" t="inlineStr">
        <is>
          <t>31/03/2026</t>
        </is>
      </c>
      <c r="I22023" t="inlineStr">
        <is>
          <t>17/03/2026</t>
        </is>
      </c>
      <c r="J22023" t="inlineStr">
        <is>
          <t>Luật / Pháp lý</t>
        </is>
      </c>
      <c r="K22023" t="inlineStr">
        <is>
          <t>N/A</t>
        </is>
      </c>
      <c r="L22023" s="8">
        <f>HYPERLINK("https://careerviet.vn/vi/tim-viec-lam/thuc-tap-sinh-nganh-luat.35C6A948.html","Xem chi tiết")</f>
        <v/>
      </c>
    </row>
    <row r="22024">
      <c r="B22024" s="9" t="n">
        <v>22022</v>
      </c>
      <c r="C22024" s="10" t="inlineStr">
        <is>
          <t>HƯNG YÊN- nhân viên PR và khoa học</t>
        </is>
      </c>
      <c r="D22024" s="10" t="inlineStr">
        <is>
          <t>Cty TNHH Yakult Việt Nam</t>
        </is>
      </c>
      <c r="E22024" s="10" t="inlineStr">
        <is>
          <t>Lương:10 Tr - 15 Tr VND</t>
        </is>
      </c>
      <c r="F22024" s="10" t="inlineStr">
        <is>
          <t>Hưng Yên</t>
        </is>
      </c>
      <c r="G22024" s="10" t="inlineStr">
        <is>
          <t>30-04-2026</t>
        </is>
      </c>
      <c r="H22024" s="10" t="inlineStr">
        <is>
          <t>30/04/2026</t>
        </is>
      </c>
      <c r="I22024" s="10" t="inlineStr">
        <is>
          <t>17/03/2026</t>
        </is>
      </c>
      <c r="J22024" s="10" t="inlineStr">
        <is>
          <t>Tiếp thị / Marketing, Dịch vụ khách hàng, Thực phẩm &amp; Đồ uống</t>
        </is>
      </c>
      <c r="K22024" s="10" t="inlineStr">
        <is>
          <t>N/A</t>
        </is>
      </c>
      <c r="L22024" s="11">
        <f>HYPERLINK("https://careerviet.vn/vi/tim-viec-lam/hung-yen-nhan-vien-pr-va-khoa-hoc.35C6AC63.html","Xem chi tiết")</f>
        <v/>
      </c>
      <c r="M22024" s="10" t="n"/>
    </row>
    <row r="22025">
      <c r="B22025" s="7" t="n">
        <v>22023</v>
      </c>
      <c r="C22025" t="inlineStr">
        <is>
          <t>Nhân viên nhận mẫu xét nghiệm (HĐ 8 tháng)</t>
        </is>
      </c>
      <c r="D22025" t="inlineStr">
        <is>
          <t>CÔNG TY CỔ PHẦN GIẢI PHÁP GENE - GENE SOLUTIONS</t>
        </is>
      </c>
      <c r="E22025" t="inlineStr">
        <is>
          <t>Lương:10 Tr - 11 Tr VND</t>
        </is>
      </c>
      <c r="F22025" t="inlineStr">
        <is>
          <t>Hồ Chí Minh</t>
        </is>
      </c>
      <c r="G22025" t="inlineStr">
        <is>
          <t>31-03-2026</t>
        </is>
      </c>
      <c r="H22025" t="inlineStr">
        <is>
          <t>31/03/2026</t>
        </is>
      </c>
      <c r="I22025" t="inlineStr">
        <is>
          <t>17/03/2026</t>
        </is>
      </c>
      <c r="J22025" t="inlineStr">
        <is>
          <t>Y tế / Chăm sóc sức khỏe / Thẩm mỹ / Làm đẹp</t>
        </is>
      </c>
      <c r="K22025" t="inlineStr">
        <is>
          <t>N/A</t>
        </is>
      </c>
      <c r="L22025" s="8">
        <f>HYPERLINK("https://careerviet.vn/vi/tim-viec-lam/nhan-vien-nhan-mau-xet-nghiem-hd-8-thang.35C6AAE4.html","Xem chi tiết")</f>
        <v/>
      </c>
    </row>
    <row r="22026">
      <c r="B22026" s="9" t="n">
        <v>22024</v>
      </c>
      <c r="C22026" s="10" t="inlineStr">
        <is>
          <t>Trợ Giảng (Teaching Assistant) - ILA HCM (TP.HCM, Biên Hòa, Bình Dương, Vũng Tàu), Hải Phòng, Đà Nẵng, An Giang, Cần Thơ, Hà Nội</t>
        </is>
      </c>
      <c r="D22026" s="10" t="inlineStr">
        <is>
          <t>ILA Việt Nam</t>
        </is>
      </c>
      <c r="E22026" s="10" t="inlineStr">
        <is>
          <t>Lương:Cạnh tranh</t>
        </is>
      </c>
      <c r="F22026" s="10" t="inlineStr">
        <is>
          <t>Hồ Chí Minh</t>
        </is>
      </c>
      <c r="G22026" s="10" t="inlineStr">
        <is>
          <t>30-04-2026</t>
        </is>
      </c>
      <c r="H22026" s="10" t="inlineStr">
        <is>
          <t>30/04/2026</t>
        </is>
      </c>
      <c r="I22026" s="10" t="inlineStr">
        <is>
          <t>17/03/2026</t>
        </is>
      </c>
      <c r="J22026" s="10" t="inlineStr">
        <is>
          <t>Giáo dục / Đào tạo</t>
        </is>
      </c>
      <c r="K22026" s="10" t="inlineStr">
        <is>
          <t>N/A</t>
        </is>
      </c>
      <c r="L22026" s="11">
        <f>HYPERLINK("https://careerviet.vn/vi/tim-viec-lam/tro-giang-teaching-assistant-ila-hcm-tp-hcm-bien-hoa-binh-duong-vung-tau-hai-phong-da-nang-an-giang-can-tho-ha-noi.35C6AC32.html","Xem chi tiết")</f>
        <v/>
      </c>
      <c r="M22026" s="10" t="n"/>
    </row>
    <row r="22027">
      <c r="B22027" s="7" t="n">
        <v>22025</v>
      </c>
      <c r="C22027" t="inlineStr">
        <is>
          <t>Nhân viên bán hàng</t>
        </is>
      </c>
      <c r="D22027" t="inlineStr">
        <is>
          <t>CÔNG TY CỔ PHẦN ULTD THỊNH PHÁT</t>
        </is>
      </c>
      <c r="E22027" t="inlineStr">
        <is>
          <t>Lương:6 Tr - 10 Tr VND</t>
        </is>
      </c>
      <c r="F22027" t="inlineStr">
        <is>
          <t>Hà Nội</t>
        </is>
      </c>
      <c r="G22027" t="inlineStr">
        <is>
          <t>31-03-2026</t>
        </is>
      </c>
      <c r="H22027" t="inlineStr">
        <is>
          <t>31/03/2026</t>
        </is>
      </c>
      <c r="I22027" t="inlineStr">
        <is>
          <t>17/03/2026</t>
        </is>
      </c>
      <c r="J22027" t="inlineStr">
        <is>
          <t>Bán lẻ / Bán sỉ, Bán hàng / Kinh doanh</t>
        </is>
      </c>
      <c r="K22027" t="inlineStr">
        <is>
          <t>N/A</t>
        </is>
      </c>
      <c r="L22027" s="8">
        <f>HYPERLINK("https://careerviet.vn/vi/tim-viec-lam/nhan-vien-ban-hang.35C6ABC2.html","Xem chi tiết")</f>
        <v/>
      </c>
    </row>
    <row r="22028">
      <c r="B22028" s="9" t="n">
        <v>22026</v>
      </c>
      <c r="C22028" s="10" t="inlineStr">
        <is>
          <t>Business Analyst Intern</t>
        </is>
      </c>
      <c r="D22028" s="10" t="inlineStr">
        <is>
          <t>Công ty TNHH Olam Việt Nam</t>
        </is>
      </c>
      <c r="E22028" s="10" t="inlineStr">
        <is>
          <t>Lương:Cạnh tranh</t>
        </is>
      </c>
      <c r="F22028" s="10" t="inlineStr">
        <is>
          <t>Đồng Nai</t>
        </is>
      </c>
      <c r="G22028" s="10" t="inlineStr">
        <is>
          <t>01-04-2026</t>
        </is>
      </c>
      <c r="H22028" s="10" t="inlineStr">
        <is>
          <t>01/04/2026</t>
        </is>
      </c>
      <c r="I22028" s="10" t="inlineStr">
        <is>
          <t>17/03/2026</t>
        </is>
      </c>
      <c r="J22028" s="10" t="inlineStr">
        <is>
          <t>CNTT - Phần mềm, Mới tốt nghiệp / Thực tập, Ngành khác</t>
        </is>
      </c>
      <c r="K22028" s="10" t="inlineStr">
        <is>
          <t>N/A</t>
        </is>
      </c>
      <c r="L22028" s="11">
        <f>HYPERLINK("https://careerviet.vn/vi/tim-viec-lam/business-analyst-intern.35C6AC27.html","Xem chi tiết")</f>
        <v/>
      </c>
      <c r="M22028" s="10" t="n"/>
    </row>
    <row r="22029">
      <c r="B22029" s="7" t="n">
        <v>22027</v>
      </c>
      <c r="C22029" t="inlineStr">
        <is>
          <t>Thực tập sinh đào tạo</t>
        </is>
      </c>
      <c r="D22029" t="inlineStr">
        <is>
          <t>CÔNG TY TNHH THƯƠNG MẠI VÀ DỊCH VỤ TALAD THAI</t>
        </is>
      </c>
      <c r="E22029" t="inlineStr">
        <is>
          <t>Lương:1,5 Tr - 2,5 Tr VND</t>
        </is>
      </c>
      <c r="F22029" t="inlineStr">
        <is>
          <t>Đà Nẵng</t>
        </is>
      </c>
      <c r="G22029" t="inlineStr">
        <is>
          <t>31-03-2026</t>
        </is>
      </c>
      <c r="H22029" t="inlineStr">
        <is>
          <t>31/03/2026</t>
        </is>
      </c>
      <c r="I22029" t="inlineStr">
        <is>
          <t>17/03/2026</t>
        </is>
      </c>
      <c r="J22029" t="inlineStr">
        <is>
          <t>Nhân sự</t>
        </is>
      </c>
      <c r="K22029" t="inlineStr">
        <is>
          <t>N/A</t>
        </is>
      </c>
      <c r="L22029" s="8">
        <f>HYPERLINK("https://careerviet.vn/vi/tim-viec-lam/thuc-tap-sinh-dao-tao.35C6AA43.html","Xem chi tiết")</f>
        <v/>
      </c>
    </row>
    <row r="22030">
      <c r="B22030" s="9" t="n">
        <v>22028</v>
      </c>
      <c r="C22030" s="10" t="inlineStr">
        <is>
          <t>NHÂN VIÊN LỄ TÂN VÀ CHĂM SÓC KHÁCH HÀNG</t>
        </is>
      </c>
      <c r="D22030" s="10" t="inlineStr">
        <is>
          <t>Công Ty Cổ Phần Nhà Hoà Bình</t>
        </is>
      </c>
      <c r="E22030" s="10" t="inlineStr">
        <is>
          <t>Lương:8 Tr - 11 Tr VND</t>
        </is>
      </c>
      <c r="F22030" s="10" t="inlineStr">
        <is>
          <t>Hồ Chí Minh</t>
        </is>
      </c>
      <c r="G22030" s="10" t="inlineStr">
        <is>
          <t>31-03-2026</t>
        </is>
      </c>
      <c r="H22030" s="10" t="inlineStr">
        <is>
          <t>31/03/2026</t>
        </is>
      </c>
      <c r="I22030" s="10" t="inlineStr">
        <is>
          <t>17/03/2026</t>
        </is>
      </c>
      <c r="J22030" s="10" t="inlineStr">
        <is>
          <t>Dịch vụ khách hàng, Hành chính / Thư ký, Bất động sản</t>
        </is>
      </c>
      <c r="K22030" s="10" t="inlineStr">
        <is>
          <t>N/A</t>
        </is>
      </c>
      <c r="L22030" s="11">
        <f>HYPERLINK("https://careerviet.vn/vi/tim-viec-lam/nhan-vien-le-tan-va-cham-soc-khach-hang.35C6ABFC.html","Xem chi tiết")</f>
        <v/>
      </c>
      <c r="M22030" s="10" t="n"/>
    </row>
    <row r="22031">
      <c r="B22031" s="7" t="n">
        <v>22029</v>
      </c>
      <c r="C22031" t="inlineStr">
        <is>
          <t>[HÀ NỘI] NHÂN VIÊN AN TOÀN NỘI BỘ</t>
        </is>
      </c>
      <c r="D22031" t="inlineStr">
        <is>
          <t>CÔNG TY TNHH LOTTECINEMA VIỆT NAM</t>
        </is>
      </c>
      <c r="E22031" t="inlineStr">
        <is>
          <t>Lương:8 Tr - 10 Tr VND</t>
        </is>
      </c>
      <c r="F22031" t="inlineStr">
        <is>
          <t>Hà Nội</t>
        </is>
      </c>
      <c r="G22031" t="inlineStr">
        <is>
          <t>03-04-2026</t>
        </is>
      </c>
      <c r="H22031" t="inlineStr">
        <is>
          <t>03/04/2026</t>
        </is>
      </c>
      <c r="I22031" t="inlineStr">
        <is>
          <t>17/03/2026</t>
        </is>
      </c>
      <c r="J22031" t="inlineStr">
        <is>
          <t>Bảo trì / Sửa chữa, Cơ khí / Ô tô / Tự động hóa, Quản lý điều hành</t>
        </is>
      </c>
      <c r="K22031" t="inlineStr">
        <is>
          <t>N/A</t>
        </is>
      </c>
      <c r="L22031" s="8">
        <f>HYPERLINK("https://careerviet.vn/vi/tim-viec-lam/ha-noi-nhan-vien-an-toan-noi-bo.35C6A9EE.html","Xem chi tiết")</f>
        <v/>
      </c>
    </row>
    <row r="22032">
      <c r="B22032" s="9" t="n">
        <v>22030</v>
      </c>
      <c r="C22032" s="10" t="inlineStr">
        <is>
          <t>Thực Tập Sinh Pháp Lý</t>
        </is>
      </c>
      <c r="D22032" s="10" t="inlineStr">
        <is>
          <t>CÔNG TY LUẬT TNHH EQUITY LAW</t>
        </is>
      </c>
      <c r="E22032" s="10" t="inlineStr">
        <is>
          <t>Lương:Cạnh tranh</t>
        </is>
      </c>
      <c r="F22032" s="10" t="inlineStr">
        <is>
          <t>Hà Nội</t>
        </is>
      </c>
      <c r="G22032" s="10" t="inlineStr">
        <is>
          <t>26-03-2026</t>
        </is>
      </c>
      <c r="H22032" s="10" t="inlineStr">
        <is>
          <t>26/03/2026</t>
        </is>
      </c>
      <c r="I22032" s="10" t="inlineStr">
        <is>
          <t>17/03/2026</t>
        </is>
      </c>
      <c r="J22032" s="10" t="inlineStr">
        <is>
          <t>Luật / Pháp lý, Mới tốt nghiệp / Thực tập, Tư vấn</t>
        </is>
      </c>
      <c r="K22032" s="10" t="inlineStr">
        <is>
          <t>N/A</t>
        </is>
      </c>
      <c r="L22032" s="11">
        <f>HYPERLINK("https://careerviet.vn/vi/tim-viec-lam/thuc-tap-sinh-phap-ly.35C6A0B9.html","Xem chi tiết")</f>
        <v/>
      </c>
      <c r="M22032" s="10" t="n"/>
    </row>
    <row r="22033">
      <c r="B22033" s="7" t="n">
        <v>22031</v>
      </c>
      <c r="C22033" t="inlineStr">
        <is>
          <t>Nhân Viên Chăm Sóc Khách Hàng Part Time (CCS)</t>
        </is>
      </c>
      <c r="D22033" t="inlineStr">
        <is>
          <t>Công Ty TNHH Việt Mỹ-SSU</t>
        </is>
      </c>
      <c r="E22033" t="inlineStr">
        <is>
          <t>Lương:7 Tr - 7,3 Tr VND</t>
        </is>
      </c>
      <c r="F22033" t="inlineStr">
        <is>
          <t>Hồ Chí Minh</t>
        </is>
      </c>
      <c r="G22033" t="inlineStr">
        <is>
          <t>02-04-2026</t>
        </is>
      </c>
      <c r="H22033" t="inlineStr">
        <is>
          <t>02/04/2026</t>
        </is>
      </c>
      <c r="I22033" t="inlineStr">
        <is>
          <t>17/03/2026</t>
        </is>
      </c>
      <c r="J22033" t="inlineStr">
        <is>
          <t>Thương mại điện tử, Dịch vụ khách hàng, Tư vấn</t>
        </is>
      </c>
      <c r="K22033" t="inlineStr">
        <is>
          <t>N/A</t>
        </is>
      </c>
      <c r="L22033" s="8">
        <f>HYPERLINK("https://careerviet.vn/vi/tim-viec-lam/nhan-vien-cham-soc-khach-hang-part-time-ccs.35C6A9AF.html","Xem chi tiết")</f>
        <v/>
      </c>
    </row>
    <row r="22034">
      <c r="B22034" s="9" t="n">
        <v>22032</v>
      </c>
      <c r="C22034" s="10" t="inlineStr">
        <is>
          <t>Thực tập sinh kinh doanh phần mềm</t>
        </is>
      </c>
      <c r="D22034" s="10" t="inlineStr">
        <is>
          <t>Công ty TNHH TM DV Web Ideas</t>
        </is>
      </c>
      <c r="E22034" s="10" t="inlineStr">
        <is>
          <t>Lương:2 Tr - 10 Tr VND</t>
        </is>
      </c>
      <c r="F22034" s="10" t="inlineStr">
        <is>
          <t>Hồ Chí Minh</t>
        </is>
      </c>
      <c r="G22034" s="10" t="inlineStr">
        <is>
          <t>31-03-2026</t>
        </is>
      </c>
      <c r="H22034" s="10" t="inlineStr">
        <is>
          <t>31/03/2026</t>
        </is>
      </c>
      <c r="I22034" s="10" t="inlineStr">
        <is>
          <t>17/03/2026</t>
        </is>
      </c>
      <c r="J22034" s="10" t="inlineStr">
        <is>
          <t>Bán hàng / Kinh doanh, Tư vấn, CNTT - Phần mềm</t>
        </is>
      </c>
      <c r="K22034" s="10" t="inlineStr">
        <is>
          <t>N/A</t>
        </is>
      </c>
      <c r="L22034" s="11">
        <f>HYPERLINK("https://careerviet.vn/vi/tim-viec-lam/thuc-tap-sinh-kinh-doanh-phan-mem.35C6A9CB.html","Xem chi tiết")</f>
        <v/>
      </c>
      <c r="M22034" s="10" t="n"/>
    </row>
    <row r="22035">
      <c r="B22035" s="7" t="n">
        <v>22033</v>
      </c>
      <c r="C22035" t="inlineStr">
        <is>
          <t>Nhân Viên Kinh Doanh Thị Trường</t>
        </is>
      </c>
      <c r="D22035" t="inlineStr">
        <is>
          <t>CÔNG TY TNHH CÔNG NGHỆ MÁY ĐO KHÍ RIKEN VIỆT</t>
        </is>
      </c>
      <c r="E22035" t="inlineStr">
        <is>
          <t>Lương:Cạnh tranh</t>
        </is>
      </c>
      <c r="F22035" t="inlineStr">
        <is>
          <t>Hồ Chí MinhHải Phòng</t>
        </is>
      </c>
      <c r="G22035" t="inlineStr">
        <is>
          <t>31-03-2026</t>
        </is>
      </c>
      <c r="H22035" t="inlineStr">
        <is>
          <t>31/03/2026</t>
        </is>
      </c>
      <c r="I22035" t="inlineStr">
        <is>
          <t>17/03/2026</t>
        </is>
      </c>
      <c r="J22035" t="inlineStr">
        <is>
          <t>Bán lẻ / Bán sỉ, Bán hàng / Kinh doanh, Bán Hàng Kỹ Thuật</t>
        </is>
      </c>
      <c r="K22035" t="inlineStr">
        <is>
          <t>N/A</t>
        </is>
      </c>
      <c r="L22035" s="8">
        <f>HYPERLINK("https://careerviet.vn/vi/tim-viec-lam/nhan-vien-kinh-doanh-thi-truong.35C6AA56.html","Xem chi tiết")</f>
        <v/>
      </c>
    </row>
    <row r="22036">
      <c r="B22036" s="9" t="n">
        <v>22034</v>
      </c>
      <c r="C22036" s="10" t="inlineStr">
        <is>
          <t>Thực tập sinh Kiến trúc sư</t>
        </is>
      </c>
      <c r="D22036" s="10" t="inlineStr">
        <is>
          <t>Công ty Cổ phần Thiết kế Xây dựng Chính Nam</t>
        </is>
      </c>
      <c r="E22036" s="10" t="inlineStr">
        <is>
          <t>Lương:Cạnh tranh</t>
        </is>
      </c>
      <c r="F22036" s="10" t="inlineStr">
        <is>
          <t>Đồng Nai</t>
        </is>
      </c>
      <c r="G22036" s="10" t="inlineStr">
        <is>
          <t>31-03-2026</t>
        </is>
      </c>
      <c r="H22036" s="10" t="inlineStr">
        <is>
          <t>31/03/2026</t>
        </is>
      </c>
      <c r="I22036" s="10" t="inlineStr">
        <is>
          <t>17/03/2026</t>
        </is>
      </c>
      <c r="J22036" s="10" t="inlineStr">
        <is>
          <t>Mỹ thuật / Nghệ thuật / Thiết kế, Kiến trúc</t>
        </is>
      </c>
      <c r="K22036" s="10" t="inlineStr">
        <is>
          <t>N/A</t>
        </is>
      </c>
      <c r="L22036" s="11">
        <f>HYPERLINK("https://careerviet.vn/vi/tim-viec-lam/thuc-tap-sinh-kien-truc-su.35C6A952.html","Xem chi tiết")</f>
        <v/>
      </c>
      <c r="M22036" s="10" t="n"/>
    </row>
    <row r="22037">
      <c r="B22037" s="7" t="n">
        <v>22035</v>
      </c>
      <c r="C22037" t="inlineStr">
        <is>
          <t>Marketing Intern</t>
        </is>
      </c>
      <c r="D22037" t="inlineStr">
        <is>
          <t>Marico South East Asia Corporation</t>
        </is>
      </c>
      <c r="E22037" t="inlineStr">
        <is>
          <t>Lương:Cạnh tranh</t>
        </is>
      </c>
      <c r="F22037" t="inlineStr">
        <is>
          <t>Hồ Chí Minh</t>
        </is>
      </c>
      <c r="G22037" t="inlineStr">
        <is>
          <t>28-03-2026</t>
        </is>
      </c>
      <c r="H22037" t="inlineStr">
        <is>
          <t>28/03/2026</t>
        </is>
      </c>
      <c r="I22037" t="inlineStr">
        <is>
          <t>17/03/2026</t>
        </is>
      </c>
      <c r="J22037" t="inlineStr">
        <is>
          <t>Tiếp thị / Marketing</t>
        </is>
      </c>
      <c r="K22037" t="inlineStr">
        <is>
          <t>N/A</t>
        </is>
      </c>
      <c r="L22037" s="8">
        <f>HYPERLINK("https://careerviet.vn/vi/tim-viec-lam/marketing-intern.35C6A9E9.html","Xem chi tiết")</f>
        <v/>
      </c>
    </row>
    <row r="22038">
      <c r="B22038" s="9" t="n">
        <v>22036</v>
      </c>
      <c r="C22038" s="10" t="inlineStr">
        <is>
          <t>Thực tập sinh C&amp;B</t>
        </is>
      </c>
      <c r="D22038" s="10" t="inlineStr">
        <is>
          <t>NHÀ SÁCH TIẾN THỌ</t>
        </is>
      </c>
      <c r="E22038" s="10" t="inlineStr">
        <is>
          <t>Lương:2 Tr - 3 Tr VND</t>
        </is>
      </c>
      <c r="F22038" s="10" t="inlineStr">
        <is>
          <t>Hà Nội</t>
        </is>
      </c>
      <c r="G22038" s="10" t="inlineStr">
        <is>
          <t>3</t>
        </is>
      </c>
      <c r="H22038" s="10" t="inlineStr">
        <is>
          <t>20/03/2026</t>
        </is>
      </c>
      <c r="I22038" s="10" t="inlineStr">
        <is>
          <t>17/03/2026</t>
        </is>
      </c>
      <c r="J22038" s="10" t="inlineStr">
        <is>
          <t>Nhân sự</t>
        </is>
      </c>
      <c r="K22038" s="10" t="inlineStr">
        <is>
          <t>N/A</t>
        </is>
      </c>
      <c r="L22038" s="11">
        <f>HYPERLINK("https://careerviet.vn/vi/tim-viec-lam/thuc-tap-sinh-c-b.35C6A98D.html","Xem chi tiết")</f>
        <v/>
      </c>
      <c r="M22038" s="10" t="n"/>
    </row>
    <row r="22039">
      <c r="B22039" s="7" t="n">
        <v>22037</v>
      </c>
      <c r="C22039" t="inlineStr">
        <is>
          <t>Tuyển Dụng Thực Tập Sinh Nhân Sự Full-time 2026</t>
        </is>
      </c>
      <c r="D22039" t="inlineStr">
        <is>
          <t>Công ty TNHH Công Nghệ LMD</t>
        </is>
      </c>
      <c r="E22039" t="inlineStr">
        <is>
          <t>Lương:1 Tr - 2 Tr VND</t>
        </is>
      </c>
      <c r="F22039" t="inlineStr">
        <is>
          <t>Hồ Chí Minh</t>
        </is>
      </c>
      <c r="G22039" t="inlineStr">
        <is>
          <t>31-03-2026</t>
        </is>
      </c>
      <c r="H22039" t="inlineStr">
        <is>
          <t>31/03/2026</t>
        </is>
      </c>
      <c r="I22039" t="inlineStr">
        <is>
          <t>17/03/2026</t>
        </is>
      </c>
      <c r="J22039" t="inlineStr">
        <is>
          <t>Dịch vụ khách hàng, Quản lý điều hành</t>
        </is>
      </c>
      <c r="K22039" t="inlineStr">
        <is>
          <t>N/A</t>
        </is>
      </c>
      <c r="L22039" s="8">
        <f>HYPERLINK("https://careerviet.vn/vi/tim-viec-lam/tuyen-dung-thuc-tap-sinh-nhan-su-full-time-2026.35C6A90A.html","Xem chi tiết")</f>
        <v/>
      </c>
    </row>
    <row r="22040">
      <c r="B22040" s="9" t="n">
        <v>22038</v>
      </c>
      <c r="C22040" s="10" t="inlineStr">
        <is>
          <t>Thực tập sinh kế toán</t>
        </is>
      </c>
      <c r="D22040" s="10" t="inlineStr">
        <is>
          <t>Công Ty TNHH Thiết Kế &amp; Xây Dựng Toàn Diện Việt Nam</t>
        </is>
      </c>
      <c r="E22040" s="10" t="inlineStr">
        <is>
          <t>Lương:Cạnh tranh</t>
        </is>
      </c>
      <c r="F22040" s="10" t="inlineStr">
        <is>
          <t>Hồ Chí Minh</t>
        </is>
      </c>
      <c r="G22040" s="10" t="inlineStr">
        <is>
          <t>03-04-2026</t>
        </is>
      </c>
      <c r="H22040" s="10" t="inlineStr">
        <is>
          <t>03/04/2026</t>
        </is>
      </c>
      <c r="I22040" s="10" t="inlineStr">
        <is>
          <t>17/03/2026</t>
        </is>
      </c>
      <c r="J22040" s="10" t="inlineStr">
        <is>
          <t>Kế toán / Kiểm toán</t>
        </is>
      </c>
      <c r="K22040" s="10" t="inlineStr">
        <is>
          <t>N/A</t>
        </is>
      </c>
      <c r="L22040" s="11">
        <f>HYPERLINK("https://careerviet.vn/vi/tim-viec-lam/thuc-tap-sinh-ke-toan.35C6A882.html","Xem chi tiết")</f>
        <v/>
      </c>
      <c r="M22040" s="10" t="n"/>
    </row>
    <row r="22041">
      <c r="B22041" s="7" t="n">
        <v>22039</v>
      </c>
      <c r="C22041" t="inlineStr">
        <is>
          <t>Thực Tập Sinh Tuyển Dụng</t>
        </is>
      </c>
      <c r="D22041" t="inlineStr">
        <is>
          <t>Cà Phê Muối Chú Long</t>
        </is>
      </c>
      <c r="E22041" t="inlineStr">
        <is>
          <t>Lương:Lên đến 2 Tr VND</t>
        </is>
      </c>
      <c r="F22041" t="inlineStr">
        <is>
          <t>Hồ Chí Minh</t>
        </is>
      </c>
      <c r="G22041" t="inlineStr">
        <is>
          <t>04-04-2026</t>
        </is>
      </c>
      <c r="H22041" t="inlineStr">
        <is>
          <t>04/04/2026</t>
        </is>
      </c>
      <c r="I22041" t="inlineStr">
        <is>
          <t>17/03/2026</t>
        </is>
      </c>
      <c r="J22041" t="inlineStr">
        <is>
          <t>Mới tốt nghiệp / Thực tập</t>
        </is>
      </c>
      <c r="K22041" t="inlineStr">
        <is>
          <t>N/A</t>
        </is>
      </c>
      <c r="L22041" s="8">
        <f>HYPERLINK("https://careerviet.vn/vi/tim-viec-lam/thuc-tap-sinh-tuyen-dung.35C6A8F5.html","Xem chi tiết")</f>
        <v/>
      </c>
    </row>
    <row r="22042">
      <c r="B22042" s="9" t="n">
        <v>22040</v>
      </c>
      <c r="C22042" s="10" t="inlineStr">
        <is>
          <t>Business Development Intern</t>
        </is>
      </c>
      <c r="D22042" s="10" t="inlineStr">
        <is>
          <t>Công ty TNHH Olam Việt Nam</t>
        </is>
      </c>
      <c r="E22042" s="10" t="inlineStr">
        <is>
          <t>Lương:Cạnh tranh</t>
        </is>
      </c>
      <c r="F22042" s="10" t="inlineStr">
        <is>
          <t>Đồng Nai</t>
        </is>
      </c>
      <c r="G22042" s="10" t="inlineStr">
        <is>
          <t>31-03-2026</t>
        </is>
      </c>
      <c r="H22042" s="10" t="inlineStr">
        <is>
          <t>31/03/2026</t>
        </is>
      </c>
      <c r="I22042" s="10" t="inlineStr">
        <is>
          <t>17/03/2026</t>
        </is>
      </c>
      <c r="J22042" s="10" t="inlineStr">
        <is>
          <t>Tiếp thị / Marketing, Bán hàng / Kinh doanh, Thực phẩm &amp; Đồ uống</t>
        </is>
      </c>
      <c r="K22042" s="10" t="inlineStr">
        <is>
          <t>N/A</t>
        </is>
      </c>
      <c r="L22042" s="11">
        <f>HYPERLINK("https://careerviet.vn/vi/tim-viec-lam/business-development-intern.35C6A97A.html","Xem chi tiết")</f>
        <v/>
      </c>
      <c r="M22042" s="10" t="n"/>
    </row>
    <row r="22043">
      <c r="B22043" s="7" t="n">
        <v>22041</v>
      </c>
      <c r="C22043" t="inlineStr">
        <is>
          <t>Thực tập sinh kinh doanh</t>
        </is>
      </c>
      <c r="D22043" t="inlineStr">
        <is>
          <t>CÔNG TY CỔ PHẦN HUST MEN</t>
        </is>
      </c>
      <c r="E22043" t="inlineStr">
        <is>
          <t>Lương:Cạnh tranh</t>
        </is>
      </c>
      <c r="F22043" t="inlineStr">
        <is>
          <t>Hồ Chí Minh</t>
        </is>
      </c>
      <c r="G22043" t="inlineStr">
        <is>
          <t>31-03-2026</t>
        </is>
      </c>
      <c r="H22043" t="inlineStr">
        <is>
          <t>31/03/2026</t>
        </is>
      </c>
      <c r="I22043" t="inlineStr">
        <is>
          <t>17/03/2026</t>
        </is>
      </c>
      <c r="J22043" t="inlineStr">
        <is>
          <t>Bán hàng / Kinh doanh</t>
        </is>
      </c>
      <c r="K22043" t="inlineStr">
        <is>
          <t>N/A</t>
        </is>
      </c>
      <c r="L22043" s="8">
        <f>HYPERLINK("https://careerviet.vn/vi/tim-viec-lam/thuc-tap-sinh-kinh-doanh.35C6A94B.html","Xem chi tiết")</f>
        <v/>
      </c>
    </row>
    <row r="22044">
      <c r="B22044" s="9" t="n">
        <v>22042</v>
      </c>
      <c r="C22044" s="10" t="inlineStr">
        <is>
          <t>Thực tập sinh Kỹ thuật Điện &amp; Điện tử và Tự động hóa</t>
        </is>
      </c>
      <c r="D22044" s="10" t="inlineStr">
        <is>
          <t>Công TY TNHH Giải Pháp và Công Nghệ Đo Lường INO</t>
        </is>
      </c>
      <c r="E22044" s="10" t="inlineStr">
        <is>
          <t>Lương:1 Tr - 3 Tr VND</t>
        </is>
      </c>
      <c r="F22044" s="10" t="inlineStr">
        <is>
          <t>Hồ Chí Minh</t>
        </is>
      </c>
      <c r="G22044" s="10" t="inlineStr">
        <is>
          <t>30-04-2026</t>
        </is>
      </c>
      <c r="H22044" s="10" t="inlineStr">
        <is>
          <t>30/04/2026</t>
        </is>
      </c>
      <c r="I22044" s="10" t="inlineStr">
        <is>
          <t>17/03/2026</t>
        </is>
      </c>
      <c r="J22044" s="10" t="inlineStr">
        <is>
          <t>Bán hàng / Kinh doanh, Điện / Điện tử / Điện lạnh / Điện công nghiệp, Cơ khí / Ô tô / Tự động hóa</t>
        </is>
      </c>
      <c r="K22044" s="10" t="inlineStr">
        <is>
          <t>N/A</t>
        </is>
      </c>
      <c r="L22044" s="11">
        <f>HYPERLINK("https://careerviet.vn/vi/tim-viec-lam/thuc-tap-sinh-ky-thuat-dien-dien-tu-va-tu-dong-hoa.35C6A996.html","Xem chi tiết")</f>
        <v/>
      </c>
      <c r="M22044" s="10" t="n"/>
    </row>
    <row r="22045">
      <c r="B22045" s="7" t="n">
        <v>22043</v>
      </c>
      <c r="C22045" t="inlineStr">
        <is>
          <t>Nhân viên kế hoạch</t>
        </is>
      </c>
      <c r="D22045" t="inlineStr">
        <is>
          <t>CÔNG TY CỔ PHẦN MINH HƯNG M&amp;C</t>
        </is>
      </c>
      <c r="E22045" t="inlineStr">
        <is>
          <t>Lương:14 Tr - 18 Tr VND</t>
        </is>
      </c>
      <c r="F22045" t="inlineStr">
        <is>
          <t>Hồ Chí Minh</t>
        </is>
      </c>
      <c r="G22045" t="inlineStr">
        <is>
          <t>25-03-2026</t>
        </is>
      </c>
      <c r="H22045" t="inlineStr">
        <is>
          <t>25/03/2026</t>
        </is>
      </c>
      <c r="I22045" t="inlineStr">
        <is>
          <t>17/03/2026</t>
        </is>
      </c>
      <c r="J22045" t="inlineStr">
        <is>
          <t>Kiến trúc, Bất động sản</t>
        </is>
      </c>
      <c r="K22045" t="inlineStr">
        <is>
          <t>N/A</t>
        </is>
      </c>
      <c r="L22045" s="8">
        <f>HYPERLINK("https://careerviet.vn/vi/tim-viec-lam/nhan-vien-ke-hoach.35C697C0.html","Xem chi tiết")</f>
        <v/>
      </c>
    </row>
    <row r="22046">
      <c r="B22046" s="9" t="n">
        <v>22044</v>
      </c>
      <c r="C22046" s="10" t="inlineStr">
        <is>
          <t>Thực Tập Sinh Kinh Doanh Quốc Tế</t>
        </is>
      </c>
      <c r="D22046" s="10" t="inlineStr">
        <is>
          <t>Công ty TNHH 3W Logistics</t>
        </is>
      </c>
      <c r="E22046" s="10" t="inlineStr">
        <is>
          <t>Lương:Cạnh tranh</t>
        </is>
      </c>
      <c r="F22046" s="10" t="inlineStr">
        <is>
          <t>Hồ Chí MinhHà NộiHải Phòng</t>
        </is>
      </c>
      <c r="G22046" s="10" t="inlineStr">
        <is>
          <t>03-04-2026</t>
        </is>
      </c>
      <c r="H22046" s="10" t="inlineStr">
        <is>
          <t>03/04/2026</t>
        </is>
      </c>
      <c r="I22046" s="10" t="inlineStr">
        <is>
          <t>17/03/2026</t>
        </is>
      </c>
      <c r="J22046" s="10" t="inlineStr">
        <is>
          <t>Bán hàng / Kinh doanh, Xuất nhập khẩu, Mới tốt nghiệp / Thực tập</t>
        </is>
      </c>
      <c r="K22046" s="10" t="inlineStr">
        <is>
          <t>N/A</t>
        </is>
      </c>
      <c r="L22046" s="11">
        <f>HYPERLINK("https://careerviet.vn/vi/tim-viec-lam/thuc-tap-sinh-kinh-doanh-quoc-te.35C6A877.html","Xem chi tiết")</f>
        <v/>
      </c>
      <c r="M22046" s="10" t="n"/>
    </row>
    <row r="22047">
      <c r="B22047" s="7" t="n">
        <v>22045</v>
      </c>
      <c r="C22047" t="inlineStr">
        <is>
          <t>Nhân viên quản lý chất lượng</t>
        </is>
      </c>
      <c r="D22047" t="inlineStr">
        <is>
          <t>Công ty TNHH Olam Việt Nam</t>
        </is>
      </c>
      <c r="E22047" t="inlineStr">
        <is>
          <t>Lương:5 Tr - 6 Tr VND</t>
        </is>
      </c>
      <c r="F22047" t="inlineStr">
        <is>
          <t>Phú Yên</t>
        </is>
      </c>
      <c r="G22047" t="inlineStr">
        <is>
          <t>31-03-2026</t>
        </is>
      </c>
      <c r="H22047" t="inlineStr">
        <is>
          <t>31/03/2026</t>
        </is>
      </c>
      <c r="I22047" t="inlineStr">
        <is>
          <t>17/03/2026</t>
        </is>
      </c>
      <c r="J22047" t="inlineStr">
        <is>
          <t>Quản lý chất lượng (QA/QC)</t>
        </is>
      </c>
      <c r="K22047" t="inlineStr">
        <is>
          <t>N/A</t>
        </is>
      </c>
      <c r="L22047" s="8">
        <f>HYPERLINK("https://careerviet.vn/vi/tim-viec-lam/nhan-vien-quan-ly-chat-luong.35C6A8D3.html","Xem chi tiết")</f>
        <v/>
      </c>
    </row>
    <row r="22048">
      <c r="B22048" s="9" t="n">
        <v>22046</v>
      </c>
      <c r="C22048" s="10" t="inlineStr">
        <is>
          <t>Tuyển thực tập sinh</t>
        </is>
      </c>
      <c r="D22048" s="10" t="inlineStr">
        <is>
          <t>CÔNG TY CỔ PHẦN ĐẦU TƯ XÂY DỰNG HÀ TIÊN</t>
        </is>
      </c>
      <c r="E22048" s="10" t="inlineStr">
        <is>
          <t>Lương:Cạnh tranh</t>
        </is>
      </c>
      <c r="F22048" s="10" t="inlineStr">
        <is>
          <t>Hồ Chí Minh</t>
        </is>
      </c>
      <c r="G22048" s="10" t="inlineStr">
        <is>
          <t>31-03-2026</t>
        </is>
      </c>
      <c r="H22048" s="10" t="inlineStr">
        <is>
          <t>31/03/2026</t>
        </is>
      </c>
      <c r="I22048" s="10" t="inlineStr">
        <is>
          <t>17/03/2026</t>
        </is>
      </c>
      <c r="J22048" s="10" t="inlineStr">
        <is>
          <t>Xây dựng, Hành chính / Thư ký, Kế toán / Kiểm toán</t>
        </is>
      </c>
      <c r="K22048" s="10" t="inlineStr">
        <is>
          <t>N/A</t>
        </is>
      </c>
      <c r="L22048" s="11">
        <f>HYPERLINK("https://careerviet.vn/vi/tim-viec-lam/tuyen-thuc-tap-sinh.35C6A8AD.html","Xem chi tiết")</f>
        <v/>
      </c>
      <c r="M22048" s="10" t="n"/>
    </row>
    <row r="22049">
      <c r="B22049" s="7" t="n">
        <v>22047</v>
      </c>
      <c r="C22049" t="inlineStr">
        <is>
          <t>Nhân Viên Chăm Sóc Khách Hàng Xoay Ca Sàn Thương Mại Điện Tử</t>
        </is>
      </c>
      <c r="D22049" t="inlineStr">
        <is>
          <t>Công ty Cổ phần BPO Mắt Bão</t>
        </is>
      </c>
      <c r="E22049" t="inlineStr">
        <is>
          <t>Lương:7,5 Tr - 9 Tr VND</t>
        </is>
      </c>
      <c r="F22049" t="inlineStr">
        <is>
          <t>Hồ Chí Minh</t>
        </is>
      </c>
      <c r="G22049" t="inlineStr">
        <is>
          <t>5</t>
        </is>
      </c>
      <c r="H22049" t="inlineStr">
        <is>
          <t>22/03/2026</t>
        </is>
      </c>
      <c r="I22049" t="inlineStr">
        <is>
          <t>17/03/2026</t>
        </is>
      </c>
      <c r="J22049" t="inlineStr">
        <is>
          <t>Bán hàng / Kinh doanh, Dịch vụ khách hàng, Nhân sự</t>
        </is>
      </c>
      <c r="K22049" t="inlineStr">
        <is>
          <t>N/A</t>
        </is>
      </c>
      <c r="L22049" s="8">
        <f>HYPERLINK("https://careerviet.vn/vi/tim-viec-lam/nhan-vien-cham-soc-khach-hang-xoay-ca-san-thuong-mai-dien-tu.35C6A75B.html","Xem chi tiết")</f>
        <v/>
      </c>
    </row>
    <row r="22050">
      <c r="B22050" s="9" t="n">
        <v>22048</v>
      </c>
      <c r="C22050" s="10" t="inlineStr">
        <is>
          <t>Nhân Viên Văn Phòng</t>
        </is>
      </c>
      <c r="D22050" s="10" t="inlineStr">
        <is>
          <t>CÔNG TY CỔ PHẦN THIẾT KẾ XÂY DỰNG PHÚC AN KHANG</t>
        </is>
      </c>
      <c r="E22050" s="10" t="inlineStr">
        <is>
          <t>Lương:Cạnh tranh</t>
        </is>
      </c>
      <c r="F22050" s="10" t="inlineStr">
        <is>
          <t>Tây Ninh</t>
        </is>
      </c>
      <c r="G22050" s="10" t="inlineStr">
        <is>
          <t>31-03-2026</t>
        </is>
      </c>
      <c r="H22050" s="10" t="inlineStr">
        <is>
          <t>31/03/2026</t>
        </is>
      </c>
      <c r="I22050" s="10" t="inlineStr">
        <is>
          <t>17/03/2026</t>
        </is>
      </c>
      <c r="J22050" s="10" t="inlineStr">
        <is>
          <t>Hành chính / Thư ký, Kế toán / Kiểm toán, Nhân sự</t>
        </is>
      </c>
      <c r="K22050" s="10" t="inlineStr">
        <is>
          <t>N/A</t>
        </is>
      </c>
      <c r="L22050" s="11">
        <f>HYPERLINK("https://careerviet.vn/vi/tim-viec-lam/nhan-vien-van-phong.35C6A76F.html","Xem chi tiết")</f>
        <v/>
      </c>
      <c r="M22050" s="10" t="n"/>
    </row>
    <row r="22051">
      <c r="B22051" s="7" t="n">
        <v>22049</v>
      </c>
      <c r="C22051" t="inlineStr">
        <is>
          <t>Sale Admin Part-time</t>
        </is>
      </c>
      <c r="D22051" t="inlineStr">
        <is>
          <t>Công Ty TNHH Modan Home</t>
        </is>
      </c>
      <c r="E22051" t="inlineStr">
        <is>
          <t>Lương:2 Tr - 4 Tr VND</t>
        </is>
      </c>
      <c r="F22051" t="inlineStr">
        <is>
          <t>Hồ Chí Minh</t>
        </is>
      </c>
      <c r="G22051" t="inlineStr">
        <is>
          <t>31-03-2026</t>
        </is>
      </c>
      <c r="H22051" t="inlineStr">
        <is>
          <t>31/03/2026</t>
        </is>
      </c>
      <c r="I22051" t="inlineStr">
        <is>
          <t>17/03/2026</t>
        </is>
      </c>
      <c r="J22051" t="inlineStr">
        <is>
          <t>Tiếp thị trực tuyến, Tư vấn, Bất động sản</t>
        </is>
      </c>
      <c r="K22051" t="inlineStr">
        <is>
          <t>N/A</t>
        </is>
      </c>
      <c r="L22051" s="8">
        <f>HYPERLINK("https://careerviet.vn/vi/tim-viec-lam/sale-admin-part-time.35C6A86B.html","Xem chi tiết")</f>
        <v/>
      </c>
    </row>
    <row r="22052">
      <c r="B22052" s="9" t="n">
        <v>22050</v>
      </c>
      <c r="C22052" s="10" t="inlineStr">
        <is>
          <t>Thực Tập Sinh Kinh Doanh (Trợ Lý Vận Hành)</t>
        </is>
      </c>
      <c r="D22052" s="10" t="inlineStr">
        <is>
          <t>Công Ty TNHH TVT Holdings</t>
        </is>
      </c>
      <c r="E22052" s="10" t="inlineStr">
        <is>
          <t>Lương:2,5 Tr - 5 Tr VND</t>
        </is>
      </c>
      <c r="F22052" s="10" t="inlineStr">
        <is>
          <t>Hồ Chí Minh</t>
        </is>
      </c>
      <c r="G22052" s="10" t="inlineStr">
        <is>
          <t>03-04-2026</t>
        </is>
      </c>
      <c r="H22052" s="10" t="inlineStr">
        <is>
          <t>03/04/2026</t>
        </is>
      </c>
      <c r="I22052" s="10" t="inlineStr">
        <is>
          <t>17/03/2026</t>
        </is>
      </c>
      <c r="J22052" s="10" t="inlineStr">
        <is>
          <t>Bán hàng / Kinh doanh, Thương mại điện tử</t>
        </is>
      </c>
      <c r="K22052" s="10" t="inlineStr">
        <is>
          <t>N/A</t>
        </is>
      </c>
      <c r="L22052" s="11">
        <f>HYPERLINK("https://careerviet.vn/vi/tim-viec-lam/thuc-tap-sinh-kinh-doanh-tro-ly-van-hanh.35C6A81F.html","Xem chi tiết")</f>
        <v/>
      </c>
      <c r="M22052" s="10" t="n"/>
    </row>
    <row r="22053">
      <c r="B22053" s="7" t="n">
        <v>22051</v>
      </c>
      <c r="C22053" t="inlineStr">
        <is>
          <t>招募中文英語韓語流利酒店服務人員</t>
        </is>
      </c>
      <c r="D22053" t="inlineStr">
        <is>
          <t>BILLISTAR CONSULTANCY INC.</t>
        </is>
      </c>
      <c r="E22053" t="inlineStr">
        <is>
          <t>Lương:2.000 - 3.000 USD</t>
        </is>
      </c>
      <c r="F22053" t="inlineStr">
        <is>
          <t>Philippines</t>
        </is>
      </c>
      <c r="G22053" t="inlineStr">
        <is>
          <t>30-04-2026</t>
        </is>
      </c>
      <c r="H22053" t="inlineStr">
        <is>
          <t>30/04/2026</t>
        </is>
      </c>
      <c r="I22053" t="inlineStr">
        <is>
          <t>17/03/2026</t>
        </is>
      </c>
      <c r="J22053" t="inlineStr">
        <is>
          <t>Dịch vụ khách hàng</t>
        </is>
      </c>
      <c r="K22053" t="inlineStr">
        <is>
          <t>N/A</t>
        </is>
      </c>
      <c r="L22053" s="8">
        <f>HYPERLINK("https://careerviet.vn/vi/tim-viec-lam/info.35C6A692.html","Xem chi tiết")</f>
        <v/>
      </c>
    </row>
    <row r="22054">
      <c r="B22054" s="9" t="n">
        <v>22052</v>
      </c>
      <c r="C22054" s="10" t="inlineStr">
        <is>
          <t>THỰC TẬP SINH - HÀNH CHÍNH NHÂN SỰ</t>
        </is>
      </c>
      <c r="D22054" s="10" t="inlineStr">
        <is>
          <t>Công Ty TNHH Lon nước giải khát TBC-Ball Việt Nam</t>
        </is>
      </c>
      <c r="E22054" s="10" t="inlineStr">
        <is>
          <t>Lương:Cạnh tranh</t>
        </is>
      </c>
      <c r="F22054" s="10" t="inlineStr">
        <is>
          <t>Bình Dương</t>
        </is>
      </c>
      <c r="G22054" s="10" t="inlineStr">
        <is>
          <t>31-03-2026</t>
        </is>
      </c>
      <c r="H22054" s="10" t="inlineStr">
        <is>
          <t>31/03/2026</t>
        </is>
      </c>
      <c r="I22054" s="10" t="inlineStr">
        <is>
          <t>17/03/2026</t>
        </is>
      </c>
      <c r="J22054" s="10" t="inlineStr">
        <is>
          <t>Nhân sự, Luật / Pháp lý, Quảng cáo / Đối ngoại / Truyền Thông</t>
        </is>
      </c>
      <c r="K22054" s="10" t="inlineStr">
        <is>
          <t>N/A</t>
        </is>
      </c>
      <c r="L22054" s="11">
        <f>HYPERLINK("https://careerviet.vn/vi/tim-viec-lam/thuc-tap-sinh-hanh-chinh-nhan-su.35C6A7C6.html","Xem chi tiết")</f>
        <v/>
      </c>
      <c r="M22054" s="10" t="n"/>
    </row>
    <row r="22055">
      <c r="B22055" s="7" t="n">
        <v>22053</v>
      </c>
      <c r="C22055" t="inlineStr">
        <is>
          <t>Nhân viên thống kê sản xuất</t>
        </is>
      </c>
      <c r="D22055" t="inlineStr">
        <is>
          <t>Vinawood Ltd.</t>
        </is>
      </c>
      <c r="E22055" t="inlineStr">
        <is>
          <t>Lương:8 Tr - 8,5 Tr VND</t>
        </is>
      </c>
      <c r="F22055" t="inlineStr">
        <is>
          <t>Hồ Chí Minh</t>
        </is>
      </c>
      <c r="G22055" t="inlineStr">
        <is>
          <t>03-04-2026</t>
        </is>
      </c>
      <c r="H22055" t="inlineStr">
        <is>
          <t>03/04/2026</t>
        </is>
      </c>
      <c r="I22055" t="inlineStr">
        <is>
          <t>17/03/2026</t>
        </is>
      </c>
      <c r="J22055" t="inlineStr">
        <is>
          <t>Sản xuất / Vận hành sản xuất</t>
        </is>
      </c>
      <c r="K22055" t="inlineStr">
        <is>
          <t>N/A</t>
        </is>
      </c>
      <c r="L22055" s="8">
        <f>HYPERLINK("https://careerviet.vn/vi/tim-viec-lam/nhan-vien-thong-ke-san-xuat.35C6A913.html","Xem chi tiết")</f>
        <v/>
      </c>
    </row>
    <row r="22056">
      <c r="B22056" s="9" t="n">
        <v>22054</v>
      </c>
      <c r="C22056" s="10" t="inlineStr">
        <is>
          <t>Thực Tập Sinh Tuyển Dụng</t>
        </is>
      </c>
      <c r="D22056" s="10" t="inlineStr">
        <is>
          <t>Công ty cổ phần Anvy</t>
        </is>
      </c>
      <c r="E22056" s="10" t="inlineStr">
        <is>
          <t>Lương:2 Tr - 4 Tr VND</t>
        </is>
      </c>
      <c r="F22056" s="10" t="inlineStr">
        <is>
          <t>Hồ Chí Minh</t>
        </is>
      </c>
      <c r="G22056" s="10" t="inlineStr">
        <is>
          <t>30-04-2026</t>
        </is>
      </c>
      <c r="H22056" s="10" t="inlineStr">
        <is>
          <t>30/04/2026</t>
        </is>
      </c>
      <c r="I22056" s="10" t="inlineStr">
        <is>
          <t>17/03/2026</t>
        </is>
      </c>
      <c r="J22056" s="10" t="inlineStr">
        <is>
          <t>Hành chính / Thư ký, Nhân sự, Mới tốt nghiệp / Thực tập</t>
        </is>
      </c>
      <c r="K22056" s="10" t="inlineStr">
        <is>
          <t>N/A</t>
        </is>
      </c>
      <c r="L22056" s="11">
        <f>HYPERLINK("https://careerviet.vn/vi/tim-viec-lam/thuc-tap-sinh-tuyen-dung.35C6A6CC.html","Xem chi tiết")</f>
        <v/>
      </c>
      <c r="M22056" s="10" t="n"/>
    </row>
    <row r="22057">
      <c r="B22057" s="7" t="n">
        <v>22055</v>
      </c>
      <c r="C22057" t="inlineStr">
        <is>
          <t>Nhân Viên Quản Lý Đơn Hàng</t>
        </is>
      </c>
      <c r="D22057" t="inlineStr">
        <is>
          <t>Alliance One Apparel Co.,Ltd.</t>
        </is>
      </c>
      <c r="E22057" t="inlineStr">
        <is>
          <t>Lương:7 Tr - 10 Tr VND</t>
        </is>
      </c>
      <c r="F22057" t="inlineStr">
        <is>
          <t>Bến Tre</t>
        </is>
      </c>
      <c r="G22057" t="inlineStr">
        <is>
          <t>30-04-2026</t>
        </is>
      </c>
      <c r="H22057" t="inlineStr">
        <is>
          <t>30/04/2026</t>
        </is>
      </c>
      <c r="I22057" t="inlineStr">
        <is>
          <t>17/03/2026</t>
        </is>
      </c>
      <c r="J22057" t="inlineStr">
        <is>
          <t>Dệt may / Da giày / Thời trang</t>
        </is>
      </c>
      <c r="K22057" t="inlineStr">
        <is>
          <t>N/A</t>
        </is>
      </c>
      <c r="L22057" s="8">
        <f>HYPERLINK("https://careerviet.vn/vi/tim-viec-lam/nhan-vien-quan-ly-don-hang.35C373F6.html","Xem chi tiết")</f>
        <v/>
      </c>
    </row>
    <row r="22058">
      <c r="B22058" s="9" t="n">
        <v>22056</v>
      </c>
      <c r="C22058" s="10" t="inlineStr">
        <is>
          <t>Thực tập sinh Quản trị Tài chính</t>
        </is>
      </c>
      <c r="D22058" s="10" t="inlineStr">
        <is>
          <t>Công Ty Cổ Phần Thuận Hải</t>
        </is>
      </c>
      <c r="E22058" s="10" t="inlineStr">
        <is>
          <t>Lương:Cạnh tranh</t>
        </is>
      </c>
      <c r="F22058" s="10" t="inlineStr">
        <is>
          <t>Hồ Chí Minh</t>
        </is>
      </c>
      <c r="G22058" s="10" t="inlineStr">
        <is>
          <t>02-04-2026</t>
        </is>
      </c>
      <c r="H22058" s="10" t="inlineStr">
        <is>
          <t>02/04/2026</t>
        </is>
      </c>
      <c r="I22058" s="10" t="inlineStr">
        <is>
          <t>17/03/2026</t>
        </is>
      </c>
      <c r="J22058" s="10" t="inlineStr">
        <is>
          <t>Ngân hàng, Tài chính / Đầu tư, Kế toán / Kiểm toán</t>
        </is>
      </c>
      <c r="K22058" s="10" t="inlineStr">
        <is>
          <t>N/A</t>
        </is>
      </c>
      <c r="L22058" s="11">
        <f>HYPERLINK("https://careerviet.vn/vi/tim-viec-lam/thuc-tap-sinh-quan-tri-tai-chinh.35C6A3C7.html","Xem chi tiết")</f>
        <v/>
      </c>
      <c r="M22058" s="10" t="n"/>
    </row>
    <row r="22059">
      <c r="B22059" s="7" t="n">
        <v>22057</v>
      </c>
      <c r="C22059" t="inlineStr">
        <is>
          <t>Nhân viên CSKH kênh chat Part time_Sàn Thương mại điện tử</t>
        </is>
      </c>
      <c r="D22059" t="inlineStr">
        <is>
          <t>Công Ty TNHH Việt Mỹ-SSU</t>
        </is>
      </c>
      <c r="E22059" t="inlineStr">
        <is>
          <t>Lương:5,0 Tr - 7,3 Tr VND</t>
        </is>
      </c>
      <c r="F22059" t="inlineStr">
        <is>
          <t>Hồ Chí Minh</t>
        </is>
      </c>
      <c r="G22059" t="inlineStr">
        <is>
          <t>30-03-2026</t>
        </is>
      </c>
      <c r="H22059" t="inlineStr">
        <is>
          <t>30/03/2026</t>
        </is>
      </c>
      <c r="I22059" t="inlineStr">
        <is>
          <t>17/03/2026</t>
        </is>
      </c>
      <c r="J22059" t="inlineStr">
        <is>
          <t>Thương mại điện tử, Dịch vụ khách hàng</t>
        </is>
      </c>
      <c r="K22059" t="inlineStr">
        <is>
          <t>N/A</t>
        </is>
      </c>
      <c r="L22059" s="8">
        <f>HYPERLINK("https://careerviet.vn/vi/tim-viec-lam/nhan-vien-cskh-kenh-chat-part-time_san-thuong-mai-dien-tu.35C6A657.html","Xem chi tiết")</f>
        <v/>
      </c>
    </row>
    <row r="22060">
      <c r="B22060" s="9" t="n">
        <v>22058</v>
      </c>
      <c r="C22060" s="10" t="inlineStr">
        <is>
          <t>THỰC TẬP SINH SALES LOGISTICS &amp; CHỨNG TỪ</t>
        </is>
      </c>
      <c r="D22060" s="10" t="inlineStr">
        <is>
          <t>MN SHIPPING CO., LTD</t>
        </is>
      </c>
      <c r="E22060" s="10" t="inlineStr">
        <is>
          <t>Lương:Cạnh tranh</t>
        </is>
      </c>
      <c r="F22060" s="10" t="inlineStr">
        <is>
          <t>Hồ Chí Minh</t>
        </is>
      </c>
      <c r="G22060" s="10" t="inlineStr">
        <is>
          <t>31-03-2026</t>
        </is>
      </c>
      <c r="H22060" s="10" t="inlineStr">
        <is>
          <t>31/03/2026</t>
        </is>
      </c>
      <c r="I22060" s="10" t="inlineStr">
        <is>
          <t>17/03/2026</t>
        </is>
      </c>
      <c r="J22060" s="10" t="inlineStr">
        <is>
          <t>Xuất nhập khẩu, Vận chuyển / Giao nhận / Kho vận</t>
        </is>
      </c>
      <c r="K22060" s="10" t="inlineStr">
        <is>
          <t>N/A</t>
        </is>
      </c>
      <c r="L22060" s="11">
        <f>HYPERLINK("https://careerviet.vn/vi/tim-viec-lam/thuc-tap-sinh-sales-logistics-chung-tu.35C6A64B.html","Xem chi tiết")</f>
        <v/>
      </c>
      <c r="M22060" s="10" t="n"/>
    </row>
    <row r="22061">
      <c r="B22061" s="7" t="n">
        <v>22059</v>
      </c>
      <c r="C22061" t="inlineStr">
        <is>
          <t>Nhân viên thiết kế (Fresher)</t>
        </is>
      </c>
      <c r="D22061" t="inlineStr">
        <is>
          <t>CÔNG TY TNHH MÈO ĐEN SOLUTIONS</t>
        </is>
      </c>
      <c r="E22061" t="inlineStr">
        <is>
          <t>Lương:5 Tr - 7 Tr VND</t>
        </is>
      </c>
      <c r="F22061" t="inlineStr">
        <is>
          <t>Hồ Chí Minh</t>
        </is>
      </c>
      <c r="G22061" t="inlineStr">
        <is>
          <t>3</t>
        </is>
      </c>
      <c r="H22061" t="inlineStr">
        <is>
          <t>20/03/2026</t>
        </is>
      </c>
      <c r="I22061" t="inlineStr">
        <is>
          <t>17/03/2026</t>
        </is>
      </c>
      <c r="J22061" t="inlineStr">
        <is>
          <t>Tiếp thị / Marketing</t>
        </is>
      </c>
      <c r="K22061" t="inlineStr">
        <is>
          <t>N/A</t>
        </is>
      </c>
      <c r="L22061" s="8">
        <f>HYPERLINK("https://careerviet.vn/vi/tim-viec-lam/nhan-vien-thiet-ke-fresher.35C6A6D9.html","Xem chi tiết")</f>
        <v/>
      </c>
    </row>
    <row r="22062">
      <c r="B22062" s="9" t="n">
        <v>22060</v>
      </c>
      <c r="C22062" s="10" t="inlineStr">
        <is>
          <t>Recruitment Intern</t>
        </is>
      </c>
      <c r="D22062" s="10" t="inlineStr">
        <is>
          <t>Techtronic Industries Vietnam Manufacturing Company Limited</t>
        </is>
      </c>
      <c r="E22062" s="10" t="inlineStr">
        <is>
          <t>Lương:Cạnh tranh</t>
        </is>
      </c>
      <c r="F22062" s="10" t="inlineStr">
        <is>
          <t>Hồ Chí Minh</t>
        </is>
      </c>
      <c r="G22062" s="10" t="inlineStr">
        <is>
          <t>10-04-2026</t>
        </is>
      </c>
      <c r="H22062" s="10" t="inlineStr">
        <is>
          <t>10/04/2026</t>
        </is>
      </c>
      <c r="I22062" s="10" t="inlineStr">
        <is>
          <t>17/03/2026</t>
        </is>
      </c>
      <c r="J22062" s="10" t="inlineStr">
        <is>
          <t>Nhân sự, Hành chính / Thư ký, Mới tốt nghiệp / Thực tập</t>
        </is>
      </c>
      <c r="K22062" s="10" t="inlineStr">
        <is>
          <t>N/A</t>
        </is>
      </c>
      <c r="L22062" s="11">
        <f>HYPERLINK("https://careerviet.vn/vi/tim-viec-lam/recruitment-intern.35C6A607.html","Xem chi tiết")</f>
        <v/>
      </c>
      <c r="M22062" s="10" t="n"/>
    </row>
    <row r="22063">
      <c r="B22063" s="7" t="n">
        <v>22061</v>
      </c>
      <c r="C22063" t="inlineStr">
        <is>
          <t>Nhân viên chăm sóc khách hàng trực tổng đài_sàn TMDT</t>
        </is>
      </c>
      <c r="D22063" t="inlineStr">
        <is>
          <t>Công Ty TNHH Việt Mỹ-SSU</t>
        </is>
      </c>
      <c r="E22063" t="inlineStr">
        <is>
          <t>Lương:8 Tr - 8,3 Tr VND</t>
        </is>
      </c>
      <c r="F22063" t="inlineStr">
        <is>
          <t>Hồ Chí Minh</t>
        </is>
      </c>
      <c r="G22063" t="inlineStr">
        <is>
          <t>30-03-2026</t>
        </is>
      </c>
      <c r="H22063" t="inlineStr">
        <is>
          <t>30/03/2026</t>
        </is>
      </c>
      <c r="I22063" t="inlineStr">
        <is>
          <t>17/03/2026</t>
        </is>
      </c>
      <c r="J22063" t="inlineStr">
        <is>
          <t>Thương mại điện tử, Dịch vụ khách hàng</t>
        </is>
      </c>
      <c r="K22063" t="inlineStr">
        <is>
          <t>N/A</t>
        </is>
      </c>
      <c r="L22063" s="8">
        <f>HYPERLINK("https://careerviet.vn/vi/tim-viec-lam/nhan-vien-cham-soc-khach-hang-truc-tong-dai_san-tmdt.35C6A656.html","Xem chi tiết")</f>
        <v/>
      </c>
    </row>
    <row r="22064">
      <c r="B22064" s="9" t="n">
        <v>22062</v>
      </c>
      <c r="C22064" s="10" t="inlineStr">
        <is>
          <t>Thực Tập Sinh B2B</t>
        </is>
      </c>
      <c r="D22064" s="10" t="inlineStr">
        <is>
          <t>DILIGO</t>
        </is>
      </c>
      <c r="E22064" s="10" t="inlineStr">
        <is>
          <t>Lương:2 Tr - 4 Tr VND</t>
        </is>
      </c>
      <c r="F22064" s="10" t="inlineStr">
        <is>
          <t>Hà Nội</t>
        </is>
      </c>
      <c r="G22064" s="10" t="inlineStr">
        <is>
          <t>31-03-2026</t>
        </is>
      </c>
      <c r="H22064" s="10" t="inlineStr">
        <is>
          <t>31/03/2026</t>
        </is>
      </c>
      <c r="I22064" s="10" t="inlineStr">
        <is>
          <t>17/03/2026</t>
        </is>
      </c>
      <c r="J22064" s="10" t="inlineStr">
        <is>
          <t>Bán hàng / Kinh doanh, Hàng gia dụng / Chăm sóc cá nhân</t>
        </is>
      </c>
      <c r="K22064" s="10" t="inlineStr">
        <is>
          <t>N/A</t>
        </is>
      </c>
      <c r="L22064" s="11">
        <f>HYPERLINK("https://careerviet.vn/vi/tim-viec-lam/thuc-tap-sinh-b2b.35C6A617.html","Xem chi tiết")</f>
        <v/>
      </c>
      <c r="M22064" s="10" t="n"/>
    </row>
    <row r="22065">
      <c r="B22065" s="7" t="n">
        <v>22063</v>
      </c>
      <c r="C22065" t="inlineStr">
        <is>
          <t>Nhân Viên Tư Vấn Gói Cước GTGT Viettel</t>
        </is>
      </c>
      <c r="D22065" t="inlineStr">
        <is>
          <t>CÔNG TY CỔ PHẦN TRUYỀN THÔNG KIM CƯƠNG</t>
        </is>
      </c>
      <c r="E22065" t="inlineStr">
        <is>
          <t>Lương:7 Tr - 10 Tr VND</t>
        </is>
      </c>
      <c r="F22065" t="inlineStr">
        <is>
          <t>Phú Thọ</t>
        </is>
      </c>
      <c r="G22065" t="inlineStr">
        <is>
          <t>31-03-2026</t>
        </is>
      </c>
      <c r="H22065" t="inlineStr">
        <is>
          <t>31/03/2026</t>
        </is>
      </c>
      <c r="I22065" t="inlineStr">
        <is>
          <t>17/03/2026</t>
        </is>
      </c>
      <c r="J22065" t="inlineStr">
        <is>
          <t>Tư vấn, Dược phẩm/ Hóa Mỹ Phẩm, Bán hàng / Kinh doanh</t>
        </is>
      </c>
      <c r="K22065" t="inlineStr">
        <is>
          <t>N/A</t>
        </is>
      </c>
      <c r="L22065" s="8">
        <f>HYPERLINK("https://careerviet.vn/vi/tim-viec-lam/nhan-vien-tu-van-goi-cuoc-gtgt-viettel.35C6A524.html","Xem chi tiết")</f>
        <v/>
      </c>
    </row>
    <row r="22066">
      <c r="B22066" s="9" t="n">
        <v>22064</v>
      </c>
      <c r="C22066" s="10" t="inlineStr">
        <is>
          <t>Kỹ sư thiết kế hệ thống cơ</t>
        </is>
      </c>
      <c r="D22066" s="10" t="inlineStr">
        <is>
          <t>CÔNG TY TNHH CƠ NHIỆT ĐIỆN LẠNH BÁCH KHOA</t>
        </is>
      </c>
      <c r="E22066" s="10" t="inlineStr">
        <is>
          <t>Lương:8 Tr - 12 Tr VND</t>
        </is>
      </c>
      <c r="F22066" s="10" t="inlineStr">
        <is>
          <t>Hồ Chí Minh</t>
        </is>
      </c>
      <c r="G22066" s="10" t="inlineStr">
        <is>
          <t>31-03-2026</t>
        </is>
      </c>
      <c r="H22066" s="10" t="inlineStr">
        <is>
          <t>31/03/2026</t>
        </is>
      </c>
      <c r="I22066" s="10" t="inlineStr">
        <is>
          <t>17/03/2026</t>
        </is>
      </c>
      <c r="J22066" s="10" t="inlineStr">
        <is>
          <t>Điện / Điện tử / Điện lạnh / Điện công nghiệp, Mới tốt nghiệp / Thực tập</t>
        </is>
      </c>
      <c r="K22066" s="10" t="inlineStr">
        <is>
          <t>N/A</t>
        </is>
      </c>
      <c r="L22066" s="11">
        <f>HYPERLINK("https://careerviet.vn/vi/tim-viec-lam/ky-su-thiet-ke-he-thong-co.35C6A4E9.html","Xem chi tiết")</f>
        <v/>
      </c>
      <c r="M22066" s="10" t="n"/>
    </row>
    <row r="22067">
      <c r="B22067" s="7" t="n">
        <v>22065</v>
      </c>
      <c r="C22067" t="inlineStr">
        <is>
          <t>Marketing Intern</t>
        </is>
      </c>
      <c r="D22067" t="inlineStr">
        <is>
          <t>Công Ty Cổ Phần Y&amp;B</t>
        </is>
      </c>
      <c r="E22067" t="inlineStr">
        <is>
          <t>Lương:Trên 3 Tr VND</t>
        </is>
      </c>
      <c r="F22067" t="inlineStr">
        <is>
          <t>Hồ Chí Minh</t>
        </is>
      </c>
      <c r="G22067" t="inlineStr">
        <is>
          <t>3</t>
        </is>
      </c>
      <c r="H22067" t="inlineStr">
        <is>
          <t>20/03/2026</t>
        </is>
      </c>
      <c r="I22067" t="inlineStr">
        <is>
          <t>17/03/2026</t>
        </is>
      </c>
      <c r="J22067" t="inlineStr">
        <is>
          <t>Tiếp thị / Marketing</t>
        </is>
      </c>
      <c r="K22067" t="inlineStr">
        <is>
          <t>N/A</t>
        </is>
      </c>
      <c r="L22067" s="8">
        <f>HYPERLINK("https://careerviet.vn/vi/tim-viec-lam/marketing-intern.35C6A686.html","Xem chi tiết")</f>
        <v/>
      </c>
    </row>
    <row r="22068">
      <c r="B22068" s="9" t="n">
        <v>22066</v>
      </c>
      <c r="C22068" s="10" t="inlineStr">
        <is>
          <t>Thực tập sinh Vận hành Livestream (Có lương)</t>
        </is>
      </c>
      <c r="D22068" s="10" t="inlineStr">
        <is>
          <t>N-SQUARED ECOMMERCE VIETNAM</t>
        </is>
      </c>
      <c r="E22068" s="10" t="inlineStr">
        <is>
          <t>Lương:4 Tr - 6 Tr VND</t>
        </is>
      </c>
      <c r="F22068" s="10" t="inlineStr">
        <is>
          <t>Hồ Chí Minh</t>
        </is>
      </c>
      <c r="G22068" s="10" t="inlineStr">
        <is>
          <t>31-03-2026</t>
        </is>
      </c>
      <c r="H22068" s="10" t="inlineStr">
        <is>
          <t>31/03/2026</t>
        </is>
      </c>
      <c r="I22068" s="10" t="inlineStr">
        <is>
          <t>17/03/2026</t>
        </is>
      </c>
      <c r="J22068" s="10" t="inlineStr">
        <is>
          <t>Tiếp thị trực tuyến, Thương mại điện tử, Quảng cáo / Đối ngoại / Truyền Thông</t>
        </is>
      </c>
      <c r="K22068" s="10" t="inlineStr">
        <is>
          <t>N/A</t>
        </is>
      </c>
      <c r="L22068" s="11">
        <f>HYPERLINK("https://careerviet.vn/vi/tim-viec-lam/thuc-tap-sinh-van-hanh-livestream-co-luong.35C6A62A.html","Xem chi tiết")</f>
        <v/>
      </c>
      <c r="M22068" s="10" t="n"/>
    </row>
    <row r="22069">
      <c r="B22069" s="7" t="n">
        <v>22067</v>
      </c>
      <c r="C22069" t="inlineStr">
        <is>
          <t>Thực Tập Sinh Nhân Sự</t>
        </is>
      </c>
      <c r="D22069" t="inlineStr">
        <is>
          <t>Công ty TNHH Himcom</t>
        </is>
      </c>
      <c r="E22069" t="inlineStr">
        <is>
          <t>Lương:2 Tr - 2,0 Tr VND</t>
        </is>
      </c>
      <c r="F22069" t="inlineStr">
        <is>
          <t>Hồ Chí Minh</t>
        </is>
      </c>
      <c r="G22069" t="inlineStr">
        <is>
          <t>25-03-2026</t>
        </is>
      </c>
      <c r="H22069" t="inlineStr">
        <is>
          <t>25/03/2026</t>
        </is>
      </c>
      <c r="I22069" t="inlineStr">
        <is>
          <t>17/03/2026</t>
        </is>
      </c>
      <c r="J22069" t="inlineStr">
        <is>
          <t>Nhân sự, Hành chính / Thư ký</t>
        </is>
      </c>
      <c r="K22069" t="inlineStr">
        <is>
          <t>N/A</t>
        </is>
      </c>
      <c r="L22069" s="8">
        <f>HYPERLINK("https://careerviet.vn/vi/tim-viec-lam/thuc-tap-sinh-nhan-su.35C69774.html","Xem chi tiết")</f>
        <v/>
      </c>
    </row>
    <row r="22070">
      <c r="B22070" s="9" t="n">
        <v>22068</v>
      </c>
      <c r="C22070" s="10" t="inlineStr">
        <is>
          <t>Thực tập sinh Digital Marketing</t>
        </is>
      </c>
      <c r="D22070" s="10" t="inlineStr">
        <is>
          <t>Công ty Cổ phần Truyền thông và Giải trí GEM MEDIA</t>
        </is>
      </c>
      <c r="E22070" s="10" t="inlineStr">
        <is>
          <t>Lương:2 Tr - 3 Tr VND</t>
        </is>
      </c>
      <c r="F22070" s="10" t="inlineStr">
        <is>
          <t>Hà Nội</t>
        </is>
      </c>
      <c r="G22070" s="10" t="inlineStr">
        <is>
          <t>31-03-2026</t>
        </is>
      </c>
      <c r="H22070" s="10" t="inlineStr">
        <is>
          <t>31/03/2026</t>
        </is>
      </c>
      <c r="I22070" s="10" t="inlineStr">
        <is>
          <t>17/03/2026</t>
        </is>
      </c>
      <c r="J22070" s="10" t="inlineStr">
        <is>
          <t>Tiếp thị / Marketing, Mỹ thuật / Nghệ thuật / Thiết kế, Truyền hình / Báo chí / Biên tập</t>
        </is>
      </c>
      <c r="K22070" s="10" t="inlineStr">
        <is>
          <t>N/A</t>
        </is>
      </c>
      <c r="L22070" s="11">
        <f>HYPERLINK("https://careerviet.vn/vi/tim-viec-lam/thuc-tap-sinh-digital-marketing.35C69768.html","Xem chi tiết")</f>
        <v/>
      </c>
      <c r="M22070" s="10" t="n"/>
    </row>
    <row r="22071">
      <c r="B22071" s="7" t="n">
        <v>22069</v>
      </c>
      <c r="C22071" t="inlineStr">
        <is>
          <t>Nhân Viên Kinh Doanh Game</t>
        </is>
      </c>
      <c r="D22071" t="inlineStr">
        <is>
          <t>FFShop Gaming</t>
        </is>
      </c>
      <c r="E22071" t="inlineStr">
        <is>
          <t>Lương:7 Tr - 20 Tr VND</t>
        </is>
      </c>
      <c r="F22071" t="inlineStr">
        <is>
          <t>Hà Nội</t>
        </is>
      </c>
      <c r="G22071" t="inlineStr">
        <is>
          <t>31-03-2026</t>
        </is>
      </c>
      <c r="H22071" t="inlineStr">
        <is>
          <t>31/03/2026</t>
        </is>
      </c>
      <c r="I22071" t="inlineStr">
        <is>
          <t>17/03/2026</t>
        </is>
      </c>
      <c r="J22071" t="inlineStr">
        <is>
          <t>Bán hàng / Kinh doanh</t>
        </is>
      </c>
      <c r="K22071" t="inlineStr">
        <is>
          <t>N/A</t>
        </is>
      </c>
      <c r="L22071" s="8">
        <f>HYPERLINK("https://careerviet.vn/vi/tim-viec-lam/nhan-vien-kinh-doanh-game.35C696C9.html","Xem chi tiết")</f>
        <v/>
      </c>
    </row>
    <row r="22072">
      <c r="B22072" s="9" t="n">
        <v>22070</v>
      </c>
      <c r="C22072" s="10" t="inlineStr">
        <is>
          <t>Nhân Viên Telesale - Part Time</t>
        </is>
      </c>
      <c r="D22072" s="10" t="inlineStr">
        <is>
          <t>Công Ty Cổ Phần Dịch Vụ Địa Ốc MGV</t>
        </is>
      </c>
      <c r="E22072" s="10" t="inlineStr">
        <is>
          <t>Lương:2 Tr - 5 Tr VND</t>
        </is>
      </c>
      <c r="F22072" s="10" t="inlineStr">
        <is>
          <t>Hồ Chí Minh</t>
        </is>
      </c>
      <c r="G22072" s="10" t="inlineStr">
        <is>
          <t>31-03-2026</t>
        </is>
      </c>
      <c r="H22072" s="10" t="inlineStr">
        <is>
          <t>31/03/2026</t>
        </is>
      </c>
      <c r="I22072" s="10" t="inlineStr">
        <is>
          <t>17/03/2026</t>
        </is>
      </c>
      <c r="J22072" s="10" t="inlineStr">
        <is>
          <t>Bán hàng / Kinh doanh, Mới tốt nghiệp / Thực tập, Bất động sản</t>
        </is>
      </c>
      <c r="K22072" s="10" t="inlineStr">
        <is>
          <t>N/A</t>
        </is>
      </c>
      <c r="L22072" s="11">
        <f>HYPERLINK("https://careerviet.vn/vi/tim-viec-lam/nhan-vien-telesale-part-time.35C6A5D6.html","Xem chi tiết")</f>
        <v/>
      </c>
      <c r="M22072" s="10" t="n"/>
    </row>
    <row r="22073">
      <c r="B22073" s="7" t="n">
        <v>22071</v>
      </c>
      <c r="C22073" t="inlineStr">
        <is>
          <t>Thực tập sinh Hành chính  Nhân sự</t>
        </is>
      </c>
      <c r="D22073" t="inlineStr">
        <is>
          <t>SORA HOSPITALITY JOINT STOCK COMPANY</t>
        </is>
      </c>
      <c r="E22073" t="inlineStr">
        <is>
          <t>Lương:Cạnh tranh</t>
        </is>
      </c>
      <c r="F22073" t="inlineStr">
        <is>
          <t>Hồ Chí Minh</t>
        </is>
      </c>
      <c r="G22073" t="inlineStr">
        <is>
          <t>31-03-2026</t>
        </is>
      </c>
      <c r="H22073" t="inlineStr">
        <is>
          <t>31/03/2026</t>
        </is>
      </c>
      <c r="I22073" t="inlineStr">
        <is>
          <t>17/03/2026</t>
        </is>
      </c>
      <c r="J22073" t="inlineStr">
        <is>
          <t>Hành chính / Thư ký, Nhân sự, Mới tốt nghiệp / Thực tập</t>
        </is>
      </c>
      <c r="K22073" t="inlineStr">
        <is>
          <t>N/A</t>
        </is>
      </c>
      <c r="L22073" s="8">
        <f>HYPERLINK("https://careerviet.vn/vi/tim-viec-lam/thuc-tap-sinh-hanh-chinh-nhan-su.35C6A59B.html","Xem chi tiết")</f>
        <v/>
      </c>
    </row>
    <row r="22074">
      <c r="B22074" s="9" t="n">
        <v>22072</v>
      </c>
      <c r="C22074" s="10" t="inlineStr">
        <is>
          <t>Thực tập sinh nhân sự</t>
        </is>
      </c>
      <c r="D22074" s="10" t="inlineStr">
        <is>
          <t>CÔNG TY CỔ PHẦN ĐẦU TƯ PHÁT TRIỂN MINH GLOBAL</t>
        </is>
      </c>
      <c r="E22074" s="10" t="inlineStr">
        <is>
          <t>Lương:Trên 3 Tr VND</t>
        </is>
      </c>
      <c r="F22074" s="10" t="inlineStr">
        <is>
          <t>Hồ Chí Minh</t>
        </is>
      </c>
      <c r="G22074" s="10" t="inlineStr">
        <is>
          <t>31-03-2026</t>
        </is>
      </c>
      <c r="H22074" s="10" t="inlineStr">
        <is>
          <t>31/03/2026</t>
        </is>
      </c>
      <c r="I22074" s="10" t="inlineStr">
        <is>
          <t>17/03/2026</t>
        </is>
      </c>
      <c r="J22074" s="10" t="inlineStr">
        <is>
          <t>Nhân sự, Xây dựng, Luật / Pháp lý</t>
        </is>
      </c>
      <c r="K22074" s="10" t="inlineStr">
        <is>
          <t>N/A</t>
        </is>
      </c>
      <c r="L22074" s="11">
        <f>HYPERLINK("https://careerviet.vn/vi/tim-viec-lam/thuc-tap-sinh-nhan-su.35C69747.html","Xem chi tiết")</f>
        <v/>
      </c>
      <c r="M22074" s="10" t="n"/>
    </row>
    <row r="22075">
      <c r="B22075" s="7" t="n">
        <v>22073</v>
      </c>
      <c r="C22075" t="inlineStr">
        <is>
          <t>Thực Tập Sinh Tuyển Dụng</t>
        </is>
      </c>
      <c r="D22075" t="inlineStr">
        <is>
          <t>HỆ THỐNG KÍNH MẮT ANNA</t>
        </is>
      </c>
      <c r="E22075" t="inlineStr">
        <is>
          <t>Lương:1 Tr - 2 Tr VND</t>
        </is>
      </c>
      <c r="F22075" t="inlineStr">
        <is>
          <t>Hà Nội</t>
        </is>
      </c>
      <c r="G22075" t="inlineStr">
        <is>
          <t>31-03-2026</t>
        </is>
      </c>
      <c r="H22075" t="inlineStr">
        <is>
          <t>31/03/2026</t>
        </is>
      </c>
      <c r="I22075" t="inlineStr">
        <is>
          <t>17/03/2026</t>
        </is>
      </c>
      <c r="J22075" t="inlineStr">
        <is>
          <t>Nhân sự</t>
        </is>
      </c>
      <c r="K22075" t="inlineStr">
        <is>
          <t>N/A</t>
        </is>
      </c>
      <c r="L22075" s="8">
        <f>HYPERLINK("https://careerviet.vn/vi/tim-viec-lam/thuc-tap-sinh-tuyen-dung.35C695EA.html","Xem chi tiết")</f>
        <v/>
      </c>
    </row>
    <row r="22076">
      <c r="B22076" s="9" t="n">
        <v>22074</v>
      </c>
      <c r="C22076" s="10" t="inlineStr">
        <is>
          <t>Thực tập sinh kế toán</t>
        </is>
      </c>
      <c r="D22076" s="10" t="inlineStr">
        <is>
          <t>CÔNG TY TNHH TRUYỀN THÔNG MÂY PICTURES</t>
        </is>
      </c>
      <c r="E22076" s="10" t="inlineStr">
        <is>
          <t>Lương:1,5 Tr - 2 Tr VND</t>
        </is>
      </c>
      <c r="F22076" s="10" t="inlineStr">
        <is>
          <t>Hồ Chí Minh</t>
        </is>
      </c>
      <c r="G22076" s="10" t="inlineStr">
        <is>
          <t>31-03-2026</t>
        </is>
      </c>
      <c r="H22076" s="10" t="inlineStr">
        <is>
          <t>31/03/2026</t>
        </is>
      </c>
      <c r="I22076" s="10" t="inlineStr">
        <is>
          <t>17/03/2026</t>
        </is>
      </c>
      <c r="J22076" s="10" t="inlineStr">
        <is>
          <t>Kế toán / Kiểm toán</t>
        </is>
      </c>
      <c r="K22076" s="10" t="inlineStr">
        <is>
          <t>N/A</t>
        </is>
      </c>
      <c r="L22076" s="11">
        <f>HYPERLINK("https://careerviet.vn/vi/tim-viec-lam/thuc-tap-sinh-ke-toan.35C6956A.html","Xem chi tiết")</f>
        <v/>
      </c>
      <c r="M22076" s="10" t="n"/>
    </row>
    <row r="22077">
      <c r="B22077" s="7" t="n">
        <v>22075</v>
      </c>
      <c r="C22077" t="inlineStr">
        <is>
          <t>Thực tập Kế toán</t>
        </is>
      </c>
      <c r="D22077" t="inlineStr">
        <is>
          <t>Công Ty Cổ phần Tài Việt (Vietstock.vn)</t>
        </is>
      </c>
      <c r="E22077" t="inlineStr">
        <is>
          <t>Lương:2 Tr - 3 Tr VND</t>
        </is>
      </c>
      <c r="F22077" t="inlineStr">
        <is>
          <t>Hồ Chí Minh</t>
        </is>
      </c>
      <c r="G22077" t="inlineStr">
        <is>
          <t>25-02-2026</t>
        </is>
      </c>
      <c r="H22077" t="inlineStr">
        <is>
          <t>15/03/2026</t>
        </is>
      </c>
      <c r="I22077" t="inlineStr">
        <is>
          <t>17/03/2026</t>
        </is>
      </c>
      <c r="J22077" t="inlineStr">
        <is>
          <t>Kế toán / Kiểm toán, Mới tốt nghiệp / Thực tập</t>
        </is>
      </c>
      <c r="K22077" t="inlineStr">
        <is>
          <t>N/A</t>
        </is>
      </c>
      <c r="L22077" s="8">
        <f>HYPERLINK("https://careerviet.vn/vi/tim-viec-lam/thuc-tap-ke-toan.35C696A5.html","Xem chi tiết")</f>
        <v/>
      </c>
    </row>
    <row r="22078">
      <c r="B22078" s="9" t="n">
        <v>22076</v>
      </c>
      <c r="C22078" s="10" t="inlineStr">
        <is>
          <t>Sinh Viên Bán Hàng PartimeTại  Nhà Sách CPSCHOOL</t>
        </is>
      </c>
      <c r="D22078" s="10" t="inlineStr">
        <is>
          <t>CÔNG TY CP THIẾT BỊ CAO PHÁT</t>
        </is>
      </c>
      <c r="E22078" s="10" t="inlineStr">
        <is>
          <t>Lương:4 Tr - 5 Tr VND</t>
        </is>
      </c>
      <c r="F22078" s="10" t="inlineStr">
        <is>
          <t>Hồ Chí Minh</t>
        </is>
      </c>
      <c r="G22078" s="10" t="inlineStr">
        <is>
          <t>25-03-2026</t>
        </is>
      </c>
      <c r="H22078" s="10" t="inlineStr">
        <is>
          <t>25/03/2026</t>
        </is>
      </c>
      <c r="I22078" s="10" t="inlineStr">
        <is>
          <t>17/03/2026</t>
        </is>
      </c>
      <c r="J22078" s="10" t="inlineStr">
        <is>
          <t>Bán lẻ / Bán sỉ, Bán hàng / Kinh doanh</t>
        </is>
      </c>
      <c r="K22078" s="10" t="inlineStr">
        <is>
          <t>N/A</t>
        </is>
      </c>
      <c r="L22078" s="11">
        <f>HYPERLINK("https://careerviet.vn/vi/tim-viec-lam/sinh-vien-ban-hang-partimetai-nha-sach-cpschool.35C69686.html","Xem chi tiết")</f>
        <v/>
      </c>
      <c r="M22078" s="10" t="n"/>
    </row>
    <row r="22079">
      <c r="B22079" s="7" t="n">
        <v>22077</v>
      </c>
      <c r="C22079" t="inlineStr">
        <is>
          <t>[Tan Phu] Finance Internship with allowance (Contract 6 months)</t>
        </is>
      </c>
      <c r="D22079" t="inlineStr">
        <is>
          <t>EUROFINS VIETNAM</t>
        </is>
      </c>
      <c r="E22079" t="inlineStr">
        <is>
          <t>Lương:2,2 Tr - 2,8 Tr VND</t>
        </is>
      </c>
      <c r="F22079" t="inlineStr">
        <is>
          <t>Hồ Chí Minh</t>
        </is>
      </c>
      <c r="G22079" t="inlineStr">
        <is>
          <t>25-02-2026</t>
        </is>
      </c>
      <c r="H22079" t="inlineStr">
        <is>
          <t>25/02/2026</t>
        </is>
      </c>
      <c r="I22079" t="inlineStr">
        <is>
          <t>17/03/2026</t>
        </is>
      </c>
      <c r="J22079" t="inlineStr">
        <is>
          <t>Kế toán / Kiểm toán, Tài chính / Đầu tư, Mới tốt nghiệp / Thực tập</t>
        </is>
      </c>
      <c r="K22079" t="inlineStr">
        <is>
          <t>N/A</t>
        </is>
      </c>
      <c r="L22079" s="8">
        <f>HYPERLINK("https://careerviet.vn/vi/tim-viec-lam/tan-phu-finance-internship-with-allowance-contract-6-months.35C69496.html","Xem chi tiết")</f>
        <v/>
      </c>
    </row>
    <row r="22080">
      <c r="B22080" s="9" t="n">
        <v>22078</v>
      </c>
      <c r="C22080" s="10" t="inlineStr">
        <is>
          <t>Thực Tập Sinh - Kế Toán Hà Nội</t>
        </is>
      </c>
      <c r="D22080" s="10" t="inlineStr">
        <is>
          <t>HYPERION CO., LTD</t>
        </is>
      </c>
      <c r="E22080" s="10" t="inlineStr">
        <is>
          <t>Lương:3 Tr - 4 Tr VND</t>
        </is>
      </c>
      <c r="F22080" s="10" t="inlineStr">
        <is>
          <t>Hà Nội</t>
        </is>
      </c>
      <c r="G22080" s="10" t="inlineStr">
        <is>
          <t>31-03-2026</t>
        </is>
      </c>
      <c r="H22080" s="10" t="inlineStr">
        <is>
          <t>31/03/2026</t>
        </is>
      </c>
      <c r="I22080" s="10" t="inlineStr">
        <is>
          <t>17/03/2026</t>
        </is>
      </c>
      <c r="J22080" s="10" t="inlineStr">
        <is>
          <t>Kế toán / Kiểm toán</t>
        </is>
      </c>
      <c r="K22080" s="10" t="inlineStr">
        <is>
          <t>N/A</t>
        </is>
      </c>
      <c r="L22080" s="11">
        <f>HYPERLINK("https://careerviet.vn/vi/tim-viec-lam/thuc-tap-sinh-ke-toan-ha-noi.35C694C3.html","Xem chi tiết")</f>
        <v/>
      </c>
      <c r="M22080" s="10" t="n"/>
    </row>
    <row r="22081">
      <c r="B22081" s="7" t="n">
        <v>22079</v>
      </c>
      <c r="C22081" t="inlineStr">
        <is>
          <t>Thực tập sinh Marketing</t>
        </is>
      </c>
      <c r="D22081" t="inlineStr">
        <is>
          <t>Công ty TNHH LECI</t>
        </is>
      </c>
      <c r="E22081" t="inlineStr">
        <is>
          <t>Lương:2,5 Tr - 3 Tr VND</t>
        </is>
      </c>
      <c r="F22081" t="inlineStr">
        <is>
          <t>Hồ Chí Minh</t>
        </is>
      </c>
      <c r="G22081" t="inlineStr">
        <is>
          <t>31-03-2026</t>
        </is>
      </c>
      <c r="H22081" t="inlineStr">
        <is>
          <t>31/03/2026</t>
        </is>
      </c>
      <c r="I22081" t="inlineStr">
        <is>
          <t>17/03/2026</t>
        </is>
      </c>
      <c r="J22081" t="inlineStr">
        <is>
          <t>Tiếp thị / Marketing</t>
        </is>
      </c>
      <c r="K22081" t="inlineStr">
        <is>
          <t>N/A</t>
        </is>
      </c>
      <c r="L22081" s="8">
        <f>HYPERLINK("https://careerviet.vn/vi/tim-viec-lam/thuc-tap-sinh-marketing.35C69425.html","Xem chi tiết")</f>
        <v/>
      </c>
    </row>
    <row r="22082">
      <c r="B22082" s="9" t="n">
        <v>22080</v>
      </c>
      <c r="C22082" s="10" t="inlineStr">
        <is>
          <t>Nhân viên Lễ tân - hành chính  (Hợp đồng 8 tháng)</t>
        </is>
      </c>
      <c r="D22082" s="10" t="inlineStr">
        <is>
          <t>CÔNG TY CỔ PHẦN GREEN SPEED</t>
        </is>
      </c>
      <c r="E22082" s="10" t="inlineStr">
        <is>
          <t>Lương:9 Tr - 9,2 Tr VND</t>
        </is>
      </c>
      <c r="F22082" s="10" t="inlineStr">
        <is>
          <t>Đồng Nai</t>
        </is>
      </c>
      <c r="G22082" s="10" t="inlineStr">
        <is>
          <t>25-03-2026</t>
        </is>
      </c>
      <c r="H22082" s="10" t="inlineStr">
        <is>
          <t>25/03/2026</t>
        </is>
      </c>
      <c r="I22082" s="10" t="inlineStr">
        <is>
          <t>17/03/2026</t>
        </is>
      </c>
      <c r="J22082" s="10" t="inlineStr">
        <is>
          <t>Hành chính / Thư ký</t>
        </is>
      </c>
      <c r="K22082" s="10" t="inlineStr">
        <is>
          <t>N/A</t>
        </is>
      </c>
      <c r="L22082" s="11">
        <f>HYPERLINK("https://careerviet.vn/vi/tim-viec-lam/nhan-vien-le-tan-hanh-chinh-hop-dong-8-thang.35C69673.html","Xem chi tiết")</f>
        <v/>
      </c>
      <c r="M22082" s="10" t="n"/>
    </row>
    <row r="22083">
      <c r="B22083" s="7" t="n">
        <v>22081</v>
      </c>
      <c r="C22083" t="inlineStr">
        <is>
          <t>Master Data Management (Fresher)</t>
        </is>
      </c>
      <c r="D22083" t="inlineStr">
        <is>
          <t>CÔNG TY CỔ PHẦN KING FOOD MARKET</t>
        </is>
      </c>
      <c r="E22083" t="inlineStr">
        <is>
          <t>Lương:Cạnh tranh</t>
        </is>
      </c>
      <c r="F22083" t="inlineStr">
        <is>
          <t>Hồ Chí Minh</t>
        </is>
      </c>
      <c r="G22083" t="inlineStr">
        <is>
          <t>25-03-2026</t>
        </is>
      </c>
      <c r="H22083" t="inlineStr">
        <is>
          <t>25/03/2026</t>
        </is>
      </c>
      <c r="I22083" t="inlineStr">
        <is>
          <t>17/03/2026</t>
        </is>
      </c>
      <c r="J22083" t="inlineStr">
        <is>
          <t>Bán lẻ / Bán sỉ, Mới tốt nghiệp / Thực tập, Thống kê</t>
        </is>
      </c>
      <c r="K22083" t="inlineStr">
        <is>
          <t>N/A</t>
        </is>
      </c>
      <c r="L22083" s="8">
        <f>HYPERLINK("https://careerviet.vn/vi/tim-viec-lam/master-data-management-fresher.35C6954D.html","Xem chi tiết")</f>
        <v/>
      </c>
    </row>
    <row r="22084">
      <c r="B22084" s="9" t="n">
        <v>22082</v>
      </c>
      <c r="C22084" s="10" t="inlineStr">
        <is>
          <t>Nhân Viên Kinh Doanh Mảng Cho Thuê Căn Hộ Cao Cấp</t>
        </is>
      </c>
      <c r="D22084" s="10" t="inlineStr">
        <is>
          <t>Công Ty TNHH Modan Home</t>
        </is>
      </c>
      <c r="E22084" s="10" t="inlineStr">
        <is>
          <t>Lương:15 Tr - 50 Tr VND</t>
        </is>
      </c>
      <c r="F22084" s="10" t="inlineStr">
        <is>
          <t>Hồ Chí Minh</t>
        </is>
      </c>
      <c r="G22084" s="10" t="inlineStr">
        <is>
          <t>25-03-2026</t>
        </is>
      </c>
      <c r="H22084" s="10" t="inlineStr">
        <is>
          <t>25/03/2026</t>
        </is>
      </c>
      <c r="I22084" s="10" t="inlineStr">
        <is>
          <t>17/03/2026</t>
        </is>
      </c>
      <c r="J22084" s="10" t="inlineStr">
        <is>
          <t>Bất động sản, Bán hàng / Kinh doanh, Dịch vụ khách hàng</t>
        </is>
      </c>
      <c r="K22084" s="10" t="inlineStr">
        <is>
          <t>N/A</t>
        </is>
      </c>
      <c r="L22084" s="11">
        <f>HYPERLINK("https://careerviet.vn/vi/tim-viec-lam/nhan-vien-kinh-doanh-mang-cho-thue-can-ho-cao-cap.35C6950D.html","Xem chi tiết")</f>
        <v/>
      </c>
      <c r="M22084" s="10" t="n"/>
    </row>
    <row r="22085">
      <c r="B22085" s="7" t="n">
        <v>22083</v>
      </c>
      <c r="C22085" t="inlineStr">
        <is>
          <t>Thực tập sinh Kho vận (Part-Time/ Intern)</t>
        </is>
      </c>
      <c r="D22085" t="inlineStr">
        <is>
          <t>HERAMO JSC</t>
        </is>
      </c>
      <c r="E22085" t="inlineStr">
        <is>
          <t>Lương:Cạnh tranh</t>
        </is>
      </c>
      <c r="F22085" t="inlineStr">
        <is>
          <t>Hồ Chí Minh</t>
        </is>
      </c>
      <c r="G22085" t="inlineStr">
        <is>
          <t>27-03-2026</t>
        </is>
      </c>
      <c r="H22085" t="inlineStr">
        <is>
          <t>27/03/2026</t>
        </is>
      </c>
      <c r="I22085" t="inlineStr">
        <is>
          <t>17/03/2026</t>
        </is>
      </c>
      <c r="J22085" t="inlineStr">
        <is>
          <t>Vận chuyển / Giao nhận / Kho vận, Sản xuất / Vận hành sản xuất</t>
        </is>
      </c>
      <c r="K22085" t="inlineStr">
        <is>
          <t>N/A</t>
        </is>
      </c>
      <c r="L22085" s="8">
        <f>HYPERLINK("https://careerviet.vn/vi/tim-viec-lam/thuc-tap-sinh-kho-van-part-time-intern.35C693A3.html","Xem chi tiết")</f>
        <v/>
      </c>
    </row>
    <row r="22086">
      <c r="B22086" s="9" t="n">
        <v>22084</v>
      </c>
      <c r="C22086" s="10" t="inlineStr">
        <is>
          <t>THỰC TẬP SINH MARKETING</t>
        </is>
      </c>
      <c r="D22086" s="10" t="inlineStr">
        <is>
          <t>CÔNG TY TNHH UPTOGO</t>
        </is>
      </c>
      <c r="E22086" s="10" t="inlineStr">
        <is>
          <t>Lương:Cạnh tranh</t>
        </is>
      </c>
      <c r="F22086" s="10" t="inlineStr">
        <is>
          <t>Hồ Chí Minh</t>
        </is>
      </c>
      <c r="G22086" s="10" t="inlineStr">
        <is>
          <t>25-03-2026</t>
        </is>
      </c>
      <c r="H22086" s="10" t="inlineStr">
        <is>
          <t>25/03/2026</t>
        </is>
      </c>
      <c r="I22086" s="10" t="inlineStr">
        <is>
          <t>17/03/2026</t>
        </is>
      </c>
      <c r="J22086" s="10" t="inlineStr">
        <is>
          <t>Mới tốt nghiệp / Thực tập, Tiếp thị / Marketing</t>
        </is>
      </c>
      <c r="K22086" s="10" t="inlineStr">
        <is>
          <t>N/A</t>
        </is>
      </c>
      <c r="L22086" s="11">
        <f>HYPERLINK("https://careerviet.vn/vi/tim-viec-lam/thuc-tap-sinh-marketing.35C693DA.html","Xem chi tiết")</f>
        <v/>
      </c>
      <c r="M22086" s="10" t="n"/>
    </row>
    <row r="22087">
      <c r="B22087" s="7" t="n">
        <v>22085</v>
      </c>
      <c r="C22087" t="inlineStr">
        <is>
          <t>Thực Tập Sinh M&amp;A</t>
        </is>
      </c>
      <c r="D22087" t="inlineStr">
        <is>
          <t>Công Ty TNHH ONE-VALUE Việt Nam</t>
        </is>
      </c>
      <c r="E22087" t="inlineStr">
        <is>
          <t>Lương:2 Tr - 5 Tr VND</t>
        </is>
      </c>
      <c r="F22087" t="inlineStr">
        <is>
          <t>Hà Nội</t>
        </is>
      </c>
      <c r="G22087" t="inlineStr">
        <is>
          <t>24-03-2026</t>
        </is>
      </c>
      <c r="H22087" t="inlineStr">
        <is>
          <t>24/03/2026</t>
        </is>
      </c>
      <c r="I22087" t="inlineStr">
        <is>
          <t>17/03/2026</t>
        </is>
      </c>
      <c r="J22087" t="inlineStr">
        <is>
          <t>Tài chính / Đầu tư, Tư vấn</t>
        </is>
      </c>
      <c r="K22087" t="inlineStr">
        <is>
          <t>N/A</t>
        </is>
      </c>
      <c r="L22087" s="8">
        <f>HYPERLINK("https://careerviet.vn/vi/tim-viec-lam/thuc-tap-sinh-m-a.35C69328.html","Xem chi tiết")</f>
        <v/>
      </c>
    </row>
    <row r="22088">
      <c r="B22088" s="9" t="n">
        <v>22086</v>
      </c>
      <c r="C22088" s="10" t="inlineStr">
        <is>
          <t>NHÂN VIÊN CHỨNG TỪ - DOCUMENT STAFF (HAI PHONG OFFICE)</t>
        </is>
      </c>
      <c r="D22088" s="10" t="inlineStr">
        <is>
          <t>CÔNG TY TNHH YANG MING SHIPPING (VIỆT NAM)</t>
        </is>
      </c>
      <c r="E22088" s="10" t="inlineStr">
        <is>
          <t>Lương:7,5 Tr - 10 Tr VND</t>
        </is>
      </c>
      <c r="F22088" s="10" t="inlineStr">
        <is>
          <t>Hải Phòng</t>
        </is>
      </c>
      <c r="G22088" s="10" t="inlineStr">
        <is>
          <t>24-03-2026</t>
        </is>
      </c>
      <c r="H22088" s="10" t="inlineStr">
        <is>
          <t>24/03/2026</t>
        </is>
      </c>
      <c r="I22088" s="10" t="inlineStr">
        <is>
          <t>17/03/2026</t>
        </is>
      </c>
      <c r="J22088" s="10" t="inlineStr">
        <is>
          <t>Hàng hải, Xuất nhập khẩu, Mới tốt nghiệp / Thực tập</t>
        </is>
      </c>
      <c r="K22088" s="10" t="inlineStr">
        <is>
          <t>N/A</t>
        </is>
      </c>
      <c r="L22088" s="11">
        <f>HYPERLINK("https://careerviet.vn/vi/tim-viec-lam/nhan-vien-chung-tu-document-staff-hai-phong-office.35C69354.html","Xem chi tiết")</f>
        <v/>
      </c>
      <c r="M22088" s="10" t="n"/>
    </row>
    <row r="22089">
      <c r="B22089" s="7" t="n">
        <v>22087</v>
      </c>
      <c r="C22089" t="inlineStr">
        <is>
          <t>Nhân Viên Tư Vấn Bán Hàng Cho Viettel tại Nghệ An</t>
        </is>
      </c>
      <c r="D22089" t="inlineStr">
        <is>
          <t>CÔNG TY CỔ PHẦN TRUYỀN THÔNG KIM CƯƠNG</t>
        </is>
      </c>
      <c r="E22089" t="inlineStr">
        <is>
          <t>Lương:7 Tr - 10 Tr VND</t>
        </is>
      </c>
      <c r="F22089" t="inlineStr">
        <is>
          <t>Nghệ An</t>
        </is>
      </c>
      <c r="G22089" t="inlineStr">
        <is>
          <t>26-03-2026</t>
        </is>
      </c>
      <c r="H22089" t="inlineStr">
        <is>
          <t>26/03/2026</t>
        </is>
      </c>
      <c r="I22089" t="inlineStr">
        <is>
          <t>17/03/2026</t>
        </is>
      </c>
      <c r="J22089" t="inlineStr">
        <is>
          <t>Tư vấn, Hành chính / Thư ký, Bán hàng / Kinh doanh</t>
        </is>
      </c>
      <c r="K22089" t="inlineStr">
        <is>
          <t>N/A</t>
        </is>
      </c>
      <c r="L22089" s="8">
        <f>HYPERLINK("https://careerviet.vn/vi/tim-viec-lam/nhan-vien-tu-van-ban-hang-cho-viettel-tai-nghe-an.35C69384.html","Xem chi tiết")</f>
        <v/>
      </c>
    </row>
    <row r="22090">
      <c r="B22090" s="9" t="n">
        <v>22088</v>
      </c>
      <c r="C22090" s="10" t="inlineStr">
        <is>
          <t>Nhân Viên Tư Vấn Bán Hàng Viettel Tại Phú Thọ</t>
        </is>
      </c>
      <c r="D22090" s="10" t="inlineStr">
        <is>
          <t>CÔNG TY CỔ PHẦN TRUYỀN THÔNG KIM CƯƠNG</t>
        </is>
      </c>
      <c r="E22090" s="10" t="inlineStr">
        <is>
          <t>Lương:7 Tr - 10 Tr VND</t>
        </is>
      </c>
      <c r="F22090" s="10" t="inlineStr">
        <is>
          <t>Phú Thọ</t>
        </is>
      </c>
      <c r="G22090" s="10" t="inlineStr">
        <is>
          <t>26-03-2026</t>
        </is>
      </c>
      <c r="H22090" s="10" t="inlineStr">
        <is>
          <t>26/03/2026</t>
        </is>
      </c>
      <c r="I22090" s="10" t="inlineStr">
        <is>
          <t>17/03/2026</t>
        </is>
      </c>
      <c r="J22090" s="10" t="inlineStr">
        <is>
          <t>Bán hàng / Kinh doanh, Tư vấn, Giáo dục / Đào tạo</t>
        </is>
      </c>
      <c r="K22090" s="10" t="inlineStr">
        <is>
          <t>N/A</t>
        </is>
      </c>
      <c r="L22090" s="11">
        <f>HYPERLINK("https://careerviet.vn/vi/tim-viec-lam/nhan-vien-tu-van-ban-hang-viettel-tai-phu-tho.35C69389.html","Xem chi tiết")</f>
        <v/>
      </c>
      <c r="M22090" s="10" t="n"/>
    </row>
    <row r="22091">
      <c r="B22091" s="7" t="n">
        <v>22089</v>
      </c>
      <c r="C22091" t="inlineStr">
        <is>
          <t>Legal Intern</t>
        </is>
      </c>
      <c r="D22091" t="inlineStr">
        <is>
          <t>EMVN</t>
        </is>
      </c>
      <c r="E22091" t="inlineStr">
        <is>
          <t>Lương:Cạnh tranh</t>
        </is>
      </c>
      <c r="F22091" t="inlineStr">
        <is>
          <t>Hồ Chí Minh</t>
        </is>
      </c>
      <c r="G22091" t="inlineStr">
        <is>
          <t>31-03-2026</t>
        </is>
      </c>
      <c r="H22091" t="inlineStr">
        <is>
          <t>31/03/2026</t>
        </is>
      </c>
      <c r="I22091" t="inlineStr">
        <is>
          <t>17/03/2026</t>
        </is>
      </c>
      <c r="J22091" t="inlineStr">
        <is>
          <t>Luật / Pháp lý</t>
        </is>
      </c>
      <c r="K22091" t="inlineStr">
        <is>
          <t>N/A</t>
        </is>
      </c>
      <c r="L22091" s="8">
        <f>HYPERLINK("https://careerviet.vn/vi/tim-viec-lam/legal-intern.35C692D2.html","Xem chi tiết")</f>
        <v/>
      </c>
    </row>
    <row r="22092">
      <c r="B22092" s="9" t="n">
        <v>22090</v>
      </c>
      <c r="C22092" s="10" t="inlineStr">
        <is>
          <t>Thực Tập Sinh Truyền Thông Nội Bộ</t>
        </is>
      </c>
      <c r="D22092" s="10" t="inlineStr">
        <is>
          <t>HỆ THỐNG KÍNH MẮT ANNA</t>
        </is>
      </c>
      <c r="E22092" s="10" t="inlineStr">
        <is>
          <t>Lương:1 Tr - 2 Tr VND</t>
        </is>
      </c>
      <c r="F22092" s="10" t="inlineStr">
        <is>
          <t>Hà Nội</t>
        </is>
      </c>
      <c r="G22092" s="10" t="inlineStr">
        <is>
          <t>31-03-2026</t>
        </is>
      </c>
      <c r="H22092" s="10" t="inlineStr">
        <is>
          <t>31/03/2026</t>
        </is>
      </c>
      <c r="I22092" s="10" t="inlineStr">
        <is>
          <t>17/03/2026</t>
        </is>
      </c>
      <c r="J22092" s="10" t="inlineStr">
        <is>
          <t>Nhân sự</t>
        </is>
      </c>
      <c r="K22092" s="10" t="inlineStr">
        <is>
          <t>N/A</t>
        </is>
      </c>
      <c r="L22092" s="11">
        <f>HYPERLINK("https://careerviet.vn/vi/tim-viec-lam/thuc-tap-sinh-truyen-thong-noi-bo.35C69356.html","Xem chi tiết")</f>
        <v/>
      </c>
      <c r="M22092" s="10" t="n"/>
    </row>
    <row r="22093">
      <c r="B22093" s="7" t="n">
        <v>22091</v>
      </c>
      <c r="C22093" t="inlineStr">
        <is>
          <t>Thực Tập Sinh C&amp;B</t>
        </is>
      </c>
      <c r="D22093" t="inlineStr">
        <is>
          <t>HỆ THỐNG KÍNH MẮT ANNA</t>
        </is>
      </c>
      <c r="E22093" t="inlineStr">
        <is>
          <t>Lương:2 Tr - 5 Tr VND</t>
        </is>
      </c>
      <c r="F22093" t="inlineStr">
        <is>
          <t>Hà Nội</t>
        </is>
      </c>
      <c r="G22093" t="inlineStr">
        <is>
          <t>31-03-2026</t>
        </is>
      </c>
      <c r="H22093" t="inlineStr">
        <is>
          <t>31/03/2026</t>
        </is>
      </c>
      <c r="I22093" t="inlineStr">
        <is>
          <t>17/03/2026</t>
        </is>
      </c>
      <c r="J22093" t="inlineStr">
        <is>
          <t>Nhân sự</t>
        </is>
      </c>
      <c r="K22093" t="inlineStr">
        <is>
          <t>N/A</t>
        </is>
      </c>
      <c r="L22093" s="8">
        <f>HYPERLINK("https://careerviet.vn/vi/tim-viec-lam/thuc-tap-sinh-c-b.35C69351.html","Xem chi tiết")</f>
        <v/>
      </c>
    </row>
    <row r="22094">
      <c r="B22094" s="9" t="n">
        <v>22092</v>
      </c>
      <c r="C22094" s="10" t="inlineStr">
        <is>
          <t>Nhân viên chăm sóc khách hàng</t>
        </is>
      </c>
      <c r="D22094" s="10" t="inlineStr">
        <is>
          <t>Công ty Cổ phần Xôi Residences</t>
        </is>
      </c>
      <c r="E22094" s="10" t="inlineStr">
        <is>
          <t>Lương:8 Tr - 10 Tr VND</t>
        </is>
      </c>
      <c r="F22094" s="10" t="inlineStr">
        <is>
          <t>Hà Nội</t>
        </is>
      </c>
      <c r="G22094" s="10" t="inlineStr">
        <is>
          <t>31-03-2026</t>
        </is>
      </c>
      <c r="H22094" s="10" t="inlineStr">
        <is>
          <t>31/03/2026</t>
        </is>
      </c>
      <c r="I22094" s="10" t="inlineStr">
        <is>
          <t>17/03/2026</t>
        </is>
      </c>
      <c r="J22094" s="10" t="inlineStr">
        <is>
          <t>Dịch vụ khách hàng</t>
        </is>
      </c>
      <c r="K22094" s="10" t="inlineStr">
        <is>
          <t>N/A</t>
        </is>
      </c>
      <c r="L22094" s="11">
        <f>HYPERLINK("https://careerviet.vn/vi/tim-viec-lam/nhan-vien-cham-soc-khach-hang.35C691ED.html","Xem chi tiết")</f>
        <v/>
      </c>
      <c r="M22094" s="10" t="n"/>
    </row>
    <row r="22095">
      <c r="B22095" s="7" t="n">
        <v>22093</v>
      </c>
      <c r="C22095" t="inlineStr">
        <is>
          <t>Nhân viên vận hành siêu thị</t>
        </is>
      </c>
      <c r="D22095" t="inlineStr">
        <is>
          <t>CÔNG TY TNHH FAMILY FOODS MARKET</t>
        </is>
      </c>
      <c r="E22095" t="inlineStr">
        <is>
          <t>Lương:7 Tr - 8 Tr VND</t>
        </is>
      </c>
      <c r="F22095" t="inlineStr">
        <is>
          <t>Hà Nội</t>
        </is>
      </c>
      <c r="G22095" t="inlineStr">
        <is>
          <t>24-02-2026</t>
        </is>
      </c>
      <c r="H22095" t="inlineStr">
        <is>
          <t>10/03/2026</t>
        </is>
      </c>
      <c r="I22095" t="inlineStr">
        <is>
          <t>17/03/2026</t>
        </is>
      </c>
      <c r="J22095" t="inlineStr">
        <is>
          <t>Bán hàng / Kinh doanh</t>
        </is>
      </c>
      <c r="K22095" t="inlineStr">
        <is>
          <t>N/A</t>
        </is>
      </c>
      <c r="L22095" s="8">
        <f>HYPERLINK("https://careerviet.vn/vi/tim-viec-lam/nhan-vien-van-hanh-sieu-thi.35C692D4.html","Xem chi tiết")</f>
        <v/>
      </c>
    </row>
    <row r="22096">
      <c r="B22096" s="9" t="n">
        <v>22094</v>
      </c>
      <c r="C22096" s="10" t="inlineStr">
        <is>
          <t>Thực Tập Sinh Social Media Full-time</t>
        </is>
      </c>
      <c r="D22096" s="10" t="inlineStr">
        <is>
          <t>CÔNG TY CỔ PHẦN TRUYỀN THÔNG VÀ GIẢI TRÍ GEM MEDIA</t>
        </is>
      </c>
      <c r="E22096" s="10" t="inlineStr">
        <is>
          <t>Lương:2 Tr - 3 Tr VND</t>
        </is>
      </c>
      <c r="F22096" s="10" t="inlineStr">
        <is>
          <t>Hồ Chí Minh</t>
        </is>
      </c>
      <c r="G22096" s="10" t="inlineStr">
        <is>
          <t>25-03-2026</t>
        </is>
      </c>
      <c r="H22096" s="10" t="inlineStr">
        <is>
          <t>25/03/2026</t>
        </is>
      </c>
      <c r="I22096" s="10" t="inlineStr">
        <is>
          <t>17/03/2026</t>
        </is>
      </c>
      <c r="J22096" s="10" t="inlineStr">
        <is>
          <t>Tiếp thị / Marketing, Mỹ thuật / Nghệ thuật / Thiết kế, Giải trí</t>
        </is>
      </c>
      <c r="K22096" s="10" t="inlineStr">
        <is>
          <t>N/A</t>
        </is>
      </c>
      <c r="L22096" s="11">
        <f>HYPERLINK("https://careerviet.vn/vi/tim-viec-lam/thuc-tap-sinh-social-media-full-time.35C691CF.html","Xem chi tiết")</f>
        <v/>
      </c>
      <c r="M22096" s="10" t="n"/>
    </row>
    <row r="22097">
      <c r="B22097" s="7" t="n">
        <v>22095</v>
      </c>
      <c r="C22097" t="inlineStr">
        <is>
          <t>Kỹ sư HVAC</t>
        </is>
      </c>
      <c r="D22097" t="inlineStr">
        <is>
          <t>CÔNG TY TNHH CƠ NHIỆT ĐIỆN LẠNH BÁCH KHOA</t>
        </is>
      </c>
      <c r="E22097" t="inlineStr">
        <is>
          <t>Lương:8 Tr - 10 Tr VND</t>
        </is>
      </c>
      <c r="F22097" t="inlineStr">
        <is>
          <t>Hải Dương</t>
        </is>
      </c>
      <c r="G22097" t="inlineStr">
        <is>
          <t>31-03-2026</t>
        </is>
      </c>
      <c r="H22097" t="inlineStr">
        <is>
          <t>31/03/2026</t>
        </is>
      </c>
      <c r="I22097" t="inlineStr">
        <is>
          <t>17/03/2026</t>
        </is>
      </c>
      <c r="J22097" t="inlineStr">
        <is>
          <t>Điện / Điện tử / Điện lạnh / Điện công nghiệp, Mới tốt nghiệp / Thực tập</t>
        </is>
      </c>
      <c r="K22097" t="inlineStr">
        <is>
          <t>N/A</t>
        </is>
      </c>
      <c r="L22097" s="8">
        <f>HYPERLINK("https://careerviet.vn/vi/tim-viec-lam/ky-su-hvac.35C691DE.html","Xem chi tiết")</f>
        <v/>
      </c>
    </row>
    <row r="22098">
      <c r="B22098" s="9" t="n">
        <v>22096</v>
      </c>
      <c r="C22098" s="10" t="inlineStr">
        <is>
          <t>Cộng Tác Viên Tuyển Dụng ( Có Lương)</t>
        </is>
      </c>
      <c r="D22098" s="10" t="inlineStr">
        <is>
          <t>Công ty Cổ Phần Chuỗi Nhà Hàng SVN</t>
        </is>
      </c>
      <c r="E22098" s="10" t="inlineStr">
        <is>
          <t>Lương:3 Tr - 6 Tr VND</t>
        </is>
      </c>
      <c r="F22098" s="10" t="inlineStr">
        <is>
          <t>Hà Nội</t>
        </is>
      </c>
      <c r="G22098" s="10" t="inlineStr">
        <is>
          <t>24-02-2026</t>
        </is>
      </c>
      <c r="H22098" s="10" t="inlineStr">
        <is>
          <t>15/03/2026</t>
        </is>
      </c>
      <c r="I22098" s="10" t="inlineStr">
        <is>
          <t>17/03/2026</t>
        </is>
      </c>
      <c r="J22098" s="10" t="inlineStr">
        <is>
          <t>Nhân sự, Nhà hàng / Khách sạn</t>
        </is>
      </c>
      <c r="K22098" s="10" t="inlineStr">
        <is>
          <t>N/A</t>
        </is>
      </c>
      <c r="L22098" s="11">
        <f>HYPERLINK("https://careerviet.vn/vi/tim-viec-lam/cong-tac-vien-tuyen-dung-co-luong.35C69230.html","Xem chi tiết")</f>
        <v/>
      </c>
      <c r="M22098" s="10" t="n"/>
    </row>
    <row r="22099">
      <c r="B22099" s="7" t="n">
        <v>22097</v>
      </c>
      <c r="C22099" t="inlineStr">
        <is>
          <t>Thực tập sinh Thu mua (Ngành Dược)</t>
        </is>
      </c>
      <c r="D22099" t="inlineStr">
        <is>
          <t>Hệ thống Phòng khám 315</t>
        </is>
      </c>
      <c r="E22099" t="inlineStr">
        <is>
          <t>Lương:3 Tr - 4 Tr VND</t>
        </is>
      </c>
      <c r="F22099" t="inlineStr">
        <is>
          <t>Hồ Chí Minh</t>
        </is>
      </c>
      <c r="G22099" t="inlineStr">
        <is>
          <t>31-03-2026</t>
        </is>
      </c>
      <c r="H22099" t="inlineStr">
        <is>
          <t>31/03/2026</t>
        </is>
      </c>
      <c r="I22099" t="inlineStr">
        <is>
          <t>17/03/2026</t>
        </is>
      </c>
      <c r="J22099" t="inlineStr">
        <is>
          <t>Dược phẩm/ Hóa Mỹ Phẩm, Vận chuyển / Giao nhận / Kho vận, Thu mua / Vật tư</t>
        </is>
      </c>
      <c r="K22099" t="inlineStr">
        <is>
          <t>N/A</t>
        </is>
      </c>
      <c r="L22099" s="8">
        <f>HYPERLINK("https://careerviet.vn/vi/tim-viec-lam/thuc-tap-sinh-thu-mua-nganh-duoc.35C69262.html","Xem chi tiết")</f>
        <v/>
      </c>
    </row>
    <row r="22100">
      <c r="B22100" s="9" t="n">
        <v>22098</v>
      </c>
      <c r="C22100" s="10" t="inlineStr">
        <is>
          <t>Laboratory Technician</t>
        </is>
      </c>
      <c r="D22100" s="10" t="inlineStr">
        <is>
          <t>CÔNG TY CỔ PHẦN GIẢI PHÁP GENE - GENE SOLUTIONS</t>
        </is>
      </c>
      <c r="E22100" s="10" t="inlineStr">
        <is>
          <t>Lương:11 Tr - 11 Tr VND</t>
        </is>
      </c>
      <c r="F22100" s="10" t="inlineStr">
        <is>
          <t>Hà Nội</t>
        </is>
      </c>
      <c r="G22100" s="10" t="inlineStr">
        <is>
          <t>6</t>
        </is>
      </c>
      <c r="H22100" s="10" t="inlineStr">
        <is>
          <t>23/03/2026</t>
        </is>
      </c>
      <c r="I22100" s="10" t="inlineStr">
        <is>
          <t>17/03/2026</t>
        </is>
      </c>
      <c r="J22100" s="10" t="inlineStr">
        <is>
          <t>Công nghệ sinh học</t>
        </is>
      </c>
      <c r="K22100" s="10" t="inlineStr">
        <is>
          <t>N/A</t>
        </is>
      </c>
      <c r="L22100" s="11">
        <f>HYPERLINK("https://careerviet.vn/vi/tim-viec-lam/laboratory-technician.35C68E7D.html","Xem chi tiết")</f>
        <v/>
      </c>
      <c r="M22100" s="10" t="n"/>
    </row>
    <row r="22101">
      <c r="B22101" s="7" t="n">
        <v>22099</v>
      </c>
      <c r="C22101" t="inlineStr">
        <is>
          <t>(HN)_Nhân viên Lễ tân Tòa nhà</t>
        </is>
      </c>
      <c r="D22101" t="inlineStr">
        <is>
          <t>CBRE (Vietnam) Co.,ltd</t>
        </is>
      </c>
      <c r="E22101" t="inlineStr">
        <is>
          <t>Lương:8,5 Tr - 12 Tr VND</t>
        </is>
      </c>
      <c r="F22101" t="inlineStr">
        <is>
          <t>Hà Nội</t>
        </is>
      </c>
      <c r="G22101" t="inlineStr">
        <is>
          <t>3</t>
        </is>
      </c>
      <c r="H22101" t="inlineStr">
        <is>
          <t>20/03/2026</t>
        </is>
      </c>
      <c r="I22101" t="inlineStr">
        <is>
          <t>17/03/2026</t>
        </is>
      </c>
      <c r="J22101" t="inlineStr">
        <is>
          <t>Dịch vụ khách hàng, Nhà hàng / Khách sạn, Bất động sản</t>
        </is>
      </c>
      <c r="K22101" t="inlineStr">
        <is>
          <t>N/A</t>
        </is>
      </c>
      <c r="L22101" s="8">
        <f>HYPERLINK("https://careerviet.vn/vi/tim-viec-lam/hn-_nhan-vien-le-tan-toa-nha.35C691B2.html","Xem chi tiết")</f>
        <v/>
      </c>
    </row>
    <row r="22102">
      <c r="B22102" s="9" t="n">
        <v>22100</v>
      </c>
      <c r="C22102" s="10" t="inlineStr">
        <is>
          <t>Kỹ sư Sản xuất Thông minh (Intelligent Logistics)-Tiếng Trung hoặc tiếng Anh</t>
        </is>
      </c>
      <c r="D22102" s="10" t="inlineStr">
        <is>
          <t>CÔNG TY TNHH ELECTRONIC TRIPOD VIỆT NAM (CHÂU ĐỨC)</t>
        </is>
      </c>
      <c r="E22102" s="10" t="inlineStr">
        <is>
          <t>Lương:Cạnh tranh</t>
        </is>
      </c>
      <c r="F22102" s="10" t="inlineStr">
        <is>
          <t>Bà Rịa - Vũng Tàu</t>
        </is>
      </c>
      <c r="G22102" s="10" t="inlineStr">
        <is>
          <t>24-03-2026</t>
        </is>
      </c>
      <c r="H22102" s="10" t="inlineStr">
        <is>
          <t>24/03/2026</t>
        </is>
      </c>
      <c r="I22102" s="10" t="inlineStr">
        <is>
          <t>17/03/2026</t>
        </is>
      </c>
      <c r="J22102" s="10" t="inlineStr">
        <is>
          <t>Cơ khí / Ô tô / Tự động hóa, Điện / Điện tử / Điện lạnh / Điện công nghiệp</t>
        </is>
      </c>
      <c r="K22102" s="10" t="inlineStr">
        <is>
          <t>N/A</t>
        </is>
      </c>
      <c r="L22102" s="11">
        <f>HYPERLINK("https://careerviet.vn/vi/tim-viec-lam/ky-su-san-xuat-thong-minh-intelligent-logistics-tieng-trung-hoac-tieng-anh.35C69198.html","Xem chi tiết")</f>
        <v/>
      </c>
      <c r="M22102" s="10" t="n"/>
    </row>
    <row r="22103">
      <c r="B22103" s="7" t="n">
        <v>22101</v>
      </c>
      <c r="C22103" t="inlineStr">
        <is>
          <t>Kỹ sư thiết bị y tế - Medical Engineer</t>
        </is>
      </c>
      <c r="D22103" t="inlineStr">
        <is>
          <t>Công Ty TNHH Thương Mại Kỹ Thuật Y Tế Vạn Xuân</t>
        </is>
      </c>
      <c r="E22103" t="inlineStr">
        <is>
          <t>Lương:9 Tr - 16 Tr VND</t>
        </is>
      </c>
      <c r="F22103" t="inlineStr">
        <is>
          <t>Hà Nội</t>
        </is>
      </c>
      <c r="G22103" t="inlineStr">
        <is>
          <t>3</t>
        </is>
      </c>
      <c r="H22103" t="inlineStr">
        <is>
          <t>20/03/2026</t>
        </is>
      </c>
      <c r="I22103" t="inlineStr">
        <is>
          <t>17/03/2026</t>
        </is>
      </c>
      <c r="J22103" t="inlineStr">
        <is>
          <t>Y tế / Chăm sóc sức khỏe / Thẩm mỹ / Làm đẹp, Công nghệ sinh học, Bảo trì / Sửa chữa</t>
        </is>
      </c>
      <c r="K22103" t="inlineStr">
        <is>
          <t>N/A</t>
        </is>
      </c>
      <c r="L22103" s="8">
        <f>HYPERLINK("https://careerviet.vn/vi/tim-viec-lam/ky-su-thiet-bi-y-te-medical-engineer.35C690FB.html","Xem chi tiết")</f>
        <v/>
      </c>
    </row>
    <row r="22104">
      <c r="B22104" s="9" t="n">
        <v>22102</v>
      </c>
      <c r="C22104" s="10" t="inlineStr">
        <is>
          <t>THỰC TẬP SINH MARKETING (Marketing / Growth Associate)</t>
        </is>
      </c>
      <c r="D22104" s="10" t="inlineStr">
        <is>
          <t>Công ty TNHH Worksmate</t>
        </is>
      </c>
      <c r="E22104" s="10" t="inlineStr">
        <is>
          <t>Lương:1,5 Tr - 3 Tr VND</t>
        </is>
      </c>
      <c r="F22104" s="10" t="inlineStr">
        <is>
          <t>Hà Nội</t>
        </is>
      </c>
      <c r="G22104" s="10" t="inlineStr">
        <is>
          <t>31-03-2026</t>
        </is>
      </c>
      <c r="H22104" s="10" t="inlineStr">
        <is>
          <t>31/03/2026</t>
        </is>
      </c>
      <c r="I22104" s="10" t="inlineStr">
        <is>
          <t>17/03/2026</t>
        </is>
      </c>
      <c r="J22104" s="10" t="inlineStr">
        <is>
          <t>Tiếp thị / Marketing</t>
        </is>
      </c>
      <c r="K22104" s="10" t="inlineStr">
        <is>
          <t>N/A</t>
        </is>
      </c>
      <c r="L22104" s="11">
        <f>HYPERLINK("https://careerviet.vn/vi/tim-viec-lam/thuc-tap-sinh-marketing-marketing-growth-associate.35C6922F.html","Xem chi tiết")</f>
        <v/>
      </c>
      <c r="M22104" s="10" t="n"/>
    </row>
    <row r="22105">
      <c r="B22105" s="7" t="n">
        <v>22103</v>
      </c>
      <c r="C22105" t="inlineStr">
        <is>
          <t>THỰC TẬP SINH MARKETING (Marketing/Growth Associate)</t>
        </is>
      </c>
      <c r="D22105" t="inlineStr">
        <is>
          <t>CÔNG TY TRÁCH NHIỆM HỮU HẠN PLAN ADD VIỆT NAM</t>
        </is>
      </c>
      <c r="E22105" t="inlineStr">
        <is>
          <t>Lương:2 Tr - 3,5 Tr VND</t>
        </is>
      </c>
      <c r="F22105" t="inlineStr">
        <is>
          <t>Hà Nội</t>
        </is>
      </c>
      <c r="G22105" t="inlineStr">
        <is>
          <t>31-03-2026</t>
        </is>
      </c>
      <c r="H22105" t="inlineStr">
        <is>
          <t>31/03/2026</t>
        </is>
      </c>
      <c r="I22105" t="inlineStr">
        <is>
          <t>17/03/2026</t>
        </is>
      </c>
      <c r="J22105" t="inlineStr">
        <is>
          <t>Tiếp thị / Marketing</t>
        </is>
      </c>
      <c r="K22105" t="inlineStr">
        <is>
          <t>N/A</t>
        </is>
      </c>
      <c r="L22105" s="8">
        <f>HYPERLINK("https://careerviet.vn/vi/tim-viec-lam/thuc-tap-sinh-marketing-marketing-growth-associate.35C691FC.html","Xem chi tiết")</f>
        <v/>
      </c>
    </row>
    <row r="22106">
      <c r="B22106" s="9" t="n">
        <v>22104</v>
      </c>
      <c r="C22106" s="10" t="inlineStr">
        <is>
          <t>Thực Tập Sinh Mảng Khách Sạn</t>
        </is>
      </c>
      <c r="D22106" s="10" t="inlineStr">
        <is>
          <t>CÔNG TY TNHH CÔNG NGHỆ VNTRIP</t>
        </is>
      </c>
      <c r="E22106" s="10" t="inlineStr">
        <is>
          <t>Lương:Lên đến 1,3 Tr VND</t>
        </is>
      </c>
      <c r="F22106" s="10" t="inlineStr">
        <is>
          <t>Hà Nội</t>
        </is>
      </c>
      <c r="G22106" s="10" t="inlineStr">
        <is>
          <t>31-03-2026</t>
        </is>
      </c>
      <c r="H22106" s="10" t="inlineStr">
        <is>
          <t>31/03/2026</t>
        </is>
      </c>
      <c r="I22106" s="10" t="inlineStr">
        <is>
          <t>17/03/2026</t>
        </is>
      </c>
      <c r="J22106" s="10" t="inlineStr">
        <is>
          <t>Nhà hàng / Khách sạn, Du lịch</t>
        </is>
      </c>
      <c r="K22106" s="10" t="inlineStr">
        <is>
          <t>N/A</t>
        </is>
      </c>
      <c r="L22106" s="11">
        <f>HYPERLINK("https://careerviet.vn/vi/tim-viec-lam/thuc-tap-sinh-mang-khach-san.35C69098.html","Xem chi tiết")</f>
        <v/>
      </c>
      <c r="M22106" s="10" t="n"/>
    </row>
    <row r="22107">
      <c r="B22107" s="7" t="n">
        <v>22105</v>
      </c>
      <c r="C22107" t="inlineStr">
        <is>
          <t>CỘNG TÁC VIÊN TƯ VẤN PHẦN MỀM (B2B)</t>
        </is>
      </c>
      <c r="D22107" t="inlineStr">
        <is>
          <t>Công ty CP TS24</t>
        </is>
      </c>
      <c r="E22107" t="inlineStr">
        <is>
          <t>Lương:1,8 Tr - 4 Tr VND</t>
        </is>
      </c>
      <c r="F22107" t="inlineStr">
        <is>
          <t>Hồ Chí Minh</t>
        </is>
      </c>
      <c r="G22107" t="inlineStr">
        <is>
          <t>24-03-2026</t>
        </is>
      </c>
      <c r="H22107" t="inlineStr">
        <is>
          <t>24/03/2026</t>
        </is>
      </c>
      <c r="I22107" t="inlineStr">
        <is>
          <t>17/03/2026</t>
        </is>
      </c>
      <c r="J22107" t="inlineStr">
        <is>
          <t>Tiếp thị / Marketing, Bán hàng / Kinh doanh, Tiếp thị trực tuyến</t>
        </is>
      </c>
      <c r="K22107" t="inlineStr">
        <is>
          <t>N/A</t>
        </is>
      </c>
      <c r="L22107" s="8">
        <f>HYPERLINK("https://careerviet.vn/vi/tim-viec-lam/cong-tac-vien-tu-van-phan-mem-b2b.35C69077.html","Xem chi tiết")</f>
        <v/>
      </c>
    </row>
    <row r="22108">
      <c r="B22108" s="9" t="n">
        <v>22106</v>
      </c>
      <c r="C22108" s="10" t="inlineStr">
        <is>
          <t>Thực tập sinh nhân sự</t>
        </is>
      </c>
      <c r="D22108" s="10" t="inlineStr">
        <is>
          <t>Công ty TNHH Lửa Á Châu</t>
        </is>
      </c>
      <c r="E22108" s="10" t="inlineStr">
        <is>
          <t>Lương:1 Tr - 2 Tr VND</t>
        </is>
      </c>
      <c r="F22108" s="10" t="inlineStr">
        <is>
          <t>Hồ Chí Minh</t>
        </is>
      </c>
      <c r="G22108" s="10" t="inlineStr">
        <is>
          <t>23-02-2026</t>
        </is>
      </c>
      <c r="H22108" s="10" t="inlineStr">
        <is>
          <t>14/03/2026</t>
        </is>
      </c>
      <c r="I22108" s="10" t="inlineStr">
        <is>
          <t>17/03/2026</t>
        </is>
      </c>
      <c r="J22108" s="10" t="inlineStr">
        <is>
          <t>Nhân sự</t>
        </is>
      </c>
      <c r="K22108" s="10" t="inlineStr">
        <is>
          <t>N/A</t>
        </is>
      </c>
      <c r="L22108" s="11">
        <f>HYPERLINK("https://careerviet.vn/vi/tim-viec-lam/thuc-tap-sinh-nhan-su.35C68EF8.html","Xem chi tiết")</f>
        <v/>
      </c>
      <c r="M22108" s="10" t="n"/>
    </row>
    <row r="22109">
      <c r="B22109" s="7" t="n">
        <v>22107</v>
      </c>
      <c r="C22109" t="inlineStr">
        <is>
          <t>Nhân Viên Kinh Doanh Ban Bán Hàng Trực Tiếp, tuyến xe máy - Long Thành</t>
        </is>
      </c>
      <c r="D22109" t="inlineStr">
        <is>
          <t>Cty TNHH Yakult Việt Nam</t>
        </is>
      </c>
      <c r="E22109" t="inlineStr">
        <is>
          <t>Lương:10 Tr - 14 Tr VND</t>
        </is>
      </c>
      <c r="F22109" t="inlineStr">
        <is>
          <t>Đồng Nai</t>
        </is>
      </c>
      <c r="G22109" t="inlineStr">
        <is>
          <t>6</t>
        </is>
      </c>
      <c r="H22109" t="inlineStr">
        <is>
          <t>23/03/2026</t>
        </is>
      </c>
      <c r="I22109" t="inlineStr">
        <is>
          <t>17/03/2026</t>
        </is>
      </c>
      <c r="J22109" t="inlineStr">
        <is>
          <t>Tiếp thị / Marketing, Bán hàng / Kinh doanh, Y tế / Chăm sóc sức khỏe / Thẩm mỹ / Làm đẹp</t>
        </is>
      </c>
      <c r="K22109" t="inlineStr">
        <is>
          <t>N/A</t>
        </is>
      </c>
      <c r="L22109" s="8">
        <f>HYPERLINK("https://careerviet.vn/vi/tim-viec-lam/nhan-vien-kinh-doanh-ban-ban-hang-truc-tiep-tuyen-xe-may-long-thanh.35C68FFB.html","Xem chi tiết")</f>
        <v/>
      </c>
    </row>
    <row r="22110">
      <c r="B22110" s="9" t="n">
        <v>22108</v>
      </c>
      <c r="C22110" s="10" t="inlineStr">
        <is>
          <t>FRESH SALES LOGISTICS</t>
        </is>
      </c>
      <c r="D22110" s="10" t="inlineStr">
        <is>
          <t>SCT LOGISTICS JSC</t>
        </is>
      </c>
      <c r="E22110" s="10" t="inlineStr">
        <is>
          <t>Lương:Cạnh tranh</t>
        </is>
      </c>
      <c r="F22110" s="10" t="inlineStr">
        <is>
          <t>Hồ Chí MinhHà Nội</t>
        </is>
      </c>
      <c r="G22110" s="10" t="inlineStr">
        <is>
          <t>24-03-2026</t>
        </is>
      </c>
      <c r="H22110" s="10" t="inlineStr">
        <is>
          <t>24/03/2026</t>
        </is>
      </c>
      <c r="I22110" s="10" t="inlineStr">
        <is>
          <t>17/03/2026</t>
        </is>
      </c>
      <c r="J22110" s="10" t="inlineStr">
        <is>
          <t>Vận chuyển / Giao nhận / Kho vận, Xuất nhập khẩu</t>
        </is>
      </c>
      <c r="K22110" s="10" t="inlineStr">
        <is>
          <t>N/A</t>
        </is>
      </c>
      <c r="L22110" s="11">
        <f>HYPERLINK("https://careerviet.vn/vi/tim-viec-lam/fresh-sales-logistics.35C68FEB.html","Xem chi tiết")</f>
        <v/>
      </c>
      <c r="M22110" s="10" t="n"/>
    </row>
    <row r="22111">
      <c r="B22111" s="7" t="n">
        <v>22109</v>
      </c>
      <c r="C22111" t="inlineStr">
        <is>
          <t>Nhân viên kinh doanh</t>
        </is>
      </c>
      <c r="D22111" t="inlineStr">
        <is>
          <t>CÔNG TY CỔ PHẦN TẬP ĐOÀN BA THANH</t>
        </is>
      </c>
      <c r="E22111" t="inlineStr">
        <is>
          <t>Lương:10 Tr - 50 Tr VND</t>
        </is>
      </c>
      <c r="F22111" t="inlineStr">
        <is>
          <t>Hồ Chí Minh</t>
        </is>
      </c>
      <c r="G22111" t="inlineStr">
        <is>
          <t>6</t>
        </is>
      </c>
      <c r="H22111" t="inlineStr">
        <is>
          <t>23/03/2026</t>
        </is>
      </c>
      <c r="I22111" t="inlineStr">
        <is>
          <t>17/03/2026</t>
        </is>
      </c>
      <c r="J22111" t="inlineStr">
        <is>
          <t>Bán hàng / Kinh doanh, Nội ngoại thất, Quảng cáo / Đối ngoại / Truyền Thông</t>
        </is>
      </c>
      <c r="K22111" t="inlineStr">
        <is>
          <t>N/A</t>
        </is>
      </c>
      <c r="L22111" s="8">
        <f>HYPERLINK("https://careerviet.vn/vi/tim-viec-lam/nhan-vien-kinh-doanh.35C68F96.html","Xem chi tiết")</f>
        <v/>
      </c>
    </row>
    <row r="22112">
      <c r="B22112" s="9" t="n">
        <v>22110</v>
      </c>
      <c r="C22112" s="10" t="inlineStr">
        <is>
          <t>Open Fresher - QC Analyst - Pharma/Lab  (Contract 6 months)</t>
        </is>
      </c>
      <c r="D22112" s="10" t="inlineStr">
        <is>
          <t>CÔNG TY CỔ PHẦN GREEN SPEED</t>
        </is>
      </c>
      <c r="E22112" s="10" t="inlineStr">
        <is>
          <t>Lương:13 Tr - 14 Tr VND</t>
        </is>
      </c>
      <c r="F22112" s="10" t="inlineStr">
        <is>
          <t>Hồ Chí Minh</t>
        </is>
      </c>
      <c r="G22112" s="10" t="inlineStr">
        <is>
          <t>31-03-2026</t>
        </is>
      </c>
      <c r="H22112" s="10" t="inlineStr">
        <is>
          <t>31/03/2026</t>
        </is>
      </c>
      <c r="I22112" s="10" t="inlineStr">
        <is>
          <t>17/03/2026</t>
        </is>
      </c>
      <c r="J22112" s="10" t="inlineStr">
        <is>
          <t>Dược phẩm/ Hóa Mỹ Phẩm, Quản lý chất lượng (QA/QC)</t>
        </is>
      </c>
      <c r="K22112" s="10" t="inlineStr">
        <is>
          <t>N/A</t>
        </is>
      </c>
      <c r="L22112" s="11">
        <f>HYPERLINK("https://careerviet.vn/vi/tim-viec-lam/open-fresher-qc-analyst-pharma-lab-contract-6-months.35C69057.html","Xem chi tiết")</f>
        <v/>
      </c>
      <c r="M22112" s="10" t="n"/>
    </row>
    <row r="22113">
      <c r="B22113" s="7" t="n">
        <v>22111</v>
      </c>
      <c r="C22113" t="inlineStr">
        <is>
          <t>Account Marketing Intern</t>
        </is>
      </c>
      <c r="D22113" t="inlineStr">
        <is>
          <t>Công ty TNHH Levinci</t>
        </is>
      </c>
      <c r="E22113" t="inlineStr">
        <is>
          <t>Lương:Cạnh tranh</t>
        </is>
      </c>
      <c r="F22113" t="inlineStr">
        <is>
          <t>Hồ Chí Minh</t>
        </is>
      </c>
      <c r="G22113" t="inlineStr">
        <is>
          <t>24-03-2026</t>
        </is>
      </c>
      <c r="H22113" t="inlineStr">
        <is>
          <t>24/03/2026</t>
        </is>
      </c>
      <c r="I22113" t="inlineStr">
        <is>
          <t>17/03/2026</t>
        </is>
      </c>
      <c r="J22113" t="inlineStr">
        <is>
          <t>Tiếp thị / Marketing, Dịch vụ khách hàng</t>
        </is>
      </c>
      <c r="K22113" t="inlineStr">
        <is>
          <t>N/A</t>
        </is>
      </c>
      <c r="L22113" s="8">
        <f>HYPERLINK("https://careerviet.vn/vi/tim-viec-lam/account-marketing-intern.35C68FB0.html","Xem chi tiết")</f>
        <v/>
      </c>
    </row>
    <row r="22114">
      <c r="B22114" s="9" t="n">
        <v>22112</v>
      </c>
      <c r="C22114" s="10" t="inlineStr">
        <is>
          <t>Nhân viên hổ trợ kinh doanh biết tiếng trung – Sales logistics</t>
        </is>
      </c>
      <c r="D22114" s="10" t="inlineStr">
        <is>
          <t>Công ty TNHH Thương mại và Dịch vụ Vạn Hải</t>
        </is>
      </c>
      <c r="E22114" s="10" t="inlineStr">
        <is>
          <t>Lương:8 Tr - 25 Tr VND</t>
        </is>
      </c>
      <c r="F22114" s="10" t="inlineStr">
        <is>
          <t>Hồ Chí MinhBình Định</t>
        </is>
      </c>
      <c r="G22114" s="10" t="inlineStr">
        <is>
          <t>6</t>
        </is>
      </c>
      <c r="H22114" s="10" t="inlineStr">
        <is>
          <t>23/03/2026</t>
        </is>
      </c>
      <c r="I22114" s="10" t="inlineStr">
        <is>
          <t>17/03/2026</t>
        </is>
      </c>
      <c r="J22114" s="10" t="inlineStr">
        <is>
          <t>Vận chuyển / Giao nhận / Kho vận, Xuất nhập khẩu</t>
        </is>
      </c>
      <c r="K22114" s="10" t="inlineStr">
        <is>
          <t>N/A</t>
        </is>
      </c>
      <c r="L22114" s="11">
        <f>HYPERLINK("https://careerviet.vn/vi/tim-viec-lam/nhan-vien-ho-tro-kinh-doanh-biet-tieng-trung-sales-logistics.35C68EBD.html","Xem chi tiết")</f>
        <v/>
      </c>
      <c r="M22114" s="10" t="n"/>
    </row>
    <row r="22115">
      <c r="B22115" s="7" t="n">
        <v>22113</v>
      </c>
      <c r="C22115" t="inlineStr">
        <is>
          <t>RF/Wireless Intern</t>
        </is>
      </c>
      <c r="D22115" t="inlineStr">
        <is>
          <t>CÔNG TY TNHH CÔNG NGHỆ HUAWEI VIỆT NAM</t>
        </is>
      </c>
      <c r="E22115" t="inlineStr">
        <is>
          <t>Lương:Cạnh tranh</t>
        </is>
      </c>
      <c r="F22115" t="inlineStr">
        <is>
          <t>Hà NộiHồ Chí Minh</t>
        </is>
      </c>
      <c r="G22115" t="inlineStr">
        <is>
          <t>31-03-2026</t>
        </is>
      </c>
      <c r="H22115" t="inlineStr">
        <is>
          <t>31/03/2026</t>
        </is>
      </c>
      <c r="I22115" t="inlineStr">
        <is>
          <t>17/03/2026</t>
        </is>
      </c>
      <c r="J22115" t="inlineStr">
        <is>
          <t>Bưu chính viễn thông</t>
        </is>
      </c>
      <c r="K22115" t="inlineStr">
        <is>
          <t>N/A</t>
        </is>
      </c>
      <c r="L22115" s="8">
        <f>HYPERLINK("https://careerviet.vn/vi/tim-viec-lam/rf-wireless-intern.35C68F74.html","Xem chi tiết")</f>
        <v/>
      </c>
    </row>
    <row r="22116">
      <c r="B22116" s="9" t="n">
        <v>22114</v>
      </c>
      <c r="C22116" s="10" t="inlineStr">
        <is>
          <t>Thực tập sinh quản lý dữ liệu</t>
        </is>
      </c>
      <c r="D22116" s="10" t="inlineStr">
        <is>
          <t>Medigo Software</t>
        </is>
      </c>
      <c r="E22116" s="10" t="inlineStr">
        <is>
          <t>Lương:3 Tr - 3 Tr VND</t>
        </is>
      </c>
      <c r="F22116" s="10" t="inlineStr">
        <is>
          <t>Hồ Chí Minh</t>
        </is>
      </c>
      <c r="G22116" s="10" t="inlineStr">
        <is>
          <t>23-02-2026</t>
        </is>
      </c>
      <c r="H22116" s="10" t="inlineStr">
        <is>
          <t>09/03/2026</t>
        </is>
      </c>
      <c r="I22116" s="10" t="inlineStr">
        <is>
          <t>17/03/2026</t>
        </is>
      </c>
      <c r="J22116" s="10" t="inlineStr">
        <is>
          <t>Kế toán / Kiểm toán, Thống kê, CNTT - Phần mềm</t>
        </is>
      </c>
      <c r="K22116" s="10" t="inlineStr">
        <is>
          <t>N/A</t>
        </is>
      </c>
      <c r="L22116" s="11">
        <f>HYPERLINK("https://careerviet.vn/vi/tim-viec-lam/thuc-tap-sinh-quan-ly-du-lieu.35C685EF.html","Xem chi tiết")</f>
        <v/>
      </c>
      <c r="M22116" s="10" t="n"/>
    </row>
    <row r="22117">
      <c r="B22117" s="7" t="n">
        <v>22115</v>
      </c>
      <c r="C22117" t="inlineStr">
        <is>
          <t>Nhân Viên Vận Hành Máy</t>
        </is>
      </c>
      <c r="D22117" t="inlineStr">
        <is>
          <t>Công ty cổ phần LothaMilk</t>
        </is>
      </c>
      <c r="E22117" t="inlineStr">
        <is>
          <t>Lương:8 Tr - 10 Tr VND</t>
        </is>
      </c>
      <c r="F22117" t="inlineStr">
        <is>
          <t>Đồng Nai</t>
        </is>
      </c>
      <c r="G22117" t="inlineStr">
        <is>
          <t>6</t>
        </is>
      </c>
      <c r="H22117" t="inlineStr">
        <is>
          <t>23/03/2026</t>
        </is>
      </c>
      <c r="I22117" t="inlineStr">
        <is>
          <t>17/03/2026</t>
        </is>
      </c>
      <c r="J22117" t="inlineStr">
        <is>
          <t>Thực phẩm &amp; Đồ uống, Điện / Điện tử / Điện lạnh / Điện công nghiệp, Sản xuất / Vận hành sản xuất</t>
        </is>
      </c>
      <c r="K22117" t="inlineStr">
        <is>
          <t>N/A</t>
        </is>
      </c>
      <c r="L22117" s="8">
        <f>HYPERLINK("https://careerviet.vn/vi/tim-viec-lam/nhan-vien-van-hanh-may.35C31779.html","Xem chi tiết")</f>
        <v/>
      </c>
    </row>
    <row r="22118">
      <c r="B22118" s="9" t="n">
        <v>22116</v>
      </c>
      <c r="C22118" s="10" t="inlineStr">
        <is>
          <t>Thực tập sinh nhân sự</t>
        </is>
      </c>
      <c r="D22118" s="10" t="inlineStr">
        <is>
          <t>Công ty Cổ phần Ẩm thực Thiên Lý</t>
        </is>
      </c>
      <c r="E22118" s="10" t="inlineStr">
        <is>
          <t>Lương:1 Tr - 1,5 Tr VND</t>
        </is>
      </c>
      <c r="F22118" s="10" t="inlineStr">
        <is>
          <t>Hồ Chí Minh</t>
        </is>
      </c>
      <c r="G22118" s="10" t="inlineStr">
        <is>
          <t>31-03-2026</t>
        </is>
      </c>
      <c r="H22118" s="10" t="inlineStr">
        <is>
          <t>31/03/2026</t>
        </is>
      </c>
      <c r="I22118" s="10" t="inlineStr">
        <is>
          <t>17/03/2026</t>
        </is>
      </c>
      <c r="J22118" s="10" t="inlineStr">
        <is>
          <t>Nhà hàng / Khách sạn</t>
        </is>
      </c>
      <c r="K22118" s="10" t="inlineStr">
        <is>
          <t>N/A</t>
        </is>
      </c>
      <c r="L22118" s="11">
        <f>HYPERLINK("https://careerviet.vn/vi/tim-viec-lam/thuc-tap-sinh-nhan-su.35C68E29.html","Xem chi tiết")</f>
        <v/>
      </c>
      <c r="M22118" s="10" t="n"/>
    </row>
    <row r="22119">
      <c r="B22119" s="7" t="n">
        <v>22117</v>
      </c>
      <c r="C22119" t="inlineStr">
        <is>
          <t>NHÂN VIÊN KINH DOANH</t>
        </is>
      </c>
      <c r="D22119" t="inlineStr">
        <is>
          <t>CÔNG TY TNHH JAY JAY VINA</t>
        </is>
      </c>
      <c r="E22119" t="inlineStr">
        <is>
          <t>Lương:10 Tr - 20 Tr VND</t>
        </is>
      </c>
      <c r="F22119" t="inlineStr">
        <is>
          <t>Hồ Chí Minh</t>
        </is>
      </c>
      <c r="G22119" t="inlineStr">
        <is>
          <t>03-04-2026</t>
        </is>
      </c>
      <c r="H22119" t="inlineStr">
        <is>
          <t>03/04/2026</t>
        </is>
      </c>
      <c r="I22119" t="inlineStr">
        <is>
          <t>17/03/2026</t>
        </is>
      </c>
      <c r="J22119" t="inlineStr">
        <is>
          <t>Bán hàng / Kinh doanh</t>
        </is>
      </c>
      <c r="K22119" t="inlineStr">
        <is>
          <t>N/A</t>
        </is>
      </c>
      <c r="L22119" s="8">
        <f>HYPERLINK("https://careerviet.vn/vi/tim-viec-lam/nhan-vien-kinh-doanh.35C6A440.html","Xem chi tiết")</f>
        <v/>
      </c>
    </row>
    <row r="22120">
      <c r="B22120" s="9" t="n">
        <v>22118</v>
      </c>
      <c r="C22120" s="10" t="inlineStr">
        <is>
          <t>Nhân viên Đóng gói</t>
        </is>
      </c>
      <c r="D22120" s="10" t="inlineStr">
        <is>
          <t>CÔNG TY CỔ PHẦN THỜI TRANG AMERICAN</t>
        </is>
      </c>
      <c r="E22120" s="10" t="inlineStr">
        <is>
          <t>Lương:7,5 Tr - 10 Tr VND</t>
        </is>
      </c>
      <c r="F22120" s="10" t="inlineStr">
        <is>
          <t>Hồ Chí Minh</t>
        </is>
      </c>
      <c r="G22120" s="10" t="inlineStr">
        <is>
          <t>31-03-2026</t>
        </is>
      </c>
      <c r="H22120" s="10" t="inlineStr">
        <is>
          <t>31/03/2026</t>
        </is>
      </c>
      <c r="I22120" s="10" t="inlineStr">
        <is>
          <t>17/03/2026</t>
        </is>
      </c>
      <c r="J22120" s="10" t="inlineStr">
        <is>
          <t>Vận chuyển / Giao nhận / Kho vận</t>
        </is>
      </c>
      <c r="K22120" s="10" t="inlineStr">
        <is>
          <t>N/A</t>
        </is>
      </c>
      <c r="L22120" s="11">
        <f>HYPERLINK("https://careerviet.vn/vi/tim-viec-lam/nhan-vien-dong-goi.35C6A465.html","Xem chi tiết")</f>
        <v/>
      </c>
      <c r="M22120" s="10" t="n"/>
    </row>
    <row r="22121">
      <c r="B22121" s="7" t="n">
        <v>22119</v>
      </c>
      <c r="C22121" t="inlineStr">
        <is>
          <t>[HÀ NỘI] THỰC TẬP SINH KINH DOANH HỖ TRỢ LƯƠNG</t>
        </is>
      </c>
      <c r="D22121" t="inlineStr">
        <is>
          <t>Công ty TNHH SAPPORO Vietnam</t>
        </is>
      </c>
      <c r="E22121" t="inlineStr">
        <is>
          <t>Lương:8 Tr - 10 Tr VND</t>
        </is>
      </c>
      <c r="F22121" t="inlineStr">
        <is>
          <t>Hà Nội</t>
        </is>
      </c>
      <c r="G22121" t="inlineStr">
        <is>
          <t>31-03-2026</t>
        </is>
      </c>
      <c r="H22121" t="inlineStr">
        <is>
          <t>31/03/2026</t>
        </is>
      </c>
      <c r="I22121" t="inlineStr">
        <is>
          <t>17/03/2026</t>
        </is>
      </c>
      <c r="J22121" t="inlineStr">
        <is>
          <t>Tiếp thị / Marketing, Bán hàng / Kinh doanh, Mới tốt nghiệp / Thực tập</t>
        </is>
      </c>
      <c r="K22121" t="inlineStr">
        <is>
          <t>N/A</t>
        </is>
      </c>
      <c r="L22121" s="8">
        <f>HYPERLINK("https://careerviet.vn/vi/tim-viec-lam/ha-noi-thuc-tap-sinh-kinh-doanh-ho-tro-luong.35C6A36D.html","Xem chi tiết")</f>
        <v/>
      </c>
    </row>
    <row r="22122">
      <c r="B22122" s="9" t="n">
        <v>22120</v>
      </c>
      <c r="C22122" s="10" t="inlineStr">
        <is>
          <t>Dược Sĩ Tư Vấn Nhà Thuốc</t>
        </is>
      </c>
      <c r="D22122" s="10" t="inlineStr">
        <is>
          <t>CÔNG TY CỔ PHẦN TÍN THẮNG GDP</t>
        </is>
      </c>
      <c r="E22122" s="10" t="inlineStr">
        <is>
          <t>Lương:8 Tr - 9 Tr VND</t>
        </is>
      </c>
      <c r="F22122" s="10" t="inlineStr">
        <is>
          <t>Hồ Chí Minh</t>
        </is>
      </c>
      <c r="G22122" s="10" t="inlineStr">
        <is>
          <t>19-09-2026</t>
        </is>
      </c>
      <c r="H22122" s="10" t="inlineStr">
        <is>
          <t>19/09/2026</t>
        </is>
      </c>
      <c r="I22122" s="10" t="inlineStr">
        <is>
          <t>17/03/2026</t>
        </is>
      </c>
      <c r="J22122" s="10" t="inlineStr">
        <is>
          <t>Dược phẩm/ Hóa Mỹ Phẩm</t>
        </is>
      </c>
      <c r="K22122" s="10" t="inlineStr">
        <is>
          <t>1 - 3 Năm</t>
        </is>
      </c>
      <c r="L22122" s="11">
        <f>HYPERLINK("https://careerviet.vn/vi/tim-viec-lam/duoc-si-tu-van-nha-thuoc.35C6A404.html","Xem chi tiết")</f>
        <v/>
      </c>
      <c r="M22122" s="10" t="n"/>
    </row>
    <row r="22123">
      <c r="B22123" s="7" t="n">
        <v>22121</v>
      </c>
      <c r="C22123" t="inlineStr">
        <is>
          <t>Thực tập sinh R&amp;D (Hà Nội)</t>
        </is>
      </c>
      <c r="D22123" t="inlineStr">
        <is>
          <t>Công ty Cổ phần Sữa VitaDairy Việt Nam</t>
        </is>
      </c>
      <c r="E22123" t="inlineStr">
        <is>
          <t>Lương:Cạnh tranh</t>
        </is>
      </c>
      <c r="F22123" t="inlineStr">
        <is>
          <t>Hà Nội</t>
        </is>
      </c>
      <c r="G22123" t="inlineStr">
        <is>
          <t>30-03-2026</t>
        </is>
      </c>
      <c r="H22123" t="inlineStr">
        <is>
          <t>30/03/2026</t>
        </is>
      </c>
      <c r="I22123" t="inlineStr">
        <is>
          <t>17/03/2026</t>
        </is>
      </c>
      <c r="J22123" t="inlineStr">
        <is>
          <t>Công nghệ thực phẩm / Dinh dưỡng, Thực phẩm &amp; Đồ uống</t>
        </is>
      </c>
      <c r="K22123" t="inlineStr">
        <is>
          <t>N/A</t>
        </is>
      </c>
      <c r="L22123" s="8">
        <f>HYPERLINK("https://careerviet.vn/vi/tim-viec-lam/thuc-tap-sinh-r-d-ha-noi.35C6A46C.html","Xem chi tiết")</f>
        <v/>
      </c>
    </row>
    <row r="22124">
      <c r="B22124" s="9" t="n">
        <v>22122</v>
      </c>
      <c r="C22124" s="10" t="inlineStr">
        <is>
          <t>DƯỢC SĨ HỌC VIỆC</t>
        </is>
      </c>
      <c r="D22124" s="10" t="inlineStr">
        <is>
          <t>Medigo Software</t>
        </is>
      </c>
      <c r="E22124" s="10" t="inlineStr">
        <is>
          <t>Lương:3 Tr - 5 Tr VND</t>
        </is>
      </c>
      <c r="F22124" s="10" t="inlineStr">
        <is>
          <t>Hồ Chí Minh</t>
        </is>
      </c>
      <c r="G22124" s="10" t="inlineStr">
        <is>
          <t>6</t>
        </is>
      </c>
      <c r="H22124" s="10" t="inlineStr">
        <is>
          <t>23/03/2026</t>
        </is>
      </c>
      <c r="I22124" s="10" t="inlineStr">
        <is>
          <t>17/03/2026</t>
        </is>
      </c>
      <c r="J22124" s="10" t="inlineStr">
        <is>
          <t>Dược phẩm/ Hóa Mỹ Phẩm</t>
        </is>
      </c>
      <c r="K22124" s="10" t="inlineStr">
        <is>
          <t>N/A</t>
        </is>
      </c>
      <c r="L22124" s="11">
        <f>HYPERLINK("https://careerviet.vn/vi/tim-viec-lam/duoc-si-hoc-viec.35C68E19.html","Xem chi tiết")</f>
        <v/>
      </c>
      <c r="M22124" s="10" t="n"/>
    </row>
    <row r="22125">
      <c r="B22125" s="7" t="n">
        <v>22123</v>
      </c>
      <c r="C22125" t="inlineStr">
        <is>
          <t>Nhân viên giám sát điện năng lượng mặt trời</t>
        </is>
      </c>
      <c r="D22125" t="inlineStr">
        <is>
          <t>CÔNG TY CỔ PHẦN NĂNG LƯỢNG XANH ON ENERGY</t>
        </is>
      </c>
      <c r="E22125" t="inlineStr">
        <is>
          <t>Lương:12 Tr - 15 Tr VND</t>
        </is>
      </c>
      <c r="F22125" t="inlineStr">
        <is>
          <t>Đồng Nai</t>
        </is>
      </c>
      <c r="G22125" t="inlineStr">
        <is>
          <t>30-03-2026</t>
        </is>
      </c>
      <c r="H22125" t="inlineStr">
        <is>
          <t>30/03/2026</t>
        </is>
      </c>
      <c r="I22125" t="inlineStr">
        <is>
          <t>17/03/2026</t>
        </is>
      </c>
      <c r="J22125" t="inlineStr">
        <is>
          <t>Điện / Điện tử / Điện lạnh / Điện công nghiệp, Bảo trì / Sửa chữa, Mới tốt nghiệp / Thực tập</t>
        </is>
      </c>
      <c r="K22125" t="inlineStr">
        <is>
          <t>N/A</t>
        </is>
      </c>
      <c r="L22125" s="8">
        <f>HYPERLINK("https://careerviet.vn/vi/tim-viec-lam/nhan-vien-giam-sat-dien-nang-luong-mat-troi.35C6A3CF.html","Xem chi tiết")</f>
        <v/>
      </c>
    </row>
    <row r="22126">
      <c r="B22126" s="9" t="n">
        <v>22124</v>
      </c>
      <c r="C22126" s="10" t="inlineStr">
        <is>
          <t>Thực Tập Sinh Đào Tạo</t>
        </is>
      </c>
      <c r="D22126" s="10" t="inlineStr">
        <is>
          <t>CÔNG TY CỔ PHẦN CASHION</t>
        </is>
      </c>
      <c r="E22126" s="10" t="inlineStr">
        <is>
          <t>Lương:3 Tr - 3 Tr VND</t>
        </is>
      </c>
      <c r="F22126" s="10" t="inlineStr">
        <is>
          <t>Hồ Chí Minh</t>
        </is>
      </c>
      <c r="G22126" s="10" t="inlineStr">
        <is>
          <t>6</t>
        </is>
      </c>
      <c r="H22126" s="10" t="inlineStr">
        <is>
          <t>23/03/2026</t>
        </is>
      </c>
      <c r="I22126" s="10" t="inlineStr">
        <is>
          <t>17/03/2026</t>
        </is>
      </c>
      <c r="J22126" s="10" t="inlineStr">
        <is>
          <t>Nhân sự</t>
        </is>
      </c>
      <c r="K22126" s="10" t="inlineStr">
        <is>
          <t>N/A</t>
        </is>
      </c>
      <c r="L22126" s="11">
        <f>HYPERLINK("https://careerviet.vn/vi/tim-viec-lam/thuc-tap-sinh-dao-tao.35C68E6F.html","Xem chi tiết")</f>
        <v/>
      </c>
      <c r="M22126" s="10" t="n"/>
    </row>
    <row r="22127">
      <c r="B22127" s="7" t="n">
        <v>22125</v>
      </c>
      <c r="C22127" t="inlineStr">
        <is>
          <t>Thực tập sinh hành chính nhân sự/HR Intern</t>
        </is>
      </c>
      <c r="D22127" t="inlineStr">
        <is>
          <t>CÔNG TY CỔ PHẦN GREEN SPEED</t>
        </is>
      </c>
      <c r="E22127" t="inlineStr">
        <is>
          <t>Lương:1,5 Tr - 2 Tr VND</t>
        </is>
      </c>
      <c r="F22127" t="inlineStr">
        <is>
          <t>Bình DươngHồ Chí Minh</t>
        </is>
      </c>
      <c r="G22127" t="inlineStr">
        <is>
          <t>27-03-2026</t>
        </is>
      </c>
      <c r="H22127" t="inlineStr">
        <is>
          <t>27/03/2026</t>
        </is>
      </c>
      <c r="I22127" t="inlineStr">
        <is>
          <t>17/03/2026</t>
        </is>
      </c>
      <c r="J22127" t="inlineStr">
        <is>
          <t>Hành chính / Thư ký, Nhân sự, Mới tốt nghiệp / Thực tập</t>
        </is>
      </c>
      <c r="K22127" t="inlineStr">
        <is>
          <t>N/A</t>
        </is>
      </c>
      <c r="L22127" s="8">
        <f>HYPERLINK("https://careerviet.vn/vi/tim-viec-lam/thuc-tap-sinh-hanh-chinh-nhan-su-hr-intern.35C6A033.html","Xem chi tiết")</f>
        <v/>
      </c>
    </row>
    <row r="22128">
      <c r="B22128" s="9" t="n">
        <v>22126</v>
      </c>
      <c r="C22128" s="10" t="inlineStr">
        <is>
          <t>Nhân Viên Phát Triển Trải Nghiệm Trà</t>
        </is>
      </c>
      <c r="D22128" s="10" t="inlineStr">
        <is>
          <t>CÔNG TY CỔ PHẦN SẢN XUẤT THƯƠNG MẠI DỊCH VỤ TRÀ VIỆT</t>
        </is>
      </c>
      <c r="E22128" s="10" t="inlineStr">
        <is>
          <t>Lương:8 Tr - 15 Tr VND</t>
        </is>
      </c>
      <c r="F22128" s="10" t="inlineStr">
        <is>
          <t>Hồ Chí Minh</t>
        </is>
      </c>
      <c r="G22128" s="10" t="inlineStr">
        <is>
          <t>31-03-2026</t>
        </is>
      </c>
      <c r="H22128" s="10" t="inlineStr">
        <is>
          <t>31/03/2026</t>
        </is>
      </c>
      <c r="I22128" s="10" t="inlineStr">
        <is>
          <t>17/03/2026</t>
        </is>
      </c>
      <c r="J22128" s="10" t="inlineStr">
        <is>
          <t>Thực phẩm &amp; Đồ uống</t>
        </is>
      </c>
      <c r="K22128" s="10" t="inlineStr">
        <is>
          <t>N/A</t>
        </is>
      </c>
      <c r="L22128" s="11">
        <f>HYPERLINK("https://careerviet.vn/vi/tim-viec-lam/nhan-vien-phat-trien-trai-nghiem-tra.35C6A065.html","Xem chi tiết")</f>
        <v/>
      </c>
      <c r="M22128" s="10" t="n"/>
    </row>
    <row r="22129">
      <c r="B22129" s="7" t="n">
        <v>22127</v>
      </c>
      <c r="C22129" t="inlineStr">
        <is>
          <t>Finance Intern</t>
        </is>
      </c>
      <c r="D22129" t="inlineStr">
        <is>
          <t>TAVN</t>
        </is>
      </c>
      <c r="E22129" t="inlineStr">
        <is>
          <t>Lương:7 Tr - 7 Tr VND</t>
        </is>
      </c>
      <c r="F22129" t="inlineStr">
        <is>
          <t>Đồng NaiHồ Chí MinhBình Dương</t>
        </is>
      </c>
      <c r="G22129" t="inlineStr">
        <is>
          <t>31-03-2026</t>
        </is>
      </c>
      <c r="H22129" t="inlineStr">
        <is>
          <t>31/03/2026</t>
        </is>
      </c>
      <c r="I22129" t="inlineStr">
        <is>
          <t>17/03/2026</t>
        </is>
      </c>
      <c r="J22129" t="inlineStr">
        <is>
          <t>Kế toán / Kiểm toán, Tài chính / Đầu tư, Mới tốt nghiệp / Thực tập</t>
        </is>
      </c>
      <c r="K22129" t="inlineStr">
        <is>
          <t>N/A</t>
        </is>
      </c>
      <c r="L22129" s="8">
        <f>HYPERLINK("https://careerviet.vn/vi/tim-viec-lam/finance-intern.35C69F60.html","Xem chi tiết")</f>
        <v/>
      </c>
    </row>
    <row r="22130">
      <c r="B22130" s="9" t="n">
        <v>22128</v>
      </c>
      <c r="C22130" s="10" t="inlineStr">
        <is>
          <t>Thực tập sinh IT Helpdesk</t>
        </is>
      </c>
      <c r="D22130" s="10" t="inlineStr">
        <is>
          <t>Công ty TNHH Thiên Thủy Mộc</t>
        </is>
      </c>
      <c r="E22130" s="10" t="inlineStr">
        <is>
          <t>Lương:4 Tr - 5 Tr VND</t>
        </is>
      </c>
      <c r="F22130" s="10" t="inlineStr">
        <is>
          <t>Hà Nội</t>
        </is>
      </c>
      <c r="G22130" s="10" t="inlineStr">
        <is>
          <t>30-04-2026</t>
        </is>
      </c>
      <c r="H22130" s="10" t="inlineStr">
        <is>
          <t>30/04/2026</t>
        </is>
      </c>
      <c r="I22130" s="10" t="inlineStr">
        <is>
          <t>17/03/2026</t>
        </is>
      </c>
      <c r="J22130" s="10" t="inlineStr">
        <is>
          <t>CNTT - Phần cứng / Mạng</t>
        </is>
      </c>
      <c r="K22130" s="10" t="inlineStr">
        <is>
          <t>N/A</t>
        </is>
      </c>
      <c r="L22130" s="11">
        <f>HYPERLINK("https://careerviet.vn/vi/tim-viec-lam/thuc-tap-sinh-it-helpdesk.35C69EC9.html","Xem chi tiết")</f>
        <v/>
      </c>
      <c r="M22130" s="10" t="n"/>
    </row>
    <row r="22131">
      <c r="B22131" s="7" t="n">
        <v>22129</v>
      </c>
      <c r="C22131" t="inlineStr">
        <is>
          <t>THỰC TẬP SINH NHÂN SỰ (C&amp;B)</t>
        </is>
      </c>
      <c r="D22131" t="inlineStr">
        <is>
          <t>Công ty cổ phần Tập đoàn Danko</t>
        </is>
      </c>
      <c r="E22131" t="inlineStr">
        <is>
          <t>Lương:Trên 3 Tr VND</t>
        </is>
      </c>
      <c r="F22131" t="inlineStr">
        <is>
          <t>Hà Nội</t>
        </is>
      </c>
      <c r="G22131" t="inlineStr">
        <is>
          <t>08-04-2026</t>
        </is>
      </c>
      <c r="H22131" t="inlineStr">
        <is>
          <t>08/04/2026</t>
        </is>
      </c>
      <c r="I22131" t="inlineStr">
        <is>
          <t>17/03/2026</t>
        </is>
      </c>
      <c r="J22131" t="inlineStr">
        <is>
          <t>Nhân sự</t>
        </is>
      </c>
      <c r="K22131" t="inlineStr">
        <is>
          <t>N/A</t>
        </is>
      </c>
      <c r="L22131" s="8">
        <f>HYPERLINK("https://careerviet.vn/vi/tim-viec-lam/thuc-tap-sinh-nhan-su-c-b.35C69DDC.html","Xem chi tiết")</f>
        <v/>
      </c>
    </row>
    <row r="22132">
      <c r="B22132" s="9" t="n">
        <v>22130</v>
      </c>
      <c r="C22132" s="10" t="inlineStr">
        <is>
          <t>DevOps Engineer</t>
        </is>
      </c>
      <c r="D22132" s="10" t="inlineStr">
        <is>
          <t>TMA Technology Group</t>
        </is>
      </c>
      <c r="E22132" s="10" t="inlineStr">
        <is>
          <t>Lương:Cạnh tranh</t>
        </is>
      </c>
      <c r="F22132" s="10" t="inlineStr">
        <is>
          <t>Hồ Chí Minh</t>
        </is>
      </c>
      <c r="G22132" s="10" t="inlineStr">
        <is>
          <t>3</t>
        </is>
      </c>
      <c r="H22132" s="10" t="inlineStr">
        <is>
          <t>20/03/2026</t>
        </is>
      </c>
      <c r="I22132" s="10" t="inlineStr">
        <is>
          <t>17/03/2026</t>
        </is>
      </c>
      <c r="J22132" s="10" t="inlineStr">
        <is>
          <t>CNTT - Phần mềm</t>
        </is>
      </c>
      <c r="K22132" s="10" t="inlineStr">
        <is>
          <t>N/A</t>
        </is>
      </c>
      <c r="L22132" s="11">
        <f>HYPERLINK("https://careerviet.vn/vi/tim-viec-lam/devops-engineer.35C6A3DA.html","Xem chi tiết")</f>
        <v/>
      </c>
      <c r="M22132" s="10" t="n"/>
    </row>
    <row r="22133">
      <c r="B22133" s="7" t="n">
        <v>22131</v>
      </c>
      <c r="C22133" t="inlineStr">
        <is>
          <t>Công nhân In lụa</t>
        </is>
      </c>
      <c r="D22133" t="inlineStr">
        <is>
          <t>CÔNG TY TNHH TỶ XUÂN</t>
        </is>
      </c>
      <c r="E22133" t="inlineStr">
        <is>
          <t>Lương:5 Tr - 7 Tr VND</t>
        </is>
      </c>
      <c r="F22133" t="inlineStr">
        <is>
          <t>Vĩnh Long</t>
        </is>
      </c>
      <c r="G22133" t="inlineStr">
        <is>
          <t>29-03-2026</t>
        </is>
      </c>
      <c r="H22133" t="inlineStr">
        <is>
          <t>29/03/2026</t>
        </is>
      </c>
      <c r="I22133" t="inlineStr">
        <is>
          <t>17/03/2026</t>
        </is>
      </c>
      <c r="J22133" t="inlineStr">
        <is>
          <t>Lao động phổ thông, Dệt may / Da giày / Thời trang</t>
        </is>
      </c>
      <c r="K22133" t="inlineStr">
        <is>
          <t>N/A</t>
        </is>
      </c>
      <c r="L22133" s="8">
        <f>HYPERLINK("https://careerviet.vn/vi/tim-viec-lam/cong-nhan-in-lua.35C69D67.html","Xem chi tiết")</f>
        <v/>
      </c>
    </row>
    <row r="22134">
      <c r="B22134" s="9" t="n">
        <v>22132</v>
      </c>
      <c r="C22134" s="10" t="inlineStr">
        <is>
          <t>Thực tập sinh Kế toán và Thuế</t>
        </is>
      </c>
      <c r="D22134" s="10" t="inlineStr">
        <is>
          <t>Công Ty TNHH Kế Toán Và Tư Vấn Interloca</t>
        </is>
      </c>
      <c r="E22134" s="10" t="inlineStr">
        <is>
          <t>Lương:1 Tr - 2,5 Tr VND</t>
        </is>
      </c>
      <c r="F22134" s="10" t="inlineStr">
        <is>
          <t>Hồ Chí Minh</t>
        </is>
      </c>
      <c r="G22134" s="10" t="inlineStr">
        <is>
          <t>27-02-2026</t>
        </is>
      </c>
      <c r="H22134" s="10" t="inlineStr">
        <is>
          <t>15/03/2026</t>
        </is>
      </c>
      <c r="I22134" s="10" t="inlineStr">
        <is>
          <t>17/03/2026</t>
        </is>
      </c>
      <c r="J22134" s="10" t="inlineStr">
        <is>
          <t>Kế toán / Kiểm toán</t>
        </is>
      </c>
      <c r="K22134" s="10" t="inlineStr">
        <is>
          <t>N/A</t>
        </is>
      </c>
      <c r="L22134" s="11">
        <f>HYPERLINK("https://careerviet.vn/vi/tim-viec-lam/thuc-tap-sinh-ke-toan-va-thue.35C699C9.html","Xem chi tiết")</f>
        <v/>
      </c>
      <c r="M22134" s="10" t="n"/>
    </row>
    <row r="22135">
      <c r="B22135" s="7" t="n">
        <v>22133</v>
      </c>
      <c r="C22135" t="inlineStr">
        <is>
          <t>Talent Acquisition Intern</t>
        </is>
      </c>
      <c r="D22135" t="inlineStr">
        <is>
          <t>Vinawood Ltd.</t>
        </is>
      </c>
      <c r="E22135" t="inlineStr">
        <is>
          <t>Lương:2 Tr - 3 Tr VND</t>
        </is>
      </c>
      <c r="F22135" t="inlineStr">
        <is>
          <t>Hồ Chí Minh</t>
        </is>
      </c>
      <c r="G22135" t="inlineStr">
        <is>
          <t>27-03-2026</t>
        </is>
      </c>
      <c r="H22135" t="inlineStr">
        <is>
          <t>27/03/2026</t>
        </is>
      </c>
      <c r="I22135" t="inlineStr">
        <is>
          <t>17/03/2026</t>
        </is>
      </c>
      <c r="J22135" t="inlineStr">
        <is>
          <t>Sản xuất / Vận hành sản xuất, Nhân sự</t>
        </is>
      </c>
      <c r="K22135" t="inlineStr">
        <is>
          <t>N/A</t>
        </is>
      </c>
      <c r="L22135" s="8">
        <f>HYPERLINK("https://careerviet.vn/vi/tim-viec-lam/talent-acquisition-intern.35C69EAA.html","Xem chi tiết")</f>
        <v/>
      </c>
    </row>
    <row r="22136">
      <c r="B22136" s="9" t="n">
        <v>22134</v>
      </c>
      <c r="C22136" s="10" t="inlineStr">
        <is>
          <t>Nhân viên kinh doanh</t>
        </is>
      </c>
      <c r="D22136" s="10" t="inlineStr">
        <is>
          <t>Công ty Cổ Phần Đầu Tư Quốc Tế H&amp;B</t>
        </is>
      </c>
      <c r="E22136" s="10" t="inlineStr">
        <is>
          <t>Lương:8 Tr - 14 Tr VND</t>
        </is>
      </c>
      <c r="F22136" s="10" t="inlineStr">
        <is>
          <t>Hà Nội</t>
        </is>
      </c>
      <c r="G22136" s="10" t="inlineStr">
        <is>
          <t>31-03-2026</t>
        </is>
      </c>
      <c r="H22136" s="10" t="inlineStr">
        <is>
          <t>31/03/2026</t>
        </is>
      </c>
      <c r="I22136" s="10" t="inlineStr">
        <is>
          <t>17/03/2026</t>
        </is>
      </c>
      <c r="J22136" s="10" t="inlineStr">
        <is>
          <t>Bán hàng / Kinh doanh</t>
        </is>
      </c>
      <c r="K22136" s="10" t="inlineStr">
        <is>
          <t>N/A</t>
        </is>
      </c>
      <c r="L22136" s="11">
        <f>HYPERLINK("https://careerviet.vn/vi/tim-viec-lam/nhan-vien-kinh-doanh.35C6A1B1.html","Xem chi tiết")</f>
        <v/>
      </c>
      <c r="M22136" s="10" t="n"/>
    </row>
    <row r="22137">
      <c r="B22137" s="7" t="n">
        <v>22135</v>
      </c>
      <c r="C22137" t="inlineStr">
        <is>
          <t>Thực tập sinh nhân sự</t>
        </is>
      </c>
      <c r="D22137" t="inlineStr">
        <is>
          <t>Công ty TNHH TM Quốc Tế Hải Sản Hoàng Gia</t>
        </is>
      </c>
      <c r="E22137" t="inlineStr">
        <is>
          <t>Lương:3 Tr - 3 Tr VND</t>
        </is>
      </c>
      <c r="F22137" t="inlineStr">
        <is>
          <t>Hồ Chí Minh</t>
        </is>
      </c>
      <c r="G22137" t="inlineStr">
        <is>
          <t>01-03-2026</t>
        </is>
      </c>
      <c r="H22137" t="inlineStr">
        <is>
          <t>10/03/2026</t>
        </is>
      </c>
      <c r="I22137" t="inlineStr">
        <is>
          <t>17/03/2026</t>
        </is>
      </c>
      <c r="J22137" t="inlineStr">
        <is>
          <t>Nhân sự</t>
        </is>
      </c>
      <c r="K22137" t="inlineStr">
        <is>
          <t>N/A</t>
        </is>
      </c>
      <c r="L22137" s="8">
        <f>HYPERLINK("https://careerviet.vn/vi/tim-viec-lam/thuc-tap-sinh-nhan-su.35C6A287.html","Xem chi tiết")</f>
        <v/>
      </c>
    </row>
    <row r="22138">
      <c r="B22138" s="9" t="n">
        <v>22136</v>
      </c>
      <c r="C22138" s="10" t="inlineStr">
        <is>
          <t>Thực tập sinh</t>
        </is>
      </c>
      <c r="D22138" s="10" t="inlineStr">
        <is>
          <t>CÔNG TY CP FAST ADJUSTER</t>
        </is>
      </c>
      <c r="E22138" s="10" t="inlineStr">
        <is>
          <t>Lương:10 Tr - 10 Tr VND</t>
        </is>
      </c>
      <c r="F22138" s="10" t="inlineStr">
        <is>
          <t>Hồ Chí Minh</t>
        </is>
      </c>
      <c r="G22138" s="10" t="inlineStr">
        <is>
          <t>31-03-2026</t>
        </is>
      </c>
      <c r="H22138" s="10" t="inlineStr">
        <is>
          <t>31/03/2026</t>
        </is>
      </c>
      <c r="I22138" s="10" t="inlineStr">
        <is>
          <t>17/03/2026</t>
        </is>
      </c>
      <c r="J22138" s="10" t="inlineStr">
        <is>
          <t>Cơ khí / Ô tô / Tự động hóa, Điện / Điện tử / Điện lạnh / Điện công nghiệp, Tài chính / Đầu tư</t>
        </is>
      </c>
      <c r="K22138" s="10" t="inlineStr">
        <is>
          <t>N/A</t>
        </is>
      </c>
      <c r="L22138" s="11">
        <f>HYPERLINK("https://careerviet.vn/vi/tim-viec-lam/thuc-tap-sinh.35C6A099.html","Xem chi tiết")</f>
        <v/>
      </c>
      <c r="M22138" s="10" t="n"/>
    </row>
    <row r="22139">
      <c r="B22139" s="7" t="n">
        <v>22137</v>
      </c>
      <c r="C22139" t="inlineStr">
        <is>
          <t>ECOMMERCE MARKETING (KHÔNG YÊU CẦU KINH NGHIỆM)</t>
        </is>
      </c>
      <c r="D22139" t="inlineStr">
        <is>
          <t>CÔNG TY TNHH MTV TOMO VIỆT NAM</t>
        </is>
      </c>
      <c r="E22139" t="inlineStr">
        <is>
          <t>Lương:7 Tr - 14 Tr VND</t>
        </is>
      </c>
      <c r="F22139" t="inlineStr">
        <is>
          <t>Hồ Chí Minh</t>
        </is>
      </c>
      <c r="G22139" t="inlineStr">
        <is>
          <t>31-03-2026</t>
        </is>
      </c>
      <c r="H22139" t="inlineStr">
        <is>
          <t>31/03/2026</t>
        </is>
      </c>
      <c r="I22139" t="inlineStr">
        <is>
          <t>17/03/2026</t>
        </is>
      </c>
      <c r="J22139" t="inlineStr">
        <is>
          <t>Tiếp thị / Marketing</t>
        </is>
      </c>
      <c r="K22139" t="inlineStr">
        <is>
          <t>N/A</t>
        </is>
      </c>
      <c r="L22139" s="8">
        <f>HYPERLINK("https://careerviet.vn/vi/tim-viec-lam/ecommerce-marketing-khong-yeu-cau-kinh-nghiem.35C6A231.html","Xem chi tiết")</f>
        <v/>
      </c>
    </row>
    <row r="22140">
      <c r="B22140" s="9" t="n">
        <v>22138</v>
      </c>
      <c r="C22140" s="10" t="inlineStr">
        <is>
          <t>Kế Toán Viên</t>
        </is>
      </c>
      <c r="D22140" s="10" t="inlineStr">
        <is>
          <t>Công Ty TNHH Thương Mại Dịch Vụ An Khang Phát</t>
        </is>
      </c>
      <c r="E22140" s="10" t="inlineStr">
        <is>
          <t>Lương:8 Tr - 10 Tr VND</t>
        </is>
      </c>
      <c r="F22140" s="10" t="inlineStr">
        <is>
          <t>Hồ Chí Minh</t>
        </is>
      </c>
      <c r="G22140" s="10" t="inlineStr">
        <is>
          <t>27-03-2026</t>
        </is>
      </c>
      <c r="H22140" s="10" t="inlineStr">
        <is>
          <t>27/03/2026</t>
        </is>
      </c>
      <c r="I22140" s="10" t="inlineStr">
        <is>
          <t>17/03/2026</t>
        </is>
      </c>
      <c r="J22140" s="10" t="inlineStr">
        <is>
          <t>Luật / Pháp lý, Kế toán / Kiểm toán, Tài chính / Đầu tư</t>
        </is>
      </c>
      <c r="K22140" s="10" t="inlineStr">
        <is>
          <t>N/A</t>
        </is>
      </c>
      <c r="L22140" s="11">
        <f>HYPERLINK("https://careerviet.vn/vi/tim-viec-lam/ke-toan-vien.35C698D7.html","Xem chi tiết")</f>
        <v/>
      </c>
      <c r="M22140" s="10" t="n"/>
    </row>
    <row r="22141">
      <c r="B22141" s="7" t="n">
        <v>22139</v>
      </c>
      <c r="C22141" t="inlineStr">
        <is>
          <t>NHÂN VIÊN BẢO TRÌ – KHÔNG CẦN KINH NGHIỆM</t>
        </is>
      </c>
      <c r="D22141" t="inlineStr">
        <is>
          <t>CÔNG TY CỔ PHẦN ALO THỢ</t>
        </is>
      </c>
      <c r="E22141" t="inlineStr">
        <is>
          <t>Lương:8 Tr - 11 Tr VND</t>
        </is>
      </c>
      <c r="F22141" t="inlineStr">
        <is>
          <t>Hồ Chí Minh</t>
        </is>
      </c>
      <c r="G22141" t="inlineStr">
        <is>
          <t>24-03-2026</t>
        </is>
      </c>
      <c r="H22141" t="inlineStr">
        <is>
          <t>24/03/2026</t>
        </is>
      </c>
      <c r="I22141" t="inlineStr">
        <is>
          <t>17/03/2026</t>
        </is>
      </c>
      <c r="J22141" t="inlineStr">
        <is>
          <t>Điện / Điện tử / Điện lạnh / Điện công nghiệp</t>
        </is>
      </c>
      <c r="K22141" t="inlineStr">
        <is>
          <t>N/A</t>
        </is>
      </c>
      <c r="L22141" s="8">
        <f>HYPERLINK("https://careerviet.vn/vi/tim-viec-lam/nhan-vien-bao-tri-khong-can-kinh-nghiem.35C6959B.html","Xem chi tiết")</f>
        <v/>
      </c>
    </row>
    <row r="22142">
      <c r="B22142" s="9" t="n">
        <v>22140</v>
      </c>
      <c r="C22142" s="10" t="inlineStr">
        <is>
          <t>Product Marketing Intern</t>
        </is>
      </c>
      <c r="D22142" s="10" t="inlineStr">
        <is>
          <t>Techtronic Industries Vietnam Manufacturing Company Limited</t>
        </is>
      </c>
      <c r="E22142" s="10" t="inlineStr">
        <is>
          <t>Lương:Cạnh tranh</t>
        </is>
      </c>
      <c r="F22142" s="10" t="inlineStr">
        <is>
          <t>Hồ Chí Minh</t>
        </is>
      </c>
      <c r="G22142" s="10" t="inlineStr">
        <is>
          <t>09-04-2026</t>
        </is>
      </c>
      <c r="H22142" s="10" t="inlineStr">
        <is>
          <t>09/04/2026</t>
        </is>
      </c>
      <c r="I22142" s="10" t="inlineStr">
        <is>
          <t>17/03/2026</t>
        </is>
      </c>
      <c r="J22142" s="10" t="inlineStr">
        <is>
          <t>Tiếp thị / Marketing, Bán hàng / Kinh doanh, Mới tốt nghiệp / Thực tập</t>
        </is>
      </c>
      <c r="K22142" s="10" t="inlineStr">
        <is>
          <t>N/A</t>
        </is>
      </c>
      <c r="L22142" s="11">
        <f>HYPERLINK("https://careerviet.vn/vi/tim-viec-lam/product-marketing-intern.35C69E5A.html","Xem chi tiết")</f>
        <v/>
      </c>
      <c r="M22142" s="10" t="n"/>
    </row>
    <row r="22143">
      <c r="B22143" s="7" t="n">
        <v>22141</v>
      </c>
      <c r="C22143" t="inlineStr">
        <is>
          <t>Nhân Viên Vận Hành Máy Chấn-Đột-Dập (Không cần kinh nghiệm)</t>
        </is>
      </c>
      <c r="D22143" t="inlineStr">
        <is>
          <t>Công ty TNHH Greystone Data Systems Việt Nam</t>
        </is>
      </c>
      <c r="E22143" t="inlineStr">
        <is>
          <t>Lương:Cạnh tranh</t>
        </is>
      </c>
      <c r="F22143" t="inlineStr">
        <is>
          <t>Hồ Chí Minh</t>
        </is>
      </c>
      <c r="G22143" t="inlineStr">
        <is>
          <t>27-03-2026</t>
        </is>
      </c>
      <c r="H22143" t="inlineStr">
        <is>
          <t>27/03/2026</t>
        </is>
      </c>
      <c r="I22143" t="inlineStr">
        <is>
          <t>17/03/2026</t>
        </is>
      </c>
      <c r="J22143" t="inlineStr">
        <is>
          <t>Cơ khí / Ô tô / Tự động hóa, Mỹ thuật / Nghệ thuật / Thiết kế, Bảo trì / Sửa chữa</t>
        </is>
      </c>
      <c r="K22143" t="inlineStr">
        <is>
          <t>N/A</t>
        </is>
      </c>
      <c r="L22143" s="8">
        <f>HYPERLINK("https://careerviet.vn/vi/tim-viec-lam/nhan-vien-van-hanh-may-chan-dot-dap-khong-can-kinh-nghiem.35C69F2A.html","Xem chi tiết")</f>
        <v/>
      </c>
    </row>
    <row r="22144">
      <c r="B22144" s="9" t="n">
        <v>22142</v>
      </c>
      <c r="C22144" s="10" t="inlineStr">
        <is>
          <t>Recruitment Intern ( Temporary 6 months)</t>
        </is>
      </c>
      <c r="D22144" s="10" t="inlineStr">
        <is>
          <t>CÔNG TY CỔ PHẦN KING FOOD MARKET</t>
        </is>
      </c>
      <c r="E22144" s="10" t="inlineStr">
        <is>
          <t>Lương:5,3 Tr - 5,3 Tr VND</t>
        </is>
      </c>
      <c r="F22144" s="10" t="inlineStr">
        <is>
          <t>Hồ Chí Minh</t>
        </is>
      </c>
      <c r="G22144" s="10" t="inlineStr">
        <is>
          <t>27-03-2026</t>
        </is>
      </c>
      <c r="H22144" s="10" t="inlineStr">
        <is>
          <t>27/03/2026</t>
        </is>
      </c>
      <c r="I22144" s="10" t="inlineStr">
        <is>
          <t>17/03/2026</t>
        </is>
      </c>
      <c r="J22144" s="10" t="inlineStr">
        <is>
          <t>Mới tốt nghiệp / Thực tập, Nhân sự</t>
        </is>
      </c>
      <c r="K22144" s="10" t="inlineStr">
        <is>
          <t>N/A</t>
        </is>
      </c>
      <c r="L22144" s="11">
        <f>HYPERLINK("https://careerviet.vn/vi/tim-viec-lam/recruitment-intern-temporary-6-months.35C69D39.html","Xem chi tiết")</f>
        <v/>
      </c>
      <c r="M22144" s="10" t="n"/>
    </row>
    <row r="22145">
      <c r="B22145" s="7" t="n">
        <v>22143</v>
      </c>
      <c r="C22145" t="inlineStr">
        <is>
          <t>Process Assistant Engineer</t>
        </is>
      </c>
      <c r="D22145" t="inlineStr">
        <is>
          <t>Nextern Vietnam Co.</t>
        </is>
      </c>
      <c r="E22145" t="inlineStr">
        <is>
          <t>Lương:9 Tr - 12 Tr VND</t>
        </is>
      </c>
      <c r="F22145" t="inlineStr">
        <is>
          <t>Bình Dương</t>
        </is>
      </c>
      <c r="G22145" t="inlineStr">
        <is>
          <t>25-03-2026</t>
        </is>
      </c>
      <c r="H22145" t="inlineStr">
        <is>
          <t>25/03/2026</t>
        </is>
      </c>
      <c r="I22145" t="inlineStr">
        <is>
          <t>17/03/2026</t>
        </is>
      </c>
      <c r="J22145" t="inlineStr">
        <is>
          <t>Cơ khí / Ô tô / Tự động hóa, Điện / Điện tử / Điện lạnh / Điện công nghiệp</t>
        </is>
      </c>
      <c r="K22145" t="inlineStr">
        <is>
          <t>N/A</t>
        </is>
      </c>
      <c r="L22145" s="8">
        <f>HYPERLINK("https://careerviet.vn/vi/tim-viec-lam/process-assistant-engineer.35C69CFD.html","Xem chi tiết")</f>
        <v/>
      </c>
    </row>
    <row r="22146">
      <c r="B22146" s="9" t="n">
        <v>22144</v>
      </c>
      <c r="C22146" s="10" t="inlineStr">
        <is>
          <t>Nhân viên Marketing</t>
        </is>
      </c>
      <c r="D22146" s="10" t="inlineStr">
        <is>
          <t>Công ty Cổ Phần Đầu Tư Quốc Tế H&amp;B</t>
        </is>
      </c>
      <c r="E22146" s="10" t="inlineStr">
        <is>
          <t>Lương:8 Tr - 14 Tr VND</t>
        </is>
      </c>
      <c r="F22146" s="10" t="inlineStr">
        <is>
          <t>Hà Nội</t>
        </is>
      </c>
      <c r="G22146" s="10" t="inlineStr">
        <is>
          <t>31-03-2026</t>
        </is>
      </c>
      <c r="H22146" s="10" t="inlineStr">
        <is>
          <t>31/03/2026</t>
        </is>
      </c>
      <c r="I22146" s="10" t="inlineStr">
        <is>
          <t>17/03/2026</t>
        </is>
      </c>
      <c r="J22146" s="10" t="inlineStr">
        <is>
          <t>Tiếp thị / Marketing</t>
        </is>
      </c>
      <c r="K22146" s="10" t="inlineStr">
        <is>
          <t>N/A</t>
        </is>
      </c>
      <c r="L22146" s="11">
        <f>HYPERLINK("https://careerviet.vn/vi/tim-viec-lam/nhan-vien-marketing.35C69D50.html","Xem chi tiết")</f>
        <v/>
      </c>
      <c r="M22146" s="10" t="n"/>
    </row>
    <row r="22147">
      <c r="B22147" s="7" t="n">
        <v>22145</v>
      </c>
      <c r="C22147" t="inlineStr">
        <is>
          <t>THỰC TẬP SINH GIÁM SÁT HIỆN TRƯỜNG - HẢI PHÒNG (có hỗ trợ lương)</t>
        </is>
      </c>
      <c r="D22147" t="inlineStr">
        <is>
          <t>CÔNG TY CỔ PHẦN ĐIỆN VÀ XÂY DỰNG NAM VIỆT</t>
        </is>
      </c>
      <c r="E22147" t="inlineStr">
        <is>
          <t>Lương:3 Tr - 5 Tr VND</t>
        </is>
      </c>
      <c r="F22147" t="inlineStr">
        <is>
          <t>Hải Phòng</t>
        </is>
      </c>
      <c r="G22147" t="inlineStr">
        <is>
          <t>1</t>
        </is>
      </c>
      <c r="H22147" t="inlineStr">
        <is>
          <t>18/03/2026</t>
        </is>
      </c>
      <c r="I22147" t="inlineStr">
        <is>
          <t>17/03/2026</t>
        </is>
      </c>
      <c r="J22147" t="inlineStr">
        <is>
          <t>Xây dựng, Điện / Điện tử / Điện lạnh / Điện công nghiệp, Kiến trúc</t>
        </is>
      </c>
      <c r="K22147" t="inlineStr">
        <is>
          <t>N/A</t>
        </is>
      </c>
      <c r="L22147" s="8">
        <f>HYPERLINK("https://careerviet.vn/vi/tim-viec-lam/thuc-tap-sinh-giam-sat-hien-truong-hai-phong-co-ho-tro-luong.35C6886D.html","Xem chi tiết")</f>
        <v/>
      </c>
    </row>
    <row r="22148">
      <c r="B22148" s="9" t="n">
        <v>22146</v>
      </c>
      <c r="C22148" s="10" t="inlineStr">
        <is>
          <t>Cộng tác viên dán nhãn ống nghiệm (parttime / fulltime)</t>
        </is>
      </c>
      <c r="D22148" s="10" t="inlineStr">
        <is>
          <t>CÔNG TY CỔ PHẦN GIẢI PHÁP GENE - GENE SOLUTIONS</t>
        </is>
      </c>
      <c r="E22148" s="10" t="inlineStr">
        <is>
          <t>Lương:3 Tr - 5 Tr VND</t>
        </is>
      </c>
      <c r="F22148" s="10" t="inlineStr">
        <is>
          <t>Hà NộiHồ Chí Minh</t>
        </is>
      </c>
      <c r="G22148" s="10" t="inlineStr">
        <is>
          <t>1</t>
        </is>
      </c>
      <c r="H22148" s="10" t="inlineStr">
        <is>
          <t>18/03/2026</t>
        </is>
      </c>
      <c r="I22148" s="10" t="inlineStr">
        <is>
          <t>17/03/2026</t>
        </is>
      </c>
      <c r="J22148" s="10" t="inlineStr">
        <is>
          <t>Mới tốt nghiệp / Thực tập</t>
        </is>
      </c>
      <c r="K22148" s="10" t="inlineStr">
        <is>
          <t>N/A</t>
        </is>
      </c>
      <c r="L22148" s="11">
        <f>HYPERLINK("https://careerviet.vn/vi/tim-viec-lam/cong-tac-vien-dan-nhan-ong-nghiem-parttime-fulltime.35C69C2F.html","Xem chi tiết")</f>
        <v/>
      </c>
      <c r="M22148" s="10" t="n"/>
    </row>
    <row r="22149">
      <c r="B22149" s="7" t="n">
        <v>22147</v>
      </c>
      <c r="C22149" t="inlineStr">
        <is>
          <t>Thực Tập Sinh Phân Tích Nghiệp Vụ (Business Analyst)</t>
        </is>
      </c>
      <c r="D22149" t="inlineStr">
        <is>
          <t>Công ty Cổ phần Giải pháp Công nghệ Bzisoft</t>
        </is>
      </c>
      <c r="E22149" t="inlineStr">
        <is>
          <t>Lương:Cạnh tranh</t>
        </is>
      </c>
      <c r="F22149" t="inlineStr">
        <is>
          <t>Hà Nội</t>
        </is>
      </c>
      <c r="G22149" t="inlineStr">
        <is>
          <t>31-03-2026</t>
        </is>
      </c>
      <c r="H22149" t="inlineStr">
        <is>
          <t>31/03/2026</t>
        </is>
      </c>
      <c r="I22149" t="inlineStr">
        <is>
          <t>17/03/2026</t>
        </is>
      </c>
      <c r="J22149" t="inlineStr">
        <is>
          <t>CNTT - Phần mềm, CNTT - Phần cứng / Mạng</t>
        </is>
      </c>
      <c r="K22149" t="inlineStr">
        <is>
          <t>N/A</t>
        </is>
      </c>
      <c r="L22149" s="8">
        <f>HYPERLINK("https://careerviet.vn/vi/tim-viec-lam/thuc-tap-sinh-phan-tich-nghiep-vu-business-analyst.35C69CBB.html","Xem chi tiết")</f>
        <v/>
      </c>
    </row>
    <row r="22150">
      <c r="B22150" s="9" t="n">
        <v>22148</v>
      </c>
      <c r="C22150" s="10" t="inlineStr">
        <is>
          <t>Thủ Kho</t>
        </is>
      </c>
      <c r="D22150" s="10" t="inlineStr">
        <is>
          <t>Công ty cổ phần LothaMilk</t>
        </is>
      </c>
      <c r="E22150" s="10" t="inlineStr">
        <is>
          <t>Lương:Trên 9 Tr VND</t>
        </is>
      </c>
      <c r="F22150" s="10" t="inlineStr">
        <is>
          <t>Đồng Nai</t>
        </is>
      </c>
      <c r="G22150" s="10" t="inlineStr">
        <is>
          <t>25-03-2026</t>
        </is>
      </c>
      <c r="H22150" s="10" t="inlineStr">
        <is>
          <t>25/03/2026</t>
        </is>
      </c>
      <c r="I22150" s="10" t="inlineStr">
        <is>
          <t>17/03/2026</t>
        </is>
      </c>
      <c r="J22150" s="10" t="inlineStr">
        <is>
          <t>Vận chuyển / Giao nhận / Kho vận, Kế toán / Kiểm toán, Tài chính / Đầu tư</t>
        </is>
      </c>
      <c r="K22150" s="10" t="inlineStr">
        <is>
          <t>N/A</t>
        </is>
      </c>
      <c r="L22150" s="11">
        <f>HYPERLINK("https://careerviet.vn/vi/tim-viec-lam/thu-kho.35C69C77.html","Xem chi tiết")</f>
        <v/>
      </c>
      <c r="M22150" s="10" t="n"/>
    </row>
    <row r="22151">
      <c r="B22151" s="7" t="n">
        <v>22149</v>
      </c>
      <c r="C22151" t="inlineStr">
        <is>
          <t>Sales Assistant/ Merchandiser</t>
        </is>
      </c>
      <c r="D22151" t="inlineStr">
        <is>
          <t>CÔNG TY TNHH NINGBO CHANGYA PLASTIC (VIỆT NAM)</t>
        </is>
      </c>
      <c r="E22151" t="inlineStr">
        <is>
          <t>Lương:10 Tr - 20 Tr VND</t>
        </is>
      </c>
      <c r="F22151" t="inlineStr">
        <is>
          <t>Tây Ninh</t>
        </is>
      </c>
      <c r="G22151" t="inlineStr">
        <is>
          <t>31-03-2026</t>
        </is>
      </c>
      <c r="H22151" t="inlineStr">
        <is>
          <t>31/03/2026</t>
        </is>
      </c>
      <c r="I22151" t="inlineStr">
        <is>
          <t>17/03/2026</t>
        </is>
      </c>
      <c r="J22151" t="inlineStr">
        <is>
          <t>Bán hàng / Kinh doanh</t>
        </is>
      </c>
      <c r="K22151" t="inlineStr">
        <is>
          <t>N/A</t>
        </is>
      </c>
      <c r="L22151" s="8">
        <f>HYPERLINK("https://careerviet.vn/vi/tim-viec-lam/sales-assistant-merchandiser.35C6A14E.html","Xem chi tiết")</f>
        <v/>
      </c>
    </row>
    <row r="22152">
      <c r="B22152" s="9" t="n">
        <v>22150</v>
      </c>
      <c r="C22152" s="10" t="inlineStr">
        <is>
          <t>Business Analytics Intern</t>
        </is>
      </c>
      <c r="D22152" s="10" t="inlineStr">
        <is>
          <t>TPS Software</t>
        </is>
      </c>
      <c r="E22152" s="10" t="inlineStr">
        <is>
          <t>Lương:Cạnh tranh</t>
        </is>
      </c>
      <c r="F22152" s="10" t="inlineStr">
        <is>
          <t>Hồ Chí Minh</t>
        </is>
      </c>
      <c r="G22152" s="10" t="inlineStr">
        <is>
          <t>31-03-2026</t>
        </is>
      </c>
      <c r="H22152" s="10" t="inlineStr">
        <is>
          <t>31/03/2026</t>
        </is>
      </c>
      <c r="I22152" s="10" t="inlineStr">
        <is>
          <t>17/03/2026</t>
        </is>
      </c>
      <c r="J22152" s="10" t="inlineStr">
        <is>
          <t>CNTT - Phần mềm</t>
        </is>
      </c>
      <c r="K22152" s="10" t="inlineStr">
        <is>
          <t>N/A</t>
        </is>
      </c>
      <c r="L22152" s="11">
        <f>HYPERLINK("https://careerviet.vn/vi/tim-viec-lam/business-analytics-intern.35C69AAA.html","Xem chi tiết")</f>
        <v/>
      </c>
      <c r="M22152" s="10" t="n"/>
    </row>
    <row r="22153">
      <c r="B22153" s="7" t="n">
        <v>22151</v>
      </c>
      <c r="C22153" t="inlineStr">
        <is>
          <t>NHÂN VIÊN VẬN HÀNH MÁY</t>
        </is>
      </c>
      <c r="D22153" t="inlineStr">
        <is>
          <t>Công Ty Cổ Phần Dây Cáp Điện DAPHACO</t>
        </is>
      </c>
      <c r="E22153" t="inlineStr">
        <is>
          <t>Lương:10 Tr - 15 Tr VND</t>
        </is>
      </c>
      <c r="F22153" t="inlineStr">
        <is>
          <t>Long An</t>
        </is>
      </c>
      <c r="G22153" t="inlineStr">
        <is>
          <t>26-03-2026</t>
        </is>
      </c>
      <c r="H22153" t="inlineStr">
        <is>
          <t>26/03/2026</t>
        </is>
      </c>
      <c r="I22153" t="inlineStr">
        <is>
          <t>17/03/2026</t>
        </is>
      </c>
      <c r="J22153" t="inlineStr">
        <is>
          <t>Mới tốt nghiệp / Thực tập, Sản xuất / Vận hành sản xuất, Lao động phổ thông</t>
        </is>
      </c>
      <c r="K22153" t="inlineStr">
        <is>
          <t>N/A</t>
        </is>
      </c>
      <c r="L22153" s="8">
        <f>HYPERLINK("https://careerviet.vn/vi/tim-viec-lam/nhan-vien-van-hanh-may.35C69B2C.html","Xem chi tiết")</f>
        <v/>
      </c>
    </row>
    <row r="22154">
      <c r="B22154" s="9" t="n">
        <v>22152</v>
      </c>
      <c r="C22154" s="10" t="inlineStr">
        <is>
          <t>Data Entry Fulltime (Intern/Fresher)</t>
        </is>
      </c>
      <c r="D22154" s="10" t="inlineStr">
        <is>
          <t>Công ty TNHH Globaldev Việt Nam</t>
        </is>
      </c>
      <c r="E22154" s="10" t="inlineStr">
        <is>
          <t>Lương:2,5 Tr - 7 Tr VND</t>
        </is>
      </c>
      <c r="F22154" s="10" t="inlineStr">
        <is>
          <t>Hà Nội</t>
        </is>
      </c>
      <c r="G22154" s="10" t="inlineStr">
        <is>
          <t>31-03-2026</t>
        </is>
      </c>
      <c r="H22154" s="10" t="inlineStr">
        <is>
          <t>31/03/2026</t>
        </is>
      </c>
      <c r="I22154" s="10" t="inlineStr">
        <is>
          <t>17/03/2026</t>
        </is>
      </c>
      <c r="J22154" s="10" t="inlineStr">
        <is>
          <t>Ngành khác, Mới tốt nghiệp / Thực tập</t>
        </is>
      </c>
      <c r="K22154" s="10" t="inlineStr">
        <is>
          <t>N/A</t>
        </is>
      </c>
      <c r="L22154" s="11">
        <f>HYPERLINK("https://careerviet.vn/vi/tim-viec-lam/data-entry-fulltime-intern-fresher.35C69B94.html","Xem chi tiết")</f>
        <v/>
      </c>
      <c r="M22154" s="10" t="n"/>
    </row>
    <row r="22155">
      <c r="B22155" s="7" t="n">
        <v>22153</v>
      </c>
      <c r="C22155" t="inlineStr">
        <is>
          <t>Nhân viên hỗ trợ HCNS/Admin</t>
        </is>
      </c>
      <c r="D22155" t="inlineStr">
        <is>
          <t>CÔNG TY TNHH ĐẦU TƯ CHUYỂN GIAO CÔNG NGHỆ TOÀN CẦU</t>
        </is>
      </c>
      <c r="E22155" t="inlineStr">
        <is>
          <t>Lương:6 Tr - 8 Tr VND</t>
        </is>
      </c>
      <c r="F22155" t="inlineStr">
        <is>
          <t>Hồ Chí Minh</t>
        </is>
      </c>
      <c r="G22155" t="inlineStr">
        <is>
          <t>31-03-2026</t>
        </is>
      </c>
      <c r="H22155" t="inlineStr">
        <is>
          <t>31/03/2026</t>
        </is>
      </c>
      <c r="I22155" t="inlineStr">
        <is>
          <t>17/03/2026</t>
        </is>
      </c>
      <c r="J22155" t="inlineStr">
        <is>
          <t>Hành chính / Thư ký, Nhân sự, Mới tốt nghiệp / Thực tập</t>
        </is>
      </c>
      <c r="K22155" t="inlineStr">
        <is>
          <t>N/A</t>
        </is>
      </c>
      <c r="L22155" s="8">
        <f>HYPERLINK("https://careerviet.vn/vi/tim-viec-lam/nhan-vien-ho-tro-hcns-admin.35C69BBC.html","Xem chi tiết")</f>
        <v/>
      </c>
    </row>
    <row r="22156">
      <c r="B22156" s="9" t="n">
        <v>22154</v>
      </c>
      <c r="C22156" s="10" t="inlineStr">
        <is>
          <t>Chuyên Viên Kiểm Soát Nội Bộ - Mảng Xây Dựng Cơ Bản</t>
        </is>
      </c>
      <c r="D22156" s="10" t="inlineStr">
        <is>
          <t>CÔNG TY CỔ PHẦN ĐẦU TƯ XÂY DỰNG TRUNG NAM  - TRUNGNAM</t>
        </is>
      </c>
      <c r="E22156" s="10" t="inlineStr">
        <is>
          <t>Lương:Cạnh tranh</t>
        </is>
      </c>
      <c r="F22156" s="10" t="inlineStr">
        <is>
          <t>Hồ Chí Minh</t>
        </is>
      </c>
      <c r="G22156" s="10" t="inlineStr">
        <is>
          <t>25-03-2026</t>
        </is>
      </c>
      <c r="H22156" s="10" t="inlineStr">
        <is>
          <t>25/03/2026</t>
        </is>
      </c>
      <c r="I22156" s="10" t="inlineStr">
        <is>
          <t>17/03/2026</t>
        </is>
      </c>
      <c r="J22156" s="10" t="inlineStr">
        <is>
          <t>Kế toán / Kiểm toán, Xây dựng, Bất động sản</t>
        </is>
      </c>
      <c r="K22156" s="10" t="inlineStr">
        <is>
          <t>N/A</t>
        </is>
      </c>
      <c r="L22156" s="11">
        <f>HYPERLINK("https://careerviet.vn/vi/tim-viec-lam/chuyen-vien-kiem-soat-noi-bo-mang-xay-dung-co-ban.35C69A25.html","Xem chi tiết")</f>
        <v/>
      </c>
      <c r="M22156" s="10" t="n"/>
    </row>
    <row r="22157">
      <c r="B22157" s="7" t="n">
        <v>22155</v>
      </c>
      <c r="C22157" t="inlineStr">
        <is>
          <t>Nhân Viên Hành Chính (Không yêu cầu kinh nghiệm)</t>
        </is>
      </c>
      <c r="D22157" t="inlineStr">
        <is>
          <t>CÔNG TY TNHH HUATEX VIỆT NAM</t>
        </is>
      </c>
      <c r="E22157" t="inlineStr">
        <is>
          <t>Lương:10 Tr - 15 Tr VND</t>
        </is>
      </c>
      <c r="F22157" t="inlineStr">
        <is>
          <t>Đồng Nai</t>
        </is>
      </c>
      <c r="G22157" t="inlineStr">
        <is>
          <t>25-03-2026</t>
        </is>
      </c>
      <c r="H22157" t="inlineStr">
        <is>
          <t>25/03/2026</t>
        </is>
      </c>
      <c r="I22157" t="inlineStr">
        <is>
          <t>17/03/2026</t>
        </is>
      </c>
      <c r="J22157" t="inlineStr">
        <is>
          <t>Hành chính / Thư ký, Biên phiên dịch, Mới tốt nghiệp / Thực tập</t>
        </is>
      </c>
      <c r="K22157" t="inlineStr">
        <is>
          <t>N/A</t>
        </is>
      </c>
      <c r="L22157" s="8">
        <f>HYPERLINK("https://careerviet.vn/vi/tim-viec-lam/nhan-vien-hanh-chinh-khong-yeu-cau-kinh-nghiem.35C699E8.html","Xem chi tiết")</f>
        <v/>
      </c>
    </row>
    <row r="22158">
      <c r="B22158" s="9" t="n">
        <v>22156</v>
      </c>
      <c r="C22158" s="10" t="inlineStr">
        <is>
          <t>Thực tập sinh Kế toán</t>
        </is>
      </c>
      <c r="D22158" s="10" t="inlineStr">
        <is>
          <t>Công Ty TNHH Tự Động Hóa Chân Không Việt Nam</t>
        </is>
      </c>
      <c r="E22158" s="10" t="inlineStr">
        <is>
          <t>Lương:Cạnh tranh</t>
        </is>
      </c>
      <c r="F22158" s="10" t="inlineStr">
        <is>
          <t>Hồ Chí Minh</t>
        </is>
      </c>
      <c r="G22158" s="10" t="inlineStr">
        <is>
          <t>31-03-2026</t>
        </is>
      </c>
      <c r="H22158" s="10" t="inlineStr">
        <is>
          <t>31/03/2026</t>
        </is>
      </c>
      <c r="I22158" s="10" t="inlineStr">
        <is>
          <t>17/03/2026</t>
        </is>
      </c>
      <c r="J22158" s="10" t="inlineStr">
        <is>
          <t>Kế toán / Kiểm toán, Tài chính / Đầu tư</t>
        </is>
      </c>
      <c r="K22158" s="10" t="inlineStr">
        <is>
          <t>N/A</t>
        </is>
      </c>
      <c r="L22158" s="11">
        <f>HYPERLINK("https://careerviet.vn/vi/tim-viec-lam/thuc-tap-sinh-ke-toan.35C69A1B.html","Xem chi tiết")</f>
        <v/>
      </c>
      <c r="M22158" s="10" t="n"/>
    </row>
    <row r="22159">
      <c r="B22159" s="7" t="n">
        <v>22157</v>
      </c>
      <c r="C22159" t="inlineStr">
        <is>
          <t>Nhân viên vệ sinh/tạp vụ</t>
        </is>
      </c>
      <c r="D22159" t="inlineStr">
        <is>
          <t>Công Ty Cổ Phần Dược Phẩm Trung Ương Codupha</t>
        </is>
      </c>
      <c r="E22159" t="inlineStr">
        <is>
          <t>Lương:Cạnh tranh</t>
        </is>
      </c>
      <c r="F22159" t="inlineStr">
        <is>
          <t>Cần Thơ</t>
        </is>
      </c>
      <c r="G22159" t="inlineStr">
        <is>
          <t>25-03-2026</t>
        </is>
      </c>
      <c r="H22159" t="inlineStr">
        <is>
          <t>25/03/2026</t>
        </is>
      </c>
      <c r="I22159" t="inlineStr">
        <is>
          <t>17/03/2026</t>
        </is>
      </c>
      <c r="J22159" t="inlineStr">
        <is>
          <t>Lao động phổ thông, Ngành khác</t>
        </is>
      </c>
      <c r="K22159" t="inlineStr">
        <is>
          <t>N/A</t>
        </is>
      </c>
      <c r="L22159" s="8">
        <f>HYPERLINK("https://careerviet.vn/vi/tim-viec-lam/nhan-vien-ve-sinh-tap-vu.35C6980F.html","Xem chi tiết")</f>
        <v/>
      </c>
    </row>
    <row r="22160">
      <c r="B22160" s="9" t="n">
        <v>22158</v>
      </c>
      <c r="C22160" s="10" t="inlineStr">
        <is>
          <t>Nhân Viên Thị trường</t>
        </is>
      </c>
      <c r="D22160" s="10" t="inlineStr">
        <is>
          <t>Chi nhánh miền Nam Viện Nghiên cứu Phát triển Tiêu chuẩn Chất lượng</t>
        </is>
      </c>
      <c r="E22160" s="10" t="inlineStr">
        <is>
          <t>Lương:7 Tr - 9 Tr VND</t>
        </is>
      </c>
      <c r="F22160" s="10" t="inlineStr">
        <is>
          <t>Hồ Chí Minh</t>
        </is>
      </c>
      <c r="G22160" s="10" t="inlineStr">
        <is>
          <t>31-03-2026</t>
        </is>
      </c>
      <c r="H22160" s="10" t="inlineStr">
        <is>
          <t>31/03/2026</t>
        </is>
      </c>
      <c r="I22160" s="10" t="inlineStr">
        <is>
          <t>17/03/2026</t>
        </is>
      </c>
      <c r="J22160" s="10" t="inlineStr">
        <is>
          <t>Bán hàng / Kinh doanh, Quản lý chất lượng (QA/QC), Tư vấn</t>
        </is>
      </c>
      <c r="K22160" s="10" t="inlineStr">
        <is>
          <t>N/A</t>
        </is>
      </c>
      <c r="L22160" s="11">
        <f>HYPERLINK("https://careerviet.vn/vi/tim-viec-lam/nhan-vien-thi-truong.35C6998E.html","Xem chi tiết")</f>
        <v/>
      </c>
      <c r="M22160" s="10" t="n"/>
    </row>
    <row r="22161">
      <c r="B22161" s="7" t="n">
        <v>22159</v>
      </c>
      <c r="C22161" t="inlineStr">
        <is>
          <t>Nhân viên thực tập</t>
        </is>
      </c>
      <c r="D22161" t="inlineStr">
        <is>
          <t>Công ty TNHH Flower Store Việt Nam</t>
        </is>
      </c>
      <c r="E22161" t="inlineStr">
        <is>
          <t>Lương:1 Tr - 4 Tr VND</t>
        </is>
      </c>
      <c r="F22161" t="inlineStr">
        <is>
          <t>Hồ Chí Minh</t>
        </is>
      </c>
      <c r="G22161" t="inlineStr">
        <is>
          <t>6</t>
        </is>
      </c>
      <c r="H22161" t="inlineStr">
        <is>
          <t>23/03/2026</t>
        </is>
      </c>
      <c r="I22161" t="inlineStr">
        <is>
          <t>17/03/2026</t>
        </is>
      </c>
      <c r="J22161" t="inlineStr">
        <is>
          <t>Thương mại điện tử</t>
        </is>
      </c>
      <c r="K22161" t="inlineStr">
        <is>
          <t>N/A</t>
        </is>
      </c>
      <c r="L22161" s="8">
        <f>HYPERLINK("https://careerviet.vn/vi/tim-viec-lam/nhan-vien-thuc-tap.35C69B8F.html","Xem chi tiết")</f>
        <v/>
      </c>
    </row>
    <row r="22162">
      <c r="B22162" s="9" t="n">
        <v>22160</v>
      </c>
      <c r="C22162" s="10" t="inlineStr">
        <is>
          <t>Nhân viên xử lý dữ liệu</t>
        </is>
      </c>
      <c r="D22162" s="10" t="inlineStr">
        <is>
          <t>CÔNG TY TNHH ODS TECHNOLOGY SAIGON</t>
        </is>
      </c>
      <c r="E22162" s="10" t="inlineStr">
        <is>
          <t>Lương:7 Tr - 15 Tr VND</t>
        </is>
      </c>
      <c r="F22162" s="10" t="inlineStr">
        <is>
          <t>Đà Nẵng</t>
        </is>
      </c>
      <c r="G22162" s="10" t="inlineStr">
        <is>
          <t>31-03-2026</t>
        </is>
      </c>
      <c r="H22162" s="10" t="inlineStr">
        <is>
          <t>31/03/2026</t>
        </is>
      </c>
      <c r="I22162" s="10" t="inlineStr">
        <is>
          <t>17/03/2026</t>
        </is>
      </c>
      <c r="J22162" s="10" t="inlineStr">
        <is>
          <t>Luật / Pháp lý, Hành chính / Thư ký, Biên phiên dịch</t>
        </is>
      </c>
      <c r="K22162" s="10" t="inlineStr">
        <is>
          <t>N/A</t>
        </is>
      </c>
      <c r="L22162" s="11">
        <f>HYPERLINK("https://careerviet.vn/vi/tim-viec-lam/nhan-vien-xu-ly-du-lieu.35C699C8.html","Xem chi tiết")</f>
        <v/>
      </c>
      <c r="M22162" s="10" t="n"/>
    </row>
    <row r="22163">
      <c r="B22163" s="7" t="n">
        <v>22161</v>
      </c>
      <c r="C22163" t="inlineStr">
        <is>
          <t>Thực tập sinh Thu hút Nguồn Nhân lực</t>
        </is>
      </c>
      <c r="D22163" t="inlineStr">
        <is>
          <t>Công ty TNHH MTV Sen Vàng Việt Nam</t>
        </is>
      </c>
      <c r="E22163" t="inlineStr">
        <is>
          <t>Lương:Lên đến 3 Tr VND</t>
        </is>
      </c>
      <c r="F22163" t="inlineStr">
        <is>
          <t>Hồ Chí Minh</t>
        </is>
      </c>
      <c r="G22163" t="inlineStr">
        <is>
          <t>25-03-2026</t>
        </is>
      </c>
      <c r="H22163" t="inlineStr">
        <is>
          <t>25/03/2026</t>
        </is>
      </c>
      <c r="I22163" t="inlineStr">
        <is>
          <t>17/03/2026</t>
        </is>
      </c>
      <c r="J22163" t="inlineStr">
        <is>
          <t>Nhân sự, Sản xuất / Vận hành sản xuất, Tư vấn</t>
        </is>
      </c>
      <c r="K22163" t="inlineStr">
        <is>
          <t>N/A</t>
        </is>
      </c>
      <c r="L22163" s="8">
        <f>HYPERLINK("https://careerviet.vn/vi/tim-viec-lam/thuc-tap-sinh-thu-hut-nguon-nhan-luc.35C69B08.html","Xem chi tiết")</f>
        <v/>
      </c>
    </row>
    <row r="22164">
      <c r="B22164" s="9" t="n">
        <v>22162</v>
      </c>
      <c r="C22164" s="10" t="inlineStr">
        <is>
          <t>Thực tập sinh Nhân sự</t>
        </is>
      </c>
      <c r="D22164" s="10" t="inlineStr">
        <is>
          <t>CÔNG TY CỔ PHẦN BOHO CORPORATION</t>
        </is>
      </c>
      <c r="E22164" s="10" t="inlineStr">
        <is>
          <t>Lương:Lên đến 5 Tr VND</t>
        </is>
      </c>
      <c r="F22164" s="10" t="inlineStr">
        <is>
          <t>Hồ Chí Minh</t>
        </is>
      </c>
      <c r="G22164" s="10" t="inlineStr">
        <is>
          <t>26-03-2026</t>
        </is>
      </c>
      <c r="H22164" s="10" t="inlineStr">
        <is>
          <t>26/03/2026</t>
        </is>
      </c>
      <c r="I22164" s="10" t="inlineStr">
        <is>
          <t>17/03/2026</t>
        </is>
      </c>
      <c r="J22164" s="10" t="inlineStr">
        <is>
          <t>Nhân sự</t>
        </is>
      </c>
      <c r="K22164" s="10" t="inlineStr">
        <is>
          <t>N/A</t>
        </is>
      </c>
      <c r="L22164" s="11">
        <f>HYPERLINK("https://careerviet.vn/vi/tim-viec-lam/thuc-tap-sinh-nhan-su.35C69B20.html","Xem chi tiết")</f>
        <v/>
      </c>
      <c r="M22164" s="10" t="n"/>
    </row>
    <row r="22165">
      <c r="B22165" s="7" t="n">
        <v>22163</v>
      </c>
      <c r="C22165" t="inlineStr">
        <is>
          <t>PLATFORM OPERATIONS - VẬN HÀNH SÀN THƯƠNG MẠI ĐIỆN TỬ</t>
        </is>
      </c>
      <c r="D22165" t="inlineStr">
        <is>
          <t>Công ty TNHH Ultimate Sup</t>
        </is>
      </c>
      <c r="E22165" t="inlineStr">
        <is>
          <t>Lương:10 Tr - 12 Tr VND</t>
        </is>
      </c>
      <c r="F22165" t="inlineStr">
        <is>
          <t>Hà Nội</t>
        </is>
      </c>
      <c r="G22165" t="inlineStr">
        <is>
          <t>31-03-2026</t>
        </is>
      </c>
      <c r="H22165" t="inlineStr">
        <is>
          <t>31/03/2026</t>
        </is>
      </c>
      <c r="I22165" t="inlineStr">
        <is>
          <t>17/03/2026</t>
        </is>
      </c>
      <c r="J22165" t="inlineStr">
        <is>
          <t>Thương mại điện tử</t>
        </is>
      </c>
      <c r="K22165" t="inlineStr">
        <is>
          <t>N/A</t>
        </is>
      </c>
      <c r="L22165" s="8">
        <f>HYPERLINK("https://careerviet.vn/vi/tim-viec-lam/platform-operations-van-hanh-san-thuong-mai-dien-tu.35C69985.html","Xem chi tiết")</f>
        <v/>
      </c>
    </row>
    <row r="22166">
      <c r="B22166" s="9" t="n">
        <v>22164</v>
      </c>
      <c r="C22166" s="10" t="inlineStr">
        <is>
          <t>Trợ giảng tiếng Anh</t>
        </is>
      </c>
      <c r="D22166" s="10" t="inlineStr">
        <is>
          <t>Công ty CP IIG Việt Nam</t>
        </is>
      </c>
      <c r="E22166" s="10" t="inlineStr">
        <is>
          <t>Lương:2 Tr - 3 Tr VND</t>
        </is>
      </c>
      <c r="F22166" s="10" t="inlineStr">
        <is>
          <t>Hà Nội</t>
        </is>
      </c>
      <c r="G22166" s="10" t="inlineStr">
        <is>
          <t>25-03-2026</t>
        </is>
      </c>
      <c r="H22166" s="10" t="inlineStr">
        <is>
          <t>25/03/2026</t>
        </is>
      </c>
      <c r="I22166" s="10" t="inlineStr">
        <is>
          <t>17/03/2026</t>
        </is>
      </c>
      <c r="J22166" s="10" t="inlineStr">
        <is>
          <t>Tiếp thị / Marketing, Giáo dục / Đào tạo, Biên phiên dịch</t>
        </is>
      </c>
      <c r="K22166" s="10" t="inlineStr">
        <is>
          <t>N/A</t>
        </is>
      </c>
      <c r="L22166" s="11">
        <f>HYPERLINK("https://careerviet.vn/vi/tim-viec-lam/tro-giang-tieng-anh.35C6985D.html","Xem chi tiết")</f>
        <v/>
      </c>
      <c r="M22166" s="10" t="n"/>
    </row>
    <row r="22167">
      <c r="B22167" s="7" t="n">
        <v>22165</v>
      </c>
      <c r="C22167" t="inlineStr">
        <is>
          <t>Spanish-speaking Travel Consultant (Junior)</t>
        </is>
      </c>
      <c r="D22167" t="inlineStr">
        <is>
          <t>CÔNG TY TNHH MỘT THÀNH VIÊN THƯƠNG MẠI VÀ DU LỊCH LONG ĐOÀN</t>
        </is>
      </c>
      <c r="E22167" t="inlineStr">
        <is>
          <t>Lương:Cạnh tranh</t>
        </is>
      </c>
      <c r="F22167" t="inlineStr">
        <is>
          <t>Hồ Chí Minh</t>
        </is>
      </c>
      <c r="G22167" t="inlineStr">
        <is>
          <t>31-03-2026</t>
        </is>
      </c>
      <c r="H22167" t="inlineStr">
        <is>
          <t>31/03/2026</t>
        </is>
      </c>
      <c r="I22167" t="inlineStr">
        <is>
          <t>17/03/2026</t>
        </is>
      </c>
      <c r="J22167" t="inlineStr">
        <is>
          <t>Bán hàng / Kinh doanh</t>
        </is>
      </c>
      <c r="K22167" t="inlineStr">
        <is>
          <t>N/A</t>
        </is>
      </c>
      <c r="L22167" s="8">
        <f>HYPERLINK("https://careerviet.vn/vi/tim-viec-lam/spanish-speaking-travel-consultant-junior.35C69846.html","Xem chi tiết")</f>
        <v/>
      </c>
    </row>
    <row r="22168">
      <c r="B22168" s="9" t="n">
        <v>22166</v>
      </c>
      <c r="C22168" s="10" t="inlineStr">
        <is>
          <t>Thực tập sinh nhân sự (Đào Tạo)</t>
        </is>
      </c>
      <c r="D22168" s="10" t="inlineStr">
        <is>
          <t>CÔNG TY CỔ PHẦN IMP MARKETING</t>
        </is>
      </c>
      <c r="E22168" s="10" t="inlineStr">
        <is>
          <t>Lương:2,8 Tr - 2,8 Tr VND</t>
        </is>
      </c>
      <c r="F22168" s="10" t="inlineStr">
        <is>
          <t>Hồ Chí Minh</t>
        </is>
      </c>
      <c r="G22168" s="10" t="inlineStr">
        <is>
          <t>31-03-2026</t>
        </is>
      </c>
      <c r="H22168" s="10" t="inlineStr">
        <is>
          <t>31/03/2026</t>
        </is>
      </c>
      <c r="I22168" s="10" t="inlineStr">
        <is>
          <t>17/03/2026</t>
        </is>
      </c>
      <c r="J22168" s="10" t="inlineStr">
        <is>
          <t>Nhân sự, Mới tốt nghiệp / Thực tập</t>
        </is>
      </c>
      <c r="K22168" s="10" t="inlineStr">
        <is>
          <t>N/A</t>
        </is>
      </c>
      <c r="L22168" s="11">
        <f>HYPERLINK("https://careerviet.vn/vi/tim-viec-lam/thuc-tap-sinh-nhan-su-dao-tao.35C6BC4E.html","Xem chi tiết")</f>
        <v/>
      </c>
      <c r="M22168" s="10" t="n"/>
    </row>
    <row r="22169">
      <c r="B22169" s="7" t="n">
        <v>22167</v>
      </c>
      <c r="C22169" t="inlineStr">
        <is>
          <t>Nhân viên Quản lý Xuất khẩu</t>
        </is>
      </c>
      <c r="D22169" t="inlineStr">
        <is>
          <t>Công Ty TNHH Fursys VN</t>
        </is>
      </c>
      <c r="E22169" t="inlineStr">
        <is>
          <t>Lương:Cạnh tranh</t>
        </is>
      </c>
      <c r="F22169" t="inlineStr">
        <is>
          <t>Đồng Nai</t>
        </is>
      </c>
      <c r="G22169" t="inlineStr">
        <is>
          <t>25-02-2026</t>
        </is>
      </c>
      <c r="H22169" t="inlineStr">
        <is>
          <t>26/02/2026</t>
        </is>
      </c>
      <c r="I22169" t="inlineStr">
        <is>
          <t>17/03/2026</t>
        </is>
      </c>
      <c r="J22169" t="inlineStr">
        <is>
          <t>Xuất nhập khẩu</t>
        </is>
      </c>
      <c r="K22169" t="inlineStr">
        <is>
          <t>N/A</t>
        </is>
      </c>
      <c r="L22169" s="8">
        <f>HYPERLINK("https://careerviet.vn/vi/tim-viec-lam/nhan-vien-quan-ly-xuat-khau.35C6980C.html","Xem chi tiết")</f>
        <v/>
      </c>
    </row>
    <row r="22170">
      <c r="B22170" s="9" t="n">
        <v>22168</v>
      </c>
      <c r="C22170" s="10" t="inlineStr">
        <is>
          <t>Thực tập sinh Chứng từ Nguồn gốc Xuất xứ</t>
        </is>
      </c>
      <c r="D22170" s="10" t="inlineStr">
        <is>
          <t>Công Ty Cổ Phần TEKCOM</t>
        </is>
      </c>
      <c r="E22170" s="10" t="inlineStr">
        <is>
          <t>Lương:4 Tr - 4 Tr VND</t>
        </is>
      </c>
      <c r="F22170" s="10" t="inlineStr">
        <is>
          <t>Bình Dương</t>
        </is>
      </c>
      <c r="G22170" s="10" t="inlineStr">
        <is>
          <t>10-04-2026</t>
        </is>
      </c>
      <c r="H22170" s="10" t="inlineStr">
        <is>
          <t>10/04/2026</t>
        </is>
      </c>
      <c r="I22170" s="10" t="inlineStr">
        <is>
          <t>17/03/2026</t>
        </is>
      </c>
      <c r="J22170" s="10" t="inlineStr">
        <is>
          <t>Đồ gỗ, Sản xuất / Vận hành sản xuất</t>
        </is>
      </c>
      <c r="K22170" s="10" t="inlineStr">
        <is>
          <t>N/A</t>
        </is>
      </c>
      <c r="L22170" s="11">
        <f>HYPERLINK("https://careerviet.vn/vi/tim-viec-lam/thuc-tap-sinh-chung-tu-nguon-goc-xuat-xu.35C6BC33.html","Xem chi tiết")</f>
        <v/>
      </c>
      <c r="M22170" s="10" t="n"/>
    </row>
    <row r="22171">
      <c r="B22171" s="7" t="n">
        <v>22169</v>
      </c>
      <c r="C22171" t="inlineStr">
        <is>
          <t>Nhân Viên QS Đấu Thầu</t>
        </is>
      </c>
      <c r="D22171" t="inlineStr">
        <is>
          <t>CÔNG TY CỔ PHẦN MINH HƯNG M&amp;C</t>
        </is>
      </c>
      <c r="E22171" t="inlineStr">
        <is>
          <t>Lương:10 Tr - 18 Tr VND</t>
        </is>
      </c>
      <c r="F22171" t="inlineStr">
        <is>
          <t>Hồ Chí Minh</t>
        </is>
      </c>
      <c r="G22171" t="inlineStr">
        <is>
          <t>25-03-2026</t>
        </is>
      </c>
      <c r="H22171" t="inlineStr">
        <is>
          <t>25/03/2026</t>
        </is>
      </c>
      <c r="I22171" t="inlineStr">
        <is>
          <t>17/03/2026</t>
        </is>
      </c>
      <c r="J22171" t="inlineStr">
        <is>
          <t>Xây dựng, Bất động sản</t>
        </is>
      </c>
      <c r="K22171" t="inlineStr">
        <is>
          <t>N/A</t>
        </is>
      </c>
      <c r="L22171" s="8">
        <f>HYPERLINK("https://careerviet.vn/vi/tim-viec-lam/nhan-vien-qs-dau-thau.35C6979D.html","Xem chi tiết")</f>
        <v/>
      </c>
    </row>
    <row r="22172">
      <c r="B22172" s="9" t="n">
        <v>22170</v>
      </c>
      <c r="C22172" s="10" t="inlineStr">
        <is>
          <t>NHÂN VIÊN VẬN HÀNH MÁY</t>
        </is>
      </c>
      <c r="D22172" s="10" t="inlineStr">
        <is>
          <t>CÔNG TY TNHH BAO BÌ NHỰA THÁI DƯƠNG</t>
        </is>
      </c>
      <c r="E22172" s="10" t="inlineStr">
        <is>
          <t>Lương:8 Tr - 12 Tr VND</t>
        </is>
      </c>
      <c r="F22172" s="10" t="inlineStr">
        <is>
          <t>Bình Dương</t>
        </is>
      </c>
      <c r="G22172" s="10" t="inlineStr">
        <is>
          <t>09-04-2026</t>
        </is>
      </c>
      <c r="H22172" s="10" t="inlineStr">
        <is>
          <t>09/04/2026</t>
        </is>
      </c>
      <c r="I22172" s="10" t="inlineStr">
        <is>
          <t>17/03/2026</t>
        </is>
      </c>
      <c r="J22172" s="10" t="inlineStr">
        <is>
          <t>Sản xuất / Vận hành sản xuất, Điện / Điện tử / Điện lạnh / Điện công nghiệp, Cơ khí / Ô tô / Tự động hóa</t>
        </is>
      </c>
      <c r="K22172" s="10" t="inlineStr">
        <is>
          <t>N/A</t>
        </is>
      </c>
      <c r="L22172" s="11">
        <f>HYPERLINK("https://careerviet.vn/vi/tim-viec-lam/nhan-vien-van-hanh-may.35C6BC75.html","Xem chi tiết")</f>
        <v/>
      </c>
      <c r="M22172" s="10" t="n"/>
    </row>
    <row r="22173">
      <c r="B22173" s="7" t="n">
        <v>22171</v>
      </c>
      <c r="C22173" t="inlineStr">
        <is>
          <t>Thực tập sinh Tuyển dụng</t>
        </is>
      </c>
      <c r="D22173" t="inlineStr">
        <is>
          <t>CÔNG TY CỔ PHẦN TẬP ĐOÀN ONSEN FUJI</t>
        </is>
      </c>
      <c r="E22173" t="inlineStr">
        <is>
          <t>Lương:Trên 2,5 Tr VND</t>
        </is>
      </c>
      <c r="F22173" t="inlineStr">
        <is>
          <t>Hà Nội</t>
        </is>
      </c>
      <c r="G22173" t="inlineStr">
        <is>
          <t>05-04-2026</t>
        </is>
      </c>
      <c r="H22173" t="inlineStr">
        <is>
          <t>05/04/2026</t>
        </is>
      </c>
      <c r="I22173" t="inlineStr">
        <is>
          <t>17/03/2026</t>
        </is>
      </c>
      <c r="J22173" t="inlineStr">
        <is>
          <t>Hành chính / Thư ký, Nhân sự, Mới tốt nghiệp / Thực tập</t>
        </is>
      </c>
      <c r="K22173" t="inlineStr">
        <is>
          <t>N/A</t>
        </is>
      </c>
      <c r="L22173" s="8">
        <f>HYPERLINK("https://careerviet.vn/vi/tim-viec-lam/thuc-tap-sinh-tuyen-dung.35C6BBFC.html","Xem chi tiết")</f>
        <v/>
      </c>
    </row>
    <row r="22174">
      <c r="B22174" s="9" t="n">
        <v>22172</v>
      </c>
      <c r="C22174" s="10" t="inlineStr">
        <is>
          <t>Open for Fresher - HR Executive (Recruitment &amp; Labor Relations)</t>
        </is>
      </c>
      <c r="D22174" s="10" t="inlineStr">
        <is>
          <t>CÔNG TY CỔ PHẦN GREEN SPEED</t>
        </is>
      </c>
      <c r="E22174" s="10" t="inlineStr">
        <is>
          <t>Lương:10 Tr - 10,5 Tr VND</t>
        </is>
      </c>
      <c r="F22174" s="10" t="inlineStr">
        <is>
          <t>Hồ Chí Minh</t>
        </is>
      </c>
      <c r="G22174" s="10" t="inlineStr">
        <is>
          <t>25-03-2026</t>
        </is>
      </c>
      <c r="H22174" s="10" t="inlineStr">
        <is>
          <t>25/03/2026</t>
        </is>
      </c>
      <c r="I22174" s="10" t="inlineStr">
        <is>
          <t>17/03/2026</t>
        </is>
      </c>
      <c r="J22174" s="10" t="inlineStr">
        <is>
          <t>Nhân sự</t>
        </is>
      </c>
      <c r="K22174" s="10" t="inlineStr">
        <is>
          <t>N/A</t>
        </is>
      </c>
      <c r="L22174" s="11">
        <f>HYPERLINK("https://careerviet.vn/vi/tim-viec-lam/open-for-fresher-hr-executive-recruitment-labor-relations.35C69809.html","Xem chi tiết")</f>
        <v/>
      </c>
      <c r="M22174" s="10" t="n"/>
    </row>
    <row r="22175">
      <c r="B22175" s="7" t="n">
        <v>22173</v>
      </c>
      <c r="C22175" t="inlineStr">
        <is>
          <t>Điều dưỡng viên</t>
        </is>
      </c>
      <c r="D22175" t="inlineStr">
        <is>
          <t>CÔNG TY TNHH HY AN MEDIA</t>
        </is>
      </c>
      <c r="E22175" t="inlineStr">
        <is>
          <t>Lương:7 Tr - 8 Tr VND</t>
        </is>
      </c>
      <c r="F22175" t="inlineStr">
        <is>
          <t>Đồng Nai</t>
        </is>
      </c>
      <c r="G22175" t="inlineStr">
        <is>
          <t>31-03-2026</t>
        </is>
      </c>
      <c r="H22175" t="inlineStr">
        <is>
          <t>31/03/2026</t>
        </is>
      </c>
      <c r="I22175" t="inlineStr">
        <is>
          <t>17/03/2026</t>
        </is>
      </c>
      <c r="J22175" t="inlineStr">
        <is>
          <t>Y tế / Chăm sóc sức khỏe / Thẩm mỹ / Làm đẹp</t>
        </is>
      </c>
      <c r="K22175" t="inlineStr">
        <is>
          <t>N/A</t>
        </is>
      </c>
      <c r="L22175" s="8">
        <f>HYPERLINK("https://careerviet.vn/vi/tim-viec-lam/dieu-duong-vien.35C6BBE7.html","Xem chi tiết")</f>
        <v/>
      </c>
    </row>
    <row r="22176">
      <c r="B22176" s="9" t="n">
        <v>22174</v>
      </c>
      <c r="C22176" s="10" t="inlineStr">
        <is>
          <t>SALES LOGISTICS INTERN (Đào Tạo Lên Chính Thức)</t>
        </is>
      </c>
      <c r="D22176" s="10" t="inlineStr">
        <is>
          <t>SEAHORSE SHIPPING CORPORATION</t>
        </is>
      </c>
      <c r="E22176" s="10" t="inlineStr">
        <is>
          <t>Lương:Cạnh tranh</t>
        </is>
      </c>
      <c r="F22176" s="10" t="inlineStr">
        <is>
          <t>Hồ Chí Minh</t>
        </is>
      </c>
      <c r="G22176" s="10" t="inlineStr">
        <is>
          <t>10-04-2026</t>
        </is>
      </c>
      <c r="H22176" s="10" t="inlineStr">
        <is>
          <t>10/04/2026</t>
        </is>
      </c>
      <c r="I22176" s="10" t="inlineStr">
        <is>
          <t>17/03/2026</t>
        </is>
      </c>
      <c r="J22176" s="10" t="inlineStr">
        <is>
          <t>Bán hàng / Kinh doanh, Hàng hải, Xuất nhập khẩu</t>
        </is>
      </c>
      <c r="K22176" s="10" t="inlineStr">
        <is>
          <t>N/A</t>
        </is>
      </c>
      <c r="L22176" s="11">
        <f>HYPERLINK("https://careerviet.vn/vi/tim-viec-lam/sales-logistics-intern-dao-tao-len-chinh-thuc.35C6BBB2.html","Xem chi tiết")</f>
        <v/>
      </c>
      <c r="M22176" s="10" t="n"/>
    </row>
    <row r="22177">
      <c r="B22177" s="7" t="n">
        <v>22175</v>
      </c>
      <c r="C22177" t="inlineStr">
        <is>
          <t>THỰC TẬP SINH EDIT VIDEO</t>
        </is>
      </c>
      <c r="D22177" t="inlineStr">
        <is>
          <t>Công Ty TNHH Dược Phẩm Healthy Beauty</t>
        </is>
      </c>
      <c r="E22177" t="inlineStr">
        <is>
          <t>Lương:1 Tr - 3 Tr VND</t>
        </is>
      </c>
      <c r="F22177" t="inlineStr">
        <is>
          <t>Hồ Chí Minh</t>
        </is>
      </c>
      <c r="G22177" t="inlineStr">
        <is>
          <t>30-04-2026</t>
        </is>
      </c>
      <c r="H22177" t="inlineStr">
        <is>
          <t>30/04/2026</t>
        </is>
      </c>
      <c r="I22177" t="inlineStr">
        <is>
          <t>17/03/2026</t>
        </is>
      </c>
      <c r="J22177" t="inlineStr">
        <is>
          <t>Tiếp thị / Marketing, Dược phẩm/ Hóa Mỹ Phẩm, Quảng cáo / Đối ngoại / Truyền Thông</t>
        </is>
      </c>
      <c r="K22177" t="inlineStr">
        <is>
          <t>N/A</t>
        </is>
      </c>
      <c r="L22177" s="8">
        <f>HYPERLINK("https://careerviet.vn/vi/tim-viec-lam/thuc-tap-sinh-edit-video.35C6BC21.html","Xem chi tiết")</f>
        <v/>
      </c>
    </row>
    <row r="22178">
      <c r="B22178" s="9" t="n">
        <v>22176</v>
      </c>
      <c r="C22178" s="10" t="inlineStr">
        <is>
          <t>Thực Tập Sinh Tuyển Dụng (Mảng EB)</t>
        </is>
      </c>
      <c r="D22178" s="10" t="inlineStr">
        <is>
          <t>Tập Đoàn Kim Tín</t>
        </is>
      </c>
      <c r="E22178" s="10" t="inlineStr">
        <is>
          <t>Lương:Cạnh tranh</t>
        </is>
      </c>
      <c r="F22178" s="10" t="inlineStr">
        <is>
          <t>Hồ Chí Minh</t>
        </is>
      </c>
      <c r="G22178" s="10" t="inlineStr">
        <is>
          <t>12-04-2026</t>
        </is>
      </c>
      <c r="H22178" s="10" t="inlineStr">
        <is>
          <t>12/04/2026</t>
        </is>
      </c>
      <c r="I22178" s="10" t="inlineStr">
        <is>
          <t>17/03/2026</t>
        </is>
      </c>
      <c r="J22178" s="10" t="inlineStr">
        <is>
          <t>Nhân sự, Mới tốt nghiệp / Thực tập, Quảng cáo / Đối ngoại / Truyền Thông</t>
        </is>
      </c>
      <c r="K22178" s="10" t="inlineStr">
        <is>
          <t>N/A</t>
        </is>
      </c>
      <c r="L22178" s="11">
        <f>HYPERLINK("https://careerviet.vn/vi/tim-viec-lam/thuc-tap-sinh-tuyen-dung-mang-eb.35C6BBD3.html","Xem chi tiết")</f>
        <v/>
      </c>
      <c r="M22178" s="10" t="n"/>
    </row>
    <row r="22179">
      <c r="B22179" s="7" t="n">
        <v>22177</v>
      </c>
      <c r="C22179" t="inlineStr">
        <is>
          <t>Nhân Viên Kinh Doanh Thị Trường</t>
        </is>
      </c>
      <c r="D22179" t="inlineStr">
        <is>
          <t>CÔNG TY CỔ PHẦN THẾ GIỚI GIẤY</t>
        </is>
      </c>
      <c r="E22179" t="inlineStr">
        <is>
          <t>Lương:8 Tr - 10 Tr VND</t>
        </is>
      </c>
      <c r="F22179" t="inlineStr">
        <is>
          <t>Bà Rịa - Vũng Tàu</t>
        </is>
      </c>
      <c r="G22179" t="inlineStr">
        <is>
          <t>15-04-2026</t>
        </is>
      </c>
      <c r="H22179" t="inlineStr">
        <is>
          <t>15/04/2026</t>
        </is>
      </c>
      <c r="I22179" t="inlineStr">
        <is>
          <t>17/03/2026</t>
        </is>
      </c>
      <c r="J22179" t="inlineStr">
        <is>
          <t>Bán hàng / Kinh doanh, Bán lẻ / Bán sỉ, Tiếp thị / Marketing</t>
        </is>
      </c>
      <c r="K22179" t="inlineStr">
        <is>
          <t>N/A</t>
        </is>
      </c>
      <c r="L22179" s="8">
        <f>HYPERLINK("https://careerviet.vn/vi/tim-viec-lam/nhan-vien-kinh-doanh-thi-truong.35C6B86C.html","Xem chi tiết")</f>
        <v/>
      </c>
    </row>
    <row r="22180">
      <c r="B22180" s="9" t="n">
        <v>22178</v>
      </c>
      <c r="C22180" s="10" t="inlineStr">
        <is>
          <t>Nhân viên Giao Hàng (Khu Vực HCM)</t>
        </is>
      </c>
      <c r="D22180" s="10" t="inlineStr">
        <is>
          <t>CÔNG TY TNHH TM DV XNK SỐNG HỮU CƠ</t>
        </is>
      </c>
      <c r="E22180" s="10" t="inlineStr">
        <is>
          <t>Lương:8 Tr - 9 Tr VND</t>
        </is>
      </c>
      <c r="F22180" s="10" t="inlineStr">
        <is>
          <t>Hồ Chí Minh</t>
        </is>
      </c>
      <c r="G22180" s="10" t="inlineStr">
        <is>
          <t>09-04-2026</t>
        </is>
      </c>
      <c r="H22180" s="10" t="inlineStr">
        <is>
          <t>09/04/2026</t>
        </is>
      </c>
      <c r="I22180" s="10" t="inlineStr">
        <is>
          <t>17/03/2026</t>
        </is>
      </c>
      <c r="J22180" s="10" t="inlineStr">
        <is>
          <t>Vận chuyển / Giao nhận / Kho vận, Lao động phổ thông</t>
        </is>
      </c>
      <c r="K22180" s="10" t="inlineStr">
        <is>
          <t>N/A</t>
        </is>
      </c>
      <c r="L22180" s="11">
        <f>HYPERLINK("https://careerviet.vn/vi/tim-viec-lam/nhan-vien-giao-hang-khu-vuc-hcm.35C6BBBD.html","Xem chi tiết")</f>
        <v/>
      </c>
      <c r="M22180" s="10" t="n"/>
    </row>
    <row r="22181">
      <c r="B22181" s="7" t="n">
        <v>22179</v>
      </c>
      <c r="C22181" t="inlineStr">
        <is>
          <t>Thực tập sinh Truyền thông nội bộ</t>
        </is>
      </c>
      <c r="D22181" t="inlineStr">
        <is>
          <t>Công Ty Cổ Phần Tập Đoàn Thời Trang Việt Nam</t>
        </is>
      </c>
      <c r="E22181" t="inlineStr">
        <is>
          <t>Lương:2 Tr - 3 Tr VND</t>
        </is>
      </c>
      <c r="F22181" t="inlineStr">
        <is>
          <t>Hà Nội</t>
        </is>
      </c>
      <c r="G22181" t="inlineStr">
        <is>
          <t>04-04-2026</t>
        </is>
      </c>
      <c r="H22181" t="inlineStr">
        <is>
          <t>04/04/2026</t>
        </is>
      </c>
      <c r="I22181" t="inlineStr">
        <is>
          <t>17/03/2026</t>
        </is>
      </c>
      <c r="J22181" t="inlineStr">
        <is>
          <t>Nhân sự, Tiếp thị / Marketing</t>
        </is>
      </c>
      <c r="K22181" t="inlineStr">
        <is>
          <t>N/A</t>
        </is>
      </c>
      <c r="L22181" s="8">
        <f>HYPERLINK("https://careerviet.vn/vi/tim-viec-lam/thuc-tap-sinh-truyen-thong-noi-bo.35C6BB85.html","Xem chi tiết")</f>
        <v/>
      </c>
    </row>
    <row r="22182">
      <c r="B22182" s="9" t="n">
        <v>22180</v>
      </c>
      <c r="C22182" s="10" t="inlineStr">
        <is>
          <t>Thực tập sinh Truyền thông nội bộ (Full time)</t>
        </is>
      </c>
      <c r="D22182" s="10" t="inlineStr">
        <is>
          <t>Tập Đoàn Karofi Holding</t>
        </is>
      </c>
      <c r="E22182" s="10" t="inlineStr">
        <is>
          <t>Lương:Trên 3 Tr VND</t>
        </is>
      </c>
      <c r="F22182" s="10" t="inlineStr">
        <is>
          <t>Hà Nội</t>
        </is>
      </c>
      <c r="G22182" s="10" t="inlineStr">
        <is>
          <t>19-04-2026</t>
        </is>
      </c>
      <c r="H22182" s="10" t="inlineStr">
        <is>
          <t>19/04/2026</t>
        </is>
      </c>
      <c r="I22182" s="10" t="inlineStr">
        <is>
          <t>17/03/2026</t>
        </is>
      </c>
      <c r="J22182" s="10" t="inlineStr">
        <is>
          <t>Nhân sự</t>
        </is>
      </c>
      <c r="K22182" s="10" t="inlineStr">
        <is>
          <t>N/A</t>
        </is>
      </c>
      <c r="L22182" s="11">
        <f>HYPERLINK("https://careerviet.vn/vi/tim-viec-lam/thuc-tap-sinh-truyen-thong-noi-bo-full-time.35C6BC56.html","Xem chi tiết")</f>
        <v/>
      </c>
      <c r="M22182" s="10" t="n"/>
    </row>
    <row r="22183">
      <c r="B22183" s="7" t="n">
        <v>22181</v>
      </c>
      <c r="C22183" t="inlineStr">
        <is>
          <t>Business Development Intern</t>
        </is>
      </c>
      <c r="D22183" t="inlineStr">
        <is>
          <t>CAPI CREATIVE Co., Ltd</t>
        </is>
      </c>
      <c r="E22183" t="inlineStr">
        <is>
          <t>Lương:Trên 1,5 Tr VND</t>
        </is>
      </c>
      <c r="F22183" t="inlineStr">
        <is>
          <t>Hà Nội</t>
        </is>
      </c>
      <c r="G22183" t="inlineStr">
        <is>
          <t>31-03-2026</t>
        </is>
      </c>
      <c r="H22183" t="inlineStr">
        <is>
          <t>31/03/2026</t>
        </is>
      </c>
      <c r="I22183" t="inlineStr">
        <is>
          <t>17/03/2026</t>
        </is>
      </c>
      <c r="J22183" t="inlineStr">
        <is>
          <t>Bán hàng / Kinh doanh</t>
        </is>
      </c>
      <c r="K22183" t="inlineStr">
        <is>
          <t>N/A</t>
        </is>
      </c>
      <c r="L22183" s="8">
        <f>HYPERLINK("https://careerviet.vn/vi/tim-viec-lam/business-development-intern.35C6BB68.html","Xem chi tiết")</f>
        <v/>
      </c>
    </row>
    <row r="22184">
      <c r="B22184" s="9" t="n">
        <v>22182</v>
      </c>
      <c r="C22184" s="10" t="inlineStr">
        <is>
          <t>Human Resources Intern (Talent Acquisition)</t>
        </is>
      </c>
      <c r="D22184" s="10" t="inlineStr">
        <is>
          <t>Công ty CP Thành Thành Công - Biên Hòa</t>
        </is>
      </c>
      <c r="E22184" s="10" t="inlineStr">
        <is>
          <t>Lương:Cạnh tranh</t>
        </is>
      </c>
      <c r="F22184" s="10" t="inlineStr">
        <is>
          <t>Hồ Chí Minh</t>
        </is>
      </c>
      <c r="G22184" s="10" t="inlineStr">
        <is>
          <t>09-04-2026</t>
        </is>
      </c>
      <c r="H22184" s="10" t="inlineStr">
        <is>
          <t>09/04/2026</t>
        </is>
      </c>
      <c r="I22184" s="10" t="inlineStr">
        <is>
          <t>17/03/2026</t>
        </is>
      </c>
      <c r="J22184" s="10" t="inlineStr">
        <is>
          <t>Nhân sự</t>
        </is>
      </c>
      <c r="K22184" s="10" t="inlineStr">
        <is>
          <t>N/A</t>
        </is>
      </c>
      <c r="L22184" s="11">
        <f>HYPERLINK("https://careerviet.vn/vi/tim-viec-lam/human-resources-intern-talent-acquisition.35C6BB12.html","Xem chi tiết")</f>
        <v/>
      </c>
      <c r="M22184" s="10" t="n"/>
    </row>
    <row r="22185">
      <c r="B22185" s="7" t="n">
        <v>22183</v>
      </c>
      <c r="C22185" t="inlineStr">
        <is>
          <t>Nhân viên chứng từ XNK</t>
        </is>
      </c>
      <c r="D22185" t="inlineStr">
        <is>
          <t>Công Ty Cổ phần Quốc tế Thái Bình Dương</t>
        </is>
      </c>
      <c r="E22185" t="inlineStr">
        <is>
          <t>Lương:7 Tr - 10 Tr VND</t>
        </is>
      </c>
      <c r="F22185" t="inlineStr">
        <is>
          <t>Hà Nội</t>
        </is>
      </c>
      <c r="G22185" t="inlineStr">
        <is>
          <t>10-04-2026</t>
        </is>
      </c>
      <c r="H22185" t="inlineStr">
        <is>
          <t>10/04/2026</t>
        </is>
      </c>
      <c r="I22185" t="inlineStr">
        <is>
          <t>17/03/2026</t>
        </is>
      </c>
      <c r="J22185" t="inlineStr">
        <is>
          <t>Xuất nhập khẩu</t>
        </is>
      </c>
      <c r="K22185" t="inlineStr">
        <is>
          <t>N/A</t>
        </is>
      </c>
      <c r="L22185" s="8">
        <f>HYPERLINK("https://careerviet.vn/vi/tim-viec-lam/nhan-vien-chung-tu-xnk.35C6BAE0.html","Xem chi tiết")</f>
        <v/>
      </c>
    </row>
    <row r="22186">
      <c r="B22186" s="9" t="n">
        <v>22184</v>
      </c>
      <c r="C22186" s="10" t="inlineStr">
        <is>
          <t>Thực tập sinh Tái Bảo hiểm</t>
        </is>
      </c>
      <c r="D22186" s="10" t="inlineStr">
        <is>
          <t>Tổng Công Ty Cổ Phần Bảo Hiểm Ngân Hàng TMCP Công Thương Việt Nam</t>
        </is>
      </c>
      <c r="E22186" s="10" t="inlineStr">
        <is>
          <t>Lương:Cạnh tranh</t>
        </is>
      </c>
      <c r="F22186" s="10" t="inlineStr">
        <is>
          <t>Hà Nội</t>
        </is>
      </c>
      <c r="G22186" s="10" t="inlineStr">
        <is>
          <t>19-04-2026</t>
        </is>
      </c>
      <c r="H22186" s="10" t="inlineStr">
        <is>
          <t>19/04/2026</t>
        </is>
      </c>
      <c r="I22186" s="10" t="inlineStr">
        <is>
          <t>17/03/2026</t>
        </is>
      </c>
      <c r="J22186" s="10" t="inlineStr">
        <is>
          <t>Ngân hàng, Bảo hiểm</t>
        </is>
      </c>
      <c r="K22186" s="10" t="inlineStr">
        <is>
          <t>N/A</t>
        </is>
      </c>
      <c r="L22186" s="11">
        <f>HYPERLINK("https://careerviet.vn/vi/tim-viec-lam/thuc-tap-sinh-tai-bao-hiem.35C6BAD0.html","Xem chi tiết")</f>
        <v/>
      </c>
      <c r="M22186" s="10" t="n"/>
    </row>
    <row r="22187">
      <c r="B22187" s="7" t="n">
        <v>22185</v>
      </c>
      <c r="C22187" t="inlineStr">
        <is>
          <t>LẬP TRÌNH VIÊN ANDROID (ANDROID DEVELOPER)</t>
        </is>
      </c>
      <c r="D22187" t="inlineStr">
        <is>
          <t>CÔNG TY CỔ PHẦN CÔNG NGHỆ BETASOFT</t>
        </is>
      </c>
      <c r="E22187" t="inlineStr">
        <is>
          <t>Lương:10 Tr - 20 Tr VND</t>
        </is>
      </c>
      <c r="F22187" t="inlineStr">
        <is>
          <t>Hà Nội</t>
        </is>
      </c>
      <c r="G22187" t="inlineStr">
        <is>
          <t>10-04-2026</t>
        </is>
      </c>
      <c r="H22187" t="inlineStr">
        <is>
          <t>10/04/2026</t>
        </is>
      </c>
      <c r="I22187" t="inlineStr">
        <is>
          <t>17/03/2026</t>
        </is>
      </c>
      <c r="J22187" t="inlineStr">
        <is>
          <t>CNTT - Phần mềm, CNTT - Phần cứng / Mạng, Mới tốt nghiệp / Thực tập</t>
        </is>
      </c>
      <c r="K22187" t="inlineStr">
        <is>
          <t>N/A</t>
        </is>
      </c>
      <c r="L22187" s="8">
        <f>HYPERLINK("https://careerviet.vn/vi/tim-viec-lam/lap-trinh-vien-android-android-developer.35C6B913.html","Xem chi tiết")</f>
        <v/>
      </c>
    </row>
    <row r="22188">
      <c r="B22188" s="9" t="n">
        <v>22186</v>
      </c>
      <c r="C22188" s="10" t="inlineStr">
        <is>
          <t>Media Trainee – PMAX Launchpad Trainee Program 2026</t>
        </is>
      </c>
      <c r="D22188" s="10" t="inlineStr">
        <is>
          <t>PMAX - Total Marketing Partner</t>
        </is>
      </c>
      <c r="E22188" s="10" t="inlineStr">
        <is>
          <t>Lương:Cạnh tranh</t>
        </is>
      </c>
      <c r="F22188" s="10" t="inlineStr">
        <is>
          <t>Hồ Chí Minh</t>
        </is>
      </c>
      <c r="G22188" s="10" t="inlineStr">
        <is>
          <t>25-03-2026</t>
        </is>
      </c>
      <c r="H22188" s="10" t="inlineStr">
        <is>
          <t>25/03/2026</t>
        </is>
      </c>
      <c r="I22188" s="10" t="inlineStr">
        <is>
          <t>17/03/2026</t>
        </is>
      </c>
      <c r="J22188" s="10" t="inlineStr">
        <is>
          <t>Tiếp thị / Marketing, Tiếp thị trực tuyến, Thương mại điện tử</t>
        </is>
      </c>
      <c r="K22188" s="10" t="inlineStr">
        <is>
          <t>N/A</t>
        </is>
      </c>
      <c r="L22188" s="11">
        <f>HYPERLINK("https://careerviet.vn/vi/tim-viec-lam/media-trainee-pmax-launchpad-trainee-program-2026.35C6BA5F.html","Xem chi tiết")</f>
        <v/>
      </c>
      <c r="M22188" s="10" t="n"/>
    </row>
    <row r="22189">
      <c r="B22189" s="7" t="n">
        <v>22187</v>
      </c>
      <c r="C22189" t="inlineStr">
        <is>
          <t>HR - Admin Intern</t>
        </is>
      </c>
      <c r="D22189" t="inlineStr">
        <is>
          <t>MÙA GROUP</t>
        </is>
      </c>
      <c r="E22189" t="inlineStr">
        <is>
          <t>Lương:2 Tr - 3 Tr VND</t>
        </is>
      </c>
      <c r="F22189" t="inlineStr">
        <is>
          <t>Hồ Chí Minh</t>
        </is>
      </c>
      <c r="G22189" t="inlineStr">
        <is>
          <t>09-04-2026</t>
        </is>
      </c>
      <c r="H22189" t="inlineStr">
        <is>
          <t>09/04/2026</t>
        </is>
      </c>
      <c r="I22189" t="inlineStr">
        <is>
          <t>17/03/2026</t>
        </is>
      </c>
      <c r="J22189" t="inlineStr">
        <is>
          <t>Nhân sự</t>
        </is>
      </c>
      <c r="K22189" t="inlineStr">
        <is>
          <t>N/A</t>
        </is>
      </c>
      <c r="L22189" s="8">
        <f>HYPERLINK("https://careerviet.vn/vi/tim-viec-lam/hr-admin-intern.35C6BA48.html","Xem chi tiết")</f>
        <v/>
      </c>
    </row>
    <row r="22190">
      <c r="B22190" s="9" t="n">
        <v>22188</v>
      </c>
      <c r="C22190" s="10" t="inlineStr">
        <is>
          <t>Thực tập sinh Marketing</t>
        </is>
      </c>
      <c r="D22190" s="10" t="inlineStr">
        <is>
          <t>CÔNG TY CỔ PHẦN DÂN KHANG</t>
        </is>
      </c>
      <c r="E22190" s="10" t="inlineStr">
        <is>
          <t>Lương:3 Tr - 4 Tr VND</t>
        </is>
      </c>
      <c r="F22190" s="10" t="inlineStr">
        <is>
          <t>Hồ Chí Minh</t>
        </is>
      </c>
      <c r="G22190" s="10" t="inlineStr">
        <is>
          <t>10-04-2026</t>
        </is>
      </c>
      <c r="H22190" s="10" t="inlineStr">
        <is>
          <t>10/04/2026</t>
        </is>
      </c>
      <c r="I22190" s="10" t="inlineStr">
        <is>
          <t>17/03/2026</t>
        </is>
      </c>
      <c r="J22190" s="10" t="inlineStr">
        <is>
          <t>Tiếp thị / Marketing, Dược phẩm/ Hóa Mỹ Phẩm</t>
        </is>
      </c>
      <c r="K22190" s="10" t="inlineStr">
        <is>
          <t>N/A</t>
        </is>
      </c>
      <c r="L22190" s="11">
        <f>HYPERLINK("https://careerviet.vn/vi/tim-viec-lam/thuc-tap-sinh-marketing.35C6B91D.html","Xem chi tiết")</f>
        <v/>
      </c>
      <c r="M22190" s="10" t="n"/>
    </row>
    <row r="22191">
      <c r="B22191" s="7" t="n">
        <v>22189</v>
      </c>
      <c r="C22191" t="inlineStr">
        <is>
          <t>INTERN - ADMIN</t>
        </is>
      </c>
      <c r="D22191" t="inlineStr">
        <is>
          <t>Sika Limited (Vietnam)</t>
        </is>
      </c>
      <c r="E22191" t="inlineStr">
        <is>
          <t>Lương:Cạnh tranh</t>
        </is>
      </c>
      <c r="F22191" t="inlineStr">
        <is>
          <t>Đồng Nai</t>
        </is>
      </c>
      <c r="G22191" t="inlineStr">
        <is>
          <t>31-03-2026</t>
        </is>
      </c>
      <c r="H22191" t="inlineStr">
        <is>
          <t>31/03/2026</t>
        </is>
      </c>
      <c r="I22191" t="inlineStr">
        <is>
          <t>17/03/2026</t>
        </is>
      </c>
      <c r="J22191" t="inlineStr">
        <is>
          <t>Hành chính / Thư ký, Dịch vụ khách hàng</t>
        </is>
      </c>
      <c r="K22191" t="inlineStr">
        <is>
          <t>N/A</t>
        </is>
      </c>
      <c r="L22191" s="8">
        <f>HYPERLINK("https://careerviet.vn/vi/tim-viec-lam/intern-admin.35C6BAAC.html","Xem chi tiết")</f>
        <v/>
      </c>
    </row>
    <row r="22192">
      <c r="B22192" s="9" t="n">
        <v>22190</v>
      </c>
      <c r="C22192" s="10" t="inlineStr">
        <is>
          <t>INTERN - PURCHASING</t>
        </is>
      </c>
      <c r="D22192" s="10" t="inlineStr">
        <is>
          <t>Sika Limited (Vietnam)</t>
        </is>
      </c>
      <c r="E22192" s="10" t="inlineStr">
        <is>
          <t>Lương:Cạnh tranh</t>
        </is>
      </c>
      <c r="F22192" s="10" t="inlineStr">
        <is>
          <t>Đồng Nai</t>
        </is>
      </c>
      <c r="G22192" s="10" t="inlineStr">
        <is>
          <t>31-03-2026</t>
        </is>
      </c>
      <c r="H22192" s="10" t="inlineStr">
        <is>
          <t>31/03/2026</t>
        </is>
      </c>
      <c r="I22192" s="10" t="inlineStr">
        <is>
          <t>17/03/2026</t>
        </is>
      </c>
      <c r="J22192" s="10" t="inlineStr">
        <is>
          <t>Thu mua / Vật tư</t>
        </is>
      </c>
      <c r="K22192" s="10" t="inlineStr">
        <is>
          <t>N/A</t>
        </is>
      </c>
      <c r="L22192" s="11">
        <f>HYPERLINK("https://careerviet.vn/vi/tim-viec-lam/intern-purchasing.35C6BAB4.html","Xem chi tiết")</f>
        <v/>
      </c>
      <c r="M22192" s="10" t="n"/>
    </row>
    <row r="22193">
      <c r="B22193" s="7" t="n">
        <v>22191</v>
      </c>
      <c r="C22193" t="inlineStr">
        <is>
          <t>Lean Engineer (Short term)</t>
        </is>
      </c>
      <c r="D22193" t="inlineStr">
        <is>
          <t>CÔNG TY TNHH ZIEHL-ABEGG VIỆT NAM</t>
        </is>
      </c>
      <c r="E22193" t="inlineStr">
        <is>
          <t>Lương:Cạnh tranh</t>
        </is>
      </c>
      <c r="F22193" t="inlineStr">
        <is>
          <t>Đồng Nai</t>
        </is>
      </c>
      <c r="G22193" t="inlineStr">
        <is>
          <t>12-04-2026</t>
        </is>
      </c>
      <c r="H22193" t="inlineStr">
        <is>
          <t>12/04/2026</t>
        </is>
      </c>
      <c r="I22193" t="inlineStr">
        <is>
          <t>17/03/2026</t>
        </is>
      </c>
      <c r="J22193" t="inlineStr">
        <is>
          <t>Sản xuất / Vận hành sản xuất</t>
        </is>
      </c>
      <c r="K22193" t="inlineStr">
        <is>
          <t>N/A</t>
        </is>
      </c>
      <c r="L22193" s="8">
        <f>HYPERLINK("https://careerviet.vn/vi/tim-viec-lam/lean-engineer-short-term.35C6BAC6.html","Xem chi tiết")</f>
        <v/>
      </c>
    </row>
    <row r="22194">
      <c r="B22194" s="9" t="n">
        <v>22192</v>
      </c>
      <c r="C22194" s="10" t="inlineStr">
        <is>
          <t>Trợ Lý Nghệ Sĩ</t>
        </is>
      </c>
      <c r="D22194" s="10" t="inlineStr">
        <is>
          <t>CÔNG TY TNHH QUANG TRUNG ENTERTAINMENT</t>
        </is>
      </c>
      <c r="E22194" s="10" t="inlineStr">
        <is>
          <t>Lương:Cạnh tranh</t>
        </is>
      </c>
      <c r="F22194" s="10" t="inlineStr">
        <is>
          <t>Hồ Chí Minh</t>
        </is>
      </c>
      <c r="G22194" s="10" t="inlineStr">
        <is>
          <t>13-04-2026</t>
        </is>
      </c>
      <c r="H22194" s="10" t="inlineStr">
        <is>
          <t>13/04/2026</t>
        </is>
      </c>
      <c r="I22194" s="10" t="inlineStr">
        <is>
          <t>17/03/2026</t>
        </is>
      </c>
      <c r="J22194" s="10" t="inlineStr">
        <is>
          <t>Mỹ thuật / Nghệ thuật / Thiết kế</t>
        </is>
      </c>
      <c r="K22194" s="10" t="inlineStr">
        <is>
          <t>N/A</t>
        </is>
      </c>
      <c r="L22194" s="11">
        <f>HYPERLINK("https://careerviet.vn/vi/tim-viec-lam/tro-ly-nghe-si.35C6BA3E.html","Xem chi tiết")</f>
        <v/>
      </c>
      <c r="M22194" s="10" t="n"/>
    </row>
    <row r="22195">
      <c r="B22195" s="7" t="n">
        <v>22193</v>
      </c>
      <c r="C22195" t="inlineStr">
        <is>
          <t>Thực tập sinh Kế toán Công nợ</t>
        </is>
      </c>
      <c r="D22195" t="inlineStr">
        <is>
          <t>S.F. EXPRESS LTD.</t>
        </is>
      </c>
      <c r="E22195" t="inlineStr">
        <is>
          <t>Lương:3 Tr - 7 Tr VND</t>
        </is>
      </c>
      <c r="F22195" t="inlineStr">
        <is>
          <t>Hồ Chí Minh</t>
        </is>
      </c>
      <c r="G22195" t="inlineStr">
        <is>
          <t>15-04-2026</t>
        </is>
      </c>
      <c r="H22195" t="inlineStr">
        <is>
          <t>15/04/2026</t>
        </is>
      </c>
      <c r="I22195" t="inlineStr">
        <is>
          <t>17/03/2026</t>
        </is>
      </c>
      <c r="J22195" t="inlineStr">
        <is>
          <t>Kế toán / Kiểm toán</t>
        </is>
      </c>
      <c r="K22195" t="inlineStr">
        <is>
          <t>N/A</t>
        </is>
      </c>
      <c r="L22195" s="8">
        <f>HYPERLINK("https://careerviet.vn/vi/tim-viec-lam/thuc-tap-sinh-ke-toan-cong-no.35C6B9F3.html","Xem chi tiết")</f>
        <v/>
      </c>
    </row>
    <row r="22196">
      <c r="B22196" s="9" t="n">
        <v>22194</v>
      </c>
      <c r="C22196" s="10" t="inlineStr">
        <is>
          <t>Thực tập sinh Nhân sự (Du lịch - Công nghệ - Logistics)</t>
        </is>
      </c>
      <c r="D22196" s="10" t="inlineStr">
        <is>
          <t>Công ty Cổ phần Đầu Tư Rovi Holdings</t>
        </is>
      </c>
      <c r="E22196" s="10" t="inlineStr">
        <is>
          <t>Lương:2,5 Tr - 3 Tr VND</t>
        </is>
      </c>
      <c r="F22196" s="10" t="inlineStr">
        <is>
          <t>Hồ Chí Minh</t>
        </is>
      </c>
      <c r="G22196" s="10" t="inlineStr">
        <is>
          <t>3</t>
        </is>
      </c>
      <c r="H22196" s="10" t="inlineStr">
        <is>
          <t>20/03/2026</t>
        </is>
      </c>
      <c r="I22196" s="10" t="inlineStr">
        <is>
          <t>17/03/2026</t>
        </is>
      </c>
      <c r="J22196" s="10" t="inlineStr">
        <is>
          <t>Nhân sự</t>
        </is>
      </c>
      <c r="K22196" s="10" t="inlineStr">
        <is>
          <t>N/A</t>
        </is>
      </c>
      <c r="L22196" s="11">
        <f>HYPERLINK("https://careerviet.vn/vi/tim-viec-lam/thuc-tap-sinh-nhan-su-du-lich-cong-nghe-logistics.35C6BA3A.html","Xem chi tiết")</f>
        <v/>
      </c>
      <c r="M22196" s="10" t="n"/>
    </row>
    <row r="22197">
      <c r="B22197" s="7" t="n">
        <v>22195</v>
      </c>
      <c r="C22197" t="inlineStr">
        <is>
          <t>Legal Intern</t>
        </is>
      </c>
      <c r="D22197" t="inlineStr">
        <is>
          <t>Viet Thai International</t>
        </is>
      </c>
      <c r="E22197" t="inlineStr">
        <is>
          <t>Lương:1 Tr - 3 Tr VND</t>
        </is>
      </c>
      <c r="F22197" t="inlineStr">
        <is>
          <t>Hồ Chí Minh</t>
        </is>
      </c>
      <c r="G22197" t="inlineStr">
        <is>
          <t>31-03-2026</t>
        </is>
      </c>
      <c r="H22197" t="inlineStr">
        <is>
          <t>31/03/2026</t>
        </is>
      </c>
      <c r="I22197" t="inlineStr">
        <is>
          <t>17/03/2026</t>
        </is>
      </c>
      <c r="J22197" t="inlineStr">
        <is>
          <t>Luật / Pháp lý, Mới tốt nghiệp / Thực tập, Hành chính / Thư ký</t>
        </is>
      </c>
      <c r="K22197" t="inlineStr">
        <is>
          <t>N/A</t>
        </is>
      </c>
      <c r="L22197" s="8">
        <f>HYPERLINK("https://careerviet.vn/vi/tim-viec-lam/legal-intern.35C6B926.html","Xem chi tiết")</f>
        <v/>
      </c>
    </row>
    <row r="22198">
      <c r="B22198" s="9" t="n">
        <v>22196</v>
      </c>
      <c r="C22198" s="10" t="inlineStr">
        <is>
          <t>Thực Tập Sinh Nhân Sự</t>
        </is>
      </c>
      <c r="D22198" s="10" t="inlineStr">
        <is>
          <t>Công ty cổ phần phát triển công nghệ Y học Việt Nam - Nhật Bản</t>
        </is>
      </c>
      <c r="E22198" s="10" t="inlineStr">
        <is>
          <t>Lương:2 Tr - 4 Tr VND</t>
        </is>
      </c>
      <c r="F22198" s="10" t="inlineStr">
        <is>
          <t>Hà Nội</t>
        </is>
      </c>
      <c r="G22198" s="10" t="inlineStr">
        <is>
          <t>30-04-2026</t>
        </is>
      </c>
      <c r="H22198" s="10" t="inlineStr">
        <is>
          <t>30/04/2026</t>
        </is>
      </c>
      <c r="I22198" s="10" t="inlineStr">
        <is>
          <t>17/03/2026</t>
        </is>
      </c>
      <c r="J22198" s="10" t="inlineStr">
        <is>
          <t>Nhân sự</t>
        </is>
      </c>
      <c r="K22198" s="10" t="inlineStr">
        <is>
          <t>N/A</t>
        </is>
      </c>
      <c r="L22198" s="11">
        <f>HYPERLINK("https://careerviet.vn/vi/tim-viec-lam/thuc-tap-sinh-nhan-su.35C6B937.html","Xem chi tiết")</f>
        <v/>
      </c>
      <c r="M22198" s="10" t="n"/>
    </row>
    <row r="22199">
      <c r="B22199" s="7" t="n">
        <v>22197</v>
      </c>
      <c r="C22199" t="inlineStr">
        <is>
          <t>[03.2026] QM Intern</t>
        </is>
      </c>
      <c r="D22199" t="inlineStr">
        <is>
          <t>Mega Lifesciences (Vietnam)</t>
        </is>
      </c>
      <c r="E22199" t="inlineStr">
        <is>
          <t>Lương:3 Tr - 3 Tr VND</t>
        </is>
      </c>
      <c r="F22199" t="inlineStr">
        <is>
          <t>Hồ Chí Minh</t>
        </is>
      </c>
      <c r="G22199" t="inlineStr">
        <is>
          <t>31-03-2026</t>
        </is>
      </c>
      <c r="H22199" t="inlineStr">
        <is>
          <t>31/03/2026</t>
        </is>
      </c>
      <c r="I22199" t="inlineStr">
        <is>
          <t>17/03/2026</t>
        </is>
      </c>
      <c r="J22199" t="inlineStr">
        <is>
          <t>Dược phẩm/ Hóa Mỹ Phẩm</t>
        </is>
      </c>
      <c r="K22199" t="inlineStr">
        <is>
          <t>N/A</t>
        </is>
      </c>
      <c r="L22199" s="8">
        <f>HYPERLINK("https://careerviet.vn/vi/tim-viec-lam/03-2026-qm-intern.35C6B931.html","Xem chi tiết")</f>
        <v/>
      </c>
    </row>
    <row r="22200">
      <c r="B22200" s="9" t="n">
        <v>22198</v>
      </c>
      <c r="C22200" s="10" t="inlineStr">
        <is>
          <t>Sourcing Internship</t>
        </is>
      </c>
      <c r="D22200" s="10" t="inlineStr">
        <is>
          <t>TAVN</t>
        </is>
      </c>
      <c r="E22200" s="10" t="inlineStr">
        <is>
          <t>Lương:7 Tr - 7 Tr VND</t>
        </is>
      </c>
      <c r="F22200" s="10" t="inlineStr">
        <is>
          <t>Hồ Chí MinhBình DươngĐồng Nai</t>
        </is>
      </c>
      <c r="G22200" s="10" t="inlineStr">
        <is>
          <t>31-03-2026</t>
        </is>
      </c>
      <c r="H22200" s="10" t="inlineStr">
        <is>
          <t>31/03/2026</t>
        </is>
      </c>
      <c r="I22200" s="10" t="inlineStr">
        <is>
          <t>17/03/2026</t>
        </is>
      </c>
      <c r="J22200" s="10" t="inlineStr">
        <is>
          <t>Mới tốt nghiệp / Thực tập, Điện / Điện tử / Điện lạnh / Điện công nghiệp, Cơ khí / Ô tô / Tự động hóa</t>
        </is>
      </c>
      <c r="K22200" s="10" t="inlineStr">
        <is>
          <t>N/A</t>
        </is>
      </c>
      <c r="L22200" s="11">
        <f>HYPERLINK("https://careerviet.vn/vi/tim-viec-lam/sourcing-internship.35C6B972.html","Xem chi tiết")</f>
        <v/>
      </c>
      <c r="M22200" s="10" t="n"/>
    </row>
    <row r="22201">
      <c r="B22201" s="7" t="n">
        <v>22199</v>
      </c>
      <c r="C22201" t="inlineStr">
        <is>
          <t>Nhân viên kỹ thuật</t>
        </is>
      </c>
      <c r="D22201" t="inlineStr">
        <is>
          <t>CÔNG TY TNHH STARCOM VIỆT NAM</t>
        </is>
      </c>
      <c r="E22201" t="inlineStr">
        <is>
          <t>Lương:9 Tr - 12 Tr VND</t>
        </is>
      </c>
      <c r="F22201" t="inlineStr">
        <is>
          <t>Hà Nội</t>
        </is>
      </c>
      <c r="G22201" t="inlineStr">
        <is>
          <t>30-04-2026</t>
        </is>
      </c>
      <c r="H22201" t="inlineStr">
        <is>
          <t>30/04/2026</t>
        </is>
      </c>
      <c r="I22201" t="inlineStr">
        <is>
          <t>17/03/2026</t>
        </is>
      </c>
      <c r="J22201" t="inlineStr">
        <is>
          <t>Bảo trì / Sửa chữa, CNTT - Phần cứng / Mạng, Bưu chính viễn thông</t>
        </is>
      </c>
      <c r="K22201" t="inlineStr">
        <is>
          <t>N/A</t>
        </is>
      </c>
      <c r="L22201" s="8">
        <f>HYPERLINK("https://careerviet.vn/vi/tim-viec-lam/nhan-vien-ky-thuat.35C6BA75.html","Xem chi tiết")</f>
        <v/>
      </c>
    </row>
    <row r="22202">
      <c r="B22202" s="9" t="n">
        <v>22200</v>
      </c>
      <c r="C22202" s="10" t="inlineStr">
        <is>
          <t>THỰC TẬP SINH NHÂN SỰ HÀNH CHÍNH</t>
        </is>
      </c>
      <c r="D22202" s="10" t="inlineStr">
        <is>
          <t>CÔNG TY TNHH PRIME COMMERCE VIỆT NAM</t>
        </is>
      </c>
      <c r="E22202" s="10" t="inlineStr">
        <is>
          <t>Lương:Cạnh tranh</t>
        </is>
      </c>
      <c r="F22202" s="10" t="inlineStr">
        <is>
          <t>Hồ Chí Minh</t>
        </is>
      </c>
      <c r="G22202" s="10" t="inlineStr">
        <is>
          <t>03-04-2026</t>
        </is>
      </c>
      <c r="H22202" s="10" t="inlineStr">
        <is>
          <t>03/04/2026</t>
        </is>
      </c>
      <c r="I22202" s="10" t="inlineStr">
        <is>
          <t>17/03/2026</t>
        </is>
      </c>
      <c r="J22202" s="10" t="inlineStr">
        <is>
          <t>N/A</t>
        </is>
      </c>
      <c r="K22202" s="10" t="inlineStr">
        <is>
          <t>N/A</t>
        </is>
      </c>
      <c r="L22202" s="11">
        <f>HYPERLINK("https://careerviet.vn/vi/tim-viec-lam/thuc-tap-sinh-nhan-su-hanh-chinh.35C6AC6D.html","Xem chi tiết")</f>
        <v/>
      </c>
      <c r="M22202" s="10" t="n"/>
    </row>
    <row r="22203">
      <c r="B22203" s="7" t="n">
        <v>22201</v>
      </c>
      <c r="C22203" t="inlineStr">
        <is>
          <t>Thực tập sinh Content Marketing</t>
        </is>
      </c>
      <c r="D22203" t="inlineStr">
        <is>
          <t>CÔNG TY CỔ PHẦN CASHION</t>
        </is>
      </c>
      <c r="E22203" t="inlineStr">
        <is>
          <t>Lương:3 Tr - 3 Tr VND</t>
        </is>
      </c>
      <c r="F22203" t="inlineStr">
        <is>
          <t>Hồ Chí Minh</t>
        </is>
      </c>
      <c r="G22203" t="inlineStr">
        <is>
          <t>08-04-2026</t>
        </is>
      </c>
      <c r="H22203" t="inlineStr">
        <is>
          <t>08/04/2026</t>
        </is>
      </c>
      <c r="I22203" t="inlineStr">
        <is>
          <t>17/03/2026</t>
        </is>
      </c>
      <c r="J22203" t="inlineStr">
        <is>
          <t>Tiếp thị / Marketing, Quảng cáo / Đối ngoại / Truyền Thông</t>
        </is>
      </c>
      <c r="K22203" t="inlineStr">
        <is>
          <t>N/A</t>
        </is>
      </c>
      <c r="L22203" s="8">
        <f>HYPERLINK("https://careerviet.vn/vi/tim-viec-lam/thuc-tap-sinh-content-marketing.35C6B93F.html","Xem chi tiết")</f>
        <v/>
      </c>
    </row>
    <row r="22204">
      <c r="B22204" s="9" t="n">
        <v>22202</v>
      </c>
      <c r="C22204" s="10" t="inlineStr">
        <is>
          <t>Thực tập sinh Sale Xuất khẩu</t>
        </is>
      </c>
      <c r="D22204" s="10" t="inlineStr">
        <is>
          <t>CÔNG TY TNHH TM DV XUẤT NHẬP KHẨU NGỌC CHÂU</t>
        </is>
      </c>
      <c r="E22204" s="10" t="inlineStr">
        <is>
          <t>Lương:Cạnh tranh</t>
        </is>
      </c>
      <c r="F22204" s="10" t="inlineStr">
        <is>
          <t>Hồ Chí Minh</t>
        </is>
      </c>
      <c r="G22204" s="10" t="inlineStr">
        <is>
          <t>31-03-2026</t>
        </is>
      </c>
      <c r="H22204" s="10" t="inlineStr">
        <is>
          <t>31/03/2026</t>
        </is>
      </c>
      <c r="I22204" s="10" t="inlineStr">
        <is>
          <t>17/03/2026</t>
        </is>
      </c>
      <c r="J22204" s="10" t="inlineStr">
        <is>
          <t>Bán hàng / Kinh doanh, Xuất nhập khẩu</t>
        </is>
      </c>
      <c r="K22204" s="10" t="inlineStr">
        <is>
          <t>N/A</t>
        </is>
      </c>
      <c r="L22204" s="11">
        <f>HYPERLINK("https://careerviet.vn/vi/tim-viec-lam/thuc-tap-sinh-sale-xuat-khau.35C53B89.html","Xem chi tiết")</f>
        <v/>
      </c>
      <c r="M22204" s="10" t="n"/>
    </row>
    <row r="22205">
      <c r="B22205" s="7" t="n">
        <v>22203</v>
      </c>
      <c r="C22205" t="inlineStr">
        <is>
          <t>Thực tập sinh kế toán</t>
        </is>
      </c>
      <c r="D22205" t="inlineStr">
        <is>
          <t>CÔNG TY TNHH ĐẦU TƯ PHÁT TRIỂN HÂN NGUYỄN</t>
        </is>
      </c>
      <c r="E22205" t="inlineStr">
        <is>
          <t>Lương:1,8 Tr - 2 Tr VND</t>
        </is>
      </c>
      <c r="F22205" t="inlineStr">
        <is>
          <t>Hồ Chí Minh</t>
        </is>
      </c>
      <c r="G22205" t="inlineStr">
        <is>
          <t>31-03-2026</t>
        </is>
      </c>
      <c r="H22205" t="inlineStr">
        <is>
          <t>31/03/2026</t>
        </is>
      </c>
      <c r="I22205" t="inlineStr">
        <is>
          <t>17/03/2026</t>
        </is>
      </c>
      <c r="J22205" t="inlineStr">
        <is>
          <t>Kế toán / Kiểm toán</t>
        </is>
      </c>
      <c r="K22205" t="inlineStr">
        <is>
          <t>N/A</t>
        </is>
      </c>
      <c r="L22205" s="8">
        <f>HYPERLINK("https://careerviet.vn/vi/tim-viec-lam/thuc-tap-sinh-ke-toan.35C6B7FA.html","Xem chi tiết")</f>
        <v/>
      </c>
    </row>
    <row r="22206">
      <c r="B22206" s="9" t="n">
        <v>22204</v>
      </c>
      <c r="C22206" s="10" t="inlineStr">
        <is>
          <t>Thực Tập Sinh QA/QC</t>
        </is>
      </c>
      <c r="D22206" s="10" t="inlineStr">
        <is>
          <t>HYPERION CO., LTD</t>
        </is>
      </c>
      <c r="E22206" s="10" t="inlineStr">
        <is>
          <t>Lương:3 Tr - 4 Tr VND</t>
        </is>
      </c>
      <c r="F22206" s="10" t="inlineStr">
        <is>
          <t>Hồ Chí Minh</t>
        </is>
      </c>
      <c r="G22206" s="10" t="inlineStr">
        <is>
          <t>08-04-2026</t>
        </is>
      </c>
      <c r="H22206" s="10" t="inlineStr">
        <is>
          <t>08/04/2026</t>
        </is>
      </c>
      <c r="I22206" s="10" t="inlineStr">
        <is>
          <t>17/03/2026</t>
        </is>
      </c>
      <c r="J22206" s="10" t="inlineStr">
        <is>
          <t>Mới tốt nghiệp / Thực tập</t>
        </is>
      </c>
      <c r="K22206" s="10" t="inlineStr">
        <is>
          <t>N/A</t>
        </is>
      </c>
      <c r="L22206" s="11">
        <f>HYPERLINK("https://careerviet.vn/vi/tim-viec-lam/thuc-tap-sinh-qa-qc.35C6B790.html","Xem chi tiết")</f>
        <v/>
      </c>
      <c r="M22206" s="10" t="n"/>
    </row>
    <row r="22207">
      <c r="B22207" s="7" t="n">
        <v>22205</v>
      </c>
      <c r="C22207" t="inlineStr">
        <is>
          <t>Golf Front Office Staff</t>
        </is>
      </c>
      <c r="D22207" t="inlineStr">
        <is>
          <t>Công Ty TNHH Dự Án Hồ Tràm</t>
        </is>
      </c>
      <c r="E22207" t="inlineStr">
        <is>
          <t>Lương:Cạnh tranh</t>
        </is>
      </c>
      <c r="F22207" t="inlineStr">
        <is>
          <t>Hồ Chí Minh</t>
        </is>
      </c>
      <c r="G22207" t="inlineStr">
        <is>
          <t>30-03-2026</t>
        </is>
      </c>
      <c r="H22207" t="inlineStr">
        <is>
          <t>30/03/2026</t>
        </is>
      </c>
      <c r="I22207" t="inlineStr">
        <is>
          <t>17/03/2026</t>
        </is>
      </c>
      <c r="J22207" t="inlineStr">
        <is>
          <t>Dịch vụ khách hàng, Giải trí</t>
        </is>
      </c>
      <c r="K22207" t="inlineStr">
        <is>
          <t>N/A</t>
        </is>
      </c>
      <c r="L22207" s="8">
        <f>HYPERLINK("https://careerviet.vn/vi/tim-viec-lam/golf-front-office-staff.35C6B93C.html","Xem chi tiết")</f>
        <v/>
      </c>
    </row>
    <row r="22208">
      <c r="B22208" s="9" t="n">
        <v>22206</v>
      </c>
      <c r="C22208" s="10" t="inlineStr">
        <is>
          <t>Thực Tập Sinh Dữ Liệu Tài Chính</t>
        </is>
      </c>
      <c r="D22208" s="10" t="inlineStr">
        <is>
          <t>Công Ty Cổ phần Tài Việt (Vietstock.vn)</t>
        </is>
      </c>
      <c r="E22208" s="10" t="inlineStr">
        <is>
          <t>Lương:Cạnh tranh</t>
        </is>
      </c>
      <c r="F22208" s="10" t="inlineStr">
        <is>
          <t>Hồ Chí Minh</t>
        </is>
      </c>
      <c r="G22208" s="10" t="inlineStr">
        <is>
          <t>31-03-2026</t>
        </is>
      </c>
      <c r="H22208" s="10" t="inlineStr">
        <is>
          <t>31/03/2026</t>
        </is>
      </c>
      <c r="I22208" s="10" t="inlineStr">
        <is>
          <t>17/03/2026</t>
        </is>
      </c>
      <c r="J22208" s="10" t="inlineStr">
        <is>
          <t>Chứng khoán, Tài chính / Đầu tư, Mới tốt nghiệp / Thực tập</t>
        </is>
      </c>
      <c r="K22208" s="10" t="inlineStr">
        <is>
          <t>N/A</t>
        </is>
      </c>
      <c r="L22208" s="11">
        <f>HYPERLINK("https://careerviet.vn/vi/tim-viec-lam/thuc-tap-sinh-du-lieu-tai-chinh.35C6B7C7.html","Xem chi tiết")</f>
        <v/>
      </c>
      <c r="M22208" s="10" t="n"/>
    </row>
    <row r="22209">
      <c r="B22209" s="7" t="n">
        <v>22207</v>
      </c>
      <c r="C22209" t="inlineStr">
        <is>
          <t>KỸ SƯ XÂY DỰNG (Không Yêu Cầu Kinh Nghiệm)</t>
        </is>
      </c>
      <c r="D22209" t="inlineStr">
        <is>
          <t>Công ty cổ phần tư vấn và xây dựng KM Việt Nam</t>
        </is>
      </c>
      <c r="E22209" t="inlineStr">
        <is>
          <t>Lương:10 Tr - 18 Tr VND</t>
        </is>
      </c>
      <c r="F22209" t="inlineStr">
        <is>
          <t>Hà Nội</t>
        </is>
      </c>
      <c r="G22209" t="inlineStr">
        <is>
          <t>27-03-2026</t>
        </is>
      </c>
      <c r="H22209" t="inlineStr">
        <is>
          <t>27/03/2026</t>
        </is>
      </c>
      <c r="I22209" t="inlineStr">
        <is>
          <t>17/03/2026</t>
        </is>
      </c>
      <c r="J22209" t="inlineStr">
        <is>
          <t>Xây dựng</t>
        </is>
      </c>
      <c r="K22209" t="inlineStr">
        <is>
          <t>N/A</t>
        </is>
      </c>
      <c r="L22209" s="8">
        <f>HYPERLINK("https://careerviet.vn/vi/tim-viec-lam/ky-su-xay-dung-khong-yeu-cau-kinh-nghiem.35C6B723.html","Xem chi tiết")</f>
        <v/>
      </c>
    </row>
    <row r="22210">
      <c r="B22210" s="9" t="n">
        <v>22208</v>
      </c>
      <c r="C22210" s="10" t="inlineStr">
        <is>
          <t>Thực tập sinh Sales Marketing</t>
        </is>
      </c>
      <c r="D22210" s="10" t="inlineStr">
        <is>
          <t>LAC HONG VOYAGES</t>
        </is>
      </c>
      <c r="E22210" s="10" t="inlineStr">
        <is>
          <t>Lương:Cạnh tranh</t>
        </is>
      </c>
      <c r="F22210" s="10" t="inlineStr">
        <is>
          <t>Hồ Chí Minh</t>
        </is>
      </c>
      <c r="G22210" s="10" t="inlineStr">
        <is>
          <t>31-03-2026</t>
        </is>
      </c>
      <c r="H22210" s="10" t="inlineStr">
        <is>
          <t>31/03/2026</t>
        </is>
      </c>
      <c r="I22210" s="10" t="inlineStr">
        <is>
          <t>17/03/2026</t>
        </is>
      </c>
      <c r="J22210" s="10" t="inlineStr">
        <is>
          <t>Du lịch</t>
        </is>
      </c>
      <c r="K22210" s="10" t="inlineStr">
        <is>
          <t>N/A</t>
        </is>
      </c>
      <c r="L22210" s="11">
        <f>HYPERLINK("https://careerviet.vn/vi/tim-viec-lam/thuc-tap-sinh-sales-marketing.35C6B67D.html","Xem chi tiết")</f>
        <v/>
      </c>
      <c r="M22210" s="10" t="n"/>
    </row>
    <row r="22211">
      <c r="B22211" s="7" t="n">
        <v>22209</v>
      </c>
      <c r="C22211" t="inlineStr">
        <is>
          <t>Supply Chain Intern</t>
        </is>
      </c>
      <c r="D22211" t="inlineStr">
        <is>
          <t>Techtronic Industries Vietnam Manufacturing Company Limited</t>
        </is>
      </c>
      <c r="E22211" t="inlineStr">
        <is>
          <t>Lương:Cạnh tranh</t>
        </is>
      </c>
      <c r="F22211" t="inlineStr">
        <is>
          <t>Hà Nội</t>
        </is>
      </c>
      <c r="G22211" t="inlineStr">
        <is>
          <t>09-04-2026</t>
        </is>
      </c>
      <c r="H22211" t="inlineStr">
        <is>
          <t>09/04/2026</t>
        </is>
      </c>
      <c r="I22211" t="inlineStr">
        <is>
          <t>17/03/2026</t>
        </is>
      </c>
      <c r="J22211" t="inlineStr">
        <is>
          <t>Tiếp thị / Marketing, Mới tốt nghiệp / Thực tập, Bán hàng / Kinh doanh</t>
        </is>
      </c>
      <c r="K22211" t="inlineStr">
        <is>
          <t>N/A</t>
        </is>
      </c>
      <c r="L22211" s="8">
        <f>HYPERLINK("https://careerviet.vn/vi/tim-viec-lam/supply-chain-intern.35C6B7BA.html","Xem chi tiết")</f>
        <v/>
      </c>
    </row>
    <row r="22212">
      <c r="B22212" s="9" t="n">
        <v>22210</v>
      </c>
      <c r="C22212" s="10" t="inlineStr">
        <is>
          <t>Nhân viên tư vấn triển khai phần mềm</t>
        </is>
      </c>
      <c r="D22212" s="10" t="inlineStr">
        <is>
          <t>CÔNG TY TNHH DỊCH VỤ SIÊU TỐC VIỆT</t>
        </is>
      </c>
      <c r="E22212" s="10" t="inlineStr">
        <is>
          <t>Lương:5,5 Tr - 7 Tr VND</t>
        </is>
      </c>
      <c r="F22212" s="10" t="inlineStr">
        <is>
          <t>Hồ Chí Minh</t>
        </is>
      </c>
      <c r="G22212" s="10" t="inlineStr">
        <is>
          <t>31-03-2026</t>
        </is>
      </c>
      <c r="H22212" s="10" t="inlineStr">
        <is>
          <t>31/03/2026</t>
        </is>
      </c>
      <c r="I22212" s="10" t="inlineStr">
        <is>
          <t>17/03/2026</t>
        </is>
      </c>
      <c r="J22212" s="10" t="inlineStr">
        <is>
          <t>Tiếp thị / Marketing</t>
        </is>
      </c>
      <c r="K22212" s="10" t="inlineStr">
        <is>
          <t>N/A</t>
        </is>
      </c>
      <c r="L22212" s="11">
        <f>HYPERLINK("https://careerviet.vn/vi/tim-viec-lam/nhan-vien-tu-van-trien-khai-phan-mem.35C6B6DC.html","Xem chi tiết")</f>
        <v/>
      </c>
      <c r="M22212" s="10" t="n"/>
    </row>
    <row r="22213">
      <c r="B22213" s="7" t="n">
        <v>22211</v>
      </c>
      <c r="C22213" t="inlineStr">
        <is>
          <t>Admin Staff</t>
        </is>
      </c>
      <c r="D22213" t="inlineStr">
        <is>
          <t>Công Ty TNHH Anh Ngữ Brilliant Việt Nam</t>
        </is>
      </c>
      <c r="E22213" t="inlineStr">
        <is>
          <t>Lương:9 Tr - 12 Tr VND</t>
        </is>
      </c>
      <c r="F22213" t="inlineStr">
        <is>
          <t>Hồ Chí Minh</t>
        </is>
      </c>
      <c r="G22213" t="inlineStr">
        <is>
          <t>09-04-2026</t>
        </is>
      </c>
      <c r="H22213" t="inlineStr">
        <is>
          <t>09/04/2026</t>
        </is>
      </c>
      <c r="I22213" t="inlineStr">
        <is>
          <t>17/03/2026</t>
        </is>
      </c>
      <c r="J22213" t="inlineStr">
        <is>
          <t>Hành chính / Thư ký, Nhân sự, Ngành khác</t>
        </is>
      </c>
      <c r="K22213" t="inlineStr">
        <is>
          <t>N/A</t>
        </is>
      </c>
      <c r="L22213" s="8">
        <f>HYPERLINK("https://careerviet.vn/vi/tim-viec-lam/admin-staff.35C6B6A3.html","Xem chi tiết")</f>
        <v/>
      </c>
    </row>
    <row r="22214">
      <c r="B22214" s="9" t="n">
        <v>22212</v>
      </c>
      <c r="C22214" s="10" t="inlineStr">
        <is>
          <t>Trợ giảng tiếng Anh</t>
        </is>
      </c>
      <c r="D22214" s="10" t="inlineStr">
        <is>
          <t>Công ty TNHH Thương Mại &amp; Dịch Vụ Tri Linh</t>
        </is>
      </c>
      <c r="E22214" s="10" t="inlineStr">
        <is>
          <t>Lương:Cạnh tranh</t>
        </is>
      </c>
      <c r="F22214" s="10" t="inlineStr">
        <is>
          <t>Hồ Chí Minh</t>
        </is>
      </c>
      <c r="G22214" s="10" t="inlineStr">
        <is>
          <t>30-04-2026</t>
        </is>
      </c>
      <c r="H22214" s="10" t="inlineStr">
        <is>
          <t>30/04/2026</t>
        </is>
      </c>
      <c r="I22214" s="10" t="inlineStr">
        <is>
          <t>17/03/2026</t>
        </is>
      </c>
      <c r="J22214" s="10" t="inlineStr">
        <is>
          <t>Giáo dục / Đào tạo</t>
        </is>
      </c>
      <c r="K22214" s="10" t="inlineStr">
        <is>
          <t>N/A</t>
        </is>
      </c>
      <c r="L22214" s="11">
        <f>HYPERLINK("https://careerviet.vn/vi/tim-viec-lam/tro-giang-tieng-anh.35C6B6A6.html","Xem chi tiết")</f>
        <v/>
      </c>
      <c r="M22214" s="10" t="n"/>
    </row>
    <row r="22215">
      <c r="B22215" s="7" t="n">
        <v>22213</v>
      </c>
      <c r="C22215" t="inlineStr">
        <is>
          <t>Thực tập sinh Customer Success (Phần mềm nhân sự và tiền lương)</t>
        </is>
      </c>
      <c r="D22215" t="inlineStr">
        <is>
          <t>CÔNG TY TNHH BETTER TECHNOLOGIES VIETNAM</t>
        </is>
      </c>
      <c r="E22215" t="inlineStr">
        <is>
          <t>Lương:6 Tr - 8 Tr VND</t>
        </is>
      </c>
      <c r="F22215" t="inlineStr">
        <is>
          <t>Hồ Chí Minh</t>
        </is>
      </c>
      <c r="G22215" t="inlineStr">
        <is>
          <t>08-04-2026</t>
        </is>
      </c>
      <c r="H22215" t="inlineStr">
        <is>
          <t>08/04/2026</t>
        </is>
      </c>
      <c r="I22215" t="inlineStr">
        <is>
          <t>17/03/2026</t>
        </is>
      </c>
      <c r="J22215" t="inlineStr">
        <is>
          <t>CNTT - Phần mềm, Dịch vụ khách hàng</t>
        </is>
      </c>
      <c r="K22215" t="inlineStr">
        <is>
          <t>N/A</t>
        </is>
      </c>
      <c r="L22215" s="8">
        <f>HYPERLINK("https://careerviet.vn/vi/tim-viec-lam/thuc-tap-sinh-customer-success-phan-mem-nhan-su-va-tien-luong.35C6B7FC.html","Xem chi tiết")</f>
        <v/>
      </c>
    </row>
    <row r="22216">
      <c r="B22216" s="9" t="n">
        <v>22214</v>
      </c>
      <c r="C22216" s="10" t="inlineStr">
        <is>
          <t>Nhân Viên Vận Hành Cơ Khí  (Có xe đưa đón hàng ngày từ TP.HCM)</t>
        </is>
      </c>
      <c r="D22216" s="10" t="inlineStr">
        <is>
          <t>VINA PLASTICIZERS CHEMICAL CO., LTD</t>
        </is>
      </c>
      <c r="E22216" s="10" t="inlineStr">
        <is>
          <t>Lương:Cạnh tranh</t>
        </is>
      </c>
      <c r="F22216" s="10" t="inlineStr">
        <is>
          <t>Đồng Nai</t>
        </is>
      </c>
      <c r="G22216" s="10" t="inlineStr">
        <is>
          <t>31-03-2026</t>
        </is>
      </c>
      <c r="H22216" s="10" t="inlineStr">
        <is>
          <t>31/03/2026</t>
        </is>
      </c>
      <c r="I22216" s="10" t="inlineStr">
        <is>
          <t>17/03/2026</t>
        </is>
      </c>
      <c r="J22216" s="10" t="inlineStr">
        <is>
          <t>Cơ khí / Ô tô / Tự động hóa, Sản xuất / Vận hành sản xuất</t>
        </is>
      </c>
      <c r="K22216" s="10" t="inlineStr">
        <is>
          <t>N/A</t>
        </is>
      </c>
      <c r="L22216" s="11">
        <f>HYPERLINK("https://careerviet.vn/vi/tim-viec-lam/nhan-vien-van-hanh-co-khi-co-xe-dua-don-hang-ngay-tu-tp-hcm.35C6AA85.html","Xem chi tiết")</f>
        <v/>
      </c>
      <c r="M22216" s="10" t="n"/>
    </row>
    <row r="22217">
      <c r="B22217" s="7" t="n">
        <v>22215</v>
      </c>
      <c r="C22217" t="inlineStr">
        <is>
          <t>Nhân Viên Kinh Doanh Ban Bán Hàng Trực Tiếp, tuyến xe máy - Long Thành</t>
        </is>
      </c>
      <c r="D22217" t="inlineStr">
        <is>
          <t>Cty TNHH Yakult Việt Nam</t>
        </is>
      </c>
      <c r="E22217" t="inlineStr">
        <is>
          <t>Lương:10 Tr - 14 Tr VND</t>
        </is>
      </c>
      <c r="F22217" t="inlineStr">
        <is>
          <t>Đồng Nai</t>
        </is>
      </c>
      <c r="G22217" t="inlineStr">
        <is>
          <t>07-04-2026</t>
        </is>
      </c>
      <c r="H22217" t="inlineStr">
        <is>
          <t>07/04/2026</t>
        </is>
      </c>
      <c r="I22217" t="inlineStr">
        <is>
          <t>17/03/2026</t>
        </is>
      </c>
      <c r="J22217" t="inlineStr">
        <is>
          <t>Tiếp thị / Marketing, Bán hàng / Kinh doanh, Y tế / Chăm sóc sức khỏe / Thẩm mỹ / Làm đẹp</t>
        </is>
      </c>
      <c r="K22217" t="inlineStr">
        <is>
          <t>N/A</t>
        </is>
      </c>
      <c r="L22217" s="8">
        <f>HYPERLINK("https://careerviet.vn/vi/tim-viec-lam/nhan-vien-kinh-doanh-ban-ban-hang-truc-tiep-tuyen-xe-may-long-thanh.35C6B61E.html","Xem chi tiết")</f>
        <v/>
      </c>
    </row>
    <row r="22218">
      <c r="B22218" s="9" t="n">
        <v>22216</v>
      </c>
      <c r="C22218" s="10" t="inlineStr">
        <is>
          <t>Kỹ sư xây dựng làm việc tại Việt Nam và Nhật Bản</t>
        </is>
      </c>
      <c r="D22218" s="10" t="inlineStr">
        <is>
          <t>VPĐD Daishin Setsubi Co.,Ltd tại Tp. HCM</t>
        </is>
      </c>
      <c r="E22218" s="10" t="inlineStr">
        <is>
          <t>Lương:Cạnh tranh</t>
        </is>
      </c>
      <c r="F22218" s="10" t="inlineStr">
        <is>
          <t>Hồ Chí Minh</t>
        </is>
      </c>
      <c r="G22218" s="10" t="inlineStr">
        <is>
          <t>30-06-2026</t>
        </is>
      </c>
      <c r="H22218" s="10" t="inlineStr">
        <is>
          <t>30/06/2026</t>
        </is>
      </c>
      <c r="I22218" s="10" t="inlineStr">
        <is>
          <t>17/03/2026</t>
        </is>
      </c>
      <c r="J22218" s="10" t="inlineStr">
        <is>
          <t>Kiến trúc, Xây dựng</t>
        </is>
      </c>
      <c r="K22218" s="10" t="inlineStr">
        <is>
          <t>N/A</t>
        </is>
      </c>
      <c r="L22218" s="11">
        <f>HYPERLINK("https://careerviet.vn/vi/tim-viec-lam/ky-su-xay-dung-lam-viec-tai-viet-nam-va-nhat-ban.35C6B6CB.html","Xem chi tiết")</f>
        <v/>
      </c>
      <c r="M22218" s="10" t="n"/>
    </row>
    <row r="22219">
      <c r="B22219" s="7" t="n">
        <v>22217</v>
      </c>
      <c r="C22219" t="inlineStr">
        <is>
          <t>NHÂN VIÊN ĐIỆN</t>
        </is>
      </c>
      <c r="D22219" t="inlineStr">
        <is>
          <t>Công Ty TNHH TaeYang Việt Nam Chi Nhánh Đồng Nai</t>
        </is>
      </c>
      <c r="E22219" t="inlineStr">
        <is>
          <t>Lương:Trên 9 Tr VND</t>
        </is>
      </c>
      <c r="F22219" t="inlineStr">
        <is>
          <t>Đồng Nai</t>
        </is>
      </c>
      <c r="G22219" t="inlineStr">
        <is>
          <t>06-04-2026</t>
        </is>
      </c>
      <c r="H22219" t="inlineStr">
        <is>
          <t>06/04/2026</t>
        </is>
      </c>
      <c r="I22219" t="inlineStr">
        <is>
          <t>17/03/2026</t>
        </is>
      </c>
      <c r="J22219" t="inlineStr">
        <is>
          <t>Điện / Điện tử / Điện lạnh / Điện công nghiệp, Bán Hàng Kỹ Thuật</t>
        </is>
      </c>
      <c r="K22219" t="inlineStr">
        <is>
          <t>N/A</t>
        </is>
      </c>
      <c r="L22219" s="8">
        <f>HYPERLINK("https://careerviet.vn/vi/tim-viec-lam/nhan-vien-dien.35C6B631.html","Xem chi tiết")</f>
        <v/>
      </c>
    </row>
    <row r="22220">
      <c r="B22220" s="9" t="n">
        <v>22218</v>
      </c>
      <c r="C22220" s="10" t="inlineStr">
        <is>
          <t>Nhân viên xử lý khiếu nại</t>
        </is>
      </c>
      <c r="D22220" s="10" t="inlineStr">
        <is>
          <t>Công ty TNHH MTV J&amp;T Express - CN TPHCM</t>
        </is>
      </c>
      <c r="E22220" s="10" t="inlineStr">
        <is>
          <t>Lương:8 Tr - 9 Tr VND</t>
        </is>
      </c>
      <c r="F22220" s="10" t="inlineStr">
        <is>
          <t>Hồ Chí Minh</t>
        </is>
      </c>
      <c r="G22220" s="10" t="inlineStr">
        <is>
          <t>31-03-2026</t>
        </is>
      </c>
      <c r="H22220" s="10" t="inlineStr">
        <is>
          <t>31/03/2026</t>
        </is>
      </c>
      <c r="I22220" s="10" t="inlineStr">
        <is>
          <t>17/03/2026</t>
        </is>
      </c>
      <c r="J22220" s="10" t="inlineStr">
        <is>
          <t>Dịch vụ khách hàng</t>
        </is>
      </c>
      <c r="K22220" s="10" t="inlineStr">
        <is>
          <t>N/A</t>
        </is>
      </c>
      <c r="L22220" s="11">
        <f>HYPERLINK("https://careerviet.vn/vi/tim-viec-lam/nhan-vien-xu-ly-khieu-nai.35C6B416.html","Xem chi tiết")</f>
        <v/>
      </c>
      <c r="M22220" s="1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77"/>
  <sheetViews>
    <sheetView showGridLines="0" workbookViewId="0">
      <selection activeCell="A1" sqref="A1"/>
    </sheetView>
  </sheetViews>
  <sheetFormatPr baseColWidth="8" defaultRowHeight="15"/>
  <cols>
    <col width="3" customWidth="1" min="1" max="1"/>
    <col width="40" customWidth="1" min="2" max="2"/>
    <col width="15" customWidth="1" min="3" max="3"/>
  </cols>
  <sheetData>
    <row r="2" ht="30" customHeight="1">
      <c r="B2" s="12" t="inlineStr">
        <is>
          <t>THỐNG KÊ DỮ LIỆU</t>
        </is>
      </c>
    </row>
    <row r="5">
      <c r="B5" s="13" t="inlineStr">
        <is>
          <t>Thống kê theo địa điểm</t>
        </is>
      </c>
    </row>
    <row r="7">
      <c r="B7" s="6" t="inlineStr">
        <is>
          <t>Giá trị</t>
        </is>
      </c>
      <c r="C7" s="6" t="inlineStr">
        <is>
          <t>Số lượng</t>
        </is>
      </c>
    </row>
    <row r="8">
      <c r="B8" t="inlineStr">
        <is>
          <t>Hồ Chí Minh</t>
        </is>
      </c>
      <c r="C8" s="7" t="n">
        <v>8515</v>
      </c>
    </row>
    <row r="9">
      <c r="B9" t="inlineStr">
        <is>
          <t>Hà Nội</t>
        </is>
      </c>
      <c r="C9" s="7" t="n">
        <v>5731</v>
      </c>
    </row>
    <row r="10">
      <c r="B10" t="inlineStr">
        <is>
          <t>Bình Dương</t>
        </is>
      </c>
      <c r="C10" s="7" t="n">
        <v>1188</v>
      </c>
    </row>
    <row r="11">
      <c r="B11" t="inlineStr">
        <is>
          <t>Đồng Nai</t>
        </is>
      </c>
      <c r="C11" s="7" t="n">
        <v>778</v>
      </c>
    </row>
    <row r="12">
      <c r="B12" t="inlineStr">
        <is>
          <t>Long An</t>
        </is>
      </c>
      <c r="C12" s="7" t="n">
        <v>457</v>
      </c>
    </row>
    <row r="13">
      <c r="B13" t="inlineStr">
        <is>
          <t>Bà Rịa - Vũng Tàu</t>
        </is>
      </c>
      <c r="C13" s="7" t="n">
        <v>305</v>
      </c>
    </row>
    <row r="14">
      <c r="B14" t="inlineStr">
        <is>
          <t>Đà Nẵng</t>
        </is>
      </c>
      <c r="C14" s="7" t="n">
        <v>256</v>
      </c>
    </row>
    <row r="15">
      <c r="B15" t="inlineStr">
        <is>
          <t>Hưng Yên</t>
        </is>
      </c>
      <c r="C15" s="7" t="n">
        <v>235</v>
      </c>
    </row>
    <row r="16">
      <c r="B16" t="inlineStr">
        <is>
          <t>Hà NộiHồ Chí Minh</t>
        </is>
      </c>
      <c r="C16" s="7" t="n">
        <v>235</v>
      </c>
    </row>
    <row r="17">
      <c r="B17" t="inlineStr">
        <is>
          <t>Hồ Chí MinhHà Nội</t>
        </is>
      </c>
      <c r="C17" s="7" t="n">
        <v>177</v>
      </c>
    </row>
    <row r="18">
      <c r="B18" t="inlineStr">
        <is>
          <t>Hải Phòng</t>
        </is>
      </c>
      <c r="C18" s="7" t="n">
        <v>174</v>
      </c>
    </row>
    <row r="19">
      <c r="B19" t="inlineStr">
        <is>
          <t>Tây Ninh</t>
        </is>
      </c>
      <c r="C19" s="7" t="n">
        <v>142</v>
      </c>
    </row>
    <row r="20">
      <c r="B20" t="inlineStr">
        <is>
          <t>Bắc Ninh</t>
        </is>
      </c>
      <c r="C20" s="7" t="n">
        <v>137</v>
      </c>
    </row>
    <row r="21">
      <c r="B21" t="inlineStr">
        <is>
          <t>Nghệ An</t>
        </is>
      </c>
      <c r="C21" s="7" t="n">
        <v>115</v>
      </c>
    </row>
    <row r="22">
      <c r="B22" t="inlineStr">
        <is>
          <t>Cần Thơ</t>
        </is>
      </c>
      <c r="C22" s="7" t="n">
        <v>110</v>
      </c>
    </row>
    <row r="23">
      <c r="B23" t="inlineStr">
        <is>
          <t>Quảng Ninh</t>
        </is>
      </c>
      <c r="C23" s="7" t="n">
        <v>103</v>
      </c>
    </row>
    <row r="24">
      <c r="B24" t="inlineStr">
        <is>
          <t>Hải Dương</t>
        </is>
      </c>
      <c r="C24" s="7" t="n">
        <v>93</v>
      </c>
    </row>
    <row r="25">
      <c r="B25" t="inlineStr">
        <is>
          <t>Bình Phước</t>
        </is>
      </c>
      <c r="C25" s="7" t="n">
        <v>91</v>
      </c>
    </row>
    <row r="26">
      <c r="B26" t="inlineStr">
        <is>
          <t>Khánh Hòa</t>
        </is>
      </c>
      <c r="C26" s="7" t="n">
        <v>90</v>
      </c>
    </row>
    <row r="27">
      <c r="B27" t="inlineStr">
        <is>
          <t>Hà Nam</t>
        </is>
      </c>
      <c r="C27" s="7" t="n">
        <v>84</v>
      </c>
    </row>
    <row r="30">
      <c r="B30" s="13" t="inlineStr">
        <is>
          <t>Thống kê theo ngành hoạt động</t>
        </is>
      </c>
    </row>
    <row r="32">
      <c r="B32" s="6" t="inlineStr">
        <is>
          <t>Giá trị</t>
        </is>
      </c>
      <c r="C32" s="6" t="inlineStr">
        <is>
          <t>Số lượng</t>
        </is>
      </c>
    </row>
    <row r="33">
      <c r="B33" t="inlineStr">
        <is>
          <t>Kế toán / Kiểm toán</t>
        </is>
      </c>
      <c r="C33" s="7" t="n">
        <v>664</v>
      </c>
    </row>
    <row r="34">
      <c r="B34" t="inlineStr">
        <is>
          <t>Xây dựng</t>
        </is>
      </c>
      <c r="C34" s="7" t="n">
        <v>340</v>
      </c>
    </row>
    <row r="35">
      <c r="B35" t="inlineStr">
        <is>
          <t>Ngân hàng</t>
        </is>
      </c>
      <c r="C35" s="7" t="n">
        <v>332</v>
      </c>
    </row>
    <row r="36">
      <c r="B36" t="inlineStr">
        <is>
          <t>Nhân sự</t>
        </is>
      </c>
      <c r="C36" s="7" t="n">
        <v>325</v>
      </c>
    </row>
    <row r="37">
      <c r="B37" t="inlineStr">
        <is>
          <t>Bán hàng / Kinh doanh</t>
        </is>
      </c>
      <c r="C37" s="7" t="n">
        <v>324</v>
      </c>
    </row>
    <row r="38">
      <c r="B38" t="inlineStr">
        <is>
          <t>Sản xuất / Vận hành sản xuất</t>
        </is>
      </c>
      <c r="C38" s="7" t="n">
        <v>213</v>
      </c>
    </row>
    <row r="39">
      <c r="B39" t="inlineStr">
        <is>
          <t>Vận chuyển / Giao nhận / Kho vận</t>
        </is>
      </c>
      <c r="C39" s="7" t="n">
        <v>208</v>
      </c>
    </row>
    <row r="40">
      <c r="B40" t="inlineStr">
        <is>
          <t>CNTT - Phần mềm</t>
        </is>
      </c>
      <c r="C40" s="7" t="n">
        <v>206</v>
      </c>
    </row>
    <row r="41">
      <c r="B41" t="inlineStr">
        <is>
          <t>Ngân hàng, Tài chính / Đầu tư</t>
        </is>
      </c>
      <c r="C41" s="7" t="n">
        <v>203</v>
      </c>
    </row>
    <row r="42">
      <c r="B42" t="inlineStr">
        <is>
          <t>Điện / Điện tử / Điện lạnh / Điện công nghiệp</t>
        </is>
      </c>
      <c r="C42" s="7" t="n">
        <v>185</v>
      </c>
    </row>
    <row r="43">
      <c r="B43" t="inlineStr">
        <is>
          <t>Tiếp thị / Marketing</t>
        </is>
      </c>
      <c r="C43" s="7" t="n">
        <v>182</v>
      </c>
    </row>
    <row r="44">
      <c r="B44" t="inlineStr">
        <is>
          <t>Kế toán / Kiểm toán, Tài chính / Đầu tư</t>
        </is>
      </c>
      <c r="C44" s="7" t="n">
        <v>166</v>
      </c>
    </row>
    <row r="45">
      <c r="B45" t="inlineStr">
        <is>
          <t>Tiếp thị / Marketing, Bán lẻ / Bán sỉ, Bán hàng / Kinh doanh</t>
        </is>
      </c>
      <c r="C45" s="7" t="n">
        <v>163</v>
      </c>
    </row>
    <row r="46">
      <c r="B46" t="inlineStr">
        <is>
          <t>Giáo dục / Đào tạo</t>
        </is>
      </c>
      <c r="C46" s="7" t="n">
        <v>162</v>
      </c>
    </row>
    <row r="47">
      <c r="B47" t="inlineStr">
        <is>
          <t>Cơ khí / Ô tô / Tự động hóa, Điện / Điện tử / Điện lạnh / Điện công nghiệp, Bảo trì / Sửa chữa</t>
        </is>
      </c>
      <c r="C47" s="7" t="n">
        <v>161</v>
      </c>
    </row>
    <row r="48">
      <c r="B48" t="inlineStr">
        <is>
          <t>Y tế / Chăm sóc sức khỏe / Thẩm mỹ / Làm đẹp</t>
        </is>
      </c>
      <c r="C48" s="7" t="n">
        <v>152</v>
      </c>
    </row>
    <row r="49">
      <c r="B49" t="inlineStr">
        <is>
          <t>Kiến trúc, Xây dựng</t>
        </is>
      </c>
      <c r="C49" s="7" t="n">
        <v>148</v>
      </c>
    </row>
    <row r="50">
      <c r="B50" t="inlineStr">
        <is>
          <t>Kế toán / Kiểm toán, Ngân hàng, Tài chính / Đầu tư</t>
        </is>
      </c>
      <c r="C50" s="7" t="n">
        <v>144</v>
      </c>
    </row>
    <row r="51">
      <c r="B51" t="inlineStr">
        <is>
          <t>Dịch vụ khách hàng, Giáo dục / Đào tạo, Bán hàng / Kinh doanh</t>
        </is>
      </c>
      <c r="C51" s="7" t="n">
        <v>139</v>
      </c>
    </row>
    <row r="52">
      <c r="B52" t="inlineStr">
        <is>
          <t>Kiến trúc, Xây dựng, Nội ngoại thất</t>
        </is>
      </c>
      <c r="C52" s="7" t="n">
        <v>135</v>
      </c>
    </row>
    <row r="55">
      <c r="B55" s="13" t="inlineStr">
        <is>
          <t>Thống kê theo mức lương</t>
        </is>
      </c>
    </row>
    <row r="57">
      <c r="B57" s="6" t="inlineStr">
        <is>
          <t>Giá trị</t>
        </is>
      </c>
      <c r="C57" s="6" t="inlineStr">
        <is>
          <t>Số lượng</t>
        </is>
      </c>
    </row>
    <row r="58">
      <c r="B58" t="inlineStr">
        <is>
          <t>Lương:Cạnh tranh</t>
        </is>
      </c>
      <c r="C58" s="7" t="n">
        <v>10741</v>
      </c>
    </row>
    <row r="59">
      <c r="B59" t="inlineStr">
        <is>
          <t>Lương:10 Tr - 15 Tr VND</t>
        </is>
      </c>
      <c r="C59" s="7" t="n">
        <v>592</v>
      </c>
    </row>
    <row r="60">
      <c r="B60" t="inlineStr">
        <is>
          <t>Lương:15 Tr - 20 Tr VND</t>
        </is>
      </c>
      <c r="C60" s="7" t="n">
        <v>521</v>
      </c>
    </row>
    <row r="61">
      <c r="B61" t="inlineStr">
        <is>
          <t>Lương:15 Tr - 25 Tr VND</t>
        </is>
      </c>
      <c r="C61" s="7" t="n">
        <v>359</v>
      </c>
    </row>
    <row r="62">
      <c r="B62" t="inlineStr">
        <is>
          <t>Lương:12 Tr - 15 Tr VND</t>
        </is>
      </c>
      <c r="C62" s="7" t="n">
        <v>348</v>
      </c>
    </row>
    <row r="63">
      <c r="B63" t="inlineStr">
        <is>
          <t>Lương:20 Tr - 30 Tr VND</t>
        </is>
      </c>
      <c r="C63" s="7" t="n">
        <v>287</v>
      </c>
    </row>
    <row r="64">
      <c r="B64" t="inlineStr">
        <is>
          <t>Lương:10 Tr - 12 Tr VND</t>
        </is>
      </c>
      <c r="C64" s="7" t="n">
        <v>281</v>
      </c>
    </row>
    <row r="65">
      <c r="B65" t="inlineStr">
        <is>
          <t>Lương:20 Tr - 25 Tr VND</t>
        </is>
      </c>
      <c r="C65" s="7" t="n">
        <v>255</v>
      </c>
    </row>
    <row r="66">
      <c r="B66" t="inlineStr">
        <is>
          <t>Lương:12 Tr - 20 Tr VND</t>
        </is>
      </c>
      <c r="C66" s="7" t="n">
        <v>242</v>
      </c>
    </row>
    <row r="67">
      <c r="B67" t="inlineStr">
        <is>
          <t>Lương:8 Tr - 10 Tr VND</t>
        </is>
      </c>
      <c r="C67" s="7" t="n">
        <v>229</v>
      </c>
    </row>
    <row r="68">
      <c r="B68" t="inlineStr">
        <is>
          <t>Lương:8 Tr - 12 Tr VND</t>
        </is>
      </c>
      <c r="C68" s="7" t="n">
        <v>224</v>
      </c>
    </row>
    <row r="69">
      <c r="B69" t="inlineStr">
        <is>
          <t>Lương:9 Tr - 12 Tr VND</t>
        </is>
      </c>
      <c r="C69" s="7" t="n">
        <v>216</v>
      </c>
    </row>
    <row r="70">
      <c r="B70" t="inlineStr">
        <is>
          <t>Lương:10 Tr - 20 Tr VND</t>
        </is>
      </c>
      <c r="C70" s="7" t="n">
        <v>200</v>
      </c>
    </row>
    <row r="71">
      <c r="B71" t="inlineStr">
        <is>
          <t>Lương:8 Tr - 15 Tr VND</t>
        </is>
      </c>
      <c r="C71" s="7" t="n">
        <v>181</v>
      </c>
    </row>
    <row r="72">
      <c r="B72" t="inlineStr">
        <is>
          <t>Lương:12 Tr - 18 Tr VND</t>
        </is>
      </c>
      <c r="C72" s="7" t="n">
        <v>177</v>
      </c>
    </row>
    <row r="73">
      <c r="B73" t="inlineStr">
        <is>
          <t>Lương:15 Tr - 30 Tr VND</t>
        </is>
      </c>
      <c r="C73" s="7" t="n">
        <v>174</v>
      </c>
    </row>
    <row r="74">
      <c r="B74" t="inlineStr">
        <is>
          <t>Lương:18 Tr - 25 Tr VND</t>
        </is>
      </c>
      <c r="C74" s="7" t="n">
        <v>169</v>
      </c>
    </row>
    <row r="75">
      <c r="B75" t="inlineStr">
        <is>
          <t>Lương:25 Tr - 30 Tr VND</t>
        </is>
      </c>
      <c r="C75" s="7" t="n">
        <v>167</v>
      </c>
    </row>
    <row r="76">
      <c r="B76" t="inlineStr">
        <is>
          <t>Lương:15 Tr - 18 Tr VND</t>
        </is>
      </c>
      <c r="C76" s="7" t="n">
        <v>163</v>
      </c>
    </row>
    <row r="77">
      <c r="B77" t="inlineStr">
        <is>
          <t>Lương:13 Tr - 15 Tr VND</t>
        </is>
      </c>
      <c r="C77" s="7" t="n">
        <v>142</v>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2026-03-17T14:04:52Z</dcterms:created>
  <dcterms:modified xmlns:dcterms="http://purl.org/dc/terms/" xmlns:xsi="http://www.w3.org/2001/XMLSchema-instance" xsi:type="dcterms:W3CDTF">2026-03-17T14:04:58Z</dcterms:modified>
</cp:coreProperties>
</file>